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filterPrivacy="1" codeName="ThisWorkbook" defaultThemeVersion="124226"/>
  <xr:revisionPtr revIDLastSave="0" documentId="8_{4512EBCF-755C-496B-A6A0-3FBE9E3A9E97}" xr6:coauthVersionLast="47" xr6:coauthVersionMax="47" xr10:uidLastSave="{00000000-0000-0000-0000-000000000000}"/>
  <bookViews>
    <workbookView xWindow="5040" yWindow="-19515" windowWidth="26850" windowHeight="17595" firstSheet="1" activeTab="1" xr2:uid="{00000000-000D-0000-FFFF-FFFF00000000}"/>
  </bookViews>
  <sheets>
    <sheet name="_11_居宅介護（名前定義）" sheetId="2" state="hidden" r:id="rId1"/>
    <sheet name="表紙" sheetId="147" r:id="rId2"/>
    <sheet name="説明" sheetId="146" r:id="rId3"/>
    <sheet name="1居宅介護(身介、単一日中)" sheetId="3" r:id="rId4"/>
    <sheet name="1居宅介護(身介、単一早朝夜間)" sheetId="4" r:id="rId5"/>
    <sheet name="1居宅介護(身介、単一深夜)" sheetId="5" r:id="rId6"/>
    <sheet name="1居宅介護(身介、合成深夜)" sheetId="6" r:id="rId7"/>
    <sheet name="1居宅介護(身介、合成早朝)" sheetId="7" r:id="rId8"/>
    <sheet name="1居宅介護(身介、合成日中)" sheetId="8" r:id="rId9"/>
    <sheet name="1居宅介護(身介、合成夜間１)" sheetId="9" r:id="rId10"/>
    <sheet name="1居宅介護(身介、合成夜間２)" sheetId="10" r:id="rId11"/>
    <sheet name="1居宅介護(身介、2h未合成１)" sheetId="11" r:id="rId12"/>
    <sheet name="1居宅介護(身介、2h未合成２)" sheetId="12" r:id="rId13"/>
    <sheet name="1居宅介護(身介、2h未合成３)" sheetId="13" r:id="rId14"/>
    <sheet name="1居宅介護(身介、日中増分)" sheetId="14" r:id="rId15"/>
    <sheet name="1居宅介護(身介、早朝夜間増分)" sheetId="15" r:id="rId16"/>
    <sheet name="1居宅介護(身介、深夜増分)" sheetId="16" r:id="rId17"/>
    <sheet name="1居宅介護(身介重度、単一日中・早朝・夜間)" sheetId="17" r:id="rId18"/>
    <sheet name="1居宅介護(身介重度、単一深夜)" sheetId="18" r:id="rId19"/>
    <sheet name="1居宅介護(身介重度、合成１-1)" sheetId="19" r:id="rId20"/>
    <sheet name="1居宅介護(身介重度、合成１-2)" sheetId="20" r:id="rId21"/>
    <sheet name="1居宅介護(身介重度、合成１-3)" sheetId="21" r:id="rId22"/>
    <sheet name="1居宅介護(身介重度、合成１-4)" sheetId="22" r:id="rId23"/>
    <sheet name="1居宅介護(身介重度、合成１-5)" sheetId="23" r:id="rId24"/>
    <sheet name="1居宅介護(身介重度、合成１-6)" sheetId="24" r:id="rId25"/>
    <sheet name="1居宅介護(身介重度、合成１-7)" sheetId="25" r:id="rId26"/>
    <sheet name="1居宅介護(身介重度、合成１-8)" sheetId="26" r:id="rId27"/>
    <sheet name="1居宅介護(身介重度、日中早朝増分)" sheetId="27" r:id="rId28"/>
    <sheet name="1居宅介護(身介重度、夜間深夜増分)" sheetId="28" r:id="rId29"/>
    <sheet name="1居宅介護(通院身体、単一日中)" sheetId="29" r:id="rId30"/>
    <sheet name="1居宅介護(通院身体、単一早朝夜間)" sheetId="30" r:id="rId31"/>
    <sheet name="1居宅介護(通院身体、単一深夜)" sheetId="31" r:id="rId32"/>
    <sheet name="1居宅介護(通院身体、合成深夜)" sheetId="32" r:id="rId33"/>
    <sheet name="1居宅介護(通院身体、合成早朝)" sheetId="33" r:id="rId34"/>
    <sheet name="1居宅介護(通院身体、合成日中)" sheetId="34" r:id="rId35"/>
    <sheet name="1居宅介護(通院身体、合成夜間１)" sheetId="35" r:id="rId36"/>
    <sheet name="1居宅介護(通院身体、合成夜間２)" sheetId="36" r:id="rId37"/>
    <sheet name="1居宅介護(通院身体、2h未合成１)" sheetId="37" r:id="rId38"/>
    <sheet name="1居宅介護(通院身体、2h未合成２)" sheetId="38" r:id="rId39"/>
    <sheet name="1居宅介護(通院身体、2h未合成３‐1)" sheetId="39" r:id="rId40"/>
    <sheet name="1居宅介護(通院身体、2h未合成３‐2)" sheetId="40" r:id="rId41"/>
    <sheet name="1居宅介護(通院身体、日中増分)" sheetId="41" r:id="rId42"/>
    <sheet name="1居宅介護(通院身体、早朝夜間増分)" sheetId="42" r:id="rId43"/>
    <sheet name="1居宅介護(通院身体、深夜増分)" sheetId="43" r:id="rId44"/>
    <sheet name="1居宅介護(通院重度、単一日中・早朝・夜間)" sheetId="44" r:id="rId45"/>
    <sheet name="1居宅介護(通院重度、単一深夜)" sheetId="45" r:id="rId46"/>
    <sheet name="1居宅介護(通院重度、合成１-1)" sheetId="46" r:id="rId47"/>
    <sheet name="1居宅介護(通院重度、合成１-2)" sheetId="47" r:id="rId48"/>
    <sheet name="1居宅介護(通院重度、合成１-3)" sheetId="48" r:id="rId49"/>
    <sheet name="1居宅介護(通院重度、合成１-4)" sheetId="49" r:id="rId50"/>
    <sheet name="1居宅介護(通院重度、合成１-5)" sheetId="50" r:id="rId51"/>
    <sheet name="1居宅介護(通院重度、合成１-6)" sheetId="51" r:id="rId52"/>
    <sheet name="1居宅介護(通院重度、合成１-7)" sheetId="52" r:id="rId53"/>
    <sheet name="1居宅介護(通院重度、合成１-8)" sheetId="53" r:id="rId54"/>
    <sheet name="1居宅介護(通院重度、日中早朝増分)" sheetId="54" r:id="rId55"/>
    <sheet name="1居宅介護(通院重度、夜間深夜増分)" sheetId="55" r:id="rId56"/>
    <sheet name="1居宅介護(家援、単一日中)" sheetId="56" r:id="rId57"/>
    <sheet name="1居宅介護(家援、単一早朝夜間)" sheetId="57" r:id="rId58"/>
    <sheet name="1居宅介護(家援、単一深夜)" sheetId="58" r:id="rId59"/>
    <sheet name="1居宅介護(家援、合成１-1)" sheetId="59" r:id="rId60"/>
    <sheet name="1居宅介護(家援、合成１-2)" sheetId="60" r:id="rId61"/>
    <sheet name="1居宅介護(家援、合成１-3)" sheetId="61" r:id="rId62"/>
    <sheet name="1居宅介護(家援、合成２‐1)" sheetId="62" r:id="rId63"/>
    <sheet name="1居宅介護(家援、合成２‐2)" sheetId="63" r:id="rId64"/>
    <sheet name="1居宅介護(家援、2h未合成１-1)" sheetId="64" r:id="rId65"/>
    <sheet name="1居宅介護(家援、2h未合成１-2)" sheetId="65" r:id="rId66"/>
    <sheet name="1居宅介護(家援、2h未合成１-3)" sheetId="66" r:id="rId67"/>
    <sheet name="1居宅介護(家援、日中増分)" sheetId="67" r:id="rId68"/>
    <sheet name="1居宅介護(家援、早朝夜間増分)" sheetId="68" r:id="rId69"/>
    <sheet name="1居宅介護(家援、深夜増分)" sheetId="69" r:id="rId70"/>
    <sheet name="1居宅介護(家援重度、単一日中)" sheetId="70" r:id="rId71"/>
    <sheet name="1居宅介護(家援重度、単一早朝夜間)" sheetId="71" r:id="rId72"/>
    <sheet name="1居宅介護(家援重度、単一深夜)" sheetId="72" r:id="rId73"/>
    <sheet name="1居宅介護(家援重度、合成１‐1)" sheetId="73" r:id="rId74"/>
    <sheet name="1居宅介護(家援重度、合成１‐2)" sheetId="74" r:id="rId75"/>
    <sheet name="1居宅介護(家援重度、合成１-3)" sheetId="75" r:id="rId76"/>
    <sheet name="1居宅介護(家援重度、合成２-1)" sheetId="76" r:id="rId77"/>
    <sheet name="1居宅介護(家援重度、合成２-2)" sheetId="77" r:id="rId78"/>
    <sheet name="1居宅介護(家援重度、2h未合成１‐1)" sheetId="78" r:id="rId79"/>
    <sheet name="1居宅介護(家援重度、2h未合成１-2)" sheetId="79" r:id="rId80"/>
    <sheet name="1居宅介護(家援重度、2h未合成１-3)" sheetId="80" r:id="rId81"/>
    <sheet name="1居宅介護(家援重度、日中増分)" sheetId="81" r:id="rId82"/>
    <sheet name="1居宅介護(家援重度、早朝夜間増分)" sheetId="82" r:id="rId83"/>
    <sheet name="1居宅介護(家援重度、深夜増分)" sheetId="83" r:id="rId84"/>
    <sheet name="1居宅介護(通院家援、単一日中)" sheetId="84" r:id="rId85"/>
    <sheet name="1居宅介護(通院家援、単一早朝夜間)" sheetId="85" r:id="rId86"/>
    <sheet name="1居宅介護(通院家援、単一深夜)" sheetId="86" r:id="rId87"/>
    <sheet name="1居宅介護(通院家援、合成１)" sheetId="87" r:id="rId88"/>
    <sheet name="1居宅介護(通院家援、合成２)" sheetId="88" r:id="rId89"/>
    <sheet name="1居宅介護(通院家援、2h未合成１)" sheetId="89" r:id="rId90"/>
    <sheet name="1居宅介護(通院家援、日中増分)" sheetId="90" r:id="rId91"/>
    <sheet name="1居宅介護(通院家援、早朝夜間増分)" sheetId="91" r:id="rId92"/>
    <sheet name="1居宅介護(通院家援、深夜増分)" sheetId="92" r:id="rId93"/>
    <sheet name="1居宅介護(通院家援重度、単一日中)" sheetId="93" r:id="rId94"/>
    <sheet name="1居宅介護(通院家援重度、単一早朝夜間深夜)" sheetId="94" r:id="rId95"/>
    <sheet name="1居宅介護(通院家援重度、合成)" sheetId="95" r:id="rId96"/>
    <sheet name="1居宅介護(通院家援重度、2h未合成１)" sheetId="96" r:id="rId97"/>
    <sheet name="1居宅介護(通院家援重度、日中増分)" sheetId="97" r:id="rId98"/>
    <sheet name="1居宅介護(通院家援重度、早朝夜間深夜増分)" sheetId="98" r:id="rId99"/>
    <sheet name="1居宅介護(通院等乗降介助加算)" sheetId="99" r:id="rId100"/>
    <sheet name="1居宅介護(通院等乗降介助重度加算)" sheetId="100" r:id="rId101"/>
    <sheet name="1居宅介護(単独加算)" sheetId="101" r:id="rId102"/>
    <sheet name="2重度訪問" sheetId="102" r:id="rId103"/>
    <sheet name="2重度訪問（早朝）" sheetId="103" r:id="rId104"/>
    <sheet name="2重度訪問（夜間）" sheetId="104" r:id="rId105"/>
    <sheet name="2重度訪問（深夜）" sheetId="105" r:id="rId106"/>
    <sheet name="2重度訪問 (入院入所中)" sheetId="106" r:id="rId107"/>
    <sheet name="2重度訪問 (入院入所中、早朝)" sheetId="107" r:id="rId108"/>
    <sheet name="2重度訪問 (入院入所中、夜間)" sheetId="108" r:id="rId109"/>
    <sheet name="2重度訪問 (入院入所中、深夜)" sheetId="109" r:id="rId110"/>
    <sheet name="_15_同行援護（名前定義）" sheetId="110" state="hidden" r:id="rId111"/>
    <sheet name="3同行援護(同行援護、単一日中)" sheetId="111" r:id="rId112"/>
    <sheet name="3同行援護(同行援護、単一早朝夜間)" sheetId="112" r:id="rId113"/>
    <sheet name="3同行援護(同行援護、単一深夜)" sheetId="113" r:id="rId114"/>
    <sheet name="3同行援護(同行援護、合成深夜)" sheetId="114" r:id="rId115"/>
    <sheet name="3同行援護(同行援護、合成早朝)" sheetId="115" r:id="rId116"/>
    <sheet name="3同行援護(同行援護、合成日中)" sheetId="116" r:id="rId117"/>
    <sheet name="3同行援護(同行援護、合成夜間１)" sheetId="117" r:id="rId118"/>
    <sheet name="3同行援護(同行援護、合成夜間２)" sheetId="118" r:id="rId119"/>
    <sheet name="3同行援護(同行援護、2h未合成１)" sheetId="119" r:id="rId120"/>
    <sheet name="3同行援護(同行援護、2h未合成２)" sheetId="120" r:id="rId121"/>
    <sheet name="3同行援護(同行援護、2h未合成３)" sheetId="121" r:id="rId122"/>
    <sheet name="3同行援護(同行援護、日中増分)" sheetId="122" r:id="rId123"/>
    <sheet name="3同行援護(同行援護、早朝夜間増分)" sheetId="123" r:id="rId124"/>
    <sheet name="3同行援護(同行援護、深夜増分)" sheetId="124" r:id="rId125"/>
    <sheet name="3同行援護(同行援護盲ろう、単一日中)" sheetId="125" r:id="rId126"/>
    <sheet name="3同行援護(同行援護盲ろう、単一早朝夜間)" sheetId="126" r:id="rId127"/>
    <sheet name="3同行援護(同行援護盲ろう、単一深夜)" sheetId="127" r:id="rId128"/>
    <sheet name="3同行援護(同行援護盲ろう、合成深夜)" sheetId="128" r:id="rId129"/>
    <sheet name="3同行援護(同行援護盲ろう、合成早朝)" sheetId="129" r:id="rId130"/>
    <sheet name="3同行援護(同行援護盲ろう、合成日中)" sheetId="130" r:id="rId131"/>
    <sheet name="3同行援護(同行援護盲ろう、合成夜間１)" sheetId="131" r:id="rId132"/>
    <sheet name="3同行援護(同行援護盲ろう、合成夜間２)" sheetId="132" r:id="rId133"/>
    <sheet name="3同行援護(同行援護盲ろう、2h未合成１)" sheetId="133" r:id="rId134"/>
    <sheet name="3同行援護(同行援護盲ろう、2h未合成２)" sheetId="134" r:id="rId135"/>
    <sheet name="3同行援護(同行援護盲ろう、2h未合成３)" sheetId="135" r:id="rId136"/>
    <sheet name="3同行援護(同行援護盲ろう、日中増分)" sheetId="136" r:id="rId137"/>
    <sheet name="3同行援護(同行援護盲ろう、早朝夜間増分)" sheetId="137" r:id="rId138"/>
    <sheet name="3同行援護(同行援護盲ろう、深夜増分)" sheetId="138" r:id="rId139"/>
    <sheet name="3同行援護(単独加算)" sheetId="139" r:id="rId140"/>
    <sheet name="4行動援護" sheetId="140" r:id="rId141"/>
    <sheet name="5療養介護(基本)" sheetId="141" r:id="rId142"/>
    <sheet name="5療養介護(定超)" sheetId="142" r:id="rId143"/>
    <sheet name="5療養介護(生活支援員他欠員)" sheetId="143" r:id="rId144"/>
    <sheet name="5療養介護(サービス管理責任者欠員)" sheetId="144" r:id="rId145"/>
  </sheets>
  <definedNames>
    <definedName name="_11_A家事０．５">'_11_居宅介護（名前定義）'!$C$129</definedName>
    <definedName name="_11_A家事０．７５">'_11_居宅介護（名前定義）'!$C$130</definedName>
    <definedName name="_11_A家事１．０">'_11_居宅介護（名前定義）'!$C$131</definedName>
    <definedName name="_11_A家事１．２５">'_11_居宅介護（名前定義）'!$C$132</definedName>
    <definedName name="_11_A家事１．５">'_11_居宅介護（名前定義）'!$C$133</definedName>
    <definedName name="_11_A家事１．７５">'_11_居宅介護（名前定義）'!$C$134</definedName>
    <definedName name="_11_A家事１０．０">'_11_居宅介護（名前定義）'!$C$167</definedName>
    <definedName name="_11_A家事１０．２５">'_11_居宅介護（名前定義）'!$C$168</definedName>
    <definedName name="_11_A家事１０．５">'_11_居宅介護（名前定義）'!$C$169</definedName>
    <definedName name="_11_A家事２．０">'_11_居宅介護（名前定義）'!$C$135</definedName>
    <definedName name="_11_A家事２．２５">'_11_居宅介護（名前定義）'!$C$136</definedName>
    <definedName name="_11_A家事２．５">'_11_居宅介護（名前定義）'!$C$137</definedName>
    <definedName name="_11_A家事２．７５">'_11_居宅介護（名前定義）'!$C$138</definedName>
    <definedName name="_11_A家事３．０">'_11_居宅介護（名前定義）'!$C$139</definedName>
    <definedName name="_11_A家事３．２５">'_11_居宅介護（名前定義）'!$C$140</definedName>
    <definedName name="_11_A家事３．５">'_11_居宅介護（名前定義）'!$C$141</definedName>
    <definedName name="_11_A家事３．７５">'_11_居宅介護（名前定義）'!$C$142</definedName>
    <definedName name="_11_A家事４．０">'_11_居宅介護（名前定義）'!$C$143</definedName>
    <definedName name="_11_A家事４．２５">'_11_居宅介護（名前定義）'!$C$144</definedName>
    <definedName name="_11_A家事４．５">'_11_居宅介護（名前定義）'!$C$145</definedName>
    <definedName name="_11_A家事４．７５">'_11_居宅介護（名前定義）'!$C$146</definedName>
    <definedName name="_11_A家事５．０">'_11_居宅介護（名前定義）'!$C$147</definedName>
    <definedName name="_11_A家事５．２５">'_11_居宅介護（名前定義）'!$C$148</definedName>
    <definedName name="_11_A家事５．５">'_11_居宅介護（名前定義）'!$C$149</definedName>
    <definedName name="_11_A家事５．７５">'_11_居宅介護（名前定義）'!$C$150</definedName>
    <definedName name="_11_A家事６．０">'_11_居宅介護（名前定義）'!$C$151</definedName>
    <definedName name="_11_A家事６．２５">'_11_居宅介護（名前定義）'!$C$152</definedName>
    <definedName name="_11_A家事６．５">'_11_居宅介護（名前定義）'!$C$153</definedName>
    <definedName name="_11_A家事６．７５">'_11_居宅介護（名前定義）'!$C$154</definedName>
    <definedName name="_11_A家事７．０">'_11_居宅介護（名前定義）'!$C$155</definedName>
    <definedName name="_11_A家事７．２５">'_11_居宅介護（名前定義）'!$C$156</definedName>
    <definedName name="_11_A家事７．５">'_11_居宅介護（名前定義）'!$C$157</definedName>
    <definedName name="_11_A家事７．７５">'_11_居宅介護（名前定義）'!$C$158</definedName>
    <definedName name="_11_A家事８．０">'_11_居宅介護（名前定義）'!$C$159</definedName>
    <definedName name="_11_A家事８．２５">'_11_居宅介護（名前定義）'!$C$160</definedName>
    <definedName name="_11_A家事８．５">'_11_居宅介護（名前定義）'!$C$161</definedName>
    <definedName name="_11_A家事８．７５">'_11_居宅介護（名前定義）'!$C$162</definedName>
    <definedName name="_11_A家事９．０">'_11_居宅介護（名前定義）'!$C$163</definedName>
    <definedName name="_11_A家事９．２５">'_11_居宅介護（名前定義）'!$C$164</definedName>
    <definedName name="_11_A家事９．５">'_11_居宅介護（名前定義）'!$C$165</definedName>
    <definedName name="_11_A家事９．７５">'_11_居宅介護（名前定義）'!$C$166</definedName>
    <definedName name="_11_A家事増０．２５">'_11_居宅介護（名前定義）'!$C$170</definedName>
    <definedName name="_11_A家事増０．５">'_11_居宅介護（名前定義）'!$C$171</definedName>
    <definedName name="_11_A家事増０．７５">'_11_居宅介護（名前定義）'!$C$172</definedName>
    <definedName name="_11_A家事増１．０">'_11_居宅介護（名前定義）'!$C$173</definedName>
    <definedName name="_11_A家事増１．２５">'_11_居宅介護（名前定義）'!$C$174</definedName>
    <definedName name="_11_A家事増１．５">'_11_居宅介護（名前定義）'!$C$175</definedName>
    <definedName name="_11_A家事増１．７５">'_11_居宅介護（名前定義）'!$C$176</definedName>
    <definedName name="_11_A家事増１０．０">'_11_居宅介護（名前定義）'!$C$209</definedName>
    <definedName name="_11_A家事増１０．２５">'_11_居宅介護（名前定義）'!$C$210</definedName>
    <definedName name="_11_A家事増１０．５">'_11_居宅介護（名前定義）'!$C$211</definedName>
    <definedName name="_11_A家事増２．０">'_11_居宅介護（名前定義）'!$C$177</definedName>
    <definedName name="_11_A家事増２．２５">'_11_居宅介護（名前定義）'!$C$178</definedName>
    <definedName name="_11_A家事増２．５">'_11_居宅介護（名前定義）'!$C$179</definedName>
    <definedName name="_11_A家事増２．７５">'_11_居宅介護（名前定義）'!$C$180</definedName>
    <definedName name="_11_A家事増３．０">'_11_居宅介護（名前定義）'!$C$181</definedName>
    <definedName name="_11_A家事増３．２５">'_11_居宅介護（名前定義）'!$C$182</definedName>
    <definedName name="_11_A家事増３．５">'_11_居宅介護（名前定義）'!$C$183</definedName>
    <definedName name="_11_A家事増３．７５">'_11_居宅介護（名前定義）'!$C$184</definedName>
    <definedName name="_11_A家事増４．０">'_11_居宅介護（名前定義）'!$C$185</definedName>
    <definedName name="_11_A家事増４．２５">'_11_居宅介護（名前定義）'!$C$186</definedName>
    <definedName name="_11_A家事増４．５">'_11_居宅介護（名前定義）'!$C$187</definedName>
    <definedName name="_11_A家事増４．７５">'_11_居宅介護（名前定義）'!$C$188</definedName>
    <definedName name="_11_A家事増５．０">'_11_居宅介護（名前定義）'!$C$189</definedName>
    <definedName name="_11_A家事増５．２５">'_11_居宅介護（名前定義）'!$C$190</definedName>
    <definedName name="_11_A家事増５．５">'_11_居宅介護（名前定義）'!$C$191</definedName>
    <definedName name="_11_A家事増５．７５">'_11_居宅介護（名前定義）'!$C$192</definedName>
    <definedName name="_11_A家事増６．０">'_11_居宅介護（名前定義）'!$C$193</definedName>
    <definedName name="_11_A家事増６．２５">'_11_居宅介護（名前定義）'!$C$194</definedName>
    <definedName name="_11_A家事増６．５">'_11_居宅介護（名前定義）'!$C$195</definedName>
    <definedName name="_11_A家事増６．７５">'_11_居宅介護（名前定義）'!$C$196</definedName>
    <definedName name="_11_A家事増７．０">'_11_居宅介護（名前定義）'!$C$197</definedName>
    <definedName name="_11_A家事増７．２５">'_11_居宅介護（名前定義）'!$C$198</definedName>
    <definedName name="_11_A家事増７．５">'_11_居宅介護（名前定義）'!$C$199</definedName>
    <definedName name="_11_A家事増７．７５">'_11_居宅介護（名前定義）'!$C$200</definedName>
    <definedName name="_11_A家事増８．０">'_11_居宅介護（名前定義）'!$C$201</definedName>
    <definedName name="_11_A家事増８．２５">'_11_居宅介護（名前定義）'!$C$202</definedName>
    <definedName name="_11_A家事増８．５">'_11_居宅介護（名前定義）'!$C$203</definedName>
    <definedName name="_11_A家事増８．７５">'_11_居宅介護（名前定義）'!$C$204</definedName>
    <definedName name="_11_A家事増９．０">'_11_居宅介護（名前定義）'!$C$205</definedName>
    <definedName name="_11_A家事増９．２５">'_11_居宅介護（名前定義）'!$C$206</definedName>
    <definedName name="_11_A家事増９．５">'_11_居宅介護（名前定義）'!$C$207</definedName>
    <definedName name="_11_A家事増９．７５">'_11_居宅介護（名前定義）'!$C$208</definedName>
    <definedName name="_11_A重度研修１．０">'_11_居宅介護（名前定義）'!$C$46</definedName>
    <definedName name="_11_A重度研修１．５">'_11_居宅介護（名前定義）'!$C$47</definedName>
    <definedName name="_11_A重度研修１０．０">'_11_居宅介護（名前定義）'!$C$64</definedName>
    <definedName name="_11_A重度研修１０．５">'_11_居宅介護（名前定義）'!$C$65</definedName>
    <definedName name="_11_A重度研修２．０">'_11_居宅介護（名前定義）'!$C$48</definedName>
    <definedName name="_11_A重度研修２．５">'_11_居宅介護（名前定義）'!$C$49</definedName>
    <definedName name="_11_A重度研修３．０">'_11_居宅介護（名前定義）'!$C$50</definedName>
    <definedName name="_11_A重度研修３．５">'_11_居宅介護（名前定義）'!$C$51</definedName>
    <definedName name="_11_A重度研修４．０">'_11_居宅介護（名前定義）'!$C$52</definedName>
    <definedName name="_11_A重度研修４．５">'_11_居宅介護（名前定義）'!$C$53</definedName>
    <definedName name="_11_A重度研修５．０">'_11_居宅介護（名前定義）'!$C$54</definedName>
    <definedName name="_11_A重度研修５．５">'_11_居宅介護（名前定義）'!$C$55</definedName>
    <definedName name="_11_A重度研修６．０">'_11_居宅介護（名前定義）'!$C$56</definedName>
    <definedName name="_11_A重度研修６．５">'_11_居宅介護（名前定義）'!$C$57</definedName>
    <definedName name="_11_A重度研修７．０">'_11_居宅介護（名前定義）'!$C$58</definedName>
    <definedName name="_11_A重度研修７．５">'_11_居宅介護（名前定義）'!$C$59</definedName>
    <definedName name="_11_A重度研修８．０">'_11_居宅介護（名前定義）'!$C$60</definedName>
    <definedName name="_11_A重度研修８．５">'_11_居宅介護（名前定義）'!$C$61</definedName>
    <definedName name="_11_A重度研修９．０">'_11_居宅介護（名前定義）'!$C$62</definedName>
    <definedName name="_11_A重度研修９．５">'_11_居宅介護（名前定義）'!$C$63</definedName>
    <definedName name="_11_A重度研修増０．５">'_11_居宅介護（名前定義）'!$C$66</definedName>
    <definedName name="_11_A重度研修増１．０">'_11_居宅介護（名前定義）'!$C$67</definedName>
    <definedName name="_11_A重度研修増１．５">'_11_居宅介護（名前定義）'!$C$68</definedName>
    <definedName name="_11_A重度研修増１０．０">'_11_居宅介護（名前定義）'!$C$85</definedName>
    <definedName name="_11_A重度研修増１０．５">'_11_居宅介護（名前定義）'!$C$86</definedName>
    <definedName name="_11_A重度研修増２．０">'_11_居宅介護（名前定義）'!$C$69</definedName>
    <definedName name="_11_A重度研修増２．５">'_11_居宅介護（名前定義）'!$C$70</definedName>
    <definedName name="_11_A重度研修増３．０">'_11_居宅介護（名前定義）'!$C$71</definedName>
    <definedName name="_11_A重度研修増３．５">'_11_居宅介護（名前定義）'!$C$72</definedName>
    <definedName name="_11_A重度研修増４．０">'_11_居宅介護（名前定義）'!$C$73</definedName>
    <definedName name="_11_A重度研修増４．５">'_11_居宅介護（名前定義）'!$C$74</definedName>
    <definedName name="_11_A重度研修増５．０">'_11_居宅介護（名前定義）'!$C$75</definedName>
    <definedName name="_11_A重度研修増５．５">'_11_居宅介護（名前定義）'!$C$76</definedName>
    <definedName name="_11_A重度研修増６．０">'_11_居宅介護（名前定義）'!$C$77</definedName>
    <definedName name="_11_A重度研修増６．５">'_11_居宅介護（名前定義）'!$C$78</definedName>
    <definedName name="_11_A重度研修増７．０">'_11_居宅介護（名前定義）'!$C$79</definedName>
    <definedName name="_11_A重度研修増７．５">'_11_居宅介護（名前定義）'!$C$80</definedName>
    <definedName name="_11_A重度研修増８．０">'_11_居宅介護（名前定義）'!$C$81</definedName>
    <definedName name="_11_A重度研修増８．５">'_11_居宅介護（名前定義）'!$C$82</definedName>
    <definedName name="_11_A重度研修増９．０">'_11_居宅介護（名前定義）'!$C$83</definedName>
    <definedName name="_11_A重度研修増９．５">'_11_居宅介護（名前定義）'!$C$84</definedName>
    <definedName name="_11_A身体０．５">'_11_居宅介護（名前定義）'!$C$4</definedName>
    <definedName name="_11_A身体１．０">'_11_居宅介護（名前定義）'!$C$5</definedName>
    <definedName name="_11_A身体１．５">'_11_居宅介護（名前定義）'!$C$6</definedName>
    <definedName name="_11_A身体１０．０">'_11_居宅介護（名前定義）'!$C$23</definedName>
    <definedName name="_11_A身体１０．５">'_11_居宅介護（名前定義）'!$C$24</definedName>
    <definedName name="_11_A身体２．０">'_11_居宅介護（名前定義）'!$C$7</definedName>
    <definedName name="_11_A身体２．５">'_11_居宅介護（名前定義）'!$C$8</definedName>
    <definedName name="_11_A身体３．０">'_11_居宅介護（名前定義）'!$C$9</definedName>
    <definedName name="_11_A身体３．５">'_11_居宅介護（名前定義）'!$C$10</definedName>
    <definedName name="_11_A身体４．０">'_11_居宅介護（名前定義）'!$C$11</definedName>
    <definedName name="_11_A身体４．５">'_11_居宅介護（名前定義）'!$C$12</definedName>
    <definedName name="_11_A身体５．０">'_11_居宅介護（名前定義）'!$C$13</definedName>
    <definedName name="_11_A身体５．５">'_11_居宅介護（名前定義）'!$C$14</definedName>
    <definedName name="_11_A身体６．０">'_11_居宅介護（名前定義）'!$C$15</definedName>
    <definedName name="_11_A身体６．５">'_11_居宅介護（名前定義）'!$C$16</definedName>
    <definedName name="_11_A身体７．０">'_11_居宅介護（名前定義）'!$C$17</definedName>
    <definedName name="_11_A身体７．５">'_11_居宅介護（名前定義）'!$C$18</definedName>
    <definedName name="_11_A身体８．０">'_11_居宅介護（名前定義）'!$C$19</definedName>
    <definedName name="_11_A身体８．５">'_11_居宅介護（名前定義）'!$C$20</definedName>
    <definedName name="_11_A身体９．０">'_11_居宅介護（名前定義）'!$C$21</definedName>
    <definedName name="_11_A身体９．５">'_11_居宅介護（名前定義）'!$C$22</definedName>
    <definedName name="_11_A身体増０．５">'_11_居宅介護（名前定義）'!$C$25</definedName>
    <definedName name="_11_A身体増１．０">'_11_居宅介護（名前定義）'!$C$26</definedName>
    <definedName name="_11_A身体増１．５">'_11_居宅介護（名前定義）'!$C$27</definedName>
    <definedName name="_11_A身体増１０．０">'_11_居宅介護（名前定義）'!$C$44</definedName>
    <definedName name="_11_A身体増１０．５">'_11_居宅介護（名前定義）'!$C$45</definedName>
    <definedName name="_11_A身体増２．０">'_11_居宅介護（名前定義）'!$C$28</definedName>
    <definedName name="_11_A身体増２．５">'_11_居宅介護（名前定義）'!$C$29</definedName>
    <definedName name="_11_A身体増３．０">'_11_居宅介護（名前定義）'!$C$30</definedName>
    <definedName name="_11_A身体増３．５">'_11_居宅介護（名前定義）'!$C$31</definedName>
    <definedName name="_11_A身体増４．０">'_11_居宅介護（名前定義）'!$C$32</definedName>
    <definedName name="_11_A身体増４．５">'_11_居宅介護（名前定義）'!$C$33</definedName>
    <definedName name="_11_A身体増５．０">'_11_居宅介護（名前定義）'!$C$34</definedName>
    <definedName name="_11_A身体増５．５">'_11_居宅介護（名前定義）'!$C$35</definedName>
    <definedName name="_11_A身体増６．０">'_11_居宅介護（名前定義）'!$C$36</definedName>
    <definedName name="_11_A身体増６．５">'_11_居宅介護（名前定義）'!$C$37</definedName>
    <definedName name="_11_A身体増７．０">'_11_居宅介護（名前定義）'!$C$38</definedName>
    <definedName name="_11_A身体増７．５">'_11_居宅介護（名前定義）'!$C$39</definedName>
    <definedName name="_11_A身体増８．０">'_11_居宅介護（名前定義）'!$C$40</definedName>
    <definedName name="_11_A身体増８．５">'_11_居宅介護（名前定義）'!$C$41</definedName>
    <definedName name="_11_A身体増９．０">'_11_居宅介護（名前定義）'!$C$42</definedName>
    <definedName name="_11_A身体増９．５">'_11_居宅介護（名前定義）'!$C$43</definedName>
    <definedName name="_11_A通院１０．５">'_11_居宅介護（名前定義）'!$C$87</definedName>
    <definedName name="_11_A通院１１．０">'_11_居宅介護（名前定義）'!$C$88</definedName>
    <definedName name="_11_A通院１１．５">'_11_居宅介護（名前定義）'!$C$89</definedName>
    <definedName name="_11_A通院１１０．０">'_11_居宅介護（名前定義）'!$C$106</definedName>
    <definedName name="_11_A通院１１０．５">'_11_居宅介護（名前定義）'!$C$107</definedName>
    <definedName name="_11_A通院１２．０">'_11_居宅介護（名前定義）'!$C$90</definedName>
    <definedName name="_11_A通院１２．５">'_11_居宅介護（名前定義）'!$C$91</definedName>
    <definedName name="_11_A通院１３．０">'_11_居宅介護（名前定義）'!$C$92</definedName>
    <definedName name="_11_A通院１３．５">'_11_居宅介護（名前定義）'!$C$93</definedName>
    <definedName name="_11_A通院１４．０">'_11_居宅介護（名前定義）'!$C$94</definedName>
    <definedName name="_11_A通院１４．５">'_11_居宅介護（名前定義）'!$C$95</definedName>
    <definedName name="_11_A通院１５．０">'_11_居宅介護（名前定義）'!$C$96</definedName>
    <definedName name="_11_A通院１５．５">'_11_居宅介護（名前定義）'!$C$97</definedName>
    <definedName name="_11_A通院１６．０">'_11_居宅介護（名前定義）'!$C$98</definedName>
    <definedName name="_11_A通院１６．５">'_11_居宅介護（名前定義）'!$C$99</definedName>
    <definedName name="_11_A通院１７．０">'_11_居宅介護（名前定義）'!$C$100</definedName>
    <definedName name="_11_A通院１７．５">'_11_居宅介護（名前定義）'!$C$101</definedName>
    <definedName name="_11_A通院１８．０">'_11_居宅介護（名前定義）'!$C$102</definedName>
    <definedName name="_11_A通院１８．５">'_11_居宅介護（名前定義）'!$C$103</definedName>
    <definedName name="_11_A通院１９．０">'_11_居宅介護（名前定義）'!$C$104</definedName>
    <definedName name="_11_A通院１９．５">'_11_居宅介護（名前定義）'!$C$105</definedName>
    <definedName name="_11_A通院１増０．５">'_11_居宅介護（名前定義）'!$C$108</definedName>
    <definedName name="_11_A通院１増１．０">'_11_居宅介護（名前定義）'!$C$109</definedName>
    <definedName name="_11_A通院１増１．５">'_11_居宅介護（名前定義）'!$C$110</definedName>
    <definedName name="_11_A通院１増１０．０">'_11_居宅介護（名前定義）'!$C$127</definedName>
    <definedName name="_11_A通院１増１０．５">'_11_居宅介護（名前定義）'!$C$128</definedName>
    <definedName name="_11_A通院１増２．０">'_11_居宅介護（名前定義）'!$C$111</definedName>
    <definedName name="_11_A通院１増２．５">'_11_居宅介護（名前定義）'!$C$112</definedName>
    <definedName name="_11_A通院１増３．０">'_11_居宅介護（名前定義）'!$C$113</definedName>
    <definedName name="_11_A通院１増３．５">'_11_居宅介護（名前定義）'!$C$114</definedName>
    <definedName name="_11_A通院１増４．０">'_11_居宅介護（名前定義）'!$C$115</definedName>
    <definedName name="_11_A通院１増４．５">'_11_居宅介護（名前定義）'!$C$116</definedName>
    <definedName name="_11_A通院１増５．０">'_11_居宅介護（名前定義）'!$C$117</definedName>
    <definedName name="_11_A通院１増５．５">'_11_居宅介護（名前定義）'!$C$118</definedName>
    <definedName name="_11_A通院１増６．０">'_11_居宅介護（名前定義）'!$C$119</definedName>
    <definedName name="_11_A通院１増６．５">'_11_居宅介護（名前定義）'!$C$120</definedName>
    <definedName name="_11_A通院１増７．０">'_11_居宅介護（名前定義）'!$C$121</definedName>
    <definedName name="_11_A通院１増７．５">'_11_居宅介護（名前定義）'!$C$122</definedName>
    <definedName name="_11_A通院１増８．０">'_11_居宅介護（名前定義）'!$C$123</definedName>
    <definedName name="_11_A通院１増８．５">'_11_居宅介護（名前定義）'!$C$124</definedName>
    <definedName name="_11_A通院１増９．０">'_11_居宅介護（名前定義）'!$C$125</definedName>
    <definedName name="_11_A通院１増９．５">'_11_居宅介護（名前定義）'!$C$126</definedName>
    <definedName name="_11_A通院２０．５">'_11_居宅介護（名前定義）'!$C$212</definedName>
    <definedName name="_11_A通院２１．０">'_11_居宅介護（名前定義）'!$C$213</definedName>
    <definedName name="_11_A通院２１．５">'_11_居宅介護（名前定義）'!$C$214</definedName>
    <definedName name="_11_A通院２１０．０">'_11_居宅介護（名前定義）'!$C$231</definedName>
    <definedName name="_11_A通院２１０．５">'_11_居宅介護（名前定義）'!$C$232</definedName>
    <definedName name="_11_A通院２２．０">'_11_居宅介護（名前定義）'!$C$215</definedName>
    <definedName name="_11_A通院２２．５">'_11_居宅介護（名前定義）'!$C$216</definedName>
    <definedName name="_11_A通院２３．０">'_11_居宅介護（名前定義）'!$C$217</definedName>
    <definedName name="_11_A通院２３．５">'_11_居宅介護（名前定義）'!$C$218</definedName>
    <definedName name="_11_A通院２４．０">'_11_居宅介護（名前定義）'!$C$219</definedName>
    <definedName name="_11_A通院２４．５">'_11_居宅介護（名前定義）'!$C$220</definedName>
    <definedName name="_11_A通院２５．０">'_11_居宅介護（名前定義）'!$C$221</definedName>
    <definedName name="_11_A通院２５．５">'_11_居宅介護（名前定義）'!$C$222</definedName>
    <definedName name="_11_A通院２６．０">'_11_居宅介護（名前定義）'!$C$223</definedName>
    <definedName name="_11_A通院２６．５">'_11_居宅介護（名前定義）'!$C$224</definedName>
    <definedName name="_11_A通院２７．０">'_11_居宅介護（名前定義）'!$C$225</definedName>
    <definedName name="_11_A通院２７．５">'_11_居宅介護（名前定義）'!$C$226</definedName>
    <definedName name="_11_A通院２８．０">'_11_居宅介護（名前定義）'!$C$227</definedName>
    <definedName name="_11_A通院２８．５">'_11_居宅介護（名前定義）'!$C$228</definedName>
    <definedName name="_11_A通院２９．０">'_11_居宅介護（名前定義）'!$C$229</definedName>
    <definedName name="_11_A通院２９．５">'_11_居宅介護（名前定義）'!$C$230</definedName>
    <definedName name="_11_A通院２増０．５">'_11_居宅介護（名前定義）'!$C$233</definedName>
    <definedName name="_11_A通院２増１．０">'_11_居宅介護（名前定義）'!$C$234</definedName>
    <definedName name="_11_A通院２増１．５">'_11_居宅介護（名前定義）'!$C$235</definedName>
    <definedName name="_11_A通院２増１０．０">'_11_居宅介護（名前定義）'!$C$252</definedName>
    <definedName name="_11_A通院２増１０．５">'_11_居宅介護（名前定義）'!$C$253</definedName>
    <definedName name="_11_A通院２増２．０">'_11_居宅介護（名前定義）'!$C$236</definedName>
    <definedName name="_11_A通院２増２．５">'_11_居宅介護（名前定義）'!$C$237</definedName>
    <definedName name="_11_A通院２増３．０">'_11_居宅介護（名前定義）'!$C$238</definedName>
    <definedName name="_11_A通院２増３．５">'_11_居宅介護（名前定義）'!$C$239</definedName>
    <definedName name="_11_A通院２増４．０">'_11_居宅介護（名前定義）'!$C$240</definedName>
    <definedName name="_11_A通院２増４．５">'_11_居宅介護（名前定義）'!$C$241</definedName>
    <definedName name="_11_A通院２増５．０">'_11_居宅介護（名前定義）'!$C$242</definedName>
    <definedName name="_11_A通院２増５．５">'_11_居宅介護（名前定義）'!$C$243</definedName>
    <definedName name="_11_A通院２増６．０">'_11_居宅介護（名前定義）'!$C$244</definedName>
    <definedName name="_11_A通院２増６．５">'_11_居宅介護（名前定義）'!$C$245</definedName>
    <definedName name="_11_A通院２増７．０">'_11_居宅介護（名前定義）'!$C$246</definedName>
    <definedName name="_11_A通院２増７．５">'_11_居宅介護（名前定義）'!$C$247</definedName>
    <definedName name="_11_A通院２増８．０">'_11_居宅介護（名前定義）'!$C$248</definedName>
    <definedName name="_11_A通院２増８．５">'_11_居宅介護（名前定義）'!$C$249</definedName>
    <definedName name="_11_A通院２増９．０">'_11_居宅介護（名前定義）'!$C$250</definedName>
    <definedName name="_11_A通院２増９．５">'_11_居宅介護（名前定義）'!$C$251</definedName>
    <definedName name="_11_A通院乗降">'_11_居宅介護（名前定義）'!$C$381</definedName>
    <definedName name="_11_B家事０．５＿０．２５">'_11_居宅介護（名前定義）'!$C$294</definedName>
    <definedName name="_11_B家事０．５＿０．５">'_11_居宅介護（名前定義）'!$C$295</definedName>
    <definedName name="_11_B家事０．５＿０．７５">'_11_居宅介護（名前定義）'!$C$296</definedName>
    <definedName name="_11_B家事０．５＿１．０">'_11_居宅介護（名前定義）'!$C$297</definedName>
    <definedName name="_11_B家事０．７５＿０．２５">'_11_居宅介護（名前定義）'!$C$298</definedName>
    <definedName name="_11_B家事０．７５＿０．５">'_11_居宅介護（名前定義）'!$C$299</definedName>
    <definedName name="_11_B家事０．７５＿０．７５">'_11_居宅介護（名前定義）'!$C$300</definedName>
    <definedName name="_11_B家事１．０＿０．２５">'_11_居宅介護（名前定義）'!$C$301</definedName>
    <definedName name="_11_B家事１．０＿０．５">'_11_居宅介護（名前定義）'!$C$302</definedName>
    <definedName name="_11_B家事１．２５＿０．２５">'_11_居宅介護（名前定義）'!$C$303</definedName>
    <definedName name="_11_B重度研修１．０＿０．５">'_11_居宅介護（名前定義）'!$C$284</definedName>
    <definedName name="_11_B重度研修１．０＿１．０">'_11_居宅介護（名前定義）'!$C$285</definedName>
    <definedName name="_11_B重度研修１．０＿１．５">'_11_居宅介護（名前定義）'!$C$286</definedName>
    <definedName name="_11_B重度研修１．０＿２．０">'_11_居宅介護（名前定義）'!$C$287</definedName>
    <definedName name="_11_B重度研修１．５＿０．５">'_11_居宅介護（名前定義）'!$C$288</definedName>
    <definedName name="_11_B重度研修１．５＿１．０">'_11_居宅介護（名前定義）'!$C$289</definedName>
    <definedName name="_11_B重度研修１．５＿１．５">'_11_居宅介護（名前定義）'!$C$290</definedName>
    <definedName name="_11_B重度研修２．０＿０．５">'_11_居宅介護（名前定義）'!$C$291</definedName>
    <definedName name="_11_B重度研修２．０＿１．０">'_11_居宅介護（名前定義）'!$C$292</definedName>
    <definedName name="_11_B重度研修２．５＿０．５">'_11_居宅介護（名前定義）'!$C$293</definedName>
    <definedName name="_11_B身体０．５＿０．５">'_11_居宅介護（名前定義）'!$C$254</definedName>
    <definedName name="_11_B身体０．５＿１．０">'_11_居宅介護（名前定義）'!$C$255</definedName>
    <definedName name="_11_B身体０．５＿１．５">'_11_居宅介護（名前定義）'!$C$256</definedName>
    <definedName name="_11_B身体０．５＿２．０">'_11_居宅介護（名前定義）'!$C$257</definedName>
    <definedName name="_11_B身体０．５＿２．５">'_11_居宅介護（名前定義）'!$C$258</definedName>
    <definedName name="_11_B身体１．０＿０．５">'_11_居宅介護（名前定義）'!$C$259</definedName>
    <definedName name="_11_B身体１．０＿１．０">'_11_居宅介護（名前定義）'!$C$260</definedName>
    <definedName name="_11_B身体１．０＿１．５">'_11_居宅介護（名前定義）'!$C$261</definedName>
    <definedName name="_11_B身体１．０＿２．０">'_11_居宅介護（名前定義）'!$C$262</definedName>
    <definedName name="_11_B身体１．５＿０．５">'_11_居宅介護（名前定義）'!$C$263</definedName>
    <definedName name="_11_B身体１．５＿１．０">'_11_居宅介護（名前定義）'!$C$264</definedName>
    <definedName name="_11_B身体１．５＿１．５">'_11_居宅介護（名前定義）'!$C$265</definedName>
    <definedName name="_11_B身体２．０＿０．５">'_11_居宅介護（名前定義）'!$C$266</definedName>
    <definedName name="_11_B身体２．０＿１．０">'_11_居宅介護（名前定義）'!$C$267</definedName>
    <definedName name="_11_B身体２．５＿０．５">'_11_居宅介護（名前定義）'!$C$268</definedName>
    <definedName name="_11_B通院１０．５＿０．５">'_11_居宅介護（名前定義）'!$C$269</definedName>
    <definedName name="_11_B通院１０．５＿１．０">'_11_居宅介護（名前定義）'!$C$270</definedName>
    <definedName name="_11_B通院１０．５＿１．５">'_11_居宅介護（名前定義）'!$C$271</definedName>
    <definedName name="_11_B通院１０．５＿２．０">'_11_居宅介護（名前定義）'!$C$272</definedName>
    <definedName name="_11_B通院１０．５＿２．５">'_11_居宅介護（名前定義）'!$C$273</definedName>
    <definedName name="_11_B通院１１．０＿０．５">'_11_居宅介護（名前定義）'!$C$274</definedName>
    <definedName name="_11_B通院１１．０＿１．０">'_11_居宅介護（名前定義）'!$C$275</definedName>
    <definedName name="_11_B通院１１．０＿１．５">'_11_居宅介護（名前定義）'!$C$276</definedName>
    <definedName name="_11_B通院１１．０＿２．０">'_11_居宅介護（名前定義）'!$C$277</definedName>
    <definedName name="_11_B通院１１．５＿０．５">'_11_居宅介護（名前定義）'!$C$278</definedName>
    <definedName name="_11_B通院１１．５＿１．０">'_11_居宅介護（名前定義）'!$C$279</definedName>
    <definedName name="_11_B通院１１．５＿１．５">'_11_居宅介護（名前定義）'!$C$280</definedName>
    <definedName name="_11_B通院１２．０＿０．５">'_11_居宅介護（名前定義）'!$C$281</definedName>
    <definedName name="_11_B通院１２．０＿１．０">'_11_居宅介護（名前定義）'!$C$282</definedName>
    <definedName name="_11_B通院１２．５＿０．５">'_11_居宅介護（名前定義）'!$C$283</definedName>
    <definedName name="_11_B通院２０．５＿０．５">'_11_居宅介護（名前定義）'!$C$304</definedName>
    <definedName name="_11_B通院２０．５＿１．０">'_11_居宅介護（名前定義）'!$C$305</definedName>
    <definedName name="_11_B通院２１．０＿０．５">'_11_居宅介護（名前定義）'!$C$306</definedName>
    <definedName name="_11_C家事０．５＿０．２５＿０．２５">'_11_居宅介護（名前定義）'!$C$357</definedName>
    <definedName name="_11_C家事０．５＿０．２５＿０．５">'_11_居宅介護（名前定義）'!$C$358</definedName>
    <definedName name="_11_C家事０．５＿０．２５＿０．７５">'_11_居宅介護（名前定義）'!$C$359</definedName>
    <definedName name="_11_C家事０．５＿０．５＿０．２５">'_11_居宅介護（名前定義）'!$C$360</definedName>
    <definedName name="_11_C家事０．５＿０．５＿０．５">'_11_居宅介護（名前定義）'!$C$361</definedName>
    <definedName name="_11_C家事０．５＿０．７５＿０．２５">'_11_居宅介護（名前定義）'!$C$362</definedName>
    <definedName name="_11_C家事０．７５＿０．２５＿０．２５">'_11_居宅介護（名前定義）'!$C$363</definedName>
    <definedName name="_11_C家事０．７５＿０．２５＿０．５">'_11_居宅介護（名前定義）'!$C$364</definedName>
    <definedName name="_11_C家事０．７５＿０．５＿０．２５">'_11_居宅介護（名前定義）'!$C$365</definedName>
    <definedName name="_11_C家事１．０＿０．２５＿０．２５">'_11_居宅介護（名前定義）'!$C$366</definedName>
    <definedName name="_11_C重度研修１．０＿０．５＿０．５">'_11_居宅介護（名前定義）'!$C$347</definedName>
    <definedName name="_11_C重度研修１．０＿０．５＿１．０">'_11_居宅介護（名前定義）'!$C$348</definedName>
    <definedName name="_11_C重度研修１．０＿０．５＿１．５">'_11_居宅介護（名前定義）'!$C$349</definedName>
    <definedName name="_11_C重度研修１．０＿１．０＿０．５">'_11_居宅介護（名前定義）'!$C$350</definedName>
    <definedName name="_11_C重度研修１．０＿１．０＿１．０">'_11_居宅介護（名前定義）'!$C$351</definedName>
    <definedName name="_11_C重度研修１．０＿１．５＿０．５">'_11_居宅介護（名前定義）'!$C$352</definedName>
    <definedName name="_11_C重度研修１．５＿０．５＿０．５">'_11_居宅介護（名前定義）'!$C$353</definedName>
    <definedName name="_11_C重度研修１．５＿０．５＿１．０">'_11_居宅介護（名前定義）'!$C$354</definedName>
    <definedName name="_11_C重度研修１．５＿１．０＿０．５">'_11_居宅介護（名前定義）'!$C$355</definedName>
    <definedName name="_11_C重度研修２．０＿０．５＿０．５">'_11_居宅介護（名前定義）'!$C$356</definedName>
    <definedName name="_11_C身体０．５＿０．５＿０．５">'_11_居宅介護（名前定義）'!$C$307</definedName>
    <definedName name="_11_C身体０．５＿０．５＿１．０">'_11_居宅介護（名前定義）'!$C$308</definedName>
    <definedName name="_11_C身体０．５＿０．５＿１．５">'_11_居宅介護（名前定義）'!$C$309</definedName>
    <definedName name="_11_C身体０．５＿０．５＿２．０">'_11_居宅介護（名前定義）'!$C$310</definedName>
    <definedName name="_11_C身体０．５＿１．０＿０．５">'_11_居宅介護（名前定義）'!$C$311</definedName>
    <definedName name="_11_C身体０．５＿１．０＿１．０">'_11_居宅介護（名前定義）'!$C$312</definedName>
    <definedName name="_11_C身体０．５＿１．０＿１．５">'_11_居宅介護（名前定義）'!$C$313</definedName>
    <definedName name="_11_C身体０．５＿１．５＿０．５">'_11_居宅介護（名前定義）'!$C$314</definedName>
    <definedName name="_11_C身体０．５＿１．５＿１．０">'_11_居宅介護（名前定義）'!$C$315</definedName>
    <definedName name="_11_C身体０．５＿２．０＿０．５">'_11_居宅介護（名前定義）'!$C$316</definedName>
    <definedName name="_11_C身体１．０＿０．５＿０．５">'_11_居宅介護（名前定義）'!$C$317</definedName>
    <definedName name="_11_C身体１．０＿０．５＿１．０">'_11_居宅介護（名前定義）'!$C$318</definedName>
    <definedName name="_11_C身体１．０＿０．５＿１．５">'_11_居宅介護（名前定義）'!$C$319</definedName>
    <definedName name="_11_C身体１．０＿１．０＿０．５">'_11_居宅介護（名前定義）'!$C$320</definedName>
    <definedName name="_11_C身体１．０＿１．０＿１．０">'_11_居宅介護（名前定義）'!$C$321</definedName>
    <definedName name="_11_C身体１．０＿１．５＿０．５">'_11_居宅介護（名前定義）'!$C$322</definedName>
    <definedName name="_11_C身体１．５＿０．５＿０．５">'_11_居宅介護（名前定義）'!$C$323</definedName>
    <definedName name="_11_C身体１．５＿０．５＿１．０">'_11_居宅介護（名前定義）'!$C$324</definedName>
    <definedName name="_11_C身体１．５＿１．０＿０．５">'_11_居宅介護（名前定義）'!$C$325</definedName>
    <definedName name="_11_C身体２．０＿０．５＿０．５">'_11_居宅介護（名前定義）'!$C$326</definedName>
    <definedName name="_11_C通院１０．５＿０．５＿０．５">'_11_居宅介護（名前定義）'!$C$327</definedName>
    <definedName name="_11_C通院１０．５＿０．５＿１．０">'_11_居宅介護（名前定義）'!$C$328</definedName>
    <definedName name="_11_C通院１０．５＿０．５＿１．５">'_11_居宅介護（名前定義）'!$C$329</definedName>
    <definedName name="_11_C通院１０．５＿０．５＿２．０">'_11_居宅介護（名前定義）'!$C$330</definedName>
    <definedName name="_11_C通院１０．５＿１．０＿０．５">'_11_居宅介護（名前定義）'!$C$331</definedName>
    <definedName name="_11_C通院１０．５＿１．０＿１．０">'_11_居宅介護（名前定義）'!$C$332</definedName>
    <definedName name="_11_C通院１０．５＿１．０＿１．５">'_11_居宅介護（名前定義）'!$C$333</definedName>
    <definedName name="_11_C通院１０．５＿１．５＿０．５">'_11_居宅介護（名前定義）'!$C$334</definedName>
    <definedName name="_11_C通院１０．５＿１．５＿１．０">'_11_居宅介護（名前定義）'!$C$335</definedName>
    <definedName name="_11_C通院１０．５＿２．０＿０．５">'_11_居宅介護（名前定義）'!$C$336</definedName>
    <definedName name="_11_C通院１１．０＿０．５＿０．５">'_11_居宅介護（名前定義）'!$C$337</definedName>
    <definedName name="_11_C通院１１．０＿０．５＿１．０">'_11_居宅介護（名前定義）'!$C$338</definedName>
    <definedName name="_11_C通院１１．０＿０．５＿１．５">'_11_居宅介護（名前定義）'!$C$339</definedName>
    <definedName name="_11_C通院１１．０＿１．０＿０．５">'_11_居宅介護（名前定義）'!$C$340</definedName>
    <definedName name="_11_C通院１１．０＿１．０＿１．０">'_11_居宅介護（名前定義）'!$C$341</definedName>
    <definedName name="_11_C通院１１．０＿１．５＿０．５">'_11_居宅介護（名前定義）'!$C$342</definedName>
    <definedName name="_11_C通院１１．５＿０．５＿０．５">'_11_居宅介護（名前定義）'!$C$343</definedName>
    <definedName name="_11_C通院１１．５＿０．５＿１．０">'_11_居宅介護（名前定義）'!$C$344</definedName>
    <definedName name="_11_C通院１１．５＿１．０＿０．５">'_11_居宅介護（名前定義）'!$C$345</definedName>
    <definedName name="_11_C通院１２．０＿０．５＿０．５">'_11_居宅介護（名前定義）'!$C$346</definedName>
    <definedName name="_11_C通院２０．５＿０．５＿０．５">'_11_居宅介護（名前定義）'!$C$367</definedName>
    <definedName name="_11・２人">'_11_居宅介護（名前定義）'!$C$368</definedName>
    <definedName name="_11・A深夜">'_11_居宅介護（名前定義）'!$C$369</definedName>
    <definedName name="_11・A早朝">'_11_居宅介護（名前定義）'!$C$370</definedName>
    <definedName name="_11・A夜間">'_11_居宅介護（名前定義）'!$C$371</definedName>
    <definedName name="_11・B深夜">'_11_居宅介護（名前定義）'!$C$372</definedName>
    <definedName name="_11・B早朝">'_11_居宅介護（名前定義）'!$C$373</definedName>
    <definedName name="_11・B夜間">'_11_居宅介護（名前定義）'!$C$374</definedName>
    <definedName name="_11・C深夜">'_11_居宅介護（名前定義）'!$C$375</definedName>
    <definedName name="_11・C夜間">'_11_居宅介護（名前定義）'!$C$376</definedName>
    <definedName name="_11・基礎１">'_11_居宅介護（名前定義）'!$C$377</definedName>
    <definedName name="_11・基礎２">'_11_居宅介護（名前定義）'!$C$378</definedName>
    <definedName name="_11・重度研修">'_11_居宅介護（名前定義）'!$C$379</definedName>
    <definedName name="_11・初任">'_11_居宅介護（名前定義）'!$C$380</definedName>
    <definedName name="_11・同建１">'_11_居宅介護（名前定義）'!#REF!</definedName>
    <definedName name="_11・同建２">'_11_居宅介護（名前定義）'!#REF!</definedName>
    <definedName name="_15_同援日０．５">'_15_同行援護（名前定義）'!$C$4</definedName>
    <definedName name="_15_同援日０．５＿０．５">'_15_同行援護（名前定義）'!$C$46</definedName>
    <definedName name="_15_同援日０．５＿０．５＿０．５">'_15_同行援護（名前定義）'!$C$61</definedName>
    <definedName name="_15_同援日０．５＿０．５＿１．０">'_15_同行援護（名前定義）'!$C$62</definedName>
    <definedName name="_15_同援日０．５＿０．５＿１．５">'_15_同行援護（名前定義）'!$C$63</definedName>
    <definedName name="_15_同援日０．５＿０．５＿２．０">'_15_同行援護（名前定義）'!$C$64</definedName>
    <definedName name="_15_同援日０．５＿１．０">'_15_同行援護（名前定義）'!$C$47</definedName>
    <definedName name="_15_同援日０．５＿１．０＿０．５">'_15_同行援護（名前定義）'!$C$65</definedName>
    <definedName name="_15_同援日０．５＿１．０＿１．０">'_15_同行援護（名前定義）'!$C$66</definedName>
    <definedName name="_15_同援日０．５＿１．０＿１．５">'_15_同行援護（名前定義）'!$C$67</definedName>
    <definedName name="_15_同援日０．５＿１．５">'_15_同行援護（名前定義）'!$C$48</definedName>
    <definedName name="_15_同援日０．５＿１．５＿０．５">'_15_同行援護（名前定義）'!$C$68</definedName>
    <definedName name="_15_同援日０．５＿１．５＿１．０">'_15_同行援護（名前定義）'!$C$69</definedName>
    <definedName name="_15_同援日０．５＿２．０">'_15_同行援護（名前定義）'!$C$49</definedName>
    <definedName name="_15_同援日０．５＿２．０＿０．５">'_15_同行援護（名前定義）'!$C$70</definedName>
    <definedName name="_15_同援日０．５＿２．５">'_15_同行援護（名前定義）'!$C$50</definedName>
    <definedName name="_15_同援日１．０">'_15_同行援護（名前定義）'!$C$5</definedName>
    <definedName name="_15_同援日１．０＿０．５">'_15_同行援護（名前定義）'!$C$51</definedName>
    <definedName name="_15_同援日１．０＿０．５＿０．５">'_15_同行援護（名前定義）'!$C$71</definedName>
    <definedName name="_15_同援日１．０＿０．５＿１．０">'_15_同行援護（名前定義）'!$C$72</definedName>
    <definedName name="_15_同援日１．０＿０．５＿１．５">'_15_同行援護（名前定義）'!$C$73</definedName>
    <definedName name="_15_同援日１．０＿１．０">'_15_同行援護（名前定義）'!$C$52</definedName>
    <definedName name="_15_同援日１．０＿１．０＿０．５">'_15_同行援護（名前定義）'!$C$74</definedName>
    <definedName name="_15_同援日１．０＿１．０＿１．０">'_15_同行援護（名前定義）'!$C$75</definedName>
    <definedName name="_15_同援日１．０＿１．５">'_15_同行援護（名前定義）'!$C$53</definedName>
    <definedName name="_15_同援日１．０＿１．５＿０．５">'_15_同行援護（名前定義）'!$C$76</definedName>
    <definedName name="_15_同援日１．０＿２．０">'_15_同行援護（名前定義）'!$C$54</definedName>
    <definedName name="_15_同援日１．５">'_15_同行援護（名前定義）'!$C$6</definedName>
    <definedName name="_15_同援日１．５＿０．５">'_15_同行援護（名前定義）'!$C$55</definedName>
    <definedName name="_15_同援日１．５＿０．５＿０．５">'_15_同行援護（名前定義）'!$C$77</definedName>
    <definedName name="_15_同援日１．５＿０．５＿１．０">'_15_同行援護（名前定義）'!$C$78</definedName>
    <definedName name="_15_同援日１．５＿１．０">'_15_同行援護（名前定義）'!$C$56</definedName>
    <definedName name="_15_同援日１．５＿１．０＿０．５">'_15_同行援護（名前定義）'!$C$79</definedName>
    <definedName name="_15_同援日１．５＿１．５">'_15_同行援護（名前定義）'!$C$57</definedName>
    <definedName name="_15_同援日１０．０">'_15_同行援護（名前定義）'!$C$23</definedName>
    <definedName name="_15_同援日１０．５">'_15_同行援護（名前定義）'!$C$24</definedName>
    <definedName name="_15_同援日２．０">'_15_同行援護（名前定義）'!$C$7</definedName>
    <definedName name="_15_同援日２．０＿０．５">'_15_同行援護（名前定義）'!$C$58</definedName>
    <definedName name="_15_同援日２．０＿０．５＿０．５">'_15_同行援護（名前定義）'!$C$80</definedName>
    <definedName name="_15_同援日２．０＿１．０">'_15_同行援護（名前定義）'!$C$59</definedName>
    <definedName name="_15_同援日２．５">'_15_同行援護（名前定義）'!$C$8</definedName>
    <definedName name="_15_同援日２．５＿０．５">'_15_同行援護（名前定義）'!$C$60</definedName>
    <definedName name="_15_同援日３．０">'_15_同行援護（名前定義）'!$C$9</definedName>
    <definedName name="_15_同援日３．５">'_15_同行援護（名前定義）'!$C$10</definedName>
    <definedName name="_15_同援日４．０">'_15_同行援護（名前定義）'!$C$11</definedName>
    <definedName name="_15_同援日４．５">'_15_同行援護（名前定義）'!$C$12</definedName>
    <definedName name="_15_同援日５．０">'_15_同行援護（名前定義）'!$C$13</definedName>
    <definedName name="_15_同援日５．５">'_15_同行援護（名前定義）'!$C$14</definedName>
    <definedName name="_15_同援日６．０">'_15_同行援護（名前定義）'!$C$15</definedName>
    <definedName name="_15_同援日６．５">'_15_同行援護（名前定義）'!$C$16</definedName>
    <definedName name="_15_同援日７．０">'_15_同行援護（名前定義）'!$C$17</definedName>
    <definedName name="_15_同援日７．５">'_15_同行援護（名前定義）'!$C$18</definedName>
    <definedName name="_15_同援日８．０">'_15_同行援護（名前定義）'!$C$19</definedName>
    <definedName name="_15_同援日８．５">'_15_同行援護（名前定義）'!$C$20</definedName>
    <definedName name="_15_同援日９．０">'_15_同行援護（名前定義）'!$C$21</definedName>
    <definedName name="_15_同援日９．５">'_15_同行援護（名前定義）'!$C$22</definedName>
    <definedName name="_15_同援日増０．５">'_15_同行援護（名前定義）'!$C$25</definedName>
    <definedName name="_15_同援日増１．０">'_15_同行援護（名前定義）'!$C$26</definedName>
    <definedName name="_15_同援日増１．５">'_15_同行援護（名前定義）'!$C$27</definedName>
    <definedName name="_15_同援日増１０．０">'_15_同行援護（名前定義）'!$C$44</definedName>
    <definedName name="_15_同援日増１０．５">'_15_同行援護（名前定義）'!$C$45</definedName>
    <definedName name="_15_同援日増２．０">'_15_同行援護（名前定義）'!$C$28</definedName>
    <definedName name="_15_同援日増２．５">'_15_同行援護（名前定義）'!$C$29</definedName>
    <definedName name="_15_同援日増３．０">'_15_同行援護（名前定義）'!$C$30</definedName>
    <definedName name="_15_同援日増３．５">'_15_同行援護（名前定義）'!$C$31</definedName>
    <definedName name="_15_同援日増４．０">'_15_同行援護（名前定義）'!$C$32</definedName>
    <definedName name="_15_同援日増４．５">'_15_同行援護（名前定義）'!$C$33</definedName>
    <definedName name="_15_同援日増５．０">'_15_同行援護（名前定義）'!$C$34</definedName>
    <definedName name="_15_同援日増５．５">'_15_同行援護（名前定義）'!$C$35</definedName>
    <definedName name="_15_同援日増６．０">'_15_同行援護（名前定義）'!$C$36</definedName>
    <definedName name="_15_同援日増６．５">'_15_同行援護（名前定義）'!$C$37</definedName>
    <definedName name="_15_同援日増７．０">'_15_同行援護（名前定義）'!$C$38</definedName>
    <definedName name="_15_同援日増７．５">'_15_同行援護（名前定義）'!$C$39</definedName>
    <definedName name="_15_同援日増８．０">'_15_同行援護（名前定義）'!$C$40</definedName>
    <definedName name="_15_同援日増８．５">'_15_同行援護（名前定義）'!$C$41</definedName>
    <definedName name="_15_同援日増９．０">'_15_同行援護（名前定義）'!$C$42</definedName>
    <definedName name="_15_同援日増９．５">'_15_同行援護（名前定義）'!$C$43</definedName>
    <definedName name="_15・２人">'_15_同行援護（名前定義）'!$C$83</definedName>
    <definedName name="_15・A深夜">'_15_同行援護（名前定義）'!$C$84</definedName>
    <definedName name="_15・A早朝">'_15_同行援護（名前定義）'!$C$85</definedName>
    <definedName name="_15・A夜間">'_15_同行援護（名前定義）'!$C$86</definedName>
    <definedName name="_15・B深夜">'_15_同行援護（名前定義）'!$C$87</definedName>
    <definedName name="_15・B早朝">'_15_同行援護（名前定義）'!$C$88</definedName>
    <definedName name="_15・B夜間">'_15_同行援護（名前定義）'!$C$89</definedName>
    <definedName name="_15・C深夜">'_15_同行援護（名前定義）'!$C$90</definedName>
    <definedName name="_15・C夜間">'_15_同行援護（名前定義）'!$C$91</definedName>
    <definedName name="_15・基礎２">'_15_同行援護（名前定義）'!$C$81</definedName>
    <definedName name="_15・区３">'_15_同行援護（名前定義）'!$C$93</definedName>
    <definedName name="_15・区４">'_15_同行援護（名前定義）'!$C$94</definedName>
    <definedName name="_15・通訳">'_15_同行援護（名前定義）'!$C$82</definedName>
    <definedName name="_15・盲ろう">'_15_同行援護（名前定義）'!$C$92</definedName>
    <definedName name="_xlnm._FilterDatabase" localSheetId="0" hidden="1">'_11_居宅介護（名前定義）'!$A$3:$B$380</definedName>
    <definedName name="_xlnm._FilterDatabase" localSheetId="110" hidden="1">'_15_同行援護（名前定義）'!$A$3:$B$94</definedName>
    <definedName name="_xlnm._FilterDatabase" localSheetId="64" hidden="1">'1居宅介護(家援、2h未合成１-1)'!$A$1:$Y$89</definedName>
    <definedName name="_xlnm._FilterDatabase" localSheetId="65" hidden="1">'1居宅介護(家援、2h未合成１-2)'!$A$1:$T$89</definedName>
    <definedName name="_xlnm._FilterDatabase" localSheetId="66" hidden="1">'1居宅介護(家援、2h未合成１-3)'!$A$1:$Y$88</definedName>
    <definedName name="_xlnm._FilterDatabase" localSheetId="59" hidden="1">'1居宅介護(家援、合成１-1)'!$A$1:$W$89</definedName>
    <definedName name="_xlnm._FilterDatabase" localSheetId="60" hidden="1">'1居宅介護(家援、合成１-2)'!$A$1:$T$89</definedName>
    <definedName name="_xlnm._FilterDatabase" localSheetId="61" hidden="1">'1居宅介護(家援、合成１-3)'!$A$1:$T$88</definedName>
    <definedName name="_xlnm._FilterDatabase" localSheetId="62" hidden="1">'1居宅介護(家援、合成２‐1)'!$A$1:$Y$88</definedName>
    <definedName name="_xlnm._FilterDatabase" localSheetId="63" hidden="1">'1居宅介護(家援、合成２‐2)'!$A$1:$V$88</definedName>
    <definedName name="_xlnm._FilterDatabase" localSheetId="69" hidden="1">'1居宅介護(家援、深夜増分)'!$A$1:$R$216</definedName>
    <definedName name="_xlnm._FilterDatabase" localSheetId="68" hidden="1">'1居宅介護(家援、早朝夜間増分)'!$A$1:$R$237</definedName>
    <definedName name="_xlnm._FilterDatabase" localSheetId="58" hidden="1">'1居宅介護(家援、単一深夜)'!$A$1:$R$208</definedName>
    <definedName name="_xlnm._FilterDatabase" localSheetId="57" hidden="1">'1居宅介護(家援、単一早朝夜間)'!$A$1:$R$221</definedName>
    <definedName name="_xlnm._FilterDatabase" localSheetId="56" hidden="1">'1居宅介護(家援、単一日中)'!$A$1:$O$336</definedName>
    <definedName name="_xlnm._FilterDatabase" localSheetId="67" hidden="1">'1居宅介護(家援、日中増分)'!$A$1:$O$344</definedName>
    <definedName name="_xlnm._FilterDatabase" localSheetId="78" hidden="1">'1居宅介護(家援重度、2h未合成１‐1)'!$A$1:$Z$49</definedName>
    <definedName name="_xlnm._FilterDatabase" localSheetId="79" hidden="1">'1居宅介護(家援重度、2h未合成１-2)'!$A$1:$U$49</definedName>
    <definedName name="_xlnm._FilterDatabase" localSheetId="80" hidden="1">'1居宅介護(家援重度、2h未合成１-3)'!$A$1:$Z$48</definedName>
    <definedName name="_xlnm._FilterDatabase" localSheetId="73" hidden="1">'1居宅介護(家援重度、合成１‐1)'!$A$1:$X$49</definedName>
    <definedName name="_xlnm._FilterDatabase" localSheetId="74" hidden="1">'1居宅介護(家援重度、合成１‐2)'!$A$1:$U$49</definedName>
    <definedName name="_xlnm._FilterDatabase" localSheetId="75" hidden="1">'1居宅介護(家援重度、合成１-3)'!$A$1:$U$48</definedName>
    <definedName name="_xlnm._FilterDatabase" localSheetId="76" hidden="1">'1居宅介護(家援重度、合成２-1)'!$A$1:$Z$49</definedName>
    <definedName name="_xlnm._FilterDatabase" localSheetId="77" hidden="1">'1居宅介護(家援重度、合成２-2)'!$A$1:$W$48</definedName>
    <definedName name="_xlnm._FilterDatabase" localSheetId="83" hidden="1">'1居宅介護(家援重度、深夜増分)'!$A$1:$S$112</definedName>
    <definedName name="_xlnm._FilterDatabase" localSheetId="82" hidden="1">'1居宅介護(家援重度、早朝夜間増分)'!$A$1:$S$125</definedName>
    <definedName name="_xlnm._FilterDatabase" localSheetId="72" hidden="1">'1居宅介護(家援重度、単一深夜)'!$A$1:$S$108</definedName>
    <definedName name="_xlnm._FilterDatabase" localSheetId="71" hidden="1">'1居宅介護(家援重度、単一早朝夜間)'!$A$1:$S$117</definedName>
    <definedName name="_xlnm._FilterDatabase" localSheetId="70" hidden="1">'1居宅介護(家援重度、単一日中)'!$A$1:$P$172</definedName>
    <definedName name="_xlnm._FilterDatabase" localSheetId="81" hidden="1">'1居宅介護(家援重度、日中増分)'!$A$1:$P$176</definedName>
    <definedName name="_xlnm._FilterDatabase" localSheetId="11" hidden="1">'1居宅介護(身介、2h未合成１)'!$A$1:$Y$160</definedName>
    <definedName name="_xlnm._FilterDatabase" localSheetId="12" hidden="1">'1居宅介護(身介、2h未合成２)'!$A$1:$T$128</definedName>
    <definedName name="_xlnm._FilterDatabase" localSheetId="13" hidden="1">'1居宅介護(身介、2h未合成３)'!$A$1:$AC$181</definedName>
    <definedName name="_xlnm._FilterDatabase" localSheetId="6" hidden="1">'1居宅介護(身介、合成深夜)'!$A$1:$W$128</definedName>
    <definedName name="_xlnm._FilterDatabase" localSheetId="7" hidden="1">'1居宅介護(身介、合成早朝)'!$A$1:$T$128</definedName>
    <definedName name="_xlnm._FilterDatabase" localSheetId="8" hidden="1">'1居宅介護(身介、合成日中)'!$A$1:$Y$141</definedName>
    <definedName name="_xlnm._FilterDatabase" localSheetId="9" hidden="1">'1居宅介護(身介、合成夜間１)'!$A$1:$W$128</definedName>
    <definedName name="_xlnm._FilterDatabase" localSheetId="10" hidden="1">'1居宅介護(身介、合成夜間２)'!$A$1:$V$128</definedName>
    <definedName name="_xlnm._FilterDatabase" localSheetId="16" hidden="1">'1居宅介護(身介、深夜増分)'!$A$1:$R$112</definedName>
    <definedName name="_xlnm._FilterDatabase" localSheetId="15" hidden="1">'1居宅介護(身介、早朝夜間増分)'!$A$1:$R$125</definedName>
    <definedName name="_xlnm._FilterDatabase" localSheetId="5" hidden="1">'1居宅介護(身介、単一深夜)'!$A$1:$R$112</definedName>
    <definedName name="_xlnm._FilterDatabase" localSheetId="4" hidden="1">'1居宅介護(身介、単一早朝夜間)'!$A$1:$R$125</definedName>
    <definedName name="_xlnm._FilterDatabase" localSheetId="3" hidden="1">'1居宅介護(身介、単一日中)'!$A$1:$O$176</definedName>
    <definedName name="_xlnm._FilterDatabase" localSheetId="14" hidden="1">'1居宅介護(身介、日中増分)'!$A$1:$O$176</definedName>
    <definedName name="_xlnm._FilterDatabase" localSheetId="19" hidden="1">'1居宅介護(身介重度、合成１-1)'!$A$1:$W$47</definedName>
    <definedName name="_xlnm._FilterDatabase" localSheetId="20" hidden="1">'1居宅介護(身介重度、合成１-2)'!$A$1:$T$47</definedName>
    <definedName name="_xlnm._FilterDatabase" localSheetId="21" hidden="1">'1居宅介護(身介重度、合成１-3)'!$A$1:$T$47</definedName>
    <definedName name="_xlnm._FilterDatabase" localSheetId="22" hidden="1">'1居宅介護(身介重度、合成１-4)'!$A$1:$W$47</definedName>
    <definedName name="_xlnm._FilterDatabase" localSheetId="23" hidden="1">'1居宅介護(身介重度、合成１-5)'!$A$1:$T$47</definedName>
    <definedName name="_xlnm._FilterDatabase" localSheetId="24" hidden="1">'1居宅介護(身介重度、合成１-6)'!$A$1:$T$47</definedName>
    <definedName name="_xlnm._FilterDatabase" localSheetId="25" hidden="1">'1居宅介護(身介重度、合成１-7)'!$A$1:$Y$47</definedName>
    <definedName name="_xlnm._FilterDatabase" localSheetId="26" hidden="1">'1居宅介護(身介重度、合成１-8)'!$A$1:$Y$48</definedName>
    <definedName name="_xlnm._FilterDatabase" localSheetId="18" hidden="1">'1居宅介護(身介重度、単一深夜)'!$A$1:$P$56</definedName>
    <definedName name="_xlnm._FilterDatabase" localSheetId="17" hidden="1">'1居宅介護(身介重度、単一日中・早朝・夜間)'!$A$1:$P$146</definedName>
    <definedName name="_xlnm._FilterDatabase" localSheetId="27" hidden="1">'1居宅介護(身介重度、日中早朝増分)'!$A$1:$P$117</definedName>
    <definedName name="_xlnm._FilterDatabase" localSheetId="28" hidden="1">'1居宅介護(身介重度、夜間深夜増分)'!$A$1:$P$101</definedName>
    <definedName name="_xlnm._FilterDatabase" localSheetId="101" hidden="1">'1居宅介護(単独加算)'!$A$1:$J$32</definedName>
    <definedName name="_xlnm._FilterDatabase" localSheetId="89" hidden="1">'1居宅介護(通院家援、2h未合成１)'!$A$1:$Y$58</definedName>
    <definedName name="_xlnm._FilterDatabase" localSheetId="87" hidden="1">'1居宅介護(通院家援、合成１)'!$A$1:$W$90</definedName>
    <definedName name="_xlnm._FilterDatabase" localSheetId="88" hidden="1">'1居宅介護(通院家援、合成２)'!$A$1:$Y$61</definedName>
    <definedName name="_xlnm._FilterDatabase" localSheetId="92" hidden="1">'1居宅介護(通院家援、深夜増分)'!$A$1:$R$112</definedName>
    <definedName name="_xlnm._FilterDatabase" localSheetId="91" hidden="1">'1居宅介護(通院家援、早朝夜間増分)'!$A$1:$R$125</definedName>
    <definedName name="_xlnm._FilterDatabase" localSheetId="86" hidden="1">'1居宅介護(通院家援、単一深夜)'!$A$1:$R$112</definedName>
    <definedName name="_xlnm._FilterDatabase" localSheetId="85" hidden="1">'1居宅介護(通院家援、単一早朝夜間)'!$A$1:$R$125</definedName>
    <definedName name="_xlnm._FilterDatabase" localSheetId="84" hidden="1">'1居宅介護(通院家援、単一日中)'!$A$1:$O$176</definedName>
    <definedName name="_xlnm._FilterDatabase" localSheetId="90" hidden="1">'1居宅介護(通院家援、日中増分)'!$A$1:$O$176</definedName>
    <definedName name="_xlnm._FilterDatabase" localSheetId="96" hidden="1">'1居宅介護(通院家援重度、2h未合成１)'!$A$1:$Y$38</definedName>
    <definedName name="_xlnm._FilterDatabase" localSheetId="95" hidden="1">'1居宅介護(通院家援重度、合成)'!$A$1:$Y$88</definedName>
    <definedName name="_xlnm._FilterDatabase" localSheetId="98" hidden="1">'1居宅介護(通院家援重度、早朝夜間深夜増分)'!$A$1:$R$126</definedName>
    <definedName name="_xlnm._FilterDatabase" localSheetId="94" hidden="1">'1居宅介護(通院家援重度、単一早朝夜間深夜)'!$A$1:$R$126</definedName>
    <definedName name="_xlnm._FilterDatabase" localSheetId="93" hidden="1">'1居宅介護(通院家援重度、単一日中)'!$A$1:$O$92</definedName>
    <definedName name="_xlnm._FilterDatabase" localSheetId="97" hidden="1">'1居宅介護(通院家援重度、日中増分)'!$A$1:$O$92</definedName>
    <definedName name="_xlnm._FilterDatabase" localSheetId="46" hidden="1">'1居宅介護(通院重度、合成１-1)'!$A$1:$W$47</definedName>
    <definedName name="_xlnm._FilterDatabase" localSheetId="47" hidden="1">'1居宅介護(通院重度、合成１-2)'!$A$1:$T$47</definedName>
    <definedName name="_xlnm._FilterDatabase" localSheetId="48" hidden="1">'1居宅介護(通院重度、合成１-3)'!$A$1:$T$47</definedName>
    <definedName name="_xlnm._FilterDatabase" localSheetId="49" hidden="1">'1居宅介護(通院重度、合成１-4)'!$A$1:$W$47</definedName>
    <definedName name="_xlnm._FilterDatabase" localSheetId="50" hidden="1">'1居宅介護(通院重度、合成１-5)'!$A$1:$T$47</definedName>
    <definedName name="_xlnm._FilterDatabase" localSheetId="51" hidden="1">'1居宅介護(通院重度、合成１-6)'!$A$1:$T$47</definedName>
    <definedName name="_xlnm._FilterDatabase" localSheetId="52" hidden="1">'1居宅介護(通院重度、合成１-7)'!$A$1:$Y$47</definedName>
    <definedName name="_xlnm._FilterDatabase" localSheetId="53" hidden="1">'1居宅介護(通院重度、合成１-8)'!$A$1:$Y$48</definedName>
    <definedName name="_xlnm._FilterDatabase" localSheetId="45" hidden="1">'1居宅介護(通院重度、単一深夜)'!$A$1:$P$56</definedName>
    <definedName name="_xlnm._FilterDatabase" localSheetId="44" hidden="1">'1居宅介護(通院重度、単一日中・早朝・夜間)'!$A$1:$P$146</definedName>
    <definedName name="_xlnm._FilterDatabase" localSheetId="54" hidden="1">'1居宅介護(通院重度、日中早朝増分)'!$A$1:$P$117</definedName>
    <definedName name="_xlnm._FilterDatabase" localSheetId="55" hidden="1">'1居宅介護(通院重度、夜間深夜増分)'!$A$1:$P$101</definedName>
    <definedName name="_xlnm._FilterDatabase" localSheetId="37" hidden="1">'1居宅介護(通院身体、2h未合成１)'!$A$1:$Y$160</definedName>
    <definedName name="_xlnm._FilterDatabase" localSheetId="38" hidden="1">'1居宅介護(通院身体、2h未合成２)'!$A$1:$T$128</definedName>
    <definedName name="_xlnm._FilterDatabase" localSheetId="39" hidden="1">'1居宅介護(通院身体、2h未合成３‐1)'!$A$1:$Y$167</definedName>
    <definedName name="_xlnm._FilterDatabase" localSheetId="40" hidden="1">'1居宅介護(通院身体、2h未合成３‐2)'!$A$1:$Y$16</definedName>
    <definedName name="_xlnm._FilterDatabase" localSheetId="32" hidden="1">'1居宅介護(通院身体、合成深夜)'!$A$1:$W$128</definedName>
    <definedName name="_xlnm._FilterDatabase" localSheetId="33" hidden="1">'1居宅介護(通院身体、合成早朝)'!$A$1:$T$128</definedName>
    <definedName name="_xlnm._FilterDatabase" localSheetId="34" hidden="1">'1居宅介護(通院身体、合成日中)'!$A$1:$Y$141</definedName>
    <definedName name="_xlnm._FilterDatabase" localSheetId="35" hidden="1">'1居宅介護(通院身体、合成夜間１)'!$A$1:$W$128</definedName>
    <definedName name="_xlnm._FilterDatabase" localSheetId="36" hidden="1">'1居宅介護(通院身体、合成夜間２)'!#REF!</definedName>
    <definedName name="_xlnm._FilterDatabase" localSheetId="43" hidden="1">'1居宅介護(通院身体、深夜増分)'!$A$1:$R$112</definedName>
    <definedName name="_xlnm._FilterDatabase" localSheetId="42" hidden="1">'1居宅介護(通院身体、早朝夜間増分)'!$A$1:$R$125</definedName>
    <definedName name="_xlnm._FilterDatabase" localSheetId="31" hidden="1">'1居宅介護(通院身体、単一深夜)'!$A$1:$R$112</definedName>
    <definedName name="_xlnm._FilterDatabase" localSheetId="30" hidden="1">'1居宅介護(通院身体、単一早朝夜間)'!$A$1:$R$125</definedName>
    <definedName name="_xlnm._FilterDatabase" localSheetId="29" hidden="1">'1居宅介護(通院身体、単一日中)'!$A$1:$O$176</definedName>
    <definedName name="_xlnm._FilterDatabase" localSheetId="41" hidden="1">'1居宅介護(通院身体、日中増分)'!$A$1:$O$176</definedName>
    <definedName name="_xlnm._FilterDatabase" localSheetId="99" hidden="1">'1居宅介護(通院等乗降介助加算)'!$A$1:$R$55</definedName>
    <definedName name="_xlnm._FilterDatabase" localSheetId="100" hidden="1">'1居宅介護(通院等乗降介助重度加算)'!$A$1:$R$39</definedName>
    <definedName name="_xlnm._FilterDatabase" localSheetId="102" hidden="1">'2重度訪問'!$A$6:$BA$195</definedName>
    <definedName name="_xlnm._FilterDatabase" localSheetId="106" hidden="1">'2重度訪問 (入院入所中)'!$A$6:$AZ$294</definedName>
    <definedName name="_xlnm._FilterDatabase" localSheetId="109" hidden="1">'2重度訪問 (入院入所中、深夜)'!$A$6:$BB$294</definedName>
    <definedName name="_xlnm._FilterDatabase" localSheetId="107" hidden="1">'2重度訪問 (入院入所中、早朝)'!$A$6:$BB$294</definedName>
    <definedName name="_xlnm._FilterDatabase" localSheetId="108" hidden="1">'2重度訪問 (入院入所中、夜間)'!$A$6:$BB$294</definedName>
    <definedName name="_xlnm._FilterDatabase" localSheetId="105" hidden="1">'2重度訪問（深夜）'!$A$6:$AZ$150</definedName>
    <definedName name="_xlnm._FilterDatabase" localSheetId="103" hidden="1">'2重度訪問（早朝）'!$A$6:$AZ$150</definedName>
    <definedName name="_xlnm._FilterDatabase" localSheetId="104" hidden="1">'2重度訪問（夜間）'!$A$8:$AZ$150</definedName>
    <definedName name="_xlnm._FilterDatabase" localSheetId="119" hidden="1">'3同行援護(同行援護、2h未合成１)'!$A$1:$AF$464</definedName>
    <definedName name="_xlnm._FilterDatabase" localSheetId="120" hidden="1">'3同行援護(同行援護、2h未合成２)'!$A$1:$AA$368</definedName>
    <definedName name="_xlnm._FilterDatabase" localSheetId="121" hidden="1">'3同行援護(同行援護、2h未合成３)'!$A$1:$AF$517</definedName>
    <definedName name="_xlnm._FilterDatabase" localSheetId="114" hidden="1">'3同行援護(同行援護、合成深夜)'!$A$1:$AC$368</definedName>
    <definedName name="_xlnm._FilterDatabase" localSheetId="115" hidden="1">'3同行援護(同行援護、合成早朝)'!$A$1:$AA$368</definedName>
    <definedName name="_xlnm._FilterDatabase" localSheetId="116" hidden="1">'3同行援護(同行援護、合成日中)'!$A$1:$AF$397</definedName>
    <definedName name="_xlnm._FilterDatabase" localSheetId="117" hidden="1">'3同行援護(同行援護、合成夜間１)'!$A$1:$AC$368</definedName>
    <definedName name="_xlnm._FilterDatabase" localSheetId="118" hidden="1">'3同行援護(同行援護、合成夜間２)'!$A$1:$AA$368</definedName>
    <definedName name="_xlnm._FilterDatabase" localSheetId="124" hidden="1">'3同行援護(同行援護、深夜増分)'!$A$1:$X$320</definedName>
    <definedName name="_xlnm._FilterDatabase" localSheetId="123" hidden="1">'3同行援護(同行援護、早朝夜間増分)'!$A$1:$X$349</definedName>
    <definedName name="_xlnm._FilterDatabase" localSheetId="113" hidden="1">'3同行援護(同行援護、単一深夜)'!$A$1:$X$320</definedName>
    <definedName name="_xlnm._FilterDatabase" localSheetId="112" hidden="1">'3同行援護(同行援護、単一早朝夜間)'!$A$1:$X$349</definedName>
    <definedName name="_xlnm._FilterDatabase" localSheetId="111" hidden="1">'3同行援護(同行援護、単一日中)'!$A$6:$V$510</definedName>
    <definedName name="_xlnm._FilterDatabase" localSheetId="122" hidden="1">'3同行援護(同行援護、日中増分)'!$A$6:$V$510</definedName>
    <definedName name="_xlnm._FilterDatabase" localSheetId="133" hidden="1">'3同行援護(同行援護盲ろう、2h未合成１)'!$A$1:$AF$236</definedName>
    <definedName name="_xlnm._FilterDatabase" localSheetId="134" hidden="1">'3同行援護(同行援護盲ろう、2h未合成２)'!$A$6:$AA$186</definedName>
    <definedName name="_xlnm._FilterDatabase" localSheetId="135" hidden="1">'3同行援護(同行援護盲ろう、2h未合成３)'!$A$1:$AF$265</definedName>
    <definedName name="_xlnm._FilterDatabase" localSheetId="128" hidden="1">'3同行援護(同行援護盲ろう、合成深夜)'!$A$1:$AC$188</definedName>
    <definedName name="_xlnm._FilterDatabase" localSheetId="129" hidden="1">'3同行援護(同行援護盲ろう、合成早朝)'!$A$1:$AA$188</definedName>
    <definedName name="_xlnm._FilterDatabase" localSheetId="130" hidden="1">'3同行援護(同行援護盲ろう、合成日中)'!$A$1:$AF$205</definedName>
    <definedName name="_xlnm._FilterDatabase" localSheetId="131" hidden="1">'3同行援護(同行援護盲ろう、合成夜間１)'!$A$1:$AC$188</definedName>
    <definedName name="_xlnm._FilterDatabase" localSheetId="132" hidden="1">'3同行援護(同行援護盲ろう、合成夜間２)'!$A$1:$AA$188</definedName>
    <definedName name="_xlnm._FilterDatabase" localSheetId="138" hidden="1">'3同行援護(同行援護盲ろう、深夜増分)'!$A$6:$X$162</definedName>
    <definedName name="_xlnm._FilterDatabase" localSheetId="137" hidden="1">'3同行援護(同行援護盲ろう、早朝夜間増分)'!$A$1:$X$181</definedName>
    <definedName name="_xlnm._FilterDatabase" localSheetId="127" hidden="1">'3同行援護(同行援護盲ろう、単一深夜)'!$A$1:$X$164</definedName>
    <definedName name="_xlnm._FilterDatabase" localSheetId="126" hidden="1">'3同行援護(同行援護盲ろう、単一早朝夜間)'!$A$1:$X$181</definedName>
    <definedName name="_xlnm._FilterDatabase" localSheetId="125" hidden="1">'3同行援護(同行援護盲ろう、単一日中)'!$A$1:$V$260</definedName>
    <definedName name="_xlnm._FilterDatabase" localSheetId="136" hidden="1">'3同行援護(同行援護盲ろう、日中増分)'!$A$6:$V$258</definedName>
    <definedName name="_xlnm._FilterDatabase" localSheetId="140" hidden="1">'4行動援護'!$A$6:$AT$91</definedName>
    <definedName name="_xlnm._FilterDatabase" localSheetId="144" hidden="1">'5療養介護(サービス管理責任者欠員)'!$A$1:$AK$105</definedName>
    <definedName name="_xlnm._FilterDatabase" localSheetId="141" hidden="1">'5療養介護(基本)'!$A$1:$AV$298</definedName>
    <definedName name="_xlnm._FilterDatabase" localSheetId="143" hidden="1">'5療養介護(生活支援員他欠員)'!$A$1:$AU$281</definedName>
    <definedName name="_xlnm._FilterDatabase" localSheetId="142" hidden="1">'5療養介護(定超)'!$A$1:$AV$280</definedName>
    <definedName name="_xlnm.Print_Area" localSheetId="64">'1居宅介護(家援、2h未合成１-1)'!$A$1:$Y$87</definedName>
    <definedName name="_xlnm.Print_Area" localSheetId="65">'1居宅介護(家援、2h未合成１-2)'!$A$1:$T$87</definedName>
    <definedName name="_xlnm.Print_Area" localSheetId="66">'1居宅介護(家援、2h未合成１-3)'!$A$1:$Y$87</definedName>
    <definedName name="_xlnm.Print_Area" localSheetId="59">'1居宅介護(家援、合成１-1)'!$A$1:$W$87</definedName>
    <definedName name="_xlnm.Print_Area" localSheetId="60">'1居宅介護(家援、合成１-2)'!$A$1:$T$87</definedName>
    <definedName name="_xlnm.Print_Area" localSheetId="61">'1居宅介護(家援、合成１-3)'!$A$1:$T$87</definedName>
    <definedName name="_xlnm.Print_Area" localSheetId="62">'1居宅介護(家援、合成２‐1)'!$A$1:$Y$87</definedName>
    <definedName name="_xlnm.Print_Area" localSheetId="63">'1居宅介護(家援、合成２‐2)'!$A$1:$V$87</definedName>
    <definedName name="_xlnm.Print_Area" localSheetId="69">'1居宅介護(家援、深夜増分)'!$A$1:$R$215</definedName>
    <definedName name="_xlnm.Print_Area" localSheetId="68">'1居宅介護(家援、早朝夜間増分)'!$A$1:$R$236</definedName>
    <definedName name="_xlnm.Print_Area" localSheetId="58">'1居宅介護(家援、単一深夜)'!$A$1:$R$207</definedName>
    <definedName name="_xlnm.Print_Area" localSheetId="57">'1居宅介護(家援、単一早朝夜間)'!$A$1:$R$220</definedName>
    <definedName name="_xlnm.Print_Area" localSheetId="56">'1居宅介護(家援、単一日中)'!$A$1:$O$335</definedName>
    <definedName name="_xlnm.Print_Area" localSheetId="67">'1居宅介護(家援、日中増分)'!$A$1:$O$343</definedName>
    <definedName name="_xlnm.Print_Area" localSheetId="78">'1居宅介護(家援重度、2h未合成１‐1)'!$A$1:$Z$47</definedName>
    <definedName name="_xlnm.Print_Area" localSheetId="79">'1居宅介護(家援重度、2h未合成１-2)'!$A$1:$U$47</definedName>
    <definedName name="_xlnm.Print_Area" localSheetId="80">'1居宅介護(家援重度、2h未合成１-3)'!$A$1:$Z$47</definedName>
    <definedName name="_xlnm.Print_Area" localSheetId="73">'1居宅介護(家援重度、合成１‐1)'!$A$1:$X$47</definedName>
    <definedName name="_xlnm.Print_Area" localSheetId="74">'1居宅介護(家援重度、合成１‐2)'!$A$1:$U$47</definedName>
    <definedName name="_xlnm.Print_Area" localSheetId="75">'1居宅介護(家援重度、合成１-3)'!$A$1:$U$47</definedName>
    <definedName name="_xlnm.Print_Area" localSheetId="76">'1居宅介護(家援重度、合成２-1)'!$A$1:$Z$47</definedName>
    <definedName name="_xlnm.Print_Area" localSheetId="77">'1居宅介護(家援重度、合成２-2)'!$A$1:$W$47</definedName>
    <definedName name="_xlnm.Print_Area" localSheetId="83">'1居宅介護(家援重度、深夜増分)'!$A$1:$S$111</definedName>
    <definedName name="_xlnm.Print_Area" localSheetId="82">'1居宅介護(家援重度、早朝夜間増分)'!$A$1:$S$124</definedName>
    <definedName name="_xlnm.Print_Area" localSheetId="72">'1居宅介護(家援重度、単一深夜)'!$A$1:$S$107</definedName>
    <definedName name="_xlnm.Print_Area" localSheetId="71">'1居宅介護(家援重度、単一早朝夜間)'!$A$1:$S$116</definedName>
    <definedName name="_xlnm.Print_Area" localSheetId="70">'1居宅介護(家援重度、単一日中)'!$A$1:$P$171</definedName>
    <definedName name="_xlnm.Print_Area" localSheetId="81">'1居宅介護(家援重度、日中増分)'!$A$1:$P$175</definedName>
    <definedName name="_xlnm.Print_Area" localSheetId="11">'1居宅介護(身介、2h未合成１)'!$A$1:$Y$159</definedName>
    <definedName name="_xlnm.Print_Area" localSheetId="12">'1居宅介護(身介、2h未合成２)'!$A$1:$T$127</definedName>
    <definedName name="_xlnm.Print_Area" localSheetId="13">'1居宅介護(身介、2h未合成３)'!$A$1:$AB$180</definedName>
    <definedName name="_xlnm.Print_Area" localSheetId="6">'1居宅介護(身介、合成深夜)'!$A$1:$W$127</definedName>
    <definedName name="_xlnm.Print_Area" localSheetId="7">'1居宅介護(身介、合成早朝)'!$A$1:$T$127</definedName>
    <definedName name="_xlnm.Print_Area" localSheetId="8">'1居宅介護(身介、合成日中)'!$A$1:$Y$140</definedName>
    <definedName name="_xlnm.Print_Area" localSheetId="9">'1居宅介護(身介、合成夜間１)'!$A$1:$W$127</definedName>
    <definedName name="_xlnm.Print_Area" localSheetId="10">'1居宅介護(身介、合成夜間２)'!$A$1:$V$127</definedName>
    <definedName name="_xlnm.Print_Area" localSheetId="16">'1居宅介護(身介、深夜増分)'!$A$1:$R$111</definedName>
    <definedName name="_xlnm.Print_Area" localSheetId="15">'1居宅介護(身介、早朝夜間増分)'!$A$1:$R$124</definedName>
    <definedName name="_xlnm.Print_Area" localSheetId="5">'1居宅介護(身介、単一深夜)'!$A$1:$R$111</definedName>
    <definedName name="_xlnm.Print_Area" localSheetId="4">'1居宅介護(身介、単一早朝夜間)'!$A$1:$R$124</definedName>
    <definedName name="_xlnm.Print_Area" localSheetId="3">'1居宅介護(身介、単一日中)'!$A$1:$O$175</definedName>
    <definedName name="_xlnm.Print_Area" localSheetId="14">'1居宅介護(身介、日中増分)'!$A$1:$O$175</definedName>
    <definedName name="_xlnm.Print_Area" localSheetId="19">'1居宅介護(身介重度、合成１-1)'!$A$1:$W$47</definedName>
    <definedName name="_xlnm.Print_Area" localSheetId="20">'1居宅介護(身介重度、合成１-2)'!$A$1:$T$47</definedName>
    <definedName name="_xlnm.Print_Area" localSheetId="21">'1居宅介護(身介重度、合成１-3)'!$A$1:$T$47</definedName>
    <definedName name="_xlnm.Print_Area" localSheetId="22">'1居宅介護(身介重度、合成１-4)'!$A$1:$W$47</definedName>
    <definedName name="_xlnm.Print_Area" localSheetId="23">'1居宅介護(身介重度、合成１-5)'!$A$1:$T$47</definedName>
    <definedName name="_xlnm.Print_Area" localSheetId="24">'1居宅介護(身介重度、合成１-6)'!$A$1:$T$47</definedName>
    <definedName name="_xlnm.Print_Area" localSheetId="25">'1居宅介護(身介重度、合成１-7)'!$A$1:$Y$47</definedName>
    <definedName name="_xlnm.Print_Area" localSheetId="26">'1居宅介護(身介重度、合成１-8)'!$A$1:$Y$47</definedName>
    <definedName name="_xlnm.Print_Area" localSheetId="18">'1居宅介護(身介重度、単一深夜)'!$A$1:$P$55</definedName>
    <definedName name="_xlnm.Print_Area" localSheetId="17">'1居宅介護(身介重度、単一日中・早朝・夜間)'!$A$1:$P$145</definedName>
    <definedName name="_xlnm.Print_Area" localSheetId="27">'1居宅介護(身介重度、日中早朝増分)'!$A$1:$P$116</definedName>
    <definedName name="_xlnm.Print_Area" localSheetId="28">'1居宅介護(身介重度、夜間深夜増分)'!$A$1:$P$100</definedName>
    <definedName name="_xlnm.Print_Area" localSheetId="101">'1居宅介護(単独加算)'!$A$1:$J$31</definedName>
    <definedName name="_xlnm.Print_Area" localSheetId="89">'1居宅介護(通院家援、2h未合成１)'!$A$1:$Y$57</definedName>
    <definedName name="_xlnm.Print_Area" localSheetId="87">'1居宅介護(通院家援、合成１)'!$A$1:$W$89</definedName>
    <definedName name="_xlnm.Print_Area" localSheetId="88">'1居宅介護(通院家援、合成２)'!$A$1:$Y$60</definedName>
    <definedName name="_xlnm.Print_Area" localSheetId="92">'1居宅介護(通院家援、深夜増分)'!$A$1:$R$111</definedName>
    <definedName name="_xlnm.Print_Area" localSheetId="91">'1居宅介護(通院家援、早朝夜間増分)'!$A$1:$R$124</definedName>
    <definedName name="_xlnm.Print_Area" localSheetId="86">'1居宅介護(通院家援、単一深夜)'!$A$1:$R$111</definedName>
    <definedName name="_xlnm.Print_Area" localSheetId="85">'1居宅介護(通院家援、単一早朝夜間)'!$A$1:$R$124</definedName>
    <definedName name="_xlnm.Print_Area" localSheetId="84">'1居宅介護(通院家援、単一日中)'!$A$1:$O$175</definedName>
    <definedName name="_xlnm.Print_Area" localSheetId="90">'1居宅介護(通院家援、日中増分)'!$A$1:$O$175</definedName>
    <definedName name="_xlnm.Print_Area" localSheetId="96">'1居宅介護(通院家援重度、2h未合成１)'!$A$1:$Y$37</definedName>
    <definedName name="_xlnm.Print_Area" localSheetId="95">'1居宅介護(通院家援重度、合成)'!$A$1:$Y$87</definedName>
    <definedName name="_xlnm.Print_Area" localSheetId="98">'1居宅介護(通院家援重度、早朝夜間深夜増分)'!$A$1:$R$125</definedName>
    <definedName name="_xlnm.Print_Area" localSheetId="94">'1居宅介護(通院家援重度、単一早朝夜間深夜)'!$A$1:$R$125</definedName>
    <definedName name="_xlnm.Print_Area" localSheetId="93">'1居宅介護(通院家援重度、単一日中)'!$A$1:$O$91</definedName>
    <definedName name="_xlnm.Print_Area" localSheetId="97">'1居宅介護(通院家援重度、日中増分)'!$A$1:$O$91</definedName>
    <definedName name="_xlnm.Print_Area" localSheetId="46">'1居宅介護(通院重度、合成１-1)'!$A$1:$W$47</definedName>
    <definedName name="_xlnm.Print_Area" localSheetId="47">'1居宅介護(通院重度、合成１-2)'!$A$1:$T$47</definedName>
    <definedName name="_xlnm.Print_Area" localSheetId="48">'1居宅介護(通院重度、合成１-3)'!$A$1:$T$47</definedName>
    <definedName name="_xlnm.Print_Area" localSheetId="49">'1居宅介護(通院重度、合成１-4)'!$A$1:$W$47</definedName>
    <definedName name="_xlnm.Print_Area" localSheetId="50">'1居宅介護(通院重度、合成１-5)'!$A$1:$T$47</definedName>
    <definedName name="_xlnm.Print_Area" localSheetId="51">'1居宅介護(通院重度、合成１-6)'!$A$1:$T$47</definedName>
    <definedName name="_xlnm.Print_Area" localSheetId="52">'1居宅介護(通院重度、合成１-7)'!$A$1:$Y$47</definedName>
    <definedName name="_xlnm.Print_Area" localSheetId="53">'1居宅介護(通院重度、合成１-8)'!$A$1:$Y$47</definedName>
    <definedName name="_xlnm.Print_Area" localSheetId="45">'1居宅介護(通院重度、単一深夜)'!$A$1:$P$55</definedName>
    <definedName name="_xlnm.Print_Area" localSheetId="44">'1居宅介護(通院重度、単一日中・早朝・夜間)'!$A$1:$P$145</definedName>
    <definedName name="_xlnm.Print_Area" localSheetId="54">'1居宅介護(通院重度、日中早朝増分)'!$A$1:$P$116</definedName>
    <definedName name="_xlnm.Print_Area" localSheetId="55">'1居宅介護(通院重度、夜間深夜増分)'!$A$1:$P$100</definedName>
    <definedName name="_xlnm.Print_Area" localSheetId="37">'1居宅介護(通院身体、2h未合成１)'!$A$1:$Y$159</definedName>
    <definedName name="_xlnm.Print_Area" localSheetId="38">'1居宅介護(通院身体、2h未合成２)'!$A$1:$T$127</definedName>
    <definedName name="_xlnm.Print_Area" localSheetId="39">'1居宅介護(通院身体、2h未合成３‐1)'!$A$1:$Y$167</definedName>
    <definedName name="_xlnm.Print_Area" localSheetId="40">'1居宅介護(通院身体、2h未合成３‐2)'!$A$1:$Y$15</definedName>
    <definedName name="_xlnm.Print_Area" localSheetId="32">'1居宅介護(通院身体、合成深夜)'!$A$1:$W$127</definedName>
    <definedName name="_xlnm.Print_Area" localSheetId="33">'1居宅介護(通院身体、合成早朝)'!$A$1:$T$127</definedName>
    <definedName name="_xlnm.Print_Area" localSheetId="34">'1居宅介護(通院身体、合成日中)'!$A$1:$Y$140</definedName>
    <definedName name="_xlnm.Print_Area" localSheetId="35">'1居宅介護(通院身体、合成夜間１)'!$A$1:$W$127</definedName>
    <definedName name="_xlnm.Print_Area" localSheetId="36">'1居宅介護(通院身体、合成夜間２)'!$A$1:$V$127</definedName>
    <definedName name="_xlnm.Print_Area" localSheetId="43">'1居宅介護(通院身体、深夜増分)'!$A$1:$R$111</definedName>
    <definedName name="_xlnm.Print_Area" localSheetId="42">'1居宅介護(通院身体、早朝夜間増分)'!$A$1:$R$124</definedName>
    <definedName name="_xlnm.Print_Area" localSheetId="31">'1居宅介護(通院身体、単一深夜)'!$A$1:$R$111</definedName>
    <definedName name="_xlnm.Print_Area" localSheetId="30">'1居宅介護(通院身体、単一早朝夜間)'!$A$1:$R$124</definedName>
    <definedName name="_xlnm.Print_Area" localSheetId="29">'1居宅介護(通院身体、単一日中)'!$A$1:$O$175</definedName>
    <definedName name="_xlnm.Print_Area" localSheetId="41">'1居宅介護(通院身体、日中増分)'!$A$1:$O$175</definedName>
    <definedName name="_xlnm.Print_Area" localSheetId="99">'1居宅介護(通院等乗降介助加算)'!$A$1:$R$54</definedName>
    <definedName name="_xlnm.Print_Area" localSheetId="100">'1居宅介護(通院等乗降介助重度加算)'!$A$1:$R$38</definedName>
    <definedName name="_xlnm.Print_Area" localSheetId="102">'2重度訪問'!$A$1:$AY$197</definedName>
    <definedName name="_xlnm.Print_Area" localSheetId="106">'2重度訪問 (入院入所中)'!$A$1:$AY$295</definedName>
    <definedName name="_xlnm.Print_Area" localSheetId="109">'2重度訪問 (入院入所中、深夜)'!$A$1:$BA$295</definedName>
    <definedName name="_xlnm.Print_Area" localSheetId="107">'2重度訪問 (入院入所中、早朝)'!$A$1:$BA$295</definedName>
    <definedName name="_xlnm.Print_Area" localSheetId="108">'2重度訪問 (入院入所中、夜間)'!$A$1:$BA$295</definedName>
    <definedName name="_xlnm.Print_Area" localSheetId="105">'2重度訪問（深夜）'!$A$1:$AY$151</definedName>
    <definedName name="_xlnm.Print_Area" localSheetId="103">'2重度訪問（早朝）'!$A$1:$AY$151</definedName>
    <definedName name="_xlnm.Print_Area" localSheetId="104">'2重度訪問（夜間）'!$A$1:$AY$151</definedName>
    <definedName name="_xlnm.Print_Area" localSheetId="139">'3同行援護(単独加算)'!$A$1:$AQ$27</definedName>
    <definedName name="_xlnm.Print_Area" localSheetId="119">'3同行援護(同行援護、2h未合成１)'!$A$1:$AF$463</definedName>
    <definedName name="_xlnm.Print_Area" localSheetId="120">'3同行援護(同行援護、2h未合成２)'!$A$1:$AA$367</definedName>
    <definedName name="_xlnm.Print_Area" localSheetId="121">'3同行援護(同行援護、2h未合成３)'!$A$1:$AF$516</definedName>
    <definedName name="_xlnm.Print_Area" localSheetId="114">'3同行援護(同行援護、合成深夜)'!$A$1:$AC$367</definedName>
    <definedName name="_xlnm.Print_Area" localSheetId="115">'3同行援護(同行援護、合成早朝)'!$A$1:$AA$367</definedName>
    <definedName name="_xlnm.Print_Area" localSheetId="116">'3同行援護(同行援護、合成日中)'!$A$1:$AF$396</definedName>
    <definedName name="_xlnm.Print_Area" localSheetId="117">'3同行援護(同行援護、合成夜間１)'!$A$1:$AC$367</definedName>
    <definedName name="_xlnm.Print_Area" localSheetId="118">'3同行援護(同行援護、合成夜間２)'!$A$1:$AA$367</definedName>
    <definedName name="_xlnm.Print_Area" localSheetId="124">'3同行援護(同行援護、深夜増分)'!$A$1:$X$319</definedName>
    <definedName name="_xlnm.Print_Area" localSheetId="123">'3同行援護(同行援護、早朝夜間増分)'!$A$1:$X$348</definedName>
    <definedName name="_xlnm.Print_Area" localSheetId="113">'3同行援護(同行援護、単一深夜)'!$A$1:$X$319</definedName>
    <definedName name="_xlnm.Print_Area" localSheetId="112">'3同行援護(同行援護、単一早朝夜間)'!$A$1:$X$348</definedName>
    <definedName name="_xlnm.Print_Area" localSheetId="111">'3同行援護(同行援護、単一日中)'!$A$1:$V$511</definedName>
    <definedName name="_xlnm.Print_Area" localSheetId="122">'3同行援護(同行援護、日中増分)'!$A$1:$V$511</definedName>
    <definedName name="_xlnm.Print_Area" localSheetId="133">'3同行援護(同行援護盲ろう、2h未合成１)'!$A$1:$AF$235</definedName>
    <definedName name="_xlnm.Print_Area" localSheetId="134">'3同行援護(同行援護盲ろう、2h未合成２)'!$A$1:$AA$187</definedName>
    <definedName name="_xlnm.Print_Area" localSheetId="135">'3同行援護(同行援護盲ろう、2h未合成３)'!$A$1:$AF$264</definedName>
    <definedName name="_xlnm.Print_Area" localSheetId="128">'3同行援護(同行援護盲ろう、合成深夜)'!$A$1:$AC$187</definedName>
    <definedName name="_xlnm.Print_Area" localSheetId="129">'3同行援護(同行援護盲ろう、合成早朝)'!$A$1:$AA$187</definedName>
    <definedName name="_xlnm.Print_Area" localSheetId="130">'3同行援護(同行援護盲ろう、合成日中)'!$A$1:$AF$204</definedName>
    <definedName name="_xlnm.Print_Area" localSheetId="131">'3同行援護(同行援護盲ろう、合成夜間１)'!$A$1:$AC$187</definedName>
    <definedName name="_xlnm.Print_Area" localSheetId="132">'3同行援護(同行援護盲ろう、合成夜間２)'!$A$1:$AA$187</definedName>
    <definedName name="_xlnm.Print_Area" localSheetId="138">'3同行援護(同行援護盲ろう、深夜増分)'!$A$1:$X$163</definedName>
    <definedName name="_xlnm.Print_Area" localSheetId="137">'3同行援護(同行援護盲ろう、早朝夜間増分)'!$A$1:$X$180</definedName>
    <definedName name="_xlnm.Print_Area" localSheetId="127">'3同行援護(同行援護盲ろう、単一深夜)'!$A$1:$X$163</definedName>
    <definedName name="_xlnm.Print_Area" localSheetId="126">'3同行援護(同行援護盲ろう、単一早朝夜間)'!$A$1:$X$179</definedName>
    <definedName name="_xlnm.Print_Area" localSheetId="125">'3同行援護(同行援護盲ろう、単一日中)'!$A$1:$V$259</definedName>
    <definedName name="_xlnm.Print_Area" localSheetId="136">'3同行援護(同行援護盲ろう、日中増分)'!$A$1:$V$259</definedName>
    <definedName name="_xlnm.Print_Area" localSheetId="140">'4行動援護'!$A$1:$AR$92</definedName>
    <definedName name="_xlnm.Print_Area" localSheetId="144">'5療養介護(サービス管理責任者欠員)'!$A$1:$AJ$95</definedName>
    <definedName name="_xlnm.Print_Area" localSheetId="141">'5療養介護(基本)'!$A$1:$AT$167</definedName>
    <definedName name="_xlnm.Print_Area" localSheetId="143">'5療養介護(生活支援員他欠員)'!$A$1:$AT$271</definedName>
    <definedName name="_xlnm.Print_Area" localSheetId="142">'5療養介護(定超)'!$A$1:$AT$139</definedName>
    <definedName name="_xlnm.Print_Area" localSheetId="2">説明!$A$1:$N$55</definedName>
    <definedName name="_xlnm.Print_Titles" localSheetId="64">'1居宅介護(家援、2h未合成１-1)'!$4:$6</definedName>
    <definedName name="_xlnm.Print_Titles" localSheetId="65">'1居宅介護(家援、2h未合成１-2)'!$4:$6</definedName>
    <definedName name="_xlnm.Print_Titles" localSheetId="66">'1居宅介護(家援、2h未合成１-3)'!$4:$6</definedName>
    <definedName name="_xlnm.Print_Titles" localSheetId="59">'1居宅介護(家援、合成１-1)'!$4:$6</definedName>
    <definedName name="_xlnm.Print_Titles" localSheetId="60">'1居宅介護(家援、合成１-2)'!$4:$6</definedName>
    <definedName name="_xlnm.Print_Titles" localSheetId="61">'1居宅介護(家援、合成１-3)'!$4:$6</definedName>
    <definedName name="_xlnm.Print_Titles" localSheetId="62">'1居宅介護(家援、合成２‐1)'!$4:$6</definedName>
    <definedName name="_xlnm.Print_Titles" localSheetId="63">'1居宅介護(家援、合成２‐2)'!$4:$6</definedName>
    <definedName name="_xlnm.Print_Titles" localSheetId="69">'1居宅介護(家援、深夜増分)'!$4:$6</definedName>
    <definedName name="_xlnm.Print_Titles" localSheetId="68">'1居宅介護(家援、早朝夜間増分)'!$5:$6</definedName>
    <definedName name="_xlnm.Print_Titles" localSheetId="58">'1居宅介護(家援、単一深夜)'!$4:$6</definedName>
    <definedName name="_xlnm.Print_Titles" localSheetId="57">'1居宅介護(家援、単一早朝夜間)'!$5:$6</definedName>
    <definedName name="_xlnm.Print_Titles" localSheetId="56">'1居宅介護(家援、単一日中)'!$4:$6</definedName>
    <definedName name="_xlnm.Print_Titles" localSheetId="67">'1居宅介護(家援、日中増分)'!$4:$6</definedName>
    <definedName name="_xlnm.Print_Titles" localSheetId="78">'1居宅介護(家援重度、2h未合成１‐1)'!$4:$6</definedName>
    <definedName name="_xlnm.Print_Titles" localSheetId="79">'1居宅介護(家援重度、2h未合成１-2)'!$4:$6</definedName>
    <definedName name="_xlnm.Print_Titles" localSheetId="80">'1居宅介護(家援重度、2h未合成１-3)'!$4:$6</definedName>
    <definedName name="_xlnm.Print_Titles" localSheetId="73">'1居宅介護(家援重度、合成１‐1)'!$4:$6</definedName>
    <definedName name="_xlnm.Print_Titles" localSheetId="74">'1居宅介護(家援重度、合成１‐2)'!$4:$6</definedName>
    <definedName name="_xlnm.Print_Titles" localSheetId="75">'1居宅介護(家援重度、合成１-3)'!$4:$6</definedName>
    <definedName name="_xlnm.Print_Titles" localSheetId="76">'1居宅介護(家援重度、合成２-1)'!$4:$6</definedName>
    <definedName name="_xlnm.Print_Titles" localSheetId="77">'1居宅介護(家援重度、合成２-2)'!$4:$6</definedName>
    <definedName name="_xlnm.Print_Titles" localSheetId="83">'1居宅介護(家援重度、深夜増分)'!$4:$6</definedName>
    <definedName name="_xlnm.Print_Titles" localSheetId="72">'1居宅介護(家援重度、単一深夜)'!$4:$6</definedName>
    <definedName name="_xlnm.Print_Titles" localSheetId="71">'1居宅介護(家援重度、単一早朝夜間)'!$5:$6</definedName>
    <definedName name="_xlnm.Print_Titles" localSheetId="70">'1居宅介護(家援重度、単一日中)'!$4:$6</definedName>
    <definedName name="_xlnm.Print_Titles" localSheetId="81">'1居宅介護(家援重度、日中増分)'!$4:$6</definedName>
    <definedName name="_xlnm.Print_Titles" localSheetId="11">'1居宅介護(身介、2h未合成１)'!$4:$6</definedName>
    <definedName name="_xlnm.Print_Titles" localSheetId="12">'1居宅介護(身介、2h未合成２)'!$4:$6</definedName>
    <definedName name="_xlnm.Print_Titles" localSheetId="13">'1居宅介護(身介、2h未合成３)'!$5:$6</definedName>
    <definedName name="_xlnm.Print_Titles" localSheetId="6">'1居宅介護(身介、合成深夜)'!$4:$6</definedName>
    <definedName name="_xlnm.Print_Titles" localSheetId="7">'1居宅介護(身介、合成早朝)'!$4:$6</definedName>
    <definedName name="_xlnm.Print_Titles" localSheetId="8">'1居宅介護(身介、合成日中)'!$5:$6</definedName>
    <definedName name="_xlnm.Print_Titles" localSheetId="9">'1居宅介護(身介、合成夜間１)'!$4:$6</definedName>
    <definedName name="_xlnm.Print_Titles" localSheetId="10">'1居宅介護(身介、合成夜間２)'!$4:$6</definedName>
    <definedName name="_xlnm.Print_Titles" localSheetId="16">'1居宅介護(身介、深夜増分)'!$4:$6</definedName>
    <definedName name="_xlnm.Print_Titles" localSheetId="15">'1居宅介護(身介、早朝夜間増分)'!$5:$6</definedName>
    <definedName name="_xlnm.Print_Titles" localSheetId="5">'1居宅介護(身介、単一深夜)'!$4:$6</definedName>
    <definedName name="_xlnm.Print_Titles" localSheetId="3">'1居宅介護(身介、単一日中)'!$4:$6</definedName>
    <definedName name="_xlnm.Print_Titles" localSheetId="14">'1居宅介護(身介、日中増分)'!$4:$6</definedName>
    <definedName name="_xlnm.Print_Titles" localSheetId="19">'1居宅介護(身介重度、合成１-1)'!$4:$6</definedName>
    <definedName name="_xlnm.Print_Titles" localSheetId="20">'1居宅介護(身介重度、合成１-2)'!$4:$6</definedName>
    <definedName name="_xlnm.Print_Titles" localSheetId="21">'1居宅介護(身介重度、合成１-3)'!$4:$6</definedName>
    <definedName name="_xlnm.Print_Titles" localSheetId="22">'1居宅介護(身介重度、合成１-4)'!$4:$6</definedName>
    <definedName name="_xlnm.Print_Titles" localSheetId="23">'1居宅介護(身介重度、合成１-5)'!$4:$6</definedName>
    <definedName name="_xlnm.Print_Titles" localSheetId="24">'1居宅介護(身介重度、合成１-6)'!$4:$6</definedName>
    <definedName name="_xlnm.Print_Titles" localSheetId="25">'1居宅介護(身介重度、合成１-7)'!$4:$6</definedName>
    <definedName name="_xlnm.Print_Titles" localSheetId="26">'1居宅介護(身介重度、合成１-8)'!$4:$6</definedName>
    <definedName name="_xlnm.Print_Titles" localSheetId="18">'1居宅介護(身介重度、単一深夜)'!$4:$6</definedName>
    <definedName name="_xlnm.Print_Titles" localSheetId="17">'1居宅介護(身介重度、単一日中・早朝・夜間)'!$5:$6</definedName>
    <definedName name="_xlnm.Print_Titles" localSheetId="27">'1居宅介護(身介重度、日中早朝増分)'!$5:$6</definedName>
    <definedName name="_xlnm.Print_Titles" localSheetId="101">'1居宅介護(単独加算)'!$4:$6</definedName>
    <definedName name="_xlnm.Print_Titles" localSheetId="92">'1居宅介護(通院家援、深夜増分)'!$4:$6</definedName>
    <definedName name="_xlnm.Print_Titles" localSheetId="86">'1居宅介護(通院家援、単一深夜)'!$4:$6</definedName>
    <definedName name="_xlnm.Print_Titles" localSheetId="84">'1居宅介護(通院家援、単一日中)'!$4:$6</definedName>
    <definedName name="_xlnm.Print_Titles" localSheetId="90">'1居宅介護(通院家援、日中増分)'!$4:$6</definedName>
    <definedName name="_xlnm.Print_Titles" localSheetId="93">'1居宅介護(通院家援重度、単一日中)'!$4:$6</definedName>
    <definedName name="_xlnm.Print_Titles" localSheetId="97">'1居宅介護(通院家援重度、日中増分)'!$4:$6</definedName>
    <definedName name="_xlnm.Print_Titles" localSheetId="46">'1居宅介護(通院重度、合成１-1)'!$4:$6</definedName>
    <definedName name="_xlnm.Print_Titles" localSheetId="47">'1居宅介護(通院重度、合成１-2)'!$4:$6</definedName>
    <definedName name="_xlnm.Print_Titles" localSheetId="48">'1居宅介護(通院重度、合成１-3)'!$4:$6</definedName>
    <definedName name="_xlnm.Print_Titles" localSheetId="49">'1居宅介護(通院重度、合成１-4)'!$4:$6</definedName>
    <definedName name="_xlnm.Print_Titles" localSheetId="50">'1居宅介護(通院重度、合成１-5)'!$4:$6</definedName>
    <definedName name="_xlnm.Print_Titles" localSheetId="51">'1居宅介護(通院重度、合成１-6)'!$4:$6</definedName>
    <definedName name="_xlnm.Print_Titles" localSheetId="52">'1居宅介護(通院重度、合成１-7)'!$4:$6</definedName>
    <definedName name="_xlnm.Print_Titles" localSheetId="53">'1居宅介護(通院重度、合成１-8)'!$4:$6</definedName>
    <definedName name="_xlnm.Print_Titles" localSheetId="45">'1居宅介護(通院重度、単一深夜)'!$4:$6</definedName>
    <definedName name="_xlnm.Print_Titles" localSheetId="44">'1居宅介護(通院重度、単一日中・早朝・夜間)'!$5:$6</definedName>
    <definedName name="_xlnm.Print_Titles" localSheetId="37">'1居宅介護(通院身体、2h未合成１)'!$4:$6</definedName>
    <definedName name="_xlnm.Print_Titles" localSheetId="38">'1居宅介護(通院身体、2h未合成２)'!$4:$6</definedName>
    <definedName name="_xlnm.Print_Titles" localSheetId="39">'1居宅介護(通院身体、2h未合成３‐1)'!$4:$6</definedName>
    <definedName name="_xlnm.Print_Titles" localSheetId="40">'1居宅介護(通院身体、2h未合成３‐2)'!$4:$6</definedName>
    <definedName name="_xlnm.Print_Titles" localSheetId="32">'1居宅介護(通院身体、合成深夜)'!$4:$6</definedName>
    <definedName name="_xlnm.Print_Titles" localSheetId="33">'1居宅介護(通院身体、合成早朝)'!$4:$6</definedName>
    <definedName name="_xlnm.Print_Titles" localSheetId="34">'1居宅介護(通院身体、合成日中)'!$5:$6</definedName>
    <definedName name="_xlnm.Print_Titles" localSheetId="35">'1居宅介護(通院身体、合成夜間１)'!$4:$6</definedName>
    <definedName name="_xlnm.Print_Titles" localSheetId="36">'1居宅介護(通院身体、合成夜間２)'!$4:$6</definedName>
    <definedName name="_xlnm.Print_Titles" localSheetId="43">'1居宅介護(通院身体、深夜増分)'!$4:$6</definedName>
    <definedName name="_xlnm.Print_Titles" localSheetId="31">'1居宅介護(通院身体、単一深夜)'!$4:$6</definedName>
    <definedName name="_xlnm.Print_Titles" localSheetId="29">'1居宅介護(通院身体、単一日中)'!$4:$6</definedName>
    <definedName name="_xlnm.Print_Titles" localSheetId="41">'1居宅介護(通院身体、日中増分)'!$4:$6</definedName>
    <definedName name="_xlnm.Print_Titles" localSheetId="102">'2重度訪問'!$4:$6</definedName>
    <definedName name="_xlnm.Print_Titles" localSheetId="106">'2重度訪問 (入院入所中)'!$4:$6</definedName>
    <definedName name="_xlnm.Print_Titles" localSheetId="109">'2重度訪問 (入院入所中、深夜)'!$4:$6</definedName>
    <definedName name="_xlnm.Print_Titles" localSheetId="107">'2重度訪問 (入院入所中、早朝)'!$4:$6</definedName>
    <definedName name="_xlnm.Print_Titles" localSheetId="108">'2重度訪問 (入院入所中、夜間)'!$4:$6</definedName>
    <definedName name="_xlnm.Print_Titles" localSheetId="105">'2重度訪問（深夜）'!$4:$6</definedName>
    <definedName name="_xlnm.Print_Titles" localSheetId="103">'2重度訪問（早朝）'!$4:$6</definedName>
    <definedName name="_xlnm.Print_Titles" localSheetId="104">'2重度訪問（夜間）'!$4:$6</definedName>
    <definedName name="_xlnm.Print_Titles" localSheetId="139">'3同行援護(単独加算)'!$4:$6</definedName>
    <definedName name="_xlnm.Print_Titles" localSheetId="119">'3同行援護(同行援護、2h未合成１)'!$4:$6</definedName>
    <definedName name="_xlnm.Print_Titles" localSheetId="120">'3同行援護(同行援護、2h未合成２)'!$4:$6</definedName>
    <definedName name="_xlnm.Print_Titles" localSheetId="121">'3同行援護(同行援護、2h未合成３)'!$3:$6</definedName>
    <definedName name="_xlnm.Print_Titles" localSheetId="114">'3同行援護(同行援護、合成深夜)'!$4:$6</definedName>
    <definedName name="_xlnm.Print_Titles" localSheetId="115">'3同行援護(同行援護、合成早朝)'!$4:$6</definedName>
    <definedName name="_xlnm.Print_Titles" localSheetId="116">'3同行援護(同行援護、合成日中)'!$3:$6</definedName>
    <definedName name="_xlnm.Print_Titles" localSheetId="117">'3同行援護(同行援護、合成夜間１)'!$4:$6</definedName>
    <definedName name="_xlnm.Print_Titles" localSheetId="118">'3同行援護(同行援護、合成夜間２)'!$4:$6</definedName>
    <definedName name="_xlnm.Print_Titles" localSheetId="124">'3同行援護(同行援護、深夜増分)'!$4:$6</definedName>
    <definedName name="_xlnm.Print_Titles" localSheetId="123">'3同行援護(同行援護、早朝夜間増分)'!$5:$6</definedName>
    <definedName name="_xlnm.Print_Titles" localSheetId="113">'3同行援護(同行援護、単一深夜)'!$4:$6</definedName>
    <definedName name="_xlnm.Print_Titles" localSheetId="112">'3同行援護(同行援護、単一早朝夜間)'!$5:$6</definedName>
    <definedName name="_xlnm.Print_Titles" localSheetId="111">'3同行援護(同行援護、単一日中)'!$4:$6</definedName>
    <definedName name="_xlnm.Print_Titles" localSheetId="122">'3同行援護(同行援護、日中増分)'!$4:$6</definedName>
    <definedName name="_xlnm.Print_Titles" localSheetId="133">'3同行援護(同行援護盲ろう、2h未合成１)'!$4:$6</definedName>
    <definedName name="_xlnm.Print_Titles" localSheetId="134">'3同行援護(同行援護盲ろう、2h未合成２)'!$4:$6</definedName>
    <definedName name="_xlnm.Print_Titles" localSheetId="135">'3同行援護(同行援護盲ろう、2h未合成３)'!$5:$6</definedName>
    <definedName name="_xlnm.Print_Titles" localSheetId="128">'3同行援護(同行援護盲ろう、合成深夜)'!$4:$6</definedName>
    <definedName name="_xlnm.Print_Titles" localSheetId="129">'3同行援護(同行援護盲ろう、合成早朝)'!$4:$6</definedName>
    <definedName name="_xlnm.Print_Titles" localSheetId="130">'3同行援護(同行援護盲ろう、合成日中)'!$3:$6</definedName>
    <definedName name="_xlnm.Print_Titles" localSheetId="131">'3同行援護(同行援護盲ろう、合成夜間１)'!$4:$6</definedName>
    <definedName name="_xlnm.Print_Titles" localSheetId="132">'3同行援護(同行援護盲ろう、合成夜間２)'!$4:$6</definedName>
    <definedName name="_xlnm.Print_Titles" localSheetId="138">'3同行援護(同行援護盲ろう、深夜増分)'!$4:$6</definedName>
    <definedName name="_xlnm.Print_Titles" localSheetId="137">'3同行援護(同行援護盲ろう、早朝夜間増分)'!$3:$6</definedName>
    <definedName name="_xlnm.Print_Titles" localSheetId="127">'3同行援護(同行援護盲ろう、単一深夜)'!$4:$6</definedName>
    <definedName name="_xlnm.Print_Titles" localSheetId="125">'3同行援護(同行援護盲ろう、単一日中)'!$4:$6</definedName>
    <definedName name="_xlnm.Print_Titles" localSheetId="136">'3同行援護(同行援護盲ろう、日中増分)'!$4:$6</definedName>
    <definedName name="_xlnm.Print_Titles" localSheetId="140">'4行動援護'!$4:$6</definedName>
    <definedName name="_xlnm.Print_Titles" localSheetId="144">'5療養介護(サービス管理責任者欠員)'!$4:$6</definedName>
    <definedName name="_xlnm.Print_Titles" localSheetId="141">'5療養介護(基本)'!$4:$6</definedName>
    <definedName name="_xlnm.Print_Titles" localSheetId="143">'5療養介護(生活支援員他欠員)'!$4:$6</definedName>
    <definedName name="_xlnm.Print_Titles" localSheetId="142">'5療養介護(定超)'!$4:$6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4" i="144" l="1"/>
  <c r="Q93" i="144"/>
  <c r="AI94" i="144" s="1"/>
  <c r="AA92" i="144"/>
  <c r="AG91" i="144"/>
  <c r="Q91" i="144"/>
  <c r="AI92" i="144" s="1"/>
  <c r="AA90" i="144"/>
  <c r="AI89" i="144"/>
  <c r="Q89" i="144"/>
  <c r="AI90" i="144" s="1"/>
  <c r="AA88" i="144"/>
  <c r="AI87" i="144"/>
  <c r="Q87" i="144"/>
  <c r="AI88" i="144" s="1"/>
  <c r="AA86" i="144"/>
  <c r="AI85" i="144"/>
  <c r="Q85" i="144"/>
  <c r="AI86" i="144" s="1"/>
  <c r="AA84" i="144"/>
  <c r="AI83" i="144"/>
  <c r="Q83" i="144"/>
  <c r="AI84" i="144" s="1"/>
  <c r="AA82" i="144"/>
  <c r="AI81" i="144"/>
  <c r="Q81" i="144"/>
  <c r="AI82" i="144" s="1"/>
  <c r="AA80" i="144"/>
  <c r="AI79" i="144"/>
  <c r="Q79" i="144"/>
  <c r="AI80" i="144" s="1"/>
  <c r="Q78" i="144"/>
  <c r="AI78" i="144" s="1"/>
  <c r="AI77" i="144"/>
  <c r="Q77" i="144"/>
  <c r="Q76" i="144"/>
  <c r="AI76" i="144" s="1"/>
  <c r="AI75" i="144"/>
  <c r="Q75" i="144"/>
  <c r="AA74" i="144"/>
  <c r="AI73" i="144"/>
  <c r="Q73" i="144"/>
  <c r="AI74" i="144" s="1"/>
  <c r="AA72" i="144"/>
  <c r="AI71" i="144"/>
  <c r="Q71" i="144"/>
  <c r="AI72" i="144" s="1"/>
  <c r="AA70" i="144"/>
  <c r="AI69" i="144"/>
  <c r="Q69" i="144"/>
  <c r="AI70" i="144" s="1"/>
  <c r="AA68" i="144"/>
  <c r="AI67" i="144"/>
  <c r="Q67" i="144"/>
  <c r="AI68" i="144" s="1"/>
  <c r="AA66" i="144"/>
  <c r="AI65" i="144"/>
  <c r="Q65" i="144"/>
  <c r="AI66" i="144" s="1"/>
  <c r="AA64" i="144"/>
  <c r="AI63" i="144"/>
  <c r="Q63" i="144"/>
  <c r="AI64" i="144" s="1"/>
  <c r="AA62" i="144"/>
  <c r="AI61" i="144"/>
  <c r="Q61" i="144"/>
  <c r="AI62" i="144" s="1"/>
  <c r="AA60" i="144"/>
  <c r="AI59" i="144"/>
  <c r="Q59" i="144"/>
  <c r="AI60" i="144" s="1"/>
  <c r="AA58" i="144"/>
  <c r="AI57" i="144"/>
  <c r="Q57" i="144"/>
  <c r="AI58" i="144" s="1"/>
  <c r="AA56" i="144"/>
  <c r="AI55" i="144"/>
  <c r="Q55" i="144"/>
  <c r="AI56" i="144" s="1"/>
  <c r="AA54" i="144"/>
  <c r="AI53" i="144"/>
  <c r="Q53" i="144"/>
  <c r="AI54" i="144" s="1"/>
  <c r="AA52" i="144"/>
  <c r="AI51" i="144"/>
  <c r="Q51" i="144"/>
  <c r="AI52" i="144" s="1"/>
  <c r="AA50" i="144"/>
  <c r="AI49" i="144"/>
  <c r="Q49" i="144"/>
  <c r="AI50" i="144" s="1"/>
  <c r="AA48" i="144"/>
  <c r="AI47" i="144"/>
  <c r="AG47" i="144"/>
  <c r="Q47" i="144"/>
  <c r="AI48" i="144" s="1"/>
  <c r="AA46" i="144"/>
  <c r="AI45" i="144"/>
  <c r="Q45" i="144"/>
  <c r="AI46" i="144" s="1"/>
  <c r="AA44" i="144"/>
  <c r="AI43" i="144"/>
  <c r="Q43" i="144"/>
  <c r="AI44" i="144" s="1"/>
  <c r="AA42" i="144"/>
  <c r="AI41" i="144"/>
  <c r="Q41" i="144"/>
  <c r="AI42" i="144" s="1"/>
  <c r="AA40" i="144"/>
  <c r="AI39" i="144"/>
  <c r="Q39" i="144"/>
  <c r="AI40" i="144" s="1"/>
  <c r="AA38" i="144"/>
  <c r="AI37" i="144"/>
  <c r="Q37" i="144"/>
  <c r="AI38" i="144" s="1"/>
  <c r="AA36" i="144"/>
  <c r="AI35" i="144"/>
  <c r="Q35" i="144"/>
  <c r="AI36" i="144" s="1"/>
  <c r="Q34" i="144"/>
  <c r="AI34" i="144" s="1"/>
  <c r="AI33" i="144"/>
  <c r="Q33" i="144"/>
  <c r="Q32" i="144"/>
  <c r="AI32" i="144" s="1"/>
  <c r="AI31" i="144"/>
  <c r="Q31" i="144"/>
  <c r="AA30" i="144"/>
  <c r="AI29" i="144"/>
  <c r="Q29" i="144"/>
  <c r="AI30" i="144" s="1"/>
  <c r="AA28" i="144"/>
  <c r="AI27" i="144"/>
  <c r="Q27" i="144"/>
  <c r="AI28" i="144" s="1"/>
  <c r="AA26" i="144"/>
  <c r="AI25" i="144"/>
  <c r="Q25" i="144"/>
  <c r="AI26" i="144" s="1"/>
  <c r="AA24" i="144"/>
  <c r="AI23" i="144"/>
  <c r="Q23" i="144"/>
  <c r="AI24" i="144" s="1"/>
  <c r="AA22" i="144"/>
  <c r="AI21" i="144"/>
  <c r="Q21" i="144"/>
  <c r="AI22" i="144" s="1"/>
  <c r="AA20" i="144"/>
  <c r="AI19" i="144"/>
  <c r="Q19" i="144"/>
  <c r="AI20" i="144" s="1"/>
  <c r="AA18" i="144"/>
  <c r="AI17" i="144"/>
  <c r="Q17" i="144"/>
  <c r="AI18" i="144" s="1"/>
  <c r="AA16" i="144"/>
  <c r="AI16" i="144" s="1"/>
  <c r="AI15" i="144"/>
  <c r="Q15" i="144"/>
  <c r="AA14" i="144"/>
  <c r="AI14" i="144" s="1"/>
  <c r="AI13" i="144"/>
  <c r="Q13" i="144"/>
  <c r="AA12" i="144"/>
  <c r="AI12" i="144" s="1"/>
  <c r="AI11" i="144"/>
  <c r="Q11" i="144"/>
  <c r="AA10" i="144"/>
  <c r="AI10" i="144" s="1"/>
  <c r="AI9" i="144"/>
  <c r="Q9" i="144"/>
  <c r="AI7" i="144"/>
  <c r="Q7" i="144"/>
  <c r="AI8" i="144" s="1"/>
  <c r="I269" i="143"/>
  <c r="I263" i="143"/>
  <c r="I257" i="143"/>
  <c r="I251" i="143"/>
  <c r="I245" i="143"/>
  <c r="I239" i="143"/>
  <c r="I233" i="143"/>
  <c r="I227" i="143"/>
  <c r="J221" i="143"/>
  <c r="J218" i="143"/>
  <c r="J215" i="143"/>
  <c r="J212" i="143"/>
  <c r="AM210" i="143"/>
  <c r="I209" i="143"/>
  <c r="I203" i="143"/>
  <c r="I197" i="143"/>
  <c r="I191" i="143"/>
  <c r="I185" i="143"/>
  <c r="U183" i="143"/>
  <c r="U207" i="143" s="1"/>
  <c r="AS220" i="143" s="1"/>
  <c r="AS181" i="143"/>
  <c r="I179" i="143"/>
  <c r="AS175" i="143" s="1"/>
  <c r="I173" i="143"/>
  <c r="AS169" i="143"/>
  <c r="I167" i="143"/>
  <c r="AS163" i="143" s="1"/>
  <c r="I161" i="143"/>
  <c r="AS157" i="143"/>
  <c r="I155" i="143"/>
  <c r="AS151" i="143" s="1"/>
  <c r="I149" i="143"/>
  <c r="AS145" i="143"/>
  <c r="I143" i="143"/>
  <c r="AS139" i="143" s="1"/>
  <c r="I137" i="143"/>
  <c r="I131" i="143"/>
  <c r="I125" i="143"/>
  <c r="I119" i="143"/>
  <c r="I113" i="143"/>
  <c r="AM111" i="143"/>
  <c r="AM108" i="143"/>
  <c r="I107" i="143"/>
  <c r="I101" i="143"/>
  <c r="AM96" i="143"/>
  <c r="I95" i="143"/>
  <c r="J89" i="143"/>
  <c r="J86" i="143"/>
  <c r="J83" i="143"/>
  <c r="J80" i="143"/>
  <c r="I77" i="143"/>
  <c r="AM75" i="143"/>
  <c r="I71" i="143"/>
  <c r="I65" i="143"/>
  <c r="I59" i="143"/>
  <c r="I53" i="143"/>
  <c r="U51" i="143"/>
  <c r="U75" i="143" s="1"/>
  <c r="I47" i="143"/>
  <c r="AM42" i="143"/>
  <c r="I41" i="143"/>
  <c r="I35" i="143"/>
  <c r="AM30" i="143"/>
  <c r="I29" i="143"/>
  <c r="I23" i="143"/>
  <c r="AM18" i="143"/>
  <c r="I17" i="143"/>
  <c r="S12" i="143"/>
  <c r="S132" i="143" s="1"/>
  <c r="I11" i="143"/>
  <c r="AM9" i="143"/>
  <c r="AM234" i="143" s="1"/>
  <c r="AM8" i="143"/>
  <c r="AM203" i="143" s="1"/>
  <c r="I137" i="142"/>
  <c r="I131" i="142"/>
  <c r="I125" i="142"/>
  <c r="I119" i="142"/>
  <c r="I113" i="142"/>
  <c r="I107" i="142"/>
  <c r="I101" i="142"/>
  <c r="I95" i="142"/>
  <c r="J90" i="142"/>
  <c r="J87" i="142"/>
  <c r="J84" i="142"/>
  <c r="J81" i="142"/>
  <c r="I77" i="142"/>
  <c r="I71" i="142"/>
  <c r="I65" i="142"/>
  <c r="I59" i="142"/>
  <c r="I53" i="142"/>
  <c r="AS49" i="142" s="1"/>
  <c r="U50" i="142"/>
  <c r="I47" i="142"/>
  <c r="AS43" i="142"/>
  <c r="I41" i="142"/>
  <c r="AS37" i="142" s="1"/>
  <c r="I35" i="142"/>
  <c r="AS31" i="142"/>
  <c r="I29" i="142"/>
  <c r="AS25" i="142" s="1"/>
  <c r="I23" i="142"/>
  <c r="AS19" i="142"/>
  <c r="I17" i="142"/>
  <c r="AS13" i="142" s="1"/>
  <c r="S12" i="142"/>
  <c r="S108" i="142" s="1"/>
  <c r="I11" i="142"/>
  <c r="AS9" i="142" s="1"/>
  <c r="AM9" i="142"/>
  <c r="AM135" i="142" s="1"/>
  <c r="AM8" i="142"/>
  <c r="AM137" i="142" s="1"/>
  <c r="AS157" i="141"/>
  <c r="AS156" i="141"/>
  <c r="AS155" i="141"/>
  <c r="AS154" i="141"/>
  <c r="AS153" i="141"/>
  <c r="AS152" i="141"/>
  <c r="AS151" i="141"/>
  <c r="AS150" i="141"/>
  <c r="AS149" i="141"/>
  <c r="AS148" i="141"/>
  <c r="AS147" i="141"/>
  <c r="AS146" i="141"/>
  <c r="AS145" i="141"/>
  <c r="AS144" i="141"/>
  <c r="AS143" i="141"/>
  <c r="AS142" i="141"/>
  <c r="AS141" i="141"/>
  <c r="AS140" i="141"/>
  <c r="AM138" i="141"/>
  <c r="S138" i="141"/>
  <c r="AS136" i="141" s="1"/>
  <c r="AM137" i="141"/>
  <c r="AM135" i="141"/>
  <c r="AS135" i="141" s="1"/>
  <c r="AM134" i="141"/>
  <c r="AS134" i="141" s="1"/>
  <c r="AS133" i="141"/>
  <c r="AM132" i="141"/>
  <c r="S132" i="141"/>
  <c r="AM131" i="141"/>
  <c r="AS129" i="141"/>
  <c r="AM129" i="141"/>
  <c r="AM128" i="141"/>
  <c r="AS128" i="141" s="1"/>
  <c r="AS127" i="141"/>
  <c r="AM126" i="141"/>
  <c r="S126" i="141"/>
  <c r="AM125" i="141"/>
  <c r="AS125" i="141" s="1"/>
  <c r="AM123" i="141"/>
  <c r="AS123" i="141" s="1"/>
  <c r="AM122" i="141"/>
  <c r="AS122" i="141" s="1"/>
  <c r="AS121" i="141"/>
  <c r="AS120" i="141"/>
  <c r="AM120" i="141"/>
  <c r="S120" i="141"/>
  <c r="AM119" i="141"/>
  <c r="AS119" i="141" s="1"/>
  <c r="AS118" i="141"/>
  <c r="AM117" i="141"/>
  <c r="AS117" i="141" s="1"/>
  <c r="AM116" i="141"/>
  <c r="AS116" i="141" s="1"/>
  <c r="AS115" i="141"/>
  <c r="AM114" i="141"/>
  <c r="AS114" i="141" s="1"/>
  <c r="S114" i="141"/>
  <c r="AM113" i="141"/>
  <c r="AS112" i="141"/>
  <c r="AS111" i="141"/>
  <c r="AM111" i="141"/>
  <c r="AM110" i="141"/>
  <c r="AS110" i="141" s="1"/>
  <c r="AS109" i="141"/>
  <c r="AM108" i="141"/>
  <c r="S108" i="141"/>
  <c r="AM107" i="141"/>
  <c r="AS105" i="141"/>
  <c r="AM105" i="141"/>
  <c r="AM104" i="141"/>
  <c r="AS104" i="141" s="1"/>
  <c r="AS103" i="141"/>
  <c r="AM102" i="141"/>
  <c r="S102" i="141"/>
  <c r="AS101" i="141" s="1"/>
  <c r="AM101" i="141"/>
  <c r="AM99" i="141"/>
  <c r="AS99" i="141" s="1"/>
  <c r="AS98" i="141"/>
  <c r="AM98" i="141"/>
  <c r="AS97" i="141"/>
  <c r="AS96" i="141"/>
  <c r="AM96" i="141"/>
  <c r="S96" i="141"/>
  <c r="AM95" i="141"/>
  <c r="AS94" i="141"/>
  <c r="AM93" i="141"/>
  <c r="AS93" i="141" s="1"/>
  <c r="AS92" i="141"/>
  <c r="AM92" i="141"/>
  <c r="AS91" i="141"/>
  <c r="AM90" i="141"/>
  <c r="AS90" i="141" s="1"/>
  <c r="AS89" i="141"/>
  <c r="AM89" i="141"/>
  <c r="AS88" i="141"/>
  <c r="AS87" i="141"/>
  <c r="AM87" i="141"/>
  <c r="AM86" i="141"/>
  <c r="AS86" i="141" s="1"/>
  <c r="AS85" i="141"/>
  <c r="AS84" i="141"/>
  <c r="AM84" i="141"/>
  <c r="AM83" i="141"/>
  <c r="AS83" i="141" s="1"/>
  <c r="AS82" i="141"/>
  <c r="AM81" i="141"/>
  <c r="AS81" i="141" s="1"/>
  <c r="AS80" i="141"/>
  <c r="AM80" i="141"/>
  <c r="AS79" i="141"/>
  <c r="AM78" i="141"/>
  <c r="AS78" i="141" s="1"/>
  <c r="S78" i="141"/>
  <c r="AS77" i="141" s="1"/>
  <c r="AM77" i="141"/>
  <c r="AS76" i="141"/>
  <c r="AS75" i="141"/>
  <c r="AM75" i="141"/>
  <c r="AM74" i="141"/>
  <c r="AS74" i="141" s="1"/>
  <c r="AS73" i="141"/>
  <c r="AM72" i="141"/>
  <c r="S72" i="141"/>
  <c r="AS71" i="141" s="1"/>
  <c r="AM71" i="141"/>
  <c r="AS69" i="141"/>
  <c r="AM69" i="141"/>
  <c r="AM68" i="141"/>
  <c r="AS68" i="141" s="1"/>
  <c r="AS67" i="141"/>
  <c r="AM66" i="141"/>
  <c r="S66" i="141"/>
  <c r="AS65" i="141" s="1"/>
  <c r="AM65" i="141"/>
  <c r="AM63" i="141"/>
  <c r="AS63" i="141" s="1"/>
  <c r="AS62" i="141"/>
  <c r="AM62" i="141"/>
  <c r="AS61" i="141"/>
  <c r="AS60" i="141"/>
  <c r="AM60" i="141"/>
  <c r="S60" i="141"/>
  <c r="AM59" i="141"/>
  <c r="AS58" i="141"/>
  <c r="AM57" i="141"/>
  <c r="AS57" i="141" s="1"/>
  <c r="AS56" i="141"/>
  <c r="AM56" i="141"/>
  <c r="AS55" i="141"/>
  <c r="AM54" i="141"/>
  <c r="AS54" i="141" s="1"/>
  <c r="S54" i="141"/>
  <c r="AS53" i="141" s="1"/>
  <c r="AM53" i="141"/>
  <c r="AS52" i="141"/>
  <c r="AS51" i="141"/>
  <c r="AM51" i="141"/>
  <c r="AM50" i="141"/>
  <c r="AS50" i="141" s="1"/>
  <c r="AS49" i="141"/>
  <c r="AM48" i="141"/>
  <c r="S48" i="141"/>
  <c r="AS47" i="141" s="1"/>
  <c r="AM47" i="141"/>
  <c r="AS45" i="141"/>
  <c r="AM45" i="141"/>
  <c r="AM44" i="141"/>
  <c r="AS44" i="141" s="1"/>
  <c r="AS43" i="141"/>
  <c r="AM42" i="141"/>
  <c r="S42" i="141"/>
  <c r="AS41" i="141" s="1"/>
  <c r="AM41" i="141"/>
  <c r="AM39" i="141"/>
  <c r="AS39" i="141" s="1"/>
  <c r="AS38" i="141"/>
  <c r="AM38" i="141"/>
  <c r="AS37" i="141"/>
  <c r="AS36" i="141"/>
  <c r="AM36" i="141"/>
  <c r="S36" i="141"/>
  <c r="AM35" i="141"/>
  <c r="AS34" i="141"/>
  <c r="AM33" i="141"/>
  <c r="AS33" i="141" s="1"/>
  <c r="AS32" i="141"/>
  <c r="AM32" i="141"/>
  <c r="AS31" i="141"/>
  <c r="AM30" i="141"/>
  <c r="AS30" i="141" s="1"/>
  <c r="S30" i="141"/>
  <c r="AS29" i="141" s="1"/>
  <c r="AM29" i="141"/>
  <c r="AS28" i="141"/>
  <c r="AS27" i="141"/>
  <c r="AM27" i="141"/>
  <c r="AM26" i="141"/>
  <c r="AS26" i="141" s="1"/>
  <c r="AS25" i="141"/>
  <c r="AM24" i="141"/>
  <c r="S24" i="141"/>
  <c r="AS23" i="141" s="1"/>
  <c r="AM23" i="141"/>
  <c r="AS21" i="141"/>
  <c r="AM21" i="141"/>
  <c r="AM20" i="141"/>
  <c r="AS20" i="141" s="1"/>
  <c r="AS19" i="141"/>
  <c r="AM18" i="141"/>
  <c r="S18" i="141"/>
  <c r="AS17" i="141" s="1"/>
  <c r="AM17" i="141"/>
  <c r="AM15" i="141"/>
  <c r="AS15" i="141" s="1"/>
  <c r="AS14" i="141"/>
  <c r="AM14" i="141"/>
  <c r="AS13" i="141"/>
  <c r="AS12" i="141"/>
  <c r="AM12" i="141"/>
  <c r="AM11" i="141"/>
  <c r="AS11" i="141" s="1"/>
  <c r="AS10" i="141"/>
  <c r="AS9" i="141"/>
  <c r="AS8" i="141"/>
  <c r="AS7" i="141"/>
  <c r="AS214" i="143" l="1"/>
  <c r="AS35" i="141"/>
  <c r="AS59" i="141"/>
  <c r="AS95" i="141"/>
  <c r="AS131" i="141"/>
  <c r="AS138" i="141"/>
  <c r="AM12" i="143"/>
  <c r="AM24" i="143"/>
  <c r="AM36" i="143"/>
  <c r="AM48" i="143"/>
  <c r="AM87" i="143"/>
  <c r="AI91" i="144"/>
  <c r="AI93" i="144"/>
  <c r="AS7" i="142"/>
  <c r="AS107" i="141"/>
  <c r="AS113" i="141"/>
  <c r="AS126" i="141"/>
  <c r="AM81" i="143"/>
  <c r="AS18" i="141"/>
  <c r="AS42" i="141"/>
  <c r="AS66" i="141"/>
  <c r="AS102" i="141"/>
  <c r="AS137" i="141"/>
  <c r="AS82" i="143"/>
  <c r="AS87" i="143"/>
  <c r="AS81" i="143"/>
  <c r="U110" i="143"/>
  <c r="U135" i="143" s="1"/>
  <c r="AS85" i="143"/>
  <c r="AS79" i="143"/>
  <c r="AS75" i="143"/>
  <c r="AS73" i="143"/>
  <c r="AS67" i="143"/>
  <c r="AS61" i="143"/>
  <c r="AS55" i="143"/>
  <c r="AS10" i="143"/>
  <c r="S18" i="143"/>
  <c r="AS16" i="143" s="1"/>
  <c r="S24" i="143"/>
  <c r="AS22" i="143" s="1"/>
  <c r="S30" i="143"/>
  <c r="AS28" i="143" s="1"/>
  <c r="AM38" i="143"/>
  <c r="S42" i="143"/>
  <c r="AS40" i="143" s="1"/>
  <c r="AM44" i="143"/>
  <c r="AM50" i="143"/>
  <c r="AS50" i="143" s="1"/>
  <c r="AM77" i="143"/>
  <c r="S114" i="143"/>
  <c r="S126" i="143"/>
  <c r="AS205" i="143"/>
  <c r="AM218" i="143"/>
  <c r="S240" i="143"/>
  <c r="S234" i="143"/>
  <c r="S228" i="143"/>
  <c r="S210" i="143"/>
  <c r="S108" i="143"/>
  <c r="S102" i="143"/>
  <c r="S96" i="143"/>
  <c r="S204" i="143"/>
  <c r="S198" i="143"/>
  <c r="S192" i="143"/>
  <c r="S186" i="143"/>
  <c r="S270" i="143"/>
  <c r="S180" i="143"/>
  <c r="S174" i="143"/>
  <c r="S168" i="143"/>
  <c r="S162" i="143"/>
  <c r="S156" i="143"/>
  <c r="S150" i="143"/>
  <c r="S144" i="143"/>
  <c r="S138" i="143"/>
  <c r="S264" i="143"/>
  <c r="S258" i="143"/>
  <c r="S252" i="143"/>
  <c r="S246" i="143"/>
  <c r="AM32" i="143"/>
  <c r="AS8" i="143"/>
  <c r="AS38" i="143"/>
  <c r="AS44" i="143"/>
  <c r="AM62" i="143"/>
  <c r="AS62" i="143" s="1"/>
  <c r="AM74" i="143"/>
  <c r="AS74" i="143" s="1"/>
  <c r="AM83" i="143"/>
  <c r="AS100" i="143"/>
  <c r="AM185" i="143"/>
  <c r="AM191" i="143"/>
  <c r="AM197" i="143"/>
  <c r="AM269" i="143"/>
  <c r="AM242" i="143"/>
  <c r="AM236" i="143"/>
  <c r="AM230" i="143"/>
  <c r="AM224" i="143"/>
  <c r="AM179" i="143"/>
  <c r="AM173" i="143"/>
  <c r="AM167" i="143"/>
  <c r="AM161" i="143"/>
  <c r="AM155" i="143"/>
  <c r="AM149" i="143"/>
  <c r="AM143" i="143"/>
  <c r="AM137" i="143"/>
  <c r="AM104" i="143"/>
  <c r="AM98" i="143"/>
  <c r="AM92" i="143"/>
  <c r="AM263" i="143"/>
  <c r="AM257" i="143"/>
  <c r="AM251" i="143"/>
  <c r="AM245" i="143"/>
  <c r="AM221" i="143"/>
  <c r="AM215" i="143"/>
  <c r="AM206" i="143"/>
  <c r="AS206" i="143" s="1"/>
  <c r="AM200" i="143"/>
  <c r="AM194" i="143"/>
  <c r="AM188" i="143"/>
  <c r="AM131" i="143"/>
  <c r="AM125" i="143"/>
  <c r="AM239" i="143"/>
  <c r="AM233" i="143"/>
  <c r="AM227" i="143"/>
  <c r="AM209" i="143"/>
  <c r="AM182" i="143"/>
  <c r="AS182" i="143" s="1"/>
  <c r="AM176" i="143"/>
  <c r="AS176" i="143" s="1"/>
  <c r="AM170" i="143"/>
  <c r="AS170" i="143" s="1"/>
  <c r="AM164" i="143"/>
  <c r="AS164" i="143" s="1"/>
  <c r="AM158" i="143"/>
  <c r="AS158" i="143" s="1"/>
  <c r="AM152" i="143"/>
  <c r="AS152" i="143" s="1"/>
  <c r="AM146" i="143"/>
  <c r="AS146" i="143" s="1"/>
  <c r="AM140" i="143"/>
  <c r="AS140" i="143" s="1"/>
  <c r="AM107" i="143"/>
  <c r="AM101" i="143"/>
  <c r="AM95" i="143"/>
  <c r="AM266" i="143"/>
  <c r="AM260" i="143"/>
  <c r="AM254" i="143"/>
  <c r="AM248" i="143"/>
  <c r="AM14" i="143"/>
  <c r="AM20" i="143"/>
  <c r="AS20" i="143" s="1"/>
  <c r="S36" i="143"/>
  <c r="AS34" i="143" s="1"/>
  <c r="S48" i="143"/>
  <c r="AS46" i="143" s="1"/>
  <c r="AM56" i="143"/>
  <c r="AS56" i="143" s="1"/>
  <c r="S60" i="143"/>
  <c r="S66" i="143"/>
  <c r="AM89" i="143"/>
  <c r="AM122" i="143"/>
  <c r="AM134" i="143"/>
  <c r="AM267" i="143"/>
  <c r="AM204" i="143"/>
  <c r="AM198" i="143"/>
  <c r="AM192" i="143"/>
  <c r="AM186" i="143"/>
  <c r="AM177" i="143"/>
  <c r="AS177" i="143" s="1"/>
  <c r="AM171" i="143"/>
  <c r="AS171" i="143" s="1"/>
  <c r="AM165" i="143"/>
  <c r="AS165" i="143" s="1"/>
  <c r="AM159" i="143"/>
  <c r="AS159" i="143" s="1"/>
  <c r="AM153" i="143"/>
  <c r="AS153" i="143" s="1"/>
  <c r="AM147" i="143"/>
  <c r="AS147" i="143" s="1"/>
  <c r="AM141" i="143"/>
  <c r="AS141" i="143" s="1"/>
  <c r="AM135" i="143"/>
  <c r="AM270" i="143"/>
  <c r="AM261" i="143"/>
  <c r="AM255" i="143"/>
  <c r="AM249" i="143"/>
  <c r="AM243" i="143"/>
  <c r="AM219" i="143"/>
  <c r="AM213" i="143"/>
  <c r="AM180" i="143"/>
  <c r="AM174" i="143"/>
  <c r="AM168" i="143"/>
  <c r="AM162" i="143"/>
  <c r="AM156" i="143"/>
  <c r="AM150" i="143"/>
  <c r="AM144" i="143"/>
  <c r="AM138" i="143"/>
  <c r="AM129" i="143"/>
  <c r="AM123" i="143"/>
  <c r="AM264" i="143"/>
  <c r="AM258" i="143"/>
  <c r="AM252" i="143"/>
  <c r="AM246" i="143"/>
  <c r="AM237" i="143"/>
  <c r="AM231" i="143"/>
  <c r="AM225" i="143"/>
  <c r="AM207" i="143"/>
  <c r="AS207" i="143" s="1"/>
  <c r="AM132" i="143"/>
  <c r="AM126" i="143"/>
  <c r="AM120" i="143"/>
  <c r="AM114" i="143"/>
  <c r="AM105" i="143"/>
  <c r="AS105" i="143" s="1"/>
  <c r="AM99" i="143"/>
  <c r="AM93" i="143"/>
  <c r="AM240" i="143"/>
  <c r="AM11" i="143"/>
  <c r="AS11" i="143" s="1"/>
  <c r="AS12" i="143"/>
  <c r="AM15" i="143"/>
  <c r="AM17" i="143"/>
  <c r="AS18" i="143"/>
  <c r="AM21" i="143"/>
  <c r="AM23" i="143"/>
  <c r="AS24" i="143"/>
  <c r="AM27" i="143"/>
  <c r="AM29" i="143"/>
  <c r="AS30" i="143"/>
  <c r="AM33" i="143"/>
  <c r="AM35" i="143"/>
  <c r="AM39" i="143"/>
  <c r="AM41" i="143"/>
  <c r="AS42" i="143"/>
  <c r="AM45" i="143"/>
  <c r="AM47" i="143"/>
  <c r="AS48" i="143"/>
  <c r="AM54" i="143"/>
  <c r="AM60" i="143"/>
  <c r="AM66" i="143"/>
  <c r="AM72" i="143"/>
  <c r="S78" i="143"/>
  <c r="AS83" i="143"/>
  <c r="AS89" i="143"/>
  <c r="AS97" i="143"/>
  <c r="AS101" i="143"/>
  <c r="AM116" i="143"/>
  <c r="AM119" i="143"/>
  <c r="AS213" i="143"/>
  <c r="AM216" i="143"/>
  <c r="AS221" i="143"/>
  <c r="AM228" i="143"/>
  <c r="AM26" i="143"/>
  <c r="AS26" i="143" s="1"/>
  <c r="AS14" i="143"/>
  <c r="AS32" i="143"/>
  <c r="S54" i="143"/>
  <c r="AM68" i="143"/>
  <c r="AS68" i="143" s="1"/>
  <c r="S72" i="143"/>
  <c r="AS72" i="143" s="1"/>
  <c r="AM128" i="143"/>
  <c r="AS215" i="143"/>
  <c r="AS7" i="143"/>
  <c r="AS9" i="143"/>
  <c r="AS13" i="143"/>
  <c r="AS15" i="143"/>
  <c r="AS19" i="143"/>
  <c r="AS21" i="143"/>
  <c r="AS25" i="143"/>
  <c r="AS27" i="143"/>
  <c r="AS31" i="143"/>
  <c r="AS33" i="143"/>
  <c r="AS37" i="143"/>
  <c r="AS39" i="143"/>
  <c r="AS43" i="143"/>
  <c r="AS45" i="143"/>
  <c r="AS49" i="143"/>
  <c r="AM51" i="143"/>
  <c r="AS51" i="143" s="1"/>
  <c r="AM53" i="143"/>
  <c r="AM57" i="143"/>
  <c r="AS57" i="143" s="1"/>
  <c r="AM59" i="143"/>
  <c r="AM63" i="143"/>
  <c r="AS63" i="143" s="1"/>
  <c r="AM65" i="143"/>
  <c r="AM69" i="143"/>
  <c r="AS69" i="143" s="1"/>
  <c r="AM71" i="143"/>
  <c r="AM78" i="143"/>
  <c r="AM80" i="143"/>
  <c r="AS80" i="143" s="1"/>
  <c r="AM84" i="143"/>
  <c r="AS84" i="143" s="1"/>
  <c r="AM86" i="143"/>
  <c r="AS86" i="143" s="1"/>
  <c r="AS88" i="143"/>
  <c r="AM90" i="143"/>
  <c r="AS90" i="143" s="1"/>
  <c r="AS94" i="143"/>
  <c r="AS96" i="143"/>
  <c r="AS98" i="143"/>
  <c r="AM102" i="143"/>
  <c r="AS106" i="143"/>
  <c r="AS108" i="143"/>
  <c r="AM110" i="143"/>
  <c r="AM113" i="143"/>
  <c r="AS113" i="143" s="1"/>
  <c r="AM117" i="143"/>
  <c r="S120" i="143"/>
  <c r="AS119" i="143" s="1"/>
  <c r="AS125" i="143"/>
  <c r="AS131" i="143"/>
  <c r="AS138" i="143"/>
  <c r="AS144" i="143"/>
  <c r="AS150" i="143"/>
  <c r="AS156" i="143"/>
  <c r="AS162" i="143"/>
  <c r="AS168" i="143"/>
  <c r="AS174" i="143"/>
  <c r="AS180" i="143"/>
  <c r="AM183" i="143"/>
  <c r="AS183" i="143" s="1"/>
  <c r="AM189" i="143"/>
  <c r="AM195" i="143"/>
  <c r="AM201" i="143"/>
  <c r="AS200" i="143"/>
  <c r="AS194" i="143"/>
  <c r="AS188" i="143"/>
  <c r="AS217" i="143"/>
  <c r="AS211" i="143"/>
  <c r="U243" i="143"/>
  <c r="AS238" i="143" s="1"/>
  <c r="AS218" i="143"/>
  <c r="AS201" i="143"/>
  <c r="AS199" i="143"/>
  <c r="AS195" i="143"/>
  <c r="AS193" i="143"/>
  <c r="AS189" i="143"/>
  <c r="AS187" i="143"/>
  <c r="AM212" i="143"/>
  <c r="AS212" i="143" s="1"/>
  <c r="AS219" i="143"/>
  <c r="AM222" i="143"/>
  <c r="AS222" i="143" s="1"/>
  <c r="AS230" i="143"/>
  <c r="AS245" i="143"/>
  <c r="AS134" i="143"/>
  <c r="AS136" i="143"/>
  <c r="AS142" i="143"/>
  <c r="AS148" i="143"/>
  <c r="AS154" i="143"/>
  <c r="AS160" i="143"/>
  <c r="AS166" i="143"/>
  <c r="AS172" i="143"/>
  <c r="AS178" i="143"/>
  <c r="AS216" i="143"/>
  <c r="AS240" i="143"/>
  <c r="AS235" i="143"/>
  <c r="AS237" i="143"/>
  <c r="AS239" i="143"/>
  <c r="AS246" i="143"/>
  <c r="AS133" i="143"/>
  <c r="AS243" i="143"/>
  <c r="AM51" i="142"/>
  <c r="AM53" i="142"/>
  <c r="AM57" i="142"/>
  <c r="AM59" i="142"/>
  <c r="AM63" i="142"/>
  <c r="AM65" i="142"/>
  <c r="AM69" i="142"/>
  <c r="AM71" i="142"/>
  <c r="AM78" i="142"/>
  <c r="AM84" i="142"/>
  <c r="AM90" i="142"/>
  <c r="AM96" i="142"/>
  <c r="AM102" i="142"/>
  <c r="AM108" i="142"/>
  <c r="AM110" i="142"/>
  <c r="S114" i="142"/>
  <c r="AM116" i="142"/>
  <c r="S120" i="142"/>
  <c r="AM122" i="142"/>
  <c r="S126" i="142"/>
  <c r="AM128" i="142"/>
  <c r="S132" i="142"/>
  <c r="AS10" i="142"/>
  <c r="AM14" i="142"/>
  <c r="AS14" i="142" s="1"/>
  <c r="S18" i="142"/>
  <c r="AM20" i="142"/>
  <c r="AS20" i="142" s="1"/>
  <c r="S24" i="142"/>
  <c r="AS22" i="142" s="1"/>
  <c r="AM26" i="142"/>
  <c r="AS26" i="142" s="1"/>
  <c r="AS28" i="142"/>
  <c r="S30" i="142"/>
  <c r="AS30" i="142" s="1"/>
  <c r="AM32" i="142"/>
  <c r="AS32" i="142" s="1"/>
  <c r="S36" i="142"/>
  <c r="AM38" i="142"/>
  <c r="AS38" i="142" s="1"/>
  <c r="S42" i="142"/>
  <c r="AM44" i="142"/>
  <c r="AS44" i="142" s="1"/>
  <c r="S48" i="142"/>
  <c r="AS46" i="142" s="1"/>
  <c r="AS51" i="142"/>
  <c r="AM75" i="142"/>
  <c r="AM77" i="142"/>
  <c r="AM83" i="142"/>
  <c r="AM89" i="142"/>
  <c r="AM93" i="142"/>
  <c r="AM95" i="142"/>
  <c r="AM99" i="142"/>
  <c r="AM101" i="142"/>
  <c r="AM105" i="142"/>
  <c r="AM107" i="142"/>
  <c r="AM114" i="142"/>
  <c r="AM120" i="142"/>
  <c r="AM126" i="142"/>
  <c r="AM132" i="142"/>
  <c r="AM134" i="142"/>
  <c r="S138" i="142"/>
  <c r="AS8" i="142"/>
  <c r="AM12" i="142"/>
  <c r="AS12" i="142" s="1"/>
  <c r="AM18" i="142"/>
  <c r="AM24" i="142"/>
  <c r="AS24" i="142" s="1"/>
  <c r="AM30" i="142"/>
  <c r="AM36" i="142"/>
  <c r="AM42" i="142"/>
  <c r="AM48" i="142"/>
  <c r="AM50" i="142"/>
  <c r="AS50" i="142" s="1"/>
  <c r="S54" i="142"/>
  <c r="AM56" i="142"/>
  <c r="S60" i="142"/>
  <c r="AM62" i="142"/>
  <c r="S66" i="142"/>
  <c r="AM68" i="142"/>
  <c r="S72" i="142"/>
  <c r="U74" i="142"/>
  <c r="AS87" i="142" s="1"/>
  <c r="AS75" i="142"/>
  <c r="AM81" i="142"/>
  <c r="AM87" i="142"/>
  <c r="AM111" i="142"/>
  <c r="AM113" i="142"/>
  <c r="AM117" i="142"/>
  <c r="AM119" i="142"/>
  <c r="AM123" i="142"/>
  <c r="AM125" i="142"/>
  <c r="AM129" i="142"/>
  <c r="AM131" i="142"/>
  <c r="AM138" i="142"/>
  <c r="AM11" i="142"/>
  <c r="AS11" i="142" s="1"/>
  <c r="AM15" i="142"/>
  <c r="AS15" i="142" s="1"/>
  <c r="AM17" i="142"/>
  <c r="AM21" i="142"/>
  <c r="AS21" i="142" s="1"/>
  <c r="AM23" i="142"/>
  <c r="AM27" i="142"/>
  <c r="AS27" i="142" s="1"/>
  <c r="AM29" i="142"/>
  <c r="AM33" i="142"/>
  <c r="AS33" i="142" s="1"/>
  <c r="AM35" i="142"/>
  <c r="AM39" i="142"/>
  <c r="AS39" i="142" s="1"/>
  <c r="AM41" i="142"/>
  <c r="AM45" i="142"/>
  <c r="AS45" i="142" s="1"/>
  <c r="AM47" i="142"/>
  <c r="AM54" i="142"/>
  <c r="AM60" i="142"/>
  <c r="AM66" i="142"/>
  <c r="AM72" i="142"/>
  <c r="AM74" i="142"/>
  <c r="S78" i="142"/>
  <c r="AS78" i="142" s="1"/>
  <c r="AM80" i="142"/>
  <c r="AM86" i="142"/>
  <c r="AM92" i="142"/>
  <c r="S96" i="142"/>
  <c r="AM98" i="142"/>
  <c r="S102" i="142"/>
  <c r="AM104" i="142"/>
  <c r="AS22" i="141"/>
  <c r="AS46" i="141"/>
  <c r="AS70" i="141"/>
  <c r="AS106" i="141"/>
  <c r="AS130" i="141"/>
  <c r="AS16" i="141"/>
  <c r="AS24" i="141"/>
  <c r="AS40" i="141"/>
  <c r="AS48" i="141"/>
  <c r="AS64" i="141"/>
  <c r="AS72" i="141"/>
  <c r="AS100" i="141"/>
  <c r="AS108" i="141"/>
  <c r="AS124" i="141"/>
  <c r="AS132" i="141"/>
  <c r="AS77" i="142" l="1"/>
  <c r="AS137" i="143"/>
  <c r="AS209" i="143"/>
  <c r="AS93" i="143"/>
  <c r="AS35" i="142"/>
  <c r="AS73" i="142"/>
  <c r="AS149" i="143"/>
  <c r="AS173" i="143"/>
  <c r="AS102" i="143"/>
  <c r="AS232" i="143"/>
  <c r="U267" i="143"/>
  <c r="AS256" i="143" s="1"/>
  <c r="AS241" i="143"/>
  <c r="AS242" i="143"/>
  <c r="AS236" i="143"/>
  <c r="AS120" i="143"/>
  <c r="AS118" i="143"/>
  <c r="AS52" i="143"/>
  <c r="AS53" i="143"/>
  <c r="AS36" i="143"/>
  <c r="AS58" i="143"/>
  <c r="AS59" i="143"/>
  <c r="AS228" i="143"/>
  <c r="AS226" i="143"/>
  <c r="AS155" i="143"/>
  <c r="AS179" i="143"/>
  <c r="AS196" i="143"/>
  <c r="AS197" i="143"/>
  <c r="AS198" i="143"/>
  <c r="AS107" i="143"/>
  <c r="AS231" i="143"/>
  <c r="AS17" i="143"/>
  <c r="AS23" i="143"/>
  <c r="AS76" i="143"/>
  <c r="AS77" i="143"/>
  <c r="AS78" i="143"/>
  <c r="AS223" i="143"/>
  <c r="AS244" i="143"/>
  <c r="AS161" i="143"/>
  <c r="AS202" i="143"/>
  <c r="AS203" i="143"/>
  <c r="AS204" i="143"/>
  <c r="AS233" i="143"/>
  <c r="AS210" i="143"/>
  <c r="AS208" i="143"/>
  <c r="AS129" i="143"/>
  <c r="AS127" i="143"/>
  <c r="AS123" i="143"/>
  <c r="AS121" i="143"/>
  <c r="AS117" i="143"/>
  <c r="AS115" i="143"/>
  <c r="AS111" i="143"/>
  <c r="AS128" i="143"/>
  <c r="AS122" i="143"/>
  <c r="AS116" i="143"/>
  <c r="AS110" i="143"/>
  <c r="AS92" i="143"/>
  <c r="AS135" i="143"/>
  <c r="AS109" i="143"/>
  <c r="AS104" i="143"/>
  <c r="AS103" i="143"/>
  <c r="AS91" i="143"/>
  <c r="AS99" i="143"/>
  <c r="AS60" i="143"/>
  <c r="AS130" i="143"/>
  <c r="AS70" i="143"/>
  <c r="AS71" i="143"/>
  <c r="AS225" i="143"/>
  <c r="AS250" i="143"/>
  <c r="AS143" i="143"/>
  <c r="AS167" i="143"/>
  <c r="AS184" i="143"/>
  <c r="AS185" i="143"/>
  <c r="AS186" i="143"/>
  <c r="AS95" i="143"/>
  <c r="AS234" i="143"/>
  <c r="AS126" i="143"/>
  <c r="AS124" i="143"/>
  <c r="AS41" i="143"/>
  <c r="AS47" i="143"/>
  <c r="AS132" i="143"/>
  <c r="AS54" i="143"/>
  <c r="AS64" i="143"/>
  <c r="AS65" i="143"/>
  <c r="AS227" i="143"/>
  <c r="AS190" i="143"/>
  <c r="AS191" i="143"/>
  <c r="AS192" i="143"/>
  <c r="AS229" i="143"/>
  <c r="AS112" i="143"/>
  <c r="AS114" i="143"/>
  <c r="AS29" i="143"/>
  <c r="AS66" i="143"/>
  <c r="AS35" i="143"/>
  <c r="AS224" i="143"/>
  <c r="AS52" i="142"/>
  <c r="AS53" i="142"/>
  <c r="AS54" i="142"/>
  <c r="AS41" i="142"/>
  <c r="AS34" i="142"/>
  <c r="AS17" i="142"/>
  <c r="AS76" i="142"/>
  <c r="U110" i="142"/>
  <c r="AS100" i="142" s="1"/>
  <c r="AS68" i="142"/>
  <c r="AS62" i="142"/>
  <c r="AS56" i="142"/>
  <c r="AS89" i="142"/>
  <c r="AS85" i="142"/>
  <c r="AS83" i="142"/>
  <c r="AS79" i="142"/>
  <c r="AS90" i="142"/>
  <c r="AS84" i="142"/>
  <c r="AS69" i="142"/>
  <c r="AS67" i="142"/>
  <c r="AS63" i="142"/>
  <c r="AS61" i="142"/>
  <c r="AS57" i="142"/>
  <c r="AS55" i="142"/>
  <c r="AS88" i="142"/>
  <c r="AS86" i="142"/>
  <c r="AS82" i="142"/>
  <c r="AS80" i="142"/>
  <c r="AS74" i="142"/>
  <c r="AS47" i="142"/>
  <c r="AS40" i="142"/>
  <c r="AS23" i="142"/>
  <c r="AS16" i="142"/>
  <c r="AS81" i="142"/>
  <c r="AS36" i="142"/>
  <c r="AS64" i="142"/>
  <c r="AS65" i="142"/>
  <c r="AS66" i="142"/>
  <c r="AS18" i="142"/>
  <c r="AS70" i="142"/>
  <c r="AS71" i="142"/>
  <c r="AS72" i="142"/>
  <c r="AS58" i="142"/>
  <c r="AS59" i="142"/>
  <c r="AS60" i="142"/>
  <c r="AS29" i="142"/>
  <c r="AS112" i="142"/>
  <c r="AS42" i="142"/>
  <c r="AS48" i="142"/>
  <c r="AS95" i="142" l="1"/>
  <c r="AS114" i="142"/>
  <c r="AS94" i="142"/>
  <c r="AS264" i="143"/>
  <c r="AS260" i="143"/>
  <c r="AS254" i="143"/>
  <c r="AS248" i="143"/>
  <c r="AS267" i="143"/>
  <c r="AS257" i="143"/>
  <c r="AS252" i="143"/>
  <c r="AS265" i="143"/>
  <c r="AS270" i="143"/>
  <c r="AS258" i="143"/>
  <c r="AS249" i="143"/>
  <c r="AS261" i="143"/>
  <c r="AS253" i="143"/>
  <c r="AS251" i="143"/>
  <c r="AS266" i="143"/>
  <c r="AS263" i="143"/>
  <c r="AS268" i="143"/>
  <c r="AS255" i="143"/>
  <c r="AS247" i="143"/>
  <c r="AS259" i="143"/>
  <c r="AS269" i="143"/>
  <c r="AS262" i="143"/>
  <c r="AS109" i="142"/>
  <c r="AS110" i="142"/>
  <c r="U134" i="142"/>
  <c r="AS104" i="142"/>
  <c r="AS98" i="142"/>
  <c r="AS92" i="142"/>
  <c r="AS103" i="142"/>
  <c r="AS102" i="142"/>
  <c r="AS91" i="142"/>
  <c r="AS99" i="142"/>
  <c r="AS107" i="142"/>
  <c r="AS111" i="142"/>
  <c r="AS108" i="142"/>
  <c r="AS97" i="142"/>
  <c r="AS105" i="142"/>
  <c r="AS106" i="142"/>
  <c r="AS113" i="142"/>
  <c r="AS96" i="142"/>
  <c r="AS93" i="142"/>
  <c r="AS101" i="142"/>
  <c r="AS134" i="142" l="1"/>
  <c r="AS128" i="142"/>
  <c r="AS122" i="142"/>
  <c r="AS116" i="142"/>
  <c r="AS135" i="142"/>
  <c r="AS117" i="142"/>
  <c r="AS129" i="142"/>
  <c r="AS136" i="142"/>
  <c r="AS115" i="142"/>
  <c r="AS121" i="142"/>
  <c r="AS133" i="142"/>
  <c r="AS123" i="142"/>
  <c r="AS119" i="142"/>
  <c r="AS127" i="142"/>
  <c r="AS125" i="142"/>
  <c r="AS118" i="142"/>
  <c r="AS132" i="142"/>
  <c r="AS126" i="142"/>
  <c r="AS138" i="142"/>
  <c r="AS130" i="142"/>
  <c r="AS124" i="142"/>
  <c r="AS131" i="142"/>
  <c r="AS137" i="142"/>
  <c r="AS120" i="142"/>
  <c r="AQ83" i="140" l="1"/>
  <c r="AQ82" i="140"/>
  <c r="AQ81" i="140"/>
  <c r="AQ80" i="140"/>
  <c r="AQ79" i="140"/>
  <c r="AQ78" i="140"/>
  <c r="AQ72" i="140"/>
  <c r="AO70" i="140"/>
  <c r="AB70" i="140"/>
  <c r="AQ69" i="140" s="1"/>
  <c r="AO68" i="140"/>
  <c r="AQ68" i="140" s="1"/>
  <c r="AQ67" i="140"/>
  <c r="AO66" i="140"/>
  <c r="AB66" i="140"/>
  <c r="AQ65" i="140" s="1"/>
  <c r="AQ64" i="140"/>
  <c r="AO64" i="140"/>
  <c r="AQ63" i="140"/>
  <c r="AQ62" i="140"/>
  <c r="AO62" i="140"/>
  <c r="AB62" i="140"/>
  <c r="AQ61" i="140"/>
  <c r="AQ60" i="140"/>
  <c r="AO60" i="140"/>
  <c r="AQ59" i="140"/>
  <c r="AO58" i="140"/>
  <c r="AQ58" i="140" s="1"/>
  <c r="AB58" i="140"/>
  <c r="AQ57" i="140" s="1"/>
  <c r="AO56" i="140"/>
  <c r="AQ56" i="140" s="1"/>
  <c r="AQ55" i="140"/>
  <c r="AO54" i="140"/>
  <c r="AB54" i="140"/>
  <c r="AQ53" i="140" s="1"/>
  <c r="AO52" i="140"/>
  <c r="AQ52" i="140" s="1"/>
  <c r="AQ51" i="140"/>
  <c r="AO50" i="140"/>
  <c r="AB50" i="140"/>
  <c r="AQ50" i="140" s="1"/>
  <c r="AQ49" i="140"/>
  <c r="AQ48" i="140"/>
  <c r="AO48" i="140"/>
  <c r="AQ47" i="140"/>
  <c r="AQ46" i="140"/>
  <c r="AO46" i="140"/>
  <c r="AB46" i="140"/>
  <c r="AQ45" i="140"/>
  <c r="AQ44" i="140"/>
  <c r="AO44" i="140"/>
  <c r="AQ43" i="140"/>
  <c r="AO42" i="140"/>
  <c r="AQ42" i="140" s="1"/>
  <c r="AB42" i="140"/>
  <c r="AQ41" i="140" s="1"/>
  <c r="AO40" i="140"/>
  <c r="AQ40" i="140" s="1"/>
  <c r="AQ39" i="140"/>
  <c r="AO38" i="140"/>
  <c r="AB38" i="140"/>
  <c r="AQ37" i="140" s="1"/>
  <c r="AO36" i="140"/>
  <c r="AQ36" i="140" s="1"/>
  <c r="AQ35" i="140"/>
  <c r="AO34" i="140"/>
  <c r="AB34" i="140"/>
  <c r="AQ34" i="140" s="1"/>
  <c r="AQ33" i="140"/>
  <c r="AQ32" i="140"/>
  <c r="AO32" i="140"/>
  <c r="AQ31" i="140"/>
  <c r="AQ30" i="140"/>
  <c r="AO30" i="140"/>
  <c r="AB30" i="140"/>
  <c r="AQ29" i="140"/>
  <c r="AQ28" i="140"/>
  <c r="AO28" i="140"/>
  <c r="AQ27" i="140"/>
  <c r="AO26" i="140"/>
  <c r="AQ26" i="140" s="1"/>
  <c r="AB26" i="140"/>
  <c r="AQ25" i="140" s="1"/>
  <c r="AO24" i="140"/>
  <c r="AQ24" i="140" s="1"/>
  <c r="AQ23" i="140"/>
  <c r="AO22" i="140"/>
  <c r="AB22" i="140"/>
  <c r="AQ21" i="140" s="1"/>
  <c r="AO20" i="140"/>
  <c r="AQ20" i="140" s="1"/>
  <c r="AQ19" i="140"/>
  <c r="AO18" i="140"/>
  <c r="AB18" i="140"/>
  <c r="AQ18" i="140" s="1"/>
  <c r="AQ17" i="140"/>
  <c r="AQ16" i="140"/>
  <c r="AO16" i="140"/>
  <c r="AQ15" i="140"/>
  <c r="AQ14" i="140"/>
  <c r="AO14" i="140"/>
  <c r="AB14" i="140"/>
  <c r="AQ13" i="140"/>
  <c r="AQ12" i="140"/>
  <c r="AO12" i="140"/>
  <c r="AQ11" i="140"/>
  <c r="AO10" i="140"/>
  <c r="AQ10" i="140" s="1"/>
  <c r="AQ9" i="140"/>
  <c r="AQ8" i="140"/>
  <c r="AQ7" i="140"/>
  <c r="AQ22" i="140" l="1"/>
  <c r="AQ38" i="140"/>
  <c r="AQ54" i="140"/>
  <c r="AQ70" i="140"/>
  <c r="AQ66" i="140"/>
  <c r="AP18" i="139" l="1"/>
  <c r="AP17" i="139"/>
  <c r="AP16" i="139"/>
  <c r="AP15" i="139"/>
  <c r="AP14" i="139"/>
  <c r="AP8" i="139"/>
  <c r="W162" i="138"/>
  <c r="W161" i="138"/>
  <c r="W160" i="138"/>
  <c r="W159" i="138"/>
  <c r="W158" i="138"/>
  <c r="W157" i="138"/>
  <c r="W156" i="138"/>
  <c r="W155" i="138"/>
  <c r="W154" i="138"/>
  <c r="E154" i="138"/>
  <c r="W153" i="138"/>
  <c r="W152" i="138"/>
  <c r="W151" i="138"/>
  <c r="W150" i="138"/>
  <c r="W149" i="138"/>
  <c r="W148" i="138"/>
  <c r="W147" i="138"/>
  <c r="W146" i="138"/>
  <c r="W145" i="138"/>
  <c r="W144" i="138"/>
  <c r="W143" i="138"/>
  <c r="W142" i="138"/>
  <c r="E142" i="138"/>
  <c r="W141" i="138"/>
  <c r="W140" i="138"/>
  <c r="W139" i="138"/>
  <c r="W138" i="138"/>
  <c r="W137" i="138"/>
  <c r="W136" i="138"/>
  <c r="W135" i="138"/>
  <c r="W134" i="138"/>
  <c r="W133" i="138"/>
  <c r="W132" i="138"/>
  <c r="W131" i="138"/>
  <c r="W130" i="138"/>
  <c r="E130" i="138"/>
  <c r="W129" i="138"/>
  <c r="W128" i="138"/>
  <c r="W127" i="138"/>
  <c r="W126" i="138"/>
  <c r="W125" i="138"/>
  <c r="W124" i="138"/>
  <c r="W123" i="138"/>
  <c r="W122" i="138"/>
  <c r="W121" i="138"/>
  <c r="W120" i="138"/>
  <c r="W119" i="138"/>
  <c r="W118" i="138"/>
  <c r="E118" i="138"/>
  <c r="W117" i="138"/>
  <c r="W116" i="138"/>
  <c r="W115" i="138"/>
  <c r="W114" i="138"/>
  <c r="W113" i="138"/>
  <c r="W112" i="138"/>
  <c r="W111" i="138"/>
  <c r="W110" i="138"/>
  <c r="W109" i="138"/>
  <c r="W108" i="138"/>
  <c r="W107" i="138"/>
  <c r="W106" i="138"/>
  <c r="E106" i="138"/>
  <c r="W105" i="138"/>
  <c r="W104" i="138"/>
  <c r="W103" i="138"/>
  <c r="W102" i="138"/>
  <c r="W101" i="138"/>
  <c r="W100" i="138"/>
  <c r="W99" i="138"/>
  <c r="W98" i="138"/>
  <c r="W97" i="138"/>
  <c r="W96" i="138"/>
  <c r="W95" i="138"/>
  <c r="W94" i="138"/>
  <c r="E94" i="138"/>
  <c r="W93" i="138"/>
  <c r="W92" i="138"/>
  <c r="W91" i="138"/>
  <c r="W90" i="138"/>
  <c r="W89" i="138"/>
  <c r="W88" i="138"/>
  <c r="W87" i="138"/>
  <c r="W86" i="138"/>
  <c r="W85" i="138"/>
  <c r="W84" i="138"/>
  <c r="W83" i="138"/>
  <c r="W82" i="138"/>
  <c r="E82" i="138"/>
  <c r="W81" i="138"/>
  <c r="W80" i="138"/>
  <c r="W79" i="138"/>
  <c r="W78" i="138"/>
  <c r="W77" i="138"/>
  <c r="W76" i="138"/>
  <c r="W75" i="138"/>
  <c r="W74" i="138"/>
  <c r="W73" i="138"/>
  <c r="W72" i="138"/>
  <c r="W71" i="138"/>
  <c r="W70" i="138"/>
  <c r="E70" i="138"/>
  <c r="W69" i="138"/>
  <c r="W68" i="138"/>
  <c r="W67" i="138"/>
  <c r="W66" i="138"/>
  <c r="W65" i="138"/>
  <c r="W64" i="138"/>
  <c r="W63" i="138"/>
  <c r="W62" i="138"/>
  <c r="W61" i="138"/>
  <c r="W60" i="138"/>
  <c r="W59" i="138"/>
  <c r="W58" i="138"/>
  <c r="E58" i="138"/>
  <c r="W57" i="138"/>
  <c r="W56" i="138"/>
  <c r="W55" i="138"/>
  <c r="W54" i="138"/>
  <c r="W53" i="138"/>
  <c r="W52" i="138"/>
  <c r="W51" i="138"/>
  <c r="W50" i="138"/>
  <c r="W49" i="138"/>
  <c r="W48" i="138"/>
  <c r="W47" i="138"/>
  <c r="W46" i="138"/>
  <c r="E46" i="138"/>
  <c r="W45" i="138"/>
  <c r="W44" i="138"/>
  <c r="W43" i="138"/>
  <c r="W42" i="138"/>
  <c r="W41" i="138"/>
  <c r="W40" i="138"/>
  <c r="W39" i="138"/>
  <c r="W38" i="138"/>
  <c r="W37" i="138"/>
  <c r="W36" i="138"/>
  <c r="W35" i="138"/>
  <c r="W34" i="138"/>
  <c r="E34" i="138"/>
  <c r="W33" i="138"/>
  <c r="W32" i="138"/>
  <c r="W31" i="138"/>
  <c r="W30" i="138"/>
  <c r="W29" i="138"/>
  <c r="W28" i="138"/>
  <c r="W27" i="138"/>
  <c r="W26" i="138"/>
  <c r="W25" i="138"/>
  <c r="W24" i="138"/>
  <c r="W23" i="138"/>
  <c r="W22" i="138"/>
  <c r="E22" i="138"/>
  <c r="W21" i="138"/>
  <c r="W20" i="138"/>
  <c r="W19" i="138"/>
  <c r="W18" i="138"/>
  <c r="W17" i="138"/>
  <c r="W16" i="138"/>
  <c r="W15" i="138"/>
  <c r="W14" i="138"/>
  <c r="W13" i="138"/>
  <c r="W12" i="138"/>
  <c r="W11" i="138"/>
  <c r="W10" i="138"/>
  <c r="E10" i="138"/>
  <c r="W9" i="138"/>
  <c r="W8" i="138"/>
  <c r="W7" i="138"/>
  <c r="W179" i="137"/>
  <c r="W178" i="137"/>
  <c r="W177" i="137"/>
  <c r="W176" i="137"/>
  <c r="W175" i="137"/>
  <c r="W174" i="137"/>
  <c r="W173" i="137"/>
  <c r="W172" i="137"/>
  <c r="W171" i="137"/>
  <c r="E171" i="137"/>
  <c r="W170" i="137"/>
  <c r="W169" i="137"/>
  <c r="W168" i="137"/>
  <c r="W167" i="137"/>
  <c r="W166" i="137"/>
  <c r="W165" i="137"/>
  <c r="W164" i="137"/>
  <c r="W163" i="137"/>
  <c r="W162" i="137"/>
  <c r="W161" i="137"/>
  <c r="W160" i="137"/>
  <c r="W159" i="137"/>
  <c r="E159" i="137"/>
  <c r="W158" i="137"/>
  <c r="W157" i="137"/>
  <c r="W156" i="137"/>
  <c r="W155" i="137"/>
  <c r="W154" i="137"/>
  <c r="W153" i="137"/>
  <c r="W152" i="137"/>
  <c r="W151" i="137"/>
  <c r="W150" i="137"/>
  <c r="W149" i="137"/>
  <c r="W148" i="137"/>
  <c r="W147" i="137"/>
  <c r="E147" i="137"/>
  <c r="W146" i="137"/>
  <c r="W145" i="137"/>
  <c r="W144" i="137"/>
  <c r="W143" i="137"/>
  <c r="W142" i="137"/>
  <c r="W141" i="137"/>
  <c r="W140" i="137"/>
  <c r="W139" i="137"/>
  <c r="W138" i="137"/>
  <c r="W137" i="137"/>
  <c r="W136" i="137"/>
  <c r="W135" i="137"/>
  <c r="E135" i="137"/>
  <c r="W134" i="137"/>
  <c r="W133" i="137"/>
  <c r="W132" i="137"/>
  <c r="W131" i="137"/>
  <c r="W130" i="137"/>
  <c r="W129" i="137"/>
  <c r="W128" i="137"/>
  <c r="W127" i="137"/>
  <c r="W126" i="137"/>
  <c r="W125" i="137"/>
  <c r="W124" i="137"/>
  <c r="W123" i="137"/>
  <c r="E123" i="137"/>
  <c r="W122" i="137"/>
  <c r="W121" i="137"/>
  <c r="W120" i="137"/>
  <c r="W119" i="137"/>
  <c r="W118" i="137"/>
  <c r="W117" i="137"/>
  <c r="W116" i="137"/>
  <c r="W115" i="137"/>
  <c r="W114" i="137"/>
  <c r="W113" i="137"/>
  <c r="W112" i="137"/>
  <c r="W111" i="137"/>
  <c r="E111" i="137"/>
  <c r="W110" i="137"/>
  <c r="W109" i="137"/>
  <c r="W108" i="137"/>
  <c r="W107" i="137"/>
  <c r="W106" i="137"/>
  <c r="W105" i="137"/>
  <c r="W104" i="137"/>
  <c r="W103" i="137"/>
  <c r="W102" i="137"/>
  <c r="W101" i="137"/>
  <c r="W100" i="137"/>
  <c r="W99" i="137"/>
  <c r="E99" i="137"/>
  <c r="W98" i="137"/>
  <c r="W97" i="137"/>
  <c r="W96" i="137"/>
  <c r="W95" i="137"/>
  <c r="W94" i="137"/>
  <c r="W93" i="137"/>
  <c r="W92" i="137"/>
  <c r="W91" i="137"/>
  <c r="W90" i="137"/>
  <c r="W89" i="137"/>
  <c r="W88" i="137"/>
  <c r="W87" i="137"/>
  <c r="E87" i="137"/>
  <c r="W86" i="137"/>
  <c r="W85" i="137"/>
  <c r="W84" i="137"/>
  <c r="W83" i="137"/>
  <c r="W82" i="137"/>
  <c r="W81" i="137"/>
  <c r="W80" i="137"/>
  <c r="W79" i="137"/>
  <c r="W78" i="137"/>
  <c r="W77" i="137"/>
  <c r="W76" i="137"/>
  <c r="W75" i="137"/>
  <c r="E75" i="137"/>
  <c r="W74" i="137"/>
  <c r="W73" i="137"/>
  <c r="W72" i="137"/>
  <c r="W66" i="137"/>
  <c r="W65" i="137"/>
  <c r="W64" i="137"/>
  <c r="W63" i="137"/>
  <c r="W62" i="137"/>
  <c r="W61" i="137"/>
  <c r="W60" i="137"/>
  <c r="W59" i="137"/>
  <c r="W58" i="137"/>
  <c r="E58" i="137"/>
  <c r="W57" i="137"/>
  <c r="W56" i="137"/>
  <c r="W55" i="137"/>
  <c r="W54" i="137"/>
  <c r="W53" i="137"/>
  <c r="W52" i="137"/>
  <c r="W51" i="137"/>
  <c r="W50" i="137"/>
  <c r="W49" i="137"/>
  <c r="W48" i="137"/>
  <c r="W47" i="137"/>
  <c r="W46" i="137"/>
  <c r="E46" i="137"/>
  <c r="W45" i="137"/>
  <c r="W44" i="137"/>
  <c r="W43" i="137"/>
  <c r="W42" i="137"/>
  <c r="W41" i="137"/>
  <c r="W40" i="137"/>
  <c r="W39" i="137"/>
  <c r="W38" i="137"/>
  <c r="W37" i="137"/>
  <c r="W36" i="137"/>
  <c r="W35" i="137"/>
  <c r="W34" i="137"/>
  <c r="E34" i="137"/>
  <c r="W33" i="137"/>
  <c r="W32" i="137"/>
  <c r="W31" i="137"/>
  <c r="W30" i="137"/>
  <c r="W29" i="137"/>
  <c r="W28" i="137"/>
  <c r="W27" i="137"/>
  <c r="W26" i="137"/>
  <c r="W25" i="137"/>
  <c r="W24" i="137"/>
  <c r="W23" i="137"/>
  <c r="W22" i="137"/>
  <c r="E22" i="137"/>
  <c r="W21" i="137"/>
  <c r="W20" i="137"/>
  <c r="W19" i="137"/>
  <c r="W18" i="137"/>
  <c r="W17" i="137"/>
  <c r="W16" i="137"/>
  <c r="W15" i="137"/>
  <c r="W14" i="137"/>
  <c r="W13" i="137"/>
  <c r="W12" i="137"/>
  <c r="W11" i="137"/>
  <c r="W10" i="137"/>
  <c r="E10" i="137"/>
  <c r="W9" i="137"/>
  <c r="W8" i="137"/>
  <c r="W7" i="137"/>
  <c r="U258" i="136"/>
  <c r="U257" i="136"/>
  <c r="U256" i="136"/>
  <c r="U255" i="136"/>
  <c r="U254" i="136"/>
  <c r="U253" i="136"/>
  <c r="U252" i="136"/>
  <c r="U251" i="136"/>
  <c r="U250" i="136"/>
  <c r="E250" i="136"/>
  <c r="U249" i="136"/>
  <c r="U248" i="136"/>
  <c r="U247" i="136"/>
  <c r="U246" i="136"/>
  <c r="U245" i="136"/>
  <c r="U244" i="136"/>
  <c r="U243" i="136"/>
  <c r="U242" i="136"/>
  <c r="U241" i="136"/>
  <c r="U240" i="136"/>
  <c r="U239" i="136"/>
  <c r="U238" i="136"/>
  <c r="E238" i="136"/>
  <c r="U237" i="136"/>
  <c r="U236" i="136"/>
  <c r="U235" i="136"/>
  <c r="U234" i="136"/>
  <c r="U233" i="136"/>
  <c r="U232" i="136"/>
  <c r="U231" i="136"/>
  <c r="U230" i="136"/>
  <c r="U229" i="136"/>
  <c r="U228" i="136"/>
  <c r="U227" i="136"/>
  <c r="U226" i="136"/>
  <c r="E226" i="136"/>
  <c r="U225" i="136"/>
  <c r="U224" i="136"/>
  <c r="U223" i="136"/>
  <c r="U222" i="136"/>
  <c r="U221" i="136"/>
  <c r="U220" i="136"/>
  <c r="U219" i="136"/>
  <c r="U218" i="136"/>
  <c r="U217" i="136"/>
  <c r="U216" i="136"/>
  <c r="U215" i="136"/>
  <c r="U214" i="136"/>
  <c r="E214" i="136"/>
  <c r="U213" i="136"/>
  <c r="U212" i="136"/>
  <c r="U211" i="136"/>
  <c r="U210" i="136"/>
  <c r="U209" i="136"/>
  <c r="U208" i="136"/>
  <c r="U207" i="136"/>
  <c r="U206" i="136"/>
  <c r="U205" i="136"/>
  <c r="U204" i="136"/>
  <c r="U203" i="136"/>
  <c r="U202" i="136"/>
  <c r="E202" i="136"/>
  <c r="U201" i="136"/>
  <c r="U200" i="136"/>
  <c r="U199" i="136"/>
  <c r="U198" i="136"/>
  <c r="U197" i="136"/>
  <c r="U196" i="136"/>
  <c r="U195" i="136"/>
  <c r="U194" i="136"/>
  <c r="U193" i="136"/>
  <c r="U192" i="136"/>
  <c r="U191" i="136"/>
  <c r="U190" i="136"/>
  <c r="E190" i="136"/>
  <c r="U189" i="136"/>
  <c r="U188" i="136"/>
  <c r="U187" i="136"/>
  <c r="U186" i="136"/>
  <c r="U185" i="136"/>
  <c r="U184" i="136"/>
  <c r="U183" i="136"/>
  <c r="U182" i="136"/>
  <c r="U181" i="136"/>
  <c r="U180" i="136"/>
  <c r="U179" i="136"/>
  <c r="U178" i="136"/>
  <c r="E178" i="136"/>
  <c r="U177" i="136"/>
  <c r="U176" i="136"/>
  <c r="U175" i="136"/>
  <c r="U174" i="136"/>
  <c r="U173" i="136"/>
  <c r="U172" i="136"/>
  <c r="U171" i="136"/>
  <c r="U170" i="136"/>
  <c r="U169" i="136"/>
  <c r="U168" i="136"/>
  <c r="U167" i="136"/>
  <c r="U166" i="136"/>
  <c r="E166" i="136"/>
  <c r="U165" i="136"/>
  <c r="U164" i="136"/>
  <c r="U163" i="136"/>
  <c r="U162" i="136"/>
  <c r="U161" i="136"/>
  <c r="U160" i="136"/>
  <c r="U159" i="136"/>
  <c r="U158" i="136"/>
  <c r="U157" i="136"/>
  <c r="U156" i="136"/>
  <c r="U155" i="136"/>
  <c r="U154" i="136"/>
  <c r="E154" i="136"/>
  <c r="U153" i="136"/>
  <c r="U152" i="136"/>
  <c r="U151" i="136"/>
  <c r="U150" i="136"/>
  <c r="U149" i="136"/>
  <c r="U148" i="136"/>
  <c r="U147" i="136"/>
  <c r="U146" i="136"/>
  <c r="U145" i="136"/>
  <c r="U144" i="136"/>
  <c r="U143" i="136"/>
  <c r="U142" i="136"/>
  <c r="E142" i="136"/>
  <c r="U141" i="136"/>
  <c r="U140" i="136"/>
  <c r="U139" i="136"/>
  <c r="U138" i="136"/>
  <c r="U137" i="136"/>
  <c r="U136" i="136"/>
  <c r="U135" i="136"/>
  <c r="U134" i="136"/>
  <c r="U133" i="136"/>
  <c r="U132" i="136"/>
  <c r="U131" i="136"/>
  <c r="U130" i="136"/>
  <c r="E130" i="136"/>
  <c r="U129" i="136"/>
  <c r="U128" i="136"/>
  <c r="U127" i="136"/>
  <c r="U126" i="136"/>
  <c r="U125" i="136"/>
  <c r="U124" i="136"/>
  <c r="U123" i="136"/>
  <c r="U122" i="136"/>
  <c r="U121" i="136"/>
  <c r="U120" i="136"/>
  <c r="U119" i="136"/>
  <c r="U118" i="136"/>
  <c r="E118" i="136"/>
  <c r="U117" i="136"/>
  <c r="U116" i="136"/>
  <c r="U115" i="136"/>
  <c r="U114" i="136"/>
  <c r="U113" i="136"/>
  <c r="U112" i="136"/>
  <c r="U111" i="136"/>
  <c r="U110" i="136"/>
  <c r="U109" i="136"/>
  <c r="U108" i="136"/>
  <c r="U107" i="136"/>
  <c r="U106" i="136"/>
  <c r="E106" i="136"/>
  <c r="U105" i="136"/>
  <c r="U104" i="136"/>
  <c r="U103" i="136"/>
  <c r="U102" i="136"/>
  <c r="U101" i="136"/>
  <c r="U100" i="136"/>
  <c r="U99" i="136"/>
  <c r="U98" i="136"/>
  <c r="U97" i="136"/>
  <c r="U96" i="136"/>
  <c r="U95" i="136"/>
  <c r="U94" i="136"/>
  <c r="E94" i="136"/>
  <c r="U93" i="136"/>
  <c r="U92" i="136"/>
  <c r="U91" i="136"/>
  <c r="U90" i="136"/>
  <c r="U89" i="136"/>
  <c r="U88" i="136"/>
  <c r="U87" i="136"/>
  <c r="U86" i="136"/>
  <c r="U85" i="136"/>
  <c r="U84" i="136"/>
  <c r="U83" i="136"/>
  <c r="U82" i="136"/>
  <c r="E82" i="136"/>
  <c r="U81" i="136"/>
  <c r="U80" i="136"/>
  <c r="U79" i="136"/>
  <c r="U78" i="136"/>
  <c r="U77" i="136"/>
  <c r="U76" i="136"/>
  <c r="U75" i="136"/>
  <c r="U74" i="136"/>
  <c r="U73" i="136"/>
  <c r="U72" i="136"/>
  <c r="U71" i="136"/>
  <c r="U70" i="136"/>
  <c r="E70" i="136"/>
  <c r="U69" i="136"/>
  <c r="U68" i="136"/>
  <c r="U67" i="136"/>
  <c r="U66" i="136"/>
  <c r="U65" i="136"/>
  <c r="U64" i="136"/>
  <c r="U63" i="136"/>
  <c r="U62" i="136"/>
  <c r="U61" i="136"/>
  <c r="U60" i="136"/>
  <c r="U59" i="136"/>
  <c r="U58" i="136"/>
  <c r="E58" i="136"/>
  <c r="U57" i="136"/>
  <c r="U56" i="136"/>
  <c r="U55" i="136"/>
  <c r="U54" i="136"/>
  <c r="U53" i="136"/>
  <c r="U52" i="136"/>
  <c r="U51" i="136"/>
  <c r="U50" i="136"/>
  <c r="U49" i="136"/>
  <c r="U48" i="136"/>
  <c r="U47" i="136"/>
  <c r="U46" i="136"/>
  <c r="E46" i="136"/>
  <c r="U45" i="136"/>
  <c r="U44" i="136"/>
  <c r="U43" i="136"/>
  <c r="U42" i="136"/>
  <c r="U41" i="136"/>
  <c r="U40" i="136"/>
  <c r="U39" i="136"/>
  <c r="U38" i="136"/>
  <c r="U37" i="136"/>
  <c r="U36" i="136"/>
  <c r="U35" i="136"/>
  <c r="U34" i="136"/>
  <c r="E34" i="136"/>
  <c r="U33" i="136"/>
  <c r="U32" i="136"/>
  <c r="U31" i="136"/>
  <c r="U30" i="136"/>
  <c r="U29" i="136"/>
  <c r="U28" i="136"/>
  <c r="U27" i="136"/>
  <c r="U26" i="136"/>
  <c r="U25" i="136"/>
  <c r="U24" i="136"/>
  <c r="U23" i="136"/>
  <c r="U22" i="136"/>
  <c r="E22" i="136"/>
  <c r="U21" i="136"/>
  <c r="U20" i="136"/>
  <c r="U19" i="136"/>
  <c r="U18" i="136"/>
  <c r="U17" i="136"/>
  <c r="U16" i="136"/>
  <c r="U15" i="136"/>
  <c r="U14" i="136"/>
  <c r="U13" i="136"/>
  <c r="U12" i="136"/>
  <c r="U11" i="136"/>
  <c r="U10" i="136"/>
  <c r="E10" i="136"/>
  <c r="U9" i="136"/>
  <c r="U8" i="136"/>
  <c r="U7" i="136"/>
  <c r="AE263" i="135"/>
  <c r="AE262" i="135"/>
  <c r="AE261" i="135"/>
  <c r="AE260" i="135"/>
  <c r="AE259" i="135"/>
  <c r="AE258" i="135"/>
  <c r="AE257" i="135"/>
  <c r="AE256" i="135"/>
  <c r="AE255" i="135"/>
  <c r="K255" i="135"/>
  <c r="H255" i="135"/>
  <c r="E255" i="135"/>
  <c r="AE254" i="135"/>
  <c r="AE253" i="135"/>
  <c r="AE252" i="135"/>
  <c r="AE246" i="135"/>
  <c r="AE245" i="135"/>
  <c r="AE244" i="135"/>
  <c r="AE243" i="135"/>
  <c r="AE242" i="135"/>
  <c r="AE241" i="135"/>
  <c r="AE240" i="135"/>
  <c r="AE239" i="135"/>
  <c r="AE238" i="135"/>
  <c r="K238" i="135"/>
  <c r="H238" i="135"/>
  <c r="E238" i="135"/>
  <c r="AE237" i="135"/>
  <c r="AE236" i="135"/>
  <c r="AE235" i="135"/>
  <c r="AE234" i="135"/>
  <c r="AE233" i="135"/>
  <c r="AE232" i="135"/>
  <c r="AE231" i="135"/>
  <c r="AE230" i="135"/>
  <c r="AE229" i="135"/>
  <c r="AE228" i="135"/>
  <c r="AE227" i="135"/>
  <c r="AE226" i="135"/>
  <c r="K226" i="135"/>
  <c r="H226" i="135"/>
  <c r="AE225" i="135"/>
  <c r="AE224" i="135"/>
  <c r="AE223" i="135"/>
  <c r="AE222" i="135"/>
  <c r="AE221" i="135"/>
  <c r="AE220" i="135"/>
  <c r="AE219" i="135"/>
  <c r="AE218" i="135"/>
  <c r="AE217" i="135"/>
  <c r="AE216" i="135"/>
  <c r="AE215" i="135"/>
  <c r="AE214" i="135"/>
  <c r="K214" i="135"/>
  <c r="AE213" i="135"/>
  <c r="AE212" i="135"/>
  <c r="AE211" i="135"/>
  <c r="AE210" i="135"/>
  <c r="AE209" i="135"/>
  <c r="AE208" i="135"/>
  <c r="AE207" i="135"/>
  <c r="AE206" i="135"/>
  <c r="AE205" i="135"/>
  <c r="AE204" i="135"/>
  <c r="AE203" i="135"/>
  <c r="AE202" i="135"/>
  <c r="K202" i="135"/>
  <c r="H202" i="135"/>
  <c r="E202" i="135"/>
  <c r="AE201" i="135"/>
  <c r="AE200" i="135"/>
  <c r="AE199" i="135"/>
  <c r="AE198" i="135"/>
  <c r="AE197" i="135"/>
  <c r="AE196" i="135"/>
  <c r="AE195" i="135"/>
  <c r="AE194" i="135"/>
  <c r="AE193" i="135"/>
  <c r="AE192" i="135"/>
  <c r="AE191" i="135"/>
  <c r="AE190" i="135"/>
  <c r="K190" i="135"/>
  <c r="H190" i="135"/>
  <c r="AE189" i="135"/>
  <c r="AE188" i="135"/>
  <c r="AE187" i="135"/>
  <c r="AE186" i="135"/>
  <c r="AE185" i="135"/>
  <c r="AE184" i="135"/>
  <c r="AE183" i="135"/>
  <c r="AE182" i="135"/>
  <c r="AE181" i="135"/>
  <c r="AE180" i="135"/>
  <c r="AE179" i="135"/>
  <c r="AE178" i="135"/>
  <c r="K178" i="135"/>
  <c r="AE177" i="135"/>
  <c r="AE176" i="135"/>
  <c r="AE175" i="135"/>
  <c r="AE174" i="135"/>
  <c r="AE173" i="135"/>
  <c r="AE172" i="135"/>
  <c r="AE171" i="135"/>
  <c r="AE170" i="135"/>
  <c r="AE169" i="135"/>
  <c r="AE168" i="135"/>
  <c r="AE167" i="135"/>
  <c r="AE166" i="135"/>
  <c r="K166" i="135"/>
  <c r="H166" i="135"/>
  <c r="AE165" i="135"/>
  <c r="AE164" i="135"/>
  <c r="AE163" i="135"/>
  <c r="AE162" i="135"/>
  <c r="AE161" i="135"/>
  <c r="AE160" i="135"/>
  <c r="AE159" i="135"/>
  <c r="AE158" i="135"/>
  <c r="AE157" i="135"/>
  <c r="AE156" i="135"/>
  <c r="AE155" i="135"/>
  <c r="AE154" i="135"/>
  <c r="K154" i="135"/>
  <c r="AE153" i="135"/>
  <c r="AE152" i="135"/>
  <c r="AE151" i="135"/>
  <c r="AE150" i="135"/>
  <c r="AE149" i="135"/>
  <c r="AE148" i="135"/>
  <c r="AE147" i="135"/>
  <c r="AE146" i="135"/>
  <c r="AE145" i="135"/>
  <c r="AE144" i="135"/>
  <c r="AE143" i="135"/>
  <c r="AE142" i="135"/>
  <c r="K142" i="135"/>
  <c r="AE141" i="135"/>
  <c r="AE140" i="135"/>
  <c r="AE139" i="135"/>
  <c r="AE138" i="135"/>
  <c r="AE137" i="135"/>
  <c r="AE136" i="135"/>
  <c r="AE135" i="135"/>
  <c r="AE134" i="135"/>
  <c r="AE133" i="135"/>
  <c r="AE132" i="135"/>
  <c r="AE131" i="135"/>
  <c r="AE130" i="135"/>
  <c r="K130" i="135"/>
  <c r="H130" i="135"/>
  <c r="E130" i="135"/>
  <c r="AE129" i="135"/>
  <c r="AE128" i="135"/>
  <c r="AE127" i="135"/>
  <c r="AE126" i="135"/>
  <c r="AE125" i="135"/>
  <c r="AE124" i="135"/>
  <c r="AE123" i="135"/>
  <c r="AE122" i="135"/>
  <c r="AE121" i="135"/>
  <c r="AE120" i="135"/>
  <c r="AE119" i="135"/>
  <c r="AE118" i="135"/>
  <c r="K118" i="135"/>
  <c r="H118" i="135"/>
  <c r="AE117" i="135"/>
  <c r="AE116" i="135"/>
  <c r="AE115" i="135"/>
  <c r="AE114" i="135"/>
  <c r="AE113" i="135"/>
  <c r="AE112" i="135"/>
  <c r="AE111" i="135"/>
  <c r="AE110" i="135"/>
  <c r="AE109" i="135"/>
  <c r="AE108" i="135"/>
  <c r="AE107" i="135"/>
  <c r="AE106" i="135"/>
  <c r="K106" i="135"/>
  <c r="AE105" i="135"/>
  <c r="AE104" i="135"/>
  <c r="AE103" i="135"/>
  <c r="AE102" i="135"/>
  <c r="AE101" i="135"/>
  <c r="AE100" i="135"/>
  <c r="AE99" i="135"/>
  <c r="AE98" i="135"/>
  <c r="AE97" i="135"/>
  <c r="AE96" i="135"/>
  <c r="AE95" i="135"/>
  <c r="AE94" i="135"/>
  <c r="K94" i="135"/>
  <c r="H94" i="135"/>
  <c r="AE93" i="135"/>
  <c r="AE92" i="135"/>
  <c r="AE91" i="135"/>
  <c r="AE90" i="135"/>
  <c r="AE89" i="135"/>
  <c r="AE88" i="135"/>
  <c r="AE87" i="135"/>
  <c r="AE86" i="135"/>
  <c r="AE85" i="135"/>
  <c r="AE84" i="135"/>
  <c r="AE83" i="135"/>
  <c r="AE82" i="135"/>
  <c r="K82" i="135"/>
  <c r="AE81" i="135"/>
  <c r="AE80" i="135"/>
  <c r="AE79" i="135"/>
  <c r="AE78" i="135"/>
  <c r="AE77" i="135"/>
  <c r="AE76" i="135"/>
  <c r="AE75" i="135"/>
  <c r="AE74" i="135"/>
  <c r="AE73" i="135"/>
  <c r="AE72" i="135"/>
  <c r="AE71" i="135"/>
  <c r="AE70" i="135"/>
  <c r="K70" i="135"/>
  <c r="AE69" i="135"/>
  <c r="AE68" i="135"/>
  <c r="AE67" i="135"/>
  <c r="AE66" i="135"/>
  <c r="AE65" i="135"/>
  <c r="AE64" i="135"/>
  <c r="AE63" i="135"/>
  <c r="AE62" i="135"/>
  <c r="AE61" i="135"/>
  <c r="AE60" i="135"/>
  <c r="AE59" i="135"/>
  <c r="AE58" i="135"/>
  <c r="K58" i="135"/>
  <c r="H58" i="135"/>
  <c r="AE57" i="135"/>
  <c r="AE56" i="135"/>
  <c r="AE55" i="135"/>
  <c r="AE54" i="135"/>
  <c r="AE53" i="135"/>
  <c r="AE52" i="135"/>
  <c r="AE51" i="135"/>
  <c r="AE50" i="135"/>
  <c r="AE49" i="135"/>
  <c r="AE48" i="135"/>
  <c r="AE47" i="135"/>
  <c r="AE46" i="135"/>
  <c r="K46" i="135"/>
  <c r="AE45" i="135"/>
  <c r="AE44" i="135"/>
  <c r="AE43" i="135"/>
  <c r="AE42" i="135"/>
  <c r="AE41" i="135"/>
  <c r="AE40" i="135"/>
  <c r="AE39" i="135"/>
  <c r="AE38" i="135"/>
  <c r="AE37" i="135"/>
  <c r="AE36" i="135"/>
  <c r="AE35" i="135"/>
  <c r="AE34" i="135"/>
  <c r="K34" i="135"/>
  <c r="AE33" i="135"/>
  <c r="AE32" i="135"/>
  <c r="AE31" i="135"/>
  <c r="AE30" i="135"/>
  <c r="AE29" i="135"/>
  <c r="AE28" i="135"/>
  <c r="AE27" i="135"/>
  <c r="AE26" i="135"/>
  <c r="AE25" i="135"/>
  <c r="AE24" i="135"/>
  <c r="AE23" i="135"/>
  <c r="AE22" i="135"/>
  <c r="K22" i="135"/>
  <c r="AE21" i="135"/>
  <c r="AE20" i="135"/>
  <c r="AE19" i="135"/>
  <c r="AE18" i="135"/>
  <c r="AE17" i="135"/>
  <c r="AE16" i="135"/>
  <c r="AE15" i="135"/>
  <c r="AE14" i="135"/>
  <c r="AE13" i="135"/>
  <c r="AE12" i="135"/>
  <c r="AE11" i="135"/>
  <c r="AE10" i="135"/>
  <c r="K10" i="135"/>
  <c r="H10" i="135"/>
  <c r="E10" i="135"/>
  <c r="AE9" i="135"/>
  <c r="AE8" i="135"/>
  <c r="AE7" i="135"/>
  <c r="Z186" i="134"/>
  <c r="Z185" i="134"/>
  <c r="Z184" i="134"/>
  <c r="Z183" i="134"/>
  <c r="Z182" i="134"/>
  <c r="Z181" i="134"/>
  <c r="Z180" i="134"/>
  <c r="Z179" i="134"/>
  <c r="Z178" i="134"/>
  <c r="H178" i="134"/>
  <c r="E178" i="134"/>
  <c r="Z177" i="134"/>
  <c r="Z176" i="134"/>
  <c r="Z175" i="134"/>
  <c r="Z174" i="134"/>
  <c r="Z173" i="134"/>
  <c r="Z172" i="134"/>
  <c r="Z171" i="134"/>
  <c r="Z170" i="134"/>
  <c r="Z169" i="134"/>
  <c r="Z168" i="134"/>
  <c r="Z167" i="134"/>
  <c r="Z166" i="134"/>
  <c r="H166" i="134"/>
  <c r="Z165" i="134"/>
  <c r="Z164" i="134"/>
  <c r="Z163" i="134"/>
  <c r="Z162" i="134"/>
  <c r="Z161" i="134"/>
  <c r="Z160" i="134"/>
  <c r="Z159" i="134"/>
  <c r="Z158" i="134"/>
  <c r="Z157" i="134"/>
  <c r="Z156" i="134"/>
  <c r="Z155" i="134"/>
  <c r="Z154" i="134"/>
  <c r="H154" i="134"/>
  <c r="E154" i="134"/>
  <c r="Z153" i="134"/>
  <c r="Z152" i="134"/>
  <c r="Z151" i="134"/>
  <c r="Z150" i="134"/>
  <c r="Z149" i="134"/>
  <c r="Z148" i="134"/>
  <c r="Z147" i="134"/>
  <c r="Z146" i="134"/>
  <c r="Z145" i="134"/>
  <c r="Z144" i="134"/>
  <c r="Z143" i="134"/>
  <c r="Z142" i="134"/>
  <c r="H142" i="134"/>
  <c r="Z141" i="134"/>
  <c r="Z140" i="134"/>
  <c r="Z139" i="134"/>
  <c r="Z138" i="134"/>
  <c r="Z137" i="134"/>
  <c r="Z136" i="134"/>
  <c r="Z135" i="134"/>
  <c r="Z134" i="134"/>
  <c r="Z133" i="134"/>
  <c r="Z132" i="134"/>
  <c r="Z131" i="134"/>
  <c r="Z130" i="134"/>
  <c r="H130" i="134"/>
  <c r="Z129" i="134"/>
  <c r="Z128" i="134"/>
  <c r="Z127" i="134"/>
  <c r="Z126" i="134"/>
  <c r="Z125" i="134"/>
  <c r="Z124" i="134"/>
  <c r="Z123" i="134"/>
  <c r="Z122" i="134"/>
  <c r="Z121" i="134"/>
  <c r="Z120" i="134"/>
  <c r="Z119" i="134"/>
  <c r="Z118" i="134"/>
  <c r="H118" i="134"/>
  <c r="E118" i="134"/>
  <c r="Z117" i="134"/>
  <c r="Z116" i="134"/>
  <c r="Z115" i="134"/>
  <c r="Z114" i="134"/>
  <c r="Z113" i="134"/>
  <c r="Z112" i="134"/>
  <c r="Z111" i="134"/>
  <c r="Z110" i="134"/>
  <c r="Z109" i="134"/>
  <c r="Z108" i="134"/>
  <c r="Z107" i="134"/>
  <c r="Z106" i="134"/>
  <c r="H106" i="134"/>
  <c r="Z105" i="134"/>
  <c r="Z104" i="134"/>
  <c r="Z103" i="134"/>
  <c r="Z102" i="134"/>
  <c r="Z101" i="134"/>
  <c r="Z100" i="134"/>
  <c r="Z99" i="134"/>
  <c r="Z98" i="134"/>
  <c r="Z97" i="134"/>
  <c r="Z96" i="134"/>
  <c r="Z95" i="134"/>
  <c r="Z94" i="134"/>
  <c r="H94" i="134"/>
  <c r="Z93" i="134"/>
  <c r="Z92" i="134"/>
  <c r="Z91" i="134"/>
  <c r="Z90" i="134"/>
  <c r="Z89" i="134"/>
  <c r="Z88" i="134"/>
  <c r="Z87" i="134"/>
  <c r="Z86" i="134"/>
  <c r="Z85" i="134"/>
  <c r="Z84" i="134"/>
  <c r="Z83" i="134"/>
  <c r="Z82" i="134"/>
  <c r="H82" i="134"/>
  <c r="Z81" i="134"/>
  <c r="Z80" i="134"/>
  <c r="Z79" i="134"/>
  <c r="Z78" i="134"/>
  <c r="Z77" i="134"/>
  <c r="Z76" i="134"/>
  <c r="Z75" i="134"/>
  <c r="Z74" i="134"/>
  <c r="Z73" i="134"/>
  <c r="Z72" i="134"/>
  <c r="Z71" i="134"/>
  <c r="Z70" i="134"/>
  <c r="H70" i="134"/>
  <c r="E70" i="134"/>
  <c r="Z69" i="134"/>
  <c r="Z68" i="134"/>
  <c r="Z67" i="134"/>
  <c r="Z66" i="134"/>
  <c r="Z65" i="134"/>
  <c r="Z64" i="134"/>
  <c r="Z63" i="134"/>
  <c r="Z62" i="134"/>
  <c r="Z61" i="134"/>
  <c r="Z60" i="134"/>
  <c r="Z59" i="134"/>
  <c r="Z58" i="134"/>
  <c r="H58" i="134"/>
  <c r="Z57" i="134"/>
  <c r="Z56" i="134"/>
  <c r="Z55" i="134"/>
  <c r="Z54" i="134"/>
  <c r="Z53" i="134"/>
  <c r="Z52" i="134"/>
  <c r="Z51" i="134"/>
  <c r="Z50" i="134"/>
  <c r="Z49" i="134"/>
  <c r="Z48" i="134"/>
  <c r="Z47" i="134"/>
  <c r="Z46" i="134"/>
  <c r="H46" i="134"/>
  <c r="Z45" i="134"/>
  <c r="Z44" i="134"/>
  <c r="Z43" i="134"/>
  <c r="Z42" i="134"/>
  <c r="Z41" i="134"/>
  <c r="Z40" i="134"/>
  <c r="Z39" i="134"/>
  <c r="Z38" i="134"/>
  <c r="Z37" i="134"/>
  <c r="Z36" i="134"/>
  <c r="Z35" i="134"/>
  <c r="Z34" i="134"/>
  <c r="H34" i="134"/>
  <c r="Z33" i="134"/>
  <c r="Z32" i="134"/>
  <c r="Z31" i="134"/>
  <c r="Z30" i="134"/>
  <c r="Z29" i="134"/>
  <c r="Z28" i="134"/>
  <c r="Z27" i="134"/>
  <c r="Z26" i="134"/>
  <c r="Z25" i="134"/>
  <c r="Z24" i="134"/>
  <c r="Z23" i="134"/>
  <c r="Z22" i="134"/>
  <c r="H22" i="134"/>
  <c r="Z21" i="134"/>
  <c r="Z20" i="134"/>
  <c r="Z19" i="134"/>
  <c r="Z18" i="134"/>
  <c r="Z17" i="134"/>
  <c r="Z16" i="134"/>
  <c r="Z15" i="134"/>
  <c r="Z14" i="134"/>
  <c r="Z13" i="134"/>
  <c r="Z12" i="134"/>
  <c r="Z11" i="134"/>
  <c r="Z10" i="134"/>
  <c r="H10" i="134"/>
  <c r="E10" i="134"/>
  <c r="Z9" i="134"/>
  <c r="Z8" i="134"/>
  <c r="Z7" i="134"/>
  <c r="AE234" i="133"/>
  <c r="AE233" i="133"/>
  <c r="AE232" i="133"/>
  <c r="AE231" i="133"/>
  <c r="AE230" i="133"/>
  <c r="AE229" i="133"/>
  <c r="AE228" i="133"/>
  <c r="AE227" i="133"/>
  <c r="AE226" i="133"/>
  <c r="K226" i="133"/>
  <c r="H226" i="133"/>
  <c r="E226" i="133"/>
  <c r="AE225" i="133"/>
  <c r="AE224" i="133"/>
  <c r="AE223" i="133"/>
  <c r="AE222" i="133"/>
  <c r="AE221" i="133"/>
  <c r="AE220" i="133"/>
  <c r="AE219" i="133"/>
  <c r="AE218" i="133"/>
  <c r="AE217" i="133"/>
  <c r="AE216" i="133"/>
  <c r="AE215" i="133"/>
  <c r="AE214" i="133"/>
  <c r="K214" i="133"/>
  <c r="H214" i="133"/>
  <c r="AE213" i="133"/>
  <c r="AE212" i="133"/>
  <c r="AE211" i="133"/>
  <c r="AE210" i="133"/>
  <c r="AE209" i="133"/>
  <c r="AE208" i="133"/>
  <c r="AE207" i="133"/>
  <c r="AE206" i="133"/>
  <c r="AE205" i="133"/>
  <c r="AE204" i="133"/>
  <c r="AE203" i="133"/>
  <c r="AE202" i="133"/>
  <c r="K202" i="133"/>
  <c r="AE201" i="133"/>
  <c r="AE200" i="133"/>
  <c r="AE199" i="133"/>
  <c r="AE198" i="133"/>
  <c r="AE197" i="133"/>
  <c r="AE196" i="133"/>
  <c r="AE195" i="133"/>
  <c r="AE194" i="133"/>
  <c r="AE193" i="133"/>
  <c r="AE192" i="133"/>
  <c r="AE191" i="133"/>
  <c r="AE190" i="133"/>
  <c r="K190" i="133"/>
  <c r="H190" i="133"/>
  <c r="E190" i="133"/>
  <c r="AE189" i="133"/>
  <c r="AE188" i="133"/>
  <c r="AE187" i="133"/>
  <c r="AE186" i="133"/>
  <c r="AE185" i="133"/>
  <c r="AE184" i="133"/>
  <c r="AE183" i="133"/>
  <c r="AE182" i="133"/>
  <c r="AE181" i="133"/>
  <c r="AE180" i="133"/>
  <c r="AE179" i="133"/>
  <c r="AE178" i="133"/>
  <c r="K178" i="133"/>
  <c r="H178" i="133"/>
  <c r="AE177" i="133"/>
  <c r="AE176" i="133"/>
  <c r="AE175" i="133"/>
  <c r="AE174" i="133"/>
  <c r="AE173" i="133"/>
  <c r="AE172" i="133"/>
  <c r="AE171" i="133"/>
  <c r="AE170" i="133"/>
  <c r="AE169" i="133"/>
  <c r="AE168" i="133"/>
  <c r="AE167" i="133"/>
  <c r="AE166" i="133"/>
  <c r="K166" i="133"/>
  <c r="AE165" i="133"/>
  <c r="AE164" i="133"/>
  <c r="AE163" i="133"/>
  <c r="AE162" i="133"/>
  <c r="AE161" i="133"/>
  <c r="AE160" i="133"/>
  <c r="AE159" i="133"/>
  <c r="AE158" i="133"/>
  <c r="AE157" i="133"/>
  <c r="AE156" i="133"/>
  <c r="AE155" i="133"/>
  <c r="AE154" i="133"/>
  <c r="K154" i="133"/>
  <c r="H154" i="133"/>
  <c r="AE153" i="133"/>
  <c r="AE152" i="133"/>
  <c r="AE151" i="133"/>
  <c r="AE150" i="133"/>
  <c r="AE149" i="133"/>
  <c r="AE148" i="133"/>
  <c r="AE147" i="133"/>
  <c r="AE146" i="133"/>
  <c r="AE145" i="133"/>
  <c r="AE144" i="133"/>
  <c r="AE143" i="133"/>
  <c r="AE142" i="133"/>
  <c r="K142" i="133"/>
  <c r="AE141" i="133"/>
  <c r="AE140" i="133"/>
  <c r="AE139" i="133"/>
  <c r="AE138" i="133"/>
  <c r="AE137" i="133"/>
  <c r="AE136" i="133"/>
  <c r="AE135" i="133"/>
  <c r="AE134" i="133"/>
  <c r="AE133" i="133"/>
  <c r="AE132" i="133"/>
  <c r="AE131" i="133"/>
  <c r="AE130" i="133"/>
  <c r="K130" i="133"/>
  <c r="AE129" i="133"/>
  <c r="AE128" i="133"/>
  <c r="AE127" i="133"/>
  <c r="AE126" i="133"/>
  <c r="AE125" i="133"/>
  <c r="AE124" i="133"/>
  <c r="AE123" i="133"/>
  <c r="AE122" i="133"/>
  <c r="AE121" i="133"/>
  <c r="AE120" i="133"/>
  <c r="AE119" i="133"/>
  <c r="AE118" i="133"/>
  <c r="K118" i="133"/>
  <c r="H118" i="133"/>
  <c r="E118" i="133"/>
  <c r="AE117" i="133"/>
  <c r="AE116" i="133"/>
  <c r="AE115" i="133"/>
  <c r="AE114" i="133"/>
  <c r="AE113" i="133"/>
  <c r="AE112" i="133"/>
  <c r="AE111" i="133"/>
  <c r="AE110" i="133"/>
  <c r="AE109" i="133"/>
  <c r="AE108" i="133"/>
  <c r="AE107" i="133"/>
  <c r="AE106" i="133"/>
  <c r="K106" i="133"/>
  <c r="AE105" i="133"/>
  <c r="AE104" i="133"/>
  <c r="AE103" i="133"/>
  <c r="AE102" i="133"/>
  <c r="AE101" i="133"/>
  <c r="AE100" i="133"/>
  <c r="AE99" i="133"/>
  <c r="AE98" i="133"/>
  <c r="AE97" i="133"/>
  <c r="AE96" i="133"/>
  <c r="AE95" i="133"/>
  <c r="AE94" i="133"/>
  <c r="K94" i="133"/>
  <c r="H94" i="133"/>
  <c r="AE93" i="133"/>
  <c r="AE92" i="133"/>
  <c r="AE91" i="133"/>
  <c r="AE90" i="133"/>
  <c r="AE89" i="133"/>
  <c r="AE88" i="133"/>
  <c r="AE87" i="133"/>
  <c r="AE86" i="133"/>
  <c r="AE85" i="133"/>
  <c r="AE84" i="133"/>
  <c r="AE83" i="133"/>
  <c r="AE82" i="133"/>
  <c r="K82" i="133"/>
  <c r="AE81" i="133"/>
  <c r="AE80" i="133"/>
  <c r="AE79" i="133"/>
  <c r="AE78" i="133"/>
  <c r="AE77" i="133"/>
  <c r="AE76" i="133"/>
  <c r="AE75" i="133"/>
  <c r="AE74" i="133"/>
  <c r="AE73" i="133"/>
  <c r="AE72" i="133"/>
  <c r="AE71" i="133"/>
  <c r="AE70" i="133"/>
  <c r="K70" i="133"/>
  <c r="AE69" i="133"/>
  <c r="AE68" i="133"/>
  <c r="AE67" i="133"/>
  <c r="AE66" i="133"/>
  <c r="AE65" i="133"/>
  <c r="AE64" i="133"/>
  <c r="AE63" i="133"/>
  <c r="AE62" i="133"/>
  <c r="AE61" i="133"/>
  <c r="AE60" i="133"/>
  <c r="AE59" i="133"/>
  <c r="AE58" i="133"/>
  <c r="K58" i="133"/>
  <c r="H58" i="133"/>
  <c r="AE57" i="133"/>
  <c r="AE56" i="133"/>
  <c r="AE55" i="133"/>
  <c r="AE54" i="133"/>
  <c r="AE53" i="133"/>
  <c r="AE52" i="133"/>
  <c r="AE51" i="133"/>
  <c r="AE50" i="133"/>
  <c r="AE49" i="133"/>
  <c r="AE48" i="133"/>
  <c r="AE47" i="133"/>
  <c r="AE46" i="133"/>
  <c r="K46" i="133"/>
  <c r="AE45" i="133"/>
  <c r="AE44" i="133"/>
  <c r="AE43" i="133"/>
  <c r="AE42" i="133"/>
  <c r="AE41" i="133"/>
  <c r="AE40" i="133"/>
  <c r="AE39" i="133"/>
  <c r="AE38" i="133"/>
  <c r="AE37" i="133"/>
  <c r="AE36" i="133"/>
  <c r="AE35" i="133"/>
  <c r="AE34" i="133"/>
  <c r="K34" i="133"/>
  <c r="AE33" i="133"/>
  <c r="AE32" i="133"/>
  <c r="AE31" i="133"/>
  <c r="AE30" i="133"/>
  <c r="AE29" i="133"/>
  <c r="AE28" i="133"/>
  <c r="AE27" i="133"/>
  <c r="AE26" i="133"/>
  <c r="AE25" i="133"/>
  <c r="AE24" i="133"/>
  <c r="AE23" i="133"/>
  <c r="AE22" i="133"/>
  <c r="K22" i="133"/>
  <c r="AE21" i="133"/>
  <c r="AE20" i="133"/>
  <c r="AE19" i="133"/>
  <c r="AE18" i="133"/>
  <c r="AE17" i="133"/>
  <c r="AE16" i="133"/>
  <c r="AE15" i="133"/>
  <c r="AE14" i="133"/>
  <c r="AE13" i="133"/>
  <c r="AE12" i="133"/>
  <c r="AE11" i="133"/>
  <c r="AE10" i="133"/>
  <c r="K10" i="133"/>
  <c r="H10" i="133"/>
  <c r="E10" i="133"/>
  <c r="AE9" i="133"/>
  <c r="AE8" i="133"/>
  <c r="AE7" i="133"/>
  <c r="Z186" i="132"/>
  <c r="Z185" i="132"/>
  <c r="Z184" i="132"/>
  <c r="Z183" i="132"/>
  <c r="Z182" i="132"/>
  <c r="Z181" i="132"/>
  <c r="Z180" i="132"/>
  <c r="Z179" i="132"/>
  <c r="Z178" i="132"/>
  <c r="H178" i="132"/>
  <c r="Z177" i="132"/>
  <c r="Z176" i="132"/>
  <c r="Z175" i="132"/>
  <c r="Z174" i="132"/>
  <c r="Z173" i="132"/>
  <c r="Z172" i="132"/>
  <c r="Z171" i="132"/>
  <c r="Z170" i="132"/>
  <c r="Z169" i="132"/>
  <c r="Z168" i="132"/>
  <c r="Z167" i="132"/>
  <c r="Z166" i="132"/>
  <c r="H166" i="132"/>
  <c r="Z165" i="132"/>
  <c r="Z164" i="132"/>
  <c r="Z163" i="132"/>
  <c r="Z162" i="132"/>
  <c r="Z161" i="132"/>
  <c r="Z160" i="132"/>
  <c r="Z159" i="132"/>
  <c r="Z158" i="132"/>
  <c r="Z157" i="132"/>
  <c r="Z156" i="132"/>
  <c r="Z155" i="132"/>
  <c r="Z154" i="132"/>
  <c r="H154" i="132"/>
  <c r="Z153" i="132"/>
  <c r="Z152" i="132"/>
  <c r="Z151" i="132"/>
  <c r="Z150" i="132"/>
  <c r="Z149" i="132"/>
  <c r="Z148" i="132"/>
  <c r="Z147" i="132"/>
  <c r="Z146" i="132"/>
  <c r="Z145" i="132"/>
  <c r="Z144" i="132"/>
  <c r="Z143" i="132"/>
  <c r="Z142" i="132"/>
  <c r="H142" i="132"/>
  <c r="Z141" i="132"/>
  <c r="Z140" i="132"/>
  <c r="Z139" i="132"/>
  <c r="Z138" i="132"/>
  <c r="Z137" i="132"/>
  <c r="Z136" i="132"/>
  <c r="Z135" i="132"/>
  <c r="Z134" i="132"/>
  <c r="Z133" i="132"/>
  <c r="Z132" i="132"/>
  <c r="Z131" i="132"/>
  <c r="Z130" i="132"/>
  <c r="H130" i="132"/>
  <c r="Z129" i="132"/>
  <c r="Z128" i="132"/>
  <c r="Z127" i="132"/>
  <c r="Z126" i="132"/>
  <c r="Z125" i="132"/>
  <c r="Z124" i="132"/>
  <c r="Z123" i="132"/>
  <c r="Z122" i="132"/>
  <c r="Z121" i="132"/>
  <c r="Z120" i="132"/>
  <c r="Z119" i="132"/>
  <c r="Z118" i="132"/>
  <c r="H118" i="132"/>
  <c r="Z117" i="132"/>
  <c r="Z116" i="132"/>
  <c r="Z115" i="132"/>
  <c r="Z114" i="132"/>
  <c r="Z113" i="132"/>
  <c r="Z112" i="132"/>
  <c r="Z111" i="132"/>
  <c r="Z110" i="132"/>
  <c r="Z109" i="132"/>
  <c r="Z108" i="132"/>
  <c r="Z107" i="132"/>
  <c r="Z106" i="132"/>
  <c r="H106" i="132"/>
  <c r="Z105" i="132"/>
  <c r="Z104" i="132"/>
  <c r="Z103" i="132"/>
  <c r="Z102" i="132"/>
  <c r="Z101" i="132"/>
  <c r="Z100" i="132"/>
  <c r="Z99" i="132"/>
  <c r="Z98" i="132"/>
  <c r="Z97" i="132"/>
  <c r="Z96" i="132"/>
  <c r="Z95" i="132"/>
  <c r="Z94" i="132"/>
  <c r="H94" i="132"/>
  <c r="Z93" i="132"/>
  <c r="Z92" i="132"/>
  <c r="Z91" i="132"/>
  <c r="Z90" i="132"/>
  <c r="Z89" i="132"/>
  <c r="Z88" i="132"/>
  <c r="Z87" i="132"/>
  <c r="Z86" i="132"/>
  <c r="Z85" i="132"/>
  <c r="Z84" i="132"/>
  <c r="Z83" i="132"/>
  <c r="Z82" i="132"/>
  <c r="H82" i="132"/>
  <c r="Z81" i="132"/>
  <c r="Z80" i="132"/>
  <c r="Z79" i="132"/>
  <c r="Z78" i="132"/>
  <c r="Z77" i="132"/>
  <c r="Z76" i="132"/>
  <c r="Z75" i="132"/>
  <c r="Z74" i="132"/>
  <c r="Z73" i="132"/>
  <c r="Z72" i="132"/>
  <c r="Z71" i="132"/>
  <c r="Z70" i="132"/>
  <c r="H70" i="132"/>
  <c r="Z69" i="132"/>
  <c r="Z68" i="132"/>
  <c r="Z67" i="132"/>
  <c r="Z66" i="132"/>
  <c r="Z65" i="132"/>
  <c r="Z64" i="132"/>
  <c r="Z63" i="132"/>
  <c r="Z62" i="132"/>
  <c r="Z61" i="132"/>
  <c r="Z60" i="132"/>
  <c r="Z59" i="132"/>
  <c r="Z58" i="132"/>
  <c r="H58" i="132"/>
  <c r="Z57" i="132"/>
  <c r="Z56" i="132"/>
  <c r="Z55" i="132"/>
  <c r="Z54" i="132"/>
  <c r="Z53" i="132"/>
  <c r="Z52" i="132"/>
  <c r="Z51" i="132"/>
  <c r="Z50" i="132"/>
  <c r="Z49" i="132"/>
  <c r="Z48" i="132"/>
  <c r="Z47" i="132"/>
  <c r="Z46" i="132"/>
  <c r="H46" i="132"/>
  <c r="Z45" i="132"/>
  <c r="Z44" i="132"/>
  <c r="Z43" i="132"/>
  <c r="Z42" i="132"/>
  <c r="Z41" i="132"/>
  <c r="Z40" i="132"/>
  <c r="Z39" i="132"/>
  <c r="Z38" i="132"/>
  <c r="Z37" i="132"/>
  <c r="Z36" i="132"/>
  <c r="Z35" i="132"/>
  <c r="Z34" i="132"/>
  <c r="H34" i="132"/>
  <c r="Z33" i="132"/>
  <c r="Z32" i="132"/>
  <c r="Z31" i="132"/>
  <c r="Z30" i="132"/>
  <c r="Z29" i="132"/>
  <c r="Z28" i="132"/>
  <c r="Z27" i="132"/>
  <c r="Z26" i="132"/>
  <c r="Z25" i="132"/>
  <c r="Z24" i="132"/>
  <c r="Z23" i="132"/>
  <c r="Z22" i="132"/>
  <c r="H22" i="132"/>
  <c r="Z21" i="132"/>
  <c r="Z20" i="132"/>
  <c r="Z19" i="132"/>
  <c r="Z18" i="132"/>
  <c r="Z17" i="132"/>
  <c r="Z16" i="132"/>
  <c r="Z15" i="132"/>
  <c r="Z14" i="132"/>
  <c r="Z13" i="132"/>
  <c r="Z12" i="132"/>
  <c r="Z11" i="132"/>
  <c r="Z10" i="132"/>
  <c r="H10" i="132"/>
  <c r="Z9" i="132"/>
  <c r="Z8" i="132"/>
  <c r="Z7" i="132"/>
  <c r="AB186" i="131"/>
  <c r="AB185" i="131"/>
  <c r="AB184" i="131"/>
  <c r="AB183" i="131"/>
  <c r="AB182" i="131"/>
  <c r="AB181" i="131"/>
  <c r="AB180" i="131"/>
  <c r="AB179" i="131"/>
  <c r="AB178" i="131"/>
  <c r="H178" i="131"/>
  <c r="E178" i="131"/>
  <c r="AB177" i="131"/>
  <c r="AB176" i="131"/>
  <c r="AB175" i="131"/>
  <c r="AB174" i="131"/>
  <c r="AB173" i="131"/>
  <c r="AB172" i="131"/>
  <c r="AB171" i="131"/>
  <c r="AB170" i="131"/>
  <c r="AB169" i="131"/>
  <c r="AB168" i="131"/>
  <c r="AB167" i="131"/>
  <c r="AB166" i="131"/>
  <c r="H166" i="131"/>
  <c r="AB165" i="131"/>
  <c r="AB164" i="131"/>
  <c r="AB163" i="131"/>
  <c r="AB162" i="131"/>
  <c r="AB161" i="131"/>
  <c r="AB160" i="131"/>
  <c r="AB159" i="131"/>
  <c r="AB158" i="131"/>
  <c r="AB157" i="131"/>
  <c r="AB156" i="131"/>
  <c r="AB155" i="131"/>
  <c r="AB154" i="131"/>
  <c r="H154" i="131"/>
  <c r="E154" i="131"/>
  <c r="AB153" i="131"/>
  <c r="AB152" i="131"/>
  <c r="AB151" i="131"/>
  <c r="AB150" i="131"/>
  <c r="AB149" i="131"/>
  <c r="AB148" i="131"/>
  <c r="AB147" i="131"/>
  <c r="AB146" i="131"/>
  <c r="AB145" i="131"/>
  <c r="AB144" i="131"/>
  <c r="AB143" i="131"/>
  <c r="AB142" i="131"/>
  <c r="H142" i="131"/>
  <c r="AB141" i="131"/>
  <c r="AB140" i="131"/>
  <c r="AB139" i="131"/>
  <c r="AB138" i="131"/>
  <c r="AB137" i="131"/>
  <c r="AB136" i="131"/>
  <c r="AB135" i="131"/>
  <c r="AB134" i="131"/>
  <c r="AB133" i="131"/>
  <c r="AB132" i="131"/>
  <c r="AB131" i="131"/>
  <c r="AB130" i="131"/>
  <c r="H130" i="131"/>
  <c r="AB129" i="131"/>
  <c r="AB128" i="131"/>
  <c r="AB127" i="131"/>
  <c r="AB126" i="131"/>
  <c r="AB125" i="131"/>
  <c r="AB124" i="131"/>
  <c r="AB123" i="131"/>
  <c r="AB122" i="131"/>
  <c r="AB121" i="131"/>
  <c r="AB120" i="131"/>
  <c r="AB119" i="131"/>
  <c r="AB118" i="131"/>
  <c r="H118" i="131"/>
  <c r="E118" i="131"/>
  <c r="AB117" i="131"/>
  <c r="AB116" i="131"/>
  <c r="AB115" i="131"/>
  <c r="AB114" i="131"/>
  <c r="AB113" i="131"/>
  <c r="AB112" i="131"/>
  <c r="AB111" i="131"/>
  <c r="AB110" i="131"/>
  <c r="AB109" i="131"/>
  <c r="AB108" i="131"/>
  <c r="AB107" i="131"/>
  <c r="AB106" i="131"/>
  <c r="H106" i="131"/>
  <c r="AB105" i="131"/>
  <c r="AB104" i="131"/>
  <c r="AB103" i="131"/>
  <c r="AB102" i="131"/>
  <c r="AB101" i="131"/>
  <c r="AB100" i="131"/>
  <c r="AB99" i="131"/>
  <c r="AB98" i="131"/>
  <c r="AB97" i="131"/>
  <c r="AB96" i="131"/>
  <c r="AB95" i="131"/>
  <c r="AB94" i="131"/>
  <c r="H94" i="131"/>
  <c r="AB93" i="131"/>
  <c r="AB92" i="131"/>
  <c r="AB91" i="131"/>
  <c r="AB90" i="131"/>
  <c r="AB89" i="131"/>
  <c r="AB88" i="131"/>
  <c r="AB87" i="131"/>
  <c r="AB86" i="131"/>
  <c r="AB85" i="131"/>
  <c r="AB84" i="131"/>
  <c r="AB83" i="131"/>
  <c r="AB82" i="131"/>
  <c r="H82" i="131"/>
  <c r="AB81" i="131"/>
  <c r="AB80" i="131"/>
  <c r="AB79" i="131"/>
  <c r="AB78" i="131"/>
  <c r="AB77" i="131"/>
  <c r="AB76" i="131"/>
  <c r="AB75" i="131"/>
  <c r="AB74" i="131"/>
  <c r="AB73" i="131"/>
  <c r="AB72" i="131"/>
  <c r="AB71" i="131"/>
  <c r="AB70" i="131"/>
  <c r="H70" i="131"/>
  <c r="E70" i="131"/>
  <c r="AB69" i="131"/>
  <c r="AB68" i="131"/>
  <c r="AB67" i="131"/>
  <c r="AB66" i="131"/>
  <c r="AB65" i="131"/>
  <c r="AB64" i="131"/>
  <c r="AB63" i="131"/>
  <c r="AB62" i="131"/>
  <c r="AB61" i="131"/>
  <c r="AB60" i="131"/>
  <c r="AB59" i="131"/>
  <c r="AB58" i="131"/>
  <c r="H58" i="131"/>
  <c r="AB57" i="131"/>
  <c r="AB56" i="131"/>
  <c r="AB55" i="131"/>
  <c r="AB54" i="131"/>
  <c r="AB53" i="131"/>
  <c r="AB52" i="131"/>
  <c r="AB51" i="131"/>
  <c r="AB50" i="131"/>
  <c r="AB49" i="131"/>
  <c r="AB48" i="131"/>
  <c r="AB47" i="131"/>
  <c r="AB46" i="131"/>
  <c r="H46" i="131"/>
  <c r="AB45" i="131"/>
  <c r="AB44" i="131"/>
  <c r="AB43" i="131"/>
  <c r="AB42" i="131"/>
  <c r="AB41" i="131"/>
  <c r="AB40" i="131"/>
  <c r="AB39" i="131"/>
  <c r="AB38" i="131"/>
  <c r="AB37" i="131"/>
  <c r="AB36" i="131"/>
  <c r="AB35" i="131"/>
  <c r="AB34" i="131"/>
  <c r="H34" i="131"/>
  <c r="AB33" i="131"/>
  <c r="AB32" i="131"/>
  <c r="AB31" i="131"/>
  <c r="AB30" i="131"/>
  <c r="AB29" i="131"/>
  <c r="AB28" i="131"/>
  <c r="AB27" i="131"/>
  <c r="AB26" i="131"/>
  <c r="AB25" i="131"/>
  <c r="AB24" i="131"/>
  <c r="AB23" i="131"/>
  <c r="AB22" i="131"/>
  <c r="H22" i="131"/>
  <c r="AB21" i="131"/>
  <c r="AB20" i="131"/>
  <c r="AB19" i="131"/>
  <c r="AB18" i="131"/>
  <c r="AB17" i="131"/>
  <c r="AB16" i="131"/>
  <c r="AB15" i="131"/>
  <c r="AB14" i="131"/>
  <c r="AB13" i="131"/>
  <c r="AB12" i="131"/>
  <c r="AB11" i="131"/>
  <c r="AB10" i="131"/>
  <c r="H10" i="131"/>
  <c r="E10" i="131"/>
  <c r="AB9" i="131"/>
  <c r="AB8" i="131"/>
  <c r="AB7" i="131"/>
  <c r="AE203" i="130"/>
  <c r="AE202" i="130"/>
  <c r="AE201" i="130"/>
  <c r="AE200" i="130"/>
  <c r="AE199" i="130"/>
  <c r="AE198" i="130"/>
  <c r="AE197" i="130"/>
  <c r="AE196" i="130"/>
  <c r="AE195" i="130"/>
  <c r="K195" i="130"/>
  <c r="H195" i="130"/>
  <c r="E195" i="130"/>
  <c r="AE194" i="130"/>
  <c r="AE193" i="130"/>
  <c r="AE192" i="130"/>
  <c r="AE186" i="130"/>
  <c r="AE185" i="130"/>
  <c r="AE184" i="130"/>
  <c r="AE183" i="130"/>
  <c r="AE182" i="130"/>
  <c r="AE181" i="130"/>
  <c r="AE180" i="130"/>
  <c r="AE179" i="130"/>
  <c r="AE178" i="130"/>
  <c r="H178" i="130"/>
  <c r="E178" i="130"/>
  <c r="AE177" i="130"/>
  <c r="AE176" i="130"/>
  <c r="AE175" i="130"/>
  <c r="AE174" i="130"/>
  <c r="AE173" i="130"/>
  <c r="AE172" i="130"/>
  <c r="AE171" i="130"/>
  <c r="AE170" i="130"/>
  <c r="AE169" i="130"/>
  <c r="AE168" i="130"/>
  <c r="AE167" i="130"/>
  <c r="AE166" i="130"/>
  <c r="H166" i="130"/>
  <c r="AE165" i="130"/>
  <c r="AE164" i="130"/>
  <c r="AE163" i="130"/>
  <c r="AE162" i="130"/>
  <c r="AE161" i="130"/>
  <c r="AE160" i="130"/>
  <c r="AE159" i="130"/>
  <c r="AE158" i="130"/>
  <c r="AE157" i="130"/>
  <c r="AE156" i="130"/>
  <c r="AE155" i="130"/>
  <c r="AE154" i="130"/>
  <c r="H154" i="130"/>
  <c r="E154" i="130"/>
  <c r="AE153" i="130"/>
  <c r="AE152" i="130"/>
  <c r="AE151" i="130"/>
  <c r="AE150" i="130"/>
  <c r="AE149" i="130"/>
  <c r="AE148" i="130"/>
  <c r="AE147" i="130"/>
  <c r="AE146" i="130"/>
  <c r="AE145" i="130"/>
  <c r="AE144" i="130"/>
  <c r="AE143" i="130"/>
  <c r="AE142" i="130"/>
  <c r="H142" i="130"/>
  <c r="AE141" i="130"/>
  <c r="AE140" i="130"/>
  <c r="AE139" i="130"/>
  <c r="AE138" i="130"/>
  <c r="AE137" i="130"/>
  <c r="AE136" i="130"/>
  <c r="AE135" i="130"/>
  <c r="AE134" i="130"/>
  <c r="AE133" i="130"/>
  <c r="AE132" i="130"/>
  <c r="AE131" i="130"/>
  <c r="AE130" i="130"/>
  <c r="H130" i="130"/>
  <c r="AE129" i="130"/>
  <c r="AE128" i="130"/>
  <c r="AE127" i="130"/>
  <c r="AE126" i="130"/>
  <c r="AE125" i="130"/>
  <c r="AE124" i="130"/>
  <c r="AE123" i="130"/>
  <c r="AE122" i="130"/>
  <c r="AE121" i="130"/>
  <c r="AE120" i="130"/>
  <c r="AE119" i="130"/>
  <c r="AE118" i="130"/>
  <c r="H118" i="130"/>
  <c r="E118" i="130"/>
  <c r="AE117" i="130"/>
  <c r="AE116" i="130"/>
  <c r="AE115" i="130"/>
  <c r="AE114" i="130"/>
  <c r="AE113" i="130"/>
  <c r="AE112" i="130"/>
  <c r="AE111" i="130"/>
  <c r="AE110" i="130"/>
  <c r="AE109" i="130"/>
  <c r="AE108" i="130"/>
  <c r="AE107" i="130"/>
  <c r="AE106" i="130"/>
  <c r="H106" i="130"/>
  <c r="AE105" i="130"/>
  <c r="AE104" i="130"/>
  <c r="AE103" i="130"/>
  <c r="AE102" i="130"/>
  <c r="AE101" i="130"/>
  <c r="AE100" i="130"/>
  <c r="AE99" i="130"/>
  <c r="AE98" i="130"/>
  <c r="AE97" i="130"/>
  <c r="AE96" i="130"/>
  <c r="AE95" i="130"/>
  <c r="AE94" i="130"/>
  <c r="H94" i="130"/>
  <c r="AE93" i="130"/>
  <c r="AE92" i="130"/>
  <c r="AE91" i="130"/>
  <c r="AE90" i="130"/>
  <c r="AE89" i="130"/>
  <c r="AE88" i="130"/>
  <c r="AE87" i="130"/>
  <c r="AE86" i="130"/>
  <c r="AE85" i="130"/>
  <c r="AE84" i="130"/>
  <c r="AE83" i="130"/>
  <c r="AE82" i="130"/>
  <c r="H82" i="130"/>
  <c r="AE81" i="130"/>
  <c r="AE80" i="130"/>
  <c r="AE79" i="130"/>
  <c r="AE78" i="130"/>
  <c r="AE77" i="130"/>
  <c r="AE76" i="130"/>
  <c r="AE75" i="130"/>
  <c r="AE74" i="130"/>
  <c r="AE73" i="130"/>
  <c r="AE72" i="130"/>
  <c r="AE71" i="130"/>
  <c r="AE70" i="130"/>
  <c r="H70" i="130"/>
  <c r="E70" i="130"/>
  <c r="AE69" i="130"/>
  <c r="AE68" i="130"/>
  <c r="AE67" i="130"/>
  <c r="AE66" i="130"/>
  <c r="AE65" i="130"/>
  <c r="AE64" i="130"/>
  <c r="AE63" i="130"/>
  <c r="AE62" i="130"/>
  <c r="AE61" i="130"/>
  <c r="AE60" i="130"/>
  <c r="AE59" i="130"/>
  <c r="AE58" i="130"/>
  <c r="H58" i="130"/>
  <c r="AE57" i="130"/>
  <c r="AE56" i="130"/>
  <c r="AE55" i="130"/>
  <c r="AE54" i="130"/>
  <c r="AE53" i="130"/>
  <c r="AE52" i="130"/>
  <c r="AE51" i="130"/>
  <c r="AE50" i="130"/>
  <c r="AE49" i="130"/>
  <c r="AE48" i="130"/>
  <c r="AE47" i="130"/>
  <c r="AE46" i="130"/>
  <c r="H46" i="130"/>
  <c r="AE45" i="130"/>
  <c r="AE44" i="130"/>
  <c r="AE43" i="130"/>
  <c r="AE42" i="130"/>
  <c r="AE41" i="130"/>
  <c r="AE40" i="130"/>
  <c r="AE39" i="130"/>
  <c r="AE38" i="130"/>
  <c r="AE37" i="130"/>
  <c r="AE36" i="130"/>
  <c r="AE35" i="130"/>
  <c r="AE34" i="130"/>
  <c r="H34" i="130"/>
  <c r="AE33" i="130"/>
  <c r="AE32" i="130"/>
  <c r="AE31" i="130"/>
  <c r="AE30" i="130"/>
  <c r="AE29" i="130"/>
  <c r="AE28" i="130"/>
  <c r="AE27" i="130"/>
  <c r="AE26" i="130"/>
  <c r="AE25" i="130"/>
  <c r="AE24" i="130"/>
  <c r="AE23" i="130"/>
  <c r="AE22" i="130"/>
  <c r="H22" i="130"/>
  <c r="AE21" i="130"/>
  <c r="AE20" i="130"/>
  <c r="AE19" i="130"/>
  <c r="AE18" i="130"/>
  <c r="AE17" i="130"/>
  <c r="AE16" i="130"/>
  <c r="AE15" i="130"/>
  <c r="AE14" i="130"/>
  <c r="AE13" i="130"/>
  <c r="AE12" i="130"/>
  <c r="AE11" i="130"/>
  <c r="AE10" i="130"/>
  <c r="H10" i="130"/>
  <c r="E10" i="130"/>
  <c r="AE9" i="130"/>
  <c r="AE8" i="130"/>
  <c r="AE7" i="130"/>
  <c r="Z186" i="129"/>
  <c r="Z185" i="129"/>
  <c r="Z184" i="129"/>
  <c r="Z183" i="129"/>
  <c r="Z182" i="129"/>
  <c r="Z181" i="129"/>
  <c r="Z180" i="129"/>
  <c r="Z179" i="129"/>
  <c r="Z178" i="129"/>
  <c r="H178" i="129"/>
  <c r="E178" i="129"/>
  <c r="Z177" i="129"/>
  <c r="Z176" i="129"/>
  <c r="Z175" i="129"/>
  <c r="Z174" i="129"/>
  <c r="Z173" i="129"/>
  <c r="Z172" i="129"/>
  <c r="Z171" i="129"/>
  <c r="Z170" i="129"/>
  <c r="Z169" i="129"/>
  <c r="Z168" i="129"/>
  <c r="Z167" i="129"/>
  <c r="Z166" i="129"/>
  <c r="H166" i="129"/>
  <c r="Z165" i="129"/>
  <c r="Z164" i="129"/>
  <c r="Z163" i="129"/>
  <c r="Z162" i="129"/>
  <c r="Z161" i="129"/>
  <c r="Z160" i="129"/>
  <c r="Z159" i="129"/>
  <c r="Z158" i="129"/>
  <c r="Z157" i="129"/>
  <c r="Z156" i="129"/>
  <c r="Z155" i="129"/>
  <c r="Z154" i="129"/>
  <c r="H154" i="129"/>
  <c r="E154" i="129"/>
  <c r="Z153" i="129"/>
  <c r="Z152" i="129"/>
  <c r="Z151" i="129"/>
  <c r="Z150" i="129"/>
  <c r="Z149" i="129"/>
  <c r="Z148" i="129"/>
  <c r="Z147" i="129"/>
  <c r="Z146" i="129"/>
  <c r="Z145" i="129"/>
  <c r="Z144" i="129"/>
  <c r="Z143" i="129"/>
  <c r="Z142" i="129"/>
  <c r="H142" i="129"/>
  <c r="Z141" i="129"/>
  <c r="Z140" i="129"/>
  <c r="Z139" i="129"/>
  <c r="Z138" i="129"/>
  <c r="Z137" i="129"/>
  <c r="Z136" i="129"/>
  <c r="Z135" i="129"/>
  <c r="Z134" i="129"/>
  <c r="Z133" i="129"/>
  <c r="Z132" i="129"/>
  <c r="Z131" i="129"/>
  <c r="Z130" i="129"/>
  <c r="H130" i="129"/>
  <c r="Z129" i="129"/>
  <c r="Z128" i="129"/>
  <c r="Z127" i="129"/>
  <c r="Z126" i="129"/>
  <c r="Z125" i="129"/>
  <c r="Z124" i="129"/>
  <c r="Z123" i="129"/>
  <c r="Z122" i="129"/>
  <c r="Z121" i="129"/>
  <c r="Z120" i="129"/>
  <c r="Z119" i="129"/>
  <c r="Z118" i="129"/>
  <c r="H118" i="129"/>
  <c r="E118" i="129"/>
  <c r="Z117" i="129"/>
  <c r="Z116" i="129"/>
  <c r="Z115" i="129"/>
  <c r="Z114" i="129"/>
  <c r="Z113" i="129"/>
  <c r="Z112" i="129"/>
  <c r="Z111" i="129"/>
  <c r="Z110" i="129"/>
  <c r="Z109" i="129"/>
  <c r="Z108" i="129"/>
  <c r="Z107" i="129"/>
  <c r="Z106" i="129"/>
  <c r="H106" i="129"/>
  <c r="Z105" i="129"/>
  <c r="Z104" i="129"/>
  <c r="Z103" i="129"/>
  <c r="Z102" i="129"/>
  <c r="Z101" i="129"/>
  <c r="Z100" i="129"/>
  <c r="Z99" i="129"/>
  <c r="Z98" i="129"/>
  <c r="Z97" i="129"/>
  <c r="Z96" i="129"/>
  <c r="Z95" i="129"/>
  <c r="Z94" i="129"/>
  <c r="H94" i="129"/>
  <c r="Z93" i="129"/>
  <c r="Z92" i="129"/>
  <c r="Z91" i="129"/>
  <c r="Z90" i="129"/>
  <c r="Z89" i="129"/>
  <c r="Z88" i="129"/>
  <c r="Z87" i="129"/>
  <c r="Z86" i="129"/>
  <c r="Z85" i="129"/>
  <c r="Z84" i="129"/>
  <c r="Z83" i="129"/>
  <c r="Z82" i="129"/>
  <c r="H82" i="129"/>
  <c r="Z81" i="129"/>
  <c r="Z80" i="129"/>
  <c r="Z79" i="129"/>
  <c r="Z78" i="129"/>
  <c r="Z77" i="129"/>
  <c r="Z76" i="129"/>
  <c r="Z75" i="129"/>
  <c r="Z74" i="129"/>
  <c r="Z73" i="129"/>
  <c r="Z72" i="129"/>
  <c r="Z71" i="129"/>
  <c r="Z70" i="129"/>
  <c r="H70" i="129"/>
  <c r="E70" i="129"/>
  <c r="Z69" i="129"/>
  <c r="Z68" i="129"/>
  <c r="Z67" i="129"/>
  <c r="Z66" i="129"/>
  <c r="Z65" i="129"/>
  <c r="Z64" i="129"/>
  <c r="Z63" i="129"/>
  <c r="Z62" i="129"/>
  <c r="Z61" i="129"/>
  <c r="Z60" i="129"/>
  <c r="Z59" i="129"/>
  <c r="Z58" i="129"/>
  <c r="H58" i="129"/>
  <c r="Z57" i="129"/>
  <c r="Z56" i="129"/>
  <c r="Z55" i="129"/>
  <c r="Z54" i="129"/>
  <c r="Z53" i="129"/>
  <c r="Z52" i="129"/>
  <c r="Z51" i="129"/>
  <c r="Z50" i="129"/>
  <c r="Z49" i="129"/>
  <c r="Z48" i="129"/>
  <c r="Z47" i="129"/>
  <c r="Z46" i="129"/>
  <c r="H46" i="129"/>
  <c r="Z45" i="129"/>
  <c r="Z44" i="129"/>
  <c r="Z43" i="129"/>
  <c r="Z42" i="129"/>
  <c r="Z41" i="129"/>
  <c r="Z40" i="129"/>
  <c r="Z39" i="129"/>
  <c r="Z38" i="129"/>
  <c r="Z37" i="129"/>
  <c r="Z36" i="129"/>
  <c r="Z35" i="129"/>
  <c r="Z34" i="129"/>
  <c r="H34" i="129"/>
  <c r="Z33" i="129"/>
  <c r="Z32" i="129"/>
  <c r="Z31" i="129"/>
  <c r="Z30" i="129"/>
  <c r="Z29" i="129"/>
  <c r="Z28" i="129"/>
  <c r="Z27" i="129"/>
  <c r="Z26" i="129"/>
  <c r="Z25" i="129"/>
  <c r="Z24" i="129"/>
  <c r="Z23" i="129"/>
  <c r="Z22" i="129"/>
  <c r="H22" i="129"/>
  <c r="Z21" i="129"/>
  <c r="Z20" i="129"/>
  <c r="Z19" i="129"/>
  <c r="Z18" i="129"/>
  <c r="Z17" i="129"/>
  <c r="Z16" i="129"/>
  <c r="Z15" i="129"/>
  <c r="Z14" i="129"/>
  <c r="Z13" i="129"/>
  <c r="Z12" i="129"/>
  <c r="Z11" i="129"/>
  <c r="Z10" i="129"/>
  <c r="H10" i="129"/>
  <c r="E10" i="129"/>
  <c r="Z9" i="129"/>
  <c r="Z8" i="129"/>
  <c r="Z7" i="129"/>
  <c r="AB186" i="128"/>
  <c r="AB185" i="128"/>
  <c r="AB184" i="128"/>
  <c r="AB183" i="128"/>
  <c r="AB182" i="128"/>
  <c r="AB181" i="128"/>
  <c r="AB180" i="128"/>
  <c r="AB179" i="128"/>
  <c r="AB178" i="128"/>
  <c r="H178" i="128"/>
  <c r="E178" i="128"/>
  <c r="AB177" i="128"/>
  <c r="AB176" i="128"/>
  <c r="AB175" i="128"/>
  <c r="AB174" i="128"/>
  <c r="AB173" i="128"/>
  <c r="AB172" i="128"/>
  <c r="AB171" i="128"/>
  <c r="AB170" i="128"/>
  <c r="AB169" i="128"/>
  <c r="AB168" i="128"/>
  <c r="AB167" i="128"/>
  <c r="AB166" i="128"/>
  <c r="H166" i="128"/>
  <c r="AB165" i="128"/>
  <c r="AB164" i="128"/>
  <c r="AB163" i="128"/>
  <c r="AB162" i="128"/>
  <c r="AB161" i="128"/>
  <c r="AB160" i="128"/>
  <c r="AB159" i="128"/>
  <c r="AB158" i="128"/>
  <c r="AB157" i="128"/>
  <c r="AB156" i="128"/>
  <c r="AB155" i="128"/>
  <c r="AB154" i="128"/>
  <c r="H154" i="128"/>
  <c r="E154" i="128"/>
  <c r="AB153" i="128"/>
  <c r="AB152" i="128"/>
  <c r="AB151" i="128"/>
  <c r="AB150" i="128"/>
  <c r="AB149" i="128"/>
  <c r="AB148" i="128"/>
  <c r="AB147" i="128"/>
  <c r="AB146" i="128"/>
  <c r="AB145" i="128"/>
  <c r="AB144" i="128"/>
  <c r="AB143" i="128"/>
  <c r="AB142" i="128"/>
  <c r="H142" i="128"/>
  <c r="AB141" i="128"/>
  <c r="AB140" i="128"/>
  <c r="AB139" i="128"/>
  <c r="AB138" i="128"/>
  <c r="AB137" i="128"/>
  <c r="AB136" i="128"/>
  <c r="AB135" i="128"/>
  <c r="AB134" i="128"/>
  <c r="AB133" i="128"/>
  <c r="AB132" i="128"/>
  <c r="AB131" i="128"/>
  <c r="AB130" i="128"/>
  <c r="H130" i="128"/>
  <c r="AB129" i="128"/>
  <c r="AB128" i="128"/>
  <c r="AB127" i="128"/>
  <c r="AB126" i="128"/>
  <c r="AB125" i="128"/>
  <c r="AB124" i="128"/>
  <c r="AB123" i="128"/>
  <c r="AB122" i="128"/>
  <c r="AB121" i="128"/>
  <c r="AB120" i="128"/>
  <c r="AB119" i="128"/>
  <c r="AB118" i="128"/>
  <c r="H118" i="128"/>
  <c r="E118" i="128"/>
  <c r="AB117" i="128"/>
  <c r="AB116" i="128"/>
  <c r="AB115" i="128"/>
  <c r="AB114" i="128"/>
  <c r="AB113" i="128"/>
  <c r="AB112" i="128"/>
  <c r="AB111" i="128"/>
  <c r="AB110" i="128"/>
  <c r="AB109" i="128"/>
  <c r="AB108" i="128"/>
  <c r="AB107" i="128"/>
  <c r="AB106" i="128"/>
  <c r="H106" i="128"/>
  <c r="AB105" i="128"/>
  <c r="AB104" i="128"/>
  <c r="AB103" i="128"/>
  <c r="AB102" i="128"/>
  <c r="AB101" i="128"/>
  <c r="AB100" i="128"/>
  <c r="AB99" i="128"/>
  <c r="AB98" i="128"/>
  <c r="AB97" i="128"/>
  <c r="AB96" i="128"/>
  <c r="AB95" i="128"/>
  <c r="AB94" i="128"/>
  <c r="H94" i="128"/>
  <c r="AB93" i="128"/>
  <c r="AB92" i="128"/>
  <c r="AB91" i="128"/>
  <c r="AB90" i="128"/>
  <c r="AB89" i="128"/>
  <c r="AB88" i="128"/>
  <c r="AB87" i="128"/>
  <c r="AB86" i="128"/>
  <c r="AB85" i="128"/>
  <c r="AB84" i="128"/>
  <c r="AB83" i="128"/>
  <c r="AB82" i="128"/>
  <c r="H82" i="128"/>
  <c r="AB81" i="128"/>
  <c r="AB80" i="128"/>
  <c r="AB79" i="128"/>
  <c r="AB78" i="128"/>
  <c r="AB77" i="128"/>
  <c r="AB76" i="128"/>
  <c r="AB75" i="128"/>
  <c r="AB74" i="128"/>
  <c r="AB73" i="128"/>
  <c r="AB72" i="128"/>
  <c r="AB71" i="128"/>
  <c r="AB70" i="128"/>
  <c r="H70" i="128"/>
  <c r="E70" i="128"/>
  <c r="AB69" i="128"/>
  <c r="AB68" i="128"/>
  <c r="AB67" i="128"/>
  <c r="AB66" i="128"/>
  <c r="AB65" i="128"/>
  <c r="AB64" i="128"/>
  <c r="AB63" i="128"/>
  <c r="AB62" i="128"/>
  <c r="AB61" i="128"/>
  <c r="AB60" i="128"/>
  <c r="AB59" i="128"/>
  <c r="AB58" i="128"/>
  <c r="H58" i="128"/>
  <c r="AB57" i="128"/>
  <c r="AB56" i="128"/>
  <c r="AB55" i="128"/>
  <c r="AB54" i="128"/>
  <c r="AB53" i="128"/>
  <c r="AB52" i="128"/>
  <c r="AB51" i="128"/>
  <c r="AB50" i="128"/>
  <c r="AB49" i="128"/>
  <c r="AB48" i="128"/>
  <c r="AB47" i="128"/>
  <c r="AB46" i="128"/>
  <c r="H46" i="128"/>
  <c r="AB45" i="128"/>
  <c r="AB44" i="128"/>
  <c r="AB43" i="128"/>
  <c r="AB42" i="128"/>
  <c r="AB41" i="128"/>
  <c r="AB40" i="128"/>
  <c r="AB39" i="128"/>
  <c r="AB38" i="128"/>
  <c r="AB37" i="128"/>
  <c r="AB36" i="128"/>
  <c r="AB35" i="128"/>
  <c r="AB34" i="128"/>
  <c r="H34" i="128"/>
  <c r="AB33" i="128"/>
  <c r="AB32" i="128"/>
  <c r="AB31" i="128"/>
  <c r="AB30" i="128"/>
  <c r="AB29" i="128"/>
  <c r="AB28" i="128"/>
  <c r="AB27" i="128"/>
  <c r="AB26" i="128"/>
  <c r="AB25" i="128"/>
  <c r="AB24" i="128"/>
  <c r="AB23" i="128"/>
  <c r="AB22" i="128"/>
  <c r="H22" i="128"/>
  <c r="AB21" i="128"/>
  <c r="AB20" i="128"/>
  <c r="AB19" i="128"/>
  <c r="AB18" i="128"/>
  <c r="AB17" i="128"/>
  <c r="AB16" i="128"/>
  <c r="AB15" i="128"/>
  <c r="AB14" i="128"/>
  <c r="AB13" i="128"/>
  <c r="AB12" i="128"/>
  <c r="AB11" i="128"/>
  <c r="AB10" i="128"/>
  <c r="H10" i="128"/>
  <c r="E10" i="128"/>
  <c r="AB9" i="128"/>
  <c r="AB8" i="128"/>
  <c r="AB7" i="128"/>
  <c r="W162" i="127"/>
  <c r="W161" i="127"/>
  <c r="W160" i="127"/>
  <c r="W159" i="127"/>
  <c r="W158" i="127"/>
  <c r="W157" i="127"/>
  <c r="W156" i="127"/>
  <c r="W155" i="127"/>
  <c r="W154" i="127"/>
  <c r="E154" i="127"/>
  <c r="W153" i="127"/>
  <c r="W152" i="127"/>
  <c r="W151" i="127"/>
  <c r="W150" i="127"/>
  <c r="W149" i="127"/>
  <c r="W148" i="127"/>
  <c r="W147" i="127"/>
  <c r="W146" i="127"/>
  <c r="W145" i="127"/>
  <c r="W144" i="127"/>
  <c r="W143" i="127"/>
  <c r="W142" i="127"/>
  <c r="E142" i="127"/>
  <c r="W141" i="127"/>
  <c r="W140" i="127"/>
  <c r="W139" i="127"/>
  <c r="W138" i="127"/>
  <c r="W137" i="127"/>
  <c r="W136" i="127"/>
  <c r="W135" i="127"/>
  <c r="W134" i="127"/>
  <c r="W133" i="127"/>
  <c r="W132" i="127"/>
  <c r="W131" i="127"/>
  <c r="W130" i="127"/>
  <c r="E130" i="127"/>
  <c r="W129" i="127"/>
  <c r="W128" i="127"/>
  <c r="W127" i="127"/>
  <c r="W126" i="127"/>
  <c r="W125" i="127"/>
  <c r="W124" i="127"/>
  <c r="W123" i="127"/>
  <c r="W122" i="127"/>
  <c r="W121" i="127"/>
  <c r="W120" i="127"/>
  <c r="W119" i="127"/>
  <c r="W118" i="127"/>
  <c r="E118" i="127"/>
  <c r="W117" i="127"/>
  <c r="W116" i="127"/>
  <c r="W115" i="127"/>
  <c r="W114" i="127"/>
  <c r="W113" i="127"/>
  <c r="W112" i="127"/>
  <c r="W111" i="127"/>
  <c r="W110" i="127"/>
  <c r="W109" i="127"/>
  <c r="W108" i="127"/>
  <c r="W107" i="127"/>
  <c r="W106" i="127"/>
  <c r="E106" i="127"/>
  <c r="W105" i="127"/>
  <c r="W104" i="127"/>
  <c r="W103" i="127"/>
  <c r="W102" i="127"/>
  <c r="W101" i="127"/>
  <c r="W100" i="127"/>
  <c r="W99" i="127"/>
  <c r="W98" i="127"/>
  <c r="W97" i="127"/>
  <c r="W96" i="127"/>
  <c r="W95" i="127"/>
  <c r="W94" i="127"/>
  <c r="E94" i="127"/>
  <c r="W93" i="127"/>
  <c r="W92" i="127"/>
  <c r="W91" i="127"/>
  <c r="W90" i="127"/>
  <c r="W89" i="127"/>
  <c r="W88" i="127"/>
  <c r="W87" i="127"/>
  <c r="W86" i="127"/>
  <c r="W85" i="127"/>
  <c r="W84" i="127"/>
  <c r="W83" i="127"/>
  <c r="W82" i="127"/>
  <c r="E82" i="127"/>
  <c r="W81" i="127"/>
  <c r="W80" i="127"/>
  <c r="W79" i="127"/>
  <c r="W78" i="127"/>
  <c r="W77" i="127"/>
  <c r="W76" i="127"/>
  <c r="W75" i="127"/>
  <c r="W74" i="127"/>
  <c r="W73" i="127"/>
  <c r="W72" i="127"/>
  <c r="W71" i="127"/>
  <c r="W70" i="127"/>
  <c r="E70" i="127"/>
  <c r="W69" i="127"/>
  <c r="W68" i="127"/>
  <c r="W67" i="127"/>
  <c r="W66" i="127"/>
  <c r="W65" i="127"/>
  <c r="W64" i="127"/>
  <c r="W63" i="127"/>
  <c r="W62" i="127"/>
  <c r="W61" i="127"/>
  <c r="W60" i="127"/>
  <c r="W59" i="127"/>
  <c r="W58" i="127"/>
  <c r="E58" i="127"/>
  <c r="W57" i="127"/>
  <c r="W56" i="127"/>
  <c r="W55" i="127"/>
  <c r="W54" i="127"/>
  <c r="W53" i="127"/>
  <c r="W52" i="127"/>
  <c r="W51" i="127"/>
  <c r="W50" i="127"/>
  <c r="W49" i="127"/>
  <c r="W48" i="127"/>
  <c r="W47" i="127"/>
  <c r="W46" i="127"/>
  <c r="E46" i="127"/>
  <c r="W45" i="127"/>
  <c r="W44" i="127"/>
  <c r="W43" i="127"/>
  <c r="W42" i="127"/>
  <c r="W41" i="127"/>
  <c r="W40" i="127"/>
  <c r="W39" i="127"/>
  <c r="W38" i="127"/>
  <c r="W37" i="127"/>
  <c r="W36" i="127"/>
  <c r="W35" i="127"/>
  <c r="W34" i="127"/>
  <c r="E34" i="127"/>
  <c r="W33" i="127"/>
  <c r="W32" i="127"/>
  <c r="W31" i="127"/>
  <c r="W30" i="127"/>
  <c r="W29" i="127"/>
  <c r="W28" i="127"/>
  <c r="W27" i="127"/>
  <c r="W26" i="127"/>
  <c r="W25" i="127"/>
  <c r="W24" i="127"/>
  <c r="W23" i="127"/>
  <c r="W22" i="127"/>
  <c r="E22" i="127"/>
  <c r="W21" i="127"/>
  <c r="W20" i="127"/>
  <c r="W19" i="127"/>
  <c r="W18" i="127"/>
  <c r="W17" i="127"/>
  <c r="W16" i="127"/>
  <c r="W15" i="127"/>
  <c r="W14" i="127"/>
  <c r="W13" i="127"/>
  <c r="W12" i="127"/>
  <c r="W11" i="127"/>
  <c r="W10" i="127"/>
  <c r="E10" i="127"/>
  <c r="W9" i="127"/>
  <c r="W8" i="127"/>
  <c r="W7" i="127"/>
  <c r="W179" i="126"/>
  <c r="W178" i="126"/>
  <c r="W177" i="126"/>
  <c r="W176" i="126"/>
  <c r="W175" i="126"/>
  <c r="W174" i="126"/>
  <c r="W173" i="126"/>
  <c r="W172" i="126"/>
  <c r="W171" i="126"/>
  <c r="E171" i="126"/>
  <c r="W170" i="126"/>
  <c r="W169" i="126"/>
  <c r="W168" i="126"/>
  <c r="W167" i="126"/>
  <c r="W166" i="126"/>
  <c r="W165" i="126"/>
  <c r="W164" i="126"/>
  <c r="W163" i="126"/>
  <c r="W162" i="126"/>
  <c r="W161" i="126"/>
  <c r="W160" i="126"/>
  <c r="W159" i="126"/>
  <c r="E159" i="126"/>
  <c r="W158" i="126"/>
  <c r="W157" i="126"/>
  <c r="W156" i="126"/>
  <c r="W155" i="126"/>
  <c r="W154" i="126"/>
  <c r="W153" i="126"/>
  <c r="W152" i="126"/>
  <c r="W151" i="126"/>
  <c r="W150" i="126"/>
  <c r="W149" i="126"/>
  <c r="W148" i="126"/>
  <c r="W147" i="126"/>
  <c r="E147" i="126"/>
  <c r="W146" i="126"/>
  <c r="W145" i="126"/>
  <c r="W144" i="126"/>
  <c r="W143" i="126"/>
  <c r="W142" i="126"/>
  <c r="W141" i="126"/>
  <c r="W140" i="126"/>
  <c r="W139" i="126"/>
  <c r="W138" i="126"/>
  <c r="W137" i="126"/>
  <c r="W136" i="126"/>
  <c r="W135" i="126"/>
  <c r="E135" i="126"/>
  <c r="W134" i="126"/>
  <c r="W133" i="126"/>
  <c r="W132" i="126"/>
  <c r="W131" i="126"/>
  <c r="W130" i="126"/>
  <c r="W129" i="126"/>
  <c r="W128" i="126"/>
  <c r="W127" i="126"/>
  <c r="W126" i="126"/>
  <c r="W125" i="126"/>
  <c r="W124" i="126"/>
  <c r="W123" i="126"/>
  <c r="E123" i="126"/>
  <c r="W122" i="126"/>
  <c r="W121" i="126"/>
  <c r="W120" i="126"/>
  <c r="W119" i="126"/>
  <c r="W118" i="126"/>
  <c r="W117" i="126"/>
  <c r="W116" i="126"/>
  <c r="W115" i="126"/>
  <c r="W114" i="126"/>
  <c r="W113" i="126"/>
  <c r="W112" i="126"/>
  <c r="W111" i="126"/>
  <c r="E111" i="126"/>
  <c r="W110" i="126"/>
  <c r="W109" i="126"/>
  <c r="W108" i="126"/>
  <c r="W107" i="126"/>
  <c r="W106" i="126"/>
  <c r="W105" i="126"/>
  <c r="W104" i="126"/>
  <c r="W103" i="126"/>
  <c r="W102" i="126"/>
  <c r="W101" i="126"/>
  <c r="W100" i="126"/>
  <c r="W99" i="126"/>
  <c r="E99" i="126"/>
  <c r="W98" i="126"/>
  <c r="W97" i="126"/>
  <c r="W96" i="126"/>
  <c r="W95" i="126"/>
  <c r="W94" i="126"/>
  <c r="W93" i="126"/>
  <c r="W92" i="126"/>
  <c r="W91" i="126"/>
  <c r="W90" i="126"/>
  <c r="W89" i="126"/>
  <c r="W88" i="126"/>
  <c r="W87" i="126"/>
  <c r="E87" i="126"/>
  <c r="W86" i="126"/>
  <c r="W85" i="126"/>
  <c r="W84" i="126"/>
  <c r="W83" i="126"/>
  <c r="W82" i="126"/>
  <c r="W81" i="126"/>
  <c r="W80" i="126"/>
  <c r="W79" i="126"/>
  <c r="W78" i="126"/>
  <c r="W77" i="126"/>
  <c r="W76" i="126"/>
  <c r="W75" i="126"/>
  <c r="E75" i="126"/>
  <c r="W74" i="126"/>
  <c r="W73" i="126"/>
  <c r="W72" i="126"/>
  <c r="W66" i="126"/>
  <c r="W65" i="126"/>
  <c r="W64" i="126"/>
  <c r="W63" i="126"/>
  <c r="W62" i="126"/>
  <c r="W61" i="126"/>
  <c r="W60" i="126"/>
  <c r="W59" i="126"/>
  <c r="W58" i="126"/>
  <c r="E58" i="126"/>
  <c r="W57" i="126"/>
  <c r="W56" i="126"/>
  <c r="W55" i="126"/>
  <c r="W54" i="126"/>
  <c r="W53" i="126"/>
  <c r="W52" i="126"/>
  <c r="W51" i="126"/>
  <c r="W50" i="126"/>
  <c r="W49" i="126"/>
  <c r="W48" i="126"/>
  <c r="W47" i="126"/>
  <c r="W46" i="126"/>
  <c r="E46" i="126"/>
  <c r="W45" i="126"/>
  <c r="W44" i="126"/>
  <c r="W43" i="126"/>
  <c r="W42" i="126"/>
  <c r="W41" i="126"/>
  <c r="W40" i="126"/>
  <c r="W39" i="126"/>
  <c r="W38" i="126"/>
  <c r="W37" i="126"/>
  <c r="W36" i="126"/>
  <c r="W35" i="126"/>
  <c r="W34" i="126"/>
  <c r="E34" i="126"/>
  <c r="W33" i="126"/>
  <c r="W32" i="126"/>
  <c r="W31" i="126"/>
  <c r="W30" i="126"/>
  <c r="W29" i="126"/>
  <c r="W28" i="126"/>
  <c r="W27" i="126"/>
  <c r="W26" i="126"/>
  <c r="W25" i="126"/>
  <c r="W24" i="126"/>
  <c r="W23" i="126"/>
  <c r="W22" i="126"/>
  <c r="E22" i="126"/>
  <c r="W21" i="126"/>
  <c r="W20" i="126"/>
  <c r="W19" i="126"/>
  <c r="W18" i="126"/>
  <c r="W17" i="126"/>
  <c r="W16" i="126"/>
  <c r="W15" i="126"/>
  <c r="W14" i="126"/>
  <c r="W13" i="126"/>
  <c r="W12" i="126"/>
  <c r="W11" i="126"/>
  <c r="W10" i="126"/>
  <c r="E10" i="126"/>
  <c r="W9" i="126"/>
  <c r="W8" i="126"/>
  <c r="W7" i="126"/>
  <c r="U258" i="125"/>
  <c r="U257" i="125"/>
  <c r="U256" i="125"/>
  <c r="U255" i="125"/>
  <c r="U254" i="125"/>
  <c r="U253" i="125"/>
  <c r="U252" i="125"/>
  <c r="U251" i="125"/>
  <c r="U250" i="125"/>
  <c r="E250" i="125"/>
  <c r="U249" i="125"/>
  <c r="U248" i="125"/>
  <c r="U247" i="125"/>
  <c r="U246" i="125"/>
  <c r="U245" i="125"/>
  <c r="U244" i="125"/>
  <c r="U243" i="125"/>
  <c r="U242" i="125"/>
  <c r="U241" i="125"/>
  <c r="U240" i="125"/>
  <c r="U239" i="125"/>
  <c r="U238" i="125"/>
  <c r="E238" i="125"/>
  <c r="U237" i="125"/>
  <c r="U236" i="125"/>
  <c r="U235" i="125"/>
  <c r="U234" i="125"/>
  <c r="U233" i="125"/>
  <c r="U232" i="125"/>
  <c r="U231" i="125"/>
  <c r="U230" i="125"/>
  <c r="U229" i="125"/>
  <c r="U228" i="125"/>
  <c r="U227" i="125"/>
  <c r="U226" i="125"/>
  <c r="E226" i="125"/>
  <c r="U225" i="125"/>
  <c r="U224" i="125"/>
  <c r="U223" i="125"/>
  <c r="U222" i="125"/>
  <c r="U221" i="125"/>
  <c r="U220" i="125"/>
  <c r="U219" i="125"/>
  <c r="U218" i="125"/>
  <c r="U217" i="125"/>
  <c r="U216" i="125"/>
  <c r="U215" i="125"/>
  <c r="U214" i="125"/>
  <c r="E214" i="125"/>
  <c r="U213" i="125"/>
  <c r="U212" i="125"/>
  <c r="U211" i="125"/>
  <c r="U210" i="125"/>
  <c r="U209" i="125"/>
  <c r="U208" i="125"/>
  <c r="U207" i="125"/>
  <c r="U206" i="125"/>
  <c r="U205" i="125"/>
  <c r="U204" i="125"/>
  <c r="U203" i="125"/>
  <c r="U202" i="125"/>
  <c r="E202" i="125"/>
  <c r="U201" i="125"/>
  <c r="U200" i="125"/>
  <c r="U199" i="125"/>
  <c r="U198" i="125"/>
  <c r="U197" i="125"/>
  <c r="U196" i="125"/>
  <c r="U195" i="125"/>
  <c r="U194" i="125"/>
  <c r="U193" i="125"/>
  <c r="U192" i="125"/>
  <c r="U191" i="125"/>
  <c r="U190" i="125"/>
  <c r="E190" i="125"/>
  <c r="U189" i="125"/>
  <c r="U188" i="125"/>
  <c r="U187" i="125"/>
  <c r="U186" i="125"/>
  <c r="U185" i="125"/>
  <c r="U184" i="125"/>
  <c r="U183" i="125"/>
  <c r="U182" i="125"/>
  <c r="U181" i="125"/>
  <c r="U180" i="125"/>
  <c r="U179" i="125"/>
  <c r="U178" i="125"/>
  <c r="E178" i="125"/>
  <c r="U177" i="125"/>
  <c r="U176" i="125"/>
  <c r="U175" i="125"/>
  <c r="U174" i="125"/>
  <c r="U173" i="125"/>
  <c r="U172" i="125"/>
  <c r="U171" i="125"/>
  <c r="U170" i="125"/>
  <c r="U169" i="125"/>
  <c r="U168" i="125"/>
  <c r="U167" i="125"/>
  <c r="U166" i="125"/>
  <c r="E166" i="125"/>
  <c r="U165" i="125"/>
  <c r="U164" i="125"/>
  <c r="U163" i="125"/>
  <c r="U162" i="125"/>
  <c r="U161" i="125"/>
  <c r="U160" i="125"/>
  <c r="U159" i="125"/>
  <c r="U158" i="125"/>
  <c r="U157" i="125"/>
  <c r="U156" i="125"/>
  <c r="U155" i="125"/>
  <c r="U154" i="125"/>
  <c r="E154" i="125"/>
  <c r="U153" i="125"/>
  <c r="U152" i="125"/>
  <c r="U151" i="125"/>
  <c r="U150" i="125"/>
  <c r="U149" i="125"/>
  <c r="U148" i="125"/>
  <c r="U147" i="125"/>
  <c r="U146" i="125"/>
  <c r="U145" i="125"/>
  <c r="U144" i="125"/>
  <c r="U143" i="125"/>
  <c r="U142" i="125"/>
  <c r="E142" i="125"/>
  <c r="U141" i="125"/>
  <c r="U140" i="125"/>
  <c r="U139" i="125"/>
  <c r="U138" i="125"/>
  <c r="U137" i="125"/>
  <c r="U136" i="125"/>
  <c r="U135" i="125"/>
  <c r="U134" i="125"/>
  <c r="U133" i="125"/>
  <c r="U132" i="125"/>
  <c r="U131" i="125"/>
  <c r="U130" i="125"/>
  <c r="E130" i="125"/>
  <c r="U129" i="125"/>
  <c r="U128" i="125"/>
  <c r="U127" i="125"/>
  <c r="U126" i="125"/>
  <c r="U125" i="125"/>
  <c r="U124" i="125"/>
  <c r="U123" i="125"/>
  <c r="U122" i="125"/>
  <c r="U121" i="125"/>
  <c r="U120" i="125"/>
  <c r="U119" i="125"/>
  <c r="U118" i="125"/>
  <c r="E118" i="125"/>
  <c r="U117" i="125"/>
  <c r="U116" i="125"/>
  <c r="U115" i="125"/>
  <c r="U114" i="125"/>
  <c r="U113" i="125"/>
  <c r="U112" i="125"/>
  <c r="U111" i="125"/>
  <c r="U110" i="125"/>
  <c r="U109" i="125"/>
  <c r="U108" i="125"/>
  <c r="U107" i="125"/>
  <c r="U106" i="125"/>
  <c r="E106" i="125"/>
  <c r="U105" i="125"/>
  <c r="U104" i="125"/>
  <c r="U103" i="125"/>
  <c r="U102" i="125"/>
  <c r="U101" i="125"/>
  <c r="U100" i="125"/>
  <c r="U99" i="125"/>
  <c r="U98" i="125"/>
  <c r="U97" i="125"/>
  <c r="U96" i="125"/>
  <c r="U95" i="125"/>
  <c r="U94" i="125"/>
  <c r="E94" i="125"/>
  <c r="U93" i="125"/>
  <c r="U92" i="125"/>
  <c r="U91" i="125"/>
  <c r="U90" i="125"/>
  <c r="U89" i="125"/>
  <c r="U88" i="125"/>
  <c r="U87" i="125"/>
  <c r="U86" i="125"/>
  <c r="U85" i="125"/>
  <c r="U84" i="125"/>
  <c r="U83" i="125"/>
  <c r="U82" i="125"/>
  <c r="E82" i="125"/>
  <c r="U81" i="125"/>
  <c r="U80" i="125"/>
  <c r="U79" i="125"/>
  <c r="U78" i="125"/>
  <c r="U77" i="125"/>
  <c r="U76" i="125"/>
  <c r="U75" i="125"/>
  <c r="U74" i="125"/>
  <c r="U73" i="125"/>
  <c r="U72" i="125"/>
  <c r="U71" i="125"/>
  <c r="U70" i="125"/>
  <c r="E70" i="125"/>
  <c r="U69" i="125"/>
  <c r="U68" i="125"/>
  <c r="U67" i="125"/>
  <c r="U66" i="125"/>
  <c r="U65" i="125"/>
  <c r="U64" i="125"/>
  <c r="U63" i="125"/>
  <c r="U62" i="125"/>
  <c r="U61" i="125"/>
  <c r="U60" i="125"/>
  <c r="U59" i="125"/>
  <c r="U58" i="125"/>
  <c r="E58" i="125"/>
  <c r="U57" i="125"/>
  <c r="U56" i="125"/>
  <c r="U55" i="125"/>
  <c r="U54" i="125"/>
  <c r="U53" i="125"/>
  <c r="U52" i="125"/>
  <c r="U51" i="125"/>
  <c r="U50" i="125"/>
  <c r="U49" i="125"/>
  <c r="U48" i="125"/>
  <c r="U47" i="125"/>
  <c r="U46" i="125"/>
  <c r="E46" i="125"/>
  <c r="U45" i="125"/>
  <c r="U44" i="125"/>
  <c r="U43" i="125"/>
  <c r="U42" i="125"/>
  <c r="U41" i="125"/>
  <c r="U40" i="125"/>
  <c r="U39" i="125"/>
  <c r="U38" i="125"/>
  <c r="U37" i="125"/>
  <c r="U36" i="125"/>
  <c r="U35" i="125"/>
  <c r="U34" i="125"/>
  <c r="E34" i="125"/>
  <c r="U33" i="125"/>
  <c r="U32" i="125"/>
  <c r="U31" i="125"/>
  <c r="U30" i="125"/>
  <c r="U29" i="125"/>
  <c r="U28" i="125"/>
  <c r="U27" i="125"/>
  <c r="U26" i="125"/>
  <c r="U25" i="125"/>
  <c r="U24" i="125"/>
  <c r="U23" i="125"/>
  <c r="U22" i="125"/>
  <c r="E22" i="125"/>
  <c r="U21" i="125"/>
  <c r="U20" i="125"/>
  <c r="U19" i="125"/>
  <c r="U18" i="125"/>
  <c r="U17" i="125"/>
  <c r="U16" i="125"/>
  <c r="U15" i="125"/>
  <c r="U14" i="125"/>
  <c r="U13" i="125"/>
  <c r="U12" i="125"/>
  <c r="U11" i="125"/>
  <c r="U10" i="125"/>
  <c r="E10" i="125"/>
  <c r="U9" i="125"/>
  <c r="U8" i="125"/>
  <c r="U7" i="125"/>
  <c r="W318" i="124"/>
  <c r="W317" i="124"/>
  <c r="W316" i="124"/>
  <c r="W315" i="124"/>
  <c r="W314" i="124"/>
  <c r="W313" i="124"/>
  <c r="W312" i="124"/>
  <c r="W311" i="124"/>
  <c r="W310" i="124"/>
  <c r="W309" i="124"/>
  <c r="W308" i="124"/>
  <c r="W307" i="124"/>
  <c r="W306" i="124"/>
  <c r="W305" i="124"/>
  <c r="W304" i="124"/>
  <c r="W303" i="124"/>
  <c r="W302" i="124"/>
  <c r="W301" i="124"/>
  <c r="W300" i="124"/>
  <c r="W299" i="124"/>
  <c r="W298" i="124"/>
  <c r="E298" i="124"/>
  <c r="W297" i="124"/>
  <c r="W296" i="124"/>
  <c r="W295" i="124"/>
  <c r="W294" i="124"/>
  <c r="W293" i="124"/>
  <c r="W292" i="124"/>
  <c r="W291" i="124"/>
  <c r="W290" i="124"/>
  <c r="W289" i="124"/>
  <c r="W288" i="124"/>
  <c r="W287" i="124"/>
  <c r="W286" i="124"/>
  <c r="W285" i="124"/>
  <c r="W284" i="124"/>
  <c r="W283" i="124"/>
  <c r="W282" i="124"/>
  <c r="W281" i="124"/>
  <c r="W280" i="124"/>
  <c r="W279" i="124"/>
  <c r="W278" i="124"/>
  <c r="W277" i="124"/>
  <c r="W276" i="124"/>
  <c r="W275" i="124"/>
  <c r="W274" i="124"/>
  <c r="E274" i="124"/>
  <c r="W273" i="124"/>
  <c r="W272" i="124"/>
  <c r="W271" i="124"/>
  <c r="W270" i="124"/>
  <c r="W269" i="124"/>
  <c r="W268" i="124"/>
  <c r="W267" i="124"/>
  <c r="W266" i="124"/>
  <c r="W265" i="124"/>
  <c r="W264" i="124"/>
  <c r="W263" i="124"/>
  <c r="W262" i="124"/>
  <c r="W261" i="124"/>
  <c r="W260" i="124"/>
  <c r="W259" i="124"/>
  <c r="W258" i="124"/>
  <c r="W257" i="124"/>
  <c r="W256" i="124"/>
  <c r="W255" i="124"/>
  <c r="W254" i="124"/>
  <c r="W253" i="124"/>
  <c r="W252" i="124"/>
  <c r="W251" i="124"/>
  <c r="W250" i="124"/>
  <c r="E250" i="124"/>
  <c r="W249" i="124"/>
  <c r="W248" i="124"/>
  <c r="W247" i="124"/>
  <c r="W246" i="124"/>
  <c r="W245" i="124"/>
  <c r="W244" i="124"/>
  <c r="W243" i="124"/>
  <c r="W242" i="124"/>
  <c r="W241" i="124"/>
  <c r="W240" i="124"/>
  <c r="W239" i="124"/>
  <c r="W238" i="124"/>
  <c r="W237" i="124"/>
  <c r="W236" i="124"/>
  <c r="W235" i="124"/>
  <c r="W234" i="124"/>
  <c r="W233" i="124"/>
  <c r="W232" i="124"/>
  <c r="W231" i="124"/>
  <c r="W230" i="124"/>
  <c r="W229" i="124"/>
  <c r="W228" i="124"/>
  <c r="W227" i="124"/>
  <c r="W226" i="124"/>
  <c r="E226" i="124"/>
  <c r="W225" i="124"/>
  <c r="W224" i="124"/>
  <c r="W223" i="124"/>
  <c r="W222" i="124"/>
  <c r="W221" i="124"/>
  <c r="W220" i="124"/>
  <c r="W219" i="124"/>
  <c r="W218" i="124"/>
  <c r="W217" i="124"/>
  <c r="W216" i="124"/>
  <c r="W215" i="124"/>
  <c r="W214" i="124"/>
  <c r="W213" i="124"/>
  <c r="W212" i="124"/>
  <c r="W211" i="124"/>
  <c r="W210" i="124"/>
  <c r="W209" i="124"/>
  <c r="W208" i="124"/>
  <c r="W207" i="124"/>
  <c r="W206" i="124"/>
  <c r="W205" i="124"/>
  <c r="W204" i="124"/>
  <c r="W203" i="124"/>
  <c r="W202" i="124"/>
  <c r="E202" i="124"/>
  <c r="W201" i="124"/>
  <c r="W200" i="124"/>
  <c r="W199" i="124"/>
  <c r="W198" i="124"/>
  <c r="W197" i="124"/>
  <c r="W196" i="124"/>
  <c r="W195" i="124"/>
  <c r="W194" i="124"/>
  <c r="W193" i="124"/>
  <c r="W192" i="124"/>
  <c r="W191" i="124"/>
  <c r="W190" i="124"/>
  <c r="W189" i="124"/>
  <c r="W188" i="124"/>
  <c r="W187" i="124"/>
  <c r="W186" i="124"/>
  <c r="W185" i="124"/>
  <c r="W184" i="124"/>
  <c r="W183" i="124"/>
  <c r="W182" i="124"/>
  <c r="W181" i="124"/>
  <c r="W180" i="124"/>
  <c r="W179" i="124"/>
  <c r="W178" i="124"/>
  <c r="E178" i="124"/>
  <c r="W177" i="124"/>
  <c r="W176" i="124"/>
  <c r="W175" i="124"/>
  <c r="W174" i="124"/>
  <c r="W173" i="124"/>
  <c r="W172" i="124"/>
  <c r="W171" i="124"/>
  <c r="W170" i="124"/>
  <c r="W169" i="124"/>
  <c r="W168" i="124"/>
  <c r="W167" i="124"/>
  <c r="W166" i="124"/>
  <c r="W165" i="124"/>
  <c r="W164" i="124"/>
  <c r="W163" i="124"/>
  <c r="W162" i="124"/>
  <c r="W161" i="124"/>
  <c r="W160" i="124"/>
  <c r="W159" i="124"/>
  <c r="W158" i="124"/>
  <c r="W157" i="124"/>
  <c r="W156" i="124"/>
  <c r="W155" i="124"/>
  <c r="W154" i="124"/>
  <c r="E154" i="124"/>
  <c r="W153" i="124"/>
  <c r="W152" i="124"/>
  <c r="W151" i="124"/>
  <c r="W150" i="124"/>
  <c r="W149" i="124"/>
  <c r="W148" i="124"/>
  <c r="W147" i="124"/>
  <c r="W146" i="124"/>
  <c r="W145" i="124"/>
  <c r="W144" i="124"/>
  <c r="W143" i="124"/>
  <c r="W142" i="124"/>
  <c r="W141" i="124"/>
  <c r="W140" i="124"/>
  <c r="W139" i="124"/>
  <c r="W138" i="124"/>
  <c r="W137" i="124"/>
  <c r="W136" i="124"/>
  <c r="W135" i="124"/>
  <c r="W134" i="124"/>
  <c r="W133" i="124"/>
  <c r="W132" i="124"/>
  <c r="W131" i="124"/>
  <c r="W130" i="124"/>
  <c r="E130" i="124"/>
  <c r="W129" i="124"/>
  <c r="W128" i="124"/>
  <c r="W127" i="124"/>
  <c r="W126" i="124"/>
  <c r="W125" i="124"/>
  <c r="W124" i="124"/>
  <c r="W123" i="124"/>
  <c r="W122" i="124"/>
  <c r="W121" i="124"/>
  <c r="W120" i="124"/>
  <c r="W119" i="124"/>
  <c r="W118" i="124"/>
  <c r="W117" i="124"/>
  <c r="W116" i="124"/>
  <c r="W115" i="124"/>
  <c r="W114" i="124"/>
  <c r="W113" i="124"/>
  <c r="W112" i="124"/>
  <c r="W111" i="124"/>
  <c r="W110" i="124"/>
  <c r="W109" i="124"/>
  <c r="W108" i="124"/>
  <c r="W107" i="124"/>
  <c r="W106" i="124"/>
  <c r="E106" i="124"/>
  <c r="W105" i="124"/>
  <c r="W104" i="124"/>
  <c r="W103" i="124"/>
  <c r="W102" i="124"/>
  <c r="W101" i="124"/>
  <c r="W100" i="124"/>
  <c r="W99" i="124"/>
  <c r="W98" i="124"/>
  <c r="W97" i="124"/>
  <c r="W96" i="124"/>
  <c r="W95" i="124"/>
  <c r="W94" i="124"/>
  <c r="W93" i="124"/>
  <c r="W92" i="124"/>
  <c r="W91" i="124"/>
  <c r="W90" i="124"/>
  <c r="W89" i="124"/>
  <c r="W88" i="124"/>
  <c r="W87" i="124"/>
  <c r="W86" i="124"/>
  <c r="W85" i="124"/>
  <c r="W84" i="124"/>
  <c r="W83" i="124"/>
  <c r="W82" i="124"/>
  <c r="E82" i="124"/>
  <c r="W81" i="124"/>
  <c r="W80" i="124"/>
  <c r="W79" i="124"/>
  <c r="W78" i="124"/>
  <c r="W77" i="124"/>
  <c r="W76" i="124"/>
  <c r="W75" i="124"/>
  <c r="W74" i="124"/>
  <c r="W73" i="124"/>
  <c r="W72" i="124"/>
  <c r="W71" i="124"/>
  <c r="W70" i="124"/>
  <c r="W69" i="124"/>
  <c r="W68" i="124"/>
  <c r="W67" i="124"/>
  <c r="W66" i="124"/>
  <c r="W65" i="124"/>
  <c r="W64" i="124"/>
  <c r="W63" i="124"/>
  <c r="W62" i="124"/>
  <c r="W61" i="124"/>
  <c r="W60" i="124"/>
  <c r="W59" i="124"/>
  <c r="W58" i="124"/>
  <c r="E58" i="124"/>
  <c r="W57" i="124"/>
  <c r="W56" i="124"/>
  <c r="W55" i="124"/>
  <c r="W54" i="124"/>
  <c r="W53" i="124"/>
  <c r="W52" i="124"/>
  <c r="W51" i="124"/>
  <c r="W50" i="124"/>
  <c r="W49" i="124"/>
  <c r="W48" i="124"/>
  <c r="W47" i="124"/>
  <c r="W46" i="124"/>
  <c r="W45" i="124"/>
  <c r="W44" i="124"/>
  <c r="W43" i="124"/>
  <c r="W42" i="124"/>
  <c r="W41" i="124"/>
  <c r="W40" i="124"/>
  <c r="W39" i="124"/>
  <c r="W38" i="124"/>
  <c r="W37" i="124"/>
  <c r="W36" i="124"/>
  <c r="W35" i="124"/>
  <c r="W34" i="124"/>
  <c r="E34" i="124"/>
  <c r="W33" i="124"/>
  <c r="W32" i="124"/>
  <c r="W31" i="124"/>
  <c r="W30" i="124"/>
  <c r="W29" i="124"/>
  <c r="W28" i="124"/>
  <c r="W27" i="124"/>
  <c r="W26" i="124"/>
  <c r="W25" i="124"/>
  <c r="W24" i="124"/>
  <c r="W23" i="124"/>
  <c r="W22" i="124"/>
  <c r="W21" i="124"/>
  <c r="W20" i="124"/>
  <c r="W19" i="124"/>
  <c r="W18" i="124"/>
  <c r="W17" i="124"/>
  <c r="W16" i="124"/>
  <c r="W15" i="124"/>
  <c r="W14" i="124"/>
  <c r="W13" i="124"/>
  <c r="W12" i="124"/>
  <c r="W11" i="124"/>
  <c r="W10" i="124"/>
  <c r="E10" i="124"/>
  <c r="W9" i="124"/>
  <c r="W8" i="124"/>
  <c r="W7" i="124"/>
  <c r="W347" i="123"/>
  <c r="W346" i="123"/>
  <c r="W345" i="123"/>
  <c r="W344" i="123"/>
  <c r="W343" i="123"/>
  <c r="W342" i="123"/>
  <c r="W341" i="123"/>
  <c r="W340" i="123"/>
  <c r="W339" i="123"/>
  <c r="W338" i="123"/>
  <c r="W337" i="123"/>
  <c r="W336" i="123"/>
  <c r="W335" i="123"/>
  <c r="W334" i="123"/>
  <c r="W333" i="123"/>
  <c r="W332" i="123"/>
  <c r="W331" i="123"/>
  <c r="W330" i="123"/>
  <c r="W329" i="123"/>
  <c r="W328" i="123"/>
  <c r="W327" i="123"/>
  <c r="E327" i="123"/>
  <c r="W326" i="123"/>
  <c r="W325" i="123"/>
  <c r="W324" i="123"/>
  <c r="W323" i="123"/>
  <c r="W322" i="123"/>
  <c r="W321" i="123"/>
  <c r="W320" i="123"/>
  <c r="W319" i="123"/>
  <c r="W318" i="123"/>
  <c r="W317" i="123"/>
  <c r="W316" i="123"/>
  <c r="W315" i="123"/>
  <c r="W314" i="123"/>
  <c r="W313" i="123"/>
  <c r="W312" i="123"/>
  <c r="W311" i="123"/>
  <c r="W310" i="123"/>
  <c r="W309" i="123"/>
  <c r="W308" i="123"/>
  <c r="W307" i="123"/>
  <c r="W306" i="123"/>
  <c r="W305" i="123"/>
  <c r="W304" i="123"/>
  <c r="W303" i="123"/>
  <c r="E303" i="123"/>
  <c r="W302" i="123"/>
  <c r="W301" i="123"/>
  <c r="W300" i="123"/>
  <c r="W299" i="123"/>
  <c r="W298" i="123"/>
  <c r="W297" i="123"/>
  <c r="W296" i="123"/>
  <c r="W295" i="123"/>
  <c r="W294" i="123"/>
  <c r="W293" i="123"/>
  <c r="W292" i="123"/>
  <c r="W291" i="123"/>
  <c r="W290" i="123"/>
  <c r="W289" i="123"/>
  <c r="W288" i="123"/>
  <c r="W287" i="123"/>
  <c r="W286" i="123"/>
  <c r="W285" i="123"/>
  <c r="W284" i="123"/>
  <c r="W283" i="123"/>
  <c r="W282" i="123"/>
  <c r="W281" i="123"/>
  <c r="W280" i="123"/>
  <c r="W279" i="123"/>
  <c r="E279" i="123"/>
  <c r="W278" i="123"/>
  <c r="W277" i="123"/>
  <c r="W276" i="123"/>
  <c r="W275" i="123"/>
  <c r="W274" i="123"/>
  <c r="W273" i="123"/>
  <c r="W272" i="123"/>
  <c r="W271" i="123"/>
  <c r="W270" i="123"/>
  <c r="W269" i="123"/>
  <c r="W268" i="123"/>
  <c r="W267" i="123"/>
  <c r="W266" i="123"/>
  <c r="W265" i="123"/>
  <c r="W264" i="123"/>
  <c r="W263" i="123"/>
  <c r="W262" i="123"/>
  <c r="W261" i="123"/>
  <c r="W260" i="123"/>
  <c r="W259" i="123"/>
  <c r="W258" i="123"/>
  <c r="W257" i="123"/>
  <c r="W256" i="123"/>
  <c r="W255" i="123"/>
  <c r="E255" i="123"/>
  <c r="W254" i="123"/>
  <c r="W253" i="123"/>
  <c r="W252" i="123"/>
  <c r="W251" i="123"/>
  <c r="W250" i="123"/>
  <c r="W249" i="123"/>
  <c r="W248" i="123"/>
  <c r="W247" i="123"/>
  <c r="W246" i="123"/>
  <c r="W245" i="123"/>
  <c r="W244" i="123"/>
  <c r="W243" i="123"/>
  <c r="W242" i="123"/>
  <c r="W241" i="123"/>
  <c r="W240" i="123"/>
  <c r="W239" i="123"/>
  <c r="W238" i="123"/>
  <c r="W237" i="123"/>
  <c r="W236" i="123"/>
  <c r="W235" i="123"/>
  <c r="W234" i="123"/>
  <c r="W233" i="123"/>
  <c r="W232" i="123"/>
  <c r="W231" i="123"/>
  <c r="E231" i="123"/>
  <c r="W230" i="123"/>
  <c r="W229" i="123"/>
  <c r="W228" i="123"/>
  <c r="W227" i="123"/>
  <c r="W226" i="123"/>
  <c r="W225" i="123"/>
  <c r="W224" i="123"/>
  <c r="W223" i="123"/>
  <c r="W222" i="123"/>
  <c r="W221" i="123"/>
  <c r="W220" i="123"/>
  <c r="W219" i="123"/>
  <c r="W218" i="123"/>
  <c r="W217" i="123"/>
  <c r="W216" i="123"/>
  <c r="W215" i="123"/>
  <c r="W214" i="123"/>
  <c r="W213" i="123"/>
  <c r="W212" i="123"/>
  <c r="W211" i="123"/>
  <c r="W210" i="123"/>
  <c r="W209" i="123"/>
  <c r="W208" i="123"/>
  <c r="W207" i="123"/>
  <c r="E207" i="123"/>
  <c r="W206" i="123"/>
  <c r="W205" i="123"/>
  <c r="W204" i="123"/>
  <c r="W203" i="123"/>
  <c r="W202" i="123"/>
  <c r="W201" i="123"/>
  <c r="W200" i="123"/>
  <c r="W199" i="123"/>
  <c r="W198" i="123"/>
  <c r="W197" i="123"/>
  <c r="W196" i="123"/>
  <c r="W195" i="123"/>
  <c r="W194" i="123"/>
  <c r="W193" i="123"/>
  <c r="W192" i="123"/>
  <c r="W191" i="123"/>
  <c r="W190" i="123"/>
  <c r="W189" i="123"/>
  <c r="W188" i="123"/>
  <c r="W187" i="123"/>
  <c r="W186" i="123"/>
  <c r="W185" i="123"/>
  <c r="W184" i="123"/>
  <c r="W183" i="123"/>
  <c r="E183" i="123"/>
  <c r="W182" i="123"/>
  <c r="W181" i="123"/>
  <c r="W180" i="123"/>
  <c r="W179" i="123"/>
  <c r="W178" i="123"/>
  <c r="W177" i="123"/>
  <c r="W176" i="123"/>
  <c r="W175" i="123"/>
  <c r="W174" i="123"/>
  <c r="W173" i="123"/>
  <c r="W172" i="123"/>
  <c r="W171" i="123"/>
  <c r="W170" i="123"/>
  <c r="W169" i="123"/>
  <c r="W168" i="123"/>
  <c r="W167" i="123"/>
  <c r="W166" i="123"/>
  <c r="W165" i="123"/>
  <c r="W164" i="123"/>
  <c r="W163" i="123"/>
  <c r="W162" i="123"/>
  <c r="W161" i="123"/>
  <c r="W160" i="123"/>
  <c r="W159" i="123"/>
  <c r="E159" i="123"/>
  <c r="W158" i="123"/>
  <c r="W157" i="123"/>
  <c r="W156" i="123"/>
  <c r="W155" i="123"/>
  <c r="W154" i="123"/>
  <c r="W153" i="123"/>
  <c r="W152" i="123"/>
  <c r="W151" i="123"/>
  <c r="W150" i="123"/>
  <c r="W149" i="123"/>
  <c r="W148" i="123"/>
  <c r="W147" i="123"/>
  <c r="W146" i="123"/>
  <c r="W145" i="123"/>
  <c r="W144" i="123"/>
  <c r="W143" i="123"/>
  <c r="W142" i="123"/>
  <c r="W141" i="123"/>
  <c r="W140" i="123"/>
  <c r="W139" i="123"/>
  <c r="W138" i="123"/>
  <c r="W137" i="123"/>
  <c r="W136" i="123"/>
  <c r="W135" i="123"/>
  <c r="E135" i="123"/>
  <c r="W134" i="123"/>
  <c r="W133" i="123"/>
  <c r="W132" i="123"/>
  <c r="W126" i="123"/>
  <c r="W125" i="123"/>
  <c r="W124" i="123"/>
  <c r="W123" i="123"/>
  <c r="W122" i="123"/>
  <c r="W121" i="123"/>
  <c r="W120" i="123"/>
  <c r="W119" i="123"/>
  <c r="W118" i="123"/>
  <c r="W117" i="123"/>
  <c r="W116" i="123"/>
  <c r="W115" i="123"/>
  <c r="W114" i="123"/>
  <c r="W113" i="123"/>
  <c r="W112" i="123"/>
  <c r="W111" i="123"/>
  <c r="W110" i="123"/>
  <c r="W109" i="123"/>
  <c r="W108" i="123"/>
  <c r="W107" i="123"/>
  <c r="W106" i="123"/>
  <c r="E106" i="123"/>
  <c r="W105" i="123"/>
  <c r="W104" i="123"/>
  <c r="W103" i="123"/>
  <c r="W102" i="123"/>
  <c r="W101" i="123"/>
  <c r="W100" i="123"/>
  <c r="W99" i="123"/>
  <c r="W98" i="123"/>
  <c r="W97" i="123"/>
  <c r="W96" i="123"/>
  <c r="W95" i="123"/>
  <c r="W94" i="123"/>
  <c r="W93" i="123"/>
  <c r="W92" i="123"/>
  <c r="W91" i="123"/>
  <c r="W90" i="123"/>
  <c r="W89" i="123"/>
  <c r="W88" i="123"/>
  <c r="W87" i="123"/>
  <c r="W86" i="123"/>
  <c r="W85" i="123"/>
  <c r="W84" i="123"/>
  <c r="W83" i="123"/>
  <c r="W82" i="123"/>
  <c r="E82" i="123"/>
  <c r="W81" i="123"/>
  <c r="W80" i="123"/>
  <c r="W79" i="123"/>
  <c r="W78" i="123"/>
  <c r="W77" i="123"/>
  <c r="W76" i="123"/>
  <c r="W75" i="123"/>
  <c r="W74" i="123"/>
  <c r="W73" i="123"/>
  <c r="W72" i="123"/>
  <c r="W71" i="123"/>
  <c r="W70" i="123"/>
  <c r="W69" i="123"/>
  <c r="W68" i="123"/>
  <c r="W67" i="123"/>
  <c r="W66" i="123"/>
  <c r="W65" i="123"/>
  <c r="W64" i="123"/>
  <c r="W63" i="123"/>
  <c r="W62" i="123"/>
  <c r="W61" i="123"/>
  <c r="W60" i="123"/>
  <c r="W59" i="123"/>
  <c r="W58" i="123"/>
  <c r="E58" i="123"/>
  <c r="W57" i="123"/>
  <c r="W56" i="123"/>
  <c r="W55" i="123"/>
  <c r="W54" i="123"/>
  <c r="W53" i="123"/>
  <c r="W52" i="123"/>
  <c r="W51" i="123"/>
  <c r="W50" i="123"/>
  <c r="W49" i="123"/>
  <c r="W48" i="123"/>
  <c r="W47" i="123"/>
  <c r="W46" i="123"/>
  <c r="W45" i="123"/>
  <c r="W44" i="123"/>
  <c r="W43" i="123"/>
  <c r="W42" i="123"/>
  <c r="W41" i="123"/>
  <c r="W40" i="123"/>
  <c r="W39" i="123"/>
  <c r="W38" i="123"/>
  <c r="W37" i="123"/>
  <c r="W36" i="123"/>
  <c r="W35" i="123"/>
  <c r="W34" i="123"/>
  <c r="E34" i="123"/>
  <c r="W33" i="123"/>
  <c r="W32" i="123"/>
  <c r="W31" i="123"/>
  <c r="W30" i="123"/>
  <c r="W29" i="123"/>
  <c r="W28" i="123"/>
  <c r="W27" i="123"/>
  <c r="W26" i="123"/>
  <c r="W25" i="123"/>
  <c r="W24" i="123"/>
  <c r="W23" i="123"/>
  <c r="W22" i="123"/>
  <c r="W21" i="123"/>
  <c r="W20" i="123"/>
  <c r="W19" i="123"/>
  <c r="W18" i="123"/>
  <c r="W17" i="123"/>
  <c r="W16" i="123"/>
  <c r="W15" i="123"/>
  <c r="W14" i="123"/>
  <c r="W13" i="123"/>
  <c r="W12" i="123"/>
  <c r="W11" i="123"/>
  <c r="W10" i="123"/>
  <c r="E10" i="123"/>
  <c r="W9" i="123"/>
  <c r="W8" i="123"/>
  <c r="W7" i="123"/>
  <c r="U510" i="122"/>
  <c r="U509" i="122"/>
  <c r="U508" i="122"/>
  <c r="U507" i="122"/>
  <c r="U506" i="122"/>
  <c r="U505" i="122"/>
  <c r="U504" i="122"/>
  <c r="U503" i="122"/>
  <c r="U502" i="122"/>
  <c r="U501" i="122"/>
  <c r="U500" i="122"/>
  <c r="U499" i="122"/>
  <c r="U498" i="122"/>
  <c r="U497" i="122"/>
  <c r="U496" i="122"/>
  <c r="U495" i="122"/>
  <c r="U494" i="122"/>
  <c r="U493" i="122"/>
  <c r="U492" i="122"/>
  <c r="U491" i="122"/>
  <c r="U490" i="122"/>
  <c r="E490" i="122"/>
  <c r="U489" i="122"/>
  <c r="U488" i="122"/>
  <c r="U487" i="122"/>
  <c r="U486" i="122"/>
  <c r="U485" i="122"/>
  <c r="U484" i="122"/>
  <c r="U483" i="122"/>
  <c r="U482" i="122"/>
  <c r="U481" i="122"/>
  <c r="U480" i="122"/>
  <c r="U479" i="122"/>
  <c r="U478" i="122"/>
  <c r="U477" i="122"/>
  <c r="U476" i="122"/>
  <c r="U475" i="122"/>
  <c r="U474" i="122"/>
  <c r="U473" i="122"/>
  <c r="U472" i="122"/>
  <c r="U471" i="122"/>
  <c r="U470" i="122"/>
  <c r="U469" i="122"/>
  <c r="U468" i="122"/>
  <c r="U467" i="122"/>
  <c r="U466" i="122"/>
  <c r="E466" i="122"/>
  <c r="U465" i="122"/>
  <c r="U464" i="122"/>
  <c r="U463" i="122"/>
  <c r="U462" i="122"/>
  <c r="U461" i="122"/>
  <c r="U460" i="122"/>
  <c r="U459" i="122"/>
  <c r="U458" i="122"/>
  <c r="U457" i="122"/>
  <c r="U456" i="122"/>
  <c r="U455" i="122"/>
  <c r="U454" i="122"/>
  <c r="U453" i="122"/>
  <c r="U452" i="122"/>
  <c r="U451" i="122"/>
  <c r="U450" i="122"/>
  <c r="U449" i="122"/>
  <c r="U448" i="122"/>
  <c r="U447" i="122"/>
  <c r="U446" i="122"/>
  <c r="U445" i="122"/>
  <c r="U444" i="122"/>
  <c r="U443" i="122"/>
  <c r="U442" i="122"/>
  <c r="E442" i="122"/>
  <c r="U441" i="122"/>
  <c r="U440" i="122"/>
  <c r="U439" i="122"/>
  <c r="U438" i="122"/>
  <c r="U437" i="122"/>
  <c r="U436" i="122"/>
  <c r="U435" i="122"/>
  <c r="U434" i="122"/>
  <c r="U433" i="122"/>
  <c r="U432" i="122"/>
  <c r="U431" i="122"/>
  <c r="U430" i="122"/>
  <c r="U429" i="122"/>
  <c r="U428" i="122"/>
  <c r="U427" i="122"/>
  <c r="U426" i="122"/>
  <c r="U425" i="122"/>
  <c r="U424" i="122"/>
  <c r="U423" i="122"/>
  <c r="U422" i="122"/>
  <c r="U421" i="122"/>
  <c r="U420" i="122"/>
  <c r="U419" i="122"/>
  <c r="U418" i="122"/>
  <c r="E418" i="122"/>
  <c r="U417" i="122"/>
  <c r="U416" i="122"/>
  <c r="U415" i="122"/>
  <c r="U414" i="122"/>
  <c r="U413" i="122"/>
  <c r="U412" i="122"/>
  <c r="U411" i="122"/>
  <c r="U410" i="122"/>
  <c r="U409" i="122"/>
  <c r="U408" i="122"/>
  <c r="U407" i="122"/>
  <c r="U406" i="122"/>
  <c r="U405" i="122"/>
  <c r="U404" i="122"/>
  <c r="U403" i="122"/>
  <c r="U402" i="122"/>
  <c r="U401" i="122"/>
  <c r="U400" i="122"/>
  <c r="U399" i="122"/>
  <c r="U398" i="122"/>
  <c r="U397" i="122"/>
  <c r="U396" i="122"/>
  <c r="U395" i="122"/>
  <c r="U394" i="122"/>
  <c r="E394" i="122"/>
  <c r="U393" i="122"/>
  <c r="U392" i="122"/>
  <c r="U391" i="122"/>
  <c r="U390" i="122"/>
  <c r="U389" i="122"/>
  <c r="U388" i="122"/>
  <c r="U387" i="122"/>
  <c r="U386" i="122"/>
  <c r="U385" i="122"/>
  <c r="U384" i="122"/>
  <c r="U383" i="122"/>
  <c r="U382" i="122"/>
  <c r="U381" i="122"/>
  <c r="U380" i="122"/>
  <c r="U379" i="122"/>
  <c r="U378" i="122"/>
  <c r="U377" i="122"/>
  <c r="U376" i="122"/>
  <c r="U375" i="122"/>
  <c r="U374" i="122"/>
  <c r="U373" i="122"/>
  <c r="U372" i="122"/>
  <c r="U371" i="122"/>
  <c r="U370" i="122"/>
  <c r="E370" i="122"/>
  <c r="U369" i="122"/>
  <c r="U368" i="122"/>
  <c r="U367" i="122"/>
  <c r="U366" i="122"/>
  <c r="U365" i="122"/>
  <c r="U364" i="122"/>
  <c r="U363" i="122"/>
  <c r="U362" i="122"/>
  <c r="U361" i="122"/>
  <c r="U360" i="122"/>
  <c r="U359" i="122"/>
  <c r="U358" i="122"/>
  <c r="U357" i="122"/>
  <c r="U356" i="122"/>
  <c r="U355" i="122"/>
  <c r="U354" i="122"/>
  <c r="U353" i="122"/>
  <c r="U352" i="122"/>
  <c r="U351" i="122"/>
  <c r="U350" i="122"/>
  <c r="U349" i="122"/>
  <c r="U348" i="122"/>
  <c r="U347" i="122"/>
  <c r="U346" i="122"/>
  <c r="E346" i="122"/>
  <c r="U345" i="122"/>
  <c r="U344" i="122"/>
  <c r="U343" i="122"/>
  <c r="U342" i="122"/>
  <c r="U341" i="122"/>
  <c r="U340" i="122"/>
  <c r="U339" i="122"/>
  <c r="U338" i="122"/>
  <c r="U337" i="122"/>
  <c r="U336" i="122"/>
  <c r="U335" i="122"/>
  <c r="U334" i="122"/>
  <c r="U333" i="122"/>
  <c r="U332" i="122"/>
  <c r="U331" i="122"/>
  <c r="U330" i="122"/>
  <c r="U329" i="122"/>
  <c r="U328" i="122"/>
  <c r="U327" i="122"/>
  <c r="U326" i="122"/>
  <c r="U325" i="122"/>
  <c r="U324" i="122"/>
  <c r="U323" i="122"/>
  <c r="U322" i="122"/>
  <c r="E322" i="122"/>
  <c r="U321" i="122"/>
  <c r="U320" i="122"/>
  <c r="U319" i="122"/>
  <c r="U318" i="122"/>
  <c r="U317" i="122"/>
  <c r="U316" i="122"/>
  <c r="U315" i="122"/>
  <c r="U314" i="122"/>
  <c r="U313" i="122"/>
  <c r="U312" i="122"/>
  <c r="U311" i="122"/>
  <c r="U310" i="122"/>
  <c r="U309" i="122"/>
  <c r="U308" i="122"/>
  <c r="U307" i="122"/>
  <c r="U306" i="122"/>
  <c r="U305" i="122"/>
  <c r="U304" i="122"/>
  <c r="U303" i="122"/>
  <c r="U302" i="122"/>
  <c r="U301" i="122"/>
  <c r="U300" i="122"/>
  <c r="U299" i="122"/>
  <c r="U298" i="122"/>
  <c r="E298" i="122"/>
  <c r="U297" i="122"/>
  <c r="U296" i="122"/>
  <c r="U295" i="122"/>
  <c r="U294" i="122"/>
  <c r="U293" i="122"/>
  <c r="U292" i="122"/>
  <c r="U291" i="122"/>
  <c r="U290" i="122"/>
  <c r="U289" i="122"/>
  <c r="U288" i="122"/>
  <c r="U287" i="122"/>
  <c r="U286" i="122"/>
  <c r="U285" i="122"/>
  <c r="U284" i="122"/>
  <c r="U283" i="122"/>
  <c r="U282" i="122"/>
  <c r="U281" i="122"/>
  <c r="U280" i="122"/>
  <c r="U279" i="122"/>
  <c r="U278" i="122"/>
  <c r="U277" i="122"/>
  <c r="U276" i="122"/>
  <c r="U275" i="122"/>
  <c r="U274" i="122"/>
  <c r="E274" i="122"/>
  <c r="U273" i="122"/>
  <c r="U272" i="122"/>
  <c r="U271" i="122"/>
  <c r="U270" i="122"/>
  <c r="U269" i="122"/>
  <c r="U268" i="122"/>
  <c r="U267" i="122"/>
  <c r="U266" i="122"/>
  <c r="U265" i="122"/>
  <c r="U264" i="122"/>
  <c r="U263" i="122"/>
  <c r="U262" i="122"/>
  <c r="U261" i="122"/>
  <c r="U260" i="122"/>
  <c r="U259" i="122"/>
  <c r="U258" i="122"/>
  <c r="U257" i="122"/>
  <c r="U256" i="122"/>
  <c r="U255" i="122"/>
  <c r="U254" i="122"/>
  <c r="U253" i="122"/>
  <c r="U252" i="122"/>
  <c r="U251" i="122"/>
  <c r="U250" i="122"/>
  <c r="E250" i="122"/>
  <c r="U249" i="122"/>
  <c r="U248" i="122"/>
  <c r="U247" i="122"/>
  <c r="U246" i="122"/>
  <c r="U245" i="122"/>
  <c r="U244" i="122"/>
  <c r="U243" i="122"/>
  <c r="U242" i="122"/>
  <c r="U241" i="122"/>
  <c r="U240" i="122"/>
  <c r="U239" i="122"/>
  <c r="U238" i="122"/>
  <c r="U237" i="122"/>
  <c r="U236" i="122"/>
  <c r="U235" i="122"/>
  <c r="U234" i="122"/>
  <c r="U233" i="122"/>
  <c r="U232" i="122"/>
  <c r="U231" i="122"/>
  <c r="U230" i="122"/>
  <c r="U229" i="122"/>
  <c r="U228" i="122"/>
  <c r="U227" i="122"/>
  <c r="U226" i="122"/>
  <c r="E226" i="122"/>
  <c r="U225" i="122"/>
  <c r="U224" i="122"/>
  <c r="U223" i="122"/>
  <c r="U222" i="122"/>
  <c r="U221" i="122"/>
  <c r="U220" i="122"/>
  <c r="U219" i="122"/>
  <c r="U218" i="122"/>
  <c r="U217" i="122"/>
  <c r="U216" i="122"/>
  <c r="U215" i="122"/>
  <c r="U214" i="122"/>
  <c r="U213" i="122"/>
  <c r="U212" i="122"/>
  <c r="U211" i="122"/>
  <c r="U210" i="122"/>
  <c r="U209" i="122"/>
  <c r="U208" i="122"/>
  <c r="U207" i="122"/>
  <c r="U206" i="122"/>
  <c r="U205" i="122"/>
  <c r="U204" i="122"/>
  <c r="U203" i="122"/>
  <c r="U202" i="122"/>
  <c r="E202" i="122"/>
  <c r="U201" i="122"/>
  <c r="U200" i="122"/>
  <c r="U199" i="122"/>
  <c r="U198" i="122"/>
  <c r="U197" i="122"/>
  <c r="U196" i="122"/>
  <c r="U195" i="122"/>
  <c r="U194" i="122"/>
  <c r="U193" i="122"/>
  <c r="U192" i="122"/>
  <c r="U191" i="122"/>
  <c r="U190" i="122"/>
  <c r="U189" i="122"/>
  <c r="U188" i="122"/>
  <c r="U187" i="122"/>
  <c r="U186" i="122"/>
  <c r="U185" i="122"/>
  <c r="U184" i="122"/>
  <c r="U183" i="122"/>
  <c r="U182" i="122"/>
  <c r="U181" i="122"/>
  <c r="U180" i="122"/>
  <c r="U179" i="122"/>
  <c r="U178" i="122"/>
  <c r="E178" i="122"/>
  <c r="U177" i="122"/>
  <c r="U176" i="122"/>
  <c r="U175" i="122"/>
  <c r="U174" i="122"/>
  <c r="U173" i="122"/>
  <c r="U172" i="122"/>
  <c r="U171" i="122"/>
  <c r="U170" i="122"/>
  <c r="U169" i="122"/>
  <c r="U168" i="122"/>
  <c r="U167" i="122"/>
  <c r="U166" i="122"/>
  <c r="U165" i="122"/>
  <c r="U164" i="122"/>
  <c r="U163" i="122"/>
  <c r="U162" i="122"/>
  <c r="U161" i="122"/>
  <c r="U160" i="122"/>
  <c r="U159" i="122"/>
  <c r="U158" i="122"/>
  <c r="U157" i="122"/>
  <c r="U156" i="122"/>
  <c r="U155" i="122"/>
  <c r="U154" i="122"/>
  <c r="E154" i="122"/>
  <c r="U153" i="122"/>
  <c r="U152" i="122"/>
  <c r="U151" i="122"/>
  <c r="U150" i="122"/>
  <c r="U149" i="122"/>
  <c r="U148" i="122"/>
  <c r="U147" i="122"/>
  <c r="U146" i="122"/>
  <c r="U145" i="122"/>
  <c r="U144" i="122"/>
  <c r="U143" i="122"/>
  <c r="U142" i="122"/>
  <c r="U141" i="122"/>
  <c r="U140" i="122"/>
  <c r="U139" i="122"/>
  <c r="U138" i="122"/>
  <c r="U137" i="122"/>
  <c r="U136" i="122"/>
  <c r="U135" i="122"/>
  <c r="U134" i="122"/>
  <c r="U133" i="122"/>
  <c r="U132" i="122"/>
  <c r="U131" i="122"/>
  <c r="U130" i="122"/>
  <c r="E130" i="122"/>
  <c r="U129" i="122"/>
  <c r="U128" i="122"/>
  <c r="U127" i="122"/>
  <c r="U126" i="122"/>
  <c r="U125" i="122"/>
  <c r="U124" i="122"/>
  <c r="U123" i="122"/>
  <c r="U122" i="122"/>
  <c r="U121" i="122"/>
  <c r="U120" i="122"/>
  <c r="U119" i="122"/>
  <c r="U118" i="122"/>
  <c r="U117" i="122"/>
  <c r="U116" i="122"/>
  <c r="U115" i="122"/>
  <c r="U114" i="122"/>
  <c r="U113" i="122"/>
  <c r="U112" i="122"/>
  <c r="U111" i="122"/>
  <c r="U110" i="122"/>
  <c r="U109" i="122"/>
  <c r="U108" i="122"/>
  <c r="U107" i="122"/>
  <c r="U106" i="122"/>
  <c r="E106" i="122"/>
  <c r="U105" i="122"/>
  <c r="U104" i="122"/>
  <c r="U103" i="122"/>
  <c r="U102" i="122"/>
  <c r="U101" i="122"/>
  <c r="U100" i="122"/>
  <c r="U99" i="122"/>
  <c r="U98" i="122"/>
  <c r="U97" i="122"/>
  <c r="U96" i="122"/>
  <c r="U95" i="122"/>
  <c r="U94" i="122"/>
  <c r="U93" i="122"/>
  <c r="U92" i="122"/>
  <c r="U91" i="122"/>
  <c r="U90" i="122"/>
  <c r="U89" i="122"/>
  <c r="U88" i="122"/>
  <c r="U87" i="122"/>
  <c r="U86" i="122"/>
  <c r="U85" i="122"/>
  <c r="U84" i="122"/>
  <c r="U83" i="122"/>
  <c r="U82" i="122"/>
  <c r="E82" i="122"/>
  <c r="U81" i="122"/>
  <c r="U80" i="122"/>
  <c r="U79" i="122"/>
  <c r="U78" i="122"/>
  <c r="U77" i="122"/>
  <c r="U76" i="122"/>
  <c r="U75" i="122"/>
  <c r="U74" i="122"/>
  <c r="U73" i="122"/>
  <c r="U72" i="122"/>
  <c r="U71" i="122"/>
  <c r="U70" i="122"/>
  <c r="U69" i="122"/>
  <c r="U68" i="122"/>
  <c r="U67" i="122"/>
  <c r="U66" i="122"/>
  <c r="U65" i="122"/>
  <c r="U64" i="122"/>
  <c r="U63" i="122"/>
  <c r="U62" i="122"/>
  <c r="U61" i="122"/>
  <c r="U60" i="122"/>
  <c r="U59" i="122"/>
  <c r="U58" i="122"/>
  <c r="E58" i="122"/>
  <c r="U57" i="122"/>
  <c r="U56" i="122"/>
  <c r="U55" i="122"/>
  <c r="U54" i="122"/>
  <c r="U53" i="122"/>
  <c r="U52" i="122"/>
  <c r="U51" i="122"/>
  <c r="U50" i="122"/>
  <c r="U49" i="122"/>
  <c r="U48" i="122"/>
  <c r="U47" i="122"/>
  <c r="U46" i="122"/>
  <c r="U45" i="122"/>
  <c r="U44" i="122"/>
  <c r="U43" i="122"/>
  <c r="U42" i="122"/>
  <c r="U41" i="122"/>
  <c r="U40" i="122"/>
  <c r="U39" i="122"/>
  <c r="U38" i="122"/>
  <c r="U37" i="122"/>
  <c r="U36" i="122"/>
  <c r="U35" i="122"/>
  <c r="U34" i="122"/>
  <c r="E34" i="122"/>
  <c r="U33" i="122"/>
  <c r="U32" i="122"/>
  <c r="U31" i="122"/>
  <c r="U30" i="122"/>
  <c r="U29" i="122"/>
  <c r="U28" i="122"/>
  <c r="U27" i="122"/>
  <c r="U26" i="122"/>
  <c r="U25" i="122"/>
  <c r="U24" i="122"/>
  <c r="U23" i="122"/>
  <c r="U22" i="122"/>
  <c r="U21" i="122"/>
  <c r="U20" i="122"/>
  <c r="U19" i="122"/>
  <c r="U18" i="122"/>
  <c r="U17" i="122"/>
  <c r="U16" i="122"/>
  <c r="U15" i="122"/>
  <c r="U14" i="122"/>
  <c r="U13" i="122"/>
  <c r="U12" i="122"/>
  <c r="U11" i="122"/>
  <c r="U10" i="122"/>
  <c r="E10" i="122"/>
  <c r="U9" i="122"/>
  <c r="U8" i="122"/>
  <c r="U7" i="122"/>
  <c r="AE515" i="121"/>
  <c r="AE514" i="121"/>
  <c r="AE513" i="121"/>
  <c r="AE512" i="121"/>
  <c r="AE511" i="121"/>
  <c r="AE510" i="121"/>
  <c r="AE509" i="121"/>
  <c r="AE508" i="121"/>
  <c r="AE507" i="121"/>
  <c r="AE506" i="121"/>
  <c r="AE505" i="121"/>
  <c r="AE504" i="121"/>
  <c r="AE503" i="121"/>
  <c r="AE502" i="121"/>
  <c r="AE501" i="121"/>
  <c r="AE500" i="121"/>
  <c r="AE499" i="121"/>
  <c r="AE498" i="121"/>
  <c r="AE497" i="121"/>
  <c r="AE496" i="121"/>
  <c r="AE495" i="121"/>
  <c r="K495" i="121"/>
  <c r="H495" i="121"/>
  <c r="E495" i="121"/>
  <c r="AE494" i="121"/>
  <c r="AE493" i="121"/>
  <c r="AE492" i="121"/>
  <c r="AE486" i="121"/>
  <c r="AE485" i="121"/>
  <c r="AE484" i="121"/>
  <c r="AE483" i="121"/>
  <c r="AE482" i="121"/>
  <c r="AE481" i="121"/>
  <c r="AE480" i="121"/>
  <c r="AE479" i="121"/>
  <c r="AE478" i="121"/>
  <c r="AE477" i="121"/>
  <c r="AE476" i="121"/>
  <c r="AE475" i="121"/>
  <c r="AE474" i="121"/>
  <c r="AE473" i="121"/>
  <c r="AE472" i="121"/>
  <c r="AE471" i="121"/>
  <c r="AE470" i="121"/>
  <c r="AE469" i="121"/>
  <c r="AE468" i="121"/>
  <c r="AE467" i="121"/>
  <c r="AE466" i="121"/>
  <c r="K466" i="121"/>
  <c r="H466" i="121"/>
  <c r="E466" i="121"/>
  <c r="AE465" i="121"/>
  <c r="AE464" i="121"/>
  <c r="AE463" i="121"/>
  <c r="AE462" i="121"/>
  <c r="AE461" i="121"/>
  <c r="AE460" i="121"/>
  <c r="AE459" i="121"/>
  <c r="AE458" i="121"/>
  <c r="AE457" i="121"/>
  <c r="AE456" i="121"/>
  <c r="AE455" i="121"/>
  <c r="AE454" i="121"/>
  <c r="AE453" i="121"/>
  <c r="AE452" i="121"/>
  <c r="AE451" i="121"/>
  <c r="AE450" i="121"/>
  <c r="AE449" i="121"/>
  <c r="AE448" i="121"/>
  <c r="AE447" i="121"/>
  <c r="AE446" i="121"/>
  <c r="AE445" i="121"/>
  <c r="AE444" i="121"/>
  <c r="AE443" i="121"/>
  <c r="AE442" i="121"/>
  <c r="K442" i="121"/>
  <c r="H442" i="121"/>
  <c r="AE441" i="121"/>
  <c r="AE440" i="121"/>
  <c r="AE439" i="121"/>
  <c r="AE438" i="121"/>
  <c r="AE437" i="121"/>
  <c r="AE436" i="121"/>
  <c r="AE435" i="121"/>
  <c r="AE434" i="121"/>
  <c r="AE433" i="121"/>
  <c r="AE432" i="121"/>
  <c r="AE431" i="121"/>
  <c r="AE430" i="121"/>
  <c r="AE429" i="121"/>
  <c r="AE428" i="121"/>
  <c r="AE427" i="121"/>
  <c r="AE426" i="121"/>
  <c r="AE425" i="121"/>
  <c r="AE424" i="121"/>
  <c r="AE423" i="121"/>
  <c r="AE422" i="121"/>
  <c r="AE421" i="121"/>
  <c r="AE420" i="121"/>
  <c r="AE419" i="121"/>
  <c r="AE418" i="121"/>
  <c r="K418" i="121"/>
  <c r="AE417" i="121"/>
  <c r="AE416" i="121"/>
  <c r="AE415" i="121"/>
  <c r="AE414" i="121"/>
  <c r="AE413" i="121"/>
  <c r="AE412" i="121"/>
  <c r="AE411" i="121"/>
  <c r="AE410" i="121"/>
  <c r="AE409" i="121"/>
  <c r="AE408" i="121"/>
  <c r="AE407" i="121"/>
  <c r="AE406" i="121"/>
  <c r="AE405" i="121"/>
  <c r="AE404" i="121"/>
  <c r="AE403" i="121"/>
  <c r="AE402" i="121"/>
  <c r="AE401" i="121"/>
  <c r="AE400" i="121"/>
  <c r="AE399" i="121"/>
  <c r="AE398" i="121"/>
  <c r="AE397" i="121"/>
  <c r="AE396" i="121"/>
  <c r="AE395" i="121"/>
  <c r="AE394" i="121"/>
  <c r="K394" i="121"/>
  <c r="H394" i="121"/>
  <c r="E394" i="121"/>
  <c r="AE393" i="121"/>
  <c r="AE392" i="121"/>
  <c r="AE391" i="121"/>
  <c r="AE390" i="121"/>
  <c r="AE389" i="121"/>
  <c r="AE388" i="121"/>
  <c r="AE387" i="121"/>
  <c r="AE386" i="121"/>
  <c r="AE385" i="121"/>
  <c r="AE384" i="121"/>
  <c r="AE383" i="121"/>
  <c r="AE382" i="121"/>
  <c r="AE381" i="121"/>
  <c r="AE380" i="121"/>
  <c r="AE379" i="121"/>
  <c r="AE378" i="121"/>
  <c r="AE377" i="121"/>
  <c r="AE376" i="121"/>
  <c r="AE375" i="121"/>
  <c r="AE374" i="121"/>
  <c r="AE373" i="121"/>
  <c r="AE372" i="121"/>
  <c r="AE371" i="121"/>
  <c r="AE370" i="121"/>
  <c r="K370" i="121"/>
  <c r="H370" i="121"/>
  <c r="AE369" i="121"/>
  <c r="AE368" i="121"/>
  <c r="AE367" i="121"/>
  <c r="AE366" i="121"/>
  <c r="AE365" i="121"/>
  <c r="AE364" i="121"/>
  <c r="AE363" i="121"/>
  <c r="AE362" i="121"/>
  <c r="AE361" i="121"/>
  <c r="AE360" i="121"/>
  <c r="AE359" i="121"/>
  <c r="AE358" i="121"/>
  <c r="AE357" i="121"/>
  <c r="AE356" i="121"/>
  <c r="AE355" i="121"/>
  <c r="AE354" i="121"/>
  <c r="AE353" i="121"/>
  <c r="AE352" i="121"/>
  <c r="AE351" i="121"/>
  <c r="AE350" i="121"/>
  <c r="AE349" i="121"/>
  <c r="AE348" i="121"/>
  <c r="AE347" i="121"/>
  <c r="AE346" i="121"/>
  <c r="K346" i="121"/>
  <c r="AE345" i="121"/>
  <c r="AE344" i="121"/>
  <c r="AE343" i="121"/>
  <c r="AE342" i="121"/>
  <c r="AE341" i="121"/>
  <c r="AE340" i="121"/>
  <c r="AE339" i="121"/>
  <c r="AE338" i="121"/>
  <c r="AE337" i="121"/>
  <c r="AE336" i="121"/>
  <c r="AE335" i="121"/>
  <c r="AE334" i="121"/>
  <c r="AE333" i="121"/>
  <c r="AE332" i="121"/>
  <c r="AE331" i="121"/>
  <c r="AE330" i="121"/>
  <c r="AE329" i="121"/>
  <c r="AE328" i="121"/>
  <c r="AE327" i="121"/>
  <c r="AE326" i="121"/>
  <c r="AE325" i="121"/>
  <c r="AE324" i="121"/>
  <c r="AE323" i="121"/>
  <c r="AE322" i="121"/>
  <c r="K322" i="121"/>
  <c r="H322" i="121"/>
  <c r="AE321" i="121"/>
  <c r="AE320" i="121"/>
  <c r="AE319" i="121"/>
  <c r="AE318" i="121"/>
  <c r="AE317" i="121"/>
  <c r="AE316" i="121"/>
  <c r="AE315" i="121"/>
  <c r="AE314" i="121"/>
  <c r="AE313" i="121"/>
  <c r="AE312" i="121"/>
  <c r="AE311" i="121"/>
  <c r="AE310" i="121"/>
  <c r="AE309" i="121"/>
  <c r="AE308" i="121"/>
  <c r="AE307" i="121"/>
  <c r="AE306" i="121"/>
  <c r="AE305" i="121"/>
  <c r="AE304" i="121"/>
  <c r="AE303" i="121"/>
  <c r="AE302" i="121"/>
  <c r="AE301" i="121"/>
  <c r="AE300" i="121"/>
  <c r="AE299" i="121"/>
  <c r="AE298" i="121"/>
  <c r="K298" i="121"/>
  <c r="AE297" i="121"/>
  <c r="AE296" i="121"/>
  <c r="AE295" i="121"/>
  <c r="AE294" i="121"/>
  <c r="AE293" i="121"/>
  <c r="AE292" i="121"/>
  <c r="AE291" i="121"/>
  <c r="AE290" i="121"/>
  <c r="AE289" i="121"/>
  <c r="AE288" i="121"/>
  <c r="AE287" i="121"/>
  <c r="AE286" i="121"/>
  <c r="AE285" i="121"/>
  <c r="AE284" i="121"/>
  <c r="AE283" i="121"/>
  <c r="AE282" i="121"/>
  <c r="AE281" i="121"/>
  <c r="AE280" i="121"/>
  <c r="AE279" i="121"/>
  <c r="AE278" i="121"/>
  <c r="AE277" i="121"/>
  <c r="AE276" i="121"/>
  <c r="AE275" i="121"/>
  <c r="AE274" i="121"/>
  <c r="K274" i="121"/>
  <c r="AE273" i="121"/>
  <c r="AE272" i="121"/>
  <c r="AE271" i="121"/>
  <c r="AE270" i="121"/>
  <c r="AE269" i="121"/>
  <c r="AE268" i="121"/>
  <c r="AE267" i="121"/>
  <c r="AE266" i="121"/>
  <c r="AE265" i="121"/>
  <c r="AE264" i="121"/>
  <c r="AE263" i="121"/>
  <c r="AE262" i="121"/>
  <c r="AE261" i="121"/>
  <c r="AE260" i="121"/>
  <c r="AE259" i="121"/>
  <c r="AE258" i="121"/>
  <c r="AE257" i="121"/>
  <c r="AE256" i="121"/>
  <c r="AE255" i="121"/>
  <c r="AE254" i="121"/>
  <c r="AE253" i="121"/>
  <c r="AE252" i="121"/>
  <c r="AE251" i="121"/>
  <c r="AE250" i="121"/>
  <c r="K250" i="121"/>
  <c r="H250" i="121"/>
  <c r="E250" i="121"/>
  <c r="AE249" i="121"/>
  <c r="AE248" i="121"/>
  <c r="AE247" i="121"/>
  <c r="AE246" i="121"/>
  <c r="AE245" i="121"/>
  <c r="AE244" i="121"/>
  <c r="AE243" i="121"/>
  <c r="AE242" i="121"/>
  <c r="AE241" i="121"/>
  <c r="AE240" i="121"/>
  <c r="AE239" i="121"/>
  <c r="AE238" i="121"/>
  <c r="AE237" i="121"/>
  <c r="AE236" i="121"/>
  <c r="AE235" i="121"/>
  <c r="AE234" i="121"/>
  <c r="AE233" i="121"/>
  <c r="AE232" i="121"/>
  <c r="AE231" i="121"/>
  <c r="AE230" i="121"/>
  <c r="AE229" i="121"/>
  <c r="AE228" i="121"/>
  <c r="AE227" i="121"/>
  <c r="AE226" i="121"/>
  <c r="K226" i="121"/>
  <c r="H226" i="121"/>
  <c r="AE225" i="121"/>
  <c r="AE224" i="121"/>
  <c r="AE223" i="121"/>
  <c r="AE222" i="121"/>
  <c r="AE221" i="121"/>
  <c r="AE220" i="121"/>
  <c r="AE219" i="121"/>
  <c r="AE218" i="121"/>
  <c r="AE217" i="121"/>
  <c r="AE216" i="121"/>
  <c r="AE215" i="121"/>
  <c r="AE214" i="121"/>
  <c r="AE213" i="121"/>
  <c r="AE212" i="121"/>
  <c r="AE211" i="121"/>
  <c r="AE210" i="121"/>
  <c r="AE209" i="121"/>
  <c r="AE208" i="121"/>
  <c r="AE207" i="121"/>
  <c r="AE206" i="121"/>
  <c r="AE205" i="121"/>
  <c r="AE204" i="121"/>
  <c r="AE203" i="121"/>
  <c r="AE202" i="121"/>
  <c r="K202" i="121"/>
  <c r="AE201" i="121"/>
  <c r="AE200" i="121"/>
  <c r="AE199" i="121"/>
  <c r="AE198" i="121"/>
  <c r="AE197" i="121"/>
  <c r="AE196" i="121"/>
  <c r="AE195" i="121"/>
  <c r="AE194" i="121"/>
  <c r="AE193" i="121"/>
  <c r="AE192" i="121"/>
  <c r="AE191" i="121"/>
  <c r="AE190" i="121"/>
  <c r="AE189" i="121"/>
  <c r="AE188" i="121"/>
  <c r="AE187" i="121"/>
  <c r="AE186" i="121"/>
  <c r="AE185" i="121"/>
  <c r="AE184" i="121"/>
  <c r="AE183" i="121"/>
  <c r="AE182" i="121"/>
  <c r="AE181" i="121"/>
  <c r="AE180" i="121"/>
  <c r="AE179" i="121"/>
  <c r="AE178" i="121"/>
  <c r="K178" i="121"/>
  <c r="H178" i="121"/>
  <c r="AE177" i="121"/>
  <c r="AE176" i="121"/>
  <c r="AE175" i="121"/>
  <c r="AE174" i="121"/>
  <c r="AE173" i="121"/>
  <c r="AE172" i="121"/>
  <c r="AE171" i="121"/>
  <c r="AE170" i="121"/>
  <c r="AE169" i="121"/>
  <c r="AE168" i="121"/>
  <c r="AE167" i="121"/>
  <c r="AE166" i="121"/>
  <c r="AE165" i="121"/>
  <c r="AE164" i="121"/>
  <c r="AE163" i="121"/>
  <c r="AE162" i="121"/>
  <c r="AE161" i="121"/>
  <c r="AE160" i="121"/>
  <c r="AE159" i="121"/>
  <c r="AE158" i="121"/>
  <c r="AE157" i="121"/>
  <c r="AE156" i="121"/>
  <c r="AE155" i="121"/>
  <c r="AE154" i="121"/>
  <c r="K154" i="121"/>
  <c r="AE153" i="121"/>
  <c r="AE152" i="121"/>
  <c r="AE151" i="121"/>
  <c r="AE150" i="121"/>
  <c r="AE149" i="121"/>
  <c r="AE148" i="121"/>
  <c r="AE147" i="121"/>
  <c r="AE146" i="121"/>
  <c r="AE145" i="121"/>
  <c r="AE144" i="121"/>
  <c r="AE143" i="121"/>
  <c r="AE142" i="121"/>
  <c r="AE141" i="121"/>
  <c r="AE140" i="121"/>
  <c r="AE139" i="121"/>
  <c r="AE138" i="121"/>
  <c r="AE137" i="121"/>
  <c r="AE136" i="121"/>
  <c r="AE135" i="121"/>
  <c r="AE134" i="121"/>
  <c r="AE133" i="121"/>
  <c r="AE132" i="121"/>
  <c r="AE131" i="121"/>
  <c r="AE130" i="121"/>
  <c r="K130" i="121"/>
  <c r="AE129" i="121"/>
  <c r="AE128" i="121"/>
  <c r="AE127" i="121"/>
  <c r="AE126" i="121"/>
  <c r="AE125" i="121"/>
  <c r="AE124" i="121"/>
  <c r="AE123" i="121"/>
  <c r="AE122" i="121"/>
  <c r="AE121" i="121"/>
  <c r="AE120" i="121"/>
  <c r="AE119" i="121"/>
  <c r="AE118" i="121"/>
  <c r="AE117" i="121"/>
  <c r="AE116" i="121"/>
  <c r="AE115" i="121"/>
  <c r="AE114" i="121"/>
  <c r="AE113" i="121"/>
  <c r="AE112" i="121"/>
  <c r="AE111" i="121"/>
  <c r="AE110" i="121"/>
  <c r="AE109" i="121"/>
  <c r="AE108" i="121"/>
  <c r="AE107" i="121"/>
  <c r="AE106" i="121"/>
  <c r="K106" i="121"/>
  <c r="H106" i="121"/>
  <c r="AE105" i="121"/>
  <c r="AE104" i="121"/>
  <c r="AE103" i="121"/>
  <c r="AE102" i="121"/>
  <c r="AE101" i="121"/>
  <c r="AE100" i="121"/>
  <c r="AE99" i="121"/>
  <c r="AE98" i="121"/>
  <c r="AE97" i="121"/>
  <c r="AE96" i="121"/>
  <c r="AE95" i="121"/>
  <c r="AE94" i="121"/>
  <c r="AE93" i="121"/>
  <c r="AE92" i="121"/>
  <c r="AE91" i="121"/>
  <c r="AE90" i="121"/>
  <c r="AE89" i="121"/>
  <c r="AE88" i="121"/>
  <c r="AE87" i="121"/>
  <c r="AE86" i="121"/>
  <c r="AE85" i="121"/>
  <c r="AE84" i="121"/>
  <c r="AE83" i="121"/>
  <c r="AE82" i="121"/>
  <c r="K82" i="121"/>
  <c r="AE81" i="121"/>
  <c r="AE80" i="121"/>
  <c r="AE79" i="121"/>
  <c r="AE78" i="121"/>
  <c r="AE77" i="121"/>
  <c r="AE76" i="121"/>
  <c r="AE75" i="121"/>
  <c r="AE74" i="121"/>
  <c r="AE73" i="121"/>
  <c r="AE72" i="121"/>
  <c r="AE71" i="121"/>
  <c r="AE70" i="121"/>
  <c r="AE69" i="121"/>
  <c r="AE68" i="121"/>
  <c r="AE67" i="121"/>
  <c r="AE66" i="121"/>
  <c r="AE65" i="121"/>
  <c r="AE64" i="121"/>
  <c r="AE63" i="121"/>
  <c r="AE62" i="121"/>
  <c r="AE61" i="121"/>
  <c r="AE60" i="121"/>
  <c r="AE59" i="121"/>
  <c r="AE58" i="121"/>
  <c r="K58" i="121"/>
  <c r="AE57" i="121"/>
  <c r="AE56" i="121"/>
  <c r="AE55" i="121"/>
  <c r="AE54" i="121"/>
  <c r="AE53" i="121"/>
  <c r="AE52" i="121"/>
  <c r="AE51" i="121"/>
  <c r="AE50" i="121"/>
  <c r="AE49" i="121"/>
  <c r="AE48" i="121"/>
  <c r="AE47" i="121"/>
  <c r="AE46" i="121"/>
  <c r="AE45" i="121"/>
  <c r="AE44" i="121"/>
  <c r="AE43" i="121"/>
  <c r="AE42" i="121"/>
  <c r="AE41" i="121"/>
  <c r="AE40" i="121"/>
  <c r="AE39" i="121"/>
  <c r="AE38" i="121"/>
  <c r="AE37" i="121"/>
  <c r="AE36" i="121"/>
  <c r="AE35" i="121"/>
  <c r="AE34" i="121"/>
  <c r="K34" i="121"/>
  <c r="AE33" i="121"/>
  <c r="AE32" i="121"/>
  <c r="AE31" i="121"/>
  <c r="AE30" i="121"/>
  <c r="AE29" i="121"/>
  <c r="AE28" i="121"/>
  <c r="AE27" i="121"/>
  <c r="AE26" i="121"/>
  <c r="AE25" i="121"/>
  <c r="AE24" i="121"/>
  <c r="AE23" i="121"/>
  <c r="AE22" i="121"/>
  <c r="AE21" i="121"/>
  <c r="AE20" i="121"/>
  <c r="AE19" i="121"/>
  <c r="AE18" i="121"/>
  <c r="AE17" i="121"/>
  <c r="AE16" i="121"/>
  <c r="AE15" i="121"/>
  <c r="AE14" i="121"/>
  <c r="AE13" i="121"/>
  <c r="AE12" i="121"/>
  <c r="AE11" i="121"/>
  <c r="AE10" i="121"/>
  <c r="K10" i="121"/>
  <c r="H10" i="121"/>
  <c r="E10" i="121"/>
  <c r="AE9" i="121"/>
  <c r="AE8" i="121"/>
  <c r="AE7" i="121"/>
  <c r="Z366" i="120"/>
  <c r="Z365" i="120"/>
  <c r="Z364" i="120"/>
  <c r="Z363" i="120"/>
  <c r="Z362" i="120"/>
  <c r="Z361" i="120"/>
  <c r="Z360" i="120"/>
  <c r="Z359" i="120"/>
  <c r="Z358" i="120"/>
  <c r="Z357" i="120"/>
  <c r="Z356" i="120"/>
  <c r="Z355" i="120"/>
  <c r="Z354" i="120"/>
  <c r="Z353" i="120"/>
  <c r="Z352" i="120"/>
  <c r="Z351" i="120"/>
  <c r="Z350" i="120"/>
  <c r="Z349" i="120"/>
  <c r="Z348" i="120"/>
  <c r="Z347" i="120"/>
  <c r="Z346" i="120"/>
  <c r="H346" i="120"/>
  <c r="E346" i="120"/>
  <c r="Z345" i="120"/>
  <c r="Z344" i="120"/>
  <c r="Z343" i="120"/>
  <c r="Z342" i="120"/>
  <c r="Z341" i="120"/>
  <c r="Z340" i="120"/>
  <c r="Z339" i="120"/>
  <c r="Z338" i="120"/>
  <c r="Z337" i="120"/>
  <c r="Z336" i="120"/>
  <c r="Z335" i="120"/>
  <c r="Z334" i="120"/>
  <c r="Z333" i="120"/>
  <c r="Z332" i="120"/>
  <c r="Z331" i="120"/>
  <c r="Z330" i="120"/>
  <c r="Z329" i="120"/>
  <c r="Z328" i="120"/>
  <c r="Z327" i="120"/>
  <c r="Z326" i="120"/>
  <c r="Z325" i="120"/>
  <c r="Z324" i="120"/>
  <c r="Z323" i="120"/>
  <c r="Z322" i="120"/>
  <c r="H322" i="120"/>
  <c r="Z321" i="120"/>
  <c r="Z320" i="120"/>
  <c r="Z319" i="120"/>
  <c r="Z318" i="120"/>
  <c r="Z317" i="120"/>
  <c r="Z316" i="120"/>
  <c r="Z315" i="120"/>
  <c r="Z314" i="120"/>
  <c r="Z313" i="120"/>
  <c r="Z312" i="120"/>
  <c r="Z311" i="120"/>
  <c r="Z310" i="120"/>
  <c r="Z309" i="120"/>
  <c r="Z308" i="120"/>
  <c r="Z307" i="120"/>
  <c r="Z306" i="120"/>
  <c r="Z305" i="120"/>
  <c r="Z304" i="120"/>
  <c r="Z303" i="120"/>
  <c r="Z302" i="120"/>
  <c r="Z301" i="120"/>
  <c r="Z300" i="120"/>
  <c r="Z299" i="120"/>
  <c r="Z298" i="120"/>
  <c r="H298" i="120"/>
  <c r="E298" i="120"/>
  <c r="Z297" i="120"/>
  <c r="Z296" i="120"/>
  <c r="Z295" i="120"/>
  <c r="Z294" i="120"/>
  <c r="Z293" i="120"/>
  <c r="Z292" i="120"/>
  <c r="Z291" i="120"/>
  <c r="Z290" i="120"/>
  <c r="Z289" i="120"/>
  <c r="Z288" i="120"/>
  <c r="Z287" i="120"/>
  <c r="Z286" i="120"/>
  <c r="Z285" i="120"/>
  <c r="Z284" i="120"/>
  <c r="Z283" i="120"/>
  <c r="Z282" i="120"/>
  <c r="Z281" i="120"/>
  <c r="Z280" i="120"/>
  <c r="Z279" i="120"/>
  <c r="Z278" i="120"/>
  <c r="Z277" i="120"/>
  <c r="Z276" i="120"/>
  <c r="Z275" i="120"/>
  <c r="Z274" i="120"/>
  <c r="H274" i="120"/>
  <c r="Z273" i="120"/>
  <c r="Z272" i="120"/>
  <c r="Z271" i="120"/>
  <c r="Z270" i="120"/>
  <c r="Z269" i="120"/>
  <c r="Z268" i="120"/>
  <c r="Z267" i="120"/>
  <c r="Z266" i="120"/>
  <c r="Z265" i="120"/>
  <c r="Z264" i="120"/>
  <c r="Z263" i="120"/>
  <c r="Z262" i="120"/>
  <c r="Z261" i="120"/>
  <c r="Z260" i="120"/>
  <c r="Z259" i="120"/>
  <c r="Z258" i="120"/>
  <c r="Z257" i="120"/>
  <c r="Z256" i="120"/>
  <c r="Z255" i="120"/>
  <c r="Z254" i="120"/>
  <c r="Z253" i="120"/>
  <c r="Z252" i="120"/>
  <c r="Z251" i="120"/>
  <c r="Z250" i="120"/>
  <c r="H250" i="120"/>
  <c r="Z249" i="120"/>
  <c r="Z248" i="120"/>
  <c r="Z247" i="120"/>
  <c r="Z246" i="120"/>
  <c r="Z245" i="120"/>
  <c r="Z244" i="120"/>
  <c r="Z243" i="120"/>
  <c r="Z242" i="120"/>
  <c r="Z241" i="120"/>
  <c r="Z240" i="120"/>
  <c r="Z239" i="120"/>
  <c r="Z238" i="120"/>
  <c r="Z237" i="120"/>
  <c r="Z236" i="120"/>
  <c r="Z235" i="120"/>
  <c r="Z234" i="120"/>
  <c r="Z233" i="120"/>
  <c r="Z232" i="120"/>
  <c r="Z231" i="120"/>
  <c r="Z230" i="120"/>
  <c r="Z229" i="120"/>
  <c r="Z228" i="120"/>
  <c r="Z227" i="120"/>
  <c r="Z226" i="120"/>
  <c r="H226" i="120"/>
  <c r="E226" i="120"/>
  <c r="Z225" i="120"/>
  <c r="Z224" i="120"/>
  <c r="Z223" i="120"/>
  <c r="Z222" i="120"/>
  <c r="Z221" i="120"/>
  <c r="Z220" i="120"/>
  <c r="Z219" i="120"/>
  <c r="Z218" i="120"/>
  <c r="Z217" i="120"/>
  <c r="Z216" i="120"/>
  <c r="Z215" i="120"/>
  <c r="Z214" i="120"/>
  <c r="Z213" i="120"/>
  <c r="Z212" i="120"/>
  <c r="Z211" i="120"/>
  <c r="Z210" i="120"/>
  <c r="Z209" i="120"/>
  <c r="Z208" i="120"/>
  <c r="Z207" i="120"/>
  <c r="Z206" i="120"/>
  <c r="Z205" i="120"/>
  <c r="Z204" i="120"/>
  <c r="Z203" i="120"/>
  <c r="Z202" i="120"/>
  <c r="H202" i="120"/>
  <c r="Z201" i="120"/>
  <c r="Z200" i="120"/>
  <c r="Z199" i="120"/>
  <c r="Z198" i="120"/>
  <c r="Z197" i="120"/>
  <c r="Z196" i="120"/>
  <c r="Z195" i="120"/>
  <c r="Z194" i="120"/>
  <c r="Z193" i="120"/>
  <c r="Z192" i="120"/>
  <c r="Z191" i="120"/>
  <c r="Z190" i="120"/>
  <c r="Z189" i="120"/>
  <c r="Z188" i="120"/>
  <c r="Z187" i="120"/>
  <c r="Z186" i="120"/>
  <c r="Z185" i="120"/>
  <c r="Z184" i="120"/>
  <c r="Z183" i="120"/>
  <c r="Z182" i="120"/>
  <c r="Z181" i="120"/>
  <c r="Z180" i="120"/>
  <c r="Z179" i="120"/>
  <c r="Z178" i="120"/>
  <c r="H178" i="120"/>
  <c r="Z177" i="120"/>
  <c r="Z176" i="120"/>
  <c r="Z175" i="120"/>
  <c r="Z174" i="120"/>
  <c r="Z173" i="120"/>
  <c r="Z172" i="120"/>
  <c r="Z171" i="120"/>
  <c r="Z170" i="120"/>
  <c r="Z169" i="120"/>
  <c r="Z168" i="120"/>
  <c r="Z167" i="120"/>
  <c r="Z166" i="120"/>
  <c r="Z165" i="120"/>
  <c r="Z164" i="120"/>
  <c r="Z163" i="120"/>
  <c r="Z162" i="120"/>
  <c r="Z161" i="120"/>
  <c r="Z160" i="120"/>
  <c r="Z159" i="120"/>
  <c r="Z158" i="120"/>
  <c r="Z157" i="120"/>
  <c r="Z156" i="120"/>
  <c r="Z155" i="120"/>
  <c r="Z154" i="120"/>
  <c r="H154" i="120"/>
  <c r="Z153" i="120"/>
  <c r="Z152" i="120"/>
  <c r="Z151" i="120"/>
  <c r="Z150" i="120"/>
  <c r="Z149" i="120"/>
  <c r="Z148" i="120"/>
  <c r="Z147" i="120"/>
  <c r="Z146" i="120"/>
  <c r="Z145" i="120"/>
  <c r="Z144" i="120"/>
  <c r="Z143" i="120"/>
  <c r="Z142" i="120"/>
  <c r="Z141" i="120"/>
  <c r="Z140" i="120"/>
  <c r="Z139" i="120"/>
  <c r="Z138" i="120"/>
  <c r="Z137" i="120"/>
  <c r="Z136" i="120"/>
  <c r="Z135" i="120"/>
  <c r="Z134" i="120"/>
  <c r="Z133" i="120"/>
  <c r="Z132" i="120"/>
  <c r="Z131" i="120"/>
  <c r="Z130" i="120"/>
  <c r="H130" i="120"/>
  <c r="E130" i="120"/>
  <c r="Z129" i="120"/>
  <c r="Z128" i="120"/>
  <c r="Z127" i="120"/>
  <c r="Z126" i="120"/>
  <c r="Z125" i="120"/>
  <c r="Z124" i="120"/>
  <c r="Z123" i="120"/>
  <c r="Z122" i="120"/>
  <c r="Z121" i="120"/>
  <c r="Z120" i="120"/>
  <c r="Z119" i="120"/>
  <c r="Z118" i="120"/>
  <c r="Z117" i="120"/>
  <c r="Z116" i="120"/>
  <c r="Z115" i="120"/>
  <c r="Z114" i="120"/>
  <c r="Z113" i="120"/>
  <c r="Z112" i="120"/>
  <c r="Z111" i="120"/>
  <c r="Z110" i="120"/>
  <c r="Z109" i="120"/>
  <c r="Z108" i="120"/>
  <c r="Z107" i="120"/>
  <c r="Z106" i="120"/>
  <c r="H106" i="120"/>
  <c r="Z105" i="120"/>
  <c r="Z104" i="120"/>
  <c r="Z103" i="120"/>
  <c r="Z102" i="120"/>
  <c r="Z101" i="120"/>
  <c r="Z100" i="120"/>
  <c r="Z99" i="120"/>
  <c r="Z98" i="120"/>
  <c r="Z97" i="120"/>
  <c r="Z96" i="120"/>
  <c r="Z95" i="120"/>
  <c r="Z94" i="120"/>
  <c r="Z93" i="120"/>
  <c r="Z92" i="120"/>
  <c r="Z91" i="120"/>
  <c r="Z90" i="120"/>
  <c r="Z89" i="120"/>
  <c r="Z88" i="120"/>
  <c r="Z87" i="120"/>
  <c r="Z86" i="120"/>
  <c r="Z85" i="120"/>
  <c r="Z84" i="120"/>
  <c r="Z83" i="120"/>
  <c r="Z82" i="120"/>
  <c r="H82" i="120"/>
  <c r="Z81" i="120"/>
  <c r="Z80" i="120"/>
  <c r="Z79" i="120"/>
  <c r="Z78" i="120"/>
  <c r="Z77" i="120"/>
  <c r="Z76" i="120"/>
  <c r="Z75" i="120"/>
  <c r="Z74" i="120"/>
  <c r="Z73" i="120"/>
  <c r="Z72" i="120"/>
  <c r="Z71" i="120"/>
  <c r="Z70" i="120"/>
  <c r="Z69" i="120"/>
  <c r="Z68" i="120"/>
  <c r="Z67" i="120"/>
  <c r="Z66" i="120"/>
  <c r="Z65" i="120"/>
  <c r="Z64" i="120"/>
  <c r="Z63" i="120"/>
  <c r="Z62" i="120"/>
  <c r="Z61" i="120"/>
  <c r="Z60" i="120"/>
  <c r="Z59" i="120"/>
  <c r="Z58" i="120"/>
  <c r="H58" i="120"/>
  <c r="Z57" i="120"/>
  <c r="Z56" i="120"/>
  <c r="Z55" i="120"/>
  <c r="Z54" i="120"/>
  <c r="Z53" i="120"/>
  <c r="Z52" i="120"/>
  <c r="Z51" i="120"/>
  <c r="Z50" i="120"/>
  <c r="Z49" i="120"/>
  <c r="Z48" i="120"/>
  <c r="Z47" i="120"/>
  <c r="Z46" i="120"/>
  <c r="Z45" i="120"/>
  <c r="Z44" i="120"/>
  <c r="Z43" i="120"/>
  <c r="Z42" i="120"/>
  <c r="Z41" i="120"/>
  <c r="Z40" i="120"/>
  <c r="Z39" i="120"/>
  <c r="Z38" i="120"/>
  <c r="Z37" i="120"/>
  <c r="Z36" i="120"/>
  <c r="Z35" i="120"/>
  <c r="Z34" i="120"/>
  <c r="H34" i="120"/>
  <c r="Z33" i="120"/>
  <c r="Z32" i="120"/>
  <c r="Z31" i="120"/>
  <c r="Z30" i="120"/>
  <c r="Z29" i="120"/>
  <c r="Z28" i="120"/>
  <c r="Z27" i="120"/>
  <c r="Z26" i="120"/>
  <c r="Z25" i="120"/>
  <c r="Z24" i="120"/>
  <c r="Z23" i="120"/>
  <c r="Z22" i="120"/>
  <c r="Z21" i="120"/>
  <c r="Z20" i="120"/>
  <c r="Z19" i="120"/>
  <c r="Z18" i="120"/>
  <c r="Z17" i="120"/>
  <c r="Z16" i="120"/>
  <c r="Z15" i="120"/>
  <c r="Z14" i="120"/>
  <c r="Z13" i="120"/>
  <c r="Z12" i="120"/>
  <c r="Z11" i="120"/>
  <c r="Z10" i="120"/>
  <c r="H10" i="120"/>
  <c r="E10" i="120"/>
  <c r="Z9" i="120"/>
  <c r="Z8" i="120"/>
  <c r="Z7" i="120"/>
  <c r="AE462" i="119"/>
  <c r="AE461" i="119"/>
  <c r="AE460" i="119"/>
  <c r="AE459" i="119"/>
  <c r="AE458" i="119"/>
  <c r="AE457" i="119"/>
  <c r="AE456" i="119"/>
  <c r="AE455" i="119"/>
  <c r="AE454" i="119"/>
  <c r="AE453" i="119"/>
  <c r="AE452" i="119"/>
  <c r="AE451" i="119"/>
  <c r="AE450" i="119"/>
  <c r="AE449" i="119"/>
  <c r="AE448" i="119"/>
  <c r="AE447" i="119"/>
  <c r="AE446" i="119"/>
  <c r="AE445" i="119"/>
  <c r="AE444" i="119"/>
  <c r="AE443" i="119"/>
  <c r="AE442" i="119"/>
  <c r="K442" i="119"/>
  <c r="H442" i="119"/>
  <c r="E442" i="119"/>
  <c r="AE441" i="119"/>
  <c r="AE440" i="119"/>
  <c r="AE439" i="119"/>
  <c r="AE438" i="119"/>
  <c r="AE437" i="119"/>
  <c r="AE436" i="119"/>
  <c r="AE435" i="119"/>
  <c r="AE434" i="119"/>
  <c r="AE433" i="119"/>
  <c r="AE432" i="119"/>
  <c r="AE431" i="119"/>
  <c r="AE430" i="119"/>
  <c r="AE429" i="119"/>
  <c r="AE428" i="119"/>
  <c r="AE427" i="119"/>
  <c r="AE426" i="119"/>
  <c r="AE425" i="119"/>
  <c r="AE424" i="119"/>
  <c r="AE423" i="119"/>
  <c r="AE422" i="119"/>
  <c r="AE421" i="119"/>
  <c r="AE420" i="119"/>
  <c r="AE419" i="119"/>
  <c r="AE418" i="119"/>
  <c r="K418" i="119"/>
  <c r="H418" i="119"/>
  <c r="AE417" i="119"/>
  <c r="AE416" i="119"/>
  <c r="AE415" i="119"/>
  <c r="AE414" i="119"/>
  <c r="AE413" i="119"/>
  <c r="AE412" i="119"/>
  <c r="AE411" i="119"/>
  <c r="AE410" i="119"/>
  <c r="AE409" i="119"/>
  <c r="AE408" i="119"/>
  <c r="AE407" i="119"/>
  <c r="AE406" i="119"/>
  <c r="AE405" i="119"/>
  <c r="AE404" i="119"/>
  <c r="AE403" i="119"/>
  <c r="AE402" i="119"/>
  <c r="AE401" i="119"/>
  <c r="AE400" i="119"/>
  <c r="AE399" i="119"/>
  <c r="AE398" i="119"/>
  <c r="AE397" i="119"/>
  <c r="AE396" i="119"/>
  <c r="AE395" i="119"/>
  <c r="AE394" i="119"/>
  <c r="K394" i="119"/>
  <c r="AE393" i="119"/>
  <c r="AE392" i="119"/>
  <c r="AE391" i="119"/>
  <c r="AE390" i="119"/>
  <c r="AE389" i="119"/>
  <c r="AE388" i="119"/>
  <c r="AE387" i="119"/>
  <c r="AE386" i="119"/>
  <c r="AE385" i="119"/>
  <c r="AE384" i="119"/>
  <c r="AE383" i="119"/>
  <c r="AE382" i="119"/>
  <c r="AE381" i="119"/>
  <c r="AE380" i="119"/>
  <c r="AE379" i="119"/>
  <c r="AE378" i="119"/>
  <c r="AE377" i="119"/>
  <c r="AE376" i="119"/>
  <c r="AE375" i="119"/>
  <c r="AE374" i="119"/>
  <c r="AE373" i="119"/>
  <c r="AE372" i="119"/>
  <c r="AE371" i="119"/>
  <c r="AE370" i="119"/>
  <c r="K370" i="119"/>
  <c r="H370" i="119"/>
  <c r="E370" i="119"/>
  <c r="AE369" i="119"/>
  <c r="AE368" i="119"/>
  <c r="AE367" i="119"/>
  <c r="AE366" i="119"/>
  <c r="AE365" i="119"/>
  <c r="AE364" i="119"/>
  <c r="AE363" i="119"/>
  <c r="AE362" i="119"/>
  <c r="AE361" i="119"/>
  <c r="AE360" i="119"/>
  <c r="AE359" i="119"/>
  <c r="AE358" i="119"/>
  <c r="AE357" i="119"/>
  <c r="AE356" i="119"/>
  <c r="AE355" i="119"/>
  <c r="AE354" i="119"/>
  <c r="AE353" i="119"/>
  <c r="AE352" i="119"/>
  <c r="AE351" i="119"/>
  <c r="AE350" i="119"/>
  <c r="AE349" i="119"/>
  <c r="AE348" i="119"/>
  <c r="AE347" i="119"/>
  <c r="AE346" i="119"/>
  <c r="K346" i="119"/>
  <c r="H346" i="119"/>
  <c r="AE345" i="119"/>
  <c r="AE344" i="119"/>
  <c r="AE343" i="119"/>
  <c r="AE342" i="119"/>
  <c r="AE341" i="119"/>
  <c r="AE340" i="119"/>
  <c r="AE339" i="119"/>
  <c r="AE338" i="119"/>
  <c r="AE337" i="119"/>
  <c r="AE336" i="119"/>
  <c r="AE335" i="119"/>
  <c r="AE334" i="119"/>
  <c r="AE333" i="119"/>
  <c r="AE332" i="119"/>
  <c r="AE331" i="119"/>
  <c r="AE330" i="119"/>
  <c r="AE329" i="119"/>
  <c r="AE328" i="119"/>
  <c r="AE327" i="119"/>
  <c r="AE326" i="119"/>
  <c r="AE325" i="119"/>
  <c r="AE324" i="119"/>
  <c r="AE323" i="119"/>
  <c r="AE322" i="119"/>
  <c r="K322" i="119"/>
  <c r="AE321" i="119"/>
  <c r="AE320" i="119"/>
  <c r="AE319" i="119"/>
  <c r="AE318" i="119"/>
  <c r="AE317" i="119"/>
  <c r="AE316" i="119"/>
  <c r="AE315" i="119"/>
  <c r="AE314" i="119"/>
  <c r="AE313" i="119"/>
  <c r="AE312" i="119"/>
  <c r="AE311" i="119"/>
  <c r="AE310" i="119"/>
  <c r="AE309" i="119"/>
  <c r="AE308" i="119"/>
  <c r="AE307" i="119"/>
  <c r="AE306" i="119"/>
  <c r="AE305" i="119"/>
  <c r="AE304" i="119"/>
  <c r="AE303" i="119"/>
  <c r="AE302" i="119"/>
  <c r="AE301" i="119"/>
  <c r="AE300" i="119"/>
  <c r="AE299" i="119"/>
  <c r="AE298" i="119"/>
  <c r="K298" i="119"/>
  <c r="H298" i="119"/>
  <c r="AE297" i="119"/>
  <c r="AE296" i="119"/>
  <c r="AE295" i="119"/>
  <c r="AE294" i="119"/>
  <c r="AE293" i="119"/>
  <c r="AE292" i="119"/>
  <c r="AE291" i="119"/>
  <c r="AE290" i="119"/>
  <c r="AE289" i="119"/>
  <c r="AE288" i="119"/>
  <c r="AE287" i="119"/>
  <c r="AE286" i="119"/>
  <c r="AE285" i="119"/>
  <c r="AE284" i="119"/>
  <c r="AE283" i="119"/>
  <c r="AE282" i="119"/>
  <c r="AE281" i="119"/>
  <c r="AE280" i="119"/>
  <c r="AE279" i="119"/>
  <c r="AE278" i="119"/>
  <c r="AE277" i="119"/>
  <c r="AE276" i="119"/>
  <c r="AE275" i="119"/>
  <c r="AE274" i="119"/>
  <c r="K274" i="119"/>
  <c r="AE273" i="119"/>
  <c r="AE272" i="119"/>
  <c r="AE271" i="119"/>
  <c r="AE270" i="119"/>
  <c r="AE269" i="119"/>
  <c r="AE268" i="119"/>
  <c r="AE267" i="119"/>
  <c r="AE266" i="119"/>
  <c r="AE265" i="119"/>
  <c r="AE264" i="119"/>
  <c r="AE263" i="119"/>
  <c r="AE262" i="119"/>
  <c r="AE261" i="119"/>
  <c r="AE260" i="119"/>
  <c r="AE259" i="119"/>
  <c r="AE258" i="119"/>
  <c r="AE257" i="119"/>
  <c r="AE256" i="119"/>
  <c r="AE255" i="119"/>
  <c r="AE254" i="119"/>
  <c r="AE253" i="119"/>
  <c r="AE252" i="119"/>
  <c r="AE251" i="119"/>
  <c r="AE250" i="119"/>
  <c r="K250" i="119"/>
  <c r="AE249" i="119"/>
  <c r="AE248" i="119"/>
  <c r="AE247" i="119"/>
  <c r="AE246" i="119"/>
  <c r="AE245" i="119"/>
  <c r="AE244" i="119"/>
  <c r="AE243" i="119"/>
  <c r="AE242" i="119"/>
  <c r="AE241" i="119"/>
  <c r="AE240" i="119"/>
  <c r="AE239" i="119"/>
  <c r="AE238" i="119"/>
  <c r="AE237" i="119"/>
  <c r="AE236" i="119"/>
  <c r="AE235" i="119"/>
  <c r="AE234" i="119"/>
  <c r="AE233" i="119"/>
  <c r="AE232" i="119"/>
  <c r="AE231" i="119"/>
  <c r="AE230" i="119"/>
  <c r="AE229" i="119"/>
  <c r="AE228" i="119"/>
  <c r="AE227" i="119"/>
  <c r="AE226" i="119"/>
  <c r="K226" i="119"/>
  <c r="H226" i="119"/>
  <c r="E226" i="119"/>
  <c r="AE225" i="119"/>
  <c r="AE224" i="119"/>
  <c r="AE223" i="119"/>
  <c r="AE222" i="119"/>
  <c r="AE221" i="119"/>
  <c r="AE220" i="119"/>
  <c r="AE219" i="119"/>
  <c r="AE218" i="119"/>
  <c r="AE217" i="119"/>
  <c r="AE216" i="119"/>
  <c r="AE215" i="119"/>
  <c r="AE214" i="119"/>
  <c r="AE213" i="119"/>
  <c r="AE212" i="119"/>
  <c r="AE211" i="119"/>
  <c r="AE210" i="119"/>
  <c r="AE209" i="119"/>
  <c r="AE208" i="119"/>
  <c r="AE207" i="119"/>
  <c r="AE206" i="119"/>
  <c r="AE205" i="119"/>
  <c r="AE204" i="119"/>
  <c r="AE203" i="119"/>
  <c r="AE202" i="119"/>
  <c r="K202" i="119"/>
  <c r="AE201" i="119"/>
  <c r="AE200" i="119"/>
  <c r="AE199" i="119"/>
  <c r="AE198" i="119"/>
  <c r="AE197" i="119"/>
  <c r="AE196" i="119"/>
  <c r="AE195" i="119"/>
  <c r="AE194" i="119"/>
  <c r="AE193" i="119"/>
  <c r="AE192" i="119"/>
  <c r="AE191" i="119"/>
  <c r="AE190" i="119"/>
  <c r="AE189" i="119"/>
  <c r="AE188" i="119"/>
  <c r="AE187" i="119"/>
  <c r="AE186" i="119"/>
  <c r="AE185" i="119"/>
  <c r="AE184" i="119"/>
  <c r="AE183" i="119"/>
  <c r="AE182" i="119"/>
  <c r="AE181" i="119"/>
  <c r="AE180" i="119"/>
  <c r="AE179" i="119"/>
  <c r="AE178" i="119"/>
  <c r="K178" i="119"/>
  <c r="H178" i="119"/>
  <c r="AE177" i="119"/>
  <c r="AE176" i="119"/>
  <c r="AE175" i="119"/>
  <c r="AE174" i="119"/>
  <c r="AE173" i="119"/>
  <c r="AE172" i="119"/>
  <c r="AE171" i="119"/>
  <c r="AE170" i="119"/>
  <c r="AE169" i="119"/>
  <c r="AE168" i="119"/>
  <c r="AE167" i="119"/>
  <c r="AE166" i="119"/>
  <c r="AE165" i="119"/>
  <c r="AE164" i="119"/>
  <c r="AE163" i="119"/>
  <c r="AE162" i="119"/>
  <c r="AE161" i="119"/>
  <c r="AE160" i="119"/>
  <c r="AE159" i="119"/>
  <c r="AE158" i="119"/>
  <c r="AE157" i="119"/>
  <c r="AE156" i="119"/>
  <c r="AE155" i="119"/>
  <c r="AE154" i="119"/>
  <c r="K154" i="119"/>
  <c r="AE153" i="119"/>
  <c r="AE152" i="119"/>
  <c r="AE151" i="119"/>
  <c r="AE150" i="119"/>
  <c r="AE149" i="119"/>
  <c r="AE148" i="119"/>
  <c r="AE147" i="119"/>
  <c r="AE146" i="119"/>
  <c r="AE145" i="119"/>
  <c r="AE144" i="119"/>
  <c r="AE143" i="119"/>
  <c r="AE142" i="119"/>
  <c r="AE141" i="119"/>
  <c r="AE140" i="119"/>
  <c r="AE139" i="119"/>
  <c r="AE138" i="119"/>
  <c r="AE137" i="119"/>
  <c r="AE136" i="119"/>
  <c r="AE135" i="119"/>
  <c r="AE134" i="119"/>
  <c r="AE133" i="119"/>
  <c r="AE132" i="119"/>
  <c r="AE131" i="119"/>
  <c r="AE130" i="119"/>
  <c r="K130" i="119"/>
  <c r="AE129" i="119"/>
  <c r="AE128" i="119"/>
  <c r="AE127" i="119"/>
  <c r="AE126" i="119"/>
  <c r="AE125" i="119"/>
  <c r="AE124" i="119"/>
  <c r="AE123" i="119"/>
  <c r="AE122" i="119"/>
  <c r="AE121" i="119"/>
  <c r="AE120" i="119"/>
  <c r="AE119" i="119"/>
  <c r="AE118" i="119"/>
  <c r="AE117" i="119"/>
  <c r="AE116" i="119"/>
  <c r="AE115" i="119"/>
  <c r="AE114" i="119"/>
  <c r="AE113" i="119"/>
  <c r="AE112" i="119"/>
  <c r="AE111" i="119"/>
  <c r="AE110" i="119"/>
  <c r="AE109" i="119"/>
  <c r="AE108" i="119"/>
  <c r="AE107" i="119"/>
  <c r="AE106" i="119"/>
  <c r="K106" i="119"/>
  <c r="H106" i="119"/>
  <c r="AE105" i="119"/>
  <c r="AE104" i="119"/>
  <c r="AE103" i="119"/>
  <c r="AE102" i="119"/>
  <c r="AE101" i="119"/>
  <c r="AE100" i="119"/>
  <c r="AE99" i="119"/>
  <c r="AE98" i="119"/>
  <c r="AE97" i="119"/>
  <c r="AE96" i="119"/>
  <c r="AE95" i="119"/>
  <c r="AE94" i="119"/>
  <c r="AE93" i="119"/>
  <c r="AE92" i="119"/>
  <c r="AE91" i="119"/>
  <c r="AE90" i="119"/>
  <c r="AE89" i="119"/>
  <c r="AE88" i="119"/>
  <c r="AE87" i="119"/>
  <c r="AE86" i="119"/>
  <c r="AE85" i="119"/>
  <c r="AE84" i="119"/>
  <c r="AE83" i="119"/>
  <c r="AE82" i="119"/>
  <c r="K82" i="119"/>
  <c r="AE81" i="119"/>
  <c r="AE80" i="119"/>
  <c r="AE79" i="119"/>
  <c r="AE78" i="119"/>
  <c r="AE77" i="119"/>
  <c r="AE76" i="119"/>
  <c r="AE75" i="119"/>
  <c r="AE74" i="119"/>
  <c r="AE73" i="119"/>
  <c r="AE72" i="119"/>
  <c r="AE71" i="119"/>
  <c r="AE70" i="119"/>
  <c r="AE69" i="119"/>
  <c r="AE68" i="119"/>
  <c r="AE67" i="119"/>
  <c r="AE66" i="119"/>
  <c r="AE65" i="119"/>
  <c r="AE64" i="119"/>
  <c r="AE63" i="119"/>
  <c r="AE62" i="119"/>
  <c r="AE61" i="119"/>
  <c r="AE60" i="119"/>
  <c r="AE59" i="119"/>
  <c r="AE58" i="119"/>
  <c r="K58" i="119"/>
  <c r="AE57" i="119"/>
  <c r="AE56" i="119"/>
  <c r="AE55" i="119"/>
  <c r="AE54" i="119"/>
  <c r="AE53" i="119"/>
  <c r="AE52" i="119"/>
  <c r="AE51" i="119"/>
  <c r="AE50" i="119"/>
  <c r="AE49" i="119"/>
  <c r="AE48" i="119"/>
  <c r="AE47" i="119"/>
  <c r="AE46" i="119"/>
  <c r="AE45" i="119"/>
  <c r="AE44" i="119"/>
  <c r="AE43" i="119"/>
  <c r="AE42" i="119"/>
  <c r="AE41" i="119"/>
  <c r="AE40" i="119"/>
  <c r="AE39" i="119"/>
  <c r="AE38" i="119"/>
  <c r="AE37" i="119"/>
  <c r="AE36" i="119"/>
  <c r="AE35" i="119"/>
  <c r="AE34" i="119"/>
  <c r="K34" i="119"/>
  <c r="AE33" i="119"/>
  <c r="AE32" i="119"/>
  <c r="AE31" i="119"/>
  <c r="AE30" i="119"/>
  <c r="AE29" i="119"/>
  <c r="AE28" i="119"/>
  <c r="AE27" i="119"/>
  <c r="AE26" i="119"/>
  <c r="AE25" i="119"/>
  <c r="AE24" i="119"/>
  <c r="AE23" i="119"/>
  <c r="AE22" i="119"/>
  <c r="AE21" i="119"/>
  <c r="AE20" i="119"/>
  <c r="AE19" i="119"/>
  <c r="AE18" i="119"/>
  <c r="AE17" i="119"/>
  <c r="AE16" i="119"/>
  <c r="AE15" i="119"/>
  <c r="AE14" i="119"/>
  <c r="AE13" i="119"/>
  <c r="AE12" i="119"/>
  <c r="AE11" i="119"/>
  <c r="AE10" i="119"/>
  <c r="K10" i="119"/>
  <c r="H10" i="119"/>
  <c r="E10" i="119"/>
  <c r="AE9" i="119"/>
  <c r="AE8" i="119"/>
  <c r="AE7" i="119"/>
  <c r="Z366" i="118"/>
  <c r="Z365" i="118"/>
  <c r="Z364" i="118"/>
  <c r="Z363" i="118"/>
  <c r="Z362" i="118"/>
  <c r="Z361" i="118"/>
  <c r="Z360" i="118"/>
  <c r="Z359" i="118"/>
  <c r="Z358" i="118"/>
  <c r="Z357" i="118"/>
  <c r="Z356" i="118"/>
  <c r="Z355" i="118"/>
  <c r="Z354" i="118"/>
  <c r="Z353" i="118"/>
  <c r="Z352" i="118"/>
  <c r="Z351" i="118"/>
  <c r="Z350" i="118"/>
  <c r="Z349" i="118"/>
  <c r="Z348" i="118"/>
  <c r="Z347" i="118"/>
  <c r="Z346" i="118"/>
  <c r="H346" i="118"/>
  <c r="Z345" i="118"/>
  <c r="Z344" i="118"/>
  <c r="Z343" i="118"/>
  <c r="Z342" i="118"/>
  <c r="Z341" i="118"/>
  <c r="Z340" i="118"/>
  <c r="Z339" i="118"/>
  <c r="Z338" i="118"/>
  <c r="Z337" i="118"/>
  <c r="Z336" i="118"/>
  <c r="Z335" i="118"/>
  <c r="Z334" i="118"/>
  <c r="Z333" i="118"/>
  <c r="Z332" i="118"/>
  <c r="Z331" i="118"/>
  <c r="Z330" i="118"/>
  <c r="Z329" i="118"/>
  <c r="Z328" i="118"/>
  <c r="Z327" i="118"/>
  <c r="Z326" i="118"/>
  <c r="Z325" i="118"/>
  <c r="Z324" i="118"/>
  <c r="Z323" i="118"/>
  <c r="Z322" i="118"/>
  <c r="H322" i="118"/>
  <c r="Z321" i="118"/>
  <c r="Z320" i="118"/>
  <c r="Z319" i="118"/>
  <c r="Z318" i="118"/>
  <c r="Z317" i="118"/>
  <c r="Z316" i="118"/>
  <c r="Z315" i="118"/>
  <c r="Z314" i="118"/>
  <c r="Z313" i="118"/>
  <c r="Z312" i="118"/>
  <c r="Z311" i="118"/>
  <c r="Z310" i="118"/>
  <c r="Z309" i="118"/>
  <c r="Z308" i="118"/>
  <c r="Z307" i="118"/>
  <c r="Z306" i="118"/>
  <c r="Z305" i="118"/>
  <c r="Z304" i="118"/>
  <c r="Z303" i="118"/>
  <c r="Z302" i="118"/>
  <c r="Z301" i="118"/>
  <c r="Z300" i="118"/>
  <c r="Z299" i="118"/>
  <c r="Z298" i="118"/>
  <c r="H298" i="118"/>
  <c r="Z297" i="118"/>
  <c r="Z296" i="118"/>
  <c r="Z295" i="118"/>
  <c r="Z294" i="118"/>
  <c r="Z293" i="118"/>
  <c r="Z292" i="118"/>
  <c r="Z291" i="118"/>
  <c r="Z290" i="118"/>
  <c r="Z289" i="118"/>
  <c r="Z288" i="118"/>
  <c r="Z287" i="118"/>
  <c r="Z286" i="118"/>
  <c r="Z285" i="118"/>
  <c r="Z284" i="118"/>
  <c r="Z283" i="118"/>
  <c r="Z282" i="118"/>
  <c r="Z281" i="118"/>
  <c r="Z280" i="118"/>
  <c r="Z279" i="118"/>
  <c r="Z278" i="118"/>
  <c r="Z277" i="118"/>
  <c r="Z276" i="118"/>
  <c r="Z275" i="118"/>
  <c r="Z274" i="118"/>
  <c r="H274" i="118"/>
  <c r="Z273" i="118"/>
  <c r="Z272" i="118"/>
  <c r="Z271" i="118"/>
  <c r="Z270" i="118"/>
  <c r="Z269" i="118"/>
  <c r="Z268" i="118"/>
  <c r="Z267" i="118"/>
  <c r="Z266" i="118"/>
  <c r="Z265" i="118"/>
  <c r="Z264" i="118"/>
  <c r="Z263" i="118"/>
  <c r="Z262" i="118"/>
  <c r="Z261" i="118"/>
  <c r="Z260" i="118"/>
  <c r="Z259" i="118"/>
  <c r="Z258" i="118"/>
  <c r="Z257" i="118"/>
  <c r="Z256" i="118"/>
  <c r="Z255" i="118"/>
  <c r="Z254" i="118"/>
  <c r="Z253" i="118"/>
  <c r="Z252" i="118"/>
  <c r="Z251" i="118"/>
  <c r="Z250" i="118"/>
  <c r="H250" i="118"/>
  <c r="Z249" i="118"/>
  <c r="Z248" i="118"/>
  <c r="Z247" i="118"/>
  <c r="Z246" i="118"/>
  <c r="Z245" i="118"/>
  <c r="Z244" i="118"/>
  <c r="Z243" i="118"/>
  <c r="Z242" i="118"/>
  <c r="Z241" i="118"/>
  <c r="Z240" i="118"/>
  <c r="Z239" i="118"/>
  <c r="Z238" i="118"/>
  <c r="Z237" i="118"/>
  <c r="Z236" i="118"/>
  <c r="Z235" i="118"/>
  <c r="Z234" i="118"/>
  <c r="Z233" i="118"/>
  <c r="Z232" i="118"/>
  <c r="Z231" i="118"/>
  <c r="Z230" i="118"/>
  <c r="Z229" i="118"/>
  <c r="Z228" i="118"/>
  <c r="Z227" i="118"/>
  <c r="Z226" i="118"/>
  <c r="H226" i="118"/>
  <c r="Z225" i="118"/>
  <c r="Z224" i="118"/>
  <c r="Z223" i="118"/>
  <c r="Z222" i="118"/>
  <c r="Z221" i="118"/>
  <c r="Z220" i="118"/>
  <c r="Z219" i="118"/>
  <c r="Z218" i="118"/>
  <c r="Z217" i="118"/>
  <c r="Z216" i="118"/>
  <c r="Z215" i="118"/>
  <c r="Z214" i="118"/>
  <c r="Z213" i="118"/>
  <c r="Z212" i="118"/>
  <c r="Z211" i="118"/>
  <c r="Z210" i="118"/>
  <c r="Z209" i="118"/>
  <c r="Z208" i="118"/>
  <c r="Z207" i="118"/>
  <c r="Z206" i="118"/>
  <c r="Z205" i="118"/>
  <c r="Z204" i="118"/>
  <c r="Z203" i="118"/>
  <c r="Z202" i="118"/>
  <c r="H202" i="118"/>
  <c r="Z201" i="118"/>
  <c r="Z200" i="118"/>
  <c r="Z199" i="118"/>
  <c r="Z198" i="118"/>
  <c r="Z197" i="118"/>
  <c r="Z196" i="118"/>
  <c r="Z195" i="118"/>
  <c r="Z194" i="118"/>
  <c r="Z193" i="118"/>
  <c r="Z192" i="118"/>
  <c r="Z191" i="118"/>
  <c r="Z190" i="118"/>
  <c r="Z189" i="118"/>
  <c r="Z188" i="118"/>
  <c r="Z187" i="118"/>
  <c r="Z186" i="118"/>
  <c r="Z185" i="118"/>
  <c r="Z184" i="118"/>
  <c r="Z183" i="118"/>
  <c r="Z182" i="118"/>
  <c r="Z181" i="118"/>
  <c r="Z180" i="118"/>
  <c r="Z179" i="118"/>
  <c r="Z178" i="118"/>
  <c r="H178" i="118"/>
  <c r="Z177" i="118"/>
  <c r="Z176" i="118"/>
  <c r="Z175" i="118"/>
  <c r="Z174" i="118"/>
  <c r="Z173" i="118"/>
  <c r="Z172" i="118"/>
  <c r="Z171" i="118"/>
  <c r="Z170" i="118"/>
  <c r="Z169" i="118"/>
  <c r="Z168" i="118"/>
  <c r="Z167" i="118"/>
  <c r="Z166" i="118"/>
  <c r="Z165" i="118"/>
  <c r="Z164" i="118"/>
  <c r="Z163" i="118"/>
  <c r="Z162" i="118"/>
  <c r="Z161" i="118"/>
  <c r="Z160" i="118"/>
  <c r="Z159" i="118"/>
  <c r="Z158" i="118"/>
  <c r="Z157" i="118"/>
  <c r="Z156" i="118"/>
  <c r="Z155" i="118"/>
  <c r="Z154" i="118"/>
  <c r="H154" i="118"/>
  <c r="Z153" i="118"/>
  <c r="Z152" i="118"/>
  <c r="Z151" i="118"/>
  <c r="Z150" i="118"/>
  <c r="Z149" i="118"/>
  <c r="Z148" i="118"/>
  <c r="Z147" i="118"/>
  <c r="Z146" i="118"/>
  <c r="Z145" i="118"/>
  <c r="Z144" i="118"/>
  <c r="Z143" i="118"/>
  <c r="Z142" i="118"/>
  <c r="Z141" i="118"/>
  <c r="Z140" i="118"/>
  <c r="Z139" i="118"/>
  <c r="Z138" i="118"/>
  <c r="Z137" i="118"/>
  <c r="Z136" i="118"/>
  <c r="Z135" i="118"/>
  <c r="Z134" i="118"/>
  <c r="Z133" i="118"/>
  <c r="Z132" i="118"/>
  <c r="Z131" i="118"/>
  <c r="Z130" i="118"/>
  <c r="H130" i="118"/>
  <c r="Z129" i="118"/>
  <c r="Z128" i="118"/>
  <c r="Z127" i="118"/>
  <c r="Z126" i="118"/>
  <c r="Z125" i="118"/>
  <c r="Z124" i="118"/>
  <c r="Z123" i="118"/>
  <c r="Z122" i="118"/>
  <c r="Z121" i="118"/>
  <c r="Z120" i="118"/>
  <c r="Z119" i="118"/>
  <c r="Z118" i="118"/>
  <c r="Z117" i="118"/>
  <c r="Z116" i="118"/>
  <c r="Z115" i="118"/>
  <c r="Z114" i="118"/>
  <c r="Z113" i="118"/>
  <c r="Z112" i="118"/>
  <c r="Z111" i="118"/>
  <c r="Z110" i="118"/>
  <c r="Z109" i="118"/>
  <c r="Z108" i="118"/>
  <c r="Z107" i="118"/>
  <c r="Z106" i="118"/>
  <c r="H106" i="118"/>
  <c r="Z105" i="118"/>
  <c r="Z104" i="118"/>
  <c r="Z103" i="118"/>
  <c r="Z102" i="118"/>
  <c r="Z101" i="118"/>
  <c r="Z100" i="118"/>
  <c r="Z99" i="118"/>
  <c r="Z98" i="118"/>
  <c r="Z97" i="118"/>
  <c r="Z96" i="118"/>
  <c r="Z95" i="118"/>
  <c r="Z94" i="118"/>
  <c r="Z93" i="118"/>
  <c r="Z92" i="118"/>
  <c r="Z91" i="118"/>
  <c r="Z90" i="118"/>
  <c r="Z89" i="118"/>
  <c r="Z88" i="118"/>
  <c r="Z87" i="118"/>
  <c r="Z86" i="118"/>
  <c r="Z85" i="118"/>
  <c r="Z84" i="118"/>
  <c r="Z83" i="118"/>
  <c r="Z82" i="118"/>
  <c r="H82" i="118"/>
  <c r="Z81" i="118"/>
  <c r="Z80" i="118"/>
  <c r="Z79" i="118"/>
  <c r="Z78" i="118"/>
  <c r="Z77" i="118"/>
  <c r="Z76" i="118"/>
  <c r="Z75" i="118"/>
  <c r="Z74" i="118"/>
  <c r="Z73" i="118"/>
  <c r="Z72" i="118"/>
  <c r="Z71" i="118"/>
  <c r="Z70" i="118"/>
  <c r="Z69" i="118"/>
  <c r="Z68" i="118"/>
  <c r="Z67" i="118"/>
  <c r="Z66" i="118"/>
  <c r="Z65" i="118"/>
  <c r="Z64" i="118"/>
  <c r="Z63" i="118"/>
  <c r="Z62" i="118"/>
  <c r="Z61" i="118"/>
  <c r="Z60" i="118"/>
  <c r="Z59" i="118"/>
  <c r="Z58" i="118"/>
  <c r="H58" i="118"/>
  <c r="Z57" i="118"/>
  <c r="Z56" i="118"/>
  <c r="Z55" i="118"/>
  <c r="Z54" i="118"/>
  <c r="Z53" i="118"/>
  <c r="Z52" i="118"/>
  <c r="Z51" i="118"/>
  <c r="Z50" i="118"/>
  <c r="Z49" i="118"/>
  <c r="Z48" i="118"/>
  <c r="Z47" i="118"/>
  <c r="Z46" i="118"/>
  <c r="Z45" i="118"/>
  <c r="Z44" i="118"/>
  <c r="Z43" i="118"/>
  <c r="Z42" i="118"/>
  <c r="Z41" i="118"/>
  <c r="Z40" i="118"/>
  <c r="Z39" i="118"/>
  <c r="Z38" i="118"/>
  <c r="Z37" i="118"/>
  <c r="Z36" i="118"/>
  <c r="Z35" i="118"/>
  <c r="Z34" i="118"/>
  <c r="H34" i="118"/>
  <c r="Z33" i="118"/>
  <c r="Z32" i="118"/>
  <c r="Z31" i="118"/>
  <c r="Z30" i="118"/>
  <c r="Z29" i="118"/>
  <c r="Z28" i="118"/>
  <c r="Z27" i="118"/>
  <c r="Z26" i="118"/>
  <c r="Z25" i="118"/>
  <c r="Z24" i="118"/>
  <c r="Z23" i="118"/>
  <c r="Z22" i="118"/>
  <c r="Z21" i="118"/>
  <c r="Z20" i="118"/>
  <c r="Z19" i="118"/>
  <c r="Z18" i="118"/>
  <c r="Z17" i="118"/>
  <c r="Z16" i="118"/>
  <c r="Z15" i="118"/>
  <c r="Z14" i="118"/>
  <c r="Z13" i="118"/>
  <c r="Z12" i="118"/>
  <c r="Z11" i="118"/>
  <c r="Z10" i="118"/>
  <c r="H10" i="118"/>
  <c r="Z9" i="118"/>
  <c r="Z8" i="118"/>
  <c r="Z7" i="118"/>
  <c r="AB366" i="117"/>
  <c r="AB365" i="117"/>
  <c r="AB364" i="117"/>
  <c r="AB363" i="117"/>
  <c r="AB362" i="117"/>
  <c r="AB361" i="117"/>
  <c r="AB360" i="117"/>
  <c r="AB359" i="117"/>
  <c r="AB358" i="117"/>
  <c r="AB357" i="117"/>
  <c r="AB356" i="117"/>
  <c r="AB355" i="117"/>
  <c r="AB354" i="117"/>
  <c r="AB353" i="117"/>
  <c r="AB352" i="117"/>
  <c r="AB351" i="117"/>
  <c r="AB350" i="117"/>
  <c r="AB349" i="117"/>
  <c r="AB348" i="117"/>
  <c r="AB347" i="117"/>
  <c r="AB346" i="117"/>
  <c r="H346" i="117"/>
  <c r="E346" i="117"/>
  <c r="AB345" i="117"/>
  <c r="AB344" i="117"/>
  <c r="AB343" i="117"/>
  <c r="AB342" i="117"/>
  <c r="AB341" i="117"/>
  <c r="AB340" i="117"/>
  <c r="AB339" i="117"/>
  <c r="AB338" i="117"/>
  <c r="AB337" i="117"/>
  <c r="AB336" i="117"/>
  <c r="AB335" i="117"/>
  <c r="AB334" i="117"/>
  <c r="AB333" i="117"/>
  <c r="AB332" i="117"/>
  <c r="AB331" i="117"/>
  <c r="AB330" i="117"/>
  <c r="AB329" i="117"/>
  <c r="AB328" i="117"/>
  <c r="AB327" i="117"/>
  <c r="AB326" i="117"/>
  <c r="AB325" i="117"/>
  <c r="AB324" i="117"/>
  <c r="AB323" i="117"/>
  <c r="AB322" i="117"/>
  <c r="H322" i="117"/>
  <c r="AB321" i="117"/>
  <c r="AB320" i="117"/>
  <c r="AB319" i="117"/>
  <c r="AB318" i="117"/>
  <c r="AB317" i="117"/>
  <c r="AB316" i="117"/>
  <c r="AB315" i="117"/>
  <c r="AB314" i="117"/>
  <c r="AB313" i="117"/>
  <c r="AB312" i="117"/>
  <c r="AB311" i="117"/>
  <c r="AB310" i="117"/>
  <c r="AB309" i="117"/>
  <c r="AB308" i="117"/>
  <c r="AB307" i="117"/>
  <c r="AB306" i="117"/>
  <c r="AB305" i="117"/>
  <c r="AB304" i="117"/>
  <c r="AB303" i="117"/>
  <c r="AB302" i="117"/>
  <c r="AB301" i="117"/>
  <c r="AB300" i="117"/>
  <c r="AB299" i="117"/>
  <c r="AB298" i="117"/>
  <c r="H298" i="117"/>
  <c r="E298" i="117"/>
  <c r="AB297" i="117"/>
  <c r="AB296" i="117"/>
  <c r="AB295" i="117"/>
  <c r="AB294" i="117"/>
  <c r="AB293" i="117"/>
  <c r="AB292" i="117"/>
  <c r="AB291" i="117"/>
  <c r="AB290" i="117"/>
  <c r="AB289" i="117"/>
  <c r="AB288" i="117"/>
  <c r="AB287" i="117"/>
  <c r="AB286" i="117"/>
  <c r="AB285" i="117"/>
  <c r="AB284" i="117"/>
  <c r="AB283" i="117"/>
  <c r="AB282" i="117"/>
  <c r="AB281" i="117"/>
  <c r="AB280" i="117"/>
  <c r="AB279" i="117"/>
  <c r="AB278" i="117"/>
  <c r="AB277" i="117"/>
  <c r="AB276" i="117"/>
  <c r="AB275" i="117"/>
  <c r="AB274" i="117"/>
  <c r="H274" i="117"/>
  <c r="AB273" i="117"/>
  <c r="AB272" i="117"/>
  <c r="AB271" i="117"/>
  <c r="AB270" i="117"/>
  <c r="AB269" i="117"/>
  <c r="AB268" i="117"/>
  <c r="AB267" i="117"/>
  <c r="AB266" i="117"/>
  <c r="AB265" i="117"/>
  <c r="AB264" i="117"/>
  <c r="AB263" i="117"/>
  <c r="AB262" i="117"/>
  <c r="AB261" i="117"/>
  <c r="AB260" i="117"/>
  <c r="AB259" i="117"/>
  <c r="AB258" i="117"/>
  <c r="AB257" i="117"/>
  <c r="AB256" i="117"/>
  <c r="AB255" i="117"/>
  <c r="AB254" i="117"/>
  <c r="AB253" i="117"/>
  <c r="AB252" i="117"/>
  <c r="AB251" i="117"/>
  <c r="AB250" i="117"/>
  <c r="H250" i="117"/>
  <c r="AB249" i="117"/>
  <c r="AB248" i="117"/>
  <c r="AB247" i="117"/>
  <c r="AB246" i="117"/>
  <c r="AB245" i="117"/>
  <c r="AB244" i="117"/>
  <c r="AB243" i="117"/>
  <c r="AB242" i="117"/>
  <c r="AB241" i="117"/>
  <c r="AB240" i="117"/>
  <c r="AB239" i="117"/>
  <c r="AB238" i="117"/>
  <c r="AB237" i="117"/>
  <c r="AB236" i="117"/>
  <c r="AB235" i="117"/>
  <c r="AB234" i="117"/>
  <c r="AB233" i="117"/>
  <c r="AB232" i="117"/>
  <c r="AB231" i="117"/>
  <c r="AB230" i="117"/>
  <c r="AB229" i="117"/>
  <c r="AB228" i="117"/>
  <c r="AB227" i="117"/>
  <c r="AB226" i="117"/>
  <c r="H226" i="117"/>
  <c r="E226" i="117"/>
  <c r="AB225" i="117"/>
  <c r="AB224" i="117"/>
  <c r="AB223" i="117"/>
  <c r="AB222" i="117"/>
  <c r="AB221" i="117"/>
  <c r="AB220" i="117"/>
  <c r="AB219" i="117"/>
  <c r="AB218" i="117"/>
  <c r="AB217" i="117"/>
  <c r="AB216" i="117"/>
  <c r="AB215" i="117"/>
  <c r="AB214" i="117"/>
  <c r="AB213" i="117"/>
  <c r="AB212" i="117"/>
  <c r="AB211" i="117"/>
  <c r="AB210" i="117"/>
  <c r="AB209" i="117"/>
  <c r="AB208" i="117"/>
  <c r="AB207" i="117"/>
  <c r="AB206" i="117"/>
  <c r="AB205" i="117"/>
  <c r="AB204" i="117"/>
  <c r="AB203" i="117"/>
  <c r="AB202" i="117"/>
  <c r="H202" i="117"/>
  <c r="AB201" i="117"/>
  <c r="AB200" i="117"/>
  <c r="AB199" i="117"/>
  <c r="AB198" i="117"/>
  <c r="AB197" i="117"/>
  <c r="AB196" i="117"/>
  <c r="AB195" i="117"/>
  <c r="AB194" i="117"/>
  <c r="AB193" i="117"/>
  <c r="AB192" i="117"/>
  <c r="AB191" i="117"/>
  <c r="AB190" i="117"/>
  <c r="AB189" i="117"/>
  <c r="AB188" i="117"/>
  <c r="AB187" i="117"/>
  <c r="AB186" i="117"/>
  <c r="AB185" i="117"/>
  <c r="AB184" i="117"/>
  <c r="AB183" i="117"/>
  <c r="AB182" i="117"/>
  <c r="AB181" i="117"/>
  <c r="AB180" i="117"/>
  <c r="AB179" i="117"/>
  <c r="AB178" i="117"/>
  <c r="H178" i="117"/>
  <c r="AB177" i="117"/>
  <c r="AB176" i="117"/>
  <c r="AB175" i="117"/>
  <c r="AB174" i="117"/>
  <c r="AB173" i="117"/>
  <c r="AB172" i="117"/>
  <c r="AB171" i="117"/>
  <c r="AB170" i="117"/>
  <c r="AB169" i="117"/>
  <c r="AB168" i="117"/>
  <c r="AB167" i="117"/>
  <c r="AB166" i="117"/>
  <c r="AB165" i="117"/>
  <c r="AB164" i="117"/>
  <c r="AB163" i="117"/>
  <c r="AB162" i="117"/>
  <c r="AB161" i="117"/>
  <c r="AB160" i="117"/>
  <c r="AB159" i="117"/>
  <c r="AB158" i="117"/>
  <c r="AB157" i="117"/>
  <c r="AB156" i="117"/>
  <c r="AB155" i="117"/>
  <c r="AB154" i="117"/>
  <c r="H154" i="117"/>
  <c r="AB153" i="117"/>
  <c r="AB152" i="117"/>
  <c r="AB151" i="117"/>
  <c r="AB150" i="117"/>
  <c r="AB149" i="117"/>
  <c r="AB148" i="117"/>
  <c r="AB147" i="117"/>
  <c r="AB146" i="117"/>
  <c r="AB145" i="117"/>
  <c r="AB144" i="117"/>
  <c r="AB143" i="117"/>
  <c r="AB142" i="117"/>
  <c r="AB141" i="117"/>
  <c r="AB140" i="117"/>
  <c r="AB139" i="117"/>
  <c r="AB138" i="117"/>
  <c r="AB137" i="117"/>
  <c r="AB136" i="117"/>
  <c r="AB135" i="117"/>
  <c r="AB134" i="117"/>
  <c r="AB133" i="117"/>
  <c r="AB132" i="117"/>
  <c r="AB131" i="117"/>
  <c r="AB130" i="117"/>
  <c r="H130" i="117"/>
  <c r="E130" i="117"/>
  <c r="AB129" i="117"/>
  <c r="AB128" i="117"/>
  <c r="AB127" i="117"/>
  <c r="AB126" i="117"/>
  <c r="AB125" i="117"/>
  <c r="AB124" i="117"/>
  <c r="AB123" i="117"/>
  <c r="AB122" i="117"/>
  <c r="AB121" i="117"/>
  <c r="AB120" i="117"/>
  <c r="AB119" i="117"/>
  <c r="AB118" i="117"/>
  <c r="AB117" i="117"/>
  <c r="AB116" i="117"/>
  <c r="AB115" i="117"/>
  <c r="AB114" i="117"/>
  <c r="AB113" i="117"/>
  <c r="AB112" i="117"/>
  <c r="AB111" i="117"/>
  <c r="AB110" i="117"/>
  <c r="AB109" i="117"/>
  <c r="AB108" i="117"/>
  <c r="AB107" i="117"/>
  <c r="AB106" i="117"/>
  <c r="H106" i="117"/>
  <c r="AB105" i="117"/>
  <c r="AB104" i="117"/>
  <c r="AB103" i="117"/>
  <c r="AB102" i="117"/>
  <c r="AB101" i="117"/>
  <c r="AB100" i="117"/>
  <c r="AB99" i="117"/>
  <c r="AB98" i="117"/>
  <c r="AB97" i="117"/>
  <c r="AB96" i="117"/>
  <c r="AB95" i="117"/>
  <c r="AB94" i="117"/>
  <c r="AB93" i="117"/>
  <c r="AB92" i="117"/>
  <c r="AB91" i="117"/>
  <c r="AB90" i="117"/>
  <c r="AB89" i="117"/>
  <c r="AB88" i="117"/>
  <c r="AB87" i="117"/>
  <c r="AB86" i="117"/>
  <c r="AB85" i="117"/>
  <c r="AB84" i="117"/>
  <c r="AB83" i="117"/>
  <c r="AB82" i="117"/>
  <c r="H82" i="117"/>
  <c r="AB81" i="117"/>
  <c r="AB80" i="117"/>
  <c r="AB79" i="117"/>
  <c r="AB78" i="117"/>
  <c r="AB77" i="117"/>
  <c r="AB76" i="117"/>
  <c r="AB75" i="117"/>
  <c r="AB74" i="117"/>
  <c r="AB73" i="117"/>
  <c r="AB72" i="117"/>
  <c r="AB71" i="117"/>
  <c r="AB70" i="117"/>
  <c r="AB69" i="117"/>
  <c r="AB68" i="117"/>
  <c r="AB67" i="117"/>
  <c r="AB66" i="117"/>
  <c r="AB65" i="117"/>
  <c r="AB64" i="117"/>
  <c r="AB63" i="117"/>
  <c r="AB62" i="117"/>
  <c r="AB61" i="117"/>
  <c r="AB60" i="117"/>
  <c r="AB59" i="117"/>
  <c r="AB58" i="117"/>
  <c r="H58" i="117"/>
  <c r="AB57" i="117"/>
  <c r="AB56" i="117"/>
  <c r="AB55" i="117"/>
  <c r="AB54" i="117"/>
  <c r="AB53" i="117"/>
  <c r="AB52" i="117"/>
  <c r="AB51" i="117"/>
  <c r="AB50" i="117"/>
  <c r="AB49" i="117"/>
  <c r="AB48" i="117"/>
  <c r="AB47" i="117"/>
  <c r="AB46" i="117"/>
  <c r="AB45" i="117"/>
  <c r="AB44" i="117"/>
  <c r="AB43" i="117"/>
  <c r="AB42" i="117"/>
  <c r="AB41" i="117"/>
  <c r="AB40" i="117"/>
  <c r="AB39" i="117"/>
  <c r="AB38" i="117"/>
  <c r="AB37" i="117"/>
  <c r="AB36" i="117"/>
  <c r="AB35" i="117"/>
  <c r="AB34" i="117"/>
  <c r="H34" i="117"/>
  <c r="AB33" i="117"/>
  <c r="AB32" i="117"/>
  <c r="AB31" i="117"/>
  <c r="AB30" i="117"/>
  <c r="AB29" i="117"/>
  <c r="AB28" i="117"/>
  <c r="AB27" i="117"/>
  <c r="AB26" i="117"/>
  <c r="AB25" i="117"/>
  <c r="AB24" i="117"/>
  <c r="AB23" i="117"/>
  <c r="AB22" i="117"/>
  <c r="AB21" i="117"/>
  <c r="AB20" i="117"/>
  <c r="AB19" i="117"/>
  <c r="AB18" i="117"/>
  <c r="AB17" i="117"/>
  <c r="AB16" i="117"/>
  <c r="AB15" i="117"/>
  <c r="AB14" i="117"/>
  <c r="AB13" i="117"/>
  <c r="AB12" i="117"/>
  <c r="AB11" i="117"/>
  <c r="AB10" i="117"/>
  <c r="H10" i="117"/>
  <c r="E10" i="117"/>
  <c r="AB9" i="117"/>
  <c r="AB8" i="117"/>
  <c r="AB7" i="117"/>
  <c r="AE395" i="116"/>
  <c r="AE394" i="116"/>
  <c r="AE393" i="116"/>
  <c r="AE392" i="116"/>
  <c r="AE391" i="116"/>
  <c r="AE390" i="116"/>
  <c r="AE389" i="116"/>
  <c r="AE388" i="116"/>
  <c r="AE387" i="116"/>
  <c r="AE386" i="116"/>
  <c r="AE385" i="116"/>
  <c r="AE384" i="116"/>
  <c r="AE383" i="116"/>
  <c r="AE382" i="116"/>
  <c r="AE381" i="116"/>
  <c r="AE380" i="116"/>
  <c r="AE379" i="116"/>
  <c r="AE378" i="116"/>
  <c r="AE377" i="116"/>
  <c r="AE376" i="116"/>
  <c r="AE375" i="116"/>
  <c r="K375" i="116"/>
  <c r="H375" i="116"/>
  <c r="E375" i="116"/>
  <c r="AE374" i="116"/>
  <c r="AE373" i="116"/>
  <c r="AE372" i="116"/>
  <c r="AE366" i="116"/>
  <c r="AE365" i="116"/>
  <c r="AE364" i="116"/>
  <c r="AE363" i="116"/>
  <c r="AE362" i="116"/>
  <c r="AE361" i="116"/>
  <c r="AE360" i="116"/>
  <c r="AE359" i="116"/>
  <c r="AE358" i="116"/>
  <c r="AE357" i="116"/>
  <c r="AE356" i="116"/>
  <c r="AE355" i="116"/>
  <c r="AE354" i="116"/>
  <c r="AE353" i="116"/>
  <c r="AE352" i="116"/>
  <c r="AE351" i="116"/>
  <c r="AE350" i="116"/>
  <c r="AE349" i="116"/>
  <c r="AE348" i="116"/>
  <c r="AE347" i="116"/>
  <c r="AE346" i="116"/>
  <c r="H346" i="116"/>
  <c r="E346" i="116"/>
  <c r="AE345" i="116"/>
  <c r="AE344" i="116"/>
  <c r="AE343" i="116"/>
  <c r="AE342" i="116"/>
  <c r="AE341" i="116"/>
  <c r="AE340" i="116"/>
  <c r="AE339" i="116"/>
  <c r="AE338" i="116"/>
  <c r="AE337" i="116"/>
  <c r="AE336" i="116"/>
  <c r="AE335" i="116"/>
  <c r="AE334" i="116"/>
  <c r="AE333" i="116"/>
  <c r="AE332" i="116"/>
  <c r="AE331" i="116"/>
  <c r="AE330" i="116"/>
  <c r="AE329" i="116"/>
  <c r="AE328" i="116"/>
  <c r="AE327" i="116"/>
  <c r="AE326" i="116"/>
  <c r="AE325" i="116"/>
  <c r="AE324" i="116"/>
  <c r="AE323" i="116"/>
  <c r="AE322" i="116"/>
  <c r="H322" i="116"/>
  <c r="AE321" i="116"/>
  <c r="AE320" i="116"/>
  <c r="AE319" i="116"/>
  <c r="AE318" i="116"/>
  <c r="AE317" i="116"/>
  <c r="AE316" i="116"/>
  <c r="AE315" i="116"/>
  <c r="AE314" i="116"/>
  <c r="AE313" i="116"/>
  <c r="AE312" i="116"/>
  <c r="AE311" i="116"/>
  <c r="AE310" i="116"/>
  <c r="AE309" i="116"/>
  <c r="AE308" i="116"/>
  <c r="AE307" i="116"/>
  <c r="AE306" i="116"/>
  <c r="AE305" i="116"/>
  <c r="AE304" i="116"/>
  <c r="AE303" i="116"/>
  <c r="AE302" i="116"/>
  <c r="AE301" i="116"/>
  <c r="AE300" i="116"/>
  <c r="AE299" i="116"/>
  <c r="AE298" i="116"/>
  <c r="H298" i="116"/>
  <c r="E298" i="116"/>
  <c r="AE297" i="116"/>
  <c r="AE296" i="116"/>
  <c r="AE295" i="116"/>
  <c r="AE294" i="116"/>
  <c r="AE293" i="116"/>
  <c r="AE292" i="116"/>
  <c r="AE291" i="116"/>
  <c r="AE290" i="116"/>
  <c r="AE289" i="116"/>
  <c r="AE288" i="116"/>
  <c r="AE287" i="116"/>
  <c r="AE286" i="116"/>
  <c r="AE285" i="116"/>
  <c r="AE284" i="116"/>
  <c r="AE283" i="116"/>
  <c r="AE282" i="116"/>
  <c r="AE281" i="116"/>
  <c r="AE280" i="116"/>
  <c r="AE279" i="116"/>
  <c r="AE278" i="116"/>
  <c r="AE277" i="116"/>
  <c r="AE276" i="116"/>
  <c r="AE275" i="116"/>
  <c r="AE274" i="116"/>
  <c r="H274" i="116"/>
  <c r="AE273" i="116"/>
  <c r="AE272" i="116"/>
  <c r="AE271" i="116"/>
  <c r="AE270" i="116"/>
  <c r="AE269" i="116"/>
  <c r="AE268" i="116"/>
  <c r="AE267" i="116"/>
  <c r="AE266" i="116"/>
  <c r="AE265" i="116"/>
  <c r="AE264" i="116"/>
  <c r="AE263" i="116"/>
  <c r="AE262" i="116"/>
  <c r="AE261" i="116"/>
  <c r="AE260" i="116"/>
  <c r="AE259" i="116"/>
  <c r="AE258" i="116"/>
  <c r="AE257" i="116"/>
  <c r="AE256" i="116"/>
  <c r="AE255" i="116"/>
  <c r="AE254" i="116"/>
  <c r="AE253" i="116"/>
  <c r="AE252" i="116"/>
  <c r="AE251" i="116"/>
  <c r="AE250" i="116"/>
  <c r="H250" i="116"/>
  <c r="AE249" i="116"/>
  <c r="AE248" i="116"/>
  <c r="AE247" i="116"/>
  <c r="AE246" i="116"/>
  <c r="AE245" i="116"/>
  <c r="AE244" i="116"/>
  <c r="AE243" i="116"/>
  <c r="AE242" i="116"/>
  <c r="AE241" i="116"/>
  <c r="AE240" i="116"/>
  <c r="AE239" i="116"/>
  <c r="AE238" i="116"/>
  <c r="AE237" i="116"/>
  <c r="AE236" i="116"/>
  <c r="AE235" i="116"/>
  <c r="AE234" i="116"/>
  <c r="AE233" i="116"/>
  <c r="AE232" i="116"/>
  <c r="AE231" i="116"/>
  <c r="AE230" i="116"/>
  <c r="AE229" i="116"/>
  <c r="AE228" i="116"/>
  <c r="AE227" i="116"/>
  <c r="AE226" i="116"/>
  <c r="H226" i="116"/>
  <c r="E226" i="116"/>
  <c r="AE225" i="116"/>
  <c r="AE224" i="116"/>
  <c r="AE223" i="116"/>
  <c r="AE222" i="116"/>
  <c r="AE221" i="116"/>
  <c r="AE220" i="116"/>
  <c r="AE219" i="116"/>
  <c r="AE218" i="116"/>
  <c r="AE217" i="116"/>
  <c r="AE216" i="116"/>
  <c r="AE215" i="116"/>
  <c r="AE214" i="116"/>
  <c r="AE213" i="116"/>
  <c r="AE212" i="116"/>
  <c r="AE211" i="116"/>
  <c r="AE210" i="116"/>
  <c r="AE209" i="116"/>
  <c r="AE208" i="116"/>
  <c r="AE207" i="116"/>
  <c r="AE206" i="116"/>
  <c r="AE205" i="116"/>
  <c r="AE204" i="116"/>
  <c r="AE203" i="116"/>
  <c r="AE202" i="116"/>
  <c r="H202" i="116"/>
  <c r="AE201" i="116"/>
  <c r="AE200" i="116"/>
  <c r="AE199" i="116"/>
  <c r="AE198" i="116"/>
  <c r="AE197" i="116"/>
  <c r="AE196" i="116"/>
  <c r="AE195" i="116"/>
  <c r="AE194" i="116"/>
  <c r="AE193" i="116"/>
  <c r="AE192" i="116"/>
  <c r="AE191" i="116"/>
  <c r="AE190" i="116"/>
  <c r="AE189" i="116"/>
  <c r="AE188" i="116"/>
  <c r="AE187" i="116"/>
  <c r="AE186" i="116"/>
  <c r="AE185" i="116"/>
  <c r="AE184" i="116"/>
  <c r="AE183" i="116"/>
  <c r="AE182" i="116"/>
  <c r="AE181" i="116"/>
  <c r="AE180" i="116"/>
  <c r="AE179" i="116"/>
  <c r="AE178" i="116"/>
  <c r="H178" i="116"/>
  <c r="AE177" i="116"/>
  <c r="AE176" i="116"/>
  <c r="AE175" i="116"/>
  <c r="AE174" i="116"/>
  <c r="AE173" i="116"/>
  <c r="AE172" i="116"/>
  <c r="AE171" i="116"/>
  <c r="AE170" i="116"/>
  <c r="AE169" i="116"/>
  <c r="AE168" i="116"/>
  <c r="AE167" i="116"/>
  <c r="AE166" i="116"/>
  <c r="AE165" i="116"/>
  <c r="AE164" i="116"/>
  <c r="AE163" i="116"/>
  <c r="AE162" i="116"/>
  <c r="AE161" i="116"/>
  <c r="AE160" i="116"/>
  <c r="AE159" i="116"/>
  <c r="AE158" i="116"/>
  <c r="AE157" i="116"/>
  <c r="AE156" i="116"/>
  <c r="AE155" i="116"/>
  <c r="AE154" i="116"/>
  <c r="H154" i="116"/>
  <c r="AE153" i="116"/>
  <c r="AE152" i="116"/>
  <c r="AE151" i="116"/>
  <c r="AE150" i="116"/>
  <c r="AE149" i="116"/>
  <c r="AE148" i="116"/>
  <c r="AE147" i="116"/>
  <c r="AE146" i="116"/>
  <c r="AE145" i="116"/>
  <c r="AE144" i="116"/>
  <c r="AE143" i="116"/>
  <c r="AE142" i="116"/>
  <c r="AE141" i="116"/>
  <c r="AE140" i="116"/>
  <c r="AE139" i="116"/>
  <c r="AE138" i="116"/>
  <c r="AE137" i="116"/>
  <c r="AE136" i="116"/>
  <c r="AE135" i="116"/>
  <c r="AE134" i="116"/>
  <c r="AE133" i="116"/>
  <c r="AE132" i="116"/>
  <c r="AE131" i="116"/>
  <c r="AE130" i="116"/>
  <c r="H130" i="116"/>
  <c r="E130" i="116"/>
  <c r="AE129" i="116"/>
  <c r="AE128" i="116"/>
  <c r="AE127" i="116"/>
  <c r="AE126" i="116"/>
  <c r="AE125" i="116"/>
  <c r="AE124" i="116"/>
  <c r="AE123" i="116"/>
  <c r="AE122" i="116"/>
  <c r="AE121" i="116"/>
  <c r="AE120" i="116"/>
  <c r="AE119" i="116"/>
  <c r="AE118" i="116"/>
  <c r="AE117" i="116"/>
  <c r="AE116" i="116"/>
  <c r="AE115" i="116"/>
  <c r="AE114" i="116"/>
  <c r="AE113" i="116"/>
  <c r="AE112" i="116"/>
  <c r="AE111" i="116"/>
  <c r="AE110" i="116"/>
  <c r="AE109" i="116"/>
  <c r="AE108" i="116"/>
  <c r="AE107" i="116"/>
  <c r="AE106" i="116"/>
  <c r="H106" i="116"/>
  <c r="AE105" i="116"/>
  <c r="AE104" i="116"/>
  <c r="AE103" i="116"/>
  <c r="AE102" i="116"/>
  <c r="AE101" i="116"/>
  <c r="AE100" i="116"/>
  <c r="AE99" i="116"/>
  <c r="AE98" i="116"/>
  <c r="AE97" i="116"/>
  <c r="AE96" i="116"/>
  <c r="AE95" i="116"/>
  <c r="AE94" i="116"/>
  <c r="AE93" i="116"/>
  <c r="AE92" i="116"/>
  <c r="AE91" i="116"/>
  <c r="AE90" i="116"/>
  <c r="AE89" i="116"/>
  <c r="AE88" i="116"/>
  <c r="AE87" i="116"/>
  <c r="AE86" i="116"/>
  <c r="AE85" i="116"/>
  <c r="AE84" i="116"/>
  <c r="AE83" i="116"/>
  <c r="AE82" i="116"/>
  <c r="H82" i="116"/>
  <c r="AE81" i="116"/>
  <c r="AE80" i="116"/>
  <c r="AE79" i="116"/>
  <c r="AE78" i="116"/>
  <c r="AE77" i="116"/>
  <c r="AE76" i="116"/>
  <c r="AE75" i="116"/>
  <c r="AE74" i="116"/>
  <c r="AE73" i="116"/>
  <c r="AE72" i="116"/>
  <c r="AE71" i="116"/>
  <c r="AE70" i="116"/>
  <c r="AE69" i="116"/>
  <c r="AE68" i="116"/>
  <c r="AE67" i="116"/>
  <c r="AE66" i="116"/>
  <c r="AE65" i="116"/>
  <c r="AE64" i="116"/>
  <c r="AE63" i="116"/>
  <c r="AE62" i="116"/>
  <c r="AE61" i="116"/>
  <c r="AE60" i="116"/>
  <c r="AE59" i="116"/>
  <c r="AE58" i="116"/>
  <c r="H58" i="116"/>
  <c r="AE57" i="116"/>
  <c r="AE56" i="116"/>
  <c r="AE55" i="116"/>
  <c r="AE54" i="116"/>
  <c r="AE53" i="116"/>
  <c r="AE52" i="116"/>
  <c r="AE51" i="116"/>
  <c r="AE50" i="116"/>
  <c r="AE49" i="116"/>
  <c r="AE48" i="116"/>
  <c r="AE47" i="116"/>
  <c r="AE46" i="116"/>
  <c r="AE45" i="116"/>
  <c r="AE44" i="116"/>
  <c r="AE43" i="116"/>
  <c r="AE42" i="116"/>
  <c r="AE41" i="116"/>
  <c r="AE40" i="116"/>
  <c r="AE39" i="116"/>
  <c r="AE38" i="116"/>
  <c r="AE37" i="116"/>
  <c r="AE36" i="116"/>
  <c r="AE35" i="116"/>
  <c r="AE34" i="116"/>
  <c r="H34" i="116"/>
  <c r="AE33" i="116"/>
  <c r="AE32" i="116"/>
  <c r="AE31" i="116"/>
  <c r="AE30" i="116"/>
  <c r="AE29" i="116"/>
  <c r="AE28" i="116"/>
  <c r="AE27" i="116"/>
  <c r="AE26" i="116"/>
  <c r="AE25" i="116"/>
  <c r="AE24" i="116"/>
  <c r="AE23" i="116"/>
  <c r="AE22" i="116"/>
  <c r="AE21" i="116"/>
  <c r="AE20" i="116"/>
  <c r="AE19" i="116"/>
  <c r="AE18" i="116"/>
  <c r="AE17" i="116"/>
  <c r="AE16" i="116"/>
  <c r="AE15" i="116"/>
  <c r="AE14" i="116"/>
  <c r="AE13" i="116"/>
  <c r="AE12" i="116"/>
  <c r="AE11" i="116"/>
  <c r="AE10" i="116"/>
  <c r="H10" i="116"/>
  <c r="E10" i="116"/>
  <c r="AE9" i="116"/>
  <c r="AE8" i="116"/>
  <c r="AE7" i="116"/>
  <c r="Z366" i="115"/>
  <c r="Z365" i="115"/>
  <c r="Z364" i="115"/>
  <c r="Z363" i="115"/>
  <c r="Z362" i="115"/>
  <c r="Z361" i="115"/>
  <c r="Z360" i="115"/>
  <c r="Z359" i="115"/>
  <c r="Z358" i="115"/>
  <c r="Z357" i="115"/>
  <c r="Z356" i="115"/>
  <c r="Z355" i="115"/>
  <c r="Z354" i="115"/>
  <c r="Z353" i="115"/>
  <c r="Z352" i="115"/>
  <c r="Z351" i="115"/>
  <c r="Z350" i="115"/>
  <c r="Z349" i="115"/>
  <c r="Z348" i="115"/>
  <c r="Z347" i="115"/>
  <c r="Z346" i="115"/>
  <c r="H346" i="115"/>
  <c r="E346" i="115"/>
  <c r="Z345" i="115"/>
  <c r="Z344" i="115"/>
  <c r="Z343" i="115"/>
  <c r="Z342" i="115"/>
  <c r="Z341" i="115"/>
  <c r="Z340" i="115"/>
  <c r="Z339" i="115"/>
  <c r="Z338" i="115"/>
  <c r="Z337" i="115"/>
  <c r="Z336" i="115"/>
  <c r="Z335" i="115"/>
  <c r="Z334" i="115"/>
  <c r="Z333" i="115"/>
  <c r="Z332" i="115"/>
  <c r="Z331" i="115"/>
  <c r="Z330" i="115"/>
  <c r="Z329" i="115"/>
  <c r="Z328" i="115"/>
  <c r="Z327" i="115"/>
  <c r="Z326" i="115"/>
  <c r="Z325" i="115"/>
  <c r="Z324" i="115"/>
  <c r="Z323" i="115"/>
  <c r="Z322" i="115"/>
  <c r="H322" i="115"/>
  <c r="Z321" i="115"/>
  <c r="Z320" i="115"/>
  <c r="Z319" i="115"/>
  <c r="Z318" i="115"/>
  <c r="Z317" i="115"/>
  <c r="Z316" i="115"/>
  <c r="Z315" i="115"/>
  <c r="Z314" i="115"/>
  <c r="Z313" i="115"/>
  <c r="Z312" i="115"/>
  <c r="Z311" i="115"/>
  <c r="Z310" i="115"/>
  <c r="Z309" i="115"/>
  <c r="Z308" i="115"/>
  <c r="Z307" i="115"/>
  <c r="Z306" i="115"/>
  <c r="Z305" i="115"/>
  <c r="Z304" i="115"/>
  <c r="Z303" i="115"/>
  <c r="Z302" i="115"/>
  <c r="Z301" i="115"/>
  <c r="Z300" i="115"/>
  <c r="Z299" i="115"/>
  <c r="Z298" i="115"/>
  <c r="H298" i="115"/>
  <c r="E298" i="115"/>
  <c r="Z297" i="115"/>
  <c r="Z296" i="115"/>
  <c r="Z295" i="115"/>
  <c r="Z294" i="115"/>
  <c r="Z293" i="115"/>
  <c r="Z292" i="115"/>
  <c r="Z291" i="115"/>
  <c r="Z290" i="115"/>
  <c r="Z289" i="115"/>
  <c r="Z288" i="115"/>
  <c r="Z287" i="115"/>
  <c r="Z286" i="115"/>
  <c r="Z285" i="115"/>
  <c r="Z284" i="115"/>
  <c r="Z283" i="115"/>
  <c r="Z282" i="115"/>
  <c r="Z281" i="115"/>
  <c r="Z280" i="115"/>
  <c r="Z279" i="115"/>
  <c r="Z278" i="115"/>
  <c r="Z277" i="115"/>
  <c r="Z276" i="115"/>
  <c r="Z275" i="115"/>
  <c r="Z274" i="115"/>
  <c r="H274" i="115"/>
  <c r="Z273" i="115"/>
  <c r="Z272" i="115"/>
  <c r="Z271" i="115"/>
  <c r="Z270" i="115"/>
  <c r="Z269" i="115"/>
  <c r="Z268" i="115"/>
  <c r="Z267" i="115"/>
  <c r="Z266" i="115"/>
  <c r="Z265" i="115"/>
  <c r="Z264" i="115"/>
  <c r="Z263" i="115"/>
  <c r="Z262" i="115"/>
  <c r="Z261" i="115"/>
  <c r="Z260" i="115"/>
  <c r="Z259" i="115"/>
  <c r="Z258" i="115"/>
  <c r="Z257" i="115"/>
  <c r="Z256" i="115"/>
  <c r="Z255" i="115"/>
  <c r="Z254" i="115"/>
  <c r="Z253" i="115"/>
  <c r="Z252" i="115"/>
  <c r="Z251" i="115"/>
  <c r="Z250" i="115"/>
  <c r="H250" i="115"/>
  <c r="Z249" i="115"/>
  <c r="Z248" i="115"/>
  <c r="Z247" i="115"/>
  <c r="Z246" i="115"/>
  <c r="Z245" i="115"/>
  <c r="Z244" i="115"/>
  <c r="Z243" i="115"/>
  <c r="Z242" i="115"/>
  <c r="Z241" i="115"/>
  <c r="Z240" i="115"/>
  <c r="Z239" i="115"/>
  <c r="Z238" i="115"/>
  <c r="Z237" i="115"/>
  <c r="Z236" i="115"/>
  <c r="Z235" i="115"/>
  <c r="Z234" i="115"/>
  <c r="Z233" i="115"/>
  <c r="Z232" i="115"/>
  <c r="Z231" i="115"/>
  <c r="Z230" i="115"/>
  <c r="Z229" i="115"/>
  <c r="Z228" i="115"/>
  <c r="Z227" i="115"/>
  <c r="Z226" i="115"/>
  <c r="H226" i="115"/>
  <c r="E226" i="115"/>
  <c r="Z225" i="115"/>
  <c r="Z224" i="115"/>
  <c r="Z223" i="115"/>
  <c r="Z222" i="115"/>
  <c r="Z221" i="115"/>
  <c r="Z220" i="115"/>
  <c r="Z219" i="115"/>
  <c r="Z218" i="115"/>
  <c r="Z217" i="115"/>
  <c r="Z216" i="115"/>
  <c r="Z215" i="115"/>
  <c r="Z214" i="115"/>
  <c r="Z213" i="115"/>
  <c r="Z212" i="115"/>
  <c r="Z211" i="115"/>
  <c r="Z210" i="115"/>
  <c r="Z209" i="115"/>
  <c r="Z208" i="115"/>
  <c r="Z207" i="115"/>
  <c r="Z206" i="115"/>
  <c r="Z205" i="115"/>
  <c r="Z204" i="115"/>
  <c r="Z203" i="115"/>
  <c r="Z202" i="115"/>
  <c r="H202" i="115"/>
  <c r="Z201" i="115"/>
  <c r="Z200" i="115"/>
  <c r="Z199" i="115"/>
  <c r="Z198" i="115"/>
  <c r="Z197" i="115"/>
  <c r="Z196" i="115"/>
  <c r="Z195" i="115"/>
  <c r="Z194" i="115"/>
  <c r="Z193" i="115"/>
  <c r="Z192" i="115"/>
  <c r="Z191" i="115"/>
  <c r="Z190" i="115"/>
  <c r="Z189" i="115"/>
  <c r="Z188" i="115"/>
  <c r="Z187" i="115"/>
  <c r="Z186" i="115"/>
  <c r="Z185" i="115"/>
  <c r="Z184" i="115"/>
  <c r="Z183" i="115"/>
  <c r="Z182" i="115"/>
  <c r="Z181" i="115"/>
  <c r="Z180" i="115"/>
  <c r="Z179" i="115"/>
  <c r="Z178" i="115"/>
  <c r="H178" i="115"/>
  <c r="Z177" i="115"/>
  <c r="Z176" i="115"/>
  <c r="Z175" i="115"/>
  <c r="Z174" i="115"/>
  <c r="Z173" i="115"/>
  <c r="Z172" i="115"/>
  <c r="Z171" i="115"/>
  <c r="Z170" i="115"/>
  <c r="Z169" i="115"/>
  <c r="Z168" i="115"/>
  <c r="Z167" i="115"/>
  <c r="Z166" i="115"/>
  <c r="Z165" i="115"/>
  <c r="Z164" i="115"/>
  <c r="Z163" i="115"/>
  <c r="Z162" i="115"/>
  <c r="Z161" i="115"/>
  <c r="Z160" i="115"/>
  <c r="Z159" i="115"/>
  <c r="Z158" i="115"/>
  <c r="Z157" i="115"/>
  <c r="Z156" i="115"/>
  <c r="Z155" i="115"/>
  <c r="Z154" i="115"/>
  <c r="H154" i="115"/>
  <c r="Z153" i="115"/>
  <c r="Z152" i="115"/>
  <c r="Z151" i="115"/>
  <c r="Z150" i="115"/>
  <c r="Z149" i="115"/>
  <c r="Z148" i="115"/>
  <c r="Z147" i="115"/>
  <c r="Z146" i="115"/>
  <c r="Z145" i="115"/>
  <c r="Z144" i="115"/>
  <c r="Z143" i="115"/>
  <c r="Z142" i="115"/>
  <c r="Z141" i="115"/>
  <c r="Z140" i="115"/>
  <c r="Z139" i="115"/>
  <c r="Z138" i="115"/>
  <c r="Z137" i="115"/>
  <c r="Z136" i="115"/>
  <c r="Z135" i="115"/>
  <c r="Z134" i="115"/>
  <c r="Z133" i="115"/>
  <c r="Z132" i="115"/>
  <c r="Z131" i="115"/>
  <c r="Z130" i="115"/>
  <c r="H130" i="115"/>
  <c r="E130" i="115"/>
  <c r="Z129" i="115"/>
  <c r="Z128" i="115"/>
  <c r="Z127" i="115"/>
  <c r="Z126" i="115"/>
  <c r="Z125" i="115"/>
  <c r="Z124" i="115"/>
  <c r="Z123" i="115"/>
  <c r="Z122" i="115"/>
  <c r="Z121" i="115"/>
  <c r="Z120" i="115"/>
  <c r="Z119" i="115"/>
  <c r="Z118" i="115"/>
  <c r="Z117" i="115"/>
  <c r="Z116" i="115"/>
  <c r="Z115" i="115"/>
  <c r="Z114" i="115"/>
  <c r="Z113" i="115"/>
  <c r="Z112" i="115"/>
  <c r="Z111" i="115"/>
  <c r="Z110" i="115"/>
  <c r="Z109" i="115"/>
  <c r="Z108" i="115"/>
  <c r="Z107" i="115"/>
  <c r="Z106" i="115"/>
  <c r="H106" i="115"/>
  <c r="Z105" i="115"/>
  <c r="Z104" i="115"/>
  <c r="Z103" i="115"/>
  <c r="Z102" i="115"/>
  <c r="Z101" i="115"/>
  <c r="Z100" i="115"/>
  <c r="Z99" i="115"/>
  <c r="Z98" i="115"/>
  <c r="Z97" i="115"/>
  <c r="Z96" i="115"/>
  <c r="Z95" i="115"/>
  <c r="Z94" i="115"/>
  <c r="Z93" i="115"/>
  <c r="Z92" i="115"/>
  <c r="Z91" i="115"/>
  <c r="Z90" i="115"/>
  <c r="Z89" i="115"/>
  <c r="Z88" i="115"/>
  <c r="Z87" i="115"/>
  <c r="Z86" i="115"/>
  <c r="Z85" i="115"/>
  <c r="Z84" i="115"/>
  <c r="Z83" i="115"/>
  <c r="Z82" i="115"/>
  <c r="H82" i="115"/>
  <c r="Z81" i="115"/>
  <c r="Z80" i="115"/>
  <c r="Z79" i="115"/>
  <c r="Z78" i="115"/>
  <c r="Z77" i="115"/>
  <c r="Z76" i="115"/>
  <c r="Z75" i="115"/>
  <c r="Z74" i="115"/>
  <c r="Z73" i="115"/>
  <c r="Z72" i="115"/>
  <c r="Z71" i="115"/>
  <c r="Z70" i="115"/>
  <c r="Z69" i="115"/>
  <c r="Z68" i="115"/>
  <c r="Z67" i="115"/>
  <c r="Z66" i="115"/>
  <c r="Z65" i="115"/>
  <c r="Z64" i="115"/>
  <c r="Z63" i="115"/>
  <c r="Z62" i="115"/>
  <c r="Z61" i="115"/>
  <c r="Z60" i="115"/>
  <c r="Z59" i="115"/>
  <c r="Z58" i="115"/>
  <c r="H58" i="115"/>
  <c r="Z57" i="115"/>
  <c r="Z56" i="115"/>
  <c r="Z55" i="115"/>
  <c r="Z54" i="115"/>
  <c r="Z53" i="115"/>
  <c r="Z52" i="115"/>
  <c r="Z51" i="115"/>
  <c r="Z50" i="115"/>
  <c r="Z49" i="115"/>
  <c r="Z48" i="115"/>
  <c r="Z47" i="115"/>
  <c r="Z46" i="115"/>
  <c r="Z45" i="115"/>
  <c r="Z44" i="115"/>
  <c r="Z43" i="115"/>
  <c r="Z42" i="115"/>
  <c r="Z41" i="115"/>
  <c r="Z40" i="115"/>
  <c r="Z39" i="115"/>
  <c r="Z38" i="115"/>
  <c r="Z37" i="115"/>
  <c r="Z36" i="115"/>
  <c r="Z35" i="115"/>
  <c r="Z34" i="115"/>
  <c r="H34" i="115"/>
  <c r="Z33" i="115"/>
  <c r="Z32" i="115"/>
  <c r="Z31" i="115"/>
  <c r="Z30" i="115"/>
  <c r="Z29" i="115"/>
  <c r="Z28" i="115"/>
  <c r="Z27" i="115"/>
  <c r="Z26" i="115"/>
  <c r="Z25" i="115"/>
  <c r="Z24" i="115"/>
  <c r="Z23" i="115"/>
  <c r="Z22" i="115"/>
  <c r="Z21" i="115"/>
  <c r="Z20" i="115"/>
  <c r="Z19" i="115"/>
  <c r="Z18" i="115"/>
  <c r="Z17" i="115"/>
  <c r="Z16" i="115"/>
  <c r="Z15" i="115"/>
  <c r="Z14" i="115"/>
  <c r="Z13" i="115"/>
  <c r="Z12" i="115"/>
  <c r="Z11" i="115"/>
  <c r="Z10" i="115"/>
  <c r="H10" i="115"/>
  <c r="E10" i="115"/>
  <c r="Z9" i="115"/>
  <c r="Z8" i="115"/>
  <c r="Z7" i="115"/>
  <c r="AB366" i="114"/>
  <c r="AB365" i="114"/>
  <c r="AB364" i="114"/>
  <c r="AB363" i="114"/>
  <c r="AB362" i="114"/>
  <c r="AB361" i="114"/>
  <c r="AB360" i="114"/>
  <c r="AB359" i="114"/>
  <c r="AB358" i="114"/>
  <c r="AB357" i="114"/>
  <c r="AB356" i="114"/>
  <c r="AB355" i="114"/>
  <c r="AB354" i="114"/>
  <c r="AB353" i="114"/>
  <c r="AB352" i="114"/>
  <c r="AB351" i="114"/>
  <c r="AB350" i="114"/>
  <c r="AB349" i="114"/>
  <c r="AB348" i="114"/>
  <c r="AB347" i="114"/>
  <c r="AB346" i="114"/>
  <c r="H346" i="114"/>
  <c r="E346" i="114"/>
  <c r="AB345" i="114"/>
  <c r="AB344" i="114"/>
  <c r="AB343" i="114"/>
  <c r="AB342" i="114"/>
  <c r="AB341" i="114"/>
  <c r="AB340" i="114"/>
  <c r="AB339" i="114"/>
  <c r="AB338" i="114"/>
  <c r="AB337" i="114"/>
  <c r="AB336" i="114"/>
  <c r="AB335" i="114"/>
  <c r="AB334" i="114"/>
  <c r="AB333" i="114"/>
  <c r="AB332" i="114"/>
  <c r="AB331" i="114"/>
  <c r="AB330" i="114"/>
  <c r="AB329" i="114"/>
  <c r="AB328" i="114"/>
  <c r="AB327" i="114"/>
  <c r="AB326" i="114"/>
  <c r="AB325" i="114"/>
  <c r="AB324" i="114"/>
  <c r="AB323" i="114"/>
  <c r="AB322" i="114"/>
  <c r="H322" i="114"/>
  <c r="AB321" i="114"/>
  <c r="AB320" i="114"/>
  <c r="AB319" i="114"/>
  <c r="AB318" i="114"/>
  <c r="AB317" i="114"/>
  <c r="AB316" i="114"/>
  <c r="AB315" i="114"/>
  <c r="AB314" i="114"/>
  <c r="AB313" i="114"/>
  <c r="AB312" i="114"/>
  <c r="AB311" i="114"/>
  <c r="AB310" i="114"/>
  <c r="AB309" i="114"/>
  <c r="AB308" i="114"/>
  <c r="AB307" i="114"/>
  <c r="AB306" i="114"/>
  <c r="AB305" i="114"/>
  <c r="AB304" i="114"/>
  <c r="AB303" i="114"/>
  <c r="AB302" i="114"/>
  <c r="AB301" i="114"/>
  <c r="AB300" i="114"/>
  <c r="AB299" i="114"/>
  <c r="AB298" i="114"/>
  <c r="H298" i="114"/>
  <c r="E298" i="114"/>
  <c r="AB297" i="114"/>
  <c r="AB296" i="114"/>
  <c r="AB295" i="114"/>
  <c r="AB294" i="114"/>
  <c r="AB293" i="114"/>
  <c r="AB292" i="114"/>
  <c r="AB291" i="114"/>
  <c r="AB290" i="114"/>
  <c r="AB289" i="114"/>
  <c r="AB288" i="114"/>
  <c r="AB287" i="114"/>
  <c r="AB286" i="114"/>
  <c r="AB285" i="114"/>
  <c r="AB284" i="114"/>
  <c r="AB283" i="114"/>
  <c r="AB282" i="114"/>
  <c r="AB281" i="114"/>
  <c r="AB280" i="114"/>
  <c r="AB279" i="114"/>
  <c r="AB278" i="114"/>
  <c r="AB277" i="114"/>
  <c r="AB276" i="114"/>
  <c r="AB275" i="114"/>
  <c r="AB274" i="114"/>
  <c r="H274" i="114"/>
  <c r="AB273" i="114"/>
  <c r="AB272" i="114"/>
  <c r="AB271" i="114"/>
  <c r="AB270" i="114"/>
  <c r="AB269" i="114"/>
  <c r="AB268" i="114"/>
  <c r="AB267" i="114"/>
  <c r="AB266" i="114"/>
  <c r="AB265" i="114"/>
  <c r="AB264" i="114"/>
  <c r="AB263" i="114"/>
  <c r="AB262" i="114"/>
  <c r="AB261" i="114"/>
  <c r="AB260" i="114"/>
  <c r="AB259" i="114"/>
  <c r="AB258" i="114"/>
  <c r="AB257" i="114"/>
  <c r="AB256" i="114"/>
  <c r="AB255" i="114"/>
  <c r="AB254" i="114"/>
  <c r="AB253" i="114"/>
  <c r="AB252" i="114"/>
  <c r="AB251" i="114"/>
  <c r="AB250" i="114"/>
  <c r="H250" i="114"/>
  <c r="AB249" i="114"/>
  <c r="AB248" i="114"/>
  <c r="AB247" i="114"/>
  <c r="AB246" i="114"/>
  <c r="AB245" i="114"/>
  <c r="AB244" i="114"/>
  <c r="AB243" i="114"/>
  <c r="AB242" i="114"/>
  <c r="AB241" i="114"/>
  <c r="AB240" i="114"/>
  <c r="AB239" i="114"/>
  <c r="AB238" i="114"/>
  <c r="AB237" i="114"/>
  <c r="AB236" i="114"/>
  <c r="AB235" i="114"/>
  <c r="AB234" i="114"/>
  <c r="AB233" i="114"/>
  <c r="AB232" i="114"/>
  <c r="AB231" i="114"/>
  <c r="AB230" i="114"/>
  <c r="AB229" i="114"/>
  <c r="AB228" i="114"/>
  <c r="AB227" i="114"/>
  <c r="AB226" i="114"/>
  <c r="H226" i="114"/>
  <c r="E226" i="114"/>
  <c r="AB225" i="114"/>
  <c r="AB224" i="114"/>
  <c r="AB223" i="114"/>
  <c r="AB222" i="114"/>
  <c r="AB221" i="114"/>
  <c r="AB220" i="114"/>
  <c r="AB219" i="114"/>
  <c r="AB218" i="114"/>
  <c r="AB217" i="114"/>
  <c r="AB216" i="114"/>
  <c r="AB215" i="114"/>
  <c r="AB214" i="114"/>
  <c r="AB213" i="114"/>
  <c r="AB212" i="114"/>
  <c r="AB211" i="114"/>
  <c r="AB210" i="114"/>
  <c r="AB209" i="114"/>
  <c r="AB208" i="114"/>
  <c r="AB207" i="114"/>
  <c r="AB206" i="114"/>
  <c r="AB205" i="114"/>
  <c r="AB204" i="114"/>
  <c r="AB203" i="114"/>
  <c r="AB202" i="114"/>
  <c r="H202" i="114"/>
  <c r="AB201" i="114"/>
  <c r="AB200" i="114"/>
  <c r="AB199" i="114"/>
  <c r="AB198" i="114"/>
  <c r="AB197" i="114"/>
  <c r="AB196" i="114"/>
  <c r="AB195" i="114"/>
  <c r="AB194" i="114"/>
  <c r="AB193" i="114"/>
  <c r="AB192" i="114"/>
  <c r="AB191" i="114"/>
  <c r="AB190" i="114"/>
  <c r="AB189" i="114"/>
  <c r="AB188" i="114"/>
  <c r="AB187" i="114"/>
  <c r="AB186" i="114"/>
  <c r="AB185" i="114"/>
  <c r="AB184" i="114"/>
  <c r="AB183" i="114"/>
  <c r="AB182" i="114"/>
  <c r="AB181" i="114"/>
  <c r="AB180" i="114"/>
  <c r="AB179" i="114"/>
  <c r="AB178" i="114"/>
  <c r="H178" i="114"/>
  <c r="AB177" i="114"/>
  <c r="AB176" i="114"/>
  <c r="AB175" i="114"/>
  <c r="AB174" i="114"/>
  <c r="AB173" i="114"/>
  <c r="AB172" i="114"/>
  <c r="AB171" i="114"/>
  <c r="AB170" i="114"/>
  <c r="AB169" i="114"/>
  <c r="AB168" i="114"/>
  <c r="AB167" i="114"/>
  <c r="AB166" i="114"/>
  <c r="AB165" i="114"/>
  <c r="AB164" i="114"/>
  <c r="AB163" i="114"/>
  <c r="AB162" i="114"/>
  <c r="AB161" i="114"/>
  <c r="AB160" i="114"/>
  <c r="AB159" i="114"/>
  <c r="AB158" i="114"/>
  <c r="AB157" i="114"/>
  <c r="AB156" i="114"/>
  <c r="AB155" i="114"/>
  <c r="AB154" i="114"/>
  <c r="H154" i="114"/>
  <c r="AB153" i="114"/>
  <c r="AB152" i="114"/>
  <c r="AB151" i="114"/>
  <c r="AB150" i="114"/>
  <c r="AB149" i="114"/>
  <c r="AB148" i="114"/>
  <c r="AB147" i="114"/>
  <c r="AB146" i="114"/>
  <c r="AB145" i="114"/>
  <c r="AB144" i="114"/>
  <c r="AB143" i="114"/>
  <c r="AB142" i="114"/>
  <c r="AB141" i="114"/>
  <c r="AB140" i="114"/>
  <c r="AB139" i="114"/>
  <c r="AB138" i="114"/>
  <c r="AB137" i="114"/>
  <c r="AB136" i="114"/>
  <c r="AB135" i="114"/>
  <c r="AB134" i="114"/>
  <c r="AB133" i="114"/>
  <c r="AB132" i="114"/>
  <c r="AB131" i="114"/>
  <c r="AB130" i="114"/>
  <c r="H130" i="114"/>
  <c r="E130" i="114"/>
  <c r="AB129" i="114"/>
  <c r="AB128" i="114"/>
  <c r="AB127" i="114"/>
  <c r="AB126" i="114"/>
  <c r="AB125" i="114"/>
  <c r="AB124" i="114"/>
  <c r="AB123" i="114"/>
  <c r="AB122" i="114"/>
  <c r="AB121" i="114"/>
  <c r="AB120" i="114"/>
  <c r="AB119" i="114"/>
  <c r="AB118" i="114"/>
  <c r="AB117" i="114"/>
  <c r="AB116" i="114"/>
  <c r="AB115" i="114"/>
  <c r="AB114" i="114"/>
  <c r="AB113" i="114"/>
  <c r="AB112" i="114"/>
  <c r="AB111" i="114"/>
  <c r="AB110" i="114"/>
  <c r="AB109" i="114"/>
  <c r="AB108" i="114"/>
  <c r="AB107" i="114"/>
  <c r="AB106" i="114"/>
  <c r="H106" i="114"/>
  <c r="AB105" i="114"/>
  <c r="AB104" i="114"/>
  <c r="AB103" i="114"/>
  <c r="AB102" i="114"/>
  <c r="AB101" i="114"/>
  <c r="AB100" i="114"/>
  <c r="AB99" i="114"/>
  <c r="AB98" i="114"/>
  <c r="AB97" i="114"/>
  <c r="AB96" i="114"/>
  <c r="AB95" i="114"/>
  <c r="AB94" i="114"/>
  <c r="AB93" i="114"/>
  <c r="AB92" i="114"/>
  <c r="AB91" i="114"/>
  <c r="AB90" i="114"/>
  <c r="AB89" i="114"/>
  <c r="AB88" i="114"/>
  <c r="AB87" i="114"/>
  <c r="AB86" i="114"/>
  <c r="AB85" i="114"/>
  <c r="AB84" i="114"/>
  <c r="AB83" i="114"/>
  <c r="AB82" i="114"/>
  <c r="H82" i="114"/>
  <c r="AB81" i="114"/>
  <c r="AB80" i="114"/>
  <c r="AB79" i="114"/>
  <c r="AB78" i="114"/>
  <c r="AB77" i="114"/>
  <c r="AB76" i="114"/>
  <c r="AB75" i="114"/>
  <c r="AB74" i="114"/>
  <c r="AB73" i="114"/>
  <c r="AB72" i="114"/>
  <c r="AB71" i="114"/>
  <c r="AB70" i="114"/>
  <c r="AB69" i="114"/>
  <c r="AB68" i="114"/>
  <c r="AB67" i="114"/>
  <c r="AB66" i="114"/>
  <c r="AB65" i="114"/>
  <c r="AB64" i="114"/>
  <c r="AB63" i="114"/>
  <c r="AB62" i="114"/>
  <c r="AB61" i="114"/>
  <c r="AB60" i="114"/>
  <c r="AB59" i="114"/>
  <c r="AB58" i="114"/>
  <c r="H58" i="114"/>
  <c r="AB57" i="114"/>
  <c r="AB56" i="114"/>
  <c r="AB55" i="114"/>
  <c r="AB54" i="114"/>
  <c r="AB53" i="114"/>
  <c r="AB52" i="114"/>
  <c r="AB51" i="114"/>
  <c r="AB50" i="114"/>
  <c r="AB49" i="114"/>
  <c r="AB48" i="114"/>
  <c r="AB47" i="114"/>
  <c r="AB46" i="114"/>
  <c r="AB45" i="114"/>
  <c r="AB44" i="114"/>
  <c r="AB43" i="114"/>
  <c r="AB42" i="114"/>
  <c r="AB41" i="114"/>
  <c r="AB40" i="114"/>
  <c r="AB39" i="114"/>
  <c r="AB38" i="114"/>
  <c r="AB37" i="114"/>
  <c r="AB36" i="114"/>
  <c r="AB35" i="114"/>
  <c r="AB34" i="114"/>
  <c r="H34" i="114"/>
  <c r="AB33" i="114"/>
  <c r="AB32" i="114"/>
  <c r="AB31" i="114"/>
  <c r="AB30" i="114"/>
  <c r="AB29" i="114"/>
  <c r="AB28" i="114"/>
  <c r="AB27" i="114"/>
  <c r="AB26" i="114"/>
  <c r="AB25" i="114"/>
  <c r="AB24" i="114"/>
  <c r="AB23" i="114"/>
  <c r="AB22" i="114"/>
  <c r="AB21" i="114"/>
  <c r="AB20" i="114"/>
  <c r="AB19" i="114"/>
  <c r="AB18" i="114"/>
  <c r="AB17" i="114"/>
  <c r="AB16" i="114"/>
  <c r="AB15" i="114"/>
  <c r="AB14" i="114"/>
  <c r="AB13" i="114"/>
  <c r="AB12" i="114"/>
  <c r="AB11" i="114"/>
  <c r="AB10" i="114"/>
  <c r="H10" i="114"/>
  <c r="E10" i="114"/>
  <c r="AB9" i="114"/>
  <c r="AB8" i="114"/>
  <c r="AB7" i="114"/>
  <c r="W318" i="113"/>
  <c r="W317" i="113"/>
  <c r="W316" i="113"/>
  <c r="W315" i="113"/>
  <c r="W314" i="113"/>
  <c r="W313" i="113"/>
  <c r="W312" i="113"/>
  <c r="W311" i="113"/>
  <c r="W310" i="113"/>
  <c r="W309" i="113"/>
  <c r="W308" i="113"/>
  <c r="W307" i="113"/>
  <c r="W306" i="113"/>
  <c r="W305" i="113"/>
  <c r="W304" i="113"/>
  <c r="W303" i="113"/>
  <c r="W302" i="113"/>
  <c r="W301" i="113"/>
  <c r="W300" i="113"/>
  <c r="W299" i="113"/>
  <c r="W298" i="113"/>
  <c r="E298" i="113"/>
  <c r="W297" i="113"/>
  <c r="W296" i="113"/>
  <c r="W295" i="113"/>
  <c r="W294" i="113"/>
  <c r="W293" i="113"/>
  <c r="W292" i="113"/>
  <c r="W291" i="113"/>
  <c r="W290" i="113"/>
  <c r="W289" i="113"/>
  <c r="W288" i="113"/>
  <c r="W287" i="113"/>
  <c r="W286" i="113"/>
  <c r="W285" i="113"/>
  <c r="W284" i="113"/>
  <c r="W283" i="113"/>
  <c r="W282" i="113"/>
  <c r="W281" i="113"/>
  <c r="W280" i="113"/>
  <c r="W279" i="113"/>
  <c r="W278" i="113"/>
  <c r="W277" i="113"/>
  <c r="W276" i="113"/>
  <c r="W275" i="113"/>
  <c r="W274" i="113"/>
  <c r="E274" i="113"/>
  <c r="W273" i="113"/>
  <c r="W272" i="113"/>
  <c r="W271" i="113"/>
  <c r="W270" i="113"/>
  <c r="W269" i="113"/>
  <c r="W268" i="113"/>
  <c r="W267" i="113"/>
  <c r="W266" i="113"/>
  <c r="W265" i="113"/>
  <c r="W264" i="113"/>
  <c r="W263" i="113"/>
  <c r="W262" i="113"/>
  <c r="W261" i="113"/>
  <c r="W260" i="113"/>
  <c r="W259" i="113"/>
  <c r="W258" i="113"/>
  <c r="W257" i="113"/>
  <c r="W256" i="113"/>
  <c r="W255" i="113"/>
  <c r="W254" i="113"/>
  <c r="W253" i="113"/>
  <c r="W252" i="113"/>
  <c r="W251" i="113"/>
  <c r="W250" i="113"/>
  <c r="E250" i="113"/>
  <c r="W249" i="113"/>
  <c r="W248" i="113"/>
  <c r="W247" i="113"/>
  <c r="W246" i="113"/>
  <c r="W245" i="113"/>
  <c r="W244" i="113"/>
  <c r="W243" i="113"/>
  <c r="W242" i="113"/>
  <c r="W241" i="113"/>
  <c r="W240" i="113"/>
  <c r="W239" i="113"/>
  <c r="W238" i="113"/>
  <c r="W237" i="113"/>
  <c r="W236" i="113"/>
  <c r="W235" i="113"/>
  <c r="W234" i="113"/>
  <c r="W233" i="113"/>
  <c r="W232" i="113"/>
  <c r="W231" i="113"/>
  <c r="W230" i="113"/>
  <c r="W229" i="113"/>
  <c r="W228" i="113"/>
  <c r="W227" i="113"/>
  <c r="W226" i="113"/>
  <c r="E226" i="113"/>
  <c r="W225" i="113"/>
  <c r="W224" i="113"/>
  <c r="W223" i="113"/>
  <c r="W222" i="113"/>
  <c r="W221" i="113"/>
  <c r="W220" i="113"/>
  <c r="W219" i="113"/>
  <c r="W218" i="113"/>
  <c r="W217" i="113"/>
  <c r="W216" i="113"/>
  <c r="W215" i="113"/>
  <c r="W214" i="113"/>
  <c r="W213" i="113"/>
  <c r="W212" i="113"/>
  <c r="W211" i="113"/>
  <c r="W210" i="113"/>
  <c r="W209" i="113"/>
  <c r="W208" i="113"/>
  <c r="W207" i="113"/>
  <c r="W206" i="113"/>
  <c r="W205" i="113"/>
  <c r="W204" i="113"/>
  <c r="W203" i="113"/>
  <c r="W202" i="113"/>
  <c r="E202" i="113"/>
  <c r="W201" i="113"/>
  <c r="W200" i="113"/>
  <c r="W199" i="113"/>
  <c r="W198" i="113"/>
  <c r="W197" i="113"/>
  <c r="W196" i="113"/>
  <c r="W195" i="113"/>
  <c r="W194" i="113"/>
  <c r="W193" i="113"/>
  <c r="W192" i="113"/>
  <c r="W191" i="113"/>
  <c r="W190" i="113"/>
  <c r="W189" i="113"/>
  <c r="W188" i="113"/>
  <c r="W187" i="113"/>
  <c r="W186" i="113"/>
  <c r="W185" i="113"/>
  <c r="W184" i="113"/>
  <c r="W183" i="113"/>
  <c r="W182" i="113"/>
  <c r="W181" i="113"/>
  <c r="W180" i="113"/>
  <c r="W179" i="113"/>
  <c r="W178" i="113"/>
  <c r="E178" i="113"/>
  <c r="W177" i="113"/>
  <c r="W176" i="113"/>
  <c r="W175" i="113"/>
  <c r="W174" i="113"/>
  <c r="W173" i="113"/>
  <c r="W172" i="113"/>
  <c r="W171" i="113"/>
  <c r="W170" i="113"/>
  <c r="W169" i="113"/>
  <c r="W168" i="113"/>
  <c r="W167" i="113"/>
  <c r="W166" i="113"/>
  <c r="W165" i="113"/>
  <c r="W164" i="113"/>
  <c r="W163" i="113"/>
  <c r="W162" i="113"/>
  <c r="W161" i="113"/>
  <c r="W160" i="113"/>
  <c r="W159" i="113"/>
  <c r="W158" i="113"/>
  <c r="W157" i="113"/>
  <c r="W156" i="113"/>
  <c r="W155" i="113"/>
  <c r="W154" i="113"/>
  <c r="E154" i="113"/>
  <c r="W153" i="113"/>
  <c r="W152" i="113"/>
  <c r="W151" i="113"/>
  <c r="W150" i="113"/>
  <c r="W149" i="113"/>
  <c r="W148" i="113"/>
  <c r="W147" i="113"/>
  <c r="W146" i="113"/>
  <c r="W145" i="113"/>
  <c r="W144" i="113"/>
  <c r="W143" i="113"/>
  <c r="W142" i="113"/>
  <c r="W141" i="113"/>
  <c r="W140" i="113"/>
  <c r="W139" i="113"/>
  <c r="W138" i="113"/>
  <c r="W137" i="113"/>
  <c r="W136" i="113"/>
  <c r="W135" i="113"/>
  <c r="W134" i="113"/>
  <c r="W133" i="113"/>
  <c r="W132" i="113"/>
  <c r="W131" i="113"/>
  <c r="W130" i="113"/>
  <c r="E130" i="113"/>
  <c r="W129" i="113"/>
  <c r="W128" i="113"/>
  <c r="W127" i="113"/>
  <c r="W126" i="113"/>
  <c r="W125" i="113"/>
  <c r="W124" i="113"/>
  <c r="W123" i="113"/>
  <c r="W122" i="113"/>
  <c r="W121" i="113"/>
  <c r="W120" i="113"/>
  <c r="W119" i="113"/>
  <c r="W118" i="113"/>
  <c r="W117" i="113"/>
  <c r="W116" i="113"/>
  <c r="W115" i="113"/>
  <c r="W114" i="113"/>
  <c r="W113" i="113"/>
  <c r="W112" i="113"/>
  <c r="W111" i="113"/>
  <c r="W110" i="113"/>
  <c r="W109" i="113"/>
  <c r="W108" i="113"/>
  <c r="W107" i="113"/>
  <c r="W106" i="113"/>
  <c r="E106" i="113"/>
  <c r="W105" i="113"/>
  <c r="W104" i="113"/>
  <c r="W103" i="113"/>
  <c r="W102" i="113"/>
  <c r="W101" i="113"/>
  <c r="W100" i="113"/>
  <c r="W99" i="113"/>
  <c r="W98" i="113"/>
  <c r="W97" i="113"/>
  <c r="W96" i="113"/>
  <c r="W95" i="113"/>
  <c r="W94" i="113"/>
  <c r="W93" i="113"/>
  <c r="W92" i="113"/>
  <c r="W91" i="113"/>
  <c r="W90" i="113"/>
  <c r="W89" i="113"/>
  <c r="W88" i="113"/>
  <c r="W87" i="113"/>
  <c r="W86" i="113"/>
  <c r="W85" i="113"/>
  <c r="W84" i="113"/>
  <c r="W83" i="113"/>
  <c r="W82" i="113"/>
  <c r="E82" i="113"/>
  <c r="W81" i="113"/>
  <c r="W80" i="113"/>
  <c r="W79" i="113"/>
  <c r="W78" i="113"/>
  <c r="W77" i="113"/>
  <c r="W76" i="113"/>
  <c r="W75" i="113"/>
  <c r="W74" i="113"/>
  <c r="W73" i="113"/>
  <c r="W72" i="113"/>
  <c r="W71" i="113"/>
  <c r="W70" i="113"/>
  <c r="W69" i="113"/>
  <c r="W68" i="113"/>
  <c r="W67" i="113"/>
  <c r="W66" i="113"/>
  <c r="W65" i="113"/>
  <c r="W64" i="113"/>
  <c r="W63" i="113"/>
  <c r="W62" i="113"/>
  <c r="W61" i="113"/>
  <c r="W60" i="113"/>
  <c r="W59" i="113"/>
  <c r="W58" i="113"/>
  <c r="E58" i="113"/>
  <c r="W57" i="113"/>
  <c r="W56" i="113"/>
  <c r="W55" i="113"/>
  <c r="W54" i="113"/>
  <c r="W53" i="113"/>
  <c r="W52" i="113"/>
  <c r="W51" i="113"/>
  <c r="W50" i="113"/>
  <c r="W49" i="113"/>
  <c r="W48" i="113"/>
  <c r="W47" i="113"/>
  <c r="W46" i="113"/>
  <c r="W45" i="113"/>
  <c r="W44" i="113"/>
  <c r="W43" i="113"/>
  <c r="W42" i="113"/>
  <c r="W41" i="113"/>
  <c r="W40" i="113"/>
  <c r="W39" i="113"/>
  <c r="W38" i="113"/>
  <c r="W37" i="113"/>
  <c r="W36" i="113"/>
  <c r="W35" i="113"/>
  <c r="W34" i="113"/>
  <c r="E34" i="113"/>
  <c r="W33" i="113"/>
  <c r="W32" i="113"/>
  <c r="W31" i="113"/>
  <c r="W30" i="113"/>
  <c r="W29" i="113"/>
  <c r="W28" i="113"/>
  <c r="W27" i="113"/>
  <c r="W26" i="113"/>
  <c r="W25" i="113"/>
  <c r="W24" i="113"/>
  <c r="W23" i="113"/>
  <c r="W22" i="113"/>
  <c r="W21" i="113"/>
  <c r="W20" i="113"/>
  <c r="W19" i="113"/>
  <c r="W18" i="113"/>
  <c r="W17" i="113"/>
  <c r="W16" i="113"/>
  <c r="W15" i="113"/>
  <c r="W14" i="113"/>
  <c r="W13" i="113"/>
  <c r="W12" i="113"/>
  <c r="W11" i="113"/>
  <c r="W10" i="113"/>
  <c r="E10" i="113"/>
  <c r="W9" i="113"/>
  <c r="W8" i="113"/>
  <c r="W7" i="113"/>
  <c r="W347" i="112"/>
  <c r="W346" i="112"/>
  <c r="W345" i="112"/>
  <c r="W344" i="112"/>
  <c r="W343" i="112"/>
  <c r="W342" i="112"/>
  <c r="W341" i="112"/>
  <c r="W340" i="112"/>
  <c r="W339" i="112"/>
  <c r="W338" i="112"/>
  <c r="W337" i="112"/>
  <c r="W336" i="112"/>
  <c r="W335" i="112"/>
  <c r="W334" i="112"/>
  <c r="W333" i="112"/>
  <c r="W332" i="112"/>
  <c r="W331" i="112"/>
  <c r="W330" i="112"/>
  <c r="W329" i="112"/>
  <c r="W328" i="112"/>
  <c r="W327" i="112"/>
  <c r="E327" i="112"/>
  <c r="W326" i="112"/>
  <c r="W325" i="112"/>
  <c r="W324" i="112"/>
  <c r="W323" i="112"/>
  <c r="W322" i="112"/>
  <c r="W321" i="112"/>
  <c r="W320" i="112"/>
  <c r="W319" i="112"/>
  <c r="W318" i="112"/>
  <c r="W317" i="112"/>
  <c r="W316" i="112"/>
  <c r="W315" i="112"/>
  <c r="W314" i="112"/>
  <c r="W313" i="112"/>
  <c r="W312" i="112"/>
  <c r="W311" i="112"/>
  <c r="W310" i="112"/>
  <c r="W309" i="112"/>
  <c r="W308" i="112"/>
  <c r="W307" i="112"/>
  <c r="W306" i="112"/>
  <c r="W305" i="112"/>
  <c r="W304" i="112"/>
  <c r="W303" i="112"/>
  <c r="E303" i="112"/>
  <c r="W302" i="112"/>
  <c r="W301" i="112"/>
  <c r="W300" i="112"/>
  <c r="W299" i="112"/>
  <c r="W298" i="112"/>
  <c r="W297" i="112"/>
  <c r="W296" i="112"/>
  <c r="W295" i="112"/>
  <c r="W294" i="112"/>
  <c r="W293" i="112"/>
  <c r="W292" i="112"/>
  <c r="W291" i="112"/>
  <c r="W290" i="112"/>
  <c r="W289" i="112"/>
  <c r="W288" i="112"/>
  <c r="W287" i="112"/>
  <c r="W286" i="112"/>
  <c r="W285" i="112"/>
  <c r="W284" i="112"/>
  <c r="W283" i="112"/>
  <c r="W282" i="112"/>
  <c r="W281" i="112"/>
  <c r="W280" i="112"/>
  <c r="W279" i="112"/>
  <c r="E279" i="112"/>
  <c r="W278" i="112"/>
  <c r="W277" i="112"/>
  <c r="W276" i="112"/>
  <c r="W275" i="112"/>
  <c r="W274" i="112"/>
  <c r="W273" i="112"/>
  <c r="W272" i="112"/>
  <c r="W271" i="112"/>
  <c r="W270" i="112"/>
  <c r="W269" i="112"/>
  <c r="W268" i="112"/>
  <c r="W267" i="112"/>
  <c r="W266" i="112"/>
  <c r="W265" i="112"/>
  <c r="W264" i="112"/>
  <c r="W263" i="112"/>
  <c r="W262" i="112"/>
  <c r="W261" i="112"/>
  <c r="W260" i="112"/>
  <c r="W259" i="112"/>
  <c r="W258" i="112"/>
  <c r="W257" i="112"/>
  <c r="W256" i="112"/>
  <c r="W255" i="112"/>
  <c r="E255" i="112"/>
  <c r="W254" i="112"/>
  <c r="W253" i="112"/>
  <c r="W252" i="112"/>
  <c r="W251" i="112"/>
  <c r="W250" i="112"/>
  <c r="W249" i="112"/>
  <c r="W248" i="112"/>
  <c r="W247" i="112"/>
  <c r="W246" i="112"/>
  <c r="W245" i="112"/>
  <c r="W244" i="112"/>
  <c r="W243" i="112"/>
  <c r="W242" i="112"/>
  <c r="W241" i="112"/>
  <c r="W240" i="112"/>
  <c r="W239" i="112"/>
  <c r="W238" i="112"/>
  <c r="W237" i="112"/>
  <c r="W236" i="112"/>
  <c r="W235" i="112"/>
  <c r="W234" i="112"/>
  <c r="W233" i="112"/>
  <c r="W232" i="112"/>
  <c r="W231" i="112"/>
  <c r="E231" i="112"/>
  <c r="W230" i="112"/>
  <c r="W229" i="112"/>
  <c r="W228" i="112"/>
  <c r="W227" i="112"/>
  <c r="W226" i="112"/>
  <c r="W225" i="112"/>
  <c r="W224" i="112"/>
  <c r="W223" i="112"/>
  <c r="W222" i="112"/>
  <c r="W221" i="112"/>
  <c r="W220" i="112"/>
  <c r="W219" i="112"/>
  <c r="W218" i="112"/>
  <c r="W217" i="112"/>
  <c r="W216" i="112"/>
  <c r="W215" i="112"/>
  <c r="W214" i="112"/>
  <c r="W213" i="112"/>
  <c r="W212" i="112"/>
  <c r="W211" i="112"/>
  <c r="W210" i="112"/>
  <c r="W209" i="112"/>
  <c r="W208" i="112"/>
  <c r="W207" i="112"/>
  <c r="E207" i="112"/>
  <c r="W206" i="112"/>
  <c r="W205" i="112"/>
  <c r="W204" i="112"/>
  <c r="W203" i="112"/>
  <c r="W202" i="112"/>
  <c r="W201" i="112"/>
  <c r="W200" i="112"/>
  <c r="W199" i="112"/>
  <c r="W198" i="112"/>
  <c r="W197" i="112"/>
  <c r="W196" i="112"/>
  <c r="W195" i="112"/>
  <c r="W194" i="112"/>
  <c r="W193" i="112"/>
  <c r="W192" i="112"/>
  <c r="W191" i="112"/>
  <c r="W190" i="112"/>
  <c r="W189" i="112"/>
  <c r="W188" i="112"/>
  <c r="W187" i="112"/>
  <c r="W186" i="112"/>
  <c r="W185" i="112"/>
  <c r="W184" i="112"/>
  <c r="W183" i="112"/>
  <c r="E183" i="112"/>
  <c r="W182" i="112"/>
  <c r="W181" i="112"/>
  <c r="W180" i="112"/>
  <c r="W179" i="112"/>
  <c r="W178" i="112"/>
  <c r="W177" i="112"/>
  <c r="W176" i="112"/>
  <c r="W175" i="112"/>
  <c r="W174" i="112"/>
  <c r="W173" i="112"/>
  <c r="W172" i="112"/>
  <c r="W171" i="112"/>
  <c r="W170" i="112"/>
  <c r="W169" i="112"/>
  <c r="W168" i="112"/>
  <c r="W167" i="112"/>
  <c r="W166" i="112"/>
  <c r="W165" i="112"/>
  <c r="W164" i="112"/>
  <c r="W163" i="112"/>
  <c r="W162" i="112"/>
  <c r="W161" i="112"/>
  <c r="W160" i="112"/>
  <c r="W159" i="112"/>
  <c r="E159" i="112"/>
  <c r="W158" i="112"/>
  <c r="W157" i="112"/>
  <c r="W156" i="112"/>
  <c r="W155" i="112"/>
  <c r="W154" i="112"/>
  <c r="W153" i="112"/>
  <c r="W152" i="112"/>
  <c r="W151" i="112"/>
  <c r="W150" i="112"/>
  <c r="W149" i="112"/>
  <c r="W148" i="112"/>
  <c r="W147" i="112"/>
  <c r="W146" i="112"/>
  <c r="W145" i="112"/>
  <c r="W144" i="112"/>
  <c r="W143" i="112"/>
  <c r="W142" i="112"/>
  <c r="W141" i="112"/>
  <c r="W140" i="112"/>
  <c r="W139" i="112"/>
  <c r="W138" i="112"/>
  <c r="W137" i="112"/>
  <c r="W136" i="112"/>
  <c r="W135" i="112"/>
  <c r="E135" i="112"/>
  <c r="W134" i="112"/>
  <c r="W133" i="112"/>
  <c r="W132" i="112"/>
  <c r="W126" i="112"/>
  <c r="W125" i="112"/>
  <c r="W124" i="112"/>
  <c r="W123" i="112"/>
  <c r="W122" i="112"/>
  <c r="W121" i="112"/>
  <c r="W120" i="112"/>
  <c r="W119" i="112"/>
  <c r="W118" i="112"/>
  <c r="W117" i="112"/>
  <c r="W116" i="112"/>
  <c r="W115" i="112"/>
  <c r="W114" i="112"/>
  <c r="W113" i="112"/>
  <c r="W112" i="112"/>
  <c r="W111" i="112"/>
  <c r="W110" i="112"/>
  <c r="W109" i="112"/>
  <c r="W108" i="112"/>
  <c r="W107" i="112"/>
  <c r="W106" i="112"/>
  <c r="E106" i="112"/>
  <c r="W105" i="112"/>
  <c r="W104" i="112"/>
  <c r="W103" i="112"/>
  <c r="W102" i="112"/>
  <c r="W101" i="112"/>
  <c r="W100" i="112"/>
  <c r="W99" i="112"/>
  <c r="W98" i="112"/>
  <c r="W97" i="112"/>
  <c r="W96" i="112"/>
  <c r="W95" i="112"/>
  <c r="W94" i="112"/>
  <c r="W93" i="112"/>
  <c r="W92" i="112"/>
  <c r="W91" i="112"/>
  <c r="W90" i="112"/>
  <c r="W89" i="112"/>
  <c r="W88" i="112"/>
  <c r="W87" i="112"/>
  <c r="W86" i="112"/>
  <c r="W85" i="112"/>
  <c r="W84" i="112"/>
  <c r="W83" i="112"/>
  <c r="W82" i="112"/>
  <c r="E82" i="112"/>
  <c r="W81" i="112"/>
  <c r="W80" i="112"/>
  <c r="W79" i="112"/>
  <c r="W78" i="112"/>
  <c r="W77" i="112"/>
  <c r="W76" i="112"/>
  <c r="W75" i="112"/>
  <c r="W74" i="112"/>
  <c r="W73" i="112"/>
  <c r="W72" i="112"/>
  <c r="W71" i="112"/>
  <c r="W70" i="112"/>
  <c r="W69" i="112"/>
  <c r="W68" i="112"/>
  <c r="W67" i="112"/>
  <c r="W66" i="112"/>
  <c r="W65" i="112"/>
  <c r="W64" i="112"/>
  <c r="W63" i="112"/>
  <c r="W62" i="112"/>
  <c r="W61" i="112"/>
  <c r="W60" i="112"/>
  <c r="W59" i="112"/>
  <c r="W58" i="112"/>
  <c r="E58" i="112"/>
  <c r="W57" i="112"/>
  <c r="W56" i="112"/>
  <c r="W55" i="112"/>
  <c r="W54" i="112"/>
  <c r="W53" i="112"/>
  <c r="W52" i="112"/>
  <c r="W51" i="112"/>
  <c r="W50" i="112"/>
  <c r="W49" i="112"/>
  <c r="W48" i="112"/>
  <c r="W47" i="112"/>
  <c r="W46" i="112"/>
  <c r="W45" i="112"/>
  <c r="W44" i="112"/>
  <c r="W43" i="112"/>
  <c r="W42" i="112"/>
  <c r="W41" i="112"/>
  <c r="W40" i="112"/>
  <c r="W39" i="112"/>
  <c r="W38" i="112"/>
  <c r="W37" i="112"/>
  <c r="W36" i="112"/>
  <c r="W35" i="112"/>
  <c r="W34" i="112"/>
  <c r="E34" i="112"/>
  <c r="W33" i="112"/>
  <c r="W32" i="112"/>
  <c r="W31" i="112"/>
  <c r="W30" i="112"/>
  <c r="W29" i="112"/>
  <c r="W28" i="112"/>
  <c r="W27" i="112"/>
  <c r="W26" i="112"/>
  <c r="W25" i="112"/>
  <c r="W24" i="112"/>
  <c r="W23" i="112"/>
  <c r="W22" i="112"/>
  <c r="W21" i="112"/>
  <c r="W20" i="112"/>
  <c r="W19" i="112"/>
  <c r="W18" i="112"/>
  <c r="W17" i="112"/>
  <c r="W16" i="112"/>
  <c r="W15" i="112"/>
  <c r="W14" i="112"/>
  <c r="W13" i="112"/>
  <c r="W12" i="112"/>
  <c r="W11" i="112"/>
  <c r="W10" i="112"/>
  <c r="E10" i="112"/>
  <c r="W9" i="112"/>
  <c r="W8" i="112"/>
  <c r="W7" i="112"/>
  <c r="U510" i="111"/>
  <c r="U509" i="111"/>
  <c r="U508" i="111"/>
  <c r="U507" i="111"/>
  <c r="U506" i="111"/>
  <c r="U505" i="111"/>
  <c r="U504" i="111"/>
  <c r="U503" i="111"/>
  <c r="U502" i="111"/>
  <c r="U501" i="111"/>
  <c r="U500" i="111"/>
  <c r="U499" i="111"/>
  <c r="U498" i="111"/>
  <c r="U497" i="111"/>
  <c r="U496" i="111"/>
  <c r="U495" i="111"/>
  <c r="U494" i="111"/>
  <c r="U493" i="111"/>
  <c r="U492" i="111"/>
  <c r="U491" i="111"/>
  <c r="U490" i="111"/>
  <c r="E490" i="111"/>
  <c r="U489" i="111"/>
  <c r="U488" i="111"/>
  <c r="U487" i="111"/>
  <c r="U486" i="111"/>
  <c r="U485" i="111"/>
  <c r="U484" i="111"/>
  <c r="U483" i="111"/>
  <c r="U482" i="111"/>
  <c r="U481" i="111"/>
  <c r="U480" i="111"/>
  <c r="U479" i="111"/>
  <c r="U478" i="111"/>
  <c r="U477" i="111"/>
  <c r="U476" i="111"/>
  <c r="U475" i="111"/>
  <c r="U474" i="111"/>
  <c r="U473" i="111"/>
  <c r="U472" i="111"/>
  <c r="U471" i="111"/>
  <c r="U470" i="111"/>
  <c r="U469" i="111"/>
  <c r="U468" i="111"/>
  <c r="U467" i="111"/>
  <c r="U466" i="111"/>
  <c r="E466" i="111"/>
  <c r="U465" i="111"/>
  <c r="U464" i="111"/>
  <c r="U463" i="111"/>
  <c r="U462" i="111"/>
  <c r="U461" i="111"/>
  <c r="U460" i="111"/>
  <c r="U459" i="111"/>
  <c r="U458" i="111"/>
  <c r="U457" i="111"/>
  <c r="U456" i="111"/>
  <c r="U455" i="111"/>
  <c r="U454" i="111"/>
  <c r="U453" i="111"/>
  <c r="U452" i="111"/>
  <c r="U451" i="111"/>
  <c r="U450" i="111"/>
  <c r="U449" i="111"/>
  <c r="U448" i="111"/>
  <c r="U447" i="111"/>
  <c r="U446" i="111"/>
  <c r="U445" i="111"/>
  <c r="U444" i="111"/>
  <c r="U443" i="111"/>
  <c r="U442" i="111"/>
  <c r="E442" i="111"/>
  <c r="U441" i="111"/>
  <c r="U440" i="111"/>
  <c r="U439" i="111"/>
  <c r="U438" i="111"/>
  <c r="U437" i="111"/>
  <c r="U436" i="111"/>
  <c r="U435" i="111"/>
  <c r="U434" i="111"/>
  <c r="U433" i="111"/>
  <c r="U432" i="111"/>
  <c r="U431" i="111"/>
  <c r="U430" i="111"/>
  <c r="U429" i="111"/>
  <c r="U428" i="111"/>
  <c r="U427" i="111"/>
  <c r="U426" i="111"/>
  <c r="U425" i="111"/>
  <c r="U424" i="111"/>
  <c r="U423" i="111"/>
  <c r="U422" i="111"/>
  <c r="U421" i="111"/>
  <c r="U420" i="111"/>
  <c r="U419" i="111"/>
  <c r="U418" i="111"/>
  <c r="E418" i="111"/>
  <c r="U417" i="111"/>
  <c r="U416" i="111"/>
  <c r="U415" i="111"/>
  <c r="U414" i="111"/>
  <c r="U413" i="111"/>
  <c r="U412" i="111"/>
  <c r="U411" i="111"/>
  <c r="U410" i="111"/>
  <c r="U409" i="111"/>
  <c r="U408" i="111"/>
  <c r="U407" i="111"/>
  <c r="U406" i="111"/>
  <c r="U405" i="111"/>
  <c r="U404" i="111"/>
  <c r="U403" i="111"/>
  <c r="U402" i="111"/>
  <c r="U401" i="111"/>
  <c r="U400" i="111"/>
  <c r="U399" i="111"/>
  <c r="U398" i="111"/>
  <c r="U397" i="111"/>
  <c r="U396" i="111"/>
  <c r="U395" i="111"/>
  <c r="U394" i="111"/>
  <c r="E394" i="111"/>
  <c r="U393" i="111"/>
  <c r="U392" i="111"/>
  <c r="U391" i="111"/>
  <c r="U390" i="111"/>
  <c r="U389" i="111"/>
  <c r="U388" i="111"/>
  <c r="U387" i="111"/>
  <c r="U386" i="111"/>
  <c r="U385" i="111"/>
  <c r="U384" i="111"/>
  <c r="U383" i="111"/>
  <c r="U382" i="111"/>
  <c r="U381" i="111"/>
  <c r="U380" i="111"/>
  <c r="U379" i="111"/>
  <c r="U378" i="111"/>
  <c r="U377" i="111"/>
  <c r="U376" i="111"/>
  <c r="U375" i="111"/>
  <c r="U374" i="111"/>
  <c r="U373" i="111"/>
  <c r="U372" i="111"/>
  <c r="U371" i="111"/>
  <c r="U370" i="111"/>
  <c r="E370" i="111"/>
  <c r="U369" i="111"/>
  <c r="U368" i="111"/>
  <c r="U367" i="111"/>
  <c r="U366" i="111"/>
  <c r="U365" i="111"/>
  <c r="U364" i="111"/>
  <c r="U363" i="111"/>
  <c r="U362" i="111"/>
  <c r="U361" i="111"/>
  <c r="U360" i="111"/>
  <c r="U359" i="111"/>
  <c r="U358" i="111"/>
  <c r="U357" i="111"/>
  <c r="U356" i="111"/>
  <c r="U355" i="111"/>
  <c r="U354" i="111"/>
  <c r="U353" i="111"/>
  <c r="U352" i="111"/>
  <c r="U351" i="111"/>
  <c r="U350" i="111"/>
  <c r="U349" i="111"/>
  <c r="U348" i="111"/>
  <c r="U347" i="111"/>
  <c r="U346" i="111"/>
  <c r="E346" i="111"/>
  <c r="U345" i="111"/>
  <c r="U344" i="111"/>
  <c r="U343" i="111"/>
  <c r="U342" i="111"/>
  <c r="U341" i="111"/>
  <c r="U340" i="111"/>
  <c r="U339" i="111"/>
  <c r="U338" i="111"/>
  <c r="U337" i="111"/>
  <c r="U336" i="111"/>
  <c r="U335" i="111"/>
  <c r="U334" i="111"/>
  <c r="U333" i="111"/>
  <c r="U332" i="111"/>
  <c r="U331" i="111"/>
  <c r="U330" i="111"/>
  <c r="U329" i="111"/>
  <c r="U328" i="111"/>
  <c r="U327" i="111"/>
  <c r="U326" i="111"/>
  <c r="U325" i="111"/>
  <c r="U324" i="111"/>
  <c r="U323" i="111"/>
  <c r="U322" i="111"/>
  <c r="E322" i="111"/>
  <c r="U321" i="111"/>
  <c r="U320" i="111"/>
  <c r="U319" i="111"/>
  <c r="U318" i="111"/>
  <c r="U317" i="111"/>
  <c r="U316" i="111"/>
  <c r="U315" i="111"/>
  <c r="U314" i="111"/>
  <c r="U313" i="111"/>
  <c r="U312" i="111"/>
  <c r="U311" i="111"/>
  <c r="U310" i="111"/>
  <c r="U309" i="111"/>
  <c r="U308" i="111"/>
  <c r="U307" i="111"/>
  <c r="U306" i="111"/>
  <c r="U305" i="111"/>
  <c r="U304" i="111"/>
  <c r="U303" i="111"/>
  <c r="U302" i="111"/>
  <c r="U301" i="111"/>
  <c r="U300" i="111"/>
  <c r="U299" i="111"/>
  <c r="U298" i="111"/>
  <c r="E298" i="111"/>
  <c r="U297" i="111"/>
  <c r="U296" i="111"/>
  <c r="U295" i="111"/>
  <c r="U294" i="111"/>
  <c r="U293" i="111"/>
  <c r="U292" i="111"/>
  <c r="U291" i="111"/>
  <c r="U290" i="111"/>
  <c r="U289" i="111"/>
  <c r="U288" i="111"/>
  <c r="U287" i="111"/>
  <c r="U286" i="111"/>
  <c r="U285" i="111"/>
  <c r="U284" i="111"/>
  <c r="U283" i="111"/>
  <c r="U282" i="111"/>
  <c r="U281" i="111"/>
  <c r="U280" i="111"/>
  <c r="U279" i="111"/>
  <c r="U278" i="111"/>
  <c r="U277" i="111"/>
  <c r="U276" i="111"/>
  <c r="U275" i="111"/>
  <c r="U274" i="111"/>
  <c r="E274" i="111"/>
  <c r="U273" i="111"/>
  <c r="U272" i="111"/>
  <c r="U271" i="111"/>
  <c r="U270" i="111"/>
  <c r="U269" i="111"/>
  <c r="U268" i="111"/>
  <c r="U267" i="111"/>
  <c r="U266" i="111"/>
  <c r="U265" i="111"/>
  <c r="U264" i="111"/>
  <c r="U263" i="111"/>
  <c r="U262" i="111"/>
  <c r="U261" i="111"/>
  <c r="U260" i="111"/>
  <c r="U259" i="111"/>
  <c r="U258" i="111"/>
  <c r="U257" i="111"/>
  <c r="U256" i="111"/>
  <c r="U255" i="111"/>
  <c r="U254" i="111"/>
  <c r="U253" i="111"/>
  <c r="U252" i="111"/>
  <c r="U251" i="111"/>
  <c r="U250" i="111"/>
  <c r="E250" i="111"/>
  <c r="U249" i="111"/>
  <c r="U248" i="111"/>
  <c r="U247" i="111"/>
  <c r="U246" i="111"/>
  <c r="U245" i="111"/>
  <c r="U244" i="111"/>
  <c r="U243" i="111"/>
  <c r="U242" i="111"/>
  <c r="U241" i="111"/>
  <c r="U240" i="111"/>
  <c r="U239" i="111"/>
  <c r="U238" i="111"/>
  <c r="U237" i="111"/>
  <c r="U236" i="111"/>
  <c r="U235" i="111"/>
  <c r="U234" i="111"/>
  <c r="U233" i="111"/>
  <c r="U232" i="111"/>
  <c r="U231" i="111"/>
  <c r="U230" i="111"/>
  <c r="U229" i="111"/>
  <c r="U228" i="111"/>
  <c r="U227" i="111"/>
  <c r="U226" i="111"/>
  <c r="E226" i="111"/>
  <c r="U225" i="111"/>
  <c r="U224" i="111"/>
  <c r="U223" i="111"/>
  <c r="U222" i="111"/>
  <c r="U221" i="111"/>
  <c r="U220" i="111"/>
  <c r="U219" i="111"/>
  <c r="U218" i="111"/>
  <c r="U217" i="111"/>
  <c r="U216" i="111"/>
  <c r="U215" i="111"/>
  <c r="U214" i="111"/>
  <c r="U213" i="111"/>
  <c r="U212" i="111"/>
  <c r="U211" i="111"/>
  <c r="U210" i="111"/>
  <c r="U209" i="111"/>
  <c r="U208" i="111"/>
  <c r="U207" i="111"/>
  <c r="U206" i="111"/>
  <c r="U205" i="111"/>
  <c r="U204" i="111"/>
  <c r="U203" i="111"/>
  <c r="U202" i="111"/>
  <c r="E202" i="111"/>
  <c r="U201" i="111"/>
  <c r="U200" i="111"/>
  <c r="U199" i="111"/>
  <c r="U198" i="111"/>
  <c r="U197" i="111"/>
  <c r="U196" i="111"/>
  <c r="U195" i="111"/>
  <c r="U194" i="111"/>
  <c r="U193" i="111"/>
  <c r="U192" i="111"/>
  <c r="U191" i="111"/>
  <c r="U190" i="111"/>
  <c r="U189" i="111"/>
  <c r="U188" i="111"/>
  <c r="U187" i="111"/>
  <c r="U186" i="111"/>
  <c r="U185" i="111"/>
  <c r="U184" i="111"/>
  <c r="U183" i="111"/>
  <c r="U182" i="111"/>
  <c r="U181" i="111"/>
  <c r="U180" i="111"/>
  <c r="U179" i="111"/>
  <c r="U178" i="111"/>
  <c r="E178" i="111"/>
  <c r="U177" i="111"/>
  <c r="U176" i="111"/>
  <c r="U175" i="111"/>
  <c r="U174" i="111"/>
  <c r="U173" i="111"/>
  <c r="U172" i="111"/>
  <c r="U171" i="111"/>
  <c r="U170" i="111"/>
  <c r="U169" i="111"/>
  <c r="U168" i="111"/>
  <c r="U167" i="111"/>
  <c r="U166" i="111"/>
  <c r="U165" i="111"/>
  <c r="U164" i="111"/>
  <c r="U163" i="111"/>
  <c r="U162" i="111"/>
  <c r="U161" i="111"/>
  <c r="U160" i="111"/>
  <c r="U159" i="111"/>
  <c r="U158" i="111"/>
  <c r="U157" i="111"/>
  <c r="U156" i="111"/>
  <c r="U155" i="111"/>
  <c r="U154" i="111"/>
  <c r="E154" i="111"/>
  <c r="U153" i="111"/>
  <c r="U152" i="111"/>
  <c r="U151" i="111"/>
  <c r="U150" i="111"/>
  <c r="U149" i="111"/>
  <c r="U148" i="111"/>
  <c r="U147" i="111"/>
  <c r="U146" i="111"/>
  <c r="U145" i="111"/>
  <c r="U144" i="111"/>
  <c r="U143" i="111"/>
  <c r="U142" i="111"/>
  <c r="U141" i="111"/>
  <c r="U140" i="111"/>
  <c r="U139" i="111"/>
  <c r="U138" i="111"/>
  <c r="U137" i="111"/>
  <c r="U136" i="111"/>
  <c r="U135" i="111"/>
  <c r="U134" i="111"/>
  <c r="U133" i="111"/>
  <c r="U132" i="111"/>
  <c r="U131" i="111"/>
  <c r="U130" i="111"/>
  <c r="E130" i="111"/>
  <c r="U129" i="111"/>
  <c r="U128" i="111"/>
  <c r="U127" i="111"/>
  <c r="U126" i="111"/>
  <c r="U125" i="111"/>
  <c r="U124" i="111"/>
  <c r="U123" i="111"/>
  <c r="U122" i="111"/>
  <c r="U121" i="111"/>
  <c r="U120" i="111"/>
  <c r="U119" i="111"/>
  <c r="U118" i="111"/>
  <c r="U117" i="111"/>
  <c r="U116" i="111"/>
  <c r="U115" i="111"/>
  <c r="U114" i="111"/>
  <c r="U113" i="111"/>
  <c r="U112" i="111"/>
  <c r="U111" i="111"/>
  <c r="U110" i="111"/>
  <c r="U109" i="111"/>
  <c r="U108" i="111"/>
  <c r="U107" i="111"/>
  <c r="U106" i="111"/>
  <c r="E106" i="111"/>
  <c r="U105" i="111"/>
  <c r="U104" i="111"/>
  <c r="U103" i="111"/>
  <c r="U102" i="111"/>
  <c r="U101" i="111"/>
  <c r="U100" i="111"/>
  <c r="U99" i="111"/>
  <c r="U98" i="111"/>
  <c r="U97" i="111"/>
  <c r="U96" i="111"/>
  <c r="U95" i="111"/>
  <c r="U94" i="111"/>
  <c r="U93" i="111"/>
  <c r="U92" i="111"/>
  <c r="U91" i="111"/>
  <c r="U90" i="111"/>
  <c r="U89" i="111"/>
  <c r="U88" i="111"/>
  <c r="U87" i="111"/>
  <c r="U86" i="111"/>
  <c r="U85" i="111"/>
  <c r="U84" i="111"/>
  <c r="U83" i="111"/>
  <c r="U82" i="111"/>
  <c r="E82" i="111"/>
  <c r="U81" i="111"/>
  <c r="U80" i="111"/>
  <c r="U79" i="111"/>
  <c r="U78" i="111"/>
  <c r="U77" i="111"/>
  <c r="U76" i="111"/>
  <c r="U75" i="111"/>
  <c r="U74" i="111"/>
  <c r="U73" i="111"/>
  <c r="U72" i="111"/>
  <c r="U71" i="111"/>
  <c r="U70" i="111"/>
  <c r="U69" i="111"/>
  <c r="U68" i="111"/>
  <c r="U67" i="111"/>
  <c r="U66" i="111"/>
  <c r="U65" i="111"/>
  <c r="U64" i="111"/>
  <c r="U63" i="111"/>
  <c r="U62" i="111"/>
  <c r="U61" i="111"/>
  <c r="U60" i="111"/>
  <c r="U59" i="111"/>
  <c r="U58" i="111"/>
  <c r="E58" i="111"/>
  <c r="U57" i="111"/>
  <c r="U56" i="111"/>
  <c r="U55" i="111"/>
  <c r="U54" i="111"/>
  <c r="U53" i="111"/>
  <c r="U52" i="111"/>
  <c r="U51" i="111"/>
  <c r="U50" i="111"/>
  <c r="U49" i="111"/>
  <c r="U48" i="111"/>
  <c r="U47" i="111"/>
  <c r="U46" i="111"/>
  <c r="U45" i="111"/>
  <c r="U44" i="111"/>
  <c r="U43" i="111"/>
  <c r="U42" i="111"/>
  <c r="U41" i="111"/>
  <c r="U40" i="111"/>
  <c r="U39" i="111"/>
  <c r="U38" i="111"/>
  <c r="U37" i="111"/>
  <c r="U36" i="111"/>
  <c r="U35" i="111"/>
  <c r="U34" i="111"/>
  <c r="E34" i="111"/>
  <c r="U33" i="111"/>
  <c r="U32" i="111"/>
  <c r="U31" i="111"/>
  <c r="U30" i="111"/>
  <c r="U29" i="111"/>
  <c r="U28" i="111"/>
  <c r="U27" i="111"/>
  <c r="U26" i="111"/>
  <c r="U25" i="111"/>
  <c r="U24" i="111"/>
  <c r="U23" i="111"/>
  <c r="U22" i="111"/>
  <c r="U21" i="111"/>
  <c r="U20" i="111"/>
  <c r="U19" i="111"/>
  <c r="U18" i="111"/>
  <c r="U17" i="111"/>
  <c r="U16" i="111"/>
  <c r="U15" i="111"/>
  <c r="U14" i="111"/>
  <c r="U13" i="111"/>
  <c r="U12" i="111"/>
  <c r="U11" i="111"/>
  <c r="U10" i="111"/>
  <c r="E10" i="111"/>
  <c r="U9" i="111"/>
  <c r="U8" i="111"/>
  <c r="U7" i="111"/>
  <c r="Q288" i="109" l="1"/>
  <c r="Q280" i="109"/>
  <c r="Q272" i="109"/>
  <c r="Q264" i="109"/>
  <c r="Q256" i="109"/>
  <c r="Q248" i="109"/>
  <c r="Q240" i="109"/>
  <c r="Q232" i="109"/>
  <c r="Q224" i="109"/>
  <c r="Q216" i="109"/>
  <c r="Q208" i="109"/>
  <c r="Q200" i="109"/>
  <c r="AR118" i="109"/>
  <c r="AR122" i="109" s="1"/>
  <c r="AR126" i="109" s="1"/>
  <c r="AR130" i="109" s="1"/>
  <c r="AR134" i="109" s="1"/>
  <c r="AR138" i="109" s="1"/>
  <c r="AR142" i="109" s="1"/>
  <c r="AR146" i="109" s="1"/>
  <c r="AR150" i="109" s="1"/>
  <c r="AR154" i="109" s="1"/>
  <c r="AR158" i="109" s="1"/>
  <c r="AR162" i="109" s="1"/>
  <c r="AR166" i="109" s="1"/>
  <c r="AR170" i="109" s="1"/>
  <c r="AR174" i="109" s="1"/>
  <c r="AR178" i="109" s="1"/>
  <c r="AR182" i="109" s="1"/>
  <c r="F109" i="109"/>
  <c r="Q120" i="109" s="1"/>
  <c r="AR106" i="109"/>
  <c r="AR110" i="109" s="1"/>
  <c r="AR114" i="109" s="1"/>
  <c r="AJ106" i="109"/>
  <c r="AJ108" i="109" s="1"/>
  <c r="AJ110" i="109" s="1"/>
  <c r="AJ112" i="109" s="1"/>
  <c r="AJ114" i="109" s="1"/>
  <c r="AJ116" i="109" s="1"/>
  <c r="AJ118" i="109" s="1"/>
  <c r="AJ120" i="109" s="1"/>
  <c r="AJ122" i="109" s="1"/>
  <c r="AJ124" i="109" s="1"/>
  <c r="AJ126" i="109" s="1"/>
  <c r="AJ128" i="109" s="1"/>
  <c r="AJ130" i="109" s="1"/>
  <c r="AJ132" i="109" s="1"/>
  <c r="AJ134" i="109" s="1"/>
  <c r="AJ136" i="109" s="1"/>
  <c r="AJ138" i="109" s="1"/>
  <c r="AJ140" i="109" s="1"/>
  <c r="AJ142" i="109" s="1"/>
  <c r="AJ144" i="109" s="1"/>
  <c r="AJ146" i="109" s="1"/>
  <c r="AJ148" i="109" s="1"/>
  <c r="AJ150" i="109" s="1"/>
  <c r="AJ152" i="109" s="1"/>
  <c r="AJ154" i="109" s="1"/>
  <c r="AJ156" i="109" s="1"/>
  <c r="AJ158" i="109" s="1"/>
  <c r="AJ160" i="109" s="1"/>
  <c r="AJ162" i="109" s="1"/>
  <c r="AJ164" i="109" s="1"/>
  <c r="AJ166" i="109" s="1"/>
  <c r="AJ168" i="109" s="1"/>
  <c r="AJ170" i="109" s="1"/>
  <c r="AJ172" i="109" s="1"/>
  <c r="AJ174" i="109" s="1"/>
  <c r="AJ176" i="109" s="1"/>
  <c r="AJ178" i="109" s="1"/>
  <c r="AJ180" i="109" s="1"/>
  <c r="AJ182" i="109" s="1"/>
  <c r="AJ104" i="109"/>
  <c r="AV22" i="109"/>
  <c r="AV30" i="109" s="1"/>
  <c r="AV38" i="109" s="1"/>
  <c r="AV46" i="109" s="1"/>
  <c r="AV54" i="109" s="1"/>
  <c r="AV62" i="109" s="1"/>
  <c r="AV70" i="109" s="1"/>
  <c r="AV78" i="109" s="1"/>
  <c r="AV86" i="109" s="1"/>
  <c r="AV94" i="109" s="1"/>
  <c r="AV102" i="109" s="1"/>
  <c r="AV110" i="109" s="1"/>
  <c r="AV118" i="109" s="1"/>
  <c r="AV126" i="109" s="1"/>
  <c r="AV134" i="109" s="1"/>
  <c r="AV142" i="109" s="1"/>
  <c r="AV150" i="109" s="1"/>
  <c r="AV158" i="109" s="1"/>
  <c r="AV166" i="109" s="1"/>
  <c r="AV174" i="109" s="1"/>
  <c r="AV182" i="109" s="1"/>
  <c r="AT16" i="109"/>
  <c r="AT96" i="109" s="1"/>
  <c r="AT112" i="109" s="1"/>
  <c r="AT192" i="109" s="1"/>
  <c r="AT208" i="109" s="1"/>
  <c r="F13" i="109"/>
  <c r="Q8" i="109" s="1"/>
  <c r="AR10" i="109"/>
  <c r="AR14" i="109" s="1"/>
  <c r="AR18" i="109" s="1"/>
  <c r="AR22" i="109" s="1"/>
  <c r="AR26" i="109" s="1"/>
  <c r="AR30" i="109" s="1"/>
  <c r="AR34" i="109" s="1"/>
  <c r="AR38" i="109" s="1"/>
  <c r="AR42" i="109" s="1"/>
  <c r="AR46" i="109" s="1"/>
  <c r="AR50" i="109" s="1"/>
  <c r="AR54" i="109" s="1"/>
  <c r="AR58" i="109" s="1"/>
  <c r="AR62" i="109" s="1"/>
  <c r="AR66" i="109" s="1"/>
  <c r="AR70" i="109" s="1"/>
  <c r="AR74" i="109" s="1"/>
  <c r="AR78" i="109" s="1"/>
  <c r="AR82" i="109" s="1"/>
  <c r="AR86" i="109" s="1"/>
  <c r="AR90" i="109" s="1"/>
  <c r="AR94" i="109" s="1"/>
  <c r="AR98" i="109" s="1"/>
  <c r="AR102" i="109" s="1"/>
  <c r="AJ10" i="109"/>
  <c r="AJ12" i="109" s="1"/>
  <c r="AJ14" i="109" s="1"/>
  <c r="AJ16" i="109" s="1"/>
  <c r="AJ18" i="109" s="1"/>
  <c r="AJ20" i="109" s="1"/>
  <c r="AJ22" i="109" s="1"/>
  <c r="AJ24" i="109" s="1"/>
  <c r="AJ26" i="109" s="1"/>
  <c r="AJ28" i="109" s="1"/>
  <c r="AJ30" i="109" s="1"/>
  <c r="AJ32" i="109" s="1"/>
  <c r="AJ34" i="109" s="1"/>
  <c r="AJ36" i="109" s="1"/>
  <c r="AJ38" i="109" s="1"/>
  <c r="AJ40" i="109" s="1"/>
  <c r="AJ42" i="109" s="1"/>
  <c r="AJ44" i="109" s="1"/>
  <c r="AJ46" i="109" s="1"/>
  <c r="AJ48" i="109" s="1"/>
  <c r="AJ50" i="109" s="1"/>
  <c r="AJ52" i="109" s="1"/>
  <c r="AJ54" i="109" s="1"/>
  <c r="AJ56" i="109" s="1"/>
  <c r="AJ58" i="109" s="1"/>
  <c r="AJ60" i="109" s="1"/>
  <c r="AJ62" i="109" s="1"/>
  <c r="AJ64" i="109" s="1"/>
  <c r="AJ66" i="109" s="1"/>
  <c r="AJ68" i="109" s="1"/>
  <c r="AJ70" i="109" s="1"/>
  <c r="AJ72" i="109" s="1"/>
  <c r="AJ74" i="109" s="1"/>
  <c r="AJ76" i="109" s="1"/>
  <c r="AJ78" i="109" s="1"/>
  <c r="AJ80" i="109" s="1"/>
  <c r="AJ82" i="109" s="1"/>
  <c r="AJ84" i="109" s="1"/>
  <c r="AJ86" i="109" s="1"/>
  <c r="AJ88" i="109" s="1"/>
  <c r="AJ90" i="109" s="1"/>
  <c r="AJ92" i="109" s="1"/>
  <c r="AJ94" i="109" s="1"/>
  <c r="AJ96" i="109" s="1"/>
  <c r="AJ98" i="109" s="1"/>
  <c r="AJ100" i="109" s="1"/>
  <c r="AJ102" i="109" s="1"/>
  <c r="AJ8" i="109"/>
  <c r="Q288" i="108"/>
  <c r="Q280" i="108"/>
  <c r="Q272" i="108"/>
  <c r="Q264" i="108"/>
  <c r="Q256" i="108"/>
  <c r="Q248" i="108"/>
  <c r="Q240" i="108"/>
  <c r="Q232" i="108"/>
  <c r="Q224" i="108"/>
  <c r="Q216" i="108"/>
  <c r="Q208" i="108"/>
  <c r="Q200" i="108"/>
  <c r="AR118" i="108"/>
  <c r="AR122" i="108" s="1"/>
  <c r="AR126" i="108" s="1"/>
  <c r="AR130" i="108" s="1"/>
  <c r="AR134" i="108" s="1"/>
  <c r="AR138" i="108" s="1"/>
  <c r="AR142" i="108" s="1"/>
  <c r="AR146" i="108" s="1"/>
  <c r="AR150" i="108" s="1"/>
  <c r="AR154" i="108" s="1"/>
  <c r="AR158" i="108" s="1"/>
  <c r="AR162" i="108" s="1"/>
  <c r="AR166" i="108" s="1"/>
  <c r="AR170" i="108" s="1"/>
  <c r="AR174" i="108" s="1"/>
  <c r="AR178" i="108" s="1"/>
  <c r="AR182" i="108" s="1"/>
  <c r="F109" i="108"/>
  <c r="F189" i="108" s="1"/>
  <c r="AR106" i="108"/>
  <c r="AR110" i="108" s="1"/>
  <c r="AR114" i="108" s="1"/>
  <c r="AJ106" i="108"/>
  <c r="AJ108" i="108" s="1"/>
  <c r="AJ110" i="108" s="1"/>
  <c r="AJ112" i="108" s="1"/>
  <c r="AJ114" i="108" s="1"/>
  <c r="AJ116" i="108" s="1"/>
  <c r="AJ118" i="108" s="1"/>
  <c r="AJ120" i="108" s="1"/>
  <c r="AJ122" i="108" s="1"/>
  <c r="AJ124" i="108" s="1"/>
  <c r="AJ126" i="108" s="1"/>
  <c r="AJ128" i="108" s="1"/>
  <c r="AJ130" i="108" s="1"/>
  <c r="AJ132" i="108" s="1"/>
  <c r="AJ134" i="108" s="1"/>
  <c r="AJ136" i="108" s="1"/>
  <c r="AJ138" i="108" s="1"/>
  <c r="AJ140" i="108" s="1"/>
  <c r="AJ142" i="108" s="1"/>
  <c r="AJ144" i="108" s="1"/>
  <c r="AJ146" i="108" s="1"/>
  <c r="AJ148" i="108" s="1"/>
  <c r="AJ150" i="108" s="1"/>
  <c r="AJ152" i="108" s="1"/>
  <c r="AJ154" i="108" s="1"/>
  <c r="AJ156" i="108" s="1"/>
  <c r="AJ158" i="108" s="1"/>
  <c r="AJ160" i="108" s="1"/>
  <c r="AJ162" i="108" s="1"/>
  <c r="AJ164" i="108" s="1"/>
  <c r="AJ166" i="108" s="1"/>
  <c r="AJ168" i="108" s="1"/>
  <c r="AJ170" i="108" s="1"/>
  <c r="AJ172" i="108" s="1"/>
  <c r="AJ174" i="108" s="1"/>
  <c r="AJ176" i="108" s="1"/>
  <c r="AJ178" i="108" s="1"/>
  <c r="AJ180" i="108" s="1"/>
  <c r="AJ182" i="108" s="1"/>
  <c r="AJ104" i="108"/>
  <c r="AZ95" i="108"/>
  <c r="F93" i="108"/>
  <c r="Q96" i="108" s="1"/>
  <c r="Q88" i="108"/>
  <c r="Q80" i="108"/>
  <c r="Q72" i="108"/>
  <c r="Q64" i="108"/>
  <c r="Q56" i="108"/>
  <c r="Q48" i="108"/>
  <c r="AZ54" i="108" s="1"/>
  <c r="Q40" i="108"/>
  <c r="Q32" i="108"/>
  <c r="Q24" i="108"/>
  <c r="AV22" i="108"/>
  <c r="AV30" i="108" s="1"/>
  <c r="AV38" i="108" s="1"/>
  <c r="AV46" i="108" s="1"/>
  <c r="AV54" i="108" s="1"/>
  <c r="AV62" i="108" s="1"/>
  <c r="AV70" i="108" s="1"/>
  <c r="AV78" i="108" s="1"/>
  <c r="AV86" i="108" s="1"/>
  <c r="AV94" i="108" s="1"/>
  <c r="AV102" i="108" s="1"/>
  <c r="AV110" i="108" s="1"/>
  <c r="AV118" i="108" s="1"/>
  <c r="AV126" i="108" s="1"/>
  <c r="AV134" i="108" s="1"/>
  <c r="AV142" i="108" s="1"/>
  <c r="AV150" i="108" s="1"/>
  <c r="AV158" i="108" s="1"/>
  <c r="AV166" i="108" s="1"/>
  <c r="AV174" i="108" s="1"/>
  <c r="AV182" i="108" s="1"/>
  <c r="AT16" i="108"/>
  <c r="AT96" i="108" s="1"/>
  <c r="AT112" i="108" s="1"/>
  <c r="AT192" i="108" s="1"/>
  <c r="AT208" i="108" s="1"/>
  <c r="AT288" i="108" s="1"/>
  <c r="AJ16" i="108"/>
  <c r="AJ18" i="108" s="1"/>
  <c r="AJ20" i="108" s="1"/>
  <c r="AJ22" i="108" s="1"/>
  <c r="AJ24" i="108" s="1"/>
  <c r="AJ26" i="108" s="1"/>
  <c r="AJ28" i="108" s="1"/>
  <c r="AJ30" i="108" s="1"/>
  <c r="AJ32" i="108" s="1"/>
  <c r="AJ34" i="108" s="1"/>
  <c r="AJ36" i="108" s="1"/>
  <c r="AJ38" i="108" s="1"/>
  <c r="AJ40" i="108" s="1"/>
  <c r="AJ42" i="108" s="1"/>
  <c r="AJ44" i="108" s="1"/>
  <c r="AJ46" i="108" s="1"/>
  <c r="AJ48" i="108" s="1"/>
  <c r="AJ50" i="108" s="1"/>
  <c r="AJ52" i="108" s="1"/>
  <c r="AJ54" i="108" s="1"/>
  <c r="AJ56" i="108" s="1"/>
  <c r="AJ58" i="108" s="1"/>
  <c r="AJ60" i="108" s="1"/>
  <c r="AJ62" i="108" s="1"/>
  <c r="AJ64" i="108" s="1"/>
  <c r="AJ66" i="108" s="1"/>
  <c r="AJ68" i="108" s="1"/>
  <c r="AJ70" i="108" s="1"/>
  <c r="AJ72" i="108" s="1"/>
  <c r="AJ74" i="108" s="1"/>
  <c r="AJ76" i="108" s="1"/>
  <c r="AJ78" i="108" s="1"/>
  <c r="AJ80" i="108" s="1"/>
  <c r="AJ82" i="108" s="1"/>
  <c r="AJ84" i="108" s="1"/>
  <c r="AJ86" i="108" s="1"/>
  <c r="AJ88" i="108" s="1"/>
  <c r="AJ90" i="108" s="1"/>
  <c r="AJ92" i="108" s="1"/>
  <c r="AJ94" i="108" s="1"/>
  <c r="AJ96" i="108" s="1"/>
  <c r="AR14" i="108"/>
  <c r="AR18" i="108" s="1"/>
  <c r="AR22" i="108" s="1"/>
  <c r="AR26" i="108" s="1"/>
  <c r="AR30" i="108" s="1"/>
  <c r="AR34" i="108" s="1"/>
  <c r="AR38" i="108" s="1"/>
  <c r="AR42" i="108" s="1"/>
  <c r="AR46" i="108" s="1"/>
  <c r="AR50" i="108" s="1"/>
  <c r="AR54" i="108" s="1"/>
  <c r="AR58" i="108" s="1"/>
  <c r="AR62" i="108" s="1"/>
  <c r="AR66" i="108" s="1"/>
  <c r="AR70" i="108" s="1"/>
  <c r="AR74" i="108" s="1"/>
  <c r="AR78" i="108" s="1"/>
  <c r="AR82" i="108" s="1"/>
  <c r="AR86" i="108" s="1"/>
  <c r="AR90" i="108" s="1"/>
  <c r="AR94" i="108" s="1"/>
  <c r="AR98" i="108" s="1"/>
  <c r="AR102" i="108" s="1"/>
  <c r="F13" i="108"/>
  <c r="Q16" i="108" s="1"/>
  <c r="AR10" i="108"/>
  <c r="AJ8" i="108"/>
  <c r="AJ10" i="108" s="1"/>
  <c r="AJ12" i="108" s="1"/>
  <c r="AJ14" i="108" s="1"/>
  <c r="Q288" i="107"/>
  <c r="Q280" i="107"/>
  <c r="Q272" i="107"/>
  <c r="Q264" i="107"/>
  <c r="Q256" i="107"/>
  <c r="Q248" i="107"/>
  <c r="Q240" i="107"/>
  <c r="Q232" i="107"/>
  <c r="Q224" i="107"/>
  <c r="Q216" i="107"/>
  <c r="Q208" i="107"/>
  <c r="Q200" i="107"/>
  <c r="F109" i="107"/>
  <c r="F189" i="107" s="1"/>
  <c r="AR106" i="107"/>
  <c r="AR110" i="107" s="1"/>
  <c r="AR114" i="107" s="1"/>
  <c r="AR118" i="107" s="1"/>
  <c r="AR122" i="107" s="1"/>
  <c r="AR126" i="107" s="1"/>
  <c r="AR130" i="107" s="1"/>
  <c r="AR134" i="107" s="1"/>
  <c r="AR138" i="107" s="1"/>
  <c r="AR142" i="107" s="1"/>
  <c r="AR146" i="107" s="1"/>
  <c r="AR150" i="107" s="1"/>
  <c r="AR154" i="107" s="1"/>
  <c r="AR158" i="107" s="1"/>
  <c r="AR162" i="107" s="1"/>
  <c r="AR166" i="107" s="1"/>
  <c r="AR170" i="107" s="1"/>
  <c r="AR174" i="107" s="1"/>
  <c r="AR178" i="107" s="1"/>
  <c r="AR182" i="107" s="1"/>
  <c r="AJ106" i="107"/>
  <c r="AJ108" i="107" s="1"/>
  <c r="AJ110" i="107" s="1"/>
  <c r="AJ112" i="107" s="1"/>
  <c r="AJ114" i="107" s="1"/>
  <c r="AJ116" i="107" s="1"/>
  <c r="AJ118" i="107" s="1"/>
  <c r="AJ120" i="107" s="1"/>
  <c r="AJ122" i="107" s="1"/>
  <c r="AJ124" i="107" s="1"/>
  <c r="AJ126" i="107" s="1"/>
  <c r="AJ128" i="107" s="1"/>
  <c r="AJ130" i="107" s="1"/>
  <c r="AJ132" i="107" s="1"/>
  <c r="AJ134" i="107" s="1"/>
  <c r="AJ136" i="107" s="1"/>
  <c r="AJ138" i="107" s="1"/>
  <c r="AJ140" i="107" s="1"/>
  <c r="AJ142" i="107" s="1"/>
  <c r="AJ144" i="107" s="1"/>
  <c r="AJ146" i="107" s="1"/>
  <c r="AJ148" i="107" s="1"/>
  <c r="AJ150" i="107" s="1"/>
  <c r="AJ152" i="107" s="1"/>
  <c r="AJ154" i="107" s="1"/>
  <c r="AJ156" i="107" s="1"/>
  <c r="AJ158" i="107" s="1"/>
  <c r="AJ160" i="107" s="1"/>
  <c r="AJ162" i="107" s="1"/>
  <c r="AJ164" i="107" s="1"/>
  <c r="AJ166" i="107" s="1"/>
  <c r="AJ168" i="107" s="1"/>
  <c r="AJ170" i="107" s="1"/>
  <c r="AJ172" i="107" s="1"/>
  <c r="AJ174" i="107" s="1"/>
  <c r="AJ176" i="107" s="1"/>
  <c r="AJ178" i="107" s="1"/>
  <c r="AJ180" i="107" s="1"/>
  <c r="AJ182" i="107" s="1"/>
  <c r="AJ104" i="107"/>
  <c r="AV94" i="107"/>
  <c r="AV102" i="107" s="1"/>
  <c r="AV110" i="107" s="1"/>
  <c r="AV118" i="107" s="1"/>
  <c r="AV126" i="107" s="1"/>
  <c r="AV134" i="107" s="1"/>
  <c r="AV142" i="107" s="1"/>
  <c r="AV150" i="107" s="1"/>
  <c r="AV158" i="107" s="1"/>
  <c r="AV166" i="107" s="1"/>
  <c r="AV174" i="107" s="1"/>
  <c r="AV182" i="107" s="1"/>
  <c r="F93" i="107"/>
  <c r="Q96" i="107" s="1"/>
  <c r="Q80" i="107"/>
  <c r="Q72" i="107"/>
  <c r="Q64" i="107"/>
  <c r="Q56" i="107"/>
  <c r="Q48" i="107"/>
  <c r="Q40" i="107"/>
  <c r="Q32" i="107"/>
  <c r="Q24" i="107"/>
  <c r="AV22" i="107"/>
  <c r="AV30" i="107" s="1"/>
  <c r="AV38" i="107" s="1"/>
  <c r="AV46" i="107" s="1"/>
  <c r="AV54" i="107" s="1"/>
  <c r="AV62" i="107" s="1"/>
  <c r="AV70" i="107" s="1"/>
  <c r="AV78" i="107" s="1"/>
  <c r="AV86" i="107" s="1"/>
  <c r="AT16" i="107"/>
  <c r="AT96" i="107" s="1"/>
  <c r="AT112" i="107" s="1"/>
  <c r="AT192" i="107" s="1"/>
  <c r="AT208" i="107" s="1"/>
  <c r="AT288" i="107" s="1"/>
  <c r="AZ15" i="107"/>
  <c r="F13" i="107"/>
  <c r="Q16" i="107" s="1"/>
  <c r="AR10" i="107"/>
  <c r="AR14" i="107" s="1"/>
  <c r="AR18" i="107" s="1"/>
  <c r="AR22" i="107" s="1"/>
  <c r="AR26" i="107" s="1"/>
  <c r="AR30" i="107" s="1"/>
  <c r="AJ8" i="107"/>
  <c r="AJ10" i="107" s="1"/>
  <c r="AJ12" i="107" s="1"/>
  <c r="AJ14" i="107" s="1"/>
  <c r="AJ16" i="107" s="1"/>
  <c r="AJ18" i="107" s="1"/>
  <c r="AJ20" i="107" s="1"/>
  <c r="AJ22" i="107" s="1"/>
  <c r="AX287" i="106"/>
  <c r="AX279" i="106"/>
  <c r="AX271" i="106"/>
  <c r="AX263" i="106"/>
  <c r="AX255" i="106"/>
  <c r="AX247" i="106"/>
  <c r="AX239" i="106"/>
  <c r="AX231" i="106"/>
  <c r="AX223" i="106"/>
  <c r="AX215" i="106"/>
  <c r="AX207" i="106"/>
  <c r="AX199" i="106"/>
  <c r="Q192" i="106"/>
  <c r="F189" i="106"/>
  <c r="Q184" i="106" s="1"/>
  <c r="Q176" i="106"/>
  <c r="AX175" i="106"/>
  <c r="Q168" i="106"/>
  <c r="AX167" i="106"/>
  <c r="Q160" i="106"/>
  <c r="AX159" i="106"/>
  <c r="Q152" i="106"/>
  <c r="AX151" i="106"/>
  <c r="Q144" i="106"/>
  <c r="AX143" i="106"/>
  <c r="Q136" i="106"/>
  <c r="AX135" i="106"/>
  <c r="Q128" i="106"/>
  <c r="AX127" i="106"/>
  <c r="Q120" i="106"/>
  <c r="AX121" i="106" s="1"/>
  <c r="AX119" i="106"/>
  <c r="AR118" i="106"/>
  <c r="AR122" i="106" s="1"/>
  <c r="AR126" i="106" s="1"/>
  <c r="AR130" i="106" s="1"/>
  <c r="AR134" i="106" s="1"/>
  <c r="AR138" i="106" s="1"/>
  <c r="Q112" i="106"/>
  <c r="AX111" i="106"/>
  <c r="AJ110" i="106"/>
  <c r="AJ112" i="106" s="1"/>
  <c r="AJ114" i="106" s="1"/>
  <c r="AJ116" i="106" s="1"/>
  <c r="AR106" i="106"/>
  <c r="AR110" i="106" s="1"/>
  <c r="AR114" i="106" s="1"/>
  <c r="AX105" i="106"/>
  <c r="AJ104" i="106"/>
  <c r="AJ106" i="106" s="1"/>
  <c r="AJ108" i="106" s="1"/>
  <c r="Q104" i="106"/>
  <c r="AX103" i="106"/>
  <c r="F93" i="106"/>
  <c r="Q96" i="106" s="1"/>
  <c r="Q80" i="106"/>
  <c r="Q72" i="106"/>
  <c r="Q64" i="106"/>
  <c r="Q56" i="106"/>
  <c r="Q48" i="106"/>
  <c r="Q40" i="106"/>
  <c r="Q32" i="106"/>
  <c r="Q24" i="106"/>
  <c r="AT22" i="106"/>
  <c r="AT30" i="106" s="1"/>
  <c r="AT38" i="106" s="1"/>
  <c r="AT46" i="106" s="1"/>
  <c r="AT54" i="106" s="1"/>
  <c r="AT62" i="106" s="1"/>
  <c r="AT70" i="106" s="1"/>
  <c r="AT78" i="106" s="1"/>
  <c r="AT86" i="106" s="1"/>
  <c r="AT94" i="106" s="1"/>
  <c r="AT102" i="106" s="1"/>
  <c r="AT110" i="106" s="1"/>
  <c r="Q16" i="106"/>
  <c r="AX11" i="106"/>
  <c r="AR10" i="106"/>
  <c r="AR14" i="106" s="1"/>
  <c r="AR18" i="106" s="1"/>
  <c r="AR22" i="106" s="1"/>
  <c r="AR26" i="106" s="1"/>
  <c r="AR30" i="106" s="1"/>
  <c r="AR34" i="106" s="1"/>
  <c r="AR38" i="106" s="1"/>
  <c r="AR42" i="106" s="1"/>
  <c r="AR46" i="106" s="1"/>
  <c r="AX9" i="106"/>
  <c r="AJ8" i="106"/>
  <c r="AJ10" i="106" s="1"/>
  <c r="AJ12" i="106" s="1"/>
  <c r="Q8" i="106"/>
  <c r="AX13" i="106" s="1"/>
  <c r="AX7" i="106"/>
  <c r="R148" i="105"/>
  <c r="R144" i="105"/>
  <c r="R140" i="105"/>
  <c r="R136" i="105"/>
  <c r="R132" i="105"/>
  <c r="R128" i="105"/>
  <c r="R124" i="105"/>
  <c r="R120" i="105"/>
  <c r="R116" i="105"/>
  <c r="R112" i="105"/>
  <c r="R108" i="105"/>
  <c r="R104" i="105"/>
  <c r="R100" i="105"/>
  <c r="AX101" i="105" s="1"/>
  <c r="R96" i="105"/>
  <c r="R92" i="105"/>
  <c r="R88" i="105"/>
  <c r="R84" i="105"/>
  <c r="R80" i="105"/>
  <c r="R76" i="105"/>
  <c r="R72" i="105"/>
  <c r="R68" i="105"/>
  <c r="R64" i="105"/>
  <c r="F61" i="105"/>
  <c r="AK60" i="105"/>
  <c r="AK62" i="105" s="1"/>
  <c r="AK64" i="105" s="1"/>
  <c r="AK66" i="105" s="1"/>
  <c r="AK68" i="105" s="1"/>
  <c r="AK70" i="105" s="1"/>
  <c r="AK72" i="105" s="1"/>
  <c r="AK74" i="105" s="1"/>
  <c r="AK76" i="105" s="1"/>
  <c r="AK78" i="105" s="1"/>
  <c r="AK80" i="105" s="1"/>
  <c r="AK82" i="105" s="1"/>
  <c r="AK84" i="105" s="1"/>
  <c r="AK86" i="105" s="1"/>
  <c r="AK88" i="105" s="1"/>
  <c r="AK90" i="105" s="1"/>
  <c r="AK92" i="105" s="1"/>
  <c r="AK94" i="105" s="1"/>
  <c r="AK96" i="105" s="1"/>
  <c r="AK98" i="105" s="1"/>
  <c r="AK100" i="105" s="1"/>
  <c r="AK102" i="105" s="1"/>
  <c r="AK104" i="105" s="1"/>
  <c r="AK106" i="105" s="1"/>
  <c r="AK108" i="105" s="1"/>
  <c r="AK110" i="105" s="1"/>
  <c r="AK112" i="105" s="1"/>
  <c r="AK114" i="105" s="1"/>
  <c r="AK116" i="105" s="1"/>
  <c r="AK118" i="105" s="1"/>
  <c r="AK120" i="105" s="1"/>
  <c r="AK122" i="105" s="1"/>
  <c r="AK124" i="105" s="1"/>
  <c r="AK126" i="105" s="1"/>
  <c r="AK128" i="105" s="1"/>
  <c r="AK130" i="105" s="1"/>
  <c r="AK132" i="105" s="1"/>
  <c r="AK134" i="105" s="1"/>
  <c r="AK136" i="105" s="1"/>
  <c r="AK138" i="105" s="1"/>
  <c r="AK140" i="105" s="1"/>
  <c r="AK142" i="105" s="1"/>
  <c r="AK144" i="105" s="1"/>
  <c r="AK146" i="105" s="1"/>
  <c r="AK148" i="105" s="1"/>
  <c r="AK150" i="105" s="1"/>
  <c r="R60" i="105"/>
  <c r="AU58" i="105"/>
  <c r="R56" i="105"/>
  <c r="AX58" i="105" s="1"/>
  <c r="AX52" i="105"/>
  <c r="R52" i="105"/>
  <c r="AX50" i="105"/>
  <c r="R48" i="105"/>
  <c r="AX49" i="105" s="1"/>
  <c r="AX44" i="105"/>
  <c r="R44" i="105"/>
  <c r="AX42" i="105"/>
  <c r="R40" i="105"/>
  <c r="AX41" i="105" s="1"/>
  <c r="AX36" i="105"/>
  <c r="R36" i="105"/>
  <c r="AX34" i="105"/>
  <c r="R32" i="105"/>
  <c r="AX33" i="105" s="1"/>
  <c r="AX28" i="105"/>
  <c r="R28" i="105"/>
  <c r="AX26" i="105"/>
  <c r="R24" i="105"/>
  <c r="AX25" i="105" s="1"/>
  <c r="AX20" i="105"/>
  <c r="R20" i="105"/>
  <c r="AX18" i="105"/>
  <c r="R16" i="105"/>
  <c r="AX17" i="105" s="1"/>
  <c r="F13" i="105"/>
  <c r="R12" i="105"/>
  <c r="AX11" i="105"/>
  <c r="AS10" i="105"/>
  <c r="AS14" i="105" s="1"/>
  <c r="AS18" i="105" s="1"/>
  <c r="AS22" i="105" s="1"/>
  <c r="AS26" i="105" s="1"/>
  <c r="AS30" i="105" s="1"/>
  <c r="AS34" i="105" s="1"/>
  <c r="AS38" i="105" s="1"/>
  <c r="AS42" i="105" s="1"/>
  <c r="AS46" i="105" s="1"/>
  <c r="AS50" i="105" s="1"/>
  <c r="AS54" i="105" s="1"/>
  <c r="AS58" i="105" s="1"/>
  <c r="AS62" i="105" s="1"/>
  <c r="AS66" i="105" s="1"/>
  <c r="AS70" i="105" s="1"/>
  <c r="AS74" i="105" s="1"/>
  <c r="AS78" i="105" s="1"/>
  <c r="AS82" i="105" s="1"/>
  <c r="AS86" i="105" s="1"/>
  <c r="AS90" i="105" s="1"/>
  <c r="AS94" i="105" s="1"/>
  <c r="AS98" i="105" s="1"/>
  <c r="AS102" i="105" s="1"/>
  <c r="AS106" i="105" s="1"/>
  <c r="AS110" i="105" s="1"/>
  <c r="AX9" i="105"/>
  <c r="AK8" i="105"/>
  <c r="AK10" i="105" s="1"/>
  <c r="AK12" i="105" s="1"/>
  <c r="AK14" i="105" s="1"/>
  <c r="AK16" i="105" s="1"/>
  <c r="AK18" i="105" s="1"/>
  <c r="AK20" i="105" s="1"/>
  <c r="AK22" i="105" s="1"/>
  <c r="AK24" i="105" s="1"/>
  <c r="AK26" i="105" s="1"/>
  <c r="AK28" i="105" s="1"/>
  <c r="AK30" i="105" s="1"/>
  <c r="AK32" i="105" s="1"/>
  <c r="AK34" i="105" s="1"/>
  <c r="AK36" i="105" s="1"/>
  <c r="AK38" i="105" s="1"/>
  <c r="AK40" i="105" s="1"/>
  <c r="AK42" i="105" s="1"/>
  <c r="AK44" i="105" s="1"/>
  <c r="AK46" i="105" s="1"/>
  <c r="AK48" i="105" s="1"/>
  <c r="AK50" i="105" s="1"/>
  <c r="AK52" i="105" s="1"/>
  <c r="AK54" i="105" s="1"/>
  <c r="AK56" i="105" s="1"/>
  <c r="AK58" i="105" s="1"/>
  <c r="R8" i="105"/>
  <c r="AX10" i="105" s="1"/>
  <c r="AX7" i="105"/>
  <c r="R148" i="104"/>
  <c r="R144" i="104"/>
  <c r="R140" i="104"/>
  <c r="R136" i="104"/>
  <c r="R132" i="104"/>
  <c r="R128" i="104"/>
  <c r="R124" i="104"/>
  <c r="R120" i="104"/>
  <c r="R116" i="104"/>
  <c r="R112" i="104"/>
  <c r="R108" i="104"/>
  <c r="R104" i="104"/>
  <c r="R100" i="104"/>
  <c r="R96" i="104"/>
  <c r="R92" i="104"/>
  <c r="R88" i="104"/>
  <c r="R84" i="104"/>
  <c r="R80" i="104"/>
  <c r="R76" i="104"/>
  <c r="R72" i="104"/>
  <c r="R68" i="104"/>
  <c r="R64" i="104"/>
  <c r="F61" i="104"/>
  <c r="R60" i="104"/>
  <c r="AU58" i="104"/>
  <c r="R56" i="104"/>
  <c r="R52" i="104"/>
  <c r="AX51" i="104"/>
  <c r="R48" i="104"/>
  <c r="AX47" i="104"/>
  <c r="R44" i="104"/>
  <c r="AX43" i="104"/>
  <c r="R40" i="104"/>
  <c r="AX39" i="104"/>
  <c r="R36" i="104"/>
  <c r="AX35" i="104"/>
  <c r="R32" i="104"/>
  <c r="AX31" i="104"/>
  <c r="R28" i="104"/>
  <c r="AX27" i="104"/>
  <c r="R24" i="104"/>
  <c r="AX23" i="104"/>
  <c r="R20" i="104"/>
  <c r="AX19" i="104"/>
  <c r="R16" i="104"/>
  <c r="AX15" i="104"/>
  <c r="F13" i="104"/>
  <c r="R12" i="104"/>
  <c r="AX11" i="104"/>
  <c r="AS10" i="104"/>
  <c r="AS14" i="104" s="1"/>
  <c r="AS18" i="104" s="1"/>
  <c r="AK10" i="104"/>
  <c r="AK12" i="104" s="1"/>
  <c r="AK14" i="104" s="1"/>
  <c r="AK16" i="104" s="1"/>
  <c r="AK18" i="104" s="1"/>
  <c r="AK20" i="104" s="1"/>
  <c r="AK22" i="104" s="1"/>
  <c r="AK24" i="104" s="1"/>
  <c r="AK26" i="104" s="1"/>
  <c r="AK28" i="104" s="1"/>
  <c r="AK30" i="104" s="1"/>
  <c r="AK32" i="104" s="1"/>
  <c r="AK34" i="104" s="1"/>
  <c r="AK36" i="104" s="1"/>
  <c r="AK38" i="104" s="1"/>
  <c r="AK40" i="104" s="1"/>
  <c r="AK42" i="104" s="1"/>
  <c r="AK44" i="104" s="1"/>
  <c r="AK46" i="104" s="1"/>
  <c r="AK48" i="104" s="1"/>
  <c r="AK50" i="104" s="1"/>
  <c r="AK52" i="104" s="1"/>
  <c r="AK54" i="104" s="1"/>
  <c r="AK56" i="104" s="1"/>
  <c r="AK58" i="104" s="1"/>
  <c r="AX9" i="104"/>
  <c r="AK8" i="104"/>
  <c r="R8" i="104"/>
  <c r="AX10" i="104" s="1"/>
  <c r="AX7" i="104"/>
  <c r="R148" i="103"/>
  <c r="R144" i="103"/>
  <c r="R140" i="103"/>
  <c r="R136" i="103"/>
  <c r="R132" i="103"/>
  <c r="R128" i="103"/>
  <c r="R124" i="103"/>
  <c r="R120" i="103"/>
  <c r="R116" i="103"/>
  <c r="R112" i="103"/>
  <c r="R108" i="103"/>
  <c r="R104" i="103"/>
  <c r="R100" i="103"/>
  <c r="R96" i="103"/>
  <c r="R92" i="103"/>
  <c r="R88" i="103"/>
  <c r="R84" i="103"/>
  <c r="R80" i="103"/>
  <c r="R76" i="103"/>
  <c r="R72" i="103"/>
  <c r="R68" i="103"/>
  <c r="R64" i="103"/>
  <c r="F61" i="103"/>
  <c r="AK60" i="103"/>
  <c r="AX60" i="103" s="1"/>
  <c r="R60" i="103"/>
  <c r="AU58" i="103"/>
  <c r="R56" i="103"/>
  <c r="R52" i="103"/>
  <c r="AX51" i="103"/>
  <c r="R48" i="103"/>
  <c r="AX47" i="103"/>
  <c r="R44" i="103"/>
  <c r="AX43" i="103"/>
  <c r="R40" i="103"/>
  <c r="AX39" i="103"/>
  <c r="R36" i="103"/>
  <c r="AX35" i="103"/>
  <c r="R32" i="103"/>
  <c r="AX31" i="103"/>
  <c r="R28" i="103"/>
  <c r="AX27" i="103"/>
  <c r="R24" i="103"/>
  <c r="AX23" i="103"/>
  <c r="R20" i="103"/>
  <c r="AX19" i="103"/>
  <c r="R16" i="103"/>
  <c r="AX15" i="103"/>
  <c r="F13" i="103"/>
  <c r="R12" i="103"/>
  <c r="AX11" i="103"/>
  <c r="AS10" i="103"/>
  <c r="AS14" i="103" s="1"/>
  <c r="AS18" i="103" s="1"/>
  <c r="AK10" i="103"/>
  <c r="AK12" i="103" s="1"/>
  <c r="AK14" i="103" s="1"/>
  <c r="AK16" i="103" s="1"/>
  <c r="AK18" i="103" s="1"/>
  <c r="AK20" i="103" s="1"/>
  <c r="AK22" i="103" s="1"/>
  <c r="AK24" i="103" s="1"/>
  <c r="AK26" i="103" s="1"/>
  <c r="AK28" i="103" s="1"/>
  <c r="AK30" i="103" s="1"/>
  <c r="AK32" i="103" s="1"/>
  <c r="AK34" i="103" s="1"/>
  <c r="AK36" i="103" s="1"/>
  <c r="AK38" i="103" s="1"/>
  <c r="AK40" i="103" s="1"/>
  <c r="AK42" i="103" s="1"/>
  <c r="AK44" i="103" s="1"/>
  <c r="AK46" i="103" s="1"/>
  <c r="AK48" i="103" s="1"/>
  <c r="AK50" i="103" s="1"/>
  <c r="AK52" i="103" s="1"/>
  <c r="AK54" i="103" s="1"/>
  <c r="AK56" i="103" s="1"/>
  <c r="AK58" i="103" s="1"/>
  <c r="AX9" i="103"/>
  <c r="AK8" i="103"/>
  <c r="R8" i="103"/>
  <c r="AX10" i="103" s="1"/>
  <c r="AX7" i="103"/>
  <c r="AX187" i="102"/>
  <c r="AX186" i="102"/>
  <c r="AX185" i="102"/>
  <c r="AX184" i="102"/>
  <c r="AX183" i="102"/>
  <c r="AX182" i="102"/>
  <c r="AX181" i="102"/>
  <c r="AX176" i="102"/>
  <c r="AX171" i="102"/>
  <c r="AX167" i="102"/>
  <c r="AX163" i="102"/>
  <c r="AX159" i="102"/>
  <c r="AX155" i="102"/>
  <c r="AX151" i="102"/>
  <c r="AX147" i="102"/>
  <c r="AX143" i="102"/>
  <c r="AX139" i="102"/>
  <c r="AX135" i="102"/>
  <c r="AX131" i="102"/>
  <c r="AX127" i="102"/>
  <c r="AX123" i="102"/>
  <c r="AX119" i="102"/>
  <c r="AX115" i="102"/>
  <c r="AX111" i="102"/>
  <c r="AX107" i="102"/>
  <c r="AX103" i="102"/>
  <c r="U100" i="102"/>
  <c r="AX99" i="102"/>
  <c r="U96" i="102"/>
  <c r="AX95" i="102"/>
  <c r="U92" i="102"/>
  <c r="AX91" i="102"/>
  <c r="U88" i="102"/>
  <c r="AX87" i="102"/>
  <c r="U84" i="102"/>
  <c r="AX83" i="102"/>
  <c r="U80" i="102"/>
  <c r="U76" i="102"/>
  <c r="U72" i="102"/>
  <c r="U68" i="102"/>
  <c r="U64" i="102"/>
  <c r="U60" i="102"/>
  <c r="U56" i="102"/>
  <c r="U52" i="102"/>
  <c r="U48" i="102"/>
  <c r="U44" i="102"/>
  <c r="U40" i="102"/>
  <c r="U36" i="102"/>
  <c r="U32" i="102"/>
  <c r="U28" i="102"/>
  <c r="U24" i="102"/>
  <c r="U20" i="102"/>
  <c r="U16" i="102"/>
  <c r="AV14" i="102"/>
  <c r="AV18" i="102" s="1"/>
  <c r="AV22" i="102" s="1"/>
  <c r="AV26" i="102" s="1"/>
  <c r="AV30" i="102" s="1"/>
  <c r="AV34" i="102" s="1"/>
  <c r="AV38" i="102" s="1"/>
  <c r="AV42" i="102" s="1"/>
  <c r="AV46" i="102" s="1"/>
  <c r="AV50" i="102" s="1"/>
  <c r="AV54" i="102" s="1"/>
  <c r="AV58" i="102" s="1"/>
  <c r="AV62" i="102" s="1"/>
  <c r="AV66" i="102" s="1"/>
  <c r="AV70" i="102" s="1"/>
  <c r="AV74" i="102" s="1"/>
  <c r="AV78" i="102" s="1"/>
  <c r="AV82" i="102" s="1"/>
  <c r="AV86" i="102" s="1"/>
  <c r="AV90" i="102" s="1"/>
  <c r="AN12" i="102"/>
  <c r="AN14" i="102" s="1"/>
  <c r="AN16" i="102" s="1"/>
  <c r="AN18" i="102" s="1"/>
  <c r="AN20" i="102" s="1"/>
  <c r="AN22" i="102" s="1"/>
  <c r="AN24" i="102" s="1"/>
  <c r="AN26" i="102" s="1"/>
  <c r="AN28" i="102" s="1"/>
  <c r="AN30" i="102" s="1"/>
  <c r="AN32" i="102" s="1"/>
  <c r="AN34" i="102" s="1"/>
  <c r="AN36" i="102" s="1"/>
  <c r="AN38" i="102" s="1"/>
  <c r="AN40" i="102" s="1"/>
  <c r="AN42" i="102" s="1"/>
  <c r="AN44" i="102" s="1"/>
  <c r="AN46" i="102" s="1"/>
  <c r="AN48" i="102" s="1"/>
  <c r="AN50" i="102" s="1"/>
  <c r="AN52" i="102" s="1"/>
  <c r="AN54" i="102" s="1"/>
  <c r="AN56" i="102" s="1"/>
  <c r="AN58" i="102" s="1"/>
  <c r="AN60" i="102" s="1"/>
  <c r="AN62" i="102" s="1"/>
  <c r="AN64" i="102" s="1"/>
  <c r="AN66" i="102" s="1"/>
  <c r="AN68" i="102" s="1"/>
  <c r="AN70" i="102" s="1"/>
  <c r="AN72" i="102" s="1"/>
  <c r="AN74" i="102" s="1"/>
  <c r="AN76" i="102" s="1"/>
  <c r="AN78" i="102" s="1"/>
  <c r="AN80" i="102" s="1"/>
  <c r="AN82" i="102" s="1"/>
  <c r="AN84" i="102" s="1"/>
  <c r="AN86" i="102" s="1"/>
  <c r="AN88" i="102" s="1"/>
  <c r="AN90" i="102" s="1"/>
  <c r="AN92" i="102" s="1"/>
  <c r="AN94" i="102" s="1"/>
  <c r="AN96" i="102" s="1"/>
  <c r="AN98" i="102" s="1"/>
  <c r="AN100" i="102" s="1"/>
  <c r="AN102" i="102" s="1"/>
  <c r="AN104" i="102" s="1"/>
  <c r="U12" i="102"/>
  <c r="AN10" i="102"/>
  <c r="AX9" i="102"/>
  <c r="AX8" i="102"/>
  <c r="U8" i="102"/>
  <c r="AX10" i="102" s="1"/>
  <c r="AX7" i="102"/>
  <c r="AR186" i="109" l="1"/>
  <c r="AR190" i="109" s="1"/>
  <c r="AR194" i="109" s="1"/>
  <c r="AR198" i="109" s="1"/>
  <c r="AR202" i="109"/>
  <c r="AR206" i="109" s="1"/>
  <c r="AR210" i="109" s="1"/>
  <c r="AR214" i="109" s="1"/>
  <c r="AR218" i="109" s="1"/>
  <c r="AR282" i="109"/>
  <c r="AZ13" i="109"/>
  <c r="AZ11" i="109"/>
  <c r="AZ9" i="109"/>
  <c r="AZ7" i="109"/>
  <c r="AZ14" i="109"/>
  <c r="AZ10" i="109"/>
  <c r="AZ8" i="109"/>
  <c r="AZ12" i="109"/>
  <c r="AJ184" i="109"/>
  <c r="AJ186" i="109" s="1"/>
  <c r="AJ188" i="109" s="1"/>
  <c r="AJ190" i="109" s="1"/>
  <c r="AJ192" i="109" s="1"/>
  <c r="AJ194" i="109" s="1"/>
  <c r="AJ196" i="109" s="1"/>
  <c r="AJ198" i="109" s="1"/>
  <c r="AJ200" i="109"/>
  <c r="AJ202" i="109" s="1"/>
  <c r="AJ204" i="109" s="1"/>
  <c r="AJ206" i="109" s="1"/>
  <c r="AJ208" i="109" s="1"/>
  <c r="AJ210" i="109" s="1"/>
  <c r="AJ212" i="109" s="1"/>
  <c r="AJ214" i="109" s="1"/>
  <c r="AJ216" i="109" s="1"/>
  <c r="AJ218" i="109" s="1"/>
  <c r="AJ220" i="109" s="1"/>
  <c r="AJ280" i="109"/>
  <c r="AJ282" i="109" s="1"/>
  <c r="AJ284" i="109" s="1"/>
  <c r="AV206" i="109"/>
  <c r="AV214" i="109" s="1"/>
  <c r="AV222" i="109" s="1"/>
  <c r="AV230" i="109" s="1"/>
  <c r="AV238" i="109" s="1"/>
  <c r="AV246" i="109" s="1"/>
  <c r="AV254" i="109" s="1"/>
  <c r="AV262" i="109" s="1"/>
  <c r="AV270" i="109" s="1"/>
  <c r="AV278" i="109" s="1"/>
  <c r="AV286" i="109" s="1"/>
  <c r="AV294" i="109" s="1"/>
  <c r="AV190" i="109"/>
  <c r="AV198" i="109" s="1"/>
  <c r="AZ124" i="109"/>
  <c r="AZ123" i="109"/>
  <c r="AZ121" i="109"/>
  <c r="AZ119" i="109"/>
  <c r="AZ125" i="109"/>
  <c r="AZ120" i="109"/>
  <c r="AZ126" i="109"/>
  <c r="AZ122" i="109"/>
  <c r="Q16" i="109"/>
  <c r="F189" i="109"/>
  <c r="AZ263" i="109"/>
  <c r="Q24" i="109"/>
  <c r="Q32" i="109"/>
  <c r="Q40" i="109"/>
  <c r="AT288" i="109"/>
  <c r="AZ255" i="109"/>
  <c r="AZ251" i="109"/>
  <c r="AZ223" i="109"/>
  <c r="AZ219" i="109"/>
  <c r="AZ271" i="109"/>
  <c r="AZ267" i="109"/>
  <c r="AZ239" i="109"/>
  <c r="AZ235" i="109"/>
  <c r="Q48" i="109"/>
  <c r="AZ214" i="109"/>
  <c r="AZ210" i="109"/>
  <c r="AZ207" i="109"/>
  <c r="Q112" i="109"/>
  <c r="Q56" i="109"/>
  <c r="Q64" i="109"/>
  <c r="Q72" i="109"/>
  <c r="Q80" i="109"/>
  <c r="Q176" i="109"/>
  <c r="Q168" i="109"/>
  <c r="Q160" i="109"/>
  <c r="Q152" i="109"/>
  <c r="Q144" i="109"/>
  <c r="Q136" i="109"/>
  <c r="Q128" i="109"/>
  <c r="AZ203" i="109"/>
  <c r="AZ201" i="109"/>
  <c r="AZ199" i="109"/>
  <c r="AZ205" i="109"/>
  <c r="AZ206" i="109"/>
  <c r="AZ215" i="109"/>
  <c r="AZ247" i="109"/>
  <c r="AZ259" i="109"/>
  <c r="F93" i="109"/>
  <c r="Q104" i="109"/>
  <c r="AZ209" i="109"/>
  <c r="AZ231" i="109"/>
  <c r="AZ291" i="109"/>
  <c r="AZ218" i="109"/>
  <c r="AZ282" i="109"/>
  <c r="AV190" i="108"/>
  <c r="AV198" i="108" s="1"/>
  <c r="AV206" i="108"/>
  <c r="AV214" i="108" s="1"/>
  <c r="AV222" i="108" s="1"/>
  <c r="AV230" i="108" s="1"/>
  <c r="AV238" i="108" s="1"/>
  <c r="AV246" i="108" s="1"/>
  <c r="AV254" i="108" s="1"/>
  <c r="AV262" i="108" s="1"/>
  <c r="AV270" i="108" s="1"/>
  <c r="AV278" i="108" s="1"/>
  <c r="AV286" i="108" s="1"/>
  <c r="AV294" i="108" s="1"/>
  <c r="AZ86" i="108"/>
  <c r="AZ101" i="108"/>
  <c r="AZ30" i="108"/>
  <c r="AZ62" i="108"/>
  <c r="AZ90" i="108"/>
  <c r="AJ98" i="108"/>
  <c r="AZ96" i="108"/>
  <c r="AZ38" i="108"/>
  <c r="AZ70" i="108"/>
  <c r="AZ46" i="108"/>
  <c r="AZ78" i="108"/>
  <c r="AZ19" i="108"/>
  <c r="AZ17" i="108"/>
  <c r="AZ20" i="108"/>
  <c r="AJ184" i="108"/>
  <c r="AJ186" i="108" s="1"/>
  <c r="AJ188" i="108" s="1"/>
  <c r="AJ190" i="108" s="1"/>
  <c r="AJ192" i="108" s="1"/>
  <c r="AJ194" i="108" s="1"/>
  <c r="AJ196" i="108" s="1"/>
  <c r="AJ198" i="108" s="1"/>
  <c r="AJ280" i="108"/>
  <c r="AJ282" i="108" s="1"/>
  <c r="AJ284" i="108" s="1"/>
  <c r="AJ286" i="108" s="1"/>
  <c r="AJ288" i="108" s="1"/>
  <c r="AJ290" i="108" s="1"/>
  <c r="AJ292" i="108" s="1"/>
  <c r="AJ294" i="108" s="1"/>
  <c r="AJ200" i="108"/>
  <c r="AJ202" i="108" s="1"/>
  <c r="AJ204" i="108" s="1"/>
  <c r="AR186" i="108"/>
  <c r="AR190" i="108" s="1"/>
  <c r="AR194" i="108" s="1"/>
  <c r="AR198" i="108" s="1"/>
  <c r="AR282" i="108"/>
  <c r="AR286" i="108" s="1"/>
  <c r="AR290" i="108" s="1"/>
  <c r="AR202" i="108"/>
  <c r="AR206" i="108" s="1"/>
  <c r="AR210" i="108" s="1"/>
  <c r="AR214" i="108" s="1"/>
  <c r="AR218" i="108" s="1"/>
  <c r="AR222" i="108" s="1"/>
  <c r="AR226" i="108" s="1"/>
  <c r="AR230" i="108" s="1"/>
  <c r="AR234" i="108" s="1"/>
  <c r="AR238" i="108" s="1"/>
  <c r="AR242" i="108" s="1"/>
  <c r="AR246" i="108" s="1"/>
  <c r="AR250" i="108" s="1"/>
  <c r="AR254" i="108" s="1"/>
  <c r="AR258" i="108" s="1"/>
  <c r="AR262" i="108" s="1"/>
  <c r="AR266" i="108" s="1"/>
  <c r="AR270" i="108" s="1"/>
  <c r="AR274" i="108" s="1"/>
  <c r="AR278" i="108" s="1"/>
  <c r="AZ22" i="108"/>
  <c r="AZ26" i="108"/>
  <c r="AZ34" i="108"/>
  <c r="AZ42" i="108"/>
  <c r="AZ50" i="108"/>
  <c r="AZ58" i="108"/>
  <c r="AZ66" i="108"/>
  <c r="AZ74" i="108"/>
  <c r="AZ82" i="108"/>
  <c r="AZ16" i="108"/>
  <c r="AZ21" i="108"/>
  <c r="AZ27" i="108"/>
  <c r="AZ25" i="108"/>
  <c r="AZ23" i="108"/>
  <c r="AZ28" i="108"/>
  <c r="AZ35" i="108"/>
  <c r="AZ33" i="108"/>
  <c r="AZ31" i="108"/>
  <c r="AZ36" i="108"/>
  <c r="AZ43" i="108"/>
  <c r="AZ41" i="108"/>
  <c r="AZ39" i="108"/>
  <c r="AZ44" i="108"/>
  <c r="AZ51" i="108"/>
  <c r="AZ49" i="108"/>
  <c r="AZ47" i="108"/>
  <c r="AZ52" i="108"/>
  <c r="AZ59" i="108"/>
  <c r="AZ57" i="108"/>
  <c r="AZ55" i="108"/>
  <c r="AZ60" i="108"/>
  <c r="AZ67" i="108"/>
  <c r="AZ65" i="108"/>
  <c r="AZ63" i="108"/>
  <c r="AZ68" i="108"/>
  <c r="AZ75" i="108"/>
  <c r="AZ73" i="108"/>
  <c r="AZ71" i="108"/>
  <c r="AZ76" i="108"/>
  <c r="AZ83" i="108"/>
  <c r="AZ81" i="108"/>
  <c r="AZ79" i="108"/>
  <c r="AZ84" i="108"/>
  <c r="AZ94" i="108"/>
  <c r="AZ93" i="108"/>
  <c r="AZ91" i="108"/>
  <c r="AZ89" i="108"/>
  <c r="AZ87" i="108"/>
  <c r="AZ92" i="108"/>
  <c r="AZ15" i="108"/>
  <c r="AZ24" i="108"/>
  <c r="AZ29" i="108"/>
  <c r="AZ32" i="108"/>
  <c r="AZ37" i="108"/>
  <c r="AZ40" i="108"/>
  <c r="AZ45" i="108"/>
  <c r="AZ48" i="108"/>
  <c r="AZ53" i="108"/>
  <c r="AZ56" i="108"/>
  <c r="AZ61" i="108"/>
  <c r="AZ64" i="108"/>
  <c r="AZ69" i="108"/>
  <c r="AZ72" i="108"/>
  <c r="AZ77" i="108"/>
  <c r="AZ80" i="108"/>
  <c r="AZ85" i="108"/>
  <c r="AZ88" i="108"/>
  <c r="AZ99" i="108"/>
  <c r="AZ97" i="108"/>
  <c r="AZ18" i="108"/>
  <c r="AZ219" i="108"/>
  <c r="AZ215" i="108"/>
  <c r="AZ221" i="108"/>
  <c r="AZ227" i="108"/>
  <c r="AZ223" i="108"/>
  <c r="AZ229" i="108"/>
  <c r="Q128" i="108"/>
  <c r="AZ235" i="108"/>
  <c r="AZ233" i="108"/>
  <c r="AZ231" i="108"/>
  <c r="Q136" i="108"/>
  <c r="AZ243" i="108"/>
  <c r="AZ239" i="108"/>
  <c r="AZ245" i="108"/>
  <c r="Q144" i="108"/>
  <c r="AZ251" i="108"/>
  <c r="AZ249" i="108"/>
  <c r="AZ247" i="108"/>
  <c r="Q152" i="108"/>
  <c r="AZ259" i="108"/>
  <c r="AZ255" i="108"/>
  <c r="AZ261" i="108"/>
  <c r="Q160" i="108"/>
  <c r="AZ267" i="108"/>
  <c r="AZ265" i="108"/>
  <c r="AZ263" i="108"/>
  <c r="Q168" i="108"/>
  <c r="AZ275" i="108"/>
  <c r="AZ271" i="108"/>
  <c r="AZ277" i="108"/>
  <c r="Q176" i="108"/>
  <c r="AZ283" i="108"/>
  <c r="AZ281" i="108"/>
  <c r="AZ279" i="108"/>
  <c r="AZ286" i="108"/>
  <c r="AZ285" i="108"/>
  <c r="AZ282" i="108"/>
  <c r="AZ284" i="108"/>
  <c r="Q184" i="108"/>
  <c r="AZ290" i="108"/>
  <c r="AZ287" i="108"/>
  <c r="Q192" i="108"/>
  <c r="Q104" i="108"/>
  <c r="Q8" i="108"/>
  <c r="Q112" i="108"/>
  <c r="AZ203" i="108"/>
  <c r="AZ291" i="108"/>
  <c r="Q120" i="108"/>
  <c r="AZ211" i="108"/>
  <c r="AZ200" i="108"/>
  <c r="AZ202" i="108"/>
  <c r="AZ205" i="108"/>
  <c r="AZ199" i="108"/>
  <c r="AZ201" i="108"/>
  <c r="AZ207" i="108"/>
  <c r="AZ213" i="108"/>
  <c r="AZ209" i="108"/>
  <c r="AJ24" i="107"/>
  <c r="AZ22" i="107"/>
  <c r="AR34" i="107"/>
  <c r="AR38" i="107" s="1"/>
  <c r="AZ29" i="107"/>
  <c r="AZ99" i="107"/>
  <c r="AZ20" i="107"/>
  <c r="AZ19" i="107"/>
  <c r="AZ17" i="107"/>
  <c r="AZ18" i="107"/>
  <c r="AJ184" i="107"/>
  <c r="AJ186" i="107" s="1"/>
  <c r="AJ188" i="107" s="1"/>
  <c r="AJ190" i="107" s="1"/>
  <c r="AJ192" i="107" s="1"/>
  <c r="AJ194" i="107" s="1"/>
  <c r="AJ196" i="107" s="1"/>
  <c r="AJ198" i="107" s="1"/>
  <c r="AJ280" i="107"/>
  <c r="AJ282" i="107" s="1"/>
  <c r="AJ284" i="107" s="1"/>
  <c r="AJ286" i="107" s="1"/>
  <c r="AJ288" i="107" s="1"/>
  <c r="AJ290" i="107" s="1"/>
  <c r="AJ292" i="107" s="1"/>
  <c r="AJ294" i="107" s="1"/>
  <c r="AJ200" i="107"/>
  <c r="AJ202" i="107" s="1"/>
  <c r="AJ204" i="107" s="1"/>
  <c r="AV190" i="107"/>
  <c r="AV198" i="107" s="1"/>
  <c r="AV206" i="107"/>
  <c r="AV214" i="107" s="1"/>
  <c r="AV222" i="107" s="1"/>
  <c r="AV230" i="107" s="1"/>
  <c r="AV238" i="107" s="1"/>
  <c r="AV246" i="107" s="1"/>
  <c r="AV254" i="107" s="1"/>
  <c r="AV262" i="107" s="1"/>
  <c r="AV270" i="107" s="1"/>
  <c r="AV278" i="107" s="1"/>
  <c r="AV286" i="107" s="1"/>
  <c r="AV294" i="107" s="1"/>
  <c r="AR186" i="107"/>
  <c r="AR190" i="107" s="1"/>
  <c r="AR194" i="107" s="1"/>
  <c r="AR198" i="107" s="1"/>
  <c r="AR282" i="107"/>
  <c r="AR286" i="107" s="1"/>
  <c r="AR290" i="107" s="1"/>
  <c r="AR202" i="107"/>
  <c r="AR206" i="107" s="1"/>
  <c r="AR210" i="107" s="1"/>
  <c r="AR214" i="107" s="1"/>
  <c r="AR218" i="107" s="1"/>
  <c r="AR222" i="107" s="1"/>
  <c r="AR226" i="107" s="1"/>
  <c r="AR230" i="107" s="1"/>
  <c r="AR234" i="107" s="1"/>
  <c r="AR238" i="107" s="1"/>
  <c r="AR242" i="107" s="1"/>
  <c r="AR246" i="107" s="1"/>
  <c r="AR250" i="107" s="1"/>
  <c r="AR254" i="107" s="1"/>
  <c r="AR258" i="107" s="1"/>
  <c r="AR262" i="107" s="1"/>
  <c r="AR266" i="107" s="1"/>
  <c r="AR270" i="107" s="1"/>
  <c r="AR274" i="107" s="1"/>
  <c r="AR278" i="107" s="1"/>
  <c r="AZ277" i="107" s="1"/>
  <c r="AZ16" i="107"/>
  <c r="AZ21" i="107"/>
  <c r="AZ27" i="107"/>
  <c r="AZ25" i="107"/>
  <c r="AZ23" i="107"/>
  <c r="AZ35" i="107"/>
  <c r="AZ31" i="107"/>
  <c r="AZ43" i="107"/>
  <c r="AZ39" i="107"/>
  <c r="AZ51" i="107"/>
  <c r="AZ47" i="107"/>
  <c r="AZ59" i="107"/>
  <c r="AZ55" i="107"/>
  <c r="AZ67" i="107"/>
  <c r="AZ63" i="107"/>
  <c r="AZ75" i="107"/>
  <c r="AZ71" i="107"/>
  <c r="AZ83" i="107"/>
  <c r="AZ79" i="107"/>
  <c r="Q88" i="107"/>
  <c r="AZ95" i="107"/>
  <c r="Q104" i="107"/>
  <c r="Q8" i="107"/>
  <c r="Q112" i="107"/>
  <c r="AZ219" i="107"/>
  <c r="AZ217" i="107"/>
  <c r="AZ215" i="107"/>
  <c r="AZ227" i="107"/>
  <c r="AZ225" i="107"/>
  <c r="AZ223" i="107"/>
  <c r="Q128" i="107"/>
  <c r="AZ235" i="107"/>
  <c r="AZ231" i="107"/>
  <c r="AZ237" i="107"/>
  <c r="Q136" i="107"/>
  <c r="AZ243" i="107"/>
  <c r="AZ241" i="107"/>
  <c r="AZ239" i="107"/>
  <c r="Q144" i="107"/>
  <c r="AZ251" i="107"/>
  <c r="AZ247" i="107"/>
  <c r="AZ253" i="107"/>
  <c r="Q152" i="107"/>
  <c r="AZ259" i="107"/>
  <c r="AZ257" i="107"/>
  <c r="AZ255" i="107"/>
  <c r="Q160" i="107"/>
  <c r="AZ267" i="107"/>
  <c r="AZ263" i="107"/>
  <c r="AZ269" i="107"/>
  <c r="Q168" i="107"/>
  <c r="AZ275" i="107"/>
  <c r="AZ273" i="107"/>
  <c r="AZ271" i="107"/>
  <c r="Q176" i="107"/>
  <c r="AZ283" i="107"/>
  <c r="AZ281" i="107"/>
  <c r="AZ279" i="107"/>
  <c r="AZ285" i="107"/>
  <c r="AZ280" i="107"/>
  <c r="Q184" i="107"/>
  <c r="AZ288" i="107"/>
  <c r="AZ287" i="107"/>
  <c r="AZ292" i="107"/>
  <c r="Q192" i="107"/>
  <c r="Q120" i="107"/>
  <c r="AZ203" i="107"/>
  <c r="AZ291" i="107"/>
  <c r="AZ211" i="107"/>
  <c r="AZ200" i="107"/>
  <c r="AZ205" i="107"/>
  <c r="AZ199" i="107"/>
  <c r="AZ201" i="107"/>
  <c r="AZ207" i="107"/>
  <c r="AZ213" i="107"/>
  <c r="AZ209" i="107"/>
  <c r="AT118" i="106"/>
  <c r="AX107" i="106"/>
  <c r="AX108" i="106"/>
  <c r="AR50" i="106"/>
  <c r="AR54" i="106" s="1"/>
  <c r="AX45" i="106"/>
  <c r="AX29" i="106"/>
  <c r="AR142" i="106"/>
  <c r="AR146" i="106" s="1"/>
  <c r="AX137" i="106"/>
  <c r="AJ14" i="106"/>
  <c r="AX12" i="106"/>
  <c r="AJ118" i="106"/>
  <c r="AJ120" i="106" s="1"/>
  <c r="AJ122" i="106" s="1"/>
  <c r="AJ124" i="106" s="1"/>
  <c r="AX21" i="106"/>
  <c r="AX37" i="106"/>
  <c r="AX110" i="106"/>
  <c r="AX8" i="106"/>
  <c r="AX10" i="106"/>
  <c r="AX15" i="106"/>
  <c r="AX17" i="106"/>
  <c r="AX19" i="106"/>
  <c r="AX23" i="106"/>
  <c r="AX25" i="106"/>
  <c r="AX27" i="106"/>
  <c r="AX31" i="106"/>
  <c r="AX113" i="106"/>
  <c r="AX35" i="106"/>
  <c r="AX33" i="106"/>
  <c r="AX43" i="106"/>
  <c r="AX41" i="106"/>
  <c r="AX39" i="106"/>
  <c r="AX51" i="106"/>
  <c r="AX49" i="106"/>
  <c r="AX47" i="106"/>
  <c r="AX59" i="106"/>
  <c r="AX55" i="106"/>
  <c r="AX67" i="106"/>
  <c r="AX63" i="106"/>
  <c r="AX75" i="106"/>
  <c r="AX71" i="106"/>
  <c r="AX83" i="106"/>
  <c r="AX79" i="106"/>
  <c r="Q88" i="106"/>
  <c r="AX95" i="106"/>
  <c r="AX99" i="106"/>
  <c r="AX104" i="106"/>
  <c r="AX106" i="106"/>
  <c r="AX109" i="106"/>
  <c r="AX129" i="106"/>
  <c r="AX183" i="106"/>
  <c r="AX117" i="106"/>
  <c r="AX114" i="106"/>
  <c r="AX112" i="106"/>
  <c r="AX120" i="106"/>
  <c r="AX191" i="106"/>
  <c r="AS114" i="105"/>
  <c r="AX14" i="105"/>
  <c r="AX21" i="105"/>
  <c r="AX24" i="105"/>
  <c r="AX30" i="105"/>
  <c r="AX37" i="105"/>
  <c r="AX40" i="105"/>
  <c r="AX46" i="105"/>
  <c r="AX53" i="105"/>
  <c r="AX56" i="105"/>
  <c r="AX69" i="105"/>
  <c r="AX67" i="105"/>
  <c r="AX70" i="105"/>
  <c r="AX68" i="105"/>
  <c r="AX77" i="105"/>
  <c r="AX75" i="105"/>
  <c r="AX78" i="105"/>
  <c r="AX76" i="105"/>
  <c r="AX85" i="105"/>
  <c r="AX83" i="105"/>
  <c r="AX86" i="105"/>
  <c r="AX84" i="105"/>
  <c r="AX93" i="105"/>
  <c r="AX91" i="105"/>
  <c r="AX94" i="105"/>
  <c r="AX92" i="105"/>
  <c r="AX106" i="105"/>
  <c r="AU106" i="105"/>
  <c r="AX109" i="105" s="1"/>
  <c r="AX59" i="105"/>
  <c r="AX12" i="105"/>
  <c r="AX16" i="105"/>
  <c r="AX22" i="105"/>
  <c r="AX29" i="105"/>
  <c r="AX32" i="105"/>
  <c r="AX38" i="105"/>
  <c r="AX45" i="105"/>
  <c r="AX48" i="105"/>
  <c r="AX54" i="105"/>
  <c r="AX61" i="105"/>
  <c r="AX65" i="105"/>
  <c r="AX63" i="105"/>
  <c r="AX66" i="105"/>
  <c r="AX64" i="105"/>
  <c r="AX73" i="105"/>
  <c r="AX71" i="105"/>
  <c r="AX74" i="105"/>
  <c r="AX72" i="105"/>
  <c r="AX81" i="105"/>
  <c r="AX79" i="105"/>
  <c r="AX82" i="105"/>
  <c r="AX80" i="105"/>
  <c r="AX89" i="105"/>
  <c r="AX87" i="105"/>
  <c r="AX90" i="105"/>
  <c r="AX88" i="105"/>
  <c r="AX97" i="105"/>
  <c r="AX95" i="105"/>
  <c r="AX98" i="105"/>
  <c r="AX96" i="105"/>
  <c r="AX114" i="105"/>
  <c r="AX13" i="105"/>
  <c r="AX15" i="105"/>
  <c r="AX19" i="105"/>
  <c r="AX23" i="105"/>
  <c r="AX27" i="105"/>
  <c r="AX31" i="105"/>
  <c r="AX35" i="105"/>
  <c r="AX39" i="105"/>
  <c r="AX43" i="105"/>
  <c r="AX47" i="105"/>
  <c r="AX51" i="105"/>
  <c r="AX55" i="105"/>
  <c r="AX57" i="105"/>
  <c r="AX60" i="105"/>
  <c r="AX62" i="105"/>
  <c r="AX100" i="105"/>
  <c r="AX102" i="105"/>
  <c r="AX104" i="105"/>
  <c r="AX8" i="105"/>
  <c r="AX99" i="105"/>
  <c r="AX103" i="105"/>
  <c r="AX105" i="105"/>
  <c r="AX108" i="105"/>
  <c r="AX112" i="105"/>
  <c r="AX116" i="105"/>
  <c r="AX120" i="105"/>
  <c r="AX124" i="105"/>
  <c r="AX128" i="105"/>
  <c r="AX132" i="105"/>
  <c r="AX136" i="105"/>
  <c r="AX140" i="105"/>
  <c r="AX144" i="105"/>
  <c r="AX148" i="105"/>
  <c r="AX16" i="104"/>
  <c r="AX20" i="104"/>
  <c r="AX24" i="104"/>
  <c r="AX28" i="104"/>
  <c r="AX32" i="104"/>
  <c r="AX36" i="104"/>
  <c r="AX40" i="104"/>
  <c r="AX44" i="104"/>
  <c r="AX48" i="104"/>
  <c r="AX52" i="104"/>
  <c r="AU106" i="104"/>
  <c r="AX59" i="104"/>
  <c r="AX55" i="104"/>
  <c r="AX14" i="104"/>
  <c r="AX18" i="104"/>
  <c r="AX63" i="104"/>
  <c r="AX71" i="104"/>
  <c r="AX79" i="104"/>
  <c r="AX87" i="104"/>
  <c r="AX95" i="104"/>
  <c r="AS22" i="104"/>
  <c r="AX22" i="104" s="1"/>
  <c r="AX17" i="104"/>
  <c r="AK60" i="104"/>
  <c r="AX12" i="104"/>
  <c r="AX56" i="104"/>
  <c r="AX67" i="104"/>
  <c r="AX75" i="104"/>
  <c r="AX83" i="104"/>
  <c r="AX91" i="104"/>
  <c r="AX99" i="104"/>
  <c r="AX13" i="104"/>
  <c r="AX8" i="104"/>
  <c r="AX103" i="104"/>
  <c r="AX14" i="103"/>
  <c r="AX63" i="103"/>
  <c r="AX64" i="103"/>
  <c r="AX12" i="103"/>
  <c r="AX56" i="103"/>
  <c r="AX67" i="103"/>
  <c r="AX75" i="103"/>
  <c r="AS22" i="103"/>
  <c r="AX17" i="103"/>
  <c r="AX18" i="103"/>
  <c r="AX71" i="103"/>
  <c r="AX16" i="103"/>
  <c r="AX20" i="103"/>
  <c r="AX24" i="103"/>
  <c r="AX28" i="103"/>
  <c r="AX32" i="103"/>
  <c r="AX36" i="103"/>
  <c r="AX40" i="103"/>
  <c r="AX44" i="103"/>
  <c r="AX48" i="103"/>
  <c r="AX52" i="103"/>
  <c r="AU106" i="103"/>
  <c r="AX59" i="103"/>
  <c r="AX55" i="103"/>
  <c r="AK62" i="103"/>
  <c r="AK64" i="103" s="1"/>
  <c r="AK66" i="103" s="1"/>
  <c r="AK68" i="103" s="1"/>
  <c r="AK70" i="103" s="1"/>
  <c r="AK72" i="103" s="1"/>
  <c r="AK74" i="103" s="1"/>
  <c r="AK76" i="103" s="1"/>
  <c r="AK78" i="103" s="1"/>
  <c r="AK80" i="103" s="1"/>
  <c r="AK82" i="103" s="1"/>
  <c r="AK84" i="103" s="1"/>
  <c r="AK86" i="103" s="1"/>
  <c r="AK88" i="103" s="1"/>
  <c r="AK90" i="103" s="1"/>
  <c r="AK92" i="103" s="1"/>
  <c r="AK94" i="103" s="1"/>
  <c r="AK96" i="103" s="1"/>
  <c r="AK98" i="103" s="1"/>
  <c r="AK100" i="103" s="1"/>
  <c r="AK102" i="103" s="1"/>
  <c r="AK104" i="103" s="1"/>
  <c r="AK106" i="103" s="1"/>
  <c r="AK108" i="103" s="1"/>
  <c r="AK110" i="103" s="1"/>
  <c r="AK112" i="103" s="1"/>
  <c r="AK114" i="103" s="1"/>
  <c r="AK116" i="103" s="1"/>
  <c r="AK118" i="103" s="1"/>
  <c r="AK120" i="103" s="1"/>
  <c r="AK122" i="103" s="1"/>
  <c r="AK124" i="103" s="1"/>
  <c r="AK126" i="103" s="1"/>
  <c r="AK128" i="103" s="1"/>
  <c r="AK130" i="103" s="1"/>
  <c r="AK132" i="103" s="1"/>
  <c r="AK134" i="103" s="1"/>
  <c r="AK136" i="103" s="1"/>
  <c r="AK138" i="103" s="1"/>
  <c r="AK140" i="103" s="1"/>
  <c r="AK142" i="103" s="1"/>
  <c r="AK144" i="103" s="1"/>
  <c r="AK146" i="103" s="1"/>
  <c r="AK148" i="103" s="1"/>
  <c r="AK150" i="103" s="1"/>
  <c r="AX80" i="103"/>
  <c r="AX84" i="103"/>
  <c r="AX88" i="103"/>
  <c r="AX92" i="103"/>
  <c r="AX96" i="103"/>
  <c r="AX100" i="103"/>
  <c r="AX104" i="103"/>
  <c r="AX13" i="103"/>
  <c r="AX8" i="103"/>
  <c r="AX79" i="103"/>
  <c r="AX83" i="103"/>
  <c r="AX87" i="103"/>
  <c r="AX91" i="103"/>
  <c r="AX95" i="103"/>
  <c r="AX99" i="103"/>
  <c r="AX108" i="103"/>
  <c r="AX112" i="103"/>
  <c r="AX124" i="103"/>
  <c r="AX128" i="103"/>
  <c r="AX140" i="103"/>
  <c r="AX144" i="103"/>
  <c r="AX89" i="102"/>
  <c r="AV94" i="102"/>
  <c r="AN106" i="102"/>
  <c r="AX104" i="102"/>
  <c r="AX49" i="102"/>
  <c r="AX65" i="102"/>
  <c r="AX85" i="102"/>
  <c r="AX29" i="102"/>
  <c r="AX61" i="102"/>
  <c r="AX25" i="102"/>
  <c r="AX41" i="102"/>
  <c r="AX57" i="102"/>
  <c r="AX73" i="102"/>
  <c r="AX33" i="102"/>
  <c r="AX81" i="102"/>
  <c r="AX90" i="102"/>
  <c r="AX45" i="102"/>
  <c r="AX77" i="102"/>
  <c r="AX13" i="102"/>
  <c r="AX11" i="102"/>
  <c r="AX14" i="102"/>
  <c r="AX12" i="102"/>
  <c r="AX17" i="102"/>
  <c r="AX15" i="102"/>
  <c r="AX18" i="102"/>
  <c r="AX16" i="102"/>
  <c r="AX21" i="102"/>
  <c r="AX37" i="102"/>
  <c r="AX53" i="102"/>
  <c r="AX69" i="102"/>
  <c r="AX20" i="102"/>
  <c r="AX22" i="102"/>
  <c r="AX24" i="102"/>
  <c r="AX26" i="102"/>
  <c r="AX28" i="102"/>
  <c r="AX30" i="102"/>
  <c r="AX32" i="102"/>
  <c r="AX34" i="102"/>
  <c r="AX36" i="102"/>
  <c r="AX38" i="102"/>
  <c r="AX40" i="102"/>
  <c r="AX42" i="102"/>
  <c r="AX44" i="102"/>
  <c r="AX46" i="102"/>
  <c r="AX48" i="102"/>
  <c r="AX50" i="102"/>
  <c r="AX52" i="102"/>
  <c r="AX54" i="102"/>
  <c r="AX56" i="102"/>
  <c r="AX58" i="102"/>
  <c r="AX60" i="102"/>
  <c r="AX62" i="102"/>
  <c r="AX64" i="102"/>
  <c r="AX66" i="102"/>
  <c r="AX68" i="102"/>
  <c r="AX70" i="102"/>
  <c r="AX72" i="102"/>
  <c r="AX74" i="102"/>
  <c r="AX76" i="102"/>
  <c r="AX78" i="102"/>
  <c r="AX80" i="102"/>
  <c r="AX82" i="102"/>
  <c r="AX84" i="102"/>
  <c r="AX86" i="102"/>
  <c r="AX88" i="102"/>
  <c r="AX92" i="102"/>
  <c r="AX96" i="102"/>
  <c r="AX100" i="102"/>
  <c r="AX19" i="102"/>
  <c r="AX23" i="102"/>
  <c r="AX27" i="102"/>
  <c r="AX31" i="102"/>
  <c r="AX35" i="102"/>
  <c r="AX39" i="102"/>
  <c r="AX43" i="102"/>
  <c r="AX47" i="102"/>
  <c r="AX51" i="102"/>
  <c r="AX55" i="102"/>
  <c r="AX59" i="102"/>
  <c r="AX63" i="102"/>
  <c r="AX67" i="102"/>
  <c r="AX71" i="102"/>
  <c r="AX75" i="102"/>
  <c r="AX79" i="102"/>
  <c r="AZ156" i="109" l="1"/>
  <c r="AZ155" i="109"/>
  <c r="AZ153" i="109"/>
  <c r="AZ151" i="109"/>
  <c r="AZ157" i="109"/>
  <c r="AZ154" i="109"/>
  <c r="AZ152" i="109"/>
  <c r="AZ158" i="109"/>
  <c r="AZ287" i="109"/>
  <c r="AZ283" i="109"/>
  <c r="AZ279" i="109"/>
  <c r="AJ222" i="109"/>
  <c r="AZ220" i="109"/>
  <c r="AZ110" i="109"/>
  <c r="AZ109" i="109"/>
  <c r="AZ107" i="109"/>
  <c r="AZ105" i="109"/>
  <c r="AZ103" i="109"/>
  <c r="AZ108" i="109"/>
  <c r="AZ104" i="109"/>
  <c r="AZ106" i="109"/>
  <c r="AZ202" i="109"/>
  <c r="AZ204" i="109"/>
  <c r="AZ132" i="109"/>
  <c r="AZ131" i="109"/>
  <c r="AZ129" i="109"/>
  <c r="AZ127" i="109"/>
  <c r="AZ130" i="109"/>
  <c r="AZ128" i="109"/>
  <c r="AZ134" i="109"/>
  <c r="AZ133" i="109"/>
  <c r="AZ164" i="109"/>
  <c r="AZ163" i="109"/>
  <c r="AZ161" i="109"/>
  <c r="AZ159" i="109"/>
  <c r="AZ162" i="109"/>
  <c r="AZ160" i="109"/>
  <c r="AZ166" i="109"/>
  <c r="AZ165" i="109"/>
  <c r="AZ76" i="109"/>
  <c r="AZ75" i="109"/>
  <c r="AZ73" i="109"/>
  <c r="AZ71" i="109"/>
  <c r="AZ77" i="109"/>
  <c r="AZ72" i="109"/>
  <c r="AZ78" i="109"/>
  <c r="AZ74" i="109"/>
  <c r="AZ212" i="109"/>
  <c r="AZ213" i="109"/>
  <c r="AZ43" i="109"/>
  <c r="AZ45" i="109"/>
  <c r="AZ42" i="109"/>
  <c r="AZ40" i="109"/>
  <c r="AZ44" i="109"/>
  <c r="AZ46" i="109"/>
  <c r="AZ41" i="109"/>
  <c r="AZ39" i="109"/>
  <c r="Q192" i="109"/>
  <c r="Q184" i="109"/>
  <c r="AZ211" i="109"/>
  <c r="Q96" i="109"/>
  <c r="Q88" i="109"/>
  <c r="AZ140" i="109"/>
  <c r="AZ139" i="109"/>
  <c r="AZ137" i="109"/>
  <c r="AZ135" i="109"/>
  <c r="AZ138" i="109"/>
  <c r="AZ136" i="109"/>
  <c r="AZ142" i="109"/>
  <c r="AZ141" i="109"/>
  <c r="AZ68" i="109"/>
  <c r="AZ67" i="109"/>
  <c r="AZ65" i="109"/>
  <c r="AZ63" i="109"/>
  <c r="AZ69" i="109"/>
  <c r="AZ64" i="109"/>
  <c r="AZ70" i="109"/>
  <c r="AZ66" i="109"/>
  <c r="AZ275" i="109"/>
  <c r="AZ172" i="109"/>
  <c r="AZ171" i="109"/>
  <c r="AZ169" i="109"/>
  <c r="AZ167" i="109"/>
  <c r="AZ170" i="109"/>
  <c r="AZ168" i="109"/>
  <c r="AZ174" i="109"/>
  <c r="AZ173" i="109"/>
  <c r="AZ31" i="109"/>
  <c r="AZ38" i="109"/>
  <c r="AZ37" i="109"/>
  <c r="AZ34" i="109"/>
  <c r="AZ32" i="109"/>
  <c r="AZ36" i="109"/>
  <c r="AZ35" i="109"/>
  <c r="AZ33" i="109"/>
  <c r="AZ19" i="109"/>
  <c r="AZ22" i="109"/>
  <c r="AZ21" i="109"/>
  <c r="AZ18" i="109"/>
  <c r="AZ16" i="109"/>
  <c r="AZ15" i="109"/>
  <c r="AZ20" i="109"/>
  <c r="AZ17" i="109"/>
  <c r="AR286" i="109"/>
  <c r="AZ281" i="109"/>
  <c r="AZ280" i="109"/>
  <c r="AZ216" i="109"/>
  <c r="AZ227" i="109"/>
  <c r="AZ200" i="109"/>
  <c r="AZ148" i="109"/>
  <c r="AZ147" i="109"/>
  <c r="AZ145" i="109"/>
  <c r="AZ143" i="109"/>
  <c r="AZ146" i="109"/>
  <c r="AZ144" i="109"/>
  <c r="AZ150" i="109"/>
  <c r="AZ149" i="109"/>
  <c r="AZ180" i="109"/>
  <c r="AZ179" i="109"/>
  <c r="AZ177" i="109"/>
  <c r="AZ175" i="109"/>
  <c r="AZ178" i="109"/>
  <c r="AZ176" i="109"/>
  <c r="AZ182" i="109"/>
  <c r="AZ181" i="109"/>
  <c r="AZ60" i="109"/>
  <c r="AZ59" i="109"/>
  <c r="AZ57" i="109"/>
  <c r="AZ55" i="109"/>
  <c r="AZ61" i="109"/>
  <c r="AZ56" i="109"/>
  <c r="AZ62" i="109"/>
  <c r="AZ58" i="109"/>
  <c r="AZ208" i="109"/>
  <c r="AZ52" i="109"/>
  <c r="AZ51" i="109"/>
  <c r="AZ49" i="109"/>
  <c r="AZ47" i="109"/>
  <c r="AZ53" i="109"/>
  <c r="AZ48" i="109"/>
  <c r="AZ54" i="109"/>
  <c r="AZ50" i="109"/>
  <c r="AZ25" i="109"/>
  <c r="AZ30" i="109"/>
  <c r="AZ29" i="109"/>
  <c r="AZ26" i="109"/>
  <c r="AZ24" i="109"/>
  <c r="AZ28" i="109"/>
  <c r="AZ27" i="109"/>
  <c r="AZ23" i="109"/>
  <c r="AZ243" i="109"/>
  <c r="AJ286" i="109"/>
  <c r="AZ284" i="109"/>
  <c r="AR222" i="109"/>
  <c r="AZ217" i="109"/>
  <c r="AZ84" i="109"/>
  <c r="AZ83" i="109"/>
  <c r="AZ81" i="109"/>
  <c r="AZ79" i="109"/>
  <c r="AZ85" i="109"/>
  <c r="AZ80" i="109"/>
  <c r="AZ86" i="109"/>
  <c r="AZ82" i="109"/>
  <c r="AZ116" i="109"/>
  <c r="AZ115" i="109"/>
  <c r="AZ113" i="109"/>
  <c r="AZ117" i="109"/>
  <c r="AZ112" i="109"/>
  <c r="AZ118" i="109"/>
  <c r="AZ114" i="109"/>
  <c r="AZ111" i="109"/>
  <c r="AZ195" i="108"/>
  <c r="AZ193" i="108"/>
  <c r="AZ198" i="108"/>
  <c r="AZ197" i="108"/>
  <c r="AZ194" i="108"/>
  <c r="AZ192" i="108"/>
  <c r="AZ191" i="108"/>
  <c r="AZ196" i="108"/>
  <c r="AZ182" i="108"/>
  <c r="AZ181" i="108"/>
  <c r="AZ178" i="108"/>
  <c r="AZ176" i="108"/>
  <c r="AZ180" i="108"/>
  <c r="AZ179" i="108"/>
  <c r="AZ177" i="108"/>
  <c r="AZ175" i="108"/>
  <c r="AZ150" i="108"/>
  <c r="AZ149" i="108"/>
  <c r="AZ146" i="108"/>
  <c r="AZ144" i="108"/>
  <c r="AZ148" i="108"/>
  <c r="AZ147" i="108"/>
  <c r="AZ145" i="108"/>
  <c r="AZ143" i="108"/>
  <c r="AZ115" i="108"/>
  <c r="AZ113" i="108"/>
  <c r="AZ118" i="108"/>
  <c r="AZ117" i="108"/>
  <c r="AZ114" i="108"/>
  <c r="AZ112" i="108"/>
  <c r="AZ111" i="108"/>
  <c r="AZ116" i="108"/>
  <c r="AZ292" i="108"/>
  <c r="AZ280" i="108"/>
  <c r="AZ174" i="108"/>
  <c r="AZ173" i="108"/>
  <c r="AZ170" i="108"/>
  <c r="AZ168" i="108"/>
  <c r="AZ172" i="108"/>
  <c r="AZ171" i="108"/>
  <c r="AZ169" i="108"/>
  <c r="AZ167" i="108"/>
  <c r="AZ269" i="108"/>
  <c r="AZ257" i="108"/>
  <c r="AZ142" i="108"/>
  <c r="AZ141" i="108"/>
  <c r="AZ138" i="108"/>
  <c r="AZ136" i="108"/>
  <c r="AZ140" i="108"/>
  <c r="AZ139" i="108"/>
  <c r="AZ137" i="108"/>
  <c r="AZ135" i="108"/>
  <c r="AZ237" i="108"/>
  <c r="AZ225" i="108"/>
  <c r="AZ217" i="108"/>
  <c r="AJ206" i="108"/>
  <c r="AZ204" i="108"/>
  <c r="AJ100" i="108"/>
  <c r="AZ98" i="108"/>
  <c r="AZ14" i="108"/>
  <c r="AZ10" i="108"/>
  <c r="AZ8" i="108"/>
  <c r="AZ12" i="108"/>
  <c r="AZ11" i="108"/>
  <c r="AZ7" i="108"/>
  <c r="AZ9" i="108"/>
  <c r="AZ13" i="108"/>
  <c r="AZ126" i="108"/>
  <c r="AZ123" i="108"/>
  <c r="AZ121" i="108"/>
  <c r="AZ119" i="108"/>
  <c r="AZ125" i="108"/>
  <c r="AZ122" i="108"/>
  <c r="AZ120" i="108"/>
  <c r="AZ124" i="108"/>
  <c r="AZ166" i="108"/>
  <c r="AZ165" i="108"/>
  <c r="AZ162" i="108"/>
  <c r="AZ160" i="108"/>
  <c r="AZ164" i="108"/>
  <c r="AZ163" i="108"/>
  <c r="AZ161" i="108"/>
  <c r="AZ159" i="108"/>
  <c r="AZ134" i="108"/>
  <c r="AZ133" i="108"/>
  <c r="AZ130" i="108"/>
  <c r="AZ128" i="108"/>
  <c r="AZ132" i="108"/>
  <c r="AZ131" i="108"/>
  <c r="AZ129" i="108"/>
  <c r="AZ127" i="108"/>
  <c r="AZ108" i="108"/>
  <c r="AZ110" i="108"/>
  <c r="AZ109" i="108"/>
  <c r="AZ107" i="108"/>
  <c r="AZ105" i="108"/>
  <c r="AZ103" i="108"/>
  <c r="AZ104" i="108"/>
  <c r="AZ106" i="108"/>
  <c r="AZ288" i="108"/>
  <c r="AZ186" i="108"/>
  <c r="AZ184" i="108"/>
  <c r="AZ188" i="108"/>
  <c r="AZ187" i="108"/>
  <c r="AZ185" i="108"/>
  <c r="AZ190" i="108"/>
  <c r="AZ183" i="108"/>
  <c r="AZ189" i="108"/>
  <c r="AZ273" i="108"/>
  <c r="AZ158" i="108"/>
  <c r="AZ157" i="108"/>
  <c r="AZ154" i="108"/>
  <c r="AZ152" i="108"/>
  <c r="AZ156" i="108"/>
  <c r="AZ155" i="108"/>
  <c r="AZ153" i="108"/>
  <c r="AZ151" i="108"/>
  <c r="AZ253" i="108"/>
  <c r="AZ241" i="108"/>
  <c r="AR294" i="108"/>
  <c r="AZ289" i="108"/>
  <c r="AZ294" i="107"/>
  <c r="AZ118" i="107"/>
  <c r="AZ112" i="107"/>
  <c r="AZ111" i="107"/>
  <c r="AZ116" i="107"/>
  <c r="AZ115" i="107"/>
  <c r="AZ113" i="107"/>
  <c r="AZ117" i="107"/>
  <c r="AZ114" i="107"/>
  <c r="AJ26" i="107"/>
  <c r="AZ24" i="107"/>
  <c r="AZ195" i="107"/>
  <c r="AZ193" i="107"/>
  <c r="AZ198" i="107"/>
  <c r="AZ197" i="107"/>
  <c r="AZ194" i="107"/>
  <c r="AZ192" i="107"/>
  <c r="AZ191" i="107"/>
  <c r="AZ196" i="107"/>
  <c r="AZ290" i="107"/>
  <c r="AZ284" i="107"/>
  <c r="AZ286" i="107"/>
  <c r="AZ182" i="107"/>
  <c r="AZ181" i="107"/>
  <c r="AZ178" i="107"/>
  <c r="AZ176" i="107"/>
  <c r="AZ180" i="107"/>
  <c r="AZ179" i="107"/>
  <c r="AZ177" i="107"/>
  <c r="AZ175" i="107"/>
  <c r="AZ265" i="107"/>
  <c r="AZ150" i="107"/>
  <c r="AZ149" i="107"/>
  <c r="AZ146" i="107"/>
  <c r="AZ144" i="107"/>
  <c r="AZ148" i="107"/>
  <c r="AZ147" i="107"/>
  <c r="AZ145" i="107"/>
  <c r="AZ143" i="107"/>
  <c r="AZ245" i="107"/>
  <c r="AZ233" i="107"/>
  <c r="AZ14" i="107"/>
  <c r="AZ10" i="107"/>
  <c r="AZ8" i="107"/>
  <c r="AZ11" i="107"/>
  <c r="AZ7" i="107"/>
  <c r="AZ13" i="107"/>
  <c r="AZ9" i="107"/>
  <c r="AZ12" i="107"/>
  <c r="AZ91" i="107"/>
  <c r="AZ87" i="107"/>
  <c r="AR294" i="107"/>
  <c r="AZ293" i="107" s="1"/>
  <c r="AZ289" i="107"/>
  <c r="AJ206" i="107"/>
  <c r="AZ204" i="107"/>
  <c r="AZ174" i="107"/>
  <c r="AZ173" i="107"/>
  <c r="AZ170" i="107"/>
  <c r="AZ168" i="107"/>
  <c r="AZ172" i="107"/>
  <c r="AZ171" i="107"/>
  <c r="AZ169" i="107"/>
  <c r="AZ167" i="107"/>
  <c r="AZ142" i="107"/>
  <c r="AZ141" i="107"/>
  <c r="AZ138" i="107"/>
  <c r="AZ136" i="107"/>
  <c r="AZ140" i="107"/>
  <c r="AZ137" i="107"/>
  <c r="AZ135" i="107"/>
  <c r="AZ139" i="107"/>
  <c r="AZ110" i="107"/>
  <c r="AZ109" i="107"/>
  <c r="AZ107" i="107"/>
  <c r="AZ105" i="107"/>
  <c r="AZ103" i="107"/>
  <c r="AZ108" i="107"/>
  <c r="AZ106" i="107"/>
  <c r="AZ104" i="107"/>
  <c r="AR42" i="107"/>
  <c r="AZ37" i="107"/>
  <c r="AZ202" i="107"/>
  <c r="AZ282" i="107"/>
  <c r="AZ166" i="107"/>
  <c r="AZ165" i="107"/>
  <c r="AZ162" i="107"/>
  <c r="AZ160" i="107"/>
  <c r="AZ164" i="107"/>
  <c r="AZ163" i="107"/>
  <c r="AZ161" i="107"/>
  <c r="AZ159" i="107"/>
  <c r="AZ261" i="107"/>
  <c r="AZ249" i="107"/>
  <c r="AZ134" i="107"/>
  <c r="AZ133" i="107"/>
  <c r="AZ130" i="107"/>
  <c r="AZ128" i="107"/>
  <c r="AZ132" i="107"/>
  <c r="AZ131" i="107"/>
  <c r="AZ127" i="107"/>
  <c r="AZ129" i="107"/>
  <c r="AZ229" i="107"/>
  <c r="AZ221" i="107"/>
  <c r="AZ33" i="107"/>
  <c r="AZ126" i="107"/>
  <c r="AZ125" i="107"/>
  <c r="AZ122" i="107"/>
  <c r="AZ124" i="107"/>
  <c r="AZ123" i="107"/>
  <c r="AZ121" i="107"/>
  <c r="AZ119" i="107"/>
  <c r="AZ120" i="107"/>
  <c r="AZ186" i="107"/>
  <c r="AZ184" i="107"/>
  <c r="AZ188" i="107"/>
  <c r="AZ187" i="107"/>
  <c r="AZ185" i="107"/>
  <c r="AZ183" i="107"/>
  <c r="AZ190" i="107"/>
  <c r="AZ189" i="107"/>
  <c r="AZ158" i="107"/>
  <c r="AZ157" i="107"/>
  <c r="AZ154" i="107"/>
  <c r="AZ152" i="107"/>
  <c r="AZ156" i="107"/>
  <c r="AZ155" i="107"/>
  <c r="AZ153" i="107"/>
  <c r="AZ151" i="107"/>
  <c r="AX91" i="106"/>
  <c r="AX87" i="106"/>
  <c r="AJ126" i="106"/>
  <c r="AT126" i="106"/>
  <c r="AX115" i="106"/>
  <c r="AX122" i="106"/>
  <c r="AR150" i="106"/>
  <c r="AX145" i="106"/>
  <c r="AR58" i="106"/>
  <c r="AX53" i="106"/>
  <c r="AX118" i="106"/>
  <c r="AX116" i="106"/>
  <c r="AX14" i="106"/>
  <c r="AJ16" i="106"/>
  <c r="AX113" i="105"/>
  <c r="AS118" i="105"/>
  <c r="AX110" i="105"/>
  <c r="AX147" i="105"/>
  <c r="AX143" i="105"/>
  <c r="AX139" i="105"/>
  <c r="AX135" i="105"/>
  <c r="AX127" i="105"/>
  <c r="AX123" i="105"/>
  <c r="AX131" i="105"/>
  <c r="AX119" i="105"/>
  <c r="AX115" i="105"/>
  <c r="AX111" i="105"/>
  <c r="AX107" i="105"/>
  <c r="AX143" i="104"/>
  <c r="AX139" i="104"/>
  <c r="AX135" i="104"/>
  <c r="AX131" i="104"/>
  <c r="AX115" i="104"/>
  <c r="AX111" i="104"/>
  <c r="AX107" i="104"/>
  <c r="AX147" i="104"/>
  <c r="AX127" i="104"/>
  <c r="AX123" i="104"/>
  <c r="AX119" i="104"/>
  <c r="AX60" i="104"/>
  <c r="AK62" i="104"/>
  <c r="AS26" i="104"/>
  <c r="AX21" i="104"/>
  <c r="AX139" i="103"/>
  <c r="AX135" i="103"/>
  <c r="AX131" i="103"/>
  <c r="AX127" i="103"/>
  <c r="AX115" i="103"/>
  <c r="AX111" i="103"/>
  <c r="AX107" i="103"/>
  <c r="AX147" i="103"/>
  <c r="AX123" i="103"/>
  <c r="AX143" i="103"/>
  <c r="AX119" i="103"/>
  <c r="AX136" i="103"/>
  <c r="AX120" i="103"/>
  <c r="AS26" i="103"/>
  <c r="AX21" i="103"/>
  <c r="AX22" i="103"/>
  <c r="AX148" i="103"/>
  <c r="AX132" i="103"/>
  <c r="AX116" i="103"/>
  <c r="AX103" i="103"/>
  <c r="AX72" i="103"/>
  <c r="AX76" i="103"/>
  <c r="AX68" i="103"/>
  <c r="AX93" i="102"/>
  <c r="AV98" i="102"/>
  <c r="AX94" i="102"/>
  <c r="AN108" i="102"/>
  <c r="AJ288" i="109" l="1"/>
  <c r="AZ286" i="109"/>
  <c r="AR290" i="109"/>
  <c r="AZ285" i="109"/>
  <c r="AJ224" i="109"/>
  <c r="AZ222" i="109"/>
  <c r="AZ188" i="109"/>
  <c r="AZ190" i="109"/>
  <c r="AZ189" i="109"/>
  <c r="AZ187" i="109"/>
  <c r="AZ185" i="109"/>
  <c r="AZ183" i="109"/>
  <c r="AZ186" i="109"/>
  <c r="AZ184" i="109"/>
  <c r="AR226" i="109"/>
  <c r="AZ221" i="109"/>
  <c r="AZ92" i="109"/>
  <c r="AZ94" i="109"/>
  <c r="AZ93" i="109"/>
  <c r="AZ91" i="109"/>
  <c r="AZ89" i="109"/>
  <c r="AZ87" i="109"/>
  <c r="AZ88" i="109"/>
  <c r="AZ90" i="109"/>
  <c r="AZ195" i="109"/>
  <c r="AZ193" i="109"/>
  <c r="AZ196" i="109"/>
  <c r="AZ197" i="109"/>
  <c r="AZ192" i="109"/>
  <c r="AZ198" i="109"/>
  <c r="AZ194" i="109"/>
  <c r="AZ191" i="109"/>
  <c r="AZ99" i="109"/>
  <c r="AZ97" i="109"/>
  <c r="AZ100" i="109"/>
  <c r="AZ96" i="109"/>
  <c r="AZ95" i="109"/>
  <c r="AZ102" i="109"/>
  <c r="AZ98" i="109"/>
  <c r="AZ101" i="109"/>
  <c r="AZ294" i="108"/>
  <c r="AZ293" i="108"/>
  <c r="AJ208" i="108"/>
  <c r="AZ206" i="108"/>
  <c r="AJ102" i="108"/>
  <c r="AZ102" i="108" s="1"/>
  <c r="AZ100" i="108"/>
  <c r="AJ208" i="107"/>
  <c r="AZ206" i="107"/>
  <c r="AR46" i="107"/>
  <c r="AZ41" i="107"/>
  <c r="AJ28" i="107"/>
  <c r="AZ26" i="107"/>
  <c r="AJ18" i="106"/>
  <c r="AX16" i="106"/>
  <c r="AJ128" i="106"/>
  <c r="AX126" i="106"/>
  <c r="AR62" i="106"/>
  <c r="AX57" i="106"/>
  <c r="AT134" i="106"/>
  <c r="AX123" i="106"/>
  <c r="AX125" i="106"/>
  <c r="AR154" i="106"/>
  <c r="AX124" i="106"/>
  <c r="AX117" i="105"/>
  <c r="AS122" i="105"/>
  <c r="AX118" i="105"/>
  <c r="AK64" i="104"/>
  <c r="AS30" i="104"/>
  <c r="AX25" i="104"/>
  <c r="AX26" i="104"/>
  <c r="AS30" i="103"/>
  <c r="AX25" i="103"/>
  <c r="AX26" i="103"/>
  <c r="AX108" i="102"/>
  <c r="AN110" i="102"/>
  <c r="AX97" i="102"/>
  <c r="AV102" i="102"/>
  <c r="AX98" i="102"/>
  <c r="AJ226" i="109" l="1"/>
  <c r="AZ224" i="109"/>
  <c r="AJ290" i="109"/>
  <c r="AZ288" i="109"/>
  <c r="AR230" i="109"/>
  <c r="AZ225" i="109"/>
  <c r="AR294" i="109"/>
  <c r="AZ293" i="109" s="1"/>
  <c r="AZ289" i="109"/>
  <c r="AJ210" i="108"/>
  <c r="AZ208" i="108"/>
  <c r="AR50" i="107"/>
  <c r="AZ45" i="107"/>
  <c r="AJ30" i="107"/>
  <c r="AZ28" i="107"/>
  <c r="AJ210" i="107"/>
  <c r="AZ208" i="107"/>
  <c r="AR66" i="106"/>
  <c r="AX61" i="106"/>
  <c r="AJ20" i="106"/>
  <c r="AX18" i="106"/>
  <c r="AX131" i="106"/>
  <c r="AT142" i="106"/>
  <c r="AX133" i="106"/>
  <c r="AJ130" i="106"/>
  <c r="AX128" i="106"/>
  <c r="AR158" i="106"/>
  <c r="AX153" i="106"/>
  <c r="AX121" i="105"/>
  <c r="AS126" i="105"/>
  <c r="AX122" i="105"/>
  <c r="AK66" i="104"/>
  <c r="AX64" i="104"/>
  <c r="AS34" i="104"/>
  <c r="AX29" i="104"/>
  <c r="AX30" i="104"/>
  <c r="AS34" i="103"/>
  <c r="AX29" i="103"/>
  <c r="AX30" i="103"/>
  <c r="AV106" i="102"/>
  <c r="AX101" i="102"/>
  <c r="AX102" i="102"/>
  <c r="AN112" i="102"/>
  <c r="AR234" i="109" l="1"/>
  <c r="AZ229" i="109"/>
  <c r="AJ228" i="109"/>
  <c r="AZ226" i="109"/>
  <c r="AJ292" i="109"/>
  <c r="AZ290" i="109"/>
  <c r="AJ212" i="108"/>
  <c r="AZ210" i="108"/>
  <c r="AJ212" i="107"/>
  <c r="AZ210" i="107"/>
  <c r="AR54" i="107"/>
  <c r="AZ49" i="107"/>
  <c r="AJ32" i="107"/>
  <c r="AZ30" i="107"/>
  <c r="AR70" i="106"/>
  <c r="AX65" i="106"/>
  <c r="AJ132" i="106"/>
  <c r="AX130" i="106"/>
  <c r="AJ22" i="106"/>
  <c r="AX20" i="106"/>
  <c r="AR162" i="106"/>
  <c r="AT150" i="106"/>
  <c r="AX139" i="106"/>
  <c r="AX141" i="106"/>
  <c r="AS130" i="105"/>
  <c r="AX125" i="105"/>
  <c r="AX126" i="105"/>
  <c r="AK68" i="104"/>
  <c r="AS38" i="104"/>
  <c r="AX33" i="104"/>
  <c r="AX34" i="104"/>
  <c r="AS38" i="103"/>
  <c r="AX33" i="103"/>
  <c r="AX34" i="103"/>
  <c r="AX112" i="102"/>
  <c r="AN114" i="102"/>
  <c r="AV110" i="102"/>
  <c r="AX105" i="102"/>
  <c r="AX106" i="102"/>
  <c r="AJ294" i="109" l="1"/>
  <c r="AZ294" i="109" s="1"/>
  <c r="AZ292" i="109"/>
  <c r="AR238" i="109"/>
  <c r="AZ233" i="109"/>
  <c r="AZ228" i="109"/>
  <c r="AJ230" i="109"/>
  <c r="AJ214" i="108"/>
  <c r="AZ212" i="108"/>
  <c r="AJ34" i="107"/>
  <c r="AZ32" i="107"/>
  <c r="AJ214" i="107"/>
  <c r="AZ212" i="107"/>
  <c r="AR58" i="107"/>
  <c r="AZ53" i="107"/>
  <c r="AX147" i="106"/>
  <c r="AT158" i="106"/>
  <c r="AX149" i="106"/>
  <c r="AJ24" i="106"/>
  <c r="AX22" i="106"/>
  <c r="AR74" i="106"/>
  <c r="AX69" i="106"/>
  <c r="AR166" i="106"/>
  <c r="AX161" i="106"/>
  <c r="AJ134" i="106"/>
  <c r="AX132" i="106"/>
  <c r="AS134" i="105"/>
  <c r="AX129" i="105"/>
  <c r="AX130" i="105"/>
  <c r="AK70" i="104"/>
  <c r="AX68" i="104"/>
  <c r="AS42" i="104"/>
  <c r="AX37" i="104"/>
  <c r="AX38" i="104"/>
  <c r="AS42" i="103"/>
  <c r="AX37" i="103"/>
  <c r="AX38" i="103"/>
  <c r="AV114" i="102"/>
  <c r="AX109" i="102"/>
  <c r="AX110" i="102"/>
  <c r="AN116" i="102"/>
  <c r="AR242" i="109" l="1"/>
  <c r="AZ237" i="109"/>
  <c r="AJ232" i="109"/>
  <c r="AZ230" i="109"/>
  <c r="AJ216" i="108"/>
  <c r="AZ214" i="108"/>
  <c r="AR62" i="107"/>
  <c r="AZ57" i="107"/>
  <c r="AJ36" i="107"/>
  <c r="AZ34" i="107"/>
  <c r="AJ216" i="107"/>
  <c r="AZ214" i="107"/>
  <c r="AR170" i="106"/>
  <c r="AJ26" i="106"/>
  <c r="AX24" i="106"/>
  <c r="AJ136" i="106"/>
  <c r="AX134" i="106"/>
  <c r="AR78" i="106"/>
  <c r="AX73" i="106"/>
  <c r="AT166" i="106"/>
  <c r="AX165" i="106" s="1"/>
  <c r="AX155" i="106"/>
  <c r="AX157" i="106"/>
  <c r="AX133" i="105"/>
  <c r="AS138" i="105"/>
  <c r="AX134" i="105"/>
  <c r="AK72" i="104"/>
  <c r="AS46" i="104"/>
  <c r="AX41" i="104"/>
  <c r="AX42" i="104"/>
  <c r="AS46" i="103"/>
  <c r="AX41" i="103"/>
  <c r="AX42" i="103"/>
  <c r="AN118" i="102"/>
  <c r="AX116" i="102"/>
  <c r="AX113" i="102"/>
  <c r="AV118" i="102"/>
  <c r="AX114" i="102"/>
  <c r="AR246" i="109" l="1"/>
  <c r="AZ241" i="109"/>
  <c r="AJ234" i="109"/>
  <c r="AZ232" i="109"/>
  <c r="AJ218" i="108"/>
  <c r="AZ216" i="108"/>
  <c r="AJ218" i="107"/>
  <c r="AZ216" i="107"/>
  <c r="AR66" i="107"/>
  <c r="AZ61" i="107"/>
  <c r="AJ38" i="107"/>
  <c r="AZ36" i="107"/>
  <c r="AR82" i="106"/>
  <c r="AX77" i="106"/>
  <c r="AJ28" i="106"/>
  <c r="AX26" i="106"/>
  <c r="AT174" i="106"/>
  <c r="AX163" i="106"/>
  <c r="AJ138" i="106"/>
  <c r="AX136" i="106"/>
  <c r="AR174" i="106"/>
  <c r="AX169" i="106"/>
  <c r="AS142" i="105"/>
  <c r="AX137" i="105"/>
  <c r="AX138" i="105"/>
  <c r="AS50" i="104"/>
  <c r="AX45" i="104"/>
  <c r="AX46" i="104"/>
  <c r="AK74" i="104"/>
  <c r="AX72" i="104"/>
  <c r="AS50" i="103"/>
  <c r="AX45" i="103"/>
  <c r="AX46" i="103"/>
  <c r="AN120" i="102"/>
  <c r="AX118" i="102"/>
  <c r="AV122" i="102"/>
  <c r="AX117" i="102"/>
  <c r="AR250" i="109" l="1"/>
  <c r="AZ245" i="109"/>
  <c r="AJ236" i="109"/>
  <c r="AZ234" i="109"/>
  <c r="AJ220" i="108"/>
  <c r="AZ218" i="108"/>
  <c r="AJ40" i="107"/>
  <c r="AZ38" i="107"/>
  <c r="AJ220" i="107"/>
  <c r="AZ218" i="107"/>
  <c r="AR70" i="107"/>
  <c r="AZ65" i="107"/>
  <c r="AJ140" i="106"/>
  <c r="AX138" i="106"/>
  <c r="AJ30" i="106"/>
  <c r="AX28" i="106"/>
  <c r="AR178" i="106"/>
  <c r="AX173" i="106"/>
  <c r="AT182" i="106"/>
  <c r="AX171" i="106"/>
  <c r="AR86" i="106"/>
  <c r="AX81" i="106"/>
  <c r="AS146" i="105"/>
  <c r="AX141" i="105"/>
  <c r="AX142" i="105"/>
  <c r="AK76" i="104"/>
  <c r="AS54" i="104"/>
  <c r="AX49" i="104"/>
  <c r="AX50" i="104"/>
  <c r="AS54" i="103"/>
  <c r="AX49" i="103"/>
  <c r="AX50" i="103"/>
  <c r="AV126" i="102"/>
  <c r="AX121" i="102"/>
  <c r="AN122" i="102"/>
  <c r="AX120" i="102"/>
  <c r="AJ238" i="109" l="1"/>
  <c r="AZ236" i="109"/>
  <c r="AR254" i="109"/>
  <c r="AZ249" i="109"/>
  <c r="AJ222" i="108"/>
  <c r="AZ220" i="108"/>
  <c r="AR74" i="107"/>
  <c r="AZ69" i="107"/>
  <c r="AJ42" i="107"/>
  <c r="AZ40" i="107"/>
  <c r="AJ222" i="107"/>
  <c r="AZ220" i="107"/>
  <c r="AR90" i="106"/>
  <c r="AX85" i="106"/>
  <c r="AR182" i="106"/>
  <c r="AX177" i="106"/>
  <c r="AJ142" i="106"/>
  <c r="AX140" i="106"/>
  <c r="AT190" i="106"/>
  <c r="AT206" i="106"/>
  <c r="AX179" i="106"/>
  <c r="AJ32" i="106"/>
  <c r="AX30" i="106"/>
  <c r="AS150" i="105"/>
  <c r="AX145" i="105"/>
  <c r="AX146" i="105"/>
  <c r="AK78" i="104"/>
  <c r="AX76" i="104"/>
  <c r="AS58" i="104"/>
  <c r="AX53" i="104"/>
  <c r="AX54" i="104"/>
  <c r="AS58" i="103"/>
  <c r="AX53" i="103"/>
  <c r="AX54" i="103"/>
  <c r="AV130" i="102"/>
  <c r="AX125" i="102"/>
  <c r="AN124" i="102"/>
  <c r="AX122" i="102"/>
  <c r="AJ240" i="109" l="1"/>
  <c r="AZ238" i="109"/>
  <c r="AR258" i="109"/>
  <c r="AZ253" i="109"/>
  <c r="AJ224" i="108"/>
  <c r="AZ222" i="108"/>
  <c r="AJ44" i="107"/>
  <c r="AZ42" i="107"/>
  <c r="AJ224" i="107"/>
  <c r="AZ222" i="107"/>
  <c r="AR78" i="107"/>
  <c r="AZ73" i="107"/>
  <c r="AT214" i="106"/>
  <c r="AX203" i="106"/>
  <c r="AT198" i="106"/>
  <c r="AX195" i="106" s="1"/>
  <c r="AX187" i="106"/>
  <c r="AR282" i="106"/>
  <c r="AR202" i="106"/>
  <c r="AR186" i="106"/>
  <c r="AX181" i="106"/>
  <c r="AJ34" i="106"/>
  <c r="AX32" i="106"/>
  <c r="AJ144" i="106"/>
  <c r="AX142" i="106"/>
  <c r="AR94" i="106"/>
  <c r="AX89" i="106"/>
  <c r="AX149" i="105"/>
  <c r="AX150" i="105"/>
  <c r="AS62" i="104"/>
  <c r="AX57" i="104"/>
  <c r="AX58" i="104"/>
  <c r="AK80" i="104"/>
  <c r="AS62" i="103"/>
  <c r="AX57" i="103"/>
  <c r="AX58" i="103"/>
  <c r="AX129" i="102"/>
  <c r="AV134" i="102"/>
  <c r="AX124" i="102"/>
  <c r="AN126" i="102"/>
  <c r="AR262" i="109" l="1"/>
  <c r="AZ257" i="109"/>
  <c r="AJ242" i="109"/>
  <c r="AZ240" i="109"/>
  <c r="AJ226" i="108"/>
  <c r="AZ224" i="108"/>
  <c r="AR82" i="107"/>
  <c r="AZ77" i="107"/>
  <c r="AJ46" i="107"/>
  <c r="AZ44" i="107"/>
  <c r="AJ226" i="107"/>
  <c r="AZ224" i="107"/>
  <c r="AJ146" i="106"/>
  <c r="AX144" i="106"/>
  <c r="AR190" i="106"/>
  <c r="AX185" i="106"/>
  <c r="AR206" i="106"/>
  <c r="AX201" i="106"/>
  <c r="AR98" i="106"/>
  <c r="AX93" i="106"/>
  <c r="AJ36" i="106"/>
  <c r="AX34" i="106"/>
  <c r="AR286" i="106"/>
  <c r="AX281" i="106"/>
  <c r="AX211" i="106"/>
  <c r="AT222" i="106"/>
  <c r="AS66" i="104"/>
  <c r="AX61" i="104"/>
  <c r="AX62" i="104"/>
  <c r="AK82" i="104"/>
  <c r="AX80" i="104"/>
  <c r="AS66" i="103"/>
  <c r="AX61" i="103"/>
  <c r="AX62" i="103"/>
  <c r="AX126" i="102"/>
  <c r="AN128" i="102"/>
  <c r="AV138" i="102"/>
  <c r="AX133" i="102"/>
  <c r="AR266" i="109" l="1"/>
  <c r="AZ261" i="109"/>
  <c r="AJ244" i="109"/>
  <c r="AZ242" i="109"/>
  <c r="AJ228" i="108"/>
  <c r="AZ226" i="108"/>
  <c r="AJ228" i="107"/>
  <c r="AZ226" i="107"/>
  <c r="AR86" i="107"/>
  <c r="AZ81" i="107"/>
  <c r="AJ48" i="107"/>
  <c r="AZ46" i="107"/>
  <c r="AJ38" i="106"/>
  <c r="AX36" i="106"/>
  <c r="AX205" i="106"/>
  <c r="AR210" i="106"/>
  <c r="AJ148" i="106"/>
  <c r="AX146" i="106"/>
  <c r="AR290" i="106"/>
  <c r="AR102" i="106"/>
  <c r="AX101" i="106" s="1"/>
  <c r="AX97" i="106"/>
  <c r="AR194" i="106"/>
  <c r="AX189" i="106"/>
  <c r="AT230" i="106"/>
  <c r="AX219" i="106"/>
  <c r="AK84" i="104"/>
  <c r="AS70" i="104"/>
  <c r="AX65" i="104"/>
  <c r="AX66" i="104"/>
  <c r="AS70" i="103"/>
  <c r="AX65" i="103"/>
  <c r="AX66" i="103"/>
  <c r="AV142" i="102"/>
  <c r="AX137" i="102"/>
  <c r="AX128" i="102"/>
  <c r="AN130" i="102"/>
  <c r="AZ244" i="109" l="1"/>
  <c r="AJ246" i="109"/>
  <c r="AR270" i="109"/>
  <c r="AZ265" i="109"/>
  <c r="AJ230" i="108"/>
  <c r="AZ228" i="108"/>
  <c r="AR90" i="107"/>
  <c r="AZ85" i="107"/>
  <c r="AJ50" i="107"/>
  <c r="AZ48" i="107"/>
  <c r="AJ230" i="107"/>
  <c r="AZ228" i="107"/>
  <c r="AX227" i="106"/>
  <c r="AT238" i="106"/>
  <c r="AX209" i="106"/>
  <c r="AR214" i="106"/>
  <c r="AR198" i="106"/>
  <c r="AX197" i="106" s="1"/>
  <c r="AX193" i="106"/>
  <c r="AR294" i="106"/>
  <c r="AX289" i="106"/>
  <c r="AX148" i="106"/>
  <c r="AJ150" i="106"/>
  <c r="AJ40" i="106"/>
  <c r="AX38" i="106"/>
  <c r="AK86" i="104"/>
  <c r="AX84" i="104"/>
  <c r="AS74" i="104"/>
  <c r="AX69" i="104"/>
  <c r="AX70" i="104"/>
  <c r="AS74" i="103"/>
  <c r="AX69" i="103"/>
  <c r="AX70" i="103"/>
  <c r="AX130" i="102"/>
  <c r="AN132" i="102"/>
  <c r="AV146" i="102"/>
  <c r="AX141" i="102"/>
  <c r="AR274" i="109" l="1"/>
  <c r="AZ269" i="109"/>
  <c r="AJ248" i="109"/>
  <c r="AZ246" i="109"/>
  <c r="AJ232" i="108"/>
  <c r="AZ230" i="108"/>
  <c r="AJ52" i="107"/>
  <c r="AZ50" i="107"/>
  <c r="AJ232" i="107"/>
  <c r="AZ230" i="107"/>
  <c r="AR94" i="107"/>
  <c r="AZ89" i="107"/>
  <c r="AR218" i="106"/>
  <c r="AX213" i="106"/>
  <c r="AJ42" i="106"/>
  <c r="AX40" i="106"/>
  <c r="AJ152" i="106"/>
  <c r="AX150" i="106"/>
  <c r="AT246" i="106"/>
  <c r="AX235" i="106"/>
  <c r="AK88" i="104"/>
  <c r="AS78" i="104"/>
  <c r="AX73" i="104"/>
  <c r="AX74" i="104"/>
  <c r="AS78" i="103"/>
  <c r="AX74" i="103"/>
  <c r="AX73" i="103"/>
  <c r="AX145" i="102"/>
  <c r="AV150" i="102"/>
  <c r="AN134" i="102"/>
  <c r="AX132" i="102"/>
  <c r="AJ250" i="109" l="1"/>
  <c r="AZ248" i="109"/>
  <c r="AR278" i="109"/>
  <c r="AZ277" i="109" s="1"/>
  <c r="AZ273" i="109"/>
  <c r="AJ234" i="108"/>
  <c r="AZ232" i="108"/>
  <c r="AJ234" i="107"/>
  <c r="AZ232" i="107"/>
  <c r="AR98" i="107"/>
  <c r="AZ93" i="107"/>
  <c r="AJ54" i="107"/>
  <c r="AZ52" i="107"/>
  <c r="AR222" i="106"/>
  <c r="AX217" i="106"/>
  <c r="AX243" i="106"/>
  <c r="AT254" i="106"/>
  <c r="AJ44" i="106"/>
  <c r="AX42" i="106"/>
  <c r="AJ154" i="106"/>
  <c r="AX152" i="106"/>
  <c r="AS82" i="104"/>
  <c r="AX77" i="104"/>
  <c r="AX78" i="104"/>
  <c r="AK90" i="104"/>
  <c r="AX88" i="104"/>
  <c r="AS82" i="103"/>
  <c r="AX77" i="103"/>
  <c r="AX78" i="103"/>
  <c r="AN136" i="102"/>
  <c r="AX134" i="102"/>
  <c r="AV154" i="102"/>
  <c r="AX149" i="102"/>
  <c r="AJ252" i="109" l="1"/>
  <c r="AZ250" i="109"/>
  <c r="AJ236" i="108"/>
  <c r="AZ234" i="108"/>
  <c r="AR102" i="107"/>
  <c r="AZ101" i="107" s="1"/>
  <c r="AZ97" i="107"/>
  <c r="AJ56" i="107"/>
  <c r="AZ54" i="107"/>
  <c r="AJ236" i="107"/>
  <c r="AZ234" i="107"/>
  <c r="AT262" i="106"/>
  <c r="AX251" i="106"/>
  <c r="AJ156" i="106"/>
  <c r="AX154" i="106"/>
  <c r="AJ46" i="106"/>
  <c r="AX44" i="106"/>
  <c r="AR226" i="106"/>
  <c r="AX221" i="106"/>
  <c r="AS86" i="104"/>
  <c r="AX81" i="104"/>
  <c r="AX82" i="104"/>
  <c r="AK92" i="104"/>
  <c r="AS86" i="103"/>
  <c r="AX82" i="103"/>
  <c r="AX81" i="103"/>
  <c r="AV158" i="102"/>
  <c r="AX153" i="102"/>
  <c r="AN138" i="102"/>
  <c r="AX136" i="102"/>
  <c r="AJ254" i="109" l="1"/>
  <c r="AZ252" i="109"/>
  <c r="AJ238" i="108"/>
  <c r="AZ236" i="108"/>
  <c r="AJ58" i="107"/>
  <c r="AZ56" i="107"/>
  <c r="AJ238" i="107"/>
  <c r="AZ236" i="107"/>
  <c r="AX225" i="106"/>
  <c r="AR230" i="106"/>
  <c r="AJ158" i="106"/>
  <c r="AX156" i="106"/>
  <c r="AJ48" i="106"/>
  <c r="AX46" i="106"/>
  <c r="AX259" i="106"/>
  <c r="AT270" i="106"/>
  <c r="AS90" i="104"/>
  <c r="AX85" i="104"/>
  <c r="AX86" i="104"/>
  <c r="AK94" i="104"/>
  <c r="AX92" i="104"/>
  <c r="AS90" i="103"/>
  <c r="AX86" i="103"/>
  <c r="AX85" i="103"/>
  <c r="AN140" i="102"/>
  <c r="AX138" i="102"/>
  <c r="AX157" i="102"/>
  <c r="AV162" i="102"/>
  <c r="AJ256" i="109" l="1"/>
  <c r="AZ254" i="109"/>
  <c r="AJ240" i="108"/>
  <c r="AZ238" i="108"/>
  <c r="AJ240" i="107"/>
  <c r="AZ238" i="107"/>
  <c r="AJ60" i="107"/>
  <c r="AZ58" i="107"/>
  <c r="AJ160" i="106"/>
  <c r="AX158" i="106"/>
  <c r="AR234" i="106"/>
  <c r="AX229" i="106"/>
  <c r="AT278" i="106"/>
  <c r="AX267" i="106"/>
  <c r="AJ50" i="106"/>
  <c r="AX48" i="106"/>
  <c r="AS94" i="104"/>
  <c r="AX89" i="104"/>
  <c r="AX90" i="104"/>
  <c r="AK96" i="104"/>
  <c r="AX94" i="104"/>
  <c r="AS94" i="103"/>
  <c r="AX90" i="103"/>
  <c r="AX89" i="103"/>
  <c r="AX161" i="102"/>
  <c r="AV166" i="102"/>
  <c r="AX140" i="102"/>
  <c r="AN142" i="102"/>
  <c r="AJ258" i="109" l="1"/>
  <c r="AZ256" i="109"/>
  <c r="AJ242" i="108"/>
  <c r="AZ240" i="108"/>
  <c r="AJ62" i="107"/>
  <c r="AZ60" i="107"/>
  <c r="AJ242" i="107"/>
  <c r="AZ240" i="107"/>
  <c r="AJ52" i="106"/>
  <c r="AX50" i="106"/>
  <c r="AR238" i="106"/>
  <c r="AX233" i="106"/>
  <c r="AT286" i="106"/>
  <c r="AX275" i="106"/>
  <c r="AJ162" i="106"/>
  <c r="AX160" i="106"/>
  <c r="AS98" i="104"/>
  <c r="AX93" i="104"/>
  <c r="AK98" i="104"/>
  <c r="AX96" i="104"/>
  <c r="AS98" i="103"/>
  <c r="AX93" i="103"/>
  <c r="AX94" i="103"/>
  <c r="AX142" i="102"/>
  <c r="AN144" i="102"/>
  <c r="AV170" i="102"/>
  <c r="AX165" i="102"/>
  <c r="AJ260" i="109" l="1"/>
  <c r="AZ258" i="109"/>
  <c r="AJ244" i="108"/>
  <c r="AZ242" i="108"/>
  <c r="AJ244" i="107"/>
  <c r="AZ242" i="107"/>
  <c r="AJ64" i="107"/>
  <c r="AZ62" i="107"/>
  <c r="AJ164" i="106"/>
  <c r="AX162" i="106"/>
  <c r="AX237" i="106"/>
  <c r="AR242" i="106"/>
  <c r="AT294" i="106"/>
  <c r="AX283" i="106"/>
  <c r="AX285" i="106"/>
  <c r="AJ54" i="106"/>
  <c r="AX52" i="106"/>
  <c r="AS102" i="104"/>
  <c r="AX97" i="104"/>
  <c r="AK100" i="104"/>
  <c r="AX98" i="104"/>
  <c r="AS102" i="103"/>
  <c r="AX98" i="103"/>
  <c r="AX97" i="103"/>
  <c r="AV174" i="102"/>
  <c r="AX173" i="102" s="1"/>
  <c r="AX169" i="102"/>
  <c r="AX144" i="102"/>
  <c r="AN146" i="102"/>
  <c r="AZ260" i="109" l="1"/>
  <c r="AJ262" i="109"/>
  <c r="AJ246" i="108"/>
  <c r="AZ244" i="108"/>
  <c r="AJ66" i="107"/>
  <c r="AZ64" i="107"/>
  <c r="AJ246" i="107"/>
  <c r="AZ244" i="107"/>
  <c r="AJ56" i="106"/>
  <c r="AX54" i="106"/>
  <c r="AX241" i="106"/>
  <c r="AR246" i="106"/>
  <c r="AX291" i="106"/>
  <c r="AX293" i="106"/>
  <c r="AX164" i="106"/>
  <c r="AJ166" i="106"/>
  <c r="AS106" i="104"/>
  <c r="AX101" i="104"/>
  <c r="AK102" i="104"/>
  <c r="AX100" i="104"/>
  <c r="AS106" i="103"/>
  <c r="AX102" i="103"/>
  <c r="AX101" i="103"/>
  <c r="AX146" i="102"/>
  <c r="AN148" i="102"/>
  <c r="AJ264" i="109" l="1"/>
  <c r="AZ262" i="109"/>
  <c r="AJ248" i="108"/>
  <c r="AZ246" i="108"/>
  <c r="AJ248" i="107"/>
  <c r="AZ246" i="107"/>
  <c r="AJ68" i="107"/>
  <c r="AZ66" i="107"/>
  <c r="AJ168" i="106"/>
  <c r="AX166" i="106"/>
  <c r="AR250" i="106"/>
  <c r="AX245" i="106"/>
  <c r="AJ58" i="106"/>
  <c r="AX56" i="106"/>
  <c r="AK104" i="104"/>
  <c r="AX102" i="104"/>
  <c r="AS110" i="104"/>
  <c r="AX105" i="104"/>
  <c r="AS110" i="103"/>
  <c r="AX105" i="103"/>
  <c r="AX106" i="103"/>
  <c r="AN150" i="102"/>
  <c r="AX148" i="102"/>
  <c r="AJ266" i="109" l="1"/>
  <c r="AZ264" i="109"/>
  <c r="AJ250" i="108"/>
  <c r="AZ248" i="108"/>
  <c r="AJ70" i="107"/>
  <c r="AZ68" i="107"/>
  <c r="AJ250" i="107"/>
  <c r="AZ248" i="107"/>
  <c r="AR254" i="106"/>
  <c r="AX249" i="106"/>
  <c r="AJ60" i="106"/>
  <c r="AX58" i="106"/>
  <c r="AJ170" i="106"/>
  <c r="AX168" i="106"/>
  <c r="AS114" i="104"/>
  <c r="AX109" i="104"/>
  <c r="AK106" i="104"/>
  <c r="AX104" i="104"/>
  <c r="AS114" i="103"/>
  <c r="AX109" i="103"/>
  <c r="AX110" i="103"/>
  <c r="AN152" i="102"/>
  <c r="AX150" i="102"/>
  <c r="AJ268" i="109" l="1"/>
  <c r="AZ266" i="109"/>
  <c r="AJ252" i="108"/>
  <c r="AZ250" i="108"/>
  <c r="AJ252" i="107"/>
  <c r="AZ250" i="107"/>
  <c r="AJ72" i="107"/>
  <c r="AZ70" i="107"/>
  <c r="AJ62" i="106"/>
  <c r="AX60" i="106"/>
  <c r="AJ172" i="106"/>
  <c r="AX170" i="106"/>
  <c r="AR258" i="106"/>
  <c r="AX253" i="106"/>
  <c r="AK108" i="104"/>
  <c r="AX106" i="104"/>
  <c r="AS118" i="104"/>
  <c r="AX113" i="104"/>
  <c r="AS118" i="103"/>
  <c r="AX113" i="103"/>
  <c r="AX114" i="103"/>
  <c r="AN154" i="102"/>
  <c r="AX152" i="102"/>
  <c r="AJ270" i="109" l="1"/>
  <c r="AZ268" i="109"/>
  <c r="AJ254" i="108"/>
  <c r="AZ252" i="108"/>
  <c r="AJ74" i="107"/>
  <c r="AZ72" i="107"/>
  <c r="AJ254" i="107"/>
  <c r="AZ252" i="107"/>
  <c r="AJ174" i="106"/>
  <c r="AX172" i="106"/>
  <c r="AX257" i="106"/>
  <c r="AR262" i="106"/>
  <c r="AJ64" i="106"/>
  <c r="AX62" i="106"/>
  <c r="AS122" i="104"/>
  <c r="AX117" i="104"/>
  <c r="AK110" i="104"/>
  <c r="AX108" i="104"/>
  <c r="AS122" i="103"/>
  <c r="AX117" i="103"/>
  <c r="AX118" i="103"/>
  <c r="AN156" i="102"/>
  <c r="AX154" i="102"/>
  <c r="AJ272" i="109" l="1"/>
  <c r="AZ270" i="109"/>
  <c r="AJ256" i="108"/>
  <c r="AZ254" i="108"/>
  <c r="AJ256" i="107"/>
  <c r="AZ254" i="107"/>
  <c r="AJ76" i="107"/>
  <c r="AZ74" i="107"/>
  <c r="AR266" i="106"/>
  <c r="AX261" i="106"/>
  <c r="AX64" i="106"/>
  <c r="AJ66" i="106"/>
  <c r="AJ176" i="106"/>
  <c r="AX174" i="106"/>
  <c r="AK112" i="104"/>
  <c r="AX110" i="104"/>
  <c r="AX121" i="104"/>
  <c r="AS126" i="104"/>
  <c r="AX121" i="103"/>
  <c r="AS126" i="103"/>
  <c r="AX122" i="103"/>
  <c r="AX156" i="102"/>
  <c r="AN158" i="102"/>
  <c r="AJ274" i="109" l="1"/>
  <c r="AZ272" i="109"/>
  <c r="AJ258" i="108"/>
  <c r="AZ256" i="108"/>
  <c r="AJ78" i="107"/>
  <c r="AZ76" i="107"/>
  <c r="AJ258" i="107"/>
  <c r="AZ256" i="107"/>
  <c r="AJ68" i="106"/>
  <c r="AX66" i="106"/>
  <c r="AJ178" i="106"/>
  <c r="AX176" i="106"/>
  <c r="AR270" i="106"/>
  <c r="AX265" i="106"/>
  <c r="AX125" i="104"/>
  <c r="AS130" i="104"/>
  <c r="AK114" i="104"/>
  <c r="AX112" i="104"/>
  <c r="AS130" i="103"/>
  <c r="AX125" i="103"/>
  <c r="AX126" i="103"/>
  <c r="AX158" i="102"/>
  <c r="AN160" i="102"/>
  <c r="AJ276" i="109" l="1"/>
  <c r="AZ274" i="109"/>
  <c r="AJ260" i="108"/>
  <c r="AZ258" i="108"/>
  <c r="AJ260" i="107"/>
  <c r="AZ258" i="107"/>
  <c r="AJ80" i="107"/>
  <c r="AZ78" i="107"/>
  <c r="AJ180" i="106"/>
  <c r="AX178" i="106"/>
  <c r="AX269" i="106"/>
  <c r="AR274" i="106"/>
  <c r="AJ70" i="106"/>
  <c r="AX68" i="106"/>
  <c r="AK116" i="104"/>
  <c r="AX114" i="104"/>
  <c r="AS134" i="104"/>
  <c r="AX129" i="104"/>
  <c r="AS134" i="103"/>
  <c r="AX129" i="103"/>
  <c r="AX130" i="103"/>
  <c r="AX160" i="102"/>
  <c r="AN162" i="102"/>
  <c r="AZ276" i="109" l="1"/>
  <c r="AJ278" i="109"/>
  <c r="AZ278" i="109" s="1"/>
  <c r="AJ262" i="108"/>
  <c r="AZ260" i="108"/>
  <c r="AJ82" i="107"/>
  <c r="AZ80" i="107"/>
  <c r="AJ262" i="107"/>
  <c r="AZ260" i="107"/>
  <c r="AX273" i="106"/>
  <c r="AR278" i="106"/>
  <c r="AX277" i="106" s="1"/>
  <c r="AJ72" i="106"/>
  <c r="AX70" i="106"/>
  <c r="AX180" i="106"/>
  <c r="AJ182" i="106"/>
  <c r="AS138" i="104"/>
  <c r="AX133" i="104"/>
  <c r="AK118" i="104"/>
  <c r="AX116" i="104"/>
  <c r="AS138" i="103"/>
  <c r="AX133" i="103"/>
  <c r="AX134" i="103"/>
  <c r="AX162" i="102"/>
  <c r="AN164" i="102"/>
  <c r="AJ264" i="108" l="1"/>
  <c r="AZ262" i="108"/>
  <c r="AJ264" i="107"/>
  <c r="AZ262" i="107"/>
  <c r="AJ84" i="107"/>
  <c r="AZ82" i="107"/>
  <c r="AJ74" i="106"/>
  <c r="AX72" i="106"/>
  <c r="AJ280" i="106"/>
  <c r="AJ184" i="106"/>
  <c r="AJ200" i="106"/>
  <c r="AX182" i="106"/>
  <c r="AK120" i="104"/>
  <c r="AX118" i="104"/>
  <c r="AX137" i="104"/>
  <c r="AS142" i="104"/>
  <c r="AS142" i="103"/>
  <c r="AX137" i="103"/>
  <c r="AX138" i="103"/>
  <c r="AN166" i="102"/>
  <c r="AX164" i="102"/>
  <c r="AJ266" i="108" l="1"/>
  <c r="AZ264" i="108"/>
  <c r="AJ86" i="107"/>
  <c r="AZ84" i="107"/>
  <c r="AJ266" i="107"/>
  <c r="AZ264" i="107"/>
  <c r="AJ186" i="106"/>
  <c r="AX184" i="106"/>
  <c r="AJ282" i="106"/>
  <c r="AX280" i="106"/>
  <c r="AX200" i="106"/>
  <c r="AJ202" i="106"/>
  <c r="AJ76" i="106"/>
  <c r="AX74" i="106"/>
  <c r="AX141" i="104"/>
  <c r="AS146" i="104"/>
  <c r="AK122" i="104"/>
  <c r="AX120" i="104"/>
  <c r="AS146" i="103"/>
  <c r="AX141" i="103"/>
  <c r="AX142" i="103"/>
  <c r="AN168" i="102"/>
  <c r="AX166" i="102"/>
  <c r="AJ268" i="108" l="1"/>
  <c r="AZ266" i="108"/>
  <c r="AJ268" i="107"/>
  <c r="AZ266" i="107"/>
  <c r="AJ88" i="107"/>
  <c r="AZ86" i="107"/>
  <c r="AJ284" i="106"/>
  <c r="AX282" i="106"/>
  <c r="AJ78" i="106"/>
  <c r="AX76" i="106"/>
  <c r="AX202" i="106"/>
  <c r="AJ204" i="106"/>
  <c r="AJ188" i="106"/>
  <c r="AX186" i="106"/>
  <c r="AK124" i="104"/>
  <c r="AX122" i="104"/>
  <c r="AS150" i="104"/>
  <c r="AX149" i="104" s="1"/>
  <c r="AX145" i="104"/>
  <c r="AX145" i="103"/>
  <c r="AS150" i="103"/>
  <c r="AX146" i="103"/>
  <c r="AN170" i="102"/>
  <c r="AX168" i="102"/>
  <c r="AJ270" i="108" l="1"/>
  <c r="AZ268" i="108"/>
  <c r="AJ90" i="107"/>
  <c r="AZ88" i="107"/>
  <c r="AJ270" i="107"/>
  <c r="AZ268" i="107"/>
  <c r="AJ190" i="106"/>
  <c r="AX188" i="106"/>
  <c r="AJ80" i="106"/>
  <c r="AX78" i="106"/>
  <c r="AJ206" i="106"/>
  <c r="AX204" i="106"/>
  <c r="AX284" i="106"/>
  <c r="AJ286" i="106"/>
  <c r="AK126" i="104"/>
  <c r="AX124" i="104"/>
  <c r="AX149" i="103"/>
  <c r="AX150" i="103"/>
  <c r="AN172" i="102"/>
  <c r="AX170" i="102"/>
  <c r="AJ272" i="108" l="1"/>
  <c r="AZ270" i="108"/>
  <c r="AJ272" i="107"/>
  <c r="AZ270" i="107"/>
  <c r="AJ92" i="107"/>
  <c r="AZ90" i="107"/>
  <c r="AJ82" i="106"/>
  <c r="AX80" i="106"/>
  <c r="AJ288" i="106"/>
  <c r="AX286" i="106"/>
  <c r="AX206" i="106"/>
  <c r="AJ208" i="106"/>
  <c r="AJ192" i="106"/>
  <c r="AX190" i="106"/>
  <c r="AK128" i="104"/>
  <c r="AX126" i="104"/>
  <c r="AX172" i="102"/>
  <c r="AN174" i="102"/>
  <c r="AX174" i="102" s="1"/>
  <c r="AJ274" i="108" l="1"/>
  <c r="AZ272" i="108"/>
  <c r="AJ94" i="107"/>
  <c r="AZ92" i="107"/>
  <c r="AJ274" i="107"/>
  <c r="AZ272" i="107"/>
  <c r="AJ194" i="106"/>
  <c r="AX192" i="106"/>
  <c r="AX288" i="106"/>
  <c r="AJ290" i="106"/>
  <c r="AJ210" i="106"/>
  <c r="AX208" i="106"/>
  <c r="AJ84" i="106"/>
  <c r="AX82" i="106"/>
  <c r="AK130" i="104"/>
  <c r="AX128" i="104"/>
  <c r="AJ276" i="108" l="1"/>
  <c r="AZ274" i="108"/>
  <c r="AJ276" i="107"/>
  <c r="AZ274" i="107"/>
  <c r="AJ96" i="107"/>
  <c r="AZ94" i="107"/>
  <c r="AX290" i="106"/>
  <c r="AJ292" i="106"/>
  <c r="AJ86" i="106"/>
  <c r="AX84" i="106"/>
  <c r="AJ212" i="106"/>
  <c r="AX210" i="106"/>
  <c r="AJ196" i="106"/>
  <c r="AX194" i="106"/>
  <c r="AK132" i="104"/>
  <c r="AX130" i="104"/>
  <c r="AJ278" i="108" l="1"/>
  <c r="AZ278" i="108" s="1"/>
  <c r="AZ276" i="108"/>
  <c r="AJ98" i="107"/>
  <c r="AZ96" i="107"/>
  <c r="AJ278" i="107"/>
  <c r="AZ278" i="107" s="1"/>
  <c r="AZ276" i="107"/>
  <c r="AJ88" i="106"/>
  <c r="AX86" i="106"/>
  <c r="AX292" i="106"/>
  <c r="AJ294" i="106"/>
  <c r="AX294" i="106" s="1"/>
  <c r="AJ198" i="106"/>
  <c r="AX198" i="106" s="1"/>
  <c r="AX196" i="106"/>
  <c r="AJ214" i="106"/>
  <c r="AX212" i="106"/>
  <c r="AK134" i="104"/>
  <c r="AX132" i="104"/>
  <c r="AJ100" i="107" l="1"/>
  <c r="AZ98" i="107"/>
  <c r="AX214" i="106"/>
  <c r="AJ216" i="106"/>
  <c r="AJ90" i="106"/>
  <c r="AX88" i="106"/>
  <c r="AK136" i="104"/>
  <c r="AX134" i="104"/>
  <c r="AJ102" i="107" l="1"/>
  <c r="AZ102" i="107" s="1"/>
  <c r="AZ100" i="107"/>
  <c r="AJ92" i="106"/>
  <c r="AX90" i="106"/>
  <c r="AJ218" i="106"/>
  <c r="AX216" i="106"/>
  <c r="AK138" i="104"/>
  <c r="AX136" i="104"/>
  <c r="AJ220" i="106" l="1"/>
  <c r="AX218" i="106"/>
  <c r="AJ94" i="106"/>
  <c r="AX92" i="106"/>
  <c r="AK140" i="104"/>
  <c r="AX138" i="104"/>
  <c r="AJ96" i="106" l="1"/>
  <c r="AX94" i="106"/>
  <c r="AJ222" i="106"/>
  <c r="AX220" i="106"/>
  <c r="AK142" i="104"/>
  <c r="AX140" i="104"/>
  <c r="AJ224" i="106" l="1"/>
  <c r="AX222" i="106"/>
  <c r="AJ98" i="106"/>
  <c r="AX96" i="106"/>
  <c r="AK144" i="104"/>
  <c r="AX142" i="104"/>
  <c r="AJ100" i="106" l="1"/>
  <c r="AX98" i="106"/>
  <c r="AJ226" i="106"/>
  <c r="AX224" i="106"/>
  <c r="AK146" i="104"/>
  <c r="AX144" i="104"/>
  <c r="AJ228" i="106" l="1"/>
  <c r="AX226" i="106"/>
  <c r="AJ102" i="106"/>
  <c r="AX102" i="106" s="1"/>
  <c r="AX100" i="106"/>
  <c r="AK148" i="104"/>
  <c r="AX146" i="104"/>
  <c r="AX228" i="106" l="1"/>
  <c r="AJ230" i="106"/>
  <c r="AK150" i="104"/>
  <c r="AX150" i="104" s="1"/>
  <c r="AX148" i="104"/>
  <c r="AX230" i="106" l="1"/>
  <c r="AJ232" i="106"/>
  <c r="AX232" i="106" l="1"/>
  <c r="AJ234" i="106"/>
  <c r="AX234" i="106" l="1"/>
  <c r="AJ236" i="106"/>
  <c r="AJ238" i="106" l="1"/>
  <c r="AX236" i="106"/>
  <c r="AX238" i="106" l="1"/>
  <c r="AJ240" i="106"/>
  <c r="AJ242" i="106" l="1"/>
  <c r="AX240" i="106"/>
  <c r="AJ244" i="106" l="1"/>
  <c r="AX242" i="106"/>
  <c r="AJ246" i="106" l="1"/>
  <c r="AX244" i="106"/>
  <c r="AX246" i="106" l="1"/>
  <c r="AJ248" i="106"/>
  <c r="AJ250" i="106" l="1"/>
  <c r="AX248" i="106"/>
  <c r="AJ252" i="106" l="1"/>
  <c r="AX250" i="106"/>
  <c r="AJ254" i="106" l="1"/>
  <c r="AX252" i="106"/>
  <c r="AJ256" i="106" l="1"/>
  <c r="AX254" i="106"/>
  <c r="AJ258" i="106" l="1"/>
  <c r="AX256" i="106"/>
  <c r="AJ260" i="106" l="1"/>
  <c r="AX258" i="106"/>
  <c r="AX260" i="106" l="1"/>
  <c r="AJ262" i="106"/>
  <c r="AX262" i="106" l="1"/>
  <c r="AJ264" i="106"/>
  <c r="AX264" i="106" l="1"/>
  <c r="AJ266" i="106"/>
  <c r="AX266" i="106" l="1"/>
  <c r="AJ268" i="106"/>
  <c r="AJ270" i="106" l="1"/>
  <c r="AX268" i="106"/>
  <c r="AX270" i="106" l="1"/>
  <c r="AJ272" i="106"/>
  <c r="AJ274" i="106" l="1"/>
  <c r="AX272" i="106"/>
  <c r="AJ276" i="106" l="1"/>
  <c r="AX274" i="106"/>
  <c r="AJ278" i="106" l="1"/>
  <c r="AX278" i="106" s="1"/>
  <c r="AX276" i="106"/>
  <c r="I21" i="101" l="1"/>
  <c r="I20" i="101"/>
  <c r="I19" i="101"/>
  <c r="I18" i="101"/>
  <c r="I17" i="101"/>
  <c r="I16" i="101"/>
  <c r="I10" i="101"/>
  <c r="Q37" i="100"/>
  <c r="D37" i="100"/>
  <c r="Q36" i="100"/>
  <c r="P36" i="100"/>
  <c r="Q35" i="100"/>
  <c r="Q34" i="100"/>
  <c r="Q28" i="100"/>
  <c r="D28" i="100"/>
  <c r="Q27" i="100"/>
  <c r="P27" i="100"/>
  <c r="Q26" i="100"/>
  <c r="Q25" i="100"/>
  <c r="Q19" i="100"/>
  <c r="D19" i="100"/>
  <c r="Q18" i="100"/>
  <c r="P18" i="100"/>
  <c r="Q17" i="100"/>
  <c r="Q16" i="100"/>
  <c r="Q10" i="100"/>
  <c r="D10" i="100"/>
  <c r="Q9" i="100"/>
  <c r="P9" i="100"/>
  <c r="Q8" i="100"/>
  <c r="Q7" i="100"/>
  <c r="Q53" i="99"/>
  <c r="P53" i="99"/>
  <c r="Q52" i="99"/>
  <c r="Q51" i="99"/>
  <c r="Q50" i="99"/>
  <c r="Q49" i="99"/>
  <c r="D49" i="99"/>
  <c r="Q48" i="99"/>
  <c r="Q47" i="99"/>
  <c r="Q46" i="99"/>
  <c r="Q40" i="99"/>
  <c r="P40" i="99"/>
  <c r="Q39" i="99"/>
  <c r="Q38" i="99"/>
  <c r="Q37" i="99"/>
  <c r="Q36" i="99"/>
  <c r="D36" i="99"/>
  <c r="Q35" i="99"/>
  <c r="Q34" i="99"/>
  <c r="Q33" i="99"/>
  <c r="Q27" i="99"/>
  <c r="P27" i="99"/>
  <c r="Q26" i="99"/>
  <c r="Q25" i="99"/>
  <c r="Q24" i="99"/>
  <c r="Q23" i="99"/>
  <c r="D23" i="99"/>
  <c r="Q22" i="99"/>
  <c r="Q21" i="99"/>
  <c r="Q20" i="99"/>
  <c r="Q14" i="99"/>
  <c r="P14" i="99"/>
  <c r="Q13" i="99"/>
  <c r="Q12" i="99"/>
  <c r="Q11" i="99"/>
  <c r="Q10" i="99"/>
  <c r="D10" i="99"/>
  <c r="Q9" i="99"/>
  <c r="Q8" i="99"/>
  <c r="Q7" i="99"/>
  <c r="Q124" i="98"/>
  <c r="D124" i="98"/>
  <c r="Q123" i="98"/>
  <c r="P123" i="98"/>
  <c r="Q122" i="98"/>
  <c r="Q121" i="98"/>
  <c r="Q120" i="98"/>
  <c r="D120" i="98"/>
  <c r="Q119" i="98"/>
  <c r="P119" i="98"/>
  <c r="Q118" i="98"/>
  <c r="Q117" i="98"/>
  <c r="Q116" i="98"/>
  <c r="D116" i="98"/>
  <c r="Q115" i="98"/>
  <c r="P115" i="98"/>
  <c r="Q114" i="98"/>
  <c r="Q113" i="98"/>
  <c r="Q112" i="98"/>
  <c r="D112" i="98"/>
  <c r="Q111" i="98"/>
  <c r="P111" i="98"/>
  <c r="Q110" i="98"/>
  <c r="Q109" i="98"/>
  <c r="Q108" i="98"/>
  <c r="D108" i="98"/>
  <c r="Q107" i="98"/>
  <c r="P107" i="98"/>
  <c r="Q106" i="98"/>
  <c r="Q105" i="98"/>
  <c r="Q104" i="98"/>
  <c r="D104" i="98"/>
  <c r="Q103" i="98"/>
  <c r="P103" i="98"/>
  <c r="Q102" i="98"/>
  <c r="Q101" i="98"/>
  <c r="Q100" i="98"/>
  <c r="D100" i="98"/>
  <c r="Q99" i="98"/>
  <c r="P99" i="98"/>
  <c r="Q98" i="98"/>
  <c r="Q97" i="98"/>
  <c r="Q96" i="98"/>
  <c r="D96" i="98"/>
  <c r="Q95" i="98"/>
  <c r="P95" i="98"/>
  <c r="Q94" i="98"/>
  <c r="Q93" i="98"/>
  <c r="Q92" i="98"/>
  <c r="D92" i="98"/>
  <c r="Q91" i="98"/>
  <c r="P91" i="98"/>
  <c r="Q90" i="98"/>
  <c r="Q89" i="98"/>
  <c r="Q88" i="98"/>
  <c r="D88" i="98"/>
  <c r="Q87" i="98"/>
  <c r="P87" i="98"/>
  <c r="Q86" i="98"/>
  <c r="Q85" i="98"/>
  <c r="Q84" i="98"/>
  <c r="D84" i="98"/>
  <c r="Q83" i="98"/>
  <c r="P83" i="98"/>
  <c r="Q82" i="98"/>
  <c r="Q81" i="98"/>
  <c r="Q80" i="98"/>
  <c r="D80" i="98"/>
  <c r="Q79" i="98"/>
  <c r="P79" i="98"/>
  <c r="Q78" i="98"/>
  <c r="Q77" i="98"/>
  <c r="Q76" i="98"/>
  <c r="D76" i="98"/>
  <c r="Q75" i="98"/>
  <c r="P75" i="98"/>
  <c r="Q74" i="98"/>
  <c r="Q73" i="98"/>
  <c r="Q67" i="98"/>
  <c r="D67" i="98"/>
  <c r="Q66" i="98"/>
  <c r="P66" i="98"/>
  <c r="Q65" i="98"/>
  <c r="Q64" i="98"/>
  <c r="Q63" i="98"/>
  <c r="D63" i="98"/>
  <c r="Q62" i="98"/>
  <c r="P62" i="98"/>
  <c r="Q61" i="98"/>
  <c r="Q60" i="98"/>
  <c r="Q59" i="98"/>
  <c r="D59" i="98"/>
  <c r="Q58" i="98"/>
  <c r="P58" i="98"/>
  <c r="Q57" i="98"/>
  <c r="Q56" i="98"/>
  <c r="Q55" i="98"/>
  <c r="D55" i="98"/>
  <c r="Q54" i="98"/>
  <c r="P54" i="98"/>
  <c r="Q53" i="98"/>
  <c r="Q52" i="98"/>
  <c r="Q51" i="98"/>
  <c r="D51" i="98"/>
  <c r="Q50" i="98"/>
  <c r="P50" i="98"/>
  <c r="Q49" i="98"/>
  <c r="Q48" i="98"/>
  <c r="Q47" i="98"/>
  <c r="D47" i="98"/>
  <c r="Q46" i="98"/>
  <c r="P46" i="98"/>
  <c r="Q45" i="98"/>
  <c r="Q44" i="98"/>
  <c r="Q43" i="98"/>
  <c r="D43" i="98"/>
  <c r="Q42" i="98"/>
  <c r="P42" i="98"/>
  <c r="Q41" i="98"/>
  <c r="Q40" i="98"/>
  <c r="Q39" i="98"/>
  <c r="D39" i="98"/>
  <c r="Q38" i="98"/>
  <c r="P38" i="98"/>
  <c r="Q37" i="98"/>
  <c r="Q36" i="98"/>
  <c r="Q35" i="98"/>
  <c r="D35" i="98"/>
  <c r="Q34" i="98"/>
  <c r="P34" i="98"/>
  <c r="Q33" i="98"/>
  <c r="Q32" i="98"/>
  <c r="Q26" i="98"/>
  <c r="D26" i="98"/>
  <c r="Q25" i="98"/>
  <c r="P25" i="98"/>
  <c r="Q24" i="98"/>
  <c r="Q23" i="98"/>
  <c r="Q22" i="98"/>
  <c r="D22" i="98"/>
  <c r="Q21" i="98"/>
  <c r="P21" i="98"/>
  <c r="Q20" i="98"/>
  <c r="Q19" i="98"/>
  <c r="Q18" i="98"/>
  <c r="D18" i="98"/>
  <c r="Q17" i="98"/>
  <c r="P17" i="98"/>
  <c r="Q16" i="98"/>
  <c r="Q15" i="98"/>
  <c r="Q14" i="98"/>
  <c r="D14" i="98"/>
  <c r="Q13" i="98"/>
  <c r="P13" i="98"/>
  <c r="Q12" i="98"/>
  <c r="Q11" i="98"/>
  <c r="Q10" i="98"/>
  <c r="D10" i="98"/>
  <c r="Q9" i="98"/>
  <c r="P9" i="98"/>
  <c r="Q8" i="98"/>
  <c r="Q7" i="98"/>
  <c r="N90" i="97"/>
  <c r="D90" i="97"/>
  <c r="N89" i="97"/>
  <c r="M89" i="97"/>
  <c r="N88" i="97"/>
  <c r="N87" i="97"/>
  <c r="N86" i="97"/>
  <c r="D86" i="97"/>
  <c r="N85" i="97"/>
  <c r="M85" i="97"/>
  <c r="N84" i="97"/>
  <c r="N83" i="97"/>
  <c r="N82" i="97"/>
  <c r="D82" i="97"/>
  <c r="N81" i="97"/>
  <c r="M81" i="97"/>
  <c r="N80" i="97"/>
  <c r="N79" i="97"/>
  <c r="N78" i="97"/>
  <c r="D78" i="97"/>
  <c r="N77" i="97"/>
  <c r="M77" i="97"/>
  <c r="N76" i="97"/>
  <c r="N75" i="97"/>
  <c r="N74" i="97"/>
  <c r="D74" i="97"/>
  <c r="N73" i="97"/>
  <c r="M73" i="97"/>
  <c r="N72" i="97"/>
  <c r="N71" i="97"/>
  <c r="N70" i="97"/>
  <c r="D70" i="97"/>
  <c r="N69" i="97"/>
  <c r="M69" i="97"/>
  <c r="N68" i="97"/>
  <c r="N67" i="97"/>
  <c r="N66" i="97"/>
  <c r="D66" i="97"/>
  <c r="N65" i="97"/>
  <c r="M65" i="97"/>
  <c r="N64" i="97"/>
  <c r="N63" i="97"/>
  <c r="N62" i="97"/>
  <c r="D62" i="97"/>
  <c r="N61" i="97"/>
  <c r="M61" i="97"/>
  <c r="N60" i="97"/>
  <c r="N59" i="97"/>
  <c r="N58" i="97"/>
  <c r="D58" i="97"/>
  <c r="N57" i="97"/>
  <c r="M57" i="97"/>
  <c r="N56" i="97"/>
  <c r="N55" i="97"/>
  <c r="N54" i="97"/>
  <c r="D54" i="97"/>
  <c r="N53" i="97"/>
  <c r="M53" i="97"/>
  <c r="N52" i="97"/>
  <c r="N51" i="97"/>
  <c r="N50" i="97"/>
  <c r="D50" i="97"/>
  <c r="N49" i="97"/>
  <c r="M49" i="97"/>
  <c r="N48" i="97"/>
  <c r="N47" i="97"/>
  <c r="N46" i="97"/>
  <c r="D46" i="97"/>
  <c r="N45" i="97"/>
  <c r="M45" i="97"/>
  <c r="N44" i="97"/>
  <c r="N43" i="97"/>
  <c r="N42" i="97"/>
  <c r="D42" i="97"/>
  <c r="N41" i="97"/>
  <c r="M41" i="97"/>
  <c r="N40" i="97"/>
  <c r="N39" i="97"/>
  <c r="N38" i="97"/>
  <c r="D38" i="97"/>
  <c r="N37" i="97"/>
  <c r="M37" i="97"/>
  <c r="N36" i="97"/>
  <c r="N35" i="97"/>
  <c r="N34" i="97"/>
  <c r="D34" i="97"/>
  <c r="N33" i="97"/>
  <c r="M33" i="97"/>
  <c r="N32" i="97"/>
  <c r="N31" i="97"/>
  <c r="N30" i="97"/>
  <c r="D30" i="97"/>
  <c r="N29" i="97"/>
  <c r="M29" i="97"/>
  <c r="N28" i="97"/>
  <c r="N27" i="97"/>
  <c r="N26" i="97"/>
  <c r="D26" i="97"/>
  <c r="N25" i="97"/>
  <c r="M25" i="97"/>
  <c r="N24" i="97"/>
  <c r="N23" i="97"/>
  <c r="N22" i="97"/>
  <c r="D22" i="97"/>
  <c r="N21" i="97"/>
  <c r="M21" i="97"/>
  <c r="N20" i="97"/>
  <c r="N19" i="97"/>
  <c r="N18" i="97"/>
  <c r="D18" i="97"/>
  <c r="N17" i="97"/>
  <c r="M17" i="97"/>
  <c r="N16" i="97"/>
  <c r="N15" i="97"/>
  <c r="N14" i="97"/>
  <c r="D14" i="97"/>
  <c r="N13" i="97"/>
  <c r="M13" i="97"/>
  <c r="N12" i="97"/>
  <c r="N11" i="97"/>
  <c r="N10" i="97"/>
  <c r="D10" i="97"/>
  <c r="N9" i="97"/>
  <c r="M9" i="97"/>
  <c r="N8" i="97"/>
  <c r="N7" i="97"/>
  <c r="X36" i="96"/>
  <c r="H36" i="96"/>
  <c r="F36" i="96"/>
  <c r="D36" i="96"/>
  <c r="X35" i="96"/>
  <c r="W35" i="96"/>
  <c r="X34" i="96"/>
  <c r="X33" i="96"/>
  <c r="X27" i="96"/>
  <c r="F27" i="96"/>
  <c r="D27" i="96"/>
  <c r="X26" i="96"/>
  <c r="W26" i="96"/>
  <c r="X25" i="96"/>
  <c r="X24" i="96"/>
  <c r="X23" i="96"/>
  <c r="F23" i="96"/>
  <c r="X22" i="96"/>
  <c r="W22" i="96"/>
  <c r="X21" i="96"/>
  <c r="X20" i="96"/>
  <c r="X19" i="96"/>
  <c r="F19" i="96"/>
  <c r="D19" i="96"/>
  <c r="X18" i="96"/>
  <c r="W18" i="96"/>
  <c r="X17" i="96"/>
  <c r="X16" i="96"/>
  <c r="X10" i="96"/>
  <c r="H10" i="96"/>
  <c r="F10" i="96"/>
  <c r="D10" i="96"/>
  <c r="X9" i="96"/>
  <c r="W9" i="96"/>
  <c r="X8" i="96"/>
  <c r="X7" i="96"/>
  <c r="X86" i="95"/>
  <c r="H86" i="95"/>
  <c r="X85" i="95"/>
  <c r="W85" i="95"/>
  <c r="X84" i="95"/>
  <c r="X83" i="95"/>
  <c r="X82" i="95"/>
  <c r="H82" i="95"/>
  <c r="X81" i="95"/>
  <c r="W81" i="95"/>
  <c r="X80" i="95"/>
  <c r="X79" i="95"/>
  <c r="X78" i="95"/>
  <c r="H78" i="95"/>
  <c r="X77" i="95"/>
  <c r="W77" i="95"/>
  <c r="X76" i="95"/>
  <c r="X75" i="95"/>
  <c r="X69" i="95"/>
  <c r="H69" i="95"/>
  <c r="E69" i="95"/>
  <c r="X68" i="95"/>
  <c r="W68" i="95"/>
  <c r="X67" i="95"/>
  <c r="X66" i="95"/>
  <c r="X65" i="95"/>
  <c r="H65" i="95"/>
  <c r="X64" i="95"/>
  <c r="W64" i="95"/>
  <c r="X63" i="95"/>
  <c r="X62" i="95"/>
  <c r="X61" i="95"/>
  <c r="H61" i="95"/>
  <c r="E61" i="95"/>
  <c r="X60" i="95"/>
  <c r="W60" i="95"/>
  <c r="X59" i="95"/>
  <c r="X58" i="95"/>
  <c r="X52" i="95"/>
  <c r="H52" i="95"/>
  <c r="E52" i="95"/>
  <c r="X51" i="95"/>
  <c r="W51" i="95"/>
  <c r="X50" i="95"/>
  <c r="X49" i="95"/>
  <c r="X48" i="95"/>
  <c r="H48" i="95"/>
  <c r="X47" i="95"/>
  <c r="W47" i="95"/>
  <c r="X46" i="95"/>
  <c r="X45" i="95"/>
  <c r="X44" i="95"/>
  <c r="H44" i="95"/>
  <c r="E44" i="95"/>
  <c r="X43" i="95"/>
  <c r="W43" i="95"/>
  <c r="X42" i="95"/>
  <c r="X41" i="95"/>
  <c r="X35" i="95"/>
  <c r="H35" i="95"/>
  <c r="E35" i="95"/>
  <c r="X34" i="95"/>
  <c r="W34" i="95"/>
  <c r="X33" i="95"/>
  <c r="X32" i="95"/>
  <c r="X31" i="95"/>
  <c r="H31" i="95"/>
  <c r="X30" i="95"/>
  <c r="W30" i="95"/>
  <c r="X29" i="95"/>
  <c r="X28" i="95"/>
  <c r="X27" i="95"/>
  <c r="H27" i="95"/>
  <c r="E27" i="95"/>
  <c r="X26" i="95"/>
  <c r="W26" i="95"/>
  <c r="X25" i="95"/>
  <c r="X24" i="95"/>
  <c r="X18" i="95"/>
  <c r="H18" i="95"/>
  <c r="E18" i="95"/>
  <c r="X17" i="95"/>
  <c r="W17" i="95"/>
  <c r="X16" i="95"/>
  <c r="X15" i="95"/>
  <c r="X14" i="95"/>
  <c r="H14" i="95"/>
  <c r="X13" i="95"/>
  <c r="W13" i="95"/>
  <c r="X12" i="95"/>
  <c r="X11" i="95"/>
  <c r="X10" i="95"/>
  <c r="H10" i="95"/>
  <c r="E10" i="95"/>
  <c r="X9" i="95"/>
  <c r="W9" i="95"/>
  <c r="X8" i="95"/>
  <c r="X7" i="95"/>
  <c r="Q124" i="94"/>
  <c r="D124" i="94"/>
  <c r="Q123" i="94"/>
  <c r="P123" i="94"/>
  <c r="Q122" i="94"/>
  <c r="Q121" i="94"/>
  <c r="Q120" i="94"/>
  <c r="D120" i="94"/>
  <c r="Q119" i="94"/>
  <c r="P119" i="94"/>
  <c r="Q118" i="94"/>
  <c r="Q117" i="94"/>
  <c r="Q116" i="94"/>
  <c r="D116" i="94"/>
  <c r="Q115" i="94"/>
  <c r="P115" i="94"/>
  <c r="Q114" i="94"/>
  <c r="Q113" i="94"/>
  <c r="Q112" i="94"/>
  <c r="D112" i="94"/>
  <c r="Q111" i="94"/>
  <c r="P111" i="94"/>
  <c r="Q110" i="94"/>
  <c r="Q109" i="94"/>
  <c r="Q108" i="94"/>
  <c r="D108" i="94"/>
  <c r="Q107" i="94"/>
  <c r="P107" i="94"/>
  <c r="Q106" i="94"/>
  <c r="Q105" i="94"/>
  <c r="Q104" i="94"/>
  <c r="D104" i="94"/>
  <c r="Q103" i="94"/>
  <c r="P103" i="94"/>
  <c r="Q102" i="94"/>
  <c r="Q101" i="94"/>
  <c r="Q100" i="94"/>
  <c r="D100" i="94"/>
  <c r="Q99" i="94"/>
  <c r="P99" i="94"/>
  <c r="Q98" i="94"/>
  <c r="Q97" i="94"/>
  <c r="Q96" i="94"/>
  <c r="D96" i="94"/>
  <c r="Q95" i="94"/>
  <c r="P95" i="94"/>
  <c r="Q94" i="94"/>
  <c r="Q93" i="94"/>
  <c r="Q92" i="94"/>
  <c r="D92" i="94"/>
  <c r="Q91" i="94"/>
  <c r="P91" i="94"/>
  <c r="Q90" i="94"/>
  <c r="Q89" i="94"/>
  <c r="Q88" i="94"/>
  <c r="D88" i="94"/>
  <c r="Q87" i="94"/>
  <c r="P87" i="94"/>
  <c r="Q86" i="94"/>
  <c r="Q85" i="94"/>
  <c r="Q84" i="94"/>
  <c r="D84" i="94"/>
  <c r="Q83" i="94"/>
  <c r="P83" i="94"/>
  <c r="Q82" i="94"/>
  <c r="Q81" i="94"/>
  <c r="Q80" i="94"/>
  <c r="D80" i="94"/>
  <c r="Q79" i="94"/>
  <c r="P79" i="94"/>
  <c r="Q78" i="94"/>
  <c r="Q77" i="94"/>
  <c r="Q76" i="94"/>
  <c r="D76" i="94"/>
  <c r="Q75" i="94"/>
  <c r="P75" i="94"/>
  <c r="Q74" i="94"/>
  <c r="Q73" i="94"/>
  <c r="Q67" i="94"/>
  <c r="D67" i="94"/>
  <c r="Q66" i="94"/>
  <c r="P66" i="94"/>
  <c r="Q65" i="94"/>
  <c r="Q64" i="94"/>
  <c r="Q63" i="94"/>
  <c r="D63" i="94"/>
  <c r="Q62" i="94"/>
  <c r="P62" i="94"/>
  <c r="Q61" i="94"/>
  <c r="Q60" i="94"/>
  <c r="Q59" i="94"/>
  <c r="D59" i="94"/>
  <c r="Q58" i="94"/>
  <c r="P58" i="94"/>
  <c r="Q57" i="94"/>
  <c r="Q56" i="94"/>
  <c r="Q55" i="94"/>
  <c r="D55" i="94"/>
  <c r="Q54" i="94"/>
  <c r="P54" i="94"/>
  <c r="Q53" i="94"/>
  <c r="Q52" i="94"/>
  <c r="Q51" i="94"/>
  <c r="D51" i="94"/>
  <c r="Q50" i="94"/>
  <c r="P50" i="94"/>
  <c r="Q49" i="94"/>
  <c r="Q48" i="94"/>
  <c r="Q47" i="94"/>
  <c r="D47" i="94"/>
  <c r="Q46" i="94"/>
  <c r="P46" i="94"/>
  <c r="Q45" i="94"/>
  <c r="Q44" i="94"/>
  <c r="Q43" i="94"/>
  <c r="D43" i="94"/>
  <c r="Q42" i="94"/>
  <c r="P42" i="94"/>
  <c r="Q41" i="94"/>
  <c r="Q40" i="94"/>
  <c r="Q39" i="94"/>
  <c r="D39" i="94"/>
  <c r="Q38" i="94"/>
  <c r="P38" i="94"/>
  <c r="Q37" i="94"/>
  <c r="Q36" i="94"/>
  <c r="Q35" i="94"/>
  <c r="D35" i="94"/>
  <c r="Q34" i="94"/>
  <c r="P34" i="94"/>
  <c r="Q33" i="94"/>
  <c r="Q32" i="94"/>
  <c r="Q26" i="94"/>
  <c r="D26" i="94"/>
  <c r="Q25" i="94"/>
  <c r="P25" i="94"/>
  <c r="Q24" i="94"/>
  <c r="Q23" i="94"/>
  <c r="Q22" i="94"/>
  <c r="D22" i="94"/>
  <c r="Q21" i="94"/>
  <c r="P21" i="94"/>
  <c r="Q20" i="94"/>
  <c r="Q19" i="94"/>
  <c r="Q18" i="94"/>
  <c r="D18" i="94"/>
  <c r="Q17" i="94"/>
  <c r="P17" i="94"/>
  <c r="Q16" i="94"/>
  <c r="Q15" i="94"/>
  <c r="Q14" i="94"/>
  <c r="D14" i="94"/>
  <c r="Q13" i="94"/>
  <c r="P13" i="94"/>
  <c r="Q12" i="94"/>
  <c r="Q11" i="94"/>
  <c r="Q10" i="94"/>
  <c r="D10" i="94"/>
  <c r="Q9" i="94"/>
  <c r="P9" i="94"/>
  <c r="Q8" i="94"/>
  <c r="Q7" i="94"/>
  <c r="N90" i="93"/>
  <c r="D90" i="93"/>
  <c r="N89" i="93"/>
  <c r="M89" i="93"/>
  <c r="N88" i="93"/>
  <c r="N87" i="93"/>
  <c r="N86" i="93"/>
  <c r="D86" i="93"/>
  <c r="N85" i="93"/>
  <c r="M85" i="93"/>
  <c r="N84" i="93"/>
  <c r="N83" i="93"/>
  <c r="N82" i="93"/>
  <c r="D82" i="93"/>
  <c r="N81" i="93"/>
  <c r="M81" i="93"/>
  <c r="N80" i="93"/>
  <c r="N79" i="93"/>
  <c r="N78" i="93"/>
  <c r="D78" i="93"/>
  <c r="N77" i="93"/>
  <c r="M77" i="93"/>
  <c r="N76" i="93"/>
  <c r="N75" i="93"/>
  <c r="N74" i="93"/>
  <c r="D74" i="93"/>
  <c r="N73" i="93"/>
  <c r="M73" i="93"/>
  <c r="N72" i="93"/>
  <c r="N71" i="93"/>
  <c r="N70" i="93"/>
  <c r="D70" i="93"/>
  <c r="N69" i="93"/>
  <c r="M69" i="93"/>
  <c r="N68" i="93"/>
  <c r="N67" i="93"/>
  <c r="N66" i="93"/>
  <c r="D66" i="93"/>
  <c r="N65" i="93"/>
  <c r="M65" i="93"/>
  <c r="N64" i="93"/>
  <c r="N63" i="93"/>
  <c r="N62" i="93"/>
  <c r="D62" i="93"/>
  <c r="N61" i="93"/>
  <c r="M61" i="93"/>
  <c r="N60" i="93"/>
  <c r="N59" i="93"/>
  <c r="N58" i="93"/>
  <c r="D58" i="93"/>
  <c r="N57" i="93"/>
  <c r="M57" i="93"/>
  <c r="N56" i="93"/>
  <c r="N55" i="93"/>
  <c r="N54" i="93"/>
  <c r="D54" i="93"/>
  <c r="N53" i="93"/>
  <c r="M53" i="93"/>
  <c r="N52" i="93"/>
  <c r="N51" i="93"/>
  <c r="N50" i="93"/>
  <c r="D50" i="93"/>
  <c r="N49" i="93"/>
  <c r="M49" i="93"/>
  <c r="N48" i="93"/>
  <c r="N47" i="93"/>
  <c r="N46" i="93"/>
  <c r="D46" i="93"/>
  <c r="N45" i="93"/>
  <c r="M45" i="93"/>
  <c r="N44" i="93"/>
  <c r="N43" i="93"/>
  <c r="N42" i="93"/>
  <c r="D42" i="93"/>
  <c r="N41" i="93"/>
  <c r="M41" i="93"/>
  <c r="N40" i="93"/>
  <c r="N39" i="93"/>
  <c r="N38" i="93"/>
  <c r="D38" i="93"/>
  <c r="N37" i="93"/>
  <c r="M37" i="93"/>
  <c r="N36" i="93"/>
  <c r="N35" i="93"/>
  <c r="N34" i="93"/>
  <c r="D34" i="93"/>
  <c r="N33" i="93"/>
  <c r="M33" i="93"/>
  <c r="N32" i="93"/>
  <c r="N31" i="93"/>
  <c r="N30" i="93"/>
  <c r="D30" i="93"/>
  <c r="N29" i="93"/>
  <c r="M29" i="93"/>
  <c r="N28" i="93"/>
  <c r="N27" i="93"/>
  <c r="N26" i="93"/>
  <c r="D26" i="93"/>
  <c r="N25" i="93"/>
  <c r="M25" i="93"/>
  <c r="N24" i="93"/>
  <c r="N23" i="93"/>
  <c r="N22" i="93"/>
  <c r="D22" i="93"/>
  <c r="N21" i="93"/>
  <c r="M21" i="93"/>
  <c r="N20" i="93"/>
  <c r="N19" i="93"/>
  <c r="N18" i="93"/>
  <c r="D18" i="93"/>
  <c r="N17" i="93"/>
  <c r="M17" i="93"/>
  <c r="N16" i="93"/>
  <c r="N15" i="93"/>
  <c r="N14" i="93"/>
  <c r="D14" i="93"/>
  <c r="N13" i="93"/>
  <c r="M13" i="93"/>
  <c r="N12" i="93"/>
  <c r="N11" i="93"/>
  <c r="N10" i="93"/>
  <c r="D10" i="93"/>
  <c r="N9" i="93"/>
  <c r="M9" i="93"/>
  <c r="N8" i="93"/>
  <c r="N7" i="93"/>
  <c r="Q110" i="92"/>
  <c r="P110" i="92"/>
  <c r="Q109" i="92"/>
  <c r="Q108" i="92"/>
  <c r="Q107" i="92"/>
  <c r="Q106" i="92"/>
  <c r="D106" i="92"/>
  <c r="Q105" i="92"/>
  <c r="Q104" i="92"/>
  <c r="Q103" i="92"/>
  <c r="Q102" i="92"/>
  <c r="P102" i="92"/>
  <c r="Q101" i="92"/>
  <c r="Q100" i="92"/>
  <c r="Q99" i="92"/>
  <c r="Q98" i="92"/>
  <c r="D98" i="92"/>
  <c r="Q97" i="92"/>
  <c r="Q96" i="92"/>
  <c r="Q95" i="92"/>
  <c r="Q94" i="92"/>
  <c r="P94" i="92"/>
  <c r="Q93" i="92"/>
  <c r="Q92" i="92"/>
  <c r="Q91" i="92"/>
  <c r="Q90" i="92"/>
  <c r="D90" i="92"/>
  <c r="Q89" i="92"/>
  <c r="Q88" i="92"/>
  <c r="Q87" i="92"/>
  <c r="Q86" i="92"/>
  <c r="P86" i="92"/>
  <c r="Q85" i="92"/>
  <c r="Q84" i="92"/>
  <c r="Q83" i="92"/>
  <c r="Q82" i="92"/>
  <c r="D82" i="92"/>
  <c r="Q81" i="92"/>
  <c r="Q80" i="92"/>
  <c r="Q79" i="92"/>
  <c r="Q78" i="92"/>
  <c r="P78" i="92"/>
  <c r="Q77" i="92"/>
  <c r="Q76" i="92"/>
  <c r="Q75" i="92"/>
  <c r="Q74" i="92"/>
  <c r="D74" i="92"/>
  <c r="Q73" i="92"/>
  <c r="Q72" i="92"/>
  <c r="Q71" i="92"/>
  <c r="Q70" i="92"/>
  <c r="P70" i="92"/>
  <c r="Q69" i="92"/>
  <c r="Q68" i="92"/>
  <c r="Q67" i="92"/>
  <c r="Q66" i="92"/>
  <c r="D66" i="92"/>
  <c r="Q65" i="92"/>
  <c r="Q64" i="92"/>
  <c r="Q63" i="92"/>
  <c r="Q62" i="92"/>
  <c r="P62" i="92"/>
  <c r="Q61" i="92"/>
  <c r="Q60" i="92"/>
  <c r="Q59" i="92"/>
  <c r="Q58" i="92"/>
  <c r="D58" i="92"/>
  <c r="Q57" i="92"/>
  <c r="Q56" i="92"/>
  <c r="Q55" i="92"/>
  <c r="Q54" i="92"/>
  <c r="P54" i="92"/>
  <c r="Q53" i="92"/>
  <c r="Q52" i="92"/>
  <c r="Q51" i="92"/>
  <c r="Q50" i="92"/>
  <c r="D50" i="92"/>
  <c r="Q49" i="92"/>
  <c r="Q48" i="92"/>
  <c r="Q47" i="92"/>
  <c r="Q46" i="92"/>
  <c r="P46" i="92"/>
  <c r="Q45" i="92"/>
  <c r="Q44" i="92"/>
  <c r="Q43" i="92"/>
  <c r="Q42" i="92"/>
  <c r="D42" i="92"/>
  <c r="Q41" i="92"/>
  <c r="Q40" i="92"/>
  <c r="Q39" i="92"/>
  <c r="Q38" i="92"/>
  <c r="P38" i="92"/>
  <c r="Q37" i="92"/>
  <c r="Q36" i="92"/>
  <c r="Q35" i="92"/>
  <c r="Q34" i="92"/>
  <c r="D34" i="92"/>
  <c r="Q33" i="92"/>
  <c r="Q32" i="92"/>
  <c r="Q31" i="92"/>
  <c r="Q30" i="92"/>
  <c r="P30" i="92"/>
  <c r="Q29" i="92"/>
  <c r="Q28" i="92"/>
  <c r="Q27" i="92"/>
  <c r="Q26" i="92"/>
  <c r="D26" i="92"/>
  <c r="Q25" i="92"/>
  <c r="Q24" i="92"/>
  <c r="Q23" i="92"/>
  <c r="Q22" i="92"/>
  <c r="P22" i="92"/>
  <c r="Q21" i="92"/>
  <c r="Q20" i="92"/>
  <c r="Q19" i="92"/>
  <c r="Q18" i="92"/>
  <c r="D18" i="92"/>
  <c r="Q17" i="92"/>
  <c r="Q16" i="92"/>
  <c r="Q15" i="92"/>
  <c r="Q14" i="92"/>
  <c r="P14" i="92"/>
  <c r="Q13" i="92"/>
  <c r="Q12" i="92"/>
  <c r="Q11" i="92"/>
  <c r="Q10" i="92"/>
  <c r="D10" i="92"/>
  <c r="Q9" i="92"/>
  <c r="Q8" i="92"/>
  <c r="Q7" i="92"/>
  <c r="Q123" i="91"/>
  <c r="P123" i="91"/>
  <c r="Q122" i="91"/>
  <c r="Q121" i="91"/>
  <c r="Q120" i="91"/>
  <c r="Q119" i="91"/>
  <c r="D119" i="91"/>
  <c r="Q118" i="91"/>
  <c r="Q117" i="91"/>
  <c r="Q116" i="91"/>
  <c r="Q115" i="91"/>
  <c r="P115" i="91"/>
  <c r="Q114" i="91"/>
  <c r="Q113" i="91"/>
  <c r="Q112" i="91"/>
  <c r="Q111" i="91"/>
  <c r="D111" i="91"/>
  <c r="Q110" i="91"/>
  <c r="Q109" i="91"/>
  <c r="Q108" i="91"/>
  <c r="Q107" i="91"/>
  <c r="P107" i="91"/>
  <c r="Q106" i="91"/>
  <c r="Q105" i="91"/>
  <c r="Q104" i="91"/>
  <c r="Q103" i="91"/>
  <c r="D103" i="91"/>
  <c r="Q102" i="91"/>
  <c r="Q101" i="91"/>
  <c r="Q100" i="91"/>
  <c r="Q99" i="91"/>
  <c r="P99" i="91"/>
  <c r="Q98" i="91"/>
  <c r="Q97" i="91"/>
  <c r="Q96" i="91"/>
  <c r="Q95" i="91"/>
  <c r="D95" i="91"/>
  <c r="Q94" i="91"/>
  <c r="Q93" i="91"/>
  <c r="Q92" i="91"/>
  <c r="Q91" i="91"/>
  <c r="P91" i="91"/>
  <c r="Q90" i="91"/>
  <c r="Q89" i="91"/>
  <c r="Q88" i="91"/>
  <c r="Q87" i="91"/>
  <c r="D87" i="91"/>
  <c r="Q86" i="91"/>
  <c r="Q85" i="91"/>
  <c r="Q84" i="91"/>
  <c r="Q83" i="91"/>
  <c r="P83" i="91"/>
  <c r="Q82" i="91"/>
  <c r="Q81" i="91"/>
  <c r="Q80" i="91"/>
  <c r="Q79" i="91"/>
  <c r="D79" i="91"/>
  <c r="Q78" i="91"/>
  <c r="Q77" i="91"/>
  <c r="Q76" i="91"/>
  <c r="Q75" i="91"/>
  <c r="P75" i="91"/>
  <c r="Q74" i="91"/>
  <c r="Q73" i="91"/>
  <c r="Q72" i="91"/>
  <c r="Q71" i="91"/>
  <c r="D71" i="91"/>
  <c r="Q70" i="91"/>
  <c r="Q69" i="91"/>
  <c r="Q68" i="91"/>
  <c r="Q67" i="91"/>
  <c r="P67" i="91"/>
  <c r="Q66" i="91"/>
  <c r="Q65" i="91"/>
  <c r="Q64" i="91"/>
  <c r="Q63" i="91"/>
  <c r="D63" i="91"/>
  <c r="Q62" i="91"/>
  <c r="Q61" i="91"/>
  <c r="Q60" i="91"/>
  <c r="Q59" i="91"/>
  <c r="P59" i="91"/>
  <c r="Q58" i="91"/>
  <c r="Q57" i="91"/>
  <c r="Q56" i="91"/>
  <c r="Q55" i="91"/>
  <c r="D55" i="91"/>
  <c r="Q54" i="91"/>
  <c r="Q53" i="91"/>
  <c r="Q52" i="91"/>
  <c r="Q46" i="91"/>
  <c r="P46" i="91"/>
  <c r="Q45" i="91"/>
  <c r="Q44" i="91"/>
  <c r="Q43" i="91"/>
  <c r="Q42" i="91"/>
  <c r="D42" i="91"/>
  <c r="Q41" i="91"/>
  <c r="Q40" i="91"/>
  <c r="Q39" i="91"/>
  <c r="Q38" i="91"/>
  <c r="P38" i="91"/>
  <c r="Q37" i="91"/>
  <c r="Q36" i="91"/>
  <c r="Q35" i="91"/>
  <c r="Q34" i="91"/>
  <c r="D34" i="91"/>
  <c r="Q33" i="91"/>
  <c r="Q32" i="91"/>
  <c r="Q31" i="91"/>
  <c r="Q30" i="91"/>
  <c r="P30" i="91"/>
  <c r="Q29" i="91"/>
  <c r="Q28" i="91"/>
  <c r="Q27" i="91"/>
  <c r="Q26" i="91"/>
  <c r="D26" i="91"/>
  <c r="Q25" i="91"/>
  <c r="Q24" i="91"/>
  <c r="Q23" i="91"/>
  <c r="Q22" i="91"/>
  <c r="P22" i="91"/>
  <c r="Q21" i="91"/>
  <c r="Q20" i="91"/>
  <c r="Q19" i="91"/>
  <c r="Q18" i="91"/>
  <c r="D18" i="91"/>
  <c r="Q17" i="91"/>
  <c r="Q16" i="91"/>
  <c r="Q15" i="91"/>
  <c r="Q14" i="91"/>
  <c r="P14" i="91"/>
  <c r="Q13" i="91"/>
  <c r="Q12" i="91"/>
  <c r="Q11" i="91"/>
  <c r="Q10" i="91"/>
  <c r="D10" i="91"/>
  <c r="Q9" i="91"/>
  <c r="Q8" i="91"/>
  <c r="Q7" i="91"/>
  <c r="N174" i="90"/>
  <c r="M174" i="90"/>
  <c r="N173" i="90"/>
  <c r="N172" i="90"/>
  <c r="N171" i="90"/>
  <c r="N170" i="90"/>
  <c r="D170" i="90"/>
  <c r="N169" i="90"/>
  <c r="N168" i="90"/>
  <c r="N167" i="90"/>
  <c r="N166" i="90"/>
  <c r="M166" i="90"/>
  <c r="N165" i="90"/>
  <c r="N164" i="90"/>
  <c r="N163" i="90"/>
  <c r="N162" i="90"/>
  <c r="D162" i="90"/>
  <c r="N161" i="90"/>
  <c r="N160" i="90"/>
  <c r="N159" i="90"/>
  <c r="N158" i="90"/>
  <c r="M158" i="90"/>
  <c r="N157" i="90"/>
  <c r="N156" i="90"/>
  <c r="N155" i="90"/>
  <c r="N154" i="90"/>
  <c r="D154" i="90"/>
  <c r="N153" i="90"/>
  <c r="N152" i="90"/>
  <c r="N151" i="90"/>
  <c r="N150" i="90"/>
  <c r="M150" i="90"/>
  <c r="N149" i="90"/>
  <c r="N148" i="90"/>
  <c r="N147" i="90"/>
  <c r="N146" i="90"/>
  <c r="D146" i="90"/>
  <c r="N145" i="90"/>
  <c r="N144" i="90"/>
  <c r="N143" i="90"/>
  <c r="N142" i="90"/>
  <c r="M142" i="90"/>
  <c r="N141" i="90"/>
  <c r="N140" i="90"/>
  <c r="N139" i="90"/>
  <c r="N138" i="90"/>
  <c r="D138" i="90"/>
  <c r="N137" i="90"/>
  <c r="N136" i="90"/>
  <c r="N135" i="90"/>
  <c r="N134" i="90"/>
  <c r="M134" i="90"/>
  <c r="N133" i="90"/>
  <c r="N132" i="90"/>
  <c r="N131" i="90"/>
  <c r="N130" i="90"/>
  <c r="D130" i="90"/>
  <c r="N129" i="90"/>
  <c r="N128" i="90"/>
  <c r="N127" i="90"/>
  <c r="N126" i="90"/>
  <c r="M126" i="90"/>
  <c r="N125" i="90"/>
  <c r="N124" i="90"/>
  <c r="N123" i="90"/>
  <c r="N122" i="90"/>
  <c r="D122" i="90"/>
  <c r="N121" i="90"/>
  <c r="N120" i="90"/>
  <c r="N119" i="90"/>
  <c r="N118" i="90"/>
  <c r="M118" i="90"/>
  <c r="N117" i="90"/>
  <c r="N116" i="90"/>
  <c r="N115" i="90"/>
  <c r="N114" i="90"/>
  <c r="D114" i="90"/>
  <c r="N113" i="90"/>
  <c r="N112" i="90"/>
  <c r="N111" i="90"/>
  <c r="N110" i="90"/>
  <c r="M110" i="90"/>
  <c r="N109" i="90"/>
  <c r="N108" i="90"/>
  <c r="N107" i="90"/>
  <c r="N106" i="90"/>
  <c r="D106" i="90"/>
  <c r="N105" i="90"/>
  <c r="N104" i="90"/>
  <c r="N103" i="90"/>
  <c r="N102" i="90"/>
  <c r="M102" i="90"/>
  <c r="N101" i="90"/>
  <c r="N100" i="90"/>
  <c r="N99" i="90"/>
  <c r="N98" i="90"/>
  <c r="D98" i="90"/>
  <c r="N97" i="90"/>
  <c r="N96" i="90"/>
  <c r="N95" i="90"/>
  <c r="N94" i="90"/>
  <c r="M94" i="90"/>
  <c r="N93" i="90"/>
  <c r="N92" i="90"/>
  <c r="N91" i="90"/>
  <c r="N90" i="90"/>
  <c r="D90" i="90"/>
  <c r="N89" i="90"/>
  <c r="N88" i="90"/>
  <c r="N87" i="90"/>
  <c r="N86" i="90"/>
  <c r="M86" i="90"/>
  <c r="N85" i="90"/>
  <c r="N84" i="90"/>
  <c r="N83" i="90"/>
  <c r="N82" i="90"/>
  <c r="D82" i="90"/>
  <c r="N81" i="90"/>
  <c r="N80" i="90"/>
  <c r="N79" i="90"/>
  <c r="N78" i="90"/>
  <c r="M78" i="90"/>
  <c r="N77" i="90"/>
  <c r="N76" i="90"/>
  <c r="N75" i="90"/>
  <c r="N74" i="90"/>
  <c r="D74" i="90"/>
  <c r="N73" i="90"/>
  <c r="N72" i="90"/>
  <c r="N71" i="90"/>
  <c r="N70" i="90"/>
  <c r="M70" i="90"/>
  <c r="N69" i="90"/>
  <c r="N68" i="90"/>
  <c r="N67" i="90"/>
  <c r="N66" i="90"/>
  <c r="D66" i="90"/>
  <c r="N65" i="90"/>
  <c r="N64" i="90"/>
  <c r="N63" i="90"/>
  <c r="N62" i="90"/>
  <c r="M62" i="90"/>
  <c r="N61" i="90"/>
  <c r="N60" i="90"/>
  <c r="N59" i="90"/>
  <c r="N58" i="90"/>
  <c r="D58" i="90"/>
  <c r="N57" i="90"/>
  <c r="N56" i="90"/>
  <c r="N55" i="90"/>
  <c r="N54" i="90"/>
  <c r="M54" i="90"/>
  <c r="N53" i="90"/>
  <c r="N52" i="90"/>
  <c r="N51" i="90"/>
  <c r="N50" i="90"/>
  <c r="D50" i="90"/>
  <c r="N49" i="90"/>
  <c r="N48" i="90"/>
  <c r="N47" i="90"/>
  <c r="N46" i="90"/>
  <c r="M46" i="90"/>
  <c r="N45" i="90"/>
  <c r="N44" i="90"/>
  <c r="N43" i="90"/>
  <c r="N42" i="90"/>
  <c r="D42" i="90"/>
  <c r="N41" i="90"/>
  <c r="N40" i="90"/>
  <c r="N39" i="90"/>
  <c r="N38" i="90"/>
  <c r="M38" i="90"/>
  <c r="N37" i="90"/>
  <c r="N36" i="90"/>
  <c r="N35" i="90"/>
  <c r="N34" i="90"/>
  <c r="D34" i="90"/>
  <c r="N33" i="90"/>
  <c r="N32" i="90"/>
  <c r="N31" i="90"/>
  <c r="N30" i="90"/>
  <c r="M30" i="90"/>
  <c r="N29" i="90"/>
  <c r="N28" i="90"/>
  <c r="N27" i="90"/>
  <c r="N26" i="90"/>
  <c r="D26" i="90"/>
  <c r="N25" i="90"/>
  <c r="N24" i="90"/>
  <c r="N23" i="90"/>
  <c r="N22" i="90"/>
  <c r="M22" i="90"/>
  <c r="N21" i="90"/>
  <c r="N20" i="90"/>
  <c r="N19" i="90"/>
  <c r="N18" i="90"/>
  <c r="D18" i="90"/>
  <c r="N17" i="90"/>
  <c r="N16" i="90"/>
  <c r="N15" i="90"/>
  <c r="N14" i="90"/>
  <c r="M14" i="90"/>
  <c r="N13" i="90"/>
  <c r="N12" i="90"/>
  <c r="N11" i="90"/>
  <c r="N10" i="90"/>
  <c r="D10" i="90"/>
  <c r="N9" i="90"/>
  <c r="N8" i="90"/>
  <c r="N7" i="90"/>
  <c r="X56" i="89"/>
  <c r="W56" i="89"/>
  <c r="X55" i="89"/>
  <c r="X54" i="89"/>
  <c r="X53" i="89"/>
  <c r="X52" i="89"/>
  <c r="H52" i="89"/>
  <c r="F52" i="89"/>
  <c r="D52" i="89"/>
  <c r="X51" i="89"/>
  <c r="X50" i="89"/>
  <c r="X49" i="89"/>
  <c r="X43" i="89"/>
  <c r="W43" i="89"/>
  <c r="X42" i="89"/>
  <c r="X41" i="89"/>
  <c r="X40" i="89"/>
  <c r="X39" i="89"/>
  <c r="F39" i="89"/>
  <c r="D39" i="89"/>
  <c r="X38" i="89"/>
  <c r="X37" i="89"/>
  <c r="X36" i="89"/>
  <c r="X35" i="89"/>
  <c r="W35" i="89"/>
  <c r="X34" i="89"/>
  <c r="X33" i="89"/>
  <c r="X32" i="89"/>
  <c r="X31" i="89"/>
  <c r="F31" i="89"/>
  <c r="X30" i="89"/>
  <c r="X29" i="89"/>
  <c r="X28" i="89"/>
  <c r="X27" i="89"/>
  <c r="W27" i="89"/>
  <c r="X26" i="89"/>
  <c r="X25" i="89"/>
  <c r="X24" i="89"/>
  <c r="X23" i="89"/>
  <c r="F23" i="89"/>
  <c r="D23" i="89"/>
  <c r="X22" i="89"/>
  <c r="X21" i="89"/>
  <c r="X20" i="89"/>
  <c r="X14" i="89"/>
  <c r="W14" i="89"/>
  <c r="X13" i="89"/>
  <c r="X12" i="89"/>
  <c r="X11" i="89"/>
  <c r="X10" i="89"/>
  <c r="H10" i="89"/>
  <c r="F10" i="89"/>
  <c r="D10" i="89"/>
  <c r="X9" i="89"/>
  <c r="X8" i="89"/>
  <c r="X7" i="89"/>
  <c r="X59" i="88"/>
  <c r="W59" i="88"/>
  <c r="X58" i="88"/>
  <c r="X57" i="88"/>
  <c r="X56" i="88"/>
  <c r="X55" i="88"/>
  <c r="H55" i="88"/>
  <c r="X54" i="88"/>
  <c r="X53" i="88"/>
  <c r="X52" i="88"/>
  <c r="X51" i="88"/>
  <c r="W51" i="88"/>
  <c r="X50" i="88"/>
  <c r="X49" i="88"/>
  <c r="X48" i="88"/>
  <c r="X47" i="88"/>
  <c r="H47" i="88"/>
  <c r="X46" i="88"/>
  <c r="X45" i="88"/>
  <c r="X44" i="88"/>
  <c r="X43" i="88"/>
  <c r="W43" i="88"/>
  <c r="X42" i="88"/>
  <c r="X41" i="88"/>
  <c r="X40" i="88"/>
  <c r="X39" i="88"/>
  <c r="H39" i="88"/>
  <c r="X38" i="88"/>
  <c r="X37" i="88"/>
  <c r="X36" i="88"/>
  <c r="X30" i="88"/>
  <c r="W30" i="88"/>
  <c r="X29" i="88"/>
  <c r="X28" i="88"/>
  <c r="X27" i="88"/>
  <c r="X26" i="88"/>
  <c r="H26" i="88"/>
  <c r="E26" i="88"/>
  <c r="X25" i="88"/>
  <c r="X24" i="88"/>
  <c r="X23" i="88"/>
  <c r="X22" i="88"/>
  <c r="W22" i="88"/>
  <c r="X21" i="88"/>
  <c r="X20" i="88"/>
  <c r="X19" i="88"/>
  <c r="X18" i="88"/>
  <c r="H18" i="88"/>
  <c r="X17" i="88"/>
  <c r="X16" i="88"/>
  <c r="X15" i="88"/>
  <c r="X14" i="88"/>
  <c r="W14" i="88"/>
  <c r="X13" i="88"/>
  <c r="X12" i="88"/>
  <c r="X11" i="88"/>
  <c r="X10" i="88"/>
  <c r="H10" i="88"/>
  <c r="E10" i="88"/>
  <c r="X9" i="88"/>
  <c r="X8" i="88"/>
  <c r="X7" i="88"/>
  <c r="V88" i="87"/>
  <c r="U88" i="87"/>
  <c r="V87" i="87"/>
  <c r="V86" i="87"/>
  <c r="V85" i="87"/>
  <c r="V84" i="87"/>
  <c r="F84" i="87"/>
  <c r="D84" i="87"/>
  <c r="V83" i="87"/>
  <c r="V82" i="87"/>
  <c r="V81" i="87"/>
  <c r="V80" i="87"/>
  <c r="U80" i="87"/>
  <c r="V79" i="87"/>
  <c r="V78" i="87"/>
  <c r="V77" i="87"/>
  <c r="V76" i="87"/>
  <c r="F76" i="87"/>
  <c r="V75" i="87"/>
  <c r="V74" i="87"/>
  <c r="V73" i="87"/>
  <c r="V72" i="87"/>
  <c r="U72" i="87"/>
  <c r="V71" i="87"/>
  <c r="V70" i="87"/>
  <c r="V69" i="87"/>
  <c r="V68" i="87"/>
  <c r="F68" i="87"/>
  <c r="D68" i="87"/>
  <c r="V67" i="87"/>
  <c r="V66" i="87"/>
  <c r="V65" i="87"/>
  <c r="V59" i="87"/>
  <c r="U59" i="87"/>
  <c r="V58" i="87"/>
  <c r="V57" i="87"/>
  <c r="V56" i="87"/>
  <c r="V55" i="87"/>
  <c r="F55" i="87"/>
  <c r="D55" i="87"/>
  <c r="V54" i="87"/>
  <c r="V53" i="87"/>
  <c r="V52" i="87"/>
  <c r="V51" i="87"/>
  <c r="U51" i="87"/>
  <c r="V50" i="87"/>
  <c r="V49" i="87"/>
  <c r="V48" i="87"/>
  <c r="V47" i="87"/>
  <c r="F47" i="87"/>
  <c r="V46" i="87"/>
  <c r="V45" i="87"/>
  <c r="V44" i="87"/>
  <c r="V43" i="87"/>
  <c r="U43" i="87"/>
  <c r="V42" i="87"/>
  <c r="V41" i="87"/>
  <c r="V40" i="87"/>
  <c r="V39" i="87"/>
  <c r="F39" i="87"/>
  <c r="D39" i="87"/>
  <c r="V38" i="87"/>
  <c r="V37" i="87"/>
  <c r="V36" i="87"/>
  <c r="V30" i="87"/>
  <c r="U30" i="87"/>
  <c r="V29" i="87"/>
  <c r="V28" i="87"/>
  <c r="V27" i="87"/>
  <c r="V26" i="87"/>
  <c r="F26" i="87"/>
  <c r="D26" i="87"/>
  <c r="V25" i="87"/>
  <c r="V24" i="87"/>
  <c r="V23" i="87"/>
  <c r="V22" i="87"/>
  <c r="U22" i="87"/>
  <c r="V21" i="87"/>
  <c r="V20" i="87"/>
  <c r="V19" i="87"/>
  <c r="V18" i="87"/>
  <c r="F18" i="87"/>
  <c r="V17" i="87"/>
  <c r="V16" i="87"/>
  <c r="V15" i="87"/>
  <c r="V14" i="87"/>
  <c r="U14" i="87"/>
  <c r="V13" i="87"/>
  <c r="V12" i="87"/>
  <c r="V11" i="87"/>
  <c r="V10" i="87"/>
  <c r="F10" i="87"/>
  <c r="D10" i="87"/>
  <c r="V9" i="87"/>
  <c r="V8" i="87"/>
  <c r="V7" i="87"/>
  <c r="Q110" i="86"/>
  <c r="P110" i="86"/>
  <c r="Q109" i="86"/>
  <c r="Q108" i="86"/>
  <c r="Q107" i="86"/>
  <c r="Q106" i="86"/>
  <c r="D106" i="86"/>
  <c r="Q105" i="86"/>
  <c r="Q104" i="86"/>
  <c r="Q103" i="86"/>
  <c r="Q102" i="86"/>
  <c r="P102" i="86"/>
  <c r="Q101" i="86"/>
  <c r="Q100" i="86"/>
  <c r="Q99" i="86"/>
  <c r="Q98" i="86"/>
  <c r="D98" i="86"/>
  <c r="Q97" i="86"/>
  <c r="Q96" i="86"/>
  <c r="Q95" i="86"/>
  <c r="Q94" i="86"/>
  <c r="P94" i="86"/>
  <c r="Q93" i="86"/>
  <c r="Q92" i="86"/>
  <c r="Q91" i="86"/>
  <c r="Q90" i="86"/>
  <c r="D90" i="86"/>
  <c r="Q89" i="86"/>
  <c r="Q88" i="86"/>
  <c r="Q87" i="86"/>
  <c r="Q86" i="86"/>
  <c r="P86" i="86"/>
  <c r="Q85" i="86"/>
  <c r="Q84" i="86"/>
  <c r="Q83" i="86"/>
  <c r="Q82" i="86"/>
  <c r="D82" i="86"/>
  <c r="Q81" i="86"/>
  <c r="Q80" i="86"/>
  <c r="Q79" i="86"/>
  <c r="Q78" i="86"/>
  <c r="P78" i="86"/>
  <c r="Q77" i="86"/>
  <c r="Q76" i="86"/>
  <c r="Q75" i="86"/>
  <c r="Q74" i="86"/>
  <c r="D74" i="86"/>
  <c r="Q73" i="86"/>
  <c r="Q72" i="86"/>
  <c r="Q71" i="86"/>
  <c r="Q70" i="86"/>
  <c r="P70" i="86"/>
  <c r="Q69" i="86"/>
  <c r="Q68" i="86"/>
  <c r="Q67" i="86"/>
  <c r="Q66" i="86"/>
  <c r="D66" i="86"/>
  <c r="Q65" i="86"/>
  <c r="Q64" i="86"/>
  <c r="Q63" i="86"/>
  <c r="Q62" i="86"/>
  <c r="P62" i="86"/>
  <c r="Q61" i="86"/>
  <c r="Q60" i="86"/>
  <c r="Q59" i="86"/>
  <c r="Q58" i="86"/>
  <c r="D58" i="86"/>
  <c r="Q57" i="86"/>
  <c r="Q56" i="86"/>
  <c r="Q55" i="86"/>
  <c r="Q54" i="86"/>
  <c r="P54" i="86"/>
  <c r="Q53" i="86"/>
  <c r="Q52" i="86"/>
  <c r="Q51" i="86"/>
  <c r="Q50" i="86"/>
  <c r="D50" i="86"/>
  <c r="Q49" i="86"/>
  <c r="Q48" i="86"/>
  <c r="Q47" i="86"/>
  <c r="Q46" i="86"/>
  <c r="P46" i="86"/>
  <c r="Q45" i="86"/>
  <c r="Q44" i="86"/>
  <c r="Q43" i="86"/>
  <c r="Q42" i="86"/>
  <c r="D42" i="86"/>
  <c r="Q41" i="86"/>
  <c r="Q40" i="86"/>
  <c r="Q39" i="86"/>
  <c r="Q38" i="86"/>
  <c r="P38" i="86"/>
  <c r="Q37" i="86"/>
  <c r="Q36" i="86"/>
  <c r="Q35" i="86"/>
  <c r="Q34" i="86"/>
  <c r="D34" i="86"/>
  <c r="Q33" i="86"/>
  <c r="Q32" i="86"/>
  <c r="Q31" i="86"/>
  <c r="Q30" i="86"/>
  <c r="P30" i="86"/>
  <c r="Q29" i="86"/>
  <c r="Q28" i="86"/>
  <c r="Q27" i="86"/>
  <c r="Q26" i="86"/>
  <c r="D26" i="86"/>
  <c r="Q25" i="86"/>
  <c r="Q24" i="86"/>
  <c r="Q23" i="86"/>
  <c r="Q22" i="86"/>
  <c r="P22" i="86"/>
  <c r="Q21" i="86"/>
  <c r="Q20" i="86"/>
  <c r="Q19" i="86"/>
  <c r="Q18" i="86"/>
  <c r="D18" i="86"/>
  <c r="Q17" i="86"/>
  <c r="Q16" i="86"/>
  <c r="Q15" i="86"/>
  <c r="Q14" i="86"/>
  <c r="P14" i="86"/>
  <c r="Q13" i="86"/>
  <c r="Q12" i="86"/>
  <c r="Q11" i="86"/>
  <c r="Q10" i="86"/>
  <c r="D10" i="86"/>
  <c r="Q9" i="86"/>
  <c r="Q8" i="86"/>
  <c r="Q7" i="86"/>
  <c r="Q123" i="85"/>
  <c r="P123" i="85"/>
  <c r="Q122" i="85"/>
  <c r="Q121" i="85"/>
  <c r="Q120" i="85"/>
  <c r="Q119" i="85"/>
  <c r="D119" i="85"/>
  <c r="Q118" i="85"/>
  <c r="Q117" i="85"/>
  <c r="Q116" i="85"/>
  <c r="Q115" i="85"/>
  <c r="P115" i="85"/>
  <c r="Q114" i="85"/>
  <c r="Q113" i="85"/>
  <c r="Q112" i="85"/>
  <c r="Q111" i="85"/>
  <c r="D111" i="85"/>
  <c r="Q110" i="85"/>
  <c r="Q109" i="85"/>
  <c r="Q108" i="85"/>
  <c r="Q107" i="85"/>
  <c r="P107" i="85"/>
  <c r="Q106" i="85"/>
  <c r="Q105" i="85"/>
  <c r="Q104" i="85"/>
  <c r="Q103" i="85"/>
  <c r="D103" i="85"/>
  <c r="Q102" i="85"/>
  <c r="Q101" i="85"/>
  <c r="Q100" i="85"/>
  <c r="Q99" i="85"/>
  <c r="P99" i="85"/>
  <c r="Q98" i="85"/>
  <c r="Q97" i="85"/>
  <c r="Q96" i="85"/>
  <c r="Q95" i="85"/>
  <c r="D95" i="85"/>
  <c r="Q94" i="85"/>
  <c r="Q93" i="85"/>
  <c r="Q92" i="85"/>
  <c r="Q91" i="85"/>
  <c r="P91" i="85"/>
  <c r="Q90" i="85"/>
  <c r="Q89" i="85"/>
  <c r="Q88" i="85"/>
  <c r="Q87" i="85"/>
  <c r="D87" i="85"/>
  <c r="Q86" i="85"/>
  <c r="Q85" i="85"/>
  <c r="Q84" i="85"/>
  <c r="Q83" i="85"/>
  <c r="P83" i="85"/>
  <c r="Q82" i="85"/>
  <c r="Q81" i="85"/>
  <c r="Q80" i="85"/>
  <c r="Q79" i="85"/>
  <c r="D79" i="85"/>
  <c r="Q78" i="85"/>
  <c r="Q77" i="85"/>
  <c r="Q76" i="85"/>
  <c r="Q75" i="85"/>
  <c r="P75" i="85"/>
  <c r="Q74" i="85"/>
  <c r="Q73" i="85"/>
  <c r="Q72" i="85"/>
  <c r="Q71" i="85"/>
  <c r="D71" i="85"/>
  <c r="Q70" i="85"/>
  <c r="Q69" i="85"/>
  <c r="Q68" i="85"/>
  <c r="Q67" i="85"/>
  <c r="P67" i="85"/>
  <c r="Q66" i="85"/>
  <c r="Q65" i="85"/>
  <c r="Q64" i="85"/>
  <c r="Q63" i="85"/>
  <c r="D63" i="85"/>
  <c r="Q62" i="85"/>
  <c r="Q61" i="85"/>
  <c r="Q60" i="85"/>
  <c r="Q59" i="85"/>
  <c r="P59" i="85"/>
  <c r="Q58" i="85"/>
  <c r="Q57" i="85"/>
  <c r="Q56" i="85"/>
  <c r="Q55" i="85"/>
  <c r="D55" i="85"/>
  <c r="Q54" i="85"/>
  <c r="Q53" i="85"/>
  <c r="Q52" i="85"/>
  <c r="Q46" i="85"/>
  <c r="P46" i="85"/>
  <c r="Q45" i="85"/>
  <c r="Q44" i="85"/>
  <c r="Q43" i="85"/>
  <c r="Q42" i="85"/>
  <c r="D42" i="85"/>
  <c r="Q41" i="85"/>
  <c r="Q40" i="85"/>
  <c r="Q39" i="85"/>
  <c r="Q38" i="85"/>
  <c r="P38" i="85"/>
  <c r="Q37" i="85"/>
  <c r="Q36" i="85"/>
  <c r="Q35" i="85"/>
  <c r="Q34" i="85"/>
  <c r="D34" i="85"/>
  <c r="Q33" i="85"/>
  <c r="Q32" i="85"/>
  <c r="Q31" i="85"/>
  <c r="Q30" i="85"/>
  <c r="P30" i="85"/>
  <c r="Q29" i="85"/>
  <c r="Q28" i="85"/>
  <c r="Q27" i="85"/>
  <c r="Q26" i="85"/>
  <c r="D26" i="85"/>
  <c r="Q25" i="85"/>
  <c r="Q24" i="85"/>
  <c r="Q23" i="85"/>
  <c r="Q22" i="85"/>
  <c r="P22" i="85"/>
  <c r="Q21" i="85"/>
  <c r="Q20" i="85"/>
  <c r="Q19" i="85"/>
  <c r="Q18" i="85"/>
  <c r="D18" i="85"/>
  <c r="Q17" i="85"/>
  <c r="Q16" i="85"/>
  <c r="Q15" i="85"/>
  <c r="Q14" i="85"/>
  <c r="P14" i="85"/>
  <c r="Q13" i="85"/>
  <c r="Q12" i="85"/>
  <c r="Q11" i="85"/>
  <c r="Q10" i="85"/>
  <c r="D10" i="85"/>
  <c r="Q9" i="85"/>
  <c r="Q8" i="85"/>
  <c r="Q7" i="85"/>
  <c r="N174" i="84"/>
  <c r="M174" i="84"/>
  <c r="N173" i="84"/>
  <c r="N172" i="84"/>
  <c r="N171" i="84"/>
  <c r="N170" i="84"/>
  <c r="D170" i="84"/>
  <c r="N169" i="84"/>
  <c r="N168" i="84"/>
  <c r="N167" i="84"/>
  <c r="N166" i="84"/>
  <c r="M166" i="84"/>
  <c r="N165" i="84"/>
  <c r="N164" i="84"/>
  <c r="N163" i="84"/>
  <c r="N162" i="84"/>
  <c r="D162" i="84"/>
  <c r="N161" i="84"/>
  <c r="N160" i="84"/>
  <c r="N159" i="84"/>
  <c r="N158" i="84"/>
  <c r="M158" i="84"/>
  <c r="N157" i="84"/>
  <c r="N156" i="84"/>
  <c r="N155" i="84"/>
  <c r="N154" i="84"/>
  <c r="D154" i="84"/>
  <c r="N153" i="84"/>
  <c r="N152" i="84"/>
  <c r="N151" i="84"/>
  <c r="N150" i="84"/>
  <c r="M150" i="84"/>
  <c r="N149" i="84"/>
  <c r="N148" i="84"/>
  <c r="N147" i="84"/>
  <c r="N146" i="84"/>
  <c r="D146" i="84"/>
  <c r="N145" i="84"/>
  <c r="N144" i="84"/>
  <c r="N143" i="84"/>
  <c r="N142" i="84"/>
  <c r="M142" i="84"/>
  <c r="N141" i="84"/>
  <c r="N140" i="84"/>
  <c r="N139" i="84"/>
  <c r="N138" i="84"/>
  <c r="D138" i="84"/>
  <c r="N137" i="84"/>
  <c r="N136" i="84"/>
  <c r="N135" i="84"/>
  <c r="N134" i="84"/>
  <c r="M134" i="84"/>
  <c r="N133" i="84"/>
  <c r="N132" i="84"/>
  <c r="N131" i="84"/>
  <c r="N130" i="84"/>
  <c r="D130" i="84"/>
  <c r="N129" i="84"/>
  <c r="N128" i="84"/>
  <c r="N127" i="84"/>
  <c r="N126" i="84"/>
  <c r="M126" i="84"/>
  <c r="N125" i="84"/>
  <c r="N124" i="84"/>
  <c r="N123" i="84"/>
  <c r="N122" i="84"/>
  <c r="D122" i="84"/>
  <c r="N121" i="84"/>
  <c r="N120" i="84"/>
  <c r="N119" i="84"/>
  <c r="N118" i="84"/>
  <c r="M118" i="84"/>
  <c r="N117" i="84"/>
  <c r="N116" i="84"/>
  <c r="N115" i="84"/>
  <c r="N114" i="84"/>
  <c r="D114" i="84"/>
  <c r="N113" i="84"/>
  <c r="N112" i="84"/>
  <c r="N111" i="84"/>
  <c r="N110" i="84"/>
  <c r="M110" i="84"/>
  <c r="N109" i="84"/>
  <c r="N108" i="84"/>
  <c r="N107" i="84"/>
  <c r="N106" i="84"/>
  <c r="D106" i="84"/>
  <c r="N105" i="84"/>
  <c r="N104" i="84"/>
  <c r="N103" i="84"/>
  <c r="N102" i="84"/>
  <c r="M102" i="84"/>
  <c r="N101" i="84"/>
  <c r="N100" i="84"/>
  <c r="N99" i="84"/>
  <c r="N98" i="84"/>
  <c r="D98" i="84"/>
  <c r="N97" i="84"/>
  <c r="N96" i="84"/>
  <c r="N95" i="84"/>
  <c r="N94" i="84"/>
  <c r="M94" i="84"/>
  <c r="N93" i="84"/>
  <c r="N92" i="84"/>
  <c r="N91" i="84"/>
  <c r="N90" i="84"/>
  <c r="D90" i="84"/>
  <c r="N89" i="84"/>
  <c r="N88" i="84"/>
  <c r="N87" i="84"/>
  <c r="N86" i="84"/>
  <c r="M86" i="84"/>
  <c r="N85" i="84"/>
  <c r="N84" i="84"/>
  <c r="N83" i="84"/>
  <c r="N82" i="84"/>
  <c r="D82" i="84"/>
  <c r="N81" i="84"/>
  <c r="N80" i="84"/>
  <c r="N79" i="84"/>
  <c r="N78" i="84"/>
  <c r="M78" i="84"/>
  <c r="N77" i="84"/>
  <c r="N76" i="84"/>
  <c r="N75" i="84"/>
  <c r="N74" i="84"/>
  <c r="D74" i="84"/>
  <c r="N73" i="84"/>
  <c r="N72" i="84"/>
  <c r="N71" i="84"/>
  <c r="N70" i="84"/>
  <c r="M70" i="84"/>
  <c r="N69" i="84"/>
  <c r="N68" i="84"/>
  <c r="N67" i="84"/>
  <c r="N66" i="84"/>
  <c r="D66" i="84"/>
  <c r="N65" i="84"/>
  <c r="N64" i="84"/>
  <c r="N63" i="84"/>
  <c r="N62" i="84"/>
  <c r="M62" i="84"/>
  <c r="N61" i="84"/>
  <c r="N60" i="84"/>
  <c r="N59" i="84"/>
  <c r="N58" i="84"/>
  <c r="D58" i="84"/>
  <c r="N57" i="84"/>
  <c r="N56" i="84"/>
  <c r="N55" i="84"/>
  <c r="N54" i="84"/>
  <c r="M54" i="84"/>
  <c r="N53" i="84"/>
  <c r="N52" i="84"/>
  <c r="N51" i="84"/>
  <c r="N50" i="84"/>
  <c r="D50" i="84"/>
  <c r="N49" i="84"/>
  <c r="N48" i="84"/>
  <c r="N47" i="84"/>
  <c r="N46" i="84"/>
  <c r="M46" i="84"/>
  <c r="N45" i="84"/>
  <c r="N44" i="84"/>
  <c r="N43" i="84"/>
  <c r="N42" i="84"/>
  <c r="D42" i="84"/>
  <c r="N41" i="84"/>
  <c r="N40" i="84"/>
  <c r="N39" i="84"/>
  <c r="N38" i="84"/>
  <c r="M38" i="84"/>
  <c r="N37" i="84"/>
  <c r="N36" i="84"/>
  <c r="N35" i="84"/>
  <c r="N34" i="84"/>
  <c r="D34" i="84"/>
  <c r="N33" i="84"/>
  <c r="N32" i="84"/>
  <c r="N31" i="84"/>
  <c r="N30" i="84"/>
  <c r="M30" i="84"/>
  <c r="N29" i="84"/>
  <c r="N28" i="84"/>
  <c r="N27" i="84"/>
  <c r="N26" i="84"/>
  <c r="D26" i="84"/>
  <c r="N25" i="84"/>
  <c r="N24" i="84"/>
  <c r="N23" i="84"/>
  <c r="N22" i="84"/>
  <c r="M22" i="84"/>
  <c r="N21" i="84"/>
  <c r="N20" i="84"/>
  <c r="N19" i="84"/>
  <c r="N18" i="84"/>
  <c r="D18" i="84"/>
  <c r="N17" i="84"/>
  <c r="N16" i="84"/>
  <c r="N15" i="84"/>
  <c r="N14" i="84"/>
  <c r="M14" i="84"/>
  <c r="N13" i="84"/>
  <c r="N12" i="84"/>
  <c r="N11" i="84"/>
  <c r="N10" i="84"/>
  <c r="D10" i="84"/>
  <c r="N9" i="84"/>
  <c r="N8" i="84"/>
  <c r="N7" i="84"/>
  <c r="R110" i="83"/>
  <c r="D110" i="83"/>
  <c r="R109" i="83"/>
  <c r="Q109" i="83"/>
  <c r="R108" i="83"/>
  <c r="R107" i="83"/>
  <c r="R106" i="83"/>
  <c r="D106" i="83"/>
  <c r="R105" i="83"/>
  <c r="Q105" i="83"/>
  <c r="R104" i="83"/>
  <c r="R103" i="83"/>
  <c r="R102" i="83"/>
  <c r="D102" i="83"/>
  <c r="R101" i="83"/>
  <c r="Q101" i="83"/>
  <c r="R100" i="83"/>
  <c r="R99" i="83"/>
  <c r="R98" i="83"/>
  <c r="D98" i="83"/>
  <c r="R97" i="83"/>
  <c r="Q97" i="83"/>
  <c r="R96" i="83"/>
  <c r="R95" i="83"/>
  <c r="R94" i="83"/>
  <c r="D94" i="83"/>
  <c r="R93" i="83"/>
  <c r="Q93" i="83"/>
  <c r="R92" i="83"/>
  <c r="R91" i="83"/>
  <c r="R90" i="83"/>
  <c r="D90" i="83"/>
  <c r="R89" i="83"/>
  <c r="Q89" i="83"/>
  <c r="R88" i="83"/>
  <c r="R87" i="83"/>
  <c r="R86" i="83"/>
  <c r="D86" i="83"/>
  <c r="R85" i="83"/>
  <c r="Q85" i="83"/>
  <c r="R84" i="83"/>
  <c r="R83" i="83"/>
  <c r="R82" i="83"/>
  <c r="D82" i="83"/>
  <c r="R81" i="83"/>
  <c r="Q81" i="83"/>
  <c r="R80" i="83"/>
  <c r="R79" i="83"/>
  <c r="R78" i="83"/>
  <c r="D78" i="83"/>
  <c r="R77" i="83"/>
  <c r="Q77" i="83"/>
  <c r="R76" i="83"/>
  <c r="R75" i="83"/>
  <c r="R74" i="83"/>
  <c r="D74" i="83"/>
  <c r="R73" i="83"/>
  <c r="Q73" i="83"/>
  <c r="R72" i="83"/>
  <c r="R71" i="83"/>
  <c r="R70" i="83"/>
  <c r="D70" i="83"/>
  <c r="R69" i="83"/>
  <c r="Q69" i="83"/>
  <c r="R68" i="83"/>
  <c r="R67" i="83"/>
  <c r="R66" i="83"/>
  <c r="D66" i="83"/>
  <c r="R65" i="83"/>
  <c r="Q65" i="83"/>
  <c r="R64" i="83"/>
  <c r="R63" i="83"/>
  <c r="R62" i="83"/>
  <c r="D62" i="83"/>
  <c r="R61" i="83"/>
  <c r="Q61" i="83"/>
  <c r="R60" i="83"/>
  <c r="R59" i="83"/>
  <c r="R58" i="83"/>
  <c r="D58" i="83"/>
  <c r="R57" i="83"/>
  <c r="Q57" i="83"/>
  <c r="R56" i="83"/>
  <c r="R55" i="83"/>
  <c r="R54" i="83"/>
  <c r="D54" i="83"/>
  <c r="R53" i="83"/>
  <c r="Q53" i="83"/>
  <c r="R52" i="83"/>
  <c r="R51" i="83"/>
  <c r="R50" i="83"/>
  <c r="D50" i="83"/>
  <c r="R49" i="83"/>
  <c r="Q49" i="83"/>
  <c r="R48" i="83"/>
  <c r="R47" i="83"/>
  <c r="R46" i="83"/>
  <c r="D46" i="83"/>
  <c r="R45" i="83"/>
  <c r="Q45" i="83"/>
  <c r="R44" i="83"/>
  <c r="R43" i="83"/>
  <c r="R42" i="83"/>
  <c r="D42" i="83"/>
  <c r="R41" i="83"/>
  <c r="Q41" i="83"/>
  <c r="R40" i="83"/>
  <c r="R39" i="83"/>
  <c r="R38" i="83"/>
  <c r="D38" i="83"/>
  <c r="R37" i="83"/>
  <c r="Q37" i="83"/>
  <c r="R36" i="83"/>
  <c r="R35" i="83"/>
  <c r="R34" i="83"/>
  <c r="D34" i="83"/>
  <c r="R33" i="83"/>
  <c r="Q33" i="83"/>
  <c r="R32" i="83"/>
  <c r="R31" i="83"/>
  <c r="R30" i="83"/>
  <c r="D30" i="83"/>
  <c r="R29" i="83"/>
  <c r="Q29" i="83"/>
  <c r="R28" i="83"/>
  <c r="R27" i="83"/>
  <c r="R26" i="83"/>
  <c r="D26" i="83"/>
  <c r="R25" i="83"/>
  <c r="Q25" i="83"/>
  <c r="R24" i="83"/>
  <c r="R23" i="83"/>
  <c r="R22" i="83"/>
  <c r="D22" i="83"/>
  <c r="R21" i="83"/>
  <c r="Q21" i="83"/>
  <c r="R20" i="83"/>
  <c r="R19" i="83"/>
  <c r="R18" i="83"/>
  <c r="D18" i="83"/>
  <c r="R17" i="83"/>
  <c r="Q17" i="83"/>
  <c r="R16" i="83"/>
  <c r="R15" i="83"/>
  <c r="R14" i="83"/>
  <c r="D14" i="83"/>
  <c r="R13" i="83"/>
  <c r="Q13" i="83"/>
  <c r="R12" i="83"/>
  <c r="R11" i="83"/>
  <c r="R10" i="83"/>
  <c r="D10" i="83"/>
  <c r="R9" i="83"/>
  <c r="Q9" i="83"/>
  <c r="R8" i="83"/>
  <c r="R7" i="83"/>
  <c r="R123" i="82"/>
  <c r="D123" i="82"/>
  <c r="R122" i="82"/>
  <c r="Q122" i="82"/>
  <c r="R121" i="82"/>
  <c r="R120" i="82"/>
  <c r="R119" i="82"/>
  <c r="D119" i="82"/>
  <c r="R118" i="82"/>
  <c r="Q118" i="82"/>
  <c r="R117" i="82"/>
  <c r="R116" i="82"/>
  <c r="R115" i="82"/>
  <c r="D115" i="82"/>
  <c r="R114" i="82"/>
  <c r="Q114" i="82"/>
  <c r="R113" i="82"/>
  <c r="R112" i="82"/>
  <c r="R111" i="82"/>
  <c r="D111" i="82"/>
  <c r="R110" i="82"/>
  <c r="Q110" i="82"/>
  <c r="R109" i="82"/>
  <c r="R108" i="82"/>
  <c r="R107" i="82"/>
  <c r="D107" i="82"/>
  <c r="R106" i="82"/>
  <c r="Q106" i="82"/>
  <c r="R105" i="82"/>
  <c r="R104" i="82"/>
  <c r="R103" i="82"/>
  <c r="D103" i="82"/>
  <c r="R102" i="82"/>
  <c r="Q102" i="82"/>
  <c r="R101" i="82"/>
  <c r="R100" i="82"/>
  <c r="R99" i="82"/>
  <c r="D99" i="82"/>
  <c r="R98" i="82"/>
  <c r="Q98" i="82"/>
  <c r="R97" i="82"/>
  <c r="R96" i="82"/>
  <c r="R95" i="82"/>
  <c r="D95" i="82"/>
  <c r="R94" i="82"/>
  <c r="Q94" i="82"/>
  <c r="R93" i="82"/>
  <c r="R92" i="82"/>
  <c r="R91" i="82"/>
  <c r="D91" i="82"/>
  <c r="R90" i="82"/>
  <c r="Q90" i="82"/>
  <c r="R89" i="82"/>
  <c r="R88" i="82"/>
  <c r="R87" i="82"/>
  <c r="D87" i="82"/>
  <c r="R86" i="82"/>
  <c r="Q86" i="82"/>
  <c r="R85" i="82"/>
  <c r="R84" i="82"/>
  <c r="R83" i="82"/>
  <c r="D83" i="82"/>
  <c r="R82" i="82"/>
  <c r="Q82" i="82"/>
  <c r="R81" i="82"/>
  <c r="R80" i="82"/>
  <c r="R79" i="82"/>
  <c r="D79" i="82"/>
  <c r="R78" i="82"/>
  <c r="Q78" i="82"/>
  <c r="R77" i="82"/>
  <c r="R76" i="82"/>
  <c r="R75" i="82"/>
  <c r="D75" i="82"/>
  <c r="R74" i="82"/>
  <c r="Q74" i="82"/>
  <c r="R73" i="82"/>
  <c r="R72" i="82"/>
  <c r="R71" i="82"/>
  <c r="D71" i="82"/>
  <c r="R70" i="82"/>
  <c r="Q70" i="82"/>
  <c r="R69" i="82"/>
  <c r="R68" i="82"/>
  <c r="R67" i="82"/>
  <c r="D67" i="82"/>
  <c r="R66" i="82"/>
  <c r="Q66" i="82"/>
  <c r="R65" i="82"/>
  <c r="R64" i="82"/>
  <c r="R63" i="82"/>
  <c r="D63" i="82"/>
  <c r="R62" i="82"/>
  <c r="Q62" i="82"/>
  <c r="R61" i="82"/>
  <c r="R60" i="82"/>
  <c r="R59" i="82"/>
  <c r="D59" i="82"/>
  <c r="R58" i="82"/>
  <c r="Q58" i="82"/>
  <c r="R57" i="82"/>
  <c r="R56" i="82"/>
  <c r="R55" i="82"/>
  <c r="D55" i="82"/>
  <c r="R54" i="82"/>
  <c r="Q54" i="82"/>
  <c r="R53" i="82"/>
  <c r="R52" i="82"/>
  <c r="R46" i="82"/>
  <c r="D46" i="82"/>
  <c r="R45" i="82"/>
  <c r="Q45" i="82"/>
  <c r="R44" i="82"/>
  <c r="R43" i="82"/>
  <c r="R42" i="82"/>
  <c r="D42" i="82"/>
  <c r="R41" i="82"/>
  <c r="Q41" i="82"/>
  <c r="R40" i="82"/>
  <c r="R39" i="82"/>
  <c r="R38" i="82"/>
  <c r="D38" i="82"/>
  <c r="R37" i="82"/>
  <c r="Q37" i="82"/>
  <c r="R36" i="82"/>
  <c r="R35" i="82"/>
  <c r="R34" i="82"/>
  <c r="D34" i="82"/>
  <c r="R33" i="82"/>
  <c r="Q33" i="82"/>
  <c r="R32" i="82"/>
  <c r="R31" i="82"/>
  <c r="R30" i="82"/>
  <c r="D30" i="82"/>
  <c r="R29" i="82"/>
  <c r="Q29" i="82"/>
  <c r="R28" i="82"/>
  <c r="R27" i="82"/>
  <c r="R26" i="82"/>
  <c r="D26" i="82"/>
  <c r="R25" i="82"/>
  <c r="Q25" i="82"/>
  <c r="R24" i="82"/>
  <c r="R23" i="82"/>
  <c r="R22" i="82"/>
  <c r="D22" i="82"/>
  <c r="R21" i="82"/>
  <c r="Q21" i="82"/>
  <c r="R20" i="82"/>
  <c r="R19" i="82"/>
  <c r="R18" i="82"/>
  <c r="D18" i="82"/>
  <c r="R17" i="82"/>
  <c r="Q17" i="82"/>
  <c r="R16" i="82"/>
  <c r="R15" i="82"/>
  <c r="R14" i="82"/>
  <c r="D14" i="82"/>
  <c r="R13" i="82"/>
  <c r="Q13" i="82"/>
  <c r="R12" i="82"/>
  <c r="R11" i="82"/>
  <c r="R10" i="82"/>
  <c r="D10" i="82"/>
  <c r="R9" i="82"/>
  <c r="Q9" i="82"/>
  <c r="R8" i="82"/>
  <c r="R7" i="82"/>
  <c r="O174" i="81"/>
  <c r="D174" i="81"/>
  <c r="O173" i="81"/>
  <c r="N173" i="81"/>
  <c r="O172" i="81"/>
  <c r="O171" i="81"/>
  <c r="O170" i="81"/>
  <c r="D170" i="81"/>
  <c r="O169" i="81"/>
  <c r="N169" i="81"/>
  <c r="O168" i="81"/>
  <c r="O167" i="81"/>
  <c r="O166" i="81"/>
  <c r="D166" i="81"/>
  <c r="O165" i="81"/>
  <c r="N165" i="81"/>
  <c r="O164" i="81"/>
  <c r="O163" i="81"/>
  <c r="O162" i="81"/>
  <c r="D162" i="81"/>
  <c r="O161" i="81"/>
  <c r="N161" i="81"/>
  <c r="O160" i="81"/>
  <c r="O159" i="81"/>
  <c r="O158" i="81"/>
  <c r="D158" i="81"/>
  <c r="O157" i="81"/>
  <c r="N157" i="81"/>
  <c r="O156" i="81"/>
  <c r="O155" i="81"/>
  <c r="O154" i="81"/>
  <c r="D154" i="81"/>
  <c r="O153" i="81"/>
  <c r="N153" i="81"/>
  <c r="O152" i="81"/>
  <c r="O151" i="81"/>
  <c r="O150" i="81"/>
  <c r="D150" i="81"/>
  <c r="O149" i="81"/>
  <c r="N149" i="81"/>
  <c r="O148" i="81"/>
  <c r="O147" i="81"/>
  <c r="O146" i="81"/>
  <c r="D146" i="81"/>
  <c r="O145" i="81"/>
  <c r="N145" i="81"/>
  <c r="O144" i="81"/>
  <c r="O143" i="81"/>
  <c r="O142" i="81"/>
  <c r="D142" i="81"/>
  <c r="O141" i="81"/>
  <c r="N141" i="81"/>
  <c r="O140" i="81"/>
  <c r="O139" i="81"/>
  <c r="O138" i="81"/>
  <c r="D138" i="81"/>
  <c r="O137" i="81"/>
  <c r="N137" i="81"/>
  <c r="O136" i="81"/>
  <c r="O135" i="81"/>
  <c r="O134" i="81"/>
  <c r="D134" i="81"/>
  <c r="O133" i="81"/>
  <c r="N133" i="81"/>
  <c r="O132" i="81"/>
  <c r="O131" i="81"/>
  <c r="O130" i="81"/>
  <c r="D130" i="81"/>
  <c r="O129" i="81"/>
  <c r="N129" i="81"/>
  <c r="O128" i="81"/>
  <c r="O127" i="81"/>
  <c r="O126" i="81"/>
  <c r="D126" i="81"/>
  <c r="O125" i="81"/>
  <c r="N125" i="81"/>
  <c r="O124" i="81"/>
  <c r="O123" i="81"/>
  <c r="O122" i="81"/>
  <c r="D122" i="81"/>
  <c r="O121" i="81"/>
  <c r="N121" i="81"/>
  <c r="O120" i="81"/>
  <c r="O119" i="81"/>
  <c r="O118" i="81"/>
  <c r="D118" i="81"/>
  <c r="O117" i="81"/>
  <c r="N117" i="81"/>
  <c r="O116" i="81"/>
  <c r="O115" i="81"/>
  <c r="O114" i="81"/>
  <c r="D114" i="81"/>
  <c r="O113" i="81"/>
  <c r="N113" i="81"/>
  <c r="O112" i="81"/>
  <c r="O111" i="81"/>
  <c r="O110" i="81"/>
  <c r="D110" i="81"/>
  <c r="O109" i="81"/>
  <c r="N109" i="81"/>
  <c r="O108" i="81"/>
  <c r="O107" i="81"/>
  <c r="O106" i="81"/>
  <c r="D106" i="81"/>
  <c r="O105" i="81"/>
  <c r="N105" i="81"/>
  <c r="O104" i="81"/>
  <c r="O103" i="81"/>
  <c r="O102" i="81"/>
  <c r="D102" i="81"/>
  <c r="O101" i="81"/>
  <c r="N101" i="81"/>
  <c r="O100" i="81"/>
  <c r="O99" i="81"/>
  <c r="O98" i="81"/>
  <c r="D98" i="81"/>
  <c r="O97" i="81"/>
  <c r="N97" i="81"/>
  <c r="O96" i="81"/>
  <c r="O95" i="81"/>
  <c r="O94" i="81"/>
  <c r="D94" i="81"/>
  <c r="O93" i="81"/>
  <c r="N93" i="81"/>
  <c r="O92" i="81"/>
  <c r="O91" i="81"/>
  <c r="O90" i="81"/>
  <c r="D90" i="81"/>
  <c r="O89" i="81"/>
  <c r="N89" i="81"/>
  <c r="O88" i="81"/>
  <c r="O87" i="81"/>
  <c r="O86" i="81"/>
  <c r="D86" i="81"/>
  <c r="O85" i="81"/>
  <c r="N85" i="81"/>
  <c r="O84" i="81"/>
  <c r="O83" i="81"/>
  <c r="O82" i="81"/>
  <c r="D82" i="81"/>
  <c r="O81" i="81"/>
  <c r="N81" i="81"/>
  <c r="O80" i="81"/>
  <c r="O79" i="81"/>
  <c r="O78" i="81"/>
  <c r="D78" i="81"/>
  <c r="O77" i="81"/>
  <c r="N77" i="81"/>
  <c r="O76" i="81"/>
  <c r="O75" i="81"/>
  <c r="O74" i="81"/>
  <c r="D74" i="81"/>
  <c r="O73" i="81"/>
  <c r="N73" i="81"/>
  <c r="O72" i="81"/>
  <c r="O71" i="81"/>
  <c r="O70" i="81"/>
  <c r="D70" i="81"/>
  <c r="O69" i="81"/>
  <c r="N69" i="81"/>
  <c r="O68" i="81"/>
  <c r="O67" i="81"/>
  <c r="O66" i="81"/>
  <c r="D66" i="81"/>
  <c r="O65" i="81"/>
  <c r="N65" i="81"/>
  <c r="O64" i="81"/>
  <c r="O63" i="81"/>
  <c r="O62" i="81"/>
  <c r="D62" i="81"/>
  <c r="O61" i="81"/>
  <c r="N61" i="81"/>
  <c r="O60" i="81"/>
  <c r="O59" i="81"/>
  <c r="O58" i="81"/>
  <c r="D58" i="81"/>
  <c r="O57" i="81"/>
  <c r="N57" i="81"/>
  <c r="O56" i="81"/>
  <c r="O55" i="81"/>
  <c r="O54" i="81"/>
  <c r="D54" i="81"/>
  <c r="O53" i="81"/>
  <c r="N53" i="81"/>
  <c r="O52" i="81"/>
  <c r="O51" i="81"/>
  <c r="O50" i="81"/>
  <c r="D50" i="81"/>
  <c r="O49" i="81"/>
  <c r="N49" i="81"/>
  <c r="O48" i="81"/>
  <c r="O47" i="81"/>
  <c r="O46" i="81"/>
  <c r="D46" i="81"/>
  <c r="O45" i="81"/>
  <c r="N45" i="81"/>
  <c r="O44" i="81"/>
  <c r="O43" i="81"/>
  <c r="O42" i="81"/>
  <c r="D42" i="81"/>
  <c r="O41" i="81"/>
  <c r="N41" i="81"/>
  <c r="O40" i="81"/>
  <c r="O39" i="81"/>
  <c r="O38" i="81"/>
  <c r="D38" i="81"/>
  <c r="O37" i="81"/>
  <c r="N37" i="81"/>
  <c r="O36" i="81"/>
  <c r="O35" i="81"/>
  <c r="O34" i="81"/>
  <c r="D34" i="81"/>
  <c r="O33" i="81"/>
  <c r="N33" i="81"/>
  <c r="O32" i="81"/>
  <c r="O31" i="81"/>
  <c r="O30" i="81"/>
  <c r="D30" i="81"/>
  <c r="O29" i="81"/>
  <c r="N29" i="81"/>
  <c r="O28" i="81"/>
  <c r="O27" i="81"/>
  <c r="O26" i="81"/>
  <c r="D26" i="81"/>
  <c r="O25" i="81"/>
  <c r="N25" i="81"/>
  <c r="O24" i="81"/>
  <c r="O23" i="81"/>
  <c r="O22" i="81"/>
  <c r="D22" i="81"/>
  <c r="O21" i="81"/>
  <c r="N21" i="81"/>
  <c r="O20" i="81"/>
  <c r="O19" i="81"/>
  <c r="O18" i="81"/>
  <c r="D18" i="81"/>
  <c r="O17" i="81"/>
  <c r="N17" i="81"/>
  <c r="O16" i="81"/>
  <c r="O15" i="81"/>
  <c r="O14" i="81"/>
  <c r="D14" i="81"/>
  <c r="O13" i="81"/>
  <c r="N13" i="81"/>
  <c r="O12" i="81"/>
  <c r="O11" i="81"/>
  <c r="O10" i="81"/>
  <c r="D10" i="81"/>
  <c r="O9" i="81"/>
  <c r="N9" i="81"/>
  <c r="O8" i="81"/>
  <c r="O7" i="81"/>
  <c r="Y46" i="80"/>
  <c r="H46" i="80"/>
  <c r="F46" i="80"/>
  <c r="D46" i="80"/>
  <c r="Y45" i="80"/>
  <c r="X45" i="80"/>
  <c r="Y44" i="80"/>
  <c r="Y43" i="80"/>
  <c r="Y42" i="80"/>
  <c r="H42" i="80"/>
  <c r="F42" i="80"/>
  <c r="Y41" i="80"/>
  <c r="X41" i="80"/>
  <c r="Y40" i="80"/>
  <c r="Y39" i="80"/>
  <c r="Y38" i="80"/>
  <c r="H38" i="80"/>
  <c r="Y37" i="80"/>
  <c r="X37" i="80"/>
  <c r="Y36" i="80"/>
  <c r="Y35" i="80"/>
  <c r="Y34" i="80"/>
  <c r="H34" i="80"/>
  <c r="F34" i="80"/>
  <c r="D34" i="80"/>
  <c r="Y33" i="80"/>
  <c r="X33" i="80"/>
  <c r="Y32" i="80"/>
  <c r="Y31" i="80"/>
  <c r="Y30" i="80"/>
  <c r="H30" i="80"/>
  <c r="F30" i="80"/>
  <c r="Y29" i="80"/>
  <c r="X29" i="80"/>
  <c r="Y28" i="80"/>
  <c r="Y27" i="80"/>
  <c r="Y26" i="80"/>
  <c r="H26" i="80"/>
  <c r="Y25" i="80"/>
  <c r="X25" i="80"/>
  <c r="Y24" i="80"/>
  <c r="Y23" i="80"/>
  <c r="Y22" i="80"/>
  <c r="H22" i="80"/>
  <c r="F22" i="80"/>
  <c r="Y21" i="80"/>
  <c r="X21" i="80"/>
  <c r="Y20" i="80"/>
  <c r="Y19" i="80"/>
  <c r="Y18" i="80"/>
  <c r="H18" i="80"/>
  <c r="Y17" i="80"/>
  <c r="X17" i="80"/>
  <c r="Y16" i="80"/>
  <c r="Y15" i="80"/>
  <c r="Y14" i="80"/>
  <c r="H14" i="80"/>
  <c r="Y13" i="80"/>
  <c r="X13" i="80"/>
  <c r="Y12" i="80"/>
  <c r="Y11" i="80"/>
  <c r="Y10" i="80"/>
  <c r="H10" i="80"/>
  <c r="F10" i="80"/>
  <c r="D10" i="80"/>
  <c r="Y9" i="80"/>
  <c r="X9" i="80"/>
  <c r="Y8" i="80"/>
  <c r="Y7" i="80"/>
  <c r="T46" i="79"/>
  <c r="F46" i="79"/>
  <c r="D46" i="79"/>
  <c r="T45" i="79"/>
  <c r="S45" i="79"/>
  <c r="T44" i="79"/>
  <c r="T43" i="79"/>
  <c r="T42" i="79"/>
  <c r="F42" i="79"/>
  <c r="T41" i="79"/>
  <c r="S41" i="79"/>
  <c r="T40" i="79"/>
  <c r="T39" i="79"/>
  <c r="T38" i="79"/>
  <c r="F38" i="79"/>
  <c r="D38" i="79"/>
  <c r="T37" i="79"/>
  <c r="S37" i="79"/>
  <c r="T36" i="79"/>
  <c r="T35" i="79"/>
  <c r="T34" i="79"/>
  <c r="F34" i="79"/>
  <c r="T33" i="79"/>
  <c r="S33" i="79"/>
  <c r="T32" i="79"/>
  <c r="T31" i="79"/>
  <c r="T30" i="79"/>
  <c r="F30" i="79"/>
  <c r="T29" i="79"/>
  <c r="S29" i="79"/>
  <c r="T28" i="79"/>
  <c r="T27" i="79"/>
  <c r="T26" i="79"/>
  <c r="F26" i="79"/>
  <c r="D26" i="79"/>
  <c r="T25" i="79"/>
  <c r="S25" i="79"/>
  <c r="T24" i="79"/>
  <c r="T23" i="79"/>
  <c r="T22" i="79"/>
  <c r="F22" i="79"/>
  <c r="T21" i="79"/>
  <c r="S21" i="79"/>
  <c r="T20" i="79"/>
  <c r="T19" i="79"/>
  <c r="T18" i="79"/>
  <c r="F18" i="79"/>
  <c r="T17" i="79"/>
  <c r="S17" i="79"/>
  <c r="T16" i="79"/>
  <c r="T15" i="79"/>
  <c r="T14" i="79"/>
  <c r="F14" i="79"/>
  <c r="T13" i="79"/>
  <c r="S13" i="79"/>
  <c r="T12" i="79"/>
  <c r="T11" i="79"/>
  <c r="T10" i="79"/>
  <c r="F10" i="79"/>
  <c r="D10" i="79"/>
  <c r="T9" i="79"/>
  <c r="S9" i="79"/>
  <c r="T8" i="79"/>
  <c r="T7" i="79"/>
  <c r="Y46" i="78"/>
  <c r="H46" i="78"/>
  <c r="F46" i="78"/>
  <c r="D46" i="78"/>
  <c r="Y45" i="78"/>
  <c r="X45" i="78"/>
  <c r="Y44" i="78"/>
  <c r="Y43" i="78"/>
  <c r="Y42" i="78"/>
  <c r="H42" i="78"/>
  <c r="F42" i="78"/>
  <c r="Y41" i="78"/>
  <c r="X41" i="78"/>
  <c r="Y40" i="78"/>
  <c r="Y39" i="78"/>
  <c r="Y38" i="78"/>
  <c r="H38" i="78"/>
  <c r="Y37" i="78"/>
  <c r="X37" i="78"/>
  <c r="Y36" i="78"/>
  <c r="Y35" i="78"/>
  <c r="Y34" i="78"/>
  <c r="H34" i="78"/>
  <c r="F34" i="78"/>
  <c r="D34" i="78"/>
  <c r="Y33" i="78"/>
  <c r="X33" i="78"/>
  <c r="Y32" i="78"/>
  <c r="Y31" i="78"/>
  <c r="Y30" i="78"/>
  <c r="H30" i="78"/>
  <c r="F30" i="78"/>
  <c r="Y29" i="78"/>
  <c r="X29" i="78"/>
  <c r="Y28" i="78"/>
  <c r="Y27" i="78"/>
  <c r="Y26" i="78"/>
  <c r="H26" i="78"/>
  <c r="Y25" i="78"/>
  <c r="X25" i="78"/>
  <c r="Y24" i="78"/>
  <c r="Y23" i="78"/>
  <c r="Y22" i="78"/>
  <c r="H22" i="78"/>
  <c r="F22" i="78"/>
  <c r="Y21" i="78"/>
  <c r="X21" i="78"/>
  <c r="Y20" i="78"/>
  <c r="Y19" i="78"/>
  <c r="Y18" i="78"/>
  <c r="H18" i="78"/>
  <c r="Y17" i="78"/>
  <c r="X17" i="78"/>
  <c r="Y16" i="78"/>
  <c r="Y15" i="78"/>
  <c r="Y14" i="78"/>
  <c r="H14" i="78"/>
  <c r="Y13" i="78"/>
  <c r="X13" i="78"/>
  <c r="Y12" i="78"/>
  <c r="Y11" i="78"/>
  <c r="Y10" i="78"/>
  <c r="H10" i="78"/>
  <c r="F10" i="78"/>
  <c r="D10" i="78"/>
  <c r="Y9" i="78"/>
  <c r="X9" i="78"/>
  <c r="Y8" i="78"/>
  <c r="Y7" i="78"/>
  <c r="V46" i="77"/>
  <c r="H46" i="77"/>
  <c r="V45" i="77"/>
  <c r="U45" i="77"/>
  <c r="V44" i="77"/>
  <c r="V43" i="77"/>
  <c r="V42" i="77"/>
  <c r="H42" i="77"/>
  <c r="V41" i="77"/>
  <c r="U41" i="77"/>
  <c r="V40" i="77"/>
  <c r="V39" i="77"/>
  <c r="V38" i="77"/>
  <c r="H38" i="77"/>
  <c r="V37" i="77"/>
  <c r="U37" i="77"/>
  <c r="V36" i="77"/>
  <c r="V35" i="77"/>
  <c r="V34" i="77"/>
  <c r="H34" i="77"/>
  <c r="V33" i="77"/>
  <c r="U33" i="77"/>
  <c r="V32" i="77"/>
  <c r="V31" i="77"/>
  <c r="V30" i="77"/>
  <c r="H30" i="77"/>
  <c r="V29" i="77"/>
  <c r="U29" i="77"/>
  <c r="V28" i="77"/>
  <c r="V27" i="77"/>
  <c r="V26" i="77"/>
  <c r="H26" i="77"/>
  <c r="V25" i="77"/>
  <c r="U25" i="77"/>
  <c r="V24" i="77"/>
  <c r="V23" i="77"/>
  <c r="V22" i="77"/>
  <c r="H22" i="77"/>
  <c r="V21" i="77"/>
  <c r="U21" i="77"/>
  <c r="V20" i="77"/>
  <c r="V19" i="77"/>
  <c r="V18" i="77"/>
  <c r="H18" i="77"/>
  <c r="V17" i="77"/>
  <c r="U17" i="77"/>
  <c r="V16" i="77"/>
  <c r="V15" i="77"/>
  <c r="V14" i="77"/>
  <c r="H14" i="77"/>
  <c r="V13" i="77"/>
  <c r="U13" i="77"/>
  <c r="V12" i="77"/>
  <c r="V11" i="77"/>
  <c r="V10" i="77"/>
  <c r="H10" i="77"/>
  <c r="V9" i="77"/>
  <c r="U9" i="77"/>
  <c r="V8" i="77"/>
  <c r="V7" i="77"/>
  <c r="Y46" i="76"/>
  <c r="H46" i="76"/>
  <c r="E46" i="76"/>
  <c r="Y45" i="76"/>
  <c r="X45" i="76"/>
  <c r="Y44" i="76"/>
  <c r="Y43" i="76"/>
  <c r="Y42" i="76"/>
  <c r="H42" i="76"/>
  <c r="E42" i="76"/>
  <c r="Y41" i="76"/>
  <c r="X41" i="76"/>
  <c r="Y40" i="76"/>
  <c r="Y39" i="76"/>
  <c r="Y38" i="76"/>
  <c r="H38" i="76"/>
  <c r="E38" i="76"/>
  <c r="Y37" i="76"/>
  <c r="X37" i="76"/>
  <c r="Y36" i="76"/>
  <c r="Y35" i="76"/>
  <c r="Y34" i="76"/>
  <c r="H34" i="76"/>
  <c r="Y33" i="76"/>
  <c r="X33" i="76"/>
  <c r="Y32" i="76"/>
  <c r="Y31" i="76"/>
  <c r="Y30" i="76"/>
  <c r="H30" i="76"/>
  <c r="Y29" i="76"/>
  <c r="X29" i="76"/>
  <c r="Y28" i="76"/>
  <c r="Y27" i="76"/>
  <c r="Y26" i="76"/>
  <c r="H26" i="76"/>
  <c r="E26" i="76"/>
  <c r="Y25" i="76"/>
  <c r="X25" i="76"/>
  <c r="Y24" i="76"/>
  <c r="Y23" i="76"/>
  <c r="Y22" i="76"/>
  <c r="H22" i="76"/>
  <c r="Y21" i="76"/>
  <c r="X21" i="76"/>
  <c r="Y20" i="76"/>
  <c r="Y19" i="76"/>
  <c r="Y18" i="76"/>
  <c r="H18" i="76"/>
  <c r="Y17" i="76"/>
  <c r="X17" i="76"/>
  <c r="Y16" i="76"/>
  <c r="Y15" i="76"/>
  <c r="Y14" i="76"/>
  <c r="H14" i="76"/>
  <c r="Y13" i="76"/>
  <c r="X13" i="76"/>
  <c r="Y12" i="76"/>
  <c r="Y11" i="76"/>
  <c r="Y10" i="76"/>
  <c r="H10" i="76"/>
  <c r="E10" i="76"/>
  <c r="Y9" i="76"/>
  <c r="X9" i="76"/>
  <c r="Y8" i="76"/>
  <c r="Y7" i="76"/>
  <c r="T46" i="75"/>
  <c r="F46" i="75"/>
  <c r="D46" i="75"/>
  <c r="T45" i="75"/>
  <c r="S45" i="75"/>
  <c r="T44" i="75"/>
  <c r="T43" i="75"/>
  <c r="T42" i="75"/>
  <c r="F42" i="75"/>
  <c r="T41" i="75"/>
  <c r="S41" i="75"/>
  <c r="T40" i="75"/>
  <c r="T39" i="75"/>
  <c r="T38" i="75"/>
  <c r="F38" i="75"/>
  <c r="D38" i="75"/>
  <c r="T37" i="75"/>
  <c r="S37" i="75"/>
  <c r="T36" i="75"/>
  <c r="T35" i="75"/>
  <c r="T34" i="75"/>
  <c r="F34" i="75"/>
  <c r="T33" i="75"/>
  <c r="S33" i="75"/>
  <c r="T32" i="75"/>
  <c r="T31" i="75"/>
  <c r="T30" i="75"/>
  <c r="F30" i="75"/>
  <c r="T29" i="75"/>
  <c r="S29" i="75"/>
  <c r="T28" i="75"/>
  <c r="T27" i="75"/>
  <c r="T26" i="75"/>
  <c r="F26" i="75"/>
  <c r="D26" i="75"/>
  <c r="T25" i="75"/>
  <c r="S25" i="75"/>
  <c r="T24" i="75"/>
  <c r="T23" i="75"/>
  <c r="T22" i="75"/>
  <c r="F22" i="75"/>
  <c r="T21" i="75"/>
  <c r="S21" i="75"/>
  <c r="T20" i="75"/>
  <c r="T19" i="75"/>
  <c r="T18" i="75"/>
  <c r="F18" i="75"/>
  <c r="T17" i="75"/>
  <c r="S17" i="75"/>
  <c r="T16" i="75"/>
  <c r="T15" i="75"/>
  <c r="T14" i="75"/>
  <c r="F14" i="75"/>
  <c r="T13" i="75"/>
  <c r="S13" i="75"/>
  <c r="T12" i="75"/>
  <c r="T11" i="75"/>
  <c r="T10" i="75"/>
  <c r="F10" i="75"/>
  <c r="D10" i="75"/>
  <c r="T9" i="75"/>
  <c r="S9" i="75"/>
  <c r="T8" i="75"/>
  <c r="T7" i="75"/>
  <c r="T46" i="74"/>
  <c r="F46" i="74"/>
  <c r="D46" i="74"/>
  <c r="T45" i="74"/>
  <c r="S45" i="74"/>
  <c r="T44" i="74"/>
  <c r="T43" i="74"/>
  <c r="T42" i="74"/>
  <c r="F42" i="74"/>
  <c r="T41" i="74"/>
  <c r="S41" i="74"/>
  <c r="T40" i="74"/>
  <c r="T39" i="74"/>
  <c r="T38" i="74"/>
  <c r="F38" i="74"/>
  <c r="D38" i="74"/>
  <c r="T37" i="74"/>
  <c r="S37" i="74"/>
  <c r="T36" i="74"/>
  <c r="T35" i="74"/>
  <c r="T34" i="74"/>
  <c r="F34" i="74"/>
  <c r="T33" i="74"/>
  <c r="S33" i="74"/>
  <c r="T32" i="74"/>
  <c r="T31" i="74"/>
  <c r="T30" i="74"/>
  <c r="F30" i="74"/>
  <c r="T29" i="74"/>
  <c r="S29" i="74"/>
  <c r="T28" i="74"/>
  <c r="T27" i="74"/>
  <c r="T26" i="74"/>
  <c r="F26" i="74"/>
  <c r="D26" i="74"/>
  <c r="T25" i="74"/>
  <c r="S25" i="74"/>
  <c r="T24" i="74"/>
  <c r="T23" i="74"/>
  <c r="T22" i="74"/>
  <c r="F22" i="74"/>
  <c r="T21" i="74"/>
  <c r="S21" i="74"/>
  <c r="T20" i="74"/>
  <c r="T19" i="74"/>
  <c r="T18" i="74"/>
  <c r="F18" i="74"/>
  <c r="T17" i="74"/>
  <c r="S17" i="74"/>
  <c r="T16" i="74"/>
  <c r="T15" i="74"/>
  <c r="T14" i="74"/>
  <c r="F14" i="74"/>
  <c r="T13" i="74"/>
  <c r="S13" i="74"/>
  <c r="T12" i="74"/>
  <c r="T11" i="74"/>
  <c r="T10" i="74"/>
  <c r="F10" i="74"/>
  <c r="D10" i="74"/>
  <c r="T9" i="74"/>
  <c r="S9" i="74"/>
  <c r="T8" i="74"/>
  <c r="T7" i="74"/>
  <c r="W46" i="73"/>
  <c r="F46" i="73"/>
  <c r="D46" i="73"/>
  <c r="W45" i="73"/>
  <c r="V45" i="73"/>
  <c r="W44" i="73"/>
  <c r="W43" i="73"/>
  <c r="W42" i="73"/>
  <c r="F42" i="73"/>
  <c r="D42" i="73"/>
  <c r="W41" i="73"/>
  <c r="V41" i="73"/>
  <c r="W40" i="73"/>
  <c r="W39" i="73"/>
  <c r="W38" i="73"/>
  <c r="F38" i="73"/>
  <c r="D38" i="73"/>
  <c r="W37" i="73"/>
  <c r="V37" i="73"/>
  <c r="W36" i="73"/>
  <c r="W35" i="73"/>
  <c r="W34" i="73"/>
  <c r="F34" i="73"/>
  <c r="W33" i="73"/>
  <c r="V33" i="73"/>
  <c r="W32" i="73"/>
  <c r="W31" i="73"/>
  <c r="W30" i="73"/>
  <c r="F30" i="73"/>
  <c r="W29" i="73"/>
  <c r="V29" i="73"/>
  <c r="W28" i="73"/>
  <c r="W27" i="73"/>
  <c r="W26" i="73"/>
  <c r="F26" i="73"/>
  <c r="D26" i="73"/>
  <c r="W25" i="73"/>
  <c r="V25" i="73"/>
  <c r="W24" i="73"/>
  <c r="W23" i="73"/>
  <c r="W22" i="73"/>
  <c r="F22" i="73"/>
  <c r="W21" i="73"/>
  <c r="V21" i="73"/>
  <c r="W20" i="73"/>
  <c r="W19" i="73"/>
  <c r="W18" i="73"/>
  <c r="F18" i="73"/>
  <c r="W17" i="73"/>
  <c r="V17" i="73"/>
  <c r="W16" i="73"/>
  <c r="W15" i="73"/>
  <c r="W14" i="73"/>
  <c r="F14" i="73"/>
  <c r="W13" i="73"/>
  <c r="V13" i="73"/>
  <c r="W12" i="73"/>
  <c r="W11" i="73"/>
  <c r="W10" i="73"/>
  <c r="F10" i="73"/>
  <c r="D10" i="73"/>
  <c r="W9" i="73"/>
  <c r="V9" i="73"/>
  <c r="W8" i="73"/>
  <c r="W7" i="73"/>
  <c r="R106" i="72"/>
  <c r="D106" i="72"/>
  <c r="R105" i="72"/>
  <c r="Q105" i="72"/>
  <c r="R104" i="72"/>
  <c r="R103" i="72"/>
  <c r="R102" i="72"/>
  <c r="D102" i="72"/>
  <c r="R101" i="72"/>
  <c r="Q101" i="72"/>
  <c r="R100" i="72"/>
  <c r="R99" i="72"/>
  <c r="R98" i="72"/>
  <c r="D98" i="72"/>
  <c r="R97" i="72"/>
  <c r="Q97" i="72"/>
  <c r="R96" i="72"/>
  <c r="R95" i="72"/>
  <c r="R94" i="72"/>
  <c r="D94" i="72"/>
  <c r="R93" i="72"/>
  <c r="Q93" i="72"/>
  <c r="R92" i="72"/>
  <c r="R91" i="72"/>
  <c r="R90" i="72"/>
  <c r="D90" i="72"/>
  <c r="R89" i="72"/>
  <c r="Q89" i="72"/>
  <c r="R88" i="72"/>
  <c r="R87" i="72"/>
  <c r="R86" i="72"/>
  <c r="D86" i="72"/>
  <c r="R85" i="72"/>
  <c r="Q85" i="72"/>
  <c r="R84" i="72"/>
  <c r="R83" i="72"/>
  <c r="R82" i="72"/>
  <c r="D82" i="72"/>
  <c r="R81" i="72"/>
  <c r="Q81" i="72"/>
  <c r="R80" i="72"/>
  <c r="R79" i="72"/>
  <c r="R78" i="72"/>
  <c r="D78" i="72"/>
  <c r="R77" i="72"/>
  <c r="Q77" i="72"/>
  <c r="R76" i="72"/>
  <c r="R75" i="72"/>
  <c r="R74" i="72"/>
  <c r="D74" i="72"/>
  <c r="R73" i="72"/>
  <c r="Q73" i="72"/>
  <c r="R72" i="72"/>
  <c r="R71" i="72"/>
  <c r="R70" i="72"/>
  <c r="D70" i="72"/>
  <c r="R69" i="72"/>
  <c r="Q69" i="72"/>
  <c r="R68" i="72"/>
  <c r="R67" i="72"/>
  <c r="R66" i="72"/>
  <c r="D66" i="72"/>
  <c r="R65" i="72"/>
  <c r="Q65" i="72"/>
  <c r="R64" i="72"/>
  <c r="R63" i="72"/>
  <c r="R62" i="72"/>
  <c r="D62" i="72"/>
  <c r="R61" i="72"/>
  <c r="Q61" i="72"/>
  <c r="R60" i="72"/>
  <c r="R59" i="72"/>
  <c r="R58" i="72"/>
  <c r="D58" i="72"/>
  <c r="R57" i="72"/>
  <c r="Q57" i="72"/>
  <c r="R56" i="72"/>
  <c r="R55" i="72"/>
  <c r="R54" i="72"/>
  <c r="D54" i="72"/>
  <c r="R53" i="72"/>
  <c r="Q53" i="72"/>
  <c r="R52" i="72"/>
  <c r="R51" i="72"/>
  <c r="R50" i="72"/>
  <c r="D50" i="72"/>
  <c r="R49" i="72"/>
  <c r="Q49" i="72"/>
  <c r="R48" i="72"/>
  <c r="R47" i="72"/>
  <c r="R46" i="72"/>
  <c r="D46" i="72"/>
  <c r="R45" i="72"/>
  <c r="Q45" i="72"/>
  <c r="R44" i="72"/>
  <c r="R43" i="72"/>
  <c r="R42" i="72"/>
  <c r="D42" i="72"/>
  <c r="R41" i="72"/>
  <c r="Q41" i="72"/>
  <c r="R40" i="72"/>
  <c r="R39" i="72"/>
  <c r="R38" i="72"/>
  <c r="D38" i="72"/>
  <c r="R37" i="72"/>
  <c r="Q37" i="72"/>
  <c r="R36" i="72"/>
  <c r="R35" i="72"/>
  <c r="R34" i="72"/>
  <c r="D34" i="72"/>
  <c r="R33" i="72"/>
  <c r="Q33" i="72"/>
  <c r="R32" i="72"/>
  <c r="R31" i="72"/>
  <c r="R30" i="72"/>
  <c r="D30" i="72"/>
  <c r="R29" i="72"/>
  <c r="Q29" i="72"/>
  <c r="R28" i="72"/>
  <c r="R27" i="72"/>
  <c r="R26" i="72"/>
  <c r="D26" i="72"/>
  <c r="R25" i="72"/>
  <c r="Q25" i="72"/>
  <c r="R24" i="72"/>
  <c r="R23" i="72"/>
  <c r="R22" i="72"/>
  <c r="D22" i="72"/>
  <c r="R21" i="72"/>
  <c r="Q21" i="72"/>
  <c r="R20" i="72"/>
  <c r="R19" i="72"/>
  <c r="R18" i="72"/>
  <c r="D18" i="72"/>
  <c r="R17" i="72"/>
  <c r="Q17" i="72"/>
  <c r="R16" i="72"/>
  <c r="R15" i="72"/>
  <c r="R14" i="72"/>
  <c r="D14" i="72"/>
  <c r="R13" i="72"/>
  <c r="Q13" i="72"/>
  <c r="R12" i="72"/>
  <c r="R11" i="72"/>
  <c r="R10" i="72"/>
  <c r="D10" i="72"/>
  <c r="R9" i="72"/>
  <c r="Q9" i="72"/>
  <c r="R8" i="72"/>
  <c r="R7" i="72"/>
  <c r="R115" i="71"/>
  <c r="D115" i="71"/>
  <c r="R114" i="71"/>
  <c r="Q114" i="71"/>
  <c r="R113" i="71"/>
  <c r="R112" i="71"/>
  <c r="R111" i="71"/>
  <c r="D111" i="71"/>
  <c r="R110" i="71"/>
  <c r="Q110" i="71"/>
  <c r="R109" i="71"/>
  <c r="R108" i="71"/>
  <c r="R107" i="71"/>
  <c r="D107" i="71"/>
  <c r="R106" i="71"/>
  <c r="Q106" i="71"/>
  <c r="R105" i="71"/>
  <c r="R104" i="71"/>
  <c r="R103" i="71"/>
  <c r="D103" i="71"/>
  <c r="R102" i="71"/>
  <c r="Q102" i="71"/>
  <c r="R101" i="71"/>
  <c r="R100" i="71"/>
  <c r="R99" i="71"/>
  <c r="D99" i="71"/>
  <c r="R98" i="71"/>
  <c r="Q98" i="71"/>
  <c r="R97" i="71"/>
  <c r="R96" i="71"/>
  <c r="R95" i="71"/>
  <c r="D95" i="71"/>
  <c r="R94" i="71"/>
  <c r="Q94" i="71"/>
  <c r="R93" i="71"/>
  <c r="R92" i="71"/>
  <c r="R91" i="71"/>
  <c r="D91" i="71"/>
  <c r="R90" i="71"/>
  <c r="Q90" i="71"/>
  <c r="R89" i="71"/>
  <c r="R88" i="71"/>
  <c r="R87" i="71"/>
  <c r="D87" i="71"/>
  <c r="R86" i="71"/>
  <c r="Q86" i="71"/>
  <c r="R85" i="71"/>
  <c r="R84" i="71"/>
  <c r="R83" i="71"/>
  <c r="D83" i="71"/>
  <c r="R82" i="71"/>
  <c r="Q82" i="71"/>
  <c r="R81" i="71"/>
  <c r="R80" i="71"/>
  <c r="R79" i="71"/>
  <c r="D79" i="71"/>
  <c r="R78" i="71"/>
  <c r="Q78" i="71"/>
  <c r="R77" i="71"/>
  <c r="R76" i="71"/>
  <c r="R75" i="71"/>
  <c r="D75" i="71"/>
  <c r="R74" i="71"/>
  <c r="Q74" i="71"/>
  <c r="R73" i="71"/>
  <c r="R72" i="71"/>
  <c r="R71" i="71"/>
  <c r="D71" i="71"/>
  <c r="R70" i="71"/>
  <c r="Q70" i="71"/>
  <c r="R69" i="71"/>
  <c r="R68" i="71"/>
  <c r="R67" i="71"/>
  <c r="D67" i="71"/>
  <c r="R66" i="71"/>
  <c r="Q66" i="71"/>
  <c r="R65" i="71"/>
  <c r="R64" i="71"/>
  <c r="R63" i="71"/>
  <c r="D63" i="71"/>
  <c r="R62" i="71"/>
  <c r="Q62" i="71"/>
  <c r="R61" i="71"/>
  <c r="R60" i="71"/>
  <c r="R59" i="71"/>
  <c r="D59" i="71"/>
  <c r="R58" i="71"/>
  <c r="Q58" i="71"/>
  <c r="R57" i="71"/>
  <c r="R56" i="71"/>
  <c r="R55" i="71"/>
  <c r="D55" i="71"/>
  <c r="R54" i="71"/>
  <c r="Q54" i="71"/>
  <c r="R53" i="71"/>
  <c r="R52" i="71"/>
  <c r="R51" i="71"/>
  <c r="D51" i="71"/>
  <c r="R50" i="71"/>
  <c r="Q50" i="71"/>
  <c r="R49" i="71"/>
  <c r="R48" i="71"/>
  <c r="R42" i="71"/>
  <c r="D42" i="71"/>
  <c r="R41" i="71"/>
  <c r="Q41" i="71"/>
  <c r="R40" i="71"/>
  <c r="R39" i="71"/>
  <c r="R38" i="71"/>
  <c r="D38" i="71"/>
  <c r="R37" i="71"/>
  <c r="Q37" i="71"/>
  <c r="R36" i="71"/>
  <c r="R35" i="71"/>
  <c r="R34" i="71"/>
  <c r="D34" i="71"/>
  <c r="R33" i="71"/>
  <c r="Q33" i="71"/>
  <c r="R32" i="71"/>
  <c r="R31" i="71"/>
  <c r="R30" i="71"/>
  <c r="D30" i="71"/>
  <c r="R29" i="71"/>
  <c r="Q29" i="71"/>
  <c r="R28" i="71"/>
  <c r="R27" i="71"/>
  <c r="R26" i="71"/>
  <c r="D26" i="71"/>
  <c r="R25" i="71"/>
  <c r="Q25" i="71"/>
  <c r="R24" i="71"/>
  <c r="R23" i="71"/>
  <c r="R22" i="71"/>
  <c r="D22" i="71"/>
  <c r="R21" i="71"/>
  <c r="Q21" i="71"/>
  <c r="R20" i="71"/>
  <c r="R19" i="71"/>
  <c r="R18" i="71"/>
  <c r="D18" i="71"/>
  <c r="R17" i="71"/>
  <c r="Q17" i="71"/>
  <c r="R16" i="71"/>
  <c r="R15" i="71"/>
  <c r="R14" i="71"/>
  <c r="D14" i="71"/>
  <c r="R13" i="71"/>
  <c r="Q13" i="71"/>
  <c r="R12" i="71"/>
  <c r="R11" i="71"/>
  <c r="R10" i="71"/>
  <c r="D10" i="71"/>
  <c r="R9" i="71"/>
  <c r="Q9" i="71"/>
  <c r="R8" i="71"/>
  <c r="R7" i="71"/>
  <c r="O170" i="70"/>
  <c r="D170" i="70"/>
  <c r="O169" i="70"/>
  <c r="N169" i="70"/>
  <c r="O168" i="70"/>
  <c r="O167" i="70"/>
  <c r="O166" i="70"/>
  <c r="D166" i="70"/>
  <c r="O165" i="70"/>
  <c r="N165" i="70"/>
  <c r="O164" i="70"/>
  <c r="O163" i="70"/>
  <c r="O162" i="70"/>
  <c r="D162" i="70"/>
  <c r="O161" i="70"/>
  <c r="N161" i="70"/>
  <c r="O160" i="70"/>
  <c r="O159" i="70"/>
  <c r="O158" i="70"/>
  <c r="D158" i="70"/>
  <c r="O157" i="70"/>
  <c r="N157" i="70"/>
  <c r="O156" i="70"/>
  <c r="O155" i="70"/>
  <c r="O154" i="70"/>
  <c r="D154" i="70"/>
  <c r="O153" i="70"/>
  <c r="N153" i="70"/>
  <c r="O152" i="70"/>
  <c r="O151" i="70"/>
  <c r="O150" i="70"/>
  <c r="D150" i="70"/>
  <c r="O149" i="70"/>
  <c r="N149" i="70"/>
  <c r="O148" i="70"/>
  <c r="O147" i="70"/>
  <c r="O146" i="70"/>
  <c r="D146" i="70"/>
  <c r="O145" i="70"/>
  <c r="N145" i="70"/>
  <c r="O144" i="70"/>
  <c r="O143" i="70"/>
  <c r="O142" i="70"/>
  <c r="D142" i="70"/>
  <c r="O141" i="70"/>
  <c r="N141" i="70"/>
  <c r="O140" i="70"/>
  <c r="O139" i="70"/>
  <c r="O138" i="70"/>
  <c r="D138" i="70"/>
  <c r="O137" i="70"/>
  <c r="N137" i="70"/>
  <c r="O136" i="70"/>
  <c r="O135" i="70"/>
  <c r="O134" i="70"/>
  <c r="D134" i="70"/>
  <c r="O133" i="70"/>
  <c r="N133" i="70"/>
  <c r="O132" i="70"/>
  <c r="O131" i="70"/>
  <c r="O130" i="70"/>
  <c r="D130" i="70"/>
  <c r="O129" i="70"/>
  <c r="N129" i="70"/>
  <c r="O128" i="70"/>
  <c r="O127" i="70"/>
  <c r="O126" i="70"/>
  <c r="D126" i="70"/>
  <c r="O125" i="70"/>
  <c r="N125" i="70"/>
  <c r="O124" i="70"/>
  <c r="O123" i="70"/>
  <c r="O122" i="70"/>
  <c r="D122" i="70"/>
  <c r="O121" i="70"/>
  <c r="N121" i="70"/>
  <c r="O120" i="70"/>
  <c r="O119" i="70"/>
  <c r="O118" i="70"/>
  <c r="D118" i="70"/>
  <c r="O117" i="70"/>
  <c r="N117" i="70"/>
  <c r="O116" i="70"/>
  <c r="O115" i="70"/>
  <c r="O114" i="70"/>
  <c r="D114" i="70"/>
  <c r="O113" i="70"/>
  <c r="N113" i="70"/>
  <c r="O112" i="70"/>
  <c r="O111" i="70"/>
  <c r="O110" i="70"/>
  <c r="D110" i="70"/>
  <c r="O109" i="70"/>
  <c r="N109" i="70"/>
  <c r="O108" i="70"/>
  <c r="O107" i="70"/>
  <c r="O106" i="70"/>
  <c r="D106" i="70"/>
  <c r="O105" i="70"/>
  <c r="N105" i="70"/>
  <c r="O104" i="70"/>
  <c r="O103" i="70"/>
  <c r="O102" i="70"/>
  <c r="D102" i="70"/>
  <c r="O101" i="70"/>
  <c r="N101" i="70"/>
  <c r="O100" i="70"/>
  <c r="O99" i="70"/>
  <c r="O98" i="70"/>
  <c r="D98" i="70"/>
  <c r="O97" i="70"/>
  <c r="N97" i="70"/>
  <c r="O96" i="70"/>
  <c r="O95" i="70"/>
  <c r="O94" i="70"/>
  <c r="D94" i="70"/>
  <c r="O93" i="70"/>
  <c r="N93" i="70"/>
  <c r="O92" i="70"/>
  <c r="O91" i="70"/>
  <c r="O90" i="70"/>
  <c r="D90" i="70"/>
  <c r="O89" i="70"/>
  <c r="N89" i="70"/>
  <c r="O88" i="70"/>
  <c r="O87" i="70"/>
  <c r="O86" i="70"/>
  <c r="D86" i="70"/>
  <c r="O85" i="70"/>
  <c r="N85" i="70"/>
  <c r="O84" i="70"/>
  <c r="O83" i="70"/>
  <c r="O82" i="70"/>
  <c r="D82" i="70"/>
  <c r="O81" i="70"/>
  <c r="N81" i="70"/>
  <c r="O80" i="70"/>
  <c r="O79" i="70"/>
  <c r="O78" i="70"/>
  <c r="D78" i="70"/>
  <c r="O77" i="70"/>
  <c r="N77" i="70"/>
  <c r="O76" i="70"/>
  <c r="O75" i="70"/>
  <c r="O74" i="70"/>
  <c r="D74" i="70"/>
  <c r="O73" i="70"/>
  <c r="N73" i="70"/>
  <c r="O72" i="70"/>
  <c r="O71" i="70"/>
  <c r="O70" i="70"/>
  <c r="D70" i="70"/>
  <c r="O69" i="70"/>
  <c r="N69" i="70"/>
  <c r="O68" i="70"/>
  <c r="O67" i="70"/>
  <c r="O66" i="70"/>
  <c r="D66" i="70"/>
  <c r="O65" i="70"/>
  <c r="N65" i="70"/>
  <c r="O64" i="70"/>
  <c r="O63" i="70"/>
  <c r="O62" i="70"/>
  <c r="D62" i="70"/>
  <c r="O61" i="70"/>
  <c r="N61" i="70"/>
  <c r="O60" i="70"/>
  <c r="O59" i="70"/>
  <c r="O58" i="70"/>
  <c r="D58" i="70"/>
  <c r="O57" i="70"/>
  <c r="N57" i="70"/>
  <c r="O56" i="70"/>
  <c r="O55" i="70"/>
  <c r="O54" i="70"/>
  <c r="D54" i="70"/>
  <c r="O53" i="70"/>
  <c r="N53" i="70"/>
  <c r="O52" i="70"/>
  <c r="O51" i="70"/>
  <c r="O50" i="70"/>
  <c r="D50" i="70"/>
  <c r="O49" i="70"/>
  <c r="N49" i="70"/>
  <c r="O48" i="70"/>
  <c r="O47" i="70"/>
  <c r="O46" i="70"/>
  <c r="D46" i="70"/>
  <c r="O45" i="70"/>
  <c r="N45" i="70"/>
  <c r="O44" i="70"/>
  <c r="O43" i="70"/>
  <c r="O42" i="70"/>
  <c r="D42" i="70"/>
  <c r="O41" i="70"/>
  <c r="N41" i="70"/>
  <c r="O40" i="70"/>
  <c r="O39" i="70"/>
  <c r="O38" i="70"/>
  <c r="D38" i="70"/>
  <c r="O37" i="70"/>
  <c r="N37" i="70"/>
  <c r="O36" i="70"/>
  <c r="O35" i="70"/>
  <c r="O34" i="70"/>
  <c r="D34" i="70"/>
  <c r="O33" i="70"/>
  <c r="N33" i="70"/>
  <c r="O32" i="70"/>
  <c r="O31" i="70"/>
  <c r="O30" i="70"/>
  <c r="D30" i="70"/>
  <c r="O29" i="70"/>
  <c r="N29" i="70"/>
  <c r="O28" i="70"/>
  <c r="O27" i="70"/>
  <c r="O26" i="70"/>
  <c r="D26" i="70"/>
  <c r="O25" i="70"/>
  <c r="N25" i="70"/>
  <c r="O24" i="70"/>
  <c r="O23" i="70"/>
  <c r="O22" i="70"/>
  <c r="D22" i="70"/>
  <c r="O21" i="70"/>
  <c r="N21" i="70"/>
  <c r="O20" i="70"/>
  <c r="O19" i="70"/>
  <c r="O18" i="70"/>
  <c r="D18" i="70"/>
  <c r="O17" i="70"/>
  <c r="N17" i="70"/>
  <c r="O16" i="70"/>
  <c r="O15" i="70"/>
  <c r="O14" i="70"/>
  <c r="D14" i="70"/>
  <c r="O13" i="70"/>
  <c r="N13" i="70"/>
  <c r="O12" i="70"/>
  <c r="O11" i="70"/>
  <c r="O10" i="70"/>
  <c r="D10" i="70"/>
  <c r="O9" i="70"/>
  <c r="N9" i="70"/>
  <c r="O8" i="70"/>
  <c r="O7" i="70"/>
  <c r="Q214" i="69"/>
  <c r="P214" i="69"/>
  <c r="Q213" i="69"/>
  <c r="Q212" i="69"/>
  <c r="Q211" i="69"/>
  <c r="Q210" i="69"/>
  <c r="D210" i="69"/>
  <c r="Q209" i="69"/>
  <c r="Q208" i="69"/>
  <c r="Q207" i="69"/>
  <c r="Q206" i="69"/>
  <c r="P206" i="69"/>
  <c r="Q205" i="69"/>
  <c r="Q204" i="69"/>
  <c r="Q203" i="69"/>
  <c r="Q202" i="69"/>
  <c r="D202" i="69"/>
  <c r="Q201" i="69"/>
  <c r="Q200" i="69"/>
  <c r="Q199" i="69"/>
  <c r="Q198" i="69"/>
  <c r="P198" i="69"/>
  <c r="Q197" i="69"/>
  <c r="Q196" i="69"/>
  <c r="Q195" i="69"/>
  <c r="Q194" i="69"/>
  <c r="D194" i="69"/>
  <c r="Q193" i="69"/>
  <c r="Q192" i="69"/>
  <c r="Q191" i="69"/>
  <c r="Q190" i="69"/>
  <c r="P190" i="69"/>
  <c r="Q189" i="69"/>
  <c r="Q188" i="69"/>
  <c r="Q187" i="69"/>
  <c r="Q186" i="69"/>
  <c r="D186" i="69"/>
  <c r="Q185" i="69"/>
  <c r="Q184" i="69"/>
  <c r="Q183" i="69"/>
  <c r="Q182" i="69"/>
  <c r="P182" i="69"/>
  <c r="Q181" i="69"/>
  <c r="Q180" i="69"/>
  <c r="Q179" i="69"/>
  <c r="Q178" i="69"/>
  <c r="D178" i="69"/>
  <c r="Q177" i="69"/>
  <c r="Q176" i="69"/>
  <c r="Q175" i="69"/>
  <c r="Q174" i="69"/>
  <c r="P174" i="69"/>
  <c r="Q173" i="69"/>
  <c r="Q172" i="69"/>
  <c r="Q171" i="69"/>
  <c r="Q170" i="69"/>
  <c r="D170" i="69"/>
  <c r="Q169" i="69"/>
  <c r="Q168" i="69"/>
  <c r="Q167" i="69"/>
  <c r="Q166" i="69"/>
  <c r="P166" i="69"/>
  <c r="Q165" i="69"/>
  <c r="Q164" i="69"/>
  <c r="Q163" i="69"/>
  <c r="Q162" i="69"/>
  <c r="D162" i="69"/>
  <c r="Q161" i="69"/>
  <c r="Q160" i="69"/>
  <c r="Q159" i="69"/>
  <c r="Q158" i="69"/>
  <c r="P158" i="69"/>
  <c r="Q157" i="69"/>
  <c r="Q156" i="69"/>
  <c r="Q155" i="69"/>
  <c r="Q154" i="69"/>
  <c r="D154" i="69"/>
  <c r="Q153" i="69"/>
  <c r="Q152" i="69"/>
  <c r="Q151" i="69"/>
  <c r="Q150" i="69"/>
  <c r="P150" i="69"/>
  <c r="Q149" i="69"/>
  <c r="Q148" i="69"/>
  <c r="Q147" i="69"/>
  <c r="Q146" i="69"/>
  <c r="D146" i="69"/>
  <c r="Q145" i="69"/>
  <c r="Q144" i="69"/>
  <c r="Q143" i="69"/>
  <c r="Q142" i="69"/>
  <c r="P142" i="69"/>
  <c r="Q141" i="69"/>
  <c r="Q140" i="69"/>
  <c r="Q139" i="69"/>
  <c r="Q138" i="69"/>
  <c r="D138" i="69"/>
  <c r="Q137" i="69"/>
  <c r="Q136" i="69"/>
  <c r="Q135" i="69"/>
  <c r="Q134" i="69"/>
  <c r="P134" i="69"/>
  <c r="Q133" i="69"/>
  <c r="Q132" i="69"/>
  <c r="Q131" i="69"/>
  <c r="Q130" i="69"/>
  <c r="D130" i="69"/>
  <c r="Q129" i="69"/>
  <c r="Q128" i="69"/>
  <c r="Q127" i="69"/>
  <c r="Q126" i="69"/>
  <c r="P126" i="69"/>
  <c r="Q125" i="69"/>
  <c r="Q124" i="69"/>
  <c r="Q123" i="69"/>
  <c r="Q122" i="69"/>
  <c r="D122" i="69"/>
  <c r="Q121" i="69"/>
  <c r="Q120" i="69"/>
  <c r="Q119" i="69"/>
  <c r="Q118" i="69"/>
  <c r="P118" i="69"/>
  <c r="Q117" i="69"/>
  <c r="Q116" i="69"/>
  <c r="Q115" i="69"/>
  <c r="Q114" i="69"/>
  <c r="D114" i="69"/>
  <c r="Q113" i="69"/>
  <c r="Q112" i="69"/>
  <c r="Q111" i="69"/>
  <c r="Q110" i="69"/>
  <c r="P110" i="69"/>
  <c r="Q109" i="69"/>
  <c r="Q108" i="69"/>
  <c r="Q107" i="69"/>
  <c r="Q106" i="69"/>
  <c r="D106" i="69"/>
  <c r="Q105" i="69"/>
  <c r="Q104" i="69"/>
  <c r="Q103" i="69"/>
  <c r="Q102" i="69"/>
  <c r="P102" i="69"/>
  <c r="Q101" i="69"/>
  <c r="Q100" i="69"/>
  <c r="Q99" i="69"/>
  <c r="Q98" i="69"/>
  <c r="D98" i="69"/>
  <c r="Q97" i="69"/>
  <c r="Q96" i="69"/>
  <c r="Q95" i="69"/>
  <c r="Q94" i="69"/>
  <c r="P94" i="69"/>
  <c r="Q93" i="69"/>
  <c r="Q92" i="69"/>
  <c r="Q91" i="69"/>
  <c r="Q90" i="69"/>
  <c r="D90" i="69"/>
  <c r="Q89" i="69"/>
  <c r="Q88" i="69"/>
  <c r="Q87" i="69"/>
  <c r="Q86" i="69"/>
  <c r="P86" i="69"/>
  <c r="Q85" i="69"/>
  <c r="Q84" i="69"/>
  <c r="Q83" i="69"/>
  <c r="Q82" i="69"/>
  <c r="D82" i="69"/>
  <c r="Q81" i="69"/>
  <c r="Q80" i="69"/>
  <c r="Q79" i="69"/>
  <c r="Q78" i="69"/>
  <c r="P78" i="69"/>
  <c r="Q77" i="69"/>
  <c r="Q76" i="69"/>
  <c r="Q75" i="69"/>
  <c r="Q74" i="69"/>
  <c r="D74" i="69"/>
  <c r="Q73" i="69"/>
  <c r="Q72" i="69"/>
  <c r="Q71" i="69"/>
  <c r="Q70" i="69"/>
  <c r="P70" i="69"/>
  <c r="Q69" i="69"/>
  <c r="Q68" i="69"/>
  <c r="Q67" i="69"/>
  <c r="Q66" i="69"/>
  <c r="D66" i="69"/>
  <c r="Q65" i="69"/>
  <c r="Q64" i="69"/>
  <c r="Q63" i="69"/>
  <c r="Q62" i="69"/>
  <c r="P62" i="69"/>
  <c r="Q61" i="69"/>
  <c r="Q60" i="69"/>
  <c r="Q59" i="69"/>
  <c r="Q58" i="69"/>
  <c r="D58" i="69"/>
  <c r="Q57" i="69"/>
  <c r="Q56" i="69"/>
  <c r="Q55" i="69"/>
  <c r="Q54" i="69"/>
  <c r="P54" i="69"/>
  <c r="Q53" i="69"/>
  <c r="Q52" i="69"/>
  <c r="Q51" i="69"/>
  <c r="Q50" i="69"/>
  <c r="D50" i="69"/>
  <c r="Q49" i="69"/>
  <c r="Q48" i="69"/>
  <c r="Q47" i="69"/>
  <c r="Q46" i="69"/>
  <c r="P46" i="69"/>
  <c r="Q45" i="69"/>
  <c r="Q44" i="69"/>
  <c r="Q43" i="69"/>
  <c r="Q42" i="69"/>
  <c r="D42" i="69"/>
  <c r="Q41" i="69"/>
  <c r="Q40" i="69"/>
  <c r="Q39" i="69"/>
  <c r="Q38" i="69"/>
  <c r="P38" i="69"/>
  <c r="Q37" i="69"/>
  <c r="Q36" i="69"/>
  <c r="Q35" i="69"/>
  <c r="Q34" i="69"/>
  <c r="D34" i="69"/>
  <c r="Q33" i="69"/>
  <c r="Q32" i="69"/>
  <c r="Q31" i="69"/>
  <c r="Q30" i="69"/>
  <c r="P30" i="69"/>
  <c r="Q29" i="69"/>
  <c r="Q28" i="69"/>
  <c r="Q27" i="69"/>
  <c r="Q26" i="69"/>
  <c r="D26" i="69"/>
  <c r="Q25" i="69"/>
  <c r="Q24" i="69"/>
  <c r="Q23" i="69"/>
  <c r="Q22" i="69"/>
  <c r="P22" i="69"/>
  <c r="Q21" i="69"/>
  <c r="Q20" i="69"/>
  <c r="Q19" i="69"/>
  <c r="Q18" i="69"/>
  <c r="D18" i="69"/>
  <c r="Q17" i="69"/>
  <c r="Q16" i="69"/>
  <c r="Q15" i="69"/>
  <c r="Q14" i="69"/>
  <c r="P14" i="69"/>
  <c r="Q13" i="69"/>
  <c r="Q12" i="69"/>
  <c r="Q11" i="69"/>
  <c r="Q10" i="69"/>
  <c r="D10" i="69"/>
  <c r="Q9" i="69"/>
  <c r="Q8" i="69"/>
  <c r="Q7" i="69"/>
  <c r="Q235" i="68"/>
  <c r="P235" i="68"/>
  <c r="Q234" i="68"/>
  <c r="Q233" i="68"/>
  <c r="Q232" i="68"/>
  <c r="Q231" i="68"/>
  <c r="D231" i="68"/>
  <c r="Q230" i="68"/>
  <c r="Q229" i="68"/>
  <c r="Q228" i="68"/>
  <c r="Q227" i="68"/>
  <c r="P227" i="68"/>
  <c r="Q226" i="68"/>
  <c r="Q225" i="68"/>
  <c r="Q224" i="68"/>
  <c r="Q223" i="68"/>
  <c r="D223" i="68"/>
  <c r="Q222" i="68"/>
  <c r="Q221" i="68"/>
  <c r="Q220" i="68"/>
  <c r="Q219" i="68"/>
  <c r="P219" i="68"/>
  <c r="Q218" i="68"/>
  <c r="Q217" i="68"/>
  <c r="Q216" i="68"/>
  <c r="Q215" i="68"/>
  <c r="D215" i="68"/>
  <c r="Q214" i="68"/>
  <c r="Q213" i="68"/>
  <c r="Q212" i="68"/>
  <c r="Q211" i="68"/>
  <c r="P211" i="68"/>
  <c r="Q210" i="68"/>
  <c r="Q209" i="68"/>
  <c r="Q208" i="68"/>
  <c r="Q207" i="68"/>
  <c r="D207" i="68"/>
  <c r="Q206" i="68"/>
  <c r="Q205" i="68"/>
  <c r="Q204" i="68"/>
  <c r="Q203" i="68"/>
  <c r="P203" i="68"/>
  <c r="Q202" i="68"/>
  <c r="Q201" i="68"/>
  <c r="Q200" i="68"/>
  <c r="Q199" i="68"/>
  <c r="D199" i="68"/>
  <c r="Q198" i="68"/>
  <c r="Q197" i="68"/>
  <c r="Q196" i="68"/>
  <c r="Q195" i="68"/>
  <c r="P195" i="68"/>
  <c r="Q194" i="68"/>
  <c r="Q193" i="68"/>
  <c r="Q192" i="68"/>
  <c r="Q191" i="68"/>
  <c r="D191" i="68"/>
  <c r="Q190" i="68"/>
  <c r="Q189" i="68"/>
  <c r="Q188" i="68"/>
  <c r="Q187" i="68"/>
  <c r="P187" i="68"/>
  <c r="Q186" i="68"/>
  <c r="Q185" i="68"/>
  <c r="Q184" i="68"/>
  <c r="Q183" i="68"/>
  <c r="D183" i="68"/>
  <c r="Q182" i="68"/>
  <c r="Q181" i="68"/>
  <c r="Q180" i="68"/>
  <c r="Q179" i="68"/>
  <c r="P179" i="68"/>
  <c r="Q178" i="68"/>
  <c r="Q177" i="68"/>
  <c r="Q176" i="68"/>
  <c r="Q175" i="68"/>
  <c r="D175" i="68"/>
  <c r="Q174" i="68"/>
  <c r="Q173" i="68"/>
  <c r="Q172" i="68"/>
  <c r="Q171" i="68"/>
  <c r="P171" i="68"/>
  <c r="Q170" i="68"/>
  <c r="Q169" i="68"/>
  <c r="Q168" i="68"/>
  <c r="Q167" i="68"/>
  <c r="D167" i="68"/>
  <c r="Q166" i="68"/>
  <c r="Q165" i="68"/>
  <c r="Q164" i="68"/>
  <c r="Q163" i="68"/>
  <c r="P163" i="68"/>
  <c r="Q162" i="68"/>
  <c r="Q161" i="68"/>
  <c r="Q160" i="68"/>
  <c r="Q159" i="68"/>
  <c r="D159" i="68"/>
  <c r="Q158" i="68"/>
  <c r="Q157" i="68"/>
  <c r="Q156" i="68"/>
  <c r="Q155" i="68"/>
  <c r="P155" i="68"/>
  <c r="Q154" i="68"/>
  <c r="Q153" i="68"/>
  <c r="Q152" i="68"/>
  <c r="Q151" i="68"/>
  <c r="D151" i="68"/>
  <c r="Q150" i="68"/>
  <c r="Q149" i="68"/>
  <c r="Q148" i="68"/>
  <c r="Q147" i="68"/>
  <c r="P147" i="68"/>
  <c r="Q146" i="68"/>
  <c r="Q145" i="68"/>
  <c r="Q144" i="68"/>
  <c r="Q143" i="68"/>
  <c r="D143" i="68"/>
  <c r="Q142" i="68"/>
  <c r="Q141" i="68"/>
  <c r="Q140" i="68"/>
  <c r="Q139" i="68"/>
  <c r="P139" i="68"/>
  <c r="Q138" i="68"/>
  <c r="Q137" i="68"/>
  <c r="Q136" i="68"/>
  <c r="Q135" i="68"/>
  <c r="D135" i="68"/>
  <c r="Q134" i="68"/>
  <c r="Q133" i="68"/>
  <c r="Q132" i="68"/>
  <c r="Q131" i="68"/>
  <c r="P131" i="68"/>
  <c r="Q130" i="68"/>
  <c r="Q129" i="68"/>
  <c r="Q128" i="68"/>
  <c r="Q127" i="68"/>
  <c r="D127" i="68"/>
  <c r="Q126" i="68"/>
  <c r="Q125" i="68"/>
  <c r="Q124" i="68"/>
  <c r="Q123" i="68"/>
  <c r="P123" i="68"/>
  <c r="Q122" i="68"/>
  <c r="Q121" i="68"/>
  <c r="Q120" i="68"/>
  <c r="Q119" i="68"/>
  <c r="D119" i="68"/>
  <c r="Q118" i="68"/>
  <c r="Q117" i="68"/>
  <c r="Q116" i="68"/>
  <c r="Q115" i="68"/>
  <c r="P115" i="68"/>
  <c r="Q114" i="68"/>
  <c r="Q113" i="68"/>
  <c r="Q112" i="68"/>
  <c r="Q111" i="68"/>
  <c r="D111" i="68"/>
  <c r="Q110" i="68"/>
  <c r="Q109" i="68"/>
  <c r="Q108" i="68"/>
  <c r="Q107" i="68"/>
  <c r="P107" i="68"/>
  <c r="Q106" i="68"/>
  <c r="Q105" i="68"/>
  <c r="Q104" i="68"/>
  <c r="Q103" i="68"/>
  <c r="D103" i="68"/>
  <c r="Q102" i="68"/>
  <c r="Q101" i="68"/>
  <c r="Q100" i="68"/>
  <c r="Q99" i="68"/>
  <c r="P99" i="68"/>
  <c r="Q98" i="68"/>
  <c r="Q97" i="68"/>
  <c r="Q96" i="68"/>
  <c r="Q95" i="68"/>
  <c r="D95" i="68"/>
  <c r="Q94" i="68"/>
  <c r="Q93" i="68"/>
  <c r="Q92" i="68"/>
  <c r="Q86" i="68"/>
  <c r="P86" i="68"/>
  <c r="Q85" i="68"/>
  <c r="Q84" i="68"/>
  <c r="Q83" i="68"/>
  <c r="Q82" i="68"/>
  <c r="D82" i="68"/>
  <c r="Q81" i="68"/>
  <c r="Q80" i="68"/>
  <c r="Q79" i="68"/>
  <c r="Q78" i="68"/>
  <c r="P78" i="68"/>
  <c r="Q77" i="68"/>
  <c r="Q76" i="68"/>
  <c r="Q75" i="68"/>
  <c r="Q74" i="68"/>
  <c r="D74" i="68"/>
  <c r="Q73" i="68"/>
  <c r="Q72" i="68"/>
  <c r="Q71" i="68"/>
  <c r="Q70" i="68"/>
  <c r="P70" i="68"/>
  <c r="Q69" i="68"/>
  <c r="Q68" i="68"/>
  <c r="Q67" i="68"/>
  <c r="Q66" i="68"/>
  <c r="D66" i="68"/>
  <c r="Q65" i="68"/>
  <c r="Q64" i="68"/>
  <c r="Q63" i="68"/>
  <c r="Q62" i="68"/>
  <c r="P62" i="68"/>
  <c r="Q61" i="68"/>
  <c r="Q60" i="68"/>
  <c r="Q59" i="68"/>
  <c r="Q58" i="68"/>
  <c r="D58" i="68"/>
  <c r="Q57" i="68"/>
  <c r="Q56" i="68"/>
  <c r="Q55" i="68"/>
  <c r="Q54" i="68"/>
  <c r="P54" i="68"/>
  <c r="Q53" i="68"/>
  <c r="Q52" i="68"/>
  <c r="Q51" i="68"/>
  <c r="Q50" i="68"/>
  <c r="D50" i="68"/>
  <c r="Q49" i="68"/>
  <c r="Q48" i="68"/>
  <c r="Q47" i="68"/>
  <c r="Q46" i="68"/>
  <c r="P46" i="68"/>
  <c r="Q45" i="68"/>
  <c r="Q44" i="68"/>
  <c r="Q43" i="68"/>
  <c r="Q42" i="68"/>
  <c r="D42" i="68"/>
  <c r="Q41" i="68"/>
  <c r="Q40" i="68"/>
  <c r="Q39" i="68"/>
  <c r="Q38" i="68"/>
  <c r="P38" i="68"/>
  <c r="Q37" i="68"/>
  <c r="Q36" i="68"/>
  <c r="Q35" i="68"/>
  <c r="Q34" i="68"/>
  <c r="D34" i="68"/>
  <c r="Q33" i="68"/>
  <c r="Q32" i="68"/>
  <c r="Q31" i="68"/>
  <c r="Q30" i="68"/>
  <c r="P30" i="68"/>
  <c r="Q29" i="68"/>
  <c r="Q28" i="68"/>
  <c r="Q27" i="68"/>
  <c r="Q26" i="68"/>
  <c r="D26" i="68"/>
  <c r="Q25" i="68"/>
  <c r="Q24" i="68"/>
  <c r="Q23" i="68"/>
  <c r="Q22" i="68"/>
  <c r="P22" i="68"/>
  <c r="Q21" i="68"/>
  <c r="Q20" i="68"/>
  <c r="Q19" i="68"/>
  <c r="Q18" i="68"/>
  <c r="D18" i="68"/>
  <c r="Q17" i="68"/>
  <c r="Q16" i="68"/>
  <c r="Q15" i="68"/>
  <c r="Q14" i="68"/>
  <c r="P14" i="68"/>
  <c r="Q13" i="68"/>
  <c r="Q12" i="68"/>
  <c r="Q11" i="68"/>
  <c r="Q10" i="68"/>
  <c r="D10" i="68"/>
  <c r="Q9" i="68"/>
  <c r="Q8" i="68"/>
  <c r="Q7" i="68"/>
  <c r="N342" i="67"/>
  <c r="M342" i="67"/>
  <c r="N341" i="67"/>
  <c r="N340" i="67"/>
  <c r="N339" i="67"/>
  <c r="N338" i="67"/>
  <c r="D338" i="67"/>
  <c r="N337" i="67"/>
  <c r="N336" i="67"/>
  <c r="N335" i="67"/>
  <c r="N334" i="67"/>
  <c r="M334" i="67"/>
  <c r="N333" i="67"/>
  <c r="N332" i="67"/>
  <c r="N331" i="67"/>
  <c r="N330" i="67"/>
  <c r="D330" i="67"/>
  <c r="N329" i="67"/>
  <c r="N328" i="67"/>
  <c r="N327" i="67"/>
  <c r="N326" i="67"/>
  <c r="M326" i="67"/>
  <c r="N325" i="67"/>
  <c r="N324" i="67"/>
  <c r="N323" i="67"/>
  <c r="N322" i="67"/>
  <c r="D322" i="67"/>
  <c r="N321" i="67"/>
  <c r="N320" i="67"/>
  <c r="N319" i="67"/>
  <c r="N318" i="67"/>
  <c r="M318" i="67"/>
  <c r="N317" i="67"/>
  <c r="N316" i="67"/>
  <c r="N315" i="67"/>
  <c r="N314" i="67"/>
  <c r="D314" i="67"/>
  <c r="N313" i="67"/>
  <c r="N312" i="67"/>
  <c r="N311" i="67"/>
  <c r="N310" i="67"/>
  <c r="M310" i="67"/>
  <c r="N309" i="67"/>
  <c r="N308" i="67"/>
  <c r="N307" i="67"/>
  <c r="N306" i="67"/>
  <c r="D306" i="67"/>
  <c r="N305" i="67"/>
  <c r="N304" i="67"/>
  <c r="N303" i="67"/>
  <c r="N302" i="67"/>
  <c r="M302" i="67"/>
  <c r="N301" i="67"/>
  <c r="N300" i="67"/>
  <c r="N299" i="67"/>
  <c r="N298" i="67"/>
  <c r="D298" i="67"/>
  <c r="N297" i="67"/>
  <c r="N296" i="67"/>
  <c r="N295" i="67"/>
  <c r="N294" i="67"/>
  <c r="M294" i="67"/>
  <c r="N293" i="67"/>
  <c r="N292" i="67"/>
  <c r="N291" i="67"/>
  <c r="N290" i="67"/>
  <c r="D290" i="67"/>
  <c r="N289" i="67"/>
  <c r="N288" i="67"/>
  <c r="N287" i="67"/>
  <c r="N286" i="67"/>
  <c r="M286" i="67"/>
  <c r="N285" i="67"/>
  <c r="N284" i="67"/>
  <c r="N283" i="67"/>
  <c r="N282" i="67"/>
  <c r="D282" i="67"/>
  <c r="N281" i="67"/>
  <c r="N280" i="67"/>
  <c r="N279" i="67"/>
  <c r="N278" i="67"/>
  <c r="M278" i="67"/>
  <c r="N277" i="67"/>
  <c r="N276" i="67"/>
  <c r="N275" i="67"/>
  <c r="N274" i="67"/>
  <c r="D274" i="67"/>
  <c r="N273" i="67"/>
  <c r="N272" i="67"/>
  <c r="N271" i="67"/>
  <c r="N270" i="67"/>
  <c r="M270" i="67"/>
  <c r="N269" i="67"/>
  <c r="N268" i="67"/>
  <c r="N267" i="67"/>
  <c r="N266" i="67"/>
  <c r="D266" i="67"/>
  <c r="N265" i="67"/>
  <c r="N264" i="67"/>
  <c r="N263" i="67"/>
  <c r="N262" i="67"/>
  <c r="M262" i="67"/>
  <c r="N261" i="67"/>
  <c r="N260" i="67"/>
  <c r="N259" i="67"/>
  <c r="N258" i="67"/>
  <c r="D258" i="67"/>
  <c r="N257" i="67"/>
  <c r="N256" i="67"/>
  <c r="N255" i="67"/>
  <c r="N254" i="67"/>
  <c r="M254" i="67"/>
  <c r="N253" i="67"/>
  <c r="N252" i="67"/>
  <c r="N251" i="67"/>
  <c r="N250" i="67"/>
  <c r="D250" i="67"/>
  <c r="N249" i="67"/>
  <c r="N248" i="67"/>
  <c r="N247" i="67"/>
  <c r="N246" i="67"/>
  <c r="M246" i="67"/>
  <c r="N245" i="67"/>
  <c r="N244" i="67"/>
  <c r="N243" i="67"/>
  <c r="N242" i="67"/>
  <c r="D242" i="67"/>
  <c r="N241" i="67"/>
  <c r="N240" i="67"/>
  <c r="N239" i="67"/>
  <c r="N238" i="67"/>
  <c r="M238" i="67"/>
  <c r="N237" i="67"/>
  <c r="N236" i="67"/>
  <c r="N235" i="67"/>
  <c r="N234" i="67"/>
  <c r="D234" i="67"/>
  <c r="N233" i="67"/>
  <c r="N232" i="67"/>
  <c r="N231" i="67"/>
  <c r="N230" i="67"/>
  <c r="M230" i="67"/>
  <c r="N229" i="67"/>
  <c r="N228" i="67"/>
  <c r="N227" i="67"/>
  <c r="N226" i="67"/>
  <c r="D226" i="67"/>
  <c r="N225" i="67"/>
  <c r="N224" i="67"/>
  <c r="N223" i="67"/>
  <c r="N222" i="67"/>
  <c r="M222" i="67"/>
  <c r="N221" i="67"/>
  <c r="N220" i="67"/>
  <c r="N219" i="67"/>
  <c r="N218" i="67"/>
  <c r="D218" i="67"/>
  <c r="N217" i="67"/>
  <c r="N216" i="67"/>
  <c r="N215" i="67"/>
  <c r="N214" i="67"/>
  <c r="M214" i="67"/>
  <c r="N213" i="67"/>
  <c r="N212" i="67"/>
  <c r="N211" i="67"/>
  <c r="N210" i="67"/>
  <c r="D210" i="67"/>
  <c r="N209" i="67"/>
  <c r="N208" i="67"/>
  <c r="N207" i="67"/>
  <c r="N206" i="67"/>
  <c r="M206" i="67"/>
  <c r="N205" i="67"/>
  <c r="N204" i="67"/>
  <c r="N203" i="67"/>
  <c r="N202" i="67"/>
  <c r="D202" i="67"/>
  <c r="N201" i="67"/>
  <c r="N200" i="67"/>
  <c r="N199" i="67"/>
  <c r="N198" i="67"/>
  <c r="M198" i="67"/>
  <c r="N197" i="67"/>
  <c r="N196" i="67"/>
  <c r="N195" i="67"/>
  <c r="N194" i="67"/>
  <c r="D194" i="67"/>
  <c r="N193" i="67"/>
  <c r="N192" i="67"/>
  <c r="N191" i="67"/>
  <c r="N190" i="67"/>
  <c r="M190" i="67"/>
  <c r="N189" i="67"/>
  <c r="N188" i="67"/>
  <c r="N187" i="67"/>
  <c r="N186" i="67"/>
  <c r="D186" i="67"/>
  <c r="N185" i="67"/>
  <c r="N184" i="67"/>
  <c r="N183" i="67"/>
  <c r="N182" i="67"/>
  <c r="M182" i="67"/>
  <c r="N181" i="67"/>
  <c r="N180" i="67"/>
  <c r="N179" i="67"/>
  <c r="N178" i="67"/>
  <c r="D178" i="67"/>
  <c r="N177" i="67"/>
  <c r="N176" i="67"/>
  <c r="N175" i="67"/>
  <c r="N174" i="67"/>
  <c r="M174" i="67"/>
  <c r="N173" i="67"/>
  <c r="N172" i="67"/>
  <c r="N171" i="67"/>
  <c r="N170" i="67"/>
  <c r="D170" i="67"/>
  <c r="N169" i="67"/>
  <c r="N168" i="67"/>
  <c r="N167" i="67"/>
  <c r="N166" i="67"/>
  <c r="M166" i="67"/>
  <c r="N165" i="67"/>
  <c r="N164" i="67"/>
  <c r="N163" i="67"/>
  <c r="N162" i="67"/>
  <c r="D162" i="67"/>
  <c r="N161" i="67"/>
  <c r="N160" i="67"/>
  <c r="N159" i="67"/>
  <c r="N158" i="67"/>
  <c r="M158" i="67"/>
  <c r="N157" i="67"/>
  <c r="N156" i="67"/>
  <c r="N155" i="67"/>
  <c r="N154" i="67"/>
  <c r="D154" i="67"/>
  <c r="N153" i="67"/>
  <c r="N152" i="67"/>
  <c r="N151" i="67"/>
  <c r="N150" i="67"/>
  <c r="M150" i="67"/>
  <c r="N149" i="67"/>
  <c r="N148" i="67"/>
  <c r="N147" i="67"/>
  <c r="N146" i="67"/>
  <c r="D146" i="67"/>
  <c r="N145" i="67"/>
  <c r="N144" i="67"/>
  <c r="N143" i="67"/>
  <c r="N142" i="67"/>
  <c r="M142" i="67"/>
  <c r="N141" i="67"/>
  <c r="N140" i="67"/>
  <c r="N139" i="67"/>
  <c r="N138" i="67"/>
  <c r="D138" i="67"/>
  <c r="N137" i="67"/>
  <c r="N136" i="67"/>
  <c r="N135" i="67"/>
  <c r="N134" i="67"/>
  <c r="M134" i="67"/>
  <c r="N133" i="67"/>
  <c r="N132" i="67"/>
  <c r="N131" i="67"/>
  <c r="N130" i="67"/>
  <c r="D130" i="67"/>
  <c r="N129" i="67"/>
  <c r="N128" i="67"/>
  <c r="N127" i="67"/>
  <c r="N126" i="67"/>
  <c r="M126" i="67"/>
  <c r="N125" i="67"/>
  <c r="N124" i="67"/>
  <c r="N123" i="67"/>
  <c r="N122" i="67"/>
  <c r="D122" i="67"/>
  <c r="N121" i="67"/>
  <c r="N120" i="67"/>
  <c r="N119" i="67"/>
  <c r="N118" i="67"/>
  <c r="M118" i="67"/>
  <c r="N117" i="67"/>
  <c r="N116" i="67"/>
  <c r="N115" i="67"/>
  <c r="N114" i="67"/>
  <c r="D114" i="67"/>
  <c r="N113" i="67"/>
  <c r="N112" i="67"/>
  <c r="N111" i="67"/>
  <c r="N110" i="67"/>
  <c r="M110" i="67"/>
  <c r="N109" i="67"/>
  <c r="N108" i="67"/>
  <c r="N107" i="67"/>
  <c r="N106" i="67"/>
  <c r="D106" i="67"/>
  <c r="N105" i="67"/>
  <c r="N104" i="67"/>
  <c r="N103" i="67"/>
  <c r="N102" i="67"/>
  <c r="M102" i="67"/>
  <c r="N101" i="67"/>
  <c r="N100" i="67"/>
  <c r="N99" i="67"/>
  <c r="N98" i="67"/>
  <c r="D98" i="67"/>
  <c r="N97" i="67"/>
  <c r="N96" i="67"/>
  <c r="N95" i="67"/>
  <c r="N94" i="67"/>
  <c r="M94" i="67"/>
  <c r="N93" i="67"/>
  <c r="N92" i="67"/>
  <c r="N91" i="67"/>
  <c r="N90" i="67"/>
  <c r="D90" i="67"/>
  <c r="N89" i="67"/>
  <c r="N88" i="67"/>
  <c r="N87" i="67"/>
  <c r="N86" i="67"/>
  <c r="M86" i="67"/>
  <c r="N85" i="67"/>
  <c r="N84" i="67"/>
  <c r="N83" i="67"/>
  <c r="N82" i="67"/>
  <c r="D82" i="67"/>
  <c r="N81" i="67"/>
  <c r="N80" i="67"/>
  <c r="N79" i="67"/>
  <c r="N78" i="67"/>
  <c r="M78" i="67"/>
  <c r="N77" i="67"/>
  <c r="N76" i="67"/>
  <c r="N75" i="67"/>
  <c r="N74" i="67"/>
  <c r="D74" i="67"/>
  <c r="N73" i="67"/>
  <c r="N72" i="67"/>
  <c r="N71" i="67"/>
  <c r="N70" i="67"/>
  <c r="M70" i="67"/>
  <c r="N69" i="67"/>
  <c r="N68" i="67"/>
  <c r="N67" i="67"/>
  <c r="N66" i="67"/>
  <c r="D66" i="67"/>
  <c r="N65" i="67"/>
  <c r="N64" i="67"/>
  <c r="N63" i="67"/>
  <c r="N62" i="67"/>
  <c r="M62" i="67"/>
  <c r="N61" i="67"/>
  <c r="N60" i="67"/>
  <c r="N59" i="67"/>
  <c r="N58" i="67"/>
  <c r="D58" i="67"/>
  <c r="N57" i="67"/>
  <c r="N56" i="67"/>
  <c r="N55" i="67"/>
  <c r="N54" i="67"/>
  <c r="M54" i="67"/>
  <c r="N53" i="67"/>
  <c r="N52" i="67"/>
  <c r="N51" i="67"/>
  <c r="N50" i="67"/>
  <c r="D50" i="67"/>
  <c r="N49" i="67"/>
  <c r="N48" i="67"/>
  <c r="N47" i="67"/>
  <c r="N46" i="67"/>
  <c r="M46" i="67"/>
  <c r="N45" i="67"/>
  <c r="N44" i="67"/>
  <c r="N43" i="67"/>
  <c r="N42" i="67"/>
  <c r="D42" i="67"/>
  <c r="N41" i="67"/>
  <c r="N40" i="67"/>
  <c r="N39" i="67"/>
  <c r="N38" i="67"/>
  <c r="M38" i="67"/>
  <c r="N37" i="67"/>
  <c r="N36" i="67"/>
  <c r="N35" i="67"/>
  <c r="N34" i="67"/>
  <c r="D34" i="67"/>
  <c r="N33" i="67"/>
  <c r="N32" i="67"/>
  <c r="N31" i="67"/>
  <c r="N30" i="67"/>
  <c r="M30" i="67"/>
  <c r="N29" i="67"/>
  <c r="N28" i="67"/>
  <c r="N27" i="67"/>
  <c r="N26" i="67"/>
  <c r="D26" i="67"/>
  <c r="N25" i="67"/>
  <c r="N24" i="67"/>
  <c r="N23" i="67"/>
  <c r="N22" i="67"/>
  <c r="M22" i="67"/>
  <c r="N21" i="67"/>
  <c r="N20" i="67"/>
  <c r="N19" i="67"/>
  <c r="N18" i="67"/>
  <c r="D18" i="67"/>
  <c r="N17" i="67"/>
  <c r="N16" i="67"/>
  <c r="N15" i="67"/>
  <c r="N14" i="67"/>
  <c r="M14" i="67"/>
  <c r="N13" i="67"/>
  <c r="N12" i="67"/>
  <c r="N11" i="67"/>
  <c r="N10" i="67"/>
  <c r="D10" i="67"/>
  <c r="N9" i="67"/>
  <c r="N8" i="67"/>
  <c r="N7" i="67"/>
  <c r="X86" i="66"/>
  <c r="W86" i="66"/>
  <c r="X85" i="66"/>
  <c r="X84" i="66"/>
  <c r="X83" i="66"/>
  <c r="X82" i="66"/>
  <c r="H82" i="66"/>
  <c r="F82" i="66"/>
  <c r="D82" i="66"/>
  <c r="X81" i="66"/>
  <c r="X80" i="66"/>
  <c r="X79" i="66"/>
  <c r="X78" i="66"/>
  <c r="W78" i="66"/>
  <c r="X77" i="66"/>
  <c r="X76" i="66"/>
  <c r="X75" i="66"/>
  <c r="X74" i="66"/>
  <c r="H74" i="66"/>
  <c r="F74" i="66"/>
  <c r="X73" i="66"/>
  <c r="X72" i="66"/>
  <c r="X71" i="66"/>
  <c r="X70" i="66"/>
  <c r="W70" i="66"/>
  <c r="X69" i="66"/>
  <c r="X68" i="66"/>
  <c r="X67" i="66"/>
  <c r="X66" i="66"/>
  <c r="H66" i="66"/>
  <c r="X65" i="66"/>
  <c r="X64" i="66"/>
  <c r="X63" i="66"/>
  <c r="X62" i="66"/>
  <c r="W62" i="66"/>
  <c r="X61" i="66"/>
  <c r="X60" i="66"/>
  <c r="X59" i="66"/>
  <c r="X58" i="66"/>
  <c r="H58" i="66"/>
  <c r="F58" i="66"/>
  <c r="D58" i="66"/>
  <c r="X57" i="66"/>
  <c r="X56" i="66"/>
  <c r="X55" i="66"/>
  <c r="X54" i="66"/>
  <c r="W54" i="66"/>
  <c r="X53" i="66"/>
  <c r="X52" i="66"/>
  <c r="X51" i="66"/>
  <c r="X50" i="66"/>
  <c r="H50" i="66"/>
  <c r="F50" i="66"/>
  <c r="X49" i="66"/>
  <c r="X48" i="66"/>
  <c r="X47" i="66"/>
  <c r="X46" i="66"/>
  <c r="W46" i="66"/>
  <c r="X45" i="66"/>
  <c r="X44" i="66"/>
  <c r="X43" i="66"/>
  <c r="X42" i="66"/>
  <c r="H42" i="66"/>
  <c r="X41" i="66"/>
  <c r="X40" i="66"/>
  <c r="X39" i="66"/>
  <c r="X38" i="66"/>
  <c r="W38" i="66"/>
  <c r="X37" i="66"/>
  <c r="X36" i="66"/>
  <c r="X35" i="66"/>
  <c r="X34" i="66"/>
  <c r="H34" i="66"/>
  <c r="F34" i="66"/>
  <c r="X33" i="66"/>
  <c r="X32" i="66"/>
  <c r="X31" i="66"/>
  <c r="X30" i="66"/>
  <c r="W30" i="66"/>
  <c r="X29" i="66"/>
  <c r="X28" i="66"/>
  <c r="X27" i="66"/>
  <c r="X26" i="66"/>
  <c r="H26" i="66"/>
  <c r="X25" i="66"/>
  <c r="X24" i="66"/>
  <c r="X23" i="66"/>
  <c r="X22" i="66"/>
  <c r="W22" i="66"/>
  <c r="X21" i="66"/>
  <c r="X20" i="66"/>
  <c r="X19" i="66"/>
  <c r="X18" i="66"/>
  <c r="H18" i="66"/>
  <c r="X17" i="66"/>
  <c r="X16" i="66"/>
  <c r="X15" i="66"/>
  <c r="X14" i="66"/>
  <c r="W14" i="66"/>
  <c r="X13" i="66"/>
  <c r="X12" i="66"/>
  <c r="X11" i="66"/>
  <c r="X10" i="66"/>
  <c r="H10" i="66"/>
  <c r="F10" i="66"/>
  <c r="D10" i="66"/>
  <c r="X9" i="66"/>
  <c r="X8" i="66"/>
  <c r="X7" i="66"/>
  <c r="S86" i="65"/>
  <c r="R86" i="65"/>
  <c r="S85" i="65"/>
  <c r="S84" i="65"/>
  <c r="S83" i="65"/>
  <c r="S82" i="65"/>
  <c r="F82" i="65"/>
  <c r="D82" i="65"/>
  <c r="S81" i="65"/>
  <c r="S80" i="65"/>
  <c r="S79" i="65"/>
  <c r="S78" i="65"/>
  <c r="R78" i="65"/>
  <c r="S77" i="65"/>
  <c r="S76" i="65"/>
  <c r="S75" i="65"/>
  <c r="S74" i="65"/>
  <c r="F74" i="65"/>
  <c r="S73" i="65"/>
  <c r="S72" i="65"/>
  <c r="S71" i="65"/>
  <c r="S70" i="65"/>
  <c r="R70" i="65"/>
  <c r="S69" i="65"/>
  <c r="S68" i="65"/>
  <c r="S67" i="65"/>
  <c r="S66" i="65"/>
  <c r="F66" i="65"/>
  <c r="D66" i="65"/>
  <c r="S65" i="65"/>
  <c r="S64" i="65"/>
  <c r="S63" i="65"/>
  <c r="S62" i="65"/>
  <c r="R62" i="65"/>
  <c r="S61" i="65"/>
  <c r="S60" i="65"/>
  <c r="S59" i="65"/>
  <c r="S58" i="65"/>
  <c r="F58" i="65"/>
  <c r="S57" i="65"/>
  <c r="S56" i="65"/>
  <c r="S55" i="65"/>
  <c r="S54" i="65"/>
  <c r="R54" i="65"/>
  <c r="S53" i="65"/>
  <c r="S52" i="65"/>
  <c r="S51" i="65"/>
  <c r="S50" i="65"/>
  <c r="F50" i="65"/>
  <c r="S49" i="65"/>
  <c r="S48" i="65"/>
  <c r="S47" i="65"/>
  <c r="S46" i="65"/>
  <c r="R46" i="65"/>
  <c r="S45" i="65"/>
  <c r="S44" i="65"/>
  <c r="S43" i="65"/>
  <c r="S42" i="65"/>
  <c r="F42" i="65"/>
  <c r="D42" i="65"/>
  <c r="S41" i="65"/>
  <c r="S40" i="65"/>
  <c r="S39" i="65"/>
  <c r="S38" i="65"/>
  <c r="R38" i="65"/>
  <c r="S37" i="65"/>
  <c r="S36" i="65"/>
  <c r="S35" i="65"/>
  <c r="S34" i="65"/>
  <c r="F34" i="65"/>
  <c r="S33" i="65"/>
  <c r="S32" i="65"/>
  <c r="S31" i="65"/>
  <c r="S30" i="65"/>
  <c r="R30" i="65"/>
  <c r="S29" i="65"/>
  <c r="S28" i="65"/>
  <c r="S27" i="65"/>
  <c r="S26" i="65"/>
  <c r="F26" i="65"/>
  <c r="S25" i="65"/>
  <c r="S24" i="65"/>
  <c r="S23" i="65"/>
  <c r="S22" i="65"/>
  <c r="R22" i="65"/>
  <c r="S21" i="65"/>
  <c r="S20" i="65"/>
  <c r="S19" i="65"/>
  <c r="S18" i="65"/>
  <c r="F18" i="65"/>
  <c r="S17" i="65"/>
  <c r="S16" i="65"/>
  <c r="S15" i="65"/>
  <c r="S14" i="65"/>
  <c r="R14" i="65"/>
  <c r="S13" i="65"/>
  <c r="S12" i="65"/>
  <c r="S11" i="65"/>
  <c r="S10" i="65"/>
  <c r="F10" i="65"/>
  <c r="D10" i="65"/>
  <c r="S9" i="65"/>
  <c r="S8" i="65"/>
  <c r="S7" i="65"/>
  <c r="X86" i="64"/>
  <c r="W86" i="64"/>
  <c r="X85" i="64"/>
  <c r="X84" i="64"/>
  <c r="X83" i="64"/>
  <c r="X82" i="64"/>
  <c r="H82" i="64"/>
  <c r="F82" i="64"/>
  <c r="D82" i="64"/>
  <c r="X81" i="64"/>
  <c r="X80" i="64"/>
  <c r="X79" i="64"/>
  <c r="X78" i="64"/>
  <c r="W78" i="64"/>
  <c r="X77" i="64"/>
  <c r="X76" i="64"/>
  <c r="X75" i="64"/>
  <c r="X74" i="64"/>
  <c r="H74" i="64"/>
  <c r="F74" i="64"/>
  <c r="X73" i="64"/>
  <c r="X72" i="64"/>
  <c r="X71" i="64"/>
  <c r="X70" i="64"/>
  <c r="W70" i="64"/>
  <c r="X69" i="64"/>
  <c r="X68" i="64"/>
  <c r="X67" i="64"/>
  <c r="X66" i="64"/>
  <c r="H66" i="64"/>
  <c r="X65" i="64"/>
  <c r="X64" i="64"/>
  <c r="X63" i="64"/>
  <c r="X62" i="64"/>
  <c r="W62" i="64"/>
  <c r="X61" i="64"/>
  <c r="X60" i="64"/>
  <c r="X59" i="64"/>
  <c r="X58" i="64"/>
  <c r="H58" i="64"/>
  <c r="F58" i="64"/>
  <c r="D58" i="64"/>
  <c r="X57" i="64"/>
  <c r="X56" i="64"/>
  <c r="X55" i="64"/>
  <c r="X54" i="64"/>
  <c r="W54" i="64"/>
  <c r="X53" i="64"/>
  <c r="X52" i="64"/>
  <c r="X51" i="64"/>
  <c r="X50" i="64"/>
  <c r="H50" i="64"/>
  <c r="F50" i="64"/>
  <c r="X49" i="64"/>
  <c r="X48" i="64"/>
  <c r="X47" i="64"/>
  <c r="X46" i="64"/>
  <c r="W46" i="64"/>
  <c r="X45" i="64"/>
  <c r="X44" i="64"/>
  <c r="X43" i="64"/>
  <c r="X42" i="64"/>
  <c r="H42" i="64"/>
  <c r="X41" i="64"/>
  <c r="X40" i="64"/>
  <c r="X39" i="64"/>
  <c r="X38" i="64"/>
  <c r="W38" i="64"/>
  <c r="X37" i="64"/>
  <c r="X36" i="64"/>
  <c r="X35" i="64"/>
  <c r="X34" i="64"/>
  <c r="H34" i="64"/>
  <c r="F34" i="64"/>
  <c r="X33" i="64"/>
  <c r="X32" i="64"/>
  <c r="X31" i="64"/>
  <c r="X30" i="64"/>
  <c r="W30" i="64"/>
  <c r="X29" i="64"/>
  <c r="X28" i="64"/>
  <c r="X27" i="64"/>
  <c r="X26" i="64"/>
  <c r="H26" i="64"/>
  <c r="X25" i="64"/>
  <c r="X24" i="64"/>
  <c r="X23" i="64"/>
  <c r="X22" i="64"/>
  <c r="W22" i="64"/>
  <c r="X21" i="64"/>
  <c r="X20" i="64"/>
  <c r="X19" i="64"/>
  <c r="X18" i="64"/>
  <c r="H18" i="64"/>
  <c r="X17" i="64"/>
  <c r="X16" i="64"/>
  <c r="X15" i="64"/>
  <c r="X14" i="64"/>
  <c r="W14" i="64"/>
  <c r="X13" i="64"/>
  <c r="X12" i="64"/>
  <c r="X11" i="64"/>
  <c r="X10" i="64"/>
  <c r="H10" i="64"/>
  <c r="F10" i="64"/>
  <c r="D10" i="64"/>
  <c r="X9" i="64"/>
  <c r="X8" i="64"/>
  <c r="X7" i="64"/>
  <c r="U86" i="63"/>
  <c r="T86" i="63"/>
  <c r="U85" i="63"/>
  <c r="U84" i="63"/>
  <c r="U83" i="63"/>
  <c r="U82" i="63"/>
  <c r="H82" i="63"/>
  <c r="U81" i="63"/>
  <c r="U80" i="63"/>
  <c r="U79" i="63"/>
  <c r="U78" i="63"/>
  <c r="T78" i="63"/>
  <c r="U77" i="63"/>
  <c r="U76" i="63"/>
  <c r="U75" i="63"/>
  <c r="U74" i="63"/>
  <c r="H74" i="63"/>
  <c r="U73" i="63"/>
  <c r="U72" i="63"/>
  <c r="U71" i="63"/>
  <c r="U70" i="63"/>
  <c r="T70" i="63"/>
  <c r="U69" i="63"/>
  <c r="U68" i="63"/>
  <c r="U67" i="63"/>
  <c r="U66" i="63"/>
  <c r="H66" i="63"/>
  <c r="U65" i="63"/>
  <c r="U64" i="63"/>
  <c r="U63" i="63"/>
  <c r="U62" i="63"/>
  <c r="T62" i="63"/>
  <c r="U61" i="63"/>
  <c r="U60" i="63"/>
  <c r="U59" i="63"/>
  <c r="U58" i="63"/>
  <c r="H58" i="63"/>
  <c r="U57" i="63"/>
  <c r="U56" i="63"/>
  <c r="U55" i="63"/>
  <c r="U54" i="63"/>
  <c r="T54" i="63"/>
  <c r="U53" i="63"/>
  <c r="U52" i="63"/>
  <c r="U51" i="63"/>
  <c r="U50" i="63"/>
  <c r="H50" i="63"/>
  <c r="U49" i="63"/>
  <c r="U48" i="63"/>
  <c r="U47" i="63"/>
  <c r="U46" i="63"/>
  <c r="T46" i="63"/>
  <c r="U45" i="63"/>
  <c r="U44" i="63"/>
  <c r="U43" i="63"/>
  <c r="U42" i="63"/>
  <c r="H42" i="63"/>
  <c r="U41" i="63"/>
  <c r="U40" i="63"/>
  <c r="U39" i="63"/>
  <c r="U38" i="63"/>
  <c r="T38" i="63"/>
  <c r="U37" i="63"/>
  <c r="U36" i="63"/>
  <c r="U35" i="63"/>
  <c r="U34" i="63"/>
  <c r="H34" i="63"/>
  <c r="U33" i="63"/>
  <c r="U32" i="63"/>
  <c r="U31" i="63"/>
  <c r="U30" i="63"/>
  <c r="T30" i="63"/>
  <c r="U29" i="63"/>
  <c r="U28" i="63"/>
  <c r="U27" i="63"/>
  <c r="U26" i="63"/>
  <c r="H26" i="63"/>
  <c r="U25" i="63"/>
  <c r="U24" i="63"/>
  <c r="U23" i="63"/>
  <c r="U22" i="63"/>
  <c r="T22" i="63"/>
  <c r="U21" i="63"/>
  <c r="U20" i="63"/>
  <c r="U19" i="63"/>
  <c r="U18" i="63"/>
  <c r="H18" i="63"/>
  <c r="U17" i="63"/>
  <c r="U16" i="63"/>
  <c r="U15" i="63"/>
  <c r="U14" i="63"/>
  <c r="T14" i="63"/>
  <c r="U13" i="63"/>
  <c r="U12" i="63"/>
  <c r="U11" i="63"/>
  <c r="U10" i="63"/>
  <c r="H10" i="63"/>
  <c r="U9" i="63"/>
  <c r="U8" i="63"/>
  <c r="U7" i="63"/>
  <c r="X86" i="62"/>
  <c r="W86" i="62"/>
  <c r="X85" i="62"/>
  <c r="X84" i="62"/>
  <c r="X83" i="62"/>
  <c r="X82" i="62"/>
  <c r="H82" i="62"/>
  <c r="E82" i="62"/>
  <c r="X81" i="62"/>
  <c r="X80" i="62"/>
  <c r="X79" i="62"/>
  <c r="X78" i="62"/>
  <c r="W78" i="62"/>
  <c r="X77" i="62"/>
  <c r="X76" i="62"/>
  <c r="X75" i="62"/>
  <c r="X74" i="62"/>
  <c r="H74" i="62"/>
  <c r="X73" i="62"/>
  <c r="X72" i="62"/>
  <c r="X71" i="62"/>
  <c r="X70" i="62"/>
  <c r="W70" i="62"/>
  <c r="X69" i="62"/>
  <c r="X68" i="62"/>
  <c r="X67" i="62"/>
  <c r="X66" i="62"/>
  <c r="H66" i="62"/>
  <c r="E66" i="62"/>
  <c r="X65" i="62"/>
  <c r="X64" i="62"/>
  <c r="X63" i="62"/>
  <c r="X62" i="62"/>
  <c r="W62" i="62"/>
  <c r="X61" i="62"/>
  <c r="X60" i="62"/>
  <c r="X59" i="62"/>
  <c r="X58" i="62"/>
  <c r="H58" i="62"/>
  <c r="X57" i="62"/>
  <c r="X56" i="62"/>
  <c r="X55" i="62"/>
  <c r="X54" i="62"/>
  <c r="W54" i="62"/>
  <c r="X53" i="62"/>
  <c r="X52" i="62"/>
  <c r="X51" i="62"/>
  <c r="X50" i="62"/>
  <c r="H50" i="62"/>
  <c r="X49" i="62"/>
  <c r="X48" i="62"/>
  <c r="X47" i="62"/>
  <c r="X46" i="62"/>
  <c r="W46" i="62"/>
  <c r="X45" i="62"/>
  <c r="X44" i="62"/>
  <c r="X43" i="62"/>
  <c r="X42" i="62"/>
  <c r="H42" i="62"/>
  <c r="E42" i="62"/>
  <c r="X41" i="62"/>
  <c r="X40" i="62"/>
  <c r="X39" i="62"/>
  <c r="X38" i="62"/>
  <c r="W38" i="62"/>
  <c r="X37" i="62"/>
  <c r="X36" i="62"/>
  <c r="X35" i="62"/>
  <c r="X34" i="62"/>
  <c r="H34" i="62"/>
  <c r="X33" i="62"/>
  <c r="X32" i="62"/>
  <c r="X31" i="62"/>
  <c r="X30" i="62"/>
  <c r="W30" i="62"/>
  <c r="X29" i="62"/>
  <c r="X28" i="62"/>
  <c r="X27" i="62"/>
  <c r="X26" i="62"/>
  <c r="H26" i="62"/>
  <c r="X25" i="62"/>
  <c r="X24" i="62"/>
  <c r="X23" i="62"/>
  <c r="X22" i="62"/>
  <c r="W22" i="62"/>
  <c r="X21" i="62"/>
  <c r="X20" i="62"/>
  <c r="X19" i="62"/>
  <c r="X18" i="62"/>
  <c r="H18" i="62"/>
  <c r="X17" i="62"/>
  <c r="X16" i="62"/>
  <c r="X15" i="62"/>
  <c r="X14" i="62"/>
  <c r="W14" i="62"/>
  <c r="X13" i="62"/>
  <c r="X12" i="62"/>
  <c r="X11" i="62"/>
  <c r="X10" i="62"/>
  <c r="H10" i="62"/>
  <c r="E10" i="62"/>
  <c r="X9" i="62"/>
  <c r="X8" i="62"/>
  <c r="X7" i="62"/>
  <c r="S86" i="61"/>
  <c r="R86" i="61"/>
  <c r="S85" i="61"/>
  <c r="S84" i="61"/>
  <c r="S83" i="61"/>
  <c r="S82" i="61"/>
  <c r="F82" i="61"/>
  <c r="D82" i="61"/>
  <c r="S81" i="61"/>
  <c r="S80" i="61"/>
  <c r="S79" i="61"/>
  <c r="S78" i="61"/>
  <c r="R78" i="61"/>
  <c r="S77" i="61"/>
  <c r="S76" i="61"/>
  <c r="S75" i="61"/>
  <c r="S74" i="61"/>
  <c r="F74" i="61"/>
  <c r="S73" i="61"/>
  <c r="S72" i="61"/>
  <c r="S71" i="61"/>
  <c r="S70" i="61"/>
  <c r="R70" i="61"/>
  <c r="S69" i="61"/>
  <c r="S68" i="61"/>
  <c r="S67" i="61"/>
  <c r="S66" i="61"/>
  <c r="F66" i="61"/>
  <c r="D66" i="61"/>
  <c r="S65" i="61"/>
  <c r="S64" i="61"/>
  <c r="S63" i="61"/>
  <c r="S62" i="61"/>
  <c r="R62" i="61"/>
  <c r="S61" i="61"/>
  <c r="S60" i="61"/>
  <c r="S59" i="61"/>
  <c r="S58" i="61"/>
  <c r="F58" i="61"/>
  <c r="S57" i="61"/>
  <c r="S56" i="61"/>
  <c r="S55" i="61"/>
  <c r="S54" i="61"/>
  <c r="R54" i="61"/>
  <c r="S53" i="61"/>
  <c r="S52" i="61"/>
  <c r="S51" i="61"/>
  <c r="S50" i="61"/>
  <c r="F50" i="61"/>
  <c r="S49" i="61"/>
  <c r="S48" i="61"/>
  <c r="S47" i="61"/>
  <c r="S46" i="61"/>
  <c r="R46" i="61"/>
  <c r="S45" i="61"/>
  <c r="S44" i="61"/>
  <c r="S43" i="61"/>
  <c r="S42" i="61"/>
  <c r="F42" i="61"/>
  <c r="D42" i="61"/>
  <c r="S41" i="61"/>
  <c r="S40" i="61"/>
  <c r="S39" i="61"/>
  <c r="S38" i="61"/>
  <c r="R38" i="61"/>
  <c r="S37" i="61"/>
  <c r="S36" i="61"/>
  <c r="S35" i="61"/>
  <c r="S34" i="61"/>
  <c r="F34" i="61"/>
  <c r="S33" i="61"/>
  <c r="S32" i="61"/>
  <c r="S31" i="61"/>
  <c r="S30" i="61"/>
  <c r="R30" i="61"/>
  <c r="S29" i="61"/>
  <c r="S28" i="61"/>
  <c r="S27" i="61"/>
  <c r="S26" i="61"/>
  <c r="F26" i="61"/>
  <c r="S25" i="61"/>
  <c r="S24" i="61"/>
  <c r="S23" i="61"/>
  <c r="S22" i="61"/>
  <c r="R22" i="61"/>
  <c r="S21" i="61"/>
  <c r="S20" i="61"/>
  <c r="S19" i="61"/>
  <c r="S18" i="61"/>
  <c r="F18" i="61"/>
  <c r="S17" i="61"/>
  <c r="S16" i="61"/>
  <c r="S15" i="61"/>
  <c r="S14" i="61"/>
  <c r="R14" i="61"/>
  <c r="S13" i="61"/>
  <c r="S12" i="61"/>
  <c r="S11" i="61"/>
  <c r="S10" i="61"/>
  <c r="F10" i="61"/>
  <c r="D10" i="61"/>
  <c r="S9" i="61"/>
  <c r="S8" i="61"/>
  <c r="S7" i="61"/>
  <c r="S86" i="60"/>
  <c r="R86" i="60"/>
  <c r="S85" i="60"/>
  <c r="S84" i="60"/>
  <c r="S83" i="60"/>
  <c r="S82" i="60"/>
  <c r="F82" i="60"/>
  <c r="D82" i="60"/>
  <c r="S81" i="60"/>
  <c r="S80" i="60"/>
  <c r="S79" i="60"/>
  <c r="S78" i="60"/>
  <c r="R78" i="60"/>
  <c r="S77" i="60"/>
  <c r="S76" i="60"/>
  <c r="S75" i="60"/>
  <c r="S74" i="60"/>
  <c r="F74" i="60"/>
  <c r="S73" i="60"/>
  <c r="S72" i="60"/>
  <c r="S71" i="60"/>
  <c r="S70" i="60"/>
  <c r="R70" i="60"/>
  <c r="S69" i="60"/>
  <c r="S68" i="60"/>
  <c r="S67" i="60"/>
  <c r="S66" i="60"/>
  <c r="F66" i="60"/>
  <c r="D66" i="60"/>
  <c r="S65" i="60"/>
  <c r="S64" i="60"/>
  <c r="S63" i="60"/>
  <c r="S62" i="60"/>
  <c r="R62" i="60"/>
  <c r="S61" i="60"/>
  <c r="S60" i="60"/>
  <c r="S59" i="60"/>
  <c r="S58" i="60"/>
  <c r="F58" i="60"/>
  <c r="S57" i="60"/>
  <c r="S56" i="60"/>
  <c r="S55" i="60"/>
  <c r="S54" i="60"/>
  <c r="R54" i="60"/>
  <c r="S53" i="60"/>
  <c r="S52" i="60"/>
  <c r="S51" i="60"/>
  <c r="S50" i="60"/>
  <c r="F50" i="60"/>
  <c r="S49" i="60"/>
  <c r="S48" i="60"/>
  <c r="S47" i="60"/>
  <c r="S46" i="60"/>
  <c r="R46" i="60"/>
  <c r="S45" i="60"/>
  <c r="S44" i="60"/>
  <c r="S43" i="60"/>
  <c r="S42" i="60"/>
  <c r="F42" i="60"/>
  <c r="D42" i="60"/>
  <c r="S41" i="60"/>
  <c r="S40" i="60"/>
  <c r="S39" i="60"/>
  <c r="S38" i="60"/>
  <c r="R38" i="60"/>
  <c r="S37" i="60"/>
  <c r="S36" i="60"/>
  <c r="S35" i="60"/>
  <c r="S34" i="60"/>
  <c r="F34" i="60"/>
  <c r="S33" i="60"/>
  <c r="S32" i="60"/>
  <c r="S31" i="60"/>
  <c r="S30" i="60"/>
  <c r="R30" i="60"/>
  <c r="S29" i="60"/>
  <c r="S28" i="60"/>
  <c r="S27" i="60"/>
  <c r="S26" i="60"/>
  <c r="F26" i="60"/>
  <c r="S25" i="60"/>
  <c r="S24" i="60"/>
  <c r="S23" i="60"/>
  <c r="S22" i="60"/>
  <c r="R22" i="60"/>
  <c r="S21" i="60"/>
  <c r="S20" i="60"/>
  <c r="S19" i="60"/>
  <c r="S18" i="60"/>
  <c r="F18" i="60"/>
  <c r="S17" i="60"/>
  <c r="S16" i="60"/>
  <c r="S15" i="60"/>
  <c r="S14" i="60"/>
  <c r="R14" i="60"/>
  <c r="S13" i="60"/>
  <c r="S12" i="60"/>
  <c r="S11" i="60"/>
  <c r="S10" i="60"/>
  <c r="F10" i="60"/>
  <c r="D10" i="60"/>
  <c r="S9" i="60"/>
  <c r="S8" i="60"/>
  <c r="S7" i="60"/>
  <c r="V86" i="59"/>
  <c r="U86" i="59"/>
  <c r="V85" i="59"/>
  <c r="V84" i="59"/>
  <c r="V83" i="59"/>
  <c r="V82" i="59"/>
  <c r="F82" i="59"/>
  <c r="D82" i="59"/>
  <c r="V81" i="59"/>
  <c r="V80" i="59"/>
  <c r="V79" i="59"/>
  <c r="V78" i="59"/>
  <c r="U78" i="59"/>
  <c r="V77" i="59"/>
  <c r="V76" i="59"/>
  <c r="V75" i="59"/>
  <c r="V74" i="59"/>
  <c r="F74" i="59"/>
  <c r="V73" i="59"/>
  <c r="V72" i="59"/>
  <c r="V71" i="59"/>
  <c r="V70" i="59"/>
  <c r="U70" i="59"/>
  <c r="V69" i="59"/>
  <c r="V68" i="59"/>
  <c r="V67" i="59"/>
  <c r="V66" i="59"/>
  <c r="F66" i="59"/>
  <c r="D66" i="59"/>
  <c r="V65" i="59"/>
  <c r="V64" i="59"/>
  <c r="V63" i="59"/>
  <c r="V62" i="59"/>
  <c r="U62" i="59"/>
  <c r="V61" i="59"/>
  <c r="V60" i="59"/>
  <c r="V59" i="59"/>
  <c r="V58" i="59"/>
  <c r="F58" i="59"/>
  <c r="V57" i="59"/>
  <c r="V56" i="59"/>
  <c r="V55" i="59"/>
  <c r="V54" i="59"/>
  <c r="U54" i="59"/>
  <c r="V53" i="59"/>
  <c r="V52" i="59"/>
  <c r="V51" i="59"/>
  <c r="V50" i="59"/>
  <c r="F50" i="59"/>
  <c r="V49" i="59"/>
  <c r="V48" i="59"/>
  <c r="V47" i="59"/>
  <c r="V46" i="59"/>
  <c r="U46" i="59"/>
  <c r="V45" i="59"/>
  <c r="V44" i="59"/>
  <c r="V43" i="59"/>
  <c r="V42" i="59"/>
  <c r="F42" i="59"/>
  <c r="D42" i="59"/>
  <c r="V41" i="59"/>
  <c r="V40" i="59"/>
  <c r="V39" i="59"/>
  <c r="V38" i="59"/>
  <c r="U38" i="59"/>
  <c r="V37" i="59"/>
  <c r="V36" i="59"/>
  <c r="V35" i="59"/>
  <c r="V34" i="59"/>
  <c r="F34" i="59"/>
  <c r="D34" i="59"/>
  <c r="V33" i="59"/>
  <c r="V32" i="59"/>
  <c r="V31" i="59"/>
  <c r="V30" i="59"/>
  <c r="U30" i="59"/>
  <c r="V29" i="59"/>
  <c r="V28" i="59"/>
  <c r="V27" i="59"/>
  <c r="V26" i="59"/>
  <c r="F26" i="59"/>
  <c r="V25" i="59"/>
  <c r="V24" i="59"/>
  <c r="V23" i="59"/>
  <c r="V22" i="59"/>
  <c r="U22" i="59"/>
  <c r="V21" i="59"/>
  <c r="V20" i="59"/>
  <c r="V19" i="59"/>
  <c r="V18" i="59"/>
  <c r="F18" i="59"/>
  <c r="V17" i="59"/>
  <c r="V16" i="59"/>
  <c r="V15" i="59"/>
  <c r="V14" i="59"/>
  <c r="U14" i="59"/>
  <c r="V13" i="59"/>
  <c r="V12" i="59"/>
  <c r="V11" i="59"/>
  <c r="V10" i="59"/>
  <c r="F10" i="59"/>
  <c r="D10" i="59"/>
  <c r="V9" i="59"/>
  <c r="V8" i="59"/>
  <c r="V7" i="59"/>
  <c r="Q206" i="58"/>
  <c r="P206" i="58"/>
  <c r="Q205" i="58"/>
  <c r="Q204" i="58"/>
  <c r="Q203" i="58"/>
  <c r="Q202" i="58"/>
  <c r="D202" i="58"/>
  <c r="Q201" i="58"/>
  <c r="Q200" i="58"/>
  <c r="Q199" i="58"/>
  <c r="Q198" i="58"/>
  <c r="P198" i="58"/>
  <c r="Q197" i="58"/>
  <c r="Q196" i="58"/>
  <c r="Q195" i="58"/>
  <c r="Q194" i="58"/>
  <c r="D194" i="58"/>
  <c r="Q193" i="58"/>
  <c r="Q192" i="58"/>
  <c r="Q191" i="58"/>
  <c r="Q190" i="58"/>
  <c r="P190" i="58"/>
  <c r="Q189" i="58"/>
  <c r="Q188" i="58"/>
  <c r="Q187" i="58"/>
  <c r="Q186" i="58"/>
  <c r="D186" i="58"/>
  <c r="Q185" i="58"/>
  <c r="Q184" i="58"/>
  <c r="Q183" i="58"/>
  <c r="Q182" i="58"/>
  <c r="P182" i="58"/>
  <c r="Q181" i="58"/>
  <c r="Q180" i="58"/>
  <c r="Q179" i="58"/>
  <c r="Q178" i="58"/>
  <c r="D178" i="58"/>
  <c r="Q177" i="58"/>
  <c r="Q176" i="58"/>
  <c r="Q175" i="58"/>
  <c r="Q174" i="58"/>
  <c r="P174" i="58"/>
  <c r="Q173" i="58"/>
  <c r="Q172" i="58"/>
  <c r="Q171" i="58"/>
  <c r="Q170" i="58"/>
  <c r="D170" i="58"/>
  <c r="Q169" i="58"/>
  <c r="Q168" i="58"/>
  <c r="Q167" i="58"/>
  <c r="Q166" i="58"/>
  <c r="P166" i="58"/>
  <c r="Q165" i="58"/>
  <c r="Q164" i="58"/>
  <c r="Q163" i="58"/>
  <c r="Q162" i="58"/>
  <c r="D162" i="58"/>
  <c r="Q161" i="58"/>
  <c r="Q160" i="58"/>
  <c r="Q159" i="58"/>
  <c r="Q158" i="58"/>
  <c r="P158" i="58"/>
  <c r="Q157" i="58"/>
  <c r="Q156" i="58"/>
  <c r="Q155" i="58"/>
  <c r="Q154" i="58"/>
  <c r="D154" i="58"/>
  <c r="Q153" i="58"/>
  <c r="Q152" i="58"/>
  <c r="Q151" i="58"/>
  <c r="Q150" i="58"/>
  <c r="P150" i="58"/>
  <c r="Q149" i="58"/>
  <c r="Q148" i="58"/>
  <c r="Q147" i="58"/>
  <c r="Q146" i="58"/>
  <c r="D146" i="58"/>
  <c r="Q145" i="58"/>
  <c r="Q144" i="58"/>
  <c r="Q143" i="58"/>
  <c r="Q142" i="58"/>
  <c r="P142" i="58"/>
  <c r="Q141" i="58"/>
  <c r="Q140" i="58"/>
  <c r="Q139" i="58"/>
  <c r="Q138" i="58"/>
  <c r="D138" i="58"/>
  <c r="Q137" i="58"/>
  <c r="Q136" i="58"/>
  <c r="Q135" i="58"/>
  <c r="Q134" i="58"/>
  <c r="P134" i="58"/>
  <c r="Q133" i="58"/>
  <c r="Q132" i="58"/>
  <c r="Q131" i="58"/>
  <c r="Q130" i="58"/>
  <c r="D130" i="58"/>
  <c r="Q129" i="58"/>
  <c r="Q128" i="58"/>
  <c r="Q127" i="58"/>
  <c r="Q126" i="58"/>
  <c r="P126" i="58"/>
  <c r="Q125" i="58"/>
  <c r="Q124" i="58"/>
  <c r="Q123" i="58"/>
  <c r="Q122" i="58"/>
  <c r="D122" i="58"/>
  <c r="Q121" i="58"/>
  <c r="Q120" i="58"/>
  <c r="Q119" i="58"/>
  <c r="Q118" i="58"/>
  <c r="P118" i="58"/>
  <c r="Q117" i="58"/>
  <c r="Q116" i="58"/>
  <c r="Q115" i="58"/>
  <c r="Q114" i="58"/>
  <c r="D114" i="58"/>
  <c r="Q113" i="58"/>
  <c r="Q112" i="58"/>
  <c r="Q111" i="58"/>
  <c r="Q110" i="58"/>
  <c r="P110" i="58"/>
  <c r="Q109" i="58"/>
  <c r="Q108" i="58"/>
  <c r="Q107" i="58"/>
  <c r="Q106" i="58"/>
  <c r="D106" i="58"/>
  <c r="Q105" i="58"/>
  <c r="Q104" i="58"/>
  <c r="Q103" i="58"/>
  <c r="Q102" i="58"/>
  <c r="P102" i="58"/>
  <c r="Q101" i="58"/>
  <c r="Q100" i="58"/>
  <c r="Q99" i="58"/>
  <c r="Q98" i="58"/>
  <c r="D98" i="58"/>
  <c r="Q97" i="58"/>
  <c r="Q96" i="58"/>
  <c r="Q95" i="58"/>
  <c r="Q94" i="58"/>
  <c r="P94" i="58"/>
  <c r="Q93" i="58"/>
  <c r="Q92" i="58"/>
  <c r="Q91" i="58"/>
  <c r="Q90" i="58"/>
  <c r="D90" i="58"/>
  <c r="Q89" i="58"/>
  <c r="Q88" i="58"/>
  <c r="Q87" i="58"/>
  <c r="Q86" i="58"/>
  <c r="P86" i="58"/>
  <c r="Q85" i="58"/>
  <c r="Q84" i="58"/>
  <c r="Q83" i="58"/>
  <c r="Q82" i="58"/>
  <c r="D82" i="58"/>
  <c r="Q81" i="58"/>
  <c r="Q80" i="58"/>
  <c r="Q79" i="58"/>
  <c r="Q78" i="58"/>
  <c r="P78" i="58"/>
  <c r="Q77" i="58"/>
  <c r="Q76" i="58"/>
  <c r="Q75" i="58"/>
  <c r="Q74" i="58"/>
  <c r="D74" i="58"/>
  <c r="Q73" i="58"/>
  <c r="Q72" i="58"/>
  <c r="Q71" i="58"/>
  <c r="Q70" i="58"/>
  <c r="P70" i="58"/>
  <c r="Q69" i="58"/>
  <c r="Q68" i="58"/>
  <c r="Q67" i="58"/>
  <c r="Q66" i="58"/>
  <c r="D66" i="58"/>
  <c r="Q65" i="58"/>
  <c r="Q64" i="58"/>
  <c r="Q63" i="58"/>
  <c r="Q62" i="58"/>
  <c r="P62" i="58"/>
  <c r="Q61" i="58"/>
  <c r="Q60" i="58"/>
  <c r="Q59" i="58"/>
  <c r="Q58" i="58"/>
  <c r="D58" i="58"/>
  <c r="Q57" i="58"/>
  <c r="Q56" i="58"/>
  <c r="Q55" i="58"/>
  <c r="Q54" i="58"/>
  <c r="P54" i="58"/>
  <c r="Q53" i="58"/>
  <c r="Q52" i="58"/>
  <c r="Q51" i="58"/>
  <c r="Q50" i="58"/>
  <c r="D50" i="58"/>
  <c r="Q49" i="58"/>
  <c r="Q48" i="58"/>
  <c r="Q47" i="58"/>
  <c r="Q46" i="58"/>
  <c r="P46" i="58"/>
  <c r="Q45" i="58"/>
  <c r="Q44" i="58"/>
  <c r="Q43" i="58"/>
  <c r="Q42" i="58"/>
  <c r="D42" i="58"/>
  <c r="Q41" i="58"/>
  <c r="Q40" i="58"/>
  <c r="Q39" i="58"/>
  <c r="Q38" i="58"/>
  <c r="P38" i="58"/>
  <c r="Q37" i="58"/>
  <c r="Q36" i="58"/>
  <c r="Q35" i="58"/>
  <c r="Q34" i="58"/>
  <c r="D34" i="58"/>
  <c r="Q33" i="58"/>
  <c r="Q32" i="58"/>
  <c r="Q31" i="58"/>
  <c r="Q30" i="58"/>
  <c r="P30" i="58"/>
  <c r="Q29" i="58"/>
  <c r="Q28" i="58"/>
  <c r="Q27" i="58"/>
  <c r="Q26" i="58"/>
  <c r="D26" i="58"/>
  <c r="Q25" i="58"/>
  <c r="Q24" i="58"/>
  <c r="Q23" i="58"/>
  <c r="Q22" i="58"/>
  <c r="P22" i="58"/>
  <c r="Q21" i="58"/>
  <c r="Q20" i="58"/>
  <c r="Q19" i="58"/>
  <c r="Q18" i="58"/>
  <c r="D18" i="58"/>
  <c r="Q17" i="58"/>
  <c r="Q16" i="58"/>
  <c r="Q15" i="58"/>
  <c r="Q14" i="58"/>
  <c r="P14" i="58"/>
  <c r="Q13" i="58"/>
  <c r="Q12" i="58"/>
  <c r="Q11" i="58"/>
  <c r="Q10" i="58"/>
  <c r="D10" i="58"/>
  <c r="Q9" i="58"/>
  <c r="Q8" i="58"/>
  <c r="Q7" i="58"/>
  <c r="Q219" i="57"/>
  <c r="P219" i="57"/>
  <c r="Q218" i="57"/>
  <c r="Q217" i="57"/>
  <c r="Q216" i="57"/>
  <c r="Q215" i="57"/>
  <c r="D215" i="57"/>
  <c r="Q214" i="57"/>
  <c r="Q213" i="57"/>
  <c r="Q212" i="57"/>
  <c r="Q211" i="57"/>
  <c r="P211" i="57"/>
  <c r="Q210" i="57"/>
  <c r="Q209" i="57"/>
  <c r="Q208" i="57"/>
  <c r="Q207" i="57"/>
  <c r="D207" i="57"/>
  <c r="Q206" i="57"/>
  <c r="Q205" i="57"/>
  <c r="Q204" i="57"/>
  <c r="Q203" i="57"/>
  <c r="P203" i="57"/>
  <c r="Q202" i="57"/>
  <c r="Q201" i="57"/>
  <c r="Q200" i="57"/>
  <c r="Q199" i="57"/>
  <c r="D199" i="57"/>
  <c r="Q198" i="57"/>
  <c r="Q197" i="57"/>
  <c r="Q196" i="57"/>
  <c r="Q195" i="57"/>
  <c r="P195" i="57"/>
  <c r="Q194" i="57"/>
  <c r="Q193" i="57"/>
  <c r="Q192" i="57"/>
  <c r="Q191" i="57"/>
  <c r="D191" i="57"/>
  <c r="Q190" i="57"/>
  <c r="Q189" i="57"/>
  <c r="Q188" i="57"/>
  <c r="Q187" i="57"/>
  <c r="P187" i="57"/>
  <c r="Q186" i="57"/>
  <c r="Q185" i="57"/>
  <c r="Q184" i="57"/>
  <c r="Q183" i="57"/>
  <c r="D183" i="57"/>
  <c r="Q182" i="57"/>
  <c r="Q181" i="57"/>
  <c r="Q180" i="57"/>
  <c r="Q179" i="57"/>
  <c r="P179" i="57"/>
  <c r="Q178" i="57"/>
  <c r="Q177" i="57"/>
  <c r="Q176" i="57"/>
  <c r="Q175" i="57"/>
  <c r="D175" i="57"/>
  <c r="Q174" i="57"/>
  <c r="Q173" i="57"/>
  <c r="Q172" i="57"/>
  <c r="Q171" i="57"/>
  <c r="P171" i="57"/>
  <c r="Q170" i="57"/>
  <c r="Q169" i="57"/>
  <c r="Q168" i="57"/>
  <c r="Q167" i="57"/>
  <c r="D167" i="57"/>
  <c r="Q166" i="57"/>
  <c r="Q165" i="57"/>
  <c r="Q164" i="57"/>
  <c r="Q163" i="57"/>
  <c r="P163" i="57"/>
  <c r="Q162" i="57"/>
  <c r="Q161" i="57"/>
  <c r="Q160" i="57"/>
  <c r="Q159" i="57"/>
  <c r="D159" i="57"/>
  <c r="Q158" i="57"/>
  <c r="Q157" i="57"/>
  <c r="Q156" i="57"/>
  <c r="Q155" i="57"/>
  <c r="P155" i="57"/>
  <c r="Q154" i="57"/>
  <c r="Q153" i="57"/>
  <c r="Q152" i="57"/>
  <c r="Q151" i="57"/>
  <c r="D151" i="57"/>
  <c r="Q150" i="57"/>
  <c r="Q149" i="57"/>
  <c r="Q148" i="57"/>
  <c r="Q147" i="57"/>
  <c r="P147" i="57"/>
  <c r="Q146" i="57"/>
  <c r="Q145" i="57"/>
  <c r="Q144" i="57"/>
  <c r="Q143" i="57"/>
  <c r="D143" i="57"/>
  <c r="Q142" i="57"/>
  <c r="Q141" i="57"/>
  <c r="Q140" i="57"/>
  <c r="Q139" i="57"/>
  <c r="P139" i="57"/>
  <c r="Q138" i="57"/>
  <c r="Q137" i="57"/>
  <c r="Q136" i="57"/>
  <c r="Q135" i="57"/>
  <c r="D135" i="57"/>
  <c r="Q134" i="57"/>
  <c r="Q133" i="57"/>
  <c r="Q132" i="57"/>
  <c r="Q131" i="57"/>
  <c r="P131" i="57"/>
  <c r="Q130" i="57"/>
  <c r="Q129" i="57"/>
  <c r="Q128" i="57"/>
  <c r="Q127" i="57"/>
  <c r="D127" i="57"/>
  <c r="Q126" i="57"/>
  <c r="Q125" i="57"/>
  <c r="Q124" i="57"/>
  <c r="Q123" i="57"/>
  <c r="P123" i="57"/>
  <c r="Q122" i="57"/>
  <c r="Q121" i="57"/>
  <c r="Q120" i="57"/>
  <c r="Q119" i="57"/>
  <c r="D119" i="57"/>
  <c r="Q118" i="57"/>
  <c r="Q117" i="57"/>
  <c r="Q116" i="57"/>
  <c r="Q115" i="57"/>
  <c r="P115" i="57"/>
  <c r="Q114" i="57"/>
  <c r="Q113" i="57"/>
  <c r="Q112" i="57"/>
  <c r="Q111" i="57"/>
  <c r="D111" i="57"/>
  <c r="Q110" i="57"/>
  <c r="Q109" i="57"/>
  <c r="Q108" i="57"/>
  <c r="Q107" i="57"/>
  <c r="P107" i="57"/>
  <c r="Q106" i="57"/>
  <c r="Q105" i="57"/>
  <c r="Q104" i="57"/>
  <c r="Q103" i="57"/>
  <c r="D103" i="57"/>
  <c r="Q102" i="57"/>
  <c r="Q101" i="57"/>
  <c r="Q100" i="57"/>
  <c r="Q99" i="57"/>
  <c r="P99" i="57"/>
  <c r="Q98" i="57"/>
  <c r="Q97" i="57"/>
  <c r="Q96" i="57"/>
  <c r="Q95" i="57"/>
  <c r="D95" i="57"/>
  <c r="Q94" i="57"/>
  <c r="Q93" i="57"/>
  <c r="Q92" i="57"/>
  <c r="Q91" i="57"/>
  <c r="P91" i="57"/>
  <c r="Q90" i="57"/>
  <c r="Q89" i="57"/>
  <c r="Q88" i="57"/>
  <c r="Q87" i="57"/>
  <c r="D87" i="57"/>
  <c r="Q86" i="57"/>
  <c r="Q85" i="57"/>
  <c r="Q84" i="57"/>
  <c r="Q78" i="57"/>
  <c r="P78" i="57"/>
  <c r="Q77" i="57"/>
  <c r="Q76" i="57"/>
  <c r="Q75" i="57"/>
  <c r="Q74" i="57"/>
  <c r="D74" i="57"/>
  <c r="Q73" i="57"/>
  <c r="Q72" i="57"/>
  <c r="Q71" i="57"/>
  <c r="Q70" i="57"/>
  <c r="P70" i="57"/>
  <c r="Q69" i="57"/>
  <c r="Q68" i="57"/>
  <c r="Q67" i="57"/>
  <c r="Q66" i="57"/>
  <c r="D66" i="57"/>
  <c r="Q65" i="57"/>
  <c r="Q64" i="57"/>
  <c r="Q63" i="57"/>
  <c r="Q62" i="57"/>
  <c r="P62" i="57"/>
  <c r="Q61" i="57"/>
  <c r="Q60" i="57"/>
  <c r="Q59" i="57"/>
  <c r="Q58" i="57"/>
  <c r="D58" i="57"/>
  <c r="Q57" i="57"/>
  <c r="Q56" i="57"/>
  <c r="Q55" i="57"/>
  <c r="Q54" i="57"/>
  <c r="P54" i="57"/>
  <c r="Q53" i="57"/>
  <c r="Q52" i="57"/>
  <c r="Q51" i="57"/>
  <c r="Q50" i="57"/>
  <c r="D50" i="57"/>
  <c r="Q49" i="57"/>
  <c r="Q48" i="57"/>
  <c r="Q47" i="57"/>
  <c r="Q46" i="57"/>
  <c r="P46" i="57"/>
  <c r="Q45" i="57"/>
  <c r="Q44" i="57"/>
  <c r="Q43" i="57"/>
  <c r="Q42" i="57"/>
  <c r="D42" i="57"/>
  <c r="Q41" i="57"/>
  <c r="Q40" i="57"/>
  <c r="Q39" i="57"/>
  <c r="Q38" i="57"/>
  <c r="P38" i="57"/>
  <c r="Q37" i="57"/>
  <c r="Q36" i="57"/>
  <c r="Q35" i="57"/>
  <c r="Q34" i="57"/>
  <c r="D34" i="57"/>
  <c r="Q33" i="57"/>
  <c r="Q32" i="57"/>
  <c r="Q31" i="57"/>
  <c r="Q30" i="57"/>
  <c r="P30" i="57"/>
  <c r="Q29" i="57"/>
  <c r="Q28" i="57"/>
  <c r="Q27" i="57"/>
  <c r="Q26" i="57"/>
  <c r="D26" i="57"/>
  <c r="Q25" i="57"/>
  <c r="Q24" i="57"/>
  <c r="Q23" i="57"/>
  <c r="Q22" i="57"/>
  <c r="P22" i="57"/>
  <c r="Q21" i="57"/>
  <c r="Q20" i="57"/>
  <c r="Q19" i="57"/>
  <c r="Q18" i="57"/>
  <c r="D18" i="57"/>
  <c r="Q17" i="57"/>
  <c r="Q16" i="57"/>
  <c r="Q15" i="57"/>
  <c r="Q14" i="57"/>
  <c r="P14" i="57"/>
  <c r="Q13" i="57"/>
  <c r="Q12" i="57"/>
  <c r="Q11" i="57"/>
  <c r="Q10" i="57"/>
  <c r="D10" i="57"/>
  <c r="Q9" i="57"/>
  <c r="Q8" i="57"/>
  <c r="Q7" i="57"/>
  <c r="N334" i="56"/>
  <c r="M334" i="56"/>
  <c r="N333" i="56"/>
  <c r="N332" i="56"/>
  <c r="N331" i="56"/>
  <c r="N330" i="56"/>
  <c r="D330" i="56"/>
  <c r="N329" i="56"/>
  <c r="N328" i="56"/>
  <c r="N327" i="56"/>
  <c r="N326" i="56"/>
  <c r="M326" i="56"/>
  <c r="N325" i="56"/>
  <c r="N324" i="56"/>
  <c r="N323" i="56"/>
  <c r="N322" i="56"/>
  <c r="D322" i="56"/>
  <c r="N321" i="56"/>
  <c r="N320" i="56"/>
  <c r="N319" i="56"/>
  <c r="N318" i="56"/>
  <c r="M318" i="56"/>
  <c r="N317" i="56"/>
  <c r="N316" i="56"/>
  <c r="N315" i="56"/>
  <c r="N314" i="56"/>
  <c r="D314" i="56"/>
  <c r="N313" i="56"/>
  <c r="N312" i="56"/>
  <c r="N311" i="56"/>
  <c r="N310" i="56"/>
  <c r="M310" i="56"/>
  <c r="N309" i="56"/>
  <c r="N308" i="56"/>
  <c r="N307" i="56"/>
  <c r="N306" i="56"/>
  <c r="D306" i="56"/>
  <c r="N305" i="56"/>
  <c r="N304" i="56"/>
  <c r="N303" i="56"/>
  <c r="N302" i="56"/>
  <c r="M302" i="56"/>
  <c r="N301" i="56"/>
  <c r="N300" i="56"/>
  <c r="N299" i="56"/>
  <c r="N298" i="56"/>
  <c r="D298" i="56"/>
  <c r="N297" i="56"/>
  <c r="N296" i="56"/>
  <c r="N295" i="56"/>
  <c r="N294" i="56"/>
  <c r="M294" i="56"/>
  <c r="N293" i="56"/>
  <c r="N292" i="56"/>
  <c r="N291" i="56"/>
  <c r="N290" i="56"/>
  <c r="D290" i="56"/>
  <c r="N289" i="56"/>
  <c r="N288" i="56"/>
  <c r="N287" i="56"/>
  <c r="N286" i="56"/>
  <c r="M286" i="56"/>
  <c r="N285" i="56"/>
  <c r="N284" i="56"/>
  <c r="N283" i="56"/>
  <c r="N282" i="56"/>
  <c r="D282" i="56"/>
  <c r="N281" i="56"/>
  <c r="N280" i="56"/>
  <c r="N279" i="56"/>
  <c r="N278" i="56"/>
  <c r="M278" i="56"/>
  <c r="N277" i="56"/>
  <c r="N276" i="56"/>
  <c r="N275" i="56"/>
  <c r="N274" i="56"/>
  <c r="D274" i="56"/>
  <c r="N273" i="56"/>
  <c r="N272" i="56"/>
  <c r="N271" i="56"/>
  <c r="N270" i="56"/>
  <c r="M270" i="56"/>
  <c r="N269" i="56"/>
  <c r="N268" i="56"/>
  <c r="N267" i="56"/>
  <c r="N266" i="56"/>
  <c r="D266" i="56"/>
  <c r="N265" i="56"/>
  <c r="N264" i="56"/>
  <c r="N263" i="56"/>
  <c r="N262" i="56"/>
  <c r="M262" i="56"/>
  <c r="N261" i="56"/>
  <c r="N260" i="56"/>
  <c r="N259" i="56"/>
  <c r="N258" i="56"/>
  <c r="D258" i="56"/>
  <c r="N257" i="56"/>
  <c r="N256" i="56"/>
  <c r="N255" i="56"/>
  <c r="N254" i="56"/>
  <c r="M254" i="56"/>
  <c r="N253" i="56"/>
  <c r="N252" i="56"/>
  <c r="N251" i="56"/>
  <c r="N250" i="56"/>
  <c r="D250" i="56"/>
  <c r="N249" i="56"/>
  <c r="N248" i="56"/>
  <c r="N247" i="56"/>
  <c r="N246" i="56"/>
  <c r="M246" i="56"/>
  <c r="N245" i="56"/>
  <c r="N244" i="56"/>
  <c r="N243" i="56"/>
  <c r="N242" i="56"/>
  <c r="D242" i="56"/>
  <c r="N241" i="56"/>
  <c r="N240" i="56"/>
  <c r="N239" i="56"/>
  <c r="N238" i="56"/>
  <c r="M238" i="56"/>
  <c r="N237" i="56"/>
  <c r="N236" i="56"/>
  <c r="N235" i="56"/>
  <c r="N234" i="56"/>
  <c r="D234" i="56"/>
  <c r="N233" i="56"/>
  <c r="N232" i="56"/>
  <c r="N231" i="56"/>
  <c r="N230" i="56"/>
  <c r="M230" i="56"/>
  <c r="N229" i="56"/>
  <c r="N228" i="56"/>
  <c r="N227" i="56"/>
  <c r="N226" i="56"/>
  <c r="D226" i="56"/>
  <c r="N225" i="56"/>
  <c r="N224" i="56"/>
  <c r="N223" i="56"/>
  <c r="N222" i="56"/>
  <c r="M222" i="56"/>
  <c r="N221" i="56"/>
  <c r="N220" i="56"/>
  <c r="N219" i="56"/>
  <c r="N218" i="56"/>
  <c r="D218" i="56"/>
  <c r="N217" i="56"/>
  <c r="N216" i="56"/>
  <c r="N215" i="56"/>
  <c r="N214" i="56"/>
  <c r="M214" i="56"/>
  <c r="N213" i="56"/>
  <c r="N212" i="56"/>
  <c r="N211" i="56"/>
  <c r="N210" i="56"/>
  <c r="D210" i="56"/>
  <c r="N209" i="56"/>
  <c r="N208" i="56"/>
  <c r="N207" i="56"/>
  <c r="N206" i="56"/>
  <c r="M206" i="56"/>
  <c r="N205" i="56"/>
  <c r="N204" i="56"/>
  <c r="N203" i="56"/>
  <c r="N202" i="56"/>
  <c r="D202" i="56"/>
  <c r="N201" i="56"/>
  <c r="N200" i="56"/>
  <c r="N199" i="56"/>
  <c r="N198" i="56"/>
  <c r="M198" i="56"/>
  <c r="N197" i="56"/>
  <c r="N196" i="56"/>
  <c r="N195" i="56"/>
  <c r="N194" i="56"/>
  <c r="D194" i="56"/>
  <c r="N193" i="56"/>
  <c r="N192" i="56"/>
  <c r="N191" i="56"/>
  <c r="N190" i="56"/>
  <c r="M190" i="56"/>
  <c r="N189" i="56"/>
  <c r="N188" i="56"/>
  <c r="N187" i="56"/>
  <c r="N186" i="56"/>
  <c r="D186" i="56"/>
  <c r="N185" i="56"/>
  <c r="N184" i="56"/>
  <c r="N183" i="56"/>
  <c r="N182" i="56"/>
  <c r="M182" i="56"/>
  <c r="N181" i="56"/>
  <c r="N180" i="56"/>
  <c r="N179" i="56"/>
  <c r="N178" i="56"/>
  <c r="D178" i="56"/>
  <c r="N177" i="56"/>
  <c r="N176" i="56"/>
  <c r="N175" i="56"/>
  <c r="N174" i="56"/>
  <c r="M174" i="56"/>
  <c r="N173" i="56"/>
  <c r="N172" i="56"/>
  <c r="N171" i="56"/>
  <c r="N170" i="56"/>
  <c r="D170" i="56"/>
  <c r="N169" i="56"/>
  <c r="N168" i="56"/>
  <c r="N167" i="56"/>
  <c r="N166" i="56"/>
  <c r="M166" i="56"/>
  <c r="N165" i="56"/>
  <c r="N164" i="56"/>
  <c r="N163" i="56"/>
  <c r="N162" i="56"/>
  <c r="D162" i="56"/>
  <c r="N161" i="56"/>
  <c r="N160" i="56"/>
  <c r="N159" i="56"/>
  <c r="N158" i="56"/>
  <c r="M158" i="56"/>
  <c r="N157" i="56"/>
  <c r="N156" i="56"/>
  <c r="N155" i="56"/>
  <c r="N154" i="56"/>
  <c r="D154" i="56"/>
  <c r="N153" i="56"/>
  <c r="N152" i="56"/>
  <c r="N151" i="56"/>
  <c r="N150" i="56"/>
  <c r="M150" i="56"/>
  <c r="N149" i="56"/>
  <c r="N148" i="56"/>
  <c r="N147" i="56"/>
  <c r="N146" i="56"/>
  <c r="D146" i="56"/>
  <c r="N145" i="56"/>
  <c r="N144" i="56"/>
  <c r="N143" i="56"/>
  <c r="N142" i="56"/>
  <c r="M142" i="56"/>
  <c r="N141" i="56"/>
  <c r="N140" i="56"/>
  <c r="N139" i="56"/>
  <c r="N138" i="56"/>
  <c r="D138" i="56"/>
  <c r="N137" i="56"/>
  <c r="N136" i="56"/>
  <c r="N135" i="56"/>
  <c r="N134" i="56"/>
  <c r="M134" i="56"/>
  <c r="N133" i="56"/>
  <c r="N132" i="56"/>
  <c r="N131" i="56"/>
  <c r="N130" i="56"/>
  <c r="D130" i="56"/>
  <c r="N129" i="56"/>
  <c r="N128" i="56"/>
  <c r="N127" i="56"/>
  <c r="N126" i="56"/>
  <c r="M126" i="56"/>
  <c r="N125" i="56"/>
  <c r="N124" i="56"/>
  <c r="N123" i="56"/>
  <c r="N122" i="56"/>
  <c r="D122" i="56"/>
  <c r="N121" i="56"/>
  <c r="N120" i="56"/>
  <c r="N119" i="56"/>
  <c r="N118" i="56"/>
  <c r="M118" i="56"/>
  <c r="N117" i="56"/>
  <c r="N116" i="56"/>
  <c r="N115" i="56"/>
  <c r="N114" i="56"/>
  <c r="D114" i="56"/>
  <c r="N113" i="56"/>
  <c r="N112" i="56"/>
  <c r="N111" i="56"/>
  <c r="N110" i="56"/>
  <c r="M110" i="56"/>
  <c r="N109" i="56"/>
  <c r="N108" i="56"/>
  <c r="N107" i="56"/>
  <c r="N106" i="56"/>
  <c r="D106" i="56"/>
  <c r="N105" i="56"/>
  <c r="N104" i="56"/>
  <c r="N103" i="56"/>
  <c r="N102" i="56"/>
  <c r="M102" i="56"/>
  <c r="N101" i="56"/>
  <c r="N100" i="56"/>
  <c r="N99" i="56"/>
  <c r="N98" i="56"/>
  <c r="D98" i="56"/>
  <c r="N97" i="56"/>
  <c r="N96" i="56"/>
  <c r="N95" i="56"/>
  <c r="N94" i="56"/>
  <c r="M94" i="56"/>
  <c r="N93" i="56"/>
  <c r="N92" i="56"/>
  <c r="N91" i="56"/>
  <c r="N90" i="56"/>
  <c r="D90" i="56"/>
  <c r="N89" i="56"/>
  <c r="N88" i="56"/>
  <c r="N87" i="56"/>
  <c r="N86" i="56"/>
  <c r="M86" i="56"/>
  <c r="N85" i="56"/>
  <c r="N84" i="56"/>
  <c r="N83" i="56"/>
  <c r="N82" i="56"/>
  <c r="D82" i="56"/>
  <c r="N81" i="56"/>
  <c r="N80" i="56"/>
  <c r="N79" i="56"/>
  <c r="N78" i="56"/>
  <c r="M78" i="56"/>
  <c r="N77" i="56"/>
  <c r="N76" i="56"/>
  <c r="N75" i="56"/>
  <c r="N74" i="56"/>
  <c r="D74" i="56"/>
  <c r="N73" i="56"/>
  <c r="N72" i="56"/>
  <c r="N71" i="56"/>
  <c r="N70" i="56"/>
  <c r="M70" i="56"/>
  <c r="N69" i="56"/>
  <c r="N68" i="56"/>
  <c r="N67" i="56"/>
  <c r="N66" i="56"/>
  <c r="D66" i="56"/>
  <c r="N65" i="56"/>
  <c r="N64" i="56"/>
  <c r="N63" i="56"/>
  <c r="N62" i="56"/>
  <c r="M62" i="56"/>
  <c r="N61" i="56"/>
  <c r="N60" i="56"/>
  <c r="N59" i="56"/>
  <c r="N58" i="56"/>
  <c r="D58" i="56"/>
  <c r="N57" i="56"/>
  <c r="N56" i="56"/>
  <c r="N55" i="56"/>
  <c r="N54" i="56"/>
  <c r="M54" i="56"/>
  <c r="N53" i="56"/>
  <c r="N52" i="56"/>
  <c r="N51" i="56"/>
  <c r="N50" i="56"/>
  <c r="D50" i="56"/>
  <c r="N49" i="56"/>
  <c r="N48" i="56"/>
  <c r="N47" i="56"/>
  <c r="N46" i="56"/>
  <c r="M46" i="56"/>
  <c r="N45" i="56"/>
  <c r="N44" i="56"/>
  <c r="N43" i="56"/>
  <c r="N42" i="56"/>
  <c r="D42" i="56"/>
  <c r="N41" i="56"/>
  <c r="N40" i="56"/>
  <c r="N39" i="56"/>
  <c r="N38" i="56"/>
  <c r="M38" i="56"/>
  <c r="N37" i="56"/>
  <c r="N36" i="56"/>
  <c r="N35" i="56"/>
  <c r="N34" i="56"/>
  <c r="D34" i="56"/>
  <c r="N33" i="56"/>
  <c r="N32" i="56"/>
  <c r="N31" i="56"/>
  <c r="N30" i="56"/>
  <c r="M30" i="56"/>
  <c r="N29" i="56"/>
  <c r="N28" i="56"/>
  <c r="N27" i="56"/>
  <c r="N26" i="56"/>
  <c r="D26" i="56"/>
  <c r="N25" i="56"/>
  <c r="N24" i="56"/>
  <c r="N23" i="56"/>
  <c r="N22" i="56"/>
  <c r="M22" i="56"/>
  <c r="N21" i="56"/>
  <c r="N20" i="56"/>
  <c r="N19" i="56"/>
  <c r="N18" i="56"/>
  <c r="D18" i="56"/>
  <c r="N17" i="56"/>
  <c r="N16" i="56"/>
  <c r="N15" i="56"/>
  <c r="N14" i="56"/>
  <c r="M14" i="56"/>
  <c r="N13" i="56"/>
  <c r="N12" i="56"/>
  <c r="N11" i="56"/>
  <c r="N10" i="56"/>
  <c r="D10" i="56"/>
  <c r="N9" i="56"/>
  <c r="N8" i="56"/>
  <c r="N7" i="56"/>
  <c r="O99" i="55"/>
  <c r="D99" i="55"/>
  <c r="O98" i="55"/>
  <c r="N98" i="55"/>
  <c r="O97" i="55"/>
  <c r="O96" i="55"/>
  <c r="O95" i="55"/>
  <c r="D95" i="55"/>
  <c r="O94" i="55"/>
  <c r="N94" i="55"/>
  <c r="O93" i="55"/>
  <c r="O92" i="55"/>
  <c r="O91" i="55"/>
  <c r="D91" i="55"/>
  <c r="O90" i="55"/>
  <c r="N90" i="55"/>
  <c r="O89" i="55"/>
  <c r="O88" i="55"/>
  <c r="O87" i="55"/>
  <c r="D87" i="55"/>
  <c r="O86" i="55"/>
  <c r="N86" i="55"/>
  <c r="O85" i="55"/>
  <c r="O84" i="55"/>
  <c r="O83" i="55"/>
  <c r="D83" i="55"/>
  <c r="O82" i="55"/>
  <c r="N82" i="55"/>
  <c r="O81" i="55"/>
  <c r="O80" i="55"/>
  <c r="O79" i="55"/>
  <c r="D79" i="55"/>
  <c r="O78" i="55"/>
  <c r="N78" i="55"/>
  <c r="O77" i="55"/>
  <c r="O76" i="55"/>
  <c r="O75" i="55"/>
  <c r="D75" i="55"/>
  <c r="O74" i="55"/>
  <c r="N74" i="55"/>
  <c r="O73" i="55"/>
  <c r="O72" i="55"/>
  <c r="O71" i="55"/>
  <c r="D71" i="55"/>
  <c r="O70" i="55"/>
  <c r="N70" i="55"/>
  <c r="O69" i="55"/>
  <c r="O68" i="55"/>
  <c r="O67" i="55"/>
  <c r="D67" i="55"/>
  <c r="O66" i="55"/>
  <c r="N66" i="55"/>
  <c r="O65" i="55"/>
  <c r="O64" i="55"/>
  <c r="O63" i="55"/>
  <c r="D63" i="55"/>
  <c r="O62" i="55"/>
  <c r="N62" i="55"/>
  <c r="O61" i="55"/>
  <c r="O60" i="55"/>
  <c r="O59" i="55"/>
  <c r="D59" i="55"/>
  <c r="O58" i="55"/>
  <c r="N58" i="55"/>
  <c r="O57" i="55"/>
  <c r="O56" i="55"/>
  <c r="O55" i="55"/>
  <c r="D55" i="55"/>
  <c r="O54" i="55"/>
  <c r="N54" i="55"/>
  <c r="O53" i="55"/>
  <c r="O52" i="55"/>
  <c r="O51" i="55"/>
  <c r="D51" i="55"/>
  <c r="O50" i="55"/>
  <c r="N50" i="55"/>
  <c r="O49" i="55"/>
  <c r="O48" i="55"/>
  <c r="O42" i="55"/>
  <c r="D42" i="55"/>
  <c r="O41" i="55"/>
  <c r="N41" i="55"/>
  <c r="O40" i="55"/>
  <c r="O39" i="55"/>
  <c r="O38" i="55"/>
  <c r="D38" i="55"/>
  <c r="O37" i="55"/>
  <c r="N37" i="55"/>
  <c r="O36" i="55"/>
  <c r="O35" i="55"/>
  <c r="O34" i="55"/>
  <c r="D34" i="55"/>
  <c r="O33" i="55"/>
  <c r="N33" i="55"/>
  <c r="O32" i="55"/>
  <c r="O31" i="55"/>
  <c r="O30" i="55"/>
  <c r="D30" i="55"/>
  <c r="O29" i="55"/>
  <c r="N29" i="55"/>
  <c r="O28" i="55"/>
  <c r="O27" i="55"/>
  <c r="O26" i="55"/>
  <c r="D26" i="55"/>
  <c r="O25" i="55"/>
  <c r="N25" i="55"/>
  <c r="O24" i="55"/>
  <c r="O23" i="55"/>
  <c r="O22" i="55"/>
  <c r="D22" i="55"/>
  <c r="O21" i="55"/>
  <c r="N21" i="55"/>
  <c r="O20" i="55"/>
  <c r="O19" i="55"/>
  <c r="O18" i="55"/>
  <c r="D18" i="55"/>
  <c r="O17" i="55"/>
  <c r="N17" i="55"/>
  <c r="O16" i="55"/>
  <c r="O15" i="55"/>
  <c r="O14" i="55"/>
  <c r="D14" i="55"/>
  <c r="O13" i="55"/>
  <c r="N13" i="55"/>
  <c r="O12" i="55"/>
  <c r="O11" i="55"/>
  <c r="O10" i="55"/>
  <c r="D10" i="55"/>
  <c r="O9" i="55"/>
  <c r="N9" i="55"/>
  <c r="O8" i="55"/>
  <c r="O7" i="55"/>
  <c r="O115" i="54"/>
  <c r="D115" i="54"/>
  <c r="O114" i="54"/>
  <c r="N114" i="54"/>
  <c r="O113" i="54"/>
  <c r="O112" i="54"/>
  <c r="O111" i="54"/>
  <c r="D111" i="54"/>
  <c r="O110" i="54"/>
  <c r="N110" i="54"/>
  <c r="O109" i="54"/>
  <c r="O108" i="54"/>
  <c r="O107" i="54"/>
  <c r="D107" i="54"/>
  <c r="O106" i="54"/>
  <c r="N106" i="54"/>
  <c r="O105" i="54"/>
  <c r="O104" i="54"/>
  <c r="O103" i="54"/>
  <c r="D103" i="54"/>
  <c r="O102" i="54"/>
  <c r="N102" i="54"/>
  <c r="O101" i="54"/>
  <c r="O100" i="54"/>
  <c r="O99" i="54"/>
  <c r="D99" i="54"/>
  <c r="O98" i="54"/>
  <c r="N98" i="54"/>
  <c r="O97" i="54"/>
  <c r="O96" i="54"/>
  <c r="O90" i="54"/>
  <c r="D90" i="54"/>
  <c r="O89" i="54"/>
  <c r="N89" i="54"/>
  <c r="O88" i="54"/>
  <c r="O87" i="54"/>
  <c r="O86" i="54"/>
  <c r="D86" i="54"/>
  <c r="O85" i="54"/>
  <c r="N85" i="54"/>
  <c r="O84" i="54"/>
  <c r="O83" i="54"/>
  <c r="O82" i="54"/>
  <c r="D82" i="54"/>
  <c r="O81" i="54"/>
  <c r="N81" i="54"/>
  <c r="O80" i="54"/>
  <c r="O79" i="54"/>
  <c r="O78" i="54"/>
  <c r="D78" i="54"/>
  <c r="O77" i="54"/>
  <c r="N77" i="54"/>
  <c r="O76" i="54"/>
  <c r="O75" i="54"/>
  <c r="O74" i="54"/>
  <c r="D74" i="54"/>
  <c r="O73" i="54"/>
  <c r="N73" i="54"/>
  <c r="O72" i="54"/>
  <c r="O71" i="54"/>
  <c r="O70" i="54"/>
  <c r="D70" i="54"/>
  <c r="O69" i="54"/>
  <c r="N69" i="54"/>
  <c r="O68" i="54"/>
  <c r="O67" i="54"/>
  <c r="O66" i="54"/>
  <c r="D66" i="54"/>
  <c r="O65" i="54"/>
  <c r="N65" i="54"/>
  <c r="O64" i="54"/>
  <c r="O63" i="54"/>
  <c r="O62" i="54"/>
  <c r="D62" i="54"/>
  <c r="O61" i="54"/>
  <c r="N61" i="54"/>
  <c r="O60" i="54"/>
  <c r="O59" i="54"/>
  <c r="O58" i="54"/>
  <c r="D58" i="54"/>
  <c r="O57" i="54"/>
  <c r="N57" i="54"/>
  <c r="O56" i="54"/>
  <c r="O55" i="54"/>
  <c r="O54" i="54"/>
  <c r="D54" i="54"/>
  <c r="O53" i="54"/>
  <c r="N53" i="54"/>
  <c r="O52" i="54"/>
  <c r="O51" i="54"/>
  <c r="O50" i="54"/>
  <c r="D50" i="54"/>
  <c r="O49" i="54"/>
  <c r="N49" i="54"/>
  <c r="O48" i="54"/>
  <c r="O47" i="54"/>
  <c r="O46" i="54"/>
  <c r="D46" i="54"/>
  <c r="O45" i="54"/>
  <c r="N45" i="54"/>
  <c r="O44" i="54"/>
  <c r="O43" i="54"/>
  <c r="O42" i="54"/>
  <c r="D42" i="54"/>
  <c r="O41" i="54"/>
  <c r="N41" i="54"/>
  <c r="O40" i="54"/>
  <c r="O39" i="54"/>
  <c r="O38" i="54"/>
  <c r="D38" i="54"/>
  <c r="O37" i="54"/>
  <c r="N37" i="54"/>
  <c r="O36" i="54"/>
  <c r="O35" i="54"/>
  <c r="O34" i="54"/>
  <c r="D34" i="54"/>
  <c r="O33" i="54"/>
  <c r="N33" i="54"/>
  <c r="O32" i="54"/>
  <c r="O31" i="54"/>
  <c r="O30" i="54"/>
  <c r="D30" i="54"/>
  <c r="O29" i="54"/>
  <c r="N29" i="54"/>
  <c r="O28" i="54"/>
  <c r="O27" i="54"/>
  <c r="O26" i="54"/>
  <c r="D26" i="54"/>
  <c r="O25" i="54"/>
  <c r="N25" i="54"/>
  <c r="O24" i="54"/>
  <c r="O23" i="54"/>
  <c r="O22" i="54"/>
  <c r="D22" i="54"/>
  <c r="O21" i="54"/>
  <c r="N21" i="54"/>
  <c r="O20" i="54"/>
  <c r="O19" i="54"/>
  <c r="O18" i="54"/>
  <c r="D18" i="54"/>
  <c r="O17" i="54"/>
  <c r="N17" i="54"/>
  <c r="O16" i="54"/>
  <c r="O15" i="54"/>
  <c r="O14" i="54"/>
  <c r="D14" i="54"/>
  <c r="O13" i="54"/>
  <c r="N13" i="54"/>
  <c r="O12" i="54"/>
  <c r="O11" i="54"/>
  <c r="O10" i="54"/>
  <c r="D10" i="54"/>
  <c r="O9" i="54"/>
  <c r="N9" i="54"/>
  <c r="O8" i="54"/>
  <c r="O7" i="54"/>
  <c r="X46" i="53"/>
  <c r="J46" i="53"/>
  <c r="H46" i="53"/>
  <c r="E46" i="53"/>
  <c r="X45" i="53"/>
  <c r="W45" i="53"/>
  <c r="X44" i="53"/>
  <c r="X43" i="53"/>
  <c r="X42" i="53"/>
  <c r="J42" i="53"/>
  <c r="H42" i="53"/>
  <c r="X41" i="53"/>
  <c r="W41" i="53"/>
  <c r="X40" i="53"/>
  <c r="X39" i="53"/>
  <c r="X38" i="53"/>
  <c r="J38" i="53"/>
  <c r="X37" i="53"/>
  <c r="W37" i="53"/>
  <c r="X36" i="53"/>
  <c r="X35" i="53"/>
  <c r="X34" i="53"/>
  <c r="J34" i="53"/>
  <c r="H34" i="53"/>
  <c r="E34" i="53"/>
  <c r="X33" i="53"/>
  <c r="W33" i="53"/>
  <c r="X32" i="53"/>
  <c r="X31" i="53"/>
  <c r="X30" i="53"/>
  <c r="J30" i="53"/>
  <c r="H30" i="53"/>
  <c r="X29" i="53"/>
  <c r="W29" i="53"/>
  <c r="X28" i="53"/>
  <c r="X27" i="53"/>
  <c r="X26" i="53"/>
  <c r="J26" i="53"/>
  <c r="X25" i="53"/>
  <c r="W25" i="53"/>
  <c r="X24" i="53"/>
  <c r="X23" i="53"/>
  <c r="X22" i="53"/>
  <c r="J22" i="53"/>
  <c r="H22" i="53"/>
  <c r="X21" i="53"/>
  <c r="W21" i="53"/>
  <c r="X20" i="53"/>
  <c r="X19" i="53"/>
  <c r="X18" i="53"/>
  <c r="J18" i="53"/>
  <c r="X17" i="53"/>
  <c r="W17" i="53"/>
  <c r="X16" i="53"/>
  <c r="X15" i="53"/>
  <c r="X14" i="53"/>
  <c r="J14" i="53"/>
  <c r="X13" i="53"/>
  <c r="W13" i="53"/>
  <c r="X12" i="53"/>
  <c r="X11" i="53"/>
  <c r="X10" i="53"/>
  <c r="J10" i="53"/>
  <c r="H10" i="53"/>
  <c r="E10" i="53"/>
  <c r="X9" i="53"/>
  <c r="W9" i="53"/>
  <c r="X8" i="53"/>
  <c r="X7" i="53"/>
  <c r="X46" i="52"/>
  <c r="J46" i="52"/>
  <c r="H46" i="52"/>
  <c r="E46" i="52"/>
  <c r="X45" i="52"/>
  <c r="W45" i="52"/>
  <c r="X44" i="52"/>
  <c r="X43" i="52"/>
  <c r="X42" i="52"/>
  <c r="J42" i="52"/>
  <c r="H42" i="52"/>
  <c r="X41" i="52"/>
  <c r="W41" i="52"/>
  <c r="X40" i="52"/>
  <c r="X39" i="52"/>
  <c r="X38" i="52"/>
  <c r="J38" i="52"/>
  <c r="X37" i="52"/>
  <c r="W37" i="52"/>
  <c r="X36" i="52"/>
  <c r="X35" i="52"/>
  <c r="X34" i="52"/>
  <c r="J34" i="52"/>
  <c r="H34" i="52"/>
  <c r="E34" i="52"/>
  <c r="X33" i="52"/>
  <c r="W33" i="52"/>
  <c r="X32" i="52"/>
  <c r="X31" i="52"/>
  <c r="X30" i="52"/>
  <c r="J30" i="52"/>
  <c r="H30" i="52"/>
  <c r="X29" i="52"/>
  <c r="W29" i="52"/>
  <c r="X28" i="52"/>
  <c r="X27" i="52"/>
  <c r="X26" i="52"/>
  <c r="J26" i="52"/>
  <c r="X25" i="52"/>
  <c r="W25" i="52"/>
  <c r="X24" i="52"/>
  <c r="X23" i="52"/>
  <c r="X22" i="52"/>
  <c r="J22" i="52"/>
  <c r="H22" i="52"/>
  <c r="X21" i="52"/>
  <c r="W21" i="52"/>
  <c r="X20" i="52"/>
  <c r="X19" i="52"/>
  <c r="X18" i="52"/>
  <c r="J18" i="52"/>
  <c r="X17" i="52"/>
  <c r="W17" i="52"/>
  <c r="X16" i="52"/>
  <c r="X15" i="52"/>
  <c r="X14" i="52"/>
  <c r="J14" i="52"/>
  <c r="X13" i="52"/>
  <c r="W13" i="52"/>
  <c r="X12" i="52"/>
  <c r="X11" i="52"/>
  <c r="X10" i="52"/>
  <c r="J10" i="52"/>
  <c r="H10" i="52"/>
  <c r="E10" i="52"/>
  <c r="X9" i="52"/>
  <c r="W9" i="52"/>
  <c r="X8" i="52"/>
  <c r="X7" i="52"/>
  <c r="S46" i="51"/>
  <c r="H46" i="51"/>
  <c r="E46" i="51"/>
  <c r="S45" i="51"/>
  <c r="R45" i="51"/>
  <c r="S44" i="51"/>
  <c r="S43" i="51"/>
  <c r="S42" i="51"/>
  <c r="H42" i="51"/>
  <c r="S41" i="51"/>
  <c r="R41" i="51"/>
  <c r="S40" i="51"/>
  <c r="S39" i="51"/>
  <c r="S38" i="51"/>
  <c r="H38" i="51"/>
  <c r="E38" i="51"/>
  <c r="S37" i="51"/>
  <c r="R37" i="51"/>
  <c r="S36" i="51"/>
  <c r="S35" i="51"/>
  <c r="S34" i="51"/>
  <c r="H34" i="51"/>
  <c r="S33" i="51"/>
  <c r="R33" i="51"/>
  <c r="S32" i="51"/>
  <c r="S31" i="51"/>
  <c r="S30" i="51"/>
  <c r="H30" i="51"/>
  <c r="S29" i="51"/>
  <c r="R29" i="51"/>
  <c r="S28" i="51"/>
  <c r="S27" i="51"/>
  <c r="S26" i="51"/>
  <c r="H26" i="51"/>
  <c r="E26" i="51"/>
  <c r="S25" i="51"/>
  <c r="R25" i="51"/>
  <c r="S24" i="51"/>
  <c r="S23" i="51"/>
  <c r="S22" i="51"/>
  <c r="H22" i="51"/>
  <c r="S21" i="51"/>
  <c r="R21" i="51"/>
  <c r="S20" i="51"/>
  <c r="S19" i="51"/>
  <c r="S18" i="51"/>
  <c r="H18" i="51"/>
  <c r="S17" i="51"/>
  <c r="R17" i="51"/>
  <c r="S16" i="51"/>
  <c r="S15" i="51"/>
  <c r="S14" i="51"/>
  <c r="H14" i="51"/>
  <c r="S13" i="51"/>
  <c r="R13" i="51"/>
  <c r="S12" i="51"/>
  <c r="S11" i="51"/>
  <c r="S10" i="51"/>
  <c r="H10" i="51"/>
  <c r="E10" i="51"/>
  <c r="S9" i="51"/>
  <c r="R9" i="51"/>
  <c r="S8" i="51"/>
  <c r="S7" i="51"/>
  <c r="S46" i="50"/>
  <c r="H46" i="50"/>
  <c r="S45" i="50"/>
  <c r="R45" i="50"/>
  <c r="S44" i="50"/>
  <c r="S43" i="50"/>
  <c r="S42" i="50"/>
  <c r="H42" i="50"/>
  <c r="S41" i="50"/>
  <c r="R41" i="50"/>
  <c r="S40" i="50"/>
  <c r="S39" i="50"/>
  <c r="S38" i="50"/>
  <c r="H38" i="50"/>
  <c r="S37" i="50"/>
  <c r="R37" i="50"/>
  <c r="S36" i="50"/>
  <c r="S35" i="50"/>
  <c r="S34" i="50"/>
  <c r="H34" i="50"/>
  <c r="S33" i="50"/>
  <c r="R33" i="50"/>
  <c r="S32" i="50"/>
  <c r="S31" i="50"/>
  <c r="S30" i="50"/>
  <c r="H30" i="50"/>
  <c r="S29" i="50"/>
  <c r="R29" i="50"/>
  <c r="S28" i="50"/>
  <c r="S27" i="50"/>
  <c r="S26" i="50"/>
  <c r="H26" i="50"/>
  <c r="S25" i="50"/>
  <c r="R25" i="50"/>
  <c r="S24" i="50"/>
  <c r="S23" i="50"/>
  <c r="S22" i="50"/>
  <c r="H22" i="50"/>
  <c r="S21" i="50"/>
  <c r="R21" i="50"/>
  <c r="S20" i="50"/>
  <c r="S19" i="50"/>
  <c r="S18" i="50"/>
  <c r="H18" i="50"/>
  <c r="S17" i="50"/>
  <c r="R17" i="50"/>
  <c r="S16" i="50"/>
  <c r="S15" i="50"/>
  <c r="S14" i="50"/>
  <c r="H14" i="50"/>
  <c r="S13" i="50"/>
  <c r="R13" i="50"/>
  <c r="S12" i="50"/>
  <c r="S11" i="50"/>
  <c r="S10" i="50"/>
  <c r="H10" i="50"/>
  <c r="S9" i="50"/>
  <c r="R9" i="50"/>
  <c r="S8" i="50"/>
  <c r="S7" i="50"/>
  <c r="V46" i="49"/>
  <c r="H46" i="49"/>
  <c r="E46" i="49"/>
  <c r="V45" i="49"/>
  <c r="U45" i="49"/>
  <c r="V44" i="49"/>
  <c r="V43" i="49"/>
  <c r="V42" i="49"/>
  <c r="H42" i="49"/>
  <c r="V41" i="49"/>
  <c r="U41" i="49"/>
  <c r="V40" i="49"/>
  <c r="V39" i="49"/>
  <c r="V38" i="49"/>
  <c r="H38" i="49"/>
  <c r="E38" i="49"/>
  <c r="V37" i="49"/>
  <c r="U37" i="49"/>
  <c r="V36" i="49"/>
  <c r="V35" i="49"/>
  <c r="V34" i="49"/>
  <c r="H34" i="49"/>
  <c r="V33" i="49"/>
  <c r="U33" i="49"/>
  <c r="V32" i="49"/>
  <c r="V31" i="49"/>
  <c r="V30" i="49"/>
  <c r="H30" i="49"/>
  <c r="V29" i="49"/>
  <c r="U29" i="49"/>
  <c r="V28" i="49"/>
  <c r="V27" i="49"/>
  <c r="V26" i="49"/>
  <c r="H26" i="49"/>
  <c r="E26" i="49"/>
  <c r="V25" i="49"/>
  <c r="U25" i="49"/>
  <c r="V24" i="49"/>
  <c r="V23" i="49"/>
  <c r="V22" i="49"/>
  <c r="H22" i="49"/>
  <c r="V21" i="49"/>
  <c r="U21" i="49"/>
  <c r="V20" i="49"/>
  <c r="V19" i="49"/>
  <c r="V18" i="49"/>
  <c r="H18" i="49"/>
  <c r="V17" i="49"/>
  <c r="U17" i="49"/>
  <c r="V16" i="49"/>
  <c r="V15" i="49"/>
  <c r="V14" i="49"/>
  <c r="H14" i="49"/>
  <c r="V13" i="49"/>
  <c r="U13" i="49"/>
  <c r="V12" i="49"/>
  <c r="V11" i="49"/>
  <c r="V10" i="49"/>
  <c r="H10" i="49"/>
  <c r="E10" i="49"/>
  <c r="V9" i="49"/>
  <c r="U9" i="49"/>
  <c r="V8" i="49"/>
  <c r="V7" i="49"/>
  <c r="S46" i="48"/>
  <c r="H46" i="48"/>
  <c r="E46" i="48"/>
  <c r="S45" i="48"/>
  <c r="R45" i="48"/>
  <c r="S44" i="48"/>
  <c r="S43" i="48"/>
  <c r="S42" i="48"/>
  <c r="H42" i="48"/>
  <c r="S41" i="48"/>
  <c r="R41" i="48"/>
  <c r="S40" i="48"/>
  <c r="S39" i="48"/>
  <c r="S38" i="48"/>
  <c r="H38" i="48"/>
  <c r="E38" i="48"/>
  <c r="S37" i="48"/>
  <c r="R37" i="48"/>
  <c r="S36" i="48"/>
  <c r="S35" i="48"/>
  <c r="S34" i="48"/>
  <c r="H34" i="48"/>
  <c r="S33" i="48"/>
  <c r="R33" i="48"/>
  <c r="S32" i="48"/>
  <c r="S31" i="48"/>
  <c r="S30" i="48"/>
  <c r="H30" i="48"/>
  <c r="S29" i="48"/>
  <c r="R29" i="48"/>
  <c r="S28" i="48"/>
  <c r="S27" i="48"/>
  <c r="S26" i="48"/>
  <c r="H26" i="48"/>
  <c r="E26" i="48"/>
  <c r="S25" i="48"/>
  <c r="R25" i="48"/>
  <c r="S24" i="48"/>
  <c r="S23" i="48"/>
  <c r="S22" i="48"/>
  <c r="H22" i="48"/>
  <c r="S21" i="48"/>
  <c r="R21" i="48"/>
  <c r="S20" i="48"/>
  <c r="S19" i="48"/>
  <c r="S18" i="48"/>
  <c r="H18" i="48"/>
  <c r="S17" i="48"/>
  <c r="R17" i="48"/>
  <c r="S16" i="48"/>
  <c r="S15" i="48"/>
  <c r="S14" i="48"/>
  <c r="H14" i="48"/>
  <c r="S13" i="48"/>
  <c r="R13" i="48"/>
  <c r="S12" i="48"/>
  <c r="S11" i="48"/>
  <c r="S10" i="48"/>
  <c r="H10" i="48"/>
  <c r="E10" i="48"/>
  <c r="S9" i="48"/>
  <c r="R9" i="48"/>
  <c r="S8" i="48"/>
  <c r="S7" i="48"/>
  <c r="S46" i="47"/>
  <c r="H46" i="47"/>
  <c r="E46" i="47"/>
  <c r="S45" i="47"/>
  <c r="R45" i="47"/>
  <c r="S44" i="47"/>
  <c r="S43" i="47"/>
  <c r="S42" i="47"/>
  <c r="H42" i="47"/>
  <c r="S41" i="47"/>
  <c r="R41" i="47"/>
  <c r="S40" i="47"/>
  <c r="S39" i="47"/>
  <c r="S38" i="47"/>
  <c r="H38" i="47"/>
  <c r="E38" i="47"/>
  <c r="S37" i="47"/>
  <c r="R37" i="47"/>
  <c r="S36" i="47"/>
  <c r="S35" i="47"/>
  <c r="S34" i="47"/>
  <c r="H34" i="47"/>
  <c r="S33" i="47"/>
  <c r="R33" i="47"/>
  <c r="S32" i="47"/>
  <c r="S31" i="47"/>
  <c r="S30" i="47"/>
  <c r="H30" i="47"/>
  <c r="S29" i="47"/>
  <c r="R29" i="47"/>
  <c r="S28" i="47"/>
  <c r="S27" i="47"/>
  <c r="S26" i="47"/>
  <c r="H26" i="47"/>
  <c r="E26" i="47"/>
  <c r="S25" i="47"/>
  <c r="R25" i="47"/>
  <c r="S24" i="47"/>
  <c r="S23" i="47"/>
  <c r="S22" i="47"/>
  <c r="H22" i="47"/>
  <c r="S21" i="47"/>
  <c r="R21" i="47"/>
  <c r="S20" i="47"/>
  <c r="S19" i="47"/>
  <c r="S18" i="47"/>
  <c r="H18" i="47"/>
  <c r="S17" i="47"/>
  <c r="R17" i="47"/>
  <c r="S16" i="47"/>
  <c r="S15" i="47"/>
  <c r="S14" i="47"/>
  <c r="H14" i="47"/>
  <c r="S13" i="47"/>
  <c r="R13" i="47"/>
  <c r="S12" i="47"/>
  <c r="S11" i="47"/>
  <c r="S10" i="47"/>
  <c r="H10" i="47"/>
  <c r="E10" i="47"/>
  <c r="S9" i="47"/>
  <c r="R9" i="47"/>
  <c r="S8" i="47"/>
  <c r="S7" i="47"/>
  <c r="V46" i="46"/>
  <c r="H46" i="46"/>
  <c r="E46" i="46"/>
  <c r="V45" i="46"/>
  <c r="U45" i="46"/>
  <c r="V44" i="46"/>
  <c r="V43" i="46"/>
  <c r="V42" i="46"/>
  <c r="H42" i="46"/>
  <c r="V41" i="46"/>
  <c r="U41" i="46"/>
  <c r="V40" i="46"/>
  <c r="V39" i="46"/>
  <c r="V38" i="46"/>
  <c r="H38" i="46"/>
  <c r="E38" i="46"/>
  <c r="V37" i="46"/>
  <c r="U37" i="46"/>
  <c r="V36" i="46"/>
  <c r="V35" i="46"/>
  <c r="V34" i="46"/>
  <c r="H34" i="46"/>
  <c r="V33" i="46"/>
  <c r="U33" i="46"/>
  <c r="V32" i="46"/>
  <c r="V31" i="46"/>
  <c r="V30" i="46"/>
  <c r="H30" i="46"/>
  <c r="V29" i="46"/>
  <c r="U29" i="46"/>
  <c r="V28" i="46"/>
  <c r="V27" i="46"/>
  <c r="V26" i="46"/>
  <c r="H26" i="46"/>
  <c r="E26" i="46"/>
  <c r="V25" i="46"/>
  <c r="U25" i="46"/>
  <c r="V24" i="46"/>
  <c r="V23" i="46"/>
  <c r="V22" i="46"/>
  <c r="H22" i="46"/>
  <c r="V21" i="46"/>
  <c r="U21" i="46"/>
  <c r="V20" i="46"/>
  <c r="V19" i="46"/>
  <c r="V18" i="46"/>
  <c r="H18" i="46"/>
  <c r="V17" i="46"/>
  <c r="U17" i="46"/>
  <c r="V16" i="46"/>
  <c r="V15" i="46"/>
  <c r="V14" i="46"/>
  <c r="H14" i="46"/>
  <c r="V13" i="46"/>
  <c r="U13" i="46"/>
  <c r="V12" i="46"/>
  <c r="V11" i="46"/>
  <c r="V10" i="46"/>
  <c r="H10" i="46"/>
  <c r="E10" i="46"/>
  <c r="V9" i="46"/>
  <c r="U9" i="46"/>
  <c r="V8" i="46"/>
  <c r="V7" i="46"/>
  <c r="O54" i="45"/>
  <c r="D54" i="45"/>
  <c r="O53" i="45"/>
  <c r="N53" i="45"/>
  <c r="O52" i="45"/>
  <c r="O51" i="45"/>
  <c r="O50" i="45"/>
  <c r="D50" i="45"/>
  <c r="O49" i="45"/>
  <c r="N49" i="45"/>
  <c r="O48" i="45"/>
  <c r="O47" i="45"/>
  <c r="O46" i="45"/>
  <c r="D46" i="45"/>
  <c r="O45" i="45"/>
  <c r="N45" i="45"/>
  <c r="O44" i="45"/>
  <c r="O43" i="45"/>
  <c r="O42" i="45"/>
  <c r="D42" i="45"/>
  <c r="O41" i="45"/>
  <c r="N41" i="45"/>
  <c r="O40" i="45"/>
  <c r="O39" i="45"/>
  <c r="O38" i="45"/>
  <c r="D38" i="45"/>
  <c r="O37" i="45"/>
  <c r="N37" i="45"/>
  <c r="O36" i="45"/>
  <c r="O35" i="45"/>
  <c r="O34" i="45"/>
  <c r="D34" i="45"/>
  <c r="O33" i="45"/>
  <c r="N33" i="45"/>
  <c r="O32" i="45"/>
  <c r="O31" i="45"/>
  <c r="O30" i="45"/>
  <c r="D30" i="45"/>
  <c r="O29" i="45"/>
  <c r="N29" i="45"/>
  <c r="O28" i="45"/>
  <c r="O27" i="45"/>
  <c r="O26" i="45"/>
  <c r="D26" i="45"/>
  <c r="O25" i="45"/>
  <c r="N25" i="45"/>
  <c r="O24" i="45"/>
  <c r="O23" i="45"/>
  <c r="O22" i="45"/>
  <c r="D22" i="45"/>
  <c r="O21" i="45"/>
  <c r="N21" i="45"/>
  <c r="O20" i="45"/>
  <c r="O19" i="45"/>
  <c r="O18" i="45"/>
  <c r="D18" i="45"/>
  <c r="O17" i="45"/>
  <c r="N17" i="45"/>
  <c r="O16" i="45"/>
  <c r="O15" i="45"/>
  <c r="O14" i="45"/>
  <c r="D14" i="45"/>
  <c r="O13" i="45"/>
  <c r="N13" i="45"/>
  <c r="O12" i="45"/>
  <c r="O11" i="45"/>
  <c r="O10" i="45"/>
  <c r="D10" i="45"/>
  <c r="O9" i="45"/>
  <c r="N9" i="45"/>
  <c r="O8" i="45"/>
  <c r="O7" i="45"/>
  <c r="O144" i="44"/>
  <c r="D144" i="44"/>
  <c r="O143" i="44"/>
  <c r="N143" i="44"/>
  <c r="O142" i="44"/>
  <c r="O141" i="44"/>
  <c r="O140" i="44"/>
  <c r="D140" i="44"/>
  <c r="O139" i="44"/>
  <c r="N139" i="44"/>
  <c r="O138" i="44"/>
  <c r="O137" i="44"/>
  <c r="O136" i="44"/>
  <c r="D136" i="44"/>
  <c r="O135" i="44"/>
  <c r="N135" i="44"/>
  <c r="O134" i="44"/>
  <c r="O133" i="44"/>
  <c r="O132" i="44"/>
  <c r="D132" i="44"/>
  <c r="O131" i="44"/>
  <c r="N131" i="44"/>
  <c r="O130" i="44"/>
  <c r="O129" i="44"/>
  <c r="O128" i="44"/>
  <c r="D128" i="44"/>
  <c r="O127" i="44"/>
  <c r="N127" i="44"/>
  <c r="O126" i="44"/>
  <c r="O125" i="44"/>
  <c r="O124" i="44"/>
  <c r="D124" i="44"/>
  <c r="O123" i="44"/>
  <c r="N123" i="44"/>
  <c r="O122" i="44"/>
  <c r="O121" i="44"/>
  <c r="O120" i="44"/>
  <c r="D120" i="44"/>
  <c r="O119" i="44"/>
  <c r="N119" i="44"/>
  <c r="O118" i="44"/>
  <c r="O117" i="44"/>
  <c r="O116" i="44"/>
  <c r="D116" i="44"/>
  <c r="O115" i="44"/>
  <c r="N115" i="44"/>
  <c r="O114" i="44"/>
  <c r="O113" i="44"/>
  <c r="O107" i="44"/>
  <c r="D107" i="44"/>
  <c r="O106" i="44"/>
  <c r="N106" i="44"/>
  <c r="O105" i="44"/>
  <c r="O104" i="44"/>
  <c r="O103" i="44"/>
  <c r="D103" i="44"/>
  <c r="O102" i="44"/>
  <c r="N102" i="44"/>
  <c r="O101" i="44"/>
  <c r="O100" i="44"/>
  <c r="O99" i="44"/>
  <c r="D99" i="44"/>
  <c r="O98" i="44"/>
  <c r="N98" i="44"/>
  <c r="O97" i="44"/>
  <c r="O96" i="44"/>
  <c r="O95" i="44"/>
  <c r="D95" i="44"/>
  <c r="O94" i="44"/>
  <c r="N94" i="44"/>
  <c r="O93" i="44"/>
  <c r="O92" i="44"/>
  <c r="O86" i="44"/>
  <c r="D86" i="44"/>
  <c r="O85" i="44"/>
  <c r="N85" i="44"/>
  <c r="O84" i="44"/>
  <c r="O83" i="44"/>
  <c r="O82" i="44"/>
  <c r="D82" i="44"/>
  <c r="O81" i="44"/>
  <c r="N81" i="44"/>
  <c r="O80" i="44"/>
  <c r="O79" i="44"/>
  <c r="O78" i="44"/>
  <c r="D78" i="44"/>
  <c r="O77" i="44"/>
  <c r="N77" i="44"/>
  <c r="O76" i="44"/>
  <c r="O75" i="44"/>
  <c r="O74" i="44"/>
  <c r="D74" i="44"/>
  <c r="O73" i="44"/>
  <c r="N73" i="44"/>
  <c r="O72" i="44"/>
  <c r="O71" i="44"/>
  <c r="O70" i="44"/>
  <c r="D70" i="44"/>
  <c r="O69" i="44"/>
  <c r="N69" i="44"/>
  <c r="O68" i="44"/>
  <c r="O67" i="44"/>
  <c r="O66" i="44"/>
  <c r="D66" i="44"/>
  <c r="O65" i="44"/>
  <c r="N65" i="44"/>
  <c r="O64" i="44"/>
  <c r="O63" i="44"/>
  <c r="O62" i="44"/>
  <c r="D62" i="44"/>
  <c r="O61" i="44"/>
  <c r="N61" i="44"/>
  <c r="O60" i="44"/>
  <c r="O59" i="44"/>
  <c r="O58" i="44"/>
  <c r="D58" i="44"/>
  <c r="O57" i="44"/>
  <c r="N57" i="44"/>
  <c r="O56" i="44"/>
  <c r="O55" i="44"/>
  <c r="O54" i="44"/>
  <c r="D54" i="44"/>
  <c r="O53" i="44"/>
  <c r="N53" i="44"/>
  <c r="O52" i="44"/>
  <c r="O51" i="44"/>
  <c r="O50" i="44"/>
  <c r="D50" i="44"/>
  <c r="O49" i="44"/>
  <c r="N49" i="44"/>
  <c r="O48" i="44"/>
  <c r="O47" i="44"/>
  <c r="O46" i="44"/>
  <c r="D46" i="44"/>
  <c r="O45" i="44"/>
  <c r="N45" i="44"/>
  <c r="O44" i="44"/>
  <c r="O43" i="44"/>
  <c r="O42" i="44"/>
  <c r="D42" i="44"/>
  <c r="O41" i="44"/>
  <c r="N41" i="44"/>
  <c r="O40" i="44"/>
  <c r="O39" i="44"/>
  <c r="O38" i="44"/>
  <c r="D38" i="44"/>
  <c r="O37" i="44"/>
  <c r="N37" i="44"/>
  <c r="O36" i="44"/>
  <c r="O35" i="44"/>
  <c r="O34" i="44"/>
  <c r="D34" i="44"/>
  <c r="O33" i="44"/>
  <c r="N33" i="44"/>
  <c r="O32" i="44"/>
  <c r="O31" i="44"/>
  <c r="O30" i="44"/>
  <c r="D30" i="44"/>
  <c r="O29" i="44"/>
  <c r="N29" i="44"/>
  <c r="O28" i="44"/>
  <c r="O27" i="44"/>
  <c r="O26" i="44"/>
  <c r="D26" i="44"/>
  <c r="O25" i="44"/>
  <c r="N25" i="44"/>
  <c r="O24" i="44"/>
  <c r="O23" i="44"/>
  <c r="O22" i="44"/>
  <c r="D22" i="44"/>
  <c r="O21" i="44"/>
  <c r="N21" i="44"/>
  <c r="O20" i="44"/>
  <c r="O19" i="44"/>
  <c r="O18" i="44"/>
  <c r="D18" i="44"/>
  <c r="O17" i="44"/>
  <c r="N17" i="44"/>
  <c r="O16" i="44"/>
  <c r="O15" i="44"/>
  <c r="O14" i="44"/>
  <c r="D14" i="44"/>
  <c r="O13" i="44"/>
  <c r="N13" i="44"/>
  <c r="O12" i="44"/>
  <c r="O11" i="44"/>
  <c r="O10" i="44"/>
  <c r="D10" i="44"/>
  <c r="O9" i="44"/>
  <c r="N9" i="44"/>
  <c r="O8" i="44"/>
  <c r="O7" i="44"/>
  <c r="Q110" i="43"/>
  <c r="P110" i="43"/>
  <c r="Q109" i="43"/>
  <c r="Q108" i="43"/>
  <c r="Q107" i="43"/>
  <c r="Q106" i="43"/>
  <c r="D106" i="43"/>
  <c r="Q105" i="43"/>
  <c r="Q104" i="43"/>
  <c r="Q103" i="43"/>
  <c r="Q102" i="43"/>
  <c r="P102" i="43"/>
  <c r="Q101" i="43"/>
  <c r="Q100" i="43"/>
  <c r="Q99" i="43"/>
  <c r="Q98" i="43"/>
  <c r="D98" i="43"/>
  <c r="Q97" i="43"/>
  <c r="Q96" i="43"/>
  <c r="Q95" i="43"/>
  <c r="Q94" i="43"/>
  <c r="P94" i="43"/>
  <c r="Q93" i="43"/>
  <c r="Q92" i="43"/>
  <c r="Q91" i="43"/>
  <c r="Q90" i="43"/>
  <c r="D90" i="43"/>
  <c r="Q89" i="43"/>
  <c r="Q88" i="43"/>
  <c r="Q87" i="43"/>
  <c r="Q86" i="43"/>
  <c r="P86" i="43"/>
  <c r="Q85" i="43"/>
  <c r="Q84" i="43"/>
  <c r="Q83" i="43"/>
  <c r="Q82" i="43"/>
  <c r="D82" i="43"/>
  <c r="Q81" i="43"/>
  <c r="Q80" i="43"/>
  <c r="Q79" i="43"/>
  <c r="Q78" i="43"/>
  <c r="P78" i="43"/>
  <c r="Q77" i="43"/>
  <c r="Q76" i="43"/>
  <c r="Q75" i="43"/>
  <c r="Q74" i="43"/>
  <c r="D74" i="43"/>
  <c r="Q73" i="43"/>
  <c r="Q72" i="43"/>
  <c r="Q71" i="43"/>
  <c r="Q70" i="43"/>
  <c r="P70" i="43"/>
  <c r="Q69" i="43"/>
  <c r="Q68" i="43"/>
  <c r="Q67" i="43"/>
  <c r="Q66" i="43"/>
  <c r="D66" i="43"/>
  <c r="Q65" i="43"/>
  <c r="Q64" i="43"/>
  <c r="Q63" i="43"/>
  <c r="Q62" i="43"/>
  <c r="P62" i="43"/>
  <c r="Q61" i="43"/>
  <c r="Q60" i="43"/>
  <c r="Q59" i="43"/>
  <c r="Q58" i="43"/>
  <c r="D58" i="43"/>
  <c r="Q57" i="43"/>
  <c r="Q56" i="43"/>
  <c r="Q55" i="43"/>
  <c r="Q54" i="43"/>
  <c r="P54" i="43"/>
  <c r="Q53" i="43"/>
  <c r="Q52" i="43"/>
  <c r="Q51" i="43"/>
  <c r="Q50" i="43"/>
  <c r="D50" i="43"/>
  <c r="Q49" i="43"/>
  <c r="Q48" i="43"/>
  <c r="Q47" i="43"/>
  <c r="Q46" i="43"/>
  <c r="P46" i="43"/>
  <c r="Q45" i="43"/>
  <c r="Q44" i="43"/>
  <c r="Q43" i="43"/>
  <c r="Q42" i="43"/>
  <c r="D42" i="43"/>
  <c r="Q41" i="43"/>
  <c r="Q40" i="43"/>
  <c r="Q39" i="43"/>
  <c r="Q38" i="43"/>
  <c r="P38" i="43"/>
  <c r="Q37" i="43"/>
  <c r="Q36" i="43"/>
  <c r="Q35" i="43"/>
  <c r="Q34" i="43"/>
  <c r="D34" i="43"/>
  <c r="Q33" i="43"/>
  <c r="Q32" i="43"/>
  <c r="Q31" i="43"/>
  <c r="Q30" i="43"/>
  <c r="P30" i="43"/>
  <c r="Q29" i="43"/>
  <c r="Q28" i="43"/>
  <c r="Q27" i="43"/>
  <c r="Q26" i="43"/>
  <c r="D26" i="43"/>
  <c r="Q25" i="43"/>
  <c r="Q24" i="43"/>
  <c r="Q23" i="43"/>
  <c r="Q22" i="43"/>
  <c r="P22" i="43"/>
  <c r="Q21" i="43"/>
  <c r="Q20" i="43"/>
  <c r="Q19" i="43"/>
  <c r="Q18" i="43"/>
  <c r="D18" i="43"/>
  <c r="Q17" i="43"/>
  <c r="Q16" i="43"/>
  <c r="Q15" i="43"/>
  <c r="Q14" i="43"/>
  <c r="P14" i="43"/>
  <c r="Q13" i="43"/>
  <c r="Q12" i="43"/>
  <c r="Q11" i="43"/>
  <c r="Q10" i="43"/>
  <c r="D10" i="43"/>
  <c r="Q9" i="43"/>
  <c r="Q8" i="43"/>
  <c r="Q7" i="43"/>
  <c r="Q123" i="42"/>
  <c r="P123" i="42"/>
  <c r="Q122" i="42"/>
  <c r="Q121" i="42"/>
  <c r="Q120" i="42"/>
  <c r="Q119" i="42"/>
  <c r="D119" i="42"/>
  <c r="Q118" i="42"/>
  <c r="Q117" i="42"/>
  <c r="Q116" i="42"/>
  <c r="Q115" i="42"/>
  <c r="P115" i="42"/>
  <c r="Q114" i="42"/>
  <c r="Q113" i="42"/>
  <c r="Q112" i="42"/>
  <c r="Q111" i="42"/>
  <c r="D111" i="42"/>
  <c r="Q110" i="42"/>
  <c r="Q109" i="42"/>
  <c r="Q108" i="42"/>
  <c r="Q107" i="42"/>
  <c r="P107" i="42"/>
  <c r="Q106" i="42"/>
  <c r="Q105" i="42"/>
  <c r="Q104" i="42"/>
  <c r="Q103" i="42"/>
  <c r="D103" i="42"/>
  <c r="Q102" i="42"/>
  <c r="Q101" i="42"/>
  <c r="Q100" i="42"/>
  <c r="Q99" i="42"/>
  <c r="P99" i="42"/>
  <c r="Q98" i="42"/>
  <c r="Q97" i="42"/>
  <c r="Q96" i="42"/>
  <c r="Q95" i="42"/>
  <c r="D95" i="42"/>
  <c r="Q94" i="42"/>
  <c r="Q93" i="42"/>
  <c r="Q92" i="42"/>
  <c r="Q91" i="42"/>
  <c r="P91" i="42"/>
  <c r="Q90" i="42"/>
  <c r="Q89" i="42"/>
  <c r="Q88" i="42"/>
  <c r="Q87" i="42"/>
  <c r="D87" i="42"/>
  <c r="Q86" i="42"/>
  <c r="Q85" i="42"/>
  <c r="Q84" i="42"/>
  <c r="Q83" i="42"/>
  <c r="P83" i="42"/>
  <c r="Q82" i="42"/>
  <c r="Q81" i="42"/>
  <c r="Q80" i="42"/>
  <c r="Q79" i="42"/>
  <c r="D79" i="42"/>
  <c r="Q78" i="42"/>
  <c r="Q77" i="42"/>
  <c r="Q76" i="42"/>
  <c r="Q75" i="42"/>
  <c r="P75" i="42"/>
  <c r="Q74" i="42"/>
  <c r="Q73" i="42"/>
  <c r="Q72" i="42"/>
  <c r="Q71" i="42"/>
  <c r="D71" i="42"/>
  <c r="Q70" i="42"/>
  <c r="Q69" i="42"/>
  <c r="Q68" i="42"/>
  <c r="Q67" i="42"/>
  <c r="P67" i="42"/>
  <c r="Q66" i="42"/>
  <c r="Q65" i="42"/>
  <c r="Q64" i="42"/>
  <c r="Q63" i="42"/>
  <c r="D63" i="42"/>
  <c r="Q62" i="42"/>
  <c r="Q61" i="42"/>
  <c r="Q60" i="42"/>
  <c r="Q59" i="42"/>
  <c r="P59" i="42"/>
  <c r="Q58" i="42"/>
  <c r="Q57" i="42"/>
  <c r="Q56" i="42"/>
  <c r="Q55" i="42"/>
  <c r="D55" i="42"/>
  <c r="Q54" i="42"/>
  <c r="Q53" i="42"/>
  <c r="Q52" i="42"/>
  <c r="Q46" i="42"/>
  <c r="P46" i="42"/>
  <c r="Q45" i="42"/>
  <c r="Q44" i="42"/>
  <c r="Q43" i="42"/>
  <c r="Q42" i="42"/>
  <c r="D42" i="42"/>
  <c r="Q41" i="42"/>
  <c r="Q40" i="42"/>
  <c r="Q39" i="42"/>
  <c r="Q38" i="42"/>
  <c r="P38" i="42"/>
  <c r="Q37" i="42"/>
  <c r="Q36" i="42"/>
  <c r="Q35" i="42"/>
  <c r="Q34" i="42"/>
  <c r="D34" i="42"/>
  <c r="Q33" i="42"/>
  <c r="Q32" i="42"/>
  <c r="Q31" i="42"/>
  <c r="Q30" i="42"/>
  <c r="P30" i="42"/>
  <c r="Q29" i="42"/>
  <c r="Q28" i="42"/>
  <c r="Q27" i="42"/>
  <c r="Q26" i="42"/>
  <c r="D26" i="42"/>
  <c r="Q25" i="42"/>
  <c r="Q24" i="42"/>
  <c r="Q23" i="42"/>
  <c r="Q22" i="42"/>
  <c r="P22" i="42"/>
  <c r="Q21" i="42"/>
  <c r="Q20" i="42"/>
  <c r="Q19" i="42"/>
  <c r="Q18" i="42"/>
  <c r="D18" i="42"/>
  <c r="Q17" i="42"/>
  <c r="Q16" i="42"/>
  <c r="Q15" i="42"/>
  <c r="Q14" i="42"/>
  <c r="P14" i="42"/>
  <c r="Q13" i="42"/>
  <c r="Q12" i="42"/>
  <c r="Q11" i="42"/>
  <c r="Q10" i="42"/>
  <c r="D10" i="42"/>
  <c r="Q9" i="42"/>
  <c r="Q8" i="42"/>
  <c r="Q7" i="42"/>
  <c r="N174" i="41"/>
  <c r="M174" i="41"/>
  <c r="N173" i="41"/>
  <c r="N172" i="41"/>
  <c r="N171" i="41"/>
  <c r="N170" i="41"/>
  <c r="D170" i="41"/>
  <c r="N169" i="41"/>
  <c r="N168" i="41"/>
  <c r="N167" i="41"/>
  <c r="N166" i="41"/>
  <c r="M166" i="41"/>
  <c r="N165" i="41"/>
  <c r="N164" i="41"/>
  <c r="N163" i="41"/>
  <c r="N162" i="41"/>
  <c r="D162" i="41"/>
  <c r="N161" i="41"/>
  <c r="N160" i="41"/>
  <c r="N159" i="41"/>
  <c r="N158" i="41"/>
  <c r="M158" i="41"/>
  <c r="N157" i="41"/>
  <c r="N156" i="41"/>
  <c r="N155" i="41"/>
  <c r="N154" i="41"/>
  <c r="D154" i="41"/>
  <c r="N153" i="41"/>
  <c r="N152" i="41"/>
  <c r="N151" i="41"/>
  <c r="N150" i="41"/>
  <c r="M150" i="41"/>
  <c r="N149" i="41"/>
  <c r="N148" i="41"/>
  <c r="N147" i="41"/>
  <c r="N146" i="41"/>
  <c r="D146" i="41"/>
  <c r="N145" i="41"/>
  <c r="N144" i="41"/>
  <c r="N143" i="41"/>
  <c r="N142" i="41"/>
  <c r="M142" i="41"/>
  <c r="N141" i="41"/>
  <c r="N140" i="41"/>
  <c r="N139" i="41"/>
  <c r="N138" i="41"/>
  <c r="D138" i="41"/>
  <c r="N137" i="41"/>
  <c r="N136" i="41"/>
  <c r="N135" i="41"/>
  <c r="N134" i="41"/>
  <c r="M134" i="41"/>
  <c r="N133" i="41"/>
  <c r="N132" i="41"/>
  <c r="N131" i="41"/>
  <c r="N130" i="41"/>
  <c r="D130" i="41"/>
  <c r="N129" i="41"/>
  <c r="N128" i="41"/>
  <c r="N127" i="41"/>
  <c r="N126" i="41"/>
  <c r="M126" i="41"/>
  <c r="N125" i="41"/>
  <c r="N124" i="41"/>
  <c r="N123" i="41"/>
  <c r="N122" i="41"/>
  <c r="D122" i="41"/>
  <c r="N121" i="41"/>
  <c r="N120" i="41"/>
  <c r="N119" i="41"/>
  <c r="N118" i="41"/>
  <c r="M118" i="41"/>
  <c r="N117" i="41"/>
  <c r="N116" i="41"/>
  <c r="N115" i="41"/>
  <c r="N114" i="41"/>
  <c r="D114" i="41"/>
  <c r="N113" i="41"/>
  <c r="N112" i="41"/>
  <c r="N111" i="41"/>
  <c r="N110" i="41"/>
  <c r="M110" i="41"/>
  <c r="N109" i="41"/>
  <c r="N108" i="41"/>
  <c r="N107" i="41"/>
  <c r="N106" i="41"/>
  <c r="D106" i="41"/>
  <c r="N105" i="41"/>
  <c r="N104" i="41"/>
  <c r="N103" i="41"/>
  <c r="N102" i="41"/>
  <c r="M102" i="41"/>
  <c r="N101" i="41"/>
  <c r="N100" i="41"/>
  <c r="N99" i="41"/>
  <c r="N98" i="41"/>
  <c r="D98" i="41"/>
  <c r="N97" i="41"/>
  <c r="N96" i="41"/>
  <c r="N95" i="41"/>
  <c r="N94" i="41"/>
  <c r="M94" i="41"/>
  <c r="N93" i="41"/>
  <c r="N92" i="41"/>
  <c r="N91" i="41"/>
  <c r="N90" i="41"/>
  <c r="D90" i="41"/>
  <c r="N89" i="41"/>
  <c r="N88" i="41"/>
  <c r="N87" i="41"/>
  <c r="N86" i="41"/>
  <c r="M86" i="41"/>
  <c r="N85" i="41"/>
  <c r="N84" i="41"/>
  <c r="N83" i="41"/>
  <c r="N82" i="41"/>
  <c r="D82" i="41"/>
  <c r="N81" i="41"/>
  <c r="N80" i="41"/>
  <c r="N79" i="41"/>
  <c r="N78" i="41"/>
  <c r="M78" i="41"/>
  <c r="N77" i="41"/>
  <c r="N76" i="41"/>
  <c r="N75" i="41"/>
  <c r="N74" i="41"/>
  <c r="D74" i="41"/>
  <c r="N73" i="41"/>
  <c r="N72" i="41"/>
  <c r="N71" i="41"/>
  <c r="N70" i="41"/>
  <c r="M70" i="41"/>
  <c r="N69" i="41"/>
  <c r="N68" i="41"/>
  <c r="N67" i="41"/>
  <c r="N66" i="41"/>
  <c r="D66" i="41"/>
  <c r="N65" i="41"/>
  <c r="N64" i="41"/>
  <c r="N63" i="41"/>
  <c r="N62" i="41"/>
  <c r="M62" i="41"/>
  <c r="N61" i="41"/>
  <c r="N60" i="41"/>
  <c r="N59" i="41"/>
  <c r="N58" i="41"/>
  <c r="D58" i="41"/>
  <c r="N57" i="41"/>
  <c r="N56" i="41"/>
  <c r="N55" i="41"/>
  <c r="N54" i="41"/>
  <c r="M54" i="41"/>
  <c r="N53" i="41"/>
  <c r="N52" i="41"/>
  <c r="N51" i="41"/>
  <c r="N50" i="41"/>
  <c r="D50" i="41"/>
  <c r="N49" i="41"/>
  <c r="N48" i="41"/>
  <c r="N47" i="41"/>
  <c r="N46" i="41"/>
  <c r="M46" i="41"/>
  <c r="N45" i="41"/>
  <c r="N44" i="41"/>
  <c r="N43" i="41"/>
  <c r="N42" i="41"/>
  <c r="D42" i="41"/>
  <c r="N41" i="41"/>
  <c r="N40" i="41"/>
  <c r="N39" i="41"/>
  <c r="N38" i="41"/>
  <c r="M38" i="41"/>
  <c r="N37" i="41"/>
  <c r="N36" i="41"/>
  <c r="N35" i="41"/>
  <c r="N34" i="41"/>
  <c r="D34" i="41"/>
  <c r="N33" i="41"/>
  <c r="N32" i="41"/>
  <c r="N31" i="41"/>
  <c r="N30" i="41"/>
  <c r="M30" i="41"/>
  <c r="N29" i="41"/>
  <c r="N28" i="41"/>
  <c r="N27" i="41"/>
  <c r="N26" i="41"/>
  <c r="D26" i="41"/>
  <c r="N25" i="41"/>
  <c r="N24" i="41"/>
  <c r="N23" i="41"/>
  <c r="N22" i="41"/>
  <c r="M22" i="41"/>
  <c r="N21" i="41"/>
  <c r="N20" i="41"/>
  <c r="N19" i="41"/>
  <c r="N18" i="41"/>
  <c r="D18" i="41"/>
  <c r="N17" i="41"/>
  <c r="N16" i="41"/>
  <c r="N15" i="41"/>
  <c r="N14" i="41"/>
  <c r="M14" i="41"/>
  <c r="N13" i="41"/>
  <c r="N12" i="41"/>
  <c r="N11" i="41"/>
  <c r="N10" i="41"/>
  <c r="D10" i="41"/>
  <c r="N9" i="41"/>
  <c r="N8" i="41"/>
  <c r="N7" i="41"/>
  <c r="X14" i="40"/>
  <c r="W14" i="40"/>
  <c r="X13" i="40"/>
  <c r="X12" i="40"/>
  <c r="X11" i="40"/>
  <c r="X10" i="40"/>
  <c r="H10" i="40"/>
  <c r="F10" i="40"/>
  <c r="D10" i="40"/>
  <c r="X9" i="40"/>
  <c r="X8" i="40"/>
  <c r="X7" i="40"/>
  <c r="X166" i="39"/>
  <c r="W166" i="39"/>
  <c r="X165" i="39"/>
  <c r="X164" i="39"/>
  <c r="X163" i="39"/>
  <c r="X162" i="39"/>
  <c r="H162" i="39"/>
  <c r="F162" i="39"/>
  <c r="D162" i="39"/>
  <c r="X161" i="39"/>
  <c r="X160" i="39"/>
  <c r="X159" i="39"/>
  <c r="X158" i="39"/>
  <c r="W158" i="39"/>
  <c r="X157" i="39"/>
  <c r="X156" i="39"/>
  <c r="X155" i="39"/>
  <c r="X154" i="39"/>
  <c r="H154" i="39"/>
  <c r="X153" i="39"/>
  <c r="X152" i="39"/>
  <c r="X151" i="39"/>
  <c r="X150" i="39"/>
  <c r="W150" i="39"/>
  <c r="X149" i="39"/>
  <c r="X148" i="39"/>
  <c r="X147" i="39"/>
  <c r="X146" i="39"/>
  <c r="H146" i="39"/>
  <c r="F146" i="39"/>
  <c r="D146" i="39"/>
  <c r="X145" i="39"/>
  <c r="X144" i="39"/>
  <c r="X143" i="39"/>
  <c r="X142" i="39"/>
  <c r="W142" i="39"/>
  <c r="X141" i="39"/>
  <c r="X140" i="39"/>
  <c r="X139" i="39"/>
  <c r="X138" i="39"/>
  <c r="H138" i="39"/>
  <c r="X137" i="39"/>
  <c r="X136" i="39"/>
  <c r="X135" i="39"/>
  <c r="X134" i="39"/>
  <c r="W134" i="39"/>
  <c r="X133" i="39"/>
  <c r="X132" i="39"/>
  <c r="X131" i="39"/>
  <c r="X130" i="39"/>
  <c r="H130" i="39"/>
  <c r="X129" i="39"/>
  <c r="X128" i="39"/>
  <c r="X127" i="39"/>
  <c r="X126" i="39"/>
  <c r="W126" i="39"/>
  <c r="X125" i="39"/>
  <c r="X124" i="39"/>
  <c r="X123" i="39"/>
  <c r="X122" i="39"/>
  <c r="H122" i="39"/>
  <c r="F122" i="39"/>
  <c r="D122" i="39"/>
  <c r="X121" i="39"/>
  <c r="X120" i="39"/>
  <c r="X119" i="39"/>
  <c r="X118" i="39"/>
  <c r="W118" i="39"/>
  <c r="X117" i="39"/>
  <c r="X116" i="39"/>
  <c r="X115" i="39"/>
  <c r="X114" i="39"/>
  <c r="H114" i="39"/>
  <c r="X113" i="39"/>
  <c r="X112" i="39"/>
  <c r="X111" i="39"/>
  <c r="X110" i="39"/>
  <c r="W110" i="39"/>
  <c r="X109" i="39"/>
  <c r="X108" i="39"/>
  <c r="X107" i="39"/>
  <c r="X106" i="39"/>
  <c r="H106" i="39"/>
  <c r="X105" i="39"/>
  <c r="X104" i="39"/>
  <c r="X103" i="39"/>
  <c r="X102" i="39"/>
  <c r="W102" i="39"/>
  <c r="X101" i="39"/>
  <c r="X100" i="39"/>
  <c r="X99" i="39"/>
  <c r="X98" i="39"/>
  <c r="H98" i="39"/>
  <c r="X97" i="39"/>
  <c r="X96" i="39"/>
  <c r="X95" i="39"/>
  <c r="X94" i="39"/>
  <c r="W94" i="39"/>
  <c r="X93" i="39"/>
  <c r="X92" i="39"/>
  <c r="X91" i="39"/>
  <c r="X90" i="39"/>
  <c r="H90" i="39"/>
  <c r="F90" i="39"/>
  <c r="D90" i="39"/>
  <c r="X89" i="39"/>
  <c r="X88" i="39"/>
  <c r="X87" i="39"/>
  <c r="X86" i="39"/>
  <c r="W86" i="39"/>
  <c r="X85" i="39"/>
  <c r="X84" i="39"/>
  <c r="X83" i="39"/>
  <c r="X82" i="39"/>
  <c r="H82" i="39"/>
  <c r="F82" i="39"/>
  <c r="D82" i="39"/>
  <c r="X81" i="39"/>
  <c r="X80" i="39"/>
  <c r="X79" i="39"/>
  <c r="X78" i="39"/>
  <c r="W78" i="39"/>
  <c r="X77" i="39"/>
  <c r="X76" i="39"/>
  <c r="X75" i="39"/>
  <c r="X74" i="39"/>
  <c r="H74" i="39"/>
  <c r="X73" i="39"/>
  <c r="X72" i="39"/>
  <c r="X71" i="39"/>
  <c r="X70" i="39"/>
  <c r="W70" i="39"/>
  <c r="X69" i="39"/>
  <c r="X68" i="39"/>
  <c r="X67" i="39"/>
  <c r="X66" i="39"/>
  <c r="H66" i="39"/>
  <c r="F66" i="39"/>
  <c r="D66" i="39"/>
  <c r="X65" i="39"/>
  <c r="X64" i="39"/>
  <c r="X63" i="39"/>
  <c r="X62" i="39"/>
  <c r="W62" i="39"/>
  <c r="X61" i="39"/>
  <c r="X60" i="39"/>
  <c r="X59" i="39"/>
  <c r="X58" i="39"/>
  <c r="H58" i="39"/>
  <c r="X57" i="39"/>
  <c r="X56" i="39"/>
  <c r="X55" i="39"/>
  <c r="X54" i="39"/>
  <c r="W54" i="39"/>
  <c r="X53" i="39"/>
  <c r="X52" i="39"/>
  <c r="X51" i="39"/>
  <c r="X50" i="39"/>
  <c r="H50" i="39"/>
  <c r="X49" i="39"/>
  <c r="X48" i="39"/>
  <c r="X47" i="39"/>
  <c r="X46" i="39"/>
  <c r="W46" i="39"/>
  <c r="X45" i="39"/>
  <c r="X44" i="39"/>
  <c r="X43" i="39"/>
  <c r="X42" i="39"/>
  <c r="H42" i="39"/>
  <c r="F42" i="39"/>
  <c r="D42" i="39"/>
  <c r="X41" i="39"/>
  <c r="X40" i="39"/>
  <c r="X39" i="39"/>
  <c r="X38" i="39"/>
  <c r="W38" i="39"/>
  <c r="X37" i="39"/>
  <c r="X36" i="39"/>
  <c r="X35" i="39"/>
  <c r="X34" i="39"/>
  <c r="H34" i="39"/>
  <c r="F34" i="39"/>
  <c r="D34" i="39"/>
  <c r="X33" i="39"/>
  <c r="X32" i="39"/>
  <c r="X31" i="39"/>
  <c r="X30" i="39"/>
  <c r="W30" i="39"/>
  <c r="X29" i="39"/>
  <c r="X28" i="39"/>
  <c r="X27" i="39"/>
  <c r="X26" i="39"/>
  <c r="H26" i="39"/>
  <c r="X25" i="39"/>
  <c r="X24" i="39"/>
  <c r="X23" i="39"/>
  <c r="X22" i="39"/>
  <c r="W22" i="39"/>
  <c r="X21" i="39"/>
  <c r="X20" i="39"/>
  <c r="X19" i="39"/>
  <c r="X18" i="39"/>
  <c r="H18" i="39"/>
  <c r="F18" i="39"/>
  <c r="X17" i="39"/>
  <c r="X16" i="39"/>
  <c r="X15" i="39"/>
  <c r="X14" i="39"/>
  <c r="W14" i="39"/>
  <c r="X13" i="39"/>
  <c r="X12" i="39"/>
  <c r="X11" i="39"/>
  <c r="X10" i="39"/>
  <c r="H10" i="39"/>
  <c r="F10" i="39"/>
  <c r="D10" i="39"/>
  <c r="X9" i="39"/>
  <c r="X8" i="39"/>
  <c r="X7" i="39"/>
  <c r="S126" i="38"/>
  <c r="R126" i="38"/>
  <c r="S125" i="38"/>
  <c r="S124" i="38"/>
  <c r="S123" i="38"/>
  <c r="S122" i="38"/>
  <c r="F122" i="38"/>
  <c r="D122" i="38"/>
  <c r="S121" i="38"/>
  <c r="S120" i="38"/>
  <c r="S119" i="38"/>
  <c r="S118" i="38"/>
  <c r="R118" i="38"/>
  <c r="S117" i="38"/>
  <c r="S116" i="38"/>
  <c r="S115" i="38"/>
  <c r="S114" i="38"/>
  <c r="F114" i="38"/>
  <c r="S113" i="38"/>
  <c r="S112" i="38"/>
  <c r="S111" i="38"/>
  <c r="S110" i="38"/>
  <c r="R110" i="38"/>
  <c r="S109" i="38"/>
  <c r="S108" i="38"/>
  <c r="S107" i="38"/>
  <c r="S106" i="38"/>
  <c r="F106" i="38"/>
  <c r="D106" i="38"/>
  <c r="S105" i="38"/>
  <c r="S104" i="38"/>
  <c r="S103" i="38"/>
  <c r="S102" i="38"/>
  <c r="R102" i="38"/>
  <c r="S101" i="38"/>
  <c r="S100" i="38"/>
  <c r="S99" i="38"/>
  <c r="S98" i="38"/>
  <c r="F98" i="38"/>
  <c r="S97" i="38"/>
  <c r="S96" i="38"/>
  <c r="S95" i="38"/>
  <c r="S94" i="38"/>
  <c r="R94" i="38"/>
  <c r="S93" i="38"/>
  <c r="S92" i="38"/>
  <c r="S91" i="38"/>
  <c r="S90" i="38"/>
  <c r="F90" i="38"/>
  <c r="S89" i="38"/>
  <c r="S88" i="38"/>
  <c r="S87" i="38"/>
  <c r="S86" i="38"/>
  <c r="R86" i="38"/>
  <c r="S85" i="38"/>
  <c r="S84" i="38"/>
  <c r="S83" i="38"/>
  <c r="S82" i="38"/>
  <c r="F82" i="38"/>
  <c r="D82" i="38"/>
  <c r="S81" i="38"/>
  <c r="S80" i="38"/>
  <c r="S79" i="38"/>
  <c r="S78" i="38"/>
  <c r="R78" i="38"/>
  <c r="S77" i="38"/>
  <c r="S76" i="38"/>
  <c r="S75" i="38"/>
  <c r="S74" i="38"/>
  <c r="F74" i="38"/>
  <c r="S73" i="38"/>
  <c r="S72" i="38"/>
  <c r="S71" i="38"/>
  <c r="S70" i="38"/>
  <c r="R70" i="38"/>
  <c r="S69" i="38"/>
  <c r="S68" i="38"/>
  <c r="S67" i="38"/>
  <c r="S66" i="38"/>
  <c r="F66" i="38"/>
  <c r="S65" i="38"/>
  <c r="S64" i="38"/>
  <c r="S63" i="38"/>
  <c r="S62" i="38"/>
  <c r="R62" i="38"/>
  <c r="S61" i="38"/>
  <c r="S60" i="38"/>
  <c r="S59" i="38"/>
  <c r="S58" i="38"/>
  <c r="F58" i="38"/>
  <c r="S57" i="38"/>
  <c r="S56" i="38"/>
  <c r="S55" i="38"/>
  <c r="S54" i="38"/>
  <c r="R54" i="38"/>
  <c r="S53" i="38"/>
  <c r="S52" i="38"/>
  <c r="S51" i="38"/>
  <c r="S50" i="38"/>
  <c r="F50" i="38"/>
  <c r="D50" i="38"/>
  <c r="S49" i="38"/>
  <c r="S48" i="38"/>
  <c r="S47" i="38"/>
  <c r="S46" i="38"/>
  <c r="R46" i="38"/>
  <c r="S45" i="38"/>
  <c r="S44" i="38"/>
  <c r="S43" i="38"/>
  <c r="S42" i="38"/>
  <c r="F42" i="38"/>
  <c r="S41" i="38"/>
  <c r="S40" i="38"/>
  <c r="S39" i="38"/>
  <c r="S38" i="38"/>
  <c r="R38" i="38"/>
  <c r="S37" i="38"/>
  <c r="S36" i="38"/>
  <c r="S35" i="38"/>
  <c r="S34" i="38"/>
  <c r="F34" i="38"/>
  <c r="S33" i="38"/>
  <c r="S32" i="38"/>
  <c r="S31" i="38"/>
  <c r="S30" i="38"/>
  <c r="R30" i="38"/>
  <c r="S29" i="38"/>
  <c r="S28" i="38"/>
  <c r="S27" i="38"/>
  <c r="S26" i="38"/>
  <c r="F26" i="38"/>
  <c r="S25" i="38"/>
  <c r="S24" i="38"/>
  <c r="S23" i="38"/>
  <c r="S22" i="38"/>
  <c r="R22" i="38"/>
  <c r="S21" i="38"/>
  <c r="S20" i="38"/>
  <c r="S19" i="38"/>
  <c r="S18" i="38"/>
  <c r="F18" i="38"/>
  <c r="S17" i="38"/>
  <c r="S16" i="38"/>
  <c r="S15" i="38"/>
  <c r="S14" i="38"/>
  <c r="R14" i="38"/>
  <c r="S13" i="38"/>
  <c r="S12" i="38"/>
  <c r="S11" i="38"/>
  <c r="S10" i="38"/>
  <c r="F10" i="38"/>
  <c r="D10" i="38"/>
  <c r="S9" i="38"/>
  <c r="S8" i="38"/>
  <c r="S7" i="38"/>
  <c r="X158" i="37"/>
  <c r="W158" i="37"/>
  <c r="X157" i="37"/>
  <c r="X156" i="37"/>
  <c r="X155" i="37"/>
  <c r="X154" i="37"/>
  <c r="H154" i="37"/>
  <c r="F154" i="37"/>
  <c r="D154" i="37"/>
  <c r="X153" i="37"/>
  <c r="X152" i="37"/>
  <c r="X151" i="37"/>
  <c r="X150" i="37"/>
  <c r="W150" i="37"/>
  <c r="X149" i="37"/>
  <c r="X148" i="37"/>
  <c r="X147" i="37"/>
  <c r="X146" i="37"/>
  <c r="H146" i="37"/>
  <c r="X145" i="37"/>
  <c r="X144" i="37"/>
  <c r="X143" i="37"/>
  <c r="X142" i="37"/>
  <c r="W142" i="37"/>
  <c r="X141" i="37"/>
  <c r="X140" i="37"/>
  <c r="X139" i="37"/>
  <c r="X138" i="37"/>
  <c r="H138" i="37"/>
  <c r="F138" i="37"/>
  <c r="D138" i="37"/>
  <c r="X137" i="37"/>
  <c r="X136" i="37"/>
  <c r="X135" i="37"/>
  <c r="X134" i="37"/>
  <c r="W134" i="37"/>
  <c r="X133" i="37"/>
  <c r="X132" i="37"/>
  <c r="X131" i="37"/>
  <c r="X130" i="37"/>
  <c r="H130" i="37"/>
  <c r="X129" i="37"/>
  <c r="X128" i="37"/>
  <c r="X127" i="37"/>
  <c r="X126" i="37"/>
  <c r="W126" i="37"/>
  <c r="X125" i="37"/>
  <c r="X124" i="37"/>
  <c r="X123" i="37"/>
  <c r="X122" i="37"/>
  <c r="H122" i="37"/>
  <c r="X121" i="37"/>
  <c r="X120" i="37"/>
  <c r="X119" i="37"/>
  <c r="X118" i="37"/>
  <c r="W118" i="37"/>
  <c r="X117" i="37"/>
  <c r="X116" i="37"/>
  <c r="X115" i="37"/>
  <c r="X114" i="37"/>
  <c r="H114" i="37"/>
  <c r="F114" i="37"/>
  <c r="D114" i="37"/>
  <c r="X113" i="37"/>
  <c r="X112" i="37"/>
  <c r="X111" i="37"/>
  <c r="X110" i="37"/>
  <c r="W110" i="37"/>
  <c r="X109" i="37"/>
  <c r="X108" i="37"/>
  <c r="X107" i="37"/>
  <c r="X106" i="37"/>
  <c r="H106" i="37"/>
  <c r="X105" i="37"/>
  <c r="X104" i="37"/>
  <c r="X103" i="37"/>
  <c r="X102" i="37"/>
  <c r="W102" i="37"/>
  <c r="X101" i="37"/>
  <c r="X100" i="37"/>
  <c r="X99" i="37"/>
  <c r="X98" i="37"/>
  <c r="H98" i="37"/>
  <c r="X97" i="37"/>
  <c r="X96" i="37"/>
  <c r="X95" i="37"/>
  <c r="X94" i="37"/>
  <c r="W94" i="37"/>
  <c r="X93" i="37"/>
  <c r="X92" i="37"/>
  <c r="X91" i="37"/>
  <c r="X90" i="37"/>
  <c r="H90" i="37"/>
  <c r="X89" i="37"/>
  <c r="X88" i="37"/>
  <c r="X87" i="37"/>
  <c r="X86" i="37"/>
  <c r="W86" i="37"/>
  <c r="X85" i="37"/>
  <c r="X84" i="37"/>
  <c r="X83" i="37"/>
  <c r="X82" i="37"/>
  <c r="H82" i="37"/>
  <c r="F82" i="37"/>
  <c r="D82" i="37"/>
  <c r="X81" i="37"/>
  <c r="X80" i="37"/>
  <c r="X79" i="37"/>
  <c r="X78" i="37"/>
  <c r="W78" i="37"/>
  <c r="X77" i="37"/>
  <c r="X76" i="37"/>
  <c r="X75" i="37"/>
  <c r="X74" i="37"/>
  <c r="H74" i="37"/>
  <c r="F74" i="37"/>
  <c r="D74" i="37"/>
  <c r="X73" i="37"/>
  <c r="X72" i="37"/>
  <c r="X71" i="37"/>
  <c r="X70" i="37"/>
  <c r="W70" i="37"/>
  <c r="X69" i="37"/>
  <c r="X68" i="37"/>
  <c r="X67" i="37"/>
  <c r="X66" i="37"/>
  <c r="H66" i="37"/>
  <c r="X65" i="37"/>
  <c r="X64" i="37"/>
  <c r="X63" i="37"/>
  <c r="X62" i="37"/>
  <c r="W62" i="37"/>
  <c r="X61" i="37"/>
  <c r="X60" i="37"/>
  <c r="X59" i="37"/>
  <c r="X58" i="37"/>
  <c r="H58" i="37"/>
  <c r="F58" i="37"/>
  <c r="D58" i="37"/>
  <c r="X57" i="37"/>
  <c r="X56" i="37"/>
  <c r="X55" i="37"/>
  <c r="X54" i="37"/>
  <c r="W54" i="37"/>
  <c r="X53" i="37"/>
  <c r="X52" i="37"/>
  <c r="X51" i="37"/>
  <c r="X50" i="37"/>
  <c r="H50" i="37"/>
  <c r="X49" i="37"/>
  <c r="X48" i="37"/>
  <c r="X47" i="37"/>
  <c r="X46" i="37"/>
  <c r="W46" i="37"/>
  <c r="X45" i="37"/>
  <c r="X44" i="37"/>
  <c r="X43" i="37"/>
  <c r="X42" i="37"/>
  <c r="H42" i="37"/>
  <c r="X41" i="37"/>
  <c r="X40" i="37"/>
  <c r="X39" i="37"/>
  <c r="X38" i="37"/>
  <c r="W38" i="37"/>
  <c r="X37" i="37"/>
  <c r="X36" i="37"/>
  <c r="X35" i="37"/>
  <c r="X34" i="37"/>
  <c r="H34" i="37"/>
  <c r="F34" i="37"/>
  <c r="D34" i="37"/>
  <c r="X33" i="37"/>
  <c r="X32" i="37"/>
  <c r="X31" i="37"/>
  <c r="X30" i="37"/>
  <c r="W30" i="37"/>
  <c r="X29" i="37"/>
  <c r="X28" i="37"/>
  <c r="X27" i="37"/>
  <c r="X26" i="37"/>
  <c r="H26" i="37"/>
  <c r="F26" i="37"/>
  <c r="D26" i="37"/>
  <c r="X25" i="37"/>
  <c r="X24" i="37"/>
  <c r="X23" i="37"/>
  <c r="X22" i="37"/>
  <c r="W22" i="37"/>
  <c r="X21" i="37"/>
  <c r="X20" i="37"/>
  <c r="X19" i="37"/>
  <c r="X18" i="37"/>
  <c r="H18" i="37"/>
  <c r="X17" i="37"/>
  <c r="X16" i="37"/>
  <c r="X15" i="37"/>
  <c r="X14" i="37"/>
  <c r="W14" i="37"/>
  <c r="X13" i="37"/>
  <c r="X12" i="37"/>
  <c r="X11" i="37"/>
  <c r="X10" i="37"/>
  <c r="H10" i="37"/>
  <c r="F10" i="37"/>
  <c r="D10" i="37"/>
  <c r="X9" i="37"/>
  <c r="X8" i="37"/>
  <c r="X7" i="37"/>
  <c r="U126" i="36"/>
  <c r="T126" i="36"/>
  <c r="U125" i="36"/>
  <c r="U124" i="36"/>
  <c r="U123" i="36"/>
  <c r="U122" i="36"/>
  <c r="H122" i="36"/>
  <c r="U121" i="36"/>
  <c r="U120" i="36"/>
  <c r="U119" i="36"/>
  <c r="U118" i="36"/>
  <c r="T118" i="36"/>
  <c r="U117" i="36"/>
  <c r="U116" i="36"/>
  <c r="U115" i="36"/>
  <c r="U114" i="36"/>
  <c r="H114" i="36"/>
  <c r="U113" i="36"/>
  <c r="U112" i="36"/>
  <c r="U111" i="36"/>
  <c r="U110" i="36"/>
  <c r="T110" i="36"/>
  <c r="U109" i="36"/>
  <c r="U108" i="36"/>
  <c r="U107" i="36"/>
  <c r="U106" i="36"/>
  <c r="H106" i="36"/>
  <c r="U105" i="36"/>
  <c r="U104" i="36"/>
  <c r="U103" i="36"/>
  <c r="U102" i="36"/>
  <c r="T102" i="36"/>
  <c r="U101" i="36"/>
  <c r="U100" i="36"/>
  <c r="U99" i="36"/>
  <c r="U98" i="36"/>
  <c r="H98" i="36"/>
  <c r="U97" i="36"/>
  <c r="U96" i="36"/>
  <c r="U95" i="36"/>
  <c r="U94" i="36"/>
  <c r="T94" i="36"/>
  <c r="U93" i="36"/>
  <c r="U92" i="36"/>
  <c r="U91" i="36"/>
  <c r="U90" i="36"/>
  <c r="H90" i="36"/>
  <c r="U89" i="36"/>
  <c r="U88" i="36"/>
  <c r="U87" i="36"/>
  <c r="U86" i="36"/>
  <c r="T86" i="36"/>
  <c r="U85" i="36"/>
  <c r="U84" i="36"/>
  <c r="U83" i="36"/>
  <c r="U82" i="36"/>
  <c r="H82" i="36"/>
  <c r="U81" i="36"/>
  <c r="U80" i="36"/>
  <c r="U79" i="36"/>
  <c r="U78" i="36"/>
  <c r="T78" i="36"/>
  <c r="U77" i="36"/>
  <c r="U76" i="36"/>
  <c r="U75" i="36"/>
  <c r="U74" i="36"/>
  <c r="H74" i="36"/>
  <c r="U73" i="36"/>
  <c r="U72" i="36"/>
  <c r="U71" i="36"/>
  <c r="U70" i="36"/>
  <c r="T70" i="36"/>
  <c r="U69" i="36"/>
  <c r="U68" i="36"/>
  <c r="U67" i="36"/>
  <c r="U66" i="36"/>
  <c r="H66" i="36"/>
  <c r="U65" i="36"/>
  <c r="U64" i="36"/>
  <c r="U63" i="36"/>
  <c r="U62" i="36"/>
  <c r="T62" i="36"/>
  <c r="U61" i="36"/>
  <c r="U60" i="36"/>
  <c r="U59" i="36"/>
  <c r="U58" i="36"/>
  <c r="H58" i="36"/>
  <c r="U57" i="36"/>
  <c r="U56" i="36"/>
  <c r="U55" i="36"/>
  <c r="U54" i="36"/>
  <c r="T54" i="36"/>
  <c r="U53" i="36"/>
  <c r="U52" i="36"/>
  <c r="U51" i="36"/>
  <c r="U50" i="36"/>
  <c r="H50" i="36"/>
  <c r="U49" i="36"/>
  <c r="U48" i="36"/>
  <c r="U47" i="36"/>
  <c r="U46" i="36"/>
  <c r="T46" i="36"/>
  <c r="U45" i="36"/>
  <c r="U44" i="36"/>
  <c r="U43" i="36"/>
  <c r="U42" i="36"/>
  <c r="H42" i="36"/>
  <c r="U41" i="36"/>
  <c r="U40" i="36"/>
  <c r="U39" i="36"/>
  <c r="U38" i="36"/>
  <c r="T38" i="36"/>
  <c r="U37" i="36"/>
  <c r="U36" i="36"/>
  <c r="U35" i="36"/>
  <c r="U34" i="36"/>
  <c r="H34" i="36"/>
  <c r="U33" i="36"/>
  <c r="U32" i="36"/>
  <c r="U31" i="36"/>
  <c r="U30" i="36"/>
  <c r="T30" i="36"/>
  <c r="U29" i="36"/>
  <c r="U28" i="36"/>
  <c r="U27" i="36"/>
  <c r="U26" i="36"/>
  <c r="H26" i="36"/>
  <c r="U25" i="36"/>
  <c r="U24" i="36"/>
  <c r="U23" i="36"/>
  <c r="U22" i="36"/>
  <c r="T22" i="36"/>
  <c r="U21" i="36"/>
  <c r="U20" i="36"/>
  <c r="U19" i="36"/>
  <c r="U18" i="36"/>
  <c r="H18" i="36"/>
  <c r="U17" i="36"/>
  <c r="U16" i="36"/>
  <c r="U15" i="36"/>
  <c r="U14" i="36"/>
  <c r="T14" i="36"/>
  <c r="U13" i="36"/>
  <c r="U12" i="36"/>
  <c r="U11" i="36"/>
  <c r="U10" i="36"/>
  <c r="H10" i="36"/>
  <c r="U9" i="36"/>
  <c r="U8" i="36"/>
  <c r="U7" i="36"/>
  <c r="V126" i="35"/>
  <c r="U126" i="35"/>
  <c r="V125" i="35"/>
  <c r="V124" i="35"/>
  <c r="V123" i="35"/>
  <c r="V122" i="35"/>
  <c r="F122" i="35"/>
  <c r="D122" i="35"/>
  <c r="V121" i="35"/>
  <c r="V120" i="35"/>
  <c r="V119" i="35"/>
  <c r="V118" i="35"/>
  <c r="U118" i="35"/>
  <c r="V117" i="35"/>
  <c r="V116" i="35"/>
  <c r="V115" i="35"/>
  <c r="V114" i="35"/>
  <c r="F114" i="35"/>
  <c r="V113" i="35"/>
  <c r="V112" i="35"/>
  <c r="V111" i="35"/>
  <c r="V110" i="35"/>
  <c r="U110" i="35"/>
  <c r="V109" i="35"/>
  <c r="V108" i="35"/>
  <c r="V107" i="35"/>
  <c r="V106" i="35"/>
  <c r="F106" i="35"/>
  <c r="D106" i="35"/>
  <c r="V105" i="35"/>
  <c r="V104" i="35"/>
  <c r="V103" i="35"/>
  <c r="V102" i="35"/>
  <c r="U102" i="35"/>
  <c r="V101" i="35"/>
  <c r="V100" i="35"/>
  <c r="V99" i="35"/>
  <c r="V98" i="35"/>
  <c r="F98" i="35"/>
  <c r="V97" i="35"/>
  <c r="V96" i="35"/>
  <c r="V95" i="35"/>
  <c r="V94" i="35"/>
  <c r="U94" i="35"/>
  <c r="V93" i="35"/>
  <c r="V92" i="35"/>
  <c r="V91" i="35"/>
  <c r="V90" i="35"/>
  <c r="F90" i="35"/>
  <c r="V89" i="35"/>
  <c r="V88" i="35"/>
  <c r="V87" i="35"/>
  <c r="V86" i="35"/>
  <c r="U86" i="35"/>
  <c r="V85" i="35"/>
  <c r="V84" i="35"/>
  <c r="V83" i="35"/>
  <c r="V82" i="35"/>
  <c r="F82" i="35"/>
  <c r="D82" i="35"/>
  <c r="V81" i="35"/>
  <c r="V80" i="35"/>
  <c r="V79" i="35"/>
  <c r="V78" i="35"/>
  <c r="U78" i="35"/>
  <c r="V77" i="35"/>
  <c r="V76" i="35"/>
  <c r="V75" i="35"/>
  <c r="V74" i="35"/>
  <c r="F74" i="35"/>
  <c r="V73" i="35"/>
  <c r="V72" i="35"/>
  <c r="V71" i="35"/>
  <c r="V70" i="35"/>
  <c r="U70" i="35"/>
  <c r="V69" i="35"/>
  <c r="V68" i="35"/>
  <c r="V67" i="35"/>
  <c r="V66" i="35"/>
  <c r="F66" i="35"/>
  <c r="V65" i="35"/>
  <c r="V64" i="35"/>
  <c r="V63" i="35"/>
  <c r="V62" i="35"/>
  <c r="U62" i="35"/>
  <c r="V61" i="35"/>
  <c r="V60" i="35"/>
  <c r="V59" i="35"/>
  <c r="V58" i="35"/>
  <c r="F58" i="35"/>
  <c r="V57" i="35"/>
  <c r="V56" i="35"/>
  <c r="V55" i="35"/>
  <c r="V54" i="35"/>
  <c r="U54" i="35"/>
  <c r="V53" i="35"/>
  <c r="V52" i="35"/>
  <c r="V51" i="35"/>
  <c r="V50" i="35"/>
  <c r="F50" i="35"/>
  <c r="D50" i="35"/>
  <c r="V49" i="35"/>
  <c r="V48" i="35"/>
  <c r="V47" i="35"/>
  <c r="V46" i="35"/>
  <c r="U46" i="35"/>
  <c r="V45" i="35"/>
  <c r="V44" i="35"/>
  <c r="V43" i="35"/>
  <c r="V42" i="35"/>
  <c r="F42" i="35"/>
  <c r="V41" i="35"/>
  <c r="V40" i="35"/>
  <c r="V39" i="35"/>
  <c r="V38" i="35"/>
  <c r="U38" i="35"/>
  <c r="V37" i="35"/>
  <c r="V36" i="35"/>
  <c r="V35" i="35"/>
  <c r="V34" i="35"/>
  <c r="F34" i="35"/>
  <c r="V33" i="35"/>
  <c r="V32" i="35"/>
  <c r="V31" i="35"/>
  <c r="V30" i="35"/>
  <c r="U30" i="35"/>
  <c r="V29" i="35"/>
  <c r="V28" i="35"/>
  <c r="V27" i="35"/>
  <c r="V26" i="35"/>
  <c r="F26" i="35"/>
  <c r="V25" i="35"/>
  <c r="V24" i="35"/>
  <c r="V23" i="35"/>
  <c r="V22" i="35"/>
  <c r="U22" i="35"/>
  <c r="V21" i="35"/>
  <c r="V20" i="35"/>
  <c r="V19" i="35"/>
  <c r="V18" i="35"/>
  <c r="F18" i="35"/>
  <c r="V17" i="35"/>
  <c r="V16" i="35"/>
  <c r="V15" i="35"/>
  <c r="V14" i="35"/>
  <c r="U14" i="35"/>
  <c r="V13" i="35"/>
  <c r="V12" i="35"/>
  <c r="V11" i="35"/>
  <c r="V10" i="35"/>
  <c r="F10" i="35"/>
  <c r="D10" i="35"/>
  <c r="V9" i="35"/>
  <c r="V8" i="35"/>
  <c r="V7" i="35"/>
  <c r="X139" i="34"/>
  <c r="W139" i="34"/>
  <c r="X138" i="34"/>
  <c r="X137" i="34"/>
  <c r="X136" i="34"/>
  <c r="X135" i="34"/>
  <c r="H135" i="34"/>
  <c r="F135" i="34"/>
  <c r="D135" i="34"/>
  <c r="X134" i="34"/>
  <c r="X133" i="34"/>
  <c r="X132" i="34"/>
  <c r="X126" i="34"/>
  <c r="W126" i="34"/>
  <c r="X125" i="34"/>
  <c r="X124" i="34"/>
  <c r="X123" i="34"/>
  <c r="X122" i="34"/>
  <c r="F122" i="34"/>
  <c r="D122" i="34"/>
  <c r="X121" i="34"/>
  <c r="X120" i="34"/>
  <c r="X119" i="34"/>
  <c r="X118" i="34"/>
  <c r="W118" i="34"/>
  <c r="X117" i="34"/>
  <c r="X116" i="34"/>
  <c r="X115" i="34"/>
  <c r="X114" i="34"/>
  <c r="F114" i="34"/>
  <c r="X113" i="34"/>
  <c r="X112" i="34"/>
  <c r="X111" i="34"/>
  <c r="X110" i="34"/>
  <c r="W110" i="34"/>
  <c r="X109" i="34"/>
  <c r="X108" i="34"/>
  <c r="X107" i="34"/>
  <c r="X106" i="34"/>
  <c r="F106" i="34"/>
  <c r="D106" i="34"/>
  <c r="X105" i="34"/>
  <c r="X104" i="34"/>
  <c r="X103" i="34"/>
  <c r="X102" i="34"/>
  <c r="W102" i="34"/>
  <c r="X101" i="34"/>
  <c r="X100" i="34"/>
  <c r="X99" i="34"/>
  <c r="X98" i="34"/>
  <c r="F98" i="34"/>
  <c r="X97" i="34"/>
  <c r="X96" i="34"/>
  <c r="X95" i="34"/>
  <c r="X94" i="34"/>
  <c r="W94" i="34"/>
  <c r="X93" i="34"/>
  <c r="X92" i="34"/>
  <c r="X91" i="34"/>
  <c r="X90" i="34"/>
  <c r="F90" i="34"/>
  <c r="X89" i="34"/>
  <c r="X88" i="34"/>
  <c r="X87" i="34"/>
  <c r="X86" i="34"/>
  <c r="W86" i="34"/>
  <c r="X85" i="34"/>
  <c r="X84" i="34"/>
  <c r="X83" i="34"/>
  <c r="X82" i="34"/>
  <c r="F82" i="34"/>
  <c r="D82" i="34"/>
  <c r="X81" i="34"/>
  <c r="X80" i="34"/>
  <c r="X79" i="34"/>
  <c r="X78" i="34"/>
  <c r="W78" i="34"/>
  <c r="X77" i="34"/>
  <c r="X76" i="34"/>
  <c r="X75" i="34"/>
  <c r="X74" i="34"/>
  <c r="F74" i="34"/>
  <c r="X73" i="34"/>
  <c r="X72" i="34"/>
  <c r="X71" i="34"/>
  <c r="X70" i="34"/>
  <c r="W70" i="34"/>
  <c r="X69" i="34"/>
  <c r="X68" i="34"/>
  <c r="X67" i="34"/>
  <c r="X66" i="34"/>
  <c r="F66" i="34"/>
  <c r="X65" i="34"/>
  <c r="X64" i="34"/>
  <c r="X63" i="34"/>
  <c r="X62" i="34"/>
  <c r="W62" i="34"/>
  <c r="X61" i="34"/>
  <c r="X60" i="34"/>
  <c r="X59" i="34"/>
  <c r="X58" i="34"/>
  <c r="F58" i="34"/>
  <c r="X57" i="34"/>
  <c r="X56" i="34"/>
  <c r="X55" i="34"/>
  <c r="X54" i="34"/>
  <c r="W54" i="34"/>
  <c r="X53" i="34"/>
  <c r="X52" i="34"/>
  <c r="X51" i="34"/>
  <c r="X50" i="34"/>
  <c r="F50" i="34"/>
  <c r="D50" i="34"/>
  <c r="X49" i="34"/>
  <c r="X48" i="34"/>
  <c r="X47" i="34"/>
  <c r="X46" i="34"/>
  <c r="W46" i="34"/>
  <c r="X45" i="34"/>
  <c r="X44" i="34"/>
  <c r="X43" i="34"/>
  <c r="X42" i="34"/>
  <c r="F42" i="34"/>
  <c r="X41" i="34"/>
  <c r="X40" i="34"/>
  <c r="X39" i="34"/>
  <c r="X38" i="34"/>
  <c r="W38" i="34"/>
  <c r="X37" i="34"/>
  <c r="X36" i="34"/>
  <c r="X35" i="34"/>
  <c r="X34" i="34"/>
  <c r="F34" i="34"/>
  <c r="X33" i="34"/>
  <c r="X32" i="34"/>
  <c r="X31" i="34"/>
  <c r="X30" i="34"/>
  <c r="W30" i="34"/>
  <c r="X29" i="34"/>
  <c r="X28" i="34"/>
  <c r="X27" i="34"/>
  <c r="X26" i="34"/>
  <c r="F26" i="34"/>
  <c r="X25" i="34"/>
  <c r="X24" i="34"/>
  <c r="X23" i="34"/>
  <c r="X22" i="34"/>
  <c r="W22" i="34"/>
  <c r="X21" i="34"/>
  <c r="X20" i="34"/>
  <c r="X19" i="34"/>
  <c r="X18" i="34"/>
  <c r="F18" i="34"/>
  <c r="X17" i="34"/>
  <c r="X16" i="34"/>
  <c r="X15" i="34"/>
  <c r="X14" i="34"/>
  <c r="W14" i="34"/>
  <c r="X13" i="34"/>
  <c r="X12" i="34"/>
  <c r="X11" i="34"/>
  <c r="X10" i="34"/>
  <c r="F10" i="34"/>
  <c r="D10" i="34"/>
  <c r="X9" i="34"/>
  <c r="X8" i="34"/>
  <c r="X7" i="34"/>
  <c r="S126" i="33"/>
  <c r="R126" i="33"/>
  <c r="S125" i="33"/>
  <c r="S124" i="33"/>
  <c r="S123" i="33"/>
  <c r="S122" i="33"/>
  <c r="F122" i="33"/>
  <c r="D122" i="33"/>
  <c r="S121" i="33"/>
  <c r="S120" i="33"/>
  <c r="S119" i="33"/>
  <c r="S118" i="33"/>
  <c r="R118" i="33"/>
  <c r="S117" i="33"/>
  <c r="S116" i="33"/>
  <c r="S115" i="33"/>
  <c r="S114" i="33"/>
  <c r="F114" i="33"/>
  <c r="S113" i="33"/>
  <c r="S112" i="33"/>
  <c r="S111" i="33"/>
  <c r="S110" i="33"/>
  <c r="R110" i="33"/>
  <c r="S109" i="33"/>
  <c r="S108" i="33"/>
  <c r="S107" i="33"/>
  <c r="S106" i="33"/>
  <c r="F106" i="33"/>
  <c r="D106" i="33"/>
  <c r="S105" i="33"/>
  <c r="S104" i="33"/>
  <c r="S103" i="33"/>
  <c r="S102" i="33"/>
  <c r="R102" i="33"/>
  <c r="S101" i="33"/>
  <c r="S100" i="33"/>
  <c r="S99" i="33"/>
  <c r="S98" i="33"/>
  <c r="F98" i="33"/>
  <c r="S97" i="33"/>
  <c r="S96" i="33"/>
  <c r="S95" i="33"/>
  <c r="S94" i="33"/>
  <c r="R94" i="33"/>
  <c r="S93" i="33"/>
  <c r="S92" i="33"/>
  <c r="S91" i="33"/>
  <c r="S90" i="33"/>
  <c r="F90" i="33"/>
  <c r="S89" i="33"/>
  <c r="S88" i="33"/>
  <c r="S87" i="33"/>
  <c r="S86" i="33"/>
  <c r="R86" i="33"/>
  <c r="S85" i="33"/>
  <c r="S84" i="33"/>
  <c r="S83" i="33"/>
  <c r="S82" i="33"/>
  <c r="F82" i="33"/>
  <c r="D82" i="33"/>
  <c r="S81" i="33"/>
  <c r="S80" i="33"/>
  <c r="S79" i="33"/>
  <c r="S78" i="33"/>
  <c r="R78" i="33"/>
  <c r="S77" i="33"/>
  <c r="S76" i="33"/>
  <c r="S75" i="33"/>
  <c r="S74" i="33"/>
  <c r="F74" i="33"/>
  <c r="S73" i="33"/>
  <c r="S72" i="33"/>
  <c r="S71" i="33"/>
  <c r="S70" i="33"/>
  <c r="R70" i="33"/>
  <c r="S69" i="33"/>
  <c r="S68" i="33"/>
  <c r="S67" i="33"/>
  <c r="S66" i="33"/>
  <c r="F66" i="33"/>
  <c r="S65" i="33"/>
  <c r="S64" i="33"/>
  <c r="S63" i="33"/>
  <c r="S62" i="33"/>
  <c r="R62" i="33"/>
  <c r="S61" i="33"/>
  <c r="S60" i="33"/>
  <c r="S59" i="33"/>
  <c r="S58" i="33"/>
  <c r="F58" i="33"/>
  <c r="S57" i="33"/>
  <c r="S56" i="33"/>
  <c r="S55" i="33"/>
  <c r="S54" i="33"/>
  <c r="R54" i="33"/>
  <c r="S53" i="33"/>
  <c r="S52" i="33"/>
  <c r="S51" i="33"/>
  <c r="S50" i="33"/>
  <c r="F50" i="33"/>
  <c r="D50" i="33"/>
  <c r="S49" i="33"/>
  <c r="S48" i="33"/>
  <c r="S47" i="33"/>
  <c r="S46" i="33"/>
  <c r="R46" i="33"/>
  <c r="S45" i="33"/>
  <c r="S44" i="33"/>
  <c r="S43" i="33"/>
  <c r="S42" i="33"/>
  <c r="F42" i="33"/>
  <c r="S41" i="33"/>
  <c r="S40" i="33"/>
  <c r="S39" i="33"/>
  <c r="S38" i="33"/>
  <c r="R38" i="33"/>
  <c r="S37" i="33"/>
  <c r="S36" i="33"/>
  <c r="S35" i="33"/>
  <c r="S34" i="33"/>
  <c r="F34" i="33"/>
  <c r="S33" i="33"/>
  <c r="S32" i="33"/>
  <c r="S31" i="33"/>
  <c r="S30" i="33"/>
  <c r="R30" i="33"/>
  <c r="S29" i="33"/>
  <c r="S28" i="33"/>
  <c r="S27" i="33"/>
  <c r="S26" i="33"/>
  <c r="F26" i="33"/>
  <c r="S25" i="33"/>
  <c r="S24" i="33"/>
  <c r="S23" i="33"/>
  <c r="S22" i="33"/>
  <c r="R22" i="33"/>
  <c r="S21" i="33"/>
  <c r="S20" i="33"/>
  <c r="S19" i="33"/>
  <c r="S18" i="33"/>
  <c r="F18" i="33"/>
  <c r="S17" i="33"/>
  <c r="S16" i="33"/>
  <c r="S15" i="33"/>
  <c r="S14" i="33"/>
  <c r="R14" i="33"/>
  <c r="S13" i="33"/>
  <c r="S12" i="33"/>
  <c r="S11" i="33"/>
  <c r="S10" i="33"/>
  <c r="F10" i="33"/>
  <c r="D10" i="33"/>
  <c r="S9" i="33"/>
  <c r="S8" i="33"/>
  <c r="S7" i="33"/>
  <c r="V126" i="32"/>
  <c r="U126" i="32"/>
  <c r="V125" i="32"/>
  <c r="V124" i="32"/>
  <c r="V123" i="32"/>
  <c r="V122" i="32"/>
  <c r="F122" i="32"/>
  <c r="D122" i="32"/>
  <c r="V121" i="32"/>
  <c r="V120" i="32"/>
  <c r="V119" i="32"/>
  <c r="V118" i="32"/>
  <c r="U118" i="32"/>
  <c r="V117" i="32"/>
  <c r="V116" i="32"/>
  <c r="V115" i="32"/>
  <c r="V114" i="32"/>
  <c r="F114" i="32"/>
  <c r="V113" i="32"/>
  <c r="V112" i="32"/>
  <c r="V111" i="32"/>
  <c r="V110" i="32"/>
  <c r="U110" i="32"/>
  <c r="V109" i="32"/>
  <c r="V108" i="32"/>
  <c r="V107" i="32"/>
  <c r="V106" i="32"/>
  <c r="F106" i="32"/>
  <c r="D106" i="32"/>
  <c r="V105" i="32"/>
  <c r="V104" i="32"/>
  <c r="V103" i="32"/>
  <c r="V102" i="32"/>
  <c r="U102" i="32"/>
  <c r="V101" i="32"/>
  <c r="V100" i="32"/>
  <c r="V99" i="32"/>
  <c r="V98" i="32"/>
  <c r="F98" i="32"/>
  <c r="V97" i="32"/>
  <c r="V96" i="32"/>
  <c r="V95" i="32"/>
  <c r="V94" i="32"/>
  <c r="U94" i="32"/>
  <c r="V93" i="32"/>
  <c r="V92" i="32"/>
  <c r="V91" i="32"/>
  <c r="V90" i="32"/>
  <c r="F90" i="32"/>
  <c r="V89" i="32"/>
  <c r="V88" i="32"/>
  <c r="V87" i="32"/>
  <c r="V86" i="32"/>
  <c r="U86" i="32"/>
  <c r="V85" i="32"/>
  <c r="V84" i="32"/>
  <c r="V83" i="32"/>
  <c r="V82" i="32"/>
  <c r="F82" i="32"/>
  <c r="D82" i="32"/>
  <c r="V81" i="32"/>
  <c r="V80" i="32"/>
  <c r="V79" i="32"/>
  <c r="V78" i="32"/>
  <c r="U78" i="32"/>
  <c r="V77" i="32"/>
  <c r="V76" i="32"/>
  <c r="V75" i="32"/>
  <c r="V74" i="32"/>
  <c r="F74" i="32"/>
  <c r="V73" i="32"/>
  <c r="V72" i="32"/>
  <c r="V71" i="32"/>
  <c r="V70" i="32"/>
  <c r="U70" i="32"/>
  <c r="V69" i="32"/>
  <c r="V68" i="32"/>
  <c r="V67" i="32"/>
  <c r="V66" i="32"/>
  <c r="F66" i="32"/>
  <c r="V65" i="32"/>
  <c r="V64" i="32"/>
  <c r="V63" i="32"/>
  <c r="V62" i="32"/>
  <c r="U62" i="32"/>
  <c r="V61" i="32"/>
  <c r="V60" i="32"/>
  <c r="V59" i="32"/>
  <c r="V58" i="32"/>
  <c r="F58" i="32"/>
  <c r="V57" i="32"/>
  <c r="V56" i="32"/>
  <c r="V55" i="32"/>
  <c r="V54" i="32"/>
  <c r="U54" i="32"/>
  <c r="V53" i="32"/>
  <c r="V52" i="32"/>
  <c r="V51" i="32"/>
  <c r="V50" i="32"/>
  <c r="F50" i="32"/>
  <c r="D50" i="32"/>
  <c r="V49" i="32"/>
  <c r="V48" i="32"/>
  <c r="V47" i="32"/>
  <c r="V46" i="32"/>
  <c r="U46" i="32"/>
  <c r="V45" i="32"/>
  <c r="V44" i="32"/>
  <c r="V43" i="32"/>
  <c r="V42" i="32"/>
  <c r="F42" i="32"/>
  <c r="V41" i="32"/>
  <c r="V40" i="32"/>
  <c r="V39" i="32"/>
  <c r="V38" i="32"/>
  <c r="U38" i="32"/>
  <c r="V37" i="32"/>
  <c r="V36" i="32"/>
  <c r="V35" i="32"/>
  <c r="V34" i="32"/>
  <c r="F34" i="32"/>
  <c r="V33" i="32"/>
  <c r="V32" i="32"/>
  <c r="V31" i="32"/>
  <c r="V30" i="32"/>
  <c r="U30" i="32"/>
  <c r="V29" i="32"/>
  <c r="V28" i="32"/>
  <c r="V27" i="32"/>
  <c r="V26" i="32"/>
  <c r="F26" i="32"/>
  <c r="V25" i="32"/>
  <c r="V24" i="32"/>
  <c r="V23" i="32"/>
  <c r="V22" i="32"/>
  <c r="U22" i="32"/>
  <c r="V21" i="32"/>
  <c r="V20" i="32"/>
  <c r="V19" i="32"/>
  <c r="V18" i="32"/>
  <c r="F18" i="32"/>
  <c r="V17" i="32"/>
  <c r="V16" i="32"/>
  <c r="V15" i="32"/>
  <c r="V14" i="32"/>
  <c r="U14" i="32"/>
  <c r="V13" i="32"/>
  <c r="V12" i="32"/>
  <c r="V11" i="32"/>
  <c r="V10" i="32"/>
  <c r="F10" i="32"/>
  <c r="D10" i="32"/>
  <c r="V9" i="32"/>
  <c r="V8" i="32"/>
  <c r="V7" i="32"/>
  <c r="Q110" i="31"/>
  <c r="P110" i="31"/>
  <c r="Q109" i="31"/>
  <c r="Q108" i="31"/>
  <c r="Q107" i="31"/>
  <c r="Q106" i="31"/>
  <c r="D106" i="31"/>
  <c r="Q105" i="31"/>
  <c r="Q104" i="31"/>
  <c r="Q103" i="31"/>
  <c r="Q102" i="31"/>
  <c r="P102" i="31"/>
  <c r="Q101" i="31"/>
  <c r="Q100" i="31"/>
  <c r="Q99" i="31"/>
  <c r="Q98" i="31"/>
  <c r="D98" i="31"/>
  <c r="Q97" i="31"/>
  <c r="Q96" i="31"/>
  <c r="Q95" i="31"/>
  <c r="Q94" i="31"/>
  <c r="P94" i="31"/>
  <c r="Q93" i="31"/>
  <c r="Q92" i="31"/>
  <c r="Q91" i="31"/>
  <c r="Q90" i="31"/>
  <c r="D90" i="31"/>
  <c r="Q89" i="31"/>
  <c r="Q88" i="31"/>
  <c r="Q87" i="31"/>
  <c r="Q86" i="31"/>
  <c r="P86" i="31"/>
  <c r="Q85" i="31"/>
  <c r="Q84" i="31"/>
  <c r="Q83" i="31"/>
  <c r="Q82" i="31"/>
  <c r="D82" i="31"/>
  <c r="Q81" i="31"/>
  <c r="Q80" i="31"/>
  <c r="Q79" i="31"/>
  <c r="Q78" i="31"/>
  <c r="P78" i="31"/>
  <c r="Q77" i="31"/>
  <c r="Q76" i="31"/>
  <c r="Q75" i="31"/>
  <c r="Q74" i="31"/>
  <c r="D74" i="31"/>
  <c r="Q73" i="31"/>
  <c r="Q72" i="31"/>
  <c r="Q71" i="31"/>
  <c r="Q70" i="31"/>
  <c r="P70" i="31"/>
  <c r="Q69" i="31"/>
  <c r="Q68" i="31"/>
  <c r="Q67" i="31"/>
  <c r="Q66" i="31"/>
  <c r="D66" i="31"/>
  <c r="Q65" i="31"/>
  <c r="Q64" i="31"/>
  <c r="Q63" i="31"/>
  <c r="Q62" i="31"/>
  <c r="P62" i="31"/>
  <c r="Q61" i="31"/>
  <c r="Q60" i="31"/>
  <c r="Q59" i="31"/>
  <c r="Q58" i="31"/>
  <c r="D58" i="31"/>
  <c r="Q57" i="31"/>
  <c r="Q56" i="31"/>
  <c r="Q55" i="31"/>
  <c r="Q54" i="31"/>
  <c r="P54" i="31"/>
  <c r="Q53" i="31"/>
  <c r="Q52" i="31"/>
  <c r="Q51" i="31"/>
  <c r="Q50" i="31"/>
  <c r="D50" i="31"/>
  <c r="Q49" i="31"/>
  <c r="Q48" i="31"/>
  <c r="Q47" i="31"/>
  <c r="Q46" i="31"/>
  <c r="P46" i="31"/>
  <c r="Q45" i="31"/>
  <c r="Q44" i="31"/>
  <c r="Q43" i="31"/>
  <c r="Q42" i="31"/>
  <c r="D42" i="31"/>
  <c r="Q41" i="31"/>
  <c r="Q40" i="31"/>
  <c r="Q39" i="31"/>
  <c r="Q38" i="31"/>
  <c r="P38" i="31"/>
  <c r="Q37" i="31"/>
  <c r="Q36" i="31"/>
  <c r="Q35" i="31"/>
  <c r="Q34" i="31"/>
  <c r="D34" i="31"/>
  <c r="Q33" i="31"/>
  <c r="Q32" i="31"/>
  <c r="Q31" i="31"/>
  <c r="Q30" i="31"/>
  <c r="P30" i="31"/>
  <c r="Q29" i="31"/>
  <c r="Q28" i="31"/>
  <c r="Q27" i="31"/>
  <c r="Q26" i="31"/>
  <c r="D26" i="31"/>
  <c r="Q25" i="31"/>
  <c r="Q24" i="31"/>
  <c r="Q23" i="31"/>
  <c r="Q22" i="31"/>
  <c r="P22" i="31"/>
  <c r="Q21" i="31"/>
  <c r="Q20" i="31"/>
  <c r="Q19" i="31"/>
  <c r="Q18" i="31"/>
  <c r="D18" i="31"/>
  <c r="Q17" i="31"/>
  <c r="Q16" i="31"/>
  <c r="Q15" i="31"/>
  <c r="Q14" i="31"/>
  <c r="P14" i="31"/>
  <c r="Q13" i="31"/>
  <c r="Q12" i="31"/>
  <c r="Q11" i="31"/>
  <c r="Q10" i="31"/>
  <c r="D10" i="31"/>
  <c r="Q9" i="31"/>
  <c r="Q8" i="31"/>
  <c r="Q7" i="31"/>
  <c r="Q123" i="30"/>
  <c r="P123" i="30"/>
  <c r="Q122" i="30"/>
  <c r="Q121" i="30"/>
  <c r="Q120" i="30"/>
  <c r="Q119" i="30"/>
  <c r="D119" i="30"/>
  <c r="Q118" i="30"/>
  <c r="Q117" i="30"/>
  <c r="Q116" i="30"/>
  <c r="Q115" i="30"/>
  <c r="P115" i="30"/>
  <c r="Q114" i="30"/>
  <c r="Q113" i="30"/>
  <c r="Q112" i="30"/>
  <c r="Q111" i="30"/>
  <c r="D111" i="30"/>
  <c r="Q110" i="30"/>
  <c r="Q109" i="30"/>
  <c r="Q108" i="30"/>
  <c r="Q107" i="30"/>
  <c r="P107" i="30"/>
  <c r="Q106" i="30"/>
  <c r="Q105" i="30"/>
  <c r="Q104" i="30"/>
  <c r="Q103" i="30"/>
  <c r="D103" i="30"/>
  <c r="Q102" i="30"/>
  <c r="Q101" i="30"/>
  <c r="Q100" i="30"/>
  <c r="Q99" i="30"/>
  <c r="P99" i="30"/>
  <c r="Q98" i="30"/>
  <c r="Q97" i="30"/>
  <c r="Q96" i="30"/>
  <c r="Q95" i="30"/>
  <c r="D95" i="30"/>
  <c r="Q94" i="30"/>
  <c r="Q93" i="30"/>
  <c r="Q92" i="30"/>
  <c r="Q91" i="30"/>
  <c r="P91" i="30"/>
  <c r="Q90" i="30"/>
  <c r="Q89" i="30"/>
  <c r="Q88" i="30"/>
  <c r="Q87" i="30"/>
  <c r="D87" i="30"/>
  <c r="Q86" i="30"/>
  <c r="Q85" i="30"/>
  <c r="Q84" i="30"/>
  <c r="Q83" i="30"/>
  <c r="P83" i="30"/>
  <c r="Q82" i="30"/>
  <c r="Q81" i="30"/>
  <c r="Q80" i="30"/>
  <c r="Q79" i="30"/>
  <c r="D79" i="30"/>
  <c r="Q78" i="30"/>
  <c r="Q77" i="30"/>
  <c r="Q76" i="30"/>
  <c r="Q75" i="30"/>
  <c r="P75" i="30"/>
  <c r="Q74" i="30"/>
  <c r="Q73" i="30"/>
  <c r="Q72" i="30"/>
  <c r="Q71" i="30"/>
  <c r="D71" i="30"/>
  <c r="Q70" i="30"/>
  <c r="Q69" i="30"/>
  <c r="Q68" i="30"/>
  <c r="Q67" i="30"/>
  <c r="P67" i="30"/>
  <c r="Q66" i="30"/>
  <c r="Q65" i="30"/>
  <c r="Q64" i="30"/>
  <c r="Q63" i="30"/>
  <c r="D63" i="30"/>
  <c r="Q62" i="30"/>
  <c r="Q61" i="30"/>
  <c r="Q60" i="30"/>
  <c r="Q59" i="30"/>
  <c r="P59" i="30"/>
  <c r="Q58" i="30"/>
  <c r="Q57" i="30"/>
  <c r="Q56" i="30"/>
  <c r="Q55" i="30"/>
  <c r="D55" i="30"/>
  <c r="Q54" i="30"/>
  <c r="Q53" i="30"/>
  <c r="Q52" i="30"/>
  <c r="Q46" i="30"/>
  <c r="P46" i="30"/>
  <c r="Q45" i="30"/>
  <c r="Q44" i="30"/>
  <c r="Q43" i="30"/>
  <c r="Q42" i="30"/>
  <c r="D42" i="30"/>
  <c r="Q41" i="30"/>
  <c r="Q40" i="30"/>
  <c r="Q39" i="30"/>
  <c r="Q38" i="30"/>
  <c r="P38" i="30"/>
  <c r="Q37" i="30"/>
  <c r="Q36" i="30"/>
  <c r="Q35" i="30"/>
  <c r="Q34" i="30"/>
  <c r="D34" i="30"/>
  <c r="Q33" i="30"/>
  <c r="Q32" i="30"/>
  <c r="Q31" i="30"/>
  <c r="Q30" i="30"/>
  <c r="P30" i="30"/>
  <c r="Q29" i="30"/>
  <c r="Q28" i="30"/>
  <c r="Q27" i="30"/>
  <c r="Q26" i="30"/>
  <c r="D26" i="30"/>
  <c r="Q25" i="30"/>
  <c r="Q24" i="30"/>
  <c r="Q23" i="30"/>
  <c r="Q22" i="30"/>
  <c r="P22" i="30"/>
  <c r="Q21" i="30"/>
  <c r="Q20" i="30"/>
  <c r="Q19" i="30"/>
  <c r="Q18" i="30"/>
  <c r="D18" i="30"/>
  <c r="Q17" i="30"/>
  <c r="Q16" i="30"/>
  <c r="Q15" i="30"/>
  <c r="Q14" i="30"/>
  <c r="P14" i="30"/>
  <c r="Q13" i="30"/>
  <c r="Q12" i="30"/>
  <c r="Q11" i="30"/>
  <c r="Q10" i="30"/>
  <c r="D10" i="30"/>
  <c r="Q9" i="30"/>
  <c r="Q8" i="30"/>
  <c r="Q7" i="30"/>
  <c r="N174" i="29"/>
  <c r="M174" i="29"/>
  <c r="N173" i="29"/>
  <c r="N172" i="29"/>
  <c r="N171" i="29"/>
  <c r="N170" i="29"/>
  <c r="D170" i="29"/>
  <c r="N169" i="29"/>
  <c r="N168" i="29"/>
  <c r="N167" i="29"/>
  <c r="N166" i="29"/>
  <c r="M166" i="29"/>
  <c r="N165" i="29"/>
  <c r="N164" i="29"/>
  <c r="N163" i="29"/>
  <c r="N162" i="29"/>
  <c r="D162" i="29"/>
  <c r="N161" i="29"/>
  <c r="N160" i="29"/>
  <c r="N159" i="29"/>
  <c r="N158" i="29"/>
  <c r="M158" i="29"/>
  <c r="N157" i="29"/>
  <c r="N156" i="29"/>
  <c r="N155" i="29"/>
  <c r="N154" i="29"/>
  <c r="D154" i="29"/>
  <c r="N153" i="29"/>
  <c r="N152" i="29"/>
  <c r="N151" i="29"/>
  <c r="N150" i="29"/>
  <c r="M150" i="29"/>
  <c r="N149" i="29"/>
  <c r="N148" i="29"/>
  <c r="N147" i="29"/>
  <c r="N146" i="29"/>
  <c r="D146" i="29"/>
  <c r="N145" i="29"/>
  <c r="N144" i="29"/>
  <c r="N143" i="29"/>
  <c r="N142" i="29"/>
  <c r="M142" i="29"/>
  <c r="N141" i="29"/>
  <c r="N140" i="29"/>
  <c r="N139" i="29"/>
  <c r="N138" i="29"/>
  <c r="D138" i="29"/>
  <c r="N137" i="29"/>
  <c r="N136" i="29"/>
  <c r="N135" i="29"/>
  <c r="N134" i="29"/>
  <c r="M134" i="29"/>
  <c r="N133" i="29"/>
  <c r="N132" i="29"/>
  <c r="N131" i="29"/>
  <c r="N130" i="29"/>
  <c r="D130" i="29"/>
  <c r="N129" i="29"/>
  <c r="N128" i="29"/>
  <c r="N127" i="29"/>
  <c r="N126" i="29"/>
  <c r="M126" i="29"/>
  <c r="N125" i="29"/>
  <c r="N124" i="29"/>
  <c r="N123" i="29"/>
  <c r="N122" i="29"/>
  <c r="D122" i="29"/>
  <c r="N121" i="29"/>
  <c r="N120" i="29"/>
  <c r="N119" i="29"/>
  <c r="N118" i="29"/>
  <c r="M118" i="29"/>
  <c r="N117" i="29"/>
  <c r="N116" i="29"/>
  <c r="N115" i="29"/>
  <c r="N114" i="29"/>
  <c r="D114" i="29"/>
  <c r="N113" i="29"/>
  <c r="N112" i="29"/>
  <c r="N111" i="29"/>
  <c r="N110" i="29"/>
  <c r="M110" i="29"/>
  <c r="N109" i="29"/>
  <c r="N108" i="29"/>
  <c r="N107" i="29"/>
  <c r="N106" i="29"/>
  <c r="D106" i="29"/>
  <c r="N105" i="29"/>
  <c r="N104" i="29"/>
  <c r="N103" i="29"/>
  <c r="N102" i="29"/>
  <c r="M102" i="29"/>
  <c r="N101" i="29"/>
  <c r="N100" i="29"/>
  <c r="N99" i="29"/>
  <c r="N98" i="29"/>
  <c r="D98" i="29"/>
  <c r="N97" i="29"/>
  <c r="N96" i="29"/>
  <c r="N95" i="29"/>
  <c r="N94" i="29"/>
  <c r="M94" i="29"/>
  <c r="N93" i="29"/>
  <c r="N92" i="29"/>
  <c r="N91" i="29"/>
  <c r="N90" i="29"/>
  <c r="D90" i="29"/>
  <c r="N89" i="29"/>
  <c r="N88" i="29"/>
  <c r="N87" i="29"/>
  <c r="N86" i="29"/>
  <c r="M86" i="29"/>
  <c r="N85" i="29"/>
  <c r="N84" i="29"/>
  <c r="N83" i="29"/>
  <c r="N82" i="29"/>
  <c r="D82" i="29"/>
  <c r="N81" i="29"/>
  <c r="N80" i="29"/>
  <c r="N79" i="29"/>
  <c r="N78" i="29"/>
  <c r="M78" i="29"/>
  <c r="N77" i="29"/>
  <c r="N76" i="29"/>
  <c r="N75" i="29"/>
  <c r="N74" i="29"/>
  <c r="D74" i="29"/>
  <c r="N73" i="29"/>
  <c r="N72" i="29"/>
  <c r="N71" i="29"/>
  <c r="N70" i="29"/>
  <c r="M70" i="29"/>
  <c r="N69" i="29"/>
  <c r="N68" i="29"/>
  <c r="N67" i="29"/>
  <c r="N66" i="29"/>
  <c r="D66" i="29"/>
  <c r="N65" i="29"/>
  <c r="N64" i="29"/>
  <c r="N63" i="29"/>
  <c r="N62" i="29"/>
  <c r="M62" i="29"/>
  <c r="N61" i="29"/>
  <c r="N60" i="29"/>
  <c r="N59" i="29"/>
  <c r="N58" i="29"/>
  <c r="D58" i="29"/>
  <c r="N57" i="29"/>
  <c r="N56" i="29"/>
  <c r="N55" i="29"/>
  <c r="N54" i="29"/>
  <c r="M54" i="29"/>
  <c r="N53" i="29"/>
  <c r="N52" i="29"/>
  <c r="N51" i="29"/>
  <c r="N50" i="29"/>
  <c r="D50" i="29"/>
  <c r="N49" i="29"/>
  <c r="N48" i="29"/>
  <c r="N47" i="29"/>
  <c r="N46" i="29"/>
  <c r="M46" i="29"/>
  <c r="N45" i="29"/>
  <c r="N44" i="29"/>
  <c r="N43" i="29"/>
  <c r="N42" i="29"/>
  <c r="D42" i="29"/>
  <c r="N41" i="29"/>
  <c r="N40" i="29"/>
  <c r="N39" i="29"/>
  <c r="N38" i="29"/>
  <c r="M38" i="29"/>
  <c r="N37" i="29"/>
  <c r="N36" i="29"/>
  <c r="N35" i="29"/>
  <c r="N34" i="29"/>
  <c r="D34" i="29"/>
  <c r="N33" i="29"/>
  <c r="N32" i="29"/>
  <c r="N31" i="29"/>
  <c r="N30" i="29"/>
  <c r="M30" i="29"/>
  <c r="N29" i="29"/>
  <c r="N28" i="29"/>
  <c r="N27" i="29"/>
  <c r="N26" i="29"/>
  <c r="D26" i="29"/>
  <c r="N25" i="29"/>
  <c r="N24" i="29"/>
  <c r="N23" i="29"/>
  <c r="N22" i="29"/>
  <c r="M22" i="29"/>
  <c r="N21" i="29"/>
  <c r="N20" i="29"/>
  <c r="N19" i="29"/>
  <c r="N18" i="29"/>
  <c r="D18" i="29"/>
  <c r="N17" i="29"/>
  <c r="N16" i="29"/>
  <c r="N15" i="29"/>
  <c r="N14" i="29"/>
  <c r="M14" i="29"/>
  <c r="N13" i="29"/>
  <c r="N12" i="29"/>
  <c r="N11" i="29"/>
  <c r="N10" i="29"/>
  <c r="D10" i="29"/>
  <c r="N9" i="29"/>
  <c r="N8" i="29"/>
  <c r="N7" i="29"/>
  <c r="O99" i="28"/>
  <c r="D99" i="28"/>
  <c r="O98" i="28"/>
  <c r="N98" i="28"/>
  <c r="O97" i="28"/>
  <c r="O96" i="28"/>
  <c r="O95" i="28"/>
  <c r="D95" i="28"/>
  <c r="O94" i="28"/>
  <c r="N94" i="28"/>
  <c r="O93" i="28"/>
  <c r="O92" i="28"/>
  <c r="O91" i="28"/>
  <c r="D91" i="28"/>
  <c r="O90" i="28"/>
  <c r="N90" i="28"/>
  <c r="O89" i="28"/>
  <c r="O88" i="28"/>
  <c r="O87" i="28"/>
  <c r="D87" i="28"/>
  <c r="O86" i="28"/>
  <c r="N86" i="28"/>
  <c r="O85" i="28"/>
  <c r="O84" i="28"/>
  <c r="O83" i="28"/>
  <c r="D83" i="28"/>
  <c r="O82" i="28"/>
  <c r="N82" i="28"/>
  <c r="O81" i="28"/>
  <c r="O80" i="28"/>
  <c r="O79" i="28"/>
  <c r="D79" i="28"/>
  <c r="O78" i="28"/>
  <c r="N78" i="28"/>
  <c r="O77" i="28"/>
  <c r="O76" i="28"/>
  <c r="O75" i="28"/>
  <c r="D75" i="28"/>
  <c r="O74" i="28"/>
  <c r="N74" i="28"/>
  <c r="O73" i="28"/>
  <c r="O72" i="28"/>
  <c r="O71" i="28"/>
  <c r="D71" i="28"/>
  <c r="O70" i="28"/>
  <c r="N70" i="28"/>
  <c r="O69" i="28"/>
  <c r="O68" i="28"/>
  <c r="O67" i="28"/>
  <c r="D67" i="28"/>
  <c r="O66" i="28"/>
  <c r="N66" i="28"/>
  <c r="O65" i="28"/>
  <c r="O64" i="28"/>
  <c r="O63" i="28"/>
  <c r="D63" i="28"/>
  <c r="O62" i="28"/>
  <c r="N62" i="28"/>
  <c r="O61" i="28"/>
  <c r="O60" i="28"/>
  <c r="O59" i="28"/>
  <c r="D59" i="28"/>
  <c r="O58" i="28"/>
  <c r="N58" i="28"/>
  <c r="O57" i="28"/>
  <c r="O56" i="28"/>
  <c r="O55" i="28"/>
  <c r="D55" i="28"/>
  <c r="O54" i="28"/>
  <c r="N54" i="28"/>
  <c r="O53" i="28"/>
  <c r="O52" i="28"/>
  <c r="O51" i="28"/>
  <c r="D51" i="28"/>
  <c r="O50" i="28"/>
  <c r="N50" i="28"/>
  <c r="O49" i="28"/>
  <c r="O48" i="28"/>
  <c r="O42" i="28"/>
  <c r="D42" i="28"/>
  <c r="O41" i="28"/>
  <c r="N41" i="28"/>
  <c r="O40" i="28"/>
  <c r="O39" i="28"/>
  <c r="O38" i="28"/>
  <c r="D38" i="28"/>
  <c r="O37" i="28"/>
  <c r="N37" i="28"/>
  <c r="O36" i="28"/>
  <c r="O35" i="28"/>
  <c r="O34" i="28"/>
  <c r="D34" i="28"/>
  <c r="O33" i="28"/>
  <c r="N33" i="28"/>
  <c r="O32" i="28"/>
  <c r="O31" i="28"/>
  <c r="O30" i="28"/>
  <c r="D30" i="28"/>
  <c r="O29" i="28"/>
  <c r="N29" i="28"/>
  <c r="O28" i="28"/>
  <c r="O27" i="28"/>
  <c r="O26" i="28"/>
  <c r="D26" i="28"/>
  <c r="O25" i="28"/>
  <c r="N25" i="28"/>
  <c r="O24" i="28"/>
  <c r="O23" i="28"/>
  <c r="O22" i="28"/>
  <c r="D22" i="28"/>
  <c r="O21" i="28"/>
  <c r="N21" i="28"/>
  <c r="O20" i="28"/>
  <c r="O19" i="28"/>
  <c r="O18" i="28"/>
  <c r="D18" i="28"/>
  <c r="O17" i="28"/>
  <c r="N17" i="28"/>
  <c r="O16" i="28"/>
  <c r="O15" i="28"/>
  <c r="O14" i="28"/>
  <c r="D14" i="28"/>
  <c r="O13" i="28"/>
  <c r="N13" i="28"/>
  <c r="O12" i="28"/>
  <c r="O11" i="28"/>
  <c r="O10" i="28"/>
  <c r="D10" i="28"/>
  <c r="O9" i="28"/>
  <c r="N9" i="28"/>
  <c r="O8" i="28"/>
  <c r="O7" i="28"/>
  <c r="O115" i="27"/>
  <c r="D115" i="27"/>
  <c r="O114" i="27"/>
  <c r="N114" i="27"/>
  <c r="O113" i="27"/>
  <c r="O112" i="27"/>
  <c r="O111" i="27"/>
  <c r="D111" i="27"/>
  <c r="O110" i="27"/>
  <c r="N110" i="27"/>
  <c r="O109" i="27"/>
  <c r="O108" i="27"/>
  <c r="O107" i="27"/>
  <c r="D107" i="27"/>
  <c r="O106" i="27"/>
  <c r="N106" i="27"/>
  <c r="O105" i="27"/>
  <c r="O104" i="27"/>
  <c r="O103" i="27"/>
  <c r="D103" i="27"/>
  <c r="O102" i="27"/>
  <c r="N102" i="27"/>
  <c r="O101" i="27"/>
  <c r="O100" i="27"/>
  <c r="O99" i="27"/>
  <c r="D99" i="27"/>
  <c r="O98" i="27"/>
  <c r="N98" i="27"/>
  <c r="O97" i="27"/>
  <c r="O96" i="27"/>
  <c r="O90" i="27"/>
  <c r="D90" i="27"/>
  <c r="O89" i="27"/>
  <c r="N89" i="27"/>
  <c r="O88" i="27"/>
  <c r="O87" i="27"/>
  <c r="O86" i="27"/>
  <c r="D86" i="27"/>
  <c r="O85" i="27"/>
  <c r="N85" i="27"/>
  <c r="O84" i="27"/>
  <c r="O83" i="27"/>
  <c r="O82" i="27"/>
  <c r="D82" i="27"/>
  <c r="O81" i="27"/>
  <c r="N81" i="27"/>
  <c r="O80" i="27"/>
  <c r="O79" i="27"/>
  <c r="O78" i="27"/>
  <c r="D78" i="27"/>
  <c r="O77" i="27"/>
  <c r="N77" i="27"/>
  <c r="O76" i="27"/>
  <c r="O75" i="27"/>
  <c r="O74" i="27"/>
  <c r="D74" i="27"/>
  <c r="O73" i="27"/>
  <c r="N73" i="27"/>
  <c r="O72" i="27"/>
  <c r="O71" i="27"/>
  <c r="O70" i="27"/>
  <c r="D70" i="27"/>
  <c r="O69" i="27"/>
  <c r="N69" i="27"/>
  <c r="O68" i="27"/>
  <c r="O67" i="27"/>
  <c r="O66" i="27"/>
  <c r="D66" i="27"/>
  <c r="O65" i="27"/>
  <c r="N65" i="27"/>
  <c r="O64" i="27"/>
  <c r="O63" i="27"/>
  <c r="O62" i="27"/>
  <c r="D62" i="27"/>
  <c r="O61" i="27"/>
  <c r="N61" i="27"/>
  <c r="O60" i="27"/>
  <c r="O59" i="27"/>
  <c r="O58" i="27"/>
  <c r="D58" i="27"/>
  <c r="O57" i="27"/>
  <c r="N57" i="27"/>
  <c r="O56" i="27"/>
  <c r="O55" i="27"/>
  <c r="O54" i="27"/>
  <c r="D54" i="27"/>
  <c r="O53" i="27"/>
  <c r="N53" i="27"/>
  <c r="O52" i="27"/>
  <c r="O51" i="27"/>
  <c r="O50" i="27"/>
  <c r="D50" i="27"/>
  <c r="O49" i="27"/>
  <c r="N49" i="27"/>
  <c r="O48" i="27"/>
  <c r="O47" i="27"/>
  <c r="O46" i="27"/>
  <c r="D46" i="27"/>
  <c r="O45" i="27"/>
  <c r="N45" i="27"/>
  <c r="O44" i="27"/>
  <c r="O43" i="27"/>
  <c r="O42" i="27"/>
  <c r="D42" i="27"/>
  <c r="O41" i="27"/>
  <c r="N41" i="27"/>
  <c r="O40" i="27"/>
  <c r="O39" i="27"/>
  <c r="O38" i="27"/>
  <c r="D38" i="27"/>
  <c r="O37" i="27"/>
  <c r="N37" i="27"/>
  <c r="O36" i="27"/>
  <c r="O35" i="27"/>
  <c r="O34" i="27"/>
  <c r="D34" i="27"/>
  <c r="O33" i="27"/>
  <c r="N33" i="27"/>
  <c r="O32" i="27"/>
  <c r="O31" i="27"/>
  <c r="O30" i="27"/>
  <c r="D30" i="27"/>
  <c r="O29" i="27"/>
  <c r="N29" i="27"/>
  <c r="O28" i="27"/>
  <c r="O27" i="27"/>
  <c r="O26" i="27"/>
  <c r="D26" i="27"/>
  <c r="O25" i="27"/>
  <c r="N25" i="27"/>
  <c r="O24" i="27"/>
  <c r="O23" i="27"/>
  <c r="O22" i="27"/>
  <c r="D22" i="27"/>
  <c r="O21" i="27"/>
  <c r="N21" i="27"/>
  <c r="O20" i="27"/>
  <c r="O19" i="27"/>
  <c r="O18" i="27"/>
  <c r="D18" i="27"/>
  <c r="O17" i="27"/>
  <c r="N17" i="27"/>
  <c r="O16" i="27"/>
  <c r="O15" i="27"/>
  <c r="O14" i="27"/>
  <c r="D14" i="27"/>
  <c r="O13" i="27"/>
  <c r="N13" i="27"/>
  <c r="O12" i="27"/>
  <c r="O11" i="27"/>
  <c r="O10" i="27"/>
  <c r="D10" i="27"/>
  <c r="O9" i="27"/>
  <c r="N9" i="27"/>
  <c r="O8" i="27"/>
  <c r="O7" i="27"/>
  <c r="X46" i="26"/>
  <c r="J46" i="26"/>
  <c r="H46" i="26"/>
  <c r="E46" i="26"/>
  <c r="X45" i="26"/>
  <c r="W45" i="26"/>
  <c r="X44" i="26"/>
  <c r="X43" i="26"/>
  <c r="X42" i="26"/>
  <c r="J42" i="26"/>
  <c r="H42" i="26"/>
  <c r="X41" i="26"/>
  <c r="W41" i="26"/>
  <c r="X40" i="26"/>
  <c r="X39" i="26"/>
  <c r="X38" i="26"/>
  <c r="J38" i="26"/>
  <c r="X37" i="26"/>
  <c r="W37" i="26"/>
  <c r="X36" i="26"/>
  <c r="X35" i="26"/>
  <c r="X34" i="26"/>
  <c r="J34" i="26"/>
  <c r="H34" i="26"/>
  <c r="E34" i="26"/>
  <c r="X33" i="26"/>
  <c r="W33" i="26"/>
  <c r="X32" i="26"/>
  <c r="X31" i="26"/>
  <c r="X30" i="26"/>
  <c r="J30" i="26"/>
  <c r="H30" i="26"/>
  <c r="X29" i="26"/>
  <c r="W29" i="26"/>
  <c r="X28" i="26"/>
  <c r="X27" i="26"/>
  <c r="X26" i="26"/>
  <c r="J26" i="26"/>
  <c r="X25" i="26"/>
  <c r="W25" i="26"/>
  <c r="X24" i="26"/>
  <c r="X23" i="26"/>
  <c r="X22" i="26"/>
  <c r="J22" i="26"/>
  <c r="H22" i="26"/>
  <c r="X21" i="26"/>
  <c r="W21" i="26"/>
  <c r="X20" i="26"/>
  <c r="X19" i="26"/>
  <c r="X18" i="26"/>
  <c r="J18" i="26"/>
  <c r="X17" i="26"/>
  <c r="W17" i="26"/>
  <c r="X16" i="26"/>
  <c r="X15" i="26"/>
  <c r="X14" i="26"/>
  <c r="J14" i="26"/>
  <c r="X13" i="26"/>
  <c r="W13" i="26"/>
  <c r="X12" i="26"/>
  <c r="X11" i="26"/>
  <c r="X10" i="26"/>
  <c r="J10" i="26"/>
  <c r="H10" i="26"/>
  <c r="E10" i="26"/>
  <c r="X9" i="26"/>
  <c r="W9" i="26"/>
  <c r="X8" i="26"/>
  <c r="X7" i="26"/>
  <c r="X46" i="25"/>
  <c r="J46" i="25"/>
  <c r="H46" i="25"/>
  <c r="E46" i="25"/>
  <c r="X45" i="25"/>
  <c r="W45" i="25"/>
  <c r="X44" i="25"/>
  <c r="X43" i="25"/>
  <c r="X42" i="25"/>
  <c r="J42" i="25"/>
  <c r="H42" i="25"/>
  <c r="X41" i="25"/>
  <c r="W41" i="25"/>
  <c r="X40" i="25"/>
  <c r="X39" i="25"/>
  <c r="X38" i="25"/>
  <c r="J38" i="25"/>
  <c r="X37" i="25"/>
  <c r="W37" i="25"/>
  <c r="X36" i="25"/>
  <c r="X35" i="25"/>
  <c r="X34" i="25"/>
  <c r="J34" i="25"/>
  <c r="H34" i="25"/>
  <c r="E34" i="25"/>
  <c r="X33" i="25"/>
  <c r="W33" i="25"/>
  <c r="X32" i="25"/>
  <c r="X31" i="25"/>
  <c r="X30" i="25"/>
  <c r="J30" i="25"/>
  <c r="H30" i="25"/>
  <c r="X29" i="25"/>
  <c r="W29" i="25"/>
  <c r="X28" i="25"/>
  <c r="X27" i="25"/>
  <c r="X26" i="25"/>
  <c r="J26" i="25"/>
  <c r="X25" i="25"/>
  <c r="W25" i="25"/>
  <c r="X24" i="25"/>
  <c r="X23" i="25"/>
  <c r="X22" i="25"/>
  <c r="J22" i="25"/>
  <c r="H22" i="25"/>
  <c r="X21" i="25"/>
  <c r="W21" i="25"/>
  <c r="X20" i="25"/>
  <c r="X19" i="25"/>
  <c r="X18" i="25"/>
  <c r="J18" i="25"/>
  <c r="X17" i="25"/>
  <c r="W17" i="25"/>
  <c r="X16" i="25"/>
  <c r="X15" i="25"/>
  <c r="X14" i="25"/>
  <c r="J14" i="25"/>
  <c r="X13" i="25"/>
  <c r="W13" i="25"/>
  <c r="X12" i="25"/>
  <c r="X11" i="25"/>
  <c r="X10" i="25"/>
  <c r="J10" i="25"/>
  <c r="H10" i="25"/>
  <c r="E10" i="25"/>
  <c r="X9" i="25"/>
  <c r="W9" i="25"/>
  <c r="X8" i="25"/>
  <c r="X7" i="25"/>
  <c r="S46" i="24"/>
  <c r="H46" i="24"/>
  <c r="E46" i="24"/>
  <c r="S45" i="24"/>
  <c r="R45" i="24"/>
  <c r="S44" i="24"/>
  <c r="S43" i="24"/>
  <c r="S42" i="24"/>
  <c r="H42" i="24"/>
  <c r="S41" i="24"/>
  <c r="R41" i="24"/>
  <c r="S40" i="24"/>
  <c r="S39" i="24"/>
  <c r="S38" i="24"/>
  <c r="H38" i="24"/>
  <c r="E38" i="24"/>
  <c r="S37" i="24"/>
  <c r="R37" i="24"/>
  <c r="S36" i="24"/>
  <c r="S35" i="24"/>
  <c r="S34" i="24"/>
  <c r="H34" i="24"/>
  <c r="S33" i="24"/>
  <c r="R33" i="24"/>
  <c r="S32" i="24"/>
  <c r="S31" i="24"/>
  <c r="S30" i="24"/>
  <c r="H30" i="24"/>
  <c r="S29" i="24"/>
  <c r="R29" i="24"/>
  <c r="S28" i="24"/>
  <c r="S27" i="24"/>
  <c r="S26" i="24"/>
  <c r="H26" i="24"/>
  <c r="E26" i="24"/>
  <c r="S25" i="24"/>
  <c r="R25" i="24"/>
  <c r="S24" i="24"/>
  <c r="S23" i="24"/>
  <c r="S22" i="24"/>
  <c r="H22" i="24"/>
  <c r="S21" i="24"/>
  <c r="R21" i="24"/>
  <c r="S20" i="24"/>
  <c r="S19" i="24"/>
  <c r="S18" i="24"/>
  <c r="H18" i="24"/>
  <c r="S17" i="24"/>
  <c r="R17" i="24"/>
  <c r="S16" i="24"/>
  <c r="S15" i="24"/>
  <c r="S14" i="24"/>
  <c r="H14" i="24"/>
  <c r="S13" i="24"/>
  <c r="R13" i="24"/>
  <c r="S12" i="24"/>
  <c r="S11" i="24"/>
  <c r="S10" i="24"/>
  <c r="H10" i="24"/>
  <c r="E10" i="24"/>
  <c r="S9" i="24"/>
  <c r="R9" i="24"/>
  <c r="S8" i="24"/>
  <c r="S7" i="24"/>
  <c r="S46" i="23"/>
  <c r="H46" i="23"/>
  <c r="S45" i="23"/>
  <c r="R45" i="23"/>
  <c r="S44" i="23"/>
  <c r="S43" i="23"/>
  <c r="S42" i="23"/>
  <c r="H42" i="23"/>
  <c r="S41" i="23"/>
  <c r="R41" i="23"/>
  <c r="S40" i="23"/>
  <c r="S39" i="23"/>
  <c r="S38" i="23"/>
  <c r="H38" i="23"/>
  <c r="S37" i="23"/>
  <c r="R37" i="23"/>
  <c r="S36" i="23"/>
  <c r="S35" i="23"/>
  <c r="S34" i="23"/>
  <c r="H34" i="23"/>
  <c r="S33" i="23"/>
  <c r="R33" i="23"/>
  <c r="S32" i="23"/>
  <c r="S31" i="23"/>
  <c r="S30" i="23"/>
  <c r="H30" i="23"/>
  <c r="S29" i="23"/>
  <c r="R29" i="23"/>
  <c r="S28" i="23"/>
  <c r="S27" i="23"/>
  <c r="S26" i="23"/>
  <c r="H26" i="23"/>
  <c r="S25" i="23"/>
  <c r="R25" i="23"/>
  <c r="S24" i="23"/>
  <c r="S23" i="23"/>
  <c r="S22" i="23"/>
  <c r="H22" i="23"/>
  <c r="S21" i="23"/>
  <c r="R21" i="23"/>
  <c r="S20" i="23"/>
  <c r="S19" i="23"/>
  <c r="S18" i="23"/>
  <c r="H18" i="23"/>
  <c r="S17" i="23"/>
  <c r="R17" i="23"/>
  <c r="S16" i="23"/>
  <c r="S15" i="23"/>
  <c r="S14" i="23"/>
  <c r="H14" i="23"/>
  <c r="S13" i="23"/>
  <c r="R13" i="23"/>
  <c r="S12" i="23"/>
  <c r="S11" i="23"/>
  <c r="S10" i="23"/>
  <c r="H10" i="23"/>
  <c r="S9" i="23"/>
  <c r="R9" i="23"/>
  <c r="S8" i="23"/>
  <c r="S7" i="23"/>
  <c r="V46" i="22"/>
  <c r="H46" i="22"/>
  <c r="E46" i="22"/>
  <c r="V45" i="22"/>
  <c r="U45" i="22"/>
  <c r="V44" i="22"/>
  <c r="V43" i="22"/>
  <c r="V42" i="22"/>
  <c r="H42" i="22"/>
  <c r="V41" i="22"/>
  <c r="U41" i="22"/>
  <c r="V40" i="22"/>
  <c r="V39" i="22"/>
  <c r="V38" i="22"/>
  <c r="H38" i="22"/>
  <c r="E38" i="22"/>
  <c r="V37" i="22"/>
  <c r="U37" i="22"/>
  <c r="V36" i="22"/>
  <c r="V35" i="22"/>
  <c r="V34" i="22"/>
  <c r="H34" i="22"/>
  <c r="V33" i="22"/>
  <c r="U33" i="22"/>
  <c r="V32" i="22"/>
  <c r="V31" i="22"/>
  <c r="V30" i="22"/>
  <c r="H30" i="22"/>
  <c r="V29" i="22"/>
  <c r="U29" i="22"/>
  <c r="V28" i="22"/>
  <c r="V27" i="22"/>
  <c r="V26" i="22"/>
  <c r="H26" i="22"/>
  <c r="E26" i="22"/>
  <c r="V25" i="22"/>
  <c r="U25" i="22"/>
  <c r="V24" i="22"/>
  <c r="V23" i="22"/>
  <c r="V22" i="22"/>
  <c r="H22" i="22"/>
  <c r="V21" i="22"/>
  <c r="U21" i="22"/>
  <c r="V20" i="22"/>
  <c r="V19" i="22"/>
  <c r="V18" i="22"/>
  <c r="H18" i="22"/>
  <c r="V17" i="22"/>
  <c r="U17" i="22"/>
  <c r="V16" i="22"/>
  <c r="V15" i="22"/>
  <c r="V14" i="22"/>
  <c r="H14" i="22"/>
  <c r="V13" i="22"/>
  <c r="U13" i="22"/>
  <c r="V12" i="22"/>
  <c r="V11" i="22"/>
  <c r="V10" i="22"/>
  <c r="H10" i="22"/>
  <c r="E10" i="22"/>
  <c r="V9" i="22"/>
  <c r="U9" i="22"/>
  <c r="V8" i="22"/>
  <c r="V7" i="22"/>
  <c r="S46" i="21"/>
  <c r="H46" i="21"/>
  <c r="E46" i="21"/>
  <c r="S45" i="21"/>
  <c r="R45" i="21"/>
  <c r="S44" i="21"/>
  <c r="S43" i="21"/>
  <c r="S42" i="21"/>
  <c r="H42" i="21"/>
  <c r="S41" i="21"/>
  <c r="R41" i="21"/>
  <c r="S40" i="21"/>
  <c r="S39" i="21"/>
  <c r="S38" i="21"/>
  <c r="H38" i="21"/>
  <c r="E38" i="21"/>
  <c r="S37" i="21"/>
  <c r="R37" i="21"/>
  <c r="S36" i="21"/>
  <c r="S35" i="21"/>
  <c r="S34" i="21"/>
  <c r="H34" i="21"/>
  <c r="S33" i="21"/>
  <c r="R33" i="21"/>
  <c r="S32" i="21"/>
  <c r="S31" i="21"/>
  <c r="S30" i="21"/>
  <c r="H30" i="21"/>
  <c r="S29" i="21"/>
  <c r="R29" i="21"/>
  <c r="S28" i="21"/>
  <c r="S27" i="21"/>
  <c r="S26" i="21"/>
  <c r="H26" i="21"/>
  <c r="E26" i="21"/>
  <c r="S25" i="21"/>
  <c r="R25" i="21"/>
  <c r="S24" i="21"/>
  <c r="S23" i="21"/>
  <c r="S22" i="21"/>
  <c r="H22" i="21"/>
  <c r="S21" i="21"/>
  <c r="R21" i="21"/>
  <c r="S20" i="21"/>
  <c r="S19" i="21"/>
  <c r="S18" i="21"/>
  <c r="H18" i="21"/>
  <c r="S17" i="21"/>
  <c r="R17" i="21"/>
  <c r="S16" i="21"/>
  <c r="S15" i="21"/>
  <c r="S14" i="21"/>
  <c r="H14" i="21"/>
  <c r="S13" i="21"/>
  <c r="R13" i="21"/>
  <c r="S12" i="21"/>
  <c r="S11" i="21"/>
  <c r="S10" i="21"/>
  <c r="H10" i="21"/>
  <c r="E10" i="21"/>
  <c r="S9" i="21"/>
  <c r="R9" i="21"/>
  <c r="S8" i="21"/>
  <c r="S7" i="21"/>
  <c r="S46" i="20"/>
  <c r="H46" i="20"/>
  <c r="E46" i="20"/>
  <c r="S45" i="20"/>
  <c r="R45" i="20"/>
  <c r="S44" i="20"/>
  <c r="S43" i="20"/>
  <c r="S42" i="20"/>
  <c r="H42" i="20"/>
  <c r="S41" i="20"/>
  <c r="R41" i="20"/>
  <c r="S40" i="20"/>
  <c r="S39" i="20"/>
  <c r="S38" i="20"/>
  <c r="H38" i="20"/>
  <c r="E38" i="20"/>
  <c r="S37" i="20"/>
  <c r="R37" i="20"/>
  <c r="S36" i="20"/>
  <c r="S35" i="20"/>
  <c r="S34" i="20"/>
  <c r="H34" i="20"/>
  <c r="S33" i="20"/>
  <c r="R33" i="20"/>
  <c r="S32" i="20"/>
  <c r="S31" i="20"/>
  <c r="S30" i="20"/>
  <c r="H30" i="20"/>
  <c r="S29" i="20"/>
  <c r="R29" i="20"/>
  <c r="S28" i="20"/>
  <c r="S27" i="20"/>
  <c r="S26" i="20"/>
  <c r="H26" i="20"/>
  <c r="E26" i="20"/>
  <c r="S25" i="20"/>
  <c r="R25" i="20"/>
  <c r="S24" i="20"/>
  <c r="S23" i="20"/>
  <c r="S22" i="20"/>
  <c r="H22" i="20"/>
  <c r="S21" i="20"/>
  <c r="R21" i="20"/>
  <c r="S20" i="20"/>
  <c r="S19" i="20"/>
  <c r="S18" i="20"/>
  <c r="H18" i="20"/>
  <c r="S17" i="20"/>
  <c r="R17" i="20"/>
  <c r="S16" i="20"/>
  <c r="S15" i="20"/>
  <c r="S14" i="20"/>
  <c r="H14" i="20"/>
  <c r="S13" i="20"/>
  <c r="R13" i="20"/>
  <c r="S12" i="20"/>
  <c r="S11" i="20"/>
  <c r="S10" i="20"/>
  <c r="H10" i="20"/>
  <c r="E10" i="20"/>
  <c r="S9" i="20"/>
  <c r="R9" i="20"/>
  <c r="S8" i="20"/>
  <c r="S7" i="20"/>
  <c r="V46" i="19"/>
  <c r="H46" i="19"/>
  <c r="E46" i="19"/>
  <c r="V45" i="19"/>
  <c r="U45" i="19"/>
  <c r="V44" i="19"/>
  <c r="V43" i="19"/>
  <c r="V42" i="19"/>
  <c r="H42" i="19"/>
  <c r="V41" i="19"/>
  <c r="U41" i="19"/>
  <c r="V40" i="19"/>
  <c r="V39" i="19"/>
  <c r="V38" i="19"/>
  <c r="H38" i="19"/>
  <c r="E38" i="19"/>
  <c r="V37" i="19"/>
  <c r="U37" i="19"/>
  <c r="V36" i="19"/>
  <c r="V35" i="19"/>
  <c r="V34" i="19"/>
  <c r="H34" i="19"/>
  <c r="V33" i="19"/>
  <c r="U33" i="19"/>
  <c r="V32" i="19"/>
  <c r="V31" i="19"/>
  <c r="V30" i="19"/>
  <c r="H30" i="19"/>
  <c r="V29" i="19"/>
  <c r="U29" i="19"/>
  <c r="V28" i="19"/>
  <c r="V27" i="19"/>
  <c r="V26" i="19"/>
  <c r="H26" i="19"/>
  <c r="E26" i="19"/>
  <c r="V25" i="19"/>
  <c r="U25" i="19"/>
  <c r="V24" i="19"/>
  <c r="V23" i="19"/>
  <c r="V22" i="19"/>
  <c r="H22" i="19"/>
  <c r="V21" i="19"/>
  <c r="U21" i="19"/>
  <c r="V20" i="19"/>
  <c r="V19" i="19"/>
  <c r="V18" i="19"/>
  <c r="H18" i="19"/>
  <c r="V17" i="19"/>
  <c r="U17" i="19"/>
  <c r="V16" i="19"/>
  <c r="V15" i="19"/>
  <c r="V14" i="19"/>
  <c r="H14" i="19"/>
  <c r="V13" i="19"/>
  <c r="U13" i="19"/>
  <c r="V12" i="19"/>
  <c r="V11" i="19"/>
  <c r="V10" i="19"/>
  <c r="H10" i="19"/>
  <c r="E10" i="19"/>
  <c r="V9" i="19"/>
  <c r="U9" i="19"/>
  <c r="V8" i="19"/>
  <c r="V7" i="19"/>
  <c r="O54" i="18"/>
  <c r="D54" i="18"/>
  <c r="O53" i="18"/>
  <c r="N53" i="18"/>
  <c r="O52" i="18"/>
  <c r="O51" i="18"/>
  <c r="O50" i="18"/>
  <c r="D50" i="18"/>
  <c r="O49" i="18"/>
  <c r="N49" i="18"/>
  <c r="O48" i="18"/>
  <c r="O47" i="18"/>
  <c r="O46" i="18"/>
  <c r="D46" i="18"/>
  <c r="O45" i="18"/>
  <c r="N45" i="18"/>
  <c r="O44" i="18"/>
  <c r="O43" i="18"/>
  <c r="O42" i="18"/>
  <c r="D42" i="18"/>
  <c r="O41" i="18"/>
  <c r="N41" i="18"/>
  <c r="O40" i="18"/>
  <c r="O39" i="18"/>
  <c r="O38" i="18"/>
  <c r="D38" i="18"/>
  <c r="O37" i="18"/>
  <c r="N37" i="18"/>
  <c r="O36" i="18"/>
  <c r="O35" i="18"/>
  <c r="O34" i="18"/>
  <c r="D34" i="18"/>
  <c r="O33" i="18"/>
  <c r="N33" i="18"/>
  <c r="O32" i="18"/>
  <c r="O31" i="18"/>
  <c r="O30" i="18"/>
  <c r="D30" i="18"/>
  <c r="O29" i="18"/>
  <c r="N29" i="18"/>
  <c r="O28" i="18"/>
  <c r="O27" i="18"/>
  <c r="O26" i="18"/>
  <c r="D26" i="18"/>
  <c r="O25" i="18"/>
  <c r="N25" i="18"/>
  <c r="O24" i="18"/>
  <c r="O23" i="18"/>
  <c r="O22" i="18"/>
  <c r="D22" i="18"/>
  <c r="O21" i="18"/>
  <c r="N21" i="18"/>
  <c r="O20" i="18"/>
  <c r="O19" i="18"/>
  <c r="O18" i="18"/>
  <c r="D18" i="18"/>
  <c r="O17" i="18"/>
  <c r="N17" i="18"/>
  <c r="O16" i="18"/>
  <c r="O15" i="18"/>
  <c r="O14" i="18"/>
  <c r="D14" i="18"/>
  <c r="O13" i="18"/>
  <c r="N13" i="18"/>
  <c r="O12" i="18"/>
  <c r="O11" i="18"/>
  <c r="O10" i="18"/>
  <c r="D10" i="18"/>
  <c r="O9" i="18"/>
  <c r="N9" i="18"/>
  <c r="O8" i="18"/>
  <c r="O7" i="18"/>
  <c r="O144" i="17"/>
  <c r="D144" i="17"/>
  <c r="O143" i="17"/>
  <c r="N143" i="17"/>
  <c r="O142" i="17"/>
  <c r="O141" i="17"/>
  <c r="O140" i="17"/>
  <c r="D140" i="17"/>
  <c r="O139" i="17"/>
  <c r="N139" i="17"/>
  <c r="O138" i="17"/>
  <c r="O137" i="17"/>
  <c r="O136" i="17"/>
  <c r="D136" i="17"/>
  <c r="O135" i="17"/>
  <c r="N135" i="17"/>
  <c r="O134" i="17"/>
  <c r="O133" i="17"/>
  <c r="O132" i="17"/>
  <c r="D132" i="17"/>
  <c r="O131" i="17"/>
  <c r="N131" i="17"/>
  <c r="O130" i="17"/>
  <c r="O129" i="17"/>
  <c r="O128" i="17"/>
  <c r="D128" i="17"/>
  <c r="O127" i="17"/>
  <c r="N127" i="17"/>
  <c r="O126" i="17"/>
  <c r="O125" i="17"/>
  <c r="O124" i="17"/>
  <c r="D124" i="17"/>
  <c r="O123" i="17"/>
  <c r="N123" i="17"/>
  <c r="O122" i="17"/>
  <c r="O121" i="17"/>
  <c r="O120" i="17"/>
  <c r="D120" i="17"/>
  <c r="O119" i="17"/>
  <c r="N119" i="17"/>
  <c r="O118" i="17"/>
  <c r="O117" i="17"/>
  <c r="O116" i="17"/>
  <c r="D116" i="17"/>
  <c r="O115" i="17"/>
  <c r="N115" i="17"/>
  <c r="O114" i="17"/>
  <c r="O113" i="17"/>
  <c r="O107" i="17"/>
  <c r="D107" i="17"/>
  <c r="O106" i="17"/>
  <c r="N106" i="17"/>
  <c r="O105" i="17"/>
  <c r="O104" i="17"/>
  <c r="O103" i="17"/>
  <c r="D103" i="17"/>
  <c r="O102" i="17"/>
  <c r="N102" i="17"/>
  <c r="O101" i="17"/>
  <c r="O100" i="17"/>
  <c r="O99" i="17"/>
  <c r="D99" i="17"/>
  <c r="O98" i="17"/>
  <c r="N98" i="17"/>
  <c r="O97" i="17"/>
  <c r="O96" i="17"/>
  <c r="O95" i="17"/>
  <c r="D95" i="17"/>
  <c r="O94" i="17"/>
  <c r="N94" i="17"/>
  <c r="O93" i="17"/>
  <c r="O92" i="17"/>
  <c r="O86" i="17"/>
  <c r="D86" i="17"/>
  <c r="O85" i="17"/>
  <c r="N85" i="17"/>
  <c r="O84" i="17"/>
  <c r="O83" i="17"/>
  <c r="O82" i="17"/>
  <c r="D82" i="17"/>
  <c r="O81" i="17"/>
  <c r="N81" i="17"/>
  <c r="O80" i="17"/>
  <c r="O79" i="17"/>
  <c r="O78" i="17"/>
  <c r="D78" i="17"/>
  <c r="O77" i="17"/>
  <c r="N77" i="17"/>
  <c r="O76" i="17"/>
  <c r="O75" i="17"/>
  <c r="O74" i="17"/>
  <c r="D74" i="17"/>
  <c r="O73" i="17"/>
  <c r="N73" i="17"/>
  <c r="O72" i="17"/>
  <c r="O71" i="17"/>
  <c r="O70" i="17"/>
  <c r="D70" i="17"/>
  <c r="O69" i="17"/>
  <c r="N69" i="17"/>
  <c r="O68" i="17"/>
  <c r="O67" i="17"/>
  <c r="O66" i="17"/>
  <c r="D66" i="17"/>
  <c r="O65" i="17"/>
  <c r="N65" i="17"/>
  <c r="O64" i="17"/>
  <c r="O63" i="17"/>
  <c r="O62" i="17"/>
  <c r="D62" i="17"/>
  <c r="O61" i="17"/>
  <c r="N61" i="17"/>
  <c r="O60" i="17"/>
  <c r="O59" i="17"/>
  <c r="O58" i="17"/>
  <c r="D58" i="17"/>
  <c r="O57" i="17"/>
  <c r="N57" i="17"/>
  <c r="O56" i="17"/>
  <c r="O55" i="17"/>
  <c r="O54" i="17"/>
  <c r="D54" i="17"/>
  <c r="O53" i="17"/>
  <c r="N53" i="17"/>
  <c r="O52" i="17"/>
  <c r="O51" i="17"/>
  <c r="O50" i="17"/>
  <c r="D50" i="17"/>
  <c r="O49" i="17"/>
  <c r="N49" i="17"/>
  <c r="O48" i="17"/>
  <c r="O47" i="17"/>
  <c r="O46" i="17"/>
  <c r="D46" i="17"/>
  <c r="O45" i="17"/>
  <c r="N45" i="17"/>
  <c r="O44" i="17"/>
  <c r="O43" i="17"/>
  <c r="O42" i="17"/>
  <c r="D42" i="17"/>
  <c r="O41" i="17"/>
  <c r="N41" i="17"/>
  <c r="O40" i="17"/>
  <c r="O39" i="17"/>
  <c r="O38" i="17"/>
  <c r="D38" i="17"/>
  <c r="O37" i="17"/>
  <c r="N37" i="17"/>
  <c r="O36" i="17"/>
  <c r="O35" i="17"/>
  <c r="O34" i="17"/>
  <c r="D34" i="17"/>
  <c r="O33" i="17"/>
  <c r="N33" i="17"/>
  <c r="O32" i="17"/>
  <c r="O31" i="17"/>
  <c r="O30" i="17"/>
  <c r="D30" i="17"/>
  <c r="O29" i="17"/>
  <c r="N29" i="17"/>
  <c r="O28" i="17"/>
  <c r="O27" i="17"/>
  <c r="O26" i="17"/>
  <c r="D26" i="17"/>
  <c r="O25" i="17"/>
  <c r="N25" i="17"/>
  <c r="O24" i="17"/>
  <c r="O23" i="17"/>
  <c r="O22" i="17"/>
  <c r="D22" i="17"/>
  <c r="O21" i="17"/>
  <c r="N21" i="17"/>
  <c r="O20" i="17"/>
  <c r="O19" i="17"/>
  <c r="O18" i="17"/>
  <c r="D18" i="17"/>
  <c r="O17" i="17"/>
  <c r="N17" i="17"/>
  <c r="O16" i="17"/>
  <c r="O15" i="17"/>
  <c r="O14" i="17"/>
  <c r="D14" i="17"/>
  <c r="O13" i="17"/>
  <c r="N13" i="17"/>
  <c r="O12" i="17"/>
  <c r="O11" i="17"/>
  <c r="O10" i="17"/>
  <c r="D10" i="17"/>
  <c r="O9" i="17"/>
  <c r="N9" i="17"/>
  <c r="O8" i="17"/>
  <c r="O7" i="17"/>
  <c r="Q110" i="16"/>
  <c r="P110" i="16"/>
  <c r="Q109" i="16"/>
  <c r="Q108" i="16"/>
  <c r="Q107" i="16"/>
  <c r="Q106" i="16"/>
  <c r="D106" i="16"/>
  <c r="Q105" i="16"/>
  <c r="Q104" i="16"/>
  <c r="Q103" i="16"/>
  <c r="Q102" i="16"/>
  <c r="P102" i="16"/>
  <c r="Q101" i="16"/>
  <c r="Q100" i="16"/>
  <c r="Q99" i="16"/>
  <c r="Q98" i="16"/>
  <c r="D98" i="16"/>
  <c r="Q97" i="16"/>
  <c r="Q96" i="16"/>
  <c r="Q95" i="16"/>
  <c r="Q94" i="16"/>
  <c r="P94" i="16"/>
  <c r="Q93" i="16"/>
  <c r="Q92" i="16"/>
  <c r="Q91" i="16"/>
  <c r="Q90" i="16"/>
  <c r="D90" i="16"/>
  <c r="Q89" i="16"/>
  <c r="Q88" i="16"/>
  <c r="Q87" i="16"/>
  <c r="Q86" i="16"/>
  <c r="P86" i="16"/>
  <c r="Q85" i="16"/>
  <c r="Q84" i="16"/>
  <c r="Q83" i="16"/>
  <c r="Q82" i="16"/>
  <c r="D82" i="16"/>
  <c r="Q81" i="16"/>
  <c r="Q80" i="16"/>
  <c r="Q79" i="16"/>
  <c r="Q78" i="16"/>
  <c r="P78" i="16"/>
  <c r="Q77" i="16"/>
  <c r="Q76" i="16"/>
  <c r="Q75" i="16"/>
  <c r="Q74" i="16"/>
  <c r="D74" i="16"/>
  <c r="Q73" i="16"/>
  <c r="Q72" i="16"/>
  <c r="Q71" i="16"/>
  <c r="Q70" i="16"/>
  <c r="P70" i="16"/>
  <c r="Q69" i="16"/>
  <c r="Q68" i="16"/>
  <c r="Q67" i="16"/>
  <c r="Q66" i="16"/>
  <c r="D66" i="16"/>
  <c r="Q65" i="16"/>
  <c r="Q64" i="16"/>
  <c r="Q63" i="16"/>
  <c r="Q62" i="16"/>
  <c r="P62" i="16"/>
  <c r="Q61" i="16"/>
  <c r="Q60" i="16"/>
  <c r="Q59" i="16"/>
  <c r="Q58" i="16"/>
  <c r="D58" i="16"/>
  <c r="Q57" i="16"/>
  <c r="Q56" i="16"/>
  <c r="Q55" i="16"/>
  <c r="Q54" i="16"/>
  <c r="P54" i="16"/>
  <c r="Q53" i="16"/>
  <c r="Q52" i="16"/>
  <c r="Q51" i="16"/>
  <c r="Q50" i="16"/>
  <c r="D50" i="16"/>
  <c r="Q49" i="16"/>
  <c r="Q48" i="16"/>
  <c r="Q47" i="16"/>
  <c r="Q46" i="16"/>
  <c r="P46" i="16"/>
  <c r="Q45" i="16"/>
  <c r="Q44" i="16"/>
  <c r="Q43" i="16"/>
  <c r="Q42" i="16"/>
  <c r="D42" i="16"/>
  <c r="Q41" i="16"/>
  <c r="Q40" i="16"/>
  <c r="Q39" i="16"/>
  <c r="Q38" i="16"/>
  <c r="P38" i="16"/>
  <c r="Q37" i="16"/>
  <c r="Q36" i="16"/>
  <c r="Q35" i="16"/>
  <c r="Q34" i="16"/>
  <c r="D34" i="16"/>
  <c r="Q33" i="16"/>
  <c r="Q32" i="16"/>
  <c r="Q31" i="16"/>
  <c r="Q30" i="16"/>
  <c r="P30" i="16"/>
  <c r="Q29" i="16"/>
  <c r="Q28" i="16"/>
  <c r="Q27" i="16"/>
  <c r="Q26" i="16"/>
  <c r="D26" i="16"/>
  <c r="Q25" i="16"/>
  <c r="Q24" i="16"/>
  <c r="Q23" i="16"/>
  <c r="Q22" i="16"/>
  <c r="P22" i="16"/>
  <c r="Q21" i="16"/>
  <c r="Q20" i="16"/>
  <c r="Q19" i="16"/>
  <c r="Q18" i="16"/>
  <c r="D18" i="16"/>
  <c r="Q17" i="16"/>
  <c r="Q16" i="16"/>
  <c r="Q15" i="16"/>
  <c r="Q14" i="16"/>
  <c r="P14" i="16"/>
  <c r="Q13" i="16"/>
  <c r="Q12" i="16"/>
  <c r="Q11" i="16"/>
  <c r="Q10" i="16"/>
  <c r="D10" i="16"/>
  <c r="Q9" i="16"/>
  <c r="Q8" i="16"/>
  <c r="Q7" i="16"/>
  <c r="Q123" i="15"/>
  <c r="P123" i="15"/>
  <c r="Q122" i="15"/>
  <c r="Q121" i="15"/>
  <c r="Q120" i="15"/>
  <c r="Q119" i="15"/>
  <c r="D119" i="15"/>
  <c r="Q118" i="15"/>
  <c r="Q117" i="15"/>
  <c r="Q116" i="15"/>
  <c r="Q115" i="15"/>
  <c r="P115" i="15"/>
  <c r="Q114" i="15"/>
  <c r="Q113" i="15"/>
  <c r="Q112" i="15"/>
  <c r="Q111" i="15"/>
  <c r="D111" i="15"/>
  <c r="Q110" i="15"/>
  <c r="Q109" i="15"/>
  <c r="Q108" i="15"/>
  <c r="Q107" i="15"/>
  <c r="P107" i="15"/>
  <c r="Q106" i="15"/>
  <c r="Q105" i="15"/>
  <c r="Q104" i="15"/>
  <c r="Q103" i="15"/>
  <c r="D103" i="15"/>
  <c r="Q102" i="15"/>
  <c r="Q101" i="15"/>
  <c r="Q100" i="15"/>
  <c r="Q99" i="15"/>
  <c r="P99" i="15"/>
  <c r="Q98" i="15"/>
  <c r="Q97" i="15"/>
  <c r="Q96" i="15"/>
  <c r="Q95" i="15"/>
  <c r="D95" i="15"/>
  <c r="Q94" i="15"/>
  <c r="Q93" i="15"/>
  <c r="Q92" i="15"/>
  <c r="Q91" i="15"/>
  <c r="P91" i="15"/>
  <c r="Q90" i="15"/>
  <c r="Q89" i="15"/>
  <c r="Q88" i="15"/>
  <c r="Q87" i="15"/>
  <c r="D87" i="15"/>
  <c r="Q86" i="15"/>
  <c r="Q85" i="15"/>
  <c r="Q84" i="15"/>
  <c r="Q83" i="15"/>
  <c r="P83" i="15"/>
  <c r="Q82" i="15"/>
  <c r="Q81" i="15"/>
  <c r="Q80" i="15"/>
  <c r="Q79" i="15"/>
  <c r="D79" i="15"/>
  <c r="Q78" i="15"/>
  <c r="Q77" i="15"/>
  <c r="Q76" i="15"/>
  <c r="Q75" i="15"/>
  <c r="P75" i="15"/>
  <c r="Q74" i="15"/>
  <c r="Q73" i="15"/>
  <c r="Q72" i="15"/>
  <c r="Q71" i="15"/>
  <c r="D71" i="15"/>
  <c r="Q70" i="15"/>
  <c r="Q69" i="15"/>
  <c r="Q68" i="15"/>
  <c r="Q67" i="15"/>
  <c r="P67" i="15"/>
  <c r="Q66" i="15"/>
  <c r="Q65" i="15"/>
  <c r="Q64" i="15"/>
  <c r="Q63" i="15"/>
  <c r="D63" i="15"/>
  <c r="Q62" i="15"/>
  <c r="Q61" i="15"/>
  <c r="Q60" i="15"/>
  <c r="Q59" i="15"/>
  <c r="P59" i="15"/>
  <c r="Q58" i="15"/>
  <c r="Q57" i="15"/>
  <c r="Q56" i="15"/>
  <c r="Q55" i="15"/>
  <c r="D55" i="15"/>
  <c r="Q54" i="15"/>
  <c r="Q53" i="15"/>
  <c r="Q52" i="15"/>
  <c r="Q46" i="15"/>
  <c r="P46" i="15"/>
  <c r="Q45" i="15"/>
  <c r="Q44" i="15"/>
  <c r="Q43" i="15"/>
  <c r="Q42" i="15"/>
  <c r="D42" i="15"/>
  <c r="Q41" i="15"/>
  <c r="Q40" i="15"/>
  <c r="Q39" i="15"/>
  <c r="Q38" i="15"/>
  <c r="P38" i="15"/>
  <c r="Q37" i="15"/>
  <c r="Q36" i="15"/>
  <c r="Q35" i="15"/>
  <c r="Q34" i="15"/>
  <c r="D34" i="15"/>
  <c r="Q33" i="15"/>
  <c r="Q32" i="15"/>
  <c r="Q31" i="15"/>
  <c r="Q30" i="15"/>
  <c r="P30" i="15"/>
  <c r="Q29" i="15"/>
  <c r="Q28" i="15"/>
  <c r="Q27" i="15"/>
  <c r="Q26" i="15"/>
  <c r="D26" i="15"/>
  <c r="Q25" i="15"/>
  <c r="Q24" i="15"/>
  <c r="Q23" i="15"/>
  <c r="Q22" i="15"/>
  <c r="P22" i="15"/>
  <c r="Q21" i="15"/>
  <c r="Q20" i="15"/>
  <c r="Q19" i="15"/>
  <c r="Q18" i="15"/>
  <c r="D18" i="15"/>
  <c r="Q17" i="15"/>
  <c r="Q16" i="15"/>
  <c r="Q15" i="15"/>
  <c r="Q14" i="15"/>
  <c r="P14" i="15"/>
  <c r="Q13" i="15"/>
  <c r="Q12" i="15"/>
  <c r="Q11" i="15"/>
  <c r="Q10" i="15"/>
  <c r="D10" i="15"/>
  <c r="Q9" i="15"/>
  <c r="Q8" i="15"/>
  <c r="Q7" i="15"/>
  <c r="N174" i="14"/>
  <c r="M174" i="14"/>
  <c r="N173" i="14"/>
  <c r="N172" i="14"/>
  <c r="N171" i="14"/>
  <c r="N170" i="14"/>
  <c r="D170" i="14"/>
  <c r="N169" i="14"/>
  <c r="N168" i="14"/>
  <c r="N167" i="14"/>
  <c r="N166" i="14"/>
  <c r="M166" i="14"/>
  <c r="N165" i="14"/>
  <c r="N164" i="14"/>
  <c r="N163" i="14"/>
  <c r="N162" i="14"/>
  <c r="D162" i="14"/>
  <c r="N161" i="14"/>
  <c r="N160" i="14"/>
  <c r="N159" i="14"/>
  <c r="N158" i="14"/>
  <c r="M158" i="14"/>
  <c r="N157" i="14"/>
  <c r="N156" i="14"/>
  <c r="N155" i="14"/>
  <c r="N154" i="14"/>
  <c r="D154" i="14"/>
  <c r="N153" i="14"/>
  <c r="N152" i="14"/>
  <c r="N151" i="14"/>
  <c r="N150" i="14"/>
  <c r="M150" i="14"/>
  <c r="N149" i="14"/>
  <c r="N148" i="14"/>
  <c r="N147" i="14"/>
  <c r="N146" i="14"/>
  <c r="D146" i="14"/>
  <c r="N145" i="14"/>
  <c r="N144" i="14"/>
  <c r="N143" i="14"/>
  <c r="N142" i="14"/>
  <c r="M142" i="14"/>
  <c r="N141" i="14"/>
  <c r="N140" i="14"/>
  <c r="N139" i="14"/>
  <c r="N138" i="14"/>
  <c r="D138" i="14"/>
  <c r="N137" i="14"/>
  <c r="N136" i="14"/>
  <c r="N135" i="14"/>
  <c r="N134" i="14"/>
  <c r="M134" i="14"/>
  <c r="N133" i="14"/>
  <c r="N132" i="14"/>
  <c r="N131" i="14"/>
  <c r="N130" i="14"/>
  <c r="D130" i="14"/>
  <c r="N129" i="14"/>
  <c r="N128" i="14"/>
  <c r="N127" i="14"/>
  <c r="N126" i="14"/>
  <c r="M126" i="14"/>
  <c r="N125" i="14"/>
  <c r="N124" i="14"/>
  <c r="N123" i="14"/>
  <c r="N122" i="14"/>
  <c r="D122" i="14"/>
  <c r="N121" i="14"/>
  <c r="N120" i="14"/>
  <c r="N119" i="14"/>
  <c r="N118" i="14"/>
  <c r="M118" i="14"/>
  <c r="N117" i="14"/>
  <c r="N116" i="14"/>
  <c r="N115" i="14"/>
  <c r="N114" i="14"/>
  <c r="D114" i="14"/>
  <c r="N113" i="14"/>
  <c r="N112" i="14"/>
  <c r="N111" i="14"/>
  <c r="N110" i="14"/>
  <c r="M110" i="14"/>
  <c r="N109" i="14"/>
  <c r="N108" i="14"/>
  <c r="N107" i="14"/>
  <c r="N106" i="14"/>
  <c r="D106" i="14"/>
  <c r="N105" i="14"/>
  <c r="N104" i="14"/>
  <c r="N103" i="14"/>
  <c r="N102" i="14"/>
  <c r="M102" i="14"/>
  <c r="N101" i="14"/>
  <c r="N100" i="14"/>
  <c r="N99" i="14"/>
  <c r="N98" i="14"/>
  <c r="D98" i="14"/>
  <c r="N97" i="14"/>
  <c r="N96" i="14"/>
  <c r="N95" i="14"/>
  <c r="N94" i="14"/>
  <c r="M94" i="14"/>
  <c r="N93" i="14"/>
  <c r="N92" i="14"/>
  <c r="N91" i="14"/>
  <c r="N90" i="14"/>
  <c r="D90" i="14"/>
  <c r="N89" i="14"/>
  <c r="N88" i="14"/>
  <c r="N87" i="14"/>
  <c r="N86" i="14"/>
  <c r="M86" i="14"/>
  <c r="N85" i="14"/>
  <c r="N84" i="14"/>
  <c r="N83" i="14"/>
  <c r="N82" i="14"/>
  <c r="D82" i="14"/>
  <c r="N81" i="14"/>
  <c r="N80" i="14"/>
  <c r="N79" i="14"/>
  <c r="N78" i="14"/>
  <c r="M78" i="14"/>
  <c r="N77" i="14"/>
  <c r="N76" i="14"/>
  <c r="N75" i="14"/>
  <c r="N74" i="14"/>
  <c r="D74" i="14"/>
  <c r="N73" i="14"/>
  <c r="N72" i="14"/>
  <c r="N71" i="14"/>
  <c r="N70" i="14"/>
  <c r="M70" i="14"/>
  <c r="N69" i="14"/>
  <c r="N68" i="14"/>
  <c r="N67" i="14"/>
  <c r="N66" i="14"/>
  <c r="D66" i="14"/>
  <c r="N65" i="14"/>
  <c r="N64" i="14"/>
  <c r="N63" i="14"/>
  <c r="N62" i="14"/>
  <c r="M62" i="14"/>
  <c r="N61" i="14"/>
  <c r="N60" i="14"/>
  <c r="N59" i="14"/>
  <c r="N58" i="14"/>
  <c r="D58" i="14"/>
  <c r="N57" i="14"/>
  <c r="N56" i="14"/>
  <c r="N55" i="14"/>
  <c r="N54" i="14"/>
  <c r="M54" i="14"/>
  <c r="N53" i="14"/>
  <c r="N52" i="14"/>
  <c r="N51" i="14"/>
  <c r="N50" i="14"/>
  <c r="D50" i="14"/>
  <c r="N49" i="14"/>
  <c r="N48" i="14"/>
  <c r="N47" i="14"/>
  <c r="N46" i="14"/>
  <c r="M46" i="14"/>
  <c r="N45" i="14"/>
  <c r="N44" i="14"/>
  <c r="N43" i="14"/>
  <c r="N42" i="14"/>
  <c r="D42" i="14"/>
  <c r="N41" i="14"/>
  <c r="N40" i="14"/>
  <c r="N39" i="14"/>
  <c r="N38" i="14"/>
  <c r="M38" i="14"/>
  <c r="N37" i="14"/>
  <c r="N36" i="14"/>
  <c r="N35" i="14"/>
  <c r="N34" i="14"/>
  <c r="D34" i="14"/>
  <c r="N33" i="14"/>
  <c r="N32" i="14"/>
  <c r="N31" i="14"/>
  <c r="N30" i="14"/>
  <c r="M30" i="14"/>
  <c r="N29" i="14"/>
  <c r="N28" i="14"/>
  <c r="N27" i="14"/>
  <c r="N26" i="14"/>
  <c r="D26" i="14"/>
  <c r="N25" i="14"/>
  <c r="N24" i="14"/>
  <c r="N23" i="14"/>
  <c r="N22" i="14"/>
  <c r="M22" i="14"/>
  <c r="N21" i="14"/>
  <c r="N20" i="14"/>
  <c r="N19" i="14"/>
  <c r="N18" i="14"/>
  <c r="D18" i="14"/>
  <c r="N17" i="14"/>
  <c r="N16" i="14"/>
  <c r="N15" i="14"/>
  <c r="N14" i="14"/>
  <c r="M14" i="14"/>
  <c r="N13" i="14"/>
  <c r="N12" i="14"/>
  <c r="N11" i="14"/>
  <c r="N10" i="14"/>
  <c r="D10" i="14"/>
  <c r="N9" i="14"/>
  <c r="N8" i="14"/>
  <c r="N7" i="14"/>
  <c r="AA179" i="13"/>
  <c r="Z179" i="13"/>
  <c r="AA178" i="13"/>
  <c r="AA177" i="13"/>
  <c r="AA176" i="13"/>
  <c r="AA175" i="13"/>
  <c r="H175" i="13"/>
  <c r="F175" i="13"/>
  <c r="D175" i="13"/>
  <c r="AA174" i="13"/>
  <c r="AA173" i="13"/>
  <c r="AA172" i="13"/>
  <c r="AA166" i="13"/>
  <c r="Z166" i="13"/>
  <c r="AA165" i="13"/>
  <c r="AA164" i="13"/>
  <c r="AA163" i="13"/>
  <c r="AA162" i="13"/>
  <c r="H162" i="13"/>
  <c r="F162" i="13"/>
  <c r="D162" i="13"/>
  <c r="AA161" i="13"/>
  <c r="AA160" i="13"/>
  <c r="AA159" i="13"/>
  <c r="AA158" i="13"/>
  <c r="Z158" i="13"/>
  <c r="AA157" i="13"/>
  <c r="AA156" i="13"/>
  <c r="AA155" i="13"/>
  <c r="AA154" i="13"/>
  <c r="H154" i="13"/>
  <c r="AA153" i="13"/>
  <c r="AA152" i="13"/>
  <c r="AA151" i="13"/>
  <c r="AA150" i="13"/>
  <c r="Z150" i="13"/>
  <c r="AA149" i="13"/>
  <c r="AA148" i="13"/>
  <c r="AA147" i="13"/>
  <c r="AA146" i="13"/>
  <c r="H146" i="13"/>
  <c r="F146" i="13"/>
  <c r="D146" i="13"/>
  <c r="AA145" i="13"/>
  <c r="AA144" i="13"/>
  <c r="AA143" i="13"/>
  <c r="AA142" i="13"/>
  <c r="Z142" i="13"/>
  <c r="AA141" i="13"/>
  <c r="AA140" i="13"/>
  <c r="AA139" i="13"/>
  <c r="AA138" i="13"/>
  <c r="H138" i="13"/>
  <c r="AA137" i="13"/>
  <c r="AA136" i="13"/>
  <c r="AA135" i="13"/>
  <c r="AA134" i="13"/>
  <c r="Z134" i="13"/>
  <c r="AA133" i="13"/>
  <c r="AA132" i="13"/>
  <c r="AA131" i="13"/>
  <c r="AA130" i="13"/>
  <c r="H130" i="13"/>
  <c r="AA129" i="13"/>
  <c r="AA128" i="13"/>
  <c r="AA127" i="13"/>
  <c r="AA126" i="13"/>
  <c r="Z126" i="13"/>
  <c r="AA125" i="13"/>
  <c r="AA124" i="13"/>
  <c r="AA123" i="13"/>
  <c r="AA122" i="13"/>
  <c r="H122" i="13"/>
  <c r="F122" i="13"/>
  <c r="D122" i="13"/>
  <c r="AA121" i="13"/>
  <c r="AA120" i="13"/>
  <c r="AA119" i="13"/>
  <c r="AA118" i="13"/>
  <c r="Z118" i="13"/>
  <c r="AA117" i="13"/>
  <c r="AA116" i="13"/>
  <c r="AA115" i="13"/>
  <c r="AA114" i="13"/>
  <c r="H114" i="13"/>
  <c r="AA113" i="13"/>
  <c r="AA112" i="13"/>
  <c r="AA111" i="13"/>
  <c r="AA110" i="13"/>
  <c r="Z110" i="13"/>
  <c r="AA109" i="13"/>
  <c r="AA108" i="13"/>
  <c r="AA107" i="13"/>
  <c r="AA106" i="13"/>
  <c r="H106" i="13"/>
  <c r="AA105" i="13"/>
  <c r="AA104" i="13"/>
  <c r="AA103" i="13"/>
  <c r="AA102" i="13"/>
  <c r="Z102" i="13"/>
  <c r="AA101" i="13"/>
  <c r="AA100" i="13"/>
  <c r="AA99" i="13"/>
  <c r="AA98" i="13"/>
  <c r="H98" i="13"/>
  <c r="AA97" i="13"/>
  <c r="AA96" i="13"/>
  <c r="AA95" i="13"/>
  <c r="AA94" i="13"/>
  <c r="Z94" i="13"/>
  <c r="AA93" i="13"/>
  <c r="AA92" i="13"/>
  <c r="AA91" i="13"/>
  <c r="AA90" i="13"/>
  <c r="H90" i="13"/>
  <c r="F90" i="13"/>
  <c r="D90" i="13"/>
  <c r="AA89" i="13"/>
  <c r="AA88" i="13"/>
  <c r="AA87" i="13"/>
  <c r="AA86" i="13"/>
  <c r="Z86" i="13"/>
  <c r="AA85" i="13"/>
  <c r="AA84" i="13"/>
  <c r="AA83" i="13"/>
  <c r="AA82" i="13"/>
  <c r="H82" i="13"/>
  <c r="F82" i="13"/>
  <c r="D82" i="13"/>
  <c r="AA81" i="13"/>
  <c r="AA80" i="13"/>
  <c r="AA79" i="13"/>
  <c r="AA78" i="13"/>
  <c r="Z78" i="13"/>
  <c r="AA77" i="13"/>
  <c r="AA76" i="13"/>
  <c r="AA75" i="13"/>
  <c r="AA74" i="13"/>
  <c r="H74" i="13"/>
  <c r="AA73" i="13"/>
  <c r="AA72" i="13"/>
  <c r="AA71" i="13"/>
  <c r="AA70" i="13"/>
  <c r="Z70" i="13"/>
  <c r="AA69" i="13"/>
  <c r="AA68" i="13"/>
  <c r="AA67" i="13"/>
  <c r="AA66" i="13"/>
  <c r="H66" i="13"/>
  <c r="F66" i="13"/>
  <c r="D66" i="13"/>
  <c r="AA65" i="13"/>
  <c r="AA64" i="13"/>
  <c r="AA63" i="13"/>
  <c r="AA62" i="13"/>
  <c r="Z62" i="13"/>
  <c r="AA61" i="13"/>
  <c r="AA60" i="13"/>
  <c r="AA59" i="13"/>
  <c r="AA58" i="13"/>
  <c r="H58" i="13"/>
  <c r="AA57" i="13"/>
  <c r="AA56" i="13"/>
  <c r="AA55" i="13"/>
  <c r="AA54" i="13"/>
  <c r="Z54" i="13"/>
  <c r="AA53" i="13"/>
  <c r="AA52" i="13"/>
  <c r="AA51" i="13"/>
  <c r="AA50" i="13"/>
  <c r="H50" i="13"/>
  <c r="AA49" i="13"/>
  <c r="AA48" i="13"/>
  <c r="AA47" i="13"/>
  <c r="AA46" i="13"/>
  <c r="Z46" i="13"/>
  <c r="AA45" i="13"/>
  <c r="AA44" i="13"/>
  <c r="AA43" i="13"/>
  <c r="AA42" i="13"/>
  <c r="H42" i="13"/>
  <c r="F42" i="13"/>
  <c r="D42" i="13"/>
  <c r="AA41" i="13"/>
  <c r="AA40" i="13"/>
  <c r="AA39" i="13"/>
  <c r="AA38" i="13"/>
  <c r="Z38" i="13"/>
  <c r="AA37" i="13"/>
  <c r="AA36" i="13"/>
  <c r="AA35" i="13"/>
  <c r="AA34" i="13"/>
  <c r="H34" i="13"/>
  <c r="F34" i="13"/>
  <c r="D34" i="13"/>
  <c r="AA33" i="13"/>
  <c r="AA32" i="13"/>
  <c r="AA31" i="13"/>
  <c r="AA30" i="13"/>
  <c r="Z30" i="13"/>
  <c r="AA29" i="13"/>
  <c r="AA28" i="13"/>
  <c r="AA27" i="13"/>
  <c r="AA26" i="13"/>
  <c r="H26" i="13"/>
  <c r="AA25" i="13"/>
  <c r="AA24" i="13"/>
  <c r="AA23" i="13"/>
  <c r="AA22" i="13"/>
  <c r="Z22" i="13"/>
  <c r="AA21" i="13"/>
  <c r="AA20" i="13"/>
  <c r="AA19" i="13"/>
  <c r="AA18" i="13"/>
  <c r="H18" i="13"/>
  <c r="F18" i="13"/>
  <c r="AA17" i="13"/>
  <c r="AA16" i="13"/>
  <c r="AA15" i="13"/>
  <c r="AA14" i="13"/>
  <c r="Z14" i="13"/>
  <c r="AA13" i="13"/>
  <c r="AA12" i="13"/>
  <c r="AA11" i="13"/>
  <c r="AA10" i="13"/>
  <c r="H10" i="13"/>
  <c r="F10" i="13"/>
  <c r="D10" i="13"/>
  <c r="AA9" i="13"/>
  <c r="AA8" i="13"/>
  <c r="AA7" i="13"/>
  <c r="S126" i="12"/>
  <c r="R126" i="12"/>
  <c r="S125" i="12"/>
  <c r="S124" i="12"/>
  <c r="S123" i="12"/>
  <c r="S122" i="12"/>
  <c r="F122" i="12"/>
  <c r="D122" i="12"/>
  <c r="S121" i="12"/>
  <c r="S120" i="12"/>
  <c r="S119" i="12"/>
  <c r="S118" i="12"/>
  <c r="R118" i="12"/>
  <c r="S117" i="12"/>
  <c r="S116" i="12"/>
  <c r="S115" i="12"/>
  <c r="S114" i="12"/>
  <c r="F114" i="12"/>
  <c r="S113" i="12"/>
  <c r="S112" i="12"/>
  <c r="S111" i="12"/>
  <c r="S110" i="12"/>
  <c r="R110" i="12"/>
  <c r="S109" i="12"/>
  <c r="S108" i="12"/>
  <c r="S107" i="12"/>
  <c r="S106" i="12"/>
  <c r="F106" i="12"/>
  <c r="D106" i="12"/>
  <c r="S105" i="12"/>
  <c r="S104" i="12"/>
  <c r="S103" i="12"/>
  <c r="S102" i="12"/>
  <c r="R102" i="12"/>
  <c r="S101" i="12"/>
  <c r="S100" i="12"/>
  <c r="S99" i="12"/>
  <c r="S98" i="12"/>
  <c r="F98" i="12"/>
  <c r="S97" i="12"/>
  <c r="S96" i="12"/>
  <c r="S95" i="12"/>
  <c r="S94" i="12"/>
  <c r="R94" i="12"/>
  <c r="S93" i="12"/>
  <c r="S92" i="12"/>
  <c r="S91" i="12"/>
  <c r="S90" i="12"/>
  <c r="F90" i="12"/>
  <c r="S89" i="12"/>
  <c r="S88" i="12"/>
  <c r="S87" i="12"/>
  <c r="S86" i="12"/>
  <c r="R86" i="12"/>
  <c r="S85" i="12"/>
  <c r="S84" i="12"/>
  <c r="S83" i="12"/>
  <c r="S82" i="12"/>
  <c r="F82" i="12"/>
  <c r="D82" i="12"/>
  <c r="S81" i="12"/>
  <c r="S80" i="12"/>
  <c r="S79" i="12"/>
  <c r="S78" i="12"/>
  <c r="R78" i="12"/>
  <c r="S77" i="12"/>
  <c r="S76" i="12"/>
  <c r="S75" i="12"/>
  <c r="S74" i="12"/>
  <c r="F74" i="12"/>
  <c r="S73" i="12"/>
  <c r="S72" i="12"/>
  <c r="S71" i="12"/>
  <c r="S70" i="12"/>
  <c r="R70" i="12"/>
  <c r="S69" i="12"/>
  <c r="S68" i="12"/>
  <c r="S67" i="12"/>
  <c r="S66" i="12"/>
  <c r="F66" i="12"/>
  <c r="S65" i="12"/>
  <c r="S64" i="12"/>
  <c r="S63" i="12"/>
  <c r="S62" i="12"/>
  <c r="R62" i="12"/>
  <c r="S61" i="12"/>
  <c r="S60" i="12"/>
  <c r="S59" i="12"/>
  <c r="S58" i="12"/>
  <c r="F58" i="12"/>
  <c r="S57" i="12"/>
  <c r="S56" i="12"/>
  <c r="S55" i="12"/>
  <c r="S54" i="12"/>
  <c r="R54" i="12"/>
  <c r="S53" i="12"/>
  <c r="S52" i="12"/>
  <c r="S51" i="12"/>
  <c r="S50" i="12"/>
  <c r="F50" i="12"/>
  <c r="D50" i="12"/>
  <c r="S49" i="12"/>
  <c r="S48" i="12"/>
  <c r="S47" i="12"/>
  <c r="S46" i="12"/>
  <c r="R46" i="12"/>
  <c r="S45" i="12"/>
  <c r="S44" i="12"/>
  <c r="S43" i="12"/>
  <c r="S42" i="12"/>
  <c r="F42" i="12"/>
  <c r="S41" i="12"/>
  <c r="S40" i="12"/>
  <c r="S39" i="12"/>
  <c r="S38" i="12"/>
  <c r="R38" i="12"/>
  <c r="S37" i="12"/>
  <c r="S36" i="12"/>
  <c r="S35" i="12"/>
  <c r="S34" i="12"/>
  <c r="F34" i="12"/>
  <c r="S33" i="12"/>
  <c r="S32" i="12"/>
  <c r="S31" i="12"/>
  <c r="S30" i="12"/>
  <c r="R30" i="12"/>
  <c r="S29" i="12"/>
  <c r="S28" i="12"/>
  <c r="S27" i="12"/>
  <c r="S26" i="12"/>
  <c r="F26" i="12"/>
  <c r="S25" i="12"/>
  <c r="S24" i="12"/>
  <c r="S23" i="12"/>
  <c r="S22" i="12"/>
  <c r="R22" i="12"/>
  <c r="S21" i="12"/>
  <c r="S20" i="12"/>
  <c r="S19" i="12"/>
  <c r="S18" i="12"/>
  <c r="F18" i="12"/>
  <c r="S17" i="12"/>
  <c r="S16" i="12"/>
  <c r="S15" i="12"/>
  <c r="S14" i="12"/>
  <c r="R14" i="12"/>
  <c r="S13" i="12"/>
  <c r="S12" i="12"/>
  <c r="S11" i="12"/>
  <c r="S10" i="12"/>
  <c r="F10" i="12"/>
  <c r="D10" i="12"/>
  <c r="S9" i="12"/>
  <c r="S8" i="12"/>
  <c r="S7" i="12"/>
  <c r="X158" i="11"/>
  <c r="W158" i="11"/>
  <c r="X157" i="11"/>
  <c r="X156" i="11"/>
  <c r="X155" i="11"/>
  <c r="X154" i="11"/>
  <c r="H154" i="11"/>
  <c r="F154" i="11"/>
  <c r="D154" i="11"/>
  <c r="X153" i="11"/>
  <c r="X152" i="11"/>
  <c r="X151" i="11"/>
  <c r="X150" i="11"/>
  <c r="W150" i="11"/>
  <c r="X149" i="11"/>
  <c r="X148" i="11"/>
  <c r="X147" i="11"/>
  <c r="X146" i="11"/>
  <c r="H146" i="11"/>
  <c r="X145" i="11"/>
  <c r="X144" i="11"/>
  <c r="X143" i="11"/>
  <c r="X142" i="11"/>
  <c r="W142" i="11"/>
  <c r="X141" i="11"/>
  <c r="X140" i="11"/>
  <c r="X139" i="11"/>
  <c r="X138" i="11"/>
  <c r="H138" i="11"/>
  <c r="F138" i="11"/>
  <c r="D138" i="11"/>
  <c r="X137" i="11"/>
  <c r="X136" i="11"/>
  <c r="X135" i="11"/>
  <c r="X134" i="11"/>
  <c r="W134" i="11"/>
  <c r="X133" i="11"/>
  <c r="X132" i="11"/>
  <c r="X131" i="11"/>
  <c r="X130" i="11"/>
  <c r="H130" i="11"/>
  <c r="X129" i="11"/>
  <c r="X128" i="11"/>
  <c r="X127" i="11"/>
  <c r="X126" i="11"/>
  <c r="W126" i="11"/>
  <c r="X125" i="11"/>
  <c r="X124" i="11"/>
  <c r="X123" i="11"/>
  <c r="X122" i="11"/>
  <c r="H122" i="11"/>
  <c r="X121" i="11"/>
  <c r="X120" i="11"/>
  <c r="X119" i="11"/>
  <c r="X118" i="11"/>
  <c r="W118" i="11"/>
  <c r="X117" i="11"/>
  <c r="X116" i="11"/>
  <c r="X115" i="11"/>
  <c r="X114" i="11"/>
  <c r="H114" i="11"/>
  <c r="F114" i="11"/>
  <c r="D114" i="11"/>
  <c r="X113" i="11"/>
  <c r="X112" i="11"/>
  <c r="X111" i="11"/>
  <c r="X110" i="11"/>
  <c r="W110" i="11"/>
  <c r="X109" i="11"/>
  <c r="X108" i="11"/>
  <c r="X107" i="11"/>
  <c r="X106" i="11"/>
  <c r="H106" i="11"/>
  <c r="X105" i="11"/>
  <c r="X104" i="11"/>
  <c r="X103" i="11"/>
  <c r="X102" i="11"/>
  <c r="W102" i="11"/>
  <c r="X101" i="11"/>
  <c r="X100" i="11"/>
  <c r="X99" i="11"/>
  <c r="X98" i="11"/>
  <c r="H98" i="11"/>
  <c r="X97" i="11"/>
  <c r="X96" i="11"/>
  <c r="X95" i="11"/>
  <c r="X94" i="11"/>
  <c r="W94" i="11"/>
  <c r="X93" i="11"/>
  <c r="X92" i="11"/>
  <c r="X91" i="11"/>
  <c r="X90" i="11"/>
  <c r="H90" i="11"/>
  <c r="X89" i="11"/>
  <c r="X88" i="11"/>
  <c r="X87" i="11"/>
  <c r="X86" i="11"/>
  <c r="W86" i="11"/>
  <c r="X85" i="11"/>
  <c r="X84" i="11"/>
  <c r="X83" i="11"/>
  <c r="X82" i="11"/>
  <c r="H82" i="11"/>
  <c r="F82" i="11"/>
  <c r="D82" i="11"/>
  <c r="X81" i="11"/>
  <c r="X80" i="11"/>
  <c r="X79" i="11"/>
  <c r="X78" i="11"/>
  <c r="W78" i="11"/>
  <c r="X77" i="11"/>
  <c r="X76" i="11"/>
  <c r="X75" i="11"/>
  <c r="X74" i="11"/>
  <c r="H74" i="11"/>
  <c r="F74" i="11"/>
  <c r="D74" i="11"/>
  <c r="X73" i="11"/>
  <c r="X72" i="11"/>
  <c r="X71" i="11"/>
  <c r="X70" i="11"/>
  <c r="W70" i="11"/>
  <c r="X69" i="11"/>
  <c r="X68" i="11"/>
  <c r="X67" i="11"/>
  <c r="X66" i="11"/>
  <c r="H66" i="11"/>
  <c r="X65" i="11"/>
  <c r="X64" i="11"/>
  <c r="X63" i="11"/>
  <c r="X62" i="11"/>
  <c r="W62" i="11"/>
  <c r="X61" i="11"/>
  <c r="X60" i="11"/>
  <c r="X59" i="11"/>
  <c r="X58" i="11"/>
  <c r="H58" i="11"/>
  <c r="F58" i="11"/>
  <c r="D58" i="11"/>
  <c r="X57" i="11"/>
  <c r="X56" i="11"/>
  <c r="X55" i="11"/>
  <c r="X54" i="11"/>
  <c r="W54" i="11"/>
  <c r="X53" i="11"/>
  <c r="X52" i="11"/>
  <c r="X51" i="11"/>
  <c r="X50" i="11"/>
  <c r="H50" i="11"/>
  <c r="X49" i="11"/>
  <c r="X48" i="11"/>
  <c r="X47" i="11"/>
  <c r="X46" i="11"/>
  <c r="W46" i="11"/>
  <c r="X45" i="11"/>
  <c r="X44" i="11"/>
  <c r="X43" i="11"/>
  <c r="X42" i="11"/>
  <c r="H42" i="11"/>
  <c r="X41" i="11"/>
  <c r="X40" i="11"/>
  <c r="X39" i="11"/>
  <c r="X38" i="11"/>
  <c r="W38" i="11"/>
  <c r="X37" i="11"/>
  <c r="X36" i="11"/>
  <c r="X35" i="11"/>
  <c r="X34" i="11"/>
  <c r="H34" i="11"/>
  <c r="F34" i="11"/>
  <c r="D34" i="11"/>
  <c r="X33" i="11"/>
  <c r="X32" i="11"/>
  <c r="X31" i="11"/>
  <c r="X30" i="11"/>
  <c r="W30" i="11"/>
  <c r="X29" i="11"/>
  <c r="X28" i="11"/>
  <c r="X27" i="11"/>
  <c r="X26" i="11"/>
  <c r="H26" i="11"/>
  <c r="F26" i="11"/>
  <c r="D26" i="11"/>
  <c r="X25" i="11"/>
  <c r="X24" i="11"/>
  <c r="X23" i="11"/>
  <c r="X22" i="11"/>
  <c r="W22" i="11"/>
  <c r="X21" i="11"/>
  <c r="X20" i="11"/>
  <c r="X19" i="11"/>
  <c r="X18" i="11"/>
  <c r="H18" i="11"/>
  <c r="X17" i="11"/>
  <c r="X16" i="11"/>
  <c r="X15" i="11"/>
  <c r="X14" i="11"/>
  <c r="W14" i="11"/>
  <c r="X13" i="11"/>
  <c r="X12" i="11"/>
  <c r="X11" i="11"/>
  <c r="X10" i="11"/>
  <c r="H10" i="11"/>
  <c r="F10" i="11"/>
  <c r="D10" i="11"/>
  <c r="X9" i="11"/>
  <c r="X8" i="11"/>
  <c r="X7" i="11"/>
  <c r="U126" i="10"/>
  <c r="T126" i="10"/>
  <c r="U125" i="10"/>
  <c r="U124" i="10"/>
  <c r="U123" i="10"/>
  <c r="U122" i="10"/>
  <c r="H122" i="10"/>
  <c r="U121" i="10"/>
  <c r="U120" i="10"/>
  <c r="U119" i="10"/>
  <c r="U118" i="10"/>
  <c r="T118" i="10"/>
  <c r="U117" i="10"/>
  <c r="U116" i="10"/>
  <c r="U115" i="10"/>
  <c r="U114" i="10"/>
  <c r="H114" i="10"/>
  <c r="U113" i="10"/>
  <c r="U112" i="10"/>
  <c r="U111" i="10"/>
  <c r="U110" i="10"/>
  <c r="T110" i="10"/>
  <c r="U109" i="10"/>
  <c r="U108" i="10"/>
  <c r="U107" i="10"/>
  <c r="U106" i="10"/>
  <c r="H106" i="10"/>
  <c r="U105" i="10"/>
  <c r="U104" i="10"/>
  <c r="U103" i="10"/>
  <c r="U102" i="10"/>
  <c r="T102" i="10"/>
  <c r="U101" i="10"/>
  <c r="U100" i="10"/>
  <c r="U99" i="10"/>
  <c r="U98" i="10"/>
  <c r="H98" i="10"/>
  <c r="U97" i="10"/>
  <c r="U96" i="10"/>
  <c r="U95" i="10"/>
  <c r="U94" i="10"/>
  <c r="T94" i="10"/>
  <c r="U93" i="10"/>
  <c r="U92" i="10"/>
  <c r="U91" i="10"/>
  <c r="U90" i="10"/>
  <c r="H90" i="10"/>
  <c r="U89" i="10"/>
  <c r="U88" i="10"/>
  <c r="U87" i="10"/>
  <c r="U86" i="10"/>
  <c r="T86" i="10"/>
  <c r="U85" i="10"/>
  <c r="U84" i="10"/>
  <c r="U83" i="10"/>
  <c r="U82" i="10"/>
  <c r="H82" i="10"/>
  <c r="U81" i="10"/>
  <c r="U80" i="10"/>
  <c r="U79" i="10"/>
  <c r="U78" i="10"/>
  <c r="T78" i="10"/>
  <c r="U77" i="10"/>
  <c r="U76" i="10"/>
  <c r="U75" i="10"/>
  <c r="U74" i="10"/>
  <c r="H74" i="10"/>
  <c r="U73" i="10"/>
  <c r="U72" i="10"/>
  <c r="U71" i="10"/>
  <c r="U70" i="10"/>
  <c r="T70" i="10"/>
  <c r="U69" i="10"/>
  <c r="U68" i="10"/>
  <c r="U67" i="10"/>
  <c r="U66" i="10"/>
  <c r="H66" i="10"/>
  <c r="U65" i="10"/>
  <c r="U64" i="10"/>
  <c r="U63" i="10"/>
  <c r="U62" i="10"/>
  <c r="T62" i="10"/>
  <c r="U61" i="10"/>
  <c r="U60" i="10"/>
  <c r="U59" i="10"/>
  <c r="U58" i="10"/>
  <c r="H58" i="10"/>
  <c r="U57" i="10"/>
  <c r="U56" i="10"/>
  <c r="U55" i="10"/>
  <c r="U54" i="10"/>
  <c r="T54" i="10"/>
  <c r="U53" i="10"/>
  <c r="U52" i="10"/>
  <c r="U51" i="10"/>
  <c r="U50" i="10"/>
  <c r="H50" i="10"/>
  <c r="U49" i="10"/>
  <c r="U48" i="10"/>
  <c r="U47" i="10"/>
  <c r="U46" i="10"/>
  <c r="T46" i="10"/>
  <c r="U45" i="10"/>
  <c r="U44" i="10"/>
  <c r="U43" i="10"/>
  <c r="U42" i="10"/>
  <c r="H42" i="10"/>
  <c r="U41" i="10"/>
  <c r="U40" i="10"/>
  <c r="U39" i="10"/>
  <c r="U38" i="10"/>
  <c r="T38" i="10"/>
  <c r="U37" i="10"/>
  <c r="U36" i="10"/>
  <c r="U35" i="10"/>
  <c r="U34" i="10"/>
  <c r="H34" i="10"/>
  <c r="U33" i="10"/>
  <c r="U32" i="10"/>
  <c r="U31" i="10"/>
  <c r="U30" i="10"/>
  <c r="T30" i="10"/>
  <c r="U29" i="10"/>
  <c r="U28" i="10"/>
  <c r="U27" i="10"/>
  <c r="U26" i="10"/>
  <c r="H26" i="10"/>
  <c r="U25" i="10"/>
  <c r="U24" i="10"/>
  <c r="U23" i="10"/>
  <c r="U22" i="10"/>
  <c r="T22" i="10"/>
  <c r="U21" i="10"/>
  <c r="U20" i="10"/>
  <c r="U19" i="10"/>
  <c r="U18" i="10"/>
  <c r="H18" i="10"/>
  <c r="U17" i="10"/>
  <c r="U16" i="10"/>
  <c r="U15" i="10"/>
  <c r="U14" i="10"/>
  <c r="T14" i="10"/>
  <c r="U13" i="10"/>
  <c r="U12" i="10"/>
  <c r="U11" i="10"/>
  <c r="U10" i="10"/>
  <c r="H10" i="10"/>
  <c r="U9" i="10"/>
  <c r="U8" i="10"/>
  <c r="U7" i="10"/>
  <c r="V126" i="9"/>
  <c r="U126" i="9"/>
  <c r="V125" i="9"/>
  <c r="V124" i="9"/>
  <c r="V123" i="9"/>
  <c r="V122" i="9"/>
  <c r="F122" i="9"/>
  <c r="D122" i="9"/>
  <c r="V121" i="9"/>
  <c r="V120" i="9"/>
  <c r="V119" i="9"/>
  <c r="V118" i="9"/>
  <c r="U118" i="9"/>
  <c r="V117" i="9"/>
  <c r="V116" i="9"/>
  <c r="V115" i="9"/>
  <c r="V114" i="9"/>
  <c r="F114" i="9"/>
  <c r="V113" i="9"/>
  <c r="V112" i="9"/>
  <c r="V111" i="9"/>
  <c r="V110" i="9"/>
  <c r="U110" i="9"/>
  <c r="V109" i="9"/>
  <c r="V108" i="9"/>
  <c r="V107" i="9"/>
  <c r="V106" i="9"/>
  <c r="F106" i="9"/>
  <c r="D106" i="9"/>
  <c r="V105" i="9"/>
  <c r="V104" i="9"/>
  <c r="V103" i="9"/>
  <c r="V102" i="9"/>
  <c r="U102" i="9"/>
  <c r="V101" i="9"/>
  <c r="V100" i="9"/>
  <c r="V99" i="9"/>
  <c r="V98" i="9"/>
  <c r="F98" i="9"/>
  <c r="V97" i="9"/>
  <c r="V96" i="9"/>
  <c r="V95" i="9"/>
  <c r="V94" i="9"/>
  <c r="U94" i="9"/>
  <c r="V93" i="9"/>
  <c r="V92" i="9"/>
  <c r="V91" i="9"/>
  <c r="V90" i="9"/>
  <c r="F90" i="9"/>
  <c r="V89" i="9"/>
  <c r="V88" i="9"/>
  <c r="V87" i="9"/>
  <c r="V86" i="9"/>
  <c r="U86" i="9"/>
  <c r="V85" i="9"/>
  <c r="V84" i="9"/>
  <c r="V83" i="9"/>
  <c r="V82" i="9"/>
  <c r="F82" i="9"/>
  <c r="D82" i="9"/>
  <c r="V81" i="9"/>
  <c r="V80" i="9"/>
  <c r="V79" i="9"/>
  <c r="V78" i="9"/>
  <c r="U78" i="9"/>
  <c r="V77" i="9"/>
  <c r="V76" i="9"/>
  <c r="V75" i="9"/>
  <c r="V74" i="9"/>
  <c r="F74" i="9"/>
  <c r="V73" i="9"/>
  <c r="V72" i="9"/>
  <c r="V71" i="9"/>
  <c r="V70" i="9"/>
  <c r="U70" i="9"/>
  <c r="V69" i="9"/>
  <c r="V68" i="9"/>
  <c r="V67" i="9"/>
  <c r="V66" i="9"/>
  <c r="F66" i="9"/>
  <c r="V65" i="9"/>
  <c r="V64" i="9"/>
  <c r="V63" i="9"/>
  <c r="V62" i="9"/>
  <c r="U62" i="9"/>
  <c r="V61" i="9"/>
  <c r="V60" i="9"/>
  <c r="V59" i="9"/>
  <c r="V58" i="9"/>
  <c r="F58" i="9"/>
  <c r="V57" i="9"/>
  <c r="V56" i="9"/>
  <c r="V55" i="9"/>
  <c r="V54" i="9"/>
  <c r="U54" i="9"/>
  <c r="V53" i="9"/>
  <c r="V52" i="9"/>
  <c r="V51" i="9"/>
  <c r="V50" i="9"/>
  <c r="F50" i="9"/>
  <c r="D50" i="9"/>
  <c r="V49" i="9"/>
  <c r="V48" i="9"/>
  <c r="V47" i="9"/>
  <c r="V46" i="9"/>
  <c r="U46" i="9"/>
  <c r="V45" i="9"/>
  <c r="V44" i="9"/>
  <c r="V43" i="9"/>
  <c r="V42" i="9"/>
  <c r="F42" i="9"/>
  <c r="V41" i="9"/>
  <c r="V40" i="9"/>
  <c r="V39" i="9"/>
  <c r="V38" i="9"/>
  <c r="U38" i="9"/>
  <c r="V37" i="9"/>
  <c r="V36" i="9"/>
  <c r="V35" i="9"/>
  <c r="V34" i="9"/>
  <c r="F34" i="9"/>
  <c r="V33" i="9"/>
  <c r="V32" i="9"/>
  <c r="V31" i="9"/>
  <c r="V30" i="9"/>
  <c r="U30" i="9"/>
  <c r="V29" i="9"/>
  <c r="V28" i="9"/>
  <c r="V27" i="9"/>
  <c r="V26" i="9"/>
  <c r="F26" i="9"/>
  <c r="V25" i="9"/>
  <c r="V24" i="9"/>
  <c r="V23" i="9"/>
  <c r="V22" i="9"/>
  <c r="U22" i="9"/>
  <c r="V21" i="9"/>
  <c r="V20" i="9"/>
  <c r="V19" i="9"/>
  <c r="V18" i="9"/>
  <c r="F18" i="9"/>
  <c r="V17" i="9"/>
  <c r="V16" i="9"/>
  <c r="V15" i="9"/>
  <c r="V14" i="9"/>
  <c r="U14" i="9"/>
  <c r="V13" i="9"/>
  <c r="V12" i="9"/>
  <c r="V11" i="9"/>
  <c r="V10" i="9"/>
  <c r="F10" i="9"/>
  <c r="D10" i="9"/>
  <c r="V9" i="9"/>
  <c r="V8" i="9"/>
  <c r="V7" i="9"/>
  <c r="X139" i="8"/>
  <c r="W139" i="8"/>
  <c r="X138" i="8"/>
  <c r="X137" i="8"/>
  <c r="X136" i="8"/>
  <c r="X135" i="8"/>
  <c r="H135" i="8"/>
  <c r="F135" i="8"/>
  <c r="D135" i="8"/>
  <c r="X134" i="8"/>
  <c r="X133" i="8"/>
  <c r="X132" i="8"/>
  <c r="X126" i="8"/>
  <c r="W126" i="8"/>
  <c r="X125" i="8"/>
  <c r="X124" i="8"/>
  <c r="X123" i="8"/>
  <c r="X122" i="8"/>
  <c r="F122" i="8"/>
  <c r="D122" i="8"/>
  <c r="X121" i="8"/>
  <c r="X120" i="8"/>
  <c r="X119" i="8"/>
  <c r="X118" i="8"/>
  <c r="W118" i="8"/>
  <c r="X117" i="8"/>
  <c r="X116" i="8"/>
  <c r="X115" i="8"/>
  <c r="X114" i="8"/>
  <c r="F114" i="8"/>
  <c r="X113" i="8"/>
  <c r="X112" i="8"/>
  <c r="X111" i="8"/>
  <c r="X110" i="8"/>
  <c r="W110" i="8"/>
  <c r="X109" i="8"/>
  <c r="X108" i="8"/>
  <c r="X107" i="8"/>
  <c r="X106" i="8"/>
  <c r="F106" i="8"/>
  <c r="D106" i="8"/>
  <c r="X105" i="8"/>
  <c r="X104" i="8"/>
  <c r="X103" i="8"/>
  <c r="X102" i="8"/>
  <c r="W102" i="8"/>
  <c r="X101" i="8"/>
  <c r="X100" i="8"/>
  <c r="X99" i="8"/>
  <c r="X98" i="8"/>
  <c r="F98" i="8"/>
  <c r="X97" i="8"/>
  <c r="X96" i="8"/>
  <c r="X95" i="8"/>
  <c r="X94" i="8"/>
  <c r="W94" i="8"/>
  <c r="X93" i="8"/>
  <c r="X92" i="8"/>
  <c r="X91" i="8"/>
  <c r="X90" i="8"/>
  <c r="F90" i="8"/>
  <c r="X89" i="8"/>
  <c r="X88" i="8"/>
  <c r="X87" i="8"/>
  <c r="X86" i="8"/>
  <c r="W86" i="8"/>
  <c r="X85" i="8"/>
  <c r="X84" i="8"/>
  <c r="X83" i="8"/>
  <c r="X82" i="8"/>
  <c r="F82" i="8"/>
  <c r="D82" i="8"/>
  <c r="X81" i="8"/>
  <c r="X80" i="8"/>
  <c r="X79" i="8"/>
  <c r="X78" i="8"/>
  <c r="W78" i="8"/>
  <c r="X77" i="8"/>
  <c r="X76" i="8"/>
  <c r="X75" i="8"/>
  <c r="X74" i="8"/>
  <c r="F74" i="8"/>
  <c r="X73" i="8"/>
  <c r="X72" i="8"/>
  <c r="X71" i="8"/>
  <c r="X70" i="8"/>
  <c r="W70" i="8"/>
  <c r="X69" i="8"/>
  <c r="X68" i="8"/>
  <c r="X67" i="8"/>
  <c r="X66" i="8"/>
  <c r="F66" i="8"/>
  <c r="X65" i="8"/>
  <c r="X64" i="8"/>
  <c r="X63" i="8"/>
  <c r="X62" i="8"/>
  <c r="W62" i="8"/>
  <c r="X61" i="8"/>
  <c r="X60" i="8"/>
  <c r="X59" i="8"/>
  <c r="X58" i="8"/>
  <c r="F58" i="8"/>
  <c r="X57" i="8"/>
  <c r="X56" i="8"/>
  <c r="X55" i="8"/>
  <c r="X54" i="8"/>
  <c r="W54" i="8"/>
  <c r="X53" i="8"/>
  <c r="X52" i="8"/>
  <c r="X51" i="8"/>
  <c r="X50" i="8"/>
  <c r="F50" i="8"/>
  <c r="D50" i="8"/>
  <c r="X49" i="8"/>
  <c r="X48" i="8"/>
  <c r="X47" i="8"/>
  <c r="X46" i="8"/>
  <c r="W46" i="8"/>
  <c r="X45" i="8"/>
  <c r="X44" i="8"/>
  <c r="X43" i="8"/>
  <c r="X42" i="8"/>
  <c r="F42" i="8"/>
  <c r="X41" i="8"/>
  <c r="X40" i="8"/>
  <c r="X39" i="8"/>
  <c r="X38" i="8"/>
  <c r="W38" i="8"/>
  <c r="X37" i="8"/>
  <c r="X36" i="8"/>
  <c r="X35" i="8"/>
  <c r="X34" i="8"/>
  <c r="F34" i="8"/>
  <c r="X33" i="8"/>
  <c r="X32" i="8"/>
  <c r="X31" i="8"/>
  <c r="X30" i="8"/>
  <c r="W30" i="8"/>
  <c r="X29" i="8"/>
  <c r="X28" i="8"/>
  <c r="X27" i="8"/>
  <c r="X26" i="8"/>
  <c r="F26" i="8"/>
  <c r="X25" i="8"/>
  <c r="X24" i="8"/>
  <c r="X23" i="8"/>
  <c r="X22" i="8"/>
  <c r="W22" i="8"/>
  <c r="X21" i="8"/>
  <c r="X20" i="8"/>
  <c r="X19" i="8"/>
  <c r="X18" i="8"/>
  <c r="F18" i="8"/>
  <c r="X17" i="8"/>
  <c r="X16" i="8"/>
  <c r="X15" i="8"/>
  <c r="X14" i="8"/>
  <c r="W14" i="8"/>
  <c r="X13" i="8"/>
  <c r="X12" i="8"/>
  <c r="X11" i="8"/>
  <c r="X10" i="8"/>
  <c r="F10" i="8"/>
  <c r="D10" i="8"/>
  <c r="X9" i="8"/>
  <c r="X8" i="8"/>
  <c r="X7" i="8"/>
  <c r="S126" i="7"/>
  <c r="R126" i="7"/>
  <c r="S125" i="7"/>
  <c r="S124" i="7"/>
  <c r="S123" i="7"/>
  <c r="S122" i="7"/>
  <c r="F122" i="7"/>
  <c r="D122" i="7"/>
  <c r="S121" i="7"/>
  <c r="S120" i="7"/>
  <c r="S119" i="7"/>
  <c r="S118" i="7"/>
  <c r="R118" i="7"/>
  <c r="S117" i="7"/>
  <c r="S116" i="7"/>
  <c r="S115" i="7"/>
  <c r="S114" i="7"/>
  <c r="F114" i="7"/>
  <c r="S113" i="7"/>
  <c r="S112" i="7"/>
  <c r="S111" i="7"/>
  <c r="S110" i="7"/>
  <c r="R110" i="7"/>
  <c r="S109" i="7"/>
  <c r="S108" i="7"/>
  <c r="S107" i="7"/>
  <c r="S106" i="7"/>
  <c r="F106" i="7"/>
  <c r="D106" i="7"/>
  <c r="S105" i="7"/>
  <c r="S104" i="7"/>
  <c r="S103" i="7"/>
  <c r="S102" i="7"/>
  <c r="R102" i="7"/>
  <c r="S101" i="7"/>
  <c r="S100" i="7"/>
  <c r="S99" i="7"/>
  <c r="S98" i="7"/>
  <c r="F98" i="7"/>
  <c r="S97" i="7"/>
  <c r="S96" i="7"/>
  <c r="S95" i="7"/>
  <c r="S94" i="7"/>
  <c r="R94" i="7"/>
  <c r="S93" i="7"/>
  <c r="S92" i="7"/>
  <c r="S91" i="7"/>
  <c r="S90" i="7"/>
  <c r="F90" i="7"/>
  <c r="S89" i="7"/>
  <c r="S88" i="7"/>
  <c r="S87" i="7"/>
  <c r="S86" i="7"/>
  <c r="R86" i="7"/>
  <c r="S85" i="7"/>
  <c r="S84" i="7"/>
  <c r="S83" i="7"/>
  <c r="S82" i="7"/>
  <c r="F82" i="7"/>
  <c r="D82" i="7"/>
  <c r="S81" i="7"/>
  <c r="S80" i="7"/>
  <c r="S79" i="7"/>
  <c r="S78" i="7"/>
  <c r="R78" i="7"/>
  <c r="S77" i="7"/>
  <c r="S76" i="7"/>
  <c r="S75" i="7"/>
  <c r="S74" i="7"/>
  <c r="F74" i="7"/>
  <c r="S73" i="7"/>
  <c r="S72" i="7"/>
  <c r="S71" i="7"/>
  <c r="S70" i="7"/>
  <c r="R70" i="7"/>
  <c r="S69" i="7"/>
  <c r="S68" i="7"/>
  <c r="S67" i="7"/>
  <c r="S66" i="7"/>
  <c r="F66" i="7"/>
  <c r="S65" i="7"/>
  <c r="S64" i="7"/>
  <c r="S63" i="7"/>
  <c r="S62" i="7"/>
  <c r="R62" i="7"/>
  <c r="S61" i="7"/>
  <c r="S60" i="7"/>
  <c r="S59" i="7"/>
  <c r="S58" i="7"/>
  <c r="F58" i="7"/>
  <c r="S57" i="7"/>
  <c r="S56" i="7"/>
  <c r="S55" i="7"/>
  <c r="S54" i="7"/>
  <c r="R54" i="7"/>
  <c r="S53" i="7"/>
  <c r="S52" i="7"/>
  <c r="S51" i="7"/>
  <c r="S50" i="7"/>
  <c r="F50" i="7"/>
  <c r="D50" i="7"/>
  <c r="S49" i="7"/>
  <c r="S48" i="7"/>
  <c r="S47" i="7"/>
  <c r="S46" i="7"/>
  <c r="R46" i="7"/>
  <c r="S45" i="7"/>
  <c r="S44" i="7"/>
  <c r="S43" i="7"/>
  <c r="S42" i="7"/>
  <c r="F42" i="7"/>
  <c r="S41" i="7"/>
  <c r="S40" i="7"/>
  <c r="S39" i="7"/>
  <c r="S38" i="7"/>
  <c r="R38" i="7"/>
  <c r="S37" i="7"/>
  <c r="S36" i="7"/>
  <c r="S35" i="7"/>
  <c r="S34" i="7"/>
  <c r="F34" i="7"/>
  <c r="S33" i="7"/>
  <c r="S32" i="7"/>
  <c r="S31" i="7"/>
  <c r="S30" i="7"/>
  <c r="R30" i="7"/>
  <c r="S29" i="7"/>
  <c r="S28" i="7"/>
  <c r="S27" i="7"/>
  <c r="S26" i="7"/>
  <c r="F26" i="7"/>
  <c r="S25" i="7"/>
  <c r="S24" i="7"/>
  <c r="S23" i="7"/>
  <c r="S22" i="7"/>
  <c r="R22" i="7"/>
  <c r="S21" i="7"/>
  <c r="S20" i="7"/>
  <c r="S19" i="7"/>
  <c r="S18" i="7"/>
  <c r="F18" i="7"/>
  <c r="S17" i="7"/>
  <c r="S16" i="7"/>
  <c r="S15" i="7"/>
  <c r="S14" i="7"/>
  <c r="R14" i="7"/>
  <c r="S13" i="7"/>
  <c r="S12" i="7"/>
  <c r="S11" i="7"/>
  <c r="S10" i="7"/>
  <c r="F10" i="7"/>
  <c r="D10" i="7"/>
  <c r="S9" i="7"/>
  <c r="S8" i="7"/>
  <c r="S7" i="7"/>
  <c r="V126" i="6"/>
  <c r="U126" i="6"/>
  <c r="V125" i="6"/>
  <c r="V124" i="6"/>
  <c r="V123" i="6"/>
  <c r="V122" i="6"/>
  <c r="F122" i="6"/>
  <c r="D122" i="6"/>
  <c r="V121" i="6"/>
  <c r="V120" i="6"/>
  <c r="V119" i="6"/>
  <c r="V118" i="6"/>
  <c r="U118" i="6"/>
  <c r="V117" i="6"/>
  <c r="V116" i="6"/>
  <c r="V115" i="6"/>
  <c r="V114" i="6"/>
  <c r="F114" i="6"/>
  <c r="V113" i="6"/>
  <c r="V112" i="6"/>
  <c r="V111" i="6"/>
  <c r="V110" i="6"/>
  <c r="U110" i="6"/>
  <c r="V109" i="6"/>
  <c r="V108" i="6"/>
  <c r="V107" i="6"/>
  <c r="V106" i="6"/>
  <c r="F106" i="6"/>
  <c r="D106" i="6"/>
  <c r="V105" i="6"/>
  <c r="V104" i="6"/>
  <c r="V103" i="6"/>
  <c r="V102" i="6"/>
  <c r="U102" i="6"/>
  <c r="V101" i="6"/>
  <c r="V100" i="6"/>
  <c r="V99" i="6"/>
  <c r="V98" i="6"/>
  <c r="F98" i="6"/>
  <c r="V97" i="6"/>
  <c r="V96" i="6"/>
  <c r="V95" i="6"/>
  <c r="V94" i="6"/>
  <c r="U94" i="6"/>
  <c r="V93" i="6"/>
  <c r="V92" i="6"/>
  <c r="V91" i="6"/>
  <c r="V90" i="6"/>
  <c r="F90" i="6"/>
  <c r="V89" i="6"/>
  <c r="V88" i="6"/>
  <c r="V87" i="6"/>
  <c r="V86" i="6"/>
  <c r="U86" i="6"/>
  <c r="V85" i="6"/>
  <c r="V84" i="6"/>
  <c r="V83" i="6"/>
  <c r="V82" i="6"/>
  <c r="F82" i="6"/>
  <c r="D82" i="6"/>
  <c r="V81" i="6"/>
  <c r="V80" i="6"/>
  <c r="V79" i="6"/>
  <c r="V78" i="6"/>
  <c r="U78" i="6"/>
  <c r="V77" i="6"/>
  <c r="V76" i="6"/>
  <c r="V75" i="6"/>
  <c r="V74" i="6"/>
  <c r="F74" i="6"/>
  <c r="V73" i="6"/>
  <c r="V72" i="6"/>
  <c r="V71" i="6"/>
  <c r="V70" i="6"/>
  <c r="U70" i="6"/>
  <c r="V69" i="6"/>
  <c r="V68" i="6"/>
  <c r="V67" i="6"/>
  <c r="V66" i="6"/>
  <c r="F66" i="6"/>
  <c r="V65" i="6"/>
  <c r="V64" i="6"/>
  <c r="V63" i="6"/>
  <c r="V62" i="6"/>
  <c r="U62" i="6"/>
  <c r="V61" i="6"/>
  <c r="V60" i="6"/>
  <c r="V59" i="6"/>
  <c r="V58" i="6"/>
  <c r="F58" i="6"/>
  <c r="V57" i="6"/>
  <c r="V56" i="6"/>
  <c r="V55" i="6"/>
  <c r="V54" i="6"/>
  <c r="U54" i="6"/>
  <c r="V53" i="6"/>
  <c r="V52" i="6"/>
  <c r="V51" i="6"/>
  <c r="V50" i="6"/>
  <c r="F50" i="6"/>
  <c r="D50" i="6"/>
  <c r="V49" i="6"/>
  <c r="V48" i="6"/>
  <c r="V47" i="6"/>
  <c r="V46" i="6"/>
  <c r="U46" i="6"/>
  <c r="V45" i="6"/>
  <c r="V44" i="6"/>
  <c r="V43" i="6"/>
  <c r="V42" i="6"/>
  <c r="F42" i="6"/>
  <c r="V41" i="6"/>
  <c r="V40" i="6"/>
  <c r="V39" i="6"/>
  <c r="V38" i="6"/>
  <c r="U38" i="6"/>
  <c r="V37" i="6"/>
  <c r="V36" i="6"/>
  <c r="V35" i="6"/>
  <c r="V34" i="6"/>
  <c r="F34" i="6"/>
  <c r="V33" i="6"/>
  <c r="V32" i="6"/>
  <c r="V31" i="6"/>
  <c r="V30" i="6"/>
  <c r="U30" i="6"/>
  <c r="V29" i="6"/>
  <c r="V28" i="6"/>
  <c r="V27" i="6"/>
  <c r="V26" i="6"/>
  <c r="F26" i="6"/>
  <c r="V25" i="6"/>
  <c r="V24" i="6"/>
  <c r="V23" i="6"/>
  <c r="V22" i="6"/>
  <c r="U22" i="6"/>
  <c r="V21" i="6"/>
  <c r="V20" i="6"/>
  <c r="V19" i="6"/>
  <c r="V18" i="6"/>
  <c r="F18" i="6"/>
  <c r="V17" i="6"/>
  <c r="V16" i="6"/>
  <c r="V15" i="6"/>
  <c r="V14" i="6"/>
  <c r="U14" i="6"/>
  <c r="V13" i="6"/>
  <c r="V12" i="6"/>
  <c r="V11" i="6"/>
  <c r="V10" i="6"/>
  <c r="F10" i="6"/>
  <c r="D10" i="6"/>
  <c r="V9" i="6"/>
  <c r="V8" i="6"/>
  <c r="V7" i="6"/>
  <c r="Q110" i="5"/>
  <c r="P110" i="5"/>
  <c r="Q109" i="5"/>
  <c r="Q108" i="5"/>
  <c r="Q107" i="5"/>
  <c r="Q106" i="5"/>
  <c r="D106" i="5"/>
  <c r="Q105" i="5"/>
  <c r="Q104" i="5"/>
  <c r="Q103" i="5"/>
  <c r="Q102" i="5"/>
  <c r="P102" i="5"/>
  <c r="Q101" i="5"/>
  <c r="Q100" i="5"/>
  <c r="Q99" i="5"/>
  <c r="Q98" i="5"/>
  <c r="D98" i="5"/>
  <c r="Q97" i="5"/>
  <c r="Q96" i="5"/>
  <c r="Q95" i="5"/>
  <c r="Q94" i="5"/>
  <c r="P94" i="5"/>
  <c r="Q93" i="5"/>
  <c r="Q92" i="5"/>
  <c r="Q91" i="5"/>
  <c r="Q90" i="5"/>
  <c r="D90" i="5"/>
  <c r="Q89" i="5"/>
  <c r="Q88" i="5"/>
  <c r="Q87" i="5"/>
  <c r="Q86" i="5"/>
  <c r="P86" i="5"/>
  <c r="Q85" i="5"/>
  <c r="Q84" i="5"/>
  <c r="Q83" i="5"/>
  <c r="Q82" i="5"/>
  <c r="D82" i="5"/>
  <c r="Q81" i="5"/>
  <c r="Q80" i="5"/>
  <c r="Q79" i="5"/>
  <c r="Q78" i="5"/>
  <c r="P78" i="5"/>
  <c r="Q77" i="5"/>
  <c r="Q76" i="5"/>
  <c r="Q75" i="5"/>
  <c r="Q74" i="5"/>
  <c r="D74" i="5"/>
  <c r="Q73" i="5"/>
  <c r="Q72" i="5"/>
  <c r="Q71" i="5"/>
  <c r="Q70" i="5"/>
  <c r="P70" i="5"/>
  <c r="Q69" i="5"/>
  <c r="Q68" i="5"/>
  <c r="Q67" i="5"/>
  <c r="Q66" i="5"/>
  <c r="D66" i="5"/>
  <c r="Q65" i="5"/>
  <c r="Q64" i="5"/>
  <c r="Q63" i="5"/>
  <c r="Q62" i="5"/>
  <c r="P62" i="5"/>
  <c r="Q61" i="5"/>
  <c r="Q60" i="5"/>
  <c r="Q59" i="5"/>
  <c r="Q58" i="5"/>
  <c r="D58" i="5"/>
  <c r="Q57" i="5"/>
  <c r="Q56" i="5"/>
  <c r="Q55" i="5"/>
  <c r="Q54" i="5"/>
  <c r="P54" i="5"/>
  <c r="Q53" i="5"/>
  <c r="Q52" i="5"/>
  <c r="Q51" i="5"/>
  <c r="Q50" i="5"/>
  <c r="D50" i="5"/>
  <c r="Q49" i="5"/>
  <c r="Q48" i="5"/>
  <c r="Q47" i="5"/>
  <c r="Q46" i="5"/>
  <c r="P46" i="5"/>
  <c r="Q45" i="5"/>
  <c r="Q44" i="5"/>
  <c r="Q43" i="5"/>
  <c r="Q42" i="5"/>
  <c r="D42" i="5"/>
  <c r="Q41" i="5"/>
  <c r="Q40" i="5"/>
  <c r="Q39" i="5"/>
  <c r="Q38" i="5"/>
  <c r="P38" i="5"/>
  <c r="Q37" i="5"/>
  <c r="Q36" i="5"/>
  <c r="Q35" i="5"/>
  <c r="Q34" i="5"/>
  <c r="D34" i="5"/>
  <c r="Q33" i="5"/>
  <c r="Q32" i="5"/>
  <c r="Q31" i="5"/>
  <c r="Q30" i="5"/>
  <c r="P30" i="5"/>
  <c r="Q29" i="5"/>
  <c r="Q28" i="5"/>
  <c r="Q27" i="5"/>
  <c r="Q26" i="5"/>
  <c r="D26" i="5"/>
  <c r="Q25" i="5"/>
  <c r="Q24" i="5"/>
  <c r="Q23" i="5"/>
  <c r="Q22" i="5"/>
  <c r="P22" i="5"/>
  <c r="Q21" i="5"/>
  <c r="Q20" i="5"/>
  <c r="Q19" i="5"/>
  <c r="Q18" i="5"/>
  <c r="D18" i="5"/>
  <c r="Q17" i="5"/>
  <c r="Q16" i="5"/>
  <c r="Q15" i="5"/>
  <c r="Q14" i="5"/>
  <c r="P14" i="5"/>
  <c r="Q13" i="5"/>
  <c r="Q12" i="5"/>
  <c r="Q11" i="5"/>
  <c r="Q10" i="5"/>
  <c r="D10" i="5"/>
  <c r="Q9" i="5"/>
  <c r="Q8" i="5"/>
  <c r="Q7" i="5"/>
  <c r="Q123" i="4"/>
  <c r="P123" i="4"/>
  <c r="Q122" i="4"/>
  <c r="Q121" i="4"/>
  <c r="Q120" i="4"/>
  <c r="Q119" i="4"/>
  <c r="D119" i="4"/>
  <c r="Q118" i="4"/>
  <c r="Q117" i="4"/>
  <c r="Q116" i="4"/>
  <c r="Q115" i="4"/>
  <c r="P115" i="4"/>
  <c r="Q114" i="4"/>
  <c r="Q113" i="4"/>
  <c r="Q112" i="4"/>
  <c r="Q111" i="4"/>
  <c r="D111" i="4"/>
  <c r="Q110" i="4"/>
  <c r="Q109" i="4"/>
  <c r="Q108" i="4"/>
  <c r="Q107" i="4"/>
  <c r="P107" i="4"/>
  <c r="Q106" i="4"/>
  <c r="Q105" i="4"/>
  <c r="Q104" i="4"/>
  <c r="Q103" i="4"/>
  <c r="D103" i="4"/>
  <c r="Q102" i="4"/>
  <c r="Q101" i="4"/>
  <c r="Q100" i="4"/>
  <c r="Q99" i="4"/>
  <c r="P99" i="4"/>
  <c r="Q98" i="4"/>
  <c r="Q97" i="4"/>
  <c r="Q96" i="4"/>
  <c r="Q95" i="4"/>
  <c r="D95" i="4"/>
  <c r="Q94" i="4"/>
  <c r="Q93" i="4"/>
  <c r="Q92" i="4"/>
  <c r="Q91" i="4"/>
  <c r="P91" i="4"/>
  <c r="Q90" i="4"/>
  <c r="Q89" i="4"/>
  <c r="Q88" i="4"/>
  <c r="Q87" i="4"/>
  <c r="D87" i="4"/>
  <c r="Q86" i="4"/>
  <c r="Q85" i="4"/>
  <c r="Q84" i="4"/>
  <c r="Q83" i="4"/>
  <c r="P83" i="4"/>
  <c r="Q82" i="4"/>
  <c r="Q81" i="4"/>
  <c r="Q80" i="4"/>
  <c r="Q79" i="4"/>
  <c r="D79" i="4"/>
  <c r="Q78" i="4"/>
  <c r="Q77" i="4"/>
  <c r="Q76" i="4"/>
  <c r="Q75" i="4"/>
  <c r="P75" i="4"/>
  <c r="Q74" i="4"/>
  <c r="Q73" i="4"/>
  <c r="Q72" i="4"/>
  <c r="Q71" i="4"/>
  <c r="D71" i="4"/>
  <c r="Q70" i="4"/>
  <c r="Q69" i="4"/>
  <c r="Q68" i="4"/>
  <c r="Q67" i="4"/>
  <c r="P67" i="4"/>
  <c r="Q66" i="4"/>
  <c r="Q65" i="4"/>
  <c r="Q64" i="4"/>
  <c r="Q63" i="4"/>
  <c r="D63" i="4"/>
  <c r="Q62" i="4"/>
  <c r="Q61" i="4"/>
  <c r="Q60" i="4"/>
  <c r="Q59" i="4"/>
  <c r="P59" i="4"/>
  <c r="Q58" i="4"/>
  <c r="Q57" i="4"/>
  <c r="Q56" i="4"/>
  <c r="Q55" i="4"/>
  <c r="D55" i="4"/>
  <c r="Q54" i="4"/>
  <c r="Q53" i="4"/>
  <c r="Q52" i="4"/>
  <c r="Q46" i="4"/>
  <c r="P46" i="4"/>
  <c r="Q45" i="4"/>
  <c r="Q44" i="4"/>
  <c r="Q43" i="4"/>
  <c r="Q42" i="4"/>
  <c r="D42" i="4"/>
  <c r="Q41" i="4"/>
  <c r="Q40" i="4"/>
  <c r="Q39" i="4"/>
  <c r="Q38" i="4"/>
  <c r="P38" i="4"/>
  <c r="Q37" i="4"/>
  <c r="Q36" i="4"/>
  <c r="Q35" i="4"/>
  <c r="Q34" i="4"/>
  <c r="D34" i="4"/>
  <c r="Q33" i="4"/>
  <c r="Q32" i="4"/>
  <c r="Q31" i="4"/>
  <c r="Q30" i="4"/>
  <c r="P30" i="4"/>
  <c r="Q29" i="4"/>
  <c r="Q28" i="4"/>
  <c r="Q27" i="4"/>
  <c r="Q26" i="4"/>
  <c r="D26" i="4"/>
  <c r="Q25" i="4"/>
  <c r="Q24" i="4"/>
  <c r="Q23" i="4"/>
  <c r="Q22" i="4"/>
  <c r="P22" i="4"/>
  <c r="Q21" i="4"/>
  <c r="Q20" i="4"/>
  <c r="Q19" i="4"/>
  <c r="Q18" i="4"/>
  <c r="D18" i="4"/>
  <c r="Q17" i="4"/>
  <c r="Q16" i="4"/>
  <c r="Q15" i="4"/>
  <c r="Q14" i="4"/>
  <c r="P14" i="4"/>
  <c r="Q13" i="4"/>
  <c r="Q12" i="4"/>
  <c r="Q11" i="4"/>
  <c r="Q10" i="4"/>
  <c r="D10" i="4"/>
  <c r="Q9" i="4"/>
  <c r="Q8" i="4"/>
  <c r="Q7" i="4"/>
  <c r="N174" i="3"/>
  <c r="M174" i="3"/>
  <c r="N173" i="3"/>
  <c r="N172" i="3"/>
  <c r="N171" i="3"/>
  <c r="N170" i="3"/>
  <c r="D170" i="3"/>
  <c r="N169" i="3"/>
  <c r="N168" i="3"/>
  <c r="N167" i="3"/>
  <c r="N166" i="3"/>
  <c r="M166" i="3"/>
  <c r="N165" i="3"/>
  <c r="N164" i="3"/>
  <c r="N163" i="3"/>
  <c r="N162" i="3"/>
  <c r="D162" i="3"/>
  <c r="N161" i="3"/>
  <c r="N160" i="3"/>
  <c r="N159" i="3"/>
  <c r="N158" i="3"/>
  <c r="M158" i="3"/>
  <c r="N157" i="3"/>
  <c r="N156" i="3"/>
  <c r="N155" i="3"/>
  <c r="N154" i="3"/>
  <c r="D154" i="3"/>
  <c r="N153" i="3"/>
  <c r="N152" i="3"/>
  <c r="N151" i="3"/>
  <c r="N150" i="3"/>
  <c r="M150" i="3"/>
  <c r="N149" i="3"/>
  <c r="N148" i="3"/>
  <c r="N147" i="3"/>
  <c r="N146" i="3"/>
  <c r="D146" i="3"/>
  <c r="N145" i="3"/>
  <c r="N144" i="3"/>
  <c r="N143" i="3"/>
  <c r="N142" i="3"/>
  <c r="M142" i="3"/>
  <c r="N141" i="3"/>
  <c r="N140" i="3"/>
  <c r="N139" i="3"/>
  <c r="N138" i="3"/>
  <c r="D138" i="3"/>
  <c r="N137" i="3"/>
  <c r="N136" i="3"/>
  <c r="N135" i="3"/>
  <c r="N134" i="3"/>
  <c r="M134" i="3"/>
  <c r="N133" i="3"/>
  <c r="N132" i="3"/>
  <c r="N131" i="3"/>
  <c r="N130" i="3"/>
  <c r="D130" i="3"/>
  <c r="N129" i="3"/>
  <c r="N128" i="3"/>
  <c r="N127" i="3"/>
  <c r="N126" i="3"/>
  <c r="M126" i="3"/>
  <c r="N125" i="3"/>
  <c r="N124" i="3"/>
  <c r="N123" i="3"/>
  <c r="N122" i="3"/>
  <c r="D122" i="3"/>
  <c r="N121" i="3"/>
  <c r="N120" i="3"/>
  <c r="N119" i="3"/>
  <c r="N118" i="3"/>
  <c r="M118" i="3"/>
  <c r="N117" i="3"/>
  <c r="N116" i="3"/>
  <c r="N115" i="3"/>
  <c r="N114" i="3"/>
  <c r="D114" i="3"/>
  <c r="N113" i="3"/>
  <c r="N112" i="3"/>
  <c r="N111" i="3"/>
  <c r="N110" i="3"/>
  <c r="M110" i="3"/>
  <c r="N109" i="3"/>
  <c r="N108" i="3"/>
  <c r="N107" i="3"/>
  <c r="N106" i="3"/>
  <c r="D106" i="3"/>
  <c r="N105" i="3"/>
  <c r="N104" i="3"/>
  <c r="N103" i="3"/>
  <c r="N102" i="3"/>
  <c r="M102" i="3"/>
  <c r="N101" i="3"/>
  <c r="N100" i="3"/>
  <c r="N99" i="3"/>
  <c r="N98" i="3"/>
  <c r="D98" i="3"/>
  <c r="N97" i="3"/>
  <c r="N96" i="3"/>
  <c r="N95" i="3"/>
  <c r="N94" i="3"/>
  <c r="M94" i="3"/>
  <c r="N93" i="3"/>
  <c r="N92" i="3"/>
  <c r="N91" i="3"/>
  <c r="N90" i="3"/>
  <c r="D90" i="3"/>
  <c r="N89" i="3"/>
  <c r="N88" i="3"/>
  <c r="N87" i="3"/>
  <c r="N86" i="3"/>
  <c r="M86" i="3"/>
  <c r="N85" i="3"/>
  <c r="N84" i="3"/>
  <c r="N83" i="3"/>
  <c r="N82" i="3"/>
  <c r="D82" i="3"/>
  <c r="N81" i="3"/>
  <c r="N80" i="3"/>
  <c r="N79" i="3"/>
  <c r="N78" i="3"/>
  <c r="M78" i="3"/>
  <c r="N77" i="3"/>
  <c r="N76" i="3"/>
  <c r="N75" i="3"/>
  <c r="N74" i="3"/>
  <c r="D74" i="3"/>
  <c r="N73" i="3"/>
  <c r="N72" i="3"/>
  <c r="N71" i="3"/>
  <c r="N70" i="3"/>
  <c r="M70" i="3"/>
  <c r="N69" i="3"/>
  <c r="N68" i="3"/>
  <c r="N67" i="3"/>
  <c r="N66" i="3"/>
  <c r="D66" i="3"/>
  <c r="N65" i="3"/>
  <c r="N64" i="3"/>
  <c r="N63" i="3"/>
  <c r="N62" i="3"/>
  <c r="M62" i="3"/>
  <c r="N61" i="3"/>
  <c r="N60" i="3"/>
  <c r="N59" i="3"/>
  <c r="N58" i="3"/>
  <c r="D58" i="3"/>
  <c r="N57" i="3"/>
  <c r="N56" i="3"/>
  <c r="N55" i="3"/>
  <c r="N54" i="3"/>
  <c r="M54" i="3"/>
  <c r="N53" i="3"/>
  <c r="N52" i="3"/>
  <c r="N51" i="3"/>
  <c r="N50" i="3"/>
  <c r="D50" i="3"/>
  <c r="N49" i="3"/>
  <c r="N48" i="3"/>
  <c r="N47" i="3"/>
  <c r="N46" i="3"/>
  <c r="M46" i="3"/>
  <c r="N45" i="3"/>
  <c r="N44" i="3"/>
  <c r="N43" i="3"/>
  <c r="N42" i="3"/>
  <c r="D42" i="3"/>
  <c r="N41" i="3"/>
  <c r="N40" i="3"/>
  <c r="N39" i="3"/>
  <c r="N38" i="3"/>
  <c r="M38" i="3"/>
  <c r="N37" i="3"/>
  <c r="N36" i="3"/>
  <c r="N35" i="3"/>
  <c r="N34" i="3"/>
  <c r="D34" i="3"/>
  <c r="N33" i="3"/>
  <c r="N32" i="3"/>
  <c r="N31" i="3"/>
  <c r="N30" i="3"/>
  <c r="M30" i="3"/>
  <c r="N29" i="3"/>
  <c r="N28" i="3"/>
  <c r="N27" i="3"/>
  <c r="N26" i="3"/>
  <c r="D26" i="3"/>
  <c r="N25" i="3"/>
  <c r="N24" i="3"/>
  <c r="N23" i="3"/>
  <c r="N22" i="3"/>
  <c r="M22" i="3"/>
  <c r="N21" i="3"/>
  <c r="N20" i="3"/>
  <c r="N19" i="3"/>
  <c r="N18" i="3"/>
  <c r="D18" i="3"/>
  <c r="N17" i="3"/>
  <c r="N16" i="3"/>
  <c r="N15" i="3"/>
  <c r="N14" i="3"/>
  <c r="M14" i="3"/>
  <c r="N13" i="3"/>
  <c r="N12" i="3"/>
  <c r="N11" i="3"/>
  <c r="N10" i="3"/>
  <c r="D10" i="3"/>
  <c r="N9" i="3"/>
  <c r="N8" i="3"/>
  <c r="N7" i="3"/>
</calcChain>
</file>

<file path=xl/sharedStrings.xml><?xml version="1.0" encoding="utf-8"?>
<sst xmlns="http://schemas.openxmlformats.org/spreadsheetml/2006/main" count="84605" uniqueCount="31653">
  <si>
    <t>11_居宅介護　名前定義</t>
    <phoneticPr fontId="4"/>
  </si>
  <si>
    <t>No.</t>
  </si>
  <si>
    <t>名前</t>
    <rPh sb="0" eb="2">
      <t>ナマエ</t>
    </rPh>
    <phoneticPr fontId="4"/>
  </si>
  <si>
    <t>単位数</t>
    <rPh sb="0" eb="3">
      <t>タンイスウ</t>
    </rPh>
    <phoneticPr fontId="4"/>
  </si>
  <si>
    <t>_11_A身体０．５</t>
    <phoneticPr fontId="4"/>
  </si>
  <si>
    <t>_11_A身体１．０</t>
  </si>
  <si>
    <t>_11_A身体１．５</t>
  </si>
  <si>
    <t>_11_A身体２．０</t>
  </si>
  <si>
    <t>_11_A身体２．５</t>
  </si>
  <si>
    <t>_11_A身体３．０</t>
  </si>
  <si>
    <t>_11_A身体３．５</t>
  </si>
  <si>
    <t>_11_A身体４．０</t>
  </si>
  <si>
    <t>_11_A身体４．５</t>
  </si>
  <si>
    <t>_11_A身体５．０</t>
  </si>
  <si>
    <t>_11_A身体５．５</t>
  </si>
  <si>
    <t>_11_A身体６．０</t>
  </si>
  <si>
    <t>_11_A身体６．５</t>
  </si>
  <si>
    <t>_11_A身体７．０</t>
  </si>
  <si>
    <t>_11_A身体７．５</t>
  </si>
  <si>
    <t>_11_A身体８．０</t>
  </si>
  <si>
    <t>_11_A身体８．５</t>
  </si>
  <si>
    <t>_11_A身体９．０</t>
  </si>
  <si>
    <t>_11_A身体９．５</t>
  </si>
  <si>
    <t>_11_A身体１０．０</t>
  </si>
  <si>
    <t>_11_A身体１０．５</t>
  </si>
  <si>
    <t>_11_A身体増０．５</t>
    <phoneticPr fontId="4"/>
  </si>
  <si>
    <t>_11_A身体増１．０</t>
  </si>
  <si>
    <t>_11_A身体増１．５</t>
  </si>
  <si>
    <t>_11_A身体増２．０</t>
  </si>
  <si>
    <t>_11_A身体増２．５</t>
  </si>
  <si>
    <t>_11_A身体増３．０</t>
  </si>
  <si>
    <t>_11_A身体増３．５</t>
  </si>
  <si>
    <t>_11_A身体増４．０</t>
  </si>
  <si>
    <t>_11_A身体増４．５</t>
  </si>
  <si>
    <t>_11_A身体増５．０</t>
  </si>
  <si>
    <t>_11_A身体増５．５</t>
  </si>
  <si>
    <t>_11_A身体増６．０</t>
  </si>
  <si>
    <t>_11_A身体増６．５</t>
  </si>
  <si>
    <t>_11_A身体増７．０</t>
  </si>
  <si>
    <t>_11_A身体増７．５</t>
  </si>
  <si>
    <t>_11_A身体増８．０</t>
  </si>
  <si>
    <t>_11_A身体増８．５</t>
  </si>
  <si>
    <t>_11_A身体増９．０</t>
  </si>
  <si>
    <t>_11_A身体増９．５</t>
  </si>
  <si>
    <t>_11_A身体増１０．０</t>
  </si>
  <si>
    <t>_11_A身体増１０．５</t>
  </si>
  <si>
    <t>_11_A重度研修１．０</t>
    <phoneticPr fontId="4"/>
  </si>
  <si>
    <t>_11_A重度研修１．５</t>
    <phoneticPr fontId="4"/>
  </si>
  <si>
    <t>_11_A重度研修２．０</t>
    <phoneticPr fontId="4"/>
  </si>
  <si>
    <t>_11_A重度研修２．５</t>
    <phoneticPr fontId="4"/>
  </si>
  <si>
    <t>_11_A重度研修３．０</t>
    <phoneticPr fontId="4"/>
  </si>
  <si>
    <t>_11_A重度研修３．５</t>
    <phoneticPr fontId="4"/>
  </si>
  <si>
    <t>_11_A重度研修４．０</t>
    <phoneticPr fontId="4"/>
  </si>
  <si>
    <t>_11_A重度研修４．５</t>
    <phoneticPr fontId="4"/>
  </si>
  <si>
    <t>_11_A重度研修５．０</t>
    <phoneticPr fontId="4"/>
  </si>
  <si>
    <t>_11_A重度研修５．５</t>
    <phoneticPr fontId="4"/>
  </si>
  <si>
    <t>_11_A重度研修６．０</t>
    <phoneticPr fontId="4"/>
  </si>
  <si>
    <t>_11_A重度研修６．５</t>
    <phoneticPr fontId="4"/>
  </si>
  <si>
    <t>_11_A重度研修７．０</t>
    <phoneticPr fontId="4"/>
  </si>
  <si>
    <t>_11_A重度研修７．５</t>
    <phoneticPr fontId="4"/>
  </si>
  <si>
    <t>_11_A重度研修８．０</t>
    <phoneticPr fontId="4"/>
  </si>
  <si>
    <t>_11_A重度研修８．５</t>
    <phoneticPr fontId="4"/>
  </si>
  <si>
    <t>_11_A重度研修９．０</t>
    <phoneticPr fontId="4"/>
  </si>
  <si>
    <t>_11_A重度研修９．５</t>
    <phoneticPr fontId="4"/>
  </si>
  <si>
    <t>_11_A重度研修１０．０</t>
    <phoneticPr fontId="4"/>
  </si>
  <si>
    <t>_11_A重度研修１０．５</t>
    <phoneticPr fontId="4"/>
  </si>
  <si>
    <t>_11_A重度研修増０．５</t>
    <phoneticPr fontId="4"/>
  </si>
  <si>
    <t>_11_A重度研修増１．０</t>
    <phoneticPr fontId="1"/>
  </si>
  <si>
    <t>_11_A重度研修増１．５</t>
    <phoneticPr fontId="1"/>
  </si>
  <si>
    <t>_11_A重度研修増２．０</t>
    <phoneticPr fontId="1"/>
  </si>
  <si>
    <t>_11_A重度研修増２．５</t>
    <phoneticPr fontId="1"/>
  </si>
  <si>
    <t>_11_A重度研修増３．０</t>
    <phoneticPr fontId="1"/>
  </si>
  <si>
    <t>_11_A重度研修増３．５</t>
    <phoneticPr fontId="1"/>
  </si>
  <si>
    <t>_11_A重度研修増４．０</t>
    <phoneticPr fontId="1"/>
  </si>
  <si>
    <t>_11_A重度研修増４．５</t>
    <phoneticPr fontId="1"/>
  </si>
  <si>
    <t>_11_A重度研修増５．０</t>
    <phoneticPr fontId="1"/>
  </si>
  <si>
    <t>_11_A重度研修増５．５</t>
    <phoneticPr fontId="1"/>
  </si>
  <si>
    <t>_11_A重度研修増６．０</t>
    <phoneticPr fontId="1"/>
  </si>
  <si>
    <t>_11_A重度研修増６．５</t>
    <phoneticPr fontId="1"/>
  </si>
  <si>
    <t>_11_A重度研修増７．０</t>
    <phoneticPr fontId="1"/>
  </si>
  <si>
    <t>_11_A重度研修増７．５</t>
    <phoneticPr fontId="1"/>
  </si>
  <si>
    <t>_11_A重度研修増８．０</t>
    <phoneticPr fontId="1"/>
  </si>
  <si>
    <t>_11_A重度研修増８．５</t>
    <phoneticPr fontId="1"/>
  </si>
  <si>
    <t>_11_A重度研修増９．０</t>
    <phoneticPr fontId="1"/>
  </si>
  <si>
    <t>_11_A重度研修増９．５</t>
    <phoneticPr fontId="1"/>
  </si>
  <si>
    <t>_11_A重度研修増１０．０</t>
    <phoneticPr fontId="1"/>
  </si>
  <si>
    <t>_11_A重度研修増１０．５</t>
    <phoneticPr fontId="4"/>
  </si>
  <si>
    <t>_11_A通院１０．５</t>
  </si>
  <si>
    <t>_11_A通院１１．０</t>
  </si>
  <si>
    <t>_11_A通院１１．５</t>
  </si>
  <si>
    <t>_11_A通院１２．０</t>
  </si>
  <si>
    <t>_11_A通院１２．５</t>
  </si>
  <si>
    <t>_11_A通院１３．０</t>
  </si>
  <si>
    <t>_11_A通院１３．５</t>
  </si>
  <si>
    <t>_11_A通院１４．０</t>
  </si>
  <si>
    <t>_11_A通院１４．５</t>
  </si>
  <si>
    <t>_11_A通院１５．０</t>
  </si>
  <si>
    <t>_11_A通院１５．５</t>
  </si>
  <si>
    <t>_11_A通院１６．０</t>
  </si>
  <si>
    <t>_11_A通院１６．５</t>
  </si>
  <si>
    <t>_11_A通院１７．０</t>
  </si>
  <si>
    <t>_11_A通院１７．５</t>
  </si>
  <si>
    <t>_11_A通院１８．０</t>
  </si>
  <si>
    <t>_11_A通院１８．５</t>
  </si>
  <si>
    <t>_11_A通院１９．０</t>
  </si>
  <si>
    <t>_11_A通院１９．５</t>
  </si>
  <si>
    <t>_11_A通院１１０．０</t>
  </si>
  <si>
    <t>_11_A通院１１０．５</t>
  </si>
  <si>
    <t>_11_A通院１増０．５</t>
    <phoneticPr fontId="4"/>
  </si>
  <si>
    <t>_11_A通院１増１．０</t>
  </si>
  <si>
    <t>_11_A通院１増１．５</t>
  </si>
  <si>
    <t>_11_A通院１増２．０</t>
  </si>
  <si>
    <t>_11_A通院１増２．５</t>
  </si>
  <si>
    <t>_11_A通院１増３．０</t>
  </si>
  <si>
    <t>_11_A通院１増３．５</t>
  </si>
  <si>
    <t>_11_A通院１増４．０</t>
  </si>
  <si>
    <t>_11_A通院１増４．５</t>
  </si>
  <si>
    <t>_11_A通院１増５．０</t>
  </si>
  <si>
    <t>_11_A通院１増５．５</t>
  </si>
  <si>
    <t>_11_A通院１増６．０</t>
  </si>
  <si>
    <t>_11_A通院１増６．５</t>
  </si>
  <si>
    <t>_11_A通院１増７．０</t>
  </si>
  <si>
    <t>_11_A通院１増７．５</t>
  </si>
  <si>
    <t>_11_A通院１増８．０</t>
  </si>
  <si>
    <t>_11_A通院１増８．５</t>
  </si>
  <si>
    <t>_11_A通院１増９．０</t>
  </si>
  <si>
    <t>_11_A通院１増９．５</t>
  </si>
  <si>
    <t>_11_A通院１増１０．０</t>
  </si>
  <si>
    <t>_11_A通院１増１０．５</t>
  </si>
  <si>
    <t>_11_A家事０．５</t>
  </si>
  <si>
    <t>_11_A家事０．７５</t>
  </si>
  <si>
    <t>_11_A家事１．０</t>
  </si>
  <si>
    <t>_11_A家事１．２５</t>
  </si>
  <si>
    <t>_11_A家事１．５</t>
  </si>
  <si>
    <t>_11_A家事１．７５</t>
  </si>
  <si>
    <t>_11_A家事２．０</t>
  </si>
  <si>
    <t>_11_A家事２．２５</t>
  </si>
  <si>
    <t>_11_A家事２．５</t>
  </si>
  <si>
    <t>_11_A家事２．７５</t>
  </si>
  <si>
    <t>_11_A家事３．０</t>
  </si>
  <si>
    <t>_11_A家事３．２５</t>
  </si>
  <si>
    <t>_11_A家事３．５</t>
  </si>
  <si>
    <t>_11_A家事３．７５</t>
  </si>
  <si>
    <t>_11_A家事４．０</t>
  </si>
  <si>
    <t>_11_A家事４．２５</t>
  </si>
  <si>
    <t>_11_A家事４．５</t>
  </si>
  <si>
    <t>_11_A家事４．７５</t>
  </si>
  <si>
    <t>_11_A家事５．０</t>
  </si>
  <si>
    <t>_11_A家事５．２５</t>
  </si>
  <si>
    <t>_11_A家事５．５</t>
  </si>
  <si>
    <t>_11_A家事５．７５</t>
  </si>
  <si>
    <t>_11_A家事６．０</t>
  </si>
  <si>
    <t>_11_A家事６．２５</t>
  </si>
  <si>
    <t>_11_A家事６．５</t>
  </si>
  <si>
    <t>_11_A家事６．７５</t>
  </si>
  <si>
    <t>_11_A家事７．０</t>
  </si>
  <si>
    <t>_11_A家事７．２５</t>
  </si>
  <si>
    <t>_11_A家事７．５</t>
  </si>
  <si>
    <t>_11_A家事７．７５</t>
  </si>
  <si>
    <t>_11_A家事８．０</t>
  </si>
  <si>
    <t>_11_A家事８．２５</t>
  </si>
  <si>
    <t>_11_A家事８．５</t>
  </si>
  <si>
    <t>_11_A家事８．７５</t>
  </si>
  <si>
    <t>_11_A家事９．０</t>
  </si>
  <si>
    <t>_11_A家事９．２５</t>
  </si>
  <si>
    <t>_11_A家事９．５</t>
  </si>
  <si>
    <t>_11_A家事９．７５</t>
  </si>
  <si>
    <t>_11_A家事１０．０</t>
  </si>
  <si>
    <t>_11_A家事１０．２５</t>
  </si>
  <si>
    <t>_11_A家事１０．５</t>
  </si>
  <si>
    <t>_11_A家事増０．２５</t>
    <phoneticPr fontId="4"/>
  </si>
  <si>
    <t>_11_A家事増０．５</t>
  </si>
  <si>
    <t>_11_A家事増０．７５</t>
  </si>
  <si>
    <t>_11_A家事増１．０</t>
  </si>
  <si>
    <t>_11_A家事増１．２５</t>
  </si>
  <si>
    <t>_11_A家事増１．５</t>
  </si>
  <si>
    <t>_11_A家事増１．７５</t>
  </si>
  <si>
    <t>_11_A家事増２．０</t>
  </si>
  <si>
    <t>_11_A家事増２．２５</t>
  </si>
  <si>
    <t>_11_A家事増２．５</t>
  </si>
  <si>
    <t>_11_A家事増２．７５</t>
  </si>
  <si>
    <t>_11_A家事増３．０</t>
  </si>
  <si>
    <t>_11_A家事増３．２５</t>
  </si>
  <si>
    <t>_11_A家事増３．５</t>
  </si>
  <si>
    <t>_11_A家事増３．７５</t>
  </si>
  <si>
    <t>_11_A家事増４．０</t>
  </si>
  <si>
    <t>_11_A家事増４．２５</t>
  </si>
  <si>
    <t>_11_A家事増４．５</t>
  </si>
  <si>
    <t>_11_A家事増４．７５</t>
  </si>
  <si>
    <t>_11_A家事増５．０</t>
  </si>
  <si>
    <t>_11_A家事増５．２５</t>
  </si>
  <si>
    <t>_11_A家事増５．５</t>
  </si>
  <si>
    <t>_11_A家事増５．７５</t>
  </si>
  <si>
    <t>_11_A家事増６．０</t>
  </si>
  <si>
    <t>_11_A家事増６．２５</t>
  </si>
  <si>
    <t>_11_A家事増６．５</t>
  </si>
  <si>
    <t>_11_A家事増６．７５</t>
  </si>
  <si>
    <t>_11_A家事増７．０</t>
  </si>
  <si>
    <t>_11_A家事増７．２５</t>
  </si>
  <si>
    <t>_11_A家事増７．５</t>
  </si>
  <si>
    <t>_11_A家事増７．７５</t>
  </si>
  <si>
    <t>_11_A家事増８．０</t>
  </si>
  <si>
    <t>_11_A家事増８．２５</t>
  </si>
  <si>
    <t>_11_A家事増８．５</t>
  </si>
  <si>
    <t>_11_A家事増８．７５</t>
  </si>
  <si>
    <t>_11_A家事増９．０</t>
  </si>
  <si>
    <t>_11_A家事増９．２５</t>
  </si>
  <si>
    <t>_11_A家事増９．５</t>
  </si>
  <si>
    <t>_11_A家事増９．７５</t>
  </si>
  <si>
    <t>_11_A家事増１０．０</t>
  </si>
  <si>
    <t>_11_A家事増１０．２５</t>
  </si>
  <si>
    <t>_11_A家事増１０．５</t>
  </si>
  <si>
    <t>_11_A通院２０．５</t>
  </si>
  <si>
    <t>_11_A通院２１．０</t>
  </si>
  <si>
    <t>_11_A通院２１．５</t>
  </si>
  <si>
    <t>_11_A通院２２．０</t>
  </si>
  <si>
    <t>_11_A通院２２．５</t>
  </si>
  <si>
    <t>_11_A通院２３．０</t>
  </si>
  <si>
    <t>_11_A通院２３．５</t>
  </si>
  <si>
    <t>_11_A通院２４．０</t>
  </si>
  <si>
    <t>_11_A通院２４．５</t>
  </si>
  <si>
    <t>_11_A通院２５．０</t>
  </si>
  <si>
    <t>_11_A通院２５．５</t>
  </si>
  <si>
    <t>_11_A通院２６．０</t>
  </si>
  <si>
    <t>_11_A通院２６．５</t>
  </si>
  <si>
    <t>_11_A通院２７．０</t>
  </si>
  <si>
    <t>_11_A通院２７．５</t>
  </si>
  <si>
    <t>_11_A通院２８．０</t>
  </si>
  <si>
    <t>_11_A通院２８．５</t>
  </si>
  <si>
    <t>_11_A通院２９．０</t>
  </si>
  <si>
    <t>_11_A通院２９．５</t>
  </si>
  <si>
    <t>_11_A通院２１０．０</t>
  </si>
  <si>
    <t>_11_A通院２１０．５</t>
  </si>
  <si>
    <t>_11_A通院２増０．５</t>
    <phoneticPr fontId="4"/>
  </si>
  <si>
    <t>_11_A通院２増１．０</t>
  </si>
  <si>
    <t>_11_A通院２増１．５</t>
  </si>
  <si>
    <t>_11_A通院２増２．０</t>
  </si>
  <si>
    <t>_11_A通院２増２．５</t>
  </si>
  <si>
    <t>_11_A通院２増３．０</t>
  </si>
  <si>
    <t>_11_A通院２増３．５</t>
  </si>
  <si>
    <t>_11_A通院２増４．０</t>
  </si>
  <si>
    <t>_11_A通院２増４．５</t>
  </si>
  <si>
    <t>_11_A通院２増５．０</t>
  </si>
  <si>
    <t>_11_A通院２増５．５</t>
  </si>
  <si>
    <t>_11_A通院２増６．０</t>
  </si>
  <si>
    <t>_11_A通院２増６．５</t>
  </si>
  <si>
    <t>_11_A通院２増７．０</t>
  </si>
  <si>
    <t>_11_A通院２増７．５</t>
  </si>
  <si>
    <t>_11_A通院２増８．０</t>
  </si>
  <si>
    <t>_11_A通院２増８．５</t>
  </si>
  <si>
    <t>_11_A通院２増９．０</t>
  </si>
  <si>
    <t>_11_A通院２増９．５</t>
  </si>
  <si>
    <t>_11_A通院２増１０．０</t>
  </si>
  <si>
    <t>_11_A通院２増１０．５</t>
  </si>
  <si>
    <t>_11_B身体０．５＿０．５</t>
    <phoneticPr fontId="4"/>
  </si>
  <si>
    <t>_11_B身体０．５＿１．０</t>
    <phoneticPr fontId="4"/>
  </si>
  <si>
    <t>_11_B身体０．５＿１．５</t>
    <phoneticPr fontId="4"/>
  </si>
  <si>
    <t>_11_B身体０．５＿２．０</t>
    <phoneticPr fontId="4"/>
  </si>
  <si>
    <t>_11_B身体０．５＿２．５</t>
    <phoneticPr fontId="4"/>
  </si>
  <si>
    <t>_11_B身体１．０＿０．５</t>
    <phoneticPr fontId="4"/>
  </si>
  <si>
    <t>_11_B身体１．０＿１．０</t>
    <phoneticPr fontId="4"/>
  </si>
  <si>
    <t>_11_B身体１．０＿１．５</t>
    <phoneticPr fontId="4"/>
  </si>
  <si>
    <t>_11_B身体１．０＿２．０</t>
    <phoneticPr fontId="4"/>
  </si>
  <si>
    <t>_11_B身体１．５＿０．５</t>
    <phoneticPr fontId="4"/>
  </si>
  <si>
    <t>_11_B身体１．５＿１．０</t>
    <phoneticPr fontId="4"/>
  </si>
  <si>
    <t>_11_B身体１．５＿１．５</t>
    <phoneticPr fontId="4"/>
  </si>
  <si>
    <t>_11_B身体２．０＿０．５</t>
    <phoneticPr fontId="4"/>
  </si>
  <si>
    <t>_11_B身体２．０＿１．０</t>
    <phoneticPr fontId="4"/>
  </si>
  <si>
    <t>_11_B身体２．５＿０．５</t>
    <phoneticPr fontId="4"/>
  </si>
  <si>
    <t>_11_B通院１０．５＿０．５</t>
    <phoneticPr fontId="4"/>
  </si>
  <si>
    <t>_11_B通院１０．５＿１．０</t>
    <phoneticPr fontId="4"/>
  </si>
  <si>
    <t>_11_B通院１０．５＿１．５</t>
    <phoneticPr fontId="4"/>
  </si>
  <si>
    <t>_11_B通院１０．５＿２．０</t>
    <phoneticPr fontId="4"/>
  </si>
  <si>
    <t>_11_B通院１０．５＿２．５</t>
    <phoneticPr fontId="4"/>
  </si>
  <si>
    <t>_11_B通院１１．０＿０．５</t>
    <phoneticPr fontId="4"/>
  </si>
  <si>
    <t>_11_B通院１１．０＿１．０</t>
    <phoneticPr fontId="4"/>
  </si>
  <si>
    <t>_11_B通院１１．０＿１．５</t>
    <phoneticPr fontId="4"/>
  </si>
  <si>
    <t>_11_B通院１１．０＿２．０</t>
    <phoneticPr fontId="4"/>
  </si>
  <si>
    <t>_11_B通院１１．５＿０．５</t>
    <phoneticPr fontId="4"/>
  </si>
  <si>
    <t>_11_B通院１１．５＿１．０</t>
    <phoneticPr fontId="4"/>
  </si>
  <si>
    <t>_11_B通院１１．５＿１．５</t>
    <phoneticPr fontId="4"/>
  </si>
  <si>
    <t>_11_B通院１２．０＿０．５</t>
    <phoneticPr fontId="4"/>
  </si>
  <si>
    <t>_11_B通院１２．０＿１．０</t>
    <phoneticPr fontId="4"/>
  </si>
  <si>
    <t>_11_B通院１２．５＿０．５</t>
    <phoneticPr fontId="4"/>
  </si>
  <si>
    <t>_11_B重度研修１．０＿０．５</t>
    <phoneticPr fontId="4"/>
  </si>
  <si>
    <t>_11_B重度研修１．０＿１．０</t>
    <phoneticPr fontId="4"/>
  </si>
  <si>
    <t>_11_B重度研修１．０＿１．５</t>
  </si>
  <si>
    <t>_11_B重度研修１．０＿２．０</t>
  </si>
  <si>
    <t>_11_B重度研修１．５＿０．５</t>
  </si>
  <si>
    <t>_11_B重度研修１．５＿１．０</t>
  </si>
  <si>
    <t>_11_B重度研修１．５＿１．５</t>
  </si>
  <si>
    <t>_11_B重度研修２．０＿０．５</t>
  </si>
  <si>
    <t>_11_B重度研修２．０＿１．０</t>
  </si>
  <si>
    <t>_11_B重度研修２．５＿０．５</t>
  </si>
  <si>
    <t>_11_B家事０．５＿０．２５</t>
  </si>
  <si>
    <t>_11_B家事０．５＿０．５</t>
  </si>
  <si>
    <t>_11_B家事０．５＿０．７５</t>
  </si>
  <si>
    <t>_11_B家事０．５＿１．０</t>
  </si>
  <si>
    <t>_11_B家事０．７５＿０．２５</t>
  </si>
  <si>
    <t>_11_B家事０．７５＿０．５</t>
  </si>
  <si>
    <t>_11_B家事０．７５＿０．７５</t>
  </si>
  <si>
    <t>_11_B家事１．０＿０．２５</t>
  </si>
  <si>
    <t>_11_B家事１．０＿０．５</t>
  </si>
  <si>
    <t>_11_B家事１．２５＿０．２５</t>
  </si>
  <si>
    <t>_11_B通院２０．５＿０．５</t>
  </si>
  <si>
    <t>_11_B通院２０．５＿１．０</t>
  </si>
  <si>
    <t>_11_B通院２１．０＿０．５</t>
  </si>
  <si>
    <t>_11_C身体０．５＿０．５＿０．５</t>
    <phoneticPr fontId="4"/>
  </si>
  <si>
    <t>_11_C身体０．５＿０．５＿１．０</t>
    <phoneticPr fontId="4"/>
  </si>
  <si>
    <t>_11_C身体０．５＿０．５＿１．５</t>
    <phoneticPr fontId="4"/>
  </si>
  <si>
    <t>_11_C身体０．５＿０．５＿２．０</t>
    <phoneticPr fontId="4"/>
  </si>
  <si>
    <t>_11_C身体０．５＿１．０＿０．５</t>
    <phoneticPr fontId="4"/>
  </si>
  <si>
    <t>_11_C身体０．５＿１．０＿１．０</t>
    <phoneticPr fontId="4"/>
  </si>
  <si>
    <t>_11_C身体０．５＿１．０＿１．５</t>
    <phoneticPr fontId="4"/>
  </si>
  <si>
    <t>_11_C身体０．５＿１．５＿０．５</t>
    <phoneticPr fontId="4"/>
  </si>
  <si>
    <t>_11_C身体０．５＿１．５＿１．０</t>
    <phoneticPr fontId="4"/>
  </si>
  <si>
    <t>_11_C身体０．５＿２．０＿０．５</t>
    <phoneticPr fontId="4"/>
  </si>
  <si>
    <t>_11_C身体１．０＿０．５＿０．５</t>
    <phoneticPr fontId="4"/>
  </si>
  <si>
    <t>_11_C身体１．０＿０．５＿１．０</t>
    <phoneticPr fontId="4"/>
  </si>
  <si>
    <t>_11_C身体１．０＿０．５＿１．５</t>
    <phoneticPr fontId="4"/>
  </si>
  <si>
    <t>_11_C身体１．０＿１．０＿０．５</t>
    <phoneticPr fontId="4"/>
  </si>
  <si>
    <t>_11_C身体１．０＿１．０＿１．０</t>
    <phoneticPr fontId="4"/>
  </si>
  <si>
    <t>_11_C身体１．０＿１．５＿０．５</t>
    <phoneticPr fontId="4"/>
  </si>
  <si>
    <t>_11_C身体１．５＿０．５＿０．５</t>
    <phoneticPr fontId="4"/>
  </si>
  <si>
    <t>_11_C身体１．５＿０．５＿１．０</t>
    <phoneticPr fontId="4"/>
  </si>
  <si>
    <t>_11_C身体１．５＿１．０＿０．５</t>
    <phoneticPr fontId="4"/>
  </si>
  <si>
    <t>_11_C身体２．０＿０．５＿０．５</t>
    <phoneticPr fontId="4"/>
  </si>
  <si>
    <t>_11_C通院１０．５＿０．５＿０．５</t>
    <phoneticPr fontId="4"/>
  </si>
  <si>
    <t>_11_C通院１０．５＿０．５＿１．０</t>
    <phoneticPr fontId="4"/>
  </si>
  <si>
    <t>_11_C通院１０．５＿０．５＿１．５</t>
    <phoneticPr fontId="4"/>
  </si>
  <si>
    <t>_11_C通院１０．５＿０．５＿２．０</t>
    <phoneticPr fontId="4"/>
  </si>
  <si>
    <t>_11_C通院１０．５＿１．０＿０．５</t>
    <rPh sb="5" eb="7">
      <t>ツウイン</t>
    </rPh>
    <phoneticPr fontId="4"/>
  </si>
  <si>
    <t>_11_C通院１０．５＿１．０＿１．０</t>
    <phoneticPr fontId="4"/>
  </si>
  <si>
    <t>_11_C通院１０．５＿１．０＿１．５</t>
    <phoneticPr fontId="4"/>
  </si>
  <si>
    <t>_11_C通院１０．５＿１．５＿０．５</t>
    <phoneticPr fontId="4"/>
  </si>
  <si>
    <t>_11_C通院１０．５＿１．５＿１．０</t>
    <phoneticPr fontId="4"/>
  </si>
  <si>
    <t>_11_C通院１０．５＿２．０＿０．５</t>
    <phoneticPr fontId="4"/>
  </si>
  <si>
    <t>_11_C通院１１．０＿０．５＿０．５</t>
    <phoneticPr fontId="4"/>
  </si>
  <si>
    <t>_11_C通院１１．０＿０．５＿１．０</t>
    <phoneticPr fontId="4"/>
  </si>
  <si>
    <t>_11_C通院１１．０＿０．５＿１．５</t>
    <phoneticPr fontId="4"/>
  </si>
  <si>
    <t>_11_C通院１１．０＿１．０＿０．５</t>
    <phoneticPr fontId="4"/>
  </si>
  <si>
    <t>_11_C通院１１．０＿１．０＿１．０</t>
    <phoneticPr fontId="4"/>
  </si>
  <si>
    <t>_11_C通院１１．０＿１．５＿０．５</t>
    <phoneticPr fontId="4"/>
  </si>
  <si>
    <t>_11_C通院１１．５＿０．５＿０．５</t>
    <phoneticPr fontId="4"/>
  </si>
  <si>
    <t>_11_C通院１１．５＿０．５＿１．０</t>
    <phoneticPr fontId="4"/>
  </si>
  <si>
    <t>_11_C通院１１．５＿１．０＿０．５</t>
    <phoneticPr fontId="4"/>
  </si>
  <si>
    <t>_11_C通院１２．０＿０．５＿０．５</t>
    <phoneticPr fontId="4"/>
  </si>
  <si>
    <t>_11_C重度研修１．０＿０．５＿０．５</t>
    <phoneticPr fontId="4"/>
  </si>
  <si>
    <t>_11_C重度研修１．０＿０．５＿１．０</t>
  </si>
  <si>
    <t>_11_C重度研修１．０＿０．５＿１．５</t>
  </si>
  <si>
    <t>_11_C重度研修１．０＿１．０＿０．５</t>
  </si>
  <si>
    <t>_11_C重度研修１．０＿１．０＿１．０</t>
  </si>
  <si>
    <t>_11_C重度研修１．０＿１．５＿０．５</t>
  </si>
  <si>
    <t>_11_C重度研修１．５＿０．５＿０．５</t>
  </si>
  <si>
    <t>_11_C重度研修１．５＿０．５＿１．０</t>
  </si>
  <si>
    <t>_11_C重度研修１．５＿１．０＿０．５</t>
  </si>
  <si>
    <t>_11_C重度研修２．０＿０．５＿０．５</t>
  </si>
  <si>
    <t>_11_C家事０．５＿０．２５＿０．２５</t>
  </si>
  <si>
    <t>_11_C家事０．５＿０．２５＿０．５</t>
  </si>
  <si>
    <t>_11_C家事０．５＿０．２５＿０．７５</t>
  </si>
  <si>
    <t>_11_C家事０．５＿０．５＿０．２５</t>
  </si>
  <si>
    <t>_11_C家事０．５＿０．５＿０．５</t>
  </si>
  <si>
    <t>_11_C家事０．５＿０．７５＿０．２５</t>
  </si>
  <si>
    <t>_11_C家事０．７５＿０．２５＿０．２５</t>
  </si>
  <si>
    <t>_11_C家事０．７５＿０．２５＿０．５</t>
  </si>
  <si>
    <t>_11_C家事０．７５＿０．５＿０．２５</t>
  </si>
  <si>
    <t>_11_C家事１．０＿０．２５＿０．２５</t>
  </si>
  <si>
    <r>
      <t>_11_C</t>
    </r>
    <r>
      <rPr>
        <sz val="11"/>
        <rFont val="ＭＳ Ｐゴシック"/>
        <family val="3"/>
        <charset val="128"/>
        <scheme val="minor"/>
      </rPr>
      <t>通院２０．５＿０．５＿０．５</t>
    </r>
    <phoneticPr fontId="1"/>
  </si>
  <si>
    <t>_11・２人</t>
  </si>
  <si>
    <t>_11・A深夜</t>
  </si>
  <si>
    <t>_11・A早朝</t>
  </si>
  <si>
    <t>_11・A夜間</t>
  </si>
  <si>
    <t>_11・B深夜</t>
  </si>
  <si>
    <t>_11・B早朝</t>
  </si>
  <si>
    <t>_11・B夜間</t>
  </si>
  <si>
    <t>_11・C深夜</t>
  </si>
  <si>
    <t>_11・C夜間</t>
  </si>
  <si>
    <t>_11・基礎１</t>
    <phoneticPr fontId="4"/>
  </si>
  <si>
    <t>_11・基礎２</t>
    <phoneticPr fontId="4"/>
  </si>
  <si>
    <t>_11・重度研修</t>
    <phoneticPr fontId="4"/>
  </si>
  <si>
    <t>_11・初任</t>
  </si>
  <si>
    <t>_11_A通院乗降</t>
  </si>
  <si>
    <t>１  居宅介護サービスコード表</t>
  </si>
  <si>
    <t>イ　居宅における身体介護　（日中のみ）</t>
  </si>
  <si>
    <t>サービスコード</t>
  </si>
  <si>
    <t>サービス内容略称</t>
  </si>
  <si>
    <t>算定項目</t>
  </si>
  <si>
    <t>合成</t>
  </si>
  <si>
    <t>算定</t>
  </si>
  <si>
    <t>種類</t>
  </si>
  <si>
    <t>項目</t>
  </si>
  <si>
    <t>単位数</t>
  </si>
  <si>
    <t>単位</t>
  </si>
  <si>
    <t>身体日０．５</t>
  </si>
  <si>
    <t>(1)日中 ３０分未満</t>
  </si>
  <si>
    <t>1回につき</t>
  </si>
  <si>
    <t>身体日０．５・２人</t>
  </si>
  <si>
    <t>２人目の居宅介護従業者による場合</t>
  </si>
  <si>
    <t>×</t>
  </si>
  <si>
    <t>身体日０．５・基</t>
  </si>
  <si>
    <t>基礎研修課程修了者等により行われる場合</t>
  </si>
  <si>
    <t>身体日０．５・基・２人</t>
  </si>
  <si>
    <t>A001</t>
  </si>
  <si>
    <t>身体日０．５・初計</t>
  </si>
  <si>
    <t>初任者研修課程修了者が作成した居宅介護計画に基づき提供する場合</t>
  </si>
  <si>
    <t>A002</t>
  </si>
  <si>
    <t>身体日０．５・２人・初計</t>
  </si>
  <si>
    <t>A003</t>
  </si>
  <si>
    <t>身体日０．５・基・初計</t>
  </si>
  <si>
    <t>A004</t>
  </si>
  <si>
    <t>身体日０．５・基・２人・初計</t>
  </si>
  <si>
    <t>身体日１．０</t>
  </si>
  <si>
    <t>(2)日中 ３０分以上 １時間未満</t>
  </si>
  <si>
    <t>身体日１．０・２人</t>
  </si>
  <si>
    <t>身体日１．０・基</t>
  </si>
  <si>
    <t>身体日１．０・基・２人</t>
  </si>
  <si>
    <t>A021</t>
  </si>
  <si>
    <t>身体日１．０・初計</t>
  </si>
  <si>
    <t>A022</t>
  </si>
  <si>
    <t>身体日１．０・２人・初計</t>
  </si>
  <si>
    <t>A023</t>
  </si>
  <si>
    <t>身体日１．０・基・初計</t>
  </si>
  <si>
    <t>A024</t>
  </si>
  <si>
    <t>身体日１．０・基・２人・初計</t>
  </si>
  <si>
    <t>身体日１．５</t>
  </si>
  <si>
    <t>(3)日中 １時間以上 １時間３０分未満</t>
  </si>
  <si>
    <t>身体日１．５・２人</t>
  </si>
  <si>
    <t>身体日１．５・基</t>
  </si>
  <si>
    <t>身体日１．５・基・２人</t>
  </si>
  <si>
    <t>A041</t>
  </si>
  <si>
    <t>身体日１．５・初計</t>
  </si>
  <si>
    <t>A042</t>
  </si>
  <si>
    <t>身体日１．５・２人・初計</t>
  </si>
  <si>
    <t>A043</t>
  </si>
  <si>
    <t>身体日１．５・基・初計</t>
  </si>
  <si>
    <t>A044</t>
  </si>
  <si>
    <t>身体日１．５・基・２人・初計</t>
  </si>
  <si>
    <t>身体日２．０</t>
  </si>
  <si>
    <t>(4)日中 １時間３０分以上 ２時間未満</t>
  </si>
  <si>
    <t>身体日２．０・２人</t>
  </si>
  <si>
    <t>身体日２．０・基</t>
  </si>
  <si>
    <t>身体日２．０・基・２人</t>
  </si>
  <si>
    <t>A061</t>
  </si>
  <si>
    <t>身体日２．０・初計</t>
  </si>
  <si>
    <t>A062</t>
  </si>
  <si>
    <t>身体日２．０・２人・初計</t>
  </si>
  <si>
    <t>A063</t>
  </si>
  <si>
    <t>身体日２．０・基・初計</t>
  </si>
  <si>
    <t>A064</t>
  </si>
  <si>
    <t>身体日２．０・基・２人・初計</t>
  </si>
  <si>
    <t>身体日２．５</t>
  </si>
  <si>
    <t>(5)日中 ２時間以上 ２時間３０分未満</t>
  </si>
  <si>
    <t>身体日２．５・２人</t>
  </si>
  <si>
    <t>身体日２．５・基</t>
  </si>
  <si>
    <t>身体日２．５・基・２人</t>
  </si>
  <si>
    <t>A081</t>
  </si>
  <si>
    <t>身体日２．５・初計</t>
  </si>
  <si>
    <t>A082</t>
  </si>
  <si>
    <t>身体日２．５・２人・初計</t>
  </si>
  <si>
    <t>A083</t>
  </si>
  <si>
    <t>身体日２．５・基・初計</t>
  </si>
  <si>
    <t>A084</t>
  </si>
  <si>
    <t>身体日２．５・基・２人・初計</t>
  </si>
  <si>
    <t>身体日３．０</t>
  </si>
  <si>
    <t>(6)日中 ２時間３０分以上 ３時間未満</t>
  </si>
  <si>
    <t>身体日３．０・２人</t>
  </si>
  <si>
    <t>身体日３．０・基</t>
  </si>
  <si>
    <t>身体日３．０・基・２人</t>
  </si>
  <si>
    <t>A101</t>
  </si>
  <si>
    <t>身体日３．０・初計</t>
  </si>
  <si>
    <t>A102</t>
  </si>
  <si>
    <t>身体日３．０・２人・初計</t>
  </si>
  <si>
    <t>A103</t>
  </si>
  <si>
    <t>身体日３．０・基・初計</t>
  </si>
  <si>
    <t>A104</t>
  </si>
  <si>
    <t>身体日３．０・基・２人・初計</t>
  </si>
  <si>
    <t>身体日３．５</t>
  </si>
  <si>
    <t>(7)日中 ３時間以上 ３時間３０分未満</t>
  </si>
  <si>
    <t>身体日３．５・２人</t>
  </si>
  <si>
    <t>身体日３．５・基</t>
  </si>
  <si>
    <t>身体日３．５・基・２人</t>
  </si>
  <si>
    <t>A121</t>
  </si>
  <si>
    <t>身体日３．５・初計</t>
  </si>
  <si>
    <t>A122</t>
  </si>
  <si>
    <t>身体日３．５・２人・初計</t>
  </si>
  <si>
    <t>A123</t>
  </si>
  <si>
    <t>身体日３．５・基・初計</t>
  </si>
  <si>
    <t>A124</t>
  </si>
  <si>
    <t>身体日３．５・基・２人・初計</t>
  </si>
  <si>
    <t>身体日４．０</t>
  </si>
  <si>
    <t>(8)日中 ３時間３０分以上 ４時間未満</t>
    <phoneticPr fontId="1"/>
  </si>
  <si>
    <t>身体日４．０・２人</t>
  </si>
  <si>
    <t>身体日４．０・基</t>
  </si>
  <si>
    <t>身体日４．０・基・２人</t>
  </si>
  <si>
    <t>A141</t>
  </si>
  <si>
    <t>身体日４．０・初計</t>
  </si>
  <si>
    <t>A142</t>
  </si>
  <si>
    <t>身体日４．０・２人・初計</t>
  </si>
  <si>
    <t>A143</t>
  </si>
  <si>
    <t>身体日４．０・基・初計</t>
  </si>
  <si>
    <t>A144</t>
  </si>
  <si>
    <t>身体日４．０・基・２人・初計</t>
  </si>
  <si>
    <t>身体日４．５</t>
  </si>
  <si>
    <t>(9)日中 ４時間以上 ４時間３０分未満</t>
  </si>
  <si>
    <t>身体日４．５・２人</t>
  </si>
  <si>
    <t>身体日４．５・基</t>
  </si>
  <si>
    <t>身体日４．５・基・２人</t>
  </si>
  <si>
    <t>A161</t>
  </si>
  <si>
    <t>身体日４．５・初計</t>
  </si>
  <si>
    <t>A162</t>
  </si>
  <si>
    <t>身体日４．５・２人・初計</t>
  </si>
  <si>
    <t>A163</t>
  </si>
  <si>
    <t>身体日４．５・基・初計</t>
  </si>
  <si>
    <t>A164</t>
  </si>
  <si>
    <t>身体日４．５・基・２人・初計</t>
  </si>
  <si>
    <t>身体日５．０</t>
  </si>
  <si>
    <t>(10)日中 ４時間３０分以上 ５時間未満</t>
  </si>
  <si>
    <t>身体日５．０・２人</t>
  </si>
  <si>
    <t>身体日５．０・基</t>
  </si>
  <si>
    <t>身体日５．０・基・２人</t>
  </si>
  <si>
    <t>A181</t>
  </si>
  <si>
    <t>身体日５．０・初計</t>
  </si>
  <si>
    <t>A182</t>
  </si>
  <si>
    <t>身体日５．０・２人・初計</t>
  </si>
  <si>
    <t>A183</t>
  </si>
  <si>
    <t>身体日５．０・基・初計</t>
  </si>
  <si>
    <t>A184</t>
  </si>
  <si>
    <t>身体日５．０・基・２人・初計</t>
  </si>
  <si>
    <t>身体日５．５</t>
  </si>
  <si>
    <t>(11)日中 ５時間以上 ５時間３０分未満</t>
  </si>
  <si>
    <t>身体日５．５・２人</t>
  </si>
  <si>
    <t>身体日５．５・基</t>
  </si>
  <si>
    <t>身体日５．５・基・２人</t>
  </si>
  <si>
    <t>A201</t>
  </si>
  <si>
    <t>身体日５．５・初計</t>
  </si>
  <si>
    <t>A202</t>
  </si>
  <si>
    <t>身体日５．５・２人・初計</t>
  </si>
  <si>
    <t>A203</t>
  </si>
  <si>
    <t>身体日５．５・基・初計</t>
  </si>
  <si>
    <t>A204</t>
  </si>
  <si>
    <t>身体日５．５・基・２人・初計</t>
  </si>
  <si>
    <t>身体日６．０</t>
  </si>
  <si>
    <t>(12)日中 ５時間３０分以上 ６時間未満</t>
  </si>
  <si>
    <t>身体日６．０・２人</t>
  </si>
  <si>
    <t>身体日６．０・基</t>
  </si>
  <si>
    <t>身体日６．０・基・２人</t>
  </si>
  <si>
    <t>A221</t>
  </si>
  <si>
    <t>身体日６．０・初計</t>
  </si>
  <si>
    <t>A222</t>
  </si>
  <si>
    <t>身体日６．０・２人・初計</t>
  </si>
  <si>
    <t>A223</t>
  </si>
  <si>
    <t>身体日６．０・基・初計</t>
  </si>
  <si>
    <t>A224</t>
  </si>
  <si>
    <t>身体日６．０・基・２人・初計</t>
  </si>
  <si>
    <t>身体日６．５</t>
  </si>
  <si>
    <t>(13)日中 ６時間以上 ６時間３０分未満</t>
  </si>
  <si>
    <t>身体日６．５・２人</t>
  </si>
  <si>
    <t>身体日６．５・基</t>
  </si>
  <si>
    <t>身体日６．５・基・２人</t>
  </si>
  <si>
    <t>A241</t>
  </si>
  <si>
    <t>身体日６．５・初計</t>
  </si>
  <si>
    <t>A242</t>
  </si>
  <si>
    <t>身体日６．５・２人・初計</t>
  </si>
  <si>
    <t>A243</t>
  </si>
  <si>
    <t>身体日６．５・基・初計</t>
  </si>
  <si>
    <t>A244</t>
  </si>
  <si>
    <t>身体日６．５・基・２人・初計</t>
  </si>
  <si>
    <t>身体日７．０</t>
  </si>
  <si>
    <t>(14)日中 ６時間３０分以上 ７時間未満</t>
  </si>
  <si>
    <t>身体日７．０・２人</t>
  </si>
  <si>
    <t>身体日７．０・基</t>
  </si>
  <si>
    <t>身体日７．０・基・２人</t>
  </si>
  <si>
    <t>A261</t>
  </si>
  <si>
    <t>身体日７．０・初計</t>
  </si>
  <si>
    <t>A262</t>
  </si>
  <si>
    <t>身体日７．０・２人・初計</t>
  </si>
  <si>
    <t>A263</t>
  </si>
  <si>
    <t>身体日７．０・基・初計</t>
  </si>
  <si>
    <t>A264</t>
  </si>
  <si>
    <t>身体日７．０・基・２人・初計</t>
  </si>
  <si>
    <t>身体日７．５</t>
  </si>
  <si>
    <t>(15)日中 ７時間以上 ７時間３０分未満</t>
  </si>
  <si>
    <t>身体日７．５・２人</t>
  </si>
  <si>
    <t>身体日７．５・基</t>
  </si>
  <si>
    <t>身体日７．５・基・２人</t>
  </si>
  <si>
    <t>A281</t>
  </si>
  <si>
    <t>身体日７．５・初計</t>
  </si>
  <si>
    <t>A282</t>
  </si>
  <si>
    <t>身体日７．５・２人・初計</t>
  </si>
  <si>
    <t>A283</t>
  </si>
  <si>
    <t>身体日７．５・基・初計</t>
  </si>
  <si>
    <t>A284</t>
  </si>
  <si>
    <t>身体日７．５・基・２人・初計</t>
  </si>
  <si>
    <t>身体日８．０</t>
  </si>
  <si>
    <t>(16)日中 ７時間３０分以上 ８時間未満</t>
  </si>
  <si>
    <t>身体日８．０・２人</t>
  </si>
  <si>
    <t>身体日８．０・基</t>
  </si>
  <si>
    <t>身体日８．０・基・２人</t>
  </si>
  <si>
    <t>A301</t>
  </si>
  <si>
    <t>身体日８．０・初計</t>
  </si>
  <si>
    <t>A302</t>
  </si>
  <si>
    <t>身体日８．０・２人・初計</t>
  </si>
  <si>
    <t>A303</t>
  </si>
  <si>
    <t>身体日８．０・基・初計</t>
  </si>
  <si>
    <t>A304</t>
  </si>
  <si>
    <t>身体日８．０・基・２人・初計</t>
  </si>
  <si>
    <t>身体日８．５</t>
  </si>
  <si>
    <t>(17)日中 ８時間以上 ８時間３０分未満</t>
  </si>
  <si>
    <t>身体日８．５・２人</t>
  </si>
  <si>
    <t>身体日８．５・基</t>
  </si>
  <si>
    <t>身体日８．５・基・２人</t>
  </si>
  <si>
    <t>A321</t>
  </si>
  <si>
    <t>身体日８．５・初計</t>
  </si>
  <si>
    <t>A322</t>
  </si>
  <si>
    <t>身体日８．５・２人・初計</t>
  </si>
  <si>
    <t>A323</t>
  </si>
  <si>
    <t>身体日８．５・基・初計</t>
  </si>
  <si>
    <t>A324</t>
  </si>
  <si>
    <t>身体日８．５・基・２人・初計</t>
  </si>
  <si>
    <t>身体日９．０</t>
  </si>
  <si>
    <t>(18)日中 ８時間３０分以上 ９時間未満</t>
  </si>
  <si>
    <t>身体日９．０・２人</t>
  </si>
  <si>
    <t>身体日９．０・基</t>
  </si>
  <si>
    <t>身体日９．０・基・２人</t>
  </si>
  <si>
    <t>A341</t>
  </si>
  <si>
    <t>身体日９．０・初計</t>
  </si>
  <si>
    <t>A342</t>
  </si>
  <si>
    <t>身体日９．０・２人・初計</t>
  </si>
  <si>
    <t>A343</t>
  </si>
  <si>
    <t>身体日９．０・基・初計</t>
  </si>
  <si>
    <t>A344</t>
  </si>
  <si>
    <t>身体日９．０・基・２人・初計</t>
  </si>
  <si>
    <t>身体日９．５</t>
  </si>
  <si>
    <t>(19)日中 ９時間以上 ９時間３０分未満</t>
  </si>
  <si>
    <t>身体日９．５・２人</t>
  </si>
  <si>
    <t>身体日９．５・基</t>
  </si>
  <si>
    <t>身体日９．５・基・２人</t>
  </si>
  <si>
    <t>A361</t>
  </si>
  <si>
    <t>身体日９．５・初計</t>
  </si>
  <si>
    <t>A362</t>
  </si>
  <si>
    <t>身体日９．５・２人・初計</t>
  </si>
  <si>
    <t>A363</t>
  </si>
  <si>
    <t>身体日９．５・基・初計</t>
  </si>
  <si>
    <t>A364</t>
  </si>
  <si>
    <t>身体日９．５・基・２人・初計</t>
  </si>
  <si>
    <t>身体日１０．０</t>
  </si>
  <si>
    <t>(20)日中 ９時間３０分以上 １０時間未満</t>
  </si>
  <si>
    <t>身体日１０．０・２人</t>
  </si>
  <si>
    <t>身体日１０．０・基</t>
  </si>
  <si>
    <t>身体日１０．０・基・２人</t>
  </si>
  <si>
    <t>A381</t>
  </si>
  <si>
    <t>身体日１０．０・初計</t>
  </si>
  <si>
    <t>A382</t>
  </si>
  <si>
    <t>身体日１０．０・２人・初計</t>
  </si>
  <si>
    <t>A383</t>
  </si>
  <si>
    <t>身体日１０．０・基・初計</t>
  </si>
  <si>
    <t>A384</t>
  </si>
  <si>
    <t>身体日１０．０・基・２人・初計</t>
  </si>
  <si>
    <t>身体日１０．５</t>
  </si>
  <si>
    <t>(21)日中 １０時間以上 １０時間３０分未満</t>
  </si>
  <si>
    <t>身体日１０．５・２人</t>
  </si>
  <si>
    <t>身体日１０．５・基</t>
  </si>
  <si>
    <t>身体日１０．５・基・２人</t>
  </si>
  <si>
    <t>A401</t>
  </si>
  <si>
    <t>身体日１０．５・初計</t>
  </si>
  <si>
    <t>A402</t>
  </si>
  <si>
    <t>身体日１０．５・２人・初計</t>
  </si>
  <si>
    <t>A403</t>
  </si>
  <si>
    <t>身体日１０．５・基・初計</t>
  </si>
  <si>
    <t>A404</t>
  </si>
  <si>
    <t>身体日１０．５・基・２人・初計</t>
  </si>
  <si>
    <t>イ　居宅における身体介護　（早朝のみ）</t>
  </si>
  <si>
    <t>身体早０．５</t>
  </si>
  <si>
    <t>(1)早朝 ３０分未満</t>
  </si>
  <si>
    <t>早朝の場合</t>
  </si>
  <si>
    <t>身体早０．５・２人</t>
  </si>
  <si>
    <t>単位加算</t>
    <rPh sb="0" eb="2">
      <t>タンイ</t>
    </rPh>
    <phoneticPr fontId="1"/>
  </si>
  <si>
    <t>身体早０．５・基</t>
  </si>
  <si>
    <t>基礎研修課程修了者等により行われる場合</t>
    <phoneticPr fontId="1"/>
  </si>
  <si>
    <t>身体早０．５・基・２人</t>
  </si>
  <si>
    <t>A421</t>
  </si>
  <si>
    <t>身体早０．５・初計</t>
  </si>
  <si>
    <t>A422</t>
  </si>
  <si>
    <t>身体早０．５・２人・初計</t>
  </si>
  <si>
    <t>A423</t>
  </si>
  <si>
    <t>身体早０．５・基・初計</t>
  </si>
  <si>
    <t>A424</t>
  </si>
  <si>
    <t>身体早０．５・基・２人・初計</t>
  </si>
  <si>
    <t>身体早１．０</t>
  </si>
  <si>
    <t>(2)早朝 ３０分以上 １時間未満</t>
  </si>
  <si>
    <t>身体早１．０・２人</t>
  </si>
  <si>
    <t>身体早１．０・基</t>
  </si>
  <si>
    <t>身体早１．０・基・２人</t>
  </si>
  <si>
    <t>A441</t>
  </si>
  <si>
    <t>身体早１．０・初計</t>
  </si>
  <si>
    <t>A442</t>
  </si>
  <si>
    <t>身体早１．０・２人・初計</t>
  </si>
  <si>
    <t>A443</t>
  </si>
  <si>
    <t>身体早１．０・基・初計</t>
  </si>
  <si>
    <t>A444</t>
  </si>
  <si>
    <t>身体早１．０・基・２人・初計</t>
  </si>
  <si>
    <t>身体早１．５</t>
  </si>
  <si>
    <t>(3)早朝 １時間以上 １時間３０分未満</t>
  </si>
  <si>
    <t>身体早１．５・２人</t>
  </si>
  <si>
    <t>身体早１．５・基</t>
  </si>
  <si>
    <t>身体早１．５・基・２人</t>
  </si>
  <si>
    <t>A461</t>
  </si>
  <si>
    <t>身体早１．５・初計</t>
  </si>
  <si>
    <t>A462</t>
  </si>
  <si>
    <t>身体早１．５・２人・初計</t>
  </si>
  <si>
    <t>A463</t>
  </si>
  <si>
    <t>身体早１．５・基・初計</t>
  </si>
  <si>
    <t>A464</t>
  </si>
  <si>
    <t>身体早１．５・基・２人・初計</t>
  </si>
  <si>
    <t>身体早２．０</t>
  </si>
  <si>
    <t>(4)早朝 １時間３０分以上 ２時間未満</t>
  </si>
  <si>
    <t>身体早２．０・２人</t>
  </si>
  <si>
    <t>身体早２．０・基</t>
  </si>
  <si>
    <t>身体早２．０・基・２人</t>
  </si>
  <si>
    <t>A481</t>
  </si>
  <si>
    <t>身体早２．０・初計</t>
  </si>
  <si>
    <t>A482</t>
  </si>
  <si>
    <t>身体早２．０・２人・初計</t>
  </si>
  <si>
    <t>A483</t>
  </si>
  <si>
    <t>身体早２．０・基・初計</t>
  </si>
  <si>
    <t>A484</t>
  </si>
  <si>
    <t>身体早２．０・基・２人・初計</t>
  </si>
  <si>
    <t>身体早２．５</t>
  </si>
  <si>
    <t>(5)早朝 ２時間以上 ２時間３０分未満</t>
  </si>
  <si>
    <t>身体早２．５・２人</t>
  </si>
  <si>
    <t>身体早２．５・基</t>
  </si>
  <si>
    <t>身体早２．５・基・２人</t>
  </si>
  <si>
    <t>A501</t>
  </si>
  <si>
    <t>身体早２．５・初計</t>
  </si>
  <si>
    <t>A502</t>
  </si>
  <si>
    <t>身体早２．５・２人・初計</t>
  </si>
  <si>
    <t>A503</t>
  </si>
  <si>
    <t>身体早２．５・基・初計</t>
  </si>
  <si>
    <t>A504</t>
  </si>
  <si>
    <t>身体早２．５・基・２人・初計</t>
  </si>
  <si>
    <t>イ　居宅における身体介護　（夜間のみ）</t>
  </si>
  <si>
    <t>身体夜０．５</t>
  </si>
  <si>
    <t>(1)夜間 ３０分未満</t>
  </si>
  <si>
    <t>夜間の場合</t>
  </si>
  <si>
    <t>身体夜０．５・２人</t>
  </si>
  <si>
    <t>身体夜０．５・基</t>
  </si>
  <si>
    <t>身体夜０．５・基・２人</t>
  </si>
  <si>
    <t>A521</t>
  </si>
  <si>
    <t>身体夜０．５・初計</t>
  </si>
  <si>
    <t>A522</t>
  </si>
  <si>
    <t>身体夜０．５・２人・初計</t>
  </si>
  <si>
    <t>A523</t>
  </si>
  <si>
    <t>身体夜０．５・基・初計</t>
  </si>
  <si>
    <t>A524</t>
  </si>
  <si>
    <t>身体夜０．５・基・２人・初計</t>
  </si>
  <si>
    <t>身体夜１．０</t>
  </si>
  <si>
    <t>(2)夜間 ３０分以上 １時間未満</t>
  </si>
  <si>
    <t>身体夜１．０・２人</t>
  </si>
  <si>
    <t>身体夜１．０・基</t>
  </si>
  <si>
    <t>身体夜１．０・基・２人</t>
  </si>
  <si>
    <t>A541</t>
  </si>
  <si>
    <t>身体夜１．０・初計</t>
  </si>
  <si>
    <t>A542</t>
  </si>
  <si>
    <t>身体夜１．０・２人・初計</t>
  </si>
  <si>
    <t>A543</t>
  </si>
  <si>
    <t>身体夜１．０・基・初計</t>
  </si>
  <si>
    <t>A544</t>
  </si>
  <si>
    <t>身体夜１．０・基・２人・初計</t>
  </si>
  <si>
    <t>身体夜１．５</t>
  </si>
  <si>
    <t>(3)夜間 １時間以上 １時間３０分未満</t>
    <phoneticPr fontId="1"/>
  </si>
  <si>
    <t>身体夜１．５・２人</t>
  </si>
  <si>
    <t>身体夜１．５・基</t>
  </si>
  <si>
    <t>身体夜１．５・基・２人</t>
  </si>
  <si>
    <t>A561</t>
  </si>
  <si>
    <t>身体夜１．５・初計</t>
  </si>
  <si>
    <t>A562</t>
  </si>
  <si>
    <t>身体夜１．５・２人・初計</t>
  </si>
  <si>
    <t>A563</t>
  </si>
  <si>
    <t>身体夜１．５・基・初計</t>
  </si>
  <si>
    <t>A564</t>
  </si>
  <si>
    <t>身体夜１．５・基・２人・初計</t>
  </si>
  <si>
    <t>身体夜２．０</t>
  </si>
  <si>
    <t>(4)夜間 １時間３０分以上 ２時間未満</t>
  </si>
  <si>
    <t>身体夜２．０・２人</t>
  </si>
  <si>
    <t>身体夜２．０・基</t>
  </si>
  <si>
    <t>身体夜２．０・基・２人</t>
  </si>
  <si>
    <t>A581</t>
  </si>
  <si>
    <t>身体夜２．０・初計</t>
  </si>
  <si>
    <t>A582</t>
  </si>
  <si>
    <t>身体夜２．０・２人・初計</t>
  </si>
  <si>
    <t>A583</t>
  </si>
  <si>
    <t>身体夜２．０・基・初計</t>
  </si>
  <si>
    <t>A584</t>
  </si>
  <si>
    <t>身体夜２．０・基・２人・初計</t>
  </si>
  <si>
    <t>身体夜２．５</t>
  </si>
  <si>
    <t>(5)夜間 ２時間以上 ２時間３０分未満</t>
  </si>
  <si>
    <t>身体夜２．５・２人</t>
  </si>
  <si>
    <t>身体夜２．５・基</t>
  </si>
  <si>
    <t>身体夜２．５・基・２人</t>
  </si>
  <si>
    <t>A601</t>
  </si>
  <si>
    <t>身体夜２．５・初計</t>
  </si>
  <si>
    <t>A602</t>
  </si>
  <si>
    <t>身体夜２．５・２人・初計</t>
  </si>
  <si>
    <t>A603</t>
  </si>
  <si>
    <t>身体夜２．５・基・初計</t>
  </si>
  <si>
    <t>A604</t>
  </si>
  <si>
    <t>身体夜２．５・基・２人・初計</t>
  </si>
  <si>
    <t>身体夜３．０</t>
  </si>
  <si>
    <t>(6)夜間 ２時間３０分以上 ３時間未満</t>
  </si>
  <si>
    <t>身体夜３．０・２人</t>
  </si>
  <si>
    <t>身体夜３．０・基</t>
  </si>
  <si>
    <t>身体夜３．０・基・２人</t>
  </si>
  <si>
    <t>A621</t>
  </si>
  <si>
    <t>身体夜３．０・初計</t>
  </si>
  <si>
    <t>A622</t>
  </si>
  <si>
    <t>身体夜３．０・２人・初計</t>
  </si>
  <si>
    <t>A623</t>
  </si>
  <si>
    <t>身体夜３．０・基・初計</t>
  </si>
  <si>
    <t>A624</t>
  </si>
  <si>
    <t>身体夜３．０・基・２人・初計</t>
  </si>
  <si>
    <t>身体夜３．５</t>
  </si>
  <si>
    <t>(7)夜間 ３時間以上 ３時間３０分未満</t>
  </si>
  <si>
    <t>身体夜３．５・２人</t>
  </si>
  <si>
    <t>身体夜３．５・基</t>
  </si>
  <si>
    <t>身体夜３．５・基・２人</t>
  </si>
  <si>
    <t>A641</t>
  </si>
  <si>
    <t>身体夜３．５・初計</t>
  </si>
  <si>
    <t>A642</t>
  </si>
  <si>
    <t>身体夜３．５・２人・初計</t>
  </si>
  <si>
    <t>A643</t>
  </si>
  <si>
    <t>身体夜３．５・基・初計</t>
  </si>
  <si>
    <t>A644</t>
  </si>
  <si>
    <t>身体夜３．５・基・２人・初計</t>
  </si>
  <si>
    <t>身体夜４．０</t>
  </si>
  <si>
    <t>(8)夜間 ３時間３０分以上 ４時間未満</t>
  </si>
  <si>
    <t>身体夜４．０・２人</t>
  </si>
  <si>
    <t>身体夜４．０・基</t>
  </si>
  <si>
    <t>身体夜４．０・基・２人</t>
  </si>
  <si>
    <t>A661</t>
  </si>
  <si>
    <t>身体夜４．０・初計</t>
  </si>
  <si>
    <t>A662</t>
  </si>
  <si>
    <t>身体夜４．０・２人・初計</t>
  </si>
  <si>
    <t>A663</t>
  </si>
  <si>
    <t>身体夜４．０・基・初計</t>
  </si>
  <si>
    <t>A664</t>
  </si>
  <si>
    <t>身体夜４．０・基・２人・初計</t>
  </si>
  <si>
    <t>身体夜４．５</t>
  </si>
  <si>
    <t>(9)夜間 ４時間以上 ４時間３０分未満</t>
  </si>
  <si>
    <t>身体夜４．５・２人</t>
  </si>
  <si>
    <t>身体夜４．５・基</t>
  </si>
  <si>
    <t>身体夜４．５・基・２人</t>
  </si>
  <si>
    <t>A681</t>
  </si>
  <si>
    <t>身体夜４．５・初計</t>
  </si>
  <si>
    <t>A682</t>
  </si>
  <si>
    <t>身体夜４．５・２人・初計</t>
  </si>
  <si>
    <t>A683</t>
  </si>
  <si>
    <t>身体夜４．５・基・初計</t>
  </si>
  <si>
    <t>A684</t>
  </si>
  <si>
    <t>身体夜４．５・基・２人・初計</t>
  </si>
  <si>
    <t>イ　居宅における身体介護　（深夜のみ）</t>
  </si>
  <si>
    <t>身体深０．５</t>
  </si>
  <si>
    <t>(1)深夜 ３０分未満</t>
  </si>
  <si>
    <t>深夜の場合</t>
  </si>
  <si>
    <t>1回につき</t>
    <phoneticPr fontId="1"/>
  </si>
  <si>
    <t>身体深０．５・２人</t>
  </si>
  <si>
    <t>身体深０．５・基</t>
  </si>
  <si>
    <t>身体深０．５・基・２人</t>
  </si>
  <si>
    <t>A701</t>
  </si>
  <si>
    <t>身体深０．５・初計</t>
  </si>
  <si>
    <t>A702</t>
  </si>
  <si>
    <t>身体深０．５・２人・初計</t>
  </si>
  <si>
    <t>A703</t>
  </si>
  <si>
    <t>身体深０．５・基・初計</t>
  </si>
  <si>
    <t>A704</t>
  </si>
  <si>
    <t>身体深０．５・基・２人・初計</t>
  </si>
  <si>
    <t>身体深１．０</t>
  </si>
  <si>
    <t>(2)深夜 ３０分以上 １時間未満</t>
  </si>
  <si>
    <t>身体深１．０・２人</t>
  </si>
  <si>
    <t>身体深１．０・基</t>
  </si>
  <si>
    <t>身体深１．０・基・２人</t>
  </si>
  <si>
    <t>A721</t>
  </si>
  <si>
    <t>身体深１．０・初計</t>
  </si>
  <si>
    <t>A722</t>
  </si>
  <si>
    <t>身体深１．０・２人・初計</t>
  </si>
  <si>
    <t>A723</t>
  </si>
  <si>
    <t>身体深１．０・基・初計</t>
  </si>
  <si>
    <t>A724</t>
  </si>
  <si>
    <t>身体深１．０・基・２人・初計</t>
  </si>
  <si>
    <t>身体深１．５</t>
  </si>
  <si>
    <t>(3)深夜 １時間以上 １時間３０分未満</t>
  </si>
  <si>
    <t>身体深１．５・２人</t>
  </si>
  <si>
    <t>身体深１．５・基</t>
  </si>
  <si>
    <t>身体深１．５・基・２人</t>
  </si>
  <si>
    <t>A741</t>
  </si>
  <si>
    <t>身体深１．５・初計</t>
  </si>
  <si>
    <t>A742</t>
  </si>
  <si>
    <t>身体深１．５・２人・初計</t>
  </si>
  <si>
    <t>A743</t>
  </si>
  <si>
    <t>身体深１．５・基・初計</t>
  </si>
  <si>
    <t>A744</t>
  </si>
  <si>
    <t>身体深１．５・基・２人・初計</t>
  </si>
  <si>
    <t>身体深２．０</t>
  </si>
  <si>
    <t>(4)深夜 １時間３０分以上 ２時間未満</t>
    <phoneticPr fontId="1"/>
  </si>
  <si>
    <t>身体深２．０・２人</t>
  </si>
  <si>
    <t>身体深２．０・基</t>
  </si>
  <si>
    <t>身体深２．０・基・２人</t>
  </si>
  <si>
    <t>A761</t>
  </si>
  <si>
    <t>身体深２．０・初計</t>
  </si>
  <si>
    <t>A762</t>
  </si>
  <si>
    <t>身体深２．０・２人・初計</t>
  </si>
  <si>
    <t>A763</t>
  </si>
  <si>
    <t>身体深２．０・基・初計</t>
  </si>
  <si>
    <t>A764</t>
  </si>
  <si>
    <t>身体深２．０・基・２人・初計</t>
  </si>
  <si>
    <t>身体深２．５</t>
  </si>
  <si>
    <t>(5)深夜 ２時間以上 ２時間３０分未満</t>
  </si>
  <si>
    <t>身体深２．５・２人</t>
  </si>
  <si>
    <t>身体深２．５・基</t>
  </si>
  <si>
    <t>身体深２．５・基・２人</t>
  </si>
  <si>
    <t>A781</t>
  </si>
  <si>
    <t>身体深２．５・初計</t>
  </si>
  <si>
    <t>A782</t>
  </si>
  <si>
    <t>身体深２．５・２人・初計</t>
  </si>
  <si>
    <t>A783</t>
  </si>
  <si>
    <t>身体深２．５・基・初計</t>
  </si>
  <si>
    <t>A784</t>
  </si>
  <si>
    <t>身体深２．５・基・２人・初計</t>
  </si>
  <si>
    <t>身体深３．０</t>
  </si>
  <si>
    <t>(6)深夜 ２時間３０分以上 ３時間未満</t>
  </si>
  <si>
    <t>身体深３．０・２人</t>
  </si>
  <si>
    <t>身体深３．０・基</t>
  </si>
  <si>
    <t>身体深３．０・基・２人</t>
  </si>
  <si>
    <t>A801</t>
  </si>
  <si>
    <t>身体深３．０・初計</t>
  </si>
  <si>
    <t>A802</t>
  </si>
  <si>
    <t>身体深３．０・２人・初計</t>
  </si>
  <si>
    <t>A803</t>
  </si>
  <si>
    <t>身体深３．０・基・初計</t>
  </si>
  <si>
    <t>A804</t>
  </si>
  <si>
    <t>身体深３．０・基・２人・初計</t>
  </si>
  <si>
    <t>身体深３．５</t>
  </si>
  <si>
    <t>(7)深夜 ３時間以上 ３時間３０分未満</t>
  </si>
  <si>
    <t>身体深３．５・２人</t>
  </si>
  <si>
    <t>身体深３．５・基</t>
  </si>
  <si>
    <t>身体深３．５・基・２人</t>
  </si>
  <si>
    <t>A821</t>
  </si>
  <si>
    <t>身体深３．５・初計</t>
  </si>
  <si>
    <t>A822</t>
  </si>
  <si>
    <t>身体深３．５・２人・初計</t>
  </si>
  <si>
    <t>A823</t>
  </si>
  <si>
    <t>身体深３．５・基・初計</t>
  </si>
  <si>
    <t>A824</t>
  </si>
  <si>
    <t>身体深３．５・基・２人・初計</t>
  </si>
  <si>
    <t>身体深４．０</t>
  </si>
  <si>
    <t>(8)深夜 ３時間３０分以上 ４時間未満</t>
  </si>
  <si>
    <t>身体深４．０・２人</t>
  </si>
  <si>
    <t>身体深４．０・基</t>
  </si>
  <si>
    <t>身体深４．０・基・２人</t>
  </si>
  <si>
    <t>A841</t>
  </si>
  <si>
    <t>身体深４．０・初計</t>
  </si>
  <si>
    <t>A842</t>
  </si>
  <si>
    <t>身体深４．０・２人・初計</t>
  </si>
  <si>
    <t>A843</t>
  </si>
  <si>
    <t>身体深４．０・基・初計</t>
  </si>
  <si>
    <t>A844</t>
  </si>
  <si>
    <t>身体深４．０・基・２人・初計</t>
  </si>
  <si>
    <t>身体深４．５</t>
  </si>
  <si>
    <t>(9)深夜 ４時間以上 ４時間３０分未満</t>
    <phoneticPr fontId="1"/>
  </si>
  <si>
    <t>身体深４．５・２人</t>
  </si>
  <si>
    <t>身体深４．５・基</t>
  </si>
  <si>
    <t>身体深４．５・基・２人</t>
  </si>
  <si>
    <t>A861</t>
  </si>
  <si>
    <t>身体深４．５・初計</t>
  </si>
  <si>
    <t>A862</t>
  </si>
  <si>
    <t>身体深４．５・２人・初計</t>
  </si>
  <si>
    <t>A863</t>
  </si>
  <si>
    <t>身体深４．５・基・初計</t>
  </si>
  <si>
    <t>A864</t>
  </si>
  <si>
    <t>身体深４．５・基・２人・初計</t>
  </si>
  <si>
    <t>身体深５．０</t>
  </si>
  <si>
    <t>(10)深夜 ４時間３０分以上 ５時間未満</t>
  </si>
  <si>
    <t>身体深５．０・２人</t>
  </si>
  <si>
    <t>身体深５．０・基</t>
  </si>
  <si>
    <t>身体深５．０・基・２人</t>
  </si>
  <si>
    <t>A881</t>
  </si>
  <si>
    <t>身体深５．０・初計</t>
  </si>
  <si>
    <t>A882</t>
  </si>
  <si>
    <t>身体深５．０・２人・初計</t>
  </si>
  <si>
    <t>A883</t>
  </si>
  <si>
    <t>身体深５．０・基・初計</t>
  </si>
  <si>
    <t>A884</t>
  </si>
  <si>
    <t>身体深５．０・基・２人・初計</t>
  </si>
  <si>
    <t>身体深５．５</t>
  </si>
  <si>
    <t>(11)深夜 ５時間以上 ５時間３０分未満</t>
  </si>
  <si>
    <t>身体深５．５・２人</t>
  </si>
  <si>
    <t>身体深５．５・基</t>
  </si>
  <si>
    <t>身体深５．５・基・２人</t>
  </si>
  <si>
    <t>A901</t>
  </si>
  <si>
    <t>身体深５．５・初計</t>
  </si>
  <si>
    <t>A902</t>
  </si>
  <si>
    <t>身体深５．５・２人・初計</t>
  </si>
  <si>
    <t>A903</t>
  </si>
  <si>
    <t>身体深５．５・基・初計</t>
  </si>
  <si>
    <t>A904</t>
  </si>
  <si>
    <t>身体深５．５・基・２人・初計</t>
  </si>
  <si>
    <t>身体深６．０</t>
  </si>
  <si>
    <t>(12)深夜 ５時間３０分以上 ６時間未満</t>
  </si>
  <si>
    <t>身体深６．０・２人</t>
  </si>
  <si>
    <t>身体深６．０・基</t>
  </si>
  <si>
    <t>身体深６．０・基・２人</t>
  </si>
  <si>
    <t>A921</t>
  </si>
  <si>
    <t>身体深６．０・初計</t>
  </si>
  <si>
    <t>A922</t>
  </si>
  <si>
    <t>身体深６．０・２人・初計</t>
  </si>
  <si>
    <t>A923</t>
  </si>
  <si>
    <t>身体深６．０・基・初計</t>
  </si>
  <si>
    <t>A924</t>
  </si>
  <si>
    <t>身体深６．０・基・２人・初計</t>
  </si>
  <si>
    <t>身体深６．５</t>
  </si>
  <si>
    <t>(13)深夜 ６時間以上 ６時間３０分未満</t>
  </si>
  <si>
    <t>身体深６．５・２人</t>
  </si>
  <si>
    <t>身体深６．５・基</t>
  </si>
  <si>
    <t>身体深６．５・基・２人</t>
  </si>
  <si>
    <t>A941</t>
  </si>
  <si>
    <t>身体深６．５・初計</t>
  </si>
  <si>
    <t>A942</t>
  </si>
  <si>
    <t>身体深６．５・２人・初計</t>
  </si>
  <si>
    <t>A943</t>
  </si>
  <si>
    <t>身体深６．５・基・初計</t>
  </si>
  <si>
    <t>A944</t>
  </si>
  <si>
    <t>身体深６．５・基・２人・初計</t>
  </si>
  <si>
    <t>イ　居宅における身体介護　（深夜＋早朝）</t>
  </si>
  <si>
    <t>Ａ</t>
  </si>
  <si>
    <t>Ｂ</t>
  </si>
  <si>
    <t>身体深０．５・早０．５</t>
  </si>
  <si>
    <t>(一)早朝 ３０分未満</t>
  </si>
  <si>
    <t>深夜の場合 Ａ</t>
    <phoneticPr fontId="1"/>
  </si>
  <si>
    <t>早朝の場合 Ｂ</t>
    <phoneticPr fontId="1"/>
  </si>
  <si>
    <t>身体深０．５・早０．５・２人</t>
  </si>
  <si>
    <t>身体深０．５・早０．５・基</t>
  </si>
  <si>
    <t>身体深０．５・早０．５・基・２人</t>
  </si>
  <si>
    <t>A961</t>
  </si>
  <si>
    <t>身体深０．５・早０．５・初計</t>
  </si>
  <si>
    <t>A962</t>
  </si>
  <si>
    <t>身体深０．５・早０．５・２人・初計</t>
  </si>
  <si>
    <t>A963</t>
  </si>
  <si>
    <t>身体深０．５・早０．５・基・初計</t>
  </si>
  <si>
    <t>A964</t>
  </si>
  <si>
    <t>身体深０．５・早０．５・基・２人・初計</t>
  </si>
  <si>
    <t>身体深０．５・早１．０</t>
  </si>
  <si>
    <t>(二)早朝 ３０分以上 １時間未満</t>
    <rPh sb="1" eb="2">
      <t>２</t>
    </rPh>
    <phoneticPr fontId="1"/>
  </si>
  <si>
    <t>身体深０．５・早１．０・２人</t>
  </si>
  <si>
    <t>身体深０．５・早１．０・基</t>
  </si>
  <si>
    <t>身体深０．５・早１．０・基・２人</t>
  </si>
  <si>
    <t>A981</t>
  </si>
  <si>
    <t>身体深０．５・早１．０・初計</t>
  </si>
  <si>
    <t>A982</t>
  </si>
  <si>
    <t>身体深０．５・早１．０・２人・初計</t>
  </si>
  <si>
    <t>A983</t>
  </si>
  <si>
    <t>身体深０．５・早１．０・基・初計</t>
  </si>
  <si>
    <t>A984</t>
  </si>
  <si>
    <t>身体深０．５・早１．０・基・２人・初計</t>
  </si>
  <si>
    <t>身体深０．５・早１．５</t>
  </si>
  <si>
    <t>(三)早朝 １時間以上 １時間３０分未満</t>
  </si>
  <si>
    <t>身体深０．５・早１．５・２人</t>
  </si>
  <si>
    <t>身体深０．５・早１．５・基</t>
  </si>
  <si>
    <t>身体深０．５・早１．５・基・２人</t>
  </si>
  <si>
    <t>AA01</t>
  </si>
  <si>
    <t>身体深０．５・早１．５・初計</t>
  </si>
  <si>
    <t>AA02</t>
  </si>
  <si>
    <t>身体深０．５・早１．５・２人・初計</t>
  </si>
  <si>
    <t>AA03</t>
  </si>
  <si>
    <t>身体深０．５・早１．５・基・初計</t>
  </si>
  <si>
    <t>AA04</t>
  </si>
  <si>
    <t>身体深０．５・早１．５・基・２人・初計</t>
  </si>
  <si>
    <t>身体深０．５・早２．０</t>
  </si>
  <si>
    <t>(四)早朝 １時間３０分以上 ２時間未満</t>
  </si>
  <si>
    <t>身体深０．５・早２．０・２人</t>
  </si>
  <si>
    <t>身体深０．５・早２．０・基</t>
  </si>
  <si>
    <t>身体深０．５・早２．０・基・２人</t>
  </si>
  <si>
    <t>AA21</t>
  </si>
  <si>
    <t>身体深０．５・早２．０・初計</t>
  </si>
  <si>
    <t>AA22</t>
  </si>
  <si>
    <t>身体深０．５・早２．０・２人・初計</t>
  </si>
  <si>
    <t>AA23</t>
  </si>
  <si>
    <t>身体深０．５・早２．０・基・初計</t>
  </si>
  <si>
    <t>AA24</t>
  </si>
  <si>
    <t>身体深０．５・早２．０・基・２人・初計</t>
  </si>
  <si>
    <t>身体深０．５・早２．５</t>
  </si>
  <si>
    <t>(五)早朝 ２時間以上 ２時間３０分未満</t>
  </si>
  <si>
    <t>身体深０．５・早２．５・２人</t>
  </si>
  <si>
    <t>身体深０．５・早２．５・基</t>
  </si>
  <si>
    <t>身体深０．５・早２．５・基・２人</t>
  </si>
  <si>
    <t>AA41</t>
  </si>
  <si>
    <t>身体深０．５・早２．５・初計</t>
  </si>
  <si>
    <t>AA42</t>
  </si>
  <si>
    <t>身体深０．５・早２．５・２人・初計</t>
  </si>
  <si>
    <t>AA43</t>
  </si>
  <si>
    <t>身体深０．５・早２．５・基・初計</t>
  </si>
  <si>
    <t>AA44</t>
  </si>
  <si>
    <t>身体深０．５・早２．５・基・２人・初計</t>
  </si>
  <si>
    <t>身体深１．０・早０．５</t>
  </si>
  <si>
    <t>身体深１．０・早０．５・２人</t>
  </si>
  <si>
    <t>身体深１．０・早０．５・基</t>
  </si>
  <si>
    <t>身体深１．０・早０．５・基・２人</t>
  </si>
  <si>
    <t>AA61</t>
  </si>
  <si>
    <t>身体深１．０・早０．５・初計</t>
  </si>
  <si>
    <t>AA62</t>
  </si>
  <si>
    <t>身体深１．０・早０．５・２人・初計</t>
  </si>
  <si>
    <t>AA63</t>
  </si>
  <si>
    <t>身体深１．０・早０．５・基・初計</t>
  </si>
  <si>
    <t>AA64</t>
  </si>
  <si>
    <t>身体深１．０・早０．５・基・２人・初計</t>
  </si>
  <si>
    <t>身体深１．０・早１．０</t>
  </si>
  <si>
    <t>(二)早朝 ３０分以上 １時間未満</t>
  </si>
  <si>
    <t>身体深１．０・早１．０・２人</t>
  </si>
  <si>
    <t>身体深１．０・早１．０・基</t>
  </si>
  <si>
    <t>身体深１．０・早１．０・基・２人</t>
  </si>
  <si>
    <t>AA81</t>
  </si>
  <si>
    <t>身体深１．０・早１．０・初計</t>
  </si>
  <si>
    <t>AA82</t>
  </si>
  <si>
    <t>身体深１．０・早１．０・２人・初計</t>
  </si>
  <si>
    <t>AA83</t>
  </si>
  <si>
    <t>身体深１．０・早１．０・基・初計</t>
  </si>
  <si>
    <t>AA84</t>
  </si>
  <si>
    <t>身体深１．０・早１．０・基・２人・初計</t>
  </si>
  <si>
    <t>身体深１．０・早１．５</t>
  </si>
  <si>
    <t>身体深１．０・早１．５・２人</t>
  </si>
  <si>
    <t>身体深１．０・早１．５・基</t>
  </si>
  <si>
    <t>身体深１．０・早１．５・基・２人</t>
  </si>
  <si>
    <t>AB01</t>
  </si>
  <si>
    <t>身体深１．０・早１．５・初計</t>
  </si>
  <si>
    <t>AB02</t>
  </si>
  <si>
    <t>身体深１．０・早１．５・２人・初計</t>
  </si>
  <si>
    <t>AB03</t>
  </si>
  <si>
    <t>身体深１．０・早１．５・基・初計</t>
  </si>
  <si>
    <t>AB04</t>
  </si>
  <si>
    <t>身体深１．０・早１．５・基・２人・初計</t>
  </si>
  <si>
    <t>身体深１．０・早２．０</t>
  </si>
  <si>
    <t>(四)早朝 １時間３０分以上 ２時間未満</t>
    <phoneticPr fontId="1"/>
  </si>
  <si>
    <t>身体深１．０・早２．０・２人</t>
  </si>
  <si>
    <t>身体深１．０・早２．０・基</t>
  </si>
  <si>
    <t>身体深１．０・早２．０・基・２人</t>
  </si>
  <si>
    <t>AB21</t>
  </si>
  <si>
    <t>身体深１．０・早２．０・初計</t>
  </si>
  <si>
    <t>AB22</t>
  </si>
  <si>
    <t>身体深１．０・早２．０・２人・初計</t>
  </si>
  <si>
    <t>AB23</t>
  </si>
  <si>
    <t>身体深１．０・早２．０・基・初計</t>
  </si>
  <si>
    <t>AB24</t>
  </si>
  <si>
    <t>身体深１．０・早２．０・基・２人・初計</t>
  </si>
  <si>
    <t>身体深１．５・早０．５</t>
  </si>
  <si>
    <t>身体深１．５・早０．５・２人</t>
  </si>
  <si>
    <t>身体深１．５・早０．５・基</t>
  </si>
  <si>
    <t>身体深１．５・早０．５・基・２人</t>
  </si>
  <si>
    <t>AB41</t>
  </si>
  <si>
    <t>身体深１．５・早０．５・初計</t>
  </si>
  <si>
    <t>AB42</t>
  </si>
  <si>
    <t>身体深１．５・早０．５・２人・初計</t>
  </si>
  <si>
    <t>AB43</t>
  </si>
  <si>
    <t>身体深１．５・早０．５・基・初計</t>
  </si>
  <si>
    <t>AB44</t>
  </si>
  <si>
    <t>身体深１．５・早０．５・基・２人・初計</t>
  </si>
  <si>
    <t>身体深１．５・早１．０</t>
  </si>
  <si>
    <t>身体深１．５・早１．０・２人</t>
  </si>
  <si>
    <t>身体深１．５・早１．０・基</t>
  </si>
  <si>
    <t>身体深１．５・早１．０・基・２人</t>
  </si>
  <si>
    <t>AB61</t>
  </si>
  <si>
    <t>身体深１．５・早１．０・初計</t>
  </si>
  <si>
    <t>AB62</t>
  </si>
  <si>
    <t>身体深１．５・早１．０・２人・初計</t>
  </si>
  <si>
    <t>AB63</t>
  </si>
  <si>
    <t>身体深１．５・早１．０・基・初計</t>
  </si>
  <si>
    <t>AB64</t>
  </si>
  <si>
    <t>身体深１．５・早１．０・基・２人・初計</t>
  </si>
  <si>
    <t>身体深１．５・早１．５</t>
  </si>
  <si>
    <t>身体深１．５・早１．５・２人</t>
  </si>
  <si>
    <t>身体深１．５・早１．５・基</t>
  </si>
  <si>
    <t>身体深１．５・早１．５・基・２人</t>
  </si>
  <si>
    <t>AB81</t>
  </si>
  <si>
    <t>身体深１．５・早１．５・初計</t>
  </si>
  <si>
    <t>AB82</t>
  </si>
  <si>
    <t>身体深１．５・早１．５・２人・初計</t>
  </si>
  <si>
    <t>AB83</t>
  </si>
  <si>
    <t>身体深１．５・早１．５・基・初計</t>
  </si>
  <si>
    <t>AB84</t>
  </si>
  <si>
    <t>身体深１．５・早１．５・基・２人・初計</t>
  </si>
  <si>
    <t>身体深２．０・早０．５</t>
  </si>
  <si>
    <t>(4)深夜 １時間３０分以上 ２時間未満</t>
  </si>
  <si>
    <t>身体深２．０・早０．５・２人</t>
  </si>
  <si>
    <t>身体深２．０・早０．５・基</t>
  </si>
  <si>
    <t>身体深２．０・早０．５・基・２人</t>
  </si>
  <si>
    <t>AC01</t>
  </si>
  <si>
    <t>身体深２．０・早０．５・初計</t>
  </si>
  <si>
    <t>AC02</t>
  </si>
  <si>
    <t>身体深２．０・早０．５・２人・初計</t>
  </si>
  <si>
    <t>AC03</t>
  </si>
  <si>
    <t>身体深２．０・早０．５・基・初計</t>
  </si>
  <si>
    <t>AC04</t>
  </si>
  <si>
    <t>身体深２．０・早０．５・基・２人・初計</t>
  </si>
  <si>
    <t>身体深２．０・早１．０</t>
  </si>
  <si>
    <t>身体深２．０・早１．０・２人</t>
  </si>
  <si>
    <t>身体深２．０・早１．０・基</t>
  </si>
  <si>
    <t>身体深２．０・早１．０・基・２人</t>
  </si>
  <si>
    <t>AC21</t>
  </si>
  <si>
    <t>身体深２．０・早１．０・初計</t>
  </si>
  <si>
    <t>AC22</t>
  </si>
  <si>
    <t>身体深２．０・早１．０・２人・初計</t>
  </si>
  <si>
    <t>AC23</t>
  </si>
  <si>
    <t>身体深２．０・早１．０・基・初計</t>
  </si>
  <si>
    <t>AC24</t>
  </si>
  <si>
    <t>身体深２．０・早１．０・基・２人・初計</t>
  </si>
  <si>
    <t>身体深２．５・早０．５</t>
  </si>
  <si>
    <t>身体深２．５・早０．５・２人</t>
  </si>
  <si>
    <t>身体深２．５・早０．５・基</t>
  </si>
  <si>
    <t>身体深２．５・早０．５・基・２人</t>
  </si>
  <si>
    <t>AC41</t>
  </si>
  <si>
    <t>身体深２．５・早０．５・初計</t>
  </si>
  <si>
    <t>AC42</t>
  </si>
  <si>
    <t>身体深２．５・早０．５・２人・初計</t>
  </si>
  <si>
    <t>AC43</t>
  </si>
  <si>
    <t>身体深２．５・早０．５・基・初計</t>
  </si>
  <si>
    <t>AC44</t>
  </si>
  <si>
    <t>身体深２．５・早０．５・基・２人・初計</t>
  </si>
  <si>
    <t>イ　居宅における身体介護　（早朝＋日中）</t>
  </si>
  <si>
    <t>身体早０．５・日０．５</t>
  </si>
  <si>
    <t>(一)日中 ３０分未満</t>
  </si>
  <si>
    <t>早朝の場合 Ａ</t>
    <phoneticPr fontId="1"/>
  </si>
  <si>
    <t>身体早０．５・日０．５・２人</t>
  </si>
  <si>
    <t>身体早０．５・日０．５・基</t>
  </si>
  <si>
    <t>身体早０．５・日０．５・基・２人</t>
  </si>
  <si>
    <t>AC61</t>
  </si>
  <si>
    <t>身体早０．５・日０．５・初計</t>
  </si>
  <si>
    <t>AC62</t>
  </si>
  <si>
    <t>身体早０．５・日０．５・２人・初計</t>
  </si>
  <si>
    <t>AC63</t>
  </si>
  <si>
    <t>身体早０．５・日０．５・基・初計</t>
  </si>
  <si>
    <t>AC64</t>
  </si>
  <si>
    <t>身体早０．５・日０．５・基・２人・初計</t>
  </si>
  <si>
    <t>身体早０．５・日１．０</t>
  </si>
  <si>
    <t>(二)日中 ３０分以上 １時間未満</t>
    <rPh sb="1" eb="2">
      <t>２</t>
    </rPh>
    <phoneticPr fontId="1"/>
  </si>
  <si>
    <t>身体早０．５・日１．０・２人</t>
  </si>
  <si>
    <t>身体早０．５・日１．０・基</t>
  </si>
  <si>
    <t>身体早０．５・日１．０・基・２人</t>
  </si>
  <si>
    <t>AC81</t>
  </si>
  <si>
    <t>身体早０．５・日１．０・初計</t>
  </si>
  <si>
    <t>AC82</t>
  </si>
  <si>
    <t>身体早０．５・日１．０・２人・初計</t>
  </si>
  <si>
    <t>AC83</t>
  </si>
  <si>
    <t>身体早０．５・日１．０・基・初計</t>
  </si>
  <si>
    <t>AC84</t>
  </si>
  <si>
    <t>身体早０．５・日１．０・基・２人・初計</t>
  </si>
  <si>
    <t>身体早０．５・日１．５</t>
  </si>
  <si>
    <t>(三)日中 １時間以上 １時間３０分未満</t>
    <phoneticPr fontId="1"/>
  </si>
  <si>
    <t>身体早０．５・日１．５・２人</t>
  </si>
  <si>
    <t>身体早０．５・日１．５・基</t>
  </si>
  <si>
    <t>身体早０．５・日１．５・基・２人</t>
  </si>
  <si>
    <t>AD01</t>
  </si>
  <si>
    <t>身体早０．５・日１．５・初計</t>
  </si>
  <si>
    <t>AD02</t>
  </si>
  <si>
    <t>身体早０．５・日１．５・２人・初計</t>
  </si>
  <si>
    <t>AD03</t>
  </si>
  <si>
    <t>身体早０．５・日１．５・基・初計</t>
  </si>
  <si>
    <t>AD04</t>
  </si>
  <si>
    <t>身体早０．５・日１．５・基・２人・初計</t>
  </si>
  <si>
    <t>身体早０．５・日２．０</t>
  </si>
  <si>
    <t>(四)日中 １時間３０分以上 ２時間未満</t>
  </si>
  <si>
    <t>身体早０．５・日２．０・２人</t>
  </si>
  <si>
    <t>身体早０．５・日２．０・基</t>
  </si>
  <si>
    <t>身体早０．５・日２．０・基・２人</t>
  </si>
  <si>
    <t>AD21</t>
  </si>
  <si>
    <t>身体早０．５・日２．０・初計</t>
  </si>
  <si>
    <t>AD22</t>
  </si>
  <si>
    <t>身体早０．５・日２．０・２人・初計</t>
  </si>
  <si>
    <t>AD23</t>
  </si>
  <si>
    <t>身体早０．５・日２．０・基・初計</t>
  </si>
  <si>
    <t>AD24</t>
  </si>
  <si>
    <t>身体早０．５・日２．０・基・２人・初計</t>
  </si>
  <si>
    <t>身体早０．５・日２．５</t>
  </si>
  <si>
    <t>(五)日中 ２時間以上 ２時間３０分未満</t>
  </si>
  <si>
    <t>身体早０．５・日２．５・２人</t>
  </si>
  <si>
    <t>身体早０．５・日２．５・基</t>
  </si>
  <si>
    <t>身体早０．５・日２．５・基・２人</t>
  </si>
  <si>
    <t>AD41</t>
  </si>
  <si>
    <t>身体早０．５・日２．５・初計</t>
  </si>
  <si>
    <t>AD42</t>
  </si>
  <si>
    <t>身体早０．５・日２．５・２人・初計</t>
  </si>
  <si>
    <t>AD43</t>
  </si>
  <si>
    <t>身体早０．５・日２．５・基・初計</t>
  </si>
  <si>
    <t>AD44</t>
  </si>
  <si>
    <t>身体早０．５・日２．５・基・２人・初計</t>
  </si>
  <si>
    <t>身体早１．０・日０．５</t>
  </si>
  <si>
    <t>身体早１．０・日０．５・２人</t>
  </si>
  <si>
    <t>身体早１．０・日０．５・基</t>
  </si>
  <si>
    <t>身体早１．０・日０．５・基・２人</t>
  </si>
  <si>
    <t>AD61</t>
  </si>
  <si>
    <t>身体早１．０・日０．５・初計</t>
  </si>
  <si>
    <t>AD62</t>
  </si>
  <si>
    <t>身体早１．０・日０．５・２人・初計</t>
  </si>
  <si>
    <t>AD63</t>
  </si>
  <si>
    <t>身体早１．０・日０．５・基・初計</t>
  </si>
  <si>
    <t>AD64</t>
  </si>
  <si>
    <t>身体早１．０・日０．５・基・２人・初計</t>
  </si>
  <si>
    <t>身体早１．０・日１．０</t>
  </si>
  <si>
    <t>(二)日中 ３０分以上 １時間未満</t>
  </si>
  <si>
    <t>身体早１．０・日１．０・２人</t>
  </si>
  <si>
    <t>身体早１．０・日１．０・基</t>
  </si>
  <si>
    <t>身体早１．０・日１．０・基・２人</t>
  </si>
  <si>
    <t>AD81</t>
  </si>
  <si>
    <t>身体早１．０・日１．０・初計</t>
  </si>
  <si>
    <t>AD82</t>
  </si>
  <si>
    <t>身体早１．０・日１．０・２人・初計</t>
  </si>
  <si>
    <t>AD83</t>
  </si>
  <si>
    <t>身体早１．０・日１．０・基・初計</t>
  </si>
  <si>
    <t>AD84</t>
  </si>
  <si>
    <t>身体早１．０・日１．０・基・２人・初計</t>
  </si>
  <si>
    <t>身体早１．０・日１．５</t>
  </si>
  <si>
    <t>(三)日中 １時間以上 １時間３０分未満</t>
  </si>
  <si>
    <t>身体早１．０・日１．５・２人</t>
  </si>
  <si>
    <t>身体早１．０・日１．５・基</t>
  </si>
  <si>
    <t>身体早１．０・日１．５・基・２人</t>
  </si>
  <si>
    <t>AE01</t>
  </si>
  <si>
    <t>身体早１．０・日１．５・初計</t>
  </si>
  <si>
    <t>AE02</t>
  </si>
  <si>
    <t>身体早１．０・日１．５・２人・初計</t>
  </si>
  <si>
    <t>AE03</t>
  </si>
  <si>
    <t>身体早１．０・日１．５・基・初計</t>
  </si>
  <si>
    <t>AE04</t>
  </si>
  <si>
    <t>身体早１．０・日１．５・基・２人・初計</t>
  </si>
  <si>
    <t>身体早１．０・日２．０</t>
  </si>
  <si>
    <t>身体早１．０・日２．０・２人</t>
  </si>
  <si>
    <t>身体早１．０・日２．０・基</t>
  </si>
  <si>
    <t>身体早１．０・日２．０・基・２人</t>
  </si>
  <si>
    <t>AE21</t>
  </si>
  <si>
    <t>身体早１．０・日２．０・初計</t>
  </si>
  <si>
    <t>AE22</t>
  </si>
  <si>
    <t>身体早１．０・日２．０・２人・初計</t>
  </si>
  <si>
    <t>AE23</t>
  </si>
  <si>
    <t>身体早１．０・日２．０・基・初計</t>
  </si>
  <si>
    <t>AE24</t>
  </si>
  <si>
    <t>身体早１．０・日２．０・基・２人・初計</t>
  </si>
  <si>
    <t>身体早１．５・日０．５</t>
  </si>
  <si>
    <t>身体早１．５・日０．５・２人</t>
  </si>
  <si>
    <t>身体早１．５・日０．５・基</t>
  </si>
  <si>
    <t>身体早１．５・日０．５・基・２人</t>
  </si>
  <si>
    <t>AE41</t>
  </si>
  <si>
    <t>身体早１．５・日０．５・初計</t>
  </si>
  <si>
    <t>AE42</t>
  </si>
  <si>
    <t>身体早１．５・日０．５・２人・初計</t>
  </si>
  <si>
    <t>AE43</t>
  </si>
  <si>
    <t>身体早１．５・日０．５・基・初計</t>
  </si>
  <si>
    <t>AE44</t>
  </si>
  <si>
    <t>身体早１．５・日０．５・基・２人・初計</t>
  </si>
  <si>
    <t>身体早１．５・日１．０</t>
  </si>
  <si>
    <t>身体早１．５・日１．０・２人</t>
  </si>
  <si>
    <t>身体早１．５・日１．０・基</t>
  </si>
  <si>
    <t>身体早１．５・日１．０・基・２人</t>
  </si>
  <si>
    <t>AE61</t>
  </si>
  <si>
    <t>身体早１．５・日１．０・初計</t>
  </si>
  <si>
    <t>AE62</t>
  </si>
  <si>
    <t>身体早１．５・日１．０・２人・初計</t>
  </si>
  <si>
    <t>AE63</t>
  </si>
  <si>
    <t>身体早１．５・日１．０・基・初計</t>
  </si>
  <si>
    <t>AE64</t>
  </si>
  <si>
    <t>身体早１．５・日１．０・基・２人・初計</t>
  </si>
  <si>
    <t>身体早１．５・日１．５</t>
  </si>
  <si>
    <t>身体早１．５・日１．５・２人</t>
  </si>
  <si>
    <t>身体早１．５・日１．５・基</t>
  </si>
  <si>
    <t>身体早１．５・日１．５・基・２人</t>
  </si>
  <si>
    <t>AE81</t>
  </si>
  <si>
    <t>身体早１．５・日１．５・初計</t>
  </si>
  <si>
    <t>AE82</t>
  </si>
  <si>
    <t>身体早１．５・日１．５・２人・初計</t>
  </si>
  <si>
    <t>AE83</t>
  </si>
  <si>
    <t>身体早１．５・日１．５・基・初計</t>
  </si>
  <si>
    <t>AE84</t>
  </si>
  <si>
    <t>身体早１．５・日１．５・基・２人・初計</t>
  </si>
  <si>
    <t>身体早２．０・日０．５</t>
  </si>
  <si>
    <t>身体早２．０・日０．５・２人</t>
  </si>
  <si>
    <t>身体早２．０・日０．５・基</t>
  </si>
  <si>
    <t>身体早２．０・日０．５・基・２人</t>
  </si>
  <si>
    <t>AF01</t>
  </si>
  <si>
    <t>身体早２．０・日０．５・初計</t>
  </si>
  <si>
    <t>AF02</t>
  </si>
  <si>
    <t>身体早２．０・日０．５・２人・初計</t>
  </si>
  <si>
    <t>AF03</t>
  </si>
  <si>
    <t>身体早２．０・日０．５・基・初計</t>
  </si>
  <si>
    <t>AF04</t>
  </si>
  <si>
    <t>身体早２．０・日０．５・基・２人・初計</t>
  </si>
  <si>
    <t>身体早２．０・日１．０</t>
  </si>
  <si>
    <t>身体早２．０・日１．０・２人</t>
  </si>
  <si>
    <t>身体早２．０・日１．０・基</t>
  </si>
  <si>
    <t>身体早２．０・日１．０・基・２人</t>
  </si>
  <si>
    <t>AF21</t>
  </si>
  <si>
    <t>身体早２．０・日１．０・初計</t>
  </si>
  <si>
    <t>AF22</t>
  </si>
  <si>
    <t>身体早２．０・日１．０・２人・初計</t>
  </si>
  <si>
    <t>AF23</t>
  </si>
  <si>
    <t>身体早２．０・日１．０・基・初計</t>
  </si>
  <si>
    <t>AF24</t>
  </si>
  <si>
    <t>身体早２．０・日１．０・基・２人・初計</t>
  </si>
  <si>
    <t>身体早２．５・日０．５</t>
  </si>
  <si>
    <t>身体早２．５・日０．５・２人</t>
  </si>
  <si>
    <t>身体早２．５・日０．５・基</t>
  </si>
  <si>
    <t>身体早２．５・日０．５・基・２人</t>
  </si>
  <si>
    <t>AF41</t>
  </si>
  <si>
    <t>身体早２．５・日０．５・初計</t>
  </si>
  <si>
    <t>AF42</t>
  </si>
  <si>
    <t>身体早２．５・日０．５・２人・初計</t>
  </si>
  <si>
    <t>AF43</t>
  </si>
  <si>
    <t>身体早２．５・日０．５・基・初計</t>
  </si>
  <si>
    <t>AF44</t>
  </si>
  <si>
    <t>身体早２．５・日０．５・基・２人・初計</t>
  </si>
  <si>
    <t>イ　居宅における身体介護　（日中＋夜間）</t>
  </si>
  <si>
    <t>身体日０．５・夜０．５</t>
  </si>
  <si>
    <t>(一)夜間 ３０分未満</t>
  </si>
  <si>
    <t>夜間の場合 Ａ</t>
    <phoneticPr fontId="1"/>
  </si>
  <si>
    <t>身体日０．５・夜０．５・２人</t>
  </si>
  <si>
    <t>身体日０．５・夜０．５・基</t>
  </si>
  <si>
    <t>身体日０．５・夜０．５・基・２人</t>
  </si>
  <si>
    <t>AF61</t>
  </si>
  <si>
    <t>身体日０．５・夜０．５・初計</t>
  </si>
  <si>
    <t>AF62</t>
  </si>
  <si>
    <t>身体日０．５・夜０．５・２人・初計</t>
  </si>
  <si>
    <t>AF63</t>
  </si>
  <si>
    <t>身体日０．５・夜０．５・基・初計</t>
  </si>
  <si>
    <t>AF64</t>
  </si>
  <si>
    <t>身体日０．５・夜０．５・基・２人・初計</t>
  </si>
  <si>
    <t>身体日０．５・夜１．０</t>
  </si>
  <si>
    <t>(二)夜間 ３０分以上 １時間未満</t>
    <rPh sb="1" eb="2">
      <t>２</t>
    </rPh>
    <phoneticPr fontId="1"/>
  </si>
  <si>
    <t>身体日０．５・夜１．０・２人</t>
  </si>
  <si>
    <t>身体日０．５・夜１．０・基</t>
  </si>
  <si>
    <t>身体日０．５・夜１．０・基・２人</t>
  </si>
  <si>
    <t>AF81</t>
  </si>
  <si>
    <t>身体日０．５・夜１．０・初計</t>
  </si>
  <si>
    <t>AF82</t>
  </si>
  <si>
    <t>身体日０．５・夜１．０・２人・初計</t>
  </si>
  <si>
    <t>AF83</t>
  </si>
  <si>
    <t>身体日０．５・夜１．０・基・初計</t>
  </si>
  <si>
    <t>AF84</t>
  </si>
  <si>
    <t>身体日０．５・夜１．０・基・２人・初計</t>
  </si>
  <si>
    <t>身体日０．５・夜１．５</t>
  </si>
  <si>
    <t>(三)夜間 １時間以上 １時間３０分未満</t>
  </si>
  <si>
    <t>身体日０．５・夜１．５・２人</t>
  </si>
  <si>
    <t>身体日０．５・夜１．５・基</t>
  </si>
  <si>
    <t>身体日０．５・夜１．５・基・２人</t>
  </si>
  <si>
    <t>AG01</t>
  </si>
  <si>
    <t>身体日０．５・夜１．５・初計</t>
  </si>
  <si>
    <t>AG02</t>
  </si>
  <si>
    <t>身体日０．５・夜１．５・２人・初計</t>
  </si>
  <si>
    <t>AG03</t>
  </si>
  <si>
    <t>身体日０．５・夜１．５・基・初計</t>
  </si>
  <si>
    <t>AG04</t>
  </si>
  <si>
    <t>身体日０．５・夜１．５・基・２人・初計</t>
  </si>
  <si>
    <t>身体日０．５・夜２．０</t>
  </si>
  <si>
    <t>(四)夜間 １時間３０分以上 ２時間未満</t>
  </si>
  <si>
    <t>身体日０．５・夜２．０・２人</t>
  </si>
  <si>
    <t>身体日０．５・夜２．０・基</t>
  </si>
  <si>
    <t>身体日０．５・夜２．０・基・２人</t>
  </si>
  <si>
    <t>AG21</t>
  </si>
  <si>
    <t>身体日０．５・夜２．０・初計</t>
  </si>
  <si>
    <t>AG22</t>
  </si>
  <si>
    <t>身体日０．５・夜２．０・２人・初計</t>
  </si>
  <si>
    <t>AG23</t>
  </si>
  <si>
    <t>身体日０．５・夜２．０・基・初計</t>
  </si>
  <si>
    <t>AG24</t>
  </si>
  <si>
    <t>身体日０．５・夜２．０・基・２人・初計</t>
  </si>
  <si>
    <t>身体日０．５・夜２．５</t>
  </si>
  <si>
    <t>(五)夜間 ２時間以上 ２時間３０分未満</t>
  </si>
  <si>
    <t>身体日０．５・夜２．５・２人</t>
  </si>
  <si>
    <t>身体日０．５・夜２．５・基</t>
  </si>
  <si>
    <t>身体日０．５・夜２．５・基・２人</t>
  </si>
  <si>
    <t>AG41</t>
  </si>
  <si>
    <t>身体日０．５・夜２．５・初計</t>
  </si>
  <si>
    <t>AG42</t>
  </si>
  <si>
    <t>身体日０．５・夜２．５・２人・初計</t>
  </si>
  <si>
    <t>AG43</t>
  </si>
  <si>
    <t>身体日０．５・夜２．５・基・初計</t>
  </si>
  <si>
    <t>AG44</t>
  </si>
  <si>
    <t>身体日０．５・夜２．５・基・２人・初計</t>
  </si>
  <si>
    <t>身体日１．０・夜０．５</t>
  </si>
  <si>
    <t>身体日１．０・夜０．５・２人</t>
  </si>
  <si>
    <t>身体日１．０・夜０．５・基</t>
  </si>
  <si>
    <t>身体日１．０・夜０．５・基・２人</t>
  </si>
  <si>
    <t>AG61</t>
  </si>
  <si>
    <t>身体日１．０・夜０．５・初計</t>
  </si>
  <si>
    <t>AG62</t>
  </si>
  <si>
    <t>身体日１．０・夜０．５・２人・初計</t>
  </si>
  <si>
    <t>AG63</t>
  </si>
  <si>
    <t>身体日１．０・夜０．５・基・初計</t>
  </si>
  <si>
    <t>AG64</t>
  </si>
  <si>
    <t>身体日１．０・夜０．５・基・２人・初計</t>
  </si>
  <si>
    <t>身体日１．０・夜１．０</t>
  </si>
  <si>
    <t>(二)夜間 ３０分以上 １時間未満</t>
  </si>
  <si>
    <t>身体日１．０・夜１．０・２人</t>
  </si>
  <si>
    <t>身体日１．０・夜１．０・基</t>
  </si>
  <si>
    <t>身体日１．０・夜１．０・基・２人</t>
  </si>
  <si>
    <t>AG81</t>
  </si>
  <si>
    <t>身体日１．０・夜１．０・初計</t>
  </si>
  <si>
    <t>AG82</t>
  </si>
  <si>
    <t>身体日１．０・夜１．０・２人・初計</t>
  </si>
  <si>
    <t>AG83</t>
  </si>
  <si>
    <t>身体日１．０・夜１．０・基・初計</t>
  </si>
  <si>
    <t>AG84</t>
  </si>
  <si>
    <t>身体日１．０・夜１．０・基・２人・初計</t>
  </si>
  <si>
    <t>身体日１．０・夜１．５</t>
  </si>
  <si>
    <t>身体日１．０・夜１．５・２人</t>
  </si>
  <si>
    <t>身体日１．０・夜１．５・基</t>
  </si>
  <si>
    <t>身体日１．０・夜１．５・基・２人</t>
  </si>
  <si>
    <t>AH01</t>
  </si>
  <si>
    <t>身体日１．０・夜１．５・初計</t>
  </si>
  <si>
    <t>AH02</t>
  </si>
  <si>
    <t>身体日１．０・夜１．５・２人・初計</t>
  </si>
  <si>
    <t>AH03</t>
  </si>
  <si>
    <t>身体日１．０・夜１．５・基・初計</t>
  </si>
  <si>
    <t>AH04</t>
  </si>
  <si>
    <t>身体日１．０・夜１．５・基・２人・初計</t>
  </si>
  <si>
    <t>身体日１．０・夜２．０</t>
  </si>
  <si>
    <t>身体日１．０・夜２．０・２人</t>
  </si>
  <si>
    <t>身体日１．０・夜２．０・基</t>
  </si>
  <si>
    <t>身体日１．０・夜２．０・基・２人</t>
  </si>
  <si>
    <t>AH21</t>
  </si>
  <si>
    <t>身体日１．０・夜２．０・初計</t>
  </si>
  <si>
    <t>AH22</t>
  </si>
  <si>
    <t>身体日１．０・夜２．０・２人・初計</t>
  </si>
  <si>
    <t>AH23</t>
  </si>
  <si>
    <t>身体日１．０・夜２．０・基・初計</t>
  </si>
  <si>
    <t>AH24</t>
  </si>
  <si>
    <t>身体日１．０・夜２．０・基・２人・初計</t>
  </si>
  <si>
    <t>身体日１．５・夜０．５</t>
  </si>
  <si>
    <t>身体日１．５・夜０．５・２人</t>
  </si>
  <si>
    <t>身体日１．５・夜０．５・基</t>
  </si>
  <si>
    <t>身体日１．５・夜０．５・基・２人</t>
  </si>
  <si>
    <t>AH41</t>
  </si>
  <si>
    <t>身体日１．５・夜０．５・初計</t>
  </si>
  <si>
    <t>AH42</t>
  </si>
  <si>
    <t>身体日１．５・夜０．５・２人・初計</t>
  </si>
  <si>
    <t>AH43</t>
  </si>
  <si>
    <t>身体日１．５・夜０．５・基・初計</t>
  </si>
  <si>
    <t>AH44</t>
  </si>
  <si>
    <t>身体日１．５・夜０．５・基・２人・初計</t>
  </si>
  <si>
    <t>身体日１．５・夜１．０</t>
  </si>
  <si>
    <t>身体日１．５・夜１．０・２人</t>
  </si>
  <si>
    <t>身体日１．５・夜１．０・基</t>
  </si>
  <si>
    <t>身体日１．５・夜１．０・基・２人</t>
  </si>
  <si>
    <t>AH61</t>
  </si>
  <si>
    <t>身体日１．５・夜１．０・初計</t>
  </si>
  <si>
    <t>AH62</t>
  </si>
  <si>
    <t>身体日１．５・夜１．０・２人・初計</t>
  </si>
  <si>
    <t>AH63</t>
  </si>
  <si>
    <t>身体日１．５・夜１．０・基・初計</t>
  </si>
  <si>
    <t>AH64</t>
  </si>
  <si>
    <t>身体日１．５・夜１．０・基・２人・初計</t>
  </si>
  <si>
    <t>身体日１．５・夜１．５</t>
  </si>
  <si>
    <t>身体日１．５・夜１．５・２人</t>
  </si>
  <si>
    <t>身体日１．５・夜１．５・基</t>
  </si>
  <si>
    <t>身体日１．５・夜１．５・基・２人</t>
  </si>
  <si>
    <t>AH81</t>
  </si>
  <si>
    <t>身体日１．５・夜１．５・初計</t>
  </si>
  <si>
    <t>AH82</t>
  </si>
  <si>
    <t>身体日１．５・夜１．５・２人・初計</t>
  </si>
  <si>
    <t>AH83</t>
  </si>
  <si>
    <t>身体日１．５・夜１．５・基・初計</t>
  </si>
  <si>
    <t>AH84</t>
  </si>
  <si>
    <t>身体日１．５・夜１．５・基・２人・初計</t>
  </si>
  <si>
    <t>身体日２．０・夜０．５</t>
  </si>
  <si>
    <t>身体日２．０・夜０．５・２人</t>
  </si>
  <si>
    <t>身体日２．０・夜０．５・基</t>
  </si>
  <si>
    <t>身体日２．０・夜０．５・基・２人</t>
  </si>
  <si>
    <t>AJ01</t>
  </si>
  <si>
    <t>身体日２．０・夜０．５・初計</t>
  </si>
  <si>
    <t>AJ02</t>
  </si>
  <si>
    <t>身体日２．０・夜０．５・２人・初計</t>
  </si>
  <si>
    <t>AJ03</t>
  </si>
  <si>
    <t>身体日２．０・夜０．５・基・初計</t>
  </si>
  <si>
    <t>AJ04</t>
  </si>
  <si>
    <t>身体日２．０・夜０．５・基・２人・初計</t>
  </si>
  <si>
    <t>身体日２．０・夜１．０</t>
  </si>
  <si>
    <t>身体日２．０・夜１．０・２人</t>
  </si>
  <si>
    <t>身体日２．０・夜１．０・基</t>
  </si>
  <si>
    <t>身体日２．０・夜１．０・基・２人</t>
  </si>
  <si>
    <t>AJ21</t>
  </si>
  <si>
    <t>身体日２．０・夜１．０・初計</t>
  </si>
  <si>
    <t>AJ22</t>
  </si>
  <si>
    <t>身体日２．０・夜１．０・２人・初計</t>
  </si>
  <si>
    <t>AJ23</t>
  </si>
  <si>
    <t>身体日２．０・夜１．０・基・初計</t>
  </si>
  <si>
    <t>AJ24</t>
  </si>
  <si>
    <t>身体日２．０・夜１．０・基・２人・初計</t>
  </si>
  <si>
    <t>身体日２．５・夜０．５</t>
  </si>
  <si>
    <t>身体日２．５・夜０．５・２人</t>
  </si>
  <si>
    <t>身体日２．５・夜０．５・基</t>
  </si>
  <si>
    <t>身体日２．５・夜０．５・基・２人</t>
  </si>
  <si>
    <t>AJ41</t>
  </si>
  <si>
    <t>身体日２．５・夜０．５・初計</t>
  </si>
  <si>
    <t>AJ42</t>
  </si>
  <si>
    <t>身体日２．５・夜０．５・２人・初計</t>
  </si>
  <si>
    <t>AJ43</t>
  </si>
  <si>
    <t>身体日２．５・夜０．５・基・初計</t>
  </si>
  <si>
    <t>AJ44</t>
  </si>
  <si>
    <t>身体日２．５・夜０．５・基・２人・初計</t>
  </si>
  <si>
    <t>イ　居宅における身体介護　（深夜＋早朝＋日中）</t>
  </si>
  <si>
    <t>身体深０．５・早２．０・日０．５</t>
  </si>
  <si>
    <t>(一)早朝  １時間３０分以上 ２時間未満</t>
    <rPh sb="3" eb="5">
      <t>ソウチョウ</t>
    </rPh>
    <phoneticPr fontId="1"/>
  </si>
  <si>
    <t>身体深０．５・早２．０・日０．５・２人</t>
  </si>
  <si>
    <t>身体深０．５・早２．０・日０．５・基</t>
  </si>
  <si>
    <t>身体深０．５・早２．０・日０．５・基・２人</t>
  </si>
  <si>
    <t>AJ61</t>
  </si>
  <si>
    <t>身体深０．５・早２．０・日０．５・初計</t>
  </si>
  <si>
    <t>AJ62</t>
  </si>
  <si>
    <t>身体深０．５・早２．０・日０．５・２人・初計</t>
  </si>
  <si>
    <t>AJ63</t>
  </si>
  <si>
    <t>身体深０．５・早２．０・日０．５・基・初計</t>
  </si>
  <si>
    <t>AJ64</t>
  </si>
  <si>
    <t>身体深０．５・早２．０・日０．５・基・２人・初計</t>
  </si>
  <si>
    <t>イ　居宅における身体介護　（夜間＋深夜）</t>
  </si>
  <si>
    <t>身体夜０．５・深０．５</t>
  </si>
  <si>
    <t>(一)深夜 ３０分未満</t>
  </si>
  <si>
    <t>深夜の場合 Ｂ</t>
    <phoneticPr fontId="1"/>
  </si>
  <si>
    <t>身体夜０．５・深０．５・２人</t>
  </si>
  <si>
    <t>身体夜０．５・深０．５・基</t>
  </si>
  <si>
    <t>身体夜０．５・深０．５・基・２人</t>
  </si>
  <si>
    <t>AJ81</t>
  </si>
  <si>
    <t>身体夜０．５・深０．５・初計</t>
  </si>
  <si>
    <t>AJ82</t>
  </si>
  <si>
    <t>身体夜０．５・深０．５・２人・初計</t>
  </si>
  <si>
    <t>AJ83</t>
  </si>
  <si>
    <t>身体夜０．５・深０．５・基・初計</t>
  </si>
  <si>
    <t>AJ84</t>
  </si>
  <si>
    <t>身体夜０．５・深０．５・基・２人・初計</t>
  </si>
  <si>
    <t>身体夜０．５・深１．０</t>
  </si>
  <si>
    <t>(二)深夜 ３０分以上 １時間未満</t>
    <rPh sb="1" eb="2">
      <t>２</t>
    </rPh>
    <phoneticPr fontId="1"/>
  </si>
  <si>
    <t>身体夜０．５・深１．０・２人</t>
  </si>
  <si>
    <t>身体夜０．５・深１．０・基</t>
  </si>
  <si>
    <t>身体夜０．５・深１．０・基・２人</t>
  </si>
  <si>
    <t>AK01</t>
  </si>
  <si>
    <t>身体夜０．５・深１．０・初計</t>
  </si>
  <si>
    <t>AK02</t>
  </si>
  <si>
    <t>身体夜０．５・深１．０・２人・初計</t>
  </si>
  <si>
    <t>AK03</t>
  </si>
  <si>
    <t>身体夜０．５・深１．０・基・初計</t>
  </si>
  <si>
    <t>AK04</t>
  </si>
  <si>
    <t>身体夜０．５・深１．０・基・２人・初計</t>
  </si>
  <si>
    <t>身体夜０．５・深１．５</t>
  </si>
  <si>
    <t>(三)深夜 １時間以上 １時間３０分未満</t>
  </si>
  <si>
    <t>身体夜０．５・深１．５・２人</t>
  </si>
  <si>
    <t>身体夜０．５・深１．５・基</t>
  </si>
  <si>
    <t>身体夜０．５・深１．５・基・２人</t>
  </si>
  <si>
    <t>AK21</t>
  </si>
  <si>
    <t>身体夜０．５・深１．５・初計</t>
  </si>
  <si>
    <t>AK22</t>
  </si>
  <si>
    <t>身体夜０．５・深１．５・２人・初計</t>
  </si>
  <si>
    <t>AK23</t>
  </si>
  <si>
    <t>身体夜０．５・深１．５・基・初計</t>
  </si>
  <si>
    <t>AK24</t>
  </si>
  <si>
    <t>身体夜０．５・深１．５・基・２人・初計</t>
  </si>
  <si>
    <t>身体夜０．５・深２．０</t>
  </si>
  <si>
    <t>(四)深夜 １時間３０分以上 ２時間未満</t>
  </si>
  <si>
    <t>身体夜０．５・深２．０・２人</t>
  </si>
  <si>
    <t>身体夜０．５・深２．０・基</t>
  </si>
  <si>
    <t>身体夜０．５・深２．０・基・２人</t>
  </si>
  <si>
    <t>AK41</t>
  </si>
  <si>
    <t>身体夜０．５・深２．０・初計</t>
  </si>
  <si>
    <t>AK42</t>
  </si>
  <si>
    <t>身体夜０．５・深２．０・２人・初計</t>
  </si>
  <si>
    <t>AK43</t>
  </si>
  <si>
    <t>身体夜０．５・深２．０・基・初計</t>
  </si>
  <si>
    <t>AK44</t>
  </si>
  <si>
    <t>身体夜０．５・深２．０・基・２人・初計</t>
  </si>
  <si>
    <t>身体夜０．５・深２．５</t>
  </si>
  <si>
    <t>(五)深夜 ２時間以上 ２時間３０分未満</t>
  </si>
  <si>
    <t>身体夜０．５・深２．５・２人</t>
  </si>
  <si>
    <t>身体夜０．５・深２．５・基</t>
  </si>
  <si>
    <t>身体夜０．５・深２．５・基・２人</t>
  </si>
  <si>
    <t>AK61</t>
  </si>
  <si>
    <t>身体夜０．５・深２．５・初計</t>
  </si>
  <si>
    <t>AK62</t>
  </si>
  <si>
    <t>身体夜０．５・深２．５・２人・初計</t>
  </si>
  <si>
    <t>AK63</t>
  </si>
  <si>
    <t>身体夜０．５・深２．５・基・初計</t>
  </si>
  <si>
    <t>AK64</t>
  </si>
  <si>
    <t>身体夜０．５・深２．５・基・２人・初計</t>
  </si>
  <si>
    <t>身体夜１．０・深０．５</t>
  </si>
  <si>
    <t>身体夜１．０・深０．５・２人</t>
  </si>
  <si>
    <t>身体夜１．０・深０．５・基</t>
  </si>
  <si>
    <t>身体夜１．０・深０．５・基・２人</t>
  </si>
  <si>
    <t>AK81</t>
  </si>
  <si>
    <t>身体夜１．０・深０．５・初計</t>
  </si>
  <si>
    <t>AK82</t>
  </si>
  <si>
    <t>身体夜１．０・深０．５・２人・初計</t>
  </si>
  <si>
    <t>AK83</t>
  </si>
  <si>
    <t>身体夜１．０・深０．５・基・初計</t>
  </si>
  <si>
    <t>AK84</t>
  </si>
  <si>
    <t>身体夜１．０・深０．５・基・２人・初計</t>
  </si>
  <si>
    <t>身体夜１．０・深１．０</t>
  </si>
  <si>
    <t>(二)深夜 ３０分以上 １時間未満</t>
  </si>
  <si>
    <t>身体夜１．０・深１．０・２人</t>
  </si>
  <si>
    <t>身体夜１．０・深１．０・基</t>
  </si>
  <si>
    <t>身体夜１．０・深１．０・基・２人</t>
  </si>
  <si>
    <t>AL01</t>
  </si>
  <si>
    <t>身体夜１．０・深１．０・初計</t>
  </si>
  <si>
    <t>AL02</t>
  </si>
  <si>
    <t>身体夜１．０・深１．０・２人・初計</t>
  </si>
  <si>
    <t>AL03</t>
  </si>
  <si>
    <t>身体夜１．０・深１．０・基・初計</t>
  </si>
  <si>
    <t>AL04</t>
  </si>
  <si>
    <t>身体夜１．０・深１．０・基・２人・初計</t>
  </si>
  <si>
    <t>身体夜１．０・深１．５</t>
  </si>
  <si>
    <t>身体夜１．０・深１．５・２人</t>
  </si>
  <si>
    <t>身体夜１．０・深１．５・基</t>
  </si>
  <si>
    <t>身体夜１．０・深１．５・基・２人</t>
  </si>
  <si>
    <t>AL21</t>
  </si>
  <si>
    <t>身体夜１．０・深１．５・初計</t>
  </si>
  <si>
    <t>AL22</t>
  </si>
  <si>
    <t>身体夜１．０・深１．５・２人・初計</t>
  </si>
  <si>
    <t>AL23</t>
  </si>
  <si>
    <t>身体夜１．０・深１．５・基・初計</t>
  </si>
  <si>
    <t>AL24</t>
  </si>
  <si>
    <t>身体夜１．０・深１．５・基・２人・初計</t>
  </si>
  <si>
    <t>身体夜１．０・深２．０</t>
  </si>
  <si>
    <t>身体夜１．０・深２．０・２人</t>
  </si>
  <si>
    <t>身体夜１．０・深２．０・基</t>
  </si>
  <si>
    <t>身体夜１．０・深２．０・基・２人</t>
  </si>
  <si>
    <t>AL41</t>
  </si>
  <si>
    <t>身体夜１．０・深２．０・初計</t>
  </si>
  <si>
    <t>AL42</t>
  </si>
  <si>
    <t>身体夜１．０・深２．０・２人・初計</t>
  </si>
  <si>
    <t>AL43</t>
  </si>
  <si>
    <t>身体夜１．０・深２．０・基・初計</t>
  </si>
  <si>
    <t>AL44</t>
  </si>
  <si>
    <t>身体夜１．０・深２．０・基・２人・初計</t>
  </si>
  <si>
    <t>身体夜１．５・深０．５</t>
  </si>
  <si>
    <t>(3)夜間 １時間以上 １時間３０分未満</t>
  </si>
  <si>
    <t>身体夜１．５・深０．５・２人</t>
  </si>
  <si>
    <t>身体夜１．５・深０．５・基</t>
  </si>
  <si>
    <t>身体夜１．５・深０．５・基・２人</t>
  </si>
  <si>
    <t>AL61</t>
  </si>
  <si>
    <t>身体夜１．５・深０．５・初計</t>
  </si>
  <si>
    <t>AL62</t>
  </si>
  <si>
    <t>身体夜１．５・深０．５・２人・初計</t>
  </si>
  <si>
    <t>AL63</t>
  </si>
  <si>
    <t>身体夜１．５・深０．５・基・初計</t>
  </si>
  <si>
    <t>AL64</t>
  </si>
  <si>
    <t>身体夜１．５・深０．５・基・２人・初計</t>
  </si>
  <si>
    <t>身体夜１．５・深１．０</t>
  </si>
  <si>
    <t>身体夜１．５・深１．０・２人</t>
  </si>
  <si>
    <t>身体夜１．５・深１．０・基</t>
  </si>
  <si>
    <t>身体夜１．５・深１．０・基・２人</t>
  </si>
  <si>
    <t>AL81</t>
  </si>
  <si>
    <t>身体夜１．５・深１．０・初計</t>
  </si>
  <si>
    <t>AL82</t>
  </si>
  <si>
    <t>身体夜１．５・深１．０・２人・初計</t>
  </si>
  <si>
    <t>AL83</t>
  </si>
  <si>
    <t>身体夜１．５・深１．０・基・初計</t>
  </si>
  <si>
    <t>AL84</t>
  </si>
  <si>
    <t>身体夜１．５・深１．０・基・２人・初計</t>
  </si>
  <si>
    <t>身体夜１．５・深１．５</t>
  </si>
  <si>
    <t>身体夜１．５・深１．５・２人</t>
  </si>
  <si>
    <t>身体夜１．５・深１．５・基</t>
  </si>
  <si>
    <t>身体夜１．５・深１．５・基・２人</t>
  </si>
  <si>
    <t>AM01</t>
  </si>
  <si>
    <t>身体夜１．５・深１．５・初計</t>
  </si>
  <si>
    <t>AM02</t>
  </si>
  <si>
    <t>身体夜１．５・深１．５・２人・初計</t>
  </si>
  <si>
    <t>AM03</t>
  </si>
  <si>
    <t>身体夜１．５・深１．５・基・初計</t>
  </si>
  <si>
    <t>AM04</t>
  </si>
  <si>
    <t>身体夜１．５・深１．５・基・２人・初計</t>
  </si>
  <si>
    <t>身体夜２．０・深０．５</t>
  </si>
  <si>
    <t>身体夜２．０・深０．５・２人</t>
  </si>
  <si>
    <t>身体夜２．０・深０．５・基</t>
  </si>
  <si>
    <t>身体夜２．０・深０．５・基・２人</t>
  </si>
  <si>
    <t>AM21</t>
  </si>
  <si>
    <t>身体夜２．０・深０．５・初計</t>
  </si>
  <si>
    <t>AM22</t>
  </si>
  <si>
    <t>身体夜２．０・深０．５・２人・初計</t>
  </si>
  <si>
    <t>AM23</t>
  </si>
  <si>
    <t>身体夜２．０・深０．５・基・初計</t>
  </si>
  <si>
    <t>AM24</t>
  </si>
  <si>
    <t>身体夜２．０・深０．５・基・２人・初計</t>
  </si>
  <si>
    <t>身体夜２．０・深１．０</t>
  </si>
  <si>
    <t>身体夜２．０・深１．０・２人</t>
  </si>
  <si>
    <t>身体夜２．０・深１．０・基</t>
  </si>
  <si>
    <t>身体夜２．０・深１．０・基・２人</t>
  </si>
  <si>
    <t>AM41</t>
  </si>
  <si>
    <t>身体夜２．０・深１．０・初計</t>
  </si>
  <si>
    <t>AM42</t>
  </si>
  <si>
    <t>身体夜２．０・深１．０・２人・初計</t>
  </si>
  <si>
    <t>AM43</t>
  </si>
  <si>
    <t>身体夜２．０・深１．０・基・初計</t>
  </si>
  <si>
    <t>AM44</t>
  </si>
  <si>
    <t>身体夜２．０・深１．０・基・２人・初計</t>
  </si>
  <si>
    <t>身体夜２．５・深０．５</t>
  </si>
  <si>
    <t>身体夜２．５・深０．５・２人</t>
  </si>
  <si>
    <t>身体夜２．５・深０．５・基</t>
  </si>
  <si>
    <t>身体夜２．５・深０．５・基・２人</t>
  </si>
  <si>
    <t>AM61</t>
  </si>
  <si>
    <t>身体夜２．５・深０．５・初計</t>
  </si>
  <si>
    <t>AM62</t>
  </si>
  <si>
    <t>身体夜２．５・深０．５・２人・初計</t>
  </si>
  <si>
    <t>AM63</t>
  </si>
  <si>
    <t>身体夜２．５・深０．５・基・初計</t>
  </si>
  <si>
    <t>AM64</t>
  </si>
  <si>
    <t>身体夜２．５・深０．５・基・２人・初計</t>
  </si>
  <si>
    <t>イ　居宅における身体介護　（日を跨る場合　２日目深夜増分）</t>
  </si>
  <si>
    <t>身体日跨増深０．５・深０．５</t>
  </si>
  <si>
    <t>１日目</t>
    <phoneticPr fontId="1"/>
  </si>
  <si>
    <t>２日目</t>
    <phoneticPr fontId="1"/>
  </si>
  <si>
    <t>身体日跨増深０．５・深０．５・２人</t>
  </si>
  <si>
    <t>身体日跨増深０．５・深０．５・基</t>
  </si>
  <si>
    <t>身体日跨増深０．５・深０．５・基・２人</t>
  </si>
  <si>
    <t>AM81</t>
  </si>
  <si>
    <t>身体日跨増深０．５・深０．５・初計</t>
  </si>
  <si>
    <t>AM82</t>
  </si>
  <si>
    <t>身体日跨増深０．５・深０．５・２人・初計</t>
  </si>
  <si>
    <t>AM83</t>
  </si>
  <si>
    <t>身体日跨増深０．５・深０．５・基・初計</t>
  </si>
  <si>
    <t>AM84</t>
  </si>
  <si>
    <t>身体日跨増深０．５・深０．５・基・２人・初計</t>
  </si>
  <si>
    <t>身体日跨増深０．５・深１．０</t>
  </si>
  <si>
    <t>身体日跨増深０．５・深１．０・２人</t>
  </si>
  <si>
    <t>身体日跨増深０．５・深１．０・基</t>
  </si>
  <si>
    <t>身体日跨増深０．５・深１．０・基・２人</t>
  </si>
  <si>
    <t>AN01</t>
  </si>
  <si>
    <t>身体日跨増深０．５・深１．０・初計</t>
  </si>
  <si>
    <t>AN02</t>
  </si>
  <si>
    <t>身体日跨増深０．５・深１．０・２人・初計</t>
  </si>
  <si>
    <t>AN03</t>
  </si>
  <si>
    <t>身体日跨増深０．５・深１．０・基・初計</t>
  </si>
  <si>
    <t>AN04</t>
  </si>
  <si>
    <t>身体日跨増深０．５・深１．０・基・２人・初計</t>
  </si>
  <si>
    <t>身体日跨増深０．５・深１．５</t>
  </si>
  <si>
    <t>身体日跨増深０．５・深１．５・２人</t>
  </si>
  <si>
    <t>身体日跨増深０．５・深１．５・基</t>
  </si>
  <si>
    <t>身体日跨増深０．５・深１．５・基・２人</t>
  </si>
  <si>
    <t>AN21</t>
  </si>
  <si>
    <t>身体日跨増深０．５・深１．５・初計</t>
  </si>
  <si>
    <t>AN22</t>
  </si>
  <si>
    <t>身体日跨増深０．５・深１．５・２人・初計</t>
  </si>
  <si>
    <t>AN23</t>
  </si>
  <si>
    <t>身体日跨増深０．５・深１．５・基・初計</t>
  </si>
  <si>
    <t>AN24</t>
  </si>
  <si>
    <t>身体日跨増深０．５・深１．５・基・２人・初計</t>
  </si>
  <si>
    <t>身体日跨増深０．５・深２．０</t>
  </si>
  <si>
    <t>身体日跨増深０．５・深２．０・２人</t>
  </si>
  <si>
    <t>身体日跨増深０．５・深２．０・基</t>
  </si>
  <si>
    <t>身体日跨増深０．５・深２．０・基・２人</t>
  </si>
  <si>
    <t>AN41</t>
  </si>
  <si>
    <t>身体日跨増深０．５・深２．０・初計</t>
  </si>
  <si>
    <t>AN42</t>
  </si>
  <si>
    <t>身体日跨増深０．５・深２．０・２人・初計</t>
  </si>
  <si>
    <t>AN43</t>
  </si>
  <si>
    <t>身体日跨増深０．５・深２．０・基・初計</t>
  </si>
  <si>
    <t>AN44</t>
  </si>
  <si>
    <t>身体日跨増深０．５・深２．０・基・２人・初計</t>
  </si>
  <si>
    <t>身体日跨増深０．５・深２．５</t>
  </si>
  <si>
    <t>身体日跨増深０．５・深２．５・２人</t>
  </si>
  <si>
    <t>身体日跨増深０．５・深２．５・基</t>
  </si>
  <si>
    <t>身体日跨増深０．５・深２．５・基・２人</t>
  </si>
  <si>
    <t>AN61</t>
  </si>
  <si>
    <t>身体日跨増深０．５・深２．５・初計</t>
  </si>
  <si>
    <t>AN62</t>
  </si>
  <si>
    <t>身体日跨増深０．５・深２．５・２人・初計</t>
  </si>
  <si>
    <t>AN63</t>
  </si>
  <si>
    <t>身体日跨増深０．５・深２．５・基・初計</t>
  </si>
  <si>
    <t>AN64</t>
  </si>
  <si>
    <t>身体日跨増深０．５・深２．５・基・２人・初計</t>
  </si>
  <si>
    <t>身体日跨増深１．０・深０．５</t>
  </si>
  <si>
    <t>身体日跨増深１．０・深０．５・２人</t>
  </si>
  <si>
    <t>身体日跨増深１．０・深０．５・基</t>
  </si>
  <si>
    <t>身体日跨増深１．０・深０．５・基・２人</t>
  </si>
  <si>
    <t>AN81</t>
  </si>
  <si>
    <t>身体日跨増深１．０・深０．５・初計</t>
  </si>
  <si>
    <t>AN82</t>
  </si>
  <si>
    <t>身体日跨増深１．０・深０．５・２人・初計</t>
  </si>
  <si>
    <t>AN83</t>
  </si>
  <si>
    <t>身体日跨増深１．０・深０．５・基・初計</t>
  </si>
  <si>
    <t>AN84</t>
  </si>
  <si>
    <t>身体日跨増深１．０・深０．５・基・２人・初計</t>
  </si>
  <si>
    <t>身体日跨増深１．０・深１．０</t>
  </si>
  <si>
    <t>身体日跨増深１．０・深１．０・２人</t>
  </si>
  <si>
    <t>身体日跨増深１．０・深１．０・基</t>
  </si>
  <si>
    <t>身体日跨増深１．０・深１．０・基・２人</t>
  </si>
  <si>
    <t>AP01</t>
  </si>
  <si>
    <t>身体日跨増深１．０・深１．０・初計</t>
  </si>
  <si>
    <t>AP02</t>
  </si>
  <si>
    <t>身体日跨増深１．０・深１．０・２人・初計</t>
  </si>
  <si>
    <t>AP03</t>
  </si>
  <si>
    <t>身体日跨増深１．０・深１．０・基・初計</t>
  </si>
  <si>
    <t>AP04</t>
  </si>
  <si>
    <t>身体日跨増深１．０・深１．０・基・２人・初計</t>
  </si>
  <si>
    <t>身体日跨増深１．０・深１．５</t>
  </si>
  <si>
    <t>身体日跨増深１．０・深１．５・２人</t>
  </si>
  <si>
    <t>身体日跨増深１．０・深１．５・基</t>
  </si>
  <si>
    <t>身体日跨増深１．０・深１．５・基・２人</t>
  </si>
  <si>
    <t>AP21</t>
  </si>
  <si>
    <t>身体日跨増深１．０・深１．５・初計</t>
  </si>
  <si>
    <t>AP22</t>
  </si>
  <si>
    <t>身体日跨増深１．０・深１．５・２人・初計</t>
  </si>
  <si>
    <t>AP23</t>
  </si>
  <si>
    <t>身体日跨増深１．０・深１．５・基・初計</t>
  </si>
  <si>
    <t>AP24</t>
  </si>
  <si>
    <t>身体日跨増深１．０・深１．５・基・２人・初計</t>
  </si>
  <si>
    <t>身体日跨増深１．０・深２．０</t>
  </si>
  <si>
    <t>身体日跨増深１．０・深２．０・２人</t>
  </si>
  <si>
    <t>身体日跨増深１．０・深２．０・基</t>
  </si>
  <si>
    <t>身体日跨増深１．０・深２．０・基・２人</t>
  </si>
  <si>
    <t>AP41</t>
  </si>
  <si>
    <t>身体日跨増深１．０・深２．０・初計</t>
  </si>
  <si>
    <t>AP42</t>
  </si>
  <si>
    <t>身体日跨増深１．０・深２．０・２人・初計</t>
  </si>
  <si>
    <t>AP43</t>
  </si>
  <si>
    <t>身体日跨増深１．０・深２．０・基・初計</t>
  </si>
  <si>
    <t>AP44</t>
  </si>
  <si>
    <t>身体日跨増深１．０・深２．０・基・２人・初計</t>
  </si>
  <si>
    <t>身体日跨増深１．５・深０．５</t>
  </si>
  <si>
    <t>身体日跨増深１．５・深０．５・２人</t>
  </si>
  <si>
    <t>身体日跨増深１．５・深０．５・基</t>
  </si>
  <si>
    <t>身体日跨増深１．５・深０．５・基・２人</t>
  </si>
  <si>
    <t>AP61</t>
  </si>
  <si>
    <t>身体日跨増深１．５・深０．５・初計</t>
  </si>
  <si>
    <t>AP62</t>
  </si>
  <si>
    <t>身体日跨増深１．５・深０．５・２人・初計</t>
  </si>
  <si>
    <t>AP63</t>
  </si>
  <si>
    <t>身体日跨増深１．５・深０．５・基・初計</t>
  </si>
  <si>
    <t>AP64</t>
  </si>
  <si>
    <t>身体日跨増深１．５・深０．５・基・２人・初計</t>
  </si>
  <si>
    <t>身体日跨増深１．５・深１．０</t>
  </si>
  <si>
    <t>身体日跨増深１．５・深１．０・２人</t>
  </si>
  <si>
    <t>身体日跨増深１．５・深１．０・基</t>
  </si>
  <si>
    <t>身体日跨増深１．５・深１．０・基・２人</t>
  </si>
  <si>
    <t>AP81</t>
  </si>
  <si>
    <t>身体日跨増深１．５・深１．０・初計</t>
  </si>
  <si>
    <t>AP82</t>
  </si>
  <si>
    <t>身体日跨増深１．５・深１．０・２人・初計</t>
  </si>
  <si>
    <t>AP83</t>
  </si>
  <si>
    <t>身体日跨増深１．５・深１．０・基・初計</t>
  </si>
  <si>
    <t>AP84</t>
  </si>
  <si>
    <t>身体日跨増深１．５・深１．０・基・２人・初計</t>
  </si>
  <si>
    <t>身体日跨増深１．５・深１．５</t>
  </si>
  <si>
    <t>身体日跨増深１．５・深１．５・２人</t>
  </si>
  <si>
    <t>身体日跨増深１．５・深１．５・基</t>
  </si>
  <si>
    <t>身体日跨増深１．５・深１．５・基・２人</t>
  </si>
  <si>
    <t>AR01</t>
  </si>
  <si>
    <t>身体日跨増深１．５・深１．５・初計</t>
  </si>
  <si>
    <t>AR02</t>
  </si>
  <si>
    <t>身体日跨増深１．５・深１．５・２人・初計</t>
  </si>
  <si>
    <t>AR03</t>
  </si>
  <si>
    <t>身体日跨増深１．５・深１．５・基・初計</t>
  </si>
  <si>
    <t>AR04</t>
  </si>
  <si>
    <t>身体日跨増深１．５・深１．５・基・２人・初計</t>
  </si>
  <si>
    <t>身体日跨増深２．０・深０．５</t>
  </si>
  <si>
    <t>身体日跨増深２．０・深０．５・２人</t>
  </si>
  <si>
    <t>身体日跨増深２．０・深０．５・基</t>
  </si>
  <si>
    <t>身体日跨増深２．０・深０．５・基・２人</t>
  </si>
  <si>
    <t>AR21</t>
  </si>
  <si>
    <t>身体日跨増深２．０・深０．５・初計</t>
  </si>
  <si>
    <t>AR22</t>
  </si>
  <si>
    <t>身体日跨増深２．０・深０．５・２人・初計</t>
  </si>
  <si>
    <t>AR23</t>
  </si>
  <si>
    <t>身体日跨増深２．０・深０．５・基・初計</t>
  </si>
  <si>
    <t>AR24</t>
  </si>
  <si>
    <t>身体日跨増深２．０・深０．５・基・２人・初計</t>
  </si>
  <si>
    <t>身体日跨増深２．０・深１．０</t>
  </si>
  <si>
    <t>身体日跨増深２．０・深１．０・２人</t>
  </si>
  <si>
    <t>身体日跨増深２．０・深１．０・基</t>
  </si>
  <si>
    <t>身体日跨増深２．０・深１．０・基・２人</t>
  </si>
  <si>
    <t>AR41</t>
  </si>
  <si>
    <t>身体日跨増深２．０・深１．０・初計</t>
  </si>
  <si>
    <t>AR42</t>
  </si>
  <si>
    <t>身体日跨増深２．０・深１．０・２人・初計</t>
  </si>
  <si>
    <t>AR43</t>
  </si>
  <si>
    <t>身体日跨増深２．０・深１．０・基・初計</t>
  </si>
  <si>
    <t>AR44</t>
  </si>
  <si>
    <t>身体日跨増深２．０・深１．０・基・２人・初計</t>
  </si>
  <si>
    <t>身体日跨増深２．５・深０．５</t>
  </si>
  <si>
    <t>身体日跨増深２．５・深０．５・２人</t>
  </si>
  <si>
    <t>身体日跨増深２．５・深０．５・基</t>
  </si>
  <si>
    <t>身体日跨増深２．５・深０．５・基・２人</t>
  </si>
  <si>
    <t>AR61</t>
  </si>
  <si>
    <t>身体日跨増深２．５・深０．５・初計</t>
  </si>
  <si>
    <t>AR62</t>
  </si>
  <si>
    <t>身体日跨増深２．５・深０．５・２人・初計</t>
  </si>
  <si>
    <t>AR63</t>
  </si>
  <si>
    <t>身体日跨増深２．５・深０．５・基・初計</t>
  </si>
  <si>
    <t>AR64</t>
  </si>
  <si>
    <t>身体日跨増深２．５・深０．５・基・２人・初計</t>
  </si>
  <si>
    <t>イ　居宅における身体介護　（深夜＋早朝＋日中）　　※サービス間隔が２時間未満の場合</t>
  </si>
  <si>
    <t>　</t>
    <phoneticPr fontId="1"/>
  </si>
  <si>
    <t>身体深０．５・早１．５・日０．５</t>
  </si>
  <si>
    <t>(一)早朝 １時間以上 １時間３０分未満</t>
    <phoneticPr fontId="1"/>
  </si>
  <si>
    <t>身体深０．５・早１．５・日０．５・２人</t>
  </si>
  <si>
    <t>身体深０．５・早１．５・日０．５・基</t>
  </si>
  <si>
    <t>身体深０．５・早１．５・日０．５・基・２人</t>
  </si>
  <si>
    <t>AR81</t>
  </si>
  <si>
    <t>身体深０．５・早１．５・日０．５・初計</t>
  </si>
  <si>
    <t>AR82</t>
  </si>
  <si>
    <t>身体深０．５・早１．５・日０．５・２人・初計</t>
  </si>
  <si>
    <t>AR83</t>
  </si>
  <si>
    <t>身体深０．５・早１．５・日０．５・基・初計</t>
  </si>
  <si>
    <t>AR84</t>
  </si>
  <si>
    <t>身体深０．５・早１．５・日０．５・基・２人・初計</t>
  </si>
  <si>
    <t>身体深０．５・早１．５・日１．０</t>
  </si>
  <si>
    <t>身体深０．５・早１．５・日１．０・２人</t>
  </si>
  <si>
    <t>身体深０．５・早１．５・日１．０・基</t>
  </si>
  <si>
    <t>身体深０．５・早１．５・日１．０・基・２人</t>
  </si>
  <si>
    <t>AS01</t>
  </si>
  <si>
    <t>身体深０．５・早１．５・日１．０・初計</t>
  </si>
  <si>
    <t>AS02</t>
  </si>
  <si>
    <t>身体深０．５・早１．５・日１．０・２人・初計</t>
  </si>
  <si>
    <t>AS03</t>
  </si>
  <si>
    <t>身体深０．５・早１．５・日１．０・基・初計</t>
  </si>
  <si>
    <t>AS04</t>
  </si>
  <si>
    <t>身体深０．５・早１．５・日１．０・基・２人・初計</t>
  </si>
  <si>
    <t>身体深１．０・早１．５・日０．５</t>
  </si>
  <si>
    <t>身体深１．０・早１．５・日０．５・２人</t>
  </si>
  <si>
    <t>身体深１．０・早１．５・日０．５・基</t>
  </si>
  <si>
    <t>身体深１．０・早１．５・日０．５・基・２人</t>
  </si>
  <si>
    <t>AS21</t>
  </si>
  <si>
    <t>身体深１．０・早１．５・日０．５・初計</t>
  </si>
  <si>
    <t>AS22</t>
  </si>
  <si>
    <t>身体深１．０・早１．５・日０．５・２人・初計</t>
  </si>
  <si>
    <t>AS23</t>
  </si>
  <si>
    <t>身体深１．０・早１．５・日０．５・基・初計</t>
  </si>
  <si>
    <t>AS24</t>
  </si>
  <si>
    <t>身体深１．０・早１．５・日０．５・基・２人・初計</t>
  </si>
  <si>
    <t>身体深０．５・早１．０・日０．５</t>
  </si>
  <si>
    <t>(3)深夜 ３０分未満</t>
    <phoneticPr fontId="1"/>
  </si>
  <si>
    <t>(一)早朝 ３０分以上 １時間未満</t>
    <phoneticPr fontId="1"/>
  </si>
  <si>
    <t>身体深０．５・早１．０・日０．５・２人</t>
  </si>
  <si>
    <t>身体深０．５・早１．０・日０．５・基</t>
  </si>
  <si>
    <t>身体深０．５・早１．０・日０．５・基・２人</t>
  </si>
  <si>
    <t>AS41</t>
  </si>
  <si>
    <t>身体深０．５・早１．０・日０．５・初計</t>
  </si>
  <si>
    <t>AS42</t>
  </si>
  <si>
    <t>身体深０．５・早１．０・日０．５・２人・初計</t>
  </si>
  <si>
    <t>AS43</t>
  </si>
  <si>
    <t>身体深０．５・早１．０・日０．５・基・初計</t>
  </si>
  <si>
    <t>AS44</t>
  </si>
  <si>
    <t>身体深０．５・早１．０・日０．５・基・２人・初計</t>
  </si>
  <si>
    <t>身体深０．５・早１．０・日１．０</t>
  </si>
  <si>
    <t>身体深０．５・早１．０・日１．０・２人</t>
  </si>
  <si>
    <t>身体深０．５・早１．０・日１．０・基</t>
  </si>
  <si>
    <t>身体深０．５・早１．０・日１．０・基・２人</t>
  </si>
  <si>
    <t>AS61</t>
  </si>
  <si>
    <t>身体深０．５・早１．０・日１．０・初計</t>
  </si>
  <si>
    <t>AS62</t>
  </si>
  <si>
    <t>身体深０．５・早１．０・日１．０・２人・初計</t>
  </si>
  <si>
    <t>AS63</t>
  </si>
  <si>
    <t>身体深０．５・早１．０・日１．０・基・初計</t>
  </si>
  <si>
    <t>AS64</t>
  </si>
  <si>
    <t>身体深０．５・早１．０・日１．０・基・２人・初計</t>
  </si>
  <si>
    <t>身体深０．５・早１．０・日１．５</t>
  </si>
  <si>
    <t>身体深０．５・早１．０・日１．５・２人</t>
  </si>
  <si>
    <t>身体深０．５・早１．０・日１．５・基</t>
  </si>
  <si>
    <t>身体深０．５・早１．０・日１．５・基・２人</t>
  </si>
  <si>
    <t>AS81</t>
  </si>
  <si>
    <t>身体深０．５・早１．０・日１．５・初計</t>
  </si>
  <si>
    <t>AS82</t>
  </si>
  <si>
    <t>身体深０．５・早１．０・日１．５・２人・初計</t>
  </si>
  <si>
    <t>AS83</t>
  </si>
  <si>
    <t>身体深０．５・早１．０・日１．５・基・初計</t>
  </si>
  <si>
    <t>AS84</t>
  </si>
  <si>
    <t>身体深０．５・早１．０・日１．５・基・２人・初計</t>
  </si>
  <si>
    <t>身体深１．０・早１．０・日０．５</t>
  </si>
  <si>
    <t>(4)深夜 ３０分以上 １時間未満</t>
  </si>
  <si>
    <t>身体深１．０・早１．０・日０．５・２人</t>
  </si>
  <si>
    <t>身体深１．０・早１．０・日０．５・基</t>
  </si>
  <si>
    <t>身体深１．０・早１．０・日０．５・基・２人</t>
  </si>
  <si>
    <t>AT01</t>
  </si>
  <si>
    <t>身体深１．０・早１．０・日０．５・初計</t>
  </si>
  <si>
    <t>AT02</t>
  </si>
  <si>
    <t>身体深１．０・早１．０・日０．５・２人・初計</t>
  </si>
  <si>
    <t>AT03</t>
  </si>
  <si>
    <t>身体深１．０・早１．０・日０．５・基・初計</t>
  </si>
  <si>
    <t>AT04</t>
  </si>
  <si>
    <t>身体深１．０・早１．０・日０．５・基・２人・初計</t>
  </si>
  <si>
    <t>身体深１．０・早１．０・日１．０</t>
  </si>
  <si>
    <t>身体深１．０・早１．０・日１．０・２人</t>
  </si>
  <si>
    <t>身体深１．０・早１．０・日１．０・基</t>
  </si>
  <si>
    <t>身体深１．０・早１．０・日１．０・基・２人</t>
  </si>
  <si>
    <t>AT21</t>
  </si>
  <si>
    <t>身体深１．０・早１．０・日１．０・初計</t>
  </si>
  <si>
    <t>AT22</t>
  </si>
  <si>
    <t>身体深１．０・早１．０・日１．０・２人・初計</t>
  </si>
  <si>
    <t>AT23</t>
  </si>
  <si>
    <t>身体深１．０・早１．０・日１．０・基・初計</t>
  </si>
  <si>
    <t>AT24</t>
  </si>
  <si>
    <t>身体深１．０・早１．０・日１．０・基・２人・初計</t>
  </si>
  <si>
    <t>身体深１．５・早１．０・日０．５</t>
  </si>
  <si>
    <t>(5)深夜 １時間以上 １時間３０分未満</t>
  </si>
  <si>
    <t>身体深１．５・早１．０・日０．５・２人</t>
  </si>
  <si>
    <t>身体深１．５・早１．０・日０．５・基</t>
  </si>
  <si>
    <t>身体深１．５・早１．０・日０．５・基・２人</t>
  </si>
  <si>
    <t>AT41</t>
  </si>
  <si>
    <t>身体深１．５・早１．０・日０．５・初計</t>
  </si>
  <si>
    <t>AT42</t>
  </si>
  <si>
    <t>身体深１．５・早１．０・日０．５・２人・初計</t>
  </si>
  <si>
    <t>AT43</t>
  </si>
  <si>
    <t>身体深１．５・早１．０・日０．５・基・初計</t>
  </si>
  <si>
    <t>AT44</t>
  </si>
  <si>
    <t>身体深１．５・早１．０・日０．５・基・２人・初計</t>
  </si>
  <si>
    <t>身体深０．５・早０．５・日０．５</t>
  </si>
  <si>
    <t>(6)深夜 ３０分未満</t>
    <phoneticPr fontId="1"/>
  </si>
  <si>
    <t>身体深０．５・早０．５・日０．５・２人</t>
  </si>
  <si>
    <t>身体深０．５・早０．５・日０．５・基</t>
  </si>
  <si>
    <t>身体深０．５・早０．５・日０．５・基・２人</t>
  </si>
  <si>
    <t>AT61</t>
  </si>
  <si>
    <t>身体深０．５・早０．５・日０．５・初計</t>
  </si>
  <si>
    <t>AT62</t>
  </si>
  <si>
    <t>身体深０．５・早０．５・日０．５・２人・初計</t>
  </si>
  <si>
    <t>AT63</t>
  </si>
  <si>
    <t>身体深０．５・早０．５・日０．５・基・初計</t>
  </si>
  <si>
    <t>AT64</t>
  </si>
  <si>
    <t>身体深０．５・早０．５・日０．５・基・２人・初計</t>
  </si>
  <si>
    <t>身体深０．５・早０．５・日１．０</t>
  </si>
  <si>
    <t>身体深０．５・早０．５・日１．０・２人</t>
  </si>
  <si>
    <t>身体深０．５・早０．５・日１．０・基</t>
  </si>
  <si>
    <t>身体深０．５・早０．５・日１．０・基・２人</t>
  </si>
  <si>
    <t>AT81</t>
  </si>
  <si>
    <t>身体深０．５・早０．５・日１．０・初計</t>
  </si>
  <si>
    <t>AT82</t>
  </si>
  <si>
    <t>身体深０．５・早０．５・日１．０・２人・初計</t>
  </si>
  <si>
    <t>AT83</t>
  </si>
  <si>
    <t>身体深０．５・早０．５・日１．０・基・初計</t>
  </si>
  <si>
    <t>AT84</t>
  </si>
  <si>
    <t>身体深０．５・早０．５・日１．０・基・２人・初計</t>
  </si>
  <si>
    <t>身体深０．５・早０．５・日１．５</t>
  </si>
  <si>
    <t>身体深０．５・早０．５・日１．５・２人</t>
  </si>
  <si>
    <t>身体深０．５・早０．５・日１．５・基</t>
  </si>
  <si>
    <t>身体深０．５・早０．５・日１．５・基・２人</t>
  </si>
  <si>
    <t>AU01</t>
  </si>
  <si>
    <t>身体深０．５・早０．５・日１．５・初計</t>
  </si>
  <si>
    <t>AU02</t>
  </si>
  <si>
    <t>身体深０．５・早０．５・日１．５・２人・初計</t>
  </si>
  <si>
    <t>AU03</t>
  </si>
  <si>
    <t>身体深０．５・早０．５・日１．５・基・初計</t>
  </si>
  <si>
    <t>AU04</t>
  </si>
  <si>
    <t>身体深０．５・早０．５・日１．５・基・２人・初計</t>
  </si>
  <si>
    <t>身体深０．５・早０．５・日２．０</t>
  </si>
  <si>
    <t>身体深０．５・早０．５・日２．０・２人</t>
  </si>
  <si>
    <t>身体深０．５・早０．５・日２．０・基</t>
  </si>
  <si>
    <t>身体深０．５・早０．５・日２．０・基・２人</t>
  </si>
  <si>
    <t>AU21</t>
  </si>
  <si>
    <t>身体深０．５・早０．５・日２．０・初計</t>
  </si>
  <si>
    <t>AU22</t>
  </si>
  <si>
    <t>身体深０．５・早０．５・日２．０・２人・初計</t>
  </si>
  <si>
    <t>AU23</t>
  </si>
  <si>
    <t>身体深０．５・早０．５・日２．０・基・初計</t>
  </si>
  <si>
    <t>AU24</t>
  </si>
  <si>
    <t>身体深０．５・早０．５・日２．０・基・２人・初計</t>
  </si>
  <si>
    <t>身体深１．０・早０．５・日０．５</t>
  </si>
  <si>
    <t>(7)深夜 ３０分以上 １時間未満</t>
  </si>
  <si>
    <t>身体深１．０・早０．５・日０．５・２人</t>
  </si>
  <si>
    <t>身体深１．０・早０．５・日０．５・基</t>
  </si>
  <si>
    <t>身体深１．０・早０．５・日０．５・基・２人</t>
  </si>
  <si>
    <t>AU41</t>
  </si>
  <si>
    <t>身体深１．０・早０．５・日０．５・初計</t>
  </si>
  <si>
    <t>AU42</t>
  </si>
  <si>
    <t>身体深１．０・早０．５・日０．５・２人・初計</t>
  </si>
  <si>
    <t>AU43</t>
  </si>
  <si>
    <t>身体深１．０・早０．５・日０．５・基・初計</t>
  </si>
  <si>
    <t>AU44</t>
  </si>
  <si>
    <t>身体深１．０・早０．５・日０．５・基・２人・初計</t>
  </si>
  <si>
    <t>身体深１．０・早０．５・日１．０</t>
  </si>
  <si>
    <t>身体深１．０・早０．５・日１．０・２人</t>
  </si>
  <si>
    <t>身体深１．０・早０．５・日１．０・基</t>
  </si>
  <si>
    <t>身体深１．０・早０．５・日１．０・基・２人</t>
  </si>
  <si>
    <t>AU61</t>
  </si>
  <si>
    <t>身体深１．０・早０．５・日１．０・初計</t>
  </si>
  <si>
    <t>AU62</t>
  </si>
  <si>
    <t>身体深１．０・早０．５・日１．０・２人・初計</t>
  </si>
  <si>
    <t>AU63</t>
  </si>
  <si>
    <t>身体深１．０・早０．５・日１．０・基・初計</t>
  </si>
  <si>
    <t>AU64</t>
  </si>
  <si>
    <t>身体深１．０・早０．５・日１．０・基・２人・初計</t>
  </si>
  <si>
    <t>身体深１．０・早０．５・日１．５</t>
  </si>
  <si>
    <t>身体深１．０・早０．５・日１．５・２人</t>
  </si>
  <si>
    <t>身体深１．０・早０．５・日１．５・基</t>
  </si>
  <si>
    <t>身体深１．０・早０．５・日１．５・基・２人</t>
  </si>
  <si>
    <t>AU81</t>
  </si>
  <si>
    <t>身体深１．０・早０．５・日１．５・初計</t>
  </si>
  <si>
    <t>AU82</t>
  </si>
  <si>
    <t>身体深１．０・早０．５・日１．５・２人・初計</t>
  </si>
  <si>
    <t>AU83</t>
  </si>
  <si>
    <t>身体深１．０・早０．５・日１．５・基・初計</t>
  </si>
  <si>
    <t>AU84</t>
  </si>
  <si>
    <t>身体深１．０・早０．５・日１．５・基・２人・初計</t>
  </si>
  <si>
    <t>身体深１．５・早０．５・日０．５</t>
  </si>
  <si>
    <t>(8)深夜 １時間以上 １時間３０分未満</t>
  </si>
  <si>
    <t>身体深１．５・早０．５・日０．５・２人</t>
  </si>
  <si>
    <t>身体深１．５・早０．５・日０．５・基</t>
  </si>
  <si>
    <t>身体深１．５・早０．５・日０．５・基・２人</t>
  </si>
  <si>
    <t>AV01</t>
  </si>
  <si>
    <t>身体深１．５・早０．５・日０．５・初計</t>
  </si>
  <si>
    <t>AV02</t>
  </si>
  <si>
    <t>身体深１．５・早０．５・日０．５・２人・初計</t>
  </si>
  <si>
    <t>AV03</t>
  </si>
  <si>
    <t>身体深１．５・早０．５・日０．５・基・初計</t>
  </si>
  <si>
    <t>AV04</t>
  </si>
  <si>
    <t>身体深１．５・早０．５・日０．５・基・２人・初計</t>
  </si>
  <si>
    <t>身体深１．５・早０．５・日１．０</t>
  </si>
  <si>
    <t>身体深１．５・早０．５・日１．０・２人</t>
  </si>
  <si>
    <t>身体深１．５・早０．５・日１．０・基</t>
  </si>
  <si>
    <t>身体深１．５・早０．５・日１．０・基・２人</t>
  </si>
  <si>
    <t>AV21</t>
  </si>
  <si>
    <t>身体深１．５・早０．５・日１．０・初計</t>
  </si>
  <si>
    <t>AV22</t>
  </si>
  <si>
    <t>身体深１．５・早０．５・日１．０・２人・初計</t>
  </si>
  <si>
    <t>AV23</t>
  </si>
  <si>
    <t>身体深１．５・早０．５・日１．０・基・初計</t>
  </si>
  <si>
    <t>AV24</t>
  </si>
  <si>
    <t>身体深１．５・早０．５・日１．０・基・２人・初計</t>
  </si>
  <si>
    <t>身体深２．０・早０．５・日０．５</t>
  </si>
  <si>
    <t>(9)深夜 １時間３０分以上 ２時間未満</t>
  </si>
  <si>
    <t>身体深２．０・早０．５・日０．５・２人</t>
  </si>
  <si>
    <t>身体深２．０・早０．５・日０．５・基</t>
  </si>
  <si>
    <t>身体深２．０・早０．５・日０．５・基・２人</t>
  </si>
  <si>
    <t>AV41</t>
  </si>
  <si>
    <t>身体深２．０・早０．５・日０．５・初計</t>
  </si>
  <si>
    <t>AV42</t>
  </si>
  <si>
    <t>身体深２．０・早０．５・日０．５・２人・初計</t>
  </si>
  <si>
    <t>AV43</t>
  </si>
  <si>
    <t>身体深２．０・早０．５・日０．５・基・初計</t>
  </si>
  <si>
    <t>AV44</t>
  </si>
  <si>
    <t>身体深２．０・早０．５・日０．５・基・２人・初計</t>
  </si>
  <si>
    <t>イ　居宅における身体介護　（深夜＋日中）　　※サービス間隔が２時間未満の場合</t>
  </si>
  <si>
    <t>身体深０．５・日０．５</t>
  </si>
  <si>
    <t>身体深０．５・日０．５・２人</t>
  </si>
  <si>
    <t>身体深０．５・日０．５・基</t>
  </si>
  <si>
    <t>身体深０．５・日０．５・基・２人</t>
  </si>
  <si>
    <t>AV61</t>
  </si>
  <si>
    <t>身体深０．５・日０．５・初計</t>
  </si>
  <si>
    <t>AV62</t>
  </si>
  <si>
    <t>身体深０．５・日０．５・２人・初計</t>
  </si>
  <si>
    <t>AV63</t>
  </si>
  <si>
    <t>身体深０．５・日０．５・基・初計</t>
  </si>
  <si>
    <t>AV64</t>
  </si>
  <si>
    <t>身体深０．５・日０．５・基・２人・初計</t>
  </si>
  <si>
    <t>身体深０．５・日１．０</t>
  </si>
  <si>
    <t>身体深０．５・日１．０・２人</t>
  </si>
  <si>
    <t>身体深０．５・日１．０・基</t>
  </si>
  <si>
    <t>身体深０．５・日１．０・基・２人</t>
  </si>
  <si>
    <t>AV81</t>
  </si>
  <si>
    <t>身体深０．５・日１．０・初計</t>
  </si>
  <si>
    <t>AV82</t>
  </si>
  <si>
    <t>身体深０．５・日１．０・２人・初計</t>
  </si>
  <si>
    <t>AV83</t>
  </si>
  <si>
    <t>身体深０．５・日１．０・基・初計</t>
  </si>
  <si>
    <t>AV84</t>
  </si>
  <si>
    <t>身体深０．５・日１．０・基・２人・初計</t>
  </si>
  <si>
    <t>身体深０．５・日１．５</t>
  </si>
  <si>
    <t>身体深０．５・日１．５・２人</t>
  </si>
  <si>
    <t>身体深０．５・日１．５・基</t>
  </si>
  <si>
    <t>身体深０．５・日１．５・基・２人</t>
  </si>
  <si>
    <t>AW01</t>
  </si>
  <si>
    <t>身体深０．５・日１．５・初計</t>
  </si>
  <si>
    <t>AW02</t>
  </si>
  <si>
    <t>身体深０．５・日１．５・２人・初計</t>
  </si>
  <si>
    <t>AW03</t>
  </si>
  <si>
    <t>身体深０．５・日１．５・基・初計</t>
  </si>
  <si>
    <t>AW04</t>
  </si>
  <si>
    <t>身体深０．５・日１．５・基・２人・初計</t>
  </si>
  <si>
    <t>身体深０．５・日２．０</t>
  </si>
  <si>
    <t>身体深０．５・日２．０・２人</t>
  </si>
  <si>
    <t>身体深０．５・日２．０・基</t>
  </si>
  <si>
    <t>身体深０．５・日２．０・基・２人</t>
  </si>
  <si>
    <t>AW21</t>
  </si>
  <si>
    <t>身体深０．５・日２．０・初計</t>
  </si>
  <si>
    <t>AW22</t>
  </si>
  <si>
    <t>身体深０．５・日２．０・２人・初計</t>
  </si>
  <si>
    <t>AW23</t>
  </si>
  <si>
    <t>身体深０．５・日２．０・基・初計</t>
  </si>
  <si>
    <t>AW24</t>
  </si>
  <si>
    <t>身体深０．５・日２．０・基・２人・初計</t>
  </si>
  <si>
    <t>身体深０．５・日２．５</t>
  </si>
  <si>
    <t>身体深０．５・日２．５・２人</t>
  </si>
  <si>
    <t>身体深０．５・日２．５・基</t>
  </si>
  <si>
    <t>身体深０．５・日２．５・基・２人</t>
  </si>
  <si>
    <t>AW41</t>
  </si>
  <si>
    <t>身体深０．５・日２．５・初計</t>
  </si>
  <si>
    <t>AW42</t>
  </si>
  <si>
    <t>身体深０．５・日２．５・２人・初計</t>
  </si>
  <si>
    <t>AW43</t>
  </si>
  <si>
    <t>身体深０．５・日２．５・基・初計</t>
  </si>
  <si>
    <t>AW44</t>
  </si>
  <si>
    <t>身体深０．５・日２．５・基・２人・初計</t>
  </si>
  <si>
    <t>身体深１．０・日０．５</t>
  </si>
  <si>
    <t>身体深１．０・日０．５・２人</t>
  </si>
  <si>
    <t>身体深１．０・日０．５・基</t>
  </si>
  <si>
    <t>身体深１．０・日０．５・基・２人</t>
  </si>
  <si>
    <t>AW61</t>
  </si>
  <si>
    <t>身体深１．０・日０．５・初計</t>
  </si>
  <si>
    <t>AW62</t>
  </si>
  <si>
    <t>身体深１．０・日０．５・２人・初計</t>
  </si>
  <si>
    <t>AW63</t>
  </si>
  <si>
    <t>身体深１．０・日０．５・基・初計</t>
  </si>
  <si>
    <t>AW64</t>
  </si>
  <si>
    <t>身体深１．０・日０．５・基・２人・初計</t>
  </si>
  <si>
    <t>身体深１．０・日１．０</t>
  </si>
  <si>
    <t>身体深１．０・日１．０・２人</t>
  </si>
  <si>
    <t>身体深１．０・日１．０・基</t>
  </si>
  <si>
    <t>身体深１．０・日１．０・基・２人</t>
  </si>
  <si>
    <t>AW81</t>
  </si>
  <si>
    <t>身体深１．０・日１．０・初計</t>
  </si>
  <si>
    <t>AW82</t>
  </si>
  <si>
    <t>身体深１．０・日１．０・２人・初計</t>
  </si>
  <si>
    <t>AW83</t>
  </si>
  <si>
    <t>身体深１．０・日１．０・基・初計</t>
  </si>
  <si>
    <t>AW84</t>
  </si>
  <si>
    <t>身体深１．０・日１．０・基・２人・初計</t>
  </si>
  <si>
    <t>身体深１．０・日１．５</t>
  </si>
  <si>
    <t>身体深１．０・日１．５・２人</t>
  </si>
  <si>
    <t>身体深１．０・日１．５・基</t>
  </si>
  <si>
    <t>身体深１．０・日１．５・基・２人</t>
  </si>
  <si>
    <t>AX01</t>
  </si>
  <si>
    <t>身体深１．０・日１．５・初計</t>
  </si>
  <si>
    <t>AX02</t>
  </si>
  <si>
    <t>身体深１．０・日１．５・２人・初計</t>
  </si>
  <si>
    <t>AX03</t>
  </si>
  <si>
    <t>身体深１．０・日１．５・基・初計</t>
  </si>
  <si>
    <t>AX04</t>
  </si>
  <si>
    <t>身体深１．０・日１．５・基・２人・初計</t>
  </si>
  <si>
    <t>身体深１．０・日２．０</t>
  </si>
  <si>
    <t>身体深１．０・日２．０・２人</t>
  </si>
  <si>
    <t>身体深１．０・日２．０・基</t>
  </si>
  <si>
    <t>身体深１．０・日２．０・基・２人</t>
  </si>
  <si>
    <t>AX21</t>
  </si>
  <si>
    <t>身体深１．０・日２．０・初計</t>
  </si>
  <si>
    <t>AX22</t>
  </si>
  <si>
    <t>身体深１．０・日２．０・２人・初計</t>
  </si>
  <si>
    <t>AX23</t>
  </si>
  <si>
    <t>身体深１．０・日２．０・基・初計</t>
  </si>
  <si>
    <t>AX24</t>
  </si>
  <si>
    <t>身体深１．０・日２．０・基・２人・初計</t>
  </si>
  <si>
    <t>身体深１．５・日０．５</t>
  </si>
  <si>
    <t>身体深１．５・日０．５・２人</t>
  </si>
  <si>
    <t>身体深１．５・日０．５・基</t>
  </si>
  <si>
    <t>身体深１．５・日０．５・基・２人</t>
  </si>
  <si>
    <t>AX41</t>
  </si>
  <si>
    <t>身体深１．５・日０．５・初計</t>
  </si>
  <si>
    <t>AX42</t>
  </si>
  <si>
    <t>身体深１．５・日０．５・２人・初計</t>
  </si>
  <si>
    <t>AX43</t>
  </si>
  <si>
    <t>身体深１．５・日０．５・基・初計</t>
  </si>
  <si>
    <t>AX44</t>
  </si>
  <si>
    <t>身体深１．５・日０．５・基・２人・初計</t>
  </si>
  <si>
    <t>身体深１．５・日１．０</t>
  </si>
  <si>
    <t>身体深１．５・日１．０・２人</t>
  </si>
  <si>
    <t>身体深１．５・日１．０・基</t>
  </si>
  <si>
    <t>身体深１．５・日１．０・基・２人</t>
  </si>
  <si>
    <t>AX61</t>
  </si>
  <si>
    <t>身体深１．５・日１．０・初計</t>
  </si>
  <si>
    <t>AX62</t>
  </si>
  <si>
    <t>身体深１．５・日１．０・２人・初計</t>
  </si>
  <si>
    <t>AX63</t>
  </si>
  <si>
    <t>身体深１．５・日１．０・基・初計</t>
  </si>
  <si>
    <t>AX64</t>
  </si>
  <si>
    <t>身体深１．５・日１．０・基・２人・初計</t>
  </si>
  <si>
    <t>身体深１．５・日１．５</t>
  </si>
  <si>
    <t>身体深１．５・日１．５・２人</t>
  </si>
  <si>
    <t>身体深１．５・日１．５・基</t>
  </si>
  <si>
    <t>身体深１．５・日１．５・基・２人</t>
  </si>
  <si>
    <t>AX81</t>
  </si>
  <si>
    <t>身体深１．５・日１．５・初計</t>
  </si>
  <si>
    <t>AX82</t>
  </si>
  <si>
    <t>身体深１．５・日１．５・２人・初計</t>
  </si>
  <si>
    <t>AX83</t>
  </si>
  <si>
    <t>身体深１．５・日１．５・基・初計</t>
  </si>
  <si>
    <t>AX84</t>
  </si>
  <si>
    <t>身体深１．５・日１．５・基・２人・初計</t>
  </si>
  <si>
    <t>身体深２．０・日０．５</t>
  </si>
  <si>
    <t>身体深２．０・日０．５・２人</t>
  </si>
  <si>
    <t>身体深２．０・日０．５・基</t>
  </si>
  <si>
    <t>身体深２．０・日０．５・基・２人</t>
  </si>
  <si>
    <t>AY01</t>
  </si>
  <si>
    <t>身体深２．０・日０．５・初計</t>
  </si>
  <si>
    <t>AY02</t>
  </si>
  <si>
    <t>身体深２．０・日０．５・２人・初計</t>
  </si>
  <si>
    <t>AY03</t>
  </si>
  <si>
    <t>身体深２．０・日０．５・基・初計</t>
  </si>
  <si>
    <t>AY04</t>
  </si>
  <si>
    <t>身体深２．０・日０．５・基・２人・初計</t>
  </si>
  <si>
    <t>身体深２．０・日１．０</t>
  </si>
  <si>
    <t>身体深２．０・日１．０・２人</t>
  </si>
  <si>
    <t>身体深２．０・日１．０・基</t>
  </si>
  <si>
    <t>身体深２．０・日１．０・基・２人</t>
  </si>
  <si>
    <t>AY21</t>
  </si>
  <si>
    <t>身体深２．０・日１．０・初計</t>
  </si>
  <si>
    <t>AY22</t>
  </si>
  <si>
    <t>身体深２．０・日１．０・２人・初計</t>
  </si>
  <si>
    <t>AY23</t>
  </si>
  <si>
    <t>身体深２．０・日１．０・基・初計</t>
  </si>
  <si>
    <t>AY24</t>
  </si>
  <si>
    <t>身体深２．０・日１．０・基・２人・初計</t>
  </si>
  <si>
    <t>身体深２．５・日０．５</t>
  </si>
  <si>
    <t>身体深２．５・日０．５・２人</t>
  </si>
  <si>
    <t>身体深２．５・日０．５・基</t>
  </si>
  <si>
    <t>身体深２．５・日０．５・基・２人</t>
  </si>
  <si>
    <t>AY41</t>
  </si>
  <si>
    <t>身体深２．５・日０．５・初計</t>
  </si>
  <si>
    <t>AY42</t>
  </si>
  <si>
    <t>身体深２．５・日０．５・２人・初計</t>
  </si>
  <si>
    <t>AY43</t>
  </si>
  <si>
    <t>身体深２．５・日０．５・基・初計</t>
  </si>
  <si>
    <t>AY44</t>
  </si>
  <si>
    <t>身体深２．５・日０．５・基・２人・初計</t>
  </si>
  <si>
    <t>イ　居宅における身体介護　（日中＋夜間＋深夜）　　※サービス間隔が２時間未満の場合</t>
  </si>
  <si>
    <t>身体日０．５・夜２．０・深０．５</t>
  </si>
  <si>
    <t>(一)夜間 １時間３０分以上 ２時間未満</t>
    <phoneticPr fontId="1"/>
  </si>
  <si>
    <t>身体日０．５・夜２．０・深０．５・２人</t>
  </si>
  <si>
    <t>身体日０．５・夜２．０・深０．５・基</t>
  </si>
  <si>
    <t>身体日０．５・夜２．０・深０．５・基・２人</t>
  </si>
  <si>
    <t>AY61</t>
  </si>
  <si>
    <t>身体日０．５・夜２．０・深０．５・初計</t>
  </si>
  <si>
    <t>AY62</t>
  </si>
  <si>
    <t>身体日０．５・夜２．０・深０．５・２人・初計</t>
  </si>
  <si>
    <t>AY63</t>
  </si>
  <si>
    <t>身体日０．５・夜２．０・深０．５・基・初計</t>
  </si>
  <si>
    <t>AY64</t>
  </si>
  <si>
    <t>身体日０．５・夜２．０・深０．５・基・２人・初計</t>
  </si>
  <si>
    <t>身体日０．５・夜１．５・深０．５</t>
  </si>
  <si>
    <t>(二)夜間 １時間以上 １時間３０分未満</t>
    <phoneticPr fontId="1"/>
  </si>
  <si>
    <t>身体日０．５・夜１．５・深０．５・２人</t>
  </si>
  <si>
    <t>身体日０．５・夜１．５・深０．５・基</t>
  </si>
  <si>
    <t>身体日０．５・夜１．５・深０．５・基・２人</t>
  </si>
  <si>
    <t>AY81</t>
  </si>
  <si>
    <t>身体日０．５・夜１．５・深０．５・初計</t>
  </si>
  <si>
    <t>AY82</t>
  </si>
  <si>
    <t>身体日０．５・夜１．５・深０．５・２人・初計</t>
  </si>
  <si>
    <t>AY83</t>
  </si>
  <si>
    <t>身体日０．５・夜１．５・深０．５・基・初計</t>
  </si>
  <si>
    <t>AY84</t>
  </si>
  <si>
    <t>身体日０．５・夜１．５・深０．５・基・２人・初計</t>
  </si>
  <si>
    <t>身体日０．５・夜１．５・深１．０</t>
  </si>
  <si>
    <t>身体日０．５・夜１．５・深１．０・２人</t>
  </si>
  <si>
    <t>身体日０．５・夜１．５・深１．０・基</t>
  </si>
  <si>
    <t>身体日０．５・夜１．５・深１．０・基・２人</t>
  </si>
  <si>
    <t>AZ01</t>
  </si>
  <si>
    <t>身体日０．５・夜１．５・深１．０・初計</t>
  </si>
  <si>
    <t>AZ02</t>
  </si>
  <si>
    <t>身体日０．５・夜１．５・深１．０・２人・初計</t>
  </si>
  <si>
    <t>AZ03</t>
  </si>
  <si>
    <t>身体日０．５・夜１．５・深１．０・基・初計</t>
  </si>
  <si>
    <t>AZ04</t>
  </si>
  <si>
    <t>身体日０．５・夜１．５・深１．０・基・２人・初計</t>
  </si>
  <si>
    <t>身体日１．０・夜１．５・深０．５</t>
  </si>
  <si>
    <t>(一)夜間 １時間以上 １時間３０分未満</t>
    <phoneticPr fontId="1"/>
  </si>
  <si>
    <t>身体日１．０・夜１．５・深０．５・２人</t>
  </si>
  <si>
    <t>身体日１．０・夜１．５・深０．５・基</t>
  </si>
  <si>
    <t>身体日１．０・夜１．５・深０．５・基・２人</t>
  </si>
  <si>
    <t>AZ21</t>
  </si>
  <si>
    <t>身体日１．０・夜１．５・深０．５・初計</t>
  </si>
  <si>
    <t>AZ22</t>
  </si>
  <si>
    <t>身体日１．０・夜１．５・深０．５・２人・初計</t>
  </si>
  <si>
    <t>AZ23</t>
  </si>
  <si>
    <t>身体日１．０・夜１．５・深０．５・基・初計</t>
  </si>
  <si>
    <t>AZ24</t>
  </si>
  <si>
    <t>身体日１．０・夜１．５・深０．５・基・２人・初計</t>
  </si>
  <si>
    <t>身体日０．５・夜１．０・深０．５</t>
  </si>
  <si>
    <t>(3)日中 ３０分未満</t>
    <phoneticPr fontId="1"/>
  </si>
  <si>
    <t>(一)夜間 ３０分以上 １時間未満</t>
    <phoneticPr fontId="1"/>
  </si>
  <si>
    <t>身体日０．５・夜１．０・深０．５・２人</t>
  </si>
  <si>
    <t>身体日０．５・夜１．０・深０．５・基</t>
  </si>
  <si>
    <t>身体日０．５・夜１．０・深０．５・基・２人</t>
  </si>
  <si>
    <t>AZ41</t>
  </si>
  <si>
    <t>身体日０．５・夜１．０・深０．５・初計</t>
  </si>
  <si>
    <t>AZ42</t>
  </si>
  <si>
    <t>身体日０．５・夜１．０・深０．５・２人・初計</t>
  </si>
  <si>
    <t>AZ43</t>
  </si>
  <si>
    <t>身体日０．５・夜１．０・深０．５・基・初計</t>
  </si>
  <si>
    <t>AZ44</t>
  </si>
  <si>
    <t>身体日０．５・夜１．０・深０．５・基・２人・初計</t>
  </si>
  <si>
    <t>身体日０．５・夜１．０・深１．０</t>
  </si>
  <si>
    <t>身体日０．５・夜１．０・深１．０・２人</t>
  </si>
  <si>
    <t>身体日０．５・夜１．０・深１．０・基</t>
  </si>
  <si>
    <t>身体日０．５・夜１．０・深１．０・基・２人</t>
  </si>
  <si>
    <t>AZ61</t>
  </si>
  <si>
    <t>身体日０．５・夜１．０・深１．０・初計</t>
  </si>
  <si>
    <t>AZ62</t>
  </si>
  <si>
    <t>身体日０．５・夜１．０・深１．０・２人・初計</t>
  </si>
  <si>
    <t>AZ63</t>
  </si>
  <si>
    <t>身体日０．５・夜１．０・深１．０・基・初計</t>
  </si>
  <si>
    <t>AZ64</t>
  </si>
  <si>
    <t>身体日０．５・夜１．０・深１．０・基・２人・初計</t>
  </si>
  <si>
    <t>身体日０．５・夜１．０・深１．５</t>
  </si>
  <si>
    <t>身体日０．５・夜１．０・深１．５・２人</t>
  </si>
  <si>
    <t>身体日０．５・夜１．０・深１．５・基</t>
  </si>
  <si>
    <t>身体日０．５・夜１．０・深１．５・基・２人</t>
  </si>
  <si>
    <t>AZ81</t>
  </si>
  <si>
    <t>身体日０．５・夜１．０・深１．５・初計</t>
  </si>
  <si>
    <t>AZ82</t>
  </si>
  <si>
    <t>身体日０．５・夜１．０・深１．５・２人・初計</t>
  </si>
  <si>
    <t>AZ83</t>
  </si>
  <si>
    <t>身体日０．５・夜１．０・深１．５・基・初計</t>
  </si>
  <si>
    <t>AZ84</t>
  </si>
  <si>
    <t>身体日０．５・夜１．０・深１．５・基・２人・初計</t>
  </si>
  <si>
    <t>身体日１．０・夜１．０・深０．５</t>
  </si>
  <si>
    <t>(4)日中 ３０分以上 １時間未満</t>
  </si>
  <si>
    <t>身体日１．０・夜１．０・深０．５・２人</t>
  </si>
  <si>
    <t>身体日１．０・夜１．０・深０．５・基</t>
  </si>
  <si>
    <t>身体日１．０・夜１．０・深０．５・基・２人</t>
  </si>
  <si>
    <t>B001</t>
  </si>
  <si>
    <t>身体日１．０・夜１．０・深０．５・初計</t>
  </si>
  <si>
    <t>B002</t>
  </si>
  <si>
    <t>身体日１．０・夜１．０・深０．５・２人・初計</t>
  </si>
  <si>
    <t>B003</t>
  </si>
  <si>
    <t>身体日１．０・夜１．０・深０．５・基・初計</t>
  </si>
  <si>
    <t>B004</t>
  </si>
  <si>
    <t>身体日１．０・夜１．０・深０．５・基・２人・初計</t>
  </si>
  <si>
    <t>身体日１．０・夜１．０・深１．０</t>
  </si>
  <si>
    <t>身体日１．０・夜１．０・深１．０・２人</t>
  </si>
  <si>
    <t>身体日１．０・夜１．０・深１．０・基</t>
  </si>
  <si>
    <t>身体日１．０・夜１．０・深１．０・基・２人</t>
  </si>
  <si>
    <t>B021</t>
  </si>
  <si>
    <t>身体日１．０・夜１．０・深１．０・初計</t>
  </si>
  <si>
    <t>B022</t>
  </si>
  <si>
    <t>身体日１．０・夜１．０・深１．０・２人・初計</t>
  </si>
  <si>
    <t>B023</t>
  </si>
  <si>
    <t>身体日１．０・夜１．０・深１．０・基・初計</t>
  </si>
  <si>
    <t>B024</t>
  </si>
  <si>
    <t>身体日１．０・夜１．０・深１．０・基・２人・初計</t>
  </si>
  <si>
    <t>身体日１．５・夜１．０・深０．５</t>
  </si>
  <si>
    <t>(5)日中 １時間以上 １時間３０分未満</t>
  </si>
  <si>
    <t>身体日１．５・夜１．０・深０．５・２人</t>
  </si>
  <si>
    <t>身体日１．５・夜１．０・深０．５・基</t>
  </si>
  <si>
    <t>身体日１．５・夜１．０・深０．５・基・２人</t>
  </si>
  <si>
    <t>B041</t>
  </si>
  <si>
    <t>身体日１．５・夜１．０・深０．５・初計</t>
  </si>
  <si>
    <t>B042</t>
  </si>
  <si>
    <t>身体日１．５・夜１．０・深０．５・２人・初計</t>
  </si>
  <si>
    <t>B043</t>
  </si>
  <si>
    <t>身体日１．５・夜１．０・深０．５・基・初計</t>
  </si>
  <si>
    <t>B044</t>
  </si>
  <si>
    <t>身体日１．５・夜１．０・深０．５・基・２人・初計</t>
  </si>
  <si>
    <t>身体日０．５・夜０．５・深０．５</t>
  </si>
  <si>
    <t>(6)日中 ３０分未満</t>
    <phoneticPr fontId="1"/>
  </si>
  <si>
    <t>身体日０．５・夜０．５・深０．５・２人</t>
  </si>
  <si>
    <t>身体日０．５・夜０．５・深０．５・基</t>
  </si>
  <si>
    <t>身体日０．５・夜０．５・深０．５・基・２人</t>
  </si>
  <si>
    <t>B061</t>
  </si>
  <si>
    <t>身体日０．５・夜０．５・深０．５・初計</t>
  </si>
  <si>
    <t>B062</t>
  </si>
  <si>
    <t>身体日０．５・夜０．５・深０．５・２人・初計</t>
  </si>
  <si>
    <t>B063</t>
  </si>
  <si>
    <t>身体日０．５・夜０．５・深０．５・基・初計</t>
  </si>
  <si>
    <t>B064</t>
  </si>
  <si>
    <t>身体日０．５・夜０．５・深０．５・基・２人・初計</t>
  </si>
  <si>
    <t>身体日０．５・夜０．５・深１．０</t>
  </si>
  <si>
    <t>身体日０．５・夜０．５・深１．０・２人</t>
  </si>
  <si>
    <t>身体日０．５・夜０．５・深１．０・基</t>
  </si>
  <si>
    <t>身体日０．５・夜０．５・深１．０・基・２人</t>
  </si>
  <si>
    <t>B081</t>
  </si>
  <si>
    <t>身体日０．５・夜０．５・深１．０・初計</t>
  </si>
  <si>
    <t>B082</t>
  </si>
  <si>
    <t>身体日０．５・夜０．５・深１．０・２人・初計</t>
  </si>
  <si>
    <t>B083</t>
  </si>
  <si>
    <t>身体日０．５・夜０．５・深１．０・基・初計</t>
  </si>
  <si>
    <t>B084</t>
  </si>
  <si>
    <t>身体日０．５・夜０．５・深１．０・基・２人・初計</t>
  </si>
  <si>
    <t>身体日０．５・夜０．５・深１．５</t>
  </si>
  <si>
    <t>身体日０．５・夜０．５・深１．５・２人</t>
  </si>
  <si>
    <t>身体日０．５・夜０．５・深１．５・基</t>
  </si>
  <si>
    <t>身体日０．５・夜０．５・深１．５・基・２人</t>
  </si>
  <si>
    <t>B101</t>
  </si>
  <si>
    <t>身体日０．５・夜０．５・深１．５・初計</t>
  </si>
  <si>
    <t>B102</t>
  </si>
  <si>
    <t>身体日０．５・夜０．５・深１．５・２人・初計</t>
  </si>
  <si>
    <t>B103</t>
  </si>
  <si>
    <t>身体日０．５・夜０．５・深１．５・基・初計</t>
  </si>
  <si>
    <t>B104</t>
  </si>
  <si>
    <t>身体日０．５・夜０．５・深１．５・基・２人・初計</t>
  </si>
  <si>
    <t>身体日０．５・夜０．５・深２．０</t>
  </si>
  <si>
    <t>身体日０．５・夜０．５・深２．０・２人</t>
  </si>
  <si>
    <t>身体日０．５・夜０．５・深２．０・基</t>
  </si>
  <si>
    <t>身体日０．５・夜０．５・深２．０・基・２人</t>
  </si>
  <si>
    <t>B121</t>
  </si>
  <si>
    <t>身体日０．５・夜０．５・深２．０・初計</t>
  </si>
  <si>
    <t>B122</t>
  </si>
  <si>
    <t>身体日０．５・夜０．５・深２．０・２人・初計</t>
  </si>
  <si>
    <t>B123</t>
  </si>
  <si>
    <t>身体日０．５・夜０．５・深２．０・基・初計</t>
  </si>
  <si>
    <t>B124</t>
  </si>
  <si>
    <t>身体日０．５・夜０．５・深２．０・基・２人・初計</t>
  </si>
  <si>
    <t>身体日１．０・夜０．５・深０．５</t>
  </si>
  <si>
    <t>(7)日中 ３０分以上 １時間未満</t>
  </si>
  <si>
    <t>身体日１．０・夜０．５・深０．５・２人</t>
  </si>
  <si>
    <t>身体日１．０・夜０．５・深０．５・基</t>
  </si>
  <si>
    <t>身体日１．０・夜０．５・深０．５・基・２人</t>
  </si>
  <si>
    <t>B141</t>
  </si>
  <si>
    <t>身体日１．０・夜０．５・深０．５・初計</t>
  </si>
  <si>
    <t>B142</t>
  </si>
  <si>
    <t>身体日１．０・夜０．５・深０．５・２人・初計</t>
  </si>
  <si>
    <t>B143</t>
  </si>
  <si>
    <t>身体日１．０・夜０．５・深０．５・基・初計</t>
  </si>
  <si>
    <t>B144</t>
  </si>
  <si>
    <t>身体日１．０・夜０．５・深０．５・基・２人・初計</t>
  </si>
  <si>
    <t>身体日１．０・夜０．５・深１．０</t>
  </si>
  <si>
    <t>身体日１．０・夜０．５・深１．０・２人</t>
  </si>
  <si>
    <t>身体日１．０・夜０．５・深１．０・基</t>
  </si>
  <si>
    <t>身体日１．０・夜０．５・深１．０・基・２人</t>
  </si>
  <si>
    <t>B161</t>
  </si>
  <si>
    <t>身体日１．０・夜０．５・深１．０・初計</t>
  </si>
  <si>
    <t>B162</t>
  </si>
  <si>
    <t>身体日１．０・夜０．５・深１．０・２人・初計</t>
  </si>
  <si>
    <t>B163</t>
  </si>
  <si>
    <t>身体日１．０・夜０．５・深１．０・基・初計</t>
  </si>
  <si>
    <t>B164</t>
  </si>
  <si>
    <t>身体日１．０・夜０．５・深１．０・基・２人・初計</t>
  </si>
  <si>
    <t>身体日１．０・夜０．５・深１．５</t>
  </si>
  <si>
    <t>身体日１．０・夜０．５・深１．５・２人</t>
  </si>
  <si>
    <t>身体日１．０・夜０．５・深１．５・基</t>
  </si>
  <si>
    <t>身体日１．０・夜０．５・深１．５・基・２人</t>
  </si>
  <si>
    <t>B181</t>
  </si>
  <si>
    <t>身体日１．０・夜０．５・深１．５・初計</t>
  </si>
  <si>
    <t>B182</t>
  </si>
  <si>
    <t>身体日１．０・夜０．５・深１．５・２人・初計</t>
  </si>
  <si>
    <t>B183</t>
  </si>
  <si>
    <t>身体日１．０・夜０．５・深１．５・基・初計</t>
  </si>
  <si>
    <t>B184</t>
  </si>
  <si>
    <t>身体日１．０・夜０．５・深１．５・基・２人・初計</t>
  </si>
  <si>
    <t>身体日１．５・夜０．５・深０．５</t>
  </si>
  <si>
    <t>(8)日中 １時間以上 １時間３０分未満</t>
  </si>
  <si>
    <t>身体日１．５・夜０．５・深０．５・２人</t>
  </si>
  <si>
    <t>身体日１．５・夜０．５・深０．５・基</t>
  </si>
  <si>
    <t>身体日１．５・夜０．５・深０．５・基・２人</t>
  </si>
  <si>
    <t>B201</t>
  </si>
  <si>
    <t>身体日１．５・夜０．５・深０．５・初計</t>
  </si>
  <si>
    <t>B202</t>
  </si>
  <si>
    <t>身体日１．５・夜０．５・深０．５・２人・初計</t>
  </si>
  <si>
    <t>B203</t>
  </si>
  <si>
    <t>身体日１．５・夜０．５・深０．５・基・初計</t>
  </si>
  <si>
    <t>B204</t>
  </si>
  <si>
    <t>身体日１．５・夜０．５・深０．５・基・２人・初計</t>
  </si>
  <si>
    <t>身体日１．５・夜０．５・深１．０</t>
  </si>
  <si>
    <t>身体日１．５・夜０．５・深１．０・２人</t>
  </si>
  <si>
    <t>身体日１．５・夜０．５・深１．０・基</t>
  </si>
  <si>
    <t>身体日１．５・夜０．５・深１．０・基・２人</t>
  </si>
  <si>
    <t>B221</t>
  </si>
  <si>
    <t>身体日１．５・夜０．５・深１．０・初計</t>
  </si>
  <si>
    <t>B222</t>
  </si>
  <si>
    <t>身体日１．５・夜０．５・深１．０・２人・初計</t>
  </si>
  <si>
    <t>B223</t>
  </si>
  <si>
    <t>身体日１．５・夜０．５・深１．０・基・初計</t>
  </si>
  <si>
    <t>B224</t>
  </si>
  <si>
    <t>身体日１．５・夜０．５・深１．０・基・２人・初計</t>
  </si>
  <si>
    <t>身体日２．０・夜０．５・深０．５</t>
  </si>
  <si>
    <t>(9)日中 １時間３０分以上 ２時間未満</t>
  </si>
  <si>
    <t>身体日２．０・夜０．５・深０．５・２人</t>
  </si>
  <si>
    <t>身体日２．０・夜０．５・深０．５・基</t>
  </si>
  <si>
    <t>身体日２．０・夜０．５・深０．５・基・２人</t>
  </si>
  <si>
    <t>B241</t>
  </si>
  <si>
    <t>身体日２．０・夜０．５・深０．５・初計</t>
  </si>
  <si>
    <t>B242</t>
  </si>
  <si>
    <t>身体日２．０・夜０．５・深０．５・２人・初計</t>
  </si>
  <si>
    <t>B243</t>
  </si>
  <si>
    <t>身体日２．０・夜０．５・深０．５・基・初計</t>
  </si>
  <si>
    <t>B244</t>
  </si>
  <si>
    <t>身体日２．０・夜０．５・深０．５・基・２人・初計</t>
  </si>
  <si>
    <t>イ　居宅における身体介護　（早朝＋日中＋夜間）　　※サービス間隔が２時間未満の場合</t>
  </si>
  <si>
    <t>身体早０．５・日２．０・夜０．５</t>
  </si>
  <si>
    <t>(一)日中 １時間３０分以上 ２時間未満</t>
    <phoneticPr fontId="1"/>
  </si>
  <si>
    <t>早朝の場合 Ａ</t>
  </si>
  <si>
    <t>夜間の場合 Ｂ</t>
  </si>
  <si>
    <t>身体早０．５・日２．０・夜０．５・２人</t>
  </si>
  <si>
    <t>身体早０．５・日２．０・夜０．５・基</t>
  </si>
  <si>
    <t>身体早０．５・日２．０・夜０．５・基・２人</t>
  </si>
  <si>
    <t>B261</t>
  </si>
  <si>
    <t>身体早０．５・日２．０・夜０．５・初計</t>
  </si>
  <si>
    <t>B262</t>
  </si>
  <si>
    <t>身体早０．５・日２．０・夜０．５・２人・初計</t>
  </si>
  <si>
    <t>B263</t>
  </si>
  <si>
    <t>身体早０．５・日２．０・夜０．５・基・初計</t>
  </si>
  <si>
    <t>B264</t>
  </si>
  <si>
    <t>身体早０．５・日２．０・夜０．５・基・２人・初計</t>
  </si>
  <si>
    <t>イ　居宅における身体介護　（日中増分)</t>
  </si>
  <si>
    <t>身体日増０．５</t>
  </si>
  <si>
    <t>身体日増０．５・２人</t>
  </si>
  <si>
    <t>身体日増０．５・基</t>
  </si>
  <si>
    <t>身体日増０．５・基・２人</t>
  </si>
  <si>
    <t>B281</t>
  </si>
  <si>
    <t>身体日増０．５・初計</t>
  </si>
  <si>
    <t>B282</t>
  </si>
  <si>
    <t>身体日増０．５・２人・初計</t>
  </si>
  <si>
    <t>B283</t>
  </si>
  <si>
    <t>身体日増０．５・基・初計</t>
  </si>
  <si>
    <t>B284</t>
  </si>
  <si>
    <t>身体日増０．５・基・２人・初計</t>
  </si>
  <si>
    <t>身体日増１．０</t>
  </si>
  <si>
    <t>身体日増１．０・２人</t>
  </si>
  <si>
    <t>身体日増１．０・基</t>
  </si>
  <si>
    <t>身体日増１．０・基・２人</t>
  </si>
  <si>
    <t>B301</t>
  </si>
  <si>
    <t>身体日増１．０・初計</t>
  </si>
  <si>
    <t>B302</t>
  </si>
  <si>
    <t>身体日増１．０・２人・初計</t>
  </si>
  <si>
    <t>B303</t>
  </si>
  <si>
    <t>身体日増１．０・基・初計</t>
  </si>
  <si>
    <t>B304</t>
  </si>
  <si>
    <t>身体日増１．０・基・２人・初計</t>
  </si>
  <si>
    <t>身体日増１．５</t>
  </si>
  <si>
    <t>身体日増１．５・２人</t>
  </si>
  <si>
    <t>身体日増１．５・基</t>
  </si>
  <si>
    <t>身体日増１．５・基・２人</t>
  </si>
  <si>
    <t>B321</t>
  </si>
  <si>
    <t>身体日増１．５・初計</t>
  </si>
  <si>
    <t>B322</t>
  </si>
  <si>
    <t>身体日増１．５・２人・初計</t>
  </si>
  <si>
    <t>B323</t>
  </si>
  <si>
    <t>身体日増１．５・基・初計</t>
  </si>
  <si>
    <t>B324</t>
  </si>
  <si>
    <t>身体日増１．５・基・２人・初計</t>
  </si>
  <si>
    <t>身体日増２．０</t>
  </si>
  <si>
    <t>身体日増２．０・２人</t>
  </si>
  <si>
    <t>身体日増２．０・基</t>
  </si>
  <si>
    <t>身体日増２．０・基・２人</t>
  </si>
  <si>
    <t>B341</t>
  </si>
  <si>
    <t>身体日増２．０・初計</t>
  </si>
  <si>
    <t>B342</t>
  </si>
  <si>
    <t>身体日増２．０・２人・初計</t>
  </si>
  <si>
    <t>B343</t>
  </si>
  <si>
    <t>身体日増２．０・基・初計</t>
  </si>
  <si>
    <t>B344</t>
  </si>
  <si>
    <t>身体日増２．０・基・２人・初計</t>
  </si>
  <si>
    <t>身体日増２．５</t>
  </si>
  <si>
    <t>身体日増２．５・２人</t>
  </si>
  <si>
    <t>身体日増２．５・基</t>
  </si>
  <si>
    <t>身体日増２．５・基・２人</t>
  </si>
  <si>
    <t>B361</t>
  </si>
  <si>
    <t>身体日増２．５・初計</t>
  </si>
  <si>
    <t>B362</t>
  </si>
  <si>
    <t>身体日増２．５・２人・初計</t>
  </si>
  <si>
    <t>B363</t>
  </si>
  <si>
    <t>身体日増２．５・基・初計</t>
  </si>
  <si>
    <t>B364</t>
  </si>
  <si>
    <t>身体日増２．５・基・２人・初計</t>
  </si>
  <si>
    <t>身体日増３．０</t>
  </si>
  <si>
    <t>身体日増３．０・２人</t>
  </si>
  <si>
    <t>身体日増３．０・基</t>
  </si>
  <si>
    <t>身体日増３．０・基・２人</t>
  </si>
  <si>
    <t>B381</t>
  </si>
  <si>
    <t>身体日増３．０・初計</t>
  </si>
  <si>
    <t>B382</t>
  </si>
  <si>
    <t>身体日増３．０・２人・初計</t>
  </si>
  <si>
    <t>B383</t>
  </si>
  <si>
    <t>身体日増３．０・基・初計</t>
  </si>
  <si>
    <t>B384</t>
  </si>
  <si>
    <t>身体日増３．０・基・２人・初計</t>
  </si>
  <si>
    <t>身体日増３．５</t>
  </si>
  <si>
    <t>身体日増３．５・２人</t>
  </si>
  <si>
    <t>身体日増３．５・基</t>
  </si>
  <si>
    <t>身体日増３．５・基・２人</t>
  </si>
  <si>
    <t>B401</t>
  </si>
  <si>
    <t>身体日増３．５・初計</t>
  </si>
  <si>
    <t>B402</t>
  </si>
  <si>
    <t>身体日増３．５・２人・初計</t>
  </si>
  <si>
    <t>B403</t>
  </si>
  <si>
    <t>身体日増３．５・基・初計</t>
  </si>
  <si>
    <t>B404</t>
  </si>
  <si>
    <t>身体日増３．５・基・２人・初計</t>
  </si>
  <si>
    <t>身体日増４．０</t>
  </si>
  <si>
    <t>(8)日中 ３時間３０分以上 ４時間未満</t>
  </si>
  <si>
    <t>身体日増４．０・２人</t>
  </si>
  <si>
    <t>身体日増４．０・基</t>
  </si>
  <si>
    <t>身体日増４．０・基・２人</t>
  </si>
  <si>
    <t>B421</t>
  </si>
  <si>
    <t>身体日増４．０・初計</t>
  </si>
  <si>
    <t>B422</t>
  </si>
  <si>
    <t>身体日増４．０・２人・初計</t>
  </si>
  <si>
    <t>B423</t>
  </si>
  <si>
    <t>身体日増４．０・基・初計</t>
  </si>
  <si>
    <t>B424</t>
  </si>
  <si>
    <t>身体日増４．０・基・２人・初計</t>
  </si>
  <si>
    <t>身体日増４．５</t>
  </si>
  <si>
    <t>身体日増４．５・２人</t>
  </si>
  <si>
    <t>身体日増４．５・基</t>
  </si>
  <si>
    <t>身体日増４．５・基・２人</t>
  </si>
  <si>
    <t>B441</t>
  </si>
  <si>
    <t>身体日増４．５・初計</t>
  </si>
  <si>
    <t>B442</t>
  </si>
  <si>
    <t>身体日増４．５・２人・初計</t>
  </si>
  <si>
    <t>B443</t>
  </si>
  <si>
    <t>身体日増４．５・基・初計</t>
  </si>
  <si>
    <t>B444</t>
  </si>
  <si>
    <t>身体日増４．５・基・２人・初計</t>
  </si>
  <si>
    <t>身体日増５．０</t>
  </si>
  <si>
    <t>身体日増５．０・２人</t>
  </si>
  <si>
    <t>身体日増５．０・基</t>
  </si>
  <si>
    <t>身体日増５．０・基・２人</t>
  </si>
  <si>
    <t>B461</t>
  </si>
  <si>
    <t>身体日増５．０・初計</t>
  </si>
  <si>
    <t>B462</t>
  </si>
  <si>
    <t>身体日増５．０・２人・初計</t>
  </si>
  <si>
    <t>B463</t>
  </si>
  <si>
    <t>身体日増５．０・基・初計</t>
  </si>
  <si>
    <t>B464</t>
  </si>
  <si>
    <t>身体日増５．０・基・２人・初計</t>
  </si>
  <si>
    <t>身体日増５．５</t>
  </si>
  <si>
    <t>身体日増５．５・２人</t>
  </si>
  <si>
    <t>身体日増５．５・基</t>
  </si>
  <si>
    <t>身体日増５．５・基・２人</t>
  </si>
  <si>
    <t>B481</t>
  </si>
  <si>
    <t>身体日増５．５・初計</t>
  </si>
  <si>
    <t>B482</t>
  </si>
  <si>
    <t>身体日増５．５・２人・初計</t>
  </si>
  <si>
    <t>B483</t>
  </si>
  <si>
    <t>身体日増５．５・基・初計</t>
  </si>
  <si>
    <t>B484</t>
  </si>
  <si>
    <t>身体日増５．５・基・２人・初計</t>
  </si>
  <si>
    <t>身体日増６．０</t>
  </si>
  <si>
    <t>身体日増６．０・２人</t>
  </si>
  <si>
    <t>身体日増６．０・基</t>
  </si>
  <si>
    <t>身体日増６．０・基・２人</t>
  </si>
  <si>
    <t>B501</t>
  </si>
  <si>
    <t>身体日増６．０・初計</t>
  </si>
  <si>
    <t>B502</t>
  </si>
  <si>
    <t>身体日増６．０・２人・初計</t>
  </si>
  <si>
    <t>B503</t>
  </si>
  <si>
    <t>身体日増６．０・基・初計</t>
  </si>
  <si>
    <t>B504</t>
  </si>
  <si>
    <t>身体日増６．０・基・２人・初計</t>
  </si>
  <si>
    <t>身体日増６．５</t>
  </si>
  <si>
    <t>身体日増６．５・２人</t>
  </si>
  <si>
    <t>身体日増６．５・基</t>
  </si>
  <si>
    <t>身体日増６．５・基・２人</t>
  </si>
  <si>
    <t>B521</t>
  </si>
  <si>
    <t>身体日増６．５・初計</t>
  </si>
  <si>
    <t>B522</t>
  </si>
  <si>
    <t>身体日増６．５・２人・初計</t>
  </si>
  <si>
    <t>B523</t>
  </si>
  <si>
    <t>身体日増６．５・基・初計</t>
  </si>
  <si>
    <t>B524</t>
  </si>
  <si>
    <t>身体日増６．５・基・２人・初計</t>
  </si>
  <si>
    <t>身体日増７．０</t>
  </si>
  <si>
    <t>身体日増７．０・２人</t>
  </si>
  <si>
    <t>身体日増７．０・基</t>
  </si>
  <si>
    <t>身体日増７．０・基・２人</t>
  </si>
  <si>
    <t>B541</t>
  </si>
  <si>
    <t>身体日増７．０・初計</t>
  </si>
  <si>
    <t>B542</t>
  </si>
  <si>
    <t>身体日増７．０・２人・初計</t>
  </si>
  <si>
    <t>B543</t>
  </si>
  <si>
    <t>身体日増７．０・基・初計</t>
  </si>
  <si>
    <t>B544</t>
  </si>
  <si>
    <t>身体日増７．０・基・２人・初計</t>
  </si>
  <si>
    <t>身体日増７．５</t>
  </si>
  <si>
    <t>身体日増７．５・２人</t>
  </si>
  <si>
    <t>身体日増７．５・基</t>
  </si>
  <si>
    <t>身体日増７．５・基・２人</t>
  </si>
  <si>
    <t>B561</t>
  </si>
  <si>
    <t>身体日増７．５・初計</t>
  </si>
  <si>
    <t>B562</t>
  </si>
  <si>
    <t>身体日増７．５・２人・初計</t>
  </si>
  <si>
    <t>B563</t>
  </si>
  <si>
    <t>身体日増７．５・基・初計</t>
  </si>
  <si>
    <t>B564</t>
  </si>
  <si>
    <t>身体日増７．５・基・２人・初計</t>
  </si>
  <si>
    <t>身体日増８．０</t>
  </si>
  <si>
    <t>身体日増８．０・２人</t>
  </si>
  <si>
    <t>身体日増８．０・基</t>
  </si>
  <si>
    <t>身体日増８．０・基・２人</t>
  </si>
  <si>
    <t>B581</t>
  </si>
  <si>
    <t>身体日増８．０・初計</t>
  </si>
  <si>
    <t>B582</t>
  </si>
  <si>
    <t>身体日増８．０・２人・初計</t>
  </si>
  <si>
    <t>B583</t>
  </si>
  <si>
    <t>身体日増８．０・基・初計</t>
  </si>
  <si>
    <t>B584</t>
  </si>
  <si>
    <t>身体日増８．０・基・２人・初計</t>
  </si>
  <si>
    <t>身体日増８．５</t>
  </si>
  <si>
    <t>身体日増８．５・２人</t>
  </si>
  <si>
    <t>身体日増８．５・基</t>
  </si>
  <si>
    <t>身体日増８．５・基・２人</t>
  </si>
  <si>
    <t>B601</t>
  </si>
  <si>
    <t>身体日増８．５・初計</t>
  </si>
  <si>
    <t>B602</t>
  </si>
  <si>
    <t>身体日増８．５・２人・初計</t>
  </si>
  <si>
    <t>B603</t>
  </si>
  <si>
    <t>身体日増８．５・基・初計</t>
  </si>
  <si>
    <t>B604</t>
  </si>
  <si>
    <t>身体日増８．５・基・２人・初計</t>
  </si>
  <si>
    <t>身体日増９．０</t>
  </si>
  <si>
    <t>身体日増９．０・２人</t>
  </si>
  <si>
    <t>身体日増９．０・基</t>
  </si>
  <si>
    <t>身体日増９．０・基・２人</t>
  </si>
  <si>
    <t>B621</t>
  </si>
  <si>
    <t>身体日増９．０・初計</t>
  </si>
  <si>
    <t>B622</t>
  </si>
  <si>
    <t>身体日増９．０・２人・初計</t>
  </si>
  <si>
    <t>B623</t>
  </si>
  <si>
    <t>身体日増９．０・基・初計</t>
  </si>
  <si>
    <t>B624</t>
  </si>
  <si>
    <t>身体日増９．０・基・２人・初計</t>
  </si>
  <si>
    <t>身体日増９．５</t>
  </si>
  <si>
    <t>身体日増９．５・２人</t>
  </si>
  <si>
    <t>身体日増９．５・基</t>
  </si>
  <si>
    <t>身体日増９．５・基・２人</t>
  </si>
  <si>
    <t>B641</t>
  </si>
  <si>
    <t>身体日増９．５・初計</t>
  </si>
  <si>
    <t>B642</t>
  </si>
  <si>
    <t>身体日増９．５・２人・初計</t>
  </si>
  <si>
    <t>B643</t>
  </si>
  <si>
    <t>身体日増９．５・基・初計</t>
  </si>
  <si>
    <t>B644</t>
  </si>
  <si>
    <t>身体日増９．５・基・２人・初計</t>
  </si>
  <si>
    <t>身体日増１０．０</t>
  </si>
  <si>
    <t>身体日増１０．０・２人</t>
  </si>
  <si>
    <t>身体日増１０．０・基</t>
  </si>
  <si>
    <t>身体日増１０．０・基・２人</t>
  </si>
  <si>
    <t>B661</t>
  </si>
  <si>
    <t>身体日増１０．０・初計</t>
  </si>
  <si>
    <t>B662</t>
  </si>
  <si>
    <t>身体日増１０．０・２人・初計</t>
  </si>
  <si>
    <t>B663</t>
  </si>
  <si>
    <t>身体日増１０．０・基・初計</t>
  </si>
  <si>
    <t>B664</t>
  </si>
  <si>
    <t>身体日増１０．０・基・２人・初計</t>
  </si>
  <si>
    <t>身体日増１０．５</t>
  </si>
  <si>
    <t>身体日増１０．５・２人</t>
  </si>
  <si>
    <t>身体日増１０．５・基</t>
  </si>
  <si>
    <t>身体日増１０．５・基・２人</t>
  </si>
  <si>
    <t>B681</t>
  </si>
  <si>
    <t>身体日増１０．５・初計</t>
  </si>
  <si>
    <t>B682</t>
  </si>
  <si>
    <t>身体日増１０．５・２人・初計</t>
  </si>
  <si>
    <t>B683</t>
  </si>
  <si>
    <t>身体日増１０．５・基・初計</t>
  </si>
  <si>
    <t>B684</t>
  </si>
  <si>
    <t>身体日増１０．５・基・２人・初計</t>
  </si>
  <si>
    <t>イ　居宅における身体介護　（早朝増分）</t>
  </si>
  <si>
    <t>身体早増０．５</t>
  </si>
  <si>
    <t>身体早増０．５・２人</t>
  </si>
  <si>
    <t>身体早増０．５・基</t>
  </si>
  <si>
    <t>身体早増０．５・基・２人</t>
  </si>
  <si>
    <t>B701</t>
  </si>
  <si>
    <t>身体早増０．５・初計</t>
  </si>
  <si>
    <t>B702</t>
  </si>
  <si>
    <t>身体早増０．５・２人・初計</t>
  </si>
  <si>
    <t>B703</t>
  </si>
  <si>
    <t>身体早増０．５・基・初計</t>
  </si>
  <si>
    <t>B704</t>
  </si>
  <si>
    <t>身体早増０．５・基・２人・初計</t>
  </si>
  <si>
    <t>身体早増１．０</t>
  </si>
  <si>
    <t>身体早増１．０・２人</t>
  </si>
  <si>
    <t>身体早増１．０・基</t>
  </si>
  <si>
    <t>身体早増１．０・基・２人</t>
  </si>
  <si>
    <t>B721</t>
  </si>
  <si>
    <t>身体早増１．０・初計</t>
  </si>
  <si>
    <t>B722</t>
  </si>
  <si>
    <t>身体早増１．０・２人・初計</t>
  </si>
  <si>
    <t>B723</t>
  </si>
  <si>
    <t>身体早増１．０・基・初計</t>
  </si>
  <si>
    <t>B724</t>
  </si>
  <si>
    <t>身体早増１．０・基・２人・初計</t>
  </si>
  <si>
    <t>身体早増１．５</t>
  </si>
  <si>
    <t>身体早増１．５・２人</t>
  </si>
  <si>
    <t>身体早増１．５・基</t>
  </si>
  <si>
    <t>身体早増１．５・基・２人</t>
  </si>
  <si>
    <t>B741</t>
  </si>
  <si>
    <t>身体早増１．５・初計</t>
  </si>
  <si>
    <t>B742</t>
  </si>
  <si>
    <t>身体早増１．５・２人・初計</t>
  </si>
  <si>
    <t>B743</t>
  </si>
  <si>
    <t>身体早増１．５・基・初計</t>
  </si>
  <si>
    <t>B744</t>
  </si>
  <si>
    <t>身体早増１．５・基・２人・初計</t>
  </si>
  <si>
    <t>身体早増２．０</t>
  </si>
  <si>
    <t>身体早増２．０・２人</t>
  </si>
  <si>
    <t>身体早増２．０・基</t>
  </si>
  <si>
    <t>身体早増２．０・基・２人</t>
  </si>
  <si>
    <t>B761</t>
  </si>
  <si>
    <t>身体早増２．０・初計</t>
  </si>
  <si>
    <t>B762</t>
  </si>
  <si>
    <t>身体早増２．０・２人・初計</t>
  </si>
  <si>
    <t>B763</t>
  </si>
  <si>
    <t>身体早増２．０・基・初計</t>
  </si>
  <si>
    <t>B764</t>
  </si>
  <si>
    <t>身体早増２．０・基・２人・初計</t>
  </si>
  <si>
    <t>身体早増２．５</t>
  </si>
  <si>
    <t>身体早増２．５・２人</t>
  </si>
  <si>
    <t>身体早増２．５・基</t>
  </si>
  <si>
    <t>身体早増２．５・基・２人</t>
  </si>
  <si>
    <t>B781</t>
  </si>
  <si>
    <t>身体早増２．５・初計</t>
  </si>
  <si>
    <t>B782</t>
  </si>
  <si>
    <t>身体早増２．５・２人・初計</t>
  </si>
  <si>
    <t>B783</t>
  </si>
  <si>
    <t>身体早増２．５・基・初計</t>
  </si>
  <si>
    <t>B784</t>
  </si>
  <si>
    <t>身体早増２．５・基・２人・初計</t>
  </si>
  <si>
    <t>イ　居宅における身体介護　（夜間増分）</t>
  </si>
  <si>
    <t>身体夜増０．５</t>
  </si>
  <si>
    <t>身体夜増０．５・２人</t>
  </si>
  <si>
    <t>身体夜増０．５・基</t>
  </si>
  <si>
    <t>身体夜増０．５・基・２人</t>
  </si>
  <si>
    <t>B801</t>
  </si>
  <si>
    <t>身体夜増０．５・初計</t>
  </si>
  <si>
    <t>B802</t>
  </si>
  <si>
    <t>身体夜増０．５・２人・初計</t>
  </si>
  <si>
    <t>B803</t>
  </si>
  <si>
    <t>身体夜増０．５・基・初計</t>
  </si>
  <si>
    <t>B804</t>
  </si>
  <si>
    <t>身体夜増０．５・基・２人・初計</t>
  </si>
  <si>
    <t>身体夜増１．０</t>
  </si>
  <si>
    <t>身体夜増１．０・２人</t>
  </si>
  <si>
    <t>身体夜増１．０・基</t>
  </si>
  <si>
    <t>身体夜増１．０・基・２人</t>
  </si>
  <si>
    <t>B821</t>
  </si>
  <si>
    <t>身体夜増１．０・初計</t>
  </si>
  <si>
    <t>B822</t>
  </si>
  <si>
    <t>身体夜増１．０・２人・初計</t>
  </si>
  <si>
    <t>B823</t>
  </si>
  <si>
    <t>身体夜増１．０・基・初計</t>
  </si>
  <si>
    <t>B824</t>
  </si>
  <si>
    <t>身体夜増１．０・基・２人・初計</t>
  </si>
  <si>
    <t>身体夜増１．５</t>
  </si>
  <si>
    <t>身体夜増１．５・２人</t>
  </si>
  <si>
    <t>身体夜増１．５・基</t>
  </si>
  <si>
    <t>身体夜増１．５・基・２人</t>
  </si>
  <si>
    <t>B841</t>
  </si>
  <si>
    <t>身体夜増１．５・初計</t>
  </si>
  <si>
    <t>B842</t>
  </si>
  <si>
    <t>身体夜増１．５・２人・初計</t>
  </si>
  <si>
    <t>B843</t>
  </si>
  <si>
    <t>身体夜増１．５・基・初計</t>
  </si>
  <si>
    <t>B844</t>
  </si>
  <si>
    <t>身体夜増１．５・基・２人・初計</t>
  </si>
  <si>
    <t>身体夜増２．０</t>
  </si>
  <si>
    <t>身体夜増２．０・２人</t>
  </si>
  <si>
    <t>身体夜増２．０・基</t>
  </si>
  <si>
    <t>身体夜増２．０・基・２人</t>
  </si>
  <si>
    <t>B861</t>
  </si>
  <si>
    <t>身体夜増２．０・初計</t>
  </si>
  <si>
    <t>B862</t>
  </si>
  <si>
    <t>身体夜増２．０・２人・初計</t>
  </si>
  <si>
    <t>B863</t>
  </si>
  <si>
    <t>身体夜増２．０・基・初計</t>
  </si>
  <si>
    <t>B864</t>
  </si>
  <si>
    <t>身体夜増２．０・基・２人・初計</t>
  </si>
  <si>
    <t>身体夜増２．５</t>
  </si>
  <si>
    <t>身体夜増２．５・２人</t>
  </si>
  <si>
    <t>身体夜増２．５・基</t>
  </si>
  <si>
    <t>身体夜増２．５・基・２人</t>
  </si>
  <si>
    <t>B881</t>
  </si>
  <si>
    <t>身体夜増２．５・初計</t>
  </si>
  <si>
    <t>B882</t>
  </si>
  <si>
    <t>身体夜増２．５・２人・初計</t>
  </si>
  <si>
    <t>B883</t>
  </si>
  <si>
    <t>身体夜増２．５・基・初計</t>
  </si>
  <si>
    <t>B884</t>
  </si>
  <si>
    <t>身体夜増２．５・基・２人・初計</t>
  </si>
  <si>
    <t>身体夜増３．０</t>
  </si>
  <si>
    <t>身体夜増３．０・２人</t>
  </si>
  <si>
    <t>身体夜増３．０・基</t>
  </si>
  <si>
    <t>身体夜増３．０・基・２人</t>
  </si>
  <si>
    <t>B901</t>
  </si>
  <si>
    <t>身体夜増３．０・初計</t>
  </si>
  <si>
    <t>B902</t>
  </si>
  <si>
    <t>身体夜増３．０・２人・初計</t>
  </si>
  <si>
    <t>B903</t>
  </si>
  <si>
    <t>身体夜増３．０・基・初計</t>
  </si>
  <si>
    <t>B904</t>
  </si>
  <si>
    <t>身体夜増３．０・基・２人・初計</t>
  </si>
  <si>
    <t>身体夜増３．５</t>
  </si>
  <si>
    <t>身体夜増３．５・２人</t>
  </si>
  <si>
    <t>身体夜増３．５・基</t>
  </si>
  <si>
    <t>身体夜増３．５・基・２人</t>
  </si>
  <si>
    <t>B921</t>
  </si>
  <si>
    <t>身体夜増３．５・初計</t>
  </si>
  <si>
    <t>B922</t>
  </si>
  <si>
    <t>身体夜増３．５・２人・初計</t>
  </si>
  <si>
    <t>B923</t>
  </si>
  <si>
    <t>身体夜増３．５・基・初計</t>
  </si>
  <si>
    <t>B924</t>
  </si>
  <si>
    <t>身体夜増３．５・基・２人・初計</t>
  </si>
  <si>
    <t>身体夜増４．０</t>
  </si>
  <si>
    <t>身体夜増４．０・２人</t>
  </si>
  <si>
    <t>身体夜増４．０・基</t>
  </si>
  <si>
    <t>身体夜増４．０・基・２人</t>
  </si>
  <si>
    <t>B941</t>
  </si>
  <si>
    <t>身体夜増４．０・初計</t>
  </si>
  <si>
    <t>B942</t>
  </si>
  <si>
    <t>身体夜増４．０・２人・初計</t>
  </si>
  <si>
    <t>B943</t>
  </si>
  <si>
    <t>身体夜増４．０・基・初計</t>
  </si>
  <si>
    <t>B944</t>
  </si>
  <si>
    <t>身体夜増４．０・基・２人・初計</t>
  </si>
  <si>
    <t>身体夜増４．５</t>
  </si>
  <si>
    <t>身体夜増４．５・２人</t>
  </si>
  <si>
    <t>身体夜増４．５・基</t>
  </si>
  <si>
    <t>身体夜増４．５・基・２人</t>
  </si>
  <si>
    <t>B961</t>
  </si>
  <si>
    <t>身体夜増４．５・初計</t>
  </si>
  <si>
    <t>B962</t>
  </si>
  <si>
    <t>身体夜増４．５・２人・初計</t>
  </si>
  <si>
    <t>B963</t>
  </si>
  <si>
    <t>身体夜増４．５・基・初計</t>
  </si>
  <si>
    <t>B964</t>
  </si>
  <si>
    <t>身体夜増４．５・基・２人・初計</t>
  </si>
  <si>
    <t>イ　居宅における身体介護　（深夜増分）</t>
  </si>
  <si>
    <t>身体深増０．５</t>
  </si>
  <si>
    <t>身体深増０．５・２人</t>
  </si>
  <si>
    <t>身体深増０．５・基</t>
  </si>
  <si>
    <t>身体深増０．５・基・２人</t>
  </si>
  <si>
    <t>B981</t>
  </si>
  <si>
    <t>身体深増０．５・初計</t>
  </si>
  <si>
    <t>B982</t>
  </si>
  <si>
    <t>身体深増０．５・２人・初計</t>
  </si>
  <si>
    <t>B983</t>
  </si>
  <si>
    <t>身体深増０．５・基・初計</t>
  </si>
  <si>
    <t>B984</t>
  </si>
  <si>
    <t>身体深増０．５・基・２人・初計</t>
  </si>
  <si>
    <t>身体深増１．０</t>
  </si>
  <si>
    <t>身体深増１．０・２人</t>
  </si>
  <si>
    <t>身体深増１．０・基</t>
  </si>
  <si>
    <t>身体深増１．０・基・２人</t>
  </si>
  <si>
    <t>BA01</t>
  </si>
  <si>
    <t>身体深増１．０・初計</t>
  </si>
  <si>
    <t>BA02</t>
  </si>
  <si>
    <t>身体深増１．０・２人・初計</t>
  </si>
  <si>
    <t>BA03</t>
  </si>
  <si>
    <t>身体深増１．０・基・初計</t>
  </si>
  <si>
    <t>BA04</t>
  </si>
  <si>
    <t>身体深増１．０・基・２人・初計</t>
  </si>
  <si>
    <t>身体深増１．５</t>
  </si>
  <si>
    <t>身体深増１．５・２人</t>
  </si>
  <si>
    <t>身体深増１．５・基</t>
  </si>
  <si>
    <t>身体深増１．５・基・２人</t>
  </si>
  <si>
    <t>BA21</t>
  </si>
  <si>
    <t>身体深増１．５・初計</t>
  </si>
  <si>
    <t>BA22</t>
  </si>
  <si>
    <t>身体深増１．５・２人・初計</t>
  </si>
  <si>
    <t>BA23</t>
  </si>
  <si>
    <t>身体深増１．５・基・初計</t>
  </si>
  <si>
    <t>BA24</t>
  </si>
  <si>
    <t>身体深増１．５・基・２人・初計</t>
  </si>
  <si>
    <t>身体深増２．０</t>
  </si>
  <si>
    <t>身体深増２．０・２人</t>
  </si>
  <si>
    <t>身体深増２．０・基</t>
  </si>
  <si>
    <t>身体深増２．０・基・２人</t>
  </si>
  <si>
    <t>BA41</t>
  </si>
  <si>
    <t>身体深増２．０・初計</t>
  </si>
  <si>
    <t>BA42</t>
  </si>
  <si>
    <t>身体深増２．０・２人・初計</t>
  </si>
  <si>
    <t>BA43</t>
  </si>
  <si>
    <t>身体深増２．０・基・初計</t>
  </si>
  <si>
    <t>BA44</t>
  </si>
  <si>
    <t>身体深増２．０・基・２人・初計</t>
  </si>
  <si>
    <t>身体深増２．５</t>
  </si>
  <si>
    <t>身体深増２．５・２人</t>
  </si>
  <si>
    <t>身体深増２．５・基</t>
  </si>
  <si>
    <t>身体深増２．５・基・２人</t>
  </si>
  <si>
    <t>BA61</t>
  </si>
  <si>
    <t>身体深増２．５・初計</t>
  </si>
  <si>
    <t>BA62</t>
  </si>
  <si>
    <t>身体深増２．５・２人・初計</t>
  </si>
  <si>
    <t>BA63</t>
  </si>
  <si>
    <t>身体深増２．５・基・初計</t>
  </si>
  <si>
    <t>BA64</t>
  </si>
  <si>
    <t>身体深増２．５・基・２人・初計</t>
  </si>
  <si>
    <t>身体深増３．０</t>
  </si>
  <si>
    <t>身体深増３．０・２人</t>
  </si>
  <si>
    <t>身体深増３．０・基</t>
  </si>
  <si>
    <t>身体深増３．０・基・２人</t>
  </si>
  <si>
    <t>BA81</t>
  </si>
  <si>
    <t>身体深増３．０・初計</t>
  </si>
  <si>
    <t>BA82</t>
  </si>
  <si>
    <t>身体深増３．０・２人・初計</t>
  </si>
  <si>
    <t>BA83</t>
  </si>
  <si>
    <t>身体深増３．０・基・初計</t>
  </si>
  <si>
    <t>BA84</t>
  </si>
  <si>
    <t>身体深増３．０・基・２人・初計</t>
  </si>
  <si>
    <t>身体深増３．５</t>
  </si>
  <si>
    <t>身体深増３．５・２人</t>
  </si>
  <si>
    <t>身体深増３．５・基</t>
  </si>
  <si>
    <t>身体深増３．５・基・２人</t>
  </si>
  <si>
    <t>BB01</t>
  </si>
  <si>
    <t>身体深増３．５・初計</t>
  </si>
  <si>
    <t>BB02</t>
  </si>
  <si>
    <t>身体深増３．５・２人・初計</t>
  </si>
  <si>
    <t>BB03</t>
  </si>
  <si>
    <t>身体深増３．５・基・初計</t>
  </si>
  <si>
    <t>BB04</t>
  </si>
  <si>
    <t>身体深増３．５・基・２人・初計</t>
  </si>
  <si>
    <t>身体深増４．０</t>
  </si>
  <si>
    <t>身体深増４．０・２人</t>
  </si>
  <si>
    <t>身体深増４．０・基</t>
  </si>
  <si>
    <t>身体深増４．０・基・２人</t>
  </si>
  <si>
    <t>BB21</t>
  </si>
  <si>
    <t>身体深増４．０・初計</t>
  </si>
  <si>
    <t>BB22</t>
  </si>
  <si>
    <t>身体深増４．０・２人・初計</t>
  </si>
  <si>
    <t>BB23</t>
  </si>
  <si>
    <t>身体深増４．０・基・初計</t>
  </si>
  <si>
    <t>BB24</t>
  </si>
  <si>
    <t>身体深増４．０・基・２人・初計</t>
  </si>
  <si>
    <t>身体深増４．５</t>
  </si>
  <si>
    <t>(9)深夜 ４時間以上 ４時間３０分未満</t>
  </si>
  <si>
    <t>身体深増４．５・２人</t>
  </si>
  <si>
    <t>身体深増４．５・基</t>
  </si>
  <si>
    <t>身体深増４．５・基・２人</t>
  </si>
  <si>
    <t>BB41</t>
  </si>
  <si>
    <t>身体深増４．５・初計</t>
  </si>
  <si>
    <t>BB42</t>
  </si>
  <si>
    <t>身体深増４．５・２人・初計</t>
  </si>
  <si>
    <t>BB43</t>
  </si>
  <si>
    <t>身体深増４．５・基・初計</t>
  </si>
  <si>
    <t>BB44</t>
  </si>
  <si>
    <t>身体深増４．５・基・２人・初計</t>
  </si>
  <si>
    <t>身体深増５．０</t>
  </si>
  <si>
    <t>身体深増５．０・２人</t>
  </si>
  <si>
    <t>身体深増５．０・基</t>
  </si>
  <si>
    <t>身体深増５．０・基・２人</t>
  </si>
  <si>
    <t>BB61</t>
  </si>
  <si>
    <t>身体深増５．０・初計</t>
  </si>
  <si>
    <t>BB62</t>
  </si>
  <si>
    <t>身体深増５．０・２人・初計</t>
  </si>
  <si>
    <t>BB63</t>
  </si>
  <si>
    <t>身体深増５．０・基・初計</t>
  </si>
  <si>
    <t>BB64</t>
  </si>
  <si>
    <t>身体深増５．０・基・２人・初計</t>
  </si>
  <si>
    <t>身体深増５．５</t>
  </si>
  <si>
    <t>身体深増５．５・２人</t>
  </si>
  <si>
    <t>身体深増５．５・基</t>
  </si>
  <si>
    <t>身体深増５．５・基・２人</t>
  </si>
  <si>
    <t>BB81</t>
  </si>
  <si>
    <t>身体深増５．５・初計</t>
  </si>
  <si>
    <t>BB82</t>
  </si>
  <si>
    <t>身体深増５．５・２人・初計</t>
  </si>
  <si>
    <t>BB83</t>
  </si>
  <si>
    <t>身体深増５．５・基・初計</t>
  </si>
  <si>
    <t>BB84</t>
  </si>
  <si>
    <t>身体深増５．５・基・２人・初計</t>
  </si>
  <si>
    <t>身体深増６．０</t>
  </si>
  <si>
    <t>身体深増６．０・２人</t>
  </si>
  <si>
    <t>身体深増６．０・基</t>
  </si>
  <si>
    <t>身体深増６．０・基・２人</t>
  </si>
  <si>
    <t>BC01</t>
  </si>
  <si>
    <t>身体深増６．０・初計</t>
  </si>
  <si>
    <t>BC02</t>
  </si>
  <si>
    <t>身体深増６．０・２人・初計</t>
  </si>
  <si>
    <t>BC03</t>
  </si>
  <si>
    <t>身体深増６．０・基・初計</t>
  </si>
  <si>
    <t>BC04</t>
  </si>
  <si>
    <t>身体深増６．０・基・２人・初計</t>
  </si>
  <si>
    <t>身体深増６．５</t>
  </si>
  <si>
    <t>身体深増６．５・２人</t>
  </si>
  <si>
    <t>身体深増６．５・基</t>
  </si>
  <si>
    <t>身体深増６．５・基・２人</t>
  </si>
  <si>
    <t>BC21</t>
  </si>
  <si>
    <t>身体深増６．５・初計</t>
  </si>
  <si>
    <t>BC22</t>
  </si>
  <si>
    <t>身体深増６．５・２人・初計</t>
  </si>
  <si>
    <t>BC23</t>
  </si>
  <si>
    <t>身体深増６．５・基・初計</t>
  </si>
  <si>
    <t>BC24</t>
  </si>
  <si>
    <t>身体深増６．５・基・２人・初計</t>
  </si>
  <si>
    <t>イ　居宅における身体介護　（重度訪問介護研修修了者：日中のみ）</t>
  </si>
  <si>
    <t>身体重研日１．０</t>
  </si>
  <si>
    <t>(1)日中 １時間未満</t>
  </si>
  <si>
    <t>身体重研日１．０・２人</t>
  </si>
  <si>
    <t>BC41</t>
  </si>
  <si>
    <t>身体重研日１．０・初計</t>
  </si>
  <si>
    <t>BC42</t>
  </si>
  <si>
    <t>身体重研日１．０・２人・初計</t>
  </si>
  <si>
    <t>身体重研日１．５</t>
  </si>
  <si>
    <t>(2)日中 １時間以上 １時間３０分未満</t>
  </si>
  <si>
    <t>身体重研日１．５・２人</t>
  </si>
  <si>
    <t>BC51</t>
  </si>
  <si>
    <t>身体重研日１．５・初計</t>
  </si>
  <si>
    <t>BC52</t>
  </si>
  <si>
    <t>身体重研日１．５・２人・初計</t>
  </si>
  <si>
    <t>身体重研日２．０</t>
  </si>
  <si>
    <t>(3)日中 １時間３０分以上 ２時間未満</t>
  </si>
  <si>
    <t>身体重研日２．０・２人</t>
  </si>
  <si>
    <t>BC61</t>
  </si>
  <si>
    <t>身体重研日２．０・初計</t>
  </si>
  <si>
    <t>BC62</t>
  </si>
  <si>
    <t>身体重研日２．０・２人・初計</t>
  </si>
  <si>
    <t>単位</t>
    <phoneticPr fontId="1"/>
  </si>
  <si>
    <t>身体重研日２．５</t>
  </si>
  <si>
    <t>(4)日中 ２時間以上 ２時間３０分未満</t>
  </si>
  <si>
    <t>身体重研日２．５・２人</t>
  </si>
  <si>
    <t>BC71</t>
  </si>
  <si>
    <t>身体重研日２．５・初計</t>
  </si>
  <si>
    <t>BC72</t>
  </si>
  <si>
    <t>身体重研日２．５・２人・初計</t>
  </si>
  <si>
    <t>身体重研日３．０</t>
  </si>
  <si>
    <t>(5)日中 ２時間３０分以上 ３時間未満</t>
  </si>
  <si>
    <t>身体重研日３．０・２人</t>
  </si>
  <si>
    <t>BC81</t>
  </si>
  <si>
    <t>身体重研日３．０・初計</t>
  </si>
  <si>
    <t>BC82</t>
  </si>
  <si>
    <t>身体重研日３．０・２人・初計</t>
  </si>
  <si>
    <t>身体重研日３．５</t>
  </si>
  <si>
    <t>(6)日中 ３時間以上 ３時間３０分未満</t>
  </si>
  <si>
    <t>身体重研日３．５・２人</t>
  </si>
  <si>
    <t>BC91</t>
  </si>
  <si>
    <t>身体重研日３．５・初計</t>
  </si>
  <si>
    <t>BC92</t>
  </si>
  <si>
    <t>身体重研日３．５・２人・初計</t>
  </si>
  <si>
    <t>身体重研日４．０</t>
  </si>
  <si>
    <t>(7)日中 ３時間３０分以上 ４時間未満</t>
  </si>
  <si>
    <t>身体重研日４．０・２人</t>
  </si>
  <si>
    <t>BD01</t>
  </si>
  <si>
    <t>身体重研日４．０・初計</t>
  </si>
  <si>
    <t>BD02</t>
  </si>
  <si>
    <t>身体重研日４．０・２人・初計</t>
  </si>
  <si>
    <t>身体重研日４．５</t>
  </si>
  <si>
    <t>(8)日中 ４時間以上 ４時間３０分未満</t>
  </si>
  <si>
    <t>身体重研日４．５・２人</t>
  </si>
  <si>
    <t>BD11</t>
  </si>
  <si>
    <t>身体重研日４．５・初計</t>
  </si>
  <si>
    <t>BD12</t>
  </si>
  <si>
    <t>身体重研日４．５・２人・初計</t>
  </si>
  <si>
    <t>身体重研日５．０</t>
  </si>
  <si>
    <t>(9)日中 ４時間３０分以上 ５時間未満</t>
  </si>
  <si>
    <t>身体重研日５．０・２人</t>
  </si>
  <si>
    <t>BD21</t>
  </si>
  <si>
    <t>身体重研日５．０・初計</t>
  </si>
  <si>
    <t>BD22</t>
  </si>
  <si>
    <t>身体重研日５．０・２人・初計</t>
  </si>
  <si>
    <t>身体重研日５．５</t>
  </si>
  <si>
    <t>(10)日中 ５時間以上 ５時間３０分未満</t>
  </si>
  <si>
    <t>身体重研日５．５・２人</t>
  </si>
  <si>
    <t>BD31</t>
  </si>
  <si>
    <t>身体重研日５．５・初計</t>
  </si>
  <si>
    <t>BD32</t>
  </si>
  <si>
    <t>身体重研日５．５・２人・初計</t>
  </si>
  <si>
    <t>身体重研日６．０</t>
  </si>
  <si>
    <t>(11)日中 ５時間３０分以上 ６時間未満</t>
  </si>
  <si>
    <t>身体重研日６．０・２人</t>
  </si>
  <si>
    <t>BD41</t>
  </si>
  <si>
    <t>身体重研日６．０・初計</t>
  </si>
  <si>
    <t>BD42</t>
  </si>
  <si>
    <t>身体重研日６．０・２人・初計</t>
  </si>
  <si>
    <t>身体重研日６．５</t>
  </si>
  <si>
    <t>(12)日中 ６時間以上 ６時間３０分未満</t>
  </si>
  <si>
    <t>身体重研日６．５・２人</t>
  </si>
  <si>
    <t>BD51</t>
  </si>
  <si>
    <t>身体重研日６．５・初計</t>
  </si>
  <si>
    <t>BD52</t>
  </si>
  <si>
    <t>身体重研日６．５・２人・初計</t>
  </si>
  <si>
    <t>身体重研日７．０</t>
  </si>
  <si>
    <t>(13)日中 ６時間３０分以上 ７時間未満</t>
  </si>
  <si>
    <t>身体重研日７．０・２人</t>
  </si>
  <si>
    <t>BD61</t>
  </si>
  <si>
    <t>身体重研日７．０・初計</t>
  </si>
  <si>
    <t>BD62</t>
  </si>
  <si>
    <t>身体重研日７．０・２人・初計</t>
  </si>
  <si>
    <t>身体重研日７．５</t>
  </si>
  <si>
    <t>(14)日中 ７時間以上 ７時間３０分未満</t>
  </si>
  <si>
    <t>身体重研日７．５・２人</t>
  </si>
  <si>
    <t>BD71</t>
  </si>
  <si>
    <t>身体重研日７．５・初計</t>
  </si>
  <si>
    <t>BD72</t>
  </si>
  <si>
    <t>身体重研日７．５・２人・初計</t>
  </si>
  <si>
    <t>身体重研日８．０</t>
  </si>
  <si>
    <t>(15)日中 ７時間３０分以上 ８時間未満</t>
  </si>
  <si>
    <t>身体重研日８．０・２人</t>
  </si>
  <si>
    <t>BD81</t>
  </si>
  <si>
    <t>身体重研日８．０・初計</t>
  </si>
  <si>
    <t>BD82</t>
  </si>
  <si>
    <t>身体重研日８．０・２人・初計</t>
  </si>
  <si>
    <t>身体重研日８．５</t>
  </si>
  <si>
    <t>(16)日中 ８時間以上 ８時間３０分未満</t>
  </si>
  <si>
    <t>身体重研日８．５・２人</t>
  </si>
  <si>
    <t>BD91</t>
  </si>
  <si>
    <t>身体重研日８．５・初計</t>
  </si>
  <si>
    <t>BD92</t>
  </si>
  <si>
    <t>身体重研日８．５・２人・初計</t>
  </si>
  <si>
    <t>身体重研日９．０</t>
  </si>
  <si>
    <t>(17)日中 ８時間３０分以上 ９時間未満</t>
  </si>
  <si>
    <t>身体重研日９．０・２人</t>
  </si>
  <si>
    <t>BE01</t>
  </si>
  <si>
    <t>身体重研日９．０・初計</t>
  </si>
  <si>
    <t>BE02</t>
  </si>
  <si>
    <t>身体重研日９．０・２人・初計</t>
  </si>
  <si>
    <t>身体重研日９．５</t>
  </si>
  <si>
    <t>(18)日中 ９時間以上 ９時間３０分未満</t>
  </si>
  <si>
    <t>身体重研日９．５・２人</t>
  </si>
  <si>
    <t>BE11</t>
  </si>
  <si>
    <t>身体重研日９．５・初計</t>
  </si>
  <si>
    <t>BE12</t>
  </si>
  <si>
    <t>身体重研日９．５・２人・初計</t>
  </si>
  <si>
    <t>身体重研日１０．０</t>
  </si>
  <si>
    <t>(19)日中 ９時間３０分以上 １０時間未満</t>
  </si>
  <si>
    <t>身体重研日１０．０・２人</t>
  </si>
  <si>
    <t>BE21</t>
  </si>
  <si>
    <t>身体重研日１０．０・初計</t>
  </si>
  <si>
    <t>BE22</t>
  </si>
  <si>
    <t>身体重研日１０．０・２人・初計</t>
  </si>
  <si>
    <t>身体重研日１０．５</t>
  </si>
  <si>
    <t>(20)日中 １０時間以上 １０時間３０分未満</t>
  </si>
  <si>
    <t>身体重研日１０．５・２人</t>
  </si>
  <si>
    <t>BE31</t>
  </si>
  <si>
    <t>身体重研日１０．５・初計</t>
  </si>
  <si>
    <t>BE32</t>
  </si>
  <si>
    <t>身体重研日１０．５・２人・初計</t>
  </si>
  <si>
    <t>イ　居宅における身体介護　（重度訪問介護研修修了者：早朝のみ）</t>
  </si>
  <si>
    <t>身体重研早１．０</t>
  </si>
  <si>
    <t>(1)早朝 １時間未満</t>
  </si>
  <si>
    <t>身体重研早１．０・２人</t>
  </si>
  <si>
    <t>BE41</t>
  </si>
  <si>
    <t>身体重研早１．０・初計</t>
  </si>
  <si>
    <t>BE42</t>
  </si>
  <si>
    <t>身体重研早１．０・２人・初計</t>
  </si>
  <si>
    <t>身体重研早１．５</t>
  </si>
  <si>
    <t>(2)早朝 １時間以上 １時間３０分未満</t>
  </si>
  <si>
    <t>身体重研早１．５・２人</t>
  </si>
  <si>
    <t>BE51</t>
  </si>
  <si>
    <t>身体重研早１．５・初計</t>
  </si>
  <si>
    <t>BE52</t>
  </si>
  <si>
    <t>身体重研早１．５・２人・初計</t>
  </si>
  <si>
    <t>身体重研早２．０</t>
  </si>
  <si>
    <t>(3)早朝 １時間３０分以上 ２時間未満</t>
  </si>
  <si>
    <t>身体重研早２．０・２人</t>
  </si>
  <si>
    <t>BE61</t>
  </si>
  <si>
    <t>身体重研早２．０・初計</t>
  </si>
  <si>
    <t>BE62</t>
  </si>
  <si>
    <t>身体重研早２．０・２人・初計</t>
  </si>
  <si>
    <t>身体重研早２．５</t>
  </si>
  <si>
    <t>(4)早朝 ２時間以上 ２時間３０分未満</t>
  </si>
  <si>
    <t>身体重研早２．５・２人</t>
  </si>
  <si>
    <t>BE71</t>
  </si>
  <si>
    <t>身体重研早２．５・初計</t>
  </si>
  <si>
    <t>BE72</t>
  </si>
  <si>
    <t>身体重研早２．５・２人・初計</t>
  </si>
  <si>
    <t>イ　居宅における身体介護　（重度訪問介護研修修了者：夜間のみ）</t>
  </si>
  <si>
    <t>身体重研夜１．０</t>
  </si>
  <si>
    <t>(1)夜間 １時間未満</t>
  </si>
  <si>
    <t>身体重研夜１．０・２人</t>
  </si>
  <si>
    <t>BE81</t>
  </si>
  <si>
    <t>身体重研夜１．０・初計</t>
  </si>
  <si>
    <t>BE82</t>
  </si>
  <si>
    <t>身体重研夜１．０・２人・初計</t>
  </si>
  <si>
    <t>身体重研夜１．５</t>
  </si>
  <si>
    <t>(2)夜間 １時間以上 １時間３０分未満</t>
  </si>
  <si>
    <t>身体重研夜１．５・２人</t>
  </si>
  <si>
    <t>BE91</t>
  </si>
  <si>
    <t>身体重研夜１．５・初計</t>
  </si>
  <si>
    <t>BE92</t>
  </si>
  <si>
    <t>身体重研夜１．５・２人・初計</t>
  </si>
  <si>
    <t>身体重研夜２．０</t>
  </si>
  <si>
    <t>(3)夜間 １時間３０分以上 ２時間未満</t>
  </si>
  <si>
    <t>身体重研夜２．０・２人</t>
  </si>
  <si>
    <t>BF01</t>
  </si>
  <si>
    <t>身体重研夜２．０・初計</t>
  </si>
  <si>
    <t>BF02</t>
  </si>
  <si>
    <t>身体重研夜２．０・２人・初計</t>
  </si>
  <si>
    <t>身体重研夜２．５</t>
  </si>
  <si>
    <t>(4)夜間 ２時間以上 ２時間３０分未満</t>
  </si>
  <si>
    <t>身体重研夜２．５・２人</t>
  </si>
  <si>
    <t>BF11</t>
  </si>
  <si>
    <t>身体重研夜２．５・初計</t>
  </si>
  <si>
    <t>BF12</t>
  </si>
  <si>
    <t>身体重研夜２．５・２人・初計</t>
  </si>
  <si>
    <t>身体重研夜３．０</t>
  </si>
  <si>
    <t>(5)夜間 ２時間３０分以上 ３時間未満</t>
  </si>
  <si>
    <t>身体重研夜３．０・２人</t>
  </si>
  <si>
    <t>BF21</t>
  </si>
  <si>
    <t>身体重研夜３．０・初計</t>
  </si>
  <si>
    <t>BF22</t>
  </si>
  <si>
    <t>身体重研夜３．０・２人・初計</t>
  </si>
  <si>
    <t>身体重研夜３．５</t>
  </si>
  <si>
    <t>(6)夜間 ３時間以上 ３時間３０分未満</t>
  </si>
  <si>
    <t>身体重研夜３．５・２人</t>
  </si>
  <si>
    <t>BF31</t>
  </si>
  <si>
    <t>身体重研夜３．５・初計</t>
  </si>
  <si>
    <t>BF32</t>
  </si>
  <si>
    <t>身体重研夜３．５・２人・初計</t>
  </si>
  <si>
    <t>身体重研夜４．０</t>
  </si>
  <si>
    <t>(7)夜間 ３時間３０分以上 ４時間未満</t>
  </si>
  <si>
    <t>身体重研夜４．０・２人</t>
  </si>
  <si>
    <t>BF41</t>
  </si>
  <si>
    <t>身体重研夜４．０・初計</t>
  </si>
  <si>
    <t>BF42</t>
  </si>
  <si>
    <t>身体重研夜４．０・２人・初計</t>
  </si>
  <si>
    <t>身体重研夜４．５</t>
  </si>
  <si>
    <t>(8)夜間 ４時間以上 ４時間３０分未満</t>
  </si>
  <si>
    <t>身体重研夜４．５・２人</t>
  </si>
  <si>
    <t>BF51</t>
  </si>
  <si>
    <t>身体重研夜４．５・初計</t>
  </si>
  <si>
    <t>BF52</t>
  </si>
  <si>
    <t>身体重研夜４．５・２人・初計</t>
  </si>
  <si>
    <t>イ　居宅における身体介護　（重度訪問介護研修修了者：深夜のみ）</t>
  </si>
  <si>
    <t>身体重研深１．０</t>
  </si>
  <si>
    <t>(1)深夜 １時間未満</t>
  </si>
  <si>
    <t>身体重研深１．０・２人</t>
  </si>
  <si>
    <t>BF61</t>
  </si>
  <si>
    <t>身体重研深１．０・初計</t>
  </si>
  <si>
    <t>BF62</t>
  </si>
  <si>
    <t>身体重研深１．０・２人・初計</t>
  </si>
  <si>
    <t>身体重研深１．５</t>
  </si>
  <si>
    <t>(2)深夜 １時間以上 １時間３０分未満</t>
  </si>
  <si>
    <t>身体重研深１．５・２人</t>
  </si>
  <si>
    <t>BF71</t>
  </si>
  <si>
    <t>身体重研深１．５・初計</t>
  </si>
  <si>
    <t>BF72</t>
  </si>
  <si>
    <t>身体重研深１．５・２人・初計</t>
  </si>
  <si>
    <t>身体重研深２．０</t>
  </si>
  <si>
    <t>(3)深夜 １時間３０分以上 ２時間未満</t>
  </si>
  <si>
    <t>身体重研深２．０・２人</t>
  </si>
  <si>
    <t>BF81</t>
  </si>
  <si>
    <t>身体重研深２．０・初計</t>
  </si>
  <si>
    <t>BF82</t>
  </si>
  <si>
    <t>身体重研深２．０・２人・初計</t>
  </si>
  <si>
    <t>身体重研深２．５</t>
  </si>
  <si>
    <t>(4)深夜 ２時間以上 ２時間３０分未満</t>
  </si>
  <si>
    <t>身体重研深２．５・２人</t>
  </si>
  <si>
    <t>BF91</t>
  </si>
  <si>
    <t>身体重研深２．５・初計</t>
  </si>
  <si>
    <t>BF92</t>
  </si>
  <si>
    <t>身体重研深２．５・２人・初計</t>
  </si>
  <si>
    <t>身体重研深３．０</t>
  </si>
  <si>
    <t>(5)深夜 ２時間３０分以上 ３時間未満</t>
  </si>
  <si>
    <t>身体重研深３．０・２人</t>
  </si>
  <si>
    <t>BG01</t>
  </si>
  <si>
    <t>身体重研深３．０・初計</t>
  </si>
  <si>
    <t>BG02</t>
  </si>
  <si>
    <t>身体重研深３．０・２人・初計</t>
  </si>
  <si>
    <t>身体重研深３．５</t>
  </si>
  <si>
    <t>(6)深夜 ３時間以上 ３時間３０分未満</t>
  </si>
  <si>
    <t>身体重研深３．５・２人</t>
  </si>
  <si>
    <t>BG11</t>
  </si>
  <si>
    <t>身体重研深３．５・初計</t>
  </si>
  <si>
    <t>BG12</t>
  </si>
  <si>
    <t>身体重研深３．５・２人・初計</t>
  </si>
  <si>
    <t>身体重研深４．０</t>
  </si>
  <si>
    <t>(7)深夜 ３時間３０分以上 ４時間未満</t>
  </si>
  <si>
    <t>身体重研深４．０・２人</t>
  </si>
  <si>
    <t>BG21</t>
  </si>
  <si>
    <t>身体重研深４．０・初計</t>
  </si>
  <si>
    <t>BG22</t>
  </si>
  <si>
    <t>身体重研深４．０・２人・初計</t>
  </si>
  <si>
    <t>身体重研深４．５</t>
  </si>
  <si>
    <t>(8)深夜 ４時間以上 ４時間３０分未満</t>
  </si>
  <si>
    <t>身体重研深４．５・２人</t>
  </si>
  <si>
    <t>BG31</t>
  </si>
  <si>
    <t>身体重研深４．５・初計</t>
  </si>
  <si>
    <t>BG32</t>
  </si>
  <si>
    <t>身体重研深４．５・２人・初計</t>
  </si>
  <si>
    <t>身体重研深５．０</t>
  </si>
  <si>
    <t>(9)深夜 ４時間３０分以上 ５時間未満</t>
  </si>
  <si>
    <t>身体重研深５．０・２人</t>
  </si>
  <si>
    <t>BG41</t>
  </si>
  <si>
    <t>身体重研深５．０・初計</t>
  </si>
  <si>
    <t>BG42</t>
  </si>
  <si>
    <t>身体重研深５．０・２人・初計</t>
  </si>
  <si>
    <t>身体重研深５．５</t>
  </si>
  <si>
    <t>(10)深夜 ５時間以上 ５時間３０分未満</t>
  </si>
  <si>
    <t>身体重研深５．５・２人</t>
  </si>
  <si>
    <t>BG51</t>
  </si>
  <si>
    <t>身体重研深５．５・初計</t>
  </si>
  <si>
    <t>BG52</t>
  </si>
  <si>
    <t>身体重研深５．５・２人・初計</t>
  </si>
  <si>
    <t>身体重研深６．０</t>
  </si>
  <si>
    <t>(11)深夜 ５時間３０分以上 ６時間未満</t>
  </si>
  <si>
    <t>身体重研深６．０・２人</t>
  </si>
  <si>
    <t>BG61</t>
  </si>
  <si>
    <t>身体重研深６．０・初計</t>
  </si>
  <si>
    <t>BG62</t>
  </si>
  <si>
    <t>身体重研深６．０・２人・初計</t>
  </si>
  <si>
    <t>身体重研深６．５</t>
  </si>
  <si>
    <t>(12)深夜 ６時間以上 ６時間３０分未満</t>
  </si>
  <si>
    <t>身体重研深６．５・２人</t>
  </si>
  <si>
    <t>BG71</t>
  </si>
  <si>
    <t>身体重研深６．５・初計</t>
  </si>
  <si>
    <t>BG72</t>
  </si>
  <si>
    <t>身体重研深６．５・２人・初計</t>
  </si>
  <si>
    <t>イ　居宅における身体介護　（重度訪問介護研修修了者：深夜＋早朝）</t>
  </si>
  <si>
    <t>身体重研深１．０・早０．５</t>
  </si>
  <si>
    <t>(1)深夜 １時間未満</t>
    <phoneticPr fontId="1"/>
  </si>
  <si>
    <t>(一)早朝 30分未満</t>
    <phoneticPr fontId="1"/>
  </si>
  <si>
    <t>身体重研深１．０・早０．５・２人</t>
  </si>
  <si>
    <t>加算</t>
  </si>
  <si>
    <t>BG81</t>
  </si>
  <si>
    <t>身体重研深１．０・早０．５・初計</t>
  </si>
  <si>
    <t>BG82</t>
  </si>
  <si>
    <t>身体重研深１．０・早０．５・２人・初計</t>
  </si>
  <si>
    <t>身体重研深１．０・早１．０</t>
  </si>
  <si>
    <t>(二)早朝 ３０分以上 １時間未満</t>
    <phoneticPr fontId="1"/>
  </si>
  <si>
    <t>身体重研深１．０・早１．０・２人</t>
  </si>
  <si>
    <t>BG91</t>
  </si>
  <si>
    <t>身体重研深１．０・早１．０・初計</t>
  </si>
  <si>
    <t>BG92</t>
  </si>
  <si>
    <t>身体重研深１．０・早１．０・２人・初計</t>
  </si>
  <si>
    <t>身体重研深１．０・早１．５</t>
  </si>
  <si>
    <t>(三)早朝 １時間以上 １時間３０分未満</t>
    <phoneticPr fontId="1"/>
  </si>
  <si>
    <t>身体重研深１．０・早１．５・２人</t>
  </si>
  <si>
    <t>BH01</t>
  </si>
  <si>
    <t>身体重研深１．０・早１．５・初計</t>
  </si>
  <si>
    <t>BH02</t>
  </si>
  <si>
    <t>身体重研深１．０・早１．５・２人・初計</t>
  </si>
  <si>
    <t>身体重研深１．０・早２．０</t>
  </si>
  <si>
    <t>身体重研深１．０・早２．０・２人</t>
  </si>
  <si>
    <t>BH11</t>
  </si>
  <si>
    <t>身体重研深１．０・早２．０・初計</t>
  </si>
  <si>
    <t>BH12</t>
  </si>
  <si>
    <t>身体重研深１．０・早２．０・２人・初計</t>
  </si>
  <si>
    <t>身体重研深１．５・早０．５</t>
  </si>
  <si>
    <t>(2)深夜 １時間以上 １時間３０分未満</t>
    <phoneticPr fontId="1"/>
  </si>
  <si>
    <t>(一)早朝 ３０分未満</t>
    <phoneticPr fontId="1"/>
  </si>
  <si>
    <t>身体重研深１．５・早０．５・２人</t>
  </si>
  <si>
    <t>BH21</t>
  </si>
  <si>
    <t>身体重研深１．５・早０．５・初計</t>
  </si>
  <si>
    <t>BH22</t>
  </si>
  <si>
    <t>身体重研深１．５・早０．５・２人・初計</t>
  </si>
  <si>
    <t>身体重研深１．５・早１．０</t>
  </si>
  <si>
    <t>身体重研深１．５・早１．０・２人</t>
  </si>
  <si>
    <t>BH31</t>
  </si>
  <si>
    <t>身体重研深１．５・早１．０・初計</t>
  </si>
  <si>
    <t>BH32</t>
  </si>
  <si>
    <t>身体重研深１．５・早１．０・２人・初計</t>
  </si>
  <si>
    <t>身体重研深１．５・早１．５</t>
  </si>
  <si>
    <t>身体重研深１．５・早１．５・２人</t>
  </si>
  <si>
    <t>BH41</t>
  </si>
  <si>
    <t>身体重研深１．５・早１．５・初計</t>
  </si>
  <si>
    <t>BH42</t>
  </si>
  <si>
    <t>身体重研深１．５・早１．５・２人・初計</t>
  </si>
  <si>
    <t>身体重研深２．０・早０．５</t>
  </si>
  <si>
    <t>(3)深夜 １時間３０分以上 ２時間未満</t>
    <phoneticPr fontId="1"/>
  </si>
  <si>
    <t>身体重研深２．０・早０．５・２人</t>
  </si>
  <si>
    <t>BH51</t>
  </si>
  <si>
    <t>身体重研深２．０・早０．５・初計</t>
  </si>
  <si>
    <t>BH52</t>
  </si>
  <si>
    <t>身体重研深２．０・早０．５・２人・初計</t>
  </si>
  <si>
    <t>身体重研深２．０・早１．０</t>
  </si>
  <si>
    <t>身体重研深２．０・早１．０・２人</t>
  </si>
  <si>
    <t>BH61</t>
  </si>
  <si>
    <t>身体重研深２．０・早１．０・初計</t>
  </si>
  <si>
    <t>BH62</t>
  </si>
  <si>
    <t>身体重研深２．０・早１．０・２人・初計</t>
  </si>
  <si>
    <t>身体重研深２．５・早０．５</t>
  </si>
  <si>
    <t>(4)深夜 ２時間以上 ２時間３０分未満</t>
    <phoneticPr fontId="1"/>
  </si>
  <si>
    <t>身体重研深２．５・早０．５・２人</t>
  </si>
  <si>
    <t>BH71</t>
  </si>
  <si>
    <t>身体重研深２．５・早０．５・初計</t>
  </si>
  <si>
    <t>BH72</t>
  </si>
  <si>
    <t>身体重研深２．５・早０．５・２人・初計</t>
  </si>
  <si>
    <t>イ　居宅における身体介護　（重度訪問介護研修修了者：早朝＋日中）</t>
  </si>
  <si>
    <t>身体重研早１．０・日０．５</t>
  </si>
  <si>
    <t>(1)早朝 １時間未満</t>
    <phoneticPr fontId="1"/>
  </si>
  <si>
    <t>(一)日中 ３０分未満</t>
    <phoneticPr fontId="1"/>
  </si>
  <si>
    <t>身体重研早１．０・日０．５・２人</t>
  </si>
  <si>
    <t>BH81</t>
  </si>
  <si>
    <t>身体重研早１．０・日０．５・初計</t>
  </si>
  <si>
    <t>BH82</t>
  </si>
  <si>
    <t>身体重研早１．０・日０．５・２人・初計</t>
  </si>
  <si>
    <t>身体重研早１．０・日１．０</t>
  </si>
  <si>
    <t>(二)日中 ３０分以上 １時間未満</t>
    <phoneticPr fontId="1"/>
  </si>
  <si>
    <t>身体重研早１．０・日１．０・２人</t>
  </si>
  <si>
    <t>BH91</t>
  </si>
  <si>
    <t>身体重研早１．０・日１．０・初計</t>
  </si>
  <si>
    <t>BH92</t>
  </si>
  <si>
    <t>身体重研早１．０・日１．０・２人・初計</t>
  </si>
  <si>
    <t>身体重研早１．０・日１．５</t>
  </si>
  <si>
    <t>身体重研早１．０・日１．５・２人</t>
  </si>
  <si>
    <t>BJ01</t>
  </si>
  <si>
    <t>身体重研早１．０・日１．５・初計</t>
  </si>
  <si>
    <t>BJ02</t>
  </si>
  <si>
    <t>身体重研早１．０・日１．５・２人・初計</t>
  </si>
  <si>
    <t>身体重研早１．０・日２．０</t>
  </si>
  <si>
    <t>(四)日中 １時間３０分以上 ２時間未満</t>
    <phoneticPr fontId="1"/>
  </si>
  <si>
    <t>身体重研早１．０・日２．０・２人</t>
  </si>
  <si>
    <t>BJ11</t>
  </si>
  <si>
    <t>身体重研早１．０・日２．０・初計</t>
  </si>
  <si>
    <t>BJ12</t>
  </si>
  <si>
    <t>身体重研早１．０・日２．０・２人・初計</t>
  </si>
  <si>
    <t>身体重研早１．５・日０．５</t>
  </si>
  <si>
    <t>(2)早朝 １時間以上 １時間３０分未満</t>
    <phoneticPr fontId="1"/>
  </si>
  <si>
    <t>身体重研早１．５・日０．５・２人</t>
  </si>
  <si>
    <t>BJ21</t>
  </si>
  <si>
    <t>身体重研早１．５・日０．５・初計</t>
  </si>
  <si>
    <t>BJ22</t>
  </si>
  <si>
    <t>身体重研早１．５・日０．５・２人・初計</t>
  </si>
  <si>
    <t>身体重研早１．５・日１．０</t>
  </si>
  <si>
    <t>身体重研早１．５・日１．０・２人</t>
  </si>
  <si>
    <t>BJ31</t>
  </si>
  <si>
    <t>身体重研早１．５・日１．０・初計</t>
  </si>
  <si>
    <t>BJ32</t>
  </si>
  <si>
    <t>身体重研早１．５・日１．０・２人・初計</t>
  </si>
  <si>
    <t>身体重研早１．５・日１．５</t>
  </si>
  <si>
    <t>身体重研早１．５・日１．５・２人</t>
  </si>
  <si>
    <t>BJ41</t>
  </si>
  <si>
    <t>身体重研早１．５・日１．５・初計</t>
  </si>
  <si>
    <t>BJ42</t>
  </si>
  <si>
    <t>身体重研早１．５・日１．５・２人・初計</t>
  </si>
  <si>
    <t>身体重研早２．０・日０．５</t>
  </si>
  <si>
    <t>(3)早朝 １時間３０分以上 ２時間未満</t>
    <phoneticPr fontId="1"/>
  </si>
  <si>
    <t>身体重研早２．０・日０．５・２人</t>
  </si>
  <si>
    <t>BJ51</t>
  </si>
  <si>
    <t>身体重研早２．０・日０．５・初計</t>
  </si>
  <si>
    <t>BJ52</t>
  </si>
  <si>
    <t>身体重研早２．０・日０．５・２人・初計</t>
  </si>
  <si>
    <t>身体重研早２．０・日１．０</t>
  </si>
  <si>
    <t>身体重研早２．０・日１．０・２人</t>
  </si>
  <si>
    <t>BJ61</t>
  </si>
  <si>
    <t>身体重研早２．０・日１．０・初計</t>
  </si>
  <si>
    <t>BJ62</t>
  </si>
  <si>
    <t>身体重研早２．０・日１．０・２人・初計</t>
  </si>
  <si>
    <t>身体重研早２．５・日０．５</t>
  </si>
  <si>
    <t>(4)早朝 ２時間以上 ２時間３０分未満</t>
    <phoneticPr fontId="1"/>
  </si>
  <si>
    <t>身体重研早２．５・日０．５・２人</t>
  </si>
  <si>
    <t>BJ71</t>
  </si>
  <si>
    <t>身体重研早２．５・日０．５・初計</t>
  </si>
  <si>
    <t>BJ72</t>
  </si>
  <si>
    <t>身体重研早２．５・日０．５・２人・初計</t>
  </si>
  <si>
    <t>イ　居宅における身体介護　（重度訪問介護研修修了者：日中＋夜間）</t>
  </si>
  <si>
    <t>身体重研日１．０・夜０．５</t>
  </si>
  <si>
    <t>(1)日中 １時間未満</t>
    <phoneticPr fontId="1"/>
  </si>
  <si>
    <t>(一)夜間 ３０分未満</t>
    <phoneticPr fontId="1"/>
  </si>
  <si>
    <t>身体重研日１．０・夜０．５・２人</t>
  </si>
  <si>
    <t>BJ81</t>
  </si>
  <si>
    <t>身体重研日１．０・夜０．５・初計</t>
  </si>
  <si>
    <t>BJ82</t>
  </si>
  <si>
    <t>身体重研日１．０・夜０．５・２人・初計</t>
  </si>
  <si>
    <t>身体重研日１．０・夜１．０</t>
  </si>
  <si>
    <t>(二)夜間 ３０分以上 １時間未満</t>
    <phoneticPr fontId="1"/>
  </si>
  <si>
    <t>身体重研日１．０・夜１．０・２人</t>
  </si>
  <si>
    <t>BJ91</t>
  </si>
  <si>
    <t>身体重研日１．０・夜１．０・初計</t>
  </si>
  <si>
    <t>BJ92</t>
  </si>
  <si>
    <t>身体重研日１．０・夜１．０・２人・初計</t>
  </si>
  <si>
    <t>身体重研日１．０・夜１．５</t>
  </si>
  <si>
    <t>(三)夜間 １時間以上 １時間３０分未満</t>
    <phoneticPr fontId="1"/>
  </si>
  <si>
    <t>身体重研日１．０・夜１．５・２人</t>
  </si>
  <si>
    <t>BK01</t>
  </si>
  <si>
    <t>身体重研日１．０・夜１．５・初計</t>
  </si>
  <si>
    <t>BK02</t>
  </si>
  <si>
    <t>身体重研日１．０・夜１．５・２人・初計</t>
  </si>
  <si>
    <t>身体重研日１．０・夜２．０</t>
  </si>
  <si>
    <t>(四)夜間 １時間３０分以上 ２時間未満</t>
    <phoneticPr fontId="1"/>
  </si>
  <si>
    <t>身体重研日１．０・夜２．０・２人</t>
  </si>
  <si>
    <t>BK11</t>
  </si>
  <si>
    <t>身体重研日１．０・夜２．０・初計</t>
  </si>
  <si>
    <t>BK12</t>
  </si>
  <si>
    <t>身体重研日１．０・夜２．０・２人・初計</t>
  </si>
  <si>
    <t>身体重研日１．５・夜０．５</t>
  </si>
  <si>
    <t>(2)日中 １時間以上 １時間３０分未満</t>
    <phoneticPr fontId="1"/>
  </si>
  <si>
    <t>身体重研日１．５・夜０．５・２人</t>
  </si>
  <si>
    <t>BK21</t>
  </si>
  <si>
    <t>身体重研日１．５・夜０．５・初計</t>
  </si>
  <si>
    <t>BK22</t>
  </si>
  <si>
    <t>身体重研日１．５・夜０．５・２人・初計</t>
  </si>
  <si>
    <t>身体重研日１．５・夜１．０</t>
  </si>
  <si>
    <t>身体重研日１．５・夜１．０・２人</t>
  </si>
  <si>
    <t>BK31</t>
  </si>
  <si>
    <t>身体重研日１．５・夜１．０・初計</t>
  </si>
  <si>
    <t>BK32</t>
  </si>
  <si>
    <t>身体重研日１．５・夜１．０・２人・初計</t>
  </si>
  <si>
    <t>身体重研日１．５・夜１．５</t>
  </si>
  <si>
    <t>身体重研日１．５・夜１．５・２人</t>
  </si>
  <si>
    <t>BK41</t>
  </si>
  <si>
    <t>身体重研日１．５・夜１．５・初計</t>
  </si>
  <si>
    <t>BK42</t>
  </si>
  <si>
    <t>身体重研日１．５・夜１．５・２人・初計</t>
  </si>
  <si>
    <t>身体重研日２．０・夜０．５</t>
  </si>
  <si>
    <t>(3)日中 １時間３０分以上 ２時間未満</t>
    <phoneticPr fontId="1"/>
  </si>
  <si>
    <t>身体重研日２．０・夜０．５・２人</t>
  </si>
  <si>
    <t>BK51</t>
  </si>
  <si>
    <t>身体重研日２．０・夜０．５・初計</t>
  </si>
  <si>
    <t>BK52</t>
  </si>
  <si>
    <t>身体重研日２．０・夜０．５・２人・初計</t>
  </si>
  <si>
    <t>身体重研日２．０・夜１．０</t>
  </si>
  <si>
    <t>身体重研日２．０・夜１．０・２人</t>
  </si>
  <si>
    <t>BK61</t>
  </si>
  <si>
    <t>身体重研日２．０・夜１．０・初計</t>
  </si>
  <si>
    <t>BK62</t>
  </si>
  <si>
    <t>身体重研日２．０・夜１．０・２人・初計</t>
  </si>
  <si>
    <t>身体重研日２．５・夜０．５</t>
  </si>
  <si>
    <t>(4)日中 ２時間以上 ２時間３０分未満</t>
    <phoneticPr fontId="1"/>
  </si>
  <si>
    <t>身体重研日２．５・夜０．５・２人</t>
  </si>
  <si>
    <t>BK71</t>
  </si>
  <si>
    <t>身体重研日２．５・夜０．５・初計</t>
  </si>
  <si>
    <t>BK72</t>
  </si>
  <si>
    <t>身体重研日２．５・夜０．５・２人・初計</t>
  </si>
  <si>
    <t>イ　居宅における身体介護　（重度訪問介護研修修了者：夜間＋深夜）</t>
  </si>
  <si>
    <t>身体重研夜１．０・深０．５</t>
  </si>
  <si>
    <t>(1)夜間 １時間未満</t>
    <phoneticPr fontId="1"/>
  </si>
  <si>
    <t>(一)深夜 ３０分未満</t>
    <phoneticPr fontId="1"/>
  </si>
  <si>
    <t>身体重研夜１．０・深０．５・２人</t>
  </si>
  <si>
    <t>BK81</t>
  </si>
  <si>
    <t>身体重研夜１．０・深０．５・初計</t>
  </si>
  <si>
    <t>BK82</t>
  </si>
  <si>
    <t>身体重研夜１．０・深０．５・２人・初計</t>
  </si>
  <si>
    <t>身体重研夜１．０・深１．０</t>
  </si>
  <si>
    <t>(二)深夜 ３０分以上 １時間未満</t>
    <phoneticPr fontId="1"/>
  </si>
  <si>
    <t>身体重研夜１．０・深１．０・２人</t>
  </si>
  <si>
    <t>BK91</t>
  </si>
  <si>
    <t>身体重研夜１．０・深１．０・初計</t>
  </si>
  <si>
    <t>BK92</t>
  </si>
  <si>
    <t>身体重研夜１．０・深１．０・２人・初計</t>
  </si>
  <si>
    <t>身体重研夜１．０・深１．５</t>
  </si>
  <si>
    <t>(三)深夜 １時間以上 １時間３０分未満</t>
    <phoneticPr fontId="1"/>
  </si>
  <si>
    <t>身体重研夜１．０・深１．５・２人</t>
  </si>
  <si>
    <t>BL01</t>
  </si>
  <si>
    <t>身体重研夜１．０・深１．５・初計</t>
  </si>
  <si>
    <t>BL02</t>
  </si>
  <si>
    <t>身体重研夜１．０・深１．５・２人・初計</t>
  </si>
  <si>
    <t>身体重研夜１．０・深２．０</t>
  </si>
  <si>
    <t>(四)深夜 １時間３０分以上 ２時間未満</t>
    <phoneticPr fontId="1"/>
  </si>
  <si>
    <t>身体重研夜１．０・深２．０・２人</t>
  </si>
  <si>
    <t>BL11</t>
  </si>
  <si>
    <t>身体重研夜１．０・深２．０・初計</t>
  </si>
  <si>
    <t>BL12</t>
  </si>
  <si>
    <t>身体重研夜１．０・深２．０・２人・初計</t>
  </si>
  <si>
    <t>身体重研夜１．５・深０．５</t>
  </si>
  <si>
    <t>(2)夜間 １時間以上 １時間３０分未満</t>
    <phoneticPr fontId="1"/>
  </si>
  <si>
    <t>身体重研夜１．５・深０．５・２人</t>
  </si>
  <si>
    <t>BL21</t>
  </si>
  <si>
    <t>身体重研夜１．５・深０．５・初計</t>
  </si>
  <si>
    <t>BL22</t>
  </si>
  <si>
    <t>身体重研夜１．５・深０．５・２人・初計</t>
  </si>
  <si>
    <t>身体重研夜１．５・深１．０</t>
  </si>
  <si>
    <t>身体重研夜１．５・深１．０・２人</t>
  </si>
  <si>
    <t>BL31</t>
  </si>
  <si>
    <t>身体重研夜１．５・深１．０・初計</t>
  </si>
  <si>
    <t>BL32</t>
  </si>
  <si>
    <t>身体重研夜１．５・深１．０・２人・初計</t>
  </si>
  <si>
    <t>身体重研夜１．５・深１．５</t>
  </si>
  <si>
    <t>身体重研夜１．５・深１．５・２人</t>
  </si>
  <si>
    <t>BL41</t>
  </si>
  <si>
    <t>身体重研夜１．５・深１．５・初計</t>
  </si>
  <si>
    <t>BL42</t>
  </si>
  <si>
    <t>身体重研夜１．５・深１．５・２人・初計</t>
  </si>
  <si>
    <t>身体重研夜２．０・深０．５</t>
  </si>
  <si>
    <t>(3)夜間 １時間３０分以上 ２時間未満</t>
    <phoneticPr fontId="1"/>
  </si>
  <si>
    <t>身体重研夜２．０・深０．５・２人</t>
  </si>
  <si>
    <t>BL51</t>
  </si>
  <si>
    <t>身体重研夜２．０・深０．５・初計</t>
  </si>
  <si>
    <t>BL52</t>
  </si>
  <si>
    <t>身体重研夜２．０・深０．５・２人・初計</t>
  </si>
  <si>
    <t>身体重研夜２．０・深１．０</t>
  </si>
  <si>
    <t>身体重研夜２．０・深１．０・２人</t>
  </si>
  <si>
    <t>BL61</t>
  </si>
  <si>
    <t>身体重研夜２．０・深１．０・初計</t>
  </si>
  <si>
    <t>BL62</t>
  </si>
  <si>
    <t>身体重研夜２．０・深１．０・２人・初計</t>
  </si>
  <si>
    <t>身体重研夜２．５・深０．５</t>
  </si>
  <si>
    <t>(4)夜間 ２時間以上 ２時間３０分未満</t>
    <phoneticPr fontId="1"/>
  </si>
  <si>
    <t>身体重研夜２．５・深０．５・２人</t>
  </si>
  <si>
    <t>BL71</t>
  </si>
  <si>
    <t>身体重研夜２．５・深０．５・初計</t>
  </si>
  <si>
    <t>BL72</t>
  </si>
  <si>
    <t>身体重研夜２．５・深０．５・２人・初計</t>
  </si>
  <si>
    <t>イ　居宅における身体介護　（重度訪問介護研修修了者：日を跨る場合　２日目深夜増分）</t>
  </si>
  <si>
    <t>身体重研日跨増深１．０・深０．５</t>
  </si>
  <si>
    <t>1日目</t>
    <rPh sb="1" eb="2">
      <t>ニチ</t>
    </rPh>
    <rPh sb="2" eb="3">
      <t>メ</t>
    </rPh>
    <phoneticPr fontId="1"/>
  </si>
  <si>
    <t>２日目</t>
    <rPh sb="1" eb="2">
      <t>ニチ</t>
    </rPh>
    <rPh sb="2" eb="3">
      <t>メ</t>
    </rPh>
    <phoneticPr fontId="1"/>
  </si>
  <si>
    <t>身体重研日跨増深１．０・深０．５・２人</t>
  </si>
  <si>
    <t>BL81</t>
  </si>
  <si>
    <t>身体重研日跨増深１．０・深０．５・初計</t>
  </si>
  <si>
    <t>BL82</t>
  </si>
  <si>
    <t>身体重研日跨増深１．０・深０．５・２人・初計</t>
  </si>
  <si>
    <t>身体重研日跨増深１．０・深１．０</t>
  </si>
  <si>
    <t>身体重研日跨増深１．０・深１．０・２人</t>
  </si>
  <si>
    <t>BL91</t>
  </si>
  <si>
    <t>身体重研日跨増深１．０・深１．０・初計</t>
  </si>
  <si>
    <t>BL92</t>
  </si>
  <si>
    <t>身体重研日跨増深１．０・深１．０・２人・初計</t>
  </si>
  <si>
    <t>身体重研日跨増深１．０・深１．５</t>
  </si>
  <si>
    <t>身体重研日跨増深１．０・深１．５・２人</t>
  </si>
  <si>
    <t>BM01</t>
  </si>
  <si>
    <t>身体重研日跨増深１．０・深１．５・初計</t>
  </si>
  <si>
    <t>BM02</t>
  </si>
  <si>
    <t>身体重研日跨増深１．０・深１．５・２人・初計</t>
  </si>
  <si>
    <t>身体重研日跨増深１．０・深２．０</t>
  </si>
  <si>
    <t>身体重研日跨増深１．０・深２．０・２人</t>
  </si>
  <si>
    <t>BM11</t>
  </si>
  <si>
    <t>身体重研日跨増深１．０・深２．０・初計</t>
  </si>
  <si>
    <t>BM12</t>
  </si>
  <si>
    <t>身体重研日跨増深１．０・深２．０・２人・初計</t>
  </si>
  <si>
    <t>身体重研日跨増深１．５・深０．５</t>
  </si>
  <si>
    <t>身体重研日跨増深１．５・深０．５・２人</t>
  </si>
  <si>
    <t>BM21</t>
  </si>
  <si>
    <t>身体重研日跨増深１．５・深０．５・初計</t>
  </si>
  <si>
    <t>BM22</t>
  </si>
  <si>
    <t>身体重研日跨増深１．５・深０．５・２人・初計</t>
  </si>
  <si>
    <t>身体重研日跨増深１．５・深１．０</t>
  </si>
  <si>
    <t>身体重研日跨増深１．５・深１．０・２人</t>
  </si>
  <si>
    <t>BM31</t>
  </si>
  <si>
    <t>身体重研日跨増深１．５・深１．０・初計</t>
  </si>
  <si>
    <t>BM32</t>
  </si>
  <si>
    <t>身体重研日跨増深１．５・深１．０・２人・初計</t>
  </si>
  <si>
    <t>身体重研日跨増深１．５・深１．５</t>
  </si>
  <si>
    <t>身体重研日跨増深１．５・深１．５・２人</t>
  </si>
  <si>
    <t>BM41</t>
  </si>
  <si>
    <t>身体重研日跨増深１．５・深１．５・初計</t>
  </si>
  <si>
    <t>BM42</t>
  </si>
  <si>
    <t>身体重研日跨増深１．５・深１．５・２人・初計</t>
  </si>
  <si>
    <t>身体重研日跨増深２．０・深０．５</t>
  </si>
  <si>
    <t>身体重研日跨増深２．０・深０．５・２人</t>
  </si>
  <si>
    <t>BM51</t>
  </si>
  <si>
    <t>身体重研日跨増深２．０・深０．５・初計</t>
  </si>
  <si>
    <t>BM52</t>
  </si>
  <si>
    <t>身体重研日跨増深２．０・深０．５・２人・初計</t>
  </si>
  <si>
    <t>身体重研日跨増深２．０・深１．０</t>
  </si>
  <si>
    <t>身体重研日跨増深２．０・深１．０・２人</t>
  </si>
  <si>
    <t>BM61</t>
  </si>
  <si>
    <t>身体重研日跨増深２．０・深１．０・初計</t>
  </si>
  <si>
    <t>BM62</t>
  </si>
  <si>
    <t>身体重研日跨増深２．０・深１．０・２人・初計</t>
  </si>
  <si>
    <t>身体重研日跨増深２．５・深０．５</t>
  </si>
  <si>
    <t>身体重研日跨増深２．５・深０．５・２人</t>
  </si>
  <si>
    <t>BM71</t>
  </si>
  <si>
    <t>身体重研日跨増深２．５・深０．５・初計</t>
  </si>
  <si>
    <t>BM72</t>
  </si>
  <si>
    <t>身体重研日跨増深２．５・深０．５・２人・初計</t>
  </si>
  <si>
    <t>イ　居宅における身体介護　（重度訪問介護研修修了者：深夜＋日中）　※サービス間隔が２時間未満の場合</t>
  </si>
  <si>
    <t>B</t>
    <phoneticPr fontId="1"/>
  </si>
  <si>
    <t>身体重研深１．０・日０．５</t>
  </si>
  <si>
    <t>身体重研深１．０・日０．５・２人</t>
  </si>
  <si>
    <t>BM81</t>
  </si>
  <si>
    <t>身体重研深１．０・日０．５・初計</t>
  </si>
  <si>
    <t>BM82</t>
  </si>
  <si>
    <t>身体重研深１．０・日０．５・２人・初計</t>
  </si>
  <si>
    <t>身体重研深１．０・日１．０</t>
  </si>
  <si>
    <t>身体重研深１．０・日１．０・２人</t>
  </si>
  <si>
    <t>BM91</t>
  </si>
  <si>
    <t>身体重研深１．０・日１．０・初計</t>
  </si>
  <si>
    <t>BM92</t>
  </si>
  <si>
    <t>身体重研深１．０・日１．０・２人・初計</t>
  </si>
  <si>
    <t>身体重研深１．０・日１．５</t>
  </si>
  <si>
    <t>身体重研深１．０・日１．５・２人</t>
  </si>
  <si>
    <t>BN01</t>
  </si>
  <si>
    <t>身体重研深１．０・日１．５・初計</t>
  </si>
  <si>
    <t>BN02</t>
  </si>
  <si>
    <t>身体重研深１．０・日１．５・２人・初計</t>
  </si>
  <si>
    <t>身体重研深１．０・日２．０</t>
  </si>
  <si>
    <t>身体重研深１．０・日２．０・２人</t>
  </si>
  <si>
    <t>BN11</t>
  </si>
  <si>
    <t>身体重研深１．０・日２．０・初計</t>
  </si>
  <si>
    <t>BN12</t>
  </si>
  <si>
    <t>身体重研深１．０・日２．０・２人・初計</t>
  </si>
  <si>
    <t>身体重研深１．５・日０．５</t>
  </si>
  <si>
    <t>身体重研深１．５・日０．５・２人</t>
  </si>
  <si>
    <t>BN21</t>
  </si>
  <si>
    <t>身体重研深１．５・日０．５・初計</t>
  </si>
  <si>
    <t>BN22</t>
  </si>
  <si>
    <t>身体重研深１．５・日０．５・２人・初計</t>
  </si>
  <si>
    <t>身体重研深１．５・日１．０</t>
  </si>
  <si>
    <t>身体重研深１．５・日１．０・２人</t>
  </si>
  <si>
    <t>BN31</t>
  </si>
  <si>
    <t>身体重研深１．５・日１．０・初計</t>
  </si>
  <si>
    <t>BN32</t>
  </si>
  <si>
    <t>身体重研深１．５・日１．０・２人・初計</t>
  </si>
  <si>
    <t>身体重研深１．５・日１．５</t>
  </si>
  <si>
    <t>身体重研深１．５・日１．５・２人</t>
  </si>
  <si>
    <t>BN41</t>
  </si>
  <si>
    <t>身体重研深１．５・日１．５・初計</t>
  </si>
  <si>
    <t>BN42</t>
  </si>
  <si>
    <t>身体重研深１．５・日１．５・２人・初計</t>
  </si>
  <si>
    <t>身体重研深２．０・日０．５</t>
  </si>
  <si>
    <t>身体重研深２．０・日０．５・２人</t>
  </si>
  <si>
    <t>BN51</t>
  </si>
  <si>
    <t>身体重研深２．０・日０．５・初計</t>
  </si>
  <si>
    <t>BN52</t>
  </si>
  <si>
    <t>身体重研深２．０・日０．５・２人・初計</t>
  </si>
  <si>
    <t>身体重研深２．０・日１．０</t>
  </si>
  <si>
    <t>身体重研深２．０・日１．０・２人</t>
  </si>
  <si>
    <t>BN61</t>
  </si>
  <si>
    <t>身体重研深２．０・日１．０・初計</t>
  </si>
  <si>
    <t>BN62</t>
  </si>
  <si>
    <t>身体重研深２．０・日１．０・２人・初計</t>
  </si>
  <si>
    <t>身体重研深２．５・日０．５</t>
  </si>
  <si>
    <t>身体重研深２．５・日０．５・２人</t>
  </si>
  <si>
    <t>BN71</t>
  </si>
  <si>
    <t>身体重研深２．５・日０．５・初計</t>
  </si>
  <si>
    <t>BN72</t>
  </si>
  <si>
    <t>身体重研深２．５・日０．５・２人・初計</t>
  </si>
  <si>
    <t>イ　居宅における身体介護　（重度訪問介護研修修了者：深夜＋早朝＋日中）　※サービス間隔が２時間未満の場合</t>
  </si>
  <si>
    <t>身体重研深１．０・早０．５・日０．５</t>
  </si>
  <si>
    <t>身体重研深１．０・早０．５・日０．５・２人</t>
  </si>
  <si>
    <t>BN81</t>
  </si>
  <si>
    <t>身体重研深１．０・早０．５・日０．５・初計</t>
  </si>
  <si>
    <t>BN82</t>
  </si>
  <si>
    <t>身体重研深１．０・早０．５・日０．５・２人・初計</t>
  </si>
  <si>
    <t>身体重研深１．０・早０．５・日１．０</t>
  </si>
  <si>
    <t>身体重研深１．０・早０．５・日１．０・２人</t>
  </si>
  <si>
    <t>BN91</t>
  </si>
  <si>
    <t>身体重研深１．０・早０．５・日１．０・初計</t>
  </si>
  <si>
    <t>BN92</t>
  </si>
  <si>
    <t>身体重研深１．０・早０．５・日１．０・２人・初計</t>
  </si>
  <si>
    <t>身体重研深１．０・早０．５・日１．５</t>
  </si>
  <si>
    <t>身体重研深１．０・早０．５・日１．５・２人</t>
  </si>
  <si>
    <t>BP01</t>
  </si>
  <si>
    <t>身体重研深１．０・早０．５・日１．５・初計</t>
  </si>
  <si>
    <t>BP02</t>
  </si>
  <si>
    <t>身体重研深１．０・早０．５・日１．５・２人・初計</t>
  </si>
  <si>
    <t>身体重研深１．０・早１．０・日０．５</t>
  </si>
  <si>
    <t>身体重研深１．０・早１．０・日０．５・２人</t>
  </si>
  <si>
    <t>BP11</t>
  </si>
  <si>
    <t>身体重研深１．０・早１．０・日０．５・初計</t>
  </si>
  <si>
    <t>BP12</t>
  </si>
  <si>
    <t>身体重研深１．０・早１．０・日０．５・２人・初計</t>
  </si>
  <si>
    <t>身体重研深１．０・早１．０・日１．０</t>
  </si>
  <si>
    <t>身体重研深１．０・早１．０・日１．０・２人</t>
  </si>
  <si>
    <t>BP21</t>
  </si>
  <si>
    <t>身体重研深１．０・早１．０・日１．０・初計</t>
  </si>
  <si>
    <t>BP22</t>
  </si>
  <si>
    <t>身体重研深１．０・早１．０・日１．０・２人・初計</t>
  </si>
  <si>
    <t>身体重研深１．０・早１．５・日０．５</t>
  </si>
  <si>
    <t>身体重研深１．０・早１．５・日０．５・２人</t>
  </si>
  <si>
    <t>BP31</t>
  </si>
  <si>
    <t>身体重研深１．０・早１．５・日０．５・初計</t>
  </si>
  <si>
    <t>BP32</t>
  </si>
  <si>
    <t>身体重研深１．０・早１．５・日０．５・２人・初計</t>
  </si>
  <si>
    <t>身体重研深１．５・早０．５・日０．５</t>
  </si>
  <si>
    <t>身体重研深１．５・早０．５・日０．５・２人</t>
  </si>
  <si>
    <t>BP41</t>
  </si>
  <si>
    <t>身体重研深１．５・早０．５・日０．５・初計</t>
  </si>
  <si>
    <t>BP42</t>
  </si>
  <si>
    <t>身体重研深１．５・早０．５・日０．５・２人・初計</t>
  </si>
  <si>
    <t>身体重研深１．５・早０．５・日１．０</t>
  </si>
  <si>
    <t>身体重研深１．５・早０．５・日１．０・２人</t>
  </si>
  <si>
    <t>BP51</t>
  </si>
  <si>
    <t>身体重研深１．５・早０．５・日１．０・初計</t>
  </si>
  <si>
    <t>BP52</t>
  </si>
  <si>
    <t>身体重研深１．５・早０．５・日１．０・２人・初計</t>
  </si>
  <si>
    <t>身体重研深１．５・早１．０・日０．５</t>
  </si>
  <si>
    <t>身体重研深１．５・早１．０・日０．５・２人</t>
  </si>
  <si>
    <t>BP61</t>
  </si>
  <si>
    <t>身体重研深１．５・早１．０・日０．５・初計</t>
  </si>
  <si>
    <t>BP62</t>
  </si>
  <si>
    <t>身体重研深１．５・早１．０・日０．５・２人・初計</t>
  </si>
  <si>
    <t>身体重研深２．０・早０．５・日０．５</t>
  </si>
  <si>
    <t>身体重研深２．０・早０．５・日０．５・２人</t>
  </si>
  <si>
    <t>BP71</t>
  </si>
  <si>
    <t>身体重研深２．０・早０．５・日０．５・初計</t>
  </si>
  <si>
    <t>BP72</t>
  </si>
  <si>
    <t>身体重研深２．０・早０．５・日０．５・２人・初計</t>
  </si>
  <si>
    <t>イ　居宅における身体介護　（重度訪問介護研修修了者：日中+夜間+深夜）　※サービス間隔が２時間未満の場合</t>
  </si>
  <si>
    <t>身体重研日１．０・夜０．５・深０．５</t>
  </si>
  <si>
    <t>身体重研日１．０・夜０．５・深０．５・２人</t>
  </si>
  <si>
    <t>BP81</t>
  </si>
  <si>
    <t>身体重研日１．０・夜０．５・深０．５・初計</t>
  </si>
  <si>
    <t>BP82</t>
  </si>
  <si>
    <t>身体重研日１．０・夜０．５・深０．５・２人・初計</t>
  </si>
  <si>
    <t>身体重研日１．０・夜０．５・深１．０</t>
  </si>
  <si>
    <t>身体重研日１．０・夜０．５・深１．０・２人</t>
  </si>
  <si>
    <t>BP91</t>
  </si>
  <si>
    <t>身体重研日１．０・夜０．５・深１．０・初計</t>
  </si>
  <si>
    <t>BP92</t>
  </si>
  <si>
    <t>身体重研日１．０・夜０．５・深１．０・２人・初計</t>
  </si>
  <si>
    <t>身体重研日１．０・夜０．５・深１．５</t>
  </si>
  <si>
    <t>身体重研日１．０・夜０．５・深１．５・２人</t>
  </si>
  <si>
    <t>BR01</t>
  </si>
  <si>
    <t>身体重研日１．０・夜０．５・深１．５・初計</t>
  </si>
  <si>
    <t>BR02</t>
  </si>
  <si>
    <t>身体重研日１．０・夜０．５・深１．５・２人・初計</t>
  </si>
  <si>
    <t>身体重研日１．０・夜１．０・深０．５</t>
  </si>
  <si>
    <t>身体重研日１．０・夜１．０・深０．５・２人</t>
  </si>
  <si>
    <t>BR11</t>
  </si>
  <si>
    <t>身体重研日１．０・夜１．０・深０．５・初計</t>
  </si>
  <si>
    <t>BR12</t>
  </si>
  <si>
    <t>身体重研日１．０・夜１．０・深０．５・２人・初計</t>
  </si>
  <si>
    <t>身体重研日１．０・夜１．０・深１．０</t>
  </si>
  <si>
    <t>身体重研日１．０・夜１．０・深１．０・２人</t>
  </si>
  <si>
    <t>BR21</t>
  </si>
  <si>
    <t>身体重研日１．０・夜１．０・深１．０・初計</t>
  </si>
  <si>
    <t>BR22</t>
  </si>
  <si>
    <t>身体重研日１．０・夜１．０・深１．０・２人・初計</t>
  </si>
  <si>
    <t>身体重研日１．０・夜１．５・深０．５</t>
  </si>
  <si>
    <t>身体重研日１．０・夜１．５・深０．５・２人</t>
  </si>
  <si>
    <t>BR31</t>
  </si>
  <si>
    <t>身体重研日１．０・夜１．５・深０．５・初計</t>
  </si>
  <si>
    <t>BR32</t>
  </si>
  <si>
    <t>身体重研日１．０・夜１．５・深０．５・２人・初計</t>
  </si>
  <si>
    <t>身体重研日１．５・夜０．５・深０．５</t>
  </si>
  <si>
    <t>身体重研日１．５・夜０．５・深０．５・２人</t>
  </si>
  <si>
    <t>BR41</t>
  </si>
  <si>
    <t>身体重研日１．５・夜０．５・深０．５・初計</t>
  </si>
  <si>
    <t>BR42</t>
  </si>
  <si>
    <t>身体重研日１．５・夜０．５・深０．５・２人・初計</t>
  </si>
  <si>
    <t>身体重研日１．５・夜０．５・深１．０</t>
  </si>
  <si>
    <t>身体重研日１．５・夜０．５・深１．０・２人</t>
  </si>
  <si>
    <t>BR51</t>
  </si>
  <si>
    <t>身体重研日１．５・夜０．５・深１．０・初計</t>
  </si>
  <si>
    <t>BR52</t>
  </si>
  <si>
    <t>身体重研日１．５・夜０．５・深１．０・２人・初計</t>
  </si>
  <si>
    <t>身体重研日１．５・夜１．０・深０．５</t>
  </si>
  <si>
    <t>身体重研日１．５・夜１．０・深０．５・２人</t>
  </si>
  <si>
    <t>BR61</t>
  </si>
  <si>
    <t>身体重研日１．５・夜１．０・深０．５・初計</t>
  </si>
  <si>
    <t>BR62</t>
  </si>
  <si>
    <t>身体重研日１．５・夜１．０・深０．５・２人・初計</t>
  </si>
  <si>
    <t>身体重研日２．０・夜０．５・深０．５</t>
  </si>
  <si>
    <t>身体重研日２．０・夜０．５・深０．５・２人</t>
  </si>
  <si>
    <t>BR71</t>
  </si>
  <si>
    <t>身体重研日２．０・夜０．５・深０．５・初計</t>
  </si>
  <si>
    <t>BR72</t>
  </si>
  <si>
    <t>身体重研日２．０・夜０．５・深０．５・２人・初計</t>
  </si>
  <si>
    <t>イ　居宅における身体介護　（重度訪問介護研修修了者：日中増分)</t>
  </si>
  <si>
    <t>身体重研日増０．５</t>
  </si>
  <si>
    <t>身体重研日増０．５・２人</t>
  </si>
  <si>
    <t>BR81</t>
  </si>
  <si>
    <t>身体重研日増０．５・初計</t>
  </si>
  <si>
    <t>BR82</t>
  </si>
  <si>
    <t>身体重研日増０．５・２人・初計</t>
  </si>
  <si>
    <t>身体重研日増１．０</t>
  </si>
  <si>
    <t>身体重研日増１．０・２人</t>
  </si>
  <si>
    <t>BR91</t>
  </si>
  <si>
    <t>身体重研日増１．０・初計</t>
  </si>
  <si>
    <t>BR92</t>
  </si>
  <si>
    <t>身体重研日増１．０・２人・初計</t>
  </si>
  <si>
    <t>身体重研日増１．５</t>
  </si>
  <si>
    <t>身体重研日増１．５・２人</t>
  </si>
  <si>
    <t>BS01</t>
  </si>
  <si>
    <t>身体重研日増１．５・初計</t>
  </si>
  <si>
    <t>BS02</t>
  </si>
  <si>
    <t>身体重研日増１．５・２人・初計</t>
  </si>
  <si>
    <t>身体重研日増２．０</t>
  </si>
  <si>
    <t>身体重研日増２．０・２人</t>
  </si>
  <si>
    <t>BS11</t>
  </si>
  <si>
    <t>身体重研日増２．０・初計</t>
  </si>
  <si>
    <t>BS12</t>
  </si>
  <si>
    <t>身体重研日増２．０・２人・初計</t>
  </si>
  <si>
    <t>身体重研日増２．５</t>
  </si>
  <si>
    <t>身体重研日増２．５・２人</t>
  </si>
  <si>
    <t>BS21</t>
  </si>
  <si>
    <t>身体重研日増２．５・初計</t>
  </si>
  <si>
    <t>BS22</t>
  </si>
  <si>
    <t>身体重研日増２．５・２人・初計</t>
  </si>
  <si>
    <t>身体重研日増３．０</t>
  </si>
  <si>
    <t>身体重研日増３．０・２人</t>
  </si>
  <si>
    <t>BS31</t>
  </si>
  <si>
    <t>身体重研日増３．０・初計</t>
  </si>
  <si>
    <t>BS32</t>
  </si>
  <si>
    <t>身体重研日増３．０・２人・初計</t>
  </si>
  <si>
    <t>身体重研日増３．５</t>
  </si>
  <si>
    <t>身体重研日増３．５・２人</t>
  </si>
  <si>
    <t>BS41</t>
  </si>
  <si>
    <t>身体重研日増３．５・初計</t>
  </si>
  <si>
    <t>BS42</t>
  </si>
  <si>
    <t>身体重研日増３．５・２人・初計</t>
  </si>
  <si>
    <t>身体重研日増４．０</t>
  </si>
  <si>
    <t>身体重研日増４．０・２人</t>
  </si>
  <si>
    <t>BS51</t>
  </si>
  <si>
    <t>身体重研日増４．０・初計</t>
  </si>
  <si>
    <t>BS52</t>
  </si>
  <si>
    <t>身体重研日増４．０・２人・初計</t>
  </si>
  <si>
    <t>身体重研日増４．５</t>
  </si>
  <si>
    <t>身体重研日増４．５・２人</t>
  </si>
  <si>
    <t>BS61</t>
  </si>
  <si>
    <t>身体重研日増４．５・初計</t>
  </si>
  <si>
    <t>BS62</t>
  </si>
  <si>
    <t>身体重研日増４．５・２人・初計</t>
  </si>
  <si>
    <t>身体重研日増５．０</t>
  </si>
  <si>
    <t>身体重研日増５．０・２人</t>
  </si>
  <si>
    <t>BS71</t>
  </si>
  <si>
    <t>身体重研日増５．０・初計</t>
  </si>
  <si>
    <t>BS72</t>
  </si>
  <si>
    <t>身体重研日増５．０・２人・初計</t>
  </si>
  <si>
    <t>身体重研日増５．５</t>
  </si>
  <si>
    <t>身体重研日増５．５・２人</t>
  </si>
  <si>
    <t>BS81</t>
  </si>
  <si>
    <t>身体重研日増５．５・初計</t>
  </si>
  <si>
    <t>BS82</t>
  </si>
  <si>
    <t>身体重研日増５．５・２人・初計</t>
  </si>
  <si>
    <t>身体重研日増６．０</t>
  </si>
  <si>
    <t>身体重研日増６．０・２人</t>
  </si>
  <si>
    <t>BS91</t>
  </si>
  <si>
    <t>身体重研日増６．０・初計</t>
  </si>
  <si>
    <t>BS92</t>
  </si>
  <si>
    <t>身体重研日増６．０・２人・初計</t>
  </si>
  <si>
    <t>身体重研日増６．５</t>
  </si>
  <si>
    <t>身体重研日増６．５・２人</t>
  </si>
  <si>
    <t>BT01</t>
  </si>
  <si>
    <t>身体重研日増６．５・初計</t>
  </si>
  <si>
    <t>BT02</t>
  </si>
  <si>
    <t>身体重研日増６．５・２人・初計</t>
  </si>
  <si>
    <t>身体重研日増７．０</t>
  </si>
  <si>
    <t>身体重研日増７．０・２人</t>
  </si>
  <si>
    <t>BT11</t>
  </si>
  <si>
    <t>身体重研日増７．０・初計</t>
  </si>
  <si>
    <t>BT12</t>
  </si>
  <si>
    <t>身体重研日増７．０・２人・初計</t>
  </si>
  <si>
    <t>身体重研日増７．５</t>
  </si>
  <si>
    <t>身体重研日増７．５・２人</t>
  </si>
  <si>
    <t>BT21</t>
  </si>
  <si>
    <t>身体重研日増７．５・初計</t>
  </si>
  <si>
    <t>BT22</t>
  </si>
  <si>
    <t>身体重研日増７．５・２人・初計</t>
  </si>
  <si>
    <t>身体重研日増８．０</t>
  </si>
  <si>
    <t>身体重研日増８．０・２人</t>
  </si>
  <si>
    <t>BT31</t>
  </si>
  <si>
    <t>身体重研日増８．０・初計</t>
  </si>
  <si>
    <t>BT32</t>
  </si>
  <si>
    <t>身体重研日増８．０・２人・初計</t>
  </si>
  <si>
    <t>身体重研日増８．５</t>
  </si>
  <si>
    <t>身体重研日増８．５・２人</t>
  </si>
  <si>
    <t>BT41</t>
  </si>
  <si>
    <t>身体重研日増８．５・初計</t>
  </si>
  <si>
    <t>BT42</t>
  </si>
  <si>
    <t>身体重研日増８．５・２人・初計</t>
  </si>
  <si>
    <t>身体重研日増９．０</t>
  </si>
  <si>
    <t>身体重研日増９．０・２人</t>
  </si>
  <si>
    <t>BT51</t>
  </si>
  <si>
    <t>身体重研日増９．０・初計</t>
  </si>
  <si>
    <t>BT52</t>
  </si>
  <si>
    <t>身体重研日増９．０・２人・初計</t>
  </si>
  <si>
    <t>身体重研日増９．５</t>
  </si>
  <si>
    <t>身体重研日増９．５・２人</t>
  </si>
  <si>
    <t>BT61</t>
  </si>
  <si>
    <t>身体重研日増９．５・初計</t>
  </si>
  <si>
    <t>BT62</t>
  </si>
  <si>
    <t>身体重研日増９．５・２人・初計</t>
  </si>
  <si>
    <t>身体重研日増１０．０</t>
  </si>
  <si>
    <t>身体重研日増１０．０・２人</t>
  </si>
  <si>
    <t>BT71</t>
  </si>
  <si>
    <t>身体重研日増１０．０・初計</t>
  </si>
  <si>
    <t>BT72</t>
  </si>
  <si>
    <t>身体重研日増１０．０・２人・初計</t>
  </si>
  <si>
    <t>身体重研日増１０．５</t>
  </si>
  <si>
    <t>身体重研日増１０．５・２人</t>
  </si>
  <si>
    <t>BT81</t>
  </si>
  <si>
    <t>身体重研日増１０．５・初計</t>
  </si>
  <si>
    <t>BT82</t>
  </si>
  <si>
    <t>身体重研日増１０．５・２人・初計</t>
  </si>
  <si>
    <t>イ　居宅における身体介護　（重度訪問介護研修修了者：早朝増分）</t>
  </si>
  <si>
    <t>身体重研早増０．５</t>
  </si>
  <si>
    <t>身体重研早増０．５・２人</t>
  </si>
  <si>
    <t>BT91</t>
  </si>
  <si>
    <t>身体重研早増０．５・初計</t>
  </si>
  <si>
    <t>BT92</t>
  </si>
  <si>
    <t>身体重研早増０．５・２人・初計</t>
  </si>
  <si>
    <t>身体重研早増１．０</t>
  </si>
  <si>
    <t>身体重研早増１．０・２人</t>
  </si>
  <si>
    <t>BU01</t>
  </si>
  <si>
    <t>身体重研早増１．０・初計</t>
  </si>
  <si>
    <t>BU02</t>
  </si>
  <si>
    <t>身体重研早増１．０・２人・初計</t>
  </si>
  <si>
    <t>身体重研早増１．５</t>
  </si>
  <si>
    <t>身体重研早増１．５・２人</t>
  </si>
  <si>
    <t>BU11</t>
  </si>
  <si>
    <t>身体重研早増１．５・初計</t>
  </si>
  <si>
    <t>BU12</t>
  </si>
  <si>
    <t>身体重研早増１．５・２人・初計</t>
  </si>
  <si>
    <t>身体重研早増２．０</t>
  </si>
  <si>
    <t>身体重研早増２．０・２人</t>
  </si>
  <si>
    <t>BU21</t>
  </si>
  <si>
    <t>身体重研早増２．０・初計</t>
  </si>
  <si>
    <t>BU22</t>
  </si>
  <si>
    <t>身体重研早増２．０・２人・初計</t>
  </si>
  <si>
    <t>身体重研早増２．５</t>
  </si>
  <si>
    <t>身体重研早増２．５・２人</t>
  </si>
  <si>
    <t>BU31</t>
  </si>
  <si>
    <t>身体重研早増２．５・初計</t>
  </si>
  <si>
    <t>BU32</t>
  </si>
  <si>
    <t>身体重研早増２．５・２人・初計</t>
  </si>
  <si>
    <t>イ　居宅における身体介護　（重度訪問介護研修修了者：夜間増分）</t>
  </si>
  <si>
    <t>身体重研夜増０．５</t>
  </si>
  <si>
    <t>身体重研夜増０．５・２人</t>
  </si>
  <si>
    <t>BU41</t>
  </si>
  <si>
    <t>身体重研夜増０．５・初計</t>
  </si>
  <si>
    <t>BU42</t>
  </si>
  <si>
    <t>身体重研夜増０．５・２人・初計</t>
  </si>
  <si>
    <t>身体重研夜増１．０</t>
  </si>
  <si>
    <t>身体重研夜増１．０・２人</t>
  </si>
  <si>
    <t>BU51</t>
  </si>
  <si>
    <t>身体重研夜増１．０・初計</t>
  </si>
  <si>
    <t>BU52</t>
  </si>
  <si>
    <t>身体重研夜増１．０・２人・初計</t>
  </si>
  <si>
    <t>身体重研夜増１．５</t>
  </si>
  <si>
    <t>身体重研夜増１．５・２人</t>
  </si>
  <si>
    <t>BU61</t>
  </si>
  <si>
    <t>身体重研夜増１．５・初計</t>
  </si>
  <si>
    <t>BU62</t>
  </si>
  <si>
    <t>身体重研夜増１．５・２人・初計</t>
  </si>
  <si>
    <t>身体重研夜増２．０</t>
  </si>
  <si>
    <t>身体重研夜増２．０・２人</t>
  </si>
  <si>
    <t>BU71</t>
  </si>
  <si>
    <t>身体重研夜増２．０・初計</t>
  </si>
  <si>
    <t>BU72</t>
  </si>
  <si>
    <t>身体重研夜増２．０・２人・初計</t>
  </si>
  <si>
    <t>身体重研夜増２．５</t>
  </si>
  <si>
    <t>身体重研夜増２．５・２人</t>
  </si>
  <si>
    <t>BU81</t>
  </si>
  <si>
    <t>身体重研夜増２．５・初計</t>
  </si>
  <si>
    <t>BU82</t>
  </si>
  <si>
    <t>身体重研夜増２．５・２人・初計</t>
  </si>
  <si>
    <t>身体重研夜増３．０</t>
  </si>
  <si>
    <t>身体重研夜増３．０・２人</t>
  </si>
  <si>
    <t>BU91</t>
  </si>
  <si>
    <t>身体重研夜増３．０・初計</t>
  </si>
  <si>
    <t>BU92</t>
  </si>
  <si>
    <t>身体重研夜増３．０・２人・初計</t>
  </si>
  <si>
    <t>身体重研夜増３．５</t>
  </si>
  <si>
    <t>身体重研夜増３．５・２人</t>
  </si>
  <si>
    <t>BV01</t>
  </si>
  <si>
    <t>身体重研夜増３．５・初計</t>
  </si>
  <si>
    <t>BV02</t>
  </si>
  <si>
    <t>身体重研夜増３．５・２人・初計</t>
  </si>
  <si>
    <t>身体重研夜増４．０</t>
  </si>
  <si>
    <t>身体重研夜増４．０・２人</t>
  </si>
  <si>
    <t>BV11</t>
  </si>
  <si>
    <t>身体重研夜増４．０・初計</t>
  </si>
  <si>
    <t>BV12</t>
  </si>
  <si>
    <t>身体重研夜増４．０・２人・初計</t>
  </si>
  <si>
    <t>身体重研夜増４．５</t>
  </si>
  <si>
    <t>身体重研夜増４．５・２人</t>
  </si>
  <si>
    <t>BV21</t>
  </si>
  <si>
    <t>身体重研夜増４．５・初計</t>
  </si>
  <si>
    <t>BV22</t>
  </si>
  <si>
    <t>身体重研夜増４．５・２人・初計</t>
  </si>
  <si>
    <t>イ　居宅における身体介護　（重度訪問介護研修修了者：深夜増分）</t>
  </si>
  <si>
    <t>身体重研深増０．５</t>
  </si>
  <si>
    <t>身体重研深増０．５・２人</t>
  </si>
  <si>
    <t>BV31</t>
  </si>
  <si>
    <t>身体重研深増０．５・初計</t>
  </si>
  <si>
    <t>BV32</t>
  </si>
  <si>
    <t>身体重研深増０．５・２人・初計</t>
  </si>
  <si>
    <t>身体重研深増１．０</t>
  </si>
  <si>
    <t>身体重研深増１．０・２人</t>
  </si>
  <si>
    <t>BV41</t>
  </si>
  <si>
    <t>身体重研深増１．０・初計</t>
  </si>
  <si>
    <t>BV42</t>
  </si>
  <si>
    <t>身体重研深増１．０・２人・初計</t>
  </si>
  <si>
    <t>身体重研深増１．５</t>
  </si>
  <si>
    <t>身体重研深増１．５・２人</t>
  </si>
  <si>
    <t>BV51</t>
  </si>
  <si>
    <t>身体重研深増１．５・初計</t>
  </si>
  <si>
    <t>BV52</t>
  </si>
  <si>
    <t>身体重研深増１．５・２人・初計</t>
  </si>
  <si>
    <t>身体重研深増２．０</t>
  </si>
  <si>
    <t>身体重研深増２．０・２人</t>
  </si>
  <si>
    <t>BV61</t>
  </si>
  <si>
    <t>身体重研深増２．０・初計</t>
  </si>
  <si>
    <t>BV62</t>
  </si>
  <si>
    <t>身体重研深増２．０・２人・初計</t>
  </si>
  <si>
    <t>身体重研深増２．５</t>
  </si>
  <si>
    <t>身体重研深増２．５・２人</t>
  </si>
  <si>
    <t>BV71</t>
  </si>
  <si>
    <t>身体重研深増２．５・初計</t>
  </si>
  <si>
    <t>BV72</t>
  </si>
  <si>
    <t>身体重研深増２．５・２人・初計</t>
  </si>
  <si>
    <t>身体重研深増３．０</t>
  </si>
  <si>
    <t>身体重研深増３．０・２人</t>
  </si>
  <si>
    <t>BV81</t>
  </si>
  <si>
    <t>身体重研深増３．０・初計</t>
  </si>
  <si>
    <t>BV82</t>
  </si>
  <si>
    <t>身体重研深増３．０・２人・初計</t>
  </si>
  <si>
    <t>身体重研深増３．５</t>
  </si>
  <si>
    <t>身体重研深増３．５・２人</t>
  </si>
  <si>
    <t>BV91</t>
  </si>
  <si>
    <t>身体重研深増３．５・初計</t>
  </si>
  <si>
    <t>BV92</t>
  </si>
  <si>
    <t>身体重研深増３．５・２人・初計</t>
  </si>
  <si>
    <t>身体重研深増４．０</t>
  </si>
  <si>
    <t>身体重研深増４．０・２人</t>
  </si>
  <si>
    <t>BW01</t>
  </si>
  <si>
    <t>身体重研深増４．０・初計</t>
  </si>
  <si>
    <t>BW02</t>
  </si>
  <si>
    <t>身体重研深増４．０・２人・初計</t>
  </si>
  <si>
    <t>身体重研深増４．５</t>
  </si>
  <si>
    <t>身体重研深増４．５・２人</t>
  </si>
  <si>
    <t>BW11</t>
  </si>
  <si>
    <t>身体重研深増４．５・初計</t>
  </si>
  <si>
    <t>BW12</t>
  </si>
  <si>
    <t>身体重研深増４．５・２人・初計</t>
  </si>
  <si>
    <t>身体重研深増５．０</t>
  </si>
  <si>
    <t>身体重研深増５．０・２人</t>
  </si>
  <si>
    <t>BW21</t>
  </si>
  <si>
    <t>身体重研深増５．０・初計</t>
  </si>
  <si>
    <t>BW22</t>
  </si>
  <si>
    <t>身体重研深増５．０・２人・初計</t>
  </si>
  <si>
    <t>身体重研深増５．５</t>
  </si>
  <si>
    <t>身体重研深増５．５・２人</t>
  </si>
  <si>
    <t>BW31</t>
  </si>
  <si>
    <t>身体重研深増５．５・初計</t>
  </si>
  <si>
    <t>BW32</t>
  </si>
  <si>
    <t>身体重研深増５．５・２人・初計</t>
  </si>
  <si>
    <t>身体重研深増６．０</t>
  </si>
  <si>
    <t>身体重研深増６．０・２人</t>
  </si>
  <si>
    <t>BW41</t>
  </si>
  <si>
    <t>身体重研深増６．０・初計</t>
  </si>
  <si>
    <t>BW42</t>
  </si>
  <si>
    <t>身体重研深増６．０・２人・初計</t>
  </si>
  <si>
    <t>身体重研深増６．５</t>
  </si>
  <si>
    <t>身体重研深増６．５・２人</t>
  </si>
  <si>
    <t>BW51</t>
  </si>
  <si>
    <t>身体重研深増６．５・初計</t>
  </si>
  <si>
    <t>BW52</t>
  </si>
  <si>
    <t>身体重研深増６．５・２人・初計</t>
  </si>
  <si>
    <t>ロ　通院等介助（身体介護を伴う場合）　（日中のみ）</t>
  </si>
  <si>
    <t>通院１日０．５</t>
  </si>
  <si>
    <t>通院１日０．５・２人</t>
  </si>
  <si>
    <t>通院１日０．５・基</t>
  </si>
  <si>
    <t>通院１日０．５・基・２人</t>
  </si>
  <si>
    <t>BW61</t>
  </si>
  <si>
    <t>通院１日０．５・初計</t>
  </si>
  <si>
    <t>BW62</t>
  </si>
  <si>
    <t>通院１日０．５・２人・初計</t>
  </si>
  <si>
    <t>BW63</t>
  </si>
  <si>
    <t>通院１日０．５・基・初計</t>
  </si>
  <si>
    <t>BW64</t>
  </si>
  <si>
    <t>通院１日０．５・基・２人・初計</t>
  </si>
  <si>
    <t>通院１日１．０</t>
  </si>
  <si>
    <t>通院１日１．０・２人</t>
  </si>
  <si>
    <t>通院１日１．０・基</t>
  </si>
  <si>
    <t>通院１日１．０・基・２人</t>
  </si>
  <si>
    <t>BW81</t>
  </si>
  <si>
    <t>通院１日１．０・初計</t>
  </si>
  <si>
    <t>BW82</t>
  </si>
  <si>
    <t>通院１日１．０・２人・初計</t>
  </si>
  <si>
    <t>BW83</t>
  </si>
  <si>
    <t>通院１日１．０・基・初計</t>
  </si>
  <si>
    <t>BW84</t>
  </si>
  <si>
    <t>通院１日１．０・基・２人・初計</t>
  </si>
  <si>
    <t>通院１日１．５</t>
  </si>
  <si>
    <t>通院１日１．５・２人</t>
  </si>
  <si>
    <t>通院１日１．５・基</t>
  </si>
  <si>
    <t>通院１日１．５・基・２人</t>
  </si>
  <si>
    <t>BX01</t>
  </si>
  <si>
    <t>通院１日１．５・初計</t>
  </si>
  <si>
    <t>BX02</t>
  </si>
  <si>
    <t>通院１日１．５・２人・初計</t>
  </si>
  <si>
    <t>BX03</t>
  </si>
  <si>
    <t>通院１日１．５・基・初計</t>
  </si>
  <si>
    <t>BX04</t>
  </si>
  <si>
    <t>通院１日１．５・基・２人・初計</t>
  </si>
  <si>
    <t>通院１日２．０</t>
  </si>
  <si>
    <t>通院１日２．０・２人</t>
  </si>
  <si>
    <t>通院１日２．０・基</t>
  </si>
  <si>
    <t>通院１日２．０・基・２人</t>
  </si>
  <si>
    <t>BX21</t>
  </si>
  <si>
    <t>通院１日２．０・初計</t>
  </si>
  <si>
    <t>BX22</t>
  </si>
  <si>
    <t>通院１日２．０・２人・初計</t>
  </si>
  <si>
    <t>BX23</t>
  </si>
  <si>
    <t>通院１日２．０・基・初計</t>
  </si>
  <si>
    <t>BX24</t>
  </si>
  <si>
    <t>通院１日２．０・基・２人・初計</t>
  </si>
  <si>
    <t>通院１日２．５</t>
  </si>
  <si>
    <t>通院１日２．５・２人</t>
  </si>
  <si>
    <t>通院１日２．５・基</t>
  </si>
  <si>
    <t>通院１日２．５・基・２人</t>
  </si>
  <si>
    <t>BX41</t>
  </si>
  <si>
    <t>通院１日２．５・初計</t>
  </si>
  <si>
    <t>BX42</t>
  </si>
  <si>
    <t>通院１日２．５・２人・初計</t>
  </si>
  <si>
    <t>BX43</t>
  </si>
  <si>
    <t>通院１日２．５・基・初計</t>
  </si>
  <si>
    <t>BX44</t>
  </si>
  <si>
    <t>通院１日２．５・基・２人・初計</t>
  </si>
  <si>
    <t>通院１日３．０</t>
  </si>
  <si>
    <t>通院１日３．０・２人</t>
  </si>
  <si>
    <t>通院１日３．０・基</t>
  </si>
  <si>
    <t>通院１日３．０・基・２人</t>
  </si>
  <si>
    <t>BX61</t>
  </si>
  <si>
    <t>通院１日３．０・初計</t>
  </si>
  <si>
    <t>BX62</t>
  </si>
  <si>
    <t>通院１日３．０・２人・初計</t>
  </si>
  <si>
    <t>BX63</t>
  </si>
  <si>
    <t>通院１日３．０・基・初計</t>
  </si>
  <si>
    <t>BX64</t>
  </si>
  <si>
    <t>通院１日３．０・基・２人・初計</t>
  </si>
  <si>
    <t>通院１日３．５</t>
  </si>
  <si>
    <t>通院１日３．５・２人</t>
  </si>
  <si>
    <t>通院１日３．５・基</t>
  </si>
  <si>
    <t>通院１日３．５・基・２人</t>
  </si>
  <si>
    <t>BX81</t>
  </si>
  <si>
    <t>通院１日３．５・初計</t>
  </si>
  <si>
    <t>BX82</t>
  </si>
  <si>
    <t>通院１日３．５・２人・初計</t>
  </si>
  <si>
    <t>BX83</t>
  </si>
  <si>
    <t>通院１日３．５・基・初計</t>
  </si>
  <si>
    <t>BX84</t>
  </si>
  <si>
    <t>通院１日３．５・基・２人・初計</t>
  </si>
  <si>
    <t>通院１日４．０</t>
  </si>
  <si>
    <t>通院１日４．０・２人</t>
  </si>
  <si>
    <t>通院１日４．０・基</t>
  </si>
  <si>
    <t>通院１日４．０・基・２人</t>
  </si>
  <si>
    <t>BY01</t>
  </si>
  <si>
    <t>通院１日４．０・初計</t>
  </si>
  <si>
    <t>BY02</t>
  </si>
  <si>
    <t>通院１日４．０・２人・初計</t>
  </si>
  <si>
    <t>BY03</t>
  </si>
  <si>
    <t>通院１日４．０・基・初計</t>
  </si>
  <si>
    <t>BY04</t>
  </si>
  <si>
    <t>通院１日４．０・基・２人・初計</t>
  </si>
  <si>
    <t>通院１日４．５</t>
  </si>
  <si>
    <t>通院１日４．５・２人</t>
  </si>
  <si>
    <t>通院１日４．５・基</t>
  </si>
  <si>
    <t>通院１日４．５・基・２人</t>
  </si>
  <si>
    <t>BY21</t>
  </si>
  <si>
    <t>通院１日４．５・初計</t>
  </si>
  <si>
    <t>BY22</t>
  </si>
  <si>
    <t>通院１日４．５・２人・初計</t>
  </si>
  <si>
    <t>BY23</t>
  </si>
  <si>
    <t>通院１日４．５・基・初計</t>
  </si>
  <si>
    <t>BY24</t>
  </si>
  <si>
    <t>通院１日４．５・基・２人・初計</t>
  </si>
  <si>
    <t>通院１日５．０</t>
  </si>
  <si>
    <t>通院１日５．０・２人</t>
  </si>
  <si>
    <t>通院１日５．０・基</t>
  </si>
  <si>
    <t>通院１日５．０・基・２人</t>
  </si>
  <si>
    <t>BY41</t>
  </si>
  <si>
    <t>通院１日５．０・初計</t>
  </si>
  <si>
    <t>BY42</t>
  </si>
  <si>
    <t>通院１日５．０・２人・初計</t>
  </si>
  <si>
    <t>BY43</t>
  </si>
  <si>
    <t>通院１日５．０・基・初計</t>
  </si>
  <si>
    <t>BY44</t>
  </si>
  <si>
    <t>通院１日５．０・基・２人・初計</t>
  </si>
  <si>
    <t>通院１日５．５</t>
  </si>
  <si>
    <t>通院１日５．５・２人</t>
  </si>
  <si>
    <t>通院１日５．５・基</t>
  </si>
  <si>
    <t>通院１日５．５・基・２人</t>
  </si>
  <si>
    <t>BY61</t>
  </si>
  <si>
    <t>通院１日５．５・初計</t>
  </si>
  <si>
    <t>BY62</t>
  </si>
  <si>
    <t>通院１日５．５・２人・初計</t>
  </si>
  <si>
    <t>BY63</t>
  </si>
  <si>
    <t>通院１日５．５・基・初計</t>
  </si>
  <si>
    <t>BY64</t>
  </si>
  <si>
    <t>通院１日５．５・基・２人・初計</t>
  </si>
  <si>
    <t>通院１日６．０</t>
  </si>
  <si>
    <t>通院１日６．０・２人</t>
  </si>
  <si>
    <t>通院１日６．０・基</t>
  </si>
  <si>
    <t>通院１日６．０・基・２人</t>
  </si>
  <si>
    <t>BY81</t>
  </si>
  <si>
    <t>通院１日６．０・初計</t>
  </si>
  <si>
    <t>BY82</t>
  </si>
  <si>
    <t>通院１日６．０・２人・初計</t>
  </si>
  <si>
    <t>BY83</t>
  </si>
  <si>
    <t>通院１日６．０・基・初計</t>
  </si>
  <si>
    <t>BY84</t>
  </si>
  <si>
    <t>通院１日６．０・基・２人・初計</t>
  </si>
  <si>
    <t>通院１日６．５</t>
  </si>
  <si>
    <t>通院１日６．５・２人</t>
  </si>
  <si>
    <t>通院１日６．５・基</t>
  </si>
  <si>
    <t>通院１日６．５・基・２人</t>
  </si>
  <si>
    <t>BZ01</t>
  </si>
  <si>
    <t>通院１日６．５・初計</t>
  </si>
  <si>
    <t>BZ02</t>
  </si>
  <si>
    <t>通院１日６．５・２人・初計</t>
  </si>
  <si>
    <t>BZ03</t>
  </si>
  <si>
    <t>通院１日６．５・基・初計</t>
  </si>
  <si>
    <t>BZ04</t>
  </si>
  <si>
    <t>通院１日６．５・基・２人・初計</t>
  </si>
  <si>
    <t>通院１日７．０</t>
  </si>
  <si>
    <t>通院１日７．０・２人</t>
  </si>
  <si>
    <t>通院１日７．０・基</t>
  </si>
  <si>
    <t>通院１日７．０・基・２人</t>
  </si>
  <si>
    <t>BZ21</t>
  </si>
  <si>
    <t>通院１日７．０・初計</t>
  </si>
  <si>
    <t>BZ22</t>
  </si>
  <si>
    <t>通院１日７．０・２人・初計</t>
  </si>
  <si>
    <t>BZ23</t>
  </si>
  <si>
    <t>通院１日７．０・基・初計</t>
  </si>
  <si>
    <t>BZ24</t>
  </si>
  <si>
    <t>通院１日７．０・基・２人・初計</t>
  </si>
  <si>
    <t>通院１日７．５</t>
  </si>
  <si>
    <t>通院１日７．５・２人</t>
  </si>
  <si>
    <t>通院１日７．５・基</t>
  </si>
  <si>
    <t>通院１日７．５・基・２人</t>
  </si>
  <si>
    <t>BZ41</t>
  </si>
  <si>
    <t>通院１日７．５・初計</t>
  </si>
  <si>
    <t>BZ42</t>
  </si>
  <si>
    <t>通院１日７．５・２人・初計</t>
  </si>
  <si>
    <t>BZ43</t>
  </si>
  <si>
    <t>通院１日７．５・基・初計</t>
  </si>
  <si>
    <t>BZ44</t>
  </si>
  <si>
    <t>通院１日７．５・基・２人・初計</t>
  </si>
  <si>
    <t>通院１日８．０</t>
  </si>
  <si>
    <t>通院１日８．０・２人</t>
  </si>
  <si>
    <t>通院１日８．０・基</t>
  </si>
  <si>
    <t>通院１日８．０・基・２人</t>
  </si>
  <si>
    <t>BZ61</t>
  </si>
  <si>
    <t>通院１日８．０・初計</t>
  </si>
  <si>
    <t>BZ62</t>
  </si>
  <si>
    <t>通院１日８．０・２人・初計</t>
  </si>
  <si>
    <t>BZ63</t>
  </si>
  <si>
    <t>通院１日８．０・基・初計</t>
  </si>
  <si>
    <t>BZ64</t>
  </si>
  <si>
    <t>通院１日８．０・基・２人・初計</t>
  </si>
  <si>
    <t>通院１日８．５</t>
  </si>
  <si>
    <t>通院１日８．５・２人</t>
  </si>
  <si>
    <t>通院１日８．５・基</t>
  </si>
  <si>
    <t>通院１日８．５・基・２人</t>
  </si>
  <si>
    <t>BZ81</t>
  </si>
  <si>
    <t>通院１日８．５・初計</t>
  </si>
  <si>
    <t>BZ82</t>
  </si>
  <si>
    <t>通院１日８．５・２人・初計</t>
  </si>
  <si>
    <t>BZ83</t>
  </si>
  <si>
    <t>通院１日８．５・基・初計</t>
  </si>
  <si>
    <t>BZ84</t>
  </si>
  <si>
    <t>通院１日８．５・基・２人・初計</t>
  </si>
  <si>
    <t>通院１日９．０</t>
  </si>
  <si>
    <t>通院１日９．０・２人</t>
  </si>
  <si>
    <t>通院１日９．０・基</t>
  </si>
  <si>
    <t>通院１日９．０・基・２人</t>
  </si>
  <si>
    <t>C001</t>
  </si>
  <si>
    <t>通院１日９．０・初計</t>
  </si>
  <si>
    <t>C002</t>
  </si>
  <si>
    <t>通院１日９．０・２人・初計</t>
  </si>
  <si>
    <t>C003</t>
  </si>
  <si>
    <t>通院１日９．０・基・初計</t>
  </si>
  <si>
    <t>C004</t>
  </si>
  <si>
    <t>通院１日９．０・基・２人・初計</t>
  </si>
  <si>
    <t>通院１日９．５</t>
  </si>
  <si>
    <t>通院１日９．５・２人</t>
  </si>
  <si>
    <t>通院１日９．５・基</t>
  </si>
  <si>
    <t>通院１日９．５・基・２人</t>
  </si>
  <si>
    <t>C021</t>
  </si>
  <si>
    <t>通院１日９．５・初計</t>
  </si>
  <si>
    <t>C022</t>
  </si>
  <si>
    <t>通院１日９．５・２人・初計</t>
  </si>
  <si>
    <t>C023</t>
  </si>
  <si>
    <t>通院１日９．５・基・初計</t>
  </si>
  <si>
    <t>C024</t>
  </si>
  <si>
    <t>通院１日９．５・基・２人・初計</t>
  </si>
  <si>
    <t>通院１日１０．０</t>
  </si>
  <si>
    <t>通院１日１０．０・２人</t>
  </si>
  <si>
    <t>通院１日１０．０・基</t>
  </si>
  <si>
    <t>通院１日１０．０・基・２人</t>
  </si>
  <si>
    <t>C041</t>
  </si>
  <si>
    <t>通院１日１０．０・初計</t>
  </si>
  <si>
    <t>C042</t>
  </si>
  <si>
    <t>通院１日１０．０・２人・初計</t>
  </si>
  <si>
    <t>C043</t>
  </si>
  <si>
    <t>通院１日１０．０・基・初計</t>
  </si>
  <si>
    <t>C044</t>
  </si>
  <si>
    <t>通院１日１０．０・基・２人・初計</t>
  </si>
  <si>
    <t>通院１日１０．５</t>
  </si>
  <si>
    <t>通院１日１０．５・２人</t>
  </si>
  <si>
    <t>通院１日１０．５・基</t>
  </si>
  <si>
    <t>通院１日１０．５・基・２人</t>
  </si>
  <si>
    <t>C061</t>
  </si>
  <si>
    <t>通院１日１０．５・初計</t>
  </si>
  <si>
    <t>C062</t>
  </si>
  <si>
    <t>通院１日１０．５・２人・初計</t>
  </si>
  <si>
    <t>C063</t>
  </si>
  <si>
    <t>通院１日１０．５・基・初計</t>
  </si>
  <si>
    <t>C064</t>
  </si>
  <si>
    <t>通院１日１０．５・基・２人・初計</t>
  </si>
  <si>
    <t>ロ　通院等介助（身体介護を伴う場合）　（早朝のみ）</t>
  </si>
  <si>
    <t>通院１早０．５</t>
  </si>
  <si>
    <t>(1)早朝 ３０分未満</t>
    <phoneticPr fontId="1"/>
  </si>
  <si>
    <t>通院１早０．５・２人</t>
  </si>
  <si>
    <t>通院１早０．５・基</t>
  </si>
  <si>
    <t>通院１早０．５・基・２人</t>
  </si>
  <si>
    <t>C081</t>
  </si>
  <si>
    <t>通院１早０．５・初計</t>
  </si>
  <si>
    <t>C082</t>
  </si>
  <si>
    <t>通院１早０．５・２人・初計</t>
  </si>
  <si>
    <t>C083</t>
  </si>
  <si>
    <t>通院１早０．５・基・初計</t>
  </si>
  <si>
    <t>C084</t>
  </si>
  <si>
    <t>通院１早０．５・基・２人・初計</t>
  </si>
  <si>
    <t>通院１早１．０</t>
  </si>
  <si>
    <t>通院１早１．０・２人</t>
  </si>
  <si>
    <t>通院１早１．０・基</t>
  </si>
  <si>
    <t>通院１早１．０・基・２人</t>
  </si>
  <si>
    <t>C101</t>
  </si>
  <si>
    <t>通院１早１．０・初計</t>
  </si>
  <si>
    <t>C102</t>
  </si>
  <si>
    <t>通院１早１．０・２人・初計</t>
  </si>
  <si>
    <t>C103</t>
  </si>
  <si>
    <t>通院１早１．０・基・初計</t>
  </si>
  <si>
    <t>C104</t>
  </si>
  <si>
    <t>通院１早１．０・基・２人・初計</t>
  </si>
  <si>
    <t>通院１早１．５</t>
  </si>
  <si>
    <t>通院１早１．５・２人</t>
  </si>
  <si>
    <t>通院１早１．５・基</t>
  </si>
  <si>
    <t>通院１早１．５・基・２人</t>
  </si>
  <si>
    <t>C121</t>
  </si>
  <si>
    <t>通院１早１．５・初計</t>
  </si>
  <si>
    <t>C122</t>
  </si>
  <si>
    <t>通院１早１．５・２人・初計</t>
  </si>
  <si>
    <t>C123</t>
  </si>
  <si>
    <t>通院１早１．５・基・初計</t>
  </si>
  <si>
    <t>C124</t>
  </si>
  <si>
    <t>通院１早１．５・基・２人・初計</t>
  </si>
  <si>
    <t>通院１早２．０</t>
  </si>
  <si>
    <t>通院１早２．０・２人</t>
  </si>
  <si>
    <t>通院１早２．０・基</t>
  </si>
  <si>
    <t>通院１早２．０・基・２人</t>
  </si>
  <si>
    <t>C141</t>
  </si>
  <si>
    <t>通院１早２．０・初計</t>
  </si>
  <si>
    <t>C142</t>
  </si>
  <si>
    <t>通院１早２．０・２人・初計</t>
  </si>
  <si>
    <t>C143</t>
  </si>
  <si>
    <t>通院１早２．０・基・初計</t>
  </si>
  <si>
    <t>C144</t>
  </si>
  <si>
    <t>通院１早２．０・基・２人・初計</t>
  </si>
  <si>
    <t>通院１早２．５</t>
  </si>
  <si>
    <t>通院１早２．５・２人</t>
  </si>
  <si>
    <t>通院１早２．５・基</t>
  </si>
  <si>
    <t>通院１早２．５・基・２人</t>
  </si>
  <si>
    <t>C161</t>
  </si>
  <si>
    <t>通院１早２．５・初計</t>
  </si>
  <si>
    <t>C162</t>
  </si>
  <si>
    <t>通院１早２．５・２人・初計</t>
  </si>
  <si>
    <t>C163</t>
  </si>
  <si>
    <t>通院１早２．５・基・初計</t>
  </si>
  <si>
    <t>C164</t>
  </si>
  <si>
    <t>通院１早２．５・基・２人・初計</t>
  </si>
  <si>
    <t>ロ　通院等介助（身体介護を伴う場合）　（夜間のみ）</t>
  </si>
  <si>
    <t>通院１夜０．５</t>
  </si>
  <si>
    <t>通院１夜０．５・２人</t>
  </si>
  <si>
    <t>通院１夜０．５・基</t>
  </si>
  <si>
    <t>通院１夜０．５・基・２人</t>
  </si>
  <si>
    <t>C181</t>
  </si>
  <si>
    <t>通院１夜０．５・初計</t>
  </si>
  <si>
    <t>C182</t>
  </si>
  <si>
    <t>通院１夜０．５・２人・初計</t>
  </si>
  <si>
    <t>C183</t>
  </si>
  <si>
    <t>通院１夜０．５・基・初計</t>
  </si>
  <si>
    <t>C184</t>
  </si>
  <si>
    <t>通院１夜０．５・基・２人・初計</t>
  </si>
  <si>
    <t>通院１夜１．０</t>
  </si>
  <si>
    <t>通院１夜１．０・２人</t>
  </si>
  <si>
    <t>通院１夜１．０・基</t>
  </si>
  <si>
    <t>通院１夜１．０・基・２人</t>
  </si>
  <si>
    <t>C201</t>
  </si>
  <si>
    <t>通院１夜１．０・初計</t>
  </si>
  <si>
    <t>C202</t>
  </si>
  <si>
    <t>通院１夜１．０・２人・初計</t>
  </si>
  <si>
    <t>C203</t>
  </si>
  <si>
    <t>通院１夜１．０・基・初計</t>
  </si>
  <si>
    <t>C204</t>
  </si>
  <si>
    <t>通院１夜１．０・基・２人・初計</t>
  </si>
  <si>
    <t>通院１夜１．５</t>
  </si>
  <si>
    <t>通院１夜１．５・２人</t>
  </si>
  <si>
    <t>通院１夜１．５・基</t>
  </si>
  <si>
    <t>通院１夜１．５・基・２人</t>
  </si>
  <si>
    <t>C221</t>
  </si>
  <si>
    <t>通院１夜１．５・初計</t>
  </si>
  <si>
    <t>C222</t>
  </si>
  <si>
    <t>通院１夜１．５・２人・初計</t>
  </si>
  <si>
    <t>C223</t>
  </si>
  <si>
    <t>通院１夜１．５・基・初計</t>
  </si>
  <si>
    <t>C224</t>
  </si>
  <si>
    <t>通院１夜１．５・基・２人・初計</t>
  </si>
  <si>
    <t>通院１夜２．０</t>
  </si>
  <si>
    <t>通院１夜２．０・２人</t>
  </si>
  <si>
    <t>通院１夜２．０・基</t>
  </si>
  <si>
    <t>通院１夜２．０・基・２人</t>
  </si>
  <si>
    <t>C241</t>
  </si>
  <si>
    <t>通院１夜２．０・初計</t>
  </si>
  <si>
    <t>C242</t>
  </si>
  <si>
    <t>通院１夜２．０・２人・初計</t>
  </si>
  <si>
    <t>C243</t>
  </si>
  <si>
    <t>通院１夜２．０・基・初計</t>
  </si>
  <si>
    <t>C244</t>
  </si>
  <si>
    <t>通院１夜２．０・基・２人・初計</t>
  </si>
  <si>
    <t>通院１夜２．５</t>
  </si>
  <si>
    <t>通院１夜２．５・２人</t>
  </si>
  <si>
    <t>通院１夜２．５・基</t>
  </si>
  <si>
    <t>通院１夜２．５・基・２人</t>
  </si>
  <si>
    <t>C261</t>
  </si>
  <si>
    <t>通院１夜２．５・初計</t>
  </si>
  <si>
    <t>C262</t>
  </si>
  <si>
    <t>通院１夜２．５・２人・初計</t>
  </si>
  <si>
    <t>C263</t>
  </si>
  <si>
    <t>通院１夜２．５・基・初計</t>
  </si>
  <si>
    <t>C264</t>
  </si>
  <si>
    <t>通院１夜２．５・基・２人・初計</t>
  </si>
  <si>
    <t>通院１夜３．０</t>
  </si>
  <si>
    <t>通院１夜３．０・２人</t>
  </si>
  <si>
    <t>通院１夜３．０・基</t>
  </si>
  <si>
    <t>通院１夜３．０・基・２人</t>
  </si>
  <si>
    <t>C281</t>
  </si>
  <si>
    <t>通院１夜３．０・初計</t>
  </si>
  <si>
    <t>C282</t>
  </si>
  <si>
    <t>通院１夜３．０・２人・初計</t>
  </si>
  <si>
    <t>C283</t>
  </si>
  <si>
    <t>通院１夜３．０・基・初計</t>
  </si>
  <si>
    <t>C284</t>
  </si>
  <si>
    <t>通院１夜３．０・基・２人・初計</t>
  </si>
  <si>
    <t>通院１夜３．５</t>
  </si>
  <si>
    <t>通院１夜３．５・２人</t>
  </si>
  <si>
    <t>通院１夜３．５・基</t>
  </si>
  <si>
    <t>通院１夜３．５・基・２人</t>
  </si>
  <si>
    <t>C301</t>
  </si>
  <si>
    <t>通院１夜３．５・初計</t>
  </si>
  <si>
    <t>C302</t>
  </si>
  <si>
    <t>通院１夜３．５・２人・初計</t>
  </si>
  <si>
    <t>C303</t>
  </si>
  <si>
    <t>通院１夜３．５・基・初計</t>
  </si>
  <si>
    <t>C304</t>
  </si>
  <si>
    <t>通院１夜３．５・基・２人・初計</t>
  </si>
  <si>
    <t>通院１夜４．０</t>
  </si>
  <si>
    <t>通院１夜４．０・２人</t>
  </si>
  <si>
    <t>通院１夜４．０・基</t>
  </si>
  <si>
    <t>通院１夜４．０・基・２人</t>
  </si>
  <si>
    <t>C321</t>
  </si>
  <si>
    <t>通院１夜４．０・初計</t>
  </si>
  <si>
    <t>C322</t>
  </si>
  <si>
    <t>通院１夜４．０・２人・初計</t>
  </si>
  <si>
    <t>C323</t>
  </si>
  <si>
    <t>通院１夜４．０・基・初計</t>
  </si>
  <si>
    <t>C324</t>
  </si>
  <si>
    <t>通院１夜４．０・基・２人・初計</t>
  </si>
  <si>
    <t>通院１夜４．５</t>
  </si>
  <si>
    <t>通院１夜４．５・２人</t>
  </si>
  <si>
    <t>通院１夜４．５・基</t>
  </si>
  <si>
    <t>通院１夜４．５・基・２人</t>
  </si>
  <si>
    <t>C341</t>
  </si>
  <si>
    <t>通院１夜４．５・初計</t>
  </si>
  <si>
    <t>C342</t>
  </si>
  <si>
    <t>通院１夜４．５・２人・初計</t>
  </si>
  <si>
    <t>C343</t>
  </si>
  <si>
    <t>通院１夜４．５・基・初計</t>
  </si>
  <si>
    <t>C344</t>
  </si>
  <si>
    <t>通院１夜４．５・基・２人・初計</t>
  </si>
  <si>
    <t>ロ　通院等介助（身体介護を伴う場合）　（深夜のみ）</t>
  </si>
  <si>
    <t>通院１深０．５</t>
    <phoneticPr fontId="1"/>
  </si>
  <si>
    <t>(1)深夜 ３０分未満</t>
    <phoneticPr fontId="1"/>
  </si>
  <si>
    <t>通院１深０．５・２人</t>
  </si>
  <si>
    <t>通院１深０．５・基</t>
  </si>
  <si>
    <t>通院１深０．５・基・２人</t>
  </si>
  <si>
    <t>C361</t>
  </si>
  <si>
    <t>通院１深０．５・初計</t>
  </si>
  <si>
    <t>C362</t>
  </si>
  <si>
    <t>通院１深０．５・２人・初計</t>
  </si>
  <si>
    <t>C363</t>
  </si>
  <si>
    <t>通院１深０．５・基・初計</t>
  </si>
  <si>
    <t>C364</t>
  </si>
  <si>
    <t>通院１深０．５・基・２人・初計</t>
  </si>
  <si>
    <t>通院１深１．０</t>
  </si>
  <si>
    <t>通院１深１．０・２人</t>
  </si>
  <si>
    <t>通院１深１．０・基</t>
  </si>
  <si>
    <t>通院１深１．０・基・２人</t>
  </si>
  <si>
    <t>C381</t>
  </si>
  <si>
    <t>通院１深１．０・初計</t>
  </si>
  <si>
    <t>C382</t>
  </si>
  <si>
    <t>通院１深１．０・２人・初計</t>
  </si>
  <si>
    <t>C383</t>
  </si>
  <si>
    <t>通院１深１．０・基・初計</t>
  </si>
  <si>
    <t>C384</t>
  </si>
  <si>
    <t>通院１深１．０・基・２人・初計</t>
  </si>
  <si>
    <t>通院１深１．５</t>
  </si>
  <si>
    <t>通院１深１．５・２人</t>
  </si>
  <si>
    <t>通院１深１．５・基</t>
  </si>
  <si>
    <t>通院１深１．５・基・２人</t>
  </si>
  <si>
    <t>C401</t>
  </si>
  <si>
    <t>通院１深１．５・初計</t>
  </si>
  <si>
    <t>C402</t>
  </si>
  <si>
    <t>通院１深１．５・２人・初計</t>
  </si>
  <si>
    <t>C403</t>
  </si>
  <si>
    <t>通院１深１．５・基・初計</t>
  </si>
  <si>
    <t>C404</t>
  </si>
  <si>
    <t>通院１深１．５・基・２人・初計</t>
  </si>
  <si>
    <t>通院１深２．０</t>
  </si>
  <si>
    <t>通院１深２．０・２人</t>
  </si>
  <si>
    <t>通院１深２．０・基</t>
  </si>
  <si>
    <t>通院１深２．０・基・２人</t>
  </si>
  <si>
    <t>C421</t>
  </si>
  <si>
    <t>通院１深２．０・初計</t>
  </si>
  <si>
    <t>C422</t>
  </si>
  <si>
    <t>通院１深２．０・２人・初計</t>
  </si>
  <si>
    <t>C423</t>
  </si>
  <si>
    <t>通院１深２．０・基・初計</t>
  </si>
  <si>
    <t>C424</t>
  </si>
  <si>
    <t>通院１深２．０・基・２人・初計</t>
  </si>
  <si>
    <t>通院１深２．５</t>
  </si>
  <si>
    <t>通院１深２．５・２人</t>
  </si>
  <si>
    <t>通院１深２．５・基</t>
  </si>
  <si>
    <t>通院１深２．５・基・２人</t>
  </si>
  <si>
    <t>C441</t>
  </si>
  <si>
    <t>通院１深２．５・初計</t>
  </si>
  <si>
    <t>C442</t>
  </si>
  <si>
    <t>通院１深２．５・２人・初計</t>
  </si>
  <si>
    <t>C443</t>
  </si>
  <si>
    <t>通院１深２．５・基・初計</t>
  </si>
  <si>
    <t>C444</t>
  </si>
  <si>
    <t>通院１深２．５・基・２人・初計</t>
  </si>
  <si>
    <t>通院１深３．０</t>
  </si>
  <si>
    <t>通院１深３．０・２人</t>
  </si>
  <si>
    <t>通院１深３．０・基</t>
  </si>
  <si>
    <t>通院１深３．０・基・２人</t>
  </si>
  <si>
    <t>C461</t>
  </si>
  <si>
    <t>通院１深３．０・初計</t>
  </si>
  <si>
    <t>C462</t>
  </si>
  <si>
    <t>通院１深３．０・２人・初計</t>
  </si>
  <si>
    <t>C463</t>
  </si>
  <si>
    <t>通院１深３．０・基・初計</t>
  </si>
  <si>
    <t>C464</t>
  </si>
  <si>
    <t>通院１深３．０・基・２人・初計</t>
  </si>
  <si>
    <t>通院１深３．５</t>
  </si>
  <si>
    <t>通院１深３．５・２人</t>
  </si>
  <si>
    <t>通院１深３．５・基</t>
  </si>
  <si>
    <t>通院１深３．５・基・２人</t>
  </si>
  <si>
    <t>C481</t>
  </si>
  <si>
    <t>通院１深３．５・初計</t>
  </si>
  <si>
    <t>C482</t>
  </si>
  <si>
    <t>通院１深３．５・２人・初計</t>
  </si>
  <si>
    <t>C483</t>
  </si>
  <si>
    <t>通院１深３．５・基・初計</t>
  </si>
  <si>
    <t>C484</t>
  </si>
  <si>
    <t>通院１深３．５・基・２人・初計</t>
  </si>
  <si>
    <t>通院１深４．０</t>
  </si>
  <si>
    <t>通院１深４．０・２人</t>
  </si>
  <si>
    <t>通院１深４．０・基</t>
  </si>
  <si>
    <t>通院１深４．０・基・２人</t>
  </si>
  <si>
    <t>C501</t>
  </si>
  <si>
    <t>通院１深４．０・初計</t>
  </si>
  <si>
    <t>C502</t>
  </si>
  <si>
    <t>通院１深４．０・２人・初計</t>
  </si>
  <si>
    <t>C503</t>
  </si>
  <si>
    <t>通院１深４．０・基・初計</t>
  </si>
  <si>
    <t>C504</t>
  </si>
  <si>
    <t>通院１深４．０・基・２人・初計</t>
  </si>
  <si>
    <t>通院１深４．５</t>
  </si>
  <si>
    <t>通院１深４．５・２人</t>
  </si>
  <si>
    <t>通院１深４．５・基</t>
  </si>
  <si>
    <t>通院１深４．５・基・２人</t>
  </si>
  <si>
    <t>C521</t>
  </si>
  <si>
    <t>通院１深４．５・初計</t>
  </si>
  <si>
    <t>C522</t>
  </si>
  <si>
    <t>通院１深４．５・２人・初計</t>
  </si>
  <si>
    <t>C523</t>
  </si>
  <si>
    <t>通院１深４．５・基・初計</t>
  </si>
  <si>
    <t>C524</t>
  </si>
  <si>
    <t>通院１深４．５・基・２人・初計</t>
  </si>
  <si>
    <t>通院１深５．０</t>
  </si>
  <si>
    <t>通院１深５．０・２人</t>
  </si>
  <si>
    <t>通院１深５．０・基</t>
  </si>
  <si>
    <t>通院１深５．０・基・２人</t>
  </si>
  <si>
    <t>C541</t>
  </si>
  <si>
    <t>通院１深５．０・初計</t>
  </si>
  <si>
    <t>C542</t>
  </si>
  <si>
    <t>通院１深５．０・２人・初計</t>
  </si>
  <si>
    <t>C543</t>
  </si>
  <si>
    <t>通院１深５．０・基・初計</t>
  </si>
  <si>
    <t>C544</t>
  </si>
  <si>
    <t>通院１深５．０・基・２人・初計</t>
  </si>
  <si>
    <t>通院１深５．５</t>
  </si>
  <si>
    <t>通院１深５．５・２人</t>
  </si>
  <si>
    <t>通院１深５．５・基</t>
  </si>
  <si>
    <t>通院１深５．５・基・２人</t>
  </si>
  <si>
    <t>C561</t>
  </si>
  <si>
    <t>通院１深５．５・初計</t>
  </si>
  <si>
    <t>C562</t>
  </si>
  <si>
    <t>通院１深５．５・２人・初計</t>
  </si>
  <si>
    <t>C563</t>
  </si>
  <si>
    <t>通院１深５．５・基・初計</t>
  </si>
  <si>
    <t>C564</t>
  </si>
  <si>
    <t>通院１深５．５・基・２人・初計</t>
  </si>
  <si>
    <t>通院１深６．０</t>
  </si>
  <si>
    <t>通院１深６．０・２人</t>
  </si>
  <si>
    <t>通院１深６．０・基</t>
  </si>
  <si>
    <t>通院１深６．０・基・２人</t>
  </si>
  <si>
    <t>C581</t>
  </si>
  <si>
    <t>通院１深６．０・初計</t>
  </si>
  <si>
    <t>C582</t>
  </si>
  <si>
    <t>通院１深６．０・２人・初計</t>
  </si>
  <si>
    <t>C583</t>
  </si>
  <si>
    <t>通院１深６．０・基・初計</t>
  </si>
  <si>
    <t>C584</t>
  </si>
  <si>
    <t>通院１深６．０・基・２人・初計</t>
  </si>
  <si>
    <t>通院１深６．５</t>
  </si>
  <si>
    <t>通院１深６．５・２人</t>
  </si>
  <si>
    <t>通院１深６．５・基</t>
  </si>
  <si>
    <t>通院１深６．５・基・２人</t>
  </si>
  <si>
    <t>C601</t>
  </si>
  <si>
    <t>通院１深６．５・初計</t>
  </si>
  <si>
    <t>C602</t>
  </si>
  <si>
    <t>通院１深６．５・２人・初計</t>
  </si>
  <si>
    <t>C603</t>
  </si>
  <si>
    <t>通院１深６．５・基・初計</t>
  </si>
  <si>
    <t>C604</t>
  </si>
  <si>
    <t>通院１深６．５・基・２人・初計</t>
  </si>
  <si>
    <t>ロ　通院等介助（身体介護を伴う場合）　（深夜＋早朝）</t>
  </si>
  <si>
    <t>通院１深０．５・早０．５</t>
  </si>
  <si>
    <t>通院１深０．５・早０．５・２人</t>
  </si>
  <si>
    <t>通院１深０．５・早０．５・基</t>
  </si>
  <si>
    <t>通院１深０．５・早０．５・基・２人</t>
  </si>
  <si>
    <t>C621</t>
  </si>
  <si>
    <t>通院１深０．５・早０．５・初計</t>
  </si>
  <si>
    <t>C622</t>
  </si>
  <si>
    <t>通院１深０．５・早０．５・２人・初計</t>
  </si>
  <si>
    <t>C623</t>
  </si>
  <si>
    <t>通院１深０．５・早０．５・基・初計</t>
  </si>
  <si>
    <t>C624</t>
  </si>
  <si>
    <t>通院１深０．５・早０．５・基・２人・初計</t>
  </si>
  <si>
    <t>通院１深０．５・早１．０</t>
  </si>
  <si>
    <t>通院１深０．５・早１．０・２人</t>
  </si>
  <si>
    <t>通院１深０．５・早１．０・基</t>
  </si>
  <si>
    <t>通院１深０．５・早１．０・基・２人</t>
  </si>
  <si>
    <t>C641</t>
  </si>
  <si>
    <t>通院１深０．５・早１．０・初計</t>
  </si>
  <si>
    <t>C642</t>
  </si>
  <si>
    <t>通院１深０．５・早１．０・２人・初計</t>
  </si>
  <si>
    <t>C643</t>
  </si>
  <si>
    <t>通院１深０．５・早１．０・基・初計</t>
  </si>
  <si>
    <t>C644</t>
  </si>
  <si>
    <t>通院１深０．５・早１．０・基・２人・初計</t>
  </si>
  <si>
    <t>通院１深０．５・早１．５</t>
  </si>
  <si>
    <t>通院１深０．５・早１．５・２人</t>
  </si>
  <si>
    <t>通院１深０．５・早１．５・基</t>
  </si>
  <si>
    <t>通院１深０．５・早１．５・基・２人</t>
  </si>
  <si>
    <t>C661</t>
  </si>
  <si>
    <t>通院１深０．５・早１．５・初計</t>
  </si>
  <si>
    <t>C662</t>
  </si>
  <si>
    <t>通院１深０．５・早１．５・２人・初計</t>
  </si>
  <si>
    <t>C663</t>
  </si>
  <si>
    <t>通院１深０．５・早１．５・基・初計</t>
  </si>
  <si>
    <t>C664</t>
  </si>
  <si>
    <t>通院１深０．５・早１．５・基・２人・初計</t>
  </si>
  <si>
    <t>通院１深０．５・早２．０</t>
  </si>
  <si>
    <t>通院１深０．５・早２．０・２人</t>
  </si>
  <si>
    <t>通院１深０．５・早２．０・基</t>
  </si>
  <si>
    <t>通院１深０．５・早２．０・基・２人</t>
  </si>
  <si>
    <t>C681</t>
  </si>
  <si>
    <t>通院１深０．５・早２．０・初計</t>
  </si>
  <si>
    <t>C682</t>
  </si>
  <si>
    <t>通院１深０．５・早２．０・２人・初計</t>
  </si>
  <si>
    <t>C683</t>
  </si>
  <si>
    <t>通院１深０．５・早２．０・基・初計</t>
  </si>
  <si>
    <t>C684</t>
  </si>
  <si>
    <t>通院１深０．５・早２．０・基・２人・初計</t>
  </si>
  <si>
    <t>通院１深０．５・早２．５</t>
  </si>
  <si>
    <t>(五)早朝 ２時間以上 ２時間３０分未満</t>
    <phoneticPr fontId="1"/>
  </si>
  <si>
    <t>通院１深０．５・早２．５・２人</t>
  </si>
  <si>
    <t>通院１深０．５・早２．５・基</t>
  </si>
  <si>
    <t>通院１深０．５・早２．５・基・２人</t>
  </si>
  <si>
    <t>C701</t>
  </si>
  <si>
    <t>通院１深０．５・早２．５・初計</t>
  </si>
  <si>
    <t>C702</t>
  </si>
  <si>
    <t>通院１深０．５・早２．５・２人・初計</t>
  </si>
  <si>
    <t>C703</t>
  </si>
  <si>
    <t>通院１深０．５・早２．５・基・初計</t>
  </si>
  <si>
    <t>C704</t>
  </si>
  <si>
    <t>通院１深０．５・早２．５・基・２人・初計</t>
  </si>
  <si>
    <t>通院１深１．０・早０．５</t>
  </si>
  <si>
    <t>(2)深夜 ３０分以上 １時間未満</t>
    <phoneticPr fontId="1"/>
  </si>
  <si>
    <t>通院１深１．０・早０．５・２人</t>
  </si>
  <si>
    <t>通院１深１．０・早０．５・基</t>
  </si>
  <si>
    <t>通院１深１．０・早０．５・基・２人</t>
  </si>
  <si>
    <t>C721</t>
  </si>
  <si>
    <t>通院１深１．０・早０．５・初計</t>
  </si>
  <si>
    <t>C722</t>
  </si>
  <si>
    <t>通院１深１．０・早０．５・２人・初計</t>
  </si>
  <si>
    <t>C723</t>
  </si>
  <si>
    <t>通院１深１．０・早０．５・基・初計</t>
  </si>
  <si>
    <t>C724</t>
  </si>
  <si>
    <t>通院１深１．０・早０．５・基・２人・初計</t>
  </si>
  <si>
    <t>通院１深１．０・早１．０</t>
  </si>
  <si>
    <t>通院１深１．０・早１．０・２人</t>
  </si>
  <si>
    <t>通院１深１．０・早１．０・基</t>
  </si>
  <si>
    <t>通院１深１．０・早１．０・基・２人</t>
  </si>
  <si>
    <t>C741</t>
  </si>
  <si>
    <t>通院１深１．０・早１．０・初計</t>
  </si>
  <si>
    <t>C742</t>
  </si>
  <si>
    <t>通院１深１．０・早１．０・２人・初計</t>
  </si>
  <si>
    <t>C743</t>
  </si>
  <si>
    <t>通院１深１．０・早１．０・基・初計</t>
  </si>
  <si>
    <t>C744</t>
  </si>
  <si>
    <t>通院１深１．０・早１．０・基・２人・初計</t>
  </si>
  <si>
    <t>通院１深１．０・早１．５</t>
  </si>
  <si>
    <t>通院１深１．０・早１．５・２人</t>
  </si>
  <si>
    <t>通院１深１．０・早１．５・基</t>
  </si>
  <si>
    <t>通院１深１．０・早１．５・基・２人</t>
  </si>
  <si>
    <t>C761</t>
  </si>
  <si>
    <t>通院１深１．０・早１．５・初計</t>
  </si>
  <si>
    <t>C762</t>
  </si>
  <si>
    <t>通院１深１．０・早１．５・２人・初計</t>
  </si>
  <si>
    <t>C763</t>
  </si>
  <si>
    <t>通院１深１．０・早１．５・基・初計</t>
  </si>
  <si>
    <t>C764</t>
  </si>
  <si>
    <t>通院１深１．０・早１．５・基・２人・初計</t>
  </si>
  <si>
    <t>通院１深１．０・早２．０</t>
  </si>
  <si>
    <t>通院１深１．０・早２．０・２人</t>
  </si>
  <si>
    <t>通院１深１．０・早２．０・基</t>
  </si>
  <si>
    <t>通院１深１．０・早２．０・基・２人</t>
  </si>
  <si>
    <t>C781</t>
  </si>
  <si>
    <t>通院１深１．０・早２．０・初計</t>
  </si>
  <si>
    <t>C782</t>
  </si>
  <si>
    <t>通院１深１．０・早２．０・２人・初計</t>
  </si>
  <si>
    <t>C783</t>
  </si>
  <si>
    <t>通院１深１．０・早２．０・基・初計</t>
  </si>
  <si>
    <t>C784</t>
  </si>
  <si>
    <t>通院１深１．０・早２．０・基・２人・初計</t>
  </si>
  <si>
    <t>通院１深１．５・早０．５</t>
  </si>
  <si>
    <t>(3)深夜 １時間以上 １時間３０分未満</t>
    <phoneticPr fontId="1"/>
  </si>
  <si>
    <t>通院１深１．５・早０．５・２人</t>
  </si>
  <si>
    <t>通院１深１．５・早０．５・基</t>
  </si>
  <si>
    <t>通院１深１．５・早０．５・基・２人</t>
  </si>
  <si>
    <t>C801</t>
  </si>
  <si>
    <t>通院１深１．５・早０．５・初計</t>
  </si>
  <si>
    <t>C802</t>
  </si>
  <si>
    <t>通院１深１．５・早０．５・２人・初計</t>
  </si>
  <si>
    <t>C803</t>
  </si>
  <si>
    <t>通院１深１．５・早０．５・基・初計</t>
  </si>
  <si>
    <t>C804</t>
  </si>
  <si>
    <t>通院１深１．５・早０．５・基・２人・初計</t>
  </si>
  <si>
    <t>通院１深１．５・早１．０</t>
  </si>
  <si>
    <t>通院１深１．５・早１．０・２人</t>
  </si>
  <si>
    <t>通院１深１．５・早１．０・基</t>
  </si>
  <si>
    <t>通院１深１．５・早１．０・基・２人</t>
  </si>
  <si>
    <t>C821</t>
  </si>
  <si>
    <t>通院１深１．５・早１．０・初計</t>
  </si>
  <si>
    <t>C822</t>
  </si>
  <si>
    <t>通院１深１．５・早１．０・２人・初計</t>
  </si>
  <si>
    <t>C823</t>
  </si>
  <si>
    <t>通院１深１．５・早１．０・基・初計</t>
  </si>
  <si>
    <t>C824</t>
  </si>
  <si>
    <t>通院１深１．５・早１．０・基・２人・初計</t>
  </si>
  <si>
    <t>通院１深１．５・早１．５</t>
  </si>
  <si>
    <t>通院１深１．５・早１．５・２人</t>
  </si>
  <si>
    <t>通院１深１．５・早１．５・基</t>
  </si>
  <si>
    <t>通院１深１．５・早１．５・基・２人</t>
  </si>
  <si>
    <t>C841</t>
  </si>
  <si>
    <t>通院１深１．５・早１．５・初計</t>
  </si>
  <si>
    <t>C842</t>
  </si>
  <si>
    <t>通院１深１．５・早１．５・２人・初計</t>
  </si>
  <si>
    <t>C843</t>
  </si>
  <si>
    <t>通院１深１．５・早１．５・基・初計</t>
  </si>
  <si>
    <t>C844</t>
  </si>
  <si>
    <t>通院１深１．５・早１．５・基・２人・初計</t>
  </si>
  <si>
    <t>通院１深２．０・早０．５</t>
  </si>
  <si>
    <t>通院１深２．０・早０．５・２人</t>
  </si>
  <si>
    <t>通院１深２．０・早０．５・基</t>
  </si>
  <si>
    <t>通院１深２．０・早０．５・基・２人</t>
  </si>
  <si>
    <t>C861</t>
  </si>
  <si>
    <t>通院１深２．０・早０．５・初計</t>
  </si>
  <si>
    <t>C862</t>
  </si>
  <si>
    <t>通院１深２．０・早０．５・２人・初計</t>
  </si>
  <si>
    <t>C863</t>
  </si>
  <si>
    <t>通院１深２．０・早０．５・基・初計</t>
  </si>
  <si>
    <t>C864</t>
  </si>
  <si>
    <t>通院１深２．０・早０．５・基・２人・初計</t>
  </si>
  <si>
    <t>通院１深２．０・早１．０</t>
  </si>
  <si>
    <t>通院１深２．０・早１．０・２人</t>
  </si>
  <si>
    <t>通院１深２．０・早１．０・基</t>
  </si>
  <si>
    <t>通院１深２．０・早１．０・基・２人</t>
  </si>
  <si>
    <t>C881</t>
  </si>
  <si>
    <t>通院１深２．０・早１．０・初計</t>
  </si>
  <si>
    <t>C882</t>
  </si>
  <si>
    <t>通院１深２．０・早１．０・２人・初計</t>
  </si>
  <si>
    <t>C883</t>
  </si>
  <si>
    <t>通院１深２．０・早１．０・基・初計</t>
  </si>
  <si>
    <t>C884</t>
  </si>
  <si>
    <t>通院１深２．０・早１．０・基・２人・初計</t>
  </si>
  <si>
    <t>通院１深２．５・早０．５</t>
  </si>
  <si>
    <t>(5)深夜 ２時間以上 ２時間３０分未満</t>
    <phoneticPr fontId="1"/>
  </si>
  <si>
    <t>通院１深２．５・早０．５・２人</t>
  </si>
  <si>
    <t>通院１深２．５・早０．５・基</t>
  </si>
  <si>
    <t>通院１深２．５・早０．５・基・２人</t>
  </si>
  <si>
    <t>C901</t>
  </si>
  <si>
    <t>通院１深２．５・早０．５・初計</t>
  </si>
  <si>
    <t>C902</t>
  </si>
  <si>
    <t>通院１深２．５・早０．５・２人・初計</t>
  </si>
  <si>
    <t>C903</t>
  </si>
  <si>
    <t>通院１深２．５・早０．５・基・初計</t>
  </si>
  <si>
    <t>C904</t>
  </si>
  <si>
    <t>通院１深２．５・早０．５・基・２人・初計</t>
  </si>
  <si>
    <t>ロ　通院等介助（身体介護を伴う場合）　（早朝＋日中）</t>
  </si>
  <si>
    <t>通院１早０．５・日０．５</t>
  </si>
  <si>
    <t>通院１早０．５・日０．５・２人</t>
  </si>
  <si>
    <t>通院１早０．５・日０．５・基</t>
  </si>
  <si>
    <t>通院１早０．５・日０．５・基・２人</t>
  </si>
  <si>
    <t>C921</t>
  </si>
  <si>
    <t>通院１早０．５・日０．５・初計</t>
  </si>
  <si>
    <t>C922</t>
  </si>
  <si>
    <t>通院１早０．５・日０．５・２人・初計</t>
  </si>
  <si>
    <t>C923</t>
  </si>
  <si>
    <t>通院１早０．５・日０．５・基・初計</t>
  </si>
  <si>
    <t>C924</t>
  </si>
  <si>
    <t>通院１早０．５・日０．５・基・２人・初計</t>
  </si>
  <si>
    <t>通院１早０．５・日１．０</t>
  </si>
  <si>
    <t>通院１早０．５・日１．０・２人</t>
  </si>
  <si>
    <t>通院１早０．５・日１．０・基</t>
  </si>
  <si>
    <t>通院１早０．５・日１．０・基・２人</t>
  </si>
  <si>
    <t>C941</t>
  </si>
  <si>
    <t>通院１早０．５・日１．０・初計</t>
  </si>
  <si>
    <t>C942</t>
  </si>
  <si>
    <t>通院１早０．５・日１．０・２人・初計</t>
  </si>
  <si>
    <t>C943</t>
  </si>
  <si>
    <t>通院１早０．５・日１．０・基・初計</t>
  </si>
  <si>
    <t>C944</t>
  </si>
  <si>
    <t>通院１早０．５・日１．０・基・２人・初計</t>
  </si>
  <si>
    <t>通院１早０．５・日１．５</t>
  </si>
  <si>
    <t>通院１早０．５・日１．５・２人</t>
  </si>
  <si>
    <t>通院１早０．５・日１．５・基</t>
  </si>
  <si>
    <t>通院１早０．５・日１．５・基・２人</t>
  </si>
  <si>
    <t>C961</t>
  </si>
  <si>
    <t>通院１早０．５・日１．５・初計</t>
  </si>
  <si>
    <t>C962</t>
  </si>
  <si>
    <t>通院１早０．５・日１．５・２人・初計</t>
  </si>
  <si>
    <t>C963</t>
  </si>
  <si>
    <t>通院１早０．５・日１．５・基・初計</t>
  </si>
  <si>
    <t>C964</t>
  </si>
  <si>
    <t>通院１早０．５・日１．５・基・２人・初計</t>
  </si>
  <si>
    <t>通院１早０．５・日２．０</t>
  </si>
  <si>
    <t>通院１早０．５・日２．０・２人</t>
  </si>
  <si>
    <t>通院１早０．５・日２．０・基</t>
  </si>
  <si>
    <t>通院１早０．５・日２．０・基・２人</t>
  </si>
  <si>
    <t>C981</t>
  </si>
  <si>
    <t>通院１早０．５・日２．０・初計</t>
  </si>
  <si>
    <t>C982</t>
  </si>
  <si>
    <t>通院１早０．５・日２．０・２人・初計</t>
  </si>
  <si>
    <t>C983</t>
  </si>
  <si>
    <t>通院１早０．５・日２．０・基・初計</t>
  </si>
  <si>
    <t>C984</t>
  </si>
  <si>
    <t>通院１早０．５・日２．０・基・２人・初計</t>
  </si>
  <si>
    <t>通院１早０．５・日２．５</t>
  </si>
  <si>
    <t>(五)日中 ２時間以上 ２時間３０分未満</t>
    <phoneticPr fontId="1"/>
  </si>
  <si>
    <t>通院１早０．５・日２．５・２人</t>
  </si>
  <si>
    <t>通院１早０．５・日２．５・基</t>
  </si>
  <si>
    <t>通院１早０．５・日２．５・基・２人</t>
  </si>
  <si>
    <t>CA01</t>
  </si>
  <si>
    <t>通院１早０．５・日２．５・初計</t>
  </si>
  <si>
    <t>CA02</t>
  </si>
  <si>
    <t>通院１早０．５・日２．５・２人・初計</t>
  </si>
  <si>
    <t>CA03</t>
  </si>
  <si>
    <t>通院１早０．５・日２．５・基・初計</t>
  </si>
  <si>
    <t>CA04</t>
  </si>
  <si>
    <t>通院１早０．５・日２．５・基・２人・初計</t>
  </si>
  <si>
    <t>通院１早１．０・日０．５</t>
  </si>
  <si>
    <t>(2)早朝 ３０分以上 １時間未満</t>
    <phoneticPr fontId="1"/>
  </si>
  <si>
    <t>通院１早１．０・日０．５・２人</t>
  </si>
  <si>
    <t>通院１早１．０・日０．５・基</t>
  </si>
  <si>
    <t>通院１早１．０・日０．５・基・２人</t>
  </si>
  <si>
    <t>CA21</t>
  </si>
  <si>
    <t>通院１早１．０・日０．５・初計</t>
  </si>
  <si>
    <t>CA22</t>
  </si>
  <si>
    <t>通院１早１．０・日０．５・２人・初計</t>
  </si>
  <si>
    <t>CA23</t>
  </si>
  <si>
    <t>通院１早１．０・日０．５・基・初計</t>
  </si>
  <si>
    <t>CA24</t>
  </si>
  <si>
    <t>通院１早１．０・日０．５・基・２人・初計</t>
  </si>
  <si>
    <t>通院１早１．０・日１．０</t>
  </si>
  <si>
    <t>通院１早１．０・日１．０・２人</t>
  </si>
  <si>
    <t>通院１早１．０・日１．０・基</t>
  </si>
  <si>
    <t>通院１早１．０・日１．０・基・２人</t>
  </si>
  <si>
    <t>CA41</t>
  </si>
  <si>
    <t>通院１早１．０・日１．０・初計</t>
  </si>
  <si>
    <t>CA42</t>
  </si>
  <si>
    <t>通院１早１．０・日１．０・２人・初計</t>
  </si>
  <si>
    <t>CA43</t>
  </si>
  <si>
    <t>通院１早１．０・日１．０・基・初計</t>
  </si>
  <si>
    <t>CA44</t>
  </si>
  <si>
    <t>通院１早１．０・日１．０・基・２人・初計</t>
  </si>
  <si>
    <t>通院１早１．０・日１．５</t>
  </si>
  <si>
    <t>通院１早１．０・日１．５・２人</t>
  </si>
  <si>
    <t>通院１早１．０・日１．５・基</t>
  </si>
  <si>
    <t>通院１早１．０・日１．５・基・２人</t>
  </si>
  <si>
    <t>CA61</t>
  </si>
  <si>
    <t>通院１早１．０・日１．５・初計</t>
  </si>
  <si>
    <t>CA62</t>
  </si>
  <si>
    <t>通院１早１．０・日１．５・２人・初計</t>
  </si>
  <si>
    <t>CA63</t>
  </si>
  <si>
    <t>通院１早１．０・日１．５・基・初計</t>
  </si>
  <si>
    <t>CA64</t>
  </si>
  <si>
    <t>通院１早１．０・日１．５・基・２人・初計</t>
  </si>
  <si>
    <t>通院１早１．０・日２．０</t>
  </si>
  <si>
    <t>通院１早１．０・日２．０・２人</t>
  </si>
  <si>
    <t>通院１早１．０・日２．０・基</t>
  </si>
  <si>
    <t>通院１早１．０・日２．０・基・２人</t>
  </si>
  <si>
    <t>CA81</t>
  </si>
  <si>
    <t>通院１早１．０・日２．０・初計</t>
  </si>
  <si>
    <t>CA82</t>
  </si>
  <si>
    <t>通院１早１．０・日２．０・２人・初計</t>
  </si>
  <si>
    <t>CA83</t>
  </si>
  <si>
    <t>通院１早１．０・日２．０・基・初計</t>
  </si>
  <si>
    <t>CA84</t>
  </si>
  <si>
    <t>通院１早１．０・日２．０・基・２人・初計</t>
  </si>
  <si>
    <t>通院１早１．５・日０．５</t>
  </si>
  <si>
    <t>(3)早朝 １時間以上 １時間３０分未満</t>
    <phoneticPr fontId="1"/>
  </si>
  <si>
    <t>通院１早１．５・日０．５・２人</t>
  </si>
  <si>
    <t>通院１早１．５・日０．５・基</t>
  </si>
  <si>
    <t>通院１早１．５・日０．５・基・２人</t>
  </si>
  <si>
    <t>CB01</t>
  </si>
  <si>
    <t>通院１早１．５・日０．５・初計</t>
  </si>
  <si>
    <t>CB02</t>
  </si>
  <si>
    <t>通院１早１．５・日０．５・２人・初計</t>
  </si>
  <si>
    <t>CB03</t>
  </si>
  <si>
    <t>通院１早１．５・日０．５・基・初計</t>
  </si>
  <si>
    <t>CB04</t>
  </si>
  <si>
    <t>通院１早１．５・日０．５・基・２人・初計</t>
  </si>
  <si>
    <t>通院１早１．５・日１．０</t>
  </si>
  <si>
    <t>通院１早１．５・日１．０・２人</t>
  </si>
  <si>
    <t>通院１早１．５・日１．０・基</t>
  </si>
  <si>
    <t>通院１早１．５・日１．０・基・２人</t>
  </si>
  <si>
    <t>CB21</t>
  </si>
  <si>
    <t>通院１早１．５・日１．０・初計</t>
  </si>
  <si>
    <t>CB22</t>
  </si>
  <si>
    <t>通院１早１．５・日１．０・２人・初計</t>
  </si>
  <si>
    <t>CB23</t>
  </si>
  <si>
    <t>通院１早１．５・日１．０・基・初計</t>
  </si>
  <si>
    <t>CB24</t>
  </si>
  <si>
    <t>通院１早１．５・日１．０・基・２人・初計</t>
  </si>
  <si>
    <t>通院１早１．５・日１．５</t>
  </si>
  <si>
    <t>通院１早１．５・日１．５・２人</t>
  </si>
  <si>
    <t>通院１早１．５・日１．５・基</t>
  </si>
  <si>
    <t>通院１早１．５・日１．５・基・２人</t>
  </si>
  <si>
    <t>CB41</t>
  </si>
  <si>
    <t>通院１早１．５・日１．５・初計</t>
  </si>
  <si>
    <t>CB42</t>
  </si>
  <si>
    <t>通院１早１．５・日１．５・２人・初計</t>
  </si>
  <si>
    <t>CB43</t>
  </si>
  <si>
    <t>通院１早１．５・日１．５・基・初計</t>
  </si>
  <si>
    <t>CB44</t>
  </si>
  <si>
    <t>通院１早１．５・日１．５・基・２人・初計</t>
  </si>
  <si>
    <t>通院１早２．０・日０．５</t>
  </si>
  <si>
    <t>(4)早朝 １時間３０分以上 ２時間未満</t>
    <phoneticPr fontId="1"/>
  </si>
  <si>
    <t>通院１早２．０・日０．５・２人</t>
  </si>
  <si>
    <t>通院１早２．０・日０．５・基</t>
  </si>
  <si>
    <t>通院１早２．０・日０．５・基・２人</t>
  </si>
  <si>
    <t>CB61</t>
  </si>
  <si>
    <t>通院１早２．０・日０．５・初計</t>
  </si>
  <si>
    <t>CB62</t>
  </si>
  <si>
    <t>通院１早２．０・日０．５・２人・初計</t>
  </si>
  <si>
    <t>CB63</t>
  </si>
  <si>
    <t>通院１早２．０・日０．５・基・初計</t>
  </si>
  <si>
    <t>CB64</t>
  </si>
  <si>
    <t>通院１早２．０・日０．５・基・２人・初計</t>
  </si>
  <si>
    <t>通院１早２．０・日１．０</t>
  </si>
  <si>
    <t>通院１早２．０・日１．０・２人</t>
  </si>
  <si>
    <t>通院１早２．０・日１．０・基</t>
  </si>
  <si>
    <t>通院１早２．０・日１．０・基・２人</t>
  </si>
  <si>
    <t>CB81</t>
  </si>
  <si>
    <t>通院１早２．０・日１．０・初計</t>
  </si>
  <si>
    <t>CB82</t>
  </si>
  <si>
    <t>通院１早２．０・日１．０・２人・初計</t>
  </si>
  <si>
    <t>CB83</t>
  </si>
  <si>
    <t>通院１早２．０・日１．０・基・初計</t>
  </si>
  <si>
    <t>CB84</t>
  </si>
  <si>
    <t>通院１早２．０・日１．０・基・２人・初計</t>
  </si>
  <si>
    <t>通院１早２．５・日０．５</t>
  </si>
  <si>
    <t>(5)早朝 ２時間以上 ２時間３０分未満</t>
    <phoneticPr fontId="1"/>
  </si>
  <si>
    <t>通院１早２．５・日０．５・２人</t>
  </si>
  <si>
    <t>通院１早２．５・日０．５・基</t>
  </si>
  <si>
    <t>通院１早２．５・日０．５・基・２人</t>
  </si>
  <si>
    <t>CC01</t>
  </si>
  <si>
    <t>通院１早２．５・日０．５・初計</t>
  </si>
  <si>
    <t>CC02</t>
  </si>
  <si>
    <t>通院１早２．５・日０．５・２人・初計</t>
  </si>
  <si>
    <t>CC03</t>
  </si>
  <si>
    <t>通院１早２．５・日０．５・基・初計</t>
  </si>
  <si>
    <t>CC04</t>
  </si>
  <si>
    <t>通院１早２．５・日０．５・基・２人・初計</t>
  </si>
  <si>
    <t>ロ　通院等介助（身体介護を伴う場合）　（日中＋夜間）</t>
  </si>
  <si>
    <t>通院１日０．５・夜０．５</t>
  </si>
  <si>
    <t>(1)日中 ３０分未満</t>
    <phoneticPr fontId="1"/>
  </si>
  <si>
    <t>通院１日０．５・夜０．５・２人</t>
  </si>
  <si>
    <t>通院１日０．５・夜０．５・基</t>
  </si>
  <si>
    <t>通院１日０．５・夜０．５・基・２人</t>
  </si>
  <si>
    <t>CC21</t>
  </si>
  <si>
    <t>通院１日０．５・夜０．５・初計</t>
  </si>
  <si>
    <t>CC22</t>
  </si>
  <si>
    <t>通院１日０．５・夜０．５・２人・初計</t>
  </si>
  <si>
    <t>CC23</t>
  </si>
  <si>
    <t>通院１日０．５・夜０．５・基・初計</t>
  </si>
  <si>
    <t>CC24</t>
  </si>
  <si>
    <t>通院１日０．５・夜０．５・基・２人・初計</t>
  </si>
  <si>
    <t>通院１日０．５・夜１．０</t>
  </si>
  <si>
    <t>通院１日０．５・夜１．０・２人</t>
  </si>
  <si>
    <t>通院１日０．５・夜１．０・基</t>
  </si>
  <si>
    <t>通院１日０．５・夜１．０・基・２人</t>
  </si>
  <si>
    <t>CC41</t>
  </si>
  <si>
    <t>通院１日０．５・夜１．０・初計</t>
  </si>
  <si>
    <t>CC42</t>
  </si>
  <si>
    <t>通院１日０．５・夜１．０・２人・初計</t>
  </si>
  <si>
    <t>CC43</t>
  </si>
  <si>
    <t>通院１日０．５・夜１．０・基・初計</t>
  </si>
  <si>
    <t>CC44</t>
  </si>
  <si>
    <t>通院１日０．５・夜１．０・基・２人・初計</t>
  </si>
  <si>
    <t>通院１日０．５・夜１．５</t>
  </si>
  <si>
    <t>通院１日０．５・夜１．５・２人</t>
  </si>
  <si>
    <t>通院１日０．５・夜１．５・基</t>
  </si>
  <si>
    <t>通院１日０．５・夜１．５・基・２人</t>
  </si>
  <si>
    <t>CC61</t>
  </si>
  <si>
    <t>通院１日０．５・夜１．５・初計</t>
  </si>
  <si>
    <t>CC62</t>
  </si>
  <si>
    <t>通院１日０．５・夜１．５・２人・初計</t>
  </si>
  <si>
    <t>CC63</t>
  </si>
  <si>
    <t>通院１日０．５・夜１．５・基・初計</t>
  </si>
  <si>
    <t>CC64</t>
  </si>
  <si>
    <t>通院１日０．５・夜１．５・基・２人・初計</t>
  </si>
  <si>
    <t>通院１日０．５・夜２．０</t>
  </si>
  <si>
    <t>通院１日０．５・夜２．０・２人</t>
  </si>
  <si>
    <t>通院１日０．５・夜２．０・基</t>
  </si>
  <si>
    <t>通院１日０．５・夜２．０・基・２人</t>
  </si>
  <si>
    <t>CC81</t>
  </si>
  <si>
    <t>通院１日０．５・夜２．０・初計</t>
  </si>
  <si>
    <t>CC82</t>
  </si>
  <si>
    <t>通院１日０．５・夜２．０・２人・初計</t>
  </si>
  <si>
    <t>CC83</t>
  </si>
  <si>
    <t>通院１日０．５・夜２．０・基・初計</t>
  </si>
  <si>
    <t>CC84</t>
  </si>
  <si>
    <t>通院１日０．５・夜２．０・基・２人・初計</t>
  </si>
  <si>
    <t>通院１日０．５・夜２．５</t>
  </si>
  <si>
    <t>(五)夜間 ２時間以上 ２時間３０分未満</t>
    <phoneticPr fontId="1"/>
  </si>
  <si>
    <t>通院１日０．５・夜２．５・２人</t>
  </si>
  <si>
    <t>通院１日０．５・夜２．５・基</t>
  </si>
  <si>
    <t>通院１日０．５・夜２．５・基・２人</t>
  </si>
  <si>
    <t>CD01</t>
  </si>
  <si>
    <t>通院１日０．５・夜２．５・初計</t>
  </si>
  <si>
    <t>CD02</t>
  </si>
  <si>
    <t>通院１日０．５・夜２．５・２人・初計</t>
  </si>
  <si>
    <t>CD03</t>
  </si>
  <si>
    <t>通院１日０．５・夜２．５・基・初計</t>
  </si>
  <si>
    <t>CD04</t>
  </si>
  <si>
    <t>通院１日０．５・夜２．５・基・２人・初計</t>
  </si>
  <si>
    <t>通院１日１．０・夜０．５</t>
  </si>
  <si>
    <t>(2)日中 ３０分以上 １時間未満</t>
    <phoneticPr fontId="1"/>
  </si>
  <si>
    <t>通院１日１．０・夜０．５・２人</t>
  </si>
  <si>
    <t>通院１日１．０・夜０．５・基</t>
  </si>
  <si>
    <t>通院１日１．０・夜０．５・基・２人</t>
  </si>
  <si>
    <t>CD21</t>
  </si>
  <si>
    <t>通院１日１．０・夜０．５・初計</t>
  </si>
  <si>
    <t>CD22</t>
  </si>
  <si>
    <t>通院１日１．０・夜０．５・２人・初計</t>
  </si>
  <si>
    <t>CD23</t>
  </si>
  <si>
    <t>通院１日１．０・夜０．５・基・初計</t>
  </si>
  <si>
    <t>CD24</t>
  </si>
  <si>
    <t>通院１日１．０・夜０．５・基・２人・初計</t>
  </si>
  <si>
    <t>通院１日１．０・夜１．０</t>
  </si>
  <si>
    <t>通院１日１．０・夜１．０・２人</t>
  </si>
  <si>
    <t>通院１日１．０・夜１．０・基</t>
  </si>
  <si>
    <t>通院１日１．０・夜１．０・基・２人</t>
  </si>
  <si>
    <t>CD41</t>
  </si>
  <si>
    <t>通院１日１．０・夜１．０・初計</t>
  </si>
  <si>
    <t>CD42</t>
  </si>
  <si>
    <t>通院１日１．０・夜１．０・２人・初計</t>
  </si>
  <si>
    <t>CD43</t>
  </si>
  <si>
    <t>通院１日１．０・夜１．０・基・初計</t>
  </si>
  <si>
    <t>CD44</t>
  </si>
  <si>
    <t>通院１日１．０・夜１．０・基・２人・初計</t>
  </si>
  <si>
    <t>通院１日１．０・夜１．５</t>
  </si>
  <si>
    <t>通院１日１．０・夜１．５・２人</t>
  </si>
  <si>
    <t>通院１日１．０・夜１．５・基</t>
  </si>
  <si>
    <t>通院１日１．０・夜１．５・基・２人</t>
  </si>
  <si>
    <t>CD61</t>
  </si>
  <si>
    <t>通院１日１．０・夜１．５・初計</t>
  </si>
  <si>
    <t>CD62</t>
  </si>
  <si>
    <t>通院１日１．０・夜１．５・２人・初計</t>
  </si>
  <si>
    <t>CD63</t>
  </si>
  <si>
    <t>通院１日１．０・夜１．５・基・初計</t>
  </si>
  <si>
    <t>CD64</t>
  </si>
  <si>
    <t>通院１日１．０・夜１．５・基・２人・初計</t>
  </si>
  <si>
    <t>通院１日１．０・夜２．０</t>
  </si>
  <si>
    <t>通院１日１．０・夜２．０・２人</t>
  </si>
  <si>
    <t>通院１日１．０・夜２．０・基</t>
  </si>
  <si>
    <t>通院１日１．０・夜２．０・基・２人</t>
  </si>
  <si>
    <t>CD81</t>
  </si>
  <si>
    <t>通院１日１．０・夜２．０・初計</t>
  </si>
  <si>
    <t>CD82</t>
  </si>
  <si>
    <t>通院１日１．０・夜２．０・２人・初計</t>
  </si>
  <si>
    <t>CD83</t>
  </si>
  <si>
    <t>通院１日１．０・夜２．０・基・初計</t>
  </si>
  <si>
    <t>CD84</t>
  </si>
  <si>
    <t>通院１日１．０・夜２．０・基・２人・初計</t>
  </si>
  <si>
    <t>通院１日１．５・夜０．５</t>
  </si>
  <si>
    <t>(3)日中 １時間以上 １時間３０分未満</t>
    <phoneticPr fontId="1"/>
  </si>
  <si>
    <t>通院１日１．５・夜０．５・２人</t>
  </si>
  <si>
    <t>通院１日１．５・夜０．５・基</t>
  </si>
  <si>
    <t>通院１日１．５・夜０．５・基・２人</t>
  </si>
  <si>
    <t>CE01</t>
  </si>
  <si>
    <t>通院１日１．５・夜０．５・初計</t>
  </si>
  <si>
    <t>CE02</t>
  </si>
  <si>
    <t>通院１日１．５・夜０．５・２人・初計</t>
  </si>
  <si>
    <t>CE03</t>
  </si>
  <si>
    <t>通院１日１．５・夜０．５・基・初計</t>
  </si>
  <si>
    <t>CE04</t>
  </si>
  <si>
    <t>通院１日１．５・夜０．５・基・２人・初計</t>
  </si>
  <si>
    <t>通院１日１．５・夜１．０</t>
  </si>
  <si>
    <t>通院１日１．５・夜１．０・２人</t>
  </si>
  <si>
    <t>通院１日１．５・夜１．０・基</t>
  </si>
  <si>
    <t>通院１日１．５・夜１．０・基・２人</t>
  </si>
  <si>
    <t>CE21</t>
  </si>
  <si>
    <t>通院１日１．５・夜１．０・初計</t>
  </si>
  <si>
    <t>CE22</t>
  </si>
  <si>
    <t>通院１日１．５・夜１．０・２人・初計</t>
  </si>
  <si>
    <t>CE23</t>
  </si>
  <si>
    <t>通院１日１．５・夜１．０・基・初計</t>
  </si>
  <si>
    <t>CE24</t>
  </si>
  <si>
    <t>通院１日１．５・夜１．０・基・２人・初計</t>
  </si>
  <si>
    <t>通院１日１．５・夜１．５</t>
  </si>
  <si>
    <t>通院１日１．５・夜１．５・２人</t>
  </si>
  <si>
    <t>通院１日１．５・夜１．５・基</t>
  </si>
  <si>
    <t>通院１日１．５・夜１．５・基・２人</t>
  </si>
  <si>
    <t>CE41</t>
  </si>
  <si>
    <t>通院１日１．５・夜１．５・初計</t>
  </si>
  <si>
    <t>CE42</t>
  </si>
  <si>
    <t>通院１日１．５・夜１．５・２人・初計</t>
  </si>
  <si>
    <t>CE43</t>
  </si>
  <si>
    <t>通院１日１．５・夜１．５・基・初計</t>
  </si>
  <si>
    <t>CE44</t>
  </si>
  <si>
    <t>通院１日１．５・夜１．５・基・２人・初計</t>
  </si>
  <si>
    <t>通院１日２．０・夜０．５</t>
  </si>
  <si>
    <t>(4)日中 １時間３０分以上 ２時間未満</t>
    <phoneticPr fontId="1"/>
  </si>
  <si>
    <t>通院１日２．０・夜０．５・２人</t>
  </si>
  <si>
    <t>通院１日２．０・夜０．５・基</t>
  </si>
  <si>
    <t>通院１日２．０・夜０．５・基・２人</t>
  </si>
  <si>
    <t>CE61</t>
  </si>
  <si>
    <t>通院１日２．０・夜０．５・初計</t>
  </si>
  <si>
    <t>CE62</t>
  </si>
  <si>
    <t>通院１日２．０・夜０．５・２人・初計</t>
  </si>
  <si>
    <t>CE63</t>
  </si>
  <si>
    <t>通院１日２．０・夜０．５・基・初計</t>
  </si>
  <si>
    <t>CE64</t>
  </si>
  <si>
    <t>通院１日２．０・夜０．５・基・２人・初計</t>
  </si>
  <si>
    <t>通院１日２．０・夜１．０</t>
  </si>
  <si>
    <t>通院１日２．０・夜１．０・２人</t>
  </si>
  <si>
    <t>通院１日２．０・夜１．０・基</t>
  </si>
  <si>
    <t>通院１日２．０・夜１．０・基・２人</t>
  </si>
  <si>
    <t>CE81</t>
  </si>
  <si>
    <t>通院１日２．０・夜１．０・初計</t>
  </si>
  <si>
    <t>CE82</t>
  </si>
  <si>
    <t>通院１日２．０・夜１．０・２人・初計</t>
  </si>
  <si>
    <t>CE83</t>
  </si>
  <si>
    <t>通院１日２．０・夜１．０・基・初計</t>
  </si>
  <si>
    <t>CE84</t>
  </si>
  <si>
    <t>通院１日２．０・夜１．０・基・２人・初計</t>
  </si>
  <si>
    <t>通院１日２．５・夜０．５</t>
  </si>
  <si>
    <t>(5)日中 ２時間以上 ２時間３０分未満</t>
    <phoneticPr fontId="1"/>
  </si>
  <si>
    <t>通院１日２．５・夜０．５・２人</t>
  </si>
  <si>
    <t>通院１日２．５・夜０．５・基</t>
  </si>
  <si>
    <t>通院１日２．５・夜０．５・基・２人</t>
  </si>
  <si>
    <t>CF01</t>
  </si>
  <si>
    <t>通院１日２．５・夜０．５・初計</t>
  </si>
  <si>
    <t>CF02</t>
  </si>
  <si>
    <t>通院１日２．５・夜０．５・２人・初計</t>
  </si>
  <si>
    <t>CF03</t>
  </si>
  <si>
    <t>通院１日２．５・夜０．５・基・初計</t>
  </si>
  <si>
    <t>CF04</t>
  </si>
  <si>
    <t>通院１日２．５・夜０．５・基・２人・初計</t>
  </si>
  <si>
    <t>ロ　通院等介助（身体介護を伴う場合）　（深夜＋早朝＋日中）</t>
  </si>
  <si>
    <t>通院１深０．５・早２．０・日０．５</t>
  </si>
  <si>
    <t>(一)早朝 １時間３０分以上 ２時間未満</t>
    <phoneticPr fontId="1"/>
  </si>
  <si>
    <t>通院１深０．５・早２．０・日０．５・２人</t>
  </si>
  <si>
    <t>通院１深０．５・早２．０・日０．５・基</t>
  </si>
  <si>
    <t>通院１深０．５・早２．０・日０．５・基・２人</t>
  </si>
  <si>
    <t>CF21</t>
  </si>
  <si>
    <t>通院１深０．５・早２．０・日０．５・初計</t>
  </si>
  <si>
    <t>CF22</t>
  </si>
  <si>
    <t>通院１深０．５・早２．０・日０．５・２人・初計</t>
  </si>
  <si>
    <t>CF23</t>
  </si>
  <si>
    <t>通院１深０．５・早２．０・日０．５・基・初計</t>
  </si>
  <si>
    <t>CF24</t>
  </si>
  <si>
    <t>通院１深０．５・早２．０・日０．５・基・２人・初計</t>
  </si>
  <si>
    <t>ロ　通院等介助（身体介護を伴う場合）　（夜間＋深夜）</t>
  </si>
  <si>
    <t>通院１夜０．５・深０．５</t>
  </si>
  <si>
    <t>(1)夜間 ３０分未満</t>
    <phoneticPr fontId="1"/>
  </si>
  <si>
    <t>通院１夜０．５・深０．５・２人</t>
  </si>
  <si>
    <t>通院１夜０．５・深０．５・基</t>
  </si>
  <si>
    <t>通院１夜０．５・深０．５・基・２人</t>
  </si>
  <si>
    <t>CF41</t>
  </si>
  <si>
    <t>通院１夜０．５・深０．５・初計</t>
  </si>
  <si>
    <t>CF42</t>
  </si>
  <si>
    <t>通院１夜０．５・深０．５・２人・初計</t>
  </si>
  <si>
    <t>CF43</t>
  </si>
  <si>
    <t>通院１夜０．５・深０．５・基・初計</t>
  </si>
  <si>
    <t>CF44</t>
  </si>
  <si>
    <t>通院１夜０．５・深０．５・基・２人・初計</t>
  </si>
  <si>
    <t>通院１夜０．５・深１．０</t>
  </si>
  <si>
    <t>通院１夜０．５・深１．０・２人</t>
  </si>
  <si>
    <t>通院１夜０．５・深１．０・基</t>
  </si>
  <si>
    <t>通院１夜０．５・深１．０・基・２人</t>
  </si>
  <si>
    <t>CF61</t>
  </si>
  <si>
    <t>通院１夜０．５・深１．０・初計</t>
  </si>
  <si>
    <t>CF62</t>
  </si>
  <si>
    <t>通院１夜０．５・深１．０・２人・初計</t>
  </si>
  <si>
    <t>CF63</t>
  </si>
  <si>
    <t>通院１夜０．５・深１．０・基・初計</t>
  </si>
  <si>
    <t>CF64</t>
  </si>
  <si>
    <t>通院１夜０．５・深１．０・基・２人・初計</t>
  </si>
  <si>
    <t>通院１夜０．５・深１．５</t>
  </si>
  <si>
    <t>通院１夜０．５・深１．５・２人</t>
  </si>
  <si>
    <t>通院１夜０．５・深１．５・基</t>
  </si>
  <si>
    <t>通院１夜０．５・深１．５・基・２人</t>
  </si>
  <si>
    <t>CF81</t>
  </si>
  <si>
    <t>通院１夜０．５・深１．５・初計</t>
  </si>
  <si>
    <t>CF82</t>
  </si>
  <si>
    <t>通院１夜０．５・深１．５・２人・初計</t>
  </si>
  <si>
    <t>CF83</t>
  </si>
  <si>
    <t>通院１夜０．５・深１．５・基・初計</t>
  </si>
  <si>
    <t>CF84</t>
  </si>
  <si>
    <t>通院１夜０．５・深１．５・基・２人・初計</t>
  </si>
  <si>
    <t>通院１夜０．５・深２．０</t>
  </si>
  <si>
    <t>通院１夜０．５・深２．０・２人</t>
  </si>
  <si>
    <t>通院１夜０．５・深２．０・基</t>
  </si>
  <si>
    <t>通院１夜０．５・深２．０・基・２人</t>
  </si>
  <si>
    <t>CG01</t>
  </si>
  <si>
    <t>通院１夜０．５・深２．０・初計</t>
  </si>
  <si>
    <t>CG02</t>
  </si>
  <si>
    <t>通院１夜０．５・深２．０・２人・初計</t>
  </si>
  <si>
    <t>CG03</t>
  </si>
  <si>
    <t>通院１夜０．５・深２．０・基・初計</t>
  </si>
  <si>
    <t>CG04</t>
  </si>
  <si>
    <t>通院１夜０．５・深２．０・基・２人・初計</t>
  </si>
  <si>
    <t>通院１夜０．５・深２．５</t>
  </si>
  <si>
    <t>(五)深夜 ２時間以上 ２時間３０分未満</t>
    <phoneticPr fontId="1"/>
  </si>
  <si>
    <t>通院１夜０．５・深２．５・２人</t>
  </si>
  <si>
    <t>通院１夜０．５・深２．５・基</t>
  </si>
  <si>
    <t>通院１夜０．５・深２．５・基・２人</t>
  </si>
  <si>
    <t>CG21</t>
  </si>
  <si>
    <t>通院１夜０．５・深２．５・初計</t>
  </si>
  <si>
    <t>CG22</t>
  </si>
  <si>
    <t>通院１夜０．５・深２．５・２人・初計</t>
  </si>
  <si>
    <t>CG23</t>
  </si>
  <si>
    <t>通院１夜０．５・深２．５・基・初計</t>
  </si>
  <si>
    <t>CG24</t>
  </si>
  <si>
    <t>通院１夜０．５・深２．５・基・２人・初計</t>
  </si>
  <si>
    <t>通院１夜１．０・深０．５</t>
  </si>
  <si>
    <t>(2)夜間 ３０分以上 １時間未満</t>
    <phoneticPr fontId="1"/>
  </si>
  <si>
    <t>通院１夜１．０・深０．５・２人</t>
  </si>
  <si>
    <t>通院１夜１．０・深０．５・基</t>
  </si>
  <si>
    <t>通院１夜１．０・深０．５・基・２人</t>
  </si>
  <si>
    <t>CG41</t>
  </si>
  <si>
    <t>通院１夜１．０・深０．５・初計</t>
  </si>
  <si>
    <t>CG42</t>
  </si>
  <si>
    <t>通院１夜１．０・深０．５・２人・初計</t>
  </si>
  <si>
    <t>CG43</t>
  </si>
  <si>
    <t>通院１夜１．０・深０．５・基・初計</t>
  </si>
  <si>
    <t>CG44</t>
  </si>
  <si>
    <t>通院１夜１．０・深０．５・基・２人・初計</t>
  </si>
  <si>
    <t>通院１夜１．０・深１．０</t>
  </si>
  <si>
    <t>通院１夜１．０・深１．０・２人</t>
  </si>
  <si>
    <t>通院１夜１．０・深１．０・基</t>
  </si>
  <si>
    <t>通院１夜１．０・深１．０・基・２人</t>
  </si>
  <si>
    <t>CG61</t>
  </si>
  <si>
    <t>通院１夜１．０・深１．０・初計</t>
  </si>
  <si>
    <t>CG62</t>
  </si>
  <si>
    <t>通院１夜１．０・深１．０・２人・初計</t>
  </si>
  <si>
    <t>CG63</t>
  </si>
  <si>
    <t>通院１夜１．０・深１．０・基・初計</t>
  </si>
  <si>
    <t>CG64</t>
  </si>
  <si>
    <t>通院１夜１．０・深１．０・基・２人・初計</t>
  </si>
  <si>
    <t>通院１夜１．０・深１．５</t>
  </si>
  <si>
    <t>通院１夜１．０・深１．５・２人</t>
  </si>
  <si>
    <t>通院１夜１．０・深１．５・基</t>
  </si>
  <si>
    <t>通院１夜１．０・深１．５・基・２人</t>
  </si>
  <si>
    <t>CG81</t>
  </si>
  <si>
    <t>通院１夜１．０・深１．５・初計</t>
  </si>
  <si>
    <t>CG82</t>
  </si>
  <si>
    <t>通院１夜１．０・深１．５・２人・初計</t>
  </si>
  <si>
    <t>CG83</t>
  </si>
  <si>
    <t>通院１夜１．０・深１．５・基・初計</t>
  </si>
  <si>
    <t>CG84</t>
  </si>
  <si>
    <t>通院１夜１．０・深１．５・基・２人・初計</t>
  </si>
  <si>
    <t>通院１夜１．０・深２．０</t>
  </si>
  <si>
    <t>通院１夜１．０・深２．０・２人</t>
  </si>
  <si>
    <t>通院１夜１．０・深２．０・基</t>
  </si>
  <si>
    <t>通院１夜１．０・深２．０・基・２人</t>
  </si>
  <si>
    <t>CH01</t>
  </si>
  <si>
    <t>通院１夜１．０・深２．０・初計</t>
  </si>
  <si>
    <t>CH02</t>
  </si>
  <si>
    <t>通院１夜１．０・深２．０・２人・初計</t>
  </si>
  <si>
    <t>CH03</t>
  </si>
  <si>
    <t>通院１夜１．０・深２．０・基・初計</t>
  </si>
  <si>
    <t>CH04</t>
  </si>
  <si>
    <t>通院１夜１．０・深２．０・基・２人・初計</t>
  </si>
  <si>
    <t>通院１夜１．５・深０．５</t>
  </si>
  <si>
    <t>通院１夜１．５・深０．５・２人</t>
  </si>
  <si>
    <t>通院１夜１．５・深０．５・基</t>
  </si>
  <si>
    <t>通院１夜１．５・深０．５・基・２人</t>
  </si>
  <si>
    <t>CH21</t>
  </si>
  <si>
    <t>通院１夜１．５・深０．５・初計</t>
  </si>
  <si>
    <t>CH22</t>
  </si>
  <si>
    <t>通院１夜１．５・深０．５・２人・初計</t>
  </si>
  <si>
    <t>CH23</t>
  </si>
  <si>
    <t>通院１夜１．５・深０．５・基・初計</t>
  </si>
  <si>
    <t>CH24</t>
  </si>
  <si>
    <t>通院１夜１．５・深０．５・基・２人・初計</t>
  </si>
  <si>
    <t>通院１夜１．５・深１．０</t>
  </si>
  <si>
    <t>通院１夜１．５・深１．０・２人</t>
  </si>
  <si>
    <t>通院１夜１．５・深１．０・基</t>
  </si>
  <si>
    <t>通院１夜１．５・深１．０・基・２人</t>
  </si>
  <si>
    <t>CH41</t>
  </si>
  <si>
    <t>通院１夜１．５・深１．０・初計</t>
  </si>
  <si>
    <t>CH42</t>
  </si>
  <si>
    <t>通院１夜１．５・深１．０・２人・初計</t>
  </si>
  <si>
    <t>CH43</t>
  </si>
  <si>
    <t>通院１夜１．５・深１．０・基・初計</t>
  </si>
  <si>
    <t>CH44</t>
  </si>
  <si>
    <t>通院１夜１．５・深１．０・基・２人・初計</t>
  </si>
  <si>
    <t>通院１夜１．５・深１．５</t>
  </si>
  <si>
    <t>通院１夜１．５・深１．５・２人</t>
  </si>
  <si>
    <t>通院１夜１．５・深１．５・基</t>
  </si>
  <si>
    <t>通院１夜１．５・深１．５・基・２人</t>
  </si>
  <si>
    <t>CH61</t>
  </si>
  <si>
    <t>通院１夜１．５・深１．５・初計</t>
  </si>
  <si>
    <t>CH62</t>
  </si>
  <si>
    <t>通院１夜１．５・深１．５・２人・初計</t>
  </si>
  <si>
    <t>CH63</t>
  </si>
  <si>
    <t>通院１夜１．５・深１．５・基・初計</t>
  </si>
  <si>
    <t>CH64</t>
  </si>
  <si>
    <t>通院１夜１．５・深１．５・基・２人・初計</t>
  </si>
  <si>
    <t>通院１夜２．０・深０．５</t>
  </si>
  <si>
    <t>(4)夜間 １時間３０分以上 ２時間未満</t>
    <phoneticPr fontId="1"/>
  </si>
  <si>
    <t>通院１夜２．０・深０．５・２人</t>
  </si>
  <si>
    <t>通院１夜２．０・深０．５・基</t>
  </si>
  <si>
    <t>通院１夜２．０・深０．５・基・２人</t>
  </si>
  <si>
    <t>CH81</t>
  </si>
  <si>
    <t>通院１夜２．０・深０．５・初計</t>
  </si>
  <si>
    <t>CH82</t>
  </si>
  <si>
    <t>通院１夜２．０・深０．５・２人・初計</t>
  </si>
  <si>
    <t>CH83</t>
  </si>
  <si>
    <t>通院１夜２．０・深０．５・基・初計</t>
  </si>
  <si>
    <t>CH84</t>
  </si>
  <si>
    <t>通院１夜２．０・深０．５・基・２人・初計</t>
  </si>
  <si>
    <t>通院１夜２．０・深１．０</t>
  </si>
  <si>
    <t>通院１夜２．０・深１．０・２人</t>
  </si>
  <si>
    <t>通院１夜２．０・深１．０・基</t>
  </si>
  <si>
    <t>通院１夜２．０・深１．０・基・２人</t>
  </si>
  <si>
    <t>CJ01</t>
  </si>
  <si>
    <t>通院１夜２．０・深１．０・初計</t>
  </si>
  <si>
    <t>CJ02</t>
  </si>
  <si>
    <t>通院１夜２．０・深１．０・２人・初計</t>
  </si>
  <si>
    <t>CJ03</t>
  </si>
  <si>
    <t>通院１夜２．０・深１．０・基・初計</t>
  </si>
  <si>
    <t>CJ04</t>
  </si>
  <si>
    <t>通院１夜２．０・深１．０・基・２人・初計</t>
  </si>
  <si>
    <t>通院１夜２．５・深０．５</t>
  </si>
  <si>
    <t>(5)夜間 ２時間以上 ２時間３０分未満</t>
    <phoneticPr fontId="1"/>
  </si>
  <si>
    <t>通院１夜２．５・深０．５・２人</t>
  </si>
  <si>
    <t>通院１夜２．５・深０．５・基</t>
  </si>
  <si>
    <t>通院１夜２．５・深０．５・基・２人</t>
  </si>
  <si>
    <t>CJ21</t>
  </si>
  <si>
    <t>通院１夜２．５・深０．５・初計</t>
  </si>
  <si>
    <t>CJ22</t>
  </si>
  <si>
    <t>通院１夜２．５・深０．５・２人・初計</t>
  </si>
  <si>
    <t>CJ23</t>
  </si>
  <si>
    <t>通院１夜２．５・深０．５・基・初計</t>
  </si>
  <si>
    <t>CJ24</t>
  </si>
  <si>
    <t>通院１夜２．５・深０．５・基・２人・初計</t>
  </si>
  <si>
    <t>ロ　通院等介助（身体介護を伴う場合）　（日を跨る場合　２日目深夜増分）</t>
  </si>
  <si>
    <t>通院１日跨増深０．５・深０．５</t>
  </si>
  <si>
    <t>通院１日跨増深０．５・深０．５・２人</t>
  </si>
  <si>
    <t>通院１日跨増深０．５・深０．５・基</t>
  </si>
  <si>
    <t>通院１日跨増深０．５・深０．５・基・２人</t>
  </si>
  <si>
    <t>CJ41</t>
  </si>
  <si>
    <t>通院１日跨増深０．５・深０．５・初計</t>
  </si>
  <si>
    <t>CJ42</t>
  </si>
  <si>
    <t>通院１日跨増深０．５・深０．５・２人・初計</t>
  </si>
  <si>
    <t>CJ43</t>
  </si>
  <si>
    <t>通院１日跨増深０．５・深０．５・基・初計</t>
  </si>
  <si>
    <t>CJ44</t>
  </si>
  <si>
    <t>通院１日跨増深０．５・深０．５・基・２人・初計</t>
  </si>
  <si>
    <t>通院１日跨増深０．５・深１．０</t>
  </si>
  <si>
    <t>通院１日跨増深０．５・深１．０・２人</t>
  </si>
  <si>
    <t>通院１日跨増深０．５・深１．０・基</t>
  </si>
  <si>
    <t>通院１日跨増深０．５・深１．０・基・２人</t>
  </si>
  <si>
    <t>CJ61</t>
  </si>
  <si>
    <t>通院１日跨増深０．５・深１．０・初計</t>
  </si>
  <si>
    <t>CJ62</t>
  </si>
  <si>
    <t>通院１日跨増深０．５・深１．０・２人・初計</t>
  </si>
  <si>
    <t>CJ63</t>
  </si>
  <si>
    <t>通院１日跨増深０．５・深１．０・基・初計</t>
  </si>
  <si>
    <t>CJ64</t>
  </si>
  <si>
    <t>通院１日跨増深０．５・深１．０・基・２人・初計</t>
  </si>
  <si>
    <t>通院１日跨増深０．５・深１．５</t>
  </si>
  <si>
    <t>通院１日跨増深０．５・深１．５・２人</t>
  </si>
  <si>
    <t>通院１日跨増深０．５・深１．５・基</t>
  </si>
  <si>
    <t>通院１日跨増深０．５・深１．５・基・２人</t>
  </si>
  <si>
    <t>CJ81</t>
  </si>
  <si>
    <t>通院１日跨増深０．５・深１．５・初計</t>
  </si>
  <si>
    <t>CJ82</t>
  </si>
  <si>
    <t>通院１日跨増深０．５・深１．５・２人・初計</t>
  </si>
  <si>
    <t>CJ83</t>
  </si>
  <si>
    <t>通院１日跨増深０．５・深１．５・基・初計</t>
  </si>
  <si>
    <t>CJ84</t>
  </si>
  <si>
    <t>通院１日跨増深０．５・深１．５・基・２人・初計</t>
  </si>
  <si>
    <t>通院１日跨増深０．５・深２．０</t>
  </si>
  <si>
    <t>通院１日跨増深０．５・深２．０・２人</t>
  </si>
  <si>
    <t>通院１日跨増深０．５・深２．０・基</t>
  </si>
  <si>
    <t>通院１日跨増深０．５・深２．０・基・２人</t>
  </si>
  <si>
    <t>CK01</t>
  </si>
  <si>
    <t>通院１日跨増深０．５・深２．０・初計</t>
  </si>
  <si>
    <t>CK02</t>
  </si>
  <si>
    <t>通院１日跨増深０．５・深２．０・２人・初計</t>
  </si>
  <si>
    <t>CK03</t>
  </si>
  <si>
    <t>通院１日跨増深０．５・深２．０・基・初計</t>
  </si>
  <si>
    <t>CK04</t>
  </si>
  <si>
    <t>通院１日跨増深０．５・深２．０・基・２人・初計</t>
  </si>
  <si>
    <t>通院１日跨増深０．５・深２．５</t>
  </si>
  <si>
    <t>通院１日跨増深０．５・深２．５・２人</t>
  </si>
  <si>
    <t>通院１日跨増深０．５・深２．５・基</t>
  </si>
  <si>
    <t>通院１日跨増深０．５・深２．５・基・２人</t>
  </si>
  <si>
    <t>CK21</t>
  </si>
  <si>
    <t>通院１日跨増深０．５・深２．５・初計</t>
  </si>
  <si>
    <t>CK22</t>
  </si>
  <si>
    <t>通院１日跨増深０．５・深２．５・２人・初計</t>
  </si>
  <si>
    <t>CK23</t>
  </si>
  <si>
    <t>通院１日跨増深０．５・深２．５・基・初計</t>
  </si>
  <si>
    <t>CK24</t>
  </si>
  <si>
    <t>通院１日跨増深０．５・深２．５・基・２人・初計</t>
  </si>
  <si>
    <t>通院１日跨増深１．０・深０．５</t>
  </si>
  <si>
    <t>通院１日跨増深１．０・深０．５・２人</t>
  </si>
  <si>
    <t>通院１日跨増深１．０・深０．５・基</t>
  </si>
  <si>
    <t>通院１日跨増深１．０・深０．５・基・２人</t>
  </si>
  <si>
    <t>CK41</t>
  </si>
  <si>
    <t>通院１日跨増深１．０・深０．５・初計</t>
  </si>
  <si>
    <t>CK42</t>
  </si>
  <si>
    <t>通院１日跨増深１．０・深０．５・２人・初計</t>
  </si>
  <si>
    <t>CK43</t>
  </si>
  <si>
    <t>通院１日跨増深１．０・深０．５・基・初計</t>
  </si>
  <si>
    <t>CK44</t>
  </si>
  <si>
    <t>通院１日跨増深１．０・深０．５・基・２人・初計</t>
  </si>
  <si>
    <t>通院１日跨増深１．０・深１．０</t>
  </si>
  <si>
    <t>通院１日跨増深１．０・深１．０・２人</t>
  </si>
  <si>
    <t>通院１日跨増深１．０・深１．０・基</t>
  </si>
  <si>
    <t>通院１日跨増深１．０・深１．０・基・２人</t>
  </si>
  <si>
    <t>CK61</t>
  </si>
  <si>
    <t>通院１日跨増深１．０・深１．０・初計</t>
  </si>
  <si>
    <t>CK62</t>
  </si>
  <si>
    <t>通院１日跨増深１．０・深１．０・２人・初計</t>
  </si>
  <si>
    <t>CK63</t>
  </si>
  <si>
    <t>通院１日跨増深１．０・深１．０・基・初計</t>
  </si>
  <si>
    <t>CK64</t>
  </si>
  <si>
    <t>通院１日跨増深１．０・深１．０・基・２人・初計</t>
  </si>
  <si>
    <t>通院１日跨増深１．０・深１．５</t>
  </si>
  <si>
    <t>通院１日跨増深１．０・深１．５・２人</t>
  </si>
  <si>
    <t>通院１日跨増深１．０・深１．５・基</t>
  </si>
  <si>
    <t>通院１日跨増深１．０・深１．５・基・２人</t>
  </si>
  <si>
    <t>CK81</t>
  </si>
  <si>
    <t>通院１日跨増深１．０・深１．５・初計</t>
  </si>
  <si>
    <t>CK82</t>
  </si>
  <si>
    <t>通院１日跨増深１．０・深１．５・２人・初計</t>
  </si>
  <si>
    <t>CK83</t>
  </si>
  <si>
    <t>通院１日跨増深１．０・深１．５・基・初計</t>
  </si>
  <si>
    <t>CK84</t>
  </si>
  <si>
    <t>通院１日跨増深１．０・深１．５・基・２人・初計</t>
  </si>
  <si>
    <t>通院１日跨増深１．０・深２．０</t>
  </si>
  <si>
    <t>通院１日跨増深１．０・深２．０・２人</t>
  </si>
  <si>
    <t>通院１日跨増深１．０・深２．０・基</t>
  </si>
  <si>
    <t>通院１日跨増深１．０・深２．０・基・２人</t>
  </si>
  <si>
    <t>CL01</t>
  </si>
  <si>
    <t>通院１日跨増深１．０・深２．０・初計</t>
  </si>
  <si>
    <t>CL02</t>
  </si>
  <si>
    <t>通院１日跨増深１．０・深２．０・２人・初計</t>
  </si>
  <si>
    <t>CL03</t>
  </si>
  <si>
    <t>通院１日跨増深１．０・深２．０・基・初計</t>
  </si>
  <si>
    <t>CL04</t>
  </si>
  <si>
    <t>通院１日跨増深１．０・深２．０・基・２人・初計</t>
  </si>
  <si>
    <t>通院１日跨増深１．５・深０．５</t>
  </si>
  <si>
    <t>通院１日跨増深１．５・深０．５・２人</t>
  </si>
  <si>
    <t>通院１日跨増深１．５・深０．５・基</t>
  </si>
  <si>
    <t>通院１日跨増深１．５・深０．５・基・２人</t>
  </si>
  <si>
    <t>CL21</t>
  </si>
  <si>
    <t>通院１日跨増深１．５・深０．５・初計</t>
  </si>
  <si>
    <t>CL22</t>
  </si>
  <si>
    <t>通院１日跨増深１．５・深０．５・２人・初計</t>
  </si>
  <si>
    <t>CL23</t>
  </si>
  <si>
    <t>通院１日跨増深１．５・深０．５・基・初計</t>
  </si>
  <si>
    <t>CL24</t>
  </si>
  <si>
    <t>通院１日跨増深１．５・深０．５・基・２人・初計</t>
  </si>
  <si>
    <t>通院１日跨増深１．５・深１．０</t>
  </si>
  <si>
    <t>通院１日跨増深１．５・深１．０・２人</t>
  </si>
  <si>
    <t>通院１日跨増深１．５・深１．０・基</t>
  </si>
  <si>
    <t>通院１日跨増深１．５・深１．０・基・２人</t>
  </si>
  <si>
    <t>CL41</t>
  </si>
  <si>
    <t>通院１日跨増深１．５・深１．０・初計</t>
  </si>
  <si>
    <t>CL42</t>
  </si>
  <si>
    <t>通院１日跨増深１．５・深１．０・２人・初計</t>
  </si>
  <si>
    <t>CL43</t>
  </si>
  <si>
    <t>通院１日跨増深１．５・深１．０・基・初計</t>
  </si>
  <si>
    <t>CL44</t>
  </si>
  <si>
    <t>通院１日跨増深１．５・深１．０・基・２人・初計</t>
  </si>
  <si>
    <t>通院１日跨増深１．５・深１．５</t>
  </si>
  <si>
    <t>通院１日跨増深１．５・深１．５・２人</t>
  </si>
  <si>
    <t>通院１日跨増深１．５・深１．５・基</t>
  </si>
  <si>
    <t>通院１日跨増深１．５・深１．５・基・２人</t>
  </si>
  <si>
    <t>CL61</t>
  </si>
  <si>
    <t>通院１日跨増深１．５・深１．５・初計</t>
  </si>
  <si>
    <t>CL62</t>
  </si>
  <si>
    <t>通院１日跨増深１．５・深１．５・２人・初計</t>
  </si>
  <si>
    <t>CL63</t>
  </si>
  <si>
    <t>通院１日跨増深１．５・深１．５・基・初計</t>
  </si>
  <si>
    <t>CL64</t>
  </si>
  <si>
    <t>通院１日跨増深１．５・深１．５・基・２人・初計</t>
  </si>
  <si>
    <t>通院１日跨増深２．０・深０．５</t>
  </si>
  <si>
    <t>通院１日跨増深２．０・深０．５・２人</t>
  </si>
  <si>
    <t>通院１日跨増深２．０・深０．５・基</t>
  </si>
  <si>
    <t>通院１日跨増深２．０・深０．５・基・２人</t>
  </si>
  <si>
    <t>CL81</t>
  </si>
  <si>
    <t>通院１日跨増深２．０・深０．５・初計</t>
  </si>
  <si>
    <t>CL82</t>
  </si>
  <si>
    <t>通院１日跨増深２．０・深０．５・２人・初計</t>
  </si>
  <si>
    <t>CL83</t>
  </si>
  <si>
    <t>通院１日跨増深２．０・深０．５・基・初計</t>
  </si>
  <si>
    <t>CL84</t>
  </si>
  <si>
    <t>通院１日跨増深２．０・深０．５・基・２人・初計</t>
  </si>
  <si>
    <t>通院１日跨増深２．０・深１．０</t>
  </si>
  <si>
    <t>通院１日跨増深２．０・深１．０・２人</t>
  </si>
  <si>
    <t>通院１日跨増深２．０・深１．０・基</t>
  </si>
  <si>
    <t>通院１日跨増深２．０・深１．０・基・２人</t>
  </si>
  <si>
    <t>CM01</t>
  </si>
  <si>
    <t>通院１日跨増深２．０・深１．０・初計</t>
  </si>
  <si>
    <t>CM02</t>
  </si>
  <si>
    <t>通院１日跨増深２．０・深１．０・２人・初計</t>
  </si>
  <si>
    <t>CM03</t>
  </si>
  <si>
    <t>通院１日跨増深２．０・深１．０・基・初計</t>
  </si>
  <si>
    <t>CM04</t>
  </si>
  <si>
    <t>通院１日跨増深２．０・深１．０・基・２人・初計</t>
  </si>
  <si>
    <t>通院１日跨増深２．５・深０．５</t>
  </si>
  <si>
    <t>通院１日跨増深２．５・深０．５・２人</t>
  </si>
  <si>
    <t>通院１日跨増深２．５・深０．５・基</t>
  </si>
  <si>
    <t>通院１日跨増深２．５・深０．５・基・２人</t>
  </si>
  <si>
    <t>CM21</t>
  </si>
  <si>
    <t>通院１日跨増深２．５・深０．５・初計</t>
  </si>
  <si>
    <t>CM22</t>
  </si>
  <si>
    <t>通院１日跨増深２．５・深０．５・２人・初計</t>
  </si>
  <si>
    <t>CM23</t>
  </si>
  <si>
    <t>通院１日跨増深２．５・深０．５・基・初計</t>
  </si>
  <si>
    <t>CM24</t>
  </si>
  <si>
    <t>通院１日跨増深２．５・深０．５・基・２人・初計</t>
  </si>
  <si>
    <t>ロ　通院等介助（身体介護を伴う場合）　（深夜＋早朝＋日中）　　※サービス間隔が２時間未満の場合</t>
  </si>
  <si>
    <t>通院１深０．５・早１．５・日０．５</t>
  </si>
  <si>
    <t>通院１深０．５・早１．５・日０．５・２人</t>
  </si>
  <si>
    <t>通院１深０．５・早１．５・日０．５・基</t>
  </si>
  <si>
    <t>通院１深０．５・早１．５・日０．５・基・２人</t>
  </si>
  <si>
    <t>CM41</t>
  </si>
  <si>
    <t>通院１深０．５・早１．５・日０．５・初計</t>
  </si>
  <si>
    <t>CM42</t>
  </si>
  <si>
    <t>通院１深０．５・早１．５・日０．５・２人・初計</t>
  </si>
  <si>
    <t>CM43</t>
  </si>
  <si>
    <t>通院１深０．５・早１．５・日０．５・基・初計</t>
  </si>
  <si>
    <t>CM44</t>
  </si>
  <si>
    <t>通院１深０．５・早１．５・日０．５・基・２人・初計</t>
  </si>
  <si>
    <t>通院１深０．５・早１．５・日１．０</t>
  </si>
  <si>
    <t>通院１深０．５・早１．５・日１．０・２人</t>
  </si>
  <si>
    <t>通院１深０．５・早１．５・日１．０・基</t>
  </si>
  <si>
    <t>通院１深０．５・早１．５・日１．０・基・２人</t>
  </si>
  <si>
    <t>CM61</t>
  </si>
  <si>
    <t>通院１深０．５・早１．５・日１．０・初計</t>
  </si>
  <si>
    <t>CM62</t>
  </si>
  <si>
    <t>通院１深０．５・早１．５・日１．０・２人・初計</t>
  </si>
  <si>
    <t>CM63</t>
  </si>
  <si>
    <t>通院１深０．５・早１．５・日１．０・基・初計</t>
  </si>
  <si>
    <t>CM64</t>
  </si>
  <si>
    <t>通院１深０．５・早１．５・日１．０・基・２人・初計</t>
  </si>
  <si>
    <t>通院１深１．０・早１．５・日０．５</t>
  </si>
  <si>
    <t>通院１深１．０・早１．５・日０．５・２人</t>
  </si>
  <si>
    <t>通院１深１．０・早１．５・日０．５・基</t>
  </si>
  <si>
    <t>通院１深１．０・早１．５・日０．５・基・２人</t>
  </si>
  <si>
    <t>CM81</t>
  </si>
  <si>
    <t>通院１深１．０・早１．５・日０．５・初計</t>
  </si>
  <si>
    <t>CM82</t>
  </si>
  <si>
    <t>通院１深１．０・早１．５・日０．５・２人・初計</t>
  </si>
  <si>
    <t>CM83</t>
  </si>
  <si>
    <t>通院１深１．０・早１．５・日０．５・基・初計</t>
  </si>
  <si>
    <t>CM84</t>
  </si>
  <si>
    <t>通院１深１．０・早１．５・日０．５・基・２人・初計</t>
  </si>
  <si>
    <t>通院１深０．５・早１．０・日０．５</t>
  </si>
  <si>
    <t>通院１深０．５・早１．０・日０．５・２人</t>
  </si>
  <si>
    <t>通院１深０．５・早１．０・日０．５・基</t>
  </si>
  <si>
    <t>通院１深０．５・早１．０・日０．５・基・２人</t>
  </si>
  <si>
    <t>CN01</t>
  </si>
  <si>
    <t>通院１深０．５・早１．０・日０．５・初計</t>
  </si>
  <si>
    <t>CN02</t>
  </si>
  <si>
    <t>通院１深０．５・早１．０・日０．５・２人・初計</t>
  </si>
  <si>
    <t>CN03</t>
  </si>
  <si>
    <t>通院１深０．５・早１．０・日０．５・基・初計</t>
  </si>
  <si>
    <t>CN04</t>
  </si>
  <si>
    <t>通院１深０．５・早１．０・日０．５・基・２人・初計</t>
  </si>
  <si>
    <t>通院１深０．５・早１．０・日１．０</t>
  </si>
  <si>
    <t>通院１深０．５・早１．０・日１．０・２人</t>
  </si>
  <si>
    <t>通院１深０．５・早１．０・日１．０・基</t>
  </si>
  <si>
    <t>通院１深０．５・早１．０・日１．０・基・２人</t>
  </si>
  <si>
    <t>CN21</t>
  </si>
  <si>
    <t>通院１深０．５・早１．０・日１．０・初計</t>
  </si>
  <si>
    <t>CN22</t>
  </si>
  <si>
    <t>通院１深０．５・早１．０・日１．０・２人・初計</t>
  </si>
  <si>
    <t>CN23</t>
  </si>
  <si>
    <t>通院１深０．５・早１．０・日１．０・基・初計</t>
  </si>
  <si>
    <t>CN24</t>
  </si>
  <si>
    <t>通院１深０．５・早１．０・日１．０・基・２人・初計</t>
  </si>
  <si>
    <t>通院１深０．５・早１．０・日１．５</t>
  </si>
  <si>
    <t>通院１深０．５・早１．０・日１．５・２人</t>
  </si>
  <si>
    <t>通院１深０．５・早１．０・日１．５・基</t>
  </si>
  <si>
    <t>通院１深０．５・早１．０・日１．５・基・２人</t>
  </si>
  <si>
    <t>CN41</t>
  </si>
  <si>
    <t>通院１深０．５・早１．０・日１．５・初計</t>
  </si>
  <si>
    <t>CN42</t>
  </si>
  <si>
    <t>通院１深０．５・早１．０・日１．５・２人・初計</t>
  </si>
  <si>
    <t>CN43</t>
  </si>
  <si>
    <t>通院１深０．５・早１．０・日１．５・基・初計</t>
  </si>
  <si>
    <t>CN44</t>
  </si>
  <si>
    <t>通院１深０．５・早１．０・日１．５・基・２人・初計</t>
  </si>
  <si>
    <t>通院１深１．０・早１．０・日０．５</t>
  </si>
  <si>
    <t>(4)深夜 ３０分以上 １時間未満</t>
    <phoneticPr fontId="1"/>
  </si>
  <si>
    <t>通院１深１．０・早１．０・日０．５・２人</t>
  </si>
  <si>
    <t>通院１深１．０・早１．０・日０．５・基</t>
  </si>
  <si>
    <t>通院１深１．０・早１．０・日０．５・基・２人</t>
  </si>
  <si>
    <t>CN61</t>
  </si>
  <si>
    <t>通院１深１．０・早１．０・日０．５・初計</t>
  </si>
  <si>
    <t>CN62</t>
  </si>
  <si>
    <t>通院１深１．０・早１．０・日０．５・２人・初計</t>
  </si>
  <si>
    <t>CN63</t>
  </si>
  <si>
    <t>通院１深１．０・早１．０・日０．５・基・初計</t>
  </si>
  <si>
    <t>CN64</t>
  </si>
  <si>
    <t>通院１深１．０・早１．０・日０．５・基・２人・初計</t>
  </si>
  <si>
    <t>通院１深１．０・早１．０・日１．０</t>
  </si>
  <si>
    <t>通院１深１．０・早１．０・日１．０・２人</t>
  </si>
  <si>
    <t>通院１深１．０・早１．０・日１．０・基</t>
  </si>
  <si>
    <t>通院１深１．０・早１．０・日１．０・基・２人</t>
  </si>
  <si>
    <t>CN81</t>
  </si>
  <si>
    <t>通院１深１．０・早１．０・日１．０・初計</t>
  </si>
  <si>
    <t>CN82</t>
  </si>
  <si>
    <t>通院１深１．０・早１．０・日１．０・２人・初計</t>
  </si>
  <si>
    <t>CN83</t>
  </si>
  <si>
    <t>通院１深１．０・早１．０・日１．０・基・初計</t>
  </si>
  <si>
    <t>CN84</t>
  </si>
  <si>
    <t>通院１深１．０・早１．０・日１．０・基・２人・初計</t>
  </si>
  <si>
    <t>通院１深１．５・早１．０・日０．５</t>
  </si>
  <si>
    <t>(5)深夜 １時間以上 １時間３０分未満</t>
    <phoneticPr fontId="1"/>
  </si>
  <si>
    <t>通院１深１．５・早１．０・日０．５・２人</t>
  </si>
  <si>
    <t>通院１深１．５・早１．０・日０．５・基</t>
  </si>
  <si>
    <t>通院１深１．５・早１．０・日０．５・基・２人</t>
  </si>
  <si>
    <t>CP01</t>
  </si>
  <si>
    <t>通院１深１．５・早１．０・日０．５・初計</t>
  </si>
  <si>
    <t>CP02</t>
  </si>
  <si>
    <t>通院１深１．５・早１．０・日０．５・２人・初計</t>
  </si>
  <si>
    <t>CP03</t>
  </si>
  <si>
    <t>通院１深１．５・早１．０・日０．５・基・初計</t>
  </si>
  <si>
    <t>CP04</t>
  </si>
  <si>
    <t>通院１深１．５・早１．０・日０．５・基・２人・初計</t>
  </si>
  <si>
    <t>通院１深０．５・早０．５・日０．５</t>
  </si>
  <si>
    <t>通院１深０．５・早０．５・日０．５・２人</t>
  </si>
  <si>
    <t>通院１深０．５・早０．５・日０．５・基</t>
  </si>
  <si>
    <t>通院１深０．５・早０．５・日０．５・基・２人</t>
  </si>
  <si>
    <t>CP21</t>
  </si>
  <si>
    <t>通院１深０．５・早０．５・日０．５・初計</t>
  </si>
  <si>
    <t>CP22</t>
  </si>
  <si>
    <t>通院１深０．５・早０．５・日０．５・２人・初計</t>
  </si>
  <si>
    <t>CP23</t>
  </si>
  <si>
    <t>通院１深０．５・早０．５・日０．５・基・初計</t>
  </si>
  <si>
    <t>CP24</t>
  </si>
  <si>
    <t>通院１深０．５・早０．５・日０．５・基・２人・初計</t>
  </si>
  <si>
    <t>通院１深０．５・早０．５・日１．０</t>
  </si>
  <si>
    <t>通院１深０．５・早０．５・日１．０・２人</t>
  </si>
  <si>
    <t>通院１深０．５・早０．５・日１．０・基</t>
  </si>
  <si>
    <t>通院１深０．５・早０．５・日１．０・基・２人</t>
  </si>
  <si>
    <t>CP41</t>
  </si>
  <si>
    <t>通院１深０．５・早０．５・日１．０・初計</t>
  </si>
  <si>
    <t>CP42</t>
  </si>
  <si>
    <t>通院１深０．５・早０．５・日１．０・２人・初計</t>
  </si>
  <si>
    <t>CP43</t>
  </si>
  <si>
    <t>通院１深０．５・早０．５・日１．０・基・初計</t>
  </si>
  <si>
    <t>CP44</t>
  </si>
  <si>
    <t>通院１深０．５・早０．５・日１．０・基・２人・初計</t>
  </si>
  <si>
    <t>通院１深０．５・早０．５・日１．５</t>
  </si>
  <si>
    <t>通院１深０．５・早０．５・日１．５・２人</t>
  </si>
  <si>
    <t>通院１深０．５・早０．５・日１．５・基</t>
  </si>
  <si>
    <t>通院１深０．５・早０．５・日１．５・基・２人</t>
  </si>
  <si>
    <t>CP61</t>
  </si>
  <si>
    <t>通院１深０．５・早０．５・日１．５・初計</t>
  </si>
  <si>
    <t>CP62</t>
  </si>
  <si>
    <t>通院１深０．５・早０．５・日１．５・２人・初計</t>
  </si>
  <si>
    <t>CP63</t>
  </si>
  <si>
    <t>通院１深０．５・早０．５・日１．５・基・初計</t>
  </si>
  <si>
    <t>CP64</t>
  </si>
  <si>
    <t>通院１深０．５・早０．５・日１．５・基・２人・初計</t>
  </si>
  <si>
    <t>通院１深０．５・早０．５・日２．０</t>
  </si>
  <si>
    <t>通院１深０．５・早０．５・日２．０・２人</t>
  </si>
  <si>
    <t>通院１深０．５・早０．５・日２．０・基</t>
  </si>
  <si>
    <t>通院１深０．５・早０．５・日２．０・基・２人</t>
  </si>
  <si>
    <t>CP81</t>
  </si>
  <si>
    <t>通院１深０．５・早０．５・日２．０・初計</t>
  </si>
  <si>
    <t>CP82</t>
  </si>
  <si>
    <t>通院１深０．５・早０．５・日２．０・２人・初計</t>
  </si>
  <si>
    <t>CP83</t>
  </si>
  <si>
    <t>通院１深０．５・早０．５・日２．０・基・初計</t>
  </si>
  <si>
    <t>CP84</t>
  </si>
  <si>
    <t>通院１深０．５・早０．５・日２．０・基・２人・初計</t>
  </si>
  <si>
    <t>通院１深１．０・早０．５・日０．５</t>
  </si>
  <si>
    <t>(7)深夜 ３０分以上 １時間未満</t>
    <phoneticPr fontId="1"/>
  </si>
  <si>
    <t>通院１深１．０・早０．５・日０．５・２人</t>
  </si>
  <si>
    <t>通院１深１．０・早０．５・日０．５・基</t>
  </si>
  <si>
    <t>通院１深１．０・早０．５・日０．５・基・２人</t>
  </si>
  <si>
    <t>CR01</t>
  </si>
  <si>
    <t>通院１深１．０・早０．５・日０．５・初計</t>
  </si>
  <si>
    <t>CR02</t>
  </si>
  <si>
    <t>通院１深１．０・早０．５・日０．５・２人・初計</t>
  </si>
  <si>
    <t>CR03</t>
  </si>
  <si>
    <t>通院１深１．０・早０．５・日０．５・基・初計</t>
  </si>
  <si>
    <t>CR04</t>
  </si>
  <si>
    <t>通院１深１．０・早０．５・日０．５・基・２人・初計</t>
  </si>
  <si>
    <t>通院１深１．０・早０．５・日１．０</t>
  </si>
  <si>
    <t>通院１深１．０・早０．５・日１．０・２人</t>
  </si>
  <si>
    <t>通院１深１．０・早０．５・日１．０・基</t>
  </si>
  <si>
    <t>通院１深１．０・早０．５・日１．０・基・２人</t>
  </si>
  <si>
    <t>CR21</t>
  </si>
  <si>
    <t>通院１深１．０・早０．５・日１．０・初計</t>
  </si>
  <si>
    <t>CR22</t>
  </si>
  <si>
    <t>通院１深１．０・早０．５・日１．０・２人・初計</t>
  </si>
  <si>
    <t>CR23</t>
  </si>
  <si>
    <t>通院１深１．０・早０．５・日１．０・基・初計</t>
  </si>
  <si>
    <t>CR24</t>
  </si>
  <si>
    <t>通院１深１．０・早０．５・日１．０・基・２人・初計</t>
  </si>
  <si>
    <t>通院１深１．０・早０．５・日１．５</t>
  </si>
  <si>
    <t>通院１深１．０・早０．５・日１．５・２人</t>
  </si>
  <si>
    <t>通院１深１．０・早０．５・日１．５・基</t>
  </si>
  <si>
    <t>通院１深１．０・早０．５・日１．５・基・２人</t>
  </si>
  <si>
    <t>CR41</t>
  </si>
  <si>
    <t>通院１深１．０・早０．５・日１．５・初計</t>
  </si>
  <si>
    <t>CR42</t>
  </si>
  <si>
    <t>通院１深１．０・早０．５・日１．５・２人・初計</t>
  </si>
  <si>
    <t>CR43</t>
  </si>
  <si>
    <t>通院１深１．０・早０．５・日１．５・基・初計</t>
  </si>
  <si>
    <t>CR44</t>
  </si>
  <si>
    <t>通院１深１．０・早０．５・日１．５・基・２人・初計</t>
  </si>
  <si>
    <t>通院１深１．５・早０．５・日０．５</t>
  </si>
  <si>
    <t>(8)深夜 １時間以上 １時間３０分未満</t>
    <phoneticPr fontId="1"/>
  </si>
  <si>
    <t>通院１深１．５・早０．５・日０．５・２人</t>
  </si>
  <si>
    <t>通院１深１．５・早０．５・日０．５・基</t>
  </si>
  <si>
    <t>通院１深１．５・早０．５・日０．５・基・２人</t>
  </si>
  <si>
    <t>CR61</t>
  </si>
  <si>
    <t>通院１深１．５・早０．５・日０．５・初計</t>
  </si>
  <si>
    <t>CR62</t>
  </si>
  <si>
    <t>通院１深１．５・早０．５・日０．５・２人・初計</t>
  </si>
  <si>
    <t>CR63</t>
  </si>
  <si>
    <t>通院１深１．５・早０．５・日０．５・基・初計</t>
  </si>
  <si>
    <t>CR64</t>
  </si>
  <si>
    <t>通院１深１．５・早０．５・日０．５・基・２人・初計</t>
  </si>
  <si>
    <t>通院１深１．５・早０．５・日１．０</t>
  </si>
  <si>
    <t>通院１深１．５・早０．５・日１．０・２人</t>
  </si>
  <si>
    <t>通院１深１．５・早０．５・日１．０・基</t>
  </si>
  <si>
    <t>通院１深１．５・早０．５・日１．０・基・２人</t>
  </si>
  <si>
    <t>CR81</t>
  </si>
  <si>
    <t>通院１深１．５・早０．５・日１．０・初計</t>
  </si>
  <si>
    <t>CR82</t>
  </si>
  <si>
    <t>通院１深１．５・早０．５・日１．０・２人・初計</t>
  </si>
  <si>
    <t>CR83</t>
  </si>
  <si>
    <t>通院１深１．５・早０．５・日１．０・基・初計</t>
  </si>
  <si>
    <t>CR84</t>
  </si>
  <si>
    <t>通院１深１．５・早０．５・日１．０・基・２人・初計</t>
  </si>
  <si>
    <t>通院１深２．０・早０．５・日０．５</t>
  </si>
  <si>
    <t>(9)深夜 １時間３０分以上 ２時間未満</t>
    <phoneticPr fontId="1"/>
  </si>
  <si>
    <t>通院１深２．０・早０．５・日０．５・２人</t>
  </si>
  <si>
    <t>通院１深２．０・早０．５・日０．５・基</t>
  </si>
  <si>
    <t>通院１深２．０・早０．５・日０．５・基・２人</t>
  </si>
  <si>
    <t>CS01</t>
  </si>
  <si>
    <t>通院１深２．０・早０．５・日０．５・初計</t>
  </si>
  <si>
    <t>CS02</t>
  </si>
  <si>
    <t>通院１深２．０・早０．５・日０．５・２人・初計</t>
  </si>
  <si>
    <t>CS03</t>
  </si>
  <si>
    <t>通院１深２．０・早０．５・日０．５・基・初計</t>
  </si>
  <si>
    <t>CS04</t>
  </si>
  <si>
    <t>通院１深２．０・早０．５・日０．５・基・２人・初計</t>
  </si>
  <si>
    <t>ロ　通院等介助（身体介護を伴う場合）　（深夜＋日中）　　※サービス間隔が２時間未満の場合</t>
  </si>
  <si>
    <t>通院１深０．５・日０．５</t>
  </si>
  <si>
    <t>通院１深０．５・日０．５・２人</t>
  </si>
  <si>
    <t>通院１深０．５・日０．５・基</t>
  </si>
  <si>
    <t>通院１深０．５・日０．５・基・２人</t>
  </si>
  <si>
    <t>CS21</t>
  </si>
  <si>
    <t>通院１深０．５・日０．５・初計</t>
  </si>
  <si>
    <t>CS22</t>
  </si>
  <si>
    <t>通院１深０．５・日０．５・２人・初計</t>
  </si>
  <si>
    <t>CS23</t>
  </si>
  <si>
    <t>通院１深０．５・日０．５・基・初計</t>
  </si>
  <si>
    <t>CS24</t>
  </si>
  <si>
    <t>通院１深０．５・日０．５・基・２人・初計</t>
  </si>
  <si>
    <t>通院１深０．５・日１．０</t>
  </si>
  <si>
    <t>通院１深０．５・日１．０・２人</t>
  </si>
  <si>
    <t>通院１深０．５・日１．０・基</t>
  </si>
  <si>
    <t>通院１深０．５・日１．０・基・２人</t>
  </si>
  <si>
    <t>CS41</t>
  </si>
  <si>
    <t>通院１深０．５・日１．０・初計</t>
  </si>
  <si>
    <t>CS42</t>
  </si>
  <si>
    <t>通院１深０．５・日１．０・２人・初計</t>
  </si>
  <si>
    <t>CS43</t>
  </si>
  <si>
    <t>通院１深０．５・日１．０・基・初計</t>
  </si>
  <si>
    <t>CS44</t>
  </si>
  <si>
    <t>通院１深０．５・日１．０・基・２人・初計</t>
  </si>
  <si>
    <t>通院１深０．５・日１．５</t>
  </si>
  <si>
    <t>通院１深０．５・日１．５・２人</t>
  </si>
  <si>
    <t>通院１深０．５・日１．５・基</t>
  </si>
  <si>
    <t>通院１深０．５・日１．５・基・２人</t>
  </si>
  <si>
    <t>CS61</t>
  </si>
  <si>
    <t>通院１深０．５・日１．５・初計</t>
  </si>
  <si>
    <t>CS62</t>
  </si>
  <si>
    <t>通院１深０．５・日１．５・２人・初計</t>
  </si>
  <si>
    <t>CS63</t>
  </si>
  <si>
    <t>通院１深０．５・日１．５・基・初計</t>
  </si>
  <si>
    <t>CS64</t>
  </si>
  <si>
    <t>通院１深０．５・日１．５・基・２人・初計</t>
  </si>
  <si>
    <t>通院１深０．５・日２．０</t>
  </si>
  <si>
    <t>通院１深０．５・日２．０・２人</t>
  </si>
  <si>
    <t>通院１深０．５・日２．０・基</t>
  </si>
  <si>
    <t>通院１深０．５・日２．０・基・２人</t>
  </si>
  <si>
    <t>CS81</t>
  </si>
  <si>
    <t>通院１深０．５・日２．０・初計</t>
  </si>
  <si>
    <t>CS82</t>
  </si>
  <si>
    <t>通院１深０．５・日２．０・２人・初計</t>
  </si>
  <si>
    <t>CS83</t>
  </si>
  <si>
    <t>通院１深０．５・日２．０・基・初計</t>
  </si>
  <si>
    <t>CS84</t>
  </si>
  <si>
    <t>通院１深０．５・日２．０・基・２人・初計</t>
  </si>
  <si>
    <t>通院１深０．５・日２．５</t>
  </si>
  <si>
    <t>通院１深０．５・日２．５・２人</t>
  </si>
  <si>
    <t>通院１深０．５・日２．５・基</t>
  </si>
  <si>
    <t>通院１深０．５・日２．５・基・２人</t>
  </si>
  <si>
    <t>CT01</t>
  </si>
  <si>
    <t>通院１深０．５・日２．５・初計</t>
  </si>
  <si>
    <t>CT02</t>
  </si>
  <si>
    <t>通院１深０．５・日２．５・２人・初計</t>
  </si>
  <si>
    <t>CT03</t>
  </si>
  <si>
    <t>通院１深０．５・日２．５・基・初計</t>
  </si>
  <si>
    <t>CT04</t>
  </si>
  <si>
    <t>通院１深０．５・日２．５・基・２人・初計</t>
  </si>
  <si>
    <t>通院１深１．０・日０．５</t>
  </si>
  <si>
    <t>通院１深１．０・日０．５・２人</t>
  </si>
  <si>
    <t>通院１深１．０・日０．５・基</t>
  </si>
  <si>
    <t>通院１深１．０・日０．５・基・２人</t>
  </si>
  <si>
    <t>CT21</t>
  </si>
  <si>
    <t>通院１深１．０・日０．５・初計</t>
  </si>
  <si>
    <t>CT22</t>
  </si>
  <si>
    <t>通院１深１．０・日０．５・２人・初計</t>
  </si>
  <si>
    <t>CT23</t>
  </si>
  <si>
    <t>通院１深１．０・日０．５・基・初計</t>
  </si>
  <si>
    <t>CT24</t>
  </si>
  <si>
    <t>通院１深１．０・日０．５・基・２人・初計</t>
  </si>
  <si>
    <t>通院１深１．０・日１．０</t>
  </si>
  <si>
    <t>通院１深１．０・日１．０・２人</t>
  </si>
  <si>
    <t>通院１深１．０・日１．０・基</t>
  </si>
  <si>
    <t>通院１深１．０・日１．０・基・２人</t>
  </si>
  <si>
    <t>CT41</t>
  </si>
  <si>
    <t>通院１深１．０・日１．０・初計</t>
  </si>
  <si>
    <t>CT42</t>
  </si>
  <si>
    <t>通院１深１．０・日１．０・２人・初計</t>
  </si>
  <si>
    <t>CT43</t>
  </si>
  <si>
    <t>通院１深１．０・日１．０・基・初計</t>
  </si>
  <si>
    <t>CT44</t>
  </si>
  <si>
    <t>通院１深１．０・日１．０・基・２人・初計</t>
  </si>
  <si>
    <t>通院１深１．０・日１．５</t>
  </si>
  <si>
    <t>通院１深１．０・日１．５・２人</t>
  </si>
  <si>
    <t>通院１深１．０・日１．５・基</t>
  </si>
  <si>
    <t>通院１深１．０・日１．５・基・２人</t>
  </si>
  <si>
    <t>CT61</t>
  </si>
  <si>
    <t>通院１深１．０・日１．５・初計</t>
  </si>
  <si>
    <t>CT62</t>
  </si>
  <si>
    <t>通院１深１．０・日１．５・２人・初計</t>
  </si>
  <si>
    <t>CT63</t>
  </si>
  <si>
    <t>通院１深１．０・日１．５・基・初計</t>
  </si>
  <si>
    <t>CT64</t>
  </si>
  <si>
    <t>通院１深１．０・日１．５・基・２人・初計</t>
  </si>
  <si>
    <t>通院１深１．０・日２．０</t>
  </si>
  <si>
    <t>通院１深１．０・日２．０・２人</t>
  </si>
  <si>
    <t>通院１深１．０・日２．０・基</t>
  </si>
  <si>
    <t>通院１深１．０・日２．０・基・２人</t>
  </si>
  <si>
    <t>CT81</t>
  </si>
  <si>
    <t>通院１深１．０・日２．０・初計</t>
  </si>
  <si>
    <t>CT82</t>
  </si>
  <si>
    <t>通院１深１．０・日２．０・２人・初計</t>
  </si>
  <si>
    <t>CT83</t>
  </si>
  <si>
    <t>通院１深１．０・日２．０・基・初計</t>
  </si>
  <si>
    <t>CT84</t>
  </si>
  <si>
    <t>通院１深１．０・日２．０・基・２人・初計</t>
  </si>
  <si>
    <t>通院１深１．５・日０．５</t>
  </si>
  <si>
    <t>通院１深１．５・日０．５・２人</t>
  </si>
  <si>
    <t>通院１深１．５・日０．５・基</t>
  </si>
  <si>
    <t>通院１深１．５・日０．５・基・２人</t>
  </si>
  <si>
    <t>CU01</t>
  </si>
  <si>
    <t>通院１深１．５・日０．５・初計</t>
  </si>
  <si>
    <t>CU02</t>
  </si>
  <si>
    <t>通院１深１．５・日０．５・２人・初計</t>
  </si>
  <si>
    <t>CU03</t>
  </si>
  <si>
    <t>通院１深１．５・日０．５・基・初計</t>
  </si>
  <si>
    <t>CU04</t>
  </si>
  <si>
    <t>通院１深１．５・日０．５・基・２人・初計</t>
  </si>
  <si>
    <t>通院１深１．５・日１．０</t>
  </si>
  <si>
    <t>通院１深１．５・日１．０・２人</t>
  </si>
  <si>
    <t>通院１深１．５・日１．０・基</t>
  </si>
  <si>
    <t>通院１深１．５・日１．０・基・２人</t>
  </si>
  <si>
    <t>CU21</t>
  </si>
  <si>
    <t>通院１深１．５・日１．０・初計</t>
  </si>
  <si>
    <t>CU22</t>
  </si>
  <si>
    <t>通院１深１．５・日１．０・２人・初計</t>
  </si>
  <si>
    <t>CU23</t>
  </si>
  <si>
    <t>通院１深１．５・日１．０・基・初計</t>
  </si>
  <si>
    <t>CU24</t>
  </si>
  <si>
    <t>通院１深１．５・日１．０・基・２人・初計</t>
  </si>
  <si>
    <t>通院１深１．５・日１．５</t>
  </si>
  <si>
    <t>通院１深１．５・日１．５・２人</t>
  </si>
  <si>
    <t>通院１深１．５・日１．５・基</t>
  </si>
  <si>
    <t>通院１深１．５・日１．５・基・２人</t>
  </si>
  <si>
    <t>CU41</t>
  </si>
  <si>
    <t>通院１深１．５・日１．５・初計</t>
  </si>
  <si>
    <t>CU42</t>
  </si>
  <si>
    <t>通院１深１．５・日１．５・２人・初計</t>
  </si>
  <si>
    <t>CU43</t>
  </si>
  <si>
    <t>通院１深１．５・日１．５・基・初計</t>
  </si>
  <si>
    <t>CU44</t>
  </si>
  <si>
    <t>通院１深１．５・日１．５・基・２人・初計</t>
  </si>
  <si>
    <t>通院１深２．０・日０．５</t>
  </si>
  <si>
    <t>通院１深２．０・日０．５・２人</t>
  </si>
  <si>
    <t>通院１深２．０・日０．５・基</t>
  </si>
  <si>
    <t>通院１深２．０・日０．５・基・２人</t>
  </si>
  <si>
    <t>CU61</t>
  </si>
  <si>
    <t>通院１深２．０・日０．５・初計</t>
  </si>
  <si>
    <t>CU62</t>
  </si>
  <si>
    <t>通院１深２．０・日０．５・２人・初計</t>
  </si>
  <si>
    <t>CU63</t>
  </si>
  <si>
    <t>通院１深２．０・日０．５・基・初計</t>
  </si>
  <si>
    <t>CU64</t>
  </si>
  <si>
    <t>通院１深２．０・日０．５・基・２人・初計</t>
  </si>
  <si>
    <t>通院１深２．０・日１．０</t>
  </si>
  <si>
    <t>通院１深２．０・日１．０・２人</t>
  </si>
  <si>
    <t>通院１深２．０・日１．０・基</t>
  </si>
  <si>
    <t>通院１深２．０・日１．０・基・２人</t>
  </si>
  <si>
    <t>CU81</t>
  </si>
  <si>
    <t>通院１深２．０・日１．０・初計</t>
  </si>
  <si>
    <t>CU82</t>
  </si>
  <si>
    <t>通院１深２．０・日１．０・２人・初計</t>
  </si>
  <si>
    <t>CU83</t>
  </si>
  <si>
    <t>通院１深２．０・日１．０・基・初計</t>
  </si>
  <si>
    <t>CU84</t>
  </si>
  <si>
    <t>通院１深２．０・日１．０・基・２人・初計</t>
  </si>
  <si>
    <t>通院１深２．５・日０．５</t>
  </si>
  <si>
    <t>通院１深２．５・日０．５・２人</t>
  </si>
  <si>
    <t>通院１深２．５・日０．５・基</t>
  </si>
  <si>
    <t>通院１深２．５・日０．５・基・２人</t>
  </si>
  <si>
    <t>CV01</t>
  </si>
  <si>
    <t>通院１深２．５・日０．５・初計</t>
  </si>
  <si>
    <t>CV02</t>
  </si>
  <si>
    <t>通院１深２．５・日０．５・２人・初計</t>
  </si>
  <si>
    <t>CV03</t>
  </si>
  <si>
    <t>通院１深２．５・日０．５・基・初計</t>
  </si>
  <si>
    <t>CV04</t>
  </si>
  <si>
    <t>通院１深２．５・日０．５・基・２人・初計</t>
  </si>
  <si>
    <t>ロ　通院等介助（身体介護を伴う場合）　（日中＋夜間＋深夜）　　※サービス間隔が２時間未満の場合</t>
  </si>
  <si>
    <t>通院１日０．５・夜２．０・深０．５</t>
  </si>
  <si>
    <t>通院１日０．５・夜２．０・深０．５・２人</t>
  </si>
  <si>
    <t>通院１日０．５・夜２．０・深０．５・基</t>
  </si>
  <si>
    <t>通院１日０．５・夜２．０・深０．５・基・２人</t>
  </si>
  <si>
    <t>CV21</t>
  </si>
  <si>
    <t>通院１日０．５・夜２．０・深０．５・初計</t>
  </si>
  <si>
    <t>CV22</t>
  </si>
  <si>
    <t>通院１日０．５・夜２．０・深０．５・２人・初計</t>
  </si>
  <si>
    <t>CV23</t>
  </si>
  <si>
    <t>通院１日０．５・夜２．０・深０．５・基・初計</t>
  </si>
  <si>
    <t>CV24</t>
  </si>
  <si>
    <t>通院１日０．５・夜２．０・深０．５・基・２人・初計</t>
  </si>
  <si>
    <t>通院１日０．５・夜１．５・深０．５</t>
  </si>
  <si>
    <t>通院１日０．５・夜１．５・深０．５・２人</t>
  </si>
  <si>
    <t>通院１日０．５・夜１．５・深０．５・基</t>
  </si>
  <si>
    <t>通院１日０．５・夜１．５・深０．５・基・２人</t>
  </si>
  <si>
    <t>CV41</t>
  </si>
  <si>
    <t>通院１日０．５・夜１．５・深０．５・初計</t>
  </si>
  <si>
    <t>CV42</t>
  </si>
  <si>
    <t>通院１日０．５・夜１．５・深０．５・２人・初計</t>
  </si>
  <si>
    <t>CV43</t>
  </si>
  <si>
    <t>通院１日０．５・夜１．５・深０．５・基・初計</t>
  </si>
  <si>
    <t>CV44</t>
  </si>
  <si>
    <t>通院１日０．５・夜１．５・深０．５・基・２人・初計</t>
  </si>
  <si>
    <t>通院１日０．５・夜１．５・深１．０</t>
  </si>
  <si>
    <t>通院１日０．５・夜１．５・深１．０・２人</t>
  </si>
  <si>
    <t>通院１日０．５・夜１．５・深１．０・基</t>
  </si>
  <si>
    <t>通院１日０．５・夜１．５・深１．０・基・２人</t>
  </si>
  <si>
    <t>CV61</t>
  </si>
  <si>
    <t>通院１日０．５・夜１．５・深１．０・初計</t>
  </si>
  <si>
    <t>CV62</t>
  </si>
  <si>
    <t>通院１日０．５・夜１．５・深１．０・２人・初計</t>
  </si>
  <si>
    <t>CV63</t>
  </si>
  <si>
    <t>通院１日０．５・夜１．５・深１．０・基・初計</t>
  </si>
  <si>
    <t>CV64</t>
  </si>
  <si>
    <t>通院１日０．５・夜１．５・深１．０・基・２人・初計</t>
  </si>
  <si>
    <t>通院１日１．０・夜１．５・深０．５</t>
  </si>
  <si>
    <t>通院１日１．０・夜１．５・深０．５・２人</t>
  </si>
  <si>
    <t>通院１日１．０・夜１．５・深０．５・基</t>
  </si>
  <si>
    <t>通院１日１．０・夜１．５・深０．５・基・２人</t>
  </si>
  <si>
    <t>CV81</t>
  </si>
  <si>
    <t>通院１日１．０・夜１．５・深０．５・初計</t>
  </si>
  <si>
    <t>CV82</t>
  </si>
  <si>
    <t>通院１日１．０・夜１．５・深０．５・２人・初計</t>
  </si>
  <si>
    <t>CV83</t>
  </si>
  <si>
    <t>通院１日１．０・夜１．５・深０．５・基・初計</t>
  </si>
  <si>
    <t>CV84</t>
  </si>
  <si>
    <t>通院１日１．０・夜１．５・深０．５・基・２人・初計</t>
  </si>
  <si>
    <t>通院１日０．５・夜１．０・深０．５</t>
  </si>
  <si>
    <t>(一)夜間 １時間未満</t>
    <phoneticPr fontId="1"/>
  </si>
  <si>
    <t>通院１日０．５・夜１．０・深０．５・２人</t>
  </si>
  <si>
    <t>通院１日０．５・夜１．０・深０．５・基</t>
  </si>
  <si>
    <t>通院１日０．５・夜１．０・深０．５・基・２人</t>
  </si>
  <si>
    <t>CW01</t>
  </si>
  <si>
    <t>通院１日０．５・夜１．０・深０．５・初計</t>
  </si>
  <si>
    <t>CW02</t>
  </si>
  <si>
    <t>通院１日０．５・夜１．０・深０．５・２人・初計</t>
  </si>
  <si>
    <t>CW03</t>
  </si>
  <si>
    <t>通院１日０．５・夜１．０・深０．５・基・初計</t>
  </si>
  <si>
    <t>CW04</t>
  </si>
  <si>
    <t>通院１日０．５・夜１．０・深０．５・基・２人・初計</t>
  </si>
  <si>
    <t>通院１日０．５・夜１．０・深１．０</t>
  </si>
  <si>
    <t>通院１日０．５・夜１．０・深１．０・２人</t>
  </si>
  <si>
    <t>通院１日０．５・夜１．０・深１．０・基</t>
  </si>
  <si>
    <t>通院１日０．５・夜１．０・深１．０・基・２人</t>
  </si>
  <si>
    <t>CW21</t>
  </si>
  <si>
    <t>通院１日０．５・夜１．０・深１．０・初計</t>
  </si>
  <si>
    <t>CW22</t>
  </si>
  <si>
    <t>通院１日０．５・夜１．０・深１．０・２人・初計</t>
  </si>
  <si>
    <t>CW23</t>
  </si>
  <si>
    <t>通院１日０．５・夜１．０・深１．０・基・初計</t>
  </si>
  <si>
    <t>CW24</t>
  </si>
  <si>
    <t>通院１日０．５・夜１．０・深１．０・基・２人・初計</t>
  </si>
  <si>
    <t>通院１日０．５・夜１．０・深１．５</t>
  </si>
  <si>
    <t>通院１日０．５・夜１．０・深１．５・２人</t>
  </si>
  <si>
    <t>通院１日０．５・夜１．０・深１．５・基</t>
  </si>
  <si>
    <t>通院１日０．５・夜１．０・深１．５・基・２人</t>
  </si>
  <si>
    <t>CW41</t>
  </si>
  <si>
    <t>通院１日０．５・夜１．０・深１．５・初計</t>
  </si>
  <si>
    <t>CW42</t>
  </si>
  <si>
    <t>通院１日０．５・夜１．０・深１．５・２人・初計</t>
  </si>
  <si>
    <t>CW43</t>
  </si>
  <si>
    <t>通院１日０．５・夜１．０・深１．５・基・初計</t>
  </si>
  <si>
    <t>CW44</t>
  </si>
  <si>
    <t>通院１日０．５・夜１．０・深１．５・基・２人・初計</t>
  </si>
  <si>
    <t>通院１日１．０・夜１．０・深０．５</t>
  </si>
  <si>
    <t>(4)日中 ３０分以上 １時間未満</t>
    <phoneticPr fontId="1"/>
  </si>
  <si>
    <t>通院１日１．０・夜１．０・深０．５・２人</t>
  </si>
  <si>
    <t>通院１日１．０・夜１．０・深０．５・基</t>
  </si>
  <si>
    <t>通院１日１．０・夜１．０・深０．５・基・２人</t>
  </si>
  <si>
    <t>CW61</t>
  </si>
  <si>
    <t>通院１日１．０・夜１．０・深０．５・初計</t>
  </si>
  <si>
    <t>CW62</t>
  </si>
  <si>
    <t>通院１日１．０・夜１．０・深０．５・２人・初計</t>
  </si>
  <si>
    <t>CW63</t>
  </si>
  <si>
    <t>通院１日１．０・夜１．０・深０．５・基・初計</t>
  </si>
  <si>
    <t>CW64</t>
  </si>
  <si>
    <t>通院１日１．０・夜１．０・深０．５・基・２人・初計</t>
  </si>
  <si>
    <t>通院１日１．０・夜１．０・深１．０</t>
  </si>
  <si>
    <t>通院１日１．０・夜１．０・深１．０・２人</t>
  </si>
  <si>
    <t>通院１日１．０・夜１．０・深１．０・基</t>
  </si>
  <si>
    <t>通院１日１．０・夜１．０・深１．０・基・２人</t>
  </si>
  <si>
    <t>CW81</t>
  </si>
  <si>
    <t>通院１日１．０・夜１．０・深１．０・初計</t>
  </si>
  <si>
    <t>CW82</t>
  </si>
  <si>
    <t>通院１日１．０・夜１．０・深１．０・２人・初計</t>
  </si>
  <si>
    <t>CW83</t>
  </si>
  <si>
    <t>通院１日１．０・夜１．０・深１．０・基・初計</t>
  </si>
  <si>
    <t>CW84</t>
  </si>
  <si>
    <t>通院１日１．０・夜１．０・深１．０・基・２人・初計</t>
  </si>
  <si>
    <t>通院１日１．５・夜１．０・深０．５</t>
  </si>
  <si>
    <t>(5)日中 １時間以上 １時間３０分未満</t>
    <phoneticPr fontId="1"/>
  </si>
  <si>
    <t>通院１日１．５・夜１．０・深０．５・２人</t>
  </si>
  <si>
    <t>通院１日１．５・夜１．０・深０．５・基</t>
  </si>
  <si>
    <t>通院１日１．５・夜１．０・深０．５・基・２人</t>
  </si>
  <si>
    <t>CX01</t>
  </si>
  <si>
    <t>通院１日１．５・夜１．０・深０．５・初計</t>
  </si>
  <si>
    <t>CX02</t>
  </si>
  <si>
    <t>通院１日１．５・夜１．０・深０．５・２人・初計</t>
  </si>
  <si>
    <t>CX03</t>
  </si>
  <si>
    <t>通院１日１．５・夜１．０・深０．５・基・初計</t>
  </si>
  <si>
    <t>CX04</t>
  </si>
  <si>
    <t>通院１日１．５・夜１．０・深０．５・基・２人・初計</t>
  </si>
  <si>
    <t>通院１日０．５・夜０．５・深０．５</t>
  </si>
  <si>
    <t>通院１日０．５・夜０．５・深０．５・２人</t>
  </si>
  <si>
    <t>通院１日０．５・夜０．５・深０．５・基</t>
  </si>
  <si>
    <t>通院１日０．５・夜０．５・深０．５・基・２人</t>
  </si>
  <si>
    <t>CX21</t>
  </si>
  <si>
    <t>通院１日０．５・夜０．５・深０．５・初計</t>
  </si>
  <si>
    <t>CX22</t>
  </si>
  <si>
    <t>通院１日０．５・夜０．５・深０．５・２人・初計</t>
  </si>
  <si>
    <t>CX23</t>
  </si>
  <si>
    <t>通院１日０．５・夜０．５・深０．５・基・初計</t>
  </si>
  <si>
    <t>CX24</t>
  </si>
  <si>
    <t>通院１日０．５・夜０．５・深０．５・基・２人・初計</t>
  </si>
  <si>
    <t>通院１日０．５・夜０．５・深１．０</t>
  </si>
  <si>
    <t>通院１日０．５・夜０．５・深１．０・２人</t>
  </si>
  <si>
    <t>通院１日０．５・夜０．５・深１．０・基</t>
  </si>
  <si>
    <t>通院１日０．５・夜０．５・深１．０・基・２人</t>
  </si>
  <si>
    <t>CX41</t>
  </si>
  <si>
    <t>通院１日０．５・夜０．５・深１．０・初計</t>
  </si>
  <si>
    <t>CX42</t>
  </si>
  <si>
    <t>通院１日０．５・夜０．５・深１．０・２人・初計</t>
  </si>
  <si>
    <t>CX43</t>
  </si>
  <si>
    <t>通院１日０．５・夜０．５・深１．０・基・初計</t>
  </si>
  <si>
    <t>CX44</t>
  </si>
  <si>
    <t>通院１日０．５・夜０．５・深１．０・基・２人・初計</t>
  </si>
  <si>
    <t>通院１日０．５・夜０．５・深１．５</t>
  </si>
  <si>
    <t>通院１日０．５・夜０．５・深１．５・２人</t>
  </si>
  <si>
    <t>通院１日０．５・夜０．５・深１．５・基</t>
  </si>
  <si>
    <t>通院１日０．５・夜０．５・深１．５・基・２人</t>
  </si>
  <si>
    <t>CX61</t>
  </si>
  <si>
    <t>通院１日０．５・夜０．５・深１．５・初計</t>
  </si>
  <si>
    <t>CX62</t>
  </si>
  <si>
    <t>通院１日０．５・夜０．５・深１．５・２人・初計</t>
  </si>
  <si>
    <t>CX63</t>
  </si>
  <si>
    <t>通院１日０．５・夜０．５・深１．５・基・初計</t>
  </si>
  <si>
    <t>CX64</t>
  </si>
  <si>
    <t>通院１日０．５・夜０．５・深１．５・基・２人・初計</t>
  </si>
  <si>
    <t>通院１日０．５・夜０．５・深２．０</t>
  </si>
  <si>
    <t>通院１日０．５・夜０．５・深２．０・２人</t>
  </si>
  <si>
    <t>通院１日０．５・夜０．５・深２．０・基</t>
  </si>
  <si>
    <t>通院１日０．５・夜０．５・深２．０・基・２人</t>
  </si>
  <si>
    <t>CX81</t>
  </si>
  <si>
    <t>通院１日０．５・夜０．５・深２．０・初計</t>
  </si>
  <si>
    <t>CX82</t>
  </si>
  <si>
    <t>通院１日０．５・夜０．５・深２．０・２人・初計</t>
  </si>
  <si>
    <t>CX83</t>
  </si>
  <si>
    <t>通院１日０．５・夜０．５・深２．０・基・初計</t>
  </si>
  <si>
    <t>CX84</t>
  </si>
  <si>
    <t>通院１日０．５・夜０．５・深２．０・基・２人・初計</t>
  </si>
  <si>
    <t>通院１日１．０・夜０．５・深０．５</t>
  </si>
  <si>
    <t>(7)日中 ３０分以上 １時間未満</t>
    <phoneticPr fontId="1"/>
  </si>
  <si>
    <t>通院１日１．０・夜０．５・深０．５・２人</t>
  </si>
  <si>
    <t>通院１日１．０・夜０．５・深０．５・基</t>
  </si>
  <si>
    <t>通院１日１．０・夜０．５・深０．５・基・２人</t>
  </si>
  <si>
    <t>CY01</t>
  </si>
  <si>
    <t>通院１日１．０・夜０．５・深０．５・初計</t>
  </si>
  <si>
    <t>CY02</t>
  </si>
  <si>
    <t>通院１日１．０・夜０．５・深０．５・２人・初計</t>
  </si>
  <si>
    <t>CY03</t>
  </si>
  <si>
    <t>通院１日１．０・夜０．５・深０．５・基・初計</t>
  </si>
  <si>
    <t>CY04</t>
  </si>
  <si>
    <t>通院１日１．０・夜０．５・深０．５・基・２人・初計</t>
  </si>
  <si>
    <t>通院１日１．０・夜０．５・深１．０</t>
  </si>
  <si>
    <t>通院１日１．０・夜０．５・深１．０・２人</t>
  </si>
  <si>
    <t>通院１日１．０・夜０．５・深１．０・基</t>
  </si>
  <si>
    <t>通院１日１．０・夜０．５・深１．０・基・２人</t>
  </si>
  <si>
    <t>CY21</t>
  </si>
  <si>
    <t>通院１日１．０・夜０．５・深１．０・初計</t>
  </si>
  <si>
    <t>CY22</t>
  </si>
  <si>
    <t>通院１日１．０・夜０．５・深１．０・２人・初計</t>
  </si>
  <si>
    <t>CY23</t>
  </si>
  <si>
    <t>通院１日１．０・夜０．５・深１．０・基・初計</t>
  </si>
  <si>
    <t>CY24</t>
  </si>
  <si>
    <t>通院１日１．０・夜０．５・深１．０・基・２人・初計</t>
  </si>
  <si>
    <t>通院１日１．０・夜０．５・深１．５</t>
  </si>
  <si>
    <t>通院１日１．０・夜０．５・深１．５・２人</t>
  </si>
  <si>
    <t>通院１日１．０・夜０．５・深１．５・基</t>
  </si>
  <si>
    <t>通院１日１．０・夜０．５・深１．５・基・２人</t>
  </si>
  <si>
    <t>CY41</t>
  </si>
  <si>
    <t>通院１日１．０・夜０．５・深１．５・初計</t>
  </si>
  <si>
    <t>CY42</t>
  </si>
  <si>
    <t>通院１日１．０・夜０．５・深１．５・２人・初計</t>
  </si>
  <si>
    <t>CY43</t>
  </si>
  <si>
    <t>通院１日１．０・夜０．５・深１．５・基・初計</t>
  </si>
  <si>
    <t>CY44</t>
  </si>
  <si>
    <t>通院１日１．０・夜０．５・深１．５・基・２人・初計</t>
  </si>
  <si>
    <t>通院１日１．５・夜０．５・深０．５</t>
  </si>
  <si>
    <t>(8)日中 １時間以上 １時間３０分未満</t>
    <phoneticPr fontId="1"/>
  </si>
  <si>
    <t>通院１日１．５・夜０．５・深０．５・２人</t>
  </si>
  <si>
    <t>通院１日１．５・夜０．５・深０．５・基</t>
  </si>
  <si>
    <t>通院１日１．５・夜０．５・深０．５・基・２人</t>
  </si>
  <si>
    <t>CY61</t>
  </si>
  <si>
    <t>通院１日１．５・夜０．５・深０．５・初計</t>
  </si>
  <si>
    <t>CY62</t>
  </si>
  <si>
    <t>通院１日１．５・夜０．５・深０．５・２人・初計</t>
  </si>
  <si>
    <t>CY63</t>
  </si>
  <si>
    <t>通院１日１．５・夜０．５・深０．５・基・初計</t>
  </si>
  <si>
    <t>CY64</t>
  </si>
  <si>
    <t>通院１日１．５・夜０．５・深０．５・基・２人・初計</t>
  </si>
  <si>
    <t>通院１日１．５・夜０．５・深１．０</t>
  </si>
  <si>
    <t>通院１日１．５・夜０．５・深１．０・２人</t>
  </si>
  <si>
    <t>通院１日１．５・夜０．５・深１．０・基</t>
  </si>
  <si>
    <t>通院１日１．５・夜０．５・深１．０・基・２人</t>
  </si>
  <si>
    <t>CY81</t>
  </si>
  <si>
    <t>通院１日１．５・夜０．５・深１．０・初計</t>
  </si>
  <si>
    <t>CY82</t>
  </si>
  <si>
    <t>通院１日１．５・夜０．５・深１．０・２人・初計</t>
  </si>
  <si>
    <t>CY83</t>
  </si>
  <si>
    <t>通院１日１．５・夜０．５・深１．０・基・初計</t>
  </si>
  <si>
    <t>CY84</t>
  </si>
  <si>
    <t>通院１日１．５・夜０．５・深１．０・基・２人・初計</t>
  </si>
  <si>
    <t>通院１日２．０・夜０．５・深０．５</t>
  </si>
  <si>
    <t>(9)日中 １時間３０分以上 ２時間未満</t>
    <phoneticPr fontId="1"/>
  </si>
  <si>
    <t>通院１日２．０・夜０．５・深０．５・２人</t>
  </si>
  <si>
    <t>通院１日２．０・夜０．５・深０．５・基</t>
  </si>
  <si>
    <t>通院１日２．０・夜０．５・深０．５・基・２人</t>
  </si>
  <si>
    <t>CZ01</t>
  </si>
  <si>
    <t>通院１日２．０・夜０．５・深０．５・初計</t>
  </si>
  <si>
    <t>CZ02</t>
  </si>
  <si>
    <t>通院１日２．０・夜０．５・深０．５・２人・初計</t>
  </si>
  <si>
    <t>CZ03</t>
  </si>
  <si>
    <t>通院１日２．０・夜０．５・深０．５・基・初計</t>
  </si>
  <si>
    <t>CZ04</t>
  </si>
  <si>
    <t>通院１日２．０・夜０．５・深０．５・基・２人・初計</t>
  </si>
  <si>
    <t>ロ　通院等介助（身体介護を伴う場合）　（早朝＋日中＋夜間）　　※サービス間隔が２時間未満の場合</t>
  </si>
  <si>
    <t>通院１早０．５・日２．０・夜０．５</t>
  </si>
  <si>
    <t>夜間の場合 Ｂ</t>
    <phoneticPr fontId="1"/>
  </si>
  <si>
    <t>通院１早０．５・日２．０・夜０．５・２人</t>
  </si>
  <si>
    <t>通院１早０．５・日２．０・夜０．５・基</t>
  </si>
  <si>
    <t>通院１早０．５・日２．０・夜０．５・基・２人</t>
  </si>
  <si>
    <t>CZ21</t>
  </si>
  <si>
    <t>通院１早０．５・日２．０・夜０．５・初計</t>
  </si>
  <si>
    <t>CZ22</t>
  </si>
  <si>
    <t>通院１早０．５・日２．０・夜０．５・２人・初計</t>
  </si>
  <si>
    <t>CZ23</t>
  </si>
  <si>
    <t>通院１早０．５・日２．０・夜０．５・基・初計</t>
  </si>
  <si>
    <t>CZ24</t>
  </si>
  <si>
    <t>通院１早０．５・日２．０・夜０．５・基・２人・初計</t>
  </si>
  <si>
    <t>ロ　通院等介助（身体介護を伴う場合）　（日中増分)</t>
  </si>
  <si>
    <t>通院１日増０．５</t>
  </si>
  <si>
    <t>通院１日増０．５・２人</t>
  </si>
  <si>
    <t>通院１日増０．５・基</t>
  </si>
  <si>
    <t>通院１日増０．５・基・２人</t>
  </si>
  <si>
    <t>CZ41</t>
  </si>
  <si>
    <t>通院１日増０．５・初計</t>
  </si>
  <si>
    <t>CZ42</t>
  </si>
  <si>
    <t>通院１日増０．５・２人・初計</t>
  </si>
  <si>
    <t>CZ43</t>
  </si>
  <si>
    <t>通院１日増０．５・基・初計</t>
  </si>
  <si>
    <t>CZ44</t>
  </si>
  <si>
    <t>通院１日増０．５・基・２人・初計</t>
  </si>
  <si>
    <t>通院１日増１．０</t>
  </si>
  <si>
    <t>通院１日増１．０・２人</t>
  </si>
  <si>
    <t>通院１日増１．０・基</t>
  </si>
  <si>
    <t>通院１日増１．０・基・２人</t>
  </si>
  <si>
    <t>CZ61</t>
  </si>
  <si>
    <t>通院１日増１．０・初計</t>
  </si>
  <si>
    <t>CZ62</t>
  </si>
  <si>
    <t>通院１日増１．０・２人・初計</t>
  </si>
  <si>
    <t>CZ63</t>
  </si>
  <si>
    <t>通院１日増１．０・基・初計</t>
  </si>
  <si>
    <t>CZ64</t>
  </si>
  <si>
    <t>通院１日増１．０・基・２人・初計</t>
  </si>
  <si>
    <t>通院１日増１．５</t>
  </si>
  <si>
    <t>通院１日増１．５・２人</t>
  </si>
  <si>
    <t>通院１日増１．５・基</t>
  </si>
  <si>
    <t>通院１日増１．５・基・２人</t>
  </si>
  <si>
    <t>CZ81</t>
  </si>
  <si>
    <t>通院１日増１．５・初計</t>
  </si>
  <si>
    <t>CZ82</t>
  </si>
  <si>
    <t>通院１日増１．５・２人・初計</t>
  </si>
  <si>
    <t>CZ83</t>
  </si>
  <si>
    <t>通院１日増１．５・基・初計</t>
  </si>
  <si>
    <t>CZ84</t>
  </si>
  <si>
    <t>通院１日増１．５・基・２人・初計</t>
  </si>
  <si>
    <t>通院１日増２．０</t>
  </si>
  <si>
    <t>通院１日増２．０・２人</t>
  </si>
  <si>
    <t>通院１日増２．０・基</t>
  </si>
  <si>
    <t>通院１日増２．０・基・２人</t>
  </si>
  <si>
    <t>D001</t>
  </si>
  <si>
    <t>通院１日増２．０・初計</t>
  </si>
  <si>
    <t>D002</t>
  </si>
  <si>
    <t>通院１日増２．０・２人・初計</t>
  </si>
  <si>
    <t>D003</t>
  </si>
  <si>
    <t>通院１日増２．０・基・初計</t>
  </si>
  <si>
    <t>D004</t>
  </si>
  <si>
    <t>通院１日増２．０・基・２人・初計</t>
  </si>
  <si>
    <t>通院１日増２．５</t>
  </si>
  <si>
    <t>通院１日増２．５・２人</t>
  </si>
  <si>
    <t>通院１日増２．５・基</t>
  </si>
  <si>
    <t>通院１日増２．５・基・２人</t>
  </si>
  <si>
    <t>D021</t>
  </si>
  <si>
    <t>通院１日増２．５・初計</t>
  </si>
  <si>
    <t>D022</t>
  </si>
  <si>
    <t>通院１日増２．５・２人・初計</t>
  </si>
  <si>
    <t>D023</t>
  </si>
  <si>
    <t>通院１日増２．５・基・初計</t>
  </si>
  <si>
    <t>D024</t>
  </si>
  <si>
    <t>通院１日増２．５・基・２人・初計</t>
  </si>
  <si>
    <t>通院１日増３．０</t>
  </si>
  <si>
    <t>(6)日中 ２時間３０分以上 ３時間未満</t>
    <phoneticPr fontId="1"/>
  </si>
  <si>
    <t>通院１日増３．０・２人</t>
  </si>
  <si>
    <t>通院１日増３．０・基</t>
  </si>
  <si>
    <t>通院１日増３．０・基・２人</t>
  </si>
  <si>
    <t>D041</t>
  </si>
  <si>
    <t>通院１日増３．０・初計</t>
  </si>
  <si>
    <t>D042</t>
  </si>
  <si>
    <t>通院１日増３．０・２人・初計</t>
  </si>
  <si>
    <t>D043</t>
  </si>
  <si>
    <t>通院１日増３．０・基・初計</t>
  </si>
  <si>
    <t>D044</t>
  </si>
  <si>
    <t>通院１日増３．０・基・２人・初計</t>
  </si>
  <si>
    <t>通院１日増３．５</t>
  </si>
  <si>
    <t>(7)日中 ３時間以上 ３時間３０分未満</t>
    <phoneticPr fontId="1"/>
  </si>
  <si>
    <t>通院１日増３．５・２人</t>
  </si>
  <si>
    <t>通院１日増３．５・基</t>
  </si>
  <si>
    <t>通院１日増３．５・基・２人</t>
  </si>
  <si>
    <t>D061</t>
  </si>
  <si>
    <t>通院１日増３．５・初計</t>
  </si>
  <si>
    <t>D062</t>
  </si>
  <si>
    <t>通院１日増３．５・２人・初計</t>
  </si>
  <si>
    <t>D063</t>
  </si>
  <si>
    <t>通院１日増３．５・基・初計</t>
  </si>
  <si>
    <t>D064</t>
  </si>
  <si>
    <t>通院１日増３．５・基・２人・初計</t>
  </si>
  <si>
    <t>通院１日増４．０</t>
  </si>
  <si>
    <t>通院１日増４．０・２人</t>
  </si>
  <si>
    <t>通院１日増４．０・基</t>
  </si>
  <si>
    <t>通院１日増４．０・基・２人</t>
  </si>
  <si>
    <t>D081</t>
  </si>
  <si>
    <t>通院１日増４．０・初計</t>
  </si>
  <si>
    <t>D082</t>
  </si>
  <si>
    <t>通院１日増４．０・２人・初計</t>
  </si>
  <si>
    <t>D083</t>
  </si>
  <si>
    <t>通院１日増４．０・基・初計</t>
  </si>
  <si>
    <t>D084</t>
  </si>
  <si>
    <t>通院１日増４．０・基・２人・初計</t>
  </si>
  <si>
    <t>通院１日増４．５</t>
  </si>
  <si>
    <t>(9)日中 ４時間以上 ４時間３０分未満</t>
    <phoneticPr fontId="1"/>
  </si>
  <si>
    <t>通院１日増４．５・２人</t>
  </si>
  <si>
    <t>通院１日増４．５・基</t>
  </si>
  <si>
    <t>通院１日増４．５・基・２人</t>
  </si>
  <si>
    <t>D101</t>
  </si>
  <si>
    <t>通院１日増４．５・初計</t>
  </si>
  <si>
    <t>D102</t>
  </si>
  <si>
    <t>通院１日増４．５・２人・初計</t>
  </si>
  <si>
    <t>D103</t>
  </si>
  <si>
    <t>通院１日増４．５・基・初計</t>
  </si>
  <si>
    <t>D104</t>
  </si>
  <si>
    <t>通院１日増４．５・基・２人・初計</t>
  </si>
  <si>
    <t>通院１日増５．０</t>
  </si>
  <si>
    <t>(10)日中 ４時間３０分以上 ５時間未満</t>
    <phoneticPr fontId="1"/>
  </si>
  <si>
    <t>通院１日増５．０・２人</t>
  </si>
  <si>
    <t>通院１日増５．０・基</t>
  </si>
  <si>
    <t>通院１日増５．０・基・２人</t>
  </si>
  <si>
    <t>D121</t>
  </si>
  <si>
    <t>通院１日増５．０・初計</t>
  </si>
  <si>
    <t>D122</t>
  </si>
  <si>
    <t>通院１日増５．０・２人・初計</t>
  </si>
  <si>
    <t>D123</t>
  </si>
  <si>
    <t>通院１日増５．０・基・初計</t>
  </si>
  <si>
    <t>D124</t>
  </si>
  <si>
    <t>通院１日増５．０・基・２人・初計</t>
  </si>
  <si>
    <t>通院１日増５．５</t>
  </si>
  <si>
    <t>(11)日中 ５時間以上 ５時間３０分未満</t>
    <phoneticPr fontId="1"/>
  </si>
  <si>
    <t>通院１日増５．５・２人</t>
  </si>
  <si>
    <t>通院１日増５．５・基</t>
  </si>
  <si>
    <t>通院１日増５．５・基・２人</t>
  </si>
  <si>
    <t>D141</t>
  </si>
  <si>
    <t>通院１日増５．５・初計</t>
  </si>
  <si>
    <t>D142</t>
  </si>
  <si>
    <t>通院１日増５．５・２人・初計</t>
  </si>
  <si>
    <t>D143</t>
  </si>
  <si>
    <t>通院１日増５．５・基・初計</t>
  </si>
  <si>
    <t>D144</t>
  </si>
  <si>
    <t>通院１日増５．５・基・２人・初計</t>
  </si>
  <si>
    <t>通院１日増６．０</t>
  </si>
  <si>
    <t>(12)日中 ５時間３０分以上 ６時間未満</t>
    <phoneticPr fontId="1"/>
  </si>
  <si>
    <t>通院１日増６．０・２人</t>
  </si>
  <si>
    <t>通院１日増６．０・基</t>
  </si>
  <si>
    <t>通院１日増６．０・基・２人</t>
  </si>
  <si>
    <t>D161</t>
  </si>
  <si>
    <t>通院１日増６．０・初計</t>
  </si>
  <si>
    <t>D162</t>
  </si>
  <si>
    <t>通院１日増６．０・２人・初計</t>
  </si>
  <si>
    <t>D163</t>
  </si>
  <si>
    <t>通院１日増６．０・基・初計</t>
  </si>
  <si>
    <t>D164</t>
  </si>
  <si>
    <t>通院１日増６．０・基・２人・初計</t>
  </si>
  <si>
    <t>通院１日増６．５</t>
  </si>
  <si>
    <t>(13)日中 ６時間以上 ６時間３０分未満</t>
    <phoneticPr fontId="1"/>
  </si>
  <si>
    <t>通院１日増６．５・２人</t>
  </si>
  <si>
    <t>通院１日増６．５・基</t>
  </si>
  <si>
    <t>通院１日増６．５・基・２人</t>
  </si>
  <si>
    <t>D181</t>
  </si>
  <si>
    <t>通院１日増６．５・初計</t>
  </si>
  <si>
    <t>D182</t>
  </si>
  <si>
    <t>通院１日増６．５・２人・初計</t>
  </si>
  <si>
    <t>D183</t>
  </si>
  <si>
    <t>通院１日増６．５・基・初計</t>
  </si>
  <si>
    <t>D184</t>
  </si>
  <si>
    <t>通院１日増６．５・基・２人・初計</t>
  </si>
  <si>
    <t>通院１日増７．０</t>
  </si>
  <si>
    <t>(14)日中 ６時間３０分以上 ７時間未満</t>
    <phoneticPr fontId="1"/>
  </si>
  <si>
    <t>通院１日増７．０・２人</t>
  </si>
  <si>
    <t>通院１日増７．０・基</t>
  </si>
  <si>
    <t>通院１日増７．０・基・２人</t>
  </si>
  <si>
    <t>D201</t>
  </si>
  <si>
    <t>通院１日増７．０・初計</t>
  </si>
  <si>
    <t>D202</t>
  </si>
  <si>
    <t>通院１日増７．０・２人・初計</t>
  </si>
  <si>
    <t>D203</t>
  </si>
  <si>
    <t>通院１日増７．０・基・初計</t>
  </si>
  <si>
    <t>D204</t>
  </si>
  <si>
    <t>通院１日増７．０・基・２人・初計</t>
  </si>
  <si>
    <t>通院１日増７．５</t>
  </si>
  <si>
    <t>(15)日中 ７時間以上 ７時間３０分未満</t>
    <phoneticPr fontId="1"/>
  </si>
  <si>
    <t>通院１日増７．５・２人</t>
  </si>
  <si>
    <t>通院１日増７．５・基</t>
  </si>
  <si>
    <t>通院１日増７．５・基・２人</t>
  </si>
  <si>
    <t>D221</t>
  </si>
  <si>
    <t>通院１日増７．５・初計</t>
  </si>
  <si>
    <t>D222</t>
  </si>
  <si>
    <t>通院１日増７．５・２人・初計</t>
  </si>
  <si>
    <t>D223</t>
  </si>
  <si>
    <t>通院１日増７．５・基・初計</t>
  </si>
  <si>
    <t>D224</t>
  </si>
  <si>
    <t>通院１日増７．５・基・２人・初計</t>
  </si>
  <si>
    <t>通院１日増８．０</t>
  </si>
  <si>
    <t>(16)日中 ７時間３０分以上 ８時間未満</t>
    <phoneticPr fontId="1"/>
  </si>
  <si>
    <t>通院１日増８．０・２人</t>
  </si>
  <si>
    <t>通院１日増８．０・基</t>
  </si>
  <si>
    <t>通院１日増８．０・基・２人</t>
  </si>
  <si>
    <t>D241</t>
  </si>
  <si>
    <t>通院１日増８．０・初計</t>
  </si>
  <si>
    <t>D242</t>
  </si>
  <si>
    <t>通院１日増８．０・２人・初計</t>
  </si>
  <si>
    <t>D243</t>
  </si>
  <si>
    <t>通院１日増８．０・基・初計</t>
  </si>
  <si>
    <t>D244</t>
  </si>
  <si>
    <t>通院１日増８．０・基・２人・初計</t>
  </si>
  <si>
    <t>通院１日増８．５</t>
  </si>
  <si>
    <t>(17)日中 ８時間以上 ８時間３０分未満</t>
    <phoneticPr fontId="1"/>
  </si>
  <si>
    <t>通院１日増８．５・２人</t>
  </si>
  <si>
    <t>通院１日増８．５・基</t>
  </si>
  <si>
    <t>通院１日増８．５・基・２人</t>
  </si>
  <si>
    <t>D261</t>
  </si>
  <si>
    <t>通院１日増８．５・初計</t>
  </si>
  <si>
    <t>D262</t>
  </si>
  <si>
    <t>通院１日増８．５・２人・初計</t>
  </si>
  <si>
    <t>D263</t>
  </si>
  <si>
    <t>通院１日増８．５・基・初計</t>
  </si>
  <si>
    <t>D264</t>
  </si>
  <si>
    <t>通院１日増８．５・基・２人・初計</t>
  </si>
  <si>
    <t>通院１日増９．０</t>
  </si>
  <si>
    <t>(18)日中 ８時間３０分以上 ９時間未満</t>
    <phoneticPr fontId="1"/>
  </si>
  <si>
    <t>通院１日増９．０・２人</t>
  </si>
  <si>
    <t>通院１日増９．０・基</t>
  </si>
  <si>
    <t>通院１日増９．０・基・２人</t>
  </si>
  <si>
    <t>D281</t>
  </si>
  <si>
    <t>通院１日増９．０・初計</t>
  </si>
  <si>
    <t>D282</t>
  </si>
  <si>
    <t>通院１日増９．０・２人・初計</t>
  </si>
  <si>
    <t>D283</t>
  </si>
  <si>
    <t>通院１日増９．０・基・初計</t>
  </si>
  <si>
    <t>D284</t>
  </si>
  <si>
    <t>通院１日増９．０・基・２人・初計</t>
  </si>
  <si>
    <t>通院１日増９．５</t>
  </si>
  <si>
    <t>(19)日中 ９時間以上 ９時間３０分未満</t>
    <phoneticPr fontId="1"/>
  </si>
  <si>
    <t>通院１日増９．５・２人</t>
  </si>
  <si>
    <t>通院１日増９．５・基</t>
  </si>
  <si>
    <t>通院１日増９．５・基・２人</t>
  </si>
  <si>
    <t>D301</t>
  </si>
  <si>
    <t>通院１日増９．５・初計</t>
  </si>
  <si>
    <t>D302</t>
  </si>
  <si>
    <t>通院１日増９．５・２人・初計</t>
  </si>
  <si>
    <t>D303</t>
  </si>
  <si>
    <t>通院１日増９．５・基・初計</t>
  </si>
  <si>
    <t>D304</t>
  </si>
  <si>
    <t>通院１日増９．５・基・２人・初計</t>
  </si>
  <si>
    <t>通院１日増１０．０</t>
  </si>
  <si>
    <t>(20)日中 ９時間３０分以上 １０時間未満</t>
    <phoneticPr fontId="1"/>
  </si>
  <si>
    <t>通院１日増１０．０・２人</t>
  </si>
  <si>
    <t>通院１日増１０．０・基</t>
  </si>
  <si>
    <t>通院１日増１０．０・基・２人</t>
  </si>
  <si>
    <t>D321</t>
  </si>
  <si>
    <t>通院１日増１０．０・初計</t>
  </si>
  <si>
    <t>D322</t>
  </si>
  <si>
    <t>通院１日増１０．０・２人・初計</t>
  </si>
  <si>
    <t>D323</t>
  </si>
  <si>
    <t>通院１日増１０．０・基・初計</t>
  </si>
  <si>
    <t>D324</t>
  </si>
  <si>
    <t>通院１日増１０．０・基・２人・初計</t>
  </si>
  <si>
    <t>通院１日増１０．５</t>
  </si>
  <si>
    <t>(21)日中 １０時間以上 １０時間３０分未満</t>
    <phoneticPr fontId="1"/>
  </si>
  <si>
    <t>通院１日増１０．５・２人</t>
  </si>
  <si>
    <t>通院１日増１０．５・基</t>
  </si>
  <si>
    <t>通院１日増１０．５・基・２人</t>
  </si>
  <si>
    <t>D341</t>
  </si>
  <si>
    <t>通院１日増１０．５・初計</t>
  </si>
  <si>
    <t>D342</t>
  </si>
  <si>
    <t>通院１日増１０．５・２人・初計</t>
  </si>
  <si>
    <t>D343</t>
  </si>
  <si>
    <t>通院１日増１０．５・基・初計</t>
  </si>
  <si>
    <t>D344</t>
  </si>
  <si>
    <t>通院１日増１０．５・基・２人・初計</t>
  </si>
  <si>
    <t>ロ　通院等介助（身体介護を伴う場合）　（早朝増分）</t>
  </si>
  <si>
    <t>通院１早増０．５</t>
  </si>
  <si>
    <t>通院１早増０．５・２人</t>
  </si>
  <si>
    <t>通院１早増０．５・基</t>
  </si>
  <si>
    <t>通院１早増０．５・基・２人</t>
  </si>
  <si>
    <t>D361</t>
  </si>
  <si>
    <t>通院１早増０．５・初計</t>
  </si>
  <si>
    <t>D362</t>
  </si>
  <si>
    <t>通院１早増０．５・２人・初計</t>
  </si>
  <si>
    <t>D363</t>
  </si>
  <si>
    <t>通院１早増０．５・基・初計</t>
  </si>
  <si>
    <t>D364</t>
  </si>
  <si>
    <t>通院１早増０．５・基・２人・初計</t>
  </si>
  <si>
    <t>通院１早増１．０</t>
  </si>
  <si>
    <t>通院１早増１．０・２人</t>
  </si>
  <si>
    <t>通院１早増１．０・基</t>
  </si>
  <si>
    <t>通院１早増１．０・基・２人</t>
  </si>
  <si>
    <t>D381</t>
  </si>
  <si>
    <t>通院１早増１．０・初計</t>
  </si>
  <si>
    <t>D382</t>
  </si>
  <si>
    <t>通院１早増１．０・２人・初計</t>
  </si>
  <si>
    <t>D383</t>
  </si>
  <si>
    <t>通院１早増１．０・基・初計</t>
  </si>
  <si>
    <t>D384</t>
  </si>
  <si>
    <t>通院１早増１．０・基・２人・初計</t>
  </si>
  <si>
    <t>通院１早増１．５</t>
  </si>
  <si>
    <t>通院１早増１．５・２人</t>
  </si>
  <si>
    <t>通院１早増１．５・基</t>
  </si>
  <si>
    <t>通院１早増１．５・基・２人</t>
  </si>
  <si>
    <t>D401</t>
  </si>
  <si>
    <t>通院１早増１．５・初計</t>
  </si>
  <si>
    <t>D402</t>
  </si>
  <si>
    <t>通院１早増１．５・２人・初計</t>
  </si>
  <si>
    <t>D403</t>
  </si>
  <si>
    <t>通院１早増１．５・基・初計</t>
  </si>
  <si>
    <t>D404</t>
  </si>
  <si>
    <t>通院１早増１．５・基・２人・初計</t>
  </si>
  <si>
    <t>通院１早増２．０</t>
  </si>
  <si>
    <t>通院１早増２．０・２人</t>
  </si>
  <si>
    <t>通院１早増２．０・基</t>
  </si>
  <si>
    <t>通院１早増２．０・基・２人</t>
  </si>
  <si>
    <t>D421</t>
  </si>
  <si>
    <t>通院１早増２．０・初計</t>
  </si>
  <si>
    <t>D422</t>
  </si>
  <si>
    <t>通院１早増２．０・２人・初計</t>
  </si>
  <si>
    <t>D423</t>
  </si>
  <si>
    <t>通院１早増２．０・基・初計</t>
  </si>
  <si>
    <t>D424</t>
  </si>
  <si>
    <t>通院１早増２．０・基・２人・初計</t>
  </si>
  <si>
    <t>通院１早増２．５</t>
  </si>
  <si>
    <t>通院１早増２．５・２人</t>
  </si>
  <si>
    <t>通院１早増２．５・基</t>
  </si>
  <si>
    <t>通院１早増２．５・基・２人</t>
  </si>
  <si>
    <t>D441</t>
  </si>
  <si>
    <t>通院１早増２．５・初計</t>
  </si>
  <si>
    <t>D442</t>
  </si>
  <si>
    <t>通院１早増２．５・２人・初計</t>
  </si>
  <si>
    <t>D443</t>
  </si>
  <si>
    <t>通院１早増２．５・基・初計</t>
  </si>
  <si>
    <t>D444</t>
  </si>
  <si>
    <t>通院１早増２．５・基・２人・初計</t>
  </si>
  <si>
    <t>ロ　通院等介助（身体介護を伴う場合）　（夜間増分）</t>
  </si>
  <si>
    <t>通院１夜増０．５</t>
  </si>
  <si>
    <t>通院１夜増０．５・２人</t>
  </si>
  <si>
    <t>通院１夜増０．５・基</t>
  </si>
  <si>
    <t>通院１夜増０．５・基・２人</t>
  </si>
  <si>
    <t>D461</t>
  </si>
  <si>
    <t>通院１夜増０．５・初計</t>
  </si>
  <si>
    <t>D462</t>
  </si>
  <si>
    <t>通院１夜増０．５・２人・初計</t>
  </si>
  <si>
    <t>D463</t>
  </si>
  <si>
    <t>通院１夜増０．５・基・初計</t>
  </si>
  <si>
    <t>D464</t>
  </si>
  <si>
    <t>通院１夜増０．５・基・２人・初計</t>
  </si>
  <si>
    <t>通院１夜増１．０</t>
  </si>
  <si>
    <t>通院１夜増１．０・２人</t>
  </si>
  <si>
    <t>通院１夜増１．０・基</t>
  </si>
  <si>
    <t>通院１夜増１．０・基・２人</t>
  </si>
  <si>
    <t>D481</t>
  </si>
  <si>
    <t>通院１夜増１．０・初計</t>
  </si>
  <si>
    <t>D482</t>
  </si>
  <si>
    <t>通院１夜増１．０・２人・初計</t>
  </si>
  <si>
    <t>D483</t>
  </si>
  <si>
    <t>通院１夜増１．０・基・初計</t>
  </si>
  <si>
    <t>D484</t>
  </si>
  <si>
    <t>通院１夜増１．０・基・２人・初計</t>
  </si>
  <si>
    <t>通院１夜増１．５</t>
  </si>
  <si>
    <t>通院１夜増１．５・２人</t>
  </si>
  <si>
    <t>通院１夜増１．５・基</t>
  </si>
  <si>
    <t>通院１夜増１．５・基・２人</t>
  </si>
  <si>
    <t>D501</t>
  </si>
  <si>
    <t>通院１夜増１．５・初計</t>
  </si>
  <si>
    <t>D502</t>
  </si>
  <si>
    <t>通院１夜増１．５・２人・初計</t>
  </si>
  <si>
    <t>D503</t>
  </si>
  <si>
    <t>通院１夜増１．５・基・初計</t>
  </si>
  <si>
    <t>D504</t>
  </si>
  <si>
    <t>通院１夜増１．５・基・２人・初計</t>
  </si>
  <si>
    <t>通院１夜増２．０</t>
  </si>
  <si>
    <t>通院１夜増２．０・２人</t>
  </si>
  <si>
    <t>通院１夜増２．０・基</t>
  </si>
  <si>
    <t>通院１夜増２．０・基・２人</t>
  </si>
  <si>
    <t>D521</t>
  </si>
  <si>
    <t>通院１夜増２．０・初計</t>
  </si>
  <si>
    <t>D522</t>
  </si>
  <si>
    <t>通院１夜増２．０・２人・初計</t>
  </si>
  <si>
    <t>D523</t>
  </si>
  <si>
    <t>通院１夜増２．０・基・初計</t>
  </si>
  <si>
    <t>D524</t>
  </si>
  <si>
    <t>通院１夜増２．０・基・２人・初計</t>
  </si>
  <si>
    <t>通院１夜増２．５</t>
  </si>
  <si>
    <t>通院１夜増２．５・２人</t>
  </si>
  <si>
    <t>通院１夜増２．５・基</t>
  </si>
  <si>
    <t>通院１夜増２．５・基・２人</t>
  </si>
  <si>
    <t>D541</t>
  </si>
  <si>
    <t>通院１夜増２．５・初計</t>
  </si>
  <si>
    <t>D542</t>
  </si>
  <si>
    <t>通院１夜増２．５・２人・初計</t>
  </si>
  <si>
    <t>D543</t>
  </si>
  <si>
    <t>通院１夜増２．５・基・初計</t>
  </si>
  <si>
    <t>D544</t>
  </si>
  <si>
    <t>通院１夜増２．５・基・２人・初計</t>
  </si>
  <si>
    <t>通院１夜増３．０</t>
  </si>
  <si>
    <t>(6)夜間 ２時間３０分以上 ３時間未満</t>
    <phoneticPr fontId="1"/>
  </si>
  <si>
    <t>通院１夜増３．０・２人</t>
  </si>
  <si>
    <t>通院１夜増３．０・基</t>
  </si>
  <si>
    <t>通院１夜増３．０・基・２人</t>
  </si>
  <si>
    <t>D561</t>
  </si>
  <si>
    <t>通院１夜増３．０・初計</t>
  </si>
  <si>
    <t>D562</t>
  </si>
  <si>
    <t>通院１夜増３．０・２人・初計</t>
  </si>
  <si>
    <t>D563</t>
  </si>
  <si>
    <t>通院１夜増３．０・基・初計</t>
  </si>
  <si>
    <t>D564</t>
  </si>
  <si>
    <t>通院１夜増３．０・基・２人・初計</t>
  </si>
  <si>
    <t>通院１夜増３．５</t>
  </si>
  <si>
    <t>(7)夜間 ３時間以上 ３時間３０分未満</t>
    <phoneticPr fontId="1"/>
  </si>
  <si>
    <t>通院１夜増３．５・２人</t>
  </si>
  <si>
    <t>通院１夜増３．５・基</t>
  </si>
  <si>
    <t>通院１夜増３．５・基・２人</t>
  </si>
  <si>
    <t>D581</t>
  </si>
  <si>
    <t>通院１夜増３．５・初計</t>
  </si>
  <si>
    <t>D582</t>
  </si>
  <si>
    <t>通院１夜増３．５・２人・初計</t>
  </si>
  <si>
    <t>D583</t>
  </si>
  <si>
    <t>通院１夜増３．５・基・初計</t>
  </si>
  <si>
    <t>D584</t>
  </si>
  <si>
    <t>通院１夜増３．５・基・２人・初計</t>
  </si>
  <si>
    <t>通院１夜増４．０</t>
  </si>
  <si>
    <t>(8)夜間 ３時間３０分以上 ４時間未満</t>
    <phoneticPr fontId="1"/>
  </si>
  <si>
    <t>通院１夜増４．０・２人</t>
  </si>
  <si>
    <t>通院１夜増４．０・基</t>
  </si>
  <si>
    <t>通院１夜増４．０・基・２人</t>
  </si>
  <si>
    <t>D601</t>
  </si>
  <si>
    <t>通院１夜増４．０・初計</t>
  </si>
  <si>
    <t>D602</t>
  </si>
  <si>
    <t>通院１夜増４．０・２人・初計</t>
  </si>
  <si>
    <t>D603</t>
  </si>
  <si>
    <t>通院１夜増４．０・基・初計</t>
  </si>
  <si>
    <t>D604</t>
  </si>
  <si>
    <t>通院１夜増４．０・基・２人・初計</t>
  </si>
  <si>
    <t>通院１夜増４．５</t>
  </si>
  <si>
    <t>(9)夜間 ４時間以上 ４時間３０分未満</t>
    <phoneticPr fontId="1"/>
  </si>
  <si>
    <t>通院１夜増４．５・２人</t>
  </si>
  <si>
    <t>通院１夜増４．５・基</t>
  </si>
  <si>
    <t>通院１夜増４．５・基・２人</t>
  </si>
  <si>
    <t>D621</t>
  </si>
  <si>
    <t>通院１夜増４．５・初計</t>
  </si>
  <si>
    <t>D622</t>
  </si>
  <si>
    <t>通院１夜増４．５・２人・初計</t>
  </si>
  <si>
    <t>D623</t>
  </si>
  <si>
    <t>通院１夜増４．５・基・初計</t>
  </si>
  <si>
    <t>D624</t>
  </si>
  <si>
    <t>通院１夜増４．５・基・２人・初計</t>
  </si>
  <si>
    <t>ロ　通院等介助（身体介護を伴う場合）　（深夜増分）</t>
  </si>
  <si>
    <t>通院１深増０．５</t>
  </si>
  <si>
    <t>通院１深増０．５・２人</t>
  </si>
  <si>
    <t>通院１深増０．５・基</t>
  </si>
  <si>
    <t>通院１深増０．５・基・２人</t>
  </si>
  <si>
    <t>D641</t>
  </si>
  <si>
    <t>通院１深増０．５・初計</t>
  </si>
  <si>
    <t>D642</t>
  </si>
  <si>
    <t>通院１深増０．５・２人・初計</t>
  </si>
  <si>
    <t>D643</t>
  </si>
  <si>
    <t>通院１深増０．５・基・初計</t>
  </si>
  <si>
    <t>D644</t>
  </si>
  <si>
    <t>通院１深増０．５・基・２人・初計</t>
  </si>
  <si>
    <t>通院１深増１．０</t>
  </si>
  <si>
    <t>通院１深増１．０・２人</t>
  </si>
  <si>
    <t>通院１深増１．０・基</t>
  </si>
  <si>
    <t>通院１深増１．０・基・２人</t>
  </si>
  <si>
    <t>D661</t>
  </si>
  <si>
    <t>通院１深増１．０・初計</t>
  </si>
  <si>
    <t>D662</t>
  </si>
  <si>
    <t>通院１深増１．０・２人・初計</t>
  </si>
  <si>
    <t>D663</t>
  </si>
  <si>
    <t>通院１深増１．０・基・初計</t>
  </si>
  <si>
    <t>D664</t>
  </si>
  <si>
    <t>通院１深増１．０・基・２人・初計</t>
  </si>
  <si>
    <t>通院１深増１．５</t>
  </si>
  <si>
    <t>通院１深増１．５・２人</t>
  </si>
  <si>
    <t>通院１深増１．５・基</t>
  </si>
  <si>
    <t>通院１深増１．５・基・２人</t>
  </si>
  <si>
    <t>D681</t>
  </si>
  <si>
    <t>通院１深増１．５・初計</t>
  </si>
  <si>
    <t>D682</t>
  </si>
  <si>
    <t>通院１深増１．５・２人・初計</t>
  </si>
  <si>
    <t>D683</t>
  </si>
  <si>
    <t>通院１深増１．５・基・初計</t>
  </si>
  <si>
    <t>D684</t>
  </si>
  <si>
    <t>通院１深増１．５・基・２人・初計</t>
  </si>
  <si>
    <t>通院１深増２．０</t>
  </si>
  <si>
    <t>通院１深増２．０・２人</t>
  </si>
  <si>
    <t>通院１深増２．０・基</t>
  </si>
  <si>
    <t>通院１深増２．０・基・２人</t>
  </si>
  <si>
    <t>D701</t>
  </si>
  <si>
    <t>通院１深増２．０・初計</t>
  </si>
  <si>
    <t>D702</t>
  </si>
  <si>
    <t>通院１深増２．０・２人・初計</t>
  </si>
  <si>
    <t>D703</t>
  </si>
  <si>
    <t>通院１深増２．０・基・初計</t>
  </si>
  <si>
    <t>D704</t>
  </si>
  <si>
    <t>通院１深増２．０・基・２人・初計</t>
  </si>
  <si>
    <t>通院１深増２．５</t>
  </si>
  <si>
    <t>通院１深増２．５・２人</t>
  </si>
  <si>
    <t>通院１深増２．５・基</t>
  </si>
  <si>
    <t>通院１深増２．５・基・２人</t>
  </si>
  <si>
    <t>D721</t>
  </si>
  <si>
    <t>通院１深増２．５・初計</t>
  </si>
  <si>
    <t>D722</t>
  </si>
  <si>
    <t>通院１深増２．５・２人・初計</t>
  </si>
  <si>
    <t>D723</t>
  </si>
  <si>
    <t>通院１深増２．５・基・初計</t>
  </si>
  <si>
    <t>D724</t>
  </si>
  <si>
    <t>通院１深増２．５・基・２人・初計</t>
  </si>
  <si>
    <t>通院１深増３．０</t>
  </si>
  <si>
    <t>(6)深夜 ２時間３０分以上 ３時間未満</t>
    <phoneticPr fontId="1"/>
  </si>
  <si>
    <t>通院１深増３．０・２人</t>
  </si>
  <si>
    <t>通院１深増３．０・基</t>
  </si>
  <si>
    <t>通院１深増３．０・基・２人</t>
  </si>
  <si>
    <t>D741</t>
  </si>
  <si>
    <t>通院１深増３．０・初計</t>
  </si>
  <si>
    <t>D742</t>
  </si>
  <si>
    <t>通院１深増３．０・２人・初計</t>
  </si>
  <si>
    <t>D743</t>
  </si>
  <si>
    <t>通院１深増３．０・基・初計</t>
  </si>
  <si>
    <t>D744</t>
  </si>
  <si>
    <t>通院１深増３．０・基・２人・初計</t>
  </si>
  <si>
    <t>通院１深増３．５</t>
  </si>
  <si>
    <t>(7)深夜 ３時間以上 ３時間３０分未満</t>
    <phoneticPr fontId="1"/>
  </si>
  <si>
    <t>通院１深増３．５・２人</t>
  </si>
  <si>
    <t>通院１深増３．５・基</t>
  </si>
  <si>
    <t>通院１深増３．５・基・２人</t>
  </si>
  <si>
    <t>D761</t>
  </si>
  <si>
    <t>通院１深増３．５・初計</t>
  </si>
  <si>
    <t>D762</t>
  </si>
  <si>
    <t>通院１深増３．５・２人・初計</t>
  </si>
  <si>
    <t>D763</t>
  </si>
  <si>
    <t>通院１深増３．５・基・初計</t>
  </si>
  <si>
    <t>D764</t>
  </si>
  <si>
    <t>通院１深増３．５・基・２人・初計</t>
  </si>
  <si>
    <t>通院１深増４．０</t>
  </si>
  <si>
    <t>(8)深夜 ３時間３０分以上 ４時間未満</t>
    <phoneticPr fontId="1"/>
  </si>
  <si>
    <t>通院１深増４．０・２人</t>
  </si>
  <si>
    <t>通院１深増４．０・基</t>
  </si>
  <si>
    <t>通院１深増４．０・基・２人</t>
  </si>
  <si>
    <t>D781</t>
  </si>
  <si>
    <t>通院１深増４．０・初計</t>
  </si>
  <si>
    <t>D782</t>
  </si>
  <si>
    <t>通院１深増４．０・２人・初計</t>
  </si>
  <si>
    <t>D783</t>
  </si>
  <si>
    <t>通院１深増４．０・基・初計</t>
  </si>
  <si>
    <t>D784</t>
  </si>
  <si>
    <t>通院１深増４．０・基・２人・初計</t>
  </si>
  <si>
    <t>通院１深増４．５</t>
  </si>
  <si>
    <t>通院１深増４．５・２人</t>
  </si>
  <si>
    <t>通院１深増４．５・基</t>
  </si>
  <si>
    <t>通院１深増４．５・基・２人</t>
  </si>
  <si>
    <t>D801</t>
  </si>
  <si>
    <t>通院１深増４．５・初計</t>
  </si>
  <si>
    <t>D802</t>
  </si>
  <si>
    <t>通院１深増４．５・２人・初計</t>
  </si>
  <si>
    <t>D803</t>
  </si>
  <si>
    <t>通院１深増４．５・基・初計</t>
  </si>
  <si>
    <t>D804</t>
  </si>
  <si>
    <t>通院１深増４．５・基・２人・初計</t>
  </si>
  <si>
    <t>通院１深増５．０</t>
  </si>
  <si>
    <t>(10)深夜 ４時間３０分以上 ５時間未満</t>
    <phoneticPr fontId="1"/>
  </si>
  <si>
    <t>通院１深増５．０・２人</t>
  </si>
  <si>
    <t>通院１深増５．０・基</t>
  </si>
  <si>
    <t>通院１深増５．０・基・２人</t>
  </si>
  <si>
    <t>D821</t>
  </si>
  <si>
    <t>通院１深増５．０・初計</t>
  </si>
  <si>
    <t>D822</t>
  </si>
  <si>
    <t>通院１深増５．０・２人・初計</t>
  </si>
  <si>
    <t>D823</t>
  </si>
  <si>
    <t>通院１深増５．０・基・初計</t>
  </si>
  <si>
    <t>D824</t>
  </si>
  <si>
    <t>通院１深増５．０・基・２人・初計</t>
  </si>
  <si>
    <t>通院１深増５．５</t>
  </si>
  <si>
    <t>(11)深夜 ５時間以上 ５時間３０分未満</t>
    <phoneticPr fontId="1"/>
  </si>
  <si>
    <t>通院１深増５．５・２人</t>
  </si>
  <si>
    <t>通院１深増５．５・基</t>
  </si>
  <si>
    <t>通院１深増５．５・基・２人</t>
  </si>
  <si>
    <t>D841</t>
  </si>
  <si>
    <t>通院１深増５．５・初計</t>
  </si>
  <si>
    <t>D842</t>
  </si>
  <si>
    <t>通院１深増５．５・２人・初計</t>
  </si>
  <si>
    <t>D843</t>
  </si>
  <si>
    <t>通院１深増５．５・基・初計</t>
  </si>
  <si>
    <t>D844</t>
  </si>
  <si>
    <t>通院１深増５．５・基・２人・初計</t>
  </si>
  <si>
    <t>通院１深増６．０</t>
  </si>
  <si>
    <t>(12)深夜 ５時間３０分以上 ６時間未満</t>
    <phoneticPr fontId="1"/>
  </si>
  <si>
    <t>通院１深増６．０・２人</t>
  </si>
  <si>
    <t>通院１深増６．０・基</t>
  </si>
  <si>
    <t>通院１深増６．０・基・２人</t>
  </si>
  <si>
    <t>D861</t>
  </si>
  <si>
    <t>通院１深増６．０・初計</t>
  </si>
  <si>
    <t>D862</t>
  </si>
  <si>
    <t>通院１深増６．０・２人・初計</t>
  </si>
  <si>
    <t>D863</t>
  </si>
  <si>
    <t>通院１深増６．０・基・初計</t>
  </si>
  <si>
    <t>D864</t>
  </si>
  <si>
    <t>通院１深増６．０・基・２人・初計</t>
  </si>
  <si>
    <t>通院１深増６．５</t>
  </si>
  <si>
    <t>(13)深夜 ６時間以上 ６時間３０分未満</t>
    <phoneticPr fontId="1"/>
  </si>
  <si>
    <t>通院１深増６．５・２人</t>
  </si>
  <si>
    <t>通院１深増６．５・基</t>
  </si>
  <si>
    <t>通院１深増６．５・基・２人</t>
  </si>
  <si>
    <t>D881</t>
  </si>
  <si>
    <t>通院１深増６．５・初計</t>
  </si>
  <si>
    <t>D882</t>
  </si>
  <si>
    <t>通院１深増６．５・２人・初計</t>
  </si>
  <si>
    <t>D883</t>
  </si>
  <si>
    <t>通院１深増６．５・基・初計</t>
  </si>
  <si>
    <t>D884</t>
  </si>
  <si>
    <t>通院１深増６．５・基・２人・初計</t>
  </si>
  <si>
    <t>ロ　通院等介助（身体介護を伴う場合）　（重度訪問介護研修修了者：日中のみ）</t>
  </si>
  <si>
    <t>通院１重研日１．０</t>
  </si>
  <si>
    <t>通院１重研日１．０・２人</t>
  </si>
  <si>
    <t>D901</t>
  </si>
  <si>
    <t>通院１重研日１．０・初計</t>
  </si>
  <si>
    <t>D902</t>
  </si>
  <si>
    <t>通院１重研日１．０・２人・初計</t>
  </si>
  <si>
    <t>通院１重研日１．５</t>
  </si>
  <si>
    <t>通院１重研日１．５・２人</t>
  </si>
  <si>
    <t>D911</t>
  </si>
  <si>
    <t>通院１重研日１．５・初計</t>
  </si>
  <si>
    <t>D912</t>
  </si>
  <si>
    <t>通院１重研日１．５・２人・初計</t>
  </si>
  <si>
    <t>通院１重研日２．０</t>
  </si>
  <si>
    <t>通院１重研日２．０・２人</t>
  </si>
  <si>
    <t>D921</t>
  </si>
  <si>
    <t>通院１重研日２．０・初計</t>
  </si>
  <si>
    <t>D922</t>
  </si>
  <si>
    <t>通院１重研日２．０・２人・初計</t>
  </si>
  <si>
    <t>通院１重研日２．５</t>
  </si>
  <si>
    <t>通院１重研日２．５・２人</t>
  </si>
  <si>
    <t>D931</t>
  </si>
  <si>
    <t>通院１重研日２．５・初計</t>
  </si>
  <si>
    <t>D932</t>
  </si>
  <si>
    <t>通院１重研日２．５・２人・初計</t>
  </si>
  <si>
    <t>通院１重研日３．０</t>
  </si>
  <si>
    <t>(5)日中 ２時間３０分以上 ３時間未満</t>
    <phoneticPr fontId="1"/>
  </si>
  <si>
    <t>通院１重研日３．０・２人</t>
  </si>
  <si>
    <t>D941</t>
  </si>
  <si>
    <t>通院１重研日３．０・初計</t>
  </si>
  <si>
    <t>D942</t>
  </si>
  <si>
    <t>通院１重研日３．０・２人・初計</t>
  </si>
  <si>
    <t>通院１重研日３．５</t>
  </si>
  <si>
    <t>(6)日中 ３時間以上 ３時間３０分未満</t>
    <phoneticPr fontId="1"/>
  </si>
  <si>
    <t>通院１重研日３．５・２人</t>
  </si>
  <si>
    <t>D951</t>
  </si>
  <si>
    <t>通院１重研日３．５・初計</t>
  </si>
  <si>
    <t>D952</t>
  </si>
  <si>
    <t>通院１重研日３．５・２人・初計</t>
  </si>
  <si>
    <t>通院１重研日４．０</t>
  </si>
  <si>
    <t>(7)日中 ３時間３０分以上 ４時間未満</t>
    <phoneticPr fontId="1"/>
  </si>
  <si>
    <t>通院１重研日４．０・２人</t>
  </si>
  <si>
    <t>D961</t>
  </si>
  <si>
    <t>通院１重研日４．０・初計</t>
  </si>
  <si>
    <t>D962</t>
  </si>
  <si>
    <t>通院１重研日４．０・２人・初計</t>
  </si>
  <si>
    <t>通院１重研日４．５</t>
  </si>
  <si>
    <t>(8)日中 ４時間以上 ４時間３０分未満</t>
    <phoneticPr fontId="1"/>
  </si>
  <si>
    <t>通院１重研日４．５・２人</t>
  </si>
  <si>
    <t>D971</t>
  </si>
  <si>
    <t>通院１重研日４．５・初計</t>
  </si>
  <si>
    <t>D972</t>
  </si>
  <si>
    <t>通院１重研日４．５・２人・初計</t>
  </si>
  <si>
    <t>通院１重研日５．０</t>
  </si>
  <si>
    <t>(9)日中 ４時間３０分以上 ５時間未満</t>
    <phoneticPr fontId="1"/>
  </si>
  <si>
    <t>通院１重研日５．０・２人</t>
  </si>
  <si>
    <t>D981</t>
  </si>
  <si>
    <t>通院１重研日５．０・初計</t>
  </si>
  <si>
    <t>D982</t>
  </si>
  <si>
    <t>通院１重研日５．０・２人・初計</t>
  </si>
  <si>
    <t>通院１重研日５．５</t>
  </si>
  <si>
    <t>(10)日中 ５時間以上 ５時間３０分未満</t>
    <phoneticPr fontId="1"/>
  </si>
  <si>
    <t>通院１重研日５．５・２人</t>
  </si>
  <si>
    <t>D991</t>
  </si>
  <si>
    <t>通院１重研日５．５・初計</t>
  </si>
  <si>
    <t>D992</t>
  </si>
  <si>
    <t>通院１重研日５．５・２人・初計</t>
  </si>
  <si>
    <t>通院１重研日６．０</t>
  </si>
  <si>
    <t>(11)日中 ５時間３０分以上 ６時間未満</t>
    <phoneticPr fontId="1"/>
  </si>
  <si>
    <t>通院１重研日６．０・２人</t>
  </si>
  <si>
    <t>DA01</t>
  </si>
  <si>
    <t>通院１重研日６．０・初計</t>
  </si>
  <si>
    <t>DA02</t>
  </si>
  <si>
    <t>通院１重研日６．０・２人・初計</t>
  </si>
  <si>
    <t>通院１重研日６．５</t>
  </si>
  <si>
    <t>(12)日中 ６時間以上 ６時間３０分未満</t>
    <phoneticPr fontId="1"/>
  </si>
  <si>
    <t>通院１重研日６．５・２人</t>
  </si>
  <si>
    <t>DA11</t>
  </si>
  <si>
    <t>通院１重研日６．５・初計</t>
  </si>
  <si>
    <t>DA12</t>
  </si>
  <si>
    <t>通院１重研日６．５・２人・初計</t>
  </si>
  <si>
    <t>通院１重研日７．０</t>
  </si>
  <si>
    <t>(13)日中 ６時間３０分以上 ７時間未満</t>
    <phoneticPr fontId="1"/>
  </si>
  <si>
    <t>通院１重研日７．０・２人</t>
  </si>
  <si>
    <t>DA21</t>
  </si>
  <si>
    <t>通院１重研日７．０・初計</t>
  </si>
  <si>
    <t>DA22</t>
  </si>
  <si>
    <t>通院１重研日７．０・２人・初計</t>
  </si>
  <si>
    <t>通院１重研日７．５</t>
  </si>
  <si>
    <t>(14)日中 ７時間以上 ７時間３０分未満</t>
    <phoneticPr fontId="1"/>
  </si>
  <si>
    <t>通院１重研日７．５・２人</t>
  </si>
  <si>
    <t>DA31</t>
  </si>
  <si>
    <t>通院１重研日７．５・初計</t>
  </si>
  <si>
    <t>DA32</t>
  </si>
  <si>
    <t>通院１重研日７．５・２人・初計</t>
  </si>
  <si>
    <t>通院１重研日８．０</t>
  </si>
  <si>
    <t>(15)日中 ７時間３０分以上 ８時間未満</t>
    <phoneticPr fontId="1"/>
  </si>
  <si>
    <t>通院１重研日８．０・２人</t>
  </si>
  <si>
    <t>DA41</t>
  </si>
  <si>
    <t>通院１重研日８．０・初計</t>
  </si>
  <si>
    <t>DA42</t>
  </si>
  <si>
    <t>通院１重研日８．０・２人・初計</t>
  </si>
  <si>
    <t>通院１重研日８．５</t>
  </si>
  <si>
    <t>(16)日中 ８時間以上 ８時間３０分未満</t>
    <phoneticPr fontId="1"/>
  </si>
  <si>
    <t>通院１重研日８．５・２人</t>
  </si>
  <si>
    <t>DA51</t>
  </si>
  <si>
    <t>通院１重研日８．５・初計</t>
  </si>
  <si>
    <t>DA52</t>
  </si>
  <si>
    <t>通院１重研日８．５・２人・初計</t>
  </si>
  <si>
    <t>通院１重研日９．０</t>
  </si>
  <si>
    <t>(17)日中 ８時間３０分以上 ９時間未満</t>
    <phoneticPr fontId="1"/>
  </si>
  <si>
    <t>通院１重研日９．０・２人</t>
  </si>
  <si>
    <t>DA61</t>
  </si>
  <si>
    <t>通院１重研日９．０・初計</t>
  </si>
  <si>
    <t>DA62</t>
  </si>
  <si>
    <t>通院１重研日９．０・２人・初計</t>
  </si>
  <si>
    <t>通院１重研日９．５</t>
  </si>
  <si>
    <t>(18)日中 ９時間以上 ９時間３０分未満</t>
    <phoneticPr fontId="1"/>
  </si>
  <si>
    <t>通院１重研日９．５・２人</t>
  </si>
  <si>
    <t>DA71</t>
  </si>
  <si>
    <t>通院１重研日９．５・初計</t>
  </si>
  <si>
    <t>DA72</t>
  </si>
  <si>
    <t>通院１重研日９．５・２人・初計</t>
  </si>
  <si>
    <t>通院１重研日１０．０</t>
  </si>
  <si>
    <t>(19)日中 ９時間３０分以上 １０時間未満</t>
    <phoneticPr fontId="1"/>
  </si>
  <si>
    <t>通院１重研日１０．０・２人</t>
  </si>
  <si>
    <t>DA81</t>
  </si>
  <si>
    <t>通院１重研日１０．０・初計</t>
  </si>
  <si>
    <t>DA82</t>
  </si>
  <si>
    <t>通院１重研日１０．０・２人・初計</t>
  </si>
  <si>
    <t>通院１重研日１０．５</t>
  </si>
  <si>
    <t>(20)日中 １０時間以上 １０時間３０分未満</t>
    <phoneticPr fontId="1"/>
  </si>
  <si>
    <t>通院１重研日１０．５・２人</t>
  </si>
  <si>
    <t>DA91</t>
  </si>
  <si>
    <t>通院１重研日１０．５・初計</t>
  </si>
  <si>
    <t>DA92</t>
  </si>
  <si>
    <t>通院１重研日１０．５・２人・初計</t>
  </si>
  <si>
    <t>ロ　通院等介助（身体介護を伴う場合）　（重度訪問介護研修修了者：早朝のみ）</t>
  </si>
  <si>
    <t>通院１重研早１．０</t>
  </si>
  <si>
    <t>通院１重研早１．０・２人</t>
  </si>
  <si>
    <t>DB01</t>
  </si>
  <si>
    <t>通院１重研早１．０・初計</t>
  </si>
  <si>
    <t>DB02</t>
  </si>
  <si>
    <t>通院１重研早１．０・２人・初計</t>
  </si>
  <si>
    <t>通院１重研早１．５</t>
  </si>
  <si>
    <t>通院１重研早１．５・２人</t>
  </si>
  <si>
    <t>DB11</t>
  </si>
  <si>
    <t>通院１重研早１．５・初計</t>
  </si>
  <si>
    <t>DB12</t>
  </si>
  <si>
    <t>通院１重研早１．５・２人・初計</t>
  </si>
  <si>
    <t>通院１重研早２．０</t>
  </si>
  <si>
    <t>通院１重研早２．０・２人</t>
  </si>
  <si>
    <t>DB21</t>
  </si>
  <si>
    <t>通院１重研早２．０・初計</t>
  </si>
  <si>
    <t>DB22</t>
  </si>
  <si>
    <t>通院１重研早２．０・２人・初計</t>
  </si>
  <si>
    <t>通院１重研早２．５</t>
  </si>
  <si>
    <t>通院１重研早２．５・２人</t>
  </si>
  <si>
    <t>DB31</t>
  </si>
  <si>
    <t>通院１重研早２．５・初計</t>
  </si>
  <si>
    <t>DB32</t>
  </si>
  <si>
    <t>通院１重研早２．５・２人・初計</t>
  </si>
  <si>
    <t>ロ　通院等介助（身体介護を伴う場合）　（重度訪問介護研修修了者：夜間のみ）</t>
  </si>
  <si>
    <t>通院１重研夜１．０</t>
  </si>
  <si>
    <t>通院１重研夜１．０・２人</t>
  </si>
  <si>
    <t>DB41</t>
  </si>
  <si>
    <t>通院１重研夜１．０・初計</t>
  </si>
  <si>
    <t>DB42</t>
  </si>
  <si>
    <t>通院１重研夜１．０・２人・初計</t>
  </si>
  <si>
    <t>通院１重研夜１．５</t>
  </si>
  <si>
    <t>通院１重研夜１．５・２人</t>
  </si>
  <si>
    <t>DB51</t>
  </si>
  <si>
    <t>通院１重研夜１．５・初計</t>
  </si>
  <si>
    <t>DB52</t>
  </si>
  <si>
    <t>通院１重研夜１．５・２人・初計</t>
  </si>
  <si>
    <t>通院１重研夜２．０</t>
  </si>
  <si>
    <t>通院１重研夜２．０・２人</t>
  </si>
  <si>
    <t>DB61</t>
  </si>
  <si>
    <t>通院１重研夜２．０・初計</t>
  </si>
  <si>
    <t>DB62</t>
  </si>
  <si>
    <t>通院１重研夜２．０・２人・初計</t>
  </si>
  <si>
    <t>通院１重研夜２．５</t>
  </si>
  <si>
    <t>通院１重研夜２．５・２人</t>
  </si>
  <si>
    <t>DB71</t>
  </si>
  <si>
    <t>通院１重研夜２．５・初計</t>
  </si>
  <si>
    <t>DB72</t>
  </si>
  <si>
    <t>通院１重研夜２．５・２人・初計</t>
  </si>
  <si>
    <t>通院１重研夜３．０</t>
  </si>
  <si>
    <t>(5)夜間 ２時間３０分以上 ３時間未満</t>
    <phoneticPr fontId="1"/>
  </si>
  <si>
    <t>通院１重研夜３．０・２人</t>
  </si>
  <si>
    <t>DB81</t>
  </si>
  <si>
    <t>通院１重研夜３．０・初計</t>
  </si>
  <si>
    <t>DB82</t>
  </si>
  <si>
    <t>通院１重研夜３．０・２人・初計</t>
  </si>
  <si>
    <t>通院１重研夜３．５</t>
  </si>
  <si>
    <t>(6)夜間 ３時間以上 ３時間３０分未満</t>
    <phoneticPr fontId="1"/>
  </si>
  <si>
    <t>通院１重研夜３．５・２人</t>
  </si>
  <si>
    <t>DB91</t>
  </si>
  <si>
    <t>通院１重研夜３．５・初計</t>
  </si>
  <si>
    <t>DB92</t>
  </si>
  <si>
    <t>通院１重研夜３．５・２人・初計</t>
  </si>
  <si>
    <t>通院１重研夜４．０</t>
  </si>
  <si>
    <t>(7)夜間 ３時間３０分以上 ４時間未満</t>
    <phoneticPr fontId="1"/>
  </si>
  <si>
    <t>通院１重研夜４．０・２人</t>
  </si>
  <si>
    <t>DC01</t>
  </si>
  <si>
    <t>通院１重研夜４．０・初計</t>
  </si>
  <si>
    <t>DC02</t>
  </si>
  <si>
    <t>通院１重研夜４．０・２人・初計</t>
  </si>
  <si>
    <t>通院１重研夜４．５</t>
  </si>
  <si>
    <t>(8)夜間 ４時間以上 ４時間３０分未満</t>
    <phoneticPr fontId="1"/>
  </si>
  <si>
    <t>通院１重研夜４．５・２人</t>
  </si>
  <si>
    <t>DC11</t>
  </si>
  <si>
    <t>通院１重研夜４．５・初計</t>
  </si>
  <si>
    <t>DC12</t>
  </si>
  <si>
    <t>通院１重研夜４．５・２人・初計</t>
  </si>
  <si>
    <t>ロ　通院等介助（身体介護を伴う場合）　（重度訪問介護研修修了者：深夜のみ）</t>
  </si>
  <si>
    <t>通院１重研深１．０</t>
  </si>
  <si>
    <t>通院１重研深１．０・２人</t>
  </si>
  <si>
    <t>DC21</t>
  </si>
  <si>
    <t>通院１重研深１．０・初計</t>
  </si>
  <si>
    <t>DC22</t>
  </si>
  <si>
    <t>通院１重研深１．０・２人・初計</t>
  </si>
  <si>
    <t>通院１重研深１．５</t>
  </si>
  <si>
    <t>通院１重研深１．５・２人</t>
  </si>
  <si>
    <t>DC31</t>
  </si>
  <si>
    <t>通院１重研深１．５・初計</t>
  </si>
  <si>
    <t>DC32</t>
  </si>
  <si>
    <t>通院１重研深１．５・２人・初計</t>
  </si>
  <si>
    <t>通院１重研深２．０</t>
  </si>
  <si>
    <t>通院１重研深２．０・２人</t>
  </si>
  <si>
    <t>DC41</t>
  </si>
  <si>
    <t>通院１重研深２．０・初計</t>
  </si>
  <si>
    <t>DC42</t>
  </si>
  <si>
    <t>通院１重研深２．０・２人・初計</t>
  </si>
  <si>
    <t>通院１重研深２．５</t>
  </si>
  <si>
    <t>通院１重研深２．５・２人</t>
  </si>
  <si>
    <t>DC51</t>
  </si>
  <si>
    <t>通院１重研深２．５・初計</t>
  </si>
  <si>
    <t>DC52</t>
  </si>
  <si>
    <t>通院１重研深２．５・２人・初計</t>
  </si>
  <si>
    <t>通院１重研深３．０</t>
  </si>
  <si>
    <t>(5)深夜 ２時間３０分以上 ３時間未満</t>
    <phoneticPr fontId="1"/>
  </si>
  <si>
    <t>通院１重研深３．０・２人</t>
  </si>
  <si>
    <t>DC61</t>
  </si>
  <si>
    <t>通院１重研深３．０・初計</t>
  </si>
  <si>
    <t>DC62</t>
  </si>
  <si>
    <t>通院１重研深３．０・２人・初計</t>
  </si>
  <si>
    <t>通院１重研深３．５</t>
  </si>
  <si>
    <t>(6)深夜 ３時間以上 ３時間３０分未満</t>
    <phoneticPr fontId="1"/>
  </si>
  <si>
    <t>通院１重研深３．５・２人</t>
  </si>
  <si>
    <t>DC71</t>
  </si>
  <si>
    <t>通院１重研深３．５・初計</t>
  </si>
  <si>
    <t>DC72</t>
  </si>
  <si>
    <t>通院１重研深３．５・２人・初計</t>
  </si>
  <si>
    <t>通院１重研深４．０</t>
  </si>
  <si>
    <t>(7)深夜 ３時間３０分以上 ４時間未満</t>
    <phoneticPr fontId="1"/>
  </si>
  <si>
    <t>通院１重研深４．０・２人</t>
  </si>
  <si>
    <t>DC81</t>
  </si>
  <si>
    <t>通院１重研深４．０・初計</t>
  </si>
  <si>
    <t>DC82</t>
  </si>
  <si>
    <t>通院１重研深４．０・２人・初計</t>
  </si>
  <si>
    <t>通院１重研深４．５</t>
  </si>
  <si>
    <t>(8)深夜 ４時間以上 ４時間３０分未満</t>
    <phoneticPr fontId="1"/>
  </si>
  <si>
    <t>通院１重研深４．５・２人</t>
  </si>
  <si>
    <t>DC91</t>
  </si>
  <si>
    <t>通院１重研深４．５・初計</t>
  </si>
  <si>
    <t>DC92</t>
  </si>
  <si>
    <t>通院１重研深４．５・２人・初計</t>
  </si>
  <si>
    <t>通院１重研深５．０</t>
  </si>
  <si>
    <t>(9)深夜 ４時間３０分以上 ５時間未満</t>
    <phoneticPr fontId="1"/>
  </si>
  <si>
    <t>通院１重研深５．０・２人</t>
  </si>
  <si>
    <t>DD01</t>
  </si>
  <si>
    <t>通院１重研深５．０・初計</t>
  </si>
  <si>
    <t>DD02</t>
  </si>
  <si>
    <t>通院１重研深５．０・２人・初計</t>
  </si>
  <si>
    <t>通院１重研深５．５</t>
  </si>
  <si>
    <t>(10)深夜 ５時間以上 ５時間３０分未満</t>
    <phoneticPr fontId="1"/>
  </si>
  <si>
    <t>通院１重研深５．５・２人</t>
  </si>
  <si>
    <t>DD11</t>
  </si>
  <si>
    <t>通院１重研深５．５・初計</t>
  </si>
  <si>
    <t>DD12</t>
  </si>
  <si>
    <t>通院１重研深５．５・２人・初計</t>
  </si>
  <si>
    <t>通院１重研深６．０</t>
  </si>
  <si>
    <t>(11)深夜 ５時間３０分以上 ６時間未満</t>
    <phoneticPr fontId="1"/>
  </si>
  <si>
    <t>通院１重研深６．０・２人</t>
  </si>
  <si>
    <t>DD21</t>
  </si>
  <si>
    <t>通院１重研深６．０・初計</t>
  </si>
  <si>
    <t>DD22</t>
  </si>
  <si>
    <t>通院１重研深６．０・２人・初計</t>
  </si>
  <si>
    <t>通院１重研深６．５</t>
  </si>
  <si>
    <t>(12)深夜 ６時間以上 ６時間３０分未満</t>
    <phoneticPr fontId="1"/>
  </si>
  <si>
    <t>通院１重研深６．５・２人</t>
  </si>
  <si>
    <t>DD31</t>
  </si>
  <si>
    <t>通院１重研深６．５・初計</t>
  </si>
  <si>
    <t>DD32</t>
  </si>
  <si>
    <t>通院１重研深６．５・２人・初計</t>
  </si>
  <si>
    <t>ロ　通院等介助（身体介護を伴う場合）　（重度訪問介護研修修了者：深夜＋早朝）</t>
  </si>
  <si>
    <t>通院１重研深１．０・早０．５</t>
  </si>
  <si>
    <t>通院１重研深１．０・早０．５・２人</t>
  </si>
  <si>
    <t>DD41</t>
  </si>
  <si>
    <t>通院１重研深１．０・早０．５・初計</t>
  </si>
  <si>
    <t>DD42</t>
  </si>
  <si>
    <t>通院１重研深１．０・早０．５・２人・初計</t>
  </si>
  <si>
    <t>通院１重研深１．０・早１．０</t>
  </si>
  <si>
    <t>通院１重研深１．０・早１．０・２人</t>
  </si>
  <si>
    <t>DD51</t>
  </si>
  <si>
    <t>通院１重研深１．０・早１．０・初計</t>
  </si>
  <si>
    <t>DD52</t>
  </si>
  <si>
    <t>通院１重研深１．０・早１．０・２人・初計</t>
  </si>
  <si>
    <t>通院１重研深１．０・早１．５</t>
  </si>
  <si>
    <t>通院１重研深１．０・早１．５・２人</t>
  </si>
  <si>
    <t>DD61</t>
  </si>
  <si>
    <t>通院１重研深１．０・早１．５・初計</t>
  </si>
  <si>
    <t>DD62</t>
  </si>
  <si>
    <t>通院１重研深１．０・早１．５・２人・初計</t>
  </si>
  <si>
    <t>通院１重研深１．０・早２．０</t>
  </si>
  <si>
    <t>通院１重研深１．０・早２．０・２人</t>
  </si>
  <si>
    <t>DD71</t>
  </si>
  <si>
    <t>通院１重研深１．０・早２．０・初計</t>
  </si>
  <si>
    <t>DD72</t>
  </si>
  <si>
    <t>通院１重研深１．０・早２．０・２人・初計</t>
  </si>
  <si>
    <t>通院１重研深１．５・早０．５</t>
  </si>
  <si>
    <t>通院１重研深１．５・早０．５・２人</t>
  </si>
  <si>
    <t>DD81</t>
  </si>
  <si>
    <t>通院１重研深１．５・早０．５・初計</t>
  </si>
  <si>
    <t>DD82</t>
  </si>
  <si>
    <t>通院１重研深１．５・早０．５・２人・初計</t>
  </si>
  <si>
    <t>通院１重研深１．５・早１．０</t>
  </si>
  <si>
    <t>通院１重研深１．５・早１．０・２人</t>
  </si>
  <si>
    <t>DD91</t>
  </si>
  <si>
    <t>通院１重研深１．５・早１．０・初計</t>
  </si>
  <si>
    <t>DD92</t>
  </si>
  <si>
    <t>通院１重研深１．５・早１．０・２人・初計</t>
  </si>
  <si>
    <t>通院１重研深１．５・早１．５</t>
  </si>
  <si>
    <t>通院１重研深１．５・早１．５・２人</t>
  </si>
  <si>
    <t>DE01</t>
  </si>
  <si>
    <t>通院１重研深１．５・早１．５・初計</t>
  </si>
  <si>
    <t>DE02</t>
  </si>
  <si>
    <t>通院１重研深１．５・早１．５・２人・初計</t>
  </si>
  <si>
    <t>通院１重研深２．０・早０．５</t>
  </si>
  <si>
    <t>通院１重研深２．０・早０．５・２人</t>
  </si>
  <si>
    <t>DE11</t>
  </si>
  <si>
    <t>通院１重研深２．０・早０．５・初計</t>
  </si>
  <si>
    <t>DE12</t>
  </si>
  <si>
    <t>通院１重研深２．０・早０．５・２人・初計</t>
  </si>
  <si>
    <t>通院１重研深２．０・早１．０</t>
  </si>
  <si>
    <t>通院１重研深２．０・早１．０・２人</t>
  </si>
  <si>
    <t>DE21</t>
  </si>
  <si>
    <t>通院１重研深２．０・早１．０・初計</t>
  </si>
  <si>
    <t>DE22</t>
  </si>
  <si>
    <t>通院１重研深２．０・早１．０・２人・初計</t>
  </si>
  <si>
    <t>通院１重研深２．５・早０．５</t>
  </si>
  <si>
    <t>通院１重研深２．５・早０．５・２人</t>
  </si>
  <si>
    <t>DE31</t>
  </si>
  <si>
    <t>通院１重研深２．５・早０．５・初計</t>
  </si>
  <si>
    <t>DE32</t>
  </si>
  <si>
    <t>通院１重研深２．５・早０．５・２人・初計</t>
  </si>
  <si>
    <t>ロ　通院等介助（身体介護を伴う場合）　（重度訪問介護研修修了者：早朝＋日中）</t>
  </si>
  <si>
    <t>通院１重研早１．０・日０．５</t>
  </si>
  <si>
    <t>通院１重研早１．０・日０．５・２人</t>
  </si>
  <si>
    <t>DE41</t>
  </si>
  <si>
    <t>通院１重研早１．０・日０．５・初計</t>
  </si>
  <si>
    <t>DE42</t>
  </si>
  <si>
    <t>通院１重研早１．０・日０．５・２人・初計</t>
  </si>
  <si>
    <t>通院１重研早１．０・日１．０</t>
  </si>
  <si>
    <t>通院１重研早１．０・日１．０・２人</t>
  </si>
  <si>
    <t>DE51</t>
  </si>
  <si>
    <t>通院１重研早１．０・日１．０・初計</t>
  </si>
  <si>
    <t>DE52</t>
  </si>
  <si>
    <t>通院１重研早１．０・日１．０・２人・初計</t>
  </si>
  <si>
    <t>通院１重研早１．０・日１．５</t>
  </si>
  <si>
    <t>通院１重研早１．０・日１．５・２人</t>
  </si>
  <si>
    <t>DE61</t>
  </si>
  <si>
    <t>通院１重研早１．０・日１．５・初計</t>
  </si>
  <si>
    <t>DE62</t>
  </si>
  <si>
    <t>通院１重研早１．０・日１．５・２人・初計</t>
  </si>
  <si>
    <t>通院１重研早１．０・日２．０</t>
  </si>
  <si>
    <t>通院１重研早１．０・日２．０・２人</t>
  </si>
  <si>
    <t>DE71</t>
  </si>
  <si>
    <t>通院１重研早１．０・日２．０・初計</t>
  </si>
  <si>
    <t>DE72</t>
  </si>
  <si>
    <t>通院１重研早１．０・日２．０・２人・初計</t>
  </si>
  <si>
    <t>通院１重研早１．５・日０．５</t>
  </si>
  <si>
    <t>通院１重研早１．５・日０．５・２人</t>
  </si>
  <si>
    <t>DE81</t>
  </si>
  <si>
    <t>通院１重研早１．５・日０．５・初計</t>
  </si>
  <si>
    <t>DE82</t>
  </si>
  <si>
    <t>通院１重研早１．５・日０．５・２人・初計</t>
  </si>
  <si>
    <t>通院１重研早１．５・日１．０</t>
  </si>
  <si>
    <t>通院１重研早１．５・日１．０・２人</t>
  </si>
  <si>
    <t>DE91</t>
  </si>
  <si>
    <t>通院１重研早１．５・日１．０・初計</t>
  </si>
  <si>
    <t>DE92</t>
  </si>
  <si>
    <t>通院１重研早１．５・日１．０・２人・初計</t>
  </si>
  <si>
    <t>通院１重研早１．５・日１．５</t>
  </si>
  <si>
    <t>通院１重研早１．５・日１．５・２人</t>
  </si>
  <si>
    <t>DF01</t>
  </si>
  <si>
    <t>通院１重研早１．５・日１．５・初計</t>
  </si>
  <si>
    <t>DF02</t>
  </si>
  <si>
    <t>通院１重研早１．５・日１．５・２人・初計</t>
  </si>
  <si>
    <t>通院１重研早２．０・日０．５</t>
  </si>
  <si>
    <t>通院１重研早２．０・日０．５・２人</t>
  </si>
  <si>
    <t>DF11</t>
  </si>
  <si>
    <t>通院１重研早２．０・日０．５・初計</t>
  </si>
  <si>
    <t>DF12</t>
  </si>
  <si>
    <t>通院１重研早２．０・日０．５・２人・初計</t>
  </si>
  <si>
    <t>通院１重研早２．０・日１．０</t>
  </si>
  <si>
    <t>通院１重研早２．０・日１．０・２人</t>
  </si>
  <si>
    <t>DF21</t>
  </si>
  <si>
    <t>通院１重研早２．０・日１．０・初計</t>
  </si>
  <si>
    <t>DF22</t>
  </si>
  <si>
    <t>通院１重研早２．０・日１．０・２人・初計</t>
  </si>
  <si>
    <t>通院１重研早２．５・日０．５</t>
  </si>
  <si>
    <t>通院１重研早２．５・日０．５・２人</t>
  </si>
  <si>
    <t>DF31</t>
  </si>
  <si>
    <t>通院１重研早２．５・日０．５・初計</t>
  </si>
  <si>
    <t>DF32</t>
  </si>
  <si>
    <t>通院１重研早２．５・日０．５・２人・初計</t>
  </si>
  <si>
    <t>ロ　通院等介助（身体介護を伴う場合）　（重度訪問介護研修修了者：日中＋夜間）</t>
  </si>
  <si>
    <t>通院１重研日１．０・夜０．５</t>
  </si>
  <si>
    <t>通院１重研日１．０・夜０．５・２人</t>
  </si>
  <si>
    <t>DF41</t>
  </si>
  <si>
    <t>通院１重研日１．０・夜０．５・初計</t>
  </si>
  <si>
    <t>DF42</t>
  </si>
  <si>
    <t>通院１重研日１．０・夜０．５・２人・初計</t>
  </si>
  <si>
    <t>通院１重研日１．０・夜１．０</t>
  </si>
  <si>
    <t>通院１重研日１．０・夜１．０・２人</t>
  </si>
  <si>
    <t>DF51</t>
  </si>
  <si>
    <t>通院１重研日１．０・夜１．０・初計</t>
  </si>
  <si>
    <t>DF52</t>
  </si>
  <si>
    <t>通院１重研日１．０・夜１．０・２人・初計</t>
  </si>
  <si>
    <t>通院１重研日１．０・夜１．５</t>
  </si>
  <si>
    <t>通院１重研日１．０・夜１．５・２人</t>
  </si>
  <si>
    <t>DF61</t>
  </si>
  <si>
    <t>通院１重研日１．０・夜１．５・初計</t>
  </si>
  <si>
    <t>DF62</t>
  </si>
  <si>
    <t>通院１重研日１．０・夜１．５・２人・初計</t>
  </si>
  <si>
    <t>通院１重研日１．０・夜２．０</t>
  </si>
  <si>
    <t>通院１重研日１．０・夜２．０・２人</t>
  </si>
  <si>
    <t>DF71</t>
  </si>
  <si>
    <t>通院１重研日１．０・夜２．０・初計</t>
  </si>
  <si>
    <t>DF72</t>
  </si>
  <si>
    <t>通院１重研日１．０・夜２．０・２人・初計</t>
  </si>
  <si>
    <t>通院１重研日１．５・夜０．５</t>
  </si>
  <si>
    <t>通院１重研日１．５・夜０．５・２人</t>
  </si>
  <si>
    <t>DF81</t>
  </si>
  <si>
    <t>通院１重研日１．５・夜０．５・初計</t>
  </si>
  <si>
    <t>DF82</t>
  </si>
  <si>
    <t>通院１重研日１．５・夜０．５・２人・初計</t>
  </si>
  <si>
    <t>通院１重研日１．５・夜１．０</t>
  </si>
  <si>
    <t>通院１重研日１．５・夜１．０・２人</t>
  </si>
  <si>
    <t>DF91</t>
  </si>
  <si>
    <t>通院１重研日１．５・夜１．０・初計</t>
  </si>
  <si>
    <t>DF92</t>
  </si>
  <si>
    <t>通院１重研日１．５・夜１．０・２人・初計</t>
  </si>
  <si>
    <t>通院１重研日１．５・夜１．５</t>
  </si>
  <si>
    <t>通院１重研日１．５・夜１．５・２人</t>
  </si>
  <si>
    <t>DG01</t>
  </si>
  <si>
    <t>通院１重研日１．５・夜１．５・初計</t>
  </si>
  <si>
    <t>DG02</t>
  </si>
  <si>
    <t>通院１重研日１．５・夜１．５・２人・初計</t>
  </si>
  <si>
    <t>通院１重研日２．０・夜０．５</t>
  </si>
  <si>
    <t>通院１重研日２．０・夜０．５・２人</t>
  </si>
  <si>
    <t>DG11</t>
  </si>
  <si>
    <t>通院１重研日２．０・夜０．５・初計</t>
  </si>
  <si>
    <t>DG12</t>
  </si>
  <si>
    <t>通院１重研日２．０・夜０．５・２人・初計</t>
  </si>
  <si>
    <t>通院１重研日２．０・夜１．０</t>
  </si>
  <si>
    <t>通院１重研日２．０・夜１．０・２人</t>
  </si>
  <si>
    <t>DG21</t>
  </si>
  <si>
    <t>通院１重研日２．０・夜１．０・初計</t>
  </si>
  <si>
    <t>DG22</t>
  </si>
  <si>
    <t>通院１重研日２．０・夜１．０・２人・初計</t>
  </si>
  <si>
    <t>通院１重研日２．５・夜０．５</t>
  </si>
  <si>
    <t>通院１重研日２．５・夜０．５・２人</t>
  </si>
  <si>
    <t>DG31</t>
  </si>
  <si>
    <t>通院１重研日２．５・夜０．５・初計</t>
  </si>
  <si>
    <t>DG32</t>
  </si>
  <si>
    <t>通院１重研日２．５・夜０．５・２人・初計</t>
  </si>
  <si>
    <t>ロ　通院等介助（身体介護を伴う場合）　（重度訪問介護研修修了者：夜間＋深夜）</t>
  </si>
  <si>
    <t>通院１重研夜１．０・深０．５</t>
  </si>
  <si>
    <t>通院１重研夜１．０・深０．５・２人</t>
  </si>
  <si>
    <t>DG41</t>
  </si>
  <si>
    <t>通院１重研夜１．０・深０．５・初計</t>
  </si>
  <si>
    <t>DG42</t>
  </si>
  <si>
    <t>通院１重研夜１．０・深０．５・２人・初計</t>
  </si>
  <si>
    <t>通院１重研夜１．０・深１．０</t>
  </si>
  <si>
    <t>通院１重研夜１．０・深１．０・２人</t>
  </si>
  <si>
    <t>DG51</t>
  </si>
  <si>
    <t>通院１重研夜１．０・深１．０・初計</t>
  </si>
  <si>
    <t>DG52</t>
  </si>
  <si>
    <t>通院１重研夜１．０・深１．０・２人・初計</t>
  </si>
  <si>
    <t>通院１重研夜１．０・深１．５</t>
  </si>
  <si>
    <t>通院１重研夜１．０・深１．５・２人</t>
  </si>
  <si>
    <t>DG61</t>
  </si>
  <si>
    <t>通院１重研夜１．０・深１．５・初計</t>
  </si>
  <si>
    <t>DG62</t>
  </si>
  <si>
    <t>通院１重研夜１．０・深１．５・２人・初計</t>
  </si>
  <si>
    <t>通院１重研夜１．０・深２．０</t>
  </si>
  <si>
    <t>通院１重研夜１．０・深２．０・２人</t>
  </si>
  <si>
    <t>DG71</t>
  </si>
  <si>
    <t>通院１重研夜１．０・深２．０・初計</t>
  </si>
  <si>
    <t>DG72</t>
  </si>
  <si>
    <t>通院１重研夜１．０・深２．０・２人・初計</t>
  </si>
  <si>
    <t>通院１重研夜１．５・深０．５</t>
  </si>
  <si>
    <t>通院１重研夜１．５・深０．５・２人</t>
  </si>
  <si>
    <t>DG81</t>
  </si>
  <si>
    <t>通院１重研夜１．５・深０．５・初計</t>
  </si>
  <si>
    <t>DG82</t>
  </si>
  <si>
    <t>通院１重研夜１．５・深０．５・２人・初計</t>
  </si>
  <si>
    <t>通院１重研夜１．５・深１．０</t>
  </si>
  <si>
    <t>通院１重研夜１．５・深１．０・２人</t>
  </si>
  <si>
    <t>DG91</t>
  </si>
  <si>
    <t>通院１重研夜１．５・深１．０・初計</t>
  </si>
  <si>
    <t>DG92</t>
  </si>
  <si>
    <t>通院１重研夜１．５・深１．０・２人・初計</t>
  </si>
  <si>
    <t>通院１重研夜１．５・深１．５</t>
  </si>
  <si>
    <t>通院１重研夜１．５・深１．５・２人</t>
  </si>
  <si>
    <t>DH01</t>
  </si>
  <si>
    <t>通院１重研夜１．５・深１．５・初計</t>
  </si>
  <si>
    <t>DH02</t>
  </si>
  <si>
    <t>通院１重研夜１．５・深１．５・２人・初計</t>
  </si>
  <si>
    <t>通院１重研夜２．０・深０．５</t>
  </si>
  <si>
    <t>通院１重研夜２．０・深０．５・２人</t>
  </si>
  <si>
    <t>DH11</t>
  </si>
  <si>
    <t>通院１重研夜２．０・深０．５・初計</t>
  </si>
  <si>
    <t>DH12</t>
  </si>
  <si>
    <t>通院１重研夜２．０・深０．５・２人・初計</t>
  </si>
  <si>
    <t>通院１重研夜２．０・深１．０</t>
  </si>
  <si>
    <t>通院１重研夜２．０・深１．０・２人</t>
  </si>
  <si>
    <t>DH21</t>
  </si>
  <si>
    <t>通院１重研夜２．０・深１．０・初計</t>
  </si>
  <si>
    <t>DH22</t>
  </si>
  <si>
    <t>通院１重研夜２．０・深１．０・２人・初計</t>
  </si>
  <si>
    <t>通院１重研夜２．５・深０．５</t>
  </si>
  <si>
    <t>通院１重研夜２．５・深０．５・２人</t>
  </si>
  <si>
    <t>DH31</t>
  </si>
  <si>
    <t>通院１重研夜２．５・深０．５・初計</t>
  </si>
  <si>
    <t>DH32</t>
  </si>
  <si>
    <t>通院１重研夜２．５・深０．５・２人・初計</t>
  </si>
  <si>
    <t>ロ　通院等介助（身体介護を伴う場合）　（重度訪問介護研修修了者：日を跨る場合　２日目深夜増分）</t>
  </si>
  <si>
    <t>通院１重研日跨増深１．０・深０．５</t>
  </si>
  <si>
    <t>通院１重研日跨増深１．０・深０．５・２人</t>
  </si>
  <si>
    <t>DH41</t>
  </si>
  <si>
    <t>通院１重研日跨増深１．０・深０．５・初計</t>
  </si>
  <si>
    <t>DH42</t>
  </si>
  <si>
    <t>通院１重研日跨増深１．０・深０．５・２人・初計</t>
  </si>
  <si>
    <t>通院１重研日跨増深１．０・深１．０</t>
  </si>
  <si>
    <t>通院１重研日跨増深１．０・深１．０・２人</t>
  </si>
  <si>
    <t>DH51</t>
  </si>
  <si>
    <t>通院１重研日跨増深１．０・深１．０・初計</t>
  </si>
  <si>
    <t>DH52</t>
  </si>
  <si>
    <t>通院１重研日跨増深１．０・深１．０・２人・初計</t>
  </si>
  <si>
    <t>通院１重研日跨増深１．０・深１．５</t>
  </si>
  <si>
    <t>通院１重研日跨増深１．０・深１．５・２人</t>
  </si>
  <si>
    <t>DH61</t>
  </si>
  <si>
    <t>通院１重研日跨増深１．０・深１．５・初計</t>
  </si>
  <si>
    <t>DH62</t>
  </si>
  <si>
    <t>通院１重研日跨増深１．０・深１．５・２人・初計</t>
  </si>
  <si>
    <t>通院１重研日跨増深１．０・深２．０</t>
  </si>
  <si>
    <t>通院１重研日跨増深１．０・深２．０・２人</t>
  </si>
  <si>
    <t>DH71</t>
  </si>
  <si>
    <t>通院１重研日跨増深１．０・深２．０・初計</t>
  </si>
  <si>
    <t>DH72</t>
  </si>
  <si>
    <t>通院１重研日跨増深１．０・深２．０・２人・初計</t>
  </si>
  <si>
    <t>通院１重研日跨増深１．５・深０．５</t>
  </si>
  <si>
    <t>通院１重研日跨増深１．５・深０．５・２人</t>
  </si>
  <si>
    <t>DH81</t>
  </si>
  <si>
    <t>通院１重研日跨増深１．５・深０．５・初計</t>
  </si>
  <si>
    <t>DH82</t>
  </si>
  <si>
    <t>通院１重研日跨増深１．５・深０．５・２人・初計</t>
  </si>
  <si>
    <t>通院１重研日跨増深１．５・深１．０</t>
  </si>
  <si>
    <t>通院１重研日跨増深１．５・深１．０・２人</t>
  </si>
  <si>
    <t>DH91</t>
  </si>
  <si>
    <t>通院１重研日跨増深１．５・深１．０・初計</t>
  </si>
  <si>
    <t>DH92</t>
  </si>
  <si>
    <t>通院１重研日跨増深１．５・深１．０・２人・初計</t>
  </si>
  <si>
    <t>通院１重研日跨増深１．５・深１．５</t>
  </si>
  <si>
    <t>通院１重研日跨増深１．５・深１．５・２人</t>
  </si>
  <si>
    <t>DJ01</t>
  </si>
  <si>
    <t>通院１重研日跨増深１．５・深１．５・初計</t>
  </si>
  <si>
    <t>DJ02</t>
  </si>
  <si>
    <t>通院１重研日跨増深１．５・深１．５・２人・初計</t>
  </si>
  <si>
    <t>通院１重研日跨増深２．０・深０．５</t>
  </si>
  <si>
    <t>通院１重研日跨増深２．０・深０．５・２人</t>
  </si>
  <si>
    <t>DJ11</t>
  </si>
  <si>
    <t>通院１重研日跨増深２．０・深０．５・初計</t>
  </si>
  <si>
    <t>DJ12</t>
  </si>
  <si>
    <t>通院１重研日跨増深２．０・深０．５・２人・初計</t>
  </si>
  <si>
    <t>通院１重研日跨増深２．０・深１．０</t>
  </si>
  <si>
    <t>通院１重研日跨増深２．０・深１．０・２人</t>
  </si>
  <si>
    <t>DJ21</t>
  </si>
  <si>
    <t>通院１重研日跨増深２．０・深１．０・初計</t>
  </si>
  <si>
    <t>DJ22</t>
  </si>
  <si>
    <t>通院１重研日跨増深２．０・深１．０・２人・初計</t>
  </si>
  <si>
    <t>通院１重研日跨増深２．５・深０．５</t>
  </si>
  <si>
    <t>通院１重研日跨増深２．５・深０．５・２人</t>
  </si>
  <si>
    <t>DJ31</t>
  </si>
  <si>
    <t>通院１重研日跨増深２．５・深０．５・初計</t>
  </si>
  <si>
    <t>DJ32</t>
  </si>
  <si>
    <t>通院１重研日跨増深２．５・深０．５・２人・初計</t>
  </si>
  <si>
    <t>ロ　通院等介助（身体介護を伴う場合）　（重度訪問介護研修修了者：深夜＋日中）　※サービス間隔が２時間未満の場合</t>
  </si>
  <si>
    <t>通院１重研深１．０・日０．５</t>
  </si>
  <si>
    <t>通院１重研深１．０・日０．５・２人</t>
  </si>
  <si>
    <t>DJ41</t>
  </si>
  <si>
    <t>通院１重研深１．０・日０．５・初計</t>
  </si>
  <si>
    <t>DJ42</t>
  </si>
  <si>
    <t>通院１重研深１．０・日０．５・２人・初計</t>
  </si>
  <si>
    <t>通院１重研深１．０・日１．０</t>
  </si>
  <si>
    <t>通院１重研深１．０・日１．０・２人</t>
  </si>
  <si>
    <t>DJ51</t>
  </si>
  <si>
    <t>通院１重研深１．０・日１．０・初計</t>
  </si>
  <si>
    <t>DJ52</t>
  </si>
  <si>
    <t>通院１重研深１．０・日１．０・２人・初計</t>
  </si>
  <si>
    <t>通院１重研深１．０・日１．５</t>
  </si>
  <si>
    <t>通院１重研深１．０・日１．５・２人</t>
  </si>
  <si>
    <t>DJ61</t>
  </si>
  <si>
    <t>通院１重研深１．０・日１．５・初計</t>
  </si>
  <si>
    <t>DJ62</t>
  </si>
  <si>
    <t>通院１重研深１．０・日１．５・２人・初計</t>
  </si>
  <si>
    <t>通院１重研深１．０・日２．０</t>
  </si>
  <si>
    <t>通院１重研深１．０・日２．０・２人</t>
  </si>
  <si>
    <t>DJ71</t>
  </si>
  <si>
    <t>通院１重研深１．０・日２．０・初計</t>
  </si>
  <si>
    <t>DJ72</t>
  </si>
  <si>
    <t>通院１重研深１．０・日２．０・２人・初計</t>
  </si>
  <si>
    <t>通院１重研深１．５・日０．５</t>
  </si>
  <si>
    <t>通院１重研深１．５・日０．５・２人</t>
  </si>
  <si>
    <t>DJ81</t>
  </si>
  <si>
    <t>通院１重研深１．５・日０．５・初計</t>
  </si>
  <si>
    <t>DJ82</t>
  </si>
  <si>
    <t>通院１重研深１．５・日０．５・２人・初計</t>
  </si>
  <si>
    <t>通院１重研深１．５・日１．０</t>
  </si>
  <si>
    <t>通院１重研深１．５・日１．０・２人</t>
  </si>
  <si>
    <t>DJ91</t>
  </si>
  <si>
    <t>通院１重研深１．５・日１．０・初計</t>
  </si>
  <si>
    <t>DJ92</t>
  </si>
  <si>
    <t>通院１重研深１．５・日１．０・２人・初計</t>
  </si>
  <si>
    <t>通院１重研深１．５・日１．５</t>
  </si>
  <si>
    <t>通院１重研深１．５・日１．５・２人</t>
  </si>
  <si>
    <t>DK01</t>
  </si>
  <si>
    <t>通院１重研深１．５・日１．５・初計</t>
  </si>
  <si>
    <t>DK02</t>
  </si>
  <si>
    <t>通院１重研深１．５・日１．５・２人・初計</t>
  </si>
  <si>
    <t>通院１重研深２．０・日０．５</t>
  </si>
  <si>
    <t>通院１重研深２．０・日０．５・２人</t>
  </si>
  <si>
    <t>DK11</t>
  </si>
  <si>
    <t>通院１重研深２．０・日０．５・初計</t>
  </si>
  <si>
    <t>DK12</t>
  </si>
  <si>
    <t>通院１重研深２．０・日０．５・２人・初計</t>
  </si>
  <si>
    <t>通院１重研深２．０・日１．０</t>
  </si>
  <si>
    <t>通院１重研深２．０・日１．０・２人</t>
  </si>
  <si>
    <t>DK21</t>
  </si>
  <si>
    <t>通院１重研深２．０・日１．０・初計</t>
  </si>
  <si>
    <t>DK22</t>
  </si>
  <si>
    <t>通院１重研深２．０・日１．０・２人・初計</t>
  </si>
  <si>
    <t>通院１重研深２．５・日０．５</t>
  </si>
  <si>
    <t>通院１重研深２．５・日０．５・２人</t>
  </si>
  <si>
    <t>DK31</t>
  </si>
  <si>
    <t>通院１重研深２．５・日０．５・初計</t>
  </si>
  <si>
    <t>DK32</t>
  </si>
  <si>
    <t>通院１重研深２．５・日０．５・２人・初計</t>
  </si>
  <si>
    <t>ロ　通院等介助（身体介護を伴う場合）　（重度訪問介護研修修了者：深夜＋早朝＋日中）　※サービス間隔が２時間未満の場合</t>
  </si>
  <si>
    <t>通院１重研深１．０・早０．５・日０．５</t>
  </si>
  <si>
    <t>通院１重研深１．０・早０．５・日０．５・２人</t>
  </si>
  <si>
    <t>DK41</t>
  </si>
  <si>
    <t>通院１重研深１．０・早０．５・日０．５・初計</t>
  </si>
  <si>
    <t>DK42</t>
  </si>
  <si>
    <t>通院１重研深１．０・早０．５・日０．５・２人・初計</t>
  </si>
  <si>
    <t>通院１重研深１．０・早０．５・日１．０</t>
  </si>
  <si>
    <t>通院１重研深１．０・早０．５・日１．０・２人</t>
  </si>
  <si>
    <t>DK51</t>
  </si>
  <si>
    <t>通院１重研深１．０・早０．５・日１．０・初計</t>
  </si>
  <si>
    <t>DK52</t>
  </si>
  <si>
    <t>通院１重研深１．０・早０．５・日１．０・２人・初計</t>
  </si>
  <si>
    <t>通院１重研深１．０・早０．５・日１．５</t>
  </si>
  <si>
    <t>通院１重研深１．０・早０．５・日１．５・２人</t>
  </si>
  <si>
    <t>DK61</t>
  </si>
  <si>
    <t>通院１重研深１．０・早０．５・日１．５・初計</t>
  </si>
  <si>
    <t>DK62</t>
  </si>
  <si>
    <t>通院１重研深１．０・早０．５・日１．５・２人・初計</t>
  </si>
  <si>
    <t>通院１重研深１．０・早１．０・日０．５</t>
  </si>
  <si>
    <t>通院１重研深１．０・早１．０・日０．５・２人</t>
  </si>
  <si>
    <t>DK71</t>
  </si>
  <si>
    <t>通院１重研深１．０・早１．０・日０．５・初計</t>
  </si>
  <si>
    <t>DK72</t>
  </si>
  <si>
    <t>通院１重研深１．０・早１．０・日０．５・２人・初計</t>
  </si>
  <si>
    <t>通院１重研深１．０・早１．０・日１．０</t>
  </si>
  <si>
    <t>通院１重研深１．０・早１．０・日１．０・２人</t>
  </si>
  <si>
    <t>DK81</t>
  </si>
  <si>
    <t>通院１重研深１．０・早１．０・日１．０・初計</t>
  </si>
  <si>
    <t>DK82</t>
  </si>
  <si>
    <t>通院１重研深１．０・早１．０・日１．０・２人・初計</t>
  </si>
  <si>
    <t>通院１重研深１．０・早１．５・日０．５</t>
  </si>
  <si>
    <t>通院１重研深１．０・早１．５・日０．５・２人</t>
  </si>
  <si>
    <t>DK91</t>
  </si>
  <si>
    <t>通院１重研深１．０・早１．５・日０．５・初計</t>
  </si>
  <si>
    <t>DK92</t>
  </si>
  <si>
    <t>通院１重研深１．０・早１．５・日０．５・２人・初計</t>
  </si>
  <si>
    <t>通院１重研深１．５・早０．５・日０．５</t>
  </si>
  <si>
    <t>通院１重研深１．５・早０．５・日０．５・２人</t>
  </si>
  <si>
    <t>DL01</t>
  </si>
  <si>
    <t>通院１重研深１．５・早０．５・日０．５・初計</t>
  </si>
  <si>
    <t>DL02</t>
  </si>
  <si>
    <t>通院１重研深１．５・早０．５・日０．５・２人・初計</t>
  </si>
  <si>
    <t>通院１重研深１．５・早０．５・日１．０</t>
  </si>
  <si>
    <t>通院１重研深１．５・早０．５・日１．０・２人</t>
  </si>
  <si>
    <t>DL11</t>
  </si>
  <si>
    <t>通院１重研深１．５・早０．５・日１．０・初計</t>
  </si>
  <si>
    <t>DL12</t>
  </si>
  <si>
    <t>通院１重研深１．５・早０．５・日１．０・２人・初計</t>
  </si>
  <si>
    <t>通院１重研深１．５・早１．０・日０．５</t>
  </si>
  <si>
    <t>通院１重研深１．５・早１．０・日０．５・２人</t>
  </si>
  <si>
    <t>DL21</t>
  </si>
  <si>
    <t>通院１重研深１．５・早１．０・日０．５・初計</t>
  </si>
  <si>
    <t>DL22</t>
  </si>
  <si>
    <t>通院１重研深１．５・早１．０・日０．５・２人・初計</t>
  </si>
  <si>
    <t>通院１重研深２．０・早０．５・日０．５</t>
  </si>
  <si>
    <t>通院１重研深２．０・早０．５・日０．５・２人</t>
  </si>
  <si>
    <t>DL31</t>
  </si>
  <si>
    <t>通院１重研深２．０・早０．５・日０．５・初計</t>
  </si>
  <si>
    <t>DL32</t>
  </si>
  <si>
    <t>通院１重研深２．０・早０．５・日０．５・２人・初計</t>
  </si>
  <si>
    <t>ロ　通院等介助（身体介護を伴う場合）　（重度訪問介護研修修了者：日中+夜間+深夜）　※サービス間隔が２時間未満の場合</t>
  </si>
  <si>
    <t>通院１重研日１．０・夜０．５・深０．５</t>
  </si>
  <si>
    <t>通院１重研日１．０・夜０．５・深０．５・２人</t>
  </si>
  <si>
    <t>DL41</t>
  </si>
  <si>
    <t>通院１重研日１．０・夜０．５・深０．５・初計</t>
  </si>
  <si>
    <t>DL42</t>
  </si>
  <si>
    <t>通院１重研日１．０・夜０．５・深０．５・２人・初計</t>
  </si>
  <si>
    <t>通院１重研日１．０・夜０．５・深１．０</t>
  </si>
  <si>
    <t>通院１重研日１．０・夜０．５・深１．０・２人</t>
  </si>
  <si>
    <t>DL51</t>
  </si>
  <si>
    <t>通院１重研日１．０・夜０．５・深１．０・初計</t>
  </si>
  <si>
    <t>DL52</t>
  </si>
  <si>
    <t>通院１重研日１．０・夜０．５・深１．０・２人・初計</t>
  </si>
  <si>
    <t>通院１重研日１．０・夜０．５・深１．５</t>
  </si>
  <si>
    <t>通院１重研日１．０・夜０．５・深１．５・２人</t>
  </si>
  <si>
    <t>DL61</t>
  </si>
  <si>
    <t>通院１重研日１．０・夜０．５・深１．５・初計</t>
  </si>
  <si>
    <t>DL62</t>
  </si>
  <si>
    <t>通院１重研日１．０・夜０．５・深１．５・２人・初計</t>
  </si>
  <si>
    <t>通院１重研日１．０・夜１．０・深０．５</t>
  </si>
  <si>
    <t>通院１重研日１．０・夜１．０・深０．５・２人</t>
  </si>
  <si>
    <t>DL71</t>
  </si>
  <si>
    <t>通院１重研日１．０・夜１．０・深０．５・初計</t>
  </si>
  <si>
    <t>DL72</t>
  </si>
  <si>
    <t>通院１重研日１．０・夜１．０・深０．５・２人・初計</t>
  </si>
  <si>
    <t>通院１重研日１．０・夜１．０・深１．０</t>
  </si>
  <si>
    <t>通院１重研日１．０・夜１．０・深１．０・２人</t>
  </si>
  <si>
    <t>DL81</t>
  </si>
  <si>
    <t>通院１重研日１．０・夜１．０・深１．０・初計</t>
  </si>
  <si>
    <t>DL82</t>
  </si>
  <si>
    <t>通院１重研日１．０・夜１．０・深１．０・２人・初計</t>
  </si>
  <si>
    <t>通院１重研日１．０・夜１．５・深０．５</t>
  </si>
  <si>
    <t>通院１重研日１．０・夜１．５・深０．５・２人</t>
  </si>
  <si>
    <t>DL91</t>
  </si>
  <si>
    <t>通院１重研日１．０・夜１．５・深０．５・初計</t>
  </si>
  <si>
    <t>DL92</t>
  </si>
  <si>
    <t>通院１重研日１．０・夜１．５・深０．５・２人・初計</t>
  </si>
  <si>
    <t>通院１重研日１．５・夜０．５・深０．５</t>
  </si>
  <si>
    <t>通院１重研日１．５・夜０．５・深０．５・２人</t>
  </si>
  <si>
    <t>DM01</t>
  </si>
  <si>
    <t>通院１重研日１．５・夜０．５・深０．５・初計</t>
  </si>
  <si>
    <t>DM02</t>
  </si>
  <si>
    <t>通院１重研日１．５・夜０．５・深０．５・２人・初計</t>
  </si>
  <si>
    <t>通院１重研日１．５・夜０．５・深１．０</t>
  </si>
  <si>
    <t>通院１重研日１．５・夜０．５・深１．０・２人</t>
  </si>
  <si>
    <t>DM11</t>
  </si>
  <si>
    <t>通院１重研日１．５・夜０．５・深１．０・初計</t>
  </si>
  <si>
    <t>DM12</t>
  </si>
  <si>
    <t>通院１重研日１．５・夜０．５・深１．０・２人・初計</t>
  </si>
  <si>
    <t>通院１重研日１．５・夜１．０・深０．５</t>
  </si>
  <si>
    <t>通院１重研日１．５・夜１．０・深０．５・２人</t>
  </si>
  <si>
    <t>DM21</t>
  </si>
  <si>
    <t>通院１重研日１．５・夜１．０・深０．５・初計</t>
  </si>
  <si>
    <t>DM22</t>
  </si>
  <si>
    <t>通院１重研日１．５・夜１．０・深０．５・２人・初計</t>
  </si>
  <si>
    <t>通院１重研日２．０・夜０．５・深０．５</t>
  </si>
  <si>
    <t>通院１重研日２．０・夜０．５・深０．５・２人</t>
  </si>
  <si>
    <t>DM31</t>
  </si>
  <si>
    <t>通院１重研日２．０・夜０．５・深０．５・初計</t>
  </si>
  <si>
    <t>DM32</t>
  </si>
  <si>
    <t>通院１重研日２．０・夜０．５・深０．５・２人・初計</t>
  </si>
  <si>
    <t>ロ　通院等介助（身体介護を伴う場合）　（重度訪問介護研修修了者：日中増分)</t>
  </si>
  <si>
    <t>通院１重研日増０．５</t>
  </si>
  <si>
    <t>通院１重研日増０．５・２人</t>
  </si>
  <si>
    <t>DM41</t>
  </si>
  <si>
    <t>通院１重研日増０．５・初計</t>
  </si>
  <si>
    <t>初任者研修課程修了者が作成した居宅介護計画に基づき提供する場合</t>
    <phoneticPr fontId="1"/>
  </si>
  <si>
    <t>DM42</t>
  </si>
  <si>
    <t>通院１重研日増０．５・２人・初計</t>
  </si>
  <si>
    <t>通院１重研日増１．０</t>
  </si>
  <si>
    <t>通院１重研日増１．０・２人</t>
  </si>
  <si>
    <t>DM51</t>
  </si>
  <si>
    <t>通院１重研日増１．０・初計</t>
  </si>
  <si>
    <t>DM52</t>
  </si>
  <si>
    <t>通院１重研日増１．０・２人・初計</t>
  </si>
  <si>
    <t>通院１重研日増１．５</t>
  </si>
  <si>
    <t>通院１重研日増１．５・２人</t>
  </si>
  <si>
    <t>DM61</t>
  </si>
  <si>
    <t>通院１重研日増１．５・初計</t>
  </si>
  <si>
    <t>DM62</t>
  </si>
  <si>
    <t>通院１重研日増１．５・２人・初計</t>
  </si>
  <si>
    <t>通院１重研日増２．０</t>
  </si>
  <si>
    <t>通院１重研日増２．０・２人</t>
  </si>
  <si>
    <t>DM71</t>
  </si>
  <si>
    <t>通院１重研日増２．０・初計</t>
  </si>
  <si>
    <t>DM72</t>
  </si>
  <si>
    <t>通院１重研日増２．０・２人・初計</t>
  </si>
  <si>
    <t>通院１重研日増２．５</t>
  </si>
  <si>
    <t>通院１重研日増２．５・２人</t>
  </si>
  <si>
    <t>DM81</t>
  </si>
  <si>
    <t>通院１重研日増２．５・初計</t>
  </si>
  <si>
    <t>DM82</t>
  </si>
  <si>
    <t>通院１重研日増２．５・２人・初計</t>
  </si>
  <si>
    <t>通院１重研日増３．０</t>
  </si>
  <si>
    <t>通院１重研日増３．０・２人</t>
  </si>
  <si>
    <t>DM91</t>
  </si>
  <si>
    <t>通院１重研日増３．０・初計</t>
  </si>
  <si>
    <t>DM92</t>
  </si>
  <si>
    <t>通院１重研日増３．０・２人・初計</t>
  </si>
  <si>
    <t>通院１重研日増３．５</t>
  </si>
  <si>
    <t>通院１重研日増３．５・２人</t>
  </si>
  <si>
    <t>DN01</t>
  </si>
  <si>
    <t>通院１重研日増３．５・初計</t>
  </si>
  <si>
    <t>DN02</t>
  </si>
  <si>
    <t>通院１重研日増３．５・２人・初計</t>
  </si>
  <si>
    <t>通院１重研日増４．０</t>
  </si>
  <si>
    <t>通院１重研日増４．０・２人</t>
  </si>
  <si>
    <t>DN11</t>
  </si>
  <si>
    <t>通院１重研日増４．０・初計</t>
  </si>
  <si>
    <t>DN12</t>
  </si>
  <si>
    <t>通院１重研日増４．０・２人・初計</t>
  </si>
  <si>
    <t>通院１重研日増４．５</t>
  </si>
  <si>
    <t>通院１重研日増４．５・２人</t>
  </si>
  <si>
    <t>DN21</t>
  </si>
  <si>
    <t>通院１重研日増４．５・初計</t>
  </si>
  <si>
    <t>DN22</t>
  </si>
  <si>
    <t>通院１重研日増４．５・２人・初計</t>
  </si>
  <si>
    <t>通院１重研日増５．０</t>
  </si>
  <si>
    <t>通院１重研日増５．０・２人</t>
  </si>
  <si>
    <t>DN31</t>
  </si>
  <si>
    <t>通院１重研日増５．０・初計</t>
  </si>
  <si>
    <t>DN32</t>
  </si>
  <si>
    <t>通院１重研日増５．０・２人・初計</t>
  </si>
  <si>
    <t>通院１重研日増５．５</t>
  </si>
  <si>
    <t>通院１重研日増５．５・２人</t>
  </si>
  <si>
    <t>DN41</t>
  </si>
  <si>
    <t>通院１重研日増５．５・初計</t>
  </si>
  <si>
    <t>DN42</t>
  </si>
  <si>
    <t>通院１重研日増５．５・２人・初計</t>
  </si>
  <si>
    <t>通院１重研日増６．０</t>
  </si>
  <si>
    <t>通院１重研日増６．０・２人</t>
  </si>
  <si>
    <t>DN51</t>
  </si>
  <si>
    <t>通院１重研日増６．０・初計</t>
  </si>
  <si>
    <t>DN52</t>
  </si>
  <si>
    <t>通院１重研日増６．０・２人・初計</t>
  </si>
  <si>
    <t>通院１重研日増６．５</t>
  </si>
  <si>
    <t>通院１重研日増６．５・２人</t>
  </si>
  <si>
    <t>DN61</t>
  </si>
  <si>
    <t>通院１重研日増６．５・初計</t>
  </si>
  <si>
    <t>DN62</t>
  </si>
  <si>
    <t>通院１重研日増６．５・２人・初計</t>
  </si>
  <si>
    <t>通院１重研日増７．０</t>
  </si>
  <si>
    <t>通院１重研日増７．０・２人</t>
  </si>
  <si>
    <t>DN71</t>
  </si>
  <si>
    <t>通院１重研日増７．０・初計</t>
  </si>
  <si>
    <t>DN72</t>
  </si>
  <si>
    <t>通院１重研日増７．０・２人・初計</t>
  </si>
  <si>
    <t>通院１重研日増７．５</t>
  </si>
  <si>
    <t>通院１重研日増７．５・２人</t>
  </si>
  <si>
    <t>DN81</t>
  </si>
  <si>
    <t>通院１重研日増７．５・初計</t>
  </si>
  <si>
    <t>DN82</t>
  </si>
  <si>
    <t>通院１重研日増７．５・２人・初計</t>
  </si>
  <si>
    <t>通院１重研日増８．０</t>
  </si>
  <si>
    <t>通院１重研日増８．０・２人</t>
  </si>
  <si>
    <t>DN91</t>
  </si>
  <si>
    <t>通院１重研日増８．０・初計</t>
  </si>
  <si>
    <t>DN92</t>
  </si>
  <si>
    <t>通院１重研日増８．０・２人・初計</t>
  </si>
  <si>
    <t>通院１重研日増８．５</t>
  </si>
  <si>
    <t>通院１重研日増８．５・２人</t>
  </si>
  <si>
    <t>DP01</t>
  </si>
  <si>
    <t>通院１重研日増８．５・初計</t>
  </si>
  <si>
    <t>DP02</t>
  </si>
  <si>
    <t>通院１重研日増８．５・２人・初計</t>
  </si>
  <si>
    <t>通院１重研日増９．０</t>
  </si>
  <si>
    <t>通院１重研日増９．０・２人</t>
  </si>
  <si>
    <t>DP11</t>
  </si>
  <si>
    <t>通院１重研日増９．０・初計</t>
  </si>
  <si>
    <t>DP12</t>
  </si>
  <si>
    <t>通院１重研日増９．０・２人・初計</t>
  </si>
  <si>
    <t>通院１重研日増９．５</t>
  </si>
  <si>
    <t>通院１重研日増９．５・２人</t>
  </si>
  <si>
    <t>DP21</t>
  </si>
  <si>
    <t>通院１重研日増９．５・初計</t>
  </si>
  <si>
    <t>DP22</t>
  </si>
  <si>
    <t>通院１重研日増９．５・２人・初計</t>
  </si>
  <si>
    <t>通院１重研日増１０．０</t>
  </si>
  <si>
    <t>通院１重研日増１０．０・２人</t>
  </si>
  <si>
    <t>DP31</t>
  </si>
  <si>
    <t>通院１重研日増１０．０・初計</t>
  </si>
  <si>
    <t>DP32</t>
  </si>
  <si>
    <t>通院１重研日増１０．０・２人・初計</t>
  </si>
  <si>
    <t>通院１重研日増１０．５</t>
  </si>
  <si>
    <t>通院１重研日増１０．５・２人</t>
  </si>
  <si>
    <t>DP41</t>
  </si>
  <si>
    <t>通院１重研日増１０．５・初計</t>
  </si>
  <si>
    <t>DP42</t>
  </si>
  <si>
    <t>通院１重研日増１０．５・２人・初計</t>
  </si>
  <si>
    <t>ロ　通院等介助（身体介護を伴う場合）　（重度訪問介護研修修了者：早朝増分）</t>
  </si>
  <si>
    <t>通院１重研早増０．５</t>
  </si>
  <si>
    <t>通院１重研早増０．５・２人</t>
  </si>
  <si>
    <t>DP51</t>
  </si>
  <si>
    <t>通院１重研早増０．５・初計</t>
  </si>
  <si>
    <t>DP52</t>
  </si>
  <si>
    <t>通院１重研早増０．５・２人・初計</t>
  </si>
  <si>
    <t>通院１重研早増１．０</t>
  </si>
  <si>
    <t>通院１重研早増１．０・２人</t>
  </si>
  <si>
    <t>DP61</t>
  </si>
  <si>
    <t>通院１重研早増１．０・初計</t>
  </si>
  <si>
    <t>DP62</t>
  </si>
  <si>
    <t>通院１重研早増１．０・２人・初計</t>
  </si>
  <si>
    <t>通院１重研早増１．５</t>
  </si>
  <si>
    <t>通院１重研早増１．５・２人</t>
  </si>
  <si>
    <t>DP71</t>
  </si>
  <si>
    <t>通院１重研早増１．５・初計</t>
  </si>
  <si>
    <t>DP72</t>
  </si>
  <si>
    <t>通院１重研早増１．５・２人・初計</t>
  </si>
  <si>
    <t>通院１重研早増２．０</t>
  </si>
  <si>
    <t>通院１重研早増２．０・２人</t>
  </si>
  <si>
    <t>DP81</t>
  </si>
  <si>
    <t>通院１重研早増２．０・初計</t>
  </si>
  <si>
    <t>DP82</t>
  </si>
  <si>
    <t>通院１重研早増２．０・２人・初計</t>
  </si>
  <si>
    <t>通院１重研早増２．５</t>
  </si>
  <si>
    <t>通院１重研早増２．５・２人</t>
  </si>
  <si>
    <t>DP91</t>
  </si>
  <si>
    <t>通院１重研早増２．５・初計</t>
  </si>
  <si>
    <t>DP92</t>
  </si>
  <si>
    <t>通院１重研早増２．５・２人・初計</t>
  </si>
  <si>
    <t>ロ　通院等介助（身体介護を伴う場合）　（重度訪問介護研修修了者：夜間増分）</t>
  </si>
  <si>
    <t>通院１重研夜増０．５</t>
  </si>
  <si>
    <t>通院１重研夜増０．５・２人</t>
  </si>
  <si>
    <t>DR01</t>
  </si>
  <si>
    <t>通院１重研夜増０．５・初計</t>
  </si>
  <si>
    <t>DR02</t>
  </si>
  <si>
    <t>通院１重研夜増０．５・２人・初計</t>
  </si>
  <si>
    <t>通院１重研夜増１．０</t>
  </si>
  <si>
    <t>通院１重研夜増１．０・２人</t>
  </si>
  <si>
    <t>DR11</t>
  </si>
  <si>
    <t>通院１重研夜増１．０・初計</t>
  </si>
  <si>
    <t>DR12</t>
  </si>
  <si>
    <t>通院１重研夜増１．０・２人・初計</t>
  </si>
  <si>
    <t>通院１重研夜増１．５</t>
  </si>
  <si>
    <t>通院１重研夜増１．５・２人</t>
  </si>
  <si>
    <t>DR21</t>
  </si>
  <si>
    <t>通院１重研夜増１．５・初計</t>
  </si>
  <si>
    <t>DR22</t>
  </si>
  <si>
    <t>通院１重研夜増１．５・２人・初計</t>
  </si>
  <si>
    <t>通院１重研夜増２．０</t>
  </si>
  <si>
    <t>通院１重研夜増２．０・２人</t>
  </si>
  <si>
    <t>DR31</t>
  </si>
  <si>
    <t>通院１重研夜増２．０・初計</t>
  </si>
  <si>
    <t>DR32</t>
  </si>
  <si>
    <t>通院１重研夜増２．０・２人・初計</t>
  </si>
  <si>
    <t>通院１重研夜増２．５</t>
  </si>
  <si>
    <t>通院１重研夜増２．５・２人</t>
  </si>
  <si>
    <t>DR41</t>
  </si>
  <si>
    <t>通院１重研夜増２．５・初計</t>
  </si>
  <si>
    <t>DR42</t>
  </si>
  <si>
    <t>通院１重研夜増２．５・２人・初計</t>
  </si>
  <si>
    <t>通院１重研夜増３．０</t>
  </si>
  <si>
    <t>通院１重研夜増３．０・２人</t>
  </si>
  <si>
    <t>DR51</t>
  </si>
  <si>
    <t>通院１重研夜増３．０・初計</t>
  </si>
  <si>
    <t>DR52</t>
  </si>
  <si>
    <t>通院１重研夜増３．０・２人・初計</t>
  </si>
  <si>
    <t>通院１重研夜増３．５</t>
  </si>
  <si>
    <t>通院１重研夜増３．５・２人</t>
  </si>
  <si>
    <t>DR61</t>
  </si>
  <si>
    <t>通院１重研夜増３．５・初計</t>
  </si>
  <si>
    <t>DR62</t>
  </si>
  <si>
    <t>通院１重研夜増３．５・２人・初計</t>
  </si>
  <si>
    <t>通院１重研夜増４．０</t>
  </si>
  <si>
    <t>通院１重研夜増４．０・２人</t>
  </si>
  <si>
    <t>DR71</t>
  </si>
  <si>
    <t>通院１重研夜増４．０・初計</t>
  </si>
  <si>
    <t>DR72</t>
  </si>
  <si>
    <t>通院１重研夜増４．０・２人・初計</t>
  </si>
  <si>
    <t>通院１重研夜増４．５</t>
  </si>
  <si>
    <t>通院１重研夜増４．５・２人</t>
  </si>
  <si>
    <t>DR81</t>
  </si>
  <si>
    <t>通院１重研夜増４．５・初計</t>
  </si>
  <si>
    <t>DR82</t>
  </si>
  <si>
    <t>通院１重研夜増４．５・２人・初計</t>
  </si>
  <si>
    <t>ロ　通院等介助（身体介護を伴う場合）　（重度訪問介護研修修了者：深夜増分）</t>
  </si>
  <si>
    <t>通院１重研深増０．５</t>
  </si>
  <si>
    <t>通院１重研深増０．５・２人</t>
  </si>
  <si>
    <t>DR91</t>
  </si>
  <si>
    <t>通院１重研深増０．５・初計</t>
  </si>
  <si>
    <t>DR92</t>
  </si>
  <si>
    <t>通院１重研深増０．５・２人・初計</t>
  </si>
  <si>
    <t>通院１重研深増１．０</t>
  </si>
  <si>
    <t>通院１重研深増１．０・２人</t>
  </si>
  <si>
    <t>DS01</t>
  </si>
  <si>
    <t>通院１重研深増１．０・初計</t>
  </si>
  <si>
    <t>DS02</t>
  </si>
  <si>
    <t>通院１重研深増１．０・２人・初計</t>
  </si>
  <si>
    <t>通院１重研深増１．５</t>
  </si>
  <si>
    <t>通院１重研深増１．５・２人</t>
  </si>
  <si>
    <t>DS11</t>
  </si>
  <si>
    <t>通院１重研深増１．５・初計</t>
  </si>
  <si>
    <t>DS12</t>
  </si>
  <si>
    <t>通院１重研深増１．５・２人・初計</t>
  </si>
  <si>
    <t>通院１重研深増２．０</t>
  </si>
  <si>
    <t>通院１重研深増２．０・２人</t>
  </si>
  <si>
    <t>DS21</t>
  </si>
  <si>
    <t>通院１重研深増２．０・初計</t>
  </si>
  <si>
    <t>DS22</t>
  </si>
  <si>
    <t>通院１重研深増２．０・２人・初計</t>
  </si>
  <si>
    <t>通院１重研深増２．５</t>
  </si>
  <si>
    <t>通院１重研深増２．５・２人</t>
  </si>
  <si>
    <t>DS31</t>
  </si>
  <si>
    <t>通院１重研深増２．５・初計</t>
  </si>
  <si>
    <t>DS32</t>
  </si>
  <si>
    <t>通院１重研深増２．５・２人・初計</t>
  </si>
  <si>
    <t>通院１重研深増３．０</t>
  </si>
  <si>
    <t>通院１重研深増３．０・２人</t>
  </si>
  <si>
    <t>DS41</t>
  </si>
  <si>
    <t>通院１重研深増３．０・初計</t>
  </si>
  <si>
    <t>DS42</t>
  </si>
  <si>
    <t>通院１重研深増３．０・２人・初計</t>
  </si>
  <si>
    <t>通院１重研深増３．５</t>
  </si>
  <si>
    <t>通院１重研深増３．５・２人</t>
  </si>
  <si>
    <t>DS51</t>
  </si>
  <si>
    <t>通院１重研深増３．５・初計</t>
  </si>
  <si>
    <t>DS52</t>
  </si>
  <si>
    <t>通院１重研深増３．５・２人・初計</t>
  </si>
  <si>
    <t>通院１重研深増４．０</t>
  </si>
  <si>
    <t>通院１重研深増４．０・２人</t>
  </si>
  <si>
    <t>DS61</t>
  </si>
  <si>
    <t>通院１重研深増４．０・初計</t>
  </si>
  <si>
    <t>DS62</t>
  </si>
  <si>
    <t>通院１重研深増４．０・２人・初計</t>
  </si>
  <si>
    <t>通院１重研深増４．５</t>
  </si>
  <si>
    <t>通院１重研深増４．５・２人</t>
  </si>
  <si>
    <t>DS71</t>
  </si>
  <si>
    <t>通院１重研深増４．５・初計</t>
  </si>
  <si>
    <t>DS72</t>
  </si>
  <si>
    <t>通院１重研深増４．５・２人・初計</t>
  </si>
  <si>
    <t>通院１重研深増５．０</t>
  </si>
  <si>
    <t>通院１重研深増５．０・２人</t>
  </si>
  <si>
    <t>DS81</t>
  </si>
  <si>
    <t>通院１重研深増５．０・初計</t>
  </si>
  <si>
    <t>DS82</t>
  </si>
  <si>
    <t>通院１重研深増５．０・２人・初計</t>
  </si>
  <si>
    <t>通院１重研深増５．５</t>
  </si>
  <si>
    <t>通院１重研深増５．５・２人</t>
  </si>
  <si>
    <t>DS91</t>
  </si>
  <si>
    <t>通院１重研深増５．５・初計</t>
  </si>
  <si>
    <t>DS92</t>
  </si>
  <si>
    <t>通院１重研深増５．５・２人・初計</t>
  </si>
  <si>
    <t>通院１重研深増６．０</t>
  </si>
  <si>
    <t>通院１重研深増６．０・２人</t>
  </si>
  <si>
    <t>DT01</t>
  </si>
  <si>
    <t>通院１重研深増６．０・初計</t>
  </si>
  <si>
    <t>DT02</t>
  </si>
  <si>
    <t>通院１重研深増６．０・２人・初計</t>
  </si>
  <si>
    <t>通院１重研深増６．５</t>
  </si>
  <si>
    <t>通院１重研深増６．５・２人</t>
  </si>
  <si>
    <t>DT11</t>
  </si>
  <si>
    <t>通院１重研深増６．５・初計</t>
  </si>
  <si>
    <t>DT12</t>
  </si>
  <si>
    <t>通院１重研深増６．５・２人・初計</t>
  </si>
  <si>
    <t>ハ　家事援助　（日中のみ）</t>
  </si>
  <si>
    <t>家事日０．５</t>
  </si>
  <si>
    <t>家事日０．５・２人</t>
  </si>
  <si>
    <t>家事日０．５・基</t>
  </si>
  <si>
    <t>家事日０．５・基・２人</t>
  </si>
  <si>
    <t>DT21</t>
  </si>
  <si>
    <t>家事日０．５・初計</t>
  </si>
  <si>
    <t>DT22</t>
  </si>
  <si>
    <t>家事日０．５・２人・初計</t>
  </si>
  <si>
    <t>DT23</t>
  </si>
  <si>
    <t>家事日０．５・基・初計</t>
  </si>
  <si>
    <t>DT24</t>
  </si>
  <si>
    <t>家事日０．５・基・２人・初計</t>
  </si>
  <si>
    <t>家事日０．７５</t>
  </si>
  <si>
    <t>(2)日中 ３０分以上 ４５分未満</t>
  </si>
  <si>
    <t>家事日０．７５・２人</t>
  </si>
  <si>
    <t>家事日０．７５・基</t>
  </si>
  <si>
    <t>家事日０．７５・基・２人</t>
  </si>
  <si>
    <t>DT41</t>
  </si>
  <si>
    <t>家事日０．７５・初計</t>
  </si>
  <si>
    <t>DT42</t>
  </si>
  <si>
    <t>家事日０．７５・２人・初計</t>
  </si>
  <si>
    <t>DT43</t>
  </si>
  <si>
    <t>家事日０．７５・基・初計</t>
  </si>
  <si>
    <t>DT44</t>
  </si>
  <si>
    <t>家事日０．７５・基・２人・初計</t>
  </si>
  <si>
    <t>家事日１．０</t>
  </si>
  <si>
    <t>(3)日中 ４５分以上 １時間未満</t>
  </si>
  <si>
    <t>家事日１．０・２人</t>
  </si>
  <si>
    <t>家事日１．０・基</t>
  </si>
  <si>
    <t>家事日１．０・基・２人</t>
  </si>
  <si>
    <t>DT61</t>
  </si>
  <si>
    <t>家事日１．０・初計</t>
  </si>
  <si>
    <t>DT62</t>
  </si>
  <si>
    <t>家事日１．０・２人・初計</t>
  </si>
  <si>
    <t>DT63</t>
  </si>
  <si>
    <t>家事日１．０・基・初計</t>
  </si>
  <si>
    <t>DT64</t>
  </si>
  <si>
    <t>家事日１．０・基・２人・初計</t>
  </si>
  <si>
    <t>家事日１．２５</t>
  </si>
  <si>
    <t>(4)日中 １時間以上 １時間１５分未満</t>
  </si>
  <si>
    <t>家事日１．２５・２人</t>
  </si>
  <si>
    <t>家事日１．２５・基</t>
  </si>
  <si>
    <t>家事日１．２５・基・２人</t>
  </si>
  <si>
    <t>DT81</t>
  </si>
  <si>
    <t>家事日１．２５・初計</t>
  </si>
  <si>
    <t>DT82</t>
  </si>
  <si>
    <t>家事日１．２５・２人・初計</t>
  </si>
  <si>
    <t>DT83</t>
  </si>
  <si>
    <t>家事日１．２５・基・初計</t>
  </si>
  <si>
    <t>DT84</t>
  </si>
  <si>
    <t>家事日１．２５・基・２人・初計</t>
  </si>
  <si>
    <t>家事日１．５</t>
  </si>
  <si>
    <t>(5)日中 １時間１５分以上 １時間３０分未満</t>
  </si>
  <si>
    <t>家事日１．５・２人</t>
  </si>
  <si>
    <t>家事日１．５・基</t>
  </si>
  <si>
    <t>家事日１．５・基・２人</t>
  </si>
  <si>
    <t>DU01</t>
  </si>
  <si>
    <t>家事日１．５・初計</t>
  </si>
  <si>
    <t>DU02</t>
  </si>
  <si>
    <t>家事日１．５・２人・初計</t>
  </si>
  <si>
    <t>DU03</t>
  </si>
  <si>
    <t>家事日１．５・基・初計</t>
  </si>
  <si>
    <t>DU04</t>
  </si>
  <si>
    <t>家事日１．５・基・２人・初計</t>
  </si>
  <si>
    <t>家事日１．７５</t>
  </si>
  <si>
    <t>(6)日中 １時間３０分以上 １時間４５分未満</t>
  </si>
  <si>
    <t>家事日１．７５・２人</t>
  </si>
  <si>
    <t>家事日１．７５・基</t>
  </si>
  <si>
    <t>家事日１．７５・基・２人</t>
  </si>
  <si>
    <t>DU21</t>
  </si>
  <si>
    <t>家事日１．７５・初計</t>
  </si>
  <si>
    <t>DU22</t>
  </si>
  <si>
    <t>家事日１．７５・２人・初計</t>
  </si>
  <si>
    <t>DU23</t>
  </si>
  <si>
    <t>家事日１．７５・基・初計</t>
  </si>
  <si>
    <t>DU24</t>
  </si>
  <si>
    <t>家事日１．７５・基・２人・初計</t>
  </si>
  <si>
    <t>家事日２．０</t>
  </si>
  <si>
    <t>(7)日中 １時間４５分以上 ２時間未満</t>
  </si>
  <si>
    <t>家事日２．０・２人</t>
  </si>
  <si>
    <t>家事日２．０・基</t>
  </si>
  <si>
    <t>家事日２．０・基・２人</t>
  </si>
  <si>
    <t>DU41</t>
  </si>
  <si>
    <t>家事日２．０・初計</t>
  </si>
  <si>
    <t>DU42</t>
  </si>
  <si>
    <t>家事日２．０・２人・初計</t>
  </si>
  <si>
    <t>DU43</t>
  </si>
  <si>
    <t>家事日２．０・基・初計</t>
  </si>
  <si>
    <t>DU44</t>
  </si>
  <si>
    <t>家事日２．０・基・２人・初計</t>
  </si>
  <si>
    <t>家事日２．２５</t>
  </si>
  <si>
    <t>(8)日中 ２時間以上 ２時間１５分未満</t>
  </si>
  <si>
    <t>家事日２．２５・２人</t>
  </si>
  <si>
    <t>家事日２．２５・基</t>
  </si>
  <si>
    <t>家事日２．２５・基・２人</t>
  </si>
  <si>
    <t>DU61</t>
  </si>
  <si>
    <t>家事日２．２５・初計</t>
  </si>
  <si>
    <t>DU62</t>
  </si>
  <si>
    <t>家事日２．２５・２人・初計</t>
  </si>
  <si>
    <t>DU63</t>
  </si>
  <si>
    <t>家事日２．２５・基・初計</t>
  </si>
  <si>
    <t>DU64</t>
  </si>
  <si>
    <t>家事日２．２５・基・２人・初計</t>
  </si>
  <si>
    <t>家事日２．５</t>
  </si>
  <si>
    <t>(9)日中 ２時間１５分以上 ２時間３０分未満</t>
  </si>
  <si>
    <t>家事日２．５・２人</t>
  </si>
  <si>
    <t>家事日２．５・基</t>
  </si>
  <si>
    <t>家事日２．５・基・２人</t>
  </si>
  <si>
    <t>DU81</t>
  </si>
  <si>
    <t>家事日２．５・初計</t>
  </si>
  <si>
    <t>DU82</t>
  </si>
  <si>
    <t>家事日２．５・２人・初計</t>
  </si>
  <si>
    <t>DU83</t>
  </si>
  <si>
    <t>家事日２．５・基・初計</t>
  </si>
  <si>
    <t>DU84</t>
  </si>
  <si>
    <t>家事日２．５・基・２人・初計</t>
  </si>
  <si>
    <t>家事日２．７５</t>
  </si>
  <si>
    <t>(10)日中 ２時間３０分以上 ２時間４５分未満</t>
  </si>
  <si>
    <t>家事日２．７５・２人</t>
  </si>
  <si>
    <t>家事日２．７５・基</t>
  </si>
  <si>
    <t>家事日２．７５・基・２人</t>
  </si>
  <si>
    <t>DV01</t>
  </si>
  <si>
    <t>家事日２．７５・初計</t>
  </si>
  <si>
    <t>DV02</t>
  </si>
  <si>
    <t>家事日２．７５・２人・初計</t>
  </si>
  <si>
    <t>DV03</t>
  </si>
  <si>
    <t>家事日２．７５・基・初計</t>
  </si>
  <si>
    <t>DV04</t>
  </si>
  <si>
    <t>家事日２．７５・基・２人・初計</t>
  </si>
  <si>
    <t>家事日３．０</t>
  </si>
  <si>
    <t>(11)日中 ２時間４５分以上 ３時間未満</t>
  </si>
  <si>
    <t>家事日３．０・２人</t>
  </si>
  <si>
    <t>家事日３．０・基</t>
  </si>
  <si>
    <t>家事日３．０・基・２人</t>
  </si>
  <si>
    <t>DV21</t>
  </si>
  <si>
    <t>家事日３．０・初計</t>
  </si>
  <si>
    <t>DV22</t>
  </si>
  <si>
    <t>家事日３．０・２人・初計</t>
  </si>
  <si>
    <t>DV23</t>
  </si>
  <si>
    <t>家事日３．０・基・初計</t>
  </si>
  <si>
    <t>DV24</t>
  </si>
  <si>
    <t>家事日３．０・基・２人・初計</t>
  </si>
  <si>
    <t>家事日３．２５</t>
  </si>
  <si>
    <t>(12)日中 ３時間以上 ３時間１５分未満</t>
  </si>
  <si>
    <t>家事日３．２５・２人</t>
  </si>
  <si>
    <t>家事日３．２５・基</t>
  </si>
  <si>
    <t>家事日３．２５・基・２人</t>
  </si>
  <si>
    <t>DV41</t>
  </si>
  <si>
    <t>家事日３．２５・初計</t>
  </si>
  <si>
    <t>DV42</t>
  </si>
  <si>
    <t>家事日３．２５・２人・初計</t>
  </si>
  <si>
    <t>DV43</t>
  </si>
  <si>
    <t>家事日３．２５・基・初計</t>
  </si>
  <si>
    <t>DV44</t>
  </si>
  <si>
    <t>家事日３．２５・基・２人・初計</t>
  </si>
  <si>
    <t>家事日３．５</t>
  </si>
  <si>
    <t>(13)日中 ３時間１５分以上 ３時間３０分未満</t>
  </si>
  <si>
    <t>家事日３．５・２人</t>
  </si>
  <si>
    <t>家事日３．５・基</t>
  </si>
  <si>
    <t>家事日３．５・基・２人</t>
  </si>
  <si>
    <t>DV61</t>
  </si>
  <si>
    <t>家事日３．５・初計</t>
  </si>
  <si>
    <t>DV62</t>
  </si>
  <si>
    <t>家事日３．５・２人・初計</t>
  </si>
  <si>
    <t>DV63</t>
  </si>
  <si>
    <t>家事日３．５・基・初計</t>
  </si>
  <si>
    <t>DV64</t>
  </si>
  <si>
    <t>家事日３．５・基・２人・初計</t>
  </si>
  <si>
    <t>家事日３．７５</t>
  </si>
  <si>
    <t>(14)日中 ３時間３０分以上 ３時間４５分未満</t>
  </si>
  <si>
    <t>家事日３．７５・２人</t>
  </si>
  <si>
    <t>家事日３．７５・基</t>
  </si>
  <si>
    <t>家事日３．７５・基・２人</t>
  </si>
  <si>
    <t>DV81</t>
  </si>
  <si>
    <t>家事日３．７５・初計</t>
  </si>
  <si>
    <t>DV82</t>
  </si>
  <si>
    <t>家事日３．７５・２人・初計</t>
  </si>
  <si>
    <t>DV83</t>
  </si>
  <si>
    <t>家事日３．７５・基・初計</t>
  </si>
  <si>
    <t>DV84</t>
  </si>
  <si>
    <t>家事日３．７５・基・２人・初計</t>
  </si>
  <si>
    <t>家事日４．０</t>
  </si>
  <si>
    <t>(15)日中 ３時間４５分以上 ４時間未満</t>
  </si>
  <si>
    <t>家事日４．０・２人</t>
  </si>
  <si>
    <t>家事日４．０・基</t>
  </si>
  <si>
    <t>家事日４．０・基・２人</t>
  </si>
  <si>
    <t>DW01</t>
  </si>
  <si>
    <t>家事日４．０・初計</t>
  </si>
  <si>
    <t>DW02</t>
  </si>
  <si>
    <t>家事日４．０・２人・初計</t>
  </si>
  <si>
    <t>DW03</t>
  </si>
  <si>
    <t>家事日４．０・基・初計</t>
  </si>
  <si>
    <t>DW04</t>
  </si>
  <si>
    <t>家事日４．０・基・２人・初計</t>
  </si>
  <si>
    <t>家事日４．２５</t>
  </si>
  <si>
    <t>(16)日中 ４時間以上 ４時間１５分未満</t>
  </si>
  <si>
    <t>家事日４．２５・２人</t>
  </si>
  <si>
    <t>家事日４．２５・基</t>
  </si>
  <si>
    <t>家事日４．２５・基・２人</t>
  </si>
  <si>
    <t>DW21</t>
  </si>
  <si>
    <t>家事日４．２５・初計</t>
  </si>
  <si>
    <t>DW22</t>
  </si>
  <si>
    <t>家事日４．２５・２人・初計</t>
  </si>
  <si>
    <t>DW23</t>
  </si>
  <si>
    <t>家事日４．２５・基・初計</t>
  </si>
  <si>
    <t>DW24</t>
  </si>
  <si>
    <t>家事日４．２５・基・２人・初計</t>
  </si>
  <si>
    <t>家事日４．５</t>
  </si>
  <si>
    <t>(17)日中 ４時間１５分以上 ４時間３０分未満</t>
  </si>
  <si>
    <t>家事日４．５・２人</t>
  </si>
  <si>
    <t>家事日４．５・基</t>
  </si>
  <si>
    <t>家事日４．５・基・２人</t>
  </si>
  <si>
    <t>DW41</t>
  </si>
  <si>
    <t>家事日４．５・初計</t>
  </si>
  <si>
    <t>DW42</t>
  </si>
  <si>
    <t>家事日４．５・２人・初計</t>
  </si>
  <si>
    <t>DW43</t>
  </si>
  <si>
    <t>家事日４．５・基・初計</t>
  </si>
  <si>
    <t>DW44</t>
  </si>
  <si>
    <t>家事日４．５・基・２人・初計</t>
  </si>
  <si>
    <t>家事日４．７５</t>
  </si>
  <si>
    <t>(18)日中 ４時間３０分以上 ４時間４５分未満</t>
  </si>
  <si>
    <t>家事日４．７５・２人</t>
  </si>
  <si>
    <t>家事日４．７５・基</t>
  </si>
  <si>
    <t>家事日４．７５・基・２人</t>
  </si>
  <si>
    <t>DW61</t>
  </si>
  <si>
    <t>家事日４．７５・初計</t>
  </si>
  <si>
    <t>DW62</t>
  </si>
  <si>
    <t>家事日４．７５・２人・初計</t>
  </si>
  <si>
    <t>DW63</t>
  </si>
  <si>
    <t>家事日４．７５・基・初計</t>
  </si>
  <si>
    <t>DW64</t>
  </si>
  <si>
    <t>家事日４．７５・基・２人・初計</t>
  </si>
  <si>
    <t>家事日５．０</t>
  </si>
  <si>
    <t>(19)日中 ４時間４５分以上 ５時間未満</t>
  </si>
  <si>
    <t>家事日５．０・２人</t>
  </si>
  <si>
    <t>家事日５．０・基</t>
  </si>
  <si>
    <t>家事日５．０・基・２人</t>
  </si>
  <si>
    <t>DW81</t>
  </si>
  <si>
    <t>家事日５．０・初計</t>
  </si>
  <si>
    <t>DW82</t>
  </si>
  <si>
    <t>家事日５．０・２人・初計</t>
  </si>
  <si>
    <t>DW83</t>
  </si>
  <si>
    <t>家事日５．０・基・初計</t>
  </si>
  <si>
    <t>DW84</t>
  </si>
  <si>
    <t>家事日５．０・基・２人・初計</t>
  </si>
  <si>
    <t>家事日５．２５</t>
  </si>
  <si>
    <t>(20)日中 ５時間以上 ５時間１５分未満</t>
  </si>
  <si>
    <t>家事日５．２５・２人</t>
  </si>
  <si>
    <t>家事日５．２５・基</t>
  </si>
  <si>
    <t>家事日５．２５・基・２人</t>
  </si>
  <si>
    <t>DX01</t>
  </si>
  <si>
    <t>家事日５．２５・初計</t>
  </si>
  <si>
    <t>DX02</t>
  </si>
  <si>
    <t>家事日５．２５・２人・初計</t>
  </si>
  <si>
    <t>DX03</t>
  </si>
  <si>
    <t>家事日５．２５・基・初計</t>
  </si>
  <si>
    <t>DX04</t>
  </si>
  <si>
    <t>家事日５．２５・基・２人・初計</t>
  </si>
  <si>
    <t>家事日５．５</t>
  </si>
  <si>
    <t>(21)日中 ５時間１５分以上 ５時間３０分未満</t>
  </si>
  <si>
    <t>家事日５．５・２人</t>
  </si>
  <si>
    <t>家事日５．５・基</t>
  </si>
  <si>
    <t>家事日５．５・基・２人</t>
  </si>
  <si>
    <t>DX21</t>
  </si>
  <si>
    <t>家事日５．５・初計</t>
  </si>
  <si>
    <t>DX22</t>
  </si>
  <si>
    <t>家事日５．５・２人・初計</t>
  </si>
  <si>
    <t>DX23</t>
  </si>
  <si>
    <t>家事日５．５・基・初計</t>
  </si>
  <si>
    <t>DX24</t>
  </si>
  <si>
    <t>家事日５．５・基・２人・初計</t>
  </si>
  <si>
    <t>家事日５．７５</t>
  </si>
  <si>
    <t>(22)日中 ５時間３０分以上 ５時間４５分未満</t>
  </si>
  <si>
    <t>家事日５．７５・２人</t>
  </si>
  <si>
    <t>家事日５．７５・基</t>
  </si>
  <si>
    <t>家事日５．７５・基・２人</t>
  </si>
  <si>
    <t>DX41</t>
  </si>
  <si>
    <t>家事日５．７５・初計</t>
  </si>
  <si>
    <t>DX42</t>
  </si>
  <si>
    <t>家事日５．７５・２人・初計</t>
  </si>
  <si>
    <t>DX43</t>
  </si>
  <si>
    <t>家事日５．７５・基・初計</t>
  </si>
  <si>
    <t>DX44</t>
  </si>
  <si>
    <t>家事日５．７５・基・２人・初計</t>
  </si>
  <si>
    <t>家事日６．０</t>
  </si>
  <si>
    <t>(23)日中 ５時間４５分以上 ６時間未満</t>
  </si>
  <si>
    <t>家事日６．０・２人</t>
  </si>
  <si>
    <t>家事日６．０・基</t>
  </si>
  <si>
    <t>家事日６．０・基・２人</t>
  </si>
  <si>
    <t>DX61</t>
  </si>
  <si>
    <t>家事日６．０・初計</t>
  </si>
  <si>
    <t>DX62</t>
  </si>
  <si>
    <t>家事日６．０・２人・初計</t>
  </si>
  <si>
    <t>DX63</t>
  </si>
  <si>
    <t>家事日６．０・基・初計</t>
  </si>
  <si>
    <t>DX64</t>
  </si>
  <si>
    <t>家事日６．０・基・２人・初計</t>
  </si>
  <si>
    <t>家事日６．２５</t>
  </si>
  <si>
    <t>(24)日中 ６時間以上 ６時間１５分未満</t>
  </si>
  <si>
    <t>家事日６．２５・２人</t>
  </si>
  <si>
    <t>家事日６．２５・基</t>
  </si>
  <si>
    <t>家事日６．２５・基・２人</t>
  </si>
  <si>
    <t>DX81</t>
  </si>
  <si>
    <t>家事日６．２５・初計</t>
  </si>
  <si>
    <t>DX82</t>
  </si>
  <si>
    <t>家事日６．２５・２人・初計</t>
  </si>
  <si>
    <t>DX83</t>
  </si>
  <si>
    <t>家事日６．２５・基・初計</t>
  </si>
  <si>
    <t>DX84</t>
  </si>
  <si>
    <t>家事日６．２５・基・２人・初計</t>
  </si>
  <si>
    <t>家事日６．５</t>
  </si>
  <si>
    <t>(25)日中 ６時間１５分以上 ６時間３０分未満</t>
  </si>
  <si>
    <t>家事日６．５・２人</t>
  </si>
  <si>
    <t>家事日６．５・基</t>
  </si>
  <si>
    <t>家事日６．５・基・２人</t>
  </si>
  <si>
    <t>DY01</t>
  </si>
  <si>
    <t>家事日６．５・初計</t>
  </si>
  <si>
    <t>DY02</t>
  </si>
  <si>
    <t>家事日６．５・２人・初計</t>
  </si>
  <si>
    <t>DY03</t>
  </si>
  <si>
    <t>家事日６．５・基・初計</t>
  </si>
  <si>
    <t>DY04</t>
  </si>
  <si>
    <t>家事日６．５・基・２人・初計</t>
  </si>
  <si>
    <t>家事日６．７５</t>
  </si>
  <si>
    <t>(26)日中 ６時間３０分以上 ６時間４５分未満</t>
  </si>
  <si>
    <t>家事日６．７５・２人</t>
  </si>
  <si>
    <t>家事日６．７５・基</t>
  </si>
  <si>
    <t>家事日６．７５・基・２人</t>
  </si>
  <si>
    <t>DY21</t>
  </si>
  <si>
    <t>家事日６．７５・初計</t>
  </si>
  <si>
    <t>DY22</t>
  </si>
  <si>
    <t>家事日６．７５・２人・初計</t>
  </si>
  <si>
    <t>DY23</t>
  </si>
  <si>
    <t>家事日６．７５・基・初計</t>
  </si>
  <si>
    <t>DY24</t>
  </si>
  <si>
    <t>家事日６．７５・基・２人・初計</t>
  </si>
  <si>
    <t>家事日７．０</t>
  </si>
  <si>
    <t>(27)日中 ６時間４５分以上 ７時間未満</t>
  </si>
  <si>
    <t>家事日７．０・２人</t>
  </si>
  <si>
    <t>家事日７．０・基</t>
  </si>
  <si>
    <t>家事日７．０・基・２人</t>
  </si>
  <si>
    <t>DY41</t>
  </si>
  <si>
    <t>家事日７．０・初計</t>
  </si>
  <si>
    <t>DY42</t>
  </si>
  <si>
    <t>家事日７．０・２人・初計</t>
  </si>
  <si>
    <t>DY43</t>
  </si>
  <si>
    <t>家事日７．０・基・初計</t>
  </si>
  <si>
    <t>DY44</t>
  </si>
  <si>
    <t>家事日７．０・基・２人・初計</t>
  </si>
  <si>
    <t>家事日７．２５</t>
  </si>
  <si>
    <t>(28)日中 ７時間以上 ７時間１５分未満</t>
  </si>
  <si>
    <t>家事日７．２５・２人</t>
  </si>
  <si>
    <t>家事日７．２５・基</t>
  </si>
  <si>
    <t>家事日７．２５・基・２人</t>
  </si>
  <si>
    <t>DY61</t>
  </si>
  <si>
    <t>家事日７．２５・初計</t>
  </si>
  <si>
    <t>DY62</t>
  </si>
  <si>
    <t>家事日７．２５・２人・初計</t>
  </si>
  <si>
    <t>DY63</t>
  </si>
  <si>
    <t>家事日７．２５・基・初計</t>
  </si>
  <si>
    <t>DY64</t>
  </si>
  <si>
    <t>家事日７．２５・基・２人・初計</t>
  </si>
  <si>
    <t>家事日７．５</t>
  </si>
  <si>
    <t>(29)日中 ７時間１５分以上 ７時間３０分未満</t>
  </si>
  <si>
    <t>家事日７．５・２人</t>
  </si>
  <si>
    <t>家事日７．５・基</t>
  </si>
  <si>
    <t>家事日７．５・基・２人</t>
  </si>
  <si>
    <t>DY81</t>
  </si>
  <si>
    <t>家事日７．５・初計</t>
  </si>
  <si>
    <t>DY82</t>
  </si>
  <si>
    <t>家事日７．５・２人・初計</t>
  </si>
  <si>
    <t>DY83</t>
  </si>
  <si>
    <t>家事日７．５・基・初計</t>
  </si>
  <si>
    <t>DY84</t>
  </si>
  <si>
    <t>家事日７．５・基・２人・初計</t>
  </si>
  <si>
    <t>家事日７．７５</t>
  </si>
  <si>
    <t>(30)日中 ７時間３０分以上 ７時間４５分未満</t>
  </si>
  <si>
    <t>家事日７．７５・２人</t>
  </si>
  <si>
    <t>家事日７．７５・基</t>
  </si>
  <si>
    <t>家事日７．７５・基・２人</t>
  </si>
  <si>
    <t>DZ01</t>
  </si>
  <si>
    <t>家事日７．７５・初計</t>
  </si>
  <si>
    <t>DZ02</t>
  </si>
  <si>
    <t>家事日７．７５・２人・初計</t>
  </si>
  <si>
    <t>DZ03</t>
  </si>
  <si>
    <t>家事日７．７５・基・初計</t>
  </si>
  <si>
    <t>DZ04</t>
  </si>
  <si>
    <t>家事日７．７５・基・２人・初計</t>
  </si>
  <si>
    <t>家事日８．０</t>
  </si>
  <si>
    <t>(31)日中 ７時間４５分以上 ８時間未満</t>
  </si>
  <si>
    <t>家事日８．０・２人</t>
  </si>
  <si>
    <t>家事日８．０・基</t>
  </si>
  <si>
    <t>家事日８．０・基・２人</t>
  </si>
  <si>
    <t>DZ21</t>
  </si>
  <si>
    <t>家事日８．０・初計</t>
  </si>
  <si>
    <t>DZ22</t>
  </si>
  <si>
    <t>家事日８．０・２人・初計</t>
  </si>
  <si>
    <t>DZ23</t>
  </si>
  <si>
    <t>家事日８．０・基・初計</t>
  </si>
  <si>
    <t>DZ24</t>
  </si>
  <si>
    <t>家事日８．０・基・２人・初計</t>
  </si>
  <si>
    <t>家事日８．２５</t>
  </si>
  <si>
    <t>(32)日中 ８時間以上 ８時間１５分未満</t>
  </si>
  <si>
    <t>家事日８．２５・２人</t>
  </si>
  <si>
    <t>家事日８．２５・基</t>
  </si>
  <si>
    <t>家事日８．２５・基・２人</t>
  </si>
  <si>
    <t>DZ41</t>
  </si>
  <si>
    <t>家事日８．２５・初計</t>
  </si>
  <si>
    <t>DZ42</t>
  </si>
  <si>
    <t>家事日８．２５・２人・初計</t>
  </si>
  <si>
    <t>DZ43</t>
  </si>
  <si>
    <t>家事日８．２５・基・初計</t>
  </si>
  <si>
    <t>DZ44</t>
  </si>
  <si>
    <t>家事日８．２５・基・２人・初計</t>
  </si>
  <si>
    <t>家事日８．５</t>
  </si>
  <si>
    <t>(33)日中 ８時間１５分以上 ８時間３０分未満</t>
  </si>
  <si>
    <t>家事日８．５・２人</t>
  </si>
  <si>
    <t>家事日８．５・基</t>
  </si>
  <si>
    <t>家事日８．５・基・２人</t>
  </si>
  <si>
    <t>DZ61</t>
  </si>
  <si>
    <t>家事日８．５・初計</t>
  </si>
  <si>
    <t>DZ62</t>
  </si>
  <si>
    <t>家事日８．５・２人・初計</t>
  </si>
  <si>
    <t>DZ63</t>
  </si>
  <si>
    <t>家事日８．５・基・初計</t>
  </si>
  <si>
    <t>DZ64</t>
  </si>
  <si>
    <t>家事日８．５・基・２人・初計</t>
  </si>
  <si>
    <t>家事日８．７５</t>
  </si>
  <si>
    <t>(34)日中 ８時間３０分以上 ８時間４５分未満</t>
  </si>
  <si>
    <t>家事日８．７５・２人</t>
  </si>
  <si>
    <t>家事日８．７５・基</t>
  </si>
  <si>
    <t>家事日８．７５・基・２人</t>
  </si>
  <si>
    <t>DZ81</t>
  </si>
  <si>
    <t>家事日８．７５・初計</t>
  </si>
  <si>
    <t>DZ82</t>
  </si>
  <si>
    <t>家事日８．７５・２人・初計</t>
  </si>
  <si>
    <t>DZ83</t>
  </si>
  <si>
    <t>家事日８．７５・基・初計</t>
  </si>
  <si>
    <t>DZ84</t>
  </si>
  <si>
    <t>家事日８．７５・基・２人・初計</t>
  </si>
  <si>
    <t>家事日９．０</t>
  </si>
  <si>
    <t>(35)日中 ８時間４５分以上 ９時間未満</t>
  </si>
  <si>
    <t>家事日９．０・２人</t>
  </si>
  <si>
    <t>家事日９．０・基</t>
  </si>
  <si>
    <t>家事日９．０・基・２人</t>
  </si>
  <si>
    <t>E001</t>
  </si>
  <si>
    <t>家事日９．０・初計</t>
  </si>
  <si>
    <t>E002</t>
  </si>
  <si>
    <t>家事日９．０・２人・初計</t>
  </si>
  <si>
    <t>E003</t>
  </si>
  <si>
    <t>家事日９．０・基・初計</t>
  </si>
  <si>
    <t>E004</t>
  </si>
  <si>
    <t>家事日９．０・基・２人・初計</t>
  </si>
  <si>
    <t>家事日９．２５</t>
  </si>
  <si>
    <t>(36)日中 ９時間以上 ９時間１５分未満</t>
  </si>
  <si>
    <t>家事日９．２５・２人</t>
  </si>
  <si>
    <t>家事日９．２５・基</t>
  </si>
  <si>
    <t>家事日９．２５・基・２人</t>
  </si>
  <si>
    <t>E021</t>
  </si>
  <si>
    <t>家事日９．２５・初計</t>
  </si>
  <si>
    <t>E022</t>
  </si>
  <si>
    <t>家事日９．２５・２人・初計</t>
  </si>
  <si>
    <t>E023</t>
  </si>
  <si>
    <t>家事日９．２５・基・初計</t>
  </si>
  <si>
    <t>E024</t>
  </si>
  <si>
    <t>家事日９．２５・基・２人・初計</t>
  </si>
  <si>
    <t>家事日９．５</t>
  </si>
  <si>
    <t>(37)日中 ９時間１５分以上 ９時間３０分未満</t>
  </si>
  <si>
    <t>家事日９．５・２人</t>
  </si>
  <si>
    <t>家事日９．５・基</t>
  </si>
  <si>
    <t>家事日９．５・基・２人</t>
  </si>
  <si>
    <t>E041</t>
  </si>
  <si>
    <t>家事日９．５・初計</t>
  </si>
  <si>
    <t>E042</t>
  </si>
  <si>
    <t>家事日９．５・２人・初計</t>
  </si>
  <si>
    <t>E043</t>
  </si>
  <si>
    <t>家事日９．５・基・初計</t>
  </si>
  <si>
    <t>E044</t>
  </si>
  <si>
    <t>家事日９．５・基・２人・初計</t>
  </si>
  <si>
    <t>家事日９．７５</t>
  </si>
  <si>
    <t>(38)日中 ９時間３０分以上 ９時間４５分未満</t>
  </si>
  <si>
    <t>家事日９．７５・２人</t>
  </si>
  <si>
    <t>家事日９．７５・基</t>
  </si>
  <si>
    <t>家事日９．７５・基・２人</t>
  </si>
  <si>
    <t>E061</t>
  </si>
  <si>
    <t>家事日９．７５・初計</t>
  </si>
  <si>
    <t>E062</t>
  </si>
  <si>
    <t>家事日９．７５・２人・初計</t>
  </si>
  <si>
    <t>E063</t>
  </si>
  <si>
    <t>家事日９．７５・基・初計</t>
  </si>
  <si>
    <t>E064</t>
  </si>
  <si>
    <t>家事日９．７５・基・２人・初計</t>
  </si>
  <si>
    <t>家事日１０．０</t>
  </si>
  <si>
    <t>(39)日中 ９時間４５分以上 １０時間未満</t>
  </si>
  <si>
    <t>家事日１０．０・２人</t>
  </si>
  <si>
    <t>家事日１０．０・基</t>
  </si>
  <si>
    <t>家事日１０．０・基・２人</t>
  </si>
  <si>
    <t>E081</t>
  </si>
  <si>
    <t>家事日１０．０・初計</t>
  </si>
  <si>
    <t>E082</t>
  </si>
  <si>
    <t>家事日１０．０・２人・初計</t>
  </si>
  <si>
    <t>E083</t>
  </si>
  <si>
    <t>家事日１０．０・基・初計</t>
  </si>
  <si>
    <t>E084</t>
  </si>
  <si>
    <t>家事日１０．０・基・２人・初計</t>
  </si>
  <si>
    <t>家事日１０．２５</t>
  </si>
  <si>
    <t>(40)日中 １０時間以上 １０時間１５分未満</t>
  </si>
  <si>
    <t>家事日１０．２５・２人</t>
  </si>
  <si>
    <t>家事日１０．２５・基</t>
  </si>
  <si>
    <t>家事日１０．２５・基・２人</t>
  </si>
  <si>
    <t>E101</t>
  </si>
  <si>
    <t>家事日１０．２５・初計</t>
  </si>
  <si>
    <t>E102</t>
  </si>
  <si>
    <t>家事日１０．２５・２人・初計</t>
  </si>
  <si>
    <t>E103</t>
  </si>
  <si>
    <t>家事日１０．２５・基・初計</t>
  </si>
  <si>
    <t>E104</t>
  </si>
  <si>
    <t>家事日１０．２５・基・２人・初計</t>
  </si>
  <si>
    <t>家事日１０．５</t>
  </si>
  <si>
    <t>(41)日中 １０時間１５分以上 １０時間３０分未満</t>
  </si>
  <si>
    <t>家事日１０．５・２人</t>
  </si>
  <si>
    <t>家事日１０．５・基</t>
  </si>
  <si>
    <t>家事日１０．５・基・２人</t>
  </si>
  <si>
    <t>E121</t>
  </si>
  <si>
    <t>家事日１０．５・初計</t>
  </si>
  <si>
    <t>E122</t>
  </si>
  <si>
    <t>家事日１０．５・２人・初計</t>
  </si>
  <si>
    <t>E123</t>
  </si>
  <si>
    <t>家事日１０．５・基・初計</t>
  </si>
  <si>
    <t>E124</t>
  </si>
  <si>
    <t>家事日１０．５・基・２人・初計</t>
  </si>
  <si>
    <t>ハ　家事援助　（早朝のみ）</t>
  </si>
  <si>
    <t>家事早０．５</t>
  </si>
  <si>
    <t>家事早０．５・２人</t>
  </si>
  <si>
    <t>家事早０．５・基</t>
  </si>
  <si>
    <t>家事早０．５・基・２人</t>
  </si>
  <si>
    <t>E141</t>
  </si>
  <si>
    <t>家事早０．５・初計</t>
  </si>
  <si>
    <t>E142</t>
  </si>
  <si>
    <t>家事早０．５・２人・初計</t>
  </si>
  <si>
    <t>E143</t>
  </si>
  <si>
    <t>家事早０．５・基・初計</t>
  </si>
  <si>
    <t>E144</t>
  </si>
  <si>
    <t>家事早０．５・基・２人・初計</t>
  </si>
  <si>
    <t>家事早０．７５</t>
  </si>
  <si>
    <t>(2)早朝 ３０分以上 ４５分未満</t>
  </si>
  <si>
    <t>家事早０．７５・２人</t>
  </si>
  <si>
    <t>家事早０．７５・基</t>
  </si>
  <si>
    <t>家事早０．７５・基・２人</t>
  </si>
  <si>
    <t>E161</t>
  </si>
  <si>
    <t>家事早０．７５・初計</t>
  </si>
  <si>
    <t>E162</t>
  </si>
  <si>
    <t>家事早０．７５・２人・初計</t>
  </si>
  <si>
    <t>E163</t>
  </si>
  <si>
    <t>家事早０．７５・基・初計</t>
  </si>
  <si>
    <t>E164</t>
  </si>
  <si>
    <t>家事早０．７５・基・２人・初計</t>
  </si>
  <si>
    <t>家事早１．０</t>
  </si>
  <si>
    <t>(3)早朝 ４５分以上 １時間未満</t>
  </si>
  <si>
    <t>家事早１．０・２人</t>
  </si>
  <si>
    <t>家事早１．０・基</t>
  </si>
  <si>
    <t>家事早１．０・基・２人</t>
  </si>
  <si>
    <t>E181</t>
  </si>
  <si>
    <t>家事早１．０・初計</t>
  </si>
  <si>
    <t>E182</t>
  </si>
  <si>
    <t>家事早１．０・２人・初計</t>
  </si>
  <si>
    <t>E183</t>
  </si>
  <si>
    <t>家事早１．０・基・初計</t>
  </si>
  <si>
    <t>E184</t>
  </si>
  <si>
    <t>家事早１．０・基・２人・初計</t>
  </si>
  <si>
    <t>家事早１．２５</t>
  </si>
  <si>
    <t>(4)早朝 １時間以上 １時間１５分未満</t>
  </si>
  <si>
    <t>家事早１．２５・２人</t>
  </si>
  <si>
    <t>家事早１．２５・基</t>
  </si>
  <si>
    <t>家事早１．２５・基・２人</t>
  </si>
  <si>
    <t>E201</t>
  </si>
  <si>
    <t>家事早１．２５・初計</t>
  </si>
  <si>
    <t>E202</t>
  </si>
  <si>
    <t>家事早１．２５・２人・初計</t>
  </si>
  <si>
    <t>E203</t>
  </si>
  <si>
    <t>家事早１．２５・基・初計</t>
  </si>
  <si>
    <t>E204</t>
  </si>
  <si>
    <t>家事早１．２５・基・２人・初計</t>
  </si>
  <si>
    <t>家事早１．５</t>
    <phoneticPr fontId="1"/>
  </si>
  <si>
    <t>(5)早朝 １時間１５分以上 １時間３０分未満</t>
  </si>
  <si>
    <t>家事早１．５・２人</t>
  </si>
  <si>
    <t>家事早１．５・基</t>
  </si>
  <si>
    <t>家事早１．５・基・２人</t>
  </si>
  <si>
    <t>E221</t>
  </si>
  <si>
    <t>家事早１．５・初計</t>
  </si>
  <si>
    <t>E222</t>
  </si>
  <si>
    <t>家事早１．５・２人・初計</t>
  </si>
  <si>
    <t>E223</t>
  </si>
  <si>
    <t>家事早１．５・基・初計</t>
  </si>
  <si>
    <t>E224</t>
  </si>
  <si>
    <t>家事早１．５・基・２人・初計</t>
  </si>
  <si>
    <t>家事早１．７５</t>
  </si>
  <si>
    <t>(6)早朝 １時間３０分以上 １時間４５分未満</t>
  </si>
  <si>
    <t>家事早１．７５・２人</t>
  </si>
  <si>
    <t>家事早１．７５・基</t>
  </si>
  <si>
    <t>家事早１．７５・基・２人</t>
  </si>
  <si>
    <t>E241</t>
  </si>
  <si>
    <t>家事早１．７５・初計</t>
  </si>
  <si>
    <t>E242</t>
  </si>
  <si>
    <t>家事早１．７５・２人・初計</t>
  </si>
  <si>
    <t>E243</t>
  </si>
  <si>
    <t>家事早１．７５・基・初計</t>
  </si>
  <si>
    <t>E244</t>
  </si>
  <si>
    <t>家事早１．７５・基・２人・初計</t>
  </si>
  <si>
    <t>家事早２．０</t>
  </si>
  <si>
    <t>(7)早朝 １時間４５分以上 ２時間未満</t>
  </si>
  <si>
    <t>家事早２．０・２人</t>
  </si>
  <si>
    <t>家事早２．０・基</t>
  </si>
  <si>
    <t>家事早２．０・基・２人</t>
  </si>
  <si>
    <t>E261</t>
  </si>
  <si>
    <t>家事早２．０・初計</t>
  </si>
  <si>
    <t>E262</t>
  </si>
  <si>
    <t>家事早２．０・２人・初計</t>
  </si>
  <si>
    <t>E263</t>
  </si>
  <si>
    <t>家事早２．０・基・初計</t>
  </si>
  <si>
    <t>E264</t>
  </si>
  <si>
    <t>家事早２．０・基・２人・初計</t>
  </si>
  <si>
    <t>家事早２．２５</t>
  </si>
  <si>
    <t>(8)早朝 ２時間以上 ２時間１５分未満</t>
  </si>
  <si>
    <t>家事早２．２５・２人</t>
  </si>
  <si>
    <t>家事早２．２５・基</t>
  </si>
  <si>
    <t>家事早２．２５・基・２人</t>
  </si>
  <si>
    <t>E281</t>
  </si>
  <si>
    <t>家事早２．２５・初計</t>
  </si>
  <si>
    <t>E282</t>
  </si>
  <si>
    <t>家事早２．２５・２人・初計</t>
  </si>
  <si>
    <t>E283</t>
  </si>
  <si>
    <t>家事早２．２５・基・初計</t>
  </si>
  <si>
    <t>E284</t>
  </si>
  <si>
    <t>家事早２．２５・基・２人・初計</t>
  </si>
  <si>
    <t>家事早２．５</t>
  </si>
  <si>
    <t>(9)早朝 ２時間１５分以上 ２時間３０分未満</t>
  </si>
  <si>
    <t>家事早２．５・２人</t>
  </si>
  <si>
    <t>家事早２．５・基</t>
  </si>
  <si>
    <t>家事早２．５・基・２人</t>
  </si>
  <si>
    <t>E301</t>
  </si>
  <si>
    <t>家事早２．５・初計</t>
  </si>
  <si>
    <t>E302</t>
  </si>
  <si>
    <t>家事早２．５・２人・初計</t>
  </si>
  <si>
    <t>E303</t>
  </si>
  <si>
    <t>家事早２．５・基・初計</t>
  </si>
  <si>
    <t>E304</t>
  </si>
  <si>
    <t>家事早２．５・基・２人・初計</t>
  </si>
  <si>
    <t>ハ　家事援助　（夜間のみ）</t>
  </si>
  <si>
    <t>家事夜０．５</t>
  </si>
  <si>
    <t>家事夜０．５・２人</t>
  </si>
  <si>
    <t>家事夜０．５・基</t>
  </si>
  <si>
    <t>家事夜０．５・基・２人</t>
  </si>
  <si>
    <t>E321</t>
  </si>
  <si>
    <t>家事夜０．５・初計</t>
  </si>
  <si>
    <t>E322</t>
  </si>
  <si>
    <t>家事夜０．５・２人・初計</t>
  </si>
  <si>
    <t>E323</t>
  </si>
  <si>
    <t>家事夜０．５・基・初計</t>
  </si>
  <si>
    <t>E324</t>
  </si>
  <si>
    <t>家事夜０．５・基・２人・初計</t>
  </si>
  <si>
    <t>家事夜０．７５</t>
  </si>
  <si>
    <t>(2)夜間 ３０分以上 ４５分未満</t>
  </si>
  <si>
    <t>家事夜０．７５・２人</t>
  </si>
  <si>
    <t>家事夜０．７５・基</t>
  </si>
  <si>
    <t>家事夜０．７５・基・２人</t>
  </si>
  <si>
    <t>E341</t>
  </si>
  <si>
    <t>家事夜０．７５・初計</t>
  </si>
  <si>
    <t>E342</t>
  </si>
  <si>
    <t>家事夜０．７５・２人・初計</t>
  </si>
  <si>
    <t>E343</t>
  </si>
  <si>
    <t>家事夜０．７５・基・初計</t>
  </si>
  <si>
    <t>E344</t>
  </si>
  <si>
    <t>家事夜０．７５・基・２人・初計</t>
  </si>
  <si>
    <t>家事夜１．０</t>
  </si>
  <si>
    <t>(3)夜間 ４５分以上 １時間未満</t>
  </si>
  <si>
    <t>家事夜１．０・２人</t>
  </si>
  <si>
    <t>家事夜１．０・基</t>
  </si>
  <si>
    <t>家事夜１．０・基・２人</t>
  </si>
  <si>
    <t>E361</t>
  </si>
  <si>
    <t>家事夜１．０・初計</t>
  </si>
  <si>
    <t>E362</t>
  </si>
  <si>
    <t>家事夜１．０・２人・初計</t>
  </si>
  <si>
    <t>E363</t>
  </si>
  <si>
    <t>家事夜１．０・基・初計</t>
  </si>
  <si>
    <t>E364</t>
  </si>
  <si>
    <t>家事夜１．０・基・２人・初計</t>
  </si>
  <si>
    <t>家事夜１．２５</t>
  </si>
  <si>
    <t>(4)夜間 １時間以上 １時間１５分未満</t>
  </si>
  <si>
    <t>家事夜１．２５・２人</t>
  </si>
  <si>
    <t>家事夜１．２５・基</t>
  </si>
  <si>
    <t>家事夜１．２５・基・２人</t>
  </si>
  <si>
    <t>E381</t>
  </si>
  <si>
    <t>家事夜１．２５・初計</t>
  </si>
  <si>
    <t>E382</t>
  </si>
  <si>
    <t>家事夜１．２５・２人・初計</t>
  </si>
  <si>
    <t>E383</t>
  </si>
  <si>
    <t>家事夜１．２５・基・初計</t>
  </si>
  <si>
    <t>E384</t>
  </si>
  <si>
    <t>家事夜１．２５・基・２人・初計</t>
  </si>
  <si>
    <t>家事夜１．５</t>
  </si>
  <si>
    <t>(5)夜間 １時間１５分以上 １時間３０分未満</t>
  </si>
  <si>
    <t>家事夜１．５・２人</t>
  </si>
  <si>
    <t>家事夜１．５・基</t>
  </si>
  <si>
    <t>家事夜１．５・基・２人</t>
  </si>
  <si>
    <t>E401</t>
  </si>
  <si>
    <t>家事夜１．５・初計</t>
  </si>
  <si>
    <t>E402</t>
  </si>
  <si>
    <t>家事夜１．５・２人・初計</t>
  </si>
  <si>
    <t>E403</t>
  </si>
  <si>
    <t>家事夜１．５・基・初計</t>
  </si>
  <si>
    <t>E404</t>
  </si>
  <si>
    <t>家事夜１．５・基・２人・初計</t>
  </si>
  <si>
    <t>家事夜１．７５</t>
  </si>
  <si>
    <t>(6)夜間 １時間３０分以上 １時間４５分未満</t>
  </si>
  <si>
    <t>家事夜１．７５・２人</t>
  </si>
  <si>
    <t>家事夜１．７５・基</t>
  </si>
  <si>
    <t>家事夜１．７５・基・２人</t>
  </si>
  <si>
    <t>E421</t>
  </si>
  <si>
    <t>家事夜１．７５・初計</t>
  </si>
  <si>
    <t>E422</t>
  </si>
  <si>
    <t>家事夜１．７５・２人・初計</t>
  </si>
  <si>
    <t>E423</t>
  </si>
  <si>
    <t>家事夜１．７５・基・初計</t>
  </si>
  <si>
    <t>E424</t>
  </si>
  <si>
    <t>家事夜１．７５・基・２人・初計</t>
  </si>
  <si>
    <t>家事夜２．０</t>
  </si>
  <si>
    <t>(7)夜間 １時間４５分以上 ２時間未満</t>
  </si>
  <si>
    <t>家事夜２．０・２人</t>
  </si>
  <si>
    <t>家事夜２．０・基</t>
  </si>
  <si>
    <t>家事夜２．０・基・２人</t>
  </si>
  <si>
    <t>E441</t>
  </si>
  <si>
    <t>家事夜２．０・初計</t>
  </si>
  <si>
    <t>E442</t>
  </si>
  <si>
    <t>家事夜２．０・２人・初計</t>
  </si>
  <si>
    <t>E443</t>
  </si>
  <si>
    <t>家事夜２．０・基・初計</t>
  </si>
  <si>
    <t>E444</t>
  </si>
  <si>
    <t>家事夜２．０・基・２人・初計</t>
  </si>
  <si>
    <t>家事夜２．２５</t>
  </si>
  <si>
    <t>(8)夜間 ２時間以上 ２時間１５分未満</t>
  </si>
  <si>
    <t>家事夜２．２５・２人</t>
  </si>
  <si>
    <t>家事夜２．２５・基</t>
  </si>
  <si>
    <t>家事夜２．２５・基・２人</t>
  </si>
  <si>
    <t>E461</t>
  </si>
  <si>
    <t>家事夜２．２５・初計</t>
  </si>
  <si>
    <t>E462</t>
  </si>
  <si>
    <t>家事夜２．２５・２人・初計</t>
  </si>
  <si>
    <t>E463</t>
  </si>
  <si>
    <t>家事夜２．２５・基・初計</t>
  </si>
  <si>
    <t>E464</t>
  </si>
  <si>
    <t>家事夜２．２５・基・２人・初計</t>
    <phoneticPr fontId="1"/>
  </si>
  <si>
    <t>家事夜２．５</t>
  </si>
  <si>
    <t>(9)夜間 ２時間１５分以上 ２時間３０分未満</t>
  </si>
  <si>
    <t>家事夜２．５・２人</t>
  </si>
  <si>
    <t>家事夜２．５・基</t>
  </si>
  <si>
    <t>家事夜２．５・基・２人</t>
  </si>
  <si>
    <t>E481</t>
  </si>
  <si>
    <t>家事夜２．５・初計</t>
  </si>
  <si>
    <t>E482</t>
  </si>
  <si>
    <t>家事夜２．５・２人・初計</t>
  </si>
  <si>
    <t>E483</t>
  </si>
  <si>
    <t>家事夜２．５・基・初計</t>
  </si>
  <si>
    <t>E484</t>
  </si>
  <si>
    <t>家事夜２．５・基・２人・初計</t>
  </si>
  <si>
    <t>家事夜２．７５</t>
  </si>
  <si>
    <t>(10)夜間 ２時間３０分以上 ２時間４５分未満</t>
  </si>
  <si>
    <t>家事夜２．７５・２人</t>
  </si>
  <si>
    <t>家事夜２．７５・基</t>
  </si>
  <si>
    <t>家事夜２．７５・基・２人</t>
  </si>
  <si>
    <t>E501</t>
  </si>
  <si>
    <t>家事夜２．７５・初計</t>
  </si>
  <si>
    <t>E502</t>
  </si>
  <si>
    <t>家事夜２．７５・２人・初計</t>
  </si>
  <si>
    <t>E503</t>
  </si>
  <si>
    <t>家事夜２．７５・基・初計</t>
  </si>
  <si>
    <t>E504</t>
  </si>
  <si>
    <t>家事夜２．７５・基・２人・初計</t>
  </si>
  <si>
    <t>家事夜３．０</t>
  </si>
  <si>
    <t>(11)夜間 ２時間４５分以上 ３時間未満</t>
  </si>
  <si>
    <t>家事夜３．０・２人</t>
  </si>
  <si>
    <t>家事夜３．０・基</t>
  </si>
  <si>
    <t>家事夜３．０・基・２人</t>
  </si>
  <si>
    <t>E521</t>
  </si>
  <si>
    <t>家事夜３．０・初計</t>
  </si>
  <si>
    <t>E522</t>
  </si>
  <si>
    <t>家事夜３．０・２人・初計</t>
  </si>
  <si>
    <t>E523</t>
  </si>
  <si>
    <t>家事夜３．０・基・初計</t>
  </si>
  <si>
    <t>E524</t>
  </si>
  <si>
    <t>家事夜３．０・基・２人・初計</t>
  </si>
  <si>
    <t>家事夜３．２５</t>
  </si>
  <si>
    <t>(12)夜間 ３時間以上 ３時間１５分未満</t>
  </si>
  <si>
    <t>家事夜３．２５・２人</t>
  </si>
  <si>
    <t>家事夜３．２５・基</t>
  </si>
  <si>
    <t>家事夜３．２５・基・２人</t>
  </si>
  <si>
    <t>E541</t>
  </si>
  <si>
    <t>家事夜３．２５・初計</t>
  </si>
  <si>
    <t>E542</t>
  </si>
  <si>
    <t>家事夜３．２５・２人・初計</t>
  </si>
  <si>
    <t>E543</t>
  </si>
  <si>
    <t>家事夜３．２５・基・初計</t>
  </si>
  <si>
    <t>E544</t>
  </si>
  <si>
    <t>家事夜３．２５・基・２人・初計</t>
  </si>
  <si>
    <t>家事夜３．５</t>
  </si>
  <si>
    <t>(13)夜間 ３時間１５分以上 ３時間３０分未満</t>
  </si>
  <si>
    <t>家事夜３．５・２人</t>
  </si>
  <si>
    <t>家事夜３．５・基</t>
  </si>
  <si>
    <t>家事夜３．５・基・２人</t>
  </si>
  <si>
    <t>E561</t>
  </si>
  <si>
    <t>家事夜３．５・初計</t>
  </si>
  <si>
    <t>E562</t>
  </si>
  <si>
    <t>家事夜３．５・２人・初計</t>
  </si>
  <si>
    <t>E563</t>
  </si>
  <si>
    <t>家事夜３．５・基・初計</t>
  </si>
  <si>
    <t>E564</t>
  </si>
  <si>
    <t>家事夜３．５・基・２人・初計</t>
  </si>
  <si>
    <t>家事夜３．７５</t>
  </si>
  <si>
    <t>(14)夜間 ３時間３０分以上 ３時間４５分未満</t>
  </si>
  <si>
    <t>家事夜３．７５・２人</t>
  </si>
  <si>
    <t>家事夜３．７５・基</t>
  </si>
  <si>
    <t>家事夜３．７５・基・２人</t>
  </si>
  <si>
    <t>E581</t>
  </si>
  <si>
    <t>家事夜３．７５・初計</t>
  </si>
  <si>
    <t>E582</t>
  </si>
  <si>
    <t>家事夜３．７５・２人・初計</t>
  </si>
  <si>
    <t>E583</t>
  </si>
  <si>
    <t>家事夜３．７５・基・初計</t>
  </si>
  <si>
    <t>E584</t>
  </si>
  <si>
    <t>家事夜３．７５・基・２人・初計</t>
  </si>
  <si>
    <t>家事夜４．０</t>
  </si>
  <si>
    <t>(15)夜間 ３時間４５分以上 ４時間未満</t>
  </si>
  <si>
    <t>家事夜４．０・２人</t>
  </si>
  <si>
    <t>家事夜４．０・基</t>
  </si>
  <si>
    <t>家事夜４．０・基・２人</t>
  </si>
  <si>
    <t>E601</t>
  </si>
  <si>
    <t>家事夜４．０・初計</t>
  </si>
  <si>
    <t>E602</t>
  </si>
  <si>
    <t>家事夜４．０・２人・初計</t>
  </si>
  <si>
    <t>E603</t>
  </si>
  <si>
    <t>家事夜４．０・基・初計</t>
  </si>
  <si>
    <t>E604</t>
  </si>
  <si>
    <t>家事夜４．０・基・２人・初計</t>
  </si>
  <si>
    <t>家事夜４．２５</t>
  </si>
  <si>
    <t>(16)夜間 ４時間以上 ４時間１５分未満</t>
  </si>
  <si>
    <t>家事夜４．２５・２人</t>
  </si>
  <si>
    <t>家事夜４．２５・基</t>
  </si>
  <si>
    <t>家事夜４．２５・基・２人</t>
  </si>
  <si>
    <t>E621</t>
  </si>
  <si>
    <t>家事夜４．２５・初計</t>
  </si>
  <si>
    <t>E622</t>
  </si>
  <si>
    <t>家事夜４．２５・２人・初計</t>
  </si>
  <si>
    <t>E623</t>
  </si>
  <si>
    <t>家事夜４．２５・基・初計</t>
  </si>
  <si>
    <t>E624</t>
  </si>
  <si>
    <t>家事夜４．２５・基・２人・初計</t>
  </si>
  <si>
    <t>家事夜４．５</t>
  </si>
  <si>
    <t>(17)夜間 ４時間１５分以上 ４時間３０分未満</t>
  </si>
  <si>
    <t>家事夜４．５・２人</t>
  </si>
  <si>
    <t>家事夜４．５・基</t>
  </si>
  <si>
    <t>家事夜４．５・基・２人</t>
  </si>
  <si>
    <t>E641</t>
  </si>
  <si>
    <t>家事夜４．５・初計</t>
  </si>
  <si>
    <t>E642</t>
  </si>
  <si>
    <t>家事夜４．５・２人・初計</t>
  </si>
  <si>
    <t>E643</t>
  </si>
  <si>
    <t>家事夜４．５・基・初計</t>
  </si>
  <si>
    <t>E644</t>
  </si>
  <si>
    <t>家事夜４．５・基・２人・初計</t>
  </si>
  <si>
    <t>ハ　家事援助　（深夜のみ）</t>
  </si>
  <si>
    <t>家事深０．５</t>
  </si>
  <si>
    <t>家事深０．５・２人</t>
  </si>
  <si>
    <t>家事深０．５・基</t>
  </si>
  <si>
    <t>家事深０．５・基・２人</t>
  </si>
  <si>
    <t>E661</t>
  </si>
  <si>
    <t>家事深０．５・初計</t>
  </si>
  <si>
    <t>E662</t>
  </si>
  <si>
    <t>家事深０．５・２人・初計</t>
  </si>
  <si>
    <t>E663</t>
  </si>
  <si>
    <t>家事深０．５・基・初計</t>
  </si>
  <si>
    <t>E664</t>
  </si>
  <si>
    <t>家事深０．５・基・２人・初計</t>
  </si>
  <si>
    <t>家事深０．７５</t>
  </si>
  <si>
    <t>(2)深夜 ３０分以上 ４５分未満</t>
  </si>
  <si>
    <t>家事深０．７５・２人</t>
  </si>
  <si>
    <t>家事深０．７５・基</t>
  </si>
  <si>
    <t>家事深０．７５・基・２人</t>
  </si>
  <si>
    <t>E681</t>
  </si>
  <si>
    <t>家事深０．７５・初計</t>
  </si>
  <si>
    <t>E682</t>
  </si>
  <si>
    <t>家事深０．７５・２人・初計</t>
  </si>
  <si>
    <t>E683</t>
  </si>
  <si>
    <t>家事深０．７５・基・初計</t>
  </si>
  <si>
    <t>E684</t>
  </si>
  <si>
    <t>家事深０．７５・基・２人・初計</t>
  </si>
  <si>
    <t>家事深１．０</t>
  </si>
  <si>
    <t>(3)深夜 ４５分以上 １時間未満</t>
  </si>
  <si>
    <t>家事深１．０・２人</t>
  </si>
  <si>
    <t>家事深１．０・基</t>
  </si>
  <si>
    <t>家事深１．０・基・２人</t>
  </si>
  <si>
    <t>E701</t>
  </si>
  <si>
    <t>家事深１．０・初計</t>
  </si>
  <si>
    <t>E702</t>
  </si>
  <si>
    <t>家事深１．０・２人・初計</t>
  </si>
  <si>
    <t>E703</t>
  </si>
  <si>
    <t>家事深１．０・基・初計</t>
  </si>
  <si>
    <t>E704</t>
  </si>
  <si>
    <t>家事深１．０・基・２人・初計</t>
  </si>
  <si>
    <t>家事深１．２５</t>
  </si>
  <si>
    <t>(4)深夜 １時間以上 １時間１５分未満</t>
  </si>
  <si>
    <t>家事深１．２５・２人</t>
  </si>
  <si>
    <t>家事深１．２５・基</t>
  </si>
  <si>
    <t>家事深１．２５・基・２人</t>
  </si>
  <si>
    <t>E721</t>
  </si>
  <si>
    <t>家事深１．２５・初計</t>
  </si>
  <si>
    <t>E722</t>
  </si>
  <si>
    <t>家事深１．２５・２人・初計</t>
  </si>
  <si>
    <t>E723</t>
  </si>
  <si>
    <t>家事深１．２５・基・初計</t>
  </si>
  <si>
    <t>E724</t>
  </si>
  <si>
    <t>家事深１．２５・基・２人・初計</t>
  </si>
  <si>
    <t>家事深１．５</t>
  </si>
  <si>
    <t>(5)深夜 １時間１５分以上 １時間３０分未満</t>
  </si>
  <si>
    <t>家事深１．５・２人</t>
  </si>
  <si>
    <t>家事深１．５・基</t>
  </si>
  <si>
    <t>家事深１．５・基・２人</t>
  </si>
  <si>
    <t>E741</t>
  </si>
  <si>
    <t>家事深１．５・初計</t>
  </si>
  <si>
    <t>E742</t>
  </si>
  <si>
    <t>家事深１．５・２人・初計</t>
  </si>
  <si>
    <t>E743</t>
  </si>
  <si>
    <t>家事深１．５・基・初計</t>
  </si>
  <si>
    <t>E744</t>
  </si>
  <si>
    <t>家事深１．５・基・２人・初計</t>
  </si>
  <si>
    <t>家事深１．７５</t>
  </si>
  <si>
    <t>(6)深夜 １時間３０分以上 １時間４５分未満</t>
  </si>
  <si>
    <t>家事深１．７５・２人</t>
  </si>
  <si>
    <t>家事深１．７５・基</t>
  </si>
  <si>
    <t>家事深１．７５・基・２人</t>
  </si>
  <si>
    <t>E761</t>
  </si>
  <si>
    <t>家事深１．７５・初計</t>
  </si>
  <si>
    <t>E762</t>
  </si>
  <si>
    <t>家事深１．７５・２人・初計</t>
  </si>
  <si>
    <t>E763</t>
  </si>
  <si>
    <t>家事深１．７５・基・初計</t>
  </si>
  <si>
    <t>E764</t>
  </si>
  <si>
    <t>家事深１．７５・基・２人・初計</t>
  </si>
  <si>
    <t>家事深２．０</t>
  </si>
  <si>
    <t>(7)深夜 １時間４５分以上 ２時間未満</t>
  </si>
  <si>
    <t>家事深２．０・２人</t>
  </si>
  <si>
    <t>家事深２．０・基</t>
  </si>
  <si>
    <t>家事深２．０・基・２人</t>
  </si>
  <si>
    <t>E781</t>
  </si>
  <si>
    <t>家事深２．０・初計</t>
  </si>
  <si>
    <t>E782</t>
  </si>
  <si>
    <t>家事深２．０・２人・初計</t>
  </si>
  <si>
    <t>E783</t>
  </si>
  <si>
    <t>家事深２．０・基・初計</t>
  </si>
  <si>
    <t>E784</t>
  </si>
  <si>
    <t>家事深２．０・基・２人・初計</t>
  </si>
  <si>
    <t>家事深２．２５</t>
  </si>
  <si>
    <t>(8)深夜 ２時間以上 ２時間１５分未満</t>
  </si>
  <si>
    <t>家事深２．２５・２人</t>
  </si>
  <si>
    <t>家事深２．２５・基</t>
  </si>
  <si>
    <t>家事深２．２５・基・２人</t>
  </si>
  <si>
    <t>E801</t>
  </si>
  <si>
    <t>家事深２．２５・初計</t>
  </si>
  <si>
    <t>E802</t>
  </si>
  <si>
    <t>家事深２．２５・２人・初計</t>
  </si>
  <si>
    <t>E803</t>
  </si>
  <si>
    <t>家事深２．２５・基・初計</t>
  </si>
  <si>
    <t>E804</t>
  </si>
  <si>
    <t>家事深２．２５・基・２人・初計</t>
  </si>
  <si>
    <t>家事深２．５</t>
  </si>
  <si>
    <t>(9)深夜 ２時間１５分以上 ２時間３０分未満</t>
  </si>
  <si>
    <t>家事深２．５・２人</t>
  </si>
  <si>
    <t>家事深２．５・基</t>
  </si>
  <si>
    <t>家事深２．５・基・２人</t>
  </si>
  <si>
    <t>E821</t>
  </si>
  <si>
    <t>家事深２．５・初計</t>
  </si>
  <si>
    <t>E822</t>
  </si>
  <si>
    <t>家事深２．５・２人・初計</t>
  </si>
  <si>
    <t>E823</t>
  </si>
  <si>
    <t>家事深２．５・基・初計</t>
  </si>
  <si>
    <t>E824</t>
  </si>
  <si>
    <t>家事深２．５・基・２人・初計</t>
    <phoneticPr fontId="1"/>
  </si>
  <si>
    <t>家事深２．７５</t>
  </si>
  <si>
    <t>(10)深夜 ２時間３０分以上 ２時間４５分未満</t>
  </si>
  <si>
    <t>家事深２．７５・２人</t>
  </si>
  <si>
    <t>家事深２．７５・基</t>
  </si>
  <si>
    <t>家事深２．７５・基・２人</t>
  </si>
  <si>
    <t>E841</t>
  </si>
  <si>
    <t>家事深２．７５・初計</t>
  </si>
  <si>
    <t>E842</t>
  </si>
  <si>
    <t>家事深２．７５・２人・初計</t>
  </si>
  <si>
    <t>E843</t>
  </si>
  <si>
    <t>家事深２．７５・基・初計</t>
  </si>
  <si>
    <t>E844</t>
  </si>
  <si>
    <t>家事深２．７５・基・２人・初計</t>
  </si>
  <si>
    <t>家事深３．０</t>
  </si>
  <si>
    <t>(11)深夜 ２時間４５分以上 ３時間未満</t>
  </si>
  <si>
    <t>家事深３．０・２人</t>
  </si>
  <si>
    <t>家事深３．０・基</t>
  </si>
  <si>
    <t>家事深３．０・基・２人</t>
  </si>
  <si>
    <t>E861</t>
  </si>
  <si>
    <t>家事深３．０・初計</t>
  </si>
  <si>
    <t>E862</t>
  </si>
  <si>
    <t>家事深３．０・２人・初計</t>
  </si>
  <si>
    <t>E863</t>
  </si>
  <si>
    <t>家事深３．０・基・初計</t>
  </si>
  <si>
    <t>E864</t>
  </si>
  <si>
    <t>家事深３．０・基・２人・初計</t>
  </si>
  <si>
    <t>家事深３．２５</t>
  </si>
  <si>
    <t>(12)深夜 ３時間以上 ３時間１５分未満</t>
  </si>
  <si>
    <t>家事深３．２５・２人</t>
  </si>
  <si>
    <t>家事深３．２５・基</t>
  </si>
  <si>
    <t>家事深３．２５・基・２人</t>
  </si>
  <si>
    <t>E881</t>
  </si>
  <si>
    <t>家事深３．２５・初計</t>
  </si>
  <si>
    <t>E882</t>
  </si>
  <si>
    <t>家事深３．２５・２人・初計</t>
  </si>
  <si>
    <t>E883</t>
  </si>
  <si>
    <t>家事深３．２５・基・初計</t>
  </si>
  <si>
    <t>E884</t>
  </si>
  <si>
    <t>家事深３．２５・基・２人・初計</t>
  </si>
  <si>
    <t>家事深３．５</t>
  </si>
  <si>
    <t>(13)深夜 ３時間１５分以上 ３時間３０分未満</t>
  </si>
  <si>
    <t>家事深３．５・２人</t>
  </si>
  <si>
    <t>家事深３．５・基</t>
  </si>
  <si>
    <t>家事深３．５・基・２人</t>
  </si>
  <si>
    <t>E901</t>
  </si>
  <si>
    <t>家事深３．５・初計</t>
  </si>
  <si>
    <t>E902</t>
  </si>
  <si>
    <t>家事深３．５・２人・初計</t>
  </si>
  <si>
    <t>E903</t>
  </si>
  <si>
    <t>家事深３．５・基・初計</t>
  </si>
  <si>
    <t>E904</t>
  </si>
  <si>
    <t>家事深３．５・基・２人・初計</t>
  </si>
  <si>
    <t>家事深３．７５</t>
  </si>
  <si>
    <t>(14)深夜 ３時間３０分以上 ３時間４５分未満</t>
  </si>
  <si>
    <t>家事深３．７５・２人</t>
  </si>
  <si>
    <t>家事深３．７５・基</t>
  </si>
  <si>
    <t>家事深３．７５・基・２人</t>
  </si>
  <si>
    <t>E921</t>
  </si>
  <si>
    <t>家事深３．７５・初計</t>
  </si>
  <si>
    <t>E922</t>
  </si>
  <si>
    <t>家事深３．７５・２人・初計</t>
  </si>
  <si>
    <t>E923</t>
  </si>
  <si>
    <t>家事深３．７５・基・初計</t>
  </si>
  <si>
    <t>E924</t>
  </si>
  <si>
    <t>家事深３．７５・基・２人・初計</t>
  </si>
  <si>
    <t>家事深４．０</t>
  </si>
  <si>
    <t>(15)深夜 ３時間４５分以上 ４時間未満</t>
  </si>
  <si>
    <t>家事深４．０・２人</t>
  </si>
  <si>
    <t>家事深４．０・基</t>
  </si>
  <si>
    <t>家事深４．０・基・２人</t>
  </si>
  <si>
    <t>E941</t>
  </si>
  <si>
    <t>家事深４．０・初計</t>
  </si>
  <si>
    <t>E942</t>
  </si>
  <si>
    <t>家事深４．０・２人・初計</t>
  </si>
  <si>
    <t>E943</t>
  </si>
  <si>
    <t>家事深４．０・基・初計</t>
  </si>
  <si>
    <t>E944</t>
  </si>
  <si>
    <t>家事深４．０・基・２人・初計</t>
  </si>
  <si>
    <t>家事深４．２５</t>
  </si>
  <si>
    <t>(16)深夜 ４時間以上 ４時間１５分未満</t>
  </si>
  <si>
    <t>家事深４．２５・２人</t>
  </si>
  <si>
    <t>家事深４．２５・基</t>
  </si>
  <si>
    <t>家事深４．２５・基・２人</t>
  </si>
  <si>
    <t>E961</t>
  </si>
  <si>
    <t>家事深４．２５・初計</t>
  </si>
  <si>
    <t>E962</t>
  </si>
  <si>
    <t>家事深４．２５・２人・初計</t>
  </si>
  <si>
    <t>E963</t>
  </si>
  <si>
    <t>家事深４．２５・基・初計</t>
  </si>
  <si>
    <t>E964</t>
  </si>
  <si>
    <t>家事深４．２５・基・２人・初計</t>
  </si>
  <si>
    <t>家事深４．５</t>
  </si>
  <si>
    <t>(17)深夜 ４時間１５分以上 ４時間３０分未満</t>
  </si>
  <si>
    <t>家事深４．５・２人</t>
  </si>
  <si>
    <t>家事深４．５・基</t>
  </si>
  <si>
    <t>家事深４．５・基・２人</t>
  </si>
  <si>
    <t>E981</t>
  </si>
  <si>
    <t>家事深４．５・初計</t>
  </si>
  <si>
    <t>E982</t>
  </si>
  <si>
    <t>家事深４．５・２人・初計</t>
  </si>
  <si>
    <t>E983</t>
  </si>
  <si>
    <t>家事深４．５・基・初計</t>
  </si>
  <si>
    <t>E984</t>
  </si>
  <si>
    <t>家事深４．５・基・２人・初計</t>
  </si>
  <si>
    <t>家事深４．７５</t>
  </si>
  <si>
    <t>(18)深夜 ４時間３０分以上 ４時間４５分未満</t>
  </si>
  <si>
    <t>家事深４．７５・２人</t>
  </si>
  <si>
    <t>家事深４．７５・基</t>
  </si>
  <si>
    <t>家事深４．７５・基・２人</t>
  </si>
  <si>
    <t>EA01</t>
  </si>
  <si>
    <t>家事深４．７５・初計</t>
  </si>
  <si>
    <t>EA02</t>
  </si>
  <si>
    <t>家事深４．７５・２人・初計</t>
  </si>
  <si>
    <t>EA03</t>
  </si>
  <si>
    <t>家事深４．７５・基・初計</t>
  </si>
  <si>
    <t>EA04</t>
  </si>
  <si>
    <t>家事深４．７５・基・２人・初計</t>
  </si>
  <si>
    <t>家事深５．０</t>
  </si>
  <si>
    <t>(19)深夜 ４時間４５分以上 ５時間未満</t>
  </si>
  <si>
    <t>家事深５．０・２人</t>
  </si>
  <si>
    <t>家事深５．０・基</t>
  </si>
  <si>
    <t>家事深５．０・基・２人</t>
  </si>
  <si>
    <t>EA21</t>
  </si>
  <si>
    <t>家事深５．０・初計</t>
  </si>
  <si>
    <t>EA22</t>
  </si>
  <si>
    <t>家事深５．０・２人・初計</t>
  </si>
  <si>
    <t>EA23</t>
  </si>
  <si>
    <t>家事深５．０・基・初計</t>
  </si>
  <si>
    <t>EA24</t>
  </si>
  <si>
    <t>家事深５．０・基・２人・初計</t>
  </si>
  <si>
    <t>家事深５．２５</t>
  </si>
  <si>
    <t>(20)深夜 ５時間以上 ５時間１５分未満</t>
  </si>
  <si>
    <t>家事深５．２５・２人</t>
  </si>
  <si>
    <t>家事深５．２５・基</t>
  </si>
  <si>
    <t>家事深５．２５・基・２人</t>
  </si>
  <si>
    <t>EA41</t>
  </si>
  <si>
    <t>家事深５．２５・初計</t>
  </si>
  <si>
    <t>EA42</t>
  </si>
  <si>
    <t>家事深５．２５・２人・初計</t>
  </si>
  <si>
    <t>EA43</t>
  </si>
  <si>
    <t>家事深５．２５・基・初計</t>
  </si>
  <si>
    <t>EA44</t>
  </si>
  <si>
    <t>家事深５．２５・基・２人・初計</t>
  </si>
  <si>
    <t>家事深５．５</t>
  </si>
  <si>
    <t>(21)深夜 ５時間１５分以上 ５時間３０分未満</t>
  </si>
  <si>
    <t>家事深５．５・２人</t>
  </si>
  <si>
    <t>家事深５．５・基</t>
  </si>
  <si>
    <t>家事深５．５・基・２人</t>
  </si>
  <si>
    <t>EA61</t>
  </si>
  <si>
    <t>家事深５．５・初計</t>
  </si>
  <si>
    <t>EA62</t>
  </si>
  <si>
    <t>家事深５．５・２人・初計</t>
  </si>
  <si>
    <t>EA63</t>
  </si>
  <si>
    <t>家事深５．５・基・初計</t>
  </si>
  <si>
    <t>EA64</t>
  </si>
  <si>
    <t>家事深５．５・基・２人・初計</t>
  </si>
  <si>
    <t>家事深５．７５</t>
  </si>
  <si>
    <t>(22)深夜 ５時間３０分以上 ５時間４５分未満</t>
  </si>
  <si>
    <t>家事深５．７５・２人</t>
  </si>
  <si>
    <t>家事深５．７５・基</t>
  </si>
  <si>
    <t>家事深５．７５・基・２人</t>
  </si>
  <si>
    <t>EA81</t>
  </si>
  <si>
    <t>家事深５．７５・初計</t>
  </si>
  <si>
    <t>EA82</t>
  </si>
  <si>
    <t>家事深５．７５・２人・初計</t>
  </si>
  <si>
    <t>EA83</t>
  </si>
  <si>
    <t>家事深５．７５・基・初計</t>
  </si>
  <si>
    <t>EA84</t>
  </si>
  <si>
    <t>家事深５．７５・基・２人・初計</t>
  </si>
  <si>
    <t>家事深６．０</t>
  </si>
  <si>
    <t>(23)深夜 ５時間４５分以上 ６時間未満</t>
  </si>
  <si>
    <t>家事深６．０・２人</t>
  </si>
  <si>
    <t>家事深６．０・基</t>
  </si>
  <si>
    <t>家事深６．０・基・２人</t>
  </si>
  <si>
    <t>EB01</t>
  </si>
  <si>
    <t>家事深６．０・初計</t>
  </si>
  <si>
    <t>EB02</t>
  </si>
  <si>
    <t>家事深６．０・２人・初計</t>
  </si>
  <si>
    <t>EB03</t>
  </si>
  <si>
    <t>家事深６．０・基・初計</t>
  </si>
  <si>
    <t>EB04</t>
  </si>
  <si>
    <t>家事深６．０・基・２人・初計</t>
  </si>
  <si>
    <t>家事深６．２５</t>
  </si>
  <si>
    <t>(24)深夜 ６時間以上 ６時間１５分未満</t>
  </si>
  <si>
    <t>家事深６．２５・２人</t>
  </si>
  <si>
    <t>家事深６．２５・基</t>
  </si>
  <si>
    <t>家事深６．２５・基・２人</t>
  </si>
  <si>
    <t>EB21</t>
  </si>
  <si>
    <t>家事深６．２５・初計</t>
  </si>
  <si>
    <t>EB22</t>
  </si>
  <si>
    <t>家事深６．２５・２人・初計</t>
  </si>
  <si>
    <t>EB23</t>
  </si>
  <si>
    <t>家事深６．２５・基・初計</t>
  </si>
  <si>
    <t>EB24</t>
  </si>
  <si>
    <t>家事深６．２５・基・２人・初計</t>
  </si>
  <si>
    <t>家事深６．５</t>
  </si>
  <si>
    <t>(25)深夜 ６時間１５分以上 ６時間３０分未満</t>
  </si>
  <si>
    <t>家事深６．５・２人</t>
  </si>
  <si>
    <t>家事深６．５・基</t>
  </si>
  <si>
    <t>家事深６．５・基・２人</t>
  </si>
  <si>
    <t>EB41</t>
  </si>
  <si>
    <t>家事深６．５・初計</t>
  </si>
  <si>
    <t>EB42</t>
  </si>
  <si>
    <t>家事深６．５・２人・初計</t>
  </si>
  <si>
    <t>EB43</t>
  </si>
  <si>
    <t>家事深６．５・基・初計</t>
  </si>
  <si>
    <t>EB44</t>
  </si>
  <si>
    <t>家事深６．５・基・２人・初計</t>
  </si>
  <si>
    <t>ハ　家事援助　（深夜＋早朝）</t>
  </si>
  <si>
    <t>家事深０．５・早０．２５</t>
  </si>
  <si>
    <t>(一)早朝 １５分未満</t>
  </si>
  <si>
    <t>家事深０．５・早０．２５・２人</t>
  </si>
  <si>
    <t>家事深０．５・早０．２５・基</t>
  </si>
  <si>
    <t>家事深０．５・早０．２５・基・２人</t>
  </si>
  <si>
    <t>EB61</t>
  </si>
  <si>
    <t>家事深０．５・早０．２５・初計</t>
  </si>
  <si>
    <t>EB62</t>
  </si>
  <si>
    <t>家事深０．５・早０．２５・２人・初計</t>
  </si>
  <si>
    <t>EB63</t>
  </si>
  <si>
    <t>家事深０．５・早０．２５・基・初計</t>
  </si>
  <si>
    <t>EB64</t>
  </si>
  <si>
    <t>家事深０．５・早０．２５・基・２人・初計</t>
  </si>
  <si>
    <t>家事深０．５・早０．５</t>
  </si>
  <si>
    <t>(二)早朝 １５分以上 ３０分未満</t>
  </si>
  <si>
    <t>家事深０．５・早０．５・２人</t>
  </si>
  <si>
    <t>家事深０．５・早０．５・基</t>
  </si>
  <si>
    <t>家事深０．５・早０．５・基・２人</t>
  </si>
  <si>
    <t>EB81</t>
  </si>
  <si>
    <t>家事深０．５・早０．５・初計</t>
  </si>
  <si>
    <t>EB82</t>
  </si>
  <si>
    <t>家事深０．５・早０．５・２人・初計</t>
  </si>
  <si>
    <t>EB83</t>
  </si>
  <si>
    <t>家事深０．５・早０．５・基・初計</t>
  </si>
  <si>
    <t>EB84</t>
  </si>
  <si>
    <t>家事深０．５・早０．５・基・２人・初計</t>
  </si>
  <si>
    <t>家事深０．５・早０．７５</t>
  </si>
  <si>
    <t>(三)早朝 ３０分以上 ４５分未満</t>
  </si>
  <si>
    <t>家事深０．５・早０．７５・２人</t>
  </si>
  <si>
    <t>家事深０．５・早０．７５・基</t>
  </si>
  <si>
    <t>家事深０．５・早０．７５・基・２人</t>
  </si>
  <si>
    <t>EC01</t>
  </si>
  <si>
    <t>家事深０．５・早０．７５・初計</t>
  </si>
  <si>
    <t>EC02</t>
  </si>
  <si>
    <t>家事深０．５・早０．７５・２人・初計</t>
  </si>
  <si>
    <t>EC03</t>
  </si>
  <si>
    <t>家事深０．５・早０．７５・基・初計</t>
  </si>
  <si>
    <t>EC04</t>
  </si>
  <si>
    <t>家事深０．５・早０．７５・基・２人・初計</t>
  </si>
  <si>
    <t>家事深０．５・早１．０</t>
  </si>
  <si>
    <t>(四)早朝 ４５分以上 １時間未満</t>
  </si>
  <si>
    <t>家事深０．５・早１．０・２人</t>
  </si>
  <si>
    <t>家事深０．５・早１．０・基</t>
  </si>
  <si>
    <t>家事深０．５・早１．０・基・２人</t>
  </si>
  <si>
    <t>EC21</t>
  </si>
  <si>
    <t>家事深０．５・早１．０・初計</t>
  </si>
  <si>
    <t>EC22</t>
  </si>
  <si>
    <t>家事深０．５・早１．０・２人・初計</t>
  </si>
  <si>
    <t>EC23</t>
  </si>
  <si>
    <t>家事深０．５・早１．０・基・初計</t>
  </si>
  <si>
    <t>EC24</t>
  </si>
  <si>
    <t>家事深０．５・早１．０・基・２人・初計</t>
  </si>
  <si>
    <t>家事深０．７５・早０．２５</t>
  </si>
  <si>
    <t>家事深０．７５・早０．２５・２人</t>
  </si>
  <si>
    <t>家事深０．７５・早０．２５・基</t>
  </si>
  <si>
    <t>家事深０．７５・早０．２５・基・２人</t>
  </si>
  <si>
    <t>EC41</t>
  </si>
  <si>
    <t>家事深０．７５・早０．２５・初計</t>
  </si>
  <si>
    <t>EC42</t>
  </si>
  <si>
    <t>家事深０．７５・早０．２５・２人・初計</t>
  </si>
  <si>
    <t>EC43</t>
  </si>
  <si>
    <t>家事深０．７５・早０．２５・基・初計</t>
  </si>
  <si>
    <t>EC44</t>
  </si>
  <si>
    <t>家事深０．７５・早０．２５・基・２人・初計</t>
  </si>
  <si>
    <t>家事深０．７５・早０．５</t>
  </si>
  <si>
    <t>家事深０．７５・早０．５・２人</t>
  </si>
  <si>
    <t>家事深０．７５・早０．５・基</t>
  </si>
  <si>
    <t>家事深０．７５・早０．５・基・２人</t>
  </si>
  <si>
    <t>EC61</t>
  </si>
  <si>
    <t>家事深０．７５・早０．５・初計</t>
  </si>
  <si>
    <t>EC62</t>
  </si>
  <si>
    <t>家事深０．７５・早０．５・２人・初計</t>
  </si>
  <si>
    <t>EC63</t>
  </si>
  <si>
    <t>家事深０．７５・早０．５・基・初計</t>
  </si>
  <si>
    <t>EC64</t>
  </si>
  <si>
    <t>家事深０．７５・早０．５・基・２人・初計</t>
  </si>
  <si>
    <t>家事深０．７５・早０．７５</t>
  </si>
  <si>
    <t>家事深０．７５・早０．７５・２人</t>
  </si>
  <si>
    <t>家事深０．７５・早０．７５・基</t>
  </si>
  <si>
    <t>家事深０．７５・早０．７５・基・２人</t>
  </si>
  <si>
    <t>EC81</t>
  </si>
  <si>
    <t>家事深０．７５・早０．７５・初計</t>
  </si>
  <si>
    <t>EC82</t>
  </si>
  <si>
    <t>家事深０．７５・早０．７５・２人・初計</t>
  </si>
  <si>
    <t>EC83</t>
  </si>
  <si>
    <t>家事深０．７５・早０．７５・基・初計</t>
  </si>
  <si>
    <t>EC84</t>
  </si>
  <si>
    <t>家事深０．７５・早０．７５・基・２人・初計</t>
  </si>
  <si>
    <t>家事深１．０・早０．２５</t>
  </si>
  <si>
    <t>家事深１．０・早０．２５・２人</t>
  </si>
  <si>
    <t>家事深１．０・早０．２５・基</t>
  </si>
  <si>
    <t>家事深１．０・早０．２５・基・２人</t>
  </si>
  <si>
    <t>ED01</t>
  </si>
  <si>
    <t>家事深１．０・早０．２５・初計</t>
  </si>
  <si>
    <t>ED02</t>
  </si>
  <si>
    <t>家事深１．０・早０．２５・２人・初計</t>
  </si>
  <si>
    <t>ED03</t>
  </si>
  <si>
    <t>家事深１．０・早０．２５・基・初計</t>
  </si>
  <si>
    <t>ED04</t>
  </si>
  <si>
    <t>家事深１．０・早０．２５・基・２人・初計</t>
  </si>
  <si>
    <t>家事深１．０・早０．５</t>
  </si>
  <si>
    <t>家事深１．０・早０．５・２人</t>
  </si>
  <si>
    <t>家事深１．０・早０．５・基</t>
  </si>
  <si>
    <t>家事深１．０・早０．５・基・２人</t>
  </si>
  <si>
    <t>ED21</t>
  </si>
  <si>
    <t>家事深１．０・早０．５・初計</t>
  </si>
  <si>
    <t>ED22</t>
  </si>
  <si>
    <t>家事深１．０・早０．５・２人・初計</t>
  </si>
  <si>
    <t>ED23</t>
  </si>
  <si>
    <t>家事深１．０・早０．５・基・初計</t>
  </si>
  <si>
    <t>ED24</t>
  </si>
  <si>
    <t>家事深１．０・早０．５・基・２人・初計</t>
  </si>
  <si>
    <t>家事深１．２５・早０．２５</t>
  </si>
  <si>
    <t>家事深１．２５・早０．２５・２人</t>
  </si>
  <si>
    <t>家事深１．２５・早０．２５・基</t>
  </si>
  <si>
    <t>家事深１．２５・早０．２５・基・２人</t>
  </si>
  <si>
    <t>ED41</t>
  </si>
  <si>
    <t>家事深１．２５・早０．２５・初計</t>
  </si>
  <si>
    <t>ED42</t>
  </si>
  <si>
    <t>家事深１．２５・早０．２５・２人・初計</t>
  </si>
  <si>
    <t>ED43</t>
  </si>
  <si>
    <t>家事深１．２５・早０．２５・基・初計</t>
  </si>
  <si>
    <t>ED44</t>
  </si>
  <si>
    <t>家事深１．２５・早０．２５・基・２人・初計</t>
  </si>
  <si>
    <t>ハ　家事援助　（早朝＋日中）</t>
  </si>
  <si>
    <t>家事早０．５・日０．２５</t>
  </si>
  <si>
    <t>(一)日中 １５分未満</t>
  </si>
  <si>
    <t>家事早０．５・日０．２５・２人</t>
  </si>
  <si>
    <t>家事早０．５・日０．２５・基</t>
  </si>
  <si>
    <t>家事早０．５・日０．２５・基・２人</t>
  </si>
  <si>
    <t>ED61</t>
  </si>
  <si>
    <t>家事早０．５・日０．２５・初計</t>
  </si>
  <si>
    <t>ED62</t>
  </si>
  <si>
    <t>家事早０．５・日０．２５・２人・初計</t>
  </si>
  <si>
    <t>ED63</t>
  </si>
  <si>
    <t>家事早０．５・日０．２５・基・初計</t>
  </si>
  <si>
    <t>ED64</t>
  </si>
  <si>
    <t>家事早０．５・日０．２５・基・２人・初計</t>
  </si>
  <si>
    <t>家事早０．５・日０．５</t>
  </si>
  <si>
    <t>(二)日中 １５分以上 ３０分未満</t>
  </si>
  <si>
    <t>家事早０．５・日０．５・２人</t>
  </si>
  <si>
    <t>家事早０．５・日０．５・基</t>
  </si>
  <si>
    <t>家事早０．５・日０．５・基・２人</t>
  </si>
  <si>
    <t>ED81</t>
  </si>
  <si>
    <t>家事早０．５・日０．５・初計</t>
  </si>
  <si>
    <t>ED82</t>
  </si>
  <si>
    <t>家事早０．５・日０．５・２人・初計</t>
  </si>
  <si>
    <t>ED83</t>
  </si>
  <si>
    <t>家事早０．５・日０．５・基・初計</t>
  </si>
  <si>
    <t>ED84</t>
  </si>
  <si>
    <t>家事早０．５・日０．５・基・２人・初計</t>
  </si>
  <si>
    <t>家事早０．５・日０．７５</t>
  </si>
  <si>
    <t>(三)日中 ３０分以上 ４５分未満</t>
  </si>
  <si>
    <t>家事早０．５・日０．７５・２人</t>
  </si>
  <si>
    <t>家事早０．５・日０．７５・基</t>
  </si>
  <si>
    <t>家事早０．５・日０．７５・基・２人</t>
  </si>
  <si>
    <t>EE01</t>
  </si>
  <si>
    <t>家事早０．５・日０．７５・初計</t>
  </si>
  <si>
    <t>EE02</t>
  </si>
  <si>
    <t>家事早０．５・日０．７５・２人・初計</t>
  </si>
  <si>
    <t>EE03</t>
  </si>
  <si>
    <t>家事早０．５・日０．７５・基・初計</t>
  </si>
  <si>
    <t>EE04</t>
  </si>
  <si>
    <t>家事早０．５・日０．７５・基・２人・初計</t>
  </si>
  <si>
    <t>家事早０．５・日１．０</t>
  </si>
  <si>
    <t>(四)日中 ４５分以上 １時間未満</t>
  </si>
  <si>
    <t>家事早０．５・日１．０・２人</t>
  </si>
  <si>
    <t>家事早０．５・日１．０・基</t>
  </si>
  <si>
    <t>家事早０．５・日１．０・基・２人</t>
  </si>
  <si>
    <t>EE21</t>
  </si>
  <si>
    <t>家事早０．５・日１．０・初計</t>
  </si>
  <si>
    <t>EE22</t>
  </si>
  <si>
    <t>家事早０．５・日１．０・２人・初計</t>
  </si>
  <si>
    <t>EE23</t>
  </si>
  <si>
    <t>家事早０．５・日１．０・基・初計</t>
  </si>
  <si>
    <t>EE24</t>
  </si>
  <si>
    <t>家事早０．５・日１．０・基・２人・初計</t>
  </si>
  <si>
    <t>家事早０．７５・日０．２５</t>
  </si>
  <si>
    <t>家事早０．７５・日０．２５・２人</t>
  </si>
  <si>
    <t>家事早０．７５・日０．２５・基</t>
  </si>
  <si>
    <t>家事早０．７５・日０．２５・基・２人</t>
  </si>
  <si>
    <t>EE41</t>
  </si>
  <si>
    <t>家事早０．７５・日０．２５・初計</t>
  </si>
  <si>
    <t>EE42</t>
  </si>
  <si>
    <t>家事早０．７５・日０．２５・２人・初計</t>
  </si>
  <si>
    <t>EE43</t>
  </si>
  <si>
    <t>家事早０．７５・日０．２５・基・初計</t>
  </si>
  <si>
    <t>EE44</t>
  </si>
  <si>
    <t>家事早０．７５・日０．２５・基・２人・初計</t>
  </si>
  <si>
    <t>家事早０．７５・日０．５</t>
  </si>
  <si>
    <t>家事早０．７５・日０．５・２人</t>
  </si>
  <si>
    <t>家事早０．７５・日０．５・基</t>
  </si>
  <si>
    <t>家事早０．７５・日０．５・基・２人</t>
  </si>
  <si>
    <t>EE61</t>
  </si>
  <si>
    <t>家事早０．７５・日０．５・初計</t>
  </si>
  <si>
    <t>EE62</t>
  </si>
  <si>
    <t>家事早０．７５・日０．５・２人・初計</t>
  </si>
  <si>
    <t>EE63</t>
  </si>
  <si>
    <t>家事早０．７５・日０．５・基・初計</t>
  </si>
  <si>
    <t>EE64</t>
  </si>
  <si>
    <t>家事早０．７５・日０．５・基・２人・初計</t>
  </si>
  <si>
    <t>家事早０．７５・日０．７５</t>
  </si>
  <si>
    <t>家事早０．７５・日０．７５・２人</t>
  </si>
  <si>
    <t>家事早０．７５・日０．７５・基</t>
  </si>
  <si>
    <t>家事早０．７５・日０．７５・基・２人</t>
  </si>
  <si>
    <t>EE81</t>
  </si>
  <si>
    <t>家事早０．７５・日０．７５・初計</t>
  </si>
  <si>
    <t>EE82</t>
  </si>
  <si>
    <t>家事早０．７５・日０．７５・２人・初計</t>
  </si>
  <si>
    <t>EE83</t>
  </si>
  <si>
    <t>家事早０．７５・日０．７５・基・初計</t>
  </si>
  <si>
    <t>EE84</t>
  </si>
  <si>
    <t>家事早０．７５・日０．７５・基・２人・初計</t>
  </si>
  <si>
    <t>家事早１．０・日０．２５</t>
  </si>
  <si>
    <t>家事早１．０・日０．２５・２人</t>
  </si>
  <si>
    <t>家事早１．０・日０．２５・基</t>
  </si>
  <si>
    <t>家事早１．０・日０．２５・基・２人</t>
  </si>
  <si>
    <t>EF01</t>
  </si>
  <si>
    <t>家事早１．０・日０．２５・初計</t>
  </si>
  <si>
    <t>EF02</t>
  </si>
  <si>
    <t>家事早１．０・日０．２５・２人・初計</t>
  </si>
  <si>
    <t>EF03</t>
  </si>
  <si>
    <t>家事早１．０・日０．２５・基・初計</t>
  </si>
  <si>
    <t>EF04</t>
  </si>
  <si>
    <t>家事早１．０・日０．２５・基・２人・初計</t>
  </si>
  <si>
    <t>家事早１．０・日０．５</t>
  </si>
  <si>
    <t>家事早１．０・日０．５・２人</t>
  </si>
  <si>
    <t>家事早１．０・日０．５・基</t>
  </si>
  <si>
    <t>家事早１．０・日０．５・基・２人</t>
  </si>
  <si>
    <t>EF21</t>
  </si>
  <si>
    <t>家事早１．０・日０．５・初計</t>
  </si>
  <si>
    <t>EF22</t>
  </si>
  <si>
    <t>家事早１．０・日０．５・２人・初計</t>
  </si>
  <si>
    <t>EF23</t>
  </si>
  <si>
    <t>家事早１．０・日０．５・基・初計</t>
  </si>
  <si>
    <t>EF24</t>
  </si>
  <si>
    <t>家事早１．０・日０．５・基・２人・初計</t>
  </si>
  <si>
    <t>家事早１．２５・日０．２５</t>
  </si>
  <si>
    <t>家事早１．２５・日０．２５・２人</t>
  </si>
  <si>
    <t>家事早１．２５・日０．２５・基</t>
  </si>
  <si>
    <t>家事早１．２５・日０．２５・基・２人</t>
  </si>
  <si>
    <t>EF41</t>
  </si>
  <si>
    <t>家事早１．２５・日０．２５・初計</t>
  </si>
  <si>
    <t>EF42</t>
  </si>
  <si>
    <t>家事早１．２５・日０．２５・２人・初計</t>
  </si>
  <si>
    <t>EF43</t>
  </si>
  <si>
    <t>家事早１．２５・日０．２５・基・初計</t>
  </si>
  <si>
    <t>EF44</t>
  </si>
  <si>
    <t>家事早１．２５・日０．２５・基・２人・初計</t>
  </si>
  <si>
    <t>ハ　家事援助　（日中＋夜間）</t>
  </si>
  <si>
    <t>家事日０．５・夜０．２５</t>
  </si>
  <si>
    <t>(一)夜間 １５分未満</t>
  </si>
  <si>
    <t>家事日０．５・夜０．２５・２人</t>
  </si>
  <si>
    <t>家事日０．５・夜０．２５・基</t>
  </si>
  <si>
    <t>家事日０．５・夜０．２５・基・２人</t>
  </si>
  <si>
    <t>EF61</t>
  </si>
  <si>
    <t>家事日０．５・夜０．２５・初計</t>
  </si>
  <si>
    <t>EF62</t>
  </si>
  <si>
    <t>家事日０．５・夜０．２５・２人・初計</t>
  </si>
  <si>
    <t>EF63</t>
  </si>
  <si>
    <t>家事日０．５・夜０．２５・基・初計</t>
  </si>
  <si>
    <t>EF64</t>
  </si>
  <si>
    <t>家事日０．５・夜０．２５・基・２人・初計</t>
  </si>
  <si>
    <t>家事日０．５・夜０．５</t>
  </si>
  <si>
    <t>(二)夜間 １５分以上 ３０分未満</t>
  </si>
  <si>
    <t>家事日０．５・夜０．５・２人</t>
  </si>
  <si>
    <t>家事日０．５・夜０．５・基</t>
  </si>
  <si>
    <t>家事日０．５・夜０．５・基・２人</t>
  </si>
  <si>
    <t>EF81</t>
  </si>
  <si>
    <t>家事日０．５・夜０．５・初計</t>
  </si>
  <si>
    <t>EF82</t>
  </si>
  <si>
    <t>家事日０．５・夜０．５・２人・初計</t>
  </si>
  <si>
    <t>EF83</t>
  </si>
  <si>
    <t>家事日０．５・夜０．５・基・初計</t>
  </si>
  <si>
    <t>EF84</t>
  </si>
  <si>
    <t>家事日０．５・夜０．５・基・２人・初計</t>
  </si>
  <si>
    <t>家事日０．５・夜０．７５</t>
  </si>
  <si>
    <t>(三)夜間 ３０分以上 ４５分未満</t>
  </si>
  <si>
    <t>家事日０．５・夜０．７５・２人</t>
  </si>
  <si>
    <t>家事日０．５・夜０．７５・基</t>
  </si>
  <si>
    <t>家事日０．５・夜０．７５・基・２人</t>
  </si>
  <si>
    <t>EG01</t>
  </si>
  <si>
    <t>家事日０．５・夜０．７５・初計</t>
  </si>
  <si>
    <t>EG02</t>
  </si>
  <si>
    <t>家事日０．５・夜０．７５・２人・初計</t>
  </si>
  <si>
    <t>EG03</t>
  </si>
  <si>
    <t>家事日０．５・夜０．７５・基・初計</t>
  </si>
  <si>
    <t>EG04</t>
  </si>
  <si>
    <t>家事日０．５・夜０．７５・基・２人・初計</t>
  </si>
  <si>
    <t>家事日０．５・夜１．０</t>
  </si>
  <si>
    <t>(四)夜間 ４５分以上 １時間未満</t>
  </si>
  <si>
    <t>家事日０．５・夜１．０・２人</t>
  </si>
  <si>
    <t>家事日０．５・夜１．０・基</t>
  </si>
  <si>
    <t>家事日０．５・夜１．０・基・２人</t>
  </si>
  <si>
    <t>EG21</t>
  </si>
  <si>
    <t>家事日０．５・夜１．０・初計</t>
  </si>
  <si>
    <t>EG22</t>
  </si>
  <si>
    <t>家事日０．５・夜１．０・２人・初計</t>
  </si>
  <si>
    <t>EG23</t>
  </si>
  <si>
    <t>家事日０．５・夜１．０・基・初計</t>
  </si>
  <si>
    <t>EG24</t>
  </si>
  <si>
    <t>家事日０．５・夜１．０・基・２人・初計</t>
  </si>
  <si>
    <t>家事日０．７５・夜０．２５</t>
  </si>
  <si>
    <t>家事日０．７５・夜０．２５・２人</t>
  </si>
  <si>
    <t>家事日０．７５・夜０．２５・基</t>
  </si>
  <si>
    <t>家事日０．７５・夜０．２５・基・２人</t>
  </si>
  <si>
    <t>EG41</t>
  </si>
  <si>
    <t>家事日０．７５・夜０．２５・初計</t>
  </si>
  <si>
    <t>EG42</t>
  </si>
  <si>
    <t>家事日０．７５・夜０．２５・２人・初計</t>
  </si>
  <si>
    <t>EG43</t>
  </si>
  <si>
    <t>家事日０．７５・夜０．２５・基・初計</t>
  </si>
  <si>
    <t>EG44</t>
  </si>
  <si>
    <t>家事日０．７５・夜０．２５・基・２人・初計</t>
  </si>
  <si>
    <t>家事日０．７５・夜０．５</t>
  </si>
  <si>
    <t>家事日０．７５・夜０．５・２人</t>
  </si>
  <si>
    <t>家事日０．７５・夜０．５・基</t>
  </si>
  <si>
    <t>家事日０．７５・夜０．５・基・２人</t>
  </si>
  <si>
    <t>EG61</t>
  </si>
  <si>
    <t>家事日０．７５・夜０．５・初計</t>
  </si>
  <si>
    <t>EG62</t>
  </si>
  <si>
    <t>家事日０．７５・夜０．５・２人・初計</t>
  </si>
  <si>
    <t>EG63</t>
  </si>
  <si>
    <t>家事日０．７５・夜０．５・基・初計</t>
  </si>
  <si>
    <t>EG64</t>
  </si>
  <si>
    <t>家事日０．７５・夜０．５・基・２人・初計</t>
  </si>
  <si>
    <t>家事日０．７５・夜０．７５</t>
  </si>
  <si>
    <t>家事日０．７５・夜０．７５・２人</t>
  </si>
  <si>
    <t>家事日０．７５・夜０．７５・基</t>
  </si>
  <si>
    <t>家事日０．７５・夜０．７５・基・２人</t>
  </si>
  <si>
    <t>EG81</t>
  </si>
  <si>
    <t>家事日０．７５・夜０．７５・初計</t>
  </si>
  <si>
    <t>EG82</t>
  </si>
  <si>
    <t>家事日０．７５・夜０．７５・２人・初計</t>
  </si>
  <si>
    <t>EG83</t>
  </si>
  <si>
    <t>家事日０．７５・夜０．７５・基・初計</t>
  </si>
  <si>
    <t>EG84</t>
  </si>
  <si>
    <t>家事日０．７５・夜０．７５・基・２人・初計</t>
  </si>
  <si>
    <t>家事日１．０・夜０．２５</t>
  </si>
  <si>
    <t>家事日１．０・夜０．２５・２人</t>
  </si>
  <si>
    <t>家事日１．０・夜０．２５・基</t>
  </si>
  <si>
    <t>家事日１．０・夜０．２５・基・２人</t>
  </si>
  <si>
    <t>EH01</t>
  </si>
  <si>
    <t>家事日１．０・夜０．２５・初計</t>
  </si>
  <si>
    <t>EH02</t>
  </si>
  <si>
    <t>家事日１．０・夜０．２５・２人・初計</t>
  </si>
  <si>
    <t>EH03</t>
  </si>
  <si>
    <t>家事日１．０・夜０．２５・基・初計</t>
  </si>
  <si>
    <t>EH04</t>
  </si>
  <si>
    <t>家事日１．０・夜０．２５・基・２人・初計</t>
  </si>
  <si>
    <t>家事日１．０・夜０．５</t>
  </si>
  <si>
    <t>家事日１．０・夜０．５・２人</t>
  </si>
  <si>
    <t>家事日１．０・夜０．５・基</t>
  </si>
  <si>
    <t>家事日１．０・夜０．５・基・２人</t>
  </si>
  <si>
    <t>EH21</t>
  </si>
  <si>
    <t>家事日１．０・夜０．５・初計</t>
  </si>
  <si>
    <t>EH22</t>
  </si>
  <si>
    <t>家事日１．０・夜０．５・２人・初計</t>
  </si>
  <si>
    <t>EH23</t>
  </si>
  <si>
    <t>家事日１．０・夜０．５・基・初計</t>
  </si>
  <si>
    <t>EH24</t>
  </si>
  <si>
    <t>家事日１．０・夜０．５・基・２人・初計</t>
  </si>
  <si>
    <t>家事日１．２５・夜０．２５</t>
  </si>
  <si>
    <t>家事日１．２５・夜０．２５・２人</t>
  </si>
  <si>
    <t>家事日１．２５・夜０．２５・基</t>
  </si>
  <si>
    <t>家事日１．２５・夜０．２５・基・２人</t>
  </si>
  <si>
    <t>EH41</t>
  </si>
  <si>
    <t>家事日１．２５・夜０．２５・初計</t>
  </si>
  <si>
    <t>EH42</t>
  </si>
  <si>
    <t>家事日１．２５・夜０．２５・２人・初計</t>
  </si>
  <si>
    <t>EH43</t>
  </si>
  <si>
    <t>家事日１．２５・夜０．２５・基・初計</t>
  </si>
  <si>
    <t>EH44</t>
  </si>
  <si>
    <t>家事日１．２５・夜０．２５・基・２人・初計</t>
  </si>
  <si>
    <t>ハ　家事援助　（夜間＋深夜）</t>
  </si>
  <si>
    <t>家事夜０．５・深０．２５</t>
  </si>
  <si>
    <t>(一)深夜 １５分未満</t>
    <phoneticPr fontId="1"/>
  </si>
  <si>
    <t>家事夜０．５・深０．２５・２人</t>
  </si>
  <si>
    <t>家事夜０．５・深０．２５・基</t>
  </si>
  <si>
    <t>家事夜０．５・深０．２５・基・２人</t>
  </si>
  <si>
    <t>EH61</t>
  </si>
  <si>
    <t>家事夜０．５・深０．２５・初計</t>
  </si>
  <si>
    <t>EH62</t>
  </si>
  <si>
    <t>家事夜０．５・深０．２５・２人・初計</t>
  </si>
  <si>
    <t>EH63</t>
  </si>
  <si>
    <t>家事夜０．５・深０．２５・基・初計</t>
  </si>
  <si>
    <t>EH64</t>
  </si>
  <si>
    <t>家事夜０．５・深０．２５・基・２人・初計</t>
  </si>
  <si>
    <t>家事夜０．５・深０．５</t>
  </si>
  <si>
    <t>(二)深夜 １５分以上 ３０分未満</t>
    <phoneticPr fontId="1"/>
  </si>
  <si>
    <t>家事夜０．５・深０．５・２人</t>
  </si>
  <si>
    <t>家事夜０．５・深０．５・基</t>
  </si>
  <si>
    <t>家事夜０．５・深０．５・基・２人</t>
  </si>
  <si>
    <t>EH81</t>
  </si>
  <si>
    <t>家事夜０．５・深０．５・初計</t>
  </si>
  <si>
    <t>EH82</t>
  </si>
  <si>
    <t>家事夜０．５・深０．５・２人・初計</t>
  </si>
  <si>
    <t>EH83</t>
  </si>
  <si>
    <t>家事夜０．５・深０．５・基・初計</t>
  </si>
  <si>
    <t>EH84</t>
  </si>
  <si>
    <t>家事夜０．５・深０．５・基・２人・初計</t>
  </si>
  <si>
    <t>家事夜０．５・深０．７５</t>
  </si>
  <si>
    <t>(三)深夜 ３０分以上 ４５分未満</t>
    <phoneticPr fontId="1"/>
  </si>
  <si>
    <t>家事夜０．５・深０．７５・２人</t>
  </si>
  <si>
    <t>家事夜０．５・深０．７５・基</t>
  </si>
  <si>
    <t>家事夜０．５・深０．７５・基・２人</t>
  </si>
  <si>
    <t>EJ01</t>
  </si>
  <si>
    <t>家事夜０．５・深０．７５・初計</t>
  </si>
  <si>
    <t>EJ02</t>
  </si>
  <si>
    <t>家事夜０．５・深０．７５・２人・初計</t>
  </si>
  <si>
    <t>EJ03</t>
  </si>
  <si>
    <t>家事夜０．５・深０．７５・基・初計</t>
  </si>
  <si>
    <t>EJ04</t>
  </si>
  <si>
    <t>家事夜０．５・深０．７５・基・２人・初計</t>
  </si>
  <si>
    <t>家事夜０．５・深１．０</t>
  </si>
  <si>
    <t>(四)深夜 ４５分以上 １時間未満</t>
    <phoneticPr fontId="1"/>
  </si>
  <si>
    <t>家事夜０．５・深１．０・２人</t>
  </si>
  <si>
    <t>家事夜０．５・深１．０・基</t>
  </si>
  <si>
    <t>家事夜０．５・深１．０・基・２人</t>
  </si>
  <si>
    <t>EJ21</t>
  </si>
  <si>
    <t>家事夜０．５・深１．０・初計</t>
  </si>
  <si>
    <t>EJ22</t>
  </si>
  <si>
    <t>家事夜０．５・深１．０・２人・初計</t>
  </si>
  <si>
    <t>EJ23</t>
  </si>
  <si>
    <t>家事夜０．５・深１．０・基・初計</t>
  </si>
  <si>
    <t>EJ24</t>
  </si>
  <si>
    <t>家事夜０．５・深１．０・基・２人・初計</t>
  </si>
  <si>
    <t>家事夜０．７５・深０．２５</t>
  </si>
  <si>
    <t>(2)夜間 ３０分以上 ４５分未満</t>
    <phoneticPr fontId="1"/>
  </si>
  <si>
    <t>家事夜０．７５・深０．２５・２人</t>
  </si>
  <si>
    <t>家事夜０．７５・深０．２５・基</t>
  </si>
  <si>
    <t>家事夜０．７５・深０．２５・基・２人</t>
  </si>
  <si>
    <t>EJ41</t>
  </si>
  <si>
    <t>家事夜０．７５・深０．２５・初計</t>
  </si>
  <si>
    <t>EJ42</t>
  </si>
  <si>
    <t>家事夜０．７５・深０．２５・２人・初計</t>
  </si>
  <si>
    <t>EJ43</t>
  </si>
  <si>
    <t>家事夜０．７５・深０．２５・基・初計</t>
  </si>
  <si>
    <t>EJ44</t>
  </si>
  <si>
    <t>家事夜０．７５・深０．２５・基・２人・初計</t>
  </si>
  <si>
    <t>家事夜０．７５・深０．５</t>
  </si>
  <si>
    <t>家事夜０．７５・深０．５・２人</t>
  </si>
  <si>
    <t>家事夜０．７５・深０．５・基</t>
  </si>
  <si>
    <t>家事夜０．７５・深０．５・基・２人</t>
  </si>
  <si>
    <t>EJ61</t>
  </si>
  <si>
    <t>家事夜０．７５・深０．５・初計</t>
  </si>
  <si>
    <t>EJ62</t>
  </si>
  <si>
    <t>家事夜０．７５・深０．５・２人・初計</t>
  </si>
  <si>
    <t>EJ63</t>
  </si>
  <si>
    <t>家事夜０．７５・深０．５・基・初計</t>
  </si>
  <si>
    <t>EJ64</t>
  </si>
  <si>
    <t>家事夜０．７５・深０．５・基・２人・初計</t>
  </si>
  <si>
    <t>家事夜０．７５・深０．７５</t>
  </si>
  <si>
    <t>家事夜０．７５・深０．７５・２人</t>
  </si>
  <si>
    <t>家事夜０．７５・深０．７５・基</t>
  </si>
  <si>
    <t>家事夜０．７５・深０．７５・基・２人</t>
  </si>
  <si>
    <t>EJ81</t>
  </si>
  <si>
    <t>家事夜０．７５・深０．７５・初計</t>
  </si>
  <si>
    <t>EJ82</t>
  </si>
  <si>
    <t>家事夜０．７５・深０．７５・２人・初計</t>
  </si>
  <si>
    <t>EJ83</t>
  </si>
  <si>
    <t>家事夜０．７５・深０．７５・基・初計</t>
  </si>
  <si>
    <t>EJ84</t>
  </si>
  <si>
    <t>家事夜０．７５・深０．７５・基・２人・初計</t>
  </si>
  <si>
    <t>家事夜１．０・深０．２５</t>
  </si>
  <si>
    <t>(3)夜間 ４５分以上 １時間未満</t>
    <phoneticPr fontId="1"/>
  </si>
  <si>
    <t>家事夜１．０・深０．２５・２人</t>
  </si>
  <si>
    <t>家事夜１．０・深０．２５・基</t>
  </si>
  <si>
    <t>家事夜１．０・深０．２５・基・２人</t>
  </si>
  <si>
    <t>EK01</t>
  </si>
  <si>
    <t>家事夜１．０・深０．２５・初計</t>
  </si>
  <si>
    <t>EK02</t>
  </si>
  <si>
    <t>家事夜１．０・深０．２５・２人・初計</t>
  </si>
  <si>
    <t>EK03</t>
  </si>
  <si>
    <t>家事夜１．０・深０．２５・基・初計</t>
  </si>
  <si>
    <t>EK04</t>
  </si>
  <si>
    <t>家事夜１．０・深０．２５・基・２人・初計</t>
  </si>
  <si>
    <t>家事夜１．０・深０．５</t>
  </si>
  <si>
    <t>家事夜１．０・深０．５・２人</t>
  </si>
  <si>
    <t>家事夜１．０・深０．５・基</t>
  </si>
  <si>
    <t>家事夜１．０・深０．５・基・２人</t>
  </si>
  <si>
    <t>EK21</t>
  </si>
  <si>
    <t>家事夜１．０・深０．５・初計</t>
  </si>
  <si>
    <t>EK22</t>
  </si>
  <si>
    <t>家事夜１．０・深０．５・２人・初計</t>
  </si>
  <si>
    <t>EK23</t>
  </si>
  <si>
    <t>家事夜１．０・深０．５・基・初計</t>
  </si>
  <si>
    <t>EK24</t>
  </si>
  <si>
    <t>家事夜１．０・深０．５・基・２人・初計</t>
  </si>
  <si>
    <t>家事夜１．２５・深０．２５</t>
  </si>
  <si>
    <t>(4)夜間 １時間以上 １時間１５分未満</t>
    <phoneticPr fontId="1"/>
  </si>
  <si>
    <t>家事夜１．２５・深０．２５・２人</t>
  </si>
  <si>
    <t>家事夜１．２５・深０．２５・基</t>
  </si>
  <si>
    <t>家事夜１．２５・深０．２５・基・２人</t>
  </si>
  <si>
    <t>EK41</t>
  </si>
  <si>
    <t>家事夜１．２５・深０．２５・初計</t>
  </si>
  <si>
    <t>EK42</t>
  </si>
  <si>
    <t>家事夜１．２５・深０．２５・２人・初計</t>
  </si>
  <si>
    <t>EK43</t>
  </si>
  <si>
    <t>家事夜１．２５・深０．２５・基・初計</t>
  </si>
  <si>
    <t>EK44</t>
  </si>
  <si>
    <t>家事夜１．２５・深０．２５・基・２人・初計</t>
  </si>
  <si>
    <t>ハ　家事援助　（日を跨る場合　２日目深夜増分）</t>
  </si>
  <si>
    <t>家事日跨増深０．５・深０．２５</t>
  </si>
  <si>
    <t>2日目</t>
    <rPh sb="1" eb="2">
      <t>ニチ</t>
    </rPh>
    <rPh sb="2" eb="3">
      <t>メ</t>
    </rPh>
    <phoneticPr fontId="1"/>
  </si>
  <si>
    <t>(一)深夜 １５分未満</t>
  </si>
  <si>
    <t>家事日跨増深０．５・深０．２５・２人</t>
  </si>
  <si>
    <t>家事日跨増深０．５・深０．２５・基</t>
  </si>
  <si>
    <t>家事日跨増深０．５・深０．２５・基・２人</t>
  </si>
  <si>
    <t>EK61</t>
  </si>
  <si>
    <t>家事日跨増深０．５・深０．２５・初計</t>
  </si>
  <si>
    <t>EK62</t>
  </si>
  <si>
    <t>家事日跨増深０．５・深０．２５・２人・初計</t>
  </si>
  <si>
    <t>EK63</t>
  </si>
  <si>
    <t>家事日跨増深０．５・深０．２５・基・初計</t>
  </si>
  <si>
    <t>EK64</t>
  </si>
  <si>
    <t>家事日跨増深０．５・深０．２５・基・２人・初計</t>
  </si>
  <si>
    <t>家事日跨増深０．５・深０．５</t>
  </si>
  <si>
    <t>(二)深夜 １５分以上 ３０分未満</t>
  </si>
  <si>
    <t>家事日跨増深０．５・深０．５・２人</t>
  </si>
  <si>
    <t>家事日跨増深０．５・深０．５・基</t>
  </si>
  <si>
    <t>家事日跨増深０．５・深０．５・基・２人</t>
  </si>
  <si>
    <t>EK81</t>
  </si>
  <si>
    <t>家事日跨増深０．５・深０．５・初計</t>
  </si>
  <si>
    <t>EK82</t>
  </si>
  <si>
    <t>家事日跨増深０．５・深０．５・２人・初計</t>
  </si>
  <si>
    <t>EK83</t>
  </si>
  <si>
    <t>家事日跨増深０．５・深０．５・基・初計</t>
  </si>
  <si>
    <t>EK84</t>
  </si>
  <si>
    <t>家事日跨増深０．５・深０．５・基・２人・初計</t>
  </si>
  <si>
    <t>家事日跨増深０．５・深０．７５</t>
  </si>
  <si>
    <t>(三)深夜 ３０分以上 ４５分未満</t>
  </si>
  <si>
    <t>家事日跨増深０．５・深０．７５・２人</t>
  </si>
  <si>
    <t>家事日跨増深０．５・深０．７５・基</t>
  </si>
  <si>
    <t>家事日跨増深０．５・深０．７５・基・２人</t>
  </si>
  <si>
    <t>EL01</t>
  </si>
  <si>
    <t>家事日跨増深０．５・深０．７５・初計</t>
  </si>
  <si>
    <t>EL02</t>
  </si>
  <si>
    <t>家事日跨増深０．５・深０．７５・２人・初計</t>
  </si>
  <si>
    <t>EL03</t>
  </si>
  <si>
    <t>家事日跨増深０．５・深０．７５・基・初計</t>
  </si>
  <si>
    <t>EL04</t>
  </si>
  <si>
    <t>家事日跨増深０．５・深０．７５・基・２人・初計</t>
  </si>
  <si>
    <t>家事日跨増深０．５・深１．０</t>
  </si>
  <si>
    <t>(四)深夜 ４５分以上 １時間未満</t>
  </si>
  <si>
    <t>家事日跨増深０．５・深１．０・２人</t>
  </si>
  <si>
    <t>家事日跨増深０．５・深１．０・基</t>
  </si>
  <si>
    <t>家事日跨増深０．５・深１．０・基・２人</t>
  </si>
  <si>
    <t>EL21</t>
  </si>
  <si>
    <t>家事日跨増深０．５・深１．０・初計</t>
  </si>
  <si>
    <t>EL22</t>
  </si>
  <si>
    <t>家事日跨増深０．５・深１．０・２人・初計</t>
  </si>
  <si>
    <t>EL23</t>
  </si>
  <si>
    <t>家事日跨増深０．５・深１．０・基・初計</t>
  </si>
  <si>
    <t>EL24</t>
  </si>
  <si>
    <t>家事日跨増深０．５・深１．０・基・２人・初計</t>
  </si>
  <si>
    <t>家事日跨増深０．７５・深０．２５</t>
  </si>
  <si>
    <t>家事日跨増深０．７５・深０．２５・２人</t>
  </si>
  <si>
    <t>家事日跨増深０．７５・深０．２５・基</t>
  </si>
  <si>
    <t>家事日跨増深０．７５・深０．２５・基・２人</t>
  </si>
  <si>
    <t>EL41</t>
  </si>
  <si>
    <t>家事日跨増深０．７５・深０．２５・初計</t>
  </si>
  <si>
    <t>EL42</t>
  </si>
  <si>
    <t>家事日跨増深０．７５・深０．２５・２人・初計</t>
  </si>
  <si>
    <t>EL43</t>
  </si>
  <si>
    <t>家事日跨増深０．７５・深０．２５・基・初計</t>
  </si>
  <si>
    <t>EL44</t>
  </si>
  <si>
    <t>家事日跨増深０．７５・深０．２５・基・２人・初計</t>
  </si>
  <si>
    <t>家事日跨増深０．７５・深０．５</t>
  </si>
  <si>
    <t>家事日跨増深０．７５・深０．５・２人</t>
  </si>
  <si>
    <t>家事日跨増深０．７５・深０．５・基</t>
  </si>
  <si>
    <t>家事日跨増深０．７５・深０．５・基・２人</t>
  </si>
  <si>
    <t>EL61</t>
  </si>
  <si>
    <t>家事日跨増深０．７５・深０．５・初計</t>
  </si>
  <si>
    <t>EL62</t>
  </si>
  <si>
    <t>家事日跨増深０．７５・深０．５・２人・初計</t>
  </si>
  <si>
    <t>EL63</t>
  </si>
  <si>
    <t>家事日跨増深０．７５・深０．５・基・初計</t>
  </si>
  <si>
    <t>EL64</t>
  </si>
  <si>
    <t>家事日跨増深０．７５・深０．５・基・２人・初計</t>
  </si>
  <si>
    <t>家事日跨増深０．７５・深０．７５</t>
  </si>
  <si>
    <t>家事日跨増深０．７５・深０．７５・２人</t>
  </si>
  <si>
    <t>家事日跨増深０．７５・深０．７５・基</t>
  </si>
  <si>
    <t>家事日跨増深０．７５・深０．７５・基・２人</t>
  </si>
  <si>
    <t>EL81</t>
  </si>
  <si>
    <t>家事日跨増深０．７５・深０．７５・初計</t>
  </si>
  <si>
    <t>EL82</t>
  </si>
  <si>
    <t>家事日跨増深０．７５・深０．７５・２人・初計</t>
  </si>
  <si>
    <t>EL83</t>
  </si>
  <si>
    <t>家事日跨増深０．７５・深０．７５・基・初計</t>
  </si>
  <si>
    <t>EL84</t>
  </si>
  <si>
    <t>家事日跨増深０．７５・深０．７５・基・２人・初計</t>
  </si>
  <si>
    <t>家事日跨増深１．０・深０．２５</t>
  </si>
  <si>
    <t>家事日跨増深１．０・深０．２５・２人</t>
  </si>
  <si>
    <t>家事日跨増深１．０・深０．２５・基</t>
  </si>
  <si>
    <t>家事日跨増深１．０・深０．２５・基・２人</t>
  </si>
  <si>
    <t>EM01</t>
  </si>
  <si>
    <t>家事日跨増深１．０・深０．２５・初計</t>
  </si>
  <si>
    <t>EM02</t>
  </si>
  <si>
    <t>家事日跨増深１．０・深０．２５・２人・初計</t>
  </si>
  <si>
    <t>EM03</t>
  </si>
  <si>
    <t>家事日跨増深１．０・深０．２５・基・初計</t>
  </si>
  <si>
    <t>EM04</t>
  </si>
  <si>
    <t>家事日跨増深１．０・深０．２５・基・２人・初計</t>
  </si>
  <si>
    <t>家事日跨増深１．０・深０．５</t>
  </si>
  <si>
    <t>家事日跨増深１．０・深０．５・２人</t>
  </si>
  <si>
    <t>家事日跨増深１．０・深０．５・基</t>
  </si>
  <si>
    <t>家事日跨増深１．０・深０．５・基・２人</t>
  </si>
  <si>
    <t>EM21</t>
  </si>
  <si>
    <t>家事日跨増深１．０・深０．５・初計</t>
  </si>
  <si>
    <t>EM22</t>
  </si>
  <si>
    <t>家事日跨増深１．０・深０．５・２人・初計</t>
  </si>
  <si>
    <t>EM23</t>
  </si>
  <si>
    <t>家事日跨増深１．０・深０．５・基・初計</t>
  </si>
  <si>
    <t>EM24</t>
  </si>
  <si>
    <t>家事日跨増深１．０・深０．５・基・２人・初計</t>
  </si>
  <si>
    <t>家事日跨増深１．２５・深０．２５</t>
  </si>
  <si>
    <t>家事日跨増深１．２５・深０．２５・２人</t>
  </si>
  <si>
    <t>家事日跨増深１．２５・深０．２５・基</t>
  </si>
  <si>
    <t>家事日跨増深１．２５・深０．２５・基・２人</t>
  </si>
  <si>
    <t>EM41</t>
  </si>
  <si>
    <t>家事日跨増深１．２５・深０．２５・初計</t>
  </si>
  <si>
    <t>EM42</t>
  </si>
  <si>
    <t>家事日跨増深１．２５・深０．２５・２人・初計</t>
  </si>
  <si>
    <t>EM43</t>
  </si>
  <si>
    <t>家事日跨増深１．２５・深０．２５・基・初計</t>
  </si>
  <si>
    <t>EM44</t>
  </si>
  <si>
    <t>家事日跨増深１．２５・深０．２５・基・２人・初計</t>
  </si>
  <si>
    <t>ハ　家事援助　（深夜＋早朝＋日中）　　※サービス間隔が２時間未満の場合</t>
  </si>
  <si>
    <t>家事深０．５・早０．２５・日０．２５</t>
  </si>
  <si>
    <t>家事深０．５・早０．２５・日０．２５・２人</t>
  </si>
  <si>
    <t>家事深０．５・早０．２５・日０．２５・基</t>
  </si>
  <si>
    <t>家事深０．５・早０．２５・日０．２５・基・２人</t>
  </si>
  <si>
    <t>EM61</t>
  </si>
  <si>
    <t>家事深０．５・早０．２５・日０．２５・初計</t>
  </si>
  <si>
    <t>EM62</t>
  </si>
  <si>
    <t>家事深０．５・早０．２５・日０．２５・２人・初計</t>
  </si>
  <si>
    <t>EM63</t>
  </si>
  <si>
    <t>家事深０．５・早０．２５・日０．２５・基・初計</t>
  </si>
  <si>
    <t>EM64</t>
  </si>
  <si>
    <t>家事深０．５・早０．２５・日０．２５・基・２人・初計</t>
  </si>
  <si>
    <t>家事深０．５・早０．２５・日０．５</t>
  </si>
  <si>
    <t>家事深０．５・早０．２５・日０．５・２人</t>
  </si>
  <si>
    <t>家事深０．５・早０．２５・日０．５・基</t>
  </si>
  <si>
    <t>家事深０．５・早０．２５・日０．５・基・２人</t>
  </si>
  <si>
    <t>EM81</t>
  </si>
  <si>
    <t>家事深０．５・早０．２５・日０．５・初計</t>
  </si>
  <si>
    <t>EM82</t>
  </si>
  <si>
    <t>家事深０．５・早０．２５・日０．５・２人・初計</t>
  </si>
  <si>
    <t>EM83</t>
  </si>
  <si>
    <t>家事深０．５・早０．２５・日０．５・基・初計</t>
  </si>
  <si>
    <t>EM84</t>
  </si>
  <si>
    <t>家事深０．５・早０．２５・日０．５・基・２人・初計</t>
  </si>
  <si>
    <t>家事深０．５・早０．２５・日０．７５</t>
  </si>
  <si>
    <t>家事深０．５・早０．２５・日０．７５・２人</t>
  </si>
  <si>
    <t>家事深０．５・早０．２５・日０．７５・基</t>
  </si>
  <si>
    <t>家事深０．５・早０．２５・日０．７５・基・２人</t>
  </si>
  <si>
    <t>EN01</t>
  </si>
  <si>
    <t>家事深０．５・早０．２５・日０．７５・初計</t>
  </si>
  <si>
    <t>EN02</t>
  </si>
  <si>
    <t>家事深０．５・早０．２５・日０．７５・２人・初計</t>
  </si>
  <si>
    <t>EN03</t>
  </si>
  <si>
    <t>家事深０．５・早０．２５・日０．７５・基・初計</t>
  </si>
  <si>
    <t>EN04</t>
  </si>
  <si>
    <t>家事深０．５・早０．２５・日０．７５・基・２人・初計</t>
  </si>
  <si>
    <t>家事深０．５・早０．５・日０．２５</t>
  </si>
  <si>
    <t>家事深０．５・早０．５・日０．２５・２人</t>
  </si>
  <si>
    <t>家事深０．５・早０．５・日０．２５・基</t>
  </si>
  <si>
    <t>家事深０．５・早０．５・日０．２５・基・２人</t>
  </si>
  <si>
    <t>EN21</t>
  </si>
  <si>
    <t>家事深０．５・早０．５・日０．２５・初計</t>
  </si>
  <si>
    <t>EN22</t>
  </si>
  <si>
    <t>家事深０．５・早０．５・日０．２５・２人・初計</t>
  </si>
  <si>
    <t>EN23</t>
  </si>
  <si>
    <t>家事深０．５・早０．５・日０．２５・基・初計</t>
  </si>
  <si>
    <t>EN24</t>
  </si>
  <si>
    <t>家事深０．５・早０．５・日０．２５・基・２人・初計</t>
  </si>
  <si>
    <t>家事深０．５・早０．５・日０．５</t>
  </si>
  <si>
    <t>家事深０．５・早０．５・日０．５・２人</t>
  </si>
  <si>
    <t>家事深０．５・早０．５・日０．５・基</t>
  </si>
  <si>
    <t>家事深０．５・早０．５・日０．５・基・２人</t>
  </si>
  <si>
    <t>EN41</t>
  </si>
  <si>
    <t>家事深０．５・早０．５・日０．５・初計</t>
  </si>
  <si>
    <t>EN42</t>
  </si>
  <si>
    <t>家事深０．５・早０．５・日０．５・２人・初計</t>
  </si>
  <si>
    <t>EN43</t>
  </si>
  <si>
    <t>家事深０．５・早０．５・日０．５・基・初計</t>
  </si>
  <si>
    <t>EN44</t>
  </si>
  <si>
    <t>家事深０．５・早０．５・日０．５・基・２人・初計</t>
  </si>
  <si>
    <t>家事深０．５・早０．７５・日０．２５</t>
  </si>
  <si>
    <t>家事深０．５・早０．７５・日０．２５・２人</t>
  </si>
  <si>
    <t>家事深０．５・早０．７５・日０．２５・基</t>
  </si>
  <si>
    <t>家事深０．５・早０．７５・日０．２５・基・２人</t>
  </si>
  <si>
    <t>EN61</t>
  </si>
  <si>
    <t>家事深０．５・早０．７５・日０．２５・初計</t>
  </si>
  <si>
    <t>EN62</t>
  </si>
  <si>
    <t>家事深０．５・早０．７５・日０．２５・２人・初計</t>
  </si>
  <si>
    <t>EN63</t>
  </si>
  <si>
    <t>家事深０．５・早０．７５・日０．２５・基・初計</t>
  </si>
  <si>
    <t>EN64</t>
  </si>
  <si>
    <t>家事深０．５・早０．７５・日０．２５・基・２人・初計</t>
  </si>
  <si>
    <t>家事深０．７５・早０．２５・日０．２５</t>
  </si>
  <si>
    <t>家事深０．７５・早０．２５・日０．２５・２人</t>
  </si>
  <si>
    <t>家事深０．７５・早０．２５・日０．２５・基</t>
  </si>
  <si>
    <t>家事深０．７５・早０．２５・日０．２５・基・２人</t>
  </si>
  <si>
    <t>EN81</t>
  </si>
  <si>
    <t>家事深０．７５・早０．２５・日０．２５・初計</t>
  </si>
  <si>
    <t>EN82</t>
  </si>
  <si>
    <t>家事深０．７５・早０．２５・日０．２５・２人・初計</t>
  </si>
  <si>
    <t>EN83</t>
  </si>
  <si>
    <t>家事深０．７５・早０．２５・日０．２５・基・初計</t>
  </si>
  <si>
    <t>EN84</t>
  </si>
  <si>
    <t>家事深０．７５・早０．２５・日０．２５・基・２人・初計</t>
  </si>
  <si>
    <t>家事深０．７５・早０．２５・日０．５</t>
  </si>
  <si>
    <t>家事深０．７５・早０．２５・日０．５・２人</t>
  </si>
  <si>
    <t>家事深０．７５・早０．２５・日０．５・基</t>
  </si>
  <si>
    <t>家事深０．７５・早０．２５・日０．５・基・２人</t>
  </si>
  <si>
    <t>EP01</t>
  </si>
  <si>
    <t>家事深０．７５・早０．２５・日０．５・初計</t>
  </si>
  <si>
    <t>EP02</t>
  </si>
  <si>
    <t>家事深０．７５・早０．２５・日０．５・２人・初計</t>
  </si>
  <si>
    <t>EP03</t>
  </si>
  <si>
    <t>家事深０．７５・早０．２５・日０．５・基・初計</t>
  </si>
  <si>
    <t>EP04</t>
  </si>
  <si>
    <t>家事深０．７５・早０．２５・日０．５・基・２人・初計</t>
  </si>
  <si>
    <t>家事深０．７５・早０．５・日０．２５</t>
  </si>
  <si>
    <t>家事深０．７５・早０．５・日０．２５・２人</t>
  </si>
  <si>
    <t>家事深０．７５・早０．５・日０．２５・基</t>
  </si>
  <si>
    <t>家事深０．７５・早０．５・日０．２５・基・２人</t>
  </si>
  <si>
    <t>EP21</t>
  </si>
  <si>
    <t>家事深０．７５・早０．５・日０．２５・初計</t>
  </si>
  <si>
    <t>EP22</t>
  </si>
  <si>
    <t>家事深０．７５・早０．５・日０．２５・２人・初計</t>
  </si>
  <si>
    <t>EP23</t>
  </si>
  <si>
    <t>家事深０．７５・早０．５・日０．２５・基・初計</t>
  </si>
  <si>
    <t>EP24</t>
  </si>
  <si>
    <t>家事深０．７５・早０．５・日０．２５・基・２人・初計</t>
  </si>
  <si>
    <t>家事深１．０・早０．２５・日０．２５</t>
  </si>
  <si>
    <t>家事深１．０・早０．２５・日０．２５・２人</t>
  </si>
  <si>
    <t>家事深１．０・早０．２５・日０．２５・基</t>
  </si>
  <si>
    <t>家事深１．０・早０．２５・日０．２５・基・２人</t>
  </si>
  <si>
    <t>EP41</t>
  </si>
  <si>
    <t>家事深１．０・早０．２５・日０．２５・初計</t>
  </si>
  <si>
    <t>EP42</t>
  </si>
  <si>
    <t>家事深１．０・早０．２５・日０．２５・２人・初計</t>
  </si>
  <si>
    <t>EP43</t>
  </si>
  <si>
    <t>家事深１．０・早０．２５・日０．２５・基・初計</t>
  </si>
  <si>
    <t>EP44</t>
  </si>
  <si>
    <t>家事深１．０・早０．２５・日０．２５・基・２人・初計</t>
  </si>
  <si>
    <t>ハ　家事援助　（深夜＋日中）　　※サービス間隔が２時間未満の場合</t>
  </si>
  <si>
    <t>家事深０．５・日０．２５</t>
  </si>
  <si>
    <t>家事深０．５・日０．２５・２人</t>
  </si>
  <si>
    <t>家事深０．５・日０．２５・基</t>
  </si>
  <si>
    <t>家事深０．５・日０．２５・基・２人</t>
  </si>
  <si>
    <t>EP61</t>
  </si>
  <si>
    <t>家事深０．５・日０．２５・初計</t>
  </si>
  <si>
    <t>EP62</t>
  </si>
  <si>
    <t>家事深０．５・日０．２５・２人・初計</t>
  </si>
  <si>
    <t>EP63</t>
  </si>
  <si>
    <t>家事深０．５・日０．２５・基・初計</t>
  </si>
  <si>
    <t>EP64</t>
  </si>
  <si>
    <t>家事深０．５・日０．２５・基・２人・初計</t>
  </si>
  <si>
    <t>家事深０．５・日０．５</t>
  </si>
  <si>
    <t>家事深０．５・日０．５・２人</t>
  </si>
  <si>
    <t>家事深０．５・日０．５・基</t>
  </si>
  <si>
    <t>家事深０．５・日０．５・基・２人</t>
  </si>
  <si>
    <t>EP81</t>
  </si>
  <si>
    <t>家事深０．５・日０．５・初計</t>
  </si>
  <si>
    <t>EP82</t>
  </si>
  <si>
    <t>家事深０．５・日０．５・２人・初計</t>
  </si>
  <si>
    <t>EP83</t>
  </si>
  <si>
    <t>家事深０．５・日０．５・基・初計</t>
  </si>
  <si>
    <t>EP84</t>
  </si>
  <si>
    <t>家事深０．５・日０．５・基・２人・初計</t>
  </si>
  <si>
    <t>家事深０．５・日０．７５</t>
  </si>
  <si>
    <t>家事深０．５・日０．７５・２人</t>
  </si>
  <si>
    <t>家事深０．５・日０．７５・基</t>
  </si>
  <si>
    <t>家事深０．５・日０．７５・基・２人</t>
  </si>
  <si>
    <t>ER01</t>
  </si>
  <si>
    <t>家事深０．５・日０．７５・初計</t>
  </si>
  <si>
    <t>ER02</t>
  </si>
  <si>
    <t>家事深０．５・日０．７５・２人・初計</t>
  </si>
  <si>
    <t>ER03</t>
  </si>
  <si>
    <t>家事深０．５・日０．７５・基・初計</t>
  </si>
  <si>
    <t>ER04</t>
  </si>
  <si>
    <t>家事深０．５・日０．７５・基・２人・初計</t>
  </si>
  <si>
    <t>家事深０．５・日１．０</t>
  </si>
  <si>
    <t>家事深０．５・日１．０・２人</t>
  </si>
  <si>
    <t>家事深０．５・日１．０・基</t>
  </si>
  <si>
    <t>家事深０．５・日１．０・基・２人</t>
  </si>
  <si>
    <t>ER21</t>
  </si>
  <si>
    <t>家事深０．５・日１．０・初計</t>
  </si>
  <si>
    <t>ER22</t>
  </si>
  <si>
    <t>家事深０．５・日１．０・２人・初計</t>
  </si>
  <si>
    <t>ER23</t>
  </si>
  <si>
    <t>家事深０．５・日１．０・基・初計</t>
  </si>
  <si>
    <t>ER24</t>
  </si>
  <si>
    <t>家事深０．５・日１．０・基・２人・初計</t>
  </si>
  <si>
    <t>家事深０．７５・日０．２５</t>
  </si>
  <si>
    <t>家事深０．７５・日０．２５・２人</t>
  </si>
  <si>
    <t>家事深０．７５・日０．２５・基</t>
  </si>
  <si>
    <t>家事深０．７５・日０．２５・基・２人</t>
  </si>
  <si>
    <t>ER41</t>
  </si>
  <si>
    <t>家事深０．７５・日０．２５・初計</t>
  </si>
  <si>
    <t>ER42</t>
  </si>
  <si>
    <t>家事深０．７５・日０．２５・２人・初計</t>
  </si>
  <si>
    <t>ER43</t>
  </si>
  <si>
    <t>家事深０．７５・日０．２５・基・初計</t>
  </si>
  <si>
    <t>ER44</t>
  </si>
  <si>
    <t>家事深０．７５・日０．２５・基・２人・初計</t>
  </si>
  <si>
    <t>家事深０．７５・日０．５</t>
  </si>
  <si>
    <t>家事深０．７５・日０．５・２人</t>
  </si>
  <si>
    <t>家事深０．７５・日０．５・基</t>
  </si>
  <si>
    <t>家事深０．７５・日０．５・基・２人</t>
  </si>
  <si>
    <t>ER61</t>
  </si>
  <si>
    <t>家事深０．７５・日０．５・初計</t>
  </si>
  <si>
    <t>ER62</t>
  </si>
  <si>
    <t>家事深０．７５・日０．５・２人・初計</t>
  </si>
  <si>
    <t>ER63</t>
  </si>
  <si>
    <t>家事深０．７５・日０．５・基・初計</t>
  </si>
  <si>
    <t>ER64</t>
  </si>
  <si>
    <t>家事深０．７５・日０．５・基・２人・初計</t>
  </si>
  <si>
    <t>家事深０．７５・日０．７５</t>
  </si>
  <si>
    <t>家事深０．７５・日０．７５・２人</t>
  </si>
  <si>
    <t>家事深０．７５・日０．７５・基</t>
  </si>
  <si>
    <t>家事深０．７５・日０．７５・基・２人</t>
  </si>
  <si>
    <t>ER81</t>
  </si>
  <si>
    <t>家事深０．７５・日０．７５・初計</t>
  </si>
  <si>
    <t>ER82</t>
  </si>
  <si>
    <t>家事深０．７５・日０．７５・２人・初計</t>
  </si>
  <si>
    <t>ER83</t>
  </si>
  <si>
    <t>家事深０．７５・日０．７５・基・初計</t>
  </si>
  <si>
    <t>ER84</t>
  </si>
  <si>
    <t>家事深０．７５・日０．７５・基・２人・初計</t>
  </si>
  <si>
    <t>家事深１．０・日０．２５</t>
  </si>
  <si>
    <t>家事深１．０・日０．２５・２人</t>
  </si>
  <si>
    <t>家事深１．０・日０．２５・基</t>
  </si>
  <si>
    <t>家事深１．０・日０．２５・基・２人</t>
  </si>
  <si>
    <t>ES01</t>
  </si>
  <si>
    <t>家事深１．０・日０．２５・初計</t>
  </si>
  <si>
    <t>ES02</t>
  </si>
  <si>
    <t>家事深１．０・日０．２５・２人・初計</t>
  </si>
  <si>
    <t>ES03</t>
  </si>
  <si>
    <t>家事深１．０・日０．２５・基・初計</t>
  </si>
  <si>
    <t>ES04</t>
  </si>
  <si>
    <t>家事深１．０・日０．２５・基・２人・初計</t>
  </si>
  <si>
    <t>家事深１．０・日０．５</t>
  </si>
  <si>
    <t>家事深１．０・日０．５・２人</t>
  </si>
  <si>
    <t>家事深１．０・日０．５・基</t>
  </si>
  <si>
    <t>家事深１．０・日０．５・基・２人</t>
  </si>
  <si>
    <t>ES21</t>
  </si>
  <si>
    <t>家事深１．０・日０．５・初計</t>
  </si>
  <si>
    <t>ES22</t>
  </si>
  <si>
    <t>家事深１．０・日０．５・２人・初計</t>
  </si>
  <si>
    <t>ES23</t>
  </si>
  <si>
    <t>家事深１．０・日０．５・基・初計</t>
  </si>
  <si>
    <t>ES24</t>
  </si>
  <si>
    <t>家事深１．０・日０．５・基・２人・初計</t>
  </si>
  <si>
    <t>家事深１．２５・日０．２５</t>
  </si>
  <si>
    <t>家事深１．２５・日０．２５・２人</t>
  </si>
  <si>
    <t>家事深１．２５・日０．２５・基</t>
  </si>
  <si>
    <t>家事深１．２５・日０．２５・基・２人</t>
  </si>
  <si>
    <t>ES41</t>
  </si>
  <si>
    <t>家事深１．２５・日０．２５・初計</t>
  </si>
  <si>
    <t>ES42</t>
  </si>
  <si>
    <t>家事深１．２５・日０．２５・２人・初計</t>
  </si>
  <si>
    <t>ES43</t>
  </si>
  <si>
    <t>家事深１．２５・日０．２５・基・初計</t>
  </si>
  <si>
    <t>ES44</t>
  </si>
  <si>
    <t>家事深１．２５・日０．２５・基・２人・初計</t>
  </si>
  <si>
    <t>ハ　家事援助　（日中＋夜間＋深夜）　　※サービス間隔が２時間未満の場合</t>
  </si>
  <si>
    <t>家事日０．５・夜０．２５・深０．２５</t>
  </si>
  <si>
    <t>家事日０．５・夜０．２５・深０．２５・２人</t>
  </si>
  <si>
    <t>家事日０．５・夜０．２５・深０．２５・基</t>
  </si>
  <si>
    <t>家事日０．５・夜０．２５・深０．２５・基・２人</t>
  </si>
  <si>
    <t>ES61</t>
  </si>
  <si>
    <t>家事日０．５・夜０．２５・深０．２５・初計</t>
  </si>
  <si>
    <t>ES62</t>
  </si>
  <si>
    <t>家事日０．５・夜０．２５・深０．２５・２人・初計</t>
  </si>
  <si>
    <t>ES63</t>
  </si>
  <si>
    <t>家事日０．５・夜０．２５・深０．２５・基・初計</t>
  </si>
  <si>
    <t>ES64</t>
  </si>
  <si>
    <t>家事日０．５・夜０．２５・深０．２５・基・２人・初計</t>
  </si>
  <si>
    <t>家事日０．５・夜０．２５・深０．５</t>
  </si>
  <si>
    <t>家事日０．５・夜０．２５・深０．５・２人</t>
  </si>
  <si>
    <t>家事日０．５・夜０．２５・深０．５・基</t>
  </si>
  <si>
    <t>家事日０．５・夜０．２５・深０．５・基・２人</t>
  </si>
  <si>
    <t>ES81</t>
  </si>
  <si>
    <t>家事日０．５・夜０．２５・深０．５・初計</t>
  </si>
  <si>
    <t>ES82</t>
  </si>
  <si>
    <t>家事日０．５・夜０．２５・深０．５・２人・初計</t>
  </si>
  <si>
    <t>ES83</t>
  </si>
  <si>
    <t>家事日０．５・夜０．２５・深０．５・基・初計</t>
  </si>
  <si>
    <t>ES84</t>
  </si>
  <si>
    <t>家事日０．５・夜０．２５・深０．５・基・２人・初計</t>
  </si>
  <si>
    <t>家事日０．５・夜０．２５・深０．７５</t>
  </si>
  <si>
    <t>家事日０．５・夜０．２５・深０．７５・２人</t>
  </si>
  <si>
    <t>家事日０．５・夜０．２５・深０．７５・基</t>
  </si>
  <si>
    <t>家事日０．５・夜０．２５・深０．７５・基・２人</t>
  </si>
  <si>
    <t>ET01</t>
  </si>
  <si>
    <t>家事日０．５・夜０．２５・深０．７５・初計</t>
  </si>
  <si>
    <t>ET02</t>
  </si>
  <si>
    <t>家事日０．５・夜０．２５・深０．７５・２人・初計</t>
  </si>
  <si>
    <t>ET03</t>
  </si>
  <si>
    <t>家事日０．５・夜０．２５・深０．７５・基・初計</t>
  </si>
  <si>
    <t>ET04</t>
  </si>
  <si>
    <t>家事日０．５・夜０．２５・深０．７５・基・２人・初計</t>
  </si>
  <si>
    <t>家事日０．５・夜０．５・深０．２５</t>
  </si>
  <si>
    <t>家事日０．５・夜０．５・深０．２５・２人</t>
  </si>
  <si>
    <t>家事日０．５・夜０．５・深０．２５・基</t>
  </si>
  <si>
    <t>家事日０．５・夜０．５・深０．２５・基・２人</t>
  </si>
  <si>
    <t>ET21</t>
  </si>
  <si>
    <t>家事日０．５・夜０．５・深０．２５・初計</t>
  </si>
  <si>
    <t>ET22</t>
  </si>
  <si>
    <t>家事日０．５・夜０．５・深０．２５・２人・初計</t>
  </si>
  <si>
    <t>ET23</t>
  </si>
  <si>
    <t>家事日０．５・夜０．５・深０．２５・基・初計</t>
  </si>
  <si>
    <t>ET24</t>
  </si>
  <si>
    <t>家事日０．５・夜０．５・深０．２５・基・２人・初計</t>
  </si>
  <si>
    <t>家事日０．５・夜０．５・深０．５</t>
  </si>
  <si>
    <t>家事日０．５・夜０．５・深０．５・２人</t>
  </si>
  <si>
    <t>家事日０．５・夜０．５・深０．５・基</t>
  </si>
  <si>
    <t>家事日０．５・夜０．５・深０．５・基・２人</t>
  </si>
  <si>
    <t>ET41</t>
  </si>
  <si>
    <t>家事日０．５・夜０．５・深０．５・初計</t>
  </si>
  <si>
    <t>ET42</t>
  </si>
  <si>
    <t>家事日０．５・夜０．５・深０．５・２人・初計</t>
  </si>
  <si>
    <t>ET43</t>
  </si>
  <si>
    <t>家事日０．５・夜０．５・深０．５・基・初計</t>
  </si>
  <si>
    <t>ET44</t>
  </si>
  <si>
    <t>家事日０．５・夜０．５・深０．５・基・２人・初計</t>
  </si>
  <si>
    <t>家事日０．５・夜０．７５・深０．２５</t>
  </si>
  <si>
    <t>家事日０．５・夜０．７５・深０．２５・２人</t>
  </si>
  <si>
    <t>家事日０．５・夜０．７５・深０．２５・基</t>
  </si>
  <si>
    <t>家事日０．５・夜０．７５・深０．２５・基・２人</t>
  </si>
  <si>
    <t>ET61</t>
  </si>
  <si>
    <t>家事日０．５・夜０．７５・深０．２５・初計</t>
  </si>
  <si>
    <t>ET62</t>
  </si>
  <si>
    <t>家事日０．５・夜０．７５・深０．２５・２人・初計</t>
  </si>
  <si>
    <t>ET63</t>
  </si>
  <si>
    <t>家事日０．５・夜０．７５・深０．２５・基・初計</t>
  </si>
  <si>
    <t>ET64</t>
  </si>
  <si>
    <t>家事日０．５・夜０．７５・深０．２５・基・２人・初計</t>
  </si>
  <si>
    <t>家事日０．７５・夜０．２５・深０．２５</t>
  </si>
  <si>
    <t>家事日０．７５・夜０．２５・深０．２５・２人</t>
  </si>
  <si>
    <t>家事日０．７５・夜０．２５・深０．２５・基</t>
  </si>
  <si>
    <t>家事日０．７５・夜０．２５・深０．２５・基・２人</t>
  </si>
  <si>
    <t>ET81</t>
  </si>
  <si>
    <t>家事日０．７５・夜０．２５・深０．２５・初計</t>
  </si>
  <si>
    <t>ET82</t>
  </si>
  <si>
    <t>家事日０．７５・夜０．２５・深０．２５・２人・初計</t>
  </si>
  <si>
    <t>ET83</t>
  </si>
  <si>
    <t>家事日０．７５・夜０．２５・深０．２５・基・初計</t>
  </si>
  <si>
    <t>ET84</t>
  </si>
  <si>
    <t>家事日０．７５・夜０．２５・深０．２５・基・２人・初計</t>
  </si>
  <si>
    <t>家事日０．７５・夜０．２５・深０．５</t>
  </si>
  <si>
    <t>家事日０．７５・夜０．２５・深０．５・２人</t>
  </si>
  <si>
    <t>家事日０．７５・夜０．２５・深０．５・基</t>
  </si>
  <si>
    <t>家事日０．７５・夜０．２５・深０．５・基・２人</t>
  </si>
  <si>
    <t>EU01</t>
  </si>
  <si>
    <t>家事日０．７５・夜０．２５・深０．５・初計</t>
  </si>
  <si>
    <t>EU02</t>
  </si>
  <si>
    <t>家事日０．７５・夜０．２５・深０．５・２人・初計</t>
  </si>
  <si>
    <t>EU03</t>
  </si>
  <si>
    <t>家事日０．７５・夜０．２５・深０．５・基・初計</t>
  </si>
  <si>
    <t>EU04</t>
  </si>
  <si>
    <t>家事日０．７５・夜０．２５・深０．５・基・２人・初計</t>
  </si>
  <si>
    <t>家事日０．７５・夜０．５・深０．２５</t>
  </si>
  <si>
    <t>家事日０．７５・夜０．５・深０．２５・２人</t>
  </si>
  <si>
    <t>家事日０．７５・夜０．５・深０．２５・基</t>
  </si>
  <si>
    <t>家事日０．７５・夜０．５・深０．２５・基・２人</t>
  </si>
  <si>
    <t>EU21</t>
  </si>
  <si>
    <t>家事日０．７５・夜０．５・深０．２５・初計</t>
  </si>
  <si>
    <t>EU22</t>
  </si>
  <si>
    <t>家事日０．７５・夜０．５・深０．２５・２人・初計</t>
  </si>
  <si>
    <t>EU23</t>
  </si>
  <si>
    <t>家事日０．７５・夜０．５・深０．２５・基・初計</t>
  </si>
  <si>
    <t>EU24</t>
  </si>
  <si>
    <t>家事日０．７５・夜０．５・深０．２５・基・２人・初計</t>
  </si>
  <si>
    <t>家事日１．０・夜０．２５・深０．２５</t>
  </si>
  <si>
    <t>家事日１．０・夜０．２５・深０．２５・２人</t>
  </si>
  <si>
    <t>家事日１．０・夜０．２５・深０．２５・基</t>
  </si>
  <si>
    <t>家事日１．０・夜０．２５・深０．２５・基・２人</t>
  </si>
  <si>
    <t>EU41</t>
  </si>
  <si>
    <t>家事日１．０・夜０．２５・深０．２５・初計</t>
  </si>
  <si>
    <t>EU42</t>
  </si>
  <si>
    <t>家事日１．０・夜０．２５・深０．２５・２人・初計</t>
  </si>
  <si>
    <t>EU43</t>
  </si>
  <si>
    <t>家事日１．０・夜０．２５・深０．２５・基・初計</t>
  </si>
  <si>
    <t>EU44</t>
  </si>
  <si>
    <t>家事日１．０・夜０．２５・深０．２５・基・２人・初計</t>
  </si>
  <si>
    <t>ハ　家事援助　（日中増分)</t>
  </si>
  <si>
    <t>家事日増０．２５</t>
  </si>
  <si>
    <t>(1)日中 １５分未満</t>
  </si>
  <si>
    <t>家事日増０．２５・２人</t>
  </si>
  <si>
    <t>家事日増０．２５・基</t>
  </si>
  <si>
    <t>家事日増０．２５・基・２人</t>
  </si>
  <si>
    <t>EU61</t>
  </si>
  <si>
    <t>家事日増０．２５・初計</t>
  </si>
  <si>
    <t>EU62</t>
  </si>
  <si>
    <t>家事日増０．２５・２人・初計</t>
  </si>
  <si>
    <t>EU63</t>
  </si>
  <si>
    <t>家事日増０．２５・基・初計</t>
  </si>
  <si>
    <t>EU64</t>
  </si>
  <si>
    <t>家事日増０．２５・基・２人・初計</t>
  </si>
  <si>
    <t>家事日増０．５</t>
  </si>
  <si>
    <t>(2)日中 １５分以上 ３０分未満</t>
  </si>
  <si>
    <t>家事日増０．５・２人</t>
  </si>
  <si>
    <t>家事日増０．５・基</t>
  </si>
  <si>
    <t>家事日増０．５・基・２人</t>
  </si>
  <si>
    <t>EU81</t>
  </si>
  <si>
    <t>家事日増０．５・初計</t>
  </si>
  <si>
    <t>EU82</t>
  </si>
  <si>
    <t>家事日増０．５・２人・初計</t>
  </si>
  <si>
    <t>EU83</t>
  </si>
  <si>
    <t>家事日増０．５・基・初計</t>
  </si>
  <si>
    <t>EU84</t>
  </si>
  <si>
    <t>家事日増０．５・基・２人・初計</t>
  </si>
  <si>
    <t>家事日増０．７５</t>
  </si>
  <si>
    <t>(3)日中 ３０分以上 ４５分未満</t>
  </si>
  <si>
    <t>家事日増０．７５・２人</t>
  </si>
  <si>
    <t>家事日増０．７５・基</t>
  </si>
  <si>
    <t>家事日増０．７５・基・２人</t>
  </si>
  <si>
    <t>EV01</t>
  </si>
  <si>
    <t>家事日増０．７５・初計</t>
  </si>
  <si>
    <t>EV02</t>
  </si>
  <si>
    <t>家事日増０．７５・２人・初計</t>
  </si>
  <si>
    <t>EV03</t>
  </si>
  <si>
    <t>家事日増０．７５・基・初計</t>
  </si>
  <si>
    <t>EV04</t>
  </si>
  <si>
    <t>家事日増０．７５・基・２人・初計</t>
  </si>
  <si>
    <t>家事日増１．０</t>
  </si>
  <si>
    <t>(4)日中 ４５分以上 １時間未満</t>
  </si>
  <si>
    <t>家事日増１．０・２人</t>
  </si>
  <si>
    <t>家事日増１．０・基</t>
  </si>
  <si>
    <t>家事日増１．０・基・２人</t>
  </si>
  <si>
    <t>EV21</t>
  </si>
  <si>
    <t>家事日増１．０・初計</t>
  </si>
  <si>
    <t>EV22</t>
  </si>
  <si>
    <t>家事日増１．０・２人・初計</t>
  </si>
  <si>
    <t>EV23</t>
  </si>
  <si>
    <t>家事日増１．０・基・初計</t>
  </si>
  <si>
    <t>EV24</t>
  </si>
  <si>
    <t>家事日増１．０・基・２人・初計</t>
  </si>
  <si>
    <t>家事日増１．２５</t>
  </si>
  <si>
    <t>(5)日中 １時間以上 １時間１５分未満</t>
  </si>
  <si>
    <t>家事日増１．２５・２人</t>
  </si>
  <si>
    <t>家事日増１．２５・基</t>
  </si>
  <si>
    <t>家事日増１．２５・基・２人</t>
  </si>
  <si>
    <t>EV41</t>
  </si>
  <si>
    <t>家事日増１．２５・初計</t>
  </si>
  <si>
    <t>EV42</t>
  </si>
  <si>
    <t>家事日増１．２５・２人・初計</t>
  </si>
  <si>
    <t>EV43</t>
  </si>
  <si>
    <t>家事日増１．２５・基・初計</t>
  </si>
  <si>
    <t>EV44</t>
  </si>
  <si>
    <t>家事日増１．２５・基・２人・初計</t>
  </si>
  <si>
    <t>家事日増１．５</t>
  </si>
  <si>
    <t>(6)日中 １時間１５分以上 １時間３０分未満</t>
  </si>
  <si>
    <t>家事日増１．５・２人</t>
  </si>
  <si>
    <t>家事日増１．５・基</t>
  </si>
  <si>
    <t>家事日増１．５・基・２人</t>
  </si>
  <si>
    <t>EV61</t>
  </si>
  <si>
    <t>家事日増１．５・初計</t>
  </si>
  <si>
    <t>EV62</t>
  </si>
  <si>
    <t>家事日増１．５・２人・初計</t>
  </si>
  <si>
    <t>EV63</t>
  </si>
  <si>
    <t>家事日増１．５・基・初計</t>
  </si>
  <si>
    <t>EV64</t>
  </si>
  <si>
    <t>家事日増１．５・基・２人・初計</t>
  </si>
  <si>
    <t>家事日増１．７５</t>
  </si>
  <si>
    <t>(7)日中 １時間３０分以上 １時間４５分未満</t>
  </si>
  <si>
    <t>家事日増１．７５・２人</t>
  </si>
  <si>
    <t>家事日増１．７５・基</t>
  </si>
  <si>
    <t>家事日増１．７５・基・２人</t>
  </si>
  <si>
    <t>EV81</t>
  </si>
  <si>
    <t>家事日増１．７５・初計</t>
  </si>
  <si>
    <t>EV82</t>
  </si>
  <si>
    <t>家事日増１．７５・２人・初計</t>
  </si>
  <si>
    <t>EV83</t>
  </si>
  <si>
    <t>家事日増１．７５・基・初計</t>
  </si>
  <si>
    <t>EV84</t>
  </si>
  <si>
    <t>家事日増１．７５・基・２人・初計</t>
  </si>
  <si>
    <t>家事日増２．０</t>
  </si>
  <si>
    <t>(8)日中 １時間４５分以上 ２時間未満</t>
  </si>
  <si>
    <t>家事日増２．０・２人</t>
  </si>
  <si>
    <t>家事日増２．０・基</t>
  </si>
  <si>
    <t>家事日増２．０・基・２人</t>
  </si>
  <si>
    <t>EW01</t>
  </si>
  <si>
    <t>家事日増２．０・初計</t>
  </si>
  <si>
    <t>EW02</t>
  </si>
  <si>
    <t>家事日増２．０・２人・初計</t>
  </si>
  <si>
    <t>EW03</t>
  </si>
  <si>
    <t>家事日増２．０・基・初計</t>
  </si>
  <si>
    <t>EW04</t>
  </si>
  <si>
    <t>家事日増２．０・基・２人・初計</t>
  </si>
  <si>
    <t>家事日増２．２５</t>
  </si>
  <si>
    <t>(9)日中 ２時間以上 ２時間１５分未満</t>
  </si>
  <si>
    <t>家事日増２．２５・２人</t>
  </si>
  <si>
    <t>家事日増２．２５・基</t>
  </si>
  <si>
    <t>家事日増２．２５・基・２人</t>
  </si>
  <si>
    <t>EW21</t>
  </si>
  <si>
    <t>家事日増２．２５・初計</t>
  </si>
  <si>
    <t>EW22</t>
  </si>
  <si>
    <t>家事日増２．２５・２人・初計</t>
  </si>
  <si>
    <t>EW23</t>
  </si>
  <si>
    <t>家事日増２．２５・基・初計</t>
  </si>
  <si>
    <t>EW24</t>
  </si>
  <si>
    <t>家事日増２．２５・基・２人・初計</t>
  </si>
  <si>
    <t>家事日増２．５</t>
  </si>
  <si>
    <t>(10)日中 ２時間１５分以上 ２時間３０分未満</t>
  </si>
  <si>
    <t>家事日増２．５・２人</t>
  </si>
  <si>
    <t>家事日増２．５・基</t>
  </si>
  <si>
    <t>家事日増２．５・基・２人</t>
  </si>
  <si>
    <t>EW41</t>
  </si>
  <si>
    <t>家事日増２．５・初計</t>
  </si>
  <si>
    <t>EW42</t>
  </si>
  <si>
    <t>家事日増２．５・２人・初計</t>
  </si>
  <si>
    <t>EW43</t>
  </si>
  <si>
    <t>家事日増２．５・基・初計</t>
  </si>
  <si>
    <t>EW44</t>
  </si>
  <si>
    <t>家事日増２．５・基・２人・初計</t>
  </si>
  <si>
    <t>家事日増２．７５</t>
  </si>
  <si>
    <t>(11)日中 ２時間３０分以上 ２時間４５分未満</t>
  </si>
  <si>
    <t>家事日増２．７５・２人</t>
  </si>
  <si>
    <t>家事日増２．７５・基</t>
  </si>
  <si>
    <t>家事日増２．７５・基・２人</t>
  </si>
  <si>
    <t>EW61</t>
  </si>
  <si>
    <t>家事日増２．７５・初計</t>
  </si>
  <si>
    <t>EW62</t>
  </si>
  <si>
    <t>家事日増２．７５・２人・初計</t>
  </si>
  <si>
    <t>EW63</t>
  </si>
  <si>
    <t>家事日増２．７５・基・初計</t>
  </si>
  <si>
    <t>EW64</t>
  </si>
  <si>
    <t>家事日増２．７５・基・２人・初計</t>
  </si>
  <si>
    <t>家事日増３．０</t>
  </si>
  <si>
    <t>(12)日中 ２時間４５分以上 ３時間未満</t>
  </si>
  <si>
    <t>家事日増３．０・２人</t>
  </si>
  <si>
    <t>家事日増３．０・基</t>
  </si>
  <si>
    <t>家事日増３．０・基・２人</t>
  </si>
  <si>
    <t>EW81</t>
  </si>
  <si>
    <t>家事日増３．０・初計</t>
  </si>
  <si>
    <t>EW82</t>
  </si>
  <si>
    <t>家事日増３．０・２人・初計</t>
  </si>
  <si>
    <t>EW83</t>
  </si>
  <si>
    <t>家事日増３．０・基・初計</t>
  </si>
  <si>
    <t>EW84</t>
  </si>
  <si>
    <t>家事日増３．０・基・２人・初計</t>
  </si>
  <si>
    <t>家事日増３．２５</t>
  </si>
  <si>
    <t>(13)日中 ３時間以上 ３時間１５分未満</t>
  </si>
  <si>
    <t>家事日増３．２５・２人</t>
  </si>
  <si>
    <t>家事日増３．２５・基</t>
  </si>
  <si>
    <t>家事日増３．２５・基・２人</t>
  </si>
  <si>
    <t>EX01</t>
  </si>
  <si>
    <t>家事日増３．２５・初計</t>
  </si>
  <si>
    <t>EX02</t>
  </si>
  <si>
    <t>家事日増３．２５・２人・初計</t>
  </si>
  <si>
    <t>EX03</t>
  </si>
  <si>
    <t>家事日増３．２５・基・初計</t>
  </si>
  <si>
    <t>EX04</t>
  </si>
  <si>
    <t>家事日増３．２５・基・２人・初計</t>
  </si>
  <si>
    <t>家事日増３．５</t>
  </si>
  <si>
    <t>(14)日中 ３時間１５分以上 ３時間３０分未満</t>
  </si>
  <si>
    <t>家事日増３．５・２人</t>
  </si>
  <si>
    <t>家事日増３．５・基</t>
  </si>
  <si>
    <t>家事日増３．５・基・２人</t>
  </si>
  <si>
    <t>EX21</t>
  </si>
  <si>
    <t>家事日増３．５・初計</t>
  </si>
  <si>
    <t>EX22</t>
  </si>
  <si>
    <t>家事日増３．５・２人・初計</t>
  </si>
  <si>
    <t>EX23</t>
  </si>
  <si>
    <t>家事日増３．５・基・初計</t>
  </si>
  <si>
    <t>EX24</t>
  </si>
  <si>
    <t>家事日増３．５・基・２人・初計</t>
  </si>
  <si>
    <t>家事日増３．７５</t>
  </si>
  <si>
    <t>(15)日中 ３時間３０分以上 ３時間４５分未満</t>
  </si>
  <si>
    <t>家事日増３．７５・２人</t>
  </si>
  <si>
    <t>家事日増３．７５・基</t>
  </si>
  <si>
    <t>家事日増３．７５・基・２人</t>
  </si>
  <si>
    <t>EX41</t>
  </si>
  <si>
    <t>家事日増３．７５・初計</t>
  </si>
  <si>
    <t>EX42</t>
  </si>
  <si>
    <t>家事日増３．７５・２人・初計</t>
  </si>
  <si>
    <t>EX43</t>
  </si>
  <si>
    <t>家事日増３．７５・基・初計</t>
  </si>
  <si>
    <t>EX44</t>
  </si>
  <si>
    <t>家事日増３．７５・基・２人・初計</t>
  </si>
  <si>
    <t>家事日増４．０</t>
  </si>
  <si>
    <t>(16)日中 ３時間４５分以上 ４時間未満</t>
  </si>
  <si>
    <t>家事日増４．０・２人</t>
  </si>
  <si>
    <t>家事日増４．０・基</t>
  </si>
  <si>
    <t>家事日増４．０・基・２人</t>
  </si>
  <si>
    <t>EX61</t>
  </si>
  <si>
    <t>家事日増４．０・初計</t>
  </si>
  <si>
    <t>EX62</t>
  </si>
  <si>
    <t>家事日増４．０・２人・初計</t>
  </si>
  <si>
    <t>EX63</t>
  </si>
  <si>
    <t>家事日増４．０・基・初計</t>
  </si>
  <si>
    <t>EX64</t>
  </si>
  <si>
    <t>家事日増４．０・基・２人・初計</t>
  </si>
  <si>
    <t>家事日増４．２５</t>
  </si>
  <si>
    <t>(17)日中 ４時間以上 ４時間１５分未満</t>
  </si>
  <si>
    <t>家事日増４．２５・２人</t>
  </si>
  <si>
    <t>家事日増４．２５・基</t>
  </si>
  <si>
    <t>家事日増４．２５・基・２人</t>
  </si>
  <si>
    <t>EX81</t>
  </si>
  <si>
    <t>家事日増４．２５・初計</t>
  </si>
  <si>
    <t>EX82</t>
  </si>
  <si>
    <t>家事日増４．２５・２人・初計</t>
  </si>
  <si>
    <t>EX83</t>
  </si>
  <si>
    <t>家事日増４．２５・基・初計</t>
  </si>
  <si>
    <t>EX84</t>
  </si>
  <si>
    <t>家事日増４．２５・基・２人・初計</t>
  </si>
  <si>
    <t>家事日増４．５</t>
  </si>
  <si>
    <t>(18)日中 ４時間１５分以上 ４時間３０分未満</t>
  </si>
  <si>
    <t>家事日増４．５・２人</t>
  </si>
  <si>
    <t>家事日増４．５・基</t>
  </si>
  <si>
    <t>家事日増４．５・基・２人</t>
  </si>
  <si>
    <t>EY01</t>
  </si>
  <si>
    <t>家事日増４．５・初計</t>
  </si>
  <si>
    <t>EY02</t>
  </si>
  <si>
    <t>家事日増４．５・２人・初計</t>
  </si>
  <si>
    <t>EY03</t>
  </si>
  <si>
    <t>家事日増４．５・基・初計</t>
  </si>
  <si>
    <t>EY04</t>
  </si>
  <si>
    <t>家事日増４．５・基・２人・初計</t>
  </si>
  <si>
    <t>家事日増４．７５</t>
  </si>
  <si>
    <t>(19)日中 ４時間３０分以上 ４時間４５分未満</t>
  </si>
  <si>
    <t>家事日増４．７５・２人</t>
  </si>
  <si>
    <t>家事日増４．７５・基</t>
  </si>
  <si>
    <t>家事日増４．７５・基・２人</t>
  </si>
  <si>
    <t>EY21</t>
  </si>
  <si>
    <t>家事日増４．７５・初計</t>
  </si>
  <si>
    <t>EY22</t>
  </si>
  <si>
    <t>家事日増４．７５・２人・初計</t>
  </si>
  <si>
    <t>EY23</t>
  </si>
  <si>
    <t>家事日増４．７５・基・初計</t>
  </si>
  <si>
    <t>EY24</t>
  </si>
  <si>
    <t>家事日増４．７５・基・２人・初計</t>
  </si>
  <si>
    <t>家事日増５．０</t>
  </si>
  <si>
    <t>(20)日中 ４時間４５分以上 ５時間未満</t>
  </si>
  <si>
    <t>家事日増５．０・２人</t>
  </si>
  <si>
    <t>家事日増５．０・基</t>
  </si>
  <si>
    <t>家事日増５．０・基・２人</t>
  </si>
  <si>
    <t>EY41</t>
  </si>
  <si>
    <t>家事日増５．０・初計</t>
  </si>
  <si>
    <t>EY42</t>
  </si>
  <si>
    <t>家事日増５．０・２人・初計</t>
  </si>
  <si>
    <t>EY43</t>
  </si>
  <si>
    <t>家事日増５．０・基・初計</t>
  </si>
  <si>
    <t>EY44</t>
  </si>
  <si>
    <t>家事日増５．０・基・２人・初計</t>
  </si>
  <si>
    <t>家事日増５．２５</t>
  </si>
  <si>
    <t>(21)日中 ５時間以上 ５時間１５分未満</t>
  </si>
  <si>
    <t>家事日増５．２５・２人</t>
  </si>
  <si>
    <t>家事日増５．２５・基</t>
  </si>
  <si>
    <t>家事日増５．２５・基・２人</t>
  </si>
  <si>
    <t>EY61</t>
  </si>
  <si>
    <t>家事日増５．２５・初計</t>
  </si>
  <si>
    <t>EY62</t>
  </si>
  <si>
    <t>家事日増５．２５・２人・初計</t>
  </si>
  <si>
    <t>EY63</t>
  </si>
  <si>
    <t>家事日増５．２５・基・初計</t>
  </si>
  <si>
    <t>EY64</t>
  </si>
  <si>
    <t>家事日増５．２５・基・２人・初計</t>
  </si>
  <si>
    <t>家事日増５．５</t>
  </si>
  <si>
    <t>(22)日中 ５時間１５分以上 ５時間３０分未満</t>
  </si>
  <si>
    <t>家事日増５．５・２人</t>
  </si>
  <si>
    <t>家事日増５．５・基</t>
  </si>
  <si>
    <t>家事日増５．５・基・２人</t>
  </si>
  <si>
    <t>EY81</t>
  </si>
  <si>
    <t>家事日増５．５・初計</t>
  </si>
  <si>
    <t>EY82</t>
  </si>
  <si>
    <t>家事日増５．５・２人・初計</t>
  </si>
  <si>
    <t>EY83</t>
  </si>
  <si>
    <t>家事日増５．５・基・初計</t>
  </si>
  <si>
    <t>EY84</t>
  </si>
  <si>
    <t>家事日増５．５・基・２人・初計</t>
  </si>
  <si>
    <t>家事日増５．７５</t>
  </si>
  <si>
    <t>(23)日中 ５時間３０分以上 ５時間４５分未満</t>
  </si>
  <si>
    <t>家事日増５．７５・２人</t>
  </si>
  <si>
    <t>家事日増５．７５・基</t>
  </si>
  <si>
    <t>家事日増５．７５・基・２人</t>
  </si>
  <si>
    <t>EZ01</t>
  </si>
  <si>
    <t>家事日増５．７５・初計</t>
  </si>
  <si>
    <t>EZ02</t>
  </si>
  <si>
    <t>家事日増５．７５・２人・初計</t>
  </si>
  <si>
    <t>EZ03</t>
  </si>
  <si>
    <t>家事日増５．７５・基・初計</t>
  </si>
  <si>
    <t>EZ04</t>
  </si>
  <si>
    <t>家事日増５．７５・基・２人・初計</t>
  </si>
  <si>
    <t>家事日増６．０</t>
  </si>
  <si>
    <t>(24)日中 ５時間４５分以上 ６時間未満</t>
  </si>
  <si>
    <t>家事日増６．０・２人</t>
  </si>
  <si>
    <t>家事日増６．０・基</t>
  </si>
  <si>
    <t>家事日増６．０・基・２人</t>
  </si>
  <si>
    <t>EZ21</t>
  </si>
  <si>
    <t>家事日増６．０・初計</t>
  </si>
  <si>
    <t>EZ22</t>
  </si>
  <si>
    <t>家事日増６．０・２人・初計</t>
  </si>
  <si>
    <t>EZ23</t>
  </si>
  <si>
    <t>家事日増６．０・基・初計</t>
  </si>
  <si>
    <t>EZ24</t>
  </si>
  <si>
    <t>家事日増６．０・基・２人・初計</t>
  </si>
  <si>
    <t>家事日増６．２５</t>
  </si>
  <si>
    <t>(25)日中 ６時間以上 ６時間１５分未満</t>
  </si>
  <si>
    <t>家事日増６．２５・２人</t>
  </si>
  <si>
    <t>家事日増６．２５・基</t>
  </si>
  <si>
    <t>家事日増６．２５・基・２人</t>
  </si>
  <si>
    <t>EZ41</t>
  </si>
  <si>
    <t>家事日増６．２５・初計</t>
  </si>
  <si>
    <t>EZ42</t>
  </si>
  <si>
    <t>家事日増６．２５・２人・初計</t>
  </si>
  <si>
    <t>EZ43</t>
  </si>
  <si>
    <t>家事日増６．２５・基・初計</t>
  </si>
  <si>
    <t>EZ44</t>
  </si>
  <si>
    <t>家事日増６．２５・基・２人・初計</t>
  </si>
  <si>
    <t>家事日増６．５</t>
  </si>
  <si>
    <t>(26)日中 ６時間１５分以上 ６時間３０分未満</t>
  </si>
  <si>
    <t>家事日増６．５・２人</t>
  </si>
  <si>
    <t>家事日増６．５・基</t>
  </si>
  <si>
    <t>家事日増６．５・基・２人</t>
  </si>
  <si>
    <t>EZ61</t>
  </si>
  <si>
    <t>家事日増６．５・初計</t>
  </si>
  <si>
    <t>EZ62</t>
  </si>
  <si>
    <t>家事日増６．５・２人・初計</t>
  </si>
  <si>
    <t>EZ63</t>
  </si>
  <si>
    <t>家事日増６．５・基・初計</t>
  </si>
  <si>
    <t>EZ64</t>
  </si>
  <si>
    <t>家事日増６．５・基・２人・初計</t>
  </si>
  <si>
    <t>家事日増６．７５</t>
  </si>
  <si>
    <t>(27)日中 ６時間３０分以上 ６時間４５分未満</t>
  </si>
  <si>
    <t>家事日増６．７５・２人</t>
  </si>
  <si>
    <t>家事日増６．７５・基</t>
  </si>
  <si>
    <t>家事日増６．７５・基・２人</t>
  </si>
  <si>
    <t>EZ81</t>
  </si>
  <si>
    <t>家事日増６．７５・初計</t>
  </si>
  <si>
    <t>EZ82</t>
  </si>
  <si>
    <t>家事日増６．７５・２人・初計</t>
  </si>
  <si>
    <t>EZ83</t>
  </si>
  <si>
    <t>家事日増６．７５・基・初計</t>
  </si>
  <si>
    <t>EZ84</t>
  </si>
  <si>
    <t>家事日増６．７５・基・２人・初計</t>
  </si>
  <si>
    <t>家事日増７．０</t>
  </si>
  <si>
    <t>(28)日中 ６時間４５分以上 ７時間未満</t>
  </si>
  <si>
    <t>家事日増７．０・２人</t>
  </si>
  <si>
    <t>家事日増７．０・基</t>
  </si>
  <si>
    <t>家事日増７．０・基・２人</t>
  </si>
  <si>
    <t>F001</t>
  </si>
  <si>
    <t>家事日増７．０・初計</t>
  </si>
  <si>
    <t>F002</t>
  </si>
  <si>
    <t>家事日増７．０・２人・初計</t>
  </si>
  <si>
    <t>F003</t>
  </si>
  <si>
    <t>家事日増７．０・基・初計</t>
  </si>
  <si>
    <t>F004</t>
  </si>
  <si>
    <t>家事日増７．０・基・２人・初計</t>
  </si>
  <si>
    <t>家事日増７．２５</t>
  </si>
  <si>
    <t>(29)日中 ７時間以上 ７時間１５分未満</t>
  </si>
  <si>
    <t>家事日増７．２５・２人</t>
  </si>
  <si>
    <t>家事日増７．２５・基</t>
  </si>
  <si>
    <t>家事日増７．２５・基・２人</t>
  </si>
  <si>
    <t>F021</t>
  </si>
  <si>
    <t>家事日増７．２５・初計</t>
  </si>
  <si>
    <t>F022</t>
  </si>
  <si>
    <t>家事日増７．２５・２人・初計</t>
  </si>
  <si>
    <t>F023</t>
  </si>
  <si>
    <t>家事日増７．２５・基・初計</t>
  </si>
  <si>
    <t>F024</t>
  </si>
  <si>
    <t>家事日増７．２５・基・２人・初計</t>
  </si>
  <si>
    <t>家事日増７．５</t>
  </si>
  <si>
    <t>(30)日中 ７時間１５分以上 ７時間３０分未満</t>
  </si>
  <si>
    <t>家事日増７．５・２人</t>
  </si>
  <si>
    <t>家事日増７．５・基</t>
  </si>
  <si>
    <t>家事日増７．５・基・２人</t>
  </si>
  <si>
    <t>F041</t>
  </si>
  <si>
    <t>家事日増７．５・初計</t>
  </si>
  <si>
    <t>F042</t>
  </si>
  <si>
    <t>家事日増７．５・２人・初計</t>
  </si>
  <si>
    <t>F043</t>
  </si>
  <si>
    <t>家事日増７．５・基・初計</t>
  </si>
  <si>
    <t>F044</t>
  </si>
  <si>
    <t>家事日増７．５・基・２人・初計</t>
  </si>
  <si>
    <t>家事日増７．７５</t>
  </si>
  <si>
    <t>(31)日中 ７時間３０分以上 ７時間４５分未満</t>
  </si>
  <si>
    <t>家事日増７．７５・２人</t>
  </si>
  <si>
    <t>家事日増７．７５・基</t>
  </si>
  <si>
    <t>家事日増７．７５・基・２人</t>
  </si>
  <si>
    <t>F061</t>
  </si>
  <si>
    <t>家事日増７．７５・初計</t>
  </si>
  <si>
    <t>F062</t>
  </si>
  <si>
    <t>家事日増７．７５・２人・初計</t>
  </si>
  <si>
    <t>F063</t>
  </si>
  <si>
    <t>家事日増７．７５・基・初計</t>
  </si>
  <si>
    <t>F064</t>
  </si>
  <si>
    <t>家事日増７．７５・基・２人・初計</t>
  </si>
  <si>
    <t>家事日増８．０</t>
  </si>
  <si>
    <t>(32)日中 ７時間４５分以上 ８時間未満</t>
  </si>
  <si>
    <t>家事日増８．０・２人</t>
  </si>
  <si>
    <t>家事日増８．０・基</t>
  </si>
  <si>
    <t>家事日増８．０・基・２人</t>
  </si>
  <si>
    <t>F081</t>
  </si>
  <si>
    <t>家事日増８．０・初計</t>
  </si>
  <si>
    <t>F082</t>
  </si>
  <si>
    <t>家事日増８．０・２人・初計</t>
  </si>
  <si>
    <t>F083</t>
  </si>
  <si>
    <t>家事日増８．０・基・初計</t>
  </si>
  <si>
    <t>F084</t>
  </si>
  <si>
    <t>家事日増８．０・基・２人・初計</t>
  </si>
  <si>
    <t>家事日増８．２５</t>
  </si>
  <si>
    <t>(33)日中 ８時間以上 ８時間１５分未満</t>
  </si>
  <si>
    <t>家事日増８．２５・２人</t>
  </si>
  <si>
    <t>家事日増８．２５・基</t>
  </si>
  <si>
    <t>家事日増８．２５・基・２人</t>
  </si>
  <si>
    <t>F101</t>
  </si>
  <si>
    <t>家事日増８．２５・初計</t>
  </si>
  <si>
    <t>F102</t>
  </si>
  <si>
    <t>家事日増８．２５・２人・初計</t>
  </si>
  <si>
    <t>F103</t>
  </si>
  <si>
    <t>家事日増８．２５・基・初計</t>
  </si>
  <si>
    <t>F104</t>
  </si>
  <si>
    <t>家事日増８．２５・基・２人・初計</t>
  </si>
  <si>
    <t>家事日増８．５</t>
  </si>
  <si>
    <t>(34)日中 ８時間１５分以上 ８時間３０分未満</t>
  </si>
  <si>
    <t>家事日増８．５・２人</t>
  </si>
  <si>
    <t>家事日増８．５・基</t>
  </si>
  <si>
    <t>家事日増８．５・基・２人</t>
  </si>
  <si>
    <t>F121</t>
  </si>
  <si>
    <t>家事日増８．５・初計</t>
  </si>
  <si>
    <t>F122</t>
  </si>
  <si>
    <t>家事日増８．５・２人・初計</t>
  </si>
  <si>
    <t>F123</t>
  </si>
  <si>
    <t>家事日増８．５・基・初計</t>
  </si>
  <si>
    <t>F124</t>
  </si>
  <si>
    <t>家事日増８．５・基・２人・初計</t>
  </si>
  <si>
    <t>家事日増８．７５</t>
  </si>
  <si>
    <t>(35)日中 ８時間３０分以上 ８時間４５分未満</t>
  </si>
  <si>
    <t>家事日増８．７５・２人</t>
  </si>
  <si>
    <t>家事日増８．７５・基</t>
  </si>
  <si>
    <t>家事日増８．７５・基・２人</t>
  </si>
  <si>
    <t>F141</t>
  </si>
  <si>
    <t>家事日増８．７５・初計</t>
  </si>
  <si>
    <t>F142</t>
  </si>
  <si>
    <t>家事日増８．７５・２人・初計</t>
  </si>
  <si>
    <t>F143</t>
  </si>
  <si>
    <t>家事日増８．７５・基・初計</t>
  </si>
  <si>
    <t>F144</t>
  </si>
  <si>
    <t>家事日増８．７５・基・２人・初計</t>
  </si>
  <si>
    <t>家事日増９．０</t>
  </si>
  <si>
    <t>(36)日中 ８時間４５分以上 ９時間未満</t>
  </si>
  <si>
    <t>家事日増９．０・２人</t>
  </si>
  <si>
    <t>家事日増９．０・基</t>
  </si>
  <si>
    <t>家事日増９．０・基・２人</t>
  </si>
  <si>
    <t>F161</t>
  </si>
  <si>
    <t>家事日増９．０・初計</t>
  </si>
  <si>
    <t>F162</t>
  </si>
  <si>
    <t>家事日増９．０・２人・初計</t>
  </si>
  <si>
    <t>F163</t>
  </si>
  <si>
    <t>家事日増９．０・基・初計</t>
  </si>
  <si>
    <t>F164</t>
  </si>
  <si>
    <t>家事日増９．０・基・２人・初計</t>
  </si>
  <si>
    <t>家事日増９．２５</t>
  </si>
  <si>
    <t>(37)日中 ９時間以上 ９時間１５分未満</t>
  </si>
  <si>
    <t>家事日増９．２５・２人</t>
  </si>
  <si>
    <t>家事日増９．２５・基</t>
  </si>
  <si>
    <t>家事日増９．２５・基・２人</t>
  </si>
  <si>
    <t>F181</t>
  </si>
  <si>
    <t>家事日増９．２５・初計</t>
  </si>
  <si>
    <t>F182</t>
  </si>
  <si>
    <t>家事日増９．２５・２人・初計</t>
  </si>
  <si>
    <t>F183</t>
  </si>
  <si>
    <t>家事日増９．２５・基・初計</t>
  </si>
  <si>
    <t>F184</t>
  </si>
  <si>
    <t>家事日増９．２５・基・２人・初計</t>
  </si>
  <si>
    <t>家事日増９．５</t>
  </si>
  <si>
    <t>(38)日中 ９時間１５分以上 ９時間３０分未満</t>
  </si>
  <si>
    <t>家事日増９．５・２人</t>
  </si>
  <si>
    <t>家事日増９．５・基</t>
  </si>
  <si>
    <t>家事日増９．５・基・２人</t>
  </si>
  <si>
    <t>F201</t>
  </si>
  <si>
    <t>家事日増９．５・初計</t>
  </si>
  <si>
    <t>F202</t>
  </si>
  <si>
    <t>家事日増９．５・２人・初計</t>
  </si>
  <si>
    <t>F203</t>
  </si>
  <si>
    <t>家事日増９．５・基・初計</t>
  </si>
  <si>
    <t>F204</t>
  </si>
  <si>
    <t>家事日増９．５・基・２人・初計</t>
  </si>
  <si>
    <t>家事日増９．７５</t>
  </si>
  <si>
    <t>(39)日中 ９時間３０分以上 ９時間４５分未満</t>
  </si>
  <si>
    <t>家事日増９．７５・２人</t>
  </si>
  <si>
    <t>家事日増９．７５・基</t>
  </si>
  <si>
    <t>家事日増９．７５・基・２人</t>
  </si>
  <si>
    <t>F221</t>
  </si>
  <si>
    <t>家事日増９．７５・初計</t>
  </si>
  <si>
    <t>F222</t>
  </si>
  <si>
    <t>家事日増９．７５・２人・初計</t>
  </si>
  <si>
    <t>F223</t>
  </si>
  <si>
    <t>家事日増９．７５・基・初計</t>
  </si>
  <si>
    <t>F224</t>
  </si>
  <si>
    <t>家事日増９．７５・基・２人・初計</t>
  </si>
  <si>
    <t>家事日増１０．０</t>
  </si>
  <si>
    <t>(40)日中 ９時間４５分以上 １０時間未満</t>
  </si>
  <si>
    <t>家事日増１０．０・２人</t>
  </si>
  <si>
    <t>家事日増１０．０・基</t>
  </si>
  <si>
    <t>家事日増１０．０・基・２人</t>
  </si>
  <si>
    <t>F241</t>
  </si>
  <si>
    <t>家事日増１０．０・初計</t>
  </si>
  <si>
    <t>F242</t>
  </si>
  <si>
    <t>家事日増１０．０・２人・初計</t>
  </si>
  <si>
    <t>F243</t>
  </si>
  <si>
    <t>家事日増１０．０・基・初計</t>
  </si>
  <si>
    <t>F244</t>
  </si>
  <si>
    <t>家事日増１０．０・基・２人・初計</t>
  </si>
  <si>
    <t>家事日増１０．２５</t>
  </si>
  <si>
    <t>(41)日中 １０時間以上 １０時間１５分未満</t>
  </si>
  <si>
    <t>家事日増１０．２５・２人</t>
  </si>
  <si>
    <t>家事日増１０．２５・基</t>
  </si>
  <si>
    <t>家事日増１０．２５・基・２人</t>
  </si>
  <si>
    <t>F261</t>
  </si>
  <si>
    <t>家事日増１０．２５・初計</t>
  </si>
  <si>
    <t>F262</t>
  </si>
  <si>
    <t>家事日増１０．２５・２人・初計</t>
  </si>
  <si>
    <t>F263</t>
  </si>
  <si>
    <t>家事日増１０．２５・基・初計</t>
  </si>
  <si>
    <t>F264</t>
  </si>
  <si>
    <t>家事日増１０．２５・基・２人・初計</t>
  </si>
  <si>
    <t>家事日増１０．５</t>
  </si>
  <si>
    <t>(42)日中 １０時間１５分以上 １０時間３０分未満</t>
  </si>
  <si>
    <t>家事日増１０．５・２人</t>
  </si>
  <si>
    <t>家事日増１０．５・基</t>
  </si>
  <si>
    <t>家事日増１０．５・基・２人</t>
  </si>
  <si>
    <t>F281</t>
  </si>
  <si>
    <t>家事日増１０．５・初計</t>
  </si>
  <si>
    <t>F282</t>
  </si>
  <si>
    <t>家事日増１０．５・２人・初計</t>
  </si>
  <si>
    <t>F283</t>
  </si>
  <si>
    <t>家事日増１０．５・基・初計</t>
  </si>
  <si>
    <t>F284</t>
  </si>
  <si>
    <t>家事日増１０．５・基・２人・初計</t>
  </si>
  <si>
    <t>ハ　家事援助　（早朝増分）</t>
  </si>
  <si>
    <t>家事早増０．２５</t>
    <phoneticPr fontId="1"/>
  </si>
  <si>
    <t>(1)早朝 １５分未満</t>
  </si>
  <si>
    <t>家事早増０．２５・２人</t>
  </si>
  <si>
    <t>家事早増０．２５・基</t>
  </si>
  <si>
    <t>家事早増０．２５・基・２人</t>
  </si>
  <si>
    <t>F301</t>
  </si>
  <si>
    <t>家事早増０．２５・初計</t>
  </si>
  <si>
    <t>F302</t>
  </si>
  <si>
    <t>家事早増０．２５・２人・初計</t>
  </si>
  <si>
    <t>F303</t>
  </si>
  <si>
    <t>家事早増０．２５・基・初計</t>
  </si>
  <si>
    <t>F304</t>
  </si>
  <si>
    <t>家事早増０．２５・基・２人・初計</t>
    <phoneticPr fontId="1"/>
  </si>
  <si>
    <t>家事早増０．５</t>
  </si>
  <si>
    <t>(2)早朝 １５分以上 ３０分未満</t>
  </si>
  <si>
    <t>家事早増０．５・２人</t>
  </si>
  <si>
    <t>家事早増０．５・基</t>
  </si>
  <si>
    <t>家事早増０．５・基・２人</t>
  </si>
  <si>
    <t>F321</t>
  </si>
  <si>
    <t>家事早増０．５・初計</t>
  </si>
  <si>
    <t>F322</t>
  </si>
  <si>
    <t>家事早増０．５・２人・初計</t>
  </si>
  <si>
    <t>F323</t>
  </si>
  <si>
    <t>家事早増０．５・基・初計</t>
  </si>
  <si>
    <t>F324</t>
  </si>
  <si>
    <t>家事早増０．５・基・２人・初計</t>
  </si>
  <si>
    <t>家事早増０．７５</t>
  </si>
  <si>
    <t>(3)早朝 ３０分以上 ４５分未満</t>
  </si>
  <si>
    <t>家事早増０．７５・２人</t>
  </si>
  <si>
    <t>家事早増０．７５・基</t>
  </si>
  <si>
    <t>家事早増０．７５・基・２人</t>
  </si>
  <si>
    <t>F341</t>
  </si>
  <si>
    <t>家事早増０．７５・初計</t>
  </si>
  <si>
    <t>F342</t>
  </si>
  <si>
    <t>家事早増０．７５・２人・初計</t>
  </si>
  <si>
    <t>F343</t>
  </si>
  <si>
    <t>家事早増０．７５・基・初計</t>
  </si>
  <si>
    <t>F344</t>
  </si>
  <si>
    <t>家事早増０．７５・基・２人・初計</t>
  </si>
  <si>
    <t>家事早増１．０</t>
  </si>
  <si>
    <t>(4)早朝 ４５分以上 １時間未満</t>
  </si>
  <si>
    <t>家事早増１．０・２人</t>
  </si>
  <si>
    <t>家事早増１．０・基</t>
  </si>
  <si>
    <t>家事早増１．０・基・２人</t>
  </si>
  <si>
    <t>F361</t>
  </si>
  <si>
    <t>家事早増１．０・初計</t>
  </si>
  <si>
    <t>F362</t>
  </si>
  <si>
    <t>家事早増１．０・２人・初計</t>
  </si>
  <si>
    <t>F363</t>
  </si>
  <si>
    <t>家事早増１．０・基・初計</t>
  </si>
  <si>
    <t>F364</t>
  </si>
  <si>
    <t>家事早増１．０・基・２人・初計</t>
  </si>
  <si>
    <t>家事早増１．２５</t>
  </si>
  <si>
    <t>(5)早朝 １時間以上 １時間１５分未満</t>
  </si>
  <si>
    <t>家事早増１．２５・２人</t>
  </si>
  <si>
    <t>家事早増１．２５・基</t>
  </si>
  <si>
    <t>家事早増１．２５・基・２人</t>
  </si>
  <si>
    <t>F381</t>
  </si>
  <si>
    <t>家事早増１．２５・初計</t>
  </si>
  <si>
    <t>F382</t>
  </si>
  <si>
    <t>家事早増１．２５・２人・初計</t>
  </si>
  <si>
    <t>F383</t>
  </si>
  <si>
    <t>家事早増１．２５・基・初計</t>
  </si>
  <si>
    <t>F384</t>
  </si>
  <si>
    <t>家事早増１．２５・基・２人・初計</t>
  </si>
  <si>
    <t>家事早増１．５</t>
  </si>
  <si>
    <t>(6)早朝 １時間１５分以上 １時間３０分未満</t>
  </si>
  <si>
    <t>家事早増１．５・２人</t>
  </si>
  <si>
    <t>家事早増１．５・基</t>
  </si>
  <si>
    <t>家事早増１．５・基・２人</t>
  </si>
  <si>
    <t>F401</t>
  </si>
  <si>
    <t>家事早増１．５・初計</t>
  </si>
  <si>
    <t>F402</t>
  </si>
  <si>
    <t>家事早増１．５・２人・初計</t>
  </si>
  <si>
    <t>F403</t>
  </si>
  <si>
    <t>家事早増１．５・基・初計</t>
  </si>
  <si>
    <t>F404</t>
  </si>
  <si>
    <t>家事早増１．５・基・２人・初計</t>
  </si>
  <si>
    <t>家事早増１．７５</t>
  </si>
  <si>
    <t>(7)早朝 １時間３０分以上 １時間４５分未満</t>
  </si>
  <si>
    <t>家事早増１．７５・２人</t>
  </si>
  <si>
    <t>家事早増１．７５・基</t>
  </si>
  <si>
    <t>家事早増１．７５・基・２人</t>
  </si>
  <si>
    <t>F421</t>
  </si>
  <si>
    <t>家事早増１．７５・初計</t>
  </si>
  <si>
    <t>F422</t>
  </si>
  <si>
    <t>家事早増１．７５・２人・初計</t>
  </si>
  <si>
    <t>F423</t>
  </si>
  <si>
    <t>家事早増１．７５・基・初計</t>
  </si>
  <si>
    <t>F424</t>
  </si>
  <si>
    <t>家事早増１．７５・基・２人・初計</t>
  </si>
  <si>
    <t>家事早増２．０</t>
  </si>
  <si>
    <t>(8)早朝 １時間４５分以上 ２時間未満</t>
  </si>
  <si>
    <t>家事早増２．０・２人</t>
  </si>
  <si>
    <t>家事早増２．０・基</t>
  </si>
  <si>
    <t>家事早増２．０・基・２人</t>
  </si>
  <si>
    <t>F441</t>
  </si>
  <si>
    <t>家事早増２．０・初計</t>
  </si>
  <si>
    <t>F442</t>
  </si>
  <si>
    <t>家事早増２．０・２人・初計</t>
  </si>
  <si>
    <t>F443</t>
  </si>
  <si>
    <t>家事早増２．０・基・初計</t>
  </si>
  <si>
    <t>F444</t>
  </si>
  <si>
    <t>家事早増２．０・基・２人・初計</t>
  </si>
  <si>
    <t>家事早増２．２５</t>
  </si>
  <si>
    <t>(9)早朝 ２時間以上 ２時間１５分未満</t>
  </si>
  <si>
    <t>家事早増２．２５・２人</t>
  </si>
  <si>
    <t>家事早増２．２５・基</t>
  </si>
  <si>
    <t>家事早増２．２５・基・２人</t>
  </si>
  <si>
    <t>F461</t>
  </si>
  <si>
    <t>家事早増２．２５・初計</t>
  </si>
  <si>
    <t>F462</t>
  </si>
  <si>
    <t>家事早増２．２５・２人・初計</t>
  </si>
  <si>
    <t>F463</t>
  </si>
  <si>
    <t>家事早増２．２５・基・初計</t>
  </si>
  <si>
    <t>F464</t>
  </si>
  <si>
    <t>家事早増２．２５・基・２人・初計</t>
  </si>
  <si>
    <t>家事早増２．５</t>
  </si>
  <si>
    <t>(10)早朝 ２時間１５分以上 ２時間３０分未満</t>
  </si>
  <si>
    <t>家事早増２．５・２人</t>
  </si>
  <si>
    <t>家事早増２．５・基</t>
  </si>
  <si>
    <t>家事早増２．５・基・２人</t>
  </si>
  <si>
    <t>F481</t>
  </si>
  <si>
    <t>家事早増２．５・初計</t>
  </si>
  <si>
    <t>F482</t>
  </si>
  <si>
    <t>家事早増２．５・２人・初計</t>
  </si>
  <si>
    <t>F483</t>
  </si>
  <si>
    <t>家事早増２．５・基・初計</t>
  </si>
  <si>
    <t>F484</t>
  </si>
  <si>
    <t>家事早増２．５・基・２人・初計</t>
    <phoneticPr fontId="1"/>
  </si>
  <si>
    <t>ハ　家事援助　（夜間増分）</t>
  </si>
  <si>
    <t>家事夜増０．２５</t>
  </si>
  <si>
    <t>(1)夜間 １５分未満</t>
  </si>
  <si>
    <t>家事夜増０．２５・２人</t>
  </si>
  <si>
    <t>家事夜増０．２５・基</t>
  </si>
  <si>
    <t>家事夜増０．２５・基・２人</t>
  </si>
  <si>
    <t>F501</t>
  </si>
  <si>
    <t>家事夜増０．２５・初計</t>
  </si>
  <si>
    <t>F502</t>
  </si>
  <si>
    <t>家事夜増０．２５・２人・初計</t>
  </si>
  <si>
    <t>F503</t>
  </si>
  <si>
    <t>家事夜増０．２５・基・初計</t>
  </si>
  <si>
    <t>F504</t>
  </si>
  <si>
    <t>家事夜増０．２５・基・２人・初計</t>
  </si>
  <si>
    <t>家事夜増０．５</t>
  </si>
  <si>
    <t>(2)夜間 １５分以上 ３０分未満</t>
  </si>
  <si>
    <t>家事夜増０．５・２人</t>
  </si>
  <si>
    <t>家事夜増０．５・基</t>
  </si>
  <si>
    <t>家事夜増０．５・基・２人</t>
  </si>
  <si>
    <t>F521</t>
  </si>
  <si>
    <t>家事夜増０．５・初計</t>
  </si>
  <si>
    <t>F522</t>
  </si>
  <si>
    <t>家事夜増０．５・２人・初計</t>
  </si>
  <si>
    <t>F523</t>
  </si>
  <si>
    <t>家事夜増０．５・基・初計</t>
  </si>
  <si>
    <t>F524</t>
  </si>
  <si>
    <t>家事夜増０．５・基・２人・初計</t>
  </si>
  <si>
    <t>家事夜増０．７５</t>
  </si>
  <si>
    <t>(3)夜間 ３０分以上 ４５分未満</t>
  </si>
  <si>
    <t>家事夜増０．７５・２人</t>
  </si>
  <si>
    <t>家事夜増０．７５・基</t>
  </si>
  <si>
    <t>家事夜増０．７５・基・２人</t>
  </si>
  <si>
    <t>F541</t>
  </si>
  <si>
    <t>家事夜増０．７５・初計</t>
  </si>
  <si>
    <t>F542</t>
  </si>
  <si>
    <t>家事夜増０．７５・２人・初計</t>
  </si>
  <si>
    <t>F543</t>
  </si>
  <si>
    <t>家事夜増０．７５・基・初計</t>
  </si>
  <si>
    <t>F544</t>
  </si>
  <si>
    <t>家事夜増０．７５・基・２人・初計</t>
  </si>
  <si>
    <t>家事夜増１．０</t>
  </si>
  <si>
    <t>(4)夜間 ４５分以上 １時間未満</t>
  </si>
  <si>
    <t>家事夜増１．０・２人</t>
  </si>
  <si>
    <t>家事夜増１．０・基</t>
  </si>
  <si>
    <t>家事夜増１．０・基・２人</t>
  </si>
  <si>
    <t>F561</t>
  </si>
  <si>
    <t>家事夜増１．０・初計</t>
  </si>
  <si>
    <t>F562</t>
  </si>
  <si>
    <t>家事夜増１．０・２人・初計</t>
  </si>
  <si>
    <t>F563</t>
  </si>
  <si>
    <t>家事夜増１．０・基・初計</t>
  </si>
  <si>
    <t>F564</t>
  </si>
  <si>
    <t>家事夜増１．０・基・２人・初計</t>
  </si>
  <si>
    <t>家事夜増１．２５</t>
  </si>
  <si>
    <t>(5)夜間 １時間以上 １時間１５分未満</t>
  </si>
  <si>
    <t>家事夜増１．２５・２人</t>
  </si>
  <si>
    <t>家事夜増１．２５・基</t>
  </si>
  <si>
    <t>家事夜増１．２５・基・２人</t>
  </si>
  <si>
    <t>F581</t>
  </si>
  <si>
    <t>家事夜増１．２５・初計</t>
  </si>
  <si>
    <t>F582</t>
  </si>
  <si>
    <t>家事夜増１．２５・２人・初計</t>
  </si>
  <si>
    <t>F583</t>
  </si>
  <si>
    <t>家事夜増１．２５・基・初計</t>
  </si>
  <si>
    <t>F584</t>
  </si>
  <si>
    <t>家事夜増１．２５・基・２人・初計</t>
  </si>
  <si>
    <t>家事夜増１．５</t>
  </si>
  <si>
    <t>(6)夜間 １時間１５分以上 １時間３０分未満</t>
  </si>
  <si>
    <t>家事夜増１．５・２人</t>
  </si>
  <si>
    <t>家事夜増１．５・基</t>
  </si>
  <si>
    <t>家事夜増１．５・基・２人</t>
  </si>
  <si>
    <t>F601</t>
  </si>
  <si>
    <t>家事夜増１．５・初計</t>
  </si>
  <si>
    <t>F602</t>
  </si>
  <si>
    <t>家事夜増１．５・２人・初計</t>
  </si>
  <si>
    <t>F603</t>
  </si>
  <si>
    <t>家事夜増１．５・基・初計</t>
  </si>
  <si>
    <t>F604</t>
  </si>
  <si>
    <t>家事夜増１．５・基・２人・初計</t>
  </si>
  <si>
    <t>家事夜増１．７５</t>
  </si>
  <si>
    <t>(7)夜間 １時間３０分以上 １時間４５分未満</t>
  </si>
  <si>
    <t>家事夜増１．７５・２人</t>
  </si>
  <si>
    <t>家事夜増１．７５・基</t>
  </si>
  <si>
    <t>家事夜増１．７５・基・２人</t>
  </si>
  <si>
    <t>F621</t>
  </si>
  <si>
    <t>家事夜増１．７５・初計</t>
  </si>
  <si>
    <t>F622</t>
  </si>
  <si>
    <t>家事夜増１．７５・２人・初計</t>
  </si>
  <si>
    <t>F623</t>
  </si>
  <si>
    <t>家事夜増１．７５・基・初計</t>
  </si>
  <si>
    <t>F624</t>
  </si>
  <si>
    <t>家事夜増１．７５・基・２人・初計</t>
  </si>
  <si>
    <t>家事夜増２．０</t>
  </si>
  <si>
    <t>(8)夜間 １時間４５分以上 ２時間未満</t>
  </si>
  <si>
    <t>家事夜増２．０・２人</t>
  </si>
  <si>
    <t>家事夜増２．０・基</t>
  </si>
  <si>
    <t>家事夜増２．０・基・２人</t>
  </si>
  <si>
    <t>F641</t>
  </si>
  <si>
    <t>家事夜増２．０・初計</t>
  </si>
  <si>
    <t>F642</t>
  </si>
  <si>
    <t>家事夜増２．０・２人・初計</t>
  </si>
  <si>
    <t>F643</t>
  </si>
  <si>
    <t>家事夜増２．０・基・初計</t>
  </si>
  <si>
    <t>F644</t>
  </si>
  <si>
    <t>家事夜増２．０・基・２人・初計</t>
  </si>
  <si>
    <t>家事夜増２．２５</t>
  </si>
  <si>
    <t>(9)夜間 ２時間以上 ２時間１５分未満</t>
  </si>
  <si>
    <t>家事夜増２．２５・２人</t>
  </si>
  <si>
    <t>家事夜増２．２５・基</t>
  </si>
  <si>
    <t>家事夜増２．２５・基・２人</t>
  </si>
  <si>
    <t>F661</t>
  </si>
  <si>
    <t>家事夜増２．２５・初計</t>
  </si>
  <si>
    <t>F662</t>
  </si>
  <si>
    <t>家事夜増２．２５・２人・初計</t>
  </si>
  <si>
    <t>F663</t>
  </si>
  <si>
    <t>家事夜増２．２５・基・初計</t>
  </si>
  <si>
    <t>F664</t>
  </si>
  <si>
    <t>家事夜増２．２５・基・２人・初計</t>
  </si>
  <si>
    <t>家事夜増２．５</t>
  </si>
  <si>
    <t>(10)夜間 ２時間１５分以上 ２時間３０分未満</t>
  </si>
  <si>
    <t>家事夜増２．５・２人</t>
  </si>
  <si>
    <t>家事夜増２．５・基</t>
  </si>
  <si>
    <t>家事夜増２．５・基・２人</t>
  </si>
  <si>
    <t>F681</t>
  </si>
  <si>
    <t>家事夜増２．５・初計</t>
  </si>
  <si>
    <t>F682</t>
  </si>
  <si>
    <t>家事夜増２．５・２人・初計</t>
  </si>
  <si>
    <t>F683</t>
  </si>
  <si>
    <t>家事夜増２．５・基・初計</t>
  </si>
  <si>
    <t>F684</t>
  </si>
  <si>
    <t>家事夜増２．５・基・２人・初計</t>
  </si>
  <si>
    <t>家事夜増２．７５</t>
  </si>
  <si>
    <t>(11)夜間 ２時間３０分以上 ２時間４５分未満</t>
  </si>
  <si>
    <t>家事夜増２．７５・２人</t>
  </si>
  <si>
    <t>家事夜増２．７５・基</t>
  </si>
  <si>
    <t>家事夜増２．７５・基・２人</t>
  </si>
  <si>
    <t>F701</t>
  </si>
  <si>
    <t>家事夜増２．７５・初計</t>
  </si>
  <si>
    <t>F702</t>
  </si>
  <si>
    <t>家事夜増２．７５・２人・初計</t>
  </si>
  <si>
    <t>F703</t>
  </si>
  <si>
    <t>家事夜増２．７５・基・初計</t>
  </si>
  <si>
    <t>F704</t>
  </si>
  <si>
    <t>家事夜増２．７５・基・２人・初計</t>
  </si>
  <si>
    <t>家事夜増３．０</t>
  </si>
  <si>
    <t>(12)夜間 ２時間４５分以上 ３時間未満</t>
  </si>
  <si>
    <t>家事夜増３．０・２人</t>
  </si>
  <si>
    <t>家事夜増３．０・基</t>
  </si>
  <si>
    <t>家事夜増３．０・基・２人</t>
  </si>
  <si>
    <t>F721</t>
  </si>
  <si>
    <t>家事夜増３．０・初計</t>
  </si>
  <si>
    <t>F722</t>
  </si>
  <si>
    <t>家事夜増３．０・２人・初計</t>
  </si>
  <si>
    <t>F723</t>
  </si>
  <si>
    <t>家事夜増３．０・基・初計</t>
  </si>
  <si>
    <t>F724</t>
  </si>
  <si>
    <t>家事夜増３．０・基・２人・初計</t>
  </si>
  <si>
    <t>家事夜増３．２５</t>
  </si>
  <si>
    <t>(13)夜間 ３時間以上 ３時間１５分未満</t>
  </si>
  <si>
    <t>家事夜増３．２５・２人</t>
  </si>
  <si>
    <t>家事夜増３．２５・基</t>
  </si>
  <si>
    <t>家事夜増３．２５・基・２人</t>
  </si>
  <si>
    <t>F741</t>
  </si>
  <si>
    <t>家事夜増３．２５・初計</t>
  </si>
  <si>
    <t>F742</t>
  </si>
  <si>
    <t>家事夜増３．２５・２人・初計</t>
  </si>
  <si>
    <t>F743</t>
  </si>
  <si>
    <t>家事夜増３．２５・基・初計</t>
  </si>
  <si>
    <t>F744</t>
  </si>
  <si>
    <t>家事夜増３．２５・基・２人・初計</t>
  </si>
  <si>
    <t>家事夜増３．５</t>
  </si>
  <si>
    <t>(14)夜間 ３時間１５分以上 ３時間３０分未満</t>
  </si>
  <si>
    <t>家事夜増３．５・２人</t>
  </si>
  <si>
    <t>家事夜増３．５・基</t>
  </si>
  <si>
    <t>家事夜増３．５・基・２人</t>
  </si>
  <si>
    <t>F761</t>
  </si>
  <si>
    <t>家事夜増３．５・初計</t>
  </si>
  <si>
    <t>F762</t>
  </si>
  <si>
    <t>家事夜増３．５・２人・初計</t>
  </si>
  <si>
    <t>F763</t>
  </si>
  <si>
    <t>家事夜増３．５・基・初計</t>
  </si>
  <si>
    <t>F764</t>
  </si>
  <si>
    <t>家事夜増３．５・基・２人・初計</t>
  </si>
  <si>
    <t>家事夜増３．７５</t>
  </si>
  <si>
    <t>(15)夜間 ３時間３０分以上 ３時間４５分未満</t>
  </si>
  <si>
    <t>家事夜増３．７５・２人</t>
  </si>
  <si>
    <t>家事夜増３．７５・基</t>
  </si>
  <si>
    <t>家事夜増３．７５・基・２人</t>
  </si>
  <si>
    <t>F781</t>
  </si>
  <si>
    <t>家事夜増３．７５・初計</t>
  </si>
  <si>
    <t>F782</t>
  </si>
  <si>
    <t>家事夜増３．７５・２人・初計</t>
  </si>
  <si>
    <t>F783</t>
  </si>
  <si>
    <t>家事夜増３．７５・基・初計</t>
  </si>
  <si>
    <t>F784</t>
  </si>
  <si>
    <t>家事夜増３．７５・基・２人・初計</t>
  </si>
  <si>
    <t>家事夜増４．０</t>
  </si>
  <si>
    <t>(16)夜間 ３時間４５分以上 ４時間未満</t>
  </si>
  <si>
    <t>家事夜増４．０・２人</t>
  </si>
  <si>
    <t>家事夜増４．０・基</t>
  </si>
  <si>
    <t>家事夜増４．０・基・２人</t>
  </si>
  <si>
    <t>F801</t>
  </si>
  <si>
    <t>家事夜増４．０・初計</t>
  </si>
  <si>
    <t>F802</t>
  </si>
  <si>
    <t>家事夜増４．０・２人・初計</t>
  </si>
  <si>
    <t>F803</t>
  </si>
  <si>
    <t>家事夜増４．０・基・初計</t>
  </si>
  <si>
    <t>F804</t>
  </si>
  <si>
    <t>家事夜増４．０・基・２人・初計</t>
  </si>
  <si>
    <t>家事夜増４．２５</t>
  </si>
  <si>
    <t>(17)夜間 ４時間以上 ４時間１５分未満</t>
  </si>
  <si>
    <t>家事夜増４．２５・２人</t>
  </si>
  <si>
    <t>家事夜増４．２５・基</t>
  </si>
  <si>
    <t>家事夜増４．２５・基・２人</t>
  </si>
  <si>
    <t>F821</t>
  </si>
  <si>
    <t>家事夜増４．２５・初計</t>
  </si>
  <si>
    <t>F822</t>
  </si>
  <si>
    <t>家事夜増４．２５・２人・初計</t>
  </si>
  <si>
    <t>F823</t>
  </si>
  <si>
    <t>家事夜増４．２５・基・初計</t>
  </si>
  <si>
    <t>F824</t>
  </si>
  <si>
    <t>家事夜増４．２５・基・２人・初計</t>
  </si>
  <si>
    <t>家事夜増４．５</t>
  </si>
  <si>
    <t>(18)夜間 ４時間１５分以上 ４時間３０分未満</t>
  </si>
  <si>
    <t>家事夜増４．５・２人</t>
  </si>
  <si>
    <t>家事夜増４．５・基</t>
  </si>
  <si>
    <t>家事夜増４．５・基・２人</t>
  </si>
  <si>
    <t>F841</t>
  </si>
  <si>
    <t>家事夜増４．５・初計</t>
  </si>
  <si>
    <t>F842</t>
  </si>
  <si>
    <t>家事夜増４．５・２人・初計</t>
  </si>
  <si>
    <t>F843</t>
  </si>
  <si>
    <t>家事夜増４．５・基・初計</t>
  </si>
  <si>
    <t>F844</t>
  </si>
  <si>
    <t>家事夜増４．５・基・２人・初計</t>
  </si>
  <si>
    <t>ハ　家事援助　（深夜増分）</t>
  </si>
  <si>
    <t>家事深増０．２５</t>
  </si>
  <si>
    <t>(1)深夜 １５分未満</t>
  </si>
  <si>
    <t>家事深増０．２５・２人</t>
  </si>
  <si>
    <t>家事深増０．２５・基</t>
  </si>
  <si>
    <t>家事深増０．２５・基・２人</t>
  </si>
  <si>
    <t>F861</t>
  </si>
  <si>
    <t>家事深増０．２５・初計</t>
  </si>
  <si>
    <t>F862</t>
  </si>
  <si>
    <t>家事深増０．２５・２人・初計</t>
  </si>
  <si>
    <t>F863</t>
  </si>
  <si>
    <t>家事深増０．２５・基・初計</t>
  </si>
  <si>
    <t>F864</t>
  </si>
  <si>
    <t>家事深増０．２５・基・２人・初計</t>
  </si>
  <si>
    <t>家事深増０．５</t>
  </si>
  <si>
    <t>(2)深夜 １５分以上 ３０分未満</t>
  </si>
  <si>
    <t>家事深増０．５・２人</t>
  </si>
  <si>
    <t>家事深増０．５・基</t>
  </si>
  <si>
    <t>家事深増０．５・基・２人</t>
  </si>
  <si>
    <t>F881</t>
  </si>
  <si>
    <t>家事深増０．５・初計</t>
  </si>
  <si>
    <t>F882</t>
  </si>
  <si>
    <t>家事深増０．５・２人・初計</t>
  </si>
  <si>
    <t>F883</t>
  </si>
  <si>
    <t>家事深増０．５・基・初計</t>
  </si>
  <si>
    <t>F884</t>
  </si>
  <si>
    <t>家事深増０．５・基・２人・初計</t>
  </si>
  <si>
    <t>家事深増０．７５</t>
  </si>
  <si>
    <t>(3)深夜 ３０分以上 ４５分未満</t>
  </si>
  <si>
    <t>家事深増０．７５・２人</t>
  </si>
  <si>
    <t>家事深増０．７５・基</t>
  </si>
  <si>
    <t>家事深増０．７５・基・２人</t>
  </si>
  <si>
    <t>F901</t>
  </si>
  <si>
    <t>家事深増０．７５・初計</t>
  </si>
  <si>
    <t>F902</t>
  </si>
  <si>
    <t>家事深増０．７５・２人・初計</t>
  </si>
  <si>
    <t>F903</t>
  </si>
  <si>
    <t>家事深増０．７５・基・初計</t>
  </si>
  <si>
    <t>F904</t>
  </si>
  <si>
    <t>家事深増０．７５・基・２人・初計</t>
  </si>
  <si>
    <t>家事深増１．０</t>
  </si>
  <si>
    <t>(4)深夜 ４５分以上 １時間未満</t>
  </si>
  <si>
    <t>家事深増１．０・２人</t>
  </si>
  <si>
    <t>家事深増１．０・基</t>
  </si>
  <si>
    <t>家事深増１．０・基・２人</t>
  </si>
  <si>
    <t>F921</t>
  </si>
  <si>
    <t>家事深増１．０・初計</t>
  </si>
  <si>
    <t>F922</t>
  </si>
  <si>
    <t>家事深増１．０・２人・初計</t>
  </si>
  <si>
    <t>F923</t>
  </si>
  <si>
    <t>家事深増１．０・基・初計</t>
  </si>
  <si>
    <t>F924</t>
  </si>
  <si>
    <t>家事深増１．０・基・２人・初計</t>
  </si>
  <si>
    <t>家事深増１．２５</t>
  </si>
  <si>
    <t>(5)深夜 １時間以上 １時間１５分未満</t>
  </si>
  <si>
    <t>家事深増１．２５・２人</t>
  </si>
  <si>
    <t>家事深増１．２５・基</t>
  </si>
  <si>
    <t>家事深増１．２５・基・２人</t>
  </si>
  <si>
    <t>F941</t>
  </si>
  <si>
    <t>家事深増１．２５・初計</t>
  </si>
  <si>
    <t>F942</t>
  </si>
  <si>
    <t>家事深増１．２５・２人・初計</t>
  </si>
  <si>
    <t>F943</t>
  </si>
  <si>
    <t>家事深増１．２５・基・初計</t>
  </si>
  <si>
    <t>F944</t>
  </si>
  <si>
    <t>家事深増１．２５・基・２人・初計</t>
  </si>
  <si>
    <t>家事深増１．５</t>
  </si>
  <si>
    <t>(6)深夜 １時間１５分以上 １時間３０分未満</t>
  </si>
  <si>
    <t>家事深増１．５・２人</t>
  </si>
  <si>
    <t>家事深増１．５・基</t>
  </si>
  <si>
    <t>家事深増１．５・基・２人</t>
  </si>
  <si>
    <t>F961</t>
  </si>
  <si>
    <t>家事深増１．５・初計</t>
  </si>
  <si>
    <t>F962</t>
  </si>
  <si>
    <t>家事深増１．５・２人・初計</t>
  </si>
  <si>
    <t>F963</t>
  </si>
  <si>
    <t>家事深増１．５・基・初計</t>
  </si>
  <si>
    <t>F964</t>
  </si>
  <si>
    <t>家事深増１．５・基・２人・初計</t>
  </si>
  <si>
    <t>家事深増１．７５</t>
  </si>
  <si>
    <t>(7)深夜 １時間３０分以上 １時間４５分未満</t>
  </si>
  <si>
    <t>家事深増１．７５・２人</t>
  </si>
  <si>
    <t>家事深増１．７５・基</t>
  </si>
  <si>
    <t>家事深増１．７５・基・２人</t>
  </si>
  <si>
    <t>F981</t>
  </si>
  <si>
    <t>家事深増１．７５・初計</t>
  </si>
  <si>
    <t>F982</t>
  </si>
  <si>
    <t>家事深増１．７５・２人・初計</t>
  </si>
  <si>
    <t>F983</t>
  </si>
  <si>
    <t>家事深増１．７５・基・初計</t>
  </si>
  <si>
    <t>F984</t>
  </si>
  <si>
    <t>家事深増１．７５・基・２人・初計</t>
  </si>
  <si>
    <t>家事深増２．０</t>
  </si>
  <si>
    <t>(8)深夜 １時間４５分以上 ２時間未満</t>
  </si>
  <si>
    <t>家事深増２．０・２人</t>
  </si>
  <si>
    <t>家事深増２．０・基</t>
  </si>
  <si>
    <t>家事深増２．０・基・２人</t>
  </si>
  <si>
    <t>FA01</t>
  </si>
  <si>
    <t>家事深増２．０・初計</t>
  </si>
  <si>
    <t>FA02</t>
  </si>
  <si>
    <t>家事深増２．０・２人・初計</t>
  </si>
  <si>
    <t>FA03</t>
  </si>
  <si>
    <t>家事深増２．０・基・初計</t>
  </si>
  <si>
    <t>FA04</t>
  </si>
  <si>
    <t>家事深増２．０・基・２人・初計</t>
  </si>
  <si>
    <t>家事深増２．２５</t>
  </si>
  <si>
    <t>(9)深夜 ２時間以上 ２時間１５分未満</t>
  </si>
  <si>
    <t>家事深増２．２５・２人</t>
  </si>
  <si>
    <t>家事深増２．２５・基</t>
  </si>
  <si>
    <t>家事深増２．２５・基・２人</t>
  </si>
  <si>
    <t>FA21</t>
  </si>
  <si>
    <t>家事深増２．２５・初計</t>
  </si>
  <si>
    <t>FA22</t>
  </si>
  <si>
    <t>家事深増２．２５・２人・初計</t>
  </si>
  <si>
    <t>FA23</t>
  </si>
  <si>
    <t>家事深増２．２５・基・初計</t>
  </si>
  <si>
    <t>FA24</t>
  </si>
  <si>
    <t>家事深増２．２５・基・２人・初計</t>
  </si>
  <si>
    <t>家事深増２．５</t>
  </si>
  <si>
    <t>(10)深夜 ２時間１５分以上 ２時間３０分未満</t>
  </si>
  <si>
    <t>家事深増２．５・２人</t>
  </si>
  <si>
    <t>家事深増２．５・基</t>
  </si>
  <si>
    <t>家事深増２．５・基・２人</t>
  </si>
  <si>
    <t>FA41</t>
  </si>
  <si>
    <t>家事深増２．５・初計</t>
  </si>
  <si>
    <t>FA42</t>
  </si>
  <si>
    <t>家事深増２．５・２人・初計</t>
  </si>
  <si>
    <t>FA43</t>
  </si>
  <si>
    <t>家事深増２．５・基・初計</t>
  </si>
  <si>
    <t>FA44</t>
  </si>
  <si>
    <t>家事深増２．５・基・２人・初計</t>
  </si>
  <si>
    <t>家事深増２．７５</t>
  </si>
  <si>
    <t>(11)深夜 ２時間３０分以上 ２時間４５分未満</t>
  </si>
  <si>
    <t>家事深増２．７５・２人</t>
  </si>
  <si>
    <t>家事深増２．７５・基</t>
  </si>
  <si>
    <t>家事深増２．７５・基・２人</t>
  </si>
  <si>
    <t>FA61</t>
  </si>
  <si>
    <t>家事深増２．７５・初計</t>
  </si>
  <si>
    <t>FA62</t>
  </si>
  <si>
    <t>家事深増２．７５・２人・初計</t>
  </si>
  <si>
    <t>FA63</t>
  </si>
  <si>
    <t>家事深増２．７５・基・初計</t>
  </si>
  <si>
    <t>FA64</t>
  </si>
  <si>
    <t>家事深増２．７５・基・２人・初計</t>
  </si>
  <si>
    <t>家事深増３．０</t>
  </si>
  <si>
    <t>(12)深夜 ２時間４５分以上 ３時間未満</t>
  </si>
  <si>
    <t>家事深増３．０・２人</t>
  </si>
  <si>
    <t>家事深増３．０・基</t>
  </si>
  <si>
    <t>家事深増３．０・基・２人</t>
  </si>
  <si>
    <t>FA81</t>
  </si>
  <si>
    <t>家事深増３．０・初計</t>
  </si>
  <si>
    <t>FA82</t>
  </si>
  <si>
    <t>家事深増３．０・２人・初計</t>
  </si>
  <si>
    <t>FA83</t>
  </si>
  <si>
    <t>家事深増３．０・基・初計</t>
  </si>
  <si>
    <t>FA84</t>
  </si>
  <si>
    <t>家事深増３．０・基・２人・初計</t>
  </si>
  <si>
    <t>家事深増３．２５</t>
  </si>
  <si>
    <t>(13)深夜 ３時間以上 ３時間１５分未満</t>
  </si>
  <si>
    <t>家事深増３．２５・２人</t>
  </si>
  <si>
    <t>家事深増３．２５・基</t>
  </si>
  <si>
    <t>家事深増３．２５・基・２人</t>
  </si>
  <si>
    <t>FB01</t>
  </si>
  <si>
    <t>家事深増３．２５・初計</t>
  </si>
  <si>
    <t>FB02</t>
  </si>
  <si>
    <t>家事深増３．２５・２人・初計</t>
  </si>
  <si>
    <t>FB03</t>
  </si>
  <si>
    <t>家事深増３．２５・基・初計</t>
  </si>
  <si>
    <t>FB04</t>
  </si>
  <si>
    <t>家事深増３．２５・基・２人・初計</t>
  </si>
  <si>
    <t>家事深増３．５</t>
  </si>
  <si>
    <t>(14)深夜 ３時間１５分以上 ３時間３０分未満</t>
  </si>
  <si>
    <t>家事深増３．５・２人</t>
  </si>
  <si>
    <t>家事深増３．５・基</t>
  </si>
  <si>
    <t>家事深増３．５・基・２人</t>
  </si>
  <si>
    <t>FB21</t>
  </si>
  <si>
    <t>家事深増３．５・初計</t>
  </si>
  <si>
    <t>FB22</t>
  </si>
  <si>
    <t>家事深増３．５・２人・初計</t>
  </si>
  <si>
    <t>FB23</t>
  </si>
  <si>
    <t>家事深増３．５・基・初計</t>
  </si>
  <si>
    <t>FB24</t>
  </si>
  <si>
    <t>家事深増３．５・基・２人・初計</t>
  </si>
  <si>
    <t>家事深増３．７５</t>
  </si>
  <si>
    <t>(15)深夜 ３時間３０分以上 ３時間４５分未満</t>
  </si>
  <si>
    <t>家事深増３．７５・２人</t>
  </si>
  <si>
    <t>家事深増３．７５・基</t>
  </si>
  <si>
    <t>家事深増３．７５・基・２人</t>
  </si>
  <si>
    <t>FB41</t>
  </si>
  <si>
    <t>家事深増３．７５・初計</t>
  </si>
  <si>
    <t>FB42</t>
  </si>
  <si>
    <t>家事深増３．７５・２人・初計</t>
  </si>
  <si>
    <t>FB43</t>
  </si>
  <si>
    <t>家事深増３．７５・基・初計</t>
  </si>
  <si>
    <t>FB44</t>
  </si>
  <si>
    <t>家事深増３．７５・基・２人・初計</t>
  </si>
  <si>
    <t>家事深増４．０</t>
  </si>
  <si>
    <t>(16)深夜 ３時間４５分以上 ４時間未満</t>
  </si>
  <si>
    <t>家事深増４．０・２人</t>
  </si>
  <si>
    <t>家事深増４．０・基</t>
  </si>
  <si>
    <t>家事深増４．０・基・２人</t>
  </si>
  <si>
    <t>FB61</t>
  </si>
  <si>
    <t>家事深増４．０・初計</t>
  </si>
  <si>
    <t>FB62</t>
  </si>
  <si>
    <t>家事深増４．０・２人・初計</t>
  </si>
  <si>
    <t>FB63</t>
  </si>
  <si>
    <t>家事深増４．０・基・初計</t>
  </si>
  <si>
    <t>FB64</t>
  </si>
  <si>
    <t>家事深増４．０・基・２人・初計</t>
  </si>
  <si>
    <t>家事深増４．２５</t>
  </si>
  <si>
    <t>(17)深夜 ４時間以上 ４時間１５分未満</t>
  </si>
  <si>
    <t>家事深増４．２５・２人</t>
  </si>
  <si>
    <t>家事深増４．２５・基</t>
  </si>
  <si>
    <t>家事深増４．２５・基・２人</t>
  </si>
  <si>
    <t>FB81</t>
  </si>
  <si>
    <t>家事深増４．２５・初計</t>
  </si>
  <si>
    <t>FB82</t>
  </si>
  <si>
    <t>家事深増４．２５・２人・初計</t>
  </si>
  <si>
    <t>FB83</t>
  </si>
  <si>
    <t>家事深増４．２５・基・初計</t>
  </si>
  <si>
    <t>FB84</t>
  </si>
  <si>
    <t>家事深増４．２５・基・２人・初計</t>
  </si>
  <si>
    <t>家事深増４．５</t>
  </si>
  <si>
    <t>(18)深夜 ４時間１５分以上 ４時間３０分未満</t>
  </si>
  <si>
    <t>家事深増４．５・２人</t>
  </si>
  <si>
    <t>家事深増４．５・基</t>
  </si>
  <si>
    <t>家事深増４．５・基・２人</t>
  </si>
  <si>
    <t>FC01</t>
  </si>
  <si>
    <t>家事深増４．５・初計</t>
  </si>
  <si>
    <t>FC02</t>
  </si>
  <si>
    <t>家事深増４．５・２人・初計</t>
  </si>
  <si>
    <t>FC03</t>
  </si>
  <si>
    <t>家事深増４．５・基・初計</t>
  </si>
  <si>
    <t>FC04</t>
  </si>
  <si>
    <t>家事深増４．５・基・２人・初計</t>
  </si>
  <si>
    <t>家事深増４．７５</t>
  </si>
  <si>
    <t>(19)深夜 ４時間３０分以上 ４時間４５分未満</t>
  </si>
  <si>
    <t>家事深増４．７５・２人</t>
  </si>
  <si>
    <t>家事深増４．７５・基</t>
  </si>
  <si>
    <t>家事深増４．７５・基・２人</t>
  </si>
  <si>
    <t>FC21</t>
  </si>
  <si>
    <t>家事深増４．７５・初計</t>
  </si>
  <si>
    <t>FC22</t>
  </si>
  <si>
    <t>家事深増４．７５・２人・初計</t>
  </si>
  <si>
    <t>FC23</t>
  </si>
  <si>
    <t>家事深増４．７５・基・初計</t>
  </si>
  <si>
    <t>FC24</t>
  </si>
  <si>
    <t>家事深増４．７５・基・２人・初計</t>
  </si>
  <si>
    <t>家事深増５．０</t>
  </si>
  <si>
    <t>(20)深夜 ４時間４５分以上 ５時間未満</t>
  </si>
  <si>
    <t>家事深増５．０・２人</t>
  </si>
  <si>
    <t>家事深増５．０・基</t>
  </si>
  <si>
    <t>家事深増５．０・基・２人</t>
  </si>
  <si>
    <t>FC41</t>
  </si>
  <si>
    <t>家事深増５．０・初計</t>
  </si>
  <si>
    <t>FC42</t>
  </si>
  <si>
    <t>家事深増５．０・２人・初計</t>
  </si>
  <si>
    <t>FC43</t>
  </si>
  <si>
    <t>家事深増５．０・基・初計</t>
  </si>
  <si>
    <t>FC44</t>
  </si>
  <si>
    <t>家事深増５．０・基・２人・初計</t>
  </si>
  <si>
    <t>家事深増５．２５</t>
  </si>
  <si>
    <t>(21)深夜 ５時間以上 ５時間１５分未満</t>
  </si>
  <si>
    <t>家事深増５．２５・２人</t>
  </si>
  <si>
    <t>家事深増５．２５・基</t>
  </si>
  <si>
    <t>家事深増５．２５・基・２人</t>
  </si>
  <si>
    <t>FC61</t>
  </si>
  <si>
    <t>家事深増５．２５・初計</t>
  </si>
  <si>
    <t>FC62</t>
  </si>
  <si>
    <t>家事深増５．２５・２人・初計</t>
  </si>
  <si>
    <t>FC63</t>
  </si>
  <si>
    <t>家事深増５．２５・基・初計</t>
  </si>
  <si>
    <t>FC64</t>
  </si>
  <si>
    <t>家事深増５．２５・基・２人・初計</t>
  </si>
  <si>
    <t>家事深増５．５</t>
  </si>
  <si>
    <t>(22)深夜 ５時間１５分以上 ５時間３０分未満</t>
  </si>
  <si>
    <t>家事深増５．５・２人</t>
  </si>
  <si>
    <t>家事深増５．５・基</t>
  </si>
  <si>
    <t>家事深増５．５・基・２人</t>
  </si>
  <si>
    <t>FC81</t>
  </si>
  <si>
    <t>家事深増５．５・初計</t>
  </si>
  <si>
    <t>FC82</t>
  </si>
  <si>
    <t>家事深増５．５・２人・初計</t>
  </si>
  <si>
    <t>FC83</t>
  </si>
  <si>
    <t>家事深増５．５・基・初計</t>
  </si>
  <si>
    <t>FC84</t>
  </si>
  <si>
    <t>家事深増５．５・基・２人・初計</t>
  </si>
  <si>
    <t>家事深増５．７５</t>
  </si>
  <si>
    <t>(23)深夜 ５時間３０分以上 ５時間４５分未満</t>
  </si>
  <si>
    <t>家事深増５．７５・２人</t>
  </si>
  <si>
    <t>家事深増５．７５・基</t>
  </si>
  <si>
    <t>家事深増５．７５・基・２人</t>
  </si>
  <si>
    <t>FD01</t>
  </si>
  <si>
    <t>家事深増５．７５・初計</t>
  </si>
  <si>
    <t>FD02</t>
  </si>
  <si>
    <t>家事深増５．７５・２人・初計</t>
  </si>
  <si>
    <t>FD03</t>
  </si>
  <si>
    <t>家事深増５．７５・基・初計</t>
  </si>
  <si>
    <t>FD04</t>
  </si>
  <si>
    <t>家事深増５．７５・基・２人・初計</t>
  </si>
  <si>
    <t>家事深増６．０</t>
  </si>
  <si>
    <t>(24)深夜 ５時間４５分以上 ６時間未満</t>
  </si>
  <si>
    <t>家事深増６．０・２人</t>
  </si>
  <si>
    <t>家事深増６．０・基</t>
  </si>
  <si>
    <t>家事深増６．０・基・２人</t>
  </si>
  <si>
    <t>FD21</t>
  </si>
  <si>
    <t>家事深増６．０・初計</t>
  </si>
  <si>
    <t>FD22</t>
  </si>
  <si>
    <t>家事深増６．０・２人・初計</t>
  </si>
  <si>
    <t>FD23</t>
  </si>
  <si>
    <t>家事深増６．０・基・初計</t>
  </si>
  <si>
    <t>FD24</t>
  </si>
  <si>
    <t>家事深増６．０・基・２人・初計</t>
  </si>
  <si>
    <t>家事深増６．２５</t>
  </si>
  <si>
    <t>(25)深夜 ６時間以上 ６時間１５分未満</t>
  </si>
  <si>
    <t>家事深増６．２５・２人</t>
  </si>
  <si>
    <t>家事深増６．２５・基</t>
  </si>
  <si>
    <t>家事深増６．２５・基・２人</t>
  </si>
  <si>
    <t>FD41</t>
  </si>
  <si>
    <t>家事深増６．２５・初計</t>
  </si>
  <si>
    <t>FD42</t>
  </si>
  <si>
    <t>家事深増６．２５・２人・初計</t>
  </si>
  <si>
    <t>FD43</t>
  </si>
  <si>
    <t>家事深増６．２５・基・初計</t>
  </si>
  <si>
    <t>FD44</t>
  </si>
  <si>
    <t>家事深増６．２５・基・２人・初計</t>
  </si>
  <si>
    <t>家事深増６．５</t>
  </si>
  <si>
    <t>(26)深夜 ６時間１５分以上 ６時間３０分未満</t>
  </si>
  <si>
    <t>家事深増６．５・２人</t>
  </si>
  <si>
    <t>家事深増６．５・基</t>
  </si>
  <si>
    <t>家事深増６．５・基・２人</t>
  </si>
  <si>
    <t>FD61</t>
  </si>
  <si>
    <t>家事深増６．５・初計</t>
  </si>
  <si>
    <t>FD62</t>
  </si>
  <si>
    <t>家事深増６．５・２人・初計</t>
  </si>
  <si>
    <t>FD63</t>
  </si>
  <si>
    <t>家事深増６．５・基・初計</t>
  </si>
  <si>
    <t>FD64</t>
  </si>
  <si>
    <t>家事深増６．５・基・２人・初計</t>
  </si>
  <si>
    <t>ハ　家事援助　（重度訪問介護研修終了者：日中のみ）</t>
  </si>
  <si>
    <t>家事重研日０．５</t>
  </si>
  <si>
    <t>重度訪問介護研修修了者による場合</t>
  </si>
  <si>
    <t>家事重研日０．５・２人</t>
  </si>
  <si>
    <t>FD81</t>
  </si>
  <si>
    <t>家事重研日０．５・初計</t>
  </si>
  <si>
    <t>FD82</t>
  </si>
  <si>
    <t>家事重研日０．５・２人・初計</t>
  </si>
  <si>
    <t>家事重研日０．７５</t>
  </si>
  <si>
    <t>家事重研日０．７５・２人</t>
  </si>
  <si>
    <t>FD91</t>
  </si>
  <si>
    <t>家事重研日０．７５・初計</t>
  </si>
  <si>
    <t>FD92</t>
  </si>
  <si>
    <t>家事重研日０．７５・２人・初計</t>
  </si>
  <si>
    <t>家事重研日１．０</t>
  </si>
  <si>
    <t>家事重研日１．０・２人</t>
  </si>
  <si>
    <t>FE01</t>
  </si>
  <si>
    <t>家事重研日１．０・初計</t>
  </si>
  <si>
    <t>FE02</t>
  </si>
  <si>
    <t>家事重研日１．０・２人・初計</t>
  </si>
  <si>
    <t>家事重研日１．２５</t>
  </si>
  <si>
    <t>家事重研日１．２５・２人</t>
  </si>
  <si>
    <t>FE11</t>
  </si>
  <si>
    <t>家事重研日１．２５・初計</t>
  </si>
  <si>
    <t>FE12</t>
  </si>
  <si>
    <t>家事重研日１．２５・２人・初計</t>
  </si>
  <si>
    <t>家事重研日１．５</t>
  </si>
  <si>
    <t>家事重研日１．５・２人</t>
  </si>
  <si>
    <t>FE21</t>
  </si>
  <si>
    <t>家事重研日１．５・初計</t>
  </si>
  <si>
    <t>FE22</t>
  </si>
  <si>
    <t>家事重研日１．５・２人・初計</t>
  </si>
  <si>
    <t>家事重研日１．７５</t>
  </si>
  <si>
    <t>家事重研日１．７５・２人</t>
  </si>
  <si>
    <t>FE31</t>
  </si>
  <si>
    <t>家事重研日１．７５・初計</t>
  </si>
  <si>
    <t>FE32</t>
  </si>
  <si>
    <t>家事重研日１．７５・２人・初計</t>
  </si>
  <si>
    <t>家事重研日２．０</t>
  </si>
  <si>
    <t>家事重研日２．０・２人</t>
  </si>
  <si>
    <t>FE41</t>
  </si>
  <si>
    <t>家事重研日２．０・初計</t>
  </si>
  <si>
    <t>FE42</t>
  </si>
  <si>
    <t>家事重研日２．０・２人・初計</t>
  </si>
  <si>
    <t>家事重研日２．２５</t>
  </si>
  <si>
    <t>家事重研日２．２５・２人</t>
  </si>
  <si>
    <t>FE51</t>
  </si>
  <si>
    <t>家事重研日２．２５・初計</t>
  </si>
  <si>
    <t>FE52</t>
  </si>
  <si>
    <t>家事重研日２．２５・２人・初計</t>
  </si>
  <si>
    <t>家事重研日２．５</t>
  </si>
  <si>
    <t>家事重研日２．５・２人</t>
  </si>
  <si>
    <t>FE61</t>
  </si>
  <si>
    <t>家事重研日２．５・初計</t>
  </si>
  <si>
    <t>FE62</t>
  </si>
  <si>
    <t>家事重研日２．５・２人・初計</t>
  </si>
  <si>
    <t>家事重研日２．７５</t>
  </si>
  <si>
    <t>家事重研日２．７５・２人</t>
  </si>
  <si>
    <t>FE71</t>
  </si>
  <si>
    <t>家事重研日２．７５・初計</t>
  </si>
  <si>
    <t>FE72</t>
  </si>
  <si>
    <t>家事重研日２．７５・２人・初計</t>
  </si>
  <si>
    <t>家事重研日３．０</t>
  </si>
  <si>
    <t>家事重研日３．０・２人</t>
  </si>
  <si>
    <t>FE81</t>
  </si>
  <si>
    <t>家事重研日３．０・初計</t>
  </si>
  <si>
    <t>FE82</t>
  </si>
  <si>
    <t>家事重研日３．０・２人・初計</t>
  </si>
  <si>
    <t>家事重研日３．２５</t>
  </si>
  <si>
    <t>家事重研日３．２５・２人</t>
  </si>
  <si>
    <t>FE91</t>
  </si>
  <si>
    <t>家事重研日３．２５・初計</t>
  </si>
  <si>
    <t>FE92</t>
  </si>
  <si>
    <t>家事重研日３．２５・２人・初計</t>
  </si>
  <si>
    <t>家事重研日３．５</t>
  </si>
  <si>
    <t>家事重研日３．５・２人</t>
  </si>
  <si>
    <t>FF01</t>
  </si>
  <si>
    <t>家事重研日３．５・初計</t>
  </si>
  <si>
    <t>FF02</t>
  </si>
  <si>
    <t>家事重研日３．５・２人・初計</t>
  </si>
  <si>
    <t>家事重研日３．７５</t>
  </si>
  <si>
    <t>家事重研日３．７５・２人</t>
  </si>
  <si>
    <t>FF11</t>
  </si>
  <si>
    <t>家事重研日３．７５・初計</t>
  </si>
  <si>
    <t>FF12</t>
  </si>
  <si>
    <t>家事重研日３．７５・２人・初計</t>
  </si>
  <si>
    <t>家事重研日４．０</t>
  </si>
  <si>
    <t>家事重研日４．０・２人</t>
  </si>
  <si>
    <t>FF21</t>
  </si>
  <si>
    <t>家事重研日４．０・初計</t>
  </si>
  <si>
    <t>FF22</t>
  </si>
  <si>
    <t>家事重研日４．０・２人・初計</t>
  </si>
  <si>
    <t>家事重研日４．２５</t>
  </si>
  <si>
    <t>家事重研日４．２５・２人</t>
  </si>
  <si>
    <t>FF31</t>
  </si>
  <si>
    <t>家事重研日４．２５・初計</t>
  </si>
  <si>
    <t>FF32</t>
  </si>
  <si>
    <t>家事重研日４．２５・２人・初計</t>
  </si>
  <si>
    <t>家事重研日４．５</t>
  </si>
  <si>
    <t>家事重研日４．５・２人</t>
  </si>
  <si>
    <t>FF41</t>
  </si>
  <si>
    <t>家事重研日４．５・初計</t>
  </si>
  <si>
    <t>FF42</t>
  </si>
  <si>
    <t>家事重研日４．５・２人・初計</t>
  </si>
  <si>
    <t>家事重研日４．７５</t>
  </si>
  <si>
    <t>家事重研日４．７５・２人</t>
  </si>
  <si>
    <t>FF51</t>
  </si>
  <si>
    <t>家事重研日４．７５・初計</t>
  </si>
  <si>
    <t>FF52</t>
  </si>
  <si>
    <t>家事重研日４．７５・２人・初計</t>
  </si>
  <si>
    <t>家事重研日５．０</t>
  </si>
  <si>
    <t>家事重研日５．０・２人</t>
  </si>
  <si>
    <t>FF61</t>
  </si>
  <si>
    <t>家事重研日５．０・初計</t>
  </si>
  <si>
    <t>FF62</t>
  </si>
  <si>
    <t>家事重研日５．０・２人・初計</t>
  </si>
  <si>
    <t>家事重研日５．２５</t>
  </si>
  <si>
    <t>家事重研日５．２５・２人</t>
  </si>
  <si>
    <t>FF71</t>
  </si>
  <si>
    <t>家事重研日５．２５・初計</t>
  </si>
  <si>
    <t>FF72</t>
  </si>
  <si>
    <t>家事重研日５．２５・２人・初計</t>
  </si>
  <si>
    <t>家事重研日５．５</t>
  </si>
  <si>
    <t>家事重研日５．５・２人</t>
  </si>
  <si>
    <t>FF81</t>
  </si>
  <si>
    <t>家事重研日５．５・初計</t>
  </si>
  <si>
    <t>FF82</t>
  </si>
  <si>
    <t>家事重研日５．５・２人・初計</t>
  </si>
  <si>
    <t>家事重研日５．７５</t>
  </si>
  <si>
    <t>家事重研日５．７５・２人</t>
  </si>
  <si>
    <t>FF91</t>
  </si>
  <si>
    <t>家事重研日５．７５・初計</t>
  </si>
  <si>
    <t>FF92</t>
  </si>
  <si>
    <t>家事重研日５．７５・２人・初計</t>
  </si>
  <si>
    <t>家事重研日６．０</t>
  </si>
  <si>
    <t>家事重研日６．０・２人</t>
  </si>
  <si>
    <t>FG01</t>
  </si>
  <si>
    <t>家事重研日６．０・初計</t>
  </si>
  <si>
    <t>FG02</t>
  </si>
  <si>
    <t>家事重研日６．０・２人・初計</t>
  </si>
  <si>
    <t>家事重研日６．２５</t>
  </si>
  <si>
    <t>家事重研日６．２５・２人</t>
  </si>
  <si>
    <t>FG11</t>
  </si>
  <si>
    <t>家事重研日６．２５・初計</t>
  </si>
  <si>
    <t>FG12</t>
  </si>
  <si>
    <t>家事重研日６．２５・２人・初計</t>
  </si>
  <si>
    <t>家事重研日６．５</t>
  </si>
  <si>
    <t>家事重研日６．５・２人</t>
  </si>
  <si>
    <t>FG21</t>
  </si>
  <si>
    <t>家事重研日６．５・初計</t>
  </si>
  <si>
    <t>FG22</t>
  </si>
  <si>
    <t>家事重研日６．５・２人・初計</t>
  </si>
  <si>
    <t>家事重研日６．７５</t>
  </si>
  <si>
    <t>家事重研日６．７５・２人</t>
  </si>
  <si>
    <t>FG31</t>
  </si>
  <si>
    <t>家事重研日６．７５・初計</t>
  </si>
  <si>
    <t>FG32</t>
  </si>
  <si>
    <t>家事重研日６．７５・２人・初計</t>
  </si>
  <si>
    <t>家事重研日７．０</t>
  </si>
  <si>
    <t>家事重研日７．０・２人</t>
  </si>
  <si>
    <t>FG41</t>
  </si>
  <si>
    <t>家事重研日７．０・初計</t>
  </si>
  <si>
    <t>FG42</t>
  </si>
  <si>
    <t>家事重研日７．０・２人・初計</t>
  </si>
  <si>
    <t>家事重研日７．２５</t>
  </si>
  <si>
    <t>家事重研日７．２５・２人</t>
  </si>
  <si>
    <t>FG51</t>
  </si>
  <si>
    <t>家事重研日７．２５・初計</t>
  </si>
  <si>
    <t>FG52</t>
  </si>
  <si>
    <t>家事重研日７．２５・２人・初計</t>
  </si>
  <si>
    <t>家事重研日７．５</t>
  </si>
  <si>
    <t>家事重研日７．５・２人</t>
  </si>
  <si>
    <t>FG61</t>
  </si>
  <si>
    <t>家事重研日７．５・初計</t>
  </si>
  <si>
    <t>FG62</t>
  </si>
  <si>
    <t>家事重研日７．５・２人・初計</t>
  </si>
  <si>
    <t>家事重研日７．７５</t>
  </si>
  <si>
    <t>家事重研日７．７５・２人</t>
  </si>
  <si>
    <t>FG71</t>
  </si>
  <si>
    <t>家事重研日７．７５・初計</t>
  </si>
  <si>
    <t>FG72</t>
  </si>
  <si>
    <t>家事重研日７．７５・２人・初計</t>
  </si>
  <si>
    <t>家事重研日８．０</t>
  </si>
  <si>
    <t>家事重研日８．０・２人</t>
  </si>
  <si>
    <t>FG81</t>
  </si>
  <si>
    <t>家事重研日８．０・初計</t>
  </si>
  <si>
    <t>FG82</t>
  </si>
  <si>
    <t>家事重研日８．０・２人・初計</t>
  </si>
  <si>
    <t>家事重研日８．２５</t>
  </si>
  <si>
    <t>家事重研日８．２５・２人</t>
  </si>
  <si>
    <t>FG91</t>
  </si>
  <si>
    <t>家事重研日８．２５・初計</t>
  </si>
  <si>
    <t>FG92</t>
  </si>
  <si>
    <t>家事重研日８．２５・２人・初計</t>
  </si>
  <si>
    <t>家事重研日８．５</t>
  </si>
  <si>
    <t>家事重研日８．５・２人</t>
  </si>
  <si>
    <t>FH01</t>
  </si>
  <si>
    <t>家事重研日８．５・初計</t>
  </si>
  <si>
    <t>FH02</t>
  </si>
  <si>
    <t>家事重研日８．５・２人・初計</t>
  </si>
  <si>
    <t>家事重研日８．７５</t>
  </si>
  <si>
    <t>家事重研日８．７５・２人</t>
  </si>
  <si>
    <t>FH11</t>
  </si>
  <si>
    <t>家事重研日８．７５・初計</t>
  </si>
  <si>
    <t>FH12</t>
  </si>
  <si>
    <t>家事重研日８．７５・２人・初計</t>
  </si>
  <si>
    <t>家事重研日９．０</t>
  </si>
  <si>
    <t>家事重研日９．０・２人</t>
  </si>
  <si>
    <t>FH21</t>
  </si>
  <si>
    <t>家事重研日９．０・初計</t>
  </si>
  <si>
    <t>FH22</t>
  </si>
  <si>
    <t>家事重研日９．０・２人・初計</t>
  </si>
  <si>
    <t>家事重研日９．２５</t>
  </si>
  <si>
    <t>家事重研日９．２５・２人</t>
  </si>
  <si>
    <t>FH31</t>
  </si>
  <si>
    <t>家事重研日９．２５・初計</t>
  </si>
  <si>
    <t>FH32</t>
  </si>
  <si>
    <t>家事重研日９．２５・２人・初計</t>
  </si>
  <si>
    <t>家事重研日９．５</t>
  </si>
  <si>
    <t>家事重研日９．５・２人</t>
  </si>
  <si>
    <t>FH41</t>
  </si>
  <si>
    <t>家事重研日９．５・初計</t>
  </si>
  <si>
    <t>FH42</t>
  </si>
  <si>
    <t>家事重研日９．５・２人・初計</t>
  </si>
  <si>
    <t>家事重研日９．７５</t>
  </si>
  <si>
    <t>家事重研日９．７５・２人</t>
  </si>
  <si>
    <t>FH51</t>
  </si>
  <si>
    <t>家事重研日９．７５・初計</t>
  </si>
  <si>
    <t>FH52</t>
  </si>
  <si>
    <t>家事重研日９．７５・２人・初計</t>
  </si>
  <si>
    <t>家事重研日１０．０</t>
  </si>
  <si>
    <t>家事重研日１０．０・２人</t>
  </si>
  <si>
    <t>FH61</t>
  </si>
  <si>
    <t>家事重研日１０．０・初計</t>
  </si>
  <si>
    <t>FH62</t>
  </si>
  <si>
    <t>家事重研日１０．０・２人・初計</t>
  </si>
  <si>
    <t>家事重研日１０．２５</t>
  </si>
  <si>
    <t>家事重研日１０．２５・２人</t>
  </si>
  <si>
    <t>FH71</t>
  </si>
  <si>
    <t>家事重研日１０．２５・初計</t>
  </si>
  <si>
    <t>FH72</t>
  </si>
  <si>
    <t>家事重研日１０．２５・２人・初計</t>
  </si>
  <si>
    <t>家事重研日１０．５</t>
  </si>
  <si>
    <t>家事重研日１０．５・２人</t>
  </si>
  <si>
    <t>FH81</t>
  </si>
  <si>
    <t>家事重研日１０．５・初計</t>
  </si>
  <si>
    <t>FH82</t>
  </si>
  <si>
    <t>家事重研日１０．５・２人・初計</t>
  </si>
  <si>
    <t>ハ　家事援助　（重度訪問介護研修終了者：早朝のみ）</t>
  </si>
  <si>
    <t>家事重研早０．５</t>
  </si>
  <si>
    <t>家事重研早０．５・２人</t>
  </si>
  <si>
    <t>FH91</t>
  </si>
  <si>
    <t>家事重研早０．５・初計</t>
  </si>
  <si>
    <t>FH92</t>
  </si>
  <si>
    <t>家事重研早０．５・２人・初計</t>
  </si>
  <si>
    <t>家事重研早０．７５</t>
  </si>
  <si>
    <t>家事重研早０．７５・２人</t>
  </si>
  <si>
    <t>FJ01</t>
  </si>
  <si>
    <t>家事重研早０．７５・初計</t>
  </si>
  <si>
    <t>FJ02</t>
  </si>
  <si>
    <t>家事重研早０．７５・２人・初計</t>
  </si>
  <si>
    <t>家事重研早１．０</t>
  </si>
  <si>
    <t>家事重研早１．０・２人</t>
  </si>
  <si>
    <t>FJ11</t>
  </si>
  <si>
    <t>家事重研早１．０・初計</t>
  </si>
  <si>
    <t>FJ12</t>
  </si>
  <si>
    <t>家事重研早１．０・２人・初計</t>
  </si>
  <si>
    <t>家事重研早１．２５</t>
  </si>
  <si>
    <t>家事重研早１．２５・２人</t>
  </si>
  <si>
    <t>FJ21</t>
  </si>
  <si>
    <t>家事重研早１．２５・初計</t>
  </si>
  <si>
    <t>FJ22</t>
  </si>
  <si>
    <t>家事重研早１．２５・２人・初計</t>
  </si>
  <si>
    <t>家事重研早１．５</t>
  </si>
  <si>
    <t>家事重研早１．５・２人</t>
  </si>
  <si>
    <t>FJ31</t>
  </si>
  <si>
    <t>家事重研早１．５・初計</t>
  </si>
  <si>
    <t>FJ32</t>
  </si>
  <si>
    <t>家事重研早１．５・２人・初計</t>
  </si>
  <si>
    <t>家事重研早１．７５</t>
  </si>
  <si>
    <t>家事重研早１．７５・２人</t>
  </si>
  <si>
    <t>FJ41</t>
  </si>
  <si>
    <t>家事重研早１．７５・初計</t>
  </si>
  <si>
    <t>FJ42</t>
  </si>
  <si>
    <t>家事重研早１．７５・２人・初計</t>
  </si>
  <si>
    <t>家事重研早２．０</t>
  </si>
  <si>
    <t>家事重研早２．０・２人</t>
  </si>
  <si>
    <t>FJ51</t>
  </si>
  <si>
    <t>家事重研早２．０・初計</t>
  </si>
  <si>
    <t>FJ52</t>
  </si>
  <si>
    <t>家事重研早２．０・２人・初計</t>
  </si>
  <si>
    <t>家事重研早２．２５</t>
  </si>
  <si>
    <t>家事重研早２．２５・２人</t>
  </si>
  <si>
    <t>FJ61</t>
  </si>
  <si>
    <t>家事重研早２．２５・初計</t>
  </si>
  <si>
    <t>FJ62</t>
  </si>
  <si>
    <t>家事重研早２．２５・２人・初計</t>
  </si>
  <si>
    <t>家事重研早２．５</t>
  </si>
  <si>
    <t>家事重研早２．５・２人</t>
  </si>
  <si>
    <t>FJ71</t>
  </si>
  <si>
    <t>家事重研早２．５・初計</t>
  </si>
  <si>
    <t>FJ72</t>
  </si>
  <si>
    <t>家事重研早２．５・２人・初計</t>
  </si>
  <si>
    <t>ハ　家事援助　（重度訪問介護研修終了者：夜間のみ）</t>
  </si>
  <si>
    <t>家事重研夜０．５</t>
  </si>
  <si>
    <t>家事重研夜０．５・２人</t>
  </si>
  <si>
    <t>FJ81</t>
  </si>
  <si>
    <t>家事重研夜０．５・初計</t>
  </si>
  <si>
    <t>FJ82</t>
  </si>
  <si>
    <t>家事重研夜０．５・２人・初計</t>
  </si>
  <si>
    <t>家事重研夜０．７５</t>
  </si>
  <si>
    <t>家事重研夜０．７５・２人</t>
  </si>
  <si>
    <t>FJ91</t>
  </si>
  <si>
    <t>家事重研夜０．７５・初計</t>
  </si>
  <si>
    <t>FJ92</t>
  </si>
  <si>
    <t>家事重研夜０．７５・２人・初計</t>
  </si>
  <si>
    <t>家事重研夜１．０</t>
  </si>
  <si>
    <t>家事重研夜１．０・２人</t>
  </si>
  <si>
    <t>FK01</t>
  </si>
  <si>
    <t>家事重研夜１．０・初計</t>
  </si>
  <si>
    <t>FK02</t>
  </si>
  <si>
    <t>家事重研夜１．０・２人・初計</t>
  </si>
  <si>
    <t>家事重研夜１．２５</t>
  </si>
  <si>
    <t>家事重研夜１．２５・２人</t>
  </si>
  <si>
    <t>FK11</t>
  </si>
  <si>
    <t>家事重研夜１．２５・初計</t>
  </si>
  <si>
    <t>FK12</t>
  </si>
  <si>
    <t>家事重研夜１．２５・２人・初計</t>
  </si>
  <si>
    <t>家事重研夜１．５</t>
  </si>
  <si>
    <t>家事重研夜１．５・２人</t>
  </si>
  <si>
    <t>FK21</t>
  </si>
  <si>
    <t>家事重研夜１．５・初計</t>
  </si>
  <si>
    <t>FK22</t>
  </si>
  <si>
    <t>家事重研夜１．５・２人・初計</t>
    <phoneticPr fontId="1"/>
  </si>
  <si>
    <t>家事重研夜１．７５</t>
  </si>
  <si>
    <t>家事重研夜１．７５・２人</t>
  </si>
  <si>
    <t>FK31</t>
  </si>
  <si>
    <t>家事重研夜１．７５・初計</t>
  </si>
  <si>
    <t>FK32</t>
  </si>
  <si>
    <t>家事重研夜１．７５・２人・初計</t>
  </si>
  <si>
    <t>家事重研夜２．０</t>
  </si>
  <si>
    <t>家事重研夜２．０・２人</t>
  </si>
  <si>
    <t>FK41</t>
  </si>
  <si>
    <t>家事重研夜２．０・初計</t>
  </si>
  <si>
    <t>FK42</t>
  </si>
  <si>
    <t>家事重研夜２．０・２人・初計</t>
  </si>
  <si>
    <t>家事重研夜２．２５</t>
  </si>
  <si>
    <t>家事重研夜２．２５・２人</t>
  </si>
  <si>
    <t>FK51</t>
  </si>
  <si>
    <t>家事重研夜２．２５・初計</t>
  </si>
  <si>
    <t>FK52</t>
  </si>
  <si>
    <t>家事重研夜２．２５・２人・初計</t>
  </si>
  <si>
    <t>家事重研夜２．５</t>
  </si>
  <si>
    <t>家事重研夜２．５・２人</t>
  </si>
  <si>
    <t>FK61</t>
  </si>
  <si>
    <t>家事重研夜２．５・初計</t>
  </si>
  <si>
    <t>FK62</t>
  </si>
  <si>
    <t>家事重研夜２．５・２人・初計</t>
  </si>
  <si>
    <t>家事重研夜２．７５</t>
  </si>
  <si>
    <t>家事重研夜２．７５・２人</t>
  </si>
  <si>
    <t>FK71</t>
  </si>
  <si>
    <t>家事重研夜２．７５・初計</t>
  </si>
  <si>
    <t>FK72</t>
  </si>
  <si>
    <t>家事重研夜２．７５・２人・初計</t>
  </si>
  <si>
    <t>家事重研夜３．０</t>
  </si>
  <si>
    <t>家事重研夜３．０・２人</t>
  </si>
  <si>
    <t>FK81</t>
  </si>
  <si>
    <t>家事重研夜３．０・初計</t>
  </si>
  <si>
    <t>FK82</t>
  </si>
  <si>
    <t>家事重研夜３．０・２人・初計</t>
  </si>
  <si>
    <t>家事重研夜３．２５</t>
  </si>
  <si>
    <t>家事重研夜３．２５・２人</t>
  </si>
  <si>
    <t>FK91</t>
  </si>
  <si>
    <t>家事重研夜３．２５・初計</t>
  </si>
  <si>
    <t>FK92</t>
  </si>
  <si>
    <t>家事重研夜３．２５・２人・初計</t>
  </si>
  <si>
    <t>家事重研夜３．５</t>
  </si>
  <si>
    <t>家事重研夜３．５・２人</t>
  </si>
  <si>
    <t>FL01</t>
  </si>
  <si>
    <t>家事重研夜３．５・初計</t>
  </si>
  <si>
    <t>FL02</t>
  </si>
  <si>
    <t>家事重研夜３．５・２人・初計</t>
  </si>
  <si>
    <t>家事重研夜３．７５</t>
  </si>
  <si>
    <t>家事重研夜３．７５・２人</t>
  </si>
  <si>
    <t>FL11</t>
  </si>
  <si>
    <t>家事重研夜３．７５・初計</t>
  </si>
  <si>
    <t>FL12</t>
  </si>
  <si>
    <t>家事重研夜３．７５・２人・初計</t>
  </si>
  <si>
    <t>家事重研夜４．０</t>
  </si>
  <si>
    <t>家事重研夜４．０・２人</t>
  </si>
  <si>
    <t>FL21</t>
  </si>
  <si>
    <t>家事重研夜４．０・初計</t>
  </si>
  <si>
    <t>FL22</t>
  </si>
  <si>
    <t>家事重研夜４．０・２人・初計</t>
  </si>
  <si>
    <t>家事重研夜４．２５</t>
  </si>
  <si>
    <t>家事重研夜４．２５・２人</t>
  </si>
  <si>
    <t>FL31</t>
  </si>
  <si>
    <t>家事重研夜４．２５・初計</t>
  </si>
  <si>
    <t>FL32</t>
  </si>
  <si>
    <t>家事重研夜４．２５・２人・初計</t>
  </si>
  <si>
    <t>家事重研夜４．５</t>
  </si>
  <si>
    <t>家事重研夜４．５・２人</t>
  </si>
  <si>
    <t>FL41</t>
  </si>
  <si>
    <t>家事重研夜４．５・初計</t>
  </si>
  <si>
    <t>FL42</t>
  </si>
  <si>
    <t>家事重研夜４．５・２人・初計</t>
  </si>
  <si>
    <t>ハ　家事援助　（重度訪問介護研修終了者：深夜のみ）</t>
  </si>
  <si>
    <t>家事重研深０．５</t>
  </si>
  <si>
    <t>家事重研深０．５・２人</t>
  </si>
  <si>
    <t>FL51</t>
  </si>
  <si>
    <t>家事重研深０．５・初計</t>
  </si>
  <si>
    <t>FL52</t>
  </si>
  <si>
    <t>家事重研深０．５・２人・初計</t>
  </si>
  <si>
    <t>家事重研深０．７５</t>
  </si>
  <si>
    <t>家事重研深０．７５・２人</t>
  </si>
  <si>
    <t>FL61</t>
  </si>
  <si>
    <t>家事重研深０．７５・初計</t>
  </si>
  <si>
    <t>FL62</t>
  </si>
  <si>
    <t>家事重研深０．７５・２人・初計</t>
  </si>
  <si>
    <t>家事重研深１．０</t>
  </si>
  <si>
    <t>家事重研深１．０・２人</t>
  </si>
  <si>
    <t>FL71</t>
  </si>
  <si>
    <t>家事重研深１．０・初計</t>
  </si>
  <si>
    <t>FL72</t>
  </si>
  <si>
    <t>家事重研深１．０・２人・初計</t>
  </si>
  <si>
    <t>家事重研深１．２５</t>
  </si>
  <si>
    <t>家事重研深１．２５・２人</t>
  </si>
  <si>
    <t>FL81</t>
  </si>
  <si>
    <t>家事重研深１．２５・初計</t>
  </si>
  <si>
    <t>FL82</t>
  </si>
  <si>
    <t>家事重研深１．２５・２人・初計</t>
  </si>
  <si>
    <t>家事重研深１．５</t>
  </si>
  <si>
    <t>家事重研深１．５・２人</t>
  </si>
  <si>
    <t>FL91</t>
  </si>
  <si>
    <t>家事重研深１．５・初計</t>
  </si>
  <si>
    <t>FL92</t>
  </si>
  <si>
    <t>家事重研深１．５・２人・初計</t>
  </si>
  <si>
    <t>家事重研深１．７５</t>
  </si>
  <si>
    <t>家事重研深１．７５・２人</t>
  </si>
  <si>
    <t>FM01</t>
  </si>
  <si>
    <t>家事重研深１．７５・初計</t>
  </si>
  <si>
    <t>FM02</t>
  </si>
  <si>
    <t>家事重研深１．７５・２人・初計</t>
  </si>
  <si>
    <t>家事重研深２．０</t>
  </si>
  <si>
    <t>家事重研深２．０・２人</t>
  </si>
  <si>
    <t>FM11</t>
  </si>
  <si>
    <t>家事重研深２．０・初計</t>
  </si>
  <si>
    <t>FM12</t>
  </si>
  <si>
    <t>家事重研深２．０・２人・初計</t>
  </si>
  <si>
    <t>家事重研深２．２５</t>
  </si>
  <si>
    <t>家事重研深２．２５・２人</t>
  </si>
  <si>
    <t>FM21</t>
  </si>
  <si>
    <t>家事重研深２．２５・初計</t>
  </si>
  <si>
    <t>FM22</t>
  </si>
  <si>
    <t>家事重研深２．２５・２人・初計</t>
  </si>
  <si>
    <t>家事重研深２．５</t>
  </si>
  <si>
    <t>家事重研深２．５・２人</t>
  </si>
  <si>
    <t>FM31</t>
  </si>
  <si>
    <t>家事重研深２．５・初計</t>
  </si>
  <si>
    <t>FM32</t>
  </si>
  <si>
    <t>家事重研深２．５・２人・初計</t>
  </si>
  <si>
    <t>家事重研深２．７５</t>
  </si>
  <si>
    <t>家事重研深２．７５・２人</t>
  </si>
  <si>
    <t>FM41</t>
  </si>
  <si>
    <t>家事重研深２．７５・初計</t>
  </si>
  <si>
    <t>FM42</t>
  </si>
  <si>
    <t>家事重研深２．７５・２人・初計</t>
  </si>
  <si>
    <t>家事重研深３．０</t>
  </si>
  <si>
    <t>家事重研深３．０・２人</t>
  </si>
  <si>
    <t>FM51</t>
  </si>
  <si>
    <t>家事重研深３．０・初計</t>
  </si>
  <si>
    <t>FM52</t>
  </si>
  <si>
    <t>家事重研深３．０・２人・初計</t>
  </si>
  <si>
    <t>家事重研深３．２５</t>
  </si>
  <si>
    <t>家事重研深３．２５・２人</t>
  </si>
  <si>
    <t>FM61</t>
  </si>
  <si>
    <t>家事重研深３．２５・初計</t>
  </si>
  <si>
    <t>FM62</t>
  </si>
  <si>
    <t>家事重研深３．２５・２人・初計</t>
  </si>
  <si>
    <t>家事重研深３．５</t>
  </si>
  <si>
    <t>家事重研深３．５・２人</t>
  </si>
  <si>
    <t>FM71</t>
  </si>
  <si>
    <t>家事重研深３．５・初計</t>
  </si>
  <si>
    <t>FM72</t>
  </si>
  <si>
    <t>家事重研深３．５・２人・初計</t>
  </si>
  <si>
    <t>家事重研深３．７５</t>
  </si>
  <si>
    <t>家事重研深３．７５・２人</t>
  </si>
  <si>
    <t>FM81</t>
  </si>
  <si>
    <t>家事重研深３．７５・初計</t>
  </si>
  <si>
    <t>FM82</t>
  </si>
  <si>
    <t>家事重研深３．７５・２人・初計</t>
  </si>
  <si>
    <t>家事重研深４．０</t>
  </si>
  <si>
    <t>家事重研深４．０・２人</t>
  </si>
  <si>
    <t>FM91</t>
  </si>
  <si>
    <t>家事重研深４．０・初計</t>
  </si>
  <si>
    <t>FM92</t>
  </si>
  <si>
    <t>家事重研深４．０・２人・初計</t>
  </si>
  <si>
    <t>家事重研深４．２５</t>
  </si>
  <si>
    <t>家事重研深４．２５・２人</t>
  </si>
  <si>
    <t>FN01</t>
  </si>
  <si>
    <t>家事重研深４．２５・初計</t>
  </si>
  <si>
    <t>FN02</t>
  </si>
  <si>
    <t>家事重研深４．２５・２人・初計</t>
  </si>
  <si>
    <t>家事重研深４．５</t>
  </si>
  <si>
    <t>家事重研深４．５・２人</t>
  </si>
  <si>
    <t>FN11</t>
  </si>
  <si>
    <t>家事重研深４．５・初計</t>
  </si>
  <si>
    <t>FN12</t>
  </si>
  <si>
    <t>家事重研深４．５・２人・初計</t>
  </si>
  <si>
    <t>家事重研深４．７５</t>
  </si>
  <si>
    <t>家事重研深４．７５・２人</t>
  </si>
  <si>
    <t>FN21</t>
  </si>
  <si>
    <t>家事重研深４．７５・初計</t>
  </si>
  <si>
    <t>FN22</t>
  </si>
  <si>
    <t>家事重研深４．７５・２人・初計</t>
  </si>
  <si>
    <t>家事重研深５．０</t>
  </si>
  <si>
    <t>家事重研深５．０・２人</t>
  </si>
  <si>
    <t>FN31</t>
  </si>
  <si>
    <t>家事重研深５．０・初計</t>
  </si>
  <si>
    <t>FN32</t>
  </si>
  <si>
    <t>家事重研深５．０・２人・初計</t>
  </si>
  <si>
    <t>家事重研深５．２５</t>
  </si>
  <si>
    <t>家事重研深５．２５・２人</t>
  </si>
  <si>
    <t>FN41</t>
  </si>
  <si>
    <t>家事重研深５．２５・初計</t>
  </si>
  <si>
    <t>FN42</t>
  </si>
  <si>
    <t>家事重研深５．２５・２人・初計</t>
  </si>
  <si>
    <t>家事重研深５．５</t>
  </si>
  <si>
    <t>家事重研深５．５・２人</t>
  </si>
  <si>
    <t>FN51</t>
  </si>
  <si>
    <t>家事重研深５．５・初計</t>
  </si>
  <si>
    <t>FN52</t>
  </si>
  <si>
    <t>家事重研深５．５・２人・初計</t>
  </si>
  <si>
    <t>家事重研深５．７５</t>
  </si>
  <si>
    <t>家事重研深５．７５・２人</t>
  </si>
  <si>
    <t>FN61</t>
  </si>
  <si>
    <t>家事重研深５．７５・初計</t>
  </si>
  <si>
    <t>FN62</t>
  </si>
  <si>
    <t>家事重研深５．７５・２人・初計</t>
  </si>
  <si>
    <t>家事重研深６．０</t>
  </si>
  <si>
    <t>家事重研深６．０・２人</t>
  </si>
  <si>
    <t>FN71</t>
  </si>
  <si>
    <t>家事重研深６．０・初計</t>
  </si>
  <si>
    <t>FN72</t>
  </si>
  <si>
    <t>家事重研深６．０・２人・初計</t>
  </si>
  <si>
    <t>家事重研深６．２５</t>
  </si>
  <si>
    <t>家事重研深６．２５・２人</t>
  </si>
  <si>
    <t>FN81</t>
  </si>
  <si>
    <t>家事重研深６．２５・初計</t>
  </si>
  <si>
    <t>FN82</t>
  </si>
  <si>
    <t>家事重研深６．２５・２人・初計</t>
  </si>
  <si>
    <t>家事重研深６．５</t>
  </si>
  <si>
    <t>家事重研深６．５・２人</t>
  </si>
  <si>
    <t>FN91</t>
  </si>
  <si>
    <t>家事重研深６．５・初計</t>
  </si>
  <si>
    <t>FN92</t>
  </si>
  <si>
    <t>家事重研深６．５・２人・初計</t>
  </si>
  <si>
    <t>ハ　家事援助　（重度訪問介護研修終了者：深夜＋早朝）</t>
  </si>
  <si>
    <t>家事重研深０．５・早０．２５</t>
  </si>
  <si>
    <t>家事重研深０．５・早０．２５・２人</t>
  </si>
  <si>
    <t>FP01</t>
  </si>
  <si>
    <t>家事重研深０．５・早０．２５・初計</t>
  </si>
  <si>
    <t>FP02</t>
  </si>
  <si>
    <t>家事重研深０．５・早０．２５・２人・初計</t>
  </si>
  <si>
    <t>家事重研深０．５・早０．５</t>
  </si>
  <si>
    <t>家事重研深０．５・早０．５・２人</t>
  </si>
  <si>
    <t>FP11</t>
  </si>
  <si>
    <t>家事重研深０．５・早０．５・初計</t>
  </si>
  <si>
    <t>FP12</t>
  </si>
  <si>
    <t>家事重研深０．５・早０．５・２人・初計</t>
  </si>
  <si>
    <t>家事重研深０．５・早０．７５</t>
  </si>
  <si>
    <t>家事重研深０．５・早０．７５・２人</t>
  </si>
  <si>
    <t>FP21</t>
  </si>
  <si>
    <t>家事重研深０．５・早０．７５・初計</t>
  </si>
  <si>
    <t>FP22</t>
  </si>
  <si>
    <t>家事重研深０．５・早０．７５・２人・初計</t>
  </si>
  <si>
    <t>家事重研深０．５・早１．０</t>
  </si>
  <si>
    <t>家事重研深０．５・早１．０・２人</t>
  </si>
  <si>
    <t>FP31</t>
  </si>
  <si>
    <t>家事重研深０．５・早１．０・初計</t>
  </si>
  <si>
    <t>FP32</t>
  </si>
  <si>
    <t>家事重研深０．５・早１．０・２人・初計</t>
  </si>
  <si>
    <t>家事重研深０．７５・早０．２５</t>
  </si>
  <si>
    <t>家事重研深０．７５・早０．２５・２人</t>
  </si>
  <si>
    <t>FP41</t>
  </si>
  <si>
    <t>家事重研深０．７５・早０．２５・初計</t>
  </si>
  <si>
    <t>FP42</t>
  </si>
  <si>
    <t>家事重研深０．７５・早０．２５・２人・初計</t>
  </si>
  <si>
    <t>家事重研深０．７５・早０．５</t>
  </si>
  <si>
    <t>家事重研深０．７５・早０．５・２人</t>
  </si>
  <si>
    <t>FP51</t>
  </si>
  <si>
    <t>家事重研深０．７５・早０．５・初計</t>
  </si>
  <si>
    <t>FP52</t>
  </si>
  <si>
    <t>家事重研深０．７５・早０．５・２人・初計</t>
  </si>
  <si>
    <t>家事重研深０．７５・早０．７５</t>
  </si>
  <si>
    <t>家事重研深０．７５・早０．７５・２人</t>
  </si>
  <si>
    <t>FP61</t>
  </si>
  <si>
    <t>家事重研深０．７５・早０．７５・初計</t>
  </si>
  <si>
    <t>FP62</t>
  </si>
  <si>
    <t>家事重研深０．７５・早０．７５・２人・初計</t>
  </si>
  <si>
    <t>家事重研深１．０・早０．２５</t>
  </si>
  <si>
    <t>家事重研深１．０・早０．２５・２人</t>
  </si>
  <si>
    <t>FP71</t>
  </si>
  <si>
    <t>家事重研深１．０・早０．２５・初計</t>
  </si>
  <si>
    <t>FP72</t>
  </si>
  <si>
    <t>家事重研深１．０・早０．２５・２人・初計</t>
  </si>
  <si>
    <t>家事重研深１．０・早０．５</t>
  </si>
  <si>
    <t>家事重研深１．０・早０．５・２人</t>
  </si>
  <si>
    <t>FP81</t>
  </si>
  <si>
    <t>家事重研深１．０・早０．５・初計</t>
  </si>
  <si>
    <t>FP82</t>
  </si>
  <si>
    <t>家事重研深１．０・早０．５・２人・初計</t>
  </si>
  <si>
    <t>家事重研深１．２５・早０．２５</t>
  </si>
  <si>
    <t>家事重研深１．２５・早０．２５・２人</t>
  </si>
  <si>
    <t>FP91</t>
  </si>
  <si>
    <t>家事重研深１．２５・早０．２５・初計</t>
  </si>
  <si>
    <t>FP92</t>
  </si>
  <si>
    <t>家事重研深１．２５・早０．２５・２人・初計</t>
  </si>
  <si>
    <t>ハ　家事援助　（重度訪問介護研修終了者：早朝＋日中）</t>
  </si>
  <si>
    <t>算定項目</t>
    <phoneticPr fontId="1"/>
  </si>
  <si>
    <t>家事重研早０．５・日０．２５</t>
  </si>
  <si>
    <t>家事重研早０．５・日０．２５・２人</t>
  </si>
  <si>
    <t>FR01</t>
  </si>
  <si>
    <t>家事重研早０．５・日０．２５・初計</t>
  </si>
  <si>
    <t>FR02</t>
  </si>
  <si>
    <t>家事重研早０．５・日０．２５・２人・初計</t>
  </si>
  <si>
    <t>家事重研早０．５・日０．５</t>
  </si>
  <si>
    <t>家事重研早０．５・日０．５・２人</t>
  </si>
  <si>
    <t>FR11</t>
  </si>
  <si>
    <t>家事重研早０．５・日０．５・初計</t>
  </si>
  <si>
    <t>FR12</t>
  </si>
  <si>
    <t>家事重研早０．５・日０．５・２人・初計</t>
  </si>
  <si>
    <t>家事重研早０．５・日０．７５</t>
  </si>
  <si>
    <t>家事重研早０．５・日０．７５・２人</t>
  </si>
  <si>
    <t>FR21</t>
  </si>
  <si>
    <t>家事重研早０．５・日０．７５・初計</t>
  </si>
  <si>
    <t>FR22</t>
  </si>
  <si>
    <t>家事重研早０．５・日０．７５・２人・初計</t>
  </si>
  <si>
    <t>家事重研早０．５・日１．０</t>
  </si>
  <si>
    <t>家事重研早０．５・日１．０・２人</t>
  </si>
  <si>
    <t>FR31</t>
  </si>
  <si>
    <t>家事重研早０．５・日１．０・初計</t>
  </si>
  <si>
    <t>FR32</t>
  </si>
  <si>
    <t>家事重研早０．５・日１．０・２人・初計</t>
  </si>
  <si>
    <t>家事重研早０．７５・日０．２５</t>
  </si>
  <si>
    <t>家事重研早０．７５・日０．２５・２人</t>
  </si>
  <si>
    <t>FR41</t>
  </si>
  <si>
    <t>家事重研早０．７５・日０．２５・初計</t>
  </si>
  <si>
    <t>FR42</t>
  </si>
  <si>
    <t>家事重研早０．７５・日０．２５・２人・初計</t>
  </si>
  <si>
    <t>家事重研早０．７５・日０．５</t>
  </si>
  <si>
    <t>家事重研早０．７５・日０．５・２人</t>
  </si>
  <si>
    <t>FR51</t>
  </si>
  <si>
    <t>家事重研早０．７５・日０．５・初計</t>
  </si>
  <si>
    <t>FR52</t>
  </si>
  <si>
    <t>家事重研早０．７５・日０．５・２人・初計</t>
  </si>
  <si>
    <t>家事重研早０．７５・日０．７５</t>
  </si>
  <si>
    <t>家事重研早０．７５・日０．７５・２人</t>
  </si>
  <si>
    <t>FR61</t>
  </si>
  <si>
    <t>家事重研早０．７５・日０．７５・初計</t>
  </si>
  <si>
    <t>FR62</t>
  </si>
  <si>
    <t>家事重研早０．７５・日０．７５・２人・初計</t>
  </si>
  <si>
    <t>家事重研早１．０・日０．２５</t>
  </si>
  <si>
    <t>家事重研早１．０・日０．２５・２人</t>
  </si>
  <si>
    <t>FR71</t>
  </si>
  <si>
    <t>家事重研早１．０・日０．２５・初計</t>
  </si>
  <si>
    <t>FR72</t>
  </si>
  <si>
    <t>家事重研早１．０・日０．２５・２人・初計</t>
  </si>
  <si>
    <t>家事重研早１．０・日０．５</t>
  </si>
  <si>
    <t>家事重研早１．０・日０．５・２人</t>
  </si>
  <si>
    <t>FR81</t>
  </si>
  <si>
    <t>家事重研早１．０・日０．５・初計</t>
  </si>
  <si>
    <t>FR82</t>
  </si>
  <si>
    <t>家事重研早１．０・日０．５・２人・初計</t>
  </si>
  <si>
    <t>家事重研早１．２５・日０．２５</t>
  </si>
  <si>
    <t>家事重研早１．２５・日０．２５・２人</t>
  </si>
  <si>
    <t>FR91</t>
  </si>
  <si>
    <t>家事重研早１．２５・日０．２５・初計</t>
  </si>
  <si>
    <t>FR92</t>
  </si>
  <si>
    <t>家事重研早１．２５・日０．２５・２人・初計</t>
  </si>
  <si>
    <t>ハ　家事援助　（重度訪問介護研修終了者：日中＋夜間）</t>
  </si>
  <si>
    <t>家事重研日０．５・夜０．２５</t>
  </si>
  <si>
    <t>家事重研日０．５・夜０．２５・２人</t>
  </si>
  <si>
    <t>FS01</t>
  </si>
  <si>
    <t>家事重研日０．５・夜０．２５・初計</t>
  </si>
  <si>
    <t>FS02</t>
  </si>
  <si>
    <t>家事重研日０．５・夜０．２５・２人・初計</t>
  </si>
  <si>
    <t>家事重研日０．５・夜０．５</t>
  </si>
  <si>
    <t>家事重研日０．５・夜０．５・２人</t>
  </si>
  <si>
    <t>FS11</t>
  </si>
  <si>
    <t>家事重研日０．５・夜０．５・初計</t>
  </si>
  <si>
    <t>FS12</t>
  </si>
  <si>
    <t>家事重研日０．５・夜０．５・２人・初計</t>
  </si>
  <si>
    <t>家事重研日０．５・夜０．７５</t>
  </si>
  <si>
    <t>家事重研日０．５・夜０．７５・２人</t>
  </si>
  <si>
    <t>FS21</t>
  </si>
  <si>
    <t>家事重研日０．５・夜０．７５・初計</t>
  </si>
  <si>
    <t>FS22</t>
  </si>
  <si>
    <t>家事重研日０．５・夜０．７５・２人・初計</t>
  </si>
  <si>
    <t>家事重研日０．５・夜１．０</t>
  </si>
  <si>
    <t>家事重研日０．５・夜１．０・２人</t>
  </si>
  <si>
    <t>FS31</t>
  </si>
  <si>
    <t>家事重研日０．５・夜１．０・初計</t>
  </si>
  <si>
    <t>FS32</t>
  </si>
  <si>
    <t>家事重研日０．５・夜１．０・２人・初計</t>
  </si>
  <si>
    <t>家事重研日０．７５・夜０．２５</t>
  </si>
  <si>
    <t>家事重研日０．７５・夜０．２５・２人</t>
  </si>
  <si>
    <t>FS41</t>
  </si>
  <si>
    <t>家事重研日０．７５・夜０．２５・初計</t>
  </si>
  <si>
    <t>FS42</t>
  </si>
  <si>
    <t>家事重研日０．７５・夜０．２５・２人・初計</t>
  </si>
  <si>
    <t>家事重研日０．７５・夜０．５</t>
  </si>
  <si>
    <t>家事重研日０．７５・夜０．５・２人</t>
  </si>
  <si>
    <t>FS51</t>
  </si>
  <si>
    <t>家事重研日０．７５・夜０．５・初計</t>
  </si>
  <si>
    <t>FS52</t>
  </si>
  <si>
    <t>家事重研日０．７５・夜０．５・２人・初計</t>
  </si>
  <si>
    <t>家事重研日０．７５・夜０．７５</t>
  </si>
  <si>
    <t>家事重研日０．７５・夜０．７５・２人</t>
  </si>
  <si>
    <t>FS61</t>
  </si>
  <si>
    <t>家事重研日０．７５・夜０．７５・初計</t>
  </si>
  <si>
    <t>FS62</t>
  </si>
  <si>
    <t>家事重研日０．７５・夜０．７５・２人・初計</t>
  </si>
  <si>
    <t>家事重研日１．０・夜０．２５</t>
  </si>
  <si>
    <t>家事重研日１．０・夜０．２５・２人</t>
  </si>
  <si>
    <t>FS71</t>
  </si>
  <si>
    <t>家事重研日１．０・夜０．２５・初計</t>
  </si>
  <si>
    <t>FS72</t>
  </si>
  <si>
    <t>家事重研日１．０・夜０．２５・２人・初計</t>
  </si>
  <si>
    <t>家事重研日１．０・夜０．５</t>
  </si>
  <si>
    <t>家事重研日１．０・夜０．５・２人</t>
  </si>
  <si>
    <t>FS81</t>
  </si>
  <si>
    <t>家事重研日１．０・夜０．５・初計</t>
  </si>
  <si>
    <t>FS82</t>
  </si>
  <si>
    <t>家事重研日１．０・夜０．５・２人・初計</t>
  </si>
  <si>
    <t>家事重研日１．２５・夜０．２５</t>
  </si>
  <si>
    <t>家事重研日１．２５・夜０．２５・２人</t>
  </si>
  <si>
    <t>FS91</t>
  </si>
  <si>
    <t>家事重研日１．２５・夜０．２５・初計</t>
  </si>
  <si>
    <t>FS92</t>
  </si>
  <si>
    <t>家事重研日１．２５・夜０．２５・２人・初計</t>
  </si>
  <si>
    <t>ハ　家事援助　（重度訪問介護研修終了者：夜間＋深夜）</t>
  </si>
  <si>
    <t>家事重研夜０．５・深０．２５</t>
  </si>
  <si>
    <t>家事重研夜０．５・深０．２５・２人</t>
  </si>
  <si>
    <t>FT01</t>
  </si>
  <si>
    <t>家事重研夜０．５・深０．２５・初計</t>
  </si>
  <si>
    <t>FT02</t>
  </si>
  <si>
    <t>家事重研夜０．５・深０．２５・２人・初計</t>
  </si>
  <si>
    <t>家事重研夜０．５・深０．５</t>
  </si>
  <si>
    <t>家事重研夜０．５・深０．５・２人</t>
  </si>
  <si>
    <t>FT11</t>
  </si>
  <si>
    <t>家事重研夜０．５・深０．５・初計</t>
  </si>
  <si>
    <t>FT12</t>
  </si>
  <si>
    <t>家事重研夜０．５・深０．５・２人・初計</t>
  </si>
  <si>
    <t>家事重研夜０．５・深０．７５</t>
  </si>
  <si>
    <t>家事重研夜０．５・深０．７５・２人</t>
  </si>
  <si>
    <t>FT21</t>
  </si>
  <si>
    <t>家事重研夜０．５・深０．７５・初計</t>
  </si>
  <si>
    <t>FT22</t>
  </si>
  <si>
    <t>家事重研夜０．５・深０．７５・２人・初計</t>
  </si>
  <si>
    <t>家事重研夜０．５・深１．０</t>
  </si>
  <si>
    <t>家事重研夜０．５・深１．０・２人</t>
  </si>
  <si>
    <t>FT31</t>
  </si>
  <si>
    <t>家事重研夜０．５・深１．０・初計</t>
  </si>
  <si>
    <t>FT32</t>
  </si>
  <si>
    <t>家事重研夜０．５・深１．０・２人・初計</t>
  </si>
  <si>
    <t>家事重研夜０．７５・深０．２５</t>
  </si>
  <si>
    <t>家事重研夜０．７５・深０．２５・２人</t>
  </si>
  <si>
    <t>FT41</t>
  </si>
  <si>
    <t>家事重研夜０．７５・深０．２５・初計</t>
  </si>
  <si>
    <t>FT42</t>
  </si>
  <si>
    <t>家事重研夜０．７５・深０．２５・２人・初計</t>
  </si>
  <si>
    <t>家事重研夜０．７５・深０．５</t>
  </si>
  <si>
    <t>家事重研夜０．７５・深０．５・２人</t>
  </si>
  <si>
    <t>FT51</t>
  </si>
  <si>
    <t>家事重研夜０．７５・深０．５・初計</t>
  </si>
  <si>
    <t>FT52</t>
  </si>
  <si>
    <t>家事重研夜０．７５・深０．５・２人・初計</t>
  </si>
  <si>
    <t>家事重研夜０．７５・深０．７５</t>
  </si>
  <si>
    <t>家事重研夜０．７５・深０．７５・２人</t>
  </si>
  <si>
    <t>FT61</t>
  </si>
  <si>
    <t>家事重研夜０．７５・深０．７５・初計</t>
  </si>
  <si>
    <t>FT62</t>
  </si>
  <si>
    <t>家事重研夜０．７５・深０．７５・２人・初計</t>
  </si>
  <si>
    <t>家事重研夜１．０・深０．２５</t>
  </si>
  <si>
    <t>家事重研夜１．０・深０．２５・２人</t>
  </si>
  <si>
    <t>FT71</t>
  </si>
  <si>
    <t>家事重研夜１．０・深０．２５・初計</t>
  </si>
  <si>
    <t>FT72</t>
  </si>
  <si>
    <t>家事重研夜１．０・深０．２５・２人・初計</t>
  </si>
  <si>
    <t>家事重研夜１．０・深０．５</t>
  </si>
  <si>
    <t>家事重研夜１．０・深０．５・２人</t>
  </si>
  <si>
    <t>FT81</t>
  </si>
  <si>
    <t>家事重研夜１．０・深０．５・初計</t>
  </si>
  <si>
    <t>FT82</t>
  </si>
  <si>
    <t>家事重研夜１．０・深０．５・２人・初計</t>
  </si>
  <si>
    <t>家事重研夜１．２５・深０．２５</t>
  </si>
  <si>
    <t>家事重研夜１．２５・深０．２５・２人</t>
  </si>
  <si>
    <t>FT91</t>
  </si>
  <si>
    <t>家事重研夜１．２５・深０．２５・初計</t>
  </si>
  <si>
    <t>FT92</t>
  </si>
  <si>
    <t>家事重研夜１．２５・深０．２５・２人・初計</t>
  </si>
  <si>
    <t>ハ　家事援助　（重度訪問介護研修終了者：日を跨る場合　２日目深夜増分）</t>
  </si>
  <si>
    <t>家事重研日跨増深０．５・深０．２５</t>
  </si>
  <si>
    <t>家事重研日跨増深０．５・深０．２５・２人</t>
  </si>
  <si>
    <t>FU01</t>
  </si>
  <si>
    <t>家事重研日跨増深０．５・深０．２５・初計</t>
  </si>
  <si>
    <t>FU02</t>
  </si>
  <si>
    <t>家事重研日跨増深０．５・深０．２５・２人・初計</t>
  </si>
  <si>
    <t>家事重研日跨増深０．５・深０．５</t>
  </si>
  <si>
    <t>家事重研日跨増深０．５・深０．５・２人</t>
  </si>
  <si>
    <t>FU11</t>
  </si>
  <si>
    <t>家事重研日跨増深０．５・深０．５・初計</t>
  </si>
  <si>
    <t>FU12</t>
  </si>
  <si>
    <t>家事重研日跨増深０．５・深０．５・２人・初計</t>
  </si>
  <si>
    <t>家事重研日跨増深０．５・深０．７５</t>
  </si>
  <si>
    <t>家事重研日跨増深０．５・深０．７５・２人</t>
  </si>
  <si>
    <t>FU21</t>
  </si>
  <si>
    <t>家事重研日跨増深０．５・深０．７５・初計</t>
  </si>
  <si>
    <t>FU22</t>
  </si>
  <si>
    <t>家事重研日跨増深０．５・深０．７５・２人・初計</t>
  </si>
  <si>
    <t>家事重研日跨増深０．５・深１．０</t>
  </si>
  <si>
    <t>家事重研日跨増深０．５・深１．０・２人</t>
  </si>
  <si>
    <t>FU31</t>
  </si>
  <si>
    <t>家事重研日跨増深０．５・深１．０・初計</t>
  </si>
  <si>
    <t>FU32</t>
  </si>
  <si>
    <t>家事重研日跨増深０．５・深１．０・２人・初計</t>
  </si>
  <si>
    <t>家事重研日跨増深０．７５・深０．２５</t>
  </si>
  <si>
    <t>家事重研日跨増深０．７５・深０．２５・２人</t>
  </si>
  <si>
    <t>FU41</t>
  </si>
  <si>
    <t>家事重研日跨増深０．７５・深０．２５・初計</t>
  </si>
  <si>
    <t>FU42</t>
  </si>
  <si>
    <t>家事重研日跨増深０．７５・深０．２５・２人・初計</t>
  </si>
  <si>
    <t>家事重研日跨増深０．７５・深０．５</t>
  </si>
  <si>
    <t>家事重研日跨増深０．７５・深０．５・２人</t>
  </si>
  <si>
    <t>FU51</t>
  </si>
  <si>
    <t>家事重研日跨増深０．７５・深０．５・初計</t>
  </si>
  <si>
    <t>FU52</t>
  </si>
  <si>
    <t>家事重研日跨増深０．７５・深０．５・２人・初計</t>
  </si>
  <si>
    <t>家事重研日跨増深０．７５・深０．７５</t>
  </si>
  <si>
    <t>家事重研日跨増深０．７５・深０．７５・２人</t>
  </si>
  <si>
    <t>FU61</t>
  </si>
  <si>
    <t>家事重研日跨増深０．７５・深０．７５・初計</t>
  </si>
  <si>
    <t>FU62</t>
  </si>
  <si>
    <t>家事重研日跨増深０．７５・深０．７５・２人・初計</t>
  </si>
  <si>
    <t>家事重研日跨増深１．０・深０．２５</t>
  </si>
  <si>
    <t>家事重研日跨増深１．０・深０．２５・２人</t>
  </si>
  <si>
    <t>FU71</t>
  </si>
  <si>
    <t>家事重研日跨増深１．０・深０．２５・初計</t>
  </si>
  <si>
    <t>FU72</t>
  </si>
  <si>
    <t>家事重研日跨増深１．０・深０．２５・２人・初計</t>
  </si>
  <si>
    <t>家事重研日跨増深１．０・深０．５</t>
  </si>
  <si>
    <t>家事重研日跨増深１．０・深０．５・２人</t>
  </si>
  <si>
    <t>FU81</t>
  </si>
  <si>
    <t>家事重研日跨増深１．０・深０．５・初計</t>
  </si>
  <si>
    <t>FU82</t>
  </si>
  <si>
    <t>家事重研日跨増深１．０・深０．５・２人・初計</t>
  </si>
  <si>
    <t>家事重研日跨増深１．２５・深０．２５</t>
  </si>
  <si>
    <t>家事重研日跨増深１．２５・深０．２５・２人</t>
  </si>
  <si>
    <t>FU91</t>
  </si>
  <si>
    <t>家事重研日跨増深１．２５・深０．２５・初計</t>
  </si>
  <si>
    <t>FU92</t>
  </si>
  <si>
    <t>家事重研日跨増深１．２５・深０．２５・２人・初計</t>
  </si>
  <si>
    <t>ハ　家事援助　（重度訪問介護研修終了者：深夜＋早朝＋日中）　　※サービス間隔が２時間未満の場合</t>
  </si>
  <si>
    <t>家事重研深０．５・早０．２５・日０．２５</t>
  </si>
  <si>
    <t>家事重研深０．５・早０．２５・日０．２５・２人</t>
  </si>
  <si>
    <t>FV01</t>
  </si>
  <si>
    <t>家事重研深０．５・早０．２５・日０．２５・初計</t>
  </si>
  <si>
    <t>FV02</t>
  </si>
  <si>
    <t>家事重研深０．５・早０．２５・日０．２５・２人・初計</t>
  </si>
  <si>
    <t>家事重研深０．５・早０．２５・日０．５</t>
  </si>
  <si>
    <t>家事重研深０．５・早０．２５・日０．５・２人</t>
  </si>
  <si>
    <t>FV11</t>
  </si>
  <si>
    <t>家事重研深０．５・早０．２５・日０．５・初計</t>
  </si>
  <si>
    <t>FV12</t>
  </si>
  <si>
    <t>家事重研深０．５・早０．２５・日０．５・２人・初計</t>
  </si>
  <si>
    <t>家事重研深０．５・早０．２５・日０．７５</t>
  </si>
  <si>
    <t>家事重研深０．５・早０．２５・日０．７５・２人</t>
  </si>
  <si>
    <t>FV21</t>
  </si>
  <si>
    <t>家事重研深０．５・早０．２５・日０．７５・初計</t>
  </si>
  <si>
    <t>FV22</t>
  </si>
  <si>
    <t>家事重研深０．５・早０．２５・日０．７５・２人・初計</t>
  </si>
  <si>
    <t>家事重研深０．５・早０．５・日０．２５</t>
  </si>
  <si>
    <t>家事重研深０．５・早０．５・日０．２５・２人</t>
  </si>
  <si>
    <t>FV31</t>
  </si>
  <si>
    <t>家事重研深０．５・早０．５・日０．２５・初計</t>
  </si>
  <si>
    <t>FV32</t>
  </si>
  <si>
    <t>家事重研深０．５・早０．５・日０．２５・２人・初計</t>
  </si>
  <si>
    <t>家事重研深０．５・早０．５・日０．５</t>
  </si>
  <si>
    <t>家事重研深０．５・早０．５・日０．５・２人</t>
  </si>
  <si>
    <t>FV41</t>
  </si>
  <si>
    <t>家事重研深０．５・早０．５・日０．５・初計</t>
  </si>
  <si>
    <t>FV42</t>
  </si>
  <si>
    <t>家事重研深０．５・早０．５・日０．５・２人・初計</t>
  </si>
  <si>
    <t>家事重研深０．５・早０．７５・日０．２５</t>
  </si>
  <si>
    <t>家事重研深０．５・早０．７５・日０．２５・２人</t>
  </si>
  <si>
    <t>FV51</t>
  </si>
  <si>
    <t>家事重研深０．５・早０．７５・日０．２５・初計</t>
  </si>
  <si>
    <t>FV52</t>
  </si>
  <si>
    <t>家事重研深０．５・早０．７５・日０．２５・２人・初計</t>
  </si>
  <si>
    <t>家事重研深０．７５・早０．２５・日０．２５</t>
  </si>
  <si>
    <t>家事重研深０．７５・早０．２５・日０．２５・２人</t>
  </si>
  <si>
    <t>FV61</t>
  </si>
  <si>
    <t>家事重研深０．７５・早０．２５・日０．２５・初計</t>
  </si>
  <si>
    <t>FV62</t>
  </si>
  <si>
    <t>家事重研深０．７５・早０．２５・日０．２５・２人・初計</t>
  </si>
  <si>
    <t>家事重研深０．７５・早０．２５・日０．５</t>
  </si>
  <si>
    <t>家事重研深０．７５・早０．２５・日０．５・２人</t>
  </si>
  <si>
    <t>FV71</t>
  </si>
  <si>
    <t>家事重研深０．７５・早０．２５・日０．５・初計</t>
  </si>
  <si>
    <t>FV72</t>
  </si>
  <si>
    <t>家事重研深０．７５・早０．２５・日０．５・２人・初計</t>
  </si>
  <si>
    <t>家事重研深０．７５・早０．５・日０．２５</t>
  </si>
  <si>
    <t>家事重研深０．７５・早０．５・日０．２５・２人</t>
  </si>
  <si>
    <t>FV81</t>
  </si>
  <si>
    <t>家事重研深０．７５・早０．５・日０．２５・初計</t>
  </si>
  <si>
    <t>FV82</t>
  </si>
  <si>
    <t>家事重研深０．７５・早０．５・日０．２５・２人・初計</t>
  </si>
  <si>
    <t>家事重研深１．０・早０．２５・日０．２５</t>
  </si>
  <si>
    <t>家事重研深１．０・早０．２５・日０．２５・２人</t>
  </si>
  <si>
    <t>FV91</t>
  </si>
  <si>
    <t>家事重研深１．０・早０．２５・日０．２５・初計</t>
  </si>
  <si>
    <t>FV92</t>
  </si>
  <si>
    <t>家事重研深１．０・早０．２５・日０．２５・２人・初計</t>
  </si>
  <si>
    <t>ハ　家事援助　（重度訪問介護研修終了者：深夜＋日中）　　※サービス間隔が２時間未満の場合</t>
  </si>
  <si>
    <t>家事重研深０．５・日０．２５</t>
  </si>
  <si>
    <t>(4)深夜 １５分以上 ３０分未満</t>
  </si>
  <si>
    <t>家事重研深０．５・日０．２５・２人</t>
  </si>
  <si>
    <t>FW01</t>
  </si>
  <si>
    <t>家事重研深０．５・日０．２５・初計</t>
  </si>
  <si>
    <t>FW02</t>
  </si>
  <si>
    <t>家事重研深０．５・日０．２５・２人・初計</t>
  </si>
  <si>
    <t>家事重研深０．５・日０．５</t>
  </si>
  <si>
    <t>家事重研深０．５・日０．５・２人</t>
  </si>
  <si>
    <t>FW11</t>
  </si>
  <si>
    <t>家事重研深０．５・日０．５・初計</t>
  </si>
  <si>
    <t>FW12</t>
  </si>
  <si>
    <t>家事重研深０．５・日０．５・２人・初計</t>
  </si>
  <si>
    <t>家事重研深０．５・日０．７５</t>
  </si>
  <si>
    <t>家事重研深０．５・日０．７５・２人</t>
  </si>
  <si>
    <t>FW21</t>
  </si>
  <si>
    <t>家事重研深０．５・日０．７５・初計</t>
  </si>
  <si>
    <t>FW22</t>
  </si>
  <si>
    <t>家事重研深０．５・日０．７５・２人・初計</t>
  </si>
  <si>
    <t>家事重研深０．５・日１．０</t>
  </si>
  <si>
    <t>家事重研深０．５・日１．０・２人</t>
  </si>
  <si>
    <t>FW31</t>
  </si>
  <si>
    <t>家事重研深０．５・日１．０・初計</t>
  </si>
  <si>
    <t>FW32</t>
  </si>
  <si>
    <t>家事重研深０．５・日１．０・２人・初計</t>
  </si>
  <si>
    <t>家事重研深０．７５・日０．２５</t>
  </si>
  <si>
    <t>(5)深夜 ３０分以上 ４５分未満</t>
  </si>
  <si>
    <t>家事重研深０．７５・日０．２５・２人</t>
  </si>
  <si>
    <t>FW41</t>
  </si>
  <si>
    <t>家事重研深０．７５・日０．２５・初計</t>
  </si>
  <si>
    <t>FW42</t>
  </si>
  <si>
    <t>家事重研深０．７５・日０．２５・２人・初計</t>
  </si>
  <si>
    <t>家事重研深０．７５・日０．５</t>
  </si>
  <si>
    <t>家事重研深０．７５・日０．５・２人</t>
  </si>
  <si>
    <t>FW51</t>
  </si>
  <si>
    <t>家事重研深０．７５・日０．５・初計</t>
  </si>
  <si>
    <t>FW52</t>
  </si>
  <si>
    <t>家事重研深０．７５・日０．５・２人・初計</t>
  </si>
  <si>
    <t>家事重研深０．７５・日０．７５</t>
  </si>
  <si>
    <t>家事重研深０．７５・日０．７５・２人</t>
  </si>
  <si>
    <t>FW61</t>
  </si>
  <si>
    <t>家事重研深０．７５・日０．７５・初計</t>
  </si>
  <si>
    <t>FW62</t>
  </si>
  <si>
    <t>家事重研深０．７５・日０．７５・２人・初計</t>
  </si>
  <si>
    <t>家事重研深１．０・日０．２５</t>
  </si>
  <si>
    <t>(6)深夜 ４５分以上 １時間未満</t>
  </si>
  <si>
    <t>家事重研深１．０・日０．２５・２人</t>
  </si>
  <si>
    <t>FW71</t>
  </si>
  <si>
    <t>家事重研深１．０・日０．２５・初計</t>
  </si>
  <si>
    <t>FW72</t>
  </si>
  <si>
    <t>家事重研深１．０・日０．２５・２人・初計</t>
  </si>
  <si>
    <t>家事重研深１．０・日０．５</t>
  </si>
  <si>
    <t>家事重研深１．０・日０．５・２人</t>
  </si>
  <si>
    <t>FW81</t>
  </si>
  <si>
    <t>家事重研深１．０・日０．５・初計</t>
  </si>
  <si>
    <t>FW82</t>
  </si>
  <si>
    <t>家事重研深１．０・日０．５・２人・初計</t>
  </si>
  <si>
    <t>家事重研深１．２５・日０．２５</t>
  </si>
  <si>
    <t>(7)深夜 １時間以上 １時間１５分未満</t>
  </si>
  <si>
    <t>家事重研深１．２５・日０．２５・２人</t>
  </si>
  <si>
    <t>FW91</t>
  </si>
  <si>
    <t>家事重研深１．２５・日０．２５・初計</t>
  </si>
  <si>
    <t>FW92</t>
  </si>
  <si>
    <t>家事重研深１．２５・日０．２５・２人・初計</t>
  </si>
  <si>
    <t>ハ　家事援助　（重度訪問介護研修終了者：日中＋夜間＋深夜）　　※サービス間隔が２時間未満の場合</t>
  </si>
  <si>
    <t>家事重研日０．５・夜０．２５・深０．２５</t>
  </si>
  <si>
    <t>家事重研日０．５・夜０．２５・深０．２５・２人</t>
  </si>
  <si>
    <t>FX01</t>
  </si>
  <si>
    <t>家事重研日０．５・夜０．２５・深０．２５・初計</t>
  </si>
  <si>
    <t>FX02</t>
  </si>
  <si>
    <t>家事重研日０．５・夜０．２５・深０．２５・２人・初計</t>
  </si>
  <si>
    <t>家事重研日０．５・夜０．２５・深０．５</t>
  </si>
  <si>
    <t>家事重研日０．５・夜０．２５・深０．５・２人</t>
  </si>
  <si>
    <t>FX11</t>
  </si>
  <si>
    <t>家事重研日０．５・夜０．２５・深０．５・初計</t>
  </si>
  <si>
    <t>FX12</t>
  </si>
  <si>
    <t>家事重研日０．５・夜０．２５・深０．５・２人・初計</t>
  </si>
  <si>
    <t>家事重研日０．５・夜０．２５・深０．７５</t>
  </si>
  <si>
    <t>家事重研日０．５・夜０．２５・深０．７５・２人</t>
  </si>
  <si>
    <t>FX21</t>
  </si>
  <si>
    <t>家事重研日０．５・夜０．２５・深０．７５・初計</t>
  </si>
  <si>
    <t>FX22</t>
  </si>
  <si>
    <t>家事重研日０．５・夜０．２５・深０．７５・２人・初計</t>
  </si>
  <si>
    <t>家事重研日０．５・夜０．５・深０．２５</t>
  </si>
  <si>
    <t>家事重研日０．５・夜０．５・深０．２５・２人</t>
  </si>
  <si>
    <t>FX31</t>
  </si>
  <si>
    <t>家事重研日０．５・夜０．５・深０．２５・初計</t>
  </si>
  <si>
    <t>FX32</t>
  </si>
  <si>
    <t>家事重研日０．５・夜０．５・深０．２５・２人・初計</t>
  </si>
  <si>
    <t>家事重研日０．５・夜０．５・深０．５</t>
  </si>
  <si>
    <t>家事重研日０．５・夜０．５・深０．５・２人</t>
  </si>
  <si>
    <t>FX41</t>
  </si>
  <si>
    <t>家事重研日０．５・夜０．５・深０．５・初計</t>
  </si>
  <si>
    <t>FX42</t>
  </si>
  <si>
    <t>家事重研日０．５・夜０．５・深０．５・２人・初計</t>
  </si>
  <si>
    <t>家事重研日０．５・夜０．７５・深０．２５</t>
  </si>
  <si>
    <t>家事重研日０．５・夜０．７５・深０．２５・２人</t>
  </si>
  <si>
    <t>FX51</t>
  </si>
  <si>
    <t>家事重研日０．５・夜０．７５・深０．２５・初計</t>
  </si>
  <si>
    <t>FX52</t>
  </si>
  <si>
    <t>家事重研日０．５・夜０．７５・深０．２５・２人・初計</t>
  </si>
  <si>
    <t>家事重研日０．７５・夜０．２５・深０．２５</t>
  </si>
  <si>
    <t>家事重研日０．７５・夜０．２５・深０．２５・２人</t>
  </si>
  <si>
    <t>FX61</t>
  </si>
  <si>
    <t>家事重研日０．７５・夜０．２５・深０．２５・初計</t>
  </si>
  <si>
    <t>FX62</t>
  </si>
  <si>
    <t>家事重研日０．７５・夜０．２５・深０．２５・２人・初計</t>
  </si>
  <si>
    <t>家事重研日０．７５・夜０．２５・深０．５</t>
  </si>
  <si>
    <t>家事重研日０．７５・夜０．２５・深０．５・２人</t>
  </si>
  <si>
    <t>FX71</t>
  </si>
  <si>
    <t>家事重研日０．７５・夜０．２５・深０．５・初計</t>
  </si>
  <si>
    <t>FX72</t>
  </si>
  <si>
    <t>家事重研日０．７５・夜０．２５・深０．５・２人・初計</t>
  </si>
  <si>
    <t>家事重研日０．７５・夜０．５・深０．２５</t>
  </si>
  <si>
    <t>家事重研日０．７５・夜０．５・深０．２５・２人</t>
  </si>
  <si>
    <t>FX81</t>
  </si>
  <si>
    <t>家事重研日０．７５・夜０．５・深０．２５・初計</t>
  </si>
  <si>
    <t>FX82</t>
  </si>
  <si>
    <t>家事重研日０．７５・夜０．５・深０．２５・２人・初計</t>
  </si>
  <si>
    <t>家事重研日１．０・夜０．２５・深０．２５</t>
  </si>
  <si>
    <t>家事重研日１．０・夜０．２５・深０．２５・２人</t>
  </si>
  <si>
    <t>FX91</t>
  </si>
  <si>
    <t>家事重研日１．０・夜０．２５・深０．２５・初計</t>
  </si>
  <si>
    <t>FX92</t>
  </si>
  <si>
    <t>家事重研日１．０・夜０．２５・深０．２５・２人・初計</t>
  </si>
  <si>
    <t>ハ　家事援助　（重度訪問介護研修終了者：日中増分)</t>
  </si>
  <si>
    <t>家事重研日増０．２５</t>
  </si>
  <si>
    <t>家事重研日増０．２５・２人</t>
  </si>
  <si>
    <t>FY01</t>
  </si>
  <si>
    <t>家事重研日増０．２５・初計</t>
  </si>
  <si>
    <t>FY02</t>
  </si>
  <si>
    <t>家事重研日増０．２５・２人・初計</t>
  </si>
  <si>
    <t>家事重研日増０．５</t>
  </si>
  <si>
    <t>家事重研日増０．５・２人</t>
  </si>
  <si>
    <t>FY11</t>
  </si>
  <si>
    <t>家事重研日増０．５・初計</t>
  </si>
  <si>
    <t>FY12</t>
  </si>
  <si>
    <t>家事重研日増０．５・２人・初計</t>
  </si>
  <si>
    <t>家事重研日増０．７５</t>
  </si>
  <si>
    <t>家事重研日増０．７５・２人</t>
  </si>
  <si>
    <t>FY21</t>
  </si>
  <si>
    <t>家事重研日増０．７５・初計</t>
  </si>
  <si>
    <t>FY22</t>
  </si>
  <si>
    <t>家事重研日増０．７５・２人・初計</t>
  </si>
  <si>
    <t>家事重研日増１．０</t>
  </si>
  <si>
    <t>家事重研日増１．０・２人</t>
  </si>
  <si>
    <t>FY31</t>
  </si>
  <si>
    <t>家事重研日増１．０・初計</t>
  </si>
  <si>
    <t>FY32</t>
  </si>
  <si>
    <t>家事重研日増１．０・２人・初計</t>
  </si>
  <si>
    <t>家事重研日増１．２５</t>
  </si>
  <si>
    <t>家事重研日増１．２５・２人</t>
  </si>
  <si>
    <t>FY41</t>
  </si>
  <si>
    <t>家事重研日増１．２５・初計</t>
  </si>
  <si>
    <t>FY42</t>
  </si>
  <si>
    <t>家事重研日増１．２５・２人・初計</t>
  </si>
  <si>
    <t>家事重研日増１．５</t>
  </si>
  <si>
    <t>家事重研日増１．５・２人</t>
  </si>
  <si>
    <t>FY51</t>
  </si>
  <si>
    <t>家事重研日増１．５・初計</t>
  </si>
  <si>
    <t>FY52</t>
  </si>
  <si>
    <t>家事重研日増１．５・２人・初計</t>
  </si>
  <si>
    <t>家事重研日増１．７５</t>
  </si>
  <si>
    <t>家事重研日増１．７５・２人</t>
  </si>
  <si>
    <t>FY61</t>
  </si>
  <si>
    <t>家事重研日増１．７５・初計</t>
  </si>
  <si>
    <t>FY62</t>
  </si>
  <si>
    <t>家事重研日増１．７５・２人・初計</t>
  </si>
  <si>
    <t>家事重研日増２．０</t>
  </si>
  <si>
    <t>家事重研日増２．０・２人</t>
  </si>
  <si>
    <t>FY71</t>
  </si>
  <si>
    <t>家事重研日増２．０・初計</t>
  </si>
  <si>
    <t>FY72</t>
  </si>
  <si>
    <t>家事重研日増２．０・２人・初計</t>
  </si>
  <si>
    <t>家事重研日増２．２５</t>
  </si>
  <si>
    <t>家事重研日増２．２５・２人</t>
  </si>
  <si>
    <t>FY81</t>
  </si>
  <si>
    <t>家事重研日増２．２５・初計</t>
  </si>
  <si>
    <t>FY82</t>
  </si>
  <si>
    <t>家事重研日増２．２５・２人・初計</t>
  </si>
  <si>
    <t>家事重研日増２．５</t>
  </si>
  <si>
    <t>家事重研日増２．５・２人</t>
  </si>
  <si>
    <t>FY91</t>
  </si>
  <si>
    <t>家事重研日増２．５・初計</t>
  </si>
  <si>
    <t>FY92</t>
  </si>
  <si>
    <t>家事重研日増２．５・２人・初計</t>
  </si>
  <si>
    <t>家事重研日増２．７５</t>
  </si>
  <si>
    <t>家事重研日増２．７５・２人</t>
  </si>
  <si>
    <t>FZ01</t>
  </si>
  <si>
    <t>家事重研日増２．７５・初計</t>
  </si>
  <si>
    <t>FZ02</t>
  </si>
  <si>
    <t>家事重研日増２．７５・２人・初計</t>
  </si>
  <si>
    <t>家事重研日増３．０</t>
  </si>
  <si>
    <t>家事重研日増３．０・２人</t>
  </si>
  <si>
    <t>FZ11</t>
  </si>
  <si>
    <t>家事重研日増３．０・初計</t>
  </si>
  <si>
    <t>FZ12</t>
  </si>
  <si>
    <t>家事重研日増３．０・２人・初計</t>
  </si>
  <si>
    <t>家事重研日増３．２５</t>
  </si>
  <si>
    <t>家事重研日増３．２５・２人</t>
  </si>
  <si>
    <t>FZ21</t>
  </si>
  <si>
    <t>家事重研日増３．２５・初計</t>
  </si>
  <si>
    <t>FZ22</t>
  </si>
  <si>
    <t>家事重研日増３．２５・２人・初計</t>
  </si>
  <si>
    <t>家事重研日増３．５</t>
  </si>
  <si>
    <t>家事重研日増３．５・２人</t>
  </si>
  <si>
    <t>FZ31</t>
  </si>
  <si>
    <t>家事重研日増３．５・初計</t>
  </si>
  <si>
    <t>FZ32</t>
  </si>
  <si>
    <t>家事重研日増３．５・２人・初計</t>
  </si>
  <si>
    <t>家事重研日増３．７５</t>
  </si>
  <si>
    <t>家事重研日増３．７５・２人</t>
  </si>
  <si>
    <t>FZ41</t>
  </si>
  <si>
    <t>家事重研日増３．７５・初計</t>
  </si>
  <si>
    <t>FZ42</t>
  </si>
  <si>
    <t>家事重研日増３．７５・２人・初計</t>
  </si>
  <si>
    <t>家事重研日増４．０</t>
  </si>
  <si>
    <t>家事重研日増４．０・２人</t>
  </si>
  <si>
    <t>FZ51</t>
  </si>
  <si>
    <t>家事重研日増４．０・初計</t>
  </si>
  <si>
    <t>FZ52</t>
  </si>
  <si>
    <t>家事重研日増４．０・２人・初計</t>
  </si>
  <si>
    <t>家事重研日増４．２５</t>
  </si>
  <si>
    <t>家事重研日増４．２５・２人</t>
  </si>
  <si>
    <t>FZ61</t>
  </si>
  <si>
    <t>家事重研日増４．２５・初計</t>
  </si>
  <si>
    <t>FZ62</t>
  </si>
  <si>
    <t>家事重研日増４．２５・２人・初計</t>
  </si>
  <si>
    <t>家事重研日増４．５</t>
  </si>
  <si>
    <t>家事重研日増４．５・２人</t>
  </si>
  <si>
    <t>FZ71</t>
  </si>
  <si>
    <t>家事重研日増４．５・初計</t>
  </si>
  <si>
    <t>FZ72</t>
  </si>
  <si>
    <t>家事重研日増４．５・２人・初計</t>
  </si>
  <si>
    <t>家事重研日増４．７５</t>
  </si>
  <si>
    <t>家事重研日増４．７５・２人</t>
  </si>
  <si>
    <t>FZ81</t>
  </si>
  <si>
    <t>家事重研日増４．７５・初計</t>
  </si>
  <si>
    <t>FZ82</t>
  </si>
  <si>
    <t>家事重研日増４．７５・２人・初計</t>
  </si>
  <si>
    <t>家事重研日増５．０</t>
  </si>
  <si>
    <t>家事重研日増５．０・２人</t>
  </si>
  <si>
    <t>FZ91</t>
  </si>
  <si>
    <t>家事重研日増５．０・初計</t>
  </si>
  <si>
    <t>FZ92</t>
  </si>
  <si>
    <t>家事重研日増５．０・２人・初計</t>
  </si>
  <si>
    <t>家事重研日増５．２５</t>
  </si>
  <si>
    <t>家事重研日増５．２５・２人</t>
  </si>
  <si>
    <t>G001</t>
  </si>
  <si>
    <t>家事重研日増５．２５・初計</t>
  </si>
  <si>
    <t>G002</t>
  </si>
  <si>
    <t>家事重研日増５．２５・２人・初計</t>
  </si>
  <si>
    <t>家事重研日増５．５</t>
  </si>
  <si>
    <t>家事重研日増５．５・２人</t>
  </si>
  <si>
    <t>G011</t>
  </si>
  <si>
    <t>家事重研日増５．５・初計</t>
  </si>
  <si>
    <t>G012</t>
  </si>
  <si>
    <t>家事重研日増５．５・２人・初計</t>
  </si>
  <si>
    <t>家事重研日増５．７５</t>
  </si>
  <si>
    <t>家事重研日増５．７５・２人</t>
  </si>
  <si>
    <t>G021</t>
  </si>
  <si>
    <t>家事重研日増５．７５・初計</t>
  </si>
  <si>
    <t>G022</t>
  </si>
  <si>
    <t>家事重研日増５．７５・２人・初計</t>
  </si>
  <si>
    <t>家事重研日増６．０</t>
  </si>
  <si>
    <t>家事重研日増６．０・２人</t>
  </si>
  <si>
    <t>G031</t>
  </si>
  <si>
    <t>家事重研日増６．０・初計</t>
  </si>
  <si>
    <t>G032</t>
  </si>
  <si>
    <t>家事重研日増６．０・２人・初計</t>
  </si>
  <si>
    <t>家事重研日増６．２５</t>
  </si>
  <si>
    <t>家事重研日増６．２５・２人</t>
  </si>
  <si>
    <t>G041</t>
  </si>
  <si>
    <t>家事重研日増６．２５・初計</t>
  </si>
  <si>
    <t>G042</t>
  </si>
  <si>
    <t>家事重研日増６．２５・２人・初計</t>
  </si>
  <si>
    <t>家事重研日増６．５</t>
  </si>
  <si>
    <t>家事重研日増６．５・２人</t>
  </si>
  <si>
    <t>G051</t>
  </si>
  <si>
    <t>家事重研日増６．５・初計</t>
  </si>
  <si>
    <t>G052</t>
  </si>
  <si>
    <t>家事重研日増６．５・２人・初計</t>
  </si>
  <si>
    <t>家事重研日増６．７５</t>
  </si>
  <si>
    <t>家事重研日増６．７５・２人</t>
  </si>
  <si>
    <t>G061</t>
  </si>
  <si>
    <t>家事重研日増６．７５・初計</t>
  </si>
  <si>
    <t>G062</t>
  </si>
  <si>
    <t>家事重研日増６．７５・２人・初計</t>
  </si>
  <si>
    <t>家事重研日増７．０</t>
  </si>
  <si>
    <t>家事重研日増７．０・２人</t>
  </si>
  <si>
    <t>G071</t>
  </si>
  <si>
    <t>家事重研日増７．０・初計</t>
  </si>
  <si>
    <t>G072</t>
  </si>
  <si>
    <t>家事重研日増７．０・２人・初計</t>
  </si>
  <si>
    <t>家事重研日増７．２５</t>
  </si>
  <si>
    <t>家事重研日増７．２５・２人</t>
  </si>
  <si>
    <t>G081</t>
  </si>
  <si>
    <t>家事重研日増７．２５・初計</t>
  </si>
  <si>
    <t>G082</t>
  </si>
  <si>
    <t>家事重研日増７．２５・２人・初計</t>
  </si>
  <si>
    <t>家事重研日増７．５</t>
  </si>
  <si>
    <t>家事重研日増７．５・２人</t>
  </si>
  <si>
    <t>G091</t>
  </si>
  <si>
    <t>家事重研日増７．５・初計</t>
  </si>
  <si>
    <t>G092</t>
  </si>
  <si>
    <t>家事重研日増７．５・２人・初計</t>
  </si>
  <si>
    <t>家事重研日増７．７５</t>
  </si>
  <si>
    <t>家事重研日増７．７５・２人</t>
  </si>
  <si>
    <t>G101</t>
  </si>
  <si>
    <t>家事重研日増７．７５・初計</t>
  </si>
  <si>
    <t>G102</t>
  </si>
  <si>
    <t>家事重研日増７．７５・２人・初計</t>
  </si>
  <si>
    <t>家事重研日増８．０</t>
  </si>
  <si>
    <t>家事重研日増８．０・２人</t>
  </si>
  <si>
    <t>G111</t>
  </si>
  <si>
    <t>家事重研日増８．０・初計</t>
  </si>
  <si>
    <t>G112</t>
  </si>
  <si>
    <t>家事重研日増８．０・２人・初計</t>
  </si>
  <si>
    <t>家事重研日増８．２５</t>
  </si>
  <si>
    <t>家事重研日増８．２５・２人</t>
  </si>
  <si>
    <t>G121</t>
  </si>
  <si>
    <t>家事重研日増８．２５・初計</t>
  </si>
  <si>
    <t>G122</t>
  </si>
  <si>
    <t>家事重研日増８．２５・２人・初計</t>
  </si>
  <si>
    <t>家事重研日増８．５</t>
  </si>
  <si>
    <t>家事重研日増８．５・２人</t>
  </si>
  <si>
    <t>G131</t>
  </si>
  <si>
    <t>家事重研日増８．５・初計</t>
  </si>
  <si>
    <t>G132</t>
  </si>
  <si>
    <t>家事重研日増８．５・２人・初計</t>
  </si>
  <si>
    <t>家事重研日増８．７５</t>
  </si>
  <si>
    <t>家事重研日増８．７５・２人</t>
  </si>
  <si>
    <t>G141</t>
  </si>
  <si>
    <t>家事重研日増８．７５・初計</t>
  </si>
  <si>
    <t>G142</t>
  </si>
  <si>
    <t>家事重研日増８．７５・２人・初計</t>
  </si>
  <si>
    <t>家事重研日増９．０</t>
  </si>
  <si>
    <t>家事重研日増９．０・２人</t>
  </si>
  <si>
    <t>G151</t>
  </si>
  <si>
    <t>家事重研日増９．０・初計</t>
  </si>
  <si>
    <t>G152</t>
  </si>
  <si>
    <t>家事重研日増９．０・２人・初計</t>
  </si>
  <si>
    <t>家事重研日増９．２５</t>
  </si>
  <si>
    <t>家事重研日増９．２５・２人</t>
  </si>
  <si>
    <t>G161</t>
  </si>
  <si>
    <t>家事重研日増９．２５・初計</t>
  </si>
  <si>
    <t>G162</t>
  </si>
  <si>
    <t>家事重研日増９．２５・２人・初計</t>
  </si>
  <si>
    <t>家事重研日増９．５</t>
  </si>
  <si>
    <t>家事重研日増９．５・２人</t>
  </si>
  <si>
    <t>G171</t>
  </si>
  <si>
    <t>家事重研日増９．５・初計</t>
  </si>
  <si>
    <t>G172</t>
  </si>
  <si>
    <t>家事重研日増９．５・２人・初計</t>
  </si>
  <si>
    <t>家事重研日増９．７５</t>
  </si>
  <si>
    <t>家事重研日増９．７５・２人</t>
  </si>
  <si>
    <t>G181</t>
  </si>
  <si>
    <t>家事重研日増９．７５・初計</t>
  </si>
  <si>
    <t>G182</t>
  </si>
  <si>
    <t>家事重研日増９．７５・２人・初計</t>
  </si>
  <si>
    <t>家事重研日増１０．０</t>
  </si>
  <si>
    <t>家事重研日増１０．０・２人</t>
  </si>
  <si>
    <t>G191</t>
  </si>
  <si>
    <t>家事重研日増１０．０・初計</t>
  </si>
  <si>
    <t>G192</t>
  </si>
  <si>
    <t>家事重研日増１０．０・２人・初計</t>
  </si>
  <si>
    <t>家事重研日増１０．２５</t>
  </si>
  <si>
    <t>家事重研日増１０．２５・２人</t>
  </si>
  <si>
    <t>G201</t>
  </si>
  <si>
    <t>家事重研日増１０．２５・初計</t>
  </si>
  <si>
    <t>G202</t>
  </si>
  <si>
    <t>家事重研日増１０．２５・２人・初計</t>
  </si>
  <si>
    <t>家事重研日増１０．５</t>
  </si>
  <si>
    <t>家事重研日増１０．５・２人</t>
  </si>
  <si>
    <t>G211</t>
  </si>
  <si>
    <t>家事重研日増１０．５・初計</t>
  </si>
  <si>
    <t>G212</t>
  </si>
  <si>
    <t>家事重研日増１０．５・２人・初計</t>
  </si>
  <si>
    <t>ハ　家事援助　（重度訪問介護研修終了者：早朝増分）</t>
  </si>
  <si>
    <t>家事重研早増０．２５</t>
  </si>
  <si>
    <t>家事重研早増０．２５・２人</t>
  </si>
  <si>
    <t>G221</t>
  </si>
  <si>
    <t>家事重研早増０．２５・初計</t>
  </si>
  <si>
    <t>G222</t>
  </si>
  <si>
    <t>家事重研早増０．２５・２人・初計</t>
  </si>
  <si>
    <t>家事重研早増０．５</t>
  </si>
  <si>
    <t>家事重研早増０．５・２人</t>
  </si>
  <si>
    <t>G231</t>
  </si>
  <si>
    <t>家事重研早増０．５・初計</t>
  </si>
  <si>
    <t>G232</t>
  </si>
  <si>
    <t>家事重研早増０．５・２人・初計</t>
  </si>
  <si>
    <t>家事重研早増０．７５</t>
  </si>
  <si>
    <t>家事重研早増０．７５・２人</t>
  </si>
  <si>
    <t>G241</t>
  </si>
  <si>
    <t>家事重研早増０．７５・初計</t>
  </si>
  <si>
    <t>G242</t>
  </si>
  <si>
    <t>家事重研早増０．７５・２人・初計</t>
  </si>
  <si>
    <t>家事重研早増１．０</t>
  </si>
  <si>
    <t>家事重研早増１．０・２人</t>
  </si>
  <si>
    <t>G251</t>
  </si>
  <si>
    <t>家事重研早増１．０・初計</t>
  </si>
  <si>
    <t>G252</t>
  </si>
  <si>
    <t>家事重研早増１．０・２人・初計</t>
  </si>
  <si>
    <t>家事重研早増１．２５</t>
  </si>
  <si>
    <t>家事重研早増１．２５・２人</t>
  </si>
  <si>
    <t>G261</t>
  </si>
  <si>
    <t>家事重研早増１．２５・初計</t>
  </si>
  <si>
    <t>G262</t>
  </si>
  <si>
    <t>家事重研早増１．２５・２人・初計</t>
  </si>
  <si>
    <t>家事重研早増１．５</t>
  </si>
  <si>
    <t>家事重研早増１．５・２人</t>
  </si>
  <si>
    <t>G271</t>
  </si>
  <si>
    <t>家事重研早増１．５・初計</t>
  </si>
  <si>
    <t>G272</t>
  </si>
  <si>
    <t>家事重研早増１．５・２人・初計</t>
  </si>
  <si>
    <t>家事重研早増１．７５</t>
  </si>
  <si>
    <t>家事重研早増１．７５・２人</t>
  </si>
  <si>
    <t>G281</t>
  </si>
  <si>
    <t>家事重研早増１．７５・初計</t>
  </si>
  <si>
    <t>G282</t>
  </si>
  <si>
    <t>家事重研早増１．７５・２人・初計</t>
  </si>
  <si>
    <t>家事重研早増２．０</t>
  </si>
  <si>
    <t>家事重研早増２．０・２人</t>
  </si>
  <si>
    <t>G291</t>
  </si>
  <si>
    <t>家事重研早増２．０・初計</t>
  </si>
  <si>
    <t>G292</t>
  </si>
  <si>
    <t>家事重研早増２．０・２人・初計</t>
  </si>
  <si>
    <t>家事重研早増２．２５</t>
  </si>
  <si>
    <t>家事重研早増２．２５・２人</t>
  </si>
  <si>
    <t>G301</t>
  </si>
  <si>
    <t>家事重研早増２．２５・初計</t>
  </si>
  <si>
    <t>G302</t>
  </si>
  <si>
    <t>家事重研早増２．２５・２人・初計</t>
  </si>
  <si>
    <t>家事重研早増２．５</t>
  </si>
  <si>
    <t>家事重研早増２．５・２人</t>
  </si>
  <si>
    <t>G311</t>
  </si>
  <si>
    <t>家事重研早増２．５・初計</t>
  </si>
  <si>
    <t>G312</t>
  </si>
  <si>
    <t>家事重研早増２．５・２人・初計</t>
  </si>
  <si>
    <t>ハ　家事援助　（重度訪問介護研修終了者：夜間増分）</t>
  </si>
  <si>
    <t>家事重研夜増０．２５</t>
  </si>
  <si>
    <t>家事重研夜増０．２５・２人</t>
  </si>
  <si>
    <t>G321</t>
  </si>
  <si>
    <t>家事重研夜増０．２５・初計</t>
  </si>
  <si>
    <t>G322</t>
  </si>
  <si>
    <t>家事重研夜増０．２５・２人・初計</t>
  </si>
  <si>
    <t>家事重研夜増０．５</t>
  </si>
  <si>
    <t>家事重研夜増０．５・２人</t>
  </si>
  <si>
    <t>G331</t>
  </si>
  <si>
    <t>家事重研夜増０．５・初計</t>
  </si>
  <si>
    <t>G332</t>
  </si>
  <si>
    <t>家事重研夜増０．５・２人・初計</t>
  </si>
  <si>
    <t>家事重研夜増０．７５</t>
  </si>
  <si>
    <t>家事重研夜増０．７５・２人</t>
  </si>
  <si>
    <t>G341</t>
  </si>
  <si>
    <t>家事重研夜増０．７５・初計</t>
  </si>
  <si>
    <t>G342</t>
  </si>
  <si>
    <t>家事重研夜増０．７５・２人・初計</t>
  </si>
  <si>
    <t>家事重研夜増１．０</t>
  </si>
  <si>
    <t>家事重研夜増１．０・２人</t>
  </si>
  <si>
    <t>G351</t>
  </si>
  <si>
    <t>家事重研夜増１．０・初計</t>
  </si>
  <si>
    <t>G352</t>
  </si>
  <si>
    <t>家事重研夜増１．０・２人・初計</t>
    <phoneticPr fontId="1"/>
  </si>
  <si>
    <t>家事重研夜増１．２５</t>
  </si>
  <si>
    <t>家事重研夜増１．２５・２人</t>
  </si>
  <si>
    <t>G361</t>
  </si>
  <si>
    <t>家事重研夜増１．２５・初計</t>
  </si>
  <si>
    <t>G362</t>
  </si>
  <si>
    <t>家事重研夜増１．２５・２人・初計</t>
  </si>
  <si>
    <t>家事重研夜増１．５</t>
  </si>
  <si>
    <t>家事重研夜増１．５・２人</t>
  </si>
  <si>
    <t>G371</t>
  </si>
  <si>
    <t>家事重研夜増１．５・初計</t>
  </si>
  <si>
    <t>G372</t>
  </si>
  <si>
    <t>家事重研夜増１．５・２人・初計</t>
  </si>
  <si>
    <t>家事重研夜増１．７５</t>
  </si>
  <si>
    <t>家事重研夜増１．７５・２人</t>
  </si>
  <si>
    <t>G381</t>
  </si>
  <si>
    <t>家事重研夜増１．７５・初計</t>
  </si>
  <si>
    <t>G382</t>
  </si>
  <si>
    <t>家事重研夜増１．７５・２人・初計</t>
  </si>
  <si>
    <t>家事重研夜増２．０</t>
  </si>
  <si>
    <t>家事重研夜増２．０・２人</t>
  </si>
  <si>
    <t>G391</t>
  </si>
  <si>
    <t>家事重研夜増２．０・初計</t>
  </si>
  <si>
    <t>G392</t>
  </si>
  <si>
    <t>家事重研夜増２．０・２人・初計</t>
  </si>
  <si>
    <t>家事重研夜増２．２５</t>
  </si>
  <si>
    <t>家事重研夜増２．２５・２人</t>
  </si>
  <si>
    <t>G401</t>
  </si>
  <si>
    <t>家事重研夜増２．２５・初計</t>
  </si>
  <si>
    <t>G402</t>
  </si>
  <si>
    <t>家事重研夜増２．２５・２人・初計</t>
  </si>
  <si>
    <t>家事重研夜増２．５</t>
  </si>
  <si>
    <t>家事重研夜増２．５・２人</t>
  </si>
  <si>
    <t>G411</t>
  </si>
  <si>
    <t>家事重研夜増２．５・初計</t>
  </si>
  <si>
    <t>G412</t>
  </si>
  <si>
    <t>家事重研夜増２．５・２人・初計</t>
  </si>
  <si>
    <t>家事重研夜増２．７５</t>
  </si>
  <si>
    <t>家事重研夜増２．７５・２人</t>
  </si>
  <si>
    <t>G421</t>
  </si>
  <si>
    <t>家事重研夜増２．７５・初計</t>
  </si>
  <si>
    <t>G422</t>
  </si>
  <si>
    <t>家事重研夜増２．７５・２人・初計</t>
  </si>
  <si>
    <t>家事重研夜増３．０</t>
  </si>
  <si>
    <t>家事重研夜増３．０・２人</t>
  </si>
  <si>
    <t>G431</t>
  </si>
  <si>
    <t>家事重研夜増３．０・初計</t>
  </si>
  <si>
    <t>G432</t>
  </si>
  <si>
    <t>家事重研夜増３．０・２人・初計</t>
  </si>
  <si>
    <t>家事重研夜増３．２５</t>
  </si>
  <si>
    <t>家事重研夜増３．２５・２人</t>
  </si>
  <si>
    <t>G441</t>
  </si>
  <si>
    <t>家事重研夜増３．２５・初計</t>
  </si>
  <si>
    <t>G442</t>
  </si>
  <si>
    <t>家事重研夜増３．２５・２人・初計</t>
  </si>
  <si>
    <t>家事重研夜増３．５</t>
  </si>
  <si>
    <t>家事重研夜増３．５・２人</t>
  </si>
  <si>
    <t>G451</t>
  </si>
  <si>
    <t>家事重研夜増３．５・初計</t>
  </si>
  <si>
    <t>G452</t>
  </si>
  <si>
    <t>家事重研夜増３．５・２人・初計</t>
  </si>
  <si>
    <t>家事重研夜増３．７５</t>
  </si>
  <si>
    <t>家事重研夜増３．７５・２人</t>
  </si>
  <si>
    <t>G461</t>
  </si>
  <si>
    <t>家事重研夜増３．７５・初計</t>
  </si>
  <si>
    <t>G462</t>
  </si>
  <si>
    <t>家事重研夜増３．７５・２人・初計</t>
  </si>
  <si>
    <t>家事重研夜増４．０</t>
  </si>
  <si>
    <t>家事重研夜増４．０・２人</t>
  </si>
  <si>
    <t>G471</t>
  </si>
  <si>
    <t>家事重研夜増４．０・初計</t>
  </si>
  <si>
    <t>G472</t>
  </si>
  <si>
    <t>家事重研夜増４．０・２人・初計</t>
  </si>
  <si>
    <t>家事重研夜増４．２５</t>
  </si>
  <si>
    <t>家事重研夜増４．２５・２人</t>
  </si>
  <si>
    <t>G481</t>
  </si>
  <si>
    <t>家事重研夜増４．２５・初計</t>
  </si>
  <si>
    <t>G482</t>
  </si>
  <si>
    <t>家事重研夜増４．２５・２人・初計</t>
  </si>
  <si>
    <t>家事重研夜増４．５</t>
  </si>
  <si>
    <t>家事重研夜増４．５・２人</t>
  </si>
  <si>
    <t>G491</t>
  </si>
  <si>
    <t>家事重研夜増４．５・初計</t>
  </si>
  <si>
    <t>G492</t>
  </si>
  <si>
    <t>家事重研夜増４．５・２人・初計</t>
  </si>
  <si>
    <t>ハ　家事援助　（重度訪問介護研修終了者：深夜増分）</t>
  </si>
  <si>
    <t>家事重研深増０．２５</t>
  </si>
  <si>
    <t>家事重研深増０．２５・２人</t>
  </si>
  <si>
    <t>G501</t>
  </si>
  <si>
    <t>家事重研深増０．２５・初計</t>
  </si>
  <si>
    <t>G502</t>
  </si>
  <si>
    <t>家事重研深増０．２５・２人・初計</t>
  </si>
  <si>
    <t>家事重研深増０．５</t>
  </si>
  <si>
    <t>家事重研深増０．５・２人</t>
  </si>
  <si>
    <t>G511</t>
  </si>
  <si>
    <t>家事重研深増０．５・初計</t>
  </si>
  <si>
    <t>G512</t>
  </si>
  <si>
    <t>家事重研深増０．５・２人・初計</t>
  </si>
  <si>
    <t>家事重研深増０．７５</t>
  </si>
  <si>
    <t>家事重研深増０．７５・２人</t>
  </si>
  <si>
    <t>G521</t>
  </si>
  <si>
    <t>家事重研深増０．７５・初計</t>
  </si>
  <si>
    <t>G522</t>
  </si>
  <si>
    <t>家事重研深増０．７５・２人・初計</t>
  </si>
  <si>
    <t>家事重研深増１．０</t>
  </si>
  <si>
    <t>家事重研深増１．０・２人</t>
  </si>
  <si>
    <t>G531</t>
  </si>
  <si>
    <t>家事重研深増１．０・初計</t>
  </si>
  <si>
    <t>G532</t>
  </si>
  <si>
    <t>家事重研深増１．０・２人・初計</t>
  </si>
  <si>
    <t>家事重研深増１．２５</t>
  </si>
  <si>
    <t>家事重研深増１．２５・２人</t>
  </si>
  <si>
    <t>G541</t>
  </si>
  <si>
    <t>家事重研深増１．２５・初計</t>
  </si>
  <si>
    <t>G542</t>
  </si>
  <si>
    <t>家事重研深増１．２５・２人・初計</t>
  </si>
  <si>
    <t>家事重研深増１．５</t>
  </si>
  <si>
    <t>家事重研深増１．５・２人</t>
  </si>
  <si>
    <t>G551</t>
  </si>
  <si>
    <t>家事重研深増１．５・初計</t>
  </si>
  <si>
    <t>G552</t>
  </si>
  <si>
    <t>家事重研深増１．５・２人・初計</t>
  </si>
  <si>
    <t>家事重研深増１．７５</t>
  </si>
  <si>
    <t>家事重研深増１．７５・２人</t>
  </si>
  <si>
    <t>G561</t>
  </si>
  <si>
    <t>家事重研深増１．７５・初計</t>
  </si>
  <si>
    <t>G562</t>
  </si>
  <si>
    <t>家事重研深増１．７５・２人・初計</t>
  </si>
  <si>
    <t>家事重研深増２．０</t>
  </si>
  <si>
    <t>家事重研深増２．０・２人</t>
  </si>
  <si>
    <t>G571</t>
  </si>
  <si>
    <t>家事重研深増２．０・初計</t>
  </si>
  <si>
    <t>G572</t>
  </si>
  <si>
    <t>家事重研深増２．０・２人・初計</t>
  </si>
  <si>
    <t>家事重研深増２．２５</t>
  </si>
  <si>
    <t>家事重研深増２．２５・２人</t>
  </si>
  <si>
    <t>G581</t>
  </si>
  <si>
    <t>家事重研深増２．２５・初計</t>
  </si>
  <si>
    <t>G582</t>
  </si>
  <si>
    <t>家事重研深増２．２５・２人・初計</t>
  </si>
  <si>
    <t>家事重研深増２．５</t>
  </si>
  <si>
    <t>家事重研深増２．５・２人</t>
  </si>
  <si>
    <t>G591</t>
  </si>
  <si>
    <t>家事重研深増２．５・初計</t>
  </si>
  <si>
    <t>G592</t>
  </si>
  <si>
    <t>家事重研深増２．５・２人・初計</t>
  </si>
  <si>
    <t>家事重研深増２．７５</t>
  </si>
  <si>
    <t>家事重研深増２．７５・２人</t>
  </si>
  <si>
    <t>G601</t>
  </si>
  <si>
    <t>家事重研深増２．７５・初計</t>
  </si>
  <si>
    <t>G602</t>
  </si>
  <si>
    <t>家事重研深増２．７５・２人・初計</t>
  </si>
  <si>
    <t>家事重研深増３．０</t>
  </si>
  <si>
    <t>家事重研深増３．０・２人</t>
  </si>
  <si>
    <t>G611</t>
  </si>
  <si>
    <t>家事重研深増３．０・初計</t>
  </si>
  <si>
    <t>G612</t>
  </si>
  <si>
    <t>家事重研深増３．０・２人・初計</t>
  </si>
  <si>
    <t>家事重研深増３．２５</t>
  </si>
  <si>
    <t>家事重研深増３．２５・２人</t>
  </si>
  <si>
    <t>G621</t>
  </si>
  <si>
    <t>家事重研深増３．２５・初計</t>
  </si>
  <si>
    <t>G622</t>
  </si>
  <si>
    <t>家事重研深増３．２５・２人・初計</t>
  </si>
  <si>
    <t>家事重研深増３．５</t>
  </si>
  <si>
    <t>家事重研深増３．５・２人</t>
  </si>
  <si>
    <t>G631</t>
  </si>
  <si>
    <t>家事重研深増３．５・初計</t>
  </si>
  <si>
    <t>G632</t>
  </si>
  <si>
    <t>家事重研深増３．５・２人・初計</t>
  </si>
  <si>
    <t>家事重研深増３．７５</t>
  </si>
  <si>
    <t>家事重研深増３．７５・２人</t>
  </si>
  <si>
    <t>G641</t>
  </si>
  <si>
    <t>家事重研深増３．７５・初計</t>
  </si>
  <si>
    <t>G642</t>
  </si>
  <si>
    <t>家事重研深増３．７５・２人・初計</t>
  </si>
  <si>
    <t>家事重研深増４．０</t>
  </si>
  <si>
    <t>家事重研深増４．０・２人</t>
  </si>
  <si>
    <t>G651</t>
  </si>
  <si>
    <t>家事重研深増４．０・初計</t>
  </si>
  <si>
    <t>G652</t>
  </si>
  <si>
    <t>家事重研深増４．０・２人・初計</t>
  </si>
  <si>
    <t>家事重研深増４．２５</t>
  </si>
  <si>
    <t>家事重研深増４．２５・２人</t>
  </si>
  <si>
    <t>G661</t>
  </si>
  <si>
    <t>家事重研深増４．２５・初計</t>
  </si>
  <si>
    <t>G662</t>
  </si>
  <si>
    <t>家事重研深増４．２５・２人・初計</t>
  </si>
  <si>
    <t>家事重研深増４．５</t>
  </si>
  <si>
    <t>家事重研深増４．５・２人</t>
  </si>
  <si>
    <t>G671</t>
  </si>
  <si>
    <t>家事重研深増４．５・初計</t>
  </si>
  <si>
    <t>G672</t>
  </si>
  <si>
    <t>家事重研深増４．５・２人・初計</t>
  </si>
  <si>
    <t>家事重研深増４．７５</t>
  </si>
  <si>
    <t>家事重研深増４．７５・２人</t>
  </si>
  <si>
    <t>G681</t>
  </si>
  <si>
    <t>家事重研深増４．７５・初計</t>
  </si>
  <si>
    <t>G682</t>
  </si>
  <si>
    <t>家事重研深増４．７５・２人・初計</t>
  </si>
  <si>
    <t>家事重研深増５．０</t>
  </si>
  <si>
    <t>家事重研深増５．０・２人</t>
  </si>
  <si>
    <t>G691</t>
  </si>
  <si>
    <t>家事重研深増５．０・初計</t>
  </si>
  <si>
    <t>G692</t>
  </si>
  <si>
    <t>家事重研深増５．０・２人・初計</t>
  </si>
  <si>
    <t>家事重研深増５．２５</t>
  </si>
  <si>
    <t>家事重研深増５．２５・２人</t>
  </si>
  <si>
    <t>G701</t>
  </si>
  <si>
    <t>家事重研深増５．２５・初計</t>
  </si>
  <si>
    <t>G702</t>
  </si>
  <si>
    <t>家事重研深増５．２５・２人・初計</t>
  </si>
  <si>
    <t>家事重研深増５．５</t>
  </si>
  <si>
    <t>家事重研深増５．５・２人</t>
  </si>
  <si>
    <t>G711</t>
  </si>
  <si>
    <t>家事重研深増５．５・初計</t>
  </si>
  <si>
    <t>G712</t>
  </si>
  <si>
    <t>家事重研深増５．５・２人・初計</t>
  </si>
  <si>
    <t>家事重研深増５．７５</t>
  </si>
  <si>
    <t>家事重研深増５．７５・２人</t>
  </si>
  <si>
    <t>G721</t>
  </si>
  <si>
    <t>家事重研深増５．７５・初計</t>
  </si>
  <si>
    <t>G722</t>
  </si>
  <si>
    <t>家事重研深増５．７５・２人・初計</t>
  </si>
  <si>
    <t>家事重研深増６．０</t>
  </si>
  <si>
    <t>家事重研深増６．０・２人</t>
  </si>
  <si>
    <t>G731</t>
  </si>
  <si>
    <t>家事重研深増６．０・初計</t>
  </si>
  <si>
    <t>G732</t>
  </si>
  <si>
    <t>家事重研深増６．０・２人・初計</t>
  </si>
  <si>
    <t>家事重研深増６．２５</t>
  </si>
  <si>
    <t>家事重研深増６．２５・２人</t>
  </si>
  <si>
    <t>G741</t>
  </si>
  <si>
    <t>家事重研深増６．２５・初計</t>
  </si>
  <si>
    <t>G742</t>
  </si>
  <si>
    <t>家事重研深増６．２５・２人・初計</t>
  </si>
  <si>
    <t>家事重研深増６．５</t>
  </si>
  <si>
    <t>家事重研深増６．５・２人</t>
  </si>
  <si>
    <t>G751</t>
  </si>
  <si>
    <t>家事重研深増６．５・初計</t>
  </si>
  <si>
    <t>G752</t>
  </si>
  <si>
    <t>家事重研深増６．５・２人・初計</t>
  </si>
  <si>
    <t>ニ　通院等介助（身体介護を伴わない場合）　（日中のみ）</t>
  </si>
  <si>
    <t>通院２日０．５</t>
  </si>
  <si>
    <t>通院２日０．５・２人</t>
  </si>
  <si>
    <t>通院２日０．５・基</t>
  </si>
  <si>
    <t>通院２日０．５・基・２人</t>
  </si>
  <si>
    <t>G761</t>
  </si>
  <si>
    <t>通院２日０．５・初計</t>
  </si>
  <si>
    <t>G762</t>
  </si>
  <si>
    <t>通院２日０．５・２人・初計</t>
  </si>
  <si>
    <t>G763</t>
  </si>
  <si>
    <t>通院２日０．５・基・初計</t>
  </si>
  <si>
    <t>G764</t>
  </si>
  <si>
    <t>通院２日０．５・基・２人・初計</t>
  </si>
  <si>
    <t>通院２日１．０</t>
  </si>
  <si>
    <t>通院２日１．０・２人</t>
  </si>
  <si>
    <t>通院２日１．０・基</t>
  </si>
  <si>
    <t>通院２日１．０・基・２人</t>
  </si>
  <si>
    <t>G781</t>
  </si>
  <si>
    <t>通院２日１．０・初計</t>
  </si>
  <si>
    <t>G782</t>
  </si>
  <si>
    <t>通院２日１．０・２人・初計</t>
  </si>
  <si>
    <t>G783</t>
  </si>
  <si>
    <t>通院２日１．０・基・初計</t>
  </si>
  <si>
    <t>G784</t>
  </si>
  <si>
    <t>通院２日１．０・基・２人・初計</t>
  </si>
  <si>
    <t>通院２日１．５</t>
  </si>
  <si>
    <t>通院２日１．５・２人</t>
  </si>
  <si>
    <t>通院２日１．５・基</t>
  </si>
  <si>
    <t>通院２日１．５・基・２人</t>
  </si>
  <si>
    <t>G801</t>
  </si>
  <si>
    <t>通院２日１．５・初計</t>
  </si>
  <si>
    <t>G802</t>
  </si>
  <si>
    <t>通院２日１．５・２人・初計</t>
  </si>
  <si>
    <t>G803</t>
  </si>
  <si>
    <t>通院２日１．５・基・初計</t>
  </si>
  <si>
    <t>G804</t>
  </si>
  <si>
    <t>通院２日１．５・基・２人・初計</t>
  </si>
  <si>
    <t>通院２日２．０</t>
  </si>
  <si>
    <t>通院２日２．０・２人</t>
  </si>
  <si>
    <t>通院２日２．０・基</t>
  </si>
  <si>
    <t>通院２日２．０・基・２人</t>
  </si>
  <si>
    <t>G821</t>
  </si>
  <si>
    <t>通院２日２．０・初計</t>
  </si>
  <si>
    <t>G822</t>
  </si>
  <si>
    <t>通院２日２．０・２人・初計</t>
  </si>
  <si>
    <t>G823</t>
  </si>
  <si>
    <t>通院２日２．０・基・初計</t>
  </si>
  <si>
    <t>G824</t>
  </si>
  <si>
    <t>通院２日２．０・基・２人・初計</t>
  </si>
  <si>
    <t>通院２日２．５</t>
  </si>
  <si>
    <t>通院２日２．５・２人</t>
  </si>
  <si>
    <t>通院２日２．５・基</t>
  </si>
  <si>
    <t>通院２日２．５・基・２人</t>
  </si>
  <si>
    <t>G841</t>
  </si>
  <si>
    <t>通院２日２．５・初計</t>
  </si>
  <si>
    <t>G842</t>
  </si>
  <si>
    <t>通院２日２．５・２人・初計</t>
  </si>
  <si>
    <t>G843</t>
  </si>
  <si>
    <t>通院２日２．５・基・初計</t>
  </si>
  <si>
    <t>G844</t>
  </si>
  <si>
    <t>通院２日２．５・基・２人・初計</t>
  </si>
  <si>
    <t>通院２日３．０</t>
  </si>
  <si>
    <t>通院２日３．０・２人</t>
  </si>
  <si>
    <t>通院２日３．０・基</t>
  </si>
  <si>
    <t>通院２日３．０・基・２人</t>
  </si>
  <si>
    <t>G861</t>
  </si>
  <si>
    <t>通院２日３．０・初計</t>
  </si>
  <si>
    <t>G862</t>
  </si>
  <si>
    <t>通院２日３．０・２人・初計</t>
  </si>
  <si>
    <t>G863</t>
  </si>
  <si>
    <t>通院２日３．０・基・初計</t>
  </si>
  <si>
    <t>G864</t>
  </si>
  <si>
    <t>通院２日３．０・基・２人・初計</t>
  </si>
  <si>
    <t>通院２日３．５</t>
  </si>
  <si>
    <t>通院２日３．５・２人</t>
  </si>
  <si>
    <t>通院２日３．５・基</t>
  </si>
  <si>
    <t>通院２日３．５・基・２人</t>
  </si>
  <si>
    <t>G881</t>
  </si>
  <si>
    <t>通院２日３．５・初計</t>
  </si>
  <si>
    <t>G882</t>
  </si>
  <si>
    <t>通院２日３．５・２人・初計</t>
  </si>
  <si>
    <t>G883</t>
  </si>
  <si>
    <t>通院２日３．５・基・初計</t>
  </si>
  <si>
    <t>G884</t>
  </si>
  <si>
    <t>通院２日３．５・基・２人・初計</t>
  </si>
  <si>
    <t>通院２日４．０</t>
  </si>
  <si>
    <t>通院２日４．０・２人</t>
  </si>
  <si>
    <t>通院２日４．０・基</t>
  </si>
  <si>
    <t>通院２日４．０・基・２人</t>
  </si>
  <si>
    <t>G901</t>
  </si>
  <si>
    <t>通院２日４．０・初計</t>
  </si>
  <si>
    <t>G902</t>
  </si>
  <si>
    <t>通院２日４．０・２人・初計</t>
  </si>
  <si>
    <t>G903</t>
  </si>
  <si>
    <t>通院２日４．０・基・初計</t>
  </si>
  <si>
    <t>G904</t>
  </si>
  <si>
    <t>通院２日４．０・基・２人・初計</t>
  </si>
  <si>
    <t>通院２日４．５</t>
  </si>
  <si>
    <t>通院２日４．５・２人</t>
  </si>
  <si>
    <t>通院２日４．５・基</t>
  </si>
  <si>
    <t>通院２日４．５・基・２人</t>
  </si>
  <si>
    <t>G921</t>
  </si>
  <si>
    <t>通院２日４．５・初計</t>
  </si>
  <si>
    <t>G922</t>
  </si>
  <si>
    <t>通院２日４．５・２人・初計</t>
  </si>
  <si>
    <t>G923</t>
  </si>
  <si>
    <t>通院２日４．５・基・初計</t>
  </si>
  <si>
    <t>G924</t>
  </si>
  <si>
    <t>通院２日４．５・基・２人・初計</t>
  </si>
  <si>
    <t>通院２日５．０</t>
  </si>
  <si>
    <t>通院２日５．０・２人</t>
  </si>
  <si>
    <t>通院２日５．０・基</t>
  </si>
  <si>
    <t>通院２日５．０・基・２人</t>
  </si>
  <si>
    <t>G941</t>
  </si>
  <si>
    <t>通院２日５．０・初計</t>
  </si>
  <si>
    <t>G942</t>
  </si>
  <si>
    <t>通院２日５．０・２人・初計</t>
  </si>
  <si>
    <t>G943</t>
  </si>
  <si>
    <t>通院２日５．０・基・初計</t>
  </si>
  <si>
    <t>G944</t>
  </si>
  <si>
    <t>通院２日５．０・基・２人・初計</t>
  </si>
  <si>
    <t>通院２日５．５</t>
  </si>
  <si>
    <t>通院２日５．５・２人</t>
  </si>
  <si>
    <t>通院２日５．５・基</t>
  </si>
  <si>
    <t>通院２日５．５・基・２人</t>
  </si>
  <si>
    <t>G961</t>
  </si>
  <si>
    <t>通院２日５．５・初計</t>
  </si>
  <si>
    <t>G962</t>
  </si>
  <si>
    <t>通院２日５．５・２人・初計</t>
  </si>
  <si>
    <t>G963</t>
  </si>
  <si>
    <t>通院２日５．５・基・初計</t>
  </si>
  <si>
    <t>G964</t>
  </si>
  <si>
    <t>通院２日５．５・基・２人・初計</t>
  </si>
  <si>
    <t>通院２日６．０</t>
  </si>
  <si>
    <t>通院２日６．０・２人</t>
  </si>
  <si>
    <t>通院２日６．０・基</t>
  </si>
  <si>
    <t>通院２日６．０・基・２人</t>
  </si>
  <si>
    <t>G981</t>
  </si>
  <si>
    <t>通院２日６．０・初計</t>
  </si>
  <si>
    <t>G982</t>
  </si>
  <si>
    <t>通院２日６．０・２人・初計</t>
  </si>
  <si>
    <t>G983</t>
  </si>
  <si>
    <t>通院２日６．０・基・初計</t>
  </si>
  <si>
    <t>G984</t>
  </si>
  <si>
    <t>通院２日６．０・基・２人・初計</t>
  </si>
  <si>
    <t>通院２日６．５</t>
  </si>
  <si>
    <t>通院２日６．５・２人</t>
  </si>
  <si>
    <t>通院２日６．５・基</t>
  </si>
  <si>
    <t>通院２日６．５・基・２人</t>
  </si>
  <si>
    <t>GA01</t>
  </si>
  <si>
    <t>通院２日６．５・初計</t>
  </si>
  <si>
    <t>GA02</t>
  </si>
  <si>
    <t>通院２日６．５・２人・初計</t>
  </si>
  <si>
    <t>GA03</t>
  </si>
  <si>
    <t>通院２日６．５・基・初計</t>
  </si>
  <si>
    <t>GA04</t>
  </si>
  <si>
    <t>通院２日６．５・基・２人・初計</t>
  </si>
  <si>
    <t>通院２日７．０</t>
  </si>
  <si>
    <t>通院２日７．０・２人</t>
  </si>
  <si>
    <t>通院２日７．０・基</t>
  </si>
  <si>
    <t>通院２日７．０・基・２人</t>
  </si>
  <si>
    <t>GA21</t>
  </si>
  <si>
    <t>通院２日７．０・初計</t>
  </si>
  <si>
    <t>GA22</t>
  </si>
  <si>
    <t>通院２日７．０・２人・初計</t>
  </si>
  <si>
    <t>GA23</t>
  </si>
  <si>
    <t>通院２日７．０・基・初計</t>
  </si>
  <si>
    <t>GA24</t>
  </si>
  <si>
    <t>通院２日７．０・基・２人・初計</t>
  </si>
  <si>
    <t>通院２日７．５</t>
  </si>
  <si>
    <t>通院２日７．５・２人</t>
  </si>
  <si>
    <t>通院２日７．５・基</t>
  </si>
  <si>
    <t>通院２日７．５・基・２人</t>
  </si>
  <si>
    <t>GA41</t>
  </si>
  <si>
    <t>通院２日７．５・初計</t>
  </si>
  <si>
    <t>GA42</t>
  </si>
  <si>
    <t>通院２日７．５・２人・初計</t>
  </si>
  <si>
    <t>GA43</t>
  </si>
  <si>
    <t>通院２日７．５・基・初計</t>
  </si>
  <si>
    <t>GA44</t>
  </si>
  <si>
    <t>通院２日７．５・基・２人・初計</t>
  </si>
  <si>
    <t>通院２日８．０</t>
  </si>
  <si>
    <t>通院２日８．０・２人</t>
  </si>
  <si>
    <t>通院２日８．０・基</t>
  </si>
  <si>
    <t>通院２日８．０・基・２人</t>
  </si>
  <si>
    <t>GA61</t>
  </si>
  <si>
    <t>通院２日８．０・初計</t>
  </si>
  <si>
    <t>GA62</t>
  </si>
  <si>
    <t>通院２日８．０・２人・初計</t>
  </si>
  <si>
    <t>GA63</t>
  </si>
  <si>
    <t>通院２日８．０・基・初計</t>
  </si>
  <si>
    <t>GA64</t>
  </si>
  <si>
    <t>通院２日８．０・基・２人・初計</t>
  </si>
  <si>
    <t>通院２日８．５</t>
  </si>
  <si>
    <t>通院２日８．５・２人</t>
  </si>
  <si>
    <t>通院２日８．５・基</t>
  </si>
  <si>
    <t>通院２日８．５・基・２人</t>
  </si>
  <si>
    <t>GA81</t>
  </si>
  <si>
    <t>通院２日８．５・初計</t>
  </si>
  <si>
    <t>GA82</t>
  </si>
  <si>
    <t>通院２日８．５・２人・初計</t>
  </si>
  <si>
    <t>GA83</t>
  </si>
  <si>
    <t>通院２日８．５・基・初計</t>
  </si>
  <si>
    <t>GA84</t>
  </si>
  <si>
    <t>通院２日８．５・基・２人・初計</t>
  </si>
  <si>
    <t>通院２日９．０</t>
  </si>
  <si>
    <t>通院２日９．０・２人</t>
  </si>
  <si>
    <t>通院２日９．０・基</t>
  </si>
  <si>
    <t>通院２日９．０・基・２人</t>
  </si>
  <si>
    <t>GB01</t>
  </si>
  <si>
    <t>通院２日９．０・初計</t>
  </si>
  <si>
    <t>GB02</t>
  </si>
  <si>
    <t>通院２日９．０・２人・初計</t>
  </si>
  <si>
    <t>GB03</t>
  </si>
  <si>
    <t>通院２日９．０・基・初計</t>
  </si>
  <si>
    <t>GB04</t>
  </si>
  <si>
    <t>通院２日９．０・基・２人・初計</t>
  </si>
  <si>
    <t>通院２日９．５</t>
  </si>
  <si>
    <t>通院２日９．５・２人</t>
  </si>
  <si>
    <t>通院２日９．５・基</t>
  </si>
  <si>
    <t>通院２日９．５・基・２人</t>
  </si>
  <si>
    <t>GB21</t>
  </si>
  <si>
    <t>通院２日９．５・初計</t>
  </si>
  <si>
    <t>GB22</t>
  </si>
  <si>
    <t>通院２日９．５・２人・初計</t>
  </si>
  <si>
    <t>GB23</t>
  </si>
  <si>
    <t>通院２日９．５・基・初計</t>
  </si>
  <si>
    <t>GB24</t>
  </si>
  <si>
    <t>通院２日９．５・基・２人・初計</t>
  </si>
  <si>
    <t>通院２日１０．０</t>
  </si>
  <si>
    <t>通院２日１０．０・２人</t>
  </si>
  <si>
    <t>通院２日１０．０・基</t>
  </si>
  <si>
    <t>通院２日１０．０・基・２人</t>
  </si>
  <si>
    <t>GB41</t>
  </si>
  <si>
    <t>通院２日１０．０・初計</t>
  </si>
  <si>
    <t>GB42</t>
  </si>
  <si>
    <t>通院２日１０．０・２人・初計</t>
  </si>
  <si>
    <t>GB43</t>
  </si>
  <si>
    <t>通院２日１０．０・基・初計</t>
  </si>
  <si>
    <t>GB44</t>
  </si>
  <si>
    <t>通院２日１０．０・基・２人・初計</t>
  </si>
  <si>
    <t>通院２日１０．５</t>
  </si>
  <si>
    <t>通院２日１０．５・２人</t>
  </si>
  <si>
    <t>通院２日１０．５・基</t>
  </si>
  <si>
    <t>通院２日１０．５・基・２人</t>
  </si>
  <si>
    <t>GB61</t>
  </si>
  <si>
    <t>通院２日１０．５・初計</t>
  </si>
  <si>
    <t>GB62</t>
  </si>
  <si>
    <t>通院２日１０．５・２人・初計</t>
  </si>
  <si>
    <t>GB63</t>
  </si>
  <si>
    <t>通院２日１０．５・基・初計</t>
  </si>
  <si>
    <t>GB64</t>
  </si>
  <si>
    <t>通院２日１０．５・基・２人・初計</t>
  </si>
  <si>
    <t>ニ　通院等介助（身体介護を伴わない場合）　（早朝のみ）</t>
  </si>
  <si>
    <t>通院２早０．５</t>
  </si>
  <si>
    <t>通院２早０．５・２人</t>
  </si>
  <si>
    <t>通院２早０．５・基</t>
  </si>
  <si>
    <t>通院２早０．５・基・２人</t>
  </si>
  <si>
    <t>GB81</t>
  </si>
  <si>
    <t>通院２早０．５・初計</t>
  </si>
  <si>
    <t>GB82</t>
  </si>
  <si>
    <t>通院２早０．５・２人・初計</t>
  </si>
  <si>
    <t>GB83</t>
  </si>
  <si>
    <t>通院２早０．５・基・初計</t>
  </si>
  <si>
    <t>GB84</t>
  </si>
  <si>
    <t>通院２早０．５・基・２人・初計</t>
  </si>
  <si>
    <t>通院２早１．０</t>
  </si>
  <si>
    <t>通院２早１．０・２人</t>
  </si>
  <si>
    <t>通院２早１．０・基</t>
  </si>
  <si>
    <t>通院２早１．０・基・２人</t>
  </si>
  <si>
    <t>GC01</t>
  </si>
  <si>
    <t>通院２早１．０・初計</t>
  </si>
  <si>
    <t>GC02</t>
  </si>
  <si>
    <t>通院２早１．０・２人・初計</t>
  </si>
  <si>
    <t>GC03</t>
  </si>
  <si>
    <t>通院２早１．０・基・初計</t>
  </si>
  <si>
    <t>GC04</t>
  </si>
  <si>
    <t>通院２早１．０・基・２人・初計</t>
  </si>
  <si>
    <t>通院２早１．５</t>
  </si>
  <si>
    <t>通院２早１．５・２人</t>
  </si>
  <si>
    <t>通院２早１．５・基</t>
  </si>
  <si>
    <t>通院２早１．５・基・２人</t>
  </si>
  <si>
    <t>GC21</t>
  </si>
  <si>
    <t>通院２早１．５・初計</t>
  </si>
  <si>
    <t>GC22</t>
  </si>
  <si>
    <t>通院２早１．５・２人・初計</t>
  </si>
  <si>
    <t>GC23</t>
  </si>
  <si>
    <t>通院２早１．５・基・初計</t>
  </si>
  <si>
    <t>GC24</t>
  </si>
  <si>
    <t>通院２早１．５・基・２人・初計</t>
  </si>
  <si>
    <t>通院２早２．０</t>
  </si>
  <si>
    <t>通院２早２．０・２人</t>
  </si>
  <si>
    <t>通院２早２．０・基</t>
  </si>
  <si>
    <t>通院２早２．０・基・２人</t>
  </si>
  <si>
    <t>GC41</t>
  </si>
  <si>
    <t>通院２早２．０・初計</t>
  </si>
  <si>
    <t>GC42</t>
  </si>
  <si>
    <t>通院２早２．０・２人・初計</t>
  </si>
  <si>
    <t>GC43</t>
  </si>
  <si>
    <t>通院２早２．０・基・初計</t>
  </si>
  <si>
    <t>GC44</t>
  </si>
  <si>
    <t>通院２早２．０・基・２人・初計</t>
  </si>
  <si>
    <t>通院２早２．５</t>
  </si>
  <si>
    <t>通院２早２．５・２人</t>
  </si>
  <si>
    <t>通院２早２．５・基</t>
  </si>
  <si>
    <t>通院２早２．５・基・２人</t>
  </si>
  <si>
    <t>GC61</t>
  </si>
  <si>
    <t>通院２早２．５・初計</t>
  </si>
  <si>
    <t>GC62</t>
  </si>
  <si>
    <t>通院２早２．５・２人・初計</t>
  </si>
  <si>
    <t>GC63</t>
  </si>
  <si>
    <t>通院２早２．５・基・初計</t>
  </si>
  <si>
    <t>GC64</t>
  </si>
  <si>
    <t>通院２早２．５・基・２人・初計</t>
  </si>
  <si>
    <t>ニ　通院等介助（身体介護を伴わない場合）　（夜間のみ）</t>
  </si>
  <si>
    <t>通院２夜０．５</t>
  </si>
  <si>
    <t>通院２夜０．５・２人</t>
  </si>
  <si>
    <t>通院２夜０．５・基</t>
  </si>
  <si>
    <t>通院２夜０．５・基・２人</t>
  </si>
  <si>
    <t>GC81</t>
  </si>
  <si>
    <t>通院２夜０．５・初計</t>
  </si>
  <si>
    <t>GC82</t>
  </si>
  <si>
    <t>通院２夜０．５・２人・初計</t>
  </si>
  <si>
    <t>GC83</t>
  </si>
  <si>
    <t>通院２夜０．５・基・初計</t>
  </si>
  <si>
    <t>GC84</t>
  </si>
  <si>
    <t>通院２夜０．５・基・２人・初計</t>
  </si>
  <si>
    <t>通院２夜１．０</t>
  </si>
  <si>
    <t>通院２夜１．０・２人</t>
  </si>
  <si>
    <t>通院２夜１．０・基</t>
  </si>
  <si>
    <t>通院２夜１．０・基・２人</t>
  </si>
  <si>
    <t>GD01</t>
  </si>
  <si>
    <t>通院２夜１．０・初計</t>
  </si>
  <si>
    <t>GD02</t>
  </si>
  <si>
    <t>通院２夜１．０・２人・初計</t>
  </si>
  <si>
    <t>GD03</t>
  </si>
  <si>
    <t>通院２夜１．０・基・初計</t>
  </si>
  <si>
    <t>GD04</t>
  </si>
  <si>
    <t>通院２夜１．０・基・２人・初計</t>
  </si>
  <si>
    <t>通院２夜１．５</t>
  </si>
  <si>
    <t>通院２夜１．５・２人</t>
  </si>
  <si>
    <t>通院２夜１．５・基</t>
  </si>
  <si>
    <t>通院２夜１．５・基・２人</t>
  </si>
  <si>
    <t>GD21</t>
  </si>
  <si>
    <t>通院２夜１．５・初計</t>
  </si>
  <si>
    <t>GD22</t>
  </si>
  <si>
    <t>通院２夜１．５・２人・初計</t>
  </si>
  <si>
    <t>GD23</t>
  </si>
  <si>
    <t>通院２夜１．５・基・初計</t>
  </si>
  <si>
    <t>GD24</t>
  </si>
  <si>
    <t>通院２夜１．５・基・２人・初計</t>
  </si>
  <si>
    <t>通院２夜２．０</t>
  </si>
  <si>
    <t>通院２夜２．０・２人</t>
  </si>
  <si>
    <t>通院２夜２．０・基</t>
  </si>
  <si>
    <t>通院２夜２．０・基・２人</t>
  </si>
  <si>
    <t>GD41</t>
  </si>
  <si>
    <t>通院２夜２．０・初計</t>
  </si>
  <si>
    <t>GD42</t>
  </si>
  <si>
    <t>通院２夜２．０・２人・初計</t>
  </si>
  <si>
    <t>GD43</t>
  </si>
  <si>
    <t>通院２夜２．０・基・初計</t>
  </si>
  <si>
    <t>GD44</t>
  </si>
  <si>
    <t>通院２夜２．０・基・２人・初計</t>
  </si>
  <si>
    <t>通院２夜２．５</t>
  </si>
  <si>
    <t>通院２夜２．５・２人</t>
  </si>
  <si>
    <t>通院２夜２．５・基</t>
  </si>
  <si>
    <t>通院２夜２．５・基・２人</t>
  </si>
  <si>
    <t>GD61</t>
  </si>
  <si>
    <t>通院２夜２．５・初計</t>
  </si>
  <si>
    <t>GD62</t>
  </si>
  <si>
    <t>通院２夜２．５・２人・初計</t>
  </si>
  <si>
    <t>GD63</t>
  </si>
  <si>
    <t>通院２夜２．５・基・初計</t>
  </si>
  <si>
    <t>GD64</t>
  </si>
  <si>
    <t>通院２夜２．５・基・２人・初計</t>
  </si>
  <si>
    <t>通院２夜３．０</t>
  </si>
  <si>
    <t>通院２夜３．０・２人</t>
  </si>
  <si>
    <t>通院２夜３．０・基</t>
  </si>
  <si>
    <t>通院２夜３．０・基・２人</t>
  </si>
  <si>
    <t>GD81</t>
  </si>
  <si>
    <t>通院２夜３．０・初計</t>
  </si>
  <si>
    <t>GD82</t>
  </si>
  <si>
    <t>通院２夜３．０・２人・初計</t>
  </si>
  <si>
    <t>GD83</t>
  </si>
  <si>
    <t>通院２夜３．０・基・初計</t>
  </si>
  <si>
    <t>GD84</t>
  </si>
  <si>
    <t>通院２夜３．０・基・２人・初計</t>
  </si>
  <si>
    <t>通院２夜３．５</t>
  </si>
  <si>
    <t>通院２夜３．５・２人</t>
  </si>
  <si>
    <t>通院２夜３．５・基</t>
  </si>
  <si>
    <t>通院２夜３．５・基・２人</t>
  </si>
  <si>
    <t>GE01</t>
  </si>
  <si>
    <t>通院２夜３．５・初計</t>
  </si>
  <si>
    <t>GE02</t>
  </si>
  <si>
    <t>通院２夜３．５・２人・初計</t>
  </si>
  <si>
    <t>GE03</t>
  </si>
  <si>
    <t>通院２夜３．５・基・初計</t>
  </si>
  <si>
    <t>GE04</t>
  </si>
  <si>
    <t>通院２夜３．５・基・２人・初計</t>
  </si>
  <si>
    <t>通院２夜４．０</t>
  </si>
  <si>
    <t>通院２夜４．０・２人</t>
  </si>
  <si>
    <t>通院２夜４．０・基</t>
  </si>
  <si>
    <t>通院２夜４．０・基・２人</t>
  </si>
  <si>
    <t>GE21</t>
  </si>
  <si>
    <t>通院２夜４．０・初計</t>
  </si>
  <si>
    <t>GE22</t>
  </si>
  <si>
    <t>通院２夜４．０・２人・初計</t>
  </si>
  <si>
    <t>GE23</t>
  </si>
  <si>
    <t>通院２夜４．０・基・初計</t>
  </si>
  <si>
    <t>GE24</t>
  </si>
  <si>
    <t>通院２夜４．０・基・２人・初計</t>
  </si>
  <si>
    <t>通院２夜４．５</t>
  </si>
  <si>
    <t>通院２夜４．５・２人</t>
  </si>
  <si>
    <t>通院２夜４．５・基</t>
  </si>
  <si>
    <t>通院２夜４．５・基・２人</t>
  </si>
  <si>
    <t>GE41</t>
  </si>
  <si>
    <t>通院２夜４．５・初計</t>
  </si>
  <si>
    <t>GE42</t>
  </si>
  <si>
    <t>通院２夜４．５・２人・初計</t>
  </si>
  <si>
    <t>GE43</t>
  </si>
  <si>
    <t>通院２夜４．５・基・初計</t>
  </si>
  <si>
    <t>GE44</t>
  </si>
  <si>
    <t>通院２夜４．５・基・２人・初計</t>
  </si>
  <si>
    <t>ニ　通院等介助（身体介護を伴わない場合）　（深夜のみ）</t>
  </si>
  <si>
    <t>通院２深０．５</t>
  </si>
  <si>
    <t>通院２深０．５・２人</t>
  </si>
  <si>
    <t>通院２深０．５・基</t>
  </si>
  <si>
    <t>通院２深０．５・基・２人</t>
  </si>
  <si>
    <t>GE61</t>
  </si>
  <si>
    <t>通院２深０．５・初計</t>
  </si>
  <si>
    <t>GE62</t>
  </si>
  <si>
    <t>通院２深０．５・２人・初計</t>
  </si>
  <si>
    <t>GE63</t>
  </si>
  <si>
    <t>通院２深０．５・基・初計</t>
  </si>
  <si>
    <t>GE64</t>
  </si>
  <si>
    <t>通院２深０．５・基・２人・初計</t>
  </si>
  <si>
    <t>通院２深１．０</t>
  </si>
  <si>
    <t>通院２深１．０・２人</t>
  </si>
  <si>
    <t>通院２深１．０・基</t>
  </si>
  <si>
    <t>通院２深１．０・基・２人</t>
  </si>
  <si>
    <t>GE81</t>
  </si>
  <si>
    <t>通院２深１．０・初計</t>
  </si>
  <si>
    <t>GE82</t>
  </si>
  <si>
    <t>通院２深１．０・２人・初計</t>
  </si>
  <si>
    <t>GE83</t>
  </si>
  <si>
    <t>通院２深１．０・基・初計</t>
  </si>
  <si>
    <t>GE84</t>
  </si>
  <si>
    <t>通院２深１．０・基・２人・初計</t>
  </si>
  <si>
    <t>通院２深１．５</t>
  </si>
  <si>
    <t>通院２深１．５・２人</t>
  </si>
  <si>
    <t>通院２深１．５・基</t>
  </si>
  <si>
    <t>通院２深１．５・基・２人</t>
  </si>
  <si>
    <t>GF01</t>
  </si>
  <si>
    <t>通院２深１．５・初計</t>
  </si>
  <si>
    <t>GF02</t>
  </si>
  <si>
    <t>通院２深１．５・２人・初計</t>
  </si>
  <si>
    <t>GF03</t>
  </si>
  <si>
    <t>通院２深１．５・基・初計</t>
  </si>
  <si>
    <t>GF04</t>
  </si>
  <si>
    <t>通院２深１．５・基・２人・初計</t>
  </si>
  <si>
    <t>通院２深２．０</t>
  </si>
  <si>
    <t>通院２深２．０・２人</t>
  </si>
  <si>
    <t>通院２深２．０・基</t>
  </si>
  <si>
    <t>通院２深２．０・基・２人</t>
  </si>
  <si>
    <t>GF21</t>
  </si>
  <si>
    <t>通院２深２．０・初計</t>
  </si>
  <si>
    <t>GF22</t>
  </si>
  <si>
    <t>通院２深２．０・２人・初計</t>
  </si>
  <si>
    <t>GF23</t>
  </si>
  <si>
    <t>通院２深２．０・基・初計</t>
  </si>
  <si>
    <t>GF24</t>
  </si>
  <si>
    <t>通院２深２．０・基・２人・初計</t>
  </si>
  <si>
    <t>通院２深２．５</t>
  </si>
  <si>
    <t>通院２深２．５・２人</t>
  </si>
  <si>
    <t>通院２深２．５・基</t>
  </si>
  <si>
    <t>通院２深２．５・基・２人</t>
  </si>
  <si>
    <t>GF41</t>
  </si>
  <si>
    <t>通院２深２．５・初計</t>
  </si>
  <si>
    <t>GF42</t>
  </si>
  <si>
    <t>通院２深２．５・２人・初計</t>
  </si>
  <si>
    <t>GF43</t>
  </si>
  <si>
    <t>通院２深２．５・基・初計</t>
  </si>
  <si>
    <t>GF44</t>
  </si>
  <si>
    <t>通院２深２．５・基・２人・初計</t>
  </si>
  <si>
    <t>通院２深３．０</t>
  </si>
  <si>
    <t>通院２深３．０・２人</t>
  </si>
  <si>
    <t>通院２深３．０・基</t>
  </si>
  <si>
    <t>通院２深３．０・基・２人</t>
  </si>
  <si>
    <t>GF61</t>
  </si>
  <si>
    <t>通院２深３．０・初計</t>
  </si>
  <si>
    <t>GF62</t>
  </si>
  <si>
    <t>通院２深３．０・２人・初計</t>
  </si>
  <si>
    <t>GF63</t>
  </si>
  <si>
    <t>通院２深３．０・基・初計</t>
  </si>
  <si>
    <t>GF64</t>
  </si>
  <si>
    <t>通院２深３．０・基・２人・初計</t>
  </si>
  <si>
    <t>通院２深３．５</t>
  </si>
  <si>
    <t>通院２深３．５・２人</t>
  </si>
  <si>
    <t>通院２深３．５・基</t>
  </si>
  <si>
    <t>通院２深３．５・基・２人</t>
  </si>
  <si>
    <t>GF81</t>
  </si>
  <si>
    <t>通院２深３．５・初計</t>
  </si>
  <si>
    <t>GF82</t>
  </si>
  <si>
    <t>通院２深３．５・２人・初計</t>
  </si>
  <si>
    <t>GF83</t>
  </si>
  <si>
    <t>通院２深３．５・基・初計</t>
  </si>
  <si>
    <t>GF84</t>
  </si>
  <si>
    <t>通院２深３．５・基・２人・初計</t>
  </si>
  <si>
    <t>通院２深４．０</t>
  </si>
  <si>
    <t>通院２深４．０・２人</t>
  </si>
  <si>
    <t>通院２深４．０・基</t>
  </si>
  <si>
    <t>通院２深４．０・基・２人</t>
  </si>
  <si>
    <t>GG01</t>
  </si>
  <si>
    <t>通院２深４．０・初計</t>
  </si>
  <si>
    <t>GG02</t>
  </si>
  <si>
    <t>通院２深４．０・２人・初計</t>
  </si>
  <si>
    <t>GG03</t>
  </si>
  <si>
    <t>通院２深４．０・基・初計</t>
  </si>
  <si>
    <t>GG04</t>
  </si>
  <si>
    <t>通院２深４．０・基・２人・初計</t>
  </si>
  <si>
    <t>通院２深４．５</t>
  </si>
  <si>
    <t>通院２深４．５・２人</t>
  </si>
  <si>
    <t>通院２深４．５・基</t>
  </si>
  <si>
    <t>通院２深４．５・基・２人</t>
  </si>
  <si>
    <t>GG21</t>
  </si>
  <si>
    <t>通院２深４．５・初計</t>
  </si>
  <si>
    <t>GG22</t>
  </si>
  <si>
    <t>通院２深４．５・２人・初計</t>
  </si>
  <si>
    <t>GG23</t>
  </si>
  <si>
    <t>通院２深４．５・基・初計</t>
  </si>
  <si>
    <t>GG24</t>
  </si>
  <si>
    <t>通院２深４．５・基・２人・初計</t>
  </si>
  <si>
    <t>通院２深５．０</t>
  </si>
  <si>
    <t>通院２深５．０・２人</t>
  </si>
  <si>
    <t>通院２深５．０・基</t>
  </si>
  <si>
    <t>通院２深５．０・基・２人</t>
  </si>
  <si>
    <t>GG41</t>
  </si>
  <si>
    <t>通院２深５．０・初計</t>
  </si>
  <si>
    <t>GG42</t>
  </si>
  <si>
    <t>通院２深５．０・２人・初計</t>
  </si>
  <si>
    <t>GG43</t>
  </si>
  <si>
    <t>通院２深５．０・基・初計</t>
  </si>
  <si>
    <t>GG44</t>
  </si>
  <si>
    <t>通院２深５．０・基・２人・初計</t>
  </si>
  <si>
    <t>通院２深５．５</t>
  </si>
  <si>
    <t>通院２深５．５・２人</t>
  </si>
  <si>
    <t>通院２深５．５・基</t>
  </si>
  <si>
    <t>通院２深５．５・基・２人</t>
  </si>
  <si>
    <t>GG61</t>
  </si>
  <si>
    <t>通院２深５．５・初計</t>
  </si>
  <si>
    <t>GG62</t>
  </si>
  <si>
    <t>通院２深５．５・２人・初計</t>
  </si>
  <si>
    <t>GG63</t>
  </si>
  <si>
    <t>通院２深５．５・基・初計</t>
  </si>
  <si>
    <t>GG64</t>
  </si>
  <si>
    <t>通院２深５．５・基・２人・初計</t>
  </si>
  <si>
    <t>通院２深６．０</t>
  </si>
  <si>
    <t>通院２深６．０・２人</t>
  </si>
  <si>
    <t>通院２深６．０・基</t>
  </si>
  <si>
    <t>通院２深６．０・基・２人</t>
  </si>
  <si>
    <t>GG81</t>
  </si>
  <si>
    <t>通院２深６．０・初計</t>
  </si>
  <si>
    <t>GG82</t>
  </si>
  <si>
    <t>通院２深６．０・２人・初計</t>
  </si>
  <si>
    <t>GG83</t>
  </si>
  <si>
    <t>通院２深６．０・基・初計</t>
  </si>
  <si>
    <t>GG84</t>
  </si>
  <si>
    <t>通院２深６．０・基・２人・初計</t>
  </si>
  <si>
    <t>通院２深６．５</t>
  </si>
  <si>
    <t>通院２深６．５・２人</t>
  </si>
  <si>
    <t>通院２深６．５・基</t>
  </si>
  <si>
    <t>通院２深６．５・基・２人</t>
  </si>
  <si>
    <t>GH01</t>
  </si>
  <si>
    <t>通院２深６．５・初計</t>
  </si>
  <si>
    <t>GH02</t>
  </si>
  <si>
    <t>通院２深６．５・２人・初計</t>
  </si>
  <si>
    <t>GH03</t>
  </si>
  <si>
    <t>通院２深６．５・基・初計</t>
  </si>
  <si>
    <t>GH04</t>
  </si>
  <si>
    <t>通院２深６．５・基・２人・初計</t>
  </si>
  <si>
    <t>ニ　通院等介助（身体介護を伴わない場合）　（深夜＋早朝）</t>
  </si>
  <si>
    <t>通院２深０．５・早０．５</t>
  </si>
  <si>
    <t>通院２深０．５・早０．５・２人</t>
  </si>
  <si>
    <t>通院２深０．５・早０．５・基</t>
  </si>
  <si>
    <t>通院２深０．５・早０．５・基・２人</t>
  </si>
  <si>
    <t>GH21</t>
  </si>
  <si>
    <t>通院２深０．５・早０．５・初計</t>
  </si>
  <si>
    <t>GH22</t>
  </si>
  <si>
    <t>通院２深０．５・早０．５・２人・初計</t>
  </si>
  <si>
    <t>GH23</t>
  </si>
  <si>
    <t>通院２深０．５・早０．５・基・初計</t>
  </si>
  <si>
    <t>GH24</t>
  </si>
  <si>
    <t>通院２深０．５・早０．５・基・２人・初計</t>
  </si>
  <si>
    <t>通院２深０．５・早１．０</t>
  </si>
  <si>
    <t>通院２深０．５・早１．０・２人</t>
  </si>
  <si>
    <t>通院２深０．５・早１．０・基</t>
  </si>
  <si>
    <t>通院２深０．５・早１．０・基・２人</t>
  </si>
  <si>
    <t>GH41</t>
  </si>
  <si>
    <t>通院２深０．５・早１．０・初計</t>
  </si>
  <si>
    <t>GH42</t>
  </si>
  <si>
    <t>通院２深０．５・早１．０・２人・初計</t>
  </si>
  <si>
    <t>GH43</t>
  </si>
  <si>
    <t>通院２深０．５・早１．０・基・初計</t>
  </si>
  <si>
    <t>GH44</t>
  </si>
  <si>
    <t>通院２深０．５・早１．０・基・２人・初計</t>
  </si>
  <si>
    <t>通院２深１．０・早０．５</t>
  </si>
  <si>
    <t>通院２深１．０・早０．５・２人</t>
  </si>
  <si>
    <t>通院２深１．０・早０．５・基</t>
  </si>
  <si>
    <t>通院２深１．０・早０．５・基・２人</t>
  </si>
  <si>
    <t>GH61</t>
  </si>
  <si>
    <t>通院２深１．０・早０．５・初計</t>
  </si>
  <si>
    <t>GH62</t>
  </si>
  <si>
    <t>通院２深１．０・早０．５・２人・初計</t>
  </si>
  <si>
    <t>GH63</t>
  </si>
  <si>
    <t>通院２深１．０・早０．５・基・初計</t>
  </si>
  <si>
    <t>GH64</t>
  </si>
  <si>
    <t>通院２深１．０・早０．５・基・２人・初計</t>
  </si>
  <si>
    <t>ニ　通院等介助（身体介護を伴わない場合）　（早朝＋日中）</t>
  </si>
  <si>
    <t>通院２早０．５・日０．５</t>
  </si>
  <si>
    <t>通院２早０．５・日０．５・２人</t>
  </si>
  <si>
    <t>通院２早０．５・日０．５・基</t>
  </si>
  <si>
    <t>通院２早０．５・日０．５・基・２人</t>
  </si>
  <si>
    <t>GH81</t>
  </si>
  <si>
    <t>通院２早０．５・日０．５・初計</t>
  </si>
  <si>
    <t>GH82</t>
  </si>
  <si>
    <t>通院２早０．５・日０．５・２人・初計</t>
  </si>
  <si>
    <t>GH83</t>
  </si>
  <si>
    <t>通院２早０．５・日０．５・基・初計</t>
  </si>
  <si>
    <t>GH84</t>
  </si>
  <si>
    <t>通院２早０．５・日０．５・基・２人・初計</t>
  </si>
  <si>
    <t>通院２早０．５・日１．０</t>
  </si>
  <si>
    <t>通院２早０．５・日１．０・２人</t>
  </si>
  <si>
    <t>通院２早０．５・日１．０・基</t>
  </si>
  <si>
    <t>通院２早０．５・日１．０・基・２人</t>
  </si>
  <si>
    <t>GJ01</t>
  </si>
  <si>
    <t>通院２早０．５・日１．０・初計</t>
  </si>
  <si>
    <t>GJ02</t>
  </si>
  <si>
    <t>通院２早０．５・日１．０・２人・初計</t>
  </si>
  <si>
    <t>GJ03</t>
  </si>
  <si>
    <t>通院２早０．５・日１．０・基・初計</t>
  </si>
  <si>
    <t>GJ04</t>
  </si>
  <si>
    <t>通院２早０．５・日１．０・基・２人・初計</t>
  </si>
  <si>
    <t>通院２早１．０・日０．５</t>
  </si>
  <si>
    <t>通院２早１．０・日０．５・２人</t>
  </si>
  <si>
    <t>通院２早１．０・日０．５・基</t>
  </si>
  <si>
    <t>通院２早１．０・日０．５・基・２人</t>
  </si>
  <si>
    <t>GJ21</t>
  </si>
  <si>
    <t>通院２早１．０・日０．５・初計</t>
  </si>
  <si>
    <t>GJ22</t>
  </si>
  <si>
    <t>通院２早１．０・日０．５・２人・初計</t>
  </si>
  <si>
    <t>GJ23</t>
  </si>
  <si>
    <t>通院２早１．０・日０．５・基・初計</t>
  </si>
  <si>
    <t>GJ24</t>
  </si>
  <si>
    <t>通院２早１．０・日０．５・基・２人・初計</t>
  </si>
  <si>
    <t>ニ　通院等介助（身体介護を伴わない場合）　（日中＋夜間）</t>
  </si>
  <si>
    <t>通院２日０．５・夜０．５</t>
  </si>
  <si>
    <t>通院２日０．５・夜０．５・２人</t>
  </si>
  <si>
    <t>通院２日０．５・夜０．５・基</t>
  </si>
  <si>
    <t>通院２日０．５・夜０．５・基・２人</t>
  </si>
  <si>
    <t>GJ41</t>
  </si>
  <si>
    <t>通院２日０．５・夜０．５・初計</t>
  </si>
  <si>
    <t>GJ42</t>
  </si>
  <si>
    <t>通院２日０．５・夜０．５・２人・初計</t>
  </si>
  <si>
    <t>GJ43</t>
  </si>
  <si>
    <t>通院２日０．５・夜０．５・基・初計</t>
  </si>
  <si>
    <t>GJ44</t>
  </si>
  <si>
    <t>通院２日０．５・夜０．５・基・２人・初計</t>
  </si>
  <si>
    <t>通院２日０．５・夜１．０</t>
  </si>
  <si>
    <t>通院２日０．５・夜１．０・２人</t>
  </si>
  <si>
    <t>通院２日０．５・夜１．０・基</t>
  </si>
  <si>
    <t>通院２日０．５・夜１．０・基・２人</t>
  </si>
  <si>
    <t>GJ61</t>
  </si>
  <si>
    <t>通院２日０．５・夜１．０・初計</t>
  </si>
  <si>
    <t>GJ62</t>
  </si>
  <si>
    <t>通院２日０．５・夜１．０・２人・初計</t>
  </si>
  <si>
    <t>GJ63</t>
  </si>
  <si>
    <t>通院２日０．５・夜１．０・基・初計</t>
  </si>
  <si>
    <t>GJ64</t>
  </si>
  <si>
    <t>通院２日０．５・夜１．０・基・２人・初計</t>
  </si>
  <si>
    <t>通院２日１．０・夜０．５</t>
  </si>
  <si>
    <t>通院２日１．０・夜０．５・２人</t>
  </si>
  <si>
    <t>通院２日１．０・夜０．５・基</t>
  </si>
  <si>
    <t>通院２日１．０・夜０．５・基・２人</t>
  </si>
  <si>
    <t>GJ81</t>
  </si>
  <si>
    <t>通院２日１．０・夜０．５・初計</t>
  </si>
  <si>
    <t>GJ82</t>
  </si>
  <si>
    <t>通院２日１．０・夜０．５・２人・初計</t>
  </si>
  <si>
    <t>GJ83</t>
  </si>
  <si>
    <t>通院２日１．０・夜０．５・基・初計</t>
  </si>
  <si>
    <t>GJ84</t>
  </si>
  <si>
    <t>通院２日１．０・夜０．５・基・２人・初計</t>
  </si>
  <si>
    <t>ニ　通院等介助（身体介護を伴わない場合）　（夜間＋深夜）</t>
  </si>
  <si>
    <t>通院２夜０．５・深０．５</t>
  </si>
  <si>
    <t>通院２夜０．５・深０．５・２人</t>
  </si>
  <si>
    <t>通院２夜０．５・深０．５・基</t>
  </si>
  <si>
    <t>通院２夜０．５・深０．５・基・２人</t>
  </si>
  <si>
    <t>GK01</t>
  </si>
  <si>
    <t>通院２夜０．５・深０．５・初計</t>
  </si>
  <si>
    <t>GK02</t>
  </si>
  <si>
    <t>通院２夜０．５・深０．５・２人・初計</t>
  </si>
  <si>
    <t>GK03</t>
  </si>
  <si>
    <t>通院２夜０．５・深０．５・基・初計</t>
  </si>
  <si>
    <t>GK04</t>
  </si>
  <si>
    <t>通院２夜０．５・深０．５・基・２人・初計</t>
  </si>
  <si>
    <t>通院２夜０．５・深１．０</t>
  </si>
  <si>
    <t>通院２夜０．５・深１．０・２人</t>
  </si>
  <si>
    <t>通院２夜０．５・深１．０・基</t>
  </si>
  <si>
    <t>通院２夜０．５・深１．０・基・２人</t>
  </si>
  <si>
    <t>GK21</t>
  </si>
  <si>
    <t>通院２夜０．５・深１．０・初計</t>
  </si>
  <si>
    <t>GK22</t>
  </si>
  <si>
    <t>通院２夜０．５・深１．０・２人・初計</t>
  </si>
  <si>
    <t>GK23</t>
  </si>
  <si>
    <t>通院２夜０．５・深１．０・基・初計</t>
  </si>
  <si>
    <t>GK24</t>
  </si>
  <si>
    <t>通院２夜０．５・深１．０・基・２人・初計</t>
  </si>
  <si>
    <t>通院２夜１．０・深０．５</t>
  </si>
  <si>
    <t>通院２夜１．０・深０．５・２人</t>
  </si>
  <si>
    <t>通院２夜１．０・深０．５・基</t>
  </si>
  <si>
    <t>通院２夜１．０・深０．５・基・２人</t>
  </si>
  <si>
    <t>GK41</t>
  </si>
  <si>
    <t>通院２夜１．０・深０．５・初計</t>
  </si>
  <si>
    <t>GK42</t>
  </si>
  <si>
    <t>通院２夜１．０・深０．５・２人・初計</t>
  </si>
  <si>
    <t>GK43</t>
  </si>
  <si>
    <t>通院２夜１．０・深０．５・基・初計</t>
  </si>
  <si>
    <t>GK44</t>
  </si>
  <si>
    <t>通院２夜１．０・深０．５・基・２人・初計</t>
  </si>
  <si>
    <t>ニ　通院等介助（身体介護を伴わない場合）　（日を跨る場合　２日目深夜増分）</t>
  </si>
  <si>
    <t>通院２日跨増深０．５・深０．５</t>
  </si>
  <si>
    <t>１日目</t>
    <rPh sb="1" eb="2">
      <t>ニチ</t>
    </rPh>
    <rPh sb="2" eb="3">
      <t>メ</t>
    </rPh>
    <phoneticPr fontId="1"/>
  </si>
  <si>
    <t>通院２日跨増深０．５・深０．５・２人</t>
  </si>
  <si>
    <t>通院２日跨増深０．５・深０．５・基</t>
  </si>
  <si>
    <t>通院２日跨増深０．５・深０．５・基・２人</t>
  </si>
  <si>
    <t>GK61</t>
  </si>
  <si>
    <t>通院２日跨増深０．５・深０．５・初計</t>
  </si>
  <si>
    <t>GK62</t>
  </si>
  <si>
    <t>通院２日跨増深０．５・深０．５・２人・初計</t>
  </si>
  <si>
    <t>GK63</t>
  </si>
  <si>
    <t>通院２日跨増深０．５・深０．５・基・初計</t>
  </si>
  <si>
    <t>GK64</t>
  </si>
  <si>
    <t>通院２日跨増深０．５・深０．５・基・２人・初計</t>
  </si>
  <si>
    <t>通院２日跨増深０．５・深１．０</t>
  </si>
  <si>
    <t>通院２日跨増深０．５・深１．０・２人</t>
  </si>
  <si>
    <t>通院２日跨増深０．５・深１．０・基</t>
  </si>
  <si>
    <t>通院２日跨増深０．５・深１．０・基・２人</t>
  </si>
  <si>
    <t>GK81</t>
  </si>
  <si>
    <t>通院２日跨増深０．５・深１．０・初計</t>
  </si>
  <si>
    <t>GK82</t>
  </si>
  <si>
    <t>通院２日跨増深０．５・深１．０・２人・初計</t>
  </si>
  <si>
    <t>GK83</t>
  </si>
  <si>
    <t>通院２日跨増深０．５・深１．０・基・初計</t>
  </si>
  <si>
    <t>GK84</t>
  </si>
  <si>
    <t>通院２日跨増深０．５・深１．０・基・２人・初計</t>
  </si>
  <si>
    <t>通院２日跨増深１．０・深０．５</t>
  </si>
  <si>
    <t>通院２日跨増深１．０・深０．５・２人</t>
  </si>
  <si>
    <t>通院２日跨増深１．０・深０．５・基</t>
  </si>
  <si>
    <t>通院２日跨増深１．０・深０．５・基・２人</t>
  </si>
  <si>
    <t>GL01</t>
  </si>
  <si>
    <t>通院２日跨増深１．０・深０．５・初計</t>
  </si>
  <si>
    <t>GL02</t>
  </si>
  <si>
    <t>通院２日跨増深１．０・深０．５・２人・初計</t>
  </si>
  <si>
    <t>GL03</t>
  </si>
  <si>
    <t>通院２日跨増深１．０・深０．５・基・初計</t>
  </si>
  <si>
    <t>GL04</t>
  </si>
  <si>
    <t>通院２日跨増深１．０・深０．５・基・２人・初計</t>
  </si>
  <si>
    <t>ニ　通院等介助（身体介護を伴わない場合）　（深夜＋早朝＋日中）　　※サービス間隔が２時間未満の場合</t>
  </si>
  <si>
    <t>通院２深０．５・早０．５・日０．５</t>
  </si>
  <si>
    <t>通院２深０．５・早０．５・日０．５・２人</t>
  </si>
  <si>
    <t>通院２深０．５・早０．５・日０．５・基</t>
  </si>
  <si>
    <t>通院２深０．５・早０．５・日０．５・基・２人</t>
  </si>
  <si>
    <t>GL21</t>
  </si>
  <si>
    <t>通院２深０．５・早０．５・日０．５・初計</t>
  </si>
  <si>
    <t>GL22</t>
  </si>
  <si>
    <t>通院２深０．５・早０．５・日０．５・２人・初計</t>
  </si>
  <si>
    <t>GL23</t>
  </si>
  <si>
    <t>通院２深０．５・早０．５・日０．５・基・初計</t>
  </si>
  <si>
    <t>GL24</t>
  </si>
  <si>
    <t>通院２深０．５・早０．５・日０．５・基・２人・初計</t>
  </si>
  <si>
    <t>ニ　通院等介助（身体介護を伴わない場合）　（深夜＋日中）　　※サービス間隔が２時間未満の場合</t>
  </si>
  <si>
    <t>通院２深０．５・日０．５</t>
  </si>
  <si>
    <t>通院２深０．５・日０．５・２人</t>
  </si>
  <si>
    <t>通院２深０．５・日０．５・基</t>
  </si>
  <si>
    <t>通院２深０．５・日０．５・基・２人</t>
  </si>
  <si>
    <t>GL41</t>
  </si>
  <si>
    <t>通院２深０．５・日０．５・初計</t>
  </si>
  <si>
    <t>GL42</t>
  </si>
  <si>
    <t>通院２深０．５・日０．５・２人・初計</t>
  </si>
  <si>
    <t>GL43</t>
  </si>
  <si>
    <t>通院２深０．５・日０．５・基・初計</t>
  </si>
  <si>
    <t>GL44</t>
  </si>
  <si>
    <t>通院２深０．５・日０．５・基・２人・初計</t>
  </si>
  <si>
    <t>通院２深０．５・日１．０</t>
  </si>
  <si>
    <t>通院２深０．５・日１．０・２人</t>
  </si>
  <si>
    <t>通院２深０．５・日１．０・基</t>
  </si>
  <si>
    <t>通院２深０．５・日１．０・基・２人</t>
  </si>
  <si>
    <t>GL61</t>
  </si>
  <si>
    <t>通院２深０．５・日１．０・初計</t>
  </si>
  <si>
    <t>GL62</t>
  </si>
  <si>
    <t>通院２深０．５・日１．０・２人・初計</t>
  </si>
  <si>
    <t>GL63</t>
  </si>
  <si>
    <t>通院２深０．５・日１．０・基・初計</t>
  </si>
  <si>
    <t>GL64</t>
  </si>
  <si>
    <t>通院２深０．５・日１．０・基・２人・初計</t>
  </si>
  <si>
    <t>通院２深１．０・日０．５</t>
  </si>
  <si>
    <t>通院２深１．０・日０．５・２人</t>
  </si>
  <si>
    <t>通院２深１．０・日０．５・基</t>
  </si>
  <si>
    <t>通院２深１．０・日０．５・基・２人</t>
  </si>
  <si>
    <t>GL81</t>
  </si>
  <si>
    <t>通院２深１．０・日０．５・初計</t>
  </si>
  <si>
    <t>GL82</t>
  </si>
  <si>
    <t>通院２深１．０・日０．５・２人・初計</t>
  </si>
  <si>
    <t>GL83</t>
  </si>
  <si>
    <t>通院２深１．０・日０．５・基・初計</t>
  </si>
  <si>
    <t>GL84</t>
  </si>
  <si>
    <t>通院２深１．０・日０．５・基・２人・初計</t>
  </si>
  <si>
    <t>ニ　通院等介助（身体介護を伴わない場合）　（日中＋夜間＋深夜）　　※サービス間隔が２時間未満の場合</t>
  </si>
  <si>
    <t>通院２日０．５・夜０．５・深０．５</t>
  </si>
  <si>
    <t>通院２日０．５・夜０．５・深０．５・２人</t>
  </si>
  <si>
    <t>通院２日０．５・夜０．５・深０．５・基</t>
  </si>
  <si>
    <t>通院２日０．５・夜０．５・深０．５・基・２人</t>
  </si>
  <si>
    <t>GM01</t>
  </si>
  <si>
    <t>通院２日０．５・夜０．５・深０．５・初計</t>
  </si>
  <si>
    <t>GM02</t>
  </si>
  <si>
    <t>通院２日０．５・夜０．５・深０．５・２人・初計</t>
  </si>
  <si>
    <t>GM03</t>
  </si>
  <si>
    <t>通院２日０．５・夜０．５・深０．５・基・初計</t>
  </si>
  <si>
    <t>GM04</t>
  </si>
  <si>
    <t>通院２日０．５・夜０．５・深０．５・基・２人・初計</t>
  </si>
  <si>
    <t>ニ　通院等介助（身体介護を伴わない場合）　（日中増分)</t>
  </si>
  <si>
    <t>通院２日増０．５</t>
  </si>
  <si>
    <t>通院２日増０．５・２人</t>
  </si>
  <si>
    <t>通院２日増０．５・基</t>
  </si>
  <si>
    <t>通院２日増０．５・基・２人</t>
  </si>
  <si>
    <t>GM21</t>
  </si>
  <si>
    <t>通院２日増０．５・初計</t>
  </si>
  <si>
    <t>GM22</t>
  </si>
  <si>
    <t>通院２日増０．５・２人・初計</t>
  </si>
  <si>
    <t>GM23</t>
  </si>
  <si>
    <t>通院２日増０．５・基・初計</t>
  </si>
  <si>
    <t>GM24</t>
  </si>
  <si>
    <t>通院２日増０．５・基・２人・初計</t>
  </si>
  <si>
    <t>通院２日増１．０</t>
  </si>
  <si>
    <t>通院２日増１．０・２人</t>
  </si>
  <si>
    <t>通院２日増１．０・基</t>
  </si>
  <si>
    <t>通院２日増１．０・基・２人</t>
  </si>
  <si>
    <t>GM41</t>
  </si>
  <si>
    <t>通院２日増１．０・初計</t>
  </si>
  <si>
    <t>GM42</t>
  </si>
  <si>
    <t>通院２日増１．０・２人・初計</t>
  </si>
  <si>
    <t>GM43</t>
  </si>
  <si>
    <t>通院２日増１．０・基・初計</t>
  </si>
  <si>
    <t>GM44</t>
  </si>
  <si>
    <t>通院２日増１．０・基・２人・初計</t>
  </si>
  <si>
    <t>通院２日増１．５</t>
  </si>
  <si>
    <t>通院２日増１．５・２人</t>
  </si>
  <si>
    <t>通院２日増１．５・基</t>
  </si>
  <si>
    <t>通院２日増１．５・基・２人</t>
  </si>
  <si>
    <t>GM61</t>
  </si>
  <si>
    <t>通院２日増１．５・初計</t>
  </si>
  <si>
    <t>GM62</t>
  </si>
  <si>
    <t>通院２日増１．５・２人・初計</t>
  </si>
  <si>
    <t>GM63</t>
  </si>
  <si>
    <t>通院２日増１．５・基・初計</t>
  </si>
  <si>
    <t>GM64</t>
  </si>
  <si>
    <t>通院２日増１．５・基・２人・初計</t>
  </si>
  <si>
    <t>通院２日増２．０</t>
  </si>
  <si>
    <t>通院２日増２．０・２人</t>
  </si>
  <si>
    <t>通院２日増２．０・基</t>
  </si>
  <si>
    <t>通院２日増２．０・基・２人</t>
  </si>
  <si>
    <t>GM81</t>
  </si>
  <si>
    <t>通院２日増２．０・初計</t>
  </si>
  <si>
    <t>GM82</t>
  </si>
  <si>
    <t>通院２日増２．０・２人・初計</t>
  </si>
  <si>
    <t>GM83</t>
  </si>
  <si>
    <t>通院２日増２．０・基・初計</t>
  </si>
  <si>
    <t>GM84</t>
  </si>
  <si>
    <t>通院２日増２．０・基・２人・初計</t>
  </si>
  <si>
    <t>通院２日増２．５</t>
  </si>
  <si>
    <t>通院２日増２．５・２人</t>
  </si>
  <si>
    <t>通院２日増２．５・基</t>
  </si>
  <si>
    <t>通院２日増２．５・基・２人</t>
  </si>
  <si>
    <t>GN01</t>
  </si>
  <si>
    <t>通院２日増２．５・初計</t>
  </si>
  <si>
    <t>GN02</t>
  </si>
  <si>
    <t>通院２日増２．５・２人・初計</t>
  </si>
  <si>
    <t>GN03</t>
  </si>
  <si>
    <t>通院２日増２．５・基・初計</t>
  </si>
  <si>
    <t>GN04</t>
  </si>
  <si>
    <t>通院２日増２．５・基・２人・初計</t>
  </si>
  <si>
    <t>通院２日増３．０</t>
  </si>
  <si>
    <t>通院２日増３．０・２人</t>
  </si>
  <si>
    <t>通院２日増３．０・基</t>
  </si>
  <si>
    <t>通院２日増３．０・基・２人</t>
  </si>
  <si>
    <t>GN21</t>
  </si>
  <si>
    <t>通院２日増３．０・初計</t>
  </si>
  <si>
    <t>GN22</t>
  </si>
  <si>
    <t>通院２日増３．０・２人・初計</t>
  </si>
  <si>
    <t>GN23</t>
  </si>
  <si>
    <t>通院２日増３．０・基・初計</t>
  </si>
  <si>
    <t>GN24</t>
  </si>
  <si>
    <t>通院２日増３．０・基・２人・初計</t>
  </si>
  <si>
    <t>通院２日増３．５</t>
  </si>
  <si>
    <t>通院２日増３．５・２人</t>
  </si>
  <si>
    <t>通院２日増３．５・基</t>
  </si>
  <si>
    <t>通院２日増３．５・基・２人</t>
  </si>
  <si>
    <t>GN41</t>
  </si>
  <si>
    <t>通院２日増３．５・初計</t>
  </si>
  <si>
    <t>GN42</t>
  </si>
  <si>
    <t>通院２日増３．５・２人・初計</t>
  </si>
  <si>
    <t>GN43</t>
  </si>
  <si>
    <t>通院２日増３．５・基・初計</t>
  </si>
  <si>
    <t>GN44</t>
  </si>
  <si>
    <t>通院２日増３．５・基・２人・初計</t>
  </si>
  <si>
    <t>通院２日増４．０</t>
  </si>
  <si>
    <t>通院２日増４．０・２人</t>
  </si>
  <si>
    <t>通院２日増４．０・基</t>
  </si>
  <si>
    <t>通院２日増４．０・基・２人</t>
  </si>
  <si>
    <t>GN61</t>
  </si>
  <si>
    <t>通院２日増４．０・初計</t>
  </si>
  <si>
    <t>GN62</t>
  </si>
  <si>
    <t>通院２日増４．０・２人・初計</t>
  </si>
  <si>
    <t>GN63</t>
  </si>
  <si>
    <t>通院２日増４．０・基・初計</t>
  </si>
  <si>
    <t>GN64</t>
  </si>
  <si>
    <t>通院２日増４．０・基・２人・初計</t>
  </si>
  <si>
    <t>通院２日増４．５</t>
  </si>
  <si>
    <t>通院２日増４．５・２人</t>
  </si>
  <si>
    <t>通院２日増４．５・基</t>
  </si>
  <si>
    <t>通院２日増４．５・基・２人</t>
  </si>
  <si>
    <t>GN81</t>
  </si>
  <si>
    <t>通院２日増４．５・初計</t>
  </si>
  <si>
    <t>GN82</t>
  </si>
  <si>
    <t>通院２日増４．５・２人・初計</t>
  </si>
  <si>
    <t>GN83</t>
  </si>
  <si>
    <t>通院２日増４．５・基・初計</t>
  </si>
  <si>
    <t>GN84</t>
  </si>
  <si>
    <t>通院２日増４．５・基・２人・初計</t>
  </si>
  <si>
    <t>通院２日増５．０</t>
  </si>
  <si>
    <t>通院２日増５．０・２人</t>
  </si>
  <si>
    <t>通院２日増５．０・基</t>
  </si>
  <si>
    <t>通院２日増５．０・基・２人</t>
  </si>
  <si>
    <t>GP01</t>
  </si>
  <si>
    <t>通院２日増５．０・初計</t>
  </si>
  <si>
    <t>GP02</t>
  </si>
  <si>
    <t>通院２日増５．０・２人・初計</t>
  </si>
  <si>
    <t>GP03</t>
  </si>
  <si>
    <t>通院２日増５．０・基・初計</t>
  </si>
  <si>
    <t>GP04</t>
  </si>
  <si>
    <t>通院２日増５．０・基・２人・初計</t>
  </si>
  <si>
    <t>通院２日増５．５</t>
  </si>
  <si>
    <t>通院２日増５．５・２人</t>
  </si>
  <si>
    <t>通院２日増５．５・基</t>
  </si>
  <si>
    <t>通院２日増５．５・基・２人</t>
  </si>
  <si>
    <t>GP21</t>
  </si>
  <si>
    <t>通院２日増５．５・初計</t>
  </si>
  <si>
    <t>GP22</t>
  </si>
  <si>
    <t>通院２日増５．５・２人・初計</t>
  </si>
  <si>
    <t>GP23</t>
  </si>
  <si>
    <t>通院２日増５．５・基・初計</t>
  </si>
  <si>
    <t>GP24</t>
  </si>
  <si>
    <t>通院２日増５．５・基・２人・初計</t>
  </si>
  <si>
    <t>通院２日増６．０</t>
  </si>
  <si>
    <t>通院２日増６．０・２人</t>
  </si>
  <si>
    <t>通院２日増６．０・基</t>
  </si>
  <si>
    <t>通院２日増６．０・基・２人</t>
  </si>
  <si>
    <t>GP41</t>
  </si>
  <si>
    <t>通院２日増６．０・初計</t>
  </si>
  <si>
    <t>GP42</t>
  </si>
  <si>
    <t>通院２日増６．０・２人・初計</t>
  </si>
  <si>
    <t>GP43</t>
  </si>
  <si>
    <t>通院２日増６．０・基・初計</t>
  </si>
  <si>
    <t>GP44</t>
  </si>
  <si>
    <t>通院２日増６．０・基・２人・初計</t>
  </si>
  <si>
    <t>通院２日増６．５</t>
  </si>
  <si>
    <t>通院２日増６．５・２人</t>
  </si>
  <si>
    <t>通院２日増６．５・基</t>
  </si>
  <si>
    <t>通院２日増６．５・基・２人</t>
  </si>
  <si>
    <t>GP61</t>
  </si>
  <si>
    <t>通院２日増６．５・初計</t>
  </si>
  <si>
    <t>GP62</t>
  </si>
  <si>
    <t>通院２日増６．５・２人・初計</t>
  </si>
  <si>
    <t>GP63</t>
  </si>
  <si>
    <t>通院２日増６．５・基・初計</t>
  </si>
  <si>
    <t>GP64</t>
  </si>
  <si>
    <t>通院２日増６．５・基・２人・初計</t>
  </si>
  <si>
    <t>通院２日増７．０</t>
  </si>
  <si>
    <t>通院２日増７．０・２人</t>
  </si>
  <si>
    <t>通院２日増７．０・基</t>
  </si>
  <si>
    <t>通院２日増７．０・基・２人</t>
  </si>
  <si>
    <t>GP81</t>
  </si>
  <si>
    <t>通院２日増７．０・初計</t>
  </si>
  <si>
    <t>GP82</t>
  </si>
  <si>
    <t>通院２日増７．０・２人・初計</t>
  </si>
  <si>
    <t>GP83</t>
  </si>
  <si>
    <t>通院２日増７．０・基・初計</t>
  </si>
  <si>
    <t>GP84</t>
  </si>
  <si>
    <t>通院２日増７．０・基・２人・初計</t>
  </si>
  <si>
    <t>通院２日増７．５</t>
  </si>
  <si>
    <t>通院２日増７．５・２人</t>
  </si>
  <si>
    <t>通院２日増７．５・基</t>
  </si>
  <si>
    <t>通院２日増７．５・基・２人</t>
  </si>
  <si>
    <t>GR01</t>
  </si>
  <si>
    <t>通院２日増７．５・初計</t>
  </si>
  <si>
    <t>GR02</t>
  </si>
  <si>
    <t>通院２日増７．５・２人・初計</t>
  </si>
  <si>
    <t>GR03</t>
  </si>
  <si>
    <t>通院２日増７．５・基・初計</t>
  </si>
  <si>
    <t>GR04</t>
  </si>
  <si>
    <t>通院２日増７．５・基・２人・初計</t>
  </si>
  <si>
    <t>通院２日増８．０</t>
  </si>
  <si>
    <t>通院２日増８．０・２人</t>
  </si>
  <si>
    <t>通院２日増８．０・基</t>
  </si>
  <si>
    <t>通院２日増８．０・基・２人</t>
  </si>
  <si>
    <t>GR21</t>
  </si>
  <si>
    <t>通院２日増８．０・初計</t>
  </si>
  <si>
    <t>GR22</t>
  </si>
  <si>
    <t>通院２日増８．０・２人・初計</t>
  </si>
  <si>
    <t>GR23</t>
  </si>
  <si>
    <t>通院２日増８．０・基・初計</t>
  </si>
  <si>
    <t>GR24</t>
  </si>
  <si>
    <t>通院２日増８．０・基・２人・初計</t>
  </si>
  <si>
    <t>通院２日増８．５</t>
  </si>
  <si>
    <t>通院２日増８．５・２人</t>
  </si>
  <si>
    <t>通院２日増８．５・基</t>
  </si>
  <si>
    <t>通院２日増８．５・基・２人</t>
  </si>
  <si>
    <t>GR41</t>
  </si>
  <si>
    <t>通院２日増８．５・初計</t>
  </si>
  <si>
    <t>GR42</t>
  </si>
  <si>
    <t>通院２日増８．５・２人・初計</t>
  </si>
  <si>
    <t>GR43</t>
  </si>
  <si>
    <t>通院２日増８．５・基・初計</t>
  </si>
  <si>
    <t>GR44</t>
  </si>
  <si>
    <t>通院２日増８．５・基・２人・初計</t>
  </si>
  <si>
    <t>通院２日増９．０</t>
  </si>
  <si>
    <t>通院２日増９．０・２人</t>
  </si>
  <si>
    <t>通院２日増９．０・基</t>
  </si>
  <si>
    <t>通院２日増９．０・基・２人</t>
  </si>
  <si>
    <t>GR61</t>
  </si>
  <si>
    <t>通院２日増９．０・初計</t>
  </si>
  <si>
    <t>GR62</t>
  </si>
  <si>
    <t>通院２日増９．０・２人・初計</t>
  </si>
  <si>
    <t>GR63</t>
  </si>
  <si>
    <t>通院２日増９．０・基・初計</t>
  </si>
  <si>
    <t>GR64</t>
  </si>
  <si>
    <t>通院２日増９．０・基・２人・初計</t>
  </si>
  <si>
    <t>通院２日増９．５</t>
  </si>
  <si>
    <t>通院２日増９．５・２人</t>
  </si>
  <si>
    <t>通院２日増９．５・基</t>
  </si>
  <si>
    <t>通院２日増９．５・基・２人</t>
  </si>
  <si>
    <t>GR81</t>
  </si>
  <si>
    <t>通院２日増９．５・初計</t>
  </si>
  <si>
    <t>GR82</t>
  </si>
  <si>
    <t>通院２日増９．５・２人・初計</t>
  </si>
  <si>
    <t>GR83</t>
  </si>
  <si>
    <t>通院２日増９．５・基・初計</t>
  </si>
  <si>
    <t>GR84</t>
  </si>
  <si>
    <t>通院２日増９．５・基・２人・初計</t>
  </si>
  <si>
    <t>通院２日増１０．０</t>
  </si>
  <si>
    <t>通院２日増１０．０・２人</t>
  </si>
  <si>
    <t>通院２日増１０．０・基</t>
  </si>
  <si>
    <t>通院２日増１０．０・基・２人</t>
  </si>
  <si>
    <t>GS01</t>
  </si>
  <si>
    <t>通院２日増１０．０・初計</t>
  </si>
  <si>
    <t>GS02</t>
  </si>
  <si>
    <t>通院２日増１０．０・２人・初計</t>
  </si>
  <si>
    <t>GS03</t>
  </si>
  <si>
    <t>通院２日増１０．０・基・初計</t>
  </si>
  <si>
    <t>GS04</t>
  </si>
  <si>
    <t>通院２日増１０．０・基・２人・初計</t>
  </si>
  <si>
    <t>通院２日増１０．５</t>
  </si>
  <si>
    <t>通院２日増１０．５・２人</t>
  </si>
  <si>
    <t>通院２日増１０．５・基</t>
  </si>
  <si>
    <t>通院２日増１０．５・基・２人</t>
  </si>
  <si>
    <t>GS21</t>
  </si>
  <si>
    <t>通院２日増１０．５・初計</t>
  </si>
  <si>
    <t>GS22</t>
  </si>
  <si>
    <t>通院２日増１０．５・２人・初計</t>
  </si>
  <si>
    <t>GS23</t>
  </si>
  <si>
    <t>通院２日増１０．５・基・初計</t>
  </si>
  <si>
    <t>GS24</t>
  </si>
  <si>
    <t>通院２日増１０．５・基・２人・初計</t>
  </si>
  <si>
    <t>ニ　通院等介助（身体介護を伴わない場合）　（早朝増分）</t>
  </si>
  <si>
    <t>通院２早増０．５</t>
  </si>
  <si>
    <t>通院２早増０．５・２人</t>
  </si>
  <si>
    <t>通院２早増０．５・基</t>
  </si>
  <si>
    <t>通院２早増０．５・基・２人</t>
  </si>
  <si>
    <t>GS41</t>
  </si>
  <si>
    <t>通院２早増０．５・初計</t>
  </si>
  <si>
    <t>GS42</t>
  </si>
  <si>
    <t>通院２早増０．５・２人・初計</t>
  </si>
  <si>
    <t>GS43</t>
  </si>
  <si>
    <t>通院２早増０．５・基・初計</t>
  </si>
  <si>
    <t>GS44</t>
  </si>
  <si>
    <t>通院２早増０．５・基・２人・初計</t>
  </si>
  <si>
    <t>通院２早増１．０</t>
  </si>
  <si>
    <t>通院２早増１．０・２人</t>
  </si>
  <si>
    <t>通院２早増１．０・基</t>
  </si>
  <si>
    <t>通院２早増１．０・基・２人</t>
  </si>
  <si>
    <t>GS61</t>
  </si>
  <si>
    <t>通院２早増１．０・初計</t>
  </si>
  <si>
    <t>GS62</t>
  </si>
  <si>
    <t>通院２早増１．０・２人・初計</t>
  </si>
  <si>
    <t>GS63</t>
  </si>
  <si>
    <t>通院２早増１．０・基・初計</t>
  </si>
  <si>
    <t>GS64</t>
  </si>
  <si>
    <t>通院２早増１．０・基・２人・初計</t>
  </si>
  <si>
    <t>通院２早増１．５</t>
  </si>
  <si>
    <t>通院２早増１．５・２人</t>
  </si>
  <si>
    <t>通院２早増１．５・基</t>
  </si>
  <si>
    <t>通院２早増１．５・基・２人</t>
  </si>
  <si>
    <t>GS81</t>
  </si>
  <si>
    <t>通院２早増１．５・初計</t>
  </si>
  <si>
    <t>GS82</t>
  </si>
  <si>
    <t>通院２早増１．５・２人・初計</t>
  </si>
  <si>
    <t>GS83</t>
  </si>
  <si>
    <t>通院２早増１．５・基・初計</t>
  </si>
  <si>
    <t>GS84</t>
  </si>
  <si>
    <t>通院２早増１．５・基・２人・初計</t>
  </si>
  <si>
    <t>通院２早増２．０</t>
  </si>
  <si>
    <t>通院２早増２．０・２人</t>
  </si>
  <si>
    <t>通院２早増２．０・基</t>
  </si>
  <si>
    <t>通院２早増２．０・基・２人</t>
  </si>
  <si>
    <t>GT01</t>
  </si>
  <si>
    <t>通院２早増２．０・初計</t>
  </si>
  <si>
    <t>GT02</t>
  </si>
  <si>
    <t>通院２早増２．０・２人・初計</t>
  </si>
  <si>
    <t>GT03</t>
  </si>
  <si>
    <t>通院２早増２．０・基・初計</t>
  </si>
  <si>
    <t>GT04</t>
  </si>
  <si>
    <t>通院２早増２．０・基・２人・初計</t>
  </si>
  <si>
    <t>通院２早増２．５</t>
  </si>
  <si>
    <t>通院２早増２．５・２人</t>
  </si>
  <si>
    <t>通院２早増２．５・基</t>
  </si>
  <si>
    <t>通院２早増２．５・基・２人</t>
  </si>
  <si>
    <t>GT21</t>
  </si>
  <si>
    <t>通院２早増２．５・初計</t>
  </si>
  <si>
    <t>GT22</t>
  </si>
  <si>
    <t>通院２早増２．５・２人・初計</t>
  </si>
  <si>
    <t>GT23</t>
  </si>
  <si>
    <t>通院２早増２．５・基・初計</t>
  </si>
  <si>
    <t>GT24</t>
  </si>
  <si>
    <t>通院２早増２．５・基・２人・初計</t>
  </si>
  <si>
    <t>ニ　通院等介助（身体介護を伴わない場合）　（夜間増分）</t>
  </si>
  <si>
    <t>通院２夜増０．５</t>
  </si>
  <si>
    <t>通院２夜増０．５・２人</t>
  </si>
  <si>
    <t>通院２夜増０．５・基</t>
  </si>
  <si>
    <t>通院２夜増０．５・基・２人</t>
  </si>
  <si>
    <t>GT41</t>
  </si>
  <si>
    <t>通院２夜増０．５・初計</t>
  </si>
  <si>
    <t>GT42</t>
  </si>
  <si>
    <t>通院２夜増０．５・２人・初計</t>
  </si>
  <si>
    <t>GT43</t>
  </si>
  <si>
    <t>通院２夜増０．５・基・初計</t>
  </si>
  <si>
    <t>GT44</t>
  </si>
  <si>
    <t>通院２夜増０．５・基・２人・初計</t>
  </si>
  <si>
    <t>通院２夜増１．０</t>
  </si>
  <si>
    <t>通院２夜増１．０・２人</t>
  </si>
  <si>
    <t>通院２夜増１．０・基</t>
  </si>
  <si>
    <t>通院２夜増１．０・基・２人</t>
  </si>
  <si>
    <t>GT61</t>
  </si>
  <si>
    <t>通院２夜増１．０・初計</t>
  </si>
  <si>
    <t>GT62</t>
  </si>
  <si>
    <t>通院２夜増１．０・２人・初計</t>
  </si>
  <si>
    <t>GT63</t>
  </si>
  <si>
    <t>通院２夜増１．０・基・初計</t>
  </si>
  <si>
    <t>GT64</t>
  </si>
  <si>
    <t>通院２夜増１．０・基・２人・初計</t>
  </si>
  <si>
    <t>通院２夜増１．５</t>
  </si>
  <si>
    <t>通院２夜増１．５・２人</t>
  </si>
  <si>
    <t>通院２夜増１．５・基</t>
  </si>
  <si>
    <t>通院２夜増１．５・基・２人</t>
  </si>
  <si>
    <t>GT81</t>
  </si>
  <si>
    <t>通院２夜増１．５・初計</t>
  </si>
  <si>
    <t>GT82</t>
  </si>
  <si>
    <t>通院２夜増１．５・２人・初計</t>
  </si>
  <si>
    <t>GT83</t>
  </si>
  <si>
    <t>通院２夜増１．５・基・初計</t>
  </si>
  <si>
    <t>GT84</t>
  </si>
  <si>
    <t>通院２夜増１．５・基・２人・初計</t>
  </si>
  <si>
    <t>通院２夜増２．０</t>
  </si>
  <si>
    <t>通院２夜増２．０・２人</t>
  </si>
  <si>
    <t>通院２夜増２．０・基</t>
  </si>
  <si>
    <t>通院２夜増２．０・基・２人</t>
  </si>
  <si>
    <t>GU01</t>
  </si>
  <si>
    <t>通院２夜増２．０・初計</t>
  </si>
  <si>
    <t>GU02</t>
  </si>
  <si>
    <t>通院２夜増２．０・２人・初計</t>
  </si>
  <si>
    <t>GU03</t>
  </si>
  <si>
    <t>通院２夜増２．０・基・初計</t>
  </si>
  <si>
    <t>GU04</t>
  </si>
  <si>
    <t>通院２夜増２．０・基・２人・初計</t>
  </si>
  <si>
    <t>通院２夜増２．５</t>
  </si>
  <si>
    <t>通院２夜増２．５・２人</t>
  </si>
  <si>
    <t>通院２夜増２．５・基</t>
  </si>
  <si>
    <t>通院２夜増２．５・基・２人</t>
  </si>
  <si>
    <t>GU21</t>
  </si>
  <si>
    <t>通院２夜増２．５・初計</t>
  </si>
  <si>
    <t>GU22</t>
  </si>
  <si>
    <t>通院２夜増２．５・２人・初計</t>
  </si>
  <si>
    <t>GU23</t>
  </si>
  <si>
    <t>通院２夜増２．５・基・初計</t>
  </si>
  <si>
    <t>GU24</t>
  </si>
  <si>
    <t>通院２夜増２．５・基・２人・初計</t>
  </si>
  <si>
    <t>通院２夜増３．０</t>
  </si>
  <si>
    <t>通院２夜増３．０・２人</t>
  </si>
  <si>
    <t>通院２夜増３．０・基</t>
  </si>
  <si>
    <t>通院２夜増３．０・基・２人</t>
  </si>
  <si>
    <t>GU41</t>
  </si>
  <si>
    <t>通院２夜増３．０・初計</t>
  </si>
  <si>
    <t>GU42</t>
  </si>
  <si>
    <t>通院２夜増３．０・２人・初計</t>
  </si>
  <si>
    <t>GU43</t>
  </si>
  <si>
    <t>通院２夜増３．０・基・初計</t>
  </si>
  <si>
    <t>GU44</t>
  </si>
  <si>
    <t>通院２夜増３．０・基・２人・初計</t>
  </si>
  <si>
    <t>通院２夜増３．５</t>
  </si>
  <si>
    <t>通院２夜増３．５・２人</t>
  </si>
  <si>
    <t>通院２夜増３．５・基</t>
  </si>
  <si>
    <t>通院２夜増３．５・基・２人</t>
  </si>
  <si>
    <t>GU61</t>
  </si>
  <si>
    <t>通院２夜増３．５・初計</t>
  </si>
  <si>
    <t>GU62</t>
  </si>
  <si>
    <t>通院２夜増３．５・２人・初計</t>
  </si>
  <si>
    <t>GU63</t>
  </si>
  <si>
    <t>通院２夜増３．５・基・初計</t>
  </si>
  <si>
    <t>GU64</t>
  </si>
  <si>
    <t>通院２夜増３．５・基・２人・初計</t>
  </si>
  <si>
    <t>通院２夜増４．０</t>
  </si>
  <si>
    <t>通院２夜増４．０・２人</t>
  </si>
  <si>
    <t>通院２夜増４．０・基</t>
  </si>
  <si>
    <t>通院２夜増４．０・基・２人</t>
  </si>
  <si>
    <t>GU81</t>
  </si>
  <si>
    <t>通院２夜増４．０・初計</t>
  </si>
  <si>
    <t>GU82</t>
    <phoneticPr fontId="1"/>
  </si>
  <si>
    <t>通院２夜増４．０・２人・初計</t>
  </si>
  <si>
    <t>GU83</t>
  </si>
  <si>
    <t>通院２夜増４．０・基・初計</t>
  </si>
  <si>
    <t>GU84</t>
  </si>
  <si>
    <t>通院２夜増４．０・基・２人・初計</t>
  </si>
  <si>
    <t>通院２夜増４．５</t>
  </si>
  <si>
    <t>通院２夜増４．５・２人</t>
  </si>
  <si>
    <t>通院２夜増４．５・基</t>
  </si>
  <si>
    <t>通院２夜増４．５・基・２人</t>
  </si>
  <si>
    <t>GV01</t>
  </si>
  <si>
    <t>通院２夜増４．５・初計</t>
  </si>
  <si>
    <t>GV02</t>
  </si>
  <si>
    <t>通院２夜増４．５・２人・初計</t>
  </si>
  <si>
    <t>GV03</t>
  </si>
  <si>
    <t>通院２夜増４．５・基・初計</t>
  </si>
  <si>
    <t>GV04</t>
  </si>
  <si>
    <t>通院２夜増４．５・基・２人・初計</t>
  </si>
  <si>
    <t>ニ　通院等介助（身体介護を伴わない場合）　（深夜増分）</t>
  </si>
  <si>
    <t>通院２深増０．５</t>
  </si>
  <si>
    <t>通院２深増０．５・２人</t>
  </si>
  <si>
    <t>通院２深増０．５・基</t>
  </si>
  <si>
    <t>通院２深増０．５・基・２人</t>
  </si>
  <si>
    <t>GV21</t>
  </si>
  <si>
    <t>通院２深増０．５・初計</t>
  </si>
  <si>
    <t>GV22</t>
  </si>
  <si>
    <t>通院２深増０．５・２人・初計</t>
  </si>
  <si>
    <t>GV23</t>
  </si>
  <si>
    <t>通院２深増０．５・基・初計</t>
  </si>
  <si>
    <t>GV24</t>
  </si>
  <si>
    <t>通院２深増０．５・基・２人・初計</t>
  </si>
  <si>
    <t>通院２深増１．０</t>
  </si>
  <si>
    <t>通院２深増１．０・２人</t>
  </si>
  <si>
    <t>通院２深増１．０・基</t>
  </si>
  <si>
    <t>通院２深増１．０・基・２人</t>
  </si>
  <si>
    <t>GV41</t>
  </si>
  <si>
    <t>通院２深増１．０・初計</t>
  </si>
  <si>
    <t>GV42</t>
  </si>
  <si>
    <t>通院２深増１．０・２人・初計</t>
  </si>
  <si>
    <t>GV43</t>
  </si>
  <si>
    <t>通院２深増１．０・基・初計</t>
  </si>
  <si>
    <t>GV44</t>
  </si>
  <si>
    <t>通院２深増１．０・基・２人・初計</t>
  </si>
  <si>
    <t>通院２深増１．５</t>
  </si>
  <si>
    <t>通院２深増１．５・２人</t>
  </si>
  <si>
    <t>通院２深増１．５・基</t>
  </si>
  <si>
    <t>通院２深増１．５・基・２人</t>
  </si>
  <si>
    <t>GV61</t>
  </si>
  <si>
    <t>通院２深増１．５・初計</t>
  </si>
  <si>
    <t>GV62</t>
  </si>
  <si>
    <t>通院２深増１．５・２人・初計</t>
  </si>
  <si>
    <t>GV63</t>
  </si>
  <si>
    <t>通院２深増１．５・基・初計</t>
  </si>
  <si>
    <t>GV64</t>
  </si>
  <si>
    <t>通院２深増１．５・基・２人・初計</t>
  </si>
  <si>
    <t>通院２深増２．０</t>
  </si>
  <si>
    <t>通院２深増２．０・２人</t>
  </si>
  <si>
    <t>通院２深増２．０・基</t>
  </si>
  <si>
    <t>通院２深増２．０・基・２人</t>
  </si>
  <si>
    <t>GV81</t>
  </si>
  <si>
    <t>通院２深増２．０・初計</t>
  </si>
  <si>
    <t>GV82</t>
  </si>
  <si>
    <t>通院２深増２．０・２人・初計</t>
  </si>
  <si>
    <t>GV83</t>
  </si>
  <si>
    <t>通院２深増２．０・基・初計</t>
  </si>
  <si>
    <t>GV84</t>
  </si>
  <si>
    <t>通院２深増２．０・基・２人・初計</t>
  </si>
  <si>
    <t>通院２深増２．５</t>
  </si>
  <si>
    <t>通院２深増２．５・２人</t>
  </si>
  <si>
    <t>通院２深増２．５・基</t>
  </si>
  <si>
    <t>通院２深増２．５・基・２人</t>
  </si>
  <si>
    <t>GW01</t>
  </si>
  <si>
    <t>通院２深増２．５・初計</t>
  </si>
  <si>
    <t>GW02</t>
  </si>
  <si>
    <t>通院２深増２．５・２人・初計</t>
  </si>
  <si>
    <t>GW03</t>
  </si>
  <si>
    <t>通院２深増２．５・基・初計</t>
  </si>
  <si>
    <t>GW04</t>
  </si>
  <si>
    <t>通院２深増２．５・基・２人・初計</t>
  </si>
  <si>
    <t>通院２深増３．０</t>
  </si>
  <si>
    <t>通院２深増３．０・２人</t>
  </si>
  <si>
    <t>通院２深増３．０・基</t>
  </si>
  <si>
    <t>通院２深増３．０・基・２人</t>
  </si>
  <si>
    <t>GW21</t>
  </si>
  <si>
    <t>通院２深増３．０・初計</t>
  </si>
  <si>
    <t>GW22</t>
  </si>
  <si>
    <t>通院２深増３．０・２人・初計</t>
  </si>
  <si>
    <t>GW23</t>
  </si>
  <si>
    <t>通院２深増３．０・基・初計</t>
  </si>
  <si>
    <t>GW24</t>
  </si>
  <si>
    <t>通院２深増３．０・基・２人・初計</t>
  </si>
  <si>
    <t>通院２深増３．５</t>
  </si>
  <si>
    <t>通院２深増３．５・２人</t>
  </si>
  <si>
    <t>通院２深増３．５・基</t>
  </si>
  <si>
    <t>通院２深増３．５・基・２人</t>
  </si>
  <si>
    <t>GW41</t>
  </si>
  <si>
    <t>通院２深増３．５・初計</t>
  </si>
  <si>
    <t>GW42</t>
  </si>
  <si>
    <t>通院２深増３．５・２人・初計</t>
  </si>
  <si>
    <t>GW43</t>
  </si>
  <si>
    <t>通院２深増３．５・基・初計</t>
  </si>
  <si>
    <t>GW44</t>
  </si>
  <si>
    <t>通院２深増３．５・基・２人・初計</t>
  </si>
  <si>
    <t>通院２深増４．０</t>
  </si>
  <si>
    <t>通院２深増４．０・２人</t>
  </si>
  <si>
    <t>通院２深増４．０・基</t>
  </si>
  <si>
    <t>通院２深増４．０・基・２人</t>
  </si>
  <si>
    <t>GW61</t>
  </si>
  <si>
    <t>通院２深増４．０・初計</t>
  </si>
  <si>
    <t>GW62</t>
  </si>
  <si>
    <t>通院２深増４．０・２人・初計</t>
  </si>
  <si>
    <t>GW63</t>
  </si>
  <si>
    <t>通院２深増４．０・基・初計</t>
  </si>
  <si>
    <t>GW64</t>
  </si>
  <si>
    <t>通院２深増４．０・基・２人・初計</t>
  </si>
  <si>
    <t>通院２深増４．５</t>
  </si>
  <si>
    <t>通院２深増４．５・２人</t>
  </si>
  <si>
    <t>通院２深増４．５・基</t>
  </si>
  <si>
    <t>通院２深増４．５・基・２人</t>
  </si>
  <si>
    <t>GW81</t>
  </si>
  <si>
    <t>通院２深増４．５・初計</t>
  </si>
  <si>
    <t>GW82</t>
  </si>
  <si>
    <t>通院２深増４．５・２人・初計</t>
  </si>
  <si>
    <t>GW83</t>
  </si>
  <si>
    <t>通院２深増４．５・基・初計</t>
  </si>
  <si>
    <t>GW84</t>
  </si>
  <si>
    <t>通院２深増４．５・基・２人・初計</t>
  </si>
  <si>
    <t>通院２深増５．０</t>
  </si>
  <si>
    <t>通院２深増５．０・２人</t>
  </si>
  <si>
    <t>通院２深増５．０・基</t>
  </si>
  <si>
    <t>通院２深増５．０・基・２人</t>
  </si>
  <si>
    <t>GX01</t>
  </si>
  <si>
    <t>通院２深増５．０・初計</t>
  </si>
  <si>
    <t>GX02</t>
  </si>
  <si>
    <t>通院２深増５．０・２人・初計</t>
  </si>
  <si>
    <t>GX03</t>
  </si>
  <si>
    <t>通院２深増５．０・基・初計</t>
  </si>
  <si>
    <t>GX04</t>
  </si>
  <si>
    <t>通院２深増５．０・基・２人・初計</t>
  </si>
  <si>
    <t>通院２深増５．５</t>
  </si>
  <si>
    <t>通院２深増５．５・２人</t>
  </si>
  <si>
    <t>通院２深増５．５・基</t>
  </si>
  <si>
    <t>通院２深増５．５・基・２人</t>
  </si>
  <si>
    <t>GX21</t>
  </si>
  <si>
    <t>通院２深増５．５・初計</t>
  </si>
  <si>
    <t>GX22</t>
  </si>
  <si>
    <t>通院２深増５．５・２人・初計</t>
  </si>
  <si>
    <t>GX23</t>
  </si>
  <si>
    <t>通院２深増５．５・基・初計</t>
  </si>
  <si>
    <t>GX24</t>
  </si>
  <si>
    <t>通院２深増５．５・基・２人・初計</t>
  </si>
  <si>
    <t>通院２深増６．０</t>
  </si>
  <si>
    <t>通院２深増６．０・２人</t>
  </si>
  <si>
    <t>通院２深増６．０・基</t>
  </si>
  <si>
    <t>通院２深増６．０・基・２人</t>
  </si>
  <si>
    <t>GX41</t>
  </si>
  <si>
    <t>通院２深増６．０・初計</t>
  </si>
  <si>
    <t>GX42</t>
  </si>
  <si>
    <t>通院２深増６．０・２人・初計</t>
  </si>
  <si>
    <t>GX43</t>
  </si>
  <si>
    <t>通院２深増６．０・基・初計</t>
  </si>
  <si>
    <t>GX44</t>
  </si>
  <si>
    <t>通院２深増６．０・基・２人・初計</t>
  </si>
  <si>
    <t>通院２深増６．５</t>
  </si>
  <si>
    <t>通院２深増６．５・２人</t>
  </si>
  <si>
    <t>通院２深増６．５・基</t>
  </si>
  <si>
    <t>通院２深増６．５・基・２人</t>
  </si>
  <si>
    <t>GX61</t>
  </si>
  <si>
    <t>通院２深増６．５・初計</t>
  </si>
  <si>
    <t>GX62</t>
  </si>
  <si>
    <t>通院２深増６．５・２人・初計</t>
  </si>
  <si>
    <t>GX63</t>
  </si>
  <si>
    <t>通院２深増６．５・基・初計</t>
  </si>
  <si>
    <t>GX64</t>
  </si>
  <si>
    <t>通院２深増６．５・基・２人・初計</t>
  </si>
  <si>
    <t>ニ　通院等介助（身体介護を伴わない場合）　（重度訪問介護研修終了者：日中のみ）</t>
  </si>
  <si>
    <t>通院２重研日０．５</t>
  </si>
  <si>
    <t>通院２重研日０．５・２人</t>
  </si>
  <si>
    <t>GX81</t>
  </si>
  <si>
    <t>通院２重研日０．５・初計</t>
  </si>
  <si>
    <t>GX82</t>
  </si>
  <si>
    <t>通院２重研日０．５・２人・初計</t>
  </si>
  <si>
    <t>通院２重研日１．０</t>
  </si>
  <si>
    <t>通院２重研日１．０・２人</t>
  </si>
  <si>
    <t>GX91</t>
  </si>
  <si>
    <t>通院２重研日１．０・初計</t>
  </si>
  <si>
    <t>GX92</t>
  </si>
  <si>
    <t>通院２重研日１．０・２人・初計</t>
  </si>
  <si>
    <t>通院２重研日１．５</t>
  </si>
  <si>
    <t>通院２重研日１．５・２人</t>
  </si>
  <si>
    <t>GY01</t>
  </si>
  <si>
    <t>通院２重研日１．５・初計</t>
  </si>
  <si>
    <t>GY02</t>
  </si>
  <si>
    <t>通院２重研日１．５・２人・初計</t>
  </si>
  <si>
    <t>通院２重研日２．０</t>
  </si>
  <si>
    <t>通院２重研日２．０・２人</t>
  </si>
  <si>
    <t>GY11</t>
  </si>
  <si>
    <t>通院２重研日２．０・初計</t>
  </si>
  <si>
    <t>GY12</t>
  </si>
  <si>
    <t>通院２重研日２．０・２人・初計</t>
  </si>
  <si>
    <t>通院２重研日２．５</t>
  </si>
  <si>
    <t>通院２重研日２．５・２人</t>
  </si>
  <si>
    <t>GY21</t>
  </si>
  <si>
    <t>通院２重研日２．５・初計</t>
  </si>
  <si>
    <t>GY22</t>
  </si>
  <si>
    <t>通院２重研日２．５・２人・初計</t>
  </si>
  <si>
    <t>通院２重研日３．０</t>
  </si>
  <si>
    <t>通院２重研日３．０・２人</t>
  </si>
  <si>
    <t>GY31</t>
  </si>
  <si>
    <t>通院２重研日３．０・初計</t>
  </si>
  <si>
    <t>GY32</t>
  </si>
  <si>
    <t>通院２重研日３．０・２人・初計</t>
  </si>
  <si>
    <t>通院２重研日３．５</t>
  </si>
  <si>
    <t>通院２重研日３．５・２人</t>
  </si>
  <si>
    <t>GY41</t>
  </si>
  <si>
    <t>通院２重研日３．５・初計</t>
  </si>
  <si>
    <t>GY42</t>
  </si>
  <si>
    <t>通院２重研日３．５・２人・初計</t>
  </si>
  <si>
    <t>通院２重研日４．０</t>
  </si>
  <si>
    <t>通院２重研日４．０・２人</t>
  </si>
  <si>
    <t>GY51</t>
  </si>
  <si>
    <t>通院２重研日４．０・初計</t>
  </si>
  <si>
    <t>GY52</t>
  </si>
  <si>
    <t>通院２重研日４．０・２人・初計</t>
  </si>
  <si>
    <t>通院２重研日４．５</t>
  </si>
  <si>
    <t>通院２重研日４．５・２人</t>
  </si>
  <si>
    <t>GY61</t>
  </si>
  <si>
    <t>通院２重研日４．５・初計</t>
  </si>
  <si>
    <t>GY62</t>
  </si>
  <si>
    <t>通院２重研日４．５・２人・初計</t>
  </si>
  <si>
    <t>通院２重研日５．０</t>
  </si>
  <si>
    <t>通院２重研日５．０・２人</t>
  </si>
  <si>
    <t>GY71</t>
  </si>
  <si>
    <t>通院２重研日５．０・初計</t>
  </si>
  <si>
    <t>GY72</t>
  </si>
  <si>
    <t>通院２重研日５．０・２人・初計</t>
  </si>
  <si>
    <t>通院２重研日５．５</t>
  </si>
  <si>
    <t>通院２重研日５．５・２人</t>
  </si>
  <si>
    <t>GY81</t>
  </si>
  <si>
    <t>通院２重研日５．５・初計</t>
  </si>
  <si>
    <t>GY82</t>
  </si>
  <si>
    <t>通院２重研日５．５・２人・初計</t>
  </si>
  <si>
    <t>通院２重研日６．０</t>
  </si>
  <si>
    <t>通院２重研日６．０・２人</t>
  </si>
  <si>
    <t>GY91</t>
  </si>
  <si>
    <t>通院２重研日６．０・初計</t>
  </si>
  <si>
    <t>GY92</t>
  </si>
  <si>
    <t>通院２重研日６．０・２人・初計</t>
  </si>
  <si>
    <t>通院２重研日６．５</t>
  </si>
  <si>
    <t>通院２重研日６．５・２人</t>
  </si>
  <si>
    <t>GZ01</t>
  </si>
  <si>
    <t>通院２重研日６．５・初計</t>
  </si>
  <si>
    <t>GZ02</t>
  </si>
  <si>
    <t>通院２重研日６．５・２人・初計</t>
  </si>
  <si>
    <t>通院２重研日７．０</t>
  </si>
  <si>
    <t>通院２重研日７．０・２人</t>
  </si>
  <si>
    <t>GZ11</t>
  </si>
  <si>
    <t>通院２重研日７．０・初計</t>
  </si>
  <si>
    <t>GZ12</t>
  </si>
  <si>
    <t>通院２重研日７．０・２人・初計</t>
  </si>
  <si>
    <t>通院２重研日７．５</t>
  </si>
  <si>
    <t>通院２重研日７．５・２人</t>
  </si>
  <si>
    <t>GZ21</t>
  </si>
  <si>
    <t>通院２重研日７．５・初計</t>
  </si>
  <si>
    <t>GZ22</t>
  </si>
  <si>
    <t>通院２重研日７．５・２人・初計</t>
  </si>
  <si>
    <t>通院２重研日８．０</t>
  </si>
  <si>
    <t>通院２重研日８．０・２人</t>
  </si>
  <si>
    <t>GZ31</t>
  </si>
  <si>
    <t>通院２重研日８．０・初計</t>
  </si>
  <si>
    <t>GZ32</t>
  </si>
  <si>
    <t>通院２重研日８．０・２人・初計</t>
  </si>
  <si>
    <t>通院２重研日８．５</t>
  </si>
  <si>
    <t>通院２重研日８．５・２人</t>
  </si>
  <si>
    <t>GZ41</t>
  </si>
  <si>
    <t>通院２重研日８．５・初計</t>
  </si>
  <si>
    <t>GZ42</t>
  </si>
  <si>
    <t>通院２重研日８．５・２人・初計</t>
  </si>
  <si>
    <t>通院２重研日９．０</t>
  </si>
  <si>
    <t>通院２重研日９．０・２人</t>
  </si>
  <si>
    <t>GZ51</t>
  </si>
  <si>
    <t>通院２重研日９．０・初計</t>
  </si>
  <si>
    <t>GZ52</t>
  </si>
  <si>
    <t>通院２重研日９．０・２人・初計</t>
  </si>
  <si>
    <t>通院２重研日９．５</t>
  </si>
  <si>
    <t>通院２重研日９．５・２人</t>
  </si>
  <si>
    <t>GZ61</t>
  </si>
  <si>
    <t>通院２重研日９．５・初計</t>
  </si>
  <si>
    <t>GZ62</t>
  </si>
  <si>
    <t>通院２重研日９．５・２人・初計</t>
  </si>
  <si>
    <t>通院２重研日１０．０</t>
  </si>
  <si>
    <t>通院２重研日１０．０・２人</t>
  </si>
  <si>
    <t>GZ71</t>
  </si>
  <si>
    <t>通院２重研日１０．０・初計</t>
  </si>
  <si>
    <t>GZ72</t>
  </si>
  <si>
    <t>通院２重研日１０．０・２人・初計</t>
  </si>
  <si>
    <t>通院２重研日１０．５</t>
  </si>
  <si>
    <t>通院２重研日１０．５・２人</t>
  </si>
  <si>
    <t>GZ81</t>
  </si>
  <si>
    <t>通院２重研日１０．５・初計</t>
  </si>
  <si>
    <t>GZ82</t>
  </si>
  <si>
    <t>通院２重研日１０．５・２人・初計</t>
  </si>
  <si>
    <t>ニ　通院等介助（身体介護を伴わない場合）　（重度訪問介護研修終了者：早朝のみ）</t>
  </si>
  <si>
    <t>通院２重研早０．５</t>
  </si>
  <si>
    <t>通院２重研早０．５・２人</t>
  </si>
  <si>
    <t>GZ91</t>
  </si>
  <si>
    <t>通院２重研早０．５・初計</t>
  </si>
  <si>
    <t>GZ92</t>
  </si>
  <si>
    <t>通院２重研早０．５・２人・初計</t>
  </si>
  <si>
    <t>通院２重研早１．０</t>
  </si>
  <si>
    <t>通院２重研早１．０・２人</t>
  </si>
  <si>
    <t>H001</t>
  </si>
  <si>
    <t>通院２重研早１．０・初計</t>
  </si>
  <si>
    <t>H002</t>
  </si>
  <si>
    <t>通院２重研早１．０・２人・初計</t>
  </si>
  <si>
    <t>通院２重研早１．５</t>
  </si>
  <si>
    <t>通院２重研早１．５・２人</t>
  </si>
  <si>
    <t>H011</t>
  </si>
  <si>
    <t>通院２重研早１．５・初計</t>
  </si>
  <si>
    <t>H012</t>
  </si>
  <si>
    <t>通院２重研早１．５・２人・初計</t>
  </si>
  <si>
    <t>通院２重研早２．０</t>
  </si>
  <si>
    <t>通院２重研早２．０・２人</t>
  </si>
  <si>
    <t>H021</t>
  </si>
  <si>
    <t>通院２重研早２．０・初計</t>
  </si>
  <si>
    <t>H022</t>
  </si>
  <si>
    <t>通院２重研早２．０・２人・初計</t>
  </si>
  <si>
    <t>通院２重研早２．５</t>
  </si>
  <si>
    <t>通院２重研早２．５・２人</t>
  </si>
  <si>
    <t>H031</t>
  </si>
  <si>
    <t>通院２重研早２．５・初計</t>
  </si>
  <si>
    <t>H032</t>
  </si>
  <si>
    <t>通院２重研早２．５・２人・初計</t>
  </si>
  <si>
    <t>ニ　通院等介助（身体介護を伴わない場合）　（重度訪問介護研修終了者：夜間のみ）</t>
  </si>
  <si>
    <t>通院２重研夜０．５</t>
  </si>
  <si>
    <t>通院２重研夜０．５・２人</t>
  </si>
  <si>
    <t>H041</t>
  </si>
  <si>
    <t>通院２重研夜０．５・初計</t>
  </si>
  <si>
    <t>H042</t>
  </si>
  <si>
    <t>通院２重研夜０．５・２人・初計</t>
  </si>
  <si>
    <t>通院２重研夜１．０</t>
  </si>
  <si>
    <t>通院２重研夜１．０・２人</t>
  </si>
  <si>
    <t>H051</t>
  </si>
  <si>
    <t>通院２重研夜１．０・初計</t>
  </si>
  <si>
    <t>H052</t>
  </si>
  <si>
    <t>通院２重研夜１．０・２人・初計</t>
  </si>
  <si>
    <t>通院２重研夜１．５</t>
  </si>
  <si>
    <t>通院２重研夜１．５・２人</t>
  </si>
  <si>
    <t>H061</t>
  </si>
  <si>
    <t>通院２重研夜１．５・初計</t>
  </si>
  <si>
    <t>H062</t>
  </si>
  <si>
    <t>通院２重研夜１．５・２人・初計</t>
  </si>
  <si>
    <t>通院２重研夜２．０</t>
  </si>
  <si>
    <t>通院２重研夜２．０・２人</t>
  </si>
  <si>
    <t>H071</t>
  </si>
  <si>
    <t>通院２重研夜２．０・初計</t>
  </si>
  <si>
    <t>H072</t>
  </si>
  <si>
    <t>通院２重研夜２．０・２人・初計</t>
  </si>
  <si>
    <t>通院２重研夜２．５</t>
  </si>
  <si>
    <t>通院２重研夜２．５・２人</t>
  </si>
  <si>
    <t>H081</t>
  </si>
  <si>
    <t>通院２重研夜２．５・初計</t>
  </si>
  <si>
    <t>H082</t>
  </si>
  <si>
    <t>通院２重研夜２．５・２人・初計</t>
  </si>
  <si>
    <t>通院２重研夜３．０</t>
  </si>
  <si>
    <t>通院２重研夜３．０・２人</t>
  </si>
  <si>
    <t>H091</t>
  </si>
  <si>
    <t>通院２重研夜３．０・初計</t>
  </si>
  <si>
    <t>H092</t>
  </si>
  <si>
    <t>通院２重研夜３．０・２人・初計</t>
  </si>
  <si>
    <t>通院２重研夜３．５</t>
  </si>
  <si>
    <t>通院２重研夜３．５・２人</t>
  </si>
  <si>
    <t>H101</t>
  </si>
  <si>
    <t>通院２重研夜３．５・初計</t>
  </si>
  <si>
    <t>H102</t>
  </si>
  <si>
    <t>通院２重研夜３．５・２人・初計</t>
  </si>
  <si>
    <t>通院２重研夜４．０</t>
  </si>
  <si>
    <t>通院２重研夜４．０・２人</t>
  </si>
  <si>
    <t>H111</t>
  </si>
  <si>
    <t>通院２重研夜４．０・初計</t>
  </si>
  <si>
    <t>H112</t>
  </si>
  <si>
    <t>通院２重研夜４．０・２人・初計</t>
  </si>
  <si>
    <t>通院２重研夜４．５</t>
  </si>
  <si>
    <t>通院２重研夜４．５・２人</t>
  </si>
  <si>
    <t>H121</t>
  </si>
  <si>
    <t>通院２重研夜４．５・初計</t>
  </si>
  <si>
    <t>H122</t>
  </si>
  <si>
    <t>通院２重研夜４．５・２人・初計</t>
  </si>
  <si>
    <t>ニ　通院等介助（身体介護を伴わない場合）　（重度訪問介護研修終了者：深夜のみ）</t>
  </si>
  <si>
    <t>通院２重研深０．５</t>
  </si>
  <si>
    <t>通院２重研深０．５・２人</t>
  </si>
  <si>
    <t>H131</t>
  </si>
  <si>
    <t>通院２重研深０．５・初計</t>
  </si>
  <si>
    <t>H132</t>
  </si>
  <si>
    <t>通院２重研深０．５・２人・初計</t>
  </si>
  <si>
    <t>通院２重研深１．０</t>
  </si>
  <si>
    <t>通院２重研深１．０・２人</t>
  </si>
  <si>
    <t>H141</t>
  </si>
  <si>
    <t>通院２重研深１．０・初計</t>
  </si>
  <si>
    <t>H142</t>
  </si>
  <si>
    <t>通院２重研深１．０・２人・初計</t>
  </si>
  <si>
    <t>通院２重研深１．５</t>
  </si>
  <si>
    <t>通院２重研深１．５・２人</t>
  </si>
  <si>
    <t>H151</t>
  </si>
  <si>
    <t>通院２重研深１．５・初計</t>
  </si>
  <si>
    <t>H152</t>
  </si>
  <si>
    <t>通院２重研深１．５・２人・初計</t>
  </si>
  <si>
    <t>通院２重研深２．０</t>
  </si>
  <si>
    <t>通院２重研深２．０・２人</t>
  </si>
  <si>
    <t>H161</t>
  </si>
  <si>
    <t>通院２重研深２．０・初計</t>
  </si>
  <si>
    <t>H162</t>
  </si>
  <si>
    <t>通院２重研深２．０・２人・初計</t>
  </si>
  <si>
    <t>通院２重研深２．５</t>
  </si>
  <si>
    <t>通院２重研深２．５・２人</t>
  </si>
  <si>
    <t>H171</t>
  </si>
  <si>
    <t>通院２重研深２．５・初計</t>
  </si>
  <si>
    <t>H172</t>
  </si>
  <si>
    <t>通院２重研深２．５・２人・初計</t>
  </si>
  <si>
    <t>通院２重研深３．０</t>
  </si>
  <si>
    <t>通院２重研深３．０・２人</t>
  </si>
  <si>
    <t>H181</t>
  </si>
  <si>
    <t>通院２重研深３．０・初計</t>
  </si>
  <si>
    <t>H182</t>
  </si>
  <si>
    <t>通院２重研深３．０・２人・初計</t>
  </si>
  <si>
    <t>通院２重研深３．５</t>
  </si>
  <si>
    <t>通院２重研深３．５・２人</t>
  </si>
  <si>
    <t>H191</t>
  </si>
  <si>
    <t>通院２重研深３．５・初計</t>
  </si>
  <si>
    <t>H192</t>
  </si>
  <si>
    <t>通院２重研深３．５・２人・初計</t>
  </si>
  <si>
    <t>通院２重研深４．０</t>
  </si>
  <si>
    <t>通院２重研深４．０・２人</t>
  </si>
  <si>
    <t>H201</t>
  </si>
  <si>
    <t>通院２重研深４．０・初計</t>
  </si>
  <si>
    <t>H202</t>
  </si>
  <si>
    <t>通院２重研深４．０・２人・初計</t>
  </si>
  <si>
    <t>通院２重研深４．５</t>
  </si>
  <si>
    <t>通院２重研深４．５・２人</t>
  </si>
  <si>
    <t>H211</t>
  </si>
  <si>
    <t>通院２重研深４．５・初計</t>
  </si>
  <si>
    <t>H212</t>
  </si>
  <si>
    <t>通院２重研深４．５・２人・初計</t>
  </si>
  <si>
    <t>通院２重研深５．０</t>
  </si>
  <si>
    <t>通院２重研深５．０・２人</t>
  </si>
  <si>
    <t>H221</t>
  </si>
  <si>
    <t>通院２重研深５．０・初計</t>
  </si>
  <si>
    <t>H222</t>
  </si>
  <si>
    <t>通院２重研深５．０・２人・初計</t>
  </si>
  <si>
    <t>通院２重研深５．５</t>
  </si>
  <si>
    <t>通院２重研深５．５・２人</t>
  </si>
  <si>
    <t>H231</t>
  </si>
  <si>
    <t>通院２重研深５．５・初計</t>
  </si>
  <si>
    <t>H232</t>
  </si>
  <si>
    <t>通院２重研深５．５・２人・初計</t>
  </si>
  <si>
    <t>通院２重研深６．０</t>
  </si>
  <si>
    <t>通院２重研深６．０・２人</t>
  </si>
  <si>
    <t>H241</t>
  </si>
  <si>
    <t>通院２重研深６．０・初計</t>
  </si>
  <si>
    <t>H242</t>
  </si>
  <si>
    <t>通院２重研深６．０・２人・初計</t>
  </si>
  <si>
    <t>通院２重研深６．５</t>
  </si>
  <si>
    <t>通院２重研深６．５・２人</t>
  </si>
  <si>
    <t>H251</t>
  </si>
  <si>
    <t>通院２重研深６．５・初計</t>
  </si>
  <si>
    <t>H252</t>
  </si>
  <si>
    <t>通院２重研深６．５・２人・初計</t>
  </si>
  <si>
    <t>ニ　通院等介助（身体介護を伴わない場合）　（重度訪問介護研修終了者：深夜＋早朝）</t>
  </si>
  <si>
    <t>通院２重研深０．５・早０．５</t>
  </si>
  <si>
    <t>通院２重研深０．５・早０．５・２人</t>
  </si>
  <si>
    <t>H261</t>
  </si>
  <si>
    <t>通院２重研深０．５・早０．５・初計</t>
  </si>
  <si>
    <t>H262</t>
  </si>
  <si>
    <t>通院２重研深０．５・早０．５・２人・初計</t>
  </si>
  <si>
    <t>通院２重研深０．５・早１．０</t>
  </si>
  <si>
    <t>通院２重研深０．５・早１．０・２人</t>
  </si>
  <si>
    <t>H271</t>
  </si>
  <si>
    <t>通院２重研深０．５・早１．０・初計</t>
  </si>
  <si>
    <t>H272</t>
  </si>
  <si>
    <t>通院２重研深０．５・早１．０・２人・初計</t>
  </si>
  <si>
    <t>通院２重研深１．０・早０．５</t>
  </si>
  <si>
    <t>通院２重研深１．０・早０．５・２人</t>
  </si>
  <si>
    <t>H281</t>
  </si>
  <si>
    <t>通院２重研深１．０・早０．５・初計</t>
  </si>
  <si>
    <t>H282</t>
  </si>
  <si>
    <t>通院２重研深１．０・早０．５・２人・初計</t>
  </si>
  <si>
    <t>ニ　通院等介助（身体介護を伴わない場合）　（重度訪問介護研修終了者：早朝＋日中）</t>
  </si>
  <si>
    <t>通院２重研早０．５・日０．５</t>
  </si>
  <si>
    <t>通院２重研早０．５・日０．５・２人</t>
  </si>
  <si>
    <t>H291</t>
  </si>
  <si>
    <t>通院２重研早０．５・日０．５・初計</t>
  </si>
  <si>
    <t>H292</t>
  </si>
  <si>
    <t>通院２重研早０．５・日０．５・２人・初計</t>
  </si>
  <si>
    <t>通院２重研早０．５・日１．０</t>
  </si>
  <si>
    <t>通院２重研早０．５・日１．０・２人</t>
  </si>
  <si>
    <t>H301</t>
  </si>
  <si>
    <t>通院２重研早０．５・日１．０・初計</t>
  </si>
  <si>
    <t>H302</t>
  </si>
  <si>
    <t>通院２重研早０．５・日１．０・２人・初計</t>
  </si>
  <si>
    <t>通院２重研早１．０・日０．５</t>
  </si>
  <si>
    <t>通院２重研早１．０・日０．５・２人</t>
  </si>
  <si>
    <t>H311</t>
  </si>
  <si>
    <t>通院２重研早１．０・日０．５・初計</t>
  </si>
  <si>
    <t>H312</t>
  </si>
  <si>
    <t>通院２重研早１．０・日０．５・２人・初計</t>
  </si>
  <si>
    <t>ニ　通院等介助（身体介護を伴わない場合）　（重度訪問介護研修終了者：日中＋夜間）</t>
  </si>
  <si>
    <t>通院２重研日０．５・夜０．５</t>
  </si>
  <si>
    <t>通院２重研日０．５・夜０．５・２人</t>
  </si>
  <si>
    <t>H321</t>
  </si>
  <si>
    <t>通院２重研日０．５・夜０．５・初計</t>
  </si>
  <si>
    <t>H322</t>
  </si>
  <si>
    <t>通院２重研日０．５・夜０．５・２人・初計</t>
  </si>
  <si>
    <t>通院２重研日０．５・夜１．０</t>
  </si>
  <si>
    <t>通院２重研日０．５・夜１．０・２人</t>
  </si>
  <si>
    <t>H331</t>
  </si>
  <si>
    <t>通院２重研日０．５・夜１．０・初計</t>
  </si>
  <si>
    <t>H332</t>
  </si>
  <si>
    <t>通院２重研日０．５・夜１．０・２人・初計</t>
  </si>
  <si>
    <t>通院２重研日１．０・夜０．５</t>
  </si>
  <si>
    <t>通院２重研日１．０・夜０．５・２人</t>
  </si>
  <si>
    <t>H341</t>
  </si>
  <si>
    <t>通院２重研日１．０・夜０．５・初計</t>
  </si>
  <si>
    <t>H342</t>
  </si>
  <si>
    <t>通院２重研日１．０・夜０．５・２人・初計</t>
  </si>
  <si>
    <t>ニ　通院等介助（身体介護を伴わない場合）　（重度訪問介護研修終了者：夜間＋深夜）</t>
  </si>
  <si>
    <t>通院２重研夜０．５・深０．５</t>
  </si>
  <si>
    <t>通院２重研夜０．５・深０．５・２人</t>
  </si>
  <si>
    <t>H351</t>
  </si>
  <si>
    <t>通院２重研夜０．５・深０．５・初計</t>
  </si>
  <si>
    <t>H352</t>
  </si>
  <si>
    <t>通院２重研夜０．５・深０．５・２人・初計</t>
  </si>
  <si>
    <t>通院２重研夜０．５・深１．０</t>
  </si>
  <si>
    <t>通院２重研夜０．５・深１．０・２人</t>
  </si>
  <si>
    <t>H361</t>
  </si>
  <si>
    <t>通院２重研夜０．５・深１．０・初計</t>
  </si>
  <si>
    <t>H362</t>
  </si>
  <si>
    <t>通院２重研夜０．５・深１．０・２人・初計</t>
  </si>
  <si>
    <t>通院２重研夜１．０・深０．５</t>
  </si>
  <si>
    <t>通院２重研夜１．０・深０．５・２人</t>
  </si>
  <si>
    <t>H371</t>
  </si>
  <si>
    <t>通院２重研夜１．０・深０．５・初計</t>
  </si>
  <si>
    <t>H372</t>
  </si>
  <si>
    <t>通院２重研夜１．０・深０．５・２人・初計</t>
  </si>
  <si>
    <t>ニ　通院等介助（身体介護を伴わない場合）　（重度訪問介護研修終了者：日を跨る場合　２日目深夜増分）</t>
  </si>
  <si>
    <t>通院２重研日跨増深０．５・深０．５</t>
  </si>
  <si>
    <t>通院２重研日跨増深０．５・深０．５・２人</t>
  </si>
  <si>
    <t>H381</t>
  </si>
  <si>
    <t>通院２重研日跨増深０．５・深０．５・初計</t>
  </si>
  <si>
    <t>H382</t>
  </si>
  <si>
    <t>通院２重研日跨増深０．５・深０．５・２人・初計</t>
  </si>
  <si>
    <t>通院２重研日跨増深０．５・深１．０</t>
  </si>
  <si>
    <t>通院２重研日跨増深０．５・深１．０・２人</t>
  </si>
  <si>
    <t>H391</t>
  </si>
  <si>
    <t>通院２重研日跨増深０．５・深１．０・初計</t>
  </si>
  <si>
    <t>H392</t>
  </si>
  <si>
    <t>通院２重研日跨増深０．５・深１．０・２人・初計</t>
  </si>
  <si>
    <t>通院２重研日跨増深１．０・深０．５</t>
  </si>
  <si>
    <t>通院２重研日跨増深１．０・深０．５・２人</t>
  </si>
  <si>
    <t>H401</t>
  </si>
  <si>
    <t>通院２重研日跨増深１．０・深０．５・初計</t>
  </si>
  <si>
    <t>H402</t>
  </si>
  <si>
    <t>通院２重研日跨増深１．０・深０．５・２人・初計</t>
  </si>
  <si>
    <t>ニ　通院等介助（身体介護を伴わない場合）　（重度訪問介護研修終了者：深夜＋早朝＋日中）　　※サービス間隔が２時間未満の場合</t>
  </si>
  <si>
    <t>通院２重研深０．５・早０．５・日０．５</t>
  </si>
  <si>
    <t>通院２重研深０．５・早０．５・日０．５・２人</t>
  </si>
  <si>
    <t>H411</t>
  </si>
  <si>
    <t>通院２重研深０．５・早０．５・日０．５・初計</t>
  </si>
  <si>
    <t>H412</t>
  </si>
  <si>
    <t>通院２重研深０．５・早０．５・日０．５・２人・初計</t>
  </si>
  <si>
    <t>ニ　通院等介助（身体介護を伴わない場合）　（重度訪問介護研修終了者：深夜＋日中）　　※サービス間隔が２時間未満の場合</t>
  </si>
  <si>
    <t>通院２重研深０．５・日０．５</t>
  </si>
  <si>
    <t>通院２重研深０．５・日０．５・２人</t>
  </si>
  <si>
    <t>H421</t>
  </si>
  <si>
    <t>通院２重研深０．５・日０．５・初計</t>
  </si>
  <si>
    <t>H422</t>
  </si>
  <si>
    <t>通院２重研深０．５・日０．５・２人・初計</t>
  </si>
  <si>
    <t>通院２重研深０．５・日１．０</t>
  </si>
  <si>
    <t>通院２重研深０．５・日１．０・２人</t>
  </si>
  <si>
    <t>H431</t>
  </si>
  <si>
    <t>通院２重研深０．５・日１．０・初計</t>
  </si>
  <si>
    <t>H432</t>
  </si>
  <si>
    <t>通院２重研深０．５・日１．０・２人・初計</t>
  </si>
  <si>
    <t>通院２重研深１．０・日０．５</t>
  </si>
  <si>
    <t>通院２重研深１．０・日０．５・２人</t>
  </si>
  <si>
    <t>H441</t>
  </si>
  <si>
    <t>通院２重研深１．０・日０．５・初計</t>
  </si>
  <si>
    <t>H442</t>
  </si>
  <si>
    <t>通院２重研深１．０・日０．５・２人・初計</t>
  </si>
  <si>
    <t>ニ　通院等介助（身体介護を伴わない場合）　（重度訪問介護研修終了者：日中＋夜間＋深夜）　　※サービス間隔が２時間未満の場合</t>
  </si>
  <si>
    <t>通院２重研日０．５・夜０．５・深０．５</t>
  </si>
  <si>
    <t>通院２重研日０．５・夜０．５・深０．５・２人</t>
  </si>
  <si>
    <t>H451</t>
  </si>
  <si>
    <t>通院２重研日０．５・夜０．５・深０．５・初計</t>
  </si>
  <si>
    <t>H452</t>
  </si>
  <si>
    <t>通院２重研日０．５・夜０．５・深０．５・２人・初計</t>
  </si>
  <si>
    <t>ニ　通院等介助（身体介護を伴わない場合）　（重度訪問介護研修終了者：日中増分)</t>
  </si>
  <si>
    <t>通院２重研日増０．５</t>
  </si>
  <si>
    <t>通院２重研日増０．５・２人</t>
  </si>
  <si>
    <t>H461</t>
  </si>
  <si>
    <t>通院２重研日増０．５・初計</t>
  </si>
  <si>
    <t>H462</t>
  </si>
  <si>
    <t>通院２重研日増０．５・２人・初計</t>
  </si>
  <si>
    <t>通院２重研日増１．０</t>
  </si>
  <si>
    <t>通院２重研日増１．０・２人</t>
  </si>
  <si>
    <t>H471</t>
  </si>
  <si>
    <t>通院２重研日増１．０・初計</t>
  </si>
  <si>
    <t>H472</t>
  </si>
  <si>
    <t>通院２重研日増１．０・２人・初計</t>
  </si>
  <si>
    <t>通院２重研日増１．５</t>
  </si>
  <si>
    <t>通院２重研日増１．５・２人</t>
  </si>
  <si>
    <t>H481</t>
  </si>
  <si>
    <t>通院２重研日増１．５・初計</t>
  </si>
  <si>
    <t>H482</t>
  </si>
  <si>
    <t>通院２重研日増１．５・２人・初計</t>
  </si>
  <si>
    <t>通院２重研日増２．０</t>
  </si>
  <si>
    <t>通院２重研日増２．０・２人</t>
  </si>
  <si>
    <t>H491</t>
  </si>
  <si>
    <t>通院２重研日増２．０・初計</t>
  </si>
  <si>
    <t>H492</t>
  </si>
  <si>
    <t>通院２重研日増２．０・２人・初計</t>
  </si>
  <si>
    <t>通院２重研日増２．５</t>
  </si>
  <si>
    <t>通院２重研日増２．５・２人</t>
  </si>
  <si>
    <t>H501</t>
  </si>
  <si>
    <t>通院２重研日増２．５・初計</t>
  </si>
  <si>
    <t>H502</t>
  </si>
  <si>
    <t>通院２重研日増２．５・２人・初計</t>
  </si>
  <si>
    <t>通院２重研日増３．０</t>
  </si>
  <si>
    <t>通院２重研日増３．０・２人</t>
  </si>
  <si>
    <t>H511</t>
  </si>
  <si>
    <t>通院２重研日増３．０・初計</t>
  </si>
  <si>
    <t>H512</t>
  </si>
  <si>
    <t>通院２重研日増３．０・２人・初計</t>
  </si>
  <si>
    <t>通院２重研日増３．５</t>
  </si>
  <si>
    <t>通院２重研日増３．５・２人</t>
  </si>
  <si>
    <t>H521</t>
  </si>
  <si>
    <t>通院２重研日増３．５・初計</t>
  </si>
  <si>
    <t>H522</t>
  </si>
  <si>
    <t>通院２重研日増３．５・２人・初計</t>
  </si>
  <si>
    <t>通院２重研日増４．０</t>
  </si>
  <si>
    <t>通院２重研日増４．０・２人</t>
  </si>
  <si>
    <t>H531</t>
  </si>
  <si>
    <t>通院２重研日増４．０・初計</t>
  </si>
  <si>
    <t>H532</t>
  </si>
  <si>
    <t>通院２重研日増４．０・２人・初計</t>
  </si>
  <si>
    <t>通院２重研日増４．５</t>
  </si>
  <si>
    <t>通院２重研日増４．５・２人</t>
  </si>
  <si>
    <t>H541</t>
  </si>
  <si>
    <t>通院２重研日増４．５・初計</t>
  </si>
  <si>
    <t>H542</t>
  </si>
  <si>
    <t>通院２重研日増４．５・２人・初計</t>
  </si>
  <si>
    <t>通院２重研日増５．０</t>
  </si>
  <si>
    <t>通院２重研日増５．０・２人</t>
  </si>
  <si>
    <t>H551</t>
  </si>
  <si>
    <t>通院２重研日増５．０・初計</t>
  </si>
  <si>
    <t>H552</t>
  </si>
  <si>
    <t>通院２重研日増５．０・２人・初計</t>
  </si>
  <si>
    <t>通院２重研日増５．５</t>
  </si>
  <si>
    <t>通院２重研日増５．５・２人</t>
  </si>
  <si>
    <t>H561</t>
  </si>
  <si>
    <t>通院２重研日増５．５・初計</t>
  </si>
  <si>
    <t>H562</t>
  </si>
  <si>
    <t>通院２重研日増５．５・２人・初計</t>
  </si>
  <si>
    <t>通院２重研日増６．０</t>
  </si>
  <si>
    <t>通院２重研日増６．０・２人</t>
  </si>
  <si>
    <t>H571</t>
  </si>
  <si>
    <t>通院２重研日増６．０・初計</t>
  </si>
  <si>
    <t>H572</t>
  </si>
  <si>
    <t>通院２重研日増６．０・２人・初計</t>
  </si>
  <si>
    <t>通院２重研日増６．５</t>
  </si>
  <si>
    <t>通院２重研日増６．５・２人</t>
  </si>
  <si>
    <t>H581</t>
  </si>
  <si>
    <t>通院２重研日増６．５・初計</t>
  </si>
  <si>
    <t>H582</t>
  </si>
  <si>
    <t>通院２重研日増６．５・２人・初計</t>
  </si>
  <si>
    <t>通院２重研日増７．０</t>
  </si>
  <si>
    <t>通院２重研日増７．０・２人</t>
  </si>
  <si>
    <t>H591</t>
  </si>
  <si>
    <t>通院２重研日増７．０・初計</t>
  </si>
  <si>
    <t>H592</t>
  </si>
  <si>
    <t>通院２重研日増７．０・２人・初計</t>
  </si>
  <si>
    <t>通院２重研日増７．５</t>
  </si>
  <si>
    <t>通院２重研日増７．５・２人</t>
  </si>
  <si>
    <t>H601</t>
  </si>
  <si>
    <t>通院２重研日増７．５・初計</t>
  </si>
  <si>
    <t>H602</t>
  </si>
  <si>
    <t>通院２重研日増７．５・２人・初計</t>
  </si>
  <si>
    <t>通院２重研日増８．０</t>
  </si>
  <si>
    <t>通院２重研日増８．０・２人</t>
  </si>
  <si>
    <t>H611</t>
  </si>
  <si>
    <t>通院２重研日増８．０・初計</t>
  </si>
  <si>
    <t>H612</t>
  </si>
  <si>
    <t>通院２重研日増８．０・２人・初計</t>
  </si>
  <si>
    <t>通院２重研日増８．５</t>
  </si>
  <si>
    <t>通院２重研日増８．５・２人</t>
  </si>
  <si>
    <t>H621</t>
  </si>
  <si>
    <t>通院２重研日増８．５・初計</t>
  </si>
  <si>
    <t>H622</t>
  </si>
  <si>
    <t>通院２重研日増８．５・２人・初計</t>
    <phoneticPr fontId="1"/>
  </si>
  <si>
    <t>通院２重研日増９．０</t>
  </si>
  <si>
    <t>通院２重研日増９．０・２人</t>
  </si>
  <si>
    <t>H631</t>
  </si>
  <si>
    <t>通院２重研日増９．０・初計</t>
  </si>
  <si>
    <t>H632</t>
  </si>
  <si>
    <t>通院２重研日増９．０・２人・初計</t>
  </si>
  <si>
    <t>通院２重研日増９．５</t>
  </si>
  <si>
    <t>通院２重研日増９．５・２人</t>
  </si>
  <si>
    <t>H641</t>
  </si>
  <si>
    <t>通院２重研日増９．５・初計</t>
  </si>
  <si>
    <t>H642</t>
  </si>
  <si>
    <t>通院２重研日増９．５・２人・初計</t>
  </si>
  <si>
    <t>通院２重研日増１０．０</t>
  </si>
  <si>
    <t>通院２重研日増１０．０・２人</t>
  </si>
  <si>
    <t>H651</t>
  </si>
  <si>
    <t>通院２重研日増１０．０・初計</t>
  </si>
  <si>
    <t>H652</t>
  </si>
  <si>
    <t>通院２重研日増１０．０・２人・初計</t>
  </si>
  <si>
    <t>通院２重研日増１０．５</t>
  </si>
  <si>
    <t>通院２重研日増１０．５・２人</t>
  </si>
  <si>
    <t>H661</t>
  </si>
  <si>
    <t>通院２重研日増１０．５・初計</t>
  </si>
  <si>
    <t>H662</t>
  </si>
  <si>
    <t>通院２重研日増１０．５・２人・初計</t>
  </si>
  <si>
    <t>ニ　通院等介助（身体介護を伴わない場合）　（重度訪問介護研修終了者：早朝増分）</t>
  </si>
  <si>
    <t>通院２重研早増０．５</t>
  </si>
  <si>
    <t>通院２重研早増０．５・２人</t>
  </si>
  <si>
    <t>H671</t>
  </si>
  <si>
    <t>通院２重研早増０．５・初計</t>
  </si>
  <si>
    <t>H672</t>
  </si>
  <si>
    <t>通院２重研早増０．５・２人・初計</t>
  </si>
  <si>
    <t>通院２重研早増１．０</t>
  </si>
  <si>
    <t>通院２重研早増１．０・２人</t>
  </si>
  <si>
    <t>H681</t>
  </si>
  <si>
    <t>通院２重研早増１．０・初計</t>
  </si>
  <si>
    <t>H682</t>
  </si>
  <si>
    <t>通院２重研早増１．０・２人・初計</t>
  </si>
  <si>
    <t>通院２重研早増１．５</t>
  </si>
  <si>
    <t>通院２重研早増１．５・２人</t>
  </si>
  <si>
    <t>H691</t>
  </si>
  <si>
    <t>通院２重研早増１．５・初計</t>
  </si>
  <si>
    <t>H692</t>
  </si>
  <si>
    <t>通院２重研早増１．５・２人・初計</t>
  </si>
  <si>
    <t>通院２重研早増２．０</t>
  </si>
  <si>
    <t>通院２重研早増２．０・２人</t>
  </si>
  <si>
    <t>H701</t>
  </si>
  <si>
    <t>通院２重研早増２．０・初計</t>
  </si>
  <si>
    <t>H702</t>
  </si>
  <si>
    <t>通院２重研早増２．０・２人・初計</t>
  </si>
  <si>
    <t>通院２重研早増２．５</t>
  </si>
  <si>
    <t>通院２重研早増２．５・２人</t>
  </si>
  <si>
    <t>H711</t>
  </si>
  <si>
    <t>通院２重研早増２．５・初計</t>
  </si>
  <si>
    <t>H712</t>
  </si>
  <si>
    <t>通院２重研早増２．５・２人・初計</t>
  </si>
  <si>
    <t>ニ　通院等介助（身体介護を伴わない場合）　（重度訪問介護研修終了者：夜間増分）</t>
  </si>
  <si>
    <t>通院２重研夜増０．５</t>
  </si>
  <si>
    <t>通院２重研夜増０．５・２人</t>
  </si>
  <si>
    <t>H721</t>
  </si>
  <si>
    <t>通院２重研夜増０．５・初計</t>
  </si>
  <si>
    <t>H722</t>
  </si>
  <si>
    <t>通院２重研夜増０．５・２人・初計</t>
  </si>
  <si>
    <t>通院２重研夜増１．０</t>
  </si>
  <si>
    <t>通院２重研夜増１．０・２人</t>
  </si>
  <si>
    <t>H731</t>
  </si>
  <si>
    <t>通院２重研夜増１．０・初計</t>
  </si>
  <si>
    <t>H732</t>
  </si>
  <si>
    <t>通院２重研夜増１．０・２人・初計</t>
  </si>
  <si>
    <t>通院２重研夜増１．５</t>
  </si>
  <si>
    <t>通院２重研夜増１．５・２人</t>
  </si>
  <si>
    <t>H741</t>
  </si>
  <si>
    <t>通院２重研夜増１．５・初計</t>
  </si>
  <si>
    <t>H742</t>
  </si>
  <si>
    <t>通院２重研夜増１．５・２人・初計</t>
  </si>
  <si>
    <t>通院２重研夜増２．０</t>
  </si>
  <si>
    <t>通院２重研夜増２．０・２人</t>
  </si>
  <si>
    <t>H751</t>
  </si>
  <si>
    <t>通院２重研夜増２．０・初計</t>
  </si>
  <si>
    <t>H752</t>
  </si>
  <si>
    <t>通院２重研夜増２．０・２人・初計</t>
  </si>
  <si>
    <t>通院２重研夜増２．５</t>
  </si>
  <si>
    <t>通院２重研夜増２．５・２人</t>
  </si>
  <si>
    <t>H761</t>
  </si>
  <si>
    <t>通院２重研夜増２．５・初計</t>
  </si>
  <si>
    <t>H762</t>
  </si>
  <si>
    <t>通院２重研夜増２．５・２人・初計</t>
  </si>
  <si>
    <t>通院２重研夜増３．０</t>
  </si>
  <si>
    <t>通院２重研夜増３．０・２人</t>
  </si>
  <si>
    <t>H771</t>
  </si>
  <si>
    <t>通院２重研夜増３．０・初計</t>
  </si>
  <si>
    <t>H772</t>
  </si>
  <si>
    <t>通院２重研夜増３．０・２人・初計</t>
  </si>
  <si>
    <t>通院２重研夜増３．５</t>
  </si>
  <si>
    <t>通院２重研夜増３．５・２人</t>
  </si>
  <si>
    <t>H781</t>
  </si>
  <si>
    <t>通院２重研夜増３．５・初計</t>
  </si>
  <si>
    <t>H782</t>
  </si>
  <si>
    <t>通院２重研夜増３．５・２人・初計</t>
  </si>
  <si>
    <t>通院２重研夜増４．０</t>
  </si>
  <si>
    <t>通院２重研夜増４．０・２人</t>
  </si>
  <si>
    <t>H791</t>
  </si>
  <si>
    <t>通院２重研夜増４．０・初計</t>
  </si>
  <si>
    <t>H792</t>
  </si>
  <si>
    <t>通院２重研夜増４．０・２人・初計</t>
  </si>
  <si>
    <t>通院２重研夜増４．５</t>
  </si>
  <si>
    <t>通院２重研夜増４．５・２人</t>
  </si>
  <si>
    <t>H801</t>
  </si>
  <si>
    <t>通院２重研夜増４．５・初計</t>
  </si>
  <si>
    <t>H802</t>
  </si>
  <si>
    <t>通院２重研夜増４．５・２人・初計</t>
  </si>
  <si>
    <t>ニ　通院等介助（身体介護を伴わない場合）　（重度訪問介護研修終了者：深夜増分）</t>
  </si>
  <si>
    <t>通院２重研深増０．５</t>
  </si>
  <si>
    <t>通院２重研深増０．５・２人</t>
  </si>
  <si>
    <t>H811</t>
  </si>
  <si>
    <t>通院２重研深増０．５・初計</t>
  </si>
  <si>
    <t>H812</t>
  </si>
  <si>
    <t>通院２重研深増０．５・２人・初計</t>
  </si>
  <si>
    <t>通院２重研深増１．０</t>
  </si>
  <si>
    <t>通院２重研深増１．０・２人</t>
  </si>
  <si>
    <t>H821</t>
  </si>
  <si>
    <t>通院２重研深増１．０・初計</t>
  </si>
  <si>
    <t>H822</t>
  </si>
  <si>
    <t>通院２重研深増１．０・２人・初計</t>
  </si>
  <si>
    <t>通院２重研深増１．５</t>
  </si>
  <si>
    <t>通院２重研深増１．５・２人</t>
  </si>
  <si>
    <t>H831</t>
  </si>
  <si>
    <t>通院２重研深増１．５・初計</t>
  </si>
  <si>
    <t>H832</t>
  </si>
  <si>
    <t>通院２重研深増１．５・２人・初計</t>
  </si>
  <si>
    <t>通院２重研深増２．０</t>
  </si>
  <si>
    <t>通院２重研深増２．０・２人</t>
  </si>
  <si>
    <t>H841</t>
  </si>
  <si>
    <t>通院２重研深増２．０・初計</t>
  </si>
  <si>
    <t>H842</t>
  </si>
  <si>
    <t>通院２重研深増２．０・２人・初計</t>
  </si>
  <si>
    <t>通院２重研深増２．５</t>
  </si>
  <si>
    <t>通院２重研深増２．５・２人</t>
  </si>
  <si>
    <t>H851</t>
  </si>
  <si>
    <t>通院２重研深増２．５・初計</t>
  </si>
  <si>
    <t>H852</t>
  </si>
  <si>
    <t>通院２重研深増２．５・２人・初計</t>
  </si>
  <si>
    <t>通院２重研深増３．０</t>
  </si>
  <si>
    <t>通院２重研深増３．０・２人</t>
  </si>
  <si>
    <t>H861</t>
  </si>
  <si>
    <t>通院２重研深増３．０・初計</t>
  </si>
  <si>
    <t>H862</t>
  </si>
  <si>
    <t>通院２重研深増３．０・２人・初計</t>
  </si>
  <si>
    <t>通院２重研深増３．５</t>
  </si>
  <si>
    <t>通院２重研深増３．５・２人</t>
  </si>
  <si>
    <t>H871</t>
  </si>
  <si>
    <t>通院２重研深増３．５・初計</t>
  </si>
  <si>
    <t>H872</t>
  </si>
  <si>
    <t>通院２重研深増３．５・２人・初計</t>
  </si>
  <si>
    <t>通院２重研深増４．０</t>
  </si>
  <si>
    <t>通院２重研深増４．０・２人</t>
  </si>
  <si>
    <t>H881</t>
  </si>
  <si>
    <t>通院２重研深増４．０・初計</t>
  </si>
  <si>
    <t>H882</t>
  </si>
  <si>
    <t>通院２重研深増４．０・２人・初計</t>
  </si>
  <si>
    <t>通院２重研深増４．５</t>
  </si>
  <si>
    <t>通院２重研深増４．５・２人</t>
  </si>
  <si>
    <t>H891</t>
  </si>
  <si>
    <t>通院２重研深増４．５・初計</t>
  </si>
  <si>
    <t>H892</t>
  </si>
  <si>
    <t>通院２重研深増４．５・２人・初計</t>
  </si>
  <si>
    <t>通院２重研深増５．０</t>
  </si>
  <si>
    <t>通院２重研深増５．０・２人</t>
  </si>
  <si>
    <t>H901</t>
  </si>
  <si>
    <t>通院２重研深増５．０・初計</t>
  </si>
  <si>
    <t>H902</t>
  </si>
  <si>
    <t>通院２重研深増５．０・２人・初計</t>
  </si>
  <si>
    <t>通院２重研深増５．５</t>
  </si>
  <si>
    <t>通院２重研深増５．５・２人</t>
  </si>
  <si>
    <t>H911</t>
  </si>
  <si>
    <t>通院２重研深増５．５・初計</t>
  </si>
  <si>
    <t>H912</t>
  </si>
  <si>
    <t>通院２重研深増５．５・２人・初計</t>
  </si>
  <si>
    <t>通院２重研深増６．０</t>
  </si>
  <si>
    <t>通院２重研深増６．０・２人</t>
  </si>
  <si>
    <t>H921</t>
  </si>
  <si>
    <t>通院２重研深増６．０・初計</t>
  </si>
  <si>
    <t>H922</t>
  </si>
  <si>
    <t>通院２重研深増６．０・２人・初計</t>
  </si>
  <si>
    <t>通院２重研深増６．５</t>
  </si>
  <si>
    <t>通院２重研深増６．５・２人</t>
  </si>
  <si>
    <t>H931</t>
  </si>
  <si>
    <t>通院２重研深増６．５・初計</t>
  </si>
  <si>
    <t>H932</t>
  </si>
  <si>
    <t>通院２重研深増６．５・２人・初計</t>
  </si>
  <si>
    <t>ホ　通院等乗降介助　（日中）</t>
  </si>
  <si>
    <t>通院乗降日</t>
  </si>
  <si>
    <t xml:space="preserve">(1)日中 </t>
  </si>
  <si>
    <t>通院乗降日・２人</t>
  </si>
  <si>
    <t>通院乗降日・基</t>
  </si>
  <si>
    <t>通院乗降日・基・２人</t>
  </si>
  <si>
    <t>H941</t>
  </si>
  <si>
    <t>通院乗降日・初計</t>
  </si>
  <si>
    <t>H942</t>
  </si>
  <si>
    <t>通院乗降日・２人・初計</t>
  </si>
  <si>
    <t>H943</t>
  </si>
  <si>
    <t>通院乗降日・基・初計</t>
  </si>
  <si>
    <t>H944</t>
  </si>
  <si>
    <t>通院乗降日・基・２人・初計</t>
  </si>
  <si>
    <t>ホ　通院等乗降介助　（早朝）</t>
  </si>
  <si>
    <t>通院乗降早</t>
  </si>
  <si>
    <t xml:space="preserve">(1)早朝 </t>
  </si>
  <si>
    <t>通院乗降早・２人</t>
  </si>
  <si>
    <t>通院乗降早・基</t>
  </si>
  <si>
    <t>通院乗降早・基・２人</t>
  </si>
  <si>
    <t>H961</t>
  </si>
  <si>
    <t>通院乗降早・初計</t>
  </si>
  <si>
    <t>H962</t>
  </si>
  <si>
    <t>通院乗降早・２人・初計</t>
  </si>
  <si>
    <t>H963</t>
  </si>
  <si>
    <t>通院乗降早・基・初計</t>
  </si>
  <si>
    <t>H964</t>
  </si>
  <si>
    <t>通院乗降早・基・２人・初計</t>
  </si>
  <si>
    <t>ホ　通院等乗降介助　（夜間）</t>
  </si>
  <si>
    <t>通院乗降夜</t>
  </si>
  <si>
    <t xml:space="preserve">(1)夜間 </t>
  </si>
  <si>
    <t>通院乗降夜・２人</t>
  </si>
  <si>
    <t>通院乗降夜・基</t>
  </si>
  <si>
    <t>通院乗降夜・基・２人</t>
  </si>
  <si>
    <t>H981</t>
  </si>
  <si>
    <t>通院乗降夜・初計</t>
  </si>
  <si>
    <t>H982</t>
  </si>
  <si>
    <t>通院乗降夜・２人・初計</t>
  </si>
  <si>
    <t>H983</t>
  </si>
  <si>
    <t>通院乗降夜・基・初計</t>
  </si>
  <si>
    <t>H984</t>
  </si>
  <si>
    <t>通院乗降夜・基・２人・初計</t>
  </si>
  <si>
    <t>ホ　通院等乗降介助　（深夜）</t>
  </si>
  <si>
    <t>通院乗降深</t>
  </si>
  <si>
    <t xml:space="preserve">(1)深夜 </t>
  </si>
  <si>
    <t>通院乗降深・２人</t>
  </si>
  <si>
    <t>通院乗降深・基</t>
  </si>
  <si>
    <t>通院乗降深・基・２人</t>
  </si>
  <si>
    <t>HA01</t>
  </si>
  <si>
    <t>通院乗降深・初計</t>
  </si>
  <si>
    <t>HA02</t>
  </si>
  <si>
    <t>通院乗降深・２人・初計</t>
  </si>
  <si>
    <t>HA03</t>
  </si>
  <si>
    <t>通院乗降深・基・初計</t>
  </si>
  <si>
    <t>HA04</t>
  </si>
  <si>
    <t>通院乗降深・基・２人・初計</t>
  </si>
  <si>
    <t>ホ　通院等乗降介助　（重度訪問介護研修終了者：日中）</t>
  </si>
  <si>
    <t>通院乗降重研日</t>
  </si>
  <si>
    <t>通院乗降重研日・２人</t>
  </si>
  <si>
    <t>HA21</t>
  </si>
  <si>
    <t>通院乗降重研日・初計</t>
  </si>
  <si>
    <t>HA22</t>
  </si>
  <si>
    <t>通院乗降重研日・２人・初計</t>
  </si>
  <si>
    <t>ホ　通院等乗降介助　（重度訪問介護研修終了者：早朝）</t>
  </si>
  <si>
    <t>通院乗降重研早</t>
  </si>
  <si>
    <t>通院乗降重研早・２人</t>
  </si>
  <si>
    <t>HA31</t>
  </si>
  <si>
    <t>通院乗降重研早・初計</t>
  </si>
  <si>
    <t>HA32</t>
  </si>
  <si>
    <t>通院乗降重研早・２人・初計</t>
  </si>
  <si>
    <t>ホ　通院等乗降介助　（重度訪問介護研修終了者：夜間）</t>
  </si>
  <si>
    <t>通院乗降重研夜</t>
  </si>
  <si>
    <t>通院乗降重研夜・２人</t>
  </si>
  <si>
    <t>HA41</t>
  </si>
  <si>
    <t>通院乗降重研夜・初計</t>
  </si>
  <si>
    <t>HA42</t>
  </si>
  <si>
    <t>通院乗降重研夜・２人・初計</t>
  </si>
  <si>
    <t>ホ　通院等乗降介助　（重度訪問介護研修終了者：深夜）</t>
  </si>
  <si>
    <t>通院乗降重研深</t>
  </si>
  <si>
    <t>通院乗降重研深・２人</t>
  </si>
  <si>
    <t>HA51</t>
  </si>
  <si>
    <t>通院乗降重研深・初計</t>
  </si>
  <si>
    <t>HA52</t>
  </si>
  <si>
    <t>通院乗降重研深・２人・初計</t>
  </si>
  <si>
    <t>サービスコード</t>
    <phoneticPr fontId="31"/>
  </si>
  <si>
    <t>サービス内容略称</t>
    <rPh sb="4" eb="6">
      <t>ナイヨウ</t>
    </rPh>
    <rPh sb="6" eb="8">
      <t>リャクショウ</t>
    </rPh>
    <phoneticPr fontId="31"/>
  </si>
  <si>
    <t>算定項目</t>
    <phoneticPr fontId="31"/>
  </si>
  <si>
    <t>合成</t>
    <rPh sb="0" eb="2">
      <t>ゴウセイ</t>
    </rPh>
    <phoneticPr fontId="31"/>
  </si>
  <si>
    <t>算定</t>
    <rPh sb="0" eb="2">
      <t>サンテイ</t>
    </rPh>
    <phoneticPr fontId="31"/>
  </si>
  <si>
    <t>種類</t>
    <rPh sb="0" eb="2">
      <t>シュルイ</t>
    </rPh>
    <phoneticPr fontId="31"/>
  </si>
  <si>
    <t>項目</t>
    <rPh sb="0" eb="2">
      <t>コウモク</t>
    </rPh>
    <phoneticPr fontId="31"/>
  </si>
  <si>
    <t>ZZ01</t>
  </si>
  <si>
    <t>令和３年９月３０日までの上乗せ分（居介）</t>
    <phoneticPr fontId="1"/>
  </si>
  <si>
    <t>新型コロナウイルス感染症への対応</t>
  </si>
  <si>
    <t>単位加算</t>
    <phoneticPr fontId="1"/>
  </si>
  <si>
    <t>１月につき</t>
    <rPh sb="1" eb="2">
      <t>ツキ</t>
    </rPh>
    <phoneticPr fontId="31"/>
  </si>
  <si>
    <t>Z011</t>
    <phoneticPr fontId="1"/>
  </si>
  <si>
    <t>居介同一建物減算１</t>
    <phoneticPr fontId="1"/>
  </si>
  <si>
    <t>事業所と同一建物の利用者又はこれ以外の同一建物の利用者20人以上にサービスを行う場合</t>
    <phoneticPr fontId="1"/>
  </si>
  <si>
    <t>単位減算</t>
    <rPh sb="2" eb="4">
      <t>ゲンサン</t>
    </rPh>
    <phoneticPr fontId="1"/>
  </si>
  <si>
    <t>１回につき</t>
    <rPh sb="1" eb="2">
      <t>カイ</t>
    </rPh>
    <phoneticPr fontId="31"/>
  </si>
  <si>
    <t>Z012</t>
    <phoneticPr fontId="1"/>
  </si>
  <si>
    <t>居介同一建物減算２</t>
    <phoneticPr fontId="1"/>
  </si>
  <si>
    <t>事業所と同一建物の利用者50人以上にサービスを行う場合</t>
    <phoneticPr fontId="1"/>
  </si>
  <si>
    <t>Z001</t>
    <phoneticPr fontId="1"/>
  </si>
  <si>
    <t>居介身体拘束廃止未実施減算</t>
    <phoneticPr fontId="1"/>
  </si>
  <si>
    <t>身体拘束廃止未実施減算</t>
    <phoneticPr fontId="1"/>
  </si>
  <si>
    <t>注　令和５年４月から適用</t>
  </si>
  <si>
    <t>１日につき</t>
    <phoneticPr fontId="1"/>
  </si>
  <si>
    <t>居介特定事業所加算Ⅰ</t>
    <rPh sb="0" eb="1">
      <t>キョ</t>
    </rPh>
    <rPh sb="1" eb="2">
      <t>スケ</t>
    </rPh>
    <rPh sb="2" eb="4">
      <t>トクテイ</t>
    </rPh>
    <rPh sb="4" eb="7">
      <t>ジギョウショ</t>
    </rPh>
    <rPh sb="7" eb="9">
      <t>カサン</t>
    </rPh>
    <phoneticPr fontId="31"/>
  </si>
  <si>
    <t>特定事業所加算</t>
    <rPh sb="0" eb="2">
      <t>トクテイ</t>
    </rPh>
    <rPh sb="2" eb="5">
      <t>ジギョウショ</t>
    </rPh>
    <rPh sb="5" eb="7">
      <t>カサン</t>
    </rPh>
    <phoneticPr fontId="31"/>
  </si>
  <si>
    <t>(1) 特定事業所加算(Ⅰ)</t>
    <phoneticPr fontId="1"/>
  </si>
  <si>
    <t>単位加算</t>
    <rPh sb="0" eb="2">
      <t>タンイ</t>
    </rPh>
    <rPh sb="2" eb="4">
      <t>カサン</t>
    </rPh>
    <phoneticPr fontId="31"/>
  </si>
  <si>
    <t>居介特定事業所加算Ⅱ</t>
    <rPh sb="0" eb="1">
      <t>キョ</t>
    </rPh>
    <rPh sb="1" eb="2">
      <t>スケ</t>
    </rPh>
    <rPh sb="2" eb="4">
      <t>トクテイ</t>
    </rPh>
    <rPh sb="4" eb="7">
      <t>ジギョウショ</t>
    </rPh>
    <rPh sb="7" eb="9">
      <t>カサン</t>
    </rPh>
    <phoneticPr fontId="31"/>
  </si>
  <si>
    <t>(2) 特定事業所加算(Ⅱ)</t>
    <phoneticPr fontId="1"/>
  </si>
  <si>
    <t>居介特定事業所加算Ⅲ</t>
    <rPh sb="0" eb="1">
      <t>キョ</t>
    </rPh>
    <rPh sb="1" eb="2">
      <t>スケ</t>
    </rPh>
    <rPh sb="2" eb="4">
      <t>トクテイ</t>
    </rPh>
    <rPh sb="4" eb="7">
      <t>ジギョウショ</t>
    </rPh>
    <rPh sb="7" eb="9">
      <t>カサン</t>
    </rPh>
    <phoneticPr fontId="31"/>
  </si>
  <si>
    <t>(3) 特定事業所加算(Ⅲ)</t>
    <phoneticPr fontId="1"/>
  </si>
  <si>
    <t>居介特定事業所加算Ⅳ</t>
    <rPh sb="0" eb="1">
      <t>キョ</t>
    </rPh>
    <rPh sb="1" eb="2">
      <t>スケ</t>
    </rPh>
    <rPh sb="2" eb="4">
      <t>トクテイ</t>
    </rPh>
    <rPh sb="4" eb="7">
      <t>ジギョウショ</t>
    </rPh>
    <rPh sb="7" eb="9">
      <t>カサン</t>
    </rPh>
    <phoneticPr fontId="31"/>
  </si>
  <si>
    <t>(4) 特定事業所加算(Ⅳ)</t>
    <phoneticPr fontId="1"/>
  </si>
  <si>
    <t>居介特地加算</t>
    <phoneticPr fontId="31"/>
  </si>
  <si>
    <t>特別地域加算</t>
    <rPh sb="0" eb="2">
      <t>トクベツ</t>
    </rPh>
    <rPh sb="2" eb="4">
      <t>チイキ</t>
    </rPh>
    <rPh sb="4" eb="6">
      <t>カサン</t>
    </rPh>
    <phoneticPr fontId="31"/>
  </si>
  <si>
    <t>居介緊急時対応加算</t>
    <rPh sb="2" eb="5">
      <t>キンキュウジ</t>
    </rPh>
    <rPh sb="5" eb="7">
      <t>タイオウ</t>
    </rPh>
    <rPh sb="7" eb="9">
      <t>カサン</t>
    </rPh>
    <phoneticPr fontId="31"/>
  </si>
  <si>
    <t>緊急時対応加算</t>
    <rPh sb="0" eb="3">
      <t>キンキュウジ</t>
    </rPh>
    <rPh sb="3" eb="5">
      <t>タイオウ</t>
    </rPh>
    <rPh sb="5" eb="7">
      <t>カサン</t>
    </rPh>
    <phoneticPr fontId="31"/>
  </si>
  <si>
    <t>月２回限度</t>
  </si>
  <si>
    <t>居介緊急時対応加算（地域生活拠点）</t>
    <phoneticPr fontId="31"/>
  </si>
  <si>
    <t>注　地域生活支援拠点等の場合</t>
    <phoneticPr fontId="1"/>
  </si>
  <si>
    <t>居介喀痰吸引等支援体制加算</t>
    <phoneticPr fontId="31"/>
  </si>
  <si>
    <t>喀痰吸引等支援体制加算</t>
    <phoneticPr fontId="31"/>
  </si>
  <si>
    <t>単位加算</t>
  </si>
  <si>
    <t>１日につき</t>
    <rPh sb="1" eb="2">
      <t>ニチ</t>
    </rPh>
    <phoneticPr fontId="31"/>
  </si>
  <si>
    <t>居介初回加算</t>
    <rPh sb="4" eb="6">
      <t>カサン</t>
    </rPh>
    <phoneticPr fontId="31"/>
  </si>
  <si>
    <t>初回加算</t>
    <rPh sb="2" eb="4">
      <t>カサン</t>
    </rPh>
    <phoneticPr fontId="31"/>
  </si>
  <si>
    <t>月１回限度</t>
    <rPh sb="0" eb="1">
      <t>ツキ</t>
    </rPh>
    <rPh sb="2" eb="3">
      <t>カイ</t>
    </rPh>
    <rPh sb="3" eb="5">
      <t>ゲンド</t>
    </rPh>
    <phoneticPr fontId="31"/>
  </si>
  <si>
    <t>1回につき</t>
    <rPh sb="1" eb="2">
      <t>カイ</t>
    </rPh>
    <phoneticPr fontId="31"/>
  </si>
  <si>
    <t>居介上限額管理加算</t>
    <rPh sb="0" eb="1">
      <t>キョ</t>
    </rPh>
    <rPh sb="1" eb="2">
      <t>スケ</t>
    </rPh>
    <phoneticPr fontId="31"/>
  </si>
  <si>
    <t>利用者負担上限額管理加算</t>
    <rPh sb="0" eb="3">
      <t>リヨウシャ</t>
    </rPh>
    <rPh sb="3" eb="5">
      <t>フタン</t>
    </rPh>
    <rPh sb="5" eb="7">
      <t>ジョウゲン</t>
    </rPh>
    <rPh sb="7" eb="8">
      <t>ガク</t>
    </rPh>
    <rPh sb="8" eb="10">
      <t>カンリ</t>
    </rPh>
    <rPh sb="10" eb="12">
      <t>カサン</t>
    </rPh>
    <phoneticPr fontId="31"/>
  </si>
  <si>
    <t>居介福祉専門職員等連携加算</t>
    <rPh sb="2" eb="4">
      <t>フクシ</t>
    </rPh>
    <rPh sb="4" eb="6">
      <t>センモン</t>
    </rPh>
    <rPh sb="6" eb="9">
      <t>ショクイントウ</t>
    </rPh>
    <rPh sb="9" eb="11">
      <t>レンケイ</t>
    </rPh>
    <rPh sb="11" eb="13">
      <t>カサン</t>
    </rPh>
    <phoneticPr fontId="31"/>
  </si>
  <si>
    <t>福祉専門職員等連携加算</t>
    <rPh sb="0" eb="2">
      <t>フクシ</t>
    </rPh>
    <rPh sb="2" eb="4">
      <t>センモン</t>
    </rPh>
    <rPh sb="4" eb="7">
      <t>ショクイントウ</t>
    </rPh>
    <rPh sb="7" eb="9">
      <t>レンケイ</t>
    </rPh>
    <rPh sb="9" eb="11">
      <t>カサン</t>
    </rPh>
    <phoneticPr fontId="31"/>
  </si>
  <si>
    <t>（90日の間、3回を限度）</t>
  </si>
  <si>
    <t>居介処遇改善加算Ⅰ</t>
    <rPh sb="2" eb="4">
      <t>ショグウ</t>
    </rPh>
    <rPh sb="4" eb="6">
      <t>カイゼン</t>
    </rPh>
    <rPh sb="6" eb="8">
      <t>カサン</t>
    </rPh>
    <phoneticPr fontId="31"/>
  </si>
  <si>
    <t>福祉・介護職員処遇改善加算</t>
    <rPh sb="0" eb="2">
      <t>フクシ</t>
    </rPh>
    <rPh sb="3" eb="5">
      <t>カイゴ</t>
    </rPh>
    <rPh sb="5" eb="7">
      <t>ショクイン</t>
    </rPh>
    <rPh sb="7" eb="9">
      <t>ショグウ</t>
    </rPh>
    <rPh sb="9" eb="11">
      <t>カイゼン</t>
    </rPh>
    <rPh sb="11" eb="13">
      <t>カサン</t>
    </rPh>
    <phoneticPr fontId="31"/>
  </si>
  <si>
    <t>イ　福祉・介護職員処遇改善加算（Ⅰ）</t>
    <phoneticPr fontId="31"/>
  </si>
  <si>
    <t>1月につき</t>
    <rPh sb="1" eb="2">
      <t>ツキ</t>
    </rPh>
    <phoneticPr fontId="31"/>
  </si>
  <si>
    <t>居介処遇改善加算Ⅱ</t>
    <rPh sb="2" eb="4">
      <t>ショグウ</t>
    </rPh>
    <rPh sb="4" eb="6">
      <t>カイゼン</t>
    </rPh>
    <rPh sb="6" eb="8">
      <t>カサン</t>
    </rPh>
    <phoneticPr fontId="31"/>
  </si>
  <si>
    <t>ロ　福祉・介護職員処遇改善加算（Ⅱ）</t>
    <phoneticPr fontId="31"/>
  </si>
  <si>
    <t>居介処遇改善加算Ⅲ</t>
    <rPh sb="2" eb="4">
      <t>ショグウ</t>
    </rPh>
    <rPh sb="4" eb="6">
      <t>カイゼン</t>
    </rPh>
    <rPh sb="6" eb="8">
      <t>カサン</t>
    </rPh>
    <phoneticPr fontId="31"/>
  </si>
  <si>
    <t>ハ　福祉・介護職員処遇改善加算（Ⅲ）</t>
    <phoneticPr fontId="31"/>
  </si>
  <si>
    <t>居介処遇改善加算Ⅳ</t>
    <rPh sb="2" eb="4">
      <t>ショグウ</t>
    </rPh>
    <rPh sb="4" eb="6">
      <t>カイゼン</t>
    </rPh>
    <rPh sb="6" eb="8">
      <t>カサン</t>
    </rPh>
    <phoneticPr fontId="31"/>
  </si>
  <si>
    <t>ニ　福祉・介護職員処遇改善加算（Ⅳ）</t>
    <phoneticPr fontId="31"/>
  </si>
  <si>
    <t>居介処遇改善加算Ⅴ</t>
    <rPh sb="2" eb="4">
      <t>ショグウ</t>
    </rPh>
    <rPh sb="4" eb="6">
      <t>カイゼン</t>
    </rPh>
    <rPh sb="6" eb="8">
      <t>カサン</t>
    </rPh>
    <phoneticPr fontId="31"/>
  </si>
  <si>
    <t>ホ　福祉・介護職員処遇改善加算（Ⅴ）</t>
    <phoneticPr fontId="31"/>
  </si>
  <si>
    <t>居介処遇改善特別加算</t>
    <phoneticPr fontId="31"/>
  </si>
  <si>
    <t>福祉・介護職員処遇改善特別加算</t>
    <phoneticPr fontId="31"/>
  </si>
  <si>
    <t>居介特定処遇改善加算Ⅰ</t>
    <phoneticPr fontId="31"/>
  </si>
  <si>
    <t>福祉・介護職員等特定処遇改善加算</t>
    <phoneticPr fontId="31"/>
  </si>
  <si>
    <t>イ　福祉・介護職員等特定処遇改善加算（Ⅰ）</t>
    <phoneticPr fontId="1"/>
  </si>
  <si>
    <t>居介特定処遇改善加算Ⅱ</t>
    <phoneticPr fontId="31"/>
  </si>
  <si>
    <t>ロ　福祉・介護職員等特定処遇改善加算（Ⅱ）</t>
    <phoneticPr fontId="1"/>
  </si>
  <si>
    <t>居介ベースアップ等支援加算</t>
    <phoneticPr fontId="31"/>
  </si>
  <si>
    <t>福祉・介護職員等ベースアップ等支援加算</t>
    <phoneticPr fontId="1"/>
  </si>
  <si>
    <t>２　重度訪問介護サービスコード表</t>
    <phoneticPr fontId="31"/>
  </si>
  <si>
    <t>イ　ロ以外に利用した場合（日中のみ）</t>
  </si>
  <si>
    <t>算定項目</t>
    <rPh sb="0" eb="2">
      <t>サンテイ</t>
    </rPh>
    <rPh sb="2" eb="4">
      <t>コウモク</t>
    </rPh>
    <phoneticPr fontId="31"/>
  </si>
  <si>
    <t>重訪Ⅰ日中１．０</t>
    <rPh sb="0" eb="1">
      <t>ジュウ</t>
    </rPh>
    <rPh sb="1" eb="2">
      <t>オトズ</t>
    </rPh>
    <rPh sb="3" eb="4">
      <t>ヒ</t>
    </rPh>
    <rPh sb="4" eb="5">
      <t>ナカ</t>
    </rPh>
    <phoneticPr fontId="31"/>
  </si>
  <si>
    <t>重度障害者等の場合</t>
    <rPh sb="0" eb="2">
      <t>ジュウド</t>
    </rPh>
    <rPh sb="2" eb="5">
      <t>ショウガイシャ</t>
    </rPh>
    <rPh sb="5" eb="6">
      <t>トウ</t>
    </rPh>
    <rPh sb="7" eb="9">
      <t>バアイ</t>
    </rPh>
    <phoneticPr fontId="31"/>
  </si>
  <si>
    <t>(1) １時間未満</t>
    <phoneticPr fontId="1"/>
  </si>
  <si>
    <t>1回につき</t>
    <phoneticPr fontId="31"/>
  </si>
  <si>
    <t>重訪Ⅰ日中１．０・２人</t>
    <rPh sb="0" eb="1">
      <t>ジュウ</t>
    </rPh>
    <rPh sb="1" eb="2">
      <t>オトズ</t>
    </rPh>
    <rPh sb="3" eb="4">
      <t>ヒ</t>
    </rPh>
    <rPh sb="4" eb="5">
      <t>ナカ</t>
    </rPh>
    <rPh sb="10" eb="11">
      <t>ヒト</t>
    </rPh>
    <phoneticPr fontId="31"/>
  </si>
  <si>
    <t>単位</t>
    <rPh sb="0" eb="2">
      <t>タンイ</t>
    </rPh>
    <phoneticPr fontId="31"/>
  </si>
  <si>
    <t>２人目の重度訪問介護従業者による場合</t>
    <rPh sb="1" eb="2">
      <t>ニン</t>
    </rPh>
    <rPh sb="2" eb="3">
      <t>メ</t>
    </rPh>
    <rPh sb="4" eb="6">
      <t>ジュウド</t>
    </rPh>
    <rPh sb="6" eb="8">
      <t>ホウモン</t>
    </rPh>
    <rPh sb="8" eb="10">
      <t>カイゴ</t>
    </rPh>
    <rPh sb="16" eb="18">
      <t>バアイ</t>
    </rPh>
    <phoneticPr fontId="31"/>
  </si>
  <si>
    <t>×</t>
    <phoneticPr fontId="31"/>
  </si>
  <si>
    <t>重訪Ⅰ日中１．０・同行</t>
  </si>
  <si>
    <t>熟練従業者が同行して</t>
    <phoneticPr fontId="1"/>
  </si>
  <si>
    <t>重訪Ⅰ日中１．０・２人・同行</t>
  </si>
  <si>
    <t>支援を行う場合</t>
    <phoneticPr fontId="1"/>
  </si>
  <si>
    <t>重訪Ⅰ日中１．５</t>
    <rPh sb="0" eb="1">
      <t>ジュウ</t>
    </rPh>
    <rPh sb="1" eb="2">
      <t>オトズ</t>
    </rPh>
    <rPh sb="3" eb="5">
      <t>ニッチュウ</t>
    </rPh>
    <phoneticPr fontId="31"/>
  </si>
  <si>
    <t>重度訪問介護サービス費</t>
    <phoneticPr fontId="1"/>
  </si>
  <si>
    <t>(2) １時間以上１時間３０分未満</t>
    <phoneticPr fontId="1"/>
  </si>
  <si>
    <t>重訪Ⅰ日中１．５・２人</t>
    <rPh sb="0" eb="1">
      <t>ジュウ</t>
    </rPh>
    <rPh sb="1" eb="2">
      <t>オトズ</t>
    </rPh>
    <rPh sb="3" eb="5">
      <t>ニッチュウ</t>
    </rPh>
    <rPh sb="10" eb="11">
      <t>ヒト</t>
    </rPh>
    <phoneticPr fontId="31"/>
  </si>
  <si>
    <t>重訪Ⅰ日中１．５・同行</t>
  </si>
  <si>
    <t>×</t>
    <phoneticPr fontId="1"/>
  </si>
  <si>
    <t>重訪Ⅰ日中１．５・２人・同行</t>
  </si>
  <si>
    <t>重訪Ⅰ日中２．０</t>
    <rPh sb="0" eb="1">
      <t>ジュウ</t>
    </rPh>
    <rPh sb="1" eb="2">
      <t>オトズ</t>
    </rPh>
    <rPh sb="3" eb="5">
      <t>ニッチュウ</t>
    </rPh>
    <phoneticPr fontId="31"/>
  </si>
  <si>
    <t>(3) １時間３０分以上２時間未満</t>
  </si>
  <si>
    <t>重訪Ⅰ日中２．０・２人</t>
    <rPh sb="0" eb="1">
      <t>ジュウ</t>
    </rPh>
    <rPh sb="1" eb="2">
      <t>オトズ</t>
    </rPh>
    <rPh sb="3" eb="5">
      <t>ニッチュウ</t>
    </rPh>
    <rPh sb="10" eb="11">
      <t>ヒト</t>
    </rPh>
    <phoneticPr fontId="31"/>
  </si>
  <si>
    <t>重訪Ⅰ日中２．０・同行</t>
  </si>
  <si>
    <t>重訪Ⅰ日中２．０・２人・同行</t>
  </si>
  <si>
    <t>重訪Ⅰ日中２．５</t>
    <rPh sb="0" eb="1">
      <t>ジュウ</t>
    </rPh>
    <rPh sb="1" eb="2">
      <t>オトズ</t>
    </rPh>
    <rPh sb="3" eb="5">
      <t>ニッチュウ</t>
    </rPh>
    <phoneticPr fontId="31"/>
  </si>
  <si>
    <t>(4) ２時間以上２時間３０分未満</t>
  </si>
  <si>
    <t>重訪Ⅰ日中２．５・２人</t>
    <rPh sb="0" eb="1">
      <t>ジュウ</t>
    </rPh>
    <rPh sb="1" eb="2">
      <t>オトズ</t>
    </rPh>
    <rPh sb="3" eb="5">
      <t>ニッチュウ</t>
    </rPh>
    <rPh sb="10" eb="11">
      <t>ヒト</t>
    </rPh>
    <phoneticPr fontId="31"/>
  </si>
  <si>
    <t>重訪Ⅰ日中２．５・同行</t>
  </si>
  <si>
    <t>重訪Ⅰ日中２．５・２人・同行</t>
  </si>
  <si>
    <t>重訪Ⅰ日中３．０</t>
    <rPh sb="0" eb="1">
      <t>ジュウ</t>
    </rPh>
    <rPh sb="1" eb="2">
      <t>オトズ</t>
    </rPh>
    <rPh sb="3" eb="5">
      <t>ニッチュウ</t>
    </rPh>
    <phoneticPr fontId="31"/>
  </si>
  <si>
    <t>(5) ２時間３０分以上３時間未満</t>
  </si>
  <si>
    <t>重訪Ⅰ日中３．０・２人</t>
    <rPh sb="0" eb="1">
      <t>ジュウ</t>
    </rPh>
    <rPh sb="1" eb="2">
      <t>オトズ</t>
    </rPh>
    <rPh sb="3" eb="5">
      <t>ニッチュウ</t>
    </rPh>
    <rPh sb="10" eb="11">
      <t>ヒト</t>
    </rPh>
    <phoneticPr fontId="31"/>
  </si>
  <si>
    <t>重訪Ⅰ日中３．０・同行</t>
  </si>
  <si>
    <t>重訪Ⅰ日中３．０・２人・同行</t>
  </si>
  <si>
    <t>重訪Ⅰ日中３．５</t>
    <rPh sb="0" eb="1">
      <t>ジュウ</t>
    </rPh>
    <rPh sb="1" eb="2">
      <t>オトズ</t>
    </rPh>
    <rPh sb="3" eb="5">
      <t>ニッチュウ</t>
    </rPh>
    <phoneticPr fontId="31"/>
  </si>
  <si>
    <t>(6) ３時間以上３時間３０分未満</t>
  </si>
  <si>
    <t>重訪Ⅰ日中３．５・２人</t>
    <rPh sb="0" eb="1">
      <t>ジュウ</t>
    </rPh>
    <rPh sb="1" eb="2">
      <t>オトズ</t>
    </rPh>
    <rPh sb="3" eb="5">
      <t>ニッチュウ</t>
    </rPh>
    <rPh sb="10" eb="11">
      <t>ヒト</t>
    </rPh>
    <phoneticPr fontId="31"/>
  </si>
  <si>
    <t>重訪Ⅰ日中３．５・同行</t>
  </si>
  <si>
    <t>重訪Ⅰ日中３．５・２人・同行</t>
  </si>
  <si>
    <t>重訪Ⅰ日中４．０</t>
    <rPh sb="0" eb="1">
      <t>ジュウ</t>
    </rPh>
    <rPh sb="1" eb="2">
      <t>オトズ</t>
    </rPh>
    <rPh sb="3" eb="5">
      <t>ニッチュウ</t>
    </rPh>
    <phoneticPr fontId="31"/>
  </si>
  <si>
    <t>(7) ３時間３０分以上４時間未満</t>
  </si>
  <si>
    <t>重訪Ⅰ日中４．０・２人</t>
    <rPh sb="0" eb="1">
      <t>ジュウ</t>
    </rPh>
    <rPh sb="1" eb="2">
      <t>オトズ</t>
    </rPh>
    <rPh sb="3" eb="5">
      <t>ニッチュウ</t>
    </rPh>
    <rPh sb="10" eb="11">
      <t>ヒト</t>
    </rPh>
    <phoneticPr fontId="31"/>
  </si>
  <si>
    <t>重訪Ⅰ日中４．０・同行</t>
  </si>
  <si>
    <t>重訪Ⅰ日中４．０・２人・同行</t>
  </si>
  <si>
    <t>重訪Ⅰ日中８．０</t>
    <rPh sb="0" eb="1">
      <t>ジュウ</t>
    </rPh>
    <rPh sb="1" eb="2">
      <t>オトズ</t>
    </rPh>
    <rPh sb="3" eb="4">
      <t>ヒ</t>
    </rPh>
    <rPh sb="4" eb="5">
      <t>ナカ</t>
    </rPh>
    <phoneticPr fontId="31"/>
  </si>
  <si>
    <t>(8) ４時間以上８時間未満（３０分あたり）</t>
  </si>
  <si>
    <t>重訪Ⅰ日中８．０・２人</t>
    <rPh sb="0" eb="1">
      <t>ジュウ</t>
    </rPh>
    <rPh sb="1" eb="2">
      <t>オトズ</t>
    </rPh>
    <rPh sb="3" eb="4">
      <t>ヒ</t>
    </rPh>
    <rPh sb="4" eb="5">
      <t>ナカ</t>
    </rPh>
    <rPh sb="10" eb="11">
      <t>ヒト</t>
    </rPh>
    <phoneticPr fontId="31"/>
  </si>
  <si>
    <t>重訪Ⅰ日中８．０・同行</t>
  </si>
  <si>
    <t>重訪Ⅰ日中８．０・２人・同行</t>
  </si>
  <si>
    <t>重訪Ⅰ日中１２．０</t>
    <rPh sb="0" eb="1">
      <t>ジュウ</t>
    </rPh>
    <rPh sb="1" eb="2">
      <t>オトズ</t>
    </rPh>
    <rPh sb="3" eb="4">
      <t>ヒ</t>
    </rPh>
    <rPh sb="4" eb="5">
      <t>ナカ</t>
    </rPh>
    <phoneticPr fontId="31"/>
  </si>
  <si>
    <t>(9) ８時間以上１２時間未満（３０分あたり）</t>
  </si>
  <si>
    <t>重訪Ⅰ日中１２．０・２人</t>
    <rPh sb="0" eb="1">
      <t>ジュウ</t>
    </rPh>
    <rPh sb="1" eb="2">
      <t>オトズ</t>
    </rPh>
    <rPh sb="3" eb="4">
      <t>ヒ</t>
    </rPh>
    <rPh sb="4" eb="5">
      <t>ナカ</t>
    </rPh>
    <rPh sb="11" eb="12">
      <t>ヒト</t>
    </rPh>
    <phoneticPr fontId="31"/>
  </si>
  <si>
    <t>重訪Ⅰ日中１２．０・同行</t>
  </si>
  <si>
    <t>重訪Ⅰ日中１２．０・２人・同行</t>
  </si>
  <si>
    <t>重訪Ⅰ日中１６．０</t>
    <rPh sb="0" eb="1">
      <t>ジュウ</t>
    </rPh>
    <rPh sb="1" eb="2">
      <t>オトズ</t>
    </rPh>
    <rPh sb="3" eb="4">
      <t>ヒ</t>
    </rPh>
    <rPh sb="4" eb="5">
      <t>ナカ</t>
    </rPh>
    <phoneticPr fontId="31"/>
  </si>
  <si>
    <t>(10) １２時間以上１６時間未満（３０分あたり）</t>
  </si>
  <si>
    <t>重訪Ⅰ日中１６．０・２人</t>
    <rPh sb="0" eb="1">
      <t>ジュウ</t>
    </rPh>
    <rPh sb="1" eb="2">
      <t>オトズ</t>
    </rPh>
    <rPh sb="3" eb="4">
      <t>ヒ</t>
    </rPh>
    <rPh sb="4" eb="5">
      <t>ナカ</t>
    </rPh>
    <rPh sb="11" eb="12">
      <t>ヒト</t>
    </rPh>
    <phoneticPr fontId="31"/>
  </si>
  <si>
    <t>重訪Ⅰ日中１６．０・同行</t>
  </si>
  <si>
    <t>重訪Ⅰ日中１６．０・２人・同行</t>
  </si>
  <si>
    <t>重訪Ⅰ日中２０．０</t>
    <rPh sb="0" eb="1">
      <t>ジュウ</t>
    </rPh>
    <rPh sb="1" eb="2">
      <t>オトズ</t>
    </rPh>
    <rPh sb="3" eb="4">
      <t>ヒ</t>
    </rPh>
    <rPh sb="4" eb="5">
      <t>ナカ</t>
    </rPh>
    <phoneticPr fontId="31"/>
  </si>
  <si>
    <t>(11) １６時間以上２０時間未満（３０分あたり）</t>
  </si>
  <si>
    <t>重訪Ⅰ日中２０．０・２人</t>
    <rPh sb="0" eb="1">
      <t>ジュウ</t>
    </rPh>
    <rPh sb="1" eb="2">
      <t>オトズ</t>
    </rPh>
    <rPh sb="3" eb="4">
      <t>ヒ</t>
    </rPh>
    <rPh sb="4" eb="5">
      <t>ナカ</t>
    </rPh>
    <rPh sb="11" eb="12">
      <t>ヒト</t>
    </rPh>
    <phoneticPr fontId="31"/>
  </si>
  <si>
    <t>重訪Ⅰ日中２０．０・同行</t>
  </si>
  <si>
    <t>重訪Ⅰ日中２０．０・２人・同行</t>
  </si>
  <si>
    <t>重訪Ⅰ日中２４．０</t>
    <rPh sb="0" eb="1">
      <t>ジュウ</t>
    </rPh>
    <rPh sb="1" eb="2">
      <t>オトズ</t>
    </rPh>
    <rPh sb="3" eb="4">
      <t>ヒ</t>
    </rPh>
    <rPh sb="4" eb="5">
      <t>ナカ</t>
    </rPh>
    <phoneticPr fontId="31"/>
  </si>
  <si>
    <t>(12) ２０時間以上２４時間未満（３０分あたり）</t>
  </si>
  <si>
    <t>重訪Ⅰ日中２４．０・２人</t>
    <rPh sb="0" eb="1">
      <t>ジュウ</t>
    </rPh>
    <rPh sb="1" eb="2">
      <t>オトズ</t>
    </rPh>
    <rPh sb="3" eb="4">
      <t>ヒ</t>
    </rPh>
    <rPh sb="4" eb="5">
      <t>ナカ</t>
    </rPh>
    <rPh sb="11" eb="12">
      <t>ヒト</t>
    </rPh>
    <phoneticPr fontId="31"/>
  </si>
  <si>
    <t>重訪Ⅰ日中２４．０・同行</t>
  </si>
  <si>
    <t>重訪Ⅰ日中２４．０・２人・同行</t>
  </si>
  <si>
    <t>重訪Ⅱ日中１．０</t>
    <rPh sb="0" eb="1">
      <t>ジュウ</t>
    </rPh>
    <rPh sb="1" eb="2">
      <t>オトズ</t>
    </rPh>
    <rPh sb="3" eb="4">
      <t>ヒ</t>
    </rPh>
    <rPh sb="4" eb="5">
      <t>ナカ</t>
    </rPh>
    <phoneticPr fontId="31"/>
  </si>
  <si>
    <t>障害支援区分６に該当する者の場合</t>
    <rPh sb="0" eb="2">
      <t>ショウガイ</t>
    </rPh>
    <rPh sb="2" eb="4">
      <t>シエン</t>
    </rPh>
    <rPh sb="4" eb="6">
      <t>クブン</t>
    </rPh>
    <rPh sb="8" eb="10">
      <t>ガイトウ</t>
    </rPh>
    <rPh sb="12" eb="13">
      <t>モノ</t>
    </rPh>
    <rPh sb="14" eb="16">
      <t>バアイ</t>
    </rPh>
    <phoneticPr fontId="31"/>
  </si>
  <si>
    <t>(1) １時間未満</t>
  </si>
  <si>
    <t>重訪Ⅱ日中１．０・２人</t>
    <rPh sb="0" eb="1">
      <t>ジュウ</t>
    </rPh>
    <rPh sb="1" eb="2">
      <t>オトズ</t>
    </rPh>
    <rPh sb="3" eb="4">
      <t>ヒ</t>
    </rPh>
    <rPh sb="4" eb="5">
      <t>ナカ</t>
    </rPh>
    <rPh sb="10" eb="11">
      <t>ヒト</t>
    </rPh>
    <phoneticPr fontId="31"/>
  </si>
  <si>
    <t>重訪Ⅱ日中１．０・同行</t>
  </si>
  <si>
    <t>重訪Ⅱ日中１．０・２人・同行</t>
  </si>
  <si>
    <t>重訪Ⅱ日中１．５</t>
    <rPh sb="0" eb="1">
      <t>ジュウ</t>
    </rPh>
    <rPh sb="1" eb="2">
      <t>オトズ</t>
    </rPh>
    <rPh sb="3" eb="5">
      <t>ニッチュウ</t>
    </rPh>
    <phoneticPr fontId="31"/>
  </si>
  <si>
    <t>(2) １時間以上１時間３０分未満</t>
  </si>
  <si>
    <t>重訪Ⅱ日中１．５・２人</t>
    <rPh sb="0" eb="1">
      <t>ジュウ</t>
    </rPh>
    <rPh sb="1" eb="2">
      <t>オトズ</t>
    </rPh>
    <rPh sb="3" eb="5">
      <t>ニッチュウ</t>
    </rPh>
    <rPh sb="10" eb="11">
      <t>ヒト</t>
    </rPh>
    <phoneticPr fontId="31"/>
  </si>
  <si>
    <t>重訪Ⅱ日中１．５・同行</t>
  </si>
  <si>
    <t>重訪Ⅱ日中１．５・２人・同行</t>
  </si>
  <si>
    <t>重訪Ⅱ日中２．０</t>
    <rPh sb="0" eb="1">
      <t>ジュウ</t>
    </rPh>
    <rPh sb="1" eb="2">
      <t>オトズ</t>
    </rPh>
    <rPh sb="3" eb="5">
      <t>ニッチュウ</t>
    </rPh>
    <phoneticPr fontId="31"/>
  </si>
  <si>
    <t>重訪Ⅱ日中２．０・２人</t>
    <rPh sb="0" eb="1">
      <t>ジュウ</t>
    </rPh>
    <rPh sb="1" eb="2">
      <t>オトズ</t>
    </rPh>
    <rPh sb="3" eb="5">
      <t>ニッチュウ</t>
    </rPh>
    <rPh sb="10" eb="11">
      <t>ヒト</t>
    </rPh>
    <phoneticPr fontId="31"/>
  </si>
  <si>
    <t>重訪Ⅱ日中２．０・同行</t>
  </si>
  <si>
    <t>重訪Ⅱ日中２．０・２人・同行</t>
  </si>
  <si>
    <t>重訪Ⅱ日中２．５</t>
    <rPh sb="0" eb="1">
      <t>ジュウ</t>
    </rPh>
    <rPh sb="1" eb="2">
      <t>オトズ</t>
    </rPh>
    <rPh sb="3" eb="5">
      <t>ニッチュウ</t>
    </rPh>
    <phoneticPr fontId="31"/>
  </si>
  <si>
    <t>重訪Ⅱ日中２．５・２人</t>
    <rPh sb="0" eb="1">
      <t>ジュウ</t>
    </rPh>
    <rPh sb="1" eb="2">
      <t>オトズ</t>
    </rPh>
    <rPh sb="3" eb="5">
      <t>ニッチュウ</t>
    </rPh>
    <rPh sb="10" eb="11">
      <t>ヒト</t>
    </rPh>
    <phoneticPr fontId="31"/>
  </si>
  <si>
    <t>重訪Ⅱ日中２．５・同行</t>
  </si>
  <si>
    <t>重訪Ⅱ日中２．５・２人・同行</t>
  </si>
  <si>
    <t>重訪Ⅱ日中３．０</t>
    <rPh sb="0" eb="1">
      <t>ジュウ</t>
    </rPh>
    <rPh sb="1" eb="2">
      <t>オトズ</t>
    </rPh>
    <rPh sb="3" eb="5">
      <t>ニッチュウ</t>
    </rPh>
    <phoneticPr fontId="31"/>
  </si>
  <si>
    <t>重訪Ⅱ日中３．０・２人</t>
    <rPh sb="0" eb="1">
      <t>ジュウ</t>
    </rPh>
    <rPh sb="1" eb="2">
      <t>オトズ</t>
    </rPh>
    <rPh sb="3" eb="5">
      <t>ニッチュウ</t>
    </rPh>
    <rPh sb="10" eb="11">
      <t>ヒト</t>
    </rPh>
    <phoneticPr fontId="31"/>
  </si>
  <si>
    <t>重訪Ⅱ日中３．０・同行</t>
  </si>
  <si>
    <t>重訪Ⅱ日中３．０・２人・同行</t>
  </si>
  <si>
    <t>重訪Ⅱ日中３．５</t>
    <rPh sb="0" eb="1">
      <t>ジュウ</t>
    </rPh>
    <rPh sb="1" eb="2">
      <t>オトズ</t>
    </rPh>
    <rPh sb="3" eb="5">
      <t>ニッチュウ</t>
    </rPh>
    <phoneticPr fontId="31"/>
  </si>
  <si>
    <t>重訪Ⅱ日中３．５・２人</t>
    <rPh sb="0" eb="1">
      <t>ジュウ</t>
    </rPh>
    <rPh sb="1" eb="2">
      <t>オトズ</t>
    </rPh>
    <rPh sb="3" eb="5">
      <t>ニッチュウ</t>
    </rPh>
    <rPh sb="10" eb="11">
      <t>ヒト</t>
    </rPh>
    <phoneticPr fontId="31"/>
  </si>
  <si>
    <t>重訪Ⅱ日中３．５・同行</t>
  </si>
  <si>
    <t>重訪Ⅱ日中３．５・２人・同行</t>
  </si>
  <si>
    <t>重訪Ⅱ日中４．０</t>
    <rPh sb="0" eb="1">
      <t>ジュウ</t>
    </rPh>
    <rPh sb="1" eb="2">
      <t>オトズ</t>
    </rPh>
    <rPh sb="3" eb="5">
      <t>ニッチュウ</t>
    </rPh>
    <phoneticPr fontId="31"/>
  </si>
  <si>
    <t>重訪Ⅱ日中４．０・２人</t>
    <rPh sb="0" eb="1">
      <t>ジュウ</t>
    </rPh>
    <rPh sb="1" eb="2">
      <t>オトズ</t>
    </rPh>
    <rPh sb="3" eb="5">
      <t>ニッチュウ</t>
    </rPh>
    <rPh sb="10" eb="11">
      <t>ヒト</t>
    </rPh>
    <phoneticPr fontId="31"/>
  </si>
  <si>
    <t>重訪Ⅱ日中４．０・同行</t>
  </si>
  <si>
    <t>重訪Ⅱ日中４．０・２人・同行</t>
  </si>
  <si>
    <t>重訪Ⅱ日中８．０</t>
    <rPh sb="0" eb="1">
      <t>ジュウ</t>
    </rPh>
    <rPh sb="1" eb="2">
      <t>オトズ</t>
    </rPh>
    <rPh sb="3" eb="4">
      <t>ヒ</t>
    </rPh>
    <rPh sb="4" eb="5">
      <t>ナカ</t>
    </rPh>
    <phoneticPr fontId="31"/>
  </si>
  <si>
    <t>重訪Ⅱ日中８．０・２人</t>
    <rPh sb="0" eb="1">
      <t>ジュウ</t>
    </rPh>
    <rPh sb="1" eb="2">
      <t>オトズ</t>
    </rPh>
    <rPh sb="3" eb="4">
      <t>ヒ</t>
    </rPh>
    <rPh sb="4" eb="5">
      <t>ナカ</t>
    </rPh>
    <rPh sb="10" eb="11">
      <t>ヒト</t>
    </rPh>
    <phoneticPr fontId="31"/>
  </si>
  <si>
    <t>重訪Ⅱ日中８．０・同行</t>
  </si>
  <si>
    <t>重訪Ⅱ日中８．０・２人・同行</t>
  </si>
  <si>
    <t>重訪Ⅱ日中１２．０</t>
    <rPh sb="0" eb="1">
      <t>ジュウ</t>
    </rPh>
    <rPh sb="1" eb="2">
      <t>オトズ</t>
    </rPh>
    <rPh sb="3" eb="4">
      <t>ヒ</t>
    </rPh>
    <rPh sb="4" eb="5">
      <t>ナカ</t>
    </rPh>
    <phoneticPr fontId="31"/>
  </si>
  <si>
    <t>重訪Ⅱ日中１２．０・２人</t>
    <rPh sb="0" eb="1">
      <t>ジュウ</t>
    </rPh>
    <rPh sb="1" eb="2">
      <t>オトズ</t>
    </rPh>
    <rPh sb="3" eb="4">
      <t>ヒ</t>
    </rPh>
    <rPh sb="4" eb="5">
      <t>ナカ</t>
    </rPh>
    <rPh sb="11" eb="12">
      <t>ヒト</t>
    </rPh>
    <phoneticPr fontId="31"/>
  </si>
  <si>
    <t>重訪Ⅱ日中１２．０・同行</t>
  </si>
  <si>
    <t>重訪Ⅱ日中１２．０・２人・同行</t>
  </si>
  <si>
    <t>重訪Ⅱ日中１６．０</t>
    <rPh sb="0" eb="1">
      <t>ジュウ</t>
    </rPh>
    <rPh sb="1" eb="2">
      <t>オトズ</t>
    </rPh>
    <rPh sb="3" eb="4">
      <t>ヒ</t>
    </rPh>
    <rPh sb="4" eb="5">
      <t>ナカ</t>
    </rPh>
    <phoneticPr fontId="31"/>
  </si>
  <si>
    <t>重訪Ⅱ日中１６．０・２人</t>
    <rPh sb="0" eb="1">
      <t>ジュウ</t>
    </rPh>
    <rPh sb="1" eb="2">
      <t>オトズ</t>
    </rPh>
    <rPh sb="3" eb="4">
      <t>ヒ</t>
    </rPh>
    <rPh sb="4" eb="5">
      <t>ナカ</t>
    </rPh>
    <rPh sb="11" eb="12">
      <t>ヒト</t>
    </rPh>
    <phoneticPr fontId="31"/>
  </si>
  <si>
    <t>重訪Ⅱ日中１６．０・同行</t>
  </si>
  <si>
    <t>重訪Ⅱ日中１６．０・２人・同行</t>
  </si>
  <si>
    <t>重訪Ⅱ日中２０．０</t>
    <rPh sb="0" eb="1">
      <t>ジュウ</t>
    </rPh>
    <rPh sb="1" eb="2">
      <t>オトズ</t>
    </rPh>
    <rPh sb="3" eb="4">
      <t>ヒ</t>
    </rPh>
    <rPh sb="4" eb="5">
      <t>ナカ</t>
    </rPh>
    <phoneticPr fontId="31"/>
  </si>
  <si>
    <t>重訪Ⅱ日中２０．０・２人</t>
    <rPh sb="0" eb="1">
      <t>ジュウ</t>
    </rPh>
    <rPh sb="1" eb="2">
      <t>オトズ</t>
    </rPh>
    <rPh sb="3" eb="4">
      <t>ヒ</t>
    </rPh>
    <rPh sb="4" eb="5">
      <t>ナカ</t>
    </rPh>
    <rPh sb="11" eb="12">
      <t>ヒト</t>
    </rPh>
    <phoneticPr fontId="31"/>
  </si>
  <si>
    <t>重訪Ⅱ日中２０．０・同行</t>
  </si>
  <si>
    <t>重訪Ⅱ日中２０．０・２人・同行</t>
  </si>
  <si>
    <t>重訪Ⅱ日中２４．０</t>
    <rPh sb="0" eb="1">
      <t>ジュウ</t>
    </rPh>
    <rPh sb="1" eb="2">
      <t>オトズ</t>
    </rPh>
    <rPh sb="3" eb="4">
      <t>ヒ</t>
    </rPh>
    <rPh sb="4" eb="5">
      <t>ナカ</t>
    </rPh>
    <phoneticPr fontId="31"/>
  </si>
  <si>
    <t>重訪Ⅱ日中２４．０・２人</t>
    <rPh sb="0" eb="1">
      <t>ジュウ</t>
    </rPh>
    <rPh sb="1" eb="2">
      <t>オトズ</t>
    </rPh>
    <rPh sb="3" eb="4">
      <t>ヒ</t>
    </rPh>
    <rPh sb="4" eb="5">
      <t>ナカ</t>
    </rPh>
    <rPh sb="11" eb="12">
      <t>ヒト</t>
    </rPh>
    <phoneticPr fontId="31"/>
  </si>
  <si>
    <t>重訪Ⅱ日中２４．０・同行</t>
  </si>
  <si>
    <t>重訪Ⅱ日中２４．０・２人・同行</t>
  </si>
  <si>
    <t>重訪Ⅲ日中１．０</t>
    <rPh sb="0" eb="1">
      <t>ジュウ</t>
    </rPh>
    <rPh sb="1" eb="2">
      <t>オトズ</t>
    </rPh>
    <rPh sb="3" eb="4">
      <t>ヒ</t>
    </rPh>
    <rPh sb="4" eb="5">
      <t>ナカ</t>
    </rPh>
    <phoneticPr fontId="31"/>
  </si>
  <si>
    <t>重度訪問介護サービス費</t>
    <rPh sb="0" eb="2">
      <t>ジュウド</t>
    </rPh>
    <rPh sb="2" eb="4">
      <t>ホウモン</t>
    </rPh>
    <rPh sb="4" eb="6">
      <t>カイゴ</t>
    </rPh>
    <rPh sb="10" eb="11">
      <t>ヒ</t>
    </rPh>
    <phoneticPr fontId="31"/>
  </si>
  <si>
    <t>重訪Ⅲ日中１．０・２人</t>
    <rPh sb="0" eb="1">
      <t>ジュウ</t>
    </rPh>
    <rPh sb="1" eb="2">
      <t>オトズ</t>
    </rPh>
    <rPh sb="3" eb="4">
      <t>ヒ</t>
    </rPh>
    <rPh sb="4" eb="5">
      <t>ナカ</t>
    </rPh>
    <rPh sb="10" eb="11">
      <t>ヒト</t>
    </rPh>
    <phoneticPr fontId="31"/>
  </si>
  <si>
    <t>重訪Ⅲ日中１．０・同行</t>
  </si>
  <si>
    <t>重訪Ⅲ日中１．０・２人・同行</t>
  </si>
  <si>
    <t>重訪Ⅲ日中１．５</t>
    <rPh sb="0" eb="1">
      <t>ジュウ</t>
    </rPh>
    <rPh sb="1" eb="2">
      <t>オトズ</t>
    </rPh>
    <rPh sb="3" eb="5">
      <t>ニッチュウ</t>
    </rPh>
    <phoneticPr fontId="31"/>
  </si>
  <si>
    <t>重訪Ⅲ日中１．５・２人</t>
    <rPh sb="0" eb="1">
      <t>ジュウ</t>
    </rPh>
    <rPh sb="1" eb="2">
      <t>オトズ</t>
    </rPh>
    <rPh sb="3" eb="5">
      <t>ニッチュウ</t>
    </rPh>
    <rPh sb="10" eb="11">
      <t>ヒト</t>
    </rPh>
    <phoneticPr fontId="31"/>
  </si>
  <si>
    <t>重訪Ⅲ日中１．５・同行</t>
  </si>
  <si>
    <t>重訪Ⅲ日中１．５・２人・同行</t>
  </si>
  <si>
    <t>重訪Ⅲ日中２．０</t>
    <rPh sb="0" eb="1">
      <t>ジュウ</t>
    </rPh>
    <rPh sb="1" eb="2">
      <t>オトズ</t>
    </rPh>
    <rPh sb="3" eb="5">
      <t>ニッチュウ</t>
    </rPh>
    <phoneticPr fontId="31"/>
  </si>
  <si>
    <t>重訪Ⅲ日中２．０・２人</t>
    <rPh sb="0" eb="1">
      <t>ジュウ</t>
    </rPh>
    <rPh sb="1" eb="2">
      <t>オトズ</t>
    </rPh>
    <rPh sb="3" eb="5">
      <t>ニッチュウ</t>
    </rPh>
    <rPh sb="10" eb="11">
      <t>ヒト</t>
    </rPh>
    <phoneticPr fontId="31"/>
  </si>
  <si>
    <t>重訪Ⅲ日中２．０・同行</t>
  </si>
  <si>
    <t>重訪Ⅲ日中２．０・２人・同行</t>
  </si>
  <si>
    <t>重訪Ⅲ日中２．５</t>
    <rPh sb="0" eb="1">
      <t>ジュウ</t>
    </rPh>
    <rPh sb="1" eb="2">
      <t>オトズ</t>
    </rPh>
    <rPh sb="3" eb="5">
      <t>ニッチュウ</t>
    </rPh>
    <phoneticPr fontId="31"/>
  </si>
  <si>
    <t>重訪Ⅲ日中２．５・２人</t>
    <rPh sb="0" eb="1">
      <t>ジュウ</t>
    </rPh>
    <rPh sb="1" eb="2">
      <t>オトズ</t>
    </rPh>
    <rPh sb="3" eb="5">
      <t>ニッチュウ</t>
    </rPh>
    <rPh sb="10" eb="11">
      <t>ヒト</t>
    </rPh>
    <phoneticPr fontId="31"/>
  </si>
  <si>
    <t>重訪Ⅲ日中２．５・同行</t>
  </si>
  <si>
    <t>重訪Ⅲ日中２．５・２人・同行</t>
  </si>
  <si>
    <t>重訪Ⅲ日中３．０</t>
    <rPh sb="0" eb="1">
      <t>ジュウ</t>
    </rPh>
    <rPh sb="1" eb="2">
      <t>オトズ</t>
    </rPh>
    <rPh sb="3" eb="5">
      <t>ニッチュウ</t>
    </rPh>
    <phoneticPr fontId="31"/>
  </si>
  <si>
    <t>重訪Ⅲ日中３．０・２人</t>
    <rPh sb="0" eb="1">
      <t>ジュウ</t>
    </rPh>
    <rPh sb="1" eb="2">
      <t>オトズ</t>
    </rPh>
    <rPh sb="3" eb="5">
      <t>ニッチュウ</t>
    </rPh>
    <rPh sb="10" eb="11">
      <t>ヒト</t>
    </rPh>
    <phoneticPr fontId="31"/>
  </si>
  <si>
    <t>重訪Ⅲ日中３．０・同行</t>
  </si>
  <si>
    <t>重訪Ⅲ日中３．０・２人・同行</t>
  </si>
  <si>
    <t>重訪Ⅲ日中３．５</t>
    <rPh sb="0" eb="1">
      <t>ジュウ</t>
    </rPh>
    <rPh sb="1" eb="2">
      <t>オトズ</t>
    </rPh>
    <rPh sb="3" eb="5">
      <t>ニッチュウ</t>
    </rPh>
    <phoneticPr fontId="31"/>
  </si>
  <si>
    <t>重訪Ⅲ日中３．５・２人</t>
    <rPh sb="0" eb="1">
      <t>ジュウ</t>
    </rPh>
    <rPh sb="1" eb="2">
      <t>オトズ</t>
    </rPh>
    <rPh sb="3" eb="5">
      <t>ニッチュウ</t>
    </rPh>
    <rPh sb="10" eb="11">
      <t>ヒト</t>
    </rPh>
    <phoneticPr fontId="31"/>
  </si>
  <si>
    <t>重訪Ⅲ日中３．５・同行</t>
  </si>
  <si>
    <t>重訪Ⅲ日中３．５・２人・同行</t>
  </si>
  <si>
    <t>重訪Ⅲ日中４．０</t>
    <rPh sb="0" eb="1">
      <t>ジュウ</t>
    </rPh>
    <rPh sb="1" eb="2">
      <t>オトズ</t>
    </rPh>
    <rPh sb="3" eb="5">
      <t>ニッチュウ</t>
    </rPh>
    <phoneticPr fontId="31"/>
  </si>
  <si>
    <t>重訪Ⅲ日中４．０・２人</t>
    <rPh sb="0" eb="1">
      <t>ジュウ</t>
    </rPh>
    <rPh sb="1" eb="2">
      <t>オトズ</t>
    </rPh>
    <rPh sb="3" eb="5">
      <t>ニッチュウ</t>
    </rPh>
    <rPh sb="10" eb="11">
      <t>ヒト</t>
    </rPh>
    <phoneticPr fontId="31"/>
  </si>
  <si>
    <t>重訪Ⅲ日中４．０・同行</t>
  </si>
  <si>
    <t>重訪Ⅲ日中４．０・２人・同行</t>
  </si>
  <si>
    <t>重訪Ⅲ日中８．０</t>
    <rPh sb="0" eb="1">
      <t>ジュウ</t>
    </rPh>
    <rPh sb="1" eb="2">
      <t>オトズ</t>
    </rPh>
    <rPh sb="3" eb="4">
      <t>ヒ</t>
    </rPh>
    <rPh sb="4" eb="5">
      <t>ナカ</t>
    </rPh>
    <phoneticPr fontId="31"/>
  </si>
  <si>
    <t>重訪Ⅲ日中８．０・２人</t>
    <rPh sb="0" eb="1">
      <t>ジュウ</t>
    </rPh>
    <rPh sb="1" eb="2">
      <t>オトズ</t>
    </rPh>
    <rPh sb="3" eb="4">
      <t>ヒ</t>
    </rPh>
    <rPh sb="4" eb="5">
      <t>ナカ</t>
    </rPh>
    <rPh sb="10" eb="11">
      <t>ヒト</t>
    </rPh>
    <phoneticPr fontId="31"/>
  </si>
  <si>
    <t>重訪Ⅲ日中８．０・同行</t>
  </si>
  <si>
    <t>重訪Ⅲ日中８．０・２人・同行</t>
  </si>
  <si>
    <t>重訪Ⅲ日中１２．０</t>
    <rPh sb="0" eb="1">
      <t>ジュウ</t>
    </rPh>
    <rPh sb="1" eb="2">
      <t>オトズ</t>
    </rPh>
    <rPh sb="3" eb="4">
      <t>ヒ</t>
    </rPh>
    <rPh sb="4" eb="5">
      <t>ナカ</t>
    </rPh>
    <phoneticPr fontId="31"/>
  </si>
  <si>
    <t>重訪Ⅲ日中１２．０・２人</t>
    <rPh sb="0" eb="1">
      <t>ジュウ</t>
    </rPh>
    <rPh sb="1" eb="2">
      <t>オトズ</t>
    </rPh>
    <rPh sb="3" eb="4">
      <t>ヒ</t>
    </rPh>
    <rPh sb="4" eb="5">
      <t>ナカ</t>
    </rPh>
    <rPh sb="11" eb="12">
      <t>ヒト</t>
    </rPh>
    <phoneticPr fontId="31"/>
  </si>
  <si>
    <t>重訪Ⅲ日中１２．０・同行</t>
  </si>
  <si>
    <t>重訪Ⅲ日中１２．０・２人・同行</t>
  </si>
  <si>
    <t>重訪Ⅲ日中１６．０</t>
    <rPh sb="0" eb="1">
      <t>ジュウ</t>
    </rPh>
    <rPh sb="1" eb="2">
      <t>オトズ</t>
    </rPh>
    <rPh sb="3" eb="4">
      <t>ヒ</t>
    </rPh>
    <rPh sb="4" eb="5">
      <t>ナカ</t>
    </rPh>
    <phoneticPr fontId="31"/>
  </si>
  <si>
    <t>重訪Ⅲ日中１６．０・２人</t>
    <rPh sb="0" eb="1">
      <t>ジュウ</t>
    </rPh>
    <rPh sb="1" eb="2">
      <t>オトズ</t>
    </rPh>
    <rPh sb="3" eb="4">
      <t>ヒ</t>
    </rPh>
    <rPh sb="4" eb="5">
      <t>ナカ</t>
    </rPh>
    <rPh sb="11" eb="12">
      <t>ヒト</t>
    </rPh>
    <phoneticPr fontId="31"/>
  </si>
  <si>
    <t>重訪Ⅲ日中１６．０・同行</t>
  </si>
  <si>
    <t>重訪Ⅲ日中１６．０・２人・同行</t>
  </si>
  <si>
    <t>重訪Ⅲ日中２０．０</t>
    <rPh sb="0" eb="1">
      <t>ジュウ</t>
    </rPh>
    <rPh sb="1" eb="2">
      <t>オトズ</t>
    </rPh>
    <rPh sb="3" eb="4">
      <t>ヒ</t>
    </rPh>
    <rPh sb="4" eb="5">
      <t>ナカ</t>
    </rPh>
    <phoneticPr fontId="31"/>
  </si>
  <si>
    <t>重訪Ⅲ日中２０．０・２人</t>
    <rPh sb="0" eb="1">
      <t>ジュウ</t>
    </rPh>
    <rPh sb="1" eb="2">
      <t>オトズ</t>
    </rPh>
    <rPh sb="3" eb="4">
      <t>ヒ</t>
    </rPh>
    <rPh sb="4" eb="5">
      <t>ナカ</t>
    </rPh>
    <rPh sb="11" eb="12">
      <t>ヒト</t>
    </rPh>
    <phoneticPr fontId="31"/>
  </si>
  <si>
    <t>重訪Ⅲ日中２０．０・同行</t>
  </si>
  <si>
    <t>重訪Ⅲ日中２０．０・２人・同行</t>
  </si>
  <si>
    <t>重訪Ⅲ日中２４．０</t>
    <rPh sb="0" eb="1">
      <t>ジュウ</t>
    </rPh>
    <rPh sb="1" eb="2">
      <t>オトズ</t>
    </rPh>
    <rPh sb="3" eb="4">
      <t>ヒ</t>
    </rPh>
    <rPh sb="4" eb="5">
      <t>ナカ</t>
    </rPh>
    <phoneticPr fontId="31"/>
  </si>
  <si>
    <t>重訪Ⅲ日中２４．０・２人</t>
    <rPh sb="0" eb="1">
      <t>ジュウ</t>
    </rPh>
    <rPh sb="1" eb="2">
      <t>オトズ</t>
    </rPh>
    <rPh sb="3" eb="4">
      <t>ヒ</t>
    </rPh>
    <rPh sb="4" eb="5">
      <t>ナカ</t>
    </rPh>
    <rPh sb="11" eb="12">
      <t>ヒト</t>
    </rPh>
    <phoneticPr fontId="31"/>
  </si>
  <si>
    <t>重訪Ⅲ日中２４．０・同行</t>
  </si>
  <si>
    <t>重訪Ⅲ日中２４．０・２人・同行</t>
  </si>
  <si>
    <t>重訪移動介護加算１．０</t>
    <rPh sb="0" eb="1">
      <t>ジュウ</t>
    </rPh>
    <rPh sb="1" eb="2">
      <t>オトズ</t>
    </rPh>
    <rPh sb="2" eb="4">
      <t>イドウ</t>
    </rPh>
    <rPh sb="4" eb="6">
      <t>カイゴ</t>
    </rPh>
    <rPh sb="6" eb="8">
      <t>カサン</t>
    </rPh>
    <phoneticPr fontId="31"/>
  </si>
  <si>
    <t>移動介護加算</t>
    <rPh sb="0" eb="2">
      <t>イドウ</t>
    </rPh>
    <rPh sb="2" eb="4">
      <t>カイゴ</t>
    </rPh>
    <rPh sb="4" eb="6">
      <t>カサン</t>
    </rPh>
    <phoneticPr fontId="31"/>
  </si>
  <si>
    <t>イ １時間未満</t>
    <rPh sb="3" eb="5">
      <t>ジカン</t>
    </rPh>
    <rPh sb="5" eb="7">
      <t>ミマン</t>
    </rPh>
    <phoneticPr fontId="31"/>
  </si>
  <si>
    <t>重訪移動介護加算１．０・２人</t>
    <rPh sb="0" eb="1">
      <t>ジュウ</t>
    </rPh>
    <rPh sb="1" eb="2">
      <t>オトズ</t>
    </rPh>
    <rPh sb="2" eb="4">
      <t>イドウ</t>
    </rPh>
    <rPh sb="4" eb="6">
      <t>カイゴ</t>
    </rPh>
    <rPh sb="6" eb="8">
      <t>カサン</t>
    </rPh>
    <rPh sb="13" eb="14">
      <t>ニン</t>
    </rPh>
    <phoneticPr fontId="31"/>
  </si>
  <si>
    <t>重訪移動介護加算１．０・同行</t>
    <phoneticPr fontId="1"/>
  </si>
  <si>
    <t>重訪移動介護加算１．０・２人・同行</t>
    <phoneticPr fontId="1"/>
  </si>
  <si>
    <t>重訪移動介護加算１．５</t>
    <rPh sb="0" eb="1">
      <t>ジュウ</t>
    </rPh>
    <rPh sb="1" eb="2">
      <t>オトズ</t>
    </rPh>
    <rPh sb="2" eb="4">
      <t>イドウ</t>
    </rPh>
    <rPh sb="4" eb="6">
      <t>カイゴ</t>
    </rPh>
    <rPh sb="6" eb="8">
      <t>カサン</t>
    </rPh>
    <phoneticPr fontId="31"/>
  </si>
  <si>
    <t>ロ １時間以上１時間３０分未満</t>
    <rPh sb="3" eb="5">
      <t>ジカン</t>
    </rPh>
    <rPh sb="5" eb="7">
      <t>イジョウ</t>
    </rPh>
    <rPh sb="8" eb="10">
      <t>ジカン</t>
    </rPh>
    <rPh sb="12" eb="13">
      <t>プン</t>
    </rPh>
    <rPh sb="13" eb="15">
      <t>ミマン</t>
    </rPh>
    <phoneticPr fontId="31"/>
  </si>
  <si>
    <t>重訪移動介護加算１．５・２人</t>
    <rPh sb="0" eb="1">
      <t>ジュウ</t>
    </rPh>
    <rPh sb="1" eb="2">
      <t>オトズ</t>
    </rPh>
    <rPh sb="2" eb="4">
      <t>イドウ</t>
    </rPh>
    <rPh sb="4" eb="6">
      <t>カイゴ</t>
    </rPh>
    <rPh sb="6" eb="8">
      <t>カサン</t>
    </rPh>
    <rPh sb="13" eb="14">
      <t>ヒト</t>
    </rPh>
    <phoneticPr fontId="31"/>
  </si>
  <si>
    <t>重訪移動介護加算１．５・同行</t>
    <phoneticPr fontId="1"/>
  </si>
  <si>
    <t>重訪移動介護加算１．５・２人・同行</t>
    <phoneticPr fontId="1"/>
  </si>
  <si>
    <t>重訪移動介護加算２．０</t>
    <rPh sb="0" eb="1">
      <t>ジュウ</t>
    </rPh>
    <rPh sb="1" eb="2">
      <t>オトズ</t>
    </rPh>
    <rPh sb="2" eb="4">
      <t>イドウ</t>
    </rPh>
    <rPh sb="4" eb="6">
      <t>カイゴ</t>
    </rPh>
    <rPh sb="6" eb="8">
      <t>カサン</t>
    </rPh>
    <phoneticPr fontId="31"/>
  </si>
  <si>
    <t>ハ １時間３０分以上２時間未満</t>
    <rPh sb="3" eb="5">
      <t>ジカン</t>
    </rPh>
    <rPh sb="7" eb="8">
      <t>プン</t>
    </rPh>
    <rPh sb="8" eb="10">
      <t>イジョウ</t>
    </rPh>
    <rPh sb="11" eb="13">
      <t>ジカン</t>
    </rPh>
    <rPh sb="13" eb="15">
      <t>ミマン</t>
    </rPh>
    <phoneticPr fontId="31"/>
  </si>
  <si>
    <t>重訪移動介護加算２．０・２人</t>
    <rPh sb="0" eb="1">
      <t>ジュウ</t>
    </rPh>
    <rPh sb="1" eb="2">
      <t>オトズ</t>
    </rPh>
    <rPh sb="2" eb="4">
      <t>イドウ</t>
    </rPh>
    <rPh sb="4" eb="6">
      <t>カイゴ</t>
    </rPh>
    <rPh sb="6" eb="8">
      <t>カサン</t>
    </rPh>
    <rPh sb="13" eb="14">
      <t>ヒト</t>
    </rPh>
    <phoneticPr fontId="31"/>
  </si>
  <si>
    <t>重訪移動介護加算２．０・同行</t>
    <phoneticPr fontId="1"/>
  </si>
  <si>
    <t>重訪移動介護加算２．０・２人・同行</t>
    <phoneticPr fontId="1"/>
  </si>
  <si>
    <t>重訪移動介護加算２．５</t>
    <rPh sb="0" eb="1">
      <t>ジュウ</t>
    </rPh>
    <rPh sb="1" eb="2">
      <t>オトズ</t>
    </rPh>
    <rPh sb="2" eb="4">
      <t>イドウ</t>
    </rPh>
    <rPh sb="4" eb="6">
      <t>カイゴ</t>
    </rPh>
    <rPh sb="6" eb="8">
      <t>カサン</t>
    </rPh>
    <phoneticPr fontId="31"/>
  </si>
  <si>
    <t>二 ２時間以上２時間３０分未満</t>
    <rPh sb="0" eb="1">
      <t>ニ</t>
    </rPh>
    <rPh sb="3" eb="5">
      <t>ジカン</t>
    </rPh>
    <rPh sb="5" eb="7">
      <t>イジョウ</t>
    </rPh>
    <rPh sb="8" eb="10">
      <t>ジカン</t>
    </rPh>
    <rPh sb="12" eb="13">
      <t>プン</t>
    </rPh>
    <rPh sb="13" eb="15">
      <t>ミマン</t>
    </rPh>
    <phoneticPr fontId="31"/>
  </si>
  <si>
    <t>重訪移動介護加算２．５・２人</t>
    <rPh sb="0" eb="1">
      <t>ジュウ</t>
    </rPh>
    <rPh sb="1" eb="2">
      <t>オトズ</t>
    </rPh>
    <rPh sb="2" eb="4">
      <t>イドウ</t>
    </rPh>
    <rPh sb="4" eb="6">
      <t>カイゴ</t>
    </rPh>
    <rPh sb="6" eb="8">
      <t>カサン</t>
    </rPh>
    <rPh sb="13" eb="14">
      <t>ヒト</t>
    </rPh>
    <phoneticPr fontId="31"/>
  </si>
  <si>
    <t>重訪移動介護加算２．５・同行</t>
    <phoneticPr fontId="1"/>
  </si>
  <si>
    <t>重訪移動介護加算２．５・２人・同行</t>
    <phoneticPr fontId="1"/>
  </si>
  <si>
    <t>重訪移動介護加算３．０</t>
    <rPh sb="0" eb="1">
      <t>ジュウ</t>
    </rPh>
    <rPh sb="1" eb="2">
      <t>オトズ</t>
    </rPh>
    <rPh sb="2" eb="4">
      <t>イドウ</t>
    </rPh>
    <rPh sb="4" eb="6">
      <t>カイゴ</t>
    </rPh>
    <rPh sb="6" eb="8">
      <t>カサン</t>
    </rPh>
    <phoneticPr fontId="31"/>
  </si>
  <si>
    <t>ホ ２時間３０分以上３時間未満</t>
    <rPh sb="3" eb="5">
      <t>ジカン</t>
    </rPh>
    <rPh sb="7" eb="8">
      <t>プン</t>
    </rPh>
    <rPh sb="8" eb="10">
      <t>イジョウ</t>
    </rPh>
    <rPh sb="11" eb="13">
      <t>ジカン</t>
    </rPh>
    <rPh sb="13" eb="15">
      <t>ミマン</t>
    </rPh>
    <phoneticPr fontId="31"/>
  </si>
  <si>
    <t>重訪移動介護加算３．０・２人</t>
    <rPh sb="0" eb="1">
      <t>ジュウ</t>
    </rPh>
    <rPh sb="1" eb="2">
      <t>オトズ</t>
    </rPh>
    <rPh sb="2" eb="4">
      <t>イドウ</t>
    </rPh>
    <rPh sb="4" eb="6">
      <t>カイゴ</t>
    </rPh>
    <rPh sb="6" eb="8">
      <t>カサン</t>
    </rPh>
    <rPh sb="13" eb="14">
      <t>ヒト</t>
    </rPh>
    <phoneticPr fontId="31"/>
  </si>
  <si>
    <t>重訪移動介護加算３．０・同行</t>
    <phoneticPr fontId="1"/>
  </si>
  <si>
    <t>重訪移動介護加算３．０・２人・同行</t>
    <phoneticPr fontId="1"/>
  </si>
  <si>
    <t>重訪移動介護加算４．０</t>
    <rPh sb="0" eb="1">
      <t>ジュウ</t>
    </rPh>
    <rPh sb="1" eb="2">
      <t>オトズ</t>
    </rPh>
    <rPh sb="2" eb="4">
      <t>イドウ</t>
    </rPh>
    <rPh sb="4" eb="6">
      <t>カイゴ</t>
    </rPh>
    <rPh sb="6" eb="8">
      <t>カサン</t>
    </rPh>
    <phoneticPr fontId="31"/>
  </si>
  <si>
    <t>ヘ ３時間以上</t>
    <rPh sb="3" eb="5">
      <t>ジカン</t>
    </rPh>
    <rPh sb="5" eb="7">
      <t>イジョウ</t>
    </rPh>
    <phoneticPr fontId="31"/>
  </si>
  <si>
    <t>重訪移動介護加算４．０・２人</t>
    <rPh sb="0" eb="1">
      <t>ジュウ</t>
    </rPh>
    <rPh sb="1" eb="2">
      <t>オトズ</t>
    </rPh>
    <rPh sb="2" eb="4">
      <t>イドウ</t>
    </rPh>
    <rPh sb="4" eb="6">
      <t>カイゴ</t>
    </rPh>
    <rPh sb="6" eb="8">
      <t>カサン</t>
    </rPh>
    <rPh sb="13" eb="14">
      <t>ヒト</t>
    </rPh>
    <phoneticPr fontId="31"/>
  </si>
  <si>
    <t>重訪移動介護加算４．０・同行</t>
    <phoneticPr fontId="1"/>
  </si>
  <si>
    <t>重訪移動介護加算４．０・２人・同行</t>
    <phoneticPr fontId="1"/>
  </si>
  <si>
    <t>令和３年９月３０日までの上乗せ分（重訪）</t>
    <phoneticPr fontId="1"/>
  </si>
  <si>
    <t>単位加算</t>
    <rPh sb="0" eb="2">
      <t>タンイ</t>
    </rPh>
    <phoneticPr fontId="31"/>
  </si>
  <si>
    <t>１月につき</t>
    <rPh sb="1" eb="2">
      <t>ツキ</t>
    </rPh>
    <phoneticPr fontId="1"/>
  </si>
  <si>
    <t>重訪身体拘束廃止未実施減算</t>
    <phoneticPr fontId="1"/>
  </si>
  <si>
    <t>身体拘束廃止未実施減算</t>
  </si>
  <si>
    <t>注　令和５年４月から適用</t>
    <phoneticPr fontId="1"/>
  </si>
  <si>
    <t>単位減算</t>
    <rPh sb="0" eb="2">
      <t>タンイ</t>
    </rPh>
    <rPh sb="2" eb="4">
      <t>ゲンサン</t>
    </rPh>
    <phoneticPr fontId="31"/>
  </si>
  <si>
    <t>１日につき</t>
    <phoneticPr fontId="31"/>
  </si>
  <si>
    <t>重訪特定事業所加算Ⅰ</t>
    <rPh sb="2" eb="4">
      <t>トクテイ</t>
    </rPh>
    <rPh sb="4" eb="7">
      <t>ジギョウショ</t>
    </rPh>
    <rPh sb="7" eb="9">
      <t>カサン</t>
    </rPh>
    <phoneticPr fontId="31"/>
  </si>
  <si>
    <t>１回につき</t>
    <phoneticPr fontId="31"/>
  </si>
  <si>
    <t>重訪特定事業所加算Ⅱ</t>
    <rPh sb="2" eb="4">
      <t>トクテイ</t>
    </rPh>
    <rPh sb="4" eb="7">
      <t>ジギョウショ</t>
    </rPh>
    <rPh sb="7" eb="9">
      <t>カサン</t>
    </rPh>
    <phoneticPr fontId="31"/>
  </si>
  <si>
    <t>重訪特定事業所加算Ⅲ</t>
    <rPh sb="2" eb="4">
      <t>トクテイ</t>
    </rPh>
    <rPh sb="4" eb="7">
      <t>ジギョウショ</t>
    </rPh>
    <rPh sb="7" eb="9">
      <t>カサン</t>
    </rPh>
    <phoneticPr fontId="31"/>
  </si>
  <si>
    <t>重訪特地加算</t>
    <phoneticPr fontId="31"/>
  </si>
  <si>
    <t>重訪緊急時対応加算</t>
    <phoneticPr fontId="31"/>
  </si>
  <si>
    <t>月２回限度</t>
    <rPh sb="0" eb="1">
      <t>ツキ</t>
    </rPh>
    <rPh sb="2" eb="3">
      <t>カイ</t>
    </rPh>
    <rPh sb="3" eb="5">
      <t>ゲンド</t>
    </rPh>
    <phoneticPr fontId="31"/>
  </si>
  <si>
    <t>重訪緊急時対応加算（地域生活拠点）</t>
    <phoneticPr fontId="1"/>
  </si>
  <si>
    <t>重訪喀痰吸引等支援体制加算</t>
    <phoneticPr fontId="31"/>
  </si>
  <si>
    <t>重訪初回加算</t>
    <rPh sb="2" eb="4">
      <t>ショカイ</t>
    </rPh>
    <rPh sb="4" eb="6">
      <t>カサン</t>
    </rPh>
    <phoneticPr fontId="31"/>
  </si>
  <si>
    <t>初回加算</t>
    <rPh sb="0" eb="2">
      <t>ショカイ</t>
    </rPh>
    <rPh sb="2" eb="4">
      <t>カサン</t>
    </rPh>
    <phoneticPr fontId="31"/>
  </si>
  <si>
    <t>重訪上限額管理加算</t>
    <rPh sb="0" eb="1">
      <t>ジュウ</t>
    </rPh>
    <rPh sb="1" eb="2">
      <t>オトズ</t>
    </rPh>
    <phoneticPr fontId="31"/>
  </si>
  <si>
    <t>重訪行動障害支援連携加算</t>
    <rPh sb="0" eb="1">
      <t>ジュウ</t>
    </rPh>
    <rPh sb="1" eb="2">
      <t>オトズ</t>
    </rPh>
    <phoneticPr fontId="31"/>
  </si>
  <si>
    <t>行動障害支援連携加算（30日の間、1回を限度）</t>
    <rPh sb="0" eb="2">
      <t>コウドウ</t>
    </rPh>
    <rPh sb="2" eb="4">
      <t>ショウガイ</t>
    </rPh>
    <rPh sb="4" eb="6">
      <t>シエン</t>
    </rPh>
    <rPh sb="6" eb="8">
      <t>レンケイ</t>
    </rPh>
    <rPh sb="8" eb="10">
      <t>カサン</t>
    </rPh>
    <phoneticPr fontId="31"/>
  </si>
  <si>
    <t>重訪移動介護緊急時支援加算</t>
    <phoneticPr fontId="1"/>
  </si>
  <si>
    <t>移動介護緊急時支援加算</t>
    <phoneticPr fontId="1"/>
  </si>
  <si>
    <t>重訪処遇改善加算Ⅰ</t>
    <rPh sb="2" eb="4">
      <t>ショグウ</t>
    </rPh>
    <rPh sb="4" eb="6">
      <t>カイゼン</t>
    </rPh>
    <rPh sb="6" eb="8">
      <t>カサン</t>
    </rPh>
    <phoneticPr fontId="31"/>
  </si>
  <si>
    <t>重訪処遇改善加算Ⅱ</t>
    <rPh sb="2" eb="4">
      <t>ショグウ</t>
    </rPh>
    <rPh sb="4" eb="6">
      <t>カイゼン</t>
    </rPh>
    <rPh sb="6" eb="8">
      <t>カサン</t>
    </rPh>
    <phoneticPr fontId="31"/>
  </si>
  <si>
    <t>重訪処遇改善加算Ⅲ</t>
    <rPh sb="2" eb="4">
      <t>ショグウ</t>
    </rPh>
    <rPh sb="4" eb="6">
      <t>カイゼン</t>
    </rPh>
    <rPh sb="6" eb="8">
      <t>カサン</t>
    </rPh>
    <phoneticPr fontId="31"/>
  </si>
  <si>
    <t>重訪処遇改善加算Ⅳ</t>
    <rPh sb="2" eb="4">
      <t>ショグウ</t>
    </rPh>
    <rPh sb="4" eb="6">
      <t>カイゼン</t>
    </rPh>
    <rPh sb="6" eb="8">
      <t>カサン</t>
    </rPh>
    <phoneticPr fontId="31"/>
  </si>
  <si>
    <t>重訪処遇改善加算Ⅴ</t>
    <rPh sb="2" eb="4">
      <t>ショグウ</t>
    </rPh>
    <rPh sb="4" eb="6">
      <t>カイゼン</t>
    </rPh>
    <rPh sb="6" eb="8">
      <t>カサン</t>
    </rPh>
    <phoneticPr fontId="31"/>
  </si>
  <si>
    <t>重訪処遇改善特別加算</t>
  </si>
  <si>
    <t>重訪特定処遇改善加算Ⅰ</t>
    <rPh sb="2" eb="4">
      <t>トクテイ</t>
    </rPh>
    <rPh sb="4" eb="6">
      <t>ショグウ</t>
    </rPh>
    <rPh sb="6" eb="8">
      <t>カイゼン</t>
    </rPh>
    <rPh sb="8" eb="10">
      <t>カサン</t>
    </rPh>
    <phoneticPr fontId="31"/>
  </si>
  <si>
    <t>福祉・介護職員等特定処遇改善加算</t>
    <phoneticPr fontId="1"/>
  </si>
  <si>
    <t>イ　福祉・介護職員等特定処遇改善加算（Ⅰ）</t>
    <rPh sb="9" eb="10">
      <t>トウ</t>
    </rPh>
    <rPh sb="10" eb="12">
      <t>トクテイ</t>
    </rPh>
    <phoneticPr fontId="31"/>
  </si>
  <si>
    <t>重訪特定処遇改善加算Ⅱ</t>
    <rPh sb="2" eb="4">
      <t>トクテイ</t>
    </rPh>
    <rPh sb="4" eb="6">
      <t>ショグウ</t>
    </rPh>
    <rPh sb="6" eb="8">
      <t>カイゼン</t>
    </rPh>
    <rPh sb="8" eb="10">
      <t>カサン</t>
    </rPh>
    <phoneticPr fontId="31"/>
  </si>
  <si>
    <t>ロ　福祉・介護職員等特定処遇改善加算（Ⅱ）</t>
    <phoneticPr fontId="31"/>
  </si>
  <si>
    <t>重訪ベースアップ等支援加算</t>
    <rPh sb="8" eb="9">
      <t>ナド</t>
    </rPh>
    <rPh sb="9" eb="11">
      <t>シエン</t>
    </rPh>
    <rPh sb="11" eb="13">
      <t>カサン</t>
    </rPh>
    <phoneticPr fontId="31"/>
  </si>
  <si>
    <t>イ　ロ以外に利用した場合（早朝のみ）</t>
  </si>
  <si>
    <t>重訪Ⅰ早朝１．０</t>
  </si>
  <si>
    <t>重訪Ⅰ早朝１．０・２人</t>
  </si>
  <si>
    <t>重訪Ⅰ早朝１．０・同行</t>
  </si>
  <si>
    <t>重訪Ⅰ早朝１．０・２人・同行</t>
  </si>
  <si>
    <t>重訪Ⅰ早朝１．５</t>
  </si>
  <si>
    <t>重訪Ⅰ早朝１．５・２人</t>
  </si>
  <si>
    <t>重訪Ⅰ早朝１．５・同行</t>
  </si>
  <si>
    <t>重訪Ⅰ早朝１．５・２人・同行</t>
  </si>
  <si>
    <t>重訪Ⅰ早朝２．０</t>
  </si>
  <si>
    <t>重訪Ⅰ早朝２．０・２人</t>
  </si>
  <si>
    <t>重訪Ⅰ早朝２．０・同行</t>
  </si>
  <si>
    <t>重訪Ⅰ早朝２．０・２人・同行</t>
  </si>
  <si>
    <t>重訪Ⅰ早朝２．５</t>
  </si>
  <si>
    <t>重訪Ⅰ早朝２．５・２人</t>
  </si>
  <si>
    <t>重訪Ⅰ早朝２．５・同行</t>
  </si>
  <si>
    <t>重訪Ⅰ早朝２．５・２人・同行</t>
  </si>
  <si>
    <t>重訪Ⅰ早朝３．０</t>
  </si>
  <si>
    <t>重訪Ⅰ早朝３．０・２人</t>
  </si>
  <si>
    <t>重訪Ⅰ早朝３．０・同行</t>
  </si>
  <si>
    <t>重訪Ⅰ早朝３．０・２人・同行</t>
  </si>
  <si>
    <t>重訪Ⅰ早朝３．５</t>
  </si>
  <si>
    <t>重訪Ⅰ早朝３．５・２人</t>
  </si>
  <si>
    <t>重訪Ⅰ早朝３．５・同行</t>
  </si>
  <si>
    <t>重訪Ⅰ早朝３．５・２人・同行</t>
  </si>
  <si>
    <t>重訪Ⅰ早朝４．０</t>
  </si>
  <si>
    <t>重訪Ⅰ早朝４．０・２人</t>
  </si>
  <si>
    <t>重訪Ⅰ早朝４．０・同行</t>
  </si>
  <si>
    <t>重訪Ⅰ早朝４．０・２人・同行</t>
  </si>
  <si>
    <t>重訪Ⅰ早朝８．０</t>
  </si>
  <si>
    <t>重訪Ⅰ早朝８．０・２人</t>
  </si>
  <si>
    <t>重訪Ⅰ早朝８．０・同行</t>
  </si>
  <si>
    <t>重訪Ⅰ早朝８．０・２人・同行</t>
  </si>
  <si>
    <t>重訪Ⅰ早朝１２．０</t>
  </si>
  <si>
    <t>重訪Ⅰ早朝１２．０・２人</t>
  </si>
  <si>
    <t>重訪Ⅰ早朝１２．０・同行</t>
  </si>
  <si>
    <t>重訪Ⅰ早朝１２．０・２人・同行</t>
  </si>
  <si>
    <t>重訪Ⅰ早朝１６．０</t>
  </si>
  <si>
    <t>重訪Ⅰ早朝１６．０・２人</t>
  </si>
  <si>
    <t>重訪Ⅰ早朝１６．０・同行</t>
  </si>
  <si>
    <t>重訪Ⅰ早朝１６．０・２人・同行</t>
  </si>
  <si>
    <t>重訪Ⅰ早朝２０．０</t>
  </si>
  <si>
    <t>重訪Ⅰ早朝２０．０・２人</t>
  </si>
  <si>
    <t>重訪Ⅰ早朝２０．０・同行</t>
  </si>
  <si>
    <t>重訪Ⅰ早朝２０．０・２人・同行</t>
  </si>
  <si>
    <t>重訪Ⅰ早朝２４．０</t>
  </si>
  <si>
    <t>重訪Ⅰ早朝２４．０・２人</t>
  </si>
  <si>
    <t>重訪Ⅰ早朝２４．０・同行</t>
  </si>
  <si>
    <t>重訪Ⅰ早朝２４．０・２人・同行</t>
  </si>
  <si>
    <t>重訪Ⅱ早朝１．０</t>
  </si>
  <si>
    <t>重訪Ⅱ早朝１．０・２人</t>
  </si>
  <si>
    <t>重訪Ⅱ早朝１．０・同行</t>
  </si>
  <si>
    <t>重訪Ⅱ早朝１．０・２人・同行</t>
  </si>
  <si>
    <t>重訪Ⅱ早朝１．５</t>
  </si>
  <si>
    <t>重訪Ⅱ早朝１．５・２人</t>
  </si>
  <si>
    <t>重訪Ⅱ早朝１．５・同行</t>
  </si>
  <si>
    <t>重訪Ⅱ早朝１．５・２人・同行</t>
  </si>
  <si>
    <t>重訪Ⅱ早朝２．０</t>
  </si>
  <si>
    <t>重訪Ⅱ早朝２．０・２人</t>
  </si>
  <si>
    <t>重訪Ⅱ早朝２．０・同行</t>
  </si>
  <si>
    <t>重訪Ⅱ早朝２．０・２人・同行</t>
  </si>
  <si>
    <t>重訪Ⅱ早朝２．５</t>
  </si>
  <si>
    <t>重訪Ⅱ早朝２．５・２人</t>
  </si>
  <si>
    <t>重訪Ⅱ早朝２．５・同行</t>
  </si>
  <si>
    <t>重訪Ⅱ早朝２．５・２人・同行</t>
  </si>
  <si>
    <t>重訪Ⅱ早朝３．０</t>
  </si>
  <si>
    <t>重訪Ⅱ早朝３．０・２人</t>
  </si>
  <si>
    <t>重訪Ⅱ早朝３．０・同行</t>
  </si>
  <si>
    <t>重訪Ⅱ早朝３．０・２人・同行</t>
  </si>
  <si>
    <t>重訪Ⅱ早朝３．５</t>
  </si>
  <si>
    <t>重訪Ⅱ早朝３．５・２人</t>
  </si>
  <si>
    <t>重訪Ⅱ早朝３．５・同行</t>
  </si>
  <si>
    <t>重訪Ⅱ早朝３．５・２人・同行</t>
  </si>
  <si>
    <t>重訪Ⅱ早朝４．０</t>
  </si>
  <si>
    <t>重訪Ⅱ早朝４．０・２人</t>
  </si>
  <si>
    <t>重訪Ⅱ早朝４．０・同行</t>
  </si>
  <si>
    <t>重訪Ⅱ早朝４．０・２人・同行</t>
  </si>
  <si>
    <t>重訪Ⅱ早朝８．０</t>
  </si>
  <si>
    <t>重訪Ⅱ早朝８．０・２人</t>
  </si>
  <si>
    <t>重訪Ⅱ早朝８．０・同行</t>
  </si>
  <si>
    <t>重訪Ⅱ早朝８．０・２人・同行</t>
  </si>
  <si>
    <t>重訪Ⅱ早朝１２．０</t>
  </si>
  <si>
    <t>重訪Ⅱ早朝１２．０・２人</t>
  </si>
  <si>
    <t>重訪Ⅱ早朝１２．０・同行</t>
  </si>
  <si>
    <t>重訪Ⅱ早朝１２．０・２人・同行</t>
  </si>
  <si>
    <t>重訪Ⅱ早朝１６．０</t>
  </si>
  <si>
    <t>重訪Ⅱ早朝１６．０・２人</t>
  </si>
  <si>
    <t>重訪Ⅱ早朝１６．０・同行</t>
  </si>
  <si>
    <t>重訪Ⅱ早朝１６．０・２人・同行</t>
  </si>
  <si>
    <t>重訪Ⅱ早朝２０．０</t>
  </si>
  <si>
    <t>重訪Ⅱ早朝２０．０・２人</t>
  </si>
  <si>
    <t>重訪Ⅱ早朝２０．０・同行</t>
  </si>
  <si>
    <t>重訪Ⅱ早朝２０．０・２人・同行</t>
  </si>
  <si>
    <t>重訪Ⅱ早朝２４．０</t>
  </si>
  <si>
    <t>重訪Ⅱ早朝２４．０・２人</t>
  </si>
  <si>
    <t>重訪Ⅱ早朝２４．０・同行</t>
  </si>
  <si>
    <t>重訪Ⅱ早朝２４．０・２人・同行</t>
  </si>
  <si>
    <t>重訪Ⅲ早朝１．０</t>
  </si>
  <si>
    <t>重訪Ⅲ早朝１．０・２人</t>
  </si>
  <si>
    <t>重訪Ⅲ早朝１．０・同行</t>
  </si>
  <si>
    <t>重訪Ⅲ早朝１．０・２人・同行</t>
  </si>
  <si>
    <t>重訪Ⅲ早朝１．５</t>
  </si>
  <si>
    <t>重訪Ⅲ早朝１．５・２人</t>
  </si>
  <si>
    <t>重訪Ⅲ早朝１．５・同行</t>
  </si>
  <si>
    <t>重訪Ⅲ早朝１．５・２人・同行</t>
  </si>
  <si>
    <t>重訪Ⅲ早朝２．０</t>
  </si>
  <si>
    <t>重訪Ⅲ早朝２．０・２人</t>
  </si>
  <si>
    <t>重訪Ⅲ早朝２．０・同行</t>
  </si>
  <si>
    <t>重訪Ⅲ早朝２．０・２人・同行</t>
  </si>
  <si>
    <t>重訪Ⅲ早朝２．５</t>
  </si>
  <si>
    <t>重訪Ⅲ早朝２．５・２人</t>
  </si>
  <si>
    <t>重訪Ⅲ早朝２．５・同行</t>
  </si>
  <si>
    <t>重訪Ⅲ早朝２．５・２人・同行</t>
  </si>
  <si>
    <t>重訪Ⅲ早朝３．０</t>
  </si>
  <si>
    <t>重訪Ⅲ早朝３．０・２人</t>
  </si>
  <si>
    <t>重訪Ⅲ早朝３．０・同行</t>
  </si>
  <si>
    <t>重訪Ⅲ早朝３．０・２人・同行</t>
  </si>
  <si>
    <t>重訪Ⅲ早朝３．５</t>
  </si>
  <si>
    <t>重訪Ⅲ早朝３．５・２人</t>
  </si>
  <si>
    <t>重訪Ⅲ早朝３．５・同行</t>
  </si>
  <si>
    <t>重訪Ⅲ早朝３．５・２人・同行</t>
  </si>
  <si>
    <t>重訪Ⅲ早朝４．０</t>
  </si>
  <si>
    <t>重訪Ⅲ早朝４．０・２人</t>
  </si>
  <si>
    <t>重訪Ⅲ早朝４．０・同行</t>
  </si>
  <si>
    <t>重訪Ⅲ早朝４．０・２人・同行</t>
  </si>
  <si>
    <t>重訪Ⅲ早朝８．０</t>
  </si>
  <si>
    <t>重訪Ⅲ早朝８．０・２人</t>
  </si>
  <si>
    <t>重訪Ⅲ早朝８．０・同行</t>
  </si>
  <si>
    <t>重訪Ⅲ早朝８．０・２人・同行</t>
  </si>
  <si>
    <t>重訪Ⅲ早朝１２．０</t>
  </si>
  <si>
    <t>重訪Ⅲ早朝１２．０・２人</t>
  </si>
  <si>
    <t>重訪Ⅲ早朝１２．０・同行</t>
  </si>
  <si>
    <t>重訪Ⅲ早朝１２．０・２人・同行</t>
  </si>
  <si>
    <t>重訪Ⅲ早朝１６．０</t>
  </si>
  <si>
    <t>重訪Ⅲ早朝１６．０・２人</t>
  </si>
  <si>
    <t>重訪Ⅲ早朝１６．０・同行</t>
  </si>
  <si>
    <t>重訪Ⅲ早朝１６．０・２人・同行</t>
  </si>
  <si>
    <t>重訪Ⅲ早朝２０．０</t>
  </si>
  <si>
    <t>重訪Ⅲ早朝２０．０・２人</t>
  </si>
  <si>
    <t>重訪Ⅲ早朝２０．０・同行</t>
  </si>
  <si>
    <t>重訪Ⅲ早朝２０．０・２人・同行</t>
  </si>
  <si>
    <t>重訪Ⅲ早朝２４．０</t>
  </si>
  <si>
    <t>重訪Ⅲ早朝２４．０・２人</t>
  </si>
  <si>
    <t>重訪Ⅲ早朝２４．０・同行</t>
  </si>
  <si>
    <t>重訪Ⅲ早朝２４．０・２人・同行</t>
  </si>
  <si>
    <t>イ　ロ以外に利用した場合（夜間のみ）</t>
  </si>
  <si>
    <t>重訪Ⅰ夜間１．０</t>
  </si>
  <si>
    <t>重訪Ⅰ夜間１．０・２人</t>
  </si>
  <si>
    <t>重訪Ⅰ夜間１．０・同行</t>
  </si>
  <si>
    <t>重訪Ⅰ夜間１．０・２人・同行</t>
  </si>
  <si>
    <t>重訪Ⅰ夜間１．５</t>
  </si>
  <si>
    <t>重訪Ⅰ夜間１．５・２人</t>
  </si>
  <si>
    <t>重訪Ⅰ夜間１．５・同行</t>
  </si>
  <si>
    <t>重訪Ⅰ夜間１．５・２人・同行</t>
  </si>
  <si>
    <t>重訪Ⅰ夜間２．０</t>
  </si>
  <si>
    <t>重訪Ⅰ夜間２．０・２人</t>
  </si>
  <si>
    <t>重訪Ⅰ夜間２．０・同行</t>
  </si>
  <si>
    <t>重訪Ⅰ夜間２．０・２人・同行</t>
  </si>
  <si>
    <t>重訪Ⅰ夜間２．５</t>
  </si>
  <si>
    <t>重訪Ⅰ夜間２．５・２人</t>
  </si>
  <si>
    <t>重訪Ⅰ夜間２．５・同行</t>
  </si>
  <si>
    <t>重訪Ⅰ夜間２．５・２人・同行</t>
  </si>
  <si>
    <t>重訪Ⅰ夜間３．０</t>
  </si>
  <si>
    <t>重訪Ⅰ夜間３．０・２人</t>
  </si>
  <si>
    <t>重訪Ⅰ夜間３．０・同行</t>
  </si>
  <si>
    <t>重訪Ⅰ夜間３．０・２人・同行</t>
  </si>
  <si>
    <t>重訪Ⅰ夜間３．５</t>
  </si>
  <si>
    <t>重訪Ⅰ夜間３．５・２人</t>
  </si>
  <si>
    <t>重訪Ⅰ夜間３．５・同行</t>
  </si>
  <si>
    <t>重訪Ⅰ夜間３．５・２人・同行</t>
  </si>
  <si>
    <t>重訪Ⅰ夜間４．０</t>
  </si>
  <si>
    <t>重訪Ⅰ夜間４．０・２人</t>
  </si>
  <si>
    <t>重訪Ⅰ夜間４．０・同行</t>
  </si>
  <si>
    <t>重訪Ⅰ夜間４．０・２人・同行</t>
  </si>
  <si>
    <t>重訪Ⅰ夜間８．０</t>
  </si>
  <si>
    <t>重訪Ⅰ夜間８．０・２人</t>
  </si>
  <si>
    <t>重訪Ⅰ夜間８．０・同行</t>
  </si>
  <si>
    <t>重訪Ⅰ夜間８．０・２人・同行</t>
  </si>
  <si>
    <t>重訪Ⅰ夜間１２．０</t>
  </si>
  <si>
    <t>重訪Ⅰ夜間１２．０・２人</t>
  </si>
  <si>
    <t>重訪Ⅰ夜間１２．０・同行</t>
  </si>
  <si>
    <t>重訪Ⅰ夜間１２．０・２人・同行</t>
  </si>
  <si>
    <t>重訪Ⅰ夜間１６．０</t>
  </si>
  <si>
    <t>重訪Ⅰ夜間１６．０・２人</t>
  </si>
  <si>
    <t>重訪Ⅰ夜間１６．０・同行</t>
  </si>
  <si>
    <t>重訪Ⅰ夜間１６．０・２人・同行</t>
  </si>
  <si>
    <t>重訪Ⅰ夜間２０．０</t>
  </si>
  <si>
    <t>重訪Ⅰ夜間２０．０・２人</t>
  </si>
  <si>
    <t>重訪Ⅰ夜間２０．０・同行</t>
  </si>
  <si>
    <t>重訪Ⅰ夜間２０．０・２人・同行</t>
  </si>
  <si>
    <t>重訪Ⅰ夜間２４．０</t>
  </si>
  <si>
    <t>重訪Ⅰ夜間２４．０・２人</t>
  </si>
  <si>
    <t>重訪Ⅰ夜間２４．０・同行</t>
  </si>
  <si>
    <t>重訪Ⅰ夜間２４．０・２人・同行</t>
  </si>
  <si>
    <t>重訪Ⅱ夜間１．０</t>
  </si>
  <si>
    <t>重訪Ⅱ夜間１．０・２人</t>
  </si>
  <si>
    <t>重訪Ⅱ夜間１．０・同行</t>
  </si>
  <si>
    <t>重訪Ⅱ夜間１．０・２人・同行</t>
  </si>
  <si>
    <t>重訪Ⅱ夜間１．５</t>
  </si>
  <si>
    <t>重訪Ⅱ夜間１．５・２人</t>
  </si>
  <si>
    <t>重訪Ⅱ夜間１．５・同行</t>
  </si>
  <si>
    <t>重訪Ⅱ夜間１．５・２人・同行</t>
  </si>
  <si>
    <t>重訪Ⅱ夜間２．０</t>
  </si>
  <si>
    <t>重訪Ⅱ夜間２．０・２人</t>
  </si>
  <si>
    <t>重訪Ⅱ夜間２．０・同行</t>
  </si>
  <si>
    <t>重訪Ⅱ夜間２．０・２人・同行</t>
  </si>
  <si>
    <t>重訪Ⅱ夜間２．５</t>
  </si>
  <si>
    <t>重訪Ⅱ夜間２．５・２人</t>
  </si>
  <si>
    <t>重訪Ⅱ夜間２．５・同行</t>
  </si>
  <si>
    <t>重訪Ⅱ夜間２．５・２人・同行</t>
  </si>
  <si>
    <t>重訪Ⅱ夜間３．０</t>
  </si>
  <si>
    <t>重訪Ⅱ夜間３．０・２人</t>
  </si>
  <si>
    <t>重訪Ⅱ夜間３．０・同行</t>
  </si>
  <si>
    <t>重訪Ⅱ夜間３．０・２人・同行</t>
  </si>
  <si>
    <t>重訪Ⅱ夜間３．５</t>
  </si>
  <si>
    <t>重訪Ⅱ夜間３．５・２人</t>
  </si>
  <si>
    <t>重訪Ⅱ夜間３．５・同行</t>
  </si>
  <si>
    <t>重訪Ⅱ夜間３．５・２人・同行</t>
  </si>
  <si>
    <t>重訪Ⅱ夜間４．０</t>
  </si>
  <si>
    <t>重訪Ⅱ夜間４．０・２人</t>
  </si>
  <si>
    <t>重訪Ⅱ夜間４．０・同行</t>
  </si>
  <si>
    <t>重訪Ⅱ夜間４．０・２人・同行</t>
  </si>
  <si>
    <t>重訪Ⅱ夜間８．０</t>
  </si>
  <si>
    <t>重訪Ⅱ夜間８．０・２人</t>
  </si>
  <si>
    <t>重訪Ⅱ夜間８．０・同行</t>
  </si>
  <si>
    <t>重訪Ⅱ夜間８．０・２人・同行</t>
  </si>
  <si>
    <t>重訪Ⅱ夜間１２．０</t>
  </si>
  <si>
    <t>重訪Ⅱ夜間１２．０・２人</t>
  </si>
  <si>
    <t>重訪Ⅱ夜間１２．０・同行</t>
  </si>
  <si>
    <t>重訪Ⅱ夜間１２．０・２人・同行</t>
  </si>
  <si>
    <t>重訪Ⅱ夜間１６．０</t>
  </si>
  <si>
    <t>重訪Ⅱ夜間１６．０・２人</t>
  </si>
  <si>
    <t>重訪Ⅱ夜間１６．０・同行</t>
  </si>
  <si>
    <t>重訪Ⅱ夜間１６．０・２人・同行</t>
  </si>
  <si>
    <t>重訪Ⅱ夜間２０．０</t>
  </si>
  <si>
    <t>重訪Ⅱ夜間２０．０・２人</t>
  </si>
  <si>
    <t>重訪Ⅱ夜間２０．０・同行</t>
  </si>
  <si>
    <t>重訪Ⅱ夜間２０．０・２人・同行</t>
  </si>
  <si>
    <t>重訪Ⅱ夜間２４．０</t>
  </si>
  <si>
    <t>重訪Ⅱ夜間２４．０・２人</t>
  </si>
  <si>
    <t>重訪Ⅱ夜間２４．０・同行</t>
  </si>
  <si>
    <t>重訪Ⅱ夜間２４．０・２人・同行</t>
  </si>
  <si>
    <t>重訪Ⅲ夜間１．０</t>
  </si>
  <si>
    <t>重訪Ⅲ夜間１．０・２人</t>
  </si>
  <si>
    <t>重訪Ⅲ夜間１．０・同行</t>
  </si>
  <si>
    <t>重訪Ⅲ夜間１．０・２人・同行</t>
  </si>
  <si>
    <t>重訪Ⅲ夜間１．５</t>
  </si>
  <si>
    <t>重訪Ⅲ夜間１．５・２人</t>
  </si>
  <si>
    <t>重訪Ⅲ夜間１．５・同行</t>
  </si>
  <si>
    <t>重訪Ⅲ夜間１．５・２人・同行</t>
  </si>
  <si>
    <t>重訪Ⅲ夜間２．０</t>
  </si>
  <si>
    <t>重訪Ⅲ夜間２．０・２人</t>
  </si>
  <si>
    <t>重訪Ⅲ夜間２．０・同行</t>
  </si>
  <si>
    <t>重訪Ⅲ夜間２．０・２人・同行</t>
  </si>
  <si>
    <t>重訪Ⅲ夜間２．５</t>
  </si>
  <si>
    <t>重訪Ⅲ夜間２．５・２人</t>
  </si>
  <si>
    <t>重訪Ⅲ夜間２．５・同行</t>
  </si>
  <si>
    <t>重訪Ⅲ夜間２．５・２人・同行</t>
  </si>
  <si>
    <t>重訪Ⅲ夜間３．０</t>
  </si>
  <si>
    <t>重訪Ⅲ夜間３．０・２人</t>
  </si>
  <si>
    <t>重訪Ⅲ夜間３．０・同行</t>
  </si>
  <si>
    <t>重訪Ⅲ夜間３．０・２人・同行</t>
  </si>
  <si>
    <t>重訪Ⅲ夜間３．５</t>
  </si>
  <si>
    <t>重訪Ⅲ夜間３．５・２人</t>
  </si>
  <si>
    <t>重訪Ⅲ夜間３．５・同行</t>
  </si>
  <si>
    <t>重訪Ⅲ夜間３．５・２人・同行</t>
  </si>
  <si>
    <t>重訪Ⅲ夜間４．０</t>
  </si>
  <si>
    <t>重訪Ⅲ夜間４．０・２人</t>
  </si>
  <si>
    <t>重訪Ⅲ夜間４．０・同行</t>
  </si>
  <si>
    <t>重訪Ⅲ夜間４．０・２人・同行</t>
  </si>
  <si>
    <t>重訪Ⅲ夜間８．０</t>
  </si>
  <si>
    <t>重訪Ⅲ夜間８．０・２人</t>
  </si>
  <si>
    <t>重訪Ⅲ夜間８．０・同行</t>
  </si>
  <si>
    <t>重訪Ⅲ夜間８．０・２人・同行</t>
  </si>
  <si>
    <t>重訪Ⅲ夜間１２．０</t>
  </si>
  <si>
    <t>重訪Ⅲ夜間１２．０・２人</t>
  </si>
  <si>
    <t>重訪Ⅲ夜間１２．０・同行</t>
  </si>
  <si>
    <t>重訪Ⅲ夜間１２．０・２人・同行</t>
  </si>
  <si>
    <t>重訪Ⅲ夜間１６．０</t>
  </si>
  <si>
    <t>重訪Ⅲ夜間１６．０・２人</t>
  </si>
  <si>
    <t>重訪Ⅲ夜間１６．０・同行</t>
  </si>
  <si>
    <t>重訪Ⅲ夜間１６．０・２人・同行</t>
  </si>
  <si>
    <t>重訪Ⅲ夜間２０．０</t>
  </si>
  <si>
    <t>重訪Ⅲ夜間２０．０・２人</t>
  </si>
  <si>
    <t>重訪Ⅲ夜間２０．０・同行</t>
  </si>
  <si>
    <t>重訪Ⅲ夜間２０．０・２人・同行</t>
  </si>
  <si>
    <t>重訪Ⅲ夜間２４．０</t>
  </si>
  <si>
    <t>重訪Ⅲ夜間２４．０・２人</t>
  </si>
  <si>
    <t>重訪Ⅲ夜間２４．０・同行</t>
  </si>
  <si>
    <t>重訪Ⅲ夜間２４．０・２人・同行</t>
  </si>
  <si>
    <t>イ　ロ以外に利用した場合（深夜のみ）</t>
  </si>
  <si>
    <t>重訪Ⅰ深夜１．０</t>
  </si>
  <si>
    <t>重訪Ⅰ深夜１．０・２人</t>
  </si>
  <si>
    <t>重訪Ⅰ深夜１．０・同行</t>
  </si>
  <si>
    <t>重訪Ⅰ深夜１．０・２人・同行</t>
  </si>
  <si>
    <t>重訪Ⅰ深夜１．５</t>
  </si>
  <si>
    <t>重訪Ⅰ深夜１．５・２人</t>
  </si>
  <si>
    <t>重訪Ⅰ深夜１．５・同行</t>
  </si>
  <si>
    <t>重訪Ⅰ深夜１．５・２人・同行</t>
  </si>
  <si>
    <t>重訪Ⅰ深夜２．０</t>
  </si>
  <si>
    <t>重訪Ⅰ深夜２．０・２人</t>
  </si>
  <si>
    <t>重訪Ⅰ深夜２．０・同行</t>
  </si>
  <si>
    <t>重訪Ⅰ深夜２．０・２人・同行</t>
  </si>
  <si>
    <t>重訪Ⅰ深夜２．５</t>
  </si>
  <si>
    <t>重訪Ⅰ深夜２．５・２人</t>
  </si>
  <si>
    <t>重訪Ⅰ深夜２．５・同行</t>
  </si>
  <si>
    <t>重訪Ⅰ深夜２．５・２人・同行</t>
  </si>
  <si>
    <t>重訪Ⅰ深夜３．０</t>
  </si>
  <si>
    <t>重訪Ⅰ深夜３．０・２人</t>
  </si>
  <si>
    <t>重訪Ⅰ深夜３．０・同行</t>
  </si>
  <si>
    <t>重訪Ⅰ深夜３．０・２人・同行</t>
  </si>
  <si>
    <t>重訪Ⅰ深夜３．５</t>
  </si>
  <si>
    <t>重訪Ⅰ深夜３．５・２人</t>
  </si>
  <si>
    <t>重訪Ⅰ深夜３．５・同行</t>
  </si>
  <si>
    <t>重訪Ⅰ深夜３．５・２人・同行</t>
  </si>
  <si>
    <t>重訪Ⅰ深夜４．０</t>
  </si>
  <si>
    <t>重訪Ⅰ深夜４．０・２人</t>
  </si>
  <si>
    <t>重訪Ⅰ深夜４．０・同行</t>
  </si>
  <si>
    <t>重訪Ⅰ深夜４．０・２人・同行</t>
  </si>
  <si>
    <t>重訪Ⅰ深夜８．０</t>
  </si>
  <si>
    <t>重訪Ⅰ深夜８．０・２人</t>
  </si>
  <si>
    <t>重訪Ⅰ深夜８．０・同行</t>
  </si>
  <si>
    <t>重訪Ⅰ深夜８．０・２人・同行</t>
  </si>
  <si>
    <t>重訪Ⅰ深夜１２．０</t>
  </si>
  <si>
    <t>重訪Ⅰ深夜１２．０・２人</t>
  </si>
  <si>
    <t>重訪Ⅰ深夜１２．０・同行</t>
  </si>
  <si>
    <t>重訪Ⅰ深夜１２．０・２人・同行</t>
  </si>
  <si>
    <t>重訪Ⅰ深夜１６．０</t>
  </si>
  <si>
    <t>重訪Ⅰ深夜１６．０・２人</t>
  </si>
  <si>
    <t>重訪Ⅰ深夜１６．０・同行</t>
  </si>
  <si>
    <t>重訪Ⅰ深夜１６．０・２人・同行</t>
  </si>
  <si>
    <t>重訪Ⅰ深夜２０．０</t>
  </si>
  <si>
    <t>重訪Ⅰ深夜２０．０・２人</t>
  </si>
  <si>
    <t>重訪Ⅰ深夜２０．０・同行</t>
  </si>
  <si>
    <t>重訪Ⅰ深夜２０．０・２人・同行</t>
  </si>
  <si>
    <t>重訪Ⅰ深夜２４．０</t>
  </si>
  <si>
    <t>重訪Ⅰ深夜２４．０・２人</t>
  </si>
  <si>
    <t>重訪Ⅰ深夜２４．０・同行</t>
  </si>
  <si>
    <t>重訪Ⅰ深夜２４．０・２人・同行</t>
  </si>
  <si>
    <t>重訪Ⅱ深夜１．０</t>
  </si>
  <si>
    <t>重訪Ⅱ深夜１．０・２人</t>
  </si>
  <si>
    <t>重訪Ⅱ深夜１．０・同行</t>
  </si>
  <si>
    <t>重訪Ⅱ深夜１．０・２人・同行</t>
  </si>
  <si>
    <t>重訪Ⅱ深夜１．５</t>
  </si>
  <si>
    <t>重訪Ⅱ深夜１．５・２人</t>
  </si>
  <si>
    <t>重訪Ⅱ深夜１．５・同行</t>
  </si>
  <si>
    <t>重訪Ⅱ深夜１．５・２人・同行</t>
  </si>
  <si>
    <t>重訪Ⅱ深夜２．０</t>
  </si>
  <si>
    <t>重訪Ⅱ深夜２．０・２人</t>
  </si>
  <si>
    <t>重訪Ⅱ深夜２．０・同行</t>
  </si>
  <si>
    <t>重訪Ⅱ深夜２．０・２人・同行</t>
  </si>
  <si>
    <t>重訪Ⅱ深夜２．５</t>
  </si>
  <si>
    <t>重訪Ⅱ深夜２．５・２人</t>
  </si>
  <si>
    <t>重訪Ⅱ深夜２．５・同行</t>
  </si>
  <si>
    <t>重訪Ⅱ深夜２．５・２人・同行</t>
  </si>
  <si>
    <t>重訪Ⅱ深夜３．０</t>
  </si>
  <si>
    <t>重訪Ⅱ深夜３．０・２人</t>
  </si>
  <si>
    <t>重訪Ⅱ深夜３．０・同行</t>
  </si>
  <si>
    <t>重訪Ⅱ深夜３．０・２人・同行</t>
  </si>
  <si>
    <t>重訪Ⅱ深夜３．５</t>
  </si>
  <si>
    <t>重訪Ⅱ深夜３．５・２人</t>
  </si>
  <si>
    <t>重訪Ⅱ深夜３．５・同行</t>
  </si>
  <si>
    <t>重訪Ⅱ深夜３．５・２人・同行</t>
  </si>
  <si>
    <t>重訪Ⅱ深夜４．０</t>
  </si>
  <si>
    <t>重訪Ⅱ深夜４．０・２人</t>
  </si>
  <si>
    <t>重訪Ⅱ深夜４．０・同行</t>
  </si>
  <si>
    <t>重訪Ⅱ深夜４．０・２人・同行</t>
  </si>
  <si>
    <t>重訪Ⅱ深夜８．０</t>
  </si>
  <si>
    <t>重訪Ⅱ深夜８．０・２人</t>
  </si>
  <si>
    <t>重訪Ⅱ深夜８．０・同行</t>
  </si>
  <si>
    <t>重訪Ⅱ深夜８．０・２人・同行</t>
  </si>
  <si>
    <t>重訪Ⅱ深夜１２．０</t>
  </si>
  <si>
    <t>重訪Ⅱ深夜１２．０・２人</t>
  </si>
  <si>
    <t>重訪Ⅱ深夜１２．０・同行</t>
  </si>
  <si>
    <t>重訪Ⅱ深夜１２．０・２人・同行</t>
  </si>
  <si>
    <t>重訪Ⅱ深夜１６．０</t>
  </si>
  <si>
    <t>重訪Ⅱ深夜１６．０・２人</t>
  </si>
  <si>
    <t>重訪Ⅱ深夜１６．０・同行</t>
  </si>
  <si>
    <t>重訪Ⅱ深夜１６．０・２人・同行</t>
  </si>
  <si>
    <t>重訪Ⅱ深夜２０．０</t>
  </si>
  <si>
    <t>重訪Ⅱ深夜２０．０・２人</t>
  </si>
  <si>
    <t>重訪Ⅱ深夜２０．０・同行</t>
  </si>
  <si>
    <t>重訪Ⅱ深夜２０．０・２人・同行</t>
  </si>
  <si>
    <t>重訪Ⅱ深夜２４．０</t>
  </si>
  <si>
    <t>重訪Ⅱ深夜２４．０・２人</t>
  </si>
  <si>
    <t>重訪Ⅱ深夜２４．０・同行</t>
  </si>
  <si>
    <t>重訪Ⅱ深夜２４．０・２人・同行</t>
  </si>
  <si>
    <t>重訪Ⅲ深夜１．０</t>
  </si>
  <si>
    <t>重訪Ⅲ深夜１．０・２人</t>
  </si>
  <si>
    <t>重訪Ⅲ深夜１．０・同行</t>
  </si>
  <si>
    <t>重訪Ⅲ深夜１．０・２人・同行</t>
  </si>
  <si>
    <t>重訪Ⅲ深夜１．５</t>
  </si>
  <si>
    <t>重訪Ⅲ深夜１．５・２人</t>
  </si>
  <si>
    <t>重訪Ⅲ深夜１．５・同行</t>
  </si>
  <si>
    <t>重訪Ⅲ深夜１．５・２人・同行</t>
  </si>
  <si>
    <t>重訪Ⅲ深夜２．０</t>
  </si>
  <si>
    <t>重訪Ⅲ深夜２．０・２人</t>
  </si>
  <si>
    <t>重訪Ⅲ深夜２．０・同行</t>
  </si>
  <si>
    <t>重訪Ⅲ深夜２．０・２人・同行</t>
  </si>
  <si>
    <t>重訪Ⅲ深夜２．５</t>
  </si>
  <si>
    <t>重訪Ⅲ深夜２．５・２人</t>
  </si>
  <si>
    <t>重訪Ⅲ深夜２．５・同行</t>
  </si>
  <si>
    <t>重訪Ⅲ深夜２．５・２人・同行</t>
  </si>
  <si>
    <t>重訪Ⅲ深夜３．０</t>
  </si>
  <si>
    <t>重訪Ⅲ深夜３．０・２人</t>
  </si>
  <si>
    <t>重訪Ⅲ深夜３．０・同行</t>
  </si>
  <si>
    <t>重訪Ⅲ深夜３．０・２人・同行</t>
  </si>
  <si>
    <t>重訪Ⅲ深夜３．５</t>
  </si>
  <si>
    <t>重訪Ⅲ深夜３．５・２人</t>
  </si>
  <si>
    <t>重訪Ⅲ深夜３．５・同行</t>
  </si>
  <si>
    <t>重訪Ⅲ深夜３．５・２人・同行</t>
  </si>
  <si>
    <t>重訪Ⅲ深夜４．０</t>
  </si>
  <si>
    <t>重訪Ⅲ深夜４．０・２人</t>
  </si>
  <si>
    <t>重訪Ⅲ深夜４．０・同行</t>
  </si>
  <si>
    <t>重訪Ⅲ深夜４．０・２人・同行</t>
  </si>
  <si>
    <t>重訪Ⅲ深夜８．０</t>
  </si>
  <si>
    <t>重訪Ⅲ深夜８．０・２人</t>
  </si>
  <si>
    <t>重訪Ⅲ深夜８．０・同行</t>
  </si>
  <si>
    <t>重訪Ⅲ深夜８．０・２人・同行</t>
  </si>
  <si>
    <t>重訪Ⅲ深夜１２．０</t>
  </si>
  <si>
    <t>重訪Ⅲ深夜１２．０・２人</t>
  </si>
  <si>
    <t>重訪Ⅲ深夜１２．０・同行</t>
  </si>
  <si>
    <t>重訪Ⅲ深夜１２．０・２人・同行</t>
  </si>
  <si>
    <t>重訪Ⅲ深夜１６．０</t>
  </si>
  <si>
    <t>重訪Ⅲ深夜１６．０・２人</t>
  </si>
  <si>
    <t>重訪Ⅲ深夜１６．０・同行</t>
  </si>
  <si>
    <t>重訪Ⅲ深夜１６．０・２人・同行</t>
  </si>
  <si>
    <t>重訪Ⅲ深夜２０．０</t>
  </si>
  <si>
    <t>重訪Ⅲ深夜２０．０・２人</t>
  </si>
  <si>
    <t>重訪Ⅲ深夜２０．０・同行</t>
  </si>
  <si>
    <t>重訪Ⅲ深夜２０．０・２人・同行</t>
  </si>
  <si>
    <t>重訪Ⅲ深夜２４．０</t>
  </si>
  <si>
    <t>重訪Ⅲ深夜２４．０・２人</t>
  </si>
  <si>
    <t>重訪Ⅲ深夜２４．０・同行</t>
  </si>
  <si>
    <t>重訪Ⅲ深夜２４．０・２人・同行</t>
  </si>
  <si>
    <t>ロ　病院等に入院又は入所中に利用した場合（日中のみ）</t>
  </si>
  <si>
    <t>重訪Ⅰ入院等日中１．０</t>
  </si>
  <si>
    <t>重訪Ⅰ入院等日中１．０・２人</t>
  </si>
  <si>
    <t>重訪Ⅰ入院等日中１．０・同行</t>
  </si>
  <si>
    <t>重訪Ⅰ入院等日中１．０・２人・同行</t>
  </si>
  <si>
    <t>重訪Ⅰ入院等日中１．０・９０日減</t>
  </si>
  <si>
    <t>90日以上利用減算</t>
    <phoneticPr fontId="1"/>
  </si>
  <si>
    <t>重訪Ⅰ入院等日中１．０・２人・９０日減</t>
  </si>
  <si>
    <t>重訪Ⅰ入院等日中１．０・同行・９０日減</t>
  </si>
  <si>
    <t>重訪Ⅰ入院等日中１．０・２人・同行・９０日減</t>
  </si>
  <si>
    <t>重訪Ⅰ入院等日中１．５</t>
  </si>
  <si>
    <t>重訪Ⅰ入院等日中１．５・２人</t>
  </si>
  <si>
    <t>重訪Ⅰ入院等日中１．５・同行</t>
  </si>
  <si>
    <t>重訪Ⅰ入院等日中１．５・２人・同行</t>
  </si>
  <si>
    <t>重訪Ⅰ入院等日中１．５・９０日減</t>
  </si>
  <si>
    <t>重訪Ⅰ入院等日中１．５・２人・９０日減</t>
  </si>
  <si>
    <t>重訪Ⅰ入院等日中１．５・同行・９０日減</t>
  </si>
  <si>
    <t>重訪Ⅰ入院等日中１．５・２人・同行・９０日減</t>
  </si>
  <si>
    <t>重訪Ⅰ入院等日中２．０</t>
  </si>
  <si>
    <t>(3) １時間３０分以上２時間未満</t>
    <phoneticPr fontId="1"/>
  </si>
  <si>
    <t>重訪Ⅰ入院等日中２．０・２人</t>
  </si>
  <si>
    <t>重訪Ⅰ入院等日中２．０・同行</t>
  </si>
  <si>
    <t>重訪Ⅰ入院等日中２．０・２人・同行</t>
  </si>
  <si>
    <t>重訪Ⅰ入院等日中２．０・９０日減</t>
  </si>
  <si>
    <t>重訪Ⅰ入院等日中２．０・２人・９０日減</t>
  </si>
  <si>
    <t>重訪Ⅰ入院等日中２．０・同行・９０日減</t>
  </si>
  <si>
    <t>重訪Ⅰ入院等日中２．０・２人・同行・９０日減</t>
  </si>
  <si>
    <t>重訪Ⅰ入院等日中２．５</t>
  </si>
  <si>
    <t>(4) ２時間以上２時間３０分未満</t>
    <phoneticPr fontId="1"/>
  </si>
  <si>
    <t>重訪Ⅰ入院等日中２．５・２人</t>
  </si>
  <si>
    <t>重訪Ⅰ入院等日中２．５・同行</t>
  </si>
  <si>
    <t>重訪Ⅰ入院等日中２．５・２人・同行</t>
  </si>
  <si>
    <t>重訪Ⅰ入院等日中２．５・９０日減</t>
  </si>
  <si>
    <t>重訪Ⅰ入院等日中２．５・２人・９０日減</t>
  </si>
  <si>
    <t>重訪Ⅰ入院等日中２．５・同行・９０日減</t>
  </si>
  <si>
    <t>重訪Ⅰ入院等日中２．５・２人・同行・９０日減</t>
  </si>
  <si>
    <t>重訪Ⅰ入院等日中３．０</t>
  </si>
  <si>
    <t>(5) ２時間３０分以上３時間未満</t>
    <phoneticPr fontId="1"/>
  </si>
  <si>
    <t>重訪Ⅰ入院等日中３．０・２人</t>
  </si>
  <si>
    <t>重訪Ⅰ入院等日中３．０・同行</t>
  </si>
  <si>
    <t>重訪Ⅰ入院等日中３．０・２人・同行</t>
  </si>
  <si>
    <t>重訪Ⅰ入院等日中３．０・９０日減</t>
  </si>
  <si>
    <t>重訪Ⅰ入院等日中３．０・２人・９０日減</t>
  </si>
  <si>
    <t>重訪Ⅰ入院等日中３．０・同行・９０日減</t>
  </si>
  <si>
    <t>重訪Ⅰ入院等日中３．０・２人・同行・９０日減</t>
  </si>
  <si>
    <t>重訪Ⅰ入院等日中３．５</t>
  </si>
  <si>
    <t>(6) ３時間以上３時間３０分未満</t>
    <phoneticPr fontId="1"/>
  </si>
  <si>
    <t>重訪Ⅰ入院等日中３．５・２人</t>
  </si>
  <si>
    <t>重訪Ⅰ入院等日中３．５・同行</t>
  </si>
  <si>
    <t>重訪Ⅰ入院等日中３．５・２人・同行</t>
  </si>
  <si>
    <t>重訪Ⅰ入院等日中３．５・９０日減</t>
  </si>
  <si>
    <t>重訪Ⅰ入院等日中３．５・２人・９０日減</t>
  </si>
  <si>
    <t>重訪Ⅰ入院等日中３．５・同行・９０日減</t>
  </si>
  <si>
    <t>重訪Ⅰ入院等日中３．５・２人・同行・９０日減</t>
  </si>
  <si>
    <t>重訪Ⅰ入院等日中４．０</t>
  </si>
  <si>
    <t>(7) ３時間３０分以上４時間未満</t>
    <phoneticPr fontId="1"/>
  </si>
  <si>
    <t>重訪Ⅰ入院等日中４．０・２人</t>
  </si>
  <si>
    <t>重訪Ⅰ入院等日中４．０・同行</t>
  </si>
  <si>
    <t>重訪Ⅰ入院等日中４．０・２人・同行</t>
  </si>
  <si>
    <t>重訪Ⅰ入院等日中４．０・９０日減</t>
  </si>
  <si>
    <t>重訪Ⅰ入院等日中４．０・２人・９０日減</t>
  </si>
  <si>
    <t>重訪Ⅰ入院等日中４．０・同行・９０日減</t>
  </si>
  <si>
    <t>重訪Ⅰ入院等日中４．０・２人・同行・９０日減</t>
  </si>
  <si>
    <t>重訪Ⅰ入院等日中８．０</t>
  </si>
  <si>
    <t>(8) ４時間以上８時間未満（３０分あたり）</t>
    <phoneticPr fontId="1"/>
  </si>
  <si>
    <t>重訪Ⅰ入院等日中８．０・２人</t>
  </si>
  <si>
    <t>重訪Ⅰ入院等日中８．０・同行</t>
  </si>
  <si>
    <t>重訪Ⅰ入院等日中８．０・２人・同行</t>
  </si>
  <si>
    <t>重訪Ⅰ入院等日中８．０・９０日減</t>
  </si>
  <si>
    <t>重訪Ⅰ入院等日中８．０・２人・９０日減</t>
  </si>
  <si>
    <t>重訪Ⅰ入院等日中８．０・同行・９０日減</t>
  </si>
  <si>
    <t>重訪Ⅰ入院等日中８．０・２人・同行・９０日減</t>
  </si>
  <si>
    <t>重訪Ⅰ入院等日中１２．０</t>
  </si>
  <si>
    <t>(9) ８時間以上１２時間未満（３０分あたり）</t>
    <phoneticPr fontId="1"/>
  </si>
  <si>
    <t>重訪Ⅰ入院等日中１２．０・２人</t>
  </si>
  <si>
    <t>重訪Ⅰ入院等日中１２．０・同行</t>
  </si>
  <si>
    <t>重訪Ⅰ入院等日中１２．０・２人・同行</t>
  </si>
  <si>
    <t>重訪Ⅰ入院等日中１２．０・９０日減</t>
  </si>
  <si>
    <t>重訪Ⅰ入院等日中１２．０・２人・９０日減</t>
  </si>
  <si>
    <t>重訪Ⅰ入院等日中１２．０・同行・９０日減</t>
  </si>
  <si>
    <t>重訪Ⅰ入院等日中１２．０・２人・同行・９０日減</t>
  </si>
  <si>
    <t>重訪Ⅰ入院等日中１６．０</t>
  </si>
  <si>
    <t>(10) １２時間以上１６時間未満（３０分あたり）</t>
    <phoneticPr fontId="1"/>
  </si>
  <si>
    <t>重訪Ⅰ入院等日中１６．０・２人</t>
  </si>
  <si>
    <t>重訪Ⅰ入院等日中１６．０・同行</t>
  </si>
  <si>
    <t>重訪Ⅰ入院等日中１６．０・２人・同行</t>
  </si>
  <si>
    <t>重訪Ⅰ入院等日中１６．０・９０日減</t>
  </si>
  <si>
    <t>重訪Ⅰ入院等日中１６．０・２人・９０日減</t>
  </si>
  <si>
    <t>重訪Ⅰ入院等日中１６．０・同行・９０日減</t>
  </si>
  <si>
    <t>重訪Ⅰ入院等日中１６．０・２人・同行・９０日減</t>
  </si>
  <si>
    <t>重訪Ⅰ入院等日中２０．０</t>
  </si>
  <si>
    <t>(11) １６時間以上２０時間未満（３０分あたり）</t>
    <phoneticPr fontId="1"/>
  </si>
  <si>
    <t>重訪Ⅰ入院等日中２０．０・２人</t>
  </si>
  <si>
    <t>重訪Ⅰ入院等日中２０．０・同行</t>
  </si>
  <si>
    <t>重訪Ⅰ入院等日中２０．０・２人・同行</t>
  </si>
  <si>
    <t>重訪Ⅰ入院等日中２０．０・９０日減</t>
  </si>
  <si>
    <t>重訪Ⅰ入院等日中２０．０・２人・９０日減</t>
  </si>
  <si>
    <t>重訪Ⅰ入院等日中２０．０・同行・９０日減</t>
  </si>
  <si>
    <t>重訪Ⅰ入院等日中２０．０・２人・同行・９０日減</t>
  </si>
  <si>
    <t>重訪Ⅰ入院等日中２４．０</t>
  </si>
  <si>
    <t>(12) ２０時間以上２４時間未満（３０分あたり）</t>
    <phoneticPr fontId="1"/>
  </si>
  <si>
    <t>重訪Ⅰ入院等日中２４．０・２人</t>
  </si>
  <si>
    <t>重訪Ⅰ入院等日中２４．０・同行</t>
  </si>
  <si>
    <t>重訪Ⅰ入院等日中２４．０・２人・同行</t>
  </si>
  <si>
    <t>重訪Ⅰ入院等日中２４．０・９０日減</t>
  </si>
  <si>
    <t>重訪Ⅰ入院等日中２４．０・２人・９０日減</t>
  </si>
  <si>
    <t>重訪Ⅰ入院等日中２４．０・同行・９０日減</t>
  </si>
  <si>
    <t>重訪Ⅰ入院等日中２４．０・２人・同行・９０日減</t>
  </si>
  <si>
    <t>重訪Ⅱ入院等日中１．０</t>
  </si>
  <si>
    <t>重訪Ⅱ入院等日中１．０・２人</t>
  </si>
  <si>
    <t>重訪Ⅱ入院等日中１．０・同行</t>
  </si>
  <si>
    <t>重訪Ⅱ入院等日中１．０・２人・同行</t>
  </si>
  <si>
    <t>重訪Ⅱ入院等日中１．０・９０日減</t>
  </si>
  <si>
    <t>重訪Ⅱ入院等日中１．０・２人・９０日減</t>
  </si>
  <si>
    <t>重訪Ⅱ入院等日中１．０・同行・９０日減</t>
  </si>
  <si>
    <t>重訪Ⅱ入院等日中１．０・２人・同行・９０日減</t>
  </si>
  <si>
    <t>重訪Ⅱ入院等日中１．５</t>
  </si>
  <si>
    <t>重訪Ⅱ入院等日中１．５・２人</t>
  </si>
  <si>
    <t>重訪Ⅱ入院等日中１．５・同行</t>
  </si>
  <si>
    <t>重訪Ⅱ入院等日中１．５・２人・同行</t>
  </si>
  <si>
    <t>重訪Ⅱ入院等日中１．５・９０日減</t>
  </si>
  <si>
    <t>重訪Ⅱ入院等日中１．５・２人・９０日減</t>
  </si>
  <si>
    <t>重訪Ⅱ入院等日中１．５・同行・９０日減</t>
  </si>
  <si>
    <t>重訪Ⅱ入院等日中１．５・２人・同行・９０日減</t>
  </si>
  <si>
    <t>重訪Ⅱ入院等日中２．０</t>
  </si>
  <si>
    <t>重訪Ⅱ入院等日中２．０・２人</t>
  </si>
  <si>
    <t>重訪Ⅱ入院等日中２．０・同行</t>
  </si>
  <si>
    <t>重訪Ⅱ入院等日中２．０・２人・同行</t>
  </si>
  <si>
    <t>重訪Ⅱ入院等日中２．０・９０日減</t>
  </si>
  <si>
    <t>重訪Ⅱ入院等日中２．０・２人・９０日減</t>
  </si>
  <si>
    <t>重訪Ⅱ入院等日中２．０・同行・９０日減</t>
  </si>
  <si>
    <t>重訪Ⅱ入院等日中２．０・２人・同行・９０日減</t>
  </si>
  <si>
    <t>重訪Ⅱ入院等日中２．５</t>
  </si>
  <si>
    <t>重訪Ⅱ入院等日中２．５・２人</t>
  </si>
  <si>
    <t>重訪Ⅱ入院等日中２．５・同行</t>
  </si>
  <si>
    <t>重訪Ⅱ入院等日中２．５・２人・同行</t>
  </si>
  <si>
    <t>重訪Ⅱ入院等日中２．５・９０日減</t>
  </si>
  <si>
    <t>重訪Ⅱ入院等日中２．５・２人・９０日減</t>
  </si>
  <si>
    <t>重訪Ⅱ入院等日中２．５・同行・９０日減</t>
  </si>
  <si>
    <t>重訪Ⅱ入院等日中２．５・２人・同行・９０日減</t>
  </si>
  <si>
    <t>重訪Ⅱ入院等日中３．０</t>
  </si>
  <si>
    <t>重訪Ⅱ入院等日中３．０・２人</t>
  </si>
  <si>
    <t>重訪Ⅱ入院等日中３．０・同行</t>
  </si>
  <si>
    <t>重訪Ⅱ入院等日中３．０・２人・同行</t>
  </si>
  <si>
    <t>重訪Ⅱ入院等日中３．０・９０日減</t>
  </si>
  <si>
    <t>重訪Ⅱ入院等日中３．０・２人・９０日減</t>
  </si>
  <si>
    <t>重訪Ⅱ入院等日中３．０・同行・９０日減</t>
  </si>
  <si>
    <t>重訪Ⅱ入院等日中３．０・２人・同行・９０日減</t>
  </si>
  <si>
    <t>重訪Ⅱ入院等日中３．５</t>
  </si>
  <si>
    <t>重訪Ⅱ入院等日中３．５・２人</t>
  </si>
  <si>
    <t>重訪Ⅱ入院等日中３．５・同行</t>
  </si>
  <si>
    <t>重訪Ⅱ入院等日中３．５・２人・同行</t>
  </si>
  <si>
    <t>重訪Ⅱ入院等日中３．５・９０日減</t>
  </si>
  <si>
    <t>重訪Ⅱ入院等日中３．５・２人・９０日減</t>
  </si>
  <si>
    <t>重訪Ⅱ入院等日中３．５・同行・９０日減</t>
  </si>
  <si>
    <t>重訪Ⅱ入院等日中３．５・２人・同行・９０日減</t>
  </si>
  <si>
    <t>重訪Ⅱ入院等日中４．０</t>
  </si>
  <si>
    <t>重訪Ⅱ入院等日中４．０・２人</t>
  </si>
  <si>
    <t>重訪Ⅱ入院等日中４．０・同行</t>
  </si>
  <si>
    <t>重訪Ⅱ入院等日中４．０・２人・同行</t>
  </si>
  <si>
    <t>重訪Ⅱ入院等日中４．０・９０日減</t>
  </si>
  <si>
    <t>重訪Ⅱ入院等日中４．０・２人・９０日減</t>
  </si>
  <si>
    <t>重訪Ⅱ入院等日中４．０・同行・９０日減</t>
  </si>
  <si>
    <t>重訪Ⅱ入院等日中４．０・２人・同行・９０日減</t>
  </si>
  <si>
    <t>重訪Ⅱ入院等日中８．０</t>
  </si>
  <si>
    <t>重訪Ⅱ入院等日中８．０・２人</t>
  </si>
  <si>
    <t>重訪Ⅱ入院等日中８．０・同行</t>
  </si>
  <si>
    <t>重訪Ⅱ入院等日中８．０・２人・同行</t>
  </si>
  <si>
    <t>重訪Ⅱ入院等日中８．０・９０日減</t>
  </si>
  <si>
    <t>重訪Ⅱ入院等日中８．０・２人・９０日減</t>
  </si>
  <si>
    <t>重訪Ⅱ入院等日中８．０・同行・９０日減</t>
  </si>
  <si>
    <t>重訪Ⅱ入院等日中８．０・２人・同行・９０日減</t>
  </si>
  <si>
    <t>重訪Ⅱ入院等日中１２．０</t>
  </si>
  <si>
    <t>重訪Ⅱ入院等日中１２．０・２人</t>
  </si>
  <si>
    <t>重訪Ⅱ入院等日中１２．０・同行</t>
  </si>
  <si>
    <t>重訪Ⅱ入院等日中１２．０・２人・同行</t>
  </si>
  <si>
    <t>重訪Ⅱ入院等日中１２．０・９０日減</t>
  </si>
  <si>
    <t>重訪Ⅱ入院等日中１２．０・２人・９０日減</t>
  </si>
  <si>
    <t>重訪Ⅱ入院等日中１２．０・同行・９０日減</t>
  </si>
  <si>
    <t>重訪Ⅱ入院等日中１２．０・２人・同行・９０日減</t>
  </si>
  <si>
    <t>重訪Ⅱ入院等日中１６．０</t>
  </si>
  <si>
    <t>重訪Ⅱ入院等日中１６．０・２人</t>
  </si>
  <si>
    <t>重訪Ⅱ入院等日中１６．０・同行</t>
  </si>
  <si>
    <t>重訪Ⅱ入院等日中１６．０・２人・同行</t>
  </si>
  <si>
    <t>重訪Ⅱ入院等日中１６．０・９０日減</t>
  </si>
  <si>
    <t>重訪Ⅱ入院等日中１６．０・２人・９０日減</t>
  </si>
  <si>
    <t>重訪Ⅱ入院等日中１６．０・同行・９０日減</t>
  </si>
  <si>
    <t>重訪Ⅱ入院等日中１６．０・２人・同行・９０日減</t>
  </si>
  <si>
    <t>重訪Ⅱ入院等日中２０．０</t>
  </si>
  <si>
    <t>重訪Ⅱ入院等日中２０．０・２人</t>
  </si>
  <si>
    <t>重訪Ⅱ入院等日中２０．０・同行</t>
  </si>
  <si>
    <t>重訪Ⅱ入院等日中２０．０・２人・同行</t>
  </si>
  <si>
    <t>重訪Ⅱ入院等日中２０．０・９０日減</t>
  </si>
  <si>
    <t>重訪Ⅱ入院等日中２０．０・２人・９０日減</t>
  </si>
  <si>
    <t>重訪Ⅱ入院等日中２０．０・同行・９０日減</t>
  </si>
  <si>
    <t>重訪Ⅱ入院等日中２０．０・２人・同行・９０日減</t>
  </si>
  <si>
    <t>重訪Ⅱ入院等日中２４．０</t>
  </si>
  <si>
    <t>重訪Ⅱ入院等日中２４．０・２人</t>
  </si>
  <si>
    <t>重訪Ⅱ入院等日中２４．０・同行</t>
  </si>
  <si>
    <t>重訪Ⅱ入院等日中２４．０・２人・同行</t>
  </si>
  <si>
    <t>重訪Ⅱ入院等日中２４．０・９０日減</t>
  </si>
  <si>
    <t>重訪Ⅱ入院等日中２４．０・２人・９０日減</t>
  </si>
  <si>
    <t>重訪Ⅱ入院等日中２４．０・同行・９０日減</t>
  </si>
  <si>
    <t>重訪Ⅱ入院等日中２４．０・２人・同行・９０日減</t>
  </si>
  <si>
    <t>重訪Ⅲ入院等日中１．０</t>
  </si>
  <si>
    <t>重訪Ⅲ入院等日中１．０・２人</t>
  </si>
  <si>
    <t>重訪Ⅲ入院等日中１．０・同行</t>
  </si>
  <si>
    <t>重訪Ⅲ入院等日中１．０・２人・同行</t>
  </si>
  <si>
    <t>重訪Ⅲ入院等日中１．０・９０日減</t>
  </si>
  <si>
    <t>重訪Ⅲ入院等日中１．０・２人・９０日減</t>
  </si>
  <si>
    <t>重訪Ⅲ入院等日中１．０・同行・９０日減</t>
  </si>
  <si>
    <t>重訪Ⅲ入院等日中１．０・２人・同行・９０日減</t>
  </si>
  <si>
    <t>重訪Ⅲ入院等日中１．５</t>
  </si>
  <si>
    <t>重訪Ⅲ入院等日中１．５・２人</t>
  </si>
  <si>
    <t>重訪Ⅲ入院等日中１．５・同行</t>
  </si>
  <si>
    <t>重訪Ⅲ入院等日中１．５・２人・同行</t>
  </si>
  <si>
    <t>重訪Ⅲ入院等日中１．５・９０日減</t>
  </si>
  <si>
    <t>重訪Ⅲ入院等日中１．５・２人・９０日減</t>
  </si>
  <si>
    <t>重訪Ⅲ入院等日中１．５・同行・９０日減</t>
  </si>
  <si>
    <t>重訪Ⅲ入院等日中１．５・２人・同行・９０日減</t>
  </si>
  <si>
    <t>重訪Ⅲ入院等日中２．０</t>
  </si>
  <si>
    <t>重訪Ⅲ入院等日中２．０・２人</t>
  </si>
  <si>
    <t>重訪Ⅲ入院等日中２．０・同行</t>
  </si>
  <si>
    <t>重訪Ⅲ入院等日中２．０・２人・同行</t>
  </si>
  <si>
    <t>重訪Ⅲ入院等日中２．０・９０日減</t>
  </si>
  <si>
    <t>重訪Ⅲ入院等日中２．０・２人・９０日減</t>
  </si>
  <si>
    <t>重訪Ⅲ入院等日中２．０・同行・９０日減</t>
  </si>
  <si>
    <t>重訪Ⅲ入院等日中２．０・２人・同行・９０日減</t>
  </si>
  <si>
    <t>重訪Ⅲ入院等日中２．５</t>
  </si>
  <si>
    <t>重訪Ⅲ入院等日中２．５・２人</t>
  </si>
  <si>
    <t>重訪Ⅲ入院等日中２．５・同行</t>
  </si>
  <si>
    <t>重訪Ⅲ入院等日中２．５・２人・同行</t>
  </si>
  <si>
    <t>重訪Ⅲ入院等日中２．５・９０日減</t>
  </si>
  <si>
    <t>重訪Ⅲ入院等日中２．５・２人・９０日減</t>
  </si>
  <si>
    <t>重訪Ⅲ入院等日中２．５・同行・９０日減</t>
  </si>
  <si>
    <t>重訪Ⅲ入院等日中２．５・２人・同行・９０日減</t>
  </si>
  <si>
    <t>重訪Ⅲ入院等日中３．０</t>
  </si>
  <si>
    <t>重訪Ⅲ入院等日中３．０・２人</t>
  </si>
  <si>
    <t>重訪Ⅲ入院等日中３．０・同行</t>
  </si>
  <si>
    <t>重訪Ⅲ入院等日中３．０・２人・同行</t>
  </si>
  <si>
    <t>重訪Ⅲ入院等日中３．０・９０日減</t>
  </si>
  <si>
    <t>重訪Ⅲ入院等日中３．０・２人・９０日減</t>
  </si>
  <si>
    <t>重訪Ⅲ入院等日中３．０・同行・９０日減</t>
  </si>
  <si>
    <t>重訪Ⅲ入院等日中３．０・２人・同行・９０日減</t>
  </si>
  <si>
    <t>重訪Ⅲ入院等日中３．５</t>
  </si>
  <si>
    <t>重訪Ⅲ入院等日中３．５・２人</t>
  </si>
  <si>
    <t>重訪Ⅲ入院等日中３．５・同行</t>
  </si>
  <si>
    <t>重訪Ⅲ入院等日中３．５・２人・同行</t>
  </si>
  <si>
    <t>重訪Ⅲ入院等日中３．５・９０日減</t>
  </si>
  <si>
    <t>重訪Ⅲ入院等日中３．５・２人・９０日減</t>
  </si>
  <si>
    <t>重訪Ⅲ入院等日中３．５・同行・９０日減</t>
  </si>
  <si>
    <t>重訪Ⅲ入院等日中３．５・２人・同行・９０日減</t>
  </si>
  <si>
    <t>重訪Ⅲ入院等日中４．０</t>
  </si>
  <si>
    <t>重訪Ⅲ入院等日中４．０・２人</t>
  </si>
  <si>
    <t>重訪Ⅲ入院等日中４．０・同行</t>
  </si>
  <si>
    <t>重訪Ⅲ入院等日中４．０・２人・同行</t>
  </si>
  <si>
    <t>重訪Ⅲ入院等日中４．０・９０日減</t>
  </si>
  <si>
    <t>重訪Ⅲ入院等日中４．０・２人・９０日減</t>
  </si>
  <si>
    <t>重訪Ⅲ入院等日中４．０・同行・９０日減</t>
  </si>
  <si>
    <t>重訪Ⅲ入院等日中４．０・２人・同行・９０日減</t>
  </si>
  <si>
    <t>重訪Ⅲ入院等日中８．０</t>
  </si>
  <si>
    <t>重訪Ⅲ入院等日中８．０・２人</t>
  </si>
  <si>
    <t>重訪Ⅲ入院等日中８．０・同行</t>
  </si>
  <si>
    <t>重訪Ⅲ入院等日中８．０・２人・同行</t>
  </si>
  <si>
    <t>重訪Ⅲ入院等日中８．０・９０日減</t>
  </si>
  <si>
    <t>重訪Ⅲ入院等日中８．０・２人・９０日減</t>
  </si>
  <si>
    <t>重訪Ⅲ入院等日中８．０・同行・９０日減</t>
  </si>
  <si>
    <t>重訪Ⅲ入院等日中８．０・２人・同行・９０日減</t>
  </si>
  <si>
    <t>重訪Ⅲ入院等日中１２．０</t>
  </si>
  <si>
    <t>重訪Ⅲ入院等日中１２．０・２人</t>
  </si>
  <si>
    <t>重訪Ⅲ入院等日中１２．０・同行</t>
  </si>
  <si>
    <t>重訪Ⅲ入院等日中１２．０・２人・同行</t>
  </si>
  <si>
    <t>重訪Ⅲ入院等日中１２．０・９０日減</t>
  </si>
  <si>
    <t>重訪Ⅲ入院等日中１２．０・２人・９０日減</t>
  </si>
  <si>
    <t>重訪Ⅲ入院等日中１２．０・同行・９０日減</t>
  </si>
  <si>
    <t>重訪Ⅲ入院等日中１２．０・２人・同行・９０日減</t>
  </si>
  <si>
    <t>重訪Ⅲ入院等日中１６．０</t>
  </si>
  <si>
    <t>重訪Ⅲ入院等日中１６．０・２人</t>
  </si>
  <si>
    <t>重訪Ⅲ入院等日中１６．０・同行</t>
  </si>
  <si>
    <t>重訪Ⅲ入院等日中１６．０・２人・同行</t>
  </si>
  <si>
    <t>重訪Ⅲ入院等日中１６．０・９０日減</t>
  </si>
  <si>
    <t>重訪Ⅲ入院等日中１６．０・２人・９０日減</t>
  </si>
  <si>
    <t>重訪Ⅲ入院等日中１６．０・同行・９０日減</t>
  </si>
  <si>
    <t>重訪Ⅲ入院等日中１６．０・２人・同行・９０日減</t>
  </si>
  <si>
    <t>重訪Ⅲ入院等日中２０．０</t>
  </si>
  <si>
    <t>重訪Ⅲ入院等日中２０．０・２人</t>
  </si>
  <si>
    <t>重訪Ⅲ入院等日中２０．０・同行</t>
  </si>
  <si>
    <t>重訪Ⅲ入院等日中２０．０・２人・同行</t>
  </si>
  <si>
    <t>重訪Ⅲ入院等日中２０．０・９０日減</t>
  </si>
  <si>
    <t>重訪Ⅲ入院等日中２０．０・２人・９０日減</t>
  </si>
  <si>
    <t>重訪Ⅲ入院等日中２０．０・同行・９０日減</t>
  </si>
  <si>
    <t>重訪Ⅲ入院等日中２０．０・２人・同行・９０日減</t>
  </si>
  <si>
    <t>重訪Ⅲ入院等日中２４．０</t>
  </si>
  <si>
    <t>重訪Ⅲ入院等日中２４．０・２人</t>
  </si>
  <si>
    <t>重訪Ⅲ入院等日中２４．０・同行</t>
  </si>
  <si>
    <t>重訪Ⅲ入院等日中２４．０・２人・同行</t>
  </si>
  <si>
    <t>重訪Ⅲ入院等日中２４．０・９０日減</t>
  </si>
  <si>
    <t>重訪Ⅲ入院等日中２４．０・２人・９０日減</t>
  </si>
  <si>
    <t>重訪Ⅲ入院等日中２４．０・同行・９０日減</t>
  </si>
  <si>
    <t>重訪Ⅲ入院等日中２４．０・２人・同行・９０日減</t>
  </si>
  <si>
    <t>ロ　病院等に入院又は入所中に利用した場合（早朝のみ）</t>
  </si>
  <si>
    <t>重訪Ⅰ入院等早朝１．０</t>
  </si>
  <si>
    <t>早朝の場合</t>
    <phoneticPr fontId="1"/>
  </si>
  <si>
    <t>重訪Ⅰ入院等早朝１．０・２人</t>
  </si>
  <si>
    <t>重訪Ⅰ入院等早朝１．０・同行</t>
  </si>
  <si>
    <t>重訪Ⅰ入院等早朝１．０・２人・同行</t>
  </si>
  <si>
    <t>重訪Ⅰ入院等早朝１．０・９０日減</t>
  </si>
  <si>
    <t>重訪Ⅰ入院等早朝１．０・２人・９０日減</t>
  </si>
  <si>
    <t>重訪Ⅰ入院等早朝１．０・同行・９０日減</t>
  </si>
  <si>
    <t>重訪Ⅰ入院等早朝１．０・２人・同行・９０日減</t>
  </si>
  <si>
    <t>重訪Ⅰ入院等早朝１．５</t>
  </si>
  <si>
    <t>重訪Ⅰ入院等早朝１．５・２人</t>
  </si>
  <si>
    <t>重訪Ⅰ入院等早朝１．５・同行</t>
  </si>
  <si>
    <t>重訪Ⅰ入院等早朝１．５・２人・同行</t>
  </si>
  <si>
    <t>重訪Ⅰ入院等早朝１．５・９０日減</t>
  </si>
  <si>
    <t>重訪Ⅰ入院等早朝１．５・２人・９０日減</t>
  </si>
  <si>
    <t>重訪Ⅰ入院等早朝１．５・同行・９０日減</t>
  </si>
  <si>
    <t>重訪Ⅰ入院等早朝１．５・２人・同行・９０日減</t>
  </si>
  <si>
    <t>重訪Ⅰ入院等早朝２．０</t>
  </si>
  <si>
    <t>重訪Ⅰ入院等早朝２．０・２人</t>
  </si>
  <si>
    <t>重訪Ⅰ入院等早朝２．０・同行</t>
  </si>
  <si>
    <t>重訪Ⅰ入院等早朝２．０・２人・同行</t>
  </si>
  <si>
    <t>重訪Ⅰ入院等早朝２．０・９０日減</t>
  </si>
  <si>
    <t>重訪Ⅰ入院等早朝２．０・２人・９０日減</t>
  </si>
  <si>
    <t>重訪Ⅰ入院等早朝２．０・同行・９０日減</t>
  </si>
  <si>
    <t>重訪Ⅰ入院等早朝２．０・２人・同行・９０日減</t>
  </si>
  <si>
    <t>重訪Ⅰ入院等早朝２．５</t>
  </si>
  <si>
    <t>重訪Ⅰ入院等早朝２．５・２人</t>
  </si>
  <si>
    <t>重訪Ⅰ入院等早朝２．５・同行</t>
  </si>
  <si>
    <t>重訪Ⅰ入院等早朝２．５・２人・同行</t>
  </si>
  <si>
    <t>重訪Ⅰ入院等早朝２．５・９０日減</t>
  </si>
  <si>
    <t>重訪Ⅰ入院等早朝２．５・２人・９０日減</t>
  </si>
  <si>
    <t>重訪Ⅰ入院等早朝２．５・同行・９０日減</t>
  </si>
  <si>
    <t>重訪Ⅰ入院等早朝２．５・２人・同行・９０日減</t>
  </si>
  <si>
    <t>重訪Ⅰ入院等早朝３．０</t>
  </si>
  <si>
    <t>重訪Ⅰ入院等早朝３．０・２人</t>
  </si>
  <si>
    <t>重訪Ⅰ入院等早朝３．０・同行</t>
  </si>
  <si>
    <t>重訪Ⅰ入院等早朝３．０・２人・同行</t>
  </si>
  <si>
    <t>重訪Ⅰ入院等早朝３．０・９０日減</t>
  </si>
  <si>
    <t>重訪Ⅰ入院等早朝３．０・２人・９０日減</t>
  </si>
  <si>
    <t>重訪Ⅰ入院等早朝３．０・同行・９０日減</t>
  </si>
  <si>
    <t>重訪Ⅰ入院等早朝３．０・２人・同行・９０日減</t>
  </si>
  <si>
    <t>重訪Ⅰ入院等早朝３．５</t>
  </si>
  <si>
    <t>重訪Ⅰ入院等早朝３．５・２人</t>
  </si>
  <si>
    <t>重訪Ⅰ入院等早朝３．５・同行</t>
  </si>
  <si>
    <t>重訪Ⅰ入院等早朝３．５・２人・同行</t>
  </si>
  <si>
    <t>重訪Ⅰ入院等早朝３．５・９０日減</t>
  </si>
  <si>
    <t>重訪Ⅰ入院等早朝３．５・２人・９０日減</t>
  </si>
  <si>
    <t>重訪Ⅰ入院等早朝３．５・同行・９０日減</t>
  </si>
  <si>
    <t>重訪Ⅰ入院等早朝３．５・２人・同行・９０日減</t>
  </si>
  <si>
    <t>重訪Ⅰ入院等早朝４．０</t>
  </si>
  <si>
    <t>重訪Ⅰ入院等早朝４．０・２人</t>
  </si>
  <si>
    <t>重訪Ⅰ入院等早朝４．０・同行</t>
  </si>
  <si>
    <t>重訪Ⅰ入院等早朝４．０・２人・同行</t>
  </si>
  <si>
    <t>重訪Ⅰ入院等早朝４．０・９０日減</t>
  </si>
  <si>
    <t>重訪Ⅰ入院等早朝４．０・２人・９０日減</t>
  </si>
  <si>
    <t>重訪Ⅰ入院等早朝４．０・同行・９０日減</t>
  </si>
  <si>
    <t>重訪Ⅰ入院等早朝４．０・２人・同行・９０日減</t>
  </si>
  <si>
    <t>重訪Ⅰ入院等早朝８．０</t>
  </si>
  <si>
    <t>重訪Ⅰ入院等早朝８．０・２人</t>
  </si>
  <si>
    <t>重訪Ⅰ入院等早朝８．０・同行</t>
  </si>
  <si>
    <t>重訪Ⅰ入院等早朝８．０・２人・同行</t>
  </si>
  <si>
    <t>重訪Ⅰ入院等早朝８．０・９０日減</t>
  </si>
  <si>
    <t>重訪Ⅰ入院等早朝８．０・２人・９０日減</t>
  </si>
  <si>
    <t>重訪Ⅰ入院等早朝８．０・同行・９０日減</t>
  </si>
  <si>
    <t>重訪Ⅰ入院等早朝８．０・２人・同行・９０日減</t>
  </si>
  <si>
    <t>重訪Ⅰ入院等早朝１２．０</t>
  </si>
  <si>
    <t>重訪Ⅰ入院等早朝１２．０・２人</t>
  </si>
  <si>
    <t>重訪Ⅰ入院等早朝１２．０・同行</t>
  </si>
  <si>
    <t>重訪Ⅰ入院等早朝１２．０・２人・同行</t>
  </si>
  <si>
    <t>重訪Ⅰ入院等早朝１２．０・９０日減</t>
  </si>
  <si>
    <t>重訪Ⅰ入院等早朝１２．０・２人・９０日減</t>
  </si>
  <si>
    <t>重訪Ⅰ入院等早朝１２．０・同行・９０日減</t>
  </si>
  <si>
    <t>重訪Ⅰ入院等早朝１２．０・２人・同行・９０日減</t>
  </si>
  <si>
    <t>重訪Ⅰ入院等早朝１６．０</t>
  </si>
  <si>
    <t>重訪Ⅰ入院等早朝１６．０・２人</t>
  </si>
  <si>
    <t>重訪Ⅰ入院等早朝１６．０・同行</t>
  </si>
  <si>
    <t>重訪Ⅰ入院等早朝１６．０・２人・同行</t>
  </si>
  <si>
    <t>重訪Ⅰ入院等早朝１６．０・９０日減</t>
  </si>
  <si>
    <t>重訪Ⅰ入院等早朝１６．０・２人・９０日減</t>
  </si>
  <si>
    <t>重訪Ⅰ入院等早朝１６．０・同行・９０日減</t>
  </si>
  <si>
    <t>重訪Ⅰ入院等早朝１６．０・２人・同行・９０日減</t>
  </si>
  <si>
    <t>重訪Ⅰ入院等早朝２０．０</t>
  </si>
  <si>
    <t>重訪Ⅰ入院等早朝２０．０・２人</t>
  </si>
  <si>
    <t>重訪Ⅰ入院等早朝２０．０・同行</t>
  </si>
  <si>
    <t>重訪Ⅰ入院等早朝２０．０・２人・同行</t>
  </si>
  <si>
    <t>重訪Ⅰ入院等早朝２０．０・９０日減</t>
  </si>
  <si>
    <t>重訪Ⅰ入院等早朝２０．０・２人・９０日減</t>
  </si>
  <si>
    <t>重訪Ⅰ入院等早朝２０．０・同行・９０日減</t>
  </si>
  <si>
    <t>重訪Ⅰ入院等早朝２０．０・２人・同行・９０日減</t>
  </si>
  <si>
    <t>重訪Ⅰ入院等早朝２４．０</t>
  </si>
  <si>
    <t>重訪Ⅰ入院等早朝２４．０・２人</t>
  </si>
  <si>
    <t>重訪Ⅰ入院等早朝２４．０・同行</t>
  </si>
  <si>
    <t>重訪Ⅰ入院等早朝２４．０・２人・同行</t>
  </si>
  <si>
    <t>重訪Ⅰ入院等早朝２４．０・９０日減</t>
  </si>
  <si>
    <t>重訪Ⅰ入院等早朝２４．０・２人・９０日減</t>
  </si>
  <si>
    <t>重訪Ⅰ入院等早朝２４．０・同行・９０日減</t>
  </si>
  <si>
    <t>重訪Ⅰ入院等早朝２４．０・２人・同行・９０日減</t>
  </si>
  <si>
    <t>重訪Ⅱ入院等早朝１．０</t>
  </si>
  <si>
    <t>重訪Ⅱ入院等早朝１．０・２人</t>
  </si>
  <si>
    <t>重訪Ⅱ入院等早朝１．０・同行</t>
  </si>
  <si>
    <t>重訪Ⅱ入院等早朝１．０・２人・同行</t>
  </si>
  <si>
    <t>重訪Ⅱ入院等早朝１．０・９０日減</t>
  </si>
  <si>
    <t>重訪Ⅱ入院等早朝１．０・２人・９０日減</t>
  </si>
  <si>
    <t>重訪Ⅱ入院等早朝１．０・同行・９０日減</t>
  </si>
  <si>
    <t>重訪Ⅱ入院等早朝１．０・２人・同行・９０日減</t>
  </si>
  <si>
    <t>重訪Ⅱ入院等早朝１．５</t>
  </si>
  <si>
    <t>重訪Ⅱ入院等早朝１．５・２人</t>
  </si>
  <si>
    <t>重訪Ⅱ入院等早朝１．５・同行</t>
  </si>
  <si>
    <t>重訪Ⅱ入院等早朝１．５・２人・同行</t>
  </si>
  <si>
    <t>重訪Ⅱ入院等早朝１．５・９０日減</t>
  </si>
  <si>
    <t>重訪Ⅱ入院等早朝１．５・２人・９０日減</t>
  </si>
  <si>
    <t>重訪Ⅱ入院等早朝１．５・同行・９０日減</t>
  </si>
  <si>
    <t>重訪Ⅱ入院等早朝１．５・２人・同行・９０日減</t>
  </si>
  <si>
    <t>重訪Ⅱ入院等早朝２．０</t>
  </si>
  <si>
    <t>重訪Ⅱ入院等早朝２．０・２人</t>
  </si>
  <si>
    <t>重訪Ⅱ入院等早朝２．０・同行</t>
  </si>
  <si>
    <t>重訪Ⅱ入院等早朝２．０・２人・同行</t>
  </si>
  <si>
    <t>重訪Ⅱ入院等早朝２．０・９０日減</t>
  </si>
  <si>
    <t>重訪Ⅱ入院等早朝２．０・２人・９０日減</t>
  </si>
  <si>
    <t>重訪Ⅱ入院等早朝２．０・同行・９０日減</t>
  </si>
  <si>
    <t>重訪Ⅱ入院等早朝２．０・２人・同行・９０日減</t>
  </si>
  <si>
    <t>重訪Ⅱ入院等早朝２．５</t>
  </si>
  <si>
    <t>重訪Ⅱ入院等早朝２．５・２人</t>
  </si>
  <si>
    <t>重訪Ⅱ入院等早朝２．５・同行</t>
  </si>
  <si>
    <t>重訪Ⅱ入院等早朝２．５・２人・同行</t>
  </si>
  <si>
    <t>重訪Ⅱ入院等早朝２．５・９０日減</t>
  </si>
  <si>
    <t>重訪Ⅱ入院等早朝２．５・２人・９０日減</t>
  </si>
  <si>
    <t>重訪Ⅱ入院等早朝２．５・同行・９０日減</t>
  </si>
  <si>
    <t>重訪Ⅱ入院等早朝２．５・２人・同行・９０日減</t>
  </si>
  <si>
    <t>重訪Ⅱ入院等早朝３．０</t>
  </si>
  <si>
    <t>重訪Ⅱ入院等早朝３．０・２人</t>
  </si>
  <si>
    <t>重訪Ⅱ入院等早朝３．０・同行</t>
  </si>
  <si>
    <t>重訪Ⅱ入院等早朝３．０・２人・同行</t>
  </si>
  <si>
    <t>重訪Ⅱ入院等早朝３．０・９０日減</t>
  </si>
  <si>
    <t>重訪Ⅱ入院等早朝３．０・２人・９０日減</t>
  </si>
  <si>
    <t>重訪Ⅱ入院等早朝３．０・同行・９０日減</t>
  </si>
  <si>
    <t>重訪Ⅱ入院等早朝３．０・２人・同行・９０日減</t>
  </si>
  <si>
    <t>重訪Ⅱ入院等早朝３．５</t>
  </si>
  <si>
    <t>重訪Ⅱ入院等早朝３．５・２人</t>
  </si>
  <si>
    <t>重訪Ⅱ入院等早朝３．５・同行</t>
  </si>
  <si>
    <t>重訪Ⅱ入院等早朝３．５・２人・同行</t>
  </si>
  <si>
    <t>重訪Ⅱ入院等早朝３．５・９０日減</t>
  </si>
  <si>
    <t>重訪Ⅱ入院等早朝３．５・２人・９０日減</t>
  </si>
  <si>
    <t>重訪Ⅱ入院等早朝３．５・同行・９０日減</t>
  </si>
  <si>
    <t>重訪Ⅱ入院等早朝３．５・２人・同行・９０日減</t>
  </si>
  <si>
    <t>重訪Ⅱ入院等早朝４．０</t>
  </si>
  <si>
    <t>重訪Ⅱ入院等早朝４．０・２人</t>
  </si>
  <si>
    <t>重訪Ⅱ入院等早朝４．０・同行</t>
  </si>
  <si>
    <t>重訪Ⅱ入院等早朝４．０・２人・同行</t>
  </si>
  <si>
    <t>重訪Ⅱ入院等早朝４．０・９０日減</t>
  </si>
  <si>
    <t>重訪Ⅱ入院等早朝４．０・２人・９０日減</t>
  </si>
  <si>
    <t>重訪Ⅱ入院等早朝４．０・同行・９０日減</t>
  </si>
  <si>
    <t>重訪Ⅱ入院等早朝４．０・２人・同行・９０日減</t>
  </si>
  <si>
    <t>重訪Ⅱ入院等早朝８．０</t>
  </si>
  <si>
    <t>重訪Ⅱ入院等早朝８．０・２人</t>
  </si>
  <si>
    <t>重訪Ⅱ入院等早朝８．０・同行</t>
  </si>
  <si>
    <t>重訪Ⅱ入院等早朝８．０・２人・同行</t>
  </si>
  <si>
    <t>重訪Ⅱ入院等早朝８．０・９０日減</t>
  </si>
  <si>
    <t>重訪Ⅱ入院等早朝８．０・２人・９０日減</t>
  </si>
  <si>
    <t>重訪Ⅱ入院等早朝８．０・同行・９０日減</t>
  </si>
  <si>
    <t>重訪Ⅱ入院等早朝８．０・２人・同行・９０日減</t>
  </si>
  <si>
    <t>重訪Ⅱ入院等早朝１２．０</t>
  </si>
  <si>
    <t>重訪Ⅱ入院等早朝１２．０・２人</t>
  </si>
  <si>
    <t>重訪Ⅱ入院等早朝１２．０・同行</t>
  </si>
  <si>
    <t>重訪Ⅱ入院等早朝１２．０・２人・同行</t>
  </si>
  <si>
    <t>重訪Ⅱ入院等早朝１２．０・９０日減</t>
  </si>
  <si>
    <t>重訪Ⅱ入院等早朝１２．０・２人・９０日減</t>
  </si>
  <si>
    <t>重訪Ⅱ入院等早朝１２．０・同行・９０日減</t>
  </si>
  <si>
    <t>重訪Ⅱ入院等早朝１２．０・２人・同行・９０日減</t>
  </si>
  <si>
    <t>重訪Ⅱ入院等早朝１６．０</t>
  </si>
  <si>
    <t>重訪Ⅱ入院等早朝１６．０・２人</t>
  </si>
  <si>
    <t>重訪Ⅱ入院等早朝１６．０・同行</t>
  </si>
  <si>
    <t>重訪Ⅱ入院等早朝１６．０・２人・同行</t>
  </si>
  <si>
    <t>重訪Ⅱ入院等早朝１６．０・９０日減</t>
  </si>
  <si>
    <t>重訪Ⅱ入院等早朝１６．０・２人・９０日減</t>
  </si>
  <si>
    <t>重訪Ⅱ入院等早朝１６．０・同行・９０日減</t>
  </si>
  <si>
    <t>重訪Ⅱ入院等早朝１６．０・２人・同行・９０日減</t>
  </si>
  <si>
    <t>重訪Ⅱ入院等早朝２０．０</t>
  </si>
  <si>
    <t>重訪Ⅱ入院等早朝２０．０・２人</t>
  </si>
  <si>
    <t>重訪Ⅱ入院等早朝２０．０・同行</t>
  </si>
  <si>
    <t>重訪Ⅱ入院等早朝２０．０・２人・同行</t>
  </si>
  <si>
    <t>重訪Ⅱ入院等早朝２０．０・９０日減</t>
  </si>
  <si>
    <t>重訪Ⅱ入院等早朝２０．０・２人・９０日減</t>
  </si>
  <si>
    <t>重訪Ⅱ入院等早朝２０．０・同行・９０日減</t>
  </si>
  <si>
    <t>重訪Ⅱ入院等早朝２０．０・２人・同行・９０日減</t>
  </si>
  <si>
    <t>重訪Ⅱ入院等早朝２４．０</t>
  </si>
  <si>
    <t>重訪Ⅱ入院等早朝２４．０・２人</t>
  </si>
  <si>
    <t>重訪Ⅱ入院等早朝２４．０・同行</t>
  </si>
  <si>
    <t>重訪Ⅱ入院等早朝２４．０・２人・同行</t>
  </si>
  <si>
    <t>重訪Ⅱ入院等早朝２４．０・９０日減</t>
  </si>
  <si>
    <t>重訪Ⅱ入院等早朝２４．０・２人・９０日減</t>
  </si>
  <si>
    <t>重訪Ⅱ入院等早朝２４．０・同行・９０日減</t>
  </si>
  <si>
    <t>重訪Ⅱ入院等早朝２４．０・２人・同行・９０日減</t>
  </si>
  <si>
    <t>重訪Ⅲ入院等早朝１．０</t>
  </si>
  <si>
    <t>重訪Ⅲ入院等早朝１．０・２人</t>
  </si>
  <si>
    <t>重訪Ⅲ入院等早朝１．０・同行</t>
  </si>
  <si>
    <t>重訪Ⅲ入院等早朝１．０・２人・同行</t>
  </si>
  <si>
    <t>重訪Ⅲ入院等早朝１．０・９０日減</t>
  </si>
  <si>
    <t>重訪Ⅲ入院等早朝１．０・２人・９０日減</t>
  </si>
  <si>
    <t>重訪Ⅲ入院等早朝１．０・同行・９０日減</t>
  </si>
  <si>
    <t>重訪Ⅲ入院等早朝１．０・２人・同行・９０日減</t>
  </si>
  <si>
    <t>重訪Ⅲ入院等早朝１．５</t>
  </si>
  <si>
    <t>重訪Ⅲ入院等早朝１．５・２人</t>
  </si>
  <si>
    <t>重訪Ⅲ入院等早朝１．５・同行</t>
  </si>
  <si>
    <t>重訪Ⅲ入院等早朝１．５・２人・同行</t>
  </si>
  <si>
    <t>重訪Ⅲ入院等早朝１．５・９０日減</t>
  </si>
  <si>
    <t>重訪Ⅲ入院等早朝１．５・２人・９０日減</t>
  </si>
  <si>
    <t>重訪Ⅲ入院等早朝１．５・同行・９０日減</t>
  </si>
  <si>
    <t>重訪Ⅲ入院等早朝１．５・２人・同行・９０日減</t>
  </si>
  <si>
    <t>重訪Ⅲ入院等早朝２．０</t>
  </si>
  <si>
    <t>重訪Ⅲ入院等早朝２．０・２人</t>
  </si>
  <si>
    <t>重訪Ⅲ入院等早朝２．０・同行</t>
  </si>
  <si>
    <t>重訪Ⅲ入院等早朝２．０・２人・同行</t>
  </si>
  <si>
    <t>重訪Ⅲ入院等早朝２．０・９０日減</t>
  </si>
  <si>
    <t>重訪Ⅲ入院等早朝２．０・２人・９０日減</t>
  </si>
  <si>
    <t>重訪Ⅲ入院等早朝２．０・同行・９０日減</t>
  </si>
  <si>
    <t>重訪Ⅲ入院等早朝２．０・２人・同行・９０日減</t>
  </si>
  <si>
    <t>重訪Ⅲ入院等早朝２．５</t>
  </si>
  <si>
    <t>重訪Ⅲ入院等早朝２．５・２人</t>
  </si>
  <si>
    <t>重訪Ⅲ入院等早朝２．５・同行</t>
  </si>
  <si>
    <t>重訪Ⅲ入院等早朝２．５・２人・同行</t>
  </si>
  <si>
    <t>重訪Ⅲ入院等早朝２．５・９０日減</t>
  </si>
  <si>
    <t>重訪Ⅲ入院等早朝２．５・２人・９０日減</t>
  </si>
  <si>
    <t>重訪Ⅲ入院等早朝２．５・同行・９０日減</t>
  </si>
  <si>
    <t>重訪Ⅲ入院等早朝２．５・２人・同行・９０日減</t>
  </si>
  <si>
    <t>重訪Ⅲ入院等早朝３．０</t>
  </si>
  <si>
    <t>重訪Ⅲ入院等早朝３．０・２人</t>
  </si>
  <si>
    <t>重訪Ⅲ入院等早朝３．０・同行</t>
  </si>
  <si>
    <t>重訪Ⅲ入院等早朝３．０・２人・同行</t>
  </si>
  <si>
    <t>重訪Ⅲ入院等早朝３．０・９０日減</t>
  </si>
  <si>
    <t>重訪Ⅲ入院等早朝３．０・２人・９０日減</t>
  </si>
  <si>
    <t>重訪Ⅲ入院等早朝３．０・同行・９０日減</t>
  </si>
  <si>
    <t>重訪Ⅲ入院等早朝３．０・２人・同行・９０日減</t>
  </si>
  <si>
    <t>重訪Ⅲ入院等早朝３．５</t>
  </si>
  <si>
    <t>重訪Ⅲ入院等早朝３．５・２人</t>
  </si>
  <si>
    <t>重訪Ⅲ入院等早朝３．５・同行</t>
  </si>
  <si>
    <t>重訪Ⅲ入院等早朝３．５・２人・同行</t>
  </si>
  <si>
    <t>重訪Ⅲ入院等早朝３．５・９０日減</t>
  </si>
  <si>
    <t>重訪Ⅲ入院等早朝３．５・２人・９０日減</t>
  </si>
  <si>
    <t>重訪Ⅲ入院等早朝３．５・同行・９０日減</t>
  </si>
  <si>
    <t>重訪Ⅲ入院等早朝３．５・２人・同行・９０日減</t>
  </si>
  <si>
    <t>重訪Ⅲ入院等早朝４．０</t>
  </si>
  <si>
    <t>重訪Ⅲ入院等早朝４．０・２人</t>
  </si>
  <si>
    <t>重訪Ⅲ入院等早朝４．０・同行</t>
  </si>
  <si>
    <t>重訪Ⅲ入院等早朝４．０・２人・同行</t>
  </si>
  <si>
    <t>重訪Ⅲ入院等早朝４．０・９０日減</t>
  </si>
  <si>
    <t>重訪Ⅲ入院等早朝４．０・２人・９０日減</t>
  </si>
  <si>
    <t>重訪Ⅲ入院等早朝４．０・同行・９０日減</t>
  </si>
  <si>
    <t>重訪Ⅲ入院等早朝４．０・２人・同行・９０日減</t>
  </si>
  <si>
    <t>重訪Ⅲ入院等早朝８．０</t>
  </si>
  <si>
    <t>重訪Ⅲ入院等早朝８．０・２人</t>
  </si>
  <si>
    <t>重訪Ⅲ入院等早朝８．０・同行</t>
  </si>
  <si>
    <t>重訪Ⅲ入院等早朝８．０・２人・同行</t>
  </si>
  <si>
    <t>重訪Ⅲ入院等早朝８．０・９０日減</t>
  </si>
  <si>
    <t>重訪Ⅲ入院等早朝８．０・２人・９０日減</t>
  </si>
  <si>
    <t>重訪Ⅲ入院等早朝８．０・同行・９０日減</t>
  </si>
  <si>
    <t>重訪Ⅲ入院等早朝８．０・２人・同行・９０日減</t>
  </si>
  <si>
    <t>重訪Ⅲ入院等早朝１２．０</t>
  </si>
  <si>
    <t>重訪Ⅲ入院等早朝１２．０・２人</t>
  </si>
  <si>
    <t>重訪Ⅲ入院等早朝１２．０・同行</t>
  </si>
  <si>
    <t>重訪Ⅲ入院等早朝１２．０・２人・同行</t>
  </si>
  <si>
    <t>重訪Ⅲ入院等早朝１２．０・９０日減</t>
  </si>
  <si>
    <t>重訪Ⅲ入院等早朝１２．０・２人・９０日減</t>
  </si>
  <si>
    <t>重訪Ⅲ入院等早朝１２．０・同行・９０日減</t>
  </si>
  <si>
    <t>重訪Ⅲ入院等早朝１２．０・２人・同行・９０日減</t>
  </si>
  <si>
    <t>重訪Ⅲ入院等早朝１６．０</t>
  </si>
  <si>
    <t>重訪Ⅲ入院等早朝１６．０・２人</t>
  </si>
  <si>
    <t>重訪Ⅲ入院等早朝１６．０・同行</t>
  </si>
  <si>
    <t>重訪Ⅲ入院等早朝１６．０・２人・同行</t>
  </si>
  <si>
    <t>重訪Ⅲ入院等早朝１６．０・９０日減</t>
  </si>
  <si>
    <t>重訪Ⅲ入院等早朝１６．０・２人・９０日減</t>
  </si>
  <si>
    <t>重訪Ⅲ入院等早朝１６．０・同行・９０日減</t>
  </si>
  <si>
    <t>重訪Ⅲ入院等早朝１６．０・２人・同行・９０日減</t>
  </si>
  <si>
    <t>重訪Ⅲ入院等早朝２０．０</t>
  </si>
  <si>
    <t>重訪Ⅲ入院等早朝２０．０・２人</t>
  </si>
  <si>
    <t>重訪Ⅲ入院等早朝２０．０・同行</t>
  </si>
  <si>
    <t>重訪Ⅲ入院等早朝２０．０・２人・同行</t>
  </si>
  <si>
    <t>重訪Ⅲ入院等早朝２０．０・９０日減</t>
  </si>
  <si>
    <t>重訪Ⅲ入院等早朝２０．０・２人・９０日減</t>
  </si>
  <si>
    <t>重訪Ⅲ入院等早朝２０．０・同行・９０日減</t>
  </si>
  <si>
    <t>重訪Ⅲ入院等早朝２０．０・２人・同行・９０日減</t>
  </si>
  <si>
    <t>重訪Ⅲ入院等早朝２４．０</t>
  </si>
  <si>
    <t>重訪Ⅲ入院等早朝２４．０・２人</t>
  </si>
  <si>
    <t>重訪Ⅲ入院等早朝２４．０・同行</t>
  </si>
  <si>
    <t>重訪Ⅲ入院等早朝２４．０・２人・同行</t>
  </si>
  <si>
    <t>重訪Ⅲ入院等早朝２４．０・９０日減</t>
  </si>
  <si>
    <t>重訪Ⅲ入院等早朝２４．０・２人・９０日減</t>
  </si>
  <si>
    <t>重訪Ⅲ入院等早朝２４．０・同行・９０日減</t>
  </si>
  <si>
    <t>重訪Ⅲ入院等早朝２４．０・２人・同行・９０日減</t>
  </si>
  <si>
    <t>ロ　病院等に入院又は入所中に利用した場合（夜間のみ）</t>
  </si>
  <si>
    <t>重訪Ⅰ入院等夜間１．０</t>
  </si>
  <si>
    <t>重訪Ⅰ入院等夜間１．０・２人</t>
  </si>
  <si>
    <t>重訪Ⅰ入院等夜間１．０・同行</t>
  </si>
  <si>
    <t>重訪Ⅰ入院等夜間１．０・２人・同行</t>
  </si>
  <si>
    <t>重訪Ⅰ入院等夜間１．０・９０日減</t>
  </si>
  <si>
    <t>重訪Ⅰ入院等夜間１．０・２人・９０日減</t>
  </si>
  <si>
    <t>重訪Ⅰ入院等夜間１．０・同行・９０日減</t>
  </si>
  <si>
    <t>重訪Ⅰ入院等夜間１．０・２人・同行・９０日減</t>
  </si>
  <si>
    <t>重訪Ⅰ入院等夜間１．５</t>
  </si>
  <si>
    <t>重訪Ⅰ入院等夜間１．５・２人</t>
  </si>
  <si>
    <t>重訪Ⅰ入院等夜間１．５・同行</t>
  </si>
  <si>
    <t>重訪Ⅰ入院等夜間１．５・２人・同行</t>
  </si>
  <si>
    <t>重訪Ⅰ入院等夜間１．５・９０日減</t>
  </si>
  <si>
    <t>重訪Ⅰ入院等夜間１．５・２人・９０日減</t>
  </si>
  <si>
    <t>重訪Ⅰ入院等夜間１．５・同行・９０日減</t>
  </si>
  <si>
    <t>重訪Ⅰ入院等夜間１．５・２人・同行・９０日減</t>
  </si>
  <si>
    <t>重訪Ⅰ入院等夜間２．０</t>
  </si>
  <si>
    <t>重訪Ⅰ入院等夜間２．０・２人</t>
  </si>
  <si>
    <t>重訪Ⅰ入院等夜間２．０・同行</t>
  </si>
  <si>
    <t>重訪Ⅰ入院等夜間２．０・２人・同行</t>
  </si>
  <si>
    <t>重訪Ⅰ入院等夜間２．０・９０日減</t>
  </si>
  <si>
    <t>重訪Ⅰ入院等夜間２．０・２人・９０日減</t>
  </si>
  <si>
    <t>重訪Ⅰ入院等夜間２．０・同行・９０日減</t>
  </si>
  <si>
    <t>重訪Ⅰ入院等夜間２．０・２人・同行・９０日減</t>
  </si>
  <si>
    <t>重訪Ⅰ入院等夜間２．５</t>
  </si>
  <si>
    <t>重訪Ⅰ入院等夜間２．５・２人</t>
  </si>
  <si>
    <t>重訪Ⅰ入院等夜間２．５・同行</t>
  </si>
  <si>
    <t>重訪Ⅰ入院等夜間２．５・２人・同行</t>
  </si>
  <si>
    <t>重訪Ⅰ入院等夜間２．５・９０日減</t>
  </si>
  <si>
    <t>重訪Ⅰ入院等夜間２．５・２人・９０日減</t>
  </si>
  <si>
    <t>重訪Ⅰ入院等夜間２．５・同行・９０日減</t>
  </si>
  <si>
    <t>重訪Ⅰ入院等夜間２．５・２人・同行・９０日減</t>
  </si>
  <si>
    <t>重訪Ⅰ入院等夜間３．０</t>
  </si>
  <si>
    <t>重訪Ⅰ入院等夜間３．０・２人</t>
  </si>
  <si>
    <t>重訪Ⅰ入院等夜間３．０・同行</t>
  </si>
  <si>
    <t>重訪Ⅰ入院等夜間３．０・２人・同行</t>
  </si>
  <si>
    <t>重訪Ⅰ入院等夜間３．０・９０日減</t>
  </si>
  <si>
    <t>重訪Ⅰ入院等夜間３．０・２人・９０日減</t>
  </si>
  <si>
    <t>重訪Ⅰ入院等夜間３．０・同行・９０日減</t>
  </si>
  <si>
    <t>重訪Ⅰ入院等夜間３．０・２人・同行・９０日減</t>
  </si>
  <si>
    <t>重訪Ⅰ入院等夜間３．５</t>
  </si>
  <si>
    <t>重訪Ⅰ入院等夜間３．５・２人</t>
  </si>
  <si>
    <t>重訪Ⅰ入院等夜間３．５・同行</t>
  </si>
  <si>
    <t>重訪Ⅰ入院等夜間３．５・２人・同行</t>
  </si>
  <si>
    <t>重訪Ⅰ入院等夜間３．５・９０日減</t>
  </si>
  <si>
    <t>重訪Ⅰ入院等夜間３．５・２人・９０日減</t>
  </si>
  <si>
    <t>重訪Ⅰ入院等夜間３．５・同行・９０日減</t>
  </si>
  <si>
    <t>重訪Ⅰ入院等夜間３．５・２人・同行・９０日減</t>
  </si>
  <si>
    <t>重訪Ⅰ入院等夜間４．０</t>
  </si>
  <si>
    <t>重訪Ⅰ入院等夜間４．０・２人</t>
  </si>
  <si>
    <t>重訪Ⅰ入院等夜間４．０・同行</t>
  </si>
  <si>
    <t>重訪Ⅰ入院等夜間４．０・２人・同行</t>
  </si>
  <si>
    <t>重訪Ⅰ入院等夜間４．０・９０日減</t>
  </si>
  <si>
    <t>重訪Ⅰ入院等夜間４．０・２人・９０日減</t>
  </si>
  <si>
    <t>重訪Ⅰ入院等夜間４．０・同行・９０日減</t>
  </si>
  <si>
    <t>重訪Ⅰ入院等夜間４．０・２人・同行・９０日減</t>
  </si>
  <si>
    <t>重訪Ⅰ入院等夜間８．０</t>
  </si>
  <si>
    <t>重訪Ⅰ入院等夜間８．０・２人</t>
  </si>
  <si>
    <t>重訪Ⅰ入院等夜間８．０・同行</t>
  </si>
  <si>
    <t>重訪Ⅰ入院等夜間８．０・２人・同行</t>
  </si>
  <si>
    <t>重訪Ⅰ入院等夜間８．０・９０日減</t>
  </si>
  <si>
    <t>重訪Ⅰ入院等夜間８．０・２人・９０日減</t>
  </si>
  <si>
    <t>重訪Ⅰ入院等夜間８．０・同行・９０日減</t>
  </si>
  <si>
    <t>重訪Ⅰ入院等夜間８．０・２人・同行・９０日減</t>
  </si>
  <si>
    <t>重訪Ⅰ入院等夜間１２．０</t>
  </si>
  <si>
    <t>重訪Ⅰ入院等夜間１２．０・２人</t>
  </si>
  <si>
    <t>重訪Ⅰ入院等夜間１２．０・同行</t>
  </si>
  <si>
    <t>重訪Ⅰ入院等夜間１２．０・２人・同行</t>
  </si>
  <si>
    <t>重訪Ⅰ入院等夜間１２．０・９０日減</t>
  </si>
  <si>
    <t>重訪Ⅰ入院等夜間１２．０・２人・９０日減</t>
  </si>
  <si>
    <t>重訪Ⅰ入院等夜間１２．０・同行・９０日減</t>
  </si>
  <si>
    <t>重訪Ⅰ入院等夜間１２．０・２人・同行・９０日減</t>
  </si>
  <si>
    <t>重訪Ⅰ入院等夜間１６．０</t>
  </si>
  <si>
    <t>重訪Ⅰ入院等夜間１６．０・２人</t>
  </si>
  <si>
    <t>重訪Ⅰ入院等夜間１６．０・同行</t>
  </si>
  <si>
    <t>重訪Ⅰ入院等夜間１６．０・２人・同行</t>
  </si>
  <si>
    <t>重訪Ⅰ入院等夜間１６．０・９０日減</t>
  </si>
  <si>
    <t>重訪Ⅰ入院等夜間１６．０・２人・９０日減</t>
  </si>
  <si>
    <t>重訪Ⅰ入院等夜間１６．０・同行・９０日減</t>
  </si>
  <si>
    <t>重訪Ⅰ入院等夜間１６．０・２人・同行・９０日減</t>
  </si>
  <si>
    <t>重訪Ⅰ入院等夜間２０．０</t>
  </si>
  <si>
    <t>重訪Ⅰ入院等夜間２０．０・２人</t>
  </si>
  <si>
    <t>重訪Ⅰ入院等夜間２０．０・同行</t>
  </si>
  <si>
    <t>重訪Ⅰ入院等夜間２０．０・２人・同行</t>
  </si>
  <si>
    <t>重訪Ⅰ入院等夜間２０．０・９０日減</t>
  </si>
  <si>
    <t>重訪Ⅰ入院等夜間２０．０・２人・９０日減</t>
  </si>
  <si>
    <t>重訪Ⅰ入院等夜間２０．０・同行・９０日減</t>
  </si>
  <si>
    <t>重訪Ⅰ入院等夜間２０．０・２人・同行・９０日減</t>
  </si>
  <si>
    <t>重訪Ⅰ入院等夜間２４．０</t>
  </si>
  <si>
    <t>重訪Ⅰ入院等夜間２４．０・２人</t>
  </si>
  <si>
    <t>重訪Ⅰ入院等夜間２４．０・同行</t>
  </si>
  <si>
    <t>重訪Ⅰ入院等夜間２４．０・２人・同行</t>
  </si>
  <si>
    <t>重訪Ⅰ入院等夜間２４．０・９０日減</t>
  </si>
  <si>
    <t>重訪Ⅰ入院等夜間２４．０・２人・９０日減</t>
  </si>
  <si>
    <t>重訪Ⅰ入院等夜間２４．０・同行・９０日減</t>
  </si>
  <si>
    <t>重訪Ⅰ入院等夜間２４．０・２人・同行・９０日減</t>
  </si>
  <si>
    <t>重訪Ⅱ入院等夜間１．０</t>
  </si>
  <si>
    <t>重訪Ⅱ入院等夜間１．０・２人</t>
  </si>
  <si>
    <t>重訪Ⅱ入院等夜間１．０・同行</t>
  </si>
  <si>
    <t>重訪Ⅱ入院等夜間１．０・２人・同行</t>
  </si>
  <si>
    <t>重訪Ⅱ入院等夜間１．０・９０日減</t>
  </si>
  <si>
    <t>重訪Ⅱ入院等夜間１．０・２人・９０日減</t>
  </si>
  <si>
    <t>重訪Ⅱ入院等夜間１．０・同行・９０日減</t>
  </si>
  <si>
    <t>重訪Ⅱ入院等夜間１．０・２人・同行・９０日減</t>
  </si>
  <si>
    <t>重訪Ⅱ入院等夜間１．５</t>
  </si>
  <si>
    <t>重訪Ⅱ入院等夜間１．５・２人</t>
  </si>
  <si>
    <t>重訪Ⅱ入院等夜間１．５・同行</t>
  </si>
  <si>
    <t>重訪Ⅱ入院等夜間１．５・２人・同行</t>
  </si>
  <si>
    <t>重訪Ⅱ入院等夜間１．５・９０日減</t>
  </si>
  <si>
    <t>重訪Ⅱ入院等夜間１．５・２人・９０日減</t>
  </si>
  <si>
    <t>重訪Ⅱ入院等夜間１．５・同行・９０日減</t>
  </si>
  <si>
    <t>重訪Ⅱ入院等夜間１．５・２人・同行・９０日減</t>
  </si>
  <si>
    <t>重訪Ⅱ入院等夜間２．０</t>
  </si>
  <si>
    <t>重訪Ⅱ入院等夜間２．０・２人</t>
  </si>
  <si>
    <t>重訪Ⅱ入院等夜間２．０・同行</t>
  </si>
  <si>
    <t>重訪Ⅱ入院等夜間２．０・２人・同行</t>
  </si>
  <si>
    <t>重訪Ⅱ入院等夜間２．０・９０日減</t>
  </si>
  <si>
    <t>重訪Ⅱ入院等夜間２．０・２人・９０日減</t>
  </si>
  <si>
    <t>重訪Ⅱ入院等夜間２．０・同行・９０日減</t>
  </si>
  <si>
    <t>重訪Ⅱ入院等夜間２．０・２人・同行・９０日減</t>
  </si>
  <si>
    <t>重訪Ⅱ入院等夜間２．５</t>
  </si>
  <si>
    <t>重訪Ⅱ入院等夜間２．５・２人</t>
  </si>
  <si>
    <t>重訪Ⅱ入院等夜間２．５・同行</t>
  </si>
  <si>
    <t>重訪Ⅱ入院等夜間２．５・２人・同行</t>
  </si>
  <si>
    <t>重訪Ⅱ入院等夜間２．５・９０日減</t>
  </si>
  <si>
    <t>重訪Ⅱ入院等夜間２．５・２人・９０日減</t>
  </si>
  <si>
    <t>重訪Ⅱ入院等夜間２．５・同行・９０日減</t>
  </si>
  <si>
    <t>重訪Ⅱ入院等夜間２．５・２人・同行・９０日減</t>
  </si>
  <si>
    <t>重訪Ⅱ入院等夜間３．０</t>
  </si>
  <si>
    <t>重訪Ⅱ入院等夜間３．０・２人</t>
  </si>
  <si>
    <t>重訪Ⅱ入院等夜間３．０・同行</t>
  </si>
  <si>
    <t>重訪Ⅱ入院等夜間３．０・２人・同行</t>
  </si>
  <si>
    <t>重訪Ⅱ入院等夜間３．０・９０日減</t>
  </si>
  <si>
    <t>重訪Ⅱ入院等夜間３．０・２人・９０日減</t>
  </si>
  <si>
    <t>重訪Ⅱ入院等夜間３．０・同行・９０日減</t>
  </si>
  <si>
    <t>重訪Ⅱ入院等夜間３．０・２人・同行・９０日減</t>
  </si>
  <si>
    <t>重訪Ⅱ入院等夜間３．５</t>
  </si>
  <si>
    <t>重訪Ⅱ入院等夜間３．５・２人</t>
  </si>
  <si>
    <t>重訪Ⅱ入院等夜間３．５・同行</t>
  </si>
  <si>
    <t>重訪Ⅱ入院等夜間３．５・２人・同行</t>
  </si>
  <si>
    <t>重訪Ⅱ入院等夜間３．５・９０日減</t>
  </si>
  <si>
    <t>重訪Ⅱ入院等夜間３．５・２人・９０日減</t>
  </si>
  <si>
    <t>重訪Ⅱ入院等夜間３．５・同行・９０日減</t>
  </si>
  <si>
    <t>重訪Ⅱ入院等夜間３．５・２人・同行・９０日減</t>
  </si>
  <si>
    <t>重訪Ⅱ入院等夜間４．０</t>
  </si>
  <si>
    <t>重訪Ⅱ入院等夜間４．０・２人</t>
  </si>
  <si>
    <t>重訪Ⅱ入院等夜間４．０・同行</t>
  </si>
  <si>
    <t>重訪Ⅱ入院等夜間４．０・２人・同行</t>
  </si>
  <si>
    <t>重訪Ⅱ入院等夜間４．０・９０日減</t>
  </si>
  <si>
    <t>重訪Ⅱ入院等夜間４．０・２人・９０日減</t>
  </si>
  <si>
    <t>重訪Ⅱ入院等夜間４．０・同行・９０日減</t>
  </si>
  <si>
    <t>重訪Ⅱ入院等夜間４．０・２人・同行・９０日減</t>
  </si>
  <si>
    <t>重訪Ⅱ入院等夜間８．０</t>
  </si>
  <si>
    <t>重訪Ⅱ入院等夜間８．０・２人</t>
  </si>
  <si>
    <t>重訪Ⅱ入院等夜間８．０・同行</t>
  </si>
  <si>
    <t>重訪Ⅱ入院等夜間８．０・２人・同行</t>
  </si>
  <si>
    <t>重訪Ⅱ入院等夜間８．０・９０日減</t>
  </si>
  <si>
    <t>重訪Ⅱ入院等夜間８．０・２人・９０日減</t>
  </si>
  <si>
    <t>重訪Ⅱ入院等夜間８．０・同行・９０日減</t>
  </si>
  <si>
    <t>重訪Ⅱ入院等夜間８．０・２人・同行・９０日減</t>
  </si>
  <si>
    <t>重訪Ⅱ入院等夜間１２．０</t>
  </si>
  <si>
    <t>重訪Ⅱ入院等夜間１２．０・２人</t>
  </si>
  <si>
    <t>重訪Ⅱ入院等夜間１２．０・同行</t>
  </si>
  <si>
    <t>重訪Ⅱ入院等夜間１２．０・２人・同行</t>
  </si>
  <si>
    <t>重訪Ⅱ入院等夜間１２．０・９０日減</t>
  </si>
  <si>
    <t>重訪Ⅱ入院等夜間１２．０・２人・９０日減</t>
  </si>
  <si>
    <t>重訪Ⅱ入院等夜間１２．０・同行・９０日減</t>
  </si>
  <si>
    <t>重訪Ⅱ入院等夜間１２．０・２人・同行・９０日減</t>
  </si>
  <si>
    <t>重訪Ⅱ入院等夜間１６．０</t>
  </si>
  <si>
    <t>重訪Ⅱ入院等夜間１６．０・２人</t>
  </si>
  <si>
    <t>重訪Ⅱ入院等夜間１６．０・同行</t>
  </si>
  <si>
    <t>重訪Ⅱ入院等夜間１６．０・２人・同行</t>
  </si>
  <si>
    <t>重訪Ⅱ入院等夜間１６．０・９０日減</t>
  </si>
  <si>
    <t>重訪Ⅱ入院等夜間１６．０・２人・９０日減</t>
  </si>
  <si>
    <t>重訪Ⅱ入院等夜間１６．０・同行・９０日減</t>
  </si>
  <si>
    <t>重訪Ⅱ入院等夜間１６．０・２人・同行・９０日減</t>
  </si>
  <si>
    <t>重訪Ⅱ入院等夜間２０．０</t>
  </si>
  <si>
    <t>重訪Ⅱ入院等夜間２０．０・２人</t>
  </si>
  <si>
    <t>重訪Ⅱ入院等夜間２０．０・同行</t>
  </si>
  <si>
    <t>重訪Ⅱ入院等夜間２０．０・２人・同行</t>
  </si>
  <si>
    <t>重訪Ⅱ入院等夜間２０．０・９０日減</t>
  </si>
  <si>
    <t>重訪Ⅱ入院等夜間２０．０・２人・９０日減</t>
  </si>
  <si>
    <t>重訪Ⅱ入院等夜間２０．０・同行・９０日減</t>
  </si>
  <si>
    <t>重訪Ⅱ入院等夜間２０．０・２人・同行・９０日減</t>
  </si>
  <si>
    <t>重訪Ⅱ入院等夜間２４．０</t>
  </si>
  <si>
    <t>重訪Ⅱ入院等夜間２４．０・２人</t>
  </si>
  <si>
    <t>重訪Ⅱ入院等夜間２４．０・同行</t>
  </si>
  <si>
    <t>重訪Ⅱ入院等夜間２４．０・２人・同行</t>
  </si>
  <si>
    <t>重訪Ⅱ入院等夜間２４．０・９０日減</t>
  </si>
  <si>
    <t>重訪Ⅱ入院等夜間２４．０・２人・９０日減</t>
  </si>
  <si>
    <t>重訪Ⅱ入院等夜間２４．０・同行・９０日減</t>
  </si>
  <si>
    <t>重訪Ⅱ入院等夜間２４．０・２人・同行・９０日減</t>
  </si>
  <si>
    <t>重訪Ⅲ入院等夜間１．０</t>
  </si>
  <si>
    <t>重訪Ⅲ入院等夜間１．０・２人</t>
  </si>
  <si>
    <t>重訪Ⅲ入院等夜間１．０・同行</t>
  </si>
  <si>
    <t>重訪Ⅲ入院等夜間１．０・２人・同行</t>
  </si>
  <si>
    <t>重訪Ⅲ入院等夜間１．０・９０日減</t>
  </si>
  <si>
    <t>重訪Ⅲ入院等夜間１．０・２人・９０日減</t>
  </si>
  <si>
    <t>重訪Ⅲ入院等夜間１．０・同行・９０日減</t>
  </si>
  <si>
    <t>重訪Ⅲ入院等夜間１．０・２人・同行・９０日減</t>
  </si>
  <si>
    <t>重訪Ⅲ入院等夜間１．５</t>
  </si>
  <si>
    <t>重訪Ⅲ入院等夜間１．５・２人</t>
  </si>
  <si>
    <t>重訪Ⅲ入院等夜間１．５・同行</t>
  </si>
  <si>
    <t>重訪Ⅲ入院等夜間１．５・２人・同行</t>
  </si>
  <si>
    <t>重訪Ⅲ入院等夜間１．５・９０日減</t>
  </si>
  <si>
    <t>重訪Ⅲ入院等夜間１．５・２人・９０日減</t>
  </si>
  <si>
    <t>重訪Ⅲ入院等夜間１．５・同行・９０日減</t>
  </si>
  <si>
    <t>重訪Ⅲ入院等夜間１．５・２人・同行・９０日減</t>
  </si>
  <si>
    <t>重訪Ⅲ入院等夜間２．０</t>
  </si>
  <si>
    <t>重訪Ⅲ入院等夜間２．０・２人</t>
  </si>
  <si>
    <t>重訪Ⅲ入院等夜間２．０・同行</t>
  </si>
  <si>
    <t>重訪Ⅲ入院等夜間２．０・２人・同行</t>
  </si>
  <si>
    <t>重訪Ⅲ入院等夜間２．０・９０日減</t>
  </si>
  <si>
    <t>重訪Ⅲ入院等夜間２．０・２人・９０日減</t>
  </si>
  <si>
    <t>重訪Ⅲ入院等夜間２．０・同行・９０日減</t>
  </si>
  <si>
    <t>重訪Ⅲ入院等夜間２．０・２人・同行・９０日減</t>
  </si>
  <si>
    <t>重訪Ⅲ入院等夜間２．５</t>
  </si>
  <si>
    <t>重訪Ⅲ入院等夜間２．５・２人</t>
  </si>
  <si>
    <t>重訪Ⅲ入院等夜間２．５・同行</t>
  </si>
  <si>
    <t>重訪Ⅲ入院等夜間２．５・２人・同行</t>
  </si>
  <si>
    <t>重訪Ⅲ入院等夜間２．５・９０日減</t>
  </si>
  <si>
    <t>重訪Ⅲ入院等夜間２．５・２人・９０日減</t>
  </si>
  <si>
    <t>重訪Ⅲ入院等夜間２．５・同行・９０日減</t>
  </si>
  <si>
    <t>重訪Ⅲ入院等夜間２．５・２人・同行・９０日減</t>
  </si>
  <si>
    <t>重訪Ⅲ入院等夜間３．０</t>
  </si>
  <si>
    <t>重訪Ⅲ入院等夜間３．０・２人</t>
  </si>
  <si>
    <t>重訪Ⅲ入院等夜間３．０・同行</t>
  </si>
  <si>
    <t>重訪Ⅲ入院等夜間３．０・２人・同行</t>
  </si>
  <si>
    <t>重訪Ⅲ入院等夜間３．０・９０日減</t>
  </si>
  <si>
    <t>重訪Ⅲ入院等夜間３．０・２人・９０日減</t>
  </si>
  <si>
    <t>重訪Ⅲ入院等夜間３．０・同行・９０日減</t>
  </si>
  <si>
    <t>重訪Ⅲ入院等夜間３．０・２人・同行・９０日減</t>
  </si>
  <si>
    <t>重訪Ⅲ入院等夜間３．５</t>
  </si>
  <si>
    <t>重訪Ⅲ入院等夜間３．５・２人</t>
  </si>
  <si>
    <t>重訪Ⅲ入院等夜間３．５・同行</t>
  </si>
  <si>
    <t>重訪Ⅲ入院等夜間３．５・２人・同行</t>
  </si>
  <si>
    <t>重訪Ⅲ入院等夜間３．５・９０日減</t>
  </si>
  <si>
    <t>重訪Ⅲ入院等夜間３．５・２人・９０日減</t>
  </si>
  <si>
    <t>重訪Ⅲ入院等夜間３．５・同行・９０日減</t>
  </si>
  <si>
    <t>重訪Ⅲ入院等夜間３．５・２人・同行・９０日減</t>
  </si>
  <si>
    <t>重訪Ⅲ入院等夜間４．０</t>
  </si>
  <si>
    <t>重訪Ⅲ入院等夜間４．０・２人</t>
  </si>
  <si>
    <t>重訪Ⅲ入院等夜間４．０・同行</t>
  </si>
  <si>
    <t>重訪Ⅲ入院等夜間４．０・２人・同行</t>
  </si>
  <si>
    <t>重訪Ⅲ入院等夜間４．０・９０日減</t>
  </si>
  <si>
    <t>重訪Ⅲ入院等夜間４．０・２人・９０日減</t>
  </si>
  <si>
    <t>重訪Ⅲ入院等夜間４．０・同行・９０日減</t>
  </si>
  <si>
    <t>重訪Ⅲ入院等夜間４．０・２人・同行・９０日減</t>
  </si>
  <si>
    <t>重訪Ⅲ入院等夜間８．０</t>
  </si>
  <si>
    <t>重訪Ⅲ入院等夜間８．０・２人</t>
  </si>
  <si>
    <t>重訪Ⅲ入院等夜間８．０・同行</t>
  </si>
  <si>
    <t>重訪Ⅲ入院等夜間８．０・２人・同行</t>
  </si>
  <si>
    <t>重訪Ⅲ入院等夜間８．０・９０日減</t>
  </si>
  <si>
    <t>重訪Ⅲ入院等夜間８．０・２人・９０日減</t>
  </si>
  <si>
    <t>重訪Ⅲ入院等夜間８．０・同行・９０日減</t>
  </si>
  <si>
    <t>重訪Ⅲ入院等夜間８．０・２人・同行・９０日減</t>
  </si>
  <si>
    <t>重訪Ⅲ入院等夜間１２．０</t>
  </si>
  <si>
    <t>重訪Ⅲ入院等夜間１２．０・２人</t>
  </si>
  <si>
    <t>重訪Ⅲ入院等夜間１２．０・同行</t>
  </si>
  <si>
    <t>重訪Ⅲ入院等夜間１２．０・２人・同行</t>
  </si>
  <si>
    <t>重訪Ⅲ入院等夜間１２．０・９０日減</t>
  </si>
  <si>
    <t>重訪Ⅲ入院等夜間１２．０・２人・９０日減</t>
  </si>
  <si>
    <t>重訪Ⅲ入院等夜間１２．０・同行・９０日減</t>
  </si>
  <si>
    <t>重訪Ⅲ入院等夜間１２．０・２人・同行・９０日減</t>
  </si>
  <si>
    <t>重訪Ⅲ入院等夜間１６．０</t>
  </si>
  <si>
    <t>重訪Ⅲ入院等夜間１６．０・２人</t>
  </si>
  <si>
    <t>重訪Ⅲ入院等夜間１６．０・同行</t>
  </si>
  <si>
    <t>重訪Ⅲ入院等夜間１６．０・２人・同行</t>
  </si>
  <si>
    <t>重訪Ⅲ入院等夜間１６．０・９０日減</t>
  </si>
  <si>
    <t>重訪Ⅲ入院等夜間１６．０・２人・９０日減</t>
  </si>
  <si>
    <t>重訪Ⅲ入院等夜間１６．０・同行・９０日減</t>
  </si>
  <si>
    <t>重訪Ⅲ入院等夜間１６．０・２人・同行・９０日減</t>
  </si>
  <si>
    <t>重訪Ⅲ入院等夜間２０．０</t>
  </si>
  <si>
    <t>重訪Ⅲ入院等夜間２０．０・２人</t>
  </si>
  <si>
    <t>重訪Ⅲ入院等夜間２０．０・同行</t>
  </si>
  <si>
    <t>重訪Ⅲ入院等夜間２０．０・２人・同行</t>
  </si>
  <si>
    <t>重訪Ⅲ入院等夜間２０．０・９０日減</t>
  </si>
  <si>
    <t>重訪Ⅲ入院等夜間２０．０・２人・９０日減</t>
  </si>
  <si>
    <t>重訪Ⅲ入院等夜間２０．０・同行・９０日減</t>
  </si>
  <si>
    <t>重訪Ⅲ入院等夜間２０．０・２人・同行・９０日減</t>
  </si>
  <si>
    <t>重訪Ⅲ入院等夜間２４．０</t>
  </si>
  <si>
    <t>重訪Ⅲ入院等夜間２４．０・２人</t>
  </si>
  <si>
    <t>重訪Ⅲ入院等夜間２４．０・同行</t>
  </si>
  <si>
    <t>重訪Ⅲ入院等夜間２４．０・２人・同行</t>
  </si>
  <si>
    <t>重訪Ⅲ入院等夜間２４．０・９０日減</t>
  </si>
  <si>
    <t>重訪Ⅲ入院等夜間２４．０・２人・９０日減</t>
  </si>
  <si>
    <t>重訪Ⅲ入院等夜間２４．０・同行・９０日減</t>
  </si>
  <si>
    <t>重訪Ⅲ入院等夜間２４．０・２人・同行・９０日減</t>
  </si>
  <si>
    <t>ロ　病院等に入院又は入所中に利用した場合（深夜のみ）</t>
  </si>
  <si>
    <t>重訪Ⅰ入院等深夜１．０</t>
  </si>
  <si>
    <t>重訪Ⅰ入院等深夜１．０・２人</t>
  </si>
  <si>
    <t>重訪Ⅰ入院等深夜１．０・同行</t>
  </si>
  <si>
    <t>重訪Ⅰ入院等深夜１．０・２人・同行</t>
  </si>
  <si>
    <t>重訪Ⅰ入院等深夜１．０・９０日減</t>
  </si>
  <si>
    <t>重訪Ⅰ入院等深夜１．０・２人・９０日減</t>
  </si>
  <si>
    <t>重訪Ⅰ入院等深夜１．０・同行・９０日減</t>
  </si>
  <si>
    <t>重訪Ⅰ入院等深夜１．０・２人・同行・９０日減</t>
  </si>
  <si>
    <t>重訪Ⅰ入院等深夜１．５</t>
  </si>
  <si>
    <t>重訪Ⅰ入院等深夜１．５・２人</t>
  </si>
  <si>
    <t>重訪Ⅰ入院等深夜１．５・同行</t>
  </si>
  <si>
    <t>重訪Ⅰ入院等深夜１．５・２人・同行</t>
  </si>
  <si>
    <t>重訪Ⅰ入院等深夜１．５・９０日減</t>
  </si>
  <si>
    <t>重訪Ⅰ入院等深夜１．５・２人・９０日減</t>
  </si>
  <si>
    <t>重訪Ⅰ入院等深夜１．５・同行・９０日減</t>
  </si>
  <si>
    <t>重訪Ⅰ入院等深夜１．５・２人・同行・９０日減</t>
  </si>
  <si>
    <t>重訪Ⅰ入院等深夜２．０</t>
  </si>
  <si>
    <t>重訪Ⅰ入院等深夜２．０・２人</t>
  </si>
  <si>
    <t>重訪Ⅰ入院等深夜２．０・同行</t>
  </si>
  <si>
    <t>重訪Ⅰ入院等深夜２．０・２人・同行</t>
  </si>
  <si>
    <t>重訪Ⅰ入院等深夜２．０・９０日減</t>
  </si>
  <si>
    <t>重訪Ⅰ入院等深夜２．０・２人・９０日減</t>
  </si>
  <si>
    <t>重訪Ⅰ入院等深夜２．０・同行・９０日減</t>
  </si>
  <si>
    <t>重訪Ⅰ入院等深夜２．０・２人・同行・９０日減</t>
  </si>
  <si>
    <t>重訪Ⅰ入院等深夜２．５</t>
  </si>
  <si>
    <t>重訪Ⅰ入院等深夜２．５・２人</t>
  </si>
  <si>
    <t>重訪Ⅰ入院等深夜２．５・同行</t>
  </si>
  <si>
    <t>重訪Ⅰ入院等深夜２．５・２人・同行</t>
  </si>
  <si>
    <t>重訪Ⅰ入院等深夜２．５・９０日減</t>
  </si>
  <si>
    <t>重訪Ⅰ入院等深夜２．５・２人・９０日減</t>
  </si>
  <si>
    <t>重訪Ⅰ入院等深夜２．５・同行・９０日減</t>
  </si>
  <si>
    <t>重訪Ⅰ入院等深夜２．５・２人・同行・９０日減</t>
  </si>
  <si>
    <t>重訪Ⅰ入院等深夜３．０</t>
  </si>
  <si>
    <t>重訪Ⅰ入院等深夜３．０・２人</t>
  </si>
  <si>
    <t>重訪Ⅰ入院等深夜３．０・同行</t>
  </si>
  <si>
    <t>重訪Ⅰ入院等深夜３．０・２人・同行</t>
  </si>
  <si>
    <t>重訪Ⅰ入院等深夜３．０・９０日減</t>
  </si>
  <si>
    <t>重訪Ⅰ入院等深夜３．０・２人・９０日減</t>
  </si>
  <si>
    <t>重訪Ⅰ入院等深夜３．０・同行・９０日減</t>
  </si>
  <si>
    <t>重訪Ⅰ入院等深夜３．０・２人・同行・９０日減</t>
  </si>
  <si>
    <t>重訪Ⅰ入院等深夜３．５</t>
  </si>
  <si>
    <t>重訪Ⅰ入院等深夜３．５・２人</t>
  </si>
  <si>
    <t>重訪Ⅰ入院等深夜３．５・同行</t>
  </si>
  <si>
    <t>重訪Ⅰ入院等深夜３．５・２人・同行</t>
  </si>
  <si>
    <t>重訪Ⅰ入院等深夜３．５・９０日減</t>
  </si>
  <si>
    <t>重訪Ⅰ入院等深夜３．５・２人・９０日減</t>
  </si>
  <si>
    <t>重訪Ⅰ入院等深夜３．５・同行・９０日減</t>
  </si>
  <si>
    <t>重訪Ⅰ入院等深夜３．５・２人・同行・９０日減</t>
  </si>
  <si>
    <t>重訪Ⅰ入院等深夜４．０</t>
  </si>
  <si>
    <t>重訪Ⅰ入院等深夜４．０・２人</t>
  </si>
  <si>
    <t>重訪Ⅰ入院等深夜４．０・同行</t>
  </si>
  <si>
    <t>重訪Ⅰ入院等深夜４．０・２人・同行</t>
  </si>
  <si>
    <t>重訪Ⅰ入院等深夜４．０・９０日減</t>
  </si>
  <si>
    <t>重訪Ⅰ入院等深夜４．０・２人・９０日減</t>
  </si>
  <si>
    <t>重訪Ⅰ入院等深夜４．０・同行・９０日減</t>
  </si>
  <si>
    <t>重訪Ⅰ入院等深夜４．０・２人・同行・９０日減</t>
  </si>
  <si>
    <t>重訪Ⅰ入院等深夜８．０</t>
  </si>
  <si>
    <t>重訪Ⅰ入院等深夜８．０・２人</t>
  </si>
  <si>
    <t>重訪Ⅰ入院等深夜８．０・同行</t>
  </si>
  <si>
    <t>重訪Ⅰ入院等深夜８．０・２人・同行</t>
  </si>
  <si>
    <t>重訪Ⅰ入院等深夜８．０・９０日減</t>
  </si>
  <si>
    <t>重訪Ⅰ入院等深夜８．０・２人・９０日減</t>
  </si>
  <si>
    <t>重訪Ⅰ入院等深夜８．０・同行・９０日減</t>
  </si>
  <si>
    <t>重訪Ⅰ入院等深夜８．０・２人・同行・９０日減</t>
  </si>
  <si>
    <t>重訪Ⅰ入院等深夜１２．０</t>
  </si>
  <si>
    <t>重訪Ⅰ入院等深夜１２．０・２人</t>
  </si>
  <si>
    <t>重訪Ⅰ入院等深夜１２．０・同行</t>
  </si>
  <si>
    <t>重訪Ⅰ入院等深夜１２．０・２人・同行</t>
  </si>
  <si>
    <t>重訪Ⅰ入院等深夜１２．０・９０日減</t>
  </si>
  <si>
    <t>重訪Ⅰ入院等深夜１２．０・２人・９０日減</t>
  </si>
  <si>
    <t>重訪Ⅰ入院等深夜１２．０・同行・９０日減</t>
  </si>
  <si>
    <t>重訪Ⅰ入院等深夜１２．０・２人・同行・９０日減</t>
  </si>
  <si>
    <t>重訪Ⅰ入院等深夜１６．０</t>
  </si>
  <si>
    <t>重訪Ⅰ入院等深夜１６．０・２人</t>
  </si>
  <si>
    <t>重訪Ⅰ入院等深夜１６．０・同行</t>
  </si>
  <si>
    <t>重訪Ⅰ入院等深夜１６．０・２人・同行</t>
  </si>
  <si>
    <t>重訪Ⅰ入院等深夜１６．０・９０日減</t>
  </si>
  <si>
    <t>重訪Ⅰ入院等深夜１６．０・２人・９０日減</t>
  </si>
  <si>
    <t>重訪Ⅰ入院等深夜１６．０・同行・９０日減</t>
  </si>
  <si>
    <t>重訪Ⅰ入院等深夜１６．０・２人・同行・９０日減</t>
  </si>
  <si>
    <t>重訪Ⅰ入院等深夜２０．０</t>
  </si>
  <si>
    <t>重訪Ⅰ入院等深夜２０．０・２人</t>
  </si>
  <si>
    <t>重訪Ⅰ入院等深夜２０．０・同行</t>
  </si>
  <si>
    <t>重訪Ⅰ入院等深夜２０．０・２人・同行</t>
  </si>
  <si>
    <t>重訪Ⅰ入院等深夜２０．０・９０日減</t>
  </si>
  <si>
    <t>重訪Ⅰ入院等深夜２０．０・２人・９０日減</t>
  </si>
  <si>
    <t>重訪Ⅰ入院等深夜２０．０・同行・９０日減</t>
  </si>
  <si>
    <t>重訪Ⅰ入院等深夜２０．０・２人・同行・９０日減</t>
  </si>
  <si>
    <t>重訪Ⅰ入院等深夜２４．０</t>
  </si>
  <si>
    <t>重訪Ⅰ入院等深夜２４．０・２人</t>
  </si>
  <si>
    <t>重訪Ⅰ入院等深夜２４．０・同行</t>
  </si>
  <si>
    <t>重訪Ⅰ入院等深夜２４．０・２人・同行</t>
  </si>
  <si>
    <t>重訪Ⅰ入院等深夜２４．０・９０日減</t>
  </si>
  <si>
    <t>重訪Ⅰ入院等深夜２４．０・２人・９０日減</t>
  </si>
  <si>
    <t>重訪Ⅰ入院等深夜２４．０・同行・９０日減</t>
  </si>
  <si>
    <t>重訪Ⅰ入院等深夜２４．０・２人・同行・９０日減</t>
  </si>
  <si>
    <t>重訪Ⅱ入院等深夜１．０</t>
  </si>
  <si>
    <t>重訪Ⅱ入院等深夜１．０・２人</t>
  </si>
  <si>
    <t>重訪Ⅱ入院等深夜１．０・同行</t>
  </si>
  <si>
    <t>重訪Ⅱ入院等深夜１．０・２人・同行</t>
  </si>
  <si>
    <t>重訪Ⅱ入院等深夜１．０・９０日減</t>
  </si>
  <si>
    <t>重訪Ⅱ入院等深夜１．０・２人・９０日減</t>
  </si>
  <si>
    <t>重訪Ⅱ入院等深夜１．０・同行・９０日減</t>
  </si>
  <si>
    <t>重訪Ⅱ入院等深夜１．０・２人・同行・９０日減</t>
  </si>
  <si>
    <t>重訪Ⅱ入院等深夜１．５</t>
  </si>
  <si>
    <t>重訪Ⅱ入院等深夜１．５・２人</t>
  </si>
  <si>
    <t>重訪Ⅱ入院等深夜１．５・同行</t>
  </si>
  <si>
    <t>重訪Ⅱ入院等深夜１．５・２人・同行</t>
  </si>
  <si>
    <t>重訪Ⅱ入院等深夜１．５・９０日減</t>
  </si>
  <si>
    <t>重訪Ⅱ入院等深夜１．５・２人・９０日減</t>
  </si>
  <si>
    <t>重訪Ⅱ入院等深夜１．５・同行・９０日減</t>
  </si>
  <si>
    <t>重訪Ⅱ入院等深夜１．５・２人・同行・９０日減</t>
  </si>
  <si>
    <t>重訪Ⅱ入院等深夜２．０</t>
  </si>
  <si>
    <t>重訪Ⅱ入院等深夜２．０・２人</t>
  </si>
  <si>
    <t>重訪Ⅱ入院等深夜２．０・同行</t>
  </si>
  <si>
    <t>重訪Ⅱ入院等深夜２．０・２人・同行</t>
  </si>
  <si>
    <t>重訪Ⅱ入院等深夜２．０・９０日減</t>
  </si>
  <si>
    <t>重訪Ⅱ入院等深夜２．０・２人・９０日減</t>
  </si>
  <si>
    <t>重訪Ⅱ入院等深夜２．０・同行・９０日減</t>
  </si>
  <si>
    <t>重訪Ⅱ入院等深夜２．０・２人・同行・９０日減</t>
  </si>
  <si>
    <t>重訪Ⅱ入院等深夜２．５</t>
  </si>
  <si>
    <t>重訪Ⅱ入院等深夜２．５・２人</t>
  </si>
  <si>
    <t>重訪Ⅱ入院等深夜２．５・同行</t>
  </si>
  <si>
    <t>重訪Ⅱ入院等深夜２．５・２人・同行</t>
  </si>
  <si>
    <t>重訪Ⅱ入院等深夜２．５・９０日減</t>
  </si>
  <si>
    <t>重訪Ⅱ入院等深夜２．５・２人・９０日減</t>
  </si>
  <si>
    <t>重訪Ⅱ入院等深夜２．５・同行・９０日減</t>
  </si>
  <si>
    <t>重訪Ⅱ入院等深夜２．５・２人・同行・９０日減</t>
  </si>
  <si>
    <t>重訪Ⅱ入院等深夜３．０</t>
  </si>
  <si>
    <t>重訪Ⅱ入院等深夜３．０・２人</t>
  </si>
  <si>
    <t>重訪Ⅱ入院等深夜３．０・同行</t>
  </si>
  <si>
    <t>重訪Ⅱ入院等深夜３．０・２人・同行</t>
  </si>
  <si>
    <t>重訪Ⅱ入院等深夜３．０・９０日減</t>
  </si>
  <si>
    <t>重訪Ⅱ入院等深夜３．０・２人・９０日減</t>
  </si>
  <si>
    <t>重訪Ⅱ入院等深夜３．０・同行・９０日減</t>
  </si>
  <si>
    <t>重訪Ⅱ入院等深夜３．０・２人・同行・９０日減</t>
  </si>
  <si>
    <t>重訪Ⅱ入院等深夜３．５</t>
  </si>
  <si>
    <t>重訪Ⅱ入院等深夜３．５・２人</t>
  </si>
  <si>
    <t>重訪Ⅱ入院等深夜３．５・同行</t>
  </si>
  <si>
    <t>重訪Ⅱ入院等深夜３．５・２人・同行</t>
  </si>
  <si>
    <t>重訪Ⅱ入院等深夜３．５・９０日減</t>
  </si>
  <si>
    <t>重訪Ⅱ入院等深夜３．５・２人・９０日減</t>
  </si>
  <si>
    <t>重訪Ⅱ入院等深夜３．５・同行・９０日減</t>
  </si>
  <si>
    <t>重訪Ⅱ入院等深夜３．５・２人・同行・９０日減</t>
  </si>
  <si>
    <t>重訪Ⅱ入院等深夜４．０</t>
  </si>
  <si>
    <t>重訪Ⅱ入院等深夜４．０・２人</t>
  </si>
  <si>
    <t>重訪Ⅱ入院等深夜４．０・同行</t>
  </si>
  <si>
    <t>重訪Ⅱ入院等深夜４．０・２人・同行</t>
  </si>
  <si>
    <t>重訪Ⅱ入院等深夜４．０・９０日減</t>
  </si>
  <si>
    <t>重訪Ⅱ入院等深夜４．０・２人・９０日減</t>
  </si>
  <si>
    <t>重訪Ⅱ入院等深夜４．０・同行・９０日減</t>
  </si>
  <si>
    <t>重訪Ⅱ入院等深夜４．０・２人・同行・９０日減</t>
  </si>
  <si>
    <t>重訪Ⅱ入院等深夜８．０</t>
  </si>
  <si>
    <t>重訪Ⅱ入院等深夜８．０・２人</t>
  </si>
  <si>
    <t>重訪Ⅱ入院等深夜８．０・同行</t>
  </si>
  <si>
    <t>重訪Ⅱ入院等深夜８．０・２人・同行</t>
  </si>
  <si>
    <t>重訪Ⅱ入院等深夜８．０・９０日減</t>
  </si>
  <si>
    <t>重訪Ⅱ入院等深夜８．０・２人・９０日減</t>
  </si>
  <si>
    <t>重訪Ⅱ入院等深夜８．０・同行・９０日減</t>
  </si>
  <si>
    <t>重訪Ⅱ入院等深夜８．０・２人・同行・９０日減</t>
  </si>
  <si>
    <t>重訪Ⅱ入院等深夜１２．０</t>
  </si>
  <si>
    <t>重訪Ⅱ入院等深夜１２．０・２人</t>
  </si>
  <si>
    <t>重訪Ⅱ入院等深夜１２．０・同行</t>
  </si>
  <si>
    <t>重訪Ⅱ入院等深夜１２．０・２人・同行</t>
  </si>
  <si>
    <t>重訪Ⅱ入院等深夜１２．０・９０日減</t>
  </si>
  <si>
    <t>重訪Ⅱ入院等深夜１２．０・２人・９０日減</t>
  </si>
  <si>
    <t>重訪Ⅱ入院等深夜１２．０・同行・９０日減</t>
  </si>
  <si>
    <t>重訪Ⅱ入院等深夜１２．０・２人・同行・９０日減</t>
  </si>
  <si>
    <t>重訪Ⅱ入院等深夜１６．０</t>
  </si>
  <si>
    <t>重訪Ⅱ入院等深夜１６．０・２人</t>
  </si>
  <si>
    <t>重訪Ⅱ入院等深夜１６．０・同行</t>
  </si>
  <si>
    <t>重訪Ⅱ入院等深夜１６．０・２人・同行</t>
  </si>
  <si>
    <t>重訪Ⅱ入院等深夜１６．０・９０日減</t>
  </si>
  <si>
    <t>重訪Ⅱ入院等深夜１６．０・２人・９０日減</t>
  </si>
  <si>
    <t>重訪Ⅱ入院等深夜１６．０・同行・９０日減</t>
  </si>
  <si>
    <t>重訪Ⅱ入院等深夜１６．０・２人・同行・９０日減</t>
  </si>
  <si>
    <t>重訪Ⅱ入院等深夜２０．０</t>
  </si>
  <si>
    <t>重訪Ⅱ入院等深夜２０．０・２人</t>
  </si>
  <si>
    <t>重訪Ⅱ入院等深夜２０．０・同行</t>
  </si>
  <si>
    <t>重訪Ⅱ入院等深夜２０．０・２人・同行</t>
  </si>
  <si>
    <t>重訪Ⅱ入院等深夜２０．０・９０日減</t>
  </si>
  <si>
    <t>重訪Ⅱ入院等深夜２０．０・２人・９０日減</t>
  </si>
  <si>
    <t>重訪Ⅱ入院等深夜２０．０・同行・９０日減</t>
  </si>
  <si>
    <t>重訪Ⅱ入院等深夜２０．０・２人・同行・９０日減</t>
  </si>
  <si>
    <t>重訪Ⅱ入院等深夜２４．０</t>
  </si>
  <si>
    <t>重訪Ⅱ入院等深夜２４．０・２人</t>
  </si>
  <si>
    <t>重訪Ⅱ入院等深夜２４．０・同行</t>
  </si>
  <si>
    <t>重訪Ⅱ入院等深夜２４．０・２人・同行</t>
  </si>
  <si>
    <t>重訪Ⅱ入院等深夜２４．０・９０日減</t>
  </si>
  <si>
    <t>重訪Ⅱ入院等深夜２４．０・２人・９０日減</t>
  </si>
  <si>
    <t>重訪Ⅱ入院等深夜２４．０・同行・９０日減</t>
  </si>
  <si>
    <t>重訪Ⅱ入院等深夜２４．０・２人・同行・９０日減</t>
  </si>
  <si>
    <t>重訪Ⅲ入院等深夜１．０</t>
  </si>
  <si>
    <t>重訪Ⅲ入院等深夜１．０・２人</t>
  </si>
  <si>
    <t>重訪Ⅲ入院等深夜１．０・同行</t>
  </si>
  <si>
    <t>重訪Ⅲ入院等深夜１．０・２人・同行</t>
  </si>
  <si>
    <t>重訪Ⅲ入院等深夜１．０・９０日減</t>
  </si>
  <si>
    <t>重訪Ⅲ入院等深夜１．０・２人・９０日減</t>
  </si>
  <si>
    <t>重訪Ⅲ入院等深夜１．０・同行・９０日減</t>
  </si>
  <si>
    <t>重訪Ⅲ入院等深夜１．０・２人・同行・９０日減</t>
  </si>
  <si>
    <t>重訪Ⅲ入院等深夜１．５</t>
  </si>
  <si>
    <t>重訪Ⅲ入院等深夜１．５・２人</t>
  </si>
  <si>
    <t>重訪Ⅲ入院等深夜１．５・同行</t>
  </si>
  <si>
    <t>重訪Ⅲ入院等深夜１．５・２人・同行</t>
  </si>
  <si>
    <t>重訪Ⅲ入院等深夜１．５・９０日減</t>
  </si>
  <si>
    <t>重訪Ⅲ入院等深夜１．５・２人・９０日減</t>
  </si>
  <si>
    <t>重訪Ⅲ入院等深夜１．５・同行・９０日減</t>
  </si>
  <si>
    <t>重訪Ⅲ入院等深夜１．５・２人・同行・９０日減</t>
  </si>
  <si>
    <t>重訪Ⅲ入院等深夜２．０</t>
  </si>
  <si>
    <t>重訪Ⅲ入院等深夜２．０・２人</t>
  </si>
  <si>
    <t>重訪Ⅲ入院等深夜２．０・同行</t>
  </si>
  <si>
    <t>重訪Ⅲ入院等深夜２．０・２人・同行</t>
  </si>
  <si>
    <t>重訪Ⅲ入院等深夜２．０・９０日減</t>
  </si>
  <si>
    <t>重訪Ⅲ入院等深夜２．０・２人・９０日減</t>
  </si>
  <si>
    <t>重訪Ⅲ入院等深夜２．０・同行・９０日減</t>
  </si>
  <si>
    <t>重訪Ⅲ入院等深夜２．０・２人・同行・９０日減</t>
  </si>
  <si>
    <t>重訪Ⅲ入院等深夜２．５</t>
  </si>
  <si>
    <t>重訪Ⅲ入院等深夜２．５・２人</t>
  </si>
  <si>
    <t>重訪Ⅲ入院等深夜２．５・同行</t>
  </si>
  <si>
    <t>重訪Ⅲ入院等深夜２．５・２人・同行</t>
  </si>
  <si>
    <t>重訪Ⅲ入院等深夜２．５・９０日減</t>
  </si>
  <si>
    <t>重訪Ⅲ入院等深夜２．５・２人・９０日減</t>
  </si>
  <si>
    <t>重訪Ⅲ入院等深夜２．５・同行・９０日減</t>
  </si>
  <si>
    <t>重訪Ⅲ入院等深夜２．５・２人・同行・９０日減</t>
  </si>
  <si>
    <t>重訪Ⅲ入院等深夜３．０</t>
  </si>
  <si>
    <t>重訪Ⅲ入院等深夜３．０・２人</t>
  </si>
  <si>
    <t>重訪Ⅲ入院等深夜３．０・同行</t>
  </si>
  <si>
    <t>重訪Ⅲ入院等深夜３．０・２人・同行</t>
  </si>
  <si>
    <t>重訪Ⅲ入院等深夜３．０・９０日減</t>
  </si>
  <si>
    <t>重訪Ⅲ入院等深夜３．０・２人・９０日減</t>
  </si>
  <si>
    <t>重訪Ⅲ入院等深夜３．０・同行・９０日減</t>
  </si>
  <si>
    <t>重訪Ⅲ入院等深夜３．０・２人・同行・９０日減</t>
  </si>
  <si>
    <t>重訪Ⅲ入院等深夜３．５</t>
  </si>
  <si>
    <t>重訪Ⅲ入院等深夜３．５・２人</t>
  </si>
  <si>
    <t>重訪Ⅲ入院等深夜３．５・同行</t>
  </si>
  <si>
    <t>重訪Ⅲ入院等深夜３．５・２人・同行</t>
  </si>
  <si>
    <t>重訪Ⅲ入院等深夜３．５・９０日減</t>
  </si>
  <si>
    <t>重訪Ⅲ入院等深夜３．５・２人・９０日減</t>
  </si>
  <si>
    <t>重訪Ⅲ入院等深夜３．５・同行・９０日減</t>
  </si>
  <si>
    <t>重訪Ⅲ入院等深夜３．５・２人・同行・９０日減</t>
  </si>
  <si>
    <t>重訪Ⅲ入院等深夜４．０</t>
  </si>
  <si>
    <t>重訪Ⅲ入院等深夜４．０・２人</t>
  </si>
  <si>
    <t>重訪Ⅲ入院等深夜４．０・同行</t>
  </si>
  <si>
    <t>重訪Ⅲ入院等深夜４．０・２人・同行</t>
  </si>
  <si>
    <t>重訪Ⅲ入院等深夜４．０・９０日減</t>
  </si>
  <si>
    <t>重訪Ⅲ入院等深夜４．０・２人・９０日減</t>
  </si>
  <si>
    <t>重訪Ⅲ入院等深夜４．０・同行・９０日減</t>
  </si>
  <si>
    <t>重訪Ⅲ入院等深夜４．０・２人・同行・９０日減</t>
  </si>
  <si>
    <t>重訪Ⅲ入院等深夜８．０</t>
  </si>
  <si>
    <t>重訪Ⅲ入院等深夜８．０・２人</t>
  </si>
  <si>
    <t>重訪Ⅲ入院等深夜８．０・同行</t>
  </si>
  <si>
    <t>重訪Ⅲ入院等深夜８．０・２人・同行</t>
  </si>
  <si>
    <t>重訪Ⅲ入院等深夜８．０・９０日減</t>
  </si>
  <si>
    <t>重訪Ⅲ入院等深夜８．０・２人・９０日減</t>
  </si>
  <si>
    <t>重訪Ⅲ入院等深夜８．０・同行・９０日減</t>
  </si>
  <si>
    <t>重訪Ⅲ入院等深夜８．０・２人・同行・９０日減</t>
  </si>
  <si>
    <t>重訪Ⅲ入院等深夜１２．０</t>
  </si>
  <si>
    <t>重訪Ⅲ入院等深夜１２．０・２人</t>
  </si>
  <si>
    <t>重訪Ⅲ入院等深夜１２．０・同行</t>
  </si>
  <si>
    <t>重訪Ⅲ入院等深夜１２．０・２人・同行</t>
  </si>
  <si>
    <t>重訪Ⅲ入院等深夜１２．０・９０日減</t>
  </si>
  <si>
    <t>重訪Ⅲ入院等深夜１２．０・２人・９０日減</t>
  </si>
  <si>
    <t>重訪Ⅲ入院等深夜１２．０・同行・９０日減</t>
  </si>
  <si>
    <t>重訪Ⅲ入院等深夜１２．０・２人・同行・９０日減</t>
  </si>
  <si>
    <t>重訪Ⅲ入院等深夜１６．０</t>
  </si>
  <si>
    <t>重訪Ⅲ入院等深夜１６．０・２人</t>
  </si>
  <si>
    <t>重訪Ⅲ入院等深夜１６．０・同行</t>
  </si>
  <si>
    <t>重訪Ⅲ入院等深夜１６．０・２人・同行</t>
  </si>
  <si>
    <t>重訪Ⅲ入院等深夜１６．０・９０日減</t>
  </si>
  <si>
    <t>重訪Ⅲ入院等深夜１６．０・２人・９０日減</t>
  </si>
  <si>
    <t>重訪Ⅲ入院等深夜１６．０・同行・９０日減</t>
  </si>
  <si>
    <t>重訪Ⅲ入院等深夜１６．０・２人・同行・９０日減</t>
  </si>
  <si>
    <t>重訪Ⅲ入院等深夜２０．０</t>
  </si>
  <si>
    <t>重訪Ⅲ入院等深夜２０．０・２人</t>
  </si>
  <si>
    <t>重訪Ⅲ入院等深夜２０．０・同行</t>
  </si>
  <si>
    <t>重訪Ⅲ入院等深夜２０．０・２人・同行</t>
  </si>
  <si>
    <t>重訪Ⅲ入院等深夜２０．０・９０日減</t>
  </si>
  <si>
    <t>重訪Ⅲ入院等深夜２０．０・２人・９０日減</t>
  </si>
  <si>
    <t>重訪Ⅲ入院等深夜２０．０・同行・９０日減</t>
  </si>
  <si>
    <t>重訪Ⅲ入院等深夜２０．０・２人・同行・９０日減</t>
  </si>
  <si>
    <t>重訪Ⅲ入院等深夜２４．０</t>
  </si>
  <si>
    <t>重訪Ⅲ入院等深夜２４．０・２人</t>
  </si>
  <si>
    <t>重訪Ⅲ入院等深夜２４．０・同行</t>
  </si>
  <si>
    <t>重訪Ⅲ入院等深夜２４．０・２人・同行</t>
  </si>
  <si>
    <t>重訪Ⅲ入院等深夜２４．０・９０日減</t>
  </si>
  <si>
    <t>重訪Ⅲ入院等深夜２４．０・２人・９０日減</t>
  </si>
  <si>
    <t>重訪Ⅲ入院等深夜２４．０・同行・９０日減</t>
  </si>
  <si>
    <t>重訪Ⅲ入院等深夜２４．０・２人・同行・９０日減</t>
  </si>
  <si>
    <t>15_同行援護　名前定義</t>
    <rPh sb="3" eb="5">
      <t>ドウコウ</t>
    </rPh>
    <rPh sb="5" eb="7">
      <t>エンゴ</t>
    </rPh>
    <rPh sb="8" eb="10">
      <t>ナマエ</t>
    </rPh>
    <rPh sb="10" eb="12">
      <t>テイギ</t>
    </rPh>
    <phoneticPr fontId="4"/>
  </si>
  <si>
    <t>_15_同援日０．５</t>
    <phoneticPr fontId="1"/>
  </si>
  <si>
    <t>_15_同援日１．０</t>
  </si>
  <si>
    <t>_15_同援日１．５</t>
  </si>
  <si>
    <t>_15_同援日２．０</t>
  </si>
  <si>
    <t>_15_同援日２．５</t>
  </si>
  <si>
    <t>_15_同援日３．０</t>
  </si>
  <si>
    <t>_15_同援日３．５</t>
  </si>
  <si>
    <t>_15_同援日４．０</t>
  </si>
  <si>
    <t>_15_同援日４．５</t>
  </si>
  <si>
    <t>_15_同援日５．０</t>
  </si>
  <si>
    <t>_15_同援日５．５</t>
  </si>
  <si>
    <t>_15_同援日６．０</t>
  </si>
  <si>
    <t>_15_同援日６．５</t>
  </si>
  <si>
    <t>_15_同援日７．０</t>
  </si>
  <si>
    <t>_15_同援日７．５</t>
  </si>
  <si>
    <t>_15_同援日８．０</t>
  </si>
  <si>
    <t>_15_同援日８．５</t>
  </si>
  <si>
    <t>_15_同援日９．０</t>
  </si>
  <si>
    <t>_15_同援日９．５</t>
  </si>
  <si>
    <t>_15_同援日１０．０</t>
  </si>
  <si>
    <t>_15_同援日１０．５</t>
  </si>
  <si>
    <t>_15_同援日増０．５</t>
    <phoneticPr fontId="4"/>
  </si>
  <si>
    <t>_15_同援日増１．０</t>
  </si>
  <si>
    <t>_15_同援日増１．５</t>
  </si>
  <si>
    <t>_15_同援日増２．０</t>
  </si>
  <si>
    <t>_15_同援日増２．５</t>
  </si>
  <si>
    <t>_15_同援日増３．０</t>
  </si>
  <si>
    <t>_15_同援日増３．５</t>
  </si>
  <si>
    <t>_15_同援日増４．０</t>
  </si>
  <si>
    <t>_15_同援日増４．５</t>
  </si>
  <si>
    <t>_15_同援日増５．０</t>
  </si>
  <si>
    <t>_15_同援日増５．５</t>
  </si>
  <si>
    <t>_15_同援日増６．０</t>
  </si>
  <si>
    <t>_15_同援日増６．５</t>
  </si>
  <si>
    <t>_15_同援日増７．０</t>
  </si>
  <si>
    <t>_15_同援日増７．５</t>
  </si>
  <si>
    <t>_15_同援日増８．０</t>
  </si>
  <si>
    <t>_15_同援日増８．５</t>
  </si>
  <si>
    <t>_15_同援日増９．０</t>
  </si>
  <si>
    <t>_15_同援日増９．５</t>
  </si>
  <si>
    <t>_15_同援日増１０．０</t>
  </si>
  <si>
    <t>_15_同援日増１０．５</t>
  </si>
  <si>
    <t>_15_同援日０．５＿０．５</t>
    <phoneticPr fontId="1"/>
  </si>
  <si>
    <t>_15_同援日０．５＿１．０</t>
  </si>
  <si>
    <t>_15_同援日０．５＿１．５</t>
  </si>
  <si>
    <t>_15_同援日０．５＿２．０</t>
    <phoneticPr fontId="1"/>
  </si>
  <si>
    <t>_15_同援日０．５＿２．５</t>
  </si>
  <si>
    <t>_15_同援日１．０＿０．５</t>
    <phoneticPr fontId="1"/>
  </si>
  <si>
    <t>_15_同援日１．０＿１．０</t>
  </si>
  <si>
    <t>_15_同援日１．０＿１．５</t>
  </si>
  <si>
    <t>_15_同援日１．０＿２．０</t>
  </si>
  <si>
    <t>_15_同援日１．５＿０．５</t>
  </si>
  <si>
    <t>_15_同援日１．５＿１．０</t>
  </si>
  <si>
    <t>_15_同援日１．５＿１．５</t>
  </si>
  <si>
    <t>_15_同援日２．０＿０．５</t>
    <phoneticPr fontId="1"/>
  </si>
  <si>
    <t>_15_同援日２．０＿１．０</t>
  </si>
  <si>
    <t>_15_同援日２．５＿０．５</t>
  </si>
  <si>
    <t>_15_同援日０．５＿０．５＿０．５</t>
    <phoneticPr fontId="1"/>
  </si>
  <si>
    <t>_15_同援日０．５＿０．５＿１．０</t>
  </si>
  <si>
    <t>_15_同援日０．５＿０．５＿１．５</t>
  </si>
  <si>
    <t>_15_同援日０．５＿０．５＿２．０</t>
  </si>
  <si>
    <t>_15_同援日０．５＿１．０＿０．５</t>
    <phoneticPr fontId="1"/>
  </si>
  <si>
    <t>_15_同援日０．５＿１．０＿１．０</t>
    <phoneticPr fontId="1"/>
  </si>
  <si>
    <t>_15_同援日０．５＿１．０＿１．５</t>
  </si>
  <si>
    <t>_15_同援日０．５＿１．５＿０．５</t>
    <phoneticPr fontId="1"/>
  </si>
  <si>
    <t>_15_同援日０．５＿１．５＿１．０</t>
    <phoneticPr fontId="1"/>
  </si>
  <si>
    <t>_15_同援日０．５＿２．０＿０．５</t>
    <phoneticPr fontId="1"/>
  </si>
  <si>
    <t>_15_同援日１．０＿０．５＿０．５</t>
    <phoneticPr fontId="1"/>
  </si>
  <si>
    <t>_15_同援日１．０＿０．５＿１．０</t>
  </si>
  <si>
    <t>_15_同援日１．０＿０．５＿１．５</t>
  </si>
  <si>
    <t>_15_同援日１．０＿１．０＿０．５</t>
    <phoneticPr fontId="1"/>
  </si>
  <si>
    <t>_15_同援日１．０＿１．０＿１．０</t>
  </si>
  <si>
    <t>_15_同援日１．０＿１．５＿０．５</t>
    <phoneticPr fontId="1"/>
  </si>
  <si>
    <t>_15_同援日１．５＿０．５＿０．５</t>
    <phoneticPr fontId="1"/>
  </si>
  <si>
    <t>_15_同援日１．５＿０．５＿１．０</t>
  </si>
  <si>
    <t>_15_同援日１．５＿１．０＿０．５</t>
    <phoneticPr fontId="1"/>
  </si>
  <si>
    <t>_15_同援日２．０＿０．５＿０．５</t>
    <phoneticPr fontId="1"/>
  </si>
  <si>
    <t>_15・基礎２</t>
  </si>
  <si>
    <t>_15・通訳</t>
  </si>
  <si>
    <t>_15・２人</t>
  </si>
  <si>
    <t>_15・A深夜</t>
  </si>
  <si>
    <t>_15・A早朝</t>
  </si>
  <si>
    <t>_15・A夜間</t>
  </si>
  <si>
    <t>_15・B深夜</t>
  </si>
  <si>
    <t>_15・B早朝</t>
  </si>
  <si>
    <t>_15・B夜間</t>
  </si>
  <si>
    <t>_15・C深夜</t>
  </si>
  <si>
    <t>_15・C夜間</t>
  </si>
  <si>
    <t>_15・盲ろう</t>
  </si>
  <si>
    <t>_15・区３</t>
  </si>
  <si>
    <t>_15・区４</t>
  </si>
  <si>
    <t>３  同行援護サービスコード表</t>
    <phoneticPr fontId="1"/>
  </si>
  <si>
    <t>（日中のみ）</t>
    <phoneticPr fontId="1"/>
  </si>
  <si>
    <t>同援日０．５</t>
  </si>
  <si>
    <t>イ　日中</t>
    <phoneticPr fontId="1"/>
  </si>
  <si>
    <t>同援日０．５・２人</t>
  </si>
  <si>
    <t xml:space="preserve"> ３０分未満</t>
    <phoneticPr fontId="1"/>
  </si>
  <si>
    <t>２人目の同行援護従業者による場合</t>
  </si>
  <si>
    <t>同援日０．５・基礎</t>
  </si>
  <si>
    <t>基礎研修課程修了者等により</t>
    <phoneticPr fontId="1"/>
  </si>
  <si>
    <t>同援日０．５・基礎・２人</t>
  </si>
  <si>
    <t>行われる場合</t>
    <phoneticPr fontId="1"/>
  </si>
  <si>
    <t>同援日０．５・盲ろう</t>
  </si>
  <si>
    <t>盲ろう者に対して盲ろう者向け</t>
  </si>
  <si>
    <t>同援日０．５・２人・盲ろう</t>
  </si>
  <si>
    <t>通訳・介助員が支援を行う場合</t>
  </si>
  <si>
    <t>同援日０．５・基礎・盲ろう</t>
  </si>
  <si>
    <t>同援日０．５・基礎・２人・盲ろう</t>
  </si>
  <si>
    <t>同援日０．５・区３</t>
  </si>
  <si>
    <t>同援日０．５・２人・区３</t>
  </si>
  <si>
    <t>同援日０．５・基礎・区３</t>
  </si>
  <si>
    <t>障害支援区分３に該当</t>
    <phoneticPr fontId="1"/>
  </si>
  <si>
    <t>同援日０．５・基礎・２人・区３</t>
  </si>
  <si>
    <t>する者の場合</t>
    <phoneticPr fontId="1"/>
  </si>
  <si>
    <t>同援日０．５・盲ろう・区３</t>
  </si>
  <si>
    <t>同援日０．５・２人・盲ろう・区３</t>
  </si>
  <si>
    <t>同援日０．５・基礎・盲ろう・区３</t>
  </si>
  <si>
    <t>同援日０．５・基礎・２人・盲ろう・区３</t>
  </si>
  <si>
    <t>同援日０．５・区４</t>
  </si>
  <si>
    <t>同援日０．５・２人・区４</t>
  </si>
  <si>
    <t>同援日０．５・基礎・区４</t>
  </si>
  <si>
    <t>障害支援区分４以上に該当</t>
    <phoneticPr fontId="1"/>
  </si>
  <si>
    <t>同援日０．５・基礎・２人・区４</t>
  </si>
  <si>
    <t>同援日０．５・盲ろう・区４</t>
  </si>
  <si>
    <t>同援日０．５・２人・盲ろう・区４</t>
  </si>
  <si>
    <t>同援日０．５・基礎・盲ろう・区４</t>
  </si>
  <si>
    <t>同援日０．５・基礎・２人・盲ろう・区４</t>
  </si>
  <si>
    <t>同援日１．０</t>
  </si>
  <si>
    <t>ロ　日中</t>
    <phoneticPr fontId="1"/>
  </si>
  <si>
    <t>同援日１．０・２人</t>
  </si>
  <si>
    <t xml:space="preserve"> ３０分以上</t>
    <phoneticPr fontId="1"/>
  </si>
  <si>
    <t>同援日１．０・基礎</t>
  </si>
  <si>
    <t xml:space="preserve"> １時間未満</t>
  </si>
  <si>
    <t>同援日１．０・基礎・２人</t>
  </si>
  <si>
    <t>同援日１．０・盲ろう</t>
  </si>
  <si>
    <t>同援日１．０・２人・盲ろう</t>
  </si>
  <si>
    <t>同援日１．０・基礎・盲ろう</t>
  </si>
  <si>
    <t>同援日１．０・基礎・２人・盲ろう</t>
  </si>
  <si>
    <t>同援日１．０・区３</t>
  </si>
  <si>
    <t>同援日１．０・２人・区３</t>
  </si>
  <si>
    <t>同援日１．０・基礎・区３</t>
  </si>
  <si>
    <t>同援日１．０・基礎・２人・区３</t>
  </si>
  <si>
    <t>同援日１．０・盲ろう・区３</t>
  </si>
  <si>
    <t>同援日１．０・２人・盲ろう・区３</t>
  </si>
  <si>
    <t>同援日１．０・基礎・盲ろう・区３</t>
  </si>
  <si>
    <t>同援日１．０・基礎・２人・盲ろう・区３</t>
  </si>
  <si>
    <t>同援日１．０・区４</t>
  </si>
  <si>
    <t>同援日１．０・２人・区４</t>
  </si>
  <si>
    <t>同援日１．０・基礎・区４</t>
  </si>
  <si>
    <t>同援日１．０・基礎・２人・区４</t>
  </si>
  <si>
    <t>同援日１．０・盲ろう・区４</t>
  </si>
  <si>
    <t>同援日１．０・２人・盲ろう・区４</t>
  </si>
  <si>
    <t>同援日１．０・基礎・盲ろう・区４</t>
  </si>
  <si>
    <t>同援日１．０・基礎・２人・盲ろう・区４</t>
  </si>
  <si>
    <t>同援日１．５</t>
  </si>
  <si>
    <t>ハ　日中</t>
    <phoneticPr fontId="1"/>
  </si>
  <si>
    <t>同援日１．５・２人</t>
  </si>
  <si>
    <t xml:space="preserve"> １時間以上</t>
    <phoneticPr fontId="1"/>
  </si>
  <si>
    <t>同援日１．５・基礎</t>
  </si>
  <si>
    <t xml:space="preserve"> １時間３０分未満</t>
    <phoneticPr fontId="1"/>
  </si>
  <si>
    <t>同援日１．５・基礎・２人</t>
  </si>
  <si>
    <t>同援日１．５・盲ろう</t>
  </si>
  <si>
    <t>同援日１．５・２人・盲ろう</t>
  </si>
  <si>
    <t>同援日１．５・基礎・盲ろう</t>
  </si>
  <si>
    <t>同援日１．５・基礎・２人・盲ろう</t>
  </si>
  <si>
    <t>同援日１．５・区３</t>
  </si>
  <si>
    <t>同援日１．５・２人・区３</t>
  </si>
  <si>
    <t>同援日１．５・基礎・区３</t>
  </si>
  <si>
    <t>同援日１．５・基礎・２人・区３</t>
  </si>
  <si>
    <t>同援日１．５・盲ろう・区３</t>
  </si>
  <si>
    <t>同援日１．５・２人・盲ろう・区３</t>
  </si>
  <si>
    <t>同援日１．５・基礎・盲ろう・区３</t>
  </si>
  <si>
    <t>同援日１．５・基礎・２人・盲ろう・区３</t>
  </si>
  <si>
    <t>同援日１．５・区４</t>
  </si>
  <si>
    <t>同援日１．５・２人・区４</t>
  </si>
  <si>
    <t>同援日１．５・基礎・区４</t>
  </si>
  <si>
    <t>同援日１．５・基礎・２人・区４</t>
  </si>
  <si>
    <t>同援日１．５・盲ろう・区４</t>
  </si>
  <si>
    <t>同援日１．５・２人・盲ろう・区４</t>
  </si>
  <si>
    <t>同援日１．５・基礎・盲ろう・区４</t>
  </si>
  <si>
    <t>同援日１．５・基礎・２人・盲ろう・区４</t>
  </si>
  <si>
    <t>同援日２．０</t>
  </si>
  <si>
    <t>ニ　日中</t>
    <phoneticPr fontId="1"/>
  </si>
  <si>
    <t>同援日２．０・２人</t>
  </si>
  <si>
    <t xml:space="preserve"> １時間３０分以上</t>
    <phoneticPr fontId="1"/>
  </si>
  <si>
    <t>同援日２．０・基礎</t>
  </si>
  <si>
    <t xml:space="preserve"> ２時間未満</t>
  </si>
  <si>
    <t>同援日２．０・基礎・２人</t>
  </si>
  <si>
    <t>同援日２．０・盲ろう</t>
  </si>
  <si>
    <t>同援日２．０・２人・盲ろう</t>
  </si>
  <si>
    <t>同援日２．０・基礎・盲ろう</t>
  </si>
  <si>
    <t>同援日２．０・基礎・２人・盲ろう</t>
  </si>
  <si>
    <t>同援日２．０・区３</t>
  </si>
  <si>
    <t>同援日２．０・２人・区３</t>
  </si>
  <si>
    <t>同援日２．０・基礎・区３</t>
  </si>
  <si>
    <t>同援日２．０・基礎・２人・区３</t>
  </si>
  <si>
    <t>同援日２．０・盲ろう・区３</t>
  </si>
  <si>
    <t>同援日２．０・２人・盲ろう・区３</t>
  </si>
  <si>
    <t>同援日２．０・基礎・盲ろう・区３</t>
  </si>
  <si>
    <t>同援日２．０・基礎・２人・盲ろう・区３</t>
  </si>
  <si>
    <t>同援日２．０・区４</t>
  </si>
  <si>
    <t>同援日２．０・２人・区４</t>
  </si>
  <si>
    <t>同援日２．０・基礎・区４</t>
  </si>
  <si>
    <t>同援日２．０・基礎・２人・区４</t>
  </si>
  <si>
    <t>同援日２．０・盲ろう・区４</t>
  </si>
  <si>
    <t>同援日２．０・２人・盲ろう・区４</t>
  </si>
  <si>
    <t>同援日２．０・基礎・盲ろう・区４</t>
  </si>
  <si>
    <t>同援日２．０・基礎・２人・盲ろう・区４</t>
  </si>
  <si>
    <t>同援日２．５</t>
  </si>
  <si>
    <t>ホ　日中</t>
    <phoneticPr fontId="1"/>
  </si>
  <si>
    <t>同援日２．５・２人</t>
  </si>
  <si>
    <t xml:space="preserve"> ２時間以上</t>
    <phoneticPr fontId="1"/>
  </si>
  <si>
    <t>同援日２．５・基礎</t>
  </si>
  <si>
    <t xml:space="preserve"> ２時間３０分未満</t>
  </si>
  <si>
    <t>同援日２．５・基礎・２人</t>
  </si>
  <si>
    <t>同援日２．５・盲ろう</t>
  </si>
  <si>
    <t>同援日２．５・２人・盲ろう</t>
  </si>
  <si>
    <t>同援日２．５・基礎・盲ろう</t>
  </si>
  <si>
    <t>同援日２．５・基礎・２人・盲ろう</t>
  </si>
  <si>
    <t>同援日２．５・区３</t>
  </si>
  <si>
    <t>同援日２．５・２人・区３</t>
  </si>
  <si>
    <t>同援日２．５・基礎・区３</t>
  </si>
  <si>
    <t>同援日２．５・基礎・２人・区３</t>
  </si>
  <si>
    <t>同援日２．５・盲ろう・区３</t>
  </si>
  <si>
    <t>同援日２．５・２人・盲ろう・区３</t>
  </si>
  <si>
    <t>同援日２．５・基礎・盲ろう・区３</t>
  </si>
  <si>
    <t>同援日２．５・基礎・２人・盲ろう・区３</t>
  </si>
  <si>
    <t>同援日２．５・区４</t>
  </si>
  <si>
    <t>同援日２．５・２人・区４</t>
  </si>
  <si>
    <t>同援日２．５・基礎・区４</t>
  </si>
  <si>
    <t>同援日２．５・基礎・２人・区４</t>
  </si>
  <si>
    <t>同援日２．５・盲ろう・区４</t>
  </si>
  <si>
    <t>同援日２．５・２人・盲ろう・区４</t>
  </si>
  <si>
    <t>同援日２．５・基礎・盲ろう・区４</t>
  </si>
  <si>
    <t>同援日２．５・基礎・２人・盲ろう・区４</t>
  </si>
  <si>
    <t>同援日３．０</t>
  </si>
  <si>
    <t>ヘ　日中</t>
    <phoneticPr fontId="1"/>
  </si>
  <si>
    <t>同援日３．０・２人</t>
  </si>
  <si>
    <t xml:space="preserve"> ２時間３０分以上</t>
    <phoneticPr fontId="1"/>
  </si>
  <si>
    <t>同援日３．０・基礎</t>
  </si>
  <si>
    <t xml:space="preserve"> ３時間未満</t>
    <phoneticPr fontId="1"/>
  </si>
  <si>
    <t>同援日３．０・基礎・２人</t>
  </si>
  <si>
    <t>同援日３．０・盲ろう</t>
  </si>
  <si>
    <t>同援日３．０・２人・盲ろう</t>
  </si>
  <si>
    <t>同援日３．０・基礎・盲ろう</t>
  </si>
  <si>
    <t>同援日３．０・基礎・２人・盲ろう</t>
  </si>
  <si>
    <t>同援日３．０・区３</t>
  </si>
  <si>
    <t>同援日３．０・２人・区３</t>
  </si>
  <si>
    <t>同援日３．０・基礎・区３</t>
  </si>
  <si>
    <t>同援日３．０・基礎・２人・区３</t>
  </si>
  <si>
    <t>同援日３．０・盲ろう・区３</t>
  </si>
  <si>
    <t>同援日３．０・２人・盲ろう・区３</t>
  </si>
  <si>
    <t>同援日３．０・基礎・盲ろう・区３</t>
  </si>
  <si>
    <t>同援日３．０・基礎・２人・盲ろう・区３</t>
  </si>
  <si>
    <t>同援日３．０・区４</t>
  </si>
  <si>
    <t>同援日３．０・２人・区４</t>
  </si>
  <si>
    <t>同援日３．０・基礎・区４</t>
  </si>
  <si>
    <t>同援日３．０・基礎・２人・区４</t>
  </si>
  <si>
    <t>同援日３．０・盲ろう・区４</t>
  </si>
  <si>
    <t>同援日３．０・２人・盲ろう・区４</t>
  </si>
  <si>
    <t>同援日３．０・基礎・盲ろう・区４</t>
  </si>
  <si>
    <t>同援日３．０・基礎・２人・盲ろう・区４</t>
  </si>
  <si>
    <t>同援日３．５</t>
  </si>
  <si>
    <t>ト　日中</t>
    <phoneticPr fontId="1"/>
  </si>
  <si>
    <t>同援日３．５・２人</t>
  </si>
  <si>
    <t xml:space="preserve"> ３時間以上</t>
    <phoneticPr fontId="1"/>
  </si>
  <si>
    <t>同援日３．５・基礎</t>
  </si>
  <si>
    <t xml:space="preserve"> ３時間３０分未満</t>
  </si>
  <si>
    <t>同援日３．５・基礎・２人</t>
  </si>
  <si>
    <t>同援日３．５・盲ろう</t>
  </si>
  <si>
    <t>同援日３．５・２人・盲ろう</t>
  </si>
  <si>
    <t>同援日３．５・基礎・盲ろう</t>
  </si>
  <si>
    <t>同援日３．５・基礎・２人・盲ろう</t>
  </si>
  <si>
    <t>同援日３．５・区３</t>
  </si>
  <si>
    <t>同援日３．５・２人・区３</t>
  </si>
  <si>
    <t>同援日３．５・基礎・区３</t>
  </si>
  <si>
    <t>同援日３．５・基礎・２人・区３</t>
  </si>
  <si>
    <t>同援日３．５・盲ろう・区３</t>
  </si>
  <si>
    <t>同援日３．５・２人・盲ろう・区３</t>
  </si>
  <si>
    <t>同援日３．５・基礎・盲ろう・区３</t>
  </si>
  <si>
    <t>同援日３．５・基礎・２人・盲ろう・区３</t>
  </si>
  <si>
    <t>同援日３．５・区４</t>
  </si>
  <si>
    <t>同援日３．５・２人・区４</t>
  </si>
  <si>
    <t>同援日３．５・基礎・区４</t>
  </si>
  <si>
    <t>同援日３．５・基礎・２人・区４</t>
  </si>
  <si>
    <t>同援日３．５・盲ろう・区４</t>
  </si>
  <si>
    <t>同援日３．５・２人・盲ろう・区４</t>
  </si>
  <si>
    <t>同援日３．５・基礎・盲ろう・区４</t>
  </si>
  <si>
    <t>同援日３．５・基礎・２人・盲ろう・区４</t>
  </si>
  <si>
    <t>同援日４．０</t>
  </si>
  <si>
    <t>チ　日中</t>
    <phoneticPr fontId="1"/>
  </si>
  <si>
    <t>同援日４．０・２人</t>
  </si>
  <si>
    <t xml:space="preserve"> ３時間３０分以上</t>
    <phoneticPr fontId="1"/>
  </si>
  <si>
    <t>同援日４．０・基礎</t>
  </si>
  <si>
    <t xml:space="preserve"> ４時間未満</t>
  </si>
  <si>
    <t>同援日４．０・基礎・２人</t>
  </si>
  <si>
    <t>同援日４．０・盲ろう</t>
  </si>
  <si>
    <t>同援日４．０・２人・盲ろう</t>
  </si>
  <si>
    <t>同援日４．０・基礎・盲ろう</t>
  </si>
  <si>
    <t>同援日４．０・基礎・２人・盲ろう</t>
  </si>
  <si>
    <t>同援日４．０・区３</t>
  </si>
  <si>
    <t>同援日４．０・２人・区３</t>
  </si>
  <si>
    <t>同援日４．０・基礎・区３</t>
  </si>
  <si>
    <t>同援日４．０・基礎・２人・区３</t>
  </si>
  <si>
    <t>同援日４．０・盲ろう・区３</t>
  </si>
  <si>
    <t>同援日４．０・２人・盲ろう・区３</t>
  </si>
  <si>
    <t>同援日４．０・基礎・盲ろう・区３</t>
  </si>
  <si>
    <t>同援日４．０・基礎・２人・盲ろう・区３</t>
  </si>
  <si>
    <t>同援日４．０・区４</t>
  </si>
  <si>
    <t>同援日４．０・２人・区４</t>
  </si>
  <si>
    <t>同援日４．０・基礎・区４</t>
  </si>
  <si>
    <t>同援日４．０・基礎・２人・区４</t>
  </si>
  <si>
    <t>同援日４．０・盲ろう・区４</t>
  </si>
  <si>
    <t>同援日４．０・２人・盲ろう・区４</t>
  </si>
  <si>
    <t>同援日４．０・基礎・盲ろう・区４</t>
  </si>
  <si>
    <t>同援日４．０・基礎・２人・盲ろう・区４</t>
  </si>
  <si>
    <t>同援日４．５</t>
  </si>
  <si>
    <t>リ　日中</t>
    <phoneticPr fontId="1"/>
  </si>
  <si>
    <t>同援日４．５・２人</t>
  </si>
  <si>
    <t xml:space="preserve"> ４時間以上</t>
    <phoneticPr fontId="1"/>
  </si>
  <si>
    <t>同援日４．５・基礎</t>
  </si>
  <si>
    <t xml:space="preserve"> ４時間３０分未満</t>
    <phoneticPr fontId="1"/>
  </si>
  <si>
    <t>同援日４．５・基礎・２人</t>
  </si>
  <si>
    <t>同援日４．５・盲ろう</t>
  </si>
  <si>
    <t>同援日４．５・２人・盲ろう</t>
  </si>
  <si>
    <t>同援日４．５・基礎・盲ろう</t>
  </si>
  <si>
    <t>同援日４．５・基礎・２人・盲ろう</t>
  </si>
  <si>
    <t>同援日４．５・区３</t>
  </si>
  <si>
    <t>同援日４．５・２人・区３</t>
  </si>
  <si>
    <t>同援日４．５・基礎・区３</t>
  </si>
  <si>
    <t>同援日４．５・基礎・２人・区３</t>
  </si>
  <si>
    <t>同援日４．５・盲ろう・区３</t>
  </si>
  <si>
    <t>同援日４．５・２人・盲ろう・区３</t>
  </si>
  <si>
    <t>同援日４．５・基礎・盲ろう・区３</t>
  </si>
  <si>
    <t>同援日４．５・基礎・２人・盲ろう・区３</t>
  </si>
  <si>
    <t>同援日４．５・区４</t>
  </si>
  <si>
    <t>同援日４．５・２人・区４</t>
  </si>
  <si>
    <t>同援日４．５・基礎・区４</t>
  </si>
  <si>
    <t>同援日４．５・基礎・２人・区４</t>
  </si>
  <si>
    <t>同援日４．５・盲ろう・区４</t>
  </si>
  <si>
    <t>同援日４．５・２人・盲ろう・区４</t>
  </si>
  <si>
    <t>同援日４．５・基礎・盲ろう・区４</t>
  </si>
  <si>
    <t>同援日４．５・基礎・２人・盲ろう・区４</t>
  </si>
  <si>
    <t>同援日５．０</t>
  </si>
  <si>
    <t>ヌ　日中</t>
    <phoneticPr fontId="1"/>
  </si>
  <si>
    <t>同援日５．０・２人</t>
  </si>
  <si>
    <t xml:space="preserve"> ４時間３０分以上</t>
    <phoneticPr fontId="1"/>
  </si>
  <si>
    <t>同援日５．０・基礎</t>
  </si>
  <si>
    <t xml:space="preserve"> ５時間未満</t>
    <phoneticPr fontId="1"/>
  </si>
  <si>
    <t>同援日５．０・基礎・２人</t>
  </si>
  <si>
    <t>同援日５．０・盲ろう</t>
  </si>
  <si>
    <t>同援日５．０・２人・盲ろう</t>
  </si>
  <si>
    <t>同援日５．０・基礎・盲ろう</t>
  </si>
  <si>
    <t>同援日５．０・基礎・２人・盲ろう</t>
  </si>
  <si>
    <t>同援日５．０・区３</t>
  </si>
  <si>
    <t>同援日５．０・２人・区３</t>
  </si>
  <si>
    <t>同援日５．０・基礎・区３</t>
  </si>
  <si>
    <t>同援日５．０・基礎・２人・区３</t>
  </si>
  <si>
    <t>同援日５．０・盲ろう・区３</t>
  </si>
  <si>
    <t>同援日５．０・２人・盲ろう・区３</t>
  </si>
  <si>
    <t>同援日５．０・基礎・盲ろう・区３</t>
  </si>
  <si>
    <t>同援日５．０・基礎・２人・盲ろう・区３</t>
  </si>
  <si>
    <t>同援日５．０・区４</t>
  </si>
  <si>
    <t>同援日５．０・２人・区４</t>
  </si>
  <si>
    <t>同援日５．０・基礎・区４</t>
  </si>
  <si>
    <t>同援日５．０・基礎・２人・区４</t>
  </si>
  <si>
    <t>同援日５．０・盲ろう・区４</t>
  </si>
  <si>
    <t>同援日５．０・２人・盲ろう・区４</t>
  </si>
  <si>
    <t>同援日５．０・基礎・盲ろう・区４</t>
  </si>
  <si>
    <t>同援日５．０・基礎・２人・盲ろう・区４</t>
  </si>
  <si>
    <t>同援日５．５</t>
  </si>
  <si>
    <t>ル　日中</t>
    <phoneticPr fontId="1"/>
  </si>
  <si>
    <t>同援日５．５・２人</t>
  </si>
  <si>
    <t xml:space="preserve"> ５時間以上</t>
    <phoneticPr fontId="1"/>
  </si>
  <si>
    <t>同援日５．５・基礎</t>
  </si>
  <si>
    <t xml:space="preserve"> ５時間３０分未満</t>
    <phoneticPr fontId="1"/>
  </si>
  <si>
    <t>同援日５．５・基礎・２人</t>
  </si>
  <si>
    <t>同援日５．５・盲ろう</t>
  </si>
  <si>
    <t>同援日５．５・２人・盲ろう</t>
  </si>
  <si>
    <t>同援日５．５・基礎・盲ろう</t>
  </si>
  <si>
    <t>同援日５．５・基礎・２人・盲ろう</t>
  </si>
  <si>
    <t>同援日５．５・区３</t>
  </si>
  <si>
    <t>同援日５．５・２人・区３</t>
  </si>
  <si>
    <t>同援日５．５・基礎・区３</t>
  </si>
  <si>
    <t>同援日５．５・基礎・２人・区３</t>
  </si>
  <si>
    <t>同援日５．５・盲ろう・区３</t>
  </si>
  <si>
    <t>同援日５．５・２人・盲ろう・区３</t>
  </si>
  <si>
    <t>同援日５．５・基礎・盲ろう・区３</t>
  </si>
  <si>
    <t>同援日５．５・基礎・２人・盲ろう・区３</t>
  </si>
  <si>
    <t>同援日５．５・区４</t>
  </si>
  <si>
    <t>同援日５．５・２人・区４</t>
  </si>
  <si>
    <t>同援日５．５・基礎・区４</t>
  </si>
  <si>
    <t>同援日５．５・基礎・２人・区４</t>
  </si>
  <si>
    <t>同援日５．５・盲ろう・区４</t>
  </si>
  <si>
    <t>同援日５．５・２人・盲ろう・区４</t>
  </si>
  <si>
    <t>同援日５．５・基礎・盲ろう・区４</t>
  </si>
  <si>
    <t>同援日５．５・基礎・２人・盲ろう・区４</t>
  </si>
  <si>
    <t>同援日６．０</t>
  </si>
  <si>
    <t>ヲ　日中</t>
    <phoneticPr fontId="1"/>
  </si>
  <si>
    <t>同援日６．０・２人</t>
  </si>
  <si>
    <t xml:space="preserve"> ５時間３０分以上</t>
    <phoneticPr fontId="1"/>
  </si>
  <si>
    <t>同援日６．０・基礎</t>
  </si>
  <si>
    <t xml:space="preserve"> ６時間未満</t>
    <phoneticPr fontId="1"/>
  </si>
  <si>
    <t>同援日６．０・基礎・２人</t>
  </si>
  <si>
    <t>同援日６．０・盲ろう</t>
  </si>
  <si>
    <t>同援日６．０・２人・盲ろう</t>
  </si>
  <si>
    <t>同援日６．０・基礎・盲ろう</t>
  </si>
  <si>
    <t>同援日６．０・基礎・２人・盲ろう</t>
  </si>
  <si>
    <t>同援日６．０・区３</t>
  </si>
  <si>
    <t>同援日６．０・２人・区３</t>
  </si>
  <si>
    <t>同援日６．０・基礎・区３</t>
  </si>
  <si>
    <t>同援日６．０・基礎・２人・区３</t>
  </si>
  <si>
    <t>同援日６．０・盲ろう・区３</t>
  </si>
  <si>
    <t>同援日６．０・２人・盲ろう・区３</t>
  </si>
  <si>
    <t>同援日６．０・基礎・盲ろう・区３</t>
  </si>
  <si>
    <t>同援日６．０・基礎・２人・盲ろう・区３</t>
  </si>
  <si>
    <t>同援日６．０・区４</t>
  </si>
  <si>
    <t>同援日６．０・２人・区４</t>
  </si>
  <si>
    <t>同援日６．０・基礎・区４</t>
  </si>
  <si>
    <t>同援日６．０・基礎・２人・区４</t>
  </si>
  <si>
    <t>同援日６．０・盲ろう・区４</t>
  </si>
  <si>
    <t>同援日６．０・２人・盲ろう・区４</t>
  </si>
  <si>
    <t>同援日６．０・基礎・盲ろう・区４</t>
  </si>
  <si>
    <t>同援日６．０・基礎・２人・盲ろう・区４</t>
  </si>
  <si>
    <t>同援日６．５</t>
  </si>
  <si>
    <t>ワ　日中</t>
    <phoneticPr fontId="1"/>
  </si>
  <si>
    <t>同援日６．５・２人</t>
  </si>
  <si>
    <t xml:space="preserve"> ６時間以上</t>
    <phoneticPr fontId="1"/>
  </si>
  <si>
    <t>同援日６．５・基礎</t>
  </si>
  <si>
    <t xml:space="preserve"> ６時間３０分未満</t>
    <phoneticPr fontId="1"/>
  </si>
  <si>
    <t>同援日６．５・基礎・２人</t>
  </si>
  <si>
    <t>同援日６．５・盲ろう</t>
  </si>
  <si>
    <t>同援日６．５・２人・盲ろう</t>
  </si>
  <si>
    <t>同援日６．５・基礎・盲ろう</t>
  </si>
  <si>
    <t>同援日６．５・基礎・２人・盲ろう</t>
  </si>
  <si>
    <t>同援日６．５・区３</t>
  </si>
  <si>
    <t>同援日６．５・２人・区３</t>
  </si>
  <si>
    <t>同援日６．５・基礎・区３</t>
  </si>
  <si>
    <t>同援日６．５・基礎・２人・区３</t>
  </si>
  <si>
    <t>同援日６．５・盲ろう・区３</t>
  </si>
  <si>
    <t>同援日６．５・２人・盲ろう・区３</t>
  </si>
  <si>
    <t>同援日６．５・基礎・盲ろう・区３</t>
  </si>
  <si>
    <t>同援日６．５・基礎・２人・盲ろう・区３</t>
  </si>
  <si>
    <t>同援日６．５・区４</t>
  </si>
  <si>
    <t>同援日６．５・２人・区４</t>
  </si>
  <si>
    <t>同援日６．５・基礎・区４</t>
  </si>
  <si>
    <t>同援日６．５・基礎・２人・区４</t>
  </si>
  <si>
    <t>同援日６．５・盲ろう・区４</t>
  </si>
  <si>
    <t>同援日６．５・２人・盲ろう・区４</t>
  </si>
  <si>
    <t>同援日６．５・基礎・盲ろう・区４</t>
  </si>
  <si>
    <t>同援日６．５・基礎・２人・盲ろう・区４</t>
  </si>
  <si>
    <t>同援日７．０</t>
  </si>
  <si>
    <t>カ　日中</t>
    <phoneticPr fontId="1"/>
  </si>
  <si>
    <t>同援日７．０・２人</t>
  </si>
  <si>
    <t xml:space="preserve"> ６時間３０分以上</t>
    <phoneticPr fontId="1"/>
  </si>
  <si>
    <t>同援日７．０・基礎</t>
  </si>
  <si>
    <t xml:space="preserve"> ７時間未満</t>
    <phoneticPr fontId="1"/>
  </si>
  <si>
    <t>同援日７．０・基礎・２人</t>
  </si>
  <si>
    <t>同援日７．０・盲ろう</t>
  </si>
  <si>
    <t>同援日７．０・２人・盲ろう</t>
  </si>
  <si>
    <t>同援日７．０・基礎・盲ろう</t>
  </si>
  <si>
    <t>同援日７．０・基礎・２人・盲ろう</t>
  </si>
  <si>
    <t>同援日７．０・区３</t>
  </si>
  <si>
    <t>同援日７．０・２人・区３</t>
  </si>
  <si>
    <t>同援日７．０・基礎・区３</t>
  </si>
  <si>
    <t>同援日７．０・基礎・２人・区３</t>
  </si>
  <si>
    <t>同援日７．０・盲ろう・区３</t>
  </si>
  <si>
    <t>同援日７．０・２人・盲ろう・区３</t>
  </si>
  <si>
    <t>同援日７．０・基礎・盲ろう・区３</t>
  </si>
  <si>
    <t>同援日７．０・基礎・２人・盲ろう・区３</t>
  </si>
  <si>
    <t>同援日７．０・区４</t>
  </si>
  <si>
    <t>同援日７．０・２人・区４</t>
  </si>
  <si>
    <t>同援日７．０・基礎・区４</t>
  </si>
  <si>
    <t>同援日７．０・基礎・２人・区４</t>
  </si>
  <si>
    <t>同援日７．０・盲ろう・区４</t>
  </si>
  <si>
    <t>同援日７．０・２人・盲ろう・区４</t>
  </si>
  <si>
    <t>同援日７．０・基礎・盲ろう・区４</t>
  </si>
  <si>
    <t>同援日７．０・基礎・２人・盲ろう・区４</t>
  </si>
  <si>
    <t>同援日７．５</t>
  </si>
  <si>
    <t>ヨ　日中</t>
    <phoneticPr fontId="1"/>
  </si>
  <si>
    <t>同援日７．５・２人</t>
  </si>
  <si>
    <t xml:space="preserve"> ７時間以上</t>
    <phoneticPr fontId="1"/>
  </si>
  <si>
    <t>同援日７．５・基礎</t>
  </si>
  <si>
    <t xml:space="preserve"> ７時間３０分未満</t>
    <phoneticPr fontId="1"/>
  </si>
  <si>
    <t>同援日７．５・基礎・２人</t>
  </si>
  <si>
    <t>同援日７．５・盲ろう</t>
  </si>
  <si>
    <t>同援日７．５・２人・盲ろう</t>
  </si>
  <si>
    <t>同援日７．５・基礎・盲ろう</t>
  </si>
  <si>
    <t>同援日７．５・基礎・２人・盲ろう</t>
  </si>
  <si>
    <t>同援日７．５・区３</t>
  </si>
  <si>
    <t>同援日７．５・２人・区３</t>
  </si>
  <si>
    <t>同援日７．５・基礎・区３</t>
  </si>
  <si>
    <t>同援日７．５・基礎・２人・区３</t>
  </si>
  <si>
    <t>同援日７．５・盲ろう・区３</t>
  </si>
  <si>
    <t>同援日７．５・２人・盲ろう・区３</t>
  </si>
  <si>
    <t>同援日７．５・基礎・盲ろう・区３</t>
  </si>
  <si>
    <t>同援日７．５・基礎・２人・盲ろう・区３</t>
  </si>
  <si>
    <t>同援日７．５・区４</t>
  </si>
  <si>
    <t>同援日７．５・２人・区４</t>
  </si>
  <si>
    <t>同援日７．５・基礎・区４</t>
  </si>
  <si>
    <t>同援日７．５・基礎・２人・区４</t>
  </si>
  <si>
    <t>同援日７．５・盲ろう・区４</t>
  </si>
  <si>
    <t>同援日７．５・２人・盲ろう・区４</t>
  </si>
  <si>
    <t>同援日７．５・基礎・盲ろう・区４</t>
  </si>
  <si>
    <t>同援日７．５・基礎・２人・盲ろう・区４</t>
  </si>
  <si>
    <t>同援日８．０</t>
  </si>
  <si>
    <t>タ　日中</t>
    <phoneticPr fontId="1"/>
  </si>
  <si>
    <t>同援日８．０・２人</t>
  </si>
  <si>
    <t xml:space="preserve"> ７時間３０分以上</t>
    <phoneticPr fontId="1"/>
  </si>
  <si>
    <t>同援日８．０・基礎</t>
  </si>
  <si>
    <t xml:space="preserve"> ８時間未満</t>
  </si>
  <si>
    <t>同援日８．０・基礎・２人</t>
  </si>
  <si>
    <t>同援日８．０・盲ろう</t>
  </si>
  <si>
    <t>同援日８．０・２人・盲ろう</t>
  </si>
  <si>
    <t>同援日８．０・基礎・盲ろう</t>
  </si>
  <si>
    <t>同援日８．０・基礎・２人・盲ろう</t>
  </si>
  <si>
    <t>同援日８．０・区３</t>
  </si>
  <si>
    <t>同援日８．０・２人・区３</t>
  </si>
  <si>
    <t>同援日８．０・基礎・区３</t>
  </si>
  <si>
    <t>同援日８．０・基礎・２人・区３</t>
  </si>
  <si>
    <t>同援日８．０・盲ろう・区３</t>
  </si>
  <si>
    <t>同援日８．０・２人・盲ろう・区３</t>
  </si>
  <si>
    <t>同援日８．０・基礎・盲ろう・区３</t>
  </si>
  <si>
    <t>同援日８．０・基礎・２人・盲ろう・区３</t>
  </si>
  <si>
    <t>同援日８．０・区４</t>
  </si>
  <si>
    <t>同援日８．０・２人・区４</t>
  </si>
  <si>
    <t>同援日８．０・基礎・区４</t>
  </si>
  <si>
    <t>同援日８．０・基礎・２人・区４</t>
  </si>
  <si>
    <t>同援日８．０・盲ろう・区４</t>
  </si>
  <si>
    <t>同援日８．０・２人・盲ろう・区４</t>
  </si>
  <si>
    <t>同援日８．０・基礎・盲ろう・区４</t>
  </si>
  <si>
    <t>同援日８．０・基礎・２人・盲ろう・区４</t>
  </si>
  <si>
    <t>同援日８．５</t>
  </si>
  <si>
    <t>レ　日中</t>
    <phoneticPr fontId="1"/>
  </si>
  <si>
    <t>同援日８．５・２人</t>
  </si>
  <si>
    <t xml:space="preserve"> ８時間以上</t>
    <phoneticPr fontId="1"/>
  </si>
  <si>
    <t>同援日８．５・基礎</t>
  </si>
  <si>
    <t xml:space="preserve"> ８時間３０分未満</t>
  </si>
  <si>
    <t>同援日８．５・基礎・２人</t>
  </si>
  <si>
    <t>同援日８．５・盲ろう</t>
  </si>
  <si>
    <t>同援日８．５・２人・盲ろう</t>
  </si>
  <si>
    <t>同援日８．５・基礎・盲ろう</t>
  </si>
  <si>
    <t>同援日８．５・基礎・２人・盲ろう</t>
  </si>
  <si>
    <t>同援日８．５・区３</t>
  </si>
  <si>
    <t>同援日８．５・２人・区３</t>
  </si>
  <si>
    <t>同援日８．５・基礎・区３</t>
  </si>
  <si>
    <t>同援日８．５・基礎・２人・区３</t>
  </si>
  <si>
    <t>同援日８．５・盲ろう・区３</t>
  </si>
  <si>
    <t>同援日８．５・２人・盲ろう・区３</t>
  </si>
  <si>
    <t>同援日８．５・基礎・盲ろう・区３</t>
  </si>
  <si>
    <t>同援日８．５・基礎・２人・盲ろう・区３</t>
  </si>
  <si>
    <t>同援日８．５・区４</t>
  </si>
  <si>
    <t>同援日８．５・２人・区４</t>
  </si>
  <si>
    <t>同援日８．５・基礎・区４</t>
  </si>
  <si>
    <t>同援日８．５・基礎・２人・区４</t>
  </si>
  <si>
    <t>同援日８．５・盲ろう・区４</t>
  </si>
  <si>
    <t>同援日８．５・２人・盲ろう・区４</t>
  </si>
  <si>
    <t>同援日８．５・基礎・盲ろう・区４</t>
  </si>
  <si>
    <t>同援日８．５・基礎・２人・盲ろう・区４</t>
  </si>
  <si>
    <t>同援日９．０</t>
  </si>
  <si>
    <t>ソ　日中</t>
    <phoneticPr fontId="1"/>
  </si>
  <si>
    <t>同援日９．０・２人</t>
  </si>
  <si>
    <t xml:space="preserve"> ８時間３０分以上</t>
    <phoneticPr fontId="1"/>
  </si>
  <si>
    <t>同援日９．０・基礎</t>
  </si>
  <si>
    <t xml:space="preserve"> ９時間未満</t>
  </si>
  <si>
    <t>同援日９．０・基礎・２人</t>
  </si>
  <si>
    <t>同援日９．０・盲ろう</t>
  </si>
  <si>
    <t>同援日９．０・２人・盲ろう</t>
  </si>
  <si>
    <t>同援日９．０・基礎・盲ろう</t>
  </si>
  <si>
    <t>同援日９．０・基礎・２人・盲ろう</t>
  </si>
  <si>
    <t>同援日９．０・区３</t>
  </si>
  <si>
    <t>同援日９．０・２人・区３</t>
  </si>
  <si>
    <t>同援日９．０・基礎・区３</t>
  </si>
  <si>
    <t>同援日９．０・基礎・２人・区３</t>
  </si>
  <si>
    <t>同援日９．０・盲ろう・区３</t>
  </si>
  <si>
    <t>同援日９．０・２人・盲ろう・区３</t>
  </si>
  <si>
    <t>同援日９．０・基礎・盲ろう・区３</t>
  </si>
  <si>
    <t>同援日９．０・基礎・２人・盲ろう・区３</t>
  </si>
  <si>
    <t>同援日９．０・区４</t>
  </si>
  <si>
    <t>同援日９．０・２人・区４</t>
  </si>
  <si>
    <t>同援日９．０・基礎・区４</t>
  </si>
  <si>
    <t>同援日９．０・基礎・２人・区４</t>
  </si>
  <si>
    <t>同援日９．０・盲ろう・区４</t>
  </si>
  <si>
    <t>同援日９．０・２人・盲ろう・区４</t>
  </si>
  <si>
    <t>同援日９．０・基礎・盲ろう・区４</t>
  </si>
  <si>
    <t>同援日９．０・基礎・２人・盲ろう・区４</t>
  </si>
  <si>
    <t>同援日９．５</t>
  </si>
  <si>
    <t>ツ　日中</t>
    <phoneticPr fontId="1"/>
  </si>
  <si>
    <t>同援日９．５・２人</t>
  </si>
  <si>
    <t xml:space="preserve"> ９時間以上</t>
    <phoneticPr fontId="1"/>
  </si>
  <si>
    <t>同援日９．５・基礎</t>
  </si>
  <si>
    <t xml:space="preserve"> ９時間３０分未満</t>
  </si>
  <si>
    <t>同援日９．５・基礎・２人</t>
  </si>
  <si>
    <t>同援日９．５・盲ろう</t>
  </si>
  <si>
    <t>同援日９．５・２人・盲ろう</t>
  </si>
  <si>
    <t>同援日９．５・基礎・盲ろう</t>
  </si>
  <si>
    <t>同援日９．５・基礎・２人・盲ろう</t>
  </si>
  <si>
    <t>同援日９．５・区３</t>
  </si>
  <si>
    <t>同援日９．５・２人・区３</t>
  </si>
  <si>
    <t>同援日９．５・基礎・区３</t>
  </si>
  <si>
    <t>同援日９．５・基礎・２人・区３</t>
  </si>
  <si>
    <t>同援日９．５・盲ろう・区３</t>
  </si>
  <si>
    <t>同援日９．５・２人・盲ろう・区３</t>
  </si>
  <si>
    <t>同援日９．５・基礎・盲ろう・区３</t>
  </si>
  <si>
    <t>同援日９．５・基礎・２人・盲ろう・区３</t>
  </si>
  <si>
    <t>同援日９．５・区４</t>
  </si>
  <si>
    <t>同援日９．５・２人・区４</t>
  </si>
  <si>
    <t>同援日９．５・基礎・区４</t>
  </si>
  <si>
    <t>同援日９．５・基礎・２人・区４</t>
  </si>
  <si>
    <t>同援日９．５・盲ろう・区４</t>
  </si>
  <si>
    <t>同援日９．５・２人・盲ろう・区４</t>
  </si>
  <si>
    <t>同援日９．５・基礎・盲ろう・区４</t>
  </si>
  <si>
    <t>同援日９．５・基礎・２人・盲ろう・区４</t>
  </si>
  <si>
    <t>同援日１０．０</t>
  </si>
  <si>
    <t>ネ　日中</t>
    <phoneticPr fontId="1"/>
  </si>
  <si>
    <t>同援日１０．０・２人</t>
  </si>
  <si>
    <t xml:space="preserve"> ９時間３０分以上</t>
    <phoneticPr fontId="1"/>
  </si>
  <si>
    <t>同援日１０．０・基礎</t>
  </si>
  <si>
    <t xml:space="preserve"> １０時間未満</t>
  </si>
  <si>
    <t>同援日１０．０・基礎・２人</t>
  </si>
  <si>
    <t>同援日１０．０・盲ろう</t>
  </si>
  <si>
    <t>同援日１０．０・２人・盲ろう</t>
  </si>
  <si>
    <t>同援日１０．０・基礎・盲ろう</t>
  </si>
  <si>
    <t>同援日１０．０・基礎・２人・盲ろう</t>
  </si>
  <si>
    <t>同援日１０．０・区３</t>
  </si>
  <si>
    <t>同援日１０．０・２人・区３</t>
  </si>
  <si>
    <t>同援日１０．０・基礎・区３</t>
  </si>
  <si>
    <t>同援日１０．０・基礎・２人・区３</t>
  </si>
  <si>
    <t>同援日１０．０・盲ろう・区３</t>
  </si>
  <si>
    <t>同援日１０．０・２人・盲ろう・区３</t>
  </si>
  <si>
    <t>同援日１０．０・基礎・盲ろう・区３</t>
  </si>
  <si>
    <t>同援日１０．０・基礎・２人・盲ろう・区３</t>
  </si>
  <si>
    <t>同援日１０．０・区４</t>
  </si>
  <si>
    <t>同援日１０．０・２人・区４</t>
  </si>
  <si>
    <t>同援日１０．０・基礎・区４</t>
  </si>
  <si>
    <t>同援日１０．０・基礎・２人・区４</t>
  </si>
  <si>
    <t>同援日１０．０・盲ろう・区４</t>
  </si>
  <si>
    <t>同援日１０．０・２人・盲ろう・区４</t>
  </si>
  <si>
    <t>同援日１０．０・基礎・盲ろう・区４</t>
  </si>
  <si>
    <t>同援日１０．０・基礎・２人・盲ろう・区４</t>
  </si>
  <si>
    <t>同援日１０．５</t>
  </si>
  <si>
    <t>ナ　日中</t>
    <phoneticPr fontId="1"/>
  </si>
  <si>
    <t>同援日１０．５・２人</t>
  </si>
  <si>
    <t xml:space="preserve"> １０時間以上</t>
    <phoneticPr fontId="1"/>
  </si>
  <si>
    <t>同援日１０．５・基礎</t>
  </si>
  <si>
    <t xml:space="preserve"> １０時間３０分未満</t>
  </si>
  <si>
    <t>同援日１０．５・基礎・２人</t>
  </si>
  <si>
    <t>同援日１０．５・盲ろう</t>
  </si>
  <si>
    <t>同援日１０．５・２人・盲ろう</t>
  </si>
  <si>
    <t>同援日１０．５・基礎・盲ろう</t>
  </si>
  <si>
    <t>同援日１０．５・基礎・２人・盲ろう</t>
  </si>
  <si>
    <t>同援日１０．５・区３</t>
  </si>
  <si>
    <t>同援日１０．５・２人・区３</t>
  </si>
  <si>
    <t>同援日１０．５・基礎・区３</t>
  </si>
  <si>
    <t>同援日１０．５・基礎・２人・区３</t>
  </si>
  <si>
    <t>同援日１０．５・盲ろう・区３</t>
  </si>
  <si>
    <t>同援日１０．５・２人・盲ろう・区３</t>
  </si>
  <si>
    <t>同援日１０．５・基礎・盲ろう・区３</t>
  </si>
  <si>
    <t>同援日１０．５・基礎・２人・盲ろう・区３</t>
  </si>
  <si>
    <t>同援日１０．５・区４</t>
  </si>
  <si>
    <t>同援日１０．５・２人・区４</t>
  </si>
  <si>
    <t>同援日１０．５・基礎・区４</t>
  </si>
  <si>
    <t>同援日１０．５・基礎・２人・区４</t>
  </si>
  <si>
    <t>同援日１０．５・盲ろう・区４</t>
  </si>
  <si>
    <t>同援日１０．５・２人・盲ろう・区４</t>
  </si>
  <si>
    <t>同援日１０．５・基礎・盲ろう・区４</t>
  </si>
  <si>
    <t>同援日１０．５・基礎・２人・盲ろう・区４</t>
  </si>
  <si>
    <t>（早朝のみ）</t>
    <phoneticPr fontId="1"/>
  </si>
  <si>
    <t>同援早０．５</t>
  </si>
  <si>
    <t>イ　早朝</t>
    <phoneticPr fontId="1"/>
  </si>
  <si>
    <t>同援早０．５・２人</t>
  </si>
  <si>
    <t>同援早０．５・基礎</t>
  </si>
  <si>
    <t>同援早０．５・基礎・２人</t>
  </si>
  <si>
    <t>同援早０．５・盲ろう</t>
  </si>
  <si>
    <t>同援早０．５・２人・盲ろう</t>
  </si>
  <si>
    <t>早朝の</t>
  </si>
  <si>
    <t>同援早０．５・基礎・盲ろう</t>
  </si>
  <si>
    <t>場合</t>
  </si>
  <si>
    <t>同援早０．５・基礎・２人・盲ろう</t>
  </si>
  <si>
    <t>同援早０．５・区３</t>
  </si>
  <si>
    <t>同援早０．５・２人・区３</t>
  </si>
  <si>
    <t>同援早０．５・基礎・区３</t>
  </si>
  <si>
    <t>同援早０．５・基礎・２人・区３</t>
  </si>
  <si>
    <t>同援早０．５・盲ろう・区３</t>
  </si>
  <si>
    <t>同援早０．５・２人・盲ろう・区３</t>
  </si>
  <si>
    <t>同援早０．５・基礎・盲ろう・区３</t>
  </si>
  <si>
    <t>同援早０．５・基礎・２人・盲ろう・区３</t>
  </si>
  <si>
    <t>同援早０．５・区４</t>
  </si>
  <si>
    <t>同援早０．５・２人・区４</t>
  </si>
  <si>
    <t>同援早０．５・基礎・区４</t>
  </si>
  <si>
    <t>同援早０．５・基礎・２人・区４</t>
  </si>
  <si>
    <t>同援早０．５・盲ろう・区４</t>
  </si>
  <si>
    <t>同援早０．５・２人・盲ろう・区４</t>
  </si>
  <si>
    <t>同援早０．５・基礎・盲ろう・区４</t>
  </si>
  <si>
    <t>同援早０．５・基礎・２人・盲ろう・区４</t>
  </si>
  <si>
    <t>同援早１．０</t>
  </si>
  <si>
    <t>ロ　早朝</t>
    <phoneticPr fontId="1"/>
  </si>
  <si>
    <t>同援早１．０・２人</t>
  </si>
  <si>
    <t>同援早１．０・基礎</t>
  </si>
  <si>
    <t>同援早１．０・基礎・２人</t>
  </si>
  <si>
    <t>同援早１．０・盲ろう</t>
  </si>
  <si>
    <t>同援早１．０・２人・盲ろう</t>
  </si>
  <si>
    <t>同援早１．０・基礎・盲ろう</t>
  </si>
  <si>
    <t>同援早１．０・基礎・２人・盲ろう</t>
  </si>
  <si>
    <t>同援早１．０・区３</t>
  </si>
  <si>
    <t>同援早１．０・２人・区３</t>
  </si>
  <si>
    <t>同援早１．０・基礎・区３</t>
  </si>
  <si>
    <t>同援早１．０・基礎・２人・区３</t>
  </si>
  <si>
    <t>同援早１．０・盲ろう・区３</t>
  </si>
  <si>
    <t>同援早１．０・２人・盲ろう・区３</t>
  </si>
  <si>
    <t>同援早１．０・基礎・盲ろう・区３</t>
  </si>
  <si>
    <t>同援早１．０・基礎・２人・盲ろう・区３</t>
  </si>
  <si>
    <t>同援早１．０・区４</t>
  </si>
  <si>
    <t>同援早１．０・２人・区４</t>
  </si>
  <si>
    <t>同援早１．０・基礎・区４</t>
  </si>
  <si>
    <t>同援早１．０・基礎・２人・区４</t>
  </si>
  <si>
    <t>同援早１．０・盲ろう・区４</t>
  </si>
  <si>
    <t>同援早１．０・２人・盲ろう・区４</t>
  </si>
  <si>
    <t>同援早１．０・基礎・盲ろう・区４</t>
  </si>
  <si>
    <t>同援早１．０・基礎・２人・盲ろう・区４</t>
  </si>
  <si>
    <t>同援早１．５</t>
  </si>
  <si>
    <t>ハ　早朝</t>
    <phoneticPr fontId="1"/>
  </si>
  <si>
    <t>同援早１．５・２人</t>
  </si>
  <si>
    <t>同援早１．５・基礎</t>
  </si>
  <si>
    <t xml:space="preserve"> １時間３０分未満</t>
  </si>
  <si>
    <t>同援早１．５・基礎・２人</t>
  </si>
  <si>
    <t>同援早１．５・盲ろう</t>
  </si>
  <si>
    <t>同援早１．５・２人・盲ろう</t>
  </si>
  <si>
    <t>同援早１．５・基礎・盲ろう</t>
  </si>
  <si>
    <t>同援早１．５・基礎・２人・盲ろう</t>
  </si>
  <si>
    <t>同援早１．５・区３</t>
  </si>
  <si>
    <t>同援早１．５・２人・区３</t>
  </si>
  <si>
    <t>同援早１．５・基礎・区３</t>
  </si>
  <si>
    <t>同援早１．５・基礎・２人・区３</t>
  </si>
  <si>
    <t>同援早１．５・盲ろう・区３</t>
  </si>
  <si>
    <t>同援早１．５・２人・盲ろう・区３</t>
  </si>
  <si>
    <t>同援早１．５・基礎・盲ろう・区３</t>
  </si>
  <si>
    <t>同援早１．５・基礎・２人・盲ろう・区３</t>
  </si>
  <si>
    <t>同援早１．５・区４</t>
  </si>
  <si>
    <t>同援早１．５・２人・区４</t>
  </si>
  <si>
    <t>同援早１．５・基礎・区４</t>
  </si>
  <si>
    <t>同援早１．５・基礎・２人・区４</t>
  </si>
  <si>
    <t>同援早１．５・盲ろう・区４</t>
  </si>
  <si>
    <t>同援早１．５・２人・盲ろう・区４</t>
  </si>
  <si>
    <t>同援早１．５・基礎・盲ろう・区４</t>
  </si>
  <si>
    <t>同援早１．５・基礎・２人・盲ろう・区４</t>
  </si>
  <si>
    <t>同援早２．０</t>
  </si>
  <si>
    <t>ニ　早朝</t>
    <phoneticPr fontId="1"/>
  </si>
  <si>
    <t>同援早２．０・２人</t>
  </si>
  <si>
    <t>同援早２．０・基礎</t>
  </si>
  <si>
    <t>同援早２．０・基礎・２人</t>
  </si>
  <si>
    <t>同援早２．０・盲ろう</t>
  </si>
  <si>
    <t>同援早２．０・２人・盲ろう</t>
  </si>
  <si>
    <t>同援早２．０・基礎・盲ろう</t>
  </si>
  <si>
    <t>同援早２．０・基礎・２人・盲ろう</t>
  </si>
  <si>
    <t>同援早２．０・区３</t>
  </si>
  <si>
    <t>同援早２．０・２人・区３</t>
  </si>
  <si>
    <t>同援早２．０・基礎・区３</t>
  </si>
  <si>
    <t>同援早２．０・基礎・２人・区３</t>
  </si>
  <si>
    <t>同援早２．０・盲ろう・区３</t>
  </si>
  <si>
    <t>同援早２．０・２人・盲ろう・区３</t>
  </si>
  <si>
    <t>同援早２．０・基礎・盲ろう・区３</t>
  </si>
  <si>
    <t>同援早２．０・基礎・２人・盲ろう・区３</t>
  </si>
  <si>
    <t>同援早２．０・区４</t>
  </si>
  <si>
    <t>同援早２．０・２人・区４</t>
  </si>
  <si>
    <t>同援早２．０・基礎・区４</t>
  </si>
  <si>
    <t>同援早２．０・基礎・２人・区４</t>
  </si>
  <si>
    <t>同援早２．０・盲ろう・区４</t>
  </si>
  <si>
    <t>同援早２．０・２人・盲ろう・区４</t>
  </si>
  <si>
    <t>同援早２．０・基礎・盲ろう・区４</t>
  </si>
  <si>
    <t>同援早２．０・基礎・２人・盲ろう・区４</t>
  </si>
  <si>
    <t>同援早２．５</t>
  </si>
  <si>
    <t>ホ　早朝</t>
    <phoneticPr fontId="1"/>
  </si>
  <si>
    <t>同援早２．５・２人</t>
  </si>
  <si>
    <t>同援早２．５・基礎</t>
  </si>
  <si>
    <t>同援早２．５・基礎・２人</t>
  </si>
  <si>
    <t>同援早２．５・盲ろう</t>
  </si>
  <si>
    <t>同援早２．５・２人・盲ろう</t>
  </si>
  <si>
    <t>同援早２．５・基礎・盲ろう</t>
  </si>
  <si>
    <t>同援早２．５・基礎・２人・盲ろう</t>
  </si>
  <si>
    <t>同援早２．５・区３</t>
  </si>
  <si>
    <t>同援早２．５・２人・区３</t>
  </si>
  <si>
    <t>同援早２．５・基礎・区３</t>
  </si>
  <si>
    <t>同援早２．５・基礎・２人・区３</t>
  </si>
  <si>
    <t>同援早２．５・盲ろう・区３</t>
  </si>
  <si>
    <t>同援早２．５・２人・盲ろう・区３</t>
  </si>
  <si>
    <t>同援早２．５・基礎・盲ろう・区３</t>
  </si>
  <si>
    <t>同援早２．５・基礎・２人・盲ろう・区３</t>
  </si>
  <si>
    <t>同援早２．５・区４</t>
  </si>
  <si>
    <t>同援早２．５・２人・区４</t>
  </si>
  <si>
    <t>同援早２．５・基礎・区４</t>
  </si>
  <si>
    <t>同援早２．５・基礎・２人・区４</t>
  </si>
  <si>
    <t>同援早２．５・盲ろう・区４</t>
  </si>
  <si>
    <t>同援早２．５・２人・盲ろう・区４</t>
  </si>
  <si>
    <t>同援早２．５・基礎・盲ろう・区４</t>
  </si>
  <si>
    <t>同援早２．５・基礎・２人・盲ろう・区４</t>
  </si>
  <si>
    <t>（夜間のみ）</t>
    <phoneticPr fontId="1"/>
  </si>
  <si>
    <t>同援夜０．５</t>
  </si>
  <si>
    <t>イ　夜間</t>
    <phoneticPr fontId="1"/>
  </si>
  <si>
    <t>同援夜０．５・２人</t>
  </si>
  <si>
    <t xml:space="preserve"> ３０分未満</t>
  </si>
  <si>
    <t>同援夜０．５・基礎</t>
  </si>
  <si>
    <t>同援夜０．５・基礎・２人</t>
  </si>
  <si>
    <t>同援夜０．５・盲ろう</t>
  </si>
  <si>
    <t>同援夜０．５・２人・盲ろう</t>
  </si>
  <si>
    <t>夜間の</t>
  </si>
  <si>
    <t>同援夜０．５・基礎・盲ろう</t>
  </si>
  <si>
    <t>同援夜０．５・基礎・２人・盲ろう</t>
  </si>
  <si>
    <t>同援夜０．５・区３</t>
  </si>
  <si>
    <t>同援夜０．５・２人・区３</t>
  </si>
  <si>
    <t>同援夜０．５・基礎・区３</t>
  </si>
  <si>
    <t>同援夜０．５・基礎・２人・区３</t>
  </si>
  <si>
    <t>同援夜０．５・盲ろう・区３</t>
  </si>
  <si>
    <t>同援夜０．５・２人・盲ろう・区３</t>
  </si>
  <si>
    <t>同援夜０．５・基礎・盲ろう・区３</t>
  </si>
  <si>
    <t>同援夜０．５・基礎・２人・盲ろう・区３</t>
  </si>
  <si>
    <t>同援夜０．５・区４</t>
  </si>
  <si>
    <t>同援夜０．５・２人・区４</t>
  </si>
  <si>
    <t>同援夜０．５・基礎・区４</t>
  </si>
  <si>
    <t>同援夜０．５・基礎・２人・区４</t>
  </si>
  <si>
    <t>同援夜０．５・盲ろう・区４</t>
  </si>
  <si>
    <t>同援夜０．５・２人・盲ろう・区４</t>
  </si>
  <si>
    <t>同援夜０．５・基礎・盲ろう・区４</t>
  </si>
  <si>
    <t>同援夜０．５・基礎・２人・盲ろう・区４</t>
  </si>
  <si>
    <t>同援夜１．０</t>
  </si>
  <si>
    <t>ロ　夜間</t>
    <phoneticPr fontId="1"/>
  </si>
  <si>
    <t>同援夜１．０・２人</t>
  </si>
  <si>
    <t>同援夜１．０・基礎</t>
  </si>
  <si>
    <t>同援夜１．０・基礎・２人</t>
  </si>
  <si>
    <t>同援夜１．０・盲ろう</t>
  </si>
  <si>
    <t>同援夜１．０・２人・盲ろう</t>
  </si>
  <si>
    <t>同援夜１．０・基礎・盲ろう</t>
  </si>
  <si>
    <t>同援夜１．０・基礎・２人・盲ろう</t>
  </si>
  <si>
    <t>同援夜１．０・区３</t>
  </si>
  <si>
    <t>同援夜１．０・２人・区３</t>
  </si>
  <si>
    <t>同援夜１．０・基礎・区３</t>
  </si>
  <si>
    <t>同援夜１．０・基礎・２人・区３</t>
  </si>
  <si>
    <t>同援夜１．０・盲ろう・区３</t>
  </si>
  <si>
    <t>同援夜１．０・２人・盲ろう・区３</t>
  </si>
  <si>
    <t>同援夜１．０・基礎・盲ろう・区３</t>
  </si>
  <si>
    <t>同援夜１．０・基礎・２人・盲ろう・区３</t>
  </si>
  <si>
    <t>同援夜１．０・区４</t>
  </si>
  <si>
    <t>同援夜１．０・２人・区４</t>
  </si>
  <si>
    <t>同援夜１．０・基礎・区４</t>
  </si>
  <si>
    <t>同援夜１．０・基礎・２人・区４</t>
  </si>
  <si>
    <t>同援夜１．０・盲ろう・区４</t>
  </si>
  <si>
    <t>同援夜１．０・２人・盲ろう・区４</t>
  </si>
  <si>
    <t>同援夜１．０・基礎・盲ろう・区４</t>
  </si>
  <si>
    <t>同援夜１．０・基礎・２人・盲ろう・区４</t>
  </si>
  <si>
    <t>同援夜１．５</t>
  </si>
  <si>
    <t>ハ　夜間</t>
    <phoneticPr fontId="1"/>
  </si>
  <si>
    <t>同援夜１．５・２人</t>
  </si>
  <si>
    <t>同援夜１．５・基礎</t>
  </si>
  <si>
    <t>同援夜１．５・基礎・２人</t>
  </si>
  <si>
    <t>同援夜１．５・盲ろう</t>
  </si>
  <si>
    <t>同援夜１．５・２人・盲ろう</t>
  </si>
  <si>
    <t>同援夜１．５・基礎・盲ろう</t>
  </si>
  <si>
    <t>同援夜１．５・基礎・２人・盲ろう</t>
  </si>
  <si>
    <t>同援夜１．５・区３</t>
  </si>
  <si>
    <t>同援夜１．５・２人・区３</t>
  </si>
  <si>
    <t>同援夜１．５・基礎・区３</t>
  </si>
  <si>
    <t>同援夜１．５・基礎・２人・区３</t>
  </si>
  <si>
    <t>同援夜１．５・盲ろう・区３</t>
  </si>
  <si>
    <t>同援夜１．５・２人・盲ろう・区３</t>
  </si>
  <si>
    <t>同援夜１．５・基礎・盲ろう・区３</t>
  </si>
  <si>
    <t>同援夜１．５・基礎・２人・盲ろう・区３</t>
  </si>
  <si>
    <t>同援夜１．５・区４</t>
  </si>
  <si>
    <t>同援夜１．５・２人・区４</t>
  </si>
  <si>
    <t>同援夜１．５・基礎・区４</t>
  </si>
  <si>
    <t>同援夜１．５・基礎・２人・区４</t>
  </si>
  <si>
    <t>同援夜１．５・盲ろう・区４</t>
  </si>
  <si>
    <t>同援夜１．５・２人・盲ろう・区４</t>
  </si>
  <si>
    <t>同援夜１．５・基礎・盲ろう・区４</t>
  </si>
  <si>
    <t>同援夜１．５・基礎・２人・盲ろう・区４</t>
  </si>
  <si>
    <t>同援夜２．０</t>
  </si>
  <si>
    <t>ニ　夜間</t>
    <phoneticPr fontId="1"/>
  </si>
  <si>
    <t>同援夜２．０・２人</t>
  </si>
  <si>
    <t>同援夜２．０・基礎</t>
  </si>
  <si>
    <t>同援夜２．０・基礎・２人</t>
  </si>
  <si>
    <t>同援夜２．０・盲ろう</t>
  </si>
  <si>
    <t>同援夜２．０・２人・盲ろう</t>
  </si>
  <si>
    <t>同援夜２．０・基礎・盲ろう</t>
  </si>
  <si>
    <t>同援夜２．０・基礎・２人・盲ろう</t>
  </si>
  <si>
    <t>同援夜２．０・区３</t>
  </si>
  <si>
    <t>同援夜２．０・２人・区３</t>
  </si>
  <si>
    <t>同援夜２．０・基礎・区３</t>
  </si>
  <si>
    <t>同援夜２．０・基礎・２人・区３</t>
  </si>
  <si>
    <t>同援夜２．０・盲ろう・区３</t>
  </si>
  <si>
    <t>同援夜２．０・２人・盲ろう・区３</t>
  </si>
  <si>
    <t>同援夜２．０・基礎・盲ろう・区３</t>
  </si>
  <si>
    <t>同援夜２．０・基礎・２人・盲ろう・区３</t>
  </si>
  <si>
    <t>同援夜２．０・区４</t>
  </si>
  <si>
    <t>同援夜２．０・２人・区４</t>
  </si>
  <si>
    <t>同援夜２．０・基礎・区４</t>
  </si>
  <si>
    <t>同援夜２．０・基礎・２人・区４</t>
  </si>
  <si>
    <t>同援夜２．０・盲ろう・区４</t>
  </si>
  <si>
    <t>同援夜２．０・２人・盲ろう・区４</t>
  </si>
  <si>
    <t>同援夜２．０・基礎・盲ろう・区４</t>
  </si>
  <si>
    <t>同援夜２．０・基礎・２人・盲ろう・区４</t>
  </si>
  <si>
    <t>同援夜２．５</t>
  </si>
  <si>
    <t>ホ　夜間</t>
    <phoneticPr fontId="1"/>
  </si>
  <si>
    <t>同援夜２．５・２人</t>
  </si>
  <si>
    <t>同援夜２．５・基礎</t>
  </si>
  <si>
    <t>同援夜２．５・基礎・２人</t>
  </si>
  <si>
    <t>同援夜２．５・盲ろう</t>
  </si>
  <si>
    <t>同援夜２．５・２人・盲ろう</t>
  </si>
  <si>
    <t>同援夜２．５・基礎・盲ろう</t>
  </si>
  <si>
    <t>同援夜２．５・基礎・２人・盲ろう</t>
  </si>
  <si>
    <t>同援夜２．５・区３</t>
  </si>
  <si>
    <t>同援夜２．５・２人・区３</t>
  </si>
  <si>
    <t>同援夜２．５・基礎・区３</t>
  </si>
  <si>
    <t>同援夜２．５・基礎・２人・区３</t>
  </si>
  <si>
    <t>同援夜２．５・盲ろう・区３</t>
  </si>
  <si>
    <t>同援夜２．５・２人・盲ろう・区３</t>
  </si>
  <si>
    <t>同援夜２．５・基礎・盲ろう・区３</t>
  </si>
  <si>
    <t>同援夜２．５・基礎・２人・盲ろう・区３</t>
  </si>
  <si>
    <t>同援夜２．５・区４</t>
  </si>
  <si>
    <t>同援夜２．５・２人・区４</t>
  </si>
  <si>
    <t>同援夜２．５・基礎・区４</t>
  </si>
  <si>
    <t>同援夜２．５・基礎・２人・区４</t>
  </si>
  <si>
    <t>同援夜２．５・盲ろう・区４</t>
  </si>
  <si>
    <t>同援夜２．５・２人・盲ろう・区４</t>
  </si>
  <si>
    <t>同援夜２．５・基礎・盲ろう・区４</t>
  </si>
  <si>
    <t>同援夜２．５・基礎・２人・盲ろう・区４</t>
  </si>
  <si>
    <t>同援夜３．０</t>
  </si>
  <si>
    <t>ヘ　夜間</t>
    <phoneticPr fontId="1"/>
  </si>
  <si>
    <t>同援夜３．０・２人</t>
  </si>
  <si>
    <t>同援夜３．０・基礎</t>
  </si>
  <si>
    <t xml:space="preserve"> ３時間未満</t>
  </si>
  <si>
    <t>同援夜３．０・基礎・２人</t>
  </si>
  <si>
    <t>同援夜３．０・盲ろう</t>
  </si>
  <si>
    <t>同援夜３．０・２人・盲ろう</t>
  </si>
  <si>
    <t>同援夜３．０・基礎・盲ろう</t>
  </si>
  <si>
    <t>同援夜３．０・基礎・２人・盲ろう</t>
  </si>
  <si>
    <t>同援夜３．０・区３</t>
  </si>
  <si>
    <t>同援夜３．０・２人・区３</t>
  </si>
  <si>
    <t>同援夜３．０・基礎・区３</t>
  </si>
  <si>
    <t>同援夜３．０・基礎・２人・区３</t>
  </si>
  <si>
    <t>同援夜３．０・盲ろう・区３</t>
  </si>
  <si>
    <t>同援夜３．０・２人・盲ろう・区３</t>
  </si>
  <si>
    <t>同援夜３．０・基礎・盲ろう・区３</t>
  </si>
  <si>
    <t>同援夜３．０・基礎・２人・盲ろう・区３</t>
  </si>
  <si>
    <t>同援夜３．０・区４</t>
  </si>
  <si>
    <t>同援夜３．０・２人・区４</t>
  </si>
  <si>
    <t>同援夜３．０・基礎・区４</t>
  </si>
  <si>
    <t>同援夜３．０・基礎・２人・区４</t>
  </si>
  <si>
    <t>同援夜３．０・盲ろう・区４</t>
  </si>
  <si>
    <t>同援夜３．０・２人・盲ろう・区４</t>
  </si>
  <si>
    <t>同援夜３．０・基礎・盲ろう・区４</t>
  </si>
  <si>
    <t>同援夜３．０・基礎・２人・盲ろう・区４</t>
  </si>
  <si>
    <t>同援夜３．５</t>
  </si>
  <si>
    <t>ト　夜間</t>
    <phoneticPr fontId="1"/>
  </si>
  <si>
    <t>同援夜３．５・２人</t>
  </si>
  <si>
    <t>同援夜３．５・基礎</t>
  </si>
  <si>
    <t>同援夜３．５・基礎・２人</t>
  </si>
  <si>
    <t>同援夜３．５・盲ろう</t>
  </si>
  <si>
    <t>同援夜３．５・２人・盲ろう</t>
  </si>
  <si>
    <t>同援夜３．５・基礎・盲ろう</t>
  </si>
  <si>
    <t>同援夜３．５・基礎・２人・盲ろう</t>
  </si>
  <si>
    <t>同援夜３．５・区３</t>
  </si>
  <si>
    <t>同援夜３．５・２人・区３</t>
  </si>
  <si>
    <t>同援夜３．５・基礎・区３</t>
  </si>
  <si>
    <t>同援夜３．５・基礎・２人・区３</t>
  </si>
  <si>
    <t>同援夜３．５・盲ろう・区３</t>
  </si>
  <si>
    <t>同援夜３．５・２人・盲ろう・区３</t>
  </si>
  <si>
    <t>同援夜３．５・基礎・盲ろう・区３</t>
  </si>
  <si>
    <t>同援夜３．５・基礎・２人・盲ろう・区３</t>
  </si>
  <si>
    <t>同援夜３．５・区４</t>
  </si>
  <si>
    <t>同援夜３．５・２人・区４</t>
  </si>
  <si>
    <t>同援夜３．５・基礎・区４</t>
  </si>
  <si>
    <t>同援夜３．５・基礎・２人・区４</t>
  </si>
  <si>
    <t>同援夜３．５・盲ろう・区４</t>
  </si>
  <si>
    <t>同援夜３．５・２人・盲ろう・区４</t>
  </si>
  <si>
    <t>同援夜３．５・基礎・盲ろう・区４</t>
  </si>
  <si>
    <t>同援夜３．５・基礎・２人・盲ろう・区４</t>
  </si>
  <si>
    <t>同援夜４．０</t>
  </si>
  <si>
    <t>チ　夜間</t>
    <phoneticPr fontId="1"/>
  </si>
  <si>
    <t>同援夜４．０・２人</t>
  </si>
  <si>
    <t>同援夜４．０・基礎</t>
  </si>
  <si>
    <t>同援夜４．０・基礎・２人</t>
  </si>
  <si>
    <t>同援夜４．０・盲ろう</t>
  </si>
  <si>
    <t>同援夜４．０・２人・盲ろう</t>
  </si>
  <si>
    <t>同援夜４．０・基礎・盲ろう</t>
  </si>
  <si>
    <t>同援夜４．０・基礎・２人・盲ろう</t>
  </si>
  <si>
    <t>同援夜４．０・区３</t>
  </si>
  <si>
    <t>同援夜４．０・２人・区３</t>
  </si>
  <si>
    <t>同援夜４．０・基礎・区３</t>
  </si>
  <si>
    <t>同援夜４．０・基礎・２人・区３</t>
  </si>
  <si>
    <t>同援夜４．０・盲ろう・区３</t>
  </si>
  <si>
    <t>同援夜４．０・２人・盲ろう・区３</t>
  </si>
  <si>
    <t>同援夜４．０・基礎・盲ろう・区３</t>
  </si>
  <si>
    <t>同援夜４．０・基礎・２人・盲ろう・区３</t>
  </si>
  <si>
    <t>同援夜４．０・区４</t>
  </si>
  <si>
    <t>同援夜４．０・２人・区４</t>
  </si>
  <si>
    <t>同援夜４．０・基礎・区４</t>
  </si>
  <si>
    <t>同援夜４．０・基礎・２人・区４</t>
  </si>
  <si>
    <t>同援夜４．０・盲ろう・区４</t>
  </si>
  <si>
    <t>同援夜４．０・２人・盲ろう・区４</t>
  </si>
  <si>
    <t>同援夜４．０・基礎・盲ろう・区４</t>
  </si>
  <si>
    <t>同援夜４．０・基礎・２人・盲ろう・区４</t>
  </si>
  <si>
    <t>同援夜４．５</t>
  </si>
  <si>
    <t>リ　夜間</t>
    <phoneticPr fontId="1"/>
  </si>
  <si>
    <t>同援夜４．５・２人</t>
  </si>
  <si>
    <t>同援夜４．５・基礎</t>
  </si>
  <si>
    <t xml:space="preserve"> ４時間３０分未満</t>
  </si>
  <si>
    <t>同援夜４．５・基礎・２人</t>
  </si>
  <si>
    <t>同援夜４．５・盲ろう</t>
  </si>
  <si>
    <t>同援夜４．５・２人・盲ろう</t>
  </si>
  <si>
    <t>同援夜４．５・基礎・盲ろう</t>
  </si>
  <si>
    <t>同援夜４．５・基礎・２人・盲ろう</t>
  </si>
  <si>
    <t>同援夜４．５・区３</t>
  </si>
  <si>
    <t>同援夜４．５・２人・区３</t>
  </si>
  <si>
    <t>同援夜４．５・基礎・区３</t>
  </si>
  <si>
    <t>同援夜４．５・基礎・２人・区３</t>
  </si>
  <si>
    <t>同援夜４．５・盲ろう・区３</t>
  </si>
  <si>
    <t>同援夜４．５・２人・盲ろう・区３</t>
  </si>
  <si>
    <t>同援夜４．５・基礎・盲ろう・区３</t>
  </si>
  <si>
    <t>同援夜４．５・基礎・２人・盲ろう・区３</t>
  </si>
  <si>
    <t>同援夜４．５・区４</t>
  </si>
  <si>
    <t>同援夜４．５・２人・区４</t>
  </si>
  <si>
    <t>同援夜４．５・基礎・区４</t>
  </si>
  <si>
    <t>同援夜４．５・基礎・２人・区４</t>
  </si>
  <si>
    <t>同援夜４．５・盲ろう・区４</t>
  </si>
  <si>
    <t>同援夜４．５・２人・盲ろう・区４</t>
  </si>
  <si>
    <t>同援夜４．５・基礎・盲ろう・区４</t>
  </si>
  <si>
    <t>同援夜４．５・基礎・２人・盲ろう・区４</t>
  </si>
  <si>
    <t>（深夜のみ）</t>
    <phoneticPr fontId="1"/>
  </si>
  <si>
    <t>同援深０．５</t>
  </si>
  <si>
    <t>イ　深夜</t>
    <phoneticPr fontId="1"/>
  </si>
  <si>
    <t>同援深０．５・２人</t>
  </si>
  <si>
    <t>同援深０．５・基礎</t>
  </si>
  <si>
    <t>同援深０．５・基礎・２人</t>
  </si>
  <si>
    <t>同援深０．５・盲ろう</t>
  </si>
  <si>
    <t>同援深０．５・２人・盲ろう</t>
  </si>
  <si>
    <t>深夜の</t>
  </si>
  <si>
    <t>同援深０．５・基礎・盲ろう</t>
  </si>
  <si>
    <t>同援深０．５・基礎・２人・盲ろう</t>
  </si>
  <si>
    <t>同援深０．５・区３</t>
  </si>
  <si>
    <t>同援深０．５・２人・区３</t>
  </si>
  <si>
    <t>同援深０．５・基礎・区３</t>
  </si>
  <si>
    <t>同援深０．５・基礎・２人・区３</t>
  </si>
  <si>
    <t>同援深０．５・盲ろう・区３</t>
  </si>
  <si>
    <t>同援深０．５・２人・盲ろう・区３</t>
  </si>
  <si>
    <t>同援深０．５・基礎・盲ろう・区３</t>
  </si>
  <si>
    <t>同援深０．５・基礎・２人・盲ろう・区３</t>
  </si>
  <si>
    <t>同援深０．５・区４</t>
  </si>
  <si>
    <t>同援深０．５・２人・区４</t>
  </si>
  <si>
    <t>同援深０．５・基礎・区４</t>
  </si>
  <si>
    <t>同援深０．５・基礎・２人・区４</t>
  </si>
  <si>
    <t>同援深０．５・盲ろう・区４</t>
  </si>
  <si>
    <t>同援深０．５・２人・盲ろう・区４</t>
  </si>
  <si>
    <t>同援深０．５・基礎・盲ろう・区４</t>
  </si>
  <si>
    <t>同援深０．５・基礎・２人・盲ろう・区４</t>
  </si>
  <si>
    <t>同援深１．０</t>
  </si>
  <si>
    <t>ロ　深夜</t>
    <phoneticPr fontId="1"/>
  </si>
  <si>
    <t>同援深１．０・２人</t>
  </si>
  <si>
    <t>同援深１．０・基礎</t>
  </si>
  <si>
    <t>同援深１．０・基礎・２人</t>
  </si>
  <si>
    <t>同援深１．０・盲ろう</t>
  </si>
  <si>
    <t>同援深１．０・２人・盲ろう</t>
  </si>
  <si>
    <t>同援深１．０・基礎・盲ろう</t>
  </si>
  <si>
    <t>同援深１．０・基礎・２人・盲ろう</t>
  </si>
  <si>
    <t>同援深１．０・区３</t>
  </si>
  <si>
    <t>同援深１．０・２人・区３</t>
  </si>
  <si>
    <t>同援深１．０・基礎・区３</t>
  </si>
  <si>
    <t>同援深１．０・基礎・２人・区３</t>
  </si>
  <si>
    <t>同援深１．０・盲ろう・区３</t>
  </si>
  <si>
    <t>同援深１．０・２人・盲ろう・区３</t>
  </si>
  <si>
    <t>同援深１．０・基礎・盲ろう・区３</t>
  </si>
  <si>
    <t>同援深１．０・基礎・２人・盲ろう・区３</t>
  </si>
  <si>
    <t>同援深１．０・区４</t>
  </si>
  <si>
    <t>同援深１．０・２人・区４</t>
  </si>
  <si>
    <t>同援深１．０・基礎・区４</t>
  </si>
  <si>
    <t>同援深１．０・基礎・２人・区４</t>
  </si>
  <si>
    <t>同援深１．０・盲ろう・区４</t>
  </si>
  <si>
    <t>同援深１．０・２人・盲ろう・区４</t>
  </si>
  <si>
    <t>同援深１．０・基礎・盲ろう・区４</t>
  </si>
  <si>
    <t>同援深１．０・基礎・２人・盲ろう・区４</t>
  </si>
  <si>
    <t>同援深１．５</t>
  </si>
  <si>
    <t>ハ　深夜</t>
    <phoneticPr fontId="1"/>
  </si>
  <si>
    <t>同援深１．５・２人</t>
  </si>
  <si>
    <t>同援深１．５・基礎</t>
  </si>
  <si>
    <t>同援深１．５・基礎・２人</t>
  </si>
  <si>
    <t>同援深１．５・盲ろう</t>
  </si>
  <si>
    <t>同援深１．５・２人・盲ろう</t>
  </si>
  <si>
    <t>同援深１．５・基礎・盲ろう</t>
  </si>
  <si>
    <t>同援深１．５・基礎・２人・盲ろう</t>
  </si>
  <si>
    <t>同援深１．５・区３</t>
  </si>
  <si>
    <t>同援深１．５・２人・区３</t>
  </si>
  <si>
    <t>同援深１．５・基礎・区３</t>
  </si>
  <si>
    <t>同援深１．５・基礎・２人・区３</t>
  </si>
  <si>
    <t>同援深１．５・盲ろう・区３</t>
  </si>
  <si>
    <t>同援深１．５・２人・盲ろう・区３</t>
  </si>
  <si>
    <t>同援深１．５・基礎・盲ろう・区３</t>
  </si>
  <si>
    <t>同援深１．５・基礎・２人・盲ろう・区３</t>
  </si>
  <si>
    <t>同援深１．５・区４</t>
  </si>
  <si>
    <t>同援深１．５・２人・区４</t>
  </si>
  <si>
    <t>同援深１．５・基礎・区４</t>
  </si>
  <si>
    <t>同援深１．５・基礎・２人・区４</t>
  </si>
  <si>
    <t>同援深１．５・盲ろう・区４</t>
  </si>
  <si>
    <t>同援深１．５・２人・盲ろう・区４</t>
  </si>
  <si>
    <t>同援深１．５・基礎・盲ろう・区４</t>
  </si>
  <si>
    <t>同援深１．５・基礎・２人・盲ろう・区４</t>
  </si>
  <si>
    <t>同援深２．０</t>
  </si>
  <si>
    <t>ニ　深夜</t>
    <phoneticPr fontId="1"/>
  </si>
  <si>
    <t>同援深２．０・２人</t>
  </si>
  <si>
    <t>同援深２．０・基礎</t>
  </si>
  <si>
    <t>同援深２．０・基礎・２人</t>
  </si>
  <si>
    <t>同援深２．０・盲ろう</t>
  </si>
  <si>
    <t>同援深２．０・２人・盲ろう</t>
  </si>
  <si>
    <t>同援深２．０・基礎・盲ろう</t>
  </si>
  <si>
    <t>同援深２．０・基礎・２人・盲ろう</t>
  </si>
  <si>
    <t>同援深２．０・区３</t>
  </si>
  <si>
    <t>同援深２．０・２人・区３</t>
  </si>
  <si>
    <t>同援深２．０・基礎・区３</t>
  </si>
  <si>
    <t>同援深２．０・基礎・２人・区３</t>
  </si>
  <si>
    <t>同援深２．０・盲ろう・区３</t>
  </si>
  <si>
    <t>同援深２．０・２人・盲ろう・区３</t>
  </si>
  <si>
    <t>同援深２．０・基礎・盲ろう・区３</t>
  </si>
  <si>
    <t>同援深２．０・基礎・２人・盲ろう・区３</t>
  </si>
  <si>
    <t>同援深２．０・区４</t>
  </si>
  <si>
    <t>同援深２．０・２人・区４</t>
  </si>
  <si>
    <t>同援深２．０・基礎・区４</t>
  </si>
  <si>
    <t>同援深２．０・基礎・２人・区４</t>
  </si>
  <si>
    <t>同援深２．０・盲ろう・区４</t>
  </si>
  <si>
    <t>同援深２．０・２人・盲ろう・区４</t>
  </si>
  <si>
    <t>同援深２．０・基礎・盲ろう・区４</t>
  </si>
  <si>
    <t>同援深２．０・基礎・２人・盲ろう・区４</t>
  </si>
  <si>
    <t>同援深２．５</t>
  </si>
  <si>
    <t>ホ　深夜</t>
    <phoneticPr fontId="1"/>
  </si>
  <si>
    <t>同援深２．５・２人</t>
  </si>
  <si>
    <t>同援深２．５・基礎</t>
  </si>
  <si>
    <t>同援深２．５・基礎・２人</t>
  </si>
  <si>
    <t>同援深２．５・盲ろう</t>
  </si>
  <si>
    <t>同援深２．５・２人・盲ろう</t>
  </si>
  <si>
    <t>同援深２．５・基礎・盲ろう</t>
  </si>
  <si>
    <t>同援深２．５・基礎・２人・盲ろう</t>
  </si>
  <si>
    <t>同援深２．５・区３</t>
  </si>
  <si>
    <t>同援深２．５・２人・区３</t>
  </si>
  <si>
    <t>同援深２．５・基礎・区３</t>
  </si>
  <si>
    <t>同援深２．５・基礎・２人・区３</t>
  </si>
  <si>
    <t>同援深２．５・盲ろう・区３</t>
  </si>
  <si>
    <t>同援深２．５・２人・盲ろう・区３</t>
  </si>
  <si>
    <t>同援深２．５・基礎・盲ろう・区３</t>
  </si>
  <si>
    <t>同援深２．５・基礎・２人・盲ろう・区３</t>
  </si>
  <si>
    <t>同援深２．５・区４</t>
  </si>
  <si>
    <t>同援深２．５・２人・区４</t>
  </si>
  <si>
    <t>同援深２．５・基礎・区４</t>
  </si>
  <si>
    <t>同援深２．５・基礎・２人・区４</t>
  </si>
  <si>
    <t>同援深２．５・盲ろう・区４</t>
  </si>
  <si>
    <t>同援深２．５・２人・盲ろう・区４</t>
  </si>
  <si>
    <t>同援深２．５・基礎・盲ろう・区４</t>
  </si>
  <si>
    <t>同援深２．５・基礎・２人・盲ろう・区４</t>
  </si>
  <si>
    <t>同援深３．０</t>
  </si>
  <si>
    <t>ヘ　深夜</t>
    <phoneticPr fontId="1"/>
  </si>
  <si>
    <t>同援深３．０・２人</t>
  </si>
  <si>
    <t>同援深３．０・基礎</t>
  </si>
  <si>
    <t>同援深３．０・基礎・２人</t>
  </si>
  <si>
    <t>同援深３．０・盲ろう</t>
  </si>
  <si>
    <t>同援深３．０・２人・盲ろう</t>
  </si>
  <si>
    <t>同援深３．０・基礎・盲ろう</t>
  </si>
  <si>
    <t>同援深３．０・基礎・２人・盲ろう</t>
  </si>
  <si>
    <t>同援深３．０・区３</t>
  </si>
  <si>
    <t>同援深３．０・２人・区３</t>
  </si>
  <si>
    <t>同援深３．０・基礎・区３</t>
  </si>
  <si>
    <t>同援深３．０・基礎・２人・区３</t>
  </si>
  <si>
    <t>同援深３．０・盲ろう・区３</t>
  </si>
  <si>
    <t>同援深３．０・２人・盲ろう・区３</t>
  </si>
  <si>
    <t>同援深３．０・基礎・盲ろう・区３</t>
  </si>
  <si>
    <t>同援深３．０・基礎・２人・盲ろう・区３</t>
  </si>
  <si>
    <t>同援深３．０・区４</t>
  </si>
  <si>
    <t>同援深３．０・２人・区４</t>
  </si>
  <si>
    <t>同援深３．０・基礎・区４</t>
  </si>
  <si>
    <t>同援深３．０・基礎・２人・区４</t>
  </si>
  <si>
    <t>同援深３．０・盲ろう・区４</t>
  </si>
  <si>
    <t>同援深３．０・２人・盲ろう・区４</t>
  </si>
  <si>
    <t>同援深３．０・基礎・盲ろう・区４</t>
  </si>
  <si>
    <t>同援深３．０・基礎・２人・盲ろう・区４</t>
  </si>
  <si>
    <t>同援深３．５</t>
  </si>
  <si>
    <t>ト　深夜</t>
    <phoneticPr fontId="1"/>
  </si>
  <si>
    <t>同援深３．５・２人</t>
  </si>
  <si>
    <t>同援深３．５・基礎</t>
  </si>
  <si>
    <t>同援深３．５・基礎・２人</t>
  </si>
  <si>
    <t>同援深３．５・盲ろう</t>
  </si>
  <si>
    <t>同援深３．５・２人・盲ろう</t>
  </si>
  <si>
    <t>同援深３．５・基礎・盲ろう</t>
  </si>
  <si>
    <t>同援深３．５・基礎・２人・盲ろう</t>
  </si>
  <si>
    <t>同援深３．５・区３</t>
  </si>
  <si>
    <t>同援深３．５・２人・区３</t>
  </si>
  <si>
    <t>同援深３．５・基礎・区３</t>
  </si>
  <si>
    <t>同援深３．５・基礎・２人・区３</t>
  </si>
  <si>
    <t>同援深３．５・盲ろう・区３</t>
  </si>
  <si>
    <t>同援深３．５・２人・盲ろう・区３</t>
  </si>
  <si>
    <t>同援深３．５・基礎・盲ろう・区３</t>
  </si>
  <si>
    <t>同援深３．５・基礎・２人・盲ろう・区３</t>
  </si>
  <si>
    <t>同援深３．５・区４</t>
  </si>
  <si>
    <t>同援深３．５・２人・区４</t>
  </si>
  <si>
    <t>同援深３．５・基礎・区４</t>
  </si>
  <si>
    <t>同援深３．５・基礎・２人・区４</t>
  </si>
  <si>
    <t>同援深３．５・盲ろう・区４</t>
  </si>
  <si>
    <t>同援深３．５・２人・盲ろう・区４</t>
  </si>
  <si>
    <t>同援深３．５・基礎・盲ろう・区４</t>
  </si>
  <si>
    <t>同援深３．５・基礎・２人・盲ろう・区４</t>
  </si>
  <si>
    <t>同援深４．０</t>
  </si>
  <si>
    <t>チ　深夜</t>
    <phoneticPr fontId="1"/>
  </si>
  <si>
    <t>同援深４．０・２人</t>
  </si>
  <si>
    <t>同援深４．０・基礎</t>
  </si>
  <si>
    <t>同援深４．０・基礎・２人</t>
  </si>
  <si>
    <t>同援深４．０・盲ろう</t>
  </si>
  <si>
    <t>同援深４．０・２人・盲ろう</t>
  </si>
  <si>
    <t>同援深４．０・基礎・盲ろう</t>
  </si>
  <si>
    <t>同援深４．０・基礎・２人・盲ろう</t>
  </si>
  <si>
    <t>同援深４．０・区３</t>
  </si>
  <si>
    <t>同援深４．０・２人・区３</t>
  </si>
  <si>
    <t>同援深４．０・基礎・区３</t>
  </si>
  <si>
    <t>同援深４．０・基礎・２人・区３</t>
  </si>
  <si>
    <t>同援深４．０・盲ろう・区３</t>
  </si>
  <si>
    <t>同援深４．０・２人・盲ろう・区３</t>
  </si>
  <si>
    <t>同援深４．０・基礎・盲ろう・区３</t>
  </si>
  <si>
    <t>同援深４．０・基礎・２人・盲ろう・区３</t>
  </si>
  <si>
    <t>同援深４．０・区４</t>
  </si>
  <si>
    <t>同援深４．０・２人・区４</t>
  </si>
  <si>
    <t>同援深４．０・基礎・区４</t>
  </si>
  <si>
    <t>同援深４．０・基礎・２人・区４</t>
  </si>
  <si>
    <t>同援深４．０・盲ろう・区４</t>
  </si>
  <si>
    <t>同援深４．０・２人・盲ろう・区４</t>
  </si>
  <si>
    <t>同援深４．０・基礎・盲ろう・区４</t>
  </si>
  <si>
    <t>同援深４．０・基礎・２人・盲ろう・区４</t>
  </si>
  <si>
    <t>同援深４．５</t>
  </si>
  <si>
    <t>リ　深夜</t>
    <phoneticPr fontId="1"/>
  </si>
  <si>
    <t>同援深４．５・２人</t>
  </si>
  <si>
    <t>同援深４．５・基礎</t>
  </si>
  <si>
    <t>同援深４．５・基礎・２人</t>
  </si>
  <si>
    <t>同援深４．５・盲ろう</t>
  </si>
  <si>
    <t>同援深４．５・２人・盲ろう</t>
  </si>
  <si>
    <t>同援深４．５・基礎・盲ろう</t>
  </si>
  <si>
    <t>同援深４．５・基礎・２人・盲ろう</t>
  </si>
  <si>
    <t>同援深４．５・区３</t>
  </si>
  <si>
    <t>同援深４．５・２人・区３</t>
  </si>
  <si>
    <t>同援深４．５・基礎・区３</t>
  </si>
  <si>
    <t>同援深４．５・基礎・２人・区３</t>
  </si>
  <si>
    <t>同援深４．５・盲ろう・区３</t>
  </si>
  <si>
    <t>同援深４．５・２人・盲ろう・区３</t>
  </si>
  <si>
    <t>同援深４．５・基礎・盲ろう・区３</t>
  </si>
  <si>
    <t>同援深４．５・基礎・２人・盲ろう・区３</t>
  </si>
  <si>
    <t>同援深４．５・区４</t>
  </si>
  <si>
    <t>同援深４．５・２人・区４</t>
  </si>
  <si>
    <t>同援深４．５・基礎・区４</t>
  </si>
  <si>
    <t>同援深４．５・基礎・２人・区４</t>
  </si>
  <si>
    <t>同援深４．５・盲ろう・区４</t>
  </si>
  <si>
    <t>同援深４．５・２人・盲ろう・区４</t>
  </si>
  <si>
    <t>同援深４．５・基礎・盲ろう・区４</t>
  </si>
  <si>
    <t>同援深４．５・基礎・２人・盲ろう・区４</t>
  </si>
  <si>
    <t>同援深５．０</t>
  </si>
  <si>
    <t>ヌ　深夜</t>
    <phoneticPr fontId="1"/>
  </si>
  <si>
    <t>同援深５．０・２人</t>
  </si>
  <si>
    <t>同援深５．０・基礎</t>
  </si>
  <si>
    <t xml:space="preserve"> ５時間未満</t>
  </si>
  <si>
    <t>同援深５．０・基礎・２人</t>
  </si>
  <si>
    <t>同援深５．０・盲ろう</t>
  </si>
  <si>
    <t>同援深５．０・２人・盲ろう</t>
  </si>
  <si>
    <t>同援深５．０・基礎・盲ろう</t>
  </si>
  <si>
    <t>同援深５．０・基礎・２人・盲ろう</t>
  </si>
  <si>
    <t>同援深５．０・区３</t>
  </si>
  <si>
    <t>同援深５．０・２人・区３</t>
  </si>
  <si>
    <t>同援深５．０・基礎・区３</t>
  </si>
  <si>
    <t>同援深５．０・基礎・２人・区３</t>
  </si>
  <si>
    <t>同援深５．０・盲ろう・区３</t>
  </si>
  <si>
    <t>同援深５．０・２人・盲ろう・区３</t>
  </si>
  <si>
    <t>同援深５．０・基礎・盲ろう・区３</t>
  </si>
  <si>
    <t>同援深５．０・基礎・２人・盲ろう・区３</t>
  </si>
  <si>
    <t>同援深５．０・区４</t>
  </si>
  <si>
    <t>同援深５．０・２人・区４</t>
  </si>
  <si>
    <t>同援深５．０・基礎・区４</t>
  </si>
  <si>
    <t>同援深５．０・基礎・２人・区４</t>
  </si>
  <si>
    <t>同援深５．０・盲ろう・区４</t>
  </si>
  <si>
    <t>同援深５．０・２人・盲ろう・区４</t>
  </si>
  <si>
    <t>同援深５．０・基礎・盲ろう・区４</t>
  </si>
  <si>
    <t>同援深５．０・基礎・２人・盲ろう・区４</t>
  </si>
  <si>
    <t>同援深５．５</t>
  </si>
  <si>
    <t>ル　深夜</t>
    <phoneticPr fontId="1"/>
  </si>
  <si>
    <t>同援深５．５・２人</t>
  </si>
  <si>
    <t>同援深５．５・基礎</t>
  </si>
  <si>
    <t xml:space="preserve"> ５時間３０分未満</t>
  </si>
  <si>
    <t>同援深５．５・基礎・２人</t>
  </si>
  <si>
    <t>同援深５．５・盲ろう</t>
  </si>
  <si>
    <t>同援深５．５・２人・盲ろう</t>
  </si>
  <si>
    <t>同援深５．５・基礎・盲ろう</t>
  </si>
  <si>
    <t>同援深５．５・基礎・２人・盲ろう</t>
  </si>
  <si>
    <t>同援深５．５・区３</t>
  </si>
  <si>
    <t>同援深５．５・２人・区３</t>
  </si>
  <si>
    <t>同援深５．５・基礎・区３</t>
  </si>
  <si>
    <t>同援深５．５・基礎・２人・区３</t>
  </si>
  <si>
    <t>同援深５．５・盲ろう・区３</t>
  </si>
  <si>
    <t>同援深５．５・２人・盲ろう・区３</t>
  </si>
  <si>
    <t>同援深５．５・基礎・盲ろう・区３</t>
  </si>
  <si>
    <t>同援深５．５・基礎・２人・盲ろう・区３</t>
  </si>
  <si>
    <t>同援深５．５・区４</t>
  </si>
  <si>
    <t>同援深５．５・２人・区４</t>
  </si>
  <si>
    <t>同援深５．５・基礎・区４</t>
  </si>
  <si>
    <t>同援深５．５・基礎・２人・区４</t>
  </si>
  <si>
    <t>同援深５．５・盲ろう・区４</t>
  </si>
  <si>
    <t>同援深５．５・２人・盲ろう・区４</t>
  </si>
  <si>
    <t>同援深５．５・基礎・盲ろう・区４</t>
  </si>
  <si>
    <t>同援深５．５・基礎・２人・盲ろう・区４</t>
  </si>
  <si>
    <t>同援深６．０</t>
  </si>
  <si>
    <t>ヲ　深夜</t>
    <phoneticPr fontId="1"/>
  </si>
  <si>
    <t>同援深６．０・２人</t>
  </si>
  <si>
    <t>同援深６．０・基礎</t>
  </si>
  <si>
    <t xml:space="preserve"> ６時間未満</t>
  </si>
  <si>
    <t>同援深６．０・基礎・２人</t>
  </si>
  <si>
    <t>同援深６．０・盲ろう</t>
  </si>
  <si>
    <t>同援深６．０・２人・盲ろう</t>
  </si>
  <si>
    <t>同援深６．０・基礎・盲ろう</t>
  </si>
  <si>
    <t>同援深６．０・基礎・２人・盲ろう</t>
  </si>
  <si>
    <t>同援深６．０・区３</t>
  </si>
  <si>
    <t>同援深６．０・２人・区３</t>
  </si>
  <si>
    <t>同援深６．０・基礎・区３</t>
  </si>
  <si>
    <t>同援深６．０・基礎・２人・区３</t>
  </si>
  <si>
    <t>同援深６．０・盲ろう・区３</t>
  </si>
  <si>
    <t>同援深６．０・２人・盲ろう・区３</t>
  </si>
  <si>
    <t>同援深６．０・基礎・盲ろう・区３</t>
  </si>
  <si>
    <t>同援深６．０・基礎・２人・盲ろう・区３</t>
  </si>
  <si>
    <t>同援深６．０・区４</t>
  </si>
  <si>
    <t>同援深６．０・２人・区４</t>
  </si>
  <si>
    <t>同援深６．０・基礎・区４</t>
  </si>
  <si>
    <t>同援深６．０・基礎・２人・区４</t>
  </si>
  <si>
    <t>同援深６．０・盲ろう・区４</t>
  </si>
  <si>
    <t>同援深６．０・２人・盲ろう・区４</t>
  </si>
  <si>
    <t>同援深６．０・基礎・盲ろう・区４</t>
  </si>
  <si>
    <t>同援深６．０・基礎・２人・盲ろう・区４</t>
  </si>
  <si>
    <t>同援深６．５</t>
  </si>
  <si>
    <t>ワ　深夜</t>
    <phoneticPr fontId="1"/>
  </si>
  <si>
    <t>同援深６．５・２人</t>
  </si>
  <si>
    <t>同援深６．５・基礎</t>
  </si>
  <si>
    <t xml:space="preserve"> ６時間３０分未満</t>
  </si>
  <si>
    <t>同援深６．５・基礎・２人</t>
  </si>
  <si>
    <t>同援深６．５・盲ろう</t>
  </si>
  <si>
    <t>同援深６．５・２人・盲ろう</t>
  </si>
  <si>
    <t>同援深６．５・基礎・盲ろう</t>
  </si>
  <si>
    <t>同援深６．５・基礎・２人・盲ろう</t>
  </si>
  <si>
    <t>同援深６．５・区３</t>
  </si>
  <si>
    <t>同援深６．５・２人・区３</t>
  </si>
  <si>
    <t>同援深６．５・基礎・区３</t>
  </si>
  <si>
    <t>同援深６．５・基礎・２人・区３</t>
  </si>
  <si>
    <t>同援深６．５・盲ろう・区３</t>
  </si>
  <si>
    <t>同援深６．５・２人・盲ろう・区３</t>
  </si>
  <si>
    <t>同援深６．５・基礎・盲ろう・区３</t>
  </si>
  <si>
    <t>同援深６．５・基礎・２人・盲ろう・区３</t>
  </si>
  <si>
    <t>同援深６．５・区４</t>
  </si>
  <si>
    <t>同援深６．５・２人・区４</t>
  </si>
  <si>
    <t>同援深６．５・基礎・区４</t>
  </si>
  <si>
    <t>同援深６．５・基礎・２人・区４</t>
  </si>
  <si>
    <t>同援深６．５・盲ろう・区４</t>
  </si>
  <si>
    <t>同援深６．５・２人・盲ろう・区４</t>
  </si>
  <si>
    <t>同援深６．５・基礎・盲ろう・区４</t>
  </si>
  <si>
    <t>同援深６．５・基礎・２人・盲ろう・区４</t>
  </si>
  <si>
    <t>（深夜＋早朝）</t>
    <phoneticPr fontId="1"/>
  </si>
  <si>
    <t>Ｂ</t>
    <phoneticPr fontId="1"/>
  </si>
  <si>
    <t>同援深０．５・早０．５</t>
  </si>
  <si>
    <t>(1)早朝</t>
    <phoneticPr fontId="1"/>
  </si>
  <si>
    <t>同援深０．５・早０．５・２人</t>
  </si>
  <si>
    <t>同援深０．５・早０．５・基礎</t>
  </si>
  <si>
    <t>同援深０．５・早０．５・基礎・２人</t>
  </si>
  <si>
    <t>同援深０．５・早０．５・盲ろう</t>
  </si>
  <si>
    <t>同援深０．５・早０．５・２人・盲ろう</t>
  </si>
  <si>
    <t>同援深０．５・早０．５・基礎・盲ろう</t>
  </si>
  <si>
    <t>場合 Ａ</t>
  </si>
  <si>
    <t>場合 Ｂ</t>
  </si>
  <si>
    <t>同援深０．５・早０．５・基礎・２人・盲ろう</t>
  </si>
  <si>
    <t>同援深０．５・早０．５・区３</t>
  </si>
  <si>
    <t>同援深０．５・早０．５・２人・区３</t>
  </si>
  <si>
    <t>同援深０．５・早０．５・基礎・区３</t>
  </si>
  <si>
    <t>同援深０．５・早０．５・基礎・２人・区３</t>
  </si>
  <si>
    <t>同援深０．５・早０．５・盲ろう・区３</t>
  </si>
  <si>
    <t>同援深０．５・早０．５・２人・盲ろう・区３</t>
  </si>
  <si>
    <t>同援深０．５・早０．５・基礎・盲ろう・区３</t>
  </si>
  <si>
    <t>同援深０．５・早０．５・基礎・２人・盲ろう・区３</t>
  </si>
  <si>
    <t>同援深０．５・早０．５・区４</t>
  </si>
  <si>
    <t>同援深０．５・早０．５・２人・区４</t>
  </si>
  <si>
    <t>同援深０．５・早０．５・基礎・区４</t>
  </si>
  <si>
    <t>同援深０．５・早０．５・基礎・２人・区４</t>
  </si>
  <si>
    <t>同援深０．５・早０．５・盲ろう・区４</t>
  </si>
  <si>
    <t>同援深０．５・早０．５・２人・盲ろう・区４</t>
  </si>
  <si>
    <t>同援深０．５・早０．５・基礎・盲ろう・区４</t>
  </si>
  <si>
    <t>同援深０．５・早０．５・基礎・２人・盲ろう・区４</t>
  </si>
  <si>
    <t>同援深０．５・早１．０</t>
  </si>
  <si>
    <t>(2)早朝</t>
    <phoneticPr fontId="1"/>
  </si>
  <si>
    <t>同援深０．５・早１．０・２人</t>
  </si>
  <si>
    <t>同援深０．５・早１．０・基礎</t>
  </si>
  <si>
    <t>同援深０．５・早１．０・基礎・２人</t>
  </si>
  <si>
    <t>同援深０．５・早１．０・盲ろう</t>
  </si>
  <si>
    <t>同援深０．５・早１．０・２人・盲ろう</t>
  </si>
  <si>
    <t>同援深０．５・早１．０・基礎・盲ろう</t>
  </si>
  <si>
    <t>同援深０．５・早１．０・基礎・２人・盲ろう</t>
  </si>
  <si>
    <t>同援深０．５・早１．０・区３</t>
  </si>
  <si>
    <t>同援深０．５・早１．０・２人・区３</t>
  </si>
  <si>
    <t>同援深０．５・早１．０・基礎・区３</t>
  </si>
  <si>
    <t>同援深０．５・早１．０・基礎・２人・区３</t>
  </si>
  <si>
    <t>同援深０．５・早１．０・盲ろう・区３</t>
  </si>
  <si>
    <t>同援深０．５・早１．０・２人・盲ろう・区３</t>
  </si>
  <si>
    <t>同援深０．５・早１．０・基礎・盲ろう・区３</t>
  </si>
  <si>
    <t>同援深０．５・早１．０・基礎・２人・盲ろう・区３</t>
  </si>
  <si>
    <t>同援深０．５・早１．０・区４</t>
  </si>
  <si>
    <t>同援深０．５・早１．０・２人・区４</t>
  </si>
  <si>
    <t>同援深０．５・早１．０・基礎・区４</t>
  </si>
  <si>
    <t>同援深０．５・早１．０・基礎・２人・区４</t>
  </si>
  <si>
    <t>同援深０．５・早１．０・盲ろう・区４</t>
  </si>
  <si>
    <t>同援深０．５・早１．０・２人・盲ろう・区４</t>
  </si>
  <si>
    <t>同援深０．５・早１．０・基礎・盲ろう・区４</t>
  </si>
  <si>
    <t>同援深０．５・早１．０・基礎・２人・盲ろう・区４</t>
  </si>
  <si>
    <t>同援深０．５・早１．５</t>
  </si>
  <si>
    <t>(3)早朝</t>
    <phoneticPr fontId="1"/>
  </si>
  <si>
    <t>同援深０．５・早１．５・２人</t>
  </si>
  <si>
    <t>同援深０．５・早１．５・基礎</t>
  </si>
  <si>
    <t>同援深０．５・早１．５・基礎・２人</t>
  </si>
  <si>
    <t>同援深０．５・早１．５・盲ろう</t>
  </si>
  <si>
    <t>同援深０．５・早１．５・２人・盲ろう</t>
  </si>
  <si>
    <t>同援深０．５・早１．５・基礎・盲ろう</t>
  </si>
  <si>
    <t>同援深０．５・早１．５・基礎・２人・盲ろう</t>
  </si>
  <si>
    <t>同援深０．５・早１．５・区３</t>
  </si>
  <si>
    <t>同援深０．５・早１．５・２人・区３</t>
  </si>
  <si>
    <t>同援深０．５・早１．５・基礎・区３</t>
  </si>
  <si>
    <t>同援深０．５・早１．５・基礎・２人・区３</t>
  </si>
  <si>
    <t>同援深０．５・早１．５・盲ろう・区３</t>
  </si>
  <si>
    <t>同援深０．５・早１．５・２人・盲ろう・区３</t>
  </si>
  <si>
    <t>同援深０．５・早１．５・基礎・盲ろう・区３</t>
  </si>
  <si>
    <t>同援深０．５・早１．５・基礎・２人・盲ろう・区３</t>
  </si>
  <si>
    <t>同援深０．５・早１．５・区４</t>
  </si>
  <si>
    <t>同援深０．５・早１．５・２人・区４</t>
  </si>
  <si>
    <t>同援深０．５・早１．５・基礎・区４</t>
  </si>
  <si>
    <t>同援深０．５・早１．５・基礎・２人・区４</t>
  </si>
  <si>
    <t>同援深０．５・早１．５・盲ろう・区４</t>
  </si>
  <si>
    <t>同援深０．５・早１．５・２人・盲ろう・区４</t>
  </si>
  <si>
    <t>同援深０．５・早１．５・基礎・盲ろう・区４</t>
  </si>
  <si>
    <t>同援深０．５・早１．５・基礎・２人・盲ろう・区４</t>
  </si>
  <si>
    <t>同援深０．５・早２．０</t>
  </si>
  <si>
    <t>(4)早朝</t>
    <phoneticPr fontId="1"/>
  </si>
  <si>
    <t>同援深０．５・早２．０・２人</t>
  </si>
  <si>
    <t>同援深０．５・早２．０・基礎</t>
  </si>
  <si>
    <t>同援深０．５・早２．０・基礎・２人</t>
  </si>
  <si>
    <t>同援深０．５・早２．０・盲ろう</t>
  </si>
  <si>
    <t>同援深０．５・早２．０・２人・盲ろう</t>
  </si>
  <si>
    <t>同援深０．５・早２．０・基礎・盲ろう</t>
  </si>
  <si>
    <t>同援深０．５・早２．０・基礎・２人・盲ろう</t>
  </si>
  <si>
    <t>同援深０．５・早２．０・区３</t>
  </si>
  <si>
    <t>同援深０．５・早２．０・２人・区３</t>
  </si>
  <si>
    <t>同援深０．５・早２．０・基礎・区３</t>
  </si>
  <si>
    <t>同援深０．５・早２．０・基礎・２人・区３</t>
  </si>
  <si>
    <t>同援深０．５・早２．０・盲ろう・区３</t>
  </si>
  <si>
    <t>同援深０．５・早２．０・２人・盲ろう・区３</t>
  </si>
  <si>
    <t>同援深０．５・早２．０・基礎・盲ろう・区３</t>
  </si>
  <si>
    <t>同援深０．５・早２．０・基礎・２人・盲ろう・区３</t>
  </si>
  <si>
    <t>同援深０．５・早２．０・区４</t>
  </si>
  <si>
    <t>同援深０．５・早２．０・２人・区４</t>
  </si>
  <si>
    <t>同援深０．５・早２．０・基礎・区４</t>
  </si>
  <si>
    <t>同援深０．５・早２．０・基礎・２人・区４</t>
  </si>
  <si>
    <t>同援深０．５・早２．０・盲ろう・区４</t>
  </si>
  <si>
    <t>同援深０．５・早２．０・２人・盲ろう・区４</t>
  </si>
  <si>
    <t>同援深０．５・早２．０・基礎・盲ろう・区４</t>
  </si>
  <si>
    <t>同援深０．５・早２．０・基礎・２人・盲ろう・区４</t>
  </si>
  <si>
    <t>同援深０．５・早２．５</t>
  </si>
  <si>
    <t>(5)早朝</t>
    <phoneticPr fontId="1"/>
  </si>
  <si>
    <t>同援深０．５・早２．５・２人</t>
  </si>
  <si>
    <t>同援深０．５・早２．５・基礎</t>
  </si>
  <si>
    <t>同援深０．５・早２．５・基礎・２人</t>
  </si>
  <si>
    <t>同援深０．５・早２．５・盲ろう</t>
  </si>
  <si>
    <t>同援深０．５・早２．５・２人・盲ろう</t>
  </si>
  <si>
    <t>同援深０．５・早２．５・基礎・盲ろう</t>
  </si>
  <si>
    <t>同援深０．５・早２．５・基礎・２人・盲ろう</t>
  </si>
  <si>
    <t>同援深０．５・早２．５・区３</t>
  </si>
  <si>
    <t>同援深０．５・早２．５・２人・区３</t>
  </si>
  <si>
    <t>同援深０．５・早２．５・基礎・区３</t>
  </si>
  <si>
    <t>同援深０．５・早２．５・基礎・２人・区３</t>
  </si>
  <si>
    <t>同援深０．５・早２．５・盲ろう・区３</t>
  </si>
  <si>
    <t>同援深０．５・早２．５・２人・盲ろう・区３</t>
  </si>
  <si>
    <t>同援深０．５・早２．５・基礎・盲ろう・区３</t>
  </si>
  <si>
    <t>同援深０．５・早２．５・基礎・２人・盲ろう・区３</t>
  </si>
  <si>
    <t>同援深０．５・早２．５・区４</t>
  </si>
  <si>
    <t>同援深０．５・早２．５・２人・区４</t>
  </si>
  <si>
    <t>同援深０．５・早２．５・基礎・区４</t>
  </si>
  <si>
    <t>同援深０．５・早２．５・基礎・２人・区４</t>
  </si>
  <si>
    <t>同援深０．５・早２．５・盲ろう・区４</t>
  </si>
  <si>
    <t>同援深０．５・早２．５・２人・盲ろう・区４</t>
  </si>
  <si>
    <t>同援深０．５・早２．５・基礎・盲ろう・区４</t>
  </si>
  <si>
    <t>同援深０．５・早２．５・基礎・２人・盲ろう・区４</t>
  </si>
  <si>
    <t>同援深１．０・早０．５</t>
  </si>
  <si>
    <t>同援深１．０・早０．５・２人</t>
  </si>
  <si>
    <t>同援深１．０・早０．５・基礎</t>
  </si>
  <si>
    <t>同援深１．０・早０．５・基礎・２人</t>
  </si>
  <si>
    <t>同援深１．０・早０．５・盲ろう</t>
  </si>
  <si>
    <t>同援深１．０・早０．５・２人・盲ろう</t>
  </si>
  <si>
    <t>同援深１．０・早０．５・基礎・盲ろう</t>
  </si>
  <si>
    <t>同援深１．０・早０．５・基礎・２人・盲ろう</t>
  </si>
  <si>
    <t>同援深１．０・早０．５・区３</t>
  </si>
  <si>
    <t>同援深１．０・早０．５・２人・区３</t>
  </si>
  <si>
    <t>同援深１．０・早０．５・基礎・区３</t>
  </si>
  <si>
    <t>同援深１．０・早０．５・基礎・２人・区３</t>
  </si>
  <si>
    <t>同援深１．０・早０．５・盲ろう・区３</t>
  </si>
  <si>
    <t>同援深１．０・早０．５・２人・盲ろう・区３</t>
  </si>
  <si>
    <t>同援深１．０・早０．５・基礎・盲ろう・区３</t>
  </si>
  <si>
    <t>同援深１．０・早０．５・基礎・２人・盲ろう・区３</t>
  </si>
  <si>
    <t>同援深１．０・早０．５・区４</t>
  </si>
  <si>
    <t>同援深１．０・早０．５・２人・区４</t>
  </si>
  <si>
    <t>同援深１．０・早０．５・基礎・区４</t>
  </si>
  <si>
    <t>同援深１．０・早０．５・基礎・２人・区４</t>
  </si>
  <si>
    <t>同援深１．０・早０．５・盲ろう・区４</t>
  </si>
  <si>
    <t>同援深１．０・早０．５・２人・盲ろう・区４</t>
  </si>
  <si>
    <t>同援深１．０・早０．５・基礎・盲ろう・区４</t>
  </si>
  <si>
    <t>同援深１．０・早０．５・基礎・２人・盲ろう・区４</t>
  </si>
  <si>
    <t>同援深１．０・早１．０</t>
  </si>
  <si>
    <t>同援深１．０・早１．０・２人</t>
  </si>
  <si>
    <t>同援深１．０・早１．０・基礎</t>
  </si>
  <si>
    <t>同援深１．０・早１．０・基礎・２人</t>
  </si>
  <si>
    <t>同援深１．０・早１．０・盲ろう</t>
  </si>
  <si>
    <t>同援深１．０・早１．０・２人・盲ろう</t>
  </si>
  <si>
    <t>同援深１．０・早１．０・基礎・盲ろう</t>
  </si>
  <si>
    <t>同援深１．０・早１．０・基礎・２人・盲ろう</t>
  </si>
  <si>
    <t>同援深１．０・早１．０・区３</t>
  </si>
  <si>
    <t>同援深１．０・早１．０・２人・区３</t>
  </si>
  <si>
    <t>同援深１．０・早１．０・基礎・区３</t>
  </si>
  <si>
    <t>同援深１．０・早１．０・基礎・２人・区３</t>
  </si>
  <si>
    <t>同援深１．０・早１．０・盲ろう・区３</t>
  </si>
  <si>
    <t>同援深１．０・早１．０・２人・盲ろう・区３</t>
  </si>
  <si>
    <t>同援深１．０・早１．０・基礎・盲ろう・区３</t>
  </si>
  <si>
    <t>同援深１．０・早１．０・基礎・２人・盲ろう・区３</t>
  </si>
  <si>
    <t>同援深１．０・早１．０・区４</t>
  </si>
  <si>
    <t>同援深１．０・早１．０・２人・区４</t>
  </si>
  <si>
    <t>同援深１．０・早１．０・基礎・区４</t>
  </si>
  <si>
    <t>同援深１．０・早１．０・基礎・２人・区４</t>
  </si>
  <si>
    <t>同援深１．０・早１．０・盲ろう・区４</t>
  </si>
  <si>
    <t>同援深１．０・早１．０・２人・盲ろう・区４</t>
  </si>
  <si>
    <t>同援深１．０・早１．０・基礎・盲ろう・区４</t>
  </si>
  <si>
    <t>同援深１．０・早１．０・基礎・２人・盲ろう・区４</t>
  </si>
  <si>
    <t>同援深１．０・早１．５</t>
  </si>
  <si>
    <t>同援深１．０・早１．５・２人</t>
  </si>
  <si>
    <t>同援深１．０・早１．５・基礎</t>
  </si>
  <si>
    <t>同援深１．０・早１．５・基礎・２人</t>
  </si>
  <si>
    <t>同援深１．０・早１．５・盲ろう</t>
  </si>
  <si>
    <t>同援深１．０・早１．５・２人・盲ろう</t>
  </si>
  <si>
    <t>同援深１．０・早１．５・基礎・盲ろう</t>
  </si>
  <si>
    <t>同援深１．０・早１．５・基礎・２人・盲ろう</t>
  </si>
  <si>
    <t>同援深１．０・早１．５・区３</t>
  </si>
  <si>
    <t>同援深１．０・早１．５・２人・区３</t>
  </si>
  <si>
    <t>同援深１．０・早１．５・基礎・区３</t>
  </si>
  <si>
    <t>同援深１．０・早１．５・基礎・２人・区３</t>
  </si>
  <si>
    <t>同援深１．０・早１．５・盲ろう・区３</t>
  </si>
  <si>
    <t>同援深１．０・早１．５・２人・盲ろう・区３</t>
  </si>
  <si>
    <t>同援深１．０・早１．５・基礎・盲ろう・区３</t>
  </si>
  <si>
    <t>同援深１．０・早１．５・基礎・２人・盲ろう・区３</t>
  </si>
  <si>
    <t>同援深１．０・早１．５・区４</t>
  </si>
  <si>
    <t>同援深１．０・早１．５・２人・区４</t>
  </si>
  <si>
    <t>同援深１．０・早１．５・基礎・区４</t>
  </si>
  <si>
    <t>同援深１．０・早１．５・基礎・２人・区４</t>
  </si>
  <si>
    <t>同援深１．０・早１．５・盲ろう・区４</t>
  </si>
  <si>
    <t>同援深１．０・早１．５・２人・盲ろう・区４</t>
  </si>
  <si>
    <t>同援深１．０・早１．５・基礎・盲ろう・区４</t>
  </si>
  <si>
    <t>同援深１．０・早１．５・基礎・２人・盲ろう・区４</t>
  </si>
  <si>
    <t>同援深１．０・早２．０</t>
  </si>
  <si>
    <t>同援深１．０・早２．０・２人</t>
  </si>
  <si>
    <t>同援深１．０・早２．０・基礎</t>
  </si>
  <si>
    <t>同援深１．０・早２．０・基礎・２人</t>
  </si>
  <si>
    <t>同援深１．０・早２．０・盲ろう</t>
  </si>
  <si>
    <t>同援深１．０・早２．０・２人・盲ろう</t>
  </si>
  <si>
    <t>同援深１．０・早２．０・基礎・盲ろう</t>
  </si>
  <si>
    <t>同援深１．０・早２．０・基礎・２人・盲ろう</t>
  </si>
  <si>
    <t>同援深１．０・早２．０・区３</t>
  </si>
  <si>
    <t>同援深１．０・早２．０・２人・区３</t>
  </si>
  <si>
    <t>同援深１．０・早２．０・基礎・区３</t>
  </si>
  <si>
    <t>同援深１．０・早２．０・基礎・２人・区３</t>
  </si>
  <si>
    <t>同援深１．０・早２．０・盲ろう・区３</t>
  </si>
  <si>
    <t>同援深１．０・早２．０・２人・盲ろう・区３</t>
  </si>
  <si>
    <t>同援深１．０・早２．０・基礎・盲ろう・区３</t>
  </si>
  <si>
    <t>同援深１．０・早２．０・基礎・２人・盲ろう・区３</t>
  </si>
  <si>
    <t>同援深１．０・早２．０・区４</t>
  </si>
  <si>
    <t>同援深１．０・早２．０・２人・区４</t>
  </si>
  <si>
    <t>同援深１．０・早２．０・基礎・区４</t>
  </si>
  <si>
    <t>同援深１．０・早２．０・基礎・２人・区４</t>
  </si>
  <si>
    <t>同援深１．０・早２．０・盲ろう・区４</t>
  </si>
  <si>
    <t>同援深１．０・早２．０・２人・盲ろう・区４</t>
  </si>
  <si>
    <t>同援深１．０・早２．０・基礎・盲ろう・区４</t>
  </si>
  <si>
    <t>同援深１．０・早２．０・基礎・２人・盲ろう・区４</t>
  </si>
  <si>
    <t>同援深１．５・早０．５</t>
  </si>
  <si>
    <t>同援深１．５・早０．５・２人</t>
  </si>
  <si>
    <t>同援深１．５・早０．５・基礎</t>
  </si>
  <si>
    <t>同援深１．５・早０．５・基礎・２人</t>
  </si>
  <si>
    <t>同援深１．５・早０．５・盲ろう</t>
  </si>
  <si>
    <t>同援深１．５・早０．５・２人・盲ろう</t>
  </si>
  <si>
    <t>同援深１．５・早０．５・基礎・盲ろう</t>
  </si>
  <si>
    <t>同援深１．５・早０．５・基礎・２人・盲ろう</t>
  </si>
  <si>
    <t>同援深１．５・早０．５・区３</t>
  </si>
  <si>
    <t>同援深１．５・早０．５・２人・区３</t>
  </si>
  <si>
    <t>同援深１．５・早０．５・基礎・区３</t>
  </si>
  <si>
    <t>同援深１．５・早０．５・基礎・２人・区３</t>
  </si>
  <si>
    <t>同援深１．５・早０．５・盲ろう・区３</t>
  </si>
  <si>
    <t>同援深１．５・早０．５・２人・盲ろう・区３</t>
  </si>
  <si>
    <t>同援深１．５・早０．５・基礎・盲ろう・区３</t>
  </si>
  <si>
    <t>同援深１．５・早０．５・基礎・２人・盲ろう・区３</t>
  </si>
  <si>
    <t>同援深１．５・早０．５・区４</t>
  </si>
  <si>
    <t>同援深１．５・早０．５・２人・区４</t>
  </si>
  <si>
    <t>同援深１．５・早０．５・基礎・区４</t>
  </si>
  <si>
    <t>同援深１．５・早０．５・基礎・２人・区４</t>
  </si>
  <si>
    <t>同援深１．５・早０．５・盲ろう・区４</t>
  </si>
  <si>
    <t>同援深１．５・早０．５・２人・盲ろう・区４</t>
  </si>
  <si>
    <t>同援深１．５・早０．５・基礎・盲ろう・区４</t>
  </si>
  <si>
    <t>同援深１．５・早０．５・基礎・２人・盲ろう・区４</t>
  </si>
  <si>
    <t>同援深１．５・早１．０</t>
  </si>
  <si>
    <t>同援深１．５・早１．０・２人</t>
  </si>
  <si>
    <t>同援深１．５・早１．０・基礎</t>
  </si>
  <si>
    <t>同援深１．５・早１．０・基礎・２人</t>
  </si>
  <si>
    <t>同援深１．５・早１．０・盲ろう</t>
  </si>
  <si>
    <t>同援深１．５・早１．０・２人・盲ろう</t>
  </si>
  <si>
    <t>同援深１．５・早１．０・基礎・盲ろう</t>
  </si>
  <si>
    <t>同援深１．５・早１．０・基礎・２人・盲ろう</t>
  </si>
  <si>
    <t>同援深１．５・早１．０・区３</t>
  </si>
  <si>
    <t>同援深１．５・早１．０・２人・区３</t>
  </si>
  <si>
    <t>同援深１．５・早１．０・基礎・区３</t>
  </si>
  <si>
    <t>同援深１．５・早１．０・基礎・２人・区３</t>
  </si>
  <si>
    <t>同援深１．５・早１．０・盲ろう・区３</t>
  </si>
  <si>
    <t>同援深１．５・早１．０・２人・盲ろう・区３</t>
  </si>
  <si>
    <t>同援深１．５・早１．０・基礎・盲ろう・区３</t>
  </si>
  <si>
    <t>同援深１．５・早１．０・基礎・２人・盲ろう・区３</t>
  </si>
  <si>
    <t>同援深１．５・早１．０・区４</t>
  </si>
  <si>
    <t>同援深１．５・早１．０・２人・区４</t>
  </si>
  <si>
    <t>同援深１．５・早１．０・基礎・区４</t>
  </si>
  <si>
    <t>同援深１．５・早１．０・基礎・２人・区４</t>
  </si>
  <si>
    <t>同援深１．５・早１．０・盲ろう・区４</t>
  </si>
  <si>
    <t>同援深１．５・早１．０・２人・盲ろう・区４</t>
  </si>
  <si>
    <t>同援深１．５・早１．０・基礎・盲ろう・区４</t>
  </si>
  <si>
    <t>同援深１．５・早１．０・基礎・２人・盲ろう・区４</t>
  </si>
  <si>
    <t>同援深１．５・早１．５</t>
  </si>
  <si>
    <t>同援深１．５・早１．５・２人</t>
  </si>
  <si>
    <t>同援深１．５・早１．５・基礎</t>
  </si>
  <si>
    <t>同援深１．５・早１．５・基礎・２人</t>
  </si>
  <si>
    <t>同援深１．５・早１．５・盲ろう</t>
  </si>
  <si>
    <t>同援深１．５・早１．５・２人・盲ろう</t>
  </si>
  <si>
    <t>同援深１．５・早１．５・基礎・盲ろう</t>
  </si>
  <si>
    <t>同援深１．５・早１．５・基礎・２人・盲ろう</t>
  </si>
  <si>
    <t>同援深１．５・早１．５・区３</t>
  </si>
  <si>
    <t>同援深１．５・早１．５・２人・区３</t>
  </si>
  <si>
    <t>同援深１．５・早１．５・基礎・区３</t>
  </si>
  <si>
    <t>同援深１．５・早１．５・基礎・２人・区３</t>
  </si>
  <si>
    <t>同援深１．５・早１．５・盲ろう・区３</t>
  </si>
  <si>
    <t>同援深１．５・早１．５・２人・盲ろう・区３</t>
  </si>
  <si>
    <t>同援深１．５・早１．５・基礎・盲ろう・区３</t>
  </si>
  <si>
    <t>同援深１．５・早１．５・基礎・２人・盲ろう・区３</t>
  </si>
  <si>
    <t>同援深１．５・早１．５・区４</t>
  </si>
  <si>
    <t>同援深１．５・早１．５・２人・区４</t>
  </si>
  <si>
    <t>同援深１．５・早１．５・基礎・区４</t>
  </si>
  <si>
    <t>同援深１．５・早１．５・基礎・２人・区４</t>
  </si>
  <si>
    <t>同援深１．５・早１．５・盲ろう・区４</t>
  </si>
  <si>
    <t>同援深１．５・早１．５・２人・盲ろう・区４</t>
  </si>
  <si>
    <t>同援深１．５・早１．５・基礎・盲ろう・区４</t>
  </si>
  <si>
    <t>同援深１．５・早１．５・基礎・２人・盲ろう・区４</t>
  </si>
  <si>
    <t>同援深２．０・早０．５</t>
  </si>
  <si>
    <t>同援深２．０・早０．５・２人</t>
  </si>
  <si>
    <t>同援深２．０・早０．５・基礎</t>
  </si>
  <si>
    <t>同援深２．０・早０．５・基礎・２人</t>
  </si>
  <si>
    <t>同援深２．０・早０．５・盲ろう</t>
  </si>
  <si>
    <t>同援深２．０・早０．５・２人・盲ろう</t>
  </si>
  <si>
    <t>同援深２．０・早０．５・基礎・盲ろう</t>
  </si>
  <si>
    <t>同援深２．０・早０．５・基礎・２人・盲ろう</t>
  </si>
  <si>
    <t>同援深２．０・早０．５・区３</t>
  </si>
  <si>
    <t>同援深２．０・早０．５・２人・区３</t>
  </si>
  <si>
    <t>同援深２．０・早０．５・基礎・区３</t>
  </si>
  <si>
    <t>同援深２．０・早０．５・基礎・２人・区３</t>
  </si>
  <si>
    <t>同援深２．０・早０．５・盲ろう・区３</t>
  </si>
  <si>
    <t>同援深２．０・早０．５・２人・盲ろう・区３</t>
  </si>
  <si>
    <t>同援深２．０・早０．５・基礎・盲ろう・区３</t>
  </si>
  <si>
    <t>同援深２．０・早０．５・基礎・２人・盲ろう・区３</t>
  </si>
  <si>
    <t>同援深２．０・早０．５・区４</t>
  </si>
  <si>
    <t>同援深２．０・早０．５・２人・区４</t>
  </si>
  <si>
    <t>同援深２．０・早０．５・基礎・区４</t>
  </si>
  <si>
    <t>同援深２．０・早０．５・基礎・２人・区４</t>
  </si>
  <si>
    <t>同援深２．０・早０．５・盲ろう・区４</t>
  </si>
  <si>
    <t>同援深２．０・早０．５・２人・盲ろう・区４</t>
  </si>
  <si>
    <t>同援深２．０・早０．５・基礎・盲ろう・区４</t>
  </si>
  <si>
    <t>同援深２．０・早０．５・基礎・２人・盲ろう・区４</t>
  </si>
  <si>
    <t>同援深２．０・早１．０</t>
  </si>
  <si>
    <t>同援深２．０・早１．０・２人</t>
  </si>
  <si>
    <t>同援深２．０・早１．０・基礎</t>
  </si>
  <si>
    <t>同援深２．０・早１．０・基礎・２人</t>
  </si>
  <si>
    <t>同援深２．０・早１．０・盲ろう</t>
  </si>
  <si>
    <t>同援深２．０・早１．０・２人・盲ろう</t>
  </si>
  <si>
    <t>同援深２．０・早１．０・基礎・盲ろう</t>
  </si>
  <si>
    <t>同援深２．０・早１．０・基礎・２人・盲ろう</t>
  </si>
  <si>
    <t>同援深２．０・早１．０・区３</t>
  </si>
  <si>
    <t>同援深２．０・早１．０・２人・区３</t>
  </si>
  <si>
    <t>同援深２．０・早１．０・基礎・区３</t>
  </si>
  <si>
    <t>同援深２．０・早１．０・基礎・２人・区３</t>
  </si>
  <si>
    <t>同援深２．０・早１．０・盲ろう・区３</t>
  </si>
  <si>
    <t>同援深２．０・早１．０・２人・盲ろう・区３</t>
  </si>
  <si>
    <t>同援深２．０・早１．０・基礎・盲ろう・区３</t>
  </si>
  <si>
    <t>同援深２．０・早１．０・基礎・２人・盲ろう・区３</t>
  </si>
  <si>
    <t>同援深２．０・早１．０・区４</t>
  </si>
  <si>
    <t>同援深２．０・早１．０・２人・区４</t>
  </si>
  <si>
    <t>同援深２．０・早１．０・基礎・区４</t>
  </si>
  <si>
    <t>同援深２．０・早１．０・基礎・２人・区４</t>
  </si>
  <si>
    <t>同援深２．０・早１．０・盲ろう・区４</t>
  </si>
  <si>
    <t>同援深２．０・早１．０・２人・盲ろう・区４</t>
  </si>
  <si>
    <t>同援深２．０・早１．０・基礎・盲ろう・区４</t>
  </si>
  <si>
    <t>同援深２．０・早１．０・基礎・２人・盲ろう・区４</t>
  </si>
  <si>
    <t>同援深２．５・早０．５</t>
  </si>
  <si>
    <t>同援深２．５・早０．５・２人</t>
  </si>
  <si>
    <t>同援深２．５・早０．５・基礎</t>
  </si>
  <si>
    <t>同援深２．５・早０．５・基礎・２人</t>
  </si>
  <si>
    <t>同援深２．５・早０．５・盲ろう</t>
  </si>
  <si>
    <t>同援深２．５・早０．５・２人・盲ろう</t>
  </si>
  <si>
    <t>同援深２．５・早０．５・基礎・盲ろう</t>
  </si>
  <si>
    <t>同援深２．５・早０．５・基礎・２人・盲ろう</t>
  </si>
  <si>
    <t>同援深２．５・早０．５・区３</t>
  </si>
  <si>
    <t>同援深２．５・早０．５・２人・区３</t>
  </si>
  <si>
    <t>同援深２．５・早０．５・基礎・区３</t>
  </si>
  <si>
    <t>同援深２．５・早０．５・基礎・２人・区３</t>
  </si>
  <si>
    <t>同援深２．５・早０．５・盲ろう・区３</t>
  </si>
  <si>
    <t>同援深２．５・早０．５・２人・盲ろう・区３</t>
  </si>
  <si>
    <t>同援深２．５・早０．５・基礎・盲ろう・区３</t>
  </si>
  <si>
    <t>同援深２．５・早０．５・基礎・２人・盲ろう・区３</t>
  </si>
  <si>
    <t>同援深２．５・早０．５・区４</t>
  </si>
  <si>
    <t>同援深２．５・早０．５・２人・区４</t>
  </si>
  <si>
    <t>同援深２．５・早０．５・基礎・区４</t>
  </si>
  <si>
    <t>同援深２．５・早０．５・基礎・２人・区４</t>
  </si>
  <si>
    <t>同援深２．５・早０．５・盲ろう・区４</t>
  </si>
  <si>
    <t>同援深２．５・早０．５・２人・盲ろう・区４</t>
  </si>
  <si>
    <t>同援深２．５・早０．５・基礎・盲ろう・区４</t>
  </si>
  <si>
    <t>同援深２．５・早０．５・基礎・２人・盲ろう・区４</t>
  </si>
  <si>
    <t>（早朝＋日中）</t>
    <phoneticPr fontId="1"/>
  </si>
  <si>
    <t>同援早０．５・日０．５</t>
  </si>
  <si>
    <t>(1)日中</t>
    <phoneticPr fontId="1"/>
  </si>
  <si>
    <t>同援早０．５・日０．５・２人</t>
  </si>
  <si>
    <t>同援早０．５・日０．５・基礎</t>
  </si>
  <si>
    <t>同援早０．５・日０．５・基礎・２人</t>
  </si>
  <si>
    <t>同援早０．５・日０．５・盲ろう</t>
  </si>
  <si>
    <t>同援早０．５・日０．５・２人・盲ろう</t>
  </si>
  <si>
    <t>同援早０．５・日０．５・基礎・盲ろう</t>
  </si>
  <si>
    <t>同援早０．５・日０．５・基礎・２人・盲ろう</t>
  </si>
  <si>
    <t>同援早０．５・日０．５・区３</t>
  </si>
  <si>
    <t>同援早０．５・日０．５・２人・区３</t>
  </si>
  <si>
    <t>同援早０．５・日０．５・基礎・区３</t>
  </si>
  <si>
    <t>同援早０．５・日０．５・基礎・２人・区３</t>
  </si>
  <si>
    <t>同援早０．５・日０．５・盲ろう・区３</t>
  </si>
  <si>
    <t>同援早０．５・日０．５・２人・盲ろう・区３</t>
  </si>
  <si>
    <t>同援早０．５・日０．５・基礎・盲ろう・区３</t>
  </si>
  <si>
    <t>同援早０．５・日０．５・基礎・２人・盲ろう・区３</t>
  </si>
  <si>
    <t>同援早０．５・日０．５・区４</t>
  </si>
  <si>
    <t>同援早０．５・日０．５・２人・区４</t>
  </si>
  <si>
    <t>同援早０．５・日０．５・基礎・区４</t>
  </si>
  <si>
    <t>同援早０．５・日０．５・基礎・２人・区４</t>
  </si>
  <si>
    <t>同援早０．５・日０．５・盲ろう・区４</t>
  </si>
  <si>
    <t>同援早０．５・日０．５・２人・盲ろう・区４</t>
  </si>
  <si>
    <t>同援早０．５・日０．５・基礎・盲ろう・区４</t>
  </si>
  <si>
    <t>同援早０．５・日０．５・基礎・２人・盲ろう・区４</t>
  </si>
  <si>
    <t>同援早０．５・日１．０</t>
  </si>
  <si>
    <t>(2)日中</t>
    <phoneticPr fontId="1"/>
  </si>
  <si>
    <t>同援早０．５・日１．０・２人</t>
  </si>
  <si>
    <t>同援早０．５・日１．０・基礎</t>
  </si>
  <si>
    <t>同援早０．５・日１．０・基礎・２人</t>
  </si>
  <si>
    <t>同援早０．５・日１．０・盲ろう</t>
  </si>
  <si>
    <t>同援早０．５・日１．０・２人・盲ろう</t>
  </si>
  <si>
    <t>同援早０．５・日１．０・基礎・盲ろう</t>
  </si>
  <si>
    <t>同援早０．５・日１．０・基礎・２人・盲ろう</t>
  </si>
  <si>
    <t>同援早０．５・日１．０・区３</t>
  </si>
  <si>
    <t>同援早０．５・日１．０・２人・区３</t>
  </si>
  <si>
    <t>同援早０．５・日１．０・基礎・区３</t>
  </si>
  <si>
    <t>同援早０．５・日１．０・基礎・２人・区３</t>
  </si>
  <si>
    <t>同援早０．５・日１．０・盲ろう・区３</t>
  </si>
  <si>
    <t>同援早０．５・日１．０・２人・盲ろう・区３</t>
  </si>
  <si>
    <t>同援早０．５・日１．０・基礎・盲ろう・区３</t>
  </si>
  <si>
    <t>同援早０．５・日１．０・基礎・２人・盲ろう・区３</t>
  </si>
  <si>
    <t>同援早０．５・日１．０・区４</t>
  </si>
  <si>
    <t>同援早０．５・日１．０・２人・区４</t>
  </si>
  <si>
    <t>同援早０．５・日１．０・基礎・区４</t>
  </si>
  <si>
    <t>同援早０．５・日１．０・基礎・２人・区４</t>
  </si>
  <si>
    <t>同援早０．５・日１．０・盲ろう・区４</t>
  </si>
  <si>
    <t>同援早０．５・日１．０・２人・盲ろう・区４</t>
  </si>
  <si>
    <t>同援早０．５・日１．０・基礎・盲ろう・区４</t>
  </si>
  <si>
    <t>同援早０．５・日１．０・基礎・２人・盲ろう・区４</t>
  </si>
  <si>
    <t>同援早０．５・日１．５</t>
  </si>
  <si>
    <t>(3)日中</t>
    <phoneticPr fontId="1"/>
  </si>
  <si>
    <t>同援早０．５・日１．５・２人</t>
  </si>
  <si>
    <t>同援早０．５・日１．５・基礎</t>
  </si>
  <si>
    <t>同援早０．５・日１．５・基礎・２人</t>
  </si>
  <si>
    <t>同援早０．５・日１．５・盲ろう</t>
  </si>
  <si>
    <t>同援早０．５・日１．５・２人・盲ろう</t>
  </si>
  <si>
    <t>同援早０．５・日１．５・基礎・盲ろう</t>
  </si>
  <si>
    <t>同援早０．５・日１．５・基礎・２人・盲ろう</t>
  </si>
  <si>
    <t>同援早０．５・日１．５・区３</t>
  </si>
  <si>
    <t>同援早０．５・日１．５・２人・区３</t>
  </si>
  <si>
    <t>同援早０．５・日１．５・基礎・区３</t>
  </si>
  <si>
    <t>同援早０．５・日１．５・基礎・２人・区３</t>
  </si>
  <si>
    <t>同援早０．５・日１．５・盲ろう・区３</t>
  </si>
  <si>
    <t>同援早０．５・日１．５・２人・盲ろう・区３</t>
  </si>
  <si>
    <t>同援早０．５・日１．５・基礎・盲ろう・区３</t>
  </si>
  <si>
    <t>同援早０．５・日１．５・基礎・２人・盲ろう・区３</t>
  </si>
  <si>
    <t>同援早０．５・日１．５・区４</t>
  </si>
  <si>
    <t>同援早０．５・日１．５・２人・区４</t>
  </si>
  <si>
    <t>同援早０．５・日１．５・基礎・区４</t>
  </si>
  <si>
    <t>同援早０．５・日１．５・基礎・２人・区４</t>
  </si>
  <si>
    <t>同援早０．５・日１．５・盲ろう・区４</t>
  </si>
  <si>
    <t>同援早０．５・日１．５・２人・盲ろう・区４</t>
  </si>
  <si>
    <t>同援早０．５・日１．５・基礎・盲ろう・区４</t>
  </si>
  <si>
    <t>同援早０．５・日１．５・基礎・２人・盲ろう・区４</t>
  </si>
  <si>
    <t>同援早０．５・日２．０</t>
  </si>
  <si>
    <t>(4)日中</t>
    <phoneticPr fontId="1"/>
  </si>
  <si>
    <t>同援早０．５・日２．０・２人</t>
  </si>
  <si>
    <t>同援早０．５・日２．０・基礎</t>
  </si>
  <si>
    <t>同援早０．５・日２．０・基礎・２人</t>
  </si>
  <si>
    <t>同援早０．５・日２．０・盲ろう</t>
  </si>
  <si>
    <t>同援早０．５・日２．０・２人・盲ろう</t>
  </si>
  <si>
    <t>同援早０．５・日２．０・基礎・盲ろう</t>
  </si>
  <si>
    <t>同援早０．５・日２．０・基礎・２人・盲ろう</t>
  </si>
  <si>
    <t>同援早０．５・日２．０・区３</t>
  </si>
  <si>
    <t>同援早０．５・日２．０・２人・区３</t>
  </si>
  <si>
    <t>同援早０．５・日２．０・基礎・区３</t>
  </si>
  <si>
    <t>同援早０．５・日２．０・基礎・２人・区３</t>
  </si>
  <si>
    <t>同援早０．５・日２．０・盲ろう・区３</t>
  </si>
  <si>
    <t>同援早０．５・日２．０・２人・盲ろう・区３</t>
  </si>
  <si>
    <t>同援早０．５・日２．０・基礎・盲ろう・区３</t>
  </si>
  <si>
    <t>同援早０．５・日２．０・基礎・２人・盲ろう・区３</t>
  </si>
  <si>
    <t>同援早０．５・日２．０・区４</t>
  </si>
  <si>
    <t>同援早０．５・日２．０・２人・区４</t>
  </si>
  <si>
    <t>同援早０．５・日２．０・基礎・区４</t>
  </si>
  <si>
    <t>同援早０．５・日２．０・基礎・２人・区４</t>
  </si>
  <si>
    <t>同援早０．５・日２．０・盲ろう・区４</t>
  </si>
  <si>
    <t>同援早０．５・日２．０・２人・盲ろう・区４</t>
  </si>
  <si>
    <t>同援早０．５・日２．０・基礎・盲ろう・区４</t>
  </si>
  <si>
    <t>同援早０．５・日２．０・基礎・２人・盲ろう・区４</t>
  </si>
  <si>
    <t>同援早０．５・日２．５</t>
  </si>
  <si>
    <t>(5)日中</t>
    <phoneticPr fontId="1"/>
  </si>
  <si>
    <t>同援早０．５・日２．５・２人</t>
  </si>
  <si>
    <t>同援早０．５・日２．５・基礎</t>
  </si>
  <si>
    <t>同援早０．５・日２．５・基礎・２人</t>
  </si>
  <si>
    <t>同援早０．５・日２．５・盲ろう</t>
  </si>
  <si>
    <t>同援早０．５・日２．５・２人・盲ろう</t>
  </si>
  <si>
    <t>同援早０．５・日２．５・基礎・盲ろう</t>
  </si>
  <si>
    <t>同援早０．５・日２．５・基礎・２人・盲ろう</t>
  </si>
  <si>
    <t>同援早０．５・日２．５・区３</t>
  </si>
  <si>
    <t>同援早０．５・日２．５・２人・区３</t>
  </si>
  <si>
    <t>同援早０．５・日２．５・基礎・区３</t>
  </si>
  <si>
    <t>同援早０．５・日２．５・基礎・２人・区３</t>
  </si>
  <si>
    <t>同援早０．５・日２．５・盲ろう・区３</t>
  </si>
  <si>
    <t>同援早０．５・日２．５・２人・盲ろう・区３</t>
  </si>
  <si>
    <t>同援早０．５・日２．５・基礎・盲ろう・区３</t>
  </si>
  <si>
    <t>同援早０．５・日２．５・基礎・２人・盲ろう・区３</t>
  </si>
  <si>
    <t>同援早０．５・日２．５・区４</t>
  </si>
  <si>
    <t>同援早０．５・日２．５・２人・区４</t>
  </si>
  <si>
    <t>同援早０．５・日２．５・基礎・区４</t>
  </si>
  <si>
    <t>同援早０．５・日２．５・基礎・２人・区４</t>
  </si>
  <si>
    <t>同援早０．５・日２．５・盲ろう・区４</t>
  </si>
  <si>
    <t>同援早０．５・日２．５・２人・盲ろう・区４</t>
  </si>
  <si>
    <t>同援早０．５・日２．５・基礎・盲ろう・区４</t>
  </si>
  <si>
    <t>同援早０．５・日２．５・基礎・２人・盲ろう・区４</t>
  </si>
  <si>
    <t>同援早１．０・日０．５</t>
  </si>
  <si>
    <t>同援早１．０・日０．５・２人</t>
  </si>
  <si>
    <t>同援早１．０・日０．５・基礎</t>
  </si>
  <si>
    <t>同援早１．０・日０．５・基礎・２人</t>
  </si>
  <si>
    <t>同援早１．０・日０．５・盲ろう</t>
  </si>
  <si>
    <t>同援早１．０・日０．５・２人・盲ろう</t>
  </si>
  <si>
    <t>同援早１．０・日０．５・基礎・盲ろう</t>
  </si>
  <si>
    <t>同援早１．０・日０．５・基礎・２人・盲ろう</t>
  </si>
  <si>
    <t>同援早１．０・日０．５・区３</t>
  </si>
  <si>
    <t>同援早１．０・日０．５・２人・区３</t>
  </si>
  <si>
    <t>同援早１．０・日０．５・基礎・区３</t>
  </si>
  <si>
    <t>同援早１．０・日０．５・基礎・２人・区３</t>
  </si>
  <si>
    <t>同援早１．０・日０．５・盲ろう・区３</t>
  </si>
  <si>
    <t>同援早１．０・日０．５・２人・盲ろう・区３</t>
  </si>
  <si>
    <t>同援早１．０・日０．５・基礎・盲ろう・区３</t>
  </si>
  <si>
    <t>同援早１．０・日０．５・基礎・２人・盲ろう・区３</t>
  </si>
  <si>
    <t>同援早１．０・日０．５・区４</t>
  </si>
  <si>
    <t>同援早１．０・日０．５・２人・区４</t>
  </si>
  <si>
    <t>同援早１．０・日０．５・基礎・区４</t>
  </si>
  <si>
    <t>同援早１．０・日０．５・基礎・２人・区４</t>
  </si>
  <si>
    <t>同援早１．０・日０．５・盲ろう・区４</t>
  </si>
  <si>
    <t>同援早１．０・日０．５・２人・盲ろう・区４</t>
  </si>
  <si>
    <t>同援早１．０・日０．５・基礎・盲ろう・区４</t>
  </si>
  <si>
    <t>同援早１．０・日０．５・基礎・２人・盲ろう・区４</t>
  </si>
  <si>
    <t>同援早１．０・日１．０</t>
  </si>
  <si>
    <t>同援早１．０・日１．０・２人</t>
  </si>
  <si>
    <t>同援早１．０・日１．０・基礎</t>
  </si>
  <si>
    <t>同援早１．０・日１．０・基礎・２人</t>
  </si>
  <si>
    <t>同援早１．０・日１．０・盲ろう</t>
  </si>
  <si>
    <t>同援早１．０・日１．０・２人・盲ろう</t>
  </si>
  <si>
    <t>同援早１．０・日１．０・基礎・盲ろう</t>
  </si>
  <si>
    <t>同援早１．０・日１．０・基礎・２人・盲ろう</t>
  </si>
  <si>
    <t>同援早１．０・日１．０・区３</t>
  </si>
  <si>
    <t>同援早１．０・日１．０・２人・区３</t>
  </si>
  <si>
    <t>同援早１．０・日１．０・基礎・区３</t>
  </si>
  <si>
    <t>同援早１．０・日１．０・基礎・２人・区３</t>
  </si>
  <si>
    <t>同援早１．０・日１．０・盲ろう・区３</t>
  </si>
  <si>
    <t>同援早１．０・日１．０・２人・盲ろう・区３</t>
  </si>
  <si>
    <t>同援早１．０・日１．０・基礎・盲ろう・区３</t>
  </si>
  <si>
    <t>同援早１．０・日１．０・基礎・２人・盲ろう・区３</t>
  </si>
  <si>
    <t>同援早１．０・日１．０・区４</t>
  </si>
  <si>
    <t>同援早１．０・日１．０・２人・区４</t>
  </si>
  <si>
    <t>同援早１．０・日１．０・基礎・区４</t>
  </si>
  <si>
    <t>同援早１．０・日１．０・基礎・２人・区４</t>
  </si>
  <si>
    <t>同援早１．０・日１．０・盲ろう・区４</t>
  </si>
  <si>
    <t>同援早１．０・日１．０・２人・盲ろう・区４</t>
  </si>
  <si>
    <t>同援早１．０・日１．０・基礎・盲ろう・区４</t>
  </si>
  <si>
    <t>同援早１．０・日１．０・基礎・２人・盲ろう・区４</t>
  </si>
  <si>
    <t>同援早１．０・日１．５</t>
  </si>
  <si>
    <t>同援早１．０・日１．５・２人</t>
  </si>
  <si>
    <t>同援早１．０・日１．５・基礎</t>
  </si>
  <si>
    <t>同援早１．０・日１．５・基礎・２人</t>
  </si>
  <si>
    <t>同援早１．０・日１．５・盲ろう</t>
  </si>
  <si>
    <t>同援早１．０・日１．５・２人・盲ろう</t>
  </si>
  <si>
    <t>同援早１．０・日１．５・基礎・盲ろう</t>
  </si>
  <si>
    <t>同援早１．０・日１．５・基礎・２人・盲ろう</t>
  </si>
  <si>
    <t>同援早１．０・日１．５・区３</t>
  </si>
  <si>
    <t>同援早１．０・日１．５・２人・区３</t>
  </si>
  <si>
    <t>同援早１．０・日１．５・基礎・区３</t>
  </si>
  <si>
    <t>同援早１．０・日１．５・基礎・２人・区３</t>
  </si>
  <si>
    <t>同援早１．０・日１．５・盲ろう・区３</t>
  </si>
  <si>
    <t>同援早１．０・日１．５・２人・盲ろう・区３</t>
  </si>
  <si>
    <t>同援早１．０・日１．５・基礎・盲ろう・区３</t>
  </si>
  <si>
    <t>同援早１．０・日１．５・基礎・２人・盲ろう・区３</t>
  </si>
  <si>
    <t>同援早１．０・日１．５・区４</t>
  </si>
  <si>
    <t>同援早１．０・日１．５・２人・区４</t>
  </si>
  <si>
    <t>同援早１．０・日１．５・基礎・区４</t>
  </si>
  <si>
    <t>同援早１．０・日１．５・基礎・２人・区４</t>
  </si>
  <si>
    <t>同援早１．０・日１．５・盲ろう・区４</t>
  </si>
  <si>
    <t>同援早１．０・日１．５・２人・盲ろう・区４</t>
  </si>
  <si>
    <t>同援早１．０・日１．５・基礎・盲ろう・区４</t>
  </si>
  <si>
    <t>同援早１．０・日１．５・基礎・２人・盲ろう・区４</t>
  </si>
  <si>
    <t>同援早１．０・日２．０</t>
  </si>
  <si>
    <t>同援早１．０・日２．０・２人</t>
  </si>
  <si>
    <t>同援早１．０・日２．０・基礎</t>
  </si>
  <si>
    <t>同援早１．０・日２．０・基礎・２人</t>
  </si>
  <si>
    <t>同援早１．０・日２．０・盲ろう</t>
  </si>
  <si>
    <t>同援早１．０・日２．０・２人・盲ろう</t>
  </si>
  <si>
    <t>同援早１．０・日２．０・基礎・盲ろう</t>
  </si>
  <si>
    <t>同援早１．０・日２．０・基礎・２人・盲ろう</t>
  </si>
  <si>
    <t>同援早１．０・日２．０・区３</t>
  </si>
  <si>
    <t>同援早１．０・日２．０・２人・区３</t>
  </si>
  <si>
    <t>同援早１．０・日２．０・基礎・区３</t>
  </si>
  <si>
    <t>同援早１．０・日２．０・基礎・２人・区３</t>
  </si>
  <si>
    <t>同援早１．０・日２．０・盲ろう・区３</t>
  </si>
  <si>
    <t>同援早１．０・日２．０・２人・盲ろう・区３</t>
  </si>
  <si>
    <t>同援早１．０・日２．０・基礎・盲ろう・区３</t>
  </si>
  <si>
    <t>同援早１．０・日２．０・基礎・２人・盲ろう・区３</t>
  </si>
  <si>
    <t>同援早１．０・日２．０・区４</t>
  </si>
  <si>
    <t>同援早１．０・日２．０・２人・区４</t>
  </si>
  <si>
    <t>同援早１．０・日２．０・基礎・区４</t>
  </si>
  <si>
    <t>同援早１．０・日２．０・基礎・２人・区４</t>
  </si>
  <si>
    <t>同援早１．０・日２．０・盲ろう・区４</t>
  </si>
  <si>
    <t>同援早１．０・日２．０・２人・盲ろう・区４</t>
  </si>
  <si>
    <t>同援早１．０・日２．０・基礎・盲ろう・区４</t>
  </si>
  <si>
    <t>同援早１．０・日２．０・基礎・２人・盲ろう・区４</t>
  </si>
  <si>
    <t>同援早１．５・日０．５</t>
  </si>
  <si>
    <t>同援早１．５・日０．５・２人</t>
  </si>
  <si>
    <t>同援早１．５・日０．５・基礎</t>
  </si>
  <si>
    <t>同援早１．５・日０．５・基礎・２人</t>
  </si>
  <si>
    <t>同援早１．５・日０．５・盲ろう</t>
  </si>
  <si>
    <t>同援早１．５・日０．５・２人・盲ろう</t>
  </si>
  <si>
    <t>同援早１．５・日０．５・基礎・盲ろう</t>
  </si>
  <si>
    <t>同援早１．５・日０．５・基礎・２人・盲ろう</t>
  </si>
  <si>
    <t>同援早１．５・日０．５・区３</t>
  </si>
  <si>
    <t>同援早１．５・日０．５・２人・区３</t>
  </si>
  <si>
    <t>同援早１．５・日０．５・基礎・区３</t>
  </si>
  <si>
    <t>同援早１．５・日０．５・基礎・２人・区３</t>
  </si>
  <si>
    <t>同援早１．５・日０．５・盲ろう・区３</t>
  </si>
  <si>
    <t>同援早１．５・日０．５・２人・盲ろう・区３</t>
  </si>
  <si>
    <t>同援早１．５・日０．５・基礎・盲ろう・区３</t>
  </si>
  <si>
    <t>同援早１．５・日０．５・基礎・２人・盲ろう・区３</t>
  </si>
  <si>
    <t>同援早１．５・日０．５・区４</t>
  </si>
  <si>
    <t>同援早１．５・日０．５・２人・区４</t>
  </si>
  <si>
    <t>同援早１．５・日０．５・基礎・区４</t>
  </si>
  <si>
    <t>同援早１．５・日０．５・基礎・２人・区４</t>
  </si>
  <si>
    <t>同援早１．５・日０．５・盲ろう・区４</t>
  </si>
  <si>
    <t>同援早１．５・日０．５・２人・盲ろう・区４</t>
  </si>
  <si>
    <t>同援早１．５・日０．５・基礎・盲ろう・区４</t>
  </si>
  <si>
    <t>同援早１．５・日０．５・基礎・２人・盲ろう・区４</t>
  </si>
  <si>
    <t>同援早１．５・日１．０</t>
  </si>
  <si>
    <t>同援早１．５・日１．０・２人</t>
  </si>
  <si>
    <t>同援早１．５・日１．０・基礎</t>
  </si>
  <si>
    <t>同援早１．５・日１．０・基礎・２人</t>
  </si>
  <si>
    <t>同援早１．５・日１．０・盲ろう</t>
  </si>
  <si>
    <t>同援早１．５・日１．０・２人・盲ろう</t>
  </si>
  <si>
    <t>同援早１．５・日１．０・基礎・盲ろう</t>
  </si>
  <si>
    <t>同援早１．５・日１．０・基礎・２人・盲ろう</t>
  </si>
  <si>
    <t>同援早１．５・日１．０・区３</t>
  </si>
  <si>
    <t>同援早１．５・日１．０・２人・区３</t>
  </si>
  <si>
    <t>同援早１．５・日１．０・基礎・区３</t>
  </si>
  <si>
    <t>同援早１．５・日１．０・基礎・２人・区３</t>
  </si>
  <si>
    <t>同援早１．５・日１．０・盲ろう・区３</t>
  </si>
  <si>
    <t>同援早１．５・日１．０・２人・盲ろう・区３</t>
  </si>
  <si>
    <t>同援早１．５・日１．０・基礎・盲ろう・区３</t>
  </si>
  <si>
    <t>同援早１．５・日１．０・基礎・２人・盲ろう・区３</t>
  </si>
  <si>
    <t>同援早１．５・日１．０・区４</t>
  </si>
  <si>
    <t>同援早１．５・日１．０・２人・区４</t>
  </si>
  <si>
    <t>同援早１．５・日１．０・基礎・区４</t>
  </si>
  <si>
    <t>同援早１．５・日１．０・基礎・２人・区４</t>
  </si>
  <si>
    <t>同援早１．５・日１．０・盲ろう・区４</t>
  </si>
  <si>
    <t>同援早１．５・日１．０・２人・盲ろう・区４</t>
  </si>
  <si>
    <t>同援早１．５・日１．０・基礎・盲ろう・区４</t>
  </si>
  <si>
    <t>同援早１．５・日１．０・基礎・２人・盲ろう・区４</t>
  </si>
  <si>
    <t>同援早１．５・日１．５</t>
  </si>
  <si>
    <t>同援早１．５・日１．５・２人</t>
  </si>
  <si>
    <t>同援早１．５・日１．５・基礎</t>
  </si>
  <si>
    <t>同援早１．５・日１．５・基礎・２人</t>
  </si>
  <si>
    <t>同援早１．５・日１．５・盲ろう</t>
  </si>
  <si>
    <t>同援早１．５・日１．５・２人・盲ろう</t>
  </si>
  <si>
    <t>同援早１．５・日１．５・基礎・盲ろう</t>
  </si>
  <si>
    <t>同援早１．５・日１．５・基礎・２人・盲ろう</t>
  </si>
  <si>
    <t>同援早１．５・日１．５・区３</t>
  </si>
  <si>
    <t>同援早１．５・日１．５・２人・区３</t>
  </si>
  <si>
    <t>同援早１．５・日１．５・基礎・区３</t>
  </si>
  <si>
    <t>同援早１．５・日１．５・基礎・２人・区３</t>
  </si>
  <si>
    <t>同援早１．５・日１．５・盲ろう・区３</t>
  </si>
  <si>
    <t>同援早１．５・日１．５・２人・盲ろう・区３</t>
  </si>
  <si>
    <t>同援早１．５・日１．５・基礎・盲ろう・区３</t>
  </si>
  <si>
    <t>同援早１．５・日１．５・基礎・２人・盲ろう・区３</t>
  </si>
  <si>
    <t>同援早１．５・日１．５・区４</t>
  </si>
  <si>
    <t>同援早１．５・日１．５・２人・区４</t>
  </si>
  <si>
    <t>同援早１．５・日１．５・基礎・区４</t>
  </si>
  <si>
    <t>同援早１．５・日１．５・基礎・２人・区４</t>
  </si>
  <si>
    <t>同援早１．５・日１．５・盲ろう・区４</t>
  </si>
  <si>
    <t>同援早１．５・日１．５・２人・盲ろう・区４</t>
  </si>
  <si>
    <t>同援早１．５・日１．５・基礎・盲ろう・区４</t>
  </si>
  <si>
    <t>同援早１．５・日１．５・基礎・２人・盲ろう・区４</t>
  </si>
  <si>
    <t>同援早２．０・日０．５</t>
  </si>
  <si>
    <t>同援早２．０・日０．５・２人</t>
  </si>
  <si>
    <t>同援早２．０・日０．５・基礎</t>
  </si>
  <si>
    <t>同援早２．０・日０．５・基礎・２人</t>
  </si>
  <si>
    <t>同援早２．０・日０．５・盲ろう</t>
  </si>
  <si>
    <t>同援早２．０・日０．５・２人・盲ろう</t>
  </si>
  <si>
    <t>同援早２．０・日０．５・基礎・盲ろう</t>
  </si>
  <si>
    <t>同援早２．０・日０．５・基礎・２人・盲ろう</t>
  </si>
  <si>
    <t>同援早２．０・日０．５・区３</t>
  </si>
  <si>
    <t>同援早２．０・日０．５・２人・区３</t>
  </si>
  <si>
    <t>同援早２．０・日０．５・基礎・区３</t>
  </si>
  <si>
    <t>同援早２．０・日０．５・基礎・２人・区３</t>
  </si>
  <si>
    <t>同援早２．０・日０．５・盲ろう・区３</t>
  </si>
  <si>
    <t>同援早２．０・日０．５・２人・盲ろう・区３</t>
  </si>
  <si>
    <t>同援早２．０・日０．５・基礎・盲ろう・区３</t>
  </si>
  <si>
    <t>同援早２．０・日０．５・基礎・２人・盲ろう・区３</t>
  </si>
  <si>
    <t>同援早２．０・日０．５・区４</t>
  </si>
  <si>
    <t>同援早２．０・日０．５・２人・区４</t>
  </si>
  <si>
    <t>同援早２．０・日０．５・基礎・区４</t>
  </si>
  <si>
    <t>同援早２．０・日０．５・基礎・２人・区４</t>
  </si>
  <si>
    <t>同援早２．０・日０．５・盲ろう・区４</t>
  </si>
  <si>
    <t>同援早２．０・日０．５・２人・盲ろう・区４</t>
  </si>
  <si>
    <t>同援早２．０・日０．５・基礎・盲ろう・区４</t>
  </si>
  <si>
    <t>同援早２．０・日０．５・基礎・２人・盲ろう・区４</t>
  </si>
  <si>
    <t>同援早２．０・日１．０</t>
  </si>
  <si>
    <t>同援早２．０・日１．０・２人</t>
  </si>
  <si>
    <t>同援早２．０・日１．０・基礎</t>
  </si>
  <si>
    <t>同援早２．０・日１．０・基礎・２人</t>
  </si>
  <si>
    <t>同援早２．０・日１．０・盲ろう</t>
  </si>
  <si>
    <t>同援早２．０・日１．０・２人・盲ろう</t>
  </si>
  <si>
    <t>同援早２．０・日１．０・基礎・盲ろう</t>
  </si>
  <si>
    <t>同援早２．０・日１．０・基礎・２人・盲ろう</t>
  </si>
  <si>
    <t>同援早２．０・日１．０・区３</t>
  </si>
  <si>
    <t>同援早２．０・日１．０・２人・区３</t>
  </si>
  <si>
    <t>同援早２．０・日１．０・基礎・区３</t>
  </si>
  <si>
    <t>同援早２．０・日１．０・基礎・２人・区３</t>
  </si>
  <si>
    <t>同援早２．０・日１．０・盲ろう・区３</t>
  </si>
  <si>
    <t>同援早２．０・日１．０・２人・盲ろう・区３</t>
  </si>
  <si>
    <t>同援早２．０・日１．０・基礎・盲ろう・区３</t>
  </si>
  <si>
    <t>同援早２．０・日１．０・基礎・２人・盲ろう・区３</t>
  </si>
  <si>
    <t>同援早２．０・日１．０・区４</t>
  </si>
  <si>
    <t>同援早２．０・日１．０・２人・区４</t>
  </si>
  <si>
    <t>同援早２．０・日１．０・基礎・区４</t>
  </si>
  <si>
    <t>同援早２．０・日１．０・基礎・２人・区４</t>
  </si>
  <si>
    <t>同援早２．０・日１．０・盲ろう・区４</t>
  </si>
  <si>
    <t>同援早２．０・日１．０・２人・盲ろう・区４</t>
  </si>
  <si>
    <t>同援早２．０・日１．０・基礎・盲ろう・区４</t>
  </si>
  <si>
    <t>同援早２．０・日１．０・基礎・２人・盲ろう・区４</t>
  </si>
  <si>
    <t>同援早２．５・日０．５</t>
  </si>
  <si>
    <t>同援早２．５・日０．５・２人</t>
  </si>
  <si>
    <t>同援早２．５・日０．５・基礎</t>
  </si>
  <si>
    <t>同援早２．５・日０．５・基礎・２人</t>
  </si>
  <si>
    <t>同援早２．５・日０．５・盲ろう</t>
  </si>
  <si>
    <t>同援早２．５・日０．５・２人・盲ろう</t>
  </si>
  <si>
    <t>同援早２．５・日０．５・基礎・盲ろう</t>
  </si>
  <si>
    <t>同援早２．５・日０．５・基礎・２人・盲ろう</t>
  </si>
  <si>
    <t>同援早２．５・日０．５・区３</t>
  </si>
  <si>
    <t>同援早２．５・日０．５・２人・区３</t>
  </si>
  <si>
    <t>同援早２．５・日０．５・基礎・区３</t>
  </si>
  <si>
    <t>同援早２．５・日０．５・基礎・２人・区３</t>
  </si>
  <si>
    <t>同援早２．５・日０．５・盲ろう・区３</t>
  </si>
  <si>
    <t>同援早２．５・日０．５・２人・盲ろう・区３</t>
  </si>
  <si>
    <t>同援早２．５・日０．５・基礎・盲ろう・区３</t>
  </si>
  <si>
    <t>同援早２．５・日０．５・基礎・２人・盲ろう・区３</t>
  </si>
  <si>
    <t>同援早２．５・日０．５・区４</t>
  </si>
  <si>
    <t>同援早２．５・日０．５・２人・区４</t>
  </si>
  <si>
    <t>同援早２．５・日０．５・基礎・区４</t>
  </si>
  <si>
    <t>同援早２．５・日０．５・基礎・２人・区４</t>
  </si>
  <si>
    <t>同援早２．５・日０．５・盲ろう・区４</t>
  </si>
  <si>
    <t>同援早２．５・日０．５・２人・盲ろう・区４</t>
  </si>
  <si>
    <t>同援早２．５・日０．５・基礎・盲ろう・区４</t>
  </si>
  <si>
    <t>同援早２．５・日０．５・基礎・２人・盲ろう・区４</t>
  </si>
  <si>
    <t>（日中＋夜間）</t>
    <phoneticPr fontId="1"/>
  </si>
  <si>
    <t>同援日０．５・夜０．５</t>
  </si>
  <si>
    <t>(1)夜間</t>
    <phoneticPr fontId="1"/>
  </si>
  <si>
    <t>同援日０．５・夜０．５・２人</t>
  </si>
  <si>
    <t>同援日０．５・夜０．５・基礎</t>
  </si>
  <si>
    <t>同援日０．５・夜０．５・基礎・２人</t>
  </si>
  <si>
    <t>同援日０．５・夜０．５・盲ろう</t>
  </si>
  <si>
    <t>同援日０．５・夜０．５・２人・盲ろう</t>
  </si>
  <si>
    <t>同援日０．５・夜０．５・基礎・盲ろう</t>
  </si>
  <si>
    <t>同援日０．５・夜０．５・基礎・２人・盲ろう</t>
  </si>
  <si>
    <t>同援日０．５・夜０．５・区３</t>
  </si>
  <si>
    <t>同援日０．５・夜０．５・２人・区３</t>
  </si>
  <si>
    <t>同援日０．５・夜０．５・基礎・区３</t>
  </si>
  <si>
    <t>同援日０．５・夜０．５・基礎・２人・区３</t>
  </si>
  <si>
    <t>同援日０．５・夜０．５・盲ろう・区３</t>
  </si>
  <si>
    <t>同援日０．５・夜０．５・２人・盲ろう・区３</t>
  </si>
  <si>
    <t>同援日０．５・夜０．５・基礎・盲ろう・区３</t>
  </si>
  <si>
    <t>同援日０．５・夜０．５・基礎・２人・盲ろう・区３</t>
  </si>
  <si>
    <t>同援日０．５・夜０．５・区４</t>
  </si>
  <si>
    <t>同援日０．５・夜０．５・２人・区４</t>
  </si>
  <si>
    <t>同援日０．５・夜０．５・基礎・区４</t>
  </si>
  <si>
    <t>同援日０．５・夜０．５・基礎・２人・区４</t>
  </si>
  <si>
    <t>同援日０．５・夜０．５・盲ろう・区４</t>
  </si>
  <si>
    <t>同援日０．５・夜０．５・２人・盲ろう・区４</t>
  </si>
  <si>
    <t>同援日０．５・夜０．５・基礎・盲ろう・区４</t>
  </si>
  <si>
    <t>同援日０．５・夜０．５・基礎・２人・盲ろう・区４</t>
  </si>
  <si>
    <t>同援日０．５・夜１．０</t>
  </si>
  <si>
    <t>(2)夜間</t>
    <phoneticPr fontId="1"/>
  </si>
  <si>
    <t>同援日０．５・夜１．０・２人</t>
  </si>
  <si>
    <t>同援日０．５・夜１．０・基礎</t>
  </si>
  <si>
    <t>同援日０．５・夜１．０・基礎・２人</t>
  </si>
  <si>
    <t>同援日０．５・夜１．０・盲ろう</t>
  </si>
  <si>
    <t>同援日０．５・夜１．０・２人・盲ろう</t>
  </si>
  <si>
    <t>同援日０．５・夜１．０・基礎・盲ろう</t>
  </si>
  <si>
    <t>同援日０．５・夜１．０・基礎・２人・盲ろう</t>
  </si>
  <si>
    <t>同援日０．５・夜１．０・区３</t>
  </si>
  <si>
    <t>同援日０．５・夜１．０・２人・区３</t>
  </si>
  <si>
    <t>同援日０．５・夜１．０・基礎・区３</t>
  </si>
  <si>
    <t>同援日０．５・夜１．０・基礎・２人・区３</t>
  </si>
  <si>
    <t>同援日０．５・夜１．０・盲ろう・区３</t>
  </si>
  <si>
    <t>同援日０．５・夜１．０・２人・盲ろう・区３</t>
  </si>
  <si>
    <t>同援日０．５・夜１．０・基礎・盲ろう・区３</t>
  </si>
  <si>
    <t>同援日０．５・夜１．０・基礎・２人・盲ろう・区３</t>
  </si>
  <si>
    <t>同援日０．５・夜１．０・区４</t>
  </si>
  <si>
    <t>同援日０．５・夜１．０・２人・区４</t>
  </si>
  <si>
    <t>同援日０．５・夜１．０・基礎・区４</t>
  </si>
  <si>
    <t>同援日０．５・夜１．０・基礎・２人・区４</t>
  </si>
  <si>
    <t>同援日０．５・夜１．０・盲ろう・区４</t>
  </si>
  <si>
    <t>同援日０．５・夜１．０・２人・盲ろう・区４</t>
  </si>
  <si>
    <t>同援日０．５・夜１．０・基礎・盲ろう・区４</t>
  </si>
  <si>
    <t>同援日０．５・夜１．０・基礎・２人・盲ろう・区４</t>
  </si>
  <si>
    <t>同援日０．５・夜１．５</t>
  </si>
  <si>
    <t>(3)夜間</t>
    <phoneticPr fontId="1"/>
  </si>
  <si>
    <t>同援日０．５・夜１．５・２人</t>
  </si>
  <si>
    <t>同援日０．５・夜１．５・基礎</t>
  </si>
  <si>
    <t>同援日０．５・夜１．５・基礎・２人</t>
  </si>
  <si>
    <t>同援日０．５・夜１．５・盲ろう</t>
  </si>
  <si>
    <t>同援日０．５・夜１．５・２人・盲ろう</t>
  </si>
  <si>
    <t>同援日０．５・夜１．５・基礎・盲ろう</t>
  </si>
  <si>
    <t>同援日０．５・夜１．５・基礎・２人・盲ろう</t>
  </si>
  <si>
    <t>同援日０．５・夜１．５・区３</t>
  </si>
  <si>
    <t>同援日０．５・夜１．５・２人・区３</t>
  </si>
  <si>
    <t>同援日０．５・夜１．５・基礎・区３</t>
  </si>
  <si>
    <t>同援日０．５・夜１．５・基礎・２人・区３</t>
  </si>
  <si>
    <t>同援日０．５・夜１．５・盲ろう・区３</t>
  </si>
  <si>
    <t>同援日０．５・夜１．５・２人・盲ろう・区３</t>
  </si>
  <si>
    <t>同援日０．５・夜１．５・基礎・盲ろう・区３</t>
  </si>
  <si>
    <t>同援日０．５・夜１．５・基礎・２人・盲ろう・区３</t>
  </si>
  <si>
    <t>同援日０．５・夜１．５・区４</t>
  </si>
  <si>
    <t>同援日０．５・夜１．５・２人・区４</t>
  </si>
  <si>
    <t>同援日０．５・夜１．５・基礎・区４</t>
  </si>
  <si>
    <t>同援日０．５・夜１．５・基礎・２人・区４</t>
  </si>
  <si>
    <t>同援日０．５・夜１．５・盲ろう・区４</t>
  </si>
  <si>
    <t>同援日０．５・夜１．５・２人・盲ろう・区４</t>
  </si>
  <si>
    <t>同援日０．５・夜１．５・基礎・盲ろう・区４</t>
  </si>
  <si>
    <t>同援日０．５・夜１．５・基礎・２人・盲ろう・区４</t>
  </si>
  <si>
    <t>同援日０．５・夜２．０</t>
  </si>
  <si>
    <t>(4)夜間</t>
    <phoneticPr fontId="1"/>
  </si>
  <si>
    <t>同援日０．５・夜２．０・２人</t>
  </si>
  <si>
    <t>同援日０．５・夜２．０・基礎</t>
  </si>
  <si>
    <t>同援日０．５・夜２．０・基礎・２人</t>
  </si>
  <si>
    <t>同援日０．５・夜２．０・盲ろう</t>
  </si>
  <si>
    <t>同援日０．５・夜２．０・２人・盲ろう</t>
  </si>
  <si>
    <t>同援日０．５・夜２．０・基礎・盲ろう</t>
  </si>
  <si>
    <t>同援日０．５・夜２．０・基礎・２人・盲ろう</t>
  </si>
  <si>
    <t>同援日０．５・夜２．０・区３</t>
  </si>
  <si>
    <t>同援日０．５・夜２．０・２人・区３</t>
  </si>
  <si>
    <t>同援日０．５・夜２．０・基礎・区３</t>
  </si>
  <si>
    <t>同援日０．５・夜２．０・基礎・２人・区３</t>
  </si>
  <si>
    <t>同援日０．５・夜２．０・盲ろう・区３</t>
  </si>
  <si>
    <t>同援日０．５・夜２．０・２人・盲ろう・区３</t>
  </si>
  <si>
    <t>同援日０．５・夜２．０・基礎・盲ろう・区３</t>
  </si>
  <si>
    <t>同援日０．５・夜２．０・基礎・２人・盲ろう・区３</t>
  </si>
  <si>
    <t>同援日０．５・夜２．０・区４</t>
  </si>
  <si>
    <t>同援日０．５・夜２．０・２人・区４</t>
  </si>
  <si>
    <t>同援日０．５・夜２．０・基礎・区４</t>
  </si>
  <si>
    <t>同援日０．５・夜２．０・基礎・２人・区４</t>
  </si>
  <si>
    <t>同援日０．５・夜２．０・盲ろう・区４</t>
  </si>
  <si>
    <t>同援日０．５・夜２．０・２人・盲ろう・区４</t>
  </si>
  <si>
    <t>同援日０．５・夜２．０・基礎・盲ろう・区４</t>
  </si>
  <si>
    <t>同援日０．５・夜２．０・基礎・２人・盲ろう・区４</t>
  </si>
  <si>
    <t>同援日０．５・夜２．５</t>
  </si>
  <si>
    <t>(5)夜間</t>
    <phoneticPr fontId="1"/>
  </si>
  <si>
    <t>同援日０．５・夜２．５・２人</t>
  </si>
  <si>
    <t>同援日０．５・夜２．５・基礎</t>
  </si>
  <si>
    <t>同援日０．５・夜２．５・基礎・２人</t>
  </si>
  <si>
    <t>同援日０．５・夜２．５・盲ろう</t>
  </si>
  <si>
    <t>同援日０．５・夜２．５・２人・盲ろう</t>
  </si>
  <si>
    <t>同援日０．５・夜２．５・基礎・盲ろう</t>
  </si>
  <si>
    <t>同援日０．５・夜２．５・基礎・２人・盲ろう</t>
  </si>
  <si>
    <t>同援日０．５・夜２．５・区３</t>
  </si>
  <si>
    <t>同援日０．５・夜２．５・２人・区３</t>
  </si>
  <si>
    <t>同援日０．５・夜２．５・基礎・区３</t>
  </si>
  <si>
    <t>同援日０．５・夜２．５・基礎・２人・区３</t>
  </si>
  <si>
    <t>同援日０．５・夜２．５・盲ろう・区３</t>
  </si>
  <si>
    <t>同援日０．５・夜２．５・２人・盲ろう・区３</t>
  </si>
  <si>
    <t>同援日０．５・夜２．５・基礎・盲ろう・区３</t>
  </si>
  <si>
    <t>同援日０．５・夜２．５・基礎・２人・盲ろう・区３</t>
  </si>
  <si>
    <t>同援日０．５・夜２．５・区４</t>
  </si>
  <si>
    <t>同援日０．５・夜２．５・２人・区４</t>
  </si>
  <si>
    <t>同援日０．５・夜２．５・基礎・区４</t>
  </si>
  <si>
    <t>同援日０．５・夜２．５・基礎・２人・区４</t>
  </si>
  <si>
    <t>同援日０．５・夜２．５・盲ろう・区４</t>
  </si>
  <si>
    <t>同援日０．５・夜２．５・２人・盲ろう・区４</t>
  </si>
  <si>
    <t>同援日０．５・夜２．５・基礎・盲ろう・区４</t>
  </si>
  <si>
    <t>同援日０．５・夜２．５・基礎・２人・盲ろう・区４</t>
  </si>
  <si>
    <t>同援日１．０・夜０．５</t>
  </si>
  <si>
    <t>同援日１．０・夜０．５・２人</t>
  </si>
  <si>
    <t>同援日１．０・夜０．５・基礎</t>
  </si>
  <si>
    <t>同援日１．０・夜０．５・基礎・２人</t>
  </si>
  <si>
    <t>同援日１．０・夜０．５・盲ろう</t>
  </si>
  <si>
    <t>同援日１．０・夜０．５・２人・盲ろう</t>
  </si>
  <si>
    <t>同援日１．０・夜０．５・基礎・盲ろう</t>
  </si>
  <si>
    <t>同援日１．０・夜０．５・基礎・２人・盲ろう</t>
  </si>
  <si>
    <t>同援日１．０・夜０．５・区３</t>
  </si>
  <si>
    <t>同援日１．０・夜０．５・２人・区３</t>
  </si>
  <si>
    <t>同援日１．０・夜０．５・基礎・区３</t>
  </si>
  <si>
    <t>同援日１．０・夜０．５・基礎・２人・区３</t>
  </si>
  <si>
    <t>同援日１．０・夜０．５・盲ろう・区３</t>
  </si>
  <si>
    <t>同援日１．０・夜０．５・２人・盲ろう・区３</t>
  </si>
  <si>
    <t>同援日１．０・夜０．５・基礎・盲ろう・区３</t>
  </si>
  <si>
    <t>同援日１．０・夜０．５・基礎・２人・盲ろう・区３</t>
  </si>
  <si>
    <t>同援日１．０・夜０．５・区４</t>
  </si>
  <si>
    <t>同援日１．０・夜０．５・２人・区４</t>
  </si>
  <si>
    <t>同援日１．０・夜０．５・基礎・区４</t>
  </si>
  <si>
    <t>同援日１．０・夜０．５・基礎・２人・区４</t>
  </si>
  <si>
    <t>同援日１．０・夜０．５・盲ろう・区４</t>
  </si>
  <si>
    <t>同援日１．０・夜０．５・２人・盲ろう・区４</t>
  </si>
  <si>
    <t>同援日１．０・夜０．５・基礎・盲ろう・区４</t>
  </si>
  <si>
    <t>同援日１．０・夜０．５・基礎・２人・盲ろう・区４</t>
  </si>
  <si>
    <t>同援日１．０・夜１．０</t>
  </si>
  <si>
    <t>同援日１．０・夜１．０・２人</t>
  </si>
  <si>
    <t>同援日１．０・夜１．０・基礎</t>
  </si>
  <si>
    <t>同援日１．０・夜１．０・基礎・２人</t>
  </si>
  <si>
    <t>同援日１．０・夜１．０・盲ろう</t>
  </si>
  <si>
    <t>同援日１．０・夜１．０・２人・盲ろう</t>
  </si>
  <si>
    <t>同援日１．０・夜１．０・基礎・盲ろう</t>
  </si>
  <si>
    <t>同援日１．０・夜１．０・基礎・２人・盲ろう</t>
  </si>
  <si>
    <t>同援日１．０・夜１．０・区３</t>
  </si>
  <si>
    <t>同援日１．０・夜１．０・２人・区３</t>
  </si>
  <si>
    <t>同援日１．０・夜１．０・基礎・区３</t>
  </si>
  <si>
    <t>同援日１．０・夜１．０・基礎・２人・区３</t>
  </si>
  <si>
    <t>同援日１．０・夜１．０・盲ろう・区３</t>
  </si>
  <si>
    <t>同援日１．０・夜１．０・２人・盲ろう・区３</t>
  </si>
  <si>
    <t>同援日１．０・夜１．０・基礎・盲ろう・区３</t>
  </si>
  <si>
    <t>同援日１．０・夜１．０・基礎・２人・盲ろう・区３</t>
  </si>
  <si>
    <t>同援日１．０・夜１．０・区４</t>
  </si>
  <si>
    <t>同援日１．０・夜１．０・２人・区４</t>
  </si>
  <si>
    <t>同援日１．０・夜１．０・基礎・区４</t>
  </si>
  <si>
    <t>同援日１．０・夜１．０・基礎・２人・区４</t>
  </si>
  <si>
    <t>同援日１．０・夜１．０・盲ろう・区４</t>
  </si>
  <si>
    <t>同援日１．０・夜１．０・２人・盲ろう・区４</t>
  </si>
  <si>
    <t>同援日１．０・夜１．０・基礎・盲ろう・区４</t>
  </si>
  <si>
    <t>同援日１．０・夜１．０・基礎・２人・盲ろう・区４</t>
  </si>
  <si>
    <t>同援日１．０・夜１．５</t>
  </si>
  <si>
    <t>同援日１．０・夜１．５・２人</t>
  </si>
  <si>
    <t>同援日１．０・夜１．５・基礎</t>
  </si>
  <si>
    <t>同援日１．０・夜１．５・基礎・２人</t>
  </si>
  <si>
    <t>同援日１．０・夜１．５・盲ろう</t>
  </si>
  <si>
    <t>同援日１．０・夜１．５・２人・盲ろう</t>
  </si>
  <si>
    <t>同援日１．０・夜１．５・基礎・盲ろう</t>
  </si>
  <si>
    <t>同援日１．０・夜１．５・基礎・２人・盲ろう</t>
  </si>
  <si>
    <t>同援日１．０・夜１．５・区３</t>
  </si>
  <si>
    <t>同援日１．０・夜１．５・２人・区３</t>
  </si>
  <si>
    <t>同援日１．０・夜１．５・基礎・区３</t>
  </si>
  <si>
    <t>同援日１．０・夜１．５・基礎・２人・区３</t>
  </si>
  <si>
    <t>同援日１．０・夜１．５・盲ろう・区３</t>
  </si>
  <si>
    <t>同援日１．０・夜１．５・２人・盲ろう・区３</t>
  </si>
  <si>
    <t>同援日１．０・夜１．５・基礎・盲ろう・区３</t>
  </si>
  <si>
    <t>同援日１．０・夜１．５・基礎・２人・盲ろう・区３</t>
  </si>
  <si>
    <t>同援日１．０・夜１．５・区４</t>
  </si>
  <si>
    <t>同援日１．０・夜１．５・２人・区４</t>
  </si>
  <si>
    <t>同援日１．０・夜１．５・基礎・区４</t>
  </si>
  <si>
    <t>同援日１．０・夜１．５・基礎・２人・区４</t>
  </si>
  <si>
    <t>同援日１．０・夜１．５・盲ろう・区４</t>
  </si>
  <si>
    <t>同援日１．０・夜１．５・２人・盲ろう・区４</t>
  </si>
  <si>
    <t>同援日１．０・夜１．５・基礎・盲ろう・区４</t>
  </si>
  <si>
    <t>同援日１．０・夜１．５・基礎・２人・盲ろう・区４</t>
  </si>
  <si>
    <t>同援日１．０・夜２．０</t>
  </si>
  <si>
    <t>同援日１．０・夜２．０・２人</t>
  </si>
  <si>
    <t>同援日１．０・夜２．０・基礎</t>
  </si>
  <si>
    <t>同援日１．０・夜２．０・基礎・２人</t>
  </si>
  <si>
    <t>同援日１．０・夜２．０・盲ろう</t>
  </si>
  <si>
    <t>同援日１．０・夜２．０・２人・盲ろう</t>
  </si>
  <si>
    <t>同援日１．０・夜２．０・基礎・盲ろう</t>
  </si>
  <si>
    <t>同援日１．０・夜２．０・基礎・２人・盲ろう</t>
  </si>
  <si>
    <t>同援日１．０・夜２．０・区３</t>
  </si>
  <si>
    <t>同援日１．０・夜２．０・２人・区３</t>
  </si>
  <si>
    <t>同援日１．０・夜２．０・基礎・区３</t>
  </si>
  <si>
    <t>同援日１．０・夜２．０・基礎・２人・区３</t>
  </si>
  <si>
    <t>同援日１．０・夜２．０・盲ろう・区３</t>
  </si>
  <si>
    <t>同援日１．０・夜２．０・２人・盲ろう・区３</t>
  </si>
  <si>
    <t>同援日１．０・夜２．０・基礎・盲ろう・区３</t>
  </si>
  <si>
    <t>同援日１．０・夜２．０・基礎・２人・盲ろう・区３</t>
  </si>
  <si>
    <t>同援日１．０・夜２．０・区４</t>
  </si>
  <si>
    <t>同援日１．０・夜２．０・２人・区４</t>
  </si>
  <si>
    <t>同援日１．０・夜２．０・基礎・区４</t>
  </si>
  <si>
    <t>同援日１．０・夜２．０・基礎・２人・区４</t>
  </si>
  <si>
    <t>同援日１．０・夜２．０・盲ろう・区４</t>
  </si>
  <si>
    <t>同援日１．０・夜２．０・２人・盲ろう・区４</t>
  </si>
  <si>
    <t>同援日１．０・夜２．０・基礎・盲ろう・区４</t>
  </si>
  <si>
    <t>同援日１．０・夜２．０・基礎・２人・盲ろう・区４</t>
  </si>
  <si>
    <t>同援日１．５・夜０．５</t>
  </si>
  <si>
    <t>同援日１．５・夜０．５・２人</t>
  </si>
  <si>
    <t>同援日１．５・夜０．５・基礎</t>
  </si>
  <si>
    <t>同援日１．５・夜０．５・基礎・２人</t>
  </si>
  <si>
    <t>同援日１．５・夜０．５・盲ろう</t>
  </si>
  <si>
    <t>同援日１．５・夜０．５・２人・盲ろう</t>
  </si>
  <si>
    <t>同援日１．５・夜０．５・基礎・盲ろう</t>
  </si>
  <si>
    <t>同援日１．５・夜０．５・基礎・２人・盲ろう</t>
  </si>
  <si>
    <t>同援日１．５・夜０．５・区３</t>
  </si>
  <si>
    <t>同援日１．５・夜０．５・２人・区３</t>
  </si>
  <si>
    <t>同援日１．５・夜０．５・基礎・区３</t>
  </si>
  <si>
    <t>同援日１．５・夜０．５・基礎・２人・区３</t>
  </si>
  <si>
    <t>同援日１．５・夜０．５・盲ろう・区３</t>
  </si>
  <si>
    <t>同援日１．５・夜０．５・２人・盲ろう・区３</t>
  </si>
  <si>
    <t>同援日１．５・夜０．５・基礎・盲ろう・区３</t>
  </si>
  <si>
    <t>同援日１．５・夜０．５・基礎・２人・盲ろう・区３</t>
  </si>
  <si>
    <t>同援日１．５・夜０．５・区４</t>
  </si>
  <si>
    <t>同援日１．５・夜０．５・２人・区４</t>
  </si>
  <si>
    <t>同援日１．５・夜０．５・基礎・区４</t>
  </si>
  <si>
    <t>同援日１．５・夜０．５・基礎・２人・区４</t>
  </si>
  <si>
    <t>同援日１．５・夜０．５・盲ろう・区４</t>
  </si>
  <si>
    <t>同援日１．５・夜０．５・２人・盲ろう・区４</t>
  </si>
  <si>
    <t>同援日１．５・夜０．５・基礎・盲ろう・区４</t>
  </si>
  <si>
    <t>同援日１．５・夜０．５・基礎・２人・盲ろう・区４</t>
  </si>
  <si>
    <t>同援日１．５・夜１．０</t>
  </si>
  <si>
    <t>同援日１．５・夜１．０・２人</t>
  </si>
  <si>
    <t>同援日１．５・夜１．０・基礎</t>
  </si>
  <si>
    <t>同援日１．５・夜１．０・基礎・２人</t>
  </si>
  <si>
    <t>同援日１．５・夜１．０・盲ろう</t>
  </si>
  <si>
    <t>同援日１．５・夜１．０・２人・盲ろう</t>
  </si>
  <si>
    <t>同援日１．５・夜１．０・基礎・盲ろう</t>
  </si>
  <si>
    <t>同援日１．５・夜１．０・基礎・２人・盲ろう</t>
  </si>
  <si>
    <t>同援日１．５・夜１．０・区３</t>
  </si>
  <si>
    <t>同援日１．５・夜１．０・２人・区３</t>
  </si>
  <si>
    <t>同援日１．５・夜１．０・基礎・区３</t>
  </si>
  <si>
    <t>同援日１．５・夜１．０・基礎・２人・区３</t>
  </si>
  <si>
    <t>同援日１．５・夜１．０・盲ろう・区３</t>
  </si>
  <si>
    <t>同援日１．５・夜１．０・２人・盲ろう・区３</t>
  </si>
  <si>
    <t>同援日１．５・夜１．０・基礎・盲ろう・区３</t>
  </si>
  <si>
    <t>同援日１．５・夜１．０・基礎・２人・盲ろう・区３</t>
  </si>
  <si>
    <t>同援日１．５・夜１．０・区４</t>
  </si>
  <si>
    <t>同援日１．５・夜１．０・２人・区４</t>
  </si>
  <si>
    <t>同援日１．５・夜１．０・基礎・区４</t>
  </si>
  <si>
    <t>同援日１．５・夜１．０・基礎・２人・区４</t>
  </si>
  <si>
    <t>同援日１．５・夜１．０・盲ろう・区４</t>
  </si>
  <si>
    <t>同援日１．５・夜１．０・２人・盲ろう・区４</t>
  </si>
  <si>
    <t>同援日１．５・夜１．０・基礎・盲ろう・区４</t>
  </si>
  <si>
    <t>同援日１．５・夜１．０・基礎・２人・盲ろう・区４</t>
  </si>
  <si>
    <t>同援日１．５・夜１．５</t>
  </si>
  <si>
    <t>同援日１．５・夜１．５・２人</t>
  </si>
  <si>
    <t>同援日１．５・夜１．５・基礎</t>
  </si>
  <si>
    <t>同援日１．５・夜１．５・基礎・２人</t>
  </si>
  <si>
    <t>同援日１．５・夜１．５・盲ろう</t>
  </si>
  <si>
    <t>同援日１．５・夜１．５・２人・盲ろう</t>
  </si>
  <si>
    <t>同援日１．５・夜１．５・基礎・盲ろう</t>
  </si>
  <si>
    <t>同援日１．５・夜１．５・基礎・２人・盲ろう</t>
  </si>
  <si>
    <t>同援日１．５・夜１．５・区３</t>
  </si>
  <si>
    <t>同援日１．５・夜１．５・２人・区３</t>
  </si>
  <si>
    <t>同援日１．５・夜１．５・基礎・区３</t>
  </si>
  <si>
    <t>同援日１．５・夜１．５・基礎・２人・区３</t>
  </si>
  <si>
    <t>同援日１．５・夜１．５・盲ろう・区３</t>
  </si>
  <si>
    <t>同援日１．５・夜１．５・２人・盲ろう・区３</t>
  </si>
  <si>
    <t>同援日１．５・夜１．５・基礎・盲ろう・区３</t>
  </si>
  <si>
    <t>同援日１．５・夜１．５・基礎・２人・盲ろう・区３</t>
  </si>
  <si>
    <t>同援日１．５・夜１．５・区４</t>
  </si>
  <si>
    <t>同援日１．５・夜１．５・２人・区４</t>
  </si>
  <si>
    <t>同援日１．５・夜１．５・基礎・区４</t>
  </si>
  <si>
    <t>同援日１．５・夜１．５・基礎・２人・区４</t>
  </si>
  <si>
    <t>同援日１．５・夜１．５・盲ろう・区４</t>
  </si>
  <si>
    <t>同援日１．５・夜１．５・２人・盲ろう・区４</t>
  </si>
  <si>
    <t>同援日１．５・夜１．５・基礎・盲ろう・区４</t>
  </si>
  <si>
    <t>同援日１．５・夜１．５・基礎・２人・盲ろう・区４</t>
  </si>
  <si>
    <t>同援日２．０・夜０．５</t>
  </si>
  <si>
    <t>同援日２．０・夜０．５・２人</t>
  </si>
  <si>
    <t>同援日２．０・夜０．５・基礎</t>
  </si>
  <si>
    <t>同援日２．０・夜０．５・基礎・２人</t>
  </si>
  <si>
    <t>同援日２．０・夜０．５・盲ろう</t>
  </si>
  <si>
    <t>同援日２．０・夜０．５・２人・盲ろう</t>
  </si>
  <si>
    <t>同援日２．０・夜０．５・基礎・盲ろう</t>
  </si>
  <si>
    <t>同援日２．０・夜０．５・基礎・２人・盲ろう</t>
  </si>
  <si>
    <t>同援日２．０・夜０．５・区３</t>
  </si>
  <si>
    <t>同援日２．０・夜０．５・２人・区３</t>
  </si>
  <si>
    <t>同援日２．０・夜０．５・基礎・区３</t>
  </si>
  <si>
    <t>同援日２．０・夜０．５・基礎・２人・区３</t>
  </si>
  <si>
    <t>同援日２．０・夜０．５・盲ろう・区３</t>
  </si>
  <si>
    <t>同援日２．０・夜０．５・２人・盲ろう・区３</t>
  </si>
  <si>
    <t>同援日２．０・夜０．５・基礎・盲ろう・区３</t>
  </si>
  <si>
    <t>同援日２．０・夜０．５・基礎・２人・盲ろう・区３</t>
  </si>
  <si>
    <t>同援日２．０・夜０．５・区４</t>
  </si>
  <si>
    <t>同援日２．０・夜０．５・２人・区４</t>
  </si>
  <si>
    <t>同援日２．０・夜０．５・基礎・区４</t>
  </si>
  <si>
    <t>同援日２．０・夜０．５・基礎・２人・区４</t>
  </si>
  <si>
    <t>同援日２．０・夜０．５・盲ろう・区４</t>
  </si>
  <si>
    <t>同援日２．０・夜０．５・２人・盲ろう・区４</t>
  </si>
  <si>
    <t>同援日２．０・夜０．５・基礎・盲ろう・区４</t>
  </si>
  <si>
    <t>同援日２．０・夜０．５・基礎・２人・盲ろう・区４</t>
  </si>
  <si>
    <t>同援日２．０・夜１．０</t>
  </si>
  <si>
    <t>同援日２．０・夜１．０・２人</t>
  </si>
  <si>
    <t>同援日２．０・夜１．０・基礎</t>
  </si>
  <si>
    <t>同援日２．０・夜１．０・基礎・２人</t>
  </si>
  <si>
    <t>同援日２．０・夜１．０・盲ろう</t>
  </si>
  <si>
    <t>同援日２．０・夜１．０・２人・盲ろう</t>
  </si>
  <si>
    <t>同援日２．０・夜１．０・基礎・盲ろう</t>
  </si>
  <si>
    <t>同援日２．０・夜１．０・基礎・２人・盲ろう</t>
  </si>
  <si>
    <t>同援日２．０・夜１．０・区３</t>
  </si>
  <si>
    <t>同援日２．０・夜１．０・２人・区３</t>
  </si>
  <si>
    <t>同援日２．０・夜１．０・基礎・区３</t>
  </si>
  <si>
    <t>同援日２．０・夜１．０・基礎・２人・区３</t>
  </si>
  <si>
    <t>同援日２．０・夜１．０・盲ろう・区３</t>
  </si>
  <si>
    <t>同援日２．０・夜１．０・２人・盲ろう・区３</t>
  </si>
  <si>
    <t>同援日２．０・夜１．０・基礎・盲ろう・区３</t>
  </si>
  <si>
    <t>同援日２．０・夜１．０・基礎・２人・盲ろう・区３</t>
  </si>
  <si>
    <t>同援日２．０・夜１．０・区４</t>
  </si>
  <si>
    <t>同援日２．０・夜１．０・２人・区４</t>
  </si>
  <si>
    <t>同援日２．０・夜１．０・基礎・区４</t>
  </si>
  <si>
    <t>同援日２．０・夜１．０・基礎・２人・区４</t>
  </si>
  <si>
    <t>同援日２．０・夜１．０・盲ろう・区４</t>
  </si>
  <si>
    <t>同援日２．０・夜１．０・２人・盲ろう・区４</t>
  </si>
  <si>
    <t>同援日２．０・夜１．０・基礎・盲ろう・区４</t>
  </si>
  <si>
    <t>同援日２．０・夜１．０・基礎・２人・盲ろう・区４</t>
  </si>
  <si>
    <t>同援日２．５・夜０．５</t>
  </si>
  <si>
    <t>同援日２．５・夜０．５・２人</t>
  </si>
  <si>
    <t>同援日２．５・夜０．５・基礎</t>
  </si>
  <si>
    <t>同援日２．５・夜０．５・基礎・２人</t>
  </si>
  <si>
    <t>同援日２．５・夜０．５・盲ろう</t>
  </si>
  <si>
    <t>同援日２．５・夜０．５・２人・盲ろう</t>
  </si>
  <si>
    <t>同援日２．５・夜０．５・基礎・盲ろう</t>
  </si>
  <si>
    <t>同援日２．５・夜０．５・基礎・２人・盲ろう</t>
  </si>
  <si>
    <t>同援日２．５・夜０．５・区３</t>
  </si>
  <si>
    <t>同援日２．５・夜０．５・２人・区３</t>
  </si>
  <si>
    <t>同援日２．５・夜０．５・基礎・区３</t>
  </si>
  <si>
    <t>同援日２．５・夜０．５・基礎・２人・区３</t>
  </si>
  <si>
    <t>同援日２．５・夜０．５・盲ろう・区３</t>
  </si>
  <si>
    <t>同援日２．５・夜０．５・２人・盲ろう・区３</t>
  </si>
  <si>
    <t>同援日２．５・夜０．５・基礎・盲ろう・区３</t>
  </si>
  <si>
    <t>同援日２．５・夜０．５・基礎・２人・盲ろう・区３</t>
  </si>
  <si>
    <t>同援日２．５・夜０．５・区４</t>
  </si>
  <si>
    <t>同援日２．５・夜０．５・２人・区４</t>
  </si>
  <si>
    <t>同援日２．５・夜０．５・基礎・区４</t>
  </si>
  <si>
    <t>同援日２．５・夜０．５・基礎・２人・区４</t>
  </si>
  <si>
    <t>同援日２．５・夜０．５・盲ろう・区４</t>
  </si>
  <si>
    <t>同援日２．５・夜０．５・２人・盲ろう・区４</t>
  </si>
  <si>
    <t>同援日２．５・夜０．５・基礎・盲ろう・区４</t>
  </si>
  <si>
    <t>同援日２．５・夜０．５・基礎・２人・盲ろう・区４</t>
  </si>
  <si>
    <t>（深夜＋早朝＋日中）</t>
    <phoneticPr fontId="1"/>
  </si>
  <si>
    <t>同援深０．５・早２．０・日０．５</t>
  </si>
  <si>
    <t>(一)日中</t>
    <phoneticPr fontId="1"/>
  </si>
  <si>
    <t>同援深０．５・早２．０・日０．５・２人</t>
  </si>
  <si>
    <t>同援深０．５・早２．０・日０．５・基礎</t>
  </si>
  <si>
    <t>同援深０．５・早２．０・日０．５・基礎・２人</t>
  </si>
  <si>
    <t>同援深０．５・早２．０・日０．５・盲ろう</t>
  </si>
  <si>
    <t>同援深０．５・早２．０・日０．５・２人・盲ろう</t>
  </si>
  <si>
    <t>同援深０．５・早２．０・日０．５・基礎・盲ろう</t>
  </si>
  <si>
    <t>同援深０．５・早２．０・日０．５・基礎・２人・盲ろう</t>
  </si>
  <si>
    <t>同援深０．５・早２．０・日０．５・区３</t>
  </si>
  <si>
    <t>同援深０．５・早２．０・日０．５・２人・区３</t>
  </si>
  <si>
    <t>同援深０．５・早２．０・日０．５・基礎・区３</t>
  </si>
  <si>
    <t>同援深０．５・早２．０・日０．５・基礎・２人・区３</t>
  </si>
  <si>
    <t>同援深０．５・早２．０・日０．５・盲ろう・区３</t>
  </si>
  <si>
    <t>同援深０．５・早２．０・日０．５・２人・盲ろう・区３</t>
  </si>
  <si>
    <t>同援深０．５・早２．０・日０．５・基礎・盲ろう・区３</t>
  </si>
  <si>
    <t>同援深０．５・早２．０・日０．５・基礎・２人・盲ろう・区３</t>
  </si>
  <si>
    <t>同援深０．５・早２．０・日０．５・区４</t>
  </si>
  <si>
    <t>同援深０．５・早２．０・日０．５・２人・区４</t>
  </si>
  <si>
    <t>同援深０．５・早２．０・日０．５・基礎・区４</t>
  </si>
  <si>
    <t>同援深０．５・早２．０・日０．５・基礎・２人・区４</t>
  </si>
  <si>
    <t>同援深０．５・早２．０・日０．５・盲ろう・区４</t>
  </si>
  <si>
    <t>同援深０．５・早２．０・日０．５・２人・盲ろう・区４</t>
  </si>
  <si>
    <t>同援深０．５・早２．０・日０．５・基礎・盲ろう・区４</t>
  </si>
  <si>
    <t>同援深０．５・早２．０・日０．５・基礎・２人・盲ろう・区４</t>
  </si>
  <si>
    <t>（夜間＋深夜）</t>
    <phoneticPr fontId="1"/>
  </si>
  <si>
    <t>同援夜０．５・深０．５</t>
  </si>
  <si>
    <t>(1)深夜</t>
    <phoneticPr fontId="1"/>
  </si>
  <si>
    <t>同援夜０．５・深０．５・２人</t>
  </si>
  <si>
    <t>同援夜０．５・深０．５・基礎</t>
  </si>
  <si>
    <t>同援夜０．５・深０．５・基礎・２人</t>
  </si>
  <si>
    <t>同援夜０．５・深０．５・盲ろう</t>
  </si>
  <si>
    <t>同援夜０．５・深０．５・２人・盲ろう</t>
  </si>
  <si>
    <t>同援夜０．５・深０．５・基礎・盲ろう</t>
  </si>
  <si>
    <t>同援夜０．５・深０．５・基礎・２人・盲ろう</t>
  </si>
  <si>
    <t>同援夜０．５・深０．５・区３</t>
  </si>
  <si>
    <t>同援夜０．５・深０．５・２人・区３</t>
  </si>
  <si>
    <t>同援夜０．５・深０．５・基礎・区３</t>
  </si>
  <si>
    <t>同援夜０．５・深０．５・基礎・２人・区３</t>
  </si>
  <si>
    <t>同援夜０．５・深０．５・盲ろう・区３</t>
  </si>
  <si>
    <t>同援夜０．５・深０．５・２人・盲ろう・区３</t>
  </si>
  <si>
    <t>同援夜０．５・深０．５・基礎・盲ろう・区３</t>
  </si>
  <si>
    <t>同援夜０．５・深０．５・基礎・２人・盲ろう・区３</t>
  </si>
  <si>
    <t>同援夜０．５・深０．５・区４</t>
  </si>
  <si>
    <t>同援夜０．５・深０．５・２人・区４</t>
  </si>
  <si>
    <t>同援夜０．５・深０．５・基礎・区４</t>
  </si>
  <si>
    <t>同援夜０．５・深０．５・基礎・２人・区４</t>
  </si>
  <si>
    <t>同援夜０．５・深０．５・盲ろう・区４</t>
  </si>
  <si>
    <t>同援夜０．５・深０．５・２人・盲ろう・区４</t>
  </si>
  <si>
    <t>同援夜０．５・深０．５・基礎・盲ろう・区４</t>
  </si>
  <si>
    <t>同援夜０．５・深０．５・基礎・２人・盲ろう・区４</t>
  </si>
  <si>
    <t>同援夜０．５・深１．０</t>
  </si>
  <si>
    <t>(2)深夜</t>
    <phoneticPr fontId="1"/>
  </si>
  <si>
    <t>同援夜０．５・深１．０・２人</t>
  </si>
  <si>
    <t>同援夜０．５・深１．０・基礎</t>
  </si>
  <si>
    <t>同援夜０．５・深１．０・基礎・２人</t>
  </si>
  <si>
    <t>同援夜０．５・深１．０・盲ろう</t>
  </si>
  <si>
    <t>同援夜０．５・深１．０・２人・盲ろう</t>
  </si>
  <si>
    <t>同援夜０．５・深１．０・基礎・盲ろう</t>
  </si>
  <si>
    <t>同援夜０．５・深１．０・基礎・２人・盲ろう</t>
  </si>
  <si>
    <t>同援夜０．５・深１．０・区３</t>
  </si>
  <si>
    <t>同援夜０．５・深１．０・２人・区３</t>
  </si>
  <si>
    <t>同援夜０．５・深１．０・基礎・区３</t>
  </si>
  <si>
    <t>同援夜０．５・深１．０・基礎・２人・区３</t>
  </si>
  <si>
    <t>同援夜０．５・深１．０・盲ろう・区３</t>
  </si>
  <si>
    <t>同援夜０．５・深１．０・２人・盲ろう・区３</t>
  </si>
  <si>
    <t>同援夜０．５・深１．０・基礎・盲ろう・区３</t>
  </si>
  <si>
    <t>同援夜０．５・深１．０・基礎・２人・盲ろう・区３</t>
  </si>
  <si>
    <t>同援夜０．５・深１．０・区４</t>
  </si>
  <si>
    <t>同援夜０．５・深１．０・２人・区４</t>
  </si>
  <si>
    <t>同援夜０．５・深１．０・基礎・区４</t>
  </si>
  <si>
    <t>同援夜０．５・深１．０・基礎・２人・区４</t>
  </si>
  <si>
    <t>同援夜０．５・深１．０・盲ろう・区４</t>
  </si>
  <si>
    <t>同援夜０．５・深１．０・２人・盲ろう・区４</t>
  </si>
  <si>
    <t>同援夜０．５・深１．０・基礎・盲ろう・区４</t>
  </si>
  <si>
    <t>同援夜０．５・深１．０・基礎・２人・盲ろう・区４</t>
  </si>
  <si>
    <t>同援夜０．５・深１．５</t>
  </si>
  <si>
    <t>(3)深夜</t>
    <phoneticPr fontId="1"/>
  </si>
  <si>
    <t>同援夜０．５・深１．５・２人</t>
  </si>
  <si>
    <t>同援夜０．５・深１．５・基礎</t>
  </si>
  <si>
    <t>同援夜０．５・深１．５・基礎・２人</t>
  </si>
  <si>
    <t>同援夜０．５・深１．５・盲ろう</t>
  </si>
  <si>
    <t>同援夜０．５・深１．５・２人・盲ろう</t>
  </si>
  <si>
    <t>同援夜０．５・深１．５・基礎・盲ろう</t>
  </si>
  <si>
    <t>同援夜０．５・深１．５・基礎・２人・盲ろう</t>
  </si>
  <si>
    <t>同援夜０．５・深１．５・区３</t>
  </si>
  <si>
    <t>A000</t>
  </si>
  <si>
    <t>同援夜０．５・深１．５・２人・区３</t>
  </si>
  <si>
    <t>同援夜０．５・深１．５・基礎・区３</t>
  </si>
  <si>
    <t>同援夜０．５・深１．５・基礎・２人・区３</t>
  </si>
  <si>
    <t>同援夜０．５・深１．５・盲ろう・区３</t>
  </si>
  <si>
    <t>同援夜０．５・深１．５・２人・盲ろう・区３</t>
  </si>
  <si>
    <t>A005</t>
  </si>
  <si>
    <t>同援夜０．５・深１．５・基礎・盲ろう・区３</t>
  </si>
  <si>
    <t>A006</t>
  </si>
  <si>
    <t>同援夜０．５・深１．５・基礎・２人・盲ろう・区３</t>
  </si>
  <si>
    <t>A007</t>
  </si>
  <si>
    <t>同援夜０．５・深１．５・区４</t>
  </si>
  <si>
    <t>A008</t>
  </si>
  <si>
    <t>同援夜０．５・深１．５・２人・区４</t>
  </si>
  <si>
    <t>A009</t>
  </si>
  <si>
    <t>同援夜０．５・深１．５・基礎・区４</t>
  </si>
  <si>
    <t>A010</t>
  </si>
  <si>
    <t>同援夜０．５・深１．５・基礎・２人・区４</t>
  </si>
  <si>
    <t>A011</t>
  </si>
  <si>
    <t>同援夜０．５・深１．５・盲ろう・区４</t>
  </si>
  <si>
    <t>A012</t>
  </si>
  <si>
    <t>同援夜０．５・深１．５・２人・盲ろう・区４</t>
  </si>
  <si>
    <t>A013</t>
  </si>
  <si>
    <t>同援夜０．５・深１．５・基礎・盲ろう・区４</t>
  </si>
  <si>
    <t>A014</t>
  </si>
  <si>
    <t>同援夜０．５・深１．５・基礎・２人・盲ろう・区４</t>
  </si>
  <si>
    <t>A015</t>
  </si>
  <si>
    <t>同援夜０．５・深２．０</t>
  </si>
  <si>
    <t>(4)深夜</t>
    <phoneticPr fontId="1"/>
  </si>
  <si>
    <t>A016</t>
  </si>
  <si>
    <t>同援夜０．５・深２．０・２人</t>
  </si>
  <si>
    <t>A017</t>
  </si>
  <si>
    <t>同援夜０．５・深２．０・基礎</t>
  </si>
  <si>
    <t>A018</t>
  </si>
  <si>
    <t>同援夜０．５・深２．０・基礎・２人</t>
  </si>
  <si>
    <t>A019</t>
  </si>
  <si>
    <t>同援夜０．５・深２．０・盲ろう</t>
  </si>
  <si>
    <t>A020</t>
  </si>
  <si>
    <t>同援夜０．５・深２．０・２人・盲ろう</t>
  </si>
  <si>
    <t>同援夜０．５・深２．０・基礎・盲ろう</t>
  </si>
  <si>
    <t>同援夜０．５・深２．０・基礎・２人・盲ろう</t>
  </si>
  <si>
    <t>同援夜０．５・深２．０・区３</t>
  </si>
  <si>
    <t>同援夜０．５・深２．０・２人・区３</t>
  </si>
  <si>
    <t>A025</t>
  </si>
  <si>
    <t>同援夜０．５・深２．０・基礎・区３</t>
  </si>
  <si>
    <t>A026</t>
  </si>
  <si>
    <t>同援夜０．５・深２．０・基礎・２人・区３</t>
  </si>
  <si>
    <t>A027</t>
  </si>
  <si>
    <t>同援夜０．５・深２．０・盲ろう・区３</t>
  </si>
  <si>
    <t>A028</t>
  </si>
  <si>
    <t>同援夜０．５・深２．０・２人・盲ろう・区３</t>
  </si>
  <si>
    <t>A029</t>
  </si>
  <si>
    <t>同援夜０．５・深２．０・基礎・盲ろう・区３</t>
  </si>
  <si>
    <t>A030</t>
  </si>
  <si>
    <t>同援夜０．５・深２．０・基礎・２人・盲ろう・区３</t>
  </si>
  <si>
    <t>A031</t>
  </si>
  <si>
    <t>同援夜０．５・深２．０・区４</t>
  </si>
  <si>
    <t>A032</t>
  </si>
  <si>
    <t>同援夜０．５・深２．０・２人・区４</t>
  </si>
  <si>
    <t>A033</t>
  </si>
  <si>
    <t>同援夜０．５・深２．０・基礎・区４</t>
  </si>
  <si>
    <t>A034</t>
  </si>
  <si>
    <t>同援夜０．５・深２．０・基礎・２人・区４</t>
  </si>
  <si>
    <t>A035</t>
  </si>
  <si>
    <t>同援夜０．５・深２．０・盲ろう・区４</t>
  </si>
  <si>
    <t>A036</t>
  </si>
  <si>
    <t>同援夜０．５・深２．０・２人・盲ろう・区４</t>
  </si>
  <si>
    <t>A037</t>
  </si>
  <si>
    <t>同援夜０．５・深２．０・基礎・盲ろう・区４</t>
  </si>
  <si>
    <t>A038</t>
  </si>
  <si>
    <t>同援夜０．５・深２．０・基礎・２人・盲ろう・区４</t>
  </si>
  <si>
    <t>A039</t>
  </si>
  <si>
    <t>同援夜０．５・深２．５</t>
  </si>
  <si>
    <t>(5)深夜</t>
    <phoneticPr fontId="1"/>
  </si>
  <si>
    <t>A040</t>
  </si>
  <si>
    <t>同援夜０．５・深２．５・２人</t>
  </si>
  <si>
    <t>同援夜０．５・深２．５・基礎</t>
  </si>
  <si>
    <t>同援夜０．５・深２．５・基礎・２人</t>
  </si>
  <si>
    <t>同援夜０．５・深２．５・盲ろう</t>
  </si>
  <si>
    <t>同援夜０．５・深２．５・２人・盲ろう</t>
  </si>
  <si>
    <t>A045</t>
  </si>
  <si>
    <t>同援夜０．５・深２．５・基礎・盲ろう</t>
  </si>
  <si>
    <t>A046</t>
  </si>
  <si>
    <t>同援夜０．５・深２．５・基礎・２人・盲ろう</t>
  </si>
  <si>
    <t>A047</t>
  </si>
  <si>
    <t>同援夜０．５・深２．５・区３</t>
  </si>
  <si>
    <t>A048</t>
  </si>
  <si>
    <t>同援夜０．５・深２．５・２人・区３</t>
  </si>
  <si>
    <t>A049</t>
  </si>
  <si>
    <t>同援夜０．５・深２．５・基礎・区３</t>
  </si>
  <si>
    <t>A050</t>
  </si>
  <si>
    <t>同援夜０．５・深２．５・基礎・２人・区３</t>
  </si>
  <si>
    <t>A051</t>
  </si>
  <si>
    <t>同援夜０．５・深２．５・盲ろう・区３</t>
  </si>
  <si>
    <t>A052</t>
  </si>
  <si>
    <t>同援夜０．５・深２．５・２人・盲ろう・区３</t>
  </si>
  <si>
    <t>A053</t>
  </si>
  <si>
    <t>同援夜０．５・深２．５・基礎・盲ろう・区３</t>
  </si>
  <si>
    <t>A054</t>
  </si>
  <si>
    <t>同援夜０．５・深２．５・基礎・２人・盲ろう・区３</t>
  </si>
  <si>
    <t>A055</t>
  </si>
  <si>
    <t>同援夜０．５・深２．５・区４</t>
  </si>
  <si>
    <t>A056</t>
  </si>
  <si>
    <t>同援夜０．５・深２．５・２人・区４</t>
  </si>
  <si>
    <t>A057</t>
  </si>
  <si>
    <t>同援夜０．５・深２．５・基礎・区４</t>
  </si>
  <si>
    <t>A058</t>
  </si>
  <si>
    <t>同援夜０．５・深２．５・基礎・２人・区４</t>
  </si>
  <si>
    <t>A059</t>
  </si>
  <si>
    <t>同援夜０．５・深２．５・盲ろう・区４</t>
  </si>
  <si>
    <t>A060</t>
  </si>
  <si>
    <t>同援夜０．５・深２．５・２人・盲ろう・区４</t>
  </si>
  <si>
    <t>同援夜０．５・深２．５・基礎・盲ろう・区４</t>
  </si>
  <si>
    <t>同援夜０．５・深２．５・基礎・２人・盲ろう・区４</t>
  </si>
  <si>
    <t>同援夜１．０・深０．５</t>
  </si>
  <si>
    <t>同援夜１．０・深０．５・２人</t>
  </si>
  <si>
    <t>A065</t>
  </si>
  <si>
    <t>同援夜１．０・深０．５・基礎</t>
  </si>
  <si>
    <t>A066</t>
  </si>
  <si>
    <t>同援夜１．０・深０．５・基礎・２人</t>
  </si>
  <si>
    <t>A067</t>
  </si>
  <si>
    <t>同援夜１．０・深０．５・盲ろう</t>
  </si>
  <si>
    <t>A068</t>
  </si>
  <si>
    <t>同援夜１．０・深０．５・２人・盲ろう</t>
  </si>
  <si>
    <t>A069</t>
  </si>
  <si>
    <t>同援夜１．０・深０．５・基礎・盲ろう</t>
  </si>
  <si>
    <t>A070</t>
  </si>
  <si>
    <t>同援夜１．０・深０．５・基礎・２人・盲ろう</t>
  </si>
  <si>
    <t>A071</t>
  </si>
  <si>
    <t>同援夜１．０・深０．５・区３</t>
  </si>
  <si>
    <t>A072</t>
  </si>
  <si>
    <t>同援夜１．０・深０．５・２人・区３</t>
  </si>
  <si>
    <t>A073</t>
  </si>
  <si>
    <t>同援夜１．０・深０．５・基礎・区３</t>
  </si>
  <si>
    <t>A074</t>
  </si>
  <si>
    <t>同援夜１．０・深０．５・基礎・２人・区３</t>
  </si>
  <si>
    <t>A075</t>
  </si>
  <si>
    <t>同援夜１．０・深０．５・盲ろう・区３</t>
  </si>
  <si>
    <t>A076</t>
  </si>
  <si>
    <t>同援夜１．０・深０．５・２人・盲ろう・区３</t>
  </si>
  <si>
    <t>A077</t>
  </si>
  <si>
    <t>同援夜１．０・深０．５・基礎・盲ろう・区３</t>
  </si>
  <si>
    <t>A078</t>
  </si>
  <si>
    <t>同援夜１．０・深０．５・基礎・２人・盲ろう・区３</t>
  </si>
  <si>
    <t>A079</t>
  </si>
  <si>
    <t>同援夜１．０・深０．５・区４</t>
  </si>
  <si>
    <t>A080</t>
  </si>
  <si>
    <t>同援夜１．０・深０．５・２人・区４</t>
  </si>
  <si>
    <t>同援夜１．０・深０．５・基礎・区４</t>
  </si>
  <si>
    <t>同援夜１．０・深０．５・基礎・２人・区４</t>
  </si>
  <si>
    <t>同援夜１．０・深０．５・盲ろう・区４</t>
  </si>
  <si>
    <t>同援夜１．０・深０．５・２人・盲ろう・区４</t>
  </si>
  <si>
    <t>A085</t>
  </si>
  <si>
    <t>同援夜１．０・深０．５・基礎・盲ろう・区４</t>
  </si>
  <si>
    <t>A086</t>
  </si>
  <si>
    <t>同援夜１．０・深０．５・基礎・２人・盲ろう・区４</t>
  </si>
  <si>
    <t>A087</t>
  </si>
  <si>
    <t>同援夜１．０・深１．０</t>
  </si>
  <si>
    <t>A088</t>
  </si>
  <si>
    <t>同援夜１．０・深１．０・２人</t>
  </si>
  <si>
    <t>A089</t>
  </si>
  <si>
    <t>同援夜１．０・深１．０・基礎</t>
  </si>
  <si>
    <t>A090</t>
  </si>
  <si>
    <t>同援夜１．０・深１．０・基礎・２人</t>
  </si>
  <si>
    <t>A091</t>
  </si>
  <si>
    <t>同援夜１．０・深１．０・盲ろう</t>
  </si>
  <si>
    <t>A092</t>
  </si>
  <si>
    <t>同援夜１．０・深１．０・２人・盲ろう</t>
  </si>
  <si>
    <t>A093</t>
  </si>
  <si>
    <t>同援夜１．０・深１．０・基礎・盲ろう</t>
  </si>
  <si>
    <t>A094</t>
  </si>
  <si>
    <t>同援夜１．０・深１．０・基礎・２人・盲ろう</t>
  </si>
  <si>
    <t>A095</t>
  </si>
  <si>
    <t>同援夜１．０・深１．０・区３</t>
  </si>
  <si>
    <t>A096</t>
  </si>
  <si>
    <t>同援夜１．０・深１．０・２人・区３</t>
  </si>
  <si>
    <t>A097</t>
  </si>
  <si>
    <t>同援夜１．０・深１．０・基礎・区３</t>
  </si>
  <si>
    <t>A098</t>
  </si>
  <si>
    <t>同援夜１．０・深１．０・基礎・２人・区３</t>
  </si>
  <si>
    <t>A099</t>
  </si>
  <si>
    <t>同援夜１．０・深１．０・盲ろう・区３</t>
  </si>
  <si>
    <t>A100</t>
  </si>
  <si>
    <t>同援夜１．０・深１．０・２人・盲ろう・区３</t>
  </si>
  <si>
    <t>同援夜１．０・深１．０・基礎・盲ろう・区３</t>
  </si>
  <si>
    <t>同援夜１．０・深１．０・基礎・２人・盲ろう・区３</t>
  </si>
  <si>
    <t>同援夜１．０・深１．０・区４</t>
  </si>
  <si>
    <t>同援夜１．０・深１．０・２人・区４</t>
  </si>
  <si>
    <t>A105</t>
  </si>
  <si>
    <t>同援夜１．０・深１．０・基礎・区４</t>
  </si>
  <si>
    <t>A106</t>
  </si>
  <si>
    <t>同援夜１．０・深１．０・基礎・２人・区４</t>
  </si>
  <si>
    <t>A107</t>
  </si>
  <si>
    <t>同援夜１．０・深１．０・盲ろう・区４</t>
  </si>
  <si>
    <t>A108</t>
  </si>
  <si>
    <t>同援夜１．０・深１．０・２人・盲ろう・区４</t>
  </si>
  <si>
    <t>A109</t>
  </si>
  <si>
    <t>同援夜１．０・深１．０・基礎・盲ろう・区４</t>
  </si>
  <si>
    <t>A110</t>
  </si>
  <si>
    <t>同援夜１．０・深１．０・基礎・２人・盲ろう・区４</t>
  </si>
  <si>
    <t>A111</t>
  </si>
  <si>
    <t>同援夜１．０・深１．５</t>
  </si>
  <si>
    <t>A112</t>
  </si>
  <si>
    <t>同援夜１．０・深１．５・２人</t>
  </si>
  <si>
    <t>A113</t>
  </si>
  <si>
    <t>同援夜１．０・深１．５・基礎</t>
  </si>
  <si>
    <t>A114</t>
  </si>
  <si>
    <t>同援夜１．０・深１．５・基礎・２人</t>
  </si>
  <si>
    <t>A115</t>
  </si>
  <si>
    <t>同援夜１．０・深１．５・盲ろう</t>
  </si>
  <si>
    <t>A116</t>
  </si>
  <si>
    <t>同援夜１．０・深１．５・２人・盲ろう</t>
  </si>
  <si>
    <t>A117</t>
  </si>
  <si>
    <t>同援夜１．０・深１．５・基礎・盲ろう</t>
  </si>
  <si>
    <t>A118</t>
  </si>
  <si>
    <t>同援夜１．０・深１．５・基礎・２人・盲ろう</t>
  </si>
  <si>
    <t>A119</t>
  </si>
  <si>
    <t>同援夜１．０・深１．５・区３</t>
  </si>
  <si>
    <t>A120</t>
  </si>
  <si>
    <t>同援夜１．０・深１．５・２人・区３</t>
  </si>
  <si>
    <t>同援夜１．０・深１．５・基礎・区３</t>
  </si>
  <si>
    <t>同援夜１．０・深１．５・基礎・２人・区３</t>
  </si>
  <si>
    <t>同援夜１．０・深１．５・盲ろう・区３</t>
  </si>
  <si>
    <t>同援夜１．０・深１．５・２人・盲ろう・区３</t>
  </si>
  <si>
    <t>A125</t>
  </si>
  <si>
    <t>同援夜１．０・深１．５・基礎・盲ろう・区３</t>
  </si>
  <si>
    <t>A126</t>
  </si>
  <si>
    <t>同援夜１．０・深１．５・基礎・２人・盲ろう・区３</t>
  </si>
  <si>
    <t>A127</t>
  </si>
  <si>
    <t>同援夜１．０・深１．５・区４</t>
  </si>
  <si>
    <t>A128</t>
  </si>
  <si>
    <t>同援夜１．０・深１．５・２人・区４</t>
  </si>
  <si>
    <t>A129</t>
  </si>
  <si>
    <t>同援夜１．０・深１．５・基礎・区４</t>
  </si>
  <si>
    <t>A130</t>
  </si>
  <si>
    <t>同援夜１．０・深１．５・基礎・２人・区４</t>
  </si>
  <si>
    <t>A131</t>
  </si>
  <si>
    <t>同援夜１．０・深１．５・盲ろう・区４</t>
  </si>
  <si>
    <t>A132</t>
  </si>
  <si>
    <t>同援夜１．０・深１．５・２人・盲ろう・区４</t>
  </si>
  <si>
    <t>A133</t>
  </si>
  <si>
    <t>同援夜１．０・深１．５・基礎・盲ろう・区４</t>
  </si>
  <si>
    <t>A134</t>
  </si>
  <si>
    <t>同援夜１．０・深１．５・基礎・２人・盲ろう・区４</t>
  </si>
  <si>
    <t>A135</t>
  </si>
  <si>
    <t>同援夜１．０・深２．０</t>
  </si>
  <si>
    <t>A136</t>
  </si>
  <si>
    <t>同援夜１．０・深２．０・２人</t>
  </si>
  <si>
    <t>A137</t>
  </si>
  <si>
    <t>同援夜１．０・深２．０・基礎</t>
  </si>
  <si>
    <t>A138</t>
  </si>
  <si>
    <t>同援夜１．０・深２．０・基礎・２人</t>
  </si>
  <si>
    <t>A139</t>
  </si>
  <si>
    <t>同援夜１．０・深２．０・盲ろう</t>
  </si>
  <si>
    <t>A140</t>
  </si>
  <si>
    <t>同援夜１．０・深２．０・２人・盲ろう</t>
  </si>
  <si>
    <t>同援夜１．０・深２．０・基礎・盲ろう</t>
  </si>
  <si>
    <t>同援夜１．０・深２．０・基礎・２人・盲ろう</t>
  </si>
  <si>
    <t>同援夜１．０・深２．０・区３</t>
  </si>
  <si>
    <t>同援夜１．０・深２．０・２人・区３</t>
  </si>
  <si>
    <t>A145</t>
  </si>
  <si>
    <t>同援夜１．０・深２．０・基礎・区３</t>
  </si>
  <si>
    <t>A146</t>
  </si>
  <si>
    <t>同援夜１．０・深２．０・基礎・２人・区３</t>
  </si>
  <si>
    <t>A147</t>
  </si>
  <si>
    <t>同援夜１．０・深２．０・盲ろう・区３</t>
  </si>
  <si>
    <t>A148</t>
  </si>
  <si>
    <t>同援夜１．０・深２．０・２人・盲ろう・区３</t>
  </si>
  <si>
    <t>A149</t>
  </si>
  <si>
    <t>同援夜１．０・深２．０・基礎・盲ろう・区３</t>
  </si>
  <si>
    <t>A150</t>
  </si>
  <si>
    <t>同援夜１．０・深２．０・基礎・２人・盲ろう・区３</t>
  </si>
  <si>
    <t>A151</t>
  </si>
  <si>
    <t>同援夜１．０・深２．０・区４</t>
  </si>
  <si>
    <t>A152</t>
  </si>
  <si>
    <t>同援夜１．０・深２．０・２人・区４</t>
  </si>
  <si>
    <t>A153</t>
  </si>
  <si>
    <t>同援夜１．０・深２．０・基礎・区４</t>
  </si>
  <si>
    <t>A154</t>
  </si>
  <si>
    <t>同援夜１．０・深２．０・基礎・２人・区４</t>
  </si>
  <si>
    <t>A155</t>
  </si>
  <si>
    <t>同援夜１．０・深２．０・盲ろう・区４</t>
  </si>
  <si>
    <t>A156</t>
  </si>
  <si>
    <t>同援夜１．０・深２．０・２人・盲ろう・区４</t>
  </si>
  <si>
    <t>A157</t>
  </si>
  <si>
    <t>同援夜１．０・深２．０・基礎・盲ろう・区４</t>
  </si>
  <si>
    <t>A158</t>
  </si>
  <si>
    <t>同援夜１．０・深２．０・基礎・２人・盲ろう・区４</t>
  </si>
  <si>
    <t>A159</t>
  </si>
  <si>
    <t>同援夜１．５・深０．５</t>
  </si>
  <si>
    <t>A160</t>
  </si>
  <si>
    <t>同援夜１．５・深０．５・２人</t>
  </si>
  <si>
    <t>同援夜１．５・深０．５・基礎</t>
  </si>
  <si>
    <t>同援夜１．５・深０．５・基礎・２人</t>
  </si>
  <si>
    <t>同援夜１．５・深０．５・盲ろう</t>
  </si>
  <si>
    <t>同援夜１．５・深０．５・２人・盲ろう</t>
  </si>
  <si>
    <t>A165</t>
  </si>
  <si>
    <t>同援夜１．５・深０．５・基礎・盲ろう</t>
  </si>
  <si>
    <t>A166</t>
  </si>
  <si>
    <t>同援夜１．５・深０．５・基礎・２人・盲ろう</t>
  </si>
  <si>
    <t>A167</t>
  </si>
  <si>
    <t>同援夜１．５・深０．５・区３</t>
  </si>
  <si>
    <t>A168</t>
  </si>
  <si>
    <t>同援夜１．５・深０．５・２人・区３</t>
  </si>
  <si>
    <t>A169</t>
  </si>
  <si>
    <t>同援夜１．５・深０．５・基礎・区３</t>
  </si>
  <si>
    <t>A170</t>
  </si>
  <si>
    <t>同援夜１．５・深０．５・基礎・２人・区３</t>
  </si>
  <si>
    <t>A171</t>
  </si>
  <si>
    <t>同援夜１．５・深０．５・盲ろう・区３</t>
  </si>
  <si>
    <t>A172</t>
  </si>
  <si>
    <t>同援夜１．５・深０．５・２人・盲ろう・区３</t>
  </si>
  <si>
    <t>A173</t>
  </si>
  <si>
    <t>同援夜１．５・深０．５・基礎・盲ろう・区３</t>
  </si>
  <si>
    <t>A174</t>
  </si>
  <si>
    <t>同援夜１．５・深０．５・基礎・２人・盲ろう・区３</t>
  </si>
  <si>
    <t>A175</t>
  </si>
  <si>
    <t>同援夜１．５・深０．５・区４</t>
  </si>
  <si>
    <t>A176</t>
  </si>
  <si>
    <t>同援夜１．５・深０．５・２人・区４</t>
  </si>
  <si>
    <t>A177</t>
  </si>
  <si>
    <t>同援夜１．５・深０．５・基礎・区４</t>
  </si>
  <si>
    <t>A178</t>
  </si>
  <si>
    <t>同援夜１．５・深０．５・基礎・２人・区４</t>
  </si>
  <si>
    <t>A179</t>
  </si>
  <si>
    <t>同援夜１．５・深０．５・盲ろう・区４</t>
  </si>
  <si>
    <t>A180</t>
  </si>
  <si>
    <t>同援夜１．５・深０．５・２人・盲ろう・区４</t>
  </si>
  <si>
    <t>同援夜１．５・深０．５・基礎・盲ろう・区４</t>
  </si>
  <si>
    <t>同援夜１．５・深０．５・基礎・２人・盲ろう・区４</t>
  </si>
  <si>
    <t>同援夜１．５・深１．０</t>
  </si>
  <si>
    <t>同援夜１．５・深１．０・２人</t>
  </si>
  <si>
    <t>A185</t>
  </si>
  <si>
    <t>同援夜１．５・深１．０・基礎</t>
  </si>
  <si>
    <t>A186</t>
  </si>
  <si>
    <t>同援夜１．５・深１．０・基礎・２人</t>
  </si>
  <si>
    <t>A187</t>
  </si>
  <si>
    <t>同援夜１．５・深１．０・盲ろう</t>
  </si>
  <si>
    <t>A188</t>
  </si>
  <si>
    <t>同援夜１．５・深１．０・２人・盲ろう</t>
  </si>
  <si>
    <t>A189</t>
  </si>
  <si>
    <t>同援夜１．５・深１．０・基礎・盲ろう</t>
  </si>
  <si>
    <t>A190</t>
  </si>
  <si>
    <t>同援夜１．５・深１．０・基礎・２人・盲ろう</t>
  </si>
  <si>
    <t>A191</t>
  </si>
  <si>
    <t>同援夜１．５・深１．０・区３</t>
  </si>
  <si>
    <t>A192</t>
  </si>
  <si>
    <t>同援夜１．５・深１．０・２人・区３</t>
  </si>
  <si>
    <t>A193</t>
  </si>
  <si>
    <t>同援夜１．５・深１．０・基礎・区３</t>
  </si>
  <si>
    <t>A194</t>
  </si>
  <si>
    <t>同援夜１．５・深１．０・基礎・２人・区３</t>
  </si>
  <si>
    <t>A195</t>
  </si>
  <si>
    <t>同援夜１．５・深１．０・盲ろう・区３</t>
  </si>
  <si>
    <t>A196</t>
  </si>
  <si>
    <t>同援夜１．５・深１．０・２人・盲ろう・区３</t>
  </si>
  <si>
    <t>A197</t>
  </si>
  <si>
    <t>同援夜１．５・深１．０・基礎・盲ろう・区３</t>
  </si>
  <si>
    <t>A198</t>
  </si>
  <si>
    <t>同援夜１．５・深１．０・基礎・２人・盲ろう・区３</t>
  </si>
  <si>
    <t>A199</t>
  </si>
  <si>
    <t>同援夜１．５・深１．０・区４</t>
  </si>
  <si>
    <t>A200</t>
  </si>
  <si>
    <t>同援夜１．５・深１．０・２人・区４</t>
  </si>
  <si>
    <t>同援夜１．５・深１．０・基礎・区４</t>
  </si>
  <si>
    <t>同援夜１．５・深１．０・基礎・２人・区４</t>
  </si>
  <si>
    <t>同援夜１．５・深１．０・盲ろう・区４</t>
  </si>
  <si>
    <t>同援夜１．５・深１．０・２人・盲ろう・区４</t>
  </si>
  <si>
    <t>A205</t>
  </si>
  <si>
    <t>同援夜１．５・深１．０・基礎・盲ろう・区４</t>
  </si>
  <si>
    <t>A206</t>
  </si>
  <si>
    <t>同援夜１．５・深１．０・基礎・２人・盲ろう・区４</t>
  </si>
  <si>
    <t>A207</t>
  </si>
  <si>
    <t>同援夜１．５・深１．５</t>
  </si>
  <si>
    <t>A208</t>
  </si>
  <si>
    <t>同援夜１．５・深１．５・２人</t>
  </si>
  <si>
    <t>A209</t>
  </si>
  <si>
    <t>同援夜１．５・深１．５・基礎</t>
  </si>
  <si>
    <t>A210</t>
  </si>
  <si>
    <t>同援夜１．５・深１．５・基礎・２人</t>
  </si>
  <si>
    <t>A211</t>
  </si>
  <si>
    <t>同援夜１．５・深１．５・盲ろう</t>
  </si>
  <si>
    <t>A212</t>
  </si>
  <si>
    <t>同援夜１．５・深１．５・２人・盲ろう</t>
  </si>
  <si>
    <t>A213</t>
  </si>
  <si>
    <t>同援夜１．５・深１．５・基礎・盲ろう</t>
  </si>
  <si>
    <t>A214</t>
  </si>
  <si>
    <t>同援夜１．５・深１．５・基礎・２人・盲ろう</t>
  </si>
  <si>
    <t>A215</t>
  </si>
  <si>
    <t>同援夜１．５・深１．５・区３</t>
  </si>
  <si>
    <t>A216</t>
  </si>
  <si>
    <t>同援夜１．５・深１．５・２人・区３</t>
  </si>
  <si>
    <t>A217</t>
  </si>
  <si>
    <t>同援夜１．５・深１．５・基礎・区３</t>
  </si>
  <si>
    <t>A218</t>
  </si>
  <si>
    <t>同援夜１．５・深１．５・基礎・２人・区３</t>
  </si>
  <si>
    <t>A219</t>
  </si>
  <si>
    <t>同援夜１．５・深１．５・盲ろう・区３</t>
  </si>
  <si>
    <t>A220</t>
  </si>
  <si>
    <t>同援夜１．５・深１．５・２人・盲ろう・区３</t>
  </si>
  <si>
    <t>同援夜１．５・深１．５・基礎・盲ろう・区３</t>
  </si>
  <si>
    <t>同援夜１．５・深１．５・基礎・２人・盲ろう・区３</t>
  </si>
  <si>
    <t>同援夜１．５・深１．５・区４</t>
  </si>
  <si>
    <t>同援夜１．５・深１．５・２人・区４</t>
  </si>
  <si>
    <t>A225</t>
  </si>
  <si>
    <t>同援夜１．５・深１．５・基礎・区４</t>
  </si>
  <si>
    <t>A226</t>
  </si>
  <si>
    <t>同援夜１．５・深１．５・基礎・２人・区４</t>
  </si>
  <si>
    <t>A227</t>
  </si>
  <si>
    <t>同援夜１．５・深１．５・盲ろう・区４</t>
  </si>
  <si>
    <t>A228</t>
  </si>
  <si>
    <t>同援夜１．５・深１．５・２人・盲ろう・区４</t>
  </si>
  <si>
    <t>A229</t>
  </si>
  <si>
    <t>同援夜１．５・深１．５・基礎・盲ろう・区４</t>
  </si>
  <si>
    <t>A230</t>
  </si>
  <si>
    <t>同援夜１．５・深１．５・基礎・２人・盲ろう・区４</t>
  </si>
  <si>
    <t>A231</t>
  </si>
  <si>
    <t>同援夜２．０・深０．５</t>
  </si>
  <si>
    <t>A232</t>
  </si>
  <si>
    <t>同援夜２．０・深０．５・２人</t>
  </si>
  <si>
    <t>A233</t>
  </si>
  <si>
    <t>同援夜２．０・深０．５・基礎</t>
  </si>
  <si>
    <t>A234</t>
  </si>
  <si>
    <t>同援夜２．０・深０．５・基礎・２人</t>
  </si>
  <si>
    <t>A235</t>
  </si>
  <si>
    <t>同援夜２．０・深０．５・盲ろう</t>
  </si>
  <si>
    <t>A236</t>
  </si>
  <si>
    <t>同援夜２．０・深０．５・２人・盲ろう</t>
  </si>
  <si>
    <t>A237</t>
  </si>
  <si>
    <t>同援夜２．０・深０．５・基礎・盲ろう</t>
  </si>
  <si>
    <t>A238</t>
  </si>
  <si>
    <t>同援夜２．０・深０．５・基礎・２人・盲ろう</t>
  </si>
  <si>
    <t>A239</t>
  </si>
  <si>
    <t>同援夜２．０・深０．５・区３</t>
  </si>
  <si>
    <t>A240</t>
  </si>
  <si>
    <t>同援夜２．０・深０．５・２人・区３</t>
  </si>
  <si>
    <t>同援夜２．０・深０．５・基礎・区３</t>
  </si>
  <si>
    <t>同援夜２．０・深０．５・基礎・２人・区３</t>
  </si>
  <si>
    <t>同援夜２．０・深０．５・盲ろう・区３</t>
  </si>
  <si>
    <t>同援夜２．０・深０．５・２人・盲ろう・区３</t>
  </si>
  <si>
    <t>A245</t>
  </si>
  <si>
    <t>同援夜２．０・深０．５・基礎・盲ろう・区３</t>
  </si>
  <si>
    <t>A246</t>
  </si>
  <si>
    <t>同援夜２．０・深０．５・基礎・２人・盲ろう・区３</t>
  </si>
  <si>
    <t>A247</t>
  </si>
  <si>
    <t>同援夜２．０・深０．５・区４</t>
  </si>
  <si>
    <t>A248</t>
  </si>
  <si>
    <t>同援夜２．０・深０．５・２人・区４</t>
  </si>
  <si>
    <t>A249</t>
  </si>
  <si>
    <t>同援夜２．０・深０．５・基礎・区４</t>
  </si>
  <si>
    <t>A250</t>
  </si>
  <si>
    <t>同援夜２．０・深０．５・基礎・２人・区４</t>
  </si>
  <si>
    <t>A251</t>
  </si>
  <si>
    <t>同援夜２．０・深０．５・盲ろう・区４</t>
  </si>
  <si>
    <t>A252</t>
  </si>
  <si>
    <t>同援夜２．０・深０．５・２人・盲ろう・区４</t>
  </si>
  <si>
    <t>A253</t>
  </si>
  <si>
    <t>同援夜２．０・深０．５・基礎・盲ろう・区４</t>
  </si>
  <si>
    <t>A254</t>
  </si>
  <si>
    <t>同援夜２．０・深０．５・基礎・２人・盲ろう・区４</t>
  </si>
  <si>
    <t>A255</t>
  </si>
  <si>
    <t>同援夜２．０・深１．０</t>
  </si>
  <si>
    <t>A256</t>
  </si>
  <si>
    <t>同援夜２．０・深１．０・２人</t>
  </si>
  <si>
    <t>A257</t>
  </si>
  <si>
    <t>同援夜２．０・深１．０・基礎</t>
  </si>
  <si>
    <t>A258</t>
  </si>
  <si>
    <t>同援夜２．０・深１．０・基礎・２人</t>
  </si>
  <si>
    <t>A259</t>
  </si>
  <si>
    <t>同援夜２．０・深１．０・盲ろう</t>
  </si>
  <si>
    <t>A260</t>
  </si>
  <si>
    <t>同援夜２．０・深１．０・２人・盲ろう</t>
  </si>
  <si>
    <t>同援夜２．０・深１．０・基礎・盲ろう</t>
  </si>
  <si>
    <t>同援夜２．０・深１．０・基礎・２人・盲ろう</t>
  </si>
  <si>
    <t>同援夜２．０・深１．０・区３</t>
  </si>
  <si>
    <t>同援夜２．０・深１．０・２人・区３</t>
  </si>
  <si>
    <t>A265</t>
  </si>
  <si>
    <t>同援夜２．０・深１．０・基礎・区３</t>
  </si>
  <si>
    <t>A266</t>
  </si>
  <si>
    <t>同援夜２．０・深１．０・基礎・２人・区３</t>
  </si>
  <si>
    <t>A267</t>
  </si>
  <si>
    <t>同援夜２．０・深１．０・盲ろう・区３</t>
  </si>
  <si>
    <t>A268</t>
  </si>
  <si>
    <t>同援夜２．０・深１．０・２人・盲ろう・区３</t>
  </si>
  <si>
    <t>A269</t>
  </si>
  <si>
    <t>同援夜２．０・深１．０・基礎・盲ろう・区３</t>
  </si>
  <si>
    <t>A270</t>
  </si>
  <si>
    <t>同援夜２．０・深１．０・基礎・２人・盲ろう・区３</t>
  </si>
  <si>
    <t>A271</t>
  </si>
  <si>
    <t>同援夜２．０・深１．０・区４</t>
  </si>
  <si>
    <t>A272</t>
  </si>
  <si>
    <t>同援夜２．０・深１．０・２人・区４</t>
  </si>
  <si>
    <t>A273</t>
  </si>
  <si>
    <t>同援夜２．０・深１．０・基礎・区４</t>
  </si>
  <si>
    <t>A274</t>
  </si>
  <si>
    <t>同援夜２．０・深１．０・基礎・２人・区４</t>
  </si>
  <si>
    <t>A275</t>
  </si>
  <si>
    <t>同援夜２．０・深１．０・盲ろう・区４</t>
  </si>
  <si>
    <t>A276</t>
  </si>
  <si>
    <t>同援夜２．０・深１．０・２人・盲ろう・区４</t>
  </si>
  <si>
    <t>A277</t>
  </si>
  <si>
    <t>同援夜２．０・深１．０・基礎・盲ろう・区４</t>
  </si>
  <si>
    <t>A278</t>
  </si>
  <si>
    <t>同援夜２．０・深１．０・基礎・２人・盲ろう・区４</t>
  </si>
  <si>
    <t>A279</t>
  </si>
  <si>
    <t>同援夜２．５・深０．５</t>
  </si>
  <si>
    <t>A280</t>
  </si>
  <si>
    <t>同援夜２．５・深０．５・２人</t>
  </si>
  <si>
    <t>同援夜２．５・深０．５・基礎</t>
  </si>
  <si>
    <t>同援夜２．５・深０．５・基礎・２人</t>
  </si>
  <si>
    <t>同援夜２．５・深０．５・盲ろう</t>
  </si>
  <si>
    <t>同援夜２．５・深０．５・２人・盲ろう</t>
  </si>
  <si>
    <t>A285</t>
  </si>
  <si>
    <t>同援夜２．５・深０．５・基礎・盲ろう</t>
  </si>
  <si>
    <t>A286</t>
  </si>
  <si>
    <t>同援夜２．５・深０．５・基礎・２人・盲ろう</t>
  </si>
  <si>
    <t>A287</t>
  </si>
  <si>
    <t>同援夜２．５・深０．５・区３</t>
  </si>
  <si>
    <t>A288</t>
  </si>
  <si>
    <t>同援夜２．５・深０．５・２人・区３</t>
  </si>
  <si>
    <t>A289</t>
  </si>
  <si>
    <t>同援夜２．５・深０．５・基礎・区３</t>
  </si>
  <si>
    <t>A290</t>
  </si>
  <si>
    <t>同援夜２．５・深０．５・基礎・２人・区３</t>
  </si>
  <si>
    <t>A291</t>
  </si>
  <si>
    <t>同援夜２．５・深０．５・盲ろう・区３</t>
  </si>
  <si>
    <t>A292</t>
  </si>
  <si>
    <t>同援夜２．５・深０．５・２人・盲ろう・区３</t>
  </si>
  <si>
    <t>A293</t>
  </si>
  <si>
    <t>同援夜２．５・深０．５・基礎・盲ろう・区３</t>
  </si>
  <si>
    <t>A294</t>
  </si>
  <si>
    <t>同援夜２．５・深０．５・基礎・２人・盲ろう・区３</t>
  </si>
  <si>
    <t>A295</t>
  </si>
  <si>
    <t>同援夜２．５・深０．５・区４</t>
  </si>
  <si>
    <t>A296</t>
  </si>
  <si>
    <t>同援夜２．５・深０．５・２人・区４</t>
  </si>
  <si>
    <t>A297</t>
  </si>
  <si>
    <t>同援夜２．５・深０．５・基礎・区４</t>
  </si>
  <si>
    <t>A298</t>
  </si>
  <si>
    <t>同援夜２．５・深０．５・基礎・２人・区４</t>
  </si>
  <si>
    <t>A299</t>
  </si>
  <si>
    <t>同援夜２．５・深０．５・盲ろう・区４</t>
  </si>
  <si>
    <t>A300</t>
  </si>
  <si>
    <t>同援夜２．５・深０．５・２人・盲ろう・区４</t>
  </si>
  <si>
    <t>同援夜２．５・深０．５・基礎・盲ろう・区４</t>
  </si>
  <si>
    <t>同援夜２．５・深０．５・基礎・２人・盲ろう・区４</t>
  </si>
  <si>
    <t>（日を跨る場合　２日目深夜増分）</t>
    <phoneticPr fontId="1"/>
  </si>
  <si>
    <t>Ａ</t>
    <phoneticPr fontId="1"/>
  </si>
  <si>
    <t>同援日跨増深０．５・深０．５</t>
  </si>
  <si>
    <t>同援日跨増深０．５・深０．５・２人</t>
  </si>
  <si>
    <t>A305</t>
  </si>
  <si>
    <t>同援日跨増深０．５・深０．５・基礎</t>
  </si>
  <si>
    <t>A306</t>
  </si>
  <si>
    <t>同援日跨増深０．５・深０．５・基礎・２人</t>
  </si>
  <si>
    <t>A307</t>
  </si>
  <si>
    <t>同援日跨増深０．５・深０．５・盲ろう</t>
  </si>
  <si>
    <t>A308</t>
  </si>
  <si>
    <t>同援日跨増深０．５・深０．５・２人・盲ろう</t>
  </si>
  <si>
    <t>A309</t>
  </si>
  <si>
    <t>同援日跨増深０．５・深０．５・基礎・盲ろう</t>
  </si>
  <si>
    <t>A310</t>
  </si>
  <si>
    <t>同援日跨増深０．５・深０．５・基礎・２人・盲ろう</t>
  </si>
  <si>
    <t>A311</t>
  </si>
  <si>
    <t>同援日跨増深０．５・深０．５・区３</t>
  </si>
  <si>
    <t>A312</t>
  </si>
  <si>
    <t>同援日跨増深０．５・深０．５・２人・区３</t>
  </si>
  <si>
    <t>A313</t>
  </si>
  <si>
    <t>同援日跨増深０．５・深０．５・基礎・区３</t>
  </si>
  <si>
    <t>A314</t>
  </si>
  <si>
    <t>同援日跨増深０．５・深０．５・基礎・２人・区３</t>
  </si>
  <si>
    <t>A315</t>
  </si>
  <si>
    <t>同援日跨増深０．５・深０．５・盲ろう・区３</t>
  </si>
  <si>
    <t>A316</t>
  </si>
  <si>
    <t>同援日跨増深０．５・深０．５・２人・盲ろう・区３</t>
  </si>
  <si>
    <t>A317</t>
  </si>
  <si>
    <t>同援日跨増深０．５・深０．５・基礎・盲ろう・区３</t>
  </si>
  <si>
    <t>A318</t>
  </si>
  <si>
    <t>同援日跨増深０．５・深０．５・基礎・２人・盲ろう・区３</t>
  </si>
  <si>
    <t>A319</t>
  </si>
  <si>
    <t>同援日跨増深０．５・深０．５・区４</t>
  </si>
  <si>
    <t>A320</t>
  </si>
  <si>
    <t>同援日跨増深０．５・深０．５・２人・区４</t>
  </si>
  <si>
    <t>同援日跨増深０．５・深０．５・基礎・区４</t>
  </si>
  <si>
    <t>同援日跨増深０．５・深０．５・基礎・２人・区４</t>
  </si>
  <si>
    <t>同援日跨増深０．５・深０．５・盲ろう・区４</t>
  </si>
  <si>
    <t>同援日跨増深０．５・深０．５・２人・盲ろう・区４</t>
  </si>
  <si>
    <t>A325</t>
  </si>
  <si>
    <t>同援日跨増深０．５・深０．５・基礎・盲ろう・区４</t>
  </si>
  <si>
    <t>A326</t>
  </si>
  <si>
    <t>同援日跨増深０．５・深０．５・基礎・２人・盲ろう・区４</t>
  </si>
  <si>
    <t>A327</t>
  </si>
  <si>
    <t>同援日跨増深０．５・深１．０</t>
  </si>
  <si>
    <t>A328</t>
  </si>
  <si>
    <t>同援日跨増深０．５・深１．０・２人</t>
  </si>
  <si>
    <t>A329</t>
  </si>
  <si>
    <t>同援日跨増深０．５・深１．０・基礎</t>
  </si>
  <si>
    <t>A330</t>
  </si>
  <si>
    <t>同援日跨増深０．５・深１．０・基礎・２人</t>
  </si>
  <si>
    <t>A331</t>
  </si>
  <si>
    <t>同援日跨増深０．５・深１．０・盲ろう</t>
  </si>
  <si>
    <t>A332</t>
  </si>
  <si>
    <t>同援日跨増深０．５・深１．０・２人・盲ろう</t>
  </si>
  <si>
    <t>A333</t>
  </si>
  <si>
    <t>同援日跨増深０．５・深１．０・基礎・盲ろう</t>
  </si>
  <si>
    <t>A334</t>
  </si>
  <si>
    <t>同援日跨増深０．５・深１．０・基礎・２人・盲ろう</t>
  </si>
  <si>
    <t>A335</t>
  </si>
  <si>
    <t>同援日跨増深０．５・深１．０・区３</t>
  </si>
  <si>
    <t>A336</t>
  </si>
  <si>
    <t>同援日跨増深０．５・深１．０・２人・区３</t>
  </si>
  <si>
    <t>A337</t>
  </si>
  <si>
    <t>同援日跨増深０．５・深１．０・基礎・区３</t>
  </si>
  <si>
    <t>A338</t>
  </si>
  <si>
    <t>同援日跨増深０．５・深１．０・基礎・２人・区３</t>
  </si>
  <si>
    <t>A339</t>
  </si>
  <si>
    <t>同援日跨増深０．５・深１．０・盲ろう・区３</t>
  </si>
  <si>
    <t>A340</t>
  </si>
  <si>
    <t>同援日跨増深０．５・深１．０・２人・盲ろう・区３</t>
  </si>
  <si>
    <t>同援日跨増深０．５・深１．０・基礎・盲ろう・区３</t>
  </si>
  <si>
    <t>同援日跨増深０．５・深１．０・基礎・２人・盲ろう・区３</t>
  </si>
  <si>
    <t>同援日跨増深０．５・深１．０・区４</t>
  </si>
  <si>
    <t>同援日跨増深０．５・深１．０・２人・区４</t>
  </si>
  <si>
    <t>A345</t>
  </si>
  <si>
    <t>同援日跨増深０．５・深１．０・基礎・区４</t>
  </si>
  <si>
    <t>A346</t>
  </si>
  <si>
    <t>同援日跨増深０．５・深１．０・基礎・２人・区４</t>
  </si>
  <si>
    <t>A347</t>
  </si>
  <si>
    <t>同援日跨増深０．５・深１．０・盲ろう・区４</t>
  </si>
  <si>
    <t>A348</t>
  </si>
  <si>
    <t>同援日跨増深０．５・深１．０・２人・盲ろう・区４</t>
  </si>
  <si>
    <t>A349</t>
  </si>
  <si>
    <t>同援日跨増深０．５・深１．０・基礎・盲ろう・区４</t>
  </si>
  <si>
    <t>A350</t>
  </si>
  <si>
    <t>同援日跨増深０．５・深１．０・基礎・２人・盲ろう・区４</t>
  </si>
  <si>
    <t>A351</t>
  </si>
  <si>
    <t>同援日跨増深０．５・深１．５</t>
  </si>
  <si>
    <t>A352</t>
  </si>
  <si>
    <t>同援日跨増深０．５・深１．５・２人</t>
  </si>
  <si>
    <t>A353</t>
  </si>
  <si>
    <t>同援日跨増深０．５・深１．５・基礎</t>
  </si>
  <si>
    <t>A354</t>
  </si>
  <si>
    <t>同援日跨増深０．５・深１．５・基礎・２人</t>
  </si>
  <si>
    <t>A355</t>
  </si>
  <si>
    <t>同援日跨増深０．５・深１．５・盲ろう</t>
  </si>
  <si>
    <t>A356</t>
  </si>
  <si>
    <t>同援日跨増深０．５・深１．５・２人・盲ろう</t>
  </si>
  <si>
    <t>A357</t>
  </si>
  <si>
    <t>同援日跨増深０．５・深１．５・基礎・盲ろう</t>
  </si>
  <si>
    <t>A358</t>
  </si>
  <si>
    <t>同援日跨増深０．５・深１．５・基礎・２人・盲ろう</t>
  </si>
  <si>
    <t>A359</t>
  </si>
  <si>
    <t>同援日跨増深０．５・深１．５・区３</t>
  </si>
  <si>
    <t>A360</t>
  </si>
  <si>
    <t>同援日跨増深０．５・深１．５・２人・区３</t>
  </si>
  <si>
    <t>同援日跨増深０．５・深１．５・基礎・区３</t>
  </si>
  <si>
    <t>同援日跨増深０．５・深１．５・基礎・２人・区３</t>
  </si>
  <si>
    <t>同援日跨増深０．５・深１．５・盲ろう・区３</t>
  </si>
  <si>
    <t>同援日跨増深０．５・深１．５・２人・盲ろう・区３</t>
  </si>
  <si>
    <t>A365</t>
  </si>
  <si>
    <t>同援日跨増深０．５・深１．５・基礎・盲ろう・区３</t>
  </si>
  <si>
    <t>A366</t>
  </si>
  <si>
    <t>同援日跨増深０．５・深１．５・基礎・２人・盲ろう・区３</t>
  </si>
  <si>
    <t>A367</t>
  </si>
  <si>
    <t>同援日跨増深０．５・深１．５・区４</t>
  </si>
  <si>
    <t>A368</t>
  </si>
  <si>
    <t>同援日跨増深０．５・深１．５・２人・区４</t>
  </si>
  <si>
    <t>A369</t>
  </si>
  <si>
    <t>同援日跨増深０．５・深１．５・基礎・区４</t>
  </si>
  <si>
    <t>A370</t>
  </si>
  <si>
    <t>同援日跨増深０．５・深１．５・基礎・２人・区４</t>
  </si>
  <si>
    <t>A371</t>
  </si>
  <si>
    <t>同援日跨増深０．５・深１．５・盲ろう・区４</t>
  </si>
  <si>
    <t>A372</t>
  </si>
  <si>
    <t>同援日跨増深０．５・深１．５・２人・盲ろう・区４</t>
  </si>
  <si>
    <t>A373</t>
  </si>
  <si>
    <t>同援日跨増深０．５・深１．５・基礎・盲ろう・区４</t>
  </si>
  <si>
    <t>A374</t>
  </si>
  <si>
    <t>同援日跨増深０．５・深１．５・基礎・２人・盲ろう・区４</t>
  </si>
  <si>
    <t>A375</t>
  </si>
  <si>
    <t>同援日跨増深０．５・深２．０</t>
  </si>
  <si>
    <t>A376</t>
  </si>
  <si>
    <t>同援日跨増深０．５・深２．０・２人</t>
  </si>
  <si>
    <t>A377</t>
  </si>
  <si>
    <t>同援日跨増深０．５・深２．０・基礎</t>
  </si>
  <si>
    <t>A378</t>
  </si>
  <si>
    <t>同援日跨増深０．５・深２．０・基礎・２人</t>
  </si>
  <si>
    <t>A379</t>
  </si>
  <si>
    <t>同援日跨増深０．５・深２．０・盲ろう</t>
  </si>
  <si>
    <t>A380</t>
  </si>
  <si>
    <t>同援日跨増深０．５・深２．０・２人・盲ろう</t>
  </si>
  <si>
    <t>同援日跨増深０．５・深２．０・基礎・盲ろう</t>
  </si>
  <si>
    <t>同援日跨増深０．５・深２．０・基礎・２人・盲ろう</t>
  </si>
  <si>
    <t>同援日跨増深０．５・深２．０・区３</t>
  </si>
  <si>
    <t>同援日跨増深０．５・深２．０・２人・区３</t>
  </si>
  <si>
    <t>A385</t>
  </si>
  <si>
    <t>同援日跨増深０．５・深２．０・基礎・区３</t>
  </si>
  <si>
    <t>A386</t>
  </si>
  <si>
    <t>同援日跨増深０．５・深２．０・基礎・２人・区３</t>
  </si>
  <si>
    <t>A387</t>
  </si>
  <si>
    <t>同援日跨増深０．５・深２．０・盲ろう・区３</t>
  </si>
  <si>
    <t>A388</t>
  </si>
  <si>
    <t>同援日跨増深０．５・深２．０・２人・盲ろう・区３</t>
  </si>
  <si>
    <t>A389</t>
  </si>
  <si>
    <t>同援日跨増深０．５・深２．０・基礎・盲ろう・区３</t>
  </si>
  <si>
    <t>A390</t>
  </si>
  <si>
    <t>同援日跨増深０．５・深２．０・基礎・２人・盲ろう・区３</t>
  </si>
  <si>
    <t>A391</t>
  </si>
  <si>
    <t>同援日跨増深０．５・深２．０・区４</t>
  </si>
  <si>
    <t>A392</t>
  </si>
  <si>
    <t>同援日跨増深０．５・深２．０・２人・区４</t>
  </si>
  <si>
    <t>A393</t>
  </si>
  <si>
    <t>同援日跨増深０．５・深２．０・基礎・区４</t>
  </si>
  <si>
    <t>A394</t>
  </si>
  <si>
    <t>同援日跨増深０．５・深２．０・基礎・２人・区４</t>
  </si>
  <si>
    <t>A395</t>
  </si>
  <si>
    <t>同援日跨増深０．５・深２．０・盲ろう・区４</t>
  </si>
  <si>
    <t>A396</t>
  </si>
  <si>
    <t>同援日跨増深０．５・深２．０・２人・盲ろう・区４</t>
  </si>
  <si>
    <t>A397</t>
  </si>
  <si>
    <t>同援日跨増深０．５・深２．０・基礎・盲ろう・区４</t>
  </si>
  <si>
    <t>A398</t>
  </si>
  <si>
    <t>同援日跨増深０．５・深２．０・基礎・２人・盲ろう・区４</t>
  </si>
  <si>
    <t>A399</t>
  </si>
  <si>
    <t>同援日跨増深０．５・深２．５</t>
  </si>
  <si>
    <t>A400</t>
  </si>
  <si>
    <t>同援日跨増深０．５・深２．５・２人</t>
  </si>
  <si>
    <t>同援日跨増深０．５・深２．５・基礎</t>
  </si>
  <si>
    <t>同援日跨増深０．５・深２．５・基礎・２人</t>
  </si>
  <si>
    <t>同援日跨増深０．５・深２．５・盲ろう</t>
  </si>
  <si>
    <t>同援日跨増深０．５・深２．５・２人・盲ろう</t>
  </si>
  <si>
    <t>A405</t>
  </si>
  <si>
    <t>同援日跨増深０．５・深２．５・基礎・盲ろう</t>
  </si>
  <si>
    <t>A406</t>
  </si>
  <si>
    <t>同援日跨増深０．５・深２．５・基礎・２人・盲ろう</t>
  </si>
  <si>
    <t>A407</t>
  </si>
  <si>
    <t>同援日跨増深０．５・深２．５・区３</t>
  </si>
  <si>
    <t>A408</t>
  </si>
  <si>
    <t>同援日跨増深０．５・深２．５・２人・区３</t>
  </si>
  <si>
    <t>A409</t>
  </si>
  <si>
    <t>同援日跨増深０．５・深２．５・基礎・区３</t>
  </si>
  <si>
    <t>A410</t>
  </si>
  <si>
    <t>同援日跨増深０．５・深２．５・基礎・２人・区３</t>
  </si>
  <si>
    <t>A411</t>
  </si>
  <si>
    <t>同援日跨増深０．５・深２．５・盲ろう・区３</t>
  </si>
  <si>
    <t>A412</t>
  </si>
  <si>
    <t>同援日跨増深０．５・深２．５・２人・盲ろう・区３</t>
  </si>
  <si>
    <t>A413</t>
  </si>
  <si>
    <t>同援日跨増深０．５・深２．５・基礎・盲ろう・区３</t>
  </si>
  <si>
    <t>A414</t>
  </si>
  <si>
    <t>同援日跨増深０．５・深２．５・基礎・２人・盲ろう・区３</t>
  </si>
  <si>
    <t>A415</t>
  </si>
  <si>
    <t>同援日跨増深０．５・深２．５・区４</t>
  </si>
  <si>
    <t>A416</t>
  </si>
  <si>
    <t>同援日跨増深０．５・深２．５・２人・区４</t>
  </si>
  <si>
    <t>A417</t>
  </si>
  <si>
    <t>同援日跨増深０．５・深２．５・基礎・区４</t>
  </si>
  <si>
    <t>A418</t>
  </si>
  <si>
    <t>同援日跨増深０．５・深２．５・基礎・２人・区４</t>
  </si>
  <si>
    <t>A419</t>
  </si>
  <si>
    <t>同援日跨増深０．５・深２．５・盲ろう・区４</t>
  </si>
  <si>
    <t>A420</t>
  </si>
  <si>
    <t>同援日跨増深０．５・深２．５・２人・盲ろう・区４</t>
  </si>
  <si>
    <t>同援日跨増深０．５・深２．５・基礎・盲ろう・区４</t>
  </si>
  <si>
    <t>同援日跨増深０．５・深２．５・基礎・２人・盲ろう・区４</t>
  </si>
  <si>
    <t>同援日跨増深１．０・深０．５</t>
  </si>
  <si>
    <t>同援日跨増深１．０・深０．５・２人</t>
  </si>
  <si>
    <t>A425</t>
  </si>
  <si>
    <t>同援日跨増深１．０・深０．５・基礎</t>
  </si>
  <si>
    <t>A426</t>
  </si>
  <si>
    <t>同援日跨増深１．０・深０．５・基礎・２人</t>
  </si>
  <si>
    <t>A427</t>
  </si>
  <si>
    <t>同援日跨増深１．０・深０．５・盲ろう</t>
  </si>
  <si>
    <t>A428</t>
  </si>
  <si>
    <t>同援日跨増深１．０・深０．５・２人・盲ろう</t>
  </si>
  <si>
    <t>A429</t>
  </si>
  <si>
    <t>同援日跨増深１．０・深０．５・基礎・盲ろう</t>
  </si>
  <si>
    <t>A430</t>
  </si>
  <si>
    <t>同援日跨増深１．０・深０．５・基礎・２人・盲ろう</t>
  </si>
  <si>
    <t>A431</t>
  </si>
  <si>
    <t>同援日跨増深１．０・深０．５・区３</t>
  </si>
  <si>
    <t>A432</t>
  </si>
  <si>
    <t>同援日跨増深１．０・深０．５・２人・区３</t>
  </si>
  <si>
    <t>A433</t>
  </si>
  <si>
    <t>同援日跨増深１．０・深０．５・基礎・区３</t>
  </si>
  <si>
    <t>A434</t>
  </si>
  <si>
    <t>同援日跨増深１．０・深０．５・基礎・２人・区３</t>
  </si>
  <si>
    <t>A435</t>
  </si>
  <si>
    <t>同援日跨増深１．０・深０．５・盲ろう・区３</t>
  </si>
  <si>
    <t>A436</t>
  </si>
  <si>
    <t>同援日跨増深１．０・深０．５・２人・盲ろう・区３</t>
  </si>
  <si>
    <t>A437</t>
  </si>
  <si>
    <t>同援日跨増深１．０・深０．５・基礎・盲ろう・区３</t>
  </si>
  <si>
    <t>A438</t>
  </si>
  <si>
    <t>同援日跨増深１．０・深０．５・基礎・２人・盲ろう・区３</t>
  </si>
  <si>
    <t>A439</t>
  </si>
  <si>
    <t>同援日跨増深１．０・深０．５・区４</t>
  </si>
  <si>
    <t>A440</t>
  </si>
  <si>
    <t>同援日跨増深１．０・深０．５・２人・区４</t>
  </si>
  <si>
    <t>同援日跨増深１．０・深０．５・基礎・区４</t>
  </si>
  <si>
    <t>同援日跨増深１．０・深０．５・基礎・２人・区４</t>
  </si>
  <si>
    <t>同援日跨増深１．０・深０．５・盲ろう・区４</t>
  </si>
  <si>
    <t>同援日跨増深１．０・深０．５・２人・盲ろう・区４</t>
  </si>
  <si>
    <t>A445</t>
  </si>
  <si>
    <t>同援日跨増深１．０・深０．５・基礎・盲ろう・区４</t>
  </si>
  <si>
    <t>A446</t>
  </si>
  <si>
    <t>同援日跨増深１．０・深０．５・基礎・２人・盲ろう・区４</t>
  </si>
  <si>
    <t>A447</t>
  </si>
  <si>
    <t>同援日跨増深１．０・深１．０</t>
  </si>
  <si>
    <t>A448</t>
  </si>
  <si>
    <t>同援日跨増深１．０・深１．０・２人</t>
  </si>
  <si>
    <t>A449</t>
  </si>
  <si>
    <t>同援日跨増深１．０・深１．０・基礎</t>
  </si>
  <si>
    <t>A450</t>
  </si>
  <si>
    <t>同援日跨増深１．０・深１．０・基礎・２人</t>
  </si>
  <si>
    <t>A451</t>
  </si>
  <si>
    <t>同援日跨増深１．０・深１．０・盲ろう</t>
  </si>
  <si>
    <t>A452</t>
  </si>
  <si>
    <t>同援日跨増深１．０・深１．０・２人・盲ろう</t>
  </si>
  <si>
    <t>A453</t>
  </si>
  <si>
    <t>同援日跨増深１．０・深１．０・基礎・盲ろう</t>
  </si>
  <si>
    <t>A454</t>
  </si>
  <si>
    <t>同援日跨増深１．０・深１．０・基礎・２人・盲ろう</t>
  </si>
  <si>
    <t>A455</t>
  </si>
  <si>
    <t>同援日跨増深１．０・深１．０・区３</t>
  </si>
  <si>
    <t>A456</t>
  </si>
  <si>
    <t>同援日跨増深１．０・深１．０・２人・区３</t>
  </si>
  <si>
    <t>A457</t>
  </si>
  <si>
    <t>同援日跨増深１．０・深１．０・基礎・区３</t>
  </si>
  <si>
    <t>A458</t>
  </si>
  <si>
    <t>同援日跨増深１．０・深１．０・基礎・２人・区３</t>
  </si>
  <si>
    <t>A459</t>
  </si>
  <si>
    <t>同援日跨増深１．０・深１．０・盲ろう・区３</t>
  </si>
  <si>
    <t>A460</t>
  </si>
  <si>
    <t>同援日跨増深１．０・深１．０・２人・盲ろう・区３</t>
  </si>
  <si>
    <t>同援日跨増深１．０・深１．０・基礎・盲ろう・区３</t>
  </si>
  <si>
    <t>同援日跨増深１．０・深１．０・基礎・２人・盲ろう・区３</t>
  </si>
  <si>
    <t>同援日跨増深１．０・深１．０・区４</t>
  </si>
  <si>
    <t>同援日跨増深１．０・深１．０・２人・区４</t>
  </si>
  <si>
    <t>A465</t>
  </si>
  <si>
    <t>同援日跨増深１．０・深１．０・基礎・区４</t>
  </si>
  <si>
    <t>A466</t>
  </si>
  <si>
    <t>同援日跨増深１．０・深１．０・基礎・２人・区４</t>
  </si>
  <si>
    <t>A467</t>
  </si>
  <si>
    <t>同援日跨増深１．０・深１．０・盲ろう・区４</t>
  </si>
  <si>
    <t>A468</t>
  </si>
  <si>
    <t>同援日跨増深１．０・深１．０・２人・盲ろう・区４</t>
  </si>
  <si>
    <t>A469</t>
  </si>
  <si>
    <t>同援日跨増深１．０・深１．０・基礎・盲ろう・区４</t>
  </si>
  <si>
    <t>A470</t>
  </si>
  <si>
    <t>同援日跨増深１．０・深１．０・基礎・２人・盲ろう・区４</t>
  </si>
  <si>
    <t>A471</t>
  </si>
  <si>
    <t>同援日跨増深１．０・深１．５</t>
  </si>
  <si>
    <t>A472</t>
  </si>
  <si>
    <t>同援日跨増深１．０・深１．５・２人</t>
  </si>
  <si>
    <t>A473</t>
  </si>
  <si>
    <t>同援日跨増深１．０・深１．５・基礎</t>
  </si>
  <si>
    <t>A474</t>
  </si>
  <si>
    <t>同援日跨増深１．０・深１．５・基礎・２人</t>
  </si>
  <si>
    <t>A475</t>
  </si>
  <si>
    <t>同援日跨増深１．０・深１．５・盲ろう</t>
  </si>
  <si>
    <t>A476</t>
  </si>
  <si>
    <t>同援日跨増深１．０・深１．５・２人・盲ろう</t>
  </si>
  <si>
    <t>A477</t>
  </si>
  <si>
    <t>同援日跨増深１．０・深１．５・基礎・盲ろう</t>
  </si>
  <si>
    <t>A478</t>
  </si>
  <si>
    <t>同援日跨増深１．０・深１．５・基礎・２人・盲ろう</t>
  </si>
  <si>
    <t>A479</t>
  </si>
  <si>
    <t>同援日跨増深１．０・深１．５・区３</t>
  </si>
  <si>
    <t>A480</t>
  </si>
  <si>
    <t>同援日跨増深１．０・深１．５・２人・区３</t>
  </si>
  <si>
    <t>同援日跨増深１．０・深１．５・基礎・区３</t>
  </si>
  <si>
    <t>同援日跨増深１．０・深１．５・基礎・２人・区３</t>
  </si>
  <si>
    <t>同援日跨増深１．０・深１．５・盲ろう・区３</t>
  </si>
  <si>
    <t>同援日跨増深１．０・深１．５・２人・盲ろう・区３</t>
  </si>
  <si>
    <t>A485</t>
  </si>
  <si>
    <t>同援日跨増深１．０・深１．５・基礎・盲ろう・区３</t>
  </si>
  <si>
    <t>A486</t>
  </si>
  <si>
    <t>同援日跨増深１．０・深１．５・基礎・２人・盲ろう・区３</t>
  </si>
  <si>
    <t>A487</t>
  </si>
  <si>
    <t>同援日跨増深１．０・深１．５・区４</t>
  </si>
  <si>
    <t>A488</t>
  </si>
  <si>
    <t>同援日跨増深１．０・深１．５・２人・区４</t>
  </si>
  <si>
    <t>A489</t>
  </si>
  <si>
    <t>同援日跨増深１．０・深１．５・基礎・区４</t>
  </si>
  <si>
    <t>A490</t>
  </si>
  <si>
    <t>同援日跨増深１．０・深１．５・基礎・２人・区４</t>
  </si>
  <si>
    <t>A491</t>
  </si>
  <si>
    <t>同援日跨増深１．０・深１．５・盲ろう・区４</t>
  </si>
  <si>
    <t>A492</t>
  </si>
  <si>
    <t>同援日跨増深１．０・深１．５・２人・盲ろう・区４</t>
  </si>
  <si>
    <t>A493</t>
  </si>
  <si>
    <t>同援日跨増深１．０・深１．５・基礎・盲ろう・区４</t>
  </si>
  <si>
    <t>A494</t>
  </si>
  <si>
    <t>同援日跨増深１．０・深１．５・基礎・２人・盲ろう・区４</t>
  </si>
  <si>
    <t>A495</t>
  </si>
  <si>
    <t>同援日跨増深１．０・深２．０</t>
  </si>
  <si>
    <t>A496</t>
  </si>
  <si>
    <t>同援日跨増深１．０・深２．０・２人</t>
  </si>
  <si>
    <t>A497</t>
  </si>
  <si>
    <t>同援日跨増深１．０・深２．０・基礎</t>
  </si>
  <si>
    <t>A498</t>
  </si>
  <si>
    <t>同援日跨増深１．０・深２．０・基礎・２人</t>
  </si>
  <si>
    <t>A499</t>
  </si>
  <si>
    <t>同援日跨増深１．０・深２．０・盲ろう</t>
  </si>
  <si>
    <t>A500</t>
  </si>
  <si>
    <t>同援日跨増深１．０・深２．０・２人・盲ろう</t>
  </si>
  <si>
    <t>同援日跨増深１．０・深２．０・基礎・盲ろう</t>
  </si>
  <si>
    <t>同援日跨増深１．０・深２．０・基礎・２人・盲ろう</t>
  </si>
  <si>
    <t>同援日跨増深１．０・深２．０・区３</t>
  </si>
  <si>
    <t>同援日跨増深１．０・深２．０・２人・区３</t>
  </si>
  <si>
    <t>A505</t>
  </si>
  <si>
    <t>同援日跨増深１．０・深２．０・基礎・区３</t>
  </si>
  <si>
    <t>A506</t>
  </si>
  <si>
    <t>同援日跨増深１．０・深２．０・基礎・２人・区３</t>
  </si>
  <si>
    <t>A507</t>
  </si>
  <si>
    <t>同援日跨増深１．０・深２．０・盲ろう・区３</t>
  </si>
  <si>
    <t>A508</t>
  </si>
  <si>
    <t>同援日跨増深１．０・深２．０・２人・盲ろう・区３</t>
  </si>
  <si>
    <t>A509</t>
  </si>
  <si>
    <t>同援日跨増深１．０・深２．０・基礎・盲ろう・区３</t>
  </si>
  <si>
    <t>A510</t>
  </si>
  <si>
    <t>同援日跨増深１．０・深２．０・基礎・２人・盲ろう・区３</t>
  </si>
  <si>
    <t>A511</t>
  </si>
  <si>
    <t>同援日跨増深１．０・深２．０・区４</t>
  </si>
  <si>
    <t>A512</t>
  </si>
  <si>
    <t>同援日跨増深１．０・深２．０・２人・区４</t>
  </si>
  <si>
    <t>A513</t>
  </si>
  <si>
    <t>同援日跨増深１．０・深２．０・基礎・区４</t>
  </si>
  <si>
    <t>A514</t>
  </si>
  <si>
    <t>同援日跨増深１．０・深２．０・基礎・２人・区４</t>
  </si>
  <si>
    <t>A515</t>
  </si>
  <si>
    <t>同援日跨増深１．０・深２．０・盲ろう・区４</t>
  </si>
  <si>
    <t>A516</t>
  </si>
  <si>
    <t>同援日跨増深１．０・深２．０・２人・盲ろう・区４</t>
  </si>
  <si>
    <t>A517</t>
  </si>
  <si>
    <t>同援日跨増深１．０・深２．０・基礎・盲ろう・区４</t>
  </si>
  <si>
    <t>A518</t>
  </si>
  <si>
    <t>同援日跨増深１．０・深２．０・基礎・２人・盲ろう・区４</t>
  </si>
  <si>
    <t>A519</t>
  </si>
  <si>
    <t>同援日跨増深１．５・深０．５</t>
  </si>
  <si>
    <t>A520</t>
  </si>
  <si>
    <t>同援日跨増深１．５・深０．５・２人</t>
  </si>
  <si>
    <t>同援日跨増深１．５・深０．５・基礎</t>
  </si>
  <si>
    <t>同援日跨増深１．５・深０．５・基礎・２人</t>
  </si>
  <si>
    <t>同援日跨増深１．５・深０．５・盲ろう</t>
  </si>
  <si>
    <t>同援日跨増深１．５・深０．５・２人・盲ろう</t>
  </si>
  <si>
    <t>A525</t>
  </si>
  <si>
    <t>同援日跨増深１．５・深０．５・基礎・盲ろう</t>
  </si>
  <si>
    <t>A526</t>
  </si>
  <si>
    <t>同援日跨増深１．５・深０．５・基礎・２人・盲ろう</t>
  </si>
  <si>
    <t>A527</t>
  </si>
  <si>
    <t>同援日跨増深１．５・深０．５・区３</t>
  </si>
  <si>
    <t>A528</t>
  </si>
  <si>
    <t>同援日跨増深１．５・深０．５・２人・区３</t>
  </si>
  <si>
    <t>A529</t>
  </si>
  <si>
    <t>同援日跨増深１．５・深０．５・基礎・区３</t>
  </si>
  <si>
    <t>A530</t>
  </si>
  <si>
    <t>同援日跨増深１．５・深０．５・基礎・２人・区３</t>
  </si>
  <si>
    <t>A531</t>
  </si>
  <si>
    <t>同援日跨増深１．５・深０．５・盲ろう・区３</t>
  </si>
  <si>
    <t>A532</t>
  </si>
  <si>
    <t>同援日跨増深１．５・深０．５・２人・盲ろう・区３</t>
  </si>
  <si>
    <t>A533</t>
  </si>
  <si>
    <t>同援日跨増深１．５・深０．５・基礎・盲ろう・区３</t>
  </si>
  <si>
    <t>A534</t>
  </si>
  <si>
    <t>同援日跨増深１．５・深０．５・基礎・２人・盲ろう・区３</t>
  </si>
  <si>
    <t>A535</t>
  </si>
  <si>
    <t>同援日跨増深１．５・深０．５・区４</t>
  </si>
  <si>
    <t>A536</t>
  </si>
  <si>
    <t>同援日跨増深１．５・深０．５・２人・区４</t>
  </si>
  <si>
    <t>A537</t>
  </si>
  <si>
    <t>同援日跨増深１．５・深０．５・基礎・区４</t>
  </si>
  <si>
    <t>A538</t>
  </si>
  <si>
    <t>同援日跨増深１．５・深０．５・基礎・２人・区４</t>
  </si>
  <si>
    <t>A539</t>
  </si>
  <si>
    <t>同援日跨増深１．５・深０．５・盲ろう・区４</t>
  </si>
  <si>
    <t>A540</t>
  </si>
  <si>
    <t>同援日跨増深１．５・深０．５・２人・盲ろう・区４</t>
  </si>
  <si>
    <t>同援日跨増深１．５・深０．５・基礎・盲ろう・区４</t>
  </si>
  <si>
    <t>同援日跨増深１．５・深０．５・基礎・２人・盲ろう・区４</t>
  </si>
  <si>
    <t>同援日跨増深１．５・深１．０</t>
  </si>
  <si>
    <t>同援日跨増深１．５・深１．０・２人</t>
  </si>
  <si>
    <t>A545</t>
  </si>
  <si>
    <t>同援日跨増深１．５・深１．０・基礎</t>
  </si>
  <si>
    <t>A546</t>
  </si>
  <si>
    <t>同援日跨増深１．５・深１．０・基礎・２人</t>
  </si>
  <si>
    <t>A547</t>
  </si>
  <si>
    <t>同援日跨増深１．５・深１．０・盲ろう</t>
  </si>
  <si>
    <t>A548</t>
  </si>
  <si>
    <t>同援日跨増深１．５・深１．０・２人・盲ろう</t>
  </si>
  <si>
    <t>A549</t>
  </si>
  <si>
    <t>同援日跨増深１．５・深１．０・基礎・盲ろう</t>
  </si>
  <si>
    <t>A550</t>
  </si>
  <si>
    <t>同援日跨増深１．５・深１．０・基礎・２人・盲ろう</t>
  </si>
  <si>
    <t>A551</t>
  </si>
  <si>
    <t>同援日跨増深１．５・深１．０・区３</t>
  </si>
  <si>
    <t>A552</t>
  </si>
  <si>
    <t>同援日跨増深１．５・深１．０・２人・区３</t>
  </si>
  <si>
    <t>A553</t>
  </si>
  <si>
    <t>同援日跨増深１．５・深１．０・基礎・区３</t>
  </si>
  <si>
    <t>A554</t>
  </si>
  <si>
    <t>同援日跨増深１．５・深１．０・基礎・２人・区３</t>
  </si>
  <si>
    <t>A555</t>
  </si>
  <si>
    <t>同援日跨増深１．５・深１．０・盲ろう・区３</t>
  </si>
  <si>
    <t>A556</t>
  </si>
  <si>
    <t>同援日跨増深１．５・深１．０・２人・盲ろう・区３</t>
  </si>
  <si>
    <t>A557</t>
  </si>
  <si>
    <t>同援日跨増深１．５・深１．０・基礎・盲ろう・区３</t>
  </si>
  <si>
    <t>A558</t>
  </si>
  <si>
    <t>同援日跨増深１．５・深１．０・基礎・２人・盲ろう・区３</t>
  </si>
  <si>
    <t>A559</t>
  </si>
  <si>
    <t>同援日跨増深１．５・深１．０・区４</t>
  </si>
  <si>
    <t>A560</t>
  </si>
  <si>
    <t>同援日跨増深１．５・深１．０・２人・区４</t>
  </si>
  <si>
    <t>同援日跨増深１．５・深１．０・基礎・区４</t>
  </si>
  <si>
    <t>同援日跨増深１．５・深１．０・基礎・２人・区４</t>
  </si>
  <si>
    <t>同援日跨増深１．５・深１．０・盲ろう・区４</t>
  </si>
  <si>
    <t>同援日跨増深１．５・深１．０・２人・盲ろう・区４</t>
  </si>
  <si>
    <t>A565</t>
  </si>
  <si>
    <t>同援日跨増深１．５・深１．０・基礎・盲ろう・区４</t>
  </si>
  <si>
    <t>A566</t>
  </si>
  <si>
    <t>同援日跨増深１．５・深１．０・基礎・２人・盲ろう・区４</t>
  </si>
  <si>
    <t>A567</t>
  </si>
  <si>
    <t>同援日跨増深１．５・深１．５</t>
  </si>
  <si>
    <t>A568</t>
  </si>
  <si>
    <t>同援日跨増深１．５・深１．５・２人</t>
  </si>
  <si>
    <t>A569</t>
  </si>
  <si>
    <t>同援日跨増深１．５・深１．５・基礎</t>
  </si>
  <si>
    <t>A570</t>
  </si>
  <si>
    <t>同援日跨増深１．５・深１．５・基礎・２人</t>
  </si>
  <si>
    <t>A571</t>
  </si>
  <si>
    <t>同援日跨増深１．５・深１．５・盲ろう</t>
  </si>
  <si>
    <t>A572</t>
  </si>
  <si>
    <t>同援日跨増深１．５・深１．５・２人・盲ろう</t>
  </si>
  <si>
    <t>A573</t>
  </si>
  <si>
    <t>同援日跨増深１．５・深１．５・基礎・盲ろう</t>
  </si>
  <si>
    <t>A574</t>
  </si>
  <si>
    <t>同援日跨増深１．５・深１．５・基礎・２人・盲ろう</t>
  </si>
  <si>
    <t>A575</t>
  </si>
  <si>
    <t>同援日跨増深１．５・深１．５・区３</t>
  </si>
  <si>
    <t>A576</t>
  </si>
  <si>
    <t>同援日跨増深１．５・深１．５・２人・区３</t>
  </si>
  <si>
    <t>A577</t>
  </si>
  <si>
    <t>同援日跨増深１．５・深１．５・基礎・区３</t>
  </si>
  <si>
    <t>A578</t>
  </si>
  <si>
    <t>同援日跨増深１．５・深１．５・基礎・２人・区３</t>
  </si>
  <si>
    <t>A579</t>
  </si>
  <si>
    <t>同援日跨増深１．５・深１．５・盲ろう・区３</t>
  </si>
  <si>
    <t>A580</t>
  </si>
  <si>
    <t>同援日跨増深１．５・深１．５・２人・盲ろう・区３</t>
  </si>
  <si>
    <t>同援日跨増深１．５・深１．５・基礎・盲ろう・区３</t>
  </si>
  <si>
    <t>同援日跨増深１．５・深１．５・基礎・２人・盲ろう・区３</t>
  </si>
  <si>
    <t>同援日跨増深１．５・深１．５・区４</t>
  </si>
  <si>
    <t>同援日跨増深１．５・深１．５・２人・区４</t>
  </si>
  <si>
    <t>A585</t>
  </si>
  <si>
    <t>同援日跨増深１．５・深１．５・基礎・区４</t>
  </si>
  <si>
    <t>A586</t>
  </si>
  <si>
    <t>同援日跨増深１．５・深１．５・基礎・２人・区４</t>
  </si>
  <si>
    <t>A587</t>
  </si>
  <si>
    <t>同援日跨増深１．５・深１．５・盲ろう・区４</t>
  </si>
  <si>
    <t>A588</t>
  </si>
  <si>
    <t>同援日跨増深１．５・深１．５・２人・盲ろう・区４</t>
  </si>
  <si>
    <t>A589</t>
  </si>
  <si>
    <t>同援日跨増深１．５・深１．５・基礎・盲ろう・区４</t>
  </si>
  <si>
    <t>A590</t>
  </si>
  <si>
    <t>同援日跨増深１．５・深１．５・基礎・２人・盲ろう・区４</t>
  </si>
  <si>
    <t>A591</t>
  </si>
  <si>
    <t>同援日跨増深２．０・深０．５</t>
  </si>
  <si>
    <t>A592</t>
  </si>
  <si>
    <t>同援日跨増深２．０・深０．５・２人</t>
  </si>
  <si>
    <t>A593</t>
  </si>
  <si>
    <t>同援日跨増深２．０・深０．５・基礎</t>
  </si>
  <si>
    <t>A594</t>
  </si>
  <si>
    <t>同援日跨増深２．０・深０．５・基礎・２人</t>
  </si>
  <si>
    <t>A595</t>
  </si>
  <si>
    <t>同援日跨増深２．０・深０．５・盲ろう</t>
  </si>
  <si>
    <t>A596</t>
  </si>
  <si>
    <t>同援日跨増深２．０・深０．５・２人・盲ろう</t>
  </si>
  <si>
    <t>A597</t>
  </si>
  <si>
    <t>同援日跨増深２．０・深０．５・基礎・盲ろう</t>
  </si>
  <si>
    <t>A598</t>
  </si>
  <si>
    <t>同援日跨増深２．０・深０．５・基礎・２人・盲ろう</t>
  </si>
  <si>
    <t>A599</t>
  </si>
  <si>
    <t>同援日跨増深２．０・深０．５・区３</t>
  </si>
  <si>
    <t>A600</t>
  </si>
  <si>
    <t>同援日跨増深２．０・深０．５・２人・区３</t>
  </si>
  <si>
    <t>同援日跨増深２．０・深０．５・基礎・区３</t>
  </si>
  <si>
    <t>同援日跨増深２．０・深０．５・基礎・２人・区３</t>
  </si>
  <si>
    <t>同援日跨増深２．０・深０．５・盲ろう・区３</t>
  </si>
  <si>
    <t>同援日跨増深２．０・深０．５・２人・盲ろう・区３</t>
  </si>
  <si>
    <t>A605</t>
  </si>
  <si>
    <t>同援日跨増深２．０・深０．５・基礎・盲ろう・区３</t>
  </si>
  <si>
    <t>A606</t>
  </si>
  <si>
    <t>同援日跨増深２．０・深０．５・基礎・２人・盲ろう・区３</t>
  </si>
  <si>
    <t>A607</t>
  </si>
  <si>
    <t>同援日跨増深２．０・深０．５・区４</t>
  </si>
  <si>
    <t>A608</t>
  </si>
  <si>
    <t>同援日跨増深２．０・深０．５・２人・区４</t>
  </si>
  <si>
    <t>A609</t>
  </si>
  <si>
    <t>同援日跨増深２．０・深０．５・基礎・区４</t>
  </si>
  <si>
    <t>A610</t>
  </si>
  <si>
    <t>同援日跨増深２．０・深０．５・基礎・２人・区４</t>
  </si>
  <si>
    <t>A611</t>
  </si>
  <si>
    <t>同援日跨増深２．０・深０．５・盲ろう・区４</t>
  </si>
  <si>
    <t>A612</t>
  </si>
  <si>
    <t>同援日跨増深２．０・深０．５・２人・盲ろう・区４</t>
  </si>
  <si>
    <t>A613</t>
  </si>
  <si>
    <t>同援日跨増深２．０・深０．５・基礎・盲ろう・区４</t>
  </si>
  <si>
    <t>A614</t>
  </si>
  <si>
    <t>同援日跨増深２．０・深０．５・基礎・２人・盲ろう・区４</t>
  </si>
  <si>
    <t>A615</t>
  </si>
  <si>
    <t>同援日跨増深２．０・深１．０</t>
  </si>
  <si>
    <t>A616</t>
  </si>
  <si>
    <t>同援日跨増深２．０・深１．０・２人</t>
  </si>
  <si>
    <t>A617</t>
  </si>
  <si>
    <t>同援日跨増深２．０・深１．０・基礎</t>
  </si>
  <si>
    <t>A618</t>
  </si>
  <si>
    <t>同援日跨増深２．０・深１．０・基礎・２人</t>
  </si>
  <si>
    <t>A619</t>
  </si>
  <si>
    <t>同援日跨増深２．０・深１．０・盲ろう</t>
  </si>
  <si>
    <t>A620</t>
  </si>
  <si>
    <t>同援日跨増深２．０・深１．０・２人・盲ろう</t>
  </si>
  <si>
    <t>同援日跨増深２．０・深１．０・基礎・盲ろう</t>
  </si>
  <si>
    <t>同援日跨増深２．０・深１．０・基礎・２人・盲ろう</t>
  </si>
  <si>
    <t>同援日跨増深２．０・深１．０・区３</t>
  </si>
  <si>
    <t>同援日跨増深２．０・深１．０・２人・区３</t>
  </si>
  <si>
    <t>A625</t>
  </si>
  <si>
    <t>同援日跨増深２．０・深１．０・基礎・区３</t>
  </si>
  <si>
    <t>A626</t>
  </si>
  <si>
    <t>同援日跨増深２．０・深１．０・基礎・２人・区３</t>
  </si>
  <si>
    <t>A627</t>
  </si>
  <si>
    <t>同援日跨増深２．０・深１．０・盲ろう・区３</t>
  </si>
  <si>
    <t>A628</t>
  </si>
  <si>
    <t>同援日跨増深２．０・深１．０・２人・盲ろう・区３</t>
  </si>
  <si>
    <t>A629</t>
  </si>
  <si>
    <t>同援日跨増深２．０・深１．０・基礎・盲ろう・区３</t>
  </si>
  <si>
    <t>A630</t>
  </si>
  <si>
    <t>同援日跨増深２．０・深１．０・基礎・２人・盲ろう・区３</t>
  </si>
  <si>
    <t>A631</t>
  </si>
  <si>
    <t>同援日跨増深２．０・深１．０・区４</t>
  </si>
  <si>
    <t>A632</t>
  </si>
  <si>
    <t>同援日跨増深２．０・深１．０・２人・区４</t>
  </si>
  <si>
    <t>A633</t>
  </si>
  <si>
    <t>同援日跨増深２．０・深１．０・基礎・区４</t>
  </si>
  <si>
    <t>A634</t>
  </si>
  <si>
    <t>同援日跨増深２．０・深１．０・基礎・２人・区４</t>
  </si>
  <si>
    <t>A635</t>
  </si>
  <si>
    <t>同援日跨増深２．０・深１．０・盲ろう・区４</t>
  </si>
  <si>
    <t>A636</t>
  </si>
  <si>
    <t>同援日跨増深２．０・深１．０・２人・盲ろう・区４</t>
  </si>
  <si>
    <t>A637</t>
  </si>
  <si>
    <t>同援日跨増深２．０・深１．０・基礎・盲ろう・区４</t>
  </si>
  <si>
    <t>A638</t>
  </si>
  <si>
    <t>同援日跨増深２．０・深１．０・基礎・２人・盲ろう・区４</t>
  </si>
  <si>
    <t>A639</t>
  </si>
  <si>
    <t>同援日跨増深２．５・深０．５</t>
  </si>
  <si>
    <t>A640</t>
  </si>
  <si>
    <t>同援日跨増深２．５・深０．５・２人</t>
  </si>
  <si>
    <t>同援日跨増深２．５・深０．５・基礎</t>
  </si>
  <si>
    <t>同援日跨増深２．５・深０．５・基礎・２人</t>
  </si>
  <si>
    <t>同援日跨増深２．５・深０．５・盲ろう</t>
  </si>
  <si>
    <t>同援日跨増深２．５・深０．５・２人・盲ろう</t>
  </si>
  <si>
    <t>A645</t>
  </si>
  <si>
    <t>同援日跨増深２．５・深０．５・基礎・盲ろう</t>
  </si>
  <si>
    <t>A646</t>
  </si>
  <si>
    <t>同援日跨増深２．５・深０．５・基礎・２人・盲ろう</t>
  </si>
  <si>
    <t>A647</t>
  </si>
  <si>
    <t>同援日跨増深２．５・深０．５・区３</t>
  </si>
  <si>
    <t>A648</t>
  </si>
  <si>
    <t>同援日跨増深２．５・深０．５・２人・区３</t>
  </si>
  <si>
    <t>A649</t>
  </si>
  <si>
    <t>同援日跨増深２．５・深０．５・基礎・区３</t>
  </si>
  <si>
    <t>A650</t>
  </si>
  <si>
    <t>同援日跨増深２．５・深０．５・基礎・２人・区３</t>
  </si>
  <si>
    <t>A651</t>
  </si>
  <si>
    <t>同援日跨増深２．５・深０．５・盲ろう・区３</t>
  </si>
  <si>
    <t>A652</t>
  </si>
  <si>
    <t>同援日跨増深２．５・深０．５・２人・盲ろう・区３</t>
  </si>
  <si>
    <t>A653</t>
  </si>
  <si>
    <t>同援日跨増深２．５・深０．５・基礎・盲ろう・区３</t>
  </si>
  <si>
    <t>A654</t>
  </si>
  <si>
    <t>同援日跨増深２．５・深０．５・基礎・２人・盲ろう・区３</t>
  </si>
  <si>
    <t>A655</t>
  </si>
  <si>
    <t>同援日跨増深２．５・深０．５・区４</t>
  </si>
  <si>
    <t>A656</t>
  </si>
  <si>
    <t>同援日跨増深２．５・深０．５・２人・区４</t>
  </si>
  <si>
    <t>A657</t>
  </si>
  <si>
    <t>同援日跨増深２．５・深０．５・基礎・区４</t>
  </si>
  <si>
    <t>A658</t>
  </si>
  <si>
    <t>同援日跨増深２．５・深０．５・基礎・２人・区４</t>
  </si>
  <si>
    <t>A659</t>
  </si>
  <si>
    <t>同援日跨増深２．５・深０．５・盲ろう・区４</t>
  </si>
  <si>
    <t>A660</t>
  </si>
  <si>
    <t>同援日跨増深２．５・深０．５・２人・盲ろう・区４</t>
  </si>
  <si>
    <t>同援日跨増深２．５・深０．５・基礎・盲ろう・区４</t>
  </si>
  <si>
    <t>同援日跨増深２．５・深０．５・基礎・２人・盲ろう・区４</t>
  </si>
  <si>
    <t>（深夜＋早朝＋日中）　　※サービス間隔が２時間未満の場合</t>
    <phoneticPr fontId="1"/>
  </si>
  <si>
    <t>同援深０．５・早０．５・日０．５</t>
  </si>
  <si>
    <t>同援深０．５・早０．５・日０．５・２人</t>
  </si>
  <si>
    <t>A665</t>
  </si>
  <si>
    <t>同援深０．５・早０．５・日０．５・基礎</t>
  </si>
  <si>
    <t>A666</t>
  </si>
  <si>
    <t>同援深０．５・早０．５・日０．５・基礎・２人</t>
  </si>
  <si>
    <t>A667</t>
  </si>
  <si>
    <t>同援深０．５・早０．５・日０．５・盲ろう</t>
  </si>
  <si>
    <t>A668</t>
  </si>
  <si>
    <t>同援深０．５・早０．５・日０．５・２人・盲ろう</t>
  </si>
  <si>
    <t>A669</t>
  </si>
  <si>
    <t>同援深０．５・早０．５・日０．５・基礎・盲ろう</t>
  </si>
  <si>
    <t>場合 B</t>
  </si>
  <si>
    <t>A670</t>
  </si>
  <si>
    <t>同援深０．５・早０．５・日０．５・基礎・２人・盲ろう</t>
  </si>
  <si>
    <t>A671</t>
  </si>
  <si>
    <t>同援深０．５・早０．５・日０．５・区３</t>
  </si>
  <si>
    <t>A672</t>
  </si>
  <si>
    <t>同援深０．５・早０．５・日０．５・２人・区３</t>
  </si>
  <si>
    <t>A673</t>
  </si>
  <si>
    <t>同援深０．５・早０．５・日０．５・基礎・区３</t>
  </si>
  <si>
    <t>A674</t>
  </si>
  <si>
    <t>同援深０．５・早０．５・日０．５・基礎・２人・区３</t>
  </si>
  <si>
    <t>A675</t>
  </si>
  <si>
    <t>同援深０．５・早０．５・日０．５・盲ろう・区３</t>
  </si>
  <si>
    <t>A676</t>
  </si>
  <si>
    <t>同援深０．５・早０．５・日０．５・２人・盲ろう・区３</t>
  </si>
  <si>
    <t>A677</t>
  </si>
  <si>
    <t>同援深０．５・早０．５・日０．５・基礎・盲ろう・区３</t>
  </si>
  <si>
    <t>A678</t>
  </si>
  <si>
    <t>同援深０．５・早０．５・日０．５・基礎・２人・盲ろう・区３</t>
  </si>
  <si>
    <t>A679</t>
  </si>
  <si>
    <t>同援深０．５・早０．５・日０．５・区４</t>
  </si>
  <si>
    <t>A680</t>
  </si>
  <si>
    <t>同援深０．５・早０．５・日０．５・２人・区４</t>
  </si>
  <si>
    <t>同援深０．５・早０．５・日０．５・基礎・区４</t>
  </si>
  <si>
    <t>同援深０．５・早０．５・日０．５・基礎・２人・区４</t>
  </si>
  <si>
    <t>同援深０．５・早０．５・日０．５・盲ろう・区４</t>
  </si>
  <si>
    <t>同援深０．５・早０．５・日０．５・２人・盲ろう・区４</t>
  </si>
  <si>
    <t>A685</t>
  </si>
  <si>
    <t>同援深０．５・早０．５・日０．５・基礎・盲ろう・区４</t>
  </si>
  <si>
    <t>A686</t>
  </si>
  <si>
    <t>同援深０．５・早０．５・日０．５・基礎・２人・盲ろう・区４</t>
  </si>
  <si>
    <t>A687</t>
  </si>
  <si>
    <t>同援深０．５・早０．５・日１．０</t>
  </si>
  <si>
    <t>(二)日中</t>
    <phoneticPr fontId="1"/>
  </si>
  <si>
    <t>A688</t>
  </si>
  <si>
    <t>同援深０．５・早０．５・日１．０・２人</t>
  </si>
  <si>
    <t>A689</t>
  </si>
  <si>
    <t>同援深０．５・早０．５・日１．０・基礎</t>
  </si>
  <si>
    <t>A690</t>
  </si>
  <si>
    <t>同援深０．５・早０．５・日１．０・基礎・２人</t>
  </si>
  <si>
    <t>A691</t>
  </si>
  <si>
    <t>同援深０．５・早０．５・日１．０・盲ろう</t>
  </si>
  <si>
    <t>A692</t>
  </si>
  <si>
    <t>同援深０．５・早０．５・日１．０・２人・盲ろう</t>
  </si>
  <si>
    <t>A693</t>
  </si>
  <si>
    <t>同援深０．５・早０．５・日１．０・基礎・盲ろう</t>
  </si>
  <si>
    <t>A694</t>
  </si>
  <si>
    <t>同援深０．５・早０．５・日１．０・基礎・２人・盲ろう</t>
  </si>
  <si>
    <t>A695</t>
  </si>
  <si>
    <t>同援深０．５・早０．５・日１．０・区３</t>
  </si>
  <si>
    <t>A696</t>
  </si>
  <si>
    <t>同援深０．５・早０．５・日１．０・２人・区３</t>
  </si>
  <si>
    <t>A697</t>
  </si>
  <si>
    <t>同援深０．５・早０．５・日１．０・基礎・区３</t>
  </si>
  <si>
    <t>A698</t>
  </si>
  <si>
    <t>同援深０．５・早０．５・日１．０・基礎・２人・区３</t>
  </si>
  <si>
    <t>A699</t>
  </si>
  <si>
    <t>同援深０．５・早０．５・日１．０・盲ろう・区３</t>
  </si>
  <si>
    <t>A700</t>
  </si>
  <si>
    <t>同援深０．５・早０．５・日１．０・２人・盲ろう・区３</t>
  </si>
  <si>
    <t>同援深０．５・早０．５・日１．０・基礎・盲ろう・区３</t>
  </si>
  <si>
    <t>同援深０．５・早０．５・日１．０・基礎・２人・盲ろう・区３</t>
  </si>
  <si>
    <t>同援深０．５・早０．５・日１．０・区４</t>
  </si>
  <si>
    <t>同援深０．５・早０．５・日１．０・２人・区４</t>
  </si>
  <si>
    <t>A705</t>
  </si>
  <si>
    <t>同援深０．５・早０．５・日１．０・基礎・区４</t>
  </si>
  <si>
    <t>A706</t>
  </si>
  <si>
    <t>同援深０．５・早０．５・日１．０・基礎・２人・区４</t>
  </si>
  <si>
    <t>A707</t>
  </si>
  <si>
    <t>同援深０．５・早０．５・日１．０・盲ろう・区４</t>
  </si>
  <si>
    <t>A708</t>
  </si>
  <si>
    <t>同援深０．５・早０．５・日１．０・２人・盲ろう・区４</t>
  </si>
  <si>
    <t>A709</t>
  </si>
  <si>
    <t>同援深０．５・早０．５・日１．０・基礎・盲ろう・区４</t>
  </si>
  <si>
    <t>A710</t>
  </si>
  <si>
    <t>同援深０．５・早０．５・日１．０・基礎・２人・盲ろう・区４</t>
  </si>
  <si>
    <t>A711</t>
  </si>
  <si>
    <t>同援深０．５・早０．５・日１．５</t>
  </si>
  <si>
    <t>(三)日中</t>
    <phoneticPr fontId="1"/>
  </si>
  <si>
    <t>A712</t>
  </si>
  <si>
    <t>同援深０．５・早０．５・日１．５・２人</t>
  </si>
  <si>
    <t>A713</t>
  </si>
  <si>
    <t>同援深０．５・早０．５・日１．５・基礎</t>
  </si>
  <si>
    <t>A714</t>
  </si>
  <si>
    <t>同援深０．５・早０．５・日１．５・基礎・２人</t>
  </si>
  <si>
    <t>A715</t>
  </si>
  <si>
    <t>同援深０．５・早０．５・日１．５・盲ろう</t>
  </si>
  <si>
    <t>A716</t>
  </si>
  <si>
    <t>同援深０．５・早０．５・日１．５・２人・盲ろう</t>
  </si>
  <si>
    <t>A717</t>
  </si>
  <si>
    <t>同援深０．５・早０．５・日１．５・基礎・盲ろう</t>
  </si>
  <si>
    <t>A718</t>
  </si>
  <si>
    <t>同援深０．５・早０．５・日１．５・基礎・２人・盲ろう</t>
  </si>
  <si>
    <t>A719</t>
  </si>
  <si>
    <t>同援深０．５・早０．５・日１．５・区３</t>
  </si>
  <si>
    <t>A720</t>
  </si>
  <si>
    <t>同援深０．５・早０．５・日１．５・２人・区３</t>
  </si>
  <si>
    <t>同援深０．５・早０．５・日１．５・基礎・区３</t>
  </si>
  <si>
    <t>同援深０．５・早０．５・日１．５・基礎・２人・区３</t>
  </si>
  <si>
    <t>同援深０．５・早０．５・日１．５・盲ろう・区３</t>
  </si>
  <si>
    <t>同援深０．５・早０．５・日１．５・２人・盲ろう・区３</t>
  </si>
  <si>
    <t>A725</t>
  </si>
  <si>
    <t>同援深０．５・早０．５・日１．５・基礎・盲ろう・区３</t>
  </si>
  <si>
    <t>A726</t>
  </si>
  <si>
    <t>同援深０．５・早０．５・日１．５・基礎・２人・盲ろう・区３</t>
  </si>
  <si>
    <t>A727</t>
  </si>
  <si>
    <t>同援深０．５・早０．５・日１．５・区４</t>
  </si>
  <si>
    <t>A728</t>
  </si>
  <si>
    <t>同援深０．５・早０．５・日１．５・２人・区４</t>
  </si>
  <si>
    <t>A729</t>
  </si>
  <si>
    <t>同援深０．５・早０．５・日１．５・基礎・区４</t>
  </si>
  <si>
    <t>A730</t>
  </si>
  <si>
    <t>同援深０．５・早０．５・日１．５・基礎・２人・区４</t>
  </si>
  <si>
    <t>A731</t>
  </si>
  <si>
    <t>同援深０．５・早０．５・日１．５・盲ろう・区４</t>
  </si>
  <si>
    <t>A732</t>
  </si>
  <si>
    <t>同援深０．５・早０．５・日１．５・２人・盲ろう・区４</t>
  </si>
  <si>
    <t>A733</t>
  </si>
  <si>
    <t>同援深０．５・早０．５・日１．５・基礎・盲ろう・区４</t>
  </si>
  <si>
    <t>A734</t>
  </si>
  <si>
    <t>同援深０．５・早０．５・日１．５・基礎・２人・盲ろう・区４</t>
  </si>
  <si>
    <t>A735</t>
  </si>
  <si>
    <t>同援深０．５・早０．５・日２．０</t>
  </si>
  <si>
    <t>(四)日中</t>
    <phoneticPr fontId="1"/>
  </si>
  <si>
    <t>A736</t>
  </si>
  <si>
    <t>同援深０．５・早０．５・日２．０・２人</t>
  </si>
  <si>
    <t>A737</t>
  </si>
  <si>
    <t>同援深０．５・早０．５・日２．０・基礎</t>
  </si>
  <si>
    <t>A738</t>
  </si>
  <si>
    <t>同援深０．５・早０．５・日２．０・基礎・２人</t>
  </si>
  <si>
    <t>A739</t>
  </si>
  <si>
    <t>同援深０．５・早０．５・日２．０・盲ろう</t>
  </si>
  <si>
    <t>A740</t>
  </si>
  <si>
    <t>同援深０．５・早０．５・日２．０・２人・盲ろう</t>
  </si>
  <si>
    <t>同援深０．５・早０．５・日２．０・基礎・盲ろう</t>
  </si>
  <si>
    <t>同援深０．５・早０．５・日２．０・基礎・２人・盲ろう</t>
  </si>
  <si>
    <t>同援深０．５・早０．５・日２．０・区３</t>
  </si>
  <si>
    <t>同援深０．５・早０．５・日２．０・２人・区３</t>
  </si>
  <si>
    <t>A745</t>
  </si>
  <si>
    <t>同援深０．５・早０．５・日２．０・基礎・区３</t>
  </si>
  <si>
    <t>A746</t>
  </si>
  <si>
    <t>同援深０．５・早０．５・日２．０・基礎・２人・区３</t>
  </si>
  <si>
    <t>A747</t>
  </si>
  <si>
    <t>同援深０．５・早０．５・日２．０・盲ろう・区３</t>
  </si>
  <si>
    <t>A748</t>
  </si>
  <si>
    <t>同援深０．５・早０．５・日２．０・２人・盲ろう・区３</t>
  </si>
  <si>
    <t>A749</t>
  </si>
  <si>
    <t>同援深０．５・早０．５・日２．０・基礎・盲ろう・区３</t>
  </si>
  <si>
    <t>A750</t>
  </si>
  <si>
    <t>同援深０．５・早０．５・日２．０・基礎・２人・盲ろう・区３</t>
  </si>
  <si>
    <t>A751</t>
  </si>
  <si>
    <t>同援深０．５・早０．５・日２．０・区４</t>
  </si>
  <si>
    <t>A752</t>
  </si>
  <si>
    <t>同援深０．５・早０．５・日２．０・２人・区４</t>
  </si>
  <si>
    <t>A753</t>
  </si>
  <si>
    <t>同援深０．５・早０．５・日２．０・基礎・区４</t>
  </si>
  <si>
    <t>A754</t>
  </si>
  <si>
    <t>同援深０．５・早０．５・日２．０・基礎・２人・区４</t>
  </si>
  <si>
    <t>A755</t>
  </si>
  <si>
    <t>同援深０．５・早０．５・日２．０・盲ろう・区４</t>
  </si>
  <si>
    <t>A756</t>
  </si>
  <si>
    <t>同援深０．５・早０．５・日２．０・２人・盲ろう・区４</t>
  </si>
  <si>
    <t>A757</t>
  </si>
  <si>
    <t>同援深０．５・早０．５・日２．０・基礎・盲ろう・区４</t>
  </si>
  <si>
    <t>A758</t>
  </si>
  <si>
    <t>同援深０．５・早０．５・日２．０・基礎・２人・盲ろう・区４</t>
  </si>
  <si>
    <t>A759</t>
  </si>
  <si>
    <t>同援深０．５・早１．０・日０．５</t>
  </si>
  <si>
    <t>A760</t>
  </si>
  <si>
    <t>同援深０．５・早１．０・日０．５・２人</t>
  </si>
  <si>
    <t>同援深０．５・早１．０・日０．５・基礎</t>
  </si>
  <si>
    <t>同援深０．５・早１．０・日０．５・基礎・２人</t>
  </si>
  <si>
    <t>同援深０．５・早１．０・日０．５・盲ろう</t>
  </si>
  <si>
    <t>同援深０．５・早１．０・日０．５・２人・盲ろう</t>
  </si>
  <si>
    <t>A765</t>
  </si>
  <si>
    <t>同援深０．５・早１．０・日０．５・基礎・盲ろう</t>
  </si>
  <si>
    <t>A766</t>
  </si>
  <si>
    <t>同援深０．５・早１．０・日０．５・基礎・２人・盲ろう</t>
  </si>
  <si>
    <t>A767</t>
  </si>
  <si>
    <t>同援深０．５・早１．０・日０．５・区３</t>
  </si>
  <si>
    <t>A768</t>
  </si>
  <si>
    <t>同援深０．５・早１．０・日０．５・２人・区３</t>
  </si>
  <si>
    <t>A769</t>
  </si>
  <si>
    <t>同援深０．５・早１．０・日０．５・基礎・区３</t>
  </si>
  <si>
    <t>A770</t>
  </si>
  <si>
    <t>同援深０．５・早１．０・日０．５・基礎・２人・区３</t>
  </si>
  <si>
    <t>A771</t>
  </si>
  <si>
    <t>同援深０．５・早１．０・日０．５・盲ろう・区３</t>
  </si>
  <si>
    <t>A772</t>
  </si>
  <si>
    <t>同援深０．５・早１．０・日０．５・２人・盲ろう・区３</t>
  </si>
  <si>
    <t>A773</t>
  </si>
  <si>
    <t>同援深０．５・早１．０・日０．５・基礎・盲ろう・区３</t>
  </si>
  <si>
    <t>A774</t>
  </si>
  <si>
    <t>同援深０．５・早１．０・日０．５・基礎・２人・盲ろう・区３</t>
  </si>
  <si>
    <t>A775</t>
  </si>
  <si>
    <t>同援深０．５・早１．０・日０．５・区４</t>
  </si>
  <si>
    <t>A776</t>
  </si>
  <si>
    <t>同援深０．５・早１．０・日０．５・２人・区４</t>
  </si>
  <si>
    <t>A777</t>
  </si>
  <si>
    <t>同援深０．５・早１．０・日０．５・基礎・区４</t>
  </si>
  <si>
    <t>A778</t>
  </si>
  <si>
    <t>同援深０．５・早１．０・日０．５・基礎・２人・区４</t>
  </si>
  <si>
    <t>A779</t>
  </si>
  <si>
    <t>同援深０．５・早１．０・日０．５・盲ろう・区４</t>
  </si>
  <si>
    <t>A780</t>
  </si>
  <si>
    <t>同援深０．５・早１．０・日０．５・２人・盲ろう・区４</t>
  </si>
  <si>
    <t>同援深０．５・早１．０・日０．５・基礎・盲ろう・区４</t>
  </si>
  <si>
    <t>同援深０．５・早１．０・日０．５・基礎・２人・盲ろう・区４</t>
  </si>
  <si>
    <t>同援深０．５・早１．０・日１．０</t>
  </si>
  <si>
    <t>同援深０．５・早１．０・日１．０・２人</t>
  </si>
  <si>
    <t>A785</t>
  </si>
  <si>
    <t>同援深０．５・早１．０・日１．０・基礎</t>
  </si>
  <si>
    <t>A786</t>
  </si>
  <si>
    <t>同援深０．５・早１．０・日１．０・基礎・２人</t>
  </si>
  <si>
    <t>A787</t>
  </si>
  <si>
    <t>同援深０．５・早１．０・日１．０・盲ろう</t>
  </si>
  <si>
    <t>A788</t>
  </si>
  <si>
    <t>同援深０．５・早１．０・日１．０・２人・盲ろう</t>
  </si>
  <si>
    <t>A789</t>
  </si>
  <si>
    <t>同援深０．５・早１．０・日１．０・基礎・盲ろう</t>
  </si>
  <si>
    <t>A790</t>
  </si>
  <si>
    <t>同援深０．５・早１．０・日１．０・基礎・２人・盲ろう</t>
  </si>
  <si>
    <t>A791</t>
  </si>
  <si>
    <t>同援深０．５・早１．０・日１．０・区３</t>
  </si>
  <si>
    <t>A792</t>
  </si>
  <si>
    <t>同援深０．５・早１．０・日１．０・２人・区３</t>
  </si>
  <si>
    <t>A793</t>
  </si>
  <si>
    <t>同援深０．５・早１．０・日１．０・基礎・区３</t>
  </si>
  <si>
    <t>A794</t>
  </si>
  <si>
    <t>同援深０．５・早１．０・日１．０・基礎・２人・区３</t>
  </si>
  <si>
    <t>A795</t>
  </si>
  <si>
    <t>同援深０．５・早１．０・日１．０・盲ろう・区３</t>
  </si>
  <si>
    <t>A796</t>
  </si>
  <si>
    <t>同援深０．５・早１．０・日１．０・２人・盲ろう・区３</t>
  </si>
  <si>
    <t>A797</t>
  </si>
  <si>
    <t>同援深０．５・早１．０・日１．０・基礎・盲ろう・区３</t>
  </si>
  <si>
    <t>A798</t>
  </si>
  <si>
    <t>同援深０．５・早１．０・日１．０・基礎・２人・盲ろう・区３</t>
  </si>
  <si>
    <t>A799</t>
  </si>
  <si>
    <t>同援深０．５・早１．０・日１．０・区４</t>
  </si>
  <si>
    <t>A800</t>
  </si>
  <si>
    <t>同援深０．５・早１．０・日１．０・２人・区４</t>
  </si>
  <si>
    <t>同援深０．５・早１．０・日１．０・基礎・区４</t>
  </si>
  <si>
    <t>同援深０．５・早１．０・日１．０・基礎・２人・区４</t>
  </si>
  <si>
    <t>同援深０．５・早１．０・日１．０・盲ろう・区４</t>
  </si>
  <si>
    <t>同援深０．５・早１．０・日１．０・２人・盲ろう・区４</t>
  </si>
  <si>
    <t>A805</t>
  </si>
  <si>
    <t>同援深０．５・早１．０・日１．０・基礎・盲ろう・区４</t>
  </si>
  <si>
    <t>A806</t>
  </si>
  <si>
    <t>同援深０．５・早１．０・日１．０・基礎・２人・盲ろう・区４</t>
  </si>
  <si>
    <t>A807</t>
  </si>
  <si>
    <t>同援深０．５・早１．０・日１．５</t>
  </si>
  <si>
    <t>A808</t>
  </si>
  <si>
    <t>同援深０．５・早１．０・日１．５・２人</t>
  </si>
  <si>
    <t>A809</t>
  </si>
  <si>
    <t>同援深０．５・早１．０・日１．５・基礎</t>
  </si>
  <si>
    <t>A810</t>
  </si>
  <si>
    <t>同援深０．５・早１．０・日１．５・基礎・２人</t>
  </si>
  <si>
    <t>A811</t>
  </si>
  <si>
    <t>同援深０．５・早１．０・日１．５・盲ろう</t>
  </si>
  <si>
    <t>A812</t>
  </si>
  <si>
    <t>同援深０．５・早１．０・日１．５・２人・盲ろう</t>
  </si>
  <si>
    <t>A813</t>
  </si>
  <si>
    <t>同援深０．５・早１．０・日１．５・基礎・盲ろう</t>
  </si>
  <si>
    <t>A814</t>
  </si>
  <si>
    <t>同援深０．５・早１．０・日１．５・基礎・２人・盲ろう</t>
  </si>
  <si>
    <t>A815</t>
  </si>
  <si>
    <t>同援深０．５・早１．０・日１．５・区３</t>
  </si>
  <si>
    <t>A816</t>
  </si>
  <si>
    <t>同援深０．５・早１．０・日１．５・２人・区３</t>
  </si>
  <si>
    <t>A817</t>
  </si>
  <si>
    <t>同援深０．５・早１．０・日１．５・基礎・区３</t>
  </si>
  <si>
    <t>A818</t>
  </si>
  <si>
    <t>同援深０．５・早１．０・日１．５・基礎・２人・区３</t>
  </si>
  <si>
    <t>A819</t>
  </si>
  <si>
    <t>同援深０．５・早１．０・日１．５・盲ろう・区３</t>
  </si>
  <si>
    <t>A820</t>
  </si>
  <si>
    <t>同援深０．５・早１．０・日１．５・２人・盲ろう・区３</t>
  </si>
  <si>
    <t>同援深０．５・早１．０・日１．５・基礎・盲ろう・区３</t>
  </si>
  <si>
    <t>同援深０．５・早１．０・日１．５・基礎・２人・盲ろう・区３</t>
  </si>
  <si>
    <t>同援深０．５・早１．０・日１．５・区４</t>
  </si>
  <si>
    <t>同援深０．５・早１．０・日１．５・２人・区４</t>
  </si>
  <si>
    <t>A825</t>
  </si>
  <si>
    <t>同援深０．５・早１．０・日１．５・基礎・区４</t>
  </si>
  <si>
    <t>A826</t>
  </si>
  <si>
    <t>同援深０．５・早１．０・日１．５・基礎・２人・区４</t>
  </si>
  <si>
    <t>A827</t>
  </si>
  <si>
    <t>同援深０．５・早１．０・日１．５・盲ろう・区４</t>
  </si>
  <si>
    <t>A828</t>
  </si>
  <si>
    <t>同援深０．５・早１．０・日１．５・２人・盲ろう・区４</t>
  </si>
  <si>
    <t>A829</t>
  </si>
  <si>
    <t>同援深０．５・早１．０・日１．５・基礎・盲ろう・区４</t>
  </si>
  <si>
    <t>A830</t>
  </si>
  <si>
    <t>同援深０．５・早１．０・日１．５・基礎・２人・盲ろう・区４</t>
  </si>
  <si>
    <t>A831</t>
  </si>
  <si>
    <t>同援深０．５・早１．５・日０．５</t>
  </si>
  <si>
    <t>A832</t>
  </si>
  <si>
    <t>同援深０．５・早１．５・日０．５・２人</t>
  </si>
  <si>
    <t>A833</t>
  </si>
  <si>
    <t>同援深０．５・早１．５・日０．５・基礎</t>
  </si>
  <si>
    <t>A834</t>
  </si>
  <si>
    <t>同援深０．５・早１．５・日０．５・基礎・２人</t>
  </si>
  <si>
    <t>A835</t>
  </si>
  <si>
    <t>同援深０．５・早１．５・日０．５・盲ろう</t>
  </si>
  <si>
    <t>A836</t>
  </si>
  <si>
    <t>同援深０．５・早１．５・日０．５・２人・盲ろう</t>
  </si>
  <si>
    <t>A837</t>
  </si>
  <si>
    <t>同援深０．５・早１．５・日０．５・基礎・盲ろう</t>
  </si>
  <si>
    <t>A838</t>
  </si>
  <si>
    <t>同援深０．５・早１．５・日０．５・基礎・２人・盲ろう</t>
  </si>
  <si>
    <t>A839</t>
  </si>
  <si>
    <t>同援深０．５・早１．５・日０．５・区３</t>
  </si>
  <si>
    <t>A840</t>
  </si>
  <si>
    <t>同援深０．５・早１．５・日０．５・２人・区３</t>
  </si>
  <si>
    <t>同援深０．５・早１．５・日０．５・基礎・区３</t>
  </si>
  <si>
    <t>同援深０．５・早１．５・日０．５・基礎・２人・区３</t>
  </si>
  <si>
    <t>同援深０．５・早１．５・日０．５・盲ろう・区３</t>
  </si>
  <si>
    <t>同援深０．５・早１．５・日０．５・２人・盲ろう・区３</t>
  </si>
  <si>
    <t>A845</t>
  </si>
  <si>
    <t>同援深０．５・早１．５・日０．５・基礎・盲ろう・区３</t>
  </si>
  <si>
    <t>A846</t>
  </si>
  <si>
    <t>同援深０．５・早１．５・日０．５・基礎・２人・盲ろう・区３</t>
  </si>
  <si>
    <t>A847</t>
  </si>
  <si>
    <t>同援深０．５・早１．５・日０．５・区４</t>
  </si>
  <si>
    <t>A848</t>
  </si>
  <si>
    <t>同援深０．５・早１．５・日０．５・２人・区４</t>
  </si>
  <si>
    <t>A849</t>
  </si>
  <si>
    <t>同援深０．５・早１．５・日０．５・基礎・区４</t>
  </si>
  <si>
    <t>A850</t>
  </si>
  <si>
    <t>同援深０．５・早１．５・日０．５・基礎・２人・区４</t>
  </si>
  <si>
    <t>A851</t>
  </si>
  <si>
    <t>同援深０．５・早１．５・日０．５・盲ろう・区４</t>
  </si>
  <si>
    <t>A852</t>
  </si>
  <si>
    <t>同援深０．５・早１．５・日０．５・２人・盲ろう・区４</t>
  </si>
  <si>
    <t>A853</t>
  </si>
  <si>
    <t>同援深０．５・早１．５・日０．５・基礎・盲ろう・区４</t>
  </si>
  <si>
    <t>A854</t>
  </si>
  <si>
    <t>同援深０．５・早１．５・日０．５・基礎・２人・盲ろう・区４</t>
  </si>
  <si>
    <t>A855</t>
  </si>
  <si>
    <t>同援深０．５・早１．５・日１．０</t>
  </si>
  <si>
    <t>A856</t>
  </si>
  <si>
    <t>同援深０．５・早１．５・日１．０・２人</t>
  </si>
  <si>
    <t>A857</t>
  </si>
  <si>
    <t>同援深０．５・早１．５・日１．０・基礎</t>
  </si>
  <si>
    <t>A858</t>
  </si>
  <si>
    <t>同援深０．５・早１．５・日１．０・基礎・２人</t>
  </si>
  <si>
    <t>A859</t>
  </si>
  <si>
    <t>同援深０．５・早１．５・日１．０・盲ろう</t>
  </si>
  <si>
    <t>A860</t>
  </si>
  <si>
    <t>同援深０．５・早１．５・日１．０・２人・盲ろう</t>
  </si>
  <si>
    <t>同援深０．５・早１．５・日１．０・基礎・盲ろう</t>
  </si>
  <si>
    <t>同援深０．５・早１．５・日１．０・基礎・２人・盲ろう</t>
  </si>
  <si>
    <t>同援深０．５・早１．５・日１．０・区３</t>
  </si>
  <si>
    <t>同援深０．５・早１．５・日１．０・２人・区３</t>
  </si>
  <si>
    <t>A865</t>
  </si>
  <si>
    <t>同援深０．５・早１．５・日１．０・基礎・区３</t>
  </si>
  <si>
    <t>A866</t>
  </si>
  <si>
    <t>同援深０．５・早１．５・日１．０・基礎・２人・区３</t>
  </si>
  <si>
    <t>A867</t>
  </si>
  <si>
    <t>同援深０．５・早１．５・日１．０・盲ろう・区３</t>
  </si>
  <si>
    <t>A868</t>
  </si>
  <si>
    <t>同援深０．５・早１．５・日１．０・２人・盲ろう・区３</t>
  </si>
  <si>
    <t>A869</t>
  </si>
  <si>
    <t>同援深０．５・早１．５・日１．０・基礎・盲ろう・区３</t>
  </si>
  <si>
    <t>A870</t>
  </si>
  <si>
    <t>同援深０．５・早１．５・日１．０・基礎・２人・盲ろう・区３</t>
  </si>
  <si>
    <t>A871</t>
  </si>
  <si>
    <t>同援深０．５・早１．５・日１．０・区４</t>
  </si>
  <si>
    <t>A872</t>
  </si>
  <si>
    <t>同援深０．５・早１．５・日１．０・２人・区４</t>
  </si>
  <si>
    <t>A873</t>
  </si>
  <si>
    <t>同援深０．５・早１．５・日１．０・基礎・区４</t>
  </si>
  <si>
    <t>A874</t>
  </si>
  <si>
    <t>同援深０．５・早１．５・日１．０・基礎・２人・区４</t>
  </si>
  <si>
    <t>A875</t>
  </si>
  <si>
    <t>同援深０．５・早１．５・日１．０・盲ろう・区４</t>
  </si>
  <si>
    <t>A876</t>
  </si>
  <si>
    <t>同援深０．５・早１．５・日１．０・２人・盲ろう・区４</t>
  </si>
  <si>
    <t>A877</t>
  </si>
  <si>
    <t>同援深０．５・早１．５・日１．０・基礎・盲ろう・区４</t>
  </si>
  <si>
    <t>A878</t>
  </si>
  <si>
    <t>同援深０．５・早１．５・日１．０・基礎・２人・盲ろう・区４</t>
  </si>
  <si>
    <t>A879</t>
  </si>
  <si>
    <t>同援深１．０・早０．５・日０．５</t>
  </si>
  <si>
    <t>A880</t>
  </si>
  <si>
    <t>同援深１．０・早０．５・日０．５・２人</t>
  </si>
  <si>
    <t>同援深１．０・早０．５・日０．５・基礎</t>
  </si>
  <si>
    <t>同援深１．０・早０．５・日０．５・基礎・２人</t>
  </si>
  <si>
    <t>同援深１．０・早０．５・日０．５・盲ろう</t>
  </si>
  <si>
    <t>同援深１．０・早０．５・日０．５・２人・盲ろう</t>
  </si>
  <si>
    <t>A885</t>
  </si>
  <si>
    <t>同援深１．０・早０．５・日０．５・基礎・盲ろう</t>
  </si>
  <si>
    <t>A886</t>
  </si>
  <si>
    <t>同援深１．０・早０．５・日０．５・基礎・２人・盲ろう</t>
  </si>
  <si>
    <t>A887</t>
  </si>
  <si>
    <t>同援深１．０・早０．５・日０．５・区３</t>
  </si>
  <si>
    <t>A888</t>
  </si>
  <si>
    <t>同援深１．０・早０．５・日０．５・２人・区３</t>
  </si>
  <si>
    <t>A889</t>
  </si>
  <si>
    <t>同援深１．０・早０．５・日０．５・基礎・区３</t>
  </si>
  <si>
    <t>A890</t>
  </si>
  <si>
    <t>同援深１．０・早０．５・日０．５・基礎・２人・区３</t>
  </si>
  <si>
    <t>A891</t>
  </si>
  <si>
    <t>同援深１．０・早０．５・日０．５・盲ろう・区３</t>
  </si>
  <si>
    <t>A892</t>
  </si>
  <si>
    <t>同援深１．０・早０．５・日０．５・２人・盲ろう・区３</t>
  </si>
  <si>
    <t>A893</t>
  </si>
  <si>
    <t>同援深１．０・早０．５・日０．５・基礎・盲ろう・区３</t>
  </si>
  <si>
    <t>A894</t>
  </si>
  <si>
    <t>同援深１．０・早０．５・日０．５・基礎・２人・盲ろう・区３</t>
  </si>
  <si>
    <t>A895</t>
  </si>
  <si>
    <t>同援深１．０・早０．５・日０．５・区４</t>
  </si>
  <si>
    <t>A896</t>
  </si>
  <si>
    <t>同援深１．０・早０．５・日０．５・２人・区４</t>
  </si>
  <si>
    <t>A897</t>
  </si>
  <si>
    <t>同援深１．０・早０．５・日０．５・基礎・区４</t>
  </si>
  <si>
    <t>A898</t>
  </si>
  <si>
    <t>同援深１．０・早０．５・日０．５・基礎・２人・区４</t>
  </si>
  <si>
    <t>A899</t>
  </si>
  <si>
    <t>同援深１．０・早０．５・日０．５・盲ろう・区４</t>
  </si>
  <si>
    <t>A900</t>
  </si>
  <si>
    <t>同援深１．０・早０．５・日０．５・２人・盲ろう・区４</t>
  </si>
  <si>
    <t>同援深１．０・早０．５・日０．５・基礎・盲ろう・区４</t>
  </si>
  <si>
    <t>同援深１．０・早０．５・日０．５・基礎・２人・盲ろう・区４</t>
  </si>
  <si>
    <t>同援深１．０・早０．５・日１．０</t>
  </si>
  <si>
    <t>同援深１．０・早０．５・日１．０・２人</t>
  </si>
  <si>
    <t>A905</t>
  </si>
  <si>
    <t>同援深１．０・早０．５・日１．０・基礎</t>
  </si>
  <si>
    <t>A906</t>
  </si>
  <si>
    <t>同援深１．０・早０．５・日１．０・基礎・２人</t>
  </si>
  <si>
    <t>A907</t>
  </si>
  <si>
    <t>同援深１．０・早０．５・日１．０・盲ろう</t>
  </si>
  <si>
    <t>A908</t>
  </si>
  <si>
    <t>同援深１．０・早０．５・日１．０・２人・盲ろう</t>
  </si>
  <si>
    <t>A909</t>
  </si>
  <si>
    <t>同援深１．０・早０．５・日１．０・基礎・盲ろう</t>
  </si>
  <si>
    <t>A910</t>
  </si>
  <si>
    <t>同援深１．０・早０．５・日１．０・基礎・２人・盲ろう</t>
  </si>
  <si>
    <t>A911</t>
  </si>
  <si>
    <t>同援深１．０・早０．５・日１．０・区３</t>
  </si>
  <si>
    <t>A912</t>
  </si>
  <si>
    <t>同援深１．０・早０．５・日１．０・２人・区３</t>
  </si>
  <si>
    <t>A913</t>
  </si>
  <si>
    <t>同援深１．０・早０．５・日１．０・基礎・区３</t>
  </si>
  <si>
    <t>A914</t>
  </si>
  <si>
    <t>同援深１．０・早０．５・日１．０・基礎・２人・区３</t>
  </si>
  <si>
    <t>A915</t>
  </si>
  <si>
    <t>同援深１．０・早０．５・日１．０・盲ろう・区３</t>
  </si>
  <si>
    <t>A916</t>
  </si>
  <si>
    <t>同援深１．０・早０．５・日１．０・２人・盲ろう・区３</t>
  </si>
  <si>
    <t>A917</t>
  </si>
  <si>
    <t>同援深１．０・早０．５・日１．０・基礎・盲ろう・区３</t>
  </si>
  <si>
    <t>A918</t>
  </si>
  <si>
    <t>同援深１．０・早０．５・日１．０・基礎・２人・盲ろう・区３</t>
  </si>
  <si>
    <t>A919</t>
  </si>
  <si>
    <t>同援深１．０・早０．５・日１．０・区４</t>
  </si>
  <si>
    <t>A920</t>
  </si>
  <si>
    <t>同援深１．０・早０．５・日１．０・２人・区４</t>
  </si>
  <si>
    <t>同援深１．０・早０．５・日１．０・基礎・区４</t>
  </si>
  <si>
    <t>同援深１．０・早０．５・日１．０・基礎・２人・区４</t>
  </si>
  <si>
    <t>同援深１．０・早０．５・日１．０・盲ろう・区４</t>
  </si>
  <si>
    <t>同援深１．０・早０．５・日１．０・２人・盲ろう・区４</t>
  </si>
  <si>
    <t>A925</t>
  </si>
  <si>
    <t>同援深１．０・早０．５・日１．０・基礎・盲ろう・区４</t>
  </si>
  <si>
    <t>A926</t>
  </si>
  <si>
    <t>同援深１．０・早０．５・日１．０・基礎・２人・盲ろう・区４</t>
  </si>
  <si>
    <t>A927</t>
  </si>
  <si>
    <t>同援深１．０・早０．５・日１．５</t>
  </si>
  <si>
    <t>A928</t>
  </si>
  <si>
    <t>同援深１．０・早０．５・日１．５・２人</t>
  </si>
  <si>
    <t>A929</t>
  </si>
  <si>
    <t>同援深１．０・早０．５・日１．５・基礎</t>
  </si>
  <si>
    <t>A930</t>
  </si>
  <si>
    <t>同援深１．０・早０．５・日１．５・基礎・２人</t>
  </si>
  <si>
    <t>A931</t>
  </si>
  <si>
    <t>同援深１．０・早０．５・日１．５・盲ろう</t>
  </si>
  <si>
    <t>A932</t>
  </si>
  <si>
    <t>同援深１．０・早０．５・日１．５・２人・盲ろう</t>
  </si>
  <si>
    <t>A933</t>
  </si>
  <si>
    <t>同援深１．０・早０．５・日１．５・基礎・盲ろう</t>
  </si>
  <si>
    <t>A934</t>
  </si>
  <si>
    <t>同援深１．０・早０．５・日１．５・基礎・２人・盲ろう</t>
  </si>
  <si>
    <t>A935</t>
  </si>
  <si>
    <t>同援深１．０・早０．５・日１．５・区３</t>
  </si>
  <si>
    <t>A936</t>
  </si>
  <si>
    <t>同援深１．０・早０．５・日１．５・２人・区３</t>
  </si>
  <si>
    <t>A937</t>
  </si>
  <si>
    <t>同援深１．０・早０．５・日１．５・基礎・区３</t>
  </si>
  <si>
    <t>A938</t>
  </si>
  <si>
    <t>同援深１．０・早０．５・日１．５・基礎・２人・区３</t>
  </si>
  <si>
    <t>A939</t>
  </si>
  <si>
    <t>同援深１．０・早０．５・日１．５・盲ろう・区３</t>
  </si>
  <si>
    <t>A940</t>
  </si>
  <si>
    <t>同援深１．０・早０．５・日１．５・２人・盲ろう・区３</t>
  </si>
  <si>
    <t>同援深１．０・早０．５・日１．５・基礎・盲ろう・区３</t>
  </si>
  <si>
    <t>同援深１．０・早０．５・日１．５・基礎・２人・盲ろう・区３</t>
  </si>
  <si>
    <t>同援深１．０・早０．５・日１．５・区４</t>
  </si>
  <si>
    <t>同援深１．０・早０．５・日１．５・２人・区４</t>
  </si>
  <si>
    <t>A945</t>
  </si>
  <si>
    <t>同援深１．０・早０．５・日１．５・基礎・区４</t>
  </si>
  <si>
    <t>A946</t>
  </si>
  <si>
    <t>同援深１．０・早０．５・日１．５・基礎・２人・区４</t>
  </si>
  <si>
    <t>A947</t>
  </si>
  <si>
    <t>同援深１．０・早０．５・日１．５・盲ろう・区４</t>
  </si>
  <si>
    <t>A948</t>
  </si>
  <si>
    <t>同援深１．０・早０．５・日１．５・２人・盲ろう・区４</t>
  </si>
  <si>
    <t>A949</t>
  </si>
  <si>
    <t>同援深１．０・早０．５・日１．５・基礎・盲ろう・区４</t>
  </si>
  <si>
    <t>A950</t>
  </si>
  <si>
    <t>同援深１．０・早０．５・日１．５・基礎・２人・盲ろう・区４</t>
  </si>
  <si>
    <t>A951</t>
  </si>
  <si>
    <t>同援深１．０・早１．０・日０．５</t>
  </si>
  <si>
    <t>A952</t>
  </si>
  <si>
    <t>同援深１．０・早１．０・日０．５・２人</t>
  </si>
  <si>
    <t>A953</t>
  </si>
  <si>
    <t>同援深１．０・早１．０・日０．５・基礎</t>
  </si>
  <si>
    <t>A954</t>
  </si>
  <si>
    <t>同援深１．０・早１．０・日０．５・基礎・２人</t>
  </si>
  <si>
    <t>A955</t>
  </si>
  <si>
    <t>同援深１．０・早１．０・日０．５・盲ろう</t>
  </si>
  <si>
    <t>A956</t>
  </si>
  <si>
    <t>同援深１．０・早１．０・日０．５・２人・盲ろう</t>
  </si>
  <si>
    <t>A957</t>
  </si>
  <si>
    <t>同援深１．０・早１．０・日０．５・基礎・盲ろう</t>
  </si>
  <si>
    <t>A958</t>
  </si>
  <si>
    <t>同援深１．０・早１．０・日０．５・基礎・２人・盲ろう</t>
  </si>
  <si>
    <t>A959</t>
  </si>
  <si>
    <t>同援深１．０・早１．０・日０．５・区３</t>
  </si>
  <si>
    <t>A960</t>
  </si>
  <si>
    <t>同援深１．０・早１．０・日０．５・２人・区３</t>
  </si>
  <si>
    <t>同援深１．０・早１．０・日０．５・基礎・区３</t>
  </si>
  <si>
    <t>同援深１．０・早１．０・日０．５・基礎・２人・区３</t>
  </si>
  <si>
    <t>同援深１．０・早１．０・日０．５・盲ろう・区３</t>
  </si>
  <si>
    <t>同援深１．０・早１．０・日０．５・２人・盲ろう・区３</t>
  </si>
  <si>
    <t>A965</t>
  </si>
  <si>
    <t>同援深１．０・早１．０・日０．５・基礎・盲ろう・区３</t>
  </si>
  <si>
    <t>A966</t>
  </si>
  <si>
    <t>同援深１．０・早１．０・日０．５・基礎・２人・盲ろう・区３</t>
  </si>
  <si>
    <t>A967</t>
  </si>
  <si>
    <t>同援深１．０・早１．０・日０．５・区４</t>
  </si>
  <si>
    <t>A968</t>
  </si>
  <si>
    <t>同援深１．０・早１．０・日０．５・２人・区４</t>
  </si>
  <si>
    <t>A969</t>
  </si>
  <si>
    <t>同援深１．０・早１．０・日０．５・基礎・区４</t>
  </si>
  <si>
    <t>A970</t>
  </si>
  <si>
    <t>同援深１．０・早１．０・日０．５・基礎・２人・区４</t>
  </si>
  <si>
    <t>A971</t>
  </si>
  <si>
    <t>同援深１．０・早１．０・日０．５・盲ろう・区４</t>
  </si>
  <si>
    <t>A972</t>
  </si>
  <si>
    <t>同援深１．０・早１．０・日０．５・２人・盲ろう・区４</t>
  </si>
  <si>
    <t>A973</t>
  </si>
  <si>
    <t>同援深１．０・早１．０・日０．５・基礎・盲ろう・区４</t>
  </si>
  <si>
    <t>A974</t>
  </si>
  <si>
    <t>同援深１．０・早１．０・日０．５・基礎・２人・盲ろう・区４</t>
  </si>
  <si>
    <t>A975</t>
  </si>
  <si>
    <t>同援深１．０・早１．０・日１．０</t>
  </si>
  <si>
    <t>A976</t>
  </si>
  <si>
    <t>同援深１．０・早１．０・日１．０・２人</t>
  </si>
  <si>
    <t>A977</t>
  </si>
  <si>
    <t>同援深１．０・早１．０・日１．０・基礎</t>
  </si>
  <si>
    <t>A978</t>
  </si>
  <si>
    <t>同援深１．０・早１．０・日１．０・基礎・２人</t>
  </si>
  <si>
    <t>A979</t>
  </si>
  <si>
    <t>同援深１．０・早１．０・日１．０・盲ろう</t>
  </si>
  <si>
    <t>A980</t>
  </si>
  <si>
    <t>同援深１．０・早１．０・日１．０・２人・盲ろう</t>
  </si>
  <si>
    <t>同援深１．０・早１．０・日１．０・基礎・盲ろう</t>
  </si>
  <si>
    <t>同援深１．０・早１．０・日１．０・基礎・２人・盲ろう</t>
  </si>
  <si>
    <t>同援深１．０・早１．０・日１．０・区３</t>
  </si>
  <si>
    <t>同援深１．０・早１．０・日１．０・２人・区３</t>
  </si>
  <si>
    <t>A985</t>
  </si>
  <si>
    <t>同援深１．０・早１．０・日１．０・基礎・区３</t>
  </si>
  <si>
    <t>A986</t>
  </si>
  <si>
    <t>同援深１．０・早１．０・日１．０・基礎・２人・区３</t>
  </si>
  <si>
    <t>A987</t>
  </si>
  <si>
    <t>同援深１．０・早１．０・日１．０・盲ろう・区３</t>
  </si>
  <si>
    <t>A988</t>
  </si>
  <si>
    <t>同援深１．０・早１．０・日１．０・２人・盲ろう・区３</t>
  </si>
  <si>
    <t>A989</t>
  </si>
  <si>
    <t>同援深１．０・早１．０・日１．０・基礎・盲ろう・区３</t>
  </si>
  <si>
    <t>A990</t>
  </si>
  <si>
    <t>同援深１．０・早１．０・日１．０・基礎・２人・盲ろう・区３</t>
  </si>
  <si>
    <t>A991</t>
  </si>
  <si>
    <t>同援深１．０・早１．０・日１．０・区４</t>
  </si>
  <si>
    <t>A992</t>
  </si>
  <si>
    <t>同援深１．０・早１．０・日１．０・２人・区４</t>
  </si>
  <si>
    <t>A993</t>
  </si>
  <si>
    <t>同援深１．０・早１．０・日１．０・基礎・区４</t>
  </si>
  <si>
    <t>A994</t>
  </si>
  <si>
    <t>同援深１．０・早１．０・日１．０・基礎・２人・区４</t>
  </si>
  <si>
    <t>A995</t>
  </si>
  <si>
    <t>同援深１．０・早１．０・日１．０・盲ろう・区４</t>
  </si>
  <si>
    <t>A996</t>
  </si>
  <si>
    <t>同援深１．０・早１．０・日１．０・２人・盲ろう・区４</t>
  </si>
  <si>
    <t>A997</t>
  </si>
  <si>
    <t>同援深１．０・早１．０・日１．０・基礎・盲ろう・区４</t>
  </si>
  <si>
    <t>A998</t>
  </si>
  <si>
    <t>同援深１．０・早１．０・日１．０・基礎・２人・盲ろう・区４</t>
  </si>
  <si>
    <t>A999</t>
  </si>
  <si>
    <t>同援深１．０・早１．５・日０．５</t>
  </si>
  <si>
    <t>(一)日中</t>
    <rPh sb="1" eb="2">
      <t>イチ</t>
    </rPh>
    <phoneticPr fontId="1"/>
  </si>
  <si>
    <t>AB00</t>
  </si>
  <si>
    <t>同援深１．０・早１．５・日０．５・２人</t>
  </si>
  <si>
    <t>同援深１．０・早１．５・日０．５・基礎</t>
  </si>
  <si>
    <t>同援深１．０・早１．５・日０．５・基礎・２人</t>
  </si>
  <si>
    <t>同援深１．０・早１．５・日０．５・盲ろう</t>
  </si>
  <si>
    <t>同援深１．０・早１．５・日０．５・２人・盲ろう</t>
  </si>
  <si>
    <t>AB05</t>
  </si>
  <si>
    <t>同援深１．０・早１．５・日０．５・基礎・盲ろう</t>
  </si>
  <si>
    <t>AB06</t>
  </si>
  <si>
    <t>同援深１．０・早１．５・日０．５・基礎・２人・盲ろう</t>
  </si>
  <si>
    <t>AB07</t>
  </si>
  <si>
    <t>同援深１．０・早１．５・日０．５・区３</t>
  </si>
  <si>
    <t>AB08</t>
  </si>
  <si>
    <t>同援深１．０・早１．５・日０．５・２人・区３</t>
  </si>
  <si>
    <t>AB09</t>
  </si>
  <si>
    <t>同援深１．０・早１．５・日０．５・基礎・区３</t>
  </si>
  <si>
    <t>AB10</t>
  </si>
  <si>
    <t>同援深１．０・早１．５・日０．５・基礎・２人・区３</t>
  </si>
  <si>
    <t>AB11</t>
  </si>
  <si>
    <t>同援深１．０・早１．５・日０．５・盲ろう・区３</t>
  </si>
  <si>
    <t>AB12</t>
  </si>
  <si>
    <t>同援深１．０・早１．５・日０．５・２人・盲ろう・区３</t>
  </si>
  <si>
    <t>AB13</t>
  </si>
  <si>
    <t>同援深１．０・早１．５・日０．５・基礎・盲ろう・区３</t>
  </si>
  <si>
    <t>AB14</t>
  </si>
  <si>
    <t>同援深１．０・早１．５・日０．５・基礎・２人・盲ろう・区３</t>
  </si>
  <si>
    <t>AB15</t>
  </si>
  <si>
    <t>同援深１．０・早１．５・日０．５・区４</t>
  </si>
  <si>
    <t>AB16</t>
  </si>
  <si>
    <t>同援深１．０・早１．５・日０．５・２人・区４</t>
  </si>
  <si>
    <t>AB17</t>
  </si>
  <si>
    <t>同援深１．０・早１．５・日０．５・基礎・区４</t>
  </si>
  <si>
    <t>AB18</t>
  </si>
  <si>
    <t>同援深１．０・早１．５・日０．５・基礎・２人・区４</t>
  </si>
  <si>
    <t>AB19</t>
  </si>
  <si>
    <t>同援深１．０・早１．５・日０．５・盲ろう・区４</t>
  </si>
  <si>
    <t>AB20</t>
  </si>
  <si>
    <t>同援深１．０・早１．５・日０．５・２人・盲ろう・区４</t>
  </si>
  <si>
    <t>同援深１．０・早１．５・日０．５・基礎・盲ろう・区４</t>
  </si>
  <si>
    <t>同援深１．０・早１．５・日０．５・基礎・２人・盲ろう・区４</t>
  </si>
  <si>
    <t>同援深１．５・早０．５・日０．５</t>
  </si>
  <si>
    <t>同援深１．５・早０．５・日０．５・２人</t>
  </si>
  <si>
    <t>AB25</t>
  </si>
  <si>
    <t>同援深１．５・早０．５・日０．５・基礎</t>
  </si>
  <si>
    <t>AB26</t>
  </si>
  <si>
    <t>同援深１．５・早０．５・日０．５・基礎・２人</t>
  </si>
  <si>
    <t>AB27</t>
  </si>
  <si>
    <t>同援深１．５・早０．５・日０．５・盲ろう</t>
  </si>
  <si>
    <t>AB28</t>
  </si>
  <si>
    <t>同援深１．５・早０．５・日０．５・２人・盲ろう</t>
  </si>
  <si>
    <t>AB29</t>
  </si>
  <si>
    <t>同援深１．５・早０．５・日０．５・基礎・盲ろう</t>
  </si>
  <si>
    <t>AB30</t>
  </si>
  <si>
    <t>同援深１．５・早０．５・日０．５・基礎・２人・盲ろう</t>
  </si>
  <si>
    <t>AB31</t>
  </si>
  <si>
    <t>同援深１．５・早０．５・日０．５・区３</t>
  </si>
  <si>
    <t>AB32</t>
  </si>
  <si>
    <t>同援深１．５・早０．５・日０．５・２人・区３</t>
  </si>
  <si>
    <t>AB33</t>
  </si>
  <si>
    <t>同援深１．５・早０．５・日０．５・基礎・区３</t>
  </si>
  <si>
    <t>AB34</t>
  </si>
  <si>
    <t>同援深１．５・早０．５・日０．５・基礎・２人・区３</t>
  </si>
  <si>
    <t>AB35</t>
  </si>
  <si>
    <t>同援深１．５・早０．５・日０．５・盲ろう・区３</t>
  </si>
  <si>
    <t>AB36</t>
  </si>
  <si>
    <t>同援深１．５・早０．５・日０．５・２人・盲ろう・区３</t>
  </si>
  <si>
    <t>AB37</t>
  </si>
  <si>
    <t>同援深１．５・早０．５・日０．５・基礎・盲ろう・区３</t>
  </si>
  <si>
    <t>AB38</t>
  </si>
  <si>
    <t>同援深１．５・早０．５・日０．５・基礎・２人・盲ろう・区３</t>
  </si>
  <si>
    <t>AB39</t>
  </si>
  <si>
    <t>同援深１．５・早０．５・日０．５・区４</t>
  </si>
  <si>
    <t>AB40</t>
  </si>
  <si>
    <t>同援深１．５・早０．５・日０．５・２人・区４</t>
  </si>
  <si>
    <t>同援深１．５・早０．５・日０．５・基礎・区４</t>
  </si>
  <si>
    <t>同援深１．５・早０．５・日０．５・基礎・２人・区４</t>
  </si>
  <si>
    <t>同援深１．５・早０．５・日０．５・盲ろう・区４</t>
  </si>
  <si>
    <t>同援深１．５・早０．５・日０．５・２人・盲ろう・区４</t>
  </si>
  <si>
    <t>AB45</t>
  </si>
  <si>
    <t>同援深１．５・早０．５・日０．５・基礎・盲ろう・区４</t>
  </si>
  <si>
    <t>AB46</t>
  </si>
  <si>
    <t>同援深１．５・早０．５・日０．５・基礎・２人・盲ろう・区４</t>
  </si>
  <si>
    <t>AB47</t>
  </si>
  <si>
    <t>同援深１．５・早０．５・日１．０</t>
  </si>
  <si>
    <t>AB48</t>
  </si>
  <si>
    <t>同援深１．５・早０．５・日１．０・２人</t>
  </si>
  <si>
    <t>AB49</t>
  </si>
  <si>
    <t>同援深１．５・早０．５・日１．０・基礎</t>
  </si>
  <si>
    <t>AB50</t>
  </si>
  <si>
    <t>同援深１．５・早０．５・日１．０・基礎・２人</t>
  </si>
  <si>
    <t>AB51</t>
  </si>
  <si>
    <t>同援深１．５・早０．５・日１．０・盲ろう</t>
  </si>
  <si>
    <t>AB52</t>
  </si>
  <si>
    <t>同援深１．５・早０．５・日１．０・２人・盲ろう</t>
  </si>
  <si>
    <t>AB53</t>
  </si>
  <si>
    <t>同援深１．５・早０．５・日１．０・基礎・盲ろう</t>
  </si>
  <si>
    <t>AB54</t>
  </si>
  <si>
    <t>同援深１．５・早０．５・日１．０・基礎・２人・盲ろう</t>
  </si>
  <si>
    <t>AB55</t>
  </si>
  <si>
    <t>同援深１．５・早０．５・日１．０・区３</t>
  </si>
  <si>
    <t>AB56</t>
  </si>
  <si>
    <t>同援深１．５・早０．５・日１．０・２人・区３</t>
  </si>
  <si>
    <t>AB57</t>
  </si>
  <si>
    <t>同援深１．５・早０．５・日１．０・基礎・区３</t>
  </si>
  <si>
    <t>AB58</t>
  </si>
  <si>
    <t>同援深１．５・早０．５・日１．０・基礎・２人・区３</t>
  </si>
  <si>
    <t>AB59</t>
  </si>
  <si>
    <t>同援深１．５・早０．５・日１．０・盲ろう・区３</t>
  </si>
  <si>
    <t>AB60</t>
  </si>
  <si>
    <t>同援深１．５・早０．５・日１．０・２人・盲ろう・区３</t>
  </si>
  <si>
    <t>同援深１．５・早０．５・日１．０・基礎・盲ろう・区３</t>
  </si>
  <si>
    <t>同援深１．５・早０．５・日１．０・基礎・２人・盲ろう・区３</t>
  </si>
  <si>
    <t>同援深１．５・早０．５・日１．０・区４</t>
  </si>
  <si>
    <t>同援深１．５・早０．５・日１．０・２人・区４</t>
  </si>
  <si>
    <t>AB65</t>
  </si>
  <si>
    <t>同援深１．５・早０．５・日１．０・基礎・区４</t>
  </si>
  <si>
    <t>AB66</t>
  </si>
  <si>
    <t>同援深１．５・早０．５・日１．０・基礎・２人・区４</t>
  </si>
  <si>
    <t>AB67</t>
  </si>
  <si>
    <t>同援深１．５・早０．５・日１．０・盲ろう・区４</t>
  </si>
  <si>
    <t>AB68</t>
  </si>
  <si>
    <t>同援深１．５・早０．５・日１．０・２人・盲ろう・区４</t>
  </si>
  <si>
    <t>AB69</t>
  </si>
  <si>
    <t>同援深１．５・早０．５・日１．０・基礎・盲ろう・区４</t>
  </si>
  <si>
    <t>AB70</t>
  </si>
  <si>
    <t>同援深１．５・早０．５・日１．０・基礎・２人・盲ろう・区４</t>
  </si>
  <si>
    <t>AB71</t>
  </si>
  <si>
    <t>同援深１．５・早１．０・日０．５</t>
  </si>
  <si>
    <t>AB72</t>
  </si>
  <si>
    <t>同援深１．５・早１．０・日０．５・２人</t>
  </si>
  <si>
    <t>AB73</t>
  </si>
  <si>
    <t>同援深１．５・早１．０・日０．５・基礎</t>
  </si>
  <si>
    <t>AB74</t>
  </si>
  <si>
    <t>同援深１．５・早１．０・日０．５・基礎・２人</t>
  </si>
  <si>
    <t>AB75</t>
  </si>
  <si>
    <t>同援深１．５・早１．０・日０．５・盲ろう</t>
  </si>
  <si>
    <t>AB76</t>
  </si>
  <si>
    <t>同援深１．５・早１．０・日０．５・２人・盲ろう</t>
  </si>
  <si>
    <t>AB77</t>
  </si>
  <si>
    <t>同援深１．５・早１．０・日０．５・基礎・盲ろう</t>
  </si>
  <si>
    <t>AB78</t>
  </si>
  <si>
    <t>同援深１．５・早１．０・日０．５・基礎・２人・盲ろう</t>
  </si>
  <si>
    <t>AB79</t>
  </si>
  <si>
    <t>同援深１．５・早１．０・日０．５・区３</t>
  </si>
  <si>
    <t>AB80</t>
  </si>
  <si>
    <t>同援深１．５・早１．０・日０．５・２人・区３</t>
  </si>
  <si>
    <t>同援深１．５・早１．０・日０．５・基礎・区３</t>
  </si>
  <si>
    <t>同援深１．５・早１．０・日０．５・基礎・２人・区３</t>
  </si>
  <si>
    <t>同援深１．５・早１．０・日０．５・盲ろう・区３</t>
  </si>
  <si>
    <t>同援深１．５・早１．０・日０．５・２人・盲ろう・区３</t>
  </si>
  <si>
    <t>AB85</t>
  </si>
  <si>
    <t>同援深１．５・早１．０・日０．５・基礎・盲ろう・区３</t>
  </si>
  <si>
    <t>AB86</t>
  </si>
  <si>
    <t>同援深１．５・早１．０・日０．５・基礎・２人・盲ろう・区３</t>
  </si>
  <si>
    <t>AB87</t>
  </si>
  <si>
    <t>同援深１．５・早１．０・日０．５・区４</t>
  </si>
  <si>
    <t>AB88</t>
  </si>
  <si>
    <t>同援深１．５・早１．０・日０．５・２人・区４</t>
  </si>
  <si>
    <t>AB89</t>
  </si>
  <si>
    <t>同援深１．５・早１．０・日０．５・基礎・区４</t>
  </si>
  <si>
    <t>AB90</t>
  </si>
  <si>
    <t>同援深１．５・早１．０・日０．５・基礎・２人・区４</t>
  </si>
  <si>
    <t>AB91</t>
  </si>
  <si>
    <t>同援深１．５・早１．０・日０．５・盲ろう・区４</t>
  </si>
  <si>
    <t>AB92</t>
  </si>
  <si>
    <t>同援深１．５・早１．０・日０．５・２人・盲ろう・区４</t>
  </si>
  <si>
    <t>AB93</t>
  </si>
  <si>
    <t>同援深１．５・早１．０・日０．５・基礎・盲ろう・区４</t>
  </si>
  <si>
    <t>AB94</t>
  </si>
  <si>
    <t>同援深１．５・早１．０・日０．５・基礎・２人・盲ろう・区４</t>
  </si>
  <si>
    <t>AB95</t>
  </si>
  <si>
    <t>同援深２．０・早０．５・日０．５</t>
  </si>
  <si>
    <t>AB96</t>
  </si>
  <si>
    <t>同援深２．０・早０．５・日０．５・２人</t>
  </si>
  <si>
    <t>AB97</t>
  </si>
  <si>
    <t>同援深２．０・早０．５・日０．５・基礎</t>
  </si>
  <si>
    <t>AB98</t>
  </si>
  <si>
    <t>同援深２．０・早０．５・日０．５・基礎・２人</t>
  </si>
  <si>
    <t>AB99</t>
  </si>
  <si>
    <t>同援深２．０・早０．５・日０．５・盲ろう</t>
  </si>
  <si>
    <t>AC00</t>
  </si>
  <si>
    <t>同援深２．０・早０．５・日０．５・２人・盲ろう</t>
  </si>
  <si>
    <t>同援深２．０・早０．５・日０．５・基礎・盲ろう</t>
  </si>
  <si>
    <t>同援深２．０・早０．５・日０．５・基礎・２人・盲ろう</t>
  </si>
  <si>
    <t>同援深２．０・早０．５・日０．５・区３</t>
  </si>
  <si>
    <t>同援深２．０・早０．５・日０．５・２人・区３</t>
  </si>
  <si>
    <t>AC05</t>
  </si>
  <si>
    <t>同援深２．０・早０．５・日０．５・基礎・区３</t>
  </si>
  <si>
    <t>AC06</t>
  </si>
  <si>
    <t>同援深２．０・早０．５・日０．５・基礎・２人・区３</t>
  </si>
  <si>
    <t>AC07</t>
  </si>
  <si>
    <t>同援深２．０・早０．５・日０．５・盲ろう・区３</t>
  </si>
  <si>
    <t>AC08</t>
  </si>
  <si>
    <t>同援深２．０・早０．５・日０．５・２人・盲ろう・区３</t>
  </si>
  <si>
    <t>AC09</t>
  </si>
  <si>
    <t>同援深２．０・早０．５・日０．５・基礎・盲ろう・区３</t>
  </si>
  <si>
    <t>AC10</t>
  </si>
  <si>
    <t>同援深２．０・早０．５・日０．５・基礎・２人・盲ろう・区３</t>
  </si>
  <si>
    <t>AC11</t>
  </si>
  <si>
    <t>同援深２．０・早０．５・日０．５・区４</t>
  </si>
  <si>
    <t>AC12</t>
  </si>
  <si>
    <t>同援深２．０・早０．５・日０．５・２人・区４</t>
  </si>
  <si>
    <t>AC13</t>
  </si>
  <si>
    <t>同援深２．０・早０．５・日０．５・基礎・区４</t>
  </si>
  <si>
    <t>AC14</t>
  </si>
  <si>
    <t>同援深２．０・早０．５・日０．５・基礎・２人・区４</t>
  </si>
  <si>
    <t>AC15</t>
  </si>
  <si>
    <t>同援深２．０・早０．５・日０．５・盲ろう・区４</t>
  </si>
  <si>
    <t>AC16</t>
  </si>
  <si>
    <t>同援深２．０・早０．５・日０．５・２人・盲ろう・区４</t>
  </si>
  <si>
    <t>AC17</t>
  </si>
  <si>
    <t>同援深２．０・早０．５・日０．５・基礎・盲ろう・区４</t>
  </si>
  <si>
    <t>AC18</t>
  </si>
  <si>
    <t>同援深２．０・早０．５・日０．５・基礎・２人・盲ろう・区４</t>
  </si>
  <si>
    <t>（深夜＋日中）　　※サービス間隔が２時間未満の場合</t>
    <phoneticPr fontId="1"/>
  </si>
  <si>
    <t>AC19</t>
  </si>
  <si>
    <t>同援深０．５・日０．５</t>
  </si>
  <si>
    <t>AC20</t>
  </si>
  <si>
    <t>同援深０．５・日０．５・２人</t>
  </si>
  <si>
    <t>同援深０．５・日０．５・基礎</t>
  </si>
  <si>
    <t>同援深０．５・日０．５・基礎・２人</t>
  </si>
  <si>
    <t>同援深０．５・日０．５・盲ろう</t>
  </si>
  <si>
    <t>同援深０．５・日０．５・２人・盲ろう</t>
  </si>
  <si>
    <t>AC25</t>
  </si>
  <si>
    <t>同援深０．５・日０．５・基礎・盲ろう</t>
  </si>
  <si>
    <t>AC26</t>
  </si>
  <si>
    <t>同援深０．５・日０．５・基礎・２人・盲ろう</t>
  </si>
  <si>
    <t>AC27</t>
  </si>
  <si>
    <t>同援深０．５・日０．５・区３</t>
  </si>
  <si>
    <t>AC28</t>
  </si>
  <si>
    <t>同援深０．５・日０．５・２人・区３</t>
  </si>
  <si>
    <t>AC29</t>
  </si>
  <si>
    <t>同援深０．５・日０．５・基礎・区３</t>
  </si>
  <si>
    <t>AC30</t>
  </si>
  <si>
    <t>同援深０．５・日０．５・基礎・２人・区３</t>
  </si>
  <si>
    <t>AC31</t>
  </si>
  <si>
    <t>同援深０．５・日０．５・盲ろう・区３</t>
  </si>
  <si>
    <t>AC32</t>
  </si>
  <si>
    <t>同援深０．５・日０．５・２人・盲ろう・区３</t>
  </si>
  <si>
    <t>AC33</t>
  </si>
  <si>
    <t>同援深０．５・日０．５・基礎・盲ろう・区３</t>
  </si>
  <si>
    <t>AC34</t>
  </si>
  <si>
    <t>同援深０．５・日０．５・基礎・２人・盲ろう・区３</t>
  </si>
  <si>
    <t>AC35</t>
  </si>
  <si>
    <t>同援深０．５・日０．５・区４</t>
  </si>
  <si>
    <t>AC36</t>
  </si>
  <si>
    <t>同援深０．５・日０．５・２人・区４</t>
  </si>
  <si>
    <t>AC37</t>
  </si>
  <si>
    <t>同援深０．５・日０．５・基礎・区４</t>
  </si>
  <si>
    <t>AC38</t>
  </si>
  <si>
    <t>同援深０．５・日０．５・基礎・２人・区４</t>
  </si>
  <si>
    <t>AC39</t>
  </si>
  <si>
    <t>同援深０．５・日０．５・盲ろう・区４</t>
  </si>
  <si>
    <t>AC40</t>
  </si>
  <si>
    <t>同援深０．５・日０．５・２人・盲ろう・区４</t>
  </si>
  <si>
    <t>同援深０．５・日０．５・基礎・盲ろう・区４</t>
  </si>
  <si>
    <t>同援深０．５・日０．５・基礎・２人・盲ろう・区４</t>
  </si>
  <si>
    <t>同援深０．５・日１．０</t>
  </si>
  <si>
    <t>同援深０．５・日１．０・２人</t>
  </si>
  <si>
    <t>AC45</t>
  </si>
  <si>
    <t>同援深０．５・日１．０・基礎</t>
  </si>
  <si>
    <t>AC46</t>
  </si>
  <si>
    <t>同援深０．５・日１．０・基礎・２人</t>
  </si>
  <si>
    <t>AC47</t>
  </si>
  <si>
    <t>同援深０．５・日１．０・盲ろう</t>
  </si>
  <si>
    <t>AC48</t>
  </si>
  <si>
    <t>同援深０．５・日１．０・２人・盲ろう</t>
  </si>
  <si>
    <t>AC49</t>
  </si>
  <si>
    <t>同援深０．５・日１．０・基礎・盲ろう</t>
  </si>
  <si>
    <t>AC50</t>
  </si>
  <si>
    <t>同援深０．５・日１．０・基礎・２人・盲ろう</t>
  </si>
  <si>
    <t>AC51</t>
  </si>
  <si>
    <t>同援深０．５・日１．０・区３</t>
  </si>
  <si>
    <t>AC52</t>
  </si>
  <si>
    <t>同援深０．５・日１．０・２人・区３</t>
  </si>
  <si>
    <t>AC53</t>
  </si>
  <si>
    <t>同援深０．５・日１．０・基礎・区３</t>
  </si>
  <si>
    <t>AC54</t>
  </si>
  <si>
    <t>同援深０．５・日１．０・基礎・２人・区３</t>
  </si>
  <si>
    <t>AC55</t>
  </si>
  <si>
    <t>同援深０．５・日１．０・盲ろう・区３</t>
  </si>
  <si>
    <t>AC56</t>
  </si>
  <si>
    <t>同援深０．５・日１．０・２人・盲ろう・区３</t>
  </si>
  <si>
    <t>AC57</t>
  </si>
  <si>
    <t>同援深０．５・日１．０・基礎・盲ろう・区３</t>
  </si>
  <si>
    <t>AC58</t>
  </si>
  <si>
    <t>同援深０．５・日１．０・基礎・２人・盲ろう・区３</t>
  </si>
  <si>
    <t>AC59</t>
  </si>
  <si>
    <t>同援深０．５・日１．０・区４</t>
  </si>
  <si>
    <t>AC60</t>
  </si>
  <si>
    <t>同援深０．５・日１．０・２人・区４</t>
  </si>
  <si>
    <t>同援深０．５・日１．０・基礎・区４</t>
  </si>
  <si>
    <t>同援深０．５・日１．０・基礎・２人・区４</t>
  </si>
  <si>
    <t>同援深０．５・日１．０・盲ろう・区４</t>
  </si>
  <si>
    <t>同援深０．５・日１．０・２人・盲ろう・区４</t>
  </si>
  <si>
    <t>AC65</t>
  </si>
  <si>
    <t>同援深０．５・日１．０・基礎・盲ろう・区４</t>
  </si>
  <si>
    <t>AC66</t>
  </si>
  <si>
    <t>同援深０．５・日１．０・基礎・２人・盲ろう・区４</t>
  </si>
  <si>
    <t>AC67</t>
  </si>
  <si>
    <t>同援深０．５・日１．５</t>
  </si>
  <si>
    <t>AC68</t>
  </si>
  <si>
    <t>同援深０．５・日１．５・２人</t>
  </si>
  <si>
    <t>AC69</t>
  </si>
  <si>
    <t>同援深０．５・日１．５・基礎</t>
  </si>
  <si>
    <t>AC70</t>
  </si>
  <si>
    <t>同援深０．５・日１．５・基礎・２人</t>
  </si>
  <si>
    <t>AC71</t>
  </si>
  <si>
    <t>同援深０．５・日１．５・盲ろう</t>
  </si>
  <si>
    <t>AC72</t>
  </si>
  <si>
    <t>同援深０．５・日１．５・２人・盲ろう</t>
  </si>
  <si>
    <t>AC73</t>
  </si>
  <si>
    <t>同援深０．５・日１．５・基礎・盲ろう</t>
  </si>
  <si>
    <t>AC74</t>
  </si>
  <si>
    <t>同援深０．５・日１．５・基礎・２人・盲ろう</t>
  </si>
  <si>
    <t>AC75</t>
  </si>
  <si>
    <t>同援深０．５・日１．５・区３</t>
  </si>
  <si>
    <t>AC76</t>
  </si>
  <si>
    <t>同援深０．５・日１．５・２人・区３</t>
  </si>
  <si>
    <t>AC77</t>
  </si>
  <si>
    <t>同援深０．５・日１．５・基礎・区３</t>
  </si>
  <si>
    <t>AC78</t>
  </si>
  <si>
    <t>同援深０．５・日１．５・基礎・２人・区３</t>
  </si>
  <si>
    <t>AC79</t>
  </si>
  <si>
    <t>同援深０．５・日１．５・盲ろう・区３</t>
  </si>
  <si>
    <t>AC80</t>
  </si>
  <si>
    <t>同援深０．５・日１．５・２人・盲ろう・区３</t>
  </si>
  <si>
    <t>同援深０．５・日１．５・基礎・盲ろう・区３</t>
  </si>
  <si>
    <t>同援深０．５・日１．５・基礎・２人・盲ろう・区３</t>
  </si>
  <si>
    <t>同援深０．５・日１．５・区４</t>
  </si>
  <si>
    <t>同援深０．５・日１．５・２人・区４</t>
  </si>
  <si>
    <t>AC85</t>
  </si>
  <si>
    <t>同援深０．５・日１．５・基礎・区４</t>
  </si>
  <si>
    <t>AC86</t>
  </si>
  <si>
    <t>同援深０．５・日１．５・基礎・２人・区４</t>
  </si>
  <si>
    <t>AC87</t>
  </si>
  <si>
    <t>同援深０．５・日１．５・盲ろう・区４</t>
  </si>
  <si>
    <t>AC88</t>
  </si>
  <si>
    <t>同援深０．５・日１．５・２人・盲ろう・区４</t>
  </si>
  <si>
    <t>AC89</t>
  </si>
  <si>
    <t>同援深０．５・日１．５・基礎・盲ろう・区４</t>
  </si>
  <si>
    <t>AC90</t>
  </si>
  <si>
    <t>同援深０．５・日１．５・基礎・２人・盲ろう・区４</t>
  </si>
  <si>
    <t>AC91</t>
  </si>
  <si>
    <t>同援深０．５・日２．０</t>
  </si>
  <si>
    <t>AC92</t>
  </si>
  <si>
    <t>同援深０．５・日２．０・２人</t>
  </si>
  <si>
    <t>AC93</t>
  </si>
  <si>
    <t>同援深０．５・日２．０・基礎</t>
  </si>
  <si>
    <t>AC94</t>
  </si>
  <si>
    <t>同援深０．５・日２．０・基礎・２人</t>
  </si>
  <si>
    <t>AC95</t>
  </si>
  <si>
    <t>同援深０．５・日２．０・盲ろう</t>
  </si>
  <si>
    <t>AC96</t>
  </si>
  <si>
    <t>同援深０．５・日２．０・２人・盲ろう</t>
  </si>
  <si>
    <t>AC97</t>
  </si>
  <si>
    <t>同援深０．５・日２．０・基礎・盲ろう</t>
  </si>
  <si>
    <t>AC98</t>
  </si>
  <si>
    <t>同援深０．５・日２．０・基礎・２人・盲ろう</t>
  </si>
  <si>
    <t>AC99</t>
  </si>
  <si>
    <t>同援深０．５・日２．０・区３</t>
  </si>
  <si>
    <t>AD00</t>
  </si>
  <si>
    <t>同援深０．５・日２．０・２人・区３</t>
  </si>
  <si>
    <t>同援深０．５・日２．０・基礎・区３</t>
  </si>
  <si>
    <t>同援深０．５・日２．０・基礎・２人・区３</t>
  </si>
  <si>
    <t>同援深０．５・日２．０・盲ろう・区３</t>
  </si>
  <si>
    <t>同援深０．５・日２．０・２人・盲ろう・区３</t>
  </si>
  <si>
    <t>AD05</t>
  </si>
  <si>
    <t>同援深０．５・日２．０・基礎・盲ろう・区３</t>
  </si>
  <si>
    <t>AD06</t>
  </si>
  <si>
    <t>同援深０．５・日２．０・基礎・２人・盲ろう・区３</t>
  </si>
  <si>
    <t>AD07</t>
  </si>
  <si>
    <t>同援深０．５・日２．０・区４</t>
  </si>
  <si>
    <t>AD08</t>
  </si>
  <si>
    <t>同援深０．５・日２．０・２人・区４</t>
  </si>
  <si>
    <t>AD09</t>
  </si>
  <si>
    <t>同援深０．５・日２．０・基礎・区４</t>
  </si>
  <si>
    <t>AD10</t>
  </si>
  <si>
    <t>同援深０．５・日２．０・基礎・２人・区４</t>
  </si>
  <si>
    <t>AD11</t>
  </si>
  <si>
    <t>同援深０．５・日２．０・盲ろう・区４</t>
  </si>
  <si>
    <t>AD12</t>
  </si>
  <si>
    <t>同援深０．５・日２．０・２人・盲ろう・区４</t>
  </si>
  <si>
    <t>AD13</t>
  </si>
  <si>
    <t>同援深０．５・日２．０・基礎・盲ろう・区４</t>
  </si>
  <si>
    <t>AD14</t>
  </si>
  <si>
    <t>同援深０．５・日２．０・基礎・２人・盲ろう・区４</t>
  </si>
  <si>
    <t>AD15</t>
  </si>
  <si>
    <t>同援深０．５・日２．５</t>
  </si>
  <si>
    <t>AD16</t>
  </si>
  <si>
    <t>同援深０．５・日２．５・２人</t>
  </si>
  <si>
    <t>AD17</t>
  </si>
  <si>
    <t>同援深０．５・日２．５・基礎</t>
  </si>
  <si>
    <t>AD18</t>
  </si>
  <si>
    <t>同援深０．５・日２．５・基礎・２人</t>
  </si>
  <si>
    <t>AD19</t>
  </si>
  <si>
    <t>同援深０．５・日２．５・盲ろう</t>
  </si>
  <si>
    <t>AD20</t>
  </si>
  <si>
    <t>同援深０．５・日２．５・２人・盲ろう</t>
  </si>
  <si>
    <t>同援深０．５・日２．５・基礎・盲ろう</t>
  </si>
  <si>
    <t>同援深０．５・日２．５・基礎・２人・盲ろう</t>
  </si>
  <si>
    <t>同援深０．５・日２．５・区３</t>
  </si>
  <si>
    <t>同援深０．５・日２．５・２人・区３</t>
  </si>
  <si>
    <t>AD25</t>
  </si>
  <si>
    <t>同援深０．５・日２．５・基礎・区３</t>
  </si>
  <si>
    <t>AD26</t>
  </si>
  <si>
    <t>同援深０．５・日２．５・基礎・２人・区３</t>
  </si>
  <si>
    <t>AD27</t>
  </si>
  <si>
    <t>同援深０．５・日２．５・盲ろう・区３</t>
  </si>
  <si>
    <t>AD28</t>
  </si>
  <si>
    <t>同援深０．５・日２．５・２人・盲ろう・区３</t>
  </si>
  <si>
    <t>AD29</t>
  </si>
  <si>
    <t>同援深０．５・日２．５・基礎・盲ろう・区３</t>
  </si>
  <si>
    <t>AD30</t>
  </si>
  <si>
    <t>同援深０．５・日２．５・基礎・２人・盲ろう・区３</t>
  </si>
  <si>
    <t>AD31</t>
  </si>
  <si>
    <t>同援深０．５・日２．５・区４</t>
  </si>
  <si>
    <t>AD32</t>
  </si>
  <si>
    <t>同援深０．５・日２．５・２人・区４</t>
  </si>
  <si>
    <t>AD33</t>
  </si>
  <si>
    <t>同援深０．５・日２．５・基礎・区４</t>
  </si>
  <si>
    <t>AD34</t>
  </si>
  <si>
    <t>同援深０．５・日２．５・基礎・２人・区４</t>
  </si>
  <si>
    <t>AD35</t>
  </si>
  <si>
    <t>同援深０．５・日２．５・盲ろう・区４</t>
  </si>
  <si>
    <t>AD36</t>
  </si>
  <si>
    <t>同援深０．５・日２．５・２人・盲ろう・区４</t>
  </si>
  <si>
    <t>AD37</t>
  </si>
  <si>
    <t>同援深０．５・日２．５・基礎・盲ろう・区４</t>
  </si>
  <si>
    <t>AD38</t>
  </si>
  <si>
    <t>同援深０．５・日２．５・基礎・２人・盲ろう・区４</t>
  </si>
  <si>
    <t>AD39</t>
  </si>
  <si>
    <t>同援深１．０・日０．５</t>
  </si>
  <si>
    <t>AD40</t>
  </si>
  <si>
    <t>同援深１．０・日０．５・２人</t>
  </si>
  <si>
    <t>同援深１．０・日０．５・基礎</t>
  </si>
  <si>
    <t>同援深１．０・日０．５・基礎・２人</t>
  </si>
  <si>
    <t>同援深１．０・日０．５・盲ろう</t>
  </si>
  <si>
    <t>同援深１．０・日０．５・２人・盲ろう</t>
  </si>
  <si>
    <t>AD45</t>
  </si>
  <si>
    <t>同援深１．０・日０．５・基礎・盲ろう</t>
  </si>
  <si>
    <t>AD46</t>
  </si>
  <si>
    <t>同援深１．０・日０．５・基礎・２人・盲ろう</t>
  </si>
  <si>
    <t>AD47</t>
  </si>
  <si>
    <t>同援深１．０・日０．５・区３</t>
  </si>
  <si>
    <t>AD48</t>
  </si>
  <si>
    <t>同援深１．０・日０．５・２人・区３</t>
  </si>
  <si>
    <t>AD49</t>
  </si>
  <si>
    <t>同援深１．０・日０．５・基礎・区３</t>
  </si>
  <si>
    <t>AD50</t>
  </si>
  <si>
    <t>同援深１．０・日０．５・基礎・２人・区３</t>
  </si>
  <si>
    <t>AD51</t>
  </si>
  <si>
    <t>同援深１．０・日０．５・盲ろう・区３</t>
  </si>
  <si>
    <t>AD52</t>
  </si>
  <si>
    <t>同援深１．０・日０．５・２人・盲ろう・区３</t>
  </si>
  <si>
    <t>AD53</t>
  </si>
  <si>
    <t>同援深１．０・日０．５・基礎・盲ろう・区３</t>
  </si>
  <si>
    <t>AD54</t>
  </si>
  <si>
    <t>同援深１．０・日０．５・基礎・２人・盲ろう・区３</t>
  </si>
  <si>
    <t>AD55</t>
  </si>
  <si>
    <t>同援深１．０・日０．５・区４</t>
  </si>
  <si>
    <t>AD56</t>
  </si>
  <si>
    <t>同援深１．０・日０．５・２人・区４</t>
  </si>
  <si>
    <t>AD57</t>
  </si>
  <si>
    <t>同援深１．０・日０．５・基礎・区４</t>
  </si>
  <si>
    <t>AD58</t>
  </si>
  <si>
    <t>同援深１．０・日０．５・基礎・２人・区４</t>
  </si>
  <si>
    <t>AD59</t>
  </si>
  <si>
    <t>同援深１．０・日０．５・盲ろう・区４</t>
  </si>
  <si>
    <t>AD60</t>
  </si>
  <si>
    <t>同援深１．０・日０．５・２人・盲ろう・区４</t>
  </si>
  <si>
    <t>同援深１．０・日０．５・基礎・盲ろう・区４</t>
  </si>
  <si>
    <t>同援深１．０・日０．５・基礎・２人・盲ろう・区４</t>
  </si>
  <si>
    <t>同援深１．０・日１．０</t>
  </si>
  <si>
    <t>同援深１．０・日１．０・２人</t>
  </si>
  <si>
    <t>AD65</t>
  </si>
  <si>
    <t>同援深１．０・日１．０・基礎</t>
  </si>
  <si>
    <t>AD66</t>
  </si>
  <si>
    <t>同援深１．０・日１．０・基礎・２人</t>
  </si>
  <si>
    <t>AD67</t>
  </si>
  <si>
    <t>同援深１．０・日１．０・盲ろう</t>
  </si>
  <si>
    <t>AD68</t>
  </si>
  <si>
    <t>同援深１．０・日１．０・２人・盲ろう</t>
  </si>
  <si>
    <t>AD69</t>
  </si>
  <si>
    <t>同援深１．０・日１．０・基礎・盲ろう</t>
  </si>
  <si>
    <t>AD70</t>
  </si>
  <si>
    <t>同援深１．０・日１．０・基礎・２人・盲ろう</t>
  </si>
  <si>
    <t>AD71</t>
  </si>
  <si>
    <t>同援深１．０・日１．０・区３</t>
  </si>
  <si>
    <t>AD72</t>
  </si>
  <si>
    <t>同援深１．０・日１．０・２人・区３</t>
  </si>
  <si>
    <t>AD73</t>
  </si>
  <si>
    <t>同援深１．０・日１．０・基礎・区３</t>
  </si>
  <si>
    <t>AD74</t>
  </si>
  <si>
    <t>同援深１．０・日１．０・基礎・２人・区３</t>
  </si>
  <si>
    <t>AD75</t>
  </si>
  <si>
    <t>同援深１．０・日１．０・盲ろう・区３</t>
  </si>
  <si>
    <t>AD76</t>
  </si>
  <si>
    <t>同援深１．０・日１．０・２人・盲ろう・区３</t>
  </si>
  <si>
    <t>AD77</t>
  </si>
  <si>
    <t>同援深１．０・日１．０・基礎・盲ろう・区３</t>
  </si>
  <si>
    <t>AD78</t>
  </si>
  <si>
    <t>同援深１．０・日１．０・基礎・２人・盲ろう・区３</t>
  </si>
  <si>
    <t>AD79</t>
  </si>
  <si>
    <t>同援深１．０・日１．０・区４</t>
  </si>
  <si>
    <t>AD80</t>
  </si>
  <si>
    <t>同援深１．０・日１．０・２人・区４</t>
  </si>
  <si>
    <t>同援深１．０・日１．０・基礎・区４</t>
  </si>
  <si>
    <t>同援深１．０・日１．０・基礎・２人・区４</t>
  </si>
  <si>
    <t>同援深１．０・日１．０・盲ろう・区４</t>
  </si>
  <si>
    <t>同援深１．０・日１．０・２人・盲ろう・区４</t>
  </si>
  <si>
    <t>AD85</t>
  </si>
  <si>
    <t>同援深１．０・日１．０・基礎・盲ろう・区４</t>
  </si>
  <si>
    <t>AD86</t>
  </si>
  <si>
    <t>同援深１．０・日１．０・基礎・２人・盲ろう・区４</t>
  </si>
  <si>
    <t>AD87</t>
  </si>
  <si>
    <t>同援深１．０・日１．５</t>
  </si>
  <si>
    <t>AD88</t>
  </si>
  <si>
    <t>同援深１．０・日１．５・２人</t>
  </si>
  <si>
    <t>AD89</t>
  </si>
  <si>
    <t>同援深１．０・日１．５・基礎</t>
  </si>
  <si>
    <t>AD90</t>
  </si>
  <si>
    <t>同援深１．０・日１．５・基礎・２人</t>
  </si>
  <si>
    <t>AD91</t>
  </si>
  <si>
    <t>同援深１．０・日１．５・盲ろう</t>
  </si>
  <si>
    <t>AD92</t>
  </si>
  <si>
    <t>同援深１．０・日１．５・２人・盲ろう</t>
  </si>
  <si>
    <t>AD93</t>
  </si>
  <si>
    <t>同援深１．０・日１．５・基礎・盲ろう</t>
  </si>
  <si>
    <t>AD94</t>
  </si>
  <si>
    <t>同援深１．０・日１．５・基礎・２人・盲ろう</t>
  </si>
  <si>
    <t>AD95</t>
  </si>
  <si>
    <t>同援深１．０・日１．５・区３</t>
  </si>
  <si>
    <t>AD96</t>
  </si>
  <si>
    <t>同援深１．０・日１．５・２人・区３</t>
  </si>
  <si>
    <t>AD97</t>
  </si>
  <si>
    <t>同援深１．０・日１．５・基礎・区３</t>
  </si>
  <si>
    <t>AD98</t>
  </si>
  <si>
    <t>同援深１．０・日１．５・基礎・２人・区３</t>
  </si>
  <si>
    <t>AD99</t>
  </si>
  <si>
    <t>同援深１．０・日１．５・盲ろう・区３</t>
  </si>
  <si>
    <t>AE00</t>
  </si>
  <si>
    <t>同援深１．０・日１．５・２人・盲ろう・区３</t>
  </si>
  <si>
    <t>同援深１．０・日１．５・基礎・盲ろう・区３</t>
  </si>
  <si>
    <t>同援深１．０・日１．５・基礎・２人・盲ろう・区３</t>
  </si>
  <si>
    <t>同援深１．０・日１．５・区４</t>
  </si>
  <si>
    <t>同援深１．０・日１．５・２人・区４</t>
  </si>
  <si>
    <t>AE05</t>
  </si>
  <si>
    <t>同援深１．０・日１．５・基礎・区４</t>
  </si>
  <si>
    <t>AE06</t>
  </si>
  <si>
    <t>同援深１．０・日１．５・基礎・２人・区４</t>
  </si>
  <si>
    <t>AE07</t>
  </si>
  <si>
    <t>同援深１．０・日１．５・盲ろう・区４</t>
  </si>
  <si>
    <t>AE08</t>
  </si>
  <si>
    <t>同援深１．０・日１．５・２人・盲ろう・区４</t>
  </si>
  <si>
    <t>AE09</t>
  </si>
  <si>
    <t>同援深１．０・日１．５・基礎・盲ろう・区４</t>
  </si>
  <si>
    <t>AE10</t>
  </si>
  <si>
    <t>同援深１．０・日１．５・基礎・２人・盲ろう・区４</t>
  </si>
  <si>
    <t>AE11</t>
  </si>
  <si>
    <t>同援深１．０・日２．０</t>
  </si>
  <si>
    <t>AE12</t>
  </si>
  <si>
    <t>同援深１．０・日２．０・２人</t>
  </si>
  <si>
    <t>AE13</t>
  </si>
  <si>
    <t>同援深１．０・日２．０・基礎</t>
  </si>
  <si>
    <t>AE14</t>
  </si>
  <si>
    <t>同援深１．０・日２．０・基礎・２人</t>
  </si>
  <si>
    <t>AE15</t>
  </si>
  <si>
    <t>同援深１．０・日２．０・盲ろう</t>
  </si>
  <si>
    <t>AE16</t>
  </si>
  <si>
    <t>同援深１．０・日２．０・２人・盲ろう</t>
  </si>
  <si>
    <t>AE17</t>
  </si>
  <si>
    <t>同援深１．０・日２．０・基礎・盲ろう</t>
  </si>
  <si>
    <t>AE18</t>
  </si>
  <si>
    <t>同援深１．０・日２．０・基礎・２人・盲ろう</t>
  </si>
  <si>
    <t>AE19</t>
  </si>
  <si>
    <t>同援深１．０・日２．０・区３</t>
  </si>
  <si>
    <t>AE20</t>
  </si>
  <si>
    <t>同援深１．０・日２．０・２人・区３</t>
  </si>
  <si>
    <t>同援深１．０・日２．０・基礎・区３</t>
  </si>
  <si>
    <t>同援深１．０・日２．０・基礎・２人・区３</t>
  </si>
  <si>
    <t>同援深１．０・日２．０・盲ろう・区３</t>
  </si>
  <si>
    <t>同援深１．０・日２．０・２人・盲ろう・区３</t>
  </si>
  <si>
    <t>AE25</t>
  </si>
  <si>
    <t>同援深１．０・日２．０・基礎・盲ろう・区３</t>
  </si>
  <si>
    <t>AE26</t>
  </si>
  <si>
    <t>同援深１．０・日２．０・基礎・２人・盲ろう・区３</t>
  </si>
  <si>
    <t>AE27</t>
  </si>
  <si>
    <t>同援深１．０・日２．０・区４</t>
  </si>
  <si>
    <t>AE28</t>
  </si>
  <si>
    <t>同援深１．０・日２．０・２人・区４</t>
  </si>
  <si>
    <t>AE29</t>
  </si>
  <si>
    <t>同援深１．０・日２．０・基礎・区４</t>
  </si>
  <si>
    <t>AE30</t>
  </si>
  <si>
    <t>同援深１．０・日２．０・基礎・２人・区４</t>
  </si>
  <si>
    <t>AE31</t>
  </si>
  <si>
    <t>同援深１．０・日２．０・盲ろう・区４</t>
  </si>
  <si>
    <t>AE32</t>
  </si>
  <si>
    <t>同援深１．０・日２．０・２人・盲ろう・区４</t>
  </si>
  <si>
    <t>AE33</t>
  </si>
  <si>
    <t>同援深１．０・日２．０・基礎・盲ろう・区４</t>
  </si>
  <si>
    <t>AE34</t>
  </si>
  <si>
    <t>同援深１．０・日２．０・基礎・２人・盲ろう・区４</t>
  </si>
  <si>
    <t>AE35</t>
  </si>
  <si>
    <t>同援深１．５・日０．５</t>
  </si>
  <si>
    <t>AE36</t>
  </si>
  <si>
    <t>同援深１．５・日０．５・２人</t>
  </si>
  <si>
    <t>AE37</t>
  </si>
  <si>
    <t>同援深１．５・日０．５・基礎</t>
  </si>
  <si>
    <t>AE38</t>
  </si>
  <si>
    <t>同援深１．５・日０．５・基礎・２人</t>
  </si>
  <si>
    <t>AE39</t>
  </si>
  <si>
    <t>同援深１．５・日０．５・盲ろう</t>
  </si>
  <si>
    <t>AE40</t>
  </si>
  <si>
    <t>同援深１．５・日０．５・２人・盲ろう</t>
  </si>
  <si>
    <t>同援深１．５・日０．５・基礎・盲ろう</t>
  </si>
  <si>
    <t>同援深１．５・日０．５・基礎・２人・盲ろう</t>
  </si>
  <si>
    <t>同援深１．５・日０．５・区３</t>
  </si>
  <si>
    <t>同援深１．５・日０．５・２人・区３</t>
  </si>
  <si>
    <t>AE45</t>
  </si>
  <si>
    <t>同援深１．５・日０．５・基礎・区３</t>
  </si>
  <si>
    <t>AE46</t>
  </si>
  <si>
    <t>同援深１．５・日０．５・基礎・２人・区３</t>
  </si>
  <si>
    <t>AE47</t>
  </si>
  <si>
    <t>同援深１．５・日０．５・盲ろう・区３</t>
  </si>
  <si>
    <t>AE48</t>
  </si>
  <si>
    <t>同援深１．５・日０．５・２人・盲ろう・区３</t>
  </si>
  <si>
    <t>AE49</t>
  </si>
  <si>
    <t>同援深１．５・日０．５・基礎・盲ろう・区３</t>
  </si>
  <si>
    <t>AE50</t>
  </si>
  <si>
    <t>同援深１．５・日０．５・基礎・２人・盲ろう・区３</t>
  </si>
  <si>
    <t>AE51</t>
  </si>
  <si>
    <t>同援深１．５・日０．５・区４</t>
  </si>
  <si>
    <t>AE52</t>
  </si>
  <si>
    <t>同援深１．５・日０．５・２人・区４</t>
  </si>
  <si>
    <t>AE53</t>
  </si>
  <si>
    <t>同援深１．５・日０．５・基礎・区４</t>
  </si>
  <si>
    <t>AE54</t>
  </si>
  <si>
    <t>同援深１．５・日０．５・基礎・２人・区４</t>
  </si>
  <si>
    <t>AE55</t>
  </si>
  <si>
    <t>同援深１．５・日０．５・盲ろう・区４</t>
  </si>
  <si>
    <t>AE56</t>
  </si>
  <si>
    <t>同援深１．５・日０．５・２人・盲ろう・区４</t>
  </si>
  <si>
    <t>AE57</t>
  </si>
  <si>
    <t>同援深１．５・日０．５・基礎・盲ろう・区４</t>
  </si>
  <si>
    <t>AE58</t>
  </si>
  <si>
    <t>同援深１．５・日０．５・基礎・２人・盲ろう・区４</t>
  </si>
  <si>
    <t>AE59</t>
  </si>
  <si>
    <t>同援深１．５・日１．０</t>
  </si>
  <si>
    <t>AE60</t>
  </si>
  <si>
    <t>同援深１．５・日１．０・２人</t>
  </si>
  <si>
    <t>同援深１．５・日１．０・基礎</t>
  </si>
  <si>
    <t>同援深１．５・日１．０・基礎・２人</t>
  </si>
  <si>
    <t>同援深１．５・日１．０・盲ろう</t>
  </si>
  <si>
    <t>同援深１．５・日１．０・２人・盲ろう</t>
  </si>
  <si>
    <t>AE65</t>
  </si>
  <si>
    <t>同援深１．５・日１．０・基礎・盲ろう</t>
  </si>
  <si>
    <t>AE66</t>
  </si>
  <si>
    <t>同援深１．５・日１．０・基礎・２人・盲ろう</t>
  </si>
  <si>
    <t>AE67</t>
  </si>
  <si>
    <t>同援深１．５・日１．０・区３</t>
  </si>
  <si>
    <t>AE68</t>
  </si>
  <si>
    <t>同援深１．５・日１．０・２人・区３</t>
  </si>
  <si>
    <t>AE69</t>
  </si>
  <si>
    <t>同援深１．５・日１．０・基礎・区３</t>
  </si>
  <si>
    <t>AE70</t>
  </si>
  <si>
    <t>同援深１．５・日１．０・基礎・２人・区３</t>
  </si>
  <si>
    <t>AE71</t>
  </si>
  <si>
    <t>同援深１．５・日１．０・盲ろう・区３</t>
  </si>
  <si>
    <t>AE72</t>
  </si>
  <si>
    <t>同援深１．５・日１．０・２人・盲ろう・区３</t>
  </si>
  <si>
    <t>AE73</t>
  </si>
  <si>
    <t>同援深１．５・日１．０・基礎・盲ろう・区３</t>
  </si>
  <si>
    <t>AE74</t>
  </si>
  <si>
    <t>同援深１．５・日１．０・基礎・２人・盲ろう・区３</t>
  </si>
  <si>
    <t>AE75</t>
  </si>
  <si>
    <t>同援深１．５・日１．０・区４</t>
  </si>
  <si>
    <t>AE76</t>
  </si>
  <si>
    <t>同援深１．５・日１．０・２人・区４</t>
  </si>
  <si>
    <t>AE77</t>
  </si>
  <si>
    <t>同援深１．５・日１．０・基礎・区４</t>
  </si>
  <si>
    <t>AE78</t>
  </si>
  <si>
    <t>同援深１．５・日１．０・基礎・２人・区４</t>
  </si>
  <si>
    <t>AE79</t>
  </si>
  <si>
    <t>同援深１．５・日１．０・盲ろう・区４</t>
  </si>
  <si>
    <t>AE80</t>
  </si>
  <si>
    <t>同援深１．５・日１．０・２人・盲ろう・区４</t>
  </si>
  <si>
    <t>同援深１．５・日１．０・基礎・盲ろう・区４</t>
  </si>
  <si>
    <t>同援深１．５・日１．０・基礎・２人・盲ろう・区４</t>
  </si>
  <si>
    <t>同援深１．５・日１．５</t>
  </si>
  <si>
    <t>同援深１．５・日１．５・２人</t>
  </si>
  <si>
    <t>AE85</t>
  </si>
  <si>
    <t>同援深１．５・日１．５・基礎</t>
  </si>
  <si>
    <t>AE86</t>
  </si>
  <si>
    <t>同援深１．５・日１．５・基礎・２人</t>
  </si>
  <si>
    <t>AE87</t>
  </si>
  <si>
    <t>同援深１．５・日１．５・盲ろう</t>
  </si>
  <si>
    <t>AE88</t>
  </si>
  <si>
    <t>同援深１．５・日１．５・２人・盲ろう</t>
  </si>
  <si>
    <t>AE89</t>
  </si>
  <si>
    <t>同援深１．５・日１．５・基礎・盲ろう</t>
  </si>
  <si>
    <t>AE90</t>
  </si>
  <si>
    <t>同援深１．５・日１．５・基礎・２人・盲ろう</t>
  </si>
  <si>
    <t>AE91</t>
  </si>
  <si>
    <t>同援深１．５・日１．５・区３</t>
  </si>
  <si>
    <t>AE92</t>
  </si>
  <si>
    <t>同援深１．５・日１．５・２人・区３</t>
  </si>
  <si>
    <t>AE93</t>
  </si>
  <si>
    <t>同援深１．５・日１．５・基礎・区３</t>
  </si>
  <si>
    <t>AE94</t>
  </si>
  <si>
    <t>同援深１．５・日１．５・基礎・２人・区３</t>
  </si>
  <si>
    <t>AE95</t>
  </si>
  <si>
    <t>同援深１．５・日１．５・盲ろう・区３</t>
  </si>
  <si>
    <t>AE96</t>
  </si>
  <si>
    <t>同援深１．５・日１．５・２人・盲ろう・区３</t>
  </si>
  <si>
    <t>AE97</t>
  </si>
  <si>
    <t>同援深１．５・日１．５・基礎・盲ろう・区３</t>
  </si>
  <si>
    <t>AE98</t>
  </si>
  <si>
    <t>同援深１．５・日１．５・基礎・２人・盲ろう・区３</t>
  </si>
  <si>
    <t>AE99</t>
  </si>
  <si>
    <t>同援深１．５・日１．５・区４</t>
  </si>
  <si>
    <t>AF00</t>
  </si>
  <si>
    <t>同援深１．５・日１．５・２人・区４</t>
  </si>
  <si>
    <t>同援深１．５・日１．５・基礎・区４</t>
  </si>
  <si>
    <t>同援深１．５・日１．５・基礎・２人・区４</t>
  </si>
  <si>
    <t>同援深１．５・日１．５・盲ろう・区４</t>
  </si>
  <si>
    <t>同援深１．５・日１．５・２人・盲ろう・区４</t>
  </si>
  <si>
    <t>AF05</t>
  </si>
  <si>
    <t>同援深１．５・日１．５・基礎・盲ろう・区４</t>
  </si>
  <si>
    <t>AF06</t>
  </si>
  <si>
    <t>同援深１．５・日１．５・基礎・２人・盲ろう・区４</t>
  </si>
  <si>
    <t>AF07</t>
  </si>
  <si>
    <t>同援深２．０・日０．５</t>
  </si>
  <si>
    <t>AF08</t>
  </si>
  <si>
    <t>同援深２．０・日０．５・２人</t>
  </si>
  <si>
    <t>AF09</t>
  </si>
  <si>
    <t>同援深２．０・日０．５・基礎</t>
  </si>
  <si>
    <t>AF10</t>
  </si>
  <si>
    <t>同援深２．０・日０．５・基礎・２人</t>
  </si>
  <si>
    <t>AF11</t>
  </si>
  <si>
    <t>同援深２．０・日０．５・盲ろう</t>
  </si>
  <si>
    <t>AF12</t>
  </si>
  <si>
    <t>同援深２．０・日０．５・２人・盲ろう</t>
  </si>
  <si>
    <t>AF13</t>
  </si>
  <si>
    <t>同援深２．０・日０．５・基礎・盲ろう</t>
  </si>
  <si>
    <t>AF14</t>
  </si>
  <si>
    <t>同援深２．０・日０．５・基礎・２人・盲ろう</t>
  </si>
  <si>
    <t>AF15</t>
  </si>
  <si>
    <t>同援深２．０・日０．５・区３</t>
  </si>
  <si>
    <t>AF16</t>
  </si>
  <si>
    <t>同援深２．０・日０．５・２人・区３</t>
  </si>
  <si>
    <t>AF17</t>
  </si>
  <si>
    <t>同援深２．０・日０．５・基礎・区３</t>
  </si>
  <si>
    <t>AF18</t>
  </si>
  <si>
    <t>同援深２．０・日０．５・基礎・２人・区３</t>
  </si>
  <si>
    <t>AF19</t>
  </si>
  <si>
    <t>同援深２．０・日０．５・盲ろう・区３</t>
  </si>
  <si>
    <t>AF20</t>
  </si>
  <si>
    <t>同援深２．０・日０．５・２人・盲ろう・区３</t>
  </si>
  <si>
    <t>同援深２．０・日０．５・基礎・盲ろう・区３</t>
  </si>
  <si>
    <t>同援深２．０・日０．５・基礎・２人・盲ろう・区３</t>
  </si>
  <si>
    <t>同援深２．０・日０．５・区４</t>
  </si>
  <si>
    <t>同援深２．０・日０．５・２人・区４</t>
  </si>
  <si>
    <t>AF25</t>
  </si>
  <si>
    <t>同援深２．０・日０．５・基礎・区４</t>
  </si>
  <si>
    <t>AF26</t>
  </si>
  <si>
    <t>同援深２．０・日０．５・基礎・２人・区４</t>
  </si>
  <si>
    <t>AF27</t>
  </si>
  <si>
    <t>同援深２．０・日０．５・盲ろう・区４</t>
  </si>
  <si>
    <t>AF28</t>
  </si>
  <si>
    <t>同援深２．０・日０．５・２人・盲ろう・区４</t>
  </si>
  <si>
    <t>AF29</t>
  </si>
  <si>
    <t>同援深２．０・日０．５・基礎・盲ろう・区４</t>
  </si>
  <si>
    <t>AF30</t>
  </si>
  <si>
    <t>同援深２．０・日０．５・基礎・２人・盲ろう・区４</t>
  </si>
  <si>
    <t>AF31</t>
  </si>
  <si>
    <t>同援深２．０・日１．０</t>
  </si>
  <si>
    <t>AF32</t>
  </si>
  <si>
    <t>同援深２．０・日１．０・２人</t>
  </si>
  <si>
    <t>AF33</t>
  </si>
  <si>
    <t>同援深２．０・日１．０・基礎</t>
  </si>
  <si>
    <t>AF34</t>
  </si>
  <si>
    <t>同援深２．０・日１．０・基礎・２人</t>
  </si>
  <si>
    <t>AF35</t>
  </si>
  <si>
    <t>同援深２．０・日１．０・盲ろう</t>
  </si>
  <si>
    <t>AF36</t>
  </si>
  <si>
    <t>同援深２．０・日１．０・２人・盲ろう</t>
  </si>
  <si>
    <t>AF37</t>
  </si>
  <si>
    <t>同援深２．０・日１．０・基礎・盲ろう</t>
  </si>
  <si>
    <t>AF38</t>
  </si>
  <si>
    <t>同援深２．０・日１．０・基礎・２人・盲ろう</t>
  </si>
  <si>
    <t>AF39</t>
  </si>
  <si>
    <t>同援深２．０・日１．０・区３</t>
  </si>
  <si>
    <t>AF40</t>
  </si>
  <si>
    <t>同援深２．０・日１．０・２人・区３</t>
  </si>
  <si>
    <t>同援深２．０・日１．０・基礎・区３</t>
  </si>
  <si>
    <t>同援深２．０・日１．０・基礎・２人・区３</t>
  </si>
  <si>
    <t>同援深２．０・日１．０・盲ろう・区３</t>
  </si>
  <si>
    <t>同援深２．０・日１．０・２人・盲ろう・区３</t>
  </si>
  <si>
    <t>AF45</t>
  </si>
  <si>
    <t>同援深２．０・日１．０・基礎・盲ろう・区３</t>
  </si>
  <si>
    <t>AF46</t>
  </si>
  <si>
    <t>同援深２．０・日１．０・基礎・２人・盲ろう・区３</t>
  </si>
  <si>
    <t>AF47</t>
  </si>
  <si>
    <t>同援深２．０・日１．０・区４</t>
  </si>
  <si>
    <t>AF48</t>
  </si>
  <si>
    <t>同援深２．０・日１．０・２人・区４</t>
  </si>
  <si>
    <t>AF49</t>
  </si>
  <si>
    <t>同援深２．０・日１．０・基礎・区４</t>
  </si>
  <si>
    <t>AF50</t>
  </si>
  <si>
    <t>同援深２．０・日１．０・基礎・２人・区４</t>
  </si>
  <si>
    <t>AF51</t>
  </si>
  <si>
    <t>同援深２．０・日１．０・盲ろう・区４</t>
  </si>
  <si>
    <t>AF52</t>
  </si>
  <si>
    <t>同援深２．０・日１．０・２人・盲ろう・区４</t>
  </si>
  <si>
    <t>AF53</t>
  </si>
  <si>
    <t>同援深２．０・日１．０・基礎・盲ろう・区４</t>
  </si>
  <si>
    <t>AF54</t>
  </si>
  <si>
    <t>同援深２．０・日１．０・基礎・２人・盲ろう・区４</t>
  </si>
  <si>
    <t>AF55</t>
  </si>
  <si>
    <t>同援深２．５・日０．５</t>
  </si>
  <si>
    <t>AF56</t>
  </si>
  <si>
    <t>同援深２．５・日０．５・２人</t>
  </si>
  <si>
    <t>AF57</t>
  </si>
  <si>
    <t>同援深２．５・日０．５・基礎</t>
  </si>
  <si>
    <t>AF58</t>
  </si>
  <si>
    <t>同援深２．５・日０．５・基礎・２人</t>
  </si>
  <si>
    <t>AF59</t>
  </si>
  <si>
    <t>同援深２．５・日０．５・盲ろう</t>
  </si>
  <si>
    <t>AF60</t>
  </si>
  <si>
    <t>同援深２．５・日０．５・２人・盲ろう</t>
  </si>
  <si>
    <t>同援深２．５・日０．５・基礎・盲ろう</t>
  </si>
  <si>
    <t>同援深２．５・日０．５・基礎・２人・盲ろう</t>
  </si>
  <si>
    <t>同援深２．５・日０．５・区３</t>
  </si>
  <si>
    <t>同援深２．５・日０．５・２人・区３</t>
  </si>
  <si>
    <t>AF65</t>
  </si>
  <si>
    <t>同援深２．５・日０．５・基礎・区３</t>
  </si>
  <si>
    <t>AF66</t>
  </si>
  <si>
    <t>同援深２．５・日０．５・基礎・２人・区３</t>
  </si>
  <si>
    <t>AF67</t>
  </si>
  <si>
    <t>同援深２．５・日０．５・盲ろう・区３</t>
  </si>
  <si>
    <t>AF68</t>
  </si>
  <si>
    <t>同援深２．５・日０．５・２人・盲ろう・区３</t>
  </si>
  <si>
    <t>AF69</t>
  </si>
  <si>
    <t>同援深２．５・日０．５・基礎・盲ろう・区３</t>
  </si>
  <si>
    <t>AF70</t>
  </si>
  <si>
    <t>同援深２．５・日０．５・基礎・２人・盲ろう・区３</t>
  </si>
  <si>
    <t>AF71</t>
  </si>
  <si>
    <t>同援深２．５・日０．５・区４</t>
  </si>
  <si>
    <t>AF72</t>
  </si>
  <si>
    <t>同援深２．５・日０．５・２人・区４</t>
  </si>
  <si>
    <t>AF73</t>
  </si>
  <si>
    <t>同援深２．５・日０．５・基礎・区４</t>
  </si>
  <si>
    <t>AF74</t>
  </si>
  <si>
    <t>同援深２．５・日０．５・基礎・２人・区４</t>
  </si>
  <si>
    <t>AF75</t>
  </si>
  <si>
    <t>同援深２．５・日０．５・盲ろう・区４</t>
  </si>
  <si>
    <t>AF76</t>
  </si>
  <si>
    <t>同援深２．５・日０．５・２人・盲ろう・区４</t>
  </si>
  <si>
    <t>AF77</t>
  </si>
  <si>
    <t>同援深２．５・日０．５・基礎・盲ろう・区４</t>
  </si>
  <si>
    <t>AF78</t>
  </si>
  <si>
    <t>同援深２．５・日０．５・基礎・２人・盲ろう・区４</t>
  </si>
  <si>
    <t>（日中＋夜間＋深夜）　　※サービス間隔が２時間未満の場合</t>
    <phoneticPr fontId="1"/>
  </si>
  <si>
    <t>種類</t>
    <phoneticPr fontId="1"/>
  </si>
  <si>
    <t>AF79</t>
  </si>
  <si>
    <t>同援日０．５・夜０．５・深０．５</t>
  </si>
  <si>
    <t>(一)深夜</t>
    <phoneticPr fontId="1"/>
  </si>
  <si>
    <t>AF80</t>
  </si>
  <si>
    <t>同援日０．５・夜０．５・深０．５・２人</t>
  </si>
  <si>
    <t>同援日０．５・夜０．５・深０．５・基礎</t>
  </si>
  <si>
    <t>同援日０．５・夜０．５・深０．５・基礎・２人</t>
  </si>
  <si>
    <t>同援日０．５・夜０．５・深０．５・盲ろう</t>
  </si>
  <si>
    <t>同援日０．５・夜０．５・深０．５・２人・盲ろう</t>
  </si>
  <si>
    <t>AF85</t>
  </si>
  <si>
    <t>同援日０．５・夜０．５・深０．５・基礎・盲ろう</t>
  </si>
  <si>
    <t>AF86</t>
  </si>
  <si>
    <t>同援日０．５・夜０．５・深０．５・基礎・２人・盲ろう</t>
  </si>
  <si>
    <t>AF87</t>
  </si>
  <si>
    <t>同援日０．５・夜０．５・深０．５・区３</t>
  </si>
  <si>
    <t>AF88</t>
  </si>
  <si>
    <t>同援日０．５・夜０．５・深０．５・２人・区３</t>
  </si>
  <si>
    <t>AF89</t>
  </si>
  <si>
    <t>同援日０．５・夜０．５・深０．５・基礎・区３</t>
  </si>
  <si>
    <t>AF90</t>
  </si>
  <si>
    <t>同援日０．５・夜０．５・深０．５・基礎・２人・区３</t>
  </si>
  <si>
    <t>AF91</t>
  </si>
  <si>
    <t>同援日０．５・夜０．５・深０．５・盲ろう・区３</t>
  </si>
  <si>
    <t>AF92</t>
  </si>
  <si>
    <t>同援日０．５・夜０．５・深０．５・２人・盲ろう・区３</t>
  </si>
  <si>
    <t>AF93</t>
  </si>
  <si>
    <t>同援日０．５・夜０．５・深０．５・基礎・盲ろう・区３</t>
  </si>
  <si>
    <t>AF94</t>
  </si>
  <si>
    <t>同援日０．５・夜０．５・深０．５・基礎・２人・盲ろう・区３</t>
  </si>
  <si>
    <t>AF95</t>
  </si>
  <si>
    <t>同援日０．５・夜０．５・深０．５・区４</t>
  </si>
  <si>
    <t>AF96</t>
  </si>
  <si>
    <t>同援日０．５・夜０．５・深０．５・２人・区４</t>
  </si>
  <si>
    <t>AF97</t>
  </si>
  <si>
    <t>同援日０．５・夜０．５・深０．５・基礎・区４</t>
  </si>
  <si>
    <t>AF98</t>
  </si>
  <si>
    <t>同援日０．５・夜０．５・深０．５・基礎・２人・区４</t>
  </si>
  <si>
    <t>AF99</t>
  </si>
  <si>
    <t>同援日０．５・夜０．５・深０．５・盲ろう・区４</t>
  </si>
  <si>
    <t>AG00</t>
  </si>
  <si>
    <t>同援日０．５・夜０．５・深０．５・２人・盲ろう・区４</t>
  </si>
  <si>
    <t>同援日０．５・夜０．５・深０．５・基礎・盲ろう・区４</t>
  </si>
  <si>
    <t>同援日０．５・夜０．５・深０．５・基礎・２人・盲ろう・区４</t>
  </si>
  <si>
    <t>同援日０．５・夜０．５・深１．０</t>
  </si>
  <si>
    <t>(二)深夜</t>
    <phoneticPr fontId="1"/>
  </si>
  <si>
    <t>同援日０．５・夜０．５・深１．０・２人</t>
  </si>
  <si>
    <t>AG05</t>
  </si>
  <si>
    <t>同援日０．５・夜０．５・深１．０・基礎</t>
  </si>
  <si>
    <t>AG06</t>
  </si>
  <si>
    <t>同援日０．５・夜０．５・深１．０・基礎・２人</t>
  </si>
  <si>
    <t>AG07</t>
  </si>
  <si>
    <t>同援日０．５・夜０．５・深１．０・盲ろう</t>
  </si>
  <si>
    <t>AG08</t>
  </si>
  <si>
    <t>同援日０．５・夜０．５・深１．０・２人・盲ろう</t>
  </si>
  <si>
    <t>AG09</t>
  </si>
  <si>
    <t>同援日０．５・夜０．５・深１．０・基礎・盲ろう</t>
  </si>
  <si>
    <t>AG10</t>
  </si>
  <si>
    <t>同援日０．５・夜０．５・深１．０・基礎・２人・盲ろう</t>
  </si>
  <si>
    <t>AG11</t>
  </si>
  <si>
    <t>同援日０．５・夜０．５・深１．０・区３</t>
  </si>
  <si>
    <t>AG12</t>
  </si>
  <si>
    <t>同援日０．５・夜０．５・深１．０・２人・区３</t>
  </si>
  <si>
    <t>AG13</t>
  </si>
  <si>
    <t>同援日０．５・夜０．５・深１．０・基礎・区３</t>
  </si>
  <si>
    <t>AG14</t>
  </si>
  <si>
    <t>同援日０．５・夜０．５・深１．０・基礎・２人・区３</t>
  </si>
  <si>
    <t>AG15</t>
  </si>
  <si>
    <t>同援日０．５・夜０．５・深１．０・盲ろう・区３</t>
  </si>
  <si>
    <t>AG16</t>
  </si>
  <si>
    <t>同援日０．５・夜０．５・深１．０・２人・盲ろう・区３</t>
  </si>
  <si>
    <t>AG17</t>
  </si>
  <si>
    <t>同援日０．５・夜０．５・深１．０・基礎・盲ろう・区３</t>
  </si>
  <si>
    <t>AG18</t>
  </si>
  <si>
    <t>同援日０．５・夜０．５・深１．０・基礎・２人・盲ろう・区３</t>
  </si>
  <si>
    <t>AG19</t>
  </si>
  <si>
    <t>同援日０．５・夜０．５・深１．０・区４</t>
  </si>
  <si>
    <t>AG20</t>
  </si>
  <si>
    <t>同援日０．５・夜０．５・深１．０・２人・区４</t>
  </si>
  <si>
    <t>同援日０．５・夜０．５・深１．０・基礎・区４</t>
  </si>
  <si>
    <t>同援日０．５・夜０．５・深１．０・基礎・２人・区４</t>
  </si>
  <si>
    <t>同援日０．５・夜０．５・深１．０・盲ろう・区４</t>
  </si>
  <si>
    <t>同援日０．５・夜０．５・深１．０・２人・盲ろう・区４</t>
  </si>
  <si>
    <t>AG25</t>
  </si>
  <si>
    <t>同援日０．５・夜０．５・深１．０・基礎・盲ろう・区４</t>
  </si>
  <si>
    <t>AG26</t>
  </si>
  <si>
    <t>同援日０．５・夜０．５・深１．０・基礎・２人・盲ろう・区４</t>
  </si>
  <si>
    <t>AG27</t>
  </si>
  <si>
    <t>同援日０．５・夜０．５・深１．５</t>
  </si>
  <si>
    <t>(三)深夜</t>
    <phoneticPr fontId="1"/>
  </si>
  <si>
    <t>AG28</t>
  </si>
  <si>
    <t>同援日０．５・夜０．５・深１．５・２人</t>
  </si>
  <si>
    <t>AG29</t>
  </si>
  <si>
    <t>同援日０．５・夜０．５・深１．５・基礎</t>
  </si>
  <si>
    <t>AG30</t>
  </si>
  <si>
    <t>同援日０．５・夜０．５・深１．５・基礎・２人</t>
  </si>
  <si>
    <t>AG31</t>
  </si>
  <si>
    <t>同援日０．５・夜０．５・深１．５・盲ろう</t>
  </si>
  <si>
    <t>AG32</t>
  </si>
  <si>
    <t>同援日０．５・夜０．５・深１．５・２人・盲ろう</t>
  </si>
  <si>
    <t>AG33</t>
  </si>
  <si>
    <t>同援日０．５・夜０．５・深１．５・基礎・盲ろう</t>
  </si>
  <si>
    <t>AG34</t>
  </si>
  <si>
    <t>同援日０．５・夜０．５・深１．５・基礎・２人・盲ろう</t>
  </si>
  <si>
    <t>AG35</t>
  </si>
  <si>
    <t>同援日０．５・夜０．５・深１．５・区３</t>
  </si>
  <si>
    <t>AG36</t>
  </si>
  <si>
    <t>同援日０．５・夜０．５・深１．５・２人・区３</t>
  </si>
  <si>
    <t>AG37</t>
  </si>
  <si>
    <t>同援日０．５・夜０．５・深１．５・基礎・区３</t>
  </si>
  <si>
    <t>AG38</t>
  </si>
  <si>
    <t>同援日０．５・夜０．５・深１．５・基礎・２人・区３</t>
  </si>
  <si>
    <t>AG39</t>
  </si>
  <si>
    <t>同援日０．５・夜０．５・深１．５・盲ろう・区３</t>
  </si>
  <si>
    <t>AG40</t>
  </si>
  <si>
    <t>同援日０．５・夜０．５・深１．５・２人・盲ろう・区３</t>
  </si>
  <si>
    <t>同援日０．５・夜０．５・深１．５・基礎・盲ろう・区３</t>
  </si>
  <si>
    <t>同援日０．５・夜０．５・深１．５・基礎・２人・盲ろう・区３</t>
  </si>
  <si>
    <t>同援日０．５・夜０．５・深１．５・区４</t>
  </si>
  <si>
    <t>同援日０．５・夜０．５・深１．５・２人・区４</t>
  </si>
  <si>
    <t>AG45</t>
  </si>
  <si>
    <t>同援日０．５・夜０．５・深１．５・基礎・区４</t>
  </si>
  <si>
    <t>AG46</t>
  </si>
  <si>
    <t>同援日０．５・夜０．５・深１．５・基礎・２人・区４</t>
  </si>
  <si>
    <t>AG47</t>
  </si>
  <si>
    <t>同援日０．５・夜０．５・深１．５・盲ろう・区４</t>
  </si>
  <si>
    <t>AG48</t>
  </si>
  <si>
    <t>同援日０．５・夜０．５・深１．５・２人・盲ろう・区４</t>
  </si>
  <si>
    <t>AG49</t>
  </si>
  <si>
    <t>同援日０．５・夜０．５・深１．５・基礎・盲ろう・区４</t>
  </si>
  <si>
    <t>AG50</t>
  </si>
  <si>
    <t>同援日０．５・夜０．５・深１．５・基礎・２人・盲ろう・区４</t>
  </si>
  <si>
    <t>AG51</t>
  </si>
  <si>
    <t>同援日０．５・夜０．５・深２．０</t>
  </si>
  <si>
    <t>(四)深夜</t>
    <phoneticPr fontId="1"/>
  </si>
  <si>
    <t>AG52</t>
  </si>
  <si>
    <t>同援日０．５・夜０．５・深２．０・２人</t>
  </si>
  <si>
    <t>AG53</t>
  </si>
  <si>
    <t>同援日０．５・夜０．５・深２．０・基礎</t>
  </si>
  <si>
    <t>AG54</t>
  </si>
  <si>
    <t>同援日０．５・夜０．５・深２．０・基礎・２人</t>
  </si>
  <si>
    <t>AG55</t>
  </si>
  <si>
    <t>同援日０．５・夜０．５・深２．０・盲ろう</t>
  </si>
  <si>
    <t>AG56</t>
  </si>
  <si>
    <t>同援日０．５・夜０．５・深２．０・２人・盲ろう</t>
  </si>
  <si>
    <t>AG57</t>
  </si>
  <si>
    <t>同援日０．５・夜０．５・深２．０・基礎・盲ろう</t>
  </si>
  <si>
    <t>AG58</t>
  </si>
  <si>
    <t>同援日０．５・夜０．５・深２．０・基礎・２人・盲ろう</t>
  </si>
  <si>
    <t>AG59</t>
  </si>
  <si>
    <t>同援日０．５・夜０．５・深２．０・区３</t>
  </si>
  <si>
    <t>AG60</t>
  </si>
  <si>
    <t>同援日０．５・夜０．５・深２．０・２人・区３</t>
  </si>
  <si>
    <t>同援日０．５・夜０．５・深２．０・基礎・区３</t>
  </si>
  <si>
    <t>同援日０．５・夜０．５・深２．０・基礎・２人・区３</t>
  </si>
  <si>
    <t>同援日０．５・夜０．５・深２．０・盲ろう・区３</t>
  </si>
  <si>
    <t>同援日０．５・夜０．５・深２．０・２人・盲ろう・区３</t>
  </si>
  <si>
    <t>AG65</t>
  </si>
  <si>
    <t>同援日０．５・夜０．５・深２．０・基礎・盲ろう・区３</t>
  </si>
  <si>
    <t>AG66</t>
  </si>
  <si>
    <t>同援日０．５・夜０．５・深２．０・基礎・２人・盲ろう・区３</t>
  </si>
  <si>
    <t>AG67</t>
  </si>
  <si>
    <t>同援日０．５・夜０．５・深２．０・区４</t>
  </si>
  <si>
    <t>AG68</t>
  </si>
  <si>
    <t>同援日０．５・夜０．５・深２．０・２人・区４</t>
  </si>
  <si>
    <t>AG69</t>
  </si>
  <si>
    <t>同援日０．５・夜０．５・深２．０・基礎・区４</t>
  </si>
  <si>
    <t>AG70</t>
  </si>
  <si>
    <t>同援日０．５・夜０．５・深２．０・基礎・２人・区４</t>
  </si>
  <si>
    <t>AG71</t>
  </si>
  <si>
    <t>同援日０．５・夜０．５・深２．０・盲ろう・区４</t>
  </si>
  <si>
    <t>AG72</t>
  </si>
  <si>
    <t>同援日０．５・夜０．５・深２．０・２人・盲ろう・区４</t>
  </si>
  <si>
    <t>AG73</t>
  </si>
  <si>
    <t>同援日０．５・夜０．５・深２．０・基礎・盲ろう・区４</t>
  </si>
  <si>
    <t>AG74</t>
  </si>
  <si>
    <t>同援日０．５・夜０．５・深２．０・基礎・２人・盲ろう・区４</t>
  </si>
  <si>
    <t>AG75</t>
  </si>
  <si>
    <t>同援日０．５・夜１．０・深０．５</t>
  </si>
  <si>
    <t>AG76</t>
  </si>
  <si>
    <t>同援日０．５・夜１．０・深０．５・２人</t>
  </si>
  <si>
    <t>AG77</t>
  </si>
  <si>
    <t>同援日０．５・夜１．０・深０．５・基礎</t>
  </si>
  <si>
    <t>AG78</t>
  </si>
  <si>
    <t>同援日０．５・夜１．０・深０．５・基礎・２人</t>
  </si>
  <si>
    <t>AG79</t>
  </si>
  <si>
    <t>同援日０．５・夜１．０・深０．５・盲ろう</t>
  </si>
  <si>
    <t>AG80</t>
  </si>
  <si>
    <t>同援日０．５・夜１．０・深０．５・２人・盲ろう</t>
  </si>
  <si>
    <t>同援日０．５・夜１．０・深０．５・基礎・盲ろう</t>
  </si>
  <si>
    <t>同援日０．５・夜１．０・深０．５・基礎・２人・盲ろう</t>
  </si>
  <si>
    <t>同援日０．５・夜１．０・深０．５・区３</t>
  </si>
  <si>
    <t>同援日０．５・夜１．０・深０．５・２人・区３</t>
  </si>
  <si>
    <t>AG85</t>
  </si>
  <si>
    <t>同援日０．５・夜１．０・深０．５・基礎・区３</t>
  </si>
  <si>
    <t>AG86</t>
  </si>
  <si>
    <t>同援日０．５・夜１．０・深０．５・基礎・２人・区３</t>
  </si>
  <si>
    <t>AG87</t>
  </si>
  <si>
    <t>同援日０．５・夜１．０・深０．５・盲ろう・区３</t>
  </si>
  <si>
    <t>AG88</t>
  </si>
  <si>
    <t>同援日０．５・夜１．０・深０．５・２人・盲ろう・区３</t>
  </si>
  <si>
    <t>AG89</t>
  </si>
  <si>
    <t>同援日０．５・夜１．０・深０．５・基礎・盲ろう・区３</t>
  </si>
  <si>
    <t>AG90</t>
  </si>
  <si>
    <t>同援日０．５・夜１．０・深０．５・基礎・２人・盲ろう・区３</t>
  </si>
  <si>
    <t>AG91</t>
  </si>
  <si>
    <t>同援日０．５・夜１．０・深０．５・区４</t>
  </si>
  <si>
    <t>AG92</t>
  </si>
  <si>
    <t>同援日０．５・夜１．０・深０．５・２人・区４</t>
  </si>
  <si>
    <t>AG93</t>
  </si>
  <si>
    <t>同援日０．５・夜１．０・深０．５・基礎・区４</t>
  </si>
  <si>
    <t>AG94</t>
  </si>
  <si>
    <t>同援日０．５・夜１．０・深０．５・基礎・２人・区４</t>
  </si>
  <si>
    <t>AG95</t>
  </si>
  <si>
    <t>同援日０．５・夜１．０・深０．５・盲ろう・区４</t>
    <phoneticPr fontId="1"/>
  </si>
  <si>
    <t>AG96</t>
  </si>
  <si>
    <t>同援日０．５・夜１．０・深０．５・２人・盲ろう・区４</t>
    <phoneticPr fontId="1"/>
  </si>
  <si>
    <t>AG97</t>
  </si>
  <si>
    <t>同援日０．５・夜１．０・深０．５・基礎・盲ろう・区４</t>
  </si>
  <si>
    <t>AG98</t>
  </si>
  <si>
    <t>同援日０．５・夜１．０・深０．５・基礎・２人・盲ろう・区４</t>
  </si>
  <si>
    <t>AG99</t>
  </si>
  <si>
    <t>同援日０．５・夜１．０・深１．０</t>
  </si>
  <si>
    <t>AH00</t>
  </si>
  <si>
    <t>同援日０．５・夜１．０・深１．０・２人</t>
  </si>
  <si>
    <t>同援日０．５・夜１．０・深１．０・基礎</t>
  </si>
  <si>
    <t>同援日０．５・夜１．０・深１．０・基礎・２人</t>
  </si>
  <si>
    <t>同援日０．５・夜１．０・深１．０・盲ろう</t>
  </si>
  <si>
    <t>同援日０．５・夜１．０・深１．０・２人・盲ろう</t>
  </si>
  <si>
    <t>AH05</t>
  </si>
  <si>
    <t>同援日０．５・夜１．０・深１．０・基礎・盲ろう</t>
  </si>
  <si>
    <t>AH06</t>
  </si>
  <si>
    <t>同援日０．５・夜１．０・深１．０・基礎・２人・盲ろう</t>
  </si>
  <si>
    <t>AH07</t>
  </si>
  <si>
    <t>同援日０．５・夜１．０・深１．０・区３</t>
  </si>
  <si>
    <t>AH08</t>
  </si>
  <si>
    <t>同援日０．５・夜１．０・深１．０・２人・区３</t>
  </si>
  <si>
    <t>AH09</t>
  </si>
  <si>
    <t>同援日０．５・夜１．０・深１．０・基礎・区３</t>
  </si>
  <si>
    <t>AH10</t>
  </si>
  <si>
    <t>同援日０．５・夜１．０・深１．０・基礎・２人・区３</t>
  </si>
  <si>
    <t>AH11</t>
  </si>
  <si>
    <t>同援日０．５・夜１．０・深１．０・盲ろう・区３</t>
  </si>
  <si>
    <t>AH12</t>
  </si>
  <si>
    <t>同援日０．５・夜１．０・深１．０・２人・盲ろう・区３</t>
  </si>
  <si>
    <t>AH13</t>
  </si>
  <si>
    <t>同援日０．５・夜１．０・深１．０・基礎・盲ろう・区３</t>
  </si>
  <si>
    <t>AH14</t>
  </si>
  <si>
    <t>同援日０．５・夜１．０・深１．０・基礎・２人・盲ろう・区３</t>
  </si>
  <si>
    <t>AH15</t>
  </si>
  <si>
    <t>同援日０．５・夜１．０・深１．０・区４</t>
  </si>
  <si>
    <t>AH16</t>
  </si>
  <si>
    <t>同援日０．５・夜１．０・深１．０・２人・区４</t>
  </si>
  <si>
    <t>AH17</t>
  </si>
  <si>
    <t>同援日０．５・夜１．０・深１．０・基礎・区４</t>
  </si>
  <si>
    <t>AH18</t>
  </si>
  <si>
    <t>同援日０．５・夜１．０・深１．０・基礎・２人・区４</t>
  </si>
  <si>
    <t>AH19</t>
  </si>
  <si>
    <t>同援日０．５・夜１．０・深１．０・盲ろう・区４</t>
  </si>
  <si>
    <t>AH20</t>
  </si>
  <si>
    <t>同援日０．５・夜１．０・深１．０・２人・盲ろう・区４</t>
  </si>
  <si>
    <t>同援日０．５・夜１．０・深１．０・基礎・盲ろう・区４</t>
  </si>
  <si>
    <t>同援日０．５・夜１．０・深１．０・基礎・２人・盲ろう・区４</t>
  </si>
  <si>
    <t>同援日０．５・夜１．０・深１．５</t>
  </si>
  <si>
    <t>同援日０．５・夜１．０・深１．５・２人</t>
  </si>
  <si>
    <t>AH25</t>
  </si>
  <si>
    <t>同援日０．５・夜１．０・深１．５・基礎</t>
  </si>
  <si>
    <t>AH26</t>
  </si>
  <si>
    <t>同援日０．５・夜１．０・深１．５・基礎・２人</t>
  </si>
  <si>
    <t>AH27</t>
  </si>
  <si>
    <t>同援日０．５・夜１．０・深１．５・盲ろう</t>
  </si>
  <si>
    <t>AH28</t>
  </si>
  <si>
    <t>同援日０．５・夜１．０・深１．５・２人・盲ろう</t>
  </si>
  <si>
    <t>AH29</t>
  </si>
  <si>
    <t>同援日０．５・夜１．０・深１．５・基礎・盲ろう</t>
  </si>
  <si>
    <t>AH30</t>
  </si>
  <si>
    <t>同援日０．５・夜１．０・深１．５・基礎・２人・盲ろう</t>
  </si>
  <si>
    <t>AH31</t>
  </si>
  <si>
    <t>同援日０．５・夜１．０・深１．５・区３</t>
  </si>
  <si>
    <t>AH32</t>
  </si>
  <si>
    <t>同援日０．５・夜１．０・深１．５・２人・区３</t>
  </si>
  <si>
    <t>AH33</t>
  </si>
  <si>
    <t>同援日０．５・夜１．０・深１．５・基礎・区３</t>
  </si>
  <si>
    <t>AH34</t>
  </si>
  <si>
    <t>同援日０．５・夜１．０・深１．５・基礎・２人・区３</t>
  </si>
  <si>
    <t>AH35</t>
  </si>
  <si>
    <t>同援日０．５・夜１．０・深１．５・盲ろう・区３</t>
  </si>
  <si>
    <t>AH36</t>
  </si>
  <si>
    <t>同援日０．５・夜１．０・深１．５・２人・盲ろう・区３</t>
  </si>
  <si>
    <t>AH37</t>
  </si>
  <si>
    <t>同援日０．５・夜１．０・深１．５・基礎・盲ろう・区３</t>
  </si>
  <si>
    <t>AH38</t>
  </si>
  <si>
    <t>同援日０．５・夜１．０・深１．５・基礎・２人・盲ろう・区３</t>
  </si>
  <si>
    <t>AH39</t>
  </si>
  <si>
    <t>同援日０．５・夜１．０・深１．５・区４</t>
  </si>
  <si>
    <t>AH40</t>
  </si>
  <si>
    <t>同援日０．５・夜１．０・深１．５・２人・区４</t>
  </si>
  <si>
    <t>同援日０．５・夜１．０・深１．５・基礎・区４</t>
  </si>
  <si>
    <t>同援日０．５・夜１．０・深１．５・基礎・２人・区４</t>
  </si>
  <si>
    <t>同援日０．５・夜１．０・深１．５・盲ろう・区４</t>
  </si>
  <si>
    <t>同援日０．５・夜１．０・深１．５・２人・盲ろう・区４</t>
  </si>
  <si>
    <t>AH45</t>
  </si>
  <si>
    <t>同援日０．５・夜１．０・深１．５・基礎・盲ろう・区４</t>
  </si>
  <si>
    <t>AH46</t>
  </si>
  <si>
    <t>同援日０．５・夜１．０・深１．５・基礎・２人・盲ろう・区４</t>
  </si>
  <si>
    <t>AH47</t>
  </si>
  <si>
    <t>同援日０．５・夜１．５・深０．５</t>
  </si>
  <si>
    <t>AH48</t>
  </si>
  <si>
    <t>同援日０．５・夜１．５・深０．５・２人</t>
  </si>
  <si>
    <t>AH49</t>
  </si>
  <si>
    <t>同援日０．５・夜１．５・深０．５・基礎</t>
  </si>
  <si>
    <t>AH50</t>
  </si>
  <si>
    <t>同援日０．５・夜１．５・深０．５・基礎・２人</t>
  </si>
  <si>
    <t>AH51</t>
  </si>
  <si>
    <t>同援日０．５・夜１．５・深０．５・盲ろう</t>
  </si>
  <si>
    <t>AH52</t>
  </si>
  <si>
    <t>同援日０．５・夜１．５・深０．５・２人・盲ろう</t>
  </si>
  <si>
    <t>AH53</t>
  </si>
  <si>
    <t>同援日０．５・夜１．５・深０．５・基礎・盲ろう</t>
  </si>
  <si>
    <t>AH54</t>
  </si>
  <si>
    <t>同援日０．５・夜１．５・深０．５・基礎・２人・盲ろう</t>
  </si>
  <si>
    <t>AH55</t>
  </si>
  <si>
    <t>同援日０．５・夜１．５・深０．５・区３</t>
  </si>
  <si>
    <t>AH56</t>
  </si>
  <si>
    <t>同援日０．５・夜１．５・深０．５・２人・区３</t>
  </si>
  <si>
    <t>AH57</t>
  </si>
  <si>
    <t>同援日０．５・夜１．５・深０．５・基礎・区３</t>
  </si>
  <si>
    <t>AH58</t>
  </si>
  <si>
    <t>同援日０．５・夜１．５・深０．５・基礎・２人・区３</t>
  </si>
  <si>
    <t>AH59</t>
  </si>
  <si>
    <t>同援日０．５・夜１．５・深０．５・盲ろう・区３</t>
  </si>
  <si>
    <t>AH60</t>
  </si>
  <si>
    <t>同援日０．５・夜１．５・深０．５・２人・盲ろう・区３</t>
  </si>
  <si>
    <t>同援日０．５・夜１．５・深０．５・基礎・盲ろう・区３</t>
  </si>
  <si>
    <t>同援日０．５・夜１．５・深０．５・基礎・２人・盲ろう・区３</t>
  </si>
  <si>
    <t>同援日０．５・夜１．５・深０．５・区４</t>
  </si>
  <si>
    <t>同援日０．５・夜１．５・深０．５・２人・区４</t>
  </si>
  <si>
    <t>AH65</t>
  </si>
  <si>
    <t>同援日０．５・夜１．５・深０．５・基礎・区４</t>
  </si>
  <si>
    <t>AH66</t>
  </si>
  <si>
    <t>同援日０．５・夜１．５・深０．５・基礎・２人・区４</t>
  </si>
  <si>
    <t>AH67</t>
  </si>
  <si>
    <t>同援日０．５・夜１．５・深０．５・盲ろう・区４</t>
  </si>
  <si>
    <t>AH68</t>
  </si>
  <si>
    <t>同援日０．５・夜１．５・深０．５・２人・盲ろう・区４</t>
  </si>
  <si>
    <t>AH69</t>
  </si>
  <si>
    <t>同援日０．５・夜１．５・深０．５・基礎・盲ろう・区４</t>
  </si>
  <si>
    <t>AH70</t>
  </si>
  <si>
    <t>同援日０．５・夜１．５・深０．５・基礎・２人・盲ろう・区４</t>
  </si>
  <si>
    <t>AH71</t>
  </si>
  <si>
    <t>同援日０．５・夜１．５・深１．０</t>
  </si>
  <si>
    <t>AH72</t>
  </si>
  <si>
    <t>同援日０．５・夜１．５・深１．０・２人</t>
  </si>
  <si>
    <t>AH73</t>
  </si>
  <si>
    <t>同援日０．５・夜１．５・深１．０・基礎</t>
  </si>
  <si>
    <t>AH74</t>
  </si>
  <si>
    <t>同援日０．５・夜１．５・深１．０・基礎・２人</t>
  </si>
  <si>
    <t>AH75</t>
  </si>
  <si>
    <t>同援日０．５・夜１．５・深１．０・盲ろう</t>
  </si>
  <si>
    <t>AH76</t>
  </si>
  <si>
    <t>同援日０．５・夜１．５・深１．０・２人・盲ろう</t>
  </si>
  <si>
    <t>AH77</t>
  </si>
  <si>
    <t>同援日０．５・夜１．５・深１．０・基礎・盲ろう</t>
  </si>
  <si>
    <t>AH78</t>
  </si>
  <si>
    <t>同援日０．５・夜１．５・深１．０・基礎・２人・盲ろう</t>
  </si>
  <si>
    <t>AH79</t>
  </si>
  <si>
    <t>同援日０．５・夜１．５・深１．０・区３</t>
  </si>
  <si>
    <t>AH80</t>
  </si>
  <si>
    <t>同援日０．５・夜１．５・深１．０・２人・区３</t>
  </si>
  <si>
    <t>同援日０．５・夜１．５・深１．０・基礎・区３</t>
  </si>
  <si>
    <t>同援日０．５・夜１．５・深１．０・基礎・２人・区３</t>
  </si>
  <si>
    <t>同援日０．５・夜１．５・深１．０・盲ろう・区３</t>
  </si>
  <si>
    <t>同援日０．５・夜１．５・深１．０・２人・盲ろう・区３</t>
  </si>
  <si>
    <t>AH85</t>
  </si>
  <si>
    <t>同援日０．５・夜１．５・深１．０・基礎・盲ろう・区３</t>
  </si>
  <si>
    <t>AH86</t>
  </si>
  <si>
    <t>同援日０．５・夜１．５・深１．０・基礎・２人・盲ろう・区３</t>
  </si>
  <si>
    <t>AH87</t>
  </si>
  <si>
    <t>同援日０．５・夜１．５・深１．０・区４</t>
  </si>
  <si>
    <t>AH88</t>
  </si>
  <si>
    <t>同援日０．５・夜１．５・深１．０・２人・区４</t>
  </si>
  <si>
    <t>AH89</t>
  </si>
  <si>
    <t>同援日０．５・夜１．５・深１．０・基礎・区４</t>
  </si>
  <si>
    <t>AH90</t>
  </si>
  <si>
    <t>同援日０．５・夜１．５・深１．０・基礎・２人・区４</t>
  </si>
  <si>
    <t>AH91</t>
  </si>
  <si>
    <t>同援日０．５・夜１．５・深１．０・盲ろう・区４</t>
  </si>
  <si>
    <t>AH92</t>
  </si>
  <si>
    <t>同援日０．５・夜１．５・深１．０・２人・盲ろう・区４</t>
  </si>
  <si>
    <t>AH93</t>
  </si>
  <si>
    <t>同援日０．５・夜１．５・深１．０・基礎・盲ろう・区４</t>
  </si>
  <si>
    <t>AH94</t>
  </si>
  <si>
    <t>同援日０．５・夜１．５・深１．０・基礎・２人・盲ろう・区４</t>
  </si>
  <si>
    <t>AH95</t>
  </si>
  <si>
    <t>同援日０．５・夜２．０・深０．５</t>
  </si>
  <si>
    <t>AH96</t>
  </si>
  <si>
    <t>同援日０．５・夜２．０・深０．５・２人</t>
  </si>
  <si>
    <t>AH97</t>
  </si>
  <si>
    <t>同援日０．５・夜２．０・深０．５・基礎</t>
  </si>
  <si>
    <t>AH98</t>
  </si>
  <si>
    <t>同援日０．５・夜２．０・深０．５・基礎・２人</t>
  </si>
  <si>
    <t>AH99</t>
  </si>
  <si>
    <t>同援日０．５・夜２．０・深０．５・盲ろう</t>
  </si>
  <si>
    <t>AJ00</t>
  </si>
  <si>
    <t>同援日０．５・夜２．０・深０．５・２人・盲ろう</t>
  </si>
  <si>
    <t>同援日０．５・夜２．０・深０．５・基礎・盲ろう</t>
  </si>
  <si>
    <t>同援日０．５・夜２．０・深０．５・基礎・２人・盲ろう</t>
  </si>
  <si>
    <t>同援日０．５・夜２．０・深０．５・区３</t>
  </si>
  <si>
    <t>同援日０．５・夜２．０・深０．５・２人・区３</t>
  </si>
  <si>
    <t>AJ05</t>
  </si>
  <si>
    <t>同援日０．５・夜２．０・深０．５・基礎・区３</t>
  </si>
  <si>
    <t>AJ06</t>
  </si>
  <si>
    <t>同援日０．５・夜２．０・深０．５・基礎・２人・区３</t>
  </si>
  <si>
    <t>AJ07</t>
  </si>
  <si>
    <t>同援日０．５・夜２．０・深０．５・盲ろう・区３</t>
  </si>
  <si>
    <t>AJ08</t>
  </si>
  <si>
    <t>同援日０．５・夜２．０・深０．５・２人・盲ろう・区３</t>
  </si>
  <si>
    <t>AJ09</t>
  </si>
  <si>
    <t>同援日０．５・夜２．０・深０．５・基礎・盲ろう・区３</t>
  </si>
  <si>
    <t>AJ10</t>
  </si>
  <si>
    <t>同援日０．５・夜２．０・深０．５・基礎・２人・盲ろう・区３</t>
  </si>
  <si>
    <t>AJ11</t>
  </si>
  <si>
    <t>同援日０．５・夜２．０・深０．５・区４</t>
  </si>
  <si>
    <t>AJ12</t>
  </si>
  <si>
    <t>同援日０．５・夜２．０・深０．５・２人・区４</t>
  </si>
  <si>
    <t>AJ13</t>
  </si>
  <si>
    <t>同援日０．５・夜２．０・深０．５・基礎・区４</t>
  </si>
  <si>
    <t>AJ14</t>
  </si>
  <si>
    <t>同援日０．５・夜２．０・深０．５・基礎・２人・区４</t>
  </si>
  <si>
    <t>AJ15</t>
  </si>
  <si>
    <t>同援日０．５・夜２．０・深０．５・盲ろう・区４</t>
  </si>
  <si>
    <t>AJ16</t>
  </si>
  <si>
    <t>同援日０．５・夜２．０・深０．５・２人・盲ろう・区４</t>
  </si>
  <si>
    <t>AJ17</t>
  </si>
  <si>
    <t>同援日０．５・夜２．０・深０．５・基礎・盲ろう・区４</t>
  </si>
  <si>
    <t>AJ18</t>
  </si>
  <si>
    <t>同援日０．５・夜２．０・深０．５・基礎・２人・盲ろう・区４</t>
  </si>
  <si>
    <t>AJ19</t>
  </si>
  <si>
    <t>同援日１．０・夜０．５・深０．５</t>
  </si>
  <si>
    <t>AJ20</t>
  </si>
  <si>
    <t>同援日１．０・夜０．５・深０．５・２人</t>
  </si>
  <si>
    <t>同援日１．０・夜０．５・深０．５・基礎</t>
  </si>
  <si>
    <t>同援日１．０・夜０．５・深０．５・基礎・２人</t>
  </si>
  <si>
    <t>同援日１．０・夜０．５・深０．５・盲ろう</t>
  </si>
  <si>
    <t>同援日１．０・夜０．５・深０．５・２人・盲ろう</t>
  </si>
  <si>
    <t>AJ25</t>
  </si>
  <si>
    <t>同援日１．０・夜０．５・深０．５・基礎・盲ろう</t>
  </si>
  <si>
    <t>AJ26</t>
  </si>
  <si>
    <t>同援日１．０・夜０．５・深０．５・基礎・２人・盲ろう</t>
  </si>
  <si>
    <t>AJ27</t>
  </si>
  <si>
    <t>同援日１．０・夜０．５・深０．５・区３</t>
  </si>
  <si>
    <t>AJ28</t>
  </si>
  <si>
    <t>同援日１．０・夜０．５・深０．５・２人・区３</t>
  </si>
  <si>
    <t>AJ29</t>
  </si>
  <si>
    <t>同援日１．０・夜０．５・深０．５・基礎・区３</t>
  </si>
  <si>
    <t>AJ30</t>
  </si>
  <si>
    <t>同援日１．０・夜０．５・深０．５・基礎・２人・区３</t>
  </si>
  <si>
    <t>AJ31</t>
  </si>
  <si>
    <t>同援日１．０・夜０．５・深０．５・盲ろう・区３</t>
  </si>
  <si>
    <t>AJ32</t>
  </si>
  <si>
    <t>同援日１．０・夜０．５・深０．５・２人・盲ろう・区３</t>
  </si>
  <si>
    <t>AJ33</t>
  </si>
  <si>
    <t>同援日１．０・夜０．５・深０．５・基礎・盲ろう・区３</t>
  </si>
  <si>
    <t>AJ34</t>
  </si>
  <si>
    <t>同援日１．０・夜０．５・深０．５・基礎・２人・盲ろう・区３</t>
  </si>
  <si>
    <t>AJ35</t>
  </si>
  <si>
    <t>同援日１．０・夜０．５・深０．５・区４</t>
  </si>
  <si>
    <t>AJ36</t>
  </si>
  <si>
    <t>同援日１．０・夜０．５・深０．５・２人・区４</t>
  </si>
  <si>
    <t>AJ37</t>
  </si>
  <si>
    <t>同援日１．０・夜０．５・深０．５・基礎・区４</t>
  </si>
  <si>
    <t>AJ38</t>
  </si>
  <si>
    <t>同援日１．０・夜０．５・深０．５・基礎・２人・区４</t>
  </si>
  <si>
    <t>AJ39</t>
  </si>
  <si>
    <t>同援日１．０・夜０．５・深０．５・盲ろう・区４</t>
  </si>
  <si>
    <t>AJ40</t>
  </si>
  <si>
    <t>同援日１．０・夜０．５・深０．５・２人・盲ろう・区４</t>
  </si>
  <si>
    <t>同援日１．０・夜０．５・深０．５・基礎・盲ろう・区４</t>
  </si>
  <si>
    <t>同援日１．０・夜０．５・深０．５・基礎・２人・盲ろう・区４</t>
  </si>
  <si>
    <t>同援日１．０・夜０．５・深１．０</t>
  </si>
  <si>
    <t>同援日１．０・夜０．５・深１．０・２人</t>
  </si>
  <si>
    <t>AJ45</t>
  </si>
  <si>
    <t>同援日１．０・夜０．５・深１．０・基礎</t>
  </si>
  <si>
    <t>AJ46</t>
  </si>
  <si>
    <t>同援日１．０・夜０．５・深１．０・基礎・２人</t>
  </si>
  <si>
    <t>AJ47</t>
  </si>
  <si>
    <t>同援日１．０・夜０．５・深１．０・盲ろう</t>
  </si>
  <si>
    <t>AJ48</t>
  </si>
  <si>
    <t>同援日１．０・夜０．５・深１．０・２人・盲ろう</t>
  </si>
  <si>
    <t>AJ49</t>
  </si>
  <si>
    <t>同援日１．０・夜０．５・深１．０・基礎・盲ろう</t>
  </si>
  <si>
    <t>AJ50</t>
  </si>
  <si>
    <t>同援日１．０・夜０．５・深１．０・基礎・２人・盲ろう</t>
  </si>
  <si>
    <t>AJ51</t>
  </si>
  <si>
    <t>同援日１．０・夜０．５・深１．０・区３</t>
  </si>
  <si>
    <t>AJ52</t>
  </si>
  <si>
    <t>同援日１．０・夜０．５・深１．０・２人・区３</t>
  </si>
  <si>
    <t>AJ53</t>
  </si>
  <si>
    <t>同援日１．０・夜０．５・深１．０・基礎・区３</t>
  </si>
  <si>
    <t>AJ54</t>
  </si>
  <si>
    <t>同援日１．０・夜０．５・深１．０・基礎・２人・区３</t>
  </si>
  <si>
    <t>AJ55</t>
  </si>
  <si>
    <t>同援日１．０・夜０．５・深１．０・盲ろう・区３</t>
  </si>
  <si>
    <t>AJ56</t>
  </si>
  <si>
    <t>同援日１．０・夜０．５・深１．０・２人・盲ろう・区３</t>
  </si>
  <si>
    <t>AJ57</t>
  </si>
  <si>
    <t>同援日１．０・夜０．５・深１．０・基礎・盲ろう・区３</t>
  </si>
  <si>
    <t>AJ58</t>
  </si>
  <si>
    <t>同援日１．０・夜０．５・深１．０・基礎・２人・盲ろう・区３</t>
  </si>
  <si>
    <t>AJ59</t>
  </si>
  <si>
    <t>同援日１．０・夜０．５・深１．０・区４</t>
  </si>
  <si>
    <t>AJ60</t>
  </si>
  <si>
    <t>同援日１．０・夜０．５・深１．０・２人・区４</t>
  </si>
  <si>
    <t>同援日１．０・夜０．５・深１．０・基礎・区４</t>
  </si>
  <si>
    <t>同援日１．０・夜０．５・深１．０・基礎・２人・区４</t>
  </si>
  <si>
    <t>同援日１．０・夜０．５・深１．０・盲ろう・区４</t>
  </si>
  <si>
    <t>同援日１．０・夜０．５・深１．０・２人・盲ろう・区４</t>
  </si>
  <si>
    <t>AJ65</t>
  </si>
  <si>
    <t>同援日１．０・夜０．５・深１．０・基礎・盲ろう・区４</t>
  </si>
  <si>
    <t>AJ66</t>
  </si>
  <si>
    <t>同援日１．０・夜０．５・深１．０・基礎・２人・盲ろう・区４</t>
  </si>
  <si>
    <t>AJ67</t>
  </si>
  <si>
    <t>同援日１．０・夜０．５・深１．５</t>
  </si>
  <si>
    <t>AJ68</t>
  </si>
  <si>
    <t>同援日１．０・夜０．５・深１．５・２人</t>
  </si>
  <si>
    <t>AJ69</t>
  </si>
  <si>
    <t>同援日１．０・夜０．５・深１．５・基礎</t>
  </si>
  <si>
    <t>AJ70</t>
  </si>
  <si>
    <t>同援日１．０・夜０．５・深１．５・基礎・２人</t>
  </si>
  <si>
    <t>AJ71</t>
  </si>
  <si>
    <t>同援日１．０・夜０．５・深１．５・盲ろう</t>
  </si>
  <si>
    <t>AJ72</t>
  </si>
  <si>
    <t>同援日１．０・夜０．５・深１．５・２人・盲ろう</t>
  </si>
  <si>
    <t>AJ73</t>
  </si>
  <si>
    <t>同援日１．０・夜０．５・深１．５・基礎・盲ろう</t>
  </si>
  <si>
    <t>AJ74</t>
  </si>
  <si>
    <t>同援日１．０・夜０．５・深１．５・基礎・２人・盲ろう</t>
  </si>
  <si>
    <t>AJ75</t>
  </si>
  <si>
    <t>同援日１．０・夜０．５・深１．５・区３</t>
  </si>
  <si>
    <t>AJ76</t>
  </si>
  <si>
    <t>同援日１．０・夜０．５・深１．５・２人・区３</t>
  </si>
  <si>
    <t>AJ77</t>
  </si>
  <si>
    <t>同援日１．０・夜０．５・深１．５・基礎・区３</t>
  </si>
  <si>
    <t>AJ78</t>
  </si>
  <si>
    <t>同援日１．０・夜０．５・深１．５・基礎・２人・区３</t>
  </si>
  <si>
    <t>AJ79</t>
  </si>
  <si>
    <t>同援日１．０・夜０．５・深１．５・盲ろう・区３</t>
  </si>
  <si>
    <t>AJ80</t>
  </si>
  <si>
    <t>同援日１．０・夜０．５・深１．５・２人・盲ろう・区３</t>
  </si>
  <si>
    <t>同援日１．０・夜０．５・深１．５・基礎・盲ろう・区３</t>
  </si>
  <si>
    <t>同援日１．０・夜０．５・深１．５・基礎・２人・盲ろう・区３</t>
  </si>
  <si>
    <t>同援日１．０・夜０．５・深１．５・区４</t>
  </si>
  <si>
    <t>同援日１．０・夜０．５・深１．５・２人・区４</t>
  </si>
  <si>
    <t>AJ85</t>
  </si>
  <si>
    <t>同援日１．０・夜０．５・深１．５・基礎・区４</t>
  </si>
  <si>
    <t>AJ86</t>
  </si>
  <si>
    <t>同援日１．０・夜０．５・深１．５・基礎・２人・区４</t>
  </si>
  <si>
    <t>AJ87</t>
  </si>
  <si>
    <t>同援日１．０・夜０．５・深１．５・盲ろう・区４</t>
  </si>
  <si>
    <t>AJ88</t>
  </si>
  <si>
    <t>同援日１．０・夜０．５・深１．５・２人・盲ろう・区４</t>
  </si>
  <si>
    <t>AJ89</t>
  </si>
  <si>
    <t>同援日１．０・夜０．５・深１．５・基礎・盲ろう・区４</t>
  </si>
  <si>
    <t>AJ90</t>
  </si>
  <si>
    <t>同援日１．０・夜０．５・深１．５・基礎・２人・盲ろう・区４</t>
  </si>
  <si>
    <t>AJ91</t>
  </si>
  <si>
    <t>同援日１．０・夜１．０・深０．５</t>
  </si>
  <si>
    <t>AJ92</t>
  </si>
  <si>
    <t>同援日１．０・夜１．０・深０．５・２人</t>
  </si>
  <si>
    <t>AJ93</t>
  </si>
  <si>
    <t>同援日１．０・夜１．０・深０．５・基礎</t>
  </si>
  <si>
    <t>AJ94</t>
  </si>
  <si>
    <t>同援日１．０・夜１．０・深０．５・基礎・２人</t>
  </si>
  <si>
    <t>AJ95</t>
  </si>
  <si>
    <t>同援日１．０・夜１．０・深０．５・盲ろう</t>
  </si>
  <si>
    <t>AJ96</t>
  </si>
  <si>
    <t>同援日１．０・夜１．０・深０．５・２人・盲ろう</t>
  </si>
  <si>
    <t>AJ97</t>
  </si>
  <si>
    <t>同援日１．０・夜１．０・深０．５・基礎・盲ろう</t>
  </si>
  <si>
    <t>AJ98</t>
  </si>
  <si>
    <t>同援日１．０・夜１．０・深０．５・基礎・２人・盲ろう</t>
  </si>
  <si>
    <t>AJ99</t>
  </si>
  <si>
    <t>同援日１．０・夜１．０・深０．５・区３</t>
  </si>
  <si>
    <t>AK00</t>
  </si>
  <si>
    <t>同援日１．０・夜１．０・深０．５・２人・区３</t>
  </si>
  <si>
    <t>同援日１．０・夜１．０・深０．５・基礎・区３</t>
  </si>
  <si>
    <t>同援日１．０・夜１．０・深０．５・基礎・２人・区３</t>
  </si>
  <si>
    <t>同援日１．０・夜１．０・深０．５・盲ろう・区３</t>
  </si>
  <si>
    <t>同援日１．０・夜１．０・深０．５・２人・盲ろう・区３</t>
  </si>
  <si>
    <t>AK05</t>
  </si>
  <si>
    <t>同援日１．０・夜１．０・深０．５・基礎・盲ろう・区３</t>
  </si>
  <si>
    <t>AK06</t>
  </si>
  <si>
    <t>同援日１．０・夜１．０・深０．５・基礎・２人・盲ろう・区３</t>
  </si>
  <si>
    <t>AK07</t>
  </si>
  <si>
    <t>同援日１．０・夜１．０・深０．５・区４</t>
  </si>
  <si>
    <t>AK08</t>
  </si>
  <si>
    <t>同援日１．０・夜１．０・深０．５・２人・区４</t>
  </si>
  <si>
    <t>AK09</t>
  </si>
  <si>
    <t>同援日１．０・夜１．０・深０．５・基礎・区４</t>
  </si>
  <si>
    <t>AK10</t>
  </si>
  <si>
    <t>同援日１．０・夜１．０・深０．５・基礎・２人・区４</t>
  </si>
  <si>
    <t>AK11</t>
  </si>
  <si>
    <t>同援日１．０・夜１．０・深０．５・盲ろう・区４</t>
  </si>
  <si>
    <t>AK12</t>
  </si>
  <si>
    <t>同援日１．０・夜１．０・深０．５・２人・盲ろう・区４</t>
  </si>
  <si>
    <t>AK13</t>
  </si>
  <si>
    <t>同援日１．０・夜１．０・深０．５・基礎・盲ろう・区４</t>
  </si>
  <si>
    <t>AK14</t>
  </si>
  <si>
    <t>同援日１．０・夜１．０・深０．５・基礎・２人・盲ろう・区４</t>
  </si>
  <si>
    <t>AK15</t>
  </si>
  <si>
    <t>同援日１．０・夜１．０・深１．０</t>
  </si>
  <si>
    <t>AK16</t>
  </si>
  <si>
    <t>同援日１．０・夜１．０・深１．０・２人</t>
  </si>
  <si>
    <t>AK17</t>
  </si>
  <si>
    <t>同援日１．０・夜１．０・深１．０・基礎</t>
  </si>
  <si>
    <t>AK18</t>
  </si>
  <si>
    <t>同援日１．０・夜１．０・深１．０・基礎・２人</t>
  </si>
  <si>
    <t>AK19</t>
  </si>
  <si>
    <t>同援日１．０・夜１．０・深１．０・盲ろう</t>
  </si>
  <si>
    <t>AK20</t>
  </si>
  <si>
    <t>同援日１．０・夜１．０・深１．０・２人・盲ろう</t>
  </si>
  <si>
    <t>同援日１．０・夜１．０・深１．０・基礎・盲ろう</t>
  </si>
  <si>
    <t>同援日１．０・夜１．０・深１．０・基礎・２人・盲ろう</t>
  </si>
  <si>
    <t>同援日１．０・夜１．０・深１．０・区３</t>
  </si>
  <si>
    <t>同援日１．０・夜１．０・深１．０・２人・区３</t>
  </si>
  <si>
    <t>AK25</t>
  </si>
  <si>
    <t>同援日１．０・夜１．０・深１．０・基礎・区３</t>
  </si>
  <si>
    <t>AK26</t>
  </si>
  <si>
    <t>同援日１．０・夜１．０・深１．０・基礎・２人・区３</t>
  </si>
  <si>
    <t>AK27</t>
  </si>
  <si>
    <t>同援日１．０・夜１．０・深１．０・盲ろう・区３</t>
  </si>
  <si>
    <t>AK28</t>
  </si>
  <si>
    <t>同援日１．０・夜１．０・深１．０・２人・盲ろう・区３</t>
  </si>
  <si>
    <t>AK29</t>
  </si>
  <si>
    <t>同援日１．０・夜１．０・深１．０・基礎・盲ろう・区３</t>
  </si>
  <si>
    <t>AK30</t>
  </si>
  <si>
    <t>同援日１．０・夜１．０・深１．０・基礎・２人・盲ろう・区３</t>
  </si>
  <si>
    <t>AK31</t>
  </si>
  <si>
    <t>同援日１．０・夜１．０・深１．０・区４</t>
  </si>
  <si>
    <t>AK32</t>
  </si>
  <si>
    <t>同援日１．０・夜１．０・深１．０・２人・区４</t>
  </si>
  <si>
    <t>AK33</t>
  </si>
  <si>
    <t>同援日１．０・夜１．０・深１．０・基礎・区４</t>
  </si>
  <si>
    <t>AK34</t>
  </si>
  <si>
    <t>同援日１．０・夜１．０・深１．０・基礎・２人・区４</t>
  </si>
  <si>
    <t>AK35</t>
  </si>
  <si>
    <t>同援日１．０・夜１．０・深１．０・盲ろう・区４</t>
  </si>
  <si>
    <t>AK36</t>
  </si>
  <si>
    <t>同援日１．０・夜１．０・深１．０・２人・盲ろう・区４</t>
  </si>
  <si>
    <t>AK37</t>
  </si>
  <si>
    <t>同援日１．０・夜１．０・深１．０・基礎・盲ろう・区４</t>
  </si>
  <si>
    <t>AK38</t>
  </si>
  <si>
    <t>同援日１．０・夜１．０・深１．０・基礎・２人・盲ろう・区４</t>
  </si>
  <si>
    <t>AK39</t>
  </si>
  <si>
    <t>同援日１．０・夜１．５・深０．５</t>
  </si>
  <si>
    <t>AK40</t>
  </si>
  <si>
    <t>同援日１．０・夜１．５・深０．５・２人</t>
  </si>
  <si>
    <t>同援日１．０・夜１．５・深０．５・基礎</t>
  </si>
  <si>
    <t>同援日１．０・夜１．５・深０．５・基礎・２人</t>
  </si>
  <si>
    <t>同援日１．０・夜１．５・深０．５・盲ろう</t>
  </si>
  <si>
    <t>同援日１．０・夜１．５・深０．５・２人・盲ろう</t>
  </si>
  <si>
    <t>AK45</t>
  </si>
  <si>
    <t>同援日１．０・夜１．５・深０．５・基礎・盲ろう</t>
  </si>
  <si>
    <t>AK46</t>
  </si>
  <si>
    <t>同援日１．０・夜１．５・深０．５・基礎・２人・盲ろう</t>
  </si>
  <si>
    <t>AK47</t>
  </si>
  <si>
    <t>同援日１．０・夜１．５・深０．５・区３</t>
  </si>
  <si>
    <t>AK48</t>
  </si>
  <si>
    <t>同援日１．０・夜１．５・深０．５・２人・区３</t>
  </si>
  <si>
    <t>AK49</t>
  </si>
  <si>
    <t>同援日１．０・夜１．５・深０．５・基礎・区３</t>
  </si>
  <si>
    <t>AK50</t>
  </si>
  <si>
    <t>同援日１．０・夜１．５・深０．５・基礎・２人・区３</t>
  </si>
  <si>
    <t>AK51</t>
  </si>
  <si>
    <t>同援日１．０・夜１．５・深０．５・盲ろう・区３</t>
  </si>
  <si>
    <t>AK52</t>
  </si>
  <si>
    <t>同援日１．０・夜１．５・深０．５・２人・盲ろう・区３</t>
  </si>
  <si>
    <t>AK53</t>
  </si>
  <si>
    <t>同援日１．０・夜１．５・深０．５・基礎・盲ろう・区３</t>
  </si>
  <si>
    <t>AK54</t>
  </si>
  <si>
    <t>同援日１．０・夜１．５・深０．５・基礎・２人・盲ろう・区３</t>
  </si>
  <si>
    <t>AK55</t>
  </si>
  <si>
    <t>同援日１．０・夜１．５・深０．５・区４</t>
  </si>
  <si>
    <t>AK56</t>
  </si>
  <si>
    <t>同援日１．０・夜１．５・深０．５・２人・区４</t>
  </si>
  <si>
    <t>AK57</t>
  </si>
  <si>
    <t>同援日１．０・夜１．５・深０．５・基礎・区４</t>
  </si>
  <si>
    <t>AK58</t>
  </si>
  <si>
    <t>同援日１．０・夜１．５・深０．５・基礎・２人・区４</t>
  </si>
  <si>
    <t>AK59</t>
  </si>
  <si>
    <t>同援日１．０・夜１．５・深０．５・盲ろう・区４</t>
  </si>
  <si>
    <t>AK60</t>
  </si>
  <si>
    <t>同援日１．０・夜１．５・深０．５・２人・盲ろう・区４</t>
  </si>
  <si>
    <t>同援日１．０・夜１．５・深０．５・基礎・盲ろう・区４</t>
  </si>
  <si>
    <t>同援日１．０・夜１．５・深０．５・基礎・２人・盲ろう・区４</t>
  </si>
  <si>
    <t>同援日１．５・夜０．５・深０．５</t>
  </si>
  <si>
    <t>同援日１．５・夜０．５・深０．５・２人</t>
  </si>
  <si>
    <t>AK65</t>
  </si>
  <si>
    <t>同援日１．５・夜０．５・深０．５・基礎</t>
  </si>
  <si>
    <t>AK66</t>
  </si>
  <si>
    <t>同援日１．５・夜０．５・深０．５・基礎・２人</t>
  </si>
  <si>
    <t>AK67</t>
  </si>
  <si>
    <t>同援日１．５・夜０．５・深０．５・盲ろう</t>
  </si>
  <si>
    <t>AK68</t>
  </si>
  <si>
    <t>同援日１．５・夜０．５・深０．５・２人・盲ろう</t>
  </si>
  <si>
    <t>AK69</t>
  </si>
  <si>
    <t>同援日１．５・夜０．５・深０．５・基礎・盲ろう</t>
  </si>
  <si>
    <t>AK70</t>
  </si>
  <si>
    <t>同援日１．５・夜０．５・深０．５・基礎・２人・盲ろう</t>
  </si>
  <si>
    <t>AK71</t>
  </si>
  <si>
    <t>同援日１．５・夜０．５・深０．５・区３</t>
  </si>
  <si>
    <t>AK72</t>
  </si>
  <si>
    <t>同援日１．５・夜０．５・深０．５・２人・区３</t>
  </si>
  <si>
    <t>AK73</t>
  </si>
  <si>
    <t>同援日１．５・夜０．５・深０．５・基礎・区３</t>
  </si>
  <si>
    <t>AK74</t>
  </si>
  <si>
    <t>同援日１．５・夜０．５・深０．５・基礎・２人・区３</t>
  </si>
  <si>
    <t>AK75</t>
  </si>
  <si>
    <t>同援日１．５・夜０．５・深０．５・盲ろう・区３</t>
  </si>
  <si>
    <t>AK76</t>
  </si>
  <si>
    <t>同援日１．５・夜０．５・深０．５・２人・盲ろう・区３</t>
  </si>
  <si>
    <t>AK77</t>
  </si>
  <si>
    <t>同援日１．５・夜０．５・深０．５・基礎・盲ろう・区３</t>
  </si>
  <si>
    <t>AK78</t>
  </si>
  <si>
    <t>同援日１．５・夜０．５・深０．５・基礎・２人・盲ろう・区３</t>
  </si>
  <si>
    <t>AK79</t>
  </si>
  <si>
    <t>同援日１．５・夜０．５・深０．５・区４</t>
  </si>
  <si>
    <t>AK80</t>
  </si>
  <si>
    <t>同援日１．５・夜０．５・深０．５・２人・区４</t>
  </si>
  <si>
    <t>同援日１．５・夜０．５・深０．５・基礎・区４</t>
  </si>
  <si>
    <t>同援日１．５・夜０．５・深０．５・基礎・２人・区４</t>
  </si>
  <si>
    <t>同援日１．５・夜０．５・深０．５・盲ろう・区４</t>
  </si>
  <si>
    <t>同援日１．５・夜０．５・深０．５・２人・盲ろう・区４</t>
  </si>
  <si>
    <t>AK85</t>
  </si>
  <si>
    <t>同援日１．５・夜０．５・深０．５・基礎・盲ろう・区４</t>
  </si>
  <si>
    <t>AK86</t>
  </si>
  <si>
    <t>同援日１．５・夜０．５・深０．５・基礎・２人・盲ろう・区４</t>
  </si>
  <si>
    <t>AK87</t>
  </si>
  <si>
    <t>同援日１．５・夜０．５・深１．０</t>
  </si>
  <si>
    <t>AK88</t>
  </si>
  <si>
    <t>同援日１．５・夜０．５・深１．０・２人</t>
  </si>
  <si>
    <t>AK89</t>
  </si>
  <si>
    <t>同援日１．５・夜０．５・深１．０・基礎</t>
  </si>
  <si>
    <t>AK90</t>
  </si>
  <si>
    <t>同援日１．５・夜０．５・深１．０・基礎・２人</t>
  </si>
  <si>
    <t>AK91</t>
  </si>
  <si>
    <t>同援日１．５・夜０．５・深１．０・盲ろう</t>
  </si>
  <si>
    <t>AK92</t>
  </si>
  <si>
    <t>同援日１．５・夜０．５・深１．０・２人・盲ろう</t>
  </si>
  <si>
    <t>AK93</t>
  </si>
  <si>
    <t>同援日１．５・夜０．５・深１．０・基礎・盲ろう</t>
  </si>
  <si>
    <t>AK94</t>
  </si>
  <si>
    <t>同援日１．５・夜０．５・深１．０・基礎・２人・盲ろう</t>
  </si>
  <si>
    <t>AK95</t>
  </si>
  <si>
    <t>同援日１．５・夜０．５・深１．０・区３</t>
  </si>
  <si>
    <t>AK96</t>
  </si>
  <si>
    <t>同援日１．５・夜０．５・深１．０・２人・区３</t>
  </si>
  <si>
    <t>AK97</t>
  </si>
  <si>
    <t>同援日１．５・夜０．５・深１．０・基礎・区３</t>
  </si>
  <si>
    <t>AK98</t>
  </si>
  <si>
    <t>同援日１．５・夜０．５・深１．０・基礎・２人・区３</t>
  </si>
  <si>
    <t>AK99</t>
  </si>
  <si>
    <t>同援日１．５・夜０．５・深１．０・盲ろう・区３</t>
  </si>
  <si>
    <t>AL00</t>
  </si>
  <si>
    <t>同援日１．５・夜０．５・深１．０・２人・盲ろう・区３</t>
  </si>
  <si>
    <t>同援日１．５・夜０．５・深１．０・基礎・盲ろう・区３</t>
  </si>
  <si>
    <t>同援日１．５・夜０．５・深１．０・基礎・２人・盲ろう・区３</t>
  </si>
  <si>
    <t>同援日１．５・夜０．５・深１．０・区４</t>
  </si>
  <si>
    <t>同援日１．５・夜０．５・深１．０・２人・区４</t>
  </si>
  <si>
    <t>AL05</t>
  </si>
  <si>
    <t>同援日１．５・夜０．５・深１．０・基礎・区４</t>
  </si>
  <si>
    <t>AL06</t>
  </si>
  <si>
    <t>同援日１．５・夜０．５・深１．０・基礎・２人・区４</t>
  </si>
  <si>
    <t>AL07</t>
  </si>
  <si>
    <t>同援日１．５・夜０．５・深１．０・盲ろう・区４</t>
  </si>
  <si>
    <t>AL08</t>
  </si>
  <si>
    <t>同援日１．５・夜０．５・深１．０・２人・盲ろう・区４</t>
  </si>
  <si>
    <t>AL09</t>
  </si>
  <si>
    <t>同援日１．５・夜０．５・深１．０・基礎・盲ろう・区４</t>
  </si>
  <si>
    <t>AL10</t>
  </si>
  <si>
    <t>同援日１．５・夜０．５・深１．０・基礎・２人・盲ろう・区４</t>
  </si>
  <si>
    <t>AL11</t>
  </si>
  <si>
    <t>同援日１．５・夜１．０・深０．５</t>
  </si>
  <si>
    <t>AL12</t>
  </si>
  <si>
    <t>同援日１．５・夜１．０・深０．５・２人</t>
  </si>
  <si>
    <t>AL13</t>
  </si>
  <si>
    <t>同援日１．５・夜１．０・深０．５・基礎</t>
  </si>
  <si>
    <t>AL14</t>
  </si>
  <si>
    <t>同援日１．５・夜１．０・深０．５・基礎・２人</t>
  </si>
  <si>
    <t>AL15</t>
  </si>
  <si>
    <t>同援日１．５・夜１．０・深０．５・盲ろう</t>
  </si>
  <si>
    <t>AL16</t>
  </si>
  <si>
    <t>同援日１．５・夜１．０・深０．５・２人・盲ろう</t>
  </si>
  <si>
    <t>AL17</t>
  </si>
  <si>
    <t>同援日１．５・夜１．０・深０．５・基礎・盲ろう</t>
  </si>
  <si>
    <t>AL18</t>
  </si>
  <si>
    <t>同援日１．５・夜１．０・深０．５・基礎・２人・盲ろう</t>
  </si>
  <si>
    <t>AL19</t>
  </si>
  <si>
    <t>同援日１．５・夜１．０・深０．５・区３</t>
  </si>
  <si>
    <t>AL20</t>
  </si>
  <si>
    <t>同援日１．５・夜１．０・深０．５・２人・区３</t>
  </si>
  <si>
    <t>同援日１．５・夜１．０・深０．５・基礎・区３</t>
  </si>
  <si>
    <t>同援日１．５・夜１．０・深０．５・基礎・２人・区３</t>
  </si>
  <si>
    <t>同援日１．５・夜１．０・深０．５・盲ろう・区３</t>
  </si>
  <si>
    <t>同援日１．５・夜１．０・深０．５・２人・盲ろう・区３</t>
  </si>
  <si>
    <t>AL25</t>
  </si>
  <si>
    <t>同援日１．５・夜１．０・深０．５・基礎・盲ろう・区３</t>
  </si>
  <si>
    <t>AL26</t>
  </si>
  <si>
    <t>同援日１．５・夜１．０・深０．５・基礎・２人・盲ろう・区３</t>
  </si>
  <si>
    <t>AL27</t>
  </si>
  <si>
    <t>同援日１．５・夜１．０・深０．５・区４</t>
  </si>
  <si>
    <t>AL28</t>
  </si>
  <si>
    <t>同援日１．５・夜１．０・深０．５・２人・区４</t>
  </si>
  <si>
    <t>AL29</t>
  </si>
  <si>
    <t>同援日１．５・夜１．０・深０．５・基礎・区４</t>
  </si>
  <si>
    <t>AL30</t>
  </si>
  <si>
    <t>同援日１．５・夜１．０・深０．５・基礎・２人・区４</t>
  </si>
  <si>
    <t>AL31</t>
  </si>
  <si>
    <t>同援日１．５・夜１．０・深０．５・盲ろう・区４</t>
  </si>
  <si>
    <t>AL32</t>
  </si>
  <si>
    <t>同援日１．５・夜１．０・深０．５・２人・盲ろう・区４</t>
  </si>
  <si>
    <t>AL33</t>
  </si>
  <si>
    <t>同援日１．５・夜１．０・深０．５・基礎・盲ろう・区４</t>
  </si>
  <si>
    <t>AL34</t>
  </si>
  <si>
    <t>同援日１．５・夜１．０・深０．５・基礎・２人・盲ろう・区４</t>
  </si>
  <si>
    <t>AL35</t>
  </si>
  <si>
    <t>同援日２．０・夜０．５・深０．５</t>
  </si>
  <si>
    <t>AL36</t>
  </si>
  <si>
    <t>同援日２．０・夜０．５・深０．５・２人</t>
  </si>
  <si>
    <t>AL37</t>
  </si>
  <si>
    <t>同援日２．０・夜０．５・深０．５・基礎</t>
  </si>
  <si>
    <t>AL38</t>
  </si>
  <si>
    <t>同援日２．０・夜０．５・深０．５・基礎・２人</t>
  </si>
  <si>
    <t>AL39</t>
  </si>
  <si>
    <t>同援日２．０・夜０．５・深０．５・盲ろう</t>
  </si>
  <si>
    <t>AL40</t>
  </si>
  <si>
    <t>同援日２．０・夜０．５・深０．５・２人・盲ろう</t>
  </si>
  <si>
    <t>同援日２．０・夜０．５・深０．５・基礎・盲ろう</t>
  </si>
  <si>
    <t>同援日２．０・夜０．５・深０．５・基礎・２人・盲ろう</t>
  </si>
  <si>
    <t>同援日２．０・夜０．５・深０．５・区３</t>
  </si>
  <si>
    <t>同援日２．０・夜０．５・深０．５・２人・区３</t>
  </si>
  <si>
    <t>AL45</t>
  </si>
  <si>
    <t>同援日２．０・夜０．５・深０．５・基礎・区３</t>
  </si>
  <si>
    <t>AL46</t>
  </si>
  <si>
    <t>同援日２．０・夜０．５・深０．５・基礎・２人・区３</t>
  </si>
  <si>
    <t>AL47</t>
  </si>
  <si>
    <t>同援日２．０・夜０．５・深０．５・盲ろう・区３</t>
  </si>
  <si>
    <t>AL48</t>
  </si>
  <si>
    <t>同援日２．０・夜０．５・深０．５・２人・盲ろう・区３</t>
  </si>
  <si>
    <t>AL49</t>
  </si>
  <si>
    <t>同援日２．０・夜０．５・深０．５・基礎・盲ろう・区３</t>
  </si>
  <si>
    <t>AL50</t>
  </si>
  <si>
    <t>同援日２．０・夜０．５・深０．５・基礎・２人・盲ろう・区３</t>
  </si>
  <si>
    <t>AL51</t>
  </si>
  <si>
    <t>同援日２．０・夜０．５・深０．５・区４</t>
  </si>
  <si>
    <t>AL52</t>
  </si>
  <si>
    <t>同援日２．０・夜０．５・深０．５・２人・区４</t>
  </si>
  <si>
    <t>AL53</t>
  </si>
  <si>
    <t>同援日２．０・夜０．５・深０．５・基礎・区４</t>
  </si>
  <si>
    <t>AL54</t>
  </si>
  <si>
    <t>同援日２．０・夜０．５・深０．５・基礎・２人・区４</t>
  </si>
  <si>
    <t>AL55</t>
  </si>
  <si>
    <t>同援日２．０・夜０．５・深０．５・盲ろう・区４</t>
  </si>
  <si>
    <t>AL56</t>
  </si>
  <si>
    <t>同援日２．０・夜０．５・深０．５・２人・盲ろう・区４</t>
  </si>
  <si>
    <t>AL57</t>
  </si>
  <si>
    <t>同援日２．０・夜０．５・深０．５・基礎・盲ろう・区４</t>
  </si>
  <si>
    <t>AL58</t>
  </si>
  <si>
    <t>同援日２．０・夜０．５・深０．５・基礎・２人・盲ろう・区４</t>
  </si>
  <si>
    <t>（早朝＋日中＋夜間）　　※サービス間隔が２時間未満の場合</t>
    <phoneticPr fontId="1"/>
  </si>
  <si>
    <t>AL59</t>
  </si>
  <si>
    <t>同援早０．５・日２．０・夜０．５</t>
  </si>
  <si>
    <t>(一)夜間</t>
    <phoneticPr fontId="1"/>
  </si>
  <si>
    <t>AL60</t>
  </si>
  <si>
    <t>同援早０．５・日２．０・夜０．５・２人</t>
  </si>
  <si>
    <t>同援早０．５・日２．０・夜０．５・基礎</t>
  </si>
  <si>
    <t>同援早０．５・日２．０・夜０．５・基礎・２人</t>
  </si>
  <si>
    <t>同援早０．５・日２．０・夜０．５・盲ろう</t>
  </si>
  <si>
    <t>同援早０．５・日２．０・夜０．５・２人・盲ろう</t>
  </si>
  <si>
    <t>AL65</t>
  </si>
  <si>
    <t>同援早０．５・日２．０・夜０．５・基礎・盲ろう</t>
  </si>
  <si>
    <t>AL66</t>
  </si>
  <si>
    <t>同援早０．５・日２．０・夜０．５・基礎・２人・盲ろう</t>
  </si>
  <si>
    <t>AL67</t>
  </si>
  <si>
    <t>同援早０．５・日２．０・夜０．５・区３</t>
  </si>
  <si>
    <t>AL68</t>
  </si>
  <si>
    <t>同援早０．５・日２．０・夜０．５・２人・区３</t>
  </si>
  <si>
    <t>AL69</t>
  </si>
  <si>
    <t>同援早０．５・日２．０・夜０．５・基礎・区３</t>
  </si>
  <si>
    <t>AL70</t>
  </si>
  <si>
    <t>同援早０．５・日２．０・夜０．５・基礎・２人・区３</t>
  </si>
  <si>
    <t>AL71</t>
  </si>
  <si>
    <t>同援早０．５・日２．０・夜０．５・盲ろう・区３</t>
  </si>
  <si>
    <t>AL72</t>
  </si>
  <si>
    <t>同援早０．５・日２．０・夜０．５・２人・盲ろう・区３</t>
  </si>
  <si>
    <t>AL73</t>
  </si>
  <si>
    <t>同援早０．５・日２．０・夜０．５・基礎・盲ろう・区３</t>
  </si>
  <si>
    <t>AL74</t>
  </si>
  <si>
    <t>同援早０．５・日２．０・夜０．５・基礎・２人・盲ろう・区３</t>
  </si>
  <si>
    <t>AL75</t>
  </si>
  <si>
    <t>同援早０．５・日２．０・夜０．５・区４</t>
  </si>
  <si>
    <t>AL76</t>
  </si>
  <si>
    <t>同援早０．５・日２．０・夜０．５・２人・区４</t>
  </si>
  <si>
    <t>AL77</t>
  </si>
  <si>
    <t>同援早０．５・日２．０・夜０．５・基礎・区４</t>
  </si>
  <si>
    <t>AL78</t>
  </si>
  <si>
    <t>同援早０．５・日２．０・夜０．５・基礎・２人・区４</t>
  </si>
  <si>
    <t>AL79</t>
  </si>
  <si>
    <t>同援早０．５・日２．０・夜０．５・盲ろう・区４</t>
  </si>
  <si>
    <t>AL80</t>
  </si>
  <si>
    <t>同援早０．５・日２．０・夜０．５・２人・盲ろう・区４</t>
  </si>
  <si>
    <t>同援早０．５・日２．０・夜０．５・基礎・盲ろう・区４</t>
  </si>
  <si>
    <t>同援早０．５・日２．０・夜０．５・基礎・２人・盲ろう・区４</t>
  </si>
  <si>
    <t>（日中増分)</t>
    <phoneticPr fontId="1"/>
  </si>
  <si>
    <t>同援日増０．５</t>
  </si>
  <si>
    <t>イ　日中増分</t>
    <phoneticPr fontId="1"/>
  </si>
  <si>
    <t>同援日増０．５・２人</t>
  </si>
  <si>
    <t>AL85</t>
  </si>
  <si>
    <t>同援日増０．５・基礎</t>
  </si>
  <si>
    <t>AL86</t>
  </si>
  <si>
    <t>同援日増０．５・基礎・２人</t>
  </si>
  <si>
    <t>AL87</t>
  </si>
  <si>
    <t>同援日増０．５・盲ろう</t>
  </si>
  <si>
    <t>AL88</t>
  </si>
  <si>
    <t>同援日増０．５・２人・盲ろう</t>
  </si>
  <si>
    <t>AL89</t>
  </si>
  <si>
    <t>同援日増０．５・基礎・盲ろう</t>
  </si>
  <si>
    <t>AL90</t>
  </si>
  <si>
    <t>同援日増０．５・基礎・２人・盲ろう</t>
  </si>
  <si>
    <t>AL91</t>
  </si>
  <si>
    <t>同援日増０．５・区３</t>
  </si>
  <si>
    <t>AL92</t>
  </si>
  <si>
    <t>同援日増０．５・２人・区３</t>
  </si>
  <si>
    <t>AL93</t>
  </si>
  <si>
    <t>同援日増０．５・基礎・区３</t>
  </si>
  <si>
    <t>AL94</t>
  </si>
  <si>
    <t>同援日増０．５・基礎・２人・区３</t>
  </si>
  <si>
    <t>AL95</t>
  </si>
  <si>
    <t>同援日増０．５・盲ろう・区３</t>
  </si>
  <si>
    <t>AL96</t>
  </si>
  <si>
    <t>同援日増０．５・２人・盲ろう・区３</t>
  </si>
  <si>
    <t>AL97</t>
  </si>
  <si>
    <t>同援日増０．５・基礎・盲ろう・区３</t>
  </si>
  <si>
    <t>AL98</t>
  </si>
  <si>
    <t>同援日増０．５・基礎・２人・盲ろう・区３</t>
  </si>
  <si>
    <t>AL99</t>
  </si>
  <si>
    <t>同援日増０．５・区４</t>
  </si>
  <si>
    <t>AM00</t>
  </si>
  <si>
    <t>同援日増０．５・２人・区４</t>
  </si>
  <si>
    <t>同援日増０．５・基礎・区４</t>
  </si>
  <si>
    <t>同援日増０．５・基礎・２人・区４</t>
  </si>
  <si>
    <t>同援日増０．５・盲ろう・区４</t>
  </si>
  <si>
    <t>同援日増０．５・２人・盲ろう・区４</t>
  </si>
  <si>
    <t>AM05</t>
  </si>
  <si>
    <t>同援日増０．５・基礎・盲ろう・区４</t>
  </si>
  <si>
    <t>AM06</t>
  </si>
  <si>
    <t>同援日増０．５・基礎・２人・盲ろう・区４</t>
  </si>
  <si>
    <t>AM07</t>
  </si>
  <si>
    <t>同援日増１．０</t>
  </si>
  <si>
    <t>ロ　日中増分</t>
    <phoneticPr fontId="1"/>
  </si>
  <si>
    <t>AM08</t>
  </si>
  <si>
    <t>同援日増１．０・２人</t>
  </si>
  <si>
    <t>AM09</t>
  </si>
  <si>
    <t>同援日増１．０・基礎</t>
  </si>
  <si>
    <t>AM10</t>
  </si>
  <si>
    <t>同援日増１．０・基礎・２人</t>
  </si>
  <si>
    <t>AM11</t>
  </si>
  <si>
    <t>同援日増１．０・盲ろう</t>
  </si>
  <si>
    <t>AM12</t>
  </si>
  <si>
    <t>同援日増１．０・２人・盲ろう</t>
  </si>
  <si>
    <t>AM13</t>
  </si>
  <si>
    <t>同援日増１．０・基礎・盲ろう</t>
  </si>
  <si>
    <t>AM14</t>
  </si>
  <si>
    <t>同援日増１．０・基礎・２人・盲ろう</t>
  </si>
  <si>
    <t>AM15</t>
  </si>
  <si>
    <t>同援日増１．０・区３</t>
  </si>
  <si>
    <t>AM16</t>
  </si>
  <si>
    <t>同援日増１．０・２人・区３</t>
  </si>
  <si>
    <t>AM17</t>
  </si>
  <si>
    <t>同援日増１．０・基礎・区３</t>
  </si>
  <si>
    <t>AM18</t>
  </si>
  <si>
    <t>同援日増１．０・基礎・２人・区３</t>
  </si>
  <si>
    <t>AM19</t>
  </si>
  <si>
    <t>同援日増１．０・盲ろう・区３</t>
  </si>
  <si>
    <t>AM20</t>
  </si>
  <si>
    <t>同援日増１．０・２人・盲ろう・区３</t>
  </si>
  <si>
    <t>同援日増１．０・基礎・盲ろう・区３</t>
  </si>
  <si>
    <t>同援日増１．０・基礎・２人・盲ろう・区３</t>
  </si>
  <si>
    <t>同援日増１．０・区４</t>
  </si>
  <si>
    <t>同援日増１．０・２人・区４</t>
  </si>
  <si>
    <t>AM25</t>
  </si>
  <si>
    <t>同援日増１．０・基礎・区４</t>
  </si>
  <si>
    <t>AM26</t>
  </si>
  <si>
    <t>同援日増１．０・基礎・２人・区４</t>
  </si>
  <si>
    <t>AM27</t>
  </si>
  <si>
    <t>同援日増１．０・盲ろう・区４</t>
  </si>
  <si>
    <t>AM28</t>
  </si>
  <si>
    <t>同援日増１．０・２人・盲ろう・区４</t>
  </si>
  <si>
    <t>AM29</t>
  </si>
  <si>
    <t>同援日増１．０・基礎・盲ろう・区４</t>
  </si>
  <si>
    <t>AM30</t>
  </si>
  <si>
    <t>同援日増１．０・基礎・２人・盲ろう・区４</t>
  </si>
  <si>
    <t>AM31</t>
  </si>
  <si>
    <t>同援日増１．５</t>
  </si>
  <si>
    <t>ハ　日中増分</t>
    <phoneticPr fontId="1"/>
  </si>
  <si>
    <t>AM32</t>
  </si>
  <si>
    <t>同援日増１．５・２人</t>
  </si>
  <si>
    <t>AM33</t>
  </si>
  <si>
    <t>同援日増１．５・基礎</t>
  </si>
  <si>
    <t>AM34</t>
  </si>
  <si>
    <t>同援日増１．５・基礎・２人</t>
  </si>
  <si>
    <t>AM35</t>
  </si>
  <si>
    <t>同援日増１．５・盲ろう</t>
  </si>
  <si>
    <t>AM36</t>
  </si>
  <si>
    <t>同援日増１．５・２人・盲ろう</t>
  </si>
  <si>
    <t>AM37</t>
  </si>
  <si>
    <t>同援日増１．５・基礎・盲ろう</t>
  </si>
  <si>
    <t>AM38</t>
  </si>
  <si>
    <t>同援日増１．５・基礎・２人・盲ろう</t>
  </si>
  <si>
    <t>AM39</t>
  </si>
  <si>
    <t>同援日増１．５・区３</t>
  </si>
  <si>
    <t>AM40</t>
  </si>
  <si>
    <t>同援日増１．５・２人・区３</t>
  </si>
  <si>
    <t>同援日増１．５・基礎・区３</t>
  </si>
  <si>
    <t>同援日増１．５・基礎・２人・区３</t>
  </si>
  <si>
    <t>同援日増１．５・盲ろう・区３</t>
  </si>
  <si>
    <t>同援日増１．５・２人・盲ろう・区３</t>
  </si>
  <si>
    <t>AM45</t>
  </si>
  <si>
    <t>同援日増１．５・基礎・盲ろう・区３</t>
  </si>
  <si>
    <t>AM46</t>
  </si>
  <si>
    <t>同援日増１．５・基礎・２人・盲ろう・区３</t>
  </si>
  <si>
    <t>AM47</t>
  </si>
  <si>
    <t>同援日増１．５・区４</t>
  </si>
  <si>
    <t>AM48</t>
  </si>
  <si>
    <t>同援日増１．５・２人・区４</t>
  </si>
  <si>
    <t>AM49</t>
  </si>
  <si>
    <t>同援日増１．５・基礎・区４</t>
  </si>
  <si>
    <t>AM50</t>
  </si>
  <si>
    <t>同援日増１．５・基礎・２人・区４</t>
  </si>
  <si>
    <t>AM51</t>
  </si>
  <si>
    <t>同援日増１．５・盲ろう・区４</t>
  </si>
  <si>
    <t>AM52</t>
  </si>
  <si>
    <t>同援日増１．５・２人・盲ろう・区４</t>
  </si>
  <si>
    <t>AM53</t>
  </si>
  <si>
    <t>同援日増１．５・基礎・盲ろう・区４</t>
  </si>
  <si>
    <t>AM54</t>
  </si>
  <si>
    <t>同援日増１．５・基礎・２人・盲ろう・区４</t>
  </si>
  <si>
    <t>AM55</t>
  </si>
  <si>
    <t>同援日増２．０</t>
  </si>
  <si>
    <t>ニ　日中増分</t>
    <phoneticPr fontId="1"/>
  </si>
  <si>
    <t>AM56</t>
  </si>
  <si>
    <t>同援日増２．０・２人</t>
  </si>
  <si>
    <t>AM57</t>
  </si>
  <si>
    <t>同援日増２．０・基礎</t>
  </si>
  <si>
    <t>AM58</t>
  </si>
  <si>
    <t>同援日増２．０・基礎・２人</t>
  </si>
  <si>
    <t>AM59</t>
  </si>
  <si>
    <t>同援日増２．０・盲ろう</t>
  </si>
  <si>
    <t>AM60</t>
  </si>
  <si>
    <t>同援日増２．０・２人・盲ろう</t>
  </si>
  <si>
    <t>同援日増２．０・基礎・盲ろう</t>
  </si>
  <si>
    <t>同援日増２．０・基礎・２人・盲ろう</t>
  </si>
  <si>
    <t>同援日増２．０・区３</t>
  </si>
  <si>
    <t>同援日増２．０・２人・区３</t>
  </si>
  <si>
    <t>AM65</t>
  </si>
  <si>
    <t>同援日増２．０・基礎・区３</t>
  </si>
  <si>
    <t>AM66</t>
  </si>
  <si>
    <t>同援日増２．０・基礎・２人・区３</t>
  </si>
  <si>
    <t>AM67</t>
  </si>
  <si>
    <t>同援日増２．０・盲ろう・区３</t>
  </si>
  <si>
    <t>AM68</t>
  </si>
  <si>
    <t>同援日増２．０・２人・盲ろう・区３</t>
  </si>
  <si>
    <t>AM69</t>
  </si>
  <si>
    <t>同援日増２．０・基礎・盲ろう・区３</t>
  </si>
  <si>
    <t>AM70</t>
  </si>
  <si>
    <t>同援日増２．０・基礎・２人・盲ろう・区３</t>
  </si>
  <si>
    <t>AM71</t>
  </si>
  <si>
    <t>同援日増２．０・区４</t>
  </si>
  <si>
    <t>AM72</t>
  </si>
  <si>
    <t>同援日増２．０・２人・区４</t>
  </si>
  <si>
    <t>AM73</t>
  </si>
  <si>
    <t>同援日増２．０・基礎・区４</t>
  </si>
  <si>
    <t>AM74</t>
  </si>
  <si>
    <t>同援日増２．０・基礎・２人・区４</t>
  </si>
  <si>
    <t>AM75</t>
  </si>
  <si>
    <t>同援日増２．０・盲ろう・区４</t>
  </si>
  <si>
    <t>AM76</t>
  </si>
  <si>
    <t>同援日増２．０・２人・盲ろう・区４</t>
  </si>
  <si>
    <t>AM77</t>
  </si>
  <si>
    <t>同援日増２．０・基礎・盲ろう・区４</t>
  </si>
  <si>
    <t>AM78</t>
  </si>
  <si>
    <t>同援日増２．０・基礎・２人・盲ろう・区４</t>
  </si>
  <si>
    <t>AM79</t>
  </si>
  <si>
    <t>同援日増２．５</t>
  </si>
  <si>
    <t>ホ　日中増分</t>
    <phoneticPr fontId="1"/>
  </si>
  <si>
    <t>AM80</t>
  </si>
  <si>
    <t>同援日増２．５・２人</t>
  </si>
  <si>
    <t>同援日増２．５・基礎</t>
  </si>
  <si>
    <t>同援日増２．５・基礎・２人</t>
  </si>
  <si>
    <t>同援日増２．５・盲ろう</t>
  </si>
  <si>
    <t>同援日増２．５・２人・盲ろう</t>
  </si>
  <si>
    <t>AM85</t>
  </si>
  <si>
    <t>同援日増２．５・基礎・盲ろう</t>
  </si>
  <si>
    <t>AM86</t>
  </si>
  <si>
    <t>同援日増２．５・基礎・２人・盲ろう</t>
  </si>
  <si>
    <t>AM87</t>
  </si>
  <si>
    <t>同援日増２．５・区３</t>
  </si>
  <si>
    <t>AM88</t>
  </si>
  <si>
    <t>同援日増２．５・２人・区３</t>
  </si>
  <si>
    <t>AM89</t>
  </si>
  <si>
    <t>同援日増２．５・基礎・区３</t>
  </si>
  <si>
    <t>AM90</t>
  </si>
  <si>
    <t>同援日増２．５・基礎・２人・区３</t>
  </si>
  <si>
    <t>AM91</t>
  </si>
  <si>
    <t>同援日増２．５・盲ろう・区３</t>
  </si>
  <si>
    <t>AM92</t>
  </si>
  <si>
    <t>同援日増２．５・２人・盲ろう・区３</t>
  </si>
  <si>
    <t>AM93</t>
  </si>
  <si>
    <t>同援日増２．５・基礎・盲ろう・区３</t>
  </si>
  <si>
    <t>AM94</t>
  </si>
  <si>
    <t>同援日増２．５・基礎・２人・盲ろう・区３</t>
  </si>
  <si>
    <t>AM95</t>
  </si>
  <si>
    <t>同援日増２．５・区４</t>
  </si>
  <si>
    <t>AM96</t>
  </si>
  <si>
    <t>同援日増２．５・２人・区４</t>
  </si>
  <si>
    <t>AM97</t>
  </si>
  <si>
    <t>同援日増２．５・基礎・区４</t>
  </si>
  <si>
    <t>AM98</t>
  </si>
  <si>
    <t>同援日増２．５・基礎・２人・区４</t>
  </si>
  <si>
    <t>AM99</t>
  </si>
  <si>
    <t>同援日増２．５・盲ろう・区４</t>
  </si>
  <si>
    <t>AN00</t>
  </si>
  <si>
    <t>同援日増２．５・２人・盲ろう・区４</t>
  </si>
  <si>
    <t>同援日増２．５・基礎・盲ろう・区４</t>
  </si>
  <si>
    <t>同援日増２．５・基礎・２人・盲ろう・区４</t>
  </si>
  <si>
    <t>同援日増３．０</t>
  </si>
  <si>
    <t>ヘ　日中増分</t>
    <phoneticPr fontId="1"/>
  </si>
  <si>
    <t>同援日増３．０・２人</t>
  </si>
  <si>
    <t>AN05</t>
  </si>
  <si>
    <t>同援日増３．０・基礎</t>
  </si>
  <si>
    <t>AN06</t>
  </si>
  <si>
    <t>同援日増３．０・基礎・２人</t>
  </si>
  <si>
    <t>AN07</t>
  </si>
  <si>
    <t>同援日増３．０・盲ろう</t>
  </si>
  <si>
    <t>AN08</t>
  </si>
  <si>
    <t>同援日増３．０・２人・盲ろう</t>
  </si>
  <si>
    <t>AN09</t>
  </si>
  <si>
    <t>同援日増３．０・基礎・盲ろう</t>
  </si>
  <si>
    <t>AN10</t>
  </si>
  <si>
    <t>同援日増３．０・基礎・２人・盲ろう</t>
  </si>
  <si>
    <t>AN11</t>
  </si>
  <si>
    <t>同援日増３．０・区３</t>
  </si>
  <si>
    <t>AN12</t>
  </si>
  <si>
    <t>同援日増３．０・２人・区３</t>
  </si>
  <si>
    <t>AN13</t>
  </si>
  <si>
    <t>同援日増３．０・基礎・区３</t>
  </si>
  <si>
    <t>AN14</t>
  </si>
  <si>
    <t>同援日増３．０・基礎・２人・区３</t>
  </si>
  <si>
    <t>AN15</t>
  </si>
  <si>
    <t>同援日増３．０・盲ろう・区３</t>
  </si>
  <si>
    <t>AN16</t>
  </si>
  <si>
    <t>同援日増３．０・２人・盲ろう・区３</t>
  </si>
  <si>
    <t>AN17</t>
  </si>
  <si>
    <t>同援日増３．０・基礎・盲ろう・区３</t>
  </si>
  <si>
    <t>AN18</t>
  </si>
  <si>
    <t>同援日増３．０・基礎・２人・盲ろう・区３</t>
  </si>
  <si>
    <t>AN19</t>
  </si>
  <si>
    <t>同援日増３．０・区４</t>
  </si>
  <si>
    <t>AN20</t>
  </si>
  <si>
    <t>同援日増３．０・２人・区４</t>
  </si>
  <si>
    <t>同援日増３．０・基礎・区４</t>
  </si>
  <si>
    <t>同援日増３．０・基礎・２人・区４</t>
  </si>
  <si>
    <t>同援日増３．０・盲ろう・区４</t>
  </si>
  <si>
    <t>同援日増３．０・２人・盲ろう・区４</t>
  </si>
  <si>
    <t>AN25</t>
  </si>
  <si>
    <t>同援日増３．０・基礎・盲ろう・区４</t>
  </si>
  <si>
    <t>AN26</t>
  </si>
  <si>
    <t>同援日増３．０・基礎・２人・盲ろう・区４</t>
  </si>
  <si>
    <t>AN27</t>
  </si>
  <si>
    <t>同援日増３．５</t>
  </si>
  <si>
    <t>ト　日中増分</t>
    <phoneticPr fontId="1"/>
  </si>
  <si>
    <t>AN28</t>
  </si>
  <si>
    <t>同援日増３．５・２人</t>
  </si>
  <si>
    <t>AN29</t>
  </si>
  <si>
    <t>同援日増３．５・基礎</t>
  </si>
  <si>
    <t>AN30</t>
  </si>
  <si>
    <t>同援日増３．５・基礎・２人</t>
  </si>
  <si>
    <t>AN31</t>
  </si>
  <si>
    <t>同援日増３．５・盲ろう</t>
  </si>
  <si>
    <t>AN32</t>
  </si>
  <si>
    <t>同援日増３．５・２人・盲ろう</t>
  </si>
  <si>
    <t>AN33</t>
  </si>
  <si>
    <t>同援日増３．５・基礎・盲ろう</t>
  </si>
  <si>
    <t>AN34</t>
  </si>
  <si>
    <t>同援日増３．５・基礎・２人・盲ろう</t>
  </si>
  <si>
    <t>AN35</t>
  </si>
  <si>
    <t>同援日増３．５・区３</t>
  </si>
  <si>
    <t>AN36</t>
  </si>
  <si>
    <t>同援日増３．５・２人・区３</t>
  </si>
  <si>
    <t>AN37</t>
  </si>
  <si>
    <t>同援日増３．５・基礎・区３</t>
  </si>
  <si>
    <t>AN38</t>
  </si>
  <si>
    <t>同援日増３．５・基礎・２人・区３</t>
  </si>
  <si>
    <t>AN39</t>
  </si>
  <si>
    <t>同援日増３．５・盲ろう・区３</t>
  </si>
  <si>
    <t>AN40</t>
  </si>
  <si>
    <t>同援日増３．５・２人・盲ろう・区３</t>
  </si>
  <si>
    <t>同援日増３．５・基礎・盲ろう・区３</t>
  </si>
  <si>
    <t>同援日増３．５・基礎・２人・盲ろう・区３</t>
  </si>
  <si>
    <t>同援日増３．５・区４</t>
  </si>
  <si>
    <t>同援日増３．５・２人・区４</t>
  </si>
  <si>
    <t>AN45</t>
  </si>
  <si>
    <t>同援日増３．５・基礎・区４</t>
  </si>
  <si>
    <t>AN46</t>
  </si>
  <si>
    <t>同援日増３．５・基礎・２人・区４</t>
  </si>
  <si>
    <t>AN47</t>
  </si>
  <si>
    <t>同援日増３．５・盲ろう・区４</t>
  </si>
  <si>
    <t>AN48</t>
  </si>
  <si>
    <t>同援日増３．５・２人・盲ろう・区４</t>
  </si>
  <si>
    <t>AN49</t>
  </si>
  <si>
    <t>同援日増３．５・基礎・盲ろう・区４</t>
  </si>
  <si>
    <t>AN50</t>
  </si>
  <si>
    <t>同援日増３．５・基礎・２人・盲ろう・区４</t>
  </si>
  <si>
    <t>AN51</t>
  </si>
  <si>
    <t>同援日増４．０</t>
  </si>
  <si>
    <t>チ　日中増分</t>
    <phoneticPr fontId="1"/>
  </si>
  <si>
    <t>AN52</t>
  </si>
  <si>
    <t>同援日増４．０・２人</t>
  </si>
  <si>
    <t>AN53</t>
  </si>
  <si>
    <t>同援日増４．０・基礎</t>
  </si>
  <si>
    <t>AN54</t>
  </si>
  <si>
    <t>同援日増４．０・基礎・２人</t>
  </si>
  <si>
    <t>AN55</t>
  </si>
  <si>
    <t>同援日増４．０・盲ろう</t>
  </si>
  <si>
    <t>AN56</t>
  </si>
  <si>
    <t>同援日増４．０・２人・盲ろう</t>
  </si>
  <si>
    <t>AN57</t>
  </si>
  <si>
    <t>同援日増４．０・基礎・盲ろう</t>
  </si>
  <si>
    <t>AN58</t>
  </si>
  <si>
    <t>同援日増４．０・基礎・２人・盲ろう</t>
  </si>
  <si>
    <t>AN59</t>
  </si>
  <si>
    <t>同援日増４．０・区３</t>
  </si>
  <si>
    <t>AN60</t>
  </si>
  <si>
    <t>同援日増４．０・２人・区３</t>
  </si>
  <si>
    <t>同援日増４．０・基礎・区３</t>
  </si>
  <si>
    <t>同援日増４．０・基礎・２人・区３</t>
  </si>
  <si>
    <t>同援日増４．０・盲ろう・区３</t>
  </si>
  <si>
    <t>同援日増４．０・２人・盲ろう・区３</t>
  </si>
  <si>
    <t>AN65</t>
  </si>
  <si>
    <t>同援日増４．０・基礎・盲ろう・区３</t>
  </si>
  <si>
    <t>AN66</t>
  </si>
  <si>
    <t>同援日増４．０・基礎・２人・盲ろう・区３</t>
  </si>
  <si>
    <t>AN67</t>
  </si>
  <si>
    <t>同援日増４．０・区４</t>
  </si>
  <si>
    <t>AN68</t>
  </si>
  <si>
    <t>同援日増４．０・２人・区４</t>
  </si>
  <si>
    <t>AN69</t>
  </si>
  <si>
    <t>同援日増４．０・基礎・区４</t>
  </si>
  <si>
    <t>AN70</t>
  </si>
  <si>
    <t>同援日増４．０・基礎・２人・区４</t>
  </si>
  <si>
    <t>AN71</t>
  </si>
  <si>
    <t>同援日増４．０・盲ろう・区４</t>
  </si>
  <si>
    <t>AN72</t>
  </si>
  <si>
    <t>同援日増４．０・２人・盲ろう・区４</t>
  </si>
  <si>
    <t>AN73</t>
  </si>
  <si>
    <t>同援日増４．０・基礎・盲ろう・区４</t>
  </si>
  <si>
    <t>AN74</t>
  </si>
  <si>
    <t>同援日増４．０・基礎・２人・盲ろう・区４</t>
  </si>
  <si>
    <t>AN75</t>
  </si>
  <si>
    <t>同援日増４．５</t>
  </si>
  <si>
    <t>リ　日中増分</t>
    <phoneticPr fontId="1"/>
  </si>
  <si>
    <t>AN76</t>
  </si>
  <si>
    <t>同援日増４．５・２人</t>
  </si>
  <si>
    <t>AN77</t>
  </si>
  <si>
    <t>同援日増４．５・基礎</t>
  </si>
  <si>
    <t>AN78</t>
  </si>
  <si>
    <t>同援日増４．５・基礎・２人</t>
  </si>
  <si>
    <t>AN79</t>
  </si>
  <si>
    <t>同援日増４．５・盲ろう</t>
  </si>
  <si>
    <t>AN80</t>
  </si>
  <si>
    <t>同援日増４．５・２人・盲ろう</t>
  </si>
  <si>
    <t>同援日増４．５・基礎・盲ろう</t>
  </si>
  <si>
    <t>同援日増４．５・基礎・２人・盲ろう</t>
  </si>
  <si>
    <t>同援日増４．５・区３</t>
  </si>
  <si>
    <t>同援日増４．５・２人・区３</t>
  </si>
  <si>
    <t>AN85</t>
  </si>
  <si>
    <t>同援日増４．５・基礎・区３</t>
  </si>
  <si>
    <t>AN86</t>
  </si>
  <si>
    <t>同援日増４．５・基礎・２人・区３</t>
  </si>
  <si>
    <t>AN87</t>
  </si>
  <si>
    <t>同援日増４．５・盲ろう・区３</t>
  </si>
  <si>
    <t>AN88</t>
  </si>
  <si>
    <t>同援日増４．５・２人・盲ろう・区３</t>
  </si>
  <si>
    <t>AN89</t>
  </si>
  <si>
    <t>同援日増４．５・基礎・盲ろう・区３</t>
  </si>
  <si>
    <t>AN90</t>
  </si>
  <si>
    <t>同援日増４．５・基礎・２人・盲ろう・区３</t>
  </si>
  <si>
    <t>AN91</t>
  </si>
  <si>
    <t>同援日増４．５・区４</t>
  </si>
  <si>
    <t>AN92</t>
  </si>
  <si>
    <t>同援日増４．５・２人・区４</t>
  </si>
  <si>
    <t>AN93</t>
  </si>
  <si>
    <t>同援日増４．５・基礎・区４</t>
  </si>
  <si>
    <t>AN94</t>
  </si>
  <si>
    <t>同援日増４．５・基礎・２人・区４</t>
  </si>
  <si>
    <t>AN95</t>
  </si>
  <si>
    <t>同援日増４．５・盲ろう・区４</t>
  </si>
  <si>
    <t>AN96</t>
  </si>
  <si>
    <t>同援日増４．５・２人・盲ろう・区４</t>
  </si>
  <si>
    <t>AN97</t>
  </si>
  <si>
    <t>同援日増４．５・基礎・盲ろう・区４</t>
  </si>
  <si>
    <t>AN98</t>
  </si>
  <si>
    <t>同援日増４．５・基礎・２人・盲ろう・区４</t>
  </si>
  <si>
    <t>AN99</t>
  </si>
  <si>
    <t>同援日増５．０</t>
  </si>
  <si>
    <t>ヌ　日中増分</t>
    <phoneticPr fontId="1"/>
  </si>
  <si>
    <t>AP00</t>
  </si>
  <si>
    <t>同援日増５．０・２人</t>
  </si>
  <si>
    <t>同援日増５．０・基礎</t>
  </si>
  <si>
    <t>同援日増５．０・基礎・２人</t>
  </si>
  <si>
    <t>同援日増５．０・盲ろう</t>
  </si>
  <si>
    <t>同援日増５．０・２人・盲ろう</t>
  </si>
  <si>
    <t>AP05</t>
  </si>
  <si>
    <t>同援日増５．０・基礎・盲ろう</t>
  </si>
  <si>
    <t>AP06</t>
  </si>
  <si>
    <t>同援日増５．０・基礎・２人・盲ろう</t>
  </si>
  <si>
    <t>AP07</t>
  </si>
  <si>
    <t>同援日増５．０・区３</t>
  </si>
  <si>
    <t>AP08</t>
  </si>
  <si>
    <t>同援日増５．０・２人・区３</t>
  </si>
  <si>
    <t>AP09</t>
  </si>
  <si>
    <t>同援日増５．０・基礎・区３</t>
  </si>
  <si>
    <t>AP10</t>
  </si>
  <si>
    <t>同援日増５．０・基礎・２人・区３</t>
  </si>
  <si>
    <t>AP11</t>
  </si>
  <si>
    <t>同援日増５．０・盲ろう・区３</t>
  </si>
  <si>
    <t>AP12</t>
  </si>
  <si>
    <t>同援日増５．０・２人・盲ろう・区３</t>
  </si>
  <si>
    <t>AP13</t>
  </si>
  <si>
    <t>同援日増５．０・基礎・盲ろう・区３</t>
  </si>
  <si>
    <t>AP14</t>
  </si>
  <si>
    <t>同援日増５．０・基礎・２人・盲ろう・区３</t>
  </si>
  <si>
    <t>AP15</t>
  </si>
  <si>
    <t>同援日増５．０・区４</t>
  </si>
  <si>
    <t>AP16</t>
  </si>
  <si>
    <t>同援日増５．０・２人・区４</t>
  </si>
  <si>
    <t>AP17</t>
  </si>
  <si>
    <t>同援日増５．０・基礎・区４</t>
  </si>
  <si>
    <t>AP18</t>
  </si>
  <si>
    <t>同援日増５．０・基礎・２人・区４</t>
  </si>
  <si>
    <t>AP19</t>
  </si>
  <si>
    <t>同援日増５．０・盲ろう・区４</t>
  </si>
  <si>
    <t>AP20</t>
  </si>
  <si>
    <t>同援日増５．０・２人・盲ろう・区４</t>
  </si>
  <si>
    <t>同援日増５．０・基礎・盲ろう・区４</t>
  </si>
  <si>
    <t>同援日増５．０・基礎・２人・盲ろう・区４</t>
  </si>
  <si>
    <t>同援日増５．５</t>
  </si>
  <si>
    <t>ル　日中増分</t>
    <phoneticPr fontId="1"/>
  </si>
  <si>
    <t>同援日増５．５・２人</t>
  </si>
  <si>
    <t>AP25</t>
  </si>
  <si>
    <t>同援日増５．５・基礎</t>
  </si>
  <si>
    <t>AP26</t>
  </si>
  <si>
    <t>同援日増５．５・基礎・２人</t>
  </si>
  <si>
    <t>AP27</t>
  </si>
  <si>
    <t>同援日増５．５・盲ろう</t>
  </si>
  <si>
    <t>AP28</t>
  </si>
  <si>
    <t>同援日増５．５・２人・盲ろう</t>
  </si>
  <si>
    <t>AP29</t>
  </si>
  <si>
    <t>同援日増５．５・基礎・盲ろう</t>
  </si>
  <si>
    <t>AP30</t>
  </si>
  <si>
    <t>同援日増５．５・基礎・２人・盲ろう</t>
  </si>
  <si>
    <t>AP31</t>
  </si>
  <si>
    <t>同援日増５．５・区３</t>
  </si>
  <si>
    <t>AP32</t>
  </si>
  <si>
    <t>同援日増５．５・２人・区３</t>
  </si>
  <si>
    <t>AP33</t>
  </si>
  <si>
    <t>同援日増５．５・基礎・区３</t>
  </si>
  <si>
    <t>AP34</t>
  </si>
  <si>
    <t>同援日増５．５・基礎・２人・区３</t>
  </si>
  <si>
    <t>AP35</t>
  </si>
  <si>
    <t>同援日増５．５・盲ろう・区３</t>
  </si>
  <si>
    <t>AP36</t>
  </si>
  <si>
    <t>同援日増５．５・２人・盲ろう・区３</t>
  </si>
  <si>
    <t>AP37</t>
  </si>
  <si>
    <t>同援日増５．５・基礎・盲ろう・区３</t>
  </si>
  <si>
    <t>AP38</t>
  </si>
  <si>
    <t>同援日増５．５・基礎・２人・盲ろう・区３</t>
  </si>
  <si>
    <t>AP39</t>
  </si>
  <si>
    <t>同援日増５．５・区４</t>
  </si>
  <si>
    <t>AP40</t>
  </si>
  <si>
    <t>同援日増５．５・２人・区４</t>
  </si>
  <si>
    <t>同援日増５．５・基礎・区４</t>
  </si>
  <si>
    <t>同援日増５．５・基礎・２人・区４</t>
  </si>
  <si>
    <t>同援日増５．５・盲ろう・区４</t>
  </si>
  <si>
    <t>同援日増５．５・２人・盲ろう・区４</t>
  </si>
  <si>
    <t>AP45</t>
  </si>
  <si>
    <t>同援日増５．５・基礎・盲ろう・区４</t>
  </si>
  <si>
    <t>AP46</t>
  </si>
  <si>
    <t>同援日増５．５・基礎・２人・盲ろう・区４</t>
  </si>
  <si>
    <t>AP47</t>
  </si>
  <si>
    <t>同援日増６．０</t>
  </si>
  <si>
    <t>ヲ　日中増分</t>
    <phoneticPr fontId="1"/>
  </si>
  <si>
    <t>AP48</t>
  </si>
  <si>
    <t>同援日増６．０・２人</t>
  </si>
  <si>
    <t>AP49</t>
  </si>
  <si>
    <t>同援日増６．０・基礎</t>
  </si>
  <si>
    <t>AP50</t>
  </si>
  <si>
    <t>同援日増６．０・基礎・２人</t>
  </si>
  <si>
    <t>AP51</t>
  </si>
  <si>
    <t>同援日増６．０・盲ろう</t>
  </si>
  <si>
    <t>AP52</t>
  </si>
  <si>
    <t>同援日増６．０・２人・盲ろう</t>
  </si>
  <si>
    <t>AP53</t>
  </si>
  <si>
    <t>同援日増６．０・基礎・盲ろう</t>
  </si>
  <si>
    <t>AP54</t>
  </si>
  <si>
    <t>同援日増６．０・基礎・２人・盲ろう</t>
  </si>
  <si>
    <t>AP55</t>
  </si>
  <si>
    <t>同援日増６．０・区３</t>
  </si>
  <si>
    <t>AP56</t>
  </si>
  <si>
    <t>同援日増６．０・２人・区３</t>
  </si>
  <si>
    <t>AP57</t>
  </si>
  <si>
    <t>同援日増６．０・基礎・区３</t>
  </si>
  <si>
    <t>AP58</t>
  </si>
  <si>
    <t>同援日増６．０・基礎・２人・区３</t>
  </si>
  <si>
    <t>AP59</t>
  </si>
  <si>
    <t>同援日増６．０・盲ろう・区３</t>
  </si>
  <si>
    <t>AP60</t>
  </si>
  <si>
    <t>同援日増６．０・２人・盲ろう・区３</t>
  </si>
  <si>
    <t>同援日増６．０・基礎・盲ろう・区３</t>
  </si>
  <si>
    <t>同援日増６．０・基礎・２人・盲ろう・区３</t>
  </si>
  <si>
    <t>同援日増６．０・区４</t>
  </si>
  <si>
    <t>同援日増６．０・２人・区４</t>
  </si>
  <si>
    <t>AP65</t>
  </si>
  <si>
    <t>同援日増６．０・基礎・区４</t>
  </si>
  <si>
    <t>AP66</t>
  </si>
  <si>
    <t>同援日増６．０・基礎・２人・区４</t>
  </si>
  <si>
    <t>AP67</t>
  </si>
  <si>
    <t>同援日増６．０・盲ろう・区４</t>
  </si>
  <si>
    <t>AP68</t>
  </si>
  <si>
    <t>同援日増６．０・２人・盲ろう・区４</t>
  </si>
  <si>
    <t>AP69</t>
  </si>
  <si>
    <t>同援日増６．０・基礎・盲ろう・区４</t>
  </si>
  <si>
    <t>AP70</t>
  </si>
  <si>
    <t>同援日増６．０・基礎・２人・盲ろう・区４</t>
  </si>
  <si>
    <t>AP71</t>
  </si>
  <si>
    <t>同援日増６．５</t>
  </si>
  <si>
    <t>ワ　日中増分</t>
    <phoneticPr fontId="1"/>
  </si>
  <si>
    <t>AP72</t>
  </si>
  <si>
    <t>同援日増６．５・２人</t>
  </si>
  <si>
    <t>AP73</t>
  </si>
  <si>
    <t>同援日増６．５・基礎</t>
  </si>
  <si>
    <t>AP74</t>
  </si>
  <si>
    <t>同援日増６．５・基礎・２人</t>
  </si>
  <si>
    <t>AP75</t>
  </si>
  <si>
    <t>同援日増６．５・盲ろう</t>
  </si>
  <si>
    <t>AP76</t>
  </si>
  <si>
    <t>同援日増６．５・２人・盲ろう</t>
  </si>
  <si>
    <t>AP77</t>
  </si>
  <si>
    <t>同援日増６．５・基礎・盲ろう</t>
  </si>
  <si>
    <t>AP78</t>
  </si>
  <si>
    <t>同援日増６．５・基礎・２人・盲ろう</t>
  </si>
  <si>
    <t>AP79</t>
  </si>
  <si>
    <t>同援日増６．５・区３</t>
  </si>
  <si>
    <t>AP80</t>
  </si>
  <si>
    <t>同援日増６．５・２人・区３</t>
  </si>
  <si>
    <t>同援日増６．５・基礎・区３</t>
  </si>
  <si>
    <t>同援日増６．５・基礎・２人・区３</t>
  </si>
  <si>
    <t>同援日増６．５・盲ろう・区３</t>
  </si>
  <si>
    <t>同援日増６．５・２人・盲ろう・区３</t>
  </si>
  <si>
    <t>AP85</t>
  </si>
  <si>
    <t>同援日増６．５・基礎・盲ろう・区３</t>
  </si>
  <si>
    <t>AP86</t>
  </si>
  <si>
    <t>同援日増６．５・基礎・２人・盲ろう・区３</t>
  </si>
  <si>
    <t>AP87</t>
  </si>
  <si>
    <t>同援日増６．５・区４</t>
  </si>
  <si>
    <t>AP88</t>
  </si>
  <si>
    <t>同援日増６．５・２人・区４</t>
  </si>
  <si>
    <t>AP89</t>
  </si>
  <si>
    <t>同援日増６．５・基礎・区４</t>
  </si>
  <si>
    <t>AP90</t>
  </si>
  <si>
    <t>同援日増６．５・基礎・２人・区４</t>
  </si>
  <si>
    <t>AP91</t>
  </si>
  <si>
    <t>同援日増６．５・盲ろう・区４</t>
  </si>
  <si>
    <t>AP92</t>
  </si>
  <si>
    <t>同援日増６．５・２人・盲ろう・区４</t>
  </si>
  <si>
    <t>AP93</t>
  </si>
  <si>
    <t>同援日増６．５・基礎・盲ろう・区４</t>
  </si>
  <si>
    <t>AP94</t>
  </si>
  <si>
    <t>同援日増６．５・基礎・２人・盲ろう・区４</t>
  </si>
  <si>
    <t>AP95</t>
  </si>
  <si>
    <t>同援日増７．０</t>
  </si>
  <si>
    <t>カ　日中増分</t>
    <phoneticPr fontId="1"/>
  </si>
  <si>
    <t>AP96</t>
  </si>
  <si>
    <t>同援日増７．０・２人</t>
  </si>
  <si>
    <t>AP97</t>
  </si>
  <si>
    <t>同援日増７．０・基礎</t>
  </si>
  <si>
    <t xml:space="preserve"> ７時間未満</t>
  </si>
  <si>
    <t>AP98</t>
  </si>
  <si>
    <t>同援日増７．０・基礎・２人</t>
  </si>
  <si>
    <t>AP99</t>
  </si>
  <si>
    <t>同援日増７．０・盲ろう</t>
  </si>
  <si>
    <t>AR00</t>
  </si>
  <si>
    <t>同援日増７．０・２人・盲ろう</t>
  </si>
  <si>
    <t>同援日増７．０・基礎・盲ろう</t>
  </si>
  <si>
    <t>同援日増７．０・基礎・２人・盲ろう</t>
  </si>
  <si>
    <t>同援日増７．０・区３</t>
  </si>
  <si>
    <t>同援日増７．０・２人・区３</t>
  </si>
  <si>
    <t>AR05</t>
  </si>
  <si>
    <t>同援日増７．０・基礎・区３</t>
  </si>
  <si>
    <t>AR06</t>
  </si>
  <si>
    <t>同援日増７．０・基礎・２人・区３</t>
  </si>
  <si>
    <t>AR07</t>
  </si>
  <si>
    <t>同援日増７．０・盲ろう・区３</t>
  </si>
  <si>
    <t>AR08</t>
  </si>
  <si>
    <t>同援日増７．０・２人・盲ろう・区３</t>
  </si>
  <si>
    <t>AR09</t>
  </si>
  <si>
    <t>同援日増７．０・基礎・盲ろう・区３</t>
  </si>
  <si>
    <t>AR10</t>
  </si>
  <si>
    <t>同援日増７．０・基礎・２人・盲ろう・区３</t>
  </si>
  <si>
    <t>AR11</t>
  </si>
  <si>
    <t>同援日増７．０・区４</t>
  </si>
  <si>
    <t>AR12</t>
  </si>
  <si>
    <t>同援日増７．０・２人・区４</t>
  </si>
  <si>
    <t>AR13</t>
  </si>
  <si>
    <t>同援日増７．０・基礎・区４</t>
  </si>
  <si>
    <t>AR14</t>
  </si>
  <si>
    <t>同援日増７．０・基礎・２人・区４</t>
  </si>
  <si>
    <t>AR15</t>
  </si>
  <si>
    <t>同援日増７．０・盲ろう・区４</t>
  </si>
  <si>
    <t>AR16</t>
  </si>
  <si>
    <t>同援日増７．０・２人・盲ろう・区４</t>
  </si>
  <si>
    <t>AR17</t>
  </si>
  <si>
    <t>同援日増７．０・基礎・盲ろう・区４</t>
  </si>
  <si>
    <t>AR18</t>
  </si>
  <si>
    <t>同援日増７．０・基礎・２人・盲ろう・区４</t>
  </si>
  <si>
    <t>AR19</t>
  </si>
  <si>
    <t>同援日増７．５</t>
  </si>
  <si>
    <t>ヨ　日中増分</t>
    <phoneticPr fontId="1"/>
  </si>
  <si>
    <t>AR20</t>
  </si>
  <si>
    <t>同援日増７．５・２人</t>
  </si>
  <si>
    <t>同援日増７．５・基礎</t>
  </si>
  <si>
    <t xml:space="preserve"> ７時間３０分未満</t>
  </si>
  <si>
    <t>同援日増７．５・基礎・２人</t>
  </si>
  <si>
    <t>同援日増７．５・盲ろう</t>
  </si>
  <si>
    <t>同援日増７．５・２人・盲ろう</t>
  </si>
  <si>
    <t>AR25</t>
  </si>
  <si>
    <t>同援日増７．５・基礎・盲ろう</t>
  </si>
  <si>
    <t>AR26</t>
  </si>
  <si>
    <t>同援日増７．５・基礎・２人・盲ろう</t>
  </si>
  <si>
    <t>AR27</t>
  </si>
  <si>
    <t>同援日増７．５・区３</t>
  </si>
  <si>
    <t>AR28</t>
  </si>
  <si>
    <t>同援日増７．５・２人・区３</t>
  </si>
  <si>
    <t>AR29</t>
  </si>
  <si>
    <t>同援日増７．５・基礎・区３</t>
  </si>
  <si>
    <t>AR30</t>
  </si>
  <si>
    <t>同援日増７．５・基礎・２人・区３</t>
  </si>
  <si>
    <t>AR31</t>
  </si>
  <si>
    <t>同援日増７．５・盲ろう・区３</t>
  </si>
  <si>
    <t>AR32</t>
  </si>
  <si>
    <t>同援日増７．５・２人・盲ろう・区３</t>
  </si>
  <si>
    <t>AR33</t>
  </si>
  <si>
    <t>同援日増７．５・基礎・盲ろう・区３</t>
  </si>
  <si>
    <t>AR34</t>
  </si>
  <si>
    <t>同援日増７．５・基礎・２人・盲ろう・区３</t>
  </si>
  <si>
    <t>AR35</t>
  </si>
  <si>
    <t>同援日増７．５・区４</t>
  </si>
  <si>
    <t>AR36</t>
  </si>
  <si>
    <t>同援日増７．５・２人・区４</t>
  </si>
  <si>
    <t>AR37</t>
  </si>
  <si>
    <t>同援日増７．５・基礎・区４</t>
  </si>
  <si>
    <t>AR38</t>
  </si>
  <si>
    <t>同援日増７．５・基礎・２人・区４</t>
  </si>
  <si>
    <t>AR39</t>
  </si>
  <si>
    <t>同援日増７．５・盲ろう・区４</t>
  </si>
  <si>
    <t>AR40</t>
  </si>
  <si>
    <t>同援日増７．５・２人・盲ろう・区４</t>
  </si>
  <si>
    <t>同援日増７．５・基礎・盲ろう・区４</t>
  </si>
  <si>
    <t>同援日増７．５・基礎・２人・盲ろう・区４</t>
  </si>
  <si>
    <t>同援日増８．０</t>
  </si>
  <si>
    <t>タ　日中増分</t>
    <phoneticPr fontId="1"/>
  </si>
  <si>
    <t>同援日増８．０・２人</t>
  </si>
  <si>
    <t>AR45</t>
  </si>
  <si>
    <t>同援日増８．０・基礎</t>
  </si>
  <si>
    <t>AR46</t>
  </si>
  <si>
    <t>同援日増８．０・基礎・２人</t>
  </si>
  <si>
    <t>AR47</t>
  </si>
  <si>
    <t>同援日増８．０・盲ろう</t>
  </si>
  <si>
    <t>AR48</t>
  </si>
  <si>
    <t>同援日増８．０・２人・盲ろう</t>
  </si>
  <si>
    <t>AR49</t>
  </si>
  <si>
    <t>同援日増８．０・基礎・盲ろう</t>
  </si>
  <si>
    <t>AR50</t>
  </si>
  <si>
    <t>同援日増８．０・基礎・２人・盲ろう</t>
  </si>
  <si>
    <t>AR51</t>
  </si>
  <si>
    <t>同援日増８．０・区３</t>
  </si>
  <si>
    <t>AR52</t>
  </si>
  <si>
    <t>同援日増８．０・２人・区３</t>
  </si>
  <si>
    <t>AR53</t>
  </si>
  <si>
    <t>同援日増８．０・基礎・区３</t>
  </si>
  <si>
    <t>AR54</t>
  </si>
  <si>
    <t>同援日増８．０・基礎・２人・区３</t>
  </si>
  <si>
    <t>AR55</t>
  </si>
  <si>
    <t>同援日増８．０・盲ろう・区３</t>
  </si>
  <si>
    <t>AR56</t>
  </si>
  <si>
    <t>同援日増８．０・２人・盲ろう・区３</t>
  </si>
  <si>
    <t>AR57</t>
  </si>
  <si>
    <t>同援日増８．０・基礎・盲ろう・区３</t>
  </si>
  <si>
    <t>AR58</t>
  </si>
  <si>
    <t>同援日増８．０・基礎・２人・盲ろう・区３</t>
  </si>
  <si>
    <t>AR59</t>
  </si>
  <si>
    <t>同援日増８．０・区４</t>
  </si>
  <si>
    <t>AR60</t>
  </si>
  <si>
    <t>同援日増８．０・２人・区４</t>
  </si>
  <si>
    <t>同援日増８．０・基礎・区４</t>
  </si>
  <si>
    <t>同援日増８．０・基礎・２人・区４</t>
  </si>
  <si>
    <t>同援日増８．０・盲ろう・区４</t>
  </si>
  <si>
    <t>同援日増８．０・２人・盲ろう・区４</t>
  </si>
  <si>
    <t>AR65</t>
  </si>
  <si>
    <t>同援日増８．０・基礎・盲ろう・区４</t>
  </si>
  <si>
    <t>AR66</t>
  </si>
  <si>
    <t>同援日増８．０・基礎・２人・盲ろう・区４</t>
  </si>
  <si>
    <t>AR67</t>
  </si>
  <si>
    <t>同援日増８．５</t>
  </si>
  <si>
    <t>レ　日中増分</t>
    <phoneticPr fontId="1"/>
  </si>
  <si>
    <t>AR68</t>
  </si>
  <si>
    <t>同援日増８．５・２人</t>
  </si>
  <si>
    <t>AR69</t>
  </si>
  <si>
    <t>同援日増８．５・基礎</t>
  </si>
  <si>
    <t>AR70</t>
  </si>
  <si>
    <t>同援日増８．５・基礎・２人</t>
  </si>
  <si>
    <t>AR71</t>
  </si>
  <si>
    <t>同援日増８．５・盲ろう</t>
  </si>
  <si>
    <t>AR72</t>
  </si>
  <si>
    <t>同援日増８．５・２人・盲ろう</t>
  </si>
  <si>
    <t>AR73</t>
  </si>
  <si>
    <t>同援日増８．５・基礎・盲ろう</t>
  </si>
  <si>
    <t>AR74</t>
  </si>
  <si>
    <t>同援日増８．５・基礎・２人・盲ろう</t>
  </si>
  <si>
    <t>AR75</t>
  </si>
  <si>
    <t>同援日増８．５・区３</t>
  </si>
  <si>
    <t>AR76</t>
  </si>
  <si>
    <t>同援日増８．５・２人・区３</t>
  </si>
  <si>
    <t>AR77</t>
  </si>
  <si>
    <t>同援日増８．５・基礎・区３</t>
  </si>
  <si>
    <t>AR78</t>
  </si>
  <si>
    <t>同援日増８．５・基礎・２人・区３</t>
  </si>
  <si>
    <t>AR79</t>
  </si>
  <si>
    <t>同援日増８．５・盲ろう・区３</t>
  </si>
  <si>
    <t>AR80</t>
  </si>
  <si>
    <t>同援日増８．５・２人・盲ろう・区３</t>
  </si>
  <si>
    <t>同援日増８．５・基礎・盲ろう・区３</t>
  </si>
  <si>
    <t>同援日増８．５・基礎・２人・盲ろう・区３</t>
  </si>
  <si>
    <t>同援日増８．５・区４</t>
  </si>
  <si>
    <t>同援日増８．５・２人・区４</t>
  </si>
  <si>
    <t>AR85</t>
  </si>
  <si>
    <t>同援日増８．５・基礎・区４</t>
  </si>
  <si>
    <t>AR86</t>
  </si>
  <si>
    <t>同援日増８．５・基礎・２人・区４</t>
  </si>
  <si>
    <t>AR87</t>
  </si>
  <si>
    <t>同援日増８．５・盲ろう・区４</t>
  </si>
  <si>
    <t>AR88</t>
  </si>
  <si>
    <t>同援日増８．５・２人・盲ろう・区４</t>
  </si>
  <si>
    <t>AR89</t>
  </si>
  <si>
    <t>同援日増８．５・基礎・盲ろう・区４</t>
  </si>
  <si>
    <t>AR90</t>
  </si>
  <si>
    <t>同援日増８．５・基礎・２人・盲ろう・区４</t>
  </si>
  <si>
    <t>AR91</t>
  </si>
  <si>
    <t>同援日増９．０</t>
  </si>
  <si>
    <t>ソ　日中増分</t>
    <phoneticPr fontId="1"/>
  </si>
  <si>
    <t>AR92</t>
  </si>
  <si>
    <t>同援日増９．０・２人</t>
  </si>
  <si>
    <t>AR93</t>
  </si>
  <si>
    <t>同援日増９．０・基礎</t>
  </si>
  <si>
    <t>AR94</t>
  </si>
  <si>
    <t>同援日増９．０・基礎・２人</t>
  </si>
  <si>
    <t>AR95</t>
  </si>
  <si>
    <t>同援日増９．０・盲ろう</t>
  </si>
  <si>
    <t>AR96</t>
  </si>
  <si>
    <t>同援日増９．０・２人・盲ろう</t>
  </si>
  <si>
    <t>AR97</t>
  </si>
  <si>
    <t>同援日増９．０・基礎・盲ろう</t>
  </si>
  <si>
    <t>AR98</t>
  </si>
  <si>
    <t>同援日増９．０・基礎・２人・盲ろう</t>
  </si>
  <si>
    <t>AR99</t>
  </si>
  <si>
    <t>同援日増９．０・区３</t>
  </si>
  <si>
    <t>AS00</t>
  </si>
  <si>
    <t>同援日増９．０・２人・区３</t>
  </si>
  <si>
    <t>同援日増９．０・基礎・区３</t>
  </si>
  <si>
    <t>同援日増９．０・基礎・２人・区３</t>
  </si>
  <si>
    <t>同援日増９．０・盲ろう・区３</t>
  </si>
  <si>
    <t>同援日増９．０・２人・盲ろう・区３</t>
  </si>
  <si>
    <t>AS05</t>
  </si>
  <si>
    <t>同援日増９．０・基礎・盲ろう・区３</t>
  </si>
  <si>
    <t>AS06</t>
  </si>
  <si>
    <t>同援日増９．０・基礎・２人・盲ろう・区３</t>
  </si>
  <si>
    <t>AS07</t>
  </si>
  <si>
    <t>同援日増９．０・区４</t>
  </si>
  <si>
    <t>AS08</t>
  </si>
  <si>
    <t>同援日増９．０・２人・区４</t>
  </si>
  <si>
    <t>AS09</t>
  </si>
  <si>
    <t>同援日増９．０・基礎・区４</t>
  </si>
  <si>
    <t>AS10</t>
  </si>
  <si>
    <t>同援日増９．０・基礎・２人・区４</t>
  </si>
  <si>
    <t>AS11</t>
  </si>
  <si>
    <t>同援日増９．０・盲ろう・区４</t>
  </si>
  <si>
    <t>AS12</t>
  </si>
  <si>
    <t>同援日増９．０・２人・盲ろう・区４</t>
  </si>
  <si>
    <t>AS13</t>
  </si>
  <si>
    <t>同援日増９．０・基礎・盲ろう・区４</t>
  </si>
  <si>
    <t>AS14</t>
  </si>
  <si>
    <t>同援日増９．０・基礎・２人・盲ろう・区４</t>
  </si>
  <si>
    <t>AS15</t>
  </si>
  <si>
    <t>同援日増９．５</t>
  </si>
  <si>
    <t>ツ　日中増分</t>
    <phoneticPr fontId="1"/>
  </si>
  <si>
    <t>AS16</t>
  </si>
  <si>
    <t>同援日増９．５・２人</t>
  </si>
  <si>
    <t>AS17</t>
  </si>
  <si>
    <t>同援日増９．５・基礎</t>
  </si>
  <si>
    <t>AS18</t>
  </si>
  <si>
    <t>同援日増９．５・基礎・２人</t>
  </si>
  <si>
    <t>AS19</t>
  </si>
  <si>
    <t>同援日増９．５・盲ろう</t>
  </si>
  <si>
    <t>AS20</t>
  </si>
  <si>
    <t>同援日増９．５・２人・盲ろう</t>
  </si>
  <si>
    <t>同援日増９．５・基礎・盲ろう</t>
  </si>
  <si>
    <t>同援日増９．５・基礎・２人・盲ろう</t>
  </si>
  <si>
    <t>同援日増９．５・区３</t>
  </si>
  <si>
    <t>同援日増９．５・２人・区３</t>
  </si>
  <si>
    <t>AS25</t>
  </si>
  <si>
    <t>同援日増９．５・基礎・区３</t>
  </si>
  <si>
    <t>AS26</t>
  </si>
  <si>
    <t>同援日増９．５・基礎・２人・区３</t>
  </si>
  <si>
    <t>AS27</t>
  </si>
  <si>
    <t>同援日増９．５・盲ろう・区３</t>
  </si>
  <si>
    <t>AS28</t>
  </si>
  <si>
    <t>同援日増９．５・２人・盲ろう・区３</t>
  </si>
  <si>
    <t>AS29</t>
  </si>
  <si>
    <t>同援日増９．５・基礎・盲ろう・区３</t>
  </si>
  <si>
    <t>AS30</t>
  </si>
  <si>
    <t>同援日増９．５・基礎・２人・盲ろう・区３</t>
  </si>
  <si>
    <t>AS31</t>
  </si>
  <si>
    <t>同援日増９．５・区４</t>
  </si>
  <si>
    <t>AS32</t>
  </si>
  <si>
    <t>同援日増９．５・２人・区４</t>
  </si>
  <si>
    <t>AS33</t>
  </si>
  <si>
    <t>同援日増９．５・基礎・区４</t>
  </si>
  <si>
    <t>AS34</t>
  </si>
  <si>
    <t>同援日増９．５・基礎・２人・区４</t>
  </si>
  <si>
    <t>AS35</t>
  </si>
  <si>
    <t>同援日増９．５・盲ろう・区４</t>
  </si>
  <si>
    <t>AS36</t>
  </si>
  <si>
    <t>同援日増９．５・２人・盲ろう・区４</t>
  </si>
  <si>
    <t>AS37</t>
  </si>
  <si>
    <t>同援日増９．５・基礎・盲ろう・区４</t>
  </si>
  <si>
    <t>AS38</t>
  </si>
  <si>
    <t>同援日増９．５・基礎・２人・盲ろう・区４</t>
  </si>
  <si>
    <t>AS39</t>
  </si>
  <si>
    <t>同援日増１０．０</t>
  </si>
  <si>
    <t>ネ　日中増分</t>
    <phoneticPr fontId="1"/>
  </si>
  <si>
    <t>AS40</t>
  </si>
  <si>
    <t>同援日増１０．０・２人</t>
  </si>
  <si>
    <t>同援日増１０．０・基礎</t>
  </si>
  <si>
    <t>同援日増１０．０・基礎・２人</t>
  </si>
  <si>
    <t>同援日増１０．０・盲ろう</t>
  </si>
  <si>
    <t>同援日増１０．０・２人・盲ろう</t>
  </si>
  <si>
    <t>AS45</t>
  </si>
  <si>
    <t>同援日増１０．０・基礎・盲ろう</t>
  </si>
  <si>
    <t>AS46</t>
  </si>
  <si>
    <t>同援日増１０．０・基礎・２人・盲ろう</t>
  </si>
  <si>
    <t>AS47</t>
  </si>
  <si>
    <t>同援日増１０．０・区３</t>
  </si>
  <si>
    <t>AS48</t>
  </si>
  <si>
    <t>同援日増１０．０・２人・区３</t>
  </si>
  <si>
    <t>AS49</t>
  </si>
  <si>
    <t>同援日増１０．０・基礎・区３</t>
  </si>
  <si>
    <t>AS50</t>
  </si>
  <si>
    <t>同援日増１０．０・基礎・２人・区３</t>
  </si>
  <si>
    <t>AS51</t>
  </si>
  <si>
    <t>同援日増１０．０・盲ろう・区３</t>
  </si>
  <si>
    <t>AS52</t>
  </si>
  <si>
    <t>同援日増１０．０・２人・盲ろう・区３</t>
  </si>
  <si>
    <t>AS53</t>
  </si>
  <si>
    <t>同援日増１０．０・基礎・盲ろう・区３</t>
  </si>
  <si>
    <t>AS54</t>
  </si>
  <si>
    <t>同援日増１０．０・基礎・２人・盲ろう・区３</t>
  </si>
  <si>
    <t>AS55</t>
  </si>
  <si>
    <t>同援日増１０．０・区４</t>
  </si>
  <si>
    <t>AS56</t>
  </si>
  <si>
    <t>同援日増１０．０・２人・区４</t>
  </si>
  <si>
    <t>AS57</t>
  </si>
  <si>
    <t>同援日増１０．０・基礎・区４</t>
  </si>
  <si>
    <t>AS58</t>
  </si>
  <si>
    <t>同援日増１０．０・基礎・２人・区４</t>
  </si>
  <si>
    <t>AS59</t>
  </si>
  <si>
    <t>同援日増１０．０・盲ろう・区４</t>
  </si>
  <si>
    <t>AS60</t>
  </si>
  <si>
    <t>同援日増１０．０・２人・盲ろう・区４</t>
  </si>
  <si>
    <t>同援日増１０．０・基礎・盲ろう・区４</t>
  </si>
  <si>
    <t>同援日増１０．０・基礎・２人・盲ろう・区４</t>
  </si>
  <si>
    <t>同援日増１０．５</t>
  </si>
  <si>
    <t>ナ　日中増分</t>
    <phoneticPr fontId="1"/>
  </si>
  <si>
    <t>同援日増１０．５・２人</t>
  </si>
  <si>
    <t>AS65</t>
  </si>
  <si>
    <t>同援日増１０．５・基礎</t>
  </si>
  <si>
    <t>AS66</t>
  </si>
  <si>
    <t>同援日増１０．５・基礎・２人</t>
  </si>
  <si>
    <t>AS67</t>
  </si>
  <si>
    <t>同援日増１０．５・盲ろう</t>
  </si>
  <si>
    <t>AS68</t>
  </si>
  <si>
    <t>同援日増１０．５・２人・盲ろう</t>
  </si>
  <si>
    <t>AS69</t>
  </si>
  <si>
    <t>同援日増１０．５・基礎・盲ろう</t>
  </si>
  <si>
    <t>AS70</t>
  </si>
  <si>
    <t>同援日増１０．５・基礎・２人・盲ろう</t>
  </si>
  <si>
    <t>AS71</t>
  </si>
  <si>
    <t>同援日増１０．５・区３</t>
  </si>
  <si>
    <t>AS72</t>
  </si>
  <si>
    <t>同援日増１０．５・２人・区３</t>
  </si>
  <si>
    <t>AS73</t>
  </si>
  <si>
    <t>同援日増１０．５・基礎・区３</t>
  </si>
  <si>
    <t>AS74</t>
  </si>
  <si>
    <t>同援日増１０．５・基礎・２人・区３</t>
  </si>
  <si>
    <t>AS75</t>
  </si>
  <si>
    <t>同援日増１０．５・盲ろう・区３</t>
  </si>
  <si>
    <t>AS76</t>
  </si>
  <si>
    <t>同援日増１０．５・２人・盲ろう・区３</t>
  </si>
  <si>
    <t>AS77</t>
  </si>
  <si>
    <t>同援日増１０．５・基礎・盲ろう・区３</t>
  </si>
  <si>
    <t>AS78</t>
  </si>
  <si>
    <t>同援日増１０．５・基礎・２人・盲ろう・区３</t>
  </si>
  <si>
    <t>AS79</t>
  </si>
  <si>
    <t>同援日増１０．５・区４</t>
  </si>
  <si>
    <t>AS80</t>
  </si>
  <si>
    <t>同援日増１０．５・２人・区４</t>
  </si>
  <si>
    <t>同援日増１０．５・基礎・区４</t>
  </si>
  <si>
    <t>同援日増１０．５・基礎・２人・区４</t>
  </si>
  <si>
    <t>同援日増１０．５・盲ろう・区４</t>
  </si>
  <si>
    <t>同援日増１０．５・２人・盲ろう・区４</t>
  </si>
  <si>
    <t>AS85</t>
  </si>
  <si>
    <t>同援日増１０．５・基礎・盲ろう・区４</t>
  </si>
  <si>
    <t>AS86</t>
  </si>
  <si>
    <t>同援日増１０．５・基礎・２人・盲ろう・区４</t>
  </si>
  <si>
    <t>（早朝増分）</t>
    <phoneticPr fontId="1"/>
  </si>
  <si>
    <t>AS87</t>
  </si>
  <si>
    <t>同援早増０．５</t>
  </si>
  <si>
    <t>イ　早朝増分</t>
    <phoneticPr fontId="1"/>
  </si>
  <si>
    <t>AS88</t>
  </si>
  <si>
    <t>同援早増０．５・２人</t>
  </si>
  <si>
    <t>AS89</t>
  </si>
  <si>
    <t>同援早増０．５・基礎</t>
  </si>
  <si>
    <t>AS90</t>
  </si>
  <si>
    <t>同援早増０．５・基礎・２人</t>
  </si>
  <si>
    <t>AS91</t>
  </si>
  <si>
    <t>同援早増０．５・盲ろう</t>
  </si>
  <si>
    <t>AS92</t>
  </si>
  <si>
    <t>同援早増０．５・２人・盲ろう</t>
  </si>
  <si>
    <t>AS93</t>
  </si>
  <si>
    <t>同援早増０．５・基礎・盲ろう</t>
  </si>
  <si>
    <t>AS94</t>
  </si>
  <si>
    <t>同援早増０．５・基礎・２人・盲ろう</t>
  </si>
  <si>
    <t>AS95</t>
  </si>
  <si>
    <t>同援早増０．５・区３</t>
  </si>
  <si>
    <t>AS96</t>
  </si>
  <si>
    <t>同援早増０．５・２人・区３</t>
  </si>
  <si>
    <t>AS97</t>
  </si>
  <si>
    <t>同援早増０．５・基礎・区３</t>
  </si>
  <si>
    <t>AS98</t>
  </si>
  <si>
    <t>同援早増０．５・基礎・２人・区３</t>
  </si>
  <si>
    <t>AS99</t>
  </si>
  <si>
    <t>同援早増０．５・盲ろう・区３</t>
  </si>
  <si>
    <t>AT00</t>
  </si>
  <si>
    <t>同援早増０．５・２人・盲ろう・区３</t>
  </si>
  <si>
    <t>同援早増０．５・基礎・盲ろう・区３</t>
  </si>
  <si>
    <t>同援早増０．５・基礎・２人・盲ろう・区３</t>
  </si>
  <si>
    <t>同援早増０．５・区４</t>
  </si>
  <si>
    <t>同援早増０．５・２人・区４</t>
  </si>
  <si>
    <t>AT05</t>
  </si>
  <si>
    <t>同援早増０．５・基礎・区４</t>
  </si>
  <si>
    <t>AT06</t>
  </si>
  <si>
    <t>同援早増０．５・基礎・２人・区４</t>
  </si>
  <si>
    <t>AT07</t>
  </si>
  <si>
    <t>同援早増０．５・盲ろう・区４</t>
  </si>
  <si>
    <t>AT08</t>
  </si>
  <si>
    <t>同援早増０．５・２人・盲ろう・区４</t>
  </si>
  <si>
    <t>AT09</t>
  </si>
  <si>
    <t>同援早増０．５・基礎・盲ろう・区４</t>
  </si>
  <si>
    <t>AT10</t>
  </si>
  <si>
    <t>同援早増０．５・基礎・２人・盲ろう・区４</t>
  </si>
  <si>
    <t>AT11</t>
  </si>
  <si>
    <t>同援早増１．０</t>
  </si>
  <si>
    <t>ロ　早朝増分</t>
    <phoneticPr fontId="1"/>
  </si>
  <si>
    <t>AT12</t>
  </si>
  <si>
    <t>同援早増１．０・２人</t>
  </si>
  <si>
    <t>AT13</t>
  </si>
  <si>
    <t>同援早増１．０・基礎</t>
  </si>
  <si>
    <t>AT14</t>
  </si>
  <si>
    <t>同援早増１．０・基礎・２人</t>
  </si>
  <si>
    <t>AT15</t>
  </si>
  <si>
    <t>同援早増１．０・盲ろう</t>
  </si>
  <si>
    <t>AT16</t>
  </si>
  <si>
    <t>同援早増１．０・２人・盲ろう</t>
  </si>
  <si>
    <t>AT17</t>
  </si>
  <si>
    <t>同援早増１．０・基礎・盲ろう</t>
  </si>
  <si>
    <t>AT18</t>
  </si>
  <si>
    <t>同援早増１．０・基礎・２人・盲ろう</t>
  </si>
  <si>
    <t>AT19</t>
  </si>
  <si>
    <t>同援早増１．０・区３</t>
  </si>
  <si>
    <t>AT20</t>
  </si>
  <si>
    <t>同援早増１．０・２人・区３</t>
  </si>
  <si>
    <t>同援早増１．０・基礎・区３</t>
  </si>
  <si>
    <t>同援早増１．０・基礎・２人・区３</t>
  </si>
  <si>
    <t>同援早増１．０・盲ろう・区３</t>
  </si>
  <si>
    <t>同援早増１．０・２人・盲ろう・区３</t>
  </si>
  <si>
    <t>AT25</t>
  </si>
  <si>
    <t>同援早増１．０・基礎・盲ろう・区３</t>
  </si>
  <si>
    <t>AT26</t>
  </si>
  <si>
    <t>同援早増１．０・基礎・２人・盲ろう・区３</t>
  </si>
  <si>
    <t>AT27</t>
  </si>
  <si>
    <t>同援早増１．０・区４</t>
  </si>
  <si>
    <t>AT28</t>
  </si>
  <si>
    <t>同援早増１．０・２人・区４</t>
  </si>
  <si>
    <t>AT29</t>
  </si>
  <si>
    <t>同援早増１．０・基礎・区４</t>
  </si>
  <si>
    <t>AT30</t>
  </si>
  <si>
    <t>同援早増１．０・基礎・２人・区４</t>
  </si>
  <si>
    <t>AT31</t>
  </si>
  <si>
    <t>同援早増１．０・盲ろう・区４</t>
  </si>
  <si>
    <t>AT32</t>
  </si>
  <si>
    <t>同援早増１．０・２人・盲ろう・区４</t>
  </si>
  <si>
    <t>AT33</t>
  </si>
  <si>
    <t>同援早増１．０・基礎・盲ろう・区４</t>
  </si>
  <si>
    <t>AT34</t>
  </si>
  <si>
    <t>同援早増１．０・基礎・２人・盲ろう・区４</t>
  </si>
  <si>
    <t>AT35</t>
  </si>
  <si>
    <t>同援早増１．５</t>
  </si>
  <si>
    <t>ハ　早朝増分</t>
    <phoneticPr fontId="1"/>
  </si>
  <si>
    <t>AT36</t>
  </si>
  <si>
    <t>同援早増１．５・２人</t>
  </si>
  <si>
    <t>AT37</t>
  </si>
  <si>
    <t>同援早増１．５・基礎</t>
  </si>
  <si>
    <t>AT38</t>
  </si>
  <si>
    <t>同援早増１．５・基礎・２人</t>
  </si>
  <si>
    <t>AT39</t>
  </si>
  <si>
    <t>同援早増１．５・盲ろう</t>
  </si>
  <si>
    <t>AT40</t>
  </si>
  <si>
    <t>同援早増１．５・２人・盲ろう</t>
  </si>
  <si>
    <t>同援早増１．５・基礎・盲ろう</t>
  </si>
  <si>
    <t>同援早増１．５・基礎・２人・盲ろう</t>
  </si>
  <si>
    <t>同援早増１．５・区３</t>
  </si>
  <si>
    <t>同援早増１．５・２人・区３</t>
  </si>
  <si>
    <t>AT45</t>
  </si>
  <si>
    <t>同援早増１．５・基礎・区３</t>
  </si>
  <si>
    <t>AT46</t>
  </si>
  <si>
    <t>同援早増１．５・基礎・２人・区３</t>
  </si>
  <si>
    <t>AT47</t>
  </si>
  <si>
    <t>同援早増１．５・盲ろう・区３</t>
  </si>
  <si>
    <t>AT48</t>
  </si>
  <si>
    <t>同援早増１．５・２人・盲ろう・区３</t>
  </si>
  <si>
    <t>AT49</t>
  </si>
  <si>
    <t>同援早増１．５・基礎・盲ろう・区３</t>
  </si>
  <si>
    <t>AT50</t>
  </si>
  <si>
    <t>同援早増１．５・基礎・２人・盲ろう・区３</t>
  </si>
  <si>
    <t>AT51</t>
  </si>
  <si>
    <t>同援早増１．５・区４</t>
  </si>
  <si>
    <t>AT52</t>
  </si>
  <si>
    <t>同援早増１．５・２人・区４</t>
  </si>
  <si>
    <t>AT53</t>
  </si>
  <si>
    <t>同援早増１．５・基礎・区４</t>
  </si>
  <si>
    <t>AT54</t>
  </si>
  <si>
    <t>同援早増１．５・基礎・２人・区４</t>
  </si>
  <si>
    <t>AT55</t>
  </si>
  <si>
    <t>同援早増１．５・盲ろう・区４</t>
  </si>
  <si>
    <t>AT56</t>
  </si>
  <si>
    <t>同援早増１．５・２人・盲ろう・区４</t>
  </si>
  <si>
    <t>AT57</t>
  </si>
  <si>
    <t>同援早増１．５・基礎・盲ろう・区４</t>
  </si>
  <si>
    <t>AT58</t>
  </si>
  <si>
    <t>同援早増１．５・基礎・２人・盲ろう・区４</t>
  </si>
  <si>
    <t>AT59</t>
  </si>
  <si>
    <t>同援早増２．０</t>
  </si>
  <si>
    <t>ニ　早朝増分</t>
    <phoneticPr fontId="1"/>
  </si>
  <si>
    <t>AT60</t>
  </si>
  <si>
    <t>同援早増２．０・２人</t>
  </si>
  <si>
    <t>同援早増２．０・基礎</t>
  </si>
  <si>
    <t>同援早増２．０・基礎・２人</t>
  </si>
  <si>
    <t>同援早増２．０・盲ろう</t>
  </si>
  <si>
    <t>同援早増２．０・２人・盲ろう</t>
  </si>
  <si>
    <t>AT65</t>
  </si>
  <si>
    <t>同援早増２．０・基礎・盲ろう</t>
  </si>
  <si>
    <t>AT66</t>
  </si>
  <si>
    <t>同援早増２．０・基礎・２人・盲ろう</t>
  </si>
  <si>
    <t>AT67</t>
  </si>
  <si>
    <t>同援早増２．０・区３</t>
  </si>
  <si>
    <t>AT68</t>
  </si>
  <si>
    <t>同援早増２．０・２人・区３</t>
  </si>
  <si>
    <t>AT69</t>
  </si>
  <si>
    <t>同援早増２．０・基礎・区３</t>
  </si>
  <si>
    <t>AT70</t>
  </si>
  <si>
    <t>同援早増２．０・基礎・２人・区３</t>
  </si>
  <si>
    <t>AT71</t>
  </si>
  <si>
    <t>同援早増２．０・盲ろう・区３</t>
  </si>
  <si>
    <t>AT72</t>
  </si>
  <si>
    <t>同援早増２．０・２人・盲ろう・区３</t>
  </si>
  <si>
    <t>AT73</t>
  </si>
  <si>
    <t>同援早増２．０・基礎・盲ろう・区３</t>
  </si>
  <si>
    <t>AT74</t>
  </si>
  <si>
    <t>同援早増２．０・基礎・２人・盲ろう・区３</t>
  </si>
  <si>
    <t>AT75</t>
  </si>
  <si>
    <t>同援早増２．０・区４</t>
  </si>
  <si>
    <t>AT76</t>
  </si>
  <si>
    <t>同援早増２．０・２人・区４</t>
  </si>
  <si>
    <t>AT77</t>
  </si>
  <si>
    <t>同援早増２．０・基礎・区４</t>
  </si>
  <si>
    <t>AT78</t>
  </si>
  <si>
    <t>同援早増２．０・基礎・２人・区４</t>
  </si>
  <si>
    <t>AT79</t>
  </si>
  <si>
    <t>同援早増２．０・盲ろう・区４</t>
  </si>
  <si>
    <t>AT80</t>
  </si>
  <si>
    <t>同援早増２．０・２人・盲ろう・区４</t>
  </si>
  <si>
    <t>同援早増２．０・基礎・盲ろう・区４</t>
  </si>
  <si>
    <t>同援早増２．０・基礎・２人・盲ろう・区４</t>
  </si>
  <si>
    <t>同援早増２．５</t>
  </si>
  <si>
    <t>ホ　早朝増分</t>
    <phoneticPr fontId="1"/>
  </si>
  <si>
    <t>同援早増２．５・２人</t>
  </si>
  <si>
    <t>AT85</t>
  </si>
  <si>
    <t>同援早増２．５・基礎</t>
  </si>
  <si>
    <t>AT86</t>
  </si>
  <si>
    <t>同援早増２．５・基礎・２人</t>
  </si>
  <si>
    <t>AT87</t>
  </si>
  <si>
    <t>同援早増２．５・盲ろう</t>
  </si>
  <si>
    <t>AT88</t>
  </si>
  <si>
    <t>同援早増２．５・２人・盲ろう</t>
  </si>
  <si>
    <t>AT89</t>
  </si>
  <si>
    <t>同援早増２．５・基礎・盲ろう</t>
  </si>
  <si>
    <t>AT90</t>
  </si>
  <si>
    <t>同援早増２．５・基礎・２人・盲ろう</t>
  </si>
  <si>
    <t>AT91</t>
  </si>
  <si>
    <t>同援早増２．５・区３</t>
  </si>
  <si>
    <t>AT92</t>
  </si>
  <si>
    <t>同援早増２．５・２人・区３</t>
  </si>
  <si>
    <t>AT93</t>
  </si>
  <si>
    <t>同援早増２．５・基礎・区３</t>
  </si>
  <si>
    <t>AT94</t>
  </si>
  <si>
    <t>同援早増２．５・基礎・２人・区３</t>
  </si>
  <si>
    <t>AT95</t>
  </si>
  <si>
    <t>同援早増２．５・盲ろう・区３</t>
  </si>
  <si>
    <t>AT96</t>
  </si>
  <si>
    <t>同援早増２．５・２人・盲ろう・区３</t>
  </si>
  <si>
    <t>AT97</t>
  </si>
  <si>
    <t>同援早増２．５・基礎・盲ろう・区３</t>
  </si>
  <si>
    <t>AT98</t>
  </si>
  <si>
    <t>同援早増２．５・基礎・２人・盲ろう・区３</t>
  </si>
  <si>
    <t>AT99</t>
  </si>
  <si>
    <t>同援早増２．５・区４</t>
  </si>
  <si>
    <t>AU00</t>
  </si>
  <si>
    <t>同援早増２．５・２人・区４</t>
  </si>
  <si>
    <t>同援早増２．５・基礎・区４</t>
  </si>
  <si>
    <t>同援早増２．５・基礎・２人・区４</t>
  </si>
  <si>
    <t>同援早増２．５・盲ろう・区４</t>
  </si>
  <si>
    <t>同援早増２．５・２人・盲ろう・区４</t>
  </si>
  <si>
    <t>AU05</t>
  </si>
  <si>
    <t>同援早増２．５・基礎・盲ろう・区４</t>
  </si>
  <si>
    <t>AU06</t>
  </si>
  <si>
    <t>同援早増２．５・基礎・２人・盲ろう・区４</t>
  </si>
  <si>
    <t>（夜間増分）</t>
    <phoneticPr fontId="1"/>
  </si>
  <si>
    <t>AU07</t>
  </si>
  <si>
    <t>同援夜増０．５</t>
  </si>
  <si>
    <t>イ　夜間増分</t>
    <phoneticPr fontId="1"/>
  </si>
  <si>
    <t>AU08</t>
  </si>
  <si>
    <t>同援夜増０．５・２人</t>
  </si>
  <si>
    <t>AU09</t>
  </si>
  <si>
    <t>同援夜増０．５・基礎</t>
  </si>
  <si>
    <t>AU10</t>
  </si>
  <si>
    <t>同援夜増０．５・基礎・２人</t>
  </si>
  <si>
    <t>AU11</t>
  </si>
  <si>
    <t>同援夜増０．５・盲ろう</t>
  </si>
  <si>
    <t>AU12</t>
  </si>
  <si>
    <t>同援夜増０．５・２人・盲ろう</t>
  </si>
  <si>
    <t>AU13</t>
  </si>
  <si>
    <t>同援夜増０．５・基礎・盲ろう</t>
  </si>
  <si>
    <t>AU14</t>
  </si>
  <si>
    <t>同援夜増０．５・基礎・２人・盲ろう</t>
  </si>
  <si>
    <t>AU15</t>
  </si>
  <si>
    <t>同援夜増０．５・区３</t>
  </si>
  <si>
    <t>AU16</t>
  </si>
  <si>
    <t>同援夜増０．５・２人・区３</t>
  </si>
  <si>
    <t>AU17</t>
  </si>
  <si>
    <t>同援夜増０．５・基礎・区３</t>
  </si>
  <si>
    <t>AU18</t>
  </si>
  <si>
    <t>同援夜増０．５・基礎・２人・区３</t>
  </si>
  <si>
    <t>AU19</t>
  </si>
  <si>
    <t>同援夜増０．５・盲ろう・区３</t>
  </si>
  <si>
    <t>AU20</t>
  </si>
  <si>
    <t>同援夜増０．５・２人・盲ろう・区３</t>
  </si>
  <si>
    <t>同援夜増０．５・基礎・盲ろう・区３</t>
  </si>
  <si>
    <t>同援夜増０．５・基礎・２人・盲ろう・区３</t>
  </si>
  <si>
    <t>同援夜増０．５・区４</t>
  </si>
  <si>
    <t>同援夜増０．５・２人・区４</t>
  </si>
  <si>
    <t>AU25</t>
  </si>
  <si>
    <t>同援夜増０．５・基礎・区４</t>
  </si>
  <si>
    <t>AU26</t>
  </si>
  <si>
    <t>同援夜増０．５・基礎・２人・区４</t>
  </si>
  <si>
    <t>AU27</t>
  </si>
  <si>
    <t>同援夜増０．５・盲ろう・区４</t>
  </si>
  <si>
    <t>AU28</t>
  </si>
  <si>
    <t>同援夜増０．５・２人・盲ろう・区４</t>
  </si>
  <si>
    <t>AU29</t>
  </si>
  <si>
    <t>同援夜増０．５・基礎・盲ろう・区４</t>
  </si>
  <si>
    <t>AU30</t>
  </si>
  <si>
    <t>同援夜増０．５・基礎・２人・盲ろう・区４</t>
  </si>
  <si>
    <t>AU31</t>
  </si>
  <si>
    <t>同援夜増１．０</t>
  </si>
  <si>
    <t>ロ　夜間増分</t>
    <phoneticPr fontId="1"/>
  </si>
  <si>
    <t>AU32</t>
  </si>
  <si>
    <t>同援夜増１．０・２人</t>
  </si>
  <si>
    <t>AU33</t>
  </si>
  <si>
    <t>同援夜増１．０・基礎</t>
  </si>
  <si>
    <t>AU34</t>
  </si>
  <si>
    <t>同援夜増１．０・基礎・２人</t>
  </si>
  <si>
    <t>AU35</t>
  </si>
  <si>
    <t>同援夜増１．０・盲ろう</t>
  </si>
  <si>
    <t>AU36</t>
  </si>
  <si>
    <t>同援夜増１．０・２人・盲ろう</t>
  </si>
  <si>
    <t>AU37</t>
  </si>
  <si>
    <t>同援夜増１．０・基礎・盲ろう</t>
  </si>
  <si>
    <t>AU38</t>
  </si>
  <si>
    <t>同援夜増１．０・基礎・２人・盲ろう</t>
  </si>
  <si>
    <t>AU39</t>
  </si>
  <si>
    <t>同援夜増１．０・区３</t>
  </si>
  <si>
    <t>AU40</t>
  </si>
  <si>
    <t>同援夜増１．０・２人・区３</t>
  </si>
  <si>
    <t>同援夜増１．０・基礎・区３</t>
  </si>
  <si>
    <t>同援夜増１．０・基礎・２人・区３</t>
  </si>
  <si>
    <t>同援夜増１．０・盲ろう・区３</t>
  </si>
  <si>
    <t>同援夜増１．０・２人・盲ろう・区３</t>
  </si>
  <si>
    <t>AU45</t>
  </si>
  <si>
    <t>同援夜増１．０・基礎・盲ろう・区３</t>
  </si>
  <si>
    <t>AU46</t>
  </si>
  <si>
    <t>同援夜増１．０・基礎・２人・盲ろう・区３</t>
  </si>
  <si>
    <t>AU47</t>
  </si>
  <si>
    <t>同援夜増１．０・区４</t>
  </si>
  <si>
    <t>AU48</t>
  </si>
  <si>
    <t>同援夜増１．０・２人・区４</t>
  </si>
  <si>
    <t>AU49</t>
  </si>
  <si>
    <t>同援夜増１．０・基礎・区４</t>
  </si>
  <si>
    <t>AU50</t>
  </si>
  <si>
    <t>同援夜増１．０・基礎・２人・区４</t>
  </si>
  <si>
    <t>AU51</t>
  </si>
  <si>
    <t>同援夜増１．０・盲ろう・区４</t>
  </si>
  <si>
    <t>AU52</t>
  </si>
  <si>
    <t>同援夜増１．０・２人・盲ろう・区４</t>
  </si>
  <si>
    <t>AU53</t>
  </si>
  <si>
    <t>同援夜増１．０・基礎・盲ろう・区４</t>
  </si>
  <si>
    <t>AU54</t>
  </si>
  <si>
    <t>同援夜増１．０・基礎・２人・盲ろう・区４</t>
  </si>
  <si>
    <t>AU55</t>
  </si>
  <si>
    <t>同援夜増１．５</t>
  </si>
  <si>
    <t>ハ　夜間増分</t>
    <phoneticPr fontId="1"/>
  </si>
  <si>
    <t>AU56</t>
  </si>
  <si>
    <t>同援夜増１．５・２人</t>
  </si>
  <si>
    <t>AU57</t>
  </si>
  <si>
    <t>同援夜増１．５・基礎</t>
  </si>
  <si>
    <t>AU58</t>
  </si>
  <si>
    <t>同援夜増１．５・基礎・２人</t>
  </si>
  <si>
    <t>AU59</t>
  </si>
  <si>
    <t>同援夜増１．５・盲ろう</t>
  </si>
  <si>
    <t>AU60</t>
  </si>
  <si>
    <t>同援夜増１．５・２人・盲ろう</t>
  </si>
  <si>
    <t>同援夜増１．５・基礎・盲ろう</t>
  </si>
  <si>
    <t>同援夜増１．５・基礎・２人・盲ろう</t>
  </si>
  <si>
    <t>同援夜増１．５・区３</t>
  </si>
  <si>
    <t>同援夜増１．５・２人・区３</t>
  </si>
  <si>
    <t>AU65</t>
  </si>
  <si>
    <t>同援夜増１．５・基礎・区３</t>
  </si>
  <si>
    <t>AU66</t>
  </si>
  <si>
    <t>同援夜増１．５・基礎・２人・区３</t>
  </si>
  <si>
    <t>AU67</t>
  </si>
  <si>
    <t>同援夜増１．５・盲ろう・区３</t>
  </si>
  <si>
    <t>AU68</t>
  </si>
  <si>
    <t>同援夜増１．５・２人・盲ろう・区３</t>
  </si>
  <si>
    <t>AU69</t>
  </si>
  <si>
    <t>同援夜増１．５・基礎・盲ろう・区３</t>
  </si>
  <si>
    <t>AU70</t>
  </si>
  <si>
    <t>同援夜増１．５・基礎・２人・盲ろう・区３</t>
  </si>
  <si>
    <t>AU71</t>
  </si>
  <si>
    <t>同援夜増１．５・区４</t>
  </si>
  <si>
    <t>AU72</t>
  </si>
  <si>
    <t>同援夜増１．５・２人・区４</t>
  </si>
  <si>
    <t>AU73</t>
  </si>
  <si>
    <t>同援夜増１．５・基礎・区４</t>
  </si>
  <si>
    <t>AU74</t>
  </si>
  <si>
    <t>同援夜増１．５・基礎・２人・区４</t>
  </si>
  <si>
    <t>AU75</t>
  </si>
  <si>
    <t>同援夜増１．５・盲ろう・区４</t>
  </si>
  <si>
    <t>AU76</t>
  </si>
  <si>
    <t>同援夜増１．５・２人・盲ろう・区４</t>
  </si>
  <si>
    <t>AU77</t>
  </si>
  <si>
    <t>同援夜増１．５・基礎・盲ろう・区４</t>
  </si>
  <si>
    <t>AU78</t>
  </si>
  <si>
    <t>同援夜増１．５・基礎・２人・盲ろう・区４</t>
  </si>
  <si>
    <t>AU79</t>
  </si>
  <si>
    <t>同援夜増２．０</t>
  </si>
  <si>
    <t>ニ　夜間増分</t>
    <phoneticPr fontId="1"/>
  </si>
  <si>
    <t>AU80</t>
  </si>
  <si>
    <t>同援夜増２．０・２人</t>
  </si>
  <si>
    <t>同援夜増２．０・基礎</t>
  </si>
  <si>
    <t>同援夜増２．０・基礎・２人</t>
  </si>
  <si>
    <t>同援夜増２．０・盲ろう</t>
  </si>
  <si>
    <t>同援夜増２．０・２人・盲ろう</t>
  </si>
  <si>
    <t>AU85</t>
  </si>
  <si>
    <t>同援夜増２．０・基礎・盲ろう</t>
  </si>
  <si>
    <t>AU86</t>
  </si>
  <si>
    <t>同援夜増２．０・基礎・２人・盲ろう</t>
  </si>
  <si>
    <t>AU87</t>
  </si>
  <si>
    <t>同援夜増２．０・区３</t>
  </si>
  <si>
    <t>AU88</t>
  </si>
  <si>
    <t>同援夜増２．０・２人・区３</t>
  </si>
  <si>
    <t>AU89</t>
  </si>
  <si>
    <t>同援夜増２．０・基礎・区３</t>
  </si>
  <si>
    <t>AU90</t>
  </si>
  <si>
    <t>同援夜増２．０・基礎・２人・区３</t>
  </si>
  <si>
    <t>AU91</t>
  </si>
  <si>
    <t>同援夜増２．０・盲ろう・区３</t>
  </si>
  <si>
    <t>AU92</t>
  </si>
  <si>
    <t>同援夜増２．０・２人・盲ろう・区３</t>
  </si>
  <si>
    <t>AU93</t>
  </si>
  <si>
    <t>同援夜増２．０・基礎・盲ろう・区３</t>
  </si>
  <si>
    <t>AU94</t>
  </si>
  <si>
    <t>同援夜増２．０・基礎・２人・盲ろう・区３</t>
  </si>
  <si>
    <t>AU95</t>
  </si>
  <si>
    <t>同援夜増２．０・区４</t>
  </si>
  <si>
    <t>AU96</t>
  </si>
  <si>
    <t>同援夜増２．０・２人・区４</t>
  </si>
  <si>
    <t>AU97</t>
  </si>
  <si>
    <t>同援夜増２．０・基礎・区４</t>
  </si>
  <si>
    <t>AU98</t>
  </si>
  <si>
    <t>同援夜増２．０・基礎・２人・区４</t>
  </si>
  <si>
    <t>AU99</t>
  </si>
  <si>
    <t>同援夜増２．０・盲ろう・区４</t>
  </si>
  <si>
    <t>AV00</t>
  </si>
  <si>
    <t>同援夜増２．０・２人・盲ろう・区４</t>
  </si>
  <si>
    <t>同援夜増２．０・基礎・盲ろう・区４</t>
  </si>
  <si>
    <t>同援夜増２．０・基礎・２人・盲ろう・区４</t>
  </si>
  <si>
    <t>同援夜増２．５</t>
  </si>
  <si>
    <t>ホ　夜間増分</t>
    <phoneticPr fontId="1"/>
  </si>
  <si>
    <t>同援夜増２．５・２人</t>
  </si>
  <si>
    <t>AV05</t>
  </si>
  <si>
    <t>同援夜増２．５・基礎</t>
  </si>
  <si>
    <t>AV06</t>
  </si>
  <si>
    <t>同援夜増２．５・基礎・２人</t>
  </si>
  <si>
    <t>AV07</t>
  </si>
  <si>
    <t>同援夜増２．５・盲ろう</t>
  </si>
  <si>
    <t>AV08</t>
  </si>
  <si>
    <t>同援夜増２．５・２人・盲ろう</t>
  </si>
  <si>
    <t>AV09</t>
  </si>
  <si>
    <t>同援夜増２．５・基礎・盲ろう</t>
  </si>
  <si>
    <t>AV10</t>
  </si>
  <si>
    <t>同援夜増２．５・基礎・２人・盲ろう</t>
  </si>
  <si>
    <t>AV11</t>
  </si>
  <si>
    <t>同援夜増２．５・区３</t>
  </si>
  <si>
    <t>AV12</t>
  </si>
  <si>
    <t>同援夜増２．５・２人・区３</t>
  </si>
  <si>
    <t>AV13</t>
  </si>
  <si>
    <t>同援夜増２．５・基礎・区３</t>
  </si>
  <si>
    <t>AV14</t>
  </si>
  <si>
    <t>同援夜増２．５・基礎・２人・区３</t>
  </si>
  <si>
    <t>AV15</t>
  </si>
  <si>
    <t>同援夜増２．５・盲ろう・区３</t>
  </si>
  <si>
    <t>AV16</t>
  </si>
  <si>
    <t>同援夜増２．５・２人・盲ろう・区３</t>
  </si>
  <si>
    <t>AV17</t>
  </si>
  <si>
    <t>同援夜増２．５・基礎・盲ろう・区３</t>
  </si>
  <si>
    <t>AV18</t>
  </si>
  <si>
    <t>同援夜増２．５・基礎・２人・盲ろう・区３</t>
  </si>
  <si>
    <t>AV19</t>
  </si>
  <si>
    <t>同援夜増２．５・区４</t>
  </si>
  <si>
    <t>AV20</t>
  </si>
  <si>
    <t>同援夜増２．５・２人・区４</t>
  </si>
  <si>
    <t>同援夜増２．５・基礎・区４</t>
  </si>
  <si>
    <t>同援夜増２．５・基礎・２人・区４</t>
  </si>
  <si>
    <t>同援夜増２．５・盲ろう・区４</t>
  </si>
  <si>
    <t>同援夜増２．５・２人・盲ろう・区４</t>
  </si>
  <si>
    <t>AV25</t>
  </si>
  <si>
    <t>同援夜増２．５・基礎・盲ろう・区４</t>
  </si>
  <si>
    <t>AV26</t>
  </si>
  <si>
    <t>同援夜増２．５・基礎・２人・盲ろう・区４</t>
  </si>
  <si>
    <t>AV27</t>
  </si>
  <si>
    <t>同援夜増３．０</t>
  </si>
  <si>
    <t>ヘ　夜間増分</t>
    <phoneticPr fontId="1"/>
  </si>
  <si>
    <t>AV28</t>
  </si>
  <si>
    <t>同援夜増３．０・２人</t>
  </si>
  <si>
    <t>AV29</t>
  </si>
  <si>
    <t>同援夜増３．０・基礎</t>
  </si>
  <si>
    <t>AV30</t>
  </si>
  <si>
    <t>同援夜増３．０・基礎・２人</t>
  </si>
  <si>
    <t>AV31</t>
  </si>
  <si>
    <t>同援夜増３．０・盲ろう</t>
  </si>
  <si>
    <t>AV32</t>
  </si>
  <si>
    <t>同援夜増３．０・２人・盲ろう</t>
  </si>
  <si>
    <t>AV33</t>
  </si>
  <si>
    <t>同援夜増３．０・基礎・盲ろう</t>
  </si>
  <si>
    <t>AV34</t>
  </si>
  <si>
    <t>同援夜増３．０・基礎・２人・盲ろう</t>
  </si>
  <si>
    <t>AV35</t>
  </si>
  <si>
    <t>同援夜増３．０・区３</t>
  </si>
  <si>
    <t>AV36</t>
  </si>
  <si>
    <t>同援夜増３．０・２人・区３</t>
  </si>
  <si>
    <t>AV37</t>
  </si>
  <si>
    <t>同援夜増３．０・基礎・区３</t>
  </si>
  <si>
    <t>AV38</t>
  </si>
  <si>
    <t>同援夜増３．０・基礎・２人・区３</t>
  </si>
  <si>
    <t>AV39</t>
  </si>
  <si>
    <t>同援夜増３．０・盲ろう・区３</t>
  </si>
  <si>
    <t>AV40</t>
  </si>
  <si>
    <t>同援夜増３．０・２人・盲ろう・区３</t>
  </si>
  <si>
    <t>同援夜増３．０・基礎・盲ろう・区３</t>
  </si>
  <si>
    <t>同援夜増３．０・基礎・２人・盲ろう・区３</t>
  </si>
  <si>
    <t>同援夜増３．０・区４</t>
  </si>
  <si>
    <t>同援夜増３．０・２人・区４</t>
  </si>
  <si>
    <t>AV45</t>
  </si>
  <si>
    <t>同援夜増３．０・基礎・区４</t>
  </si>
  <si>
    <t>AV46</t>
  </si>
  <si>
    <t>同援夜増３．０・基礎・２人・区４</t>
  </si>
  <si>
    <t>AV47</t>
  </si>
  <si>
    <t>同援夜増３．０・盲ろう・区４</t>
  </si>
  <si>
    <t>AV48</t>
  </si>
  <si>
    <t>同援夜増３．０・２人・盲ろう・区４</t>
  </si>
  <si>
    <t>AV49</t>
  </si>
  <si>
    <t>同援夜増３．０・基礎・盲ろう・区４</t>
  </si>
  <si>
    <t>AV50</t>
  </si>
  <si>
    <t>同援夜増３．０・基礎・２人・盲ろう・区４</t>
  </si>
  <si>
    <t>AV51</t>
  </si>
  <si>
    <t>同援夜増３．５</t>
  </si>
  <si>
    <t>ト　夜間増分</t>
    <phoneticPr fontId="1"/>
  </si>
  <si>
    <t>AV52</t>
  </si>
  <si>
    <t>同援夜増３．５・２人</t>
  </si>
  <si>
    <t>AV53</t>
  </si>
  <si>
    <t>同援夜増３．５・基礎</t>
  </si>
  <si>
    <t>AV54</t>
  </si>
  <si>
    <t>同援夜増３．５・基礎・２人</t>
  </si>
  <si>
    <t>AV55</t>
  </si>
  <si>
    <t>同援夜増３．５・盲ろう</t>
  </si>
  <si>
    <t>AV56</t>
  </si>
  <si>
    <t>同援夜増３．５・２人・盲ろう</t>
  </si>
  <si>
    <t>AV57</t>
  </si>
  <si>
    <t>同援夜増３．５・基礎・盲ろう</t>
  </si>
  <si>
    <t>AV58</t>
  </si>
  <si>
    <t>同援夜増３．５・基礎・２人・盲ろう</t>
  </si>
  <si>
    <t>AV59</t>
  </si>
  <si>
    <t>同援夜増３．５・区３</t>
  </si>
  <si>
    <t>AV60</t>
  </si>
  <si>
    <t>同援夜増３．５・２人・区３</t>
  </si>
  <si>
    <t>同援夜増３．５・基礎・区３</t>
  </si>
  <si>
    <t>同援夜増３．５・基礎・２人・区３</t>
  </si>
  <si>
    <t>同援夜増３．５・盲ろう・区３</t>
  </si>
  <si>
    <t>同援夜増３．５・２人・盲ろう・区３</t>
  </si>
  <si>
    <t>AV65</t>
  </si>
  <si>
    <t>同援夜増３．５・基礎・盲ろう・区３</t>
  </si>
  <si>
    <t>AV66</t>
  </si>
  <si>
    <t>同援夜増３．５・基礎・２人・盲ろう・区３</t>
  </si>
  <si>
    <t>AV67</t>
  </si>
  <si>
    <t>同援夜増３．５・区４</t>
  </si>
  <si>
    <t>AV68</t>
  </si>
  <si>
    <t>同援夜増３．５・２人・区４</t>
  </si>
  <si>
    <t>AV69</t>
  </si>
  <si>
    <t>同援夜増３．５・基礎・区４</t>
  </si>
  <si>
    <t>AV70</t>
  </si>
  <si>
    <t>同援夜増３．５・基礎・２人・区４</t>
  </si>
  <si>
    <t>AV71</t>
  </si>
  <si>
    <t>同援夜増３．５・盲ろう・区４</t>
  </si>
  <si>
    <t>AV72</t>
  </si>
  <si>
    <t>同援夜増３．５・２人・盲ろう・区４</t>
  </si>
  <si>
    <t>AV73</t>
  </si>
  <si>
    <t>同援夜増３．５・基礎・盲ろう・区４</t>
  </si>
  <si>
    <t>AV74</t>
  </si>
  <si>
    <t>同援夜増３．５・基礎・２人・盲ろう・区４</t>
  </si>
  <si>
    <t>AV75</t>
  </si>
  <si>
    <t>同援夜増４．０</t>
  </si>
  <si>
    <t>チ　夜間増分</t>
    <phoneticPr fontId="1"/>
  </si>
  <si>
    <t>AV76</t>
  </si>
  <si>
    <t>同援夜増４．０・２人</t>
  </si>
  <si>
    <t>AV77</t>
  </si>
  <si>
    <t>同援夜増４．０・基礎</t>
  </si>
  <si>
    <t>AV78</t>
  </si>
  <si>
    <t>同援夜増４．０・基礎・２人</t>
  </si>
  <si>
    <t>AV79</t>
  </si>
  <si>
    <t>同援夜増４．０・盲ろう</t>
  </si>
  <si>
    <t>AV80</t>
  </si>
  <si>
    <t>同援夜増４．０・２人・盲ろう</t>
  </si>
  <si>
    <t>同援夜増４．０・基礎・盲ろう</t>
  </si>
  <si>
    <t>同援夜増４．０・基礎・２人・盲ろう</t>
  </si>
  <si>
    <t>同援夜増４．０・区３</t>
  </si>
  <si>
    <t>同援夜増４．０・２人・区３</t>
  </si>
  <si>
    <t>AV85</t>
  </si>
  <si>
    <t>同援夜増４．０・基礎・区３</t>
  </si>
  <si>
    <t>AV86</t>
  </si>
  <si>
    <t>同援夜増４．０・基礎・２人・区３</t>
  </si>
  <si>
    <t>AV87</t>
  </si>
  <si>
    <t>同援夜増４．０・盲ろう・区３</t>
  </si>
  <si>
    <t>AV88</t>
  </si>
  <si>
    <t>同援夜増４．０・２人・盲ろう・区３</t>
  </si>
  <si>
    <t>AV89</t>
  </si>
  <si>
    <t>同援夜増４．０・基礎・盲ろう・区３</t>
  </si>
  <si>
    <t>AV90</t>
  </si>
  <si>
    <t>同援夜増４．０・基礎・２人・盲ろう・区３</t>
  </si>
  <si>
    <t>AV91</t>
  </si>
  <si>
    <t>同援夜増４．０・区４</t>
  </si>
  <si>
    <t>AV92</t>
  </si>
  <si>
    <t>同援夜増４．０・２人・区４</t>
  </si>
  <si>
    <t>AV93</t>
  </si>
  <si>
    <t>同援夜増４．０・基礎・区４</t>
  </si>
  <si>
    <t>AV94</t>
  </si>
  <si>
    <t>同援夜増４．０・基礎・２人・区４</t>
  </si>
  <si>
    <t>AV95</t>
  </si>
  <si>
    <t>同援夜増４．０・盲ろう・区４</t>
  </si>
  <si>
    <t>AV96</t>
  </si>
  <si>
    <t>同援夜増４．０・２人・盲ろう・区４</t>
  </si>
  <si>
    <t>AV97</t>
  </si>
  <si>
    <t>同援夜増４．０・基礎・盲ろう・区４</t>
  </si>
  <si>
    <t>AV98</t>
  </si>
  <si>
    <t>同援夜増４．０・基礎・２人・盲ろう・区４</t>
  </si>
  <si>
    <t>AV99</t>
  </si>
  <si>
    <t>同援夜増４．５</t>
  </si>
  <si>
    <t>リ　夜間増分</t>
    <phoneticPr fontId="1"/>
  </si>
  <si>
    <t>AW00</t>
  </si>
  <si>
    <t>同援夜増４．５・２人</t>
  </si>
  <si>
    <t>同援夜増４．５・基礎</t>
  </si>
  <si>
    <t>同援夜増４．５・基礎・２人</t>
  </si>
  <si>
    <t>同援夜増４．５・盲ろう</t>
  </si>
  <si>
    <t>同援夜増４．５・２人・盲ろう</t>
  </si>
  <si>
    <t>AW05</t>
  </si>
  <si>
    <t>同援夜増４．５・基礎・盲ろう</t>
  </si>
  <si>
    <t>AW06</t>
  </si>
  <si>
    <t>同援夜増４．５・基礎・２人・盲ろう</t>
  </si>
  <si>
    <t>AW07</t>
  </si>
  <si>
    <t>同援夜増４．５・区３</t>
  </si>
  <si>
    <t>AW08</t>
  </si>
  <si>
    <t>同援夜増４．５・２人・区３</t>
  </si>
  <si>
    <t>AW09</t>
  </si>
  <si>
    <t>同援夜増４．５・基礎・区３</t>
  </si>
  <si>
    <t>AW10</t>
  </si>
  <si>
    <t>同援夜増４．５・基礎・２人・区３</t>
  </si>
  <si>
    <t>AW11</t>
  </si>
  <si>
    <t>同援夜増４．５・盲ろう・区３</t>
  </si>
  <si>
    <t>AW12</t>
  </si>
  <si>
    <t>同援夜増４．５・２人・盲ろう・区３</t>
  </si>
  <si>
    <t>AW13</t>
  </si>
  <si>
    <t>同援夜増４．５・基礎・盲ろう・区３</t>
  </si>
  <si>
    <t>AW14</t>
  </si>
  <si>
    <t>同援夜増４．５・基礎・２人・盲ろう・区３</t>
  </si>
  <si>
    <t>AW15</t>
  </si>
  <si>
    <t>同援夜増４．５・区４</t>
  </si>
  <si>
    <t>AW16</t>
  </si>
  <si>
    <t>同援夜増４．５・２人・区４</t>
  </si>
  <si>
    <t>AW17</t>
  </si>
  <si>
    <t>同援夜増４．５・基礎・区４</t>
  </si>
  <si>
    <t>AW18</t>
  </si>
  <si>
    <t>同援夜増４．５・基礎・２人・区４</t>
  </si>
  <si>
    <t>AW19</t>
  </si>
  <si>
    <t>同援夜増４．５・盲ろう・区４</t>
  </si>
  <si>
    <t>AW20</t>
  </si>
  <si>
    <t>同援夜増４．５・２人・盲ろう・区４</t>
  </si>
  <si>
    <t>同援夜増４．５・基礎・盲ろう・区４</t>
  </si>
  <si>
    <t>同援夜増４．５・基礎・２人・盲ろう・区４</t>
  </si>
  <si>
    <t>（深夜増分）</t>
    <phoneticPr fontId="1"/>
  </si>
  <si>
    <t>同援深増０．５</t>
  </si>
  <si>
    <t>イ　深夜増分</t>
    <phoneticPr fontId="1"/>
  </si>
  <si>
    <t>同援深増０．５・２人</t>
  </si>
  <si>
    <t>AW25</t>
  </si>
  <si>
    <t>同援深増０．５・基礎</t>
  </si>
  <si>
    <t>AW26</t>
  </si>
  <si>
    <t>同援深増０．５・基礎・２人</t>
  </si>
  <si>
    <t>AW27</t>
  </si>
  <si>
    <t>同援深増０．５・盲ろう</t>
  </si>
  <si>
    <t>AW28</t>
  </si>
  <si>
    <t>同援深増０．５・２人・盲ろう</t>
  </si>
  <si>
    <t>AW29</t>
  </si>
  <si>
    <t>同援深増０．５・基礎・盲ろう</t>
  </si>
  <si>
    <t>AW30</t>
  </si>
  <si>
    <t>同援深増０．５・基礎・２人・盲ろう</t>
  </si>
  <si>
    <t>AW31</t>
  </si>
  <si>
    <t>同援深増０．５・区３</t>
  </si>
  <si>
    <t>AW32</t>
  </si>
  <si>
    <t>同援深増０．５・２人・区３</t>
  </si>
  <si>
    <t>AW33</t>
  </si>
  <si>
    <t>同援深増０．５・基礎・区３</t>
  </si>
  <si>
    <t>AW34</t>
  </si>
  <si>
    <t>同援深増０．５・基礎・２人・区３</t>
  </si>
  <si>
    <t>AW35</t>
  </si>
  <si>
    <t>同援深増０．５・盲ろう・区３</t>
  </si>
  <si>
    <t>AW36</t>
  </si>
  <si>
    <t>同援深増０．５・２人・盲ろう・区３</t>
  </si>
  <si>
    <t>AW37</t>
  </si>
  <si>
    <t>同援深増０．５・基礎・盲ろう・区３</t>
  </si>
  <si>
    <t>AW38</t>
  </si>
  <si>
    <t>同援深増０．５・基礎・２人・盲ろう・区３</t>
  </si>
  <si>
    <t>AW39</t>
  </si>
  <si>
    <t>同援深増０．５・区４</t>
  </si>
  <si>
    <t>AW40</t>
  </si>
  <si>
    <t>同援深増０．５・２人・区４</t>
  </si>
  <si>
    <t>同援深増０．５・基礎・区４</t>
  </si>
  <si>
    <t>同援深増０．５・基礎・２人・区４</t>
  </si>
  <si>
    <t>同援深増０．５・盲ろう・区４</t>
  </si>
  <si>
    <t>同援深増０．５・２人・盲ろう・区４</t>
  </si>
  <si>
    <t>AW45</t>
  </si>
  <si>
    <t>同援深増０．５・基礎・盲ろう・区４</t>
  </si>
  <si>
    <t>AW46</t>
  </si>
  <si>
    <t>同援深増０．５・基礎・２人・盲ろう・区４</t>
  </si>
  <si>
    <t>AW47</t>
  </si>
  <si>
    <t>同援深増１．０</t>
  </si>
  <si>
    <t>ロ　深夜増分</t>
    <phoneticPr fontId="1"/>
  </si>
  <si>
    <t>AW48</t>
  </si>
  <si>
    <t>同援深増１．０・２人</t>
  </si>
  <si>
    <t>AW49</t>
  </si>
  <si>
    <t>同援深増１．０・基礎</t>
  </si>
  <si>
    <t>AW50</t>
  </si>
  <si>
    <t>同援深増１．０・基礎・２人</t>
  </si>
  <si>
    <t>AW51</t>
  </si>
  <si>
    <t>同援深増１．０・盲ろう</t>
  </si>
  <si>
    <t>AW52</t>
  </si>
  <si>
    <t>同援深増１．０・２人・盲ろう</t>
  </si>
  <si>
    <t>AW53</t>
  </si>
  <si>
    <t>同援深増１．０・基礎・盲ろう</t>
  </si>
  <si>
    <t>AW54</t>
  </si>
  <si>
    <t>同援深増１．０・基礎・２人・盲ろう</t>
  </si>
  <si>
    <t>AW55</t>
  </si>
  <si>
    <t>同援深増１．０・区３</t>
  </si>
  <si>
    <t>AW56</t>
  </si>
  <si>
    <t>同援深増１．０・２人・区３</t>
  </si>
  <si>
    <t>AW57</t>
  </si>
  <si>
    <t>同援深増１．０・基礎・区３</t>
  </si>
  <si>
    <t>AW58</t>
  </si>
  <si>
    <t>同援深増１．０・基礎・２人・区３</t>
  </si>
  <si>
    <t>AW59</t>
  </si>
  <si>
    <t>同援深増１．０・盲ろう・区３</t>
  </si>
  <si>
    <t>AW60</t>
  </si>
  <si>
    <t>同援深増１．０・２人・盲ろう・区３</t>
  </si>
  <si>
    <t>同援深増１．０・基礎・盲ろう・区３</t>
  </si>
  <si>
    <t>同援深増１．０・基礎・２人・盲ろう・区３</t>
  </si>
  <si>
    <t>同援深増１．０・区４</t>
  </si>
  <si>
    <t>同援深増１．０・２人・区４</t>
  </si>
  <si>
    <t>AW65</t>
  </si>
  <si>
    <t>同援深増１．０・基礎・区４</t>
  </si>
  <si>
    <t>AW66</t>
  </si>
  <si>
    <t>同援深増１．０・基礎・２人・区４</t>
  </si>
  <si>
    <t>AW67</t>
  </si>
  <si>
    <t>同援深増１．０・盲ろう・区４</t>
  </si>
  <si>
    <t>AW68</t>
  </si>
  <si>
    <t>同援深増１．０・２人・盲ろう・区４</t>
  </si>
  <si>
    <t>AW69</t>
  </si>
  <si>
    <t>同援深増１．０・基礎・盲ろう・区４</t>
  </si>
  <si>
    <t>AW70</t>
  </si>
  <si>
    <t>同援深増１．０・基礎・２人・盲ろう・区４</t>
  </si>
  <si>
    <t>AW71</t>
  </si>
  <si>
    <t>同援深増１．５</t>
  </si>
  <si>
    <t>ハ　深夜増分</t>
    <phoneticPr fontId="1"/>
  </si>
  <si>
    <t>AW72</t>
  </si>
  <si>
    <t>同援深増１．５・２人</t>
  </si>
  <si>
    <t>AW73</t>
  </si>
  <si>
    <t>同援深増１．５・基礎</t>
  </si>
  <si>
    <t>AW74</t>
  </si>
  <si>
    <t>同援深増１．５・基礎・２人</t>
  </si>
  <si>
    <t>AW75</t>
  </si>
  <si>
    <t>同援深増１．５・盲ろう</t>
  </si>
  <si>
    <t>AW76</t>
  </si>
  <si>
    <t>同援深増１．５・２人・盲ろう</t>
  </si>
  <si>
    <t>AW77</t>
  </si>
  <si>
    <t>同援深増１．５・基礎・盲ろう</t>
  </si>
  <si>
    <t>AW78</t>
  </si>
  <si>
    <t>同援深増１．５・基礎・２人・盲ろう</t>
  </si>
  <si>
    <t>AW79</t>
  </si>
  <si>
    <t>同援深増１．５・区３</t>
  </si>
  <si>
    <t>AW80</t>
  </si>
  <si>
    <t>同援深増１．５・２人・区３</t>
  </si>
  <si>
    <t>同援深増１．５・基礎・区３</t>
  </si>
  <si>
    <t>同援深増１．５・基礎・２人・区３</t>
  </si>
  <si>
    <t>同援深増１．５・盲ろう・区３</t>
  </si>
  <si>
    <t>同援深増１．５・２人・盲ろう・区３</t>
  </si>
  <si>
    <t>AW85</t>
  </si>
  <si>
    <t>同援深増１．５・基礎・盲ろう・区３</t>
  </si>
  <si>
    <t>AW86</t>
  </si>
  <si>
    <t>同援深増１．５・基礎・２人・盲ろう・区３</t>
  </si>
  <si>
    <t>AW87</t>
  </si>
  <si>
    <t>同援深増１．５・区４</t>
  </si>
  <si>
    <t>AW88</t>
  </si>
  <si>
    <t>同援深増１．５・２人・区４</t>
  </si>
  <si>
    <t>AW89</t>
  </si>
  <si>
    <t>同援深増１．５・基礎・区４</t>
  </si>
  <si>
    <t>AW90</t>
  </si>
  <si>
    <t>同援深増１．５・基礎・２人・区４</t>
  </si>
  <si>
    <t>AW91</t>
  </si>
  <si>
    <t>同援深増１．５・盲ろう・区４</t>
  </si>
  <si>
    <t>AW92</t>
  </si>
  <si>
    <t>同援深増１．５・２人・盲ろう・区４</t>
  </si>
  <si>
    <t>AW93</t>
  </si>
  <si>
    <t>同援深増１．５・基礎・盲ろう・区４</t>
  </si>
  <si>
    <t>AW94</t>
  </si>
  <si>
    <t>同援深増１．５・基礎・２人・盲ろう・区４</t>
  </si>
  <si>
    <t>AW95</t>
  </si>
  <si>
    <t>同援深増２．０</t>
  </si>
  <si>
    <t>ニ　深夜増分</t>
    <phoneticPr fontId="1"/>
  </si>
  <si>
    <t>AW96</t>
  </si>
  <si>
    <t>同援深増２．０・２人</t>
  </si>
  <si>
    <t>AW97</t>
  </si>
  <si>
    <t>同援深増２．０・基礎</t>
  </si>
  <si>
    <t>AW98</t>
  </si>
  <si>
    <t>同援深増２．０・基礎・２人</t>
  </si>
  <si>
    <t>AW99</t>
  </si>
  <si>
    <t>同援深増２．０・盲ろう</t>
  </si>
  <si>
    <t>AX00</t>
  </si>
  <si>
    <t>同援深増２．０・２人・盲ろう</t>
  </si>
  <si>
    <t>同援深増２．０・基礎・盲ろう</t>
  </si>
  <si>
    <t>同援深増２．０・基礎・２人・盲ろう</t>
  </si>
  <si>
    <t>同援深増２．０・区３</t>
  </si>
  <si>
    <t>同援深増２．０・２人・区３</t>
  </si>
  <si>
    <t>AX05</t>
  </si>
  <si>
    <t>同援深増２．０・基礎・区３</t>
  </si>
  <si>
    <t>AX06</t>
  </si>
  <si>
    <t>同援深増２．０・基礎・２人・区３</t>
  </si>
  <si>
    <t>AX07</t>
  </si>
  <si>
    <t>同援深増２．０・盲ろう・区３</t>
  </si>
  <si>
    <t>AX08</t>
  </si>
  <si>
    <t>同援深増２．０・２人・盲ろう・区３</t>
  </si>
  <si>
    <t>AX09</t>
  </si>
  <si>
    <t>同援深増２．０・基礎・盲ろう・区３</t>
  </si>
  <si>
    <t>AX10</t>
  </si>
  <si>
    <t>同援深増２．０・基礎・２人・盲ろう・区３</t>
  </si>
  <si>
    <t>AX11</t>
  </si>
  <si>
    <t>同援深増２．０・区４</t>
  </si>
  <si>
    <t>AX12</t>
  </si>
  <si>
    <t>同援深増２．０・２人・区４</t>
  </si>
  <si>
    <t>AX13</t>
  </si>
  <si>
    <t>同援深増２．０・基礎・区４</t>
  </si>
  <si>
    <t>AX14</t>
  </si>
  <si>
    <t>同援深増２．０・基礎・２人・区４</t>
  </si>
  <si>
    <t>AX15</t>
  </si>
  <si>
    <t>同援深増２．０・盲ろう・区４</t>
  </si>
  <si>
    <t>AX16</t>
  </si>
  <si>
    <t>同援深増２．０・２人・盲ろう・区４</t>
  </si>
  <si>
    <t>AX17</t>
  </si>
  <si>
    <t>同援深増２．０・基礎・盲ろう・区４</t>
  </si>
  <si>
    <t>AX18</t>
  </si>
  <si>
    <t>同援深増２．０・基礎・２人・盲ろう・区４</t>
  </si>
  <si>
    <t>AX19</t>
  </si>
  <si>
    <t>同援深増２．５</t>
  </si>
  <si>
    <t>ホ　深夜増分</t>
    <phoneticPr fontId="1"/>
  </si>
  <si>
    <t>AX20</t>
  </si>
  <si>
    <t>同援深増２．５・２人</t>
  </si>
  <si>
    <t>同援深増２．５・基礎</t>
  </si>
  <si>
    <t>同援深増２．５・基礎・２人</t>
  </si>
  <si>
    <t>同援深増２．５・盲ろう</t>
  </si>
  <si>
    <t>同援深増２．５・２人・盲ろう</t>
  </si>
  <si>
    <t>AX25</t>
  </si>
  <si>
    <t>同援深増２．５・基礎・盲ろう</t>
  </si>
  <si>
    <t>AX26</t>
  </si>
  <si>
    <t>同援深増２．５・基礎・２人・盲ろう</t>
  </si>
  <si>
    <t>AX27</t>
  </si>
  <si>
    <t>同援深増２．５・区３</t>
  </si>
  <si>
    <t>AX28</t>
  </si>
  <si>
    <t>同援深増２．５・２人・区３</t>
  </si>
  <si>
    <t>AX29</t>
  </si>
  <si>
    <t>同援深増２．５・基礎・区３</t>
  </si>
  <si>
    <t>AX30</t>
  </si>
  <si>
    <t>同援深増２．５・基礎・２人・区３</t>
  </si>
  <si>
    <t>AX31</t>
  </si>
  <si>
    <t>同援深増２．５・盲ろう・区３</t>
  </si>
  <si>
    <t>AX32</t>
  </si>
  <si>
    <t>同援深増２．５・２人・盲ろう・区３</t>
  </si>
  <si>
    <t>AX33</t>
  </si>
  <si>
    <t>同援深増２．５・基礎・盲ろう・区３</t>
  </si>
  <si>
    <t>AX34</t>
  </si>
  <si>
    <t>同援深増２．５・基礎・２人・盲ろう・区３</t>
  </si>
  <si>
    <t>AX35</t>
  </si>
  <si>
    <t>同援深増２．５・区４</t>
  </si>
  <si>
    <t>AX36</t>
  </si>
  <si>
    <t>同援深増２．５・２人・区４</t>
  </si>
  <si>
    <t>AX37</t>
  </si>
  <si>
    <t>同援深増２．５・基礎・区４</t>
  </si>
  <si>
    <t>AX38</t>
  </si>
  <si>
    <t>同援深増２．５・基礎・２人・区４</t>
  </si>
  <si>
    <t>AX39</t>
  </si>
  <si>
    <t>同援深増２．５・盲ろう・区４</t>
  </si>
  <si>
    <t>AX40</t>
  </si>
  <si>
    <t>同援深増２．５・２人・盲ろう・区４</t>
  </si>
  <si>
    <t>同援深増２．５・基礎・盲ろう・区４</t>
  </si>
  <si>
    <t>同援深増２．５・基礎・２人・盲ろう・区４</t>
  </si>
  <si>
    <t>同援深増３．０</t>
  </si>
  <si>
    <t>ヘ　深夜増分</t>
    <phoneticPr fontId="1"/>
  </si>
  <si>
    <t>同援深増３．０・２人</t>
  </si>
  <si>
    <t>AX45</t>
  </si>
  <si>
    <t>同援深増３．０・基礎</t>
  </si>
  <si>
    <t>AX46</t>
  </si>
  <si>
    <t>同援深増３．０・基礎・２人</t>
  </si>
  <si>
    <t>AX47</t>
  </si>
  <si>
    <t>同援深増３．０・盲ろう</t>
  </si>
  <si>
    <t>AX48</t>
  </si>
  <si>
    <t>同援深増３．０・２人・盲ろう</t>
  </si>
  <si>
    <t>AX49</t>
  </si>
  <si>
    <t>同援深増３．０・基礎・盲ろう</t>
  </si>
  <si>
    <t>AX50</t>
  </si>
  <si>
    <t>同援深増３．０・基礎・２人・盲ろう</t>
  </si>
  <si>
    <t>AX51</t>
  </si>
  <si>
    <t>同援深増３．０・区３</t>
  </si>
  <si>
    <t>AX52</t>
  </si>
  <si>
    <t>同援深増３．０・２人・区３</t>
  </si>
  <si>
    <t>AX53</t>
  </si>
  <si>
    <t>同援深増３．０・基礎・区３</t>
  </si>
  <si>
    <t>AX54</t>
  </si>
  <si>
    <t>同援深増３．０・基礎・２人・区３</t>
  </si>
  <si>
    <t>AX55</t>
  </si>
  <si>
    <t>同援深増３．０・盲ろう・区３</t>
  </si>
  <si>
    <t>AX56</t>
  </si>
  <si>
    <t>同援深増３．０・２人・盲ろう・区３</t>
  </si>
  <si>
    <t>AX57</t>
  </si>
  <si>
    <t>同援深増３．０・基礎・盲ろう・区３</t>
  </si>
  <si>
    <t>AX58</t>
  </si>
  <si>
    <t>同援深増３．０・基礎・２人・盲ろう・区３</t>
  </si>
  <si>
    <t>AX59</t>
  </si>
  <si>
    <t>同援深増３．０・区４</t>
  </si>
  <si>
    <t>AX60</t>
  </si>
  <si>
    <t>同援深増３．０・２人・区４</t>
  </si>
  <si>
    <t>同援深増３．０・基礎・区４</t>
  </si>
  <si>
    <t>同援深増３．０・基礎・２人・区４</t>
  </si>
  <si>
    <t>同援深増３．０・盲ろう・区４</t>
  </si>
  <si>
    <t>同援深増３．０・２人・盲ろう・区４</t>
  </si>
  <si>
    <t>AX65</t>
  </si>
  <si>
    <t>同援深増３．０・基礎・盲ろう・区４</t>
  </si>
  <si>
    <t>AX66</t>
  </si>
  <si>
    <t>同援深増３．０・基礎・２人・盲ろう・区４</t>
  </si>
  <si>
    <t>AX67</t>
  </si>
  <si>
    <t>同援深増３．５</t>
  </si>
  <si>
    <t>ト　深夜増分</t>
    <phoneticPr fontId="1"/>
  </si>
  <si>
    <t>AX68</t>
  </si>
  <si>
    <t>同援深増３．５・２人</t>
  </si>
  <si>
    <t>AX69</t>
  </si>
  <si>
    <t>同援深増３．５・基礎</t>
  </si>
  <si>
    <t>AX70</t>
  </si>
  <si>
    <t>同援深増３．５・基礎・２人</t>
  </si>
  <si>
    <t>AX71</t>
  </si>
  <si>
    <t>同援深増３．５・盲ろう</t>
  </si>
  <si>
    <t>AX72</t>
  </si>
  <si>
    <t>同援深増３．５・２人・盲ろう</t>
  </si>
  <si>
    <t>AX73</t>
  </si>
  <si>
    <t>同援深増３．５・基礎・盲ろう</t>
  </si>
  <si>
    <t>AX74</t>
  </si>
  <si>
    <t>同援深増３．５・基礎・２人・盲ろう</t>
  </si>
  <si>
    <t>AX75</t>
  </si>
  <si>
    <t>同援深増３．５・区３</t>
  </si>
  <si>
    <t>AX76</t>
  </si>
  <si>
    <t>同援深増３．５・２人・区３</t>
  </si>
  <si>
    <t>AX77</t>
  </si>
  <si>
    <t>同援深増３．５・基礎・区３</t>
  </si>
  <si>
    <t>AX78</t>
  </si>
  <si>
    <t>同援深増３．５・基礎・２人・区３</t>
  </si>
  <si>
    <t>AX79</t>
  </si>
  <si>
    <t>同援深増３．５・盲ろう・区３</t>
  </si>
  <si>
    <t>AX80</t>
  </si>
  <si>
    <t>同援深増３．５・２人・盲ろう・区３</t>
  </si>
  <si>
    <t>同援深増３．５・基礎・盲ろう・区３</t>
  </si>
  <si>
    <t>同援深増３．５・基礎・２人・盲ろう・区３</t>
  </si>
  <si>
    <t>同援深増３．５・区４</t>
  </si>
  <si>
    <t>同援深増３．５・２人・区４</t>
  </si>
  <si>
    <t>AX85</t>
  </si>
  <si>
    <t>同援深増３．５・基礎・区４</t>
  </si>
  <si>
    <t>AX86</t>
  </si>
  <si>
    <t>同援深増３．５・基礎・２人・区４</t>
  </si>
  <si>
    <t>AX87</t>
  </si>
  <si>
    <t>同援深増３．５・盲ろう・区４</t>
  </si>
  <si>
    <t>AX88</t>
  </si>
  <si>
    <t>同援深増３．５・２人・盲ろう・区４</t>
  </si>
  <si>
    <t>AX89</t>
  </si>
  <si>
    <t>同援深増３．５・基礎・盲ろう・区４</t>
  </si>
  <si>
    <t>AX90</t>
  </si>
  <si>
    <t>同援深増３．５・基礎・２人・盲ろう・区４</t>
  </si>
  <si>
    <t>AX91</t>
  </si>
  <si>
    <t>同援深増４．０</t>
  </si>
  <si>
    <t>チ　深夜増分</t>
    <phoneticPr fontId="1"/>
  </si>
  <si>
    <t>AX92</t>
  </si>
  <si>
    <t>同援深増４．０・２人</t>
  </si>
  <si>
    <t>AX93</t>
  </si>
  <si>
    <t>同援深増４．０・基礎</t>
  </si>
  <si>
    <t>AX94</t>
  </si>
  <si>
    <t>同援深増４．０・基礎・２人</t>
  </si>
  <si>
    <t>AX95</t>
  </si>
  <si>
    <t>同援深増４．０・盲ろう</t>
  </si>
  <si>
    <t>AX96</t>
  </si>
  <si>
    <t>同援深増４．０・２人・盲ろう</t>
  </si>
  <si>
    <t>AX97</t>
  </si>
  <si>
    <t>同援深増４．０・基礎・盲ろう</t>
  </si>
  <si>
    <t>AX98</t>
  </si>
  <si>
    <t>同援深増４．０・基礎・２人・盲ろう</t>
  </si>
  <si>
    <t>AX99</t>
  </si>
  <si>
    <t>同援深増４．０・区３</t>
  </si>
  <si>
    <t>AY00</t>
  </si>
  <si>
    <t>同援深増４．０・２人・区３</t>
  </si>
  <si>
    <t>同援深増４．０・基礎・区３</t>
  </si>
  <si>
    <t>同援深増４．０・基礎・２人・区３</t>
  </si>
  <si>
    <t>同援深増４．０・盲ろう・区３</t>
  </si>
  <si>
    <t>同援深増４．０・２人・盲ろう・区３</t>
  </si>
  <si>
    <t>AY05</t>
  </si>
  <si>
    <t>同援深増４．０・基礎・盲ろう・区３</t>
  </si>
  <si>
    <t>AY06</t>
  </si>
  <si>
    <t>同援深増４．０・基礎・２人・盲ろう・区３</t>
  </si>
  <si>
    <t>AY07</t>
  </si>
  <si>
    <t>同援深増４．０・区４</t>
  </si>
  <si>
    <t>AY08</t>
  </si>
  <si>
    <t>同援深増４．０・２人・区４</t>
  </si>
  <si>
    <t>AY09</t>
  </si>
  <si>
    <t>同援深増４．０・基礎・区４</t>
  </si>
  <si>
    <t>AY10</t>
  </si>
  <si>
    <t>同援深増４．０・基礎・２人・区４</t>
  </si>
  <si>
    <t>AY11</t>
  </si>
  <si>
    <t>同援深増４．０・盲ろう・区４</t>
  </si>
  <si>
    <t>AY12</t>
  </si>
  <si>
    <t>同援深増４．０・２人・盲ろう・区４</t>
  </si>
  <si>
    <t>AY13</t>
  </si>
  <si>
    <t>同援深増４．０・基礎・盲ろう・区４</t>
  </si>
  <si>
    <t>AY14</t>
  </si>
  <si>
    <t>同援深増４．０・基礎・２人・盲ろう・区４</t>
  </si>
  <si>
    <t>AY15</t>
  </si>
  <si>
    <t>同援深増４．５</t>
  </si>
  <si>
    <t>リ　深夜増分</t>
    <phoneticPr fontId="1"/>
  </si>
  <si>
    <t>AY16</t>
  </si>
  <si>
    <t>同援深増４．５・２人</t>
  </si>
  <si>
    <t>AY17</t>
  </si>
  <si>
    <t>同援深増４．５・基礎</t>
  </si>
  <si>
    <t>AY18</t>
  </si>
  <si>
    <t>同援深増４．５・基礎・２人</t>
  </si>
  <si>
    <t>AY19</t>
  </si>
  <si>
    <t>同援深増４．５・盲ろう</t>
  </si>
  <si>
    <t>AY20</t>
  </si>
  <si>
    <t>同援深増４．５・２人・盲ろう</t>
  </si>
  <si>
    <t>同援深増４．５・基礎・盲ろう</t>
  </si>
  <si>
    <t>同援深増４．５・基礎・２人・盲ろう</t>
  </si>
  <si>
    <t>同援深増４．５・区３</t>
  </si>
  <si>
    <t>同援深増４．５・２人・区３</t>
  </si>
  <si>
    <t>AY25</t>
  </si>
  <si>
    <t>同援深増４．５・基礎・区３</t>
  </si>
  <si>
    <t>AY26</t>
  </si>
  <si>
    <t>同援深増４．５・基礎・２人・区３</t>
  </si>
  <si>
    <t>AY27</t>
  </si>
  <si>
    <t>同援深増４．５・盲ろう・区３</t>
  </si>
  <si>
    <t>AY28</t>
  </si>
  <si>
    <t>同援深増４．５・２人・盲ろう・区３</t>
  </si>
  <si>
    <t>AY29</t>
  </si>
  <si>
    <t>同援深増４．５・基礎・盲ろう・区３</t>
  </si>
  <si>
    <t>AY30</t>
  </si>
  <si>
    <t>同援深増４．５・基礎・２人・盲ろう・区３</t>
  </si>
  <si>
    <t>AY31</t>
  </si>
  <si>
    <t>同援深増４．５・区４</t>
  </si>
  <si>
    <t>AY32</t>
  </si>
  <si>
    <t>同援深増４．５・２人・区４</t>
  </si>
  <si>
    <t>AY33</t>
  </si>
  <si>
    <t>同援深増４．５・基礎・区４</t>
  </si>
  <si>
    <t>AY34</t>
  </si>
  <si>
    <t>同援深増４．５・基礎・２人・区４</t>
  </si>
  <si>
    <t>AY35</t>
  </si>
  <si>
    <t>同援深増４．５・盲ろう・区４</t>
  </si>
  <si>
    <t>AY36</t>
  </si>
  <si>
    <t>同援深増４．５・２人・盲ろう・区４</t>
  </si>
  <si>
    <t>AY37</t>
  </si>
  <si>
    <t>同援深増４．５・基礎・盲ろう・区４</t>
  </si>
  <si>
    <t>AY38</t>
  </si>
  <si>
    <t>同援深増４．５・基礎・２人・盲ろう・区４</t>
  </si>
  <si>
    <t>AY39</t>
  </si>
  <si>
    <t>同援深増５．０</t>
  </si>
  <si>
    <t>ヌ　深夜増分</t>
    <phoneticPr fontId="1"/>
  </si>
  <si>
    <t>AY40</t>
  </si>
  <si>
    <t>同援深増５．０・２人</t>
  </si>
  <si>
    <t>同援深増５．０・基礎</t>
  </si>
  <si>
    <t>同援深増５．０・基礎・２人</t>
  </si>
  <si>
    <t>同援深増５．０・盲ろう</t>
  </si>
  <si>
    <t>同援深増５．０・２人・盲ろう</t>
  </si>
  <si>
    <t>AY45</t>
  </si>
  <si>
    <t>同援深増５．０・基礎・盲ろう</t>
  </si>
  <si>
    <t>AY46</t>
  </si>
  <si>
    <t>同援深増５．０・基礎・２人・盲ろう</t>
  </si>
  <si>
    <t>AY47</t>
  </si>
  <si>
    <t>同援深増５．０・区３</t>
  </si>
  <si>
    <t>AY48</t>
  </si>
  <si>
    <t>同援深増５．０・２人・区３</t>
  </si>
  <si>
    <t>AY49</t>
  </si>
  <si>
    <t>同援深増５．０・基礎・区３</t>
  </si>
  <si>
    <t>AY50</t>
  </si>
  <si>
    <t>同援深増５．０・基礎・２人・区３</t>
  </si>
  <si>
    <t>AY51</t>
  </si>
  <si>
    <t>同援深増５．０・盲ろう・区３</t>
  </si>
  <si>
    <t>AY52</t>
  </si>
  <si>
    <t>同援深増５．０・２人・盲ろう・区３</t>
  </si>
  <si>
    <t>AY53</t>
  </si>
  <si>
    <t>同援深増５．０・基礎・盲ろう・区３</t>
  </si>
  <si>
    <t>AY54</t>
  </si>
  <si>
    <t>同援深増５．０・基礎・２人・盲ろう・区３</t>
  </si>
  <si>
    <t>AY55</t>
  </si>
  <si>
    <t>同援深増５．０・区４</t>
  </si>
  <si>
    <t>AY56</t>
  </si>
  <si>
    <t>同援深増５．０・２人・区４</t>
  </si>
  <si>
    <t>AY57</t>
  </si>
  <si>
    <t>同援深増５．０・基礎・区４</t>
  </si>
  <si>
    <t>AY58</t>
  </si>
  <si>
    <t>同援深増５．０・基礎・２人・区４</t>
  </si>
  <si>
    <t>AY59</t>
  </si>
  <si>
    <t>同援深増５．０・盲ろう・区４</t>
  </si>
  <si>
    <t>AY60</t>
  </si>
  <si>
    <t>同援深増５．０・２人・盲ろう・区４</t>
  </si>
  <si>
    <t>同援深増５．０・基礎・盲ろう・区４</t>
  </si>
  <si>
    <t>同援深増５．０・基礎・２人・盲ろう・区４</t>
  </si>
  <si>
    <t>同援深増５．５</t>
  </si>
  <si>
    <t>ル　深夜増分</t>
    <phoneticPr fontId="1"/>
  </si>
  <si>
    <t>同援深増５．５・２人</t>
  </si>
  <si>
    <t>AY65</t>
  </si>
  <si>
    <t>同援深増５．５・基礎</t>
  </si>
  <si>
    <t>AY66</t>
  </si>
  <si>
    <t>同援深増５．５・基礎・２人</t>
  </si>
  <si>
    <t>AY67</t>
  </si>
  <si>
    <t>同援深増５．５・盲ろう</t>
  </si>
  <si>
    <t>AY68</t>
  </si>
  <si>
    <t>同援深増５．５・２人・盲ろう</t>
  </si>
  <si>
    <t>AY69</t>
  </si>
  <si>
    <t>同援深増５．５・基礎・盲ろう</t>
  </si>
  <si>
    <t>AY70</t>
  </si>
  <si>
    <t>同援深増５．５・基礎・２人・盲ろう</t>
  </si>
  <si>
    <t>AY71</t>
  </si>
  <si>
    <t>同援深増５．５・区３</t>
  </si>
  <si>
    <t>AY72</t>
  </si>
  <si>
    <t>同援深増５．５・２人・区３</t>
  </si>
  <si>
    <t>AY73</t>
  </si>
  <si>
    <t>同援深増５．５・基礎・区３</t>
  </si>
  <si>
    <t>AY74</t>
  </si>
  <si>
    <t>同援深増５．５・基礎・２人・区３</t>
  </si>
  <si>
    <t>AY75</t>
  </si>
  <si>
    <t>同援深増５．５・盲ろう・区３</t>
  </si>
  <si>
    <t>AY76</t>
  </si>
  <si>
    <t>同援深増５．５・２人・盲ろう・区３</t>
  </si>
  <si>
    <t>AY77</t>
  </si>
  <si>
    <t>同援深増５．５・基礎・盲ろう・区３</t>
  </si>
  <si>
    <t>AY78</t>
  </si>
  <si>
    <t>同援深増５．５・基礎・２人・盲ろう・区３</t>
  </si>
  <si>
    <t>AY79</t>
  </si>
  <si>
    <t>同援深増５．５・区４</t>
  </si>
  <si>
    <t>AY80</t>
  </si>
  <si>
    <t>同援深増５．５・２人・区４</t>
  </si>
  <si>
    <t>同援深増５．５・基礎・区４</t>
  </si>
  <si>
    <t>同援深増５．５・基礎・２人・区４</t>
  </si>
  <si>
    <t>同援深増５．５・盲ろう・区４</t>
  </si>
  <si>
    <t>同援深増５．５・２人・盲ろう・区４</t>
  </si>
  <si>
    <t>AY85</t>
  </si>
  <si>
    <t>同援深増５．５・基礎・盲ろう・区４</t>
  </si>
  <si>
    <t>AY86</t>
  </si>
  <si>
    <t>同援深増５．５・基礎・２人・盲ろう・区４</t>
  </si>
  <si>
    <t>AY87</t>
  </si>
  <si>
    <t>同援深増６．０</t>
  </si>
  <si>
    <t>ヲ　深夜増分</t>
    <phoneticPr fontId="1"/>
  </si>
  <si>
    <t>AY88</t>
  </si>
  <si>
    <t>同援深増６．０・２人</t>
  </si>
  <si>
    <t>AY89</t>
  </si>
  <si>
    <t>同援深増６．０・基礎</t>
  </si>
  <si>
    <t>AY90</t>
  </si>
  <si>
    <t>同援深増６．０・基礎・２人</t>
  </si>
  <si>
    <t>AY91</t>
  </si>
  <si>
    <t>同援深増６．０・盲ろう</t>
  </si>
  <si>
    <t>AY92</t>
  </si>
  <si>
    <t>同援深増６．０・２人・盲ろう</t>
  </si>
  <si>
    <t>AY93</t>
  </si>
  <si>
    <t>同援深増６．０・基礎・盲ろう</t>
  </si>
  <si>
    <t>AY94</t>
  </si>
  <si>
    <t>同援深増６．０・基礎・２人・盲ろう</t>
  </si>
  <si>
    <t>AY95</t>
  </si>
  <si>
    <t>同援深増６．０・区３</t>
  </si>
  <si>
    <t>AY96</t>
  </si>
  <si>
    <t>同援深増６．０・２人・区３</t>
  </si>
  <si>
    <t>AY97</t>
  </si>
  <si>
    <t>同援深増６．０・基礎・区３</t>
  </si>
  <si>
    <t>AY98</t>
  </si>
  <si>
    <t>同援深増６．０・基礎・２人・区３</t>
  </si>
  <si>
    <t>AY99</t>
  </si>
  <si>
    <t>同援深増６．０・盲ろう・区３</t>
  </si>
  <si>
    <t>AZ00</t>
  </si>
  <si>
    <t>同援深増６．０・２人・盲ろう・区３</t>
  </si>
  <si>
    <t>同援深増６．０・基礎・盲ろう・区３</t>
  </si>
  <si>
    <t>同援深増６．０・基礎・２人・盲ろう・区３</t>
  </si>
  <si>
    <t>同援深増６．０・区４</t>
  </si>
  <si>
    <t>同援深増６．０・２人・区４</t>
  </si>
  <si>
    <t>AZ05</t>
  </si>
  <si>
    <t>同援深増６．０・基礎・区４</t>
  </si>
  <si>
    <t>AZ06</t>
  </si>
  <si>
    <t>同援深増６．０・基礎・２人・区４</t>
  </si>
  <si>
    <t>AZ07</t>
  </si>
  <si>
    <t>同援深増６．０・盲ろう・区４</t>
  </si>
  <si>
    <t>AZ08</t>
  </si>
  <si>
    <t>同援深増６．０・２人・盲ろう・区４</t>
  </si>
  <si>
    <t>AZ09</t>
  </si>
  <si>
    <t>同援深増６．０・基礎・盲ろう・区４</t>
  </si>
  <si>
    <t>AZ10</t>
  </si>
  <si>
    <t>同援深増６．０・基礎・２人・盲ろう・区４</t>
  </si>
  <si>
    <t>AZ11</t>
  </si>
  <si>
    <t>同援深増６．５</t>
  </si>
  <si>
    <t>ワ　深夜増分</t>
    <phoneticPr fontId="1"/>
  </si>
  <si>
    <t>AZ12</t>
  </si>
  <si>
    <t>同援深増６．５・２人</t>
  </si>
  <si>
    <t>AZ13</t>
  </si>
  <si>
    <t>同援深増６．５・基礎</t>
  </si>
  <si>
    <t>AZ14</t>
  </si>
  <si>
    <t>同援深増６．５・基礎・２人</t>
  </si>
  <si>
    <t>AZ15</t>
  </si>
  <si>
    <t>同援深増６．５・盲ろう</t>
  </si>
  <si>
    <t>AZ16</t>
  </si>
  <si>
    <t>同援深増６．５・２人・盲ろう</t>
  </si>
  <si>
    <t>AZ17</t>
  </si>
  <si>
    <t>同援深増６．５・基礎・盲ろう</t>
  </si>
  <si>
    <t>AZ18</t>
  </si>
  <si>
    <t>同援深増６．５・基礎・２人・盲ろう</t>
  </si>
  <si>
    <t>AZ19</t>
  </si>
  <si>
    <t>同援深増６．５・区３</t>
  </si>
  <si>
    <t>AZ20</t>
  </si>
  <si>
    <t>同援深増６．５・２人・区３</t>
  </si>
  <si>
    <t>同援深増６．５・基礎・区３</t>
  </si>
  <si>
    <t>同援深増６．５・基礎・２人・区３</t>
  </si>
  <si>
    <t>同援深増６．５・盲ろう・区３</t>
  </si>
  <si>
    <t>同援深増６．５・２人・盲ろう・区３</t>
  </si>
  <si>
    <t>AZ25</t>
  </si>
  <si>
    <t>同援深増６．５・基礎・盲ろう・区３</t>
  </si>
  <si>
    <t>AZ26</t>
  </si>
  <si>
    <t>同援深増６．５・基礎・２人・盲ろう・区３</t>
  </si>
  <si>
    <t>AZ27</t>
  </si>
  <si>
    <t>同援深増６．５・区４</t>
  </si>
  <si>
    <t>AZ28</t>
  </si>
  <si>
    <t>同援深増６．５・２人・区４</t>
  </si>
  <si>
    <t>AZ29</t>
  </si>
  <si>
    <t>同援深増６．５・基礎・区４</t>
  </si>
  <si>
    <t>AZ30</t>
  </si>
  <si>
    <t>同援深増６．５・基礎・２人・区４</t>
  </si>
  <si>
    <t>AZ31</t>
  </si>
  <si>
    <t>同援深増６．５・盲ろう・区４</t>
  </si>
  <si>
    <t>AZ32</t>
  </si>
  <si>
    <t>同援深増６．５・２人・盲ろう・区４</t>
  </si>
  <si>
    <t>AZ33</t>
  </si>
  <si>
    <t>同援深増６．５・基礎・盲ろう・区４</t>
  </si>
  <si>
    <t>AZ34</t>
  </si>
  <si>
    <t>同援深増６．５・基礎・２人・盲ろう・区４</t>
  </si>
  <si>
    <t>（盲ろう者向け通訳・介助員：日中のみ）</t>
    <phoneticPr fontId="1"/>
  </si>
  <si>
    <t>AZ35</t>
  </si>
  <si>
    <t>同援日０．５・通訳</t>
  </si>
  <si>
    <t>AZ36</t>
  </si>
  <si>
    <t>同援日０．５・通訳・２人</t>
  </si>
  <si>
    <t>AZ37</t>
  </si>
  <si>
    <t>同援日０．５・通訳・盲ろう</t>
  </si>
  <si>
    <t>AZ38</t>
  </si>
  <si>
    <t>同援日０．５・通訳・２人・盲ろう</t>
  </si>
  <si>
    <t>AZ39</t>
  </si>
  <si>
    <t>同援日０．５・通訳・区３</t>
  </si>
  <si>
    <t>AZ40</t>
  </si>
  <si>
    <t>同援日０．５・通訳・２人・区３</t>
  </si>
  <si>
    <t>盲ろう者向け通訳・介助員により</t>
  </si>
  <si>
    <t>同援日０．５・通訳・盲ろう・区３</t>
  </si>
  <si>
    <t>行われる場合</t>
  </si>
  <si>
    <t>同援日０．５・通訳・２人・盲ろう・区３</t>
  </si>
  <si>
    <t>同援日０．５・通訳・区４</t>
  </si>
  <si>
    <t>同援日０．５・通訳・２人・区４</t>
  </si>
  <si>
    <t>AZ45</t>
  </si>
  <si>
    <t>同援日０．５・通訳・盲ろう・区４</t>
  </si>
  <si>
    <t>AZ46</t>
  </si>
  <si>
    <t>同援日０．５・通訳・２人・盲ろう・区４</t>
  </si>
  <si>
    <t>AZ47</t>
  </si>
  <si>
    <t>同援日１．０・通訳</t>
  </si>
  <si>
    <t>AZ48</t>
  </si>
  <si>
    <t>同援日１．０・通訳・２人</t>
  </si>
  <si>
    <t>AZ49</t>
  </si>
  <si>
    <t>同援日１．０・通訳・盲ろう</t>
  </si>
  <si>
    <t>AZ50</t>
  </si>
  <si>
    <t>同援日１．０・通訳・２人・盲ろう</t>
  </si>
  <si>
    <t>AZ51</t>
  </si>
  <si>
    <t>同援日１．０・通訳・区３</t>
  </si>
  <si>
    <t>AZ52</t>
  </si>
  <si>
    <t>同援日１．０・通訳・２人・区３</t>
  </si>
  <si>
    <t>AZ53</t>
  </si>
  <si>
    <t>同援日１．０・通訳・盲ろう・区３</t>
  </si>
  <si>
    <t>AZ54</t>
  </si>
  <si>
    <t>同援日１．０・通訳・２人・盲ろう・区３</t>
  </si>
  <si>
    <t>AZ55</t>
  </si>
  <si>
    <t>同援日１．０・通訳・区４</t>
  </si>
  <si>
    <t>AZ56</t>
  </si>
  <si>
    <t>同援日１．０・通訳・２人・区４</t>
  </si>
  <si>
    <t>AZ57</t>
  </si>
  <si>
    <t>同援日１．０・通訳・盲ろう・区４</t>
  </si>
  <si>
    <t>AZ58</t>
  </si>
  <si>
    <t>同援日１．０・通訳・２人・盲ろう・区４</t>
  </si>
  <si>
    <t>AZ59</t>
  </si>
  <si>
    <t>同援日１．５・通訳</t>
  </si>
  <si>
    <t>AZ60</t>
  </si>
  <si>
    <t>同援日１．５・通訳・２人</t>
  </si>
  <si>
    <t>同援日１．５・通訳・盲ろう</t>
  </si>
  <si>
    <t>同援日１．５・通訳・２人・盲ろう</t>
  </si>
  <si>
    <t>同援日１．５・通訳・区３</t>
  </si>
  <si>
    <t>同援日１．５・通訳・２人・区３</t>
  </si>
  <si>
    <t>AZ65</t>
  </si>
  <si>
    <t>同援日１．５・通訳・盲ろう・区３</t>
  </si>
  <si>
    <t>AZ66</t>
  </si>
  <si>
    <t>同援日１．５・通訳・２人・盲ろう・区３</t>
  </si>
  <si>
    <t>AZ67</t>
  </si>
  <si>
    <t>同援日１．５・通訳・区４</t>
  </si>
  <si>
    <t>AZ68</t>
  </si>
  <si>
    <t>同援日１．５・通訳・２人・区４</t>
  </si>
  <si>
    <t>AZ69</t>
  </si>
  <si>
    <t>同援日１．５・通訳・盲ろう・区４</t>
  </si>
  <si>
    <t>AZ70</t>
  </si>
  <si>
    <t>同援日１．５・通訳・２人・盲ろう・区４</t>
  </si>
  <si>
    <t>AZ71</t>
  </si>
  <si>
    <t>同援日２．０・通訳</t>
  </si>
  <si>
    <t>AZ72</t>
  </si>
  <si>
    <t>同援日２．０・通訳・２人</t>
  </si>
  <si>
    <t>AZ73</t>
  </si>
  <si>
    <t>同援日２．０・通訳・盲ろう</t>
  </si>
  <si>
    <t>AZ74</t>
  </si>
  <si>
    <t>同援日２．０・通訳・２人・盲ろう</t>
  </si>
  <si>
    <t>AZ75</t>
  </si>
  <si>
    <t>同援日２．０・通訳・区３</t>
  </si>
  <si>
    <t>AZ76</t>
  </si>
  <si>
    <t>同援日２．０・通訳・２人・区３</t>
  </si>
  <si>
    <t>AZ77</t>
  </si>
  <si>
    <t>同援日２．０・通訳・盲ろう・区３</t>
  </si>
  <si>
    <t>AZ78</t>
  </si>
  <si>
    <t>同援日２．０・通訳・２人・盲ろう・区３</t>
  </si>
  <si>
    <t>AZ79</t>
  </si>
  <si>
    <t>同援日２．０・通訳・区４</t>
  </si>
  <si>
    <t>AZ80</t>
  </si>
  <si>
    <t>同援日２．０・通訳・２人・区４</t>
  </si>
  <si>
    <t>同援日２．０・通訳・盲ろう・区４</t>
  </si>
  <si>
    <t>同援日２．０・通訳・２人・盲ろう・区４</t>
  </si>
  <si>
    <t>同援日２．５・通訳</t>
  </si>
  <si>
    <t>同援日２．５・通訳・２人</t>
  </si>
  <si>
    <t>AZ85</t>
  </si>
  <si>
    <t>同援日２．５・通訳・盲ろう</t>
  </si>
  <si>
    <t>AZ86</t>
  </si>
  <si>
    <t>同援日２．５・通訳・２人・盲ろう</t>
  </si>
  <si>
    <t>AZ87</t>
  </si>
  <si>
    <t>同援日２．５・通訳・区３</t>
  </si>
  <si>
    <t>AZ88</t>
  </si>
  <si>
    <t>同援日２．５・通訳・２人・区３</t>
  </si>
  <si>
    <t>AZ89</t>
  </si>
  <si>
    <t>同援日２．５・通訳・盲ろう・区３</t>
  </si>
  <si>
    <t>AZ90</t>
  </si>
  <si>
    <t>同援日２．５・通訳・２人・盲ろう・区３</t>
  </si>
  <si>
    <t>AZ91</t>
  </si>
  <si>
    <t>同援日２．５・通訳・区４</t>
  </si>
  <si>
    <t>AZ92</t>
  </si>
  <si>
    <t>同援日２．５・通訳・２人・区４</t>
  </si>
  <si>
    <t>AZ93</t>
  </si>
  <si>
    <t>同援日２．５・通訳・盲ろう・区４</t>
  </si>
  <si>
    <t>AZ94</t>
  </si>
  <si>
    <t>同援日２．５・通訳・２人・盲ろう・区４</t>
  </si>
  <si>
    <t>AZ95</t>
  </si>
  <si>
    <t>同援日３．０・通訳</t>
  </si>
  <si>
    <t>AZ96</t>
  </si>
  <si>
    <t>同援日３．０・通訳・２人</t>
  </si>
  <si>
    <t>AZ97</t>
  </si>
  <si>
    <t>同援日３．０・通訳・盲ろう</t>
  </si>
  <si>
    <t>AZ98</t>
  </si>
  <si>
    <t>同援日３．０・通訳・２人・盲ろう</t>
  </si>
  <si>
    <t>AZ99</t>
  </si>
  <si>
    <t>同援日３．０・通訳・区３</t>
  </si>
  <si>
    <t>B000</t>
  </si>
  <si>
    <t>同援日３．０・通訳・２人・区３</t>
  </si>
  <si>
    <t>同援日３．０・通訳・盲ろう・区３</t>
  </si>
  <si>
    <t>同援日３．０・通訳・２人・盲ろう・区３</t>
  </si>
  <si>
    <t>同援日３．０・通訳・区４</t>
  </si>
  <si>
    <t>同援日３．０・通訳・２人・区４</t>
  </si>
  <si>
    <t>B005</t>
  </si>
  <si>
    <t>同援日３．０・通訳・盲ろう・区４</t>
  </si>
  <si>
    <t>B006</t>
  </si>
  <si>
    <t>同援日３．０・通訳・２人・盲ろう・区４</t>
  </si>
  <si>
    <t>B007</t>
  </si>
  <si>
    <t>同援日３．５・通訳</t>
  </si>
  <si>
    <t>B008</t>
  </si>
  <si>
    <t>同援日３．５・通訳・２人</t>
  </si>
  <si>
    <t>B009</t>
  </si>
  <si>
    <t>同援日３．５・通訳・盲ろう</t>
  </si>
  <si>
    <t>B010</t>
  </si>
  <si>
    <t>同援日３．５・通訳・２人・盲ろう</t>
  </si>
  <si>
    <t>B011</t>
  </si>
  <si>
    <t>同援日３．５・通訳・区３</t>
  </si>
  <si>
    <t>B012</t>
  </si>
  <si>
    <t>同援日３．５・通訳・２人・区３</t>
  </si>
  <si>
    <t>B013</t>
  </si>
  <si>
    <t>同援日３．５・通訳・盲ろう・区３</t>
  </si>
  <si>
    <t>B014</t>
  </si>
  <si>
    <t>同援日３．５・通訳・２人・盲ろう・区３</t>
  </si>
  <si>
    <t>B015</t>
  </si>
  <si>
    <t>同援日３．５・通訳・区４</t>
  </si>
  <si>
    <t>B016</t>
  </si>
  <si>
    <t>同援日３．５・通訳・２人・区４</t>
  </si>
  <si>
    <t>B017</t>
  </si>
  <si>
    <t>同援日３．５・通訳・盲ろう・区４</t>
  </si>
  <si>
    <t>B018</t>
  </si>
  <si>
    <t>同援日３．５・通訳・２人・盲ろう・区４</t>
  </si>
  <si>
    <t>B019</t>
  </si>
  <si>
    <t>同援日４．０・通訳</t>
  </si>
  <si>
    <t>B020</t>
  </si>
  <si>
    <t>同援日４．０・通訳・２人</t>
  </si>
  <si>
    <t>同援日４．０・通訳・盲ろう</t>
  </si>
  <si>
    <t>同援日４．０・通訳・２人・盲ろう</t>
  </si>
  <si>
    <t>同援日４．０・通訳・区３</t>
  </si>
  <si>
    <t>同援日４．０・通訳・２人・区３</t>
  </si>
  <si>
    <t>B025</t>
  </si>
  <si>
    <t>同援日４．０・通訳・盲ろう・区３</t>
  </si>
  <si>
    <t>B026</t>
  </si>
  <si>
    <t>同援日４．０・通訳・２人・盲ろう・区３</t>
  </si>
  <si>
    <t>B027</t>
  </si>
  <si>
    <t>同援日４．０・通訳・区４</t>
  </si>
  <si>
    <t>B028</t>
  </si>
  <si>
    <t>同援日４．０・通訳・２人・区４</t>
  </si>
  <si>
    <t>B029</t>
  </si>
  <si>
    <t>同援日４．０・通訳・盲ろう・区４</t>
  </si>
  <si>
    <t>B030</t>
  </si>
  <si>
    <t>同援日４．０・通訳・２人・盲ろう・区４</t>
  </si>
  <si>
    <t>B031</t>
  </si>
  <si>
    <t>同援日４．５・通訳</t>
  </si>
  <si>
    <t>B032</t>
  </si>
  <si>
    <t>同援日４．５・通訳・２人</t>
  </si>
  <si>
    <t>B033</t>
  </si>
  <si>
    <t>同援日４．５・通訳・盲ろう</t>
  </si>
  <si>
    <t>B034</t>
  </si>
  <si>
    <t>同援日４．５・通訳・２人・盲ろう</t>
  </si>
  <si>
    <t>B035</t>
  </si>
  <si>
    <t>同援日４．５・通訳・区３</t>
  </si>
  <si>
    <t>B036</t>
  </si>
  <si>
    <t>同援日４．５・通訳・２人・区３</t>
  </si>
  <si>
    <t>B037</t>
  </si>
  <si>
    <t>同援日４．５・通訳・盲ろう・区３</t>
  </si>
  <si>
    <t>B038</t>
  </si>
  <si>
    <t>同援日４．５・通訳・２人・盲ろう・区３</t>
  </si>
  <si>
    <t>B039</t>
  </si>
  <si>
    <t>同援日４．５・通訳・区４</t>
  </si>
  <si>
    <t>B040</t>
  </si>
  <si>
    <t>同援日４．５・通訳・２人・区４</t>
  </si>
  <si>
    <t>同援日４．５・通訳・盲ろう・区４</t>
  </si>
  <si>
    <t>同援日４．５・通訳・２人・盲ろう・区４</t>
  </si>
  <si>
    <t>同援日５．０・通訳</t>
  </si>
  <si>
    <t>同援日５．０・通訳・２人</t>
  </si>
  <si>
    <t>B045</t>
  </si>
  <si>
    <t>同援日５．０・通訳・盲ろう</t>
  </si>
  <si>
    <t>B046</t>
  </si>
  <si>
    <t>同援日５．０・通訳・２人・盲ろう</t>
  </si>
  <si>
    <t>B047</t>
  </si>
  <si>
    <t>同援日５．０・通訳・区３</t>
  </si>
  <si>
    <t>B048</t>
  </si>
  <si>
    <t>同援日５．０・通訳・２人・区３</t>
  </si>
  <si>
    <t>B049</t>
  </si>
  <si>
    <t>同援日５．０・通訳・盲ろう・区３</t>
  </si>
  <si>
    <t>B050</t>
  </si>
  <si>
    <t>同援日５．０・通訳・２人・盲ろう・区３</t>
  </si>
  <si>
    <t>B051</t>
  </si>
  <si>
    <t>同援日５．０・通訳・区４</t>
  </si>
  <si>
    <t>B052</t>
  </si>
  <si>
    <t>同援日５．０・通訳・２人・区４</t>
  </si>
  <si>
    <t>B053</t>
  </si>
  <si>
    <t>同援日５．０・通訳・盲ろう・区４</t>
  </si>
  <si>
    <t>B054</t>
  </si>
  <si>
    <t>同援日５．０・通訳・２人・盲ろう・区４</t>
  </si>
  <si>
    <t>B055</t>
  </si>
  <si>
    <t>同援日５．５・通訳</t>
  </si>
  <si>
    <t>B056</t>
  </si>
  <si>
    <t>同援日５．５・通訳・２人</t>
  </si>
  <si>
    <t>B057</t>
  </si>
  <si>
    <t>同援日５．５・通訳・盲ろう</t>
  </si>
  <si>
    <t>B058</t>
  </si>
  <si>
    <t>同援日５．５・通訳・２人・盲ろう</t>
  </si>
  <si>
    <t>B059</t>
  </si>
  <si>
    <t>同援日５．５・通訳・区３</t>
  </si>
  <si>
    <t>B060</t>
  </si>
  <si>
    <t>同援日５．５・通訳・２人・区３</t>
  </si>
  <si>
    <t>同援日５．５・通訳・盲ろう・区３</t>
  </si>
  <si>
    <t>同援日５．５・通訳・２人・盲ろう・区３</t>
  </si>
  <si>
    <t>同援日５．５・通訳・区４</t>
  </si>
  <si>
    <t>同援日５．５・通訳・２人・区４</t>
  </si>
  <si>
    <t>B065</t>
  </si>
  <si>
    <t>同援日５．５・通訳・盲ろう・区４</t>
  </si>
  <si>
    <t>B066</t>
  </si>
  <si>
    <t>同援日５．５・通訳・２人・盲ろう・区４</t>
  </si>
  <si>
    <t>B067</t>
  </si>
  <si>
    <t>同援日６．０・通訳</t>
  </si>
  <si>
    <t>B068</t>
  </si>
  <si>
    <t>同援日６．０・通訳・２人</t>
  </si>
  <si>
    <t>B069</t>
  </si>
  <si>
    <t>同援日６．０・通訳・盲ろう</t>
  </si>
  <si>
    <t>B070</t>
  </si>
  <si>
    <t>同援日６．０・通訳・２人・盲ろう</t>
  </si>
  <si>
    <t>B071</t>
  </si>
  <si>
    <t>同援日６．０・通訳・区３</t>
  </si>
  <si>
    <t>B072</t>
  </si>
  <si>
    <t>同援日６．０・通訳・２人・区３</t>
  </si>
  <si>
    <t>B073</t>
  </si>
  <si>
    <t>同援日６．０・通訳・盲ろう・区３</t>
  </si>
  <si>
    <t>B074</t>
  </si>
  <si>
    <t>同援日６．０・通訳・２人・盲ろう・区３</t>
  </si>
  <si>
    <t>B075</t>
  </si>
  <si>
    <t>同援日６．０・通訳・区４</t>
  </si>
  <si>
    <t>B076</t>
  </si>
  <si>
    <t>同援日６．０・通訳・２人・区４</t>
  </si>
  <si>
    <t>B077</t>
  </si>
  <si>
    <t>同援日６．０・通訳・盲ろう・区４</t>
  </si>
  <si>
    <t>B078</t>
  </si>
  <si>
    <t>同援日６．０・通訳・２人・盲ろう・区４</t>
  </si>
  <si>
    <t>B079</t>
  </si>
  <si>
    <t>同援日６．５・通訳</t>
  </si>
  <si>
    <t>B080</t>
  </si>
  <si>
    <t>同援日６．５・通訳・２人</t>
  </si>
  <si>
    <t>同援日６．５・通訳・盲ろう</t>
  </si>
  <si>
    <t>同援日６．５・通訳・２人・盲ろう</t>
  </si>
  <si>
    <t>同援日６．５・通訳・区３</t>
  </si>
  <si>
    <t>同援日６．５・通訳・２人・区３</t>
  </si>
  <si>
    <t>B085</t>
  </si>
  <si>
    <t>同援日６．５・通訳・盲ろう・区３</t>
  </si>
  <si>
    <t>B086</t>
  </si>
  <si>
    <t>同援日６．５・通訳・２人・盲ろう・区３</t>
  </si>
  <si>
    <t>B087</t>
  </si>
  <si>
    <t>同援日６．５・通訳・区４</t>
  </si>
  <si>
    <t>B088</t>
  </si>
  <si>
    <t>同援日６．５・通訳・２人・区４</t>
  </si>
  <si>
    <t>B089</t>
  </si>
  <si>
    <t>同援日６．５・通訳・盲ろう・区４</t>
  </si>
  <si>
    <t>B090</t>
  </si>
  <si>
    <t>同援日６．５・通訳・２人・盲ろう・区４</t>
  </si>
  <si>
    <t>B091</t>
  </si>
  <si>
    <t>同援日７．０・通訳</t>
  </si>
  <si>
    <t>B092</t>
  </si>
  <si>
    <t>同援日７．０・通訳・２人</t>
  </si>
  <si>
    <t>B093</t>
  </si>
  <si>
    <t>同援日７．０・通訳・盲ろう</t>
  </si>
  <si>
    <t>B094</t>
  </si>
  <si>
    <t>同援日７．０・通訳・２人・盲ろう</t>
  </si>
  <si>
    <t>B095</t>
  </si>
  <si>
    <t>同援日７．０・通訳・区３</t>
  </si>
  <si>
    <t>B096</t>
  </si>
  <si>
    <t>同援日７．０・通訳・２人・区３</t>
  </si>
  <si>
    <t>B097</t>
  </si>
  <si>
    <t>同援日７．０・通訳・盲ろう・区３</t>
  </si>
  <si>
    <t>B098</t>
  </si>
  <si>
    <t>同援日７．０・通訳・２人・盲ろう・区３</t>
  </si>
  <si>
    <t>B099</t>
  </si>
  <si>
    <t>同援日７．０・通訳・区４</t>
  </si>
  <si>
    <t>B100</t>
  </si>
  <si>
    <t>同援日７．０・通訳・２人・区４</t>
  </si>
  <si>
    <t>同援日７．０・通訳・盲ろう・区４</t>
  </si>
  <si>
    <t>同援日７．０・通訳・２人・盲ろう・区４</t>
  </si>
  <si>
    <t>同援日７．５・通訳</t>
  </si>
  <si>
    <t>同援日７．５・通訳・２人</t>
  </si>
  <si>
    <t>B105</t>
  </si>
  <si>
    <t>同援日７．５・通訳・盲ろう</t>
  </si>
  <si>
    <t>B106</t>
  </si>
  <si>
    <t>同援日７．５・通訳・２人・盲ろう</t>
  </si>
  <si>
    <t>B107</t>
  </si>
  <si>
    <t>同援日７．５・通訳・区３</t>
  </si>
  <si>
    <t>B108</t>
  </si>
  <si>
    <t>同援日７．５・通訳・２人・区３</t>
  </si>
  <si>
    <t>B109</t>
  </si>
  <si>
    <t>同援日７．５・通訳・盲ろう・区３</t>
  </si>
  <si>
    <t>B110</t>
  </si>
  <si>
    <t>同援日７．５・通訳・２人・盲ろう・区３</t>
  </si>
  <si>
    <t>B111</t>
  </si>
  <si>
    <t>同援日７．５・通訳・区４</t>
  </si>
  <si>
    <t>B112</t>
  </si>
  <si>
    <t>同援日７．５・通訳・２人・区４</t>
  </si>
  <si>
    <t>B113</t>
  </si>
  <si>
    <t>同援日７．５・通訳・盲ろう・区４</t>
  </si>
  <si>
    <t>B114</t>
  </si>
  <si>
    <t>同援日７．５・通訳・２人・盲ろう・区４</t>
  </si>
  <si>
    <t>B115</t>
  </si>
  <si>
    <t>同援日８．０・通訳</t>
  </si>
  <si>
    <t>B116</t>
  </si>
  <si>
    <t>同援日８．０・通訳・２人</t>
  </si>
  <si>
    <t>B117</t>
  </si>
  <si>
    <t>同援日８．０・通訳・盲ろう</t>
  </si>
  <si>
    <t>B118</t>
  </si>
  <si>
    <t>同援日８．０・通訳・２人・盲ろう</t>
  </si>
  <si>
    <t>B119</t>
  </si>
  <si>
    <t>同援日８．０・通訳・区３</t>
  </si>
  <si>
    <t>B120</t>
  </si>
  <si>
    <t>同援日８．０・通訳・２人・区３</t>
  </si>
  <si>
    <t>同援日８．０・通訳・盲ろう・区３</t>
  </si>
  <si>
    <t>同援日８．０・通訳・２人・盲ろう・区３</t>
  </si>
  <si>
    <t>同援日８．０・通訳・区４</t>
  </si>
  <si>
    <t>同援日８．０・通訳・２人・区４</t>
  </si>
  <si>
    <t>B125</t>
  </si>
  <si>
    <t>同援日８．０・通訳・盲ろう・区４</t>
  </si>
  <si>
    <t>B126</t>
  </si>
  <si>
    <t>同援日８．０・通訳・２人・盲ろう・区４</t>
  </si>
  <si>
    <t>B127</t>
  </si>
  <si>
    <t>同援日８．５・通訳</t>
  </si>
  <si>
    <t>B128</t>
  </si>
  <si>
    <t>同援日８．５・通訳・２人</t>
  </si>
  <si>
    <t>B129</t>
  </si>
  <si>
    <t>同援日８．５・通訳・盲ろう</t>
  </si>
  <si>
    <t>B130</t>
  </si>
  <si>
    <t>同援日８．５・通訳・２人・盲ろう</t>
  </si>
  <si>
    <t>B131</t>
  </si>
  <si>
    <t>同援日８．５・通訳・区３</t>
  </si>
  <si>
    <t>B132</t>
  </si>
  <si>
    <t>同援日８．５・通訳・２人・区３</t>
  </si>
  <si>
    <t>B133</t>
  </si>
  <si>
    <t>同援日８．５・通訳・盲ろう・区３</t>
  </si>
  <si>
    <t>B134</t>
  </si>
  <si>
    <t>同援日８．５・通訳・２人・盲ろう・区３</t>
  </si>
  <si>
    <t>B135</t>
  </si>
  <si>
    <t>同援日８．５・通訳・区４</t>
  </si>
  <si>
    <t>B136</t>
  </si>
  <si>
    <t>同援日８．５・通訳・２人・区４</t>
  </si>
  <si>
    <t>B137</t>
  </si>
  <si>
    <t>同援日８．５・通訳・盲ろう・区４</t>
  </si>
  <si>
    <t>B138</t>
  </si>
  <si>
    <t>同援日８．５・通訳・２人・盲ろう・区４</t>
  </si>
  <si>
    <t>B139</t>
  </si>
  <si>
    <t>同援日９．０・通訳</t>
  </si>
  <si>
    <t>B140</t>
  </si>
  <si>
    <t>同援日９．０・通訳・２人</t>
  </si>
  <si>
    <t>同援日９．０・通訳・盲ろう</t>
  </si>
  <si>
    <t>同援日９．０・通訳・２人・盲ろう</t>
  </si>
  <si>
    <t>同援日９．０・通訳・区３</t>
  </si>
  <si>
    <t>同援日９．０・通訳・２人・区３</t>
  </si>
  <si>
    <t>B145</t>
  </si>
  <si>
    <t>同援日９．０・通訳・盲ろう・区３</t>
  </si>
  <si>
    <t>B146</t>
  </si>
  <si>
    <t>同援日９．０・通訳・２人・盲ろう・区３</t>
  </si>
  <si>
    <t>B147</t>
  </si>
  <si>
    <t>同援日９．０・通訳・区４</t>
  </si>
  <si>
    <t>B148</t>
  </si>
  <si>
    <t>同援日９．０・通訳・２人・区４</t>
  </si>
  <si>
    <t>B149</t>
  </si>
  <si>
    <t>同援日９．０・通訳・盲ろう・区４</t>
  </si>
  <si>
    <t>B150</t>
  </si>
  <si>
    <t>同援日９．０・通訳・２人・盲ろう・区４</t>
  </si>
  <si>
    <t>B151</t>
  </si>
  <si>
    <t>同援日９．５・通訳</t>
  </si>
  <si>
    <t>B152</t>
  </si>
  <si>
    <t>同援日９．５・通訳・２人</t>
  </si>
  <si>
    <t>B153</t>
  </si>
  <si>
    <t>同援日９．５・通訳・盲ろう</t>
  </si>
  <si>
    <t>B154</t>
  </si>
  <si>
    <t>同援日９．５・通訳・２人・盲ろう</t>
  </si>
  <si>
    <t>B155</t>
  </si>
  <si>
    <t>同援日９．５・通訳・区３</t>
  </si>
  <si>
    <t>B156</t>
  </si>
  <si>
    <t>同援日９．５・通訳・２人・区３</t>
  </si>
  <si>
    <t>B157</t>
  </si>
  <si>
    <t>同援日９．５・通訳・盲ろう・区３</t>
  </si>
  <si>
    <t>B158</t>
  </si>
  <si>
    <t>同援日９．５・通訳・２人・盲ろう・区３</t>
  </si>
  <si>
    <t>B159</t>
  </si>
  <si>
    <t>同援日９．５・通訳・区４</t>
  </si>
  <si>
    <t>B160</t>
  </si>
  <si>
    <t>同援日９．５・通訳・２人・区４</t>
  </si>
  <si>
    <t>同援日９．５・通訳・盲ろう・区４</t>
  </si>
  <si>
    <t>同援日９．５・通訳・２人・盲ろう・区４</t>
  </si>
  <si>
    <t>同援日１０．０・通訳</t>
  </si>
  <si>
    <t>同援日１０．０・通訳・２人</t>
  </si>
  <si>
    <t>B165</t>
  </si>
  <si>
    <t>同援日１０．０・通訳・盲ろう</t>
  </si>
  <si>
    <t>B166</t>
  </si>
  <si>
    <t>同援日１０．０・通訳・２人・盲ろう</t>
  </si>
  <si>
    <t>B167</t>
  </si>
  <si>
    <t>同援日１０．０・通訳・区３</t>
  </si>
  <si>
    <t>B168</t>
  </si>
  <si>
    <t>同援日１０．０・通訳・２人・区３</t>
  </si>
  <si>
    <t>B169</t>
  </si>
  <si>
    <t>同援日１０．０・通訳・盲ろう・区３</t>
  </si>
  <si>
    <t>B170</t>
  </si>
  <si>
    <t>同援日１０．０・通訳・２人・盲ろう・区３</t>
  </si>
  <si>
    <t>B171</t>
  </si>
  <si>
    <t>同援日１０．０・通訳・区４</t>
  </si>
  <si>
    <t>B172</t>
  </si>
  <si>
    <t>同援日１０．０・通訳・２人・区４</t>
  </si>
  <si>
    <t>B173</t>
  </si>
  <si>
    <t>同援日１０．０・通訳・盲ろう・区４</t>
  </si>
  <si>
    <t>B174</t>
  </si>
  <si>
    <t>同援日１０．０・通訳・２人・盲ろう・区４</t>
  </si>
  <si>
    <t>B175</t>
  </si>
  <si>
    <t>同援日１０．５・通訳</t>
  </si>
  <si>
    <t>B176</t>
  </si>
  <si>
    <t>同援日１０．５・通訳・２人</t>
  </si>
  <si>
    <t>B177</t>
  </si>
  <si>
    <t>同援日１０．５・通訳・盲ろう</t>
  </si>
  <si>
    <t>B178</t>
  </si>
  <si>
    <t>同援日１０．５・通訳・２人・盲ろう</t>
  </si>
  <si>
    <t>B179</t>
  </si>
  <si>
    <t>同援日１０．５・通訳・区３</t>
  </si>
  <si>
    <t>B180</t>
  </si>
  <si>
    <t>同援日１０．５・通訳・２人・区３</t>
  </si>
  <si>
    <t>同援日１０．５・通訳・盲ろう・区３</t>
  </si>
  <si>
    <t>同援日１０．５・通訳・２人・盲ろう・区３</t>
  </si>
  <si>
    <t>同援日１０．５・通訳・区４</t>
  </si>
  <si>
    <t>同援日１０．５・通訳・２人・区４</t>
  </si>
  <si>
    <t>B185</t>
  </si>
  <si>
    <t>同援日１０．５・通訳・盲ろう・区４</t>
  </si>
  <si>
    <t>B186</t>
  </si>
  <si>
    <t>同援日１０．５・通訳・２人・盲ろう・区４</t>
  </si>
  <si>
    <t>（盲ろう者向け通訳・介助員：早朝のみ）</t>
    <phoneticPr fontId="1"/>
  </si>
  <si>
    <t>B187</t>
  </si>
  <si>
    <t>同援早０．５・通訳</t>
  </si>
  <si>
    <t>B188</t>
  </si>
  <si>
    <t>同援早０．５・通訳・２人</t>
  </si>
  <si>
    <t>B189</t>
  </si>
  <si>
    <t>同援早０．５・通訳・盲ろう</t>
  </si>
  <si>
    <t>B190</t>
  </si>
  <si>
    <t>同援早０．５・通訳・２人・盲ろう</t>
  </si>
  <si>
    <t>B191</t>
  </si>
  <si>
    <t>同援早０．５・通訳・区３</t>
  </si>
  <si>
    <t>B192</t>
  </si>
  <si>
    <t>同援早０．５・通訳・２人・区３</t>
  </si>
  <si>
    <t>B193</t>
  </si>
  <si>
    <t>同援早０．５・通訳・盲ろう・区３</t>
  </si>
  <si>
    <t>B194</t>
  </si>
  <si>
    <t>同援早０．５・通訳・２人・盲ろう・区３</t>
  </si>
  <si>
    <t>B195</t>
  </si>
  <si>
    <t>同援早０．５・通訳・区４</t>
  </si>
  <si>
    <t>B196</t>
  </si>
  <si>
    <t>同援早０．５・通訳・２人・区４</t>
  </si>
  <si>
    <t>B197</t>
  </si>
  <si>
    <t>同援早０．５・通訳・盲ろう・区４</t>
  </si>
  <si>
    <t>B198</t>
  </si>
  <si>
    <t>同援早０．５・通訳・２人・盲ろう・区４</t>
  </si>
  <si>
    <t>B199</t>
  </si>
  <si>
    <t>同援早１．０・通訳</t>
  </si>
  <si>
    <t>B200</t>
  </si>
  <si>
    <t>同援早１．０・通訳・２人</t>
  </si>
  <si>
    <t>同援早１．０・通訳・盲ろう</t>
  </si>
  <si>
    <t>同援早１．０・通訳・２人・盲ろう</t>
  </si>
  <si>
    <t>同援早１．０・通訳・区３</t>
  </si>
  <si>
    <t>同援早１．０・通訳・２人・区３</t>
  </si>
  <si>
    <t>B205</t>
  </si>
  <si>
    <t>同援早１．０・通訳・盲ろう・区３</t>
  </si>
  <si>
    <t>B206</t>
  </si>
  <si>
    <t>同援早１．０・通訳・２人・盲ろう・区３</t>
  </si>
  <si>
    <t>B207</t>
  </si>
  <si>
    <t>同援早１．０・通訳・区４</t>
  </si>
  <si>
    <t>B208</t>
  </si>
  <si>
    <t>同援早１．０・通訳・２人・区４</t>
  </si>
  <si>
    <t>B209</t>
  </si>
  <si>
    <t>同援早１．０・通訳・盲ろう・区４</t>
  </si>
  <si>
    <t>B210</t>
  </si>
  <si>
    <t>同援早１．０・通訳・２人・盲ろう・区４</t>
  </si>
  <si>
    <t>B211</t>
  </si>
  <si>
    <t>同援早１．５・通訳</t>
  </si>
  <si>
    <t>B212</t>
  </si>
  <si>
    <t>同援早１．５・通訳・２人</t>
  </si>
  <si>
    <t>B213</t>
  </si>
  <si>
    <t>同援早１．５・通訳・盲ろう</t>
  </si>
  <si>
    <t>B214</t>
  </si>
  <si>
    <t>同援早１．５・通訳・２人・盲ろう</t>
  </si>
  <si>
    <t>B215</t>
  </si>
  <si>
    <t>同援早１．５・通訳・区３</t>
  </si>
  <si>
    <t>B216</t>
  </si>
  <si>
    <t>同援早１．５・通訳・２人・区３</t>
  </si>
  <si>
    <t>B217</t>
  </si>
  <si>
    <t>同援早１．５・通訳・盲ろう・区３</t>
  </si>
  <si>
    <t>B218</t>
  </si>
  <si>
    <t>同援早１．５・通訳・２人・盲ろう・区３</t>
  </si>
  <si>
    <t>B219</t>
  </si>
  <si>
    <t>同援早１．５・通訳・区４</t>
  </si>
  <si>
    <t>B220</t>
  </si>
  <si>
    <t>同援早１．５・通訳・２人・区４</t>
  </si>
  <si>
    <t>同援早１．５・通訳・盲ろう・区４</t>
  </si>
  <si>
    <t>同援早１．５・通訳・２人・盲ろう・区４</t>
  </si>
  <si>
    <t>同援早２．０・通訳</t>
  </si>
  <si>
    <t>同援早２．０・通訳・２人</t>
  </si>
  <si>
    <t>B225</t>
  </si>
  <si>
    <t>同援早２．０・通訳・盲ろう</t>
  </si>
  <si>
    <t>B226</t>
  </si>
  <si>
    <t>同援早２．０・通訳・２人・盲ろう</t>
  </si>
  <si>
    <t>B227</t>
  </si>
  <si>
    <t>同援早２．０・通訳・区３</t>
  </si>
  <si>
    <t>B228</t>
  </si>
  <si>
    <t>同援早２．０・通訳・２人・区３</t>
  </si>
  <si>
    <t>B229</t>
  </si>
  <si>
    <t>同援早２．０・通訳・盲ろう・区３</t>
  </si>
  <si>
    <t>B230</t>
  </si>
  <si>
    <t>同援早２．０・通訳・２人・盲ろう・区３</t>
  </si>
  <si>
    <t>B231</t>
  </si>
  <si>
    <t>同援早２．０・通訳・区４</t>
  </si>
  <si>
    <t>B232</t>
  </si>
  <si>
    <t>同援早２．０・通訳・２人・区４</t>
  </si>
  <si>
    <t>B233</t>
  </si>
  <si>
    <t>同援早２．０・通訳・盲ろう・区４</t>
  </si>
  <si>
    <t>B234</t>
  </si>
  <si>
    <t>同援早２．０・通訳・２人・盲ろう・区４</t>
  </si>
  <si>
    <t>B235</t>
  </si>
  <si>
    <t>同援早２．５・通訳</t>
  </si>
  <si>
    <t>B236</t>
  </si>
  <si>
    <t>同援早２．５・通訳・２人</t>
  </si>
  <si>
    <t>B237</t>
  </si>
  <si>
    <t>同援早２．５・通訳・盲ろう</t>
  </si>
  <si>
    <t>B238</t>
  </si>
  <si>
    <t>同援早２．５・通訳・２人・盲ろう</t>
  </si>
  <si>
    <t>B239</t>
  </si>
  <si>
    <t>同援早２．５・通訳・区３</t>
  </si>
  <si>
    <t>B240</t>
  </si>
  <si>
    <t>同援早２．５・通訳・２人・区３</t>
  </si>
  <si>
    <t>同援早２．５・通訳・盲ろう・区３</t>
  </si>
  <si>
    <t>同援早２．５・通訳・２人・盲ろう・区３</t>
  </si>
  <si>
    <t>同援早２．５・通訳・区４</t>
  </si>
  <si>
    <t>同援早２．５・通訳・２人・区４</t>
  </si>
  <si>
    <t>B245</t>
  </si>
  <si>
    <t>同援早２．５・通訳・盲ろう・区４</t>
  </si>
  <si>
    <t>B246</t>
  </si>
  <si>
    <t>同援早２．５・通訳・２人・盲ろう・区４</t>
  </si>
  <si>
    <t>（盲ろう者向け通訳・介助員：夜間のみ）</t>
    <phoneticPr fontId="1"/>
  </si>
  <si>
    <t>B247</t>
  </si>
  <si>
    <t>同援夜０．５・通訳</t>
  </si>
  <si>
    <t>B248</t>
  </si>
  <si>
    <t>同援夜０．５・通訳・２人</t>
  </si>
  <si>
    <t>B249</t>
  </si>
  <si>
    <t>同援夜０．５・通訳・盲ろう</t>
  </si>
  <si>
    <t>B250</t>
  </si>
  <si>
    <t>同援夜０．５・通訳・２人・盲ろう</t>
  </si>
  <si>
    <t>B251</t>
  </si>
  <si>
    <t>同援夜０．５・通訳・区３</t>
  </si>
  <si>
    <t>B252</t>
  </si>
  <si>
    <t>同援夜０．５・通訳・２人・区３</t>
  </si>
  <si>
    <t>夜間の</t>
    <rPh sb="0" eb="2">
      <t>ヤカン</t>
    </rPh>
    <phoneticPr fontId="1"/>
  </si>
  <si>
    <t>B253</t>
  </si>
  <si>
    <t>同援夜０．５・通訳・盲ろう・区３</t>
  </si>
  <si>
    <t>B254</t>
  </si>
  <si>
    <t>同援夜０．５・通訳・２人・盲ろう・区３</t>
  </si>
  <si>
    <t>B255</t>
  </si>
  <si>
    <t>同援夜０．５・通訳・区４</t>
  </si>
  <si>
    <t>B256</t>
  </si>
  <si>
    <t>同援夜０．５・通訳・２人・区４</t>
  </si>
  <si>
    <t>B257</t>
  </si>
  <si>
    <t>同援夜０．５・通訳・盲ろう・区４</t>
  </si>
  <si>
    <t>B258</t>
  </si>
  <si>
    <t>同援夜０．５・通訳・２人・盲ろう・区４</t>
  </si>
  <si>
    <t>B259</t>
  </si>
  <si>
    <t>同援夜１．０・通訳</t>
  </si>
  <si>
    <t>B260</t>
  </si>
  <si>
    <t>同援夜１．０・通訳・２人</t>
  </si>
  <si>
    <t>同援夜１．０・通訳・盲ろう</t>
  </si>
  <si>
    <t>同援夜１．０・通訳・２人・盲ろう</t>
  </si>
  <si>
    <t>同援夜１．０・通訳・区３</t>
  </si>
  <si>
    <t>同援夜１．０・通訳・２人・区３</t>
  </si>
  <si>
    <t>B265</t>
  </si>
  <si>
    <t>同援夜１．０・通訳・盲ろう・区３</t>
  </si>
  <si>
    <t>B266</t>
  </si>
  <si>
    <t>同援夜１．０・通訳・２人・盲ろう・区３</t>
  </si>
  <si>
    <t>B267</t>
  </si>
  <si>
    <t>同援夜１．０・通訳・区４</t>
  </si>
  <si>
    <t>B268</t>
  </si>
  <si>
    <t>同援夜１．０・通訳・２人・区４</t>
  </si>
  <si>
    <t>B269</t>
  </si>
  <si>
    <t>同援夜１．０・通訳・盲ろう・区４</t>
  </si>
  <si>
    <t>B270</t>
  </si>
  <si>
    <t>同援夜１．０・通訳・２人・盲ろう・区４</t>
  </si>
  <si>
    <t>B271</t>
  </si>
  <si>
    <t>同援夜１．５・通訳</t>
  </si>
  <si>
    <t>B272</t>
  </si>
  <si>
    <t>同援夜１．５・通訳・２人</t>
  </si>
  <si>
    <t>B273</t>
  </si>
  <si>
    <t>同援夜１．５・通訳・盲ろう</t>
  </si>
  <si>
    <t>B274</t>
  </si>
  <si>
    <t>同援夜１．５・通訳・２人・盲ろう</t>
  </si>
  <si>
    <t>B275</t>
  </si>
  <si>
    <t>同援夜１．５・通訳・区３</t>
  </si>
  <si>
    <t>B276</t>
  </si>
  <si>
    <t>同援夜１．５・通訳・２人・区３</t>
  </si>
  <si>
    <t>B277</t>
  </si>
  <si>
    <t>同援夜１．５・通訳・盲ろう・区３</t>
  </si>
  <si>
    <t>B278</t>
  </si>
  <si>
    <t>同援夜１．５・通訳・２人・盲ろう・区３</t>
  </si>
  <si>
    <t>B279</t>
  </si>
  <si>
    <t>同援夜１．５・通訳・区４</t>
  </si>
  <si>
    <t>B280</t>
  </si>
  <si>
    <t>同援夜１．５・通訳・２人・区４</t>
  </si>
  <si>
    <t>同援夜１．５・通訳・盲ろう・区４</t>
  </si>
  <si>
    <t>同援夜１．５・通訳・２人・盲ろう・区４</t>
  </si>
  <si>
    <t>同援夜２．０・通訳</t>
  </si>
  <si>
    <t>同援夜２．０・通訳・２人</t>
  </si>
  <si>
    <t>B285</t>
  </si>
  <si>
    <t>同援夜２．０・通訳・盲ろう</t>
  </si>
  <si>
    <t>B286</t>
  </si>
  <si>
    <t>同援夜２．０・通訳・２人・盲ろう</t>
  </si>
  <si>
    <t>B287</t>
  </si>
  <si>
    <t>同援夜２．０・通訳・区３</t>
  </si>
  <si>
    <t>B288</t>
  </si>
  <si>
    <t>同援夜２．０・通訳・２人・区３</t>
  </si>
  <si>
    <t>B289</t>
  </si>
  <si>
    <t>同援夜２．０・通訳・盲ろう・区３</t>
  </si>
  <si>
    <t>B290</t>
  </si>
  <si>
    <t>同援夜２．０・通訳・２人・盲ろう・区３</t>
  </si>
  <si>
    <t>B291</t>
  </si>
  <si>
    <t>同援夜２．０・通訳・区４</t>
  </si>
  <si>
    <t>B292</t>
  </si>
  <si>
    <t>同援夜２．０・通訳・２人・区４</t>
  </si>
  <si>
    <t>B293</t>
  </si>
  <si>
    <t>同援夜２．０・通訳・盲ろう・区４</t>
  </si>
  <si>
    <t>B294</t>
  </si>
  <si>
    <t>同援夜２．０・通訳・２人・盲ろう・区４</t>
  </si>
  <si>
    <t>B295</t>
  </si>
  <si>
    <t>同援夜２．５・通訳</t>
  </si>
  <si>
    <t>B296</t>
  </si>
  <si>
    <t>同援夜２．５・通訳・２人</t>
  </si>
  <si>
    <t>B297</t>
  </si>
  <si>
    <t>同援夜２．５・通訳・盲ろう</t>
  </si>
  <si>
    <t>B298</t>
  </si>
  <si>
    <t>同援夜２．５・通訳・２人・盲ろう</t>
  </si>
  <si>
    <t>B299</t>
  </si>
  <si>
    <t>同援夜２．５・通訳・区３</t>
  </si>
  <si>
    <t>B300</t>
  </si>
  <si>
    <t>同援夜２．５・通訳・２人・区３</t>
  </si>
  <si>
    <t>同援夜２．５・通訳・盲ろう・区３</t>
  </si>
  <si>
    <t>同援夜２．５・通訳・２人・盲ろう・区３</t>
  </si>
  <si>
    <t>同援夜２．５・通訳・区４</t>
  </si>
  <si>
    <t>同援夜２．５・通訳・２人・区４</t>
  </si>
  <si>
    <t>B305</t>
  </si>
  <si>
    <t>同援夜２．５・通訳・盲ろう・区４</t>
  </si>
  <si>
    <t>B306</t>
  </si>
  <si>
    <t>同援夜２．５・通訳・２人・盲ろう・区４</t>
  </si>
  <si>
    <t>B307</t>
  </si>
  <si>
    <t>同援夜３．０・通訳</t>
  </si>
  <si>
    <t>B308</t>
  </si>
  <si>
    <t>同援夜３．０・通訳・２人</t>
  </si>
  <si>
    <t>B309</t>
  </si>
  <si>
    <t>同援夜３．０・通訳・盲ろう</t>
  </si>
  <si>
    <t>B310</t>
  </si>
  <si>
    <t>同援夜３．０・通訳・２人・盲ろう</t>
  </si>
  <si>
    <t>B311</t>
  </si>
  <si>
    <t>同援夜３．０・通訳・区３</t>
  </si>
  <si>
    <t>B312</t>
  </si>
  <si>
    <t>同援夜３．０・通訳・２人・区３</t>
  </si>
  <si>
    <t>B313</t>
  </si>
  <si>
    <t>同援夜３．０・通訳・盲ろう・区３</t>
  </si>
  <si>
    <t>B314</t>
  </si>
  <si>
    <t>同援夜３．０・通訳・２人・盲ろう・区３</t>
  </si>
  <si>
    <t>B315</t>
  </si>
  <si>
    <t>同援夜３．０・通訳・区４</t>
  </si>
  <si>
    <t>B316</t>
  </si>
  <si>
    <t>同援夜３．０・通訳・２人・区４</t>
  </si>
  <si>
    <t>B317</t>
  </si>
  <si>
    <t>同援夜３．０・通訳・盲ろう・区４</t>
  </si>
  <si>
    <t>B318</t>
  </si>
  <si>
    <t>同援夜３．０・通訳・２人・盲ろう・区４</t>
  </si>
  <si>
    <t>B319</t>
  </si>
  <si>
    <t>同援夜３．５・通訳</t>
  </si>
  <si>
    <t>B320</t>
  </si>
  <si>
    <t>同援夜３．５・通訳・２人</t>
  </si>
  <si>
    <t>同援夜３．５・通訳・盲ろう</t>
  </si>
  <si>
    <t>同援夜３．５・通訳・２人・盲ろう</t>
  </si>
  <si>
    <t>同援夜３．５・通訳・区３</t>
  </si>
  <si>
    <t>同援夜３．５・通訳・２人・区３</t>
  </si>
  <si>
    <t>B325</t>
  </si>
  <si>
    <t>同援夜３．５・通訳・盲ろう・区３</t>
  </si>
  <si>
    <t>B326</t>
  </si>
  <si>
    <t>同援夜３．５・通訳・２人・盲ろう・区３</t>
  </si>
  <si>
    <t>B327</t>
  </si>
  <si>
    <t>同援夜３．５・通訳・区４</t>
  </si>
  <si>
    <t>B328</t>
  </si>
  <si>
    <t>同援夜３．５・通訳・２人・区４</t>
  </si>
  <si>
    <t>B329</t>
  </si>
  <si>
    <t>同援夜３．５・通訳・盲ろう・区４</t>
  </si>
  <si>
    <t>B330</t>
  </si>
  <si>
    <t>同援夜３．５・通訳・２人・盲ろう・区４</t>
  </si>
  <si>
    <t>B331</t>
  </si>
  <si>
    <t>同援夜４．０・通訳</t>
  </si>
  <si>
    <t>B332</t>
  </si>
  <si>
    <t>同援夜４．０・通訳・２人</t>
  </si>
  <si>
    <t>B333</t>
  </si>
  <si>
    <t>同援夜４．０・通訳・盲ろう</t>
  </si>
  <si>
    <t>B334</t>
  </si>
  <si>
    <t>同援夜４．０・通訳・２人・盲ろう</t>
  </si>
  <si>
    <t>B335</t>
  </si>
  <si>
    <t>同援夜４．０・通訳・区３</t>
  </si>
  <si>
    <t>B336</t>
  </si>
  <si>
    <t>同援夜４．０・通訳・２人・区３</t>
  </si>
  <si>
    <t>B337</t>
  </si>
  <si>
    <t>同援夜４．０・通訳・盲ろう・区３</t>
  </si>
  <si>
    <t>B338</t>
  </si>
  <si>
    <t>同援夜４．０・通訳・２人・盲ろう・区３</t>
  </si>
  <si>
    <t>B339</t>
  </si>
  <si>
    <t>同援夜４．０・通訳・区４</t>
  </si>
  <si>
    <t>B340</t>
  </si>
  <si>
    <t>同援夜４．０・通訳・２人・区４</t>
  </si>
  <si>
    <t>同援夜４．０・通訳・盲ろう・区４</t>
  </si>
  <si>
    <t>同援夜４．０・通訳・２人・盲ろう・区４</t>
  </si>
  <si>
    <t>同援夜４．５・通訳</t>
  </si>
  <si>
    <t>同援夜４．５・通訳・２人</t>
  </si>
  <si>
    <t>B345</t>
  </si>
  <si>
    <t>同援夜４．５・通訳・盲ろう</t>
  </si>
  <si>
    <t>B346</t>
  </si>
  <si>
    <t>同援夜４．５・通訳・２人・盲ろう</t>
  </si>
  <si>
    <t>B347</t>
  </si>
  <si>
    <t>同援夜４．５・通訳・区３</t>
  </si>
  <si>
    <t>B348</t>
  </si>
  <si>
    <t>同援夜４．５・通訳・２人・区３</t>
  </si>
  <si>
    <t>B349</t>
  </si>
  <si>
    <t>同援夜４．５・通訳・盲ろう・区３</t>
  </si>
  <si>
    <t>B350</t>
  </si>
  <si>
    <t>同援夜４．５・通訳・２人・盲ろう・区３</t>
  </si>
  <si>
    <t>B351</t>
  </si>
  <si>
    <t>同援夜４．５・通訳・区４</t>
  </si>
  <si>
    <t>B352</t>
  </si>
  <si>
    <t>同援夜４．５・通訳・２人・区４</t>
  </si>
  <si>
    <t>B353</t>
  </si>
  <si>
    <t>同援夜４．５・通訳・盲ろう・区４</t>
  </si>
  <si>
    <t>B354</t>
  </si>
  <si>
    <t>同援夜４．５・通訳・２人・盲ろう・区４</t>
  </si>
  <si>
    <t>（盲ろう者向け通訳・介助員：深夜のみ）</t>
    <phoneticPr fontId="1"/>
  </si>
  <si>
    <t>B355</t>
  </si>
  <si>
    <t>同援深０．５・通訳</t>
  </si>
  <si>
    <t>B356</t>
  </si>
  <si>
    <t>同援深０．５・通訳・２人</t>
  </si>
  <si>
    <t>B357</t>
  </si>
  <si>
    <t>同援深０．５・通訳・盲ろう</t>
  </si>
  <si>
    <t>B358</t>
  </si>
  <si>
    <t>同援深０．５・通訳・２人・盲ろう</t>
  </si>
  <si>
    <t>B359</t>
  </si>
  <si>
    <t>同援深０．５・通訳・区３</t>
  </si>
  <si>
    <t>B360</t>
  </si>
  <si>
    <t>同援深０．５・通訳・２人・区３</t>
  </si>
  <si>
    <t>同援深０．５・通訳・盲ろう・区３</t>
  </si>
  <si>
    <t>同援深０．５・通訳・２人・盲ろう・区３</t>
  </si>
  <si>
    <t>同援深０．５・通訳・区４</t>
  </si>
  <si>
    <t>同援深０．５・通訳・２人・区４</t>
  </si>
  <si>
    <t>B365</t>
  </si>
  <si>
    <t>同援深０．５・通訳・盲ろう・区４</t>
  </si>
  <si>
    <t>B366</t>
  </si>
  <si>
    <t>同援深０．５・通訳・２人・盲ろう・区４</t>
  </si>
  <si>
    <t>B367</t>
  </si>
  <si>
    <t>同援深１．０・通訳</t>
  </si>
  <si>
    <t>B368</t>
  </si>
  <si>
    <t>同援深１．０・通訳・２人</t>
  </si>
  <si>
    <t>B369</t>
  </si>
  <si>
    <t>同援深１．０・通訳・盲ろう</t>
  </si>
  <si>
    <t>B370</t>
  </si>
  <si>
    <t>同援深１．０・通訳・２人・盲ろう</t>
  </si>
  <si>
    <t>B371</t>
  </si>
  <si>
    <t>同援深１．０・通訳・区３</t>
  </si>
  <si>
    <t>B372</t>
  </si>
  <si>
    <t>同援深１．０・通訳・２人・区３</t>
  </si>
  <si>
    <t>B373</t>
  </si>
  <si>
    <t>同援深１．０・通訳・盲ろう・区３</t>
  </si>
  <si>
    <t>B374</t>
  </si>
  <si>
    <t>同援深１．０・通訳・２人・盲ろう・区３</t>
  </si>
  <si>
    <t>B375</t>
  </si>
  <si>
    <t>同援深１．０・通訳・区４</t>
  </si>
  <si>
    <t>B376</t>
  </si>
  <si>
    <t>同援深１．０・通訳・２人・区４</t>
  </si>
  <si>
    <t>B377</t>
  </si>
  <si>
    <t>同援深１．０・通訳・盲ろう・区４</t>
  </si>
  <si>
    <t>B378</t>
  </si>
  <si>
    <t>同援深１．０・通訳・２人・盲ろう・区４</t>
  </si>
  <si>
    <t>B379</t>
  </si>
  <si>
    <t>同援深１．５・通訳</t>
  </si>
  <si>
    <t>B380</t>
  </si>
  <si>
    <t>同援深１．５・通訳・２人</t>
  </si>
  <si>
    <t>同援深１．５・通訳・盲ろう</t>
  </si>
  <si>
    <t>同援深１．５・通訳・２人・盲ろう</t>
  </si>
  <si>
    <t>同援深１．５・通訳・区３</t>
  </si>
  <si>
    <t>同援深１．５・通訳・２人・区３</t>
  </si>
  <si>
    <t>B385</t>
  </si>
  <si>
    <t>同援深１．５・通訳・盲ろう・区３</t>
  </si>
  <si>
    <t>B386</t>
  </si>
  <si>
    <t>同援深１．５・通訳・２人・盲ろう・区３</t>
  </si>
  <si>
    <t>B387</t>
  </si>
  <si>
    <t>同援深１．５・通訳・区４</t>
  </si>
  <si>
    <t>B388</t>
  </si>
  <si>
    <t>同援深１．５・通訳・２人・区４</t>
  </si>
  <si>
    <t>B389</t>
  </si>
  <si>
    <t>同援深１．５・通訳・盲ろう・区４</t>
  </si>
  <si>
    <t>B390</t>
  </si>
  <si>
    <t>同援深１．５・通訳・２人・盲ろう・区４</t>
  </si>
  <si>
    <t>B391</t>
  </si>
  <si>
    <t>同援深２．０・通訳</t>
  </si>
  <si>
    <t>B392</t>
  </si>
  <si>
    <t>同援深２．０・通訳・２人</t>
  </si>
  <si>
    <t>B393</t>
  </si>
  <si>
    <t>同援深２．０・通訳・盲ろう</t>
  </si>
  <si>
    <t>B394</t>
  </si>
  <si>
    <t>同援深２．０・通訳・２人・盲ろう</t>
  </si>
  <si>
    <t>B395</t>
  </si>
  <si>
    <t>同援深２．０・通訳・区３</t>
  </si>
  <si>
    <t>B396</t>
  </si>
  <si>
    <t>同援深２．０・通訳・２人・区３</t>
  </si>
  <si>
    <t>B397</t>
  </si>
  <si>
    <t>同援深２．０・通訳・盲ろう・区３</t>
  </si>
  <si>
    <t>B398</t>
  </si>
  <si>
    <t>同援深２．０・通訳・２人・盲ろう・区３</t>
  </si>
  <si>
    <t>B399</t>
  </si>
  <si>
    <t>同援深２．０・通訳・区４</t>
  </si>
  <si>
    <t>B400</t>
  </si>
  <si>
    <t>同援深２．０・通訳・２人・区４</t>
  </si>
  <si>
    <t>同援深２．０・通訳・盲ろう・区４</t>
  </si>
  <si>
    <t>同援深２．０・通訳・２人・盲ろう・区４</t>
  </si>
  <si>
    <t>同援深２．５・通訳</t>
  </si>
  <si>
    <t>同援深２．５・通訳・２人</t>
  </si>
  <si>
    <t>B405</t>
  </si>
  <si>
    <t>同援深２．５・通訳・盲ろう</t>
  </si>
  <si>
    <t>B406</t>
  </si>
  <si>
    <t>同援深２．５・通訳・２人・盲ろう</t>
  </si>
  <si>
    <t>B407</t>
  </si>
  <si>
    <t>同援深２．５・通訳・区３</t>
  </si>
  <si>
    <t>B408</t>
  </si>
  <si>
    <t>同援深２．５・通訳・２人・区３</t>
  </si>
  <si>
    <t>B409</t>
  </si>
  <si>
    <t>同援深２．５・通訳・盲ろう・区３</t>
  </si>
  <si>
    <t>B410</t>
  </si>
  <si>
    <t>同援深２．５・通訳・２人・盲ろう・区３</t>
  </si>
  <si>
    <t>B411</t>
  </si>
  <si>
    <t>同援深２．５・通訳・区４</t>
  </si>
  <si>
    <t>B412</t>
  </si>
  <si>
    <t>同援深２．５・通訳・２人・区４</t>
  </si>
  <si>
    <t>B413</t>
  </si>
  <si>
    <t>同援深２．５・通訳・盲ろう・区４</t>
  </si>
  <si>
    <t>B414</t>
  </si>
  <si>
    <t>同援深２．５・通訳・２人・盲ろう・区４</t>
  </si>
  <si>
    <t>B415</t>
  </si>
  <si>
    <t>同援深３．０・通訳</t>
  </si>
  <si>
    <t>B416</t>
  </si>
  <si>
    <t>同援深３．０・通訳・２人</t>
  </si>
  <si>
    <t>B417</t>
  </si>
  <si>
    <t>同援深３．０・通訳・盲ろう</t>
  </si>
  <si>
    <t>B418</t>
  </si>
  <si>
    <t>同援深３．０・通訳・２人・盲ろう</t>
  </si>
  <si>
    <t>B419</t>
  </si>
  <si>
    <t>同援深３．０・通訳・区３</t>
  </si>
  <si>
    <t>B420</t>
  </si>
  <si>
    <t>同援深３．０・通訳・２人・区３</t>
  </si>
  <si>
    <t>同援深３．０・通訳・盲ろう・区３</t>
  </si>
  <si>
    <t>同援深３．０・通訳・２人・盲ろう・区３</t>
  </si>
  <si>
    <t>同援深３．０・通訳・区４</t>
  </si>
  <si>
    <t>同援深３．０・通訳・２人・区４</t>
  </si>
  <si>
    <t>B425</t>
  </si>
  <si>
    <t>同援深３．０・通訳・盲ろう・区４</t>
  </si>
  <si>
    <t>B426</t>
  </si>
  <si>
    <t>同援深３．０・通訳・２人・盲ろう・区４</t>
  </si>
  <si>
    <t>B427</t>
  </si>
  <si>
    <t>同援深３．５・通訳</t>
  </si>
  <si>
    <t>B428</t>
  </si>
  <si>
    <t>同援深３．５・通訳・２人</t>
  </si>
  <si>
    <t>B429</t>
  </si>
  <si>
    <t>同援深３．５・通訳・盲ろう</t>
  </si>
  <si>
    <t>B430</t>
  </si>
  <si>
    <t>同援深３．５・通訳・２人・盲ろう</t>
  </si>
  <si>
    <t>B431</t>
  </si>
  <si>
    <t>同援深３．５・通訳・区３</t>
  </si>
  <si>
    <t>B432</t>
  </si>
  <si>
    <t>同援深３．５・通訳・２人・区３</t>
  </si>
  <si>
    <t>B433</t>
  </si>
  <si>
    <t>同援深３．５・通訳・盲ろう・区３</t>
  </si>
  <si>
    <t>B434</t>
  </si>
  <si>
    <t>同援深３．５・通訳・２人・盲ろう・区３</t>
  </si>
  <si>
    <t>B435</t>
  </si>
  <si>
    <t>同援深３．５・通訳・区４</t>
  </si>
  <si>
    <t>B436</t>
  </si>
  <si>
    <t>同援深３．５・通訳・２人・区４</t>
  </si>
  <si>
    <t>B437</t>
  </si>
  <si>
    <t>同援深３．５・通訳・盲ろう・区４</t>
  </si>
  <si>
    <t>B438</t>
  </si>
  <si>
    <t>同援深３．５・通訳・２人・盲ろう・区４</t>
  </si>
  <si>
    <t>B439</t>
  </si>
  <si>
    <t>同援深４．０・通訳</t>
  </si>
  <si>
    <t>B440</t>
  </si>
  <si>
    <t>同援深４．０・通訳・２人</t>
  </si>
  <si>
    <t>同援深４．０・通訳・盲ろう</t>
  </si>
  <si>
    <t>同援深４．０・通訳・２人・盲ろう</t>
  </si>
  <si>
    <t>同援深４．０・通訳・区３</t>
  </si>
  <si>
    <t>同援深４．０・通訳・２人・区３</t>
  </si>
  <si>
    <t>B445</t>
  </si>
  <si>
    <t>同援深４．０・通訳・盲ろう・区３</t>
  </si>
  <si>
    <t>B446</t>
  </si>
  <si>
    <t>同援深４．０・通訳・２人・盲ろう・区３</t>
  </si>
  <si>
    <t>B447</t>
  </si>
  <si>
    <t>同援深４．０・通訳・区４</t>
  </si>
  <si>
    <t>B448</t>
  </si>
  <si>
    <t>同援深４．０・通訳・２人・区４</t>
  </si>
  <si>
    <t>B449</t>
  </si>
  <si>
    <t>同援深４．０・通訳・盲ろう・区４</t>
  </si>
  <si>
    <t>B450</t>
  </si>
  <si>
    <t>同援深４．０・通訳・２人・盲ろう・区４</t>
  </si>
  <si>
    <t>B451</t>
  </si>
  <si>
    <t>同援深４．５・通訳</t>
  </si>
  <si>
    <t>B452</t>
  </si>
  <si>
    <t>同援深４．５・通訳・２人</t>
  </si>
  <si>
    <t>B453</t>
  </si>
  <si>
    <t>同援深４．５・通訳・盲ろう</t>
  </si>
  <si>
    <t>B454</t>
  </si>
  <si>
    <t>同援深４．５・通訳・２人・盲ろう</t>
  </si>
  <si>
    <t>B455</t>
  </si>
  <si>
    <t>同援深４．５・通訳・区３</t>
  </si>
  <si>
    <t>B456</t>
  </si>
  <si>
    <t>同援深４．５・通訳・２人・区３</t>
  </si>
  <si>
    <t>B457</t>
  </si>
  <si>
    <t>同援深４．５・通訳・盲ろう・区３</t>
  </si>
  <si>
    <t>B458</t>
  </si>
  <si>
    <t>同援深４．５・通訳・２人・盲ろう・区３</t>
  </si>
  <si>
    <t>B459</t>
  </si>
  <si>
    <t>同援深４．５・通訳・区４</t>
  </si>
  <si>
    <t>B460</t>
  </si>
  <si>
    <t>同援深４．５・通訳・２人・区４</t>
  </si>
  <si>
    <t>同援深４．５・通訳・盲ろう・区４</t>
  </si>
  <si>
    <t>同援深４．５・通訳・２人・盲ろう・区４</t>
  </si>
  <si>
    <t>同援深５．０・通訳</t>
  </si>
  <si>
    <t>同援深５．０・通訳・２人</t>
  </si>
  <si>
    <t>B465</t>
  </si>
  <si>
    <t>同援深５．０・通訳・盲ろう</t>
  </si>
  <si>
    <t>B466</t>
  </si>
  <si>
    <t>同援深５．０・通訳・２人・盲ろう</t>
  </si>
  <si>
    <t>B467</t>
  </si>
  <si>
    <t>同援深５．０・通訳・区３</t>
  </si>
  <si>
    <t>B468</t>
  </si>
  <si>
    <t>同援深５．０・通訳・２人・区３</t>
  </si>
  <si>
    <t>B469</t>
  </si>
  <si>
    <t>同援深５．０・通訳・盲ろう・区３</t>
  </si>
  <si>
    <t>B470</t>
  </si>
  <si>
    <t>同援深５．０・通訳・２人・盲ろう・区３</t>
  </si>
  <si>
    <t>B471</t>
  </si>
  <si>
    <t>同援深５．０・通訳・区４</t>
  </si>
  <si>
    <t>B472</t>
  </si>
  <si>
    <t>同援深５．０・通訳・２人・区４</t>
  </si>
  <si>
    <t>B473</t>
  </si>
  <si>
    <t>同援深５．０・通訳・盲ろう・区４</t>
  </si>
  <si>
    <t>B474</t>
  </si>
  <si>
    <t>同援深５．０・通訳・２人・盲ろう・区４</t>
  </si>
  <si>
    <t>B475</t>
  </si>
  <si>
    <t>同援深５．５・通訳</t>
  </si>
  <si>
    <t>B476</t>
  </si>
  <si>
    <t>同援深５．５・通訳・２人</t>
  </si>
  <si>
    <t>B477</t>
  </si>
  <si>
    <t>同援深５．５・通訳・盲ろう</t>
  </si>
  <si>
    <t>B478</t>
  </si>
  <si>
    <t>同援深５．５・通訳・２人・盲ろう</t>
  </si>
  <si>
    <t>B479</t>
  </si>
  <si>
    <t>同援深５．５・通訳・区３</t>
  </si>
  <si>
    <t>B480</t>
  </si>
  <si>
    <t>同援深５．５・通訳・２人・区３</t>
  </si>
  <si>
    <t>同援深５．５・通訳・盲ろう・区３</t>
  </si>
  <si>
    <t>同援深５．５・通訳・２人・盲ろう・区３</t>
  </si>
  <si>
    <t>同援深５．５・通訳・区４</t>
  </si>
  <si>
    <t>同援深５．５・通訳・２人・区４</t>
  </si>
  <si>
    <t>B485</t>
  </si>
  <si>
    <t>同援深５．５・通訳・盲ろう・区４</t>
  </si>
  <si>
    <t>B486</t>
  </si>
  <si>
    <t>同援深５．５・通訳・２人・盲ろう・区４</t>
  </si>
  <si>
    <t>B487</t>
  </si>
  <si>
    <t>同援深６．０・通訳</t>
  </si>
  <si>
    <t>B488</t>
  </si>
  <si>
    <t>同援深６．０・通訳・２人</t>
  </si>
  <si>
    <t>B489</t>
  </si>
  <si>
    <t>同援深６．０・通訳・盲ろう</t>
  </si>
  <si>
    <t>B490</t>
  </si>
  <si>
    <t>同援深６．０・通訳・２人・盲ろう</t>
  </si>
  <si>
    <t>B491</t>
  </si>
  <si>
    <t>同援深６．０・通訳・区３</t>
  </si>
  <si>
    <t>B492</t>
  </si>
  <si>
    <t>同援深６．０・通訳・２人・区３</t>
  </si>
  <si>
    <t>B493</t>
  </si>
  <si>
    <t>同援深６．０・通訳・盲ろう・区３</t>
  </si>
  <si>
    <t>B494</t>
  </si>
  <si>
    <t>同援深６．０・通訳・２人・盲ろう・区３</t>
  </si>
  <si>
    <t>B495</t>
  </si>
  <si>
    <t>同援深６．０・通訳・区４</t>
  </si>
  <si>
    <t>B496</t>
  </si>
  <si>
    <t>同援深６．０・通訳・２人・区４</t>
  </si>
  <si>
    <t>B497</t>
  </si>
  <si>
    <t>同援深６．０・通訳・盲ろう・区４</t>
  </si>
  <si>
    <t>B498</t>
  </si>
  <si>
    <t>同援深６．０・通訳・２人・盲ろう・区４</t>
  </si>
  <si>
    <t>B499</t>
  </si>
  <si>
    <t>同援深６．５・通訳</t>
  </si>
  <si>
    <t>B500</t>
  </si>
  <si>
    <t>同援深６．５・通訳・２人</t>
  </si>
  <si>
    <t>同援深６．５・通訳・盲ろう</t>
  </si>
  <si>
    <t>同援深６．５・通訳・２人・盲ろう</t>
  </si>
  <si>
    <t>同援深６．５・通訳・区３</t>
  </si>
  <si>
    <t>同援深６．５・通訳・２人・区３</t>
  </si>
  <si>
    <t>B505</t>
  </si>
  <si>
    <t>同援深６．５・通訳・盲ろう・区３</t>
  </si>
  <si>
    <t>B506</t>
  </si>
  <si>
    <t>同援深６．５・通訳・２人・盲ろう・区３</t>
  </si>
  <si>
    <t>B507</t>
  </si>
  <si>
    <t>同援深６．５・通訳・区４</t>
  </si>
  <si>
    <t>B508</t>
  </si>
  <si>
    <t>同援深６．５・通訳・２人・区４</t>
  </si>
  <si>
    <t>B509</t>
  </si>
  <si>
    <t>同援深６．５・通訳・盲ろう・区４</t>
  </si>
  <si>
    <t>B510</t>
  </si>
  <si>
    <t>同援深６．５・通訳・２人・盲ろう・区４</t>
  </si>
  <si>
    <t>（盲ろう者向け通訳・介助員：深夜＋早朝）</t>
    <phoneticPr fontId="1"/>
  </si>
  <si>
    <t>B511</t>
  </si>
  <si>
    <t>同援深０．５・早０．５・通訳</t>
  </si>
  <si>
    <t>B512</t>
  </si>
  <si>
    <t>同援深０．５・早０．５・通訳・２人</t>
  </si>
  <si>
    <t>B513</t>
  </si>
  <si>
    <t>同援深０．５・早０．５・通訳・盲ろう</t>
  </si>
  <si>
    <t>B514</t>
  </si>
  <si>
    <t>同援深０．５・早０．５・通訳・２人・盲ろう</t>
  </si>
  <si>
    <t>B515</t>
  </si>
  <si>
    <t>同援深０．５・早０．５・通訳・区３</t>
  </si>
  <si>
    <t>B516</t>
  </si>
  <si>
    <t>同援深０．５・早０．５・通訳・２人・区３</t>
  </si>
  <si>
    <t>B517</t>
  </si>
  <si>
    <t>同援深０．５・早０．５・通訳・盲ろう・区３</t>
  </si>
  <si>
    <t>場合 A</t>
  </si>
  <si>
    <t>場合 B</t>
    <phoneticPr fontId="1"/>
  </si>
  <si>
    <t>B518</t>
  </si>
  <si>
    <t>同援深０．５・早０．５・通訳・２人・盲ろう・区３</t>
  </si>
  <si>
    <t>B519</t>
  </si>
  <si>
    <t>同援深０．５・早０．５・通訳・区４</t>
  </si>
  <si>
    <t>B520</t>
  </si>
  <si>
    <t>同援深０．５・早０．５・通訳・２人・区４</t>
  </si>
  <si>
    <t>同援深０．５・早０．５・通訳・盲ろう・区４</t>
  </si>
  <si>
    <t>同援深０．５・早０．５・通訳・２人・盲ろう・区４</t>
  </si>
  <si>
    <t>同援深０．５・早１．０・通訳</t>
  </si>
  <si>
    <t>同援深０．５・早１．０・通訳・２人</t>
  </si>
  <si>
    <t>B525</t>
  </si>
  <si>
    <t>同援深０．５・早１．０・通訳・盲ろう</t>
  </si>
  <si>
    <t>B526</t>
  </si>
  <si>
    <t>同援深０．５・早１．０・通訳・２人・盲ろう</t>
  </si>
  <si>
    <t>B527</t>
  </si>
  <si>
    <t>同援深０．５・早１．０・通訳・区３</t>
  </si>
  <si>
    <t>B528</t>
  </si>
  <si>
    <t>同援深０．５・早１．０・通訳・２人・区３</t>
  </si>
  <si>
    <t>B529</t>
  </si>
  <si>
    <t>同援深０．５・早１．０・通訳・盲ろう・区３</t>
  </si>
  <si>
    <t>B530</t>
  </si>
  <si>
    <t>同援深０．５・早１．０・通訳・２人・盲ろう・区３</t>
  </si>
  <si>
    <t>B531</t>
  </si>
  <si>
    <t>同援深０．５・早１．０・通訳・区４</t>
  </si>
  <si>
    <t>B532</t>
  </si>
  <si>
    <t>同援深０．５・早１．０・通訳・２人・区４</t>
  </si>
  <si>
    <t>B533</t>
  </si>
  <si>
    <t>同援深０．５・早１．０・通訳・盲ろう・区４</t>
  </si>
  <si>
    <t>B534</t>
  </si>
  <si>
    <t>同援深０．５・早１．０・通訳・２人・盲ろう・区４</t>
  </si>
  <si>
    <t>B535</t>
  </si>
  <si>
    <t>同援深０．５・早１．５・通訳</t>
  </si>
  <si>
    <t>B536</t>
  </si>
  <si>
    <t>同援深０．５・早１．５・通訳・２人</t>
  </si>
  <si>
    <t>B537</t>
  </si>
  <si>
    <t>同援深０．５・早１．５・通訳・盲ろう</t>
  </si>
  <si>
    <t>B538</t>
  </si>
  <si>
    <t>同援深０．５・早１．５・通訳・２人・盲ろう</t>
  </si>
  <si>
    <t>B539</t>
  </si>
  <si>
    <t>同援深０．５・早１．５・通訳・区３</t>
  </si>
  <si>
    <t>B540</t>
  </si>
  <si>
    <t>同援深０．５・早１．５・通訳・２人・区３</t>
  </si>
  <si>
    <t>同援深０．５・早１．５・通訳・盲ろう・区３</t>
  </si>
  <si>
    <t>同援深０．５・早１．５・通訳・２人・盲ろう・区３</t>
  </si>
  <si>
    <t>同援深０．５・早１．５・通訳・区４</t>
  </si>
  <si>
    <t>同援深０．５・早１．５・通訳・２人・区４</t>
  </si>
  <si>
    <t>B545</t>
  </si>
  <si>
    <t>同援深０．５・早１．５・通訳・盲ろう・区４</t>
  </si>
  <si>
    <t>B546</t>
  </si>
  <si>
    <t>同援深０．５・早１．５・通訳・２人・盲ろう・区４</t>
  </si>
  <si>
    <t>B547</t>
  </si>
  <si>
    <t>同援深０．５・早２．０・通訳</t>
  </si>
  <si>
    <t>B548</t>
  </si>
  <si>
    <t>同援深０．５・早２．０・通訳・２人</t>
  </si>
  <si>
    <t>B549</t>
  </si>
  <si>
    <t>同援深０．５・早２．０・通訳・盲ろう</t>
  </si>
  <si>
    <t>B550</t>
  </si>
  <si>
    <t>同援深０．５・早２．０・通訳・２人・盲ろう</t>
  </si>
  <si>
    <t>B551</t>
  </si>
  <si>
    <t>同援深０．５・早２．０・通訳・区３</t>
  </si>
  <si>
    <t>B552</t>
  </si>
  <si>
    <t>同援深０．５・早２．０・通訳・２人・区３</t>
  </si>
  <si>
    <t>B553</t>
  </si>
  <si>
    <t>同援深０．５・早２．０・通訳・盲ろう・区３</t>
  </si>
  <si>
    <t>B554</t>
  </si>
  <si>
    <t>同援深０．５・早２．０・通訳・２人・盲ろう・区３</t>
  </si>
  <si>
    <t>B555</t>
  </si>
  <si>
    <t>同援深０．５・早２．０・通訳・区４</t>
  </si>
  <si>
    <t>B556</t>
  </si>
  <si>
    <t>同援深０．５・早２．０・通訳・２人・区４</t>
  </si>
  <si>
    <t>B557</t>
  </si>
  <si>
    <t>同援深０．５・早２．０・通訳・盲ろう・区４</t>
  </si>
  <si>
    <t>B558</t>
  </si>
  <si>
    <t>同援深０．５・早２．０・通訳・２人・盲ろう・区４</t>
  </si>
  <si>
    <t>B559</t>
  </si>
  <si>
    <t>同援深０．５・早２．５・通訳</t>
  </si>
  <si>
    <t>B560</t>
  </si>
  <si>
    <t>同援深０．５・早２．５・通訳・２人</t>
  </si>
  <si>
    <t>同援深０．５・早２．５・通訳・盲ろう</t>
  </si>
  <si>
    <t>同援深０．５・早２．５・通訳・２人・盲ろう</t>
  </si>
  <si>
    <t>同援深０．５・早２．５・通訳・区３</t>
  </si>
  <si>
    <t>同援深０．５・早２．５・通訳・２人・区３</t>
  </si>
  <si>
    <t>B565</t>
  </si>
  <si>
    <t>同援深０．５・早２．５・通訳・盲ろう・区３</t>
  </si>
  <si>
    <t>B566</t>
  </si>
  <si>
    <t>同援深０．５・早２．５・通訳・２人・盲ろう・区３</t>
  </si>
  <si>
    <t>B567</t>
  </si>
  <si>
    <t>同援深０．５・早２．５・通訳・区４</t>
  </si>
  <si>
    <t>B568</t>
  </si>
  <si>
    <t>同援深０．５・早２．５・通訳・２人・区４</t>
  </si>
  <si>
    <t>B569</t>
  </si>
  <si>
    <t>同援深０．５・早２．５・通訳・盲ろう・区４</t>
  </si>
  <si>
    <t>B570</t>
  </si>
  <si>
    <t>同援深０．５・早２．５・通訳・２人・盲ろう・区４</t>
  </si>
  <si>
    <t>B571</t>
  </si>
  <si>
    <t>同援深１．０・早０．５・通訳</t>
  </si>
  <si>
    <t>B572</t>
  </si>
  <si>
    <t>同援深１．０・早０．５・通訳・２人</t>
  </si>
  <si>
    <t>B573</t>
  </si>
  <si>
    <t>同援深１．０・早０．５・通訳・盲ろう</t>
  </si>
  <si>
    <t>B574</t>
  </si>
  <si>
    <t>同援深１．０・早０．５・通訳・２人・盲ろう</t>
  </si>
  <si>
    <t>B575</t>
  </si>
  <si>
    <t>同援深１．０・早０．５・通訳・区３</t>
  </si>
  <si>
    <t>B576</t>
  </si>
  <si>
    <t>同援深１．０・早０．５・通訳・２人・区３</t>
  </si>
  <si>
    <t>B577</t>
  </si>
  <si>
    <t>同援深１．０・早０．５・通訳・盲ろう・区３</t>
  </si>
  <si>
    <t>B578</t>
  </si>
  <si>
    <t>同援深１．０・早０．５・通訳・２人・盲ろう・区３</t>
  </si>
  <si>
    <t>B579</t>
  </si>
  <si>
    <t>同援深１．０・早０．５・通訳・区４</t>
  </si>
  <si>
    <t>B580</t>
  </si>
  <si>
    <t>同援深１．０・早０．５・通訳・２人・区４</t>
  </si>
  <si>
    <t>同援深１．０・早０．５・通訳・盲ろう・区４</t>
  </si>
  <si>
    <t>同援深１．０・早０．５・通訳・２人・盲ろう・区４</t>
  </si>
  <si>
    <t>同援深１．０・早１．０・通訳</t>
  </si>
  <si>
    <t>同援深１．０・早１．０・通訳・２人</t>
  </si>
  <si>
    <t>B585</t>
  </si>
  <si>
    <t>同援深１．０・早１．０・通訳・盲ろう</t>
  </si>
  <si>
    <t>B586</t>
  </si>
  <si>
    <t>同援深１．０・早１．０・通訳・２人・盲ろう</t>
  </si>
  <si>
    <t>B587</t>
  </si>
  <si>
    <t>同援深１．０・早１．０・通訳・区３</t>
  </si>
  <si>
    <t>B588</t>
  </si>
  <si>
    <t>同援深１．０・早１．０・通訳・２人・区３</t>
  </si>
  <si>
    <t>B589</t>
  </si>
  <si>
    <t>同援深１．０・早１．０・通訳・盲ろう・区３</t>
  </si>
  <si>
    <t>B590</t>
  </si>
  <si>
    <t>同援深１．０・早１．０・通訳・２人・盲ろう・区３</t>
  </si>
  <si>
    <t>B591</t>
  </si>
  <si>
    <t>同援深１．０・早１．０・通訳・区４</t>
  </si>
  <si>
    <t>B592</t>
  </si>
  <si>
    <t>同援深１．０・早１．０・通訳・２人・区４</t>
  </si>
  <si>
    <t>B593</t>
  </si>
  <si>
    <t>同援深１．０・早１．０・通訳・盲ろう・区４</t>
  </si>
  <si>
    <t>B594</t>
  </si>
  <si>
    <t>同援深１．０・早１．０・通訳・２人・盲ろう・区４</t>
  </si>
  <si>
    <t>B595</t>
  </si>
  <si>
    <t>同援深１．０・早１．５・通訳</t>
  </si>
  <si>
    <t>B596</t>
  </si>
  <si>
    <t>同援深１．０・早１．５・通訳・２人</t>
  </si>
  <si>
    <t>B597</t>
  </si>
  <si>
    <t>同援深１．０・早１．５・通訳・盲ろう</t>
  </si>
  <si>
    <t>B598</t>
  </si>
  <si>
    <t>同援深１．０・早１．５・通訳・２人・盲ろう</t>
  </si>
  <si>
    <t>B599</t>
  </si>
  <si>
    <t>同援深１．０・早１．５・通訳・区３</t>
  </si>
  <si>
    <t>B600</t>
  </si>
  <si>
    <t>同援深１．０・早１．５・通訳・２人・区３</t>
  </si>
  <si>
    <t>同援深１．０・早１．５・通訳・盲ろう・区３</t>
  </si>
  <si>
    <t>同援深１．０・早１．５・通訳・２人・盲ろう・区３</t>
  </si>
  <si>
    <t>同援深１．０・早１．５・通訳・区４</t>
  </si>
  <si>
    <t>同援深１．０・早１．５・通訳・２人・区４</t>
  </si>
  <si>
    <t>B605</t>
  </si>
  <si>
    <t>同援深１．０・早１．５・通訳・盲ろう・区４</t>
  </si>
  <si>
    <t>B606</t>
  </si>
  <si>
    <t>同援深１．０・早１．５・通訳・２人・盲ろう・区４</t>
  </si>
  <si>
    <t>B607</t>
  </si>
  <si>
    <t>同援深１．０・早２．０・通訳</t>
  </si>
  <si>
    <t>B608</t>
  </si>
  <si>
    <t>同援深１．０・早２．０・通訳・２人</t>
  </si>
  <si>
    <t>B609</t>
  </si>
  <si>
    <t>同援深１．０・早２．０・通訳・盲ろう</t>
  </si>
  <si>
    <t>B610</t>
  </si>
  <si>
    <t>同援深１．０・早２．０・通訳・２人・盲ろう</t>
  </si>
  <si>
    <t>B611</t>
  </si>
  <si>
    <t>同援深１．０・早２．０・通訳・区３</t>
  </si>
  <si>
    <t>B612</t>
  </si>
  <si>
    <t>同援深１．０・早２．０・通訳・２人・区３</t>
  </si>
  <si>
    <t>B613</t>
  </si>
  <si>
    <t>同援深１．０・早２．０・通訳・盲ろう・区３</t>
  </si>
  <si>
    <t>B614</t>
  </si>
  <si>
    <t>同援深１．０・早２．０・通訳・２人・盲ろう・区３</t>
  </si>
  <si>
    <t>B615</t>
  </si>
  <si>
    <t>同援深１．０・早２．０・通訳・区４</t>
  </si>
  <si>
    <t>B616</t>
  </si>
  <si>
    <t>同援深１．０・早２．０・通訳・２人・区４</t>
  </si>
  <si>
    <t>B617</t>
  </si>
  <si>
    <t>同援深１．０・早２．０・通訳・盲ろう・区４</t>
  </si>
  <si>
    <t>B618</t>
  </si>
  <si>
    <t>同援深１．０・早２．０・通訳・２人・盲ろう・区４</t>
  </si>
  <si>
    <t>B619</t>
  </si>
  <si>
    <t>同援深１．５・早０．５・通訳</t>
  </si>
  <si>
    <t>B620</t>
  </si>
  <si>
    <t>同援深１．５・早０．５・通訳・２人</t>
  </si>
  <si>
    <t>同援深１．５・早０．５・通訳・盲ろう</t>
  </si>
  <si>
    <t>同援深１．５・早０．５・通訳・２人・盲ろう</t>
  </si>
  <si>
    <t>同援深１．５・早０．５・通訳・区３</t>
  </si>
  <si>
    <t>同援深１．５・早０．５・通訳・２人・区３</t>
  </si>
  <si>
    <t>B625</t>
  </si>
  <si>
    <t>同援深１．５・早０．５・通訳・盲ろう・区３</t>
  </si>
  <si>
    <t>B626</t>
  </si>
  <si>
    <t>同援深１．５・早０．５・通訳・２人・盲ろう・区３</t>
  </si>
  <si>
    <t>B627</t>
  </si>
  <si>
    <t>同援深１．５・早０．５・通訳・区４</t>
  </si>
  <si>
    <t>B628</t>
  </si>
  <si>
    <t>同援深１．５・早０．５・通訳・２人・区４</t>
  </si>
  <si>
    <t>B629</t>
  </si>
  <si>
    <t>同援深１．５・早０．５・通訳・盲ろう・区４</t>
  </si>
  <si>
    <t>B630</t>
  </si>
  <si>
    <t>同援深１．５・早０．５・通訳・２人・盲ろう・区４</t>
  </si>
  <si>
    <t>B631</t>
  </si>
  <si>
    <t>同援深１．５・早１．０・通訳</t>
  </si>
  <si>
    <t>B632</t>
  </si>
  <si>
    <t>同援深１．５・早１．０・通訳・２人</t>
  </si>
  <si>
    <t>B633</t>
  </si>
  <si>
    <t>同援深１．５・早１．０・通訳・盲ろう</t>
  </si>
  <si>
    <t>B634</t>
  </si>
  <si>
    <t>同援深１．５・早１．０・通訳・２人・盲ろう</t>
  </si>
  <si>
    <t>B635</t>
  </si>
  <si>
    <t>同援深１．５・早１．０・通訳・区３</t>
  </si>
  <si>
    <t>B636</t>
  </si>
  <si>
    <t>同援深１．５・早１．０・通訳・２人・区３</t>
  </si>
  <si>
    <t>B637</t>
  </si>
  <si>
    <t>同援深１．５・早１．０・通訳・盲ろう・区３</t>
  </si>
  <si>
    <t>B638</t>
  </si>
  <si>
    <t>同援深１．５・早１．０・通訳・２人・盲ろう・区３</t>
  </si>
  <si>
    <t>B639</t>
  </si>
  <si>
    <t>同援深１．５・早１．０・通訳・区４</t>
  </si>
  <si>
    <t>B640</t>
  </si>
  <si>
    <t>同援深１．５・早１．０・通訳・２人・区４</t>
  </si>
  <si>
    <t>同援深１．５・早１．０・通訳・盲ろう・区４</t>
  </si>
  <si>
    <t>同援深１．５・早１．０・通訳・２人・盲ろう・区４</t>
  </si>
  <si>
    <t>同援深１．５・早１．５・通訳</t>
  </si>
  <si>
    <t>同援深１．５・早１．５・通訳・２人</t>
  </si>
  <si>
    <t>B645</t>
  </si>
  <si>
    <t>同援深１．５・早１．５・通訳・盲ろう</t>
  </si>
  <si>
    <t>B646</t>
  </si>
  <si>
    <t>同援深１．５・早１．５・通訳・２人・盲ろう</t>
  </si>
  <si>
    <t>B647</t>
  </si>
  <si>
    <t>同援深１．５・早１．５・通訳・区３</t>
  </si>
  <si>
    <t>B648</t>
  </si>
  <si>
    <t>同援深１．５・早１．５・通訳・２人・区３</t>
  </si>
  <si>
    <t>B649</t>
  </si>
  <si>
    <t>同援深１．５・早１．５・通訳・盲ろう・区３</t>
  </si>
  <si>
    <t>B650</t>
  </si>
  <si>
    <t>同援深１．５・早１．５・通訳・２人・盲ろう・区３</t>
  </si>
  <si>
    <t>B651</t>
  </si>
  <si>
    <t>同援深１．５・早１．５・通訳・区４</t>
  </si>
  <si>
    <t>B652</t>
  </si>
  <si>
    <t>同援深１．５・早１．５・通訳・２人・区４</t>
  </si>
  <si>
    <t>B653</t>
  </si>
  <si>
    <t>同援深１．５・早１．５・通訳・盲ろう・区４</t>
  </si>
  <si>
    <t>B654</t>
  </si>
  <si>
    <t>同援深１．５・早１．５・通訳・２人・盲ろう・区４</t>
  </si>
  <si>
    <t>B655</t>
  </si>
  <si>
    <t>同援深２．０・早０．５・通訳</t>
  </si>
  <si>
    <t>B656</t>
  </si>
  <si>
    <t>同援深２．０・早０．５・通訳・２人</t>
  </si>
  <si>
    <t>B657</t>
  </si>
  <si>
    <t>同援深２．０・早０．５・通訳・盲ろう</t>
  </si>
  <si>
    <t>B658</t>
  </si>
  <si>
    <t>同援深２．０・早０．５・通訳・２人・盲ろう</t>
  </si>
  <si>
    <t>B659</t>
  </si>
  <si>
    <t>同援深２．０・早０．５・通訳・区３</t>
  </si>
  <si>
    <t>B660</t>
  </si>
  <si>
    <t>同援深２．０・早０．５・通訳・２人・区３</t>
  </si>
  <si>
    <t>同援深２．０・早０．５・通訳・盲ろう・区３</t>
  </si>
  <si>
    <t>同援深２．０・早０．５・通訳・２人・盲ろう・区３</t>
  </si>
  <si>
    <t>同援深２．０・早０．５・通訳・区４</t>
  </si>
  <si>
    <t>同援深２．０・早０．５・通訳・２人・区４</t>
  </si>
  <si>
    <t>B665</t>
  </si>
  <si>
    <t>同援深２．０・早０．５・通訳・盲ろう・区４</t>
  </si>
  <si>
    <t>B666</t>
  </si>
  <si>
    <t>同援深２．０・早０．５・通訳・２人・盲ろう・区４</t>
  </si>
  <si>
    <t>B667</t>
  </si>
  <si>
    <t>同援深２．０・早１．０・通訳</t>
  </si>
  <si>
    <t>B668</t>
  </si>
  <si>
    <t>同援深２．０・早１．０・通訳・２人</t>
  </si>
  <si>
    <t>B669</t>
  </si>
  <si>
    <t>同援深２．０・早１．０・通訳・盲ろう</t>
  </si>
  <si>
    <t>B670</t>
  </si>
  <si>
    <t>同援深２．０・早１．０・通訳・２人・盲ろう</t>
  </si>
  <si>
    <t>B671</t>
  </si>
  <si>
    <t>同援深２．０・早１．０・通訳・区３</t>
  </si>
  <si>
    <t>B672</t>
  </si>
  <si>
    <t>同援深２．０・早１．０・通訳・２人・区３</t>
  </si>
  <si>
    <t>B673</t>
  </si>
  <si>
    <t>同援深２．０・早１．０・通訳・盲ろう・区３</t>
  </si>
  <si>
    <t>B674</t>
  </si>
  <si>
    <t>同援深２．０・早１．０・通訳・２人・盲ろう・区３</t>
  </si>
  <si>
    <t>B675</t>
  </si>
  <si>
    <t>同援深２．０・早１．０・通訳・区４</t>
  </si>
  <si>
    <t>B676</t>
  </si>
  <si>
    <t>同援深２．０・早１．０・通訳・２人・区４</t>
  </si>
  <si>
    <t>B677</t>
  </si>
  <si>
    <t>同援深２．０・早１．０・通訳・盲ろう・区４</t>
  </si>
  <si>
    <t>B678</t>
  </si>
  <si>
    <t>同援深２．０・早１．０・通訳・２人・盲ろう・区４</t>
  </si>
  <si>
    <t>B679</t>
  </si>
  <si>
    <t>同援深２．５・早０．５・通訳</t>
  </si>
  <si>
    <t>B680</t>
  </si>
  <si>
    <t>同援深２．５・早０．５・通訳・２人</t>
  </si>
  <si>
    <t>同援深２．５・早０．５・通訳・盲ろう</t>
  </si>
  <si>
    <t>同援深２．５・早０．５・通訳・２人・盲ろう</t>
  </si>
  <si>
    <t>同援深２．５・早０．５・通訳・区３</t>
  </si>
  <si>
    <t>同援深２．５・早０．５・通訳・２人・区３</t>
  </si>
  <si>
    <t>B685</t>
  </si>
  <si>
    <t>同援深２．５・早０．５・通訳・盲ろう・区３</t>
  </si>
  <si>
    <t>B686</t>
  </si>
  <si>
    <t>同援深２．５・早０．５・通訳・２人・盲ろう・区３</t>
  </si>
  <si>
    <t>B687</t>
  </si>
  <si>
    <t>同援深２．５・早０．５・通訳・区４</t>
  </si>
  <si>
    <t>B688</t>
  </si>
  <si>
    <t>同援深２．５・早０．５・通訳・２人・区４</t>
  </si>
  <si>
    <t>B689</t>
  </si>
  <si>
    <t>同援深２．５・早０．５・通訳・盲ろう・区４</t>
  </si>
  <si>
    <t>B690</t>
  </si>
  <si>
    <t>同援深２．５・早０．５・通訳・２人・盲ろう・区４</t>
  </si>
  <si>
    <t>（盲ろう者向け通訳・介助員：早朝＋日中）</t>
    <phoneticPr fontId="1"/>
  </si>
  <si>
    <t>B691</t>
  </si>
  <si>
    <t>同援早０．５・日０．５・通訳</t>
  </si>
  <si>
    <t>B692</t>
  </si>
  <si>
    <t>同援早０．５・日０．５・通訳・２人</t>
  </si>
  <si>
    <t>B693</t>
  </si>
  <si>
    <t>同援早０．５・日０．５・通訳・盲ろう</t>
  </si>
  <si>
    <t>B694</t>
  </si>
  <si>
    <t>同援早０．５・日０．５・通訳・２人・盲ろう</t>
  </si>
  <si>
    <t>B695</t>
  </si>
  <si>
    <t>同援早０．５・日０．５・通訳・区３</t>
  </si>
  <si>
    <t>B696</t>
  </si>
  <si>
    <t>同援早０．５・日０．５・通訳・２人・区３</t>
  </si>
  <si>
    <t>B697</t>
  </si>
  <si>
    <t>同援早０．５・日０．５・通訳・盲ろう・区３</t>
  </si>
  <si>
    <t>場合 Ａ</t>
    <phoneticPr fontId="1"/>
  </si>
  <si>
    <t>B698</t>
  </si>
  <si>
    <t>同援早０．５・日０．５・通訳・２人・盲ろう・区３</t>
  </si>
  <si>
    <t>B699</t>
  </si>
  <si>
    <t>同援早０．５・日０．５・通訳・区４</t>
  </si>
  <si>
    <t>B700</t>
  </si>
  <si>
    <t>同援早０．５・日０．５・通訳・２人・区４</t>
  </si>
  <si>
    <t>同援早０．５・日０．５・通訳・盲ろう・区４</t>
  </si>
  <si>
    <t>同援早０．５・日０．５・通訳・２人・盲ろう・区４</t>
  </si>
  <si>
    <t>同援早０．５・日１．０・通訳</t>
  </si>
  <si>
    <t>同援早０．５・日１．０・通訳・２人</t>
  </si>
  <si>
    <t>B705</t>
  </si>
  <si>
    <t>同援早０．５・日１．０・通訳・盲ろう</t>
  </si>
  <si>
    <t>B706</t>
  </si>
  <si>
    <t>同援早０．５・日１．０・通訳・２人・盲ろう</t>
  </si>
  <si>
    <t>B707</t>
  </si>
  <si>
    <t>同援早０．５・日１．０・通訳・区３</t>
  </si>
  <si>
    <t>B708</t>
  </si>
  <si>
    <t>同援早０．５・日１．０・通訳・２人・区３</t>
  </si>
  <si>
    <t>B709</t>
  </si>
  <si>
    <t>同援早０．５・日１．０・通訳・盲ろう・区３</t>
  </si>
  <si>
    <t>B710</t>
  </si>
  <si>
    <t>同援早０．５・日１．０・通訳・２人・盲ろう・区３</t>
  </si>
  <si>
    <t>B711</t>
  </si>
  <si>
    <t>同援早０．５・日１．０・通訳・区４</t>
  </si>
  <si>
    <t>B712</t>
  </si>
  <si>
    <t>同援早０．５・日１．０・通訳・２人・区４</t>
  </si>
  <si>
    <t>B713</t>
  </si>
  <si>
    <t>同援早０．５・日１．０・通訳・盲ろう・区４</t>
  </si>
  <si>
    <t>B714</t>
  </si>
  <si>
    <t>同援早０．５・日１．０・通訳・２人・盲ろう・区４</t>
  </si>
  <si>
    <t>B715</t>
  </si>
  <si>
    <t>同援早０．５・日１．５・通訳</t>
  </si>
  <si>
    <t>B716</t>
  </si>
  <si>
    <t>同援早０．５・日１．５・通訳・２人</t>
  </si>
  <si>
    <t>B717</t>
  </si>
  <si>
    <t>同援早０．５・日１．５・通訳・盲ろう</t>
  </si>
  <si>
    <t>B718</t>
  </si>
  <si>
    <t>同援早０．５・日１．５・通訳・２人・盲ろう</t>
  </si>
  <si>
    <t>B719</t>
  </si>
  <si>
    <t>同援早０．５・日１．５・通訳・区３</t>
  </si>
  <si>
    <t>B720</t>
  </si>
  <si>
    <t>同援早０．５・日１．５・通訳・２人・区３</t>
  </si>
  <si>
    <t>同援早０．５・日１．５・通訳・盲ろう・区３</t>
  </si>
  <si>
    <t>同援早０．５・日１．５・通訳・２人・盲ろう・区３</t>
  </si>
  <si>
    <t>同援早０．５・日１．５・通訳・区４</t>
  </si>
  <si>
    <t>同援早０．５・日１．５・通訳・２人・区４</t>
  </si>
  <si>
    <t>B725</t>
  </si>
  <si>
    <t>同援早０．５・日１．５・通訳・盲ろう・区４</t>
  </si>
  <si>
    <t>B726</t>
  </si>
  <si>
    <t>同援早０．５・日１．５・通訳・２人・盲ろう・区４</t>
  </si>
  <si>
    <t>B727</t>
  </si>
  <si>
    <t>同援早０．５・日２．０・通訳</t>
  </si>
  <si>
    <t>B728</t>
  </si>
  <si>
    <t>同援早０．５・日２．０・通訳・２人</t>
  </si>
  <si>
    <t>B729</t>
  </si>
  <si>
    <t>同援早０．５・日２．０・通訳・盲ろう</t>
  </si>
  <si>
    <t>B730</t>
  </si>
  <si>
    <t>同援早０．５・日２．０・通訳・２人・盲ろう</t>
  </si>
  <si>
    <t>B731</t>
  </si>
  <si>
    <t>同援早０．５・日２．０・通訳・区３</t>
  </si>
  <si>
    <t>B732</t>
  </si>
  <si>
    <t>同援早０．５・日２．０・通訳・２人・区３</t>
  </si>
  <si>
    <t>B733</t>
  </si>
  <si>
    <t>同援早０．５・日２．０・通訳・盲ろう・区３</t>
  </si>
  <si>
    <t>B734</t>
  </si>
  <si>
    <t>同援早０．５・日２．０・通訳・２人・盲ろう・区３</t>
  </si>
  <si>
    <t>B735</t>
  </si>
  <si>
    <t>同援早０．５・日２．０・通訳・区４</t>
  </si>
  <si>
    <t>B736</t>
  </si>
  <si>
    <t>同援早０．５・日２．０・通訳・２人・区４</t>
  </si>
  <si>
    <t>B737</t>
  </si>
  <si>
    <t>同援早０．５・日２．０・通訳・盲ろう・区４</t>
  </si>
  <si>
    <t>B738</t>
  </si>
  <si>
    <t>同援早０．５・日２．０・通訳・２人・盲ろう・区４</t>
  </si>
  <si>
    <t>B739</t>
  </si>
  <si>
    <t>同援早０．５・日２．５・通訳</t>
  </si>
  <si>
    <t>B740</t>
  </si>
  <si>
    <t>同援早０．５・日２．５・通訳・２人</t>
  </si>
  <si>
    <t>同援早０．５・日２．５・通訳・盲ろう</t>
  </si>
  <si>
    <t>同援早０．５・日２．５・通訳・２人・盲ろう</t>
  </si>
  <si>
    <t>同援早０．５・日２．５・通訳・区３</t>
  </si>
  <si>
    <t>同援早０．５・日２．５・通訳・２人・区３</t>
  </si>
  <si>
    <t>B745</t>
  </si>
  <si>
    <t>同援早０．５・日２．５・通訳・盲ろう・区３</t>
  </si>
  <si>
    <t>B746</t>
  </si>
  <si>
    <t>同援早０．５・日２．５・通訳・２人・盲ろう・区３</t>
  </si>
  <si>
    <t>B747</t>
  </si>
  <si>
    <t>同援早０．５・日２．５・通訳・区４</t>
  </si>
  <si>
    <t>B748</t>
  </si>
  <si>
    <t>同援早０．５・日２．５・通訳・２人・区４</t>
  </si>
  <si>
    <t>B749</t>
  </si>
  <si>
    <t>同援早０．５・日２．５・通訳・盲ろう・区４</t>
  </si>
  <si>
    <t>B750</t>
  </si>
  <si>
    <t>同援早０．５・日２．５・通訳・２人・盲ろう・区４</t>
  </si>
  <si>
    <t>B751</t>
  </si>
  <si>
    <t>同援早１．０・日０．５・通訳</t>
  </si>
  <si>
    <t>B752</t>
  </si>
  <si>
    <t>同援早１．０・日０．５・通訳・２人</t>
  </si>
  <si>
    <t>B753</t>
  </si>
  <si>
    <t>同援早１．０・日０．５・通訳・盲ろう</t>
  </si>
  <si>
    <t>B754</t>
  </si>
  <si>
    <t>同援早１．０・日０．５・通訳・２人・盲ろう</t>
  </si>
  <si>
    <t>B755</t>
  </si>
  <si>
    <t>同援早１．０・日０．５・通訳・区３</t>
  </si>
  <si>
    <t>B756</t>
  </si>
  <si>
    <t>同援早１．０・日０．５・通訳・２人・区３</t>
  </si>
  <si>
    <t>B757</t>
  </si>
  <si>
    <t>同援早１．０・日０．５・通訳・盲ろう・区３</t>
  </si>
  <si>
    <t>B758</t>
  </si>
  <si>
    <t>同援早１．０・日０．５・通訳・２人・盲ろう・区３</t>
  </si>
  <si>
    <t>B759</t>
  </si>
  <si>
    <t>同援早１．０・日０．５・通訳・区４</t>
  </si>
  <si>
    <t>B760</t>
  </si>
  <si>
    <t>同援早１．０・日０．５・通訳・２人・区４</t>
  </si>
  <si>
    <t>同援早１．０・日０．５・通訳・盲ろう・区４</t>
  </si>
  <si>
    <t>同援早１．０・日０．５・通訳・２人・盲ろう・区４</t>
  </si>
  <si>
    <t>同援早１．０・日１．０・通訳</t>
  </si>
  <si>
    <t>同援早１．０・日１．０・通訳・２人</t>
  </si>
  <si>
    <t>B765</t>
  </si>
  <si>
    <t>同援早１．０・日１．０・通訳・盲ろう</t>
  </si>
  <si>
    <t>B766</t>
  </si>
  <si>
    <t>同援早１．０・日１．０・通訳・２人・盲ろう</t>
  </si>
  <si>
    <t>B767</t>
  </si>
  <si>
    <t>同援早１．０・日１．０・通訳・区３</t>
  </si>
  <si>
    <t>B768</t>
  </si>
  <si>
    <t>同援早１．０・日１．０・通訳・２人・区３</t>
  </si>
  <si>
    <t>B769</t>
  </si>
  <si>
    <t>同援早１．０・日１．０・通訳・盲ろう・区３</t>
  </si>
  <si>
    <t>B770</t>
  </si>
  <si>
    <t>同援早１．０・日１．０・通訳・２人・盲ろう・区３</t>
  </si>
  <si>
    <t>B771</t>
  </si>
  <si>
    <t>同援早１．０・日１．０・通訳・区４</t>
  </si>
  <si>
    <t>B772</t>
  </si>
  <si>
    <t>同援早１．０・日１．０・通訳・２人・区４</t>
  </si>
  <si>
    <t>B773</t>
  </si>
  <si>
    <t>同援早１．０・日１．０・通訳・盲ろう・区４</t>
  </si>
  <si>
    <t>B774</t>
  </si>
  <si>
    <t>同援早１．０・日１．０・通訳・２人・盲ろう・区４</t>
  </si>
  <si>
    <t>B775</t>
  </si>
  <si>
    <t>同援早１．０・日１．５・通訳</t>
  </si>
  <si>
    <t>B776</t>
  </si>
  <si>
    <t>同援早１．０・日１．５・通訳・２人</t>
  </si>
  <si>
    <t>B777</t>
  </si>
  <si>
    <t>同援早１．０・日１．５・通訳・盲ろう</t>
  </si>
  <si>
    <t>B778</t>
  </si>
  <si>
    <t>同援早１．０・日１．５・通訳・２人・盲ろう</t>
  </si>
  <si>
    <t>B779</t>
  </si>
  <si>
    <t>同援早１．０・日１．５・通訳・区３</t>
  </si>
  <si>
    <t>B780</t>
  </si>
  <si>
    <t>同援早１．０・日１．５・通訳・２人・区３</t>
  </si>
  <si>
    <t>同援早１．０・日１．５・通訳・盲ろう・区３</t>
  </si>
  <si>
    <t>同援早１．０・日１．５・通訳・２人・盲ろう・区３</t>
  </si>
  <si>
    <t>同援早１．０・日１．５・通訳・区４</t>
  </si>
  <si>
    <t>同援早１．０・日１．５・通訳・２人・区４</t>
  </si>
  <si>
    <t>B785</t>
  </si>
  <si>
    <t>同援早１．０・日１．５・通訳・盲ろう・区４</t>
  </si>
  <si>
    <t>B786</t>
  </si>
  <si>
    <t>同援早１．０・日１．５・通訳・２人・盲ろう・区４</t>
  </si>
  <si>
    <t>B787</t>
  </si>
  <si>
    <t>同援早１．０・日２．０・通訳</t>
  </si>
  <si>
    <t>B788</t>
  </si>
  <si>
    <t>同援早１．０・日２．０・通訳・２人</t>
  </si>
  <si>
    <t>B789</t>
  </si>
  <si>
    <t>同援早１．０・日２．０・通訳・盲ろう</t>
  </si>
  <si>
    <t>B790</t>
  </si>
  <si>
    <t>同援早１．０・日２．０・通訳・２人・盲ろう</t>
  </si>
  <si>
    <t>B791</t>
  </si>
  <si>
    <t>同援早１．０・日２．０・通訳・区３</t>
  </si>
  <si>
    <t>B792</t>
  </si>
  <si>
    <t>同援早１．０・日２．０・通訳・２人・区３</t>
  </si>
  <si>
    <t>B793</t>
  </si>
  <si>
    <t>同援早１．０・日２．０・通訳・盲ろう・区３</t>
  </si>
  <si>
    <t>B794</t>
  </si>
  <si>
    <t>同援早１．０・日２．０・通訳・２人・盲ろう・区３</t>
  </si>
  <si>
    <t>B795</t>
  </si>
  <si>
    <t>同援早１．０・日２．０・通訳・区４</t>
  </si>
  <si>
    <t>B796</t>
  </si>
  <si>
    <t>同援早１．０・日２．０・通訳・２人・区４</t>
  </si>
  <si>
    <t>B797</t>
  </si>
  <si>
    <t>同援早１．０・日２．０・通訳・盲ろう・区４</t>
  </si>
  <si>
    <t>B798</t>
  </si>
  <si>
    <t>同援早１．０・日２．０・通訳・２人・盲ろう・区４</t>
  </si>
  <si>
    <t>B799</t>
  </si>
  <si>
    <t>同援早１．５・日０．５・通訳</t>
  </si>
  <si>
    <t>B800</t>
  </si>
  <si>
    <t>同援早１．５・日０．５・通訳・２人</t>
  </si>
  <si>
    <t>同援早１．５・日０．５・通訳・盲ろう</t>
  </si>
  <si>
    <t>同援早１．５・日０．５・通訳・２人・盲ろう</t>
  </si>
  <si>
    <t>同援早１．５・日０．５・通訳・区３</t>
  </si>
  <si>
    <t>同援早１．５・日０．５・通訳・２人・区３</t>
  </si>
  <si>
    <t>B805</t>
  </si>
  <si>
    <t>同援早１．５・日０．５・通訳・盲ろう・区３</t>
  </si>
  <si>
    <t>B806</t>
  </si>
  <si>
    <t>同援早１．５・日０．５・通訳・２人・盲ろう・区３</t>
  </si>
  <si>
    <t>B807</t>
  </si>
  <si>
    <t>同援早１．５・日０．５・通訳・区４</t>
  </si>
  <si>
    <t>B808</t>
  </si>
  <si>
    <t>同援早１．５・日０．５・通訳・２人・区４</t>
  </si>
  <si>
    <t>B809</t>
  </si>
  <si>
    <t>同援早１．５・日０．５・通訳・盲ろう・区４</t>
  </si>
  <si>
    <t>B810</t>
  </si>
  <si>
    <t>同援早１．５・日０．５・通訳・２人・盲ろう・区４</t>
  </si>
  <si>
    <t>B811</t>
  </si>
  <si>
    <t>同援早１．５・日１．０・通訳</t>
  </si>
  <si>
    <t>B812</t>
  </si>
  <si>
    <t>同援早１．５・日１．０・通訳・２人</t>
  </si>
  <si>
    <t>B813</t>
  </si>
  <si>
    <t>同援早１．５・日１．０・通訳・盲ろう</t>
  </si>
  <si>
    <t>B814</t>
  </si>
  <si>
    <t>同援早１．５・日１．０・通訳・２人・盲ろう</t>
  </si>
  <si>
    <t>B815</t>
  </si>
  <si>
    <t>同援早１．５・日１．０・通訳・区３</t>
  </si>
  <si>
    <t>B816</t>
  </si>
  <si>
    <t>同援早１．５・日１．０・通訳・２人・区３</t>
  </si>
  <si>
    <t>B817</t>
  </si>
  <si>
    <t>同援早１．５・日１．０・通訳・盲ろう・区３</t>
  </si>
  <si>
    <t>B818</t>
  </si>
  <si>
    <t>同援早１．５・日１．０・通訳・２人・盲ろう・区３</t>
  </si>
  <si>
    <t>B819</t>
  </si>
  <si>
    <t>同援早１．５・日１．０・通訳・区４</t>
  </si>
  <si>
    <t>B820</t>
  </si>
  <si>
    <t>同援早１．５・日１．０・通訳・２人・区４</t>
  </si>
  <si>
    <t>同援早１．５・日１．０・通訳・盲ろう・区４</t>
  </si>
  <si>
    <t>同援早１．５・日１．０・通訳・２人・盲ろう・区４</t>
  </si>
  <si>
    <t>同援早１．５・日１．５・通訳</t>
  </si>
  <si>
    <t>同援早１．５・日１．５・通訳・２人</t>
  </si>
  <si>
    <t>B825</t>
  </si>
  <si>
    <t>同援早１．５・日１．５・通訳・盲ろう</t>
  </si>
  <si>
    <t>B826</t>
  </si>
  <si>
    <t>同援早１．５・日１．５・通訳・２人・盲ろう</t>
  </si>
  <si>
    <t>B827</t>
  </si>
  <si>
    <t>同援早１．５・日１．５・通訳・区３</t>
  </si>
  <si>
    <t>B828</t>
  </si>
  <si>
    <t>同援早１．５・日１．５・通訳・２人・区３</t>
  </si>
  <si>
    <t>B829</t>
  </si>
  <si>
    <t>同援早１．５・日１．５・通訳・盲ろう・区３</t>
  </si>
  <si>
    <t>B830</t>
  </si>
  <si>
    <t>同援早１．５・日１．５・通訳・２人・盲ろう・区３</t>
  </si>
  <si>
    <t>B831</t>
  </si>
  <si>
    <t>同援早１．５・日１．５・通訳・区４</t>
  </si>
  <si>
    <t>B832</t>
  </si>
  <si>
    <t>同援早１．５・日１．５・通訳・２人・区４</t>
  </si>
  <si>
    <t>B833</t>
  </si>
  <si>
    <t>同援早１．５・日１．５・通訳・盲ろう・区４</t>
  </si>
  <si>
    <t>B834</t>
  </si>
  <si>
    <t>同援早１．５・日１．５・通訳・２人・盲ろう・区４</t>
  </si>
  <si>
    <t>B835</t>
  </si>
  <si>
    <t>同援早２．０・日０．５・通訳</t>
  </si>
  <si>
    <t>B836</t>
  </si>
  <si>
    <t>同援早２．０・日０．５・通訳・２人</t>
  </si>
  <si>
    <t>B837</t>
  </si>
  <si>
    <t>同援早２．０・日０．５・通訳・盲ろう</t>
  </si>
  <si>
    <t>B838</t>
  </si>
  <si>
    <t>同援早２．０・日０．５・通訳・２人・盲ろう</t>
  </si>
  <si>
    <t>B839</t>
  </si>
  <si>
    <t>同援早２．０・日０．５・通訳・区３</t>
  </si>
  <si>
    <t>B840</t>
  </si>
  <si>
    <t>同援早２．０・日０．５・通訳・２人・区３</t>
  </si>
  <si>
    <t>同援早２．０・日０．５・通訳・盲ろう・区３</t>
  </si>
  <si>
    <t>同援早２．０・日０．５・通訳・２人・盲ろう・区３</t>
  </si>
  <si>
    <t>同援早２．０・日０．５・通訳・区４</t>
  </si>
  <si>
    <t>同援早２．０・日０．５・通訳・２人・区４</t>
  </si>
  <si>
    <t>B845</t>
  </si>
  <si>
    <t>同援早２．０・日０．５・通訳・盲ろう・区４</t>
  </si>
  <si>
    <t>B846</t>
  </si>
  <si>
    <t>同援早２．０・日０．５・通訳・２人・盲ろう・区４</t>
  </si>
  <si>
    <t>B847</t>
  </si>
  <si>
    <t>同援早２．０・日１．０・通訳</t>
  </si>
  <si>
    <t>B848</t>
  </si>
  <si>
    <t>同援早２．０・日１．０・通訳・２人</t>
  </si>
  <si>
    <t>B849</t>
  </si>
  <si>
    <t>同援早２．０・日１．０・通訳・盲ろう</t>
  </si>
  <si>
    <t>B850</t>
  </si>
  <si>
    <t>同援早２．０・日１．０・通訳・２人・盲ろう</t>
  </si>
  <si>
    <t>B851</t>
  </si>
  <si>
    <t>同援早２．０・日１．０・通訳・区３</t>
  </si>
  <si>
    <t>B852</t>
  </si>
  <si>
    <t>同援早２．０・日１．０・通訳・２人・区３</t>
  </si>
  <si>
    <t>B853</t>
  </si>
  <si>
    <t>同援早２．０・日１．０・通訳・盲ろう・区３</t>
  </si>
  <si>
    <t>B854</t>
  </si>
  <si>
    <t>同援早２．０・日１．０・通訳・２人・盲ろう・区３</t>
  </si>
  <si>
    <t>B855</t>
  </si>
  <si>
    <t>同援早２．０・日１．０・通訳・区４</t>
  </si>
  <si>
    <t>B856</t>
  </si>
  <si>
    <t>同援早２．０・日１．０・通訳・２人・区４</t>
  </si>
  <si>
    <t>B857</t>
  </si>
  <si>
    <t>同援早２．０・日１．０・通訳・盲ろう・区４</t>
  </si>
  <si>
    <t>B858</t>
  </si>
  <si>
    <t>同援早２．０・日１．０・通訳・２人・盲ろう・区４</t>
  </si>
  <si>
    <t>B859</t>
  </si>
  <si>
    <t>同援早２．５・日０．５・通訳</t>
  </si>
  <si>
    <t>B860</t>
  </si>
  <si>
    <t>同援早２．５・日０．５・通訳・２人</t>
  </si>
  <si>
    <t>同援早２．５・日０．５・通訳・盲ろう</t>
  </si>
  <si>
    <t>同援早２．５・日０．５・通訳・２人・盲ろう</t>
  </si>
  <si>
    <t>同援早２．５・日０．５・通訳・区３</t>
  </si>
  <si>
    <t>同援早２．５・日０．５・通訳・２人・区３</t>
  </si>
  <si>
    <t>B865</t>
  </si>
  <si>
    <t>同援早２．５・日０．５・通訳・盲ろう・区３</t>
  </si>
  <si>
    <t>B866</t>
  </si>
  <si>
    <t>同援早２．５・日０．５・通訳・２人・盲ろう・区３</t>
  </si>
  <si>
    <t>B867</t>
  </si>
  <si>
    <t>同援早２．５・日０．５・通訳・区４</t>
  </si>
  <si>
    <t>B868</t>
  </si>
  <si>
    <t>同援早２．５・日０．５・通訳・２人・区４</t>
  </si>
  <si>
    <t>B869</t>
  </si>
  <si>
    <t>同援早２．５・日０．５・通訳・盲ろう・区４</t>
  </si>
  <si>
    <t>B870</t>
  </si>
  <si>
    <t>同援早２．５・日０．５・通訳・２人・盲ろう・区４</t>
  </si>
  <si>
    <t>（盲ろう者向け通訳・介助員：日中＋夜間）</t>
    <phoneticPr fontId="1"/>
  </si>
  <si>
    <t>B871</t>
  </si>
  <si>
    <t>同援日０．５・夜０．５・通訳</t>
  </si>
  <si>
    <t>B872</t>
  </si>
  <si>
    <t>同援日０．５・夜０．５・通訳・２人</t>
  </si>
  <si>
    <t>B873</t>
  </si>
  <si>
    <t>同援日０．５・夜０．５・通訳・盲ろう</t>
  </si>
  <si>
    <t>B874</t>
  </si>
  <si>
    <t>同援日０．５・夜０．５・通訳・２人・盲ろう</t>
  </si>
  <si>
    <t>B875</t>
  </si>
  <si>
    <t>同援日０．５・夜０．５・通訳・区３</t>
  </si>
  <si>
    <t>盲ろう者向け通訳・介助員により行われる場合</t>
    <phoneticPr fontId="1"/>
  </si>
  <si>
    <t>B876</t>
  </si>
  <si>
    <t>同援日０．５・夜０．５・通訳・２人・区３</t>
  </si>
  <si>
    <t>B877</t>
  </si>
  <si>
    <t>同援日０．５・夜０．５・通訳・盲ろう・区３</t>
  </si>
  <si>
    <t>B878</t>
  </si>
  <si>
    <t>同援日０．５・夜０．５・通訳・２人・盲ろう・区３</t>
  </si>
  <si>
    <t>B879</t>
  </si>
  <si>
    <t>同援日０．５・夜０．５・通訳・区４</t>
  </si>
  <si>
    <t>B880</t>
  </si>
  <si>
    <t>同援日０．５・夜０．５・通訳・２人・区４</t>
  </si>
  <si>
    <t>同援日０．５・夜０．５・通訳・盲ろう・区４</t>
  </si>
  <si>
    <t>同援日０．５・夜０．５・通訳・２人・盲ろう・区４</t>
  </si>
  <si>
    <t>同援日０．５・夜１．０・通訳</t>
  </si>
  <si>
    <t>同援日０．５・夜１．０・通訳・２人</t>
  </si>
  <si>
    <t>B885</t>
  </si>
  <si>
    <t>同援日０．５・夜１．０・通訳・盲ろう</t>
  </si>
  <si>
    <t>B886</t>
  </si>
  <si>
    <t>同援日０．５・夜１．０・通訳・２人・盲ろう</t>
  </si>
  <si>
    <t>B887</t>
  </si>
  <si>
    <t>同援日０．５・夜１．０・通訳・区３</t>
  </si>
  <si>
    <t>B888</t>
  </si>
  <si>
    <t>同援日０．５・夜１．０・通訳・２人・区３</t>
  </si>
  <si>
    <t>B889</t>
  </si>
  <si>
    <t>同援日０．５・夜１．０・通訳・盲ろう・区３</t>
  </si>
  <si>
    <t>B890</t>
  </si>
  <si>
    <t>同援日０．５・夜１．０・通訳・２人・盲ろう・区３</t>
  </si>
  <si>
    <t>B891</t>
  </si>
  <si>
    <t>同援日０．５・夜１．０・通訳・区４</t>
  </si>
  <si>
    <t>B892</t>
  </si>
  <si>
    <t>同援日０．５・夜１．０・通訳・２人・区４</t>
  </si>
  <si>
    <t>B893</t>
  </si>
  <si>
    <t>同援日０．５・夜１．０・通訳・盲ろう・区４</t>
  </si>
  <si>
    <t>B894</t>
  </si>
  <si>
    <t>同援日０．５・夜１．０・通訳・２人・盲ろう・区４</t>
  </si>
  <si>
    <t>B895</t>
  </si>
  <si>
    <t>同援日０．５・夜１．５・通訳</t>
  </si>
  <si>
    <t>B896</t>
  </si>
  <si>
    <t>同援日０．５・夜１．５・通訳・２人</t>
  </si>
  <si>
    <t>B897</t>
  </si>
  <si>
    <t>同援日０．５・夜１．５・通訳・盲ろう</t>
  </si>
  <si>
    <t>B898</t>
  </si>
  <si>
    <t>同援日０．５・夜１．５・通訳・２人・盲ろう</t>
  </si>
  <si>
    <t>B899</t>
  </si>
  <si>
    <t>同援日０．５・夜１．５・通訳・区３</t>
  </si>
  <si>
    <t>B900</t>
  </si>
  <si>
    <t>同援日０．５・夜１．５・通訳・２人・区３</t>
  </si>
  <si>
    <t>同援日０．５・夜１．５・通訳・盲ろう・区３</t>
  </si>
  <si>
    <t>同援日０．５・夜１．５・通訳・２人・盲ろう・区３</t>
  </si>
  <si>
    <t>同援日０．５・夜１．５・通訳・区４</t>
  </si>
  <si>
    <t>同援日０．５・夜１．５・通訳・２人・区４</t>
  </si>
  <si>
    <t>B905</t>
  </si>
  <si>
    <t>同援日０．５・夜１．５・通訳・盲ろう・区４</t>
  </si>
  <si>
    <t>B906</t>
  </si>
  <si>
    <t>同援日０．５・夜１．５・通訳・２人・盲ろう・区４</t>
  </si>
  <si>
    <t>B907</t>
  </si>
  <si>
    <t>同援日０．５・夜２．０・通訳</t>
  </si>
  <si>
    <t>B908</t>
  </si>
  <si>
    <t>同援日０．５・夜２．０・通訳・２人</t>
  </si>
  <si>
    <t>B909</t>
  </si>
  <si>
    <t>同援日０．５・夜２．０・通訳・盲ろう</t>
  </si>
  <si>
    <t>B910</t>
  </si>
  <si>
    <t>同援日０．５・夜２．０・通訳・２人・盲ろう</t>
  </si>
  <si>
    <t>B911</t>
  </si>
  <si>
    <t>同援日０．５・夜２．０・通訳・区３</t>
  </si>
  <si>
    <t>B912</t>
  </si>
  <si>
    <t>同援日０．５・夜２．０・通訳・２人・区３</t>
  </si>
  <si>
    <t>B913</t>
  </si>
  <si>
    <t>同援日０．５・夜２．０・通訳・盲ろう・区３</t>
  </si>
  <si>
    <t>B914</t>
  </si>
  <si>
    <t>同援日０．５・夜２．０・通訳・２人・盲ろう・区３</t>
  </si>
  <si>
    <t>B915</t>
  </si>
  <si>
    <t>同援日０．５・夜２．０・通訳・区４</t>
  </si>
  <si>
    <t>B916</t>
  </si>
  <si>
    <t>同援日０．５・夜２．０・通訳・２人・区４</t>
  </si>
  <si>
    <t>B917</t>
  </si>
  <si>
    <t>同援日０．５・夜２．０・通訳・盲ろう・区４</t>
  </si>
  <si>
    <t>B918</t>
  </si>
  <si>
    <t>同援日０．５・夜２．０・通訳・２人・盲ろう・区４</t>
  </si>
  <si>
    <t>B919</t>
  </si>
  <si>
    <t>同援日０．５・夜２．５・通訳</t>
  </si>
  <si>
    <t>B920</t>
  </si>
  <si>
    <t>同援日０．５・夜２．５・通訳・２人</t>
  </si>
  <si>
    <t>同援日０．５・夜２．５・通訳・盲ろう</t>
  </si>
  <si>
    <t>同援日０．５・夜２．５・通訳・２人・盲ろう</t>
  </si>
  <si>
    <t>同援日０．５・夜２．５・通訳・区３</t>
  </si>
  <si>
    <t>同援日０．５・夜２．５・通訳・２人・区３</t>
  </si>
  <si>
    <t>B925</t>
  </si>
  <si>
    <t>同援日０．５・夜２．５・通訳・盲ろう・区３</t>
  </si>
  <si>
    <t>B926</t>
  </si>
  <si>
    <t>同援日０．５・夜２．５・通訳・２人・盲ろう・区３</t>
  </si>
  <si>
    <t>B927</t>
  </si>
  <si>
    <t>同援日０．５・夜２．５・通訳・区４</t>
  </si>
  <si>
    <t>B928</t>
  </si>
  <si>
    <t>同援日０．５・夜２．５・通訳・２人・区４</t>
  </si>
  <si>
    <t>B929</t>
  </si>
  <si>
    <t>同援日０．５・夜２．５・通訳・盲ろう・区４</t>
  </si>
  <si>
    <t>B930</t>
  </si>
  <si>
    <t>同援日０．５・夜２．５・通訳・２人・盲ろう・区４</t>
  </si>
  <si>
    <t>B931</t>
  </si>
  <si>
    <t>同援日１．０・夜０．５・通訳</t>
  </si>
  <si>
    <t>B932</t>
  </si>
  <si>
    <t>同援日１．０・夜０．５・通訳・２人</t>
  </si>
  <si>
    <t>B933</t>
  </si>
  <si>
    <t>同援日１．０・夜０．５・通訳・盲ろう</t>
  </si>
  <si>
    <t>B934</t>
  </si>
  <si>
    <t>同援日１．０・夜０．５・通訳・２人・盲ろう</t>
  </si>
  <si>
    <t>B935</t>
  </si>
  <si>
    <t>同援日１．０・夜０．５・通訳・区３</t>
  </si>
  <si>
    <t>B936</t>
  </si>
  <si>
    <t>同援日１．０・夜０．５・通訳・２人・区３</t>
  </si>
  <si>
    <t>B937</t>
  </si>
  <si>
    <t>同援日１．０・夜０．５・通訳・盲ろう・区３</t>
  </si>
  <si>
    <t>B938</t>
  </si>
  <si>
    <t>同援日１．０・夜０．５・通訳・２人・盲ろう・区３</t>
  </si>
  <si>
    <t>B939</t>
  </si>
  <si>
    <t>同援日１．０・夜０．５・通訳・区４</t>
  </si>
  <si>
    <t>B940</t>
  </si>
  <si>
    <t>同援日１．０・夜０．５・通訳・２人・区４</t>
  </si>
  <si>
    <t>同援日１．０・夜０．５・通訳・盲ろう・区４</t>
  </si>
  <si>
    <t>同援日１．０・夜０．５・通訳・２人・盲ろう・区４</t>
  </si>
  <si>
    <t>同援日１．０・夜１．０・通訳</t>
  </si>
  <si>
    <t>同援日１．０・夜１．０・通訳・２人</t>
  </si>
  <si>
    <t>B945</t>
  </si>
  <si>
    <t>同援日１．０・夜１．０・通訳・盲ろう</t>
  </si>
  <si>
    <t>B946</t>
  </si>
  <si>
    <t>同援日１．０・夜１．０・通訳・２人・盲ろう</t>
  </si>
  <si>
    <t>B947</t>
  </si>
  <si>
    <t>同援日１．０・夜１．０・通訳・区３</t>
  </si>
  <si>
    <t>B948</t>
  </si>
  <si>
    <t>同援日１．０・夜１．０・通訳・２人・区３</t>
  </si>
  <si>
    <t>B949</t>
  </si>
  <si>
    <t>同援日１．０・夜１．０・通訳・盲ろう・区３</t>
  </si>
  <si>
    <t>B950</t>
  </si>
  <si>
    <t>同援日１．０・夜１．０・通訳・２人・盲ろう・区３</t>
  </si>
  <si>
    <t>B951</t>
  </si>
  <si>
    <t>同援日１．０・夜１．０・通訳・区４</t>
  </si>
  <si>
    <t>B952</t>
  </si>
  <si>
    <t>同援日１．０・夜１．０・通訳・２人・区４</t>
  </si>
  <si>
    <t>B953</t>
  </si>
  <si>
    <t>同援日１．０・夜１．０・通訳・盲ろう・区４</t>
  </si>
  <si>
    <t>B954</t>
  </si>
  <si>
    <t>同援日１．０・夜１．０・通訳・２人・盲ろう・区４</t>
  </si>
  <si>
    <t>B955</t>
  </si>
  <si>
    <t>同援日１．０・夜１．５・通訳</t>
  </si>
  <si>
    <t>B956</t>
  </si>
  <si>
    <t>同援日１．０・夜１．５・通訳・２人</t>
  </si>
  <si>
    <t>B957</t>
  </si>
  <si>
    <t>同援日１．０・夜１．５・通訳・盲ろう</t>
  </si>
  <si>
    <t>B958</t>
  </si>
  <si>
    <t>同援日１．０・夜１．５・通訳・２人・盲ろう</t>
  </si>
  <si>
    <t>B959</t>
  </si>
  <si>
    <t>同援日１．０・夜１．５・通訳・区３</t>
  </si>
  <si>
    <t>B960</t>
  </si>
  <si>
    <t>同援日１．０・夜１．５・通訳・２人・区３</t>
  </si>
  <si>
    <t>同援日１．０・夜１．５・通訳・盲ろう・区３</t>
  </si>
  <si>
    <t>同援日１．０・夜１．５・通訳・２人・盲ろう・区３</t>
  </si>
  <si>
    <t>同援日１．０・夜１．５・通訳・区４</t>
  </si>
  <si>
    <t>同援日１．０・夜１．５・通訳・２人・区４</t>
  </si>
  <si>
    <t>B965</t>
  </si>
  <si>
    <t>同援日１．０・夜１．５・通訳・盲ろう・区４</t>
  </si>
  <si>
    <t>B966</t>
  </si>
  <si>
    <t>同援日１．０・夜１．５・通訳・２人・盲ろう・区４</t>
  </si>
  <si>
    <t>B967</t>
  </si>
  <si>
    <t>同援日１．０・夜２．０・通訳</t>
  </si>
  <si>
    <t>B968</t>
  </si>
  <si>
    <t>同援日１．０・夜２．０・通訳・２人</t>
  </si>
  <si>
    <t>B969</t>
  </si>
  <si>
    <t>同援日１．０・夜２．０・通訳・盲ろう</t>
  </si>
  <si>
    <t>B970</t>
  </si>
  <si>
    <t>同援日１．０・夜２．０・通訳・２人・盲ろう</t>
  </si>
  <si>
    <t>B971</t>
  </si>
  <si>
    <t>同援日１．０・夜２．０・通訳・区３</t>
  </si>
  <si>
    <t>B972</t>
  </si>
  <si>
    <t>同援日１．０・夜２．０・通訳・２人・区３</t>
  </si>
  <si>
    <t>B973</t>
  </si>
  <si>
    <t>同援日１．０・夜２．０・通訳・盲ろう・区３</t>
  </si>
  <si>
    <t>B974</t>
  </si>
  <si>
    <t>同援日１．０・夜２．０・通訳・２人・盲ろう・区３</t>
  </si>
  <si>
    <t>B975</t>
  </si>
  <si>
    <t>同援日１．０・夜２．０・通訳・区４</t>
  </si>
  <si>
    <t>B976</t>
  </si>
  <si>
    <t>同援日１．０・夜２．０・通訳・２人・区４</t>
  </si>
  <si>
    <t>B977</t>
  </si>
  <si>
    <t>同援日１．０・夜２．０・通訳・盲ろう・区４</t>
  </si>
  <si>
    <t>B978</t>
  </si>
  <si>
    <t>同援日１．０・夜２．０・通訳・２人・盲ろう・区４</t>
  </si>
  <si>
    <t>B979</t>
  </si>
  <si>
    <t>同援日１．５・夜０．５・通訳</t>
  </si>
  <si>
    <t>B980</t>
  </si>
  <si>
    <t>同援日１．５・夜０．５・通訳・２人</t>
  </si>
  <si>
    <t>同援日１．５・夜０．５・通訳・盲ろう</t>
  </si>
  <si>
    <t>同援日１．５・夜０．５・通訳・２人・盲ろう</t>
  </si>
  <si>
    <t>同援日１．５・夜０．５・通訳・区３</t>
  </si>
  <si>
    <t>同援日１．５・夜０．５・通訳・２人・区３</t>
  </si>
  <si>
    <t>B985</t>
  </si>
  <si>
    <t>同援日１．５・夜０．５・通訳・盲ろう・区３</t>
  </si>
  <si>
    <t>B986</t>
  </si>
  <si>
    <t>同援日１．５・夜０．５・通訳・２人・盲ろう・区３</t>
  </si>
  <si>
    <t>B987</t>
  </si>
  <si>
    <t>同援日１．５・夜０．５・通訳・区４</t>
  </si>
  <si>
    <t>B988</t>
  </si>
  <si>
    <t>同援日１．５・夜０．５・通訳・２人・区４</t>
  </si>
  <si>
    <t>B989</t>
  </si>
  <si>
    <t>同援日１．５・夜０．５・通訳・盲ろう・区４</t>
  </si>
  <si>
    <t>B990</t>
  </si>
  <si>
    <t>同援日１．５・夜０．５・通訳・２人・盲ろう・区４</t>
  </si>
  <si>
    <t>B991</t>
  </si>
  <si>
    <t>同援日１．５・夜１．０・通訳</t>
  </si>
  <si>
    <t>B992</t>
  </si>
  <si>
    <t>同援日１．５・夜１．０・通訳・２人</t>
  </si>
  <si>
    <t>B993</t>
  </si>
  <si>
    <t>同援日１．５・夜１．０・通訳・盲ろう</t>
  </si>
  <si>
    <t>B994</t>
  </si>
  <si>
    <t>同援日１．５・夜１．０・通訳・２人・盲ろう</t>
  </si>
  <si>
    <t>B995</t>
  </si>
  <si>
    <t>同援日１．５・夜１．０・通訳・区３</t>
  </si>
  <si>
    <t>B996</t>
  </si>
  <si>
    <t>同援日１．５・夜１．０・通訳・２人・区３</t>
  </si>
  <si>
    <t>B997</t>
  </si>
  <si>
    <t>同援日１．５・夜１．０・通訳・盲ろう・区３</t>
  </si>
  <si>
    <t>B998</t>
  </si>
  <si>
    <t>同援日１．５・夜１．０・通訳・２人・盲ろう・区３</t>
  </si>
  <si>
    <t>B999</t>
  </si>
  <si>
    <t>同援日１．５・夜１．０・通訳・区４</t>
  </si>
  <si>
    <t>BA00</t>
  </si>
  <si>
    <t>同援日１．５・夜１．０・通訳・２人・区４</t>
  </si>
  <si>
    <t>同援日１．５・夜１．０・通訳・盲ろう・区４</t>
  </si>
  <si>
    <t>同援日１．５・夜１．０・通訳・２人・盲ろう・区４</t>
  </si>
  <si>
    <t>同援日１．５・夜１．５・通訳</t>
  </si>
  <si>
    <t>同援日１．５・夜１．５・通訳・２人</t>
  </si>
  <si>
    <t>BA05</t>
  </si>
  <si>
    <t>同援日１．５・夜１．５・通訳・盲ろう</t>
  </si>
  <si>
    <t>BA06</t>
  </si>
  <si>
    <t>同援日１．５・夜１．５・通訳・２人・盲ろう</t>
  </si>
  <si>
    <t>BA07</t>
  </si>
  <si>
    <t>同援日１．５・夜１．５・通訳・区３</t>
  </si>
  <si>
    <t>BA08</t>
  </si>
  <si>
    <t>同援日１．５・夜１．５・通訳・２人・区３</t>
  </si>
  <si>
    <t>BA09</t>
  </si>
  <si>
    <t>同援日１．５・夜１．５・通訳・盲ろう・区３</t>
  </si>
  <si>
    <t>BA10</t>
  </si>
  <si>
    <t>同援日１．５・夜１．５・通訳・２人・盲ろう・区３</t>
  </si>
  <si>
    <t>BA11</t>
  </si>
  <si>
    <t>同援日１．５・夜１．５・通訳・区４</t>
  </si>
  <si>
    <t>BA12</t>
  </si>
  <si>
    <t>同援日１．５・夜１．５・通訳・２人・区４</t>
  </si>
  <si>
    <t>BA13</t>
  </si>
  <si>
    <t>同援日１．５・夜１．５・通訳・盲ろう・区４</t>
  </si>
  <si>
    <t>BA14</t>
  </si>
  <si>
    <t>同援日１．５・夜１．５・通訳・２人・盲ろう・区４</t>
  </si>
  <si>
    <t>BA15</t>
  </si>
  <si>
    <t>同援日２．０・夜０．５・通訳</t>
  </si>
  <si>
    <t>BA16</t>
  </si>
  <si>
    <t>同援日２．０・夜０．５・通訳・２人</t>
  </si>
  <si>
    <t>BA17</t>
  </si>
  <si>
    <t>同援日２．０・夜０．５・通訳・盲ろう</t>
  </si>
  <si>
    <t>BA18</t>
  </si>
  <si>
    <t>同援日２．０・夜０．５・通訳・２人・盲ろう</t>
  </si>
  <si>
    <t>BA19</t>
  </si>
  <si>
    <t>同援日２．０・夜０．５・通訳・区３</t>
  </si>
  <si>
    <t>BA20</t>
  </si>
  <si>
    <t>同援日２．０・夜０．５・通訳・２人・区３</t>
  </si>
  <si>
    <t>同援日２．０・夜０．５・通訳・盲ろう・区３</t>
  </si>
  <si>
    <t>同援日２．０・夜０．５・通訳・２人・盲ろう・区３</t>
  </si>
  <si>
    <t>同援日２．０・夜０．５・通訳・区４</t>
  </si>
  <si>
    <t>同援日２．０・夜０．５・通訳・２人・区４</t>
  </si>
  <si>
    <t>BA25</t>
  </si>
  <si>
    <t>同援日２．０・夜０．５・通訳・盲ろう・区４</t>
  </si>
  <si>
    <t>BA26</t>
  </si>
  <si>
    <t>同援日２．０・夜０．５・通訳・２人・盲ろう・区４</t>
  </si>
  <si>
    <t>BA27</t>
  </si>
  <si>
    <t>同援日２．０・夜１．０・通訳</t>
  </si>
  <si>
    <t>BA28</t>
  </si>
  <si>
    <t>同援日２．０・夜１．０・通訳・２人</t>
  </si>
  <si>
    <t>BA29</t>
  </si>
  <si>
    <t>同援日２．０・夜１．０・通訳・盲ろう</t>
  </si>
  <si>
    <t>BA30</t>
  </si>
  <si>
    <t>同援日２．０・夜１．０・通訳・２人・盲ろう</t>
  </si>
  <si>
    <t>BA31</t>
  </si>
  <si>
    <t>同援日２．０・夜１．０・通訳・区３</t>
  </si>
  <si>
    <t>BA32</t>
  </si>
  <si>
    <t>同援日２．０・夜１．０・通訳・２人・区３</t>
  </si>
  <si>
    <t>BA33</t>
  </si>
  <si>
    <t>同援日２．０・夜１．０・通訳・盲ろう・区３</t>
  </si>
  <si>
    <t>BA34</t>
  </si>
  <si>
    <t>同援日２．０・夜１．０・通訳・２人・盲ろう・区３</t>
  </si>
  <si>
    <t>BA35</t>
  </si>
  <si>
    <t>同援日２．０・夜１．０・通訳・区４</t>
  </si>
  <si>
    <t>BA36</t>
  </si>
  <si>
    <t>同援日２．０・夜１．０・通訳・２人・区４</t>
  </si>
  <si>
    <t>BA37</t>
  </si>
  <si>
    <t>同援日２．０・夜１．０・通訳・盲ろう・区４</t>
  </si>
  <si>
    <t>BA38</t>
  </si>
  <si>
    <t>同援日２．０・夜１．０・通訳・２人・盲ろう・区４</t>
  </si>
  <si>
    <t>BA39</t>
  </si>
  <si>
    <t>同援日２．５・夜０．５・通訳</t>
  </si>
  <si>
    <t>BA40</t>
  </si>
  <si>
    <t>同援日２．５・夜０．５・通訳・２人</t>
  </si>
  <si>
    <t>同援日２．５・夜０．５・通訳・盲ろう</t>
  </si>
  <si>
    <t>同援日２．５・夜０．５・通訳・２人・盲ろう</t>
  </si>
  <si>
    <t>同援日２．５・夜０．５・通訳・区３</t>
  </si>
  <si>
    <t>同援日２．５・夜０．５・通訳・２人・区３</t>
  </si>
  <si>
    <t>BA45</t>
  </si>
  <si>
    <t>同援日２．５・夜０．５・通訳・盲ろう・区３</t>
  </si>
  <si>
    <t>BA46</t>
  </si>
  <si>
    <t>同援日２．５・夜０．５・通訳・２人・盲ろう・区３</t>
  </si>
  <si>
    <t>BA47</t>
  </si>
  <si>
    <t>同援日２．５・夜０．５・通訳・区４</t>
  </si>
  <si>
    <t>BA48</t>
  </si>
  <si>
    <t>同援日２．５・夜０．５・通訳・２人・区４</t>
  </si>
  <si>
    <t>BA49</t>
  </si>
  <si>
    <t>同援日２．５・夜０．５・通訳・盲ろう・区４</t>
  </si>
  <si>
    <t>BA50</t>
  </si>
  <si>
    <t>同援日２．５・夜０．５・通訳・２人・盲ろう・区４</t>
  </si>
  <si>
    <t>（盲ろう者向け通訳・介助員：深夜＋早朝＋日中）</t>
    <phoneticPr fontId="1"/>
  </si>
  <si>
    <t>BA51</t>
  </si>
  <si>
    <t>同援深０．５・早２．０・日０．５・通訳</t>
  </si>
  <si>
    <t>BA52</t>
  </si>
  <si>
    <t>同援深０．５・早２．０・日０．５・通訳・２人</t>
  </si>
  <si>
    <t>BA53</t>
  </si>
  <si>
    <t>同援深０．５・早２．０・日０．５・通訳・盲ろう</t>
  </si>
  <si>
    <t>BA54</t>
  </si>
  <si>
    <t>同援深０．５・早２．０・日０．５・通訳・２人・盲ろう</t>
  </si>
  <si>
    <t>BA55</t>
  </si>
  <si>
    <t>同援深０．５・早２．０・日０．５・通訳・区３</t>
  </si>
  <si>
    <t>場合 Ｂ</t>
    <phoneticPr fontId="1"/>
  </si>
  <si>
    <t>BA56</t>
  </si>
  <si>
    <t>同援深０．５・早２．０・日０．５・通訳・２人・区３</t>
  </si>
  <si>
    <t>BA57</t>
  </si>
  <si>
    <t>同援深０．５・早２．０・日０．５・通訳・盲ろう・区３</t>
  </si>
  <si>
    <t>BA58</t>
  </si>
  <si>
    <t>同援深０．５・早２．０・日０．５・通訳・２人・盲ろう・区３</t>
  </si>
  <si>
    <t>BA59</t>
  </si>
  <si>
    <t>同援深０．５・早２．０・日０．５・通訳・区４</t>
  </si>
  <si>
    <t>BA60</t>
  </si>
  <si>
    <t>同援深０．５・早２．０・日０．５・通訳・２人・区４</t>
  </si>
  <si>
    <t>同援深０．５・早２．０・日０．５・通訳・盲ろう・区４</t>
  </si>
  <si>
    <t>同援深０．５・早２．０・日０．５・通訳・２人・盲ろう・区４</t>
  </si>
  <si>
    <t>（盲ろう者向け通訳・介助員：夜間＋深夜）</t>
    <phoneticPr fontId="1"/>
  </si>
  <si>
    <t>同援夜０．５・深０．５・通訳</t>
  </si>
  <si>
    <t>同援夜０．５・深０．５・通訳・２人</t>
  </si>
  <si>
    <t>BA65</t>
  </si>
  <si>
    <t>同援夜０．５・深０．５・通訳・盲ろう</t>
  </si>
  <si>
    <t>BA66</t>
  </si>
  <si>
    <t>同援夜０．５・深０．５・通訳・２人・盲ろう</t>
  </si>
  <si>
    <t>BA67</t>
  </si>
  <si>
    <t>同援夜０．５・深０．５・通訳・区３</t>
  </si>
  <si>
    <t>BA68</t>
  </si>
  <si>
    <t>同援夜０．５・深０．５・通訳・２人・区３</t>
  </si>
  <si>
    <t>BA69</t>
  </si>
  <si>
    <t>同援夜０．５・深０．５・通訳・盲ろう・区３</t>
  </si>
  <si>
    <t>BA70</t>
  </si>
  <si>
    <t>同援夜０．５・深０．５・通訳・２人・盲ろう・区３</t>
  </si>
  <si>
    <t>BA71</t>
  </si>
  <si>
    <t>同援夜０．５・深０．５・通訳・区４</t>
  </si>
  <si>
    <t>BA72</t>
  </si>
  <si>
    <t>同援夜０．５・深０．５・通訳・２人・区４</t>
  </si>
  <si>
    <t>BA73</t>
  </si>
  <si>
    <t>同援夜０．５・深０．５・通訳・盲ろう・区４</t>
  </si>
  <si>
    <t>BA74</t>
  </si>
  <si>
    <t>同援夜０．５・深０．５・通訳・２人・盲ろう・区４</t>
  </si>
  <si>
    <t>BA75</t>
  </si>
  <si>
    <t>同援夜０．５・深１．０・通訳</t>
  </si>
  <si>
    <t>BA76</t>
  </si>
  <si>
    <t>同援夜０．５・深１．０・通訳・２人</t>
  </si>
  <si>
    <t>BA77</t>
  </si>
  <si>
    <t>同援夜０．５・深１．０・通訳・盲ろう</t>
  </si>
  <si>
    <t>BA78</t>
  </si>
  <si>
    <t>同援夜０．５・深１．０・通訳・２人・盲ろう</t>
  </si>
  <si>
    <t>BA79</t>
  </si>
  <si>
    <t>同援夜０．５・深１．０・通訳・区３</t>
  </si>
  <si>
    <t>BA80</t>
  </si>
  <si>
    <t>同援夜０．５・深１．０・通訳・２人・区３</t>
  </si>
  <si>
    <t>同援夜０．５・深１．０・通訳・盲ろう・区３</t>
  </si>
  <si>
    <t>同援夜０．５・深１．０・通訳・２人・盲ろう・区３</t>
  </si>
  <si>
    <t>同援夜０．５・深１．０・通訳・区４</t>
  </si>
  <si>
    <t>同援夜０．５・深１．０・通訳・２人・区４</t>
  </si>
  <si>
    <t>BA85</t>
  </si>
  <si>
    <t>同援夜０．５・深１．０・通訳・盲ろう・区４</t>
  </si>
  <si>
    <t>BA86</t>
  </si>
  <si>
    <t>同援夜０．５・深１．０・通訳・２人・盲ろう・区４</t>
  </si>
  <si>
    <t>BA87</t>
  </si>
  <si>
    <t>同援夜０．５・深１．５・通訳</t>
  </si>
  <si>
    <t>BA88</t>
  </si>
  <si>
    <t>同援夜０．５・深１．５・通訳・２人</t>
  </si>
  <si>
    <t>BA89</t>
  </si>
  <si>
    <t>同援夜０．５・深１．５・通訳・盲ろう</t>
  </si>
  <si>
    <t>BA90</t>
  </si>
  <si>
    <t>同援夜０．５・深１．５・通訳・２人・盲ろう</t>
  </si>
  <si>
    <t>BA91</t>
  </si>
  <si>
    <t>同援夜０．５・深１．５・通訳・区３</t>
  </si>
  <si>
    <t>BA92</t>
  </si>
  <si>
    <t>同援夜０．５・深１．５・通訳・２人・区３</t>
  </si>
  <si>
    <t>BA93</t>
  </si>
  <si>
    <t>同援夜０．５・深１．５・通訳・盲ろう・区３</t>
  </si>
  <si>
    <t>BA94</t>
  </si>
  <si>
    <t>同援夜０．５・深１．５・通訳・２人・盲ろう・区３</t>
  </si>
  <si>
    <t>BA95</t>
  </si>
  <si>
    <t>同援夜０．５・深１．５・通訳・区４</t>
  </si>
  <si>
    <t>BA96</t>
  </si>
  <si>
    <t>同援夜０．５・深１．５・通訳・２人・区４</t>
  </si>
  <si>
    <t>BA97</t>
  </si>
  <si>
    <t>同援夜０．５・深１．５・通訳・盲ろう・区４</t>
  </si>
  <si>
    <t>BA98</t>
  </si>
  <si>
    <t>同援夜０．５・深１．５・通訳・２人・盲ろう・区４</t>
  </si>
  <si>
    <t>BA99</t>
  </si>
  <si>
    <t>同援夜０．５・深２．０・通訳</t>
  </si>
  <si>
    <t>BB00</t>
  </si>
  <si>
    <t>同援夜０．５・深２．０・通訳・２人</t>
  </si>
  <si>
    <t>同援夜０．５・深２．０・通訳・盲ろう</t>
  </si>
  <si>
    <t>同援夜０．５・深２．０・通訳・２人・盲ろう</t>
  </si>
  <si>
    <t>同援夜０．５・深２．０・通訳・区３</t>
  </si>
  <si>
    <t>同援夜０．５・深２．０・通訳・２人・区３</t>
  </si>
  <si>
    <t>BB05</t>
  </si>
  <si>
    <t>同援夜０．５・深２．０・通訳・盲ろう・区３</t>
  </si>
  <si>
    <t>BB06</t>
  </si>
  <si>
    <t>同援夜０．５・深２．０・通訳・２人・盲ろう・区３</t>
  </si>
  <si>
    <t>BB07</t>
  </si>
  <si>
    <t>同援夜０．５・深２．０・通訳・区４</t>
  </si>
  <si>
    <t>BB08</t>
  </si>
  <si>
    <t>同援夜０．５・深２．０・通訳・２人・区４</t>
  </si>
  <si>
    <t>BB09</t>
  </si>
  <si>
    <t>同援夜０．５・深２．０・通訳・盲ろう・区４</t>
  </si>
  <si>
    <t>BB10</t>
  </si>
  <si>
    <t>同援夜０．５・深２．０・通訳・２人・盲ろう・区４</t>
  </si>
  <si>
    <t>BB11</t>
  </si>
  <si>
    <t>同援夜０．５・深２．５・通訳</t>
  </si>
  <si>
    <t>BB12</t>
  </si>
  <si>
    <t>同援夜０．５・深２．５・通訳・２人</t>
  </si>
  <si>
    <t>BB13</t>
  </si>
  <si>
    <t>同援夜０．５・深２．５・通訳・盲ろう</t>
  </si>
  <si>
    <t>BB14</t>
  </si>
  <si>
    <t>同援夜０．５・深２．５・通訳・２人・盲ろう</t>
  </si>
  <si>
    <t>BB15</t>
  </si>
  <si>
    <t>同援夜０．５・深２．５・通訳・区３</t>
  </si>
  <si>
    <t>BB16</t>
  </si>
  <si>
    <t>同援夜０．５・深２．５・通訳・２人・区３</t>
  </si>
  <si>
    <t>BB17</t>
  </si>
  <si>
    <t>同援夜０．５・深２．５・通訳・盲ろう・区３</t>
  </si>
  <si>
    <t>BB18</t>
  </si>
  <si>
    <t>同援夜０．５・深２．５・通訳・２人・盲ろう・区３</t>
  </si>
  <si>
    <t>BB19</t>
  </si>
  <si>
    <t>同援夜０．５・深２．５・通訳・区４</t>
  </si>
  <si>
    <t>BB20</t>
  </si>
  <si>
    <t>同援夜０．５・深２．５・通訳・２人・区４</t>
  </si>
  <si>
    <t>同援夜０．５・深２．５・通訳・盲ろう・区４</t>
  </si>
  <si>
    <t>同援夜０．５・深２．５・通訳・２人・盲ろう・区４</t>
  </si>
  <si>
    <t>同援夜１．０・深０．５・通訳</t>
  </si>
  <si>
    <t>同援夜１．０・深０．５・通訳・２人</t>
  </si>
  <si>
    <t>BB25</t>
  </si>
  <si>
    <t>同援夜１．０・深０．５・通訳・盲ろう</t>
  </si>
  <si>
    <t>BB26</t>
  </si>
  <si>
    <t>同援夜１．０・深０．５・通訳・２人・盲ろう</t>
  </si>
  <si>
    <t>BB27</t>
  </si>
  <si>
    <t>同援夜１．０・深０．５・通訳・区３</t>
  </si>
  <si>
    <t>BB28</t>
  </si>
  <si>
    <t>同援夜１．０・深０．５・通訳・２人・区３</t>
  </si>
  <si>
    <t>BB29</t>
  </si>
  <si>
    <t>同援夜１．０・深０．５・通訳・盲ろう・区３</t>
  </si>
  <si>
    <t>BB30</t>
  </si>
  <si>
    <t>同援夜１．０・深０．５・通訳・２人・盲ろう・区３</t>
  </si>
  <si>
    <t>BB31</t>
  </si>
  <si>
    <t>同援夜１．０・深０．５・通訳・区４</t>
  </si>
  <si>
    <t>BB32</t>
  </si>
  <si>
    <t>同援夜１．０・深０．５・通訳・２人・区４</t>
  </si>
  <si>
    <t>BB33</t>
  </si>
  <si>
    <t>同援夜１．０・深０．５・通訳・盲ろう・区４</t>
  </si>
  <si>
    <t>BB34</t>
  </si>
  <si>
    <t>同援夜１．０・深０．５・通訳・２人・盲ろう・区４</t>
  </si>
  <si>
    <t>BB35</t>
  </si>
  <si>
    <t>同援夜１．０・深１．０・通訳</t>
  </si>
  <si>
    <t>BB36</t>
  </si>
  <si>
    <t>同援夜１．０・深１．０・通訳・２人</t>
  </si>
  <si>
    <t>BB37</t>
  </si>
  <si>
    <t>同援夜１．０・深１．０・通訳・盲ろう</t>
  </si>
  <si>
    <t>BB38</t>
  </si>
  <si>
    <t>同援夜１．０・深１．０・通訳・２人・盲ろう</t>
  </si>
  <si>
    <t>BB39</t>
  </si>
  <si>
    <t>同援夜１．０・深１．０・通訳・区３</t>
  </si>
  <si>
    <t>BB40</t>
  </si>
  <si>
    <t>同援夜１．０・深１．０・通訳・２人・区３</t>
  </si>
  <si>
    <t>同援夜１．０・深１．０・通訳・盲ろう・区３</t>
  </si>
  <si>
    <t>同援夜１．０・深１．０・通訳・２人・盲ろう・区３</t>
  </si>
  <si>
    <t>同援夜１．０・深１．０・通訳・区４</t>
  </si>
  <si>
    <t>同援夜１．０・深１．０・通訳・２人・区４</t>
  </si>
  <si>
    <t>BB45</t>
  </si>
  <si>
    <t>同援夜１．０・深１．０・通訳・盲ろう・区４</t>
  </si>
  <si>
    <t>BB46</t>
  </si>
  <si>
    <t>同援夜１．０・深１．０・通訳・２人・盲ろう・区４</t>
  </si>
  <si>
    <t>BB47</t>
  </si>
  <si>
    <t>同援夜１．０・深１．５・通訳</t>
  </si>
  <si>
    <t>BB48</t>
  </si>
  <si>
    <t>同援夜１．０・深１．５・通訳・２人</t>
  </si>
  <si>
    <t>BB49</t>
  </si>
  <si>
    <t>同援夜１．０・深１．５・通訳・盲ろう</t>
  </si>
  <si>
    <t>BB50</t>
  </si>
  <si>
    <t>同援夜１．０・深１．５・通訳・２人・盲ろう</t>
  </si>
  <si>
    <t>BB51</t>
  </si>
  <si>
    <t>同援夜１．０・深１．５・通訳・区３</t>
  </si>
  <si>
    <t>BB52</t>
  </si>
  <si>
    <t>同援夜１．０・深１．５・通訳・２人・区３</t>
  </si>
  <si>
    <t>BB53</t>
  </si>
  <si>
    <t>同援夜１．０・深１．５・通訳・盲ろう・区３</t>
  </si>
  <si>
    <t>BB54</t>
  </si>
  <si>
    <t>同援夜１．０・深１．５・通訳・２人・盲ろう・区３</t>
  </si>
  <si>
    <t>BB55</t>
  </si>
  <si>
    <t>同援夜１．０・深１．５・通訳・区４</t>
  </si>
  <si>
    <t>BB56</t>
  </si>
  <si>
    <t>同援夜１．０・深１．５・通訳・２人・区４</t>
  </si>
  <si>
    <t>BB57</t>
  </si>
  <si>
    <t>同援夜１．０・深１．５・通訳・盲ろう・区４</t>
  </si>
  <si>
    <t>BB58</t>
  </si>
  <si>
    <t>同援夜１．０・深１．５・通訳・２人・盲ろう・区４</t>
  </si>
  <si>
    <t>BB59</t>
  </si>
  <si>
    <t>同援夜１．０・深２．０・通訳</t>
  </si>
  <si>
    <t>BB60</t>
  </si>
  <si>
    <t>同援夜１．０・深２．０・通訳・２人</t>
  </si>
  <si>
    <t>同援夜１．０・深２．０・通訳・盲ろう</t>
  </si>
  <si>
    <t>同援夜１．０・深２．０・通訳・２人・盲ろう</t>
  </si>
  <si>
    <t>同援夜１．０・深２．０・通訳・区３</t>
  </si>
  <si>
    <t>同援夜１．０・深２．０・通訳・２人・区３</t>
  </si>
  <si>
    <t>BB65</t>
  </si>
  <si>
    <t>同援夜１．０・深２．０・通訳・盲ろう・区３</t>
  </si>
  <si>
    <t>BB66</t>
  </si>
  <si>
    <t>同援夜１．０・深２．０・通訳・２人・盲ろう・区３</t>
  </si>
  <si>
    <t>BB67</t>
  </si>
  <si>
    <t>同援夜１．０・深２．０・通訳・区４</t>
  </si>
  <si>
    <t>BB68</t>
  </si>
  <si>
    <t>同援夜１．０・深２．０・通訳・２人・区４</t>
  </si>
  <si>
    <t>BB69</t>
  </si>
  <si>
    <t>同援夜１．０・深２．０・通訳・盲ろう・区４</t>
  </si>
  <si>
    <t>BB70</t>
  </si>
  <si>
    <t>同援夜１．０・深２．０・通訳・２人・盲ろう・区４</t>
  </si>
  <si>
    <t>BB71</t>
  </si>
  <si>
    <t>同援夜１．５・深０．５・通訳</t>
  </si>
  <si>
    <t>BB72</t>
  </si>
  <si>
    <t>同援夜１．５・深０．５・通訳・２人</t>
  </si>
  <si>
    <t>BB73</t>
  </si>
  <si>
    <t>同援夜１．５・深０．５・通訳・盲ろう</t>
  </si>
  <si>
    <t>BB74</t>
  </si>
  <si>
    <t>同援夜１．５・深０．５・通訳・２人・盲ろう</t>
  </si>
  <si>
    <t>BB75</t>
  </si>
  <si>
    <t>同援夜１．５・深０．５・通訳・区３</t>
  </si>
  <si>
    <t>BB76</t>
  </si>
  <si>
    <t>同援夜１．５・深０．５・通訳・２人・区３</t>
  </si>
  <si>
    <t>BB77</t>
  </si>
  <si>
    <t>同援夜１．５・深０．５・通訳・盲ろう・区３</t>
  </si>
  <si>
    <t>BB78</t>
  </si>
  <si>
    <t>同援夜１．５・深０．５・通訳・２人・盲ろう・区３</t>
  </si>
  <si>
    <t>BB79</t>
  </si>
  <si>
    <t>同援夜１．５・深０．５・通訳・区４</t>
  </si>
  <si>
    <t>BB80</t>
  </si>
  <si>
    <t>同援夜１．５・深０．５・通訳・２人・区４</t>
  </si>
  <si>
    <t>同援夜１．５・深０．５・通訳・盲ろう・区４</t>
  </si>
  <si>
    <t>同援夜１．５・深０．５・通訳・２人・盲ろう・区４</t>
  </si>
  <si>
    <t>同援夜１．５・深１．０・通訳</t>
  </si>
  <si>
    <t>同援夜１．５・深１．０・通訳・２人</t>
  </si>
  <si>
    <t>BB85</t>
  </si>
  <si>
    <t>同援夜１．５・深１．０・通訳・盲ろう</t>
  </si>
  <si>
    <t>BB86</t>
  </si>
  <si>
    <t>同援夜１．５・深１．０・通訳・２人・盲ろう</t>
  </si>
  <si>
    <t>BB87</t>
  </si>
  <si>
    <t>同援夜１．５・深１．０・通訳・区３</t>
  </si>
  <si>
    <t>BB88</t>
  </si>
  <si>
    <t>同援夜１．５・深１．０・通訳・２人・区３</t>
  </si>
  <si>
    <t>BB89</t>
  </si>
  <si>
    <t>同援夜１．５・深１．０・通訳・盲ろう・区３</t>
  </si>
  <si>
    <t>BB90</t>
  </si>
  <si>
    <t>同援夜１．５・深１．０・通訳・２人・盲ろう・区３</t>
  </si>
  <si>
    <t>BB91</t>
  </si>
  <si>
    <t>同援夜１．５・深１．０・通訳・区４</t>
  </si>
  <si>
    <t>BB92</t>
  </si>
  <si>
    <t>同援夜１．５・深１．０・通訳・２人・区４</t>
  </si>
  <si>
    <t>BB93</t>
  </si>
  <si>
    <t>同援夜１．５・深１．０・通訳・盲ろう・区４</t>
  </si>
  <si>
    <t>BB94</t>
  </si>
  <si>
    <t>同援夜１．５・深１．０・通訳・２人・盲ろう・区４</t>
  </si>
  <si>
    <t>BB95</t>
  </si>
  <si>
    <t>同援夜１．５・深１．５・通訳</t>
  </si>
  <si>
    <t>BB96</t>
  </si>
  <si>
    <t>同援夜１．５・深１．５・通訳・２人</t>
  </si>
  <si>
    <t>BB97</t>
  </si>
  <si>
    <t>同援夜１．５・深１．５・通訳・盲ろう</t>
  </si>
  <si>
    <t>BB98</t>
  </si>
  <si>
    <t>同援夜１．５・深１．５・通訳・２人・盲ろう</t>
  </si>
  <si>
    <t>BB99</t>
  </si>
  <si>
    <t>同援夜１．５・深１．５・通訳・区３</t>
  </si>
  <si>
    <t>BC00</t>
  </si>
  <si>
    <t>同援夜１．５・深１．５・通訳・２人・区３</t>
  </si>
  <si>
    <t>同援夜１．５・深１．５・通訳・盲ろう・区３</t>
  </si>
  <si>
    <t>同援夜１．５・深１．５・通訳・２人・盲ろう・区３</t>
  </si>
  <si>
    <t>同援夜１．５・深１．５・通訳・区４</t>
  </si>
  <si>
    <t>同援夜１．５・深１．５・通訳・２人・区４</t>
  </si>
  <si>
    <t>BC05</t>
  </si>
  <si>
    <t>同援夜１．５・深１．５・通訳・盲ろう・区４</t>
  </si>
  <si>
    <t>BC06</t>
  </si>
  <si>
    <t>同援夜１．５・深１．５・通訳・２人・盲ろう・区４</t>
  </si>
  <si>
    <t>BC07</t>
  </si>
  <si>
    <t>同援夜２．０・深０．５・通訳</t>
  </si>
  <si>
    <t>BC08</t>
  </si>
  <si>
    <t>同援夜２．０・深０．５・通訳・２人</t>
  </si>
  <si>
    <t>BC09</t>
  </si>
  <si>
    <t>同援夜２．０・深０．５・通訳・盲ろう</t>
  </si>
  <si>
    <t>BC10</t>
  </si>
  <si>
    <t>同援夜２．０・深０．５・通訳・２人・盲ろう</t>
  </si>
  <si>
    <t>BC11</t>
  </si>
  <si>
    <t>同援夜２．０・深０．５・通訳・区３</t>
  </si>
  <si>
    <t>BC12</t>
  </si>
  <si>
    <t>同援夜２．０・深０．５・通訳・２人・区３</t>
  </si>
  <si>
    <t>BC13</t>
  </si>
  <si>
    <t>同援夜２．０・深０．５・通訳・盲ろう・区３</t>
  </si>
  <si>
    <t>BC14</t>
  </si>
  <si>
    <t>同援夜２．０・深０．５・通訳・２人・盲ろう・区３</t>
  </si>
  <si>
    <t>BC15</t>
  </si>
  <si>
    <t>同援夜２．０・深０．５・通訳・区４</t>
  </si>
  <si>
    <t>BC16</t>
  </si>
  <si>
    <t>同援夜２．０・深０．５・通訳・２人・区４</t>
  </si>
  <si>
    <t>BC17</t>
  </si>
  <si>
    <t>同援夜２．０・深０．５・通訳・盲ろう・区４</t>
  </si>
  <si>
    <t>BC18</t>
  </si>
  <si>
    <t>同援夜２．０・深０．５・通訳・２人・盲ろう・区４</t>
  </si>
  <si>
    <t>BC19</t>
  </si>
  <si>
    <t>同援夜２．０・深１．０・通訳</t>
  </si>
  <si>
    <t>BC20</t>
  </si>
  <si>
    <t>同援夜２．０・深１．０・通訳・２人</t>
  </si>
  <si>
    <t>同援夜２．０・深１．０・通訳・盲ろう</t>
  </si>
  <si>
    <t>同援夜２．０・深１．０・通訳・２人・盲ろう</t>
  </si>
  <si>
    <t>同援夜２．０・深１．０・通訳・区３</t>
  </si>
  <si>
    <t>同援夜２．０・深１．０・通訳・２人・区３</t>
  </si>
  <si>
    <t>BC25</t>
  </si>
  <si>
    <t>同援夜２．０・深１．０・通訳・盲ろう・区３</t>
  </si>
  <si>
    <t>BC26</t>
  </si>
  <si>
    <t>同援夜２．０・深１．０・通訳・２人・盲ろう・区３</t>
  </si>
  <si>
    <t>BC27</t>
  </si>
  <si>
    <t>同援夜２．０・深１．０・通訳・区４</t>
  </si>
  <si>
    <t>BC28</t>
  </si>
  <si>
    <t>同援夜２．０・深１．０・通訳・２人・区４</t>
  </si>
  <si>
    <t>BC29</t>
  </si>
  <si>
    <t>同援夜２．０・深１．０・通訳・盲ろう・区４</t>
  </si>
  <si>
    <t>BC30</t>
  </si>
  <si>
    <t>同援夜２．０・深１．０・通訳・２人・盲ろう・区４</t>
  </si>
  <si>
    <t>BC31</t>
  </si>
  <si>
    <t>同援夜２．５・深０．５・通訳</t>
  </si>
  <si>
    <t>BC32</t>
  </si>
  <si>
    <t>同援夜２．５・深０．５・通訳・２人</t>
  </si>
  <si>
    <t>BC33</t>
  </si>
  <si>
    <t>同援夜２．５・深０．５・通訳・盲ろう</t>
  </si>
  <si>
    <t>BC34</t>
  </si>
  <si>
    <t>同援夜２．５・深０．５・通訳・２人・盲ろう</t>
  </si>
  <si>
    <t>BC35</t>
  </si>
  <si>
    <t>同援夜２．５・深０．５・通訳・区３</t>
  </si>
  <si>
    <t>BC36</t>
  </si>
  <si>
    <t>同援夜２．５・深０．５・通訳・２人・区３</t>
  </si>
  <si>
    <t>BC37</t>
  </si>
  <si>
    <t>同援夜２．５・深０．５・通訳・盲ろう・区３</t>
  </si>
  <si>
    <t>BC38</t>
  </si>
  <si>
    <t>同援夜２．５・深０．５・通訳・２人・盲ろう・区３</t>
  </si>
  <si>
    <t>BC39</t>
  </si>
  <si>
    <t>同援夜２．５・深０．５・通訳・区４</t>
  </si>
  <si>
    <t>BC40</t>
  </si>
  <si>
    <t>同援夜２．５・深０．５・通訳・２人・区４</t>
  </si>
  <si>
    <t>同援夜２．５・深０．５・通訳・盲ろう・区４</t>
  </si>
  <si>
    <t>同援夜２．５・深０．５・通訳・２人・盲ろう・区４</t>
  </si>
  <si>
    <t>（盲ろう者向け通訳・介助員：日を跨る場合　２日目深夜増分）</t>
    <phoneticPr fontId="1"/>
  </si>
  <si>
    <t>BC43</t>
  </si>
  <si>
    <t>同援日跨増深０．５・深０．５・通訳</t>
  </si>
  <si>
    <t>BC44</t>
  </si>
  <si>
    <t>同援日跨増深０．５・深０．５・通訳・２人</t>
  </si>
  <si>
    <t>BC45</t>
  </si>
  <si>
    <t>同援日跨増深０．５・深０．５・通訳・盲ろう</t>
  </si>
  <si>
    <t>BC46</t>
  </si>
  <si>
    <t>同援日跨増深０．５・深０．５・通訳・２人・盲ろう</t>
  </si>
  <si>
    <t>BC47</t>
  </si>
  <si>
    <t>同援日跨増深０．５・深０．５・通訳・区３</t>
  </si>
  <si>
    <t>BC48</t>
  </si>
  <si>
    <t>同援日跨増深０．５・深０．５・通訳・２人・区３</t>
  </si>
  <si>
    <t>BC49</t>
  </si>
  <si>
    <t>同援日跨増深０．５・深０．５・通訳・盲ろう・区３</t>
  </si>
  <si>
    <t>BC50</t>
  </si>
  <si>
    <t>同援日跨増深０．５・深０．５・通訳・２人・盲ろう・区３</t>
  </si>
  <si>
    <t>同援日跨増深０．５・深０．５・通訳・区４</t>
  </si>
  <si>
    <t>同援日跨増深０．５・深０．５・通訳・２人・区４</t>
  </si>
  <si>
    <t>BC53</t>
  </si>
  <si>
    <t>同援日跨増深０．５・深０．５・通訳・盲ろう・区４</t>
  </si>
  <si>
    <t>BC54</t>
  </si>
  <si>
    <t>同援日跨増深０．５・深０．５・通訳・２人・盲ろう・区４</t>
  </si>
  <si>
    <t>BC55</t>
  </si>
  <si>
    <t>同援日跨増深０．５・深１．０・通訳</t>
  </si>
  <si>
    <t>BC56</t>
  </si>
  <si>
    <t>同援日跨増深０．５・深１．０・通訳・２人</t>
  </si>
  <si>
    <t>BC57</t>
  </si>
  <si>
    <t>同援日跨増深０．５・深１．０・通訳・盲ろう</t>
  </si>
  <si>
    <t>BC58</t>
  </si>
  <si>
    <t>同援日跨増深０．５・深１．０・通訳・２人・盲ろう</t>
  </si>
  <si>
    <t>BC59</t>
  </si>
  <si>
    <t>同援日跨増深０．５・深１．０・通訳・区３</t>
  </si>
  <si>
    <t>BC60</t>
  </si>
  <si>
    <t>同援日跨増深０．５・深１．０・通訳・２人・区３</t>
  </si>
  <si>
    <t>同援日跨増深０．５・深１．０・通訳・盲ろう・区３</t>
  </si>
  <si>
    <t>同援日跨増深０．５・深１．０・通訳・２人・盲ろう・区３</t>
  </si>
  <si>
    <t>BC63</t>
  </si>
  <si>
    <t>同援日跨増深０．５・深１．０・通訳・区４</t>
  </si>
  <si>
    <t>BC64</t>
  </si>
  <si>
    <t>同援日跨増深０．５・深１．０・通訳・２人・区４</t>
  </si>
  <si>
    <t>BC65</t>
  </si>
  <si>
    <t>同援日跨増深０．５・深１．０・通訳・盲ろう・区４</t>
  </si>
  <si>
    <t>BC66</t>
  </si>
  <si>
    <t>同援日跨増深０．５・深１．０・通訳・２人・盲ろう・区４</t>
  </si>
  <si>
    <t>BC67</t>
  </si>
  <si>
    <t>同援日跨増深０．５・深１．５・通訳</t>
  </si>
  <si>
    <t>BC68</t>
  </si>
  <si>
    <t>同援日跨増深０．５・深１．５・通訳・２人</t>
  </si>
  <si>
    <t>BC69</t>
  </si>
  <si>
    <t>同援日跨増深０．５・深１．５・通訳・盲ろう</t>
  </si>
  <si>
    <t>BC70</t>
  </si>
  <si>
    <t>同援日跨増深０．５・深１．５・通訳・２人・盲ろう</t>
  </si>
  <si>
    <t>同援日跨増深０．５・深１．５・通訳・区３</t>
  </si>
  <si>
    <t>同援日跨増深０．５・深１．５・通訳・２人・区３</t>
  </si>
  <si>
    <t>BC73</t>
  </si>
  <si>
    <t>同援日跨増深０．５・深１．５・通訳・盲ろう・区３</t>
  </si>
  <si>
    <t>BC74</t>
  </si>
  <si>
    <t>同援日跨増深０．５・深１．５・通訳・２人・盲ろう・区３</t>
  </si>
  <si>
    <t>BC75</t>
  </si>
  <si>
    <t>同援日跨増深０．５・深１．５・通訳・区４</t>
  </si>
  <si>
    <t>BC76</t>
  </si>
  <si>
    <t>同援日跨増深０．５・深１．５・通訳・２人・区４</t>
  </si>
  <si>
    <t>BC77</t>
  </si>
  <si>
    <t>同援日跨増深０．５・深１．５・通訳・盲ろう・区４</t>
  </si>
  <si>
    <t>BC78</t>
  </si>
  <si>
    <t>同援日跨増深０．５・深１．５・通訳・２人・盲ろう・区４</t>
  </si>
  <si>
    <t>BC79</t>
  </si>
  <si>
    <t>同援日跨増深０．５・深２．０・通訳</t>
  </si>
  <si>
    <t>BC80</t>
  </si>
  <si>
    <t>同援日跨増深０．５・深２．０・通訳・２人</t>
  </si>
  <si>
    <t>同援日跨増深０．５・深２．０・通訳・盲ろう</t>
  </si>
  <si>
    <t>同援日跨増深０．５・深２．０・通訳・２人・盲ろう</t>
  </si>
  <si>
    <t>BC83</t>
  </si>
  <si>
    <t>同援日跨増深０．５・深２．０・通訳・区３</t>
  </si>
  <si>
    <t>BC84</t>
  </si>
  <si>
    <t>同援日跨増深０．５・深２．０・通訳・２人・区３</t>
  </si>
  <si>
    <t>BC85</t>
  </si>
  <si>
    <t>同援日跨増深０．５・深２．０・通訳・盲ろう・区３</t>
  </si>
  <si>
    <t>BC86</t>
  </si>
  <si>
    <t>同援日跨増深０．５・深２．０・通訳・２人・盲ろう・区３</t>
  </si>
  <si>
    <t>BC87</t>
  </si>
  <si>
    <t>同援日跨増深０．５・深２．０・通訳・区４</t>
  </si>
  <si>
    <t>BC88</t>
  </si>
  <si>
    <t>同援日跨増深０．５・深２．０・通訳・２人・区４</t>
  </si>
  <si>
    <t>BC89</t>
  </si>
  <si>
    <t>同援日跨増深０．５・深２．０・通訳・盲ろう・区４</t>
  </si>
  <si>
    <t>BC90</t>
  </si>
  <si>
    <t>同援日跨増深０．５・深２．０・通訳・２人・盲ろう・区４</t>
  </si>
  <si>
    <t>同援日跨増深０．５・深２．５・通訳</t>
  </si>
  <si>
    <t>同援日跨増深０．５・深２．５・通訳・２人</t>
  </si>
  <si>
    <t>BC93</t>
  </si>
  <si>
    <t>同援日跨増深０．５・深２．５・通訳・盲ろう</t>
  </si>
  <si>
    <t>BC94</t>
  </si>
  <si>
    <t>同援日跨増深０．５・深２．５・通訳・２人・盲ろう</t>
  </si>
  <si>
    <t>BC95</t>
  </si>
  <si>
    <t>同援日跨増深０．５・深２．５・通訳・区３</t>
  </si>
  <si>
    <t>BC96</t>
  </si>
  <si>
    <t>同援日跨増深０．５・深２．５・通訳・２人・区３</t>
  </si>
  <si>
    <t>BC97</t>
  </si>
  <si>
    <t>同援日跨増深０．５・深２．５・通訳・盲ろう・区３</t>
  </si>
  <si>
    <t>BC98</t>
  </si>
  <si>
    <t>同援日跨増深０．５・深２．５・通訳・２人・盲ろう・区３</t>
  </si>
  <si>
    <t>BC99</t>
  </si>
  <si>
    <t>同援日跨増深０．５・深２．５・通訳・区４</t>
  </si>
  <si>
    <t>BD00</t>
  </si>
  <si>
    <t>同援日跨増深０．５・深２．５・通訳・２人・区４</t>
  </si>
  <si>
    <t>同援日跨増深０．５・深２．５・通訳・盲ろう・区４</t>
  </si>
  <si>
    <t>同援日跨増深０．５・深２．５・通訳・２人・盲ろう・区４</t>
  </si>
  <si>
    <t>BD03</t>
  </si>
  <si>
    <t>同援日跨増深１．０・深０．５・通訳</t>
  </si>
  <si>
    <t>BD04</t>
  </si>
  <si>
    <t>同援日跨増深１．０・深０．５・通訳・２人</t>
  </si>
  <si>
    <t>BD05</t>
  </si>
  <si>
    <t>同援日跨増深１．０・深０．５・通訳・盲ろう</t>
  </si>
  <si>
    <t>BD06</t>
  </si>
  <si>
    <t>同援日跨増深１．０・深０．５・通訳・２人・盲ろう</t>
  </si>
  <si>
    <t>BD07</t>
  </si>
  <si>
    <t>同援日跨増深１．０・深０．５・通訳・区３</t>
  </si>
  <si>
    <t>BD08</t>
  </si>
  <si>
    <t>同援日跨増深１．０・深０．５・通訳・２人・区３</t>
  </si>
  <si>
    <t>BD09</t>
  </si>
  <si>
    <t>同援日跨増深１．０・深０．５・通訳・盲ろう・区３</t>
  </si>
  <si>
    <t>BD10</t>
  </si>
  <si>
    <t>同援日跨増深１．０・深０．５・通訳・２人・盲ろう・区３</t>
  </si>
  <si>
    <t>同援日跨増深１．０・深０．５・通訳・区４</t>
  </si>
  <si>
    <t>同援日跨増深１．０・深０．５・通訳・２人・区４</t>
  </si>
  <si>
    <t>BD13</t>
  </si>
  <si>
    <t>同援日跨増深１．０・深０．５・通訳・盲ろう・区４</t>
  </si>
  <si>
    <t>BD14</t>
  </si>
  <si>
    <t>同援日跨増深１．０・深０．５・通訳・２人・盲ろう・区４</t>
  </si>
  <si>
    <t>BD15</t>
  </si>
  <si>
    <t>同援日跨増深１．０・深１．０・通訳</t>
  </si>
  <si>
    <t>BD16</t>
  </si>
  <si>
    <t>同援日跨増深１．０・深１．０・通訳・２人</t>
  </si>
  <si>
    <t>BD17</t>
  </si>
  <si>
    <t>同援日跨増深１．０・深１．０・通訳・盲ろう</t>
  </si>
  <si>
    <t>BD18</t>
  </si>
  <si>
    <t>同援日跨増深１．０・深１．０・通訳・２人・盲ろう</t>
  </si>
  <si>
    <t>BD19</t>
  </si>
  <si>
    <t>同援日跨増深１．０・深１．０・通訳・区３</t>
  </si>
  <si>
    <t>BD20</t>
  </si>
  <si>
    <t>同援日跨増深１．０・深１．０・通訳・２人・区３</t>
  </si>
  <si>
    <t>同援日跨増深１．０・深１．０・通訳・盲ろう・区３</t>
  </si>
  <si>
    <t>同援日跨増深１．０・深１．０・通訳・２人・盲ろう・区３</t>
  </si>
  <si>
    <t>BD23</t>
  </si>
  <si>
    <t>同援日跨増深１．０・深１．０・通訳・区４</t>
  </si>
  <si>
    <t>BD24</t>
  </si>
  <si>
    <t>同援日跨増深１．０・深１．０・通訳・２人・区４</t>
  </si>
  <si>
    <t>BD25</t>
  </si>
  <si>
    <t>同援日跨増深１．０・深１．０・通訳・盲ろう・区４</t>
  </si>
  <si>
    <t>BD26</t>
  </si>
  <si>
    <t>同援日跨増深１．０・深１．０・通訳・２人・盲ろう・区４</t>
  </si>
  <si>
    <t>BD27</t>
  </si>
  <si>
    <t>同援日跨増深１．０・深１．５・通訳</t>
  </si>
  <si>
    <t>BD28</t>
  </si>
  <si>
    <t>同援日跨増深１．０・深１．５・通訳・２人</t>
  </si>
  <si>
    <t>BD29</t>
  </si>
  <si>
    <t>同援日跨増深１．０・深１．５・通訳・盲ろう</t>
  </si>
  <si>
    <t>BD30</t>
  </si>
  <si>
    <t>同援日跨増深１．０・深１．５・通訳・２人・盲ろう</t>
  </si>
  <si>
    <t>同援日跨増深１．０・深１．５・通訳・区３</t>
  </si>
  <si>
    <t>同援日跨増深１．０・深１．５・通訳・２人・区３</t>
  </si>
  <si>
    <t>BD33</t>
  </si>
  <si>
    <t>同援日跨増深１．０・深１．５・通訳・盲ろう・区３</t>
  </si>
  <si>
    <t>BD34</t>
  </si>
  <si>
    <t>同援日跨増深１．０・深１．５・通訳・２人・盲ろう・区３</t>
  </si>
  <si>
    <t>BD35</t>
  </si>
  <si>
    <t>同援日跨増深１．０・深１．５・通訳・区４</t>
  </si>
  <si>
    <t>BD36</t>
  </si>
  <si>
    <t>同援日跨増深１．０・深１．５・通訳・２人・区４</t>
  </si>
  <si>
    <t>BD37</t>
  </si>
  <si>
    <t>同援日跨増深１．０・深１．５・通訳・盲ろう・区４</t>
  </si>
  <si>
    <t>BD38</t>
  </si>
  <si>
    <t>同援日跨増深１．０・深１．５・通訳・２人・盲ろう・区４</t>
  </si>
  <si>
    <t>BD39</t>
  </si>
  <si>
    <t>同援日跨増深１．０・深２．０・通訳</t>
  </si>
  <si>
    <t>BD40</t>
  </si>
  <si>
    <t>同援日跨増深１．０・深２．０・通訳・２人</t>
  </si>
  <si>
    <t>同援日跨増深１．０・深２．０・通訳・盲ろう</t>
  </si>
  <si>
    <t>同援日跨増深１．０・深２．０・通訳・２人・盲ろう</t>
  </si>
  <si>
    <t>BD43</t>
  </si>
  <si>
    <t>同援日跨増深１．０・深２．０・通訳・区３</t>
  </si>
  <si>
    <t>BD44</t>
  </si>
  <si>
    <t>同援日跨増深１．０・深２．０・通訳・２人・区３</t>
  </si>
  <si>
    <t>BD45</t>
  </si>
  <si>
    <t>同援日跨増深１．０・深２．０・通訳・盲ろう・区３</t>
  </si>
  <si>
    <t>BD46</t>
  </si>
  <si>
    <t>同援日跨増深１．０・深２．０・通訳・２人・盲ろう・区３</t>
  </si>
  <si>
    <t>BD47</t>
  </si>
  <si>
    <t>同援日跨増深１．０・深２．０・通訳・区４</t>
  </si>
  <si>
    <t>BD48</t>
  </si>
  <si>
    <t>同援日跨増深１．０・深２．０・通訳・２人・区４</t>
  </si>
  <si>
    <t>BD49</t>
  </si>
  <si>
    <t>同援日跨増深１．０・深２．０・通訳・盲ろう・区４</t>
  </si>
  <si>
    <t>BD50</t>
  </si>
  <si>
    <t>同援日跨増深１．０・深２．０・通訳・２人・盲ろう・区４</t>
  </si>
  <si>
    <t>同援日跨増深１．５・深０．５・通訳</t>
  </si>
  <si>
    <t>同援日跨増深１．５・深０．５・通訳・２人</t>
  </si>
  <si>
    <t>BD53</t>
  </si>
  <si>
    <t>同援日跨増深１．５・深０．５・通訳・盲ろう</t>
  </si>
  <si>
    <t>BD54</t>
  </si>
  <si>
    <t>同援日跨増深１．５・深０．５・通訳・２人・盲ろう</t>
  </si>
  <si>
    <t>BD55</t>
  </si>
  <si>
    <t>同援日跨増深１．５・深０．５・通訳・区３</t>
  </si>
  <si>
    <t>BD56</t>
  </si>
  <si>
    <t>同援日跨増深１．５・深０．５・通訳・２人・区３</t>
  </si>
  <si>
    <t>BD57</t>
  </si>
  <si>
    <t>同援日跨増深１．５・深０．５・通訳・盲ろう・区３</t>
  </si>
  <si>
    <t>BD58</t>
  </si>
  <si>
    <t>同援日跨増深１．５・深０．５・通訳・２人・盲ろう・区３</t>
  </si>
  <si>
    <t>BD59</t>
  </si>
  <si>
    <t>同援日跨増深１．５・深０．５・通訳・区４</t>
  </si>
  <si>
    <t>BD60</t>
  </si>
  <si>
    <t>同援日跨増深１．５・深０．５・通訳・２人・区４</t>
  </si>
  <si>
    <t>同援日跨増深１．５・深０．５・通訳・盲ろう・区４</t>
  </si>
  <si>
    <t>同援日跨増深１．５・深０．５・通訳・２人・盲ろう・区４</t>
  </si>
  <si>
    <t>BD63</t>
  </si>
  <si>
    <t>同援日跨増深１．５・深１．０・通訳</t>
  </si>
  <si>
    <t>BD64</t>
  </si>
  <si>
    <t>同援日跨増深１．５・深１．０・通訳・２人</t>
  </si>
  <si>
    <t>BD65</t>
  </si>
  <si>
    <t>同援日跨増深１．５・深１．０・通訳・盲ろう</t>
  </si>
  <si>
    <t>BD66</t>
  </si>
  <si>
    <t>同援日跨増深１．５・深１．０・通訳・２人・盲ろう</t>
  </si>
  <si>
    <t>BD67</t>
  </si>
  <si>
    <t>同援日跨増深１．５・深１．０・通訳・区３</t>
  </si>
  <si>
    <t>BD68</t>
  </si>
  <si>
    <t>同援日跨増深１．５・深１．０・通訳・２人・区３</t>
  </si>
  <si>
    <t>BD69</t>
  </si>
  <si>
    <t>同援日跨増深１．５・深１．０・通訳・盲ろう・区３</t>
  </si>
  <si>
    <t>BD70</t>
  </si>
  <si>
    <t>同援日跨増深１．５・深１．０・通訳・２人・盲ろう・区３</t>
  </si>
  <si>
    <t>同援日跨増深１．５・深１．０・通訳・区４</t>
  </si>
  <si>
    <t>同援日跨増深１．５・深１．０・通訳・２人・区４</t>
  </si>
  <si>
    <t>BD73</t>
  </si>
  <si>
    <t>同援日跨増深１．５・深１．０・通訳・盲ろう・区４</t>
  </si>
  <si>
    <t>BD74</t>
  </si>
  <si>
    <t>同援日跨増深１．５・深１．０・通訳・２人・盲ろう・区４</t>
  </si>
  <si>
    <t>BD75</t>
  </si>
  <si>
    <t>同援日跨増深１．５・深１．５・通訳</t>
  </si>
  <si>
    <t>BD76</t>
  </si>
  <si>
    <t>同援日跨増深１．５・深１．５・通訳・２人</t>
  </si>
  <si>
    <t>BD77</t>
  </si>
  <si>
    <t>同援日跨増深１．５・深１．５・通訳・盲ろう</t>
  </si>
  <si>
    <t>BD78</t>
  </si>
  <si>
    <t>同援日跨増深１．５・深１．５・通訳・２人・盲ろう</t>
  </si>
  <si>
    <t>BD79</t>
  </si>
  <si>
    <t>同援日跨増深１．５・深１．５・通訳・区３</t>
  </si>
  <si>
    <t>BD80</t>
  </si>
  <si>
    <t>同援日跨増深１．５・深１．５・通訳・２人・区３</t>
  </si>
  <si>
    <t>同援日跨増深１．５・深１．５・通訳・盲ろう・区３</t>
  </si>
  <si>
    <t>同援日跨増深１．５・深１．５・通訳・２人・盲ろう・区３</t>
  </si>
  <si>
    <t>BD83</t>
  </si>
  <si>
    <t>同援日跨増深１．５・深１．５・通訳・区４</t>
  </si>
  <si>
    <t>BD84</t>
  </si>
  <si>
    <t>同援日跨増深１．５・深１．５・通訳・２人・区４</t>
  </si>
  <si>
    <t>BD85</t>
  </si>
  <si>
    <t>同援日跨増深１．５・深１．５・通訳・盲ろう・区４</t>
  </si>
  <si>
    <t>BD86</t>
  </si>
  <si>
    <t>同援日跨増深１．５・深１．５・通訳・２人・盲ろう・区４</t>
  </si>
  <si>
    <t>BD87</t>
  </si>
  <si>
    <t>同援日跨増深２．０・深０．５・通訳</t>
  </si>
  <si>
    <t>BD88</t>
  </si>
  <si>
    <t>同援日跨増深２．０・深０．５・通訳・２人</t>
  </si>
  <si>
    <t>BD89</t>
  </si>
  <si>
    <t>同援日跨増深２．０・深０．５・通訳・盲ろう</t>
  </si>
  <si>
    <t>BD90</t>
  </si>
  <si>
    <t>同援日跨増深２．０・深０．５・通訳・２人・盲ろう</t>
  </si>
  <si>
    <t>同援日跨増深２．０・深０．５・通訳・区３</t>
  </si>
  <si>
    <t>同援日跨増深２．０・深０．５・通訳・２人・区３</t>
  </si>
  <si>
    <t>BD93</t>
  </si>
  <si>
    <t>同援日跨増深２．０・深０．５・通訳・盲ろう・区３</t>
  </si>
  <si>
    <t>BD94</t>
  </si>
  <si>
    <t>同援日跨増深２．０・深０．５・通訳・２人・盲ろう・区３</t>
  </si>
  <si>
    <t>BD95</t>
  </si>
  <si>
    <t>同援日跨増深２．０・深０．５・通訳・区４</t>
  </si>
  <si>
    <t>BD96</t>
  </si>
  <si>
    <t>同援日跨増深２．０・深０．５・通訳・２人・区４</t>
  </si>
  <si>
    <t>BD97</t>
  </si>
  <si>
    <t>同援日跨増深２．０・深０．５・通訳・盲ろう・区４</t>
  </si>
  <si>
    <t>BD98</t>
  </si>
  <si>
    <t>同援日跨増深２．０・深０．５・通訳・２人・盲ろう・区４</t>
  </si>
  <si>
    <t>BD99</t>
  </si>
  <si>
    <t>同援日跨増深２．０・深１．０・通訳</t>
  </si>
  <si>
    <t>BE00</t>
  </si>
  <si>
    <t>同援日跨増深２．０・深１．０・通訳・２人</t>
  </si>
  <si>
    <t>同援日跨増深２．０・深１．０・通訳・盲ろう</t>
  </si>
  <si>
    <t>同援日跨増深２．０・深１．０・通訳・２人・盲ろう</t>
  </si>
  <si>
    <t>BE03</t>
  </si>
  <si>
    <t>同援日跨増深２．０・深１．０・通訳・区３</t>
  </si>
  <si>
    <t>BE04</t>
  </si>
  <si>
    <t>同援日跨増深２．０・深１．０・通訳・２人・区３</t>
  </si>
  <si>
    <t>BE05</t>
  </si>
  <si>
    <t>同援日跨増深２．０・深１．０・通訳・盲ろう・区３</t>
  </si>
  <si>
    <t>BE06</t>
  </si>
  <si>
    <t>同援日跨増深２．０・深１．０・通訳・２人・盲ろう・区３</t>
  </si>
  <si>
    <t>BE07</t>
  </si>
  <si>
    <t>同援日跨増深２．０・深１．０・通訳・区４</t>
  </si>
  <si>
    <t>BE08</t>
  </si>
  <si>
    <t>同援日跨増深２．０・深１．０・通訳・２人・区４</t>
  </si>
  <si>
    <t>BE09</t>
  </si>
  <si>
    <t>同援日跨増深２．０・深１．０・通訳・盲ろう・区４</t>
  </si>
  <si>
    <t>BE10</t>
  </si>
  <si>
    <t>同援日跨増深２．０・深１．０・通訳・２人・盲ろう・区４</t>
  </si>
  <si>
    <t>同援日跨増深２．５・深０．５・通訳</t>
  </si>
  <si>
    <t>同援日跨増深２．５・深０．５・通訳・２人</t>
  </si>
  <si>
    <t>BE13</t>
  </si>
  <si>
    <t>同援日跨増深２．５・深０．５・通訳・盲ろう</t>
  </si>
  <si>
    <t>BE14</t>
  </si>
  <si>
    <t>同援日跨増深２．５・深０．５・通訳・２人・盲ろう</t>
  </si>
  <si>
    <t>BE15</t>
  </si>
  <si>
    <t>同援日跨増深２．５・深０．５・通訳・区３</t>
  </si>
  <si>
    <t>BE16</t>
  </si>
  <si>
    <t>同援日跨増深２．５・深０．５・通訳・２人・区３</t>
  </si>
  <si>
    <t>BE17</t>
  </si>
  <si>
    <t>同援日跨増深２．５・深０．５・通訳・盲ろう・区３</t>
  </si>
  <si>
    <t>BE18</t>
  </si>
  <si>
    <t>同援日跨増深２．５・深０．５・通訳・２人・盲ろう・区３</t>
  </si>
  <si>
    <t>BE19</t>
  </si>
  <si>
    <t>同援日跨増深２．５・深０．５・通訳・区４</t>
  </si>
  <si>
    <t>BE20</t>
  </si>
  <si>
    <t>同援日跨増深２．５・深０．５・通訳・２人・区４</t>
  </si>
  <si>
    <t>同援日跨増深２．５・深０．５・通訳・盲ろう・区４</t>
  </si>
  <si>
    <t>同援日跨増深２．５・深０．５・通訳・２人・盲ろう・区４</t>
  </si>
  <si>
    <t>（盲ろう者向け通訳・介助員：深夜＋早朝＋日中）　　※サービス間隔が２時間未満の場合</t>
    <phoneticPr fontId="1"/>
  </si>
  <si>
    <t>BE23</t>
  </si>
  <si>
    <t>同援深０．５・早０．５・日０．５・通訳</t>
  </si>
  <si>
    <t>BE24</t>
  </si>
  <si>
    <t>同援深０．５・早０．５・日０．５・通訳・２人</t>
  </si>
  <si>
    <t>BE25</t>
  </si>
  <si>
    <t>同援深０．５・早０．５・日０．５・通訳・盲ろう</t>
  </si>
  <si>
    <t>BE26</t>
  </si>
  <si>
    <t>同援深０．５・早０．５・日０．５・通訳・２人・盲ろう</t>
  </si>
  <si>
    <t>BE27</t>
  </si>
  <si>
    <t>同援深０．５・早０．５・日０．５・通訳・区３</t>
  </si>
  <si>
    <t>BE28</t>
  </si>
  <si>
    <t>同援深０．５・早０．５・日０．５・通訳・２人・区３</t>
  </si>
  <si>
    <t>盲ろう者向け通訳・介助員により</t>
    <phoneticPr fontId="1"/>
  </si>
  <si>
    <t>BE29</t>
  </si>
  <si>
    <t>同援深０．５・早０．５・日０．５・通訳・盲ろう・区３</t>
  </si>
  <si>
    <t>BE30</t>
  </si>
  <si>
    <t>同援深０．５・早０．５・日０．５・通訳・２人・盲ろう・区３</t>
  </si>
  <si>
    <t>同援深０．５・早０．５・日０．５・通訳・区４</t>
  </si>
  <si>
    <t>同援深０．５・早０．５・日０．５・通訳・２人・区４</t>
  </si>
  <si>
    <t>BE33</t>
  </si>
  <si>
    <t>同援深０．５・早０．５・日０．５・通訳・盲ろう・区４</t>
  </si>
  <si>
    <t>BE34</t>
  </si>
  <si>
    <t>同援深０．５・早０．５・日０．５・通訳・２人・盲ろう・区４</t>
  </si>
  <si>
    <t>BE35</t>
  </si>
  <si>
    <t>同援深０．５・早０．５・日１．０・通訳</t>
  </si>
  <si>
    <t>BE36</t>
  </si>
  <si>
    <t>同援深０．５・早０．５・日１．０・通訳・２人</t>
  </si>
  <si>
    <t>BE37</t>
  </si>
  <si>
    <t>同援深０．５・早０．５・日１．０・通訳・盲ろう</t>
  </si>
  <si>
    <t>BE38</t>
  </si>
  <si>
    <t>同援深０．５・早０．５・日１．０・通訳・２人・盲ろう</t>
  </si>
  <si>
    <t>BE39</t>
  </si>
  <si>
    <t>同援深０．５・早０．５・日１．０・通訳・区３</t>
  </si>
  <si>
    <t>BE40</t>
  </si>
  <si>
    <t>同援深０．５・早０．５・日１．０・通訳・２人・区３</t>
  </si>
  <si>
    <t>同援深０．５・早０．５・日１．０・通訳・盲ろう・区３</t>
  </si>
  <si>
    <t>同援深０．５・早０．５・日１．０・通訳・２人・盲ろう・区３</t>
  </si>
  <si>
    <t>BE43</t>
  </si>
  <si>
    <t>同援深０．５・早０．５・日１．０・通訳・区４</t>
  </si>
  <si>
    <t>BE44</t>
  </si>
  <si>
    <t>同援深０．５・早０．５・日１．０・通訳・２人・区４</t>
  </si>
  <si>
    <t>BE45</t>
  </si>
  <si>
    <t>同援深０．５・早０．５・日１．０・通訳・盲ろう・区４</t>
  </si>
  <si>
    <t>BE46</t>
  </si>
  <si>
    <t>同援深０．５・早０．５・日１．０・通訳・２人・盲ろう・区４</t>
  </si>
  <si>
    <t>BE47</t>
  </si>
  <si>
    <t>同援深０．５・早０．５・日１．５・通訳</t>
  </si>
  <si>
    <t>BE48</t>
  </si>
  <si>
    <t>同援深０．５・早０．５・日１．５・通訳・２人</t>
  </si>
  <si>
    <t>BE49</t>
  </si>
  <si>
    <t>同援深０．５・早０．５・日１．５・通訳・盲ろう</t>
  </si>
  <si>
    <t>BE50</t>
  </si>
  <si>
    <t>同援深０．５・早０．５・日１．５・通訳・２人・盲ろう</t>
  </si>
  <si>
    <t>同援深０．５・早０．５・日１．５・通訳・区３</t>
  </si>
  <si>
    <t>同援深０．５・早０．５・日１．５・通訳・２人・区３</t>
  </si>
  <si>
    <t>BE53</t>
  </si>
  <si>
    <t>同援深０．５・早０．５・日１．５・通訳・盲ろう・区３</t>
  </si>
  <si>
    <t>BE54</t>
  </si>
  <si>
    <t>同援深０．５・早０．５・日１．５・通訳・２人・盲ろう・区３</t>
  </si>
  <si>
    <t>BE55</t>
  </si>
  <si>
    <t>同援深０．５・早０．５・日１．５・通訳・区４</t>
  </si>
  <si>
    <t>BE56</t>
  </si>
  <si>
    <t>同援深０．５・早０．５・日１．５・通訳・２人・区４</t>
  </si>
  <si>
    <t>BE57</t>
  </si>
  <si>
    <t>同援深０．５・早０．５・日１．５・通訳・盲ろう・区４</t>
  </si>
  <si>
    <t>BE58</t>
  </si>
  <si>
    <t>同援深０．５・早０．５・日１．５・通訳・２人・盲ろう・区４</t>
  </si>
  <si>
    <t>BE59</t>
  </si>
  <si>
    <t>同援深０．５・早０．５・日２．０・通訳</t>
  </si>
  <si>
    <t>BE60</t>
  </si>
  <si>
    <t>同援深０．５・早０．５・日２．０・通訳・２人</t>
  </si>
  <si>
    <t>同援深０．５・早０．５・日２．０・通訳・盲ろう</t>
  </si>
  <si>
    <t>同援深０．５・早０．５・日２．０・通訳・２人・盲ろう</t>
  </si>
  <si>
    <t>BE63</t>
  </si>
  <si>
    <t>同援深０．５・早０．５・日２．０・通訳・区３</t>
  </si>
  <si>
    <t>BE64</t>
  </si>
  <si>
    <t>同援深０．５・早０．５・日２．０・通訳・２人・区３</t>
  </si>
  <si>
    <t>BE65</t>
  </si>
  <si>
    <t>同援深０．５・早０．５・日２．０・通訳・盲ろう・区３</t>
  </si>
  <si>
    <t>BE66</t>
  </si>
  <si>
    <t>同援深０．５・早０．５・日２．０・通訳・２人・盲ろう・区３</t>
  </si>
  <si>
    <t>BE67</t>
  </si>
  <si>
    <t>同援深０．５・早０．５・日２．０・通訳・区４</t>
  </si>
  <si>
    <t>BE68</t>
  </si>
  <si>
    <t>同援深０．５・早０．５・日２．０・通訳・２人・区４</t>
  </si>
  <si>
    <t>BE69</t>
  </si>
  <si>
    <t>同援深０．５・早０．５・日２．０・通訳・盲ろう・区４</t>
  </si>
  <si>
    <t>BE70</t>
  </si>
  <si>
    <t>同援深０．５・早０．５・日２．０・通訳・２人・盲ろう・区４</t>
  </si>
  <si>
    <t>同援深０．５・早１．０・日０．５・通訳</t>
  </si>
  <si>
    <t>同援深０．５・早１．０・日０．５・通訳・２人</t>
  </si>
  <si>
    <t>BE73</t>
  </si>
  <si>
    <t>同援深０．５・早１．０・日０．５・通訳・盲ろう</t>
  </si>
  <si>
    <t>BE74</t>
  </si>
  <si>
    <t>同援深０．５・早１．０・日０．５・通訳・２人・盲ろう</t>
  </si>
  <si>
    <t>BE75</t>
  </si>
  <si>
    <t>同援深０．５・早１．０・日０．５・通訳・区３</t>
  </si>
  <si>
    <t>BE76</t>
  </si>
  <si>
    <t>同援深０．５・早１．０・日０．５・通訳・２人・区３</t>
  </si>
  <si>
    <t>BE77</t>
  </si>
  <si>
    <t>同援深０．５・早１．０・日０．５・通訳・盲ろう・区３</t>
  </si>
  <si>
    <t>BE78</t>
  </si>
  <si>
    <t>同援深０．５・早１．０・日０．５・通訳・２人・盲ろう・区３</t>
  </si>
  <si>
    <t>BE79</t>
  </si>
  <si>
    <t>同援深０．５・早１．０・日０．５・通訳・区４</t>
  </si>
  <si>
    <t>BE80</t>
  </si>
  <si>
    <t>同援深０．５・早１．０・日０．５・通訳・２人・区４</t>
  </si>
  <si>
    <t>同援深０．５・早１．０・日０．５・通訳・盲ろう・区４</t>
  </si>
  <si>
    <t>同援深０．５・早１．０・日０．５・通訳・２人・盲ろう・区４</t>
  </si>
  <si>
    <t>BE83</t>
  </si>
  <si>
    <t>同援深０．５・早１．０・日１．０・通訳</t>
  </si>
  <si>
    <t>BE84</t>
  </si>
  <si>
    <t>同援深０．５・早１．０・日１．０・通訳・２人</t>
  </si>
  <si>
    <t>BE85</t>
  </si>
  <si>
    <t>同援深０．５・早１．０・日１．０・通訳・盲ろう</t>
  </si>
  <si>
    <t>BE86</t>
  </si>
  <si>
    <t>同援深０．５・早１．０・日１．０・通訳・２人・盲ろう</t>
  </si>
  <si>
    <t>BE87</t>
  </si>
  <si>
    <t>同援深０．５・早１．０・日１．０・通訳・区３</t>
  </si>
  <si>
    <t>BE88</t>
  </si>
  <si>
    <t>同援深０．５・早１．０・日１．０・通訳・２人・区３</t>
  </si>
  <si>
    <t>BE89</t>
  </si>
  <si>
    <t>同援深０．５・早１．０・日１．０・通訳・盲ろう・区３</t>
  </si>
  <si>
    <t>BE90</t>
  </si>
  <si>
    <t>同援深０．５・早１．０・日１．０・通訳・２人・盲ろう・区３</t>
  </si>
  <si>
    <t>同援深０．５・早１．０・日１．０・通訳・区４</t>
  </si>
  <si>
    <t>同援深０．５・早１．０・日１．０・通訳・２人・区４</t>
  </si>
  <si>
    <t>BE93</t>
  </si>
  <si>
    <t>同援深０．５・早１．０・日１．０・通訳・盲ろう・区４</t>
  </si>
  <si>
    <t>BE94</t>
  </si>
  <si>
    <t>同援深０．５・早１．０・日１．０・通訳・２人・盲ろう・区４</t>
  </si>
  <si>
    <t>BE95</t>
  </si>
  <si>
    <t>同援深０．５・早１．０・日１．５・通訳</t>
  </si>
  <si>
    <t>BE96</t>
  </si>
  <si>
    <t>同援深０．５・早１．０・日１．５・通訳・２人</t>
  </si>
  <si>
    <t>BE97</t>
  </si>
  <si>
    <t>同援深０．５・早１．０・日１．５・通訳・盲ろう</t>
  </si>
  <si>
    <t>BE98</t>
  </si>
  <si>
    <t>同援深０．５・早１．０・日１．５・通訳・２人・盲ろう</t>
  </si>
  <si>
    <t>BE99</t>
  </si>
  <si>
    <t>同援深０．５・早１．０・日１．５・通訳・区３</t>
  </si>
  <si>
    <t>BF00</t>
  </si>
  <si>
    <t>同援深０．５・早１．０・日１．５・通訳・２人・区３</t>
  </si>
  <si>
    <t>同援深０．５・早１．０・日１．５・通訳・盲ろう・区３</t>
  </si>
  <si>
    <t>同援深０．５・早１．０・日１．５・通訳・２人・盲ろう・区３</t>
  </si>
  <si>
    <t>BF03</t>
  </si>
  <si>
    <t>同援深０．５・早１．０・日１．５・通訳・区４</t>
  </si>
  <si>
    <t>BF04</t>
  </si>
  <si>
    <t>同援深０．５・早１．０・日１．５・通訳・２人・区４</t>
  </si>
  <si>
    <t>BF05</t>
  </si>
  <si>
    <t>同援深０．５・早１．０・日１．５・通訳・盲ろう・区４</t>
  </si>
  <si>
    <t>BF06</t>
  </si>
  <si>
    <t>同援深０．５・早１．０・日１．５・通訳・２人・盲ろう・区４</t>
  </si>
  <si>
    <t>BF07</t>
  </si>
  <si>
    <t>同援深０．５・早１．５・日０．５・通訳</t>
  </si>
  <si>
    <t>BF08</t>
  </si>
  <si>
    <t>同援深０．５・早１．５・日０．５・通訳・２人</t>
  </si>
  <si>
    <t>BF09</t>
  </si>
  <si>
    <t>同援深０．５・早１．５・日０．５・通訳・盲ろう</t>
  </si>
  <si>
    <t>BF10</t>
  </si>
  <si>
    <t>同援深０．５・早１．５・日０．５・通訳・２人・盲ろう</t>
  </si>
  <si>
    <t>同援深０．５・早１．５・日０．５・通訳・区３</t>
  </si>
  <si>
    <t>同援深０．５・早１．５・日０．５・通訳・２人・区３</t>
  </si>
  <si>
    <t>BF13</t>
  </si>
  <si>
    <t>同援深０．５・早１．５・日０．５・通訳・盲ろう・区３</t>
  </si>
  <si>
    <t>BF14</t>
  </si>
  <si>
    <t>同援深０．５・早１．５・日０．５・通訳・２人・盲ろう・区３</t>
  </si>
  <si>
    <t>BF15</t>
  </si>
  <si>
    <t>同援深０．５・早１．５・日０．５・通訳・区４</t>
  </si>
  <si>
    <t>BF16</t>
  </si>
  <si>
    <t>同援深０．５・早１．５・日０．５・通訳・２人・区４</t>
  </si>
  <si>
    <t>BF17</t>
  </si>
  <si>
    <t>同援深０．５・早１．５・日０．５・通訳・盲ろう・区４</t>
  </si>
  <si>
    <t>BF18</t>
  </si>
  <si>
    <t>同援深０．５・早１．５・日０．５・通訳・２人・盲ろう・区４</t>
  </si>
  <si>
    <t>BF19</t>
  </si>
  <si>
    <t>同援深０．５・早１．５・日１．０・通訳</t>
  </si>
  <si>
    <t>BF20</t>
  </si>
  <si>
    <t>同援深０．５・早１．５・日１．０・通訳・２人</t>
  </si>
  <si>
    <t>同援深０．５・早１．５・日１．０・通訳・盲ろう</t>
  </si>
  <si>
    <t>同援深０．５・早１．５・日１．０・通訳・２人・盲ろう</t>
  </si>
  <si>
    <t>BF23</t>
  </si>
  <si>
    <t>同援深０．５・早１．５・日１．０・通訳・区３</t>
  </si>
  <si>
    <t>BF24</t>
  </si>
  <si>
    <t>同援深０．５・早１．５・日１．０・通訳・２人・区３</t>
  </si>
  <si>
    <t>BF25</t>
  </si>
  <si>
    <t>同援深０．５・早１．５・日１．０・通訳・盲ろう・区３</t>
  </si>
  <si>
    <t>BF26</t>
  </si>
  <si>
    <t>同援深０．５・早１．５・日１．０・通訳・２人・盲ろう・区３</t>
  </si>
  <si>
    <t>BF27</t>
  </si>
  <si>
    <t>同援深０．５・早１．５・日１．０・通訳・区４</t>
  </si>
  <si>
    <t>BF28</t>
  </si>
  <si>
    <t>同援深０．５・早１．５・日１．０・通訳・２人・区４</t>
  </si>
  <si>
    <t>BF29</t>
  </si>
  <si>
    <t>同援深０．５・早１．５・日１．０・通訳・盲ろう・区４</t>
  </si>
  <si>
    <t>BF30</t>
  </si>
  <si>
    <t>同援深０．５・早１．５・日１．０・通訳・２人・盲ろう・区４</t>
  </si>
  <si>
    <t>同援深１．０・早０．５・日０．５・通訳</t>
  </si>
  <si>
    <t>同援深１．０・早０．５・日０．５・通訳・２人</t>
  </si>
  <si>
    <t>BF33</t>
  </si>
  <si>
    <t>同援深１．０・早０．５・日０．５・通訳・盲ろう</t>
  </si>
  <si>
    <t>BF34</t>
  </si>
  <si>
    <t>同援深１．０・早０．５・日０．５・通訳・２人・盲ろう</t>
  </si>
  <si>
    <t>BF35</t>
  </si>
  <si>
    <t>同援深１．０・早０．５・日０．５・通訳・区３</t>
  </si>
  <si>
    <t>BF36</t>
  </si>
  <si>
    <t>同援深１．０・早０．５・日０．５・通訳・２人・区３</t>
  </si>
  <si>
    <t>BF37</t>
  </si>
  <si>
    <t>同援深１．０・早０．５・日０．５・通訳・盲ろう・区３</t>
  </si>
  <si>
    <t>BF38</t>
  </si>
  <si>
    <t>同援深１．０・早０．５・日０．５・通訳・２人・盲ろう・区３</t>
  </si>
  <si>
    <t>BF39</t>
  </si>
  <si>
    <t>同援深１．０・早０．５・日０．５・通訳・区４</t>
  </si>
  <si>
    <t>BF40</t>
  </si>
  <si>
    <t>同援深１．０・早０．５・日０．５・通訳・２人・区４</t>
  </si>
  <si>
    <t>同援深１．０・早０．５・日０．５・通訳・盲ろう・区４</t>
  </si>
  <si>
    <t>同援深１．０・早０．５・日０．５・通訳・２人・盲ろう・区４</t>
  </si>
  <si>
    <t>BF43</t>
  </si>
  <si>
    <t>同援深１．０・早０．５・日１．０・通訳</t>
  </si>
  <si>
    <t>BF44</t>
  </si>
  <si>
    <t>同援深１．０・早０．５・日１．０・通訳・２人</t>
  </si>
  <si>
    <t>BF45</t>
  </si>
  <si>
    <t>同援深１．０・早０．５・日１．０・通訳・盲ろう</t>
  </si>
  <si>
    <t>BF46</t>
  </si>
  <si>
    <t>同援深１．０・早０．５・日１．０・通訳・２人・盲ろう</t>
  </si>
  <si>
    <t>BF47</t>
  </si>
  <si>
    <t>同援深１．０・早０．５・日１．０・通訳・区３</t>
  </si>
  <si>
    <t>BF48</t>
  </si>
  <si>
    <t>同援深１．０・早０．５・日１．０・通訳・２人・区３</t>
  </si>
  <si>
    <t>BF49</t>
  </si>
  <si>
    <t>同援深１．０・早０．５・日１．０・通訳・盲ろう・区３</t>
  </si>
  <si>
    <t>BF50</t>
  </si>
  <si>
    <t>同援深１．０・早０．５・日１．０・通訳・２人・盲ろう・区３</t>
  </si>
  <si>
    <t>同援深１．０・早０．５・日１．０・通訳・区４</t>
  </si>
  <si>
    <t>同援深１．０・早０．５・日１．０・通訳・２人・区４</t>
  </si>
  <si>
    <t>BF53</t>
  </si>
  <si>
    <t>同援深１．０・早０．５・日１．０・通訳・盲ろう・区４</t>
  </si>
  <si>
    <t>BF54</t>
  </si>
  <si>
    <t>同援深１．０・早０．５・日１．０・通訳・２人・盲ろう・区４</t>
  </si>
  <si>
    <t>BF55</t>
  </si>
  <si>
    <t>同援深１．０・早０．５・日１．５・通訳</t>
  </si>
  <si>
    <t>BF56</t>
  </si>
  <si>
    <t>同援深１．０・早０．５・日１．５・通訳・２人</t>
  </si>
  <si>
    <t>BF57</t>
  </si>
  <si>
    <t>同援深１．０・早０．５・日１．５・通訳・盲ろう</t>
  </si>
  <si>
    <t>BF58</t>
  </si>
  <si>
    <t>同援深１．０・早０．５・日１．５・通訳・２人・盲ろう</t>
  </si>
  <si>
    <t>BF59</t>
  </si>
  <si>
    <t>同援深１．０・早０．５・日１．５・通訳・区３</t>
  </si>
  <si>
    <t>BF60</t>
  </si>
  <si>
    <t>同援深１．０・早０．５・日１．５・通訳・２人・区３</t>
  </si>
  <si>
    <t>同援深１．０・早０．５・日１．５・通訳・盲ろう・区３</t>
  </si>
  <si>
    <t>同援深１．０・早０．５・日１．５・通訳・２人・盲ろう・区３</t>
  </si>
  <si>
    <t>BF63</t>
  </si>
  <si>
    <t>同援深１．０・早０．５・日１．５・通訳・区４</t>
  </si>
  <si>
    <t>BF64</t>
  </si>
  <si>
    <t>同援深１．０・早０．５・日１．５・通訳・２人・区４</t>
  </si>
  <si>
    <t>BF65</t>
  </si>
  <si>
    <t>同援深１．０・早０．５・日１．５・通訳・盲ろう・区４</t>
  </si>
  <si>
    <t>BF66</t>
  </si>
  <si>
    <t>同援深１．０・早０．５・日１．５・通訳・２人・盲ろう・区４</t>
  </si>
  <si>
    <t>BF67</t>
  </si>
  <si>
    <t>同援深１．０・早１．０・日０．５・通訳</t>
  </si>
  <si>
    <t>BF68</t>
  </si>
  <si>
    <t>同援深１．０・早１．０・日０．５・通訳・２人</t>
  </si>
  <si>
    <t>BF69</t>
  </si>
  <si>
    <t>同援深１．０・早１．０・日０．５・通訳・盲ろう</t>
  </si>
  <si>
    <t>BF70</t>
  </si>
  <si>
    <t>同援深１．０・早１．０・日０．５・通訳・２人・盲ろう</t>
  </si>
  <si>
    <t>同援深１．０・早１．０・日０．５・通訳・区３</t>
  </si>
  <si>
    <t>同援深１．０・早１．０・日０．５・通訳・２人・区３</t>
  </si>
  <si>
    <t>BF73</t>
  </si>
  <si>
    <t>同援深１．０・早１．０・日０．５・通訳・盲ろう・区３</t>
  </si>
  <si>
    <t>BF74</t>
  </si>
  <si>
    <t>同援深１．０・早１．０・日０．５・通訳・２人・盲ろう・区３</t>
  </si>
  <si>
    <t>BF75</t>
  </si>
  <si>
    <t>同援深１．０・早１．０・日０．５・通訳・区４</t>
  </si>
  <si>
    <t>BF76</t>
  </si>
  <si>
    <t>同援深１．０・早１．０・日０．５・通訳・２人・区４</t>
  </si>
  <si>
    <t>BF77</t>
  </si>
  <si>
    <t>同援深１．０・早１．０・日０．５・通訳・盲ろう・区４</t>
  </si>
  <si>
    <t>BF78</t>
  </si>
  <si>
    <t>同援深１．０・早１．０・日０．５・通訳・２人・盲ろう・区４</t>
  </si>
  <si>
    <t>BF79</t>
  </si>
  <si>
    <t>同援深１．０・早１．０・日１．０・通訳</t>
  </si>
  <si>
    <t>BF80</t>
  </si>
  <si>
    <t>同援深１．０・早１．０・日１．０・通訳・２人</t>
  </si>
  <si>
    <t>同援深１．０・早１．０・日１．０・通訳・盲ろう</t>
  </si>
  <si>
    <t>同援深１．０・早１．０・日１．０・通訳・２人・盲ろう</t>
  </si>
  <si>
    <t>BF83</t>
  </si>
  <si>
    <t>同援深１．０・早１．０・日１．０・通訳・区３</t>
  </si>
  <si>
    <t>BF84</t>
  </si>
  <si>
    <t>同援深１．０・早１．０・日１．０・通訳・２人・区３</t>
  </si>
  <si>
    <t>BF85</t>
  </si>
  <si>
    <t>同援深１．０・早１．０・日１．０・通訳・盲ろう・区３</t>
  </si>
  <si>
    <t>BF86</t>
  </si>
  <si>
    <t>同援深１．０・早１．０・日１．０・通訳・２人・盲ろう・区３</t>
  </si>
  <si>
    <t>BF87</t>
  </si>
  <si>
    <t>同援深１．０・早１．０・日１．０・通訳・区４</t>
  </si>
  <si>
    <t>BF88</t>
  </si>
  <si>
    <t>同援深１．０・早１．０・日１．０・通訳・２人・区４</t>
  </si>
  <si>
    <t>BF89</t>
  </si>
  <si>
    <t>同援深１．０・早１．０・日１．０・通訳・盲ろう・区４</t>
  </si>
  <si>
    <t>BF90</t>
  </si>
  <si>
    <t>同援深１．０・早１．０・日１．０・通訳・２人・盲ろう・区４</t>
  </si>
  <si>
    <t>同援深１．０・早１．５・日０．５・通訳</t>
  </si>
  <si>
    <t>同援深１．０・早１．５・日０．５・通訳・２人</t>
  </si>
  <si>
    <t>BF93</t>
  </si>
  <si>
    <t>同援深１．０・早１．５・日０．５・通訳・盲ろう</t>
  </si>
  <si>
    <t>BF94</t>
  </si>
  <si>
    <t>同援深１．０・早１．５・日０．５・通訳・２人・盲ろう</t>
  </si>
  <si>
    <t>BF95</t>
  </si>
  <si>
    <t>同援深１．０・早１．５・日０．５・通訳・区３</t>
  </si>
  <si>
    <t>BF96</t>
  </si>
  <si>
    <t>同援深１．０・早１．５・日０．５・通訳・２人・区３</t>
  </si>
  <si>
    <t>BF97</t>
  </si>
  <si>
    <t>同援深１．０・早１．５・日０．５・通訳・盲ろう・区３</t>
  </si>
  <si>
    <t>BF98</t>
  </si>
  <si>
    <t>同援深１．０・早１．５・日０．５・通訳・２人・盲ろう・区３</t>
  </si>
  <si>
    <t>BF99</t>
  </si>
  <si>
    <t>同援深１．０・早１．５・日０．５・通訳・区４</t>
  </si>
  <si>
    <t>BG00</t>
  </si>
  <si>
    <t>同援深１．０・早１．５・日０．５・通訳・２人・区４</t>
  </si>
  <si>
    <t>同援深１．０・早１．５・日０．５・通訳・盲ろう・区４</t>
  </si>
  <si>
    <t>同援深１．０・早１．５・日０．５・通訳・２人・盲ろう・区４</t>
  </si>
  <si>
    <t>BG03</t>
  </si>
  <si>
    <t>同援深１．５・早０．５・日０．５・通訳</t>
  </si>
  <si>
    <t>BG04</t>
  </si>
  <si>
    <t>同援深１．５・早０．５・日０．５・通訳・２人</t>
  </si>
  <si>
    <t>BG05</t>
  </si>
  <si>
    <t>同援深１．５・早０．５・日０．５・通訳・盲ろう</t>
  </si>
  <si>
    <t>BG06</t>
  </si>
  <si>
    <t>同援深１．５・早０．５・日０．５・通訳・２人・盲ろう</t>
  </si>
  <si>
    <t>BG07</t>
  </si>
  <si>
    <t>同援深１．５・早０．５・日０．５・通訳・区３</t>
  </si>
  <si>
    <t>BG08</t>
  </si>
  <si>
    <t>同援深１．５・早０．５・日０．５・通訳・２人・区３</t>
  </si>
  <si>
    <t>BG09</t>
  </si>
  <si>
    <t>同援深１．５・早０．５・日０．５・通訳・盲ろう・区３</t>
  </si>
  <si>
    <t>BG10</t>
  </si>
  <si>
    <t>同援深１．５・早０．５・日０．５・通訳・２人・盲ろう・区３</t>
  </si>
  <si>
    <t>同援深１．５・早０．５・日０．５・通訳・区４</t>
  </si>
  <si>
    <t>同援深１．５・早０．５・日０．５・通訳・２人・区４</t>
  </si>
  <si>
    <t>BG13</t>
  </si>
  <si>
    <t>同援深１．５・早０．５・日０．５・通訳・盲ろう・区４</t>
  </si>
  <si>
    <t>BG14</t>
  </si>
  <si>
    <t>同援深１．５・早０．５・日０．５・通訳・２人・盲ろう・区４</t>
  </si>
  <si>
    <t>BG15</t>
  </si>
  <si>
    <t>同援深１．５・早０．５・日１．０・通訳</t>
  </si>
  <si>
    <t>BG16</t>
  </si>
  <si>
    <t>同援深１．５・早０．５・日１．０・通訳・２人</t>
  </si>
  <si>
    <t>BG17</t>
  </si>
  <si>
    <t>同援深１．５・早０．５・日１．０・通訳・盲ろう</t>
  </si>
  <si>
    <t>BG18</t>
  </si>
  <si>
    <t>同援深１．５・早０．５・日１．０・通訳・２人・盲ろう</t>
  </si>
  <si>
    <t>BG19</t>
  </si>
  <si>
    <t>同援深１．５・早０．５・日１．０・通訳・区３</t>
  </si>
  <si>
    <t>BG20</t>
  </si>
  <si>
    <t>同援深１．５・早０．５・日１．０・通訳・２人・区３</t>
  </si>
  <si>
    <t>同援深１．５・早０．５・日１．０・通訳・盲ろう・区３</t>
  </si>
  <si>
    <t>同援深１．５・早０．５・日１．０・通訳・２人・盲ろう・区３</t>
  </si>
  <si>
    <t>BG23</t>
  </si>
  <si>
    <t>同援深１．５・早０．５・日１．０・通訳・区４</t>
  </si>
  <si>
    <t>BG24</t>
  </si>
  <si>
    <t>同援深１．５・早０．５・日１．０・通訳・２人・区４</t>
  </si>
  <si>
    <t>BG25</t>
  </si>
  <si>
    <t>同援深１．５・早０．５・日１．０・通訳・盲ろう・区４</t>
  </si>
  <si>
    <t>BG26</t>
  </si>
  <si>
    <t>同援深１．５・早０．５・日１．０・通訳・２人・盲ろう・区４</t>
  </si>
  <si>
    <t>BG27</t>
  </si>
  <si>
    <t>同援深１．５・早１．０・日０．５・通訳</t>
  </si>
  <si>
    <t>BG28</t>
  </si>
  <si>
    <t>同援深１．５・早１．０・日０．５・通訳・２人</t>
  </si>
  <si>
    <t>BG29</t>
  </si>
  <si>
    <t>同援深１．５・早１．０・日０．５・通訳・盲ろう</t>
  </si>
  <si>
    <t>BG30</t>
  </si>
  <si>
    <t>同援深１．５・早１．０・日０．５・通訳・２人・盲ろう</t>
  </si>
  <si>
    <t>同援深１．５・早１．０・日０．５・通訳・区３</t>
  </si>
  <si>
    <t>同援深１．５・早１．０・日０．５・通訳・２人・区３</t>
  </si>
  <si>
    <t>BG33</t>
  </si>
  <si>
    <t>同援深１．５・早１．０・日０．５・通訳・盲ろう・区３</t>
  </si>
  <si>
    <t>BG34</t>
  </si>
  <si>
    <t>同援深１．５・早１．０・日０．５・通訳・２人・盲ろう・区３</t>
  </si>
  <si>
    <t>BG35</t>
  </si>
  <si>
    <t>同援深１．５・早１．０・日０．５・通訳・区４</t>
  </si>
  <si>
    <t>BG36</t>
  </si>
  <si>
    <t>同援深１．５・早１．０・日０．５・通訳・２人・区４</t>
  </si>
  <si>
    <t>BG37</t>
  </si>
  <si>
    <t>同援深１．５・早１．０・日０．５・通訳・盲ろう・区４</t>
  </si>
  <si>
    <t>BG38</t>
  </si>
  <si>
    <t>同援深１．５・早１．０・日０．５・通訳・２人・盲ろう・区４</t>
  </si>
  <si>
    <t>BG39</t>
  </si>
  <si>
    <t>同援深２．０・早０．５・日０．５・通訳</t>
  </si>
  <si>
    <t>BG40</t>
  </si>
  <si>
    <t>同援深２．０・早０．５・日０．５・通訳・２人</t>
  </si>
  <si>
    <t>同援深２．０・早０．５・日０．５・通訳・盲ろう</t>
  </si>
  <si>
    <t>同援深２．０・早０．５・日０．５・通訳・２人・盲ろう</t>
  </si>
  <si>
    <t>BG43</t>
  </si>
  <si>
    <t>同援深２．０・早０．５・日０．５・通訳・区３</t>
  </si>
  <si>
    <t>BG44</t>
  </si>
  <si>
    <t>同援深２．０・早０．５・日０．５・通訳・２人・区３</t>
  </si>
  <si>
    <t>BG45</t>
  </si>
  <si>
    <t>同援深２．０・早０．５・日０．５・通訳・盲ろう・区３</t>
  </si>
  <si>
    <t>BG46</t>
  </si>
  <si>
    <t>同援深２．０・早０．５・日０．５・通訳・２人・盲ろう・区３</t>
  </si>
  <si>
    <t>BG47</t>
  </si>
  <si>
    <t>同援深２．０・早０．５・日０．５・通訳・区４</t>
  </si>
  <si>
    <t>BG48</t>
  </si>
  <si>
    <t>同援深２．０・早０．５・日０．５・通訳・２人・区４</t>
  </si>
  <si>
    <t>BG49</t>
  </si>
  <si>
    <t>同援深２．０・早０．５・日０．５・通訳・盲ろう・区４</t>
  </si>
  <si>
    <t>BG50</t>
  </si>
  <si>
    <t>同援深２．０・早０．５・日０．５・通訳・２人・盲ろう・区４</t>
  </si>
  <si>
    <t>（盲ろう者向け通訳・介助員：深夜＋日中）　　※サービス間隔が２時間未満の場合</t>
    <phoneticPr fontId="1"/>
  </si>
  <si>
    <t>同援深０．５・日０．５・通訳</t>
  </si>
  <si>
    <t>同援深０．５・日０．５・通訳・２人</t>
  </si>
  <si>
    <t>BG53</t>
  </si>
  <si>
    <t>同援深０．５・日０．５・通訳・盲ろう</t>
  </si>
  <si>
    <t>BG54</t>
  </si>
  <si>
    <t>同援深０．５・日０．５・通訳・２人・盲ろう</t>
  </si>
  <si>
    <t>BG55</t>
  </si>
  <si>
    <t>同援深０．５・日０．５・通訳・区３</t>
  </si>
  <si>
    <t>BG56</t>
  </si>
  <si>
    <t>同援深０．５・日０．５・通訳・２人・区３</t>
  </si>
  <si>
    <t>BG57</t>
  </si>
  <si>
    <t>同援深０．５・日０．５・通訳・盲ろう・区３</t>
  </si>
  <si>
    <t>BG58</t>
  </si>
  <si>
    <t>同援深０．５・日０．５・通訳・２人・盲ろう・区３</t>
  </si>
  <si>
    <t>BG59</t>
  </si>
  <si>
    <t>同援深０．５・日０．５・通訳・区４</t>
  </si>
  <si>
    <t>BG60</t>
  </si>
  <si>
    <t>同援深０．５・日０．５・通訳・２人・区４</t>
  </si>
  <si>
    <t>同援深０．５・日０．５・通訳・盲ろう・区４</t>
  </si>
  <si>
    <t>同援深０．５・日０．５・通訳・２人・盲ろう・区４</t>
  </si>
  <si>
    <t>BG63</t>
  </si>
  <si>
    <t>同援深０．５・日１．０・通訳</t>
  </si>
  <si>
    <t>BG64</t>
  </si>
  <si>
    <t>同援深０．５・日１．０・通訳・２人</t>
  </si>
  <si>
    <t>BG65</t>
  </si>
  <si>
    <t>同援深０．５・日１．０・通訳・盲ろう</t>
  </si>
  <si>
    <t>BG66</t>
  </si>
  <si>
    <t>同援深０．５・日１．０・通訳・２人・盲ろう</t>
  </si>
  <si>
    <t>BG67</t>
  </si>
  <si>
    <t>同援深０．５・日１．０・通訳・区３</t>
  </si>
  <si>
    <t>BG68</t>
  </si>
  <si>
    <t>同援深０．５・日１．０・通訳・２人・区３</t>
  </si>
  <si>
    <t>BG69</t>
  </si>
  <si>
    <t>同援深０．５・日１．０・通訳・盲ろう・区３</t>
  </si>
  <si>
    <t>BG70</t>
  </si>
  <si>
    <t>同援深０．５・日１．０・通訳・２人・盲ろう・区３</t>
  </si>
  <si>
    <t>同援深０．５・日１．０・通訳・区４</t>
  </si>
  <si>
    <t>同援深０．５・日１．０・通訳・２人・区４</t>
  </si>
  <si>
    <t>BG73</t>
  </si>
  <si>
    <t>同援深０．５・日１．０・通訳・盲ろう・区４</t>
  </si>
  <si>
    <t>BG74</t>
  </si>
  <si>
    <t>同援深０．５・日１．０・通訳・２人・盲ろう・区４</t>
  </si>
  <si>
    <t>BG75</t>
  </si>
  <si>
    <t>同援深０．５・日１．５・通訳</t>
  </si>
  <si>
    <t>BG76</t>
  </si>
  <si>
    <t>同援深０．５・日１．５・通訳・２人</t>
  </si>
  <si>
    <t>BG77</t>
  </si>
  <si>
    <t>同援深０．５・日１．５・通訳・盲ろう</t>
  </si>
  <si>
    <t>BG78</t>
  </si>
  <si>
    <t>同援深０．５・日１．５・通訳・２人・盲ろう</t>
  </si>
  <si>
    <t>BG79</t>
  </si>
  <si>
    <t>同援深０．５・日１．５・通訳・区３</t>
  </si>
  <si>
    <t>BG80</t>
  </si>
  <si>
    <t>同援深０．５・日１．５・通訳・２人・区３</t>
  </si>
  <si>
    <t>同援深０．５・日１．５・通訳・盲ろう・区３</t>
  </si>
  <si>
    <t>同援深０．５・日１．５・通訳・２人・盲ろう・区３</t>
  </si>
  <si>
    <t>BG83</t>
  </si>
  <si>
    <t>同援深０．５・日１．５・通訳・区４</t>
  </si>
  <si>
    <t>BG84</t>
  </si>
  <si>
    <t>同援深０．５・日１．５・通訳・２人・区４</t>
  </si>
  <si>
    <t>BG85</t>
  </si>
  <si>
    <t>同援深０．５・日１．５・通訳・盲ろう・区４</t>
  </si>
  <si>
    <t>BG86</t>
  </si>
  <si>
    <t>同援深０．５・日１．５・通訳・２人・盲ろう・区４</t>
  </si>
  <si>
    <t>BG87</t>
  </si>
  <si>
    <t>同援深０．５・日２．０・通訳</t>
  </si>
  <si>
    <t>BG88</t>
  </si>
  <si>
    <t>同援深０．５・日２．０・通訳・２人</t>
  </si>
  <si>
    <t>BG89</t>
  </si>
  <si>
    <t>同援深０．５・日２．０・通訳・盲ろう</t>
  </si>
  <si>
    <t>BG90</t>
  </si>
  <si>
    <t>同援深０．５・日２．０・通訳・２人・盲ろう</t>
  </si>
  <si>
    <t>同援深０．５・日２．０・通訳・区３</t>
  </si>
  <si>
    <t>同援深０．５・日２．０・通訳・２人・区３</t>
  </si>
  <si>
    <t>BG93</t>
  </si>
  <si>
    <t>同援深０．５・日２．０・通訳・盲ろう・区３</t>
  </si>
  <si>
    <t>BG94</t>
  </si>
  <si>
    <t>同援深０．５・日２．０・通訳・２人・盲ろう・区３</t>
  </si>
  <si>
    <t>BG95</t>
  </si>
  <si>
    <t>同援深０．５・日２．０・通訳・区４</t>
  </si>
  <si>
    <t>BG96</t>
  </si>
  <si>
    <t>同援深０．５・日２．０・通訳・２人・区４</t>
  </si>
  <si>
    <t>BG97</t>
  </si>
  <si>
    <t>同援深０．５・日２．０・通訳・盲ろう・区４</t>
  </si>
  <si>
    <t>BG98</t>
  </si>
  <si>
    <t>同援深０．５・日２．０・通訳・２人・盲ろう・区４</t>
  </si>
  <si>
    <t>BG99</t>
  </si>
  <si>
    <t>同援深０．５・日２．５・通訳</t>
  </si>
  <si>
    <t>BH00</t>
  </si>
  <si>
    <t>同援深０．５・日２．５・通訳・２人</t>
  </si>
  <si>
    <t>同援深０．５・日２．５・通訳・盲ろう</t>
  </si>
  <si>
    <t>同援深０．５・日２．５・通訳・２人・盲ろう</t>
  </si>
  <si>
    <t>BH03</t>
  </si>
  <si>
    <t>同援深０．５・日２．５・通訳・区３</t>
  </si>
  <si>
    <t>BH04</t>
  </si>
  <si>
    <t>同援深０．５・日２．５・通訳・２人・区３</t>
  </si>
  <si>
    <t>BH05</t>
  </si>
  <si>
    <t>同援深０．５・日２．５・通訳・盲ろう・区３</t>
  </si>
  <si>
    <t>BH06</t>
  </si>
  <si>
    <t>同援深０．５・日２．５・通訳・２人・盲ろう・区３</t>
  </si>
  <si>
    <t>BH07</t>
  </si>
  <si>
    <t>同援深０．５・日２．５・通訳・区４</t>
  </si>
  <si>
    <t>BH08</t>
  </si>
  <si>
    <t>同援深０．５・日２．５・通訳・２人・区４</t>
  </si>
  <si>
    <t>BH09</t>
  </si>
  <si>
    <t>同援深０．５・日２．５・通訳・盲ろう・区４</t>
  </si>
  <si>
    <t>BH10</t>
  </si>
  <si>
    <t>同援深０．５・日２．５・通訳・２人・盲ろう・区４</t>
  </si>
  <si>
    <t>同援深１．０・日０．５・通訳</t>
  </si>
  <si>
    <t>同援深１．０・日０．５・通訳・２人</t>
  </si>
  <si>
    <t>BH13</t>
  </si>
  <si>
    <t>同援深１．０・日０．５・通訳・盲ろう</t>
  </si>
  <si>
    <t>BH14</t>
  </si>
  <si>
    <t>同援深１．０・日０．５・通訳・２人・盲ろう</t>
  </si>
  <si>
    <t>BH15</t>
  </si>
  <si>
    <t>同援深１．０・日０．５・通訳・区３</t>
  </si>
  <si>
    <t>BH16</t>
  </si>
  <si>
    <t>同援深１．０・日０．５・通訳・２人・区３</t>
  </si>
  <si>
    <t>BH17</t>
  </si>
  <si>
    <t>同援深１．０・日０．５・通訳・盲ろう・区３</t>
  </si>
  <si>
    <t>BH18</t>
  </si>
  <si>
    <t>同援深１．０・日０．５・通訳・２人・盲ろう・区３</t>
  </si>
  <si>
    <t>BH19</t>
  </si>
  <si>
    <t>同援深１．０・日０．５・通訳・区４</t>
  </si>
  <si>
    <t>BH20</t>
  </si>
  <si>
    <t>同援深１．０・日０．５・通訳・２人・区４</t>
  </si>
  <si>
    <t>同援深１．０・日０．５・通訳・盲ろう・区４</t>
  </si>
  <si>
    <t>同援深１．０・日０．５・通訳・２人・盲ろう・区４</t>
  </si>
  <si>
    <t>BH23</t>
  </si>
  <si>
    <t>同援深１．０・日１．０・通訳</t>
  </si>
  <si>
    <t>BH24</t>
  </si>
  <si>
    <t>同援深１．０・日１．０・通訳・２人</t>
  </si>
  <si>
    <t>BH25</t>
  </si>
  <si>
    <t>同援深１．０・日１．０・通訳・盲ろう</t>
  </si>
  <si>
    <t>BH26</t>
  </si>
  <si>
    <t>同援深１．０・日１．０・通訳・２人・盲ろう</t>
  </si>
  <si>
    <t>BH27</t>
  </si>
  <si>
    <t>同援深１．０・日１．０・通訳・区３</t>
  </si>
  <si>
    <t>BH28</t>
  </si>
  <si>
    <t>同援深１．０・日１．０・通訳・２人・区３</t>
  </si>
  <si>
    <t>BH29</t>
  </si>
  <si>
    <t>同援深１．０・日１．０・通訳・盲ろう・区３</t>
  </si>
  <si>
    <t>BH30</t>
  </si>
  <si>
    <t>同援深１．０・日１．０・通訳・２人・盲ろう・区３</t>
  </si>
  <si>
    <t>同援深１．０・日１．０・通訳・区４</t>
  </si>
  <si>
    <t>同援深１．０・日１．０・通訳・２人・区４</t>
  </si>
  <si>
    <t>BH33</t>
  </si>
  <si>
    <t>同援深１．０・日１．０・通訳・盲ろう・区４</t>
  </si>
  <si>
    <t>BH34</t>
  </si>
  <si>
    <t>同援深１．０・日１．０・通訳・２人・盲ろう・区４</t>
  </si>
  <si>
    <t>BH35</t>
  </si>
  <si>
    <t>同援深１．０・日１．５・通訳</t>
  </si>
  <si>
    <t>BH36</t>
  </si>
  <si>
    <t>同援深１．０・日１．５・通訳・２人</t>
  </si>
  <si>
    <t>BH37</t>
  </si>
  <si>
    <t>同援深１．０・日１．５・通訳・盲ろう</t>
  </si>
  <si>
    <t>BH38</t>
  </si>
  <si>
    <t>同援深１．０・日１．５・通訳・２人・盲ろう</t>
  </si>
  <si>
    <t>BH39</t>
  </si>
  <si>
    <t>同援深１．０・日１．５・通訳・区３</t>
  </si>
  <si>
    <t>BH40</t>
  </si>
  <si>
    <t>同援深１．０・日１．５・通訳・２人・区３</t>
  </si>
  <si>
    <t>同援深１．０・日１．５・通訳・盲ろう・区３</t>
  </si>
  <si>
    <t>同援深１．０・日１．５・通訳・２人・盲ろう・区３</t>
  </si>
  <si>
    <t>BH43</t>
  </si>
  <si>
    <t>同援深１．０・日１．５・通訳・区４</t>
  </si>
  <si>
    <t>BH44</t>
  </si>
  <si>
    <t>同援深１．０・日１．５・通訳・２人・区４</t>
  </si>
  <si>
    <t>BH45</t>
  </si>
  <si>
    <t>同援深１．０・日１．５・通訳・盲ろう・区４</t>
  </si>
  <si>
    <t>BH46</t>
  </si>
  <si>
    <t>同援深１．０・日１．５・通訳・２人・盲ろう・区４</t>
  </si>
  <si>
    <t>BH47</t>
  </si>
  <si>
    <t>同援深１．０・日２．０・通訳</t>
  </si>
  <si>
    <t>BH48</t>
  </si>
  <si>
    <t>同援深１．０・日２．０・通訳・２人</t>
  </si>
  <si>
    <t>BH49</t>
  </si>
  <si>
    <t>同援深１．０・日２．０・通訳・盲ろう</t>
  </si>
  <si>
    <t>BH50</t>
  </si>
  <si>
    <t>同援深１．０・日２．０・通訳・２人・盲ろう</t>
  </si>
  <si>
    <t>同援深１．０・日２．０・通訳・区３</t>
  </si>
  <si>
    <t>同援深１．０・日２．０・通訳・２人・区３</t>
  </si>
  <si>
    <t>BH53</t>
  </si>
  <si>
    <t>同援深１．０・日２．０・通訳・盲ろう・区３</t>
  </si>
  <si>
    <t>BH54</t>
  </si>
  <si>
    <t>同援深１．０・日２．０・通訳・２人・盲ろう・区３</t>
  </si>
  <si>
    <t>BH55</t>
  </si>
  <si>
    <t>同援深１．０・日２．０・通訳・区４</t>
  </si>
  <si>
    <t>BH56</t>
  </si>
  <si>
    <t>同援深１．０・日２．０・通訳・２人・区４</t>
  </si>
  <si>
    <t>BH57</t>
  </si>
  <si>
    <t>同援深１．０・日２．０・通訳・盲ろう・区４</t>
  </si>
  <si>
    <t>BH58</t>
  </si>
  <si>
    <t>同援深１．０・日２．０・通訳・２人・盲ろう・区４</t>
  </si>
  <si>
    <t>BH59</t>
  </si>
  <si>
    <t>同援深１．５・日０．５・通訳</t>
  </si>
  <si>
    <t>BH60</t>
  </si>
  <si>
    <t>同援深１．５・日０．５・通訳・２人</t>
  </si>
  <si>
    <t>同援深１．５・日０．５・通訳・盲ろう</t>
  </si>
  <si>
    <t>同援深１．５・日０．５・通訳・２人・盲ろう</t>
  </si>
  <si>
    <t>BH63</t>
  </si>
  <si>
    <t>同援深１．５・日０．５・通訳・区３</t>
  </si>
  <si>
    <t>BH64</t>
  </si>
  <si>
    <t>同援深１．５・日０．５・通訳・２人・区３</t>
  </si>
  <si>
    <t>BH65</t>
  </si>
  <si>
    <t>同援深１．５・日０．５・通訳・盲ろう・区３</t>
  </si>
  <si>
    <t>BH66</t>
  </si>
  <si>
    <t>同援深１．５・日０．５・通訳・２人・盲ろう・区３</t>
  </si>
  <si>
    <t>BH67</t>
  </si>
  <si>
    <t>同援深１．５・日０．５・通訳・区４</t>
  </si>
  <si>
    <t>BH68</t>
  </si>
  <si>
    <t>同援深１．５・日０．５・通訳・２人・区４</t>
  </si>
  <si>
    <t>BH69</t>
  </si>
  <si>
    <t>同援深１．５・日０．５・通訳・盲ろう・区４</t>
  </si>
  <si>
    <t>BH70</t>
  </si>
  <si>
    <t>同援深１．５・日０．５・通訳・２人・盲ろう・区４</t>
  </si>
  <si>
    <t>同援深１．５・日１．０・通訳</t>
  </si>
  <si>
    <t>同援深１．５・日１．０・通訳・２人</t>
  </si>
  <si>
    <t>BH73</t>
  </si>
  <si>
    <t>同援深１．５・日１．０・通訳・盲ろう</t>
  </si>
  <si>
    <t>BH74</t>
  </si>
  <si>
    <t>同援深１．５・日１．０・通訳・２人・盲ろう</t>
  </si>
  <si>
    <t>BH75</t>
  </si>
  <si>
    <t>同援深１．５・日１．０・通訳・区３</t>
  </si>
  <si>
    <t>BH76</t>
  </si>
  <si>
    <t>同援深１．５・日１．０・通訳・２人・区３</t>
  </si>
  <si>
    <t>BH77</t>
  </si>
  <si>
    <t>同援深１．５・日１．０・通訳・盲ろう・区３</t>
  </si>
  <si>
    <t>BH78</t>
  </si>
  <si>
    <t>同援深１．５・日１．０・通訳・２人・盲ろう・区３</t>
  </si>
  <si>
    <t>BH79</t>
  </si>
  <si>
    <t>同援深１．５・日１．０・通訳・区４</t>
  </si>
  <si>
    <t>BH80</t>
  </si>
  <si>
    <t>同援深１．５・日１．０・通訳・２人・区４</t>
  </si>
  <si>
    <t>同援深１．５・日１．０・通訳・盲ろう・区４</t>
  </si>
  <si>
    <t>同援深１．５・日１．０・通訳・２人・盲ろう・区４</t>
  </si>
  <si>
    <t>BH83</t>
  </si>
  <si>
    <t>同援深１．５・日１．５・通訳</t>
  </si>
  <si>
    <t>BH84</t>
  </si>
  <si>
    <t>同援深１．５・日１．５・通訳・２人</t>
  </si>
  <si>
    <t>BH85</t>
  </si>
  <si>
    <t>同援深１．５・日１．５・通訳・盲ろう</t>
  </si>
  <si>
    <t>BH86</t>
  </si>
  <si>
    <t>同援深１．５・日１．５・通訳・２人・盲ろう</t>
  </si>
  <si>
    <t>BH87</t>
  </si>
  <si>
    <t>同援深１．５・日１．５・通訳・区３</t>
  </si>
  <si>
    <t>BH88</t>
  </si>
  <si>
    <t>同援深１．５・日１．５・通訳・２人・区３</t>
  </si>
  <si>
    <t>BH89</t>
  </si>
  <si>
    <t>同援深１．５・日１．５・通訳・盲ろう・区３</t>
  </si>
  <si>
    <t>BH90</t>
  </si>
  <si>
    <t>同援深１．５・日１．５・通訳・２人・盲ろう・区３</t>
  </si>
  <si>
    <t>同援深１．５・日１．５・通訳・区４</t>
  </si>
  <si>
    <t>同援深１．５・日１．５・通訳・２人・区４</t>
  </si>
  <si>
    <t>BH93</t>
  </si>
  <si>
    <t>同援深１．５・日１．５・通訳・盲ろう・区４</t>
  </si>
  <si>
    <t>BH94</t>
  </si>
  <si>
    <t>同援深１．５・日１．５・通訳・２人・盲ろう・区４</t>
  </si>
  <si>
    <t>BH95</t>
  </si>
  <si>
    <t>同援深２．０・日０．５・通訳</t>
  </si>
  <si>
    <t>BH96</t>
  </si>
  <si>
    <t>同援深２．０・日０．５・通訳・２人</t>
  </si>
  <si>
    <t>BH97</t>
  </si>
  <si>
    <t>同援深２．０・日０．５・通訳・盲ろう</t>
  </si>
  <si>
    <t>BH98</t>
  </si>
  <si>
    <t>同援深２．０・日０．５・通訳・２人・盲ろう</t>
  </si>
  <si>
    <t>BH99</t>
  </si>
  <si>
    <t>同援深２．０・日０．５・通訳・区３</t>
  </si>
  <si>
    <t>BJ00</t>
  </si>
  <si>
    <t>同援深２．０・日０．５・通訳・２人・区３</t>
  </si>
  <si>
    <t>同援深２．０・日０．５・通訳・盲ろう・区３</t>
  </si>
  <si>
    <t>同援深２．０・日０．５・通訳・２人・盲ろう・区３</t>
  </si>
  <si>
    <t>BJ03</t>
  </si>
  <si>
    <t>同援深２．０・日０．５・通訳・区４</t>
  </si>
  <si>
    <t>BJ04</t>
  </si>
  <si>
    <t>同援深２．０・日０．５・通訳・２人・区４</t>
  </si>
  <si>
    <t>BJ05</t>
  </si>
  <si>
    <t>同援深２．０・日０．５・通訳・盲ろう・区４</t>
  </si>
  <si>
    <t>BJ06</t>
  </si>
  <si>
    <t>同援深２．０・日０．５・通訳・２人・盲ろう・区４</t>
  </si>
  <si>
    <t>BJ07</t>
  </si>
  <si>
    <t>同援深２．０・日１．０・通訳</t>
  </si>
  <si>
    <t>BJ08</t>
  </si>
  <si>
    <t>同援深２．０・日１．０・通訳・２人</t>
  </si>
  <si>
    <t>BJ09</t>
  </si>
  <si>
    <t>同援深２．０・日１．０・通訳・盲ろう</t>
  </si>
  <si>
    <t>BJ10</t>
  </si>
  <si>
    <t>同援深２．０・日１．０・通訳・２人・盲ろう</t>
  </si>
  <si>
    <t>同援深２．０・日１．０・通訳・区３</t>
  </si>
  <si>
    <t>同援深２．０・日１．０・通訳・２人・区３</t>
  </si>
  <si>
    <t>BJ13</t>
  </si>
  <si>
    <t>同援深２．０・日１．０・通訳・盲ろう・区３</t>
  </si>
  <si>
    <t>BJ14</t>
  </si>
  <si>
    <t>同援深２．０・日１．０・通訳・２人・盲ろう・区３</t>
  </si>
  <si>
    <t>BJ15</t>
  </si>
  <si>
    <t>同援深２．０・日１．０・通訳・区４</t>
  </si>
  <si>
    <t>BJ16</t>
  </si>
  <si>
    <t>同援深２．０・日１．０・通訳・２人・区４</t>
  </si>
  <si>
    <t>BJ17</t>
  </si>
  <si>
    <t>同援深２．０・日１．０・通訳・盲ろう・区４</t>
  </si>
  <si>
    <t>BJ18</t>
  </si>
  <si>
    <t>同援深２．０・日１．０・通訳・２人・盲ろう・区４</t>
  </si>
  <si>
    <t>BJ19</t>
  </si>
  <si>
    <t>同援深２．５・日０．５・通訳</t>
  </si>
  <si>
    <t>BJ20</t>
  </si>
  <si>
    <t>同援深２．５・日０．５・通訳・２人</t>
  </si>
  <si>
    <t>同援深２．５・日０．５・通訳・盲ろう</t>
  </si>
  <si>
    <t>同援深２．５・日０．５・通訳・２人・盲ろう</t>
  </si>
  <si>
    <t>BJ23</t>
  </si>
  <si>
    <t>同援深２．５・日０．５・通訳・区３</t>
  </si>
  <si>
    <t>BJ24</t>
  </si>
  <si>
    <t>同援深２．５・日０．５・通訳・２人・区３</t>
  </si>
  <si>
    <t>BJ25</t>
  </si>
  <si>
    <t>同援深２．５・日０．５・通訳・盲ろう・区３</t>
  </si>
  <si>
    <t>BJ26</t>
  </si>
  <si>
    <t>同援深２．５・日０．５・通訳・２人・盲ろう・区３</t>
  </si>
  <si>
    <t>BJ27</t>
  </si>
  <si>
    <t>同援深２．５・日０．５・通訳・区４</t>
  </si>
  <si>
    <t>BJ28</t>
  </si>
  <si>
    <t>同援深２．５・日０．５・通訳・２人・区４</t>
  </si>
  <si>
    <t>BJ29</t>
  </si>
  <si>
    <t>同援深２．５・日０．５・通訳・盲ろう・区４</t>
  </si>
  <si>
    <t>BJ30</t>
  </si>
  <si>
    <t>同援深２．５・日０．５・通訳・２人・盲ろう・区４</t>
  </si>
  <si>
    <t>（盲ろう者向け通訳・介助員：日中＋夜間＋深夜）　　※サービス間隔が２時間未満の場合</t>
    <phoneticPr fontId="1"/>
  </si>
  <si>
    <t>同援日０．５・夜０．５・深０．５・通訳</t>
  </si>
  <si>
    <t>同援日０．５・夜０．５・深０．５・通訳・２人</t>
  </si>
  <si>
    <t>BJ33</t>
  </si>
  <si>
    <t>同援日０．５・夜０．５・深０．５・通訳・盲ろう</t>
  </si>
  <si>
    <t>BJ34</t>
  </si>
  <si>
    <t>同援日０．５・夜０．５・深０．５・通訳・２人・盲ろう</t>
  </si>
  <si>
    <t>BJ35</t>
  </si>
  <si>
    <t>同援日０．５・夜０．５・深０．５・通訳・区３</t>
  </si>
  <si>
    <t>BJ36</t>
  </si>
  <si>
    <t>同援日０．５・夜０．５・深０．５・通訳・２人・区３</t>
  </si>
  <si>
    <t>BJ37</t>
  </si>
  <si>
    <t>同援日０．５・夜０．５・深０．５・通訳・盲ろう・区３</t>
  </si>
  <si>
    <t>BJ38</t>
  </si>
  <si>
    <t>同援日０．５・夜０．５・深０．５・通訳・２人・盲ろう・区３</t>
  </si>
  <si>
    <t>BJ39</t>
  </si>
  <si>
    <t>同援日０．５・夜０．５・深０．５・通訳・区４</t>
  </si>
  <si>
    <t>BJ40</t>
  </si>
  <si>
    <t>同援日０．５・夜０．５・深０．５・通訳・２人・区４</t>
  </si>
  <si>
    <t>同援日０．５・夜０．５・深０．５・通訳・盲ろう・区４</t>
  </si>
  <si>
    <t>同援日０．５・夜０．５・深０．５・通訳・２人・盲ろう・区４</t>
  </si>
  <si>
    <t>BJ43</t>
  </si>
  <si>
    <t>同援日０．５・夜０．５・深１．０・通訳</t>
  </si>
  <si>
    <t>BJ44</t>
  </si>
  <si>
    <t>同援日０．５・夜０．５・深１．０・通訳・２人</t>
  </si>
  <si>
    <t>BJ45</t>
  </si>
  <si>
    <t>同援日０．５・夜０．５・深１．０・通訳・盲ろう</t>
  </si>
  <si>
    <t>BJ46</t>
  </si>
  <si>
    <t>同援日０．５・夜０．５・深１．０・通訳・２人・盲ろう</t>
  </si>
  <si>
    <t>BJ47</t>
  </si>
  <si>
    <t>同援日０．５・夜０．５・深１．０・通訳・区３</t>
  </si>
  <si>
    <t>BJ48</t>
  </si>
  <si>
    <t>同援日０．５・夜０．５・深１．０・通訳・２人・区３</t>
  </si>
  <si>
    <t>BJ49</t>
  </si>
  <si>
    <t>同援日０．５・夜０．５・深１．０・通訳・盲ろう・区３</t>
  </si>
  <si>
    <t>BJ50</t>
  </si>
  <si>
    <t>同援日０．５・夜０．５・深１．０・通訳・２人・盲ろう・区３</t>
  </si>
  <si>
    <t>同援日０．５・夜０．５・深１．０・通訳・区４</t>
  </si>
  <si>
    <t>同援日０．５・夜０．５・深１．０・通訳・２人・区４</t>
  </si>
  <si>
    <t>BJ53</t>
  </si>
  <si>
    <t>同援日０．５・夜０．５・深１．０・通訳・盲ろう・区４</t>
  </si>
  <si>
    <t>BJ54</t>
  </si>
  <si>
    <t>同援日０．５・夜０．５・深１．０・通訳・２人・盲ろう・区４</t>
  </si>
  <si>
    <t>BJ55</t>
  </si>
  <si>
    <t>同援日０．５・夜０．５・深１．５・通訳</t>
  </si>
  <si>
    <t>BJ56</t>
  </si>
  <si>
    <t>同援日０．５・夜０．５・深１．５・通訳・２人</t>
  </si>
  <si>
    <t>BJ57</t>
  </si>
  <si>
    <t>同援日０．５・夜０．５・深１．５・通訳・盲ろう</t>
  </si>
  <si>
    <t>BJ58</t>
  </si>
  <si>
    <t>同援日０．５・夜０．５・深１．５・通訳・２人・盲ろう</t>
  </si>
  <si>
    <t>BJ59</t>
  </si>
  <si>
    <t>同援日０．５・夜０．５・深１．５・通訳・区３</t>
  </si>
  <si>
    <t>BJ60</t>
  </si>
  <si>
    <t>同援日０．５・夜０．５・深１．５・通訳・２人・区３</t>
  </si>
  <si>
    <t>同援日０．５・夜０．５・深１．５・通訳・盲ろう・区３</t>
  </si>
  <si>
    <t>同援日０．５・夜０．５・深１．５・通訳・２人・盲ろう・区３</t>
  </si>
  <si>
    <t>BJ63</t>
  </si>
  <si>
    <t>同援日０．５・夜０．５・深１．５・通訳・区４</t>
  </si>
  <si>
    <t>BJ64</t>
  </si>
  <si>
    <t>同援日０．５・夜０．５・深１．５・通訳・２人・区４</t>
  </si>
  <si>
    <t>BJ65</t>
  </si>
  <si>
    <t>同援日０．５・夜０．５・深１．５・通訳・盲ろう・区４</t>
  </si>
  <si>
    <t>BJ66</t>
  </si>
  <si>
    <t>同援日０．５・夜０．５・深１．５・通訳・２人・盲ろう・区４</t>
  </si>
  <si>
    <t>BJ67</t>
  </si>
  <si>
    <t>同援日０．５・夜０．５・深２．０・通訳</t>
  </si>
  <si>
    <t>BJ68</t>
  </si>
  <si>
    <t>同援日０．５・夜０．５・深２．０・通訳・２人</t>
  </si>
  <si>
    <t>BJ69</t>
  </si>
  <si>
    <t>同援日０．５・夜０．５・深２．０・通訳・盲ろう</t>
  </si>
  <si>
    <t>BJ70</t>
  </si>
  <si>
    <t>同援日０．５・夜０．５・深２．０・通訳・２人・盲ろう</t>
  </si>
  <si>
    <t>同援日０．５・夜０．５・深２．０・通訳・区３</t>
  </si>
  <si>
    <t>同援日０．５・夜０．５・深２．０・通訳・２人・区３</t>
  </si>
  <si>
    <t>BJ73</t>
  </si>
  <si>
    <t>同援日０．５・夜０．５・深２．０・通訳・盲ろう・区３</t>
  </si>
  <si>
    <t>BJ74</t>
  </si>
  <si>
    <t>同援日０．５・夜０．５・深２．０・通訳・２人・盲ろう・区３</t>
  </si>
  <si>
    <t>BJ75</t>
  </si>
  <si>
    <t>同援日０．５・夜０．５・深２．０・通訳・区４</t>
  </si>
  <si>
    <t>BJ76</t>
  </si>
  <si>
    <t>同援日０．５・夜０．５・深２．０・通訳・２人・区４</t>
  </si>
  <si>
    <t>BJ77</t>
  </si>
  <si>
    <t>同援日０．５・夜０．５・深２．０・通訳・盲ろう・区４</t>
  </si>
  <si>
    <t>BJ78</t>
  </si>
  <si>
    <t>同援日０．５・夜０．５・深２．０・通訳・２人・盲ろう・区４</t>
  </si>
  <si>
    <t>BJ79</t>
  </si>
  <si>
    <t>同援日０．５・夜１．０・深０．５・通訳</t>
  </si>
  <si>
    <t>BJ80</t>
  </si>
  <si>
    <t>同援日０．５・夜１．０・深０．５・通訳・２人</t>
  </si>
  <si>
    <t>同援日０．５・夜１．０・深０．５・通訳・盲ろう</t>
  </si>
  <si>
    <t>同援日０．５・夜１．０・深０．５・通訳・２人・盲ろう</t>
  </si>
  <si>
    <t>BJ83</t>
  </si>
  <si>
    <t>同援日０．５・夜１．０・深０．５・通訳・区３</t>
  </si>
  <si>
    <t>BJ84</t>
  </si>
  <si>
    <t>同援日０．５・夜１．０・深０．５・通訳・２人・区３</t>
  </si>
  <si>
    <t>BJ85</t>
  </si>
  <si>
    <t>同援日０．５・夜１．０・深０．５・通訳・盲ろう・区３</t>
  </si>
  <si>
    <t>BJ86</t>
  </si>
  <si>
    <t>同援日０．５・夜１．０・深０．５・通訳・２人・盲ろう・区３</t>
  </si>
  <si>
    <t>BJ87</t>
  </si>
  <si>
    <t>同援日０．５・夜１．０・深０．５・通訳・区４</t>
  </si>
  <si>
    <t>BJ88</t>
  </si>
  <si>
    <t>同援日０．５・夜１．０・深０．５・通訳・２人・区４</t>
  </si>
  <si>
    <t>BJ89</t>
  </si>
  <si>
    <t>同援日０．５・夜１．０・深０．５・通訳・盲ろう・区４</t>
  </si>
  <si>
    <t>BJ90</t>
  </si>
  <si>
    <t>同援日０．５・夜１．０・深０．５・通訳・２人・盲ろう・区４</t>
  </si>
  <si>
    <t>同援日０．５・夜１．０・深１．０・通訳</t>
  </si>
  <si>
    <t>同援日０．５・夜１．０・深１．０・通訳・２人</t>
  </si>
  <si>
    <t>BJ93</t>
  </si>
  <si>
    <t>同援日０．５・夜１．０・深１．０・通訳・盲ろう</t>
  </si>
  <si>
    <t>BJ94</t>
  </si>
  <si>
    <t>同援日０．５・夜１．０・深１．０・通訳・２人・盲ろう</t>
  </si>
  <si>
    <t>BJ95</t>
  </si>
  <si>
    <t>同援日０．５・夜１．０・深１．０・通訳・区３</t>
  </si>
  <si>
    <t>BJ96</t>
  </si>
  <si>
    <t>同援日０．５・夜１．０・深１．０・通訳・２人・区３</t>
  </si>
  <si>
    <t>BJ97</t>
  </si>
  <si>
    <t>同援日０．５・夜１．０・深１．０・通訳・盲ろう・区３</t>
  </si>
  <si>
    <t>BJ98</t>
  </si>
  <si>
    <t>同援日０．５・夜１．０・深１．０・通訳・２人・盲ろう・区３</t>
  </si>
  <si>
    <t>BJ99</t>
  </si>
  <si>
    <t>同援日０．５・夜１．０・深１．０・通訳・区４</t>
  </si>
  <si>
    <t>BK00</t>
  </si>
  <si>
    <t>同援日０．５・夜１．０・深１．０・通訳・２人・区４</t>
  </si>
  <si>
    <t>同援日０．５・夜１．０・深１．０・通訳・盲ろう・区４</t>
  </si>
  <si>
    <t>同援日０．５・夜１．０・深１．０・通訳・２人・盲ろう・区４</t>
  </si>
  <si>
    <t>BK03</t>
  </si>
  <si>
    <t>同援日０．５・夜１．０・深１．５・通訳</t>
  </si>
  <si>
    <t>BK04</t>
  </si>
  <si>
    <t>同援日０．５・夜１．０・深１．５・通訳・２人</t>
  </si>
  <si>
    <t>BK05</t>
  </si>
  <si>
    <t>同援日０．５・夜１．０・深１．５・通訳・盲ろう</t>
  </si>
  <si>
    <t>BK06</t>
  </si>
  <si>
    <t>同援日０．５・夜１．０・深１．５・通訳・２人・盲ろう</t>
  </si>
  <si>
    <t>BK07</t>
  </si>
  <si>
    <t>同援日０．５・夜１．０・深１．５・通訳・区３</t>
  </si>
  <si>
    <t>BK08</t>
  </si>
  <si>
    <t>同援日０．５・夜１．０・深１．５・通訳・２人・区３</t>
  </si>
  <si>
    <t>BK09</t>
  </si>
  <si>
    <t>同援日０．５・夜１．０・深１．５・通訳・盲ろう・区３</t>
  </si>
  <si>
    <t>BK10</t>
  </si>
  <si>
    <t>同援日０．５・夜１．０・深１．５・通訳・２人・盲ろう・区３</t>
  </si>
  <si>
    <t>同援日０．５・夜１．０・深１．５・通訳・区４</t>
  </si>
  <si>
    <t>同援日０．５・夜１．０・深１．５・通訳・２人・区４</t>
  </si>
  <si>
    <t>BK13</t>
  </si>
  <si>
    <t>同援日０．５・夜１．０・深１．５・通訳・盲ろう・区４</t>
  </si>
  <si>
    <t>BK14</t>
  </si>
  <si>
    <t>同援日０．５・夜１．０・深１．５・通訳・２人・盲ろう・区４</t>
  </si>
  <si>
    <t>BK15</t>
  </si>
  <si>
    <t>同援日０．５・夜１．５・深０．５・通訳</t>
  </si>
  <si>
    <t>BK16</t>
  </si>
  <si>
    <t>同援日０．５・夜１．５・深０．５・通訳・２人</t>
  </si>
  <si>
    <t>BK17</t>
  </si>
  <si>
    <t>同援日０．５・夜１．５・深０．５・通訳・盲ろう</t>
  </si>
  <si>
    <t>BK18</t>
  </si>
  <si>
    <t>同援日０．５・夜１．５・深０．５・通訳・２人・盲ろう</t>
  </si>
  <si>
    <t>BK19</t>
  </si>
  <si>
    <t>同援日０．５・夜１．５・深０．５・通訳・区３</t>
  </si>
  <si>
    <t>BK20</t>
  </si>
  <si>
    <t>同援日０．５・夜１．５・深０．５・通訳・２人・区３</t>
  </si>
  <si>
    <t>同援日０．５・夜１．５・深０．５・通訳・盲ろう・区３</t>
  </si>
  <si>
    <t>同援日０．５・夜１．５・深０．５・通訳・２人・盲ろう・区３</t>
  </si>
  <si>
    <t>BK23</t>
  </si>
  <si>
    <t>同援日０．５・夜１．５・深０．５・通訳・区４</t>
  </si>
  <si>
    <t>BK24</t>
  </si>
  <si>
    <t>同援日０．５・夜１．５・深０．５・通訳・２人・区４</t>
  </si>
  <si>
    <t>BK25</t>
  </si>
  <si>
    <t>同援日０．５・夜１．５・深０．５・通訳・盲ろう・区４</t>
  </si>
  <si>
    <t>BK26</t>
  </si>
  <si>
    <t>同援日０．５・夜１．５・深０．５・通訳・２人・盲ろう・区４</t>
  </si>
  <si>
    <t>BK27</t>
  </si>
  <si>
    <t>同援日０．５・夜１．５・深１．０・通訳</t>
  </si>
  <si>
    <t>BK28</t>
  </si>
  <si>
    <t>同援日０．５・夜１．５・深１．０・通訳・２人</t>
  </si>
  <si>
    <t>BK29</t>
  </si>
  <si>
    <t>同援日０．５・夜１．５・深１．０・通訳・盲ろう</t>
  </si>
  <si>
    <t>BK30</t>
  </si>
  <si>
    <t>同援日０．５・夜１．５・深１．０・通訳・２人・盲ろう</t>
  </si>
  <si>
    <t>同援日０．５・夜１．５・深１．０・通訳・区３</t>
  </si>
  <si>
    <t>同援日０．５・夜１．５・深１．０・通訳・２人・区３</t>
  </si>
  <si>
    <t>BK33</t>
  </si>
  <si>
    <t>同援日０．５・夜１．５・深１．０・通訳・盲ろう・区３</t>
  </si>
  <si>
    <t>BK34</t>
  </si>
  <si>
    <t>同援日０．５・夜１．５・深１．０・通訳・２人・盲ろう・区３</t>
  </si>
  <si>
    <t>BK35</t>
  </si>
  <si>
    <t>同援日０．５・夜１．５・深１．０・通訳・区４</t>
  </si>
  <si>
    <t>BK36</t>
  </si>
  <si>
    <t>同援日０．５・夜１．５・深１．０・通訳・２人・区４</t>
  </si>
  <si>
    <t>BK37</t>
  </si>
  <si>
    <t>同援日０．５・夜１．５・深１．０・通訳・盲ろう・区４</t>
  </si>
  <si>
    <t>BK38</t>
  </si>
  <si>
    <t>同援日０．５・夜１．５・深１．０・通訳・２人・盲ろう・区４</t>
  </si>
  <si>
    <t>BK39</t>
  </si>
  <si>
    <t>同援日０．５・夜２．０・深０．５・通訳</t>
  </si>
  <si>
    <t>BK40</t>
  </si>
  <si>
    <t>同援日０．５・夜２．０・深０．５・通訳・２人</t>
  </si>
  <si>
    <t>同援日０．５・夜２．０・深０．５・通訳・盲ろう</t>
  </si>
  <si>
    <t>同援日０．５・夜２．０・深０．５・通訳・２人・盲ろう</t>
  </si>
  <si>
    <t>BK43</t>
  </si>
  <si>
    <t>同援日０．５・夜２．０・深０．５・通訳・区３</t>
  </si>
  <si>
    <t>BK44</t>
  </si>
  <si>
    <t>同援日０．５・夜２．０・深０．５・通訳・２人・区３</t>
  </si>
  <si>
    <t>BK45</t>
  </si>
  <si>
    <t>同援日０．５・夜２．０・深０．５・通訳・盲ろう・区３</t>
  </si>
  <si>
    <t>BK46</t>
  </si>
  <si>
    <t>同援日０．５・夜２．０・深０．５・通訳・２人・盲ろう・区３</t>
  </si>
  <si>
    <t>BK47</t>
  </si>
  <si>
    <t>同援日０．５・夜２．０・深０．５・通訳・区４</t>
  </si>
  <si>
    <t>BK48</t>
  </si>
  <si>
    <t>同援日０．５・夜２．０・深０．５・通訳・２人・区４</t>
  </si>
  <si>
    <t>BK49</t>
  </si>
  <si>
    <t>同援日０．５・夜２．０・深０．５・通訳・盲ろう・区４</t>
  </si>
  <si>
    <t>BK50</t>
  </si>
  <si>
    <t>同援日０．５・夜２．０・深０．５・通訳・２人・盲ろう・区４</t>
    <phoneticPr fontId="1"/>
  </si>
  <si>
    <t>同援日１．０・夜０．５・深０．５・通訳</t>
  </si>
  <si>
    <t>同援日１．０・夜０．５・深０．５・通訳・２人</t>
  </si>
  <si>
    <t>BK53</t>
  </si>
  <si>
    <t>同援日１．０・夜０．５・深０．５・通訳・盲ろう</t>
  </si>
  <si>
    <t>BK54</t>
  </si>
  <si>
    <t>同援日１．０・夜０．５・深０．５・通訳・２人・盲ろう</t>
  </si>
  <si>
    <t>BK55</t>
  </si>
  <si>
    <t>同援日１．０・夜０．５・深０．５・通訳・区３</t>
  </si>
  <si>
    <t>BK56</t>
  </si>
  <si>
    <t>同援日１．０・夜０．５・深０．５・通訳・２人・区３</t>
  </si>
  <si>
    <t>BK57</t>
  </si>
  <si>
    <t>同援日１．０・夜０．５・深０．５・通訳・盲ろう・区３</t>
  </si>
  <si>
    <t>BK58</t>
  </si>
  <si>
    <t>同援日１．０・夜０．５・深０．５・通訳・２人・盲ろう・区３</t>
  </si>
  <si>
    <t>BK59</t>
  </si>
  <si>
    <t>同援日１．０・夜０．５・深０．５・通訳・区４</t>
  </si>
  <si>
    <t>BK60</t>
  </si>
  <si>
    <t>同援日１．０・夜０．５・深０．５・通訳・２人・区４</t>
  </si>
  <si>
    <t>同援日１．０・夜０．５・深０．５・通訳・盲ろう・区４</t>
  </si>
  <si>
    <t>同援日１．０・夜０．５・深０．５・通訳・２人・盲ろう・区４</t>
  </si>
  <si>
    <t>BK63</t>
  </si>
  <si>
    <t>同援日１．０・夜０．５・深１．０・通訳</t>
  </si>
  <si>
    <t>BK64</t>
  </si>
  <si>
    <t>同援日１．０・夜０．５・深１．０・通訳・２人</t>
  </si>
  <si>
    <t>BK65</t>
  </si>
  <si>
    <t>同援日１．０・夜０．５・深１．０・通訳・盲ろう</t>
  </si>
  <si>
    <t>BK66</t>
  </si>
  <si>
    <t>同援日１．０・夜０．５・深１．０・通訳・２人・盲ろう</t>
  </si>
  <si>
    <t>BK67</t>
  </si>
  <si>
    <t>同援日１．０・夜０．５・深１．０・通訳・区３</t>
  </si>
  <si>
    <t>BK68</t>
  </si>
  <si>
    <t>同援日１．０・夜０．５・深１．０・通訳・２人・区３</t>
  </si>
  <si>
    <t>BK69</t>
  </si>
  <si>
    <t>同援日１．０・夜０．５・深１．０・通訳・盲ろう・区３</t>
  </si>
  <si>
    <t>BK70</t>
  </si>
  <si>
    <t>同援日１．０・夜０．５・深１．０・通訳・２人・盲ろう・区３</t>
  </si>
  <si>
    <t>同援日１．０・夜０．５・深１．０・通訳・区４</t>
  </si>
  <si>
    <t>同援日１．０・夜０．５・深１．０・通訳・２人・区４</t>
  </si>
  <si>
    <t>BK73</t>
  </si>
  <si>
    <t>同援日１．０・夜０．５・深１．０・通訳・盲ろう・区４</t>
  </si>
  <si>
    <t>BK74</t>
  </si>
  <si>
    <t>同援日１．０・夜０．５・深１．０・通訳・２人・盲ろう・区４</t>
  </si>
  <si>
    <t>BK75</t>
  </si>
  <si>
    <t>同援日１．０・夜０．５・深１．５・通訳</t>
  </si>
  <si>
    <t>BK76</t>
  </si>
  <si>
    <t>同援日１．０・夜０．５・深１．５・通訳・２人</t>
  </si>
  <si>
    <t>BK77</t>
  </si>
  <si>
    <t>同援日１．０・夜０．５・深１．５・通訳・盲ろう</t>
  </si>
  <si>
    <t>BK78</t>
  </si>
  <si>
    <t>同援日１．０・夜０．５・深１．５・通訳・２人・盲ろう</t>
  </si>
  <si>
    <t>BK79</t>
  </si>
  <si>
    <t>同援日１．０・夜０．５・深１．５・通訳・区３</t>
  </si>
  <si>
    <t>BK80</t>
  </si>
  <si>
    <t>同援日１．０・夜０．５・深１．５・通訳・２人・区３</t>
  </si>
  <si>
    <t>同援日１．０・夜０．５・深１．５・通訳・盲ろう・区３</t>
  </si>
  <si>
    <t>同援日１．０・夜０．５・深１．５・通訳・２人・盲ろう・区３</t>
  </si>
  <si>
    <t>BK83</t>
  </si>
  <si>
    <t>同援日１．０・夜０．５・深１．５・通訳・区４</t>
  </si>
  <si>
    <t>BK84</t>
  </si>
  <si>
    <t>同援日１．０・夜０．５・深１．５・通訳・２人・区４</t>
  </si>
  <si>
    <t>BK85</t>
  </si>
  <si>
    <t>同援日１．０・夜０．５・深１．５・通訳・盲ろう・区４</t>
  </si>
  <si>
    <t>BK86</t>
  </si>
  <si>
    <t>同援日１．０・夜０．５・深１．５・通訳・２人・盲ろう・区４</t>
  </si>
  <si>
    <t>BK87</t>
  </si>
  <si>
    <t>同援日１．０・夜１．０・深０．５・通訳</t>
  </si>
  <si>
    <t>BK88</t>
  </si>
  <si>
    <t>同援日１．０・夜１．０・深０．５・通訳・２人</t>
  </si>
  <si>
    <t>BK89</t>
  </si>
  <si>
    <t>同援日１．０・夜１．０・深０．５・通訳・盲ろう</t>
  </si>
  <si>
    <t>BK90</t>
  </si>
  <si>
    <t>同援日１．０・夜１．０・深０．５・通訳・２人・盲ろう</t>
  </si>
  <si>
    <t>同援日１．０・夜１．０・深０．５・通訳・区３</t>
  </si>
  <si>
    <t>同援日１．０・夜１．０・深０．５・通訳・２人・区３</t>
  </si>
  <si>
    <t>BK93</t>
  </si>
  <si>
    <t>同援日１．０・夜１．０・深０．５・通訳・盲ろう・区３</t>
  </si>
  <si>
    <t>BK94</t>
  </si>
  <si>
    <t>同援日１．０・夜１．０・深０．５・通訳・２人・盲ろう・区３</t>
  </si>
  <si>
    <t>BK95</t>
  </si>
  <si>
    <t>同援日１．０・夜１．０・深０．５・通訳・区４</t>
  </si>
  <si>
    <t>BK96</t>
  </si>
  <si>
    <t>同援日１．０・夜１．０・深０．５・通訳・２人・区４</t>
  </si>
  <si>
    <t>BK97</t>
  </si>
  <si>
    <t>同援日１．０・夜１．０・深０．５・通訳・盲ろう・区４</t>
  </si>
  <si>
    <t>BK98</t>
  </si>
  <si>
    <t>同援日１．０・夜１．０・深０．５・通訳・２人・盲ろう・区４</t>
  </si>
  <si>
    <t>BK99</t>
  </si>
  <si>
    <t>同援日１．０・夜１．０・深１．０・通訳</t>
  </si>
  <si>
    <t>BL00</t>
  </si>
  <si>
    <t>同援日１．０・夜１．０・深１．０・通訳・２人</t>
  </si>
  <si>
    <t>同援日１．０・夜１．０・深１．０・通訳・盲ろう</t>
  </si>
  <si>
    <t>同援日１．０・夜１．０・深１．０・通訳・２人・盲ろう</t>
  </si>
  <si>
    <t>BL03</t>
  </si>
  <si>
    <t>同援日１．０・夜１．０・深１．０・通訳・区３</t>
  </si>
  <si>
    <t>BL04</t>
  </si>
  <si>
    <t>同援日１．０・夜１．０・深１．０・通訳・２人・区３</t>
  </si>
  <si>
    <t>BL05</t>
  </si>
  <si>
    <t>同援日１．０・夜１．０・深１．０・通訳・盲ろう・区３</t>
  </si>
  <si>
    <t>BL06</t>
  </si>
  <si>
    <t>同援日１．０・夜１．０・深１．０・通訳・２人・盲ろう・区３</t>
  </si>
  <si>
    <t>BL07</t>
  </si>
  <si>
    <t>同援日１．０・夜１．０・深１．０・通訳・区４</t>
  </si>
  <si>
    <t>BL08</t>
  </si>
  <si>
    <t>同援日１．０・夜１．０・深１．０・通訳・２人・区４</t>
  </si>
  <si>
    <t>BL09</t>
  </si>
  <si>
    <t>同援日１．０・夜１．０・深１．０・通訳・盲ろう・区４</t>
  </si>
  <si>
    <t>BL10</t>
  </si>
  <si>
    <t>同援日１．０・夜１．０・深１．０・通訳・２人・盲ろう・区４</t>
  </si>
  <si>
    <t>同援日１．０・夜１．５・深０．５・通訳</t>
  </si>
  <si>
    <t>同援日１．０・夜１．５・深０．５・通訳・２人</t>
  </si>
  <si>
    <t>BL13</t>
  </si>
  <si>
    <t>同援日１．０・夜１．５・深０．５・通訳・盲ろう</t>
  </si>
  <si>
    <t>BL14</t>
  </si>
  <si>
    <t>同援日１．０・夜１．５・深０．５・通訳・２人・盲ろう</t>
  </si>
  <si>
    <t>BL15</t>
  </si>
  <si>
    <t>同援日１．０・夜１．５・深０．５・通訳・区３</t>
  </si>
  <si>
    <t>BL16</t>
  </si>
  <si>
    <t>同援日１．０・夜１．５・深０．５・通訳・２人・区３</t>
  </si>
  <si>
    <t>BL17</t>
  </si>
  <si>
    <t>同援日１．０・夜１．５・深０．５・通訳・盲ろう・区３</t>
  </si>
  <si>
    <t>BL18</t>
  </si>
  <si>
    <t>同援日１．０・夜１．５・深０．５・通訳・２人・盲ろう・区３</t>
  </si>
  <si>
    <t>BL19</t>
  </si>
  <si>
    <t>同援日１．０・夜１．５・深０．５・通訳・区４</t>
  </si>
  <si>
    <t>BL20</t>
  </si>
  <si>
    <t>同援日１．０・夜１．５・深０．５・通訳・２人・区４</t>
  </si>
  <si>
    <t>同援日１．０・夜１．５・深０．５・通訳・盲ろう・区４</t>
  </si>
  <si>
    <t>同援日１．０・夜１．５・深０．５・通訳・２人・盲ろう・区４</t>
  </si>
  <si>
    <t>BL23</t>
  </si>
  <si>
    <t>同援日１．５・夜０．５・深０．５・通訳</t>
  </si>
  <si>
    <t>BL24</t>
  </si>
  <si>
    <t>同援日１．５・夜０．５・深０．５・通訳・２人</t>
  </si>
  <si>
    <t>BL25</t>
  </si>
  <si>
    <t>同援日１．５・夜０．５・深０．５・通訳・盲ろう</t>
  </si>
  <si>
    <t>BL26</t>
  </si>
  <si>
    <t>同援日１．５・夜０．５・深０．５・通訳・２人・盲ろう</t>
  </si>
  <si>
    <t>BL27</t>
  </si>
  <si>
    <t>同援日１．５・夜０．５・深０．５・通訳・区３</t>
  </si>
  <si>
    <t>BL28</t>
  </si>
  <si>
    <t>同援日１．５・夜０．５・深０．５・通訳・２人・区３</t>
  </si>
  <si>
    <t>BL29</t>
  </si>
  <si>
    <t>同援日１．５・夜０．５・深０．５・通訳・盲ろう・区３</t>
  </si>
  <si>
    <t>BL30</t>
  </si>
  <si>
    <t>同援日１．５・夜０．５・深０．５・通訳・２人・盲ろう・区３</t>
  </si>
  <si>
    <t>同援日１．５・夜０．５・深０．５・通訳・区４</t>
  </si>
  <si>
    <t>同援日１．５・夜０．５・深０．５・通訳・２人・区４</t>
  </si>
  <si>
    <t>BL33</t>
  </si>
  <si>
    <t>同援日１．５・夜０．５・深０．５・通訳・盲ろう・区４</t>
  </si>
  <si>
    <t>BL34</t>
  </si>
  <si>
    <t>同援日１．５・夜０．５・深０．５・通訳・２人・盲ろう・区４</t>
  </si>
  <si>
    <t>BL35</t>
  </si>
  <si>
    <t>同援日１．５・夜０．５・深１．０・通訳</t>
  </si>
  <si>
    <t>BL36</t>
  </si>
  <si>
    <t>同援日１．５・夜０．５・深１．０・通訳・２人</t>
  </si>
  <si>
    <t>BL37</t>
  </si>
  <si>
    <t>同援日１．５・夜０．５・深１．０・通訳・盲ろう</t>
  </si>
  <si>
    <t>BL38</t>
  </si>
  <si>
    <t>同援日１．５・夜０．５・深１．０・通訳・２人・盲ろう</t>
  </si>
  <si>
    <t>BL39</t>
  </si>
  <si>
    <t>同援日１．５・夜０．５・深１．０・通訳・区３</t>
  </si>
  <si>
    <t>BL40</t>
  </si>
  <si>
    <t>同援日１．５・夜０．５・深１．０・通訳・２人・区３</t>
  </si>
  <si>
    <t>同援日１．５・夜０．５・深１．０・通訳・盲ろう・区３</t>
  </si>
  <si>
    <t>同援日１．５・夜０．５・深１．０・通訳・２人・盲ろう・区３</t>
  </si>
  <si>
    <t>BL43</t>
  </si>
  <si>
    <t>同援日１．５・夜０．５・深１．０・通訳・区４</t>
  </si>
  <si>
    <t>BL44</t>
  </si>
  <si>
    <t>同援日１．５・夜０．５・深１．０・通訳・２人・区４</t>
  </si>
  <si>
    <t>BL45</t>
  </si>
  <si>
    <t>同援日１．５・夜０．５・深１．０・通訳・盲ろう・区４</t>
  </si>
  <si>
    <t>BL46</t>
  </si>
  <si>
    <t>同援日１．５・夜０．５・深１．０・通訳・２人・盲ろう・区４</t>
  </si>
  <si>
    <t>BL47</t>
  </si>
  <si>
    <t>同援日１．５・夜１．０・深０．５・通訳</t>
  </si>
  <si>
    <t>BL48</t>
  </si>
  <si>
    <t>同援日１．５・夜１．０・深０．５・通訳・２人</t>
  </si>
  <si>
    <t>BL49</t>
  </si>
  <si>
    <t>同援日１．５・夜１．０・深０．５・通訳・盲ろう</t>
  </si>
  <si>
    <t>BL50</t>
  </si>
  <si>
    <t>同援日１．５・夜１．０・深０．５・通訳・２人・盲ろう</t>
  </si>
  <si>
    <t>同援日１．５・夜１．０・深０．５・通訳・区３</t>
  </si>
  <si>
    <t>同援日１．５・夜１．０・深０．５・通訳・２人・区３</t>
  </si>
  <si>
    <t>BL53</t>
  </si>
  <si>
    <t>同援日１．５・夜１．０・深０．５・通訳・盲ろう・区３</t>
  </si>
  <si>
    <t>BL54</t>
  </si>
  <si>
    <t>同援日１．５・夜１．０・深０．５・通訳・２人・盲ろう・区３</t>
  </si>
  <si>
    <t>BL55</t>
  </si>
  <si>
    <t>同援日１．５・夜１．０・深０．５・通訳・区４</t>
  </si>
  <si>
    <t>BL56</t>
  </si>
  <si>
    <t>同援日１．５・夜１．０・深０．５・通訳・２人・区４</t>
  </si>
  <si>
    <t>BL57</t>
  </si>
  <si>
    <t>同援日１．５・夜１．０・深０．５・通訳・盲ろう・区４</t>
  </si>
  <si>
    <t>BL58</t>
  </si>
  <si>
    <t>同援日１．５・夜１．０・深０．５・通訳・２人・盲ろう・区４</t>
  </si>
  <si>
    <t>BL59</t>
  </si>
  <si>
    <t>同援日２．０・夜０．５・深０．５・通訳</t>
  </si>
  <si>
    <t>BL60</t>
  </si>
  <si>
    <t>同援日２．０・夜０．５・深０．５・通訳・２人</t>
  </si>
  <si>
    <t>同援日２．０・夜０．５・深０．５・通訳・盲ろう</t>
  </si>
  <si>
    <t>同援日２．０・夜０．５・深０．５・通訳・２人・盲ろう</t>
  </si>
  <si>
    <t>BL63</t>
  </si>
  <si>
    <t>同援日２．０・夜０．５・深０．５・通訳・区３</t>
  </si>
  <si>
    <t>BL64</t>
  </si>
  <si>
    <t>同援日２．０・夜０．５・深０．５・通訳・２人・区３</t>
  </si>
  <si>
    <t>BL65</t>
  </si>
  <si>
    <t>同援日２．０・夜０．５・深０．５・通訳・盲ろう・区３</t>
  </si>
  <si>
    <t>BL66</t>
  </si>
  <si>
    <t>同援日２．０・夜０．５・深０．５・通訳・２人・盲ろう・区３</t>
  </si>
  <si>
    <t>BL67</t>
  </si>
  <si>
    <t>同援日２．０・夜０．５・深０．５・通訳・区４</t>
  </si>
  <si>
    <t>BL68</t>
  </si>
  <si>
    <t>同援日２．０・夜０．５・深０．５・通訳・２人・区４</t>
  </si>
  <si>
    <t>BL69</t>
  </si>
  <si>
    <t>同援日２．０・夜０．５・深０．５・通訳・盲ろう・区４</t>
  </si>
  <si>
    <t>BL70</t>
  </si>
  <si>
    <t>同援日２．０・夜０．５・深０．５・通訳・２人・盲ろう・区４</t>
  </si>
  <si>
    <t>（盲ろう者向け通訳・介助員：早朝＋日中＋夜間）　　※サービス間隔が２時間未満の場合</t>
    <phoneticPr fontId="1"/>
  </si>
  <si>
    <t>同援早０．５・日２．０・夜０．５・通訳</t>
  </si>
  <si>
    <t>同援早０．５・日２．０・夜０．５・通訳・２人</t>
  </si>
  <si>
    <t>BL73</t>
  </si>
  <si>
    <t>同援早０．５・日２．０・夜０．５・通訳・盲ろう</t>
  </si>
  <si>
    <t>BL74</t>
  </si>
  <si>
    <t>同援早０．５・日２．０・夜０．５・通訳・２人・盲ろう</t>
  </si>
  <si>
    <t>BL75</t>
  </si>
  <si>
    <t>同援早０．５・日２．０・夜０．５・通訳・区３</t>
  </si>
  <si>
    <t>BL76</t>
  </si>
  <si>
    <t>同援早０．５・日２．０・夜０．５・通訳・２人・区３</t>
  </si>
  <si>
    <t>BL77</t>
  </si>
  <si>
    <t>同援早０．５・日２．０・夜０．５・通訳・盲ろう・区３</t>
  </si>
  <si>
    <t>BL78</t>
  </si>
  <si>
    <t>同援早０．５・日２．０・夜０．５・通訳・２人・盲ろう・区３</t>
  </si>
  <si>
    <t>BL79</t>
  </si>
  <si>
    <t>同援早０．５・日２．０・夜０．５・通訳・区４</t>
  </si>
  <si>
    <t>BL80</t>
  </si>
  <si>
    <t>同援早０．５・日２．０・夜０．５・通訳・２人・区４</t>
  </si>
  <si>
    <t>同援早０．５・日２．０・夜０．５・通訳・盲ろう・区４</t>
  </si>
  <si>
    <t>同援早０．５・日２．０・夜０．５・通訳・２人・盲ろう・区４</t>
  </si>
  <si>
    <t>（盲ろう者向け通訳・介助員：日中増分)</t>
    <phoneticPr fontId="1"/>
  </si>
  <si>
    <t>BL83</t>
  </si>
  <si>
    <t>同援日増０．５・通訳</t>
  </si>
  <si>
    <t>BL84</t>
  </si>
  <si>
    <t>同援日増０．５・通訳・２人</t>
  </si>
  <si>
    <t>BL85</t>
  </si>
  <si>
    <t>同援日増０．５・通訳・盲ろう</t>
  </si>
  <si>
    <t>BL86</t>
  </si>
  <si>
    <t>同援日増０．５・通訳・２人・盲ろう</t>
  </si>
  <si>
    <t>BL87</t>
  </si>
  <si>
    <t>同援日増０．５・通訳・区３</t>
  </si>
  <si>
    <t>BL88</t>
  </si>
  <si>
    <t>同援日増０．５・通訳・２人・区３</t>
  </si>
  <si>
    <t>BL89</t>
  </si>
  <si>
    <t>同援日増０．５・通訳・盲ろう・区３</t>
  </si>
  <si>
    <t>BL90</t>
  </si>
  <si>
    <t>同援日増０．５・通訳・２人・盲ろう・区３</t>
  </si>
  <si>
    <t>同援日増０．５・通訳・区４</t>
  </si>
  <si>
    <t>同援日増０．５・通訳・２人・区４</t>
  </si>
  <si>
    <t>BL93</t>
  </si>
  <si>
    <t>同援日増０．５・通訳・盲ろう・区４</t>
  </si>
  <si>
    <t>BL94</t>
  </si>
  <si>
    <t>同援日増０．５・通訳・２人・盲ろう・区４</t>
  </si>
  <si>
    <t>BL95</t>
  </si>
  <si>
    <t>同援日増１．０・通訳</t>
  </si>
  <si>
    <t>BL96</t>
  </si>
  <si>
    <t>同援日増１．０・通訳・２人</t>
  </si>
  <si>
    <t>BL97</t>
  </si>
  <si>
    <t>同援日増１．０・通訳・盲ろう</t>
  </si>
  <si>
    <t>BL98</t>
  </si>
  <si>
    <t>同援日増１．０・通訳・２人・盲ろう</t>
  </si>
  <si>
    <t>BL99</t>
  </si>
  <si>
    <t>同援日増１．０・通訳・区３</t>
  </si>
  <si>
    <t>BM00</t>
  </si>
  <si>
    <t>同援日増１．０・通訳・２人・区３</t>
  </si>
  <si>
    <t>同援日増１．０・通訳・盲ろう・区３</t>
  </si>
  <si>
    <t>同援日増１．０・通訳・２人・盲ろう・区３</t>
  </si>
  <si>
    <t>BM03</t>
  </si>
  <si>
    <t>同援日増１．０・通訳・区４</t>
  </si>
  <si>
    <t>BM04</t>
  </si>
  <si>
    <t>同援日増１．０・通訳・２人・区４</t>
  </si>
  <si>
    <t>BM05</t>
  </si>
  <si>
    <t>同援日増１．０・通訳・盲ろう・区４</t>
  </si>
  <si>
    <t>BM06</t>
  </si>
  <si>
    <t>同援日増１．０・通訳・２人・盲ろう・区４</t>
  </si>
  <si>
    <t>BM07</t>
  </si>
  <si>
    <t>同援日増１．５・通訳</t>
  </si>
  <si>
    <t>BM08</t>
  </si>
  <si>
    <t>同援日増１．５・通訳・２人</t>
  </si>
  <si>
    <t>BM09</t>
  </si>
  <si>
    <t>同援日増１．５・通訳・盲ろう</t>
  </si>
  <si>
    <t>BM10</t>
  </si>
  <si>
    <t>同援日増１．５・通訳・２人・盲ろう</t>
  </si>
  <si>
    <t>同援日増１．５・通訳・区３</t>
  </si>
  <si>
    <t>同援日増１．５・通訳・２人・区３</t>
  </si>
  <si>
    <t>BM13</t>
  </si>
  <si>
    <t>同援日増１．５・通訳・盲ろう・区３</t>
  </si>
  <si>
    <t>BM14</t>
  </si>
  <si>
    <t>同援日増１．５・通訳・２人・盲ろう・区３</t>
  </si>
  <si>
    <t>BM15</t>
  </si>
  <si>
    <t>同援日増１．５・通訳・区４</t>
  </si>
  <si>
    <t>BM16</t>
  </si>
  <si>
    <t>同援日増１．５・通訳・２人・区４</t>
  </si>
  <si>
    <t>BM17</t>
  </si>
  <si>
    <t>同援日増１．５・通訳・盲ろう・区４</t>
  </si>
  <si>
    <t>BM18</t>
  </si>
  <si>
    <t>同援日増１．５・通訳・２人・盲ろう・区４</t>
  </si>
  <si>
    <t>BM19</t>
  </si>
  <si>
    <t>同援日増２．０・通訳</t>
  </si>
  <si>
    <t>BM20</t>
  </si>
  <si>
    <t>同援日増２．０・通訳・２人</t>
  </si>
  <si>
    <t>同援日増２．０・通訳・盲ろう</t>
  </si>
  <si>
    <t>同援日増２．０・通訳・２人・盲ろう</t>
  </si>
  <si>
    <t>BM23</t>
  </si>
  <si>
    <t>同援日増２．０・通訳・区３</t>
  </si>
  <si>
    <t>BM24</t>
  </si>
  <si>
    <t>同援日増２．０・通訳・２人・区３</t>
  </si>
  <si>
    <t>BM25</t>
  </si>
  <si>
    <t>同援日増２．０・通訳・盲ろう・区３</t>
  </si>
  <si>
    <t>BM26</t>
  </si>
  <si>
    <t>同援日増２．０・通訳・２人・盲ろう・区３</t>
  </si>
  <si>
    <t>BM27</t>
  </si>
  <si>
    <t>同援日増２．０・通訳・区４</t>
  </si>
  <si>
    <t>BM28</t>
  </si>
  <si>
    <t>同援日増２．０・通訳・２人・区４</t>
  </si>
  <si>
    <t>BM29</t>
  </si>
  <si>
    <t>同援日増２．０・通訳・盲ろう・区４</t>
  </si>
  <si>
    <t>BM30</t>
  </si>
  <si>
    <t>同援日増２．０・通訳・２人・盲ろう・区４</t>
  </si>
  <si>
    <t>同援日増２．５・通訳</t>
  </si>
  <si>
    <t>同援日増２．５・通訳・２人</t>
  </si>
  <si>
    <t>BM33</t>
  </si>
  <si>
    <t>同援日増２．５・通訳・盲ろう</t>
  </si>
  <si>
    <t>BM34</t>
  </si>
  <si>
    <t>同援日増２．５・通訳・２人・盲ろう</t>
  </si>
  <si>
    <t>BM35</t>
  </si>
  <si>
    <t>同援日増２．５・通訳・区３</t>
  </si>
  <si>
    <t>BM36</t>
  </si>
  <si>
    <t>同援日増２．５・通訳・２人・区３</t>
  </si>
  <si>
    <t>BM37</t>
  </si>
  <si>
    <t>同援日増２．５・通訳・盲ろう・区３</t>
  </si>
  <si>
    <t>BM38</t>
  </si>
  <si>
    <t>同援日増２．５・通訳・２人・盲ろう・区３</t>
  </si>
  <si>
    <t>BM39</t>
  </si>
  <si>
    <t>同援日増２．５・通訳・区４</t>
  </si>
  <si>
    <t>BM40</t>
  </si>
  <si>
    <t>同援日増２．５・通訳・２人・区４</t>
  </si>
  <si>
    <t>同援日増２．５・通訳・盲ろう・区４</t>
  </si>
  <si>
    <t>同援日増２．５・通訳・２人・盲ろう・区４</t>
  </si>
  <si>
    <t>BM43</t>
  </si>
  <si>
    <t>同援日増３．０・通訳</t>
  </si>
  <si>
    <t>BM44</t>
  </si>
  <si>
    <t>同援日増３．０・通訳・２人</t>
  </si>
  <si>
    <t>BM45</t>
  </si>
  <si>
    <t>同援日増３．０・通訳・盲ろう</t>
  </si>
  <si>
    <t>BM46</t>
  </si>
  <si>
    <t>同援日増３．０・通訳・２人・盲ろう</t>
  </si>
  <si>
    <t>BM47</t>
  </si>
  <si>
    <t>同援日増３．０・通訳・区３</t>
  </si>
  <si>
    <t>BM48</t>
  </si>
  <si>
    <t>同援日増３．０・通訳・２人・区３</t>
  </si>
  <si>
    <t>BM49</t>
  </si>
  <si>
    <t>同援日増３．０・通訳・盲ろう・区３</t>
  </si>
  <si>
    <t>BM50</t>
  </si>
  <si>
    <t>同援日増３．０・通訳・２人・盲ろう・区３</t>
  </si>
  <si>
    <t>同援日増３．０・通訳・区４</t>
  </si>
  <si>
    <t>同援日増３．０・通訳・２人・区４</t>
  </si>
  <si>
    <t>BM53</t>
  </si>
  <si>
    <t>同援日増３．０・通訳・盲ろう・区４</t>
  </si>
  <si>
    <t>BM54</t>
  </si>
  <si>
    <t>同援日増３．０・通訳・２人・盲ろう・区４</t>
  </si>
  <si>
    <t>BM55</t>
  </si>
  <si>
    <t>同援日増３．５・通訳</t>
  </si>
  <si>
    <t>BM56</t>
  </si>
  <si>
    <t>同援日増３．５・通訳・２人</t>
  </si>
  <si>
    <t>BM57</t>
  </si>
  <si>
    <t>同援日増３．５・通訳・盲ろう</t>
  </si>
  <si>
    <t>BM58</t>
  </si>
  <si>
    <t>同援日増３．５・通訳・２人・盲ろう</t>
  </si>
  <si>
    <t>BM59</t>
  </si>
  <si>
    <t>同援日増３．５・通訳・区３</t>
  </si>
  <si>
    <t>BM60</t>
  </si>
  <si>
    <t>同援日増３．５・通訳・２人・区３</t>
  </si>
  <si>
    <t>同援日増３．５・通訳・盲ろう・区３</t>
  </si>
  <si>
    <t>同援日増３．５・通訳・２人・盲ろう・区３</t>
  </si>
  <si>
    <t>BM63</t>
  </si>
  <si>
    <t>同援日増３．５・通訳・区４</t>
  </si>
  <si>
    <t>BM64</t>
  </si>
  <si>
    <t>同援日増３．５・通訳・２人・区４</t>
  </si>
  <si>
    <t>BM65</t>
  </si>
  <si>
    <t>同援日増３．５・通訳・盲ろう・区４</t>
  </si>
  <si>
    <t>BM66</t>
  </si>
  <si>
    <t>同援日増３．５・通訳・２人・盲ろう・区４</t>
  </si>
  <si>
    <t>BM67</t>
  </si>
  <si>
    <t>同援日増４．０・通訳</t>
  </si>
  <si>
    <t>BM68</t>
  </si>
  <si>
    <t>同援日増４．０・通訳・２人</t>
  </si>
  <si>
    <t>BM69</t>
  </si>
  <si>
    <t>同援日増４．０・通訳・盲ろう</t>
  </si>
  <si>
    <t>BM70</t>
  </si>
  <si>
    <t>同援日増４．０・通訳・２人・盲ろう</t>
  </si>
  <si>
    <t>同援日増４．０・通訳・区３</t>
  </si>
  <si>
    <t>同援日増４．０・通訳・２人・区３</t>
  </si>
  <si>
    <t>BM73</t>
  </si>
  <si>
    <t>同援日増４．０・通訳・盲ろう・区３</t>
  </si>
  <si>
    <t>BM74</t>
  </si>
  <si>
    <t>同援日増４．０・通訳・２人・盲ろう・区３</t>
  </si>
  <si>
    <t>BM75</t>
  </si>
  <si>
    <t>同援日増４．０・通訳・区４</t>
  </si>
  <si>
    <t>BM76</t>
  </si>
  <si>
    <t>同援日増４．０・通訳・２人・区４</t>
  </si>
  <si>
    <t>BM77</t>
  </si>
  <si>
    <t>同援日増４．０・通訳・盲ろう・区４</t>
  </si>
  <si>
    <t>BM78</t>
  </si>
  <si>
    <t>同援日増４．０・通訳・２人・盲ろう・区４</t>
  </si>
  <si>
    <t>BM79</t>
  </si>
  <si>
    <t>同援日増４．５・通訳</t>
  </si>
  <si>
    <t>BM80</t>
  </si>
  <si>
    <t>同援日増４．５・通訳・２人</t>
  </si>
  <si>
    <t>同援日増４．５・通訳・盲ろう</t>
  </si>
  <si>
    <t>同援日増４．５・通訳・２人・盲ろう</t>
  </si>
  <si>
    <t>BM83</t>
  </si>
  <si>
    <t>同援日増４．５・通訳・区３</t>
  </si>
  <si>
    <t>BM84</t>
  </si>
  <si>
    <t>同援日増４．５・通訳・２人・区３</t>
  </si>
  <si>
    <t>BM85</t>
  </si>
  <si>
    <t>同援日増４．５・通訳・盲ろう・区３</t>
  </si>
  <si>
    <t>BM86</t>
  </si>
  <si>
    <t>同援日増４．５・通訳・２人・盲ろう・区３</t>
  </si>
  <si>
    <t>BM87</t>
  </si>
  <si>
    <t>同援日増４．５・通訳・区４</t>
  </si>
  <si>
    <t>BM88</t>
  </si>
  <si>
    <t>同援日増４．５・通訳・２人・区４</t>
  </si>
  <si>
    <t>BM89</t>
  </si>
  <si>
    <t>同援日増４．５・通訳・盲ろう・区４</t>
  </si>
  <si>
    <t>BM90</t>
  </si>
  <si>
    <t>同援日増４．５・通訳・２人・盲ろう・区４</t>
  </si>
  <si>
    <t>同援日増５．０・通訳</t>
  </si>
  <si>
    <t>同援日増５．０・通訳・２人</t>
  </si>
  <si>
    <t>BM93</t>
  </si>
  <si>
    <t>同援日増５．０・通訳・盲ろう</t>
  </si>
  <si>
    <t>BM94</t>
  </si>
  <si>
    <t>同援日増５．０・通訳・２人・盲ろう</t>
  </si>
  <si>
    <t>BM95</t>
  </si>
  <si>
    <t>同援日増５．０・通訳・区３</t>
  </si>
  <si>
    <t>BM96</t>
  </si>
  <si>
    <t>同援日増５．０・通訳・２人・区３</t>
  </si>
  <si>
    <t>BM97</t>
  </si>
  <si>
    <t>同援日増５．０・通訳・盲ろう・区３</t>
  </si>
  <si>
    <t>BM98</t>
  </si>
  <si>
    <t>同援日増５．０・通訳・２人・盲ろう・区３</t>
  </si>
  <si>
    <t>BM99</t>
  </si>
  <si>
    <t>同援日増５．０・通訳・区４</t>
  </si>
  <si>
    <t>BN00</t>
  </si>
  <si>
    <t>同援日増５．０・通訳・２人・区４</t>
  </si>
  <si>
    <t>同援日増５．０・通訳・盲ろう・区４</t>
  </si>
  <si>
    <t>同援日増５．０・通訳・２人・盲ろう・区４</t>
  </si>
  <si>
    <t>BN03</t>
  </si>
  <si>
    <t>同援日増５．５・通訳</t>
  </si>
  <si>
    <t>BN04</t>
  </si>
  <si>
    <t>同援日増５．５・通訳・２人</t>
  </si>
  <si>
    <t>BN05</t>
  </si>
  <si>
    <t>同援日増５．５・通訳・盲ろう</t>
  </si>
  <si>
    <t>BN06</t>
  </si>
  <si>
    <t>同援日増５．５・通訳・２人・盲ろう</t>
  </si>
  <si>
    <t>BN07</t>
  </si>
  <si>
    <t>同援日増５．５・通訳・区３</t>
  </si>
  <si>
    <t>BN08</t>
  </si>
  <si>
    <t>同援日増５．５・通訳・２人・区３</t>
  </si>
  <si>
    <t>BN09</t>
  </si>
  <si>
    <t>同援日増５．５・通訳・盲ろう・区３</t>
  </si>
  <si>
    <t>BN10</t>
  </si>
  <si>
    <t>同援日増５．５・通訳・２人・盲ろう・区３</t>
  </si>
  <si>
    <t>同援日増５．５・通訳・区４</t>
  </si>
  <si>
    <t>同援日増５．５・通訳・２人・区４</t>
  </si>
  <si>
    <t>BN13</t>
  </si>
  <si>
    <t>同援日増５．５・通訳・盲ろう・区４</t>
  </si>
  <si>
    <t>BN14</t>
  </si>
  <si>
    <t>同援日増５．５・通訳・２人・盲ろう・区４</t>
  </si>
  <si>
    <t>BN15</t>
  </si>
  <si>
    <t>同援日増６．０・通訳</t>
  </si>
  <si>
    <t>BN16</t>
  </si>
  <si>
    <t>同援日増６．０・通訳・２人</t>
  </si>
  <si>
    <t>BN17</t>
  </si>
  <si>
    <t>同援日増６．０・通訳・盲ろう</t>
  </si>
  <si>
    <t>BN18</t>
  </si>
  <si>
    <t>同援日増６．０・通訳・２人・盲ろう</t>
  </si>
  <si>
    <t>BN19</t>
  </si>
  <si>
    <t>同援日増６．０・通訳・区３</t>
  </si>
  <si>
    <t>BN20</t>
  </si>
  <si>
    <t>同援日増６．０・通訳・２人・区３</t>
  </si>
  <si>
    <t>同援日増６．０・通訳・盲ろう・区３</t>
  </si>
  <si>
    <t>同援日増６．０・通訳・２人・盲ろう・区３</t>
  </si>
  <si>
    <t>BN23</t>
  </si>
  <si>
    <t>同援日増６．０・通訳・区４</t>
  </si>
  <si>
    <t>BN24</t>
  </si>
  <si>
    <t>同援日増６．０・通訳・２人・区４</t>
  </si>
  <si>
    <t>BN25</t>
  </si>
  <si>
    <t>同援日増６．０・通訳・盲ろう・区４</t>
  </si>
  <si>
    <t>BN26</t>
  </si>
  <si>
    <t>同援日増６．０・通訳・２人・盲ろう・区４</t>
  </si>
  <si>
    <t>BN27</t>
  </si>
  <si>
    <t>同援日増６．５・通訳</t>
  </si>
  <si>
    <t>BN28</t>
  </si>
  <si>
    <t>同援日増６．５・通訳・２人</t>
  </si>
  <si>
    <t>BN29</t>
  </si>
  <si>
    <t>同援日増６．５・通訳・盲ろう</t>
  </si>
  <si>
    <t>BN30</t>
  </si>
  <si>
    <t>同援日増６．５・通訳・２人・盲ろう</t>
  </si>
  <si>
    <t>同援日増６．５・通訳・区３</t>
  </si>
  <si>
    <t>同援日増６．５・通訳・２人・区３</t>
  </si>
  <si>
    <t>BN33</t>
  </si>
  <si>
    <t>同援日増６．５・通訳・盲ろう・区３</t>
  </si>
  <si>
    <t>BN34</t>
  </si>
  <si>
    <t>同援日増６．５・通訳・２人・盲ろう・区３</t>
  </si>
  <si>
    <t>BN35</t>
  </si>
  <si>
    <t>同援日増６．５・通訳・区４</t>
  </si>
  <si>
    <t>BN36</t>
  </si>
  <si>
    <t>同援日増６．５・通訳・２人・区４</t>
  </si>
  <si>
    <t>BN37</t>
  </si>
  <si>
    <t>同援日増６．５・通訳・盲ろう・区４</t>
  </si>
  <si>
    <t>BN38</t>
  </si>
  <si>
    <t>同援日増６．５・通訳・２人・盲ろう・区４</t>
  </si>
  <si>
    <t>BN39</t>
  </si>
  <si>
    <t>同援日増７．０・通訳</t>
  </si>
  <si>
    <t>BN40</t>
  </si>
  <si>
    <t>同援日増７．０・通訳・２人</t>
  </si>
  <si>
    <t>同援日増７．０・通訳・盲ろう</t>
  </si>
  <si>
    <t>同援日増７．０・通訳・２人・盲ろう</t>
  </si>
  <si>
    <t>BN43</t>
  </si>
  <si>
    <t>同援日増７．０・通訳・区３</t>
  </si>
  <si>
    <t>BN44</t>
  </si>
  <si>
    <t>同援日増７．０・通訳・２人・区３</t>
  </si>
  <si>
    <t>BN45</t>
  </si>
  <si>
    <t>同援日増７．０・通訳・盲ろう・区３</t>
  </si>
  <si>
    <t>BN46</t>
  </si>
  <si>
    <t>同援日増７．０・通訳・２人・盲ろう・区３</t>
  </si>
  <si>
    <t>BN47</t>
  </si>
  <si>
    <t>同援日増７．０・通訳・区４</t>
  </si>
  <si>
    <t>BN48</t>
  </si>
  <si>
    <t>同援日増７．０・通訳・２人・区４</t>
  </si>
  <si>
    <t>BN49</t>
  </si>
  <si>
    <t>同援日増７．０・通訳・盲ろう・区４</t>
  </si>
  <si>
    <t>BN50</t>
  </si>
  <si>
    <t>同援日増７．０・通訳・２人・盲ろう・区４</t>
  </si>
  <si>
    <t>同援日増７．５・通訳</t>
  </si>
  <si>
    <t>同援日増７．５・通訳・２人</t>
  </si>
  <si>
    <t>BN53</t>
  </si>
  <si>
    <t>同援日増７．５・通訳・盲ろう</t>
  </si>
  <si>
    <t>BN54</t>
  </si>
  <si>
    <t>同援日増７．５・通訳・２人・盲ろう</t>
  </si>
  <si>
    <t>BN55</t>
  </si>
  <si>
    <t>同援日増７．５・通訳・区３</t>
  </si>
  <si>
    <t>BN56</t>
  </si>
  <si>
    <t>同援日増７．５・通訳・２人・区３</t>
  </si>
  <si>
    <t>BN57</t>
  </si>
  <si>
    <t>同援日増７．５・通訳・盲ろう・区３</t>
  </si>
  <si>
    <t>BN58</t>
  </si>
  <si>
    <t>同援日増７．５・通訳・２人・盲ろう・区３</t>
  </si>
  <si>
    <t>BN59</t>
  </si>
  <si>
    <t>同援日増７．５・通訳・区４</t>
  </si>
  <si>
    <t>BN60</t>
  </si>
  <si>
    <t>同援日増７．５・通訳・２人・区４</t>
  </si>
  <si>
    <t>同援日増７．５・通訳・盲ろう・区４</t>
  </si>
  <si>
    <t>同援日増７．５・通訳・２人・盲ろう・区４</t>
  </si>
  <si>
    <t>BN63</t>
  </si>
  <si>
    <t>同援日増８．０・通訳</t>
  </si>
  <si>
    <t>BN64</t>
  </si>
  <si>
    <t>同援日増８．０・通訳・２人</t>
  </si>
  <si>
    <t>BN65</t>
  </si>
  <si>
    <t>同援日増８．０・通訳・盲ろう</t>
  </si>
  <si>
    <t>BN66</t>
  </si>
  <si>
    <t>同援日増８．０・通訳・２人・盲ろう</t>
  </si>
  <si>
    <t>BN67</t>
  </si>
  <si>
    <t>同援日増８．０・通訳・区３</t>
  </si>
  <si>
    <t>BN68</t>
  </si>
  <si>
    <t>同援日増８．０・通訳・２人・区３</t>
  </si>
  <si>
    <t>BN69</t>
  </si>
  <si>
    <t>同援日増８．０・通訳・盲ろう・区３</t>
  </si>
  <si>
    <t>BN70</t>
  </si>
  <si>
    <t>同援日増８．０・通訳・２人・盲ろう・区３</t>
  </si>
  <si>
    <t>同援日増８．０・通訳・区４</t>
  </si>
  <si>
    <t>同援日増８．０・通訳・２人・区４</t>
  </si>
  <si>
    <t>BN73</t>
  </si>
  <si>
    <t>同援日増８．０・通訳・盲ろう・区４</t>
  </si>
  <si>
    <t>BN74</t>
  </si>
  <si>
    <t>同援日増８．０・通訳・２人・盲ろう・区４</t>
  </si>
  <si>
    <t>BN75</t>
  </si>
  <si>
    <t>同援日増８．５・通訳</t>
  </si>
  <si>
    <t>BN76</t>
  </si>
  <si>
    <t>同援日増８．５・通訳・２人</t>
  </si>
  <si>
    <t>BN77</t>
  </si>
  <si>
    <t>同援日増８．５・通訳・盲ろう</t>
  </si>
  <si>
    <t>BN78</t>
  </si>
  <si>
    <t>同援日増８．５・通訳・２人・盲ろう</t>
  </si>
  <si>
    <t>BN79</t>
  </si>
  <si>
    <t>同援日増８．５・通訳・区３</t>
  </si>
  <si>
    <t>BN80</t>
  </si>
  <si>
    <t>同援日増８．５・通訳・２人・区３</t>
  </si>
  <si>
    <t>同援日増８．５・通訳・盲ろう・区３</t>
  </si>
  <si>
    <t>同援日増８．５・通訳・２人・盲ろう・区３</t>
  </si>
  <si>
    <t>BN83</t>
  </si>
  <si>
    <t>同援日増８．５・通訳・区４</t>
  </si>
  <si>
    <t>BN84</t>
  </si>
  <si>
    <t>同援日増８．５・通訳・２人・区４</t>
  </si>
  <si>
    <t>BN85</t>
  </si>
  <si>
    <t>同援日増８．５・通訳・盲ろう・区４</t>
  </si>
  <si>
    <t>BN86</t>
  </si>
  <si>
    <t>同援日増８．５・通訳・２人・盲ろう・区４</t>
  </si>
  <si>
    <t>BN87</t>
  </si>
  <si>
    <t>同援日増９．０・通訳</t>
  </si>
  <si>
    <t>BN88</t>
  </si>
  <si>
    <t>同援日増９．０・通訳・２人</t>
  </si>
  <si>
    <t>BN89</t>
  </si>
  <si>
    <t>同援日増９．０・通訳・盲ろう</t>
  </si>
  <si>
    <t>BN90</t>
  </si>
  <si>
    <t>同援日増９．０・通訳・２人・盲ろう</t>
  </si>
  <si>
    <t>同援日増９．０・通訳・区３</t>
  </si>
  <si>
    <t>同援日増９．０・通訳・２人・区３</t>
  </si>
  <si>
    <t>BN93</t>
  </si>
  <si>
    <t>同援日増９．０・通訳・盲ろう・区３</t>
  </si>
  <si>
    <t>BN94</t>
  </si>
  <si>
    <t>同援日増９．０・通訳・２人・盲ろう・区３</t>
  </si>
  <si>
    <t>BN95</t>
  </si>
  <si>
    <t>同援日増９．０・通訳・区４</t>
  </si>
  <si>
    <t>BN96</t>
  </si>
  <si>
    <t>同援日増９．０・通訳・２人・区４</t>
  </si>
  <si>
    <t>BN97</t>
  </si>
  <si>
    <t>同援日増９．０・通訳・盲ろう・区４</t>
  </si>
  <si>
    <t>BN98</t>
  </si>
  <si>
    <t>同援日増９．０・通訳・２人・盲ろう・区４</t>
  </si>
  <si>
    <t>BN99</t>
  </si>
  <si>
    <t>同援日増９．５・通訳</t>
  </si>
  <si>
    <t>BP00</t>
  </si>
  <si>
    <t>同援日増９．５・通訳・２人</t>
  </si>
  <si>
    <t>同援日増９．５・通訳・盲ろう</t>
  </si>
  <si>
    <t>同援日増９．５・通訳・２人・盲ろう</t>
  </si>
  <si>
    <t>BP03</t>
  </si>
  <si>
    <t>同援日増９．５・通訳・区３</t>
  </si>
  <si>
    <t>BP04</t>
  </si>
  <si>
    <t>同援日増９．５・通訳・２人・区３</t>
  </si>
  <si>
    <t>BP05</t>
  </si>
  <si>
    <t>同援日増９．５・通訳・盲ろう・区３</t>
  </si>
  <si>
    <t>BP06</t>
  </si>
  <si>
    <t>同援日増９．５・通訳・２人・盲ろう・区３</t>
  </si>
  <si>
    <t>BP07</t>
  </si>
  <si>
    <t>同援日増９．５・通訳・区４</t>
  </si>
  <si>
    <t>BP08</t>
  </si>
  <si>
    <t>同援日増９．５・通訳・２人・区４</t>
  </si>
  <si>
    <t>BP09</t>
  </si>
  <si>
    <t>同援日増９．５・通訳・盲ろう・区４</t>
  </si>
  <si>
    <t>BP10</t>
  </si>
  <si>
    <t>同援日増９．５・通訳・２人・盲ろう・区４</t>
  </si>
  <si>
    <t>同援日増１０．０・通訳</t>
  </si>
  <si>
    <t>同援日増１０．０・通訳・２人</t>
  </si>
  <si>
    <t>BP13</t>
  </si>
  <si>
    <t>同援日増１０．０・通訳・盲ろう</t>
  </si>
  <si>
    <t>BP14</t>
  </si>
  <si>
    <t>同援日増１０．０・通訳・２人・盲ろう</t>
  </si>
  <si>
    <t>BP15</t>
  </si>
  <si>
    <t>同援日増１０．０・通訳・区３</t>
  </si>
  <si>
    <t>BP16</t>
  </si>
  <si>
    <t>同援日増１０．０・通訳・２人・区３</t>
  </si>
  <si>
    <t>BP17</t>
  </si>
  <si>
    <t>同援日増１０．０・通訳・盲ろう・区３</t>
  </si>
  <si>
    <t>BP18</t>
  </si>
  <si>
    <t>同援日増１０．０・通訳・２人・盲ろう・区３</t>
  </si>
  <si>
    <t>BP19</t>
  </si>
  <si>
    <t>同援日増１０．０・通訳・区４</t>
  </si>
  <si>
    <t>BP20</t>
  </si>
  <si>
    <t>同援日増１０．０・通訳・２人・区４</t>
  </si>
  <si>
    <t>同援日増１０．０・通訳・盲ろう・区４</t>
  </si>
  <si>
    <t>同援日増１０．０・通訳・２人・盲ろう・区４</t>
  </si>
  <si>
    <t>BP23</t>
  </si>
  <si>
    <t>同援日増１０．５・通訳</t>
  </si>
  <si>
    <t>BP24</t>
  </si>
  <si>
    <t>同援日増１０．５・通訳・２人</t>
  </si>
  <si>
    <t>BP25</t>
  </si>
  <si>
    <t>同援日増１０．５・通訳・盲ろう</t>
  </si>
  <si>
    <t>BP26</t>
  </si>
  <si>
    <t>同援日増１０．５・通訳・２人・盲ろう</t>
  </si>
  <si>
    <t>BP27</t>
  </si>
  <si>
    <t>同援日増１０．５・通訳・区３</t>
  </si>
  <si>
    <t>BP28</t>
  </si>
  <si>
    <t>同援日増１０．５・通訳・２人・区３</t>
  </si>
  <si>
    <t>BP29</t>
  </si>
  <si>
    <t>同援日増１０．５・通訳・盲ろう・区３</t>
  </si>
  <si>
    <t>BP30</t>
  </si>
  <si>
    <t>同援日増１０．５・通訳・２人・盲ろう・区３</t>
  </si>
  <si>
    <t>同援日増１０．５・通訳・区４</t>
  </si>
  <si>
    <t>同援日増１０．５・通訳・２人・区４</t>
  </si>
  <si>
    <t>BP33</t>
  </si>
  <si>
    <t>同援日増１０．５・通訳・盲ろう・区４</t>
  </si>
  <si>
    <t>BP34</t>
  </si>
  <si>
    <t>同援日増１０．５・通訳・２人・盲ろう・区４</t>
  </si>
  <si>
    <t>（盲ろう者向け通訳・介助員：早朝増分）</t>
    <phoneticPr fontId="1"/>
  </si>
  <si>
    <t>BP35</t>
  </si>
  <si>
    <t>同援早増０．５・通訳</t>
  </si>
  <si>
    <t>BP36</t>
  </si>
  <si>
    <t>同援早増０．５・通訳・２人</t>
  </si>
  <si>
    <t>BP37</t>
  </si>
  <si>
    <t>同援早増０．５・通訳・盲ろう</t>
  </si>
  <si>
    <t>BP38</t>
  </si>
  <si>
    <t>同援早増０．５・通訳・２人・盲ろう</t>
  </si>
  <si>
    <t>BP39</t>
  </si>
  <si>
    <t>同援早増０．５・通訳・区３</t>
  </si>
  <si>
    <t>BP40</t>
  </si>
  <si>
    <t>同援早増０．５・通訳・２人・区３</t>
  </si>
  <si>
    <t>同援早増０．５・通訳・盲ろう・区３</t>
  </si>
  <si>
    <t>同援早増０．５・通訳・２人・盲ろう・区３</t>
  </si>
  <si>
    <t>BP43</t>
  </si>
  <si>
    <t>同援早増０．５・通訳・区４</t>
  </si>
  <si>
    <t>BP44</t>
  </si>
  <si>
    <t>同援早増０．５・通訳・２人・区４</t>
  </si>
  <si>
    <t>BP45</t>
  </si>
  <si>
    <t>同援早増０．５・通訳・盲ろう・区４</t>
  </si>
  <si>
    <t>BP46</t>
  </si>
  <si>
    <t>同援早増０．５・通訳・２人・盲ろう・区４</t>
  </si>
  <si>
    <t>BP47</t>
  </si>
  <si>
    <t>同援早増１．０・通訳</t>
  </si>
  <si>
    <t>BP48</t>
  </si>
  <si>
    <t>同援早増１．０・通訳・２人</t>
  </si>
  <si>
    <t>BP49</t>
  </si>
  <si>
    <t>同援早増１．０・通訳・盲ろう</t>
  </si>
  <si>
    <t>BP50</t>
  </si>
  <si>
    <t>同援早増１．０・通訳・２人・盲ろう</t>
  </si>
  <si>
    <t>同援早増１．０・通訳・区３</t>
  </si>
  <si>
    <t>同援早増１．０・通訳・２人・区３</t>
  </si>
  <si>
    <t>BP53</t>
  </si>
  <si>
    <t>同援早増１．０・通訳・盲ろう・区３</t>
  </si>
  <si>
    <t>BP54</t>
  </si>
  <si>
    <t>同援早増１．０・通訳・２人・盲ろう・区３</t>
  </si>
  <si>
    <t>BP55</t>
  </si>
  <si>
    <t>同援早増１．０・通訳・区４</t>
  </si>
  <si>
    <t>BP56</t>
  </si>
  <si>
    <t>同援早増１．０・通訳・２人・区４</t>
  </si>
  <si>
    <t>BP57</t>
  </si>
  <si>
    <t>同援早増１．０・通訳・盲ろう・区４</t>
  </si>
  <si>
    <t>BP58</t>
  </si>
  <si>
    <t>同援早増１．０・通訳・２人・盲ろう・区４</t>
  </si>
  <si>
    <t>BP59</t>
  </si>
  <si>
    <t>同援早増１．５・通訳</t>
  </si>
  <si>
    <t>BP60</t>
  </si>
  <si>
    <t>同援早増１．５・通訳・２人</t>
  </si>
  <si>
    <t>同援早増１．５・通訳・盲ろう</t>
  </si>
  <si>
    <t>同援早増１．５・通訳・２人・盲ろう</t>
  </si>
  <si>
    <t>BP63</t>
  </si>
  <si>
    <t>同援早増１．５・通訳・区３</t>
  </si>
  <si>
    <t>BP64</t>
  </si>
  <si>
    <t>同援早増１．５・通訳・２人・区３</t>
  </si>
  <si>
    <t>BP65</t>
  </si>
  <si>
    <t>同援早増１．５・通訳・盲ろう・区３</t>
  </si>
  <si>
    <t>BP66</t>
  </si>
  <si>
    <t>同援早増１．５・通訳・２人・盲ろう・区３</t>
  </si>
  <si>
    <t>BP67</t>
  </si>
  <si>
    <t>同援早増１．５・通訳・区４</t>
  </si>
  <si>
    <t>BP68</t>
  </si>
  <si>
    <t>同援早増１．５・通訳・２人・区４</t>
  </si>
  <si>
    <t>BP69</t>
  </si>
  <si>
    <t>同援早増１．５・通訳・盲ろう・区４</t>
  </si>
  <si>
    <t>BP70</t>
  </si>
  <si>
    <t>同援早増１．５・通訳・２人・盲ろう・区４</t>
  </si>
  <si>
    <t>同援早増２．０・通訳</t>
  </si>
  <si>
    <t>同援早増２．０・通訳・２人</t>
  </si>
  <si>
    <t>BP73</t>
  </si>
  <si>
    <t>同援早増２．０・通訳・盲ろう</t>
  </si>
  <si>
    <t>BP74</t>
  </si>
  <si>
    <t>同援早増２．０・通訳・２人・盲ろう</t>
  </si>
  <si>
    <t>BP75</t>
  </si>
  <si>
    <t>同援早増２．０・通訳・区３</t>
  </si>
  <si>
    <t>BP76</t>
  </si>
  <si>
    <t>同援早増２．０・通訳・２人・区３</t>
  </si>
  <si>
    <t>BP77</t>
  </si>
  <si>
    <t>同援早増２．０・通訳・盲ろう・区３</t>
  </si>
  <si>
    <t>BP78</t>
  </si>
  <si>
    <t>同援早増２．０・通訳・２人・盲ろう・区３</t>
  </si>
  <si>
    <t>BP79</t>
  </si>
  <si>
    <t>同援早増２．０・通訳・区４</t>
  </si>
  <si>
    <t>BP80</t>
  </si>
  <si>
    <t>同援早増２．０・通訳・２人・区４</t>
  </si>
  <si>
    <t>同援早増２．０・通訳・盲ろう・区４</t>
  </si>
  <si>
    <t>同援早増２．０・通訳・２人・盲ろう・区４</t>
  </si>
  <si>
    <t>BP83</t>
  </si>
  <si>
    <t>同援早増２．５・通訳</t>
  </si>
  <si>
    <t>BP84</t>
  </si>
  <si>
    <t>同援早増２．５・通訳・２人</t>
  </si>
  <si>
    <t>BP85</t>
  </si>
  <si>
    <t>同援早増２．５・通訳・盲ろう</t>
  </si>
  <si>
    <t>BP86</t>
  </si>
  <si>
    <t>同援早増２．５・通訳・２人・盲ろう</t>
  </si>
  <si>
    <t>BP87</t>
  </si>
  <si>
    <t>同援早増２．５・通訳・区３</t>
  </si>
  <si>
    <t>BP88</t>
  </si>
  <si>
    <t>同援早増２．５・通訳・２人・区３</t>
  </si>
  <si>
    <t>BP89</t>
  </si>
  <si>
    <t>同援早増２．５・通訳・盲ろう・区３</t>
  </si>
  <si>
    <t>BP90</t>
  </si>
  <si>
    <t>同援早増２．５・通訳・２人・盲ろう・区３</t>
  </si>
  <si>
    <t>同援早増２．５・通訳・区４</t>
  </si>
  <si>
    <t>同援早増２．５・通訳・２人・区４</t>
  </si>
  <si>
    <t>BP93</t>
  </si>
  <si>
    <t>同援早増２．５・通訳・盲ろう・区４</t>
  </si>
  <si>
    <t>BP94</t>
  </si>
  <si>
    <t>同援早増２．５・通訳・２人・盲ろう・区４</t>
  </si>
  <si>
    <t>（盲ろう者向け通訳・介助員：夜間増分）</t>
    <phoneticPr fontId="1"/>
  </si>
  <si>
    <t>BP95</t>
  </si>
  <si>
    <t>同援夜増０．５・通訳</t>
  </si>
  <si>
    <t>BP96</t>
  </si>
  <si>
    <t>同援夜増０．５・通訳・２人</t>
  </si>
  <si>
    <t>BP97</t>
  </si>
  <si>
    <t>同援夜増０．５・通訳・盲ろう</t>
  </si>
  <si>
    <t>BP98</t>
  </si>
  <si>
    <t>同援夜増０．５・通訳・２人・盲ろう</t>
  </si>
  <si>
    <t>BP99</t>
  </si>
  <si>
    <t>同援夜増０．５・通訳・区３</t>
  </si>
  <si>
    <t>BR00</t>
  </si>
  <si>
    <t>同援夜増０．５・通訳・２人・区３</t>
  </si>
  <si>
    <t>同援夜増０．５・通訳・盲ろう・区３</t>
  </si>
  <si>
    <t>同援夜増０．５・通訳・２人・盲ろう・区３</t>
  </si>
  <si>
    <t>BR03</t>
  </si>
  <si>
    <t>同援夜増０．５・通訳・区４</t>
  </si>
  <si>
    <t>BR04</t>
  </si>
  <si>
    <t>同援夜増０．５・通訳・２人・区４</t>
  </si>
  <si>
    <t>BR05</t>
  </si>
  <si>
    <t>同援夜増０．５・通訳・盲ろう・区４</t>
  </si>
  <si>
    <t>BR06</t>
  </si>
  <si>
    <t>同援夜増０．５・通訳・２人・盲ろう・区４</t>
  </si>
  <si>
    <t>BR07</t>
  </si>
  <si>
    <t>同援夜増１．０・通訳</t>
  </si>
  <si>
    <t>BR08</t>
  </si>
  <si>
    <t>同援夜増１．０・通訳・２人</t>
  </si>
  <si>
    <t>BR09</t>
  </si>
  <si>
    <t>同援夜増１．０・通訳・盲ろう</t>
  </si>
  <si>
    <t>BR10</t>
  </si>
  <si>
    <t>同援夜増１．０・通訳・２人・盲ろう</t>
  </si>
  <si>
    <t>同援夜増１．０・通訳・区３</t>
  </si>
  <si>
    <t>同援夜増１．０・通訳・２人・区３</t>
  </si>
  <si>
    <t>BR13</t>
  </si>
  <si>
    <t>同援夜増１．０・通訳・盲ろう・区３</t>
  </si>
  <si>
    <t>BR14</t>
  </si>
  <si>
    <t>同援夜増１．０・通訳・２人・盲ろう・区３</t>
  </si>
  <si>
    <t>BR15</t>
  </si>
  <si>
    <t>同援夜増１．０・通訳・区４</t>
  </si>
  <si>
    <t>BR16</t>
  </si>
  <si>
    <t>同援夜増１．０・通訳・２人・区４</t>
  </si>
  <si>
    <t>BR17</t>
  </si>
  <si>
    <t>同援夜増１．０・通訳・盲ろう・区４</t>
  </si>
  <si>
    <t>BR18</t>
  </si>
  <si>
    <t>同援夜増１．０・通訳・２人・盲ろう・区４</t>
  </si>
  <si>
    <t>BR19</t>
  </si>
  <si>
    <t>同援夜増１．５・通訳</t>
  </si>
  <si>
    <t>BR20</t>
  </si>
  <si>
    <t>同援夜増１．５・通訳・２人</t>
  </si>
  <si>
    <t>同援夜増１．５・通訳・盲ろう</t>
  </si>
  <si>
    <t>同援夜増１．５・通訳・２人・盲ろう</t>
  </si>
  <si>
    <t>BR23</t>
  </si>
  <si>
    <t>同援夜増１．５・通訳・区３</t>
  </si>
  <si>
    <t>BR24</t>
  </si>
  <si>
    <t>同援夜増１．５・通訳・２人・区３</t>
  </si>
  <si>
    <t>BR25</t>
  </si>
  <si>
    <t>同援夜増１．５・通訳・盲ろう・区３</t>
  </si>
  <si>
    <t>BR26</t>
  </si>
  <si>
    <t>同援夜増１．５・通訳・２人・盲ろう・区３</t>
  </si>
  <si>
    <t>BR27</t>
  </si>
  <si>
    <t>同援夜増１．５・通訳・区４</t>
  </si>
  <si>
    <t>BR28</t>
  </si>
  <si>
    <t>同援夜増１．５・通訳・２人・区４</t>
  </si>
  <si>
    <t>BR29</t>
  </si>
  <si>
    <t>同援夜増１．５・通訳・盲ろう・区４</t>
  </si>
  <si>
    <t>BR30</t>
  </si>
  <si>
    <t>同援夜増１．５・通訳・２人・盲ろう・区４</t>
  </si>
  <si>
    <t>同援夜増２．０・通訳</t>
  </si>
  <si>
    <t>同援夜増２．０・通訳・２人</t>
  </si>
  <si>
    <t>BR33</t>
  </si>
  <si>
    <t>同援夜増２．０・通訳・盲ろう</t>
  </si>
  <si>
    <t>BR34</t>
  </si>
  <si>
    <t>同援夜増２．０・通訳・２人・盲ろう</t>
  </si>
  <si>
    <t>BR35</t>
  </si>
  <si>
    <t>同援夜増２．０・通訳・区３</t>
  </si>
  <si>
    <t>BR36</t>
  </si>
  <si>
    <t>同援夜増２．０・通訳・２人・区３</t>
  </si>
  <si>
    <t>BR37</t>
  </si>
  <si>
    <t>同援夜増２．０・通訳・盲ろう・区３</t>
  </si>
  <si>
    <t>BR38</t>
  </si>
  <si>
    <t>同援夜増２．０・通訳・２人・盲ろう・区３</t>
  </si>
  <si>
    <t>BR39</t>
  </si>
  <si>
    <t>同援夜増２．０・通訳・区４</t>
  </si>
  <si>
    <t>BR40</t>
  </si>
  <si>
    <t>同援夜増２．０・通訳・２人・区４</t>
  </si>
  <si>
    <t>同援夜増２．０・通訳・盲ろう・区４</t>
  </si>
  <si>
    <t>同援夜増２．０・通訳・２人・盲ろう・区４</t>
  </si>
  <si>
    <t>BR43</t>
  </si>
  <si>
    <t>同援夜増２．５・通訳</t>
  </si>
  <si>
    <t>BR44</t>
  </si>
  <si>
    <t>同援夜増２．５・通訳・２人</t>
  </si>
  <si>
    <t>BR45</t>
  </si>
  <si>
    <t>同援夜増２．５・通訳・盲ろう</t>
  </si>
  <si>
    <t>BR46</t>
  </si>
  <si>
    <t>同援夜増２．５・通訳・２人・盲ろう</t>
  </si>
  <si>
    <t>BR47</t>
  </si>
  <si>
    <t>同援夜増２．５・通訳・区３</t>
  </si>
  <si>
    <t>BR48</t>
  </si>
  <si>
    <t>同援夜増２．５・通訳・２人・区３</t>
  </si>
  <si>
    <t>BR49</t>
  </si>
  <si>
    <t>同援夜増２．５・通訳・盲ろう・区３</t>
  </si>
  <si>
    <t>BR50</t>
  </si>
  <si>
    <t>同援夜増２．５・通訳・２人・盲ろう・区３</t>
  </si>
  <si>
    <t>同援夜増２．５・通訳・区４</t>
  </si>
  <si>
    <t>同援夜増２．５・通訳・２人・区４</t>
  </si>
  <si>
    <t>BR53</t>
  </si>
  <si>
    <t>同援夜増２．５・通訳・盲ろう・区４</t>
  </si>
  <si>
    <t>BR54</t>
  </si>
  <si>
    <t>同援夜増２．５・通訳・２人・盲ろう・区４</t>
  </si>
  <si>
    <t>BR55</t>
  </si>
  <si>
    <t>同援夜増３．０・通訳</t>
  </si>
  <si>
    <t>BR56</t>
  </si>
  <si>
    <t>同援夜増３．０・通訳・２人</t>
  </si>
  <si>
    <t>BR57</t>
  </si>
  <si>
    <t>同援夜増３．０・通訳・盲ろう</t>
  </si>
  <si>
    <t>BR58</t>
  </si>
  <si>
    <t>同援夜増３．０・通訳・２人・盲ろう</t>
  </si>
  <si>
    <t>BR59</t>
  </si>
  <si>
    <t>同援夜増３．０・通訳・区３</t>
  </si>
  <si>
    <t>BR60</t>
  </si>
  <si>
    <t>同援夜増３．０・通訳・２人・区３</t>
  </si>
  <si>
    <t>同援夜増３．０・通訳・盲ろう・区３</t>
  </si>
  <si>
    <t>同援夜増３．０・通訳・２人・盲ろう・区３</t>
  </si>
  <si>
    <t>BR63</t>
  </si>
  <si>
    <t>同援夜増３．０・通訳・区４</t>
  </si>
  <si>
    <t>BR64</t>
  </si>
  <si>
    <t>同援夜増３．０・通訳・２人・区４</t>
  </si>
  <si>
    <t>BR65</t>
  </si>
  <si>
    <t>同援夜増３．０・通訳・盲ろう・区４</t>
  </si>
  <si>
    <t>BR66</t>
  </si>
  <si>
    <t>同援夜増３．０・通訳・２人・盲ろう・区４</t>
  </si>
  <si>
    <t>BR67</t>
  </si>
  <si>
    <t>同援夜増３．５・通訳</t>
  </si>
  <si>
    <t>BR68</t>
  </si>
  <si>
    <t>同援夜増３．５・通訳・２人</t>
  </si>
  <si>
    <t>BR69</t>
  </si>
  <si>
    <t>同援夜増３．５・通訳・盲ろう</t>
  </si>
  <si>
    <t>BR70</t>
  </si>
  <si>
    <t>同援夜増３．５・通訳・２人・盲ろう</t>
  </si>
  <si>
    <t>同援夜増３．５・通訳・区３</t>
  </si>
  <si>
    <t>同援夜増３．５・通訳・２人・区３</t>
  </si>
  <si>
    <t>BR73</t>
  </si>
  <si>
    <t>同援夜増３．５・通訳・盲ろう・区３</t>
  </si>
  <si>
    <t>BR74</t>
  </si>
  <si>
    <t>同援夜増３．５・通訳・２人・盲ろう・区３</t>
  </si>
  <si>
    <t>BR75</t>
  </si>
  <si>
    <t>同援夜増３．５・通訳・区４</t>
  </si>
  <si>
    <t>BR76</t>
  </si>
  <si>
    <t>同援夜増３．５・通訳・２人・区４</t>
  </si>
  <si>
    <t>BR77</t>
  </si>
  <si>
    <t>同援夜増３．５・通訳・盲ろう・区４</t>
  </si>
  <si>
    <t>BR78</t>
  </si>
  <si>
    <t>同援夜増３．５・通訳・２人・盲ろう・区４</t>
  </si>
  <si>
    <t>BR79</t>
  </si>
  <si>
    <t>同援夜増４．０・通訳</t>
  </si>
  <si>
    <t>BR80</t>
  </si>
  <si>
    <t>同援夜増４．０・通訳・２人</t>
  </si>
  <si>
    <t>同援夜増４．０・通訳・盲ろう</t>
  </si>
  <si>
    <t>同援夜増４．０・通訳・２人・盲ろう</t>
  </si>
  <si>
    <t>BR83</t>
  </si>
  <si>
    <t>同援夜増４．０・通訳・区３</t>
  </si>
  <si>
    <t>BR84</t>
  </si>
  <si>
    <t>同援夜増４．０・通訳・２人・区３</t>
  </si>
  <si>
    <t>BR85</t>
  </si>
  <si>
    <t>同援夜増４．０・通訳・盲ろう・区３</t>
  </si>
  <si>
    <t>BR86</t>
  </si>
  <si>
    <t>同援夜増４．０・通訳・２人・盲ろう・区３</t>
  </si>
  <si>
    <t>BR87</t>
  </si>
  <si>
    <t>同援夜増４．０・通訳・区４</t>
  </si>
  <si>
    <t>BR88</t>
  </si>
  <si>
    <t>同援夜増４．０・通訳・２人・区４</t>
  </si>
  <si>
    <t>BR89</t>
  </si>
  <si>
    <t>同援夜増４．０・通訳・盲ろう・区４</t>
  </si>
  <si>
    <t>BR90</t>
  </si>
  <si>
    <t>同援夜増４．０・通訳・２人・盲ろう・区４</t>
  </si>
  <si>
    <t>同援夜増４．５・通訳</t>
  </si>
  <si>
    <t>同援夜増４．５・通訳・２人</t>
  </si>
  <si>
    <t>BR93</t>
  </si>
  <si>
    <t>同援夜増４．５・通訳・盲ろう</t>
  </si>
  <si>
    <t>BR94</t>
  </si>
  <si>
    <t>同援夜増４．５・通訳・２人・盲ろう</t>
  </si>
  <si>
    <t>BR95</t>
  </si>
  <si>
    <t>同援夜増４．５・通訳・区３</t>
  </si>
  <si>
    <t>BR96</t>
  </si>
  <si>
    <t>同援夜増４．５・通訳・２人・区３</t>
  </si>
  <si>
    <t>BR97</t>
  </si>
  <si>
    <t>同援夜増４．５・通訳・盲ろう・区３</t>
  </si>
  <si>
    <t>BR98</t>
  </si>
  <si>
    <t>同援夜増４．５・通訳・２人・盲ろう・区３</t>
  </si>
  <si>
    <t>BR99</t>
  </si>
  <si>
    <t>同援夜増４．５・通訳・区４</t>
  </si>
  <si>
    <t>BS00</t>
  </si>
  <si>
    <t>同援夜増４．５・通訳・２人・区４</t>
  </si>
  <si>
    <t>同援夜増４．５・通訳・盲ろう・区４</t>
  </si>
  <si>
    <t>同援夜増４．５・通訳・２人・盲ろう・区４</t>
  </si>
  <si>
    <t>（盲ろう者向け通訳・介助員：深夜増分）</t>
    <phoneticPr fontId="1"/>
  </si>
  <si>
    <t>BS03</t>
  </si>
  <si>
    <t>同援深増０．５・通訳</t>
  </si>
  <si>
    <t>BS04</t>
  </si>
  <si>
    <t>同援深増０．５・通訳・２人</t>
  </si>
  <si>
    <t>BS05</t>
  </si>
  <si>
    <t>同援深増０．５・通訳・盲ろう</t>
  </si>
  <si>
    <t>BS06</t>
  </si>
  <si>
    <t>同援深増０．５・通訳・２人・盲ろう</t>
  </si>
  <si>
    <t>BS07</t>
  </si>
  <si>
    <t>同援深増０．５・通訳・区３</t>
  </si>
  <si>
    <t>BS08</t>
  </si>
  <si>
    <t>同援深増０．５・通訳・２人・区３</t>
  </si>
  <si>
    <t>BS09</t>
  </si>
  <si>
    <t>同援深増０．５・通訳・盲ろう・区３</t>
  </si>
  <si>
    <t>BS10</t>
  </si>
  <si>
    <t>同援深増０．５・通訳・２人・盲ろう・区３</t>
  </si>
  <si>
    <t>同援深増０．５・通訳・区４</t>
  </si>
  <si>
    <t>同援深増０．５・通訳・２人・区４</t>
  </si>
  <si>
    <t>BS13</t>
  </si>
  <si>
    <t>同援深増０．５・通訳・盲ろう・区４</t>
  </si>
  <si>
    <t>BS14</t>
  </si>
  <si>
    <t>同援深増０．５・通訳・２人・盲ろう・区４</t>
  </si>
  <si>
    <t>BS15</t>
  </si>
  <si>
    <t>同援深増１．０・通訳</t>
  </si>
  <si>
    <t>BS16</t>
  </si>
  <si>
    <t>同援深増１．０・通訳・２人</t>
  </si>
  <si>
    <t>BS17</t>
  </si>
  <si>
    <t>同援深増１．０・通訳・盲ろう</t>
  </si>
  <si>
    <t>BS18</t>
  </si>
  <si>
    <t>同援深増１．０・通訳・２人・盲ろう</t>
  </si>
  <si>
    <t>BS19</t>
  </si>
  <si>
    <t>同援深増１．０・通訳・区３</t>
  </si>
  <si>
    <t>BS20</t>
  </si>
  <si>
    <t>同援深増１．０・通訳・２人・区３</t>
  </si>
  <si>
    <t>同援深増１．０・通訳・盲ろう・区３</t>
  </si>
  <si>
    <t>同援深増１．０・通訳・２人・盲ろう・区３</t>
  </si>
  <si>
    <t>BS23</t>
  </si>
  <si>
    <t>同援深増１．０・通訳・区４</t>
  </si>
  <si>
    <t>BS24</t>
  </si>
  <si>
    <t>同援深増１．０・通訳・２人・区４</t>
  </si>
  <si>
    <t>BS25</t>
  </si>
  <si>
    <t>同援深増１．０・通訳・盲ろう・区４</t>
  </si>
  <si>
    <t>BS26</t>
  </si>
  <si>
    <t>同援深増１．０・通訳・２人・盲ろう・区４</t>
  </si>
  <si>
    <t>BS27</t>
  </si>
  <si>
    <t>同援深増１．５・通訳</t>
  </si>
  <si>
    <t>BS28</t>
  </si>
  <si>
    <t>同援深増１．５・通訳・２人</t>
  </si>
  <si>
    <t>BS29</t>
  </si>
  <si>
    <t>同援深増１．５・通訳・盲ろう</t>
  </si>
  <si>
    <t>BS30</t>
  </si>
  <si>
    <t>同援深増１．５・通訳・２人・盲ろう</t>
  </si>
  <si>
    <t>同援深増１．５・通訳・区３</t>
  </si>
  <si>
    <t>同援深増１．５・通訳・２人・区３</t>
  </si>
  <si>
    <t>BS33</t>
  </si>
  <si>
    <t>同援深増１．５・通訳・盲ろう・区３</t>
  </si>
  <si>
    <t>BS34</t>
  </si>
  <si>
    <t>同援深増１．５・通訳・２人・盲ろう・区３</t>
  </si>
  <si>
    <t>BS35</t>
  </si>
  <si>
    <t>同援深増１．５・通訳・区４</t>
  </si>
  <si>
    <t>BS36</t>
  </si>
  <si>
    <t>同援深増１．５・通訳・２人・区４</t>
  </si>
  <si>
    <t>BS37</t>
  </si>
  <si>
    <t>同援深増１．５・通訳・盲ろう・区４</t>
  </si>
  <si>
    <t>BS38</t>
  </si>
  <si>
    <t>同援深増１．５・通訳・２人・盲ろう・区４</t>
  </si>
  <si>
    <t>BS39</t>
  </si>
  <si>
    <t>同援深増２．０・通訳</t>
  </si>
  <si>
    <t>BS40</t>
  </si>
  <si>
    <t>同援深増２．０・通訳・２人</t>
  </si>
  <si>
    <t>同援深増２．０・通訳・盲ろう</t>
  </si>
  <si>
    <t>同援深増２．０・通訳・２人・盲ろう</t>
  </si>
  <si>
    <t>BS43</t>
  </si>
  <si>
    <t>同援深増２．０・通訳・区３</t>
  </si>
  <si>
    <t>BS44</t>
  </si>
  <si>
    <t>同援深増２．０・通訳・２人・区３</t>
  </si>
  <si>
    <t>BS45</t>
  </si>
  <si>
    <t>同援深増２．０・通訳・盲ろう・区３</t>
  </si>
  <si>
    <t>BS46</t>
  </si>
  <si>
    <t>同援深増２．０・通訳・２人・盲ろう・区３</t>
  </si>
  <si>
    <t>BS47</t>
  </si>
  <si>
    <t>同援深増２．０・通訳・区４</t>
  </si>
  <si>
    <t>BS48</t>
  </si>
  <si>
    <t>同援深増２．０・通訳・２人・区４</t>
  </si>
  <si>
    <t>BS49</t>
  </si>
  <si>
    <t>同援深増２．０・通訳・盲ろう・区４</t>
  </si>
  <si>
    <t>BS50</t>
  </si>
  <si>
    <t>同援深増２．０・通訳・２人・盲ろう・区４</t>
  </si>
  <si>
    <t>同援深増２．５・通訳</t>
  </si>
  <si>
    <t>同援深増２．５・通訳・２人</t>
  </si>
  <si>
    <t>BS53</t>
  </si>
  <si>
    <t>同援深増２．５・通訳・盲ろう</t>
  </si>
  <si>
    <t>BS54</t>
  </si>
  <si>
    <t>同援深増２．５・通訳・２人・盲ろう</t>
  </si>
  <si>
    <t>BS55</t>
  </si>
  <si>
    <t>同援深増２．５・通訳・区３</t>
  </si>
  <si>
    <t>BS56</t>
  </si>
  <si>
    <t>同援深増２．５・通訳・２人・区３</t>
  </si>
  <si>
    <t>BS57</t>
  </si>
  <si>
    <t>同援深増２．５・通訳・盲ろう・区３</t>
  </si>
  <si>
    <t>BS58</t>
  </si>
  <si>
    <t>同援深増２．５・通訳・２人・盲ろう・区３</t>
  </si>
  <si>
    <t>BS59</t>
  </si>
  <si>
    <t>同援深増２．５・通訳・区４</t>
  </si>
  <si>
    <t>BS60</t>
  </si>
  <si>
    <t>同援深増２．５・通訳・２人・区４</t>
  </si>
  <si>
    <t>同援深増２．５・通訳・盲ろう・区４</t>
  </si>
  <si>
    <t>同援深増２．５・通訳・２人・盲ろう・区４</t>
  </si>
  <si>
    <t>BS63</t>
  </si>
  <si>
    <t>同援深増３．０・通訳</t>
  </si>
  <si>
    <t>BS64</t>
  </si>
  <si>
    <t>同援深増３．０・通訳・２人</t>
  </si>
  <si>
    <t>BS65</t>
  </si>
  <si>
    <t>同援深増３．０・通訳・盲ろう</t>
  </si>
  <si>
    <t>BS66</t>
  </si>
  <si>
    <t>同援深増３．０・通訳・２人・盲ろう</t>
  </si>
  <si>
    <t>BS67</t>
  </si>
  <si>
    <t>同援深増３．０・通訳・区３</t>
  </si>
  <si>
    <t>BS68</t>
  </si>
  <si>
    <t>同援深増３．０・通訳・２人・区３</t>
  </si>
  <si>
    <t>BS69</t>
  </si>
  <si>
    <t>同援深増３．０・通訳・盲ろう・区３</t>
  </si>
  <si>
    <t>BS70</t>
  </si>
  <si>
    <t>同援深増３．０・通訳・２人・盲ろう・区３</t>
  </si>
  <si>
    <t>同援深増３．０・通訳・区４</t>
  </si>
  <si>
    <t>同援深増３．０・通訳・２人・区４</t>
  </si>
  <si>
    <t>BS73</t>
  </si>
  <si>
    <t>同援深増３．０・通訳・盲ろう・区４</t>
  </si>
  <si>
    <t>BS74</t>
  </si>
  <si>
    <t>同援深増３．０・通訳・２人・盲ろう・区４</t>
  </si>
  <si>
    <t>BS75</t>
  </si>
  <si>
    <t>同援深増３．５・通訳</t>
  </si>
  <si>
    <t>BS76</t>
  </si>
  <si>
    <t>同援深増３．５・通訳・２人</t>
  </si>
  <si>
    <t>BS77</t>
  </si>
  <si>
    <t>同援深増３．５・通訳・盲ろう</t>
  </si>
  <si>
    <t>BS78</t>
  </si>
  <si>
    <t>同援深増３．５・通訳・２人・盲ろう</t>
  </si>
  <si>
    <t>BS79</t>
  </si>
  <si>
    <t>同援深増３．５・通訳・区３</t>
  </si>
  <si>
    <t>BS80</t>
  </si>
  <si>
    <t>同援深増３．５・通訳・２人・区３</t>
  </si>
  <si>
    <t>同援深増３．５・通訳・盲ろう・区３</t>
  </si>
  <si>
    <t>同援深増３．５・通訳・２人・盲ろう・区３</t>
  </si>
  <si>
    <t>BS83</t>
  </si>
  <si>
    <t>同援深増３．５・通訳・区４</t>
  </si>
  <si>
    <t>BS84</t>
  </si>
  <si>
    <t>同援深増３．５・通訳・２人・区４</t>
  </si>
  <si>
    <t>BS85</t>
  </si>
  <si>
    <t>同援深増３．５・通訳・盲ろう・区４</t>
  </si>
  <si>
    <t>BS86</t>
  </si>
  <si>
    <t>同援深増３．５・通訳・２人・盲ろう・区４</t>
  </si>
  <si>
    <t>BS87</t>
  </si>
  <si>
    <t>同援深増４．０・通訳</t>
  </si>
  <si>
    <t>BS88</t>
  </si>
  <si>
    <t>同援深増４．０・通訳・２人</t>
  </si>
  <si>
    <t>BS89</t>
  </si>
  <si>
    <t>同援深増４．０・通訳・盲ろう</t>
  </si>
  <si>
    <t>BS90</t>
  </si>
  <si>
    <t>同援深増４．０・通訳・２人・盲ろう</t>
  </si>
  <si>
    <t>同援深増４．０・通訳・区３</t>
  </si>
  <si>
    <t>同援深増４．０・通訳・２人・区３</t>
  </si>
  <si>
    <t>BS93</t>
  </si>
  <si>
    <t>同援深増４．０・通訳・盲ろう・区３</t>
  </si>
  <si>
    <t>BS94</t>
  </si>
  <si>
    <t>同援深増４．０・通訳・２人・盲ろう・区３</t>
  </si>
  <si>
    <t>BS95</t>
  </si>
  <si>
    <t>同援深増４．０・通訳・区４</t>
  </si>
  <si>
    <t>BS96</t>
  </si>
  <si>
    <t>同援深増４．０・通訳・２人・区４</t>
  </si>
  <si>
    <t>BS97</t>
  </si>
  <si>
    <t>同援深増４．０・通訳・盲ろう・区４</t>
  </si>
  <si>
    <t>BS98</t>
  </si>
  <si>
    <t>同援深増４．０・通訳・２人・盲ろう・区４</t>
  </si>
  <si>
    <t>BS99</t>
  </si>
  <si>
    <t>同援深増４．５・通訳</t>
  </si>
  <si>
    <t>BT00</t>
  </si>
  <si>
    <t>同援深増４．５・通訳・２人</t>
  </si>
  <si>
    <t>同援深増４．５・通訳・盲ろう</t>
  </si>
  <si>
    <t>同援深増４．５・通訳・２人・盲ろう</t>
  </si>
  <si>
    <t>BT03</t>
  </si>
  <si>
    <t>同援深増４．５・通訳・区３</t>
  </si>
  <si>
    <t>BT04</t>
  </si>
  <si>
    <t>同援深増４．５・通訳・２人・区３</t>
  </si>
  <si>
    <t>BT05</t>
  </si>
  <si>
    <t>同援深増４．５・通訳・盲ろう・区３</t>
  </si>
  <si>
    <t>BT06</t>
  </si>
  <si>
    <t>同援深増４．５・通訳・２人・盲ろう・区３</t>
  </si>
  <si>
    <t>BT07</t>
  </si>
  <si>
    <t>同援深増４．５・通訳・区４</t>
  </si>
  <si>
    <t>BT08</t>
  </si>
  <si>
    <t>同援深増４．５・通訳・２人・区４</t>
  </si>
  <si>
    <t>BT09</t>
  </si>
  <si>
    <t>同援深増４．５・通訳・盲ろう・区４</t>
  </si>
  <si>
    <t>BT10</t>
  </si>
  <si>
    <t>同援深増４．５・通訳・２人・盲ろう・区４</t>
  </si>
  <si>
    <t>同援深増５．０・通訳</t>
  </si>
  <si>
    <t>同援深増５．０・通訳・２人</t>
  </si>
  <si>
    <t>BT13</t>
  </si>
  <si>
    <t>同援深増５．０・通訳・盲ろう</t>
  </si>
  <si>
    <t>BT14</t>
  </si>
  <si>
    <t>同援深増５．０・通訳・２人・盲ろう</t>
  </si>
  <si>
    <t>BT15</t>
  </si>
  <si>
    <t>同援深増５．０・通訳・区３</t>
  </si>
  <si>
    <t>BT16</t>
  </si>
  <si>
    <t>同援深増５．０・通訳・２人・区３</t>
  </si>
  <si>
    <t>BT17</t>
  </si>
  <si>
    <t>同援深増５．０・通訳・盲ろう・区３</t>
  </si>
  <si>
    <t>BT18</t>
  </si>
  <si>
    <t>同援深増５．０・通訳・２人・盲ろう・区３</t>
  </si>
  <si>
    <t>BT19</t>
  </si>
  <si>
    <t>同援深増５．０・通訳・区４</t>
  </si>
  <si>
    <t>BT20</t>
  </si>
  <si>
    <t>同援深増５．０・通訳・２人・区４</t>
  </si>
  <si>
    <t>同援深増５．０・通訳・盲ろう・区４</t>
  </si>
  <si>
    <t>同援深増５．０・通訳・２人・盲ろう・区４</t>
  </si>
  <si>
    <t>BT23</t>
  </si>
  <si>
    <t>同援深増５．５・通訳</t>
  </si>
  <si>
    <t>BT24</t>
  </si>
  <si>
    <t>同援深増５．５・通訳・２人</t>
  </si>
  <si>
    <t>BT25</t>
  </si>
  <si>
    <t>同援深増５．５・通訳・盲ろう</t>
  </si>
  <si>
    <t>BT26</t>
  </si>
  <si>
    <t>同援深増５．５・通訳・２人・盲ろう</t>
  </si>
  <si>
    <t>BT27</t>
  </si>
  <si>
    <t>同援深増５．５・通訳・区３</t>
  </si>
  <si>
    <t>BT28</t>
  </si>
  <si>
    <t>同援深増５．５・通訳・２人・区３</t>
  </si>
  <si>
    <t>BT29</t>
  </si>
  <si>
    <t>同援深増５．５・通訳・盲ろう・区３</t>
  </si>
  <si>
    <t>BT30</t>
  </si>
  <si>
    <t>同援深増５．５・通訳・２人・盲ろう・区３</t>
  </si>
  <si>
    <t>同援深増５．５・通訳・区４</t>
  </si>
  <si>
    <t>同援深増５．５・通訳・２人・区４</t>
  </si>
  <si>
    <t>BT33</t>
  </si>
  <si>
    <t>同援深増５．５・通訳・盲ろう・区４</t>
  </si>
  <si>
    <t>BT34</t>
  </si>
  <si>
    <t>同援深増５．５・通訳・２人・盲ろう・区４</t>
  </si>
  <si>
    <t>BT35</t>
  </si>
  <si>
    <t>同援深増６．０・通訳</t>
  </si>
  <si>
    <t>BT36</t>
  </si>
  <si>
    <t>同援深増６．０・通訳・２人</t>
  </si>
  <si>
    <t>BT37</t>
  </si>
  <si>
    <t>同援深増６．０・通訳・盲ろう</t>
  </si>
  <si>
    <t>BT38</t>
  </si>
  <si>
    <t>同援深増６．０・通訳・２人・盲ろう</t>
  </si>
  <si>
    <t>BT39</t>
  </si>
  <si>
    <t>同援深増６．０・通訳・区３</t>
  </si>
  <si>
    <t>BT40</t>
  </si>
  <si>
    <t>同援深増６．０・通訳・２人・区３</t>
  </si>
  <si>
    <t>同援深増６．０・通訳・盲ろう・区３</t>
  </si>
  <si>
    <t>同援深増６．０・通訳・２人・盲ろう・区３</t>
  </si>
  <si>
    <t>BT43</t>
  </si>
  <si>
    <t>同援深増６．０・通訳・区４</t>
  </si>
  <si>
    <t>BT44</t>
  </si>
  <si>
    <t>同援深増６．０・通訳・２人・区４</t>
  </si>
  <si>
    <t>BT45</t>
  </si>
  <si>
    <t>同援深増６．０・通訳・盲ろう・区４</t>
  </si>
  <si>
    <t>BT46</t>
  </si>
  <si>
    <t>同援深増６．０・通訳・２人・盲ろう・区４</t>
  </si>
  <si>
    <t>BT47</t>
  </si>
  <si>
    <t>同援深増６．５・通訳</t>
  </si>
  <si>
    <t>BT48</t>
  </si>
  <si>
    <t>同援深増６．５・通訳・２人</t>
  </si>
  <si>
    <t>BT49</t>
  </si>
  <si>
    <t>同援深増６．５・通訳・盲ろう</t>
  </si>
  <si>
    <t>BT50</t>
  </si>
  <si>
    <t>同援深増６．５・通訳・２人・盲ろう</t>
  </si>
  <si>
    <t>同援深増６．５・通訳・区３</t>
  </si>
  <si>
    <t>同援深増６．５・通訳・２人・区３</t>
  </si>
  <si>
    <t>BT53</t>
  </si>
  <si>
    <t>同援深増６．５・通訳・盲ろう・区３</t>
  </si>
  <si>
    <t>BT54</t>
  </si>
  <si>
    <t>同援深増６．５・通訳・２人・盲ろう・区３</t>
  </si>
  <si>
    <t>BT55</t>
  </si>
  <si>
    <t>同援深増６．５・通訳・区４</t>
  </si>
  <si>
    <t>BT56</t>
  </si>
  <si>
    <t>同援深増６．５・通訳・２人・区４</t>
  </si>
  <si>
    <t>BT57</t>
  </si>
  <si>
    <t>同援深増６．５・通訳・盲ろう・区４</t>
  </si>
  <si>
    <t>BT58</t>
  </si>
  <si>
    <t>同援深増６．５・通訳・２人・盲ろう・区４</t>
  </si>
  <si>
    <t>令和３年９月３０日までの上乗せ分（同援）</t>
    <phoneticPr fontId="1"/>
  </si>
  <si>
    <t>新型コロナウイルス感染症への対応</t>
    <phoneticPr fontId="1"/>
  </si>
  <si>
    <t>1月につき</t>
    <phoneticPr fontId="31"/>
  </si>
  <si>
    <t>同援身体拘束廃止未実施減算</t>
    <rPh sb="0" eb="1">
      <t>ドウ</t>
    </rPh>
    <rPh sb="1" eb="2">
      <t>エン</t>
    </rPh>
    <phoneticPr fontId="31"/>
  </si>
  <si>
    <t>同援特定事業所加算Ⅰ</t>
    <rPh sb="0" eb="1">
      <t>ドウ</t>
    </rPh>
    <rPh sb="1" eb="2">
      <t>エン</t>
    </rPh>
    <rPh sb="2" eb="4">
      <t>トクテイ</t>
    </rPh>
    <rPh sb="4" eb="7">
      <t>ジギョウショ</t>
    </rPh>
    <rPh sb="7" eb="9">
      <t>カサン</t>
    </rPh>
    <phoneticPr fontId="31"/>
  </si>
  <si>
    <t>(1) 特定事業所加算(Ⅰ)</t>
  </si>
  <si>
    <t>同援特定事業所加算Ⅱ</t>
    <rPh sb="2" eb="4">
      <t>トクテイ</t>
    </rPh>
    <rPh sb="4" eb="7">
      <t>ジギョウショ</t>
    </rPh>
    <rPh sb="7" eb="9">
      <t>カサン</t>
    </rPh>
    <phoneticPr fontId="31"/>
  </si>
  <si>
    <t>(2) 特定事業所加算(Ⅱ)</t>
  </si>
  <si>
    <t>同援特定事業所加算Ⅲ</t>
    <rPh sb="2" eb="4">
      <t>トクテイ</t>
    </rPh>
    <rPh sb="4" eb="7">
      <t>ジギョウショ</t>
    </rPh>
    <rPh sb="7" eb="9">
      <t>カサン</t>
    </rPh>
    <phoneticPr fontId="31"/>
  </si>
  <si>
    <t>(3) 特定事業所加算(Ⅲ)</t>
  </si>
  <si>
    <t>同援特定事業所加算Ⅳ</t>
    <rPh sb="2" eb="4">
      <t>トクテイ</t>
    </rPh>
    <rPh sb="4" eb="7">
      <t>ジギョウショ</t>
    </rPh>
    <rPh sb="7" eb="9">
      <t>カサン</t>
    </rPh>
    <phoneticPr fontId="31"/>
  </si>
  <si>
    <t>(4) 特定事業所加算(Ⅳ)</t>
  </si>
  <si>
    <t>同援特地加算</t>
    <phoneticPr fontId="31"/>
  </si>
  <si>
    <t>同援緊急時対応加算</t>
    <phoneticPr fontId="31"/>
  </si>
  <si>
    <t>同援緊急時対応加算（地域生活拠点）</t>
    <phoneticPr fontId="31"/>
  </si>
  <si>
    <t>同援喀痰吸引等支援体制加算</t>
    <phoneticPr fontId="31"/>
  </si>
  <si>
    <t>同援初回加算</t>
    <rPh sb="2" eb="4">
      <t>ショカイ</t>
    </rPh>
    <rPh sb="4" eb="6">
      <t>カサン</t>
    </rPh>
    <phoneticPr fontId="31"/>
  </si>
  <si>
    <t>同援上限額管理加算</t>
    <phoneticPr fontId="31"/>
  </si>
  <si>
    <t>同援処遇改善加算Ⅰ</t>
    <rPh sb="2" eb="4">
      <t>ショグウ</t>
    </rPh>
    <rPh sb="4" eb="6">
      <t>カイゼン</t>
    </rPh>
    <rPh sb="6" eb="8">
      <t>カサン</t>
    </rPh>
    <phoneticPr fontId="31"/>
  </si>
  <si>
    <t>同援処遇改善加算Ⅱ</t>
    <rPh sb="2" eb="4">
      <t>ショグウ</t>
    </rPh>
    <rPh sb="4" eb="6">
      <t>カイゼン</t>
    </rPh>
    <rPh sb="6" eb="8">
      <t>カサン</t>
    </rPh>
    <phoneticPr fontId="31"/>
  </si>
  <si>
    <t>同援処遇改善加算Ⅲ</t>
    <rPh sb="2" eb="4">
      <t>ショグウ</t>
    </rPh>
    <rPh sb="4" eb="6">
      <t>カイゼン</t>
    </rPh>
    <rPh sb="6" eb="8">
      <t>カサン</t>
    </rPh>
    <phoneticPr fontId="31"/>
  </si>
  <si>
    <t>同援処遇改善加算Ⅳ</t>
    <rPh sb="2" eb="4">
      <t>ショグウ</t>
    </rPh>
    <rPh sb="4" eb="6">
      <t>カイゼン</t>
    </rPh>
    <rPh sb="6" eb="8">
      <t>カサン</t>
    </rPh>
    <phoneticPr fontId="31"/>
  </si>
  <si>
    <t>同援処遇改善加算Ⅴ</t>
    <rPh sb="2" eb="4">
      <t>ショグウ</t>
    </rPh>
    <rPh sb="4" eb="6">
      <t>カイゼン</t>
    </rPh>
    <rPh sb="6" eb="8">
      <t>カサン</t>
    </rPh>
    <phoneticPr fontId="31"/>
  </si>
  <si>
    <t>同援処遇改善特別加算</t>
  </si>
  <si>
    <t>同援特定処遇改善加算Ⅰ</t>
    <phoneticPr fontId="1"/>
  </si>
  <si>
    <t>同援特定処遇改善加算Ⅱ</t>
    <phoneticPr fontId="1"/>
  </si>
  <si>
    <t>同援ベースアップ等支援加算</t>
    <phoneticPr fontId="31"/>
  </si>
  <si>
    <t>４  行動援護サービスコード表</t>
    <rPh sb="3" eb="5">
      <t>コウドウ</t>
    </rPh>
    <rPh sb="5" eb="7">
      <t>エンゴ</t>
    </rPh>
    <rPh sb="14" eb="15">
      <t>ヒョウ</t>
    </rPh>
    <phoneticPr fontId="31"/>
  </si>
  <si>
    <t>行動援護０．５</t>
    <phoneticPr fontId="31"/>
  </si>
  <si>
    <t>イ</t>
    <phoneticPr fontId="31"/>
  </si>
  <si>
    <t>30分未満</t>
    <phoneticPr fontId="31"/>
  </si>
  <si>
    <t>1日につき</t>
    <rPh sb="1" eb="2">
      <t>ニチ</t>
    </rPh>
    <phoneticPr fontId="31"/>
  </si>
  <si>
    <t>行動援護０．５・２人</t>
    <phoneticPr fontId="31"/>
  </si>
  <si>
    <t>２人目の行動援護従事者の場合</t>
    <rPh sb="1" eb="2">
      <t>ニン</t>
    </rPh>
    <rPh sb="2" eb="3">
      <t>メ</t>
    </rPh>
    <rPh sb="4" eb="6">
      <t>コウドウ</t>
    </rPh>
    <rPh sb="6" eb="8">
      <t>エンゴ</t>
    </rPh>
    <rPh sb="8" eb="11">
      <t>ジュウジシャ</t>
    </rPh>
    <rPh sb="12" eb="14">
      <t>バアイ</t>
    </rPh>
    <phoneticPr fontId="31"/>
  </si>
  <si>
    <t>行動援護０．５・未作成</t>
    <rPh sb="8" eb="11">
      <t>ミサクセイ</t>
    </rPh>
    <phoneticPr fontId="31"/>
  </si>
  <si>
    <t>支援計画シート等が未作成の場合</t>
    <rPh sb="0" eb="2">
      <t>シエン</t>
    </rPh>
    <rPh sb="2" eb="4">
      <t>ケイカク</t>
    </rPh>
    <rPh sb="7" eb="8">
      <t>トウ</t>
    </rPh>
    <rPh sb="9" eb="12">
      <t>ミサクセイ</t>
    </rPh>
    <rPh sb="13" eb="15">
      <t>バアイ</t>
    </rPh>
    <phoneticPr fontId="31"/>
  </si>
  <si>
    <t>行動援護０．５・未作成・２人</t>
    <phoneticPr fontId="31"/>
  </si>
  <si>
    <t>行動援護１．０</t>
    <phoneticPr fontId="31"/>
  </si>
  <si>
    <t>ロ</t>
    <phoneticPr fontId="31"/>
  </si>
  <si>
    <t>30分以上</t>
    <phoneticPr fontId="31"/>
  </si>
  <si>
    <t>行動援護１．０・２人</t>
    <phoneticPr fontId="31"/>
  </si>
  <si>
    <t>1時間未満</t>
    <phoneticPr fontId="31"/>
  </si>
  <si>
    <t>行動援護１．０・未作成</t>
    <phoneticPr fontId="31"/>
  </si>
  <si>
    <t>行動援護１．０・未作成・２人</t>
    <phoneticPr fontId="31"/>
  </si>
  <si>
    <t>行動援護１．５</t>
    <phoneticPr fontId="31"/>
  </si>
  <si>
    <t>ハ</t>
    <phoneticPr fontId="31"/>
  </si>
  <si>
    <t>1時間以上</t>
    <rPh sb="1" eb="3">
      <t>ジカン</t>
    </rPh>
    <phoneticPr fontId="31"/>
  </si>
  <si>
    <t>行動援護１．５・２人</t>
    <phoneticPr fontId="31"/>
  </si>
  <si>
    <t>1時間30分未満</t>
    <phoneticPr fontId="31"/>
  </si>
  <si>
    <t>行動援護１．５・未作成</t>
    <phoneticPr fontId="31"/>
  </si>
  <si>
    <t>行動援護１．５・未作成・２人</t>
    <phoneticPr fontId="31"/>
  </si>
  <si>
    <t>行動援護２．０</t>
    <phoneticPr fontId="31"/>
  </si>
  <si>
    <t>ニ</t>
    <phoneticPr fontId="31"/>
  </si>
  <si>
    <t>1時間30分以上</t>
    <rPh sb="1" eb="3">
      <t>ジカン</t>
    </rPh>
    <rPh sb="5" eb="6">
      <t>フン</t>
    </rPh>
    <rPh sb="6" eb="8">
      <t>イジョウ</t>
    </rPh>
    <phoneticPr fontId="31"/>
  </si>
  <si>
    <t>行動援護２．０・２人</t>
    <phoneticPr fontId="31"/>
  </si>
  <si>
    <t>2時間未満</t>
    <phoneticPr fontId="31"/>
  </si>
  <si>
    <t>行動援護２．０・未作成</t>
    <phoneticPr fontId="31"/>
  </si>
  <si>
    <t>行動援護２．０・未作成・２人</t>
    <phoneticPr fontId="31"/>
  </si>
  <si>
    <t>行動援護２．５</t>
    <phoneticPr fontId="31"/>
  </si>
  <si>
    <t>ホ</t>
    <phoneticPr fontId="31"/>
  </si>
  <si>
    <t>2時間以上</t>
    <rPh sb="1" eb="3">
      <t>ジカン</t>
    </rPh>
    <rPh sb="3" eb="5">
      <t>イジョウ</t>
    </rPh>
    <phoneticPr fontId="31"/>
  </si>
  <si>
    <t>行動援護２．５・２人</t>
    <phoneticPr fontId="31"/>
  </si>
  <si>
    <t>2時間30分未満</t>
    <phoneticPr fontId="31"/>
  </si>
  <si>
    <t>行動援護２．５・未作成</t>
    <phoneticPr fontId="31"/>
  </si>
  <si>
    <t>行動援護２．５・未作成・２人</t>
    <phoneticPr fontId="31"/>
  </si>
  <si>
    <t>行動援護３．０</t>
    <phoneticPr fontId="31"/>
  </si>
  <si>
    <t>ヘ</t>
    <phoneticPr fontId="31"/>
  </si>
  <si>
    <t>2時間30分以上</t>
    <rPh sb="1" eb="3">
      <t>ジカン</t>
    </rPh>
    <rPh sb="5" eb="6">
      <t>フン</t>
    </rPh>
    <rPh sb="6" eb="8">
      <t>イジョウ</t>
    </rPh>
    <phoneticPr fontId="31"/>
  </si>
  <si>
    <t>行動援護３．０・２人</t>
    <phoneticPr fontId="31"/>
  </si>
  <si>
    <t>3時間未満</t>
    <phoneticPr fontId="31"/>
  </si>
  <si>
    <t>行動援護３．０・未作成</t>
    <phoneticPr fontId="31"/>
  </si>
  <si>
    <t>行動援護３．０・未作成・２人</t>
    <phoneticPr fontId="31"/>
  </si>
  <si>
    <t>行動援護３．５</t>
    <phoneticPr fontId="31"/>
  </si>
  <si>
    <t>ト</t>
    <phoneticPr fontId="31"/>
  </si>
  <si>
    <t>3時間以上</t>
    <rPh sb="1" eb="3">
      <t>ジカン</t>
    </rPh>
    <rPh sb="3" eb="5">
      <t>イジョウ</t>
    </rPh>
    <phoneticPr fontId="31"/>
  </si>
  <si>
    <t>行動援護３．５・２人</t>
    <phoneticPr fontId="31"/>
  </si>
  <si>
    <t>3時間30分未満</t>
    <phoneticPr fontId="31"/>
  </si>
  <si>
    <t>行動援護３．５・未作成</t>
    <phoneticPr fontId="31"/>
  </si>
  <si>
    <t>行動援護３．５・未作成・２人</t>
    <phoneticPr fontId="31"/>
  </si>
  <si>
    <t>行動援護４．０</t>
    <phoneticPr fontId="31"/>
  </si>
  <si>
    <t>チ</t>
    <phoneticPr fontId="31"/>
  </si>
  <si>
    <t>3時間30分以上</t>
    <rPh sb="1" eb="3">
      <t>ジカン</t>
    </rPh>
    <rPh sb="5" eb="6">
      <t>フン</t>
    </rPh>
    <rPh sb="6" eb="8">
      <t>イジョウ</t>
    </rPh>
    <phoneticPr fontId="31"/>
  </si>
  <si>
    <t>行動援護４．０・２人</t>
    <phoneticPr fontId="31"/>
  </si>
  <si>
    <t>4時間未満</t>
    <phoneticPr fontId="31"/>
  </si>
  <si>
    <t>行動援護４．０・未作成</t>
    <phoneticPr fontId="31"/>
  </si>
  <si>
    <t>行動援護４．０・未作成・２人</t>
    <phoneticPr fontId="31"/>
  </si>
  <si>
    <t>行動援護４．５</t>
    <phoneticPr fontId="31"/>
  </si>
  <si>
    <t>リ</t>
    <phoneticPr fontId="31"/>
  </si>
  <si>
    <t>4時間以上</t>
    <rPh sb="1" eb="3">
      <t>ジカン</t>
    </rPh>
    <rPh sb="3" eb="5">
      <t>イジョウ</t>
    </rPh>
    <phoneticPr fontId="31"/>
  </si>
  <si>
    <t>行動援護４．５・２人</t>
    <phoneticPr fontId="31"/>
  </si>
  <si>
    <t>4時間30分未満</t>
    <phoneticPr fontId="31"/>
  </si>
  <si>
    <t>行動援護４．５・未作成</t>
    <phoneticPr fontId="31"/>
  </si>
  <si>
    <t>行動援護４．５・未作成・２人</t>
    <phoneticPr fontId="31"/>
  </si>
  <si>
    <t>行動援護５．０</t>
    <phoneticPr fontId="31"/>
  </si>
  <si>
    <t>ヌ</t>
    <phoneticPr fontId="31"/>
  </si>
  <si>
    <t>4時間30分以上</t>
    <rPh sb="1" eb="3">
      <t>ジカン</t>
    </rPh>
    <rPh sb="5" eb="6">
      <t>プン</t>
    </rPh>
    <rPh sb="6" eb="8">
      <t>イジョウ</t>
    </rPh>
    <phoneticPr fontId="31"/>
  </si>
  <si>
    <t>行動援護５．０・２人</t>
    <phoneticPr fontId="31"/>
  </si>
  <si>
    <t>5時間未満</t>
    <phoneticPr fontId="31"/>
  </si>
  <si>
    <t>行動援護５．０・未作成</t>
    <phoneticPr fontId="31"/>
  </si>
  <si>
    <t>行動援護５．０・未作成・２人</t>
    <phoneticPr fontId="31"/>
  </si>
  <si>
    <t>行動援護５．５</t>
    <phoneticPr fontId="31"/>
  </si>
  <si>
    <t>ル</t>
    <phoneticPr fontId="31"/>
  </si>
  <si>
    <t>5時間以上</t>
    <rPh sb="1" eb="3">
      <t>ジカン</t>
    </rPh>
    <phoneticPr fontId="31"/>
  </si>
  <si>
    <t>行動援護５．５・２人</t>
    <phoneticPr fontId="31"/>
  </si>
  <si>
    <t>5時間30分未満</t>
    <phoneticPr fontId="31"/>
  </si>
  <si>
    <t>行動援護５．５・未作成</t>
    <phoneticPr fontId="31"/>
  </si>
  <si>
    <t>行動援護５．５・未作成・２人</t>
    <phoneticPr fontId="31"/>
  </si>
  <si>
    <t>行動援護６．０</t>
    <phoneticPr fontId="31"/>
  </si>
  <si>
    <t>ヲ</t>
    <phoneticPr fontId="31"/>
  </si>
  <si>
    <t>5時間30分以上</t>
    <rPh sb="1" eb="3">
      <t>ジカン</t>
    </rPh>
    <rPh sb="5" eb="6">
      <t>フン</t>
    </rPh>
    <rPh sb="6" eb="8">
      <t>イジョウ</t>
    </rPh>
    <phoneticPr fontId="31"/>
  </si>
  <si>
    <t>行動援護６．０・２人</t>
    <phoneticPr fontId="31"/>
  </si>
  <si>
    <t>6時間未満</t>
    <phoneticPr fontId="31"/>
  </si>
  <si>
    <t>行動援護６．０・未作成</t>
    <phoneticPr fontId="31"/>
  </si>
  <si>
    <t>行動援護６．０・未作成・２人</t>
    <phoneticPr fontId="31"/>
  </si>
  <si>
    <t>行動援護６．５</t>
    <phoneticPr fontId="31"/>
  </si>
  <si>
    <t>ワ</t>
    <phoneticPr fontId="31"/>
  </si>
  <si>
    <t>6時間以上</t>
    <rPh sb="1" eb="3">
      <t>ジカン</t>
    </rPh>
    <rPh sb="3" eb="5">
      <t>イジョウ</t>
    </rPh>
    <phoneticPr fontId="31"/>
  </si>
  <si>
    <t>行動援護６．５・２人</t>
    <phoneticPr fontId="31"/>
  </si>
  <si>
    <t>6時間30分未満</t>
    <phoneticPr fontId="31"/>
  </si>
  <si>
    <t>行動援護６．５・未作成</t>
    <phoneticPr fontId="31"/>
  </si>
  <si>
    <t>行動援護６．５・未作成・２人</t>
    <phoneticPr fontId="31"/>
  </si>
  <si>
    <t>行動援護７．０</t>
    <phoneticPr fontId="31"/>
  </si>
  <si>
    <t>カ</t>
    <phoneticPr fontId="31"/>
  </si>
  <si>
    <t>6時間30分以上</t>
    <rPh sb="1" eb="3">
      <t>ジカン</t>
    </rPh>
    <rPh sb="5" eb="6">
      <t>フン</t>
    </rPh>
    <rPh sb="6" eb="8">
      <t>イジョウ</t>
    </rPh>
    <phoneticPr fontId="31"/>
  </si>
  <si>
    <t>行動援護７．０・２人</t>
    <phoneticPr fontId="31"/>
  </si>
  <si>
    <t>7時間未満</t>
    <phoneticPr fontId="31"/>
  </si>
  <si>
    <t>行動援護７．０・未作成</t>
    <phoneticPr fontId="31"/>
  </si>
  <si>
    <t>行動援護７．０・未作成・２人</t>
    <phoneticPr fontId="31"/>
  </si>
  <si>
    <t>行動援護７．５</t>
    <phoneticPr fontId="31"/>
  </si>
  <si>
    <t>ヨ</t>
    <phoneticPr fontId="31"/>
  </si>
  <si>
    <t>7時間以上</t>
    <rPh sb="1" eb="3">
      <t>ジカン</t>
    </rPh>
    <rPh sb="3" eb="5">
      <t>イジョウ</t>
    </rPh>
    <phoneticPr fontId="31"/>
  </si>
  <si>
    <t>行動援護７．５・２人</t>
    <phoneticPr fontId="31"/>
  </si>
  <si>
    <t>7時間30分未満</t>
    <phoneticPr fontId="31"/>
  </si>
  <si>
    <t>行動援護７．５・未作成</t>
    <phoneticPr fontId="31"/>
  </si>
  <si>
    <t>行動援護７．５・未作成・２人</t>
    <phoneticPr fontId="31"/>
  </si>
  <si>
    <t>行動援護８．０</t>
    <phoneticPr fontId="31"/>
  </si>
  <si>
    <t>タ</t>
    <phoneticPr fontId="31"/>
  </si>
  <si>
    <t>7時間30分以上</t>
    <rPh sb="1" eb="3">
      <t>ジカン</t>
    </rPh>
    <rPh sb="5" eb="6">
      <t>フン</t>
    </rPh>
    <rPh sb="6" eb="8">
      <t>イジョウ</t>
    </rPh>
    <phoneticPr fontId="31"/>
  </si>
  <si>
    <t>行動援護８．０・２人</t>
    <phoneticPr fontId="31"/>
  </si>
  <si>
    <t>行動援護８．０・未作成</t>
    <phoneticPr fontId="31"/>
  </si>
  <si>
    <t>行動援護８．０・未作成・２人</t>
    <phoneticPr fontId="31"/>
  </si>
  <si>
    <t>令和３年９月３０日までの上乗せ分（行援）</t>
    <phoneticPr fontId="1"/>
  </si>
  <si>
    <t>行援身体拘束廃止未実施減算</t>
    <phoneticPr fontId="1"/>
  </si>
  <si>
    <t>行援特定事業所加算Ⅰ</t>
    <rPh sb="2" eb="4">
      <t>トクテイ</t>
    </rPh>
    <rPh sb="4" eb="7">
      <t>ジギョウショ</t>
    </rPh>
    <rPh sb="7" eb="9">
      <t>カサン</t>
    </rPh>
    <phoneticPr fontId="31"/>
  </si>
  <si>
    <t>行援特定事業所加算Ⅱ</t>
    <rPh sb="2" eb="4">
      <t>トクテイ</t>
    </rPh>
    <rPh sb="4" eb="7">
      <t>ジギョウショ</t>
    </rPh>
    <rPh sb="7" eb="9">
      <t>カサン</t>
    </rPh>
    <phoneticPr fontId="31"/>
  </si>
  <si>
    <t>行援特定事業所加算Ⅲ</t>
    <rPh sb="2" eb="4">
      <t>トクテイ</t>
    </rPh>
    <rPh sb="4" eb="7">
      <t>ジギョウショ</t>
    </rPh>
    <rPh sb="7" eb="9">
      <t>カサン</t>
    </rPh>
    <phoneticPr fontId="31"/>
  </si>
  <si>
    <t>行援特定事業所加算Ⅳ</t>
    <rPh sb="2" eb="4">
      <t>トクテイ</t>
    </rPh>
    <rPh sb="4" eb="7">
      <t>ジギョウショ</t>
    </rPh>
    <rPh sb="7" eb="9">
      <t>カサン</t>
    </rPh>
    <phoneticPr fontId="31"/>
  </si>
  <si>
    <t>行援特地加算</t>
    <phoneticPr fontId="31"/>
  </si>
  <si>
    <t>行援緊急時対応加算</t>
    <phoneticPr fontId="31"/>
  </si>
  <si>
    <t>行援緊急時対応加算（地域生活拠点）</t>
    <phoneticPr fontId="31"/>
  </si>
  <si>
    <t>行援喀痰吸引等支援体制加算</t>
    <phoneticPr fontId="31"/>
  </si>
  <si>
    <t>行援初回加算</t>
    <rPh sb="2" eb="4">
      <t>ショカイ</t>
    </rPh>
    <rPh sb="4" eb="6">
      <t>カサン</t>
    </rPh>
    <phoneticPr fontId="31"/>
  </si>
  <si>
    <t>行援上限額管理加算</t>
    <rPh sb="0" eb="1">
      <t>ギョウ</t>
    </rPh>
    <rPh sb="1" eb="2">
      <t>エン</t>
    </rPh>
    <phoneticPr fontId="31"/>
  </si>
  <si>
    <t>行援行動障害支援指導連携加算</t>
    <rPh sb="0" eb="1">
      <t>ギョウ</t>
    </rPh>
    <rPh sb="1" eb="2">
      <t>エン</t>
    </rPh>
    <rPh sb="8" eb="10">
      <t>シドウ</t>
    </rPh>
    <phoneticPr fontId="31"/>
  </si>
  <si>
    <t>行動障害支援指導連携加算（移行するに日の属する月につき1回を限度）</t>
    <phoneticPr fontId="31"/>
  </si>
  <si>
    <t>行援処遇改善加算Ⅰ</t>
    <rPh sb="2" eb="4">
      <t>ショグウ</t>
    </rPh>
    <rPh sb="4" eb="6">
      <t>カイゼン</t>
    </rPh>
    <rPh sb="6" eb="8">
      <t>カサン</t>
    </rPh>
    <phoneticPr fontId="31"/>
  </si>
  <si>
    <t>行援処遇改善加算Ⅱ</t>
    <rPh sb="2" eb="4">
      <t>ショグウ</t>
    </rPh>
    <rPh sb="4" eb="6">
      <t>カイゼン</t>
    </rPh>
    <rPh sb="6" eb="8">
      <t>カサン</t>
    </rPh>
    <phoneticPr fontId="31"/>
  </si>
  <si>
    <t>行援処遇改善加算Ⅲ</t>
    <rPh sb="2" eb="4">
      <t>ショグウ</t>
    </rPh>
    <rPh sb="4" eb="6">
      <t>カイゼン</t>
    </rPh>
    <rPh sb="6" eb="8">
      <t>カサン</t>
    </rPh>
    <phoneticPr fontId="31"/>
  </si>
  <si>
    <t>行援処遇改善加算Ⅳ</t>
    <rPh sb="2" eb="4">
      <t>ショグウ</t>
    </rPh>
    <rPh sb="4" eb="6">
      <t>カイゼン</t>
    </rPh>
    <rPh sb="6" eb="8">
      <t>カサン</t>
    </rPh>
    <phoneticPr fontId="31"/>
  </si>
  <si>
    <t>行援処遇改善加算Ⅴ</t>
    <rPh sb="2" eb="4">
      <t>ショグウ</t>
    </rPh>
    <rPh sb="4" eb="6">
      <t>カイゼン</t>
    </rPh>
    <rPh sb="6" eb="8">
      <t>カサン</t>
    </rPh>
    <phoneticPr fontId="31"/>
  </si>
  <si>
    <t>行援処遇改善特別加算</t>
  </si>
  <si>
    <t>行援特定処遇改善加算Ⅰ</t>
    <rPh sb="2" eb="4">
      <t>トクテイ</t>
    </rPh>
    <phoneticPr fontId="1"/>
  </si>
  <si>
    <t>福祉・介護職員等特定処遇改善加算</t>
    <rPh sb="7" eb="8">
      <t>トウ</t>
    </rPh>
    <rPh sb="8" eb="10">
      <t>トクテイ</t>
    </rPh>
    <phoneticPr fontId="31"/>
  </si>
  <si>
    <t>行援特定処遇改善加算Ⅱ</t>
    <phoneticPr fontId="1"/>
  </si>
  <si>
    <t>行援ベースアップ等支援加算</t>
    <phoneticPr fontId="1"/>
  </si>
  <si>
    <t>５  療養介護サービスコード表</t>
    <rPh sb="3" eb="5">
      <t>リョウヨウ</t>
    </rPh>
    <rPh sb="5" eb="7">
      <t>カイゴ</t>
    </rPh>
    <rPh sb="14" eb="15">
      <t>ヒョウ</t>
    </rPh>
    <phoneticPr fontId="31"/>
  </si>
  <si>
    <t>項目</t>
    <rPh sb="0" eb="2">
      <t>コウモク</t>
    </rPh>
    <phoneticPr fontId="1"/>
  </si>
  <si>
    <t>療養介護Ⅰ１</t>
    <rPh sb="0" eb="2">
      <t>リョウヨウ</t>
    </rPh>
    <rPh sb="2" eb="4">
      <t>カイゴ</t>
    </rPh>
    <phoneticPr fontId="31"/>
  </si>
  <si>
    <t>イ　療養介護サービス費</t>
    <phoneticPr fontId="31"/>
  </si>
  <si>
    <t>（１） 療養介護サービス費（Ⅰ）</t>
    <rPh sb="4" eb="6">
      <t>リョウヨウ</t>
    </rPh>
    <rPh sb="6" eb="8">
      <t>カイゴ</t>
    </rPh>
    <rPh sb="12" eb="13">
      <t>ヒ</t>
    </rPh>
    <phoneticPr fontId="31"/>
  </si>
  <si>
    <t>(一)　定員４０人以下</t>
    <rPh sb="4" eb="6">
      <t>テイイン</t>
    </rPh>
    <rPh sb="9" eb="11">
      <t>イカ</t>
    </rPh>
    <phoneticPr fontId="31"/>
  </si>
  <si>
    <t>療養介護Ⅰ１・未計画１</t>
    <rPh sb="0" eb="2">
      <t>リョウヨウ</t>
    </rPh>
    <rPh sb="2" eb="4">
      <t>カイゴ</t>
    </rPh>
    <phoneticPr fontId="31"/>
  </si>
  <si>
    <t>療養介護計画が作成されない場合</t>
    <phoneticPr fontId="4"/>
  </si>
  <si>
    <t>減算が適用される月から２月目まで</t>
    <phoneticPr fontId="4"/>
  </si>
  <si>
    <t>療養介護Ⅰ１・未計画２</t>
    <rPh sb="0" eb="2">
      <t>リョウヨウ</t>
    </rPh>
    <rPh sb="2" eb="4">
      <t>カイゴ</t>
    </rPh>
    <phoneticPr fontId="31"/>
  </si>
  <si>
    <t>３月以上連続して減算の場合</t>
    <phoneticPr fontId="4"/>
  </si>
  <si>
    <t>療養介護Ⅰ１・地公体</t>
    <rPh sb="0" eb="2">
      <t>リョウヨウ</t>
    </rPh>
    <rPh sb="2" eb="4">
      <t>カイゴ</t>
    </rPh>
    <rPh sb="7" eb="8">
      <t>チ</t>
    </rPh>
    <rPh sb="8" eb="9">
      <t>コウ</t>
    </rPh>
    <rPh sb="9" eb="10">
      <t>タイ</t>
    </rPh>
    <phoneticPr fontId="31"/>
  </si>
  <si>
    <t>地方公共団体が設置する指定療養介護事業所の場合</t>
    <phoneticPr fontId="31"/>
  </si>
  <si>
    <t>療養介護Ⅰ１・地公体・未計画１</t>
    <rPh sb="0" eb="2">
      <t>リョウヨウ</t>
    </rPh>
    <rPh sb="2" eb="4">
      <t>カイゴ</t>
    </rPh>
    <rPh sb="7" eb="8">
      <t>チ</t>
    </rPh>
    <rPh sb="8" eb="9">
      <t>コウ</t>
    </rPh>
    <rPh sb="9" eb="10">
      <t>タイ</t>
    </rPh>
    <phoneticPr fontId="31"/>
  </si>
  <si>
    <t>療養介護Ⅰ１・地公体・未計画２</t>
    <rPh sb="0" eb="2">
      <t>リョウヨウ</t>
    </rPh>
    <rPh sb="2" eb="4">
      <t>カイゴ</t>
    </rPh>
    <rPh sb="7" eb="8">
      <t>チ</t>
    </rPh>
    <rPh sb="8" eb="9">
      <t>コウ</t>
    </rPh>
    <rPh sb="9" eb="10">
      <t>タイ</t>
    </rPh>
    <phoneticPr fontId="31"/>
  </si>
  <si>
    <t>療養介護Ⅰ２</t>
    <rPh sb="0" eb="2">
      <t>リョウヨウ</t>
    </rPh>
    <rPh sb="2" eb="4">
      <t>カイゴ</t>
    </rPh>
    <phoneticPr fontId="31"/>
  </si>
  <si>
    <t>(二)　定員４１人以上６０人以下</t>
    <rPh sb="4" eb="6">
      <t>テイイン</t>
    </rPh>
    <rPh sb="9" eb="11">
      <t>イジョウ</t>
    </rPh>
    <rPh sb="14" eb="16">
      <t>イカ</t>
    </rPh>
    <phoneticPr fontId="31"/>
  </si>
  <si>
    <t>療養介護Ⅰ２・未計画１</t>
    <rPh sb="0" eb="2">
      <t>リョウヨウ</t>
    </rPh>
    <rPh sb="2" eb="4">
      <t>カイゴ</t>
    </rPh>
    <phoneticPr fontId="31"/>
  </si>
  <si>
    <t>療養介護Ⅰ２・未計画２</t>
    <rPh sb="0" eb="2">
      <t>リョウヨウ</t>
    </rPh>
    <rPh sb="2" eb="4">
      <t>カイゴ</t>
    </rPh>
    <phoneticPr fontId="31"/>
  </si>
  <si>
    <t>療養介護Ⅰ２・地公体</t>
    <rPh sb="0" eb="2">
      <t>リョウヨウ</t>
    </rPh>
    <rPh sb="2" eb="4">
      <t>カイゴ</t>
    </rPh>
    <rPh sb="7" eb="8">
      <t>チ</t>
    </rPh>
    <rPh sb="8" eb="9">
      <t>コウ</t>
    </rPh>
    <rPh sb="9" eb="10">
      <t>タイ</t>
    </rPh>
    <phoneticPr fontId="31"/>
  </si>
  <si>
    <t>療養介護Ⅰ２・地公体・未計画１</t>
    <rPh sb="0" eb="2">
      <t>リョウヨウ</t>
    </rPh>
    <rPh sb="2" eb="4">
      <t>カイゴ</t>
    </rPh>
    <rPh sb="7" eb="8">
      <t>チ</t>
    </rPh>
    <rPh sb="8" eb="9">
      <t>コウ</t>
    </rPh>
    <rPh sb="9" eb="10">
      <t>タイ</t>
    </rPh>
    <phoneticPr fontId="31"/>
  </si>
  <si>
    <t>療養介護Ⅰ２・地公体・未計画２</t>
    <rPh sb="0" eb="2">
      <t>リョウヨウ</t>
    </rPh>
    <rPh sb="2" eb="4">
      <t>カイゴ</t>
    </rPh>
    <rPh sb="7" eb="8">
      <t>チ</t>
    </rPh>
    <rPh sb="8" eb="9">
      <t>コウ</t>
    </rPh>
    <rPh sb="9" eb="10">
      <t>タイ</t>
    </rPh>
    <phoneticPr fontId="31"/>
  </si>
  <si>
    <t>療養介護Ⅰ３</t>
    <rPh sb="0" eb="2">
      <t>リョウヨウ</t>
    </rPh>
    <rPh sb="2" eb="4">
      <t>カイゴ</t>
    </rPh>
    <phoneticPr fontId="31"/>
  </si>
  <si>
    <t>(三)　定員６１人以上８０人以下</t>
    <rPh sb="4" eb="6">
      <t>テイイン</t>
    </rPh>
    <rPh sb="9" eb="11">
      <t>イジョウ</t>
    </rPh>
    <rPh sb="14" eb="16">
      <t>イカ</t>
    </rPh>
    <phoneticPr fontId="31"/>
  </si>
  <si>
    <t>療養介護Ⅰ３・未計画１</t>
    <rPh sb="0" eb="2">
      <t>リョウヨウ</t>
    </rPh>
    <rPh sb="2" eb="4">
      <t>カイゴ</t>
    </rPh>
    <phoneticPr fontId="31"/>
  </si>
  <si>
    <t>療養介護Ⅰ３・未計画２</t>
    <rPh sb="0" eb="2">
      <t>リョウヨウ</t>
    </rPh>
    <rPh sb="2" eb="4">
      <t>カイゴ</t>
    </rPh>
    <phoneticPr fontId="31"/>
  </si>
  <si>
    <t>療養介護Ⅰ３・地公体</t>
    <rPh sb="0" eb="2">
      <t>リョウヨウ</t>
    </rPh>
    <rPh sb="2" eb="4">
      <t>カイゴ</t>
    </rPh>
    <rPh sb="7" eb="8">
      <t>チ</t>
    </rPh>
    <rPh sb="8" eb="9">
      <t>コウ</t>
    </rPh>
    <rPh sb="9" eb="10">
      <t>タイ</t>
    </rPh>
    <phoneticPr fontId="31"/>
  </si>
  <si>
    <t>療養介護Ⅰ３・地公体・未計画１</t>
    <rPh sb="0" eb="2">
      <t>リョウヨウ</t>
    </rPh>
    <rPh sb="2" eb="4">
      <t>カイゴ</t>
    </rPh>
    <rPh sb="7" eb="8">
      <t>チ</t>
    </rPh>
    <rPh sb="8" eb="9">
      <t>コウ</t>
    </rPh>
    <rPh sb="9" eb="10">
      <t>タイ</t>
    </rPh>
    <phoneticPr fontId="31"/>
  </si>
  <si>
    <t>療養介護Ⅰ３・地公体・未計画２</t>
    <rPh sb="0" eb="2">
      <t>リョウヨウ</t>
    </rPh>
    <rPh sb="2" eb="4">
      <t>カイゴ</t>
    </rPh>
    <rPh sb="7" eb="8">
      <t>チ</t>
    </rPh>
    <rPh sb="8" eb="9">
      <t>コウ</t>
    </rPh>
    <rPh sb="9" eb="10">
      <t>タイ</t>
    </rPh>
    <phoneticPr fontId="31"/>
  </si>
  <si>
    <t>療養介護Ⅰ４</t>
    <rPh sb="0" eb="2">
      <t>リョウヨウ</t>
    </rPh>
    <rPh sb="2" eb="4">
      <t>カイゴ</t>
    </rPh>
    <phoneticPr fontId="31"/>
  </si>
  <si>
    <t>(四)　定員８１人以上</t>
    <rPh sb="4" eb="6">
      <t>テイイン</t>
    </rPh>
    <rPh sb="9" eb="11">
      <t>イジョウ</t>
    </rPh>
    <phoneticPr fontId="31"/>
  </si>
  <si>
    <t>療養介護Ⅰ４・未計画１</t>
    <rPh sb="0" eb="2">
      <t>リョウヨウ</t>
    </rPh>
    <rPh sb="2" eb="4">
      <t>カイゴ</t>
    </rPh>
    <phoneticPr fontId="31"/>
  </si>
  <si>
    <t>療養介護Ⅰ４・未計画２</t>
    <rPh sb="0" eb="2">
      <t>リョウヨウ</t>
    </rPh>
    <rPh sb="2" eb="4">
      <t>カイゴ</t>
    </rPh>
    <phoneticPr fontId="31"/>
  </si>
  <si>
    <t>療養介護Ⅰ４・地公体</t>
    <rPh sb="0" eb="2">
      <t>リョウヨウ</t>
    </rPh>
    <rPh sb="2" eb="4">
      <t>カイゴ</t>
    </rPh>
    <rPh sb="7" eb="8">
      <t>チ</t>
    </rPh>
    <rPh sb="8" eb="9">
      <t>コウ</t>
    </rPh>
    <rPh sb="9" eb="10">
      <t>タイ</t>
    </rPh>
    <phoneticPr fontId="31"/>
  </si>
  <si>
    <t>療養介護Ⅰ４・地公体・未計画１</t>
    <rPh sb="0" eb="2">
      <t>リョウヨウ</t>
    </rPh>
    <rPh sb="2" eb="4">
      <t>カイゴ</t>
    </rPh>
    <rPh sb="7" eb="8">
      <t>チ</t>
    </rPh>
    <rPh sb="8" eb="9">
      <t>コウ</t>
    </rPh>
    <rPh sb="9" eb="10">
      <t>タイ</t>
    </rPh>
    <phoneticPr fontId="31"/>
  </si>
  <si>
    <t>療養介護Ⅰ４・地公体・未計画２</t>
    <rPh sb="0" eb="2">
      <t>リョウヨウ</t>
    </rPh>
    <rPh sb="2" eb="4">
      <t>カイゴ</t>
    </rPh>
    <rPh sb="7" eb="8">
      <t>チ</t>
    </rPh>
    <rPh sb="8" eb="9">
      <t>コウ</t>
    </rPh>
    <rPh sb="9" eb="10">
      <t>タイ</t>
    </rPh>
    <phoneticPr fontId="31"/>
  </si>
  <si>
    <t>療養介護Ⅱ１</t>
    <rPh sb="0" eb="2">
      <t>リョウヨウ</t>
    </rPh>
    <rPh sb="2" eb="4">
      <t>カイゴ</t>
    </rPh>
    <phoneticPr fontId="31"/>
  </si>
  <si>
    <t>（２）療養介護サービス費（Ⅱ）</t>
    <rPh sb="3" eb="5">
      <t>リョウヨウ</t>
    </rPh>
    <rPh sb="5" eb="7">
      <t>カイゴ</t>
    </rPh>
    <rPh sb="11" eb="12">
      <t>ヒ</t>
    </rPh>
    <phoneticPr fontId="31"/>
  </si>
  <si>
    <t>療養介護Ⅱ１・未計画１</t>
    <rPh sb="0" eb="2">
      <t>リョウヨウ</t>
    </rPh>
    <rPh sb="2" eb="4">
      <t>カイゴ</t>
    </rPh>
    <phoneticPr fontId="31"/>
  </si>
  <si>
    <t>療養介護Ⅱ１・未計画２</t>
    <rPh sb="0" eb="2">
      <t>リョウヨウ</t>
    </rPh>
    <rPh sb="2" eb="4">
      <t>カイゴ</t>
    </rPh>
    <phoneticPr fontId="31"/>
  </si>
  <si>
    <t>療養介護Ⅱ１・地公体</t>
    <rPh sb="0" eb="2">
      <t>リョウヨウ</t>
    </rPh>
    <rPh sb="2" eb="4">
      <t>カイゴ</t>
    </rPh>
    <rPh sb="7" eb="8">
      <t>チ</t>
    </rPh>
    <rPh sb="8" eb="9">
      <t>コウ</t>
    </rPh>
    <rPh sb="9" eb="10">
      <t>タイ</t>
    </rPh>
    <phoneticPr fontId="31"/>
  </si>
  <si>
    <t>療養介護Ⅱ１・地公体・未計画１</t>
    <rPh sb="0" eb="2">
      <t>リョウヨウ</t>
    </rPh>
    <rPh sb="2" eb="4">
      <t>カイゴ</t>
    </rPh>
    <rPh sb="7" eb="8">
      <t>チ</t>
    </rPh>
    <rPh sb="8" eb="9">
      <t>コウ</t>
    </rPh>
    <rPh sb="9" eb="10">
      <t>タイ</t>
    </rPh>
    <phoneticPr fontId="31"/>
  </si>
  <si>
    <t>療養介護Ⅱ１・地公体・未計画２</t>
    <rPh sb="0" eb="2">
      <t>リョウヨウ</t>
    </rPh>
    <rPh sb="2" eb="4">
      <t>カイゴ</t>
    </rPh>
    <rPh sb="7" eb="8">
      <t>チ</t>
    </rPh>
    <rPh sb="8" eb="9">
      <t>コウ</t>
    </rPh>
    <rPh sb="9" eb="10">
      <t>タイ</t>
    </rPh>
    <phoneticPr fontId="31"/>
  </si>
  <si>
    <t>療養介護Ⅱ２</t>
    <rPh sb="0" eb="2">
      <t>リョウヨウ</t>
    </rPh>
    <rPh sb="2" eb="4">
      <t>カイゴ</t>
    </rPh>
    <phoneticPr fontId="31"/>
  </si>
  <si>
    <t>療養介護Ⅱ２・未計画１</t>
    <rPh sb="0" eb="2">
      <t>リョウヨウ</t>
    </rPh>
    <rPh sb="2" eb="4">
      <t>カイゴ</t>
    </rPh>
    <phoneticPr fontId="31"/>
  </si>
  <si>
    <t>療養介護Ⅱ２・未計画２</t>
    <rPh sb="0" eb="2">
      <t>リョウヨウ</t>
    </rPh>
    <rPh sb="2" eb="4">
      <t>カイゴ</t>
    </rPh>
    <phoneticPr fontId="31"/>
  </si>
  <si>
    <t>療養介護Ⅱ２・地公体</t>
    <rPh sb="0" eb="2">
      <t>リョウヨウ</t>
    </rPh>
    <rPh sb="2" eb="4">
      <t>カイゴ</t>
    </rPh>
    <rPh sb="7" eb="8">
      <t>チ</t>
    </rPh>
    <rPh sb="8" eb="9">
      <t>コウ</t>
    </rPh>
    <rPh sb="9" eb="10">
      <t>タイ</t>
    </rPh>
    <phoneticPr fontId="31"/>
  </si>
  <si>
    <t>療養介護Ⅱ２・地公体・未計画１</t>
    <rPh sb="0" eb="2">
      <t>リョウヨウ</t>
    </rPh>
    <rPh sb="2" eb="4">
      <t>カイゴ</t>
    </rPh>
    <rPh sb="7" eb="8">
      <t>チ</t>
    </rPh>
    <rPh sb="8" eb="9">
      <t>コウ</t>
    </rPh>
    <rPh sb="9" eb="10">
      <t>タイ</t>
    </rPh>
    <phoneticPr fontId="31"/>
  </si>
  <si>
    <t>療養介護Ⅱ２・地公体・未計画２</t>
    <rPh sb="0" eb="2">
      <t>リョウヨウ</t>
    </rPh>
    <rPh sb="2" eb="4">
      <t>カイゴ</t>
    </rPh>
    <rPh sb="7" eb="8">
      <t>チ</t>
    </rPh>
    <rPh sb="8" eb="9">
      <t>コウ</t>
    </rPh>
    <rPh sb="9" eb="10">
      <t>タイ</t>
    </rPh>
    <phoneticPr fontId="31"/>
  </si>
  <si>
    <t>療養介護Ⅱ３</t>
    <rPh sb="0" eb="2">
      <t>リョウヨウ</t>
    </rPh>
    <rPh sb="2" eb="4">
      <t>カイゴ</t>
    </rPh>
    <phoneticPr fontId="31"/>
  </si>
  <si>
    <t>療養介護Ⅱ３・未計画１</t>
    <rPh sb="0" eb="2">
      <t>リョウヨウ</t>
    </rPh>
    <rPh sb="2" eb="4">
      <t>カイゴ</t>
    </rPh>
    <phoneticPr fontId="31"/>
  </si>
  <si>
    <t>療養介護Ⅱ３・未計画２</t>
    <rPh sb="0" eb="2">
      <t>リョウヨウ</t>
    </rPh>
    <rPh sb="2" eb="4">
      <t>カイゴ</t>
    </rPh>
    <phoneticPr fontId="31"/>
  </si>
  <si>
    <t>療養介護Ⅱ３・地公体</t>
    <rPh sb="0" eb="2">
      <t>リョウヨウ</t>
    </rPh>
    <rPh sb="2" eb="4">
      <t>カイゴ</t>
    </rPh>
    <rPh sb="7" eb="8">
      <t>チ</t>
    </rPh>
    <rPh sb="8" eb="9">
      <t>コウ</t>
    </rPh>
    <rPh sb="9" eb="10">
      <t>タイ</t>
    </rPh>
    <phoneticPr fontId="31"/>
  </si>
  <si>
    <t>療養介護Ⅱ３・地公体・未計画１</t>
    <rPh sb="0" eb="2">
      <t>リョウヨウ</t>
    </rPh>
    <rPh sb="2" eb="4">
      <t>カイゴ</t>
    </rPh>
    <rPh sb="7" eb="8">
      <t>チ</t>
    </rPh>
    <rPh sb="8" eb="9">
      <t>コウ</t>
    </rPh>
    <rPh sb="9" eb="10">
      <t>タイ</t>
    </rPh>
    <phoneticPr fontId="31"/>
  </si>
  <si>
    <t>療養介護Ⅱ３・地公体・未計画２</t>
    <rPh sb="0" eb="2">
      <t>リョウヨウ</t>
    </rPh>
    <rPh sb="2" eb="4">
      <t>カイゴ</t>
    </rPh>
    <rPh sb="7" eb="8">
      <t>チ</t>
    </rPh>
    <rPh sb="8" eb="9">
      <t>コウ</t>
    </rPh>
    <rPh sb="9" eb="10">
      <t>タイ</t>
    </rPh>
    <phoneticPr fontId="31"/>
  </si>
  <si>
    <t>療養介護Ⅱ４</t>
    <rPh sb="0" eb="2">
      <t>リョウヨウ</t>
    </rPh>
    <rPh sb="2" eb="4">
      <t>カイゴ</t>
    </rPh>
    <phoneticPr fontId="31"/>
  </si>
  <si>
    <t>療養介護Ⅱ４・未計画１</t>
    <rPh sb="0" eb="2">
      <t>リョウヨウ</t>
    </rPh>
    <rPh sb="2" eb="4">
      <t>カイゴ</t>
    </rPh>
    <phoneticPr fontId="31"/>
  </si>
  <si>
    <t>療養介護Ⅱ４・未計画２</t>
    <rPh sb="0" eb="2">
      <t>リョウヨウ</t>
    </rPh>
    <rPh sb="2" eb="4">
      <t>カイゴ</t>
    </rPh>
    <phoneticPr fontId="31"/>
  </si>
  <si>
    <t>療養介護Ⅱ４・地公体</t>
    <rPh sb="0" eb="2">
      <t>リョウヨウ</t>
    </rPh>
    <rPh sb="2" eb="4">
      <t>カイゴ</t>
    </rPh>
    <rPh sb="7" eb="8">
      <t>チ</t>
    </rPh>
    <rPh sb="8" eb="9">
      <t>コウ</t>
    </rPh>
    <rPh sb="9" eb="10">
      <t>タイ</t>
    </rPh>
    <phoneticPr fontId="31"/>
  </si>
  <si>
    <t>療養介護Ⅱ４・地公体・未計画１</t>
    <rPh sb="0" eb="2">
      <t>リョウヨウ</t>
    </rPh>
    <rPh sb="2" eb="4">
      <t>カイゴ</t>
    </rPh>
    <rPh sb="7" eb="8">
      <t>チ</t>
    </rPh>
    <rPh sb="8" eb="9">
      <t>コウ</t>
    </rPh>
    <rPh sb="9" eb="10">
      <t>タイ</t>
    </rPh>
    <phoneticPr fontId="31"/>
  </si>
  <si>
    <t>療養介護Ⅱ４・地公体・未計画２</t>
    <rPh sb="0" eb="2">
      <t>リョウヨウ</t>
    </rPh>
    <rPh sb="2" eb="4">
      <t>カイゴ</t>
    </rPh>
    <rPh sb="7" eb="8">
      <t>チ</t>
    </rPh>
    <rPh sb="8" eb="9">
      <t>コウ</t>
    </rPh>
    <rPh sb="9" eb="10">
      <t>タイ</t>
    </rPh>
    <phoneticPr fontId="31"/>
  </si>
  <si>
    <t>療養介護Ⅲ１</t>
    <rPh sb="0" eb="2">
      <t>リョウヨウ</t>
    </rPh>
    <rPh sb="2" eb="4">
      <t>カイゴ</t>
    </rPh>
    <phoneticPr fontId="31"/>
  </si>
  <si>
    <t>（３）療養介護サービス費（Ⅲ）</t>
    <rPh sb="3" eb="5">
      <t>リョウヨウ</t>
    </rPh>
    <rPh sb="5" eb="7">
      <t>カイゴ</t>
    </rPh>
    <rPh sb="11" eb="12">
      <t>ヒ</t>
    </rPh>
    <phoneticPr fontId="31"/>
  </si>
  <si>
    <t>療養介護Ⅲ１・未計画１</t>
    <rPh sb="0" eb="2">
      <t>リョウヨウ</t>
    </rPh>
    <rPh sb="2" eb="4">
      <t>カイゴ</t>
    </rPh>
    <phoneticPr fontId="31"/>
  </si>
  <si>
    <t>療養介護Ⅲ１・未計画２</t>
    <rPh sb="0" eb="2">
      <t>リョウヨウ</t>
    </rPh>
    <rPh sb="2" eb="4">
      <t>カイゴ</t>
    </rPh>
    <phoneticPr fontId="31"/>
  </si>
  <si>
    <t>療養介護Ⅲ１・地公体</t>
    <rPh sb="0" eb="2">
      <t>リョウヨウ</t>
    </rPh>
    <rPh sb="2" eb="4">
      <t>カイゴ</t>
    </rPh>
    <rPh sb="7" eb="8">
      <t>チ</t>
    </rPh>
    <rPh sb="8" eb="9">
      <t>コウ</t>
    </rPh>
    <rPh sb="9" eb="10">
      <t>タイ</t>
    </rPh>
    <phoneticPr fontId="31"/>
  </si>
  <si>
    <t>療養介護Ⅲ１・地公体・未計画１</t>
    <rPh sb="0" eb="2">
      <t>リョウヨウ</t>
    </rPh>
    <rPh sb="2" eb="4">
      <t>カイゴ</t>
    </rPh>
    <rPh sb="7" eb="8">
      <t>チ</t>
    </rPh>
    <rPh sb="8" eb="9">
      <t>コウ</t>
    </rPh>
    <rPh sb="9" eb="10">
      <t>タイ</t>
    </rPh>
    <phoneticPr fontId="31"/>
  </si>
  <si>
    <t>療養介護Ⅲ１・地公体・未計画２</t>
    <rPh sb="0" eb="2">
      <t>リョウヨウ</t>
    </rPh>
    <rPh sb="2" eb="4">
      <t>カイゴ</t>
    </rPh>
    <rPh sb="7" eb="8">
      <t>チ</t>
    </rPh>
    <rPh sb="8" eb="9">
      <t>コウ</t>
    </rPh>
    <rPh sb="9" eb="10">
      <t>タイ</t>
    </rPh>
    <phoneticPr fontId="31"/>
  </si>
  <si>
    <t>療養介護Ⅲ２</t>
    <rPh sb="0" eb="2">
      <t>リョウヨウ</t>
    </rPh>
    <rPh sb="2" eb="4">
      <t>カイゴ</t>
    </rPh>
    <phoneticPr fontId="31"/>
  </si>
  <si>
    <t>療養介護Ⅲ２・未計画１</t>
    <rPh sb="0" eb="2">
      <t>リョウヨウ</t>
    </rPh>
    <rPh sb="2" eb="4">
      <t>カイゴ</t>
    </rPh>
    <phoneticPr fontId="31"/>
  </si>
  <si>
    <t>療養介護Ⅲ２・未計画２</t>
    <rPh sb="0" eb="2">
      <t>リョウヨウ</t>
    </rPh>
    <rPh sb="2" eb="4">
      <t>カイゴ</t>
    </rPh>
    <phoneticPr fontId="31"/>
  </si>
  <si>
    <t>療養介護Ⅲ２・地公体</t>
    <rPh sb="0" eb="2">
      <t>リョウヨウ</t>
    </rPh>
    <rPh sb="2" eb="4">
      <t>カイゴ</t>
    </rPh>
    <rPh sb="7" eb="8">
      <t>チ</t>
    </rPh>
    <rPh sb="8" eb="9">
      <t>コウ</t>
    </rPh>
    <rPh sb="9" eb="10">
      <t>タイ</t>
    </rPh>
    <phoneticPr fontId="31"/>
  </si>
  <si>
    <t>療養介護Ⅲ２・地公体・未計画１</t>
    <rPh sb="0" eb="2">
      <t>リョウヨウ</t>
    </rPh>
    <rPh sb="2" eb="4">
      <t>カイゴ</t>
    </rPh>
    <rPh sb="7" eb="8">
      <t>チ</t>
    </rPh>
    <rPh sb="8" eb="9">
      <t>コウ</t>
    </rPh>
    <rPh sb="9" eb="10">
      <t>タイ</t>
    </rPh>
    <phoneticPr fontId="31"/>
  </si>
  <si>
    <t>療養介護Ⅲ２・地公体・未計画２</t>
    <rPh sb="0" eb="2">
      <t>リョウヨウ</t>
    </rPh>
    <rPh sb="2" eb="4">
      <t>カイゴ</t>
    </rPh>
    <rPh sb="7" eb="8">
      <t>チ</t>
    </rPh>
    <rPh sb="8" eb="9">
      <t>コウ</t>
    </rPh>
    <rPh sb="9" eb="10">
      <t>タイ</t>
    </rPh>
    <phoneticPr fontId="31"/>
  </si>
  <si>
    <t>療養介護Ⅲ３</t>
    <rPh sb="0" eb="2">
      <t>リョウヨウ</t>
    </rPh>
    <rPh sb="2" eb="4">
      <t>カイゴ</t>
    </rPh>
    <phoneticPr fontId="31"/>
  </si>
  <si>
    <t>療養介護Ⅲ３・未計画１</t>
    <rPh sb="0" eb="2">
      <t>リョウヨウ</t>
    </rPh>
    <rPh sb="2" eb="4">
      <t>カイゴ</t>
    </rPh>
    <phoneticPr fontId="31"/>
  </si>
  <si>
    <t>療養介護Ⅲ３・未計画２</t>
    <rPh sb="0" eb="2">
      <t>リョウヨウ</t>
    </rPh>
    <rPh sb="2" eb="4">
      <t>カイゴ</t>
    </rPh>
    <phoneticPr fontId="31"/>
  </si>
  <si>
    <t>療養介護Ⅲ３・地公体</t>
    <rPh sb="0" eb="2">
      <t>リョウヨウ</t>
    </rPh>
    <rPh sb="2" eb="4">
      <t>カイゴ</t>
    </rPh>
    <rPh sb="7" eb="8">
      <t>チ</t>
    </rPh>
    <rPh sb="8" eb="9">
      <t>コウ</t>
    </rPh>
    <rPh sb="9" eb="10">
      <t>タイ</t>
    </rPh>
    <phoneticPr fontId="31"/>
  </si>
  <si>
    <t>療養介護Ⅲ３・地公体・未計画１</t>
    <rPh sb="0" eb="2">
      <t>リョウヨウ</t>
    </rPh>
    <rPh sb="2" eb="4">
      <t>カイゴ</t>
    </rPh>
    <rPh sb="7" eb="8">
      <t>チ</t>
    </rPh>
    <rPh sb="8" eb="9">
      <t>コウ</t>
    </rPh>
    <rPh sb="9" eb="10">
      <t>タイ</t>
    </rPh>
    <phoneticPr fontId="31"/>
  </si>
  <si>
    <t>療養介護Ⅲ３・地公体・未計画２</t>
    <rPh sb="0" eb="2">
      <t>リョウヨウ</t>
    </rPh>
    <rPh sb="2" eb="4">
      <t>カイゴ</t>
    </rPh>
    <rPh sb="7" eb="8">
      <t>チ</t>
    </rPh>
    <rPh sb="8" eb="9">
      <t>コウ</t>
    </rPh>
    <rPh sb="9" eb="10">
      <t>タイ</t>
    </rPh>
    <phoneticPr fontId="31"/>
  </si>
  <si>
    <t>療養介護Ⅲ４</t>
    <rPh sb="0" eb="2">
      <t>リョウヨウ</t>
    </rPh>
    <rPh sb="2" eb="4">
      <t>カイゴ</t>
    </rPh>
    <phoneticPr fontId="31"/>
  </si>
  <si>
    <t>療養介護Ⅲ４・未計画１</t>
    <rPh sb="0" eb="2">
      <t>リョウヨウ</t>
    </rPh>
    <rPh sb="2" eb="4">
      <t>カイゴ</t>
    </rPh>
    <phoneticPr fontId="31"/>
  </si>
  <si>
    <t>療養介護Ⅲ４・未計画２</t>
    <rPh sb="0" eb="2">
      <t>リョウヨウ</t>
    </rPh>
    <rPh sb="2" eb="4">
      <t>カイゴ</t>
    </rPh>
    <phoneticPr fontId="31"/>
  </si>
  <si>
    <t>療養介護Ⅲ４・地公体</t>
    <rPh sb="0" eb="2">
      <t>リョウヨウ</t>
    </rPh>
    <rPh sb="2" eb="4">
      <t>カイゴ</t>
    </rPh>
    <rPh sb="7" eb="8">
      <t>チ</t>
    </rPh>
    <rPh sb="8" eb="9">
      <t>コウ</t>
    </rPh>
    <rPh sb="9" eb="10">
      <t>タイ</t>
    </rPh>
    <phoneticPr fontId="31"/>
  </si>
  <si>
    <t>療養介護Ⅲ４・地公体・未計画１</t>
    <rPh sb="0" eb="2">
      <t>リョウヨウ</t>
    </rPh>
    <rPh sb="2" eb="4">
      <t>カイゴ</t>
    </rPh>
    <rPh sb="7" eb="8">
      <t>チ</t>
    </rPh>
    <rPh sb="8" eb="9">
      <t>コウ</t>
    </rPh>
    <rPh sb="9" eb="10">
      <t>タイ</t>
    </rPh>
    <phoneticPr fontId="31"/>
  </si>
  <si>
    <t>療養介護Ⅲ４・地公体・未計画２</t>
    <rPh sb="0" eb="2">
      <t>リョウヨウ</t>
    </rPh>
    <rPh sb="2" eb="4">
      <t>カイゴ</t>
    </rPh>
    <rPh sb="7" eb="8">
      <t>チ</t>
    </rPh>
    <rPh sb="8" eb="9">
      <t>コウ</t>
    </rPh>
    <rPh sb="9" eb="10">
      <t>タイ</t>
    </rPh>
    <phoneticPr fontId="31"/>
  </si>
  <si>
    <t>療養介護Ⅳ１</t>
    <phoneticPr fontId="31"/>
  </si>
  <si>
    <t>（４） 療養介護サービス費（Ⅳ）</t>
    <rPh sb="4" eb="6">
      <t>リョウヨウ</t>
    </rPh>
    <rPh sb="6" eb="8">
      <t>カイゴ</t>
    </rPh>
    <rPh sb="12" eb="13">
      <t>ヒ</t>
    </rPh>
    <phoneticPr fontId="31"/>
  </si>
  <si>
    <t>療養介護Ⅳ１・未計画１</t>
    <phoneticPr fontId="31"/>
  </si>
  <si>
    <t>療養介護Ⅳ１・未計画２</t>
    <phoneticPr fontId="31"/>
  </si>
  <si>
    <t>療養介護Ⅳ２</t>
    <phoneticPr fontId="31"/>
  </si>
  <si>
    <t>療養介護Ⅳ２・未計画１</t>
    <phoneticPr fontId="31"/>
  </si>
  <si>
    <t>療養介護Ⅳ２・未計画２</t>
    <phoneticPr fontId="31"/>
  </si>
  <si>
    <t>療養介護Ⅳ３</t>
    <phoneticPr fontId="31"/>
  </si>
  <si>
    <t>療養介護Ⅳ３・未計画１</t>
    <phoneticPr fontId="31"/>
  </si>
  <si>
    <t>療養介護Ⅳ３・未計画２</t>
    <phoneticPr fontId="31"/>
  </si>
  <si>
    <t>療養介護Ⅳ４</t>
    <phoneticPr fontId="31"/>
  </si>
  <si>
    <t>療養介護Ⅳ４・未計画１</t>
    <phoneticPr fontId="31"/>
  </si>
  <si>
    <t>療養介護Ⅳ４・未計画２</t>
    <phoneticPr fontId="31"/>
  </si>
  <si>
    <t>療養介護Ⅴ１</t>
    <phoneticPr fontId="31"/>
  </si>
  <si>
    <t>（５） 療養介護サービス費（Ⅴ）</t>
    <rPh sb="4" eb="6">
      <t>リョウヨウ</t>
    </rPh>
    <rPh sb="6" eb="8">
      <t>カイゴ</t>
    </rPh>
    <rPh sb="12" eb="13">
      <t>ヒ</t>
    </rPh>
    <phoneticPr fontId="31"/>
  </si>
  <si>
    <t>療養介護Ⅴ１・未計画１</t>
    <phoneticPr fontId="31"/>
  </si>
  <si>
    <t>療養介護Ⅴ１・未計画２</t>
    <phoneticPr fontId="31"/>
  </si>
  <si>
    <t>療養介護Ⅴ１・地公体</t>
    <rPh sb="7" eb="8">
      <t>チ</t>
    </rPh>
    <rPh sb="8" eb="9">
      <t>コウ</t>
    </rPh>
    <rPh sb="9" eb="10">
      <t>タイ</t>
    </rPh>
    <phoneticPr fontId="31"/>
  </si>
  <si>
    <t>療養介護Ⅴ１・地公体・未計画１</t>
    <rPh sb="7" eb="8">
      <t>チ</t>
    </rPh>
    <rPh sb="8" eb="9">
      <t>コウ</t>
    </rPh>
    <rPh sb="9" eb="10">
      <t>タイ</t>
    </rPh>
    <phoneticPr fontId="31"/>
  </si>
  <si>
    <t>療養介護Ⅴ１・地公体・未計画２</t>
    <rPh sb="7" eb="8">
      <t>チ</t>
    </rPh>
    <rPh sb="8" eb="9">
      <t>コウ</t>
    </rPh>
    <rPh sb="9" eb="10">
      <t>タイ</t>
    </rPh>
    <phoneticPr fontId="31"/>
  </si>
  <si>
    <t>療養介護Ⅴ２</t>
    <phoneticPr fontId="31"/>
  </si>
  <si>
    <t>療養介護Ⅴ２・未計画１</t>
    <phoneticPr fontId="31"/>
  </si>
  <si>
    <t>療養介護Ⅴ２・未計画２</t>
    <phoneticPr fontId="31"/>
  </si>
  <si>
    <t>療養介護Ⅴ２・地公体</t>
    <rPh sb="7" eb="8">
      <t>チ</t>
    </rPh>
    <rPh sb="8" eb="9">
      <t>コウ</t>
    </rPh>
    <rPh sb="9" eb="10">
      <t>タイ</t>
    </rPh>
    <phoneticPr fontId="31"/>
  </si>
  <si>
    <t>療養介護Ⅴ２・地公体・未計画１</t>
    <rPh sb="7" eb="8">
      <t>チ</t>
    </rPh>
    <rPh sb="8" eb="9">
      <t>コウ</t>
    </rPh>
    <rPh sb="9" eb="10">
      <t>タイ</t>
    </rPh>
    <phoneticPr fontId="31"/>
  </si>
  <si>
    <t>療養介護Ⅴ２・地公体・未計画２</t>
    <rPh sb="7" eb="8">
      <t>チ</t>
    </rPh>
    <rPh sb="8" eb="9">
      <t>コウ</t>
    </rPh>
    <rPh sb="9" eb="10">
      <t>タイ</t>
    </rPh>
    <phoneticPr fontId="31"/>
  </si>
  <si>
    <t>療養介護Ⅴ３</t>
    <phoneticPr fontId="31"/>
  </si>
  <si>
    <t>療養介護Ⅴ３・未計画１</t>
    <phoneticPr fontId="31"/>
  </si>
  <si>
    <t>療養介護Ⅴ３・未計画２</t>
    <phoneticPr fontId="31"/>
  </si>
  <si>
    <t>療養介護Ⅴ３・地公体</t>
    <rPh sb="7" eb="8">
      <t>チ</t>
    </rPh>
    <rPh sb="8" eb="9">
      <t>コウ</t>
    </rPh>
    <rPh sb="9" eb="10">
      <t>タイ</t>
    </rPh>
    <phoneticPr fontId="31"/>
  </si>
  <si>
    <t>療養介護Ⅴ３・地公体・未計画１</t>
    <rPh sb="7" eb="8">
      <t>チ</t>
    </rPh>
    <rPh sb="8" eb="9">
      <t>コウ</t>
    </rPh>
    <rPh sb="9" eb="10">
      <t>タイ</t>
    </rPh>
    <phoneticPr fontId="31"/>
  </si>
  <si>
    <t>療養介護Ⅴ３・地公体・未計画２</t>
    <rPh sb="7" eb="8">
      <t>チ</t>
    </rPh>
    <rPh sb="8" eb="9">
      <t>コウ</t>
    </rPh>
    <rPh sb="9" eb="10">
      <t>タイ</t>
    </rPh>
    <phoneticPr fontId="31"/>
  </si>
  <si>
    <t>療養介護Ⅴ４</t>
    <phoneticPr fontId="31"/>
  </si>
  <si>
    <t>療養介護Ⅴ４・未計画１</t>
    <phoneticPr fontId="31"/>
  </si>
  <si>
    <t>療養介護Ⅴ４・未計画２</t>
    <phoneticPr fontId="31"/>
  </si>
  <si>
    <t>療養介護Ⅴ４・地公体</t>
    <rPh sb="7" eb="8">
      <t>チ</t>
    </rPh>
    <rPh sb="8" eb="9">
      <t>コウ</t>
    </rPh>
    <rPh sb="9" eb="10">
      <t>タイ</t>
    </rPh>
    <phoneticPr fontId="31"/>
  </si>
  <si>
    <t>療養介護Ⅴ４・地公体・未計画１</t>
    <rPh sb="7" eb="8">
      <t>チ</t>
    </rPh>
    <rPh sb="8" eb="9">
      <t>コウ</t>
    </rPh>
    <rPh sb="9" eb="10">
      <t>タイ</t>
    </rPh>
    <phoneticPr fontId="31"/>
  </si>
  <si>
    <t>療養介護Ⅴ４・地公体・未計画２</t>
    <rPh sb="7" eb="8">
      <t>チ</t>
    </rPh>
    <rPh sb="8" eb="9">
      <t>コウ</t>
    </rPh>
    <rPh sb="9" eb="10">
      <t>タイ</t>
    </rPh>
    <phoneticPr fontId="31"/>
  </si>
  <si>
    <t>経過的療養介護Ⅰ１</t>
    <phoneticPr fontId="31"/>
  </si>
  <si>
    <t>ロ　経過的療養介護サービス費</t>
    <phoneticPr fontId="31"/>
  </si>
  <si>
    <t>（１）経過的療養介護サービス費（Ⅰ）</t>
    <phoneticPr fontId="31"/>
  </si>
  <si>
    <t>経過的療養介護Ⅰ１・未計画１</t>
    <phoneticPr fontId="31"/>
  </si>
  <si>
    <t>経過的療養介護Ⅰ１・未計画２</t>
    <phoneticPr fontId="31"/>
  </si>
  <si>
    <t>経過的療養介護Ⅰ１・地公体</t>
    <rPh sb="10" eb="11">
      <t>チ</t>
    </rPh>
    <rPh sb="11" eb="12">
      <t>コウ</t>
    </rPh>
    <rPh sb="12" eb="13">
      <t>タイ</t>
    </rPh>
    <phoneticPr fontId="31"/>
  </si>
  <si>
    <t>経過的療養介護Ⅰ１・地公体・未計画１</t>
    <rPh sb="10" eb="11">
      <t>チ</t>
    </rPh>
    <rPh sb="11" eb="12">
      <t>コウ</t>
    </rPh>
    <rPh sb="12" eb="13">
      <t>タイ</t>
    </rPh>
    <phoneticPr fontId="31"/>
  </si>
  <si>
    <t>経過的療養介護Ⅰ１・地公体・未計画２</t>
    <rPh sb="10" eb="11">
      <t>チ</t>
    </rPh>
    <rPh sb="11" eb="12">
      <t>コウ</t>
    </rPh>
    <rPh sb="12" eb="13">
      <t>タイ</t>
    </rPh>
    <phoneticPr fontId="31"/>
  </si>
  <si>
    <t>経過的療養介護Ⅰ２</t>
    <phoneticPr fontId="31"/>
  </si>
  <si>
    <t>経過的療養介護Ⅰ２・未計画１</t>
    <phoneticPr fontId="31"/>
  </si>
  <si>
    <t>経過的療養介護Ⅰ２・未計画２</t>
    <phoneticPr fontId="31"/>
  </si>
  <si>
    <t>経過的療養介護Ⅰ２・地公体</t>
    <rPh sb="10" eb="11">
      <t>チ</t>
    </rPh>
    <rPh sb="11" eb="12">
      <t>コウ</t>
    </rPh>
    <rPh sb="12" eb="13">
      <t>タイ</t>
    </rPh>
    <phoneticPr fontId="31"/>
  </si>
  <si>
    <t>経過的療養介護Ⅰ２・地公体・未計画１</t>
    <rPh sb="10" eb="11">
      <t>チ</t>
    </rPh>
    <rPh sb="11" eb="12">
      <t>コウ</t>
    </rPh>
    <rPh sb="12" eb="13">
      <t>タイ</t>
    </rPh>
    <phoneticPr fontId="31"/>
  </si>
  <si>
    <t>経過的療養介護Ⅰ２・地公体・未計画２</t>
    <rPh sb="10" eb="11">
      <t>チ</t>
    </rPh>
    <rPh sb="11" eb="12">
      <t>コウ</t>
    </rPh>
    <rPh sb="12" eb="13">
      <t>タイ</t>
    </rPh>
    <phoneticPr fontId="31"/>
  </si>
  <si>
    <t>経過的療養介護Ⅰ３</t>
    <phoneticPr fontId="31"/>
  </si>
  <si>
    <t>経過的療養介護Ⅰ３・未計画１</t>
    <phoneticPr fontId="31"/>
  </si>
  <si>
    <t>経過的療養介護Ⅰ３・未計画２</t>
    <phoneticPr fontId="31"/>
  </si>
  <si>
    <t>経過的療養介護Ⅰ３・地公体</t>
    <rPh sb="10" eb="11">
      <t>チ</t>
    </rPh>
    <rPh sb="11" eb="12">
      <t>コウ</t>
    </rPh>
    <rPh sb="12" eb="13">
      <t>タイ</t>
    </rPh>
    <phoneticPr fontId="31"/>
  </si>
  <si>
    <t>経過的療養介護Ⅰ３・地公体・未計画１</t>
    <rPh sb="10" eb="11">
      <t>チ</t>
    </rPh>
    <rPh sb="11" eb="12">
      <t>コウ</t>
    </rPh>
    <rPh sb="12" eb="13">
      <t>タイ</t>
    </rPh>
    <phoneticPr fontId="31"/>
  </si>
  <si>
    <t>経過的療養介護Ⅰ３・地公体・未計画２</t>
    <rPh sb="10" eb="11">
      <t>チ</t>
    </rPh>
    <rPh sb="11" eb="12">
      <t>コウ</t>
    </rPh>
    <rPh sb="12" eb="13">
      <t>タイ</t>
    </rPh>
    <phoneticPr fontId="31"/>
  </si>
  <si>
    <t>経過的療養介護Ⅰ４</t>
    <phoneticPr fontId="31"/>
  </si>
  <si>
    <t>経過的療養介護Ⅰ４・未計画１</t>
    <phoneticPr fontId="31"/>
  </si>
  <si>
    <t>経過的療養介護Ⅰ４・未計画２</t>
    <phoneticPr fontId="31"/>
  </si>
  <si>
    <t>経過的療養介護Ⅰ４・地公体</t>
    <rPh sb="10" eb="11">
      <t>チ</t>
    </rPh>
    <rPh sb="11" eb="12">
      <t>コウ</t>
    </rPh>
    <rPh sb="12" eb="13">
      <t>タイ</t>
    </rPh>
    <phoneticPr fontId="31"/>
  </si>
  <si>
    <t>経過的療養介護Ⅰ４・地公体・未計画１</t>
    <rPh sb="10" eb="11">
      <t>チ</t>
    </rPh>
    <rPh sb="11" eb="12">
      <t>コウ</t>
    </rPh>
    <rPh sb="12" eb="13">
      <t>タイ</t>
    </rPh>
    <phoneticPr fontId="31"/>
  </si>
  <si>
    <t>経過的療養介護Ⅰ４・地公体・未計画２</t>
    <rPh sb="10" eb="11">
      <t>チ</t>
    </rPh>
    <rPh sb="11" eb="12">
      <t>コウ</t>
    </rPh>
    <rPh sb="12" eb="13">
      <t>タイ</t>
    </rPh>
    <phoneticPr fontId="31"/>
  </si>
  <si>
    <t>令和３年９月３０日までの上乗せ分（療養介護）</t>
    <phoneticPr fontId="1"/>
  </si>
  <si>
    <t>療養介護身体拘束廃止未実施減算</t>
    <rPh sb="0" eb="2">
      <t>リョウヨウ</t>
    </rPh>
    <rPh sb="2" eb="4">
      <t>カイゴ</t>
    </rPh>
    <rPh sb="4" eb="6">
      <t>シンタイ</t>
    </rPh>
    <rPh sb="6" eb="8">
      <t>コウソク</t>
    </rPh>
    <rPh sb="8" eb="10">
      <t>ハイシ</t>
    </rPh>
    <rPh sb="10" eb="11">
      <t>ミ</t>
    </rPh>
    <rPh sb="11" eb="13">
      <t>ジッシ</t>
    </rPh>
    <rPh sb="13" eb="15">
      <t>ゲンサン</t>
    </rPh>
    <phoneticPr fontId="31"/>
  </si>
  <si>
    <t>身体拘束廃止未実施減算</t>
    <rPh sb="0" eb="2">
      <t>シンタイ</t>
    </rPh>
    <rPh sb="2" eb="4">
      <t>コウソク</t>
    </rPh>
    <rPh sb="4" eb="6">
      <t>ハイシ</t>
    </rPh>
    <rPh sb="6" eb="7">
      <t>ミ</t>
    </rPh>
    <rPh sb="7" eb="9">
      <t>ジッシ</t>
    </rPh>
    <rPh sb="9" eb="11">
      <t>ゲンサン</t>
    </rPh>
    <phoneticPr fontId="31"/>
  </si>
  <si>
    <t>療養介護地域移行加算</t>
    <rPh sb="0" eb="2">
      <t>リョウヨウ</t>
    </rPh>
    <rPh sb="2" eb="4">
      <t>カイゴ</t>
    </rPh>
    <rPh sb="4" eb="6">
      <t>チイキ</t>
    </rPh>
    <rPh sb="6" eb="8">
      <t>イコウ</t>
    </rPh>
    <rPh sb="8" eb="10">
      <t>カサン</t>
    </rPh>
    <phoneticPr fontId="31"/>
  </si>
  <si>
    <t>地域移行加算（入院中２回、退院後１回を限度）</t>
    <rPh sb="0" eb="2">
      <t>チイキ</t>
    </rPh>
    <rPh sb="2" eb="4">
      <t>イコウ</t>
    </rPh>
    <rPh sb="4" eb="6">
      <t>カサン</t>
    </rPh>
    <rPh sb="7" eb="9">
      <t>ニュウイン</t>
    </rPh>
    <rPh sb="9" eb="10">
      <t>チュウ</t>
    </rPh>
    <rPh sb="11" eb="12">
      <t>カイ</t>
    </rPh>
    <rPh sb="13" eb="15">
      <t>タイイン</t>
    </rPh>
    <rPh sb="15" eb="16">
      <t>ゴ</t>
    </rPh>
    <rPh sb="17" eb="18">
      <t>カイ</t>
    </rPh>
    <rPh sb="19" eb="21">
      <t>ゲンド</t>
    </rPh>
    <phoneticPr fontId="31"/>
  </si>
  <si>
    <t>療養介護福祉専門職員配置等加算Ⅰ</t>
    <rPh sb="0" eb="2">
      <t>リョウヨウ</t>
    </rPh>
    <rPh sb="2" eb="4">
      <t>カイゴ</t>
    </rPh>
    <rPh sb="4" eb="6">
      <t>フクシ</t>
    </rPh>
    <rPh sb="6" eb="8">
      <t>センモン</t>
    </rPh>
    <rPh sb="8" eb="10">
      <t>ショクイン</t>
    </rPh>
    <rPh sb="10" eb="12">
      <t>ハイチ</t>
    </rPh>
    <rPh sb="12" eb="13">
      <t>トウ</t>
    </rPh>
    <rPh sb="13" eb="15">
      <t>カサン</t>
    </rPh>
    <phoneticPr fontId="31"/>
  </si>
  <si>
    <t>福祉専門職員配置等加算</t>
    <rPh sb="0" eb="2">
      <t>フクシ</t>
    </rPh>
    <rPh sb="2" eb="4">
      <t>センモン</t>
    </rPh>
    <rPh sb="4" eb="6">
      <t>ショクイン</t>
    </rPh>
    <rPh sb="6" eb="8">
      <t>ハイチ</t>
    </rPh>
    <rPh sb="8" eb="9">
      <t>トウ</t>
    </rPh>
    <rPh sb="9" eb="11">
      <t>カサン</t>
    </rPh>
    <phoneticPr fontId="31"/>
  </si>
  <si>
    <t>イ 福祉専門職員配置等加算（Ⅰ）</t>
    <rPh sb="10" eb="11">
      <t>トウ</t>
    </rPh>
    <phoneticPr fontId="31"/>
  </si>
  <si>
    <t>療養介護福祉専門職員配置等加算Ⅱ</t>
    <rPh sb="0" eb="2">
      <t>リョウヨウ</t>
    </rPh>
    <rPh sb="2" eb="4">
      <t>カイゴ</t>
    </rPh>
    <rPh sb="4" eb="6">
      <t>フクシ</t>
    </rPh>
    <rPh sb="6" eb="8">
      <t>センモン</t>
    </rPh>
    <rPh sb="8" eb="10">
      <t>ショクイン</t>
    </rPh>
    <rPh sb="10" eb="12">
      <t>ハイチ</t>
    </rPh>
    <rPh sb="12" eb="13">
      <t>トウ</t>
    </rPh>
    <rPh sb="13" eb="15">
      <t>カサン</t>
    </rPh>
    <phoneticPr fontId="31"/>
  </si>
  <si>
    <t>ロ 福祉専門職員配置等加算（Ⅱ）</t>
    <rPh sb="10" eb="11">
      <t>トウ</t>
    </rPh>
    <phoneticPr fontId="31"/>
  </si>
  <si>
    <t>療養介護福祉専門職員配置等加算Ⅲ</t>
    <rPh sb="0" eb="2">
      <t>リョウヨウ</t>
    </rPh>
    <rPh sb="2" eb="4">
      <t>カイゴ</t>
    </rPh>
    <rPh sb="4" eb="6">
      <t>フクシ</t>
    </rPh>
    <rPh sb="6" eb="8">
      <t>センモン</t>
    </rPh>
    <rPh sb="8" eb="10">
      <t>ショクイン</t>
    </rPh>
    <rPh sb="10" eb="12">
      <t>ハイチ</t>
    </rPh>
    <rPh sb="12" eb="13">
      <t>トウ</t>
    </rPh>
    <rPh sb="13" eb="15">
      <t>カサン</t>
    </rPh>
    <phoneticPr fontId="31"/>
  </si>
  <si>
    <t>ハ 福祉専門職員配置等加算（Ⅲ）</t>
    <rPh sb="10" eb="11">
      <t>トウ</t>
    </rPh>
    <phoneticPr fontId="31"/>
  </si>
  <si>
    <t>療養介護人員配置体制加算１１</t>
    <rPh sb="4" eb="6">
      <t>ジンイン</t>
    </rPh>
    <rPh sb="6" eb="8">
      <t>ハイチ</t>
    </rPh>
    <rPh sb="8" eb="10">
      <t>タイセイ</t>
    </rPh>
    <rPh sb="10" eb="12">
      <t>カサン</t>
    </rPh>
    <phoneticPr fontId="31"/>
  </si>
  <si>
    <t>人員配置体制加算</t>
    <rPh sb="0" eb="2">
      <t>ジンイン</t>
    </rPh>
    <rPh sb="2" eb="4">
      <t>ハイチ</t>
    </rPh>
    <rPh sb="4" eb="6">
      <t>タイセイ</t>
    </rPh>
    <rPh sb="6" eb="8">
      <t>カサン</t>
    </rPh>
    <phoneticPr fontId="31"/>
  </si>
  <si>
    <t>イ 人員配置体制</t>
    <rPh sb="2" eb="4">
      <t>ジンイン</t>
    </rPh>
    <rPh sb="4" eb="6">
      <t>ハイチ</t>
    </rPh>
    <rPh sb="6" eb="8">
      <t>タイセイ</t>
    </rPh>
    <phoneticPr fontId="31"/>
  </si>
  <si>
    <t>(１)　定員６１人以上８０人以下</t>
    <rPh sb="4" eb="6">
      <t>テイイン</t>
    </rPh>
    <rPh sb="8" eb="11">
      <t>ニンイジョウ</t>
    </rPh>
    <rPh sb="13" eb="14">
      <t>ニン</t>
    </rPh>
    <rPh sb="14" eb="16">
      <t>イカ</t>
    </rPh>
    <phoneticPr fontId="31"/>
  </si>
  <si>
    <t>療養介護人員配置体制加算１１・地公体</t>
    <rPh sb="15" eb="16">
      <t>チ</t>
    </rPh>
    <rPh sb="16" eb="17">
      <t>コウ</t>
    </rPh>
    <rPh sb="17" eb="18">
      <t>タイ</t>
    </rPh>
    <phoneticPr fontId="31"/>
  </si>
  <si>
    <t>　 加算（Ⅰ）</t>
    <rPh sb="2" eb="4">
      <t>カサン</t>
    </rPh>
    <phoneticPr fontId="31"/>
  </si>
  <si>
    <t>療養介護人員配置体制加算１２</t>
  </si>
  <si>
    <t>（１．７：１）</t>
  </si>
  <si>
    <t>(２)　定員８１人以上</t>
    <phoneticPr fontId="31"/>
  </si>
  <si>
    <t>療養介護人員配置体制加算１２・地公体</t>
    <rPh sb="15" eb="16">
      <t>チ</t>
    </rPh>
    <rPh sb="16" eb="17">
      <t>コウ</t>
    </rPh>
    <rPh sb="17" eb="18">
      <t>タイ</t>
    </rPh>
    <phoneticPr fontId="31"/>
  </si>
  <si>
    <t>療養介護人員配置体制加算２１</t>
  </si>
  <si>
    <t>ロ 人員配置体制</t>
    <rPh sb="2" eb="4">
      <t>ジンイン</t>
    </rPh>
    <rPh sb="4" eb="6">
      <t>ハイチ</t>
    </rPh>
    <rPh sb="6" eb="8">
      <t>タイセイ</t>
    </rPh>
    <phoneticPr fontId="31"/>
  </si>
  <si>
    <t>(1)　定員４０人以下</t>
    <phoneticPr fontId="31"/>
  </si>
  <si>
    <t>療養介護人員配置体制加算２１・地公体</t>
  </si>
  <si>
    <t>　 加算（Ⅱ）</t>
    <rPh sb="2" eb="4">
      <t>カサン</t>
    </rPh>
    <phoneticPr fontId="31"/>
  </si>
  <si>
    <t>療養介護人員配置体制加算２２</t>
  </si>
  <si>
    <t>（２．５：１）</t>
  </si>
  <si>
    <t>(2)　定員４１人以上６０人以下</t>
    <rPh sb="4" eb="6">
      <t>テイイン</t>
    </rPh>
    <rPh sb="8" eb="11">
      <t>ニンイジョウ</t>
    </rPh>
    <rPh sb="13" eb="14">
      <t>ニン</t>
    </rPh>
    <rPh sb="14" eb="16">
      <t>イカ</t>
    </rPh>
    <phoneticPr fontId="31"/>
  </si>
  <si>
    <t>療養介護人員配置体制加算２２・地公体</t>
  </si>
  <si>
    <t>療養介護人員配置体制加算２３</t>
    <phoneticPr fontId="31"/>
  </si>
  <si>
    <t>(3)　定員６１人以上８０人以下</t>
    <phoneticPr fontId="31"/>
  </si>
  <si>
    <t>療養介護人員配置体制加算２３・地公体</t>
    <phoneticPr fontId="31"/>
  </si>
  <si>
    <t>療養介護人員配置体制加算２４</t>
    <phoneticPr fontId="31"/>
  </si>
  <si>
    <t>(4)　定員８１人以上</t>
    <phoneticPr fontId="31"/>
  </si>
  <si>
    <t>療養介護人員配置体制加算２４・地公体</t>
    <phoneticPr fontId="31"/>
  </si>
  <si>
    <t>療養介護体験利用加算</t>
    <rPh sb="0" eb="2">
      <t>リョウヨウ</t>
    </rPh>
    <rPh sb="2" eb="4">
      <t>カイゴ</t>
    </rPh>
    <phoneticPr fontId="31"/>
  </si>
  <si>
    <t>障害福祉サービスの体験利用支援加算</t>
    <rPh sb="0" eb="2">
      <t>ショウガイ</t>
    </rPh>
    <rPh sb="2" eb="4">
      <t>フクシ</t>
    </rPh>
    <rPh sb="9" eb="11">
      <t>タイケン</t>
    </rPh>
    <rPh sb="11" eb="13">
      <t>リヨウ</t>
    </rPh>
    <rPh sb="13" eb="15">
      <t>シエン</t>
    </rPh>
    <rPh sb="15" eb="17">
      <t>カサン</t>
    </rPh>
    <phoneticPr fontId="31"/>
  </si>
  <si>
    <t>療養介護処遇改善加算Ⅰ</t>
    <rPh sb="4" eb="6">
      <t>ショグウ</t>
    </rPh>
    <rPh sb="6" eb="8">
      <t>カイゼン</t>
    </rPh>
    <rPh sb="8" eb="10">
      <t>カサン</t>
    </rPh>
    <phoneticPr fontId="31"/>
  </si>
  <si>
    <t>療養介護処遇改善加算Ⅱ</t>
    <rPh sb="4" eb="6">
      <t>ショグウ</t>
    </rPh>
    <rPh sb="6" eb="8">
      <t>カイゼン</t>
    </rPh>
    <rPh sb="8" eb="10">
      <t>カサン</t>
    </rPh>
    <phoneticPr fontId="31"/>
  </si>
  <si>
    <t>療養介護処遇改善加算Ⅲ</t>
    <rPh sb="4" eb="6">
      <t>ショグウ</t>
    </rPh>
    <rPh sb="6" eb="8">
      <t>カイゼン</t>
    </rPh>
    <rPh sb="8" eb="10">
      <t>カサン</t>
    </rPh>
    <phoneticPr fontId="31"/>
  </si>
  <si>
    <t>療養介護処遇改善加算Ⅳ</t>
    <rPh sb="4" eb="6">
      <t>ショグウ</t>
    </rPh>
    <rPh sb="6" eb="8">
      <t>カイゼン</t>
    </rPh>
    <rPh sb="8" eb="10">
      <t>カサン</t>
    </rPh>
    <phoneticPr fontId="31"/>
  </si>
  <si>
    <t>療養介護処遇改善加算Ⅴ</t>
    <rPh sb="4" eb="6">
      <t>ショグウ</t>
    </rPh>
    <rPh sb="6" eb="8">
      <t>カイゼン</t>
    </rPh>
    <rPh sb="8" eb="10">
      <t>カサン</t>
    </rPh>
    <phoneticPr fontId="31"/>
  </si>
  <si>
    <t>療養介護処遇改善特別加算</t>
    <phoneticPr fontId="31"/>
  </si>
  <si>
    <t>療養介護特定処遇改善加算Ⅰ</t>
    <phoneticPr fontId="31"/>
  </si>
  <si>
    <t>療養介護特定処遇改善加算Ⅱ</t>
    <phoneticPr fontId="31"/>
  </si>
  <si>
    <t>療養介護ベースアップ等支援加算</t>
    <rPh sb="0" eb="2">
      <t>リョウヨウ</t>
    </rPh>
    <rPh sb="2" eb="4">
      <t>カイゴ</t>
    </rPh>
    <phoneticPr fontId="31"/>
  </si>
  <si>
    <t>福祉・介護職員等ベースアップ等支援加算</t>
  </si>
  <si>
    <t>（定員超過）</t>
    <rPh sb="1" eb="3">
      <t>テイイン</t>
    </rPh>
    <rPh sb="3" eb="5">
      <t>チョウカ</t>
    </rPh>
    <phoneticPr fontId="31"/>
  </si>
  <si>
    <t>療養介護Ⅰ１・定超</t>
    <rPh sb="0" eb="2">
      <t>リョウヨウ</t>
    </rPh>
    <rPh sb="2" eb="4">
      <t>カイゴ</t>
    </rPh>
    <rPh sb="7" eb="8">
      <t>テイ</t>
    </rPh>
    <rPh sb="8" eb="9">
      <t>チョウ</t>
    </rPh>
    <phoneticPr fontId="31"/>
  </si>
  <si>
    <t>利用者の数が利用定員を超える場合</t>
    <rPh sb="0" eb="3">
      <t>リヨウシャ</t>
    </rPh>
    <rPh sb="4" eb="5">
      <t>カズ</t>
    </rPh>
    <rPh sb="6" eb="8">
      <t>リヨウ</t>
    </rPh>
    <rPh sb="8" eb="10">
      <t>テイイン</t>
    </rPh>
    <rPh sb="11" eb="12">
      <t>コ</t>
    </rPh>
    <rPh sb="14" eb="16">
      <t>バアイ</t>
    </rPh>
    <phoneticPr fontId="31"/>
  </si>
  <si>
    <t>療養介護Ⅰ１・定超・未計画１</t>
    <rPh sb="0" eb="2">
      <t>リョウヨウ</t>
    </rPh>
    <rPh sb="2" eb="4">
      <t>カイゴ</t>
    </rPh>
    <rPh sb="7" eb="8">
      <t>テイ</t>
    </rPh>
    <rPh sb="8" eb="9">
      <t>チョウ</t>
    </rPh>
    <phoneticPr fontId="31"/>
  </si>
  <si>
    <t>療養介護Ⅰ１・定超・未計画２</t>
    <rPh sb="0" eb="2">
      <t>リョウヨウ</t>
    </rPh>
    <rPh sb="2" eb="4">
      <t>カイゴ</t>
    </rPh>
    <rPh sb="7" eb="8">
      <t>テイ</t>
    </rPh>
    <rPh sb="8" eb="9">
      <t>チョウ</t>
    </rPh>
    <phoneticPr fontId="31"/>
  </si>
  <si>
    <t>療養介護Ⅰ１・地公体・定超</t>
    <rPh sb="0" eb="2">
      <t>リョウヨウ</t>
    </rPh>
    <rPh sb="2" eb="4">
      <t>カイゴ</t>
    </rPh>
    <rPh sb="7" eb="8">
      <t>チ</t>
    </rPh>
    <rPh sb="8" eb="9">
      <t>コウ</t>
    </rPh>
    <rPh sb="9" eb="10">
      <t>タイ</t>
    </rPh>
    <rPh sb="11" eb="12">
      <t>テイ</t>
    </rPh>
    <rPh sb="12" eb="13">
      <t>チョウ</t>
    </rPh>
    <phoneticPr fontId="31"/>
  </si>
  <si>
    <t>療養介護Ⅰ１・地公体・定超・未計画１</t>
    <rPh sb="0" eb="2">
      <t>リョウヨウ</t>
    </rPh>
    <rPh sb="2" eb="4">
      <t>カイゴ</t>
    </rPh>
    <rPh sb="7" eb="8">
      <t>チ</t>
    </rPh>
    <rPh sb="8" eb="9">
      <t>コウ</t>
    </rPh>
    <rPh sb="9" eb="10">
      <t>タイ</t>
    </rPh>
    <rPh sb="11" eb="12">
      <t>テイ</t>
    </rPh>
    <rPh sb="12" eb="13">
      <t>チョウ</t>
    </rPh>
    <phoneticPr fontId="31"/>
  </si>
  <si>
    <t>療養介護Ⅰ１・地公体・定超・未計画２</t>
    <rPh sb="0" eb="2">
      <t>リョウヨウ</t>
    </rPh>
    <rPh sb="2" eb="4">
      <t>カイゴ</t>
    </rPh>
    <rPh sb="7" eb="8">
      <t>チ</t>
    </rPh>
    <rPh sb="8" eb="9">
      <t>コウ</t>
    </rPh>
    <rPh sb="9" eb="10">
      <t>タイ</t>
    </rPh>
    <rPh sb="11" eb="12">
      <t>テイ</t>
    </rPh>
    <rPh sb="12" eb="13">
      <t>チョウ</t>
    </rPh>
    <phoneticPr fontId="31"/>
  </si>
  <si>
    <t>療養介護Ⅰ２・定超</t>
    <rPh sb="0" eb="2">
      <t>リョウヨウ</t>
    </rPh>
    <rPh sb="2" eb="4">
      <t>カイゴ</t>
    </rPh>
    <rPh sb="7" eb="8">
      <t>テイ</t>
    </rPh>
    <rPh sb="8" eb="9">
      <t>チョウ</t>
    </rPh>
    <phoneticPr fontId="31"/>
  </si>
  <si>
    <t>療養介護Ⅰ２・定超・未計画１</t>
    <rPh sb="0" eb="2">
      <t>リョウヨウ</t>
    </rPh>
    <rPh sb="2" eb="4">
      <t>カイゴ</t>
    </rPh>
    <rPh sb="7" eb="8">
      <t>テイ</t>
    </rPh>
    <rPh sb="8" eb="9">
      <t>チョウ</t>
    </rPh>
    <phoneticPr fontId="31"/>
  </si>
  <si>
    <t>療養介護Ⅰ２・定超・未計画２</t>
    <rPh sb="0" eb="2">
      <t>リョウヨウ</t>
    </rPh>
    <rPh sb="2" eb="4">
      <t>カイゴ</t>
    </rPh>
    <rPh sb="7" eb="8">
      <t>テイ</t>
    </rPh>
    <rPh sb="8" eb="9">
      <t>チョウ</t>
    </rPh>
    <phoneticPr fontId="31"/>
  </si>
  <si>
    <t>療養介護Ⅰ２・地公体・定超</t>
    <rPh sb="0" eb="2">
      <t>リョウヨウ</t>
    </rPh>
    <rPh sb="2" eb="4">
      <t>カイゴ</t>
    </rPh>
    <rPh sb="7" eb="8">
      <t>チ</t>
    </rPh>
    <rPh sb="8" eb="9">
      <t>コウ</t>
    </rPh>
    <rPh sb="9" eb="10">
      <t>タイ</t>
    </rPh>
    <rPh sb="11" eb="12">
      <t>テイ</t>
    </rPh>
    <rPh sb="12" eb="13">
      <t>チョウ</t>
    </rPh>
    <phoneticPr fontId="31"/>
  </si>
  <si>
    <t>療養介護Ⅰ２・地公体・定超・未計画１</t>
    <rPh sb="0" eb="2">
      <t>リョウヨウ</t>
    </rPh>
    <rPh sb="2" eb="4">
      <t>カイゴ</t>
    </rPh>
    <rPh sb="7" eb="8">
      <t>チ</t>
    </rPh>
    <rPh sb="8" eb="9">
      <t>コウ</t>
    </rPh>
    <rPh sb="9" eb="10">
      <t>タイ</t>
    </rPh>
    <rPh sb="11" eb="12">
      <t>テイ</t>
    </rPh>
    <rPh sb="12" eb="13">
      <t>チョウ</t>
    </rPh>
    <phoneticPr fontId="31"/>
  </si>
  <si>
    <t>療養介護Ⅰ２・地公体・定超・未計画２</t>
    <rPh sb="0" eb="2">
      <t>リョウヨウ</t>
    </rPh>
    <rPh sb="2" eb="4">
      <t>カイゴ</t>
    </rPh>
    <rPh sb="7" eb="8">
      <t>チ</t>
    </rPh>
    <rPh sb="8" eb="9">
      <t>コウ</t>
    </rPh>
    <rPh sb="9" eb="10">
      <t>タイ</t>
    </rPh>
    <rPh sb="11" eb="12">
      <t>テイ</t>
    </rPh>
    <rPh sb="12" eb="13">
      <t>チョウ</t>
    </rPh>
    <phoneticPr fontId="31"/>
  </si>
  <si>
    <t>療養介護Ⅰ３・定超</t>
    <rPh sb="0" eb="2">
      <t>リョウヨウ</t>
    </rPh>
    <rPh sb="2" eb="4">
      <t>カイゴ</t>
    </rPh>
    <rPh sb="7" eb="8">
      <t>テイ</t>
    </rPh>
    <rPh sb="8" eb="9">
      <t>チョウ</t>
    </rPh>
    <phoneticPr fontId="31"/>
  </si>
  <si>
    <t>療養介護Ⅰ３・定超・未計画１</t>
    <rPh sb="0" eb="2">
      <t>リョウヨウ</t>
    </rPh>
    <rPh sb="2" eb="4">
      <t>カイゴ</t>
    </rPh>
    <rPh sb="7" eb="8">
      <t>テイ</t>
    </rPh>
    <rPh sb="8" eb="9">
      <t>チョウ</t>
    </rPh>
    <phoneticPr fontId="31"/>
  </si>
  <si>
    <t>療養介護Ⅰ３・定超・未計画２</t>
    <rPh sb="0" eb="2">
      <t>リョウヨウ</t>
    </rPh>
    <rPh sb="2" eb="4">
      <t>カイゴ</t>
    </rPh>
    <rPh sb="7" eb="8">
      <t>テイ</t>
    </rPh>
    <rPh sb="8" eb="9">
      <t>チョウ</t>
    </rPh>
    <phoneticPr fontId="31"/>
  </si>
  <si>
    <t>療養介護Ⅰ３・地公体・定超</t>
    <rPh sb="0" eb="2">
      <t>リョウヨウ</t>
    </rPh>
    <rPh sb="2" eb="4">
      <t>カイゴ</t>
    </rPh>
    <rPh sb="7" eb="8">
      <t>チ</t>
    </rPh>
    <rPh sb="8" eb="9">
      <t>コウ</t>
    </rPh>
    <rPh sb="9" eb="10">
      <t>タイ</t>
    </rPh>
    <rPh sb="11" eb="12">
      <t>テイ</t>
    </rPh>
    <rPh sb="12" eb="13">
      <t>チョウ</t>
    </rPh>
    <phoneticPr fontId="31"/>
  </si>
  <si>
    <t>療養介護Ⅰ３・地公体・定超・未計画１</t>
    <rPh sb="0" eb="2">
      <t>リョウヨウ</t>
    </rPh>
    <rPh sb="2" eb="4">
      <t>カイゴ</t>
    </rPh>
    <rPh sb="7" eb="8">
      <t>チ</t>
    </rPh>
    <rPh sb="8" eb="9">
      <t>コウ</t>
    </rPh>
    <rPh sb="9" eb="10">
      <t>タイ</t>
    </rPh>
    <rPh sb="11" eb="12">
      <t>テイ</t>
    </rPh>
    <rPh sb="12" eb="13">
      <t>チョウ</t>
    </rPh>
    <phoneticPr fontId="31"/>
  </si>
  <si>
    <t>療養介護Ⅰ３・地公体・定超・未計画２</t>
    <rPh sb="0" eb="2">
      <t>リョウヨウ</t>
    </rPh>
    <rPh sb="2" eb="4">
      <t>カイゴ</t>
    </rPh>
    <rPh sb="7" eb="8">
      <t>チ</t>
    </rPh>
    <rPh sb="8" eb="9">
      <t>コウ</t>
    </rPh>
    <rPh sb="9" eb="10">
      <t>タイ</t>
    </rPh>
    <rPh sb="11" eb="12">
      <t>テイ</t>
    </rPh>
    <rPh sb="12" eb="13">
      <t>チョウ</t>
    </rPh>
    <phoneticPr fontId="31"/>
  </si>
  <si>
    <t>療養介護Ⅰ４・定超</t>
    <rPh sb="0" eb="2">
      <t>リョウヨウ</t>
    </rPh>
    <rPh sb="2" eb="4">
      <t>カイゴ</t>
    </rPh>
    <rPh sb="7" eb="8">
      <t>テイ</t>
    </rPh>
    <rPh sb="8" eb="9">
      <t>チョウ</t>
    </rPh>
    <phoneticPr fontId="31"/>
  </si>
  <si>
    <t>療養介護Ⅰ４・定超・未計画１</t>
    <rPh sb="0" eb="2">
      <t>リョウヨウ</t>
    </rPh>
    <rPh sb="2" eb="4">
      <t>カイゴ</t>
    </rPh>
    <rPh sb="7" eb="8">
      <t>テイ</t>
    </rPh>
    <rPh sb="8" eb="9">
      <t>チョウ</t>
    </rPh>
    <phoneticPr fontId="31"/>
  </si>
  <si>
    <t>療養介護Ⅰ４・定超・未計画２</t>
    <rPh sb="0" eb="2">
      <t>リョウヨウ</t>
    </rPh>
    <rPh sb="2" eb="4">
      <t>カイゴ</t>
    </rPh>
    <rPh sb="7" eb="8">
      <t>テイ</t>
    </rPh>
    <rPh sb="8" eb="9">
      <t>チョウ</t>
    </rPh>
    <phoneticPr fontId="31"/>
  </si>
  <si>
    <t>療養介護Ⅰ４・地公体・定超</t>
    <rPh sb="0" eb="2">
      <t>リョウヨウ</t>
    </rPh>
    <rPh sb="2" eb="4">
      <t>カイゴ</t>
    </rPh>
    <rPh sb="7" eb="8">
      <t>チ</t>
    </rPh>
    <rPh sb="8" eb="9">
      <t>コウ</t>
    </rPh>
    <rPh sb="9" eb="10">
      <t>タイ</t>
    </rPh>
    <rPh sb="11" eb="12">
      <t>テイ</t>
    </rPh>
    <rPh sb="12" eb="13">
      <t>チョウ</t>
    </rPh>
    <phoneticPr fontId="31"/>
  </si>
  <si>
    <t>療養介護Ⅰ４・地公体・定超・未計画１</t>
    <rPh sb="0" eb="2">
      <t>リョウヨウ</t>
    </rPh>
    <rPh sb="2" eb="4">
      <t>カイゴ</t>
    </rPh>
    <rPh sb="7" eb="8">
      <t>チ</t>
    </rPh>
    <rPh sb="8" eb="9">
      <t>コウ</t>
    </rPh>
    <rPh sb="9" eb="10">
      <t>タイ</t>
    </rPh>
    <rPh sb="11" eb="12">
      <t>テイ</t>
    </rPh>
    <rPh sb="12" eb="13">
      <t>チョウ</t>
    </rPh>
    <phoneticPr fontId="31"/>
  </si>
  <si>
    <t>療養介護Ⅰ４・地公体・定超・未計画２</t>
    <rPh sb="0" eb="2">
      <t>リョウヨウ</t>
    </rPh>
    <rPh sb="2" eb="4">
      <t>カイゴ</t>
    </rPh>
    <rPh sb="7" eb="8">
      <t>チ</t>
    </rPh>
    <rPh sb="8" eb="9">
      <t>コウ</t>
    </rPh>
    <rPh sb="9" eb="10">
      <t>タイ</t>
    </rPh>
    <rPh sb="11" eb="12">
      <t>テイ</t>
    </rPh>
    <rPh sb="12" eb="13">
      <t>チョウ</t>
    </rPh>
    <phoneticPr fontId="31"/>
  </si>
  <si>
    <t>療養介護Ⅱ１・定超</t>
    <rPh sb="0" eb="2">
      <t>リョウヨウ</t>
    </rPh>
    <rPh sb="2" eb="4">
      <t>カイゴ</t>
    </rPh>
    <rPh sb="7" eb="8">
      <t>テイ</t>
    </rPh>
    <rPh sb="8" eb="9">
      <t>チョウ</t>
    </rPh>
    <phoneticPr fontId="31"/>
  </si>
  <si>
    <t>療養介護Ⅱ１・定超・未計画１</t>
    <rPh sb="0" eb="2">
      <t>リョウヨウ</t>
    </rPh>
    <rPh sb="2" eb="4">
      <t>カイゴ</t>
    </rPh>
    <rPh sb="7" eb="8">
      <t>テイ</t>
    </rPh>
    <rPh sb="8" eb="9">
      <t>チョウ</t>
    </rPh>
    <phoneticPr fontId="31"/>
  </si>
  <si>
    <t>療養介護Ⅱ１・定超・未計画２</t>
    <rPh sb="0" eb="2">
      <t>リョウヨウ</t>
    </rPh>
    <rPh sb="2" eb="4">
      <t>カイゴ</t>
    </rPh>
    <rPh sb="7" eb="8">
      <t>テイ</t>
    </rPh>
    <rPh sb="8" eb="9">
      <t>チョウ</t>
    </rPh>
    <phoneticPr fontId="31"/>
  </si>
  <si>
    <t>療養介護Ⅱ１・地公体・定超</t>
    <rPh sb="0" eb="2">
      <t>リョウヨウ</t>
    </rPh>
    <rPh sb="2" eb="4">
      <t>カイゴ</t>
    </rPh>
    <rPh sb="7" eb="8">
      <t>チ</t>
    </rPh>
    <rPh sb="8" eb="9">
      <t>コウ</t>
    </rPh>
    <rPh sb="9" eb="10">
      <t>タイ</t>
    </rPh>
    <rPh sb="11" eb="12">
      <t>テイ</t>
    </rPh>
    <rPh sb="12" eb="13">
      <t>チョウ</t>
    </rPh>
    <phoneticPr fontId="31"/>
  </si>
  <si>
    <t>療養介護Ⅱ１・地公体・定超・未計画１</t>
    <rPh sb="0" eb="2">
      <t>リョウヨウ</t>
    </rPh>
    <rPh sb="2" eb="4">
      <t>カイゴ</t>
    </rPh>
    <rPh sb="7" eb="8">
      <t>チ</t>
    </rPh>
    <rPh sb="8" eb="9">
      <t>コウ</t>
    </rPh>
    <rPh sb="9" eb="10">
      <t>タイ</t>
    </rPh>
    <rPh sb="11" eb="12">
      <t>テイ</t>
    </rPh>
    <rPh sb="12" eb="13">
      <t>チョウ</t>
    </rPh>
    <phoneticPr fontId="31"/>
  </si>
  <si>
    <t>療養介護Ⅱ１・地公体・定超・未計画２</t>
    <rPh sb="0" eb="2">
      <t>リョウヨウ</t>
    </rPh>
    <rPh sb="2" eb="4">
      <t>カイゴ</t>
    </rPh>
    <rPh sb="7" eb="8">
      <t>チ</t>
    </rPh>
    <rPh sb="8" eb="9">
      <t>コウ</t>
    </rPh>
    <rPh sb="9" eb="10">
      <t>タイ</t>
    </rPh>
    <rPh sb="11" eb="12">
      <t>テイ</t>
    </rPh>
    <rPh sb="12" eb="13">
      <t>チョウ</t>
    </rPh>
    <phoneticPr fontId="31"/>
  </si>
  <si>
    <t>療養介護Ⅱ２・定超</t>
    <rPh sb="0" eb="2">
      <t>リョウヨウ</t>
    </rPh>
    <rPh sb="2" eb="4">
      <t>カイゴ</t>
    </rPh>
    <rPh sb="7" eb="8">
      <t>テイ</t>
    </rPh>
    <rPh sb="8" eb="9">
      <t>チョウ</t>
    </rPh>
    <phoneticPr fontId="31"/>
  </si>
  <si>
    <t>療養介護Ⅱ２・定超・未計画１</t>
    <rPh sb="0" eb="2">
      <t>リョウヨウ</t>
    </rPh>
    <rPh sb="2" eb="4">
      <t>カイゴ</t>
    </rPh>
    <rPh sb="7" eb="8">
      <t>テイ</t>
    </rPh>
    <rPh sb="8" eb="9">
      <t>チョウ</t>
    </rPh>
    <phoneticPr fontId="31"/>
  </si>
  <si>
    <t>療養介護Ⅱ２・定超・未計画２</t>
    <rPh sb="0" eb="2">
      <t>リョウヨウ</t>
    </rPh>
    <rPh sb="2" eb="4">
      <t>カイゴ</t>
    </rPh>
    <rPh sb="7" eb="8">
      <t>テイ</t>
    </rPh>
    <rPh sb="8" eb="9">
      <t>チョウ</t>
    </rPh>
    <phoneticPr fontId="31"/>
  </si>
  <si>
    <t>療養介護Ⅱ２・地公体・定超</t>
    <rPh sb="0" eb="2">
      <t>リョウヨウ</t>
    </rPh>
    <rPh sb="2" eb="4">
      <t>カイゴ</t>
    </rPh>
    <rPh sb="7" eb="8">
      <t>チ</t>
    </rPh>
    <rPh sb="8" eb="9">
      <t>コウ</t>
    </rPh>
    <rPh sb="9" eb="10">
      <t>タイ</t>
    </rPh>
    <rPh sb="11" eb="12">
      <t>テイ</t>
    </rPh>
    <rPh sb="12" eb="13">
      <t>チョウ</t>
    </rPh>
    <phoneticPr fontId="31"/>
  </si>
  <si>
    <t>療養介護Ⅱ２・地公体・定超・未計画１</t>
    <rPh sb="0" eb="2">
      <t>リョウヨウ</t>
    </rPh>
    <rPh sb="2" eb="4">
      <t>カイゴ</t>
    </rPh>
    <rPh sb="7" eb="8">
      <t>チ</t>
    </rPh>
    <rPh sb="8" eb="9">
      <t>コウ</t>
    </rPh>
    <rPh sb="9" eb="10">
      <t>タイ</t>
    </rPh>
    <rPh sb="11" eb="12">
      <t>テイ</t>
    </rPh>
    <rPh sb="12" eb="13">
      <t>チョウ</t>
    </rPh>
    <phoneticPr fontId="31"/>
  </si>
  <si>
    <t>療養介護Ⅱ２・地公体・定超・未計画２</t>
    <rPh sb="0" eb="2">
      <t>リョウヨウ</t>
    </rPh>
    <rPh sb="2" eb="4">
      <t>カイゴ</t>
    </rPh>
    <rPh sb="7" eb="8">
      <t>チ</t>
    </rPh>
    <rPh sb="8" eb="9">
      <t>コウ</t>
    </rPh>
    <rPh sb="9" eb="10">
      <t>タイ</t>
    </rPh>
    <rPh sb="11" eb="12">
      <t>テイ</t>
    </rPh>
    <rPh sb="12" eb="13">
      <t>チョウ</t>
    </rPh>
    <phoneticPr fontId="31"/>
  </si>
  <si>
    <t>療養介護Ⅱ３・定超</t>
    <rPh sb="0" eb="2">
      <t>リョウヨウ</t>
    </rPh>
    <rPh sb="2" eb="4">
      <t>カイゴ</t>
    </rPh>
    <rPh sb="7" eb="8">
      <t>テイ</t>
    </rPh>
    <rPh sb="8" eb="9">
      <t>チョウ</t>
    </rPh>
    <phoneticPr fontId="31"/>
  </si>
  <si>
    <t>療養介護Ⅱ３・定超・未計画１</t>
    <rPh sb="0" eb="2">
      <t>リョウヨウ</t>
    </rPh>
    <rPh sb="2" eb="4">
      <t>カイゴ</t>
    </rPh>
    <rPh sb="7" eb="8">
      <t>テイ</t>
    </rPh>
    <rPh sb="8" eb="9">
      <t>チョウ</t>
    </rPh>
    <phoneticPr fontId="31"/>
  </si>
  <si>
    <t>療養介護Ⅱ３・定超・未計画２</t>
    <rPh sb="0" eb="2">
      <t>リョウヨウ</t>
    </rPh>
    <rPh sb="2" eb="4">
      <t>カイゴ</t>
    </rPh>
    <rPh sb="7" eb="8">
      <t>テイ</t>
    </rPh>
    <rPh sb="8" eb="9">
      <t>チョウ</t>
    </rPh>
    <phoneticPr fontId="31"/>
  </si>
  <si>
    <t>療養介護Ⅱ３・地公体・定超</t>
    <rPh sb="0" eb="2">
      <t>リョウヨウ</t>
    </rPh>
    <rPh sb="2" eb="4">
      <t>カイゴ</t>
    </rPh>
    <rPh sb="7" eb="8">
      <t>チ</t>
    </rPh>
    <rPh sb="8" eb="9">
      <t>コウ</t>
    </rPh>
    <rPh sb="9" eb="10">
      <t>タイ</t>
    </rPh>
    <rPh sb="11" eb="12">
      <t>テイ</t>
    </rPh>
    <rPh sb="12" eb="13">
      <t>チョウ</t>
    </rPh>
    <phoneticPr fontId="31"/>
  </si>
  <si>
    <t>療養介護Ⅱ３・地公体・定超・未計画１</t>
    <rPh sb="0" eb="2">
      <t>リョウヨウ</t>
    </rPh>
    <rPh sb="2" eb="4">
      <t>カイゴ</t>
    </rPh>
    <rPh sb="7" eb="8">
      <t>チ</t>
    </rPh>
    <rPh sb="8" eb="9">
      <t>コウ</t>
    </rPh>
    <rPh sb="9" eb="10">
      <t>タイ</t>
    </rPh>
    <rPh sb="11" eb="12">
      <t>テイ</t>
    </rPh>
    <rPh sb="12" eb="13">
      <t>チョウ</t>
    </rPh>
    <phoneticPr fontId="31"/>
  </si>
  <si>
    <t>療養介護Ⅱ３・地公体・定超・未計画２</t>
    <rPh sb="0" eb="2">
      <t>リョウヨウ</t>
    </rPh>
    <rPh sb="2" eb="4">
      <t>カイゴ</t>
    </rPh>
    <rPh sb="7" eb="8">
      <t>チ</t>
    </rPh>
    <rPh sb="8" eb="9">
      <t>コウ</t>
    </rPh>
    <rPh sb="9" eb="10">
      <t>タイ</t>
    </rPh>
    <rPh sb="11" eb="12">
      <t>テイ</t>
    </rPh>
    <rPh sb="12" eb="13">
      <t>チョウ</t>
    </rPh>
    <phoneticPr fontId="31"/>
  </si>
  <si>
    <t>療養介護Ⅱ４・定超</t>
    <rPh sb="0" eb="2">
      <t>リョウヨウ</t>
    </rPh>
    <rPh sb="2" eb="4">
      <t>カイゴ</t>
    </rPh>
    <rPh sb="7" eb="8">
      <t>テイ</t>
    </rPh>
    <rPh sb="8" eb="9">
      <t>チョウ</t>
    </rPh>
    <phoneticPr fontId="31"/>
  </si>
  <si>
    <t>療養介護Ⅱ４・定超・未計画１</t>
    <rPh sb="0" eb="2">
      <t>リョウヨウ</t>
    </rPh>
    <rPh sb="2" eb="4">
      <t>カイゴ</t>
    </rPh>
    <rPh sb="7" eb="8">
      <t>テイ</t>
    </rPh>
    <rPh sb="8" eb="9">
      <t>チョウ</t>
    </rPh>
    <phoneticPr fontId="31"/>
  </si>
  <si>
    <t>療養介護Ⅱ４・定超・未計画２</t>
    <rPh sb="0" eb="2">
      <t>リョウヨウ</t>
    </rPh>
    <rPh sb="2" eb="4">
      <t>カイゴ</t>
    </rPh>
    <rPh sb="7" eb="8">
      <t>テイ</t>
    </rPh>
    <rPh sb="8" eb="9">
      <t>チョウ</t>
    </rPh>
    <phoneticPr fontId="31"/>
  </si>
  <si>
    <t>療養介護Ⅱ４・地公体・定超</t>
    <rPh sb="0" eb="2">
      <t>リョウヨウ</t>
    </rPh>
    <rPh sb="2" eb="4">
      <t>カイゴ</t>
    </rPh>
    <rPh sb="7" eb="8">
      <t>チ</t>
    </rPh>
    <rPh sb="8" eb="9">
      <t>コウ</t>
    </rPh>
    <rPh sb="9" eb="10">
      <t>タイ</t>
    </rPh>
    <rPh sb="11" eb="12">
      <t>テイ</t>
    </rPh>
    <rPh sb="12" eb="13">
      <t>チョウ</t>
    </rPh>
    <phoneticPr fontId="31"/>
  </si>
  <si>
    <t>療養介護Ⅱ４・地公体・定超・未計画１</t>
    <rPh sb="0" eb="2">
      <t>リョウヨウ</t>
    </rPh>
    <rPh sb="2" eb="4">
      <t>カイゴ</t>
    </rPh>
    <rPh sb="7" eb="8">
      <t>チ</t>
    </rPh>
    <rPh sb="8" eb="9">
      <t>コウ</t>
    </rPh>
    <rPh sb="9" eb="10">
      <t>タイ</t>
    </rPh>
    <rPh sb="11" eb="12">
      <t>テイ</t>
    </rPh>
    <rPh sb="12" eb="13">
      <t>チョウ</t>
    </rPh>
    <phoneticPr fontId="31"/>
  </si>
  <si>
    <t>療養介護Ⅱ４・地公体・定超・未計画２</t>
    <rPh sb="0" eb="2">
      <t>リョウヨウ</t>
    </rPh>
    <rPh sb="2" eb="4">
      <t>カイゴ</t>
    </rPh>
    <rPh sb="7" eb="8">
      <t>チ</t>
    </rPh>
    <rPh sb="8" eb="9">
      <t>コウ</t>
    </rPh>
    <rPh sb="9" eb="10">
      <t>タイ</t>
    </rPh>
    <rPh sb="11" eb="12">
      <t>テイ</t>
    </rPh>
    <rPh sb="12" eb="13">
      <t>チョウ</t>
    </rPh>
    <phoneticPr fontId="31"/>
  </si>
  <si>
    <t>療養介護Ⅲ１・定超</t>
    <rPh sb="0" eb="2">
      <t>リョウヨウ</t>
    </rPh>
    <rPh sb="2" eb="4">
      <t>カイゴ</t>
    </rPh>
    <rPh sb="7" eb="8">
      <t>テイ</t>
    </rPh>
    <rPh sb="8" eb="9">
      <t>チョウ</t>
    </rPh>
    <phoneticPr fontId="31"/>
  </si>
  <si>
    <t>療養介護Ⅲ１・定超・未計画１</t>
    <rPh sb="0" eb="2">
      <t>リョウヨウ</t>
    </rPh>
    <rPh sb="2" eb="4">
      <t>カイゴ</t>
    </rPh>
    <rPh sb="7" eb="8">
      <t>テイ</t>
    </rPh>
    <rPh sb="8" eb="9">
      <t>チョウ</t>
    </rPh>
    <phoneticPr fontId="31"/>
  </si>
  <si>
    <t>療養介護Ⅲ１・定超・未計画２</t>
    <rPh sb="0" eb="2">
      <t>リョウヨウ</t>
    </rPh>
    <rPh sb="2" eb="4">
      <t>カイゴ</t>
    </rPh>
    <rPh sb="7" eb="8">
      <t>テイ</t>
    </rPh>
    <rPh sb="8" eb="9">
      <t>チョウ</t>
    </rPh>
    <phoneticPr fontId="31"/>
  </si>
  <si>
    <t>療養介護Ⅲ１・地公体・定超</t>
    <rPh sb="0" eb="2">
      <t>リョウヨウ</t>
    </rPh>
    <rPh sb="2" eb="4">
      <t>カイゴ</t>
    </rPh>
    <rPh sb="7" eb="8">
      <t>チ</t>
    </rPh>
    <rPh sb="8" eb="9">
      <t>コウ</t>
    </rPh>
    <rPh sb="9" eb="10">
      <t>タイ</t>
    </rPh>
    <rPh sb="11" eb="12">
      <t>テイ</t>
    </rPh>
    <rPh sb="12" eb="13">
      <t>チョウ</t>
    </rPh>
    <phoneticPr fontId="31"/>
  </si>
  <si>
    <t>療養介護Ⅲ１・地公体・定超・未計画１</t>
    <rPh sb="0" eb="2">
      <t>リョウヨウ</t>
    </rPh>
    <rPh sb="2" eb="4">
      <t>カイゴ</t>
    </rPh>
    <rPh sb="7" eb="8">
      <t>チ</t>
    </rPh>
    <rPh sb="8" eb="9">
      <t>コウ</t>
    </rPh>
    <rPh sb="9" eb="10">
      <t>タイ</t>
    </rPh>
    <rPh sb="11" eb="12">
      <t>テイ</t>
    </rPh>
    <rPh sb="12" eb="13">
      <t>チョウ</t>
    </rPh>
    <phoneticPr fontId="31"/>
  </si>
  <si>
    <t>療養介護Ⅲ１・地公体・定超・未計画２</t>
    <rPh sb="0" eb="2">
      <t>リョウヨウ</t>
    </rPh>
    <rPh sb="2" eb="4">
      <t>カイゴ</t>
    </rPh>
    <rPh sb="7" eb="8">
      <t>チ</t>
    </rPh>
    <rPh sb="8" eb="9">
      <t>コウ</t>
    </rPh>
    <rPh sb="9" eb="10">
      <t>タイ</t>
    </rPh>
    <rPh sb="11" eb="12">
      <t>テイ</t>
    </rPh>
    <rPh sb="12" eb="13">
      <t>チョウ</t>
    </rPh>
    <phoneticPr fontId="31"/>
  </si>
  <si>
    <t>療養介護Ⅲ２・定超</t>
    <rPh sb="0" eb="2">
      <t>リョウヨウ</t>
    </rPh>
    <rPh sb="2" eb="4">
      <t>カイゴ</t>
    </rPh>
    <rPh sb="7" eb="8">
      <t>テイ</t>
    </rPh>
    <rPh sb="8" eb="9">
      <t>チョウ</t>
    </rPh>
    <phoneticPr fontId="31"/>
  </si>
  <si>
    <t>療養介護Ⅲ２・定超・未計画１</t>
    <rPh sb="0" eb="2">
      <t>リョウヨウ</t>
    </rPh>
    <rPh sb="2" eb="4">
      <t>カイゴ</t>
    </rPh>
    <rPh sb="7" eb="8">
      <t>テイ</t>
    </rPh>
    <rPh sb="8" eb="9">
      <t>チョウ</t>
    </rPh>
    <phoneticPr fontId="31"/>
  </si>
  <si>
    <t>療養介護Ⅲ２・定超・未計画２</t>
    <rPh sb="0" eb="2">
      <t>リョウヨウ</t>
    </rPh>
    <rPh sb="2" eb="4">
      <t>カイゴ</t>
    </rPh>
    <rPh sb="7" eb="8">
      <t>テイ</t>
    </rPh>
    <rPh sb="8" eb="9">
      <t>チョウ</t>
    </rPh>
    <phoneticPr fontId="31"/>
  </si>
  <si>
    <t>療養介護Ⅲ２・地公体・定超</t>
    <rPh sb="0" eb="2">
      <t>リョウヨウ</t>
    </rPh>
    <rPh sb="2" eb="4">
      <t>カイゴ</t>
    </rPh>
    <rPh sb="7" eb="8">
      <t>チ</t>
    </rPh>
    <rPh sb="8" eb="9">
      <t>コウ</t>
    </rPh>
    <rPh sb="9" eb="10">
      <t>タイ</t>
    </rPh>
    <rPh sb="11" eb="12">
      <t>テイ</t>
    </rPh>
    <rPh sb="12" eb="13">
      <t>チョウ</t>
    </rPh>
    <phoneticPr fontId="31"/>
  </si>
  <si>
    <t>療養介護Ⅲ２・地公体・定超・未計画１</t>
    <rPh sb="0" eb="2">
      <t>リョウヨウ</t>
    </rPh>
    <rPh sb="2" eb="4">
      <t>カイゴ</t>
    </rPh>
    <rPh sb="7" eb="8">
      <t>チ</t>
    </rPh>
    <rPh sb="8" eb="9">
      <t>コウ</t>
    </rPh>
    <rPh sb="9" eb="10">
      <t>タイ</t>
    </rPh>
    <rPh sb="11" eb="12">
      <t>テイ</t>
    </rPh>
    <rPh sb="12" eb="13">
      <t>チョウ</t>
    </rPh>
    <phoneticPr fontId="31"/>
  </si>
  <si>
    <t>療養介護Ⅲ２・地公体・定超・未計画２</t>
    <rPh sb="0" eb="2">
      <t>リョウヨウ</t>
    </rPh>
    <rPh sb="2" eb="4">
      <t>カイゴ</t>
    </rPh>
    <rPh sb="7" eb="8">
      <t>チ</t>
    </rPh>
    <rPh sb="8" eb="9">
      <t>コウ</t>
    </rPh>
    <rPh sb="9" eb="10">
      <t>タイ</t>
    </rPh>
    <rPh sb="11" eb="12">
      <t>テイ</t>
    </rPh>
    <rPh sb="12" eb="13">
      <t>チョウ</t>
    </rPh>
    <phoneticPr fontId="31"/>
  </si>
  <si>
    <t>療養介護Ⅲ３・定超</t>
    <rPh sb="0" eb="2">
      <t>リョウヨウ</t>
    </rPh>
    <rPh sb="2" eb="4">
      <t>カイゴ</t>
    </rPh>
    <rPh sb="7" eb="8">
      <t>テイ</t>
    </rPh>
    <rPh sb="8" eb="9">
      <t>チョウ</t>
    </rPh>
    <phoneticPr fontId="31"/>
  </si>
  <si>
    <t>療養介護Ⅲ３・定超・未計画１</t>
    <rPh sb="0" eb="2">
      <t>リョウヨウ</t>
    </rPh>
    <rPh sb="2" eb="4">
      <t>カイゴ</t>
    </rPh>
    <rPh sb="7" eb="8">
      <t>テイ</t>
    </rPh>
    <rPh sb="8" eb="9">
      <t>チョウ</t>
    </rPh>
    <phoneticPr fontId="31"/>
  </si>
  <si>
    <t>療養介護Ⅲ３・定超・未計画２</t>
    <rPh sb="0" eb="2">
      <t>リョウヨウ</t>
    </rPh>
    <rPh sb="2" eb="4">
      <t>カイゴ</t>
    </rPh>
    <rPh sb="7" eb="8">
      <t>テイ</t>
    </rPh>
    <rPh sb="8" eb="9">
      <t>チョウ</t>
    </rPh>
    <phoneticPr fontId="31"/>
  </si>
  <si>
    <t>療養介護Ⅲ３・地公体・定超</t>
    <rPh sb="0" eb="2">
      <t>リョウヨウ</t>
    </rPh>
    <rPh sb="2" eb="4">
      <t>カイゴ</t>
    </rPh>
    <rPh sb="7" eb="8">
      <t>チ</t>
    </rPh>
    <rPh sb="8" eb="9">
      <t>コウ</t>
    </rPh>
    <rPh sb="9" eb="10">
      <t>タイ</t>
    </rPh>
    <rPh sb="11" eb="12">
      <t>テイ</t>
    </rPh>
    <rPh sb="12" eb="13">
      <t>チョウ</t>
    </rPh>
    <phoneticPr fontId="31"/>
  </si>
  <si>
    <t>療養介護Ⅲ３・地公体・定超・未計画１</t>
    <rPh sb="0" eb="2">
      <t>リョウヨウ</t>
    </rPh>
    <rPh sb="2" eb="4">
      <t>カイゴ</t>
    </rPh>
    <rPh sb="7" eb="8">
      <t>チ</t>
    </rPh>
    <rPh sb="8" eb="9">
      <t>コウ</t>
    </rPh>
    <rPh sb="9" eb="10">
      <t>タイ</t>
    </rPh>
    <rPh sb="11" eb="12">
      <t>テイ</t>
    </rPh>
    <rPh sb="12" eb="13">
      <t>チョウ</t>
    </rPh>
    <phoneticPr fontId="31"/>
  </si>
  <si>
    <t>療養介護Ⅲ３・地公体・定超・未計画２</t>
    <rPh sb="0" eb="2">
      <t>リョウヨウ</t>
    </rPh>
    <rPh sb="2" eb="4">
      <t>カイゴ</t>
    </rPh>
    <rPh sb="7" eb="8">
      <t>チ</t>
    </rPh>
    <rPh sb="8" eb="9">
      <t>コウ</t>
    </rPh>
    <rPh sb="9" eb="10">
      <t>タイ</t>
    </rPh>
    <rPh sb="11" eb="12">
      <t>テイ</t>
    </rPh>
    <rPh sb="12" eb="13">
      <t>チョウ</t>
    </rPh>
    <phoneticPr fontId="31"/>
  </si>
  <si>
    <t>療養介護Ⅲ４・定超</t>
    <rPh sb="0" eb="2">
      <t>リョウヨウ</t>
    </rPh>
    <rPh sb="2" eb="4">
      <t>カイゴ</t>
    </rPh>
    <rPh sb="7" eb="8">
      <t>テイ</t>
    </rPh>
    <rPh sb="8" eb="9">
      <t>チョウ</t>
    </rPh>
    <phoneticPr fontId="31"/>
  </si>
  <si>
    <t>療養介護Ⅲ４・定超・未計画１</t>
    <rPh sb="0" eb="2">
      <t>リョウヨウ</t>
    </rPh>
    <rPh sb="2" eb="4">
      <t>カイゴ</t>
    </rPh>
    <rPh sb="7" eb="8">
      <t>テイ</t>
    </rPh>
    <rPh sb="8" eb="9">
      <t>チョウ</t>
    </rPh>
    <phoneticPr fontId="31"/>
  </si>
  <si>
    <t>療養介護Ⅲ４・定超・未計画２</t>
    <rPh sb="0" eb="2">
      <t>リョウヨウ</t>
    </rPh>
    <rPh sb="2" eb="4">
      <t>カイゴ</t>
    </rPh>
    <rPh sb="7" eb="8">
      <t>テイ</t>
    </rPh>
    <rPh sb="8" eb="9">
      <t>チョウ</t>
    </rPh>
    <phoneticPr fontId="31"/>
  </si>
  <si>
    <t>療養介護Ⅲ４・地公体・定超</t>
    <rPh sb="0" eb="2">
      <t>リョウヨウ</t>
    </rPh>
    <rPh sb="2" eb="4">
      <t>カイゴ</t>
    </rPh>
    <rPh sb="7" eb="8">
      <t>チ</t>
    </rPh>
    <rPh sb="8" eb="9">
      <t>コウ</t>
    </rPh>
    <rPh sb="9" eb="10">
      <t>タイ</t>
    </rPh>
    <rPh sb="11" eb="12">
      <t>テイ</t>
    </rPh>
    <rPh sb="12" eb="13">
      <t>チョウ</t>
    </rPh>
    <phoneticPr fontId="31"/>
  </si>
  <si>
    <t>療養介護Ⅲ４・地公体・定超・未計画１</t>
    <rPh sb="0" eb="2">
      <t>リョウヨウ</t>
    </rPh>
    <rPh sb="2" eb="4">
      <t>カイゴ</t>
    </rPh>
    <rPh sb="7" eb="8">
      <t>チ</t>
    </rPh>
    <rPh sb="8" eb="9">
      <t>コウ</t>
    </rPh>
    <rPh sb="9" eb="10">
      <t>タイ</t>
    </rPh>
    <rPh sb="11" eb="12">
      <t>テイ</t>
    </rPh>
    <rPh sb="12" eb="13">
      <t>チョウ</t>
    </rPh>
    <phoneticPr fontId="31"/>
  </si>
  <si>
    <t>療養介護Ⅲ４・地公体・定超・未計画２</t>
    <rPh sb="0" eb="2">
      <t>リョウヨウ</t>
    </rPh>
    <rPh sb="2" eb="4">
      <t>カイゴ</t>
    </rPh>
    <rPh sb="7" eb="8">
      <t>チ</t>
    </rPh>
    <rPh sb="8" eb="9">
      <t>コウ</t>
    </rPh>
    <rPh sb="9" eb="10">
      <t>タイ</t>
    </rPh>
    <rPh sb="11" eb="12">
      <t>テイ</t>
    </rPh>
    <rPh sb="12" eb="13">
      <t>チョウ</t>
    </rPh>
    <phoneticPr fontId="31"/>
  </si>
  <si>
    <t>療養介護Ⅳ１・定超</t>
    <rPh sb="7" eb="8">
      <t>テイ</t>
    </rPh>
    <rPh sb="8" eb="9">
      <t>チョウ</t>
    </rPh>
    <phoneticPr fontId="31"/>
  </si>
  <si>
    <t>療養介護Ⅳ１・定超・未計画１</t>
    <rPh sb="7" eb="8">
      <t>テイ</t>
    </rPh>
    <rPh sb="8" eb="9">
      <t>チョウ</t>
    </rPh>
    <phoneticPr fontId="31"/>
  </si>
  <si>
    <t>療養介護Ⅳ１・定超・未計画２</t>
    <rPh sb="7" eb="8">
      <t>テイ</t>
    </rPh>
    <rPh sb="8" eb="9">
      <t>チョウ</t>
    </rPh>
    <phoneticPr fontId="31"/>
  </si>
  <si>
    <t>療養介護Ⅳ２・定超</t>
    <rPh sb="7" eb="8">
      <t>テイ</t>
    </rPh>
    <rPh sb="8" eb="9">
      <t>チョウ</t>
    </rPh>
    <phoneticPr fontId="31"/>
  </si>
  <si>
    <t>療養介護Ⅳ２・定超・未計画１</t>
    <rPh sb="7" eb="8">
      <t>テイ</t>
    </rPh>
    <rPh sb="8" eb="9">
      <t>チョウ</t>
    </rPh>
    <phoneticPr fontId="31"/>
  </si>
  <si>
    <t>療養介護Ⅳ２・定超・未計画２</t>
    <rPh sb="7" eb="8">
      <t>テイ</t>
    </rPh>
    <rPh sb="8" eb="9">
      <t>チョウ</t>
    </rPh>
    <phoneticPr fontId="31"/>
  </si>
  <si>
    <t>療養介護Ⅳ３・定超</t>
    <rPh sb="7" eb="8">
      <t>テイ</t>
    </rPh>
    <rPh sb="8" eb="9">
      <t>チョウ</t>
    </rPh>
    <phoneticPr fontId="31"/>
  </si>
  <si>
    <t>療養介護Ⅳ３・定超・未計画１</t>
    <rPh sb="7" eb="8">
      <t>テイ</t>
    </rPh>
    <rPh sb="8" eb="9">
      <t>チョウ</t>
    </rPh>
    <phoneticPr fontId="31"/>
  </si>
  <si>
    <t>療養介護Ⅳ３・定超・未計画２</t>
    <rPh sb="7" eb="8">
      <t>テイ</t>
    </rPh>
    <rPh sb="8" eb="9">
      <t>チョウ</t>
    </rPh>
    <phoneticPr fontId="31"/>
  </si>
  <si>
    <t>療養介護Ⅳ４・定超</t>
    <rPh sb="7" eb="8">
      <t>テイ</t>
    </rPh>
    <rPh sb="8" eb="9">
      <t>チョウ</t>
    </rPh>
    <phoneticPr fontId="31"/>
  </si>
  <si>
    <t>療養介護Ⅳ４・定超・未計画１</t>
    <rPh sb="7" eb="8">
      <t>テイ</t>
    </rPh>
    <rPh sb="8" eb="9">
      <t>チョウ</t>
    </rPh>
    <phoneticPr fontId="31"/>
  </si>
  <si>
    <t>療養介護Ⅳ４・定超・未計画２</t>
    <rPh sb="7" eb="8">
      <t>テイ</t>
    </rPh>
    <rPh sb="8" eb="9">
      <t>チョウ</t>
    </rPh>
    <phoneticPr fontId="31"/>
  </si>
  <si>
    <t>療養介護Ⅴ１・定超</t>
    <rPh sb="7" eb="8">
      <t>テイ</t>
    </rPh>
    <rPh sb="8" eb="9">
      <t>チョウ</t>
    </rPh>
    <phoneticPr fontId="31"/>
  </si>
  <si>
    <t>療養介護Ⅴ１・定超・未計画１</t>
    <rPh sb="7" eb="8">
      <t>テイ</t>
    </rPh>
    <rPh sb="8" eb="9">
      <t>チョウ</t>
    </rPh>
    <phoneticPr fontId="31"/>
  </si>
  <si>
    <t>療養介護Ⅴ１・定超・未計画２</t>
    <rPh sb="7" eb="8">
      <t>テイ</t>
    </rPh>
    <rPh sb="8" eb="9">
      <t>チョウ</t>
    </rPh>
    <phoneticPr fontId="31"/>
  </si>
  <si>
    <t>療養介護Ⅴ１・地公体・定超</t>
    <rPh sb="7" eb="8">
      <t>チ</t>
    </rPh>
    <rPh sb="8" eb="9">
      <t>コウ</t>
    </rPh>
    <rPh sb="9" eb="10">
      <t>タイ</t>
    </rPh>
    <rPh sb="11" eb="12">
      <t>テイ</t>
    </rPh>
    <rPh sb="12" eb="13">
      <t>チョウ</t>
    </rPh>
    <phoneticPr fontId="31"/>
  </si>
  <si>
    <t>療養介護Ⅴ１・地公体・定超・未計画１</t>
    <rPh sb="7" eb="8">
      <t>チ</t>
    </rPh>
    <rPh sb="8" eb="9">
      <t>コウ</t>
    </rPh>
    <rPh sb="9" eb="10">
      <t>タイ</t>
    </rPh>
    <rPh sb="11" eb="12">
      <t>テイ</t>
    </rPh>
    <rPh sb="12" eb="13">
      <t>チョウ</t>
    </rPh>
    <phoneticPr fontId="31"/>
  </si>
  <si>
    <t>療養介護Ⅴ１・地公体・定超・未計画２</t>
    <rPh sb="7" eb="8">
      <t>チ</t>
    </rPh>
    <rPh sb="8" eb="9">
      <t>コウ</t>
    </rPh>
    <rPh sb="9" eb="10">
      <t>タイ</t>
    </rPh>
    <rPh sb="11" eb="12">
      <t>テイ</t>
    </rPh>
    <rPh sb="12" eb="13">
      <t>チョウ</t>
    </rPh>
    <phoneticPr fontId="31"/>
  </si>
  <si>
    <t>療養介護Ⅴ２・定超</t>
    <rPh sb="7" eb="8">
      <t>テイ</t>
    </rPh>
    <rPh sb="8" eb="9">
      <t>チョウ</t>
    </rPh>
    <phoneticPr fontId="31"/>
  </si>
  <si>
    <t>療養介護Ⅴ２・定超・未計画１</t>
    <rPh sb="7" eb="8">
      <t>テイ</t>
    </rPh>
    <rPh sb="8" eb="9">
      <t>チョウ</t>
    </rPh>
    <phoneticPr fontId="31"/>
  </si>
  <si>
    <t>療養介護Ⅴ２・定超・未計画２</t>
    <rPh sb="7" eb="8">
      <t>テイ</t>
    </rPh>
    <rPh sb="8" eb="9">
      <t>チョウ</t>
    </rPh>
    <phoneticPr fontId="31"/>
  </si>
  <si>
    <t>療養介護Ⅴ２・地公体・定超</t>
    <rPh sb="7" eb="8">
      <t>チ</t>
    </rPh>
    <rPh sb="8" eb="9">
      <t>コウ</t>
    </rPh>
    <rPh sb="9" eb="10">
      <t>タイ</t>
    </rPh>
    <rPh sb="11" eb="12">
      <t>テイ</t>
    </rPh>
    <rPh sb="12" eb="13">
      <t>チョウ</t>
    </rPh>
    <phoneticPr fontId="31"/>
  </si>
  <si>
    <t>療養介護Ⅴ２・地公体・定超・未計画１</t>
    <rPh sb="7" eb="8">
      <t>チ</t>
    </rPh>
    <rPh sb="8" eb="9">
      <t>コウ</t>
    </rPh>
    <rPh sb="9" eb="10">
      <t>タイ</t>
    </rPh>
    <rPh sb="11" eb="12">
      <t>テイ</t>
    </rPh>
    <rPh sb="12" eb="13">
      <t>チョウ</t>
    </rPh>
    <phoneticPr fontId="31"/>
  </si>
  <si>
    <t>療養介護Ⅴ２・地公体・定超・未計画２</t>
    <rPh sb="7" eb="8">
      <t>チ</t>
    </rPh>
    <rPh sb="8" eb="9">
      <t>コウ</t>
    </rPh>
    <rPh sb="9" eb="10">
      <t>タイ</t>
    </rPh>
    <rPh sb="11" eb="12">
      <t>テイ</t>
    </rPh>
    <rPh sb="12" eb="13">
      <t>チョウ</t>
    </rPh>
    <phoneticPr fontId="31"/>
  </si>
  <si>
    <t>療養介護Ⅴ３・定超</t>
    <rPh sb="7" eb="8">
      <t>テイ</t>
    </rPh>
    <rPh sb="8" eb="9">
      <t>チョウ</t>
    </rPh>
    <phoneticPr fontId="31"/>
  </si>
  <si>
    <t>療養介護Ⅴ３・定超・未計画１</t>
    <rPh sb="7" eb="8">
      <t>テイ</t>
    </rPh>
    <rPh sb="8" eb="9">
      <t>チョウ</t>
    </rPh>
    <phoneticPr fontId="31"/>
  </si>
  <si>
    <t>療養介護Ⅴ３・定超・未計画２</t>
    <rPh sb="7" eb="8">
      <t>テイ</t>
    </rPh>
    <rPh sb="8" eb="9">
      <t>チョウ</t>
    </rPh>
    <phoneticPr fontId="31"/>
  </si>
  <si>
    <t>療養介護Ⅴ３・地公体・定超</t>
    <rPh sb="7" eb="8">
      <t>チ</t>
    </rPh>
    <rPh sb="8" eb="9">
      <t>コウ</t>
    </rPh>
    <rPh sb="9" eb="10">
      <t>タイ</t>
    </rPh>
    <rPh sb="11" eb="12">
      <t>テイ</t>
    </rPh>
    <rPh sb="12" eb="13">
      <t>チョウ</t>
    </rPh>
    <phoneticPr fontId="31"/>
  </si>
  <si>
    <t>療養介護Ⅴ３・地公体・定超・未計画１</t>
    <rPh sb="7" eb="8">
      <t>チ</t>
    </rPh>
    <rPh sb="8" eb="9">
      <t>コウ</t>
    </rPh>
    <rPh sb="9" eb="10">
      <t>タイ</t>
    </rPh>
    <rPh sb="11" eb="12">
      <t>テイ</t>
    </rPh>
    <rPh sb="12" eb="13">
      <t>チョウ</t>
    </rPh>
    <phoneticPr fontId="31"/>
  </si>
  <si>
    <t>療養介護Ⅴ３・地公体・定超・未計画２</t>
    <rPh sb="7" eb="8">
      <t>チ</t>
    </rPh>
    <rPh sb="8" eb="9">
      <t>コウ</t>
    </rPh>
    <rPh sb="9" eb="10">
      <t>タイ</t>
    </rPh>
    <rPh sb="11" eb="12">
      <t>テイ</t>
    </rPh>
    <rPh sb="12" eb="13">
      <t>チョウ</t>
    </rPh>
    <phoneticPr fontId="31"/>
  </si>
  <si>
    <t>療養介護Ⅴ４・定超</t>
    <rPh sb="7" eb="8">
      <t>テイ</t>
    </rPh>
    <rPh sb="8" eb="9">
      <t>チョウ</t>
    </rPh>
    <phoneticPr fontId="31"/>
  </si>
  <si>
    <t>療養介護Ⅴ４・定超・未計画１</t>
    <rPh sb="7" eb="8">
      <t>テイ</t>
    </rPh>
    <rPh sb="8" eb="9">
      <t>チョウ</t>
    </rPh>
    <phoneticPr fontId="31"/>
  </si>
  <si>
    <t>療養介護Ⅴ４・定超・未計画２</t>
    <rPh sb="7" eb="8">
      <t>テイ</t>
    </rPh>
    <rPh sb="8" eb="9">
      <t>チョウ</t>
    </rPh>
    <phoneticPr fontId="31"/>
  </si>
  <si>
    <t>療養介護Ⅴ４・地公体・定超</t>
    <rPh sb="7" eb="8">
      <t>チ</t>
    </rPh>
    <rPh sb="8" eb="9">
      <t>コウ</t>
    </rPh>
    <rPh sb="9" eb="10">
      <t>タイ</t>
    </rPh>
    <rPh sb="11" eb="12">
      <t>テイ</t>
    </rPh>
    <rPh sb="12" eb="13">
      <t>チョウ</t>
    </rPh>
    <phoneticPr fontId="31"/>
  </si>
  <si>
    <t>療養介護Ⅴ４・地公体・定超・未計画１</t>
    <rPh sb="7" eb="8">
      <t>チ</t>
    </rPh>
    <rPh sb="8" eb="9">
      <t>コウ</t>
    </rPh>
    <rPh sb="9" eb="10">
      <t>タイ</t>
    </rPh>
    <rPh sb="11" eb="12">
      <t>テイ</t>
    </rPh>
    <rPh sb="12" eb="13">
      <t>チョウ</t>
    </rPh>
    <phoneticPr fontId="31"/>
  </si>
  <si>
    <t>療養介護Ⅴ４・地公体・定超・未計画２</t>
    <rPh sb="7" eb="8">
      <t>チ</t>
    </rPh>
    <rPh sb="8" eb="9">
      <t>コウ</t>
    </rPh>
    <rPh sb="9" eb="10">
      <t>タイ</t>
    </rPh>
    <rPh sb="11" eb="12">
      <t>テイ</t>
    </rPh>
    <rPh sb="12" eb="13">
      <t>チョウ</t>
    </rPh>
    <phoneticPr fontId="31"/>
  </si>
  <si>
    <t>経過的療養介護Ⅰ１・定超</t>
    <rPh sb="10" eb="11">
      <t>テイ</t>
    </rPh>
    <rPh sb="11" eb="12">
      <t>チョウ</t>
    </rPh>
    <phoneticPr fontId="31"/>
  </si>
  <si>
    <t>経過的療養介護Ⅰ１・定超・未計画１</t>
    <rPh sb="10" eb="11">
      <t>テイ</t>
    </rPh>
    <rPh sb="11" eb="12">
      <t>チョウ</t>
    </rPh>
    <phoneticPr fontId="31"/>
  </si>
  <si>
    <t>経過的療養介護Ⅰ１・定超・未計画２</t>
    <rPh sb="10" eb="11">
      <t>テイ</t>
    </rPh>
    <rPh sb="11" eb="12">
      <t>チョウ</t>
    </rPh>
    <phoneticPr fontId="31"/>
  </si>
  <si>
    <t>経過的療養介護Ⅰ１・地公体・定超</t>
    <rPh sb="10" eb="11">
      <t>チ</t>
    </rPh>
    <rPh sb="11" eb="12">
      <t>コウ</t>
    </rPh>
    <rPh sb="12" eb="13">
      <t>タイ</t>
    </rPh>
    <rPh sb="14" eb="15">
      <t>テイ</t>
    </rPh>
    <rPh sb="15" eb="16">
      <t>チョウ</t>
    </rPh>
    <phoneticPr fontId="31"/>
  </si>
  <si>
    <t>経過的療養介護Ⅰ１・地公体・定超・未計画１</t>
    <rPh sb="10" eb="11">
      <t>チ</t>
    </rPh>
    <rPh sb="11" eb="12">
      <t>コウ</t>
    </rPh>
    <rPh sb="12" eb="13">
      <t>タイ</t>
    </rPh>
    <rPh sb="14" eb="15">
      <t>テイ</t>
    </rPh>
    <rPh sb="15" eb="16">
      <t>チョウ</t>
    </rPh>
    <phoneticPr fontId="31"/>
  </si>
  <si>
    <t>経過的療養介護Ⅰ１・地公体・定超・未計画２</t>
    <rPh sb="10" eb="11">
      <t>チ</t>
    </rPh>
    <rPh sb="11" eb="12">
      <t>コウ</t>
    </rPh>
    <rPh sb="12" eb="13">
      <t>タイ</t>
    </rPh>
    <rPh sb="14" eb="15">
      <t>テイ</t>
    </rPh>
    <rPh sb="15" eb="16">
      <t>チョウ</t>
    </rPh>
    <phoneticPr fontId="31"/>
  </si>
  <si>
    <t>経過的療養介護Ⅰ２・定超</t>
    <rPh sb="10" eb="11">
      <t>テイ</t>
    </rPh>
    <rPh sb="11" eb="12">
      <t>チョウ</t>
    </rPh>
    <phoneticPr fontId="31"/>
  </si>
  <si>
    <t>経過的療養介護Ⅰ２・定超・未計画１</t>
    <rPh sb="10" eb="11">
      <t>テイ</t>
    </rPh>
    <rPh sb="11" eb="12">
      <t>チョウ</t>
    </rPh>
    <phoneticPr fontId="31"/>
  </si>
  <si>
    <t>経過的療養介護Ⅰ２・定超・未計画２</t>
    <rPh sb="10" eb="11">
      <t>テイ</t>
    </rPh>
    <rPh sb="11" eb="12">
      <t>チョウ</t>
    </rPh>
    <phoneticPr fontId="31"/>
  </si>
  <si>
    <t>経過的療養介護Ⅰ２・地公体・定超</t>
    <rPh sb="10" eb="11">
      <t>チ</t>
    </rPh>
    <rPh sb="11" eb="12">
      <t>コウ</t>
    </rPh>
    <rPh sb="12" eb="13">
      <t>タイ</t>
    </rPh>
    <rPh sb="14" eb="15">
      <t>テイ</t>
    </rPh>
    <rPh sb="15" eb="16">
      <t>チョウ</t>
    </rPh>
    <phoneticPr fontId="31"/>
  </si>
  <si>
    <t>経過的療養介護Ⅰ２・地公体・定超・未計画１</t>
    <rPh sb="10" eb="11">
      <t>チ</t>
    </rPh>
    <rPh sb="11" eb="12">
      <t>コウ</t>
    </rPh>
    <rPh sb="12" eb="13">
      <t>タイ</t>
    </rPh>
    <rPh sb="14" eb="15">
      <t>テイ</t>
    </rPh>
    <rPh sb="15" eb="16">
      <t>チョウ</t>
    </rPh>
    <phoneticPr fontId="31"/>
  </si>
  <si>
    <t>経過的療養介護Ⅰ２・地公体・定超・未計画２</t>
    <rPh sb="10" eb="11">
      <t>チ</t>
    </rPh>
    <rPh sb="11" eb="12">
      <t>コウ</t>
    </rPh>
    <rPh sb="12" eb="13">
      <t>タイ</t>
    </rPh>
    <rPh sb="14" eb="15">
      <t>テイ</t>
    </rPh>
    <rPh sb="15" eb="16">
      <t>チョウ</t>
    </rPh>
    <phoneticPr fontId="31"/>
  </si>
  <si>
    <t>経過的療養介護Ⅰ３・定超</t>
    <rPh sb="10" eb="11">
      <t>テイ</t>
    </rPh>
    <rPh sb="11" eb="12">
      <t>チョウ</t>
    </rPh>
    <phoneticPr fontId="31"/>
  </si>
  <si>
    <t>経過的療養介護Ⅰ３・定超・未計画１</t>
    <rPh sb="10" eb="11">
      <t>テイ</t>
    </rPh>
    <rPh sb="11" eb="12">
      <t>チョウ</t>
    </rPh>
    <phoneticPr fontId="31"/>
  </si>
  <si>
    <t>経過的療養介護Ⅰ３・定超・未計画２</t>
    <rPh sb="10" eb="11">
      <t>テイ</t>
    </rPh>
    <rPh sb="11" eb="12">
      <t>チョウ</t>
    </rPh>
    <phoneticPr fontId="31"/>
  </si>
  <si>
    <t>経過的療養介護Ⅰ３・地公体・定超</t>
    <rPh sb="10" eb="11">
      <t>チ</t>
    </rPh>
    <rPh sb="11" eb="12">
      <t>コウ</t>
    </rPh>
    <rPh sb="12" eb="13">
      <t>タイ</t>
    </rPh>
    <rPh sb="14" eb="15">
      <t>テイ</t>
    </rPh>
    <rPh sb="15" eb="16">
      <t>チョウ</t>
    </rPh>
    <phoneticPr fontId="31"/>
  </si>
  <si>
    <t>経過的療養介護Ⅰ３・地公体・定超・未計画１</t>
    <rPh sb="10" eb="11">
      <t>チ</t>
    </rPh>
    <rPh sb="11" eb="12">
      <t>コウ</t>
    </rPh>
    <rPh sb="12" eb="13">
      <t>タイ</t>
    </rPh>
    <rPh sb="14" eb="15">
      <t>テイ</t>
    </rPh>
    <rPh sb="15" eb="16">
      <t>チョウ</t>
    </rPh>
    <phoneticPr fontId="31"/>
  </si>
  <si>
    <t>経過的療養介護Ⅰ３・地公体・定超・未計画２</t>
    <rPh sb="10" eb="11">
      <t>チ</t>
    </rPh>
    <rPh sb="11" eb="12">
      <t>コウ</t>
    </rPh>
    <rPh sb="12" eb="13">
      <t>タイ</t>
    </rPh>
    <rPh sb="14" eb="15">
      <t>テイ</t>
    </rPh>
    <rPh sb="15" eb="16">
      <t>チョウ</t>
    </rPh>
    <phoneticPr fontId="31"/>
  </si>
  <si>
    <t>経過的療養介護Ⅰ４・定超</t>
    <rPh sb="10" eb="11">
      <t>テイ</t>
    </rPh>
    <rPh sb="11" eb="12">
      <t>チョウ</t>
    </rPh>
    <phoneticPr fontId="31"/>
  </si>
  <si>
    <t>経過的療養介護Ⅰ４・定超・未計画１</t>
    <rPh sb="10" eb="11">
      <t>テイ</t>
    </rPh>
    <rPh sb="11" eb="12">
      <t>チョウ</t>
    </rPh>
    <phoneticPr fontId="31"/>
  </si>
  <si>
    <t>経過的療養介護Ⅰ４・定超・未計画２</t>
    <rPh sb="10" eb="11">
      <t>テイ</t>
    </rPh>
    <rPh sb="11" eb="12">
      <t>チョウ</t>
    </rPh>
    <phoneticPr fontId="31"/>
  </si>
  <si>
    <t>経過的療養介護Ⅰ４・地公体・定超</t>
    <rPh sb="10" eb="11">
      <t>チ</t>
    </rPh>
    <rPh sb="11" eb="12">
      <t>コウ</t>
    </rPh>
    <rPh sb="12" eb="13">
      <t>タイ</t>
    </rPh>
    <rPh sb="14" eb="15">
      <t>テイ</t>
    </rPh>
    <rPh sb="15" eb="16">
      <t>チョウ</t>
    </rPh>
    <phoneticPr fontId="31"/>
  </si>
  <si>
    <t>経過的療養介護Ⅰ４・地公体・定超・未計画１</t>
    <rPh sb="10" eb="11">
      <t>チ</t>
    </rPh>
    <rPh sb="11" eb="12">
      <t>コウ</t>
    </rPh>
    <rPh sb="12" eb="13">
      <t>タイ</t>
    </rPh>
    <rPh sb="14" eb="15">
      <t>テイ</t>
    </rPh>
    <rPh sb="15" eb="16">
      <t>チョウ</t>
    </rPh>
    <phoneticPr fontId="31"/>
  </si>
  <si>
    <t>経過的療養介護Ⅰ４・地公体・定超・未計画２</t>
    <rPh sb="10" eb="11">
      <t>チ</t>
    </rPh>
    <rPh sb="11" eb="12">
      <t>コウ</t>
    </rPh>
    <rPh sb="12" eb="13">
      <t>タイ</t>
    </rPh>
    <rPh sb="14" eb="15">
      <t>テイ</t>
    </rPh>
    <rPh sb="15" eb="16">
      <t>チョウ</t>
    </rPh>
    <phoneticPr fontId="31"/>
  </si>
  <si>
    <t>（看護職員又
は生活支援
員欠員）</t>
    <rPh sb="1" eb="3">
      <t>カンゴ</t>
    </rPh>
    <rPh sb="3" eb="5">
      <t>ショクイン</t>
    </rPh>
    <rPh sb="5" eb="6">
      <t>マタ</t>
    </rPh>
    <rPh sb="8" eb="10">
      <t>セイカツ</t>
    </rPh>
    <rPh sb="10" eb="12">
      <t>シエン</t>
    </rPh>
    <rPh sb="13" eb="14">
      <t>イン</t>
    </rPh>
    <rPh sb="14" eb="16">
      <t>ケツイン</t>
    </rPh>
    <phoneticPr fontId="31"/>
  </si>
  <si>
    <t>療養介護Ⅰ１・人欠１</t>
    <rPh sb="0" eb="2">
      <t>リョウヨウ</t>
    </rPh>
    <rPh sb="2" eb="4">
      <t>カイゴ</t>
    </rPh>
    <phoneticPr fontId="31"/>
  </si>
  <si>
    <t>看護職員又は生活支援員の員数が基準に満たない場合</t>
    <phoneticPr fontId="31"/>
  </si>
  <si>
    <t>療養介護Ⅰ１・人欠１・未計画１</t>
    <rPh sb="0" eb="2">
      <t>リョウヨウ</t>
    </rPh>
    <rPh sb="2" eb="4">
      <t>カイゴ</t>
    </rPh>
    <phoneticPr fontId="31"/>
  </si>
  <si>
    <t>療養介護Ⅰ１・人欠１・未計画２</t>
    <rPh sb="0" eb="2">
      <t>リョウヨウ</t>
    </rPh>
    <rPh sb="2" eb="4">
      <t>カイゴ</t>
    </rPh>
    <phoneticPr fontId="31"/>
  </si>
  <si>
    <t>療養介護Ⅰ１・地公体・人欠１</t>
    <rPh sb="0" eb="2">
      <t>リョウヨウ</t>
    </rPh>
    <rPh sb="2" eb="4">
      <t>カイゴ</t>
    </rPh>
    <rPh sb="7" eb="8">
      <t>チ</t>
    </rPh>
    <rPh sb="8" eb="9">
      <t>コウ</t>
    </rPh>
    <rPh sb="9" eb="10">
      <t>タイ</t>
    </rPh>
    <phoneticPr fontId="31"/>
  </si>
  <si>
    <t>療養介護Ⅰ１・地公体・人欠１・未計画１</t>
    <rPh sb="0" eb="2">
      <t>リョウヨウ</t>
    </rPh>
    <rPh sb="2" eb="4">
      <t>カイゴ</t>
    </rPh>
    <rPh sb="7" eb="8">
      <t>チ</t>
    </rPh>
    <rPh sb="8" eb="9">
      <t>コウ</t>
    </rPh>
    <rPh sb="9" eb="10">
      <t>タイ</t>
    </rPh>
    <phoneticPr fontId="31"/>
  </si>
  <si>
    <t>療養介護Ⅰ１・地公体・人欠１・未計画２</t>
    <rPh sb="0" eb="2">
      <t>リョウヨウ</t>
    </rPh>
    <rPh sb="2" eb="4">
      <t>カイゴ</t>
    </rPh>
    <rPh sb="7" eb="8">
      <t>チ</t>
    </rPh>
    <rPh sb="8" eb="9">
      <t>コウ</t>
    </rPh>
    <rPh sb="9" eb="10">
      <t>タイ</t>
    </rPh>
    <phoneticPr fontId="31"/>
  </si>
  <si>
    <t>療養介護Ⅰ２・人欠１</t>
    <rPh sb="0" eb="2">
      <t>リョウヨウ</t>
    </rPh>
    <rPh sb="2" eb="4">
      <t>カイゴ</t>
    </rPh>
    <phoneticPr fontId="31"/>
  </si>
  <si>
    <t>療養介護Ⅰ２・人欠１・未計画１</t>
    <rPh sb="0" eb="2">
      <t>リョウヨウ</t>
    </rPh>
    <rPh sb="2" eb="4">
      <t>カイゴ</t>
    </rPh>
    <phoneticPr fontId="31"/>
  </si>
  <si>
    <t>療養介護Ⅰ２・人欠１・未計画２</t>
    <rPh sb="0" eb="2">
      <t>リョウヨウ</t>
    </rPh>
    <rPh sb="2" eb="4">
      <t>カイゴ</t>
    </rPh>
    <phoneticPr fontId="31"/>
  </si>
  <si>
    <t>療養介護Ⅰ２・地公体・人欠１</t>
    <rPh sb="0" eb="2">
      <t>リョウヨウ</t>
    </rPh>
    <rPh sb="2" eb="4">
      <t>カイゴ</t>
    </rPh>
    <rPh sb="7" eb="8">
      <t>チ</t>
    </rPh>
    <rPh sb="8" eb="9">
      <t>コウ</t>
    </rPh>
    <rPh sb="9" eb="10">
      <t>タイ</t>
    </rPh>
    <phoneticPr fontId="31"/>
  </si>
  <si>
    <t>療養介護Ⅰ２・地公体・人欠１・未計画１</t>
    <rPh sb="0" eb="2">
      <t>リョウヨウ</t>
    </rPh>
    <rPh sb="2" eb="4">
      <t>カイゴ</t>
    </rPh>
    <rPh sb="7" eb="8">
      <t>チ</t>
    </rPh>
    <rPh sb="8" eb="9">
      <t>コウ</t>
    </rPh>
    <rPh sb="9" eb="10">
      <t>タイ</t>
    </rPh>
    <phoneticPr fontId="31"/>
  </si>
  <si>
    <t>療養介護Ⅰ２・地公体・人欠１・未計画２</t>
    <rPh sb="0" eb="2">
      <t>リョウヨウ</t>
    </rPh>
    <rPh sb="2" eb="4">
      <t>カイゴ</t>
    </rPh>
    <rPh sb="7" eb="8">
      <t>チ</t>
    </rPh>
    <rPh sb="8" eb="9">
      <t>コウ</t>
    </rPh>
    <rPh sb="9" eb="10">
      <t>タイ</t>
    </rPh>
    <phoneticPr fontId="31"/>
  </si>
  <si>
    <t>療養介護Ⅰ３・人欠１</t>
    <rPh sb="0" eb="2">
      <t>リョウヨウ</t>
    </rPh>
    <rPh sb="2" eb="4">
      <t>カイゴ</t>
    </rPh>
    <phoneticPr fontId="31"/>
  </si>
  <si>
    <t>療養介護Ⅰ３・人欠１・未計画１</t>
    <rPh sb="0" eb="2">
      <t>リョウヨウ</t>
    </rPh>
    <rPh sb="2" eb="4">
      <t>カイゴ</t>
    </rPh>
    <phoneticPr fontId="31"/>
  </si>
  <si>
    <t>療養介護Ⅰ３・人欠１・未計画２</t>
    <rPh sb="0" eb="2">
      <t>リョウヨウ</t>
    </rPh>
    <rPh sb="2" eb="4">
      <t>カイゴ</t>
    </rPh>
    <phoneticPr fontId="31"/>
  </si>
  <si>
    <t>療養介護Ⅰ３・地公体・人欠１</t>
    <rPh sb="0" eb="2">
      <t>リョウヨウ</t>
    </rPh>
    <rPh sb="2" eb="4">
      <t>カイゴ</t>
    </rPh>
    <rPh sb="7" eb="8">
      <t>チ</t>
    </rPh>
    <rPh sb="8" eb="9">
      <t>コウ</t>
    </rPh>
    <rPh sb="9" eb="10">
      <t>タイ</t>
    </rPh>
    <phoneticPr fontId="31"/>
  </si>
  <si>
    <t>療養介護Ⅰ３・地公体・人欠１・未計画１</t>
    <rPh sb="0" eb="2">
      <t>リョウヨウ</t>
    </rPh>
    <rPh sb="2" eb="4">
      <t>カイゴ</t>
    </rPh>
    <rPh sb="7" eb="8">
      <t>チ</t>
    </rPh>
    <rPh sb="8" eb="9">
      <t>コウ</t>
    </rPh>
    <rPh sb="9" eb="10">
      <t>タイ</t>
    </rPh>
    <phoneticPr fontId="31"/>
  </si>
  <si>
    <t>療養介護Ⅰ３・地公体・人欠１・未計画２</t>
    <rPh sb="0" eb="2">
      <t>リョウヨウ</t>
    </rPh>
    <rPh sb="2" eb="4">
      <t>カイゴ</t>
    </rPh>
    <rPh sb="7" eb="8">
      <t>チ</t>
    </rPh>
    <rPh sb="8" eb="9">
      <t>コウ</t>
    </rPh>
    <rPh sb="9" eb="10">
      <t>タイ</t>
    </rPh>
    <phoneticPr fontId="31"/>
  </si>
  <si>
    <t>療養介護Ⅰ４・人欠１</t>
    <rPh sb="0" eb="2">
      <t>リョウヨウ</t>
    </rPh>
    <rPh sb="2" eb="4">
      <t>カイゴ</t>
    </rPh>
    <phoneticPr fontId="31"/>
  </si>
  <si>
    <t>療養介護Ⅰ４・人欠１・未計画１</t>
    <rPh sb="0" eb="2">
      <t>リョウヨウ</t>
    </rPh>
    <rPh sb="2" eb="4">
      <t>カイゴ</t>
    </rPh>
    <phoneticPr fontId="31"/>
  </si>
  <si>
    <t>療養介護Ⅰ４・人欠１・未計画２</t>
    <rPh sb="0" eb="2">
      <t>リョウヨウ</t>
    </rPh>
    <rPh sb="2" eb="4">
      <t>カイゴ</t>
    </rPh>
    <phoneticPr fontId="31"/>
  </si>
  <si>
    <t>療養介護Ⅰ４・地公体・人欠１</t>
    <rPh sb="0" eb="2">
      <t>リョウヨウ</t>
    </rPh>
    <rPh sb="2" eb="4">
      <t>カイゴ</t>
    </rPh>
    <rPh sb="7" eb="8">
      <t>チ</t>
    </rPh>
    <rPh sb="8" eb="9">
      <t>コウ</t>
    </rPh>
    <rPh sb="9" eb="10">
      <t>タイ</t>
    </rPh>
    <phoneticPr fontId="31"/>
  </si>
  <si>
    <t>療養介護Ⅰ４・地公体・人欠１・未計画１</t>
    <rPh sb="0" eb="2">
      <t>リョウヨウ</t>
    </rPh>
    <rPh sb="2" eb="4">
      <t>カイゴ</t>
    </rPh>
    <rPh sb="7" eb="8">
      <t>チ</t>
    </rPh>
    <rPh sb="8" eb="9">
      <t>コウ</t>
    </rPh>
    <rPh sb="9" eb="10">
      <t>タイ</t>
    </rPh>
    <phoneticPr fontId="31"/>
  </si>
  <si>
    <t>療養介護Ⅰ４・地公体・人欠１・未計画２</t>
    <rPh sb="0" eb="2">
      <t>リョウヨウ</t>
    </rPh>
    <rPh sb="2" eb="4">
      <t>カイゴ</t>
    </rPh>
    <rPh sb="7" eb="8">
      <t>チ</t>
    </rPh>
    <rPh sb="8" eb="9">
      <t>コウ</t>
    </rPh>
    <rPh sb="9" eb="10">
      <t>タイ</t>
    </rPh>
    <phoneticPr fontId="31"/>
  </si>
  <si>
    <t>療養介護Ⅱ１・人欠１</t>
    <rPh sb="0" eb="2">
      <t>リョウヨウ</t>
    </rPh>
    <rPh sb="2" eb="4">
      <t>カイゴ</t>
    </rPh>
    <phoneticPr fontId="31"/>
  </si>
  <si>
    <t>療養介護Ⅱ１・人欠１・未計画１</t>
    <rPh sb="0" eb="2">
      <t>リョウヨウ</t>
    </rPh>
    <rPh sb="2" eb="4">
      <t>カイゴ</t>
    </rPh>
    <phoneticPr fontId="31"/>
  </si>
  <si>
    <t>療養介護Ⅱ１・人欠１・未計画２</t>
    <rPh sb="0" eb="2">
      <t>リョウヨウ</t>
    </rPh>
    <rPh sb="2" eb="4">
      <t>カイゴ</t>
    </rPh>
    <phoneticPr fontId="31"/>
  </si>
  <si>
    <t>療養介護Ⅱ１・地公体・人欠１</t>
    <rPh sb="0" eb="2">
      <t>リョウヨウ</t>
    </rPh>
    <rPh sb="2" eb="4">
      <t>カイゴ</t>
    </rPh>
    <rPh sb="7" eb="8">
      <t>チ</t>
    </rPh>
    <rPh sb="8" eb="9">
      <t>コウ</t>
    </rPh>
    <rPh sb="9" eb="10">
      <t>タイ</t>
    </rPh>
    <phoneticPr fontId="31"/>
  </si>
  <si>
    <t>療養介護Ⅱ１・地公体・人欠１・未計画１</t>
    <rPh sb="0" eb="2">
      <t>リョウヨウ</t>
    </rPh>
    <rPh sb="2" eb="4">
      <t>カイゴ</t>
    </rPh>
    <rPh sb="7" eb="8">
      <t>チ</t>
    </rPh>
    <rPh sb="8" eb="9">
      <t>コウ</t>
    </rPh>
    <rPh sb="9" eb="10">
      <t>タイ</t>
    </rPh>
    <phoneticPr fontId="31"/>
  </si>
  <si>
    <t>療養介護Ⅱ１・地公体・人欠１・未計画２</t>
    <rPh sb="0" eb="2">
      <t>リョウヨウ</t>
    </rPh>
    <rPh sb="2" eb="4">
      <t>カイゴ</t>
    </rPh>
    <rPh sb="7" eb="8">
      <t>チ</t>
    </rPh>
    <rPh sb="8" eb="9">
      <t>コウ</t>
    </rPh>
    <rPh sb="9" eb="10">
      <t>タイ</t>
    </rPh>
    <phoneticPr fontId="31"/>
  </si>
  <si>
    <t>療養介護Ⅱ２・人欠１</t>
    <rPh sb="0" eb="2">
      <t>リョウヨウ</t>
    </rPh>
    <rPh sb="2" eb="4">
      <t>カイゴ</t>
    </rPh>
    <phoneticPr fontId="31"/>
  </si>
  <si>
    <t>療養介護Ⅱ２・人欠１・未計画１</t>
    <rPh sb="0" eb="2">
      <t>リョウヨウ</t>
    </rPh>
    <rPh sb="2" eb="4">
      <t>カイゴ</t>
    </rPh>
    <phoneticPr fontId="31"/>
  </si>
  <si>
    <t>療養介護Ⅱ２・人欠１・未計画２</t>
    <rPh sb="0" eb="2">
      <t>リョウヨウ</t>
    </rPh>
    <rPh sb="2" eb="4">
      <t>カイゴ</t>
    </rPh>
    <phoneticPr fontId="31"/>
  </si>
  <si>
    <t>療養介護Ⅱ２・地公体・人欠１</t>
    <rPh sb="0" eb="2">
      <t>リョウヨウ</t>
    </rPh>
    <rPh sb="2" eb="4">
      <t>カイゴ</t>
    </rPh>
    <rPh sb="7" eb="8">
      <t>チ</t>
    </rPh>
    <rPh sb="8" eb="9">
      <t>コウ</t>
    </rPh>
    <rPh sb="9" eb="10">
      <t>タイ</t>
    </rPh>
    <phoneticPr fontId="31"/>
  </si>
  <si>
    <t>療養介護Ⅱ２・地公体・人欠１・未計画１</t>
    <rPh sb="0" eb="2">
      <t>リョウヨウ</t>
    </rPh>
    <rPh sb="2" eb="4">
      <t>カイゴ</t>
    </rPh>
    <rPh sb="7" eb="8">
      <t>チ</t>
    </rPh>
    <rPh sb="8" eb="9">
      <t>コウ</t>
    </rPh>
    <rPh sb="9" eb="10">
      <t>タイ</t>
    </rPh>
    <phoneticPr fontId="31"/>
  </si>
  <si>
    <t>療養介護Ⅱ２・地公体・人欠１・未計画２</t>
    <rPh sb="0" eb="2">
      <t>リョウヨウ</t>
    </rPh>
    <rPh sb="2" eb="4">
      <t>カイゴ</t>
    </rPh>
    <rPh sb="7" eb="8">
      <t>チ</t>
    </rPh>
    <rPh sb="8" eb="9">
      <t>コウ</t>
    </rPh>
    <rPh sb="9" eb="10">
      <t>タイ</t>
    </rPh>
    <phoneticPr fontId="31"/>
  </si>
  <si>
    <t>療養介護Ⅱ３・人欠１</t>
    <rPh sb="0" eb="2">
      <t>リョウヨウ</t>
    </rPh>
    <rPh sb="2" eb="4">
      <t>カイゴ</t>
    </rPh>
    <phoneticPr fontId="31"/>
  </si>
  <si>
    <t>療養介護Ⅱ３・人欠１・未計画１</t>
    <rPh sb="0" eb="2">
      <t>リョウヨウ</t>
    </rPh>
    <rPh sb="2" eb="4">
      <t>カイゴ</t>
    </rPh>
    <phoneticPr fontId="31"/>
  </si>
  <si>
    <t>療養介護Ⅱ３・人欠１・未計画２</t>
    <rPh sb="0" eb="2">
      <t>リョウヨウ</t>
    </rPh>
    <rPh sb="2" eb="4">
      <t>カイゴ</t>
    </rPh>
    <phoneticPr fontId="31"/>
  </si>
  <si>
    <t>療養介護Ⅱ３・地公体・人欠１</t>
    <rPh sb="0" eb="2">
      <t>リョウヨウ</t>
    </rPh>
    <rPh sb="2" eb="4">
      <t>カイゴ</t>
    </rPh>
    <rPh sb="7" eb="8">
      <t>チ</t>
    </rPh>
    <rPh sb="8" eb="9">
      <t>コウ</t>
    </rPh>
    <rPh sb="9" eb="10">
      <t>タイ</t>
    </rPh>
    <phoneticPr fontId="31"/>
  </si>
  <si>
    <t>療養介護Ⅱ３・地公体・人欠１・未計画１</t>
    <rPh sb="0" eb="2">
      <t>リョウヨウ</t>
    </rPh>
    <rPh sb="2" eb="4">
      <t>カイゴ</t>
    </rPh>
    <rPh sb="7" eb="8">
      <t>チ</t>
    </rPh>
    <rPh sb="8" eb="9">
      <t>コウ</t>
    </rPh>
    <rPh sb="9" eb="10">
      <t>タイ</t>
    </rPh>
    <phoneticPr fontId="31"/>
  </si>
  <si>
    <t>療養介護Ⅱ３・地公体・人欠１・未計画２</t>
    <rPh sb="0" eb="2">
      <t>リョウヨウ</t>
    </rPh>
    <rPh sb="2" eb="4">
      <t>カイゴ</t>
    </rPh>
    <rPh sb="7" eb="8">
      <t>チ</t>
    </rPh>
    <rPh sb="8" eb="9">
      <t>コウ</t>
    </rPh>
    <rPh sb="9" eb="10">
      <t>タイ</t>
    </rPh>
    <phoneticPr fontId="31"/>
  </si>
  <si>
    <t>療養介護Ⅱ４・人欠１</t>
    <rPh sb="0" eb="2">
      <t>リョウヨウ</t>
    </rPh>
    <rPh sb="2" eb="4">
      <t>カイゴ</t>
    </rPh>
    <phoneticPr fontId="31"/>
  </si>
  <si>
    <t>療養介護Ⅱ４・人欠１・未計画１</t>
    <rPh sb="0" eb="2">
      <t>リョウヨウ</t>
    </rPh>
    <rPh sb="2" eb="4">
      <t>カイゴ</t>
    </rPh>
    <phoneticPr fontId="31"/>
  </si>
  <si>
    <t>療養介護Ⅱ４・人欠１・未計画２</t>
    <rPh sb="0" eb="2">
      <t>リョウヨウ</t>
    </rPh>
    <rPh sb="2" eb="4">
      <t>カイゴ</t>
    </rPh>
    <phoneticPr fontId="31"/>
  </si>
  <si>
    <t>療養介護Ⅱ４・地公体・人欠１</t>
    <rPh sb="0" eb="2">
      <t>リョウヨウ</t>
    </rPh>
    <rPh sb="2" eb="4">
      <t>カイゴ</t>
    </rPh>
    <rPh sb="7" eb="8">
      <t>チ</t>
    </rPh>
    <rPh sb="8" eb="9">
      <t>コウ</t>
    </rPh>
    <rPh sb="9" eb="10">
      <t>タイ</t>
    </rPh>
    <phoneticPr fontId="31"/>
  </si>
  <si>
    <t>療養介護Ⅱ４・地公体・人欠１・未計画１</t>
    <rPh sb="0" eb="2">
      <t>リョウヨウ</t>
    </rPh>
    <rPh sb="2" eb="4">
      <t>カイゴ</t>
    </rPh>
    <rPh sb="7" eb="8">
      <t>チ</t>
    </rPh>
    <rPh sb="8" eb="9">
      <t>コウ</t>
    </rPh>
    <rPh sb="9" eb="10">
      <t>タイ</t>
    </rPh>
    <phoneticPr fontId="31"/>
  </si>
  <si>
    <t>療養介護Ⅱ４・地公体・人欠１・未計画２</t>
    <rPh sb="0" eb="2">
      <t>リョウヨウ</t>
    </rPh>
    <rPh sb="2" eb="4">
      <t>カイゴ</t>
    </rPh>
    <rPh sb="7" eb="8">
      <t>チ</t>
    </rPh>
    <rPh sb="8" eb="9">
      <t>コウ</t>
    </rPh>
    <rPh sb="9" eb="10">
      <t>タイ</t>
    </rPh>
    <phoneticPr fontId="31"/>
  </si>
  <si>
    <t>療養介護Ⅲ１・人欠１</t>
    <rPh sb="0" eb="2">
      <t>リョウヨウ</t>
    </rPh>
    <rPh sb="2" eb="4">
      <t>カイゴ</t>
    </rPh>
    <phoneticPr fontId="31"/>
  </si>
  <si>
    <t>療養介護Ⅲ１・人欠１・未計画１</t>
    <rPh sb="0" eb="2">
      <t>リョウヨウ</t>
    </rPh>
    <rPh sb="2" eb="4">
      <t>カイゴ</t>
    </rPh>
    <phoneticPr fontId="31"/>
  </si>
  <si>
    <t>療養介護Ⅲ１・人欠１・未計画２</t>
    <rPh sb="0" eb="2">
      <t>リョウヨウ</t>
    </rPh>
    <rPh sb="2" eb="4">
      <t>カイゴ</t>
    </rPh>
    <phoneticPr fontId="31"/>
  </si>
  <si>
    <t>療養介護Ⅲ１・地公体・人欠１</t>
    <rPh sb="0" eb="2">
      <t>リョウヨウ</t>
    </rPh>
    <rPh sb="2" eb="4">
      <t>カイゴ</t>
    </rPh>
    <rPh sb="7" eb="8">
      <t>チ</t>
    </rPh>
    <rPh sb="8" eb="9">
      <t>コウ</t>
    </rPh>
    <rPh sb="9" eb="10">
      <t>タイ</t>
    </rPh>
    <phoneticPr fontId="31"/>
  </si>
  <si>
    <t>療養介護Ⅲ１・地公体・人欠１・未計画１</t>
    <rPh sb="0" eb="2">
      <t>リョウヨウ</t>
    </rPh>
    <rPh sb="2" eb="4">
      <t>カイゴ</t>
    </rPh>
    <rPh sb="7" eb="8">
      <t>チ</t>
    </rPh>
    <rPh sb="8" eb="9">
      <t>コウ</t>
    </rPh>
    <rPh sb="9" eb="10">
      <t>タイ</t>
    </rPh>
    <phoneticPr fontId="31"/>
  </si>
  <si>
    <t>療養介護Ⅲ１・地公体・人欠１・未計画２</t>
    <rPh sb="0" eb="2">
      <t>リョウヨウ</t>
    </rPh>
    <rPh sb="2" eb="4">
      <t>カイゴ</t>
    </rPh>
    <rPh sb="7" eb="8">
      <t>チ</t>
    </rPh>
    <rPh sb="8" eb="9">
      <t>コウ</t>
    </rPh>
    <rPh sb="9" eb="10">
      <t>タイ</t>
    </rPh>
    <phoneticPr fontId="31"/>
  </si>
  <si>
    <t>療養介護Ⅲ２・人欠１</t>
    <rPh sb="0" eb="2">
      <t>リョウヨウ</t>
    </rPh>
    <rPh sb="2" eb="4">
      <t>カイゴ</t>
    </rPh>
    <phoneticPr fontId="31"/>
  </si>
  <si>
    <t>療養介護Ⅲ２・人欠１・未計画１</t>
    <rPh sb="0" eb="2">
      <t>リョウヨウ</t>
    </rPh>
    <rPh sb="2" eb="4">
      <t>カイゴ</t>
    </rPh>
    <phoneticPr fontId="31"/>
  </si>
  <si>
    <t>療養介護Ⅲ２・人欠１・未計画２</t>
    <rPh sb="0" eb="2">
      <t>リョウヨウ</t>
    </rPh>
    <rPh sb="2" eb="4">
      <t>カイゴ</t>
    </rPh>
    <phoneticPr fontId="31"/>
  </si>
  <si>
    <t>療養介護Ⅲ２・地公体・人欠１</t>
    <rPh sb="0" eb="2">
      <t>リョウヨウ</t>
    </rPh>
    <rPh sb="2" eb="4">
      <t>カイゴ</t>
    </rPh>
    <rPh sb="7" eb="8">
      <t>チ</t>
    </rPh>
    <rPh sb="8" eb="9">
      <t>コウ</t>
    </rPh>
    <rPh sb="9" eb="10">
      <t>タイ</t>
    </rPh>
    <phoneticPr fontId="31"/>
  </si>
  <si>
    <t>療養介護Ⅲ２・地公体・人欠１・未計画１</t>
    <rPh sb="0" eb="2">
      <t>リョウヨウ</t>
    </rPh>
    <rPh sb="2" eb="4">
      <t>カイゴ</t>
    </rPh>
    <rPh sb="7" eb="8">
      <t>チ</t>
    </rPh>
    <rPh sb="8" eb="9">
      <t>コウ</t>
    </rPh>
    <rPh sb="9" eb="10">
      <t>タイ</t>
    </rPh>
    <phoneticPr fontId="31"/>
  </si>
  <si>
    <t>療養介護Ⅲ２・地公体・人欠１・未計画２</t>
    <rPh sb="0" eb="2">
      <t>リョウヨウ</t>
    </rPh>
    <rPh sb="2" eb="4">
      <t>カイゴ</t>
    </rPh>
    <rPh sb="7" eb="8">
      <t>チ</t>
    </rPh>
    <rPh sb="8" eb="9">
      <t>コウ</t>
    </rPh>
    <rPh sb="9" eb="10">
      <t>タイ</t>
    </rPh>
    <phoneticPr fontId="31"/>
  </si>
  <si>
    <t>療養介護Ⅲ３・人欠１</t>
    <rPh sb="0" eb="2">
      <t>リョウヨウ</t>
    </rPh>
    <rPh sb="2" eb="4">
      <t>カイゴ</t>
    </rPh>
    <phoneticPr fontId="31"/>
  </si>
  <si>
    <t>療養介護Ⅲ３・人欠１・未計画１</t>
    <rPh sb="0" eb="2">
      <t>リョウヨウ</t>
    </rPh>
    <rPh sb="2" eb="4">
      <t>カイゴ</t>
    </rPh>
    <phoneticPr fontId="31"/>
  </si>
  <si>
    <t>療養介護Ⅲ３・人欠１・未計画２</t>
    <rPh sb="0" eb="2">
      <t>リョウヨウ</t>
    </rPh>
    <rPh sb="2" eb="4">
      <t>カイゴ</t>
    </rPh>
    <phoneticPr fontId="31"/>
  </si>
  <si>
    <t>療養介護Ⅲ３・地公体・人欠１</t>
    <rPh sb="0" eb="2">
      <t>リョウヨウ</t>
    </rPh>
    <rPh sb="2" eb="4">
      <t>カイゴ</t>
    </rPh>
    <rPh sb="7" eb="8">
      <t>チ</t>
    </rPh>
    <rPh sb="8" eb="9">
      <t>コウ</t>
    </rPh>
    <rPh sb="9" eb="10">
      <t>タイ</t>
    </rPh>
    <phoneticPr fontId="31"/>
  </si>
  <si>
    <t>療養介護Ⅲ３・地公体・人欠１・未計画１</t>
    <rPh sb="0" eb="2">
      <t>リョウヨウ</t>
    </rPh>
    <rPh sb="2" eb="4">
      <t>カイゴ</t>
    </rPh>
    <rPh sb="7" eb="8">
      <t>チ</t>
    </rPh>
    <rPh sb="8" eb="9">
      <t>コウ</t>
    </rPh>
    <rPh sb="9" eb="10">
      <t>タイ</t>
    </rPh>
    <phoneticPr fontId="31"/>
  </si>
  <si>
    <t>療養介護Ⅲ３・地公体・人欠１・未計画２</t>
    <rPh sb="0" eb="2">
      <t>リョウヨウ</t>
    </rPh>
    <rPh sb="2" eb="4">
      <t>カイゴ</t>
    </rPh>
    <rPh sb="7" eb="8">
      <t>チ</t>
    </rPh>
    <rPh sb="8" eb="9">
      <t>コウ</t>
    </rPh>
    <rPh sb="9" eb="10">
      <t>タイ</t>
    </rPh>
    <phoneticPr fontId="31"/>
  </si>
  <si>
    <t>療養介護Ⅲ４・人欠１</t>
    <rPh sb="0" eb="2">
      <t>リョウヨウ</t>
    </rPh>
    <rPh sb="2" eb="4">
      <t>カイゴ</t>
    </rPh>
    <phoneticPr fontId="31"/>
  </si>
  <si>
    <t>療養介護Ⅲ４・人欠１・未計画１</t>
    <rPh sb="0" eb="2">
      <t>リョウヨウ</t>
    </rPh>
    <rPh sb="2" eb="4">
      <t>カイゴ</t>
    </rPh>
    <phoneticPr fontId="31"/>
  </si>
  <si>
    <t>療養介護Ⅲ４・人欠１・未計画２</t>
    <rPh sb="0" eb="2">
      <t>リョウヨウ</t>
    </rPh>
    <rPh sb="2" eb="4">
      <t>カイゴ</t>
    </rPh>
    <phoneticPr fontId="31"/>
  </si>
  <si>
    <t>療養介護Ⅲ４・地公体・人欠１</t>
    <rPh sb="0" eb="2">
      <t>リョウヨウ</t>
    </rPh>
    <rPh sb="2" eb="4">
      <t>カイゴ</t>
    </rPh>
    <rPh sb="7" eb="8">
      <t>チ</t>
    </rPh>
    <rPh sb="8" eb="9">
      <t>コウ</t>
    </rPh>
    <rPh sb="9" eb="10">
      <t>タイ</t>
    </rPh>
    <phoneticPr fontId="31"/>
  </si>
  <si>
    <t>療養介護Ⅲ４・地公体・人欠１・未計画１</t>
    <rPh sb="0" eb="2">
      <t>リョウヨウ</t>
    </rPh>
    <rPh sb="2" eb="4">
      <t>カイゴ</t>
    </rPh>
    <rPh sb="7" eb="8">
      <t>チ</t>
    </rPh>
    <rPh sb="8" eb="9">
      <t>コウ</t>
    </rPh>
    <rPh sb="9" eb="10">
      <t>タイ</t>
    </rPh>
    <phoneticPr fontId="31"/>
  </si>
  <si>
    <t>療養介護Ⅲ４・地公体・人欠１・未計画２</t>
    <rPh sb="0" eb="2">
      <t>リョウヨウ</t>
    </rPh>
    <rPh sb="2" eb="4">
      <t>カイゴ</t>
    </rPh>
    <rPh sb="7" eb="8">
      <t>チ</t>
    </rPh>
    <rPh sb="8" eb="9">
      <t>コウ</t>
    </rPh>
    <rPh sb="9" eb="10">
      <t>タイ</t>
    </rPh>
    <phoneticPr fontId="31"/>
  </si>
  <si>
    <t>療養介護Ⅳ１・人欠１</t>
  </si>
  <si>
    <t>療養介護Ⅳ１・人欠１・未計画１</t>
  </si>
  <si>
    <t>療養介護Ⅳ１・人欠１・未計画２</t>
  </si>
  <si>
    <t>療養介護Ⅳ２・人欠１</t>
  </si>
  <si>
    <t>療養介護Ⅳ２・人欠１・未計画１</t>
  </si>
  <si>
    <t>療養介護Ⅳ２・人欠１・未計画２</t>
  </si>
  <si>
    <t>療養介護Ⅳ３・人欠１</t>
  </si>
  <si>
    <t>療養介護Ⅳ３・人欠１・未計画１</t>
  </si>
  <si>
    <t>療養介護Ⅳ３・人欠１・未計画２</t>
  </si>
  <si>
    <t>療養介護Ⅳ４・人欠１</t>
  </si>
  <si>
    <t>療養介護Ⅳ４・人欠１・未計画１</t>
  </si>
  <si>
    <t>療養介護Ⅳ４・人欠１・未計画２</t>
  </si>
  <si>
    <t>療養介護Ⅴ１・人欠１</t>
  </si>
  <si>
    <t>療養介護Ⅴ１・人欠１・未計画１</t>
  </si>
  <si>
    <t>療養介護Ⅴ１・人欠１・未計画２</t>
  </si>
  <si>
    <t>療養介護Ⅴ１・地公体・人欠１</t>
    <rPh sb="7" eb="8">
      <t>チ</t>
    </rPh>
    <rPh sb="8" eb="9">
      <t>コウ</t>
    </rPh>
    <rPh sb="9" eb="10">
      <t>タイ</t>
    </rPh>
    <phoneticPr fontId="31"/>
  </si>
  <si>
    <t>療養介護Ⅴ１・地公体・人欠１・未計画１</t>
    <rPh sb="7" eb="8">
      <t>チ</t>
    </rPh>
    <rPh sb="8" eb="9">
      <t>コウ</t>
    </rPh>
    <rPh sb="9" eb="10">
      <t>タイ</t>
    </rPh>
    <phoneticPr fontId="31"/>
  </si>
  <si>
    <t>療養介護Ⅴ１・地公体・人欠１・未計画２</t>
    <rPh sb="7" eb="8">
      <t>チ</t>
    </rPh>
    <rPh sb="8" eb="9">
      <t>コウ</t>
    </rPh>
    <rPh sb="9" eb="10">
      <t>タイ</t>
    </rPh>
    <phoneticPr fontId="31"/>
  </si>
  <si>
    <t>療養介護Ⅴ２・人欠１</t>
  </si>
  <si>
    <t>療養介護Ⅴ２・人欠１・未計画１</t>
  </si>
  <si>
    <t>療養介護Ⅴ２・人欠１・未計画２</t>
  </si>
  <si>
    <t>療養介護Ⅴ２・地公体・人欠１</t>
    <rPh sb="7" eb="8">
      <t>チ</t>
    </rPh>
    <rPh sb="8" eb="9">
      <t>コウ</t>
    </rPh>
    <rPh sb="9" eb="10">
      <t>タイ</t>
    </rPh>
    <phoneticPr fontId="31"/>
  </si>
  <si>
    <t>療養介護Ⅴ２・地公体・人欠１・未計画１</t>
    <rPh sb="7" eb="8">
      <t>チ</t>
    </rPh>
    <rPh sb="8" eb="9">
      <t>コウ</t>
    </rPh>
    <rPh sb="9" eb="10">
      <t>タイ</t>
    </rPh>
    <phoneticPr fontId="31"/>
  </si>
  <si>
    <t>療養介護Ⅴ２・地公体・人欠１・未計画２</t>
    <rPh sb="7" eb="8">
      <t>チ</t>
    </rPh>
    <rPh sb="8" eb="9">
      <t>コウ</t>
    </rPh>
    <rPh sb="9" eb="10">
      <t>タイ</t>
    </rPh>
    <phoneticPr fontId="31"/>
  </si>
  <si>
    <t>療養介護Ⅴ３・人欠１</t>
  </si>
  <si>
    <t>療養介護Ⅴ３・人欠１・未計画１</t>
  </si>
  <si>
    <t>療養介護Ⅴ３・人欠１・未計画２</t>
  </si>
  <si>
    <t>療養介護Ⅴ３・地公体・人欠１</t>
    <rPh sb="7" eb="8">
      <t>チ</t>
    </rPh>
    <rPh sb="8" eb="9">
      <t>コウ</t>
    </rPh>
    <rPh sb="9" eb="10">
      <t>タイ</t>
    </rPh>
    <phoneticPr fontId="31"/>
  </si>
  <si>
    <t>療養介護Ⅴ３・地公体・人欠１・未計画１</t>
    <rPh sb="7" eb="8">
      <t>チ</t>
    </rPh>
    <rPh sb="8" eb="9">
      <t>コウ</t>
    </rPh>
    <rPh sb="9" eb="10">
      <t>タイ</t>
    </rPh>
    <phoneticPr fontId="31"/>
  </si>
  <si>
    <t>療養介護Ⅴ３・地公体・人欠１・未計画２</t>
    <rPh sb="7" eb="8">
      <t>チ</t>
    </rPh>
    <rPh sb="8" eb="9">
      <t>コウ</t>
    </rPh>
    <rPh sb="9" eb="10">
      <t>タイ</t>
    </rPh>
    <phoneticPr fontId="31"/>
  </si>
  <si>
    <t>療養介護Ⅴ４・人欠１</t>
  </si>
  <si>
    <t>療養介護Ⅴ４・人欠１・未計画１</t>
  </si>
  <si>
    <t>療養介護Ⅴ４・人欠１・未計画２</t>
  </si>
  <si>
    <t>療養介護Ⅴ４・地公体・人欠１</t>
    <rPh sb="7" eb="8">
      <t>チ</t>
    </rPh>
    <rPh sb="8" eb="9">
      <t>コウ</t>
    </rPh>
    <rPh sb="9" eb="10">
      <t>タイ</t>
    </rPh>
    <phoneticPr fontId="31"/>
  </si>
  <si>
    <t>療養介護Ⅴ４・地公体・人欠１・未計画１</t>
    <rPh sb="7" eb="8">
      <t>チ</t>
    </rPh>
    <rPh sb="8" eb="9">
      <t>コウ</t>
    </rPh>
    <rPh sb="9" eb="10">
      <t>タイ</t>
    </rPh>
    <phoneticPr fontId="31"/>
  </si>
  <si>
    <t>療養介護Ⅴ４・地公体・人欠１・未計画２</t>
    <rPh sb="7" eb="8">
      <t>チ</t>
    </rPh>
    <rPh sb="8" eb="9">
      <t>コウ</t>
    </rPh>
    <rPh sb="9" eb="10">
      <t>タイ</t>
    </rPh>
    <phoneticPr fontId="31"/>
  </si>
  <si>
    <t>経過的療養介護Ⅰ１・人欠１</t>
  </si>
  <si>
    <t>経過的療養介護Ⅰ１・人欠１・未計画１</t>
  </si>
  <si>
    <t>経過的療養介護Ⅰ１・人欠１・未計画２</t>
  </si>
  <si>
    <t>経過的療養介護Ⅰ１・地公体・人欠１</t>
    <rPh sb="10" eb="11">
      <t>チ</t>
    </rPh>
    <rPh sb="11" eb="12">
      <t>コウ</t>
    </rPh>
    <rPh sb="12" eb="13">
      <t>タイ</t>
    </rPh>
    <phoneticPr fontId="31"/>
  </si>
  <si>
    <t>経過的療養介護Ⅰ１・地公体・人欠１・未計画１</t>
    <rPh sb="10" eb="11">
      <t>チ</t>
    </rPh>
    <rPh sb="11" eb="12">
      <t>コウ</t>
    </rPh>
    <rPh sb="12" eb="13">
      <t>タイ</t>
    </rPh>
    <phoneticPr fontId="31"/>
  </si>
  <si>
    <t>経過的療養介護Ⅰ１・地公体・人欠１・未計画２</t>
    <rPh sb="10" eb="11">
      <t>チ</t>
    </rPh>
    <rPh sb="11" eb="12">
      <t>コウ</t>
    </rPh>
    <rPh sb="12" eb="13">
      <t>タイ</t>
    </rPh>
    <phoneticPr fontId="31"/>
  </si>
  <si>
    <t>経過的療養介護Ⅰ２・人欠１</t>
  </si>
  <si>
    <t>経過的療養介護Ⅰ２・人欠１・未計画１</t>
  </si>
  <si>
    <t>経過的療養介護Ⅰ２・人欠１・未計画２</t>
  </si>
  <si>
    <t>経過的療養介護Ⅰ２・地公体・人欠１</t>
    <rPh sb="10" eb="11">
      <t>チ</t>
    </rPh>
    <rPh sb="11" eb="12">
      <t>コウ</t>
    </rPh>
    <rPh sb="12" eb="13">
      <t>タイ</t>
    </rPh>
    <phoneticPr fontId="31"/>
  </si>
  <si>
    <t>経過的療養介護Ⅰ２・地公体・人欠１・未計画１</t>
    <rPh sb="10" eb="11">
      <t>チ</t>
    </rPh>
    <rPh sb="11" eb="12">
      <t>コウ</t>
    </rPh>
    <rPh sb="12" eb="13">
      <t>タイ</t>
    </rPh>
    <phoneticPr fontId="31"/>
  </si>
  <si>
    <t>経過的療養介護Ⅰ２・地公体・人欠１・未計画２</t>
    <rPh sb="10" eb="11">
      <t>チ</t>
    </rPh>
    <rPh sb="11" eb="12">
      <t>コウ</t>
    </rPh>
    <rPh sb="12" eb="13">
      <t>タイ</t>
    </rPh>
    <phoneticPr fontId="31"/>
  </si>
  <si>
    <t>経過的療養介護Ⅰ３・人欠１</t>
  </si>
  <si>
    <t>経過的療養介護Ⅰ３・人欠１・未計画１</t>
  </si>
  <si>
    <t>経過的療養介護Ⅰ３・人欠１・未計画２</t>
  </si>
  <si>
    <t>経過的療養介護Ⅰ３・地公体・人欠１</t>
    <rPh sb="10" eb="11">
      <t>チ</t>
    </rPh>
    <rPh sb="11" eb="12">
      <t>コウ</t>
    </rPh>
    <rPh sb="12" eb="13">
      <t>タイ</t>
    </rPh>
    <phoneticPr fontId="31"/>
  </si>
  <si>
    <t>経過的療養介護Ⅰ３・地公体・人欠１・未計画１</t>
    <rPh sb="10" eb="11">
      <t>チ</t>
    </rPh>
    <rPh sb="11" eb="12">
      <t>コウ</t>
    </rPh>
    <rPh sb="12" eb="13">
      <t>タイ</t>
    </rPh>
    <phoneticPr fontId="31"/>
  </si>
  <si>
    <t>経過的療養介護Ⅰ３・地公体・人欠１・未計画２</t>
    <rPh sb="10" eb="11">
      <t>チ</t>
    </rPh>
    <rPh sb="11" eb="12">
      <t>コウ</t>
    </rPh>
    <rPh sb="12" eb="13">
      <t>タイ</t>
    </rPh>
    <phoneticPr fontId="31"/>
  </si>
  <si>
    <t>経過的療養介護Ⅰ４・人欠１</t>
  </si>
  <si>
    <t>経過的療養介護Ⅰ４・人欠１・未計画１</t>
  </si>
  <si>
    <t>経過的療養介護Ⅰ４・人欠１・未計画２</t>
  </si>
  <si>
    <t>経過的療養介護Ⅰ４・地公体・人欠１</t>
    <rPh sb="10" eb="11">
      <t>チ</t>
    </rPh>
    <rPh sb="11" eb="12">
      <t>コウ</t>
    </rPh>
    <rPh sb="12" eb="13">
      <t>タイ</t>
    </rPh>
    <phoneticPr fontId="31"/>
  </si>
  <si>
    <t>経過的療養介護Ⅰ４・地公体・人欠１・未計画１</t>
    <rPh sb="10" eb="11">
      <t>チ</t>
    </rPh>
    <rPh sb="11" eb="12">
      <t>コウ</t>
    </rPh>
    <rPh sb="12" eb="13">
      <t>タイ</t>
    </rPh>
    <phoneticPr fontId="31"/>
  </si>
  <si>
    <t>経過的療養介護Ⅰ４・地公体・人欠１・未計画２</t>
    <rPh sb="10" eb="11">
      <t>チ</t>
    </rPh>
    <rPh sb="11" eb="12">
      <t>コウ</t>
    </rPh>
    <rPh sb="12" eb="13">
      <t>タイ</t>
    </rPh>
    <phoneticPr fontId="31"/>
  </si>
  <si>
    <t>A001</t>
    <phoneticPr fontId="4"/>
  </si>
  <si>
    <t>療養介護Ⅰ１・人欠２</t>
    <rPh sb="0" eb="2">
      <t>リョウヨウ</t>
    </rPh>
    <rPh sb="2" eb="4">
      <t>カイゴ</t>
    </rPh>
    <phoneticPr fontId="31"/>
  </si>
  <si>
    <t>療養介護Ⅰ１・人欠２・未計画１</t>
    <rPh sb="0" eb="2">
      <t>リョウヨウ</t>
    </rPh>
    <rPh sb="2" eb="4">
      <t>カイゴ</t>
    </rPh>
    <phoneticPr fontId="31"/>
  </si>
  <si>
    <t>療養介護Ⅰ１・人欠２・未計画２</t>
    <rPh sb="0" eb="2">
      <t>リョウヨウ</t>
    </rPh>
    <rPh sb="2" eb="4">
      <t>カイゴ</t>
    </rPh>
    <phoneticPr fontId="31"/>
  </si>
  <si>
    <t>療養介護Ⅰ１・地公体・人欠２</t>
    <rPh sb="0" eb="2">
      <t>リョウヨウ</t>
    </rPh>
    <rPh sb="2" eb="4">
      <t>カイゴ</t>
    </rPh>
    <rPh sb="7" eb="8">
      <t>チ</t>
    </rPh>
    <rPh sb="8" eb="9">
      <t>コウ</t>
    </rPh>
    <rPh sb="9" eb="10">
      <t>タイ</t>
    </rPh>
    <phoneticPr fontId="31"/>
  </si>
  <si>
    <t>療養介護Ⅰ１・地公体・人欠２・未計画１</t>
    <rPh sb="0" eb="2">
      <t>リョウヨウ</t>
    </rPh>
    <rPh sb="2" eb="4">
      <t>カイゴ</t>
    </rPh>
    <rPh sb="7" eb="8">
      <t>チ</t>
    </rPh>
    <rPh sb="8" eb="9">
      <t>コウ</t>
    </rPh>
    <rPh sb="9" eb="10">
      <t>タイ</t>
    </rPh>
    <phoneticPr fontId="31"/>
  </si>
  <si>
    <t>療養介護Ⅰ１・地公体・人欠２・未計画２</t>
    <rPh sb="0" eb="2">
      <t>リョウヨウ</t>
    </rPh>
    <rPh sb="2" eb="4">
      <t>カイゴ</t>
    </rPh>
    <rPh sb="7" eb="8">
      <t>チ</t>
    </rPh>
    <rPh sb="8" eb="9">
      <t>コウ</t>
    </rPh>
    <rPh sb="9" eb="10">
      <t>タイ</t>
    </rPh>
    <phoneticPr fontId="31"/>
  </si>
  <si>
    <t>療養介護Ⅰ２・人欠２</t>
    <rPh sb="0" eb="2">
      <t>リョウヨウ</t>
    </rPh>
    <rPh sb="2" eb="4">
      <t>カイゴ</t>
    </rPh>
    <phoneticPr fontId="31"/>
  </si>
  <si>
    <t>療養介護Ⅰ２・人欠２・未計画１</t>
    <rPh sb="0" eb="2">
      <t>リョウヨウ</t>
    </rPh>
    <rPh sb="2" eb="4">
      <t>カイゴ</t>
    </rPh>
    <phoneticPr fontId="31"/>
  </si>
  <si>
    <t>療養介護Ⅰ２・人欠２・未計画２</t>
    <rPh sb="0" eb="2">
      <t>リョウヨウ</t>
    </rPh>
    <rPh sb="2" eb="4">
      <t>カイゴ</t>
    </rPh>
    <phoneticPr fontId="31"/>
  </si>
  <si>
    <t>療養介護Ⅰ２・地公体・人欠２</t>
    <rPh sb="0" eb="2">
      <t>リョウヨウ</t>
    </rPh>
    <rPh sb="2" eb="4">
      <t>カイゴ</t>
    </rPh>
    <rPh sb="7" eb="8">
      <t>チ</t>
    </rPh>
    <rPh sb="8" eb="9">
      <t>コウ</t>
    </rPh>
    <rPh sb="9" eb="10">
      <t>タイ</t>
    </rPh>
    <phoneticPr fontId="31"/>
  </si>
  <si>
    <t>療養介護Ⅰ２・地公体・人欠２・未計画１</t>
    <rPh sb="0" eb="2">
      <t>リョウヨウ</t>
    </rPh>
    <rPh sb="2" eb="4">
      <t>カイゴ</t>
    </rPh>
    <rPh sb="7" eb="8">
      <t>チ</t>
    </rPh>
    <rPh sb="8" eb="9">
      <t>コウ</t>
    </rPh>
    <rPh sb="9" eb="10">
      <t>タイ</t>
    </rPh>
    <phoneticPr fontId="31"/>
  </si>
  <si>
    <t>療養介護Ⅰ２・地公体・人欠２・未計画２</t>
    <rPh sb="0" eb="2">
      <t>リョウヨウ</t>
    </rPh>
    <rPh sb="2" eb="4">
      <t>カイゴ</t>
    </rPh>
    <rPh sb="7" eb="8">
      <t>チ</t>
    </rPh>
    <rPh sb="8" eb="9">
      <t>コウ</t>
    </rPh>
    <rPh sb="9" eb="10">
      <t>タイ</t>
    </rPh>
    <phoneticPr fontId="31"/>
  </si>
  <si>
    <t>療養介護Ⅰ３・人欠２</t>
    <rPh sb="0" eb="2">
      <t>リョウヨウ</t>
    </rPh>
    <rPh sb="2" eb="4">
      <t>カイゴ</t>
    </rPh>
    <phoneticPr fontId="31"/>
  </si>
  <si>
    <t>療養介護Ⅰ３・人欠２・未計画１</t>
    <rPh sb="0" eb="2">
      <t>リョウヨウ</t>
    </rPh>
    <rPh sb="2" eb="4">
      <t>カイゴ</t>
    </rPh>
    <phoneticPr fontId="31"/>
  </si>
  <si>
    <t>療養介護Ⅰ３・人欠２・未計画２</t>
    <rPh sb="0" eb="2">
      <t>リョウヨウ</t>
    </rPh>
    <rPh sb="2" eb="4">
      <t>カイゴ</t>
    </rPh>
    <phoneticPr fontId="31"/>
  </si>
  <si>
    <t>療養介護Ⅰ３・地公体・人欠２</t>
    <rPh sb="0" eb="2">
      <t>リョウヨウ</t>
    </rPh>
    <rPh sb="2" eb="4">
      <t>カイゴ</t>
    </rPh>
    <rPh sb="7" eb="8">
      <t>チ</t>
    </rPh>
    <rPh sb="8" eb="9">
      <t>コウ</t>
    </rPh>
    <rPh sb="9" eb="10">
      <t>タイ</t>
    </rPh>
    <phoneticPr fontId="31"/>
  </si>
  <si>
    <t>療養介護Ⅰ３・地公体・人欠２・未計画１</t>
    <rPh sb="0" eb="2">
      <t>リョウヨウ</t>
    </rPh>
    <rPh sb="2" eb="4">
      <t>カイゴ</t>
    </rPh>
    <rPh sb="7" eb="8">
      <t>チ</t>
    </rPh>
    <rPh sb="8" eb="9">
      <t>コウ</t>
    </rPh>
    <rPh sb="9" eb="10">
      <t>タイ</t>
    </rPh>
    <phoneticPr fontId="31"/>
  </si>
  <si>
    <t>療養介護Ⅰ３・地公体・人欠２・未計画２</t>
    <rPh sb="0" eb="2">
      <t>リョウヨウ</t>
    </rPh>
    <rPh sb="2" eb="4">
      <t>カイゴ</t>
    </rPh>
    <rPh sb="7" eb="8">
      <t>チ</t>
    </rPh>
    <rPh sb="8" eb="9">
      <t>コウ</t>
    </rPh>
    <rPh sb="9" eb="10">
      <t>タイ</t>
    </rPh>
    <phoneticPr fontId="31"/>
  </si>
  <si>
    <t>療養介護Ⅰ４・人欠２</t>
    <rPh sb="0" eb="2">
      <t>リョウヨウ</t>
    </rPh>
    <rPh sb="2" eb="4">
      <t>カイゴ</t>
    </rPh>
    <phoneticPr fontId="31"/>
  </si>
  <si>
    <t>療養介護Ⅰ４・人欠２・未計画１</t>
    <rPh sb="0" eb="2">
      <t>リョウヨウ</t>
    </rPh>
    <rPh sb="2" eb="4">
      <t>カイゴ</t>
    </rPh>
    <phoneticPr fontId="31"/>
  </si>
  <si>
    <t>療養介護Ⅰ４・人欠２・未計画２</t>
    <rPh sb="0" eb="2">
      <t>リョウヨウ</t>
    </rPh>
    <rPh sb="2" eb="4">
      <t>カイゴ</t>
    </rPh>
    <phoneticPr fontId="31"/>
  </si>
  <si>
    <t>療養介護Ⅰ４・地公体・人欠２</t>
    <rPh sb="0" eb="2">
      <t>リョウヨウ</t>
    </rPh>
    <rPh sb="2" eb="4">
      <t>カイゴ</t>
    </rPh>
    <rPh sb="7" eb="8">
      <t>チ</t>
    </rPh>
    <rPh sb="8" eb="9">
      <t>コウ</t>
    </rPh>
    <rPh sb="9" eb="10">
      <t>タイ</t>
    </rPh>
    <phoneticPr fontId="31"/>
  </si>
  <si>
    <t>療養介護Ⅰ４・地公体・人欠２・未計画１</t>
    <rPh sb="0" eb="2">
      <t>リョウヨウ</t>
    </rPh>
    <rPh sb="2" eb="4">
      <t>カイゴ</t>
    </rPh>
    <rPh sb="7" eb="8">
      <t>チ</t>
    </rPh>
    <rPh sb="8" eb="9">
      <t>コウ</t>
    </rPh>
    <rPh sb="9" eb="10">
      <t>タイ</t>
    </rPh>
    <phoneticPr fontId="31"/>
  </si>
  <si>
    <t>療養介護Ⅰ４・地公体・人欠２・未計画２</t>
    <rPh sb="0" eb="2">
      <t>リョウヨウ</t>
    </rPh>
    <rPh sb="2" eb="4">
      <t>カイゴ</t>
    </rPh>
    <rPh sb="7" eb="8">
      <t>チ</t>
    </rPh>
    <rPh sb="8" eb="9">
      <t>コウ</t>
    </rPh>
    <rPh sb="9" eb="10">
      <t>タイ</t>
    </rPh>
    <phoneticPr fontId="31"/>
  </si>
  <si>
    <t>療養介護Ⅱ１・人欠２</t>
    <rPh sb="0" eb="2">
      <t>リョウヨウ</t>
    </rPh>
    <rPh sb="2" eb="4">
      <t>カイゴ</t>
    </rPh>
    <phoneticPr fontId="31"/>
  </si>
  <si>
    <t>療養介護Ⅱ１・人欠２・未計画１</t>
    <rPh sb="0" eb="2">
      <t>リョウヨウ</t>
    </rPh>
    <rPh sb="2" eb="4">
      <t>カイゴ</t>
    </rPh>
    <phoneticPr fontId="31"/>
  </si>
  <si>
    <t>療養介護Ⅱ１・人欠２・未計画２</t>
    <rPh sb="0" eb="2">
      <t>リョウヨウ</t>
    </rPh>
    <rPh sb="2" eb="4">
      <t>カイゴ</t>
    </rPh>
    <phoneticPr fontId="31"/>
  </si>
  <si>
    <t>療養介護Ⅱ１・地公体・人欠２</t>
    <rPh sb="0" eb="2">
      <t>リョウヨウ</t>
    </rPh>
    <rPh sb="2" eb="4">
      <t>カイゴ</t>
    </rPh>
    <rPh sb="7" eb="8">
      <t>チ</t>
    </rPh>
    <rPh sb="8" eb="9">
      <t>コウ</t>
    </rPh>
    <rPh sb="9" eb="10">
      <t>タイ</t>
    </rPh>
    <phoneticPr fontId="31"/>
  </si>
  <si>
    <t>療養介護Ⅱ１・地公体・人欠２・未計画１</t>
    <rPh sb="0" eb="2">
      <t>リョウヨウ</t>
    </rPh>
    <rPh sb="2" eb="4">
      <t>カイゴ</t>
    </rPh>
    <rPh sb="7" eb="8">
      <t>チ</t>
    </rPh>
    <rPh sb="8" eb="9">
      <t>コウ</t>
    </rPh>
    <rPh sb="9" eb="10">
      <t>タイ</t>
    </rPh>
    <phoneticPr fontId="31"/>
  </si>
  <si>
    <t>療養介護Ⅱ１・地公体・人欠２・未計画２</t>
    <rPh sb="0" eb="2">
      <t>リョウヨウ</t>
    </rPh>
    <rPh sb="2" eb="4">
      <t>カイゴ</t>
    </rPh>
    <rPh sb="7" eb="8">
      <t>チ</t>
    </rPh>
    <rPh sb="8" eb="9">
      <t>コウ</t>
    </rPh>
    <rPh sb="9" eb="10">
      <t>タイ</t>
    </rPh>
    <phoneticPr fontId="31"/>
  </si>
  <si>
    <t>療養介護Ⅱ２・人欠２</t>
    <rPh sb="0" eb="2">
      <t>リョウヨウ</t>
    </rPh>
    <rPh sb="2" eb="4">
      <t>カイゴ</t>
    </rPh>
    <phoneticPr fontId="31"/>
  </si>
  <si>
    <t>療養介護Ⅱ２・人欠２・未計画１</t>
    <rPh sb="0" eb="2">
      <t>リョウヨウ</t>
    </rPh>
    <rPh sb="2" eb="4">
      <t>カイゴ</t>
    </rPh>
    <phoneticPr fontId="31"/>
  </si>
  <si>
    <t>療養介護Ⅱ２・人欠２・未計画２</t>
    <rPh sb="0" eb="2">
      <t>リョウヨウ</t>
    </rPh>
    <rPh sb="2" eb="4">
      <t>カイゴ</t>
    </rPh>
    <phoneticPr fontId="31"/>
  </si>
  <si>
    <t>療養介護Ⅱ２・地公体・人欠２</t>
    <rPh sb="0" eb="2">
      <t>リョウヨウ</t>
    </rPh>
    <rPh sb="2" eb="4">
      <t>カイゴ</t>
    </rPh>
    <rPh sb="7" eb="8">
      <t>チ</t>
    </rPh>
    <rPh sb="8" eb="9">
      <t>コウ</t>
    </rPh>
    <rPh sb="9" eb="10">
      <t>タイ</t>
    </rPh>
    <phoneticPr fontId="31"/>
  </si>
  <si>
    <t>療養介護Ⅱ２・地公体・人欠２・未計画１</t>
    <rPh sb="0" eb="2">
      <t>リョウヨウ</t>
    </rPh>
    <rPh sb="2" eb="4">
      <t>カイゴ</t>
    </rPh>
    <rPh sb="7" eb="8">
      <t>チ</t>
    </rPh>
    <rPh sb="8" eb="9">
      <t>コウ</t>
    </rPh>
    <rPh sb="9" eb="10">
      <t>タイ</t>
    </rPh>
    <phoneticPr fontId="31"/>
  </si>
  <si>
    <t>療養介護Ⅱ２・地公体・人欠２・未計画２</t>
    <rPh sb="0" eb="2">
      <t>リョウヨウ</t>
    </rPh>
    <rPh sb="2" eb="4">
      <t>カイゴ</t>
    </rPh>
    <rPh sb="7" eb="8">
      <t>チ</t>
    </rPh>
    <rPh sb="8" eb="9">
      <t>コウ</t>
    </rPh>
    <rPh sb="9" eb="10">
      <t>タイ</t>
    </rPh>
    <phoneticPr fontId="31"/>
  </si>
  <si>
    <t>療養介護Ⅱ３・人欠２</t>
    <rPh sb="0" eb="2">
      <t>リョウヨウ</t>
    </rPh>
    <rPh sb="2" eb="4">
      <t>カイゴ</t>
    </rPh>
    <phoneticPr fontId="31"/>
  </si>
  <si>
    <t>療養介護Ⅱ３・人欠２・未計画１</t>
    <rPh sb="0" eb="2">
      <t>リョウヨウ</t>
    </rPh>
    <rPh sb="2" eb="4">
      <t>カイゴ</t>
    </rPh>
    <phoneticPr fontId="31"/>
  </si>
  <si>
    <t>療養介護Ⅱ３・人欠２・未計画２</t>
    <rPh sb="0" eb="2">
      <t>リョウヨウ</t>
    </rPh>
    <rPh sb="2" eb="4">
      <t>カイゴ</t>
    </rPh>
    <phoneticPr fontId="31"/>
  </si>
  <si>
    <t>療養介護Ⅱ３・地公体・人欠２</t>
    <rPh sb="0" eb="2">
      <t>リョウヨウ</t>
    </rPh>
    <rPh sb="2" eb="4">
      <t>カイゴ</t>
    </rPh>
    <rPh sb="7" eb="8">
      <t>チ</t>
    </rPh>
    <rPh sb="8" eb="9">
      <t>コウ</t>
    </rPh>
    <rPh sb="9" eb="10">
      <t>タイ</t>
    </rPh>
    <phoneticPr fontId="31"/>
  </si>
  <si>
    <t>療養介護Ⅱ３・地公体・人欠２・未計画１</t>
    <rPh sb="0" eb="2">
      <t>リョウヨウ</t>
    </rPh>
    <rPh sb="2" eb="4">
      <t>カイゴ</t>
    </rPh>
    <rPh sb="7" eb="8">
      <t>チ</t>
    </rPh>
    <rPh sb="8" eb="9">
      <t>コウ</t>
    </rPh>
    <rPh sb="9" eb="10">
      <t>タイ</t>
    </rPh>
    <phoneticPr fontId="31"/>
  </si>
  <si>
    <t>療養介護Ⅱ３・地公体・人欠２・未計画２</t>
    <rPh sb="0" eb="2">
      <t>リョウヨウ</t>
    </rPh>
    <rPh sb="2" eb="4">
      <t>カイゴ</t>
    </rPh>
    <rPh sb="7" eb="8">
      <t>チ</t>
    </rPh>
    <rPh sb="8" eb="9">
      <t>コウ</t>
    </rPh>
    <rPh sb="9" eb="10">
      <t>タイ</t>
    </rPh>
    <phoneticPr fontId="31"/>
  </si>
  <si>
    <t>療養介護Ⅱ４・人欠２</t>
    <rPh sb="0" eb="2">
      <t>リョウヨウ</t>
    </rPh>
    <rPh sb="2" eb="4">
      <t>カイゴ</t>
    </rPh>
    <phoneticPr fontId="31"/>
  </si>
  <si>
    <t>療養介護Ⅱ４・人欠２・未計画１</t>
    <rPh sb="0" eb="2">
      <t>リョウヨウ</t>
    </rPh>
    <rPh sb="2" eb="4">
      <t>カイゴ</t>
    </rPh>
    <phoneticPr fontId="31"/>
  </si>
  <si>
    <t>療養介護Ⅱ４・人欠２・未計画２</t>
    <rPh sb="0" eb="2">
      <t>リョウヨウ</t>
    </rPh>
    <rPh sb="2" eb="4">
      <t>カイゴ</t>
    </rPh>
    <phoneticPr fontId="31"/>
  </si>
  <si>
    <t>療養介護Ⅱ４・地公体・人欠２</t>
    <rPh sb="0" eb="2">
      <t>リョウヨウ</t>
    </rPh>
    <rPh sb="2" eb="4">
      <t>カイゴ</t>
    </rPh>
    <rPh sb="7" eb="8">
      <t>チ</t>
    </rPh>
    <rPh sb="8" eb="9">
      <t>コウ</t>
    </rPh>
    <rPh sb="9" eb="10">
      <t>タイ</t>
    </rPh>
    <phoneticPr fontId="31"/>
  </si>
  <si>
    <t>療養介護Ⅱ４・地公体・人欠２・未計画１</t>
    <rPh sb="0" eb="2">
      <t>リョウヨウ</t>
    </rPh>
    <rPh sb="2" eb="4">
      <t>カイゴ</t>
    </rPh>
    <rPh sb="7" eb="8">
      <t>チ</t>
    </rPh>
    <rPh sb="8" eb="9">
      <t>コウ</t>
    </rPh>
    <rPh sb="9" eb="10">
      <t>タイ</t>
    </rPh>
    <phoneticPr fontId="31"/>
  </si>
  <si>
    <t>療養介護Ⅱ４・地公体・人欠２・未計画２</t>
    <rPh sb="0" eb="2">
      <t>リョウヨウ</t>
    </rPh>
    <rPh sb="2" eb="4">
      <t>カイゴ</t>
    </rPh>
    <rPh sb="7" eb="8">
      <t>チ</t>
    </rPh>
    <rPh sb="8" eb="9">
      <t>コウ</t>
    </rPh>
    <rPh sb="9" eb="10">
      <t>タイ</t>
    </rPh>
    <phoneticPr fontId="31"/>
  </si>
  <si>
    <t>療養介護Ⅲ１・人欠２</t>
    <rPh sb="0" eb="2">
      <t>リョウヨウ</t>
    </rPh>
    <rPh sb="2" eb="4">
      <t>カイゴ</t>
    </rPh>
    <phoneticPr fontId="31"/>
  </si>
  <si>
    <t>療養介護Ⅲ１・人欠２・未計画１</t>
    <rPh sb="0" eb="2">
      <t>リョウヨウ</t>
    </rPh>
    <rPh sb="2" eb="4">
      <t>カイゴ</t>
    </rPh>
    <phoneticPr fontId="31"/>
  </si>
  <si>
    <t>療養介護Ⅲ１・人欠２・未計画２</t>
    <rPh sb="0" eb="2">
      <t>リョウヨウ</t>
    </rPh>
    <rPh sb="2" eb="4">
      <t>カイゴ</t>
    </rPh>
    <phoneticPr fontId="31"/>
  </si>
  <si>
    <t>療養介護Ⅲ１・地公体・人欠２</t>
    <rPh sb="0" eb="2">
      <t>リョウヨウ</t>
    </rPh>
    <rPh sb="2" eb="4">
      <t>カイゴ</t>
    </rPh>
    <rPh sb="7" eb="8">
      <t>チ</t>
    </rPh>
    <rPh sb="8" eb="9">
      <t>コウ</t>
    </rPh>
    <rPh sb="9" eb="10">
      <t>タイ</t>
    </rPh>
    <phoneticPr fontId="31"/>
  </si>
  <si>
    <t>療養介護Ⅲ１・地公体・人欠２・未計画１</t>
    <rPh sb="0" eb="2">
      <t>リョウヨウ</t>
    </rPh>
    <rPh sb="2" eb="4">
      <t>カイゴ</t>
    </rPh>
    <rPh sb="7" eb="8">
      <t>チ</t>
    </rPh>
    <rPh sb="8" eb="9">
      <t>コウ</t>
    </rPh>
    <rPh sb="9" eb="10">
      <t>タイ</t>
    </rPh>
    <phoneticPr fontId="31"/>
  </si>
  <si>
    <t>療養介護Ⅲ１・地公体・人欠２・未計画２</t>
    <rPh sb="0" eb="2">
      <t>リョウヨウ</t>
    </rPh>
    <rPh sb="2" eb="4">
      <t>カイゴ</t>
    </rPh>
    <rPh sb="7" eb="8">
      <t>チ</t>
    </rPh>
    <rPh sb="8" eb="9">
      <t>コウ</t>
    </rPh>
    <rPh sb="9" eb="10">
      <t>タイ</t>
    </rPh>
    <phoneticPr fontId="31"/>
  </si>
  <si>
    <t>療養介護Ⅲ２・人欠２</t>
    <rPh sb="0" eb="2">
      <t>リョウヨウ</t>
    </rPh>
    <rPh sb="2" eb="4">
      <t>カイゴ</t>
    </rPh>
    <phoneticPr fontId="31"/>
  </si>
  <si>
    <t>療養介護Ⅲ２・人欠２・未計画１</t>
    <rPh sb="0" eb="2">
      <t>リョウヨウ</t>
    </rPh>
    <rPh sb="2" eb="4">
      <t>カイゴ</t>
    </rPh>
    <phoneticPr fontId="31"/>
  </si>
  <si>
    <t>療養介護Ⅲ２・人欠２・未計画２</t>
    <rPh sb="0" eb="2">
      <t>リョウヨウ</t>
    </rPh>
    <rPh sb="2" eb="4">
      <t>カイゴ</t>
    </rPh>
    <phoneticPr fontId="31"/>
  </si>
  <si>
    <t>療養介護Ⅲ２・地公体・人欠２</t>
    <rPh sb="0" eb="2">
      <t>リョウヨウ</t>
    </rPh>
    <rPh sb="2" eb="4">
      <t>カイゴ</t>
    </rPh>
    <rPh sb="7" eb="8">
      <t>チ</t>
    </rPh>
    <rPh sb="8" eb="9">
      <t>コウ</t>
    </rPh>
    <rPh sb="9" eb="10">
      <t>タイ</t>
    </rPh>
    <phoneticPr fontId="31"/>
  </si>
  <si>
    <t>療養介護Ⅲ２・地公体・人欠２・未計画１</t>
    <rPh sb="0" eb="2">
      <t>リョウヨウ</t>
    </rPh>
    <rPh sb="2" eb="4">
      <t>カイゴ</t>
    </rPh>
    <rPh sb="7" eb="8">
      <t>チ</t>
    </rPh>
    <rPh sb="8" eb="9">
      <t>コウ</t>
    </rPh>
    <rPh sb="9" eb="10">
      <t>タイ</t>
    </rPh>
    <phoneticPr fontId="31"/>
  </si>
  <si>
    <t>療養介護Ⅲ２・地公体・人欠２・未計画２</t>
    <rPh sb="0" eb="2">
      <t>リョウヨウ</t>
    </rPh>
    <rPh sb="2" eb="4">
      <t>カイゴ</t>
    </rPh>
    <rPh sb="7" eb="8">
      <t>チ</t>
    </rPh>
    <rPh sb="8" eb="9">
      <t>コウ</t>
    </rPh>
    <rPh sb="9" eb="10">
      <t>タイ</t>
    </rPh>
    <phoneticPr fontId="31"/>
  </si>
  <si>
    <t>療養介護Ⅲ３・人欠２</t>
    <rPh sb="0" eb="2">
      <t>リョウヨウ</t>
    </rPh>
    <rPh sb="2" eb="4">
      <t>カイゴ</t>
    </rPh>
    <phoneticPr fontId="31"/>
  </si>
  <si>
    <t>療養介護Ⅲ３・人欠２・未計画１</t>
    <rPh sb="0" eb="2">
      <t>リョウヨウ</t>
    </rPh>
    <rPh sb="2" eb="4">
      <t>カイゴ</t>
    </rPh>
    <phoneticPr fontId="31"/>
  </si>
  <si>
    <t>療養介護Ⅲ３・人欠２・未計画２</t>
    <rPh sb="0" eb="2">
      <t>リョウヨウ</t>
    </rPh>
    <rPh sb="2" eb="4">
      <t>カイゴ</t>
    </rPh>
    <phoneticPr fontId="31"/>
  </si>
  <si>
    <t>療養介護Ⅲ３・地公体・人欠２</t>
    <rPh sb="0" eb="2">
      <t>リョウヨウ</t>
    </rPh>
    <rPh sb="2" eb="4">
      <t>カイゴ</t>
    </rPh>
    <rPh sb="7" eb="8">
      <t>チ</t>
    </rPh>
    <rPh sb="8" eb="9">
      <t>コウ</t>
    </rPh>
    <rPh sb="9" eb="10">
      <t>タイ</t>
    </rPh>
    <phoneticPr fontId="31"/>
  </si>
  <si>
    <t>療養介護Ⅲ３・地公体・人欠２・未計画１</t>
    <rPh sb="0" eb="2">
      <t>リョウヨウ</t>
    </rPh>
    <rPh sb="2" eb="4">
      <t>カイゴ</t>
    </rPh>
    <rPh sb="7" eb="8">
      <t>チ</t>
    </rPh>
    <rPh sb="8" eb="9">
      <t>コウ</t>
    </rPh>
    <rPh sb="9" eb="10">
      <t>タイ</t>
    </rPh>
    <phoneticPr fontId="31"/>
  </si>
  <si>
    <t>療養介護Ⅲ３・地公体・人欠２・未計画２</t>
    <rPh sb="0" eb="2">
      <t>リョウヨウ</t>
    </rPh>
    <rPh sb="2" eb="4">
      <t>カイゴ</t>
    </rPh>
    <rPh sb="7" eb="8">
      <t>チ</t>
    </rPh>
    <rPh sb="8" eb="9">
      <t>コウ</t>
    </rPh>
    <rPh sb="9" eb="10">
      <t>タイ</t>
    </rPh>
    <phoneticPr fontId="31"/>
  </si>
  <si>
    <t>療養介護Ⅲ４・人欠２</t>
    <rPh sb="0" eb="2">
      <t>リョウヨウ</t>
    </rPh>
    <rPh sb="2" eb="4">
      <t>カイゴ</t>
    </rPh>
    <phoneticPr fontId="31"/>
  </si>
  <si>
    <t>療養介護Ⅲ４・人欠２・未計画１</t>
    <rPh sb="0" eb="2">
      <t>リョウヨウ</t>
    </rPh>
    <rPh sb="2" eb="4">
      <t>カイゴ</t>
    </rPh>
    <phoneticPr fontId="31"/>
  </si>
  <si>
    <t>療養介護Ⅲ４・人欠２・未計画２</t>
    <rPh sb="0" eb="2">
      <t>リョウヨウ</t>
    </rPh>
    <rPh sb="2" eb="4">
      <t>カイゴ</t>
    </rPh>
    <phoneticPr fontId="31"/>
  </si>
  <si>
    <t>療養介護Ⅲ４・地公体・人欠２</t>
    <rPh sb="0" eb="2">
      <t>リョウヨウ</t>
    </rPh>
    <rPh sb="2" eb="4">
      <t>カイゴ</t>
    </rPh>
    <rPh sb="7" eb="8">
      <t>チ</t>
    </rPh>
    <rPh sb="8" eb="9">
      <t>コウ</t>
    </rPh>
    <rPh sb="9" eb="10">
      <t>タイ</t>
    </rPh>
    <phoneticPr fontId="31"/>
  </si>
  <si>
    <t>療養介護Ⅲ４・地公体・人欠２・未計画１</t>
    <rPh sb="0" eb="2">
      <t>リョウヨウ</t>
    </rPh>
    <rPh sb="2" eb="4">
      <t>カイゴ</t>
    </rPh>
    <rPh sb="7" eb="8">
      <t>チ</t>
    </rPh>
    <rPh sb="8" eb="9">
      <t>コウ</t>
    </rPh>
    <rPh sb="9" eb="10">
      <t>タイ</t>
    </rPh>
    <phoneticPr fontId="31"/>
  </si>
  <si>
    <t>療養介護Ⅲ４・地公体・人欠２・未計画２</t>
    <rPh sb="0" eb="2">
      <t>リョウヨウ</t>
    </rPh>
    <rPh sb="2" eb="4">
      <t>カイゴ</t>
    </rPh>
    <rPh sb="7" eb="8">
      <t>チ</t>
    </rPh>
    <rPh sb="8" eb="9">
      <t>コウ</t>
    </rPh>
    <rPh sb="9" eb="10">
      <t>タイ</t>
    </rPh>
    <phoneticPr fontId="31"/>
  </si>
  <si>
    <t>療養介護Ⅳ１・人欠２</t>
  </si>
  <si>
    <t>療養介護Ⅳ１・人欠２・未計画１</t>
  </si>
  <si>
    <t>療養介護Ⅳ１・人欠２・未計画２</t>
  </si>
  <si>
    <t>療養介護Ⅳ２・人欠２</t>
  </si>
  <si>
    <t>療養介護Ⅳ２・人欠２・未計画１</t>
  </si>
  <si>
    <t>療養介護Ⅳ２・人欠２・未計画２</t>
  </si>
  <si>
    <t>療養介護Ⅳ３・人欠２</t>
  </si>
  <si>
    <t>療養介護Ⅳ３・人欠２・未計画１</t>
  </si>
  <si>
    <t>療養介護Ⅳ３・人欠２・未計画２</t>
  </si>
  <si>
    <t>療養介護Ⅳ４・人欠２</t>
  </si>
  <si>
    <t>療養介護Ⅳ４・人欠２・未計画１</t>
  </si>
  <si>
    <t>療養介護Ⅳ４・人欠２・未計画２</t>
  </si>
  <si>
    <t>療養介護Ⅴ１・人欠２</t>
  </si>
  <si>
    <t>療養介護Ⅴ１・人欠２・未計画１</t>
  </si>
  <si>
    <t>療養介護Ⅴ１・人欠２・未計画２</t>
  </si>
  <si>
    <t>療養介護Ⅴ１・地公体・人欠２</t>
    <rPh sb="7" eb="8">
      <t>チ</t>
    </rPh>
    <rPh sb="8" eb="9">
      <t>コウ</t>
    </rPh>
    <rPh sb="9" eb="10">
      <t>タイ</t>
    </rPh>
    <phoneticPr fontId="31"/>
  </si>
  <si>
    <t>療養介護Ⅴ１・地公体・人欠２・未計画１</t>
    <rPh sb="7" eb="8">
      <t>チ</t>
    </rPh>
    <rPh sb="8" eb="9">
      <t>コウ</t>
    </rPh>
    <rPh sb="9" eb="10">
      <t>タイ</t>
    </rPh>
    <phoneticPr fontId="31"/>
  </si>
  <si>
    <t>療養介護Ⅴ１・地公体・人欠２・未計画２</t>
    <rPh sb="7" eb="8">
      <t>チ</t>
    </rPh>
    <rPh sb="8" eb="9">
      <t>コウ</t>
    </rPh>
    <rPh sb="9" eb="10">
      <t>タイ</t>
    </rPh>
    <phoneticPr fontId="31"/>
  </si>
  <si>
    <t>療養介護Ⅴ２・人欠２</t>
  </si>
  <si>
    <t>療養介護Ⅴ２・人欠２・未計画１</t>
  </si>
  <si>
    <t>療養介護Ⅴ２・人欠２・未計画２</t>
  </si>
  <si>
    <t>療養介護Ⅴ２・地公体・人欠２</t>
    <rPh sb="7" eb="8">
      <t>チ</t>
    </rPh>
    <rPh sb="8" eb="9">
      <t>コウ</t>
    </rPh>
    <rPh sb="9" eb="10">
      <t>タイ</t>
    </rPh>
    <phoneticPr fontId="31"/>
  </si>
  <si>
    <t>療養介護Ⅴ２・地公体・人欠２・未計画１</t>
    <rPh sb="7" eb="8">
      <t>チ</t>
    </rPh>
    <rPh sb="8" eb="9">
      <t>コウ</t>
    </rPh>
    <rPh sb="9" eb="10">
      <t>タイ</t>
    </rPh>
    <phoneticPr fontId="31"/>
  </si>
  <si>
    <t>療養介護Ⅴ２・地公体・人欠２・未計画２</t>
    <rPh sb="7" eb="8">
      <t>チ</t>
    </rPh>
    <rPh sb="8" eb="9">
      <t>コウ</t>
    </rPh>
    <rPh sb="9" eb="10">
      <t>タイ</t>
    </rPh>
    <phoneticPr fontId="31"/>
  </si>
  <si>
    <t>療養介護Ⅴ３・人欠２</t>
  </si>
  <si>
    <t>療養介護Ⅴ３・人欠２・未計画１</t>
  </si>
  <si>
    <t>療養介護Ⅴ３・人欠２・未計画２</t>
  </si>
  <si>
    <t>療養介護Ⅴ３・地公体・人欠２</t>
    <rPh sb="7" eb="8">
      <t>チ</t>
    </rPh>
    <rPh sb="8" eb="9">
      <t>コウ</t>
    </rPh>
    <rPh sb="9" eb="10">
      <t>タイ</t>
    </rPh>
    <phoneticPr fontId="31"/>
  </si>
  <si>
    <t>療養介護Ⅴ３・地公体・人欠２・未計画１</t>
    <rPh sb="7" eb="8">
      <t>チ</t>
    </rPh>
    <rPh sb="8" eb="9">
      <t>コウ</t>
    </rPh>
    <rPh sb="9" eb="10">
      <t>タイ</t>
    </rPh>
    <phoneticPr fontId="31"/>
  </si>
  <si>
    <t>療養介護Ⅴ３・地公体・人欠２・未計画２</t>
    <rPh sb="7" eb="8">
      <t>チ</t>
    </rPh>
    <rPh sb="8" eb="9">
      <t>コウ</t>
    </rPh>
    <rPh sb="9" eb="10">
      <t>タイ</t>
    </rPh>
    <phoneticPr fontId="31"/>
  </si>
  <si>
    <t>療養介護Ⅴ４・人欠２</t>
  </si>
  <si>
    <t>療養介護Ⅴ４・人欠２・未計画１</t>
  </si>
  <si>
    <t>療養介護Ⅴ４・人欠２・未計画２</t>
  </si>
  <si>
    <t>療養介護Ⅴ４・地公体・人欠２</t>
    <rPh sb="7" eb="8">
      <t>チ</t>
    </rPh>
    <rPh sb="8" eb="9">
      <t>コウ</t>
    </rPh>
    <rPh sb="9" eb="10">
      <t>タイ</t>
    </rPh>
    <phoneticPr fontId="31"/>
  </si>
  <si>
    <t>療養介護Ⅴ４・地公体・人欠２・未計画１</t>
    <rPh sb="7" eb="8">
      <t>チ</t>
    </rPh>
    <rPh sb="8" eb="9">
      <t>コウ</t>
    </rPh>
    <rPh sb="9" eb="10">
      <t>タイ</t>
    </rPh>
    <phoneticPr fontId="31"/>
  </si>
  <si>
    <t>療養介護Ⅴ４・地公体・人欠２・未計画２</t>
    <rPh sb="7" eb="8">
      <t>チ</t>
    </rPh>
    <rPh sb="8" eb="9">
      <t>コウ</t>
    </rPh>
    <rPh sb="9" eb="10">
      <t>タイ</t>
    </rPh>
    <phoneticPr fontId="31"/>
  </si>
  <si>
    <t>経過的療養介護Ⅰ１・人欠２</t>
  </si>
  <si>
    <t>経過的療養介護Ⅰ１・人欠２・未計画１</t>
  </si>
  <si>
    <t>経過的療養介護Ⅰ１・人欠２・未計画２</t>
  </si>
  <si>
    <t>経過的療養介護Ⅰ１・地公体・人欠２</t>
    <rPh sb="10" eb="11">
      <t>チ</t>
    </rPh>
    <rPh sb="11" eb="12">
      <t>コウ</t>
    </rPh>
    <rPh sb="12" eb="13">
      <t>タイ</t>
    </rPh>
    <phoneticPr fontId="31"/>
  </si>
  <si>
    <t>経過的療養介護Ⅰ１・地公体・人欠２・未計画１</t>
    <rPh sb="10" eb="11">
      <t>チ</t>
    </rPh>
    <rPh sb="11" eb="12">
      <t>コウ</t>
    </rPh>
    <rPh sb="12" eb="13">
      <t>タイ</t>
    </rPh>
    <phoneticPr fontId="31"/>
  </si>
  <si>
    <t>経過的療養介護Ⅰ１・地公体・人欠２・未計画２</t>
    <rPh sb="10" eb="11">
      <t>チ</t>
    </rPh>
    <rPh sb="11" eb="12">
      <t>コウ</t>
    </rPh>
    <rPh sb="12" eb="13">
      <t>タイ</t>
    </rPh>
    <phoneticPr fontId="31"/>
  </si>
  <si>
    <t>経過的療養介護Ⅰ２・人欠２</t>
  </si>
  <si>
    <t>経過的療養介護Ⅰ２・人欠２・未計画１</t>
  </si>
  <si>
    <t>経過的療養介護Ⅰ２・人欠２・未計画２</t>
  </si>
  <si>
    <t>経過的療養介護Ⅰ２・地公体・人欠２</t>
    <rPh sb="10" eb="11">
      <t>チ</t>
    </rPh>
    <rPh sb="11" eb="12">
      <t>コウ</t>
    </rPh>
    <rPh sb="12" eb="13">
      <t>タイ</t>
    </rPh>
    <phoneticPr fontId="31"/>
  </si>
  <si>
    <t>経過的療養介護Ⅰ２・地公体・人欠２・未計画１</t>
    <rPh sb="10" eb="11">
      <t>チ</t>
    </rPh>
    <rPh sb="11" eb="12">
      <t>コウ</t>
    </rPh>
    <rPh sb="12" eb="13">
      <t>タイ</t>
    </rPh>
    <phoneticPr fontId="31"/>
  </si>
  <si>
    <t>経過的療養介護Ⅰ２・地公体・人欠２・未計画２</t>
    <rPh sb="10" eb="11">
      <t>チ</t>
    </rPh>
    <rPh sb="11" eb="12">
      <t>コウ</t>
    </rPh>
    <rPh sb="12" eb="13">
      <t>タイ</t>
    </rPh>
    <phoneticPr fontId="31"/>
  </si>
  <si>
    <t>経過的療養介護Ⅰ３・人欠２</t>
  </si>
  <si>
    <t>経過的療養介護Ⅰ３・人欠２・未計画１</t>
  </si>
  <si>
    <t>経過的療養介護Ⅰ３・人欠２・未計画２</t>
  </si>
  <si>
    <t>経過的療養介護Ⅰ３・地公体・人欠２</t>
    <rPh sb="10" eb="11">
      <t>チ</t>
    </rPh>
    <rPh sb="11" eb="12">
      <t>コウ</t>
    </rPh>
    <rPh sb="12" eb="13">
      <t>タイ</t>
    </rPh>
    <phoneticPr fontId="31"/>
  </si>
  <si>
    <t>経過的療養介護Ⅰ３・地公体・人欠２・未計画１</t>
    <rPh sb="10" eb="11">
      <t>チ</t>
    </rPh>
    <rPh sb="11" eb="12">
      <t>コウ</t>
    </rPh>
    <rPh sb="12" eb="13">
      <t>タイ</t>
    </rPh>
    <phoneticPr fontId="31"/>
  </si>
  <si>
    <t>経過的療養介護Ⅰ３・地公体・人欠２・未計画２</t>
    <rPh sb="10" eb="11">
      <t>チ</t>
    </rPh>
    <rPh sb="11" eb="12">
      <t>コウ</t>
    </rPh>
    <rPh sb="12" eb="13">
      <t>タイ</t>
    </rPh>
    <phoneticPr fontId="31"/>
  </si>
  <si>
    <t>経過的療養介護Ⅰ４・人欠２</t>
  </si>
  <si>
    <t>経過的療養介護Ⅰ４・人欠２・未計画１</t>
  </si>
  <si>
    <t>経過的療養介護Ⅰ４・人欠２・未計画２</t>
  </si>
  <si>
    <t>経過的療養介護Ⅰ４・地公体・人欠２</t>
    <rPh sb="10" eb="11">
      <t>チ</t>
    </rPh>
    <rPh sb="11" eb="12">
      <t>コウ</t>
    </rPh>
    <rPh sb="12" eb="13">
      <t>タイ</t>
    </rPh>
    <phoneticPr fontId="31"/>
  </si>
  <si>
    <t>経過的療養介護Ⅰ４・地公体・人欠２・未計画１</t>
    <rPh sb="10" eb="11">
      <t>チ</t>
    </rPh>
    <rPh sb="11" eb="12">
      <t>コウ</t>
    </rPh>
    <rPh sb="12" eb="13">
      <t>タイ</t>
    </rPh>
    <phoneticPr fontId="31"/>
  </si>
  <si>
    <t>経過的療養介護Ⅰ４・地公体・人欠２・未計画２</t>
    <rPh sb="10" eb="11">
      <t>チ</t>
    </rPh>
    <rPh sb="11" eb="12">
      <t>コウ</t>
    </rPh>
    <rPh sb="12" eb="13">
      <t>タイ</t>
    </rPh>
    <phoneticPr fontId="31"/>
  </si>
  <si>
    <t>（サービス管理責任者欠員）</t>
    <rPh sb="5" eb="7">
      <t>カンリ</t>
    </rPh>
    <rPh sb="7" eb="10">
      <t>セキニンシャ</t>
    </rPh>
    <rPh sb="10" eb="12">
      <t>ケツイン</t>
    </rPh>
    <phoneticPr fontId="31"/>
  </si>
  <si>
    <t>B001</t>
    <phoneticPr fontId="4"/>
  </si>
  <si>
    <t>療養介護Ⅰ１・責欠１</t>
    <rPh sb="0" eb="2">
      <t>リョウヨウ</t>
    </rPh>
    <rPh sb="2" eb="4">
      <t>カイゴ</t>
    </rPh>
    <phoneticPr fontId="31"/>
  </si>
  <si>
    <t>サービス管理責任者の員数が基準に満たない場合、減算が適用される月から4月目まで</t>
    <phoneticPr fontId="31"/>
  </si>
  <si>
    <t>療養介護Ⅰ１・地公体・責欠１</t>
    <rPh sb="0" eb="2">
      <t>リョウヨウ</t>
    </rPh>
    <rPh sb="2" eb="4">
      <t>カイゴ</t>
    </rPh>
    <rPh sb="7" eb="8">
      <t>チ</t>
    </rPh>
    <rPh sb="8" eb="9">
      <t>コウ</t>
    </rPh>
    <rPh sb="9" eb="10">
      <t>タイ</t>
    </rPh>
    <phoneticPr fontId="31"/>
  </si>
  <si>
    <t>療養介護Ⅰ２・責欠１</t>
    <rPh sb="0" eb="2">
      <t>リョウヨウ</t>
    </rPh>
    <rPh sb="2" eb="4">
      <t>カイゴ</t>
    </rPh>
    <phoneticPr fontId="31"/>
  </si>
  <si>
    <t>療養介護Ⅰ２・地公体・責欠１</t>
    <rPh sb="0" eb="2">
      <t>リョウヨウ</t>
    </rPh>
    <rPh sb="2" eb="4">
      <t>カイゴ</t>
    </rPh>
    <rPh sb="7" eb="8">
      <t>チ</t>
    </rPh>
    <rPh sb="8" eb="9">
      <t>コウ</t>
    </rPh>
    <rPh sb="9" eb="10">
      <t>タイ</t>
    </rPh>
    <phoneticPr fontId="31"/>
  </si>
  <si>
    <t>療養介護Ⅰ３・責欠１</t>
    <rPh sb="0" eb="2">
      <t>リョウヨウ</t>
    </rPh>
    <rPh sb="2" eb="4">
      <t>カイゴ</t>
    </rPh>
    <phoneticPr fontId="31"/>
  </si>
  <si>
    <t>療養介護Ⅰ３・地公体・責欠１</t>
    <rPh sb="0" eb="2">
      <t>リョウヨウ</t>
    </rPh>
    <rPh sb="2" eb="4">
      <t>カイゴ</t>
    </rPh>
    <rPh sb="7" eb="8">
      <t>チ</t>
    </rPh>
    <rPh sb="8" eb="9">
      <t>コウ</t>
    </rPh>
    <rPh sb="9" eb="10">
      <t>タイ</t>
    </rPh>
    <phoneticPr fontId="31"/>
  </si>
  <si>
    <t>療養介護Ⅰ４・責欠１</t>
    <rPh sb="0" eb="2">
      <t>リョウヨウ</t>
    </rPh>
    <rPh sb="2" eb="4">
      <t>カイゴ</t>
    </rPh>
    <phoneticPr fontId="31"/>
  </si>
  <si>
    <t>療養介護Ⅰ４・地公体・責欠１</t>
    <rPh sb="0" eb="2">
      <t>リョウヨウ</t>
    </rPh>
    <rPh sb="2" eb="4">
      <t>カイゴ</t>
    </rPh>
    <rPh sb="7" eb="8">
      <t>チ</t>
    </rPh>
    <rPh sb="8" eb="9">
      <t>コウ</t>
    </rPh>
    <rPh sb="9" eb="10">
      <t>タイ</t>
    </rPh>
    <phoneticPr fontId="31"/>
  </si>
  <si>
    <t>療養介護Ⅱ１・責欠１</t>
    <rPh sb="0" eb="2">
      <t>リョウヨウ</t>
    </rPh>
    <rPh sb="2" eb="4">
      <t>カイゴ</t>
    </rPh>
    <phoneticPr fontId="31"/>
  </si>
  <si>
    <t>療養介護Ⅱ１・地公体・責欠１</t>
    <rPh sb="0" eb="2">
      <t>リョウヨウ</t>
    </rPh>
    <rPh sb="2" eb="4">
      <t>カイゴ</t>
    </rPh>
    <rPh sb="7" eb="8">
      <t>チ</t>
    </rPh>
    <rPh sb="8" eb="9">
      <t>コウ</t>
    </rPh>
    <rPh sb="9" eb="10">
      <t>タイ</t>
    </rPh>
    <phoneticPr fontId="31"/>
  </si>
  <si>
    <t>療養介護Ⅱ２・責欠１</t>
    <rPh sb="0" eb="2">
      <t>リョウヨウ</t>
    </rPh>
    <rPh sb="2" eb="4">
      <t>カイゴ</t>
    </rPh>
    <phoneticPr fontId="31"/>
  </si>
  <si>
    <t>療養介護Ⅱ２・地公体・責欠１</t>
    <rPh sb="0" eb="2">
      <t>リョウヨウ</t>
    </rPh>
    <rPh sb="2" eb="4">
      <t>カイゴ</t>
    </rPh>
    <rPh sb="7" eb="8">
      <t>チ</t>
    </rPh>
    <rPh sb="8" eb="9">
      <t>コウ</t>
    </rPh>
    <rPh sb="9" eb="10">
      <t>タイ</t>
    </rPh>
    <phoneticPr fontId="31"/>
  </si>
  <si>
    <t>療養介護Ⅱ３・責欠１</t>
    <rPh sb="0" eb="2">
      <t>リョウヨウ</t>
    </rPh>
    <rPh sb="2" eb="4">
      <t>カイゴ</t>
    </rPh>
    <phoneticPr fontId="31"/>
  </si>
  <si>
    <t>療養介護Ⅱ３・地公体・責欠１</t>
    <rPh sb="0" eb="2">
      <t>リョウヨウ</t>
    </rPh>
    <rPh sb="2" eb="4">
      <t>カイゴ</t>
    </rPh>
    <rPh sb="7" eb="8">
      <t>チ</t>
    </rPh>
    <rPh sb="8" eb="9">
      <t>コウ</t>
    </rPh>
    <rPh sb="9" eb="10">
      <t>タイ</t>
    </rPh>
    <phoneticPr fontId="31"/>
  </si>
  <si>
    <t>療養介護Ⅱ４・責欠１</t>
    <rPh sb="0" eb="2">
      <t>リョウヨウ</t>
    </rPh>
    <rPh sb="2" eb="4">
      <t>カイゴ</t>
    </rPh>
    <phoneticPr fontId="31"/>
  </si>
  <si>
    <t>療養介護Ⅱ４・地公体・責欠１</t>
    <rPh sb="0" eb="2">
      <t>リョウヨウ</t>
    </rPh>
    <rPh sb="2" eb="4">
      <t>カイゴ</t>
    </rPh>
    <rPh sb="7" eb="8">
      <t>チ</t>
    </rPh>
    <rPh sb="8" eb="9">
      <t>コウ</t>
    </rPh>
    <rPh sb="9" eb="10">
      <t>タイ</t>
    </rPh>
    <phoneticPr fontId="31"/>
  </si>
  <si>
    <t>療養介護Ⅲ１・責欠１</t>
    <rPh sb="0" eb="2">
      <t>リョウヨウ</t>
    </rPh>
    <rPh sb="2" eb="4">
      <t>カイゴ</t>
    </rPh>
    <phoneticPr fontId="31"/>
  </si>
  <si>
    <t>療養介護Ⅲ１・地公体・責欠１</t>
    <rPh sb="0" eb="2">
      <t>リョウヨウ</t>
    </rPh>
    <rPh sb="2" eb="4">
      <t>カイゴ</t>
    </rPh>
    <rPh sb="7" eb="8">
      <t>チ</t>
    </rPh>
    <rPh sb="8" eb="9">
      <t>コウ</t>
    </rPh>
    <rPh sb="9" eb="10">
      <t>タイ</t>
    </rPh>
    <phoneticPr fontId="31"/>
  </si>
  <si>
    <t>療養介護Ⅲ２・責欠１</t>
    <rPh sb="0" eb="2">
      <t>リョウヨウ</t>
    </rPh>
    <rPh sb="2" eb="4">
      <t>カイゴ</t>
    </rPh>
    <phoneticPr fontId="31"/>
  </si>
  <si>
    <t>療養介護Ⅲ２・地公体・責欠１</t>
    <rPh sb="0" eb="2">
      <t>リョウヨウ</t>
    </rPh>
    <rPh sb="2" eb="4">
      <t>カイゴ</t>
    </rPh>
    <rPh sb="7" eb="8">
      <t>チ</t>
    </rPh>
    <rPh sb="8" eb="9">
      <t>コウ</t>
    </rPh>
    <rPh sb="9" eb="10">
      <t>タイ</t>
    </rPh>
    <phoneticPr fontId="31"/>
  </si>
  <si>
    <t>療養介護Ⅲ３・責欠１</t>
    <rPh sb="0" eb="2">
      <t>リョウヨウ</t>
    </rPh>
    <rPh sb="2" eb="4">
      <t>カイゴ</t>
    </rPh>
    <phoneticPr fontId="31"/>
  </si>
  <si>
    <t>療養介護Ⅲ３・地公体・責欠１</t>
    <rPh sb="0" eb="2">
      <t>リョウヨウ</t>
    </rPh>
    <rPh sb="2" eb="4">
      <t>カイゴ</t>
    </rPh>
    <rPh sb="7" eb="8">
      <t>チ</t>
    </rPh>
    <rPh sb="8" eb="9">
      <t>コウ</t>
    </rPh>
    <rPh sb="9" eb="10">
      <t>タイ</t>
    </rPh>
    <phoneticPr fontId="31"/>
  </si>
  <si>
    <t>療養介護Ⅲ４・責欠１</t>
    <rPh sb="0" eb="2">
      <t>リョウヨウ</t>
    </rPh>
    <rPh sb="2" eb="4">
      <t>カイゴ</t>
    </rPh>
    <phoneticPr fontId="31"/>
  </si>
  <si>
    <t>療養介護Ⅲ４・地公体・責欠１</t>
    <rPh sb="0" eb="2">
      <t>リョウヨウ</t>
    </rPh>
    <rPh sb="2" eb="4">
      <t>カイゴ</t>
    </rPh>
    <rPh sb="7" eb="8">
      <t>チ</t>
    </rPh>
    <rPh sb="8" eb="9">
      <t>コウ</t>
    </rPh>
    <rPh sb="9" eb="10">
      <t>タイ</t>
    </rPh>
    <phoneticPr fontId="31"/>
  </si>
  <si>
    <t>療養介護Ⅳ１・責欠１</t>
  </si>
  <si>
    <t>療養介護Ⅳ２・責欠１</t>
  </si>
  <si>
    <t>療養介護Ⅳ３・責欠１</t>
  </si>
  <si>
    <t>療養介護Ⅳ４・責欠１</t>
  </si>
  <si>
    <t>療養介護Ⅴ１・責欠１</t>
  </si>
  <si>
    <t>療養介護Ⅴ１・地公体・責欠１</t>
    <rPh sb="7" eb="8">
      <t>チ</t>
    </rPh>
    <rPh sb="8" eb="9">
      <t>コウ</t>
    </rPh>
    <rPh sb="9" eb="10">
      <t>タイ</t>
    </rPh>
    <phoneticPr fontId="31"/>
  </si>
  <si>
    <t>療養介護Ⅴ２・責欠１</t>
  </si>
  <si>
    <t>療養介護Ⅴ２・地公体・責欠１</t>
    <rPh sb="7" eb="8">
      <t>チ</t>
    </rPh>
    <rPh sb="8" eb="9">
      <t>コウ</t>
    </rPh>
    <rPh sb="9" eb="10">
      <t>タイ</t>
    </rPh>
    <phoneticPr fontId="31"/>
  </si>
  <si>
    <t>療養介護Ⅴ３・責欠１</t>
  </si>
  <si>
    <t>療養介護Ⅴ３・地公体・責欠１</t>
    <rPh sb="7" eb="8">
      <t>チ</t>
    </rPh>
    <rPh sb="8" eb="9">
      <t>コウ</t>
    </rPh>
    <rPh sb="9" eb="10">
      <t>タイ</t>
    </rPh>
    <phoneticPr fontId="31"/>
  </si>
  <si>
    <t>療養介護Ⅴ４・責欠１</t>
  </si>
  <si>
    <t>療養介護Ⅴ４・地公体・責欠１</t>
    <rPh sb="7" eb="8">
      <t>チ</t>
    </rPh>
    <rPh sb="8" eb="9">
      <t>コウ</t>
    </rPh>
    <rPh sb="9" eb="10">
      <t>タイ</t>
    </rPh>
    <phoneticPr fontId="31"/>
  </si>
  <si>
    <t>経過的療養介護Ⅰ１・責欠１</t>
  </si>
  <si>
    <t>経過的療養介護Ⅰ１・地公体・責欠１</t>
    <rPh sb="10" eb="11">
      <t>チ</t>
    </rPh>
    <rPh sb="11" eb="12">
      <t>コウ</t>
    </rPh>
    <rPh sb="12" eb="13">
      <t>タイ</t>
    </rPh>
    <phoneticPr fontId="31"/>
  </si>
  <si>
    <t>経過的療養介護Ⅰ２・責欠１</t>
  </si>
  <si>
    <t>経過的療養介護Ⅰ２・地公体・責欠１</t>
    <rPh sb="10" eb="11">
      <t>チ</t>
    </rPh>
    <rPh sb="11" eb="12">
      <t>コウ</t>
    </rPh>
    <rPh sb="12" eb="13">
      <t>タイ</t>
    </rPh>
    <phoneticPr fontId="31"/>
  </si>
  <si>
    <t>経過的療養介護Ⅰ３・責欠１</t>
  </si>
  <si>
    <t>経過的療養介護Ⅰ３・地公体・責欠１</t>
    <rPh sb="10" eb="11">
      <t>チ</t>
    </rPh>
    <rPh sb="11" eb="12">
      <t>コウ</t>
    </rPh>
    <rPh sb="12" eb="13">
      <t>タイ</t>
    </rPh>
    <phoneticPr fontId="31"/>
  </si>
  <si>
    <t>経過的療養介護Ⅰ４・責欠１</t>
  </si>
  <si>
    <t>経過的療養介護Ⅰ４・地公体・責欠１</t>
    <rPh sb="10" eb="11">
      <t>チ</t>
    </rPh>
    <rPh sb="11" eb="12">
      <t>コウ</t>
    </rPh>
    <rPh sb="12" eb="13">
      <t>タイ</t>
    </rPh>
    <phoneticPr fontId="31"/>
  </si>
  <si>
    <t>療養介護Ⅰ１・責欠２</t>
    <rPh sb="0" eb="2">
      <t>リョウヨウ</t>
    </rPh>
    <rPh sb="2" eb="4">
      <t>カイゴ</t>
    </rPh>
    <phoneticPr fontId="31"/>
  </si>
  <si>
    <t>サービス管理責任者の員数が基準に満たない場合、5月以上連続して減算の場合</t>
    <phoneticPr fontId="31"/>
  </si>
  <si>
    <t>療養介護Ⅰ１・地公体・責欠２</t>
    <rPh sb="0" eb="2">
      <t>リョウヨウ</t>
    </rPh>
    <rPh sb="2" eb="4">
      <t>カイゴ</t>
    </rPh>
    <rPh sb="7" eb="8">
      <t>チ</t>
    </rPh>
    <rPh sb="8" eb="9">
      <t>コウ</t>
    </rPh>
    <rPh sb="9" eb="10">
      <t>タイ</t>
    </rPh>
    <phoneticPr fontId="31"/>
  </si>
  <si>
    <t>療養介護Ⅰ２・責欠２</t>
    <rPh sb="0" eb="2">
      <t>リョウヨウ</t>
    </rPh>
    <rPh sb="2" eb="4">
      <t>カイゴ</t>
    </rPh>
    <phoneticPr fontId="31"/>
  </si>
  <si>
    <t>療養介護Ⅰ２・地公体・責欠２</t>
    <rPh sb="0" eb="2">
      <t>リョウヨウ</t>
    </rPh>
    <rPh sb="2" eb="4">
      <t>カイゴ</t>
    </rPh>
    <rPh sb="7" eb="8">
      <t>チ</t>
    </rPh>
    <rPh sb="8" eb="9">
      <t>コウ</t>
    </rPh>
    <rPh sb="9" eb="10">
      <t>タイ</t>
    </rPh>
    <phoneticPr fontId="31"/>
  </si>
  <si>
    <t>療養介護Ⅰ３・責欠２</t>
    <rPh sb="0" eb="2">
      <t>リョウヨウ</t>
    </rPh>
    <rPh sb="2" eb="4">
      <t>カイゴ</t>
    </rPh>
    <phoneticPr fontId="31"/>
  </si>
  <si>
    <t>療養介護Ⅰ３・地公体・責欠２</t>
    <rPh sb="0" eb="2">
      <t>リョウヨウ</t>
    </rPh>
    <rPh sb="2" eb="4">
      <t>カイゴ</t>
    </rPh>
    <rPh sb="7" eb="8">
      <t>チ</t>
    </rPh>
    <rPh sb="8" eb="9">
      <t>コウ</t>
    </rPh>
    <rPh sb="9" eb="10">
      <t>タイ</t>
    </rPh>
    <phoneticPr fontId="31"/>
  </si>
  <si>
    <t>療養介護Ⅰ４・責欠２</t>
    <rPh sb="0" eb="2">
      <t>リョウヨウ</t>
    </rPh>
    <rPh sb="2" eb="4">
      <t>カイゴ</t>
    </rPh>
    <phoneticPr fontId="31"/>
  </si>
  <si>
    <t>療養介護Ⅰ４・地公体・責欠２</t>
    <rPh sb="0" eb="2">
      <t>リョウヨウ</t>
    </rPh>
    <rPh sb="2" eb="4">
      <t>カイゴ</t>
    </rPh>
    <rPh sb="7" eb="8">
      <t>チ</t>
    </rPh>
    <rPh sb="8" eb="9">
      <t>コウ</t>
    </rPh>
    <rPh sb="9" eb="10">
      <t>タイ</t>
    </rPh>
    <phoneticPr fontId="31"/>
  </si>
  <si>
    <t>療養介護Ⅱ１・責欠２</t>
    <rPh sb="0" eb="2">
      <t>リョウヨウ</t>
    </rPh>
    <rPh sb="2" eb="4">
      <t>カイゴ</t>
    </rPh>
    <phoneticPr fontId="31"/>
  </si>
  <si>
    <t>療養介護Ⅱ１・地公体・責欠２</t>
    <rPh sb="0" eb="2">
      <t>リョウヨウ</t>
    </rPh>
    <rPh sb="2" eb="4">
      <t>カイゴ</t>
    </rPh>
    <rPh sb="7" eb="8">
      <t>チ</t>
    </rPh>
    <rPh sb="8" eb="9">
      <t>コウ</t>
    </rPh>
    <rPh sb="9" eb="10">
      <t>タイ</t>
    </rPh>
    <phoneticPr fontId="31"/>
  </si>
  <si>
    <t>療養介護Ⅱ２・責欠２</t>
    <rPh sb="0" eb="2">
      <t>リョウヨウ</t>
    </rPh>
    <rPh sb="2" eb="4">
      <t>カイゴ</t>
    </rPh>
    <phoneticPr fontId="31"/>
  </si>
  <si>
    <t>療養介護Ⅱ２・地公体・責欠２</t>
    <rPh sb="0" eb="2">
      <t>リョウヨウ</t>
    </rPh>
    <rPh sb="2" eb="4">
      <t>カイゴ</t>
    </rPh>
    <rPh sb="7" eb="8">
      <t>チ</t>
    </rPh>
    <rPh sb="8" eb="9">
      <t>コウ</t>
    </rPh>
    <rPh sb="9" eb="10">
      <t>タイ</t>
    </rPh>
    <phoneticPr fontId="31"/>
  </si>
  <si>
    <t>療養介護Ⅱ３・責欠２</t>
    <rPh sb="0" eb="2">
      <t>リョウヨウ</t>
    </rPh>
    <rPh sb="2" eb="4">
      <t>カイゴ</t>
    </rPh>
    <phoneticPr fontId="31"/>
  </si>
  <si>
    <t>療養介護Ⅱ３・地公体・責欠２</t>
    <rPh sb="0" eb="2">
      <t>リョウヨウ</t>
    </rPh>
    <rPh sb="2" eb="4">
      <t>カイゴ</t>
    </rPh>
    <rPh sb="7" eb="8">
      <t>チ</t>
    </rPh>
    <rPh sb="8" eb="9">
      <t>コウ</t>
    </rPh>
    <rPh sb="9" eb="10">
      <t>タイ</t>
    </rPh>
    <phoneticPr fontId="31"/>
  </si>
  <si>
    <t>療養介護Ⅱ４・責欠２</t>
    <rPh sb="0" eb="2">
      <t>リョウヨウ</t>
    </rPh>
    <rPh sb="2" eb="4">
      <t>カイゴ</t>
    </rPh>
    <phoneticPr fontId="31"/>
  </si>
  <si>
    <t>療養介護Ⅱ４・地公体・責欠２</t>
    <rPh sb="0" eb="2">
      <t>リョウヨウ</t>
    </rPh>
    <rPh sb="2" eb="4">
      <t>カイゴ</t>
    </rPh>
    <rPh sb="7" eb="8">
      <t>チ</t>
    </rPh>
    <rPh sb="8" eb="9">
      <t>コウ</t>
    </rPh>
    <rPh sb="9" eb="10">
      <t>タイ</t>
    </rPh>
    <phoneticPr fontId="31"/>
  </si>
  <si>
    <t>療養介護Ⅲ１・責欠２</t>
    <rPh sb="0" eb="2">
      <t>リョウヨウ</t>
    </rPh>
    <rPh sb="2" eb="4">
      <t>カイゴ</t>
    </rPh>
    <phoneticPr fontId="31"/>
  </si>
  <si>
    <t>療養介護Ⅲ１・地公体・責欠２</t>
    <rPh sb="0" eb="2">
      <t>リョウヨウ</t>
    </rPh>
    <rPh sb="2" eb="4">
      <t>カイゴ</t>
    </rPh>
    <rPh sb="7" eb="8">
      <t>チ</t>
    </rPh>
    <rPh sb="8" eb="9">
      <t>コウ</t>
    </rPh>
    <rPh sb="9" eb="10">
      <t>タイ</t>
    </rPh>
    <phoneticPr fontId="31"/>
  </si>
  <si>
    <t>療養介護Ⅲ２・責欠２</t>
    <rPh sb="0" eb="2">
      <t>リョウヨウ</t>
    </rPh>
    <rPh sb="2" eb="4">
      <t>カイゴ</t>
    </rPh>
    <phoneticPr fontId="31"/>
  </si>
  <si>
    <t>療養介護Ⅲ２・地公体・責欠２</t>
    <rPh sb="0" eb="2">
      <t>リョウヨウ</t>
    </rPh>
    <rPh sb="2" eb="4">
      <t>カイゴ</t>
    </rPh>
    <rPh sb="7" eb="8">
      <t>チ</t>
    </rPh>
    <rPh sb="8" eb="9">
      <t>コウ</t>
    </rPh>
    <rPh sb="9" eb="10">
      <t>タイ</t>
    </rPh>
    <phoneticPr fontId="31"/>
  </si>
  <si>
    <t>療養介護Ⅲ３・責欠２</t>
    <rPh sb="0" eb="2">
      <t>リョウヨウ</t>
    </rPh>
    <rPh sb="2" eb="4">
      <t>カイゴ</t>
    </rPh>
    <phoneticPr fontId="31"/>
  </si>
  <si>
    <t>療養介護Ⅲ３・地公体・責欠２</t>
    <rPh sb="0" eb="2">
      <t>リョウヨウ</t>
    </rPh>
    <rPh sb="2" eb="4">
      <t>カイゴ</t>
    </rPh>
    <rPh sb="7" eb="8">
      <t>チ</t>
    </rPh>
    <rPh sb="8" eb="9">
      <t>コウ</t>
    </rPh>
    <rPh sb="9" eb="10">
      <t>タイ</t>
    </rPh>
    <phoneticPr fontId="31"/>
  </si>
  <si>
    <t>療養介護Ⅲ４・責欠２</t>
    <rPh sb="0" eb="2">
      <t>リョウヨウ</t>
    </rPh>
    <rPh sb="2" eb="4">
      <t>カイゴ</t>
    </rPh>
    <phoneticPr fontId="31"/>
  </si>
  <si>
    <t>療養介護Ⅲ４・地公体・責欠２</t>
    <rPh sb="0" eb="2">
      <t>リョウヨウ</t>
    </rPh>
    <rPh sb="2" eb="4">
      <t>カイゴ</t>
    </rPh>
    <rPh sb="7" eb="8">
      <t>チ</t>
    </rPh>
    <rPh sb="8" eb="9">
      <t>コウ</t>
    </rPh>
    <rPh sb="9" eb="10">
      <t>タイ</t>
    </rPh>
    <phoneticPr fontId="31"/>
  </si>
  <si>
    <t>療養介護Ⅳ１・責欠２</t>
  </si>
  <si>
    <t>療養介護Ⅳ２・責欠２</t>
  </si>
  <si>
    <t>療養介護Ⅳ３・責欠２</t>
  </si>
  <si>
    <t>療養介護Ⅳ４・責欠２</t>
  </si>
  <si>
    <t>療養介護Ⅴ１・責欠２</t>
  </si>
  <si>
    <t>療養介護Ⅴ１・地公体・責欠２</t>
    <rPh sb="7" eb="8">
      <t>チ</t>
    </rPh>
    <rPh sb="8" eb="9">
      <t>コウ</t>
    </rPh>
    <rPh sb="9" eb="10">
      <t>タイ</t>
    </rPh>
    <phoneticPr fontId="31"/>
  </si>
  <si>
    <t>療養介護Ⅴ２・責欠２</t>
  </si>
  <si>
    <t>療養介護Ⅴ２・地公体・責欠２</t>
    <rPh sb="7" eb="8">
      <t>チ</t>
    </rPh>
    <rPh sb="8" eb="9">
      <t>コウ</t>
    </rPh>
    <rPh sb="9" eb="10">
      <t>タイ</t>
    </rPh>
    <phoneticPr fontId="31"/>
  </si>
  <si>
    <t>療養介護Ⅴ３・責欠２</t>
  </si>
  <si>
    <t>療養介護Ⅴ３・地公体・責欠２</t>
    <rPh sb="7" eb="8">
      <t>チ</t>
    </rPh>
    <rPh sb="8" eb="9">
      <t>コウ</t>
    </rPh>
    <rPh sb="9" eb="10">
      <t>タイ</t>
    </rPh>
    <phoneticPr fontId="31"/>
  </si>
  <si>
    <t>療養介護Ⅴ４・責欠２</t>
  </si>
  <si>
    <t>療養介護Ⅴ４・地公体・責欠２</t>
    <rPh sb="7" eb="8">
      <t>チ</t>
    </rPh>
    <rPh sb="8" eb="9">
      <t>コウ</t>
    </rPh>
    <rPh sb="9" eb="10">
      <t>タイ</t>
    </rPh>
    <phoneticPr fontId="31"/>
  </si>
  <si>
    <t>経過的療養介護Ⅰ１・責欠２</t>
  </si>
  <si>
    <t>経過的療養介護Ⅰ１・地公体・責欠２</t>
    <rPh sb="10" eb="11">
      <t>チ</t>
    </rPh>
    <rPh sb="11" eb="12">
      <t>コウ</t>
    </rPh>
    <rPh sb="12" eb="13">
      <t>タイ</t>
    </rPh>
    <phoneticPr fontId="31"/>
  </si>
  <si>
    <t>経過的療養介護Ⅰ２・責欠２</t>
  </si>
  <si>
    <t>経過的療養介護Ⅰ２・地公体・責欠２</t>
    <rPh sb="10" eb="11">
      <t>チ</t>
    </rPh>
    <rPh sb="11" eb="12">
      <t>コウ</t>
    </rPh>
    <rPh sb="12" eb="13">
      <t>タイ</t>
    </rPh>
    <phoneticPr fontId="31"/>
  </si>
  <si>
    <t>経過的療養介護Ⅰ３・責欠２</t>
  </si>
  <si>
    <t>経過的療養介護Ⅰ３・地公体・責欠２</t>
    <rPh sb="10" eb="11">
      <t>チ</t>
    </rPh>
    <rPh sb="11" eb="12">
      <t>コウ</t>
    </rPh>
    <rPh sb="12" eb="13">
      <t>タイ</t>
    </rPh>
    <phoneticPr fontId="31"/>
  </si>
  <si>
    <t>経過的療養介護Ⅰ４・責欠２</t>
  </si>
  <si>
    <t>経過的療養介護Ⅰ４・地公体・責欠２</t>
    <rPh sb="10" eb="11">
      <t>チ</t>
    </rPh>
    <rPh sb="11" eb="12">
      <t>コウ</t>
    </rPh>
    <rPh sb="12" eb="13">
      <t>タイ</t>
    </rPh>
    <phoneticPr fontId="31"/>
  </si>
  <si>
    <t>　　１　居宅介護サービスコード表</t>
    <rPh sb="4" eb="8">
      <t>キョタクカイゴ</t>
    </rPh>
    <rPh sb="15" eb="16">
      <t>ヒョウ</t>
    </rPh>
    <phoneticPr fontId="31"/>
  </si>
  <si>
    <t>・・・</t>
    <phoneticPr fontId="31"/>
  </si>
  <si>
    <t>1</t>
    <phoneticPr fontId="4"/>
  </si>
  <si>
    <t>　　２　重度訪問介護サービスコード表</t>
    <rPh sb="4" eb="6">
      <t>ジュウド</t>
    </rPh>
    <rPh sb="6" eb="8">
      <t>ホウモン</t>
    </rPh>
    <rPh sb="8" eb="10">
      <t>カイゴ</t>
    </rPh>
    <phoneticPr fontId="31"/>
  </si>
  <si>
    <t>173</t>
    <phoneticPr fontId="4"/>
  </si>
  <si>
    <t>　　３　同行援護サービスコード表</t>
    <rPh sb="4" eb="6">
      <t>ドウコウ</t>
    </rPh>
    <rPh sb="6" eb="8">
      <t>エンゴ</t>
    </rPh>
    <phoneticPr fontId="31"/>
  </si>
  <si>
    <t>210</t>
    <phoneticPr fontId="4"/>
  </si>
  <si>
    <t>　　４　行動援護サービスコード表</t>
    <rPh sb="4" eb="6">
      <t>コウドウ</t>
    </rPh>
    <rPh sb="6" eb="8">
      <t>エンゴ</t>
    </rPh>
    <phoneticPr fontId="31"/>
  </si>
  <si>
    <t>308</t>
    <phoneticPr fontId="4"/>
  </si>
  <si>
    <t>　　５　療養介護サービスコード表</t>
    <phoneticPr fontId="31"/>
  </si>
  <si>
    <t>309</t>
    <phoneticPr fontId="4"/>
  </si>
  <si>
    <t>　　６　生活介護サービスコード表</t>
    <rPh sb="4" eb="6">
      <t>セイカツ</t>
    </rPh>
    <rPh sb="6" eb="8">
      <t>カイゴ</t>
    </rPh>
    <rPh sb="15" eb="16">
      <t>ヒョウ</t>
    </rPh>
    <phoneticPr fontId="31"/>
  </si>
  <si>
    <t>322</t>
    <phoneticPr fontId="4"/>
  </si>
  <si>
    <t>　　７　経過的生活介護サービスコード表</t>
    <rPh sb="18" eb="19">
      <t>ヒョウ</t>
    </rPh>
    <phoneticPr fontId="31"/>
  </si>
  <si>
    <t>437</t>
    <phoneticPr fontId="4"/>
  </si>
  <si>
    <t>　　８　短期入所サービスコード表</t>
    <rPh sb="4" eb="6">
      <t>タンキ</t>
    </rPh>
    <rPh sb="6" eb="8">
      <t>ニュウショ</t>
    </rPh>
    <rPh sb="15" eb="16">
      <t>ヒョウ</t>
    </rPh>
    <phoneticPr fontId="31"/>
  </si>
  <si>
    <t>460</t>
    <phoneticPr fontId="4"/>
  </si>
  <si>
    <t>　　９　重度障害者等包括支援サービスコード表</t>
    <rPh sb="4" eb="6">
      <t>ジュウド</t>
    </rPh>
    <rPh sb="6" eb="10">
      <t>ショウガイシャトウ</t>
    </rPh>
    <rPh sb="10" eb="12">
      <t>ホウカツ</t>
    </rPh>
    <rPh sb="12" eb="14">
      <t>シエン</t>
    </rPh>
    <rPh sb="21" eb="22">
      <t>ヒョウ</t>
    </rPh>
    <phoneticPr fontId="31"/>
  </si>
  <si>
    <t>465</t>
    <phoneticPr fontId="4"/>
  </si>
  <si>
    <t>　１０　施設入所支援サービスコード表</t>
    <rPh sb="4" eb="6">
      <t>シセツ</t>
    </rPh>
    <rPh sb="6" eb="8">
      <t>ニュウショ</t>
    </rPh>
    <rPh sb="8" eb="10">
      <t>シエン</t>
    </rPh>
    <rPh sb="17" eb="18">
      <t>ヒョウ</t>
    </rPh>
    <phoneticPr fontId="31"/>
  </si>
  <si>
    <t>466</t>
    <phoneticPr fontId="4"/>
  </si>
  <si>
    <t>　１１　経過的施設入所支援サービスコード表</t>
    <rPh sb="4" eb="7">
      <t>ケイカテキ</t>
    </rPh>
    <rPh sb="7" eb="9">
      <t>シセツ</t>
    </rPh>
    <rPh sb="9" eb="11">
      <t>ニュウショ</t>
    </rPh>
    <rPh sb="11" eb="13">
      <t>シエン</t>
    </rPh>
    <rPh sb="20" eb="21">
      <t>ヒョウ</t>
    </rPh>
    <phoneticPr fontId="31"/>
  </si>
  <si>
    <t>483</t>
    <phoneticPr fontId="4"/>
  </si>
  <si>
    <t>　　</t>
    <phoneticPr fontId="31"/>
  </si>
  <si>
    <t>　１２　自立訓練（機能訓練）サービスコード表</t>
    <rPh sb="4" eb="6">
      <t>ジリツ</t>
    </rPh>
    <rPh sb="6" eb="8">
      <t>クンレン</t>
    </rPh>
    <rPh sb="9" eb="11">
      <t>キノウ</t>
    </rPh>
    <rPh sb="11" eb="13">
      <t>クンレン</t>
    </rPh>
    <rPh sb="21" eb="22">
      <t>ヒョウ</t>
    </rPh>
    <phoneticPr fontId="31"/>
  </si>
  <si>
    <t>510</t>
    <phoneticPr fontId="4"/>
  </si>
  <si>
    <t>　１３　自立訓練（生活訓練）サービスコード表</t>
    <rPh sb="4" eb="6">
      <t>ジリツ</t>
    </rPh>
    <rPh sb="6" eb="8">
      <t>クンレン</t>
    </rPh>
    <rPh sb="9" eb="11">
      <t>セイカツ</t>
    </rPh>
    <rPh sb="11" eb="13">
      <t>クンレン</t>
    </rPh>
    <rPh sb="21" eb="22">
      <t>ヒョウ</t>
    </rPh>
    <phoneticPr fontId="31"/>
  </si>
  <si>
    <t>516</t>
    <phoneticPr fontId="4"/>
  </si>
  <si>
    <t>　１４　宿泊型自立訓練サービスコード表</t>
    <rPh sb="4" eb="6">
      <t>シュクハク</t>
    </rPh>
    <rPh sb="6" eb="7">
      <t>ガタ</t>
    </rPh>
    <rPh sb="7" eb="9">
      <t>ジリツ</t>
    </rPh>
    <rPh sb="9" eb="11">
      <t>クンレン</t>
    </rPh>
    <rPh sb="18" eb="19">
      <t>ヒョウ</t>
    </rPh>
    <phoneticPr fontId="31"/>
  </si>
  <si>
    <t>522</t>
    <phoneticPr fontId="4"/>
  </si>
  <si>
    <t>　１５　就労移行支援サービスコード表</t>
    <rPh sb="4" eb="6">
      <t>シュウロウ</t>
    </rPh>
    <rPh sb="6" eb="10">
      <t>イコウシエン</t>
    </rPh>
    <rPh sb="17" eb="18">
      <t>ヒョウ</t>
    </rPh>
    <phoneticPr fontId="31"/>
  </si>
  <si>
    <t>524</t>
    <phoneticPr fontId="4"/>
  </si>
  <si>
    <t>　１６　就労移行支援（養成）サービスコード表</t>
    <rPh sb="21" eb="22">
      <t>ヒョウ</t>
    </rPh>
    <phoneticPr fontId="31"/>
  </si>
  <si>
    <t>556</t>
    <phoneticPr fontId="4"/>
  </si>
  <si>
    <t>　１７　就労継続支援Ａ型サービスコード表</t>
    <rPh sb="19" eb="20">
      <t>ヒョウ</t>
    </rPh>
    <phoneticPr fontId="31"/>
  </si>
  <si>
    <t>586</t>
    <phoneticPr fontId="4"/>
  </si>
  <si>
    <t>　１８　就労継続支援Ｂ型サービスコード表</t>
    <rPh sb="19" eb="20">
      <t>ヒョウ</t>
    </rPh>
    <phoneticPr fontId="31"/>
  </si>
  <si>
    <t>　１９　就労定着支援サービスコード表</t>
    <rPh sb="6" eb="8">
      <t>テイチャク</t>
    </rPh>
    <rPh sb="8" eb="10">
      <t>シエン</t>
    </rPh>
    <rPh sb="17" eb="18">
      <t>ヒョウ</t>
    </rPh>
    <phoneticPr fontId="31"/>
  </si>
  <si>
    <t>692</t>
    <phoneticPr fontId="4"/>
  </si>
  <si>
    <t>　２０　自立生活援助サービスコード表</t>
    <rPh sb="4" eb="6">
      <t>ジリツ</t>
    </rPh>
    <rPh sb="6" eb="8">
      <t>セイカツ</t>
    </rPh>
    <rPh sb="8" eb="10">
      <t>エンジョ</t>
    </rPh>
    <rPh sb="17" eb="18">
      <t>ヒョウ</t>
    </rPh>
    <phoneticPr fontId="4"/>
  </si>
  <si>
    <t>696</t>
    <phoneticPr fontId="4"/>
  </si>
  <si>
    <t>　２１　共同生活援助サービスコード表</t>
    <rPh sb="4" eb="6">
      <t>キョウドウ</t>
    </rPh>
    <rPh sb="6" eb="8">
      <t>セイカツ</t>
    </rPh>
    <rPh sb="8" eb="10">
      <t>エンジョ</t>
    </rPh>
    <rPh sb="17" eb="18">
      <t>ヒョウ</t>
    </rPh>
    <phoneticPr fontId="4"/>
  </si>
  <si>
    <t>697</t>
    <phoneticPr fontId="4"/>
  </si>
  <si>
    <t>　２２　計画相談支援サービスコード表</t>
    <rPh sb="17" eb="18">
      <t>ヒョウ</t>
    </rPh>
    <phoneticPr fontId="31"/>
  </si>
  <si>
    <t>758</t>
    <phoneticPr fontId="4"/>
  </si>
  <si>
    <t>　２３　障害児相談支援サービスコード表</t>
    <rPh sb="18" eb="19">
      <t>ヒョウ</t>
    </rPh>
    <phoneticPr fontId="31"/>
  </si>
  <si>
    <t>759</t>
    <phoneticPr fontId="4"/>
  </si>
  <si>
    <t>　２４　地域相談支援（地域移行支援）サービスコード表</t>
    <rPh sb="25" eb="26">
      <t>ヒョウ</t>
    </rPh>
    <phoneticPr fontId="31"/>
  </si>
  <si>
    <t>760</t>
    <phoneticPr fontId="4"/>
  </si>
  <si>
    <t>　２５　地域相談支援（地域定着支援）サービスコード表</t>
    <rPh sb="25" eb="26">
      <t>ヒョウ</t>
    </rPh>
    <phoneticPr fontId="31"/>
  </si>
  <si>
    <t>761</t>
    <phoneticPr fontId="4"/>
  </si>
  <si>
    <t>　２６　福祉型障害児入所施設サービスコード表</t>
    <rPh sb="21" eb="22">
      <t>ヒョウ</t>
    </rPh>
    <phoneticPr fontId="31"/>
  </si>
  <si>
    <t>762</t>
    <phoneticPr fontId="4"/>
  </si>
  <si>
    <t>　２７　医療型障害児入所施設サービスコード表</t>
    <rPh sb="21" eb="22">
      <t>ヒョウ</t>
    </rPh>
    <phoneticPr fontId="31"/>
  </si>
  <si>
    <t>785</t>
    <phoneticPr fontId="4"/>
  </si>
  <si>
    <t>　２８　児童発達支援サービスコード表</t>
    <rPh sb="17" eb="18">
      <t>ヒョウ</t>
    </rPh>
    <phoneticPr fontId="31"/>
  </si>
  <si>
    <t>788</t>
    <phoneticPr fontId="4"/>
  </si>
  <si>
    <t>　２９　医療型児童発達支援サービスコード表</t>
    <rPh sb="20" eb="21">
      <t>ヒョウ</t>
    </rPh>
    <phoneticPr fontId="31"/>
  </si>
  <si>
    <t>878</t>
    <phoneticPr fontId="4"/>
  </si>
  <si>
    <t>　３０　放課後等デイサービスコード表</t>
    <rPh sb="17" eb="18">
      <t>ヒョウ</t>
    </rPh>
    <phoneticPr fontId="31"/>
  </si>
  <si>
    <t>880</t>
    <phoneticPr fontId="4"/>
  </si>
  <si>
    <t>　３１　居宅訪問型児童発達支援サービスコード表　</t>
    <rPh sb="4" eb="6">
      <t>キョタク</t>
    </rPh>
    <rPh sb="6" eb="8">
      <t>ホウモン</t>
    </rPh>
    <rPh sb="8" eb="9">
      <t>カタ</t>
    </rPh>
    <rPh sb="9" eb="11">
      <t>ジドウ</t>
    </rPh>
    <rPh sb="11" eb="13">
      <t>ハッタツ</t>
    </rPh>
    <rPh sb="13" eb="15">
      <t>シエン</t>
    </rPh>
    <rPh sb="22" eb="23">
      <t>ヒョウ</t>
    </rPh>
    <phoneticPr fontId="4"/>
  </si>
  <si>
    <t>909</t>
    <phoneticPr fontId="4"/>
  </si>
  <si>
    <t>　３２　保育所等訪問支援サービスコード表</t>
    <rPh sb="4" eb="6">
      <t>ホイク</t>
    </rPh>
    <rPh sb="6" eb="7">
      <t>ショ</t>
    </rPh>
    <rPh sb="7" eb="8">
      <t>トウ</t>
    </rPh>
    <rPh sb="8" eb="10">
      <t>ホウモン</t>
    </rPh>
    <rPh sb="10" eb="12">
      <t>シエン</t>
    </rPh>
    <rPh sb="19" eb="20">
      <t>ヒョウ</t>
    </rPh>
    <phoneticPr fontId="31"/>
  </si>
  <si>
    <t>911</t>
    <phoneticPr fontId="4"/>
  </si>
  <si>
    <t>介護給付費等単位数サービスコードについて</t>
    <rPh sb="0" eb="2">
      <t>カイゴ</t>
    </rPh>
    <rPh sb="2" eb="4">
      <t>キュウフ</t>
    </rPh>
    <rPh sb="4" eb="5">
      <t>ヒ</t>
    </rPh>
    <rPh sb="5" eb="6">
      <t>トウ</t>
    </rPh>
    <rPh sb="6" eb="9">
      <t>タンイスウ</t>
    </rPh>
    <phoneticPr fontId="31"/>
  </si>
  <si>
    <t>サービスコードの構成：</t>
    <rPh sb="8" eb="10">
      <t>コウセイ</t>
    </rPh>
    <phoneticPr fontId="31"/>
  </si>
  <si>
    <t>サービス種類・サービス種類コード：</t>
    <rPh sb="4" eb="6">
      <t>シュルイ</t>
    </rPh>
    <rPh sb="11" eb="13">
      <t>シュルイ</t>
    </rPh>
    <phoneticPr fontId="31"/>
  </si>
  <si>
    <t>サービス種類</t>
    <rPh sb="4" eb="6">
      <t>シュルイ</t>
    </rPh>
    <phoneticPr fontId="31"/>
  </si>
  <si>
    <t>サービス
種類コード</t>
    <rPh sb="5" eb="7">
      <t>シュルイ</t>
    </rPh>
    <phoneticPr fontId="31"/>
  </si>
  <si>
    <t>サービス
項目コード</t>
    <rPh sb="5" eb="7">
      <t>コウモク</t>
    </rPh>
    <phoneticPr fontId="31"/>
  </si>
  <si>
    <t>居宅介護</t>
    <rPh sb="0" eb="2">
      <t>キョタク</t>
    </rPh>
    <rPh sb="2" eb="4">
      <t>カイゴ</t>
    </rPh>
    <phoneticPr fontId="31"/>
  </si>
  <si>
    <t>１１</t>
    <phoneticPr fontId="31"/>
  </si>
  <si>
    <t>サービス種類毎に付番</t>
    <rPh sb="4" eb="6">
      <t>シュルイ</t>
    </rPh>
    <rPh sb="6" eb="7">
      <t>ゴト</t>
    </rPh>
    <rPh sb="8" eb="9">
      <t>フ</t>
    </rPh>
    <rPh sb="9" eb="10">
      <t>バン</t>
    </rPh>
    <phoneticPr fontId="31"/>
  </si>
  <si>
    <t>重度訪問介護</t>
    <rPh sb="0" eb="2">
      <t>ジュウド</t>
    </rPh>
    <rPh sb="2" eb="4">
      <t>ホウモン</t>
    </rPh>
    <rPh sb="4" eb="6">
      <t>カイゴ</t>
    </rPh>
    <phoneticPr fontId="31"/>
  </si>
  <si>
    <t>１２</t>
    <phoneticPr fontId="31"/>
  </si>
  <si>
    <t>行動援護</t>
    <rPh sb="0" eb="2">
      <t>コウドウ</t>
    </rPh>
    <rPh sb="2" eb="4">
      <t>エンゴ</t>
    </rPh>
    <phoneticPr fontId="31"/>
  </si>
  <si>
    <t>１３</t>
    <phoneticPr fontId="31"/>
  </si>
  <si>
    <t>重度包括</t>
    <rPh sb="0" eb="2">
      <t>ジュウド</t>
    </rPh>
    <rPh sb="2" eb="4">
      <t>ホウカツ</t>
    </rPh>
    <phoneticPr fontId="31"/>
  </si>
  <si>
    <t>１４</t>
    <phoneticPr fontId="31"/>
  </si>
  <si>
    <t>同行援護</t>
    <rPh sb="0" eb="2">
      <t>ドウコウ</t>
    </rPh>
    <rPh sb="2" eb="4">
      <t>エンゴ</t>
    </rPh>
    <phoneticPr fontId="31"/>
  </si>
  <si>
    <t>１５</t>
    <phoneticPr fontId="31"/>
  </si>
  <si>
    <t>療養介護</t>
    <rPh sb="0" eb="2">
      <t>リョウヨウ</t>
    </rPh>
    <rPh sb="2" eb="4">
      <t>カイゴ</t>
    </rPh>
    <phoneticPr fontId="31"/>
  </si>
  <si>
    <t>２１</t>
    <phoneticPr fontId="31"/>
  </si>
  <si>
    <t>生活介護</t>
    <rPh sb="0" eb="2">
      <t>セイカツ</t>
    </rPh>
    <rPh sb="2" eb="4">
      <t>カイゴ</t>
    </rPh>
    <phoneticPr fontId="31"/>
  </si>
  <si>
    <t>２２</t>
  </si>
  <si>
    <t>経過的生活介護</t>
    <rPh sb="0" eb="3">
      <t>ケイカテキ</t>
    </rPh>
    <rPh sb="3" eb="5">
      <t>セイカツ</t>
    </rPh>
    <rPh sb="5" eb="7">
      <t>カイゴ</t>
    </rPh>
    <phoneticPr fontId="31"/>
  </si>
  <si>
    <t>２２</t>
    <phoneticPr fontId="31"/>
  </si>
  <si>
    <t>短期入所</t>
    <rPh sb="0" eb="2">
      <t>タンキ</t>
    </rPh>
    <rPh sb="2" eb="4">
      <t>ニュウショ</t>
    </rPh>
    <phoneticPr fontId="31"/>
  </si>
  <si>
    <t>２４</t>
  </si>
  <si>
    <t>施設入所支援</t>
    <rPh sb="0" eb="2">
      <t>シセツ</t>
    </rPh>
    <rPh sb="2" eb="4">
      <t>ニュウショ</t>
    </rPh>
    <rPh sb="4" eb="6">
      <t>シエン</t>
    </rPh>
    <phoneticPr fontId="31"/>
  </si>
  <si>
    <t>３２</t>
  </si>
  <si>
    <t>経過的施設入所支援</t>
    <rPh sb="0" eb="3">
      <t>ケイカテキ</t>
    </rPh>
    <rPh sb="3" eb="5">
      <t>シセツ</t>
    </rPh>
    <rPh sb="5" eb="7">
      <t>ニュウショ</t>
    </rPh>
    <rPh sb="7" eb="9">
      <t>シエン</t>
    </rPh>
    <phoneticPr fontId="31"/>
  </si>
  <si>
    <t>３２</t>
    <phoneticPr fontId="31"/>
  </si>
  <si>
    <t>共同生活援助（グループホーム）</t>
    <rPh sb="4" eb="6">
      <t>エンジョ</t>
    </rPh>
    <phoneticPr fontId="31"/>
  </si>
  <si>
    <t>３３</t>
  </si>
  <si>
    <t>宿泊型自立訓練</t>
    <rPh sb="0" eb="3">
      <t>シュクハクガタ</t>
    </rPh>
    <rPh sb="3" eb="5">
      <t>ジリツ</t>
    </rPh>
    <rPh sb="5" eb="7">
      <t>クンレン</t>
    </rPh>
    <phoneticPr fontId="31"/>
  </si>
  <si>
    <t>３４</t>
    <phoneticPr fontId="31"/>
  </si>
  <si>
    <t>自立生活援助</t>
    <rPh sb="0" eb="2">
      <t>ジリツ</t>
    </rPh>
    <rPh sb="2" eb="4">
      <t>セイカツ</t>
    </rPh>
    <rPh sb="4" eb="6">
      <t>エンジョ</t>
    </rPh>
    <phoneticPr fontId="31"/>
  </si>
  <si>
    <t>３５</t>
    <phoneticPr fontId="31"/>
  </si>
  <si>
    <t>自立訓練（機能訓練）</t>
    <rPh sb="0" eb="2">
      <t>ジリツ</t>
    </rPh>
    <rPh sb="2" eb="4">
      <t>クンレン</t>
    </rPh>
    <rPh sb="5" eb="7">
      <t>キノウ</t>
    </rPh>
    <rPh sb="7" eb="9">
      <t>クンレン</t>
    </rPh>
    <phoneticPr fontId="31"/>
  </si>
  <si>
    <t>４１</t>
    <phoneticPr fontId="31"/>
  </si>
  <si>
    <t>自立訓練（生活訓練）</t>
    <rPh sb="0" eb="2">
      <t>ジリツ</t>
    </rPh>
    <rPh sb="2" eb="4">
      <t>クンレン</t>
    </rPh>
    <rPh sb="5" eb="7">
      <t>セイカツ</t>
    </rPh>
    <rPh sb="7" eb="9">
      <t>クンレン</t>
    </rPh>
    <phoneticPr fontId="31"/>
  </si>
  <si>
    <t>４２</t>
  </si>
  <si>
    <t>就労移行支援</t>
    <rPh sb="0" eb="2">
      <t>シュウロウ</t>
    </rPh>
    <rPh sb="2" eb="4">
      <t>イコウ</t>
    </rPh>
    <rPh sb="4" eb="6">
      <t>シエン</t>
    </rPh>
    <phoneticPr fontId="31"/>
  </si>
  <si>
    <t>４３</t>
  </si>
  <si>
    <t>就労移行支援（養成）</t>
    <rPh sb="0" eb="2">
      <t>シュウロウ</t>
    </rPh>
    <rPh sb="2" eb="4">
      <t>イコウ</t>
    </rPh>
    <rPh sb="4" eb="6">
      <t>シエン</t>
    </rPh>
    <rPh sb="7" eb="9">
      <t>ヨウセイ</t>
    </rPh>
    <phoneticPr fontId="31"/>
  </si>
  <si>
    <t>４４</t>
  </si>
  <si>
    <t>就労継続支援A型</t>
    <rPh sb="0" eb="2">
      <t>シュウロウ</t>
    </rPh>
    <rPh sb="2" eb="4">
      <t>ケイゾク</t>
    </rPh>
    <rPh sb="4" eb="6">
      <t>シエン</t>
    </rPh>
    <rPh sb="7" eb="8">
      <t>カタ</t>
    </rPh>
    <phoneticPr fontId="31"/>
  </si>
  <si>
    <t>４５</t>
  </si>
  <si>
    <t>就労継続支援B型</t>
    <rPh sb="0" eb="2">
      <t>シュウロウ</t>
    </rPh>
    <rPh sb="2" eb="4">
      <t>ケイゾク</t>
    </rPh>
    <rPh sb="4" eb="6">
      <t>シエン</t>
    </rPh>
    <rPh sb="7" eb="8">
      <t>カタ</t>
    </rPh>
    <phoneticPr fontId="31"/>
  </si>
  <si>
    <t>４６</t>
  </si>
  <si>
    <t>就労定着支援</t>
    <rPh sb="0" eb="2">
      <t>シュウロウ</t>
    </rPh>
    <rPh sb="2" eb="4">
      <t>テイチャク</t>
    </rPh>
    <rPh sb="4" eb="6">
      <t>シエン</t>
    </rPh>
    <phoneticPr fontId="31"/>
  </si>
  <si>
    <t>４７</t>
    <phoneticPr fontId="4"/>
  </si>
  <si>
    <t>計画相談支援</t>
    <phoneticPr fontId="31"/>
  </si>
  <si>
    <t>５２</t>
    <phoneticPr fontId="31"/>
  </si>
  <si>
    <t>地域相談支援（地域移行支援）</t>
    <phoneticPr fontId="31"/>
  </si>
  <si>
    <t>５３</t>
  </si>
  <si>
    <t>地域相談支援（地域定着支援）</t>
    <phoneticPr fontId="31"/>
  </si>
  <si>
    <t>５４</t>
  </si>
  <si>
    <t>障害児相談支援</t>
    <phoneticPr fontId="31"/>
  </si>
  <si>
    <t>５５</t>
    <phoneticPr fontId="31"/>
  </si>
  <si>
    <t>児童発達支援</t>
    <phoneticPr fontId="31"/>
  </si>
  <si>
    <t>６１</t>
    <phoneticPr fontId="31"/>
  </si>
  <si>
    <t>医療型児童発達支援</t>
    <phoneticPr fontId="31"/>
  </si>
  <si>
    <t>６２</t>
  </si>
  <si>
    <t>放課後等デイ</t>
    <phoneticPr fontId="31"/>
  </si>
  <si>
    <t>６３</t>
  </si>
  <si>
    <t>保育所等訪問支援</t>
    <rPh sb="0" eb="2">
      <t>ホイク</t>
    </rPh>
    <rPh sb="2" eb="3">
      <t>ショ</t>
    </rPh>
    <rPh sb="3" eb="4">
      <t>トウ</t>
    </rPh>
    <rPh sb="4" eb="6">
      <t>ホウモン</t>
    </rPh>
    <rPh sb="6" eb="8">
      <t>シエン</t>
    </rPh>
    <phoneticPr fontId="31"/>
  </si>
  <si>
    <t>６４</t>
  </si>
  <si>
    <t>居宅訪問型児童発達支援</t>
    <rPh sb="0" eb="2">
      <t>キョタク</t>
    </rPh>
    <rPh sb="2" eb="4">
      <t>ホウモン</t>
    </rPh>
    <rPh sb="4" eb="5">
      <t>ガタ</t>
    </rPh>
    <rPh sb="5" eb="7">
      <t>ジドウ</t>
    </rPh>
    <rPh sb="7" eb="9">
      <t>ハッタツ</t>
    </rPh>
    <rPh sb="9" eb="11">
      <t>シエン</t>
    </rPh>
    <phoneticPr fontId="31"/>
  </si>
  <si>
    <t>６５</t>
    <phoneticPr fontId="4"/>
  </si>
  <si>
    <t>福祉型障害児入所施設</t>
    <phoneticPr fontId="31"/>
  </si>
  <si>
    <t>７１</t>
    <phoneticPr fontId="31"/>
  </si>
  <si>
    <t>医療型障害児入所施設</t>
    <phoneticPr fontId="31"/>
  </si>
  <si>
    <t>７２</t>
  </si>
  <si>
    <t>サービス内容略称：</t>
    <rPh sb="4" eb="6">
      <t>ナイヨウ</t>
    </rPh>
    <rPh sb="6" eb="8">
      <t>リャクショウ</t>
    </rPh>
    <phoneticPr fontId="31"/>
  </si>
  <si>
    <t>介護給付費等単位数サービスコードの算定項目に対応した略称名称であり、最大３０文字としている。</t>
    <rPh sb="0" eb="2">
      <t>カイゴ</t>
    </rPh>
    <rPh sb="2" eb="4">
      <t>キュウフ</t>
    </rPh>
    <rPh sb="4" eb="5">
      <t>ヒ</t>
    </rPh>
    <rPh sb="5" eb="6">
      <t>トウ</t>
    </rPh>
    <rPh sb="6" eb="9">
      <t>タンイスウ</t>
    </rPh>
    <rPh sb="17" eb="19">
      <t>サンテイ</t>
    </rPh>
    <rPh sb="19" eb="21">
      <t>コウモク</t>
    </rPh>
    <rPh sb="22" eb="24">
      <t>タイオウ</t>
    </rPh>
    <rPh sb="26" eb="28">
      <t>リャクショウ</t>
    </rPh>
    <rPh sb="28" eb="30">
      <t>メイショウ</t>
    </rPh>
    <rPh sb="34" eb="36">
      <t>サイダイ</t>
    </rPh>
    <rPh sb="38" eb="40">
      <t>モジ</t>
    </rPh>
    <phoneticPr fontId="31"/>
  </si>
  <si>
    <t>算定項目を複数合成しているものについては、原則「・」の区切りをつけている。</t>
    <rPh sb="0" eb="2">
      <t>サンテイ</t>
    </rPh>
    <rPh sb="2" eb="4">
      <t>コウモク</t>
    </rPh>
    <rPh sb="5" eb="7">
      <t>フクスウ</t>
    </rPh>
    <rPh sb="7" eb="9">
      <t>ゴウセイ</t>
    </rPh>
    <rPh sb="21" eb="23">
      <t>ゲンソク</t>
    </rPh>
    <rPh sb="27" eb="29">
      <t>クギ</t>
    </rPh>
    <phoneticPr fontId="31"/>
  </si>
  <si>
    <t>留意事項：</t>
    <rPh sb="0" eb="2">
      <t>リュウイ</t>
    </rPh>
    <rPh sb="2" eb="4">
      <t>ジコウ</t>
    </rPh>
    <phoneticPr fontId="31"/>
  </si>
  <si>
    <t>・</t>
    <phoneticPr fontId="31"/>
  </si>
  <si>
    <t>青色</t>
    <rPh sb="0" eb="2">
      <t>アオイロ</t>
    </rPh>
    <phoneticPr fontId="31"/>
  </si>
  <si>
    <t>の網掛けは、令和4年10月の報酬改定により、サービスコードが追加及び変更になったもの</t>
    <rPh sb="1" eb="3">
      <t>アミカ</t>
    </rPh>
    <rPh sb="6" eb="8">
      <t>レイワ</t>
    </rPh>
    <rPh sb="9" eb="10">
      <t>ネン</t>
    </rPh>
    <rPh sb="12" eb="13">
      <t>ガツ</t>
    </rPh>
    <rPh sb="14" eb="16">
      <t>ホウシュウ</t>
    </rPh>
    <rPh sb="16" eb="18">
      <t>カイテイ</t>
    </rPh>
    <rPh sb="30" eb="32">
      <t>ツイカ</t>
    </rPh>
    <rPh sb="32" eb="33">
      <t>オヨ</t>
    </rPh>
    <rPh sb="34" eb="36">
      <t>ヘンコウ</t>
    </rPh>
    <phoneticPr fontId="31"/>
  </si>
  <si>
    <t>灰色</t>
    <rPh sb="0" eb="2">
      <t>ハイイロ</t>
    </rPh>
    <phoneticPr fontId="31"/>
  </si>
  <si>
    <t>の網掛けは、令和4年10月の報酬改定により、サービスコードが廃止になったもの</t>
    <rPh sb="1" eb="3">
      <t>アミカ</t>
    </rPh>
    <rPh sb="14" eb="16">
      <t>ホウシュウ</t>
    </rPh>
    <rPh sb="16" eb="18">
      <t>カイテイ</t>
    </rPh>
    <rPh sb="30" eb="32">
      <t>ハイシ</t>
    </rPh>
    <phoneticPr fontId="31"/>
  </si>
  <si>
    <r>
      <t xml:space="preserve">介護給付費等単位数サービスコード
</t>
    </r>
    <r>
      <rPr>
        <sz val="18"/>
        <rFont val="ＭＳ Ｐゴシック"/>
        <family val="3"/>
        <charset val="128"/>
      </rPr>
      <t>（令和４年１０月施行版）</t>
    </r>
    <rPh sb="0" eb="2">
      <t>カイゴ</t>
    </rPh>
    <rPh sb="2" eb="4">
      <t>キュウフ</t>
    </rPh>
    <rPh sb="4" eb="5">
      <t>ヒ</t>
    </rPh>
    <rPh sb="5" eb="6">
      <t>トウ</t>
    </rPh>
    <rPh sb="6" eb="9">
      <t>タンイスウ</t>
    </rPh>
    <rPh sb="18" eb="20">
      <t>レイワ</t>
    </rPh>
    <rPh sb="21" eb="22">
      <t>ネン</t>
    </rPh>
    <rPh sb="24" eb="25">
      <t>ツキ</t>
    </rPh>
    <rPh sb="25" eb="27">
      <t>セコウ</t>
    </rPh>
    <rPh sb="27" eb="28">
      <t>バン</t>
    </rPh>
    <phoneticPr fontId="3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</si>
</sst>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0%"/>
  </numFmts>
  <fonts count="36"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name val="ＭＳ Ｐゴシック"/>
      <family val="2"/>
      <charset val="128"/>
      <scheme val="minor"/>
    </font>
    <font>
      <sz val="6"/>
      <name val="ＭＳ Ｐゴシック"/>
      <family val="3"/>
      <charset val="128"/>
      <scheme val="minor"/>
    </font>
    <font>
      <sz val="11"/>
      <name val="ＭＳ Ｐゴシック"/>
      <family val="3"/>
      <charset val="128"/>
      <scheme val="minor"/>
    </font>
    <font>
      <sz val="12"/>
      <name val="ＭＳ Ｐゴシック"/>
      <family val="2"/>
      <charset val="128"/>
      <scheme val="minor"/>
    </font>
    <font>
      <sz val="9"/>
      <name val="ＭＳ Ｐゴシック"/>
      <family val="2"/>
      <charset val="128"/>
      <scheme val="minor"/>
    </font>
    <font>
      <sz val="10"/>
      <name val="ＭＳ Ｐゴシック"/>
      <family val="2"/>
      <charset val="128"/>
      <scheme val="minor"/>
    </font>
    <font>
      <sz val="8"/>
      <name val="ＭＳ Ｐゴシック"/>
      <family val="2"/>
      <charset val="128"/>
      <scheme val="minor"/>
    </font>
    <font>
      <sz val="14"/>
      <name val="ＭＳ Ｐゴシック"/>
      <family val="2"/>
      <charset val="128"/>
      <scheme val="minor"/>
    </font>
    <font>
      <sz val="10"/>
      <name val="ＭＳ Ｐゴシック"/>
      <family val="2"/>
      <charset val="128"/>
    </font>
    <font>
      <sz val="10"/>
      <name val="ＭＳ Ｐゴシック"/>
      <family val="3"/>
      <charset val="128"/>
    </font>
    <font>
      <sz val="12"/>
      <name val="ＭＳ Ｐゴシック"/>
      <family val="2"/>
      <charset val="128"/>
    </font>
    <font>
      <sz val="9"/>
      <name val="ＭＳ Ｐゴシック"/>
      <family val="2"/>
      <charset val="128"/>
    </font>
    <font>
      <sz val="9"/>
      <name val="ＭＳ Ｐゴシック"/>
      <family val="3"/>
      <charset val="128"/>
    </font>
    <font>
      <sz val="8.5"/>
      <name val="ＭＳ Ｐゴシック"/>
      <family val="2"/>
      <charset val="128"/>
    </font>
    <font>
      <sz val="8"/>
      <name val="ＭＳ Ｐゴシック"/>
      <family val="3"/>
      <charset val="128"/>
      <scheme val="minor"/>
    </font>
    <font>
      <sz val="8.5"/>
      <name val="ＭＳ Ｐゴシック"/>
      <family val="3"/>
      <charset val="128"/>
    </font>
    <font>
      <sz val="9"/>
      <name val="ＭＳ Ｐゴシック"/>
      <family val="3"/>
      <charset val="128"/>
      <scheme val="minor"/>
    </font>
    <font>
      <sz val="10"/>
      <name val="ＭＳ Ｐゴシック"/>
      <family val="3"/>
      <charset val="128"/>
      <scheme val="minor"/>
    </font>
    <font>
      <sz val="12"/>
      <name val="ＭＳ Ｐゴシック"/>
      <family val="3"/>
      <charset val="128"/>
    </font>
    <font>
      <sz val="14"/>
      <name val="ＭＳ Ｐゴシック"/>
      <family val="3"/>
      <charset val="128"/>
    </font>
    <font>
      <sz val="8"/>
      <name val="ＭＳ Ｐゴシック"/>
      <family val="2"/>
      <charset val="128"/>
    </font>
    <font>
      <sz val="11"/>
      <color theme="1"/>
      <name val="ＭＳ Ｐゴシック"/>
      <family val="3"/>
      <charset val="128"/>
      <scheme val="minor"/>
    </font>
    <font>
      <sz val="8"/>
      <name val="ＭＳ Ｐゴシック"/>
      <family val="3"/>
      <charset val="128"/>
    </font>
    <font>
      <sz val="8.5"/>
      <name val="ＭＳ Ｐゴシック"/>
      <family val="2"/>
      <charset val="128"/>
      <scheme val="minor"/>
    </font>
    <font>
      <sz val="8.5"/>
      <name val="ＭＳ Ｐゴシック"/>
      <family val="3"/>
      <charset val="128"/>
      <scheme val="minor"/>
    </font>
    <font>
      <sz val="9"/>
      <color rgb="FFFF0000"/>
      <name val="ＭＳ Ｐゴシック"/>
      <family val="2"/>
      <charset val="128"/>
      <scheme val="minor"/>
    </font>
    <font>
      <sz val="9"/>
      <color rgb="FFFF0000"/>
      <name val="ＭＳ Ｐゴシック"/>
      <family val="3"/>
      <charset val="128"/>
      <scheme val="minor"/>
    </font>
    <font>
      <sz val="10"/>
      <color rgb="FFFF0000"/>
      <name val="ＭＳ Ｐゴシック"/>
      <family val="3"/>
      <charset val="128"/>
      <scheme val="minor"/>
    </font>
    <font>
      <sz val="6"/>
      <name val="ＭＳ Ｐゴシック"/>
      <family val="3"/>
      <charset val="128"/>
    </font>
    <font>
      <sz val="20"/>
      <name val="ＭＳ Ｐゴシック"/>
      <family val="3"/>
      <charset val="128"/>
    </font>
    <font>
      <sz val="18"/>
      <name val="ＭＳ Ｐゴシック"/>
      <family val="3"/>
      <charset val="128"/>
    </font>
    <font>
      <sz val="11"/>
      <name val="ＭＳ Ｐゴシック"/>
      <family val="3"/>
      <charset val="128"/>
    </font>
    <font>
      <sz val="11"/>
      <color rgb="FFFF0000"/>
      <name val="ＭＳ Ｐゴシック"/>
      <family val="3"/>
      <charset val="128"/>
    </font>
  </fonts>
  <fills count="7">
    <fill>
      <patternFill patternType="none"/>
    </fill>
    <fill>
      <patternFill patternType="gray125"/>
    </fill>
    <fill>
      <patternFill patternType="solid">
        <fgColor theme="0" tint="-0.34998626667073579"/>
        <bgColor indexed="64"/>
      </patternFill>
    </fill>
    <fill>
      <patternFill patternType="solid">
        <fgColor rgb="FFA6A6A6"/>
        <bgColor indexed="64"/>
      </patternFill>
    </fill>
    <fill>
      <patternFill patternType="solid">
        <fgColor theme="4" tint="0.79998168889431442"/>
        <bgColor indexed="64"/>
      </patternFill>
    </fill>
    <fill>
      <patternFill patternType="solid">
        <fgColor rgb="FFDCE6F1"/>
        <bgColor indexed="64"/>
      </patternFill>
    </fill>
    <fill>
      <patternFill patternType="solid">
        <fgColor indexed="42"/>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theme="1"/>
      </left>
      <right/>
      <top style="thin">
        <color indexed="64"/>
      </top>
      <bottom/>
      <diagonal/>
    </border>
    <border>
      <left style="thin">
        <color theme="1"/>
      </left>
      <right/>
      <top/>
      <bottom style="thin">
        <color indexed="64"/>
      </bottom>
      <diagonal/>
    </border>
    <border>
      <left/>
      <right style="thin">
        <color indexed="64"/>
      </right>
      <top/>
      <bottom style="thin">
        <color indexed="64"/>
      </bottom>
      <diagonal/>
    </border>
    <border>
      <left/>
      <right style="thin">
        <color theme="1"/>
      </right>
      <top style="thin">
        <color indexed="64"/>
      </top>
      <bottom style="thin">
        <color indexed="64"/>
      </bottom>
      <diagonal/>
    </border>
    <border>
      <left style="thin">
        <color theme="1"/>
      </left>
      <right/>
      <top style="thin">
        <color indexed="64"/>
      </top>
      <bottom style="thin">
        <color indexed="64"/>
      </bottom>
      <diagonal/>
    </border>
    <border>
      <left/>
      <right style="thin">
        <color theme="1"/>
      </right>
      <top/>
      <bottom/>
      <diagonal/>
    </border>
    <border>
      <left style="thin">
        <color theme="1"/>
      </left>
      <right/>
      <top/>
      <bottom/>
      <diagonal/>
    </border>
    <border>
      <left/>
      <right style="thin">
        <color theme="1"/>
      </right>
      <top style="thin">
        <color indexed="64"/>
      </top>
      <bottom/>
      <diagonal/>
    </border>
    <border>
      <left/>
      <right style="thin">
        <color theme="1"/>
      </right>
      <top/>
      <bottom style="thin">
        <color indexed="64"/>
      </bottom>
      <diagonal/>
    </border>
    <border>
      <left style="thin">
        <color theme="1"/>
      </left>
      <right style="thin">
        <color indexed="64"/>
      </right>
      <top style="thin">
        <color indexed="64"/>
      </top>
      <bottom/>
      <diagonal/>
    </border>
    <border>
      <left style="thin">
        <color theme="1"/>
      </left>
      <right style="thin">
        <color indexed="64"/>
      </right>
      <top/>
      <bottom/>
      <diagonal/>
    </border>
    <border>
      <left style="thin">
        <color theme="1"/>
      </left>
      <right style="thin">
        <color indexed="64"/>
      </right>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style="thin">
        <color theme="1"/>
      </left>
      <right/>
      <top style="thin">
        <color theme="1"/>
      </top>
      <bottom style="thin">
        <color indexed="64"/>
      </bottom>
      <diagonal/>
    </border>
    <border>
      <left style="thin">
        <color theme="1"/>
      </left>
      <right/>
      <top style="thin">
        <color theme="1"/>
      </top>
      <bottom/>
      <diagonal/>
    </border>
    <border>
      <left/>
      <right/>
      <top style="thin">
        <color theme="1"/>
      </top>
      <bottom/>
      <diagonal/>
    </border>
    <border>
      <left/>
      <right style="thin">
        <color indexed="64"/>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indexed="64"/>
      </right>
      <top style="thin">
        <color theme="1"/>
      </top>
      <bottom style="thin">
        <color theme="1"/>
      </bottom>
      <diagonal/>
    </border>
    <border>
      <left style="thin">
        <color theme="1"/>
      </left>
      <right style="thin">
        <color theme="1"/>
      </right>
      <top style="thin">
        <color indexed="64"/>
      </top>
      <bottom/>
      <diagonal/>
    </border>
    <border>
      <left style="thin">
        <color theme="1"/>
      </left>
      <right style="thin">
        <color theme="1"/>
      </right>
      <top/>
      <bottom/>
      <diagonal/>
    </border>
    <border>
      <left style="thin">
        <color theme="1"/>
      </left>
      <right style="thin">
        <color theme="1"/>
      </right>
      <top/>
      <bottom style="thin">
        <color indexed="64"/>
      </bottom>
      <diagonal/>
    </border>
    <border>
      <left/>
      <right style="thin">
        <color indexed="64"/>
      </right>
      <top style="thin">
        <color theme="1"/>
      </top>
      <bottom style="thin">
        <color indexed="64"/>
      </bottom>
      <diagonal/>
    </border>
    <border>
      <left style="thin">
        <color theme="1"/>
      </left>
      <right style="thin">
        <color indexed="64"/>
      </right>
      <top style="thin">
        <color indexed="64"/>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s>
  <cellStyleXfs count="6">
    <xf numFmtId="0" fontId="0"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4" fillId="0" borderId="0">
      <alignment vertical="center"/>
    </xf>
    <xf numFmtId="38" fontId="24" fillId="0" borderId="0" applyFont="0" applyFill="0" applyBorder="0" applyAlignment="0" applyProtection="0">
      <alignment vertical="center"/>
    </xf>
  </cellStyleXfs>
  <cellXfs count="1000">
    <xf numFmtId="0" fontId="0" fillId="0" borderId="0" xfId="0">
      <alignment vertical="center"/>
    </xf>
    <xf numFmtId="0" fontId="3" fillId="0" borderId="0" xfId="3" applyFont="1">
      <alignment vertical="center"/>
    </xf>
    <xf numFmtId="0" fontId="3" fillId="0" borderId="1" xfId="3" applyFont="1" applyBorder="1">
      <alignment vertical="center"/>
    </xf>
    <xf numFmtId="0" fontId="3" fillId="0" borderId="1" xfId="3" applyFont="1" applyBorder="1" applyAlignment="1">
      <alignment horizontal="left" vertical="top"/>
    </xf>
    <xf numFmtId="176" fontId="3" fillId="0" borderId="1" xfId="3" applyNumberFormat="1" applyFont="1" applyBorder="1" applyAlignment="1">
      <alignment horizontal="right" vertical="top"/>
    </xf>
    <xf numFmtId="176" fontId="3" fillId="0" borderId="0" xfId="3" applyNumberFormat="1" applyFont="1">
      <alignment vertical="center"/>
    </xf>
    <xf numFmtId="177" fontId="3" fillId="0" borderId="0" xfId="2" applyNumberFormat="1" applyFont="1" applyFill="1">
      <alignment vertical="center"/>
    </xf>
    <xf numFmtId="9" fontId="3" fillId="0" borderId="1" xfId="3" applyNumberFormat="1" applyFont="1" applyBorder="1" applyAlignment="1">
      <alignment horizontal="right" vertical="top"/>
    </xf>
    <xf numFmtId="0" fontId="3" fillId="0" borderId="1" xfId="3" applyFont="1" applyBorder="1" applyAlignment="1">
      <alignment horizontal="right" vertical="top"/>
    </xf>
    <xf numFmtId="0" fontId="6" fillId="0" borderId="0" xfId="0" applyFont="1" applyAlignment="1">
      <alignment horizontal="center" vertical="center"/>
    </xf>
    <xf numFmtId="0" fontId="7" fillId="0" borderId="0" xfId="0" applyFont="1">
      <alignment vertical="center"/>
    </xf>
    <xf numFmtId="0" fontId="7" fillId="0" borderId="0" xfId="0" applyFont="1" applyAlignment="1">
      <alignment vertical="top"/>
    </xf>
    <xf numFmtId="0" fontId="8" fillId="0" borderId="0" xfId="0" applyFont="1">
      <alignment vertical="center"/>
    </xf>
    <xf numFmtId="9" fontId="8" fillId="0" borderId="0" xfId="0" applyNumberFormat="1" applyFont="1">
      <alignment vertical="center"/>
    </xf>
    <xf numFmtId="0" fontId="9" fillId="0" borderId="0" xfId="0" applyFont="1">
      <alignment vertical="center"/>
    </xf>
    <xf numFmtId="38" fontId="6" fillId="0" borderId="0" xfId="1" applyFont="1" applyFill="1">
      <alignment vertical="center"/>
    </xf>
    <xf numFmtId="0" fontId="7" fillId="0" borderId="0" xfId="0" applyFont="1" applyAlignment="1">
      <alignment horizontal="center" vertical="center"/>
    </xf>
    <xf numFmtId="0" fontId="10" fillId="0" borderId="0" xfId="0" applyFont="1">
      <alignment vertical="center"/>
    </xf>
    <xf numFmtId="0" fontId="3" fillId="0" borderId="0" xfId="0" applyFont="1" applyAlignment="1">
      <alignment vertical="top"/>
    </xf>
    <xf numFmtId="0" fontId="11" fillId="0" borderId="2" xfId="0" applyFont="1" applyBorder="1" applyAlignment="1">
      <alignment horizontal="centerContinuous" vertical="center"/>
    </xf>
    <xf numFmtId="0" fontId="12" fillId="0" borderId="3" xfId="0" applyFont="1" applyBorder="1" applyAlignment="1">
      <alignment horizontal="centerContinuous" vertical="center"/>
    </xf>
    <xf numFmtId="0" fontId="12" fillId="0" borderId="4" xfId="0" applyFont="1" applyBorder="1" applyAlignment="1">
      <alignment horizontal="center" vertical="center"/>
    </xf>
    <xf numFmtId="0" fontId="12" fillId="0" borderId="5" xfId="0" applyFont="1" applyBorder="1" applyAlignment="1">
      <alignment horizontal="centerContinuous" vertical="top"/>
    </xf>
    <xf numFmtId="0" fontId="12" fillId="0" borderId="5" xfId="0" applyFont="1" applyBorder="1" applyAlignment="1">
      <alignment horizontal="centerContinuous" vertical="center"/>
    </xf>
    <xf numFmtId="9" fontId="12" fillId="0" borderId="5" xfId="0" applyNumberFormat="1" applyFont="1" applyBorder="1" applyAlignment="1">
      <alignment horizontal="centerContinuous" vertical="center"/>
    </xf>
    <xf numFmtId="38" fontId="12" fillId="0" borderId="4" xfId="1" applyFont="1" applyFill="1" applyBorder="1" applyAlignment="1">
      <alignment horizontal="center" vertical="center"/>
    </xf>
    <xf numFmtId="0" fontId="12" fillId="0" borderId="1" xfId="0" applyFont="1" applyBorder="1" applyAlignment="1">
      <alignment horizontal="center" vertical="center"/>
    </xf>
    <xf numFmtId="0" fontId="12" fillId="0" borderId="6" xfId="0" applyFont="1" applyBorder="1">
      <alignment vertical="center"/>
    </xf>
    <xf numFmtId="0" fontId="12" fillId="0" borderId="7" xfId="0" applyFont="1" applyBorder="1" applyAlignment="1">
      <alignment vertical="top"/>
    </xf>
    <xf numFmtId="0" fontId="12" fillId="0" borderId="7" xfId="0" applyFont="1" applyBorder="1">
      <alignment vertical="center"/>
    </xf>
    <xf numFmtId="9" fontId="12" fillId="0" borderId="7" xfId="0" applyNumberFormat="1" applyFont="1" applyBorder="1">
      <alignment vertical="center"/>
    </xf>
    <xf numFmtId="38" fontId="12" fillId="0" borderId="6" xfId="1" applyFont="1" applyFill="1" applyBorder="1" applyAlignment="1">
      <alignment horizontal="center" vertical="center"/>
    </xf>
    <xf numFmtId="0" fontId="12" fillId="0" borderId="6" xfId="0" applyFont="1" applyBorder="1" applyAlignment="1">
      <alignment horizontal="center" vertical="center"/>
    </xf>
    <xf numFmtId="0" fontId="13" fillId="0" borderId="6" xfId="0" applyFont="1" applyBorder="1" applyAlignment="1">
      <alignment horizontal="center" vertical="center"/>
    </xf>
    <xf numFmtId="0" fontId="14" fillId="0" borderId="6" xfId="0" applyFont="1" applyBorder="1" applyAlignment="1">
      <alignment vertical="center" shrinkToFit="1"/>
    </xf>
    <xf numFmtId="0" fontId="8" fillId="0" borderId="8" xfId="0" applyFont="1" applyBorder="1">
      <alignment vertical="center"/>
    </xf>
    <xf numFmtId="0" fontId="9" fillId="0" borderId="9" xfId="0" applyFont="1" applyBorder="1">
      <alignment vertical="center"/>
    </xf>
    <xf numFmtId="0" fontId="8" fillId="0" borderId="7" xfId="0" applyFont="1" applyBorder="1">
      <alignment vertical="center"/>
    </xf>
    <xf numFmtId="9" fontId="8" fillId="0" borderId="7" xfId="0" applyNumberFormat="1" applyFont="1" applyBorder="1">
      <alignment vertical="center"/>
    </xf>
    <xf numFmtId="3" fontId="13" fillId="0" borderId="6" xfId="1" applyNumberFormat="1" applyFont="1" applyFill="1" applyBorder="1">
      <alignment vertical="center"/>
    </xf>
    <xf numFmtId="0" fontId="14" fillId="0" borderId="10" xfId="0" applyFont="1" applyBorder="1" applyAlignment="1">
      <alignment horizontal="center" vertical="center"/>
    </xf>
    <xf numFmtId="0" fontId="13" fillId="0" borderId="1" xfId="0" applyFont="1" applyBorder="1" applyAlignment="1">
      <alignment horizontal="center" vertical="center"/>
    </xf>
    <xf numFmtId="0" fontId="15" fillId="0" borderId="1" xfId="0" applyFont="1" applyBorder="1" applyAlignment="1">
      <alignment vertical="center" shrinkToFit="1"/>
    </xf>
    <xf numFmtId="0" fontId="8" fillId="0" borderId="9" xfId="0" applyFont="1" applyBorder="1">
      <alignment vertical="center"/>
    </xf>
    <xf numFmtId="0" fontId="9" fillId="0" borderId="2" xfId="0" applyFont="1" applyBorder="1">
      <alignment vertical="center"/>
    </xf>
    <xf numFmtId="0" fontId="8" fillId="0" borderId="11" xfId="0" applyFont="1" applyBorder="1">
      <alignment vertical="center"/>
    </xf>
    <xf numFmtId="9" fontId="8" fillId="0" borderId="11" xfId="0" applyNumberFormat="1" applyFont="1" applyBorder="1">
      <alignment vertical="center"/>
    </xf>
    <xf numFmtId="3" fontId="13" fillId="0" borderId="1" xfId="1" applyNumberFormat="1" applyFont="1" applyFill="1" applyBorder="1">
      <alignment vertical="center"/>
    </xf>
    <xf numFmtId="0" fontId="15" fillId="0" borderId="10" xfId="0" applyFont="1" applyBorder="1" applyAlignment="1">
      <alignment horizontal="center" vertical="center"/>
    </xf>
    <xf numFmtId="0" fontId="8" fillId="0" borderId="5" xfId="0" applyFont="1" applyBorder="1">
      <alignment vertical="center"/>
    </xf>
    <xf numFmtId="9" fontId="8" fillId="0" borderId="5" xfId="0" applyNumberFormat="1" applyFont="1" applyBorder="1">
      <alignment vertical="center"/>
    </xf>
    <xf numFmtId="3" fontId="12" fillId="0" borderId="8" xfId="0" applyNumberFormat="1" applyFont="1" applyBorder="1" applyAlignment="1">
      <alignment vertical="center" wrapText="1"/>
    </xf>
    <xf numFmtId="0" fontId="15" fillId="0" borderId="8" xfId="0" applyFont="1" applyBorder="1" applyAlignment="1">
      <alignment vertical="top" wrapText="1"/>
    </xf>
    <xf numFmtId="0" fontId="8" fillId="0" borderId="12" xfId="0" applyFont="1" applyBorder="1">
      <alignment vertical="center"/>
    </xf>
    <xf numFmtId="0" fontId="15" fillId="0" borderId="8" xfId="0" applyFont="1" applyBorder="1" applyAlignment="1">
      <alignment horizontal="left" vertical="top"/>
    </xf>
    <xf numFmtId="0" fontId="8" fillId="0" borderId="9" xfId="0" applyFont="1" applyBorder="1" applyAlignment="1">
      <alignment horizontal="right" vertical="center"/>
    </xf>
    <xf numFmtId="3" fontId="12" fillId="0" borderId="0" xfId="0" applyNumberFormat="1" applyFont="1">
      <alignment vertical="center"/>
    </xf>
    <xf numFmtId="0" fontId="8" fillId="0" borderId="13" xfId="0" applyFont="1" applyBorder="1">
      <alignment vertical="center"/>
    </xf>
    <xf numFmtId="3" fontId="12" fillId="0" borderId="8" xfId="0" applyNumberFormat="1" applyFont="1" applyBorder="1" applyAlignment="1">
      <alignment horizontal="right" vertical="center" wrapText="1"/>
    </xf>
    <xf numFmtId="0" fontId="8" fillId="0" borderId="0" xfId="0" applyFont="1" applyAlignment="1">
      <alignment horizontal="left" vertical="center"/>
    </xf>
    <xf numFmtId="3" fontId="12" fillId="0" borderId="8" xfId="0" applyNumberFormat="1" applyFont="1" applyBorder="1" applyAlignment="1">
      <alignment vertical="top" wrapText="1"/>
    </xf>
    <xf numFmtId="3" fontId="15" fillId="0" borderId="8" xfId="0" applyNumberFormat="1" applyFont="1" applyBorder="1" applyAlignment="1">
      <alignment vertical="top" wrapText="1"/>
    </xf>
    <xf numFmtId="0" fontId="15" fillId="0" borderId="9" xfId="0" applyFont="1" applyBorder="1" applyAlignment="1">
      <alignment horizontal="left" vertical="top"/>
    </xf>
    <xf numFmtId="0" fontId="15" fillId="0" borderId="6" xfId="0" applyFont="1" applyBorder="1" applyAlignment="1">
      <alignment horizontal="center" vertical="center"/>
    </xf>
    <xf numFmtId="0" fontId="15" fillId="0" borderId="4" xfId="0" applyFont="1" applyBorder="1" applyAlignment="1">
      <alignment horizontal="center" vertical="center"/>
    </xf>
    <xf numFmtId="3" fontId="12" fillId="0" borderId="8" xfId="0" applyNumberFormat="1" applyFont="1" applyBorder="1" applyAlignment="1">
      <alignment horizontal="center" vertical="center" wrapText="1"/>
    </xf>
    <xf numFmtId="0" fontId="15" fillId="0" borderId="8" xfId="0" applyFont="1" applyBorder="1" applyAlignment="1">
      <alignment vertical="center" wrapText="1"/>
    </xf>
    <xf numFmtId="0" fontId="15" fillId="0" borderId="8" xfId="0" applyFont="1" applyBorder="1" applyAlignment="1">
      <alignment horizontal="left" vertical="center"/>
    </xf>
    <xf numFmtId="0" fontId="15" fillId="0" borderId="9" xfId="0" applyFont="1" applyBorder="1" applyAlignment="1">
      <alignment horizontal="left" vertical="center"/>
    </xf>
    <xf numFmtId="0" fontId="15" fillId="0" borderId="8" xfId="0" applyFont="1" applyBorder="1">
      <alignment vertical="center"/>
    </xf>
    <xf numFmtId="0" fontId="15" fillId="0" borderId="9" xfId="0" applyFont="1" applyBorder="1">
      <alignment vertical="center"/>
    </xf>
    <xf numFmtId="0" fontId="3" fillId="0" borderId="0" xfId="0" applyFont="1">
      <alignment vertical="center"/>
    </xf>
    <xf numFmtId="0" fontId="7" fillId="0" borderId="8" xfId="0" applyFont="1" applyBorder="1">
      <alignment vertical="center"/>
    </xf>
    <xf numFmtId="38" fontId="13" fillId="0" borderId="6" xfId="1" applyFont="1" applyFill="1" applyBorder="1">
      <alignment vertical="center"/>
    </xf>
    <xf numFmtId="0" fontId="14" fillId="0" borderId="1" xfId="0" applyFont="1" applyBorder="1" applyAlignment="1">
      <alignment vertical="center" shrinkToFit="1"/>
    </xf>
    <xf numFmtId="38" fontId="13" fillId="0" borderId="1" xfId="1" applyFont="1" applyFill="1" applyBorder="1">
      <alignment vertical="center"/>
    </xf>
    <xf numFmtId="0" fontId="20" fillId="0" borderId="0" xfId="0" applyFont="1">
      <alignment vertical="center"/>
    </xf>
    <xf numFmtId="9" fontId="8" fillId="0" borderId="15" xfId="0" applyNumberFormat="1" applyFont="1" applyBorder="1">
      <alignment vertical="center"/>
    </xf>
    <xf numFmtId="9" fontId="8" fillId="0" borderId="16" xfId="0" applyNumberFormat="1" applyFont="1" applyBorder="1">
      <alignment vertical="center"/>
    </xf>
    <xf numFmtId="0" fontId="8" fillId="0" borderId="17" xfId="0" applyFont="1" applyBorder="1">
      <alignment vertical="center"/>
    </xf>
    <xf numFmtId="0" fontId="21" fillId="0" borderId="0" xfId="0" applyFont="1" applyAlignment="1">
      <alignment horizontal="center" vertical="center"/>
    </xf>
    <xf numFmtId="0" fontId="15" fillId="0" borderId="0" xfId="0" applyFont="1" applyAlignment="1">
      <alignment vertical="center" shrinkToFit="1"/>
    </xf>
    <xf numFmtId="0" fontId="15" fillId="0" borderId="0" xfId="0" applyFont="1">
      <alignment vertical="center"/>
    </xf>
    <xf numFmtId="0" fontId="18" fillId="0" borderId="0" xfId="0" applyFont="1">
      <alignment vertical="center"/>
    </xf>
    <xf numFmtId="38" fontId="13" fillId="0" borderId="0" xfId="1" applyFont="1" applyFill="1">
      <alignment vertical="center"/>
    </xf>
    <xf numFmtId="0" fontId="15" fillId="0" borderId="0" xfId="0" applyFont="1" applyAlignment="1">
      <alignment horizontal="center" vertical="center"/>
    </xf>
    <xf numFmtId="0" fontId="22" fillId="0" borderId="0" xfId="0" applyFont="1">
      <alignment vertical="center"/>
    </xf>
    <xf numFmtId="0" fontId="12" fillId="0" borderId="2" xfId="0" applyFont="1" applyBorder="1" applyAlignment="1">
      <alignment horizontal="centerContinuous" vertical="center"/>
    </xf>
    <xf numFmtId="0" fontId="12" fillId="0" borderId="4" xfId="0" applyFont="1" applyBorder="1" applyAlignment="1">
      <alignment horizontal="center" vertical="center" shrinkToFit="1"/>
    </xf>
    <xf numFmtId="0" fontId="12" fillId="0" borderId="6" xfId="0" applyFont="1" applyBorder="1" applyAlignment="1">
      <alignment vertical="center" shrinkToFit="1"/>
    </xf>
    <xf numFmtId="0" fontId="18" fillId="0" borderId="7" xfId="0" applyFont="1" applyBorder="1">
      <alignment vertical="center"/>
    </xf>
    <xf numFmtId="0" fontId="18" fillId="0" borderId="8" xfId="0" applyFont="1" applyBorder="1">
      <alignment vertical="center"/>
    </xf>
    <xf numFmtId="0" fontId="19" fillId="0" borderId="8" xfId="0" applyFont="1" applyBorder="1">
      <alignment vertical="center"/>
    </xf>
    <xf numFmtId="3" fontId="21" fillId="0" borderId="6" xfId="1" applyNumberFormat="1" applyFont="1" applyFill="1" applyBorder="1">
      <alignment vertical="center"/>
    </xf>
    <xf numFmtId="0" fontId="18" fillId="0" borderId="9" xfId="0" applyFont="1" applyBorder="1">
      <alignment vertical="center"/>
    </xf>
    <xf numFmtId="3" fontId="21" fillId="0" borderId="1" xfId="1" applyNumberFormat="1" applyFont="1" applyFill="1" applyBorder="1">
      <alignment vertical="center"/>
    </xf>
    <xf numFmtId="0" fontId="18" fillId="0" borderId="12" xfId="0" applyFont="1" applyBorder="1">
      <alignment vertical="center"/>
    </xf>
    <xf numFmtId="3" fontId="12" fillId="0" borderId="8" xfId="1" applyNumberFormat="1" applyFont="1" applyFill="1" applyBorder="1" applyAlignment="1">
      <alignment vertical="center" wrapText="1"/>
    </xf>
    <xf numFmtId="3" fontId="12" fillId="0" borderId="8" xfId="1" applyNumberFormat="1" applyFont="1" applyFill="1" applyBorder="1">
      <alignment vertical="center"/>
    </xf>
    <xf numFmtId="38" fontId="8" fillId="0" borderId="0" xfId="1" applyFont="1" applyFill="1" applyBorder="1">
      <alignment vertical="center"/>
    </xf>
    <xf numFmtId="3" fontId="8" fillId="0" borderId="8" xfId="1" applyNumberFormat="1" applyFont="1" applyFill="1" applyBorder="1">
      <alignment vertical="center"/>
    </xf>
    <xf numFmtId="38" fontId="15" fillId="0" borderId="8" xfId="1" applyFont="1" applyFill="1" applyBorder="1" applyAlignment="1">
      <alignment vertical="top" wrapText="1"/>
    </xf>
    <xf numFmtId="38" fontId="20" fillId="0" borderId="8" xfId="1" applyFont="1" applyFill="1" applyBorder="1" applyAlignment="1">
      <alignment vertical="top" wrapText="1"/>
    </xf>
    <xf numFmtId="38" fontId="15" fillId="0" borderId="8" xfId="1" applyFont="1" applyFill="1" applyBorder="1">
      <alignment vertical="center"/>
    </xf>
    <xf numFmtId="38" fontId="20" fillId="0" borderId="8" xfId="1" applyFont="1" applyFill="1" applyBorder="1">
      <alignment vertical="center"/>
    </xf>
    <xf numFmtId="38" fontId="8" fillId="0" borderId="13" xfId="1" applyFont="1" applyFill="1" applyBorder="1">
      <alignment vertical="center"/>
    </xf>
    <xf numFmtId="0" fontId="7" fillId="0" borderId="13" xfId="0" applyFont="1" applyBorder="1" applyAlignment="1">
      <alignment horizontal="left" vertical="top"/>
    </xf>
    <xf numFmtId="3" fontId="12" fillId="0" borderId="8" xfId="1" applyNumberFormat="1" applyFont="1" applyFill="1" applyBorder="1" applyAlignment="1">
      <alignment vertical="center"/>
    </xf>
    <xf numFmtId="38" fontId="8" fillId="0" borderId="13" xfId="1" applyFont="1" applyFill="1" applyBorder="1" applyAlignment="1">
      <alignment vertical="center"/>
    </xf>
    <xf numFmtId="38" fontId="15" fillId="0" borderId="8" xfId="1" applyFont="1" applyFill="1" applyBorder="1" applyAlignment="1">
      <alignment vertical="center"/>
    </xf>
    <xf numFmtId="38" fontId="15" fillId="0" borderId="9" xfId="1" applyFont="1" applyFill="1" applyBorder="1">
      <alignment vertical="center"/>
    </xf>
    <xf numFmtId="38" fontId="8" fillId="0" borderId="7" xfId="1" applyFont="1" applyFill="1" applyBorder="1">
      <alignment vertical="center"/>
    </xf>
    <xf numFmtId="38" fontId="20" fillId="0" borderId="9" xfId="1" applyFont="1" applyFill="1" applyBorder="1">
      <alignment vertical="center"/>
    </xf>
    <xf numFmtId="38" fontId="8" fillId="0" borderId="17" xfId="1" applyFont="1" applyFill="1" applyBorder="1">
      <alignment vertical="center"/>
    </xf>
    <xf numFmtId="0" fontId="7" fillId="0" borderId="12" xfId="0" applyFont="1" applyBorder="1">
      <alignment vertical="center"/>
    </xf>
    <xf numFmtId="0" fontId="8" fillId="0" borderId="14" xfId="0" applyFont="1" applyBorder="1">
      <alignment vertical="center"/>
    </xf>
    <xf numFmtId="0" fontId="19" fillId="0" borderId="12" xfId="0" applyFont="1" applyBorder="1">
      <alignment vertical="center"/>
    </xf>
    <xf numFmtId="38" fontId="8" fillId="0" borderId="0" xfId="1" applyFont="1" applyFill="1">
      <alignment vertical="center"/>
    </xf>
    <xf numFmtId="38" fontId="12" fillId="0" borderId="5" xfId="1" applyFont="1" applyFill="1" applyBorder="1" applyAlignment="1">
      <alignment horizontal="centerContinuous" vertical="center"/>
    </xf>
    <xf numFmtId="38" fontId="12" fillId="0" borderId="3" xfId="1" applyFont="1" applyFill="1" applyBorder="1" applyAlignment="1">
      <alignment horizontal="centerContinuous" vertical="center"/>
    </xf>
    <xf numFmtId="38" fontId="12" fillId="0" borderId="7" xfId="1" applyFont="1" applyFill="1" applyBorder="1">
      <alignment vertical="center"/>
    </xf>
    <xf numFmtId="0" fontId="7" fillId="0" borderId="8" xfId="0" applyFont="1" applyBorder="1" applyAlignment="1">
      <alignment vertical="top" wrapText="1"/>
    </xf>
    <xf numFmtId="0" fontId="7" fillId="0" borderId="9" xfId="0" applyFont="1" applyBorder="1">
      <alignment vertical="center"/>
    </xf>
    <xf numFmtId="0" fontId="18" fillId="0" borderId="5" xfId="0" applyFont="1" applyBorder="1" applyAlignment="1">
      <alignment horizontal="centerContinuous" vertical="center"/>
    </xf>
    <xf numFmtId="38" fontId="12" fillId="0" borderId="11" xfId="1" applyFont="1" applyFill="1" applyBorder="1" applyAlignment="1">
      <alignment horizontal="centerContinuous" vertical="center"/>
    </xf>
    <xf numFmtId="3" fontId="8" fillId="0" borderId="8" xfId="0" applyNumberFormat="1" applyFont="1" applyBorder="1">
      <alignment vertical="center"/>
    </xf>
    <xf numFmtId="0" fontId="12" fillId="0" borderId="5" xfId="0" applyFont="1" applyBorder="1" applyAlignment="1">
      <alignment horizontal="center" vertical="top"/>
    </xf>
    <xf numFmtId="0" fontId="14" fillId="0" borderId="2" xfId="0" applyFont="1" applyBorder="1" applyAlignment="1">
      <alignment vertical="center" shrinkToFit="1"/>
    </xf>
    <xf numFmtId="0" fontId="14" fillId="0" borderId="4" xfId="0" applyFont="1" applyBorder="1" applyAlignment="1">
      <alignment horizontal="center" vertical="center"/>
    </xf>
    <xf numFmtId="0" fontId="7" fillId="0" borderId="13" xfId="0" applyFont="1" applyBorder="1" applyAlignment="1">
      <alignment vertical="top" wrapText="1"/>
    </xf>
    <xf numFmtId="0" fontId="7" fillId="0" borderId="13" xfId="0" applyFont="1" applyBorder="1">
      <alignment vertical="center"/>
    </xf>
    <xf numFmtId="0" fontId="7" fillId="0" borderId="10" xfId="0" applyFont="1" applyBorder="1" applyAlignment="1">
      <alignment horizontal="center" vertical="top" textRotation="255"/>
    </xf>
    <xf numFmtId="0" fontId="7" fillId="0" borderId="8" xfId="0" applyFont="1" applyBorder="1" applyAlignment="1">
      <alignment horizontal="left" vertical="top"/>
    </xf>
    <xf numFmtId="0" fontId="7" fillId="0" borderId="6" xfId="0" applyFont="1" applyBorder="1" applyAlignment="1">
      <alignment horizontal="center" vertical="top" textRotation="255"/>
    </xf>
    <xf numFmtId="0" fontId="7" fillId="0" borderId="17" xfId="0" applyFont="1" applyBorder="1">
      <alignment vertical="center"/>
    </xf>
    <xf numFmtId="0" fontId="14" fillId="0" borderId="9" xfId="0" applyFont="1" applyBorder="1" applyAlignment="1">
      <alignment vertical="center" shrinkToFit="1"/>
    </xf>
    <xf numFmtId="0" fontId="19" fillId="0" borderId="10" xfId="0" applyFont="1" applyBorder="1" applyAlignment="1">
      <alignment vertical="top" textRotation="255"/>
    </xf>
    <xf numFmtId="0" fontId="7" fillId="0" borderId="10" xfId="0" applyFont="1" applyBorder="1" applyAlignment="1">
      <alignment vertical="top" textRotation="255"/>
    </xf>
    <xf numFmtId="0" fontId="19" fillId="0" borderId="6" xfId="0" applyFont="1" applyBorder="1" applyAlignment="1">
      <alignment vertical="top" textRotation="255"/>
    </xf>
    <xf numFmtId="0" fontId="7" fillId="0" borderId="6" xfId="0" applyFont="1" applyBorder="1" applyAlignment="1">
      <alignment vertical="top" textRotation="255"/>
    </xf>
    <xf numFmtId="0" fontId="7" fillId="0" borderId="0" xfId="0" applyFont="1" applyAlignment="1">
      <alignment vertical="top" wrapText="1"/>
    </xf>
    <xf numFmtId="3" fontId="8" fillId="0" borderId="8" xfId="1" applyNumberFormat="1" applyFont="1" applyFill="1" applyBorder="1" applyAlignment="1">
      <alignment vertical="center"/>
    </xf>
    <xf numFmtId="38" fontId="8" fillId="0" borderId="0" xfId="1" applyFont="1" applyFill="1" applyBorder="1" applyAlignment="1">
      <alignment vertical="center"/>
    </xf>
    <xf numFmtId="0" fontId="7" fillId="0" borderId="8" xfId="0" applyFont="1" applyBorder="1" applyAlignment="1">
      <alignment horizontal="left" vertical="top" wrapText="1"/>
    </xf>
    <xf numFmtId="0" fontId="15" fillId="0" borderId="6" xfId="0" applyFont="1" applyBorder="1" applyAlignment="1">
      <alignment vertical="center" shrinkToFit="1"/>
    </xf>
    <xf numFmtId="9" fontId="8" fillId="0" borderId="13" xfId="0" applyNumberFormat="1" applyFont="1" applyBorder="1" applyAlignment="1">
      <alignment horizontal="left" vertical="top"/>
    </xf>
    <xf numFmtId="0" fontId="21" fillId="0" borderId="0" xfId="4" applyFont="1" applyAlignment="1">
      <alignment horizontal="center" vertical="center"/>
    </xf>
    <xf numFmtId="0" fontId="15" fillId="0" borderId="0" xfId="4" applyFont="1" applyAlignment="1">
      <alignment vertical="center" shrinkToFit="1"/>
    </xf>
    <xf numFmtId="9" fontId="12" fillId="0" borderId="0" xfId="4" applyNumberFormat="1" applyFont="1" applyAlignment="1">
      <alignment horizontal="right" vertical="center"/>
    </xf>
    <xf numFmtId="0" fontId="18" fillId="0" borderId="0" xfId="4" applyFont="1" applyAlignment="1">
      <alignment horizontal="left" vertical="top"/>
    </xf>
    <xf numFmtId="0" fontId="15" fillId="0" borderId="0" xfId="4" applyFont="1" applyAlignment="1">
      <alignment horizontal="left" vertical="top"/>
    </xf>
    <xf numFmtId="0" fontId="5" fillId="0" borderId="0" xfId="4" applyFont="1">
      <alignment vertical="center"/>
    </xf>
    <xf numFmtId="0" fontId="15" fillId="0" borderId="0" xfId="4" applyFont="1">
      <alignment vertical="center"/>
    </xf>
    <xf numFmtId="3" fontId="15" fillId="0" borderId="0" xfId="4" applyNumberFormat="1" applyFont="1">
      <alignment vertical="center"/>
    </xf>
    <xf numFmtId="9" fontId="13" fillId="0" borderId="0" xfId="4" applyNumberFormat="1" applyFont="1" applyAlignment="1">
      <alignment horizontal="center" vertical="center"/>
    </xf>
    <xf numFmtId="9" fontId="15" fillId="0" borderId="0" xfId="4" applyNumberFormat="1" applyFont="1" applyAlignment="1">
      <alignment horizontal="center" vertical="center"/>
    </xf>
    <xf numFmtId="0" fontId="25" fillId="0" borderId="0" xfId="4" applyFont="1">
      <alignment vertical="center"/>
    </xf>
    <xf numFmtId="0" fontId="21" fillId="0" borderId="0" xfId="0" applyFont="1">
      <alignment vertical="center"/>
    </xf>
    <xf numFmtId="9" fontId="13" fillId="0" borderId="0" xfId="0" applyNumberFormat="1" applyFont="1">
      <alignment vertical="center"/>
    </xf>
    <xf numFmtId="0" fontId="12" fillId="0" borderId="9" xfId="0" applyFont="1" applyBorder="1">
      <alignment vertical="center"/>
    </xf>
    <xf numFmtId="0" fontId="12" fillId="0" borderId="17" xfId="0" applyFont="1" applyBorder="1">
      <alignment vertical="center"/>
    </xf>
    <xf numFmtId="0" fontId="14" fillId="0" borderId="6" xfId="0" applyFont="1" applyBorder="1">
      <alignment vertical="center"/>
    </xf>
    <xf numFmtId="0" fontId="14" fillId="0" borderId="1" xfId="0" applyFont="1" applyBorder="1">
      <alignment vertical="center"/>
    </xf>
    <xf numFmtId="0" fontId="8" fillId="0" borderId="2" xfId="0" applyFont="1" applyBorder="1">
      <alignment vertical="center"/>
    </xf>
    <xf numFmtId="0" fontId="9" fillId="0" borderId="12" xfId="0" applyFont="1" applyBorder="1">
      <alignment vertical="center"/>
    </xf>
    <xf numFmtId="3" fontId="8" fillId="0" borderId="9" xfId="1" applyNumberFormat="1" applyFont="1" applyFill="1" applyBorder="1">
      <alignment vertical="center"/>
    </xf>
    <xf numFmtId="0" fontId="12" fillId="0" borderId="5" xfId="0" applyFont="1" applyBorder="1" applyAlignment="1">
      <alignment horizontal="center" vertical="center"/>
    </xf>
    <xf numFmtId="0" fontId="7" fillId="0" borderId="10" xfId="0" applyFont="1" applyBorder="1">
      <alignment vertical="center"/>
    </xf>
    <xf numFmtId="3" fontId="8" fillId="0" borderId="0" xfId="0" applyNumberFormat="1" applyFont="1">
      <alignment vertical="center"/>
    </xf>
    <xf numFmtId="38" fontId="8" fillId="0" borderId="20" xfId="1" applyFont="1" applyFill="1" applyBorder="1">
      <alignment vertical="center"/>
    </xf>
    <xf numFmtId="3" fontId="8" fillId="0" borderId="0" xfId="1" applyNumberFormat="1" applyFont="1" applyFill="1" applyBorder="1">
      <alignment vertical="center"/>
    </xf>
    <xf numFmtId="0" fontId="8" fillId="0" borderId="20" xfId="0" applyFont="1" applyBorder="1">
      <alignment vertical="center"/>
    </xf>
    <xf numFmtId="0" fontId="7" fillId="0" borderId="0" xfId="0" applyFont="1" applyAlignment="1">
      <alignment horizontal="left" vertical="top"/>
    </xf>
    <xf numFmtId="0" fontId="7" fillId="0" borderId="20" xfId="0" applyFont="1" applyBorder="1" applyAlignment="1">
      <alignment horizontal="left" vertical="top"/>
    </xf>
    <xf numFmtId="3" fontId="8" fillId="0" borderId="7" xfId="1" applyNumberFormat="1" applyFont="1" applyFill="1" applyBorder="1" applyAlignment="1">
      <alignment vertical="center"/>
    </xf>
    <xf numFmtId="0" fontId="8" fillId="0" borderId="23" xfId="0" applyFont="1" applyBorder="1">
      <alignment vertical="center"/>
    </xf>
    <xf numFmtId="3" fontId="8" fillId="0" borderId="7" xfId="1" applyNumberFormat="1" applyFont="1" applyFill="1" applyBorder="1">
      <alignment vertical="center"/>
    </xf>
    <xf numFmtId="38" fontId="12" fillId="0" borderId="7" xfId="1" applyFont="1" applyFill="1" applyBorder="1" applyAlignment="1">
      <alignment horizontal="center" vertical="center"/>
    </xf>
    <xf numFmtId="0" fontId="8" fillId="0" borderId="21" xfId="0" applyFont="1" applyBorder="1">
      <alignment vertical="center"/>
    </xf>
    <xf numFmtId="38" fontId="8" fillId="0" borderId="21" xfId="1" applyFont="1" applyFill="1" applyBorder="1">
      <alignment vertical="center"/>
    </xf>
    <xf numFmtId="0" fontId="8" fillId="0" borderId="16" xfId="0" applyFont="1" applyBorder="1">
      <alignment vertical="center"/>
    </xf>
    <xf numFmtId="0" fontId="7" fillId="0" borderId="9" xfId="0" applyFont="1" applyBorder="1" applyAlignment="1">
      <alignment vertical="top" wrapText="1"/>
    </xf>
    <xf numFmtId="38" fontId="8" fillId="0" borderId="8" xfId="1" applyFont="1" applyFill="1" applyBorder="1">
      <alignment vertical="center"/>
    </xf>
    <xf numFmtId="38" fontId="8" fillId="0" borderId="9" xfId="1" applyFont="1" applyFill="1" applyBorder="1">
      <alignment vertical="center"/>
    </xf>
    <xf numFmtId="3" fontId="8" fillId="0" borderId="7" xfId="0" applyNumberFormat="1" applyFont="1" applyBorder="1">
      <alignment vertical="center"/>
    </xf>
    <xf numFmtId="38" fontId="12" fillId="0" borderId="23" xfId="1" applyFont="1" applyFill="1" applyBorder="1">
      <alignment vertical="center"/>
    </xf>
    <xf numFmtId="3" fontId="8" fillId="0" borderId="9" xfId="0" applyNumberFormat="1" applyFont="1" applyBorder="1">
      <alignment vertical="center"/>
    </xf>
    <xf numFmtId="0" fontId="12" fillId="0" borderId="11" xfId="0" applyFont="1" applyBorder="1" applyAlignment="1">
      <alignment horizontal="centerContinuous" vertical="center"/>
    </xf>
    <xf numFmtId="0" fontId="7" fillId="0" borderId="0" xfId="0" applyFont="1" applyAlignment="1">
      <alignment horizontal="left" vertical="top" wrapText="1"/>
    </xf>
    <xf numFmtId="9" fontId="8" fillId="0" borderId="3" xfId="0" applyNumberFormat="1" applyFont="1" applyBorder="1">
      <alignment vertical="center"/>
    </xf>
    <xf numFmtId="0" fontId="7" fillId="0" borderId="7" xfId="0" applyFont="1" applyBorder="1">
      <alignment vertical="center"/>
    </xf>
    <xf numFmtId="0" fontId="7" fillId="0" borderId="8" xfId="0" quotePrefix="1" applyFont="1" applyBorder="1">
      <alignment vertical="center"/>
    </xf>
    <xf numFmtId="0" fontId="7" fillId="0" borderId="8" xfId="0" quotePrefix="1" applyFont="1" applyBorder="1" applyAlignment="1">
      <alignment vertical="top"/>
    </xf>
    <xf numFmtId="0" fontId="28" fillId="0" borderId="8" xfId="0" applyFont="1" applyBorder="1" applyAlignment="1">
      <alignment horizontal="left" vertical="top"/>
    </xf>
    <xf numFmtId="0" fontId="29" fillId="0" borderId="13" xfId="0" applyFont="1" applyBorder="1" applyAlignment="1">
      <alignment horizontal="left" vertical="top"/>
    </xf>
    <xf numFmtId="0" fontId="29" fillId="0" borderId="8" xfId="0" applyFont="1" applyBorder="1" applyAlignment="1">
      <alignment horizontal="left" vertical="top"/>
    </xf>
    <xf numFmtId="3" fontId="30" fillId="0" borderId="8" xfId="0" applyNumberFormat="1" applyFont="1" applyBorder="1">
      <alignment vertical="center"/>
    </xf>
    <xf numFmtId="0" fontId="30" fillId="0" borderId="13" xfId="0" applyFont="1" applyBorder="1">
      <alignment vertical="center"/>
    </xf>
    <xf numFmtId="0" fontId="29" fillId="0" borderId="8" xfId="0" applyFont="1" applyBorder="1">
      <alignment vertical="center"/>
    </xf>
    <xf numFmtId="38" fontId="7" fillId="0" borderId="0" xfId="1" applyFont="1" applyFill="1">
      <alignment vertical="center"/>
    </xf>
    <xf numFmtId="38" fontId="3" fillId="0" borderId="0" xfId="1" applyFont="1" applyFill="1">
      <alignment vertical="center"/>
    </xf>
    <xf numFmtId="38" fontId="12" fillId="0" borderId="2" xfId="1" applyFont="1" applyFill="1" applyBorder="1" applyAlignment="1">
      <alignment horizontal="centerContinuous" vertical="center"/>
    </xf>
    <xf numFmtId="38" fontId="7" fillId="0" borderId="8" xfId="1" applyFont="1" applyFill="1" applyBorder="1" applyAlignment="1">
      <alignment vertical="top" wrapText="1"/>
    </xf>
    <xf numFmtId="38" fontId="7" fillId="0" borderId="8" xfId="1" applyFont="1" applyFill="1" applyBorder="1">
      <alignment vertical="center"/>
    </xf>
    <xf numFmtId="38" fontId="7" fillId="0" borderId="8" xfId="1" applyFont="1" applyFill="1" applyBorder="1" applyAlignment="1">
      <alignment horizontal="left" vertical="top" wrapText="1"/>
    </xf>
    <xf numFmtId="38" fontId="7" fillId="0" borderId="9" xfId="1" applyFont="1" applyFill="1" applyBorder="1">
      <alignment vertical="center"/>
    </xf>
    <xf numFmtId="0" fontId="6" fillId="0" borderId="0" xfId="0" applyFont="1">
      <alignment vertical="center"/>
    </xf>
    <xf numFmtId="3" fontId="13" fillId="0" borderId="6" xfId="0" applyNumberFormat="1" applyFont="1" applyBorder="1">
      <alignment vertical="center"/>
    </xf>
    <xf numFmtId="3" fontId="13" fillId="0" borderId="1" xfId="0" applyNumberFormat="1" applyFont="1" applyBorder="1">
      <alignment vertical="center"/>
    </xf>
    <xf numFmtId="0" fontId="13" fillId="0" borderId="0" xfId="0" applyFont="1">
      <alignment vertical="center"/>
    </xf>
    <xf numFmtId="38" fontId="8" fillId="0" borderId="16" xfId="1" applyFont="1" applyFill="1" applyBorder="1">
      <alignment vertical="center"/>
    </xf>
    <xf numFmtId="0" fontId="7" fillId="0" borderId="7" xfId="0" applyFont="1" applyBorder="1" applyAlignment="1">
      <alignment vertical="top" wrapText="1"/>
    </xf>
    <xf numFmtId="38" fontId="12" fillId="0" borderId="12" xfId="1" applyFont="1" applyFill="1" applyBorder="1" applyAlignment="1">
      <alignment horizontal="centerContinuous" vertical="center"/>
    </xf>
    <xf numFmtId="38" fontId="12" fillId="0" borderId="9" xfId="1" applyFont="1" applyFill="1" applyBorder="1">
      <alignment vertical="center"/>
    </xf>
    <xf numFmtId="0" fontId="12" fillId="0" borderId="7" xfId="0" applyFont="1" applyBorder="1" applyAlignment="1">
      <alignment horizontal="center" vertical="center"/>
    </xf>
    <xf numFmtId="0" fontId="9" fillId="0" borderId="7" xfId="0" applyFont="1" applyBorder="1">
      <alignment vertical="center"/>
    </xf>
    <xf numFmtId="0" fontId="7" fillId="0" borderId="7" xfId="0" applyFont="1" applyBorder="1" applyAlignment="1">
      <alignment horizontal="center" vertical="center"/>
    </xf>
    <xf numFmtId="0" fontId="9" fillId="0" borderId="11" xfId="0" applyFont="1" applyBorder="1">
      <alignment vertical="center"/>
    </xf>
    <xf numFmtId="0" fontId="7" fillId="0" borderId="11" xfId="0" applyFont="1" applyBorder="1" applyAlignment="1">
      <alignment horizontal="center" vertical="center"/>
    </xf>
    <xf numFmtId="0" fontId="19" fillId="0" borderId="5" xfId="0" applyFont="1" applyBorder="1" applyAlignment="1">
      <alignment horizontal="center" vertical="center"/>
    </xf>
    <xf numFmtId="0" fontId="8" fillId="0" borderId="7" xfId="0" applyFont="1" applyBorder="1" applyAlignment="1">
      <alignment horizontal="center" vertical="center"/>
    </xf>
    <xf numFmtId="0" fontId="7" fillId="0" borderId="5" xfId="0" applyFont="1" applyBorder="1" applyAlignment="1">
      <alignment horizontal="center" vertical="center"/>
    </xf>
    <xf numFmtId="38" fontId="12" fillId="0" borderId="5" xfId="1" applyFont="1" applyFill="1" applyBorder="1" applyAlignment="1">
      <alignment horizontal="center" vertical="center"/>
    </xf>
    <xf numFmtId="0" fontId="19" fillId="0" borderId="8" xfId="0" applyFont="1" applyBorder="1" applyAlignment="1">
      <alignment horizontal="center" vertical="center"/>
    </xf>
    <xf numFmtId="9" fontId="8" fillId="0" borderId="0" xfId="2" applyFont="1" applyFill="1" applyBorder="1">
      <alignment vertical="center"/>
    </xf>
    <xf numFmtId="3" fontId="20" fillId="0" borderId="8" xfId="1" applyNumberFormat="1" applyFont="1" applyFill="1" applyBorder="1" applyAlignment="1">
      <alignment vertical="center"/>
    </xf>
    <xf numFmtId="3" fontId="20" fillId="0" borderId="9" xfId="1" applyNumberFormat="1" applyFont="1" applyFill="1" applyBorder="1" applyAlignment="1">
      <alignment vertical="center"/>
    </xf>
    <xf numFmtId="0" fontId="19" fillId="0" borderId="9" xfId="0" applyFont="1" applyBorder="1" applyAlignment="1">
      <alignment horizontal="center" vertical="center"/>
    </xf>
    <xf numFmtId="0" fontId="12" fillId="0" borderId="12" xfId="0" applyFont="1" applyBorder="1" applyAlignment="1">
      <alignment horizontal="center" vertical="center" shrinkToFit="1"/>
    </xf>
    <xf numFmtId="38" fontId="12" fillId="0" borderId="12" xfId="1" applyFont="1" applyFill="1" applyBorder="1" applyAlignment="1">
      <alignment horizontal="center" vertical="center"/>
    </xf>
    <xf numFmtId="38" fontId="12" fillId="0" borderId="14" xfId="1" applyFont="1" applyFill="1" applyBorder="1" applyAlignment="1">
      <alignment horizontal="center" vertical="center"/>
    </xf>
    <xf numFmtId="0" fontId="12" fillId="0" borderId="9" xfId="0" applyFont="1" applyBorder="1" applyAlignment="1">
      <alignment vertical="center" shrinkToFit="1"/>
    </xf>
    <xf numFmtId="38" fontId="12" fillId="0" borderId="17" xfId="1" applyFont="1" applyFill="1" applyBorder="1" applyAlignment="1">
      <alignment horizontal="center" vertical="center"/>
    </xf>
    <xf numFmtId="0" fontId="19" fillId="0" borderId="0" xfId="0" applyFont="1" applyAlignment="1">
      <alignment horizontal="center" vertical="center"/>
    </xf>
    <xf numFmtId="9" fontId="8" fillId="0" borderId="13" xfId="0" applyNumberFormat="1" applyFont="1" applyBorder="1">
      <alignment vertical="center"/>
    </xf>
    <xf numFmtId="0" fontId="12" fillId="0" borderId="12" xfId="0" applyFont="1" applyBorder="1" applyAlignment="1">
      <alignment horizontal="centerContinuous" vertical="center"/>
    </xf>
    <xf numFmtId="0" fontId="23" fillId="0" borderId="2" xfId="0" applyFont="1" applyBorder="1">
      <alignment vertical="center"/>
    </xf>
    <xf numFmtId="3" fontId="20" fillId="0" borderId="8" xfId="1" applyNumberFormat="1" applyFont="1" applyFill="1" applyBorder="1" applyAlignment="1">
      <alignment vertical="center" wrapText="1"/>
    </xf>
    <xf numFmtId="38" fontId="19" fillId="0" borderId="8" xfId="1" applyFont="1" applyFill="1" applyBorder="1" applyAlignment="1">
      <alignment vertical="top" wrapText="1"/>
    </xf>
    <xf numFmtId="38" fontId="19" fillId="0" borderId="8" xfId="1" applyFont="1" applyFill="1" applyBorder="1">
      <alignment vertical="center"/>
    </xf>
    <xf numFmtId="0" fontId="19" fillId="0" borderId="9" xfId="0" applyFont="1" applyBorder="1" applyAlignment="1">
      <alignment horizontal="right" vertical="center"/>
    </xf>
    <xf numFmtId="38" fontId="19" fillId="0" borderId="9" xfId="1" applyFont="1" applyFill="1" applyBorder="1">
      <alignment vertical="center"/>
    </xf>
    <xf numFmtId="0" fontId="8" fillId="0" borderId="0" xfId="0" applyFont="1" applyAlignment="1">
      <alignment horizontal="center" vertical="center"/>
    </xf>
    <xf numFmtId="9" fontId="8" fillId="0" borderId="0" xfId="2" applyFont="1" applyFill="1" applyBorder="1" applyAlignment="1">
      <alignment horizontal="center" vertical="center"/>
    </xf>
    <xf numFmtId="9" fontId="8" fillId="0" borderId="17" xfId="0" applyNumberFormat="1" applyFont="1" applyBorder="1">
      <alignment vertical="center"/>
    </xf>
    <xf numFmtId="0" fontId="8" fillId="0" borderId="5" xfId="0" applyFont="1" applyBorder="1" applyAlignment="1">
      <alignment horizontal="center" vertical="center"/>
    </xf>
    <xf numFmtId="0" fontId="19" fillId="0" borderId="7" xfId="0" applyFont="1" applyBorder="1" applyAlignment="1">
      <alignment horizontal="center" vertical="center"/>
    </xf>
    <xf numFmtId="0" fontId="19" fillId="0" borderId="11" xfId="0" applyFont="1" applyBorder="1" applyAlignment="1">
      <alignment horizontal="center" vertical="center"/>
    </xf>
    <xf numFmtId="0" fontId="7" fillId="0" borderId="8" xfId="0" applyFont="1" applyBorder="1" applyAlignment="1">
      <alignment horizontal="center" vertical="center"/>
    </xf>
    <xf numFmtId="3" fontId="8" fillId="0" borderId="8" xfId="1" applyNumberFormat="1" applyFont="1" applyFill="1" applyBorder="1" applyAlignment="1">
      <alignment vertical="center" wrapText="1"/>
    </xf>
    <xf numFmtId="3" fontId="7" fillId="0" borderId="8" xfId="1" applyNumberFormat="1" applyFont="1" applyFill="1" applyBorder="1" applyAlignment="1">
      <alignment vertical="top" wrapText="1"/>
    </xf>
    <xf numFmtId="9" fontId="8" fillId="0" borderId="14" xfId="0" applyNumberFormat="1" applyFont="1" applyBorder="1">
      <alignment vertical="center"/>
    </xf>
    <xf numFmtId="0" fontId="19" fillId="0" borderId="7" xfId="0" applyFont="1" applyBorder="1" applyAlignment="1">
      <alignment horizontal="right" vertical="center"/>
    </xf>
    <xf numFmtId="0" fontId="7" fillId="0" borderId="5" xfId="0" applyFont="1" applyBorder="1">
      <alignment vertical="center"/>
    </xf>
    <xf numFmtId="0" fontId="19" fillId="0" borderId="0" xfId="0" applyFont="1">
      <alignment vertical="center"/>
    </xf>
    <xf numFmtId="0" fontId="3" fillId="0" borderId="8" xfId="0" applyFont="1" applyBorder="1" applyAlignment="1">
      <alignment vertical="top" wrapText="1"/>
    </xf>
    <xf numFmtId="0" fontId="17" fillId="0" borderId="2" xfId="0" applyFont="1" applyBorder="1">
      <alignment vertical="center"/>
    </xf>
    <xf numFmtId="0" fontId="19" fillId="0" borderId="8" xfId="0" applyFont="1" applyBorder="1" applyAlignment="1">
      <alignment horizontal="right" vertical="center"/>
    </xf>
    <xf numFmtId="0" fontId="7" fillId="0" borderId="8" xfId="0" applyFont="1" applyBorder="1" applyAlignment="1">
      <alignment horizontal="right" vertical="center"/>
    </xf>
    <xf numFmtId="0" fontId="17" fillId="0" borderId="11" xfId="0" applyFont="1" applyBorder="1">
      <alignment vertical="center"/>
    </xf>
    <xf numFmtId="0" fontId="8" fillId="0" borderId="15" xfId="0" applyFont="1" applyBorder="1">
      <alignment vertical="center"/>
    </xf>
    <xf numFmtId="9" fontId="8" fillId="0" borderId="20" xfId="0" applyNumberFormat="1" applyFont="1" applyBorder="1">
      <alignment vertical="center"/>
    </xf>
    <xf numFmtId="0" fontId="8" fillId="0" borderId="8" xfId="0" applyFont="1" applyBorder="1" applyAlignment="1">
      <alignment horizontal="left" vertical="top"/>
    </xf>
    <xf numFmtId="0" fontId="3" fillId="0" borderId="0" xfId="0" applyFont="1" applyAlignment="1">
      <alignment horizontal="left" vertical="top"/>
    </xf>
    <xf numFmtId="0" fontId="3" fillId="0" borderId="13" xfId="0" applyFont="1" applyBorder="1" applyAlignment="1">
      <alignment horizontal="left" vertical="top"/>
    </xf>
    <xf numFmtId="0" fontId="3" fillId="0" borderId="8" xfId="0" applyFont="1" applyBorder="1" applyAlignment="1">
      <alignment horizontal="left" vertical="top"/>
    </xf>
    <xf numFmtId="0" fontId="3" fillId="0" borderId="20" xfId="0" applyFont="1" applyBorder="1" applyAlignment="1">
      <alignment horizontal="left" vertical="top"/>
    </xf>
    <xf numFmtId="0" fontId="7" fillId="0" borderId="20" xfId="0" applyFont="1" applyBorder="1">
      <alignment vertical="center"/>
    </xf>
    <xf numFmtId="0" fontId="19" fillId="0" borderId="20" xfId="0" applyFont="1" applyBorder="1">
      <alignment vertical="center"/>
    </xf>
    <xf numFmtId="0" fontId="19" fillId="0" borderId="9" xfId="0" applyFont="1" applyBorder="1">
      <alignment vertical="center"/>
    </xf>
    <xf numFmtId="0" fontId="19" fillId="0" borderId="23" xfId="0" applyFont="1" applyBorder="1">
      <alignment vertical="center"/>
    </xf>
    <xf numFmtId="0" fontId="19" fillId="0" borderId="7" xfId="0" applyFont="1" applyBorder="1">
      <alignment vertical="center"/>
    </xf>
    <xf numFmtId="0" fontId="12" fillId="0" borderId="9" xfId="0" applyFont="1" applyBorder="1" applyAlignment="1">
      <alignment horizontal="centerContinuous" vertical="center"/>
    </xf>
    <xf numFmtId="38" fontId="7" fillId="0" borderId="0" xfId="1" applyFont="1" applyFill="1" applyBorder="1">
      <alignment vertical="center"/>
    </xf>
    <xf numFmtId="3" fontId="20" fillId="0" borderId="8" xfId="1" applyNumberFormat="1" applyFont="1" applyFill="1" applyBorder="1">
      <alignment vertical="center"/>
    </xf>
    <xf numFmtId="38" fontId="19" fillId="0" borderId="0" xfId="1" applyFont="1" applyFill="1" applyBorder="1">
      <alignment vertical="center"/>
    </xf>
    <xf numFmtId="3" fontId="20" fillId="0" borderId="9" xfId="1" applyNumberFormat="1" applyFont="1" applyFill="1" applyBorder="1">
      <alignment vertical="center"/>
    </xf>
    <xf numFmtId="3" fontId="13" fillId="0" borderId="26" xfId="1" applyNumberFormat="1" applyFont="1" applyFill="1" applyBorder="1">
      <alignment vertical="center"/>
    </xf>
    <xf numFmtId="3" fontId="13" fillId="0" borderId="41" xfId="1" applyNumberFormat="1" applyFont="1" applyFill="1" applyBorder="1">
      <alignment vertical="center"/>
    </xf>
    <xf numFmtId="38" fontId="20" fillId="0" borderId="0" xfId="1" applyFont="1" applyFill="1" applyBorder="1">
      <alignment vertical="center"/>
    </xf>
    <xf numFmtId="38" fontId="20" fillId="0" borderId="7" xfId="1" applyFont="1" applyFill="1" applyBorder="1">
      <alignment vertical="center"/>
    </xf>
    <xf numFmtId="0" fontId="14" fillId="0" borderId="2" xfId="0" applyFont="1" applyBorder="1">
      <alignment vertical="center"/>
    </xf>
    <xf numFmtId="0" fontId="15" fillId="0" borderId="2" xfId="0" applyFont="1" applyBorder="1">
      <alignment vertical="center"/>
    </xf>
    <xf numFmtId="0" fontId="15" fillId="0" borderId="5" xfId="0" applyFont="1" applyBorder="1" applyAlignment="1">
      <alignment horizontal="centerContinuous" vertical="center"/>
    </xf>
    <xf numFmtId="0" fontId="15" fillId="0" borderId="7" xfId="0" applyFont="1" applyBorder="1">
      <alignment vertical="center"/>
    </xf>
    <xf numFmtId="3" fontId="7" fillId="0" borderId="8" xfId="0" applyNumberFormat="1" applyFont="1" applyBorder="1">
      <alignment vertical="center"/>
    </xf>
    <xf numFmtId="0" fontId="21" fillId="0" borderId="6" xfId="0" applyFont="1" applyBorder="1" applyAlignment="1">
      <alignment horizontal="center" vertical="center"/>
    </xf>
    <xf numFmtId="0" fontId="21" fillId="0" borderId="1" xfId="0" applyFont="1" applyBorder="1" applyAlignment="1">
      <alignment horizontal="center" vertical="center"/>
    </xf>
    <xf numFmtId="3" fontId="20" fillId="0" borderId="0" xfId="1" applyNumberFormat="1" applyFont="1" applyFill="1" applyBorder="1">
      <alignment vertical="center"/>
    </xf>
    <xf numFmtId="0" fontId="12" fillId="0" borderId="2" xfId="0" applyFont="1" applyBorder="1">
      <alignment vertical="center"/>
    </xf>
    <xf numFmtId="0" fontId="17" fillId="0" borderId="9" xfId="0" applyFont="1" applyBorder="1">
      <alignment vertical="center"/>
    </xf>
    <xf numFmtId="0" fontId="19" fillId="0" borderId="13" xfId="0" applyFont="1" applyBorder="1" applyAlignment="1">
      <alignment horizontal="left" vertical="top"/>
    </xf>
    <xf numFmtId="0" fontId="19" fillId="0" borderId="8" xfId="0" applyFont="1" applyBorder="1" applyAlignment="1">
      <alignment horizontal="left" vertical="top"/>
    </xf>
    <xf numFmtId="0" fontId="7" fillId="0" borderId="9" xfId="0" applyFont="1" applyBorder="1" applyAlignment="1">
      <alignment horizontal="right" vertical="center"/>
    </xf>
    <xf numFmtId="0" fontId="25" fillId="0" borderId="2" xfId="0" applyFont="1" applyBorder="1">
      <alignment vertical="center"/>
    </xf>
    <xf numFmtId="3" fontId="20" fillId="0" borderId="7" xfId="1" applyNumberFormat="1" applyFont="1" applyFill="1" applyBorder="1">
      <alignment vertical="center"/>
    </xf>
    <xf numFmtId="0" fontId="7" fillId="0" borderId="0" xfId="0" applyFont="1" applyAlignment="1">
      <alignment horizontal="right" vertical="center"/>
    </xf>
    <xf numFmtId="3" fontId="21" fillId="0" borderId="6" xfId="0" applyNumberFormat="1" applyFont="1" applyBorder="1">
      <alignment vertical="center"/>
    </xf>
    <xf numFmtId="3" fontId="21" fillId="0" borderId="1" xfId="0" applyNumberFormat="1" applyFont="1" applyBorder="1">
      <alignment vertical="center"/>
    </xf>
    <xf numFmtId="0" fontId="7" fillId="0" borderId="2" xfId="0" applyFont="1" applyBorder="1">
      <alignment vertical="center"/>
    </xf>
    <xf numFmtId="0" fontId="12" fillId="0" borderId="12" xfId="4" applyFont="1" applyBorder="1">
      <alignment vertical="center"/>
    </xf>
    <xf numFmtId="0" fontId="12" fillId="0" borderId="3" xfId="4" applyFont="1" applyBorder="1">
      <alignment vertical="center"/>
    </xf>
    <xf numFmtId="0" fontId="12" fillId="0" borderId="14" xfId="4" applyFont="1" applyBorder="1" applyAlignment="1">
      <alignment horizontal="center" vertical="center"/>
    </xf>
    <xf numFmtId="0" fontId="12" fillId="0" borderId="12" xfId="4" applyFont="1" applyBorder="1" applyAlignment="1">
      <alignment horizontal="centerContinuous" vertical="center"/>
    </xf>
    <xf numFmtId="0" fontId="12" fillId="0" borderId="5" xfId="4" applyFont="1" applyBorder="1" applyAlignment="1">
      <alignment horizontal="centerContinuous" vertical="center"/>
    </xf>
    <xf numFmtId="0" fontId="12" fillId="0" borderId="14" xfId="4" applyFont="1" applyBorder="1" applyAlignment="1">
      <alignment horizontal="centerContinuous" vertical="center"/>
    </xf>
    <xf numFmtId="0" fontId="12" fillId="0" borderId="4" xfId="4" applyFont="1" applyBorder="1" applyAlignment="1">
      <alignment horizontal="center" vertical="center"/>
    </xf>
    <xf numFmtId="0" fontId="12" fillId="0" borderId="13" xfId="4" applyFont="1" applyBorder="1">
      <alignment vertical="center"/>
    </xf>
    <xf numFmtId="0" fontId="12" fillId="0" borderId="8" xfId="4" applyFont="1" applyBorder="1">
      <alignment vertical="center"/>
    </xf>
    <xf numFmtId="0" fontId="12" fillId="0" borderId="0" xfId="4" applyFont="1">
      <alignment vertical="center"/>
    </xf>
    <xf numFmtId="0" fontId="12" fillId="0" borderId="10" xfId="4" applyFont="1" applyBorder="1" applyAlignment="1">
      <alignment horizontal="center" vertical="center"/>
    </xf>
    <xf numFmtId="0" fontId="21" fillId="2" borderId="1" xfId="4" applyFont="1" applyFill="1" applyBorder="1" applyAlignment="1">
      <alignment horizontal="center" vertical="center"/>
    </xf>
    <xf numFmtId="0" fontId="21" fillId="2" borderId="3" xfId="4" applyFont="1" applyFill="1" applyBorder="1" applyAlignment="1">
      <alignment horizontal="center" vertical="center"/>
    </xf>
    <xf numFmtId="0" fontId="15" fillId="2" borderId="1" xfId="4" applyFont="1" applyFill="1" applyBorder="1" applyAlignment="1">
      <alignment vertical="center" shrinkToFit="1"/>
    </xf>
    <xf numFmtId="0" fontId="15" fillId="2" borderId="2" xfId="4" applyFont="1" applyFill="1" applyBorder="1">
      <alignment vertical="center"/>
    </xf>
    <xf numFmtId="0" fontId="15" fillId="2" borderId="11" xfId="4" applyFont="1" applyFill="1" applyBorder="1">
      <alignment vertical="center"/>
    </xf>
    <xf numFmtId="0" fontId="15" fillId="3" borderId="11" xfId="4" applyFont="1" applyFill="1" applyBorder="1">
      <alignment vertical="center"/>
    </xf>
    <xf numFmtId="3" fontId="12" fillId="2" borderId="11" xfId="4" applyNumberFormat="1" applyFont="1" applyFill="1" applyBorder="1" applyAlignment="1">
      <alignment horizontal="right" vertical="center"/>
    </xf>
    <xf numFmtId="3" fontId="15" fillId="2" borderId="3" xfId="4" applyNumberFormat="1" applyFont="1" applyFill="1" applyBorder="1">
      <alignment vertical="center"/>
    </xf>
    <xf numFmtId="3" fontId="21" fillId="2" borderId="2" xfId="4" applyNumberFormat="1" applyFont="1" applyFill="1" applyBorder="1">
      <alignment vertical="center"/>
    </xf>
    <xf numFmtId="0" fontId="15" fillId="2" borderId="4" xfId="4" applyFont="1" applyFill="1" applyBorder="1" applyAlignment="1">
      <alignment horizontal="center" vertical="center"/>
    </xf>
    <xf numFmtId="0" fontId="21" fillId="0" borderId="6" xfId="4" applyFont="1" applyBorder="1" applyAlignment="1">
      <alignment horizontal="center" vertical="center"/>
    </xf>
    <xf numFmtId="0" fontId="21" fillId="0" borderId="17" xfId="4" applyFont="1" applyBorder="1" applyAlignment="1">
      <alignment horizontal="center" vertical="center"/>
    </xf>
    <xf numFmtId="0" fontId="15" fillId="0" borderId="6" xfId="4" applyFont="1" applyBorder="1" applyAlignment="1">
      <alignment vertical="center" shrinkToFit="1"/>
    </xf>
    <xf numFmtId="0" fontId="15" fillId="0" borderId="9" xfId="4" applyFont="1" applyBorder="1">
      <alignment vertical="center"/>
    </xf>
    <xf numFmtId="0" fontId="15" fillId="0" borderId="7" xfId="4" applyFont="1" applyBorder="1">
      <alignment vertical="center"/>
    </xf>
    <xf numFmtId="3" fontId="12" fillId="0" borderId="7" xfId="4" applyNumberFormat="1" applyFont="1" applyBorder="1" applyAlignment="1">
      <alignment horizontal="right" vertical="center"/>
    </xf>
    <xf numFmtId="3" fontId="15" fillId="0" borderId="17" xfId="4" applyNumberFormat="1" applyFont="1" applyBorder="1">
      <alignment vertical="center"/>
    </xf>
    <xf numFmtId="3" fontId="21" fillId="0" borderId="9" xfId="4" applyNumberFormat="1" applyFont="1" applyBorder="1">
      <alignment vertical="center"/>
    </xf>
    <xf numFmtId="0" fontId="15" fillId="0" borderId="4" xfId="4" applyFont="1" applyBorder="1" applyAlignment="1">
      <alignment horizontal="center" vertical="center"/>
    </xf>
    <xf numFmtId="0" fontId="15" fillId="0" borderId="2" xfId="4" applyFont="1" applyBorder="1">
      <alignment vertical="center"/>
    </xf>
    <xf numFmtId="3" fontId="12" fillId="0" borderId="11" xfId="4" applyNumberFormat="1" applyFont="1" applyBorder="1" applyAlignment="1">
      <alignment horizontal="right" vertical="center"/>
    </xf>
    <xf numFmtId="3" fontId="15" fillId="0" borderId="3" xfId="4" applyNumberFormat="1" applyFont="1" applyBorder="1">
      <alignment vertical="center"/>
    </xf>
    <xf numFmtId="0" fontId="15" fillId="0" borderId="6" xfId="4" applyFont="1" applyBorder="1" applyAlignment="1">
      <alignment horizontal="center" vertical="center"/>
    </xf>
    <xf numFmtId="0" fontId="15" fillId="0" borderId="7" xfId="4" applyFont="1" applyBorder="1" applyAlignment="1">
      <alignment horizontal="center" vertical="center"/>
    </xf>
    <xf numFmtId="3" fontId="21" fillId="0" borderId="2" xfId="4" applyNumberFormat="1" applyFont="1" applyBorder="1">
      <alignment vertical="center"/>
    </xf>
    <xf numFmtId="0" fontId="15" fillId="0" borderId="1" xfId="4" applyFont="1" applyBorder="1" applyAlignment="1">
      <alignment horizontal="center" vertical="center"/>
    </xf>
    <xf numFmtId="0" fontId="15" fillId="0" borderId="10" xfId="4" applyFont="1" applyBorder="1" applyAlignment="1">
      <alignment vertical="top"/>
    </xf>
    <xf numFmtId="0" fontId="15" fillId="0" borderId="7" xfId="4" applyFont="1" applyBorder="1" applyAlignment="1">
      <alignment horizontal="left" vertical="center"/>
    </xf>
    <xf numFmtId="0" fontId="15" fillId="0" borderId="10" xfId="4" applyFont="1" applyBorder="1" applyAlignment="1">
      <alignment horizontal="center" vertical="center"/>
    </xf>
    <xf numFmtId="0" fontId="21" fillId="0" borderId="1" xfId="4" applyFont="1" applyBorder="1" applyAlignment="1">
      <alignment horizontal="center" vertical="center"/>
    </xf>
    <xf numFmtId="0" fontId="21" fillId="0" borderId="3" xfId="4" applyFont="1" applyBorder="1" applyAlignment="1">
      <alignment horizontal="center" vertical="center"/>
    </xf>
    <xf numFmtId="0" fontId="15" fillId="0" borderId="1" xfId="4" applyFont="1" applyBorder="1" applyAlignment="1">
      <alignment vertical="center" shrinkToFit="1"/>
    </xf>
    <xf numFmtId="0" fontId="15" fillId="0" borderId="11" xfId="4" applyFont="1" applyBorder="1">
      <alignment vertical="center"/>
    </xf>
    <xf numFmtId="0" fontId="15" fillId="0" borderId="6" xfId="4" applyFont="1" applyBorder="1" applyAlignment="1">
      <alignment vertical="top"/>
    </xf>
    <xf numFmtId="0" fontId="15" fillId="0" borderId="9" xfId="4" applyFont="1" applyBorder="1" applyAlignment="1">
      <alignment horizontal="left" vertical="center"/>
    </xf>
    <xf numFmtId="0" fontId="15" fillId="0" borderId="4" xfId="4" applyFont="1" applyBorder="1" applyAlignment="1">
      <alignment horizontal="left" vertical="center"/>
    </xf>
    <xf numFmtId="0" fontId="15" fillId="0" borderId="4" xfId="4" applyFont="1" applyBorder="1">
      <alignment vertical="center"/>
    </xf>
    <xf numFmtId="3" fontId="12" fillId="0" borderId="11" xfId="4" applyNumberFormat="1" applyFont="1" applyBorder="1">
      <alignment vertical="center"/>
    </xf>
    <xf numFmtId="0" fontId="15" fillId="0" borderId="6" xfId="4" applyFont="1" applyBorder="1" applyAlignment="1">
      <alignment horizontal="left" vertical="center"/>
    </xf>
    <xf numFmtId="0" fontId="15" fillId="0" borderId="6" xfId="4" applyFont="1" applyBorder="1">
      <alignment vertical="center"/>
    </xf>
    <xf numFmtId="3" fontId="12" fillId="0" borderId="11" xfId="4" applyNumberFormat="1" applyFont="1" applyBorder="1" applyAlignment="1">
      <alignment vertical="center" shrinkToFit="1"/>
    </xf>
    <xf numFmtId="0" fontId="15" fillId="0" borderId="3" xfId="4" applyFont="1" applyBorder="1" applyAlignment="1">
      <alignment horizontal="left" vertical="center"/>
    </xf>
    <xf numFmtId="3" fontId="21" fillId="0" borderId="1" xfId="4" applyNumberFormat="1" applyFont="1" applyBorder="1">
      <alignment vertical="center"/>
    </xf>
    <xf numFmtId="0" fontId="15" fillId="0" borderId="10" xfId="4" applyFont="1" applyBorder="1" applyAlignment="1">
      <alignment horizontal="center" vertical="center" shrinkToFit="1"/>
    </xf>
    <xf numFmtId="0" fontId="15" fillId="0" borderId="1" xfId="4" applyFont="1" applyBorder="1" applyAlignment="1">
      <alignment horizontal="left" vertical="center"/>
    </xf>
    <xf numFmtId="0" fontId="15" fillId="0" borderId="4" xfId="4" applyFont="1" applyBorder="1" applyAlignment="1">
      <alignment vertical="top"/>
    </xf>
    <xf numFmtId="0" fontId="15" fillId="0" borderId="11" xfId="4" applyFont="1" applyBorder="1" applyAlignment="1">
      <alignment vertical="center" wrapText="1"/>
    </xf>
    <xf numFmtId="0" fontId="15" fillId="0" borderId="10" xfId="4" applyFont="1" applyBorder="1" applyAlignment="1">
      <alignment vertical="top" wrapText="1"/>
    </xf>
    <xf numFmtId="0" fontId="15" fillId="0" borderId="10" xfId="4" applyFont="1" applyBorder="1">
      <alignment vertical="center"/>
    </xf>
    <xf numFmtId="0" fontId="15" fillId="2" borderId="7" xfId="4" applyFont="1" applyFill="1" applyBorder="1" applyAlignment="1">
      <alignment horizontal="left" vertical="center"/>
    </xf>
    <xf numFmtId="0" fontId="15" fillId="2" borderId="11" xfId="4" applyFont="1" applyFill="1" applyBorder="1" applyAlignment="1">
      <alignment vertical="center" wrapText="1"/>
    </xf>
    <xf numFmtId="3" fontId="21" fillId="2" borderId="1" xfId="4" applyNumberFormat="1" applyFont="1" applyFill="1" applyBorder="1">
      <alignment vertical="center"/>
    </xf>
    <xf numFmtId="0" fontId="15" fillId="0" borderId="6" xfId="4" applyFont="1" applyBorder="1" applyAlignment="1">
      <alignment vertical="top" wrapText="1"/>
    </xf>
    <xf numFmtId="0" fontId="15" fillId="2" borderId="7" xfId="4" applyFont="1" applyFill="1" applyBorder="1">
      <alignment vertical="center"/>
    </xf>
    <xf numFmtId="177" fontId="12" fillId="2" borderId="11" xfId="4" applyNumberFormat="1" applyFont="1" applyFill="1" applyBorder="1">
      <alignment vertical="center"/>
    </xf>
    <xf numFmtId="0" fontId="15" fillId="2" borderId="3" xfId="4" applyFont="1" applyFill="1" applyBorder="1" applyAlignment="1">
      <alignment horizontal="left" vertical="center"/>
    </xf>
    <xf numFmtId="0" fontId="15" fillId="0" borderId="10" xfId="4" applyFont="1" applyBorder="1" applyAlignment="1">
      <alignment vertical="center" shrinkToFit="1"/>
    </xf>
    <xf numFmtId="177" fontId="12" fillId="0" borderId="11" xfId="4" applyNumberFormat="1" applyFont="1" applyBorder="1">
      <alignment vertical="center"/>
    </xf>
    <xf numFmtId="0" fontId="21" fillId="4" borderId="1" xfId="4" applyFont="1" applyFill="1" applyBorder="1" applyAlignment="1">
      <alignment horizontal="center" vertical="center"/>
    </xf>
    <xf numFmtId="0" fontId="15" fillId="4" borderId="1" xfId="4" applyFont="1" applyFill="1" applyBorder="1" applyAlignment="1">
      <alignment vertical="center" shrinkToFit="1"/>
    </xf>
    <xf numFmtId="0" fontId="15" fillId="4" borderId="2" xfId="4" applyFont="1" applyFill="1" applyBorder="1" applyAlignment="1">
      <alignment horizontal="left" vertical="center"/>
    </xf>
    <xf numFmtId="0" fontId="15" fillId="4" borderId="11" xfId="4" applyFont="1" applyFill="1" applyBorder="1">
      <alignment vertical="center"/>
    </xf>
    <xf numFmtId="0" fontId="15" fillId="5" borderId="11" xfId="4" applyFont="1" applyFill="1" applyBorder="1">
      <alignment vertical="center"/>
    </xf>
    <xf numFmtId="0" fontId="15" fillId="4" borderId="3" xfId="4" applyFont="1" applyFill="1" applyBorder="1">
      <alignment vertical="center"/>
    </xf>
    <xf numFmtId="3" fontId="21" fillId="4" borderId="2" xfId="4" applyNumberFormat="1" applyFont="1" applyFill="1" applyBorder="1">
      <alignment vertical="center"/>
    </xf>
    <xf numFmtId="0" fontId="22" fillId="0" borderId="0" xfId="4" applyFont="1">
      <alignment vertical="center"/>
    </xf>
    <xf numFmtId="0" fontId="5" fillId="0" borderId="0" xfId="4" applyFont="1" applyAlignment="1">
      <alignment vertical="center" shrinkToFit="1"/>
    </xf>
    <xf numFmtId="0" fontId="12" fillId="0" borderId="4" xfId="4" applyFont="1" applyBorder="1" applyAlignment="1">
      <alignment horizontal="center" vertical="center" shrinkToFit="1"/>
    </xf>
    <xf numFmtId="0" fontId="12" fillId="0" borderId="1" xfId="4" applyFont="1" applyBorder="1" applyAlignment="1">
      <alignment horizontal="center" vertical="center"/>
    </xf>
    <xf numFmtId="0" fontId="12" fillId="0" borderId="3" xfId="4" applyFont="1" applyBorder="1" applyAlignment="1">
      <alignment horizontal="center" vertical="center"/>
    </xf>
    <xf numFmtId="0" fontId="12" fillId="0" borderId="17" xfId="4" applyFont="1" applyBorder="1">
      <alignment vertical="center"/>
    </xf>
    <xf numFmtId="0" fontId="12" fillId="0" borderId="9" xfId="4" applyFont="1" applyBorder="1">
      <alignment vertical="center"/>
    </xf>
    <xf numFmtId="0" fontId="12" fillId="0" borderId="7" xfId="4" applyFont="1" applyBorder="1">
      <alignment vertical="center"/>
    </xf>
    <xf numFmtId="0" fontId="12" fillId="0" borderId="6" xfId="4" applyFont="1" applyBorder="1" applyAlignment="1">
      <alignment horizontal="center" vertical="center"/>
    </xf>
    <xf numFmtId="0" fontId="12" fillId="0" borderId="6" xfId="4" applyFont="1" applyBorder="1" applyAlignment="1">
      <alignment horizontal="center" vertical="center" shrinkToFit="1"/>
    </xf>
    <xf numFmtId="0" fontId="15" fillId="0" borderId="9" xfId="4" applyFont="1" applyBorder="1" applyAlignment="1">
      <alignment vertical="center" shrinkToFit="1"/>
    </xf>
    <xf numFmtId="0" fontId="15" fillId="0" borderId="13" xfId="4" applyFont="1" applyBorder="1">
      <alignment vertical="center"/>
    </xf>
    <xf numFmtId="0" fontId="15" fillId="0" borderId="17" xfId="4" applyFont="1" applyBorder="1">
      <alignment vertical="center"/>
    </xf>
    <xf numFmtId="3" fontId="21" fillId="0" borderId="10" xfId="4" applyNumberFormat="1" applyFont="1" applyBorder="1">
      <alignment vertical="center"/>
    </xf>
    <xf numFmtId="0" fontId="15" fillId="0" borderId="2" xfId="4" applyFont="1" applyBorder="1" applyAlignment="1">
      <alignment vertical="center" shrinkToFit="1"/>
    </xf>
    <xf numFmtId="0" fontId="15" fillId="0" borderId="7" xfId="4" applyFont="1" applyBorder="1" applyAlignment="1">
      <alignment horizontal="right" vertical="center"/>
    </xf>
    <xf numFmtId="3" fontId="21" fillId="0" borderId="4" xfId="4" applyNumberFormat="1" applyFont="1" applyBorder="1">
      <alignment vertical="center"/>
    </xf>
    <xf numFmtId="0" fontId="15" fillId="0" borderId="10" xfId="4" applyFont="1" applyBorder="1" applyAlignment="1">
      <alignment horizontal="center" shrinkToFit="1"/>
    </xf>
    <xf numFmtId="0" fontId="15" fillId="0" borderId="2" xfId="0" applyFont="1" applyBorder="1" applyAlignment="1">
      <alignment vertical="center" shrinkToFit="1"/>
    </xf>
    <xf numFmtId="176" fontId="15" fillId="0" borderId="0" xfId="4" applyNumberFormat="1" applyFont="1" applyAlignment="1">
      <alignment horizontal="right" vertical="center"/>
    </xf>
    <xf numFmtId="0" fontId="15" fillId="0" borderId="5" xfId="4" applyFont="1" applyBorder="1">
      <alignment vertical="center"/>
    </xf>
    <xf numFmtId="0" fontId="15" fillId="0" borderId="14" xfId="4" applyFont="1" applyBorder="1">
      <alignment vertical="center"/>
    </xf>
    <xf numFmtId="0" fontId="19" fillId="0" borderId="5" xfId="0" applyFont="1" applyBorder="1">
      <alignment vertical="center"/>
    </xf>
    <xf numFmtId="176" fontId="15" fillId="0" borderId="5" xfId="4" applyNumberFormat="1" applyFont="1" applyBorder="1" applyAlignment="1">
      <alignment horizontal="right" vertical="center"/>
    </xf>
    <xf numFmtId="0" fontId="5" fillId="0" borderId="5" xfId="4" applyFont="1" applyBorder="1">
      <alignment vertical="center"/>
    </xf>
    <xf numFmtId="9" fontId="15" fillId="0" borderId="7" xfId="4" applyNumberFormat="1" applyFont="1" applyBorder="1" applyAlignment="1">
      <alignment horizontal="right" vertical="center"/>
    </xf>
    <xf numFmtId="0" fontId="15" fillId="0" borderId="17" xfId="4" applyFont="1" applyBorder="1" applyAlignment="1">
      <alignment horizontal="right" vertical="center"/>
    </xf>
    <xf numFmtId="0" fontId="19" fillId="0" borderId="8" xfId="4" applyFont="1" applyBorder="1" applyAlignment="1">
      <alignment vertical="top" wrapText="1"/>
    </xf>
    <xf numFmtId="0" fontId="19" fillId="0" borderId="0" xfId="4" applyFont="1" applyAlignment="1">
      <alignment vertical="top" wrapText="1"/>
    </xf>
    <xf numFmtId="0" fontId="12" fillId="0" borderId="0" xfId="4" applyFont="1" applyAlignment="1">
      <alignment vertical="top" wrapText="1"/>
    </xf>
    <xf numFmtId="0" fontId="19" fillId="0" borderId="13" xfId="4" applyFont="1" applyBorder="1" applyAlignment="1">
      <alignment vertical="top" wrapText="1"/>
    </xf>
    <xf numFmtId="0" fontId="15" fillId="0" borderId="3" xfId="4" applyFont="1" applyBorder="1">
      <alignment vertical="center"/>
    </xf>
    <xf numFmtId="0" fontId="19" fillId="0" borderId="8" xfId="4" applyFont="1" applyBorder="1" applyAlignment="1">
      <alignment horizontal="left" vertical="top" wrapText="1"/>
    </xf>
    <xf numFmtId="0" fontId="19" fillId="0" borderId="0" xfId="4" applyFont="1" applyAlignment="1">
      <alignment horizontal="left" vertical="top" wrapText="1"/>
    </xf>
    <xf numFmtId="0" fontId="12" fillId="0" borderId="0" xfId="4" applyFont="1" applyAlignment="1">
      <alignment horizontal="left" vertical="top" wrapText="1"/>
    </xf>
    <xf numFmtId="0" fontId="19" fillId="0" borderId="13" xfId="4" applyFont="1" applyBorder="1" applyAlignment="1">
      <alignment horizontal="left" vertical="top" wrapText="1"/>
    </xf>
    <xf numFmtId="0" fontId="19" fillId="0" borderId="9" xfId="4" applyFont="1" applyBorder="1" applyAlignment="1">
      <alignment horizontal="left" vertical="top" wrapText="1"/>
    </xf>
    <xf numFmtId="0" fontId="19" fillId="0" borderId="7" xfId="4" applyFont="1" applyBorder="1" applyAlignment="1">
      <alignment horizontal="left" vertical="top" wrapText="1"/>
    </xf>
    <xf numFmtId="0" fontId="12" fillId="0" borderId="7" xfId="4" applyFont="1" applyBorder="1" applyAlignment="1">
      <alignment horizontal="left" vertical="top" wrapText="1"/>
    </xf>
    <xf numFmtId="0" fontId="19" fillId="0" borderId="17" xfId="4" applyFont="1" applyBorder="1" applyAlignment="1">
      <alignment horizontal="left" vertical="top" wrapText="1"/>
    </xf>
    <xf numFmtId="176" fontId="15" fillId="0" borderId="7" xfId="4" applyNumberFormat="1" applyFont="1" applyBorder="1" applyAlignment="1">
      <alignment horizontal="right" vertical="center"/>
    </xf>
    <xf numFmtId="0" fontId="5" fillId="0" borderId="7" xfId="4" applyFont="1" applyBorder="1">
      <alignment vertical="center"/>
    </xf>
    <xf numFmtId="0" fontId="15" fillId="0" borderId="6" xfId="4" applyFont="1" applyBorder="1" applyAlignment="1">
      <alignment horizontal="center" shrinkToFit="1"/>
    </xf>
    <xf numFmtId="0" fontId="19" fillId="0" borderId="9" xfId="4" applyFont="1" applyBorder="1" applyAlignment="1">
      <alignment vertical="top" wrapText="1"/>
    </xf>
    <xf numFmtId="0" fontId="19" fillId="0" borderId="7" xfId="4" applyFont="1" applyBorder="1" applyAlignment="1">
      <alignment vertical="top" wrapText="1"/>
    </xf>
    <xf numFmtId="0" fontId="12" fillId="0" borderId="7" xfId="4" applyFont="1" applyBorder="1" applyAlignment="1">
      <alignment vertical="top" wrapText="1"/>
    </xf>
    <xf numFmtId="0" fontId="19" fillId="0" borderId="17" xfId="4" applyFont="1" applyBorder="1" applyAlignment="1">
      <alignment vertical="top" wrapText="1"/>
    </xf>
    <xf numFmtId="0" fontId="15" fillId="0" borderId="8" xfId="4" applyFont="1" applyBorder="1" applyAlignment="1">
      <alignment vertical="top" wrapText="1"/>
    </xf>
    <xf numFmtId="0" fontId="15" fillId="0" borderId="0" xfId="4" applyFont="1" applyAlignment="1">
      <alignment vertical="top" wrapText="1"/>
    </xf>
    <xf numFmtId="0" fontId="15" fillId="0" borderId="13" xfId="4" applyFont="1" applyBorder="1" applyAlignment="1">
      <alignment vertical="top" wrapText="1"/>
    </xf>
    <xf numFmtId="0" fontId="15" fillId="0" borderId="10" xfId="4" applyFont="1" applyBorder="1" applyAlignment="1">
      <alignment shrinkToFit="1"/>
    </xf>
    <xf numFmtId="0" fontId="15" fillId="0" borderId="5" xfId="4" applyFont="1" applyBorder="1" applyAlignment="1">
      <alignment horizontal="right" vertical="center"/>
    </xf>
    <xf numFmtId="9" fontId="15" fillId="0" borderId="5" xfId="4" applyNumberFormat="1" applyFont="1" applyBorder="1">
      <alignment vertical="center"/>
    </xf>
    <xf numFmtId="0" fontId="5" fillId="0" borderId="14" xfId="4" applyFont="1" applyBorder="1">
      <alignment vertical="center"/>
    </xf>
    <xf numFmtId="0" fontId="15" fillId="0" borderId="8" xfId="4" applyFont="1" applyBorder="1" applyAlignment="1">
      <alignment horizontal="left" vertical="top" wrapText="1"/>
    </xf>
    <xf numFmtId="0" fontId="15" fillId="0" borderId="0" xfId="4" applyFont="1" applyAlignment="1">
      <alignment horizontal="left" vertical="top" wrapText="1"/>
    </xf>
    <xf numFmtId="0" fontId="15" fillId="0" borderId="13" xfId="4" applyFont="1" applyBorder="1" applyAlignment="1">
      <alignment horizontal="left" vertical="top" wrapText="1"/>
    </xf>
    <xf numFmtId="0" fontId="15" fillId="0" borderId="9" xfId="4" applyFont="1" applyBorder="1" applyAlignment="1">
      <alignment horizontal="left" vertical="top" wrapText="1"/>
    </xf>
    <xf numFmtId="0" fontId="15" fillId="0" borderId="7" xfId="4" applyFont="1" applyBorder="1" applyAlignment="1">
      <alignment horizontal="left" vertical="top" wrapText="1"/>
    </xf>
    <xf numFmtId="0" fontId="15" fillId="0" borderId="17" xfId="4" applyFont="1" applyBorder="1" applyAlignment="1">
      <alignment horizontal="left" vertical="top" wrapText="1"/>
    </xf>
    <xf numFmtId="0" fontId="21" fillId="2" borderId="3" xfId="4" quotePrefix="1" applyFont="1" applyFill="1" applyBorder="1" applyAlignment="1">
      <alignment horizontal="center" vertical="center"/>
    </xf>
    <xf numFmtId="0" fontId="15" fillId="2" borderId="1" xfId="4" applyFont="1" applyFill="1" applyBorder="1">
      <alignment vertical="center"/>
    </xf>
    <xf numFmtId="0" fontId="15" fillId="2" borderId="2" xfId="4" applyFont="1" applyFill="1" applyBorder="1" applyAlignment="1">
      <alignment horizontal="left" vertical="center"/>
    </xf>
    <xf numFmtId="0" fontId="15" fillId="2" borderId="11" xfId="4" applyFont="1" applyFill="1" applyBorder="1" applyAlignment="1">
      <alignment horizontal="center" vertical="center"/>
    </xf>
    <xf numFmtId="0" fontId="12" fillId="2" borderId="11" xfId="4" applyFont="1" applyFill="1" applyBorder="1" applyAlignment="1">
      <alignment horizontal="right" vertical="center"/>
    </xf>
    <xf numFmtId="0" fontId="15" fillId="2" borderId="11" xfId="4" applyFont="1" applyFill="1" applyBorder="1" applyAlignment="1">
      <alignment horizontal="right" vertical="center"/>
    </xf>
    <xf numFmtId="177" fontId="12" fillId="2" borderId="11" xfId="4" applyNumberFormat="1" applyFont="1" applyFill="1" applyBorder="1" applyAlignment="1">
      <alignment horizontal="right" vertical="center"/>
    </xf>
    <xf numFmtId="9" fontId="12" fillId="2" borderId="11" xfId="4" applyNumberFormat="1" applyFont="1" applyFill="1" applyBorder="1" applyAlignment="1">
      <alignment horizontal="right" vertical="center"/>
    </xf>
    <xf numFmtId="3" fontId="12" fillId="2" borderId="11" xfId="4" applyNumberFormat="1" applyFont="1" applyFill="1" applyBorder="1">
      <alignment vertical="center"/>
    </xf>
    <xf numFmtId="0" fontId="15" fillId="2" borderId="1" xfId="4" applyFont="1" applyFill="1" applyBorder="1" applyAlignment="1">
      <alignment horizontal="center" vertical="center"/>
    </xf>
    <xf numFmtId="0" fontId="21" fillId="0" borderId="17" xfId="4" quotePrefix="1" applyFont="1" applyBorder="1" applyAlignment="1">
      <alignment horizontal="center" vertical="center"/>
    </xf>
    <xf numFmtId="0" fontId="15" fillId="0" borderId="2" xfId="4" applyFont="1" applyBorder="1" applyAlignment="1">
      <alignment horizontal="left" vertical="center"/>
    </xf>
    <xf numFmtId="0" fontId="15" fillId="0" borderId="11" xfId="4" applyFont="1" applyBorder="1" applyAlignment="1">
      <alignment horizontal="center" vertical="center"/>
    </xf>
    <xf numFmtId="0" fontId="12" fillId="0" borderId="7" xfId="4" applyFont="1" applyBorder="1" applyAlignment="1">
      <alignment horizontal="right" vertical="center"/>
    </xf>
    <xf numFmtId="177" fontId="12" fillId="0" borderId="7" xfId="4" applyNumberFormat="1" applyFont="1" applyBorder="1" applyAlignment="1">
      <alignment horizontal="right" vertical="center"/>
    </xf>
    <xf numFmtId="9" fontId="12" fillId="0" borderId="11" xfId="4" applyNumberFormat="1" applyFont="1" applyBorder="1" applyAlignment="1">
      <alignment horizontal="right" vertical="center"/>
    </xf>
    <xf numFmtId="3" fontId="12" fillId="0" borderId="7" xfId="4" applyNumberFormat="1" applyFont="1" applyBorder="1">
      <alignment vertical="center"/>
    </xf>
    <xf numFmtId="9" fontId="12" fillId="0" borderId="7" xfId="4" applyNumberFormat="1" applyFont="1" applyBorder="1" applyAlignment="1">
      <alignment horizontal="right" vertical="center"/>
    </xf>
    <xf numFmtId="0" fontId="12" fillId="0" borderId="11" xfId="4" applyFont="1" applyBorder="1" applyAlignment="1">
      <alignment horizontal="right" vertical="center"/>
    </xf>
    <xf numFmtId="0" fontId="15" fillId="0" borderId="11" xfId="4" applyFont="1" applyBorder="1" applyAlignment="1">
      <alignment horizontal="right" vertical="center"/>
    </xf>
    <xf numFmtId="177" fontId="12" fillId="0" borderId="11" xfId="4" applyNumberFormat="1" applyFont="1" applyBorder="1" applyAlignment="1">
      <alignment horizontal="right" vertical="center"/>
    </xf>
    <xf numFmtId="0" fontId="12" fillId="0" borderId="7" xfId="4" applyFont="1" applyBorder="1" applyAlignment="1">
      <alignment horizontal="center" vertical="center"/>
    </xf>
    <xf numFmtId="0" fontId="15" fillId="0" borderId="2" xfId="4" applyFont="1" applyBorder="1" applyAlignment="1">
      <alignment horizontal="center" vertical="center"/>
    </xf>
    <xf numFmtId="0" fontId="5" fillId="0" borderId="11" xfId="4" applyFont="1" applyBorder="1">
      <alignment vertical="center"/>
    </xf>
    <xf numFmtId="0" fontId="12" fillId="0" borderId="11" xfId="4" applyFont="1" applyBorder="1">
      <alignment vertical="center"/>
    </xf>
    <xf numFmtId="0" fontId="12" fillId="0" borderId="11" xfId="4" applyFont="1" applyBorder="1" applyAlignment="1">
      <alignment horizontal="left" vertical="center"/>
    </xf>
    <xf numFmtId="0" fontId="15" fillId="0" borderId="1" xfId="4" applyFont="1" applyBorder="1" applyAlignment="1">
      <alignment horizontal="center" vertical="center" shrinkToFit="1"/>
    </xf>
    <xf numFmtId="0" fontId="19" fillId="0" borderId="11" xfId="4" applyFont="1" applyBorder="1">
      <alignment vertical="center"/>
    </xf>
    <xf numFmtId="9" fontId="12" fillId="0" borderId="11" xfId="4" applyNumberFormat="1" applyFont="1" applyBorder="1">
      <alignment vertical="center"/>
    </xf>
    <xf numFmtId="0" fontId="15" fillId="3" borderId="1" xfId="4" applyFont="1" applyFill="1" applyBorder="1" applyAlignment="1">
      <alignment vertical="center" shrinkToFit="1"/>
    </xf>
    <xf numFmtId="0" fontId="12" fillId="2" borderId="7" xfId="4" applyFont="1" applyFill="1" applyBorder="1" applyAlignment="1">
      <alignment horizontal="right" vertical="center"/>
    </xf>
    <xf numFmtId="0" fontId="12" fillId="2" borderId="11" xfId="4" applyFont="1" applyFill="1" applyBorder="1">
      <alignment vertical="center"/>
    </xf>
    <xf numFmtId="9" fontId="12" fillId="2" borderId="11" xfId="4" applyNumberFormat="1" applyFont="1" applyFill="1" applyBorder="1">
      <alignment vertical="center"/>
    </xf>
    <xf numFmtId="0" fontId="15" fillId="0" borderId="9" xfId="4" applyFont="1" applyBorder="1" applyAlignment="1">
      <alignment vertical="top" wrapText="1"/>
    </xf>
    <xf numFmtId="0" fontId="15" fillId="0" borderId="7" xfId="4" applyFont="1" applyBorder="1" applyAlignment="1">
      <alignment vertical="top" wrapText="1"/>
    </xf>
    <xf numFmtId="0" fontId="15" fillId="0" borderId="17" xfId="4" applyFont="1" applyBorder="1" applyAlignment="1">
      <alignment vertical="top" wrapText="1"/>
    </xf>
    <xf numFmtId="0" fontId="5" fillId="2" borderId="11" xfId="4" applyFont="1" applyFill="1" applyBorder="1">
      <alignment vertical="center"/>
    </xf>
    <xf numFmtId="0" fontId="12" fillId="2" borderId="11" xfId="4" applyFont="1" applyFill="1" applyBorder="1" applyAlignment="1">
      <alignment horizontal="left" vertical="center"/>
    </xf>
    <xf numFmtId="0" fontId="15" fillId="0" borderId="11" xfId="4" applyFont="1" applyBorder="1" applyAlignment="1">
      <alignment horizontal="left" vertical="center"/>
    </xf>
    <xf numFmtId="0" fontId="21" fillId="4" borderId="3" xfId="4" applyFont="1" applyFill="1" applyBorder="1" applyAlignment="1">
      <alignment horizontal="center" vertical="center"/>
    </xf>
    <xf numFmtId="0" fontId="15" fillId="5" borderId="1" xfId="4" applyFont="1" applyFill="1" applyBorder="1" applyAlignment="1">
      <alignment vertical="center" shrinkToFit="1"/>
    </xf>
    <xf numFmtId="0" fontId="15" fillId="4" borderId="11" xfId="4" applyFont="1" applyFill="1" applyBorder="1" applyAlignment="1">
      <alignment horizontal="left" vertical="top" wrapText="1"/>
    </xf>
    <xf numFmtId="0" fontId="12" fillId="4" borderId="11" xfId="4" applyFont="1" applyFill="1" applyBorder="1" applyAlignment="1">
      <alignment horizontal="left" vertical="top" wrapText="1"/>
    </xf>
    <xf numFmtId="0" fontId="15" fillId="4" borderId="7" xfId="4" applyFont="1" applyFill="1" applyBorder="1" applyAlignment="1">
      <alignment horizontal="left" vertical="center"/>
    </xf>
    <xf numFmtId="0" fontId="5" fillId="4" borderId="11" xfId="4" applyFont="1" applyFill="1" applyBorder="1">
      <alignment vertical="center"/>
    </xf>
    <xf numFmtId="9" fontId="12" fillId="4" borderId="11" xfId="4" applyNumberFormat="1" applyFont="1" applyFill="1" applyBorder="1" applyAlignment="1">
      <alignment horizontal="right" vertical="center"/>
    </xf>
    <xf numFmtId="0" fontId="12" fillId="4" borderId="7" xfId="4" applyFont="1" applyFill="1" applyBorder="1" applyAlignment="1">
      <alignment horizontal="right" vertical="center"/>
    </xf>
    <xf numFmtId="177" fontId="12" fillId="4" borderId="11" xfId="4" applyNumberFormat="1" applyFont="1" applyFill="1" applyBorder="1">
      <alignment vertical="center"/>
    </xf>
    <xf numFmtId="3" fontId="12" fillId="4" borderId="11" xfId="4" applyNumberFormat="1" applyFont="1" applyFill="1" applyBorder="1" applyAlignment="1">
      <alignment horizontal="right" vertical="center"/>
    </xf>
    <xf numFmtId="0" fontId="12" fillId="4" borderId="11" xfId="4" applyFont="1" applyFill="1" applyBorder="1" applyAlignment="1">
      <alignment horizontal="left" vertical="center"/>
    </xf>
    <xf numFmtId="3" fontId="21" fillId="4" borderId="1" xfId="4" applyNumberFormat="1" applyFont="1" applyFill="1" applyBorder="1">
      <alignment vertical="center"/>
    </xf>
    <xf numFmtId="0" fontId="15" fillId="0" borderId="6" xfId="4" applyFont="1" applyBorder="1" applyAlignment="1">
      <alignment horizontal="center" vertical="center" shrinkToFit="1"/>
    </xf>
    <xf numFmtId="3" fontId="21" fillId="0" borderId="13" xfId="4" applyNumberFormat="1" applyFont="1" applyBorder="1">
      <alignment vertical="center"/>
    </xf>
    <xf numFmtId="3" fontId="21" fillId="0" borderId="14" xfId="4" applyNumberFormat="1" applyFont="1" applyBorder="1">
      <alignment vertical="center"/>
    </xf>
    <xf numFmtId="0" fontId="15" fillId="0" borderId="8" xfId="4" applyFont="1" applyBorder="1">
      <alignment vertical="center"/>
    </xf>
    <xf numFmtId="3" fontId="21" fillId="0" borderId="3" xfId="4" applyNumberFormat="1" applyFont="1" applyBorder="1">
      <alignment vertical="center"/>
    </xf>
    <xf numFmtId="0" fontId="12" fillId="0" borderId="14" xfId="4" applyFont="1" applyBorder="1" applyAlignment="1">
      <alignment horizontal="center" vertical="center" shrinkToFit="1"/>
    </xf>
    <xf numFmtId="0" fontId="12" fillId="0" borderId="17" xfId="4" applyFont="1" applyBorder="1" applyAlignment="1">
      <alignment vertical="center" shrinkToFit="1"/>
    </xf>
    <xf numFmtId="0" fontId="5" fillId="0" borderId="8" xfId="4" applyFont="1" applyBorder="1">
      <alignment vertical="center"/>
    </xf>
    <xf numFmtId="0" fontId="5" fillId="0" borderId="13" xfId="4" applyFont="1" applyBorder="1">
      <alignment vertical="center"/>
    </xf>
    <xf numFmtId="0" fontId="5" fillId="0" borderId="12" xfId="4" applyFont="1" applyBorder="1">
      <alignment vertical="center"/>
    </xf>
    <xf numFmtId="177" fontId="19" fillId="0" borderId="0" xfId="4" applyNumberFormat="1" applyFont="1" applyAlignment="1">
      <alignment vertical="top" wrapText="1"/>
    </xf>
    <xf numFmtId="177" fontId="19" fillId="0" borderId="13" xfId="4" applyNumberFormat="1" applyFont="1" applyBorder="1" applyAlignment="1">
      <alignment vertical="top" wrapText="1"/>
    </xf>
    <xf numFmtId="0" fontId="15" fillId="0" borderId="8" xfId="4" applyFont="1" applyBorder="1" applyAlignment="1">
      <alignment vertical="top" textRotation="255"/>
    </xf>
    <xf numFmtId="0" fontId="15" fillId="0" borderId="13" xfId="4" applyFont="1" applyBorder="1" applyAlignment="1">
      <alignment vertical="top" textRotation="255"/>
    </xf>
    <xf numFmtId="9" fontId="8" fillId="0" borderId="8" xfId="0" applyNumberFormat="1" applyFont="1" applyBorder="1" applyAlignment="1">
      <alignment horizontal="center" vertical="center"/>
    </xf>
    <xf numFmtId="9" fontId="8" fillId="0" borderId="13" xfId="0" applyNumberFormat="1" applyFont="1" applyBorder="1" applyAlignment="1">
      <alignment horizontal="center" vertical="center"/>
    </xf>
    <xf numFmtId="0" fontId="15" fillId="0" borderId="8" xfId="4" applyFont="1" applyBorder="1" applyAlignment="1">
      <alignment horizontal="right" vertical="center"/>
    </xf>
    <xf numFmtId="0" fontId="15" fillId="0" borderId="13" xfId="4" applyFont="1" applyBorder="1" applyAlignment="1">
      <alignment horizontal="right" vertical="center"/>
    </xf>
    <xf numFmtId="9" fontId="8" fillId="0" borderId="9" xfId="0" applyNumberFormat="1" applyFont="1" applyBorder="1" applyAlignment="1">
      <alignment horizontal="center" vertical="center"/>
    </xf>
    <xf numFmtId="9" fontId="8" fillId="0" borderId="17" xfId="0" applyNumberFormat="1" applyFont="1" applyBorder="1" applyAlignment="1">
      <alignment horizontal="center" vertical="center"/>
    </xf>
    <xf numFmtId="0" fontId="12" fillId="0" borderId="5" xfId="4" applyFont="1" applyBorder="1">
      <alignment vertical="center"/>
    </xf>
    <xf numFmtId="0" fontId="12" fillId="0" borderId="5" xfId="4" applyFont="1" applyBorder="1" applyAlignment="1">
      <alignment horizontal="center" vertical="center"/>
    </xf>
    <xf numFmtId="176" fontId="3" fillId="0" borderId="1" xfId="3" applyNumberFormat="1" applyFont="1" applyBorder="1">
      <alignment vertical="center"/>
    </xf>
    <xf numFmtId="9" fontId="3" fillId="0" borderId="1" xfId="3" applyNumberFormat="1" applyFont="1" applyBorder="1">
      <alignment vertical="center"/>
    </xf>
    <xf numFmtId="0" fontId="10" fillId="0" borderId="0" xfId="0" applyFont="1" applyAlignment="1">
      <alignment horizontal="left" vertical="center"/>
    </xf>
    <xf numFmtId="9" fontId="8" fillId="0" borderId="8" xfId="0" applyNumberFormat="1" applyFont="1" applyBorder="1">
      <alignment vertical="center"/>
    </xf>
    <xf numFmtId="0" fontId="8" fillId="0" borderId="13" xfId="0" applyFont="1" applyBorder="1" applyAlignment="1">
      <alignment horizontal="right" vertical="center"/>
    </xf>
    <xf numFmtId="9" fontId="8" fillId="0" borderId="9" xfId="0" applyNumberFormat="1" applyFont="1" applyBorder="1">
      <alignment vertical="center"/>
    </xf>
    <xf numFmtId="9" fontId="8" fillId="0" borderId="12" xfId="0" applyNumberFormat="1" applyFont="1" applyBorder="1">
      <alignment vertical="center"/>
    </xf>
    <xf numFmtId="0" fontId="13" fillId="0" borderId="0" xfId="0" applyFont="1" applyAlignment="1">
      <alignment horizontal="center" vertical="center"/>
    </xf>
    <xf numFmtId="9" fontId="7" fillId="0" borderId="8" xfId="0" applyNumberFormat="1" applyFont="1" applyBorder="1">
      <alignment vertical="center"/>
    </xf>
    <xf numFmtId="0" fontId="7" fillId="0" borderId="13" xfId="0" applyFont="1" applyBorder="1" applyAlignment="1">
      <alignment horizontal="right" vertical="center"/>
    </xf>
    <xf numFmtId="0" fontId="19" fillId="0" borderId="13" xfId="0" applyFont="1" applyBorder="1" applyAlignment="1">
      <alignment horizontal="right" vertical="center"/>
    </xf>
    <xf numFmtId="0" fontId="7" fillId="0" borderId="11" xfId="0" applyFont="1" applyBorder="1">
      <alignment vertical="center"/>
    </xf>
    <xf numFmtId="0" fontId="19" fillId="0" borderId="2" xfId="0" applyFont="1" applyBorder="1">
      <alignment vertical="center"/>
    </xf>
    <xf numFmtId="0" fontId="12" fillId="0" borderId="7" xfId="0" applyFont="1" applyBorder="1" applyAlignment="1">
      <alignment horizontal="centerContinuous" vertical="center"/>
    </xf>
    <xf numFmtId="0" fontId="8" fillId="0" borderId="10" xfId="0" applyFont="1" applyBorder="1">
      <alignment vertical="center"/>
    </xf>
    <xf numFmtId="0" fontId="8" fillId="0" borderId="6" xfId="0" applyFont="1" applyBorder="1">
      <alignment vertical="center"/>
    </xf>
    <xf numFmtId="0" fontId="8" fillId="0" borderId="4" xfId="0" applyFont="1" applyBorder="1">
      <alignment vertical="center"/>
    </xf>
    <xf numFmtId="9" fontId="19" fillId="0" borderId="8" xfId="0" applyNumberFormat="1" applyFont="1" applyBorder="1">
      <alignment vertical="center"/>
    </xf>
    <xf numFmtId="0" fontId="21" fillId="0" borderId="5" xfId="0" applyFont="1" applyBorder="1" applyAlignment="1">
      <alignment horizontal="center" vertical="center"/>
    </xf>
    <xf numFmtId="0" fontId="15" fillId="0" borderId="5" xfId="0" applyFont="1" applyBorder="1" applyAlignment="1">
      <alignment vertical="center" shrinkToFit="1"/>
    </xf>
    <xf numFmtId="0" fontId="13" fillId="0" borderId="5" xfId="0" applyFont="1" applyBorder="1">
      <alignment vertical="center"/>
    </xf>
    <xf numFmtId="0" fontId="15" fillId="0" borderId="5" xfId="0" applyFont="1" applyBorder="1" applyAlignment="1">
      <alignment horizontal="center" vertical="center"/>
    </xf>
    <xf numFmtId="9" fontId="12" fillId="0" borderId="12" xfId="0" applyNumberFormat="1" applyFont="1" applyBorder="1" applyAlignment="1">
      <alignment horizontal="centerContinuous" vertical="center"/>
    </xf>
    <xf numFmtId="0" fontId="12" fillId="0" borderId="14" xfId="0" applyFont="1" applyBorder="1" applyAlignment="1">
      <alignment horizontal="centerContinuous" vertical="center"/>
    </xf>
    <xf numFmtId="0" fontId="5" fillId="0" borderId="0" xfId="4" applyFont="1" applyAlignment="1">
      <alignment horizontal="right" vertical="center"/>
    </xf>
    <xf numFmtId="0" fontId="15" fillId="0" borderId="8" xfId="4" applyFont="1" applyBorder="1" applyAlignment="1">
      <alignment horizontal="left" vertical="center"/>
    </xf>
    <xf numFmtId="3" fontId="21" fillId="0" borderId="6" xfId="4" applyNumberFormat="1" applyFont="1" applyBorder="1">
      <alignment vertical="center"/>
    </xf>
    <xf numFmtId="9" fontId="15" fillId="0" borderId="11" xfId="4" applyNumberFormat="1" applyFont="1" applyBorder="1">
      <alignment vertical="center"/>
    </xf>
    <xf numFmtId="0" fontId="15" fillId="2" borderId="7" xfId="4" applyFont="1" applyFill="1" applyBorder="1" applyAlignment="1">
      <alignment horizontal="right" vertical="center"/>
    </xf>
    <xf numFmtId="9" fontId="15" fillId="2" borderId="11" xfId="4" applyNumberFormat="1" applyFont="1" applyFill="1" applyBorder="1">
      <alignment vertical="center"/>
    </xf>
    <xf numFmtId="0" fontId="15" fillId="4" borderId="2" xfId="4" applyFont="1" applyFill="1" applyBorder="1">
      <alignment vertical="center"/>
    </xf>
    <xf numFmtId="0" fontId="15" fillId="4" borderId="7" xfId="4" applyFont="1" applyFill="1" applyBorder="1" applyAlignment="1">
      <alignment horizontal="center" vertical="center"/>
    </xf>
    <xf numFmtId="0" fontId="12" fillId="4" borderId="11" xfId="4" applyFont="1" applyFill="1" applyBorder="1" applyAlignment="1">
      <alignment horizontal="right" vertical="center"/>
    </xf>
    <xf numFmtId="0" fontId="15" fillId="4" borderId="11" xfId="4" applyFont="1" applyFill="1" applyBorder="1" applyAlignment="1">
      <alignment horizontal="right" vertical="center"/>
    </xf>
    <xf numFmtId="177" fontId="12" fillId="4" borderId="11" xfId="4" applyNumberFormat="1" applyFont="1" applyFill="1" applyBorder="1" applyAlignment="1">
      <alignment horizontal="right" vertical="center"/>
    </xf>
    <xf numFmtId="3" fontId="12" fillId="4" borderId="11" xfId="4" applyNumberFormat="1" applyFont="1" applyFill="1" applyBorder="1">
      <alignment vertical="center"/>
    </xf>
    <xf numFmtId="176" fontId="15" fillId="0" borderId="0" xfId="4" applyNumberFormat="1" applyFont="1">
      <alignment vertical="center"/>
    </xf>
    <xf numFmtId="0" fontId="25" fillId="0" borderId="2" xfId="4" applyFont="1" applyBorder="1">
      <alignment vertical="center"/>
    </xf>
    <xf numFmtId="0" fontId="15" fillId="0" borderId="12" xfId="4" applyFont="1" applyBorder="1">
      <alignment vertical="center"/>
    </xf>
    <xf numFmtId="0" fontId="15" fillId="0" borderId="0" xfId="4" applyFont="1" applyAlignment="1">
      <alignment horizontal="right" vertical="center"/>
    </xf>
    <xf numFmtId="176" fontId="15" fillId="0" borderId="5" xfId="4" applyNumberFormat="1" applyFont="1" applyBorder="1">
      <alignment vertical="center"/>
    </xf>
    <xf numFmtId="0" fontId="25" fillId="0" borderId="12" xfId="4" applyFont="1" applyBorder="1">
      <alignment vertical="center"/>
    </xf>
    <xf numFmtId="0" fontId="15" fillId="2" borderId="1" xfId="4" applyFont="1" applyFill="1" applyBorder="1" applyAlignment="1">
      <alignment horizontal="center" vertical="center" shrinkToFit="1"/>
    </xf>
    <xf numFmtId="0" fontId="15" fillId="0" borderId="12" xfId="4" applyFont="1" applyBorder="1" applyAlignment="1">
      <alignment vertical="top"/>
    </xf>
    <xf numFmtId="0" fontId="15" fillId="0" borderId="5" xfId="4" applyFont="1" applyBorder="1" applyAlignment="1">
      <alignment vertical="top"/>
    </xf>
    <xf numFmtId="0" fontId="15" fillId="0" borderId="14" xfId="4" applyFont="1" applyBorder="1" applyAlignment="1">
      <alignment vertical="top"/>
    </xf>
    <xf numFmtId="0" fontId="15" fillId="0" borderId="8" xfId="4" applyFont="1" applyBorder="1" applyAlignment="1">
      <alignment vertical="top"/>
    </xf>
    <xf numFmtId="0" fontId="15" fillId="0" borderId="0" xfId="4" applyFont="1" applyAlignment="1">
      <alignment vertical="top"/>
    </xf>
    <xf numFmtId="0" fontId="15" fillId="0" borderId="13" xfId="4" applyFont="1" applyBorder="1" applyAlignment="1">
      <alignment vertical="top"/>
    </xf>
    <xf numFmtId="0" fontId="15" fillId="2" borderId="2" xfId="4" applyFont="1" applyFill="1" applyBorder="1" applyAlignment="1">
      <alignment vertical="center" shrinkToFit="1"/>
    </xf>
    <xf numFmtId="0" fontId="15" fillId="0" borderId="9" xfId="4" applyFont="1" applyBorder="1" applyAlignment="1">
      <alignment vertical="top"/>
    </xf>
    <xf numFmtId="0" fontId="15" fillId="0" borderId="7" xfId="4" applyFont="1" applyBorder="1" applyAlignment="1">
      <alignment vertical="top"/>
    </xf>
    <xf numFmtId="0" fontId="15" fillId="0" borderId="17" xfId="4" applyFont="1" applyBorder="1" applyAlignment="1">
      <alignment vertical="top"/>
    </xf>
    <xf numFmtId="0" fontId="15" fillId="2" borderId="9" xfId="4" applyFont="1" applyFill="1" applyBorder="1">
      <alignment vertical="center"/>
    </xf>
    <xf numFmtId="0" fontId="5" fillId="2" borderId="7" xfId="4" applyFont="1" applyFill="1" applyBorder="1">
      <alignment vertical="center"/>
    </xf>
    <xf numFmtId="0" fontId="15" fillId="4" borderId="9" xfId="4" applyFont="1" applyFill="1" applyBorder="1" applyAlignment="1">
      <alignment horizontal="left" vertical="center"/>
    </xf>
    <xf numFmtId="0" fontId="12" fillId="0" borderId="14" xfId="4" applyFont="1" applyBorder="1">
      <alignment vertical="center"/>
    </xf>
    <xf numFmtId="0" fontId="12" fillId="0" borderId="0" xfId="4" applyFont="1" applyAlignment="1">
      <alignment horizontal="right" vertical="center"/>
    </xf>
    <xf numFmtId="0" fontId="15" fillId="0" borderId="2" xfId="4" applyFont="1" applyBorder="1" applyAlignment="1">
      <alignment vertical="top" wrapText="1"/>
    </xf>
    <xf numFmtId="0" fontId="15" fillId="0" borderId="11" xfId="4" applyFont="1" applyBorder="1" applyAlignment="1">
      <alignment vertical="top" wrapText="1"/>
    </xf>
    <xf numFmtId="0" fontId="12" fillId="0" borderId="5" xfId="4" applyFont="1" applyBorder="1" applyAlignment="1">
      <alignment horizontal="right" vertical="center"/>
    </xf>
    <xf numFmtId="0" fontId="25" fillId="0" borderId="8" xfId="4" applyFont="1" applyBorder="1" applyAlignment="1">
      <alignment vertical="top" wrapText="1"/>
    </xf>
    <xf numFmtId="0" fontId="25" fillId="0" borderId="0" xfId="4" applyFont="1" applyAlignment="1">
      <alignment vertical="top" wrapText="1"/>
    </xf>
    <xf numFmtId="0" fontId="25" fillId="0" borderId="13" xfId="4" applyFont="1" applyBorder="1" applyAlignment="1">
      <alignment vertical="top" wrapText="1"/>
    </xf>
    <xf numFmtId="0" fontId="15" fillId="0" borderId="8" xfId="4" applyFont="1" applyBorder="1" applyAlignment="1">
      <alignment horizontal="center" vertical="top" textRotation="255"/>
    </xf>
    <xf numFmtId="0" fontId="15" fillId="0" borderId="13" xfId="4" applyFont="1" applyBorder="1" applyAlignment="1">
      <alignment horizontal="center" vertical="top" textRotation="255"/>
    </xf>
    <xf numFmtId="0" fontId="15" fillId="0" borderId="5" xfId="4" applyFont="1" applyBorder="1" applyAlignment="1">
      <alignment vertical="top" wrapText="1"/>
    </xf>
    <xf numFmtId="0" fontId="25" fillId="0" borderId="8" xfId="4" applyFont="1" applyBorder="1">
      <alignment vertical="center"/>
    </xf>
    <xf numFmtId="0" fontId="25" fillId="0" borderId="9" xfId="4" applyFont="1" applyBorder="1">
      <alignment vertical="center"/>
    </xf>
    <xf numFmtId="0" fontId="5" fillId="0" borderId="17" xfId="4" applyFont="1" applyBorder="1">
      <alignment vertical="center"/>
    </xf>
    <xf numFmtId="3" fontId="21" fillId="0" borderId="12" xfId="4" applyNumberFormat="1" applyFont="1" applyBorder="1">
      <alignment vertical="center"/>
    </xf>
    <xf numFmtId="0" fontId="21" fillId="0" borderId="4" xfId="4" applyFont="1" applyBorder="1" applyAlignment="1">
      <alignment horizontal="center" vertical="center"/>
    </xf>
    <xf numFmtId="0" fontId="21" fillId="0" borderId="14" xfId="4" applyFont="1" applyBorder="1" applyAlignment="1">
      <alignment horizontal="center" vertical="center"/>
    </xf>
    <xf numFmtId="0" fontId="15" fillId="0" borderId="4" xfId="4" applyFont="1" applyBorder="1" applyAlignment="1">
      <alignment vertical="center" shrinkToFit="1"/>
    </xf>
    <xf numFmtId="0" fontId="15" fillId="2" borderId="11" xfId="4" applyFont="1" applyFill="1" applyBorder="1" applyAlignment="1">
      <alignment vertical="center" textRotation="255"/>
    </xf>
    <xf numFmtId="0" fontId="15" fillId="0" borderId="11" xfId="4" applyFont="1" applyBorder="1" applyAlignment="1">
      <alignment vertical="center" textRotation="255"/>
    </xf>
    <xf numFmtId="177" fontId="12" fillId="0" borderId="17" xfId="4" applyNumberFormat="1" applyFont="1" applyBorder="1" applyAlignment="1">
      <alignment horizontal="right" vertical="center"/>
    </xf>
    <xf numFmtId="0" fontId="15" fillId="0" borderId="13" xfId="4" applyFont="1" applyBorder="1" applyAlignment="1">
      <alignment horizontal="center" vertical="center"/>
    </xf>
    <xf numFmtId="0" fontId="25" fillId="0" borderId="11" xfId="4" applyFont="1" applyBorder="1">
      <alignment vertical="center"/>
    </xf>
    <xf numFmtId="177" fontId="12" fillId="0" borderId="3" xfId="4" applyNumberFormat="1" applyFont="1" applyBorder="1" applyAlignment="1">
      <alignment horizontal="right" vertical="center"/>
    </xf>
    <xf numFmtId="0" fontId="25" fillId="0" borderId="5" xfId="4" applyFont="1" applyBorder="1">
      <alignment vertical="center"/>
    </xf>
    <xf numFmtId="177" fontId="12" fillId="0" borderId="5" xfId="4" applyNumberFormat="1" applyFont="1" applyBorder="1" applyAlignment="1">
      <alignment horizontal="right" vertical="center"/>
    </xf>
    <xf numFmtId="9" fontId="12" fillId="0" borderId="5" xfId="4" applyNumberFormat="1" applyFont="1" applyBorder="1" applyAlignment="1">
      <alignment horizontal="right" vertical="center"/>
    </xf>
    <xf numFmtId="0" fontId="15" fillId="0" borderId="14" xfId="4" applyFont="1" applyBorder="1" applyAlignment="1">
      <alignment vertical="top" wrapText="1"/>
    </xf>
    <xf numFmtId="3" fontId="15" fillId="0" borderId="11" xfId="4" applyNumberFormat="1" applyFont="1" applyBorder="1">
      <alignment vertical="center"/>
    </xf>
    <xf numFmtId="3" fontId="15" fillId="2" borderId="11" xfId="4" applyNumberFormat="1" applyFont="1" applyFill="1" applyBorder="1">
      <alignment vertical="center"/>
    </xf>
    <xf numFmtId="0" fontId="15" fillId="2" borderId="11" xfId="4" applyFont="1" applyFill="1" applyBorder="1" applyAlignment="1">
      <alignment horizontal="left" vertical="center"/>
    </xf>
    <xf numFmtId="0" fontId="15" fillId="4" borderId="11" xfId="4" applyFont="1" applyFill="1" applyBorder="1" applyAlignment="1">
      <alignment vertical="center" textRotation="255"/>
    </xf>
    <xf numFmtId="0" fontId="15" fillId="4" borderId="7" xfId="4" applyFont="1" applyFill="1" applyBorder="1">
      <alignment vertical="center"/>
    </xf>
    <xf numFmtId="0" fontId="5" fillId="0" borderId="9" xfId="4" applyFont="1" applyBorder="1">
      <alignment vertical="center"/>
    </xf>
    <xf numFmtId="0" fontId="15" fillId="0" borderId="3" xfId="4" applyFont="1" applyBorder="1" applyAlignment="1">
      <alignment vertical="top" wrapText="1"/>
    </xf>
    <xf numFmtId="0" fontId="15" fillId="0" borderId="0" xfId="4" applyFont="1" applyAlignment="1">
      <alignment vertical="top" textRotation="255" wrapText="1"/>
    </xf>
    <xf numFmtId="0" fontId="5" fillId="0" borderId="2" xfId="4" applyFont="1" applyBorder="1">
      <alignment vertical="center"/>
    </xf>
    <xf numFmtId="0" fontId="15" fillId="0" borderId="13" xfId="4" applyFont="1" applyBorder="1" applyAlignment="1">
      <alignment vertical="top" textRotation="255" wrapText="1"/>
    </xf>
    <xf numFmtId="0" fontId="15" fillId="0" borderId="5" xfId="4" applyFont="1" applyBorder="1" applyAlignment="1">
      <alignment horizontal="left" vertical="top" wrapText="1"/>
    </xf>
    <xf numFmtId="0" fontId="15" fillId="0" borderId="8" xfId="4" applyFont="1" applyBorder="1" applyAlignment="1">
      <alignment vertical="top" textRotation="255" wrapText="1"/>
    </xf>
    <xf numFmtId="0" fontId="15" fillId="0" borderId="8" xfId="4" applyFont="1" applyBorder="1" applyAlignment="1">
      <alignment horizontal="center" vertical="top" textRotation="255" wrapText="1"/>
    </xf>
    <xf numFmtId="0" fontId="15" fillId="0" borderId="0" xfId="4" applyFont="1" applyAlignment="1">
      <alignment horizontal="center" vertical="top" textRotation="255" wrapText="1"/>
    </xf>
    <xf numFmtId="9" fontId="12" fillId="0" borderId="13" xfId="4" applyNumberFormat="1" applyFont="1" applyBorder="1">
      <alignment vertical="center"/>
    </xf>
    <xf numFmtId="0" fontId="15" fillId="0" borderId="0" xfId="4" applyFont="1" applyAlignment="1">
      <alignment horizontal="left" vertical="center"/>
    </xf>
    <xf numFmtId="0" fontId="12" fillId="0" borderId="8" xfId="4" applyFont="1" applyBorder="1" applyAlignment="1">
      <alignment horizontal="right" vertical="center"/>
    </xf>
    <xf numFmtId="0" fontId="12" fillId="0" borderId="13" xfId="4" applyFont="1" applyBorder="1" applyAlignment="1">
      <alignment horizontal="right" vertical="center"/>
    </xf>
    <xf numFmtId="0" fontId="12" fillId="0" borderId="14" xfId="4" applyFont="1" applyBorder="1" applyAlignment="1">
      <alignment horizontal="right" vertical="center"/>
    </xf>
    <xf numFmtId="0" fontId="15" fillId="0" borderId="13" xfId="4" applyFont="1" applyBorder="1" applyAlignment="1">
      <alignment horizontal="center" vertical="top" textRotation="255" wrapText="1"/>
    </xf>
    <xf numFmtId="0" fontId="15" fillId="0" borderId="8" xfId="4" applyFont="1" applyBorder="1" applyAlignment="1">
      <alignment vertical="center" wrapText="1"/>
    </xf>
    <xf numFmtId="0" fontId="15" fillId="0" borderId="0" xfId="4" applyFont="1" applyAlignment="1">
      <alignment vertical="center" wrapText="1"/>
    </xf>
    <xf numFmtId="0" fontId="15" fillId="0" borderId="13" xfId="4" applyFont="1" applyBorder="1" applyAlignment="1">
      <alignment vertical="center" wrapText="1"/>
    </xf>
    <xf numFmtId="3" fontId="21" fillId="0" borderId="0" xfId="4" applyNumberFormat="1" applyFont="1">
      <alignment vertical="center"/>
    </xf>
    <xf numFmtId="0" fontId="15" fillId="0" borderId="0" xfId="4" applyFont="1" applyAlignment="1">
      <alignment vertical="center" textRotation="255"/>
    </xf>
    <xf numFmtId="0" fontId="5" fillId="0" borderId="0" xfId="4" applyFont="1" applyAlignment="1">
      <alignment vertical="top" wrapText="1"/>
    </xf>
    <xf numFmtId="0" fontId="5" fillId="0" borderId="13" xfId="4" applyFont="1" applyBorder="1" applyAlignment="1">
      <alignment vertical="top" wrapText="1"/>
    </xf>
    <xf numFmtId="0" fontId="15" fillId="0" borderId="13" xfId="4" applyFont="1" applyBorder="1" applyAlignment="1">
      <alignment vertical="center" textRotation="255"/>
    </xf>
    <xf numFmtId="0" fontId="12" fillId="0" borderId="8" xfId="4" applyFont="1" applyBorder="1" applyAlignment="1">
      <alignment vertical="top" wrapText="1"/>
    </xf>
    <xf numFmtId="0" fontId="12" fillId="0" borderId="9" xfId="4" applyFont="1" applyBorder="1" applyAlignment="1">
      <alignment vertical="top" wrapText="1"/>
    </xf>
    <xf numFmtId="0" fontId="5" fillId="0" borderId="7" xfId="4" applyFont="1" applyBorder="1" applyAlignment="1">
      <alignment vertical="top" wrapText="1"/>
    </xf>
    <xf numFmtId="0" fontId="5" fillId="0" borderId="17" xfId="4" applyFont="1" applyBorder="1" applyAlignment="1">
      <alignment vertical="top" wrapText="1"/>
    </xf>
    <xf numFmtId="0" fontId="15" fillId="0" borderId="13" xfId="4" applyFont="1" applyBorder="1" applyAlignment="1">
      <alignment horizontal="left" vertical="center"/>
    </xf>
    <xf numFmtId="0" fontId="15" fillId="0" borderId="5" xfId="4" applyFont="1" applyBorder="1" applyAlignment="1">
      <alignment horizontal="right" vertical="center" shrinkToFit="1"/>
    </xf>
    <xf numFmtId="0" fontId="3" fillId="0" borderId="9" xfId="0" applyFont="1" applyBorder="1" applyAlignment="1">
      <alignment vertical="center" wrapText="1"/>
    </xf>
    <xf numFmtId="0" fontId="3" fillId="0" borderId="7" xfId="0" applyFont="1" applyBorder="1" applyAlignment="1">
      <alignment vertical="center" wrapText="1"/>
    </xf>
    <xf numFmtId="0" fontId="3" fillId="0" borderId="17" xfId="0" applyFont="1" applyBorder="1" applyAlignment="1">
      <alignment vertical="center" wrapText="1"/>
    </xf>
    <xf numFmtId="177" fontId="15" fillId="0" borderId="0" xfId="4" applyNumberFormat="1" applyFont="1" applyAlignment="1">
      <alignment horizontal="right" vertical="center"/>
    </xf>
    <xf numFmtId="0" fontId="3" fillId="0" borderId="8" xfId="0" applyFont="1" applyBorder="1">
      <alignment vertical="center"/>
    </xf>
    <xf numFmtId="0" fontId="15" fillId="0" borderId="0" xfId="4" applyFont="1" applyAlignment="1">
      <alignment vertical="top" textRotation="255"/>
    </xf>
    <xf numFmtId="177" fontId="12" fillId="0" borderId="8" xfId="4" applyNumberFormat="1" applyFont="1" applyBorder="1" applyAlignment="1">
      <alignment horizontal="right" vertical="center"/>
    </xf>
    <xf numFmtId="0" fontId="12" fillId="0" borderId="3" xfId="4" applyFont="1" applyBorder="1" applyAlignment="1">
      <alignment horizontal="right" vertical="center"/>
    </xf>
    <xf numFmtId="0" fontId="5" fillId="0" borderId="3" xfId="4" applyFont="1" applyBorder="1">
      <alignment vertical="center"/>
    </xf>
    <xf numFmtId="0" fontId="15" fillId="0" borderId="2" xfId="4" applyFont="1" applyBorder="1" applyAlignment="1">
      <alignment vertical="top"/>
    </xf>
    <xf numFmtId="0" fontId="15" fillId="0" borderId="11" xfId="4" applyFont="1" applyBorder="1" applyAlignment="1">
      <alignment vertical="top"/>
    </xf>
    <xf numFmtId="177" fontId="12" fillId="0" borderId="9" xfId="4" applyNumberFormat="1" applyFont="1" applyBorder="1" applyAlignment="1">
      <alignment horizontal="right" vertical="center"/>
    </xf>
    <xf numFmtId="0" fontId="3" fillId="0" borderId="8" xfId="0" applyFont="1" applyBorder="1" applyAlignment="1">
      <alignment vertical="center" wrapText="1"/>
    </xf>
    <xf numFmtId="0" fontId="19" fillId="0" borderId="0" xfId="0" applyFont="1" applyAlignment="1">
      <alignment vertical="top" wrapText="1"/>
    </xf>
    <xf numFmtId="0" fontId="5" fillId="0" borderId="9" xfId="4" applyFont="1" applyBorder="1" applyAlignment="1">
      <alignment horizontal="right" vertical="center"/>
    </xf>
    <xf numFmtId="0" fontId="3" fillId="0" borderId="0" xfId="0" applyFont="1" applyAlignment="1">
      <alignment vertical="center" wrapText="1"/>
    </xf>
    <xf numFmtId="0" fontId="24" fillId="0" borderId="0" xfId="4" applyAlignment="1"/>
    <xf numFmtId="49" fontId="24" fillId="0" borderId="0" xfId="4" applyNumberFormat="1" applyAlignment="1">
      <alignment horizontal="right"/>
    </xf>
    <xf numFmtId="0" fontId="21" fillId="0" borderId="0" xfId="4" applyFont="1" applyAlignment="1"/>
    <xf numFmtId="49" fontId="32" fillId="0" borderId="0" xfId="4" applyNumberFormat="1" applyFont="1" applyAlignment="1">
      <alignment horizontal="center" vertical="center"/>
    </xf>
    <xf numFmtId="0" fontId="12" fillId="0" borderId="0" xfId="4" applyFont="1" applyAlignment="1"/>
    <xf numFmtId="0" fontId="34" fillId="0" borderId="0" xfId="4" applyFont="1" applyAlignment="1"/>
    <xf numFmtId="49" fontId="5" fillId="0" borderId="0" xfId="4" applyNumberFormat="1" applyFont="1" applyAlignment="1">
      <alignment horizontal="right"/>
    </xf>
    <xf numFmtId="49" fontId="24" fillId="0" borderId="0" xfId="4" applyNumberFormat="1" applyAlignment="1"/>
    <xf numFmtId="38" fontId="5" fillId="0" borderId="0" xfId="5" quotePrefix="1" applyFont="1" applyFill="1" applyBorder="1" applyAlignment="1">
      <alignment horizontal="right"/>
    </xf>
    <xf numFmtId="49" fontId="12" fillId="0" borderId="0" xfId="4" applyNumberFormat="1" applyFont="1" applyAlignment="1">
      <alignment horizontal="right" vertical="center"/>
    </xf>
    <xf numFmtId="0" fontId="24" fillId="0" borderId="0" xfId="4">
      <alignment vertical="center"/>
    </xf>
    <xf numFmtId="49" fontId="12" fillId="0" borderId="0" xfId="4" applyNumberFormat="1" applyFont="1" applyAlignment="1">
      <alignment horizontal="left" vertical="center"/>
    </xf>
    <xf numFmtId="0" fontId="35" fillId="0" borderId="0" xfId="4" applyFont="1">
      <alignment vertical="center"/>
    </xf>
    <xf numFmtId="0" fontId="35" fillId="0" borderId="0" xfId="4" applyFont="1" applyAlignment="1"/>
    <xf numFmtId="49" fontId="5" fillId="0" borderId="0" xfId="4" applyNumberFormat="1" applyFont="1" applyAlignment="1">
      <alignment horizontal="right" vertical="center"/>
    </xf>
    <xf numFmtId="49" fontId="25" fillId="0" borderId="0" xfId="4" applyNumberFormat="1" applyFont="1">
      <alignment vertical="center"/>
    </xf>
    <xf numFmtId="0" fontId="25" fillId="0" borderId="0" xfId="4" applyFont="1" applyAlignment="1">
      <alignment horizontal="center" vertical="center"/>
    </xf>
    <xf numFmtId="0" fontId="12" fillId="0" borderId="0" xfId="4" applyFont="1" applyAlignment="1">
      <alignment horizontal="center" vertical="center"/>
    </xf>
    <xf numFmtId="0" fontId="22" fillId="0" borderId="0" xfId="4" applyFont="1" applyAlignment="1"/>
    <xf numFmtId="49" fontId="24" fillId="0" borderId="42" xfId="4" applyNumberFormat="1" applyBorder="1" applyAlignment="1">
      <alignment horizontal="center" vertical="center"/>
    </xf>
    <xf numFmtId="0" fontId="24" fillId="0" borderId="43" xfId="4" applyBorder="1" applyAlignment="1"/>
    <xf numFmtId="0" fontId="24" fillId="0" borderId="42" xfId="4" applyBorder="1" applyAlignment="1"/>
    <xf numFmtId="0" fontId="24" fillId="0" borderId="44" xfId="4" applyBorder="1" applyAlignment="1"/>
    <xf numFmtId="0" fontId="24" fillId="0" borderId="0" xfId="4" applyAlignment="1">
      <alignment vertical="center" wrapText="1"/>
    </xf>
    <xf numFmtId="49" fontId="34" fillId="0" borderId="2" xfId="4" applyNumberFormat="1" applyFont="1" applyBorder="1">
      <alignment vertical="center"/>
    </xf>
    <xf numFmtId="49" fontId="34" fillId="0" borderId="11" xfId="4" applyNumberFormat="1" applyFont="1" applyBorder="1">
      <alignment vertical="center"/>
    </xf>
    <xf numFmtId="0" fontId="34" fillId="0" borderId="11" xfId="4" applyFont="1" applyBorder="1">
      <alignment vertical="center"/>
    </xf>
    <xf numFmtId="0" fontId="34" fillId="0" borderId="3" xfId="4" applyFont="1" applyBorder="1">
      <alignment vertical="center"/>
    </xf>
    <xf numFmtId="49" fontId="24" fillId="0" borderId="2" xfId="4" applyNumberFormat="1" applyBorder="1">
      <alignment vertical="center"/>
    </xf>
    <xf numFmtId="49" fontId="24" fillId="0" borderId="11" xfId="4" applyNumberFormat="1" applyBorder="1">
      <alignment vertical="center"/>
    </xf>
    <xf numFmtId="0" fontId="24" fillId="0" borderId="11" xfId="4" applyBorder="1">
      <alignment vertical="center"/>
    </xf>
    <xf numFmtId="0" fontId="24" fillId="0" borderId="3" xfId="4" applyBorder="1">
      <alignment vertical="center"/>
    </xf>
    <xf numFmtId="0" fontId="24" fillId="0" borderId="2" xfId="4" applyBorder="1" applyAlignment="1"/>
    <xf numFmtId="0" fontId="24" fillId="0" borderId="0" xfId="4" applyAlignment="1">
      <alignment horizontal="right"/>
    </xf>
    <xf numFmtId="0" fontId="5" fillId="4" borderId="0" xfId="4" applyFont="1" applyFill="1" applyAlignment="1">
      <alignment horizontal="center"/>
    </xf>
    <xf numFmtId="0" fontId="24" fillId="2" borderId="0" xfId="4" applyFill="1" applyAlignment="1">
      <alignment horizontal="center"/>
    </xf>
    <xf numFmtId="0" fontId="32" fillId="0" borderId="12" xfId="4" applyFont="1" applyBorder="1" applyAlignment="1">
      <alignment horizontal="center" vertical="center" wrapText="1"/>
    </xf>
    <xf numFmtId="0" fontId="32" fillId="0" borderId="5" xfId="4" applyFont="1" applyBorder="1" applyAlignment="1">
      <alignment horizontal="center" vertical="center" wrapText="1"/>
    </xf>
    <xf numFmtId="0" fontId="32" fillId="0" borderId="14" xfId="4" applyFont="1" applyBorder="1" applyAlignment="1">
      <alignment horizontal="center" vertical="center" wrapText="1"/>
    </xf>
    <xf numFmtId="0" fontId="32" fillId="0" borderId="8" xfId="4" applyFont="1" applyBorder="1" applyAlignment="1">
      <alignment horizontal="center" vertical="center" wrapText="1"/>
    </xf>
    <xf numFmtId="0" fontId="32" fillId="0" borderId="0" xfId="4" applyFont="1" applyAlignment="1">
      <alignment horizontal="center" vertical="center" wrapText="1"/>
    </xf>
    <xf numFmtId="0" fontId="32" fillId="0" borderId="13" xfId="4" applyFont="1" applyBorder="1" applyAlignment="1">
      <alignment horizontal="center" vertical="center" wrapText="1"/>
    </xf>
    <xf numFmtId="0" fontId="32" fillId="0" borderId="9" xfId="4" applyFont="1" applyBorder="1" applyAlignment="1">
      <alignment horizontal="center" vertical="center" wrapText="1"/>
    </xf>
    <xf numFmtId="0" fontId="32" fillId="0" borderId="7" xfId="4" applyFont="1" applyBorder="1" applyAlignment="1">
      <alignment horizontal="center" vertical="center" wrapText="1"/>
    </xf>
    <xf numFmtId="0" fontId="32" fillId="0" borderId="17" xfId="4" applyFont="1" applyBorder="1" applyAlignment="1">
      <alignment horizontal="center" vertical="center" wrapText="1"/>
    </xf>
    <xf numFmtId="49" fontId="24" fillId="0" borderId="1" xfId="4" applyNumberFormat="1" applyBorder="1" applyAlignment="1">
      <alignment horizontal="center" vertical="center"/>
    </xf>
    <xf numFmtId="0" fontId="24" fillId="6" borderId="2" xfId="4" applyFill="1" applyBorder="1" applyAlignment="1">
      <alignment vertical="center" wrapText="1"/>
    </xf>
    <xf numFmtId="0" fontId="24" fillId="6" borderId="11" xfId="4" applyFill="1" applyBorder="1" applyAlignment="1">
      <alignment vertical="center" wrapText="1"/>
    </xf>
    <xf numFmtId="0" fontId="24" fillId="6" borderId="3" xfId="4" applyFill="1" applyBorder="1" applyAlignment="1">
      <alignment vertical="center" wrapText="1"/>
    </xf>
    <xf numFmtId="0" fontId="24" fillId="6" borderId="1" xfId="4" applyFill="1" applyBorder="1" applyAlignment="1">
      <alignment horizontal="center" vertical="center" wrapText="1"/>
    </xf>
    <xf numFmtId="49" fontId="34" fillId="0" borderId="1" xfId="4" applyNumberFormat="1" applyFont="1" applyBorder="1" applyAlignment="1">
      <alignment horizontal="center" vertical="center"/>
    </xf>
    <xf numFmtId="0" fontId="24" fillId="0" borderId="12" xfId="4" applyBorder="1" applyAlignment="1">
      <alignment horizontal="center" vertical="center" wrapText="1"/>
    </xf>
    <xf numFmtId="0" fontId="24" fillId="0" borderId="14" xfId="4" applyBorder="1" applyAlignment="1">
      <alignment horizontal="center" vertical="center" wrapText="1"/>
    </xf>
    <xf numFmtId="0" fontId="24" fillId="0" borderId="8" xfId="4" applyBorder="1" applyAlignment="1">
      <alignment horizontal="center" vertical="center" wrapText="1"/>
    </xf>
    <xf numFmtId="0" fontId="24" fillId="0" borderId="13" xfId="4" applyBorder="1" applyAlignment="1">
      <alignment horizontal="center" vertical="center" wrapText="1"/>
    </xf>
    <xf numFmtId="0" fontId="24" fillId="0" borderId="9" xfId="4" applyBorder="1" applyAlignment="1">
      <alignment horizontal="center" vertical="center" wrapText="1"/>
    </xf>
    <xf numFmtId="0" fontId="24" fillId="0" borderId="17" xfId="4" applyBorder="1" applyAlignment="1">
      <alignment horizontal="center" vertical="center" wrapText="1"/>
    </xf>
    <xf numFmtId="49" fontId="24" fillId="0" borderId="2" xfId="4" applyNumberFormat="1" applyBorder="1" applyAlignment="1">
      <alignment horizontal="center" vertical="center"/>
    </xf>
    <xf numFmtId="49" fontId="34" fillId="0" borderId="3" xfId="4" applyNumberFormat="1" applyFont="1" applyBorder="1" applyAlignment="1">
      <alignment horizontal="center" vertical="center"/>
    </xf>
    <xf numFmtId="49" fontId="24" fillId="0" borderId="3" xfId="4" applyNumberFormat="1" applyBorder="1" applyAlignment="1">
      <alignment horizontal="center" vertical="center"/>
    </xf>
    <xf numFmtId="0" fontId="15" fillId="0" borderId="8" xfId="0" applyFont="1" applyBorder="1" applyAlignment="1">
      <alignment horizontal="left" vertical="top" wrapText="1"/>
    </xf>
    <xf numFmtId="0" fontId="7" fillId="0" borderId="0" xfId="0" applyFont="1" applyAlignment="1">
      <alignment horizontal="left" vertical="top" wrapText="1"/>
    </xf>
    <xf numFmtId="0" fontId="16" fillId="0" borderId="12" xfId="0" applyFont="1" applyBorder="1" applyAlignment="1">
      <alignment horizontal="left" vertical="top" wrapText="1"/>
    </xf>
    <xf numFmtId="0" fontId="17" fillId="0" borderId="9" xfId="0" applyFont="1" applyBorder="1" applyAlignment="1">
      <alignment horizontal="left" vertical="top" wrapText="1"/>
    </xf>
    <xf numFmtId="0" fontId="7" fillId="0" borderId="12" xfId="0" applyFont="1" applyBorder="1" applyAlignment="1">
      <alignment horizontal="left" vertical="top" wrapText="1"/>
    </xf>
    <xf numFmtId="0" fontId="7" fillId="0" borderId="5" xfId="0" applyFont="1" applyBorder="1" applyAlignment="1">
      <alignment horizontal="left" vertical="top" wrapText="1"/>
    </xf>
    <xf numFmtId="0" fontId="7" fillId="0" borderId="8" xfId="0" applyFont="1" applyBorder="1" applyAlignment="1">
      <alignment horizontal="left" vertical="top" wrapText="1"/>
    </xf>
    <xf numFmtId="0" fontId="18" fillId="0" borderId="12" xfId="0" applyFont="1" applyBorder="1" applyAlignment="1">
      <alignment horizontal="left" vertical="top" wrapText="1"/>
    </xf>
    <xf numFmtId="0" fontId="19" fillId="0" borderId="9" xfId="0" applyFont="1" applyBorder="1" applyAlignment="1">
      <alignment horizontal="left" vertical="top" wrapText="1"/>
    </xf>
    <xf numFmtId="0" fontId="15" fillId="0" borderId="12" xfId="0" applyFont="1" applyBorder="1" applyAlignment="1">
      <alignment horizontal="left" vertical="top" wrapText="1"/>
    </xf>
    <xf numFmtId="0" fontId="15" fillId="0" borderId="12" xfId="0" applyFont="1" applyBorder="1" applyAlignment="1">
      <alignment vertical="top" wrapText="1"/>
    </xf>
    <xf numFmtId="0" fontId="7" fillId="0" borderId="14" xfId="0" applyFont="1" applyBorder="1" applyAlignment="1">
      <alignment vertical="top" wrapText="1"/>
    </xf>
    <xf numFmtId="0" fontId="15" fillId="0" borderId="8" xfId="0" applyFont="1" applyBorder="1" applyAlignment="1">
      <alignment vertical="top" wrapText="1"/>
    </xf>
    <xf numFmtId="0" fontId="7" fillId="0" borderId="13" xfId="0" applyFont="1" applyBorder="1" applyAlignment="1">
      <alignment vertical="top" wrapText="1"/>
    </xf>
    <xf numFmtId="0" fontId="7" fillId="0" borderId="14" xfId="0" applyFont="1" applyBorder="1" applyAlignment="1">
      <alignment horizontal="left" vertical="top" wrapText="1"/>
    </xf>
    <xf numFmtId="0" fontId="7" fillId="0" borderId="13" xfId="0" applyFont="1" applyBorder="1" applyAlignment="1">
      <alignment horizontal="left" vertical="top" wrapText="1"/>
    </xf>
    <xf numFmtId="0" fontId="12" fillId="0" borderId="12" xfId="0" applyFont="1" applyBorder="1" applyAlignment="1">
      <alignment horizontal="center" vertical="center"/>
    </xf>
    <xf numFmtId="0" fontId="12" fillId="0" borderId="5" xfId="0" applyFont="1" applyBorder="1" applyAlignment="1">
      <alignment horizontal="center" vertical="center"/>
    </xf>
    <xf numFmtId="9" fontId="8" fillId="0" borderId="0" xfId="0" applyNumberFormat="1" applyFont="1" applyAlignment="1">
      <alignment horizontal="left" vertical="top" wrapText="1"/>
    </xf>
    <xf numFmtId="0" fontId="19"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5" xfId="0" applyFont="1" applyBorder="1" applyAlignment="1">
      <alignment horizontal="center" vertical="center"/>
    </xf>
    <xf numFmtId="0" fontId="23" fillId="0" borderId="12" xfId="0" applyFont="1" applyBorder="1" applyAlignment="1">
      <alignment horizontal="left" vertical="top" wrapText="1"/>
    </xf>
    <xf numFmtId="0" fontId="12" fillId="0" borderId="2" xfId="0" applyFont="1" applyBorder="1" applyAlignment="1">
      <alignment horizontal="center" vertical="center"/>
    </xf>
    <xf numFmtId="0" fontId="12" fillId="0" borderId="3" xfId="0" applyFont="1" applyBorder="1" applyAlignment="1">
      <alignment horizontal="center" vertical="center"/>
    </xf>
    <xf numFmtId="9" fontId="8" fillId="0" borderId="13" xfId="0" applyNumberFormat="1" applyFont="1" applyBorder="1" applyAlignment="1">
      <alignment horizontal="left" vertical="top" wrapText="1"/>
    </xf>
    <xf numFmtId="0" fontId="18" fillId="0" borderId="5" xfId="0" applyFont="1" applyBorder="1" applyAlignment="1">
      <alignment horizontal="left" vertical="top" wrapText="1"/>
    </xf>
    <xf numFmtId="0" fontId="19" fillId="0" borderId="7" xfId="0" applyFont="1" applyBorder="1" applyAlignment="1">
      <alignment horizontal="left" vertical="top" wrapText="1"/>
    </xf>
    <xf numFmtId="0" fontId="12" fillId="0" borderId="11" xfId="0" applyFont="1" applyBorder="1" applyAlignment="1">
      <alignment horizontal="center" vertical="center"/>
    </xf>
    <xf numFmtId="0" fontId="7" fillId="0" borderId="4" xfId="0" applyFont="1" applyBorder="1" applyAlignment="1">
      <alignment horizontal="center" vertical="top" textRotation="255"/>
    </xf>
    <xf numFmtId="0" fontId="0" fillId="0" borderId="10" xfId="0" applyBorder="1" applyAlignment="1">
      <alignment horizontal="center" vertical="top" textRotation="255"/>
    </xf>
    <xf numFmtId="0" fontId="9" fillId="0" borderId="12" xfId="0" applyFont="1" applyBorder="1" applyAlignment="1">
      <alignment horizontal="left" vertical="top" wrapText="1"/>
    </xf>
    <xf numFmtId="0" fontId="7" fillId="0" borderId="15" xfId="0" applyFont="1" applyBorder="1" applyAlignment="1">
      <alignment horizontal="left" vertical="top" wrapText="1"/>
    </xf>
    <xf numFmtId="0" fontId="7" fillId="0" borderId="21" xfId="0" applyFont="1" applyBorder="1" applyAlignment="1">
      <alignment horizontal="left" vertical="top" wrapText="1"/>
    </xf>
    <xf numFmtId="0" fontId="12" fillId="0" borderId="18" xfId="0" applyFont="1" applyBorder="1" applyAlignment="1">
      <alignment horizontal="center" vertical="center"/>
    </xf>
    <xf numFmtId="0" fontId="12" fillId="0" borderId="19" xfId="0" applyFont="1" applyBorder="1" applyAlignment="1">
      <alignment horizontal="center" vertical="center"/>
    </xf>
    <xf numFmtId="0" fontId="7" fillId="0" borderId="20" xfId="0" applyFont="1" applyBorder="1" applyAlignment="1">
      <alignment horizontal="left" vertical="top" wrapText="1"/>
    </xf>
    <xf numFmtId="0" fontId="7" fillId="0" borderId="22" xfId="0" applyFont="1" applyBorder="1" applyAlignment="1">
      <alignment horizontal="left" vertical="top" wrapText="1"/>
    </xf>
    <xf numFmtId="0" fontId="7" fillId="0" borderId="15" xfId="0" applyFont="1" applyBorder="1" applyAlignment="1">
      <alignment vertical="top" wrapText="1"/>
    </xf>
    <xf numFmtId="0" fontId="7" fillId="0" borderId="5" xfId="0" applyFont="1" applyBorder="1" applyAlignment="1">
      <alignment vertical="top" wrapText="1"/>
    </xf>
    <xf numFmtId="0" fontId="7" fillId="0" borderId="21" xfId="0" applyFont="1" applyBorder="1" applyAlignment="1">
      <alignment vertical="top" wrapText="1"/>
    </xf>
    <xf numFmtId="0" fontId="7" fillId="0" borderId="0" xfId="0" applyFont="1" applyAlignment="1">
      <alignment vertical="top" wrapText="1"/>
    </xf>
    <xf numFmtId="0" fontId="7" fillId="0" borderId="24" xfId="0" applyFont="1" applyBorder="1" applyAlignment="1">
      <alignment horizontal="center" vertical="top" wrapText="1"/>
    </xf>
    <xf numFmtId="0" fontId="7" fillId="0" borderId="25" xfId="0" applyFont="1" applyBorder="1" applyAlignment="1">
      <alignment horizontal="center" vertical="top" wrapText="1"/>
    </xf>
    <xf numFmtId="0" fontId="7" fillId="0" borderId="26" xfId="0" applyFont="1" applyBorder="1" applyAlignment="1">
      <alignment horizontal="center" vertical="top" wrapText="1"/>
    </xf>
    <xf numFmtId="0" fontId="12" fillId="0" borderId="27" xfId="0" applyFont="1" applyBorder="1" applyAlignment="1">
      <alignment horizontal="center" vertical="center"/>
    </xf>
    <xf numFmtId="0" fontId="12" fillId="0" borderId="28" xfId="0" applyFont="1" applyBorder="1" applyAlignment="1">
      <alignment horizontal="center" vertical="center"/>
    </xf>
    <xf numFmtId="0" fontId="12" fillId="0" borderId="29" xfId="0" applyFont="1" applyBorder="1" applyAlignment="1">
      <alignment horizontal="center" vertical="center"/>
    </xf>
    <xf numFmtId="0" fontId="12" fillId="0" borderId="30" xfId="0" applyFont="1" applyBorder="1" applyAlignment="1">
      <alignment horizontal="center" vertical="center"/>
    </xf>
    <xf numFmtId="0" fontId="26" fillId="0" borderId="12" xfId="0" applyFont="1" applyBorder="1" applyAlignment="1">
      <alignment horizontal="left" vertical="top" wrapText="1"/>
    </xf>
    <xf numFmtId="0" fontId="7" fillId="0" borderId="12" xfId="0" applyFont="1" applyBorder="1" applyAlignment="1">
      <alignment vertical="top" wrapText="1"/>
    </xf>
    <xf numFmtId="0" fontId="7" fillId="0" borderId="8" xfId="0" applyFont="1" applyBorder="1" applyAlignment="1">
      <alignment vertical="top" wrapText="1"/>
    </xf>
    <xf numFmtId="0" fontId="27" fillId="0" borderId="12" xfId="0" applyFont="1" applyBorder="1" applyAlignment="1">
      <alignment horizontal="left" vertical="top" wrapText="1"/>
    </xf>
    <xf numFmtId="0" fontId="27" fillId="0" borderId="5" xfId="0" applyFont="1" applyBorder="1" applyAlignment="1">
      <alignment horizontal="left" vertical="top" wrapText="1"/>
    </xf>
    <xf numFmtId="0" fontId="7" fillId="0" borderId="9" xfId="0" applyFont="1" applyBorder="1" applyAlignment="1">
      <alignment horizontal="left" vertical="top" wrapText="1"/>
    </xf>
    <xf numFmtId="0" fontId="7" fillId="0" borderId="31" xfId="0" applyFont="1" applyBorder="1" applyAlignment="1">
      <alignment horizontal="left" vertical="top" wrapText="1"/>
    </xf>
    <xf numFmtId="0" fontId="7" fillId="0" borderId="32" xfId="0" applyFont="1" applyBorder="1" applyAlignment="1">
      <alignment horizontal="left" vertical="top" wrapText="1"/>
    </xf>
    <xf numFmtId="0" fontId="7" fillId="0" borderId="33" xfId="0" applyFont="1" applyBorder="1" applyAlignment="1">
      <alignment horizontal="left" vertical="top" wrapText="1"/>
    </xf>
    <xf numFmtId="0" fontId="7" fillId="0" borderId="34" xfId="0" applyFont="1" applyBorder="1" applyAlignment="1">
      <alignment horizontal="left" vertical="top" wrapText="1"/>
    </xf>
    <xf numFmtId="0" fontId="7" fillId="0" borderId="35" xfId="0" applyFont="1" applyBorder="1" applyAlignment="1">
      <alignment horizontal="left" vertical="top" wrapText="1"/>
    </xf>
    <xf numFmtId="0" fontId="7" fillId="0" borderId="36" xfId="0" applyFont="1" applyBorder="1" applyAlignment="1">
      <alignment horizontal="left" vertical="top" wrapText="1"/>
    </xf>
    <xf numFmtId="0" fontId="7" fillId="0" borderId="37" xfId="0" applyFont="1" applyBorder="1" applyAlignment="1">
      <alignment horizontal="center" vertical="top" wrapText="1"/>
    </xf>
    <xf numFmtId="0" fontId="7" fillId="0" borderId="38" xfId="0" applyFont="1" applyBorder="1" applyAlignment="1">
      <alignment horizontal="center" vertical="top" wrapText="1"/>
    </xf>
    <xf numFmtId="0" fontId="7" fillId="0" borderId="39" xfId="0" applyFont="1" applyBorder="1" applyAlignment="1">
      <alignment horizontal="center" vertical="top" wrapText="1"/>
    </xf>
    <xf numFmtId="0" fontId="12" fillId="0" borderId="40" xfId="0" applyFont="1" applyBorder="1" applyAlignment="1">
      <alignment horizontal="center" vertical="center"/>
    </xf>
    <xf numFmtId="0" fontId="9" fillId="0" borderId="5" xfId="0" applyFont="1" applyBorder="1" applyAlignment="1">
      <alignment horizontal="left" vertical="top" wrapText="1"/>
    </xf>
    <xf numFmtId="0" fontId="17" fillId="0" borderId="7" xfId="0" applyFont="1" applyBorder="1" applyAlignment="1">
      <alignment horizontal="left" vertical="top" wrapText="1"/>
    </xf>
    <xf numFmtId="38" fontId="7" fillId="0" borderId="12" xfId="1" applyFont="1" applyFill="1" applyBorder="1" applyAlignment="1">
      <alignment horizontal="left" vertical="top" wrapText="1"/>
    </xf>
    <xf numFmtId="38" fontId="7" fillId="0" borderId="14" xfId="1" applyFont="1" applyFill="1" applyBorder="1" applyAlignment="1">
      <alignment horizontal="left" vertical="top" wrapText="1"/>
    </xf>
    <xf numFmtId="38" fontId="7" fillId="0" borderId="8" xfId="1" applyFont="1" applyFill="1" applyBorder="1" applyAlignment="1">
      <alignment horizontal="left" vertical="top" wrapText="1"/>
    </xf>
    <xf numFmtId="38" fontId="7" fillId="0" borderId="13" xfId="1" applyFont="1" applyFill="1" applyBorder="1" applyAlignment="1">
      <alignment horizontal="left" vertical="top" wrapText="1"/>
    </xf>
    <xf numFmtId="38" fontId="19" fillId="0" borderId="12" xfId="1" applyFont="1" applyFill="1" applyBorder="1" applyAlignment="1">
      <alignment horizontal="left" vertical="top" wrapText="1"/>
    </xf>
    <xf numFmtId="38" fontId="19" fillId="0" borderId="14" xfId="1" applyFont="1" applyFill="1" applyBorder="1" applyAlignment="1">
      <alignment horizontal="left" vertical="top" wrapText="1"/>
    </xf>
    <xf numFmtId="38" fontId="19" fillId="0" borderId="8" xfId="1" applyFont="1" applyFill="1" applyBorder="1" applyAlignment="1">
      <alignment horizontal="left" vertical="top" wrapText="1"/>
    </xf>
    <xf numFmtId="38" fontId="19" fillId="0" borderId="13" xfId="1" applyFont="1" applyFill="1" applyBorder="1" applyAlignment="1">
      <alignment horizontal="left" vertical="top" wrapText="1"/>
    </xf>
    <xf numFmtId="9" fontId="8" fillId="0" borderId="0" xfId="0" applyNumberFormat="1" applyFont="1" applyAlignment="1">
      <alignment horizontal="center" vertical="top" wrapText="1"/>
    </xf>
    <xf numFmtId="0" fontId="26" fillId="0" borderId="5" xfId="0" applyFont="1" applyBorder="1" applyAlignment="1">
      <alignment horizontal="left" vertical="top" wrapText="1"/>
    </xf>
    <xf numFmtId="0" fontId="7" fillId="0" borderId="7" xfId="0" applyFont="1" applyBorder="1" applyAlignment="1">
      <alignment horizontal="left" vertical="top" wrapText="1"/>
    </xf>
    <xf numFmtId="0" fontId="8" fillId="0" borderId="0" xfId="0" applyFont="1" applyAlignment="1">
      <alignment horizontal="center" vertical="top" wrapText="1"/>
    </xf>
    <xf numFmtId="0" fontId="8" fillId="0" borderId="13" xfId="0" applyFont="1" applyBorder="1" applyAlignment="1">
      <alignment horizontal="center" vertical="top" wrapText="1"/>
    </xf>
    <xf numFmtId="0" fontId="7" fillId="0" borderId="12" xfId="0" applyFont="1" applyBorder="1" applyAlignment="1">
      <alignment horizontal="center" vertical="top" wrapText="1"/>
    </xf>
    <xf numFmtId="0" fontId="19" fillId="0" borderId="14" xfId="0" applyFont="1" applyBorder="1" applyAlignment="1">
      <alignment horizontal="center" vertical="top" wrapText="1"/>
    </xf>
    <xf numFmtId="0" fontId="19" fillId="0" borderId="8" xfId="0" applyFont="1" applyBorder="1" applyAlignment="1">
      <alignment horizontal="center" vertical="top" wrapText="1"/>
    </xf>
    <xf numFmtId="0" fontId="19" fillId="0" borderId="13" xfId="0" applyFont="1" applyBorder="1" applyAlignment="1">
      <alignment horizontal="center" vertical="top" wrapText="1"/>
    </xf>
    <xf numFmtId="0" fontId="19" fillId="0" borderId="0" xfId="0" applyFont="1" applyAlignment="1">
      <alignment horizontal="left" vertical="top" wrapText="1"/>
    </xf>
    <xf numFmtId="0" fontId="12" fillId="0" borderId="7" xfId="0" applyFont="1" applyBorder="1" applyAlignment="1">
      <alignment horizontal="center" vertical="center"/>
    </xf>
    <xf numFmtId="0" fontId="7" fillId="0" borderId="8" xfId="0" applyFont="1" applyBorder="1" applyAlignment="1">
      <alignment horizontal="left" vertical="center" wrapText="1"/>
    </xf>
    <xf numFmtId="0" fontId="19" fillId="0" borderId="0" xfId="0" applyFont="1" applyAlignment="1">
      <alignment horizontal="left" vertical="center" wrapText="1"/>
    </xf>
    <xf numFmtId="0" fontId="19" fillId="0" borderId="13" xfId="0" applyFont="1" applyBorder="1" applyAlignment="1">
      <alignment horizontal="left" vertical="center" wrapText="1"/>
    </xf>
    <xf numFmtId="0" fontId="8" fillId="0" borderId="13" xfId="0" applyFont="1" applyBorder="1" applyAlignment="1">
      <alignment horizontal="left" vertical="top" wrapText="1"/>
    </xf>
    <xf numFmtId="0" fontId="7" fillId="0" borderId="4" xfId="0" applyFont="1" applyBorder="1" applyAlignment="1">
      <alignment horizontal="center" vertical="top" wrapText="1"/>
    </xf>
    <xf numFmtId="0" fontId="7" fillId="0" borderId="10" xfId="0" applyFont="1" applyBorder="1" applyAlignment="1">
      <alignment horizontal="center" vertical="top" wrapText="1"/>
    </xf>
    <xf numFmtId="0" fontId="7" fillId="0" borderId="6" xfId="0" applyFont="1" applyBorder="1" applyAlignment="1">
      <alignment horizontal="center" vertical="top" wrapText="1"/>
    </xf>
    <xf numFmtId="0" fontId="3" fillId="0" borderId="13" xfId="0" applyFont="1" applyBorder="1" applyAlignment="1">
      <alignment horizontal="left" vertical="top" wrapText="1"/>
    </xf>
    <xf numFmtId="0" fontId="3" fillId="0" borderId="0" xfId="0" applyFont="1" applyAlignment="1">
      <alignment horizontal="left" vertical="top" wrapText="1"/>
    </xf>
    <xf numFmtId="0" fontId="3" fillId="0" borderId="14" xfId="0" applyFont="1" applyBorder="1" applyAlignment="1">
      <alignment horizontal="left" vertical="top" wrapText="1"/>
    </xf>
    <xf numFmtId="0" fontId="3" fillId="0" borderId="8" xfId="0" applyFont="1" applyBorder="1" applyAlignment="1">
      <alignment horizontal="left" vertical="top" wrapText="1"/>
    </xf>
    <xf numFmtId="0" fontId="3" fillId="0" borderId="9" xfId="0" applyFont="1" applyBorder="1" applyAlignment="1">
      <alignment horizontal="left" vertical="top" wrapText="1"/>
    </xf>
    <xf numFmtId="0" fontId="8" fillId="0" borderId="8" xfId="0" applyFont="1" applyBorder="1" applyAlignment="1">
      <alignment horizontal="left" vertical="top" wrapText="1"/>
    </xf>
    <xf numFmtId="0" fontId="19" fillId="0" borderId="13" xfId="0" applyFont="1" applyBorder="1" applyAlignment="1">
      <alignment horizontal="left" vertical="top" wrapText="1"/>
    </xf>
    <xf numFmtId="0" fontId="8" fillId="0" borderId="12" xfId="0" applyFont="1" applyBorder="1" applyAlignment="1">
      <alignment horizontal="left" vertical="top" wrapText="1"/>
    </xf>
    <xf numFmtId="0" fontId="8" fillId="0" borderId="5" xfId="0" applyFont="1" applyBorder="1" applyAlignment="1">
      <alignment horizontal="left" vertical="top" wrapText="1"/>
    </xf>
    <xf numFmtId="0" fontId="8" fillId="0" borderId="14" xfId="0" applyFont="1" applyBorder="1" applyAlignment="1">
      <alignment horizontal="left" vertical="top" wrapText="1"/>
    </xf>
    <xf numFmtId="0" fontId="8" fillId="0" borderId="0" xfId="0" applyFont="1" applyAlignment="1">
      <alignment horizontal="left" vertical="top" wrapText="1"/>
    </xf>
    <xf numFmtId="0" fontId="9" fillId="0" borderId="15" xfId="0" applyFont="1" applyBorder="1" applyAlignment="1">
      <alignment horizontal="left" vertical="top" wrapText="1"/>
    </xf>
    <xf numFmtId="0" fontId="17" fillId="0" borderId="16" xfId="0" applyFont="1" applyBorder="1" applyAlignment="1">
      <alignment horizontal="left" vertical="top" wrapText="1"/>
    </xf>
    <xf numFmtId="0" fontId="8" fillId="0" borderId="4" xfId="0" applyFont="1" applyBorder="1" applyAlignment="1">
      <alignment horizontal="center" vertical="top" wrapText="1"/>
    </xf>
    <xf numFmtId="0" fontId="20" fillId="0" borderId="10" xfId="0" applyFont="1" applyBorder="1" applyAlignment="1">
      <alignment horizontal="center" vertical="top" wrapText="1"/>
    </xf>
    <xf numFmtId="0" fontId="20" fillId="0" borderId="6" xfId="0" applyFont="1" applyBorder="1" applyAlignment="1">
      <alignment horizontal="center" vertical="top" wrapText="1"/>
    </xf>
    <xf numFmtId="0" fontId="3" fillId="0" borderId="22" xfId="0" applyFont="1" applyBorder="1" applyAlignment="1">
      <alignment horizontal="left" vertical="top" wrapText="1"/>
    </xf>
    <xf numFmtId="0" fontId="3" fillId="0" borderId="20" xfId="0" applyFont="1" applyBorder="1" applyAlignment="1">
      <alignment horizontal="left" vertical="top" wrapText="1"/>
    </xf>
    <xf numFmtId="0" fontId="3" fillId="0" borderId="5" xfId="0" applyFont="1" applyBorder="1" applyAlignment="1">
      <alignment horizontal="left" vertical="top" wrapText="1"/>
    </xf>
    <xf numFmtId="0" fontId="3" fillId="0" borderId="4" xfId="0" applyFont="1" applyBorder="1" applyAlignment="1">
      <alignment horizontal="center" vertical="top" textRotation="255"/>
    </xf>
    <xf numFmtId="0" fontId="3" fillId="0" borderId="10" xfId="0" applyFont="1" applyBorder="1" applyAlignment="1">
      <alignment horizontal="center" vertical="top" textRotation="255"/>
    </xf>
    <xf numFmtId="0" fontId="3" fillId="0" borderId="6" xfId="0" applyFont="1" applyBorder="1" applyAlignment="1">
      <alignment horizontal="center" vertical="top" textRotation="255"/>
    </xf>
    <xf numFmtId="0" fontId="7" fillId="0" borderId="13" xfId="0" applyFont="1" applyBorder="1" applyAlignment="1">
      <alignment horizontal="center" vertical="top" wrapText="1"/>
    </xf>
    <xf numFmtId="0" fontId="7" fillId="0" borderId="2" xfId="0" applyFont="1" applyBorder="1" applyAlignment="1">
      <alignment horizontal="left" vertical="top" wrapText="1"/>
    </xf>
    <xf numFmtId="0" fontId="19" fillId="0" borderId="3" xfId="0" applyFont="1" applyBorder="1" applyAlignment="1">
      <alignment horizontal="left" vertical="top" wrapText="1"/>
    </xf>
    <xf numFmtId="0" fontId="19" fillId="0" borderId="2" xfId="0" applyFont="1" applyBorder="1" applyAlignment="1">
      <alignment horizontal="left" vertical="top" wrapText="1"/>
    </xf>
    <xf numFmtId="0" fontId="19" fillId="0" borderId="12" xfId="0" applyFont="1" applyBorder="1" applyAlignment="1">
      <alignment horizontal="left" vertical="top" wrapText="1"/>
    </xf>
    <xf numFmtId="0" fontId="19" fillId="0" borderId="14" xfId="0" applyFont="1" applyBorder="1" applyAlignment="1">
      <alignment horizontal="left" vertical="top" wrapText="1"/>
    </xf>
    <xf numFmtId="0" fontId="3" fillId="0" borderId="4" xfId="0" applyFont="1" applyBorder="1" applyAlignment="1">
      <alignment horizontal="center" vertical="top" wrapText="1"/>
    </xf>
    <xf numFmtId="0" fontId="3" fillId="0" borderId="10" xfId="0" applyFont="1" applyBorder="1" applyAlignment="1">
      <alignment horizontal="center" vertical="top" wrapText="1"/>
    </xf>
    <xf numFmtId="0" fontId="3" fillId="0" borderId="6" xfId="0" applyFont="1" applyBorder="1" applyAlignment="1">
      <alignment horizontal="center" vertical="top" wrapText="1"/>
    </xf>
    <xf numFmtId="0" fontId="27" fillId="0" borderId="9" xfId="0" applyFont="1" applyBorder="1" applyAlignment="1">
      <alignment horizontal="left" vertical="top" wrapText="1"/>
    </xf>
    <xf numFmtId="0" fontId="15" fillId="0" borderId="10" xfId="4" applyFont="1" applyBorder="1" applyAlignment="1">
      <alignment vertical="center" wrapText="1"/>
    </xf>
    <xf numFmtId="0" fontId="15" fillId="0" borderId="6" xfId="4" applyFont="1" applyBorder="1">
      <alignment vertical="center"/>
    </xf>
    <xf numFmtId="0" fontId="15" fillId="0" borderId="12" xfId="4" applyFont="1" applyBorder="1" applyAlignment="1">
      <alignment horizontal="left" vertical="top" wrapText="1"/>
    </xf>
    <xf numFmtId="0" fontId="15" fillId="0" borderId="9" xfId="4" applyFont="1" applyBorder="1" applyAlignment="1">
      <alignment horizontal="left" vertical="top" wrapText="1"/>
    </xf>
    <xf numFmtId="0" fontId="19" fillId="0" borderId="8" xfId="4" applyFont="1" applyBorder="1" applyAlignment="1">
      <alignment horizontal="right" vertical="top" wrapText="1"/>
    </xf>
    <xf numFmtId="0" fontId="19" fillId="0" borderId="0" xfId="4" applyFont="1" applyAlignment="1">
      <alignment horizontal="right" vertical="top" wrapText="1"/>
    </xf>
    <xf numFmtId="0" fontId="12" fillId="0" borderId="0" xfId="4" applyFont="1" applyAlignment="1">
      <alignment horizontal="right" vertical="top" wrapText="1"/>
    </xf>
    <xf numFmtId="0" fontId="19" fillId="0" borderId="13" xfId="4" applyFont="1" applyBorder="1" applyAlignment="1">
      <alignment horizontal="right" vertical="top" wrapText="1"/>
    </xf>
    <xf numFmtId="3" fontId="12" fillId="0" borderId="0" xfId="4" applyNumberFormat="1" applyFont="1" applyAlignment="1">
      <alignment horizontal="right" vertical="center"/>
    </xf>
    <xf numFmtId="3" fontId="5" fillId="0" borderId="0" xfId="4" applyNumberFormat="1" applyFont="1">
      <alignment vertical="center"/>
    </xf>
    <xf numFmtId="9" fontId="12" fillId="0" borderId="7" xfId="4" applyNumberFormat="1" applyFont="1" applyBorder="1" applyAlignment="1">
      <alignment horizontal="right" vertical="center"/>
    </xf>
    <xf numFmtId="0" fontId="15" fillId="0" borderId="17" xfId="4" applyFont="1" applyBorder="1" applyAlignment="1">
      <alignment horizontal="right" vertical="center"/>
    </xf>
    <xf numFmtId="9" fontId="12" fillId="0" borderId="0" xfId="4" applyNumberFormat="1" applyFont="1" applyAlignment="1">
      <alignment horizontal="center" vertical="top" wrapText="1"/>
    </xf>
    <xf numFmtId="9" fontId="19" fillId="0" borderId="0" xfId="4" applyNumberFormat="1" applyFont="1" applyAlignment="1">
      <alignment horizontal="center" vertical="top" wrapText="1"/>
    </xf>
    <xf numFmtId="9" fontId="19" fillId="0" borderId="13" xfId="4" applyNumberFormat="1" applyFont="1" applyBorder="1" applyAlignment="1">
      <alignment horizontal="center" vertical="top" wrapText="1"/>
    </xf>
    <xf numFmtId="0" fontId="15" fillId="0" borderId="7" xfId="4" applyFont="1" applyBorder="1" applyAlignment="1">
      <alignment horizontal="right" vertical="center"/>
    </xf>
    <xf numFmtId="9" fontId="8" fillId="0" borderId="7" xfId="0" applyNumberFormat="1" applyFont="1" applyBorder="1" applyAlignment="1">
      <alignment horizontal="center" vertical="center"/>
    </xf>
    <xf numFmtId="9" fontId="8" fillId="0" borderId="17" xfId="0" applyNumberFormat="1" applyFont="1" applyBorder="1" applyAlignment="1">
      <alignment horizontal="center" vertical="center"/>
    </xf>
    <xf numFmtId="0" fontId="12" fillId="0" borderId="12" xfId="4" applyFont="1" applyBorder="1" applyAlignment="1">
      <alignment horizontal="center" vertical="center"/>
    </xf>
    <xf numFmtId="0" fontId="12" fillId="0" borderId="5" xfId="0" applyFont="1" applyBorder="1">
      <alignment vertical="center"/>
    </xf>
    <xf numFmtId="0" fontId="12" fillId="0" borderId="14" xfId="0" applyFont="1" applyBorder="1">
      <alignment vertical="center"/>
    </xf>
    <xf numFmtId="0" fontId="19" fillId="0" borderId="8" xfId="4" applyFont="1" applyBorder="1" applyAlignment="1">
      <alignment vertical="top" wrapText="1"/>
    </xf>
    <xf numFmtId="0" fontId="19" fillId="0" borderId="0" xfId="4" applyFont="1" applyAlignment="1">
      <alignment vertical="top" wrapText="1"/>
    </xf>
    <xf numFmtId="0" fontId="12" fillId="0" borderId="0" xfId="4" applyFont="1" applyAlignment="1">
      <alignment vertical="top" wrapText="1"/>
    </xf>
    <xf numFmtId="0" fontId="19" fillId="0" borderId="13" xfId="4" applyFont="1" applyBorder="1" applyAlignment="1">
      <alignment vertical="top" wrapText="1"/>
    </xf>
    <xf numFmtId="3" fontId="19" fillId="0" borderId="0" xfId="4" applyNumberFormat="1" applyFont="1">
      <alignment vertical="center"/>
    </xf>
    <xf numFmtId="177" fontId="12" fillId="0" borderId="0" xfId="4" applyNumberFormat="1" applyFont="1" applyAlignment="1">
      <alignment horizontal="center" vertical="top" wrapText="1"/>
    </xf>
    <xf numFmtId="177" fontId="19" fillId="0" borderId="0" xfId="4" applyNumberFormat="1" applyFont="1" applyAlignment="1">
      <alignment horizontal="center" vertical="top" wrapText="1"/>
    </xf>
    <xf numFmtId="177" fontId="19" fillId="0" borderId="13" xfId="4" applyNumberFormat="1" applyFont="1" applyBorder="1" applyAlignment="1">
      <alignment horizontal="center" vertical="top" wrapText="1"/>
    </xf>
    <xf numFmtId="0" fontId="19" fillId="0" borderId="12" xfId="4" applyFont="1" applyBorder="1" applyAlignment="1">
      <alignment vertical="top" wrapText="1"/>
    </xf>
    <xf numFmtId="0" fontId="19" fillId="0" borderId="5" xfId="4" applyFont="1" applyBorder="1" applyAlignment="1">
      <alignment vertical="top" wrapText="1"/>
    </xf>
    <xf numFmtId="0" fontId="12" fillId="0" borderId="5" xfId="4" applyFont="1" applyBorder="1" applyAlignment="1">
      <alignment vertical="top" wrapText="1"/>
    </xf>
    <xf numFmtId="0" fontId="19" fillId="0" borderId="14" xfId="4" applyFont="1" applyBorder="1" applyAlignment="1">
      <alignment vertical="top" wrapText="1"/>
    </xf>
    <xf numFmtId="0" fontId="15" fillId="0" borderId="12" xfId="4" applyFont="1" applyBorder="1" applyAlignment="1">
      <alignment vertical="top" wrapText="1"/>
    </xf>
    <xf numFmtId="0" fontId="15" fillId="0" borderId="5" xfId="4" applyFont="1" applyBorder="1" applyAlignment="1">
      <alignment vertical="top" wrapText="1"/>
    </xf>
    <xf numFmtId="0" fontId="15" fillId="0" borderId="14" xfId="4" applyFont="1" applyBorder="1" applyAlignment="1">
      <alignment vertical="top" wrapText="1"/>
    </xf>
    <xf numFmtId="0" fontId="15" fillId="0" borderId="8" xfId="4" applyFont="1" applyBorder="1" applyAlignment="1">
      <alignment vertical="top" wrapText="1"/>
    </xf>
    <xf numFmtId="0" fontId="15" fillId="0" borderId="0" xfId="4" applyFont="1" applyAlignment="1">
      <alignment vertical="top" wrapText="1"/>
    </xf>
    <xf numFmtId="0" fontId="15" fillId="0" borderId="13" xfId="4" applyFont="1" applyBorder="1" applyAlignment="1">
      <alignment vertical="top" wrapText="1"/>
    </xf>
    <xf numFmtId="3" fontId="12" fillId="2" borderId="11" xfId="4" applyNumberFormat="1" applyFont="1" applyFill="1" applyBorder="1" applyAlignment="1">
      <alignment horizontal="right" vertical="center"/>
    </xf>
    <xf numFmtId="3" fontId="12" fillId="0" borderId="7" xfId="4" applyNumberFormat="1" applyFont="1" applyBorder="1" applyAlignment="1">
      <alignment horizontal="right" vertical="center"/>
    </xf>
    <xf numFmtId="0" fontId="15" fillId="0" borderId="8" xfId="4" applyFont="1" applyBorder="1" applyAlignment="1">
      <alignment horizontal="left" vertical="top"/>
    </xf>
    <xf numFmtId="0" fontId="15" fillId="0" borderId="0" xfId="4" applyFont="1" applyAlignment="1">
      <alignment horizontal="left" vertical="top"/>
    </xf>
    <xf numFmtId="0" fontId="12" fillId="0" borderId="0" xfId="4" applyFont="1" applyAlignment="1">
      <alignment horizontal="left" vertical="top"/>
    </xf>
    <xf numFmtId="0" fontId="15" fillId="0" borderId="13" xfId="4" applyFont="1" applyBorder="1" applyAlignment="1">
      <alignment horizontal="left" vertical="top"/>
    </xf>
    <xf numFmtId="0" fontId="15" fillId="0" borderId="9" xfId="4" applyFont="1" applyBorder="1" applyAlignment="1">
      <alignment horizontal="left" vertical="top"/>
    </xf>
    <xf numFmtId="0" fontId="15" fillId="0" borderId="7" xfId="4" applyFont="1" applyBorder="1" applyAlignment="1">
      <alignment horizontal="left" vertical="top"/>
    </xf>
    <xf numFmtId="0" fontId="12" fillId="0" borderId="7" xfId="4" applyFont="1" applyBorder="1" applyAlignment="1">
      <alignment horizontal="left" vertical="top"/>
    </xf>
    <xf numFmtId="0" fontId="15" fillId="0" borderId="17" xfId="4" applyFont="1" applyBorder="1" applyAlignment="1">
      <alignment horizontal="left" vertical="top"/>
    </xf>
    <xf numFmtId="3" fontId="12" fillId="0" borderId="11" xfId="4" applyNumberFormat="1" applyFont="1" applyBorder="1" applyAlignment="1">
      <alignment horizontal="right" vertical="center"/>
    </xf>
    <xf numFmtId="0" fontId="15" fillId="0" borderId="5" xfId="4" applyFont="1" applyBorder="1" applyAlignment="1">
      <alignment horizontal="left" vertical="top" wrapText="1"/>
    </xf>
    <xf numFmtId="0" fontId="15" fillId="0" borderId="14" xfId="4" applyFont="1" applyBorder="1" applyAlignment="1">
      <alignment horizontal="left" vertical="top" wrapText="1"/>
    </xf>
    <xf numFmtId="0" fontId="15" fillId="0" borderId="8" xfId="4" applyFont="1" applyBorder="1" applyAlignment="1">
      <alignment horizontal="left" vertical="top" wrapText="1"/>
    </xf>
    <xf numFmtId="0" fontId="15" fillId="0" borderId="0" xfId="4" applyFont="1" applyAlignment="1">
      <alignment horizontal="left" vertical="top" wrapText="1"/>
    </xf>
    <xf numFmtId="0" fontId="15" fillId="0" borderId="13" xfId="4" applyFont="1" applyBorder="1" applyAlignment="1">
      <alignment horizontal="left" vertical="top" wrapText="1"/>
    </xf>
    <xf numFmtId="0" fontId="12" fillId="0" borderId="5" xfId="4" applyFont="1" applyBorder="1" applyAlignment="1">
      <alignment horizontal="left" vertical="top" wrapText="1"/>
    </xf>
    <xf numFmtId="0" fontId="15" fillId="0" borderId="7" xfId="4" applyFont="1" applyBorder="1" applyAlignment="1">
      <alignment horizontal="left" vertical="top" wrapText="1"/>
    </xf>
    <xf numFmtId="0" fontId="12" fillId="0" borderId="7" xfId="4" applyFont="1" applyBorder="1" applyAlignment="1">
      <alignment horizontal="left" vertical="top" wrapText="1"/>
    </xf>
    <xf numFmtId="0" fontId="15" fillId="0" borderId="17" xfId="4" applyFont="1" applyBorder="1" applyAlignment="1">
      <alignment horizontal="left" vertical="top" wrapText="1"/>
    </xf>
    <xf numFmtId="0" fontId="15" fillId="0" borderId="12" xfId="4" applyFont="1" applyBorder="1" applyAlignment="1">
      <alignment horizontal="left" vertical="top"/>
    </xf>
    <xf numFmtId="0" fontId="15" fillId="0" borderId="5" xfId="4" applyFont="1" applyBorder="1" applyAlignment="1">
      <alignment horizontal="left" vertical="top"/>
    </xf>
    <xf numFmtId="0" fontId="15" fillId="0" borderId="14" xfId="4" applyFont="1" applyBorder="1" applyAlignment="1">
      <alignment horizontal="left" vertical="top"/>
    </xf>
    <xf numFmtId="0" fontId="12" fillId="0" borderId="12" xfId="4" applyFont="1" applyBorder="1" applyAlignment="1">
      <alignment horizontal="center" vertical="center" wrapText="1"/>
    </xf>
    <xf numFmtId="0" fontId="12" fillId="0" borderId="5" xfId="0" applyFont="1" applyBorder="1" applyAlignment="1">
      <alignment vertical="center" wrapText="1"/>
    </xf>
    <xf numFmtId="0" fontId="12" fillId="0" borderId="14" xfId="0" applyFont="1" applyBorder="1" applyAlignment="1">
      <alignment vertical="center" wrapText="1"/>
    </xf>
    <xf numFmtId="0" fontId="7" fillId="0" borderId="8" xfId="0" applyFont="1" applyBorder="1" applyAlignment="1">
      <alignment horizontal="center" vertical="center"/>
    </xf>
    <xf numFmtId="0" fontId="7" fillId="0" borderId="0" xfId="0" applyFont="1" applyAlignment="1">
      <alignment horizontal="center" vertical="center"/>
    </xf>
    <xf numFmtId="0" fontId="7" fillId="0" borderId="13" xfId="0" applyFont="1" applyBorder="1" applyAlignment="1">
      <alignment horizontal="center" vertical="center"/>
    </xf>
    <xf numFmtId="9" fontId="8" fillId="0" borderId="8" xfId="0" applyNumberFormat="1" applyFont="1" applyBorder="1" applyAlignment="1">
      <alignment horizontal="center" vertical="center"/>
    </xf>
    <xf numFmtId="9" fontId="8" fillId="0" borderId="0" xfId="0" applyNumberFormat="1" applyFont="1" applyAlignment="1">
      <alignment horizontal="center" vertical="center"/>
    </xf>
    <xf numFmtId="9" fontId="8" fillId="0" borderId="13" xfId="0" applyNumberFormat="1" applyFont="1" applyBorder="1" applyAlignment="1">
      <alignment horizontal="center" vertical="center"/>
    </xf>
    <xf numFmtId="176" fontId="15" fillId="0" borderId="0" xfId="4" applyNumberFormat="1" applyFont="1" applyAlignment="1">
      <alignment horizontal="right" vertical="center"/>
    </xf>
    <xf numFmtId="0" fontId="5" fillId="0" borderId="0" xfId="4" applyFont="1">
      <alignment vertical="center"/>
    </xf>
    <xf numFmtId="0" fontId="15" fillId="0" borderId="8" xfId="4" applyFont="1" applyBorder="1" applyAlignment="1">
      <alignment horizontal="center" vertical="center"/>
    </xf>
    <xf numFmtId="0" fontId="15" fillId="0" borderId="0" xfId="4" applyFont="1" applyAlignment="1">
      <alignment horizontal="center" vertical="center"/>
    </xf>
    <xf numFmtId="0" fontId="15" fillId="0" borderId="13" xfId="4" applyFont="1" applyBorder="1" applyAlignment="1">
      <alignment horizontal="center" vertical="center"/>
    </xf>
    <xf numFmtId="0" fontId="15" fillId="0" borderId="8" xfId="4" applyFont="1" applyBorder="1" applyAlignment="1">
      <alignment vertical="center" shrinkToFit="1"/>
    </xf>
    <xf numFmtId="0" fontId="15" fillId="0" borderId="0" xfId="4" applyFont="1" applyAlignment="1">
      <alignment vertical="center" shrinkToFit="1"/>
    </xf>
    <xf numFmtId="0" fontId="15" fillId="0" borderId="13" xfId="4" applyFont="1" applyBorder="1" applyAlignment="1">
      <alignment vertical="center" shrinkToFit="1"/>
    </xf>
    <xf numFmtId="9" fontId="8" fillId="0" borderId="9" xfId="0" applyNumberFormat="1" applyFont="1" applyBorder="1" applyAlignment="1">
      <alignment horizontal="center" vertical="center"/>
    </xf>
    <xf numFmtId="0" fontId="15" fillId="0" borderId="12" xfId="4" applyFont="1" applyBorder="1" applyAlignment="1">
      <alignment vertical="center" shrinkToFit="1"/>
    </xf>
    <xf numFmtId="0" fontId="15" fillId="0" borderId="5" xfId="4" applyFont="1" applyBorder="1" applyAlignment="1">
      <alignment vertical="center" shrinkToFit="1"/>
    </xf>
    <xf numFmtId="0" fontId="15" fillId="0" borderId="14" xfId="4" applyFont="1" applyBorder="1" applyAlignment="1">
      <alignment vertical="center" shrinkToFit="1"/>
    </xf>
    <xf numFmtId="3" fontId="15" fillId="0" borderId="0" xfId="4" applyNumberFormat="1" applyFont="1" applyAlignment="1">
      <alignment horizontal="right" vertical="center"/>
    </xf>
    <xf numFmtId="0" fontId="15" fillId="0" borderId="8" xfId="4" applyFont="1" applyBorder="1" applyAlignment="1">
      <alignment horizontal="center" vertical="top" textRotation="255"/>
    </xf>
    <xf numFmtId="0" fontId="15" fillId="0" borderId="13" xfId="4" applyFont="1" applyBorder="1" applyAlignment="1">
      <alignment horizontal="center" vertical="top" textRotation="255"/>
    </xf>
    <xf numFmtId="9" fontId="15" fillId="0" borderId="8" xfId="4" applyNumberFormat="1" applyFont="1" applyBorder="1" applyAlignment="1">
      <alignment horizontal="center" vertical="top"/>
    </xf>
    <xf numFmtId="9" fontId="15" fillId="0" borderId="13" xfId="4" applyNumberFormat="1" applyFont="1" applyBorder="1" applyAlignment="1">
      <alignment horizontal="center" vertical="top"/>
    </xf>
    <xf numFmtId="0" fontId="15" fillId="0" borderId="12" xfId="4" applyFont="1" applyBorder="1" applyAlignment="1">
      <alignment horizontal="center" vertical="top" textRotation="255"/>
    </xf>
    <xf numFmtId="0" fontId="15" fillId="0" borderId="14" xfId="4" applyFont="1" applyBorder="1" applyAlignment="1">
      <alignment horizontal="center" vertical="top" textRotation="255"/>
    </xf>
    <xf numFmtId="0" fontId="12" fillId="0" borderId="8" xfId="4" applyFont="1" applyBorder="1" applyAlignment="1">
      <alignment horizontal="center" vertical="top" textRotation="255"/>
    </xf>
    <xf numFmtId="9" fontId="12" fillId="0" borderId="8" xfId="4" applyNumberFormat="1" applyFont="1" applyBorder="1" applyAlignment="1">
      <alignment horizontal="center" vertical="top"/>
    </xf>
    <xf numFmtId="0" fontId="12" fillId="0" borderId="12" xfId="4" applyFont="1" applyBorder="1" applyAlignment="1">
      <alignment horizontal="center" vertical="top" textRotation="255"/>
    </xf>
    <xf numFmtId="0" fontId="8" fillId="0" borderId="10" xfId="0" applyFont="1" applyBorder="1" applyAlignment="1">
      <alignment vertical="top" textRotation="255"/>
    </xf>
    <xf numFmtId="0" fontId="7" fillId="0" borderId="8" xfId="0" applyFont="1"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3" fontId="12" fillId="4" borderId="11" xfId="4" applyNumberFormat="1" applyFont="1" applyFill="1" applyBorder="1" applyAlignment="1">
      <alignment horizontal="right" vertical="center"/>
    </xf>
    <xf numFmtId="0" fontId="12" fillId="0" borderId="11" xfId="4" applyFont="1" applyBorder="1" applyAlignment="1">
      <alignment horizontal="right" vertical="center"/>
    </xf>
    <xf numFmtId="0" fontId="12" fillId="2" borderId="11" xfId="4" applyFont="1" applyFill="1" applyBorder="1" applyAlignment="1">
      <alignment horizontal="right" vertical="center"/>
    </xf>
    <xf numFmtId="9" fontId="12" fillId="0" borderId="0" xfId="4" applyNumberFormat="1" applyFont="1" applyAlignment="1">
      <alignment horizontal="right" vertical="center"/>
    </xf>
    <xf numFmtId="0" fontId="15" fillId="0" borderId="0" xfId="4" applyFont="1" applyAlignment="1">
      <alignment horizontal="right" vertical="center"/>
    </xf>
    <xf numFmtId="0" fontId="15" fillId="0" borderId="13" xfId="4" applyFont="1" applyBorder="1" applyAlignment="1">
      <alignment horizontal="right" vertical="center"/>
    </xf>
    <xf numFmtId="0" fontId="15" fillId="0" borderId="9" xfId="4" applyFont="1" applyBorder="1" applyAlignment="1">
      <alignment vertical="top" wrapText="1"/>
    </xf>
    <xf numFmtId="0" fontId="15" fillId="0" borderId="7" xfId="4" applyFont="1" applyBorder="1" applyAlignment="1">
      <alignment vertical="top" wrapText="1"/>
    </xf>
    <xf numFmtId="0" fontId="15" fillId="0" borderId="17" xfId="4" applyFont="1" applyBorder="1" applyAlignment="1">
      <alignment vertical="top" wrapText="1"/>
    </xf>
    <xf numFmtId="0" fontId="15" fillId="0" borderId="2" xfId="4" applyFont="1" applyBorder="1" applyAlignment="1">
      <alignment vertical="center" shrinkToFit="1"/>
    </xf>
    <xf numFmtId="0" fontId="5" fillId="0" borderId="11" xfId="4" applyFont="1" applyBorder="1" applyAlignment="1">
      <alignment vertical="center" shrinkToFit="1"/>
    </xf>
    <xf numFmtId="177" fontId="12" fillId="0" borderId="7" xfId="4" applyNumberFormat="1" applyFont="1" applyBorder="1" applyAlignment="1">
      <alignment horizontal="right" vertical="center"/>
    </xf>
    <xf numFmtId="177" fontId="12" fillId="0" borderId="17" xfId="4" applyNumberFormat="1" applyFont="1" applyBorder="1" applyAlignment="1">
      <alignment horizontal="right" vertical="center"/>
    </xf>
    <xf numFmtId="9" fontId="12" fillId="0" borderId="11" xfId="4" applyNumberFormat="1" applyFont="1" applyBorder="1" applyAlignment="1">
      <alignment horizontal="right" vertical="center"/>
    </xf>
    <xf numFmtId="0" fontId="12" fillId="0" borderId="5" xfId="4" applyFont="1" applyBorder="1" applyAlignment="1">
      <alignment horizontal="center" vertical="center"/>
    </xf>
    <xf numFmtId="0" fontId="12" fillId="0" borderId="14" xfId="4" applyFont="1" applyBorder="1" applyAlignment="1">
      <alignment horizontal="center" vertical="center"/>
    </xf>
    <xf numFmtId="0" fontId="15" fillId="0" borderId="12" xfId="4" applyFont="1" applyBorder="1" applyAlignment="1">
      <alignment horizontal="center" vertical="top" textRotation="255" wrapText="1"/>
    </xf>
    <xf numFmtId="0" fontId="15" fillId="0" borderId="14" xfId="4" applyFont="1" applyBorder="1" applyAlignment="1">
      <alignment horizontal="center" vertical="top" textRotation="255" wrapText="1"/>
    </xf>
    <xf numFmtId="0" fontId="15" fillId="0" borderId="8" xfId="4" applyFont="1" applyBorder="1" applyAlignment="1">
      <alignment horizontal="center" vertical="top" textRotation="255" wrapText="1"/>
    </xf>
    <xf numFmtId="0" fontId="15" fillId="0" borderId="13" xfId="4" applyFont="1" applyBorder="1" applyAlignment="1">
      <alignment horizontal="center" vertical="top" textRotation="255" wrapText="1"/>
    </xf>
    <xf numFmtId="0" fontId="15" fillId="0" borderId="12" xfId="4" applyFont="1" applyBorder="1" applyAlignment="1">
      <alignment vertical="center" wrapText="1"/>
    </xf>
    <xf numFmtId="0" fontId="15" fillId="0" borderId="5" xfId="4" applyFont="1" applyBorder="1" applyAlignment="1">
      <alignment vertical="center" wrapText="1"/>
    </xf>
    <xf numFmtId="0" fontId="15" fillId="0" borderId="14" xfId="4" applyFont="1" applyBorder="1" applyAlignment="1">
      <alignment vertical="center" wrapText="1"/>
    </xf>
    <xf numFmtId="0" fontId="15" fillId="0" borderId="8" xfId="4" applyFont="1" applyBorder="1" applyAlignment="1">
      <alignment vertical="center" wrapText="1"/>
    </xf>
    <xf numFmtId="0" fontId="15" fillId="0" borderId="0" xfId="4" applyFont="1" applyAlignment="1">
      <alignment vertical="center" wrapText="1"/>
    </xf>
    <xf numFmtId="0" fontId="15" fillId="0" borderId="13" xfId="4" applyFont="1" applyBorder="1" applyAlignment="1">
      <alignment vertical="center" wrapText="1"/>
    </xf>
    <xf numFmtId="0" fontId="15" fillId="0" borderId="12" xfId="4" applyFont="1" applyBorder="1" applyAlignment="1">
      <alignment horizontal="center" vertical="top" wrapText="1"/>
    </xf>
    <xf numFmtId="0" fontId="15" fillId="0" borderId="5" xfId="4" applyFont="1" applyBorder="1" applyAlignment="1">
      <alignment horizontal="center" vertical="top" wrapText="1"/>
    </xf>
    <xf numFmtId="0" fontId="15" fillId="0" borderId="14" xfId="4" applyFont="1" applyBorder="1" applyAlignment="1">
      <alignment horizontal="center" vertical="top" wrapText="1"/>
    </xf>
    <xf numFmtId="0" fontId="15" fillId="0" borderId="8" xfId="4" applyFont="1" applyBorder="1" applyAlignment="1">
      <alignment horizontal="center" vertical="top" wrapText="1"/>
    </xf>
    <xf numFmtId="0" fontId="15" fillId="0" borderId="0" xfId="4" applyFont="1" applyAlignment="1">
      <alignment horizontal="center" vertical="top" wrapText="1"/>
    </xf>
    <xf numFmtId="0" fontId="15" fillId="0" borderId="13" xfId="4" applyFont="1" applyBorder="1" applyAlignment="1">
      <alignment horizontal="center" vertical="top" wrapText="1"/>
    </xf>
    <xf numFmtId="0" fontId="15" fillId="0" borderId="9" xfId="4" applyFont="1" applyBorder="1" applyAlignment="1">
      <alignment horizontal="center" vertical="top" textRotation="255" wrapText="1"/>
    </xf>
    <xf numFmtId="0" fontId="15" fillId="0" borderId="17" xfId="4" applyFont="1" applyBorder="1" applyAlignment="1">
      <alignment horizontal="center" vertical="top" textRotation="255" wrapText="1"/>
    </xf>
    <xf numFmtId="3" fontId="15" fillId="2" borderId="11" xfId="4" applyNumberFormat="1" applyFont="1" applyFill="1" applyBorder="1" applyAlignment="1">
      <alignment horizontal="right" vertical="center"/>
    </xf>
    <xf numFmtId="3" fontId="15" fillId="0" borderId="11" xfId="4" applyNumberFormat="1" applyFont="1" applyBorder="1" applyAlignment="1">
      <alignment horizontal="right" vertical="center"/>
    </xf>
    <xf numFmtId="177" fontId="12" fillId="0" borderId="0" xfId="4" applyNumberFormat="1" applyFont="1" applyAlignment="1">
      <alignment horizontal="right" vertical="center"/>
    </xf>
    <xf numFmtId="177" fontId="12" fillId="0" borderId="13" xfId="4" applyNumberFormat="1" applyFont="1" applyBorder="1" applyAlignment="1">
      <alignment horizontal="right" vertical="center"/>
    </xf>
    <xf numFmtId="3" fontId="15" fillId="4" borderId="11" xfId="4" applyNumberFormat="1" applyFont="1" applyFill="1" applyBorder="1" applyAlignment="1">
      <alignment horizontal="right" vertical="center"/>
    </xf>
    <xf numFmtId="9" fontId="12" fillId="0" borderId="5" xfId="4" applyNumberFormat="1" applyFont="1" applyBorder="1" applyAlignment="1">
      <alignment horizontal="right" vertical="center"/>
    </xf>
    <xf numFmtId="3" fontId="12" fillId="0" borderId="0" xfId="4" applyNumberFormat="1" applyFont="1" applyAlignment="1">
      <alignment horizontal="center" vertical="center"/>
    </xf>
    <xf numFmtId="9" fontId="12" fillId="0" borderId="8" xfId="4" applyNumberFormat="1" applyFont="1" applyBorder="1" applyAlignment="1">
      <alignment horizontal="center" vertical="center"/>
    </xf>
    <xf numFmtId="9" fontId="12" fillId="0" borderId="13" xfId="4" applyNumberFormat="1" applyFont="1" applyBorder="1" applyAlignment="1">
      <alignment horizontal="center" vertical="center"/>
    </xf>
    <xf numFmtId="0" fontId="15" fillId="0" borderId="5" xfId="4" applyFont="1" applyBorder="1" applyAlignment="1">
      <alignment horizontal="center" vertical="top" textRotation="255" wrapText="1"/>
    </xf>
    <xf numFmtId="0" fontId="15" fillId="0" borderId="0" xfId="4" applyFont="1" applyAlignment="1">
      <alignment horizontal="center" vertical="top" textRotation="255" wrapText="1"/>
    </xf>
    <xf numFmtId="0" fontId="15" fillId="0" borderId="9" xfId="4" applyFont="1" applyBorder="1" applyAlignment="1">
      <alignment vertical="center" wrapText="1"/>
    </xf>
    <xf numFmtId="0" fontId="15" fillId="0" borderId="7" xfId="4" applyFont="1" applyBorder="1" applyAlignment="1">
      <alignment vertical="center" wrapText="1"/>
    </xf>
    <xf numFmtId="0" fontId="15" fillId="0" borderId="14" xfId="4" applyFont="1" applyBorder="1" applyAlignment="1">
      <alignment horizontal="center" textRotation="255" wrapText="1"/>
    </xf>
    <xf numFmtId="0" fontId="15" fillId="0" borderId="13" xfId="4" applyFont="1" applyBorder="1" applyAlignment="1">
      <alignment horizontal="center" textRotation="255" wrapText="1"/>
    </xf>
    <xf numFmtId="0" fontId="3" fillId="0" borderId="8" xfId="0" applyFont="1" applyBorder="1" applyAlignment="1">
      <alignment vertical="top" wrapText="1"/>
    </xf>
    <xf numFmtId="0" fontId="3" fillId="0" borderId="0" xfId="0" applyFont="1" applyAlignment="1">
      <alignment vertical="top" wrapText="1"/>
    </xf>
    <xf numFmtId="3" fontId="12" fillId="0" borderId="5" xfId="4" applyNumberFormat="1" applyFont="1" applyBorder="1" applyAlignment="1">
      <alignment horizontal="center" vertical="center"/>
    </xf>
    <xf numFmtId="177" fontId="12" fillId="0" borderId="11" xfId="4" applyNumberFormat="1" applyFont="1" applyBorder="1" applyAlignment="1">
      <alignment horizontal="right" vertical="center"/>
    </xf>
    <xf numFmtId="177" fontId="12" fillId="0" borderId="3" xfId="4" applyNumberFormat="1" applyFont="1" applyBorder="1" applyAlignment="1">
      <alignment horizontal="right" vertical="center"/>
    </xf>
    <xf numFmtId="9" fontId="12" fillId="0" borderId="13" xfId="4" applyNumberFormat="1" applyFont="1" applyBorder="1" applyAlignment="1">
      <alignment horizontal="right" vertical="center"/>
    </xf>
    <xf numFmtId="177" fontId="12" fillId="0" borderId="5" xfId="4" applyNumberFormat="1" applyFont="1" applyBorder="1" applyAlignment="1">
      <alignment horizontal="right" vertical="center"/>
    </xf>
    <xf numFmtId="177" fontId="12" fillId="0" borderId="14" xfId="4" applyNumberFormat="1" applyFont="1" applyBorder="1" applyAlignment="1">
      <alignment horizontal="right" vertical="center"/>
    </xf>
    <xf numFmtId="0" fontId="3" fillId="0" borderId="13" xfId="0" applyFont="1" applyBorder="1" applyAlignment="1">
      <alignment vertical="top" wrapText="1"/>
    </xf>
    <xf numFmtId="3" fontId="12" fillId="0" borderId="11" xfId="4" applyNumberFormat="1" applyFont="1" applyBorder="1" applyAlignment="1">
      <alignment horizontal="center" vertical="center"/>
    </xf>
    <xf numFmtId="0" fontId="12" fillId="0" borderId="11" xfId="4" applyFont="1" applyBorder="1" applyAlignment="1">
      <alignment horizontal="center" vertical="center"/>
    </xf>
    <xf numFmtId="0" fontId="15" fillId="0" borderId="9" xfId="0" applyFont="1" applyBorder="1" applyAlignment="1">
      <alignment vertical="top" wrapText="1"/>
    </xf>
    <xf numFmtId="0" fontId="3" fillId="0" borderId="17" xfId="0" applyFont="1" applyBorder="1" applyAlignment="1">
      <alignment vertical="top" wrapText="1"/>
    </xf>
    <xf numFmtId="0" fontId="3" fillId="0" borderId="8" xfId="0" applyFont="1" applyBorder="1" applyAlignment="1">
      <alignment horizontal="center" vertical="top" wrapText="1"/>
    </xf>
    <xf numFmtId="0" fontId="3" fillId="0" borderId="0" xfId="0" applyFont="1" applyAlignment="1">
      <alignment horizontal="center" vertical="top" wrapText="1"/>
    </xf>
    <xf numFmtId="0" fontId="3" fillId="0" borderId="9" xfId="0" applyFont="1" applyBorder="1" applyAlignment="1">
      <alignment horizontal="center" vertical="top" wrapText="1"/>
    </xf>
    <xf numFmtId="0" fontId="3" fillId="0" borderId="7" xfId="0" applyFont="1" applyBorder="1" applyAlignment="1">
      <alignment horizontal="center" vertical="top" wrapText="1"/>
    </xf>
    <xf numFmtId="9" fontId="12" fillId="0" borderId="0" xfId="4" applyNumberFormat="1" applyFont="1" applyAlignment="1">
      <alignment horizontal="center" vertical="center"/>
    </xf>
    <xf numFmtId="0" fontId="25" fillId="0" borderId="12" xfId="4" applyFont="1" applyBorder="1" applyAlignment="1">
      <alignment horizontal="center" vertical="top" textRotation="255" wrapText="1"/>
    </xf>
    <xf numFmtId="0" fontId="25" fillId="0" borderId="14" xfId="4" applyFont="1" applyBorder="1" applyAlignment="1">
      <alignment horizontal="center" vertical="top" textRotation="255" wrapText="1"/>
    </xf>
    <xf numFmtId="0" fontId="25" fillId="0" borderId="8" xfId="4" applyFont="1" applyBorder="1" applyAlignment="1">
      <alignment horizontal="center" vertical="top" textRotation="255" wrapText="1"/>
    </xf>
    <xf numFmtId="0" fontId="25" fillId="0" borderId="13" xfId="4" applyFont="1" applyBorder="1" applyAlignment="1">
      <alignment horizontal="center" vertical="top" textRotation="255" wrapText="1"/>
    </xf>
    <xf numFmtId="0" fontId="17" fillId="0" borderId="8" xfId="0" applyFont="1" applyBorder="1" applyAlignment="1">
      <alignment vertical="top" wrapText="1"/>
    </xf>
    <xf numFmtId="0" fontId="17" fillId="0" borderId="13" xfId="0" applyFont="1" applyBorder="1" applyAlignment="1">
      <alignment vertical="top" wrapText="1"/>
    </xf>
    <xf numFmtId="0" fontId="3" fillId="0" borderId="9" xfId="0" applyFont="1" applyBorder="1" applyAlignment="1">
      <alignment vertical="top" wrapText="1"/>
    </xf>
    <xf numFmtId="0" fontId="3" fillId="0" borderId="7" xfId="0" applyFont="1" applyBorder="1" applyAlignment="1">
      <alignment vertical="top" wrapText="1"/>
    </xf>
  </cellXfs>
  <cellStyles count="6">
    <cellStyle name="パーセント" xfId="2" builtinId="5"/>
    <cellStyle name="桁区切り" xfId="1" builtinId="6"/>
    <cellStyle name="桁区切り 2" xfId="5" xr:uid="{00000000-0005-0000-0000-000002000000}"/>
    <cellStyle name="標準" xfId="0" builtinId="0"/>
    <cellStyle name="標準 2" xfId="4" xr:uid="{00000000-0005-0000-0000-000004000000}"/>
    <cellStyle name="標準 2 3" xfId="3"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calcChain" Target="calcChain.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ustomXml" Target="../customXml/item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drawings/drawing1.xml><?xml version="1.0" encoding="utf-8"?>
<xdr:wsDr xmlns:xdr="http://schemas.openxmlformats.org/drawingml/2006/spreadsheetDrawing" xmlns:a="http://schemas.openxmlformats.org/drawingml/2006/main">
  <xdr:twoCellAnchor>
    <xdr:from>
      <xdr:col>2</xdr:col>
      <xdr:colOff>0</xdr:colOff>
      <xdr:row>5</xdr:row>
      <xdr:rowOff>9525</xdr:rowOff>
    </xdr:from>
    <xdr:to>
      <xdr:col>3</xdr:col>
      <xdr:colOff>485775</xdr:colOff>
      <xdr:row>5</xdr:row>
      <xdr:rowOff>161925</xdr:rowOff>
    </xdr:to>
    <xdr:sp macro="" textlink="">
      <xdr:nvSpPr>
        <xdr:cNvPr id="2" name="AutoShape 1">
          <a:extLst>
            <a:ext uri="{FF2B5EF4-FFF2-40B4-BE49-F238E27FC236}">
              <a16:creationId xmlns:a16="http://schemas.microsoft.com/office/drawing/2014/main" id="{ACF0009A-7119-4935-875E-60CDE1029BE1}"/>
            </a:ext>
          </a:extLst>
        </xdr:cNvPr>
        <xdr:cNvSpPr>
          <a:spLocks/>
        </xdr:cNvSpPr>
      </xdr:nvSpPr>
      <xdr:spPr bwMode="auto">
        <a:xfrm rot="5400000">
          <a:off x="1084263" y="696912"/>
          <a:ext cx="152400" cy="923925"/>
        </a:xfrm>
        <a:prstGeom prst="rightBrace">
          <a:avLst>
            <a:gd name="adj1" fmla="val 54167"/>
            <a:gd name="adj2" fmla="val 50000"/>
          </a:avLst>
        </a:prstGeom>
        <a:noFill/>
        <a:ln w="9525">
          <a:solidFill>
            <a:srgbClr val="000000"/>
          </a:solidFill>
          <a:round/>
          <a:headEnd/>
          <a:tailEnd/>
        </a:ln>
      </xdr:spPr>
    </xdr:sp>
    <xdr:clientData/>
  </xdr:twoCellAnchor>
  <xdr:twoCellAnchor>
    <xdr:from>
      <xdr:col>1</xdr:col>
      <xdr:colOff>409575</xdr:colOff>
      <xdr:row>6</xdr:row>
      <xdr:rowOff>95250</xdr:rowOff>
    </xdr:from>
    <xdr:to>
      <xdr:col>5</xdr:col>
      <xdr:colOff>19050</xdr:colOff>
      <xdr:row>7</xdr:row>
      <xdr:rowOff>171450</xdr:rowOff>
    </xdr:to>
    <xdr:sp macro="" textlink="">
      <xdr:nvSpPr>
        <xdr:cNvPr id="3" name="Text Box 2">
          <a:extLst>
            <a:ext uri="{FF2B5EF4-FFF2-40B4-BE49-F238E27FC236}">
              <a16:creationId xmlns:a16="http://schemas.microsoft.com/office/drawing/2014/main" id="{6081B899-21DD-4A92-A631-C7323A51B1B4}"/>
            </a:ext>
          </a:extLst>
        </xdr:cNvPr>
        <xdr:cNvSpPr txBox="1">
          <a:spLocks noChangeArrowheads="1"/>
        </xdr:cNvSpPr>
      </xdr:nvSpPr>
      <xdr:spPr bwMode="auto">
        <a:xfrm>
          <a:off x="644525" y="1339850"/>
          <a:ext cx="1463675" cy="2413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サービス種類コード</a:t>
          </a:r>
        </a:p>
      </xdr:txBody>
    </xdr:sp>
    <xdr:clientData/>
  </xdr:twoCellAnchor>
  <xdr:twoCellAnchor>
    <xdr:from>
      <xdr:col>4</xdr:col>
      <xdr:colOff>28575</xdr:colOff>
      <xdr:row>5</xdr:row>
      <xdr:rowOff>19050</xdr:rowOff>
    </xdr:from>
    <xdr:to>
      <xdr:col>7</xdr:col>
      <xdr:colOff>476250</xdr:colOff>
      <xdr:row>5</xdr:row>
      <xdr:rowOff>161925</xdr:rowOff>
    </xdr:to>
    <xdr:sp macro="" textlink="">
      <xdr:nvSpPr>
        <xdr:cNvPr id="4" name="AutoShape 3">
          <a:extLst>
            <a:ext uri="{FF2B5EF4-FFF2-40B4-BE49-F238E27FC236}">
              <a16:creationId xmlns:a16="http://schemas.microsoft.com/office/drawing/2014/main" id="{1A526296-FF47-452F-92DF-6675E31DE072}"/>
            </a:ext>
          </a:extLst>
        </xdr:cNvPr>
        <xdr:cNvSpPr>
          <a:spLocks/>
        </xdr:cNvSpPr>
      </xdr:nvSpPr>
      <xdr:spPr bwMode="auto">
        <a:xfrm rot="5400000">
          <a:off x="2495550" y="250825"/>
          <a:ext cx="142875" cy="1825625"/>
        </a:xfrm>
        <a:prstGeom prst="rightBrace">
          <a:avLst>
            <a:gd name="adj1" fmla="val 114444"/>
            <a:gd name="adj2" fmla="val 50000"/>
          </a:avLst>
        </a:prstGeom>
        <a:noFill/>
        <a:ln w="9525">
          <a:solidFill>
            <a:srgbClr val="000000"/>
          </a:solidFill>
          <a:round/>
          <a:headEnd/>
          <a:tailEnd/>
        </a:ln>
      </xdr:spPr>
    </xdr:sp>
    <xdr:clientData/>
  </xdr:twoCellAnchor>
  <xdr:twoCellAnchor>
    <xdr:from>
      <xdr:col>4</xdr:col>
      <xdr:colOff>438150</xdr:colOff>
      <xdr:row>6</xdr:row>
      <xdr:rowOff>95250</xdr:rowOff>
    </xdr:from>
    <xdr:to>
      <xdr:col>8</xdr:col>
      <xdr:colOff>66675</xdr:colOff>
      <xdr:row>7</xdr:row>
      <xdr:rowOff>171450</xdr:rowOff>
    </xdr:to>
    <xdr:sp macro="" textlink="">
      <xdr:nvSpPr>
        <xdr:cNvPr id="5" name="Text Box 4">
          <a:extLst>
            <a:ext uri="{FF2B5EF4-FFF2-40B4-BE49-F238E27FC236}">
              <a16:creationId xmlns:a16="http://schemas.microsoft.com/office/drawing/2014/main" id="{1D310C71-F4BA-4E03-9ADB-C038EDF0E061}"/>
            </a:ext>
          </a:extLst>
        </xdr:cNvPr>
        <xdr:cNvSpPr txBox="1">
          <a:spLocks noChangeArrowheads="1"/>
        </xdr:cNvSpPr>
      </xdr:nvSpPr>
      <xdr:spPr bwMode="auto">
        <a:xfrm>
          <a:off x="2063750" y="1339850"/>
          <a:ext cx="1482725" cy="2413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サービス項目コード</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G381"/>
  <sheetViews>
    <sheetView zoomScale="85" zoomScaleNormal="85" workbookViewId="0"/>
  </sheetViews>
  <sheetFormatPr defaultColWidth="9" defaultRowHeight="13.5" x14ac:dyDescent="0.15"/>
  <cols>
    <col min="1" max="1" width="9" style="1"/>
    <col min="2" max="2" width="52.5" style="1" customWidth="1"/>
    <col min="3" max="3" width="8.5" style="1" customWidth="1"/>
    <col min="4" max="16384" width="9" style="1"/>
  </cols>
  <sheetData>
    <row r="1" spans="1:6" x14ac:dyDescent="0.15">
      <c r="B1" s="1" t="s">
        <v>0</v>
      </c>
    </row>
    <row r="3" spans="1:6" x14ac:dyDescent="0.15">
      <c r="A3" s="2" t="s">
        <v>1</v>
      </c>
      <c r="B3" s="2" t="s">
        <v>2</v>
      </c>
      <c r="C3" s="3" t="s">
        <v>3</v>
      </c>
    </row>
    <row r="4" spans="1:6" x14ac:dyDescent="0.15">
      <c r="A4" s="2">
        <v>1</v>
      </c>
      <c r="B4" s="2" t="s">
        <v>4</v>
      </c>
      <c r="C4" s="4">
        <v>255</v>
      </c>
      <c r="E4" s="5"/>
    </row>
    <row r="5" spans="1:6" x14ac:dyDescent="0.15">
      <c r="A5" s="2">
        <v>2</v>
      </c>
      <c r="B5" s="2" t="s">
        <v>5</v>
      </c>
      <c r="C5" s="4">
        <v>402</v>
      </c>
      <c r="E5" s="5"/>
    </row>
    <row r="6" spans="1:6" x14ac:dyDescent="0.15">
      <c r="A6" s="2">
        <v>3</v>
      </c>
      <c r="B6" s="2" t="s">
        <v>6</v>
      </c>
      <c r="C6" s="4">
        <v>584</v>
      </c>
      <c r="E6" s="5"/>
    </row>
    <row r="7" spans="1:6" x14ac:dyDescent="0.15">
      <c r="A7" s="2">
        <v>4</v>
      </c>
      <c r="B7" s="2" t="s">
        <v>7</v>
      </c>
      <c r="C7" s="4">
        <v>666</v>
      </c>
      <c r="E7" s="5"/>
    </row>
    <row r="8" spans="1:6" x14ac:dyDescent="0.15">
      <c r="A8" s="2">
        <v>5</v>
      </c>
      <c r="B8" s="2" t="s">
        <v>8</v>
      </c>
      <c r="C8" s="4">
        <v>750</v>
      </c>
      <c r="E8" s="5"/>
    </row>
    <row r="9" spans="1:6" x14ac:dyDescent="0.15">
      <c r="A9" s="2">
        <v>6</v>
      </c>
      <c r="B9" s="2" t="s">
        <v>9</v>
      </c>
      <c r="C9" s="4">
        <v>833</v>
      </c>
      <c r="E9" s="5"/>
    </row>
    <row r="10" spans="1:6" x14ac:dyDescent="0.15">
      <c r="A10" s="2">
        <v>7</v>
      </c>
      <c r="B10" s="2" t="s">
        <v>10</v>
      </c>
      <c r="C10" s="4">
        <v>916</v>
      </c>
      <c r="E10" s="5"/>
    </row>
    <row r="11" spans="1:6" x14ac:dyDescent="0.15">
      <c r="A11" s="2">
        <v>8</v>
      </c>
      <c r="B11" s="2" t="s">
        <v>11</v>
      </c>
      <c r="C11" s="4">
        <v>999</v>
      </c>
      <c r="E11" s="5"/>
      <c r="F11" s="5"/>
    </row>
    <row r="12" spans="1:6" x14ac:dyDescent="0.15">
      <c r="A12" s="2">
        <v>9</v>
      </c>
      <c r="B12" s="2" t="s">
        <v>12</v>
      </c>
      <c r="C12" s="4">
        <v>1082</v>
      </c>
      <c r="E12" s="5"/>
      <c r="F12" s="5"/>
    </row>
    <row r="13" spans="1:6" x14ac:dyDescent="0.15">
      <c r="A13" s="2">
        <v>10</v>
      </c>
      <c r="B13" s="2" t="s">
        <v>13</v>
      </c>
      <c r="C13" s="4">
        <v>1165</v>
      </c>
      <c r="E13" s="5"/>
      <c r="F13" s="5"/>
    </row>
    <row r="14" spans="1:6" x14ac:dyDescent="0.15">
      <c r="A14" s="2">
        <v>11</v>
      </c>
      <c r="B14" s="2" t="s">
        <v>14</v>
      </c>
      <c r="C14" s="4">
        <v>1248</v>
      </c>
      <c r="E14" s="5"/>
      <c r="F14" s="5"/>
    </row>
    <row r="15" spans="1:6" x14ac:dyDescent="0.15">
      <c r="A15" s="2">
        <v>12</v>
      </c>
      <c r="B15" s="2" t="s">
        <v>15</v>
      </c>
      <c r="C15" s="4">
        <v>1331</v>
      </c>
      <c r="E15" s="5"/>
      <c r="F15" s="5"/>
    </row>
    <row r="16" spans="1:6" x14ac:dyDescent="0.15">
      <c r="A16" s="2">
        <v>13</v>
      </c>
      <c r="B16" s="2" t="s">
        <v>16</v>
      </c>
      <c r="C16" s="4">
        <v>1414</v>
      </c>
      <c r="E16" s="5"/>
      <c r="F16" s="5"/>
    </row>
    <row r="17" spans="1:6" x14ac:dyDescent="0.15">
      <c r="A17" s="2">
        <v>14</v>
      </c>
      <c r="B17" s="2" t="s">
        <v>17</v>
      </c>
      <c r="C17" s="4">
        <v>1497</v>
      </c>
      <c r="E17" s="5"/>
      <c r="F17" s="5"/>
    </row>
    <row r="18" spans="1:6" x14ac:dyDescent="0.15">
      <c r="A18" s="2">
        <v>15</v>
      </c>
      <c r="B18" s="2" t="s">
        <v>18</v>
      </c>
      <c r="C18" s="4">
        <v>1580</v>
      </c>
      <c r="E18" s="5"/>
      <c r="F18" s="5"/>
    </row>
    <row r="19" spans="1:6" x14ac:dyDescent="0.15">
      <c r="A19" s="2">
        <v>16</v>
      </c>
      <c r="B19" s="2" t="s">
        <v>19</v>
      </c>
      <c r="C19" s="4">
        <v>1663</v>
      </c>
      <c r="E19" s="5"/>
      <c r="F19" s="5"/>
    </row>
    <row r="20" spans="1:6" x14ac:dyDescent="0.15">
      <c r="A20" s="2">
        <v>17</v>
      </c>
      <c r="B20" s="2" t="s">
        <v>20</v>
      </c>
      <c r="C20" s="4">
        <v>1746</v>
      </c>
      <c r="E20" s="5"/>
      <c r="F20" s="5"/>
    </row>
    <row r="21" spans="1:6" x14ac:dyDescent="0.15">
      <c r="A21" s="2">
        <v>18</v>
      </c>
      <c r="B21" s="2" t="s">
        <v>21</v>
      </c>
      <c r="C21" s="4">
        <v>1829</v>
      </c>
      <c r="E21" s="5"/>
      <c r="F21" s="5"/>
    </row>
    <row r="22" spans="1:6" x14ac:dyDescent="0.15">
      <c r="A22" s="2">
        <v>19</v>
      </c>
      <c r="B22" s="2" t="s">
        <v>22</v>
      </c>
      <c r="C22" s="4">
        <v>1912</v>
      </c>
      <c r="E22" s="5"/>
      <c r="F22" s="5"/>
    </row>
    <row r="23" spans="1:6" x14ac:dyDescent="0.15">
      <c r="A23" s="2">
        <v>20</v>
      </c>
      <c r="B23" s="2" t="s">
        <v>23</v>
      </c>
      <c r="C23" s="4">
        <v>1995</v>
      </c>
      <c r="E23" s="5"/>
      <c r="F23" s="5"/>
    </row>
    <row r="24" spans="1:6" x14ac:dyDescent="0.15">
      <c r="A24" s="2">
        <v>21</v>
      </c>
      <c r="B24" s="2" t="s">
        <v>24</v>
      </c>
      <c r="C24" s="4">
        <v>2078</v>
      </c>
      <c r="E24" s="5"/>
      <c r="F24" s="5"/>
    </row>
    <row r="25" spans="1:6" x14ac:dyDescent="0.15">
      <c r="A25" s="2">
        <v>22</v>
      </c>
      <c r="B25" s="2" t="s">
        <v>25</v>
      </c>
      <c r="C25" s="4">
        <v>83</v>
      </c>
      <c r="E25" s="5"/>
      <c r="F25" s="5"/>
    </row>
    <row r="26" spans="1:6" x14ac:dyDescent="0.15">
      <c r="A26" s="2">
        <v>23</v>
      </c>
      <c r="B26" s="2" t="s">
        <v>26</v>
      </c>
      <c r="C26" s="4">
        <v>166</v>
      </c>
      <c r="E26" s="5"/>
      <c r="F26" s="5"/>
    </row>
    <row r="27" spans="1:6" x14ac:dyDescent="0.15">
      <c r="A27" s="2">
        <v>24</v>
      </c>
      <c r="B27" s="2" t="s">
        <v>27</v>
      </c>
      <c r="C27" s="4">
        <v>249</v>
      </c>
      <c r="E27" s="5"/>
      <c r="F27" s="5"/>
    </row>
    <row r="28" spans="1:6" x14ac:dyDescent="0.15">
      <c r="A28" s="2">
        <v>25</v>
      </c>
      <c r="B28" s="2" t="s">
        <v>28</v>
      </c>
      <c r="C28" s="4">
        <v>332</v>
      </c>
      <c r="E28" s="5"/>
      <c r="F28" s="5"/>
    </row>
    <row r="29" spans="1:6" x14ac:dyDescent="0.15">
      <c r="A29" s="2">
        <v>26</v>
      </c>
      <c r="B29" s="2" t="s">
        <v>29</v>
      </c>
      <c r="C29" s="4">
        <v>415</v>
      </c>
      <c r="E29" s="5"/>
      <c r="F29" s="5"/>
    </row>
    <row r="30" spans="1:6" x14ac:dyDescent="0.15">
      <c r="A30" s="2">
        <v>27</v>
      </c>
      <c r="B30" s="2" t="s">
        <v>30</v>
      </c>
      <c r="C30" s="4">
        <v>498</v>
      </c>
      <c r="E30" s="5"/>
      <c r="F30" s="5"/>
    </row>
    <row r="31" spans="1:6" x14ac:dyDescent="0.15">
      <c r="A31" s="2">
        <v>28</v>
      </c>
      <c r="B31" s="2" t="s">
        <v>31</v>
      </c>
      <c r="C31" s="4">
        <v>581</v>
      </c>
      <c r="E31" s="5"/>
      <c r="F31" s="5"/>
    </row>
    <row r="32" spans="1:6" x14ac:dyDescent="0.15">
      <c r="A32" s="2">
        <v>29</v>
      </c>
      <c r="B32" s="2" t="s">
        <v>32</v>
      </c>
      <c r="C32" s="4">
        <v>664</v>
      </c>
      <c r="E32" s="5"/>
      <c r="F32" s="5"/>
    </row>
    <row r="33" spans="1:6" x14ac:dyDescent="0.15">
      <c r="A33" s="2">
        <v>30</v>
      </c>
      <c r="B33" s="2" t="s">
        <v>33</v>
      </c>
      <c r="C33" s="4">
        <v>747</v>
      </c>
      <c r="E33" s="5"/>
      <c r="F33" s="5"/>
    </row>
    <row r="34" spans="1:6" x14ac:dyDescent="0.15">
      <c r="A34" s="2">
        <v>31</v>
      </c>
      <c r="B34" s="2" t="s">
        <v>34</v>
      </c>
      <c r="C34" s="4">
        <v>830</v>
      </c>
      <c r="E34" s="5"/>
      <c r="F34" s="5"/>
    </row>
    <row r="35" spans="1:6" x14ac:dyDescent="0.15">
      <c r="A35" s="2">
        <v>32</v>
      </c>
      <c r="B35" s="2" t="s">
        <v>35</v>
      </c>
      <c r="C35" s="4">
        <v>913</v>
      </c>
      <c r="E35" s="5"/>
      <c r="F35" s="5"/>
    </row>
    <row r="36" spans="1:6" x14ac:dyDescent="0.15">
      <c r="A36" s="2">
        <v>33</v>
      </c>
      <c r="B36" s="2" t="s">
        <v>36</v>
      </c>
      <c r="C36" s="4">
        <v>996</v>
      </c>
      <c r="E36" s="5"/>
      <c r="F36" s="5"/>
    </row>
    <row r="37" spans="1:6" x14ac:dyDescent="0.15">
      <c r="A37" s="2">
        <v>34</v>
      </c>
      <c r="B37" s="2" t="s">
        <v>37</v>
      </c>
      <c r="C37" s="4">
        <v>1079</v>
      </c>
      <c r="E37" s="5"/>
      <c r="F37" s="5"/>
    </row>
    <row r="38" spans="1:6" x14ac:dyDescent="0.15">
      <c r="A38" s="2">
        <v>35</v>
      </c>
      <c r="B38" s="2" t="s">
        <v>38</v>
      </c>
      <c r="C38" s="4">
        <v>1162</v>
      </c>
      <c r="E38" s="5"/>
      <c r="F38" s="5"/>
    </row>
    <row r="39" spans="1:6" x14ac:dyDescent="0.15">
      <c r="A39" s="2">
        <v>36</v>
      </c>
      <c r="B39" s="2" t="s">
        <v>39</v>
      </c>
      <c r="C39" s="4">
        <v>1245</v>
      </c>
      <c r="E39" s="5"/>
      <c r="F39" s="5"/>
    </row>
    <row r="40" spans="1:6" x14ac:dyDescent="0.15">
      <c r="A40" s="2">
        <v>37</v>
      </c>
      <c r="B40" s="2" t="s">
        <v>40</v>
      </c>
      <c r="C40" s="4">
        <v>1328</v>
      </c>
      <c r="E40" s="5"/>
      <c r="F40" s="5"/>
    </row>
    <row r="41" spans="1:6" x14ac:dyDescent="0.15">
      <c r="A41" s="2">
        <v>38</v>
      </c>
      <c r="B41" s="2" t="s">
        <v>41</v>
      </c>
      <c r="C41" s="4">
        <v>1411</v>
      </c>
      <c r="E41" s="5"/>
      <c r="F41" s="5"/>
    </row>
    <row r="42" spans="1:6" x14ac:dyDescent="0.15">
      <c r="A42" s="2">
        <v>39</v>
      </c>
      <c r="B42" s="2" t="s">
        <v>42</v>
      </c>
      <c r="C42" s="4">
        <v>1494</v>
      </c>
      <c r="E42" s="5"/>
      <c r="F42" s="5"/>
    </row>
    <row r="43" spans="1:6" x14ac:dyDescent="0.15">
      <c r="A43" s="2">
        <v>40</v>
      </c>
      <c r="B43" s="2" t="s">
        <v>43</v>
      </c>
      <c r="C43" s="4">
        <v>1577</v>
      </c>
      <c r="E43" s="5"/>
      <c r="F43" s="5"/>
    </row>
    <row r="44" spans="1:6" x14ac:dyDescent="0.15">
      <c r="A44" s="2">
        <v>41</v>
      </c>
      <c r="B44" s="2" t="s">
        <v>44</v>
      </c>
      <c r="C44" s="4">
        <v>1660</v>
      </c>
      <c r="E44" s="5"/>
      <c r="F44" s="5"/>
    </row>
    <row r="45" spans="1:6" x14ac:dyDescent="0.15">
      <c r="A45" s="2">
        <v>42</v>
      </c>
      <c r="B45" s="2" t="s">
        <v>45</v>
      </c>
      <c r="C45" s="4">
        <v>1743</v>
      </c>
      <c r="E45" s="5"/>
      <c r="F45" s="5"/>
    </row>
    <row r="46" spans="1:6" x14ac:dyDescent="0.15">
      <c r="A46" s="2">
        <v>43</v>
      </c>
      <c r="B46" s="2" t="s">
        <v>46</v>
      </c>
      <c r="C46" s="4">
        <v>185</v>
      </c>
      <c r="E46" s="5"/>
    </row>
    <row r="47" spans="1:6" x14ac:dyDescent="0.15">
      <c r="A47" s="2">
        <v>44</v>
      </c>
      <c r="B47" s="2" t="s">
        <v>47</v>
      </c>
      <c r="C47" s="4">
        <v>275</v>
      </c>
      <c r="E47" s="5"/>
    </row>
    <row r="48" spans="1:6" x14ac:dyDescent="0.15">
      <c r="A48" s="2">
        <v>45</v>
      </c>
      <c r="B48" s="2" t="s">
        <v>48</v>
      </c>
      <c r="C48" s="4">
        <v>367</v>
      </c>
      <c r="E48" s="5"/>
    </row>
    <row r="49" spans="1:6" x14ac:dyDescent="0.15">
      <c r="A49" s="2">
        <v>46</v>
      </c>
      <c r="B49" s="2" t="s">
        <v>49</v>
      </c>
      <c r="C49" s="4">
        <v>458</v>
      </c>
      <c r="E49" s="5"/>
    </row>
    <row r="50" spans="1:6" x14ac:dyDescent="0.15">
      <c r="A50" s="2">
        <v>47</v>
      </c>
      <c r="B50" s="2" t="s">
        <v>50</v>
      </c>
      <c r="C50" s="4">
        <v>550</v>
      </c>
      <c r="E50" s="5"/>
    </row>
    <row r="51" spans="1:6" x14ac:dyDescent="0.15">
      <c r="A51" s="2">
        <v>48</v>
      </c>
      <c r="B51" s="2" t="s">
        <v>51</v>
      </c>
      <c r="C51" s="4">
        <v>635</v>
      </c>
      <c r="E51" s="5"/>
      <c r="F51" s="5"/>
    </row>
    <row r="52" spans="1:6" x14ac:dyDescent="0.15">
      <c r="A52" s="2">
        <v>49</v>
      </c>
      <c r="B52" s="2" t="s">
        <v>52</v>
      </c>
      <c r="C52" s="4">
        <v>721</v>
      </c>
      <c r="E52" s="5"/>
      <c r="F52" s="5"/>
    </row>
    <row r="53" spans="1:6" x14ac:dyDescent="0.15">
      <c r="A53" s="2">
        <v>50</v>
      </c>
      <c r="B53" s="2" t="s">
        <v>53</v>
      </c>
      <c r="C53" s="4">
        <v>807</v>
      </c>
      <c r="E53" s="5"/>
      <c r="F53" s="5"/>
    </row>
    <row r="54" spans="1:6" x14ac:dyDescent="0.15">
      <c r="A54" s="2">
        <v>51</v>
      </c>
      <c r="B54" s="2" t="s">
        <v>54</v>
      </c>
      <c r="C54" s="4">
        <v>893</v>
      </c>
      <c r="E54" s="5"/>
      <c r="F54" s="5"/>
    </row>
    <row r="55" spans="1:6" x14ac:dyDescent="0.15">
      <c r="A55" s="2">
        <v>52</v>
      </c>
      <c r="B55" s="2" t="s">
        <v>55</v>
      </c>
      <c r="C55" s="4">
        <v>979</v>
      </c>
      <c r="E55" s="5"/>
      <c r="F55" s="5"/>
    </row>
    <row r="56" spans="1:6" x14ac:dyDescent="0.15">
      <c r="A56" s="2">
        <v>53</v>
      </c>
      <c r="B56" s="2" t="s">
        <v>56</v>
      </c>
      <c r="C56" s="4">
        <v>1065</v>
      </c>
      <c r="E56" s="5"/>
      <c r="F56" s="5"/>
    </row>
    <row r="57" spans="1:6" x14ac:dyDescent="0.15">
      <c r="A57" s="2">
        <v>54</v>
      </c>
      <c r="B57" s="2" t="s">
        <v>57</v>
      </c>
      <c r="C57" s="4">
        <v>1151</v>
      </c>
      <c r="E57" s="5"/>
      <c r="F57" s="5"/>
    </row>
    <row r="58" spans="1:6" x14ac:dyDescent="0.15">
      <c r="A58" s="2">
        <v>55</v>
      </c>
      <c r="B58" s="2" t="s">
        <v>58</v>
      </c>
      <c r="C58" s="4">
        <v>1237</v>
      </c>
      <c r="E58" s="5"/>
      <c r="F58" s="5"/>
    </row>
    <row r="59" spans="1:6" x14ac:dyDescent="0.15">
      <c r="A59" s="2">
        <v>56</v>
      </c>
      <c r="B59" s="2" t="s">
        <v>59</v>
      </c>
      <c r="C59" s="4">
        <v>1323</v>
      </c>
      <c r="E59" s="5"/>
      <c r="F59" s="5"/>
    </row>
    <row r="60" spans="1:6" x14ac:dyDescent="0.15">
      <c r="A60" s="2">
        <v>57</v>
      </c>
      <c r="B60" s="2" t="s">
        <v>60</v>
      </c>
      <c r="C60" s="4">
        <v>1409</v>
      </c>
      <c r="E60" s="5"/>
      <c r="F60" s="5"/>
    </row>
    <row r="61" spans="1:6" x14ac:dyDescent="0.15">
      <c r="A61" s="2">
        <v>58</v>
      </c>
      <c r="B61" s="2" t="s">
        <v>61</v>
      </c>
      <c r="C61" s="4">
        <v>1495</v>
      </c>
      <c r="E61" s="5"/>
      <c r="F61" s="5"/>
    </row>
    <row r="62" spans="1:6" x14ac:dyDescent="0.15">
      <c r="A62" s="2">
        <v>59</v>
      </c>
      <c r="B62" s="2" t="s">
        <v>62</v>
      </c>
      <c r="C62" s="4">
        <v>1581</v>
      </c>
      <c r="E62" s="5"/>
      <c r="F62" s="5"/>
    </row>
    <row r="63" spans="1:6" x14ac:dyDescent="0.15">
      <c r="A63" s="2">
        <v>60</v>
      </c>
      <c r="B63" s="2" t="s">
        <v>63</v>
      </c>
      <c r="C63" s="4">
        <v>1667</v>
      </c>
      <c r="E63" s="5"/>
      <c r="F63" s="5"/>
    </row>
    <row r="64" spans="1:6" x14ac:dyDescent="0.15">
      <c r="A64" s="2">
        <v>61</v>
      </c>
      <c r="B64" s="2" t="s">
        <v>64</v>
      </c>
      <c r="C64" s="4">
        <v>1753</v>
      </c>
      <c r="E64" s="5"/>
      <c r="F64" s="5"/>
    </row>
    <row r="65" spans="1:6" x14ac:dyDescent="0.15">
      <c r="A65" s="2">
        <v>62</v>
      </c>
      <c r="B65" s="2" t="s">
        <v>65</v>
      </c>
      <c r="C65" s="4">
        <v>1839</v>
      </c>
      <c r="E65" s="5"/>
      <c r="F65" s="5"/>
    </row>
    <row r="66" spans="1:6" x14ac:dyDescent="0.15">
      <c r="A66" s="2">
        <v>63</v>
      </c>
      <c r="B66" s="2" t="s">
        <v>66</v>
      </c>
      <c r="C66" s="4">
        <v>86</v>
      </c>
      <c r="E66" s="5"/>
    </row>
    <row r="67" spans="1:6" x14ac:dyDescent="0.15">
      <c r="A67" s="2">
        <v>64</v>
      </c>
      <c r="B67" s="2" t="s">
        <v>67</v>
      </c>
      <c r="C67" s="4">
        <v>172</v>
      </c>
      <c r="E67" s="5"/>
      <c r="F67" s="5"/>
    </row>
    <row r="68" spans="1:6" x14ac:dyDescent="0.15">
      <c r="A68" s="2">
        <v>65</v>
      </c>
      <c r="B68" s="2" t="s">
        <v>68</v>
      </c>
      <c r="C68" s="4">
        <v>258</v>
      </c>
      <c r="E68" s="5"/>
      <c r="F68" s="5"/>
    </row>
    <row r="69" spans="1:6" x14ac:dyDescent="0.15">
      <c r="A69" s="2">
        <v>66</v>
      </c>
      <c r="B69" s="2" t="s">
        <v>69</v>
      </c>
      <c r="C69" s="4">
        <v>344</v>
      </c>
      <c r="E69" s="5"/>
      <c r="F69" s="5"/>
    </row>
    <row r="70" spans="1:6" x14ac:dyDescent="0.15">
      <c r="A70" s="2">
        <v>67</v>
      </c>
      <c r="B70" s="2" t="s">
        <v>70</v>
      </c>
      <c r="C70" s="4">
        <v>430</v>
      </c>
      <c r="E70" s="5"/>
      <c r="F70" s="5"/>
    </row>
    <row r="71" spans="1:6" x14ac:dyDescent="0.15">
      <c r="A71" s="2">
        <v>68</v>
      </c>
      <c r="B71" s="2" t="s">
        <v>71</v>
      </c>
      <c r="C71" s="4">
        <v>516</v>
      </c>
      <c r="E71" s="5"/>
      <c r="F71" s="5"/>
    </row>
    <row r="72" spans="1:6" x14ac:dyDescent="0.15">
      <c r="A72" s="2">
        <v>69</v>
      </c>
      <c r="B72" s="2" t="s">
        <v>72</v>
      </c>
      <c r="C72" s="4">
        <v>602</v>
      </c>
      <c r="E72" s="5"/>
      <c r="F72" s="5"/>
    </row>
    <row r="73" spans="1:6" x14ac:dyDescent="0.15">
      <c r="A73" s="2">
        <v>70</v>
      </c>
      <c r="B73" s="2" t="s">
        <v>73</v>
      </c>
      <c r="C73" s="4">
        <v>688</v>
      </c>
      <c r="E73" s="5"/>
      <c r="F73" s="5"/>
    </row>
    <row r="74" spans="1:6" x14ac:dyDescent="0.15">
      <c r="A74" s="2">
        <v>71</v>
      </c>
      <c r="B74" s="2" t="s">
        <v>74</v>
      </c>
      <c r="C74" s="4">
        <v>774</v>
      </c>
      <c r="E74" s="5"/>
      <c r="F74" s="5"/>
    </row>
    <row r="75" spans="1:6" x14ac:dyDescent="0.15">
      <c r="A75" s="2">
        <v>72</v>
      </c>
      <c r="B75" s="2" t="s">
        <v>75</v>
      </c>
      <c r="C75" s="4">
        <v>860</v>
      </c>
      <c r="E75" s="5"/>
      <c r="F75" s="5"/>
    </row>
    <row r="76" spans="1:6" x14ac:dyDescent="0.15">
      <c r="A76" s="2">
        <v>73</v>
      </c>
      <c r="B76" s="2" t="s">
        <v>76</v>
      </c>
      <c r="C76" s="4">
        <v>946</v>
      </c>
      <c r="E76" s="5"/>
      <c r="F76" s="5"/>
    </row>
    <row r="77" spans="1:6" x14ac:dyDescent="0.15">
      <c r="A77" s="2">
        <v>74</v>
      </c>
      <c r="B77" s="2" t="s">
        <v>77</v>
      </c>
      <c r="C77" s="4">
        <v>1032</v>
      </c>
      <c r="E77" s="5"/>
      <c r="F77" s="5"/>
    </row>
    <row r="78" spans="1:6" x14ac:dyDescent="0.15">
      <c r="A78" s="2">
        <v>75</v>
      </c>
      <c r="B78" s="2" t="s">
        <v>78</v>
      </c>
      <c r="C78" s="4">
        <v>1118</v>
      </c>
      <c r="E78" s="5"/>
      <c r="F78" s="5"/>
    </row>
    <row r="79" spans="1:6" x14ac:dyDescent="0.15">
      <c r="A79" s="2">
        <v>76</v>
      </c>
      <c r="B79" s="2" t="s">
        <v>79</v>
      </c>
      <c r="C79" s="4">
        <v>1204</v>
      </c>
      <c r="E79" s="5"/>
      <c r="F79" s="5"/>
    </row>
    <row r="80" spans="1:6" x14ac:dyDescent="0.15">
      <c r="A80" s="2">
        <v>77</v>
      </c>
      <c r="B80" s="2" t="s">
        <v>80</v>
      </c>
      <c r="C80" s="4">
        <v>1290</v>
      </c>
      <c r="E80" s="5"/>
      <c r="F80" s="5"/>
    </row>
    <row r="81" spans="1:6" x14ac:dyDescent="0.15">
      <c r="A81" s="2">
        <v>78</v>
      </c>
      <c r="B81" s="2" t="s">
        <v>81</v>
      </c>
      <c r="C81" s="4">
        <v>1376</v>
      </c>
      <c r="E81" s="5"/>
      <c r="F81" s="5"/>
    </row>
    <row r="82" spans="1:6" x14ac:dyDescent="0.15">
      <c r="A82" s="2">
        <v>79</v>
      </c>
      <c r="B82" s="2" t="s">
        <v>82</v>
      </c>
      <c r="C82" s="4">
        <v>1462</v>
      </c>
      <c r="E82" s="5"/>
      <c r="F82" s="5"/>
    </row>
    <row r="83" spans="1:6" x14ac:dyDescent="0.15">
      <c r="A83" s="2">
        <v>80</v>
      </c>
      <c r="B83" s="2" t="s">
        <v>83</v>
      </c>
      <c r="C83" s="4">
        <v>1548</v>
      </c>
      <c r="E83" s="5"/>
      <c r="F83" s="5"/>
    </row>
    <row r="84" spans="1:6" x14ac:dyDescent="0.15">
      <c r="A84" s="2">
        <v>81</v>
      </c>
      <c r="B84" s="2" t="s">
        <v>84</v>
      </c>
      <c r="C84" s="4">
        <v>1634</v>
      </c>
      <c r="E84" s="5"/>
      <c r="F84" s="5"/>
    </row>
    <row r="85" spans="1:6" x14ac:dyDescent="0.15">
      <c r="A85" s="2">
        <v>82</v>
      </c>
      <c r="B85" s="2" t="s">
        <v>85</v>
      </c>
      <c r="C85" s="4">
        <v>1720</v>
      </c>
      <c r="E85" s="5"/>
      <c r="F85" s="5"/>
    </row>
    <row r="86" spans="1:6" x14ac:dyDescent="0.15">
      <c r="A86" s="2">
        <v>83</v>
      </c>
      <c r="B86" s="2" t="s">
        <v>86</v>
      </c>
      <c r="C86" s="4">
        <v>1806</v>
      </c>
      <c r="E86" s="5"/>
      <c r="F86" s="5"/>
    </row>
    <row r="87" spans="1:6" x14ac:dyDescent="0.15">
      <c r="A87" s="2">
        <v>84</v>
      </c>
      <c r="B87" s="2" t="s">
        <v>87</v>
      </c>
      <c r="C87" s="4">
        <v>255</v>
      </c>
      <c r="E87" s="5"/>
      <c r="F87" s="5"/>
    </row>
    <row r="88" spans="1:6" x14ac:dyDescent="0.15">
      <c r="A88" s="2">
        <v>85</v>
      </c>
      <c r="B88" s="2" t="s">
        <v>88</v>
      </c>
      <c r="C88" s="4">
        <v>402</v>
      </c>
      <c r="E88" s="5"/>
    </row>
    <row r="89" spans="1:6" x14ac:dyDescent="0.15">
      <c r="A89" s="2">
        <v>86</v>
      </c>
      <c r="B89" s="2" t="s">
        <v>89</v>
      </c>
      <c r="C89" s="4">
        <v>584</v>
      </c>
      <c r="E89" s="5"/>
    </row>
    <row r="90" spans="1:6" x14ac:dyDescent="0.15">
      <c r="A90" s="2">
        <v>87</v>
      </c>
      <c r="B90" s="2" t="s">
        <v>90</v>
      </c>
      <c r="C90" s="4">
        <v>666</v>
      </c>
      <c r="E90" s="5"/>
    </row>
    <row r="91" spans="1:6" x14ac:dyDescent="0.15">
      <c r="A91" s="2">
        <v>88</v>
      </c>
      <c r="B91" s="2" t="s">
        <v>91</v>
      </c>
      <c r="C91" s="4">
        <v>750</v>
      </c>
      <c r="E91" s="5"/>
    </row>
    <row r="92" spans="1:6" x14ac:dyDescent="0.15">
      <c r="A92" s="2">
        <v>89</v>
      </c>
      <c r="B92" s="2" t="s">
        <v>92</v>
      </c>
      <c r="C92" s="4">
        <v>833</v>
      </c>
      <c r="E92" s="5"/>
      <c r="F92" s="5"/>
    </row>
    <row r="93" spans="1:6" x14ac:dyDescent="0.15">
      <c r="A93" s="2">
        <v>90</v>
      </c>
      <c r="B93" s="2" t="s">
        <v>93</v>
      </c>
      <c r="C93" s="4">
        <v>916</v>
      </c>
      <c r="E93" s="5"/>
      <c r="F93" s="5"/>
    </row>
    <row r="94" spans="1:6" x14ac:dyDescent="0.15">
      <c r="A94" s="2">
        <v>91</v>
      </c>
      <c r="B94" s="2" t="s">
        <v>94</v>
      </c>
      <c r="C94" s="4">
        <v>999</v>
      </c>
      <c r="E94" s="5"/>
      <c r="F94" s="5"/>
    </row>
    <row r="95" spans="1:6" x14ac:dyDescent="0.15">
      <c r="A95" s="2">
        <v>92</v>
      </c>
      <c r="B95" s="2" t="s">
        <v>95</v>
      </c>
      <c r="C95" s="4">
        <v>1082</v>
      </c>
      <c r="E95" s="5"/>
      <c r="F95" s="5"/>
    </row>
    <row r="96" spans="1:6" x14ac:dyDescent="0.15">
      <c r="A96" s="2">
        <v>93</v>
      </c>
      <c r="B96" s="2" t="s">
        <v>96</v>
      </c>
      <c r="C96" s="4">
        <v>1165</v>
      </c>
      <c r="E96" s="5"/>
      <c r="F96" s="5"/>
    </row>
    <row r="97" spans="1:6" x14ac:dyDescent="0.15">
      <c r="A97" s="2">
        <v>94</v>
      </c>
      <c r="B97" s="2" t="s">
        <v>97</v>
      </c>
      <c r="C97" s="4">
        <v>1248</v>
      </c>
      <c r="E97" s="5"/>
      <c r="F97" s="5"/>
    </row>
    <row r="98" spans="1:6" x14ac:dyDescent="0.15">
      <c r="A98" s="2">
        <v>95</v>
      </c>
      <c r="B98" s="2" t="s">
        <v>98</v>
      </c>
      <c r="C98" s="4">
        <v>1331</v>
      </c>
      <c r="E98" s="5"/>
      <c r="F98" s="5"/>
    </row>
    <row r="99" spans="1:6" x14ac:dyDescent="0.15">
      <c r="A99" s="2">
        <v>96</v>
      </c>
      <c r="B99" s="2" t="s">
        <v>99</v>
      </c>
      <c r="C99" s="4">
        <v>1414</v>
      </c>
      <c r="E99" s="5"/>
      <c r="F99" s="5"/>
    </row>
    <row r="100" spans="1:6" x14ac:dyDescent="0.15">
      <c r="A100" s="2">
        <v>97</v>
      </c>
      <c r="B100" s="2" t="s">
        <v>100</v>
      </c>
      <c r="C100" s="4">
        <v>1497</v>
      </c>
      <c r="E100" s="5"/>
      <c r="F100" s="5"/>
    </row>
    <row r="101" spans="1:6" x14ac:dyDescent="0.15">
      <c r="A101" s="2">
        <v>98</v>
      </c>
      <c r="B101" s="2" t="s">
        <v>101</v>
      </c>
      <c r="C101" s="4">
        <v>1580</v>
      </c>
      <c r="E101" s="5"/>
      <c r="F101" s="5"/>
    </row>
    <row r="102" spans="1:6" x14ac:dyDescent="0.15">
      <c r="A102" s="2">
        <v>99</v>
      </c>
      <c r="B102" s="2" t="s">
        <v>102</v>
      </c>
      <c r="C102" s="4">
        <v>1663</v>
      </c>
      <c r="E102" s="5"/>
      <c r="F102" s="5"/>
    </row>
    <row r="103" spans="1:6" x14ac:dyDescent="0.15">
      <c r="A103" s="2">
        <v>100</v>
      </c>
      <c r="B103" s="2" t="s">
        <v>103</v>
      </c>
      <c r="C103" s="4">
        <v>1746</v>
      </c>
      <c r="E103" s="5"/>
      <c r="F103" s="5"/>
    </row>
    <row r="104" spans="1:6" x14ac:dyDescent="0.15">
      <c r="A104" s="2">
        <v>101</v>
      </c>
      <c r="B104" s="2" t="s">
        <v>104</v>
      </c>
      <c r="C104" s="4">
        <v>1829</v>
      </c>
      <c r="E104" s="5"/>
      <c r="F104" s="5"/>
    </row>
    <row r="105" spans="1:6" x14ac:dyDescent="0.15">
      <c r="A105" s="2">
        <v>102</v>
      </c>
      <c r="B105" s="2" t="s">
        <v>105</v>
      </c>
      <c r="C105" s="4">
        <v>1912</v>
      </c>
      <c r="E105" s="5"/>
      <c r="F105" s="5"/>
    </row>
    <row r="106" spans="1:6" x14ac:dyDescent="0.15">
      <c r="A106" s="2">
        <v>103</v>
      </c>
      <c r="B106" s="2" t="s">
        <v>106</v>
      </c>
      <c r="C106" s="4">
        <v>1995</v>
      </c>
      <c r="E106" s="5"/>
      <c r="F106" s="5"/>
    </row>
    <row r="107" spans="1:6" x14ac:dyDescent="0.15">
      <c r="A107" s="2">
        <v>104</v>
      </c>
      <c r="B107" s="2" t="s">
        <v>107</v>
      </c>
      <c r="C107" s="4">
        <v>2078</v>
      </c>
      <c r="E107" s="5"/>
      <c r="F107" s="5"/>
    </row>
    <row r="108" spans="1:6" x14ac:dyDescent="0.15">
      <c r="A108" s="2">
        <v>105</v>
      </c>
      <c r="B108" s="2" t="s">
        <v>108</v>
      </c>
      <c r="C108" s="4">
        <v>83</v>
      </c>
      <c r="E108" s="5"/>
      <c r="F108" s="5"/>
    </row>
    <row r="109" spans="1:6" x14ac:dyDescent="0.15">
      <c r="A109" s="2">
        <v>106</v>
      </c>
      <c r="B109" s="2" t="s">
        <v>109</v>
      </c>
      <c r="C109" s="4">
        <v>166</v>
      </c>
      <c r="E109" s="5"/>
      <c r="F109" s="5"/>
    </row>
    <row r="110" spans="1:6" x14ac:dyDescent="0.15">
      <c r="A110" s="2">
        <v>107</v>
      </c>
      <c r="B110" s="2" t="s">
        <v>110</v>
      </c>
      <c r="C110" s="4">
        <v>249</v>
      </c>
      <c r="E110" s="5"/>
      <c r="F110" s="5"/>
    </row>
    <row r="111" spans="1:6" x14ac:dyDescent="0.15">
      <c r="A111" s="2">
        <v>108</v>
      </c>
      <c r="B111" s="2" t="s">
        <v>111</v>
      </c>
      <c r="C111" s="4">
        <v>332</v>
      </c>
      <c r="E111" s="5"/>
      <c r="F111" s="5"/>
    </row>
    <row r="112" spans="1:6" x14ac:dyDescent="0.15">
      <c r="A112" s="2">
        <v>109</v>
      </c>
      <c r="B112" s="2" t="s">
        <v>112</v>
      </c>
      <c r="C112" s="4">
        <v>415</v>
      </c>
      <c r="E112" s="5"/>
      <c r="F112" s="5"/>
    </row>
    <row r="113" spans="1:6" x14ac:dyDescent="0.15">
      <c r="A113" s="2">
        <v>110</v>
      </c>
      <c r="B113" s="2" t="s">
        <v>113</v>
      </c>
      <c r="C113" s="4">
        <v>498</v>
      </c>
      <c r="E113" s="5"/>
      <c r="F113" s="5"/>
    </row>
    <row r="114" spans="1:6" x14ac:dyDescent="0.15">
      <c r="A114" s="2">
        <v>111</v>
      </c>
      <c r="B114" s="2" t="s">
        <v>114</v>
      </c>
      <c r="C114" s="4">
        <v>581</v>
      </c>
      <c r="E114" s="5"/>
      <c r="F114" s="5"/>
    </row>
    <row r="115" spans="1:6" x14ac:dyDescent="0.15">
      <c r="A115" s="2">
        <v>112</v>
      </c>
      <c r="B115" s="2" t="s">
        <v>115</v>
      </c>
      <c r="C115" s="4">
        <v>664</v>
      </c>
      <c r="E115" s="5"/>
      <c r="F115" s="5"/>
    </row>
    <row r="116" spans="1:6" x14ac:dyDescent="0.15">
      <c r="A116" s="2">
        <v>113</v>
      </c>
      <c r="B116" s="2" t="s">
        <v>116</v>
      </c>
      <c r="C116" s="4">
        <v>747</v>
      </c>
      <c r="E116" s="5"/>
      <c r="F116" s="5"/>
    </row>
    <row r="117" spans="1:6" x14ac:dyDescent="0.15">
      <c r="A117" s="2">
        <v>114</v>
      </c>
      <c r="B117" s="2" t="s">
        <v>117</v>
      </c>
      <c r="C117" s="4">
        <v>830</v>
      </c>
      <c r="E117" s="5"/>
      <c r="F117" s="5"/>
    </row>
    <row r="118" spans="1:6" x14ac:dyDescent="0.15">
      <c r="A118" s="2">
        <v>115</v>
      </c>
      <c r="B118" s="2" t="s">
        <v>118</v>
      </c>
      <c r="C118" s="4">
        <v>913</v>
      </c>
      <c r="E118" s="5"/>
      <c r="F118" s="5"/>
    </row>
    <row r="119" spans="1:6" x14ac:dyDescent="0.15">
      <c r="A119" s="2">
        <v>116</v>
      </c>
      <c r="B119" s="2" t="s">
        <v>119</v>
      </c>
      <c r="C119" s="4">
        <v>996</v>
      </c>
      <c r="E119" s="5"/>
      <c r="F119" s="5"/>
    </row>
    <row r="120" spans="1:6" x14ac:dyDescent="0.15">
      <c r="A120" s="2">
        <v>117</v>
      </c>
      <c r="B120" s="2" t="s">
        <v>120</v>
      </c>
      <c r="C120" s="4">
        <v>1079</v>
      </c>
      <c r="E120" s="5"/>
      <c r="F120" s="5"/>
    </row>
    <row r="121" spans="1:6" x14ac:dyDescent="0.15">
      <c r="A121" s="2">
        <v>118</v>
      </c>
      <c r="B121" s="2" t="s">
        <v>121</v>
      </c>
      <c r="C121" s="4">
        <v>1162</v>
      </c>
      <c r="E121" s="5"/>
      <c r="F121" s="5"/>
    </row>
    <row r="122" spans="1:6" x14ac:dyDescent="0.15">
      <c r="A122" s="2">
        <v>119</v>
      </c>
      <c r="B122" s="2" t="s">
        <v>122</v>
      </c>
      <c r="C122" s="4">
        <v>1245</v>
      </c>
      <c r="E122" s="5"/>
      <c r="F122" s="5"/>
    </row>
    <row r="123" spans="1:6" x14ac:dyDescent="0.15">
      <c r="A123" s="2">
        <v>120</v>
      </c>
      <c r="B123" s="2" t="s">
        <v>123</v>
      </c>
      <c r="C123" s="4">
        <v>1328</v>
      </c>
      <c r="E123" s="5"/>
      <c r="F123" s="5"/>
    </row>
    <row r="124" spans="1:6" x14ac:dyDescent="0.15">
      <c r="A124" s="2">
        <v>121</v>
      </c>
      <c r="B124" s="2" t="s">
        <v>124</v>
      </c>
      <c r="C124" s="4">
        <v>1411</v>
      </c>
      <c r="E124" s="5"/>
      <c r="F124" s="5"/>
    </row>
    <row r="125" spans="1:6" x14ac:dyDescent="0.15">
      <c r="A125" s="2">
        <v>122</v>
      </c>
      <c r="B125" s="2" t="s">
        <v>125</v>
      </c>
      <c r="C125" s="4">
        <v>1494</v>
      </c>
      <c r="E125" s="5"/>
      <c r="F125" s="5"/>
    </row>
    <row r="126" spans="1:6" x14ac:dyDescent="0.15">
      <c r="A126" s="2">
        <v>123</v>
      </c>
      <c r="B126" s="2" t="s">
        <v>126</v>
      </c>
      <c r="C126" s="4">
        <v>1577</v>
      </c>
      <c r="E126" s="5"/>
      <c r="F126" s="5"/>
    </row>
    <row r="127" spans="1:6" x14ac:dyDescent="0.15">
      <c r="A127" s="2">
        <v>124</v>
      </c>
      <c r="B127" s="2" t="s">
        <v>127</v>
      </c>
      <c r="C127" s="4">
        <v>1660</v>
      </c>
      <c r="E127" s="5"/>
      <c r="F127" s="5"/>
    </row>
    <row r="128" spans="1:6" x14ac:dyDescent="0.15">
      <c r="A128" s="2">
        <v>125</v>
      </c>
      <c r="B128" s="2" t="s">
        <v>128</v>
      </c>
      <c r="C128" s="4">
        <v>1743</v>
      </c>
      <c r="E128" s="5"/>
      <c r="F128" s="5"/>
    </row>
    <row r="129" spans="1:6" x14ac:dyDescent="0.15">
      <c r="A129" s="2">
        <v>126</v>
      </c>
      <c r="B129" s="2" t="s">
        <v>129</v>
      </c>
      <c r="C129" s="4">
        <v>105</v>
      </c>
      <c r="E129" s="5"/>
      <c r="F129" s="5"/>
    </row>
    <row r="130" spans="1:6" x14ac:dyDescent="0.15">
      <c r="A130" s="2">
        <v>127</v>
      </c>
      <c r="B130" s="2" t="s">
        <v>130</v>
      </c>
      <c r="C130" s="4">
        <v>152</v>
      </c>
      <c r="E130" s="5"/>
    </row>
    <row r="131" spans="1:6" x14ac:dyDescent="0.15">
      <c r="A131" s="2">
        <v>128</v>
      </c>
      <c r="B131" s="2" t="s">
        <v>131</v>
      </c>
      <c r="C131" s="4">
        <v>196</v>
      </c>
      <c r="E131" s="5"/>
    </row>
    <row r="132" spans="1:6" x14ac:dyDescent="0.15">
      <c r="A132" s="2">
        <v>129</v>
      </c>
      <c r="B132" s="2" t="s">
        <v>132</v>
      </c>
      <c r="C132" s="4">
        <v>238</v>
      </c>
      <c r="E132" s="5"/>
    </row>
    <row r="133" spans="1:6" x14ac:dyDescent="0.15">
      <c r="A133" s="2">
        <v>130</v>
      </c>
      <c r="B133" s="2" t="s">
        <v>133</v>
      </c>
      <c r="C133" s="4">
        <v>274</v>
      </c>
      <c r="E133" s="5"/>
    </row>
    <row r="134" spans="1:6" x14ac:dyDescent="0.15">
      <c r="A134" s="2">
        <v>131</v>
      </c>
      <c r="B134" s="2" t="s">
        <v>134</v>
      </c>
      <c r="C134" s="4">
        <v>309</v>
      </c>
      <c r="E134" s="5"/>
      <c r="F134" s="5"/>
    </row>
    <row r="135" spans="1:6" x14ac:dyDescent="0.15">
      <c r="A135" s="2">
        <v>132</v>
      </c>
      <c r="B135" s="2" t="s">
        <v>135</v>
      </c>
      <c r="C135" s="4">
        <v>344</v>
      </c>
      <c r="E135" s="5"/>
      <c r="F135" s="5"/>
    </row>
    <row r="136" spans="1:6" x14ac:dyDescent="0.15">
      <c r="A136" s="2">
        <v>133</v>
      </c>
      <c r="B136" s="2" t="s">
        <v>136</v>
      </c>
      <c r="C136" s="4">
        <v>379</v>
      </c>
      <c r="E136" s="5"/>
      <c r="F136" s="5"/>
    </row>
    <row r="137" spans="1:6" x14ac:dyDescent="0.15">
      <c r="A137" s="2">
        <v>134</v>
      </c>
      <c r="B137" s="2" t="s">
        <v>137</v>
      </c>
      <c r="C137" s="4">
        <v>414</v>
      </c>
      <c r="E137" s="5"/>
      <c r="F137" s="5"/>
    </row>
    <row r="138" spans="1:6" x14ac:dyDescent="0.15">
      <c r="A138" s="2">
        <v>135</v>
      </c>
      <c r="B138" s="2" t="s">
        <v>138</v>
      </c>
      <c r="C138" s="4">
        <v>449</v>
      </c>
      <c r="E138" s="5"/>
      <c r="F138" s="5"/>
    </row>
    <row r="139" spans="1:6" x14ac:dyDescent="0.15">
      <c r="A139" s="2">
        <v>136</v>
      </c>
      <c r="B139" s="2" t="s">
        <v>139</v>
      </c>
      <c r="C139" s="4">
        <v>484</v>
      </c>
      <c r="E139" s="5"/>
      <c r="F139" s="5"/>
    </row>
    <row r="140" spans="1:6" x14ac:dyDescent="0.15">
      <c r="A140" s="2">
        <v>137</v>
      </c>
      <c r="B140" s="2" t="s">
        <v>140</v>
      </c>
      <c r="C140" s="4">
        <v>519</v>
      </c>
      <c r="E140" s="5"/>
      <c r="F140" s="5"/>
    </row>
    <row r="141" spans="1:6" x14ac:dyDescent="0.15">
      <c r="A141" s="2">
        <v>138</v>
      </c>
      <c r="B141" s="2" t="s">
        <v>141</v>
      </c>
      <c r="C141" s="4">
        <v>554</v>
      </c>
      <c r="E141" s="5"/>
      <c r="F141" s="5"/>
    </row>
    <row r="142" spans="1:6" x14ac:dyDescent="0.15">
      <c r="A142" s="2">
        <v>139</v>
      </c>
      <c r="B142" s="2" t="s">
        <v>142</v>
      </c>
      <c r="C142" s="4">
        <v>589</v>
      </c>
      <c r="E142" s="5"/>
      <c r="F142" s="5"/>
    </row>
    <row r="143" spans="1:6" x14ac:dyDescent="0.15">
      <c r="A143" s="2">
        <v>140</v>
      </c>
      <c r="B143" s="2" t="s">
        <v>143</v>
      </c>
      <c r="C143" s="4">
        <v>624</v>
      </c>
      <c r="E143" s="5"/>
      <c r="F143" s="5"/>
    </row>
    <row r="144" spans="1:6" x14ac:dyDescent="0.15">
      <c r="A144" s="2">
        <v>141</v>
      </c>
      <c r="B144" s="2" t="s">
        <v>144</v>
      </c>
      <c r="C144" s="4">
        <v>659</v>
      </c>
      <c r="E144" s="5"/>
      <c r="F144" s="5"/>
    </row>
    <row r="145" spans="1:6" x14ac:dyDescent="0.15">
      <c r="A145" s="2">
        <v>142</v>
      </c>
      <c r="B145" s="2" t="s">
        <v>145</v>
      </c>
      <c r="C145" s="4">
        <v>694</v>
      </c>
      <c r="E145" s="5"/>
      <c r="F145" s="5"/>
    </row>
    <row r="146" spans="1:6" x14ac:dyDescent="0.15">
      <c r="A146" s="2">
        <v>143</v>
      </c>
      <c r="B146" s="2" t="s">
        <v>146</v>
      </c>
      <c r="C146" s="4">
        <v>729</v>
      </c>
      <c r="E146" s="5"/>
      <c r="F146" s="5"/>
    </row>
    <row r="147" spans="1:6" x14ac:dyDescent="0.15">
      <c r="A147" s="2">
        <v>144</v>
      </c>
      <c r="B147" s="2" t="s">
        <v>147</v>
      </c>
      <c r="C147" s="4">
        <v>764</v>
      </c>
      <c r="E147" s="5"/>
      <c r="F147" s="5"/>
    </row>
    <row r="148" spans="1:6" x14ac:dyDescent="0.15">
      <c r="A148" s="2">
        <v>145</v>
      </c>
      <c r="B148" s="2" t="s">
        <v>148</v>
      </c>
      <c r="C148" s="4">
        <v>799</v>
      </c>
      <c r="E148" s="5"/>
      <c r="F148" s="5"/>
    </row>
    <row r="149" spans="1:6" x14ac:dyDescent="0.15">
      <c r="A149" s="2">
        <v>146</v>
      </c>
      <c r="B149" s="2" t="s">
        <v>149</v>
      </c>
      <c r="C149" s="4">
        <v>834</v>
      </c>
      <c r="E149" s="5"/>
      <c r="F149" s="5"/>
    </row>
    <row r="150" spans="1:6" x14ac:dyDescent="0.15">
      <c r="A150" s="2">
        <v>147</v>
      </c>
      <c r="B150" s="2" t="s">
        <v>150</v>
      </c>
      <c r="C150" s="4">
        <v>869</v>
      </c>
      <c r="E150" s="5"/>
      <c r="F150" s="5"/>
    </row>
    <row r="151" spans="1:6" x14ac:dyDescent="0.15">
      <c r="A151" s="2">
        <v>148</v>
      </c>
      <c r="B151" s="2" t="s">
        <v>151</v>
      </c>
      <c r="C151" s="4">
        <v>904</v>
      </c>
      <c r="E151" s="5"/>
      <c r="F151" s="5"/>
    </row>
    <row r="152" spans="1:6" x14ac:dyDescent="0.15">
      <c r="A152" s="2">
        <v>149</v>
      </c>
      <c r="B152" s="2" t="s">
        <v>152</v>
      </c>
      <c r="C152" s="4">
        <v>939</v>
      </c>
      <c r="E152" s="5"/>
      <c r="F152" s="5"/>
    </row>
    <row r="153" spans="1:6" x14ac:dyDescent="0.15">
      <c r="A153" s="2">
        <v>150</v>
      </c>
      <c r="B153" s="2" t="s">
        <v>153</v>
      </c>
      <c r="C153" s="4">
        <v>974</v>
      </c>
      <c r="E153" s="5"/>
      <c r="F153" s="5"/>
    </row>
    <row r="154" spans="1:6" x14ac:dyDescent="0.15">
      <c r="A154" s="2">
        <v>151</v>
      </c>
      <c r="B154" s="2" t="s">
        <v>154</v>
      </c>
      <c r="C154" s="4">
        <v>1009</v>
      </c>
      <c r="E154" s="5"/>
      <c r="F154" s="5"/>
    </row>
    <row r="155" spans="1:6" x14ac:dyDescent="0.15">
      <c r="A155" s="2">
        <v>152</v>
      </c>
      <c r="B155" s="2" t="s">
        <v>155</v>
      </c>
      <c r="C155" s="4">
        <v>1044</v>
      </c>
      <c r="E155" s="5"/>
      <c r="F155" s="5"/>
    </row>
    <row r="156" spans="1:6" x14ac:dyDescent="0.15">
      <c r="A156" s="2">
        <v>153</v>
      </c>
      <c r="B156" s="2" t="s">
        <v>156</v>
      </c>
      <c r="C156" s="4">
        <v>1079</v>
      </c>
      <c r="E156" s="5"/>
      <c r="F156" s="5"/>
    </row>
    <row r="157" spans="1:6" x14ac:dyDescent="0.15">
      <c r="A157" s="2">
        <v>154</v>
      </c>
      <c r="B157" s="2" t="s">
        <v>157</v>
      </c>
      <c r="C157" s="4">
        <v>1114</v>
      </c>
      <c r="E157" s="5"/>
      <c r="F157" s="5"/>
    </row>
    <row r="158" spans="1:6" x14ac:dyDescent="0.15">
      <c r="A158" s="2">
        <v>155</v>
      </c>
      <c r="B158" s="2" t="s">
        <v>158</v>
      </c>
      <c r="C158" s="4">
        <v>1149</v>
      </c>
      <c r="E158" s="5"/>
      <c r="F158" s="5"/>
    </row>
    <row r="159" spans="1:6" x14ac:dyDescent="0.15">
      <c r="A159" s="2">
        <v>156</v>
      </c>
      <c r="B159" s="2" t="s">
        <v>159</v>
      </c>
      <c r="C159" s="4">
        <v>1184</v>
      </c>
      <c r="E159" s="5"/>
      <c r="F159" s="5"/>
    </row>
    <row r="160" spans="1:6" x14ac:dyDescent="0.15">
      <c r="A160" s="2">
        <v>157</v>
      </c>
      <c r="B160" s="2" t="s">
        <v>160</v>
      </c>
      <c r="C160" s="4">
        <v>1219</v>
      </c>
      <c r="E160" s="5"/>
      <c r="F160" s="5"/>
    </row>
    <row r="161" spans="1:6" x14ac:dyDescent="0.15">
      <c r="A161" s="2">
        <v>158</v>
      </c>
      <c r="B161" s="2" t="s">
        <v>161</v>
      </c>
      <c r="C161" s="4">
        <v>1254</v>
      </c>
      <c r="E161" s="5"/>
      <c r="F161" s="5"/>
    </row>
    <row r="162" spans="1:6" x14ac:dyDescent="0.15">
      <c r="A162" s="2">
        <v>159</v>
      </c>
      <c r="B162" s="2" t="s">
        <v>162</v>
      </c>
      <c r="C162" s="4">
        <v>1289</v>
      </c>
      <c r="E162" s="5"/>
      <c r="F162" s="5"/>
    </row>
    <row r="163" spans="1:6" x14ac:dyDescent="0.15">
      <c r="A163" s="2">
        <v>160</v>
      </c>
      <c r="B163" s="2" t="s">
        <v>163</v>
      </c>
      <c r="C163" s="4">
        <v>1324</v>
      </c>
      <c r="E163" s="5"/>
      <c r="F163" s="5"/>
    </row>
    <row r="164" spans="1:6" x14ac:dyDescent="0.15">
      <c r="A164" s="2">
        <v>161</v>
      </c>
      <c r="B164" s="2" t="s">
        <v>164</v>
      </c>
      <c r="C164" s="4">
        <v>1359</v>
      </c>
      <c r="E164" s="5"/>
      <c r="F164" s="5"/>
    </row>
    <row r="165" spans="1:6" x14ac:dyDescent="0.15">
      <c r="A165" s="2">
        <v>162</v>
      </c>
      <c r="B165" s="2" t="s">
        <v>165</v>
      </c>
      <c r="C165" s="4">
        <v>1394</v>
      </c>
      <c r="E165" s="5"/>
      <c r="F165" s="5"/>
    </row>
    <row r="166" spans="1:6" x14ac:dyDescent="0.15">
      <c r="A166" s="2">
        <v>163</v>
      </c>
      <c r="B166" s="2" t="s">
        <v>166</v>
      </c>
      <c r="C166" s="4">
        <v>1429</v>
      </c>
      <c r="E166" s="5"/>
      <c r="F166" s="5"/>
    </row>
    <row r="167" spans="1:6" x14ac:dyDescent="0.15">
      <c r="A167" s="2">
        <v>164</v>
      </c>
      <c r="B167" s="2" t="s">
        <v>167</v>
      </c>
      <c r="C167" s="4">
        <v>1464</v>
      </c>
      <c r="E167" s="5"/>
      <c r="F167" s="5"/>
    </row>
    <row r="168" spans="1:6" x14ac:dyDescent="0.15">
      <c r="A168" s="2">
        <v>165</v>
      </c>
      <c r="B168" s="2" t="s">
        <v>168</v>
      </c>
      <c r="C168" s="4">
        <v>1499</v>
      </c>
      <c r="E168" s="5"/>
      <c r="F168" s="5"/>
    </row>
    <row r="169" spans="1:6" x14ac:dyDescent="0.15">
      <c r="A169" s="2">
        <v>166</v>
      </c>
      <c r="B169" s="2" t="s">
        <v>169</v>
      </c>
      <c r="C169" s="4">
        <v>1534</v>
      </c>
      <c r="E169" s="5"/>
      <c r="F169" s="5"/>
    </row>
    <row r="170" spans="1:6" x14ac:dyDescent="0.15">
      <c r="A170" s="2">
        <v>167</v>
      </c>
      <c r="B170" s="2" t="s">
        <v>170</v>
      </c>
      <c r="C170" s="4">
        <v>35</v>
      </c>
      <c r="E170" s="5"/>
      <c r="F170" s="5"/>
    </row>
    <row r="171" spans="1:6" x14ac:dyDescent="0.15">
      <c r="A171" s="2">
        <v>168</v>
      </c>
      <c r="B171" s="2" t="s">
        <v>171</v>
      </c>
      <c r="C171" s="4">
        <v>70</v>
      </c>
      <c r="E171" s="5"/>
      <c r="F171" s="5"/>
    </row>
    <row r="172" spans="1:6" x14ac:dyDescent="0.15">
      <c r="A172" s="2">
        <v>169</v>
      </c>
      <c r="B172" s="2" t="s">
        <v>172</v>
      </c>
      <c r="C172" s="4">
        <v>105</v>
      </c>
      <c r="E172" s="5"/>
      <c r="F172" s="5"/>
    </row>
    <row r="173" spans="1:6" x14ac:dyDescent="0.15">
      <c r="A173" s="2">
        <v>170</v>
      </c>
      <c r="B173" s="2" t="s">
        <v>173</v>
      </c>
      <c r="C173" s="4">
        <v>140</v>
      </c>
      <c r="E173" s="5"/>
      <c r="F173" s="5"/>
    </row>
    <row r="174" spans="1:6" x14ac:dyDescent="0.15">
      <c r="A174" s="2">
        <v>171</v>
      </c>
      <c r="B174" s="2" t="s">
        <v>174</v>
      </c>
      <c r="C174" s="4">
        <v>175</v>
      </c>
      <c r="E174" s="5"/>
      <c r="F174" s="5"/>
    </row>
    <row r="175" spans="1:6" x14ac:dyDescent="0.15">
      <c r="A175" s="2">
        <v>172</v>
      </c>
      <c r="B175" s="2" t="s">
        <v>175</v>
      </c>
      <c r="C175" s="4">
        <v>210</v>
      </c>
      <c r="E175" s="5"/>
      <c r="F175" s="5"/>
    </row>
    <row r="176" spans="1:6" x14ac:dyDescent="0.15">
      <c r="A176" s="2">
        <v>173</v>
      </c>
      <c r="B176" s="2" t="s">
        <v>176</v>
      </c>
      <c r="C176" s="4">
        <v>245</v>
      </c>
      <c r="E176" s="5"/>
      <c r="F176" s="5"/>
    </row>
    <row r="177" spans="1:6" x14ac:dyDescent="0.15">
      <c r="A177" s="2">
        <v>174</v>
      </c>
      <c r="B177" s="2" t="s">
        <v>177</v>
      </c>
      <c r="C177" s="4">
        <v>280</v>
      </c>
      <c r="E177" s="5"/>
      <c r="F177" s="5"/>
    </row>
    <row r="178" spans="1:6" x14ac:dyDescent="0.15">
      <c r="A178" s="2">
        <v>175</v>
      </c>
      <c r="B178" s="2" t="s">
        <v>178</v>
      </c>
      <c r="C178" s="4">
        <v>315</v>
      </c>
      <c r="E178" s="5"/>
      <c r="F178" s="5"/>
    </row>
    <row r="179" spans="1:6" x14ac:dyDescent="0.15">
      <c r="A179" s="2">
        <v>176</v>
      </c>
      <c r="B179" s="2" t="s">
        <v>179</v>
      </c>
      <c r="C179" s="4">
        <v>350</v>
      </c>
      <c r="E179" s="5"/>
      <c r="F179" s="5"/>
    </row>
    <row r="180" spans="1:6" x14ac:dyDescent="0.15">
      <c r="A180" s="2">
        <v>177</v>
      </c>
      <c r="B180" s="2" t="s">
        <v>180</v>
      </c>
      <c r="C180" s="4">
        <v>385</v>
      </c>
      <c r="E180" s="5"/>
      <c r="F180" s="5"/>
    </row>
    <row r="181" spans="1:6" x14ac:dyDescent="0.15">
      <c r="A181" s="2">
        <v>178</v>
      </c>
      <c r="B181" s="2" t="s">
        <v>181</v>
      </c>
      <c r="C181" s="4">
        <v>420</v>
      </c>
      <c r="E181" s="5"/>
      <c r="F181" s="5"/>
    </row>
    <row r="182" spans="1:6" x14ac:dyDescent="0.15">
      <c r="A182" s="2">
        <v>179</v>
      </c>
      <c r="B182" s="2" t="s">
        <v>182</v>
      </c>
      <c r="C182" s="4">
        <v>455</v>
      </c>
      <c r="E182" s="5"/>
      <c r="F182" s="5"/>
    </row>
    <row r="183" spans="1:6" x14ac:dyDescent="0.15">
      <c r="A183" s="2">
        <v>180</v>
      </c>
      <c r="B183" s="2" t="s">
        <v>183</v>
      </c>
      <c r="C183" s="4">
        <v>490</v>
      </c>
      <c r="E183" s="5"/>
      <c r="F183" s="5"/>
    </row>
    <row r="184" spans="1:6" x14ac:dyDescent="0.15">
      <c r="A184" s="2">
        <v>181</v>
      </c>
      <c r="B184" s="2" t="s">
        <v>184</v>
      </c>
      <c r="C184" s="4">
        <v>525</v>
      </c>
      <c r="E184" s="5"/>
      <c r="F184" s="5"/>
    </row>
    <row r="185" spans="1:6" x14ac:dyDescent="0.15">
      <c r="A185" s="2">
        <v>182</v>
      </c>
      <c r="B185" s="2" t="s">
        <v>185</v>
      </c>
      <c r="C185" s="4">
        <v>560</v>
      </c>
      <c r="E185" s="5"/>
      <c r="F185" s="5"/>
    </row>
    <row r="186" spans="1:6" x14ac:dyDescent="0.15">
      <c r="A186" s="2">
        <v>183</v>
      </c>
      <c r="B186" s="2" t="s">
        <v>186</v>
      </c>
      <c r="C186" s="4">
        <v>595</v>
      </c>
      <c r="E186" s="5"/>
      <c r="F186" s="5"/>
    </row>
    <row r="187" spans="1:6" x14ac:dyDescent="0.15">
      <c r="A187" s="2">
        <v>184</v>
      </c>
      <c r="B187" s="2" t="s">
        <v>187</v>
      </c>
      <c r="C187" s="4">
        <v>630</v>
      </c>
      <c r="E187" s="5"/>
      <c r="F187" s="5"/>
    </row>
    <row r="188" spans="1:6" x14ac:dyDescent="0.15">
      <c r="A188" s="2">
        <v>185</v>
      </c>
      <c r="B188" s="2" t="s">
        <v>188</v>
      </c>
      <c r="C188" s="4">
        <v>665</v>
      </c>
      <c r="E188" s="5"/>
      <c r="F188" s="5"/>
    </row>
    <row r="189" spans="1:6" x14ac:dyDescent="0.15">
      <c r="A189" s="2">
        <v>186</v>
      </c>
      <c r="B189" s="2" t="s">
        <v>189</v>
      </c>
      <c r="C189" s="4">
        <v>700</v>
      </c>
      <c r="E189" s="5"/>
      <c r="F189" s="5"/>
    </row>
    <row r="190" spans="1:6" x14ac:dyDescent="0.15">
      <c r="A190" s="2">
        <v>187</v>
      </c>
      <c r="B190" s="2" t="s">
        <v>190</v>
      </c>
      <c r="C190" s="4">
        <v>735</v>
      </c>
      <c r="E190" s="5"/>
      <c r="F190" s="5"/>
    </row>
    <row r="191" spans="1:6" x14ac:dyDescent="0.15">
      <c r="A191" s="2">
        <v>188</v>
      </c>
      <c r="B191" s="2" t="s">
        <v>191</v>
      </c>
      <c r="C191" s="4">
        <v>770</v>
      </c>
      <c r="E191" s="5"/>
      <c r="F191" s="5"/>
    </row>
    <row r="192" spans="1:6" x14ac:dyDescent="0.15">
      <c r="A192" s="2">
        <v>189</v>
      </c>
      <c r="B192" s="2" t="s">
        <v>192</v>
      </c>
      <c r="C192" s="4">
        <v>805</v>
      </c>
      <c r="E192" s="5"/>
      <c r="F192" s="5"/>
    </row>
    <row r="193" spans="1:6" x14ac:dyDescent="0.15">
      <c r="A193" s="2">
        <v>190</v>
      </c>
      <c r="B193" s="2" t="s">
        <v>193</v>
      </c>
      <c r="C193" s="4">
        <v>840</v>
      </c>
      <c r="E193" s="5"/>
      <c r="F193" s="5"/>
    </row>
    <row r="194" spans="1:6" x14ac:dyDescent="0.15">
      <c r="A194" s="2">
        <v>191</v>
      </c>
      <c r="B194" s="2" t="s">
        <v>194</v>
      </c>
      <c r="C194" s="4">
        <v>875</v>
      </c>
      <c r="E194" s="5"/>
      <c r="F194" s="5"/>
    </row>
    <row r="195" spans="1:6" x14ac:dyDescent="0.15">
      <c r="A195" s="2">
        <v>192</v>
      </c>
      <c r="B195" s="2" t="s">
        <v>195</v>
      </c>
      <c r="C195" s="4">
        <v>910</v>
      </c>
      <c r="E195" s="5"/>
      <c r="F195" s="5"/>
    </row>
    <row r="196" spans="1:6" x14ac:dyDescent="0.15">
      <c r="A196" s="2">
        <v>193</v>
      </c>
      <c r="B196" s="2" t="s">
        <v>196</v>
      </c>
      <c r="C196" s="4">
        <v>945</v>
      </c>
      <c r="E196" s="5"/>
      <c r="F196" s="5"/>
    </row>
    <row r="197" spans="1:6" x14ac:dyDescent="0.15">
      <c r="A197" s="2">
        <v>194</v>
      </c>
      <c r="B197" s="2" t="s">
        <v>197</v>
      </c>
      <c r="C197" s="4">
        <v>980</v>
      </c>
      <c r="E197" s="5"/>
      <c r="F197" s="5"/>
    </row>
    <row r="198" spans="1:6" x14ac:dyDescent="0.15">
      <c r="A198" s="2">
        <v>195</v>
      </c>
      <c r="B198" s="2" t="s">
        <v>198</v>
      </c>
      <c r="C198" s="4">
        <v>1015</v>
      </c>
      <c r="E198" s="5"/>
      <c r="F198" s="5"/>
    </row>
    <row r="199" spans="1:6" x14ac:dyDescent="0.15">
      <c r="A199" s="2">
        <v>196</v>
      </c>
      <c r="B199" s="2" t="s">
        <v>199</v>
      </c>
      <c r="C199" s="4">
        <v>1050</v>
      </c>
      <c r="E199" s="5"/>
      <c r="F199" s="5"/>
    </row>
    <row r="200" spans="1:6" x14ac:dyDescent="0.15">
      <c r="A200" s="2">
        <v>197</v>
      </c>
      <c r="B200" s="2" t="s">
        <v>200</v>
      </c>
      <c r="C200" s="4">
        <v>1085</v>
      </c>
      <c r="E200" s="5"/>
      <c r="F200" s="5"/>
    </row>
    <row r="201" spans="1:6" x14ac:dyDescent="0.15">
      <c r="A201" s="2">
        <v>198</v>
      </c>
      <c r="B201" s="2" t="s">
        <v>201</v>
      </c>
      <c r="C201" s="4">
        <v>1120</v>
      </c>
      <c r="E201" s="5"/>
      <c r="F201" s="5"/>
    </row>
    <row r="202" spans="1:6" x14ac:dyDescent="0.15">
      <c r="A202" s="2">
        <v>199</v>
      </c>
      <c r="B202" s="2" t="s">
        <v>202</v>
      </c>
      <c r="C202" s="4">
        <v>1155</v>
      </c>
      <c r="E202" s="5"/>
      <c r="F202" s="5"/>
    </row>
    <row r="203" spans="1:6" x14ac:dyDescent="0.15">
      <c r="A203" s="2">
        <v>200</v>
      </c>
      <c r="B203" s="2" t="s">
        <v>203</v>
      </c>
      <c r="C203" s="4">
        <v>1190</v>
      </c>
      <c r="E203" s="5"/>
      <c r="F203" s="5"/>
    </row>
    <row r="204" spans="1:6" x14ac:dyDescent="0.15">
      <c r="A204" s="2">
        <v>201</v>
      </c>
      <c r="B204" s="2" t="s">
        <v>204</v>
      </c>
      <c r="C204" s="4">
        <v>1225</v>
      </c>
      <c r="E204" s="5"/>
      <c r="F204" s="5"/>
    </row>
    <row r="205" spans="1:6" x14ac:dyDescent="0.15">
      <c r="A205" s="2">
        <v>202</v>
      </c>
      <c r="B205" s="2" t="s">
        <v>205</v>
      </c>
      <c r="C205" s="4">
        <v>1260</v>
      </c>
      <c r="E205" s="5"/>
      <c r="F205" s="5"/>
    </row>
    <row r="206" spans="1:6" x14ac:dyDescent="0.15">
      <c r="A206" s="2">
        <v>203</v>
      </c>
      <c r="B206" s="2" t="s">
        <v>206</v>
      </c>
      <c r="C206" s="4">
        <v>1295</v>
      </c>
      <c r="E206" s="5"/>
      <c r="F206" s="5"/>
    </row>
    <row r="207" spans="1:6" x14ac:dyDescent="0.15">
      <c r="A207" s="2">
        <v>204</v>
      </c>
      <c r="B207" s="2" t="s">
        <v>207</v>
      </c>
      <c r="C207" s="4">
        <v>1330</v>
      </c>
      <c r="E207" s="5"/>
      <c r="F207" s="5"/>
    </row>
    <row r="208" spans="1:6" x14ac:dyDescent="0.15">
      <c r="A208" s="2">
        <v>205</v>
      </c>
      <c r="B208" s="2" t="s">
        <v>208</v>
      </c>
      <c r="C208" s="4">
        <v>1365</v>
      </c>
      <c r="E208" s="5"/>
      <c r="F208" s="5"/>
    </row>
    <row r="209" spans="1:6" x14ac:dyDescent="0.15">
      <c r="A209" s="2">
        <v>206</v>
      </c>
      <c r="B209" s="2" t="s">
        <v>209</v>
      </c>
      <c r="C209" s="4">
        <v>1400</v>
      </c>
      <c r="E209" s="5"/>
      <c r="F209" s="5"/>
    </row>
    <row r="210" spans="1:6" x14ac:dyDescent="0.15">
      <c r="A210" s="2">
        <v>207</v>
      </c>
      <c r="B210" s="2" t="s">
        <v>210</v>
      </c>
      <c r="C210" s="4">
        <v>1435</v>
      </c>
      <c r="E210" s="5"/>
      <c r="F210" s="5"/>
    </row>
    <row r="211" spans="1:6" x14ac:dyDescent="0.15">
      <c r="A211" s="2">
        <v>208</v>
      </c>
      <c r="B211" s="2" t="s">
        <v>211</v>
      </c>
      <c r="C211" s="4">
        <v>1470</v>
      </c>
      <c r="E211" s="5"/>
      <c r="F211" s="5"/>
    </row>
    <row r="212" spans="1:6" x14ac:dyDescent="0.15">
      <c r="A212" s="2">
        <v>209</v>
      </c>
      <c r="B212" s="2" t="s">
        <v>212</v>
      </c>
      <c r="C212" s="4">
        <v>105</v>
      </c>
      <c r="E212" s="5"/>
      <c r="F212" s="5"/>
    </row>
    <row r="213" spans="1:6" x14ac:dyDescent="0.15">
      <c r="A213" s="2">
        <v>210</v>
      </c>
      <c r="B213" s="2" t="s">
        <v>213</v>
      </c>
      <c r="C213" s="4">
        <v>196</v>
      </c>
      <c r="E213" s="5"/>
    </row>
    <row r="214" spans="1:6" x14ac:dyDescent="0.15">
      <c r="A214" s="2">
        <v>211</v>
      </c>
      <c r="B214" s="2" t="s">
        <v>214</v>
      </c>
      <c r="C214" s="4">
        <v>274</v>
      </c>
      <c r="E214" s="5"/>
    </row>
    <row r="215" spans="1:6" x14ac:dyDescent="0.15">
      <c r="A215" s="2">
        <v>212</v>
      </c>
      <c r="B215" s="2" t="s">
        <v>215</v>
      </c>
      <c r="C215" s="4">
        <v>343</v>
      </c>
      <c r="E215" s="5"/>
      <c r="F215" s="5"/>
    </row>
    <row r="216" spans="1:6" x14ac:dyDescent="0.15">
      <c r="A216" s="2">
        <v>213</v>
      </c>
      <c r="B216" s="2" t="s">
        <v>216</v>
      </c>
      <c r="C216" s="4">
        <v>412</v>
      </c>
      <c r="E216" s="5"/>
      <c r="F216" s="5"/>
    </row>
    <row r="217" spans="1:6" x14ac:dyDescent="0.15">
      <c r="A217" s="2">
        <v>214</v>
      </c>
      <c r="B217" s="2" t="s">
        <v>217</v>
      </c>
      <c r="C217" s="4">
        <v>481</v>
      </c>
      <c r="E217" s="5"/>
      <c r="F217" s="5"/>
    </row>
    <row r="218" spans="1:6" x14ac:dyDescent="0.15">
      <c r="A218" s="2">
        <v>215</v>
      </c>
      <c r="B218" s="2" t="s">
        <v>218</v>
      </c>
      <c r="C218" s="4">
        <v>550</v>
      </c>
      <c r="E218" s="5"/>
      <c r="F218" s="5"/>
    </row>
    <row r="219" spans="1:6" x14ac:dyDescent="0.15">
      <c r="A219" s="2">
        <v>216</v>
      </c>
      <c r="B219" s="2" t="s">
        <v>219</v>
      </c>
      <c r="C219" s="4">
        <v>619</v>
      </c>
      <c r="E219" s="5"/>
      <c r="F219" s="5"/>
    </row>
    <row r="220" spans="1:6" x14ac:dyDescent="0.15">
      <c r="A220" s="2">
        <v>217</v>
      </c>
      <c r="B220" s="2" t="s">
        <v>220</v>
      </c>
      <c r="C220" s="4">
        <v>688</v>
      </c>
      <c r="E220" s="5"/>
      <c r="F220" s="5"/>
    </row>
    <row r="221" spans="1:6" x14ac:dyDescent="0.15">
      <c r="A221" s="2">
        <v>218</v>
      </c>
      <c r="B221" s="2" t="s">
        <v>221</v>
      </c>
      <c r="C221" s="4">
        <v>757</v>
      </c>
      <c r="E221" s="5"/>
      <c r="F221" s="5"/>
    </row>
    <row r="222" spans="1:6" x14ac:dyDescent="0.15">
      <c r="A222" s="2">
        <v>219</v>
      </c>
      <c r="B222" s="2" t="s">
        <v>222</v>
      </c>
      <c r="C222" s="4">
        <v>826</v>
      </c>
      <c r="E222" s="5"/>
      <c r="F222" s="5"/>
    </row>
    <row r="223" spans="1:6" x14ac:dyDescent="0.15">
      <c r="A223" s="2">
        <v>220</v>
      </c>
      <c r="B223" s="2" t="s">
        <v>223</v>
      </c>
      <c r="C223" s="4">
        <v>895</v>
      </c>
      <c r="E223" s="5"/>
      <c r="F223" s="5"/>
    </row>
    <row r="224" spans="1:6" x14ac:dyDescent="0.15">
      <c r="A224" s="2">
        <v>221</v>
      </c>
      <c r="B224" s="2" t="s">
        <v>224</v>
      </c>
      <c r="C224" s="4">
        <v>964</v>
      </c>
      <c r="E224" s="5"/>
      <c r="F224" s="5"/>
    </row>
    <row r="225" spans="1:6" x14ac:dyDescent="0.15">
      <c r="A225" s="2">
        <v>222</v>
      </c>
      <c r="B225" s="2" t="s">
        <v>225</v>
      </c>
      <c r="C225" s="4">
        <v>1033</v>
      </c>
      <c r="E225" s="5"/>
      <c r="F225" s="5"/>
    </row>
    <row r="226" spans="1:6" x14ac:dyDescent="0.15">
      <c r="A226" s="2">
        <v>223</v>
      </c>
      <c r="B226" s="2" t="s">
        <v>226</v>
      </c>
      <c r="C226" s="4">
        <v>1102</v>
      </c>
      <c r="E226" s="5"/>
      <c r="F226" s="5"/>
    </row>
    <row r="227" spans="1:6" x14ac:dyDescent="0.15">
      <c r="A227" s="2">
        <v>224</v>
      </c>
      <c r="B227" s="2" t="s">
        <v>227</v>
      </c>
      <c r="C227" s="4">
        <v>1171</v>
      </c>
      <c r="E227" s="5"/>
      <c r="F227" s="5"/>
    </row>
    <row r="228" spans="1:6" x14ac:dyDescent="0.15">
      <c r="A228" s="2">
        <v>225</v>
      </c>
      <c r="B228" s="2" t="s">
        <v>228</v>
      </c>
      <c r="C228" s="4">
        <v>1240</v>
      </c>
      <c r="E228" s="5"/>
      <c r="F228" s="5"/>
    </row>
    <row r="229" spans="1:6" x14ac:dyDescent="0.15">
      <c r="A229" s="2">
        <v>226</v>
      </c>
      <c r="B229" s="2" t="s">
        <v>229</v>
      </c>
      <c r="C229" s="4">
        <v>1309</v>
      </c>
      <c r="E229" s="5"/>
      <c r="F229" s="5"/>
    </row>
    <row r="230" spans="1:6" x14ac:dyDescent="0.15">
      <c r="A230" s="2">
        <v>227</v>
      </c>
      <c r="B230" s="2" t="s">
        <v>230</v>
      </c>
      <c r="C230" s="4">
        <v>1378</v>
      </c>
      <c r="E230" s="5"/>
      <c r="F230" s="5"/>
    </row>
    <row r="231" spans="1:6" x14ac:dyDescent="0.15">
      <c r="A231" s="2">
        <v>228</v>
      </c>
      <c r="B231" s="2" t="s">
        <v>231</v>
      </c>
      <c r="C231" s="4">
        <v>1447</v>
      </c>
      <c r="E231" s="5"/>
      <c r="F231" s="5"/>
    </row>
    <row r="232" spans="1:6" x14ac:dyDescent="0.15">
      <c r="A232" s="2">
        <v>229</v>
      </c>
      <c r="B232" s="2" t="s">
        <v>232</v>
      </c>
      <c r="C232" s="4">
        <v>1516</v>
      </c>
      <c r="E232" s="5"/>
      <c r="F232" s="5"/>
    </row>
    <row r="233" spans="1:6" x14ac:dyDescent="0.15">
      <c r="A233" s="2">
        <v>230</v>
      </c>
      <c r="B233" s="2" t="s">
        <v>233</v>
      </c>
      <c r="C233" s="4">
        <v>69</v>
      </c>
      <c r="E233" s="5"/>
      <c r="F233" s="5"/>
    </row>
    <row r="234" spans="1:6" x14ac:dyDescent="0.15">
      <c r="A234" s="2">
        <v>231</v>
      </c>
      <c r="B234" s="2" t="s">
        <v>234</v>
      </c>
      <c r="C234" s="4">
        <v>138</v>
      </c>
      <c r="E234" s="5"/>
      <c r="F234" s="5"/>
    </row>
    <row r="235" spans="1:6" x14ac:dyDescent="0.15">
      <c r="A235" s="2">
        <v>232</v>
      </c>
      <c r="B235" s="2" t="s">
        <v>235</v>
      </c>
      <c r="C235" s="4">
        <v>207</v>
      </c>
      <c r="E235" s="5"/>
      <c r="F235" s="5"/>
    </row>
    <row r="236" spans="1:6" x14ac:dyDescent="0.15">
      <c r="A236" s="2">
        <v>233</v>
      </c>
      <c r="B236" s="2" t="s">
        <v>236</v>
      </c>
      <c r="C236" s="4">
        <v>276</v>
      </c>
      <c r="E236" s="5"/>
      <c r="F236" s="5"/>
    </row>
    <row r="237" spans="1:6" x14ac:dyDescent="0.15">
      <c r="A237" s="2">
        <v>234</v>
      </c>
      <c r="B237" s="2" t="s">
        <v>237</v>
      </c>
      <c r="C237" s="4">
        <v>345</v>
      </c>
      <c r="E237" s="5"/>
      <c r="F237" s="5"/>
    </row>
    <row r="238" spans="1:6" x14ac:dyDescent="0.15">
      <c r="A238" s="2">
        <v>235</v>
      </c>
      <c r="B238" s="2" t="s">
        <v>238</v>
      </c>
      <c r="C238" s="4">
        <v>414</v>
      </c>
      <c r="E238" s="5"/>
      <c r="F238" s="5"/>
    </row>
    <row r="239" spans="1:6" x14ac:dyDescent="0.15">
      <c r="A239" s="2">
        <v>236</v>
      </c>
      <c r="B239" s="2" t="s">
        <v>239</v>
      </c>
      <c r="C239" s="4">
        <v>483</v>
      </c>
      <c r="E239" s="5"/>
      <c r="F239" s="5"/>
    </row>
    <row r="240" spans="1:6" x14ac:dyDescent="0.15">
      <c r="A240" s="2">
        <v>237</v>
      </c>
      <c r="B240" s="2" t="s">
        <v>240</v>
      </c>
      <c r="C240" s="4">
        <v>552</v>
      </c>
      <c r="E240" s="5"/>
      <c r="F240" s="5"/>
    </row>
    <row r="241" spans="1:7" x14ac:dyDescent="0.15">
      <c r="A241" s="2">
        <v>238</v>
      </c>
      <c r="B241" s="2" t="s">
        <v>241</v>
      </c>
      <c r="C241" s="4">
        <v>621</v>
      </c>
      <c r="E241" s="5"/>
      <c r="F241" s="5"/>
    </row>
    <row r="242" spans="1:7" x14ac:dyDescent="0.15">
      <c r="A242" s="2">
        <v>239</v>
      </c>
      <c r="B242" s="2" t="s">
        <v>242</v>
      </c>
      <c r="C242" s="4">
        <v>690</v>
      </c>
      <c r="E242" s="5"/>
      <c r="F242" s="5"/>
    </row>
    <row r="243" spans="1:7" x14ac:dyDescent="0.15">
      <c r="A243" s="2">
        <v>240</v>
      </c>
      <c r="B243" s="2" t="s">
        <v>243</v>
      </c>
      <c r="C243" s="4">
        <v>759</v>
      </c>
      <c r="E243" s="5"/>
      <c r="F243" s="5"/>
    </row>
    <row r="244" spans="1:7" x14ac:dyDescent="0.15">
      <c r="A244" s="2">
        <v>241</v>
      </c>
      <c r="B244" s="2" t="s">
        <v>244</v>
      </c>
      <c r="C244" s="4">
        <v>828</v>
      </c>
      <c r="E244" s="5"/>
      <c r="F244" s="5"/>
    </row>
    <row r="245" spans="1:7" x14ac:dyDescent="0.15">
      <c r="A245" s="2">
        <v>242</v>
      </c>
      <c r="B245" s="2" t="s">
        <v>245</v>
      </c>
      <c r="C245" s="4">
        <v>897</v>
      </c>
      <c r="E245" s="5"/>
      <c r="F245" s="5"/>
    </row>
    <row r="246" spans="1:7" x14ac:dyDescent="0.15">
      <c r="A246" s="2">
        <v>243</v>
      </c>
      <c r="B246" s="2" t="s">
        <v>246</v>
      </c>
      <c r="C246" s="4">
        <v>966</v>
      </c>
      <c r="E246" s="5"/>
      <c r="F246" s="5"/>
    </row>
    <row r="247" spans="1:7" x14ac:dyDescent="0.15">
      <c r="A247" s="2">
        <v>244</v>
      </c>
      <c r="B247" s="2" t="s">
        <v>247</v>
      </c>
      <c r="C247" s="4">
        <v>1035</v>
      </c>
      <c r="E247" s="5"/>
      <c r="F247" s="5"/>
    </row>
    <row r="248" spans="1:7" x14ac:dyDescent="0.15">
      <c r="A248" s="2">
        <v>245</v>
      </c>
      <c r="B248" s="2" t="s">
        <v>248</v>
      </c>
      <c r="C248" s="4">
        <v>1104</v>
      </c>
      <c r="E248" s="5"/>
      <c r="F248" s="5"/>
    </row>
    <row r="249" spans="1:7" x14ac:dyDescent="0.15">
      <c r="A249" s="2">
        <v>246</v>
      </c>
      <c r="B249" s="2" t="s">
        <v>249</v>
      </c>
      <c r="C249" s="4">
        <v>1173</v>
      </c>
      <c r="E249" s="5"/>
      <c r="F249" s="5"/>
    </row>
    <row r="250" spans="1:7" x14ac:dyDescent="0.15">
      <c r="A250" s="2">
        <v>247</v>
      </c>
      <c r="B250" s="2" t="s">
        <v>250</v>
      </c>
      <c r="C250" s="4">
        <v>1242</v>
      </c>
      <c r="E250" s="5"/>
      <c r="F250" s="5"/>
    </row>
    <row r="251" spans="1:7" x14ac:dyDescent="0.15">
      <c r="A251" s="2">
        <v>248</v>
      </c>
      <c r="B251" s="2" t="s">
        <v>251</v>
      </c>
      <c r="C251" s="4">
        <v>1311</v>
      </c>
      <c r="E251" s="5"/>
      <c r="F251" s="5"/>
    </row>
    <row r="252" spans="1:7" x14ac:dyDescent="0.15">
      <c r="A252" s="2">
        <v>249</v>
      </c>
      <c r="B252" s="2" t="s">
        <v>252</v>
      </c>
      <c r="C252" s="4">
        <v>1380</v>
      </c>
      <c r="E252" s="5"/>
      <c r="F252" s="5"/>
    </row>
    <row r="253" spans="1:7" x14ac:dyDescent="0.15">
      <c r="A253" s="2">
        <v>250</v>
      </c>
      <c r="B253" s="2" t="s">
        <v>253</v>
      </c>
      <c r="C253" s="4">
        <v>1449</v>
      </c>
      <c r="E253" s="5"/>
      <c r="F253" s="5"/>
    </row>
    <row r="254" spans="1:7" x14ac:dyDescent="0.15">
      <c r="A254" s="2">
        <v>251</v>
      </c>
      <c r="B254" s="2" t="s">
        <v>254</v>
      </c>
      <c r="C254" s="4">
        <v>147</v>
      </c>
      <c r="E254" s="5"/>
      <c r="F254" s="5"/>
      <c r="G254" s="6"/>
    </row>
    <row r="255" spans="1:7" x14ac:dyDescent="0.15">
      <c r="A255" s="2">
        <v>252</v>
      </c>
      <c r="B255" s="2" t="s">
        <v>255</v>
      </c>
      <c r="C255" s="4">
        <v>329</v>
      </c>
      <c r="E255" s="5"/>
    </row>
    <row r="256" spans="1:7" x14ac:dyDescent="0.15">
      <c r="A256" s="2">
        <v>253</v>
      </c>
      <c r="B256" s="2" t="s">
        <v>256</v>
      </c>
      <c r="C256" s="4">
        <v>411</v>
      </c>
      <c r="E256" s="5"/>
    </row>
    <row r="257" spans="1:5" x14ac:dyDescent="0.15">
      <c r="A257" s="2">
        <v>254</v>
      </c>
      <c r="B257" s="2" t="s">
        <v>257</v>
      </c>
      <c r="C257" s="4">
        <v>495</v>
      </c>
      <c r="E257" s="5"/>
    </row>
    <row r="258" spans="1:5" x14ac:dyDescent="0.15">
      <c r="A258" s="2">
        <v>255</v>
      </c>
      <c r="B258" s="2" t="s">
        <v>258</v>
      </c>
      <c r="C258" s="4">
        <v>578</v>
      </c>
      <c r="E258" s="5"/>
    </row>
    <row r="259" spans="1:5" x14ac:dyDescent="0.15">
      <c r="A259" s="2">
        <v>256</v>
      </c>
      <c r="B259" s="2" t="s">
        <v>259</v>
      </c>
      <c r="C259" s="4">
        <v>182</v>
      </c>
      <c r="E259" s="5"/>
    </row>
    <row r="260" spans="1:5" x14ac:dyDescent="0.15">
      <c r="A260" s="2">
        <v>257</v>
      </c>
      <c r="B260" s="2" t="s">
        <v>260</v>
      </c>
      <c r="C260" s="4">
        <v>264</v>
      </c>
      <c r="E260" s="5"/>
    </row>
    <row r="261" spans="1:5" x14ac:dyDescent="0.15">
      <c r="A261" s="2">
        <v>258</v>
      </c>
      <c r="B261" s="2" t="s">
        <v>261</v>
      </c>
      <c r="C261" s="4">
        <v>348</v>
      </c>
      <c r="E261" s="5"/>
    </row>
    <row r="262" spans="1:5" x14ac:dyDescent="0.15">
      <c r="A262" s="2">
        <v>259</v>
      </c>
      <c r="B262" s="2" t="s">
        <v>262</v>
      </c>
      <c r="C262" s="4">
        <v>431</v>
      </c>
      <c r="E262" s="5"/>
    </row>
    <row r="263" spans="1:5" x14ac:dyDescent="0.15">
      <c r="A263" s="2">
        <v>260</v>
      </c>
      <c r="B263" s="2" t="s">
        <v>263</v>
      </c>
      <c r="C263" s="4">
        <v>82</v>
      </c>
      <c r="E263" s="5"/>
    </row>
    <row r="264" spans="1:5" x14ac:dyDescent="0.15">
      <c r="A264" s="2">
        <v>261</v>
      </c>
      <c r="B264" s="2" t="s">
        <v>264</v>
      </c>
      <c r="C264" s="4">
        <v>166</v>
      </c>
      <c r="E264" s="5"/>
    </row>
    <row r="265" spans="1:5" x14ac:dyDescent="0.15">
      <c r="A265" s="2">
        <v>262</v>
      </c>
      <c r="B265" s="2" t="s">
        <v>265</v>
      </c>
      <c r="C265" s="4">
        <v>249</v>
      </c>
      <c r="E265" s="5"/>
    </row>
    <row r="266" spans="1:5" x14ac:dyDescent="0.15">
      <c r="A266" s="2">
        <v>263</v>
      </c>
      <c r="B266" s="2" t="s">
        <v>266</v>
      </c>
      <c r="C266" s="4">
        <v>84</v>
      </c>
      <c r="E266" s="5"/>
    </row>
    <row r="267" spans="1:5" x14ac:dyDescent="0.15">
      <c r="A267" s="2">
        <v>264</v>
      </c>
      <c r="B267" s="2" t="s">
        <v>267</v>
      </c>
      <c r="C267" s="4">
        <v>167</v>
      </c>
      <c r="E267" s="5"/>
    </row>
    <row r="268" spans="1:5" x14ac:dyDescent="0.15">
      <c r="A268" s="2">
        <v>265</v>
      </c>
      <c r="B268" s="2" t="s">
        <v>268</v>
      </c>
      <c r="C268" s="4">
        <v>83</v>
      </c>
      <c r="E268" s="5"/>
    </row>
    <row r="269" spans="1:5" x14ac:dyDescent="0.15">
      <c r="A269" s="2">
        <v>266</v>
      </c>
      <c r="B269" s="2" t="s">
        <v>269</v>
      </c>
      <c r="C269" s="4">
        <v>147</v>
      </c>
      <c r="E269" s="5"/>
    </row>
    <row r="270" spans="1:5" x14ac:dyDescent="0.15">
      <c r="A270" s="2">
        <v>267</v>
      </c>
      <c r="B270" s="2" t="s">
        <v>270</v>
      </c>
      <c r="C270" s="4">
        <v>329</v>
      </c>
      <c r="E270" s="5"/>
    </row>
    <row r="271" spans="1:5" x14ac:dyDescent="0.15">
      <c r="A271" s="2">
        <v>268</v>
      </c>
      <c r="B271" s="2" t="s">
        <v>271</v>
      </c>
      <c r="C271" s="4">
        <v>411</v>
      </c>
      <c r="E271" s="5"/>
    </row>
    <row r="272" spans="1:5" x14ac:dyDescent="0.15">
      <c r="A272" s="2">
        <v>269</v>
      </c>
      <c r="B272" s="2" t="s">
        <v>272</v>
      </c>
      <c r="C272" s="4">
        <v>495</v>
      </c>
      <c r="E272" s="5"/>
    </row>
    <row r="273" spans="1:5" x14ac:dyDescent="0.15">
      <c r="A273" s="2">
        <v>270</v>
      </c>
      <c r="B273" s="2" t="s">
        <v>273</v>
      </c>
      <c r="C273" s="4">
        <v>578</v>
      </c>
      <c r="E273" s="5"/>
    </row>
    <row r="274" spans="1:5" x14ac:dyDescent="0.15">
      <c r="A274" s="2">
        <v>271</v>
      </c>
      <c r="B274" s="2" t="s">
        <v>274</v>
      </c>
      <c r="C274" s="4">
        <v>182</v>
      </c>
      <c r="E274" s="5"/>
    </row>
    <row r="275" spans="1:5" x14ac:dyDescent="0.15">
      <c r="A275" s="2">
        <v>272</v>
      </c>
      <c r="B275" s="2" t="s">
        <v>275</v>
      </c>
      <c r="C275" s="4">
        <v>264</v>
      </c>
      <c r="E275" s="5"/>
    </row>
    <row r="276" spans="1:5" x14ac:dyDescent="0.15">
      <c r="A276" s="2">
        <v>273</v>
      </c>
      <c r="B276" s="2" t="s">
        <v>276</v>
      </c>
      <c r="C276" s="4">
        <v>348</v>
      </c>
      <c r="E276" s="5"/>
    </row>
    <row r="277" spans="1:5" x14ac:dyDescent="0.15">
      <c r="A277" s="2">
        <v>274</v>
      </c>
      <c r="B277" s="2" t="s">
        <v>277</v>
      </c>
      <c r="C277" s="4">
        <v>431</v>
      </c>
      <c r="E277" s="5"/>
    </row>
    <row r="278" spans="1:5" x14ac:dyDescent="0.15">
      <c r="A278" s="2">
        <v>275</v>
      </c>
      <c r="B278" s="2" t="s">
        <v>278</v>
      </c>
      <c r="C278" s="4">
        <v>82</v>
      </c>
      <c r="E278" s="5"/>
    </row>
    <row r="279" spans="1:5" x14ac:dyDescent="0.15">
      <c r="A279" s="2">
        <v>276</v>
      </c>
      <c r="B279" s="2" t="s">
        <v>279</v>
      </c>
      <c r="C279" s="4">
        <v>166</v>
      </c>
      <c r="E279" s="5"/>
    </row>
    <row r="280" spans="1:5" x14ac:dyDescent="0.15">
      <c r="A280" s="2">
        <v>277</v>
      </c>
      <c r="B280" s="2" t="s">
        <v>280</v>
      </c>
      <c r="C280" s="4">
        <v>249</v>
      </c>
      <c r="E280" s="5"/>
    </row>
    <row r="281" spans="1:5" x14ac:dyDescent="0.15">
      <c r="A281" s="2">
        <v>278</v>
      </c>
      <c r="B281" s="2" t="s">
        <v>281</v>
      </c>
      <c r="C281" s="4">
        <v>84</v>
      </c>
      <c r="E281" s="5"/>
    </row>
    <row r="282" spans="1:5" x14ac:dyDescent="0.15">
      <c r="A282" s="2">
        <v>279</v>
      </c>
      <c r="B282" s="2" t="s">
        <v>282</v>
      </c>
      <c r="C282" s="4">
        <v>167</v>
      </c>
      <c r="E282" s="5"/>
    </row>
    <row r="283" spans="1:5" x14ac:dyDescent="0.15">
      <c r="A283" s="2">
        <v>280</v>
      </c>
      <c r="B283" s="2" t="s">
        <v>283</v>
      </c>
      <c r="C283" s="4">
        <v>83</v>
      </c>
      <c r="E283" s="5"/>
    </row>
    <row r="284" spans="1:5" x14ac:dyDescent="0.15">
      <c r="A284" s="2">
        <v>281</v>
      </c>
      <c r="B284" s="2" t="s">
        <v>284</v>
      </c>
      <c r="C284" s="4">
        <v>90</v>
      </c>
      <c r="E284" s="5"/>
    </row>
    <row r="285" spans="1:5" x14ac:dyDescent="0.15">
      <c r="A285" s="2">
        <v>282</v>
      </c>
      <c r="B285" s="2" t="s">
        <v>285</v>
      </c>
      <c r="C285" s="4">
        <v>182</v>
      </c>
      <c r="E285" s="5"/>
    </row>
    <row r="286" spans="1:5" x14ac:dyDescent="0.15">
      <c r="A286" s="2">
        <v>283</v>
      </c>
      <c r="B286" s="2" t="s">
        <v>286</v>
      </c>
      <c r="C286" s="4">
        <v>273</v>
      </c>
      <c r="E286" s="5"/>
    </row>
    <row r="287" spans="1:5" x14ac:dyDescent="0.15">
      <c r="A287" s="2">
        <v>284</v>
      </c>
      <c r="B287" s="2" t="s">
        <v>287</v>
      </c>
      <c r="C287" s="4">
        <v>365</v>
      </c>
      <c r="E287" s="5"/>
    </row>
    <row r="288" spans="1:5" x14ac:dyDescent="0.15">
      <c r="A288" s="2">
        <v>285</v>
      </c>
      <c r="B288" s="2" t="s">
        <v>288</v>
      </c>
      <c r="C288" s="4">
        <v>92</v>
      </c>
      <c r="E288" s="5"/>
    </row>
    <row r="289" spans="1:5" x14ac:dyDescent="0.15">
      <c r="A289" s="2">
        <v>286</v>
      </c>
      <c r="B289" s="2" t="s">
        <v>289</v>
      </c>
      <c r="C289" s="4">
        <v>183</v>
      </c>
      <c r="E289" s="5"/>
    </row>
    <row r="290" spans="1:5" x14ac:dyDescent="0.15">
      <c r="A290" s="2">
        <v>287</v>
      </c>
      <c r="B290" s="2" t="s">
        <v>290</v>
      </c>
      <c r="C290" s="4">
        <v>275</v>
      </c>
      <c r="E290" s="5"/>
    </row>
    <row r="291" spans="1:5" x14ac:dyDescent="0.15">
      <c r="A291" s="2">
        <v>288</v>
      </c>
      <c r="B291" s="2" t="s">
        <v>291</v>
      </c>
      <c r="C291" s="4">
        <v>91</v>
      </c>
      <c r="E291" s="5"/>
    </row>
    <row r="292" spans="1:5" x14ac:dyDescent="0.15">
      <c r="A292" s="2">
        <v>289</v>
      </c>
      <c r="B292" s="2" t="s">
        <v>292</v>
      </c>
      <c r="C292" s="4">
        <v>183</v>
      </c>
      <c r="E292" s="5"/>
    </row>
    <row r="293" spans="1:5" x14ac:dyDescent="0.15">
      <c r="A293" s="2">
        <v>290</v>
      </c>
      <c r="B293" s="2" t="s">
        <v>293</v>
      </c>
      <c r="C293" s="4">
        <v>92</v>
      </c>
      <c r="E293" s="5"/>
    </row>
    <row r="294" spans="1:5" x14ac:dyDescent="0.15">
      <c r="A294" s="2">
        <v>291</v>
      </c>
      <c r="B294" s="2" t="s">
        <v>294</v>
      </c>
      <c r="C294" s="4">
        <v>47</v>
      </c>
      <c r="E294" s="5"/>
    </row>
    <row r="295" spans="1:5" x14ac:dyDescent="0.15">
      <c r="A295" s="2">
        <v>292</v>
      </c>
      <c r="B295" s="2" t="s">
        <v>295</v>
      </c>
      <c r="C295" s="4">
        <v>91</v>
      </c>
      <c r="E295" s="5"/>
    </row>
    <row r="296" spans="1:5" x14ac:dyDescent="0.15">
      <c r="A296" s="2">
        <v>293</v>
      </c>
      <c r="B296" s="2" t="s">
        <v>296</v>
      </c>
      <c r="C296" s="4">
        <v>133</v>
      </c>
      <c r="E296" s="5"/>
    </row>
    <row r="297" spans="1:5" x14ac:dyDescent="0.15">
      <c r="A297" s="2">
        <v>294</v>
      </c>
      <c r="B297" s="2" t="s">
        <v>297</v>
      </c>
      <c r="C297" s="4">
        <v>169</v>
      </c>
      <c r="E297" s="5"/>
    </row>
    <row r="298" spans="1:5" x14ac:dyDescent="0.15">
      <c r="A298" s="2">
        <v>295</v>
      </c>
      <c r="B298" s="2" t="s">
        <v>298</v>
      </c>
      <c r="C298" s="4">
        <v>44</v>
      </c>
      <c r="E298" s="5"/>
    </row>
    <row r="299" spans="1:5" x14ac:dyDescent="0.15">
      <c r="A299" s="2">
        <v>296</v>
      </c>
      <c r="B299" s="2" t="s">
        <v>299</v>
      </c>
      <c r="C299" s="4">
        <v>86</v>
      </c>
      <c r="E299" s="5"/>
    </row>
    <row r="300" spans="1:5" x14ac:dyDescent="0.15">
      <c r="A300" s="2">
        <v>297</v>
      </c>
      <c r="B300" s="2" t="s">
        <v>300</v>
      </c>
      <c r="C300" s="4">
        <v>122</v>
      </c>
      <c r="E300" s="5"/>
    </row>
    <row r="301" spans="1:5" x14ac:dyDescent="0.15">
      <c r="A301" s="2">
        <v>298</v>
      </c>
      <c r="B301" s="2" t="s">
        <v>301</v>
      </c>
      <c r="C301" s="4">
        <v>42</v>
      </c>
      <c r="E301" s="5"/>
    </row>
    <row r="302" spans="1:5" x14ac:dyDescent="0.15">
      <c r="A302" s="2">
        <v>299</v>
      </c>
      <c r="B302" s="2" t="s">
        <v>302</v>
      </c>
      <c r="C302" s="4">
        <v>78</v>
      </c>
      <c r="E302" s="5"/>
    </row>
    <row r="303" spans="1:5" x14ac:dyDescent="0.15">
      <c r="A303" s="2">
        <v>300</v>
      </c>
      <c r="B303" s="2" t="s">
        <v>303</v>
      </c>
      <c r="C303" s="4">
        <v>36</v>
      </c>
      <c r="E303" s="5"/>
    </row>
    <row r="304" spans="1:5" x14ac:dyDescent="0.15">
      <c r="A304" s="2">
        <v>301</v>
      </c>
      <c r="B304" s="2" t="s">
        <v>304</v>
      </c>
      <c r="C304" s="4">
        <v>91</v>
      </c>
      <c r="E304" s="5"/>
    </row>
    <row r="305" spans="1:5" x14ac:dyDescent="0.15">
      <c r="A305" s="2">
        <v>302</v>
      </c>
      <c r="B305" s="2" t="s">
        <v>305</v>
      </c>
      <c r="C305" s="4">
        <v>169</v>
      </c>
      <c r="E305" s="5"/>
    </row>
    <row r="306" spans="1:5" x14ac:dyDescent="0.15">
      <c r="A306" s="2">
        <v>303</v>
      </c>
      <c r="B306" s="2" t="s">
        <v>306</v>
      </c>
      <c r="C306" s="4">
        <v>78</v>
      </c>
      <c r="E306" s="5"/>
    </row>
    <row r="307" spans="1:5" x14ac:dyDescent="0.15">
      <c r="A307" s="2">
        <v>304</v>
      </c>
      <c r="B307" s="2" t="s">
        <v>307</v>
      </c>
      <c r="C307" s="4">
        <v>182</v>
      </c>
      <c r="E307" s="5"/>
    </row>
    <row r="308" spans="1:5" x14ac:dyDescent="0.15">
      <c r="A308" s="2">
        <v>305</v>
      </c>
      <c r="B308" s="2" t="s">
        <v>308</v>
      </c>
      <c r="C308" s="4">
        <v>264</v>
      </c>
      <c r="E308" s="5"/>
    </row>
    <row r="309" spans="1:5" x14ac:dyDescent="0.15">
      <c r="A309" s="2">
        <v>306</v>
      </c>
      <c r="B309" s="2" t="s">
        <v>309</v>
      </c>
      <c r="C309" s="4">
        <v>348</v>
      </c>
      <c r="E309" s="5"/>
    </row>
    <row r="310" spans="1:5" x14ac:dyDescent="0.15">
      <c r="A310" s="2">
        <v>307</v>
      </c>
      <c r="B310" s="2" t="s">
        <v>310</v>
      </c>
      <c r="C310" s="4">
        <v>431</v>
      </c>
      <c r="E310" s="5"/>
    </row>
    <row r="311" spans="1:5" x14ac:dyDescent="0.15">
      <c r="A311" s="2">
        <v>308</v>
      </c>
      <c r="B311" s="2" t="s">
        <v>311</v>
      </c>
      <c r="C311" s="4">
        <v>82</v>
      </c>
      <c r="E311" s="5"/>
    </row>
    <row r="312" spans="1:5" x14ac:dyDescent="0.15">
      <c r="A312" s="2">
        <v>309</v>
      </c>
      <c r="B312" s="2" t="s">
        <v>312</v>
      </c>
      <c r="C312" s="4">
        <v>166</v>
      </c>
      <c r="E312" s="5"/>
    </row>
    <row r="313" spans="1:5" x14ac:dyDescent="0.15">
      <c r="A313" s="2">
        <v>310</v>
      </c>
      <c r="B313" s="2" t="s">
        <v>313</v>
      </c>
      <c r="C313" s="4">
        <v>249</v>
      </c>
      <c r="E313" s="5"/>
    </row>
    <row r="314" spans="1:5" x14ac:dyDescent="0.15">
      <c r="A314" s="2">
        <v>311</v>
      </c>
      <c r="B314" s="2" t="s">
        <v>314</v>
      </c>
      <c r="C314" s="4">
        <v>84</v>
      </c>
      <c r="E314" s="5"/>
    </row>
    <row r="315" spans="1:5" x14ac:dyDescent="0.15">
      <c r="A315" s="2">
        <v>312</v>
      </c>
      <c r="B315" s="2" t="s">
        <v>315</v>
      </c>
      <c r="C315" s="4">
        <v>167</v>
      </c>
      <c r="E315" s="5"/>
    </row>
    <row r="316" spans="1:5" x14ac:dyDescent="0.15">
      <c r="A316" s="2">
        <v>313</v>
      </c>
      <c r="B316" s="2" t="s">
        <v>316</v>
      </c>
      <c r="C316" s="4">
        <v>83</v>
      </c>
      <c r="E316" s="5"/>
    </row>
    <row r="317" spans="1:5" x14ac:dyDescent="0.15">
      <c r="A317" s="2">
        <v>314</v>
      </c>
      <c r="B317" s="2" t="s">
        <v>317</v>
      </c>
      <c r="C317" s="4">
        <v>82</v>
      </c>
      <c r="E317" s="5"/>
    </row>
    <row r="318" spans="1:5" x14ac:dyDescent="0.15">
      <c r="A318" s="2">
        <v>315</v>
      </c>
      <c r="B318" s="2" t="s">
        <v>318</v>
      </c>
      <c r="C318" s="4">
        <v>166</v>
      </c>
      <c r="E318" s="5"/>
    </row>
    <row r="319" spans="1:5" x14ac:dyDescent="0.15">
      <c r="A319" s="2">
        <v>316</v>
      </c>
      <c r="B319" s="2" t="s">
        <v>319</v>
      </c>
      <c r="C319" s="4">
        <v>249</v>
      </c>
      <c r="E319" s="5"/>
    </row>
    <row r="320" spans="1:5" x14ac:dyDescent="0.15">
      <c r="A320" s="2">
        <v>317</v>
      </c>
      <c r="B320" s="2" t="s">
        <v>320</v>
      </c>
      <c r="C320" s="4">
        <v>84</v>
      </c>
      <c r="E320" s="5"/>
    </row>
    <row r="321" spans="1:5" x14ac:dyDescent="0.15">
      <c r="A321" s="2">
        <v>318</v>
      </c>
      <c r="B321" s="2" t="s">
        <v>321</v>
      </c>
      <c r="C321" s="4">
        <v>167</v>
      </c>
      <c r="E321" s="5"/>
    </row>
    <row r="322" spans="1:5" x14ac:dyDescent="0.15">
      <c r="A322" s="2">
        <v>319</v>
      </c>
      <c r="B322" s="2" t="s">
        <v>322</v>
      </c>
      <c r="C322" s="4">
        <v>83</v>
      </c>
      <c r="E322" s="5"/>
    </row>
    <row r="323" spans="1:5" x14ac:dyDescent="0.15">
      <c r="A323" s="2">
        <v>320</v>
      </c>
      <c r="B323" s="2" t="s">
        <v>323</v>
      </c>
      <c r="C323" s="4">
        <v>84</v>
      </c>
      <c r="E323" s="5"/>
    </row>
    <row r="324" spans="1:5" x14ac:dyDescent="0.15">
      <c r="A324" s="2">
        <v>321</v>
      </c>
      <c r="B324" s="2" t="s">
        <v>324</v>
      </c>
      <c r="C324" s="4">
        <v>167</v>
      </c>
      <c r="E324" s="5"/>
    </row>
    <row r="325" spans="1:5" x14ac:dyDescent="0.15">
      <c r="A325" s="2">
        <v>322</v>
      </c>
      <c r="B325" s="2" t="s">
        <v>325</v>
      </c>
      <c r="C325" s="4">
        <v>83</v>
      </c>
      <c r="E325" s="5"/>
    </row>
    <row r="326" spans="1:5" x14ac:dyDescent="0.15">
      <c r="A326" s="2">
        <v>323</v>
      </c>
      <c r="B326" s="2" t="s">
        <v>326</v>
      </c>
      <c r="C326" s="4">
        <v>83</v>
      </c>
      <c r="E326" s="5"/>
    </row>
    <row r="327" spans="1:5" x14ac:dyDescent="0.15">
      <c r="A327" s="2">
        <v>324</v>
      </c>
      <c r="B327" s="2" t="s">
        <v>327</v>
      </c>
      <c r="C327" s="4">
        <v>182</v>
      </c>
      <c r="E327" s="5"/>
    </row>
    <row r="328" spans="1:5" x14ac:dyDescent="0.15">
      <c r="A328" s="2">
        <v>325</v>
      </c>
      <c r="B328" s="2" t="s">
        <v>328</v>
      </c>
      <c r="C328" s="4">
        <v>264</v>
      </c>
      <c r="E328" s="5"/>
    </row>
    <row r="329" spans="1:5" x14ac:dyDescent="0.15">
      <c r="A329" s="2">
        <v>326</v>
      </c>
      <c r="B329" s="2" t="s">
        <v>329</v>
      </c>
      <c r="C329" s="4">
        <v>348</v>
      </c>
      <c r="E329" s="5"/>
    </row>
    <row r="330" spans="1:5" x14ac:dyDescent="0.15">
      <c r="A330" s="2">
        <v>327</v>
      </c>
      <c r="B330" s="2" t="s">
        <v>330</v>
      </c>
      <c r="C330" s="4">
        <v>431</v>
      </c>
      <c r="E330" s="5"/>
    </row>
    <row r="331" spans="1:5" x14ac:dyDescent="0.15">
      <c r="A331" s="2">
        <v>328</v>
      </c>
      <c r="B331" s="2" t="s">
        <v>331</v>
      </c>
      <c r="C331" s="4">
        <v>82</v>
      </c>
      <c r="E331" s="5"/>
    </row>
    <row r="332" spans="1:5" x14ac:dyDescent="0.15">
      <c r="A332" s="2">
        <v>329</v>
      </c>
      <c r="B332" s="2" t="s">
        <v>332</v>
      </c>
      <c r="C332" s="4">
        <v>166</v>
      </c>
      <c r="E332" s="5"/>
    </row>
    <row r="333" spans="1:5" x14ac:dyDescent="0.15">
      <c r="A333" s="2">
        <v>330</v>
      </c>
      <c r="B333" s="2" t="s">
        <v>333</v>
      </c>
      <c r="C333" s="4">
        <v>249</v>
      </c>
      <c r="E333" s="5"/>
    </row>
    <row r="334" spans="1:5" x14ac:dyDescent="0.15">
      <c r="A334" s="2">
        <v>331</v>
      </c>
      <c r="B334" s="2" t="s">
        <v>334</v>
      </c>
      <c r="C334" s="4">
        <v>84</v>
      </c>
      <c r="E334" s="5"/>
    </row>
    <row r="335" spans="1:5" x14ac:dyDescent="0.15">
      <c r="A335" s="2">
        <v>332</v>
      </c>
      <c r="B335" s="2" t="s">
        <v>335</v>
      </c>
      <c r="C335" s="4">
        <v>167</v>
      </c>
      <c r="E335" s="5"/>
    </row>
    <row r="336" spans="1:5" x14ac:dyDescent="0.15">
      <c r="A336" s="2">
        <v>333</v>
      </c>
      <c r="B336" s="2" t="s">
        <v>336</v>
      </c>
      <c r="C336" s="4">
        <v>83</v>
      </c>
      <c r="E336" s="5"/>
    </row>
    <row r="337" spans="1:5" x14ac:dyDescent="0.15">
      <c r="A337" s="2">
        <v>334</v>
      </c>
      <c r="B337" s="2" t="s">
        <v>337</v>
      </c>
      <c r="C337" s="4">
        <v>82</v>
      </c>
      <c r="E337" s="5"/>
    </row>
    <row r="338" spans="1:5" x14ac:dyDescent="0.15">
      <c r="A338" s="2">
        <v>335</v>
      </c>
      <c r="B338" s="2" t="s">
        <v>338</v>
      </c>
      <c r="C338" s="4">
        <v>166</v>
      </c>
      <c r="E338" s="5"/>
    </row>
    <row r="339" spans="1:5" x14ac:dyDescent="0.15">
      <c r="A339" s="2">
        <v>336</v>
      </c>
      <c r="B339" s="2" t="s">
        <v>339</v>
      </c>
      <c r="C339" s="4">
        <v>249</v>
      </c>
      <c r="E339" s="5"/>
    </row>
    <row r="340" spans="1:5" x14ac:dyDescent="0.15">
      <c r="A340" s="2">
        <v>337</v>
      </c>
      <c r="B340" s="2" t="s">
        <v>340</v>
      </c>
      <c r="C340" s="4">
        <v>84</v>
      </c>
      <c r="E340" s="5"/>
    </row>
    <row r="341" spans="1:5" x14ac:dyDescent="0.15">
      <c r="A341" s="2">
        <v>338</v>
      </c>
      <c r="B341" s="2" t="s">
        <v>341</v>
      </c>
      <c r="C341" s="4">
        <v>167</v>
      </c>
      <c r="E341" s="5"/>
    </row>
    <row r="342" spans="1:5" x14ac:dyDescent="0.15">
      <c r="A342" s="2">
        <v>339</v>
      </c>
      <c r="B342" s="2" t="s">
        <v>342</v>
      </c>
      <c r="C342" s="4">
        <v>83</v>
      </c>
      <c r="E342" s="5"/>
    </row>
    <row r="343" spans="1:5" x14ac:dyDescent="0.15">
      <c r="A343" s="2">
        <v>340</v>
      </c>
      <c r="B343" s="2" t="s">
        <v>343</v>
      </c>
      <c r="C343" s="4">
        <v>84</v>
      </c>
      <c r="E343" s="5"/>
    </row>
    <row r="344" spans="1:5" x14ac:dyDescent="0.15">
      <c r="A344" s="2">
        <v>341</v>
      </c>
      <c r="B344" s="2" t="s">
        <v>344</v>
      </c>
      <c r="C344" s="4">
        <v>167</v>
      </c>
      <c r="E344" s="5"/>
    </row>
    <row r="345" spans="1:5" x14ac:dyDescent="0.15">
      <c r="A345" s="2">
        <v>342</v>
      </c>
      <c r="B345" s="2" t="s">
        <v>345</v>
      </c>
      <c r="C345" s="4">
        <v>83</v>
      </c>
      <c r="E345" s="5"/>
    </row>
    <row r="346" spans="1:5" x14ac:dyDescent="0.15">
      <c r="A346" s="2">
        <v>343</v>
      </c>
      <c r="B346" s="2" t="s">
        <v>346</v>
      </c>
      <c r="C346" s="4">
        <v>83</v>
      </c>
      <c r="E346" s="5"/>
    </row>
    <row r="347" spans="1:5" x14ac:dyDescent="0.15">
      <c r="A347" s="2">
        <v>344</v>
      </c>
      <c r="B347" s="2" t="s">
        <v>347</v>
      </c>
      <c r="C347" s="4">
        <v>92</v>
      </c>
      <c r="E347" s="5"/>
    </row>
    <row r="348" spans="1:5" x14ac:dyDescent="0.15">
      <c r="A348" s="2">
        <v>345</v>
      </c>
      <c r="B348" s="2" t="s">
        <v>348</v>
      </c>
      <c r="C348" s="4">
        <v>183</v>
      </c>
      <c r="E348" s="5"/>
    </row>
    <row r="349" spans="1:5" x14ac:dyDescent="0.15">
      <c r="A349" s="2">
        <v>346</v>
      </c>
      <c r="B349" s="2" t="s">
        <v>349</v>
      </c>
      <c r="C349" s="4">
        <v>275</v>
      </c>
      <c r="E349" s="5"/>
    </row>
    <row r="350" spans="1:5" x14ac:dyDescent="0.15">
      <c r="A350" s="2">
        <v>347</v>
      </c>
      <c r="B350" s="2" t="s">
        <v>350</v>
      </c>
      <c r="C350" s="4">
        <v>91</v>
      </c>
      <c r="E350" s="5"/>
    </row>
    <row r="351" spans="1:5" x14ac:dyDescent="0.15">
      <c r="A351" s="2">
        <v>348</v>
      </c>
      <c r="B351" s="2" t="s">
        <v>351</v>
      </c>
      <c r="C351" s="4">
        <v>183</v>
      </c>
      <c r="E351" s="5"/>
    </row>
    <row r="352" spans="1:5" x14ac:dyDescent="0.15">
      <c r="A352" s="2">
        <v>349</v>
      </c>
      <c r="B352" s="2" t="s">
        <v>352</v>
      </c>
      <c r="C352" s="4">
        <v>92</v>
      </c>
      <c r="E352" s="5"/>
    </row>
    <row r="353" spans="1:5" x14ac:dyDescent="0.15">
      <c r="A353" s="2">
        <v>350</v>
      </c>
      <c r="B353" s="2" t="s">
        <v>353</v>
      </c>
      <c r="C353" s="4">
        <v>91</v>
      </c>
      <c r="E353" s="5"/>
    </row>
    <row r="354" spans="1:5" x14ac:dyDescent="0.15">
      <c r="A354" s="2">
        <v>351</v>
      </c>
      <c r="B354" s="2" t="s">
        <v>354</v>
      </c>
      <c r="C354" s="4">
        <v>183</v>
      </c>
      <c r="E354" s="5"/>
    </row>
    <row r="355" spans="1:5" x14ac:dyDescent="0.15">
      <c r="A355" s="2">
        <v>352</v>
      </c>
      <c r="B355" s="2" t="s">
        <v>355</v>
      </c>
      <c r="C355" s="4">
        <v>92</v>
      </c>
      <c r="E355" s="5"/>
    </row>
    <row r="356" spans="1:5" x14ac:dyDescent="0.15">
      <c r="A356" s="2">
        <v>353</v>
      </c>
      <c r="B356" s="2" t="s">
        <v>356</v>
      </c>
      <c r="C356" s="4">
        <v>92</v>
      </c>
      <c r="E356" s="5"/>
    </row>
    <row r="357" spans="1:5" x14ac:dyDescent="0.15">
      <c r="A357" s="2">
        <v>354</v>
      </c>
      <c r="B357" s="2" t="s">
        <v>357</v>
      </c>
      <c r="C357" s="4">
        <v>44</v>
      </c>
      <c r="E357" s="5"/>
    </row>
    <row r="358" spans="1:5" x14ac:dyDescent="0.15">
      <c r="A358" s="2">
        <v>355</v>
      </c>
      <c r="B358" s="2" t="s">
        <v>358</v>
      </c>
      <c r="C358" s="4">
        <v>86</v>
      </c>
      <c r="E358" s="5"/>
    </row>
    <row r="359" spans="1:5" x14ac:dyDescent="0.15">
      <c r="A359" s="2">
        <v>356</v>
      </c>
      <c r="B359" s="2" t="s">
        <v>359</v>
      </c>
      <c r="C359" s="4">
        <v>122</v>
      </c>
      <c r="E359" s="5"/>
    </row>
    <row r="360" spans="1:5" x14ac:dyDescent="0.15">
      <c r="A360" s="2">
        <v>357</v>
      </c>
      <c r="B360" s="2" t="s">
        <v>360</v>
      </c>
      <c r="C360" s="4">
        <v>42</v>
      </c>
      <c r="E360" s="5"/>
    </row>
    <row r="361" spans="1:5" x14ac:dyDescent="0.15">
      <c r="A361" s="2">
        <v>358</v>
      </c>
      <c r="B361" s="2" t="s">
        <v>361</v>
      </c>
      <c r="C361" s="4">
        <v>78</v>
      </c>
      <c r="E361" s="5"/>
    </row>
    <row r="362" spans="1:5" x14ac:dyDescent="0.15">
      <c r="A362" s="2">
        <v>359</v>
      </c>
      <c r="B362" s="2" t="s">
        <v>362</v>
      </c>
      <c r="C362" s="4">
        <v>36</v>
      </c>
      <c r="E362" s="5"/>
    </row>
    <row r="363" spans="1:5" x14ac:dyDescent="0.15">
      <c r="A363" s="2">
        <v>360</v>
      </c>
      <c r="B363" s="2" t="s">
        <v>363</v>
      </c>
      <c r="C363" s="4">
        <v>42</v>
      </c>
      <c r="E363" s="5"/>
    </row>
    <row r="364" spans="1:5" x14ac:dyDescent="0.15">
      <c r="A364" s="2">
        <v>361</v>
      </c>
      <c r="B364" s="2" t="s">
        <v>364</v>
      </c>
      <c r="C364" s="4">
        <v>78</v>
      </c>
      <c r="E364" s="5"/>
    </row>
    <row r="365" spans="1:5" x14ac:dyDescent="0.15">
      <c r="A365" s="2">
        <v>362</v>
      </c>
      <c r="B365" s="2" t="s">
        <v>365</v>
      </c>
      <c r="C365" s="4">
        <v>36</v>
      </c>
      <c r="E365" s="5"/>
    </row>
    <row r="366" spans="1:5" x14ac:dyDescent="0.15">
      <c r="A366" s="2">
        <v>363</v>
      </c>
      <c r="B366" s="2" t="s">
        <v>366</v>
      </c>
      <c r="C366" s="4">
        <v>36</v>
      </c>
      <c r="E366" s="5"/>
    </row>
    <row r="367" spans="1:5" x14ac:dyDescent="0.15">
      <c r="A367" s="2">
        <v>364</v>
      </c>
      <c r="B367" s="2" t="s">
        <v>367</v>
      </c>
      <c r="C367" s="4">
        <v>78</v>
      </c>
      <c r="E367" s="5"/>
    </row>
    <row r="368" spans="1:5" x14ac:dyDescent="0.15">
      <c r="A368" s="2">
        <v>365</v>
      </c>
      <c r="B368" s="2" t="s">
        <v>368</v>
      </c>
      <c r="C368" s="7">
        <v>1</v>
      </c>
      <c r="E368" s="5"/>
    </row>
    <row r="369" spans="1:5" x14ac:dyDescent="0.15">
      <c r="A369" s="2">
        <v>366</v>
      </c>
      <c r="B369" s="2" t="s">
        <v>369</v>
      </c>
      <c r="C369" s="7">
        <v>0.5</v>
      </c>
      <c r="E369" s="5"/>
    </row>
    <row r="370" spans="1:5" x14ac:dyDescent="0.15">
      <c r="A370" s="2">
        <v>367</v>
      </c>
      <c r="B370" s="2" t="s">
        <v>370</v>
      </c>
      <c r="C370" s="7">
        <v>0.25</v>
      </c>
      <c r="E370" s="5"/>
    </row>
    <row r="371" spans="1:5" x14ac:dyDescent="0.15">
      <c r="A371" s="2">
        <v>368</v>
      </c>
      <c r="B371" s="2" t="s">
        <v>371</v>
      </c>
      <c r="C371" s="7">
        <v>0.25</v>
      </c>
      <c r="E371" s="5"/>
    </row>
    <row r="372" spans="1:5" x14ac:dyDescent="0.15">
      <c r="A372" s="2">
        <v>369</v>
      </c>
      <c r="B372" s="2" t="s">
        <v>372</v>
      </c>
      <c r="C372" s="7">
        <v>0.5</v>
      </c>
      <c r="E372" s="5"/>
    </row>
    <row r="373" spans="1:5" x14ac:dyDescent="0.15">
      <c r="A373" s="2">
        <v>370</v>
      </c>
      <c r="B373" s="2" t="s">
        <v>373</v>
      </c>
      <c r="C373" s="7">
        <v>0.25</v>
      </c>
      <c r="E373" s="5"/>
    </row>
    <row r="374" spans="1:5" x14ac:dyDescent="0.15">
      <c r="A374" s="2">
        <v>371</v>
      </c>
      <c r="B374" s="2" t="s">
        <v>374</v>
      </c>
      <c r="C374" s="7">
        <v>0.25</v>
      </c>
      <c r="E374" s="5"/>
    </row>
    <row r="375" spans="1:5" x14ac:dyDescent="0.15">
      <c r="A375" s="2">
        <v>372</v>
      </c>
      <c r="B375" s="2" t="s">
        <v>375</v>
      </c>
      <c r="C375" s="7">
        <v>0.5</v>
      </c>
      <c r="E375" s="5"/>
    </row>
    <row r="376" spans="1:5" x14ac:dyDescent="0.15">
      <c r="A376" s="2">
        <v>373</v>
      </c>
      <c r="B376" s="2" t="s">
        <v>376</v>
      </c>
      <c r="C376" s="7">
        <v>0.25</v>
      </c>
      <c r="E376" s="5"/>
    </row>
    <row r="377" spans="1:5" x14ac:dyDescent="0.15">
      <c r="A377" s="2">
        <v>374</v>
      </c>
      <c r="B377" s="2" t="s">
        <v>377</v>
      </c>
      <c r="C377" s="7">
        <v>0.7</v>
      </c>
      <c r="E377" s="5"/>
    </row>
    <row r="378" spans="1:5" x14ac:dyDescent="0.15">
      <c r="A378" s="2">
        <v>375</v>
      </c>
      <c r="B378" s="2" t="s">
        <v>378</v>
      </c>
      <c r="C378" s="7">
        <v>0.9</v>
      </c>
      <c r="E378" s="5"/>
    </row>
    <row r="379" spans="1:5" x14ac:dyDescent="0.15">
      <c r="A379" s="2">
        <v>376</v>
      </c>
      <c r="B379" s="2" t="s">
        <v>379</v>
      </c>
      <c r="C379" s="7">
        <v>0.9</v>
      </c>
      <c r="E379" s="5"/>
    </row>
    <row r="380" spans="1:5" x14ac:dyDescent="0.15">
      <c r="A380" s="2">
        <v>377</v>
      </c>
      <c r="B380" s="2" t="s">
        <v>380</v>
      </c>
      <c r="C380" s="7">
        <v>0.7</v>
      </c>
      <c r="E380" s="5"/>
    </row>
    <row r="381" spans="1:5" x14ac:dyDescent="0.15">
      <c r="A381" s="2">
        <v>380</v>
      </c>
      <c r="B381" s="2" t="s">
        <v>381</v>
      </c>
      <c r="C381" s="8">
        <v>101</v>
      </c>
      <c r="E381" s="5"/>
    </row>
  </sheetData>
  <phoneticPr fontId="1"/>
  <pageMargins left="0.7" right="0.7" top="0.75" bottom="0.75" header="0.3" footer="0.3"/>
  <pageSetup paperSize="9" scale="92"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W12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2.5" style="10" bestFit="1" customWidth="1"/>
    <col min="4" max="4" width="4.875" style="10" customWidth="1"/>
    <col min="5" max="5" width="5.5" style="117" bestFit="1" customWidth="1"/>
    <col min="6" max="6" width="4.875" style="10" customWidth="1"/>
    <col min="7" max="7" width="5.5" style="117" bestFit="1" customWidth="1"/>
    <col min="8" max="8" width="11.875" style="12" customWidth="1"/>
    <col min="9" max="9" width="3.5" style="12" bestFit="1" customWidth="1"/>
    <col min="10" max="10" width="4.5" style="13" bestFit="1" customWidth="1"/>
    <col min="11" max="11" width="25.5" style="14" bestFit="1" customWidth="1"/>
    <col min="12" max="12" width="3.5" style="12" bestFit="1" customWidth="1"/>
    <col min="13" max="13" width="5.5" style="13" bestFit="1" customWidth="1"/>
    <col min="14" max="14" width="3.5" style="12" bestFit="1" customWidth="1"/>
    <col min="15" max="15" width="4.5" style="13" bestFit="1" customWidth="1"/>
    <col min="16" max="16" width="5.5" style="12" bestFit="1" customWidth="1"/>
    <col min="17" max="17" width="3.5" style="12" bestFit="1" customWidth="1"/>
    <col min="18" max="18" width="4.5" style="13" bestFit="1" customWidth="1"/>
    <col min="19" max="19" width="5.5" style="12" bestFit="1" customWidth="1"/>
    <col min="20" max="20" width="9.875" style="12" customWidth="1"/>
    <col min="21" max="21" width="4.5" style="12" bestFit="1" customWidth="1"/>
    <col min="22" max="22" width="7.125" style="15" customWidth="1"/>
    <col min="23" max="23" width="8.5" style="16" customWidth="1"/>
    <col min="24" max="16384" width="8.875" style="12"/>
  </cols>
  <sheetData>
    <row r="1" spans="1:23" ht="17.100000000000001" customHeight="1" x14ac:dyDescent="0.15">
      <c r="D1" s="11"/>
      <c r="E1" s="12"/>
      <c r="F1" s="11"/>
      <c r="G1" s="12"/>
    </row>
    <row r="2" spans="1:23" ht="17.100000000000001" customHeight="1" x14ac:dyDescent="0.15"/>
    <row r="3" spans="1:23" ht="17.100000000000001" customHeight="1" x14ac:dyDescent="0.15"/>
    <row r="4" spans="1:23" ht="17.100000000000001" customHeight="1" x14ac:dyDescent="0.15">
      <c r="B4" s="17" t="s">
        <v>1615</v>
      </c>
      <c r="D4" s="71"/>
    </row>
    <row r="5" spans="1:23" ht="16.5" customHeight="1" x14ac:dyDescent="0.15">
      <c r="A5" s="19" t="s">
        <v>384</v>
      </c>
      <c r="B5" s="20"/>
      <c r="C5" s="21" t="s">
        <v>385</v>
      </c>
      <c r="D5" s="23" t="s">
        <v>386</v>
      </c>
      <c r="E5" s="118"/>
      <c r="F5" s="23"/>
      <c r="G5" s="118"/>
      <c r="H5" s="23"/>
      <c r="I5" s="23"/>
      <c r="J5" s="24"/>
      <c r="K5" s="23"/>
      <c r="L5" s="23"/>
      <c r="M5" s="24"/>
      <c r="N5" s="23"/>
      <c r="O5" s="24"/>
      <c r="P5" s="23"/>
      <c r="Q5" s="23"/>
      <c r="R5" s="24"/>
      <c r="S5" s="23"/>
      <c r="T5" s="23"/>
      <c r="U5" s="23"/>
      <c r="V5" s="25" t="s">
        <v>387</v>
      </c>
      <c r="W5" s="21" t="s">
        <v>388</v>
      </c>
    </row>
    <row r="6" spans="1:23" ht="16.5" customHeight="1" x14ac:dyDescent="0.15">
      <c r="A6" s="26" t="s">
        <v>389</v>
      </c>
      <c r="B6" s="26" t="s">
        <v>390</v>
      </c>
      <c r="C6" s="27"/>
      <c r="D6" s="87" t="s">
        <v>1032</v>
      </c>
      <c r="E6" s="124"/>
      <c r="F6" s="87" t="s">
        <v>1033</v>
      </c>
      <c r="G6" s="119"/>
      <c r="H6" s="29"/>
      <c r="I6" s="29"/>
      <c r="J6" s="30"/>
      <c r="K6" s="29"/>
      <c r="L6" s="29"/>
      <c r="M6" s="30"/>
      <c r="N6" s="29"/>
      <c r="O6" s="30"/>
      <c r="P6" s="29"/>
      <c r="Q6" s="29"/>
      <c r="R6" s="30"/>
      <c r="S6" s="29"/>
      <c r="T6" s="29"/>
      <c r="U6" s="29"/>
      <c r="V6" s="31" t="s">
        <v>391</v>
      </c>
      <c r="W6" s="32" t="s">
        <v>392</v>
      </c>
    </row>
    <row r="7" spans="1:23" ht="16.5" customHeight="1" x14ac:dyDescent="0.15">
      <c r="A7" s="33">
        <v>11</v>
      </c>
      <c r="B7" s="33">
        <v>1487</v>
      </c>
      <c r="C7" s="34" t="s">
        <v>1616</v>
      </c>
      <c r="D7" s="709" t="s">
        <v>742</v>
      </c>
      <c r="E7" s="718"/>
      <c r="F7" s="709" t="s">
        <v>1617</v>
      </c>
      <c r="G7" s="718"/>
      <c r="H7" s="35"/>
      <c r="K7" s="36"/>
      <c r="L7" s="37"/>
      <c r="M7" s="38"/>
      <c r="N7" s="92" t="s">
        <v>1416</v>
      </c>
      <c r="P7" s="57"/>
      <c r="Q7" s="72" t="s">
        <v>1618</v>
      </c>
      <c r="S7" s="57"/>
      <c r="T7" s="35"/>
      <c r="V7" s="39">
        <f>ROUND((_11_A身体０．５*(1+_11・A夜間)),0)+ROUND((_11_B身体０．５＿０．５*(1+_11・B深夜)),0)</f>
        <v>540</v>
      </c>
      <c r="W7" s="40" t="s">
        <v>395</v>
      </c>
    </row>
    <row r="8" spans="1:23" ht="16.5" customHeight="1" x14ac:dyDescent="0.15">
      <c r="A8" s="41">
        <v>11</v>
      </c>
      <c r="B8" s="41">
        <v>1488</v>
      </c>
      <c r="C8" s="74" t="s">
        <v>1619</v>
      </c>
      <c r="D8" s="709"/>
      <c r="E8" s="718"/>
      <c r="F8" s="709"/>
      <c r="G8" s="718"/>
      <c r="H8" s="43"/>
      <c r="I8" s="37"/>
      <c r="J8" s="38"/>
      <c r="K8" s="44" t="s">
        <v>397</v>
      </c>
      <c r="L8" s="45" t="s">
        <v>398</v>
      </c>
      <c r="M8" s="46">
        <v>1</v>
      </c>
      <c r="N8" s="35" t="s">
        <v>398</v>
      </c>
      <c r="O8" s="13">
        <v>0.25</v>
      </c>
      <c r="P8" s="728" t="s">
        <v>676</v>
      </c>
      <c r="Q8" s="12" t="s">
        <v>398</v>
      </c>
      <c r="R8" s="13">
        <v>0.5</v>
      </c>
      <c r="S8" s="728" t="s">
        <v>676</v>
      </c>
      <c r="T8" s="35"/>
      <c r="V8" s="47">
        <f>ROUND((ROUND((_11_A身体０．５*_11・２人),0)*(1+_11・A夜間)),0)+ROUND((ROUND((_11_B身体０．５＿０．５*_11・２人),0)*(1+_11・B深夜)),0)</f>
        <v>540</v>
      </c>
      <c r="W8" s="48"/>
    </row>
    <row r="9" spans="1:23" ht="16.5" customHeight="1" x14ac:dyDescent="0.15">
      <c r="A9" s="41">
        <v>11</v>
      </c>
      <c r="B9" s="41">
        <v>1489</v>
      </c>
      <c r="C9" s="74" t="s">
        <v>1620</v>
      </c>
      <c r="D9" s="709"/>
      <c r="E9" s="718"/>
      <c r="F9" s="709"/>
      <c r="G9" s="718"/>
      <c r="H9" s="705" t="s">
        <v>400</v>
      </c>
      <c r="I9" s="49" t="s">
        <v>398</v>
      </c>
      <c r="J9" s="50">
        <v>0.7</v>
      </c>
      <c r="K9" s="44"/>
      <c r="L9" s="45"/>
      <c r="M9" s="46"/>
      <c r="N9" s="35"/>
      <c r="P9" s="728"/>
      <c r="S9" s="728"/>
      <c r="T9" s="35"/>
      <c r="V9" s="47">
        <f>ROUND((ROUND((_11_A身体０．５*_11・基礎１),0)*(1+_11・A夜間)),0)+ROUND((ROUND((_11_B身体０．５＿０．５*_11・基礎１),0)*(1+_11・B深夜)),0)</f>
        <v>379</v>
      </c>
      <c r="W9" s="48"/>
    </row>
    <row r="10" spans="1:23" ht="16.5" customHeight="1" x14ac:dyDescent="0.15">
      <c r="A10" s="41">
        <v>11</v>
      </c>
      <c r="B10" s="41">
        <v>1490</v>
      </c>
      <c r="C10" s="74" t="s">
        <v>1621</v>
      </c>
      <c r="D10" s="100">
        <f>_11_A身体０．５</f>
        <v>255</v>
      </c>
      <c r="E10" s="12" t="s">
        <v>392</v>
      </c>
      <c r="F10" s="100">
        <f>_11_B身体０．５＿０．５</f>
        <v>147</v>
      </c>
      <c r="G10" s="12" t="s">
        <v>392</v>
      </c>
      <c r="H10" s="711"/>
      <c r="I10" s="37"/>
      <c r="J10" s="38"/>
      <c r="K10" s="44" t="s">
        <v>397</v>
      </c>
      <c r="L10" s="45" t="s">
        <v>398</v>
      </c>
      <c r="M10" s="46">
        <v>1</v>
      </c>
      <c r="N10" s="35"/>
      <c r="P10" s="57"/>
      <c r="S10" s="57"/>
      <c r="T10" s="43"/>
      <c r="U10" s="37"/>
      <c r="V10" s="47">
        <f>ROUND((ROUND((ROUND((_11_A身体０．５*_11・基礎１),0)*_11・２人),0)*(1+_11・A夜間)),0)+ROUND((ROUND((ROUND((_11_B身体０．５＿０．５*_11・基礎１),0)*_11・２人),0)*(1+_11・B深夜)),0)</f>
        <v>379</v>
      </c>
      <c r="W10" s="48"/>
    </row>
    <row r="11" spans="1:23" ht="16.5" customHeight="1" x14ac:dyDescent="0.15">
      <c r="A11" s="41">
        <v>11</v>
      </c>
      <c r="B11" s="41" t="s">
        <v>1622</v>
      </c>
      <c r="C11" s="74" t="s">
        <v>1623</v>
      </c>
      <c r="D11" s="121"/>
      <c r="E11" s="99"/>
      <c r="F11" s="121"/>
      <c r="G11" s="99"/>
      <c r="H11" s="53"/>
      <c r="I11" s="49"/>
      <c r="J11" s="50"/>
      <c r="K11" s="44"/>
      <c r="L11" s="45"/>
      <c r="M11" s="46"/>
      <c r="N11" s="35"/>
      <c r="P11" s="57"/>
      <c r="S11" s="57"/>
      <c r="T11" s="707" t="s">
        <v>404</v>
      </c>
      <c r="U11" s="708"/>
      <c r="V11" s="47">
        <f>ROUND((ROUND((_11_A身体０．５*(1+_11・A夜間)),0)*_11・初任),0)+ROUND((ROUND((_11_B身体０．５＿０．５*(1+_11・B深夜)),0)*_11・初任),0)</f>
        <v>378</v>
      </c>
      <c r="W11" s="48"/>
    </row>
    <row r="12" spans="1:23" ht="16.5" customHeight="1" x14ac:dyDescent="0.15">
      <c r="A12" s="41">
        <v>11</v>
      </c>
      <c r="B12" s="41" t="s">
        <v>1624</v>
      </c>
      <c r="C12" s="74" t="s">
        <v>1625</v>
      </c>
      <c r="D12" s="121"/>
      <c r="E12" s="99"/>
      <c r="F12" s="121"/>
      <c r="G12" s="99"/>
      <c r="H12" s="43"/>
      <c r="I12" s="37"/>
      <c r="J12" s="38"/>
      <c r="K12" s="44" t="s">
        <v>397</v>
      </c>
      <c r="L12" s="45" t="s">
        <v>398</v>
      </c>
      <c r="M12" s="46">
        <v>1</v>
      </c>
      <c r="N12" s="35"/>
      <c r="P12" s="57"/>
      <c r="S12" s="57"/>
      <c r="T12" s="709"/>
      <c r="U12" s="704"/>
      <c r="V12" s="47">
        <f>ROUND((ROUND((ROUND((_11_A身体０．５*_11・２人),0)*(1+_11・A夜間)),0)*_11・初任),0)+ROUND((ROUND((ROUND((_11_B身体０．５＿０．５*_11・２人),0)*(1+_11・B深夜)),0)*_11・初任),0)</f>
        <v>378</v>
      </c>
      <c r="W12" s="48"/>
    </row>
    <row r="13" spans="1:23" ht="16.5" customHeight="1" x14ac:dyDescent="0.15">
      <c r="A13" s="41">
        <v>11</v>
      </c>
      <c r="B13" s="41" t="s">
        <v>1626</v>
      </c>
      <c r="C13" s="74" t="s">
        <v>1627</v>
      </c>
      <c r="D13" s="72"/>
      <c r="E13" s="99"/>
      <c r="F13" s="72"/>
      <c r="G13" s="99"/>
      <c r="H13" s="705" t="s">
        <v>400</v>
      </c>
      <c r="I13" s="49" t="s">
        <v>398</v>
      </c>
      <c r="J13" s="50">
        <v>0.7</v>
      </c>
      <c r="K13" s="44"/>
      <c r="L13" s="45"/>
      <c r="M13" s="46"/>
      <c r="N13" s="35"/>
      <c r="P13" s="57"/>
      <c r="S13" s="57"/>
      <c r="T13" s="709"/>
      <c r="U13" s="704"/>
      <c r="V13" s="47">
        <f>ROUND((ROUND((ROUND((_11_A身体０．５*_11・基礎１),0)*(1+_11・A夜間)),0)*_11・初任),0)+ROUND((ROUND((ROUND((_11_B身体０．５＿０．５*_11・基礎１),0)*(1+_11・B深夜)),0)*_11・初任),0)</f>
        <v>266</v>
      </c>
      <c r="W13" s="48"/>
    </row>
    <row r="14" spans="1:23" ht="16.5" customHeight="1" x14ac:dyDescent="0.15">
      <c r="A14" s="41">
        <v>11</v>
      </c>
      <c r="B14" s="41" t="s">
        <v>1628</v>
      </c>
      <c r="C14" s="74" t="s">
        <v>1629</v>
      </c>
      <c r="D14" s="72"/>
      <c r="E14" s="99"/>
      <c r="F14" s="72"/>
      <c r="G14" s="99"/>
      <c r="H14" s="711"/>
      <c r="I14" s="37"/>
      <c r="J14" s="38"/>
      <c r="K14" s="44" t="s">
        <v>397</v>
      </c>
      <c r="L14" s="45" t="s">
        <v>398</v>
      </c>
      <c r="M14" s="46">
        <v>1</v>
      </c>
      <c r="N14" s="35"/>
      <c r="P14" s="57"/>
      <c r="S14" s="57"/>
      <c r="T14" s="55" t="s">
        <v>398</v>
      </c>
      <c r="U14" s="38">
        <f>_11・初任</f>
        <v>0.7</v>
      </c>
      <c r="V14" s="47">
        <f>ROUND((ROUND((ROUND((ROUND((_11_A身体０．５*_11・基礎１),0)*_11・２人),0)*(1+_11・A夜間)),0)*_11・初任),0)+ROUND((ROUND((ROUND((ROUND((_11_B身体０．５＿０．５*_11・基礎１),0)*_11・２人),0)*(1+_11・B深夜)),0)*_11・初任),0)</f>
        <v>266</v>
      </c>
      <c r="W14" s="48"/>
    </row>
    <row r="15" spans="1:23" ht="16.5" customHeight="1" x14ac:dyDescent="0.15">
      <c r="A15" s="41">
        <v>11</v>
      </c>
      <c r="B15" s="41">
        <v>1491</v>
      </c>
      <c r="C15" s="74" t="s">
        <v>1630</v>
      </c>
      <c r="D15" s="72"/>
      <c r="E15" s="99"/>
      <c r="F15" s="707" t="s">
        <v>1631</v>
      </c>
      <c r="G15" s="717"/>
      <c r="H15" s="49"/>
      <c r="I15" s="49"/>
      <c r="J15" s="50"/>
      <c r="K15" s="44"/>
      <c r="L15" s="45"/>
      <c r="M15" s="46"/>
      <c r="N15" s="35"/>
      <c r="P15" s="57"/>
      <c r="S15" s="57"/>
      <c r="T15" s="53"/>
      <c r="U15" s="49"/>
      <c r="V15" s="47">
        <f>ROUND((_11_A身体０．５*(1+_11・A夜間)),0)+ROUND((_11_B身体０．５＿１．０*(1+_11・B深夜)),0)</f>
        <v>813</v>
      </c>
      <c r="W15" s="48"/>
    </row>
    <row r="16" spans="1:23" ht="16.5" customHeight="1" x14ac:dyDescent="0.15">
      <c r="A16" s="41">
        <v>11</v>
      </c>
      <c r="B16" s="41">
        <v>1492</v>
      </c>
      <c r="C16" s="74" t="s">
        <v>1632</v>
      </c>
      <c r="D16" s="72"/>
      <c r="E16" s="99"/>
      <c r="F16" s="709"/>
      <c r="G16" s="718"/>
      <c r="H16" s="37"/>
      <c r="I16" s="37"/>
      <c r="J16" s="38"/>
      <c r="K16" s="44" t="s">
        <v>397</v>
      </c>
      <c r="L16" s="45" t="s">
        <v>398</v>
      </c>
      <c r="M16" s="46">
        <v>1</v>
      </c>
      <c r="N16" s="35"/>
      <c r="P16" s="57"/>
      <c r="S16" s="57"/>
      <c r="T16" s="35"/>
      <c r="V16" s="47">
        <f>ROUND((ROUND((_11_A身体０．５*_11・２人),0)*(1+_11・A夜間)),0)+ROUND((ROUND((_11_B身体０．５＿１．０*_11・２人),0)*(1+_11・B深夜)),0)</f>
        <v>813</v>
      </c>
      <c r="W16" s="48"/>
    </row>
    <row r="17" spans="1:23" ht="16.5" customHeight="1" x14ac:dyDescent="0.15">
      <c r="A17" s="41">
        <v>11</v>
      </c>
      <c r="B17" s="41">
        <v>1493</v>
      </c>
      <c r="C17" s="74" t="s">
        <v>1633</v>
      </c>
      <c r="D17" s="72"/>
      <c r="E17" s="99"/>
      <c r="F17" s="709"/>
      <c r="G17" s="718"/>
      <c r="H17" s="729" t="s">
        <v>400</v>
      </c>
      <c r="I17" s="49" t="s">
        <v>398</v>
      </c>
      <c r="J17" s="50">
        <v>0.7</v>
      </c>
      <c r="K17" s="44"/>
      <c r="L17" s="45"/>
      <c r="M17" s="46"/>
      <c r="N17" s="35"/>
      <c r="P17" s="57"/>
      <c r="S17" s="57"/>
      <c r="T17" s="35"/>
      <c r="V17" s="47">
        <f>ROUND((ROUND((_11_A身体０．５*_11・基礎１),0)*(1+_11・A夜間)),0)+ROUND((ROUND((_11_B身体０．５＿１．０*_11・基礎１),0)*(1+_11・B深夜)),0)</f>
        <v>569</v>
      </c>
      <c r="W17" s="48"/>
    </row>
    <row r="18" spans="1:23" ht="16.5" customHeight="1" x14ac:dyDescent="0.15">
      <c r="A18" s="41">
        <v>11</v>
      </c>
      <c r="B18" s="41">
        <v>1494</v>
      </c>
      <c r="C18" s="74" t="s">
        <v>1634</v>
      </c>
      <c r="D18" s="72"/>
      <c r="E18" s="99"/>
      <c r="F18" s="100">
        <f>_11_B身体０．５＿１．０</f>
        <v>329</v>
      </c>
      <c r="G18" s="57" t="s">
        <v>392</v>
      </c>
      <c r="H18" s="730"/>
      <c r="I18" s="37"/>
      <c r="J18" s="38"/>
      <c r="K18" s="44" t="s">
        <v>397</v>
      </c>
      <c r="L18" s="45" t="s">
        <v>398</v>
      </c>
      <c r="M18" s="46">
        <v>1</v>
      </c>
      <c r="N18" s="35"/>
      <c r="P18" s="57"/>
      <c r="S18" s="57"/>
      <c r="T18" s="43"/>
      <c r="U18" s="37"/>
      <c r="V18" s="47">
        <f>ROUND((ROUND((ROUND((_11_A身体０．５*_11・基礎１),0)*_11・２人),0)*(1+_11・A夜間)),0)+ROUND((ROUND((ROUND((_11_B身体０．５＿１．０*_11・基礎１),0)*_11・２人),0)*(1+_11・B深夜)),0)</f>
        <v>569</v>
      </c>
      <c r="W18" s="48"/>
    </row>
    <row r="19" spans="1:23" ht="16.5" customHeight="1" x14ac:dyDescent="0.15">
      <c r="A19" s="41">
        <v>11</v>
      </c>
      <c r="B19" s="41" t="s">
        <v>1635</v>
      </c>
      <c r="C19" s="74" t="s">
        <v>1636</v>
      </c>
      <c r="D19" s="72"/>
      <c r="E19" s="99"/>
      <c r="F19" s="121"/>
      <c r="G19" s="99"/>
      <c r="H19" s="53"/>
      <c r="I19" s="49"/>
      <c r="J19" s="50"/>
      <c r="K19" s="44"/>
      <c r="L19" s="45"/>
      <c r="M19" s="46"/>
      <c r="N19" s="35"/>
      <c r="P19" s="57"/>
      <c r="S19" s="57"/>
      <c r="T19" s="707" t="s">
        <v>404</v>
      </c>
      <c r="U19" s="708"/>
      <c r="V19" s="47">
        <f>ROUND((ROUND((_11_A身体０．５*(1+_11・A夜間)),0)*_11・初任),0)+ROUND((ROUND((_11_B身体０．５＿１．０*(1+_11・B深夜)),0)*_11・初任),0)</f>
        <v>569</v>
      </c>
      <c r="W19" s="48"/>
    </row>
    <row r="20" spans="1:23" ht="16.5" customHeight="1" x14ac:dyDescent="0.15">
      <c r="A20" s="41">
        <v>11</v>
      </c>
      <c r="B20" s="41" t="s">
        <v>1637</v>
      </c>
      <c r="C20" s="74" t="s">
        <v>1638</v>
      </c>
      <c r="D20" s="72"/>
      <c r="E20" s="99"/>
      <c r="F20" s="121"/>
      <c r="G20" s="99"/>
      <c r="H20" s="43"/>
      <c r="I20" s="37"/>
      <c r="J20" s="38"/>
      <c r="K20" s="44" t="s">
        <v>397</v>
      </c>
      <c r="L20" s="45" t="s">
        <v>398</v>
      </c>
      <c r="M20" s="46">
        <v>1</v>
      </c>
      <c r="N20" s="35"/>
      <c r="P20" s="57"/>
      <c r="S20" s="57"/>
      <c r="T20" s="709"/>
      <c r="U20" s="704"/>
      <c r="V20" s="47">
        <f>ROUND((ROUND((ROUND((_11_A身体０．５*_11・２人),0)*(1+_11・A夜間)),0)*_11・初任),0)+ROUND((ROUND((ROUND((_11_B身体０．５＿１．０*_11・２人),0)*(1+_11・B深夜)),0)*_11・初任),0)</f>
        <v>569</v>
      </c>
      <c r="W20" s="48"/>
    </row>
    <row r="21" spans="1:23" ht="16.5" customHeight="1" x14ac:dyDescent="0.15">
      <c r="A21" s="41">
        <v>11</v>
      </c>
      <c r="B21" s="41" t="s">
        <v>1639</v>
      </c>
      <c r="C21" s="74" t="s">
        <v>1640</v>
      </c>
      <c r="D21" s="72"/>
      <c r="E21" s="99"/>
      <c r="F21" s="72"/>
      <c r="G21" s="99"/>
      <c r="H21" s="705" t="s">
        <v>400</v>
      </c>
      <c r="I21" s="49" t="s">
        <v>398</v>
      </c>
      <c r="J21" s="50">
        <v>0.7</v>
      </c>
      <c r="K21" s="44"/>
      <c r="L21" s="45"/>
      <c r="M21" s="46"/>
      <c r="N21" s="35"/>
      <c r="P21" s="57"/>
      <c r="S21" s="57"/>
      <c r="T21" s="709"/>
      <c r="U21" s="704"/>
      <c r="V21" s="47">
        <f>ROUND((ROUND((ROUND((_11_A身体０．５*_11・基礎１),0)*(1+_11・A夜間)),0)*_11・初任),0)+ROUND((ROUND((ROUND((_11_B身体０．５＿１．０*_11・基礎１),0)*(1+_11・B深夜)),0)*_11・初任),0)</f>
        <v>399</v>
      </c>
      <c r="W21" s="48"/>
    </row>
    <row r="22" spans="1:23" ht="16.5" customHeight="1" x14ac:dyDescent="0.15">
      <c r="A22" s="41">
        <v>11</v>
      </c>
      <c r="B22" s="41" t="s">
        <v>1641</v>
      </c>
      <c r="C22" s="74" t="s">
        <v>1642</v>
      </c>
      <c r="D22" s="72"/>
      <c r="E22" s="99"/>
      <c r="F22" s="72"/>
      <c r="G22" s="99"/>
      <c r="H22" s="711"/>
      <c r="I22" s="37"/>
      <c r="J22" s="38"/>
      <c r="K22" s="44" t="s">
        <v>397</v>
      </c>
      <c r="L22" s="45" t="s">
        <v>398</v>
      </c>
      <c r="M22" s="46">
        <v>1</v>
      </c>
      <c r="N22" s="35"/>
      <c r="P22" s="57"/>
      <c r="S22" s="57"/>
      <c r="T22" s="55" t="s">
        <v>398</v>
      </c>
      <c r="U22" s="38">
        <f>_11・初任</f>
        <v>0.7</v>
      </c>
      <c r="V22" s="47">
        <f>ROUND((ROUND((ROUND((ROUND((_11_A身体０．５*_11・基礎１),0)*_11・２人),0)*(1+_11・A夜間)),0)*_11・初任),0)+ROUND((ROUND((ROUND((ROUND((_11_B身体０．５＿１．０*_11・基礎１),0)*_11・２人),0)*(1+_11・B深夜)),0)*_11・初任),0)</f>
        <v>399</v>
      </c>
      <c r="W22" s="48"/>
    </row>
    <row r="23" spans="1:23" ht="16.5" customHeight="1" x14ac:dyDescent="0.15">
      <c r="A23" s="41">
        <v>11</v>
      </c>
      <c r="B23" s="41">
        <v>1495</v>
      </c>
      <c r="C23" s="74" t="s">
        <v>1643</v>
      </c>
      <c r="D23" s="72"/>
      <c r="E23" s="99"/>
      <c r="F23" s="707" t="s">
        <v>1644</v>
      </c>
      <c r="G23" s="717"/>
      <c r="H23" s="53"/>
      <c r="I23" s="49"/>
      <c r="J23" s="50"/>
      <c r="K23" s="44"/>
      <c r="L23" s="45"/>
      <c r="M23" s="46"/>
      <c r="N23" s="35"/>
      <c r="P23" s="57"/>
      <c r="S23" s="57"/>
      <c r="T23" s="53"/>
      <c r="U23" s="49"/>
      <c r="V23" s="47">
        <f>ROUND((_11_A身体０．５*(1+_11・A夜間)),0)+ROUND((_11_B身体０．５＿１．５*(1+_11・B深夜)),0)</f>
        <v>936</v>
      </c>
      <c r="W23" s="48"/>
    </row>
    <row r="24" spans="1:23" ht="16.5" customHeight="1" x14ac:dyDescent="0.15">
      <c r="A24" s="41">
        <v>11</v>
      </c>
      <c r="B24" s="41">
        <v>1496</v>
      </c>
      <c r="C24" s="74" t="s">
        <v>1645</v>
      </c>
      <c r="D24" s="72"/>
      <c r="E24" s="99"/>
      <c r="F24" s="709"/>
      <c r="G24" s="718"/>
      <c r="H24" s="43"/>
      <c r="I24" s="37"/>
      <c r="J24" s="38"/>
      <c r="K24" s="44" t="s">
        <v>397</v>
      </c>
      <c r="L24" s="45" t="s">
        <v>398</v>
      </c>
      <c r="M24" s="46">
        <v>1</v>
      </c>
      <c r="N24" s="35"/>
      <c r="P24" s="57"/>
      <c r="S24" s="57"/>
      <c r="T24" s="35"/>
      <c r="V24" s="47">
        <f>ROUND((ROUND((_11_A身体０．５*_11・２人),0)*(1+_11・A夜間)),0)+ROUND((ROUND((_11_B身体０．５＿１．５*_11・２人),0)*(1+_11・B深夜)),0)</f>
        <v>936</v>
      </c>
      <c r="W24" s="48"/>
    </row>
    <row r="25" spans="1:23" ht="16.5" customHeight="1" x14ac:dyDescent="0.15">
      <c r="A25" s="41">
        <v>11</v>
      </c>
      <c r="B25" s="41">
        <v>1497</v>
      </c>
      <c r="C25" s="74" t="s">
        <v>1646</v>
      </c>
      <c r="D25" s="72"/>
      <c r="E25" s="99"/>
      <c r="F25" s="709"/>
      <c r="G25" s="718"/>
      <c r="H25" s="705" t="s">
        <v>400</v>
      </c>
      <c r="I25" s="49" t="s">
        <v>398</v>
      </c>
      <c r="J25" s="50">
        <v>0.7</v>
      </c>
      <c r="K25" s="44"/>
      <c r="L25" s="45"/>
      <c r="M25" s="46"/>
      <c r="N25" s="35"/>
      <c r="P25" s="57"/>
      <c r="S25" s="57"/>
      <c r="T25" s="35"/>
      <c r="V25" s="47">
        <f>ROUND((ROUND((_11_A身体０．５*_11・基礎１),0)*(1+_11・A夜間)),0)+ROUND((ROUND((_11_B身体０．５＿１．５*_11・基礎１),0)*(1+_11・B深夜)),0)</f>
        <v>656</v>
      </c>
      <c r="W25" s="48"/>
    </row>
    <row r="26" spans="1:23" ht="16.5" customHeight="1" x14ac:dyDescent="0.15">
      <c r="A26" s="41">
        <v>11</v>
      </c>
      <c r="B26" s="41">
        <v>1498</v>
      </c>
      <c r="C26" s="74" t="s">
        <v>1647</v>
      </c>
      <c r="D26" s="72"/>
      <c r="E26" s="99"/>
      <c r="F26" s="100">
        <f>_11_B身体０．５＿１．５</f>
        <v>411</v>
      </c>
      <c r="G26" s="12" t="s">
        <v>392</v>
      </c>
      <c r="H26" s="711"/>
      <c r="I26" s="37"/>
      <c r="J26" s="38"/>
      <c r="K26" s="44" t="s">
        <v>397</v>
      </c>
      <c r="L26" s="45" t="s">
        <v>398</v>
      </c>
      <c r="M26" s="46">
        <v>1</v>
      </c>
      <c r="N26" s="35"/>
      <c r="P26" s="57"/>
      <c r="S26" s="57"/>
      <c r="T26" s="43"/>
      <c r="U26" s="37"/>
      <c r="V26" s="47">
        <f>ROUND((ROUND((ROUND((_11_A身体０．５*_11・基礎１),0)*_11・２人),0)*(1+_11・A夜間)),0)+ROUND((ROUND((ROUND((_11_B身体０．５＿１．５*_11・基礎１),0)*_11・２人),0)*(1+_11・B深夜)),0)</f>
        <v>656</v>
      </c>
      <c r="W26" s="48"/>
    </row>
    <row r="27" spans="1:23" ht="16.5" customHeight="1" x14ac:dyDescent="0.15">
      <c r="A27" s="41">
        <v>11</v>
      </c>
      <c r="B27" s="41" t="s">
        <v>1648</v>
      </c>
      <c r="C27" s="74" t="s">
        <v>1649</v>
      </c>
      <c r="D27" s="72"/>
      <c r="E27" s="99"/>
      <c r="F27" s="121"/>
      <c r="G27" s="99"/>
      <c r="H27" s="53"/>
      <c r="I27" s="49"/>
      <c r="J27" s="50"/>
      <c r="K27" s="44"/>
      <c r="L27" s="45"/>
      <c r="M27" s="46"/>
      <c r="N27" s="35"/>
      <c r="P27" s="57"/>
      <c r="S27" s="57"/>
      <c r="T27" s="707" t="s">
        <v>404</v>
      </c>
      <c r="U27" s="708"/>
      <c r="V27" s="47">
        <f>ROUND((ROUND((_11_A身体０．５*(1+_11・A夜間)),0)*_11・初任),0)+ROUND((ROUND((_11_B身体０．５＿１．５*(1+_11・B深夜)),0)*_11・初任),0)</f>
        <v>655</v>
      </c>
      <c r="W27" s="48"/>
    </row>
    <row r="28" spans="1:23" ht="16.5" customHeight="1" x14ac:dyDescent="0.15">
      <c r="A28" s="41">
        <v>11</v>
      </c>
      <c r="B28" s="41" t="s">
        <v>1650</v>
      </c>
      <c r="C28" s="74" t="s">
        <v>1651</v>
      </c>
      <c r="D28" s="72"/>
      <c r="E28" s="99"/>
      <c r="F28" s="121"/>
      <c r="G28" s="99"/>
      <c r="H28" s="43"/>
      <c r="I28" s="37"/>
      <c r="J28" s="38"/>
      <c r="K28" s="44" t="s">
        <v>397</v>
      </c>
      <c r="L28" s="45" t="s">
        <v>398</v>
      </c>
      <c r="M28" s="46">
        <v>1</v>
      </c>
      <c r="N28" s="35"/>
      <c r="P28" s="57"/>
      <c r="S28" s="57"/>
      <c r="T28" s="709"/>
      <c r="U28" s="704"/>
      <c r="V28" s="47">
        <f>ROUND((ROUND((ROUND((_11_A身体０．５*_11・２人),0)*(1+_11・A夜間)),0)*_11・初任),0)+ROUND((ROUND((ROUND((_11_B身体０．５＿１．５*_11・２人),0)*(1+_11・B深夜)),0)*_11・初任),0)</f>
        <v>655</v>
      </c>
      <c r="W28" s="48"/>
    </row>
    <row r="29" spans="1:23" ht="16.5" customHeight="1" x14ac:dyDescent="0.15">
      <c r="A29" s="41">
        <v>11</v>
      </c>
      <c r="B29" s="41" t="s">
        <v>1652</v>
      </c>
      <c r="C29" s="74" t="s">
        <v>1653</v>
      </c>
      <c r="D29" s="72"/>
      <c r="E29" s="99"/>
      <c r="F29" s="72"/>
      <c r="G29" s="99"/>
      <c r="H29" s="705" t="s">
        <v>400</v>
      </c>
      <c r="I29" s="49" t="s">
        <v>398</v>
      </c>
      <c r="J29" s="50">
        <v>0.7</v>
      </c>
      <c r="K29" s="44"/>
      <c r="L29" s="45"/>
      <c r="M29" s="46"/>
      <c r="N29" s="35"/>
      <c r="P29" s="57"/>
      <c r="S29" s="57"/>
      <c r="T29" s="709"/>
      <c r="U29" s="704"/>
      <c r="V29" s="47">
        <f>ROUND((ROUND((ROUND((_11_A身体０．５*_11・基礎１),0)*(1+_11・A夜間)),0)*_11・初任),0)+ROUND((ROUND((ROUND((_11_B身体０．５＿１．５*_11・基礎１),0)*(1+_11・B深夜)),0)*_11・初任),0)</f>
        <v>459</v>
      </c>
      <c r="W29" s="48"/>
    </row>
    <row r="30" spans="1:23" ht="16.5" customHeight="1" x14ac:dyDescent="0.15">
      <c r="A30" s="41">
        <v>11</v>
      </c>
      <c r="B30" s="41" t="s">
        <v>1654</v>
      </c>
      <c r="C30" s="74" t="s">
        <v>1655</v>
      </c>
      <c r="D30" s="72"/>
      <c r="E30" s="99"/>
      <c r="F30" s="72"/>
      <c r="G30" s="99"/>
      <c r="H30" s="711"/>
      <c r="I30" s="37"/>
      <c r="J30" s="38"/>
      <c r="K30" s="44" t="s">
        <v>397</v>
      </c>
      <c r="L30" s="45" t="s">
        <v>398</v>
      </c>
      <c r="M30" s="46">
        <v>1</v>
      </c>
      <c r="N30" s="35"/>
      <c r="P30" s="57"/>
      <c r="S30" s="57"/>
      <c r="T30" s="55" t="s">
        <v>398</v>
      </c>
      <c r="U30" s="38">
        <f>_11・初任</f>
        <v>0.7</v>
      </c>
      <c r="V30" s="47">
        <f>ROUND((ROUND((ROUND((ROUND((_11_A身体０．５*_11・基礎１),0)*_11・２人),0)*(1+_11・A夜間)),0)*_11・初任),0)+ROUND((ROUND((ROUND((ROUND((_11_B身体０．５＿１．５*_11・基礎１),0)*_11・２人),0)*(1+_11・B深夜)),0)*_11・初任),0)</f>
        <v>459</v>
      </c>
      <c r="W30" s="48"/>
    </row>
    <row r="31" spans="1:23" ht="16.5" customHeight="1" x14ac:dyDescent="0.15">
      <c r="A31" s="41">
        <v>11</v>
      </c>
      <c r="B31" s="41">
        <v>1499</v>
      </c>
      <c r="C31" s="74" t="s">
        <v>1656</v>
      </c>
      <c r="D31" s="72"/>
      <c r="E31" s="99"/>
      <c r="F31" s="707" t="s">
        <v>1657</v>
      </c>
      <c r="G31" s="717"/>
      <c r="H31" s="53"/>
      <c r="I31" s="49"/>
      <c r="J31" s="50"/>
      <c r="K31" s="44"/>
      <c r="L31" s="45"/>
      <c r="M31" s="46"/>
      <c r="N31" s="35"/>
      <c r="P31" s="57"/>
      <c r="S31" s="57"/>
      <c r="T31" s="53"/>
      <c r="U31" s="49"/>
      <c r="V31" s="47">
        <f>ROUND((_11_A身体０．５*(1+_11・A夜間)),0)+ROUND((_11_B身体０．５＿２．０*(1+_11・B深夜)),0)</f>
        <v>1062</v>
      </c>
      <c r="W31" s="48"/>
    </row>
    <row r="32" spans="1:23" ht="16.5" customHeight="1" x14ac:dyDescent="0.15">
      <c r="A32" s="41">
        <v>11</v>
      </c>
      <c r="B32" s="41">
        <v>1500</v>
      </c>
      <c r="C32" s="74" t="s">
        <v>1658</v>
      </c>
      <c r="D32" s="72"/>
      <c r="E32" s="99"/>
      <c r="F32" s="709"/>
      <c r="G32" s="718"/>
      <c r="H32" s="43"/>
      <c r="I32" s="37"/>
      <c r="J32" s="38"/>
      <c r="K32" s="44" t="s">
        <v>397</v>
      </c>
      <c r="L32" s="45" t="s">
        <v>398</v>
      </c>
      <c r="M32" s="46">
        <v>1</v>
      </c>
      <c r="N32" s="35"/>
      <c r="P32" s="57"/>
      <c r="S32" s="57"/>
      <c r="T32" s="35"/>
      <c r="V32" s="47">
        <f>ROUND((ROUND((_11_A身体０．５*_11・２人),0)*(1+_11・A夜間)),0)+ROUND((ROUND((_11_B身体０．５＿２．０*_11・２人),0)*(1+_11・B深夜)),0)</f>
        <v>1062</v>
      </c>
      <c r="W32" s="48"/>
    </row>
    <row r="33" spans="1:23" ht="16.5" customHeight="1" x14ac:dyDescent="0.15">
      <c r="A33" s="41">
        <v>11</v>
      </c>
      <c r="B33" s="41">
        <v>1501</v>
      </c>
      <c r="C33" s="74" t="s">
        <v>1659</v>
      </c>
      <c r="D33" s="72"/>
      <c r="E33" s="99"/>
      <c r="F33" s="709"/>
      <c r="G33" s="718"/>
      <c r="H33" s="705" t="s">
        <v>400</v>
      </c>
      <c r="I33" s="49" t="s">
        <v>398</v>
      </c>
      <c r="J33" s="50">
        <v>0.7</v>
      </c>
      <c r="K33" s="44"/>
      <c r="L33" s="45"/>
      <c r="M33" s="46"/>
      <c r="N33" s="35"/>
      <c r="P33" s="57"/>
      <c r="S33" s="57"/>
      <c r="T33" s="35"/>
      <c r="V33" s="47">
        <f>ROUND((ROUND((_11_A身体０．５*_11・基礎１),0)*(1+_11・A夜間)),0)+ROUND((ROUND((_11_B身体０．５＿２．０*_11・基礎１),0)*(1+_11・B深夜)),0)</f>
        <v>745</v>
      </c>
      <c r="W33" s="48"/>
    </row>
    <row r="34" spans="1:23" ht="16.5" customHeight="1" x14ac:dyDescent="0.15">
      <c r="A34" s="41">
        <v>11</v>
      </c>
      <c r="B34" s="41">
        <v>1502</v>
      </c>
      <c r="C34" s="74" t="s">
        <v>1660</v>
      </c>
      <c r="D34" s="72"/>
      <c r="E34" s="99"/>
      <c r="F34" s="100">
        <f>_11_B身体０．５＿２．０</f>
        <v>495</v>
      </c>
      <c r="G34" s="12" t="s">
        <v>392</v>
      </c>
      <c r="H34" s="711"/>
      <c r="I34" s="37"/>
      <c r="J34" s="38"/>
      <c r="K34" s="44" t="s">
        <v>397</v>
      </c>
      <c r="L34" s="45" t="s">
        <v>398</v>
      </c>
      <c r="M34" s="46">
        <v>1</v>
      </c>
      <c r="N34" s="35"/>
      <c r="P34" s="57"/>
      <c r="S34" s="57"/>
      <c r="T34" s="43"/>
      <c r="U34" s="37"/>
      <c r="V34" s="47">
        <f>ROUND((ROUND((ROUND((_11_A身体０．５*_11・基礎１),0)*_11・２人),0)*(1+_11・A夜間)),0)+ROUND((ROUND((ROUND((_11_B身体０．５＿２．０*_11・基礎１),0)*_11・２人),0)*(1+_11・B深夜)),0)</f>
        <v>745</v>
      </c>
      <c r="W34" s="48"/>
    </row>
    <row r="35" spans="1:23" ht="16.5" customHeight="1" x14ac:dyDescent="0.15">
      <c r="A35" s="41">
        <v>11</v>
      </c>
      <c r="B35" s="41" t="s">
        <v>1661</v>
      </c>
      <c r="C35" s="74" t="s">
        <v>1662</v>
      </c>
      <c r="D35" s="72"/>
      <c r="E35" s="99"/>
      <c r="F35" s="121"/>
      <c r="G35" s="99"/>
      <c r="H35" s="53"/>
      <c r="I35" s="49"/>
      <c r="J35" s="50"/>
      <c r="K35" s="44"/>
      <c r="L35" s="45"/>
      <c r="M35" s="46"/>
      <c r="N35" s="35"/>
      <c r="P35" s="57"/>
      <c r="S35" s="57"/>
      <c r="T35" s="707" t="s">
        <v>404</v>
      </c>
      <c r="U35" s="708"/>
      <c r="V35" s="47">
        <f>ROUND((ROUND((_11_A身体０．５*(1+_11・A夜間)),0)*_11・初任),0)+ROUND((ROUND((_11_B身体０．５＿２．０*(1+_11・B深夜)),0)*_11・初任),0)</f>
        <v>743</v>
      </c>
      <c r="W35" s="48"/>
    </row>
    <row r="36" spans="1:23" ht="16.5" customHeight="1" x14ac:dyDescent="0.15">
      <c r="A36" s="41">
        <v>11</v>
      </c>
      <c r="B36" s="41" t="s">
        <v>1663</v>
      </c>
      <c r="C36" s="74" t="s">
        <v>1664</v>
      </c>
      <c r="D36" s="72"/>
      <c r="E36" s="99"/>
      <c r="F36" s="121"/>
      <c r="G36" s="99"/>
      <c r="H36" s="43"/>
      <c r="I36" s="37"/>
      <c r="J36" s="38"/>
      <c r="K36" s="44" t="s">
        <v>397</v>
      </c>
      <c r="L36" s="45" t="s">
        <v>398</v>
      </c>
      <c r="M36" s="46">
        <v>1</v>
      </c>
      <c r="N36" s="35"/>
      <c r="P36" s="57"/>
      <c r="S36" s="57"/>
      <c r="T36" s="709"/>
      <c r="U36" s="704"/>
      <c r="V36" s="47">
        <f>ROUND((ROUND((ROUND((_11_A身体０．５*_11・２人),0)*(1+_11・A夜間)),0)*_11・初任),0)+ROUND((ROUND((ROUND((_11_B身体０．５＿２．０*_11・２人),0)*(1+_11・B深夜)),0)*_11・初任),0)</f>
        <v>743</v>
      </c>
      <c r="W36" s="48"/>
    </row>
    <row r="37" spans="1:23" ht="16.5" customHeight="1" x14ac:dyDescent="0.15">
      <c r="A37" s="41">
        <v>11</v>
      </c>
      <c r="B37" s="41" t="s">
        <v>1665</v>
      </c>
      <c r="C37" s="74" t="s">
        <v>1666</v>
      </c>
      <c r="D37" s="72"/>
      <c r="E37" s="99"/>
      <c r="F37" s="72"/>
      <c r="G37" s="99"/>
      <c r="H37" s="705" t="s">
        <v>400</v>
      </c>
      <c r="I37" s="49" t="s">
        <v>398</v>
      </c>
      <c r="J37" s="50">
        <v>0.7</v>
      </c>
      <c r="K37" s="44"/>
      <c r="L37" s="45"/>
      <c r="M37" s="46"/>
      <c r="N37" s="35"/>
      <c r="P37" s="57"/>
      <c r="S37" s="57"/>
      <c r="T37" s="709"/>
      <c r="U37" s="704"/>
      <c r="V37" s="47">
        <f>ROUND((ROUND((ROUND((_11_A身体０．５*_11・基礎１),0)*(1+_11・A夜間)),0)*_11・初任),0)+ROUND((ROUND((ROUND((_11_B身体０．５＿２．０*_11・基礎１),0)*(1+_11・B深夜)),0)*_11・初任),0)</f>
        <v>522</v>
      </c>
      <c r="W37" s="48"/>
    </row>
    <row r="38" spans="1:23" ht="16.5" customHeight="1" x14ac:dyDescent="0.15">
      <c r="A38" s="41">
        <v>11</v>
      </c>
      <c r="B38" s="41" t="s">
        <v>1667</v>
      </c>
      <c r="C38" s="74" t="s">
        <v>1668</v>
      </c>
      <c r="D38" s="72"/>
      <c r="E38" s="99"/>
      <c r="F38" s="72"/>
      <c r="G38" s="99"/>
      <c r="H38" s="711"/>
      <c r="I38" s="37"/>
      <c r="J38" s="38"/>
      <c r="K38" s="44" t="s">
        <v>397</v>
      </c>
      <c r="L38" s="45" t="s">
        <v>398</v>
      </c>
      <c r="M38" s="46">
        <v>1</v>
      </c>
      <c r="N38" s="35"/>
      <c r="P38" s="57"/>
      <c r="S38" s="57"/>
      <c r="T38" s="55" t="s">
        <v>398</v>
      </c>
      <c r="U38" s="38">
        <f>_11・初任</f>
        <v>0.7</v>
      </c>
      <c r="V38" s="47">
        <f>ROUND((ROUND((ROUND((ROUND((_11_A身体０．５*_11・基礎１),0)*_11・２人),0)*(1+_11・A夜間)),0)*_11・初任),0)+ROUND((ROUND((ROUND((ROUND((_11_B身体０．５＿２．０*_11・基礎１),0)*_11・２人),0)*(1+_11・B深夜)),0)*_11・初任),0)</f>
        <v>522</v>
      </c>
      <c r="W38" s="48"/>
    </row>
    <row r="39" spans="1:23" ht="16.5" customHeight="1" x14ac:dyDescent="0.15">
      <c r="A39" s="41">
        <v>11</v>
      </c>
      <c r="B39" s="41">
        <v>1503</v>
      </c>
      <c r="C39" s="74" t="s">
        <v>1669</v>
      </c>
      <c r="D39" s="72"/>
      <c r="E39" s="99"/>
      <c r="F39" s="707" t="s">
        <v>1670</v>
      </c>
      <c r="G39" s="717"/>
      <c r="H39" s="53"/>
      <c r="I39" s="49"/>
      <c r="J39" s="50"/>
      <c r="K39" s="44"/>
      <c r="L39" s="45"/>
      <c r="M39" s="46"/>
      <c r="N39" s="35"/>
      <c r="P39" s="57"/>
      <c r="S39" s="57"/>
      <c r="T39" s="53"/>
      <c r="U39" s="49"/>
      <c r="V39" s="47">
        <f>ROUND((_11_A身体０．５*(1+_11・A夜間)),0)+ROUND((_11_B身体０．５＿２．５*(1+_11・B深夜)),0)</f>
        <v>1186</v>
      </c>
      <c r="W39" s="48"/>
    </row>
    <row r="40" spans="1:23" ht="16.5" customHeight="1" x14ac:dyDescent="0.15">
      <c r="A40" s="41">
        <v>11</v>
      </c>
      <c r="B40" s="41">
        <v>1504</v>
      </c>
      <c r="C40" s="74" t="s">
        <v>1671</v>
      </c>
      <c r="D40" s="72"/>
      <c r="E40" s="99"/>
      <c r="F40" s="709"/>
      <c r="G40" s="718"/>
      <c r="H40" s="43"/>
      <c r="I40" s="37"/>
      <c r="J40" s="38"/>
      <c r="K40" s="44" t="s">
        <v>397</v>
      </c>
      <c r="L40" s="45" t="s">
        <v>398</v>
      </c>
      <c r="M40" s="46">
        <v>1</v>
      </c>
      <c r="N40" s="35"/>
      <c r="P40" s="57"/>
      <c r="S40" s="57"/>
      <c r="T40" s="35"/>
      <c r="V40" s="47">
        <f>ROUND((ROUND((_11_A身体０．５*_11・２人),0)*(1+_11・A夜間)),0)+ROUND((ROUND((_11_B身体０．５＿２．５*_11・２人),0)*(1+_11・B深夜)),0)</f>
        <v>1186</v>
      </c>
      <c r="W40" s="48"/>
    </row>
    <row r="41" spans="1:23" ht="16.5" customHeight="1" x14ac:dyDescent="0.15">
      <c r="A41" s="41">
        <v>11</v>
      </c>
      <c r="B41" s="41">
        <v>1505</v>
      </c>
      <c r="C41" s="74" t="s">
        <v>1672</v>
      </c>
      <c r="D41" s="72"/>
      <c r="E41" s="99"/>
      <c r="F41" s="709"/>
      <c r="G41" s="718"/>
      <c r="H41" s="705" t="s">
        <v>400</v>
      </c>
      <c r="I41" s="49" t="s">
        <v>398</v>
      </c>
      <c r="J41" s="50">
        <v>0.7</v>
      </c>
      <c r="K41" s="44"/>
      <c r="L41" s="45"/>
      <c r="M41" s="46"/>
      <c r="N41" s="35"/>
      <c r="P41" s="57"/>
      <c r="S41" s="57"/>
      <c r="T41" s="35"/>
      <c r="V41" s="47">
        <f>ROUND((ROUND((_11_A身体０．５*_11・基礎１),0)*(1+_11・A夜間)),0)+ROUND((ROUND((_11_B身体０．５＿２．５*_11・基礎１),0)*(1+_11・B深夜)),0)</f>
        <v>832</v>
      </c>
      <c r="W41" s="48"/>
    </row>
    <row r="42" spans="1:23" ht="16.5" customHeight="1" x14ac:dyDescent="0.15">
      <c r="A42" s="41">
        <v>11</v>
      </c>
      <c r="B42" s="41">
        <v>1506</v>
      </c>
      <c r="C42" s="74" t="s">
        <v>1673</v>
      </c>
      <c r="D42" s="72"/>
      <c r="E42" s="99"/>
      <c r="F42" s="100">
        <f>_11_B身体０．５＿２．５</f>
        <v>578</v>
      </c>
      <c r="G42" s="12" t="s">
        <v>392</v>
      </c>
      <c r="H42" s="711"/>
      <c r="I42" s="37"/>
      <c r="J42" s="38"/>
      <c r="K42" s="44" t="s">
        <v>397</v>
      </c>
      <c r="L42" s="45" t="s">
        <v>398</v>
      </c>
      <c r="M42" s="46">
        <v>1</v>
      </c>
      <c r="N42" s="35"/>
      <c r="P42" s="57"/>
      <c r="S42" s="57"/>
      <c r="T42" s="43"/>
      <c r="U42" s="37"/>
      <c r="V42" s="47">
        <f>ROUND((ROUND((ROUND((_11_A身体０．５*_11・基礎１),0)*_11・２人),0)*(1+_11・A夜間)),0)+ROUND((ROUND((ROUND((_11_B身体０．５＿２．５*_11・基礎１),0)*_11・２人),0)*(1+_11・B深夜)),0)</f>
        <v>832</v>
      </c>
      <c r="W42" s="48"/>
    </row>
    <row r="43" spans="1:23" ht="16.5" customHeight="1" x14ac:dyDescent="0.15">
      <c r="A43" s="41">
        <v>11</v>
      </c>
      <c r="B43" s="41" t="s">
        <v>1674</v>
      </c>
      <c r="C43" s="74" t="s">
        <v>1675</v>
      </c>
      <c r="D43" s="72"/>
      <c r="E43" s="99"/>
      <c r="F43" s="121"/>
      <c r="G43" s="99"/>
      <c r="H43" s="53"/>
      <c r="I43" s="49"/>
      <c r="J43" s="50"/>
      <c r="K43" s="44"/>
      <c r="L43" s="45"/>
      <c r="M43" s="46"/>
      <c r="N43" s="35"/>
      <c r="P43" s="57"/>
      <c r="S43" s="57"/>
      <c r="T43" s="707" t="s">
        <v>404</v>
      </c>
      <c r="U43" s="708"/>
      <c r="V43" s="47">
        <f>ROUND((ROUND((_11_A身体０．５*(1+_11・A夜間)),0)*_11・初任),0)+ROUND((ROUND((_11_B身体０．５＿２．５*(1+_11・B深夜)),0)*_11・初任),0)</f>
        <v>830</v>
      </c>
      <c r="W43" s="48"/>
    </row>
    <row r="44" spans="1:23" ht="16.5" customHeight="1" x14ac:dyDescent="0.15">
      <c r="A44" s="41">
        <v>11</v>
      </c>
      <c r="B44" s="41" t="s">
        <v>1676</v>
      </c>
      <c r="C44" s="74" t="s">
        <v>1677</v>
      </c>
      <c r="D44" s="72"/>
      <c r="E44" s="99"/>
      <c r="F44" s="121"/>
      <c r="G44" s="99"/>
      <c r="H44" s="43"/>
      <c r="I44" s="37"/>
      <c r="J44" s="38"/>
      <c r="K44" s="44" t="s">
        <v>397</v>
      </c>
      <c r="L44" s="45" t="s">
        <v>398</v>
      </c>
      <c r="M44" s="46">
        <v>1</v>
      </c>
      <c r="N44" s="35"/>
      <c r="P44" s="57"/>
      <c r="S44" s="57"/>
      <c r="T44" s="709"/>
      <c r="U44" s="704"/>
      <c r="V44" s="47">
        <f>ROUND((ROUND((ROUND((_11_A身体０．５*_11・２人),0)*(1+_11・A夜間)),0)*_11・初任),0)+ROUND((ROUND((ROUND((_11_B身体０．５＿２．５*_11・２人),0)*(1+_11・B深夜)),0)*_11・初任),0)</f>
        <v>830</v>
      </c>
      <c r="W44" s="48"/>
    </row>
    <row r="45" spans="1:23" ht="16.5" customHeight="1" x14ac:dyDescent="0.15">
      <c r="A45" s="41">
        <v>11</v>
      </c>
      <c r="B45" s="41" t="s">
        <v>1678</v>
      </c>
      <c r="C45" s="74" t="s">
        <v>1679</v>
      </c>
      <c r="D45" s="72"/>
      <c r="E45" s="99"/>
      <c r="F45" s="72"/>
      <c r="G45" s="99"/>
      <c r="H45" s="705" t="s">
        <v>400</v>
      </c>
      <c r="I45" s="49" t="s">
        <v>398</v>
      </c>
      <c r="J45" s="50">
        <v>0.7</v>
      </c>
      <c r="K45" s="44"/>
      <c r="L45" s="45"/>
      <c r="M45" s="46"/>
      <c r="N45" s="35"/>
      <c r="P45" s="57"/>
      <c r="S45" s="57"/>
      <c r="T45" s="709"/>
      <c r="U45" s="704"/>
      <c r="V45" s="47">
        <f>ROUND((ROUND((ROUND((_11_A身体０．５*_11・基礎１),0)*(1+_11・A夜間)),0)*_11・初任),0)+ROUND((ROUND((ROUND((_11_B身体０．５＿２．５*_11・基礎１),0)*(1+_11・B深夜)),0)*_11・初任),0)</f>
        <v>583</v>
      </c>
      <c r="W45" s="48"/>
    </row>
    <row r="46" spans="1:23" ht="16.5" customHeight="1" x14ac:dyDescent="0.15">
      <c r="A46" s="41">
        <v>11</v>
      </c>
      <c r="B46" s="41" t="s">
        <v>1680</v>
      </c>
      <c r="C46" s="74" t="s">
        <v>1681</v>
      </c>
      <c r="D46" s="72"/>
      <c r="E46" s="99"/>
      <c r="F46" s="72"/>
      <c r="G46" s="99"/>
      <c r="H46" s="711"/>
      <c r="I46" s="37"/>
      <c r="J46" s="38"/>
      <c r="K46" s="44" t="s">
        <v>397</v>
      </c>
      <c r="L46" s="45" t="s">
        <v>398</v>
      </c>
      <c r="M46" s="46">
        <v>1</v>
      </c>
      <c r="N46" s="35"/>
      <c r="P46" s="57"/>
      <c r="S46" s="57"/>
      <c r="T46" s="55" t="s">
        <v>398</v>
      </c>
      <c r="U46" s="38">
        <f>_11・初任</f>
        <v>0.7</v>
      </c>
      <c r="V46" s="47">
        <f>ROUND((ROUND((ROUND((ROUND((_11_A身体０．５*_11・基礎１),0)*_11・２人),0)*(1+_11・A夜間)),0)*_11・初任),0)+ROUND((ROUND((ROUND((ROUND((_11_B身体０．５＿２．５*_11・基礎１),0)*_11・２人),0)*(1+_11・B深夜)),0)*_11・初任),0)</f>
        <v>583</v>
      </c>
      <c r="W46" s="48"/>
    </row>
    <row r="47" spans="1:23" ht="16.5" customHeight="1" x14ac:dyDescent="0.15">
      <c r="A47" s="41">
        <v>11</v>
      </c>
      <c r="B47" s="41">
        <v>1507</v>
      </c>
      <c r="C47" s="74" t="s">
        <v>1682</v>
      </c>
      <c r="D47" s="707" t="s">
        <v>756</v>
      </c>
      <c r="E47" s="717"/>
      <c r="F47" s="707" t="s">
        <v>1617</v>
      </c>
      <c r="G47" s="717"/>
      <c r="H47" s="53"/>
      <c r="I47" s="49"/>
      <c r="J47" s="50"/>
      <c r="K47" s="44"/>
      <c r="L47" s="45"/>
      <c r="M47" s="46"/>
      <c r="N47" s="35"/>
      <c r="P47" s="57"/>
      <c r="S47" s="57"/>
      <c r="T47" s="53"/>
      <c r="U47" s="49"/>
      <c r="V47" s="47">
        <f>ROUND((_11_A身体１．０*(1+_11・A夜間)),0)+ROUND((_11_B身体１．０＿０．５*(1+_11・B深夜)),0)</f>
        <v>776</v>
      </c>
      <c r="W47" s="48"/>
    </row>
    <row r="48" spans="1:23" ht="16.5" customHeight="1" x14ac:dyDescent="0.15">
      <c r="A48" s="41">
        <v>11</v>
      </c>
      <c r="B48" s="41">
        <v>1508</v>
      </c>
      <c r="C48" s="74" t="s">
        <v>1683</v>
      </c>
      <c r="D48" s="709"/>
      <c r="E48" s="718"/>
      <c r="F48" s="709"/>
      <c r="G48" s="718"/>
      <c r="H48" s="43"/>
      <c r="I48" s="37"/>
      <c r="J48" s="38"/>
      <c r="K48" s="44" t="s">
        <v>397</v>
      </c>
      <c r="L48" s="45" t="s">
        <v>398</v>
      </c>
      <c r="M48" s="46">
        <v>1</v>
      </c>
      <c r="N48" s="35"/>
      <c r="P48" s="57"/>
      <c r="S48" s="57"/>
      <c r="T48" s="35"/>
      <c r="V48" s="47">
        <f>ROUND((ROUND((_11_A身体１．０*_11・２人),0)*(1+_11・A夜間)),0)+ROUND((ROUND((_11_B身体１．０＿０．５*_11・２人),0)*(1+_11・B深夜)),0)</f>
        <v>776</v>
      </c>
      <c r="W48" s="48"/>
    </row>
    <row r="49" spans="1:23" ht="16.5" customHeight="1" x14ac:dyDescent="0.15">
      <c r="A49" s="41">
        <v>11</v>
      </c>
      <c r="B49" s="41">
        <v>1509</v>
      </c>
      <c r="C49" s="74" t="s">
        <v>1684</v>
      </c>
      <c r="D49" s="709"/>
      <c r="E49" s="718"/>
      <c r="F49" s="709"/>
      <c r="G49" s="718"/>
      <c r="H49" s="705" t="s">
        <v>400</v>
      </c>
      <c r="I49" s="49" t="s">
        <v>398</v>
      </c>
      <c r="J49" s="50">
        <v>0.7</v>
      </c>
      <c r="K49" s="44"/>
      <c r="L49" s="45"/>
      <c r="M49" s="46"/>
      <c r="N49" s="35"/>
      <c r="P49" s="57"/>
      <c r="S49" s="57"/>
      <c r="T49" s="35"/>
      <c r="V49" s="47">
        <f>ROUND((ROUND((_11_A身体１．０*_11・基礎１),0)*(1+_11・A夜間)),0)+ROUND((ROUND((_11_B身体１．０＿０．５*_11・基礎１),0)*(1+_11・B深夜)),0)</f>
        <v>542</v>
      </c>
      <c r="W49" s="48"/>
    </row>
    <row r="50" spans="1:23" ht="16.5" customHeight="1" x14ac:dyDescent="0.15">
      <c r="A50" s="41">
        <v>11</v>
      </c>
      <c r="B50" s="41">
        <v>1510</v>
      </c>
      <c r="C50" s="74" t="s">
        <v>1685</v>
      </c>
      <c r="D50" s="100">
        <f>_11_A身体１．０</f>
        <v>402</v>
      </c>
      <c r="E50" s="12" t="s">
        <v>392</v>
      </c>
      <c r="F50" s="100">
        <f>_11_B身体１．０＿０．５</f>
        <v>182</v>
      </c>
      <c r="G50" s="12" t="s">
        <v>392</v>
      </c>
      <c r="H50" s="711"/>
      <c r="I50" s="37"/>
      <c r="J50" s="38"/>
      <c r="K50" s="44" t="s">
        <v>397</v>
      </c>
      <c r="L50" s="45" t="s">
        <v>398</v>
      </c>
      <c r="M50" s="46">
        <v>1</v>
      </c>
      <c r="N50" s="35"/>
      <c r="P50" s="57"/>
      <c r="S50" s="57"/>
      <c r="T50" s="43"/>
      <c r="U50" s="37"/>
      <c r="V50" s="47">
        <f>ROUND((ROUND((ROUND((_11_A身体１．０*_11・基礎１),0)*_11・２人),0)*(1+_11・A夜間)),0)+ROUND((ROUND((ROUND((_11_B身体１．０＿０．５*_11・基礎１),0)*_11・２人),0)*(1+_11・B深夜)),0)</f>
        <v>542</v>
      </c>
      <c r="W50" s="48"/>
    </row>
    <row r="51" spans="1:23" ht="16.5" customHeight="1" x14ac:dyDescent="0.15">
      <c r="A51" s="41">
        <v>11</v>
      </c>
      <c r="B51" s="41" t="s">
        <v>1686</v>
      </c>
      <c r="C51" s="74" t="s">
        <v>1687</v>
      </c>
      <c r="D51" s="121"/>
      <c r="E51" s="99"/>
      <c r="F51" s="121"/>
      <c r="G51" s="99"/>
      <c r="H51" s="53"/>
      <c r="I51" s="49"/>
      <c r="J51" s="50"/>
      <c r="K51" s="44"/>
      <c r="L51" s="45"/>
      <c r="M51" s="46"/>
      <c r="N51" s="35"/>
      <c r="P51" s="57"/>
      <c r="S51" s="57"/>
      <c r="T51" s="707" t="s">
        <v>404</v>
      </c>
      <c r="U51" s="708"/>
      <c r="V51" s="47">
        <f>ROUND((ROUND((_11_A身体１．０*(1+_11・A夜間)),0)*_11・初任),0)+ROUND((ROUND((_11_B身体１．０＿０．５*(1+_11・B深夜)),0)*_11・初任),0)</f>
        <v>543</v>
      </c>
      <c r="W51" s="48"/>
    </row>
    <row r="52" spans="1:23" ht="16.5" customHeight="1" x14ac:dyDescent="0.15">
      <c r="A52" s="41">
        <v>11</v>
      </c>
      <c r="B52" s="41" t="s">
        <v>1688</v>
      </c>
      <c r="C52" s="74" t="s">
        <v>1689</v>
      </c>
      <c r="D52" s="121"/>
      <c r="E52" s="99"/>
      <c r="F52" s="121"/>
      <c r="G52" s="99"/>
      <c r="H52" s="43"/>
      <c r="I52" s="37"/>
      <c r="J52" s="38"/>
      <c r="K52" s="44" t="s">
        <v>397</v>
      </c>
      <c r="L52" s="45" t="s">
        <v>398</v>
      </c>
      <c r="M52" s="46">
        <v>1</v>
      </c>
      <c r="N52" s="35"/>
      <c r="P52" s="57"/>
      <c r="S52" s="57"/>
      <c r="T52" s="709"/>
      <c r="U52" s="704"/>
      <c r="V52" s="47">
        <f>ROUND((ROUND((ROUND((_11_A身体１．０*_11・２人),0)*(1+_11・A夜間)),0)*_11・初任),0)+ROUND((ROUND((ROUND((_11_B身体１．０＿０．５*_11・２人),0)*(1+_11・B深夜)),0)*_11・初任),0)</f>
        <v>543</v>
      </c>
      <c r="W52" s="48"/>
    </row>
    <row r="53" spans="1:23" ht="16.5" customHeight="1" x14ac:dyDescent="0.15">
      <c r="A53" s="41">
        <v>11</v>
      </c>
      <c r="B53" s="41" t="s">
        <v>1690</v>
      </c>
      <c r="C53" s="74" t="s">
        <v>1691</v>
      </c>
      <c r="D53" s="72"/>
      <c r="E53" s="99"/>
      <c r="F53" s="72"/>
      <c r="G53" s="99"/>
      <c r="H53" s="705" t="s">
        <v>400</v>
      </c>
      <c r="I53" s="49" t="s">
        <v>398</v>
      </c>
      <c r="J53" s="50">
        <v>0.7</v>
      </c>
      <c r="K53" s="44"/>
      <c r="L53" s="45"/>
      <c r="M53" s="46"/>
      <c r="N53" s="35"/>
      <c r="P53" s="57"/>
      <c r="S53" s="57"/>
      <c r="T53" s="709"/>
      <c r="U53" s="704"/>
      <c r="V53" s="47">
        <f>ROUND((ROUND((ROUND((_11_A身体１．０*_11・基礎１),0)*(1+_11・A夜間)),0)*_11・初任),0)+ROUND((ROUND((ROUND((_11_B身体１．０＿０．５*_11・基礎１),0)*(1+_11・B深夜)),0)*_11・初任),0)</f>
        <v>380</v>
      </c>
      <c r="W53" s="48"/>
    </row>
    <row r="54" spans="1:23" ht="16.5" customHeight="1" x14ac:dyDescent="0.15">
      <c r="A54" s="41">
        <v>11</v>
      </c>
      <c r="B54" s="41" t="s">
        <v>1692</v>
      </c>
      <c r="C54" s="74" t="s">
        <v>1693</v>
      </c>
      <c r="D54" s="72"/>
      <c r="E54" s="99"/>
      <c r="F54" s="72"/>
      <c r="G54" s="99"/>
      <c r="H54" s="711"/>
      <c r="I54" s="37"/>
      <c r="J54" s="38"/>
      <c r="K54" s="44" t="s">
        <v>397</v>
      </c>
      <c r="L54" s="45" t="s">
        <v>398</v>
      </c>
      <c r="M54" s="46">
        <v>1</v>
      </c>
      <c r="N54" s="35"/>
      <c r="P54" s="57"/>
      <c r="S54" s="57"/>
      <c r="T54" s="55" t="s">
        <v>398</v>
      </c>
      <c r="U54" s="38">
        <f>_11・初任</f>
        <v>0.7</v>
      </c>
      <c r="V54" s="47">
        <f>ROUND((ROUND((ROUND((ROUND((_11_A身体１．０*_11・基礎１),0)*_11・２人),0)*(1+_11・A夜間)),0)*_11・初任),0)+ROUND((ROUND((ROUND((ROUND((_11_B身体１．０＿０．５*_11・基礎１),0)*_11・２人),0)*(1+_11・B深夜)),0)*_11・初任),0)</f>
        <v>380</v>
      </c>
      <c r="W54" s="48"/>
    </row>
    <row r="55" spans="1:23" ht="16.5" customHeight="1" x14ac:dyDescent="0.15">
      <c r="A55" s="41">
        <v>11</v>
      </c>
      <c r="B55" s="41">
        <v>1511</v>
      </c>
      <c r="C55" s="74" t="s">
        <v>1694</v>
      </c>
      <c r="D55" s="72"/>
      <c r="E55" s="99"/>
      <c r="F55" s="707" t="s">
        <v>1695</v>
      </c>
      <c r="G55" s="717"/>
      <c r="H55" s="53"/>
      <c r="I55" s="49"/>
      <c r="J55" s="50"/>
      <c r="K55" s="44"/>
      <c r="L55" s="45"/>
      <c r="M55" s="46"/>
      <c r="N55" s="35"/>
      <c r="P55" s="57"/>
      <c r="S55" s="57"/>
      <c r="T55" s="53"/>
      <c r="U55" s="49"/>
      <c r="V55" s="47">
        <f>ROUND((_11_A身体１．０*(1+_11・A夜間)),0)+ROUND((_11_B身体１．０＿１．０*(1+_11・B深夜)),0)</f>
        <v>899</v>
      </c>
      <c r="W55" s="48"/>
    </row>
    <row r="56" spans="1:23" ht="16.5" customHeight="1" x14ac:dyDescent="0.15">
      <c r="A56" s="41">
        <v>11</v>
      </c>
      <c r="B56" s="41">
        <v>1512</v>
      </c>
      <c r="C56" s="74" t="s">
        <v>1696</v>
      </c>
      <c r="D56" s="72"/>
      <c r="E56" s="99"/>
      <c r="F56" s="709"/>
      <c r="G56" s="718"/>
      <c r="H56" s="43"/>
      <c r="I56" s="37"/>
      <c r="J56" s="38"/>
      <c r="K56" s="44" t="s">
        <v>397</v>
      </c>
      <c r="L56" s="45" t="s">
        <v>398</v>
      </c>
      <c r="M56" s="46">
        <v>1</v>
      </c>
      <c r="N56" s="35"/>
      <c r="P56" s="57"/>
      <c r="S56" s="57"/>
      <c r="T56" s="35"/>
      <c r="V56" s="47">
        <f>ROUND((ROUND((_11_A身体１．０*_11・２人),0)*(1+_11・A夜間)),0)+ROUND((ROUND((_11_B身体１．０＿１．０*_11・２人),0)*(1+_11・B深夜)),0)</f>
        <v>899</v>
      </c>
      <c r="W56" s="48"/>
    </row>
    <row r="57" spans="1:23" ht="16.5" customHeight="1" x14ac:dyDescent="0.15">
      <c r="A57" s="41">
        <v>11</v>
      </c>
      <c r="B57" s="41">
        <v>1513</v>
      </c>
      <c r="C57" s="74" t="s">
        <v>1697</v>
      </c>
      <c r="D57" s="72"/>
      <c r="E57" s="99"/>
      <c r="F57" s="709"/>
      <c r="G57" s="718"/>
      <c r="H57" s="705" t="s">
        <v>400</v>
      </c>
      <c r="I57" s="49" t="s">
        <v>398</v>
      </c>
      <c r="J57" s="50">
        <v>0.7</v>
      </c>
      <c r="K57" s="44"/>
      <c r="L57" s="45"/>
      <c r="M57" s="46"/>
      <c r="N57" s="35"/>
      <c r="P57" s="57"/>
      <c r="S57" s="57"/>
      <c r="T57" s="35"/>
      <c r="V57" s="47">
        <f>ROUND((ROUND((_11_A身体１．０*_11・基礎１),0)*(1+_11・A夜間)),0)+ROUND((ROUND((_11_B身体１．０＿１．０*_11・基礎１),0)*(1+_11・B深夜)),0)</f>
        <v>629</v>
      </c>
      <c r="W57" s="48"/>
    </row>
    <row r="58" spans="1:23" ht="16.5" customHeight="1" x14ac:dyDescent="0.15">
      <c r="A58" s="41">
        <v>11</v>
      </c>
      <c r="B58" s="41">
        <v>1514</v>
      </c>
      <c r="C58" s="74" t="s">
        <v>1698</v>
      </c>
      <c r="D58" s="72"/>
      <c r="E58" s="99"/>
      <c r="F58" s="100">
        <f>_11_B身体１．０＿１．０</f>
        <v>264</v>
      </c>
      <c r="G58" s="12" t="s">
        <v>392</v>
      </c>
      <c r="H58" s="711"/>
      <c r="I58" s="37"/>
      <c r="J58" s="38"/>
      <c r="K58" s="44" t="s">
        <v>397</v>
      </c>
      <c r="L58" s="45" t="s">
        <v>398</v>
      </c>
      <c r="M58" s="46">
        <v>1</v>
      </c>
      <c r="N58" s="35"/>
      <c r="P58" s="57"/>
      <c r="S58" s="57"/>
      <c r="T58" s="43"/>
      <c r="U58" s="37"/>
      <c r="V58" s="47">
        <f>ROUND((ROUND((ROUND((_11_A身体１．０*_11・基礎１),0)*_11・２人),0)*(1+_11・A夜間)),0)+ROUND((ROUND((ROUND((_11_B身体１．０＿１．０*_11・基礎１),0)*_11・２人),0)*(1+_11・B深夜)),0)</f>
        <v>629</v>
      </c>
      <c r="W58" s="48"/>
    </row>
    <row r="59" spans="1:23" ht="16.5" customHeight="1" x14ac:dyDescent="0.15">
      <c r="A59" s="41">
        <v>11</v>
      </c>
      <c r="B59" s="41" t="s">
        <v>1699</v>
      </c>
      <c r="C59" s="74" t="s">
        <v>1700</v>
      </c>
      <c r="D59" s="72"/>
      <c r="E59" s="99"/>
      <c r="F59" s="121"/>
      <c r="G59" s="99"/>
      <c r="H59" s="53"/>
      <c r="I59" s="49"/>
      <c r="J59" s="50"/>
      <c r="K59" s="44"/>
      <c r="L59" s="45"/>
      <c r="M59" s="46"/>
      <c r="N59" s="35"/>
      <c r="P59" s="57"/>
      <c r="S59" s="57"/>
      <c r="T59" s="707" t="s">
        <v>404</v>
      </c>
      <c r="U59" s="708"/>
      <c r="V59" s="47">
        <f>ROUND((ROUND((_11_A身体１．０*(1+_11・A夜間)),0)*_11・初任),0)+ROUND((ROUND((_11_B身体１．０＿１．０*(1+_11・B深夜)),0)*_11・初任),0)</f>
        <v>629</v>
      </c>
      <c r="W59" s="48"/>
    </row>
    <row r="60" spans="1:23" ht="16.5" customHeight="1" x14ac:dyDescent="0.15">
      <c r="A60" s="41">
        <v>11</v>
      </c>
      <c r="B60" s="41" t="s">
        <v>1701</v>
      </c>
      <c r="C60" s="74" t="s">
        <v>1702</v>
      </c>
      <c r="D60" s="72"/>
      <c r="E60" s="99"/>
      <c r="F60" s="121"/>
      <c r="G60" s="99"/>
      <c r="H60" s="43"/>
      <c r="I60" s="37"/>
      <c r="J60" s="38"/>
      <c r="K60" s="44" t="s">
        <v>397</v>
      </c>
      <c r="L60" s="45" t="s">
        <v>398</v>
      </c>
      <c r="M60" s="46">
        <v>1</v>
      </c>
      <c r="N60" s="35"/>
      <c r="P60" s="57"/>
      <c r="S60" s="57"/>
      <c r="T60" s="709"/>
      <c r="U60" s="704"/>
      <c r="V60" s="47">
        <f>ROUND((ROUND((ROUND((_11_A身体１．０*_11・２人),0)*(1+_11・A夜間)),0)*_11・初任),0)+ROUND((ROUND((ROUND((_11_B身体１．０＿１．０*_11・２人),0)*(1+_11・B深夜)),0)*_11・初任),0)</f>
        <v>629</v>
      </c>
      <c r="W60" s="48"/>
    </row>
    <row r="61" spans="1:23" ht="16.5" customHeight="1" x14ac:dyDescent="0.15">
      <c r="A61" s="41">
        <v>11</v>
      </c>
      <c r="B61" s="41" t="s">
        <v>1703</v>
      </c>
      <c r="C61" s="74" t="s">
        <v>1704</v>
      </c>
      <c r="D61" s="72"/>
      <c r="E61" s="99"/>
      <c r="F61" s="72"/>
      <c r="G61" s="99"/>
      <c r="H61" s="705" t="s">
        <v>400</v>
      </c>
      <c r="I61" s="49" t="s">
        <v>398</v>
      </c>
      <c r="J61" s="50">
        <v>0.7</v>
      </c>
      <c r="K61" s="44"/>
      <c r="L61" s="45"/>
      <c r="M61" s="46"/>
      <c r="N61" s="35"/>
      <c r="P61" s="57"/>
      <c r="S61" s="57"/>
      <c r="T61" s="709"/>
      <c r="U61" s="704"/>
      <c r="V61" s="47">
        <f>ROUND((ROUND((ROUND((_11_A身体１．０*_11・基礎１),0)*(1+_11・A夜間)),0)*_11・初任),0)+ROUND((ROUND((ROUND((_11_B身体１．０＿１．０*_11・基礎１),0)*(1+_11・B深夜)),0)*_11・初任),0)</f>
        <v>441</v>
      </c>
      <c r="W61" s="48"/>
    </row>
    <row r="62" spans="1:23" ht="16.5" customHeight="1" x14ac:dyDescent="0.15">
      <c r="A62" s="41">
        <v>11</v>
      </c>
      <c r="B62" s="41" t="s">
        <v>1705</v>
      </c>
      <c r="C62" s="74" t="s">
        <v>1706</v>
      </c>
      <c r="D62" s="72"/>
      <c r="E62" s="99"/>
      <c r="F62" s="72"/>
      <c r="G62" s="99"/>
      <c r="H62" s="711"/>
      <c r="I62" s="37"/>
      <c r="J62" s="38"/>
      <c r="K62" s="44" t="s">
        <v>397</v>
      </c>
      <c r="L62" s="45" t="s">
        <v>398</v>
      </c>
      <c r="M62" s="46">
        <v>1</v>
      </c>
      <c r="N62" s="35"/>
      <c r="P62" s="57"/>
      <c r="S62" s="57"/>
      <c r="T62" s="55" t="s">
        <v>398</v>
      </c>
      <c r="U62" s="38">
        <f>_11・初任</f>
        <v>0.7</v>
      </c>
      <c r="V62" s="47">
        <f>ROUND((ROUND((ROUND((ROUND((_11_A身体１．０*_11・基礎１),0)*_11・２人),0)*(1+_11・A夜間)),0)*_11・初任),0)+ROUND((ROUND((ROUND((ROUND((_11_B身体１．０＿１．０*_11・基礎１),0)*_11・２人),0)*(1+_11・B深夜)),0)*_11・初任),0)</f>
        <v>441</v>
      </c>
      <c r="W62" s="48"/>
    </row>
    <row r="63" spans="1:23" ht="16.5" customHeight="1" x14ac:dyDescent="0.15">
      <c r="A63" s="41">
        <v>11</v>
      </c>
      <c r="B63" s="41">
        <v>1515</v>
      </c>
      <c r="C63" s="74" t="s">
        <v>1707</v>
      </c>
      <c r="D63" s="72"/>
      <c r="E63" s="99"/>
      <c r="F63" s="707" t="s">
        <v>1644</v>
      </c>
      <c r="G63" s="717"/>
      <c r="H63" s="53"/>
      <c r="I63" s="49"/>
      <c r="J63" s="50"/>
      <c r="K63" s="44"/>
      <c r="L63" s="45"/>
      <c r="M63" s="46"/>
      <c r="N63" s="35"/>
      <c r="P63" s="57"/>
      <c r="S63" s="57"/>
      <c r="T63" s="53"/>
      <c r="U63" s="49"/>
      <c r="V63" s="47">
        <f>ROUND((_11_A身体１．０*(1+_11・A夜間)),0)+ROUND((_11_B身体１．０＿１．５*(1+_11・B深夜)),0)</f>
        <v>1025</v>
      </c>
      <c r="W63" s="48"/>
    </row>
    <row r="64" spans="1:23" ht="16.5" customHeight="1" x14ac:dyDescent="0.15">
      <c r="A64" s="41">
        <v>11</v>
      </c>
      <c r="B64" s="41">
        <v>1516</v>
      </c>
      <c r="C64" s="74" t="s">
        <v>1708</v>
      </c>
      <c r="D64" s="72"/>
      <c r="E64" s="99"/>
      <c r="F64" s="709"/>
      <c r="G64" s="718"/>
      <c r="H64" s="43"/>
      <c r="I64" s="37"/>
      <c r="J64" s="38"/>
      <c r="K64" s="44" t="s">
        <v>397</v>
      </c>
      <c r="L64" s="45" t="s">
        <v>398</v>
      </c>
      <c r="M64" s="46">
        <v>1</v>
      </c>
      <c r="N64" s="35"/>
      <c r="P64" s="57"/>
      <c r="S64" s="57"/>
      <c r="T64" s="35"/>
      <c r="V64" s="47">
        <f>ROUND((ROUND((_11_A身体１．０*_11・２人),0)*(1+_11・A夜間)),0)+ROUND((ROUND((_11_B身体１．０＿１．５*_11・２人),0)*(1+_11・B深夜)),0)</f>
        <v>1025</v>
      </c>
      <c r="W64" s="48"/>
    </row>
    <row r="65" spans="1:23" ht="16.5" customHeight="1" x14ac:dyDescent="0.15">
      <c r="A65" s="41">
        <v>11</v>
      </c>
      <c r="B65" s="41">
        <v>1517</v>
      </c>
      <c r="C65" s="74" t="s">
        <v>1709</v>
      </c>
      <c r="D65" s="72"/>
      <c r="E65" s="99"/>
      <c r="F65" s="709"/>
      <c r="G65" s="718"/>
      <c r="H65" s="705" t="s">
        <v>400</v>
      </c>
      <c r="I65" s="49" t="s">
        <v>398</v>
      </c>
      <c r="J65" s="50">
        <v>0.7</v>
      </c>
      <c r="K65" s="44"/>
      <c r="L65" s="45"/>
      <c r="M65" s="46"/>
      <c r="N65" s="35"/>
      <c r="P65" s="57"/>
      <c r="S65" s="57"/>
      <c r="T65" s="35"/>
      <c r="V65" s="47">
        <f>ROUND((ROUND((_11_A身体１．０*_11・基礎１),0)*(1+_11・A夜間)),0)+ROUND((ROUND((_11_B身体１．０＿１．５*_11・基礎１),0)*(1+_11・B深夜)),0)</f>
        <v>717</v>
      </c>
      <c r="W65" s="48"/>
    </row>
    <row r="66" spans="1:23" ht="16.5" customHeight="1" x14ac:dyDescent="0.15">
      <c r="A66" s="41">
        <v>11</v>
      </c>
      <c r="B66" s="41">
        <v>1518</v>
      </c>
      <c r="C66" s="74" t="s">
        <v>1710</v>
      </c>
      <c r="D66" s="72"/>
      <c r="E66" s="99"/>
      <c r="F66" s="100">
        <f>_11_B身体１．０＿１．５</f>
        <v>348</v>
      </c>
      <c r="G66" s="12" t="s">
        <v>392</v>
      </c>
      <c r="H66" s="711"/>
      <c r="I66" s="37"/>
      <c r="J66" s="38"/>
      <c r="K66" s="44" t="s">
        <v>397</v>
      </c>
      <c r="L66" s="45" t="s">
        <v>398</v>
      </c>
      <c r="M66" s="46">
        <v>1</v>
      </c>
      <c r="N66" s="35"/>
      <c r="P66" s="57"/>
      <c r="S66" s="57"/>
      <c r="T66" s="43"/>
      <c r="U66" s="37"/>
      <c r="V66" s="47">
        <f>ROUND((ROUND((ROUND((_11_A身体１．０*_11・基礎１),0)*_11・２人),0)*(1+_11・A夜間)),0)+ROUND((ROUND((ROUND((_11_B身体１．０＿１．５*_11・基礎１),0)*_11・２人),0)*(1+_11・B深夜)),0)</f>
        <v>717</v>
      </c>
      <c r="W66" s="48"/>
    </row>
    <row r="67" spans="1:23" ht="16.5" customHeight="1" x14ac:dyDescent="0.15">
      <c r="A67" s="41">
        <v>11</v>
      </c>
      <c r="B67" s="41" t="s">
        <v>1711</v>
      </c>
      <c r="C67" s="74" t="s">
        <v>1712</v>
      </c>
      <c r="D67" s="72"/>
      <c r="E67" s="99"/>
      <c r="F67" s="121"/>
      <c r="G67" s="99"/>
      <c r="H67" s="53"/>
      <c r="I67" s="49"/>
      <c r="J67" s="50"/>
      <c r="K67" s="44"/>
      <c r="L67" s="45"/>
      <c r="M67" s="46"/>
      <c r="N67" s="35"/>
      <c r="P67" s="57"/>
      <c r="S67" s="57"/>
      <c r="T67" s="707" t="s">
        <v>404</v>
      </c>
      <c r="U67" s="708"/>
      <c r="V67" s="47">
        <f>ROUND((ROUND((_11_A身体１．０*(1+_11・A夜間)),0)*_11・初任),0)+ROUND((ROUND((_11_B身体１．０＿１．５*(1+_11・B深夜)),0)*_11・初任),0)</f>
        <v>717</v>
      </c>
      <c r="W67" s="48"/>
    </row>
    <row r="68" spans="1:23" ht="16.5" customHeight="1" x14ac:dyDescent="0.15">
      <c r="A68" s="41">
        <v>11</v>
      </c>
      <c r="B68" s="41" t="s">
        <v>1713</v>
      </c>
      <c r="C68" s="74" t="s">
        <v>1714</v>
      </c>
      <c r="D68" s="72"/>
      <c r="E68" s="99"/>
      <c r="F68" s="121"/>
      <c r="G68" s="99"/>
      <c r="H68" s="43"/>
      <c r="I68" s="37"/>
      <c r="J68" s="38"/>
      <c r="K68" s="44" t="s">
        <v>397</v>
      </c>
      <c r="L68" s="45" t="s">
        <v>398</v>
      </c>
      <c r="M68" s="46">
        <v>1</v>
      </c>
      <c r="N68" s="35"/>
      <c r="P68" s="57"/>
      <c r="S68" s="57"/>
      <c r="T68" s="709"/>
      <c r="U68" s="704"/>
      <c r="V68" s="47">
        <f>ROUND((ROUND((ROUND((_11_A身体１．０*_11・２人),0)*(1+_11・A夜間)),0)*_11・初任),0)+ROUND((ROUND((ROUND((_11_B身体１．０＿１．５*_11・２人),0)*(1+_11・B深夜)),0)*_11・初任),0)</f>
        <v>717</v>
      </c>
      <c r="W68" s="48"/>
    </row>
    <row r="69" spans="1:23" ht="16.5" customHeight="1" x14ac:dyDescent="0.15">
      <c r="A69" s="41">
        <v>11</v>
      </c>
      <c r="B69" s="41" t="s">
        <v>1715</v>
      </c>
      <c r="C69" s="74" t="s">
        <v>1716</v>
      </c>
      <c r="D69" s="72"/>
      <c r="E69" s="99"/>
      <c r="F69" s="72"/>
      <c r="G69" s="99"/>
      <c r="H69" s="705" t="s">
        <v>400</v>
      </c>
      <c r="I69" s="49" t="s">
        <v>398</v>
      </c>
      <c r="J69" s="50">
        <v>0.7</v>
      </c>
      <c r="K69" s="44"/>
      <c r="L69" s="45"/>
      <c r="M69" s="46"/>
      <c r="N69" s="35"/>
      <c r="P69" s="57"/>
      <c r="S69" s="57"/>
      <c r="T69" s="709"/>
      <c r="U69" s="704"/>
      <c r="V69" s="47">
        <f>ROUND((ROUND((ROUND((_11_A身体１．０*_11・基礎１),0)*(1+_11・A夜間)),0)*_11・初任),0)+ROUND((ROUND((ROUND((_11_B身体１．０＿１．５*_11・基礎１),0)*(1+_11・B深夜)),0)*_11・初任),0)</f>
        <v>502</v>
      </c>
      <c r="W69" s="48"/>
    </row>
    <row r="70" spans="1:23" ht="16.5" customHeight="1" x14ac:dyDescent="0.15">
      <c r="A70" s="41">
        <v>11</v>
      </c>
      <c r="B70" s="41" t="s">
        <v>1717</v>
      </c>
      <c r="C70" s="74" t="s">
        <v>1718</v>
      </c>
      <c r="D70" s="72"/>
      <c r="E70" s="99"/>
      <c r="F70" s="72"/>
      <c r="G70" s="99"/>
      <c r="H70" s="711"/>
      <c r="I70" s="37"/>
      <c r="J70" s="38"/>
      <c r="K70" s="44" t="s">
        <v>397</v>
      </c>
      <c r="L70" s="45" t="s">
        <v>398</v>
      </c>
      <c r="M70" s="46">
        <v>1</v>
      </c>
      <c r="N70" s="35"/>
      <c r="P70" s="57"/>
      <c r="S70" s="57"/>
      <c r="T70" s="55" t="s">
        <v>398</v>
      </c>
      <c r="U70" s="38">
        <f>_11・初任</f>
        <v>0.7</v>
      </c>
      <c r="V70" s="47">
        <f>ROUND((ROUND((ROUND((ROUND((_11_A身体１．０*_11・基礎１),0)*_11・２人),0)*(1+_11・A夜間)),0)*_11・初任),0)+ROUND((ROUND((ROUND((ROUND((_11_B身体１．０＿１．５*_11・基礎１),0)*_11・２人),0)*(1+_11・B深夜)),0)*_11・初任),0)</f>
        <v>502</v>
      </c>
      <c r="W70" s="48"/>
    </row>
    <row r="71" spans="1:23" ht="16.5" customHeight="1" x14ac:dyDescent="0.15">
      <c r="A71" s="41">
        <v>11</v>
      </c>
      <c r="B71" s="41">
        <v>1519</v>
      </c>
      <c r="C71" s="74" t="s">
        <v>1719</v>
      </c>
      <c r="D71" s="72"/>
      <c r="E71" s="99"/>
      <c r="F71" s="707" t="s">
        <v>1657</v>
      </c>
      <c r="G71" s="717"/>
      <c r="H71" s="53"/>
      <c r="I71" s="49"/>
      <c r="J71" s="50"/>
      <c r="K71" s="44"/>
      <c r="L71" s="45"/>
      <c r="M71" s="46"/>
      <c r="N71" s="35"/>
      <c r="P71" s="57"/>
      <c r="S71" s="57"/>
      <c r="T71" s="53"/>
      <c r="U71" s="49"/>
      <c r="V71" s="47">
        <f>ROUND((_11_A身体１．０*(1+_11・A夜間)),0)+ROUND((_11_B身体１．０＿２．０*(1+_11・B深夜)),0)</f>
        <v>1150</v>
      </c>
      <c r="W71" s="48"/>
    </row>
    <row r="72" spans="1:23" ht="16.5" customHeight="1" x14ac:dyDescent="0.15">
      <c r="A72" s="41">
        <v>11</v>
      </c>
      <c r="B72" s="41">
        <v>1520</v>
      </c>
      <c r="C72" s="74" t="s">
        <v>1720</v>
      </c>
      <c r="D72" s="72"/>
      <c r="E72" s="99"/>
      <c r="F72" s="709"/>
      <c r="G72" s="718"/>
      <c r="H72" s="43"/>
      <c r="I72" s="37"/>
      <c r="J72" s="38"/>
      <c r="K72" s="44" t="s">
        <v>397</v>
      </c>
      <c r="L72" s="45" t="s">
        <v>398</v>
      </c>
      <c r="M72" s="46">
        <v>1</v>
      </c>
      <c r="N72" s="35"/>
      <c r="P72" s="57"/>
      <c r="S72" s="57"/>
      <c r="T72" s="35"/>
      <c r="V72" s="47">
        <f>ROUND((ROUND((_11_A身体１．０*_11・２人),0)*(1+_11・A夜間)),0)+ROUND((ROUND((_11_B身体１．０＿２．０*_11・２人),0)*(1+_11・B深夜)),0)</f>
        <v>1150</v>
      </c>
      <c r="W72" s="48"/>
    </row>
    <row r="73" spans="1:23" ht="16.5" customHeight="1" x14ac:dyDescent="0.15">
      <c r="A73" s="41">
        <v>11</v>
      </c>
      <c r="B73" s="41">
        <v>1521</v>
      </c>
      <c r="C73" s="74" t="s">
        <v>1721</v>
      </c>
      <c r="D73" s="72"/>
      <c r="E73" s="99"/>
      <c r="F73" s="709"/>
      <c r="G73" s="718"/>
      <c r="H73" s="705" t="s">
        <v>400</v>
      </c>
      <c r="I73" s="49" t="s">
        <v>398</v>
      </c>
      <c r="J73" s="50">
        <v>0.7</v>
      </c>
      <c r="K73" s="44"/>
      <c r="L73" s="45"/>
      <c r="M73" s="46"/>
      <c r="N73" s="35"/>
      <c r="P73" s="57"/>
      <c r="S73" s="57"/>
      <c r="T73" s="35"/>
      <c r="V73" s="47">
        <f>ROUND((ROUND((_11_A身体１．０*_11・基礎１),0)*(1+_11・A夜間)),0)+ROUND((ROUND((_11_B身体１．０＿２．０*_11・基礎１),0)*(1+_11・B深夜)),0)</f>
        <v>804</v>
      </c>
      <c r="W73" s="48"/>
    </row>
    <row r="74" spans="1:23" ht="16.5" customHeight="1" x14ac:dyDescent="0.15">
      <c r="A74" s="41">
        <v>11</v>
      </c>
      <c r="B74" s="41">
        <v>1522</v>
      </c>
      <c r="C74" s="74" t="s">
        <v>1722</v>
      </c>
      <c r="D74" s="72"/>
      <c r="E74" s="99"/>
      <c r="F74" s="100">
        <f>_11_B身体１．０＿２．０</f>
        <v>431</v>
      </c>
      <c r="G74" s="12" t="s">
        <v>392</v>
      </c>
      <c r="H74" s="711"/>
      <c r="I74" s="37"/>
      <c r="J74" s="38"/>
      <c r="K74" s="44" t="s">
        <v>397</v>
      </c>
      <c r="L74" s="45" t="s">
        <v>398</v>
      </c>
      <c r="M74" s="46">
        <v>1</v>
      </c>
      <c r="N74" s="35"/>
      <c r="P74" s="57"/>
      <c r="S74" s="57"/>
      <c r="T74" s="43"/>
      <c r="U74" s="37"/>
      <c r="V74" s="47">
        <f>ROUND((ROUND((ROUND((_11_A身体１．０*_11・基礎１),0)*_11・２人),0)*(1+_11・A夜間)),0)+ROUND((ROUND((ROUND((_11_B身体１．０＿２．０*_11・基礎１),0)*_11・２人),0)*(1+_11・B深夜)),0)</f>
        <v>804</v>
      </c>
      <c r="W74" s="48"/>
    </row>
    <row r="75" spans="1:23" ht="16.5" customHeight="1" x14ac:dyDescent="0.15">
      <c r="A75" s="41">
        <v>11</v>
      </c>
      <c r="B75" s="41" t="s">
        <v>1723</v>
      </c>
      <c r="C75" s="74" t="s">
        <v>1724</v>
      </c>
      <c r="D75" s="72"/>
      <c r="E75" s="99"/>
      <c r="F75" s="121"/>
      <c r="G75" s="99"/>
      <c r="H75" s="53"/>
      <c r="I75" s="49"/>
      <c r="J75" s="50"/>
      <c r="K75" s="44"/>
      <c r="L75" s="45"/>
      <c r="M75" s="46"/>
      <c r="N75" s="35"/>
      <c r="P75" s="57"/>
      <c r="S75" s="57"/>
      <c r="T75" s="707" t="s">
        <v>404</v>
      </c>
      <c r="U75" s="708"/>
      <c r="V75" s="47">
        <f>ROUND((ROUND((_11_A身体１．０*(1+_11・A夜間)),0)*_11・初任),0)+ROUND((ROUND((_11_B身体１．０＿２．０*(1+_11・B深夜)),0)*_11・初任),0)</f>
        <v>805</v>
      </c>
      <c r="W75" s="48"/>
    </row>
    <row r="76" spans="1:23" ht="16.5" customHeight="1" x14ac:dyDescent="0.15">
      <c r="A76" s="41">
        <v>11</v>
      </c>
      <c r="B76" s="41" t="s">
        <v>1725</v>
      </c>
      <c r="C76" s="74" t="s">
        <v>1726</v>
      </c>
      <c r="D76" s="72"/>
      <c r="E76" s="99"/>
      <c r="F76" s="121"/>
      <c r="G76" s="99"/>
      <c r="H76" s="43"/>
      <c r="I76" s="37"/>
      <c r="J76" s="38"/>
      <c r="K76" s="44" t="s">
        <v>397</v>
      </c>
      <c r="L76" s="45" t="s">
        <v>398</v>
      </c>
      <c r="M76" s="46">
        <v>1</v>
      </c>
      <c r="N76" s="35"/>
      <c r="P76" s="57"/>
      <c r="S76" s="57"/>
      <c r="T76" s="709"/>
      <c r="U76" s="704"/>
      <c r="V76" s="47">
        <f>ROUND((ROUND((ROUND((_11_A身体１．０*_11・２人),0)*(1+_11・A夜間)),0)*_11・初任),0)+ROUND((ROUND((ROUND((_11_B身体１．０＿２．０*_11・２人),0)*(1+_11・B深夜)),0)*_11・初任),0)</f>
        <v>805</v>
      </c>
      <c r="W76" s="48"/>
    </row>
    <row r="77" spans="1:23" ht="16.5" customHeight="1" x14ac:dyDescent="0.15">
      <c r="A77" s="41">
        <v>11</v>
      </c>
      <c r="B77" s="41" t="s">
        <v>1727</v>
      </c>
      <c r="C77" s="74" t="s">
        <v>1728</v>
      </c>
      <c r="D77" s="72"/>
      <c r="E77" s="99"/>
      <c r="F77" s="72"/>
      <c r="G77" s="99"/>
      <c r="H77" s="705" t="s">
        <v>400</v>
      </c>
      <c r="I77" s="49" t="s">
        <v>398</v>
      </c>
      <c r="J77" s="50">
        <v>0.7</v>
      </c>
      <c r="K77" s="44"/>
      <c r="L77" s="45"/>
      <c r="M77" s="46"/>
      <c r="N77" s="35"/>
      <c r="P77" s="57"/>
      <c r="S77" s="57"/>
      <c r="T77" s="709"/>
      <c r="U77" s="704"/>
      <c r="V77" s="47">
        <f>ROUND((ROUND((ROUND((_11_A身体１．０*_11・基礎１),0)*(1+_11・A夜間)),0)*_11・初任),0)+ROUND((ROUND((ROUND((_11_B身体１．０＿２．０*_11・基礎１),0)*(1+_11・B深夜)),0)*_11・初任),0)</f>
        <v>563</v>
      </c>
      <c r="W77" s="48"/>
    </row>
    <row r="78" spans="1:23" ht="16.5" customHeight="1" x14ac:dyDescent="0.15">
      <c r="A78" s="41">
        <v>11</v>
      </c>
      <c r="B78" s="41" t="s">
        <v>1729</v>
      </c>
      <c r="C78" s="74" t="s">
        <v>1730</v>
      </c>
      <c r="D78" s="122"/>
      <c r="E78" s="111"/>
      <c r="F78" s="122"/>
      <c r="G78" s="113"/>
      <c r="H78" s="711"/>
      <c r="I78" s="37"/>
      <c r="J78" s="38"/>
      <c r="K78" s="44" t="s">
        <v>397</v>
      </c>
      <c r="L78" s="45" t="s">
        <v>398</v>
      </c>
      <c r="M78" s="46">
        <v>1</v>
      </c>
      <c r="N78" s="43"/>
      <c r="O78" s="38"/>
      <c r="P78" s="79"/>
      <c r="Q78" s="37"/>
      <c r="R78" s="38"/>
      <c r="S78" s="79"/>
      <c r="T78" s="55" t="s">
        <v>398</v>
      </c>
      <c r="U78" s="38">
        <f>_11・初任</f>
        <v>0.7</v>
      </c>
      <c r="V78" s="47">
        <f>ROUND((ROUND((ROUND((ROUND((_11_A身体１．０*_11・基礎１),0)*_11・２人),0)*(1+_11・A夜間)),0)*_11・初任),0)+ROUND((ROUND((ROUND((ROUND((_11_B身体１．０＿２．０*_11・基礎１),0)*_11・２人),0)*(1+_11・B深夜)),0)*_11・初任),0)</f>
        <v>563</v>
      </c>
      <c r="W78" s="63"/>
    </row>
    <row r="79" spans="1:23" ht="16.5" customHeight="1" x14ac:dyDescent="0.15">
      <c r="A79" s="41">
        <v>11</v>
      </c>
      <c r="B79" s="41">
        <v>1523</v>
      </c>
      <c r="C79" s="74" t="s">
        <v>1731</v>
      </c>
      <c r="D79" s="707" t="s">
        <v>1732</v>
      </c>
      <c r="E79" s="717"/>
      <c r="F79" s="707" t="s">
        <v>1617</v>
      </c>
      <c r="G79" s="717"/>
      <c r="H79" s="53"/>
      <c r="I79" s="49"/>
      <c r="J79" s="50"/>
      <c r="K79" s="44"/>
      <c r="L79" s="45"/>
      <c r="M79" s="46"/>
      <c r="N79" s="92" t="s">
        <v>1416</v>
      </c>
      <c r="P79" s="57"/>
      <c r="Q79" s="72" t="s">
        <v>1618</v>
      </c>
      <c r="S79" s="57"/>
      <c r="T79" s="53"/>
      <c r="U79" s="49"/>
      <c r="V79" s="47">
        <f>ROUND((_11_A身体１．５*(1+_11・A夜間)),0)+ROUND((_11_B身体１．５＿０．５*(1+_11・B深夜)),0)</f>
        <v>853</v>
      </c>
      <c r="W79" s="48"/>
    </row>
    <row r="80" spans="1:23" ht="16.5" customHeight="1" x14ac:dyDescent="0.15">
      <c r="A80" s="41">
        <v>11</v>
      </c>
      <c r="B80" s="41">
        <v>1524</v>
      </c>
      <c r="C80" s="74" t="s">
        <v>1733</v>
      </c>
      <c r="D80" s="709"/>
      <c r="E80" s="718"/>
      <c r="F80" s="709"/>
      <c r="G80" s="718"/>
      <c r="H80" s="43"/>
      <c r="I80" s="37"/>
      <c r="J80" s="38"/>
      <c r="K80" s="44" t="s">
        <v>397</v>
      </c>
      <c r="L80" s="45" t="s">
        <v>398</v>
      </c>
      <c r="M80" s="46">
        <v>1</v>
      </c>
      <c r="N80" s="35" t="s">
        <v>398</v>
      </c>
      <c r="O80" s="13">
        <v>0.25</v>
      </c>
      <c r="P80" s="728" t="s">
        <v>676</v>
      </c>
      <c r="Q80" s="12" t="s">
        <v>398</v>
      </c>
      <c r="R80" s="13">
        <v>0.5</v>
      </c>
      <c r="S80" s="728" t="s">
        <v>676</v>
      </c>
      <c r="T80" s="35"/>
      <c r="V80" s="47">
        <f>ROUND((ROUND((_11_A身体１．５*_11・２人),0)*(1+_11・A夜間)),0)+ROUND((ROUND((_11_B身体１．５＿０．５*_11・２人),0)*(1+_11・B深夜)),0)</f>
        <v>853</v>
      </c>
      <c r="W80" s="48"/>
    </row>
    <row r="81" spans="1:23" ht="16.5" customHeight="1" x14ac:dyDescent="0.15">
      <c r="A81" s="41">
        <v>11</v>
      </c>
      <c r="B81" s="41">
        <v>1525</v>
      </c>
      <c r="C81" s="74" t="s">
        <v>1734</v>
      </c>
      <c r="D81" s="709"/>
      <c r="E81" s="718"/>
      <c r="F81" s="709"/>
      <c r="G81" s="718"/>
      <c r="H81" s="705" t="s">
        <v>400</v>
      </c>
      <c r="I81" s="49" t="s">
        <v>398</v>
      </c>
      <c r="J81" s="50">
        <v>0.7</v>
      </c>
      <c r="K81" s="44"/>
      <c r="L81" s="45"/>
      <c r="M81" s="46"/>
      <c r="N81" s="35"/>
      <c r="P81" s="728"/>
      <c r="S81" s="728"/>
      <c r="T81" s="35"/>
      <c r="V81" s="47">
        <f>ROUND((ROUND((_11_A身体１．５*_11・基礎１),0)*(1+_11・A夜間)),0)+ROUND((ROUND((_11_B身体１．５＿０．５*_11・基礎１),0)*(1+_11・B深夜)),0)</f>
        <v>597</v>
      </c>
      <c r="W81" s="48"/>
    </row>
    <row r="82" spans="1:23" ht="16.5" customHeight="1" x14ac:dyDescent="0.15">
      <c r="A82" s="41">
        <v>11</v>
      </c>
      <c r="B82" s="41">
        <v>1526</v>
      </c>
      <c r="C82" s="74" t="s">
        <v>1735</v>
      </c>
      <c r="D82" s="100">
        <f>_11_A身体１．５</f>
        <v>584</v>
      </c>
      <c r="E82" s="12" t="s">
        <v>392</v>
      </c>
      <c r="F82" s="100">
        <f>_11_B身体１．５＿０．５</f>
        <v>82</v>
      </c>
      <c r="G82" s="12" t="s">
        <v>392</v>
      </c>
      <c r="H82" s="711"/>
      <c r="I82" s="37"/>
      <c r="J82" s="38"/>
      <c r="K82" s="44" t="s">
        <v>397</v>
      </c>
      <c r="L82" s="45" t="s">
        <v>398</v>
      </c>
      <c r="M82" s="46">
        <v>1</v>
      </c>
      <c r="N82" s="35"/>
      <c r="P82" s="57"/>
      <c r="S82" s="57"/>
      <c r="T82" s="43"/>
      <c r="U82" s="37"/>
      <c r="V82" s="47">
        <f>ROUND((ROUND((ROUND((_11_A身体１．５*_11・基礎１),0)*_11・２人),0)*(1+_11・A夜間)),0)+ROUND((ROUND((ROUND((_11_B身体１．５＿０．５*_11・基礎１),0)*_11・２人),0)*(1+_11・B深夜)),0)</f>
        <v>597</v>
      </c>
      <c r="W82" s="48"/>
    </row>
    <row r="83" spans="1:23" ht="16.5" customHeight="1" x14ac:dyDescent="0.15">
      <c r="A83" s="41">
        <v>11</v>
      </c>
      <c r="B83" s="41" t="s">
        <v>1736</v>
      </c>
      <c r="C83" s="74" t="s">
        <v>1737</v>
      </c>
      <c r="D83" s="121"/>
      <c r="E83" s="99"/>
      <c r="F83" s="121"/>
      <c r="G83" s="99"/>
      <c r="H83" s="53"/>
      <c r="I83" s="49"/>
      <c r="J83" s="50"/>
      <c r="K83" s="44"/>
      <c r="L83" s="45"/>
      <c r="M83" s="46"/>
      <c r="N83" s="35"/>
      <c r="P83" s="57"/>
      <c r="S83" s="57"/>
      <c r="T83" s="707" t="s">
        <v>404</v>
      </c>
      <c r="U83" s="708"/>
      <c r="V83" s="47">
        <f>ROUND((ROUND((_11_A身体１．５*(1+_11・A夜間)),0)*_11・初任),0)+ROUND((ROUND((_11_B身体１．５＿０．５*(1+_11・B深夜)),0)*_11・初任),0)</f>
        <v>597</v>
      </c>
      <c r="W83" s="48"/>
    </row>
    <row r="84" spans="1:23" ht="16.5" customHeight="1" x14ac:dyDescent="0.15">
      <c r="A84" s="41">
        <v>11</v>
      </c>
      <c r="B84" s="41" t="s">
        <v>1738</v>
      </c>
      <c r="C84" s="74" t="s">
        <v>1739</v>
      </c>
      <c r="D84" s="121"/>
      <c r="E84" s="99"/>
      <c r="F84" s="121"/>
      <c r="G84" s="99"/>
      <c r="H84" s="43"/>
      <c r="I84" s="37"/>
      <c r="J84" s="38"/>
      <c r="K84" s="44" t="s">
        <v>397</v>
      </c>
      <c r="L84" s="45" t="s">
        <v>398</v>
      </c>
      <c r="M84" s="46">
        <v>1</v>
      </c>
      <c r="N84" s="35"/>
      <c r="P84" s="57"/>
      <c r="S84" s="57"/>
      <c r="T84" s="709"/>
      <c r="U84" s="704"/>
      <c r="V84" s="47">
        <f>ROUND((ROUND((ROUND((_11_A身体１．５*_11・２人),0)*(1+_11・A夜間)),0)*_11・初任),0)+ROUND((ROUND((ROUND((_11_B身体１．５＿０．５*_11・２人),0)*(1+_11・B深夜)),0)*_11・初任),0)</f>
        <v>597</v>
      </c>
      <c r="W84" s="48"/>
    </row>
    <row r="85" spans="1:23" ht="16.5" customHeight="1" x14ac:dyDescent="0.15">
      <c r="A85" s="41">
        <v>11</v>
      </c>
      <c r="B85" s="41" t="s">
        <v>1740</v>
      </c>
      <c r="C85" s="74" t="s">
        <v>1741</v>
      </c>
      <c r="D85" s="72"/>
      <c r="E85" s="99"/>
      <c r="F85" s="72"/>
      <c r="G85" s="99"/>
      <c r="H85" s="705" t="s">
        <v>400</v>
      </c>
      <c r="I85" s="49" t="s">
        <v>398</v>
      </c>
      <c r="J85" s="50">
        <v>0.7</v>
      </c>
      <c r="K85" s="44"/>
      <c r="L85" s="45"/>
      <c r="M85" s="46"/>
      <c r="N85" s="35"/>
      <c r="P85" s="57"/>
      <c r="S85" s="57"/>
      <c r="T85" s="709"/>
      <c r="U85" s="704"/>
      <c r="V85" s="47">
        <f>ROUND((ROUND((ROUND((_11_A身体１．５*_11・基礎１),0)*(1+_11・A夜間)),0)*_11・初任),0)+ROUND((ROUND((ROUND((_11_B身体１．５＿０．５*_11・基礎１),0)*(1+_11・B深夜)),0)*_11・初任),0)</f>
        <v>418</v>
      </c>
      <c r="W85" s="48"/>
    </row>
    <row r="86" spans="1:23" ht="16.5" customHeight="1" x14ac:dyDescent="0.15">
      <c r="A86" s="41">
        <v>11</v>
      </c>
      <c r="B86" s="41" t="s">
        <v>1742</v>
      </c>
      <c r="C86" s="74" t="s">
        <v>1743</v>
      </c>
      <c r="D86" s="72"/>
      <c r="E86" s="99"/>
      <c r="F86" s="72"/>
      <c r="G86" s="99"/>
      <c r="H86" s="711"/>
      <c r="I86" s="37"/>
      <c r="J86" s="38"/>
      <c r="K86" s="44" t="s">
        <v>397</v>
      </c>
      <c r="L86" s="45" t="s">
        <v>398</v>
      </c>
      <c r="M86" s="46">
        <v>1</v>
      </c>
      <c r="N86" s="35"/>
      <c r="P86" s="57"/>
      <c r="S86" s="57"/>
      <c r="T86" s="55" t="s">
        <v>398</v>
      </c>
      <c r="U86" s="38">
        <f>_11・初任</f>
        <v>0.7</v>
      </c>
      <c r="V86" s="47">
        <f>ROUND((ROUND((ROUND((ROUND((_11_A身体１．５*_11・基礎１),0)*_11・２人),0)*(1+_11・A夜間)),0)*_11・初任),0)+ROUND((ROUND((ROUND((ROUND((_11_B身体１．５＿０．５*_11・基礎１),0)*_11・２人),0)*(1+_11・B深夜)),0)*_11・初任),0)</f>
        <v>418</v>
      </c>
      <c r="W86" s="48"/>
    </row>
    <row r="87" spans="1:23" ht="16.5" customHeight="1" x14ac:dyDescent="0.15">
      <c r="A87" s="41">
        <v>11</v>
      </c>
      <c r="B87" s="41">
        <v>1527</v>
      </c>
      <c r="C87" s="74" t="s">
        <v>1744</v>
      </c>
      <c r="D87" s="72"/>
      <c r="E87" s="99"/>
      <c r="F87" s="707" t="s">
        <v>1695</v>
      </c>
      <c r="G87" s="717"/>
      <c r="H87" s="53"/>
      <c r="I87" s="49"/>
      <c r="J87" s="50"/>
      <c r="K87" s="44"/>
      <c r="L87" s="45"/>
      <c r="M87" s="46"/>
      <c r="N87" s="35"/>
      <c r="P87" s="57"/>
      <c r="S87" s="57"/>
      <c r="T87" s="53"/>
      <c r="U87" s="49"/>
      <c r="V87" s="47">
        <f>ROUND((_11_A身体１．５*(1+_11・A夜間)),0)+ROUND((_11_B身体１．５＿１．０*(1+_11・B深夜)),0)</f>
        <v>979</v>
      </c>
      <c r="W87" s="48"/>
    </row>
    <row r="88" spans="1:23" ht="16.5" customHeight="1" x14ac:dyDescent="0.15">
      <c r="A88" s="41">
        <v>11</v>
      </c>
      <c r="B88" s="41">
        <v>1528</v>
      </c>
      <c r="C88" s="74" t="s">
        <v>1745</v>
      </c>
      <c r="D88" s="72"/>
      <c r="E88" s="99"/>
      <c r="F88" s="709"/>
      <c r="G88" s="718"/>
      <c r="H88" s="43"/>
      <c r="I88" s="37"/>
      <c r="J88" s="38"/>
      <c r="K88" s="44" t="s">
        <v>397</v>
      </c>
      <c r="L88" s="45" t="s">
        <v>398</v>
      </c>
      <c r="M88" s="46">
        <v>1</v>
      </c>
      <c r="N88" s="35"/>
      <c r="P88" s="57"/>
      <c r="S88" s="57"/>
      <c r="T88" s="35"/>
      <c r="V88" s="47">
        <f>ROUND((ROUND((_11_A身体１．５*_11・２人),0)*(1+_11・A夜間)),0)+ROUND((ROUND((_11_B身体１．５＿１．０*_11・２人),0)*(1+_11・B深夜)),0)</f>
        <v>979</v>
      </c>
      <c r="W88" s="48"/>
    </row>
    <row r="89" spans="1:23" ht="16.5" customHeight="1" x14ac:dyDescent="0.15">
      <c r="A89" s="41">
        <v>11</v>
      </c>
      <c r="B89" s="41">
        <v>1529</v>
      </c>
      <c r="C89" s="74" t="s">
        <v>1746</v>
      </c>
      <c r="D89" s="72"/>
      <c r="E89" s="99"/>
      <c r="F89" s="709"/>
      <c r="G89" s="718"/>
      <c r="H89" s="705" t="s">
        <v>400</v>
      </c>
      <c r="I89" s="49" t="s">
        <v>398</v>
      </c>
      <c r="J89" s="50">
        <v>0.7</v>
      </c>
      <c r="K89" s="44"/>
      <c r="L89" s="45"/>
      <c r="M89" s="46"/>
      <c r="N89" s="35"/>
      <c r="P89" s="57"/>
      <c r="S89" s="57"/>
      <c r="T89" s="35"/>
      <c r="V89" s="47">
        <f>ROUND((ROUND((_11_A身体１．５*_11・基礎１),0)*(1+_11・A夜間)),0)+ROUND((ROUND((_11_B身体１．５＿１．０*_11・基礎１),0)*(1+_11・B深夜)),0)</f>
        <v>685</v>
      </c>
      <c r="W89" s="48"/>
    </row>
    <row r="90" spans="1:23" ht="16.5" customHeight="1" x14ac:dyDescent="0.15">
      <c r="A90" s="41">
        <v>11</v>
      </c>
      <c r="B90" s="41">
        <v>1530</v>
      </c>
      <c r="C90" s="74" t="s">
        <v>1747</v>
      </c>
      <c r="D90" s="72"/>
      <c r="E90" s="99"/>
      <c r="F90" s="100">
        <f>_11_B身体１．５＿１．０</f>
        <v>166</v>
      </c>
      <c r="G90" s="12" t="s">
        <v>392</v>
      </c>
      <c r="H90" s="711"/>
      <c r="I90" s="37"/>
      <c r="J90" s="38"/>
      <c r="K90" s="44" t="s">
        <v>397</v>
      </c>
      <c r="L90" s="45" t="s">
        <v>398</v>
      </c>
      <c r="M90" s="46">
        <v>1</v>
      </c>
      <c r="N90" s="35"/>
      <c r="P90" s="57"/>
      <c r="S90" s="57"/>
      <c r="T90" s="43"/>
      <c r="U90" s="37"/>
      <c r="V90" s="47">
        <f>ROUND((ROUND((ROUND((_11_A身体１．５*_11・基礎１),0)*_11・２人),0)*(1+_11・A夜間)),0)+ROUND((ROUND((ROUND((_11_B身体１．５＿１．０*_11・基礎１),0)*_11・２人),0)*(1+_11・B深夜)),0)</f>
        <v>685</v>
      </c>
      <c r="W90" s="48"/>
    </row>
    <row r="91" spans="1:23" ht="16.5" customHeight="1" x14ac:dyDescent="0.15">
      <c r="A91" s="41">
        <v>11</v>
      </c>
      <c r="B91" s="41" t="s">
        <v>1748</v>
      </c>
      <c r="C91" s="74" t="s">
        <v>1749</v>
      </c>
      <c r="D91" s="72"/>
      <c r="E91" s="99"/>
      <c r="F91" s="121"/>
      <c r="G91" s="99"/>
      <c r="H91" s="53"/>
      <c r="I91" s="49"/>
      <c r="J91" s="50"/>
      <c r="K91" s="44"/>
      <c r="L91" s="45"/>
      <c r="M91" s="46"/>
      <c r="N91" s="35"/>
      <c r="P91" s="57"/>
      <c r="S91" s="57"/>
      <c r="T91" s="707" t="s">
        <v>404</v>
      </c>
      <c r="U91" s="708"/>
      <c r="V91" s="47">
        <f>ROUND((ROUND((_11_A身体１．５*(1+_11・A夜間)),0)*_11・初任),0)+ROUND((ROUND((_11_B身体１．５＿１．０*(1+_11・B深夜)),0)*_11・初任),0)</f>
        <v>685</v>
      </c>
      <c r="W91" s="48"/>
    </row>
    <row r="92" spans="1:23" ht="16.5" customHeight="1" x14ac:dyDescent="0.15">
      <c r="A92" s="41">
        <v>11</v>
      </c>
      <c r="B92" s="41" t="s">
        <v>1750</v>
      </c>
      <c r="C92" s="74" t="s">
        <v>1751</v>
      </c>
      <c r="D92" s="72"/>
      <c r="E92" s="99"/>
      <c r="F92" s="121"/>
      <c r="G92" s="99"/>
      <c r="H92" s="43"/>
      <c r="I92" s="37"/>
      <c r="J92" s="38"/>
      <c r="K92" s="44" t="s">
        <v>397</v>
      </c>
      <c r="L92" s="45" t="s">
        <v>398</v>
      </c>
      <c r="M92" s="46">
        <v>1</v>
      </c>
      <c r="N92" s="35"/>
      <c r="P92" s="57"/>
      <c r="S92" s="57"/>
      <c r="T92" s="709"/>
      <c r="U92" s="704"/>
      <c r="V92" s="47">
        <f>ROUND((ROUND((ROUND((_11_A身体１．５*_11・２人),0)*(1+_11・A夜間)),0)*_11・初任),0)+ROUND((ROUND((ROUND((_11_B身体１．５＿１．０*_11・２人),0)*(1+_11・B深夜)),0)*_11・初任),0)</f>
        <v>685</v>
      </c>
      <c r="W92" s="48"/>
    </row>
    <row r="93" spans="1:23" ht="16.5" customHeight="1" x14ac:dyDescent="0.15">
      <c r="A93" s="41">
        <v>11</v>
      </c>
      <c r="B93" s="41" t="s">
        <v>1752</v>
      </c>
      <c r="C93" s="74" t="s">
        <v>1753</v>
      </c>
      <c r="D93" s="72"/>
      <c r="E93" s="99"/>
      <c r="F93" s="72"/>
      <c r="G93" s="99"/>
      <c r="H93" s="705" t="s">
        <v>400</v>
      </c>
      <c r="I93" s="49" t="s">
        <v>398</v>
      </c>
      <c r="J93" s="50">
        <v>0.7</v>
      </c>
      <c r="K93" s="44"/>
      <c r="L93" s="45"/>
      <c r="M93" s="46"/>
      <c r="N93" s="35"/>
      <c r="P93" s="57"/>
      <c r="S93" s="57"/>
      <c r="T93" s="709"/>
      <c r="U93" s="704"/>
      <c r="V93" s="47">
        <f>ROUND((ROUND((ROUND((_11_A身体１．５*_11・基礎１),0)*(1+_11・A夜間)),0)*_11・初任),0)+ROUND((ROUND((ROUND((_11_B身体１．５＿１．０*_11・基礎１),0)*(1+_11・B深夜)),0)*_11・初任),0)</f>
        <v>480</v>
      </c>
      <c r="W93" s="48"/>
    </row>
    <row r="94" spans="1:23" ht="16.5" customHeight="1" x14ac:dyDescent="0.15">
      <c r="A94" s="41">
        <v>11</v>
      </c>
      <c r="B94" s="41" t="s">
        <v>1754</v>
      </c>
      <c r="C94" s="74" t="s">
        <v>1755</v>
      </c>
      <c r="D94" s="72"/>
      <c r="E94" s="105"/>
      <c r="F94" s="122"/>
      <c r="G94" s="111"/>
      <c r="H94" s="711"/>
      <c r="I94" s="37"/>
      <c r="J94" s="38"/>
      <c r="K94" s="44" t="s">
        <v>397</v>
      </c>
      <c r="L94" s="45" t="s">
        <v>398</v>
      </c>
      <c r="M94" s="46">
        <v>1</v>
      </c>
      <c r="N94" s="35"/>
      <c r="P94" s="57"/>
      <c r="S94" s="57"/>
      <c r="T94" s="55" t="s">
        <v>398</v>
      </c>
      <c r="U94" s="38">
        <f>_11・初任</f>
        <v>0.7</v>
      </c>
      <c r="V94" s="47">
        <f>ROUND((ROUND((ROUND((ROUND((_11_A身体１．５*_11・基礎１),0)*_11・２人),0)*(1+_11・A夜間)),0)*_11・初任),0)+ROUND((ROUND((ROUND((ROUND((_11_B身体１．５＿１．０*_11・基礎１),0)*_11・２人),0)*(1+_11・B深夜)),0)*_11・初任),0)</f>
        <v>480</v>
      </c>
      <c r="W94" s="48"/>
    </row>
    <row r="95" spans="1:23" ht="16.5" customHeight="1" x14ac:dyDescent="0.15">
      <c r="A95" s="33">
        <v>11</v>
      </c>
      <c r="B95" s="33">
        <v>1531</v>
      </c>
      <c r="C95" s="34" t="s">
        <v>1756</v>
      </c>
      <c r="D95" s="72"/>
      <c r="E95" s="105"/>
      <c r="F95" s="709" t="s">
        <v>1644</v>
      </c>
      <c r="G95" s="718"/>
      <c r="H95" s="35"/>
      <c r="K95" s="36"/>
      <c r="L95" s="37"/>
      <c r="M95" s="38"/>
      <c r="N95" s="35"/>
      <c r="P95" s="57"/>
      <c r="S95" s="57"/>
      <c r="T95" s="35"/>
      <c r="V95" s="39">
        <f>ROUND((_11_A身体１．５*(1+_11・A夜間)),0)+ROUND((_11_B身体１．５＿１．５*(1+_11・B深夜)),0)</f>
        <v>1104</v>
      </c>
      <c r="W95" s="48"/>
    </row>
    <row r="96" spans="1:23" ht="16.5" customHeight="1" x14ac:dyDescent="0.15">
      <c r="A96" s="41">
        <v>11</v>
      </c>
      <c r="B96" s="41">
        <v>1532</v>
      </c>
      <c r="C96" s="74" t="s">
        <v>1757</v>
      </c>
      <c r="D96" s="72"/>
      <c r="E96" s="99"/>
      <c r="F96" s="709"/>
      <c r="G96" s="718"/>
      <c r="H96" s="43"/>
      <c r="I96" s="37"/>
      <c r="J96" s="38"/>
      <c r="K96" s="44" t="s">
        <v>397</v>
      </c>
      <c r="L96" s="45" t="s">
        <v>398</v>
      </c>
      <c r="M96" s="46">
        <v>1</v>
      </c>
      <c r="N96" s="35"/>
      <c r="P96" s="57"/>
      <c r="S96" s="57"/>
      <c r="T96" s="35"/>
      <c r="V96" s="47">
        <f>ROUND((ROUND((_11_A身体１．５*_11・２人),0)*(1+_11・A夜間)),0)+ROUND((ROUND((_11_B身体１．５＿１．５*_11・２人),0)*(1+_11・B深夜)),0)</f>
        <v>1104</v>
      </c>
      <c r="W96" s="48"/>
    </row>
    <row r="97" spans="1:23" ht="16.5" customHeight="1" x14ac:dyDescent="0.15">
      <c r="A97" s="41">
        <v>11</v>
      </c>
      <c r="B97" s="41">
        <v>1533</v>
      </c>
      <c r="C97" s="74" t="s">
        <v>1758</v>
      </c>
      <c r="D97" s="72"/>
      <c r="E97" s="99"/>
      <c r="F97" s="709"/>
      <c r="G97" s="718"/>
      <c r="H97" s="705" t="s">
        <v>400</v>
      </c>
      <c r="I97" s="49" t="s">
        <v>398</v>
      </c>
      <c r="J97" s="50">
        <v>0.7</v>
      </c>
      <c r="K97" s="44"/>
      <c r="L97" s="45"/>
      <c r="M97" s="46"/>
      <c r="N97" s="35"/>
      <c r="P97" s="57"/>
      <c r="S97" s="57"/>
      <c r="T97" s="35"/>
      <c r="V97" s="47">
        <f>ROUND((ROUND((_11_A身体１．５*_11・基礎１),0)*(1+_11・A夜間)),0)+ROUND((ROUND((_11_B身体１．５＿１．５*_11・基礎１),0)*(1+_11・B深夜)),0)</f>
        <v>772</v>
      </c>
      <c r="W97" s="48"/>
    </row>
    <row r="98" spans="1:23" ht="16.5" customHeight="1" x14ac:dyDescent="0.15">
      <c r="A98" s="41">
        <v>11</v>
      </c>
      <c r="B98" s="41">
        <v>1534</v>
      </c>
      <c r="C98" s="74" t="s">
        <v>1759</v>
      </c>
      <c r="D98" s="72"/>
      <c r="E98" s="99"/>
      <c r="F98" s="100">
        <f>_11_B身体１．５＿１．５</f>
        <v>249</v>
      </c>
      <c r="G98" s="12" t="s">
        <v>392</v>
      </c>
      <c r="H98" s="711"/>
      <c r="I98" s="37"/>
      <c r="J98" s="38"/>
      <c r="K98" s="44" t="s">
        <v>397</v>
      </c>
      <c r="L98" s="45" t="s">
        <v>398</v>
      </c>
      <c r="M98" s="46">
        <v>1</v>
      </c>
      <c r="N98" s="35"/>
      <c r="P98" s="57"/>
      <c r="S98" s="57"/>
      <c r="T98" s="43"/>
      <c r="U98" s="37"/>
      <c r="V98" s="47">
        <f>ROUND((ROUND((ROUND((_11_A身体１．５*_11・基礎１),0)*_11・２人),0)*(1+_11・A夜間)),0)+ROUND((ROUND((ROUND((_11_B身体１．５＿１．５*_11・基礎１),0)*_11・２人),0)*(1+_11・B深夜)),0)</f>
        <v>772</v>
      </c>
      <c r="W98" s="48"/>
    </row>
    <row r="99" spans="1:23" ht="16.5" customHeight="1" x14ac:dyDescent="0.15">
      <c r="A99" s="41">
        <v>11</v>
      </c>
      <c r="B99" s="41" t="s">
        <v>1760</v>
      </c>
      <c r="C99" s="74" t="s">
        <v>1761</v>
      </c>
      <c r="D99" s="72"/>
      <c r="E99" s="99"/>
      <c r="F99" s="121"/>
      <c r="G99" s="99"/>
      <c r="H99" s="53"/>
      <c r="I99" s="49"/>
      <c r="J99" s="50"/>
      <c r="K99" s="44"/>
      <c r="L99" s="45"/>
      <c r="M99" s="46"/>
      <c r="N99" s="35"/>
      <c r="P99" s="57"/>
      <c r="S99" s="57"/>
      <c r="T99" s="707" t="s">
        <v>404</v>
      </c>
      <c r="U99" s="708"/>
      <c r="V99" s="47">
        <f>ROUND((ROUND((_11_A身体１．５*(1+_11・A夜間)),0)*_11・初任),0)+ROUND((ROUND((_11_B身体１．５＿１．５*(1+_11・B深夜)),0)*_11・初任),0)</f>
        <v>773</v>
      </c>
      <c r="W99" s="48"/>
    </row>
    <row r="100" spans="1:23" ht="16.5" customHeight="1" x14ac:dyDescent="0.15">
      <c r="A100" s="41">
        <v>11</v>
      </c>
      <c r="B100" s="41" t="s">
        <v>1762</v>
      </c>
      <c r="C100" s="74" t="s">
        <v>1763</v>
      </c>
      <c r="D100" s="72"/>
      <c r="E100" s="99"/>
      <c r="F100" s="121"/>
      <c r="G100" s="99"/>
      <c r="H100" s="43"/>
      <c r="I100" s="37"/>
      <c r="J100" s="38"/>
      <c r="K100" s="44" t="s">
        <v>397</v>
      </c>
      <c r="L100" s="45" t="s">
        <v>398</v>
      </c>
      <c r="M100" s="46">
        <v>1</v>
      </c>
      <c r="N100" s="35"/>
      <c r="P100" s="57"/>
      <c r="S100" s="57"/>
      <c r="T100" s="709"/>
      <c r="U100" s="704"/>
      <c r="V100" s="47">
        <f>ROUND((ROUND((ROUND((_11_A身体１．５*_11・２人),0)*(1+_11・A夜間)),0)*_11・初任),0)+ROUND((ROUND((ROUND((_11_B身体１．５＿１．５*_11・２人),0)*(1+_11・B深夜)),0)*_11・初任),0)</f>
        <v>773</v>
      </c>
      <c r="W100" s="48"/>
    </row>
    <row r="101" spans="1:23" ht="16.5" customHeight="1" x14ac:dyDescent="0.15">
      <c r="A101" s="41">
        <v>11</v>
      </c>
      <c r="B101" s="41" t="s">
        <v>1764</v>
      </c>
      <c r="C101" s="74" t="s">
        <v>1765</v>
      </c>
      <c r="D101" s="72"/>
      <c r="E101" s="99"/>
      <c r="F101" s="72"/>
      <c r="G101" s="99"/>
      <c r="H101" s="705" t="s">
        <v>400</v>
      </c>
      <c r="I101" s="49" t="s">
        <v>398</v>
      </c>
      <c r="J101" s="50">
        <v>0.7</v>
      </c>
      <c r="K101" s="44"/>
      <c r="L101" s="45"/>
      <c r="M101" s="46"/>
      <c r="N101" s="35"/>
      <c r="P101" s="57"/>
      <c r="S101" s="57"/>
      <c r="T101" s="709"/>
      <c r="U101" s="704"/>
      <c r="V101" s="47">
        <f>ROUND((ROUND((ROUND((_11_A身体１．５*_11・基礎１),0)*(1+_11・A夜間)),0)*_11・初任),0)+ROUND((ROUND((ROUND((_11_B身体１．５＿１．５*_11・基礎１),0)*(1+_11・B深夜)),0)*_11・初任),0)</f>
        <v>541</v>
      </c>
      <c r="W101" s="48"/>
    </row>
    <row r="102" spans="1:23" ht="16.5" customHeight="1" x14ac:dyDescent="0.15">
      <c r="A102" s="41">
        <v>11</v>
      </c>
      <c r="B102" s="41" t="s">
        <v>1766</v>
      </c>
      <c r="C102" s="74" t="s">
        <v>1767</v>
      </c>
      <c r="D102" s="72"/>
      <c r="E102" s="99"/>
      <c r="F102" s="72"/>
      <c r="G102" s="99"/>
      <c r="H102" s="711"/>
      <c r="I102" s="37"/>
      <c r="J102" s="38"/>
      <c r="K102" s="44" t="s">
        <v>397</v>
      </c>
      <c r="L102" s="45" t="s">
        <v>398</v>
      </c>
      <c r="M102" s="46">
        <v>1</v>
      </c>
      <c r="N102" s="35"/>
      <c r="P102" s="57"/>
      <c r="S102" s="57"/>
      <c r="T102" s="55" t="s">
        <v>398</v>
      </c>
      <c r="U102" s="38">
        <f>_11・初任</f>
        <v>0.7</v>
      </c>
      <c r="V102" s="47">
        <f>ROUND((ROUND((ROUND((ROUND((_11_A身体１．５*_11・基礎１),0)*_11・２人),0)*(1+_11・A夜間)),0)*_11・初任),0)+ROUND((ROUND((ROUND((ROUND((_11_B身体１．５＿１．５*_11・基礎１),0)*_11・２人),0)*(1+_11・B深夜)),0)*_11・初任),0)</f>
        <v>541</v>
      </c>
      <c r="W102" s="48"/>
    </row>
    <row r="103" spans="1:23" ht="16.5" customHeight="1" x14ac:dyDescent="0.15">
      <c r="A103" s="41">
        <v>11</v>
      </c>
      <c r="B103" s="41">
        <v>1535</v>
      </c>
      <c r="C103" s="74" t="s">
        <v>1768</v>
      </c>
      <c r="D103" s="707" t="s">
        <v>782</v>
      </c>
      <c r="E103" s="717"/>
      <c r="F103" s="707" t="s">
        <v>1617</v>
      </c>
      <c r="G103" s="717"/>
      <c r="H103" s="53"/>
      <c r="I103" s="49"/>
      <c r="J103" s="50"/>
      <c r="K103" s="44"/>
      <c r="L103" s="45"/>
      <c r="M103" s="46"/>
      <c r="N103" s="35"/>
      <c r="P103" s="57"/>
      <c r="S103" s="57"/>
      <c r="T103" s="53"/>
      <c r="U103" s="49"/>
      <c r="V103" s="47">
        <f>ROUND((_11_A身体２．０*(1+_11・A夜間)),0)+ROUND((_11_B身体２．０＿０．５*(1+_11・B深夜)),0)</f>
        <v>959</v>
      </c>
      <c r="W103" s="48"/>
    </row>
    <row r="104" spans="1:23" ht="16.5" customHeight="1" x14ac:dyDescent="0.15">
      <c r="A104" s="41">
        <v>11</v>
      </c>
      <c r="B104" s="41">
        <v>1536</v>
      </c>
      <c r="C104" s="74" t="s">
        <v>1769</v>
      </c>
      <c r="D104" s="709"/>
      <c r="E104" s="718"/>
      <c r="F104" s="709"/>
      <c r="G104" s="718"/>
      <c r="H104" s="43"/>
      <c r="I104" s="37"/>
      <c r="J104" s="38"/>
      <c r="K104" s="44" t="s">
        <v>397</v>
      </c>
      <c r="L104" s="45" t="s">
        <v>398</v>
      </c>
      <c r="M104" s="46">
        <v>1</v>
      </c>
      <c r="N104" s="35"/>
      <c r="P104" s="57"/>
      <c r="S104" s="57"/>
      <c r="T104" s="35"/>
      <c r="V104" s="47">
        <f>ROUND((ROUND((_11_A身体２．０*_11・２人),0)*(1+_11・A夜間)),0)+ROUND((ROUND((_11_B身体２．０＿０．５*_11・２人),0)*(1+_11・B深夜)),0)</f>
        <v>959</v>
      </c>
      <c r="W104" s="48"/>
    </row>
    <row r="105" spans="1:23" ht="16.5" customHeight="1" x14ac:dyDescent="0.15">
      <c r="A105" s="41">
        <v>11</v>
      </c>
      <c r="B105" s="41">
        <v>1537</v>
      </c>
      <c r="C105" s="74" t="s">
        <v>1770</v>
      </c>
      <c r="D105" s="709"/>
      <c r="E105" s="718"/>
      <c r="F105" s="709"/>
      <c r="G105" s="718"/>
      <c r="H105" s="705" t="s">
        <v>400</v>
      </c>
      <c r="I105" s="49" t="s">
        <v>398</v>
      </c>
      <c r="J105" s="50">
        <v>0.7</v>
      </c>
      <c r="K105" s="44"/>
      <c r="L105" s="45"/>
      <c r="M105" s="46"/>
      <c r="N105" s="35"/>
      <c r="P105" s="57"/>
      <c r="S105" s="57"/>
      <c r="T105" s="35"/>
      <c r="V105" s="47">
        <f>ROUND((ROUND((_11_A身体２．０*_11・基礎１),0)*(1+_11・A夜間)),0)+ROUND((ROUND((_11_B身体２．０＿０．５*_11・基礎１),0)*(1+_11・B深夜)),0)</f>
        <v>672</v>
      </c>
      <c r="W105" s="48"/>
    </row>
    <row r="106" spans="1:23" ht="16.5" customHeight="1" x14ac:dyDescent="0.15">
      <c r="A106" s="41">
        <v>11</v>
      </c>
      <c r="B106" s="41">
        <v>1538</v>
      </c>
      <c r="C106" s="74" t="s">
        <v>1771</v>
      </c>
      <c r="D106" s="100">
        <f>_11_A身体２．０</f>
        <v>666</v>
      </c>
      <c r="E106" s="12" t="s">
        <v>392</v>
      </c>
      <c r="F106" s="100">
        <f>_11_B身体２．０＿０．５</f>
        <v>84</v>
      </c>
      <c r="G106" s="12" t="s">
        <v>392</v>
      </c>
      <c r="H106" s="711"/>
      <c r="I106" s="37"/>
      <c r="J106" s="38"/>
      <c r="K106" s="44" t="s">
        <v>397</v>
      </c>
      <c r="L106" s="45" t="s">
        <v>398</v>
      </c>
      <c r="M106" s="46">
        <v>1</v>
      </c>
      <c r="N106" s="35"/>
      <c r="P106" s="57"/>
      <c r="S106" s="57"/>
      <c r="T106" s="43"/>
      <c r="U106" s="37"/>
      <c r="V106" s="47">
        <f>ROUND((ROUND((ROUND((_11_A身体２．０*_11・基礎１),0)*_11・２人),0)*(1+_11・A夜間)),0)+ROUND((ROUND((ROUND((_11_B身体２．０＿０．５*_11・基礎１),0)*_11・２人),0)*(1+_11・B深夜)),0)</f>
        <v>672</v>
      </c>
      <c r="W106" s="48"/>
    </row>
    <row r="107" spans="1:23" ht="16.5" customHeight="1" x14ac:dyDescent="0.15">
      <c r="A107" s="41">
        <v>11</v>
      </c>
      <c r="B107" s="41" t="s">
        <v>1772</v>
      </c>
      <c r="C107" s="74" t="s">
        <v>1773</v>
      </c>
      <c r="D107" s="121"/>
      <c r="E107" s="99"/>
      <c r="F107" s="121"/>
      <c r="G107" s="99"/>
      <c r="H107" s="53"/>
      <c r="I107" s="49"/>
      <c r="J107" s="50"/>
      <c r="K107" s="44"/>
      <c r="L107" s="45"/>
      <c r="M107" s="46"/>
      <c r="N107" s="35"/>
      <c r="P107" s="57"/>
      <c r="S107" s="57"/>
      <c r="T107" s="707" t="s">
        <v>404</v>
      </c>
      <c r="U107" s="708"/>
      <c r="V107" s="47">
        <f>ROUND((ROUND((_11_A身体２．０*(1+_11・A夜間)),0)*_11・初任),0)+ROUND((ROUND((_11_B身体２．０＿０．５*(1+_11・B深夜)),0)*_11・初任),0)</f>
        <v>671</v>
      </c>
      <c r="W107" s="48"/>
    </row>
    <row r="108" spans="1:23" ht="16.5" customHeight="1" x14ac:dyDescent="0.15">
      <c r="A108" s="41">
        <v>11</v>
      </c>
      <c r="B108" s="41" t="s">
        <v>1774</v>
      </c>
      <c r="C108" s="74" t="s">
        <v>1775</v>
      </c>
      <c r="D108" s="121"/>
      <c r="E108" s="99"/>
      <c r="F108" s="121"/>
      <c r="G108" s="99"/>
      <c r="H108" s="43"/>
      <c r="I108" s="37"/>
      <c r="J108" s="38"/>
      <c r="K108" s="44" t="s">
        <v>397</v>
      </c>
      <c r="L108" s="45" t="s">
        <v>398</v>
      </c>
      <c r="M108" s="46">
        <v>1</v>
      </c>
      <c r="N108" s="35"/>
      <c r="P108" s="57"/>
      <c r="S108" s="57"/>
      <c r="T108" s="709"/>
      <c r="U108" s="704"/>
      <c r="V108" s="47">
        <f>ROUND((ROUND((ROUND((_11_A身体２．０*_11・２人),0)*(1+_11・A夜間)),0)*_11・初任),0)+ROUND((ROUND((ROUND((_11_B身体２．０＿０．５*_11・２人),0)*(1+_11・B深夜)),0)*_11・初任),0)</f>
        <v>671</v>
      </c>
      <c r="W108" s="48"/>
    </row>
    <row r="109" spans="1:23" ht="16.5" customHeight="1" x14ac:dyDescent="0.15">
      <c r="A109" s="41">
        <v>11</v>
      </c>
      <c r="B109" s="41" t="s">
        <v>1776</v>
      </c>
      <c r="C109" s="74" t="s">
        <v>1777</v>
      </c>
      <c r="D109" s="72"/>
      <c r="E109" s="99"/>
      <c r="F109" s="72"/>
      <c r="G109" s="99"/>
      <c r="H109" s="705" t="s">
        <v>400</v>
      </c>
      <c r="I109" s="49" t="s">
        <v>398</v>
      </c>
      <c r="J109" s="50">
        <v>0.7</v>
      </c>
      <c r="K109" s="44"/>
      <c r="L109" s="45"/>
      <c r="M109" s="46"/>
      <c r="N109" s="35"/>
      <c r="P109" s="57"/>
      <c r="S109" s="57"/>
      <c r="T109" s="709"/>
      <c r="U109" s="704"/>
      <c r="V109" s="47">
        <f>ROUND((ROUND((ROUND((_11_A身体２．０*_11・基礎１),0)*(1+_11・A夜間)),0)*_11・初任),0)+ROUND((ROUND((ROUND((_11_B身体２．０＿０．５*_11・基礎１),0)*(1+_11・B深夜)),0)*_11・初任),0)</f>
        <v>470</v>
      </c>
      <c r="W109" s="48"/>
    </row>
    <row r="110" spans="1:23" ht="16.5" customHeight="1" x14ac:dyDescent="0.15">
      <c r="A110" s="41">
        <v>11</v>
      </c>
      <c r="B110" s="41" t="s">
        <v>1778</v>
      </c>
      <c r="C110" s="74" t="s">
        <v>1779</v>
      </c>
      <c r="D110" s="72"/>
      <c r="E110" s="99"/>
      <c r="F110" s="72"/>
      <c r="G110" s="99"/>
      <c r="H110" s="711"/>
      <c r="I110" s="37"/>
      <c r="J110" s="38"/>
      <c r="K110" s="44" t="s">
        <v>397</v>
      </c>
      <c r="L110" s="45" t="s">
        <v>398</v>
      </c>
      <c r="M110" s="46">
        <v>1</v>
      </c>
      <c r="N110" s="35"/>
      <c r="P110" s="57"/>
      <c r="S110" s="57"/>
      <c r="T110" s="55" t="s">
        <v>398</v>
      </c>
      <c r="U110" s="38">
        <f>_11・初任</f>
        <v>0.7</v>
      </c>
      <c r="V110" s="47">
        <f>ROUND((ROUND((ROUND((ROUND((_11_A身体２．０*_11・基礎１),0)*_11・２人),0)*(1+_11・A夜間)),0)*_11・初任),0)+ROUND((ROUND((ROUND((ROUND((_11_B身体２．０＿０．５*_11・基礎１),0)*_11・２人),0)*(1+_11・B深夜)),0)*_11・初任),0)</f>
        <v>470</v>
      </c>
      <c r="W110" s="48"/>
    </row>
    <row r="111" spans="1:23" ht="16.5" customHeight="1" x14ac:dyDescent="0.15">
      <c r="A111" s="41">
        <v>11</v>
      </c>
      <c r="B111" s="41">
        <v>1539</v>
      </c>
      <c r="C111" s="74" t="s">
        <v>1780</v>
      </c>
      <c r="D111" s="72"/>
      <c r="E111" s="99"/>
      <c r="F111" s="707" t="s">
        <v>1695</v>
      </c>
      <c r="G111" s="717"/>
      <c r="H111" s="53"/>
      <c r="I111" s="49"/>
      <c r="J111" s="50"/>
      <c r="K111" s="44"/>
      <c r="L111" s="45"/>
      <c r="M111" s="46"/>
      <c r="N111" s="35"/>
      <c r="P111" s="57"/>
      <c r="S111" s="57"/>
      <c r="T111" s="53"/>
      <c r="U111" s="49"/>
      <c r="V111" s="47">
        <f>ROUND((_11_A身体２．０*(1+_11・A夜間)),0)+ROUND((_11_B身体２．０＿１．０*(1+_11・B深夜)),0)</f>
        <v>1084</v>
      </c>
      <c r="W111" s="48"/>
    </row>
    <row r="112" spans="1:23" ht="16.5" customHeight="1" x14ac:dyDescent="0.15">
      <c r="A112" s="41">
        <v>11</v>
      </c>
      <c r="B112" s="41">
        <v>1540</v>
      </c>
      <c r="C112" s="74" t="s">
        <v>1781</v>
      </c>
      <c r="D112" s="72"/>
      <c r="E112" s="99"/>
      <c r="F112" s="709"/>
      <c r="G112" s="718"/>
      <c r="H112" s="43"/>
      <c r="I112" s="37"/>
      <c r="J112" s="38"/>
      <c r="K112" s="44" t="s">
        <v>397</v>
      </c>
      <c r="L112" s="45" t="s">
        <v>398</v>
      </c>
      <c r="M112" s="46">
        <v>1</v>
      </c>
      <c r="N112" s="35"/>
      <c r="P112" s="57"/>
      <c r="S112" s="57"/>
      <c r="T112" s="35"/>
      <c r="V112" s="47">
        <f>ROUND((ROUND((_11_A身体２．０*_11・２人),0)*(1+_11・A夜間)),0)+ROUND((ROUND((_11_B身体２．０＿１．０*_11・２人),0)*(1+_11・B深夜)),0)</f>
        <v>1084</v>
      </c>
      <c r="W112" s="48"/>
    </row>
    <row r="113" spans="1:23" ht="16.5" customHeight="1" x14ac:dyDescent="0.15">
      <c r="A113" s="41">
        <v>11</v>
      </c>
      <c r="B113" s="41">
        <v>1541</v>
      </c>
      <c r="C113" s="74" t="s">
        <v>1782</v>
      </c>
      <c r="D113" s="72"/>
      <c r="E113" s="99"/>
      <c r="F113" s="709"/>
      <c r="G113" s="718"/>
      <c r="H113" s="705" t="s">
        <v>400</v>
      </c>
      <c r="I113" s="49" t="s">
        <v>398</v>
      </c>
      <c r="J113" s="50">
        <v>0.7</v>
      </c>
      <c r="K113" s="44"/>
      <c r="L113" s="45"/>
      <c r="M113" s="46"/>
      <c r="N113" s="35"/>
      <c r="P113" s="57"/>
      <c r="S113" s="57"/>
      <c r="T113" s="35"/>
      <c r="V113" s="47">
        <f>ROUND((ROUND((_11_A身体２．０*_11・基礎１),0)*(1+_11・A夜間)),0)+ROUND((ROUND((_11_B身体２．０＿１．０*_11・基礎１),0)*(1+_11・B深夜)),0)</f>
        <v>759</v>
      </c>
      <c r="W113" s="48"/>
    </row>
    <row r="114" spans="1:23" ht="16.5" customHeight="1" x14ac:dyDescent="0.15">
      <c r="A114" s="41">
        <v>11</v>
      </c>
      <c r="B114" s="41">
        <v>1542</v>
      </c>
      <c r="C114" s="74" t="s">
        <v>1783</v>
      </c>
      <c r="D114" s="72"/>
      <c r="E114" s="99"/>
      <c r="F114" s="100">
        <f>_11_B身体２．０＿１．０</f>
        <v>167</v>
      </c>
      <c r="G114" s="12" t="s">
        <v>392</v>
      </c>
      <c r="H114" s="711"/>
      <c r="I114" s="37"/>
      <c r="J114" s="38"/>
      <c r="K114" s="44" t="s">
        <v>397</v>
      </c>
      <c r="L114" s="45" t="s">
        <v>398</v>
      </c>
      <c r="M114" s="46">
        <v>1</v>
      </c>
      <c r="N114" s="35"/>
      <c r="P114" s="57"/>
      <c r="S114" s="57"/>
      <c r="T114" s="43"/>
      <c r="U114" s="37"/>
      <c r="V114" s="47">
        <f>ROUND((ROUND((ROUND((_11_A身体２．０*_11・基礎１),0)*_11・２人),0)*(1+_11・A夜間)),0)+ROUND((ROUND((ROUND((_11_B身体２．０＿１．０*_11・基礎１),0)*_11・２人),0)*(1+_11・B深夜)),0)</f>
        <v>759</v>
      </c>
      <c r="W114" s="48"/>
    </row>
    <row r="115" spans="1:23" ht="16.5" customHeight="1" x14ac:dyDescent="0.15">
      <c r="A115" s="41">
        <v>11</v>
      </c>
      <c r="B115" s="41" t="s">
        <v>1784</v>
      </c>
      <c r="C115" s="74" t="s">
        <v>1785</v>
      </c>
      <c r="D115" s="72"/>
      <c r="E115" s="99"/>
      <c r="F115" s="121"/>
      <c r="G115" s="99"/>
      <c r="H115" s="53"/>
      <c r="I115" s="49"/>
      <c r="J115" s="50"/>
      <c r="K115" s="44"/>
      <c r="L115" s="45"/>
      <c r="M115" s="46"/>
      <c r="N115" s="35"/>
      <c r="P115" s="57"/>
      <c r="S115" s="57"/>
      <c r="T115" s="707" t="s">
        <v>404</v>
      </c>
      <c r="U115" s="708"/>
      <c r="V115" s="47">
        <f>ROUND((ROUND((_11_A身体２．０*(1+_11・A夜間)),0)*_11・初任),0)+ROUND((ROUND((_11_B身体２．０＿１．０*(1+_11・B深夜)),0)*_11・初任),0)</f>
        <v>759</v>
      </c>
      <c r="W115" s="48"/>
    </row>
    <row r="116" spans="1:23" ht="16.5" customHeight="1" x14ac:dyDescent="0.15">
      <c r="A116" s="41">
        <v>11</v>
      </c>
      <c r="B116" s="41" t="s">
        <v>1786</v>
      </c>
      <c r="C116" s="74" t="s">
        <v>1787</v>
      </c>
      <c r="D116" s="72"/>
      <c r="E116" s="99"/>
      <c r="F116" s="121"/>
      <c r="G116" s="99"/>
      <c r="H116" s="43"/>
      <c r="I116" s="37"/>
      <c r="J116" s="38"/>
      <c r="K116" s="44" t="s">
        <v>397</v>
      </c>
      <c r="L116" s="45" t="s">
        <v>398</v>
      </c>
      <c r="M116" s="46">
        <v>1</v>
      </c>
      <c r="N116" s="35"/>
      <c r="P116" s="57"/>
      <c r="S116" s="57"/>
      <c r="T116" s="709"/>
      <c r="U116" s="704"/>
      <c r="V116" s="47">
        <f>ROUND((ROUND((ROUND((_11_A身体２．０*_11・２人),0)*(1+_11・A夜間)),0)*_11・初任),0)+ROUND((ROUND((ROUND((_11_B身体２．０＿１．０*_11・２人),0)*(1+_11・B深夜)),0)*_11・初任),0)</f>
        <v>759</v>
      </c>
      <c r="W116" s="48"/>
    </row>
    <row r="117" spans="1:23" ht="16.5" customHeight="1" x14ac:dyDescent="0.15">
      <c r="A117" s="41">
        <v>11</v>
      </c>
      <c r="B117" s="41" t="s">
        <v>1788</v>
      </c>
      <c r="C117" s="74" t="s">
        <v>1789</v>
      </c>
      <c r="D117" s="72"/>
      <c r="E117" s="99"/>
      <c r="F117" s="72"/>
      <c r="G117" s="99"/>
      <c r="H117" s="705" t="s">
        <v>400</v>
      </c>
      <c r="I117" s="49" t="s">
        <v>398</v>
      </c>
      <c r="J117" s="50">
        <v>0.7</v>
      </c>
      <c r="K117" s="44"/>
      <c r="L117" s="45"/>
      <c r="M117" s="46"/>
      <c r="N117" s="35"/>
      <c r="P117" s="57"/>
      <c r="S117" s="57"/>
      <c r="T117" s="709"/>
      <c r="U117" s="704"/>
      <c r="V117" s="47">
        <f>ROUND((ROUND((ROUND((_11_A身体２．０*_11・基礎１),0)*(1+_11・A夜間)),0)*_11・初任),0)+ROUND((ROUND((ROUND((_11_B身体２．０＿１．０*_11・基礎１),0)*(1+_11・B深夜)),0)*_11・初任),0)</f>
        <v>531</v>
      </c>
      <c r="W117" s="48"/>
    </row>
    <row r="118" spans="1:23" ht="16.5" customHeight="1" x14ac:dyDescent="0.15">
      <c r="A118" s="41">
        <v>11</v>
      </c>
      <c r="B118" s="41" t="s">
        <v>1790</v>
      </c>
      <c r="C118" s="74" t="s">
        <v>1791</v>
      </c>
      <c r="D118" s="72"/>
      <c r="E118" s="99"/>
      <c r="F118" s="72"/>
      <c r="G118" s="99"/>
      <c r="H118" s="711"/>
      <c r="I118" s="37"/>
      <c r="J118" s="38"/>
      <c r="K118" s="44" t="s">
        <v>397</v>
      </c>
      <c r="L118" s="45" t="s">
        <v>398</v>
      </c>
      <c r="M118" s="46">
        <v>1</v>
      </c>
      <c r="N118" s="35"/>
      <c r="P118" s="57"/>
      <c r="S118" s="57"/>
      <c r="T118" s="55" t="s">
        <v>398</v>
      </c>
      <c r="U118" s="38">
        <f>_11・初任</f>
        <v>0.7</v>
      </c>
      <c r="V118" s="47">
        <f>ROUND((ROUND((ROUND((ROUND((_11_A身体２．０*_11・基礎１),0)*_11・２人),0)*(1+_11・A夜間)),0)*_11・初任),0)+ROUND((ROUND((ROUND((ROUND((_11_B身体２．０＿１．０*_11・基礎１),0)*_11・２人),0)*(1+_11・B深夜)),0)*_11・初任),0)</f>
        <v>531</v>
      </c>
      <c r="W118" s="48"/>
    </row>
    <row r="119" spans="1:23" ht="16.5" customHeight="1" x14ac:dyDescent="0.15">
      <c r="A119" s="41">
        <v>11</v>
      </c>
      <c r="B119" s="41">
        <v>1543</v>
      </c>
      <c r="C119" s="74" t="s">
        <v>1792</v>
      </c>
      <c r="D119" s="707" t="s">
        <v>795</v>
      </c>
      <c r="E119" s="717"/>
      <c r="F119" s="707" t="s">
        <v>1617</v>
      </c>
      <c r="G119" s="717"/>
      <c r="H119" s="53"/>
      <c r="I119" s="49"/>
      <c r="J119" s="50"/>
      <c r="K119" s="44"/>
      <c r="L119" s="45"/>
      <c r="M119" s="46"/>
      <c r="N119" s="35"/>
      <c r="P119" s="57"/>
      <c r="S119" s="57"/>
      <c r="T119" s="53"/>
      <c r="U119" s="49"/>
      <c r="V119" s="47">
        <f>ROUND((_11_A身体２．５*(1+_11・A夜間)),0)+ROUND((_11_B身体２．５＿０．５*(1+_11・B深夜)),0)</f>
        <v>1063</v>
      </c>
      <c r="W119" s="48"/>
    </row>
    <row r="120" spans="1:23" ht="16.5" customHeight="1" x14ac:dyDescent="0.15">
      <c r="A120" s="41">
        <v>11</v>
      </c>
      <c r="B120" s="41">
        <v>1544</v>
      </c>
      <c r="C120" s="74" t="s">
        <v>1793</v>
      </c>
      <c r="D120" s="709"/>
      <c r="E120" s="718"/>
      <c r="F120" s="709"/>
      <c r="G120" s="718"/>
      <c r="H120" s="43"/>
      <c r="I120" s="37"/>
      <c r="J120" s="38"/>
      <c r="K120" s="44" t="s">
        <v>397</v>
      </c>
      <c r="L120" s="45" t="s">
        <v>398</v>
      </c>
      <c r="M120" s="46">
        <v>1</v>
      </c>
      <c r="N120" s="35"/>
      <c r="P120" s="57"/>
      <c r="S120" s="57"/>
      <c r="T120" s="35"/>
      <c r="V120" s="47">
        <f>ROUND((ROUND((_11_A身体２．５*_11・２人),0)*(1+_11・A夜間)),0)+ROUND((ROUND((_11_B身体２．５＿０．５*_11・２人),0)*(1+_11・B深夜)),0)</f>
        <v>1063</v>
      </c>
      <c r="W120" s="48"/>
    </row>
    <row r="121" spans="1:23" ht="16.5" customHeight="1" x14ac:dyDescent="0.15">
      <c r="A121" s="41">
        <v>11</v>
      </c>
      <c r="B121" s="41">
        <v>1545</v>
      </c>
      <c r="C121" s="74" t="s">
        <v>1794</v>
      </c>
      <c r="D121" s="709"/>
      <c r="E121" s="718"/>
      <c r="F121" s="709"/>
      <c r="G121" s="718"/>
      <c r="H121" s="705" t="s">
        <v>400</v>
      </c>
      <c r="I121" s="49" t="s">
        <v>398</v>
      </c>
      <c r="J121" s="50">
        <v>0.7</v>
      </c>
      <c r="K121" s="44"/>
      <c r="L121" s="45"/>
      <c r="M121" s="46"/>
      <c r="N121" s="35"/>
      <c r="P121" s="57"/>
      <c r="S121" s="57"/>
      <c r="T121" s="35"/>
      <c r="V121" s="47">
        <f>ROUND((ROUND((_11_A身体２．５*_11・基礎１),0)*(1+_11・A夜間)),0)+ROUND((ROUND((_11_B身体２．５＿０．５*_11・基礎１),0)*(1+_11・B深夜)),0)</f>
        <v>743</v>
      </c>
      <c r="W121" s="48"/>
    </row>
    <row r="122" spans="1:23" ht="16.5" customHeight="1" x14ac:dyDescent="0.15">
      <c r="A122" s="41">
        <v>11</v>
      </c>
      <c r="B122" s="41">
        <v>1546</v>
      </c>
      <c r="C122" s="74" t="s">
        <v>1795</v>
      </c>
      <c r="D122" s="100">
        <f>_11_A身体２．５</f>
        <v>750</v>
      </c>
      <c r="E122" s="12" t="s">
        <v>392</v>
      </c>
      <c r="F122" s="100">
        <f>_11_B身体２．５＿０．５</f>
        <v>83</v>
      </c>
      <c r="G122" s="12" t="s">
        <v>392</v>
      </c>
      <c r="H122" s="711"/>
      <c r="I122" s="37"/>
      <c r="J122" s="38"/>
      <c r="K122" s="44" t="s">
        <v>397</v>
      </c>
      <c r="L122" s="45" t="s">
        <v>398</v>
      </c>
      <c r="M122" s="46">
        <v>1</v>
      </c>
      <c r="N122" s="35"/>
      <c r="P122" s="57"/>
      <c r="S122" s="57"/>
      <c r="T122" s="43"/>
      <c r="U122" s="37"/>
      <c r="V122" s="47">
        <f>ROUND((ROUND((ROUND((_11_A身体２．５*_11・基礎１),0)*_11・２人),0)*(1+_11・A夜間)),0)+ROUND((ROUND((ROUND((_11_B身体２．５＿０．５*_11・基礎１),0)*_11・２人),0)*(1+_11・B深夜)),0)</f>
        <v>743</v>
      </c>
      <c r="W122" s="48"/>
    </row>
    <row r="123" spans="1:23" ht="16.5" customHeight="1" x14ac:dyDescent="0.15">
      <c r="A123" s="41">
        <v>11</v>
      </c>
      <c r="B123" s="41" t="s">
        <v>1796</v>
      </c>
      <c r="C123" s="74" t="s">
        <v>1797</v>
      </c>
      <c r="D123" s="121"/>
      <c r="E123" s="99"/>
      <c r="F123" s="121"/>
      <c r="G123" s="99"/>
      <c r="H123" s="53"/>
      <c r="I123" s="49"/>
      <c r="J123" s="50"/>
      <c r="K123" s="44"/>
      <c r="L123" s="45"/>
      <c r="M123" s="46"/>
      <c r="N123" s="35"/>
      <c r="P123" s="57"/>
      <c r="S123" s="57"/>
      <c r="T123" s="707" t="s">
        <v>404</v>
      </c>
      <c r="U123" s="708"/>
      <c r="V123" s="47">
        <f>ROUND((ROUND((_11_A身体２．５*(1+_11・A夜間)),0)*_11・初任),0)+ROUND((ROUND((_11_B身体２．５＿０．５*(1+_11・B深夜)),0)*_11・初任),0)</f>
        <v>745</v>
      </c>
      <c r="W123" s="48"/>
    </row>
    <row r="124" spans="1:23" ht="16.5" customHeight="1" x14ac:dyDescent="0.15">
      <c r="A124" s="41">
        <v>11</v>
      </c>
      <c r="B124" s="41" t="s">
        <v>1798</v>
      </c>
      <c r="C124" s="74" t="s">
        <v>1799</v>
      </c>
      <c r="D124" s="121"/>
      <c r="E124" s="99"/>
      <c r="F124" s="121"/>
      <c r="G124" s="99"/>
      <c r="H124" s="43"/>
      <c r="I124" s="37"/>
      <c r="J124" s="38"/>
      <c r="K124" s="44" t="s">
        <v>397</v>
      </c>
      <c r="L124" s="45" t="s">
        <v>398</v>
      </c>
      <c r="M124" s="46">
        <v>1</v>
      </c>
      <c r="N124" s="35"/>
      <c r="P124" s="57"/>
      <c r="S124" s="57"/>
      <c r="T124" s="709"/>
      <c r="U124" s="704"/>
      <c r="V124" s="47">
        <f>ROUND((ROUND((ROUND((_11_A身体２．５*_11・２人),0)*(1+_11・A夜間)),0)*_11・初任),0)+ROUND((ROUND((ROUND((_11_B身体２．５＿０．５*_11・２人),0)*(1+_11・B深夜)),0)*_11・初任),0)</f>
        <v>745</v>
      </c>
      <c r="W124" s="48"/>
    </row>
    <row r="125" spans="1:23" ht="16.5" customHeight="1" x14ac:dyDescent="0.15">
      <c r="A125" s="41">
        <v>11</v>
      </c>
      <c r="B125" s="41" t="s">
        <v>1800</v>
      </c>
      <c r="C125" s="74" t="s">
        <v>1801</v>
      </c>
      <c r="D125" s="72"/>
      <c r="E125" s="99"/>
      <c r="F125" s="72"/>
      <c r="G125" s="99"/>
      <c r="H125" s="705" t="s">
        <v>400</v>
      </c>
      <c r="I125" s="49" t="s">
        <v>398</v>
      </c>
      <c r="J125" s="50">
        <v>0.7</v>
      </c>
      <c r="K125" s="44"/>
      <c r="L125" s="45"/>
      <c r="M125" s="46"/>
      <c r="N125" s="35"/>
      <c r="P125" s="57"/>
      <c r="S125" s="57"/>
      <c r="T125" s="709"/>
      <c r="U125" s="704"/>
      <c r="V125" s="47">
        <f>ROUND((ROUND((ROUND((_11_A身体２．５*_11・基礎１),0)*(1+_11・A夜間)),0)*_11・初任),0)+ROUND((ROUND((ROUND((_11_B身体２．５＿０．５*_11・基礎１),0)*(1+_11・B深夜)),0)*_11・初任),0)</f>
        <v>520</v>
      </c>
      <c r="W125" s="48"/>
    </row>
    <row r="126" spans="1:23" ht="16.5" customHeight="1" x14ac:dyDescent="0.15">
      <c r="A126" s="41">
        <v>11</v>
      </c>
      <c r="B126" s="41" t="s">
        <v>1802</v>
      </c>
      <c r="C126" s="74" t="s">
        <v>1803</v>
      </c>
      <c r="D126" s="122"/>
      <c r="E126" s="111"/>
      <c r="F126" s="122"/>
      <c r="G126" s="111"/>
      <c r="H126" s="711"/>
      <c r="I126" s="37"/>
      <c r="J126" s="38"/>
      <c r="K126" s="44" t="s">
        <v>397</v>
      </c>
      <c r="L126" s="45" t="s">
        <v>398</v>
      </c>
      <c r="M126" s="46">
        <v>1</v>
      </c>
      <c r="N126" s="43"/>
      <c r="O126" s="38"/>
      <c r="P126" s="79"/>
      <c r="Q126" s="37"/>
      <c r="R126" s="38"/>
      <c r="S126" s="79"/>
      <c r="T126" s="55" t="s">
        <v>398</v>
      </c>
      <c r="U126" s="38">
        <f>_11・初任</f>
        <v>0.7</v>
      </c>
      <c r="V126" s="47">
        <f>ROUND((ROUND((ROUND((ROUND((_11_A身体２．５*_11・基礎１),0)*_11・２人),0)*(1+_11・A夜間)),0)*_11・初任),0)+ROUND((ROUND((ROUND((ROUND((_11_B身体２．５＿０．５*_11・基礎１),0)*_11・２人),0)*(1+_11・B深夜)),0)*_11・初任),0)</f>
        <v>520</v>
      </c>
      <c r="W126" s="63"/>
    </row>
    <row r="127" spans="1:23" ht="16.5" customHeight="1" x14ac:dyDescent="0.15"/>
    <row r="128" spans="1:23" ht="16.5" customHeight="1" x14ac:dyDescent="0.15"/>
  </sheetData>
  <mergeCells count="69">
    <mergeCell ref="D119:E121"/>
    <mergeCell ref="F119:G121"/>
    <mergeCell ref="H121:H122"/>
    <mergeCell ref="T123:U125"/>
    <mergeCell ref="H125:H126"/>
    <mergeCell ref="T107:U109"/>
    <mergeCell ref="H109:H110"/>
    <mergeCell ref="F111:G113"/>
    <mergeCell ref="H113:H114"/>
    <mergeCell ref="T115:U117"/>
    <mergeCell ref="H117:H118"/>
    <mergeCell ref="F95:G97"/>
    <mergeCell ref="H97:H98"/>
    <mergeCell ref="T99:U101"/>
    <mergeCell ref="H101:H102"/>
    <mergeCell ref="D103:E105"/>
    <mergeCell ref="F103:G105"/>
    <mergeCell ref="H105:H106"/>
    <mergeCell ref="T83:U85"/>
    <mergeCell ref="H85:H86"/>
    <mergeCell ref="F87:G89"/>
    <mergeCell ref="H89:H90"/>
    <mergeCell ref="T91:U93"/>
    <mergeCell ref="H93:H94"/>
    <mergeCell ref="T75:U77"/>
    <mergeCell ref="H77:H78"/>
    <mergeCell ref="D79:E81"/>
    <mergeCell ref="F79:G81"/>
    <mergeCell ref="P80:P81"/>
    <mergeCell ref="S80:S81"/>
    <mergeCell ref="H81:H82"/>
    <mergeCell ref="F63:G65"/>
    <mergeCell ref="H65:H66"/>
    <mergeCell ref="T67:U69"/>
    <mergeCell ref="H69:H70"/>
    <mergeCell ref="F71:G73"/>
    <mergeCell ref="H73:H74"/>
    <mergeCell ref="T51:U53"/>
    <mergeCell ref="H53:H54"/>
    <mergeCell ref="F55:G57"/>
    <mergeCell ref="H57:H58"/>
    <mergeCell ref="T59:U61"/>
    <mergeCell ref="H61:H62"/>
    <mergeCell ref="F39:G41"/>
    <mergeCell ref="H41:H42"/>
    <mergeCell ref="T43:U45"/>
    <mergeCell ref="H45:H46"/>
    <mergeCell ref="D47:E49"/>
    <mergeCell ref="F47:G49"/>
    <mergeCell ref="H49:H50"/>
    <mergeCell ref="T27:U29"/>
    <mergeCell ref="H29:H30"/>
    <mergeCell ref="F31:G33"/>
    <mergeCell ref="H33:H34"/>
    <mergeCell ref="T35:U37"/>
    <mergeCell ref="H37:H38"/>
    <mergeCell ref="F15:G17"/>
    <mergeCell ref="H17:H18"/>
    <mergeCell ref="T19:U21"/>
    <mergeCell ref="H21:H22"/>
    <mergeCell ref="F23:G25"/>
    <mergeCell ref="H25:H26"/>
    <mergeCell ref="T11:U13"/>
    <mergeCell ref="H13:H14"/>
    <mergeCell ref="D7:E9"/>
    <mergeCell ref="F7:G9"/>
    <mergeCell ref="P8:P9"/>
    <mergeCell ref="S8:S9"/>
    <mergeCell ref="H9:H10"/>
  </mergeCells>
  <phoneticPr fontId="1"/>
  <printOptions horizontalCentered="1"/>
  <pageMargins left="0.70866141732283472" right="0.70866141732283472" top="0.74803149606299213" bottom="0.74803149606299213" header="0.31496062992125984" footer="0.31496062992125984"/>
  <pageSetup paperSize="9" scale="50" fitToHeight="0" orientation="portrait" r:id="rId1"/>
  <headerFooter>
    <oddHeader>&amp;R&amp;"ＭＳ Ｐゴシック"&amp;9居宅介護</oddHeader>
    <oddFooter>&amp;C&amp;"ＭＳ Ｐゴシック"&amp;14&amp;P</oddFooter>
  </headerFooter>
  <rowBreaks count="1" manualBreakCount="1">
    <brk id="78" max="22"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9">
    <pageSetUpPr fitToPage="1"/>
  </sheetPr>
  <dimension ref="A1:R55"/>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0.5" style="10" bestFit="1" customWidth="1"/>
    <col min="4" max="4" width="4.875" style="10" customWidth="1"/>
    <col min="5" max="5" width="4.875" style="12" customWidth="1"/>
    <col min="6" max="6" width="12.875" style="12" customWidth="1"/>
    <col min="7" max="7" width="2.5" style="12" customWidth="1"/>
    <col min="8" max="8" width="4.5" style="13" bestFit="1" customWidth="1"/>
    <col min="9" max="9" width="26" style="12" customWidth="1"/>
    <col min="10" max="10" width="2.5" style="12" customWidth="1"/>
    <col min="11" max="11" width="5.5" style="13" bestFit="1" customWidth="1"/>
    <col min="12" max="12" width="2.5" style="12" customWidth="1"/>
    <col min="13" max="13" width="3.875" style="12" customWidth="1"/>
    <col min="14" max="14" width="4.5" style="13" bestFit="1" customWidth="1"/>
    <col min="15" max="15" width="9.875" style="12" customWidth="1"/>
    <col min="16" max="16" width="4.5" style="13" bestFit="1" customWidth="1"/>
    <col min="17" max="17" width="7.125" style="206" customWidth="1"/>
    <col min="18" max="18" width="8.5" style="16" customWidth="1"/>
    <col min="19" max="16384" width="8.875" style="12"/>
  </cols>
  <sheetData>
    <row r="1" spans="1:18" ht="17.100000000000001" customHeight="1" x14ac:dyDescent="0.15"/>
    <row r="2" spans="1:18" ht="17.100000000000001" customHeight="1" x14ac:dyDescent="0.15"/>
    <row r="3" spans="1:18" ht="17.100000000000001" customHeight="1" x14ac:dyDescent="0.15"/>
    <row r="4" spans="1:18" ht="17.100000000000001" customHeight="1" x14ac:dyDescent="0.15">
      <c r="B4" s="17" t="s">
        <v>15456</v>
      </c>
      <c r="D4" s="71"/>
    </row>
    <row r="5" spans="1:18" ht="16.5" customHeight="1" x14ac:dyDescent="0.15">
      <c r="A5" s="19" t="s">
        <v>384</v>
      </c>
      <c r="B5" s="20"/>
      <c r="C5" s="21" t="s">
        <v>385</v>
      </c>
      <c r="D5" s="23" t="s">
        <v>386</v>
      </c>
      <c r="E5" s="23"/>
      <c r="F5" s="23"/>
      <c r="G5" s="23"/>
      <c r="H5" s="24"/>
      <c r="I5" s="23"/>
      <c r="J5" s="23"/>
      <c r="K5" s="24"/>
      <c r="L5" s="23"/>
      <c r="M5" s="23"/>
      <c r="N5" s="24"/>
      <c r="O5" s="23"/>
      <c r="P5" s="24"/>
      <c r="Q5" s="21" t="s">
        <v>387</v>
      </c>
      <c r="R5" s="21" t="s">
        <v>388</v>
      </c>
    </row>
    <row r="6" spans="1:18" ht="16.5" customHeight="1" x14ac:dyDescent="0.15">
      <c r="A6" s="26" t="s">
        <v>389</v>
      </c>
      <c r="B6" s="26" t="s">
        <v>390</v>
      </c>
      <c r="C6" s="27"/>
      <c r="D6" s="29"/>
      <c r="E6" s="29"/>
      <c r="F6" s="29"/>
      <c r="G6" s="29"/>
      <c r="H6" s="30"/>
      <c r="I6" s="29"/>
      <c r="J6" s="29"/>
      <c r="K6" s="30"/>
      <c r="L6" s="29"/>
      <c r="M6" s="29"/>
      <c r="N6" s="30"/>
      <c r="O6" s="29"/>
      <c r="P6" s="30"/>
      <c r="Q6" s="32" t="s">
        <v>391</v>
      </c>
      <c r="R6" s="32" t="s">
        <v>392</v>
      </c>
    </row>
    <row r="7" spans="1:18" ht="16.5" customHeight="1" x14ac:dyDescent="0.15">
      <c r="A7" s="33">
        <v>11</v>
      </c>
      <c r="B7" s="33">
        <v>8111</v>
      </c>
      <c r="C7" s="34" t="s">
        <v>15457</v>
      </c>
      <c r="D7" s="709" t="s">
        <v>15458</v>
      </c>
      <c r="E7" s="796"/>
      <c r="F7" s="35"/>
      <c r="I7" s="43"/>
      <c r="J7" s="37"/>
      <c r="K7" s="38"/>
      <c r="L7" s="35"/>
      <c r="N7" s="234"/>
      <c r="O7" s="35"/>
      <c r="P7" s="234"/>
      <c r="Q7" s="207">
        <f>_11_A通院乗降</f>
        <v>101</v>
      </c>
      <c r="R7" s="40" t="s">
        <v>395</v>
      </c>
    </row>
    <row r="8" spans="1:18" ht="16.5" customHeight="1" x14ac:dyDescent="0.15">
      <c r="A8" s="41">
        <v>11</v>
      </c>
      <c r="B8" s="41">
        <v>8112</v>
      </c>
      <c r="C8" s="74" t="s">
        <v>15459</v>
      </c>
      <c r="D8" s="799"/>
      <c r="E8" s="796"/>
      <c r="F8" s="43"/>
      <c r="G8" s="37"/>
      <c r="H8" s="38"/>
      <c r="I8" s="299" t="s">
        <v>397</v>
      </c>
      <c r="J8" s="218" t="s">
        <v>398</v>
      </c>
      <c r="K8" s="46">
        <v>1</v>
      </c>
      <c r="L8" s="35"/>
      <c r="N8" s="234"/>
      <c r="O8" s="35"/>
      <c r="P8" s="234"/>
      <c r="Q8" s="208">
        <f>ROUND((_11_A通院乗降*_11・２人),0)</f>
        <v>101</v>
      </c>
      <c r="R8" s="48"/>
    </row>
    <row r="9" spans="1:18" ht="16.5" customHeight="1" x14ac:dyDescent="0.15">
      <c r="A9" s="41">
        <v>11</v>
      </c>
      <c r="B9" s="41">
        <v>8113</v>
      </c>
      <c r="C9" s="74" t="s">
        <v>15460</v>
      </c>
      <c r="D9" s="799"/>
      <c r="E9" s="796"/>
      <c r="F9" s="752" t="s">
        <v>400</v>
      </c>
      <c r="G9" s="219" t="s">
        <v>398</v>
      </c>
      <c r="H9" s="50">
        <v>0.9</v>
      </c>
      <c r="I9" s="163"/>
      <c r="J9" s="45"/>
      <c r="K9" s="46"/>
      <c r="L9" s="35"/>
      <c r="N9" s="234"/>
      <c r="O9" s="35"/>
      <c r="P9" s="234"/>
      <c r="Q9" s="208">
        <f>ROUND((_11_A通院乗降*_11・基礎２),0)</f>
        <v>91</v>
      </c>
      <c r="R9" s="48"/>
    </row>
    <row r="10" spans="1:18" ht="16.5" customHeight="1" x14ac:dyDescent="0.15">
      <c r="A10" s="41">
        <v>11</v>
      </c>
      <c r="B10" s="41">
        <v>8114</v>
      </c>
      <c r="C10" s="74" t="s">
        <v>15461</v>
      </c>
      <c r="D10" s="274">
        <f>_11_A通院乗降</f>
        <v>101</v>
      </c>
      <c r="E10" s="10" t="s">
        <v>392</v>
      </c>
      <c r="F10" s="800"/>
      <c r="G10" s="37"/>
      <c r="H10" s="38"/>
      <c r="I10" s="299" t="s">
        <v>397</v>
      </c>
      <c r="J10" s="218" t="s">
        <v>398</v>
      </c>
      <c r="K10" s="46">
        <v>1</v>
      </c>
      <c r="L10" s="35"/>
      <c r="N10" s="234"/>
      <c r="O10" s="35"/>
      <c r="P10" s="234"/>
      <c r="Q10" s="208">
        <f>ROUND((ROUND((_11_A通院乗降*_11・基礎２),0)*_11・２人),0)</f>
        <v>91</v>
      </c>
      <c r="R10" s="48"/>
    </row>
    <row r="11" spans="1:18" ht="16.5" customHeight="1" x14ac:dyDescent="0.15">
      <c r="A11" s="41">
        <v>11</v>
      </c>
      <c r="B11" s="41" t="s">
        <v>15462</v>
      </c>
      <c r="C11" s="74" t="s">
        <v>15463</v>
      </c>
      <c r="D11" s="72"/>
      <c r="F11" s="53"/>
      <c r="G11" s="49"/>
      <c r="H11" s="50"/>
      <c r="I11" s="163"/>
      <c r="J11" s="45"/>
      <c r="K11" s="46"/>
      <c r="L11" s="35"/>
      <c r="O11" s="707" t="s">
        <v>404</v>
      </c>
      <c r="P11" s="708"/>
      <c r="Q11" s="208">
        <f>ROUND((_11_A通院乗降*_11・初任),0)</f>
        <v>71</v>
      </c>
      <c r="R11" s="48"/>
    </row>
    <row r="12" spans="1:18" ht="16.5" customHeight="1" x14ac:dyDescent="0.15">
      <c r="A12" s="41">
        <v>11</v>
      </c>
      <c r="B12" s="41" t="s">
        <v>15464</v>
      </c>
      <c r="C12" s="74" t="s">
        <v>15465</v>
      </c>
      <c r="D12" s="72"/>
      <c r="F12" s="43"/>
      <c r="G12" s="37"/>
      <c r="H12" s="38"/>
      <c r="I12" s="299" t="s">
        <v>397</v>
      </c>
      <c r="J12" s="218" t="s">
        <v>398</v>
      </c>
      <c r="K12" s="46">
        <v>1</v>
      </c>
      <c r="L12" s="35"/>
      <c r="O12" s="709"/>
      <c r="P12" s="704"/>
      <c r="Q12" s="208">
        <f>ROUND((ROUND((_11_A通院乗降*_11・２人),0)*_11・初任),0)</f>
        <v>71</v>
      </c>
      <c r="R12" s="48"/>
    </row>
    <row r="13" spans="1:18" ht="16.5" customHeight="1" x14ac:dyDescent="0.15">
      <c r="A13" s="41">
        <v>11</v>
      </c>
      <c r="B13" s="41" t="s">
        <v>15466</v>
      </c>
      <c r="C13" s="74" t="s">
        <v>15467</v>
      </c>
      <c r="D13" s="72"/>
      <c r="F13" s="755" t="s">
        <v>400</v>
      </c>
      <c r="G13" s="219" t="s">
        <v>398</v>
      </c>
      <c r="H13" s="50">
        <v>0.9</v>
      </c>
      <c r="I13" s="163"/>
      <c r="J13" s="45"/>
      <c r="K13" s="46"/>
      <c r="L13" s="35"/>
      <c r="O13" s="709"/>
      <c r="P13" s="704"/>
      <c r="Q13" s="208">
        <f>ROUND((ROUND((_11_A通院乗降*_11・基礎２),0)*_11・初任),0)</f>
        <v>64</v>
      </c>
      <c r="R13" s="48"/>
    </row>
    <row r="14" spans="1:18" ht="16.5" customHeight="1" x14ac:dyDescent="0.15">
      <c r="A14" s="41">
        <v>11</v>
      </c>
      <c r="B14" s="41" t="s">
        <v>15468</v>
      </c>
      <c r="C14" s="74" t="s">
        <v>15469</v>
      </c>
      <c r="D14" s="122"/>
      <c r="E14" s="37"/>
      <c r="F14" s="800"/>
      <c r="G14" s="37"/>
      <c r="H14" s="38"/>
      <c r="I14" s="299" t="s">
        <v>397</v>
      </c>
      <c r="J14" s="218" t="s">
        <v>398</v>
      </c>
      <c r="K14" s="46">
        <v>1</v>
      </c>
      <c r="L14" s="43"/>
      <c r="M14" s="37"/>
      <c r="N14" s="38"/>
      <c r="O14" s="240" t="s">
        <v>398</v>
      </c>
      <c r="P14" s="38">
        <f>_11・初任</f>
        <v>0.7</v>
      </c>
      <c r="Q14" s="208">
        <f>ROUND((ROUND((ROUND((_11_A通院乗降*_11・基礎２),0)*_11・２人),0)*_11・初任),0)</f>
        <v>64</v>
      </c>
      <c r="R14" s="63"/>
    </row>
    <row r="15" spans="1:18" ht="16.5" customHeight="1" x14ac:dyDescent="0.15">
      <c r="A15" s="80"/>
      <c r="B15" s="80"/>
      <c r="C15" s="81"/>
      <c r="Q15" s="209"/>
      <c r="R15" s="85"/>
    </row>
    <row r="16" spans="1:18" ht="16.5" customHeight="1" x14ac:dyDescent="0.15">
      <c r="A16" s="80"/>
      <c r="B16" s="80"/>
      <c r="C16" s="81"/>
      <c r="Q16" s="209"/>
      <c r="R16" s="85"/>
    </row>
    <row r="17" spans="1:18" ht="16.5" customHeight="1" x14ac:dyDescent="0.15">
      <c r="A17" s="80"/>
      <c r="B17" s="86" t="s">
        <v>15470</v>
      </c>
      <c r="C17" s="81"/>
      <c r="D17" s="71"/>
      <c r="Q17" s="209"/>
      <c r="R17" s="85"/>
    </row>
    <row r="18" spans="1:18" ht="16.5" customHeight="1" x14ac:dyDescent="0.15">
      <c r="A18" s="87" t="s">
        <v>384</v>
      </c>
      <c r="B18" s="20"/>
      <c r="C18" s="88" t="s">
        <v>385</v>
      </c>
      <c r="D18" s="23" t="s">
        <v>386</v>
      </c>
      <c r="E18" s="23"/>
      <c r="F18" s="23"/>
      <c r="G18" s="23"/>
      <c r="H18" s="24"/>
      <c r="I18" s="23"/>
      <c r="J18" s="23"/>
      <c r="K18" s="24"/>
      <c r="L18" s="23"/>
      <c r="M18" s="23"/>
      <c r="N18" s="24"/>
      <c r="O18" s="23"/>
      <c r="P18" s="24"/>
      <c r="Q18" s="21" t="s">
        <v>387</v>
      </c>
      <c r="R18" s="21" t="s">
        <v>388</v>
      </c>
    </row>
    <row r="19" spans="1:18" ht="16.5" customHeight="1" x14ac:dyDescent="0.15">
      <c r="A19" s="26" t="s">
        <v>389</v>
      </c>
      <c r="B19" s="26" t="s">
        <v>390</v>
      </c>
      <c r="C19" s="89"/>
      <c r="D19" s="29"/>
      <c r="E19" s="29"/>
      <c r="F19" s="29"/>
      <c r="G19" s="29"/>
      <c r="H19" s="30"/>
      <c r="I19" s="29"/>
      <c r="J19" s="29"/>
      <c r="K19" s="30"/>
      <c r="L19" s="29"/>
      <c r="M19" s="29"/>
      <c r="N19" s="30"/>
      <c r="O19" s="29"/>
      <c r="P19" s="30"/>
      <c r="Q19" s="32" t="s">
        <v>391</v>
      </c>
      <c r="R19" s="32" t="s">
        <v>392</v>
      </c>
    </row>
    <row r="20" spans="1:18" ht="16.5" customHeight="1" x14ac:dyDescent="0.15">
      <c r="A20" s="33">
        <v>11</v>
      </c>
      <c r="B20" s="33">
        <v>8115</v>
      </c>
      <c r="C20" s="34" t="s">
        <v>15471</v>
      </c>
      <c r="D20" s="709" t="s">
        <v>15472</v>
      </c>
      <c r="E20" s="796"/>
      <c r="F20" s="35"/>
      <c r="I20" s="43"/>
      <c r="J20" s="37"/>
      <c r="K20" s="38"/>
      <c r="L20" s="72" t="s">
        <v>674</v>
      </c>
      <c r="O20" s="35"/>
      <c r="P20" s="234"/>
      <c r="Q20" s="207">
        <f>ROUND((_11_A通院乗降*(1+_11・A早朝)),0)</f>
        <v>126</v>
      </c>
      <c r="R20" s="40" t="s">
        <v>395</v>
      </c>
    </row>
    <row r="21" spans="1:18" ht="16.5" customHeight="1" x14ac:dyDescent="0.15">
      <c r="A21" s="41">
        <v>11</v>
      </c>
      <c r="B21" s="41">
        <v>8116</v>
      </c>
      <c r="C21" s="74" t="s">
        <v>15473</v>
      </c>
      <c r="D21" s="799"/>
      <c r="E21" s="796"/>
      <c r="F21" s="43"/>
      <c r="G21" s="37"/>
      <c r="H21" s="38"/>
      <c r="I21" s="299" t="s">
        <v>397</v>
      </c>
      <c r="J21" s="218" t="s">
        <v>398</v>
      </c>
      <c r="K21" s="46">
        <v>1</v>
      </c>
      <c r="L21" s="257" t="s">
        <v>398</v>
      </c>
      <c r="M21" s="13">
        <v>0.25</v>
      </c>
      <c r="N21" s="704" t="s">
        <v>676</v>
      </c>
      <c r="O21" s="35"/>
      <c r="P21" s="234"/>
      <c r="Q21" s="208">
        <f>ROUND((ROUND((_11_A通院乗降*_11・２人),0)*(1+_11・A早朝)),0)</f>
        <v>126</v>
      </c>
      <c r="R21" s="48"/>
    </row>
    <row r="22" spans="1:18" ht="16.5" customHeight="1" x14ac:dyDescent="0.15">
      <c r="A22" s="41">
        <v>11</v>
      </c>
      <c r="B22" s="41">
        <v>8117</v>
      </c>
      <c r="C22" s="74" t="s">
        <v>15474</v>
      </c>
      <c r="D22" s="799"/>
      <c r="E22" s="796"/>
      <c r="F22" s="752" t="s">
        <v>400</v>
      </c>
      <c r="G22" s="219" t="s">
        <v>398</v>
      </c>
      <c r="H22" s="50">
        <v>0.9</v>
      </c>
      <c r="I22" s="163"/>
      <c r="J22" s="45"/>
      <c r="K22" s="46"/>
      <c r="L22" s="35"/>
      <c r="N22" s="797"/>
      <c r="O22" s="35"/>
      <c r="P22" s="234"/>
      <c r="Q22" s="208">
        <f>ROUND((ROUND((_11_A通院乗降*_11・基礎２),0)*(1+_11・A早朝)),0)</f>
        <v>114</v>
      </c>
      <c r="R22" s="48"/>
    </row>
    <row r="23" spans="1:18" ht="16.5" customHeight="1" x14ac:dyDescent="0.15">
      <c r="A23" s="41">
        <v>11</v>
      </c>
      <c r="B23" s="41">
        <v>8118</v>
      </c>
      <c r="C23" s="74" t="s">
        <v>15475</v>
      </c>
      <c r="D23" s="274">
        <f>_11_A通院乗降</f>
        <v>101</v>
      </c>
      <c r="E23" s="254" t="s">
        <v>392</v>
      </c>
      <c r="F23" s="800"/>
      <c r="G23" s="37"/>
      <c r="H23" s="38"/>
      <c r="I23" s="299" t="s">
        <v>397</v>
      </c>
      <c r="J23" s="218" t="s">
        <v>398</v>
      </c>
      <c r="K23" s="46">
        <v>1</v>
      </c>
      <c r="L23" s="35"/>
      <c r="O23" s="35"/>
      <c r="P23" s="234"/>
      <c r="Q23" s="208">
        <f>ROUND((ROUND((ROUND((_11_A通院乗降*_11・基礎２),0)*_11・２人),0)*(1+_11・A早朝)),0)</f>
        <v>114</v>
      </c>
      <c r="R23" s="48"/>
    </row>
    <row r="24" spans="1:18" ht="16.5" customHeight="1" x14ac:dyDescent="0.15">
      <c r="A24" s="41">
        <v>11</v>
      </c>
      <c r="B24" s="41" t="s">
        <v>15476</v>
      </c>
      <c r="C24" s="74" t="s">
        <v>15477</v>
      </c>
      <c r="D24" s="72"/>
      <c r="F24" s="53"/>
      <c r="G24" s="49"/>
      <c r="H24" s="50"/>
      <c r="I24" s="163"/>
      <c r="J24" s="45"/>
      <c r="K24" s="46"/>
      <c r="L24" s="35"/>
      <c r="O24" s="707" t="s">
        <v>404</v>
      </c>
      <c r="P24" s="708"/>
      <c r="Q24" s="208">
        <f>ROUND((ROUND((_11_A通院乗降*(1+_11・A早朝)),0)*_11・初任),0)</f>
        <v>88</v>
      </c>
      <c r="R24" s="48"/>
    </row>
    <row r="25" spans="1:18" ht="16.5" customHeight="1" x14ac:dyDescent="0.15">
      <c r="A25" s="41">
        <v>11</v>
      </c>
      <c r="B25" s="41" t="s">
        <v>15478</v>
      </c>
      <c r="C25" s="74" t="s">
        <v>15479</v>
      </c>
      <c r="D25" s="72"/>
      <c r="F25" s="43"/>
      <c r="G25" s="37"/>
      <c r="H25" s="38"/>
      <c r="I25" s="299" t="s">
        <v>397</v>
      </c>
      <c r="J25" s="218" t="s">
        <v>398</v>
      </c>
      <c r="K25" s="46">
        <v>1</v>
      </c>
      <c r="L25" s="35"/>
      <c r="O25" s="709"/>
      <c r="P25" s="704"/>
      <c r="Q25" s="208">
        <f>ROUND((ROUND((ROUND((_11_A通院乗降*_11・２人),0)*(1+_11・A早朝)),0)*_11・初任),0)</f>
        <v>88</v>
      </c>
      <c r="R25" s="48"/>
    </row>
    <row r="26" spans="1:18" ht="16.5" customHeight="1" x14ac:dyDescent="0.15">
      <c r="A26" s="41">
        <v>11</v>
      </c>
      <c r="B26" s="41" t="s">
        <v>15480</v>
      </c>
      <c r="C26" s="74" t="s">
        <v>15481</v>
      </c>
      <c r="D26" s="72"/>
      <c r="F26" s="755" t="s">
        <v>400</v>
      </c>
      <c r="G26" s="219" t="s">
        <v>398</v>
      </c>
      <c r="H26" s="50">
        <v>0.9</v>
      </c>
      <c r="I26" s="163"/>
      <c r="J26" s="45"/>
      <c r="K26" s="46"/>
      <c r="L26" s="35"/>
      <c r="O26" s="709"/>
      <c r="P26" s="704"/>
      <c r="Q26" s="208">
        <f>ROUND((ROUND((ROUND((_11_A通院乗降*_11・基礎２),0)*(1+_11・A早朝)),0)*_11・初任),0)</f>
        <v>80</v>
      </c>
      <c r="R26" s="48"/>
    </row>
    <row r="27" spans="1:18" ht="16.5" customHeight="1" x14ac:dyDescent="0.15">
      <c r="A27" s="41">
        <v>11</v>
      </c>
      <c r="B27" s="41" t="s">
        <v>15482</v>
      </c>
      <c r="C27" s="74" t="s">
        <v>15483</v>
      </c>
      <c r="D27" s="122"/>
      <c r="E27" s="37"/>
      <c r="F27" s="800"/>
      <c r="G27" s="37"/>
      <c r="H27" s="38"/>
      <c r="I27" s="299" t="s">
        <v>397</v>
      </c>
      <c r="J27" s="218" t="s">
        <v>398</v>
      </c>
      <c r="K27" s="46">
        <v>1</v>
      </c>
      <c r="L27" s="43"/>
      <c r="M27" s="37"/>
      <c r="N27" s="38"/>
      <c r="O27" s="240" t="s">
        <v>398</v>
      </c>
      <c r="P27" s="38">
        <f>_11・初任</f>
        <v>0.7</v>
      </c>
      <c r="Q27" s="208">
        <f>ROUND((ROUND((ROUND((ROUND((_11_A通院乗降*_11・基礎２),0)*_11・２人),0)*(1+_11・A早朝)),0)*_11・初任),0)</f>
        <v>80</v>
      </c>
      <c r="R27" s="63"/>
    </row>
    <row r="28" spans="1:18" ht="16.5" customHeight="1" x14ac:dyDescent="0.15">
      <c r="A28" s="80"/>
      <c r="B28" s="80"/>
      <c r="C28" s="81"/>
      <c r="Q28" s="209"/>
      <c r="R28" s="85"/>
    </row>
    <row r="29" spans="1:18" ht="16.5" customHeight="1" x14ac:dyDescent="0.15">
      <c r="A29" s="80"/>
      <c r="B29" s="80"/>
      <c r="C29" s="81"/>
      <c r="Q29" s="209"/>
      <c r="R29" s="85"/>
    </row>
    <row r="30" spans="1:18" ht="16.5" customHeight="1" x14ac:dyDescent="0.15">
      <c r="A30" s="80"/>
      <c r="B30" s="86" t="s">
        <v>15484</v>
      </c>
      <c r="C30" s="81"/>
      <c r="D30" s="71"/>
      <c r="Q30" s="209"/>
      <c r="R30" s="85"/>
    </row>
    <row r="31" spans="1:18" ht="16.5" customHeight="1" x14ac:dyDescent="0.15">
      <c r="A31" s="87" t="s">
        <v>384</v>
      </c>
      <c r="B31" s="20"/>
      <c r="C31" s="88" t="s">
        <v>385</v>
      </c>
      <c r="D31" s="23" t="s">
        <v>386</v>
      </c>
      <c r="E31" s="23"/>
      <c r="F31" s="23"/>
      <c r="G31" s="23"/>
      <c r="H31" s="24"/>
      <c r="I31" s="23"/>
      <c r="J31" s="23"/>
      <c r="K31" s="24"/>
      <c r="L31" s="23"/>
      <c r="M31" s="23"/>
      <c r="N31" s="24"/>
      <c r="O31" s="23"/>
      <c r="P31" s="24"/>
      <c r="Q31" s="21" t="s">
        <v>387</v>
      </c>
      <c r="R31" s="21" t="s">
        <v>388</v>
      </c>
    </row>
    <row r="32" spans="1:18" ht="16.5" customHeight="1" x14ac:dyDescent="0.15">
      <c r="A32" s="26" t="s">
        <v>389</v>
      </c>
      <c r="B32" s="26" t="s">
        <v>390</v>
      </c>
      <c r="C32" s="89"/>
      <c r="D32" s="29"/>
      <c r="E32" s="29"/>
      <c r="F32" s="29"/>
      <c r="G32" s="29"/>
      <c r="H32" s="30"/>
      <c r="I32" s="29"/>
      <c r="J32" s="29"/>
      <c r="K32" s="30"/>
      <c r="L32" s="29"/>
      <c r="M32" s="29"/>
      <c r="N32" s="30"/>
      <c r="O32" s="29"/>
      <c r="P32" s="30"/>
      <c r="Q32" s="32" t="s">
        <v>391</v>
      </c>
      <c r="R32" s="32" t="s">
        <v>392</v>
      </c>
    </row>
    <row r="33" spans="1:18" ht="16.5" customHeight="1" x14ac:dyDescent="0.15">
      <c r="A33" s="33">
        <v>11</v>
      </c>
      <c r="B33" s="33">
        <v>8119</v>
      </c>
      <c r="C33" s="34" t="s">
        <v>15485</v>
      </c>
      <c r="D33" s="709" t="s">
        <v>15486</v>
      </c>
      <c r="E33" s="796"/>
      <c r="F33" s="35"/>
      <c r="I33" s="43"/>
      <c r="J33" s="37"/>
      <c r="K33" s="38"/>
      <c r="L33" s="92" t="s">
        <v>743</v>
      </c>
      <c r="O33" s="35"/>
      <c r="P33" s="234"/>
      <c r="Q33" s="207">
        <f>ROUND((_11_A通院乗降*(1+_11・A夜間)),0)</f>
        <v>126</v>
      </c>
      <c r="R33" s="40" t="s">
        <v>395</v>
      </c>
    </row>
    <row r="34" spans="1:18" ht="16.5" customHeight="1" x14ac:dyDescent="0.15">
      <c r="A34" s="41">
        <v>11</v>
      </c>
      <c r="B34" s="41">
        <v>8120</v>
      </c>
      <c r="C34" s="74" t="s">
        <v>15487</v>
      </c>
      <c r="D34" s="799"/>
      <c r="E34" s="796"/>
      <c r="F34" s="43"/>
      <c r="G34" s="37"/>
      <c r="H34" s="38"/>
      <c r="I34" s="299" t="s">
        <v>397</v>
      </c>
      <c r="J34" s="218" t="s">
        <v>398</v>
      </c>
      <c r="K34" s="46">
        <v>1</v>
      </c>
      <c r="L34" s="257" t="s">
        <v>398</v>
      </c>
      <c r="M34" s="13">
        <v>0.25</v>
      </c>
      <c r="N34" s="704" t="s">
        <v>676</v>
      </c>
      <c r="O34" s="35"/>
      <c r="P34" s="234"/>
      <c r="Q34" s="208">
        <f>ROUND((ROUND((_11_A通院乗降*_11・２人),0)*(1+_11・A夜間)),0)</f>
        <v>126</v>
      </c>
      <c r="R34" s="48"/>
    </row>
    <row r="35" spans="1:18" ht="16.5" customHeight="1" x14ac:dyDescent="0.15">
      <c r="A35" s="41">
        <v>11</v>
      </c>
      <c r="B35" s="41">
        <v>8121</v>
      </c>
      <c r="C35" s="74" t="s">
        <v>15488</v>
      </c>
      <c r="D35" s="799"/>
      <c r="E35" s="796"/>
      <c r="F35" s="752" t="s">
        <v>400</v>
      </c>
      <c r="G35" s="219" t="s">
        <v>398</v>
      </c>
      <c r="H35" s="50">
        <v>0.9</v>
      </c>
      <c r="I35" s="163"/>
      <c r="J35" s="45"/>
      <c r="K35" s="46"/>
      <c r="L35" s="35"/>
      <c r="N35" s="797"/>
      <c r="O35" s="35"/>
      <c r="P35" s="234"/>
      <c r="Q35" s="208">
        <f>ROUND((ROUND((_11_A通院乗降*_11・基礎２),0)*(1+_11・A夜間)),0)</f>
        <v>114</v>
      </c>
      <c r="R35" s="48"/>
    </row>
    <row r="36" spans="1:18" ht="16.5" customHeight="1" x14ac:dyDescent="0.15">
      <c r="A36" s="41">
        <v>11</v>
      </c>
      <c r="B36" s="41">
        <v>8122</v>
      </c>
      <c r="C36" s="74" t="s">
        <v>15489</v>
      </c>
      <c r="D36" s="274">
        <f>_11_A通院乗降</f>
        <v>101</v>
      </c>
      <c r="E36" s="254" t="s">
        <v>392</v>
      </c>
      <c r="F36" s="827"/>
      <c r="G36" s="37"/>
      <c r="H36" s="38"/>
      <c r="I36" s="299" t="s">
        <v>397</v>
      </c>
      <c r="J36" s="218" t="s">
        <v>398</v>
      </c>
      <c r="K36" s="46">
        <v>1</v>
      </c>
      <c r="L36" s="35"/>
      <c r="O36" s="35"/>
      <c r="P36" s="234"/>
      <c r="Q36" s="208">
        <f>ROUND((ROUND((ROUND((_11_A通院乗降*_11・基礎２),0)*_11・２人),0)*(1+_11・A夜間)),0)</f>
        <v>114</v>
      </c>
      <c r="R36" s="48"/>
    </row>
    <row r="37" spans="1:18" ht="16.5" customHeight="1" x14ac:dyDescent="0.15">
      <c r="A37" s="41">
        <v>11</v>
      </c>
      <c r="B37" s="41" t="s">
        <v>15490</v>
      </c>
      <c r="C37" s="74" t="s">
        <v>15491</v>
      </c>
      <c r="D37" s="72"/>
      <c r="F37" s="53"/>
      <c r="G37" s="49"/>
      <c r="H37" s="50"/>
      <c r="I37" s="163"/>
      <c r="J37" s="45"/>
      <c r="K37" s="46"/>
      <c r="L37" s="35"/>
      <c r="O37" s="707" t="s">
        <v>404</v>
      </c>
      <c r="P37" s="708"/>
      <c r="Q37" s="208">
        <f>ROUND((ROUND((_11_A通院乗降*(1+_11・A夜間)),0)*_11・初任),0)</f>
        <v>88</v>
      </c>
      <c r="R37" s="48"/>
    </row>
    <row r="38" spans="1:18" ht="16.5" customHeight="1" x14ac:dyDescent="0.15">
      <c r="A38" s="41">
        <v>11</v>
      </c>
      <c r="B38" s="41" t="s">
        <v>15492</v>
      </c>
      <c r="C38" s="74" t="s">
        <v>15493</v>
      </c>
      <c r="D38" s="72"/>
      <c r="F38" s="43"/>
      <c r="G38" s="37"/>
      <c r="H38" s="38"/>
      <c r="I38" s="299" t="s">
        <v>397</v>
      </c>
      <c r="J38" s="218" t="s">
        <v>398</v>
      </c>
      <c r="K38" s="46">
        <v>1</v>
      </c>
      <c r="L38" s="35"/>
      <c r="O38" s="709"/>
      <c r="P38" s="704"/>
      <c r="Q38" s="208">
        <f>ROUND((ROUND((ROUND((_11_A通院乗降*_11・２人),0)*(1+_11・A夜間)),0)*_11・初任),0)</f>
        <v>88</v>
      </c>
      <c r="R38" s="48"/>
    </row>
    <row r="39" spans="1:18" ht="16.5" customHeight="1" x14ac:dyDescent="0.15">
      <c r="A39" s="41">
        <v>11</v>
      </c>
      <c r="B39" s="41" t="s">
        <v>15494</v>
      </c>
      <c r="C39" s="74" t="s">
        <v>15495</v>
      </c>
      <c r="D39" s="72"/>
      <c r="F39" s="755" t="s">
        <v>400</v>
      </c>
      <c r="G39" s="219" t="s">
        <v>398</v>
      </c>
      <c r="H39" s="50">
        <v>0.9</v>
      </c>
      <c r="I39" s="163"/>
      <c r="J39" s="45"/>
      <c r="K39" s="46"/>
      <c r="L39" s="35"/>
      <c r="O39" s="709"/>
      <c r="P39" s="704"/>
      <c r="Q39" s="208">
        <f>ROUND((ROUND((ROUND((_11_A通院乗降*_11・基礎２),0)*(1+_11・A夜間)),0)*_11・初任),0)</f>
        <v>80</v>
      </c>
      <c r="R39" s="48"/>
    </row>
    <row r="40" spans="1:18" ht="16.5" customHeight="1" x14ac:dyDescent="0.15">
      <c r="A40" s="41">
        <v>11</v>
      </c>
      <c r="B40" s="41" t="s">
        <v>15496</v>
      </c>
      <c r="C40" s="74" t="s">
        <v>15497</v>
      </c>
      <c r="D40" s="122"/>
      <c r="E40" s="37"/>
      <c r="F40" s="800"/>
      <c r="G40" s="37"/>
      <c r="H40" s="38"/>
      <c r="I40" s="299" t="s">
        <v>397</v>
      </c>
      <c r="J40" s="218" t="s">
        <v>398</v>
      </c>
      <c r="K40" s="46">
        <v>1</v>
      </c>
      <c r="L40" s="43"/>
      <c r="M40" s="37"/>
      <c r="N40" s="38"/>
      <c r="O40" s="240" t="s">
        <v>398</v>
      </c>
      <c r="P40" s="38">
        <f>_11・初任</f>
        <v>0.7</v>
      </c>
      <c r="Q40" s="208">
        <f>ROUND((ROUND((ROUND((ROUND((_11_A通院乗降*_11・基礎２),0)*_11・２人),0)*(1+_11・A夜間)),0)*_11・初任),0)</f>
        <v>80</v>
      </c>
      <c r="R40" s="63"/>
    </row>
    <row r="41" spans="1:18" ht="16.5" customHeight="1" x14ac:dyDescent="0.15">
      <c r="A41" s="80"/>
      <c r="B41" s="80"/>
      <c r="C41" s="81"/>
      <c r="Q41" s="209"/>
      <c r="R41" s="85"/>
    </row>
    <row r="42" spans="1:18" ht="16.5" customHeight="1" x14ac:dyDescent="0.15">
      <c r="A42" s="80"/>
      <c r="B42" s="80"/>
      <c r="C42" s="81"/>
      <c r="Q42" s="209"/>
      <c r="R42" s="85"/>
    </row>
    <row r="43" spans="1:18" ht="16.5" customHeight="1" x14ac:dyDescent="0.15">
      <c r="A43" s="80"/>
      <c r="B43" s="86" t="s">
        <v>15498</v>
      </c>
      <c r="C43" s="81"/>
      <c r="D43" s="71"/>
      <c r="Q43" s="209"/>
      <c r="R43" s="85"/>
    </row>
    <row r="44" spans="1:18" ht="16.5" customHeight="1" x14ac:dyDescent="0.15">
      <c r="A44" s="87" t="s">
        <v>384</v>
      </c>
      <c r="B44" s="20"/>
      <c r="C44" s="88" t="s">
        <v>385</v>
      </c>
      <c r="D44" s="23" t="s">
        <v>386</v>
      </c>
      <c r="E44" s="23"/>
      <c r="F44" s="23"/>
      <c r="G44" s="23"/>
      <c r="H44" s="24"/>
      <c r="I44" s="23"/>
      <c r="J44" s="23"/>
      <c r="K44" s="24"/>
      <c r="L44" s="23"/>
      <c r="M44" s="23"/>
      <c r="N44" s="24"/>
      <c r="O44" s="23"/>
      <c r="P44" s="24"/>
      <c r="Q44" s="21" t="s">
        <v>387</v>
      </c>
      <c r="R44" s="21" t="s">
        <v>388</v>
      </c>
    </row>
    <row r="45" spans="1:18" ht="16.5" customHeight="1" x14ac:dyDescent="0.15">
      <c r="A45" s="26" t="s">
        <v>389</v>
      </c>
      <c r="B45" s="26" t="s">
        <v>390</v>
      </c>
      <c r="C45" s="89"/>
      <c r="D45" s="29"/>
      <c r="E45" s="29"/>
      <c r="F45" s="29"/>
      <c r="G45" s="29"/>
      <c r="H45" s="30"/>
      <c r="I45" s="29"/>
      <c r="J45" s="29"/>
      <c r="K45" s="30"/>
      <c r="L45" s="29"/>
      <c r="M45" s="29"/>
      <c r="N45" s="30"/>
      <c r="O45" s="29"/>
      <c r="P45" s="30"/>
      <c r="Q45" s="32" t="s">
        <v>391</v>
      </c>
      <c r="R45" s="32" t="s">
        <v>392</v>
      </c>
    </row>
    <row r="46" spans="1:18" ht="16.5" customHeight="1" x14ac:dyDescent="0.15">
      <c r="A46" s="33">
        <v>11</v>
      </c>
      <c r="B46" s="33">
        <v>8123</v>
      </c>
      <c r="C46" s="34" t="s">
        <v>15499</v>
      </c>
      <c r="D46" s="709" t="s">
        <v>15500</v>
      </c>
      <c r="E46" s="796"/>
      <c r="F46" s="35"/>
      <c r="I46" s="43"/>
      <c r="J46" s="37"/>
      <c r="K46" s="38"/>
      <c r="L46" s="92" t="s">
        <v>862</v>
      </c>
      <c r="O46" s="35"/>
      <c r="P46" s="234"/>
      <c r="Q46" s="207">
        <f>ROUND((_11_A通院乗降*(1+_11・A深夜)),0)</f>
        <v>152</v>
      </c>
      <c r="R46" s="40" t="s">
        <v>395</v>
      </c>
    </row>
    <row r="47" spans="1:18" ht="16.5" customHeight="1" x14ac:dyDescent="0.15">
      <c r="A47" s="41">
        <v>11</v>
      </c>
      <c r="B47" s="41">
        <v>8124</v>
      </c>
      <c r="C47" s="74" t="s">
        <v>15501</v>
      </c>
      <c r="D47" s="799"/>
      <c r="E47" s="796"/>
      <c r="F47" s="43"/>
      <c r="G47" s="37"/>
      <c r="H47" s="38"/>
      <c r="I47" s="299" t="s">
        <v>397</v>
      </c>
      <c r="J47" s="218" t="s">
        <v>398</v>
      </c>
      <c r="K47" s="46">
        <v>1</v>
      </c>
      <c r="L47" s="257" t="s">
        <v>398</v>
      </c>
      <c r="M47" s="13">
        <v>0.5</v>
      </c>
      <c r="N47" s="704" t="s">
        <v>676</v>
      </c>
      <c r="O47" s="35"/>
      <c r="P47" s="234"/>
      <c r="Q47" s="208">
        <f>ROUND((ROUND((_11_A通院乗降*_11・２人),0)*(1+_11・A深夜)),0)</f>
        <v>152</v>
      </c>
      <c r="R47" s="48"/>
    </row>
    <row r="48" spans="1:18" ht="16.5" customHeight="1" x14ac:dyDescent="0.15">
      <c r="A48" s="41">
        <v>11</v>
      </c>
      <c r="B48" s="41">
        <v>8125</v>
      </c>
      <c r="C48" s="74" t="s">
        <v>15502</v>
      </c>
      <c r="D48" s="799"/>
      <c r="E48" s="796"/>
      <c r="F48" s="752" t="s">
        <v>400</v>
      </c>
      <c r="G48" s="219" t="s">
        <v>398</v>
      </c>
      <c r="H48" s="50">
        <v>0.9</v>
      </c>
      <c r="I48" s="163"/>
      <c r="J48" s="45"/>
      <c r="K48" s="46"/>
      <c r="L48" s="35"/>
      <c r="N48" s="797"/>
      <c r="O48" s="35"/>
      <c r="P48" s="234"/>
      <c r="Q48" s="208">
        <f>ROUND((ROUND((_11_A通院乗降*_11・基礎２),0)*(1+_11・A深夜)),0)</f>
        <v>137</v>
      </c>
      <c r="R48" s="48"/>
    </row>
    <row r="49" spans="1:18" ht="16.5" customHeight="1" x14ac:dyDescent="0.15">
      <c r="A49" s="41">
        <v>11</v>
      </c>
      <c r="B49" s="41">
        <v>8126</v>
      </c>
      <c r="C49" s="74" t="s">
        <v>15503</v>
      </c>
      <c r="D49" s="274">
        <f>_11_A通院乗降</f>
        <v>101</v>
      </c>
      <c r="E49" s="254" t="s">
        <v>392</v>
      </c>
      <c r="F49" s="800"/>
      <c r="G49" s="37"/>
      <c r="H49" s="38"/>
      <c r="I49" s="299" t="s">
        <v>397</v>
      </c>
      <c r="J49" s="218" t="s">
        <v>398</v>
      </c>
      <c r="K49" s="46">
        <v>1</v>
      </c>
      <c r="L49" s="35"/>
      <c r="O49" s="35"/>
      <c r="P49" s="234"/>
      <c r="Q49" s="208">
        <f>ROUND((ROUND((ROUND((_11_A通院乗降*_11・基礎２),0)*_11・２人),0)*(1+_11・A深夜)),0)</f>
        <v>137</v>
      </c>
      <c r="R49" s="48"/>
    </row>
    <row r="50" spans="1:18" ht="16.5" customHeight="1" x14ac:dyDescent="0.15">
      <c r="A50" s="41">
        <v>11</v>
      </c>
      <c r="B50" s="41" t="s">
        <v>15504</v>
      </c>
      <c r="C50" s="74" t="s">
        <v>15505</v>
      </c>
      <c r="D50" s="72"/>
      <c r="F50" s="53"/>
      <c r="G50" s="49"/>
      <c r="H50" s="50"/>
      <c r="I50" s="163"/>
      <c r="J50" s="45"/>
      <c r="K50" s="46"/>
      <c r="L50" s="35"/>
      <c r="O50" s="707" t="s">
        <v>404</v>
      </c>
      <c r="P50" s="708"/>
      <c r="Q50" s="208">
        <f>ROUND((ROUND((_11_A通院乗降*(1+_11・A深夜)),0)*_11・初任),0)</f>
        <v>106</v>
      </c>
      <c r="R50" s="48"/>
    </row>
    <row r="51" spans="1:18" ht="16.5" customHeight="1" x14ac:dyDescent="0.15">
      <c r="A51" s="41">
        <v>11</v>
      </c>
      <c r="B51" s="41" t="s">
        <v>15506</v>
      </c>
      <c r="C51" s="74" t="s">
        <v>15507</v>
      </c>
      <c r="D51" s="72"/>
      <c r="F51" s="43"/>
      <c r="G51" s="37"/>
      <c r="H51" s="38"/>
      <c r="I51" s="299" t="s">
        <v>397</v>
      </c>
      <c r="J51" s="218" t="s">
        <v>398</v>
      </c>
      <c r="K51" s="46">
        <v>1</v>
      </c>
      <c r="L51" s="35"/>
      <c r="O51" s="709"/>
      <c r="P51" s="704"/>
      <c r="Q51" s="208">
        <f>ROUND((ROUND((ROUND((_11_A通院乗降*_11・２人),0)*(1+_11・A深夜)),0)*_11・初任),0)</f>
        <v>106</v>
      </c>
      <c r="R51" s="48"/>
    </row>
    <row r="52" spans="1:18" ht="16.5" customHeight="1" x14ac:dyDescent="0.15">
      <c r="A52" s="41">
        <v>11</v>
      </c>
      <c r="B52" s="41" t="s">
        <v>15508</v>
      </c>
      <c r="C52" s="74" t="s">
        <v>15509</v>
      </c>
      <c r="D52" s="72"/>
      <c r="F52" s="755" t="s">
        <v>400</v>
      </c>
      <c r="G52" s="219" t="s">
        <v>398</v>
      </c>
      <c r="H52" s="50">
        <v>0.9</v>
      </c>
      <c r="I52" s="163"/>
      <c r="J52" s="45"/>
      <c r="K52" s="46"/>
      <c r="L52" s="35"/>
      <c r="O52" s="709"/>
      <c r="P52" s="704"/>
      <c r="Q52" s="208">
        <f>ROUND((ROUND((ROUND((_11_A通院乗降*_11・基礎２),0)*(1+_11・A深夜)),0)*_11・初任),0)</f>
        <v>96</v>
      </c>
      <c r="R52" s="48"/>
    </row>
    <row r="53" spans="1:18" ht="16.5" customHeight="1" x14ac:dyDescent="0.15">
      <c r="A53" s="41">
        <v>11</v>
      </c>
      <c r="B53" s="41" t="s">
        <v>15510</v>
      </c>
      <c r="C53" s="74" t="s">
        <v>15511</v>
      </c>
      <c r="D53" s="122"/>
      <c r="E53" s="37"/>
      <c r="F53" s="800"/>
      <c r="G53" s="37"/>
      <c r="H53" s="38"/>
      <c r="I53" s="299" t="s">
        <v>397</v>
      </c>
      <c r="J53" s="218" t="s">
        <v>398</v>
      </c>
      <c r="K53" s="46">
        <v>1</v>
      </c>
      <c r="L53" s="43"/>
      <c r="M53" s="37"/>
      <c r="N53" s="38"/>
      <c r="O53" s="240" t="s">
        <v>398</v>
      </c>
      <c r="P53" s="38">
        <f>_11・初任</f>
        <v>0.7</v>
      </c>
      <c r="Q53" s="208">
        <f>ROUND((ROUND((ROUND((ROUND((_11_A通院乗降*_11・基礎２),0)*_11・２人),0)*(1+_11・A深夜)),0)*_11・初任),0)</f>
        <v>96</v>
      </c>
      <c r="R53" s="63"/>
    </row>
    <row r="54" spans="1:18" ht="16.5" customHeight="1" x14ac:dyDescent="0.15"/>
    <row r="55" spans="1:18" ht="16.5" customHeight="1" x14ac:dyDescent="0.15"/>
  </sheetData>
  <mergeCells count="19">
    <mergeCell ref="D46:E48"/>
    <mergeCell ref="N47:N48"/>
    <mergeCell ref="F48:F49"/>
    <mergeCell ref="O50:P52"/>
    <mergeCell ref="F52:F53"/>
    <mergeCell ref="O37:P39"/>
    <mergeCell ref="F39:F40"/>
    <mergeCell ref="D7:E9"/>
    <mergeCell ref="F9:F10"/>
    <mergeCell ref="O11:P13"/>
    <mergeCell ref="F13:F14"/>
    <mergeCell ref="D20:E22"/>
    <mergeCell ref="N21:N22"/>
    <mergeCell ref="F22:F23"/>
    <mergeCell ref="O24:P26"/>
    <mergeCell ref="F26:F27"/>
    <mergeCell ref="D33:E35"/>
    <mergeCell ref="N34:N35"/>
    <mergeCell ref="F35:F36"/>
  </mergeCells>
  <phoneticPr fontId="1"/>
  <printOptions horizontalCentered="1"/>
  <pageMargins left="0.70866141732283505" right="0.70866141732283505" top="0.74803149606299202" bottom="0.74803149606299202" header="0.31496062992126" footer="0.31496062992126"/>
  <pageSetup paperSize="9" scale="60" fitToHeight="0" orientation="portrait" r:id="rId1"/>
  <headerFooter>
    <oddHeader>&amp;R&amp;"ＭＳ Ｐゴシック"&amp;9居宅介護</oddHeader>
    <oddFooter>&amp;C&amp;"ＭＳ Ｐゴシック"&amp;14&amp;P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00">
    <pageSetUpPr fitToPage="1"/>
  </sheetPr>
  <dimension ref="A1:R39"/>
  <sheetViews>
    <sheetView view="pageBreakPreview" zoomScale="80" zoomScaleNormal="100" zoomScaleSheetLayoutView="80" workbookViewId="0"/>
  </sheetViews>
  <sheetFormatPr defaultColWidth="8.875" defaultRowHeight="14.25" x14ac:dyDescent="0.15"/>
  <cols>
    <col min="1" max="1" width="4.5" style="9" customWidth="1"/>
    <col min="2" max="2" width="7.5" style="9" customWidth="1"/>
    <col min="3" max="3" width="33.5" style="10" bestFit="1" customWidth="1"/>
    <col min="4" max="4" width="4.875" style="10" customWidth="1"/>
    <col min="5" max="5" width="4.875" style="12" customWidth="1"/>
    <col min="6" max="6" width="4.125" style="12" customWidth="1"/>
    <col min="7" max="7" width="4.5" style="12" bestFit="1" customWidth="1"/>
    <col min="8" max="8" width="26" style="12" bestFit="1" customWidth="1"/>
    <col min="9" max="9" width="2.5" style="12" customWidth="1"/>
    <col min="10" max="10" width="5.5" style="13" bestFit="1" customWidth="1"/>
    <col min="11" max="11" width="2.5" style="12" customWidth="1"/>
    <col min="12" max="12" width="3.875" style="12" customWidth="1"/>
    <col min="13" max="13" width="4.5" style="13" bestFit="1" customWidth="1"/>
    <col min="14" max="14" width="17.875" style="12" customWidth="1"/>
    <col min="15" max="15" width="2.5" style="242" customWidth="1"/>
    <col min="16" max="16" width="4.5" style="13" bestFit="1" customWidth="1"/>
    <col min="17" max="17" width="7.125" style="206" customWidth="1"/>
    <col min="18" max="18" width="8.5" style="16" customWidth="1"/>
    <col min="19" max="16384" width="8.875" style="12"/>
  </cols>
  <sheetData>
    <row r="1" spans="1:18" ht="17.100000000000001" customHeight="1" x14ac:dyDescent="0.15"/>
    <row r="2" spans="1:18" ht="17.100000000000001" customHeight="1" x14ac:dyDescent="0.15"/>
    <row r="3" spans="1:18" ht="17.100000000000001" customHeight="1" x14ac:dyDescent="0.15"/>
    <row r="4" spans="1:18" ht="17.100000000000001" customHeight="1" x14ac:dyDescent="0.15">
      <c r="B4" s="17" t="s">
        <v>15512</v>
      </c>
      <c r="D4" s="71"/>
    </row>
    <row r="5" spans="1:18" ht="16.5" customHeight="1" x14ac:dyDescent="0.15">
      <c r="A5" s="19" t="s">
        <v>384</v>
      </c>
      <c r="B5" s="20"/>
      <c r="C5" s="21" t="s">
        <v>385</v>
      </c>
      <c r="D5" s="23" t="s">
        <v>386</v>
      </c>
      <c r="E5" s="23"/>
      <c r="F5" s="23"/>
      <c r="G5" s="23"/>
      <c r="H5" s="23"/>
      <c r="I5" s="23"/>
      <c r="J5" s="24"/>
      <c r="K5" s="23"/>
      <c r="L5" s="23"/>
      <c r="M5" s="24"/>
      <c r="N5" s="23"/>
      <c r="O5" s="23"/>
      <c r="P5" s="24"/>
      <c r="Q5" s="21" t="s">
        <v>387</v>
      </c>
      <c r="R5" s="21" t="s">
        <v>388</v>
      </c>
    </row>
    <row r="6" spans="1:18" ht="16.5" customHeight="1" x14ac:dyDescent="0.15">
      <c r="A6" s="26" t="s">
        <v>389</v>
      </c>
      <c r="B6" s="26" t="s">
        <v>390</v>
      </c>
      <c r="C6" s="27"/>
      <c r="D6" s="29"/>
      <c r="E6" s="29"/>
      <c r="F6" s="29"/>
      <c r="G6" s="29"/>
      <c r="H6" s="29"/>
      <c r="I6" s="29"/>
      <c r="J6" s="30"/>
      <c r="K6" s="29"/>
      <c r="L6" s="29"/>
      <c r="M6" s="30"/>
      <c r="N6" s="29"/>
      <c r="O6" s="214"/>
      <c r="P6" s="30"/>
      <c r="Q6" s="32" t="s">
        <v>391</v>
      </c>
      <c r="R6" s="32" t="s">
        <v>392</v>
      </c>
    </row>
    <row r="7" spans="1:18" ht="16.5" customHeight="1" x14ac:dyDescent="0.15">
      <c r="A7" s="41">
        <v>11</v>
      </c>
      <c r="B7" s="41">
        <v>9601</v>
      </c>
      <c r="C7" s="74" t="s">
        <v>15513</v>
      </c>
      <c r="D7" s="707" t="s">
        <v>15458</v>
      </c>
      <c r="E7" s="798"/>
      <c r="F7" s="707" t="s">
        <v>11707</v>
      </c>
      <c r="G7" s="823"/>
      <c r="H7" s="163"/>
      <c r="I7" s="45"/>
      <c r="J7" s="46"/>
      <c r="K7" s="53"/>
      <c r="L7" s="49"/>
      <c r="M7" s="251"/>
      <c r="N7" s="49"/>
      <c r="O7" s="245"/>
      <c r="P7" s="50"/>
      <c r="Q7" s="208">
        <f>ROUND((_11_A通院乗降*_11・重度研修),0)</f>
        <v>91</v>
      </c>
      <c r="R7" s="128" t="s">
        <v>395</v>
      </c>
    </row>
    <row r="8" spans="1:18" ht="16.5" customHeight="1" x14ac:dyDescent="0.15">
      <c r="A8" s="41">
        <v>11</v>
      </c>
      <c r="B8" s="41">
        <v>9602</v>
      </c>
      <c r="C8" s="74" t="s">
        <v>15514</v>
      </c>
      <c r="D8" s="799"/>
      <c r="E8" s="796"/>
      <c r="F8" s="722"/>
      <c r="G8" s="802"/>
      <c r="H8" s="299" t="s">
        <v>397</v>
      </c>
      <c r="I8" s="247" t="s">
        <v>398</v>
      </c>
      <c r="J8" s="46">
        <v>1</v>
      </c>
      <c r="K8" s="35"/>
      <c r="M8" s="234"/>
      <c r="N8" s="37"/>
      <c r="O8" s="220"/>
      <c r="P8" s="38"/>
      <c r="Q8" s="208">
        <f>ROUND((ROUND((_11_A通院乗降*_11・重度研修),0)*_11・２人),0)</f>
        <v>91</v>
      </c>
      <c r="R8" s="48"/>
    </row>
    <row r="9" spans="1:18" ht="16.5" customHeight="1" x14ac:dyDescent="0.15">
      <c r="A9" s="41">
        <v>11</v>
      </c>
      <c r="B9" s="41" t="s">
        <v>15515</v>
      </c>
      <c r="C9" s="74" t="s">
        <v>15516</v>
      </c>
      <c r="D9" s="799"/>
      <c r="E9" s="796"/>
      <c r="F9" s="722"/>
      <c r="G9" s="802"/>
      <c r="H9" s="163"/>
      <c r="I9" s="45"/>
      <c r="J9" s="46"/>
      <c r="K9" s="35"/>
      <c r="M9" s="234"/>
      <c r="N9" s="734" t="s">
        <v>404</v>
      </c>
      <c r="O9" s="219" t="s">
        <v>398</v>
      </c>
      <c r="P9" s="50">
        <f>_11・初任</f>
        <v>0.7</v>
      </c>
      <c r="Q9" s="208">
        <f>ROUND((ROUND((_11_A通院乗降*_11・重度研修),0)*_11・初任),0)</f>
        <v>64</v>
      </c>
      <c r="R9" s="48"/>
    </row>
    <row r="10" spans="1:18" ht="16.5" customHeight="1" x14ac:dyDescent="0.15">
      <c r="A10" s="41">
        <v>11</v>
      </c>
      <c r="B10" s="41" t="s">
        <v>15517</v>
      </c>
      <c r="C10" s="74" t="s">
        <v>15518</v>
      </c>
      <c r="D10" s="276">
        <f>_11_A通院乗降</f>
        <v>101</v>
      </c>
      <c r="E10" s="190" t="s">
        <v>392</v>
      </c>
      <c r="F10" s="293" t="s">
        <v>398</v>
      </c>
      <c r="G10" s="244">
        <v>0.9</v>
      </c>
      <c r="H10" s="299" t="s">
        <v>397</v>
      </c>
      <c r="I10" s="247" t="s">
        <v>398</v>
      </c>
      <c r="J10" s="46">
        <v>1</v>
      </c>
      <c r="K10" s="43"/>
      <c r="L10" s="37"/>
      <c r="M10" s="244"/>
      <c r="N10" s="706"/>
      <c r="O10" s="220"/>
      <c r="P10" s="38"/>
      <c r="Q10" s="208">
        <f>ROUND((ROUND((ROUND((_11_A通院乗降*_11・重度研修),0)*_11・２人),0)*_11・初任),0)</f>
        <v>64</v>
      </c>
      <c r="R10" s="63"/>
    </row>
    <row r="11" spans="1:18" ht="16.5" customHeight="1" x14ac:dyDescent="0.15">
      <c r="A11" s="80"/>
      <c r="B11" s="80"/>
      <c r="C11" s="81"/>
      <c r="Q11" s="209"/>
      <c r="R11" s="85"/>
    </row>
    <row r="12" spans="1:18" ht="16.5" customHeight="1" x14ac:dyDescent="0.15">
      <c r="A12" s="80"/>
      <c r="B12" s="80"/>
      <c r="C12" s="81"/>
      <c r="Q12" s="209"/>
      <c r="R12" s="85"/>
    </row>
    <row r="13" spans="1:18" ht="16.5" customHeight="1" x14ac:dyDescent="0.15">
      <c r="A13" s="80"/>
      <c r="B13" s="86" t="s">
        <v>15519</v>
      </c>
      <c r="C13" s="81"/>
      <c r="D13" s="71"/>
      <c r="Q13" s="209"/>
      <c r="R13" s="85"/>
    </row>
    <row r="14" spans="1:18" ht="16.5" customHeight="1" x14ac:dyDescent="0.15">
      <c r="A14" s="87" t="s">
        <v>384</v>
      </c>
      <c r="B14" s="20"/>
      <c r="C14" s="88" t="s">
        <v>385</v>
      </c>
      <c r="D14" s="23" t="s">
        <v>386</v>
      </c>
      <c r="E14" s="23"/>
      <c r="F14" s="23"/>
      <c r="G14" s="23"/>
      <c r="H14" s="23"/>
      <c r="I14" s="23"/>
      <c r="J14" s="24"/>
      <c r="K14" s="23"/>
      <c r="L14" s="23"/>
      <c r="M14" s="24"/>
      <c r="N14" s="23"/>
      <c r="O14" s="23"/>
      <c r="P14" s="24"/>
      <c r="Q14" s="21" t="s">
        <v>387</v>
      </c>
      <c r="R14" s="21" t="s">
        <v>388</v>
      </c>
    </row>
    <row r="15" spans="1:18" ht="16.5" customHeight="1" x14ac:dyDescent="0.15">
      <c r="A15" s="26" t="s">
        <v>389</v>
      </c>
      <c r="B15" s="26" t="s">
        <v>390</v>
      </c>
      <c r="C15" s="89"/>
      <c r="D15" s="29"/>
      <c r="E15" s="29"/>
      <c r="F15" s="29"/>
      <c r="G15" s="29"/>
      <c r="H15" s="29"/>
      <c r="I15" s="29"/>
      <c r="J15" s="30"/>
      <c r="K15" s="29"/>
      <c r="L15" s="29"/>
      <c r="M15" s="30"/>
      <c r="N15" s="29"/>
      <c r="O15" s="214"/>
      <c r="P15" s="30"/>
      <c r="Q15" s="32" t="s">
        <v>391</v>
      </c>
      <c r="R15" s="32" t="s">
        <v>392</v>
      </c>
    </row>
    <row r="16" spans="1:18" ht="16.5" customHeight="1" x14ac:dyDescent="0.15">
      <c r="A16" s="41">
        <v>11</v>
      </c>
      <c r="B16" s="41">
        <v>9603</v>
      </c>
      <c r="C16" s="74" t="s">
        <v>15520</v>
      </c>
      <c r="D16" s="707" t="s">
        <v>15472</v>
      </c>
      <c r="E16" s="798"/>
      <c r="F16" s="707" t="s">
        <v>11707</v>
      </c>
      <c r="G16" s="823"/>
      <c r="H16" s="163"/>
      <c r="I16" s="45"/>
      <c r="J16" s="46"/>
      <c r="K16" s="114" t="s">
        <v>674</v>
      </c>
      <c r="L16" s="49"/>
      <c r="M16" s="50"/>
      <c r="N16" s="53"/>
      <c r="O16" s="245"/>
      <c r="P16" s="251"/>
      <c r="Q16" s="208">
        <f>ROUND((ROUND((_11_A通院乗降*_11・重度研修),0)*(1+_11・A早朝)),0)</f>
        <v>114</v>
      </c>
      <c r="R16" s="128" t="s">
        <v>395</v>
      </c>
    </row>
    <row r="17" spans="1:18" ht="16.5" customHeight="1" x14ac:dyDescent="0.15">
      <c r="A17" s="41">
        <v>11</v>
      </c>
      <c r="B17" s="41">
        <v>9604</v>
      </c>
      <c r="C17" s="74" t="s">
        <v>15521</v>
      </c>
      <c r="D17" s="799"/>
      <c r="E17" s="796"/>
      <c r="F17" s="722"/>
      <c r="G17" s="802"/>
      <c r="H17" s="299" t="s">
        <v>397</v>
      </c>
      <c r="I17" s="247" t="s">
        <v>398</v>
      </c>
      <c r="J17" s="46">
        <v>1</v>
      </c>
      <c r="K17" s="257" t="s">
        <v>398</v>
      </c>
      <c r="L17" s="13">
        <v>0.25</v>
      </c>
      <c r="M17" s="704" t="s">
        <v>676</v>
      </c>
      <c r="N17" s="43"/>
      <c r="O17" s="220"/>
      <c r="P17" s="244"/>
      <c r="Q17" s="208">
        <f>ROUND((ROUND((ROUND((_11_A通院乗降*_11・重度研修),0)*_11・２人),0)*(1+_11・A早朝)),0)</f>
        <v>114</v>
      </c>
      <c r="R17" s="48"/>
    </row>
    <row r="18" spans="1:18" ht="16.5" customHeight="1" x14ac:dyDescent="0.15">
      <c r="A18" s="41">
        <v>11</v>
      </c>
      <c r="B18" s="41" t="s">
        <v>15522</v>
      </c>
      <c r="C18" s="74" t="s">
        <v>15523</v>
      </c>
      <c r="D18" s="799"/>
      <c r="E18" s="796"/>
      <c r="F18" s="722"/>
      <c r="G18" s="802"/>
      <c r="H18" s="163"/>
      <c r="I18" s="45"/>
      <c r="J18" s="46"/>
      <c r="K18" s="35"/>
      <c r="M18" s="797"/>
      <c r="N18" s="734" t="s">
        <v>404</v>
      </c>
      <c r="O18" s="219" t="s">
        <v>398</v>
      </c>
      <c r="P18" s="50">
        <f>_11・初任</f>
        <v>0.7</v>
      </c>
      <c r="Q18" s="208">
        <f>ROUND((ROUND((ROUND((_11_A通院乗降*_11・重度研修),0)*(1+_11・A早朝)),0)*_11・初任),0)</f>
        <v>80</v>
      </c>
      <c r="R18" s="48"/>
    </row>
    <row r="19" spans="1:18" ht="16.5" customHeight="1" x14ac:dyDescent="0.15">
      <c r="A19" s="41">
        <v>11</v>
      </c>
      <c r="B19" s="41" t="s">
        <v>15524</v>
      </c>
      <c r="C19" s="74" t="s">
        <v>15525</v>
      </c>
      <c r="D19" s="276">
        <f>_11_A通院乗降</f>
        <v>101</v>
      </c>
      <c r="E19" s="271" t="s">
        <v>392</v>
      </c>
      <c r="F19" s="293" t="s">
        <v>398</v>
      </c>
      <c r="G19" s="244">
        <v>0.9</v>
      </c>
      <c r="H19" s="299" t="s">
        <v>397</v>
      </c>
      <c r="I19" s="247" t="s">
        <v>398</v>
      </c>
      <c r="J19" s="46">
        <v>1</v>
      </c>
      <c r="K19" s="43"/>
      <c r="L19" s="37"/>
      <c r="M19" s="38"/>
      <c r="N19" s="706"/>
      <c r="O19" s="220"/>
      <c r="P19" s="38"/>
      <c r="Q19" s="208">
        <f>ROUND((ROUND((ROUND((ROUND((_11_A通院乗降*_11・重度研修),0)*_11・２人),0)*(1+_11・A早朝)),0)*_11・初任),0)</f>
        <v>80</v>
      </c>
      <c r="R19" s="63"/>
    </row>
    <row r="20" spans="1:18" ht="16.5" customHeight="1" x14ac:dyDescent="0.15">
      <c r="A20" s="80"/>
      <c r="B20" s="80"/>
      <c r="C20" s="81"/>
      <c r="Q20" s="209"/>
      <c r="R20" s="85"/>
    </row>
    <row r="21" spans="1:18" ht="16.5" customHeight="1" x14ac:dyDescent="0.15">
      <c r="A21" s="80"/>
      <c r="B21" s="80"/>
      <c r="C21" s="81"/>
      <c r="Q21" s="209"/>
      <c r="R21" s="85"/>
    </row>
    <row r="22" spans="1:18" ht="16.5" customHeight="1" x14ac:dyDescent="0.15">
      <c r="A22" s="80"/>
      <c r="B22" s="86" t="s">
        <v>15526</v>
      </c>
      <c r="C22" s="81"/>
      <c r="D22" s="71"/>
      <c r="Q22" s="209"/>
      <c r="R22" s="85"/>
    </row>
    <row r="23" spans="1:18" ht="16.5" customHeight="1" x14ac:dyDescent="0.15">
      <c r="A23" s="87" t="s">
        <v>384</v>
      </c>
      <c r="B23" s="20"/>
      <c r="C23" s="88" t="s">
        <v>385</v>
      </c>
      <c r="D23" s="23" t="s">
        <v>386</v>
      </c>
      <c r="E23" s="23"/>
      <c r="F23" s="23"/>
      <c r="G23" s="23"/>
      <c r="H23" s="23"/>
      <c r="I23" s="23"/>
      <c r="J23" s="24"/>
      <c r="K23" s="23"/>
      <c r="L23" s="23"/>
      <c r="M23" s="24"/>
      <c r="N23" s="23"/>
      <c r="O23" s="166"/>
      <c r="P23" s="24"/>
      <c r="Q23" s="21" t="s">
        <v>387</v>
      </c>
      <c r="R23" s="21" t="s">
        <v>388</v>
      </c>
    </row>
    <row r="24" spans="1:18" ht="16.5" customHeight="1" x14ac:dyDescent="0.15">
      <c r="A24" s="26" t="s">
        <v>389</v>
      </c>
      <c r="B24" s="26" t="s">
        <v>390</v>
      </c>
      <c r="C24" s="89"/>
      <c r="D24" s="29"/>
      <c r="E24" s="29"/>
      <c r="F24" s="29"/>
      <c r="G24" s="29"/>
      <c r="H24" s="29"/>
      <c r="I24" s="29"/>
      <c r="J24" s="30"/>
      <c r="K24" s="29"/>
      <c r="L24" s="29"/>
      <c r="M24" s="30"/>
      <c r="N24" s="29"/>
      <c r="O24" s="214"/>
      <c r="P24" s="30"/>
      <c r="Q24" s="32" t="s">
        <v>391</v>
      </c>
      <c r="R24" s="32" t="s">
        <v>392</v>
      </c>
    </row>
    <row r="25" spans="1:18" ht="16.5" customHeight="1" x14ac:dyDescent="0.15">
      <c r="A25" s="41">
        <v>11</v>
      </c>
      <c r="B25" s="41">
        <v>9605</v>
      </c>
      <c r="C25" s="74" t="s">
        <v>15527</v>
      </c>
      <c r="D25" s="707" t="s">
        <v>15486</v>
      </c>
      <c r="E25" s="798"/>
      <c r="F25" s="707" t="s">
        <v>11707</v>
      </c>
      <c r="G25" s="823"/>
      <c r="H25" s="163"/>
      <c r="I25" s="45"/>
      <c r="J25" s="46"/>
      <c r="K25" s="116" t="s">
        <v>743</v>
      </c>
      <c r="L25" s="49"/>
      <c r="M25" s="50"/>
      <c r="N25" s="53"/>
      <c r="O25" s="245"/>
      <c r="P25" s="251"/>
      <c r="Q25" s="208">
        <f>ROUND((ROUND((_11_A通院乗降*_11・重度研修),0)*(1+_11・A夜間)),0)</f>
        <v>114</v>
      </c>
      <c r="R25" s="128" t="s">
        <v>395</v>
      </c>
    </row>
    <row r="26" spans="1:18" ht="16.5" customHeight="1" x14ac:dyDescent="0.15">
      <c r="A26" s="41">
        <v>11</v>
      </c>
      <c r="B26" s="41">
        <v>9606</v>
      </c>
      <c r="C26" s="74" t="s">
        <v>15528</v>
      </c>
      <c r="D26" s="799"/>
      <c r="E26" s="796"/>
      <c r="F26" s="722"/>
      <c r="G26" s="802"/>
      <c r="H26" s="299" t="s">
        <v>397</v>
      </c>
      <c r="I26" s="247" t="s">
        <v>398</v>
      </c>
      <c r="J26" s="46">
        <v>1</v>
      </c>
      <c r="K26" s="257" t="s">
        <v>398</v>
      </c>
      <c r="L26" s="13">
        <v>0.25</v>
      </c>
      <c r="M26" s="704" t="s">
        <v>676</v>
      </c>
      <c r="N26" s="43"/>
      <c r="O26" s="220"/>
      <c r="P26" s="244"/>
      <c r="Q26" s="208">
        <f>ROUND((ROUND((ROUND((_11_A通院乗降*_11・重度研修),0)*_11・２人),0)*(1+_11・A夜間)),0)</f>
        <v>114</v>
      </c>
      <c r="R26" s="48"/>
    </row>
    <row r="27" spans="1:18" ht="16.5" customHeight="1" x14ac:dyDescent="0.15">
      <c r="A27" s="41">
        <v>11</v>
      </c>
      <c r="B27" s="41" t="s">
        <v>15529</v>
      </c>
      <c r="C27" s="74" t="s">
        <v>15530</v>
      </c>
      <c r="D27" s="799"/>
      <c r="E27" s="796"/>
      <c r="F27" s="722"/>
      <c r="G27" s="802"/>
      <c r="H27" s="163"/>
      <c r="I27" s="45"/>
      <c r="J27" s="46"/>
      <c r="K27" s="35"/>
      <c r="M27" s="797"/>
      <c r="N27" s="734" t="s">
        <v>404</v>
      </c>
      <c r="O27" s="219" t="s">
        <v>398</v>
      </c>
      <c r="P27" s="50">
        <f>_11・初任</f>
        <v>0.7</v>
      </c>
      <c r="Q27" s="208">
        <f>ROUND((ROUND((ROUND((_11_A通院乗降*_11・重度研修),0)*(1+_11・A夜間)),0)*_11・初任),0)</f>
        <v>80</v>
      </c>
      <c r="R27" s="48"/>
    </row>
    <row r="28" spans="1:18" ht="16.5" customHeight="1" x14ac:dyDescent="0.15">
      <c r="A28" s="41">
        <v>11</v>
      </c>
      <c r="B28" s="41" t="s">
        <v>15531</v>
      </c>
      <c r="C28" s="74" t="s">
        <v>15532</v>
      </c>
      <c r="D28" s="276">
        <f>_11_A通院乗降</f>
        <v>101</v>
      </c>
      <c r="E28" s="271" t="s">
        <v>392</v>
      </c>
      <c r="F28" s="293" t="s">
        <v>398</v>
      </c>
      <c r="G28" s="244">
        <v>0.9</v>
      </c>
      <c r="H28" s="299" t="s">
        <v>397</v>
      </c>
      <c r="I28" s="247" t="s">
        <v>398</v>
      </c>
      <c r="J28" s="46">
        <v>1</v>
      </c>
      <c r="K28" s="43"/>
      <c r="L28" s="37"/>
      <c r="M28" s="38"/>
      <c r="N28" s="706"/>
      <c r="O28" s="220"/>
      <c r="P28" s="38"/>
      <c r="Q28" s="208">
        <f>ROUND((ROUND((ROUND((ROUND((_11_A通院乗降*_11・重度研修),0)*_11・２人),0)*(1+_11・A夜間)),0)*_11・初任),0)</f>
        <v>80</v>
      </c>
      <c r="R28" s="63"/>
    </row>
    <row r="29" spans="1:18" ht="16.5" customHeight="1" x14ac:dyDescent="0.15">
      <c r="A29" s="80"/>
      <c r="B29" s="80"/>
      <c r="C29" s="81"/>
      <c r="Q29" s="209"/>
      <c r="R29" s="85"/>
    </row>
    <row r="30" spans="1:18" ht="16.5" customHeight="1" x14ac:dyDescent="0.15">
      <c r="A30" s="80"/>
      <c r="B30" s="80"/>
      <c r="C30" s="81"/>
      <c r="Q30" s="209"/>
      <c r="R30" s="85"/>
    </row>
    <row r="31" spans="1:18" ht="16.5" customHeight="1" x14ac:dyDescent="0.15">
      <c r="A31" s="80"/>
      <c r="B31" s="86" t="s">
        <v>15533</v>
      </c>
      <c r="C31" s="81"/>
      <c r="D31" s="71"/>
      <c r="Q31" s="209"/>
      <c r="R31" s="85"/>
    </row>
    <row r="32" spans="1:18" ht="16.5" customHeight="1" x14ac:dyDescent="0.15">
      <c r="A32" s="87" t="s">
        <v>384</v>
      </c>
      <c r="B32" s="20"/>
      <c r="C32" s="88" t="s">
        <v>385</v>
      </c>
      <c r="D32" s="23" t="s">
        <v>386</v>
      </c>
      <c r="E32" s="23"/>
      <c r="F32" s="23"/>
      <c r="G32" s="23"/>
      <c r="H32" s="23"/>
      <c r="I32" s="23"/>
      <c r="J32" s="24"/>
      <c r="K32" s="23"/>
      <c r="L32" s="23"/>
      <c r="M32" s="24"/>
      <c r="N32" s="23"/>
      <c r="O32" s="23"/>
      <c r="P32" s="24"/>
      <c r="Q32" s="21" t="s">
        <v>387</v>
      </c>
      <c r="R32" s="21" t="s">
        <v>388</v>
      </c>
    </row>
    <row r="33" spans="1:18" ht="16.5" customHeight="1" x14ac:dyDescent="0.15">
      <c r="A33" s="26" t="s">
        <v>389</v>
      </c>
      <c r="B33" s="26" t="s">
        <v>390</v>
      </c>
      <c r="C33" s="89"/>
      <c r="D33" s="29"/>
      <c r="E33" s="29"/>
      <c r="F33" s="29"/>
      <c r="G33" s="29"/>
      <c r="H33" s="29"/>
      <c r="I33" s="29"/>
      <c r="J33" s="30"/>
      <c r="K33" s="29"/>
      <c r="L33" s="29"/>
      <c r="M33" s="30"/>
      <c r="N33" s="29"/>
      <c r="O33" s="214"/>
      <c r="P33" s="30"/>
      <c r="Q33" s="32" t="s">
        <v>391</v>
      </c>
      <c r="R33" s="32" t="s">
        <v>392</v>
      </c>
    </row>
    <row r="34" spans="1:18" ht="16.5" customHeight="1" x14ac:dyDescent="0.15">
      <c r="A34" s="41">
        <v>11</v>
      </c>
      <c r="B34" s="41">
        <v>9607</v>
      </c>
      <c r="C34" s="74" t="s">
        <v>15534</v>
      </c>
      <c r="D34" s="707" t="s">
        <v>15500</v>
      </c>
      <c r="E34" s="798"/>
      <c r="F34" s="707" t="s">
        <v>11707</v>
      </c>
      <c r="G34" s="823"/>
      <c r="H34" s="163"/>
      <c r="I34" s="45"/>
      <c r="J34" s="46"/>
      <c r="K34" s="116" t="s">
        <v>862</v>
      </c>
      <c r="L34" s="49"/>
      <c r="M34" s="50"/>
      <c r="N34" s="53"/>
      <c r="O34" s="245"/>
      <c r="P34" s="251"/>
      <c r="Q34" s="208">
        <f>ROUND((ROUND((_11_A通院乗降*_11・重度研修),0)*(1+_11・A深夜)),0)</f>
        <v>137</v>
      </c>
      <c r="R34" s="128" t="s">
        <v>395</v>
      </c>
    </row>
    <row r="35" spans="1:18" ht="16.5" customHeight="1" x14ac:dyDescent="0.15">
      <c r="A35" s="41">
        <v>11</v>
      </c>
      <c r="B35" s="41">
        <v>9608</v>
      </c>
      <c r="C35" s="74" t="s">
        <v>15535</v>
      </c>
      <c r="D35" s="799"/>
      <c r="E35" s="796"/>
      <c r="F35" s="722"/>
      <c r="G35" s="802"/>
      <c r="H35" s="299" t="s">
        <v>397</v>
      </c>
      <c r="I35" s="247" t="s">
        <v>398</v>
      </c>
      <c r="J35" s="46">
        <v>1</v>
      </c>
      <c r="K35" s="257" t="s">
        <v>398</v>
      </c>
      <c r="L35" s="13">
        <v>0.5</v>
      </c>
      <c r="M35" s="704" t="s">
        <v>676</v>
      </c>
      <c r="N35" s="43"/>
      <c r="O35" s="220"/>
      <c r="P35" s="244"/>
      <c r="Q35" s="208">
        <f>ROUND((ROUND((ROUND((_11_A通院乗降*_11・重度研修),0)*_11・２人),0)*(1+_11・A深夜)),0)</f>
        <v>137</v>
      </c>
      <c r="R35" s="48"/>
    </row>
    <row r="36" spans="1:18" ht="16.5" customHeight="1" x14ac:dyDescent="0.15">
      <c r="A36" s="41">
        <v>11</v>
      </c>
      <c r="B36" s="41" t="s">
        <v>15536</v>
      </c>
      <c r="C36" s="74" t="s">
        <v>15537</v>
      </c>
      <c r="D36" s="799"/>
      <c r="E36" s="796"/>
      <c r="F36" s="722"/>
      <c r="G36" s="802"/>
      <c r="H36" s="163"/>
      <c r="I36" s="45"/>
      <c r="J36" s="46"/>
      <c r="K36" s="35"/>
      <c r="M36" s="797"/>
      <c r="N36" s="734" t="s">
        <v>404</v>
      </c>
      <c r="O36" s="219" t="s">
        <v>398</v>
      </c>
      <c r="P36" s="50">
        <f>_11・初任</f>
        <v>0.7</v>
      </c>
      <c r="Q36" s="208">
        <f>ROUND((ROUND((ROUND((_11_A通院乗降*_11・重度研修),0)*(1+_11・A深夜)),0)*_11・初任),0)</f>
        <v>96</v>
      </c>
      <c r="R36" s="48"/>
    </row>
    <row r="37" spans="1:18" ht="16.5" customHeight="1" x14ac:dyDescent="0.15">
      <c r="A37" s="41">
        <v>11</v>
      </c>
      <c r="B37" s="41" t="s">
        <v>15538</v>
      </c>
      <c r="C37" s="74" t="s">
        <v>15539</v>
      </c>
      <c r="D37" s="276">
        <f>_11_A通院乗降</f>
        <v>101</v>
      </c>
      <c r="E37" s="271" t="s">
        <v>392</v>
      </c>
      <c r="F37" s="293" t="s">
        <v>398</v>
      </c>
      <c r="G37" s="244">
        <v>0.9</v>
      </c>
      <c r="H37" s="299" t="s">
        <v>397</v>
      </c>
      <c r="I37" s="247" t="s">
        <v>398</v>
      </c>
      <c r="J37" s="46">
        <v>1</v>
      </c>
      <c r="K37" s="43"/>
      <c r="L37" s="37"/>
      <c r="M37" s="38"/>
      <c r="N37" s="706"/>
      <c r="O37" s="220"/>
      <c r="P37" s="38"/>
      <c r="Q37" s="208">
        <f>ROUND((ROUND((ROUND((ROUND((_11_A通院乗降*_11・重度研修),0)*_11・２人),0)*(1+_11・A深夜)),0)*_11・初任),0)</f>
        <v>96</v>
      </c>
      <c r="R37" s="63"/>
    </row>
    <row r="38" spans="1:18" ht="16.5" customHeight="1" x14ac:dyDescent="0.15"/>
    <row r="39" spans="1:18" ht="16.5" customHeight="1" x14ac:dyDescent="0.15"/>
  </sheetData>
  <mergeCells count="15">
    <mergeCell ref="D25:E27"/>
    <mergeCell ref="F25:G27"/>
    <mergeCell ref="M26:M27"/>
    <mergeCell ref="N27:N28"/>
    <mergeCell ref="D34:E36"/>
    <mergeCell ref="F34:G36"/>
    <mergeCell ref="M35:M36"/>
    <mergeCell ref="N36:N37"/>
    <mergeCell ref="D7:E9"/>
    <mergeCell ref="F7:G9"/>
    <mergeCell ref="N9:N10"/>
    <mergeCell ref="D16:E18"/>
    <mergeCell ref="F16:G18"/>
    <mergeCell ref="M17:M18"/>
    <mergeCell ref="N18:N19"/>
  </mergeCells>
  <phoneticPr fontId="1"/>
  <printOptions horizontalCentered="1"/>
  <pageMargins left="0.70866141732283505" right="0.70866141732283505" top="0.74803149606299202" bottom="0.74803149606299202" header="0.31496062992126" footer="0.31496062992126"/>
  <pageSetup paperSize="9" scale="59" fitToHeight="0" orientation="portrait" r:id="rId1"/>
  <headerFooter>
    <oddHeader>&amp;R&amp;"ＭＳ Ｐゴシック"&amp;9居宅介護</oddHeader>
    <oddFooter>&amp;C&amp;"ＭＳ Ｐゴシック"&amp;14&amp;P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1">
    <tabColor rgb="FFFFFF00"/>
    <pageSetUpPr fitToPage="1"/>
  </sheetPr>
  <dimension ref="A1:J32"/>
  <sheetViews>
    <sheetView view="pageBreakPreview" zoomScale="80" zoomScaleNormal="100" zoomScaleSheetLayoutView="80" workbookViewId="0"/>
  </sheetViews>
  <sheetFormatPr defaultColWidth="8.875" defaultRowHeight="14.25" x14ac:dyDescent="0.15"/>
  <cols>
    <col min="1" max="1" width="4.5" style="9" customWidth="1"/>
    <col min="2" max="2" width="7.5" style="9" customWidth="1"/>
    <col min="3" max="3" width="25.5" style="10" customWidth="1"/>
    <col min="4" max="4" width="24.875" style="10" bestFit="1" customWidth="1"/>
    <col min="5" max="5" width="27.5" style="13" bestFit="1" customWidth="1"/>
    <col min="6" max="6" width="46" style="12" customWidth="1"/>
    <col min="7" max="7" width="4.5" style="13" customWidth="1"/>
    <col min="8" max="8" width="7.5" style="12" bestFit="1" customWidth="1"/>
    <col min="9" max="9" width="7.125" style="206" customWidth="1"/>
    <col min="10" max="10" width="8.5" style="16" customWidth="1"/>
    <col min="11" max="16384" width="8.875" style="12"/>
  </cols>
  <sheetData>
    <row r="1" spans="1:10" ht="17.100000000000001" customHeight="1" x14ac:dyDescent="0.15"/>
    <row r="2" spans="1:10" ht="17.100000000000001" customHeight="1" x14ac:dyDescent="0.15"/>
    <row r="3" spans="1:10" ht="17.100000000000001" customHeight="1" x14ac:dyDescent="0.15"/>
    <row r="4" spans="1:10" ht="17.100000000000001" customHeight="1" x14ac:dyDescent="0.15">
      <c r="B4" s="17"/>
      <c r="D4" s="71"/>
    </row>
    <row r="5" spans="1:10" ht="16.5" customHeight="1" x14ac:dyDescent="0.15">
      <c r="A5" s="300" t="s">
        <v>15540</v>
      </c>
      <c r="B5" s="301"/>
      <c r="C5" s="302" t="s">
        <v>15541</v>
      </c>
      <c r="D5" s="303" t="s">
        <v>15542</v>
      </c>
      <c r="E5" s="304"/>
      <c r="F5" s="304"/>
      <c r="G5" s="304"/>
      <c r="H5" s="305"/>
      <c r="I5" s="306" t="s">
        <v>15543</v>
      </c>
      <c r="J5" s="306" t="s">
        <v>15544</v>
      </c>
    </row>
    <row r="6" spans="1:10" ht="16.5" customHeight="1" x14ac:dyDescent="0.15">
      <c r="A6" s="306" t="s">
        <v>15545</v>
      </c>
      <c r="B6" s="302" t="s">
        <v>15546</v>
      </c>
      <c r="C6" s="307"/>
      <c r="D6" s="308"/>
      <c r="E6" s="309"/>
      <c r="F6" s="309"/>
      <c r="G6" s="309"/>
      <c r="H6" s="309"/>
      <c r="I6" s="310" t="s">
        <v>391</v>
      </c>
      <c r="J6" s="310" t="s">
        <v>392</v>
      </c>
    </row>
    <row r="7" spans="1:10" ht="16.5" customHeight="1" x14ac:dyDescent="0.15">
      <c r="A7" s="311">
        <v>11</v>
      </c>
      <c r="B7" s="312" t="s">
        <v>15547</v>
      </c>
      <c r="C7" s="313" t="s">
        <v>15548</v>
      </c>
      <c r="D7" s="314" t="s">
        <v>15549</v>
      </c>
      <c r="E7" s="315"/>
      <c r="F7" s="316"/>
      <c r="G7" s="317"/>
      <c r="H7" s="318" t="s">
        <v>15550</v>
      </c>
      <c r="I7" s="319"/>
      <c r="J7" s="320" t="s">
        <v>15551</v>
      </c>
    </row>
    <row r="8" spans="1:10" ht="16.5" customHeight="1" x14ac:dyDescent="0.15">
      <c r="A8" s="321">
        <v>11</v>
      </c>
      <c r="B8" s="322" t="s">
        <v>15552</v>
      </c>
      <c r="C8" s="323" t="s">
        <v>15553</v>
      </c>
      <c r="D8" s="828" t="s">
        <v>15554</v>
      </c>
      <c r="E8" s="324"/>
      <c r="F8" s="325"/>
      <c r="G8" s="326"/>
      <c r="H8" s="327" t="s">
        <v>15555</v>
      </c>
      <c r="I8" s="328"/>
      <c r="J8" s="329" t="s">
        <v>15556</v>
      </c>
    </row>
    <row r="9" spans="1:10" ht="16.5" customHeight="1" x14ac:dyDescent="0.15">
      <c r="A9" s="321">
        <v>11</v>
      </c>
      <c r="B9" s="322" t="s">
        <v>15557</v>
      </c>
      <c r="C9" s="323" t="s">
        <v>15558</v>
      </c>
      <c r="D9" s="829"/>
      <c r="E9" s="330" t="s">
        <v>15559</v>
      </c>
      <c r="F9" s="325"/>
      <c r="G9" s="331"/>
      <c r="H9" s="332" t="s">
        <v>15555</v>
      </c>
      <c r="I9" s="328"/>
      <c r="J9" s="333"/>
    </row>
    <row r="10" spans="1:10" ht="16.5" customHeight="1" x14ac:dyDescent="0.15">
      <c r="A10" s="321">
        <v>11</v>
      </c>
      <c r="B10" s="322" t="s">
        <v>15560</v>
      </c>
      <c r="C10" s="323" t="s">
        <v>15561</v>
      </c>
      <c r="D10" s="324" t="s">
        <v>15562</v>
      </c>
      <c r="E10" s="334"/>
      <c r="F10" s="330" t="s">
        <v>15563</v>
      </c>
      <c r="G10" s="331">
        <v>5</v>
      </c>
      <c r="H10" s="332" t="s">
        <v>15555</v>
      </c>
      <c r="I10" s="335">
        <f>-ROUND(G10,0)</f>
        <v>-5</v>
      </c>
      <c r="J10" s="336" t="s">
        <v>15564</v>
      </c>
    </row>
    <row r="11" spans="1:10" ht="16.5" customHeight="1" x14ac:dyDescent="0.15">
      <c r="A11" s="321">
        <v>11</v>
      </c>
      <c r="B11" s="322">
        <v>6010</v>
      </c>
      <c r="C11" s="323" t="s">
        <v>15565</v>
      </c>
      <c r="D11" s="337" t="s">
        <v>15566</v>
      </c>
      <c r="E11" s="338" t="s">
        <v>15567</v>
      </c>
      <c r="F11" s="325"/>
      <c r="G11" s="331"/>
      <c r="H11" s="332" t="s">
        <v>15568</v>
      </c>
      <c r="I11" s="328"/>
      <c r="J11" s="339" t="s">
        <v>15556</v>
      </c>
    </row>
    <row r="12" spans="1:10" ht="16.5" customHeight="1" x14ac:dyDescent="0.15">
      <c r="A12" s="340">
        <v>11</v>
      </c>
      <c r="B12" s="341">
        <v>6011</v>
      </c>
      <c r="C12" s="342" t="s">
        <v>15569</v>
      </c>
      <c r="D12" s="337"/>
      <c r="E12" s="338" t="s">
        <v>15570</v>
      </c>
      <c r="F12" s="343"/>
      <c r="G12" s="331"/>
      <c r="H12" s="332" t="s">
        <v>15568</v>
      </c>
      <c r="I12" s="335"/>
      <c r="J12" s="339"/>
    </row>
    <row r="13" spans="1:10" ht="16.5" customHeight="1" x14ac:dyDescent="0.15">
      <c r="A13" s="340">
        <v>11</v>
      </c>
      <c r="B13" s="341">
        <v>6012</v>
      </c>
      <c r="C13" s="342" t="s">
        <v>15571</v>
      </c>
      <c r="D13" s="337"/>
      <c r="E13" s="338" t="s">
        <v>15572</v>
      </c>
      <c r="F13" s="343"/>
      <c r="G13" s="331"/>
      <c r="H13" s="332" t="s">
        <v>15568</v>
      </c>
      <c r="I13" s="335"/>
      <c r="J13" s="339"/>
    </row>
    <row r="14" spans="1:10" ht="16.5" customHeight="1" x14ac:dyDescent="0.15">
      <c r="A14" s="340">
        <v>11</v>
      </c>
      <c r="B14" s="341">
        <v>6013</v>
      </c>
      <c r="C14" s="342" t="s">
        <v>15573</v>
      </c>
      <c r="D14" s="344"/>
      <c r="E14" s="338" t="s">
        <v>15574</v>
      </c>
      <c r="F14" s="343"/>
      <c r="G14" s="331"/>
      <c r="H14" s="332" t="s">
        <v>15568</v>
      </c>
      <c r="I14" s="335"/>
      <c r="J14" s="339"/>
    </row>
    <row r="15" spans="1:10" ht="16.5" customHeight="1" x14ac:dyDescent="0.15">
      <c r="A15" s="340">
        <v>11</v>
      </c>
      <c r="B15" s="341">
        <v>6015</v>
      </c>
      <c r="C15" s="342" t="s">
        <v>15575</v>
      </c>
      <c r="D15" s="345" t="s">
        <v>15576</v>
      </c>
      <c r="E15" s="334"/>
      <c r="F15" s="343"/>
      <c r="G15" s="331"/>
      <c r="H15" s="332" t="s">
        <v>15568</v>
      </c>
      <c r="I15" s="335"/>
      <c r="J15" s="339"/>
    </row>
    <row r="16" spans="1:10" ht="16.5" customHeight="1" x14ac:dyDescent="0.15">
      <c r="A16" s="340">
        <v>11</v>
      </c>
      <c r="B16" s="341">
        <v>6025</v>
      </c>
      <c r="C16" s="342" t="s">
        <v>15577</v>
      </c>
      <c r="D16" s="346" t="s">
        <v>15578</v>
      </c>
      <c r="E16" s="347" t="s">
        <v>15579</v>
      </c>
      <c r="F16" s="330"/>
      <c r="G16" s="348">
        <v>100</v>
      </c>
      <c r="H16" s="332" t="s">
        <v>15568</v>
      </c>
      <c r="I16" s="335">
        <f t="shared" ref="I16:I21" si="0">ROUND(G16,0)</f>
        <v>100</v>
      </c>
      <c r="J16" s="339"/>
    </row>
    <row r="17" spans="1:10" ht="16.5" customHeight="1" x14ac:dyDescent="0.15">
      <c r="A17" s="340">
        <v>11</v>
      </c>
      <c r="B17" s="341">
        <v>6026</v>
      </c>
      <c r="C17" s="342" t="s">
        <v>15580</v>
      </c>
      <c r="D17" s="349"/>
      <c r="E17" s="350"/>
      <c r="F17" s="330" t="s">
        <v>15581</v>
      </c>
      <c r="G17" s="351">
        <v>50</v>
      </c>
      <c r="H17" s="332" t="s">
        <v>15568</v>
      </c>
      <c r="I17" s="335">
        <f>ROUND(G17,0)+ROUND(G16,0)</f>
        <v>150</v>
      </c>
      <c r="J17" s="333"/>
    </row>
    <row r="18" spans="1:10" ht="16.5" customHeight="1" x14ac:dyDescent="0.15">
      <c r="A18" s="340">
        <v>11</v>
      </c>
      <c r="B18" s="340">
        <v>6100</v>
      </c>
      <c r="C18" s="342" t="s">
        <v>15582</v>
      </c>
      <c r="D18" s="330" t="s">
        <v>15583</v>
      </c>
      <c r="E18" s="343"/>
      <c r="F18" s="343"/>
      <c r="G18" s="348">
        <v>100</v>
      </c>
      <c r="H18" s="352" t="s">
        <v>15584</v>
      </c>
      <c r="I18" s="353">
        <f t="shared" si="0"/>
        <v>100</v>
      </c>
      <c r="J18" s="354" t="s">
        <v>15585</v>
      </c>
    </row>
    <row r="19" spans="1:10" ht="16.5" customHeight="1" x14ac:dyDescent="0.15">
      <c r="A19" s="340">
        <v>11</v>
      </c>
      <c r="B19" s="341">
        <v>6020</v>
      </c>
      <c r="C19" s="342" t="s">
        <v>15586</v>
      </c>
      <c r="D19" s="355" t="s">
        <v>15587</v>
      </c>
      <c r="E19" s="325" t="s">
        <v>15588</v>
      </c>
      <c r="F19" s="343"/>
      <c r="G19" s="348">
        <v>200</v>
      </c>
      <c r="H19" s="332" t="s">
        <v>15568</v>
      </c>
      <c r="I19" s="335">
        <f t="shared" si="0"/>
        <v>200</v>
      </c>
      <c r="J19" s="329" t="s">
        <v>15589</v>
      </c>
    </row>
    <row r="20" spans="1:10" ht="16.5" customHeight="1" x14ac:dyDescent="0.15">
      <c r="A20" s="340">
        <v>11</v>
      </c>
      <c r="B20" s="341">
        <v>5010</v>
      </c>
      <c r="C20" s="342" t="s">
        <v>15590</v>
      </c>
      <c r="D20" s="349" t="s">
        <v>15591</v>
      </c>
      <c r="E20" s="325" t="s">
        <v>15588</v>
      </c>
      <c r="F20" s="343"/>
      <c r="G20" s="348">
        <v>150</v>
      </c>
      <c r="H20" s="332" t="s">
        <v>15568</v>
      </c>
      <c r="I20" s="335">
        <f t="shared" si="0"/>
        <v>150</v>
      </c>
      <c r="J20" s="339"/>
    </row>
    <row r="21" spans="1:10" ht="16.5" customHeight="1" x14ac:dyDescent="0.15">
      <c r="A21" s="340">
        <v>11</v>
      </c>
      <c r="B21" s="341">
        <v>6105</v>
      </c>
      <c r="C21" s="342" t="s">
        <v>15592</v>
      </c>
      <c r="D21" s="355" t="s">
        <v>15593</v>
      </c>
      <c r="E21" s="325" t="s">
        <v>15594</v>
      </c>
      <c r="F21" s="343"/>
      <c r="G21" s="348">
        <v>564</v>
      </c>
      <c r="H21" s="332" t="s">
        <v>15568</v>
      </c>
      <c r="I21" s="335">
        <f t="shared" si="0"/>
        <v>564</v>
      </c>
      <c r="J21" s="333"/>
    </row>
    <row r="22" spans="1:10" ht="16.5" customHeight="1" x14ac:dyDescent="0.15">
      <c r="A22" s="340">
        <v>11</v>
      </c>
      <c r="B22" s="341">
        <v>6715</v>
      </c>
      <c r="C22" s="342" t="s">
        <v>15595</v>
      </c>
      <c r="D22" s="356" t="s">
        <v>15596</v>
      </c>
      <c r="E22" s="338" t="s">
        <v>15597</v>
      </c>
      <c r="F22" s="357"/>
      <c r="G22" s="357"/>
      <c r="H22" s="332" t="s">
        <v>15568</v>
      </c>
      <c r="I22" s="353"/>
      <c r="J22" s="339" t="s">
        <v>15598</v>
      </c>
    </row>
    <row r="23" spans="1:10" ht="16.5" customHeight="1" x14ac:dyDescent="0.15">
      <c r="A23" s="340">
        <v>11</v>
      </c>
      <c r="B23" s="341">
        <v>6710</v>
      </c>
      <c r="C23" s="342" t="s">
        <v>15599</v>
      </c>
      <c r="D23" s="358"/>
      <c r="E23" s="338" t="s">
        <v>15600</v>
      </c>
      <c r="F23" s="357"/>
      <c r="G23" s="357"/>
      <c r="H23" s="332" t="s">
        <v>15568</v>
      </c>
      <c r="I23" s="335"/>
      <c r="J23" s="359"/>
    </row>
    <row r="24" spans="1:10" ht="16.5" customHeight="1" x14ac:dyDescent="0.15">
      <c r="A24" s="340">
        <v>11</v>
      </c>
      <c r="B24" s="341">
        <v>6665</v>
      </c>
      <c r="C24" s="342" t="s">
        <v>15601</v>
      </c>
      <c r="D24" s="358"/>
      <c r="E24" s="338" t="s">
        <v>15602</v>
      </c>
      <c r="F24" s="357"/>
      <c r="G24" s="357"/>
      <c r="H24" s="332" t="s">
        <v>15568</v>
      </c>
      <c r="I24" s="353"/>
      <c r="J24" s="359"/>
    </row>
    <row r="25" spans="1:10" ht="16.5" customHeight="1" x14ac:dyDescent="0.15">
      <c r="A25" s="311">
        <v>11</v>
      </c>
      <c r="B25" s="312">
        <v>6670</v>
      </c>
      <c r="C25" s="313" t="s">
        <v>15603</v>
      </c>
      <c r="D25" s="358"/>
      <c r="E25" s="360" t="s">
        <v>15604</v>
      </c>
      <c r="F25" s="361"/>
      <c r="G25" s="361"/>
      <c r="H25" s="318" t="s">
        <v>15568</v>
      </c>
      <c r="I25" s="362"/>
      <c r="J25" s="359"/>
    </row>
    <row r="26" spans="1:10" ht="16.5" customHeight="1" x14ac:dyDescent="0.15">
      <c r="A26" s="311">
        <v>11</v>
      </c>
      <c r="B26" s="312">
        <v>6675</v>
      </c>
      <c r="C26" s="313" t="s">
        <v>15605</v>
      </c>
      <c r="D26" s="363"/>
      <c r="E26" s="360" t="s">
        <v>15606</v>
      </c>
      <c r="F26" s="361"/>
      <c r="G26" s="361"/>
      <c r="H26" s="318" t="s">
        <v>15568</v>
      </c>
      <c r="I26" s="362"/>
      <c r="J26" s="359"/>
    </row>
    <row r="27" spans="1:10" ht="16.5" customHeight="1" x14ac:dyDescent="0.15">
      <c r="A27" s="311">
        <v>11</v>
      </c>
      <c r="B27" s="311">
        <v>6685</v>
      </c>
      <c r="C27" s="313" t="s">
        <v>15607</v>
      </c>
      <c r="D27" s="314" t="s">
        <v>15608</v>
      </c>
      <c r="E27" s="364"/>
      <c r="F27" s="315"/>
      <c r="G27" s="365"/>
      <c r="H27" s="366" t="s">
        <v>15584</v>
      </c>
      <c r="I27" s="362"/>
      <c r="J27" s="367"/>
    </row>
    <row r="28" spans="1:10" ht="16.5" customHeight="1" x14ac:dyDescent="0.15">
      <c r="A28" s="340">
        <v>11</v>
      </c>
      <c r="B28" s="340">
        <v>6772</v>
      </c>
      <c r="C28" s="342" t="s">
        <v>15609</v>
      </c>
      <c r="D28" s="830" t="s">
        <v>15610</v>
      </c>
      <c r="E28" s="330" t="s">
        <v>15611</v>
      </c>
      <c r="F28" s="343"/>
      <c r="G28" s="368"/>
      <c r="H28" s="352" t="s">
        <v>15584</v>
      </c>
      <c r="I28" s="353"/>
      <c r="J28" s="48"/>
    </row>
    <row r="29" spans="1:10" ht="16.5" customHeight="1" x14ac:dyDescent="0.15">
      <c r="A29" s="340">
        <v>11</v>
      </c>
      <c r="B29" s="340">
        <v>6773</v>
      </c>
      <c r="C29" s="342" t="s">
        <v>15612</v>
      </c>
      <c r="D29" s="831"/>
      <c r="E29" s="324" t="s">
        <v>15613</v>
      </c>
      <c r="F29" s="343"/>
      <c r="G29" s="368"/>
      <c r="H29" s="352" t="s">
        <v>15550</v>
      </c>
      <c r="I29" s="353"/>
      <c r="J29" s="48"/>
    </row>
    <row r="30" spans="1:10" ht="16.5" customHeight="1" x14ac:dyDescent="0.15">
      <c r="A30" s="369">
        <v>11</v>
      </c>
      <c r="B30" s="369">
        <v>6766</v>
      </c>
      <c r="C30" s="370" t="s">
        <v>15614</v>
      </c>
      <c r="D30" s="371" t="s">
        <v>15615</v>
      </c>
      <c r="E30" s="372"/>
      <c r="F30" s="373"/>
      <c r="G30" s="372"/>
      <c r="H30" s="374" t="s">
        <v>15550</v>
      </c>
      <c r="I30" s="375"/>
      <c r="J30" s="63"/>
    </row>
    <row r="31" spans="1:10" ht="14.25" customHeight="1" x14ac:dyDescent="0.15"/>
    <row r="32" spans="1:10" ht="16.5" customHeight="1" x14ac:dyDescent="0.15"/>
  </sheetData>
  <mergeCells count="2">
    <mergeCell ref="D8:D9"/>
    <mergeCell ref="D28:D29"/>
  </mergeCells>
  <phoneticPr fontId="1"/>
  <printOptions horizontalCentered="1"/>
  <pageMargins left="0.70866141732283505" right="0.70866141732283505" top="0.74803149606299202" bottom="0.74803149606299202" header="0.31496062992126" footer="0.31496062992126"/>
  <pageSetup paperSize="9" scale="54" fitToHeight="0" orientation="portrait" r:id="rId1"/>
  <headerFooter>
    <oddHeader>&amp;R&amp;"ＭＳ Ｐゴシック"&amp;9居宅介護</oddHeader>
    <oddFooter>&amp;C&amp;"ＭＳ Ｐゴシック"&amp;14&amp;P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2">
    <tabColor rgb="FFFFFF00"/>
    <pageSetUpPr autoPageBreaks="0"/>
  </sheetPr>
  <dimension ref="A1:BA198"/>
  <sheetViews>
    <sheetView view="pageBreakPreview" zoomScaleNormal="100" zoomScaleSheetLayoutView="100" workbookViewId="0"/>
  </sheetViews>
  <sheetFormatPr defaultColWidth="9" defaultRowHeight="17.100000000000001" customHeight="1" x14ac:dyDescent="0.15"/>
  <cols>
    <col min="1" max="1" width="4.5" style="151" customWidth="1"/>
    <col min="2" max="2" width="7.5" style="151" customWidth="1"/>
    <col min="3" max="3" width="30.5" style="151" customWidth="1"/>
    <col min="4" max="43" width="2.5" style="152" customWidth="1"/>
    <col min="44" max="44" width="2.875" style="152" customWidth="1"/>
    <col min="45" max="46" width="2.5" style="152" customWidth="1"/>
    <col min="47" max="47" width="2.5" style="151" customWidth="1"/>
    <col min="48" max="48" width="2.5" style="377" customWidth="1"/>
    <col min="49" max="49" width="2.5" style="151" customWidth="1"/>
    <col min="50" max="50" width="7.125" style="151" customWidth="1"/>
    <col min="51" max="51" width="8.5" style="151" customWidth="1"/>
    <col min="52" max="16384" width="9" style="151"/>
  </cols>
  <sheetData>
    <row r="1" spans="1:51" ht="17.100000000000001" customHeight="1" x14ac:dyDescent="0.15">
      <c r="A1" s="376"/>
    </row>
    <row r="2" spans="1:51" ht="17.100000000000001" customHeight="1" x14ac:dyDescent="0.15">
      <c r="A2" s="376" t="s">
        <v>15616</v>
      </c>
    </row>
    <row r="3" spans="1:51" ht="17.100000000000001" customHeight="1" x14ac:dyDescent="0.15">
      <c r="A3" s="376"/>
    </row>
    <row r="4" spans="1:51" ht="17.100000000000001" customHeight="1" x14ac:dyDescent="0.15">
      <c r="B4" s="17" t="s">
        <v>15617</v>
      </c>
    </row>
    <row r="5" spans="1:51" s="309" customFormat="1" ht="17.100000000000001" customHeight="1" x14ac:dyDescent="0.15">
      <c r="A5" s="300" t="s">
        <v>15540</v>
      </c>
      <c r="B5" s="301"/>
      <c r="C5" s="302" t="s">
        <v>15541</v>
      </c>
      <c r="D5" s="846" t="s">
        <v>15618</v>
      </c>
      <c r="E5" s="847"/>
      <c r="F5" s="847"/>
      <c r="G5" s="847"/>
      <c r="H5" s="847"/>
      <c r="I5" s="847"/>
      <c r="J5" s="847"/>
      <c r="K5" s="847"/>
      <c r="L5" s="847"/>
      <c r="M5" s="847"/>
      <c r="N5" s="847"/>
      <c r="O5" s="847"/>
      <c r="P5" s="847"/>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c r="AW5" s="848"/>
      <c r="AX5" s="306" t="s">
        <v>15543</v>
      </c>
      <c r="AY5" s="378" t="s">
        <v>15544</v>
      </c>
    </row>
    <row r="6" spans="1:51" s="309" customFormat="1" ht="17.100000000000001" customHeight="1" x14ac:dyDescent="0.15">
      <c r="A6" s="379" t="s">
        <v>15545</v>
      </c>
      <c r="B6" s="380" t="s">
        <v>15546</v>
      </c>
      <c r="C6" s="381"/>
      <c r="D6" s="382"/>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c r="AT6" s="383"/>
      <c r="AU6" s="383"/>
      <c r="AV6" s="383"/>
      <c r="AW6" s="383"/>
      <c r="AX6" s="384" t="s">
        <v>391</v>
      </c>
      <c r="AY6" s="385" t="s">
        <v>392</v>
      </c>
    </row>
    <row r="7" spans="1:51" ht="17.100000000000001" customHeight="1" x14ac:dyDescent="0.15">
      <c r="A7" s="321">
        <v>12</v>
      </c>
      <c r="B7" s="322">
        <v>1171</v>
      </c>
      <c r="C7" s="386" t="s">
        <v>15619</v>
      </c>
      <c r="D7" s="849" t="s">
        <v>15620</v>
      </c>
      <c r="E7" s="850"/>
      <c r="F7" s="851"/>
      <c r="G7" s="850"/>
      <c r="H7" s="852"/>
      <c r="I7" s="152" t="s">
        <v>15621</v>
      </c>
      <c r="L7" s="151"/>
      <c r="M7" s="151"/>
      <c r="N7" s="151"/>
      <c r="O7" s="151"/>
      <c r="P7" s="151"/>
      <c r="Y7" s="387"/>
      <c r="Z7" s="325"/>
      <c r="AA7" s="325"/>
      <c r="AB7" s="325"/>
      <c r="AC7" s="325"/>
      <c r="AD7" s="325"/>
      <c r="AE7" s="325"/>
      <c r="AF7" s="325"/>
      <c r="AG7" s="325"/>
      <c r="AH7" s="325"/>
      <c r="AI7" s="325"/>
      <c r="AJ7" s="325"/>
      <c r="AK7" s="325"/>
      <c r="AL7" s="325"/>
      <c r="AM7" s="325"/>
      <c r="AN7" s="325"/>
      <c r="AO7" s="388"/>
      <c r="AU7" s="152"/>
      <c r="AV7" s="152"/>
      <c r="AW7" s="152"/>
      <c r="AX7" s="389">
        <f>ROUND(U8,0)</f>
        <v>213</v>
      </c>
      <c r="AY7" s="339" t="s">
        <v>15622</v>
      </c>
    </row>
    <row r="8" spans="1:51" ht="16.5" customHeight="1" x14ac:dyDescent="0.15">
      <c r="A8" s="340">
        <v>12</v>
      </c>
      <c r="B8" s="341">
        <v>1172</v>
      </c>
      <c r="C8" s="390" t="s">
        <v>15623</v>
      </c>
      <c r="D8" s="849"/>
      <c r="E8" s="850"/>
      <c r="F8" s="851"/>
      <c r="G8" s="850"/>
      <c r="H8" s="852"/>
      <c r="U8" s="836">
        <f>ROUND(U104*$F$13,0)</f>
        <v>213</v>
      </c>
      <c r="V8" s="853"/>
      <c r="W8" s="853"/>
      <c r="X8" s="152" t="s">
        <v>15624</v>
      </c>
      <c r="Y8" s="387"/>
      <c r="Z8" s="343" t="s">
        <v>15625</v>
      </c>
      <c r="AA8" s="325"/>
      <c r="AB8" s="325"/>
      <c r="AC8" s="325"/>
      <c r="AD8" s="325"/>
      <c r="AE8" s="325"/>
      <c r="AF8" s="325"/>
      <c r="AG8" s="325"/>
      <c r="AH8" s="325"/>
      <c r="AI8" s="325"/>
      <c r="AJ8" s="325"/>
      <c r="AK8" s="325"/>
      <c r="AL8" s="325"/>
      <c r="AM8" s="391" t="s">
        <v>15626</v>
      </c>
      <c r="AN8" s="838">
        <v>1</v>
      </c>
      <c r="AO8" s="839"/>
      <c r="AU8" s="152"/>
      <c r="AV8" s="152"/>
      <c r="AW8" s="152"/>
      <c r="AX8" s="392">
        <f>ROUND(U8*AN8,0)</f>
        <v>213</v>
      </c>
      <c r="AY8" s="393"/>
    </row>
    <row r="9" spans="1:51" ht="16.5" customHeight="1" x14ac:dyDescent="0.15">
      <c r="A9" s="287">
        <v>12</v>
      </c>
      <c r="B9" s="287">
        <v>7001</v>
      </c>
      <c r="C9" s="394" t="s">
        <v>15627</v>
      </c>
      <c r="D9" s="849"/>
      <c r="E9" s="850"/>
      <c r="F9" s="851"/>
      <c r="G9" s="850"/>
      <c r="H9" s="852"/>
      <c r="U9" s="395"/>
      <c r="V9" s="151"/>
      <c r="W9" s="151"/>
      <c r="Y9" s="387"/>
      <c r="Z9" s="343"/>
      <c r="AA9" s="343"/>
      <c r="AB9" s="343"/>
      <c r="AC9" s="343"/>
      <c r="AD9" s="343"/>
      <c r="AE9" s="343"/>
      <c r="AF9" s="343"/>
      <c r="AG9" s="343"/>
      <c r="AH9" s="343"/>
      <c r="AI9" s="343"/>
      <c r="AJ9" s="343"/>
      <c r="AK9" s="343"/>
      <c r="AL9" s="343"/>
      <c r="AM9" s="343"/>
      <c r="AN9" s="343"/>
      <c r="AO9" s="343"/>
      <c r="AP9" s="114" t="s">
        <v>15628</v>
      </c>
      <c r="AQ9" s="396"/>
      <c r="AR9" s="396"/>
      <c r="AS9" s="396"/>
      <c r="AT9" s="396"/>
      <c r="AU9" s="396"/>
      <c r="AV9" s="396"/>
      <c r="AW9" s="397"/>
      <c r="AX9" s="392">
        <f>ROUND(U8*AV10,0)</f>
        <v>181</v>
      </c>
      <c r="AY9" s="393"/>
    </row>
    <row r="10" spans="1:51" ht="16.5" customHeight="1" x14ac:dyDescent="0.15">
      <c r="A10" s="287">
        <v>12</v>
      </c>
      <c r="B10" s="287">
        <v>7002</v>
      </c>
      <c r="C10" s="394" t="s">
        <v>15629</v>
      </c>
      <c r="D10" s="849"/>
      <c r="E10" s="850"/>
      <c r="F10" s="851"/>
      <c r="G10" s="850"/>
      <c r="H10" s="852"/>
      <c r="U10" s="395"/>
      <c r="V10" s="151"/>
      <c r="W10" s="151"/>
      <c r="Y10" s="387"/>
      <c r="Z10" s="343" t="s">
        <v>15625</v>
      </c>
      <c r="AA10" s="325"/>
      <c r="AB10" s="325"/>
      <c r="AC10" s="325"/>
      <c r="AD10" s="325"/>
      <c r="AE10" s="325"/>
      <c r="AF10" s="325"/>
      <c r="AG10" s="325"/>
      <c r="AH10" s="325"/>
      <c r="AI10" s="325"/>
      <c r="AJ10" s="325"/>
      <c r="AK10" s="325"/>
      <c r="AL10" s="325"/>
      <c r="AM10" s="391" t="s">
        <v>15626</v>
      </c>
      <c r="AN10" s="838">
        <f>AN8</f>
        <v>1</v>
      </c>
      <c r="AO10" s="843"/>
      <c r="AP10" s="324" t="s">
        <v>15630</v>
      </c>
      <c r="AQ10" s="325"/>
      <c r="AR10" s="325"/>
      <c r="AS10" s="325"/>
      <c r="AT10" s="325"/>
      <c r="AU10" s="190" t="s">
        <v>398</v>
      </c>
      <c r="AV10" s="844">
        <v>0.85</v>
      </c>
      <c r="AW10" s="845"/>
      <c r="AX10" s="392">
        <f>ROUND(ROUND(U8*AN10,0)*AV10,0)</f>
        <v>181</v>
      </c>
      <c r="AY10" s="393"/>
    </row>
    <row r="11" spans="1:51" ht="16.5" customHeight="1" x14ac:dyDescent="0.15">
      <c r="A11" s="340">
        <v>12</v>
      </c>
      <c r="B11" s="341">
        <v>1181</v>
      </c>
      <c r="C11" s="390" t="s">
        <v>15631</v>
      </c>
      <c r="D11" s="832" t="s">
        <v>15632</v>
      </c>
      <c r="E11" s="833"/>
      <c r="F11" s="834"/>
      <c r="G11" s="833"/>
      <c r="H11" s="835"/>
      <c r="I11" s="398" t="s">
        <v>15633</v>
      </c>
      <c r="J11" s="396"/>
      <c r="K11" s="396"/>
      <c r="L11" s="396"/>
      <c r="M11" s="396"/>
      <c r="N11" s="396"/>
      <c r="O11" s="396"/>
      <c r="P11" s="396"/>
      <c r="Q11" s="396"/>
      <c r="R11" s="396"/>
      <c r="S11" s="396"/>
      <c r="T11" s="396"/>
      <c r="U11" s="399"/>
      <c r="V11" s="400"/>
      <c r="W11" s="400"/>
      <c r="X11" s="396"/>
      <c r="Y11" s="397"/>
      <c r="Z11" s="343"/>
      <c r="AA11" s="325"/>
      <c r="AB11" s="325"/>
      <c r="AC11" s="325"/>
      <c r="AD11" s="325"/>
      <c r="AE11" s="325"/>
      <c r="AF11" s="325"/>
      <c r="AG11" s="325"/>
      <c r="AH11" s="325"/>
      <c r="AI11" s="325"/>
      <c r="AJ11" s="325"/>
      <c r="AK11" s="325"/>
      <c r="AL11" s="325"/>
      <c r="AM11" s="391"/>
      <c r="AN11" s="401"/>
      <c r="AO11" s="402"/>
      <c r="AU11" s="152"/>
      <c r="AV11" s="152"/>
      <c r="AW11" s="152"/>
      <c r="AX11" s="392">
        <f>ROUND(U12,0)</f>
        <v>104</v>
      </c>
      <c r="AY11" s="393"/>
    </row>
    <row r="12" spans="1:51" ht="16.5" customHeight="1" x14ac:dyDescent="0.15">
      <c r="A12" s="340">
        <v>12</v>
      </c>
      <c r="B12" s="341">
        <v>1182</v>
      </c>
      <c r="C12" s="390" t="s">
        <v>15634</v>
      </c>
      <c r="D12" s="832"/>
      <c r="E12" s="833"/>
      <c r="F12" s="834"/>
      <c r="G12" s="833"/>
      <c r="H12" s="835"/>
      <c r="U12" s="836">
        <f>ROUND(U108*$F$13,0)</f>
        <v>104</v>
      </c>
      <c r="V12" s="837"/>
      <c r="W12" s="837"/>
      <c r="X12" s="152" t="s">
        <v>15624</v>
      </c>
      <c r="Y12" s="387"/>
      <c r="Z12" s="343" t="s">
        <v>15625</v>
      </c>
      <c r="AA12" s="325"/>
      <c r="AB12" s="325"/>
      <c r="AC12" s="325"/>
      <c r="AD12" s="325"/>
      <c r="AE12" s="325"/>
      <c r="AF12" s="325"/>
      <c r="AG12" s="325"/>
      <c r="AH12" s="325"/>
      <c r="AI12" s="325"/>
      <c r="AJ12" s="325"/>
      <c r="AK12" s="325"/>
      <c r="AL12" s="325"/>
      <c r="AM12" s="391" t="s">
        <v>15626</v>
      </c>
      <c r="AN12" s="838">
        <f>AN10</f>
        <v>1</v>
      </c>
      <c r="AO12" s="839"/>
      <c r="AU12" s="152"/>
      <c r="AV12" s="152"/>
      <c r="AW12" s="152"/>
      <c r="AX12" s="392">
        <f>ROUND(U12*AN12,0)</f>
        <v>104</v>
      </c>
      <c r="AY12" s="393"/>
    </row>
    <row r="13" spans="1:51" ht="16.5" customHeight="1" x14ac:dyDescent="0.15">
      <c r="A13" s="287">
        <v>12</v>
      </c>
      <c r="B13" s="287">
        <v>7003</v>
      </c>
      <c r="C13" s="394" t="s">
        <v>15635</v>
      </c>
      <c r="D13" s="403"/>
      <c r="E13" s="404" t="s">
        <v>15636</v>
      </c>
      <c r="F13" s="840">
        <v>1.1499999999999999</v>
      </c>
      <c r="G13" s="841"/>
      <c r="H13" s="842"/>
      <c r="U13" s="395"/>
      <c r="V13" s="151"/>
      <c r="W13" s="151"/>
      <c r="Y13" s="387"/>
      <c r="Z13" s="343"/>
      <c r="AA13" s="343"/>
      <c r="AB13" s="343"/>
      <c r="AC13" s="343"/>
      <c r="AD13" s="343"/>
      <c r="AE13" s="343"/>
      <c r="AF13" s="343"/>
      <c r="AG13" s="343"/>
      <c r="AH13" s="343"/>
      <c r="AI13" s="343"/>
      <c r="AJ13" s="343"/>
      <c r="AK13" s="343"/>
      <c r="AL13" s="343"/>
      <c r="AM13" s="343"/>
      <c r="AN13" s="343"/>
      <c r="AO13" s="343"/>
      <c r="AP13" s="114" t="s">
        <v>15628</v>
      </c>
      <c r="AQ13" s="396"/>
      <c r="AR13" s="396"/>
      <c r="AS13" s="396"/>
      <c r="AT13" s="396"/>
      <c r="AU13" s="396"/>
      <c r="AV13" s="396"/>
      <c r="AW13" s="397"/>
      <c r="AX13" s="392">
        <f>ROUND(U12*AV14,0)</f>
        <v>88</v>
      </c>
      <c r="AY13" s="393"/>
    </row>
    <row r="14" spans="1:51" ht="16.5" customHeight="1" x14ac:dyDescent="0.15">
      <c r="A14" s="287">
        <v>12</v>
      </c>
      <c r="B14" s="287">
        <v>7004</v>
      </c>
      <c r="C14" s="394" t="s">
        <v>15637</v>
      </c>
      <c r="D14" s="403"/>
      <c r="E14" s="404"/>
      <c r="F14" s="405"/>
      <c r="G14" s="404"/>
      <c r="H14" s="406"/>
      <c r="U14" s="395"/>
      <c r="V14" s="151"/>
      <c r="W14" s="151"/>
      <c r="Y14" s="387"/>
      <c r="Z14" s="343" t="s">
        <v>15625</v>
      </c>
      <c r="AA14" s="325"/>
      <c r="AB14" s="325"/>
      <c r="AC14" s="325"/>
      <c r="AD14" s="325"/>
      <c r="AE14" s="325"/>
      <c r="AF14" s="325"/>
      <c r="AG14" s="325"/>
      <c r="AH14" s="325"/>
      <c r="AI14" s="325"/>
      <c r="AJ14" s="325"/>
      <c r="AK14" s="325"/>
      <c r="AL14" s="325"/>
      <c r="AM14" s="391" t="s">
        <v>15626</v>
      </c>
      <c r="AN14" s="838">
        <f>AN12</f>
        <v>1</v>
      </c>
      <c r="AO14" s="843"/>
      <c r="AP14" s="324" t="s">
        <v>15630</v>
      </c>
      <c r="AQ14" s="325"/>
      <c r="AR14" s="325"/>
      <c r="AS14" s="325"/>
      <c r="AT14" s="325"/>
      <c r="AU14" s="190" t="s">
        <v>398</v>
      </c>
      <c r="AV14" s="844">
        <f>AV10</f>
        <v>0.85</v>
      </c>
      <c r="AW14" s="845"/>
      <c r="AX14" s="392">
        <f>ROUND(ROUND(U12*AN14,0)*AV14,0)</f>
        <v>88</v>
      </c>
      <c r="AY14" s="393"/>
    </row>
    <row r="15" spans="1:51" ht="16.5" customHeight="1" x14ac:dyDescent="0.15">
      <c r="A15" s="340">
        <v>12</v>
      </c>
      <c r="B15" s="341">
        <v>1391</v>
      </c>
      <c r="C15" s="390" t="s">
        <v>15638</v>
      </c>
      <c r="D15" s="403"/>
      <c r="E15" s="404"/>
      <c r="F15" s="405"/>
      <c r="G15" s="404"/>
      <c r="H15" s="406"/>
      <c r="I15" s="253" t="s">
        <v>15639</v>
      </c>
      <c r="J15" s="396"/>
      <c r="K15" s="396"/>
      <c r="L15" s="396"/>
      <c r="M15" s="396"/>
      <c r="N15" s="396"/>
      <c r="O15" s="396"/>
      <c r="P15" s="396"/>
      <c r="Q15" s="396"/>
      <c r="R15" s="396"/>
      <c r="S15" s="396"/>
      <c r="T15" s="396"/>
      <c r="U15" s="399"/>
      <c r="V15" s="400"/>
      <c r="W15" s="400"/>
      <c r="X15" s="396"/>
      <c r="Y15" s="397"/>
      <c r="Z15" s="343"/>
      <c r="AA15" s="325"/>
      <c r="AB15" s="325"/>
      <c r="AC15" s="325"/>
      <c r="AD15" s="325"/>
      <c r="AE15" s="325"/>
      <c r="AF15" s="325"/>
      <c r="AG15" s="325"/>
      <c r="AH15" s="325"/>
      <c r="AI15" s="325"/>
      <c r="AJ15" s="325"/>
      <c r="AK15" s="325"/>
      <c r="AL15" s="325"/>
      <c r="AM15" s="391"/>
      <c r="AN15" s="401"/>
      <c r="AO15" s="402"/>
      <c r="AP15" s="396"/>
      <c r="AQ15" s="396"/>
      <c r="AR15" s="396"/>
      <c r="AS15" s="396"/>
      <c r="AT15" s="396"/>
      <c r="AU15" s="396"/>
      <c r="AV15" s="396"/>
      <c r="AW15" s="396"/>
      <c r="AX15" s="392">
        <f>ROUND(U16,0)</f>
        <v>106</v>
      </c>
      <c r="AY15" s="393"/>
    </row>
    <row r="16" spans="1:51" ht="16.5" customHeight="1" x14ac:dyDescent="0.15">
      <c r="A16" s="340">
        <v>12</v>
      </c>
      <c r="B16" s="341">
        <v>1392</v>
      </c>
      <c r="C16" s="390" t="s">
        <v>15640</v>
      </c>
      <c r="D16" s="403"/>
      <c r="E16" s="404"/>
      <c r="F16" s="405"/>
      <c r="G16" s="404"/>
      <c r="H16" s="406"/>
      <c r="U16" s="836">
        <f>ROUND(U112*$F$13,0)</f>
        <v>106</v>
      </c>
      <c r="V16" s="837"/>
      <c r="W16" s="837"/>
      <c r="X16" s="152" t="s">
        <v>15624</v>
      </c>
      <c r="Y16" s="387"/>
      <c r="Z16" s="343" t="s">
        <v>15625</v>
      </c>
      <c r="AA16" s="325"/>
      <c r="AB16" s="325"/>
      <c r="AC16" s="325"/>
      <c r="AD16" s="325"/>
      <c r="AE16" s="325"/>
      <c r="AF16" s="325"/>
      <c r="AG16" s="325"/>
      <c r="AH16" s="325"/>
      <c r="AI16" s="325"/>
      <c r="AJ16" s="325"/>
      <c r="AK16" s="325"/>
      <c r="AL16" s="325"/>
      <c r="AM16" s="391" t="s">
        <v>15626</v>
      </c>
      <c r="AN16" s="838">
        <f>AN14</f>
        <v>1</v>
      </c>
      <c r="AO16" s="839"/>
      <c r="AP16" s="325"/>
      <c r="AQ16" s="325"/>
      <c r="AR16" s="325"/>
      <c r="AS16" s="325"/>
      <c r="AT16" s="325"/>
      <c r="AU16" s="325"/>
      <c r="AV16" s="325"/>
      <c r="AW16" s="325"/>
      <c r="AX16" s="392">
        <f>ROUND(U16*AN16,0)</f>
        <v>106</v>
      </c>
      <c r="AY16" s="393"/>
    </row>
    <row r="17" spans="1:51" ht="16.5" customHeight="1" x14ac:dyDescent="0.15">
      <c r="A17" s="287">
        <v>12</v>
      </c>
      <c r="B17" s="287">
        <v>7005</v>
      </c>
      <c r="C17" s="394" t="s">
        <v>15641</v>
      </c>
      <c r="D17" s="403"/>
      <c r="E17" s="404"/>
      <c r="F17" s="405"/>
      <c r="G17" s="404"/>
      <c r="H17" s="406"/>
      <c r="U17" s="395"/>
      <c r="V17" s="151"/>
      <c r="W17" s="151"/>
      <c r="Y17" s="387"/>
      <c r="Z17" s="343"/>
      <c r="AA17" s="343"/>
      <c r="AB17" s="343"/>
      <c r="AC17" s="343"/>
      <c r="AD17" s="343"/>
      <c r="AE17" s="343"/>
      <c r="AF17" s="343"/>
      <c r="AG17" s="343"/>
      <c r="AH17" s="343"/>
      <c r="AI17" s="343"/>
      <c r="AJ17" s="343"/>
      <c r="AK17" s="343"/>
      <c r="AL17" s="343"/>
      <c r="AM17" s="343"/>
      <c r="AN17" s="343"/>
      <c r="AO17" s="343"/>
      <c r="AP17" s="114" t="s">
        <v>15628</v>
      </c>
      <c r="AQ17" s="396"/>
      <c r="AR17" s="396"/>
      <c r="AS17" s="396"/>
      <c r="AT17" s="396"/>
      <c r="AU17" s="396"/>
      <c r="AV17" s="396"/>
      <c r="AW17" s="397"/>
      <c r="AX17" s="392">
        <f>ROUND(U16*AV18,0)</f>
        <v>90</v>
      </c>
      <c r="AY17" s="393"/>
    </row>
    <row r="18" spans="1:51" ht="16.5" customHeight="1" x14ac:dyDescent="0.15">
      <c r="A18" s="287">
        <v>12</v>
      </c>
      <c r="B18" s="287">
        <v>7006</v>
      </c>
      <c r="C18" s="394" t="s">
        <v>15642</v>
      </c>
      <c r="D18" s="403"/>
      <c r="E18" s="404"/>
      <c r="F18" s="405"/>
      <c r="G18" s="404"/>
      <c r="H18" s="406"/>
      <c r="U18" s="395"/>
      <c r="V18" s="151"/>
      <c r="W18" s="151"/>
      <c r="Y18" s="387"/>
      <c r="Z18" s="343" t="s">
        <v>15625</v>
      </c>
      <c r="AA18" s="325"/>
      <c r="AB18" s="325"/>
      <c r="AC18" s="325"/>
      <c r="AD18" s="325"/>
      <c r="AE18" s="325"/>
      <c r="AF18" s="325"/>
      <c r="AG18" s="325"/>
      <c r="AH18" s="325"/>
      <c r="AI18" s="325"/>
      <c r="AJ18" s="325"/>
      <c r="AK18" s="325"/>
      <c r="AL18" s="325"/>
      <c r="AM18" s="391" t="s">
        <v>15626</v>
      </c>
      <c r="AN18" s="838">
        <f>AN16</f>
        <v>1</v>
      </c>
      <c r="AO18" s="843"/>
      <c r="AP18" s="324" t="s">
        <v>15630</v>
      </c>
      <c r="AQ18" s="325"/>
      <c r="AR18" s="325"/>
      <c r="AS18" s="325"/>
      <c r="AT18" s="325"/>
      <c r="AU18" s="190" t="s">
        <v>398</v>
      </c>
      <c r="AV18" s="844">
        <f>AV14</f>
        <v>0.85</v>
      </c>
      <c r="AW18" s="845"/>
      <c r="AX18" s="392">
        <f>ROUND(ROUND(U16*AN18,0)*AV18,0)</f>
        <v>90</v>
      </c>
      <c r="AY18" s="393"/>
    </row>
    <row r="19" spans="1:51" ht="16.5" customHeight="1" x14ac:dyDescent="0.15">
      <c r="A19" s="340">
        <v>12</v>
      </c>
      <c r="B19" s="341">
        <v>1401</v>
      </c>
      <c r="C19" s="390" t="s">
        <v>15643</v>
      </c>
      <c r="D19" s="403"/>
      <c r="E19" s="404"/>
      <c r="F19" s="405"/>
      <c r="G19" s="404"/>
      <c r="H19" s="406"/>
      <c r="I19" s="253" t="s">
        <v>15644</v>
      </c>
      <c r="J19" s="396"/>
      <c r="K19" s="396"/>
      <c r="L19" s="396"/>
      <c r="M19" s="396"/>
      <c r="N19" s="396"/>
      <c r="O19" s="396"/>
      <c r="P19" s="396"/>
      <c r="Q19" s="396"/>
      <c r="R19" s="396"/>
      <c r="S19" s="396"/>
      <c r="T19" s="396"/>
      <c r="U19" s="399"/>
      <c r="V19" s="400"/>
      <c r="W19" s="400"/>
      <c r="X19" s="396"/>
      <c r="Y19" s="397"/>
      <c r="Z19" s="343"/>
      <c r="AA19" s="325"/>
      <c r="AB19" s="325"/>
      <c r="AC19" s="325"/>
      <c r="AD19" s="325"/>
      <c r="AE19" s="325"/>
      <c r="AF19" s="325"/>
      <c r="AG19" s="325"/>
      <c r="AH19" s="325"/>
      <c r="AI19" s="325"/>
      <c r="AJ19" s="325"/>
      <c r="AK19" s="325"/>
      <c r="AL19" s="325"/>
      <c r="AM19" s="391"/>
      <c r="AN19" s="401"/>
      <c r="AO19" s="402"/>
      <c r="AP19" s="396"/>
      <c r="AQ19" s="396"/>
      <c r="AR19" s="396"/>
      <c r="AS19" s="396"/>
      <c r="AT19" s="396"/>
      <c r="AU19" s="396"/>
      <c r="AV19" s="396"/>
      <c r="AW19" s="396"/>
      <c r="AX19" s="392">
        <f>ROUND(U20,0)</f>
        <v>105</v>
      </c>
      <c r="AY19" s="393"/>
    </row>
    <row r="20" spans="1:51" ht="16.5" customHeight="1" x14ac:dyDescent="0.15">
      <c r="A20" s="340">
        <v>12</v>
      </c>
      <c r="B20" s="341">
        <v>1402</v>
      </c>
      <c r="C20" s="390" t="s">
        <v>15645</v>
      </c>
      <c r="D20" s="403"/>
      <c r="E20" s="404"/>
      <c r="F20" s="405"/>
      <c r="G20" s="404"/>
      <c r="H20" s="406"/>
      <c r="U20" s="836">
        <f>ROUND(U116*$F$13,0)</f>
        <v>105</v>
      </c>
      <c r="V20" s="837"/>
      <c r="W20" s="837"/>
      <c r="X20" s="152" t="s">
        <v>15624</v>
      </c>
      <c r="Y20" s="387"/>
      <c r="Z20" s="343" t="s">
        <v>15625</v>
      </c>
      <c r="AA20" s="325"/>
      <c r="AB20" s="325"/>
      <c r="AC20" s="325"/>
      <c r="AD20" s="325"/>
      <c r="AE20" s="325"/>
      <c r="AF20" s="325"/>
      <c r="AG20" s="325"/>
      <c r="AH20" s="325"/>
      <c r="AI20" s="325"/>
      <c r="AJ20" s="325"/>
      <c r="AK20" s="325"/>
      <c r="AL20" s="325"/>
      <c r="AM20" s="391" t="s">
        <v>15626</v>
      </c>
      <c r="AN20" s="838">
        <f>AN18</f>
        <v>1</v>
      </c>
      <c r="AO20" s="839"/>
      <c r="AP20" s="325"/>
      <c r="AQ20" s="325"/>
      <c r="AR20" s="325"/>
      <c r="AS20" s="325"/>
      <c r="AT20" s="325"/>
      <c r="AU20" s="325"/>
      <c r="AV20" s="325"/>
      <c r="AW20" s="325"/>
      <c r="AX20" s="392">
        <f>ROUND(U20*AN20,0)</f>
        <v>105</v>
      </c>
      <c r="AY20" s="393"/>
    </row>
    <row r="21" spans="1:51" ht="16.5" customHeight="1" x14ac:dyDescent="0.15">
      <c r="A21" s="287">
        <v>12</v>
      </c>
      <c r="B21" s="287">
        <v>7007</v>
      </c>
      <c r="C21" s="394" t="s">
        <v>15646</v>
      </c>
      <c r="D21" s="403"/>
      <c r="E21" s="404"/>
      <c r="F21" s="405"/>
      <c r="G21" s="404"/>
      <c r="H21" s="406"/>
      <c r="U21" s="395"/>
      <c r="V21" s="151"/>
      <c r="W21" s="151"/>
      <c r="Y21" s="387"/>
      <c r="Z21" s="343"/>
      <c r="AA21" s="343"/>
      <c r="AB21" s="343"/>
      <c r="AC21" s="343"/>
      <c r="AD21" s="343"/>
      <c r="AE21" s="343"/>
      <c r="AF21" s="343"/>
      <c r="AG21" s="343"/>
      <c r="AH21" s="343"/>
      <c r="AI21" s="343"/>
      <c r="AJ21" s="343"/>
      <c r="AK21" s="343"/>
      <c r="AL21" s="343"/>
      <c r="AM21" s="343"/>
      <c r="AN21" s="343"/>
      <c r="AO21" s="343"/>
      <c r="AP21" s="114" t="s">
        <v>15628</v>
      </c>
      <c r="AQ21" s="396"/>
      <c r="AR21" s="396"/>
      <c r="AS21" s="396"/>
      <c r="AT21" s="396"/>
      <c r="AU21" s="396"/>
      <c r="AV21" s="396"/>
      <c r="AW21" s="397"/>
      <c r="AX21" s="392">
        <f>ROUND(U20*AV22,0)</f>
        <v>89</v>
      </c>
      <c r="AY21" s="393"/>
    </row>
    <row r="22" spans="1:51" ht="16.5" customHeight="1" x14ac:dyDescent="0.15">
      <c r="A22" s="287">
        <v>12</v>
      </c>
      <c r="B22" s="287">
        <v>7008</v>
      </c>
      <c r="C22" s="394" t="s">
        <v>15647</v>
      </c>
      <c r="D22" s="403"/>
      <c r="E22" s="404"/>
      <c r="F22" s="405"/>
      <c r="G22" s="404"/>
      <c r="H22" s="406"/>
      <c r="U22" s="395"/>
      <c r="V22" s="151"/>
      <c r="W22" s="151"/>
      <c r="Y22" s="387"/>
      <c r="Z22" s="343" t="s">
        <v>15625</v>
      </c>
      <c r="AA22" s="325"/>
      <c r="AB22" s="325"/>
      <c r="AC22" s="325"/>
      <c r="AD22" s="325"/>
      <c r="AE22" s="325"/>
      <c r="AF22" s="325"/>
      <c r="AG22" s="325"/>
      <c r="AH22" s="325"/>
      <c r="AI22" s="325"/>
      <c r="AJ22" s="325"/>
      <c r="AK22" s="325"/>
      <c r="AL22" s="325"/>
      <c r="AM22" s="391" t="s">
        <v>15626</v>
      </c>
      <c r="AN22" s="838">
        <f>AN20</f>
        <v>1</v>
      </c>
      <c r="AO22" s="843"/>
      <c r="AP22" s="324" t="s">
        <v>15630</v>
      </c>
      <c r="AQ22" s="325"/>
      <c r="AR22" s="325"/>
      <c r="AS22" s="325"/>
      <c r="AT22" s="325"/>
      <c r="AU22" s="190" t="s">
        <v>398</v>
      </c>
      <c r="AV22" s="844">
        <f>AV18</f>
        <v>0.85</v>
      </c>
      <c r="AW22" s="845"/>
      <c r="AX22" s="392">
        <f>ROUND(ROUND(U20*AN22,0)*AV22,0)</f>
        <v>89</v>
      </c>
      <c r="AY22" s="393"/>
    </row>
    <row r="23" spans="1:51" ht="16.5" customHeight="1" x14ac:dyDescent="0.15">
      <c r="A23" s="340">
        <v>12</v>
      </c>
      <c r="B23" s="341">
        <v>1411</v>
      </c>
      <c r="C23" s="390" t="s">
        <v>15648</v>
      </c>
      <c r="D23" s="403"/>
      <c r="E23" s="404"/>
      <c r="F23" s="405"/>
      <c r="G23" s="404"/>
      <c r="H23" s="406"/>
      <c r="I23" s="253" t="s">
        <v>15649</v>
      </c>
      <c r="J23" s="396"/>
      <c r="K23" s="396"/>
      <c r="L23" s="396"/>
      <c r="M23" s="396"/>
      <c r="N23" s="396"/>
      <c r="O23" s="396"/>
      <c r="P23" s="396"/>
      <c r="Q23" s="396"/>
      <c r="R23" s="396"/>
      <c r="S23" s="396"/>
      <c r="T23" s="396"/>
      <c r="U23" s="399"/>
      <c r="V23" s="400"/>
      <c r="W23" s="400"/>
      <c r="X23" s="396"/>
      <c r="Y23" s="397"/>
      <c r="Z23" s="343"/>
      <c r="AA23" s="325"/>
      <c r="AB23" s="325"/>
      <c r="AC23" s="325"/>
      <c r="AD23" s="325"/>
      <c r="AE23" s="325"/>
      <c r="AF23" s="325"/>
      <c r="AG23" s="325"/>
      <c r="AH23" s="325"/>
      <c r="AI23" s="325"/>
      <c r="AJ23" s="325"/>
      <c r="AK23" s="325"/>
      <c r="AL23" s="325"/>
      <c r="AM23" s="391"/>
      <c r="AN23" s="401"/>
      <c r="AO23" s="402"/>
      <c r="AP23" s="396"/>
      <c r="AQ23" s="396"/>
      <c r="AR23" s="396"/>
      <c r="AS23" s="396"/>
      <c r="AT23" s="396"/>
      <c r="AU23" s="396"/>
      <c r="AV23" s="396"/>
      <c r="AW23" s="396"/>
      <c r="AX23" s="392">
        <f>ROUND(U24,0)</f>
        <v>106</v>
      </c>
      <c r="AY23" s="393"/>
    </row>
    <row r="24" spans="1:51" ht="16.5" customHeight="1" x14ac:dyDescent="0.15">
      <c r="A24" s="340">
        <v>12</v>
      </c>
      <c r="B24" s="341">
        <v>1412</v>
      </c>
      <c r="C24" s="390" t="s">
        <v>15650</v>
      </c>
      <c r="D24" s="403"/>
      <c r="E24" s="404"/>
      <c r="F24" s="405"/>
      <c r="G24" s="404"/>
      <c r="H24" s="406"/>
      <c r="U24" s="836">
        <f>ROUND(U120*$F$13,0)</f>
        <v>106</v>
      </c>
      <c r="V24" s="837"/>
      <c r="W24" s="837"/>
      <c r="X24" s="152" t="s">
        <v>15624</v>
      </c>
      <c r="Y24" s="387"/>
      <c r="Z24" s="343" t="s">
        <v>15625</v>
      </c>
      <c r="AA24" s="325"/>
      <c r="AB24" s="325"/>
      <c r="AC24" s="325"/>
      <c r="AD24" s="325"/>
      <c r="AE24" s="325"/>
      <c r="AF24" s="325"/>
      <c r="AG24" s="325"/>
      <c r="AH24" s="325"/>
      <c r="AI24" s="325"/>
      <c r="AJ24" s="325"/>
      <c r="AK24" s="325"/>
      <c r="AL24" s="325"/>
      <c r="AM24" s="391" t="s">
        <v>15626</v>
      </c>
      <c r="AN24" s="838">
        <f>AN22</f>
        <v>1</v>
      </c>
      <c r="AO24" s="839"/>
      <c r="AP24" s="325"/>
      <c r="AQ24" s="325"/>
      <c r="AR24" s="325"/>
      <c r="AS24" s="325"/>
      <c r="AT24" s="325"/>
      <c r="AU24" s="325"/>
      <c r="AV24" s="325"/>
      <c r="AW24" s="325"/>
      <c r="AX24" s="392">
        <f>ROUND(U24*AN24,0)</f>
        <v>106</v>
      </c>
      <c r="AY24" s="393"/>
    </row>
    <row r="25" spans="1:51" ht="16.5" customHeight="1" x14ac:dyDescent="0.15">
      <c r="A25" s="340">
        <v>12</v>
      </c>
      <c r="B25" s="341">
        <v>7009</v>
      </c>
      <c r="C25" s="390" t="s">
        <v>15651</v>
      </c>
      <c r="D25" s="403"/>
      <c r="E25" s="404"/>
      <c r="F25" s="405"/>
      <c r="G25" s="404"/>
      <c r="H25" s="406"/>
      <c r="U25" s="395"/>
      <c r="V25" s="151"/>
      <c r="W25" s="151"/>
      <c r="Y25" s="387"/>
      <c r="Z25" s="343"/>
      <c r="AA25" s="343"/>
      <c r="AB25" s="343"/>
      <c r="AC25" s="343"/>
      <c r="AD25" s="343"/>
      <c r="AE25" s="343"/>
      <c r="AF25" s="343"/>
      <c r="AG25" s="343"/>
      <c r="AH25" s="343"/>
      <c r="AI25" s="343"/>
      <c r="AJ25" s="343"/>
      <c r="AK25" s="343"/>
      <c r="AL25" s="343"/>
      <c r="AM25" s="343"/>
      <c r="AN25" s="343"/>
      <c r="AO25" s="343"/>
      <c r="AP25" s="114" t="s">
        <v>15628</v>
      </c>
      <c r="AQ25" s="396"/>
      <c r="AR25" s="396"/>
      <c r="AS25" s="396"/>
      <c r="AT25" s="396"/>
      <c r="AU25" s="396"/>
      <c r="AV25" s="396"/>
      <c r="AW25" s="397"/>
      <c r="AX25" s="392">
        <f>ROUND(U24*AV26,0)</f>
        <v>90</v>
      </c>
      <c r="AY25" s="393"/>
    </row>
    <row r="26" spans="1:51" ht="16.5" customHeight="1" x14ac:dyDescent="0.15">
      <c r="A26" s="340">
        <v>12</v>
      </c>
      <c r="B26" s="341">
        <v>7010</v>
      </c>
      <c r="C26" s="390" t="s">
        <v>15652</v>
      </c>
      <c r="D26" s="403"/>
      <c r="E26" s="404"/>
      <c r="F26" s="405"/>
      <c r="G26" s="404"/>
      <c r="H26" s="406"/>
      <c r="U26" s="395"/>
      <c r="V26" s="151"/>
      <c r="W26" s="151"/>
      <c r="Y26" s="387"/>
      <c r="Z26" s="343" t="s">
        <v>15625</v>
      </c>
      <c r="AA26" s="325"/>
      <c r="AB26" s="325"/>
      <c r="AC26" s="325"/>
      <c r="AD26" s="325"/>
      <c r="AE26" s="325"/>
      <c r="AF26" s="325"/>
      <c r="AG26" s="325"/>
      <c r="AH26" s="325"/>
      <c r="AI26" s="325"/>
      <c r="AJ26" s="325"/>
      <c r="AK26" s="325"/>
      <c r="AL26" s="325"/>
      <c r="AM26" s="391" t="s">
        <v>15626</v>
      </c>
      <c r="AN26" s="838">
        <f>AN24</f>
        <v>1</v>
      </c>
      <c r="AO26" s="843"/>
      <c r="AP26" s="324" t="s">
        <v>15630</v>
      </c>
      <c r="AQ26" s="325"/>
      <c r="AR26" s="325"/>
      <c r="AS26" s="325"/>
      <c r="AT26" s="325"/>
      <c r="AU26" s="190" t="s">
        <v>398</v>
      </c>
      <c r="AV26" s="844">
        <f>AV22</f>
        <v>0.85</v>
      </c>
      <c r="AW26" s="845"/>
      <c r="AX26" s="392">
        <f>ROUND(ROUND(U24*AN26,0)*AV26,0)</f>
        <v>90</v>
      </c>
      <c r="AY26" s="393"/>
    </row>
    <row r="27" spans="1:51" ht="16.5" customHeight="1" x14ac:dyDescent="0.15">
      <c r="A27" s="340">
        <v>12</v>
      </c>
      <c r="B27" s="341">
        <v>1421</v>
      </c>
      <c r="C27" s="390" t="s">
        <v>15653</v>
      </c>
      <c r="D27" s="403"/>
      <c r="E27" s="404"/>
      <c r="F27" s="405"/>
      <c r="G27" s="404"/>
      <c r="H27" s="406"/>
      <c r="I27" s="253" t="s">
        <v>15654</v>
      </c>
      <c r="J27" s="396"/>
      <c r="K27" s="396"/>
      <c r="L27" s="396"/>
      <c r="M27" s="396"/>
      <c r="N27" s="396"/>
      <c r="O27" s="396"/>
      <c r="P27" s="396"/>
      <c r="Q27" s="396"/>
      <c r="R27" s="396"/>
      <c r="S27" s="396"/>
      <c r="T27" s="396"/>
      <c r="U27" s="399"/>
      <c r="V27" s="400"/>
      <c r="W27" s="400"/>
      <c r="X27" s="396"/>
      <c r="Y27" s="397"/>
      <c r="Z27" s="343"/>
      <c r="AA27" s="325"/>
      <c r="AB27" s="325"/>
      <c r="AC27" s="325"/>
      <c r="AD27" s="325"/>
      <c r="AE27" s="325"/>
      <c r="AF27" s="325"/>
      <c r="AG27" s="325"/>
      <c r="AH27" s="325"/>
      <c r="AI27" s="325"/>
      <c r="AJ27" s="325"/>
      <c r="AK27" s="325"/>
      <c r="AL27" s="325"/>
      <c r="AM27" s="391"/>
      <c r="AN27" s="401"/>
      <c r="AO27" s="402"/>
      <c r="AP27" s="396"/>
      <c r="AQ27" s="396"/>
      <c r="AR27" s="396"/>
      <c r="AS27" s="396"/>
      <c r="AT27" s="396"/>
      <c r="AU27" s="396"/>
      <c r="AV27" s="396"/>
      <c r="AW27" s="396"/>
      <c r="AX27" s="392">
        <f>ROUND(U28,0)</f>
        <v>104</v>
      </c>
      <c r="AY27" s="393"/>
    </row>
    <row r="28" spans="1:51" ht="16.5" customHeight="1" x14ac:dyDescent="0.15">
      <c r="A28" s="340">
        <v>12</v>
      </c>
      <c r="B28" s="341">
        <v>1422</v>
      </c>
      <c r="C28" s="390" t="s">
        <v>15655</v>
      </c>
      <c r="D28" s="403"/>
      <c r="E28" s="404"/>
      <c r="F28" s="405"/>
      <c r="G28" s="404"/>
      <c r="H28" s="406"/>
      <c r="U28" s="836">
        <f>ROUND(U124*$F$13,0)</f>
        <v>104</v>
      </c>
      <c r="V28" s="837"/>
      <c r="W28" s="837"/>
      <c r="X28" s="152" t="s">
        <v>15624</v>
      </c>
      <c r="Y28" s="387"/>
      <c r="Z28" s="343" t="s">
        <v>15625</v>
      </c>
      <c r="AA28" s="325"/>
      <c r="AB28" s="325"/>
      <c r="AC28" s="325"/>
      <c r="AD28" s="325"/>
      <c r="AE28" s="325"/>
      <c r="AF28" s="325"/>
      <c r="AG28" s="325"/>
      <c r="AH28" s="325"/>
      <c r="AI28" s="325"/>
      <c r="AJ28" s="325"/>
      <c r="AK28" s="325"/>
      <c r="AL28" s="325"/>
      <c r="AM28" s="391" t="s">
        <v>15626</v>
      </c>
      <c r="AN28" s="838">
        <f>AN26</f>
        <v>1</v>
      </c>
      <c r="AO28" s="839"/>
      <c r="AP28" s="325"/>
      <c r="AQ28" s="325"/>
      <c r="AR28" s="325"/>
      <c r="AS28" s="325"/>
      <c r="AT28" s="325"/>
      <c r="AU28" s="325"/>
      <c r="AV28" s="325"/>
      <c r="AW28" s="325"/>
      <c r="AX28" s="392">
        <f>ROUND(U28*AN28,0)</f>
        <v>104</v>
      </c>
      <c r="AY28" s="393"/>
    </row>
    <row r="29" spans="1:51" ht="16.5" customHeight="1" x14ac:dyDescent="0.15">
      <c r="A29" s="340">
        <v>12</v>
      </c>
      <c r="B29" s="341">
        <v>7011</v>
      </c>
      <c r="C29" s="390" t="s">
        <v>15656</v>
      </c>
      <c r="D29" s="403"/>
      <c r="E29" s="404"/>
      <c r="F29" s="405"/>
      <c r="G29" s="404"/>
      <c r="H29" s="406"/>
      <c r="U29" s="395"/>
      <c r="V29" s="151"/>
      <c r="W29" s="151"/>
      <c r="Y29" s="387"/>
      <c r="Z29" s="343"/>
      <c r="AA29" s="343"/>
      <c r="AB29" s="343"/>
      <c r="AC29" s="343"/>
      <c r="AD29" s="343"/>
      <c r="AE29" s="343"/>
      <c r="AF29" s="343"/>
      <c r="AG29" s="343"/>
      <c r="AH29" s="343"/>
      <c r="AI29" s="343"/>
      <c r="AJ29" s="343"/>
      <c r="AK29" s="343"/>
      <c r="AL29" s="343"/>
      <c r="AM29" s="343"/>
      <c r="AN29" s="343"/>
      <c r="AO29" s="343"/>
      <c r="AP29" s="114" t="s">
        <v>15628</v>
      </c>
      <c r="AQ29" s="396"/>
      <c r="AR29" s="396"/>
      <c r="AS29" s="396"/>
      <c r="AT29" s="396"/>
      <c r="AU29" s="396"/>
      <c r="AV29" s="396"/>
      <c r="AW29" s="397"/>
      <c r="AX29" s="392">
        <f>ROUND(U28*AV30,0)</f>
        <v>88</v>
      </c>
      <c r="AY29" s="393"/>
    </row>
    <row r="30" spans="1:51" ht="16.5" customHeight="1" x14ac:dyDescent="0.15">
      <c r="A30" s="340">
        <v>12</v>
      </c>
      <c r="B30" s="341">
        <v>7012</v>
      </c>
      <c r="C30" s="390" t="s">
        <v>15657</v>
      </c>
      <c r="D30" s="403"/>
      <c r="E30" s="404"/>
      <c r="F30" s="405"/>
      <c r="G30" s="404"/>
      <c r="H30" s="406"/>
      <c r="U30" s="395"/>
      <c r="V30" s="151"/>
      <c r="W30" s="151"/>
      <c r="Y30" s="387"/>
      <c r="Z30" s="343" t="s">
        <v>15625</v>
      </c>
      <c r="AA30" s="325"/>
      <c r="AB30" s="325"/>
      <c r="AC30" s="325"/>
      <c r="AD30" s="325"/>
      <c r="AE30" s="325"/>
      <c r="AF30" s="325"/>
      <c r="AG30" s="325"/>
      <c r="AH30" s="325"/>
      <c r="AI30" s="325"/>
      <c r="AJ30" s="325"/>
      <c r="AK30" s="325"/>
      <c r="AL30" s="325"/>
      <c r="AM30" s="391" t="s">
        <v>15626</v>
      </c>
      <c r="AN30" s="838">
        <f>AN28</f>
        <v>1</v>
      </c>
      <c r="AO30" s="843"/>
      <c r="AP30" s="324" t="s">
        <v>15630</v>
      </c>
      <c r="AQ30" s="325"/>
      <c r="AR30" s="325"/>
      <c r="AS30" s="325"/>
      <c r="AT30" s="325"/>
      <c r="AU30" s="190" t="s">
        <v>398</v>
      </c>
      <c r="AV30" s="844">
        <f>AV26</f>
        <v>0.85</v>
      </c>
      <c r="AW30" s="845"/>
      <c r="AX30" s="392">
        <f>ROUND(ROUND(U28*AN30,0)*AV30,0)</f>
        <v>88</v>
      </c>
      <c r="AY30" s="393"/>
    </row>
    <row r="31" spans="1:51" ht="16.5" customHeight="1" x14ac:dyDescent="0.15">
      <c r="A31" s="340">
        <v>12</v>
      </c>
      <c r="B31" s="341">
        <v>1431</v>
      </c>
      <c r="C31" s="390" t="s">
        <v>15658</v>
      </c>
      <c r="D31" s="403"/>
      <c r="E31" s="404"/>
      <c r="F31" s="405"/>
      <c r="G31" s="404"/>
      <c r="H31" s="406"/>
      <c r="I31" s="253" t="s">
        <v>15659</v>
      </c>
      <c r="J31" s="396"/>
      <c r="K31" s="396"/>
      <c r="L31" s="396"/>
      <c r="M31" s="396"/>
      <c r="N31" s="396"/>
      <c r="O31" s="396"/>
      <c r="P31" s="396"/>
      <c r="Q31" s="396"/>
      <c r="R31" s="396"/>
      <c r="S31" s="396"/>
      <c r="T31" s="396"/>
      <c r="U31" s="399"/>
      <c r="V31" s="400"/>
      <c r="W31" s="400"/>
      <c r="X31" s="396"/>
      <c r="Y31" s="397"/>
      <c r="Z31" s="343"/>
      <c r="AA31" s="325"/>
      <c r="AB31" s="325"/>
      <c r="AC31" s="325"/>
      <c r="AD31" s="325"/>
      <c r="AE31" s="325"/>
      <c r="AF31" s="325"/>
      <c r="AG31" s="325"/>
      <c r="AH31" s="325"/>
      <c r="AI31" s="325"/>
      <c r="AJ31" s="325"/>
      <c r="AK31" s="325"/>
      <c r="AL31" s="325"/>
      <c r="AM31" s="391"/>
      <c r="AN31" s="401"/>
      <c r="AO31" s="402"/>
      <c r="AP31" s="396"/>
      <c r="AQ31" s="396"/>
      <c r="AR31" s="396"/>
      <c r="AS31" s="396"/>
      <c r="AT31" s="396"/>
      <c r="AU31" s="396"/>
      <c r="AV31" s="396"/>
      <c r="AW31" s="396"/>
      <c r="AX31" s="392">
        <f>ROUND(U32,0)</f>
        <v>106</v>
      </c>
      <c r="AY31" s="393"/>
    </row>
    <row r="32" spans="1:51" ht="16.5" customHeight="1" x14ac:dyDescent="0.15">
      <c r="A32" s="340">
        <v>12</v>
      </c>
      <c r="B32" s="341">
        <v>1432</v>
      </c>
      <c r="C32" s="390" t="s">
        <v>15660</v>
      </c>
      <c r="D32" s="403"/>
      <c r="E32" s="404"/>
      <c r="F32" s="405"/>
      <c r="G32" s="404"/>
      <c r="H32" s="406"/>
      <c r="U32" s="836">
        <f>ROUND(U128*$F$13,0)</f>
        <v>106</v>
      </c>
      <c r="V32" s="837"/>
      <c r="W32" s="837"/>
      <c r="X32" s="152" t="s">
        <v>15624</v>
      </c>
      <c r="Y32" s="387"/>
      <c r="Z32" s="343" t="s">
        <v>15625</v>
      </c>
      <c r="AA32" s="325"/>
      <c r="AB32" s="325"/>
      <c r="AC32" s="325"/>
      <c r="AD32" s="325"/>
      <c r="AE32" s="325"/>
      <c r="AF32" s="325"/>
      <c r="AG32" s="325"/>
      <c r="AH32" s="325"/>
      <c r="AI32" s="325"/>
      <c r="AJ32" s="325"/>
      <c r="AK32" s="325"/>
      <c r="AL32" s="325"/>
      <c r="AM32" s="391" t="s">
        <v>15626</v>
      </c>
      <c r="AN32" s="838">
        <f>AN30</f>
        <v>1</v>
      </c>
      <c r="AO32" s="839"/>
      <c r="AP32" s="325"/>
      <c r="AQ32" s="325"/>
      <c r="AR32" s="325"/>
      <c r="AS32" s="325"/>
      <c r="AT32" s="325"/>
      <c r="AU32" s="325"/>
      <c r="AV32" s="325"/>
      <c r="AW32" s="325"/>
      <c r="AX32" s="392">
        <f>ROUND(U32*AN32,0)</f>
        <v>106</v>
      </c>
      <c r="AY32" s="393"/>
    </row>
    <row r="33" spans="1:51" ht="16.5" customHeight="1" x14ac:dyDescent="0.15">
      <c r="A33" s="340">
        <v>12</v>
      </c>
      <c r="B33" s="341">
        <v>7013</v>
      </c>
      <c r="C33" s="390" t="s">
        <v>15661</v>
      </c>
      <c r="D33" s="403"/>
      <c r="E33" s="404"/>
      <c r="F33" s="405"/>
      <c r="G33" s="404"/>
      <c r="H33" s="406"/>
      <c r="U33" s="395"/>
      <c r="V33" s="151"/>
      <c r="W33" s="151"/>
      <c r="Y33" s="387"/>
      <c r="Z33" s="343"/>
      <c r="AA33" s="343"/>
      <c r="AB33" s="343"/>
      <c r="AC33" s="343"/>
      <c r="AD33" s="343"/>
      <c r="AE33" s="343"/>
      <c r="AF33" s="343"/>
      <c r="AG33" s="343"/>
      <c r="AH33" s="343"/>
      <c r="AI33" s="343"/>
      <c r="AJ33" s="343"/>
      <c r="AK33" s="343"/>
      <c r="AL33" s="343"/>
      <c r="AM33" s="343"/>
      <c r="AN33" s="343"/>
      <c r="AO33" s="343"/>
      <c r="AP33" s="114" t="s">
        <v>15628</v>
      </c>
      <c r="AQ33" s="396"/>
      <c r="AR33" s="396"/>
      <c r="AS33" s="396"/>
      <c r="AT33" s="396"/>
      <c r="AU33" s="396"/>
      <c r="AV33" s="396"/>
      <c r="AW33" s="397"/>
      <c r="AX33" s="392">
        <f>ROUND(U32*AV34,0)</f>
        <v>90</v>
      </c>
      <c r="AY33" s="393"/>
    </row>
    <row r="34" spans="1:51" ht="16.5" customHeight="1" x14ac:dyDescent="0.15">
      <c r="A34" s="340">
        <v>12</v>
      </c>
      <c r="B34" s="341">
        <v>7014</v>
      </c>
      <c r="C34" s="390" t="s">
        <v>15662</v>
      </c>
      <c r="D34" s="403"/>
      <c r="E34" s="404"/>
      <c r="F34" s="405"/>
      <c r="G34" s="404"/>
      <c r="H34" s="406"/>
      <c r="U34" s="395"/>
      <c r="V34" s="151"/>
      <c r="W34" s="151"/>
      <c r="Y34" s="387"/>
      <c r="Z34" s="343" t="s">
        <v>15625</v>
      </c>
      <c r="AA34" s="325"/>
      <c r="AB34" s="325"/>
      <c r="AC34" s="325"/>
      <c r="AD34" s="325"/>
      <c r="AE34" s="325"/>
      <c r="AF34" s="325"/>
      <c r="AG34" s="325"/>
      <c r="AH34" s="325"/>
      <c r="AI34" s="325"/>
      <c r="AJ34" s="325"/>
      <c r="AK34" s="325"/>
      <c r="AL34" s="325"/>
      <c r="AM34" s="391" t="s">
        <v>15626</v>
      </c>
      <c r="AN34" s="838">
        <f>AN32</f>
        <v>1</v>
      </c>
      <c r="AO34" s="843"/>
      <c r="AP34" s="324" t="s">
        <v>15630</v>
      </c>
      <c r="AQ34" s="325"/>
      <c r="AR34" s="325"/>
      <c r="AS34" s="325"/>
      <c r="AT34" s="325"/>
      <c r="AU34" s="190" t="s">
        <v>398</v>
      </c>
      <c r="AV34" s="844">
        <f>AV30</f>
        <v>0.85</v>
      </c>
      <c r="AW34" s="845"/>
      <c r="AX34" s="392">
        <f>ROUND(ROUND(U32*AN34,0)*AV34,0)</f>
        <v>90</v>
      </c>
      <c r="AY34" s="393"/>
    </row>
    <row r="35" spans="1:51" ht="17.100000000000001" customHeight="1" x14ac:dyDescent="0.15">
      <c r="A35" s="340">
        <v>12</v>
      </c>
      <c r="B35" s="341">
        <v>1121</v>
      </c>
      <c r="C35" s="390" t="s">
        <v>15663</v>
      </c>
      <c r="D35" s="403"/>
      <c r="E35" s="404"/>
      <c r="F35" s="405"/>
      <c r="G35" s="404"/>
      <c r="H35" s="406"/>
      <c r="I35" s="253" t="s">
        <v>15664</v>
      </c>
      <c r="J35" s="396"/>
      <c r="K35" s="396"/>
      <c r="L35" s="400"/>
      <c r="M35" s="400"/>
      <c r="N35" s="400"/>
      <c r="O35" s="400"/>
      <c r="P35" s="400"/>
      <c r="Q35" s="396"/>
      <c r="R35" s="396"/>
      <c r="S35" s="396"/>
      <c r="T35" s="396"/>
      <c r="U35" s="396"/>
      <c r="V35" s="396"/>
      <c r="W35" s="396"/>
      <c r="X35" s="396"/>
      <c r="Y35" s="397"/>
      <c r="Z35" s="343"/>
      <c r="AA35" s="343"/>
      <c r="AB35" s="343"/>
      <c r="AC35" s="343"/>
      <c r="AD35" s="343"/>
      <c r="AE35" s="343"/>
      <c r="AF35" s="343"/>
      <c r="AG35" s="343"/>
      <c r="AH35" s="343"/>
      <c r="AI35" s="343"/>
      <c r="AJ35" s="343"/>
      <c r="AK35" s="343"/>
      <c r="AL35" s="343"/>
      <c r="AM35" s="343"/>
      <c r="AN35" s="343"/>
      <c r="AO35" s="407"/>
      <c r="AP35" s="396"/>
      <c r="AQ35" s="396"/>
      <c r="AR35" s="396"/>
      <c r="AS35" s="396"/>
      <c r="AT35" s="396"/>
      <c r="AU35" s="396"/>
      <c r="AV35" s="396"/>
      <c r="AW35" s="396"/>
      <c r="AX35" s="392">
        <f>ROUND(U36,0)</f>
        <v>98</v>
      </c>
      <c r="AY35" s="393"/>
    </row>
    <row r="36" spans="1:51" ht="16.5" customHeight="1" x14ac:dyDescent="0.15">
      <c r="A36" s="340">
        <v>12</v>
      </c>
      <c r="B36" s="341">
        <v>1122</v>
      </c>
      <c r="C36" s="390" t="s">
        <v>15665</v>
      </c>
      <c r="D36" s="403"/>
      <c r="E36" s="404"/>
      <c r="F36" s="405"/>
      <c r="G36" s="404"/>
      <c r="H36" s="406"/>
      <c r="U36" s="836">
        <f>ROUND(U132*$F$13,0)</f>
        <v>98</v>
      </c>
      <c r="V36" s="837"/>
      <c r="W36" s="837"/>
      <c r="X36" s="152" t="s">
        <v>15624</v>
      </c>
      <c r="Y36" s="387"/>
      <c r="Z36" s="343" t="s">
        <v>15625</v>
      </c>
      <c r="AA36" s="325"/>
      <c r="AB36" s="325"/>
      <c r="AC36" s="325"/>
      <c r="AD36" s="325"/>
      <c r="AE36" s="325"/>
      <c r="AF36" s="325"/>
      <c r="AG36" s="325"/>
      <c r="AH36" s="325"/>
      <c r="AI36" s="325"/>
      <c r="AJ36" s="325"/>
      <c r="AK36" s="325"/>
      <c r="AL36" s="325"/>
      <c r="AM36" s="391" t="s">
        <v>15626</v>
      </c>
      <c r="AN36" s="838">
        <f>AN34</f>
        <v>1</v>
      </c>
      <c r="AO36" s="839"/>
      <c r="AP36" s="325"/>
      <c r="AQ36" s="325"/>
      <c r="AR36" s="325"/>
      <c r="AS36" s="325"/>
      <c r="AT36" s="325"/>
      <c r="AU36" s="325"/>
      <c r="AV36" s="325"/>
      <c r="AW36" s="391"/>
      <c r="AX36" s="392">
        <f>ROUND(U36*AN36,0)</f>
        <v>98</v>
      </c>
      <c r="AY36" s="393"/>
    </row>
    <row r="37" spans="1:51" ht="16.5" customHeight="1" x14ac:dyDescent="0.15">
      <c r="A37" s="340">
        <v>12</v>
      </c>
      <c r="B37" s="341">
        <v>7015</v>
      </c>
      <c r="C37" s="390" t="s">
        <v>15666</v>
      </c>
      <c r="D37" s="403"/>
      <c r="E37" s="404"/>
      <c r="F37" s="405"/>
      <c r="G37" s="404"/>
      <c r="H37" s="406"/>
      <c r="U37" s="395"/>
      <c r="V37" s="151"/>
      <c r="W37" s="151"/>
      <c r="Y37" s="387"/>
      <c r="Z37" s="343"/>
      <c r="AA37" s="343"/>
      <c r="AB37" s="343"/>
      <c r="AC37" s="343"/>
      <c r="AD37" s="343"/>
      <c r="AE37" s="343"/>
      <c r="AF37" s="343"/>
      <c r="AG37" s="343"/>
      <c r="AH37" s="343"/>
      <c r="AI37" s="343"/>
      <c r="AJ37" s="343"/>
      <c r="AK37" s="343"/>
      <c r="AL37" s="343"/>
      <c r="AM37" s="343"/>
      <c r="AN37" s="343"/>
      <c r="AO37" s="343"/>
      <c r="AP37" s="114" t="s">
        <v>15628</v>
      </c>
      <c r="AQ37" s="396"/>
      <c r="AR37" s="396"/>
      <c r="AS37" s="396"/>
      <c r="AT37" s="396"/>
      <c r="AU37" s="396"/>
      <c r="AV37" s="396"/>
      <c r="AW37" s="397"/>
      <c r="AX37" s="392">
        <f>ROUND(U36*AV38,0)</f>
        <v>83</v>
      </c>
      <c r="AY37" s="393"/>
    </row>
    <row r="38" spans="1:51" ht="16.5" customHeight="1" x14ac:dyDescent="0.15">
      <c r="A38" s="340">
        <v>12</v>
      </c>
      <c r="B38" s="341">
        <v>7016</v>
      </c>
      <c r="C38" s="390" t="s">
        <v>15667</v>
      </c>
      <c r="D38" s="403"/>
      <c r="E38" s="404"/>
      <c r="F38" s="405"/>
      <c r="G38" s="404"/>
      <c r="H38" s="406"/>
      <c r="U38" s="395"/>
      <c r="V38" s="151"/>
      <c r="W38" s="151"/>
      <c r="Y38" s="387"/>
      <c r="Z38" s="343" t="s">
        <v>15625</v>
      </c>
      <c r="AA38" s="325"/>
      <c r="AB38" s="325"/>
      <c r="AC38" s="325"/>
      <c r="AD38" s="325"/>
      <c r="AE38" s="325"/>
      <c r="AF38" s="325"/>
      <c r="AG38" s="325"/>
      <c r="AH38" s="325"/>
      <c r="AI38" s="325"/>
      <c r="AJ38" s="325"/>
      <c r="AK38" s="325"/>
      <c r="AL38" s="325"/>
      <c r="AM38" s="391" t="s">
        <v>15626</v>
      </c>
      <c r="AN38" s="838">
        <f>AN36</f>
        <v>1</v>
      </c>
      <c r="AO38" s="843"/>
      <c r="AP38" s="324" t="s">
        <v>15630</v>
      </c>
      <c r="AQ38" s="325"/>
      <c r="AR38" s="325"/>
      <c r="AS38" s="325"/>
      <c r="AT38" s="325"/>
      <c r="AU38" s="190" t="s">
        <v>398</v>
      </c>
      <c r="AV38" s="844">
        <f>AV34</f>
        <v>0.85</v>
      </c>
      <c r="AW38" s="845"/>
      <c r="AX38" s="392">
        <f>ROUND(ROUND(U36*AN38,0)*AV38,0)</f>
        <v>83</v>
      </c>
      <c r="AY38" s="393"/>
    </row>
    <row r="39" spans="1:51" ht="17.100000000000001" customHeight="1" x14ac:dyDescent="0.15">
      <c r="A39" s="340">
        <v>12</v>
      </c>
      <c r="B39" s="341">
        <v>1131</v>
      </c>
      <c r="C39" s="390" t="s">
        <v>15668</v>
      </c>
      <c r="D39" s="403"/>
      <c r="E39" s="404"/>
      <c r="F39" s="405"/>
      <c r="G39" s="404"/>
      <c r="H39" s="406"/>
      <c r="I39" s="253" t="s">
        <v>15669</v>
      </c>
      <c r="J39" s="396"/>
      <c r="K39" s="396"/>
      <c r="L39" s="400"/>
      <c r="M39" s="400"/>
      <c r="N39" s="400"/>
      <c r="O39" s="400"/>
      <c r="P39" s="400"/>
      <c r="Q39" s="396"/>
      <c r="R39" s="396"/>
      <c r="S39" s="396"/>
      <c r="T39" s="396"/>
      <c r="U39" s="396"/>
      <c r="V39" s="396"/>
      <c r="W39" s="396"/>
      <c r="X39" s="396"/>
      <c r="Y39" s="397"/>
      <c r="Z39" s="343"/>
      <c r="AA39" s="343"/>
      <c r="AB39" s="343"/>
      <c r="AC39" s="343"/>
      <c r="AD39" s="343"/>
      <c r="AE39" s="343"/>
      <c r="AF39" s="343"/>
      <c r="AG39" s="343"/>
      <c r="AH39" s="343"/>
      <c r="AI39" s="343"/>
      <c r="AJ39" s="343"/>
      <c r="AK39" s="343"/>
      <c r="AL39" s="343"/>
      <c r="AM39" s="343"/>
      <c r="AN39" s="343"/>
      <c r="AO39" s="407"/>
      <c r="AP39" s="396"/>
      <c r="AQ39" s="396"/>
      <c r="AR39" s="396"/>
      <c r="AS39" s="396"/>
      <c r="AT39" s="396"/>
      <c r="AU39" s="396"/>
      <c r="AV39" s="396"/>
      <c r="AW39" s="396"/>
      <c r="AX39" s="392">
        <f>ROUND(U40,0)</f>
        <v>98</v>
      </c>
      <c r="AY39" s="393"/>
    </row>
    <row r="40" spans="1:51" ht="16.5" customHeight="1" x14ac:dyDescent="0.15">
      <c r="A40" s="340">
        <v>12</v>
      </c>
      <c r="B40" s="341">
        <v>1132</v>
      </c>
      <c r="C40" s="390" t="s">
        <v>15670</v>
      </c>
      <c r="D40" s="403"/>
      <c r="E40" s="404"/>
      <c r="F40" s="405"/>
      <c r="G40" s="404"/>
      <c r="H40" s="406"/>
      <c r="U40" s="836">
        <f>ROUND(U136*$F$13,0)</f>
        <v>98</v>
      </c>
      <c r="V40" s="837"/>
      <c r="W40" s="837"/>
      <c r="X40" s="152" t="s">
        <v>15624</v>
      </c>
      <c r="Y40" s="387"/>
      <c r="Z40" s="343" t="s">
        <v>15625</v>
      </c>
      <c r="AA40" s="325"/>
      <c r="AB40" s="325"/>
      <c r="AC40" s="325"/>
      <c r="AD40" s="325"/>
      <c r="AE40" s="325"/>
      <c r="AF40" s="325"/>
      <c r="AG40" s="325"/>
      <c r="AH40" s="325"/>
      <c r="AI40" s="325"/>
      <c r="AJ40" s="325"/>
      <c r="AK40" s="325"/>
      <c r="AL40" s="325"/>
      <c r="AM40" s="391" t="s">
        <v>15626</v>
      </c>
      <c r="AN40" s="838">
        <f>AN38</f>
        <v>1</v>
      </c>
      <c r="AO40" s="839"/>
      <c r="AP40" s="325"/>
      <c r="AQ40" s="325"/>
      <c r="AR40" s="325"/>
      <c r="AS40" s="325"/>
      <c r="AT40" s="325"/>
      <c r="AU40" s="325"/>
      <c r="AV40" s="325"/>
      <c r="AW40" s="391"/>
      <c r="AX40" s="392">
        <f>ROUND(U40*AN40,0)</f>
        <v>98</v>
      </c>
      <c r="AY40" s="393"/>
    </row>
    <row r="41" spans="1:51" ht="16.5" customHeight="1" x14ac:dyDescent="0.15">
      <c r="A41" s="340">
        <v>12</v>
      </c>
      <c r="B41" s="341">
        <v>7017</v>
      </c>
      <c r="C41" s="390" t="s">
        <v>15671</v>
      </c>
      <c r="D41" s="403"/>
      <c r="E41" s="404"/>
      <c r="F41" s="405"/>
      <c r="G41" s="404"/>
      <c r="H41" s="406"/>
      <c r="U41" s="395"/>
      <c r="V41" s="151"/>
      <c r="W41" s="151"/>
      <c r="Y41" s="387"/>
      <c r="Z41" s="343"/>
      <c r="AA41" s="343"/>
      <c r="AB41" s="343"/>
      <c r="AC41" s="343"/>
      <c r="AD41" s="343"/>
      <c r="AE41" s="343"/>
      <c r="AF41" s="343"/>
      <c r="AG41" s="343"/>
      <c r="AH41" s="343"/>
      <c r="AI41" s="343"/>
      <c r="AJ41" s="343"/>
      <c r="AK41" s="343"/>
      <c r="AL41" s="343"/>
      <c r="AM41" s="343"/>
      <c r="AN41" s="343"/>
      <c r="AO41" s="343"/>
      <c r="AP41" s="114" t="s">
        <v>15628</v>
      </c>
      <c r="AQ41" s="396"/>
      <c r="AR41" s="396"/>
      <c r="AS41" s="396"/>
      <c r="AT41" s="396"/>
      <c r="AU41" s="396"/>
      <c r="AV41" s="396"/>
      <c r="AW41" s="397"/>
      <c r="AX41" s="392">
        <f>ROUND(U40*AV42,0)</f>
        <v>83</v>
      </c>
      <c r="AY41" s="393"/>
    </row>
    <row r="42" spans="1:51" ht="16.5" customHeight="1" x14ac:dyDescent="0.15">
      <c r="A42" s="340">
        <v>12</v>
      </c>
      <c r="B42" s="341">
        <v>7018</v>
      </c>
      <c r="C42" s="390" t="s">
        <v>15672</v>
      </c>
      <c r="D42" s="403"/>
      <c r="E42" s="404"/>
      <c r="F42" s="405"/>
      <c r="G42" s="404"/>
      <c r="H42" s="406"/>
      <c r="U42" s="395"/>
      <c r="V42" s="151"/>
      <c r="W42" s="151"/>
      <c r="Y42" s="387"/>
      <c r="Z42" s="343" t="s">
        <v>15625</v>
      </c>
      <c r="AA42" s="325"/>
      <c r="AB42" s="325"/>
      <c r="AC42" s="325"/>
      <c r="AD42" s="325"/>
      <c r="AE42" s="325"/>
      <c r="AF42" s="325"/>
      <c r="AG42" s="325"/>
      <c r="AH42" s="325"/>
      <c r="AI42" s="325"/>
      <c r="AJ42" s="325"/>
      <c r="AK42" s="325"/>
      <c r="AL42" s="325"/>
      <c r="AM42" s="391" t="s">
        <v>15626</v>
      </c>
      <c r="AN42" s="838">
        <f>AN40</f>
        <v>1</v>
      </c>
      <c r="AO42" s="843"/>
      <c r="AP42" s="324" t="s">
        <v>15630</v>
      </c>
      <c r="AQ42" s="325"/>
      <c r="AR42" s="325"/>
      <c r="AS42" s="325"/>
      <c r="AT42" s="325"/>
      <c r="AU42" s="190" t="s">
        <v>398</v>
      </c>
      <c r="AV42" s="844">
        <f>AV38</f>
        <v>0.85</v>
      </c>
      <c r="AW42" s="845"/>
      <c r="AX42" s="392">
        <f>ROUND(ROUND(U40*AN42,0)*AV42,0)</f>
        <v>83</v>
      </c>
      <c r="AY42" s="393"/>
    </row>
    <row r="43" spans="1:51" ht="17.100000000000001" customHeight="1" x14ac:dyDescent="0.15">
      <c r="A43" s="340">
        <v>12</v>
      </c>
      <c r="B43" s="341">
        <v>1141</v>
      </c>
      <c r="C43" s="390" t="s">
        <v>15673</v>
      </c>
      <c r="D43" s="403"/>
      <c r="E43" s="404"/>
      <c r="F43" s="405"/>
      <c r="G43" s="404"/>
      <c r="H43" s="406"/>
      <c r="I43" s="253" t="s">
        <v>15674</v>
      </c>
      <c r="J43" s="396"/>
      <c r="K43" s="396"/>
      <c r="L43" s="400"/>
      <c r="M43" s="400"/>
      <c r="N43" s="400"/>
      <c r="O43" s="400"/>
      <c r="P43" s="400"/>
      <c r="Q43" s="396"/>
      <c r="R43" s="396"/>
      <c r="S43" s="396"/>
      <c r="T43" s="396"/>
      <c r="U43" s="396"/>
      <c r="V43" s="396"/>
      <c r="W43" s="396"/>
      <c r="X43" s="396"/>
      <c r="Y43" s="397"/>
      <c r="Z43" s="343"/>
      <c r="AA43" s="343"/>
      <c r="AB43" s="343"/>
      <c r="AC43" s="343"/>
      <c r="AD43" s="343"/>
      <c r="AE43" s="343"/>
      <c r="AF43" s="343"/>
      <c r="AG43" s="343"/>
      <c r="AH43" s="343"/>
      <c r="AI43" s="343"/>
      <c r="AJ43" s="343"/>
      <c r="AK43" s="343"/>
      <c r="AL43" s="343"/>
      <c r="AM43" s="343"/>
      <c r="AN43" s="343"/>
      <c r="AO43" s="407"/>
      <c r="AP43" s="396"/>
      <c r="AQ43" s="396"/>
      <c r="AR43" s="396"/>
      <c r="AS43" s="396"/>
      <c r="AT43" s="396"/>
      <c r="AU43" s="396"/>
      <c r="AV43" s="396"/>
      <c r="AW43" s="396"/>
      <c r="AX43" s="392">
        <f>ROUND(U44,0)</f>
        <v>92</v>
      </c>
      <c r="AY43" s="393"/>
    </row>
    <row r="44" spans="1:51" ht="16.5" customHeight="1" x14ac:dyDescent="0.15">
      <c r="A44" s="340">
        <v>12</v>
      </c>
      <c r="B44" s="341">
        <v>1142</v>
      </c>
      <c r="C44" s="390" t="s">
        <v>15675</v>
      </c>
      <c r="D44" s="403"/>
      <c r="E44" s="404"/>
      <c r="F44" s="405"/>
      <c r="G44" s="404"/>
      <c r="H44" s="406"/>
      <c r="U44" s="836">
        <f>ROUND(U140*$F$13,0)</f>
        <v>92</v>
      </c>
      <c r="V44" s="837"/>
      <c r="W44" s="837"/>
      <c r="X44" s="152" t="s">
        <v>15624</v>
      </c>
      <c r="Y44" s="387"/>
      <c r="Z44" s="343" t="s">
        <v>15625</v>
      </c>
      <c r="AA44" s="325"/>
      <c r="AB44" s="325"/>
      <c r="AC44" s="325"/>
      <c r="AD44" s="325"/>
      <c r="AE44" s="325"/>
      <c r="AF44" s="325"/>
      <c r="AG44" s="325"/>
      <c r="AH44" s="325"/>
      <c r="AI44" s="325"/>
      <c r="AJ44" s="325"/>
      <c r="AK44" s="325"/>
      <c r="AL44" s="325"/>
      <c r="AM44" s="391" t="s">
        <v>15626</v>
      </c>
      <c r="AN44" s="838">
        <f>AN42</f>
        <v>1</v>
      </c>
      <c r="AO44" s="839"/>
      <c r="AP44" s="325"/>
      <c r="AQ44" s="325"/>
      <c r="AR44" s="325"/>
      <c r="AS44" s="325"/>
      <c r="AT44" s="325"/>
      <c r="AU44" s="325"/>
      <c r="AV44" s="325"/>
      <c r="AW44" s="391"/>
      <c r="AX44" s="392">
        <f>ROUND(U44*AN44,0)</f>
        <v>92</v>
      </c>
      <c r="AY44" s="393"/>
    </row>
    <row r="45" spans="1:51" ht="16.5" customHeight="1" x14ac:dyDescent="0.15">
      <c r="A45" s="340">
        <v>12</v>
      </c>
      <c r="B45" s="341">
        <v>7019</v>
      </c>
      <c r="C45" s="390" t="s">
        <v>15676</v>
      </c>
      <c r="D45" s="403"/>
      <c r="E45" s="404"/>
      <c r="F45" s="405"/>
      <c r="G45" s="404"/>
      <c r="H45" s="406"/>
      <c r="U45" s="395"/>
      <c r="V45" s="151"/>
      <c r="W45" s="151"/>
      <c r="Y45" s="387"/>
      <c r="Z45" s="343"/>
      <c r="AA45" s="343"/>
      <c r="AB45" s="343"/>
      <c r="AC45" s="343"/>
      <c r="AD45" s="343"/>
      <c r="AE45" s="343"/>
      <c r="AF45" s="343"/>
      <c r="AG45" s="343"/>
      <c r="AH45" s="343"/>
      <c r="AI45" s="343"/>
      <c r="AJ45" s="343"/>
      <c r="AK45" s="343"/>
      <c r="AL45" s="343"/>
      <c r="AM45" s="343"/>
      <c r="AN45" s="343"/>
      <c r="AO45" s="343"/>
      <c r="AP45" s="114" t="s">
        <v>15628</v>
      </c>
      <c r="AQ45" s="396"/>
      <c r="AR45" s="396"/>
      <c r="AS45" s="396"/>
      <c r="AT45" s="396"/>
      <c r="AU45" s="396"/>
      <c r="AV45" s="396"/>
      <c r="AW45" s="397"/>
      <c r="AX45" s="392">
        <f>ROUND(U44*AV46,0)</f>
        <v>78</v>
      </c>
      <c r="AY45" s="393"/>
    </row>
    <row r="46" spans="1:51" ht="16.5" customHeight="1" x14ac:dyDescent="0.15">
      <c r="A46" s="340">
        <v>12</v>
      </c>
      <c r="B46" s="341">
        <v>7020</v>
      </c>
      <c r="C46" s="390" t="s">
        <v>15677</v>
      </c>
      <c r="D46" s="403"/>
      <c r="E46" s="404"/>
      <c r="F46" s="405"/>
      <c r="G46" s="404"/>
      <c r="H46" s="406"/>
      <c r="U46" s="395"/>
      <c r="V46" s="151"/>
      <c r="W46" s="151"/>
      <c r="Y46" s="387"/>
      <c r="Z46" s="343" t="s">
        <v>15625</v>
      </c>
      <c r="AA46" s="325"/>
      <c r="AB46" s="325"/>
      <c r="AC46" s="325"/>
      <c r="AD46" s="325"/>
      <c r="AE46" s="325"/>
      <c r="AF46" s="325"/>
      <c r="AG46" s="325"/>
      <c r="AH46" s="325"/>
      <c r="AI46" s="325"/>
      <c r="AJ46" s="325"/>
      <c r="AK46" s="325"/>
      <c r="AL46" s="325"/>
      <c r="AM46" s="391" t="s">
        <v>15626</v>
      </c>
      <c r="AN46" s="838">
        <f>AN44</f>
        <v>1</v>
      </c>
      <c r="AO46" s="843"/>
      <c r="AP46" s="324" t="s">
        <v>15630</v>
      </c>
      <c r="AQ46" s="325"/>
      <c r="AR46" s="325"/>
      <c r="AS46" s="325"/>
      <c r="AT46" s="325"/>
      <c r="AU46" s="190" t="s">
        <v>398</v>
      </c>
      <c r="AV46" s="844">
        <f>AV42</f>
        <v>0.85</v>
      </c>
      <c r="AW46" s="845"/>
      <c r="AX46" s="392">
        <f>ROUND(ROUND(U44*AN46,0)*AV46,0)</f>
        <v>78</v>
      </c>
      <c r="AY46" s="393"/>
    </row>
    <row r="47" spans="1:51" ht="17.100000000000001" customHeight="1" x14ac:dyDescent="0.15">
      <c r="A47" s="340">
        <v>12</v>
      </c>
      <c r="B47" s="341">
        <v>1151</v>
      </c>
      <c r="C47" s="390" t="s">
        <v>15678</v>
      </c>
      <c r="D47" s="403"/>
      <c r="E47" s="404"/>
      <c r="F47" s="405"/>
      <c r="G47" s="404"/>
      <c r="H47" s="406"/>
      <c r="I47" s="253" t="s">
        <v>15679</v>
      </c>
      <c r="J47" s="396"/>
      <c r="K47" s="396"/>
      <c r="L47" s="400"/>
      <c r="M47" s="400"/>
      <c r="N47" s="400"/>
      <c r="O47" s="400"/>
      <c r="P47" s="400"/>
      <c r="Q47" s="396"/>
      <c r="R47" s="396"/>
      <c r="S47" s="396"/>
      <c r="T47" s="396"/>
      <c r="U47" s="396"/>
      <c r="V47" s="396"/>
      <c r="W47" s="396"/>
      <c r="X47" s="396"/>
      <c r="Y47" s="397"/>
      <c r="Z47" s="343"/>
      <c r="AA47" s="343"/>
      <c r="AB47" s="343"/>
      <c r="AC47" s="343"/>
      <c r="AD47" s="343"/>
      <c r="AE47" s="343"/>
      <c r="AF47" s="343"/>
      <c r="AG47" s="343"/>
      <c r="AH47" s="343"/>
      <c r="AI47" s="343"/>
      <c r="AJ47" s="343"/>
      <c r="AK47" s="343"/>
      <c r="AL47" s="343"/>
      <c r="AM47" s="343"/>
      <c r="AN47" s="343"/>
      <c r="AO47" s="407"/>
      <c r="AP47" s="396"/>
      <c r="AQ47" s="396"/>
      <c r="AR47" s="396"/>
      <c r="AS47" s="396"/>
      <c r="AT47" s="396"/>
      <c r="AU47" s="396"/>
      <c r="AV47" s="396"/>
      <c r="AW47" s="396"/>
      <c r="AX47" s="392">
        <f>ROUND(U48,0)</f>
        <v>99</v>
      </c>
      <c r="AY47" s="393"/>
    </row>
    <row r="48" spans="1:51" ht="16.5" customHeight="1" x14ac:dyDescent="0.15">
      <c r="A48" s="340">
        <v>12</v>
      </c>
      <c r="B48" s="341">
        <v>1152</v>
      </c>
      <c r="C48" s="390" t="s">
        <v>15680</v>
      </c>
      <c r="D48" s="403"/>
      <c r="E48" s="404"/>
      <c r="F48" s="405"/>
      <c r="G48" s="404"/>
      <c r="H48" s="406"/>
      <c r="U48" s="836">
        <f>ROUND(U144*$F$13,0)</f>
        <v>99</v>
      </c>
      <c r="V48" s="837"/>
      <c r="W48" s="837"/>
      <c r="X48" s="152" t="s">
        <v>15624</v>
      </c>
      <c r="Y48" s="387"/>
      <c r="Z48" s="343" t="s">
        <v>15625</v>
      </c>
      <c r="AA48" s="325"/>
      <c r="AB48" s="325"/>
      <c r="AC48" s="325"/>
      <c r="AD48" s="325"/>
      <c r="AE48" s="325"/>
      <c r="AF48" s="325"/>
      <c r="AG48" s="325"/>
      <c r="AH48" s="325"/>
      <c r="AI48" s="325"/>
      <c r="AJ48" s="325"/>
      <c r="AK48" s="325"/>
      <c r="AL48" s="325"/>
      <c r="AM48" s="391" t="s">
        <v>15626</v>
      </c>
      <c r="AN48" s="838">
        <f>AN46</f>
        <v>1</v>
      </c>
      <c r="AO48" s="839"/>
      <c r="AP48" s="325"/>
      <c r="AQ48" s="325"/>
      <c r="AR48" s="325"/>
      <c r="AS48" s="325"/>
      <c r="AT48" s="325"/>
      <c r="AU48" s="325"/>
      <c r="AV48" s="325"/>
      <c r="AW48" s="391"/>
      <c r="AX48" s="392">
        <f>ROUND(U48*AN48,0)</f>
        <v>99</v>
      </c>
      <c r="AY48" s="393"/>
    </row>
    <row r="49" spans="1:51" ht="16.5" customHeight="1" x14ac:dyDescent="0.15">
      <c r="A49" s="340">
        <v>12</v>
      </c>
      <c r="B49" s="341">
        <v>7021</v>
      </c>
      <c r="C49" s="390" t="s">
        <v>15681</v>
      </c>
      <c r="D49" s="403"/>
      <c r="E49" s="404"/>
      <c r="F49" s="405"/>
      <c r="G49" s="404"/>
      <c r="H49" s="406"/>
      <c r="U49" s="395"/>
      <c r="V49" s="151"/>
      <c r="W49" s="151"/>
      <c r="Y49" s="387"/>
      <c r="Z49" s="343"/>
      <c r="AA49" s="343"/>
      <c r="AB49" s="343"/>
      <c r="AC49" s="343"/>
      <c r="AD49" s="343"/>
      <c r="AE49" s="343"/>
      <c r="AF49" s="343"/>
      <c r="AG49" s="343"/>
      <c r="AH49" s="343"/>
      <c r="AI49" s="343"/>
      <c r="AJ49" s="343"/>
      <c r="AK49" s="343"/>
      <c r="AL49" s="343"/>
      <c r="AM49" s="343"/>
      <c r="AN49" s="343"/>
      <c r="AO49" s="343"/>
      <c r="AP49" s="114" t="s">
        <v>15628</v>
      </c>
      <c r="AQ49" s="396"/>
      <c r="AR49" s="396"/>
      <c r="AS49" s="396"/>
      <c r="AT49" s="396"/>
      <c r="AU49" s="396"/>
      <c r="AV49" s="396"/>
      <c r="AW49" s="397"/>
      <c r="AX49" s="392">
        <f>ROUND(U48*AV50,0)</f>
        <v>84</v>
      </c>
      <c r="AY49" s="393"/>
    </row>
    <row r="50" spans="1:51" ht="16.5" customHeight="1" x14ac:dyDescent="0.15">
      <c r="A50" s="340">
        <v>12</v>
      </c>
      <c r="B50" s="341">
        <v>7022</v>
      </c>
      <c r="C50" s="390" t="s">
        <v>15682</v>
      </c>
      <c r="D50" s="403"/>
      <c r="E50" s="404"/>
      <c r="F50" s="405"/>
      <c r="G50" s="404"/>
      <c r="H50" s="406"/>
      <c r="U50" s="395"/>
      <c r="V50" s="151"/>
      <c r="W50" s="151"/>
      <c r="Y50" s="387"/>
      <c r="Z50" s="343" t="s">
        <v>15625</v>
      </c>
      <c r="AA50" s="325"/>
      <c r="AB50" s="325"/>
      <c r="AC50" s="325"/>
      <c r="AD50" s="325"/>
      <c r="AE50" s="325"/>
      <c r="AF50" s="325"/>
      <c r="AG50" s="325"/>
      <c r="AH50" s="325"/>
      <c r="AI50" s="325"/>
      <c r="AJ50" s="325"/>
      <c r="AK50" s="325"/>
      <c r="AL50" s="325"/>
      <c r="AM50" s="391" t="s">
        <v>15626</v>
      </c>
      <c r="AN50" s="838">
        <f>AN48</f>
        <v>1</v>
      </c>
      <c r="AO50" s="843"/>
      <c r="AP50" s="324" t="s">
        <v>15630</v>
      </c>
      <c r="AQ50" s="325"/>
      <c r="AR50" s="325"/>
      <c r="AS50" s="325"/>
      <c r="AT50" s="325"/>
      <c r="AU50" s="190" t="s">
        <v>398</v>
      </c>
      <c r="AV50" s="844">
        <f>AV46</f>
        <v>0.85</v>
      </c>
      <c r="AW50" s="845"/>
      <c r="AX50" s="392">
        <f>ROUND(ROUND(U48*AN50,0)*AV50,0)</f>
        <v>84</v>
      </c>
      <c r="AY50" s="393"/>
    </row>
    <row r="51" spans="1:51" ht="17.100000000000001" customHeight="1" x14ac:dyDescent="0.15">
      <c r="A51" s="340">
        <v>12</v>
      </c>
      <c r="B51" s="341">
        <v>1161</v>
      </c>
      <c r="C51" s="390" t="s">
        <v>15683</v>
      </c>
      <c r="D51" s="403"/>
      <c r="E51" s="404"/>
      <c r="F51" s="405"/>
      <c r="G51" s="404"/>
      <c r="H51" s="406"/>
      <c r="I51" s="253" t="s">
        <v>15684</v>
      </c>
      <c r="J51" s="396"/>
      <c r="K51" s="396"/>
      <c r="L51" s="400"/>
      <c r="M51" s="400"/>
      <c r="N51" s="400"/>
      <c r="O51" s="400"/>
      <c r="P51" s="400"/>
      <c r="Q51" s="396"/>
      <c r="R51" s="396"/>
      <c r="S51" s="396"/>
      <c r="T51" s="396"/>
      <c r="U51" s="396"/>
      <c r="V51" s="396"/>
      <c r="W51" s="396"/>
      <c r="X51" s="396"/>
      <c r="Y51" s="397"/>
      <c r="Z51" s="343"/>
      <c r="AA51" s="343"/>
      <c r="AB51" s="343"/>
      <c r="AC51" s="343"/>
      <c r="AD51" s="343"/>
      <c r="AE51" s="343"/>
      <c r="AF51" s="343"/>
      <c r="AG51" s="343"/>
      <c r="AH51" s="343"/>
      <c r="AI51" s="343"/>
      <c r="AJ51" s="343"/>
      <c r="AK51" s="343"/>
      <c r="AL51" s="343"/>
      <c r="AM51" s="343"/>
      <c r="AN51" s="343"/>
      <c r="AO51" s="407"/>
      <c r="AP51" s="396"/>
      <c r="AQ51" s="396"/>
      <c r="AR51" s="396"/>
      <c r="AS51" s="396"/>
      <c r="AT51" s="396"/>
      <c r="AU51" s="396"/>
      <c r="AV51" s="396"/>
      <c r="AW51" s="396"/>
      <c r="AX51" s="392">
        <f>ROUND(U52,0)</f>
        <v>92</v>
      </c>
      <c r="AY51" s="393"/>
    </row>
    <row r="52" spans="1:51" ht="16.5" customHeight="1" x14ac:dyDescent="0.15">
      <c r="A52" s="340">
        <v>12</v>
      </c>
      <c r="B52" s="341">
        <v>1162</v>
      </c>
      <c r="C52" s="390" t="s">
        <v>15685</v>
      </c>
      <c r="D52" s="403"/>
      <c r="E52" s="404"/>
      <c r="F52" s="405"/>
      <c r="G52" s="404"/>
      <c r="H52" s="406"/>
      <c r="U52" s="836">
        <f>ROUND(U148*$F$13,0)</f>
        <v>92</v>
      </c>
      <c r="V52" s="837"/>
      <c r="W52" s="837"/>
      <c r="X52" s="152" t="s">
        <v>15624</v>
      </c>
      <c r="Y52" s="387"/>
      <c r="Z52" s="343" t="s">
        <v>15625</v>
      </c>
      <c r="AA52" s="325"/>
      <c r="AB52" s="325"/>
      <c r="AC52" s="325"/>
      <c r="AD52" s="325"/>
      <c r="AE52" s="325"/>
      <c r="AF52" s="325"/>
      <c r="AG52" s="325"/>
      <c r="AH52" s="325"/>
      <c r="AI52" s="325"/>
      <c r="AJ52" s="325"/>
      <c r="AK52" s="325"/>
      <c r="AL52" s="325"/>
      <c r="AM52" s="391" t="s">
        <v>15626</v>
      </c>
      <c r="AN52" s="838">
        <f>AN50</f>
        <v>1</v>
      </c>
      <c r="AO52" s="839"/>
      <c r="AP52" s="325"/>
      <c r="AQ52" s="325"/>
      <c r="AR52" s="325"/>
      <c r="AS52" s="325"/>
      <c r="AT52" s="325"/>
      <c r="AU52" s="325"/>
      <c r="AV52" s="325"/>
      <c r="AW52" s="391"/>
      <c r="AX52" s="392">
        <f>ROUND(U52*AN52,0)</f>
        <v>92</v>
      </c>
      <c r="AY52" s="393"/>
    </row>
    <row r="53" spans="1:51" ht="16.5" customHeight="1" x14ac:dyDescent="0.15">
      <c r="A53" s="340">
        <v>12</v>
      </c>
      <c r="B53" s="341">
        <v>7023</v>
      </c>
      <c r="C53" s="390" t="s">
        <v>15686</v>
      </c>
      <c r="D53" s="408"/>
      <c r="E53" s="409"/>
      <c r="F53" s="410"/>
      <c r="G53" s="409"/>
      <c r="H53" s="411"/>
      <c r="U53" s="395"/>
      <c r="V53" s="151"/>
      <c r="W53" s="151"/>
      <c r="Y53" s="387"/>
      <c r="Z53" s="343"/>
      <c r="AA53" s="343"/>
      <c r="AB53" s="343"/>
      <c r="AC53" s="343"/>
      <c r="AD53" s="343"/>
      <c r="AE53" s="343"/>
      <c r="AF53" s="343"/>
      <c r="AG53" s="343"/>
      <c r="AH53" s="343"/>
      <c r="AI53" s="343"/>
      <c r="AJ53" s="343"/>
      <c r="AK53" s="343"/>
      <c r="AL53" s="343"/>
      <c r="AM53" s="343"/>
      <c r="AN53" s="343"/>
      <c r="AO53" s="343"/>
      <c r="AP53" s="114" t="s">
        <v>15628</v>
      </c>
      <c r="AQ53" s="396"/>
      <c r="AR53" s="396"/>
      <c r="AS53" s="396"/>
      <c r="AT53" s="396"/>
      <c r="AU53" s="396"/>
      <c r="AV53" s="396"/>
      <c r="AW53" s="397"/>
      <c r="AX53" s="392">
        <f>ROUND(U52*AV54,0)</f>
        <v>78</v>
      </c>
      <c r="AY53" s="393"/>
    </row>
    <row r="54" spans="1:51" ht="16.5" customHeight="1" x14ac:dyDescent="0.15">
      <c r="A54" s="340">
        <v>12</v>
      </c>
      <c r="B54" s="341">
        <v>7024</v>
      </c>
      <c r="C54" s="390" t="s">
        <v>15687</v>
      </c>
      <c r="D54" s="412"/>
      <c r="E54" s="413"/>
      <c r="F54" s="414"/>
      <c r="G54" s="413"/>
      <c r="H54" s="415"/>
      <c r="I54" s="325"/>
      <c r="J54" s="325"/>
      <c r="K54" s="325"/>
      <c r="L54" s="325"/>
      <c r="M54" s="325"/>
      <c r="N54" s="325"/>
      <c r="O54" s="325"/>
      <c r="P54" s="325"/>
      <c r="Q54" s="325"/>
      <c r="R54" s="325"/>
      <c r="S54" s="325"/>
      <c r="T54" s="325"/>
      <c r="U54" s="416"/>
      <c r="V54" s="417"/>
      <c r="W54" s="417"/>
      <c r="X54" s="325"/>
      <c r="Y54" s="388"/>
      <c r="Z54" s="343" t="s">
        <v>15625</v>
      </c>
      <c r="AA54" s="325"/>
      <c r="AB54" s="325"/>
      <c r="AC54" s="325"/>
      <c r="AD54" s="325"/>
      <c r="AE54" s="325"/>
      <c r="AF54" s="325"/>
      <c r="AG54" s="325"/>
      <c r="AH54" s="325"/>
      <c r="AI54" s="325"/>
      <c r="AJ54" s="325"/>
      <c r="AK54" s="325"/>
      <c r="AL54" s="325"/>
      <c r="AM54" s="391" t="s">
        <v>15626</v>
      </c>
      <c r="AN54" s="838">
        <f>AN52</f>
        <v>1</v>
      </c>
      <c r="AO54" s="843"/>
      <c r="AP54" s="324" t="s">
        <v>15630</v>
      </c>
      <c r="AQ54" s="325"/>
      <c r="AR54" s="325"/>
      <c r="AS54" s="325"/>
      <c r="AT54" s="325"/>
      <c r="AU54" s="190" t="s">
        <v>398</v>
      </c>
      <c r="AV54" s="844">
        <f>AV50</f>
        <v>0.85</v>
      </c>
      <c r="AW54" s="845"/>
      <c r="AX54" s="353">
        <f>ROUND(ROUND(U52*AN54,0)*AV54,0)</f>
        <v>78</v>
      </c>
      <c r="AY54" s="418"/>
    </row>
    <row r="55" spans="1:51" ht="17.100000000000001" customHeight="1" x14ac:dyDescent="0.15">
      <c r="A55" s="340">
        <v>12</v>
      </c>
      <c r="B55" s="341">
        <v>1271</v>
      </c>
      <c r="C55" s="390" t="s">
        <v>15688</v>
      </c>
      <c r="D55" s="857" t="s">
        <v>15689</v>
      </c>
      <c r="E55" s="858"/>
      <c r="F55" s="859"/>
      <c r="G55" s="858"/>
      <c r="H55" s="860"/>
      <c r="I55" s="10" t="s">
        <v>15690</v>
      </c>
      <c r="L55" s="151"/>
      <c r="M55" s="151"/>
      <c r="N55" s="151"/>
      <c r="O55" s="151"/>
      <c r="P55" s="151"/>
      <c r="Y55" s="387"/>
      <c r="Z55" s="343"/>
      <c r="AA55" s="343"/>
      <c r="AB55" s="343"/>
      <c r="AC55" s="343"/>
      <c r="AD55" s="343"/>
      <c r="AE55" s="343"/>
      <c r="AF55" s="343"/>
      <c r="AG55" s="343"/>
      <c r="AH55" s="343"/>
      <c r="AI55" s="343"/>
      <c r="AJ55" s="343"/>
      <c r="AK55" s="343"/>
      <c r="AL55" s="343"/>
      <c r="AM55" s="343"/>
      <c r="AN55" s="343"/>
      <c r="AO55" s="407"/>
      <c r="AP55" s="396"/>
      <c r="AQ55" s="396"/>
      <c r="AR55" s="396"/>
      <c r="AS55" s="396"/>
      <c r="AT55" s="396"/>
      <c r="AU55" s="396"/>
      <c r="AV55" s="396"/>
      <c r="AW55" s="396"/>
      <c r="AX55" s="392">
        <f>ROUND(U56,0)</f>
        <v>201</v>
      </c>
      <c r="AY55" s="329" t="s">
        <v>15622</v>
      </c>
    </row>
    <row r="56" spans="1:51" ht="16.5" customHeight="1" x14ac:dyDescent="0.15">
      <c r="A56" s="340">
        <v>12</v>
      </c>
      <c r="B56" s="341">
        <v>1272</v>
      </c>
      <c r="C56" s="390" t="s">
        <v>15691</v>
      </c>
      <c r="D56" s="849"/>
      <c r="E56" s="850"/>
      <c r="F56" s="851"/>
      <c r="G56" s="850"/>
      <c r="H56" s="852"/>
      <c r="U56" s="836">
        <f>ROUND(U104*$F$61,0)</f>
        <v>201</v>
      </c>
      <c r="V56" s="837"/>
      <c r="W56" s="837"/>
      <c r="X56" s="152" t="s">
        <v>15624</v>
      </c>
      <c r="Y56" s="387"/>
      <c r="Z56" s="343" t="s">
        <v>15625</v>
      </c>
      <c r="AA56" s="325"/>
      <c r="AB56" s="325"/>
      <c r="AC56" s="325"/>
      <c r="AD56" s="325"/>
      <c r="AE56" s="325"/>
      <c r="AF56" s="325"/>
      <c r="AG56" s="325"/>
      <c r="AH56" s="325"/>
      <c r="AI56" s="325"/>
      <c r="AJ56" s="325"/>
      <c r="AK56" s="325"/>
      <c r="AL56" s="325"/>
      <c r="AM56" s="391" t="s">
        <v>15626</v>
      </c>
      <c r="AN56" s="838">
        <f>AN54</f>
        <v>1</v>
      </c>
      <c r="AO56" s="839"/>
      <c r="AP56" s="325"/>
      <c r="AQ56" s="325"/>
      <c r="AR56" s="325"/>
      <c r="AS56" s="325"/>
      <c r="AT56" s="325"/>
      <c r="AU56" s="325"/>
      <c r="AV56" s="325"/>
      <c r="AW56" s="325"/>
      <c r="AX56" s="392">
        <f>ROUND(U56*AN56,0)</f>
        <v>201</v>
      </c>
      <c r="AY56" s="393"/>
    </row>
    <row r="57" spans="1:51" ht="16.5" customHeight="1" x14ac:dyDescent="0.15">
      <c r="A57" s="340">
        <v>12</v>
      </c>
      <c r="B57" s="341">
        <v>7025</v>
      </c>
      <c r="C57" s="390" t="s">
        <v>15692</v>
      </c>
      <c r="D57" s="849"/>
      <c r="E57" s="850"/>
      <c r="F57" s="851"/>
      <c r="G57" s="850"/>
      <c r="H57" s="852"/>
      <c r="U57" s="395"/>
      <c r="V57" s="151"/>
      <c r="W57" s="151"/>
      <c r="Y57" s="387"/>
      <c r="Z57" s="343"/>
      <c r="AA57" s="343"/>
      <c r="AB57" s="343"/>
      <c r="AC57" s="343"/>
      <c r="AD57" s="343"/>
      <c r="AE57" s="343"/>
      <c r="AF57" s="343"/>
      <c r="AG57" s="343"/>
      <c r="AH57" s="343"/>
      <c r="AI57" s="343"/>
      <c r="AJ57" s="343"/>
      <c r="AK57" s="343"/>
      <c r="AL57" s="343"/>
      <c r="AM57" s="343"/>
      <c r="AN57" s="343"/>
      <c r="AO57" s="343"/>
      <c r="AP57" s="114" t="s">
        <v>15628</v>
      </c>
      <c r="AQ57" s="396"/>
      <c r="AR57" s="396"/>
      <c r="AS57" s="396"/>
      <c r="AT57" s="396"/>
      <c r="AU57" s="396"/>
      <c r="AV57" s="396"/>
      <c r="AW57" s="397"/>
      <c r="AX57" s="392">
        <f>ROUND(U56*AV58,0)</f>
        <v>171</v>
      </c>
      <c r="AY57" s="393"/>
    </row>
    <row r="58" spans="1:51" ht="16.5" customHeight="1" x14ac:dyDescent="0.15">
      <c r="A58" s="340">
        <v>12</v>
      </c>
      <c r="B58" s="341">
        <v>7026</v>
      </c>
      <c r="C58" s="390" t="s">
        <v>15693</v>
      </c>
      <c r="D58" s="849"/>
      <c r="E58" s="850"/>
      <c r="F58" s="851"/>
      <c r="G58" s="850"/>
      <c r="H58" s="852"/>
      <c r="U58" s="395"/>
      <c r="V58" s="151"/>
      <c r="W58" s="151"/>
      <c r="Y58" s="387"/>
      <c r="Z58" s="343" t="s">
        <v>15625</v>
      </c>
      <c r="AA58" s="325"/>
      <c r="AB58" s="325"/>
      <c r="AC58" s="325"/>
      <c r="AD58" s="325"/>
      <c r="AE58" s="325"/>
      <c r="AF58" s="325"/>
      <c r="AG58" s="325"/>
      <c r="AH58" s="325"/>
      <c r="AI58" s="325"/>
      <c r="AJ58" s="325"/>
      <c r="AK58" s="325"/>
      <c r="AL58" s="325"/>
      <c r="AM58" s="391" t="s">
        <v>15626</v>
      </c>
      <c r="AN58" s="838">
        <f>AN56</f>
        <v>1</v>
      </c>
      <c r="AO58" s="843"/>
      <c r="AP58" s="324" t="s">
        <v>15630</v>
      </c>
      <c r="AQ58" s="325"/>
      <c r="AR58" s="325"/>
      <c r="AS58" s="325"/>
      <c r="AT58" s="325"/>
      <c r="AU58" s="190" t="s">
        <v>398</v>
      </c>
      <c r="AV58" s="844">
        <f>AV54</f>
        <v>0.85</v>
      </c>
      <c r="AW58" s="845"/>
      <c r="AX58" s="392">
        <f>ROUND(ROUND(U56*AN58,0)*AV58,0)</f>
        <v>171</v>
      </c>
      <c r="AY58" s="393"/>
    </row>
    <row r="59" spans="1:51" ht="17.100000000000001" customHeight="1" x14ac:dyDescent="0.15">
      <c r="A59" s="340">
        <v>12</v>
      </c>
      <c r="B59" s="341">
        <v>1281</v>
      </c>
      <c r="C59" s="390" t="s">
        <v>15694</v>
      </c>
      <c r="D59" s="832" t="s">
        <v>15632</v>
      </c>
      <c r="E59" s="833"/>
      <c r="F59" s="834"/>
      <c r="G59" s="833"/>
      <c r="H59" s="835"/>
      <c r="I59" s="253" t="s">
        <v>15695</v>
      </c>
      <c r="J59" s="396"/>
      <c r="K59" s="396"/>
      <c r="L59" s="396"/>
      <c r="M59" s="396"/>
      <c r="N59" s="396"/>
      <c r="O59" s="396"/>
      <c r="P59" s="396"/>
      <c r="Q59" s="396"/>
      <c r="R59" s="396"/>
      <c r="S59" s="396"/>
      <c r="T59" s="396"/>
      <c r="U59" s="399"/>
      <c r="V59" s="400"/>
      <c r="W59" s="400"/>
      <c r="X59" s="396"/>
      <c r="Y59" s="397"/>
      <c r="Z59" s="343"/>
      <c r="AA59" s="325"/>
      <c r="AB59" s="325"/>
      <c r="AC59" s="325"/>
      <c r="AD59" s="325"/>
      <c r="AE59" s="325"/>
      <c r="AF59" s="325"/>
      <c r="AG59" s="325"/>
      <c r="AH59" s="325"/>
      <c r="AI59" s="325"/>
      <c r="AJ59" s="325"/>
      <c r="AK59" s="325"/>
      <c r="AL59" s="325"/>
      <c r="AM59" s="391"/>
      <c r="AN59" s="401"/>
      <c r="AO59" s="402"/>
      <c r="AU59" s="152"/>
      <c r="AV59" s="152"/>
      <c r="AW59" s="152"/>
      <c r="AX59" s="392">
        <f>ROUND(U60,0)</f>
        <v>98</v>
      </c>
      <c r="AY59" s="393"/>
    </row>
    <row r="60" spans="1:51" ht="16.5" customHeight="1" x14ac:dyDescent="0.15">
      <c r="A60" s="340">
        <v>12</v>
      </c>
      <c r="B60" s="341">
        <v>1282</v>
      </c>
      <c r="C60" s="390" t="s">
        <v>15696</v>
      </c>
      <c r="D60" s="832"/>
      <c r="E60" s="833"/>
      <c r="F60" s="834"/>
      <c r="G60" s="833"/>
      <c r="H60" s="835"/>
      <c r="U60" s="836">
        <f>ROUND(U108*$F$61,0)</f>
        <v>98</v>
      </c>
      <c r="V60" s="837"/>
      <c r="W60" s="837"/>
      <c r="X60" s="152" t="s">
        <v>15624</v>
      </c>
      <c r="Y60" s="387"/>
      <c r="Z60" s="343" t="s">
        <v>15625</v>
      </c>
      <c r="AA60" s="325"/>
      <c r="AB60" s="325"/>
      <c r="AC60" s="325"/>
      <c r="AD60" s="325"/>
      <c r="AE60" s="325"/>
      <c r="AF60" s="325"/>
      <c r="AG60" s="325"/>
      <c r="AH60" s="325"/>
      <c r="AI60" s="325"/>
      <c r="AJ60" s="325"/>
      <c r="AK60" s="325"/>
      <c r="AL60" s="325"/>
      <c r="AM60" s="391" t="s">
        <v>15626</v>
      </c>
      <c r="AN60" s="838">
        <f>AN58</f>
        <v>1</v>
      </c>
      <c r="AO60" s="839"/>
      <c r="AU60" s="152"/>
      <c r="AV60" s="152"/>
      <c r="AW60" s="152"/>
      <c r="AX60" s="392">
        <f>ROUND(U60*AN60,0)</f>
        <v>98</v>
      </c>
      <c r="AY60" s="393"/>
    </row>
    <row r="61" spans="1:51" ht="16.5" customHeight="1" x14ac:dyDescent="0.15">
      <c r="A61" s="340">
        <v>12</v>
      </c>
      <c r="B61" s="341">
        <v>7027</v>
      </c>
      <c r="C61" s="390" t="s">
        <v>15697</v>
      </c>
      <c r="D61" s="403"/>
      <c r="E61" s="404" t="s">
        <v>15636</v>
      </c>
      <c r="F61" s="854">
        <v>1.085</v>
      </c>
      <c r="G61" s="855"/>
      <c r="H61" s="856"/>
      <c r="U61" s="395"/>
      <c r="V61" s="151"/>
      <c r="W61" s="151"/>
      <c r="Y61" s="387"/>
      <c r="Z61" s="343"/>
      <c r="AA61" s="343"/>
      <c r="AB61" s="343"/>
      <c r="AC61" s="343"/>
      <c r="AD61" s="343"/>
      <c r="AE61" s="343"/>
      <c r="AF61" s="343"/>
      <c r="AG61" s="343"/>
      <c r="AH61" s="343"/>
      <c r="AI61" s="343"/>
      <c r="AJ61" s="343"/>
      <c r="AK61" s="343"/>
      <c r="AL61" s="343"/>
      <c r="AM61" s="343"/>
      <c r="AN61" s="343"/>
      <c r="AO61" s="343"/>
      <c r="AP61" s="114" t="s">
        <v>15628</v>
      </c>
      <c r="AQ61" s="396"/>
      <c r="AR61" s="396"/>
      <c r="AS61" s="396"/>
      <c r="AT61" s="396"/>
      <c r="AU61" s="396"/>
      <c r="AV61" s="396"/>
      <c r="AW61" s="397"/>
      <c r="AX61" s="392">
        <f>ROUND(U60*AV62,0)</f>
        <v>83</v>
      </c>
      <c r="AY61" s="393"/>
    </row>
    <row r="62" spans="1:51" ht="16.5" customHeight="1" x14ac:dyDescent="0.15">
      <c r="A62" s="340">
        <v>12</v>
      </c>
      <c r="B62" s="341">
        <v>7028</v>
      </c>
      <c r="C62" s="390" t="s">
        <v>15698</v>
      </c>
      <c r="D62" s="403"/>
      <c r="E62" s="404"/>
      <c r="F62" s="405"/>
      <c r="G62" s="404"/>
      <c r="H62" s="406"/>
      <c r="U62" s="395"/>
      <c r="V62" s="151"/>
      <c r="W62" s="151"/>
      <c r="Y62" s="387"/>
      <c r="Z62" s="343" t="s">
        <v>15625</v>
      </c>
      <c r="AA62" s="325"/>
      <c r="AB62" s="325"/>
      <c r="AC62" s="325"/>
      <c r="AD62" s="325"/>
      <c r="AE62" s="325"/>
      <c r="AF62" s="325"/>
      <c r="AG62" s="325"/>
      <c r="AH62" s="325"/>
      <c r="AI62" s="325"/>
      <c r="AJ62" s="325"/>
      <c r="AK62" s="325"/>
      <c r="AL62" s="325"/>
      <c r="AM62" s="391" t="s">
        <v>15626</v>
      </c>
      <c r="AN62" s="838">
        <f>AN60</f>
        <v>1</v>
      </c>
      <c r="AO62" s="843"/>
      <c r="AP62" s="324" t="s">
        <v>15630</v>
      </c>
      <c r="AQ62" s="325"/>
      <c r="AR62" s="325"/>
      <c r="AS62" s="325"/>
      <c r="AT62" s="325"/>
      <c r="AU62" s="190" t="s">
        <v>398</v>
      </c>
      <c r="AV62" s="844">
        <f>AV58</f>
        <v>0.85</v>
      </c>
      <c r="AW62" s="845"/>
      <c r="AX62" s="392">
        <f>ROUND(ROUND(U60*AN62,0)*AV62,0)</f>
        <v>83</v>
      </c>
      <c r="AY62" s="393"/>
    </row>
    <row r="63" spans="1:51" ht="16.5" customHeight="1" x14ac:dyDescent="0.15">
      <c r="A63" s="340">
        <v>12</v>
      </c>
      <c r="B63" s="341">
        <v>1441</v>
      </c>
      <c r="C63" s="390" t="s">
        <v>15699</v>
      </c>
      <c r="D63" s="403"/>
      <c r="E63" s="404"/>
      <c r="F63" s="405"/>
      <c r="G63" s="404"/>
      <c r="H63" s="406"/>
      <c r="I63" s="253" t="s">
        <v>15639</v>
      </c>
      <c r="J63" s="396"/>
      <c r="K63" s="396"/>
      <c r="L63" s="396"/>
      <c r="M63" s="396"/>
      <c r="N63" s="396"/>
      <c r="O63" s="396"/>
      <c r="P63" s="396"/>
      <c r="Q63" s="396"/>
      <c r="R63" s="396"/>
      <c r="S63" s="396"/>
      <c r="T63" s="396"/>
      <c r="U63" s="399"/>
      <c r="V63" s="400"/>
      <c r="W63" s="400"/>
      <c r="X63" s="396"/>
      <c r="Y63" s="397"/>
      <c r="Z63" s="343"/>
      <c r="AA63" s="325"/>
      <c r="AB63" s="325"/>
      <c r="AC63" s="325"/>
      <c r="AD63" s="325"/>
      <c r="AE63" s="325"/>
      <c r="AF63" s="325"/>
      <c r="AG63" s="325"/>
      <c r="AH63" s="325"/>
      <c r="AI63" s="325"/>
      <c r="AJ63" s="325"/>
      <c r="AK63" s="325"/>
      <c r="AL63" s="325"/>
      <c r="AM63" s="391"/>
      <c r="AN63" s="401"/>
      <c r="AO63" s="402"/>
      <c r="AP63" s="396"/>
      <c r="AQ63" s="396"/>
      <c r="AR63" s="396"/>
      <c r="AS63" s="396"/>
      <c r="AT63" s="396"/>
      <c r="AU63" s="396"/>
      <c r="AV63" s="396"/>
      <c r="AW63" s="396"/>
      <c r="AX63" s="392">
        <f>ROUND(U64,0)</f>
        <v>100</v>
      </c>
      <c r="AY63" s="393"/>
    </row>
    <row r="64" spans="1:51" ht="16.5" customHeight="1" x14ac:dyDescent="0.15">
      <c r="A64" s="340">
        <v>12</v>
      </c>
      <c r="B64" s="341">
        <v>1442</v>
      </c>
      <c r="C64" s="390" t="s">
        <v>15700</v>
      </c>
      <c r="D64" s="403"/>
      <c r="E64" s="404"/>
      <c r="F64" s="405"/>
      <c r="G64" s="404"/>
      <c r="H64" s="406"/>
      <c r="U64" s="836">
        <f>ROUND(U112*$F$61,0)</f>
        <v>100</v>
      </c>
      <c r="V64" s="837"/>
      <c r="W64" s="837"/>
      <c r="X64" s="152" t="s">
        <v>15624</v>
      </c>
      <c r="Y64" s="387"/>
      <c r="Z64" s="343" t="s">
        <v>15625</v>
      </c>
      <c r="AA64" s="325"/>
      <c r="AB64" s="325"/>
      <c r="AC64" s="325"/>
      <c r="AD64" s="325"/>
      <c r="AE64" s="325"/>
      <c r="AF64" s="325"/>
      <c r="AG64" s="325"/>
      <c r="AH64" s="325"/>
      <c r="AI64" s="325"/>
      <c r="AJ64" s="325"/>
      <c r="AK64" s="325"/>
      <c r="AL64" s="325"/>
      <c r="AM64" s="391" t="s">
        <v>15626</v>
      </c>
      <c r="AN64" s="838">
        <f>AN62</f>
        <v>1</v>
      </c>
      <c r="AO64" s="839"/>
      <c r="AP64" s="325"/>
      <c r="AQ64" s="325"/>
      <c r="AR64" s="325"/>
      <c r="AS64" s="325"/>
      <c r="AT64" s="325"/>
      <c r="AU64" s="325"/>
      <c r="AV64" s="325"/>
      <c r="AW64" s="325"/>
      <c r="AX64" s="392">
        <f>ROUND(U64*AN64,0)</f>
        <v>100</v>
      </c>
      <c r="AY64" s="393"/>
    </row>
    <row r="65" spans="1:51" ht="16.5" customHeight="1" x14ac:dyDescent="0.15">
      <c r="A65" s="340">
        <v>12</v>
      </c>
      <c r="B65" s="341">
        <v>7029</v>
      </c>
      <c r="C65" s="390" t="s">
        <v>15701</v>
      </c>
      <c r="D65" s="403"/>
      <c r="E65" s="404"/>
      <c r="F65" s="405"/>
      <c r="G65" s="404"/>
      <c r="H65" s="406"/>
      <c r="U65" s="395"/>
      <c r="V65" s="151"/>
      <c r="W65" s="151"/>
      <c r="Y65" s="387"/>
      <c r="Z65" s="343"/>
      <c r="AA65" s="343"/>
      <c r="AB65" s="343"/>
      <c r="AC65" s="343"/>
      <c r="AD65" s="343"/>
      <c r="AE65" s="343"/>
      <c r="AF65" s="343"/>
      <c r="AG65" s="343"/>
      <c r="AH65" s="343"/>
      <c r="AI65" s="343"/>
      <c r="AJ65" s="343"/>
      <c r="AK65" s="343"/>
      <c r="AL65" s="343"/>
      <c r="AM65" s="343"/>
      <c r="AN65" s="343"/>
      <c r="AO65" s="343"/>
      <c r="AP65" s="114" t="s">
        <v>15628</v>
      </c>
      <c r="AQ65" s="396"/>
      <c r="AR65" s="396"/>
      <c r="AS65" s="396"/>
      <c r="AT65" s="396"/>
      <c r="AU65" s="396"/>
      <c r="AV65" s="396"/>
      <c r="AW65" s="397"/>
      <c r="AX65" s="392">
        <f>ROUND(U64*AV66,0)</f>
        <v>85</v>
      </c>
      <c r="AY65" s="393"/>
    </row>
    <row r="66" spans="1:51" ht="16.5" customHeight="1" x14ac:dyDescent="0.15">
      <c r="A66" s="340">
        <v>12</v>
      </c>
      <c r="B66" s="341">
        <v>7030</v>
      </c>
      <c r="C66" s="390" t="s">
        <v>15702</v>
      </c>
      <c r="D66" s="403"/>
      <c r="E66" s="404"/>
      <c r="F66" s="405"/>
      <c r="G66" s="404"/>
      <c r="H66" s="406"/>
      <c r="U66" s="395"/>
      <c r="V66" s="151"/>
      <c r="W66" s="151"/>
      <c r="Y66" s="387"/>
      <c r="Z66" s="343" t="s">
        <v>15625</v>
      </c>
      <c r="AA66" s="325"/>
      <c r="AB66" s="325"/>
      <c r="AC66" s="325"/>
      <c r="AD66" s="325"/>
      <c r="AE66" s="325"/>
      <c r="AF66" s="325"/>
      <c r="AG66" s="325"/>
      <c r="AH66" s="325"/>
      <c r="AI66" s="325"/>
      <c r="AJ66" s="325"/>
      <c r="AK66" s="325"/>
      <c r="AL66" s="325"/>
      <c r="AM66" s="391" t="s">
        <v>15626</v>
      </c>
      <c r="AN66" s="838">
        <f>AN64</f>
        <v>1</v>
      </c>
      <c r="AO66" s="843"/>
      <c r="AP66" s="324" t="s">
        <v>15630</v>
      </c>
      <c r="AQ66" s="325"/>
      <c r="AR66" s="325"/>
      <c r="AS66" s="325"/>
      <c r="AT66" s="325"/>
      <c r="AU66" s="190" t="s">
        <v>398</v>
      </c>
      <c r="AV66" s="844">
        <f>AV62</f>
        <v>0.85</v>
      </c>
      <c r="AW66" s="845"/>
      <c r="AX66" s="392">
        <f>ROUND(ROUND(U64*AN66,0)*AV66,0)</f>
        <v>85</v>
      </c>
      <c r="AY66" s="393"/>
    </row>
    <row r="67" spans="1:51" ht="16.5" customHeight="1" x14ac:dyDescent="0.15">
      <c r="A67" s="340">
        <v>12</v>
      </c>
      <c r="B67" s="341">
        <v>1451</v>
      </c>
      <c r="C67" s="390" t="s">
        <v>15703</v>
      </c>
      <c r="D67" s="403"/>
      <c r="E67" s="404"/>
      <c r="F67" s="405"/>
      <c r="G67" s="404"/>
      <c r="H67" s="406"/>
      <c r="I67" s="253" t="s">
        <v>15644</v>
      </c>
      <c r="J67" s="396"/>
      <c r="K67" s="396"/>
      <c r="L67" s="396"/>
      <c r="M67" s="396"/>
      <c r="N67" s="396"/>
      <c r="O67" s="396"/>
      <c r="P67" s="396"/>
      <c r="Q67" s="396"/>
      <c r="R67" s="396"/>
      <c r="S67" s="396"/>
      <c r="T67" s="396"/>
      <c r="U67" s="399"/>
      <c r="V67" s="400"/>
      <c r="W67" s="400"/>
      <c r="X67" s="396"/>
      <c r="Y67" s="397"/>
      <c r="Z67" s="343"/>
      <c r="AA67" s="325"/>
      <c r="AB67" s="325"/>
      <c r="AC67" s="325"/>
      <c r="AD67" s="325"/>
      <c r="AE67" s="325"/>
      <c r="AF67" s="325"/>
      <c r="AG67" s="325"/>
      <c r="AH67" s="325"/>
      <c r="AI67" s="325"/>
      <c r="AJ67" s="325"/>
      <c r="AK67" s="325"/>
      <c r="AL67" s="325"/>
      <c r="AM67" s="391"/>
      <c r="AN67" s="401"/>
      <c r="AO67" s="402"/>
      <c r="AP67" s="396"/>
      <c r="AQ67" s="396"/>
      <c r="AR67" s="396"/>
      <c r="AS67" s="396"/>
      <c r="AT67" s="396"/>
      <c r="AU67" s="396"/>
      <c r="AV67" s="396"/>
      <c r="AW67" s="396"/>
      <c r="AX67" s="392">
        <f>ROUND(U68,0)</f>
        <v>99</v>
      </c>
      <c r="AY67" s="393"/>
    </row>
    <row r="68" spans="1:51" ht="16.5" customHeight="1" x14ac:dyDescent="0.15">
      <c r="A68" s="340">
        <v>12</v>
      </c>
      <c r="B68" s="341">
        <v>1452</v>
      </c>
      <c r="C68" s="390" t="s">
        <v>15704</v>
      </c>
      <c r="D68" s="403"/>
      <c r="E68" s="404"/>
      <c r="F68" s="405"/>
      <c r="G68" s="404"/>
      <c r="H68" s="406"/>
      <c r="U68" s="836">
        <f>ROUND(U116*$F$61,0)</f>
        <v>99</v>
      </c>
      <c r="V68" s="837"/>
      <c r="W68" s="837"/>
      <c r="X68" s="152" t="s">
        <v>15624</v>
      </c>
      <c r="Y68" s="387"/>
      <c r="Z68" s="343" t="s">
        <v>15625</v>
      </c>
      <c r="AA68" s="325"/>
      <c r="AB68" s="325"/>
      <c r="AC68" s="325"/>
      <c r="AD68" s="325"/>
      <c r="AE68" s="325"/>
      <c r="AF68" s="325"/>
      <c r="AG68" s="325"/>
      <c r="AH68" s="325"/>
      <c r="AI68" s="325"/>
      <c r="AJ68" s="325"/>
      <c r="AK68" s="325"/>
      <c r="AL68" s="325"/>
      <c r="AM68" s="391" t="s">
        <v>15626</v>
      </c>
      <c r="AN68" s="838">
        <f>AN66</f>
        <v>1</v>
      </c>
      <c r="AO68" s="839"/>
      <c r="AP68" s="325"/>
      <c r="AQ68" s="325"/>
      <c r="AR68" s="325"/>
      <c r="AS68" s="325"/>
      <c r="AT68" s="325"/>
      <c r="AU68" s="325"/>
      <c r="AV68" s="325"/>
      <c r="AW68" s="325"/>
      <c r="AX68" s="392">
        <f>ROUND(U68*AN68,0)</f>
        <v>99</v>
      </c>
      <c r="AY68" s="393"/>
    </row>
    <row r="69" spans="1:51" ht="16.5" customHeight="1" x14ac:dyDescent="0.15">
      <c r="A69" s="340">
        <v>12</v>
      </c>
      <c r="B69" s="341">
        <v>7031</v>
      </c>
      <c r="C69" s="390" t="s">
        <v>15705</v>
      </c>
      <c r="D69" s="403"/>
      <c r="E69" s="404"/>
      <c r="F69" s="405"/>
      <c r="G69" s="404"/>
      <c r="H69" s="406"/>
      <c r="U69" s="395"/>
      <c r="V69" s="151"/>
      <c r="W69" s="151"/>
      <c r="Y69" s="387"/>
      <c r="Z69" s="343"/>
      <c r="AA69" s="343"/>
      <c r="AB69" s="343"/>
      <c r="AC69" s="343"/>
      <c r="AD69" s="343"/>
      <c r="AE69" s="343"/>
      <c r="AF69" s="343"/>
      <c r="AG69" s="343"/>
      <c r="AH69" s="343"/>
      <c r="AI69" s="343"/>
      <c r="AJ69" s="343"/>
      <c r="AK69" s="343"/>
      <c r="AL69" s="343"/>
      <c r="AM69" s="343"/>
      <c r="AN69" s="343"/>
      <c r="AO69" s="343"/>
      <c r="AP69" s="114" t="s">
        <v>15628</v>
      </c>
      <c r="AQ69" s="396"/>
      <c r="AR69" s="396"/>
      <c r="AS69" s="396"/>
      <c r="AT69" s="396"/>
      <c r="AU69" s="396"/>
      <c r="AV69" s="396"/>
      <c r="AW69" s="397"/>
      <c r="AX69" s="392">
        <f>ROUND(U68*AV70,0)</f>
        <v>84</v>
      </c>
      <c r="AY69" s="393"/>
    </row>
    <row r="70" spans="1:51" ht="16.5" customHeight="1" x14ac:dyDescent="0.15">
      <c r="A70" s="340">
        <v>12</v>
      </c>
      <c r="B70" s="341">
        <v>7032</v>
      </c>
      <c r="C70" s="390" t="s">
        <v>15706</v>
      </c>
      <c r="D70" s="403"/>
      <c r="E70" s="404"/>
      <c r="F70" s="405"/>
      <c r="G70" s="404"/>
      <c r="H70" s="406"/>
      <c r="U70" s="395"/>
      <c r="V70" s="151"/>
      <c r="W70" s="151"/>
      <c r="Y70" s="387"/>
      <c r="Z70" s="343" t="s">
        <v>15625</v>
      </c>
      <c r="AA70" s="325"/>
      <c r="AB70" s="325"/>
      <c r="AC70" s="325"/>
      <c r="AD70" s="325"/>
      <c r="AE70" s="325"/>
      <c r="AF70" s="325"/>
      <c r="AG70" s="325"/>
      <c r="AH70" s="325"/>
      <c r="AI70" s="325"/>
      <c r="AJ70" s="325"/>
      <c r="AK70" s="325"/>
      <c r="AL70" s="325"/>
      <c r="AM70" s="391" t="s">
        <v>15626</v>
      </c>
      <c r="AN70" s="838">
        <f>AN68</f>
        <v>1</v>
      </c>
      <c r="AO70" s="843"/>
      <c r="AP70" s="324" t="s">
        <v>15630</v>
      </c>
      <c r="AQ70" s="325"/>
      <c r="AR70" s="325"/>
      <c r="AS70" s="325"/>
      <c r="AT70" s="325"/>
      <c r="AU70" s="190" t="s">
        <v>398</v>
      </c>
      <c r="AV70" s="844">
        <f>AV66</f>
        <v>0.85</v>
      </c>
      <c r="AW70" s="845"/>
      <c r="AX70" s="392">
        <f>ROUND(ROUND(U68*AN70,0)*AV70,0)</f>
        <v>84</v>
      </c>
      <c r="AY70" s="393"/>
    </row>
    <row r="71" spans="1:51" ht="16.5" customHeight="1" x14ac:dyDescent="0.15">
      <c r="A71" s="340">
        <v>12</v>
      </c>
      <c r="B71" s="341">
        <v>1461</v>
      </c>
      <c r="C71" s="390" t="s">
        <v>15707</v>
      </c>
      <c r="D71" s="403"/>
      <c r="E71" s="404"/>
      <c r="F71" s="405"/>
      <c r="G71" s="404"/>
      <c r="H71" s="406"/>
      <c r="I71" s="253" t="s">
        <v>15649</v>
      </c>
      <c r="J71" s="396"/>
      <c r="K71" s="396"/>
      <c r="L71" s="396"/>
      <c r="M71" s="396"/>
      <c r="N71" s="396"/>
      <c r="O71" s="396"/>
      <c r="P71" s="396"/>
      <c r="Q71" s="396"/>
      <c r="R71" s="396"/>
      <c r="S71" s="396"/>
      <c r="T71" s="396"/>
      <c r="U71" s="399"/>
      <c r="V71" s="400"/>
      <c r="W71" s="400"/>
      <c r="X71" s="396"/>
      <c r="Y71" s="397"/>
      <c r="Z71" s="343"/>
      <c r="AA71" s="325"/>
      <c r="AB71" s="325"/>
      <c r="AC71" s="325"/>
      <c r="AD71" s="325"/>
      <c r="AE71" s="325"/>
      <c r="AF71" s="325"/>
      <c r="AG71" s="325"/>
      <c r="AH71" s="325"/>
      <c r="AI71" s="325"/>
      <c r="AJ71" s="325"/>
      <c r="AK71" s="325"/>
      <c r="AL71" s="325"/>
      <c r="AM71" s="391"/>
      <c r="AN71" s="401"/>
      <c r="AO71" s="402"/>
      <c r="AP71" s="396"/>
      <c r="AQ71" s="396"/>
      <c r="AR71" s="396"/>
      <c r="AS71" s="396"/>
      <c r="AT71" s="396"/>
      <c r="AU71" s="396"/>
      <c r="AV71" s="396"/>
      <c r="AW71" s="396"/>
      <c r="AX71" s="392">
        <f>ROUND(U72,0)</f>
        <v>100</v>
      </c>
      <c r="AY71" s="393"/>
    </row>
    <row r="72" spans="1:51" ht="16.5" customHeight="1" x14ac:dyDescent="0.15">
      <c r="A72" s="340">
        <v>12</v>
      </c>
      <c r="B72" s="341">
        <v>1462</v>
      </c>
      <c r="C72" s="390" t="s">
        <v>15708</v>
      </c>
      <c r="D72" s="403"/>
      <c r="E72" s="404"/>
      <c r="F72" s="405"/>
      <c r="G72" s="404"/>
      <c r="H72" s="406"/>
      <c r="U72" s="836">
        <f>ROUND(U120*$F$61,0)</f>
        <v>100</v>
      </c>
      <c r="V72" s="837"/>
      <c r="W72" s="837"/>
      <c r="X72" s="152" t="s">
        <v>15624</v>
      </c>
      <c r="Y72" s="387"/>
      <c r="Z72" s="343" t="s">
        <v>15625</v>
      </c>
      <c r="AA72" s="325"/>
      <c r="AB72" s="325"/>
      <c r="AC72" s="325"/>
      <c r="AD72" s="325"/>
      <c r="AE72" s="325"/>
      <c r="AF72" s="325"/>
      <c r="AG72" s="325"/>
      <c r="AH72" s="325"/>
      <c r="AI72" s="325"/>
      <c r="AJ72" s="325"/>
      <c r="AK72" s="325"/>
      <c r="AL72" s="325"/>
      <c r="AM72" s="391" t="s">
        <v>15626</v>
      </c>
      <c r="AN72" s="838">
        <f>AN70</f>
        <v>1</v>
      </c>
      <c r="AO72" s="839"/>
      <c r="AP72" s="325"/>
      <c r="AQ72" s="325"/>
      <c r="AR72" s="325"/>
      <c r="AS72" s="325"/>
      <c r="AT72" s="325"/>
      <c r="AU72" s="325"/>
      <c r="AV72" s="325"/>
      <c r="AW72" s="325"/>
      <c r="AX72" s="392">
        <f>ROUND(U72*AN72,0)</f>
        <v>100</v>
      </c>
      <c r="AY72" s="393"/>
    </row>
    <row r="73" spans="1:51" ht="16.5" customHeight="1" x14ac:dyDescent="0.15">
      <c r="A73" s="340">
        <v>12</v>
      </c>
      <c r="B73" s="341">
        <v>7033</v>
      </c>
      <c r="C73" s="390" t="s">
        <v>15709</v>
      </c>
      <c r="D73" s="403"/>
      <c r="E73" s="404"/>
      <c r="F73" s="405"/>
      <c r="G73" s="404"/>
      <c r="H73" s="406"/>
      <c r="U73" s="395"/>
      <c r="V73" s="151"/>
      <c r="W73" s="151"/>
      <c r="Y73" s="387"/>
      <c r="Z73" s="343"/>
      <c r="AA73" s="343"/>
      <c r="AB73" s="343"/>
      <c r="AC73" s="343"/>
      <c r="AD73" s="343"/>
      <c r="AE73" s="343"/>
      <c r="AF73" s="343"/>
      <c r="AG73" s="343"/>
      <c r="AH73" s="343"/>
      <c r="AI73" s="343"/>
      <c r="AJ73" s="343"/>
      <c r="AK73" s="343"/>
      <c r="AL73" s="343"/>
      <c r="AM73" s="343"/>
      <c r="AN73" s="343"/>
      <c r="AO73" s="343"/>
      <c r="AP73" s="114" t="s">
        <v>15628</v>
      </c>
      <c r="AQ73" s="396"/>
      <c r="AR73" s="396"/>
      <c r="AS73" s="396"/>
      <c r="AT73" s="396"/>
      <c r="AU73" s="396"/>
      <c r="AV73" s="396"/>
      <c r="AW73" s="397"/>
      <c r="AX73" s="392">
        <f>ROUND(U72*AV74,0)</f>
        <v>85</v>
      </c>
      <c r="AY73" s="393"/>
    </row>
    <row r="74" spans="1:51" ht="16.5" customHeight="1" x14ac:dyDescent="0.15">
      <c r="A74" s="340">
        <v>12</v>
      </c>
      <c r="B74" s="341">
        <v>7034</v>
      </c>
      <c r="C74" s="390" t="s">
        <v>15710</v>
      </c>
      <c r="D74" s="403"/>
      <c r="E74" s="404"/>
      <c r="F74" s="405"/>
      <c r="G74" s="404"/>
      <c r="H74" s="406"/>
      <c r="U74" s="395"/>
      <c r="V74" s="151"/>
      <c r="W74" s="151"/>
      <c r="Y74" s="387"/>
      <c r="Z74" s="343" t="s">
        <v>15625</v>
      </c>
      <c r="AA74" s="325"/>
      <c r="AB74" s="325"/>
      <c r="AC74" s="325"/>
      <c r="AD74" s="325"/>
      <c r="AE74" s="325"/>
      <c r="AF74" s="325"/>
      <c r="AG74" s="325"/>
      <c r="AH74" s="325"/>
      <c r="AI74" s="325"/>
      <c r="AJ74" s="325"/>
      <c r="AK74" s="325"/>
      <c r="AL74" s="325"/>
      <c r="AM74" s="391" t="s">
        <v>15626</v>
      </c>
      <c r="AN74" s="838">
        <f>AN72</f>
        <v>1</v>
      </c>
      <c r="AO74" s="843"/>
      <c r="AP74" s="324" t="s">
        <v>15630</v>
      </c>
      <c r="AQ74" s="325"/>
      <c r="AR74" s="325"/>
      <c r="AS74" s="325"/>
      <c r="AT74" s="325"/>
      <c r="AU74" s="190" t="s">
        <v>398</v>
      </c>
      <c r="AV74" s="844">
        <f>AV70</f>
        <v>0.85</v>
      </c>
      <c r="AW74" s="845"/>
      <c r="AX74" s="392">
        <f>ROUND(ROUND(U72*AN74,0)*AV74,0)</f>
        <v>85</v>
      </c>
      <c r="AY74" s="393"/>
    </row>
    <row r="75" spans="1:51" ht="16.5" customHeight="1" x14ac:dyDescent="0.15">
      <c r="A75" s="340">
        <v>12</v>
      </c>
      <c r="B75" s="341">
        <v>1471</v>
      </c>
      <c r="C75" s="390" t="s">
        <v>15711</v>
      </c>
      <c r="D75" s="403"/>
      <c r="E75" s="404"/>
      <c r="F75" s="405"/>
      <c r="G75" s="404"/>
      <c r="H75" s="406"/>
      <c r="I75" s="253" t="s">
        <v>15654</v>
      </c>
      <c r="J75" s="396"/>
      <c r="K75" s="396"/>
      <c r="L75" s="396"/>
      <c r="M75" s="396"/>
      <c r="N75" s="396"/>
      <c r="O75" s="396"/>
      <c r="P75" s="396"/>
      <c r="Q75" s="396"/>
      <c r="R75" s="396"/>
      <c r="S75" s="396"/>
      <c r="T75" s="396"/>
      <c r="U75" s="399"/>
      <c r="V75" s="400"/>
      <c r="W75" s="400"/>
      <c r="X75" s="396"/>
      <c r="Y75" s="397"/>
      <c r="Z75" s="343"/>
      <c r="AA75" s="325"/>
      <c r="AB75" s="325"/>
      <c r="AC75" s="325"/>
      <c r="AD75" s="325"/>
      <c r="AE75" s="325"/>
      <c r="AF75" s="325"/>
      <c r="AG75" s="325"/>
      <c r="AH75" s="325"/>
      <c r="AI75" s="325"/>
      <c r="AJ75" s="325"/>
      <c r="AK75" s="325"/>
      <c r="AL75" s="325"/>
      <c r="AM75" s="391"/>
      <c r="AN75" s="401"/>
      <c r="AO75" s="402"/>
      <c r="AP75" s="396"/>
      <c r="AQ75" s="396"/>
      <c r="AR75" s="396"/>
      <c r="AS75" s="396"/>
      <c r="AT75" s="396"/>
      <c r="AU75" s="396"/>
      <c r="AV75" s="396"/>
      <c r="AW75" s="396"/>
      <c r="AX75" s="392">
        <f>ROUND(U76,0)</f>
        <v>98</v>
      </c>
      <c r="AY75" s="393"/>
    </row>
    <row r="76" spans="1:51" ht="16.5" customHeight="1" x14ac:dyDescent="0.15">
      <c r="A76" s="340">
        <v>12</v>
      </c>
      <c r="B76" s="341">
        <v>1472</v>
      </c>
      <c r="C76" s="390" t="s">
        <v>15712</v>
      </c>
      <c r="D76" s="403"/>
      <c r="E76" s="404"/>
      <c r="F76" s="405"/>
      <c r="G76" s="404"/>
      <c r="H76" s="406"/>
      <c r="U76" s="836">
        <f>ROUND(U124*$F$61,0)</f>
        <v>98</v>
      </c>
      <c r="V76" s="837"/>
      <c r="W76" s="837"/>
      <c r="X76" s="152" t="s">
        <v>15624</v>
      </c>
      <c r="Y76" s="387"/>
      <c r="Z76" s="343" t="s">
        <v>15625</v>
      </c>
      <c r="AA76" s="325"/>
      <c r="AB76" s="325"/>
      <c r="AC76" s="325"/>
      <c r="AD76" s="325"/>
      <c r="AE76" s="325"/>
      <c r="AF76" s="325"/>
      <c r="AG76" s="325"/>
      <c r="AH76" s="325"/>
      <c r="AI76" s="325"/>
      <c r="AJ76" s="325"/>
      <c r="AK76" s="325"/>
      <c r="AL76" s="325"/>
      <c r="AM76" s="391" t="s">
        <v>15626</v>
      </c>
      <c r="AN76" s="838">
        <f>AN74</f>
        <v>1</v>
      </c>
      <c r="AO76" s="839"/>
      <c r="AP76" s="325"/>
      <c r="AQ76" s="325"/>
      <c r="AR76" s="325"/>
      <c r="AS76" s="325"/>
      <c r="AT76" s="325"/>
      <c r="AU76" s="325"/>
      <c r="AV76" s="325"/>
      <c r="AW76" s="325"/>
      <c r="AX76" s="392">
        <f>ROUND(U76*AN76,0)</f>
        <v>98</v>
      </c>
      <c r="AY76" s="393"/>
    </row>
    <row r="77" spans="1:51" ht="16.5" customHeight="1" x14ac:dyDescent="0.15">
      <c r="A77" s="340">
        <v>12</v>
      </c>
      <c r="B77" s="341">
        <v>7035</v>
      </c>
      <c r="C77" s="390" t="s">
        <v>15713</v>
      </c>
      <c r="D77" s="403"/>
      <c r="E77" s="404"/>
      <c r="F77" s="405"/>
      <c r="G77" s="404"/>
      <c r="H77" s="406"/>
      <c r="U77" s="395"/>
      <c r="V77" s="151"/>
      <c r="W77" s="151"/>
      <c r="Y77" s="387"/>
      <c r="Z77" s="343"/>
      <c r="AA77" s="343"/>
      <c r="AB77" s="343"/>
      <c r="AC77" s="343"/>
      <c r="AD77" s="343"/>
      <c r="AE77" s="343"/>
      <c r="AF77" s="343"/>
      <c r="AG77" s="343"/>
      <c r="AH77" s="343"/>
      <c r="AI77" s="343"/>
      <c r="AJ77" s="343"/>
      <c r="AK77" s="343"/>
      <c r="AL77" s="343"/>
      <c r="AM77" s="343"/>
      <c r="AN77" s="343"/>
      <c r="AO77" s="343"/>
      <c r="AP77" s="114" t="s">
        <v>15628</v>
      </c>
      <c r="AQ77" s="396"/>
      <c r="AR77" s="396"/>
      <c r="AS77" s="396"/>
      <c r="AT77" s="396"/>
      <c r="AU77" s="396"/>
      <c r="AV77" s="396"/>
      <c r="AW77" s="397"/>
      <c r="AX77" s="392">
        <f>ROUND(U76*AV78,0)</f>
        <v>83</v>
      </c>
      <c r="AY77" s="393"/>
    </row>
    <row r="78" spans="1:51" ht="16.5" customHeight="1" x14ac:dyDescent="0.15">
      <c r="A78" s="340">
        <v>12</v>
      </c>
      <c r="B78" s="341">
        <v>7036</v>
      </c>
      <c r="C78" s="390" t="s">
        <v>15714</v>
      </c>
      <c r="D78" s="403"/>
      <c r="E78" s="404"/>
      <c r="F78" s="405"/>
      <c r="G78" s="404"/>
      <c r="H78" s="406"/>
      <c r="U78" s="395"/>
      <c r="V78" s="151"/>
      <c r="W78" s="151"/>
      <c r="Y78" s="387"/>
      <c r="Z78" s="343" t="s">
        <v>15625</v>
      </c>
      <c r="AA78" s="325"/>
      <c r="AB78" s="325"/>
      <c r="AC78" s="325"/>
      <c r="AD78" s="325"/>
      <c r="AE78" s="325"/>
      <c r="AF78" s="325"/>
      <c r="AG78" s="325"/>
      <c r="AH78" s="325"/>
      <c r="AI78" s="325"/>
      <c r="AJ78" s="325"/>
      <c r="AK78" s="325"/>
      <c r="AL78" s="325"/>
      <c r="AM78" s="391" t="s">
        <v>15626</v>
      </c>
      <c r="AN78" s="838">
        <f>AN76</f>
        <v>1</v>
      </c>
      <c r="AO78" s="843"/>
      <c r="AP78" s="324" t="s">
        <v>15630</v>
      </c>
      <c r="AQ78" s="325"/>
      <c r="AR78" s="325"/>
      <c r="AS78" s="325"/>
      <c r="AT78" s="325"/>
      <c r="AU78" s="190" t="s">
        <v>398</v>
      </c>
      <c r="AV78" s="844">
        <f>AV74</f>
        <v>0.85</v>
      </c>
      <c r="AW78" s="845"/>
      <c r="AX78" s="392">
        <f>ROUND(ROUND(U76*AN78,0)*AV78,0)</f>
        <v>83</v>
      </c>
      <c r="AY78" s="393"/>
    </row>
    <row r="79" spans="1:51" ht="16.5" customHeight="1" x14ac:dyDescent="0.15">
      <c r="A79" s="340">
        <v>12</v>
      </c>
      <c r="B79" s="341">
        <v>1481</v>
      </c>
      <c r="C79" s="390" t="s">
        <v>15715</v>
      </c>
      <c r="D79" s="403"/>
      <c r="E79" s="404"/>
      <c r="F79" s="405"/>
      <c r="G79" s="404"/>
      <c r="H79" s="406"/>
      <c r="I79" s="253" t="s">
        <v>15659</v>
      </c>
      <c r="J79" s="396"/>
      <c r="K79" s="396"/>
      <c r="L79" s="396"/>
      <c r="M79" s="396"/>
      <c r="N79" s="396"/>
      <c r="O79" s="396"/>
      <c r="P79" s="396"/>
      <c r="Q79" s="396"/>
      <c r="R79" s="396"/>
      <c r="S79" s="396"/>
      <c r="T79" s="396"/>
      <c r="U79" s="399"/>
      <c r="V79" s="400"/>
      <c r="W79" s="400"/>
      <c r="X79" s="396"/>
      <c r="Y79" s="397"/>
      <c r="Z79" s="343"/>
      <c r="AA79" s="325"/>
      <c r="AB79" s="325"/>
      <c r="AC79" s="325"/>
      <c r="AD79" s="325"/>
      <c r="AE79" s="325"/>
      <c r="AF79" s="325"/>
      <c r="AG79" s="325"/>
      <c r="AH79" s="325"/>
      <c r="AI79" s="325"/>
      <c r="AJ79" s="325"/>
      <c r="AK79" s="325"/>
      <c r="AL79" s="325"/>
      <c r="AM79" s="391"/>
      <c r="AN79" s="401"/>
      <c r="AO79" s="402"/>
      <c r="AP79" s="396"/>
      <c r="AQ79" s="396"/>
      <c r="AR79" s="396"/>
      <c r="AS79" s="396"/>
      <c r="AT79" s="396"/>
      <c r="AU79" s="396"/>
      <c r="AV79" s="396"/>
      <c r="AW79" s="396"/>
      <c r="AX79" s="392">
        <f>ROUND(U80,0)</f>
        <v>100</v>
      </c>
      <c r="AY79" s="393"/>
    </row>
    <row r="80" spans="1:51" ht="16.5" customHeight="1" x14ac:dyDescent="0.15">
      <c r="A80" s="340">
        <v>12</v>
      </c>
      <c r="B80" s="341">
        <v>1482</v>
      </c>
      <c r="C80" s="390" t="s">
        <v>15716</v>
      </c>
      <c r="D80" s="403"/>
      <c r="E80" s="404"/>
      <c r="F80" s="405"/>
      <c r="G80" s="404"/>
      <c r="H80" s="406"/>
      <c r="U80" s="836">
        <f>ROUND(U128*$F$61,0)</f>
        <v>100</v>
      </c>
      <c r="V80" s="837"/>
      <c r="W80" s="837"/>
      <c r="X80" s="152" t="s">
        <v>15624</v>
      </c>
      <c r="Y80" s="387"/>
      <c r="Z80" s="343" t="s">
        <v>15625</v>
      </c>
      <c r="AA80" s="325"/>
      <c r="AB80" s="325"/>
      <c r="AC80" s="325"/>
      <c r="AD80" s="325"/>
      <c r="AE80" s="325"/>
      <c r="AF80" s="325"/>
      <c r="AG80" s="325"/>
      <c r="AH80" s="325"/>
      <c r="AI80" s="325"/>
      <c r="AJ80" s="325"/>
      <c r="AK80" s="325"/>
      <c r="AL80" s="325"/>
      <c r="AM80" s="391" t="s">
        <v>15626</v>
      </c>
      <c r="AN80" s="838">
        <f>AN78</f>
        <v>1</v>
      </c>
      <c r="AO80" s="839"/>
      <c r="AP80" s="325"/>
      <c r="AQ80" s="325"/>
      <c r="AR80" s="325"/>
      <c r="AS80" s="325"/>
      <c r="AT80" s="325"/>
      <c r="AU80" s="325"/>
      <c r="AV80" s="325"/>
      <c r="AW80" s="325"/>
      <c r="AX80" s="392">
        <f>ROUND(U80*AN80,0)</f>
        <v>100</v>
      </c>
      <c r="AY80" s="393"/>
    </row>
    <row r="81" spans="1:51" ht="16.5" customHeight="1" x14ac:dyDescent="0.15">
      <c r="A81" s="340">
        <v>12</v>
      </c>
      <c r="B81" s="341">
        <v>7037</v>
      </c>
      <c r="C81" s="390" t="s">
        <v>15717</v>
      </c>
      <c r="D81" s="403"/>
      <c r="E81" s="404"/>
      <c r="F81" s="405"/>
      <c r="G81" s="404"/>
      <c r="H81" s="406"/>
      <c r="U81" s="395"/>
      <c r="V81" s="151"/>
      <c r="W81" s="151"/>
      <c r="Y81" s="387"/>
      <c r="Z81" s="343"/>
      <c r="AA81" s="343"/>
      <c r="AB81" s="343"/>
      <c r="AC81" s="343"/>
      <c r="AD81" s="343"/>
      <c r="AE81" s="343"/>
      <c r="AF81" s="343"/>
      <c r="AG81" s="343"/>
      <c r="AH81" s="343"/>
      <c r="AI81" s="343"/>
      <c r="AJ81" s="343"/>
      <c r="AK81" s="343"/>
      <c r="AL81" s="343"/>
      <c r="AM81" s="343"/>
      <c r="AN81" s="343"/>
      <c r="AO81" s="343"/>
      <c r="AP81" s="114" t="s">
        <v>15628</v>
      </c>
      <c r="AQ81" s="396"/>
      <c r="AR81" s="396"/>
      <c r="AS81" s="396"/>
      <c r="AT81" s="396"/>
      <c r="AU81" s="396"/>
      <c r="AV81" s="396"/>
      <c r="AW81" s="397"/>
      <c r="AX81" s="392">
        <f>ROUND(U80*AV82,0)</f>
        <v>85</v>
      </c>
      <c r="AY81" s="393"/>
    </row>
    <row r="82" spans="1:51" ht="16.5" customHeight="1" x14ac:dyDescent="0.15">
      <c r="A82" s="340">
        <v>12</v>
      </c>
      <c r="B82" s="341">
        <v>7038</v>
      </c>
      <c r="C82" s="390" t="s">
        <v>15718</v>
      </c>
      <c r="D82" s="403"/>
      <c r="E82" s="404"/>
      <c r="F82" s="405"/>
      <c r="G82" s="404"/>
      <c r="H82" s="406"/>
      <c r="U82" s="395"/>
      <c r="V82" s="151"/>
      <c r="W82" s="151"/>
      <c r="Y82" s="387"/>
      <c r="Z82" s="343" t="s">
        <v>15625</v>
      </c>
      <c r="AA82" s="325"/>
      <c r="AB82" s="325"/>
      <c r="AC82" s="325"/>
      <c r="AD82" s="325"/>
      <c r="AE82" s="325"/>
      <c r="AF82" s="325"/>
      <c r="AG82" s="325"/>
      <c r="AH82" s="325"/>
      <c r="AI82" s="325"/>
      <c r="AJ82" s="325"/>
      <c r="AK82" s="325"/>
      <c r="AL82" s="325"/>
      <c r="AM82" s="391" t="s">
        <v>15626</v>
      </c>
      <c r="AN82" s="838">
        <f>AN80</f>
        <v>1</v>
      </c>
      <c r="AO82" s="843"/>
      <c r="AP82" s="324" t="s">
        <v>15630</v>
      </c>
      <c r="AQ82" s="325"/>
      <c r="AR82" s="325"/>
      <c r="AS82" s="325"/>
      <c r="AT82" s="325"/>
      <c r="AU82" s="190" t="s">
        <v>398</v>
      </c>
      <c r="AV82" s="844">
        <f>AV78</f>
        <v>0.85</v>
      </c>
      <c r="AW82" s="845"/>
      <c r="AX82" s="392">
        <f>ROUND(ROUND(U80*AN82,0)*AV82,0)</f>
        <v>85</v>
      </c>
      <c r="AY82" s="393"/>
    </row>
    <row r="83" spans="1:51" ht="17.100000000000001" customHeight="1" x14ac:dyDescent="0.15">
      <c r="A83" s="340">
        <v>12</v>
      </c>
      <c r="B83" s="341">
        <v>1221</v>
      </c>
      <c r="C83" s="390" t="s">
        <v>15719</v>
      </c>
      <c r="D83" s="403"/>
      <c r="E83" s="404"/>
      <c r="F83" s="405"/>
      <c r="G83" s="404"/>
      <c r="H83" s="406"/>
      <c r="I83" s="253" t="s">
        <v>15664</v>
      </c>
      <c r="J83" s="396"/>
      <c r="K83" s="396"/>
      <c r="L83" s="400"/>
      <c r="M83" s="400"/>
      <c r="N83" s="400"/>
      <c r="O83" s="400"/>
      <c r="P83" s="400"/>
      <c r="Q83" s="396"/>
      <c r="R83" s="396"/>
      <c r="S83" s="396"/>
      <c r="T83" s="396"/>
      <c r="U83" s="396"/>
      <c r="V83" s="396"/>
      <c r="W83" s="396"/>
      <c r="X83" s="396"/>
      <c r="Y83" s="397"/>
      <c r="Z83" s="343"/>
      <c r="AA83" s="343"/>
      <c r="AB83" s="343"/>
      <c r="AC83" s="343"/>
      <c r="AD83" s="343"/>
      <c r="AE83" s="343"/>
      <c r="AF83" s="343"/>
      <c r="AG83" s="343"/>
      <c r="AH83" s="343"/>
      <c r="AI83" s="343"/>
      <c r="AJ83" s="343"/>
      <c r="AK83" s="343"/>
      <c r="AL83" s="343"/>
      <c r="AM83" s="343"/>
      <c r="AN83" s="343"/>
      <c r="AO83" s="407"/>
      <c r="AP83" s="396"/>
      <c r="AQ83" s="396"/>
      <c r="AR83" s="396"/>
      <c r="AS83" s="396"/>
      <c r="AT83" s="396"/>
      <c r="AU83" s="396"/>
      <c r="AV83" s="396"/>
      <c r="AW83" s="396"/>
      <c r="AX83" s="392">
        <f>ROUND(U84,0)</f>
        <v>92</v>
      </c>
      <c r="AY83" s="393"/>
    </row>
    <row r="84" spans="1:51" ht="16.5" customHeight="1" x14ac:dyDescent="0.15">
      <c r="A84" s="340">
        <v>12</v>
      </c>
      <c r="B84" s="341">
        <v>1222</v>
      </c>
      <c r="C84" s="390" t="s">
        <v>15720</v>
      </c>
      <c r="D84" s="403"/>
      <c r="E84" s="404"/>
      <c r="F84" s="405"/>
      <c r="G84" s="404"/>
      <c r="H84" s="406"/>
      <c r="U84" s="836">
        <f>ROUND(U132*$F$61,0)</f>
        <v>92</v>
      </c>
      <c r="V84" s="837"/>
      <c r="W84" s="837"/>
      <c r="X84" s="152" t="s">
        <v>15624</v>
      </c>
      <c r="Y84" s="387"/>
      <c r="Z84" s="343" t="s">
        <v>15625</v>
      </c>
      <c r="AA84" s="325"/>
      <c r="AB84" s="325"/>
      <c r="AC84" s="325"/>
      <c r="AD84" s="325"/>
      <c r="AE84" s="325"/>
      <c r="AF84" s="325"/>
      <c r="AG84" s="325"/>
      <c r="AH84" s="325"/>
      <c r="AI84" s="325"/>
      <c r="AJ84" s="325"/>
      <c r="AK84" s="325"/>
      <c r="AL84" s="325"/>
      <c r="AM84" s="391" t="s">
        <v>15626</v>
      </c>
      <c r="AN84" s="838">
        <f>AN82</f>
        <v>1</v>
      </c>
      <c r="AO84" s="839"/>
      <c r="AP84" s="325"/>
      <c r="AQ84" s="325"/>
      <c r="AR84" s="325"/>
      <c r="AS84" s="325"/>
      <c r="AT84" s="325"/>
      <c r="AU84" s="325"/>
      <c r="AV84" s="325"/>
      <c r="AW84" s="391"/>
      <c r="AX84" s="392">
        <f>ROUND(U84*AN84,0)</f>
        <v>92</v>
      </c>
      <c r="AY84" s="393"/>
    </row>
    <row r="85" spans="1:51" ht="16.5" customHeight="1" x14ac:dyDescent="0.15">
      <c r="A85" s="340">
        <v>12</v>
      </c>
      <c r="B85" s="341">
        <v>7039</v>
      </c>
      <c r="C85" s="390" t="s">
        <v>15721</v>
      </c>
      <c r="D85" s="403"/>
      <c r="E85" s="404"/>
      <c r="F85" s="405"/>
      <c r="G85" s="404"/>
      <c r="H85" s="406"/>
      <c r="U85" s="395"/>
      <c r="V85" s="151"/>
      <c r="W85" s="151"/>
      <c r="Y85" s="387"/>
      <c r="Z85" s="343"/>
      <c r="AA85" s="343"/>
      <c r="AB85" s="343"/>
      <c r="AC85" s="343"/>
      <c r="AD85" s="343"/>
      <c r="AE85" s="343"/>
      <c r="AF85" s="343"/>
      <c r="AG85" s="343"/>
      <c r="AH85" s="343"/>
      <c r="AI85" s="343"/>
      <c r="AJ85" s="343"/>
      <c r="AK85" s="343"/>
      <c r="AL85" s="343"/>
      <c r="AM85" s="343"/>
      <c r="AN85" s="343"/>
      <c r="AO85" s="343"/>
      <c r="AP85" s="114" t="s">
        <v>15628</v>
      </c>
      <c r="AQ85" s="396"/>
      <c r="AR85" s="396"/>
      <c r="AS85" s="396"/>
      <c r="AT85" s="396"/>
      <c r="AU85" s="396"/>
      <c r="AV85" s="396"/>
      <c r="AW85" s="397"/>
      <c r="AX85" s="392">
        <f>ROUND(U84*AV86,0)</f>
        <v>78</v>
      </c>
      <c r="AY85" s="393"/>
    </row>
    <row r="86" spans="1:51" ht="16.5" customHeight="1" x14ac:dyDescent="0.15">
      <c r="A86" s="340">
        <v>12</v>
      </c>
      <c r="B86" s="341">
        <v>7040</v>
      </c>
      <c r="C86" s="390" t="s">
        <v>15722</v>
      </c>
      <c r="D86" s="403"/>
      <c r="E86" s="404"/>
      <c r="F86" s="405"/>
      <c r="G86" s="404"/>
      <c r="H86" s="406"/>
      <c r="U86" s="395"/>
      <c r="V86" s="151"/>
      <c r="W86" s="151"/>
      <c r="Y86" s="387"/>
      <c r="Z86" s="343" t="s">
        <v>15625</v>
      </c>
      <c r="AA86" s="325"/>
      <c r="AB86" s="325"/>
      <c r="AC86" s="325"/>
      <c r="AD86" s="325"/>
      <c r="AE86" s="325"/>
      <c r="AF86" s="325"/>
      <c r="AG86" s="325"/>
      <c r="AH86" s="325"/>
      <c r="AI86" s="325"/>
      <c r="AJ86" s="325"/>
      <c r="AK86" s="325"/>
      <c r="AL86" s="325"/>
      <c r="AM86" s="391" t="s">
        <v>15626</v>
      </c>
      <c r="AN86" s="838">
        <f>AN84</f>
        <v>1</v>
      </c>
      <c r="AO86" s="843"/>
      <c r="AP86" s="324" t="s">
        <v>15630</v>
      </c>
      <c r="AQ86" s="325"/>
      <c r="AR86" s="325"/>
      <c r="AS86" s="325"/>
      <c r="AT86" s="325"/>
      <c r="AU86" s="190" t="s">
        <v>398</v>
      </c>
      <c r="AV86" s="844">
        <f>AV82</f>
        <v>0.85</v>
      </c>
      <c r="AW86" s="845"/>
      <c r="AX86" s="392">
        <f>ROUND(ROUND(U84*AN86,0)*AV86,0)</f>
        <v>78</v>
      </c>
      <c r="AY86" s="393"/>
    </row>
    <row r="87" spans="1:51" ht="17.100000000000001" customHeight="1" x14ac:dyDescent="0.15">
      <c r="A87" s="340">
        <v>12</v>
      </c>
      <c r="B87" s="341">
        <v>1231</v>
      </c>
      <c r="C87" s="390" t="s">
        <v>15723</v>
      </c>
      <c r="D87" s="403"/>
      <c r="E87" s="404"/>
      <c r="F87" s="405"/>
      <c r="G87" s="404"/>
      <c r="H87" s="406"/>
      <c r="I87" s="253" t="s">
        <v>15669</v>
      </c>
      <c r="J87" s="396"/>
      <c r="K87" s="396"/>
      <c r="L87" s="400"/>
      <c r="M87" s="400"/>
      <c r="N87" s="400"/>
      <c r="O87" s="400"/>
      <c r="P87" s="400"/>
      <c r="Q87" s="396"/>
      <c r="R87" s="396"/>
      <c r="S87" s="396"/>
      <c r="T87" s="396"/>
      <c r="U87" s="396"/>
      <c r="V87" s="396"/>
      <c r="W87" s="396"/>
      <c r="X87" s="396"/>
      <c r="Y87" s="397"/>
      <c r="Z87" s="343"/>
      <c r="AA87" s="343"/>
      <c r="AB87" s="343"/>
      <c r="AC87" s="343"/>
      <c r="AD87" s="343"/>
      <c r="AE87" s="343"/>
      <c r="AF87" s="343"/>
      <c r="AG87" s="343"/>
      <c r="AH87" s="343"/>
      <c r="AI87" s="343"/>
      <c r="AJ87" s="343"/>
      <c r="AK87" s="343"/>
      <c r="AL87" s="343"/>
      <c r="AM87" s="343"/>
      <c r="AN87" s="343"/>
      <c r="AO87" s="407"/>
      <c r="AP87" s="396"/>
      <c r="AQ87" s="396"/>
      <c r="AR87" s="396"/>
      <c r="AS87" s="396"/>
      <c r="AT87" s="396"/>
      <c r="AU87" s="396"/>
      <c r="AV87" s="396"/>
      <c r="AW87" s="396"/>
      <c r="AX87" s="392">
        <f>ROUND(U88,0)</f>
        <v>92</v>
      </c>
      <c r="AY87" s="393"/>
    </row>
    <row r="88" spans="1:51" ht="16.5" customHeight="1" x14ac:dyDescent="0.15">
      <c r="A88" s="340">
        <v>12</v>
      </c>
      <c r="B88" s="341">
        <v>1232</v>
      </c>
      <c r="C88" s="390" t="s">
        <v>15724</v>
      </c>
      <c r="D88" s="403"/>
      <c r="E88" s="404"/>
      <c r="F88" s="405"/>
      <c r="G88" s="404"/>
      <c r="H88" s="406"/>
      <c r="U88" s="836">
        <f>ROUND(U136*$F$61,0)</f>
        <v>92</v>
      </c>
      <c r="V88" s="837"/>
      <c r="W88" s="837"/>
      <c r="X88" s="152" t="s">
        <v>15624</v>
      </c>
      <c r="Y88" s="387"/>
      <c r="Z88" s="343" t="s">
        <v>15625</v>
      </c>
      <c r="AA88" s="325"/>
      <c r="AB88" s="325"/>
      <c r="AC88" s="325"/>
      <c r="AD88" s="325"/>
      <c r="AE88" s="325"/>
      <c r="AF88" s="325"/>
      <c r="AG88" s="325"/>
      <c r="AH88" s="325"/>
      <c r="AI88" s="325"/>
      <c r="AJ88" s="325"/>
      <c r="AK88" s="325"/>
      <c r="AL88" s="325"/>
      <c r="AM88" s="391" t="s">
        <v>15626</v>
      </c>
      <c r="AN88" s="838">
        <f>AN86</f>
        <v>1</v>
      </c>
      <c r="AO88" s="839"/>
      <c r="AP88" s="325"/>
      <c r="AQ88" s="325"/>
      <c r="AR88" s="325"/>
      <c r="AS88" s="325"/>
      <c r="AT88" s="325"/>
      <c r="AU88" s="325"/>
      <c r="AV88" s="325"/>
      <c r="AW88" s="391"/>
      <c r="AX88" s="392">
        <f>ROUND(U88*AN88,0)</f>
        <v>92</v>
      </c>
      <c r="AY88" s="393"/>
    </row>
    <row r="89" spans="1:51" ht="16.5" customHeight="1" x14ac:dyDescent="0.15">
      <c r="A89" s="340">
        <v>12</v>
      </c>
      <c r="B89" s="341">
        <v>7041</v>
      </c>
      <c r="C89" s="390" t="s">
        <v>15725</v>
      </c>
      <c r="D89" s="403"/>
      <c r="E89" s="404"/>
      <c r="F89" s="405"/>
      <c r="G89" s="404"/>
      <c r="H89" s="406"/>
      <c r="U89" s="395"/>
      <c r="V89" s="151"/>
      <c r="W89" s="151"/>
      <c r="Y89" s="387"/>
      <c r="Z89" s="343"/>
      <c r="AA89" s="343"/>
      <c r="AB89" s="343"/>
      <c r="AC89" s="343"/>
      <c r="AD89" s="343"/>
      <c r="AE89" s="343"/>
      <c r="AF89" s="343"/>
      <c r="AG89" s="343"/>
      <c r="AH89" s="343"/>
      <c r="AI89" s="343"/>
      <c r="AJ89" s="343"/>
      <c r="AK89" s="343"/>
      <c r="AL89" s="343"/>
      <c r="AM89" s="343"/>
      <c r="AN89" s="343"/>
      <c r="AO89" s="343"/>
      <c r="AP89" s="114" t="s">
        <v>15628</v>
      </c>
      <c r="AQ89" s="396"/>
      <c r="AR89" s="396"/>
      <c r="AS89" s="396"/>
      <c r="AT89" s="396"/>
      <c r="AU89" s="396"/>
      <c r="AV89" s="396"/>
      <c r="AW89" s="397"/>
      <c r="AX89" s="392">
        <f>ROUND(U88*AV90,0)</f>
        <v>78</v>
      </c>
      <c r="AY89" s="393"/>
    </row>
    <row r="90" spans="1:51" ht="16.5" customHeight="1" x14ac:dyDescent="0.15">
      <c r="A90" s="340">
        <v>12</v>
      </c>
      <c r="B90" s="341">
        <v>7042</v>
      </c>
      <c r="C90" s="390" t="s">
        <v>15726</v>
      </c>
      <c r="D90" s="403"/>
      <c r="E90" s="404"/>
      <c r="F90" s="405"/>
      <c r="G90" s="404"/>
      <c r="H90" s="406"/>
      <c r="U90" s="395"/>
      <c r="V90" s="151"/>
      <c r="W90" s="151"/>
      <c r="Y90" s="387"/>
      <c r="Z90" s="343" t="s">
        <v>15625</v>
      </c>
      <c r="AA90" s="325"/>
      <c r="AB90" s="325"/>
      <c r="AC90" s="325"/>
      <c r="AD90" s="325"/>
      <c r="AE90" s="325"/>
      <c r="AF90" s="325"/>
      <c r="AG90" s="325"/>
      <c r="AH90" s="325"/>
      <c r="AI90" s="325"/>
      <c r="AJ90" s="325"/>
      <c r="AK90" s="325"/>
      <c r="AL90" s="325"/>
      <c r="AM90" s="391" t="s">
        <v>15626</v>
      </c>
      <c r="AN90" s="838">
        <f>AN88</f>
        <v>1</v>
      </c>
      <c r="AO90" s="843"/>
      <c r="AP90" s="324" t="s">
        <v>15630</v>
      </c>
      <c r="AQ90" s="325"/>
      <c r="AR90" s="325"/>
      <c r="AS90" s="325"/>
      <c r="AT90" s="325"/>
      <c r="AU90" s="190" t="s">
        <v>398</v>
      </c>
      <c r="AV90" s="844">
        <f>AV86</f>
        <v>0.85</v>
      </c>
      <c r="AW90" s="845"/>
      <c r="AX90" s="392">
        <f>ROUND(ROUND(U88*AN90,0)*AV90,0)</f>
        <v>78</v>
      </c>
      <c r="AY90" s="393"/>
    </row>
    <row r="91" spans="1:51" ht="17.100000000000001" customHeight="1" x14ac:dyDescent="0.15">
      <c r="A91" s="340">
        <v>12</v>
      </c>
      <c r="B91" s="341">
        <v>1241</v>
      </c>
      <c r="C91" s="390" t="s">
        <v>15727</v>
      </c>
      <c r="D91" s="403"/>
      <c r="E91" s="404"/>
      <c r="F91" s="405"/>
      <c r="G91" s="404"/>
      <c r="H91" s="406"/>
      <c r="I91" s="253" t="s">
        <v>15674</v>
      </c>
      <c r="J91" s="396"/>
      <c r="K91" s="396"/>
      <c r="L91" s="400"/>
      <c r="M91" s="400"/>
      <c r="N91" s="400"/>
      <c r="O91" s="400"/>
      <c r="P91" s="400"/>
      <c r="Q91" s="396"/>
      <c r="R91" s="396"/>
      <c r="S91" s="396"/>
      <c r="T91" s="396"/>
      <c r="U91" s="396"/>
      <c r="V91" s="396"/>
      <c r="W91" s="396"/>
      <c r="X91" s="396"/>
      <c r="Y91" s="397"/>
      <c r="Z91" s="343"/>
      <c r="AA91" s="343"/>
      <c r="AB91" s="343"/>
      <c r="AC91" s="343"/>
      <c r="AD91" s="343"/>
      <c r="AE91" s="343"/>
      <c r="AF91" s="343"/>
      <c r="AG91" s="343"/>
      <c r="AH91" s="343"/>
      <c r="AI91" s="343"/>
      <c r="AJ91" s="343"/>
      <c r="AK91" s="343"/>
      <c r="AL91" s="343"/>
      <c r="AM91" s="343"/>
      <c r="AN91" s="343"/>
      <c r="AO91" s="407"/>
      <c r="AP91" s="396"/>
      <c r="AQ91" s="396"/>
      <c r="AR91" s="396"/>
      <c r="AS91" s="396"/>
      <c r="AT91" s="396"/>
      <c r="AU91" s="396"/>
      <c r="AV91" s="396"/>
      <c r="AW91" s="396"/>
      <c r="AX91" s="392">
        <f>ROUND(U92,0)</f>
        <v>87</v>
      </c>
      <c r="AY91" s="393"/>
    </row>
    <row r="92" spans="1:51" ht="16.5" customHeight="1" x14ac:dyDescent="0.15">
      <c r="A92" s="340">
        <v>12</v>
      </c>
      <c r="B92" s="341">
        <v>1242</v>
      </c>
      <c r="C92" s="390" t="s">
        <v>15728</v>
      </c>
      <c r="D92" s="403"/>
      <c r="E92" s="404"/>
      <c r="F92" s="405"/>
      <c r="G92" s="404"/>
      <c r="H92" s="406"/>
      <c r="U92" s="836">
        <f>ROUND(U140*$F$61,0)</f>
        <v>87</v>
      </c>
      <c r="V92" s="837"/>
      <c r="W92" s="837"/>
      <c r="X92" s="152" t="s">
        <v>15624</v>
      </c>
      <c r="Y92" s="387"/>
      <c r="Z92" s="343" t="s">
        <v>15625</v>
      </c>
      <c r="AA92" s="325"/>
      <c r="AB92" s="325"/>
      <c r="AC92" s="325"/>
      <c r="AD92" s="325"/>
      <c r="AE92" s="325"/>
      <c r="AF92" s="325"/>
      <c r="AG92" s="325"/>
      <c r="AH92" s="325"/>
      <c r="AI92" s="325"/>
      <c r="AJ92" s="325"/>
      <c r="AK92" s="325"/>
      <c r="AL92" s="325"/>
      <c r="AM92" s="391" t="s">
        <v>15626</v>
      </c>
      <c r="AN92" s="838">
        <f>AN90</f>
        <v>1</v>
      </c>
      <c r="AO92" s="839"/>
      <c r="AP92" s="325"/>
      <c r="AQ92" s="325"/>
      <c r="AR92" s="325"/>
      <c r="AS92" s="325"/>
      <c r="AT92" s="325"/>
      <c r="AU92" s="325"/>
      <c r="AV92" s="325"/>
      <c r="AW92" s="391"/>
      <c r="AX92" s="392">
        <f>ROUND(U92*AN92,0)</f>
        <v>87</v>
      </c>
      <c r="AY92" s="393"/>
    </row>
    <row r="93" spans="1:51" ht="16.5" customHeight="1" x14ac:dyDescent="0.15">
      <c r="A93" s="340">
        <v>12</v>
      </c>
      <c r="B93" s="341">
        <v>7043</v>
      </c>
      <c r="C93" s="390" t="s">
        <v>15729</v>
      </c>
      <c r="D93" s="403"/>
      <c r="E93" s="404"/>
      <c r="F93" s="405"/>
      <c r="G93" s="404"/>
      <c r="H93" s="406"/>
      <c r="U93" s="395"/>
      <c r="V93" s="151"/>
      <c r="W93" s="151"/>
      <c r="Y93" s="387"/>
      <c r="Z93" s="343"/>
      <c r="AA93" s="343"/>
      <c r="AB93" s="343"/>
      <c r="AC93" s="343"/>
      <c r="AD93" s="343"/>
      <c r="AE93" s="343"/>
      <c r="AF93" s="343"/>
      <c r="AG93" s="343"/>
      <c r="AH93" s="343"/>
      <c r="AI93" s="343"/>
      <c r="AJ93" s="343"/>
      <c r="AK93" s="343"/>
      <c r="AL93" s="343"/>
      <c r="AM93" s="343"/>
      <c r="AN93" s="343"/>
      <c r="AO93" s="343"/>
      <c r="AP93" s="114" t="s">
        <v>15628</v>
      </c>
      <c r="AQ93" s="396"/>
      <c r="AR93" s="396"/>
      <c r="AS93" s="396"/>
      <c r="AT93" s="396"/>
      <c r="AU93" s="396"/>
      <c r="AV93" s="396"/>
      <c r="AW93" s="397"/>
      <c r="AX93" s="392">
        <f>ROUND(U92*AV94,0)</f>
        <v>74</v>
      </c>
      <c r="AY93" s="393"/>
    </row>
    <row r="94" spans="1:51" ht="16.5" customHeight="1" x14ac:dyDescent="0.15">
      <c r="A94" s="340">
        <v>12</v>
      </c>
      <c r="B94" s="341">
        <v>7044</v>
      </c>
      <c r="C94" s="390" t="s">
        <v>15730</v>
      </c>
      <c r="D94" s="403"/>
      <c r="E94" s="404"/>
      <c r="F94" s="405"/>
      <c r="G94" s="404"/>
      <c r="H94" s="406"/>
      <c r="U94" s="395"/>
      <c r="V94" s="151"/>
      <c r="W94" s="151"/>
      <c r="Y94" s="387"/>
      <c r="Z94" s="343" t="s">
        <v>15625</v>
      </c>
      <c r="AA94" s="325"/>
      <c r="AB94" s="325"/>
      <c r="AC94" s="325"/>
      <c r="AD94" s="325"/>
      <c r="AE94" s="325"/>
      <c r="AF94" s="325"/>
      <c r="AG94" s="325"/>
      <c r="AH94" s="325"/>
      <c r="AI94" s="325"/>
      <c r="AJ94" s="325"/>
      <c r="AK94" s="325"/>
      <c r="AL94" s="325"/>
      <c r="AM94" s="391" t="s">
        <v>15626</v>
      </c>
      <c r="AN94" s="838">
        <f>AN92</f>
        <v>1</v>
      </c>
      <c r="AO94" s="843"/>
      <c r="AP94" s="324" t="s">
        <v>15630</v>
      </c>
      <c r="AQ94" s="325"/>
      <c r="AR94" s="325"/>
      <c r="AS94" s="325"/>
      <c r="AT94" s="325"/>
      <c r="AU94" s="190" t="s">
        <v>398</v>
      </c>
      <c r="AV94" s="844">
        <f>AV90</f>
        <v>0.85</v>
      </c>
      <c r="AW94" s="845"/>
      <c r="AX94" s="392">
        <f>ROUND(ROUND(U92*AN94,0)*AV94,0)</f>
        <v>74</v>
      </c>
      <c r="AY94" s="393"/>
    </row>
    <row r="95" spans="1:51" ht="17.100000000000001" customHeight="1" x14ac:dyDescent="0.15">
      <c r="A95" s="340">
        <v>12</v>
      </c>
      <c r="B95" s="341">
        <v>1251</v>
      </c>
      <c r="C95" s="390" t="s">
        <v>15731</v>
      </c>
      <c r="D95" s="403"/>
      <c r="E95" s="404"/>
      <c r="F95" s="405"/>
      <c r="G95" s="404"/>
      <c r="H95" s="406"/>
      <c r="I95" s="253" t="s">
        <v>15679</v>
      </c>
      <c r="J95" s="396"/>
      <c r="K95" s="396"/>
      <c r="L95" s="400"/>
      <c r="M95" s="400"/>
      <c r="N95" s="400"/>
      <c r="O95" s="400"/>
      <c r="P95" s="400"/>
      <c r="Q95" s="396"/>
      <c r="R95" s="396"/>
      <c r="S95" s="396"/>
      <c r="T95" s="396"/>
      <c r="U95" s="396"/>
      <c r="V95" s="396"/>
      <c r="W95" s="396"/>
      <c r="X95" s="396"/>
      <c r="Y95" s="397"/>
      <c r="Z95" s="343"/>
      <c r="AA95" s="343"/>
      <c r="AB95" s="343"/>
      <c r="AC95" s="343"/>
      <c r="AD95" s="343"/>
      <c r="AE95" s="343"/>
      <c r="AF95" s="343"/>
      <c r="AG95" s="343"/>
      <c r="AH95" s="343"/>
      <c r="AI95" s="343"/>
      <c r="AJ95" s="343"/>
      <c r="AK95" s="343"/>
      <c r="AL95" s="343"/>
      <c r="AM95" s="343"/>
      <c r="AN95" s="343"/>
      <c r="AO95" s="407"/>
      <c r="AP95" s="396"/>
      <c r="AQ95" s="396"/>
      <c r="AR95" s="396"/>
      <c r="AS95" s="396"/>
      <c r="AT95" s="396"/>
      <c r="AU95" s="396"/>
      <c r="AV95" s="396"/>
      <c r="AW95" s="396"/>
      <c r="AX95" s="392">
        <f>ROUND(U96,0)</f>
        <v>93</v>
      </c>
      <c r="AY95" s="393"/>
    </row>
    <row r="96" spans="1:51" ht="16.5" customHeight="1" x14ac:dyDescent="0.15">
      <c r="A96" s="340">
        <v>12</v>
      </c>
      <c r="B96" s="341">
        <v>1252</v>
      </c>
      <c r="C96" s="390" t="s">
        <v>15732</v>
      </c>
      <c r="D96" s="403"/>
      <c r="E96" s="404"/>
      <c r="F96" s="405"/>
      <c r="G96" s="404"/>
      <c r="H96" s="406"/>
      <c r="U96" s="836">
        <f>ROUND(U144*$F$61,0)</f>
        <v>93</v>
      </c>
      <c r="V96" s="837"/>
      <c r="W96" s="837"/>
      <c r="X96" s="152" t="s">
        <v>15624</v>
      </c>
      <c r="Y96" s="387"/>
      <c r="Z96" s="343" t="s">
        <v>15625</v>
      </c>
      <c r="AA96" s="325"/>
      <c r="AB96" s="325"/>
      <c r="AC96" s="325"/>
      <c r="AD96" s="325"/>
      <c r="AE96" s="325"/>
      <c r="AF96" s="325"/>
      <c r="AG96" s="325"/>
      <c r="AH96" s="325"/>
      <c r="AI96" s="325"/>
      <c r="AJ96" s="325"/>
      <c r="AK96" s="325"/>
      <c r="AL96" s="325"/>
      <c r="AM96" s="391" t="s">
        <v>15626</v>
      </c>
      <c r="AN96" s="838">
        <f>AN94</f>
        <v>1</v>
      </c>
      <c r="AO96" s="839"/>
      <c r="AP96" s="325"/>
      <c r="AQ96" s="325"/>
      <c r="AR96" s="325"/>
      <c r="AS96" s="325"/>
      <c r="AT96" s="325"/>
      <c r="AU96" s="325"/>
      <c r="AV96" s="325"/>
      <c r="AW96" s="391"/>
      <c r="AX96" s="392">
        <f>ROUND(U96*AN96,0)</f>
        <v>93</v>
      </c>
      <c r="AY96" s="393"/>
    </row>
    <row r="97" spans="1:51" ht="16.5" customHeight="1" x14ac:dyDescent="0.15">
      <c r="A97" s="340">
        <v>12</v>
      </c>
      <c r="B97" s="341">
        <v>7045</v>
      </c>
      <c r="C97" s="390" t="s">
        <v>15733</v>
      </c>
      <c r="D97" s="403"/>
      <c r="E97" s="404"/>
      <c r="F97" s="405"/>
      <c r="G97" s="404"/>
      <c r="H97" s="406"/>
      <c r="U97" s="395"/>
      <c r="V97" s="151"/>
      <c r="W97" s="151"/>
      <c r="Y97" s="387"/>
      <c r="Z97" s="343"/>
      <c r="AA97" s="343"/>
      <c r="AB97" s="343"/>
      <c r="AC97" s="343"/>
      <c r="AD97" s="343"/>
      <c r="AE97" s="343"/>
      <c r="AF97" s="343"/>
      <c r="AG97" s="343"/>
      <c r="AH97" s="343"/>
      <c r="AI97" s="343"/>
      <c r="AJ97" s="343"/>
      <c r="AK97" s="343"/>
      <c r="AL97" s="343"/>
      <c r="AM97" s="343"/>
      <c r="AN97" s="343"/>
      <c r="AO97" s="343"/>
      <c r="AP97" s="114" t="s">
        <v>15628</v>
      </c>
      <c r="AQ97" s="396"/>
      <c r="AR97" s="396"/>
      <c r="AS97" s="396"/>
      <c r="AT97" s="396"/>
      <c r="AU97" s="396"/>
      <c r="AV97" s="396"/>
      <c r="AW97" s="397"/>
      <c r="AX97" s="392">
        <f>ROUND(U96*AV98,0)</f>
        <v>79</v>
      </c>
      <c r="AY97" s="393"/>
    </row>
    <row r="98" spans="1:51" ht="16.5" customHeight="1" x14ac:dyDescent="0.15">
      <c r="A98" s="340">
        <v>12</v>
      </c>
      <c r="B98" s="341">
        <v>7046</v>
      </c>
      <c r="C98" s="390" t="s">
        <v>15734</v>
      </c>
      <c r="D98" s="403"/>
      <c r="E98" s="404"/>
      <c r="F98" s="405"/>
      <c r="G98" s="404"/>
      <c r="H98" s="406"/>
      <c r="U98" s="395"/>
      <c r="V98" s="151"/>
      <c r="W98" s="151"/>
      <c r="Y98" s="387"/>
      <c r="Z98" s="343" t="s">
        <v>15625</v>
      </c>
      <c r="AA98" s="325"/>
      <c r="AB98" s="325"/>
      <c r="AC98" s="325"/>
      <c r="AD98" s="325"/>
      <c r="AE98" s="325"/>
      <c r="AF98" s="325"/>
      <c r="AG98" s="325"/>
      <c r="AH98" s="325"/>
      <c r="AI98" s="325"/>
      <c r="AJ98" s="325"/>
      <c r="AK98" s="325"/>
      <c r="AL98" s="325"/>
      <c r="AM98" s="391" t="s">
        <v>15626</v>
      </c>
      <c r="AN98" s="838">
        <f>AN96</f>
        <v>1</v>
      </c>
      <c r="AO98" s="843"/>
      <c r="AP98" s="324" t="s">
        <v>15630</v>
      </c>
      <c r="AQ98" s="325"/>
      <c r="AR98" s="325"/>
      <c r="AS98" s="325"/>
      <c r="AT98" s="325"/>
      <c r="AU98" s="190" t="s">
        <v>398</v>
      </c>
      <c r="AV98" s="844">
        <f>AV94</f>
        <v>0.85</v>
      </c>
      <c r="AW98" s="845"/>
      <c r="AX98" s="392">
        <f>ROUND(ROUND(U96*AN98,0)*AV98,0)</f>
        <v>79</v>
      </c>
      <c r="AY98" s="393"/>
    </row>
    <row r="99" spans="1:51" ht="17.100000000000001" customHeight="1" x14ac:dyDescent="0.15">
      <c r="A99" s="340">
        <v>12</v>
      </c>
      <c r="B99" s="341">
        <v>1261</v>
      </c>
      <c r="C99" s="390" t="s">
        <v>15735</v>
      </c>
      <c r="D99" s="403"/>
      <c r="E99" s="404"/>
      <c r="F99" s="405"/>
      <c r="G99" s="404"/>
      <c r="H99" s="406"/>
      <c r="I99" s="253" t="s">
        <v>15684</v>
      </c>
      <c r="J99" s="396"/>
      <c r="K99" s="396"/>
      <c r="L99" s="400"/>
      <c r="M99" s="400"/>
      <c r="N99" s="400"/>
      <c r="O99" s="400"/>
      <c r="P99" s="400"/>
      <c r="Q99" s="396"/>
      <c r="R99" s="396"/>
      <c r="S99" s="396"/>
      <c r="T99" s="396"/>
      <c r="U99" s="396"/>
      <c r="V99" s="396"/>
      <c r="W99" s="396"/>
      <c r="X99" s="396"/>
      <c r="Y99" s="397"/>
      <c r="Z99" s="343"/>
      <c r="AA99" s="343"/>
      <c r="AB99" s="343"/>
      <c r="AC99" s="343"/>
      <c r="AD99" s="343"/>
      <c r="AE99" s="343"/>
      <c r="AF99" s="343"/>
      <c r="AG99" s="343"/>
      <c r="AH99" s="343"/>
      <c r="AI99" s="343"/>
      <c r="AJ99" s="343"/>
      <c r="AK99" s="343"/>
      <c r="AL99" s="343"/>
      <c r="AM99" s="343"/>
      <c r="AN99" s="343"/>
      <c r="AO99" s="407"/>
      <c r="AP99" s="396"/>
      <c r="AQ99" s="396"/>
      <c r="AR99" s="396"/>
      <c r="AS99" s="396"/>
      <c r="AT99" s="396"/>
      <c r="AU99" s="396"/>
      <c r="AV99" s="396"/>
      <c r="AW99" s="396"/>
      <c r="AX99" s="392">
        <f>ROUND(U100,0)</f>
        <v>87</v>
      </c>
      <c r="AY99" s="393"/>
    </row>
    <row r="100" spans="1:51" ht="16.5" customHeight="1" x14ac:dyDescent="0.15">
      <c r="A100" s="340">
        <v>12</v>
      </c>
      <c r="B100" s="341">
        <v>1262</v>
      </c>
      <c r="C100" s="390" t="s">
        <v>15736</v>
      </c>
      <c r="D100" s="403"/>
      <c r="E100" s="404"/>
      <c r="F100" s="405"/>
      <c r="G100" s="404"/>
      <c r="H100" s="406"/>
      <c r="U100" s="836">
        <f>ROUND(U148*$F$61,0)</f>
        <v>87</v>
      </c>
      <c r="V100" s="837"/>
      <c r="W100" s="837"/>
      <c r="X100" s="152" t="s">
        <v>15624</v>
      </c>
      <c r="Y100" s="387"/>
      <c r="Z100" s="343" t="s">
        <v>15625</v>
      </c>
      <c r="AA100" s="325"/>
      <c r="AB100" s="325"/>
      <c r="AC100" s="325"/>
      <c r="AD100" s="325"/>
      <c r="AE100" s="325"/>
      <c r="AF100" s="325"/>
      <c r="AG100" s="325"/>
      <c r="AH100" s="325"/>
      <c r="AI100" s="325"/>
      <c r="AJ100" s="325"/>
      <c r="AK100" s="325"/>
      <c r="AL100" s="325"/>
      <c r="AM100" s="391" t="s">
        <v>15626</v>
      </c>
      <c r="AN100" s="838">
        <f>AN98</f>
        <v>1</v>
      </c>
      <c r="AO100" s="839"/>
      <c r="AP100" s="325"/>
      <c r="AQ100" s="325"/>
      <c r="AR100" s="325"/>
      <c r="AS100" s="325"/>
      <c r="AT100" s="325"/>
      <c r="AU100" s="325"/>
      <c r="AV100" s="325"/>
      <c r="AW100" s="391"/>
      <c r="AX100" s="392">
        <f>ROUND(U100*AN100,0)</f>
        <v>87</v>
      </c>
      <c r="AY100" s="393"/>
    </row>
    <row r="101" spans="1:51" ht="16.5" customHeight="1" x14ac:dyDescent="0.15">
      <c r="A101" s="340">
        <v>12</v>
      </c>
      <c r="B101" s="341">
        <v>7047</v>
      </c>
      <c r="C101" s="390" t="s">
        <v>15737</v>
      </c>
      <c r="D101" s="403"/>
      <c r="E101" s="404"/>
      <c r="F101" s="405"/>
      <c r="G101" s="404"/>
      <c r="H101" s="406"/>
      <c r="U101" s="395"/>
      <c r="V101" s="151"/>
      <c r="W101" s="151"/>
      <c r="Y101" s="387"/>
      <c r="Z101" s="343"/>
      <c r="AA101" s="343"/>
      <c r="AB101" s="343"/>
      <c r="AC101" s="343"/>
      <c r="AD101" s="343"/>
      <c r="AE101" s="343"/>
      <c r="AF101" s="343"/>
      <c r="AG101" s="343"/>
      <c r="AH101" s="343"/>
      <c r="AI101" s="343"/>
      <c r="AJ101" s="343"/>
      <c r="AK101" s="343"/>
      <c r="AL101" s="343"/>
      <c r="AM101" s="343"/>
      <c r="AN101" s="343"/>
      <c r="AO101" s="343"/>
      <c r="AP101" s="114" t="s">
        <v>15628</v>
      </c>
      <c r="AQ101" s="396"/>
      <c r="AR101" s="396"/>
      <c r="AS101" s="396"/>
      <c r="AT101" s="396"/>
      <c r="AU101" s="396"/>
      <c r="AV101" s="396"/>
      <c r="AW101" s="397"/>
      <c r="AX101" s="392">
        <f>ROUND(U100*AV102,0)</f>
        <v>74</v>
      </c>
      <c r="AY101" s="393"/>
    </row>
    <row r="102" spans="1:51" ht="16.5" customHeight="1" x14ac:dyDescent="0.15">
      <c r="A102" s="340">
        <v>12</v>
      </c>
      <c r="B102" s="341">
        <v>7048</v>
      </c>
      <c r="C102" s="390" t="s">
        <v>15738</v>
      </c>
      <c r="D102" s="419"/>
      <c r="E102" s="420"/>
      <c r="F102" s="421"/>
      <c r="G102" s="420"/>
      <c r="H102" s="422"/>
      <c r="I102" s="325"/>
      <c r="J102" s="325"/>
      <c r="K102" s="325"/>
      <c r="L102" s="325"/>
      <c r="M102" s="325"/>
      <c r="N102" s="325"/>
      <c r="O102" s="325"/>
      <c r="P102" s="325"/>
      <c r="Q102" s="325"/>
      <c r="R102" s="325"/>
      <c r="S102" s="325"/>
      <c r="T102" s="325"/>
      <c r="U102" s="416"/>
      <c r="V102" s="417"/>
      <c r="W102" s="417"/>
      <c r="X102" s="325"/>
      <c r="Y102" s="388"/>
      <c r="Z102" s="343" t="s">
        <v>15625</v>
      </c>
      <c r="AA102" s="325"/>
      <c r="AB102" s="325"/>
      <c r="AC102" s="325"/>
      <c r="AD102" s="325"/>
      <c r="AE102" s="325"/>
      <c r="AF102" s="325"/>
      <c r="AG102" s="325"/>
      <c r="AH102" s="325"/>
      <c r="AI102" s="325"/>
      <c r="AJ102" s="325"/>
      <c r="AK102" s="325"/>
      <c r="AL102" s="325"/>
      <c r="AM102" s="391" t="s">
        <v>15626</v>
      </c>
      <c r="AN102" s="838">
        <f>AN100</f>
        <v>1</v>
      </c>
      <c r="AO102" s="843"/>
      <c r="AP102" s="324" t="s">
        <v>15630</v>
      </c>
      <c r="AQ102" s="325"/>
      <c r="AR102" s="325"/>
      <c r="AS102" s="325"/>
      <c r="AT102" s="325"/>
      <c r="AU102" s="190" t="s">
        <v>398</v>
      </c>
      <c r="AV102" s="844">
        <f>AV98</f>
        <v>0.85</v>
      </c>
      <c r="AW102" s="845"/>
      <c r="AX102" s="353">
        <f>ROUND(ROUND(U100*AN102,0)*AV102,0)</f>
        <v>74</v>
      </c>
      <c r="AY102" s="418"/>
    </row>
    <row r="103" spans="1:51" ht="17.100000000000001" customHeight="1" x14ac:dyDescent="0.15">
      <c r="A103" s="340">
        <v>12</v>
      </c>
      <c r="B103" s="341">
        <v>1371</v>
      </c>
      <c r="C103" s="390" t="s">
        <v>15739</v>
      </c>
      <c r="D103" s="857" t="s">
        <v>15740</v>
      </c>
      <c r="E103" s="858"/>
      <c r="F103" s="859"/>
      <c r="G103" s="858"/>
      <c r="H103" s="860"/>
      <c r="I103" s="253" t="s">
        <v>15690</v>
      </c>
      <c r="J103" s="396"/>
      <c r="K103" s="396"/>
      <c r="L103" s="400"/>
      <c r="M103" s="400"/>
      <c r="N103" s="400"/>
      <c r="O103" s="400"/>
      <c r="P103" s="400"/>
      <c r="Q103" s="396"/>
      <c r="R103" s="396"/>
      <c r="S103" s="396"/>
      <c r="T103" s="396"/>
      <c r="U103" s="396"/>
      <c r="V103" s="396"/>
      <c r="W103" s="396"/>
      <c r="X103" s="396"/>
      <c r="Y103" s="397"/>
      <c r="Z103" s="343"/>
      <c r="AA103" s="343"/>
      <c r="AB103" s="343"/>
      <c r="AC103" s="343"/>
      <c r="AD103" s="343"/>
      <c r="AE103" s="343"/>
      <c r="AF103" s="343"/>
      <c r="AG103" s="343"/>
      <c r="AH103" s="343"/>
      <c r="AI103" s="343"/>
      <c r="AJ103" s="343"/>
      <c r="AK103" s="343"/>
      <c r="AL103" s="343"/>
      <c r="AM103" s="343"/>
      <c r="AN103" s="343"/>
      <c r="AO103" s="407"/>
      <c r="AP103" s="396"/>
      <c r="AQ103" s="396"/>
      <c r="AR103" s="396"/>
      <c r="AS103" s="396"/>
      <c r="AT103" s="396"/>
      <c r="AU103" s="396"/>
      <c r="AV103" s="396"/>
      <c r="AW103" s="396"/>
      <c r="AX103" s="392">
        <f>ROUND(U104,0)</f>
        <v>185</v>
      </c>
      <c r="AY103" s="329" t="s">
        <v>15622</v>
      </c>
    </row>
    <row r="104" spans="1:51" ht="16.5" customHeight="1" x14ac:dyDescent="0.15">
      <c r="A104" s="340">
        <v>12</v>
      </c>
      <c r="B104" s="341">
        <v>1372</v>
      </c>
      <c r="C104" s="390" t="s">
        <v>15741</v>
      </c>
      <c r="D104" s="849"/>
      <c r="E104" s="850"/>
      <c r="F104" s="851"/>
      <c r="G104" s="850"/>
      <c r="H104" s="852"/>
      <c r="U104" s="836">
        <v>185</v>
      </c>
      <c r="V104" s="837"/>
      <c r="W104" s="837"/>
      <c r="X104" s="152" t="s">
        <v>15624</v>
      </c>
      <c r="Y104" s="387"/>
      <c r="Z104" s="343" t="s">
        <v>15625</v>
      </c>
      <c r="AA104" s="325"/>
      <c r="AB104" s="325"/>
      <c r="AC104" s="325"/>
      <c r="AD104" s="325"/>
      <c r="AE104" s="325"/>
      <c r="AF104" s="325"/>
      <c r="AG104" s="325"/>
      <c r="AH104" s="325"/>
      <c r="AI104" s="325"/>
      <c r="AJ104" s="325"/>
      <c r="AK104" s="325"/>
      <c r="AL104" s="325"/>
      <c r="AM104" s="391" t="s">
        <v>15626</v>
      </c>
      <c r="AN104" s="838">
        <f>AN102</f>
        <v>1</v>
      </c>
      <c r="AO104" s="839"/>
      <c r="AP104" s="325"/>
      <c r="AQ104" s="325"/>
      <c r="AR104" s="325"/>
      <c r="AS104" s="325"/>
      <c r="AT104" s="325"/>
      <c r="AU104" s="325"/>
      <c r="AV104" s="325"/>
      <c r="AW104" s="325"/>
      <c r="AX104" s="392">
        <f>ROUND(U104*AN104,0)</f>
        <v>185</v>
      </c>
      <c r="AY104" s="393"/>
    </row>
    <row r="105" spans="1:51" ht="16.5" customHeight="1" x14ac:dyDescent="0.15">
      <c r="A105" s="340">
        <v>12</v>
      </c>
      <c r="B105" s="341">
        <v>7049</v>
      </c>
      <c r="C105" s="390" t="s">
        <v>15742</v>
      </c>
      <c r="D105" s="849"/>
      <c r="E105" s="850"/>
      <c r="F105" s="851"/>
      <c r="G105" s="850"/>
      <c r="H105" s="852"/>
      <c r="U105" s="395"/>
      <c r="V105" s="151"/>
      <c r="W105" s="151"/>
      <c r="Y105" s="387"/>
      <c r="Z105" s="343"/>
      <c r="AA105" s="343"/>
      <c r="AB105" s="343"/>
      <c r="AC105" s="343"/>
      <c r="AD105" s="343"/>
      <c r="AE105" s="343"/>
      <c r="AF105" s="343"/>
      <c r="AG105" s="343"/>
      <c r="AH105" s="343"/>
      <c r="AI105" s="343"/>
      <c r="AJ105" s="343"/>
      <c r="AK105" s="343"/>
      <c r="AL105" s="343"/>
      <c r="AM105" s="343"/>
      <c r="AN105" s="343"/>
      <c r="AO105" s="343"/>
      <c r="AP105" s="114" t="s">
        <v>15628</v>
      </c>
      <c r="AQ105" s="396"/>
      <c r="AR105" s="396"/>
      <c r="AS105" s="396"/>
      <c r="AT105" s="396"/>
      <c r="AU105" s="396"/>
      <c r="AV105" s="396"/>
      <c r="AW105" s="397"/>
      <c r="AX105" s="392">
        <f>ROUND(U104*AV106,0)</f>
        <v>157</v>
      </c>
      <c r="AY105" s="393"/>
    </row>
    <row r="106" spans="1:51" ht="16.5" customHeight="1" x14ac:dyDescent="0.15">
      <c r="A106" s="340">
        <v>12</v>
      </c>
      <c r="B106" s="341">
        <v>7050</v>
      </c>
      <c r="C106" s="390" t="s">
        <v>15743</v>
      </c>
      <c r="D106" s="849"/>
      <c r="E106" s="850"/>
      <c r="F106" s="851"/>
      <c r="G106" s="850"/>
      <c r="H106" s="852"/>
      <c r="U106" s="395"/>
      <c r="V106" s="151"/>
      <c r="W106" s="151"/>
      <c r="Y106" s="387"/>
      <c r="Z106" s="343" t="s">
        <v>15625</v>
      </c>
      <c r="AA106" s="325"/>
      <c r="AB106" s="325"/>
      <c r="AC106" s="325"/>
      <c r="AD106" s="325"/>
      <c r="AE106" s="325"/>
      <c r="AF106" s="325"/>
      <c r="AG106" s="325"/>
      <c r="AH106" s="325"/>
      <c r="AI106" s="325"/>
      <c r="AJ106" s="325"/>
      <c r="AK106" s="325"/>
      <c r="AL106" s="325"/>
      <c r="AM106" s="391" t="s">
        <v>15626</v>
      </c>
      <c r="AN106" s="838">
        <f>AN104</f>
        <v>1</v>
      </c>
      <c r="AO106" s="843"/>
      <c r="AP106" s="324" t="s">
        <v>15630</v>
      </c>
      <c r="AQ106" s="325"/>
      <c r="AR106" s="325"/>
      <c r="AS106" s="325"/>
      <c r="AT106" s="325"/>
      <c r="AU106" s="190" t="s">
        <v>398</v>
      </c>
      <c r="AV106" s="844">
        <f>AV102</f>
        <v>0.85</v>
      </c>
      <c r="AW106" s="845"/>
      <c r="AX106" s="392">
        <f>ROUND(ROUND(U104*AN106,0)*AV106,0)</f>
        <v>157</v>
      </c>
      <c r="AY106" s="393"/>
    </row>
    <row r="107" spans="1:51" ht="17.100000000000001" customHeight="1" x14ac:dyDescent="0.15">
      <c r="A107" s="340">
        <v>12</v>
      </c>
      <c r="B107" s="341">
        <v>1381</v>
      </c>
      <c r="C107" s="390" t="s">
        <v>15744</v>
      </c>
      <c r="D107" s="403"/>
      <c r="E107" s="404"/>
      <c r="F107" s="405"/>
      <c r="G107" s="404"/>
      <c r="H107" s="406"/>
      <c r="I107" s="253" t="s">
        <v>15695</v>
      </c>
      <c r="J107" s="396"/>
      <c r="K107" s="396"/>
      <c r="L107" s="396"/>
      <c r="M107" s="396"/>
      <c r="N107" s="396"/>
      <c r="O107" s="396"/>
      <c r="P107" s="396"/>
      <c r="Q107" s="396"/>
      <c r="R107" s="396"/>
      <c r="S107" s="396"/>
      <c r="T107" s="396"/>
      <c r="U107" s="399"/>
      <c r="V107" s="400"/>
      <c r="W107" s="400"/>
      <c r="X107" s="396"/>
      <c r="Y107" s="397"/>
      <c r="Z107" s="343"/>
      <c r="AA107" s="325"/>
      <c r="AB107" s="325"/>
      <c r="AC107" s="325"/>
      <c r="AD107" s="325"/>
      <c r="AE107" s="325"/>
      <c r="AF107" s="325"/>
      <c r="AG107" s="325"/>
      <c r="AH107" s="325"/>
      <c r="AI107" s="325"/>
      <c r="AJ107" s="325"/>
      <c r="AK107" s="325"/>
      <c r="AL107" s="325"/>
      <c r="AM107" s="391"/>
      <c r="AN107" s="401"/>
      <c r="AO107" s="402"/>
      <c r="AU107" s="152"/>
      <c r="AV107" s="152"/>
      <c r="AW107" s="152"/>
      <c r="AX107" s="392">
        <f>ROUND(U108,0)</f>
        <v>90</v>
      </c>
      <c r="AY107" s="393"/>
    </row>
    <row r="108" spans="1:51" ht="16.5" customHeight="1" x14ac:dyDescent="0.15">
      <c r="A108" s="340">
        <v>12</v>
      </c>
      <c r="B108" s="341">
        <v>1382</v>
      </c>
      <c r="C108" s="390" t="s">
        <v>15745</v>
      </c>
      <c r="D108" s="403"/>
      <c r="E108" s="404"/>
      <c r="F108" s="405"/>
      <c r="G108" s="404"/>
      <c r="H108" s="406"/>
      <c r="U108" s="836">
        <v>90</v>
      </c>
      <c r="V108" s="837"/>
      <c r="W108" s="837"/>
      <c r="X108" s="152" t="s">
        <v>15624</v>
      </c>
      <c r="Y108" s="387"/>
      <c r="Z108" s="343" t="s">
        <v>15625</v>
      </c>
      <c r="AA108" s="325"/>
      <c r="AB108" s="325"/>
      <c r="AC108" s="325"/>
      <c r="AD108" s="325"/>
      <c r="AE108" s="325"/>
      <c r="AF108" s="325"/>
      <c r="AG108" s="325"/>
      <c r="AH108" s="325"/>
      <c r="AI108" s="325"/>
      <c r="AJ108" s="325"/>
      <c r="AK108" s="325"/>
      <c r="AL108" s="325"/>
      <c r="AM108" s="391" t="s">
        <v>15626</v>
      </c>
      <c r="AN108" s="838">
        <f>AN106</f>
        <v>1</v>
      </c>
      <c r="AO108" s="839"/>
      <c r="AU108" s="152"/>
      <c r="AV108" s="152"/>
      <c r="AW108" s="152"/>
      <c r="AX108" s="392">
        <f>ROUND(U108*AN108,0)</f>
        <v>90</v>
      </c>
      <c r="AY108" s="393"/>
    </row>
    <row r="109" spans="1:51" ht="16.5" customHeight="1" x14ac:dyDescent="0.15">
      <c r="A109" s="340">
        <v>12</v>
      </c>
      <c r="B109" s="341">
        <v>7051</v>
      </c>
      <c r="C109" s="390" t="s">
        <v>15746</v>
      </c>
      <c r="D109" s="403"/>
      <c r="E109" s="404"/>
      <c r="F109" s="405"/>
      <c r="G109" s="404"/>
      <c r="H109" s="406"/>
      <c r="U109" s="395"/>
      <c r="V109" s="151"/>
      <c r="W109" s="151"/>
      <c r="Y109" s="387"/>
      <c r="Z109" s="343"/>
      <c r="AA109" s="343"/>
      <c r="AB109" s="343"/>
      <c r="AC109" s="343"/>
      <c r="AD109" s="343"/>
      <c r="AE109" s="343"/>
      <c r="AF109" s="343"/>
      <c r="AG109" s="343"/>
      <c r="AH109" s="343"/>
      <c r="AI109" s="343"/>
      <c r="AJ109" s="343"/>
      <c r="AK109" s="343"/>
      <c r="AL109" s="343"/>
      <c r="AM109" s="343"/>
      <c r="AN109" s="343"/>
      <c r="AO109" s="343"/>
      <c r="AP109" s="114" t="s">
        <v>15628</v>
      </c>
      <c r="AQ109" s="396"/>
      <c r="AR109" s="396"/>
      <c r="AS109" s="396"/>
      <c r="AT109" s="396"/>
      <c r="AU109" s="396"/>
      <c r="AV109" s="396"/>
      <c r="AW109" s="397"/>
      <c r="AX109" s="392">
        <f>ROUND(U108*AV110,0)</f>
        <v>77</v>
      </c>
      <c r="AY109" s="393"/>
    </row>
    <row r="110" spans="1:51" ht="16.5" customHeight="1" x14ac:dyDescent="0.15">
      <c r="A110" s="340">
        <v>12</v>
      </c>
      <c r="B110" s="341">
        <v>7052</v>
      </c>
      <c r="C110" s="390" t="s">
        <v>15747</v>
      </c>
      <c r="D110" s="403"/>
      <c r="E110" s="404"/>
      <c r="F110" s="405"/>
      <c r="G110" s="404"/>
      <c r="H110" s="406"/>
      <c r="U110" s="395"/>
      <c r="V110" s="151"/>
      <c r="W110" s="151"/>
      <c r="Y110" s="387"/>
      <c r="Z110" s="343" t="s">
        <v>15625</v>
      </c>
      <c r="AA110" s="325"/>
      <c r="AB110" s="325"/>
      <c r="AC110" s="325"/>
      <c r="AD110" s="325"/>
      <c r="AE110" s="325"/>
      <c r="AF110" s="325"/>
      <c r="AG110" s="325"/>
      <c r="AH110" s="325"/>
      <c r="AI110" s="325"/>
      <c r="AJ110" s="325"/>
      <c r="AK110" s="325"/>
      <c r="AL110" s="325"/>
      <c r="AM110" s="391" t="s">
        <v>15626</v>
      </c>
      <c r="AN110" s="838">
        <f>AN108</f>
        <v>1</v>
      </c>
      <c r="AO110" s="843"/>
      <c r="AP110" s="324" t="s">
        <v>15630</v>
      </c>
      <c r="AQ110" s="325"/>
      <c r="AR110" s="325"/>
      <c r="AS110" s="325"/>
      <c r="AT110" s="325"/>
      <c r="AU110" s="190" t="s">
        <v>398</v>
      </c>
      <c r="AV110" s="844">
        <f>AV106</f>
        <v>0.85</v>
      </c>
      <c r="AW110" s="845"/>
      <c r="AX110" s="392">
        <f>ROUND(ROUND(U108*AN110,0)*AV110,0)</f>
        <v>77</v>
      </c>
      <c r="AY110" s="393"/>
    </row>
    <row r="111" spans="1:51" ht="16.5" customHeight="1" x14ac:dyDescent="0.15">
      <c r="A111" s="340">
        <v>12</v>
      </c>
      <c r="B111" s="341">
        <v>1491</v>
      </c>
      <c r="C111" s="390" t="s">
        <v>15748</v>
      </c>
      <c r="D111" s="403"/>
      <c r="E111" s="404"/>
      <c r="F111" s="405"/>
      <c r="G111" s="404"/>
      <c r="H111" s="406"/>
      <c r="I111" s="253" t="s">
        <v>15639</v>
      </c>
      <c r="J111" s="396"/>
      <c r="K111" s="396"/>
      <c r="L111" s="396"/>
      <c r="M111" s="396"/>
      <c r="N111" s="396"/>
      <c r="O111" s="396"/>
      <c r="P111" s="396"/>
      <c r="Q111" s="396"/>
      <c r="R111" s="396"/>
      <c r="S111" s="396"/>
      <c r="T111" s="396"/>
      <c r="U111" s="399"/>
      <c r="V111" s="400"/>
      <c r="W111" s="400"/>
      <c r="X111" s="396"/>
      <c r="Y111" s="397"/>
      <c r="Z111" s="343"/>
      <c r="AA111" s="325"/>
      <c r="AB111" s="325"/>
      <c r="AC111" s="325"/>
      <c r="AD111" s="325"/>
      <c r="AE111" s="325"/>
      <c r="AF111" s="325"/>
      <c r="AG111" s="325"/>
      <c r="AH111" s="325"/>
      <c r="AI111" s="325"/>
      <c r="AJ111" s="325"/>
      <c r="AK111" s="325"/>
      <c r="AL111" s="325"/>
      <c r="AM111" s="391"/>
      <c r="AN111" s="401"/>
      <c r="AO111" s="402"/>
      <c r="AP111" s="396"/>
      <c r="AQ111" s="396"/>
      <c r="AR111" s="396"/>
      <c r="AS111" s="396"/>
      <c r="AT111" s="396"/>
      <c r="AU111" s="396"/>
      <c r="AV111" s="396"/>
      <c r="AW111" s="396"/>
      <c r="AX111" s="392">
        <f>ROUND(U112,0)</f>
        <v>92</v>
      </c>
      <c r="AY111" s="393"/>
    </row>
    <row r="112" spans="1:51" ht="16.5" customHeight="1" x14ac:dyDescent="0.15">
      <c r="A112" s="340">
        <v>12</v>
      </c>
      <c r="B112" s="341">
        <v>1492</v>
      </c>
      <c r="C112" s="390" t="s">
        <v>15749</v>
      </c>
      <c r="D112" s="403"/>
      <c r="E112" s="404"/>
      <c r="F112" s="405"/>
      <c r="G112" s="404"/>
      <c r="H112" s="406"/>
      <c r="U112" s="836">
        <v>92</v>
      </c>
      <c r="V112" s="837"/>
      <c r="W112" s="837"/>
      <c r="X112" s="152" t="s">
        <v>15624</v>
      </c>
      <c r="Y112" s="387"/>
      <c r="Z112" s="343" t="s">
        <v>15625</v>
      </c>
      <c r="AA112" s="325"/>
      <c r="AB112" s="325"/>
      <c r="AC112" s="325"/>
      <c r="AD112" s="325"/>
      <c r="AE112" s="325"/>
      <c r="AF112" s="325"/>
      <c r="AG112" s="325"/>
      <c r="AH112" s="325"/>
      <c r="AI112" s="325"/>
      <c r="AJ112" s="325"/>
      <c r="AK112" s="325"/>
      <c r="AL112" s="325"/>
      <c r="AM112" s="391" t="s">
        <v>15626</v>
      </c>
      <c r="AN112" s="838">
        <f>AN110</f>
        <v>1</v>
      </c>
      <c r="AO112" s="839"/>
      <c r="AP112" s="325"/>
      <c r="AQ112" s="325"/>
      <c r="AR112" s="325"/>
      <c r="AS112" s="325"/>
      <c r="AT112" s="325"/>
      <c r="AU112" s="325"/>
      <c r="AV112" s="325"/>
      <c r="AW112" s="325"/>
      <c r="AX112" s="392">
        <f>ROUND(U112*AN112,0)</f>
        <v>92</v>
      </c>
      <c r="AY112" s="393"/>
    </row>
    <row r="113" spans="1:51" ht="16.5" customHeight="1" x14ac:dyDescent="0.15">
      <c r="A113" s="340">
        <v>12</v>
      </c>
      <c r="B113" s="341">
        <v>7053</v>
      </c>
      <c r="C113" s="390" t="s">
        <v>15750</v>
      </c>
      <c r="D113" s="403"/>
      <c r="E113" s="404"/>
      <c r="F113" s="405"/>
      <c r="G113" s="404"/>
      <c r="H113" s="406"/>
      <c r="U113" s="395"/>
      <c r="V113" s="151"/>
      <c r="W113" s="151"/>
      <c r="Y113" s="387"/>
      <c r="Z113" s="343"/>
      <c r="AA113" s="343"/>
      <c r="AB113" s="343"/>
      <c r="AC113" s="343"/>
      <c r="AD113" s="343"/>
      <c r="AE113" s="343"/>
      <c r="AF113" s="343"/>
      <c r="AG113" s="343"/>
      <c r="AH113" s="343"/>
      <c r="AI113" s="343"/>
      <c r="AJ113" s="343"/>
      <c r="AK113" s="343"/>
      <c r="AL113" s="343"/>
      <c r="AM113" s="343"/>
      <c r="AN113" s="343"/>
      <c r="AO113" s="343"/>
      <c r="AP113" s="114" t="s">
        <v>15628</v>
      </c>
      <c r="AQ113" s="396"/>
      <c r="AR113" s="396"/>
      <c r="AS113" s="396"/>
      <c r="AT113" s="396"/>
      <c r="AU113" s="396"/>
      <c r="AV113" s="396"/>
      <c r="AW113" s="397"/>
      <c r="AX113" s="392">
        <f>ROUND(U112*AV114,0)</f>
        <v>78</v>
      </c>
      <c r="AY113" s="393"/>
    </row>
    <row r="114" spans="1:51" ht="16.5" customHeight="1" x14ac:dyDescent="0.15">
      <c r="A114" s="340">
        <v>12</v>
      </c>
      <c r="B114" s="341">
        <v>7054</v>
      </c>
      <c r="C114" s="390" t="s">
        <v>15751</v>
      </c>
      <c r="D114" s="403"/>
      <c r="E114" s="404"/>
      <c r="F114" s="405"/>
      <c r="G114" s="404"/>
      <c r="H114" s="406"/>
      <c r="U114" s="395"/>
      <c r="V114" s="151"/>
      <c r="W114" s="151"/>
      <c r="Y114" s="387"/>
      <c r="Z114" s="343" t="s">
        <v>15625</v>
      </c>
      <c r="AA114" s="325"/>
      <c r="AB114" s="325"/>
      <c r="AC114" s="325"/>
      <c r="AD114" s="325"/>
      <c r="AE114" s="325"/>
      <c r="AF114" s="325"/>
      <c r="AG114" s="325"/>
      <c r="AH114" s="325"/>
      <c r="AI114" s="325"/>
      <c r="AJ114" s="325"/>
      <c r="AK114" s="325"/>
      <c r="AL114" s="325"/>
      <c r="AM114" s="391" t="s">
        <v>15626</v>
      </c>
      <c r="AN114" s="838">
        <f>AN112</f>
        <v>1</v>
      </c>
      <c r="AO114" s="843"/>
      <c r="AP114" s="324" t="s">
        <v>15630</v>
      </c>
      <c r="AQ114" s="325"/>
      <c r="AR114" s="325"/>
      <c r="AS114" s="325"/>
      <c r="AT114" s="325"/>
      <c r="AU114" s="190" t="s">
        <v>398</v>
      </c>
      <c r="AV114" s="844">
        <f>AV110</f>
        <v>0.85</v>
      </c>
      <c r="AW114" s="845"/>
      <c r="AX114" s="392">
        <f>ROUND(ROUND(U112*AN114,0)*AV114,0)</f>
        <v>78</v>
      </c>
      <c r="AY114" s="393"/>
    </row>
    <row r="115" spans="1:51" ht="16.5" customHeight="1" x14ac:dyDescent="0.15">
      <c r="A115" s="340">
        <v>12</v>
      </c>
      <c r="B115" s="341">
        <v>1501</v>
      </c>
      <c r="C115" s="390" t="s">
        <v>15752</v>
      </c>
      <c r="D115" s="403"/>
      <c r="E115" s="404"/>
      <c r="F115" s="405"/>
      <c r="G115" s="404"/>
      <c r="H115" s="406"/>
      <c r="I115" s="253" t="s">
        <v>15644</v>
      </c>
      <c r="J115" s="396"/>
      <c r="K115" s="396"/>
      <c r="L115" s="396"/>
      <c r="M115" s="396"/>
      <c r="N115" s="396"/>
      <c r="O115" s="396"/>
      <c r="P115" s="396"/>
      <c r="Q115" s="396"/>
      <c r="R115" s="396"/>
      <c r="S115" s="396"/>
      <c r="T115" s="396"/>
      <c r="U115" s="399"/>
      <c r="V115" s="400"/>
      <c r="W115" s="400"/>
      <c r="X115" s="396"/>
      <c r="Y115" s="397"/>
      <c r="Z115" s="343"/>
      <c r="AA115" s="325"/>
      <c r="AB115" s="325"/>
      <c r="AC115" s="325"/>
      <c r="AD115" s="325"/>
      <c r="AE115" s="325"/>
      <c r="AF115" s="325"/>
      <c r="AG115" s="325"/>
      <c r="AH115" s="325"/>
      <c r="AI115" s="325"/>
      <c r="AJ115" s="325"/>
      <c r="AK115" s="325"/>
      <c r="AL115" s="325"/>
      <c r="AM115" s="391"/>
      <c r="AN115" s="401"/>
      <c r="AO115" s="402"/>
      <c r="AP115" s="396"/>
      <c r="AQ115" s="396"/>
      <c r="AR115" s="396"/>
      <c r="AS115" s="396"/>
      <c r="AT115" s="396"/>
      <c r="AU115" s="396"/>
      <c r="AV115" s="396"/>
      <c r="AW115" s="396"/>
      <c r="AX115" s="392">
        <f>ROUND(U116,0)</f>
        <v>91</v>
      </c>
      <c r="AY115" s="393"/>
    </row>
    <row r="116" spans="1:51" ht="16.5" customHeight="1" x14ac:dyDescent="0.15">
      <c r="A116" s="340">
        <v>12</v>
      </c>
      <c r="B116" s="341">
        <v>1502</v>
      </c>
      <c r="C116" s="390" t="s">
        <v>15753</v>
      </c>
      <c r="D116" s="403"/>
      <c r="E116" s="404"/>
      <c r="F116" s="405"/>
      <c r="G116" s="404"/>
      <c r="H116" s="406"/>
      <c r="U116" s="836">
        <v>91</v>
      </c>
      <c r="V116" s="837"/>
      <c r="W116" s="837"/>
      <c r="X116" s="152" t="s">
        <v>15624</v>
      </c>
      <c r="Y116" s="387"/>
      <c r="Z116" s="343" t="s">
        <v>15625</v>
      </c>
      <c r="AA116" s="325"/>
      <c r="AB116" s="325"/>
      <c r="AC116" s="325"/>
      <c r="AD116" s="325"/>
      <c r="AE116" s="325"/>
      <c r="AF116" s="325"/>
      <c r="AG116" s="325"/>
      <c r="AH116" s="325"/>
      <c r="AI116" s="325"/>
      <c r="AJ116" s="325"/>
      <c r="AK116" s="325"/>
      <c r="AL116" s="325"/>
      <c r="AM116" s="391" t="s">
        <v>15626</v>
      </c>
      <c r="AN116" s="838">
        <f>AN114</f>
        <v>1</v>
      </c>
      <c r="AO116" s="839"/>
      <c r="AP116" s="325"/>
      <c r="AQ116" s="325"/>
      <c r="AR116" s="325"/>
      <c r="AS116" s="325"/>
      <c r="AT116" s="325"/>
      <c r="AU116" s="325"/>
      <c r="AV116" s="325"/>
      <c r="AW116" s="325"/>
      <c r="AX116" s="392">
        <f>ROUND(U116*AN116,0)</f>
        <v>91</v>
      </c>
      <c r="AY116" s="393"/>
    </row>
    <row r="117" spans="1:51" ht="16.5" customHeight="1" x14ac:dyDescent="0.15">
      <c r="A117" s="340">
        <v>12</v>
      </c>
      <c r="B117" s="341">
        <v>7055</v>
      </c>
      <c r="C117" s="390" t="s">
        <v>15754</v>
      </c>
      <c r="D117" s="403"/>
      <c r="E117" s="404"/>
      <c r="F117" s="405"/>
      <c r="G117" s="404"/>
      <c r="H117" s="406"/>
      <c r="U117" s="395"/>
      <c r="V117" s="151"/>
      <c r="W117" s="151"/>
      <c r="Y117" s="387"/>
      <c r="Z117" s="343"/>
      <c r="AA117" s="343"/>
      <c r="AB117" s="343"/>
      <c r="AC117" s="343"/>
      <c r="AD117" s="343"/>
      <c r="AE117" s="343"/>
      <c r="AF117" s="343"/>
      <c r="AG117" s="343"/>
      <c r="AH117" s="343"/>
      <c r="AI117" s="343"/>
      <c r="AJ117" s="343"/>
      <c r="AK117" s="343"/>
      <c r="AL117" s="343"/>
      <c r="AM117" s="343"/>
      <c r="AN117" s="343"/>
      <c r="AO117" s="343"/>
      <c r="AP117" s="114" t="s">
        <v>15628</v>
      </c>
      <c r="AQ117" s="396"/>
      <c r="AR117" s="396"/>
      <c r="AS117" s="396"/>
      <c r="AT117" s="396"/>
      <c r="AU117" s="396"/>
      <c r="AV117" s="396"/>
      <c r="AW117" s="397"/>
      <c r="AX117" s="392">
        <f>ROUND(U116*AV118,0)</f>
        <v>77</v>
      </c>
      <c r="AY117" s="393"/>
    </row>
    <row r="118" spans="1:51" ht="16.5" customHeight="1" x14ac:dyDescent="0.15">
      <c r="A118" s="340">
        <v>12</v>
      </c>
      <c r="B118" s="341">
        <v>7056</v>
      </c>
      <c r="C118" s="390" t="s">
        <v>15755</v>
      </c>
      <c r="D118" s="403"/>
      <c r="E118" s="404"/>
      <c r="F118" s="405"/>
      <c r="G118" s="404"/>
      <c r="H118" s="406"/>
      <c r="U118" s="395"/>
      <c r="V118" s="151"/>
      <c r="W118" s="151"/>
      <c r="Y118" s="387"/>
      <c r="Z118" s="343" t="s">
        <v>15625</v>
      </c>
      <c r="AA118" s="325"/>
      <c r="AB118" s="325"/>
      <c r="AC118" s="325"/>
      <c r="AD118" s="325"/>
      <c r="AE118" s="325"/>
      <c r="AF118" s="325"/>
      <c r="AG118" s="325"/>
      <c r="AH118" s="325"/>
      <c r="AI118" s="325"/>
      <c r="AJ118" s="325"/>
      <c r="AK118" s="325"/>
      <c r="AL118" s="325"/>
      <c r="AM118" s="391" t="s">
        <v>15626</v>
      </c>
      <c r="AN118" s="838">
        <f>AN116</f>
        <v>1</v>
      </c>
      <c r="AO118" s="843"/>
      <c r="AP118" s="324" t="s">
        <v>15630</v>
      </c>
      <c r="AQ118" s="325"/>
      <c r="AR118" s="325"/>
      <c r="AS118" s="325"/>
      <c r="AT118" s="325"/>
      <c r="AU118" s="190" t="s">
        <v>398</v>
      </c>
      <c r="AV118" s="844">
        <f>AV114</f>
        <v>0.85</v>
      </c>
      <c r="AW118" s="845"/>
      <c r="AX118" s="392">
        <f>ROUND(ROUND(U116*AN118,0)*AV118,0)</f>
        <v>77</v>
      </c>
      <c r="AY118" s="393"/>
    </row>
    <row r="119" spans="1:51" ht="16.5" customHeight="1" x14ac:dyDescent="0.15">
      <c r="A119" s="340">
        <v>12</v>
      </c>
      <c r="B119" s="341">
        <v>1511</v>
      </c>
      <c r="C119" s="390" t="s">
        <v>15756</v>
      </c>
      <c r="D119" s="403"/>
      <c r="E119" s="404"/>
      <c r="F119" s="405"/>
      <c r="G119" s="404"/>
      <c r="H119" s="406"/>
      <c r="I119" s="253" t="s">
        <v>15649</v>
      </c>
      <c r="J119" s="396"/>
      <c r="K119" s="396"/>
      <c r="L119" s="396"/>
      <c r="M119" s="396"/>
      <c r="N119" s="396"/>
      <c r="O119" s="396"/>
      <c r="P119" s="396"/>
      <c r="Q119" s="396"/>
      <c r="R119" s="396"/>
      <c r="S119" s="396"/>
      <c r="T119" s="396"/>
      <c r="U119" s="399"/>
      <c r="V119" s="400"/>
      <c r="W119" s="400"/>
      <c r="X119" s="396"/>
      <c r="Y119" s="397"/>
      <c r="Z119" s="343"/>
      <c r="AA119" s="325"/>
      <c r="AB119" s="325"/>
      <c r="AC119" s="325"/>
      <c r="AD119" s="325"/>
      <c r="AE119" s="325"/>
      <c r="AF119" s="325"/>
      <c r="AG119" s="325"/>
      <c r="AH119" s="325"/>
      <c r="AI119" s="325"/>
      <c r="AJ119" s="325"/>
      <c r="AK119" s="325"/>
      <c r="AL119" s="325"/>
      <c r="AM119" s="391"/>
      <c r="AN119" s="401"/>
      <c r="AO119" s="402"/>
      <c r="AP119" s="396"/>
      <c r="AQ119" s="396"/>
      <c r="AR119" s="396"/>
      <c r="AS119" s="396"/>
      <c r="AT119" s="396"/>
      <c r="AU119" s="396"/>
      <c r="AV119" s="396"/>
      <c r="AW119" s="396"/>
      <c r="AX119" s="392">
        <f>ROUND(U120,0)</f>
        <v>92</v>
      </c>
      <c r="AY119" s="393"/>
    </row>
    <row r="120" spans="1:51" ht="16.5" customHeight="1" x14ac:dyDescent="0.15">
      <c r="A120" s="340">
        <v>12</v>
      </c>
      <c r="B120" s="341">
        <v>1512</v>
      </c>
      <c r="C120" s="390" t="s">
        <v>15757</v>
      </c>
      <c r="D120" s="403"/>
      <c r="E120" s="404"/>
      <c r="F120" s="405"/>
      <c r="G120" s="404"/>
      <c r="H120" s="406"/>
      <c r="U120" s="836">
        <v>92</v>
      </c>
      <c r="V120" s="837"/>
      <c r="W120" s="837"/>
      <c r="X120" s="152" t="s">
        <v>15624</v>
      </c>
      <c r="Y120" s="387"/>
      <c r="Z120" s="343" t="s">
        <v>15625</v>
      </c>
      <c r="AA120" s="325"/>
      <c r="AB120" s="325"/>
      <c r="AC120" s="325"/>
      <c r="AD120" s="325"/>
      <c r="AE120" s="325"/>
      <c r="AF120" s="325"/>
      <c r="AG120" s="325"/>
      <c r="AH120" s="325"/>
      <c r="AI120" s="325"/>
      <c r="AJ120" s="325"/>
      <c r="AK120" s="325"/>
      <c r="AL120" s="325"/>
      <c r="AM120" s="391" t="s">
        <v>15626</v>
      </c>
      <c r="AN120" s="838">
        <f>AN118</f>
        <v>1</v>
      </c>
      <c r="AO120" s="839"/>
      <c r="AP120" s="325"/>
      <c r="AQ120" s="325"/>
      <c r="AR120" s="325"/>
      <c r="AS120" s="325"/>
      <c r="AT120" s="325"/>
      <c r="AU120" s="325"/>
      <c r="AV120" s="325"/>
      <c r="AW120" s="325"/>
      <c r="AX120" s="392">
        <f>ROUND(U120*AN120,0)</f>
        <v>92</v>
      </c>
      <c r="AY120" s="393"/>
    </row>
    <row r="121" spans="1:51" ht="16.5" customHeight="1" x14ac:dyDescent="0.15">
      <c r="A121" s="340">
        <v>12</v>
      </c>
      <c r="B121" s="341">
        <v>7057</v>
      </c>
      <c r="C121" s="390" t="s">
        <v>15758</v>
      </c>
      <c r="D121" s="403"/>
      <c r="E121" s="404"/>
      <c r="F121" s="405"/>
      <c r="G121" s="404"/>
      <c r="H121" s="406"/>
      <c r="U121" s="395"/>
      <c r="V121" s="151"/>
      <c r="W121" s="151"/>
      <c r="Y121" s="387"/>
      <c r="Z121" s="343"/>
      <c r="AA121" s="343"/>
      <c r="AB121" s="343"/>
      <c r="AC121" s="343"/>
      <c r="AD121" s="343"/>
      <c r="AE121" s="343"/>
      <c r="AF121" s="343"/>
      <c r="AG121" s="343"/>
      <c r="AH121" s="343"/>
      <c r="AI121" s="343"/>
      <c r="AJ121" s="343"/>
      <c r="AK121" s="343"/>
      <c r="AL121" s="343"/>
      <c r="AM121" s="343"/>
      <c r="AN121" s="343"/>
      <c r="AO121" s="343"/>
      <c r="AP121" s="114" t="s">
        <v>15628</v>
      </c>
      <c r="AQ121" s="396"/>
      <c r="AR121" s="396"/>
      <c r="AS121" s="396"/>
      <c r="AT121" s="396"/>
      <c r="AU121" s="396"/>
      <c r="AV121" s="396"/>
      <c r="AW121" s="397"/>
      <c r="AX121" s="392">
        <f>ROUND(U120*AV122,0)</f>
        <v>78</v>
      </c>
      <c r="AY121" s="393"/>
    </row>
    <row r="122" spans="1:51" ht="16.5" customHeight="1" x14ac:dyDescent="0.15">
      <c r="A122" s="340">
        <v>12</v>
      </c>
      <c r="B122" s="341">
        <v>7058</v>
      </c>
      <c r="C122" s="390" t="s">
        <v>15759</v>
      </c>
      <c r="D122" s="403"/>
      <c r="E122" s="404"/>
      <c r="F122" s="405"/>
      <c r="G122" s="404"/>
      <c r="H122" s="406"/>
      <c r="U122" s="395"/>
      <c r="V122" s="151"/>
      <c r="W122" s="151"/>
      <c r="Y122" s="387"/>
      <c r="Z122" s="343" t="s">
        <v>15625</v>
      </c>
      <c r="AA122" s="325"/>
      <c r="AB122" s="325"/>
      <c r="AC122" s="325"/>
      <c r="AD122" s="325"/>
      <c r="AE122" s="325"/>
      <c r="AF122" s="325"/>
      <c r="AG122" s="325"/>
      <c r="AH122" s="325"/>
      <c r="AI122" s="325"/>
      <c r="AJ122" s="325"/>
      <c r="AK122" s="325"/>
      <c r="AL122" s="325"/>
      <c r="AM122" s="391" t="s">
        <v>15626</v>
      </c>
      <c r="AN122" s="838">
        <f>AN120</f>
        <v>1</v>
      </c>
      <c r="AO122" s="843"/>
      <c r="AP122" s="324" t="s">
        <v>15630</v>
      </c>
      <c r="AQ122" s="325"/>
      <c r="AR122" s="325"/>
      <c r="AS122" s="325"/>
      <c r="AT122" s="325"/>
      <c r="AU122" s="190" t="s">
        <v>398</v>
      </c>
      <c r="AV122" s="844">
        <f>AV118</f>
        <v>0.85</v>
      </c>
      <c r="AW122" s="845"/>
      <c r="AX122" s="392">
        <f>ROUND(ROUND(U120*AN122,0)*AV122,0)</f>
        <v>78</v>
      </c>
      <c r="AY122" s="393"/>
    </row>
    <row r="123" spans="1:51" ht="16.5" customHeight="1" x14ac:dyDescent="0.15">
      <c r="A123" s="340">
        <v>12</v>
      </c>
      <c r="B123" s="341">
        <v>1521</v>
      </c>
      <c r="C123" s="390" t="s">
        <v>15760</v>
      </c>
      <c r="D123" s="403"/>
      <c r="E123" s="404"/>
      <c r="F123" s="405"/>
      <c r="G123" s="404"/>
      <c r="H123" s="406"/>
      <c r="I123" s="253" t="s">
        <v>15654</v>
      </c>
      <c r="J123" s="396"/>
      <c r="K123" s="396"/>
      <c r="L123" s="396"/>
      <c r="M123" s="396"/>
      <c r="N123" s="396"/>
      <c r="O123" s="396"/>
      <c r="P123" s="396"/>
      <c r="Q123" s="396"/>
      <c r="R123" s="396"/>
      <c r="S123" s="396"/>
      <c r="T123" s="396"/>
      <c r="U123" s="399"/>
      <c r="V123" s="400"/>
      <c r="W123" s="400"/>
      <c r="X123" s="396"/>
      <c r="Y123" s="397"/>
      <c r="Z123" s="343"/>
      <c r="AA123" s="325"/>
      <c r="AB123" s="325"/>
      <c r="AC123" s="325"/>
      <c r="AD123" s="325"/>
      <c r="AE123" s="325"/>
      <c r="AF123" s="325"/>
      <c r="AG123" s="325"/>
      <c r="AH123" s="325"/>
      <c r="AI123" s="325"/>
      <c r="AJ123" s="325"/>
      <c r="AK123" s="325"/>
      <c r="AL123" s="325"/>
      <c r="AM123" s="391"/>
      <c r="AN123" s="401"/>
      <c r="AO123" s="402"/>
      <c r="AP123" s="396"/>
      <c r="AQ123" s="396"/>
      <c r="AR123" s="396"/>
      <c r="AS123" s="396"/>
      <c r="AT123" s="396"/>
      <c r="AU123" s="396"/>
      <c r="AV123" s="396"/>
      <c r="AW123" s="396"/>
      <c r="AX123" s="392">
        <f>ROUND(U124,0)</f>
        <v>90</v>
      </c>
      <c r="AY123" s="393"/>
    </row>
    <row r="124" spans="1:51" ht="16.5" customHeight="1" x14ac:dyDescent="0.15">
      <c r="A124" s="340">
        <v>12</v>
      </c>
      <c r="B124" s="341">
        <v>1522</v>
      </c>
      <c r="C124" s="390" t="s">
        <v>15761</v>
      </c>
      <c r="D124" s="403"/>
      <c r="E124" s="404"/>
      <c r="F124" s="405"/>
      <c r="G124" s="404"/>
      <c r="H124" s="406"/>
      <c r="U124" s="836">
        <v>90</v>
      </c>
      <c r="V124" s="837"/>
      <c r="W124" s="837"/>
      <c r="X124" s="152" t="s">
        <v>15624</v>
      </c>
      <c r="Y124" s="387"/>
      <c r="Z124" s="343" t="s">
        <v>15625</v>
      </c>
      <c r="AA124" s="325"/>
      <c r="AB124" s="325"/>
      <c r="AC124" s="325"/>
      <c r="AD124" s="325"/>
      <c r="AE124" s="325"/>
      <c r="AF124" s="325"/>
      <c r="AG124" s="325"/>
      <c r="AH124" s="325"/>
      <c r="AI124" s="325"/>
      <c r="AJ124" s="325"/>
      <c r="AK124" s="325"/>
      <c r="AL124" s="325"/>
      <c r="AM124" s="391" t="s">
        <v>15626</v>
      </c>
      <c r="AN124" s="838">
        <f>AN122</f>
        <v>1</v>
      </c>
      <c r="AO124" s="839"/>
      <c r="AP124" s="325"/>
      <c r="AQ124" s="325"/>
      <c r="AR124" s="325"/>
      <c r="AS124" s="325"/>
      <c r="AT124" s="325"/>
      <c r="AU124" s="325"/>
      <c r="AV124" s="325"/>
      <c r="AW124" s="325"/>
      <c r="AX124" s="392">
        <f>ROUND(U124*AN124,0)</f>
        <v>90</v>
      </c>
      <c r="AY124" s="393"/>
    </row>
    <row r="125" spans="1:51" ht="16.5" customHeight="1" x14ac:dyDescent="0.15">
      <c r="A125" s="340">
        <v>12</v>
      </c>
      <c r="B125" s="341">
        <v>7059</v>
      </c>
      <c r="C125" s="390" t="s">
        <v>15762</v>
      </c>
      <c r="D125" s="403"/>
      <c r="E125" s="404"/>
      <c r="F125" s="405"/>
      <c r="G125" s="404"/>
      <c r="H125" s="406"/>
      <c r="U125" s="395"/>
      <c r="V125" s="151"/>
      <c r="W125" s="151"/>
      <c r="Y125" s="387"/>
      <c r="Z125" s="343"/>
      <c r="AA125" s="343"/>
      <c r="AB125" s="343"/>
      <c r="AC125" s="343"/>
      <c r="AD125" s="343"/>
      <c r="AE125" s="343"/>
      <c r="AF125" s="343"/>
      <c r="AG125" s="343"/>
      <c r="AH125" s="343"/>
      <c r="AI125" s="343"/>
      <c r="AJ125" s="343"/>
      <c r="AK125" s="343"/>
      <c r="AL125" s="343"/>
      <c r="AM125" s="343"/>
      <c r="AN125" s="343"/>
      <c r="AO125" s="343"/>
      <c r="AP125" s="114" t="s">
        <v>15628</v>
      </c>
      <c r="AQ125" s="396"/>
      <c r="AR125" s="396"/>
      <c r="AS125" s="396"/>
      <c r="AT125" s="396"/>
      <c r="AU125" s="396"/>
      <c r="AV125" s="396"/>
      <c r="AW125" s="397"/>
      <c r="AX125" s="392">
        <f>ROUND(U124*AV126,0)</f>
        <v>77</v>
      </c>
      <c r="AY125" s="393"/>
    </row>
    <row r="126" spans="1:51" ht="16.5" customHeight="1" x14ac:dyDescent="0.15">
      <c r="A126" s="340">
        <v>12</v>
      </c>
      <c r="B126" s="341">
        <v>7060</v>
      </c>
      <c r="C126" s="390" t="s">
        <v>15763</v>
      </c>
      <c r="D126" s="403"/>
      <c r="E126" s="404"/>
      <c r="F126" s="405"/>
      <c r="G126" s="404"/>
      <c r="H126" s="406"/>
      <c r="U126" s="395"/>
      <c r="V126" s="151"/>
      <c r="W126" s="151"/>
      <c r="Y126" s="387"/>
      <c r="Z126" s="343" t="s">
        <v>15625</v>
      </c>
      <c r="AA126" s="325"/>
      <c r="AB126" s="325"/>
      <c r="AC126" s="325"/>
      <c r="AD126" s="325"/>
      <c r="AE126" s="325"/>
      <c r="AF126" s="325"/>
      <c r="AG126" s="325"/>
      <c r="AH126" s="325"/>
      <c r="AI126" s="325"/>
      <c r="AJ126" s="325"/>
      <c r="AK126" s="325"/>
      <c r="AL126" s="325"/>
      <c r="AM126" s="391" t="s">
        <v>15626</v>
      </c>
      <c r="AN126" s="838">
        <f>AN124</f>
        <v>1</v>
      </c>
      <c r="AO126" s="843"/>
      <c r="AP126" s="324" t="s">
        <v>15630</v>
      </c>
      <c r="AQ126" s="325"/>
      <c r="AR126" s="325"/>
      <c r="AS126" s="325"/>
      <c r="AT126" s="325"/>
      <c r="AU126" s="190" t="s">
        <v>398</v>
      </c>
      <c r="AV126" s="844">
        <f>AV122</f>
        <v>0.85</v>
      </c>
      <c r="AW126" s="845"/>
      <c r="AX126" s="392">
        <f>ROUND(ROUND(U124*AN126,0)*AV126,0)</f>
        <v>77</v>
      </c>
      <c r="AY126" s="393"/>
    </row>
    <row r="127" spans="1:51" ht="16.5" customHeight="1" x14ac:dyDescent="0.15">
      <c r="A127" s="340">
        <v>12</v>
      </c>
      <c r="B127" s="341">
        <v>1531</v>
      </c>
      <c r="C127" s="390" t="s">
        <v>15764</v>
      </c>
      <c r="D127" s="403"/>
      <c r="E127" s="404"/>
      <c r="F127" s="405"/>
      <c r="G127" s="404"/>
      <c r="H127" s="406"/>
      <c r="I127" s="253" t="s">
        <v>15659</v>
      </c>
      <c r="J127" s="396"/>
      <c r="K127" s="396"/>
      <c r="L127" s="396"/>
      <c r="M127" s="396"/>
      <c r="N127" s="396"/>
      <c r="O127" s="396"/>
      <c r="P127" s="396"/>
      <c r="Q127" s="396"/>
      <c r="R127" s="396"/>
      <c r="S127" s="396"/>
      <c r="T127" s="396"/>
      <c r="U127" s="399"/>
      <c r="V127" s="400"/>
      <c r="W127" s="400"/>
      <c r="X127" s="396"/>
      <c r="Y127" s="397"/>
      <c r="Z127" s="343"/>
      <c r="AA127" s="325"/>
      <c r="AB127" s="325"/>
      <c r="AC127" s="325"/>
      <c r="AD127" s="325"/>
      <c r="AE127" s="325"/>
      <c r="AF127" s="325"/>
      <c r="AG127" s="325"/>
      <c r="AH127" s="325"/>
      <c r="AI127" s="325"/>
      <c r="AJ127" s="325"/>
      <c r="AK127" s="325"/>
      <c r="AL127" s="325"/>
      <c r="AM127" s="391"/>
      <c r="AN127" s="401"/>
      <c r="AO127" s="402"/>
      <c r="AP127" s="396"/>
      <c r="AQ127" s="396"/>
      <c r="AR127" s="396"/>
      <c r="AS127" s="396"/>
      <c r="AT127" s="396"/>
      <c r="AU127" s="396"/>
      <c r="AV127" s="396"/>
      <c r="AW127" s="396"/>
      <c r="AX127" s="392">
        <f>ROUND(U128,0)</f>
        <v>92</v>
      </c>
      <c r="AY127" s="393"/>
    </row>
    <row r="128" spans="1:51" ht="16.5" customHeight="1" x14ac:dyDescent="0.15">
      <c r="A128" s="340">
        <v>12</v>
      </c>
      <c r="B128" s="341">
        <v>1532</v>
      </c>
      <c r="C128" s="390" t="s">
        <v>15765</v>
      </c>
      <c r="D128" s="403"/>
      <c r="E128" s="404"/>
      <c r="F128" s="405"/>
      <c r="G128" s="404"/>
      <c r="H128" s="406"/>
      <c r="U128" s="836">
        <v>92</v>
      </c>
      <c r="V128" s="837"/>
      <c r="W128" s="837"/>
      <c r="X128" s="152" t="s">
        <v>15624</v>
      </c>
      <c r="Y128" s="387"/>
      <c r="Z128" s="343" t="s">
        <v>15625</v>
      </c>
      <c r="AA128" s="325"/>
      <c r="AB128" s="325"/>
      <c r="AC128" s="325"/>
      <c r="AD128" s="325"/>
      <c r="AE128" s="325"/>
      <c r="AF128" s="325"/>
      <c r="AG128" s="325"/>
      <c r="AH128" s="325"/>
      <c r="AI128" s="325"/>
      <c r="AJ128" s="325"/>
      <c r="AK128" s="325"/>
      <c r="AL128" s="325"/>
      <c r="AM128" s="391" t="s">
        <v>15626</v>
      </c>
      <c r="AN128" s="838">
        <f>AN126</f>
        <v>1</v>
      </c>
      <c r="AO128" s="839"/>
      <c r="AP128" s="325"/>
      <c r="AQ128" s="325"/>
      <c r="AR128" s="325"/>
      <c r="AS128" s="325"/>
      <c r="AT128" s="325"/>
      <c r="AU128" s="325"/>
      <c r="AV128" s="325"/>
      <c r="AW128" s="325"/>
      <c r="AX128" s="392">
        <f>ROUND(U128*AN128,0)</f>
        <v>92</v>
      </c>
      <c r="AY128" s="393"/>
    </row>
    <row r="129" spans="1:51" ht="16.5" customHeight="1" x14ac:dyDescent="0.15">
      <c r="A129" s="340">
        <v>12</v>
      </c>
      <c r="B129" s="341">
        <v>7061</v>
      </c>
      <c r="C129" s="390" t="s">
        <v>15766</v>
      </c>
      <c r="D129" s="403"/>
      <c r="E129" s="404"/>
      <c r="F129" s="405"/>
      <c r="G129" s="404"/>
      <c r="H129" s="406"/>
      <c r="U129" s="395"/>
      <c r="V129" s="151"/>
      <c r="W129" s="151"/>
      <c r="Y129" s="387"/>
      <c r="Z129" s="343"/>
      <c r="AA129" s="343"/>
      <c r="AB129" s="343"/>
      <c r="AC129" s="343"/>
      <c r="AD129" s="343"/>
      <c r="AE129" s="343"/>
      <c r="AF129" s="343"/>
      <c r="AG129" s="343"/>
      <c r="AH129" s="343"/>
      <c r="AI129" s="343"/>
      <c r="AJ129" s="343"/>
      <c r="AK129" s="343"/>
      <c r="AL129" s="343"/>
      <c r="AM129" s="343"/>
      <c r="AN129" s="343"/>
      <c r="AO129" s="343"/>
      <c r="AP129" s="114" t="s">
        <v>15628</v>
      </c>
      <c r="AQ129" s="396"/>
      <c r="AR129" s="396"/>
      <c r="AS129" s="396"/>
      <c r="AT129" s="396"/>
      <c r="AU129" s="396"/>
      <c r="AV129" s="396"/>
      <c r="AW129" s="397"/>
      <c r="AX129" s="392">
        <f>ROUND(U128*AV130,0)</f>
        <v>78</v>
      </c>
      <c r="AY129" s="393"/>
    </row>
    <row r="130" spans="1:51" ht="16.5" customHeight="1" x14ac:dyDescent="0.15">
      <c r="A130" s="340">
        <v>12</v>
      </c>
      <c r="B130" s="341">
        <v>7062</v>
      </c>
      <c r="C130" s="390" t="s">
        <v>15767</v>
      </c>
      <c r="D130" s="403"/>
      <c r="E130" s="404"/>
      <c r="F130" s="405"/>
      <c r="G130" s="404"/>
      <c r="H130" s="406"/>
      <c r="U130" s="395"/>
      <c r="V130" s="151"/>
      <c r="W130" s="151"/>
      <c r="Y130" s="387"/>
      <c r="Z130" s="343" t="s">
        <v>15625</v>
      </c>
      <c r="AA130" s="325"/>
      <c r="AB130" s="325"/>
      <c r="AC130" s="325"/>
      <c r="AD130" s="325"/>
      <c r="AE130" s="325"/>
      <c r="AF130" s="325"/>
      <c r="AG130" s="325"/>
      <c r="AH130" s="325"/>
      <c r="AI130" s="325"/>
      <c r="AJ130" s="325"/>
      <c r="AK130" s="325"/>
      <c r="AL130" s="325"/>
      <c r="AM130" s="391" t="s">
        <v>15626</v>
      </c>
      <c r="AN130" s="838">
        <f>AN128</f>
        <v>1</v>
      </c>
      <c r="AO130" s="843"/>
      <c r="AP130" s="324" t="s">
        <v>15630</v>
      </c>
      <c r="AQ130" s="325"/>
      <c r="AR130" s="325"/>
      <c r="AS130" s="325"/>
      <c r="AT130" s="325"/>
      <c r="AU130" s="190" t="s">
        <v>398</v>
      </c>
      <c r="AV130" s="844">
        <f>AV126</f>
        <v>0.85</v>
      </c>
      <c r="AW130" s="845"/>
      <c r="AX130" s="392">
        <f>ROUND(ROUND(U128*AN130,0)*AV130,0)</f>
        <v>78</v>
      </c>
      <c r="AY130" s="393"/>
    </row>
    <row r="131" spans="1:51" ht="17.100000000000001" customHeight="1" x14ac:dyDescent="0.15">
      <c r="A131" s="340">
        <v>12</v>
      </c>
      <c r="B131" s="341">
        <v>1321</v>
      </c>
      <c r="C131" s="390" t="s">
        <v>15768</v>
      </c>
      <c r="D131" s="403"/>
      <c r="E131" s="404"/>
      <c r="F131" s="405"/>
      <c r="G131" s="404"/>
      <c r="H131" s="406"/>
      <c r="I131" s="253" t="s">
        <v>15664</v>
      </c>
      <c r="J131" s="396"/>
      <c r="K131" s="396"/>
      <c r="L131" s="400"/>
      <c r="M131" s="400"/>
      <c r="N131" s="400"/>
      <c r="O131" s="400"/>
      <c r="P131" s="400"/>
      <c r="Q131" s="396"/>
      <c r="R131" s="396"/>
      <c r="S131" s="396"/>
      <c r="T131" s="396"/>
      <c r="U131" s="396"/>
      <c r="V131" s="396"/>
      <c r="W131" s="396"/>
      <c r="X131" s="396"/>
      <c r="Y131" s="397"/>
      <c r="Z131" s="343"/>
      <c r="AA131" s="343"/>
      <c r="AB131" s="343"/>
      <c r="AC131" s="343"/>
      <c r="AD131" s="343"/>
      <c r="AE131" s="343"/>
      <c r="AF131" s="343"/>
      <c r="AG131" s="343"/>
      <c r="AH131" s="343"/>
      <c r="AI131" s="343"/>
      <c r="AJ131" s="343"/>
      <c r="AK131" s="343"/>
      <c r="AL131" s="343"/>
      <c r="AM131" s="343"/>
      <c r="AN131" s="343"/>
      <c r="AO131" s="407"/>
      <c r="AP131" s="396"/>
      <c r="AQ131" s="396"/>
      <c r="AR131" s="396"/>
      <c r="AS131" s="396"/>
      <c r="AT131" s="396"/>
      <c r="AU131" s="396"/>
      <c r="AV131" s="396"/>
      <c r="AW131" s="396"/>
      <c r="AX131" s="392">
        <f>ROUND(U132,0)</f>
        <v>85</v>
      </c>
      <c r="AY131" s="393"/>
    </row>
    <row r="132" spans="1:51" ht="16.5" customHeight="1" x14ac:dyDescent="0.15">
      <c r="A132" s="340">
        <v>12</v>
      </c>
      <c r="B132" s="341">
        <v>1322</v>
      </c>
      <c r="C132" s="390" t="s">
        <v>15769</v>
      </c>
      <c r="D132" s="403"/>
      <c r="E132" s="404"/>
      <c r="F132" s="405"/>
      <c r="G132" s="404"/>
      <c r="H132" s="406"/>
      <c r="U132" s="836">
        <v>85</v>
      </c>
      <c r="V132" s="837"/>
      <c r="W132" s="837"/>
      <c r="X132" s="152" t="s">
        <v>15624</v>
      </c>
      <c r="Y132" s="387"/>
      <c r="Z132" s="343" t="s">
        <v>15625</v>
      </c>
      <c r="AA132" s="325"/>
      <c r="AB132" s="325"/>
      <c r="AC132" s="325"/>
      <c r="AD132" s="325"/>
      <c r="AE132" s="325"/>
      <c r="AF132" s="325"/>
      <c r="AG132" s="325"/>
      <c r="AH132" s="325"/>
      <c r="AI132" s="325"/>
      <c r="AJ132" s="325"/>
      <c r="AK132" s="325"/>
      <c r="AL132" s="325"/>
      <c r="AM132" s="391" t="s">
        <v>15626</v>
      </c>
      <c r="AN132" s="838">
        <f>AN130</f>
        <v>1</v>
      </c>
      <c r="AO132" s="839"/>
      <c r="AP132" s="325"/>
      <c r="AQ132" s="325"/>
      <c r="AR132" s="325"/>
      <c r="AS132" s="325"/>
      <c r="AT132" s="325"/>
      <c r="AU132" s="325"/>
      <c r="AV132" s="325"/>
      <c r="AW132" s="391"/>
      <c r="AX132" s="392">
        <f>ROUND(U132*AN132,0)</f>
        <v>85</v>
      </c>
      <c r="AY132" s="393"/>
    </row>
    <row r="133" spans="1:51" ht="16.5" customHeight="1" x14ac:dyDescent="0.15">
      <c r="A133" s="340">
        <v>12</v>
      </c>
      <c r="B133" s="341">
        <v>7063</v>
      </c>
      <c r="C133" s="390" t="s">
        <v>15770</v>
      </c>
      <c r="D133" s="403"/>
      <c r="E133" s="404"/>
      <c r="F133" s="405"/>
      <c r="G133" s="404"/>
      <c r="H133" s="406"/>
      <c r="U133" s="395"/>
      <c r="V133" s="151"/>
      <c r="W133" s="151"/>
      <c r="Y133" s="387"/>
      <c r="Z133" s="343"/>
      <c r="AA133" s="343"/>
      <c r="AB133" s="343"/>
      <c r="AC133" s="343"/>
      <c r="AD133" s="343"/>
      <c r="AE133" s="343"/>
      <c r="AF133" s="343"/>
      <c r="AG133" s="343"/>
      <c r="AH133" s="343"/>
      <c r="AI133" s="343"/>
      <c r="AJ133" s="343"/>
      <c r="AK133" s="343"/>
      <c r="AL133" s="343"/>
      <c r="AM133" s="343"/>
      <c r="AN133" s="343"/>
      <c r="AO133" s="343"/>
      <c r="AP133" s="114" t="s">
        <v>15628</v>
      </c>
      <c r="AQ133" s="396"/>
      <c r="AR133" s="396"/>
      <c r="AS133" s="396"/>
      <c r="AT133" s="396"/>
      <c r="AU133" s="396"/>
      <c r="AV133" s="396"/>
      <c r="AW133" s="397"/>
      <c r="AX133" s="392">
        <f>ROUND(U132*AV134,0)</f>
        <v>72</v>
      </c>
      <c r="AY133" s="393"/>
    </row>
    <row r="134" spans="1:51" ht="16.5" customHeight="1" x14ac:dyDescent="0.15">
      <c r="A134" s="340">
        <v>12</v>
      </c>
      <c r="B134" s="341">
        <v>7064</v>
      </c>
      <c r="C134" s="390" t="s">
        <v>15771</v>
      </c>
      <c r="D134" s="403"/>
      <c r="E134" s="404"/>
      <c r="F134" s="405"/>
      <c r="G134" s="404"/>
      <c r="H134" s="406"/>
      <c r="U134" s="395"/>
      <c r="V134" s="151"/>
      <c r="W134" s="151"/>
      <c r="Y134" s="387"/>
      <c r="Z134" s="343" t="s">
        <v>15625</v>
      </c>
      <c r="AA134" s="325"/>
      <c r="AB134" s="325"/>
      <c r="AC134" s="325"/>
      <c r="AD134" s="325"/>
      <c r="AE134" s="325"/>
      <c r="AF134" s="325"/>
      <c r="AG134" s="325"/>
      <c r="AH134" s="325"/>
      <c r="AI134" s="325"/>
      <c r="AJ134" s="325"/>
      <c r="AK134" s="325"/>
      <c r="AL134" s="325"/>
      <c r="AM134" s="391" t="s">
        <v>15626</v>
      </c>
      <c r="AN134" s="838">
        <f>AN132</f>
        <v>1</v>
      </c>
      <c r="AO134" s="843"/>
      <c r="AP134" s="324" t="s">
        <v>15630</v>
      </c>
      <c r="AQ134" s="325"/>
      <c r="AR134" s="325"/>
      <c r="AS134" s="325"/>
      <c r="AT134" s="325"/>
      <c r="AU134" s="190" t="s">
        <v>398</v>
      </c>
      <c r="AV134" s="844">
        <f>AV130</f>
        <v>0.85</v>
      </c>
      <c r="AW134" s="845"/>
      <c r="AX134" s="392">
        <f>ROUND(ROUND(U132*AN134,0)*AV134,0)</f>
        <v>72</v>
      </c>
      <c r="AY134" s="393"/>
    </row>
    <row r="135" spans="1:51" ht="17.100000000000001" customHeight="1" x14ac:dyDescent="0.15">
      <c r="A135" s="340">
        <v>12</v>
      </c>
      <c r="B135" s="341">
        <v>1331</v>
      </c>
      <c r="C135" s="390" t="s">
        <v>15772</v>
      </c>
      <c r="D135" s="403"/>
      <c r="E135" s="404"/>
      <c r="F135" s="405"/>
      <c r="G135" s="404"/>
      <c r="H135" s="406"/>
      <c r="I135" s="253" t="s">
        <v>15669</v>
      </c>
      <c r="J135" s="396"/>
      <c r="K135" s="396"/>
      <c r="L135" s="400"/>
      <c r="M135" s="400"/>
      <c r="N135" s="400"/>
      <c r="O135" s="400"/>
      <c r="P135" s="400"/>
      <c r="Q135" s="396"/>
      <c r="R135" s="396"/>
      <c r="S135" s="396"/>
      <c r="T135" s="396"/>
      <c r="U135" s="396"/>
      <c r="V135" s="396"/>
      <c r="W135" s="396"/>
      <c r="X135" s="396"/>
      <c r="Y135" s="397"/>
      <c r="Z135" s="343"/>
      <c r="AA135" s="343"/>
      <c r="AB135" s="343"/>
      <c r="AC135" s="343"/>
      <c r="AD135" s="343"/>
      <c r="AE135" s="343"/>
      <c r="AF135" s="343"/>
      <c r="AG135" s="343"/>
      <c r="AH135" s="343"/>
      <c r="AI135" s="343"/>
      <c r="AJ135" s="343"/>
      <c r="AK135" s="343"/>
      <c r="AL135" s="343"/>
      <c r="AM135" s="343"/>
      <c r="AN135" s="343"/>
      <c r="AO135" s="407"/>
      <c r="AP135" s="396"/>
      <c r="AQ135" s="396"/>
      <c r="AR135" s="396"/>
      <c r="AS135" s="396"/>
      <c r="AT135" s="396"/>
      <c r="AU135" s="396"/>
      <c r="AV135" s="396"/>
      <c r="AW135" s="396"/>
      <c r="AX135" s="392">
        <f>ROUND(U136,0)</f>
        <v>85</v>
      </c>
      <c r="AY135" s="393"/>
    </row>
    <row r="136" spans="1:51" ht="16.5" customHeight="1" x14ac:dyDescent="0.15">
      <c r="A136" s="340">
        <v>12</v>
      </c>
      <c r="B136" s="341">
        <v>1332</v>
      </c>
      <c r="C136" s="390" t="s">
        <v>15773</v>
      </c>
      <c r="D136" s="403"/>
      <c r="E136" s="404"/>
      <c r="F136" s="405"/>
      <c r="G136" s="404"/>
      <c r="H136" s="406"/>
      <c r="U136" s="836">
        <v>85</v>
      </c>
      <c r="V136" s="837"/>
      <c r="W136" s="837"/>
      <c r="X136" s="152" t="s">
        <v>15624</v>
      </c>
      <c r="Y136" s="387"/>
      <c r="Z136" s="343" t="s">
        <v>15625</v>
      </c>
      <c r="AA136" s="325"/>
      <c r="AB136" s="325"/>
      <c r="AC136" s="325"/>
      <c r="AD136" s="325"/>
      <c r="AE136" s="325"/>
      <c r="AF136" s="325"/>
      <c r="AG136" s="325"/>
      <c r="AH136" s="325"/>
      <c r="AI136" s="325"/>
      <c r="AJ136" s="325"/>
      <c r="AK136" s="325"/>
      <c r="AL136" s="325"/>
      <c r="AM136" s="391" t="s">
        <v>15626</v>
      </c>
      <c r="AN136" s="838">
        <f>AN134</f>
        <v>1</v>
      </c>
      <c r="AO136" s="839"/>
      <c r="AP136" s="325"/>
      <c r="AQ136" s="325"/>
      <c r="AR136" s="325"/>
      <c r="AS136" s="325"/>
      <c r="AT136" s="325"/>
      <c r="AU136" s="325"/>
      <c r="AV136" s="325"/>
      <c r="AW136" s="391"/>
      <c r="AX136" s="392">
        <f>ROUND(U136*AN136,0)</f>
        <v>85</v>
      </c>
      <c r="AY136" s="393"/>
    </row>
    <row r="137" spans="1:51" ht="16.5" customHeight="1" x14ac:dyDescent="0.15">
      <c r="A137" s="340">
        <v>12</v>
      </c>
      <c r="B137" s="341">
        <v>7065</v>
      </c>
      <c r="C137" s="390" t="s">
        <v>15774</v>
      </c>
      <c r="D137" s="403"/>
      <c r="E137" s="404"/>
      <c r="F137" s="405"/>
      <c r="G137" s="404"/>
      <c r="H137" s="406"/>
      <c r="U137" s="395"/>
      <c r="V137" s="151"/>
      <c r="W137" s="151"/>
      <c r="Y137" s="387"/>
      <c r="Z137" s="343"/>
      <c r="AA137" s="343"/>
      <c r="AB137" s="343"/>
      <c r="AC137" s="343"/>
      <c r="AD137" s="343"/>
      <c r="AE137" s="343"/>
      <c r="AF137" s="343"/>
      <c r="AG137" s="343"/>
      <c r="AH137" s="343"/>
      <c r="AI137" s="343"/>
      <c r="AJ137" s="343"/>
      <c r="AK137" s="343"/>
      <c r="AL137" s="343"/>
      <c r="AM137" s="343"/>
      <c r="AN137" s="343"/>
      <c r="AO137" s="343"/>
      <c r="AP137" s="114" t="s">
        <v>15628</v>
      </c>
      <c r="AQ137" s="396"/>
      <c r="AR137" s="396"/>
      <c r="AS137" s="396"/>
      <c r="AT137" s="396"/>
      <c r="AU137" s="396"/>
      <c r="AV137" s="396"/>
      <c r="AW137" s="397"/>
      <c r="AX137" s="392">
        <f>ROUND(U136*AV138,0)</f>
        <v>72</v>
      </c>
      <c r="AY137" s="393"/>
    </row>
    <row r="138" spans="1:51" ht="16.5" customHeight="1" x14ac:dyDescent="0.15">
      <c r="A138" s="340">
        <v>12</v>
      </c>
      <c r="B138" s="341">
        <v>7066</v>
      </c>
      <c r="C138" s="390" t="s">
        <v>15775</v>
      </c>
      <c r="D138" s="403"/>
      <c r="E138" s="404"/>
      <c r="F138" s="405"/>
      <c r="G138" s="404"/>
      <c r="H138" s="406"/>
      <c r="U138" s="395"/>
      <c r="V138" s="151"/>
      <c r="W138" s="151"/>
      <c r="Y138" s="387"/>
      <c r="Z138" s="343" t="s">
        <v>15625</v>
      </c>
      <c r="AA138" s="325"/>
      <c r="AB138" s="325"/>
      <c r="AC138" s="325"/>
      <c r="AD138" s="325"/>
      <c r="AE138" s="325"/>
      <c r="AF138" s="325"/>
      <c r="AG138" s="325"/>
      <c r="AH138" s="325"/>
      <c r="AI138" s="325"/>
      <c r="AJ138" s="325"/>
      <c r="AK138" s="325"/>
      <c r="AL138" s="325"/>
      <c r="AM138" s="391" t="s">
        <v>15626</v>
      </c>
      <c r="AN138" s="838">
        <f>AN136</f>
        <v>1</v>
      </c>
      <c r="AO138" s="843"/>
      <c r="AP138" s="324" t="s">
        <v>15630</v>
      </c>
      <c r="AQ138" s="325"/>
      <c r="AR138" s="325"/>
      <c r="AS138" s="325"/>
      <c r="AT138" s="325"/>
      <c r="AU138" s="190" t="s">
        <v>398</v>
      </c>
      <c r="AV138" s="844">
        <f>AV134</f>
        <v>0.85</v>
      </c>
      <c r="AW138" s="845"/>
      <c r="AX138" s="392">
        <f>ROUND(ROUND(U136*AN138,0)*AV138,0)</f>
        <v>72</v>
      </c>
      <c r="AY138" s="393"/>
    </row>
    <row r="139" spans="1:51" ht="17.100000000000001" customHeight="1" x14ac:dyDescent="0.15">
      <c r="A139" s="340">
        <v>12</v>
      </c>
      <c r="B139" s="341">
        <v>1341</v>
      </c>
      <c r="C139" s="390" t="s">
        <v>15776</v>
      </c>
      <c r="D139" s="403"/>
      <c r="E139" s="404"/>
      <c r="F139" s="405"/>
      <c r="G139" s="404"/>
      <c r="H139" s="406"/>
      <c r="I139" s="253" t="s">
        <v>15674</v>
      </c>
      <c r="J139" s="396"/>
      <c r="K139" s="396"/>
      <c r="L139" s="400"/>
      <c r="M139" s="400"/>
      <c r="N139" s="400"/>
      <c r="O139" s="400"/>
      <c r="P139" s="400"/>
      <c r="Q139" s="396"/>
      <c r="R139" s="396"/>
      <c r="S139" s="396"/>
      <c r="T139" s="396"/>
      <c r="U139" s="396"/>
      <c r="V139" s="396"/>
      <c r="W139" s="396"/>
      <c r="X139" s="396"/>
      <c r="Y139" s="397"/>
      <c r="Z139" s="343"/>
      <c r="AA139" s="343"/>
      <c r="AB139" s="343"/>
      <c r="AC139" s="343"/>
      <c r="AD139" s="343"/>
      <c r="AE139" s="343"/>
      <c r="AF139" s="343"/>
      <c r="AG139" s="343"/>
      <c r="AH139" s="343"/>
      <c r="AI139" s="343"/>
      <c r="AJ139" s="343"/>
      <c r="AK139" s="343"/>
      <c r="AL139" s="343"/>
      <c r="AM139" s="343"/>
      <c r="AN139" s="343"/>
      <c r="AO139" s="407"/>
      <c r="AP139" s="396"/>
      <c r="AQ139" s="396"/>
      <c r="AR139" s="396"/>
      <c r="AS139" s="396"/>
      <c r="AT139" s="396"/>
      <c r="AU139" s="396"/>
      <c r="AV139" s="396"/>
      <c r="AW139" s="396"/>
      <c r="AX139" s="392">
        <f>ROUND(U140,0)</f>
        <v>80</v>
      </c>
      <c r="AY139" s="393"/>
    </row>
    <row r="140" spans="1:51" ht="16.5" customHeight="1" x14ac:dyDescent="0.15">
      <c r="A140" s="340">
        <v>12</v>
      </c>
      <c r="B140" s="341">
        <v>1342</v>
      </c>
      <c r="C140" s="390" t="s">
        <v>15777</v>
      </c>
      <c r="D140" s="403"/>
      <c r="E140" s="404"/>
      <c r="F140" s="405"/>
      <c r="G140" s="404"/>
      <c r="H140" s="406"/>
      <c r="U140" s="836">
        <v>80</v>
      </c>
      <c r="V140" s="837"/>
      <c r="W140" s="837"/>
      <c r="X140" s="152" t="s">
        <v>15624</v>
      </c>
      <c r="Y140" s="387"/>
      <c r="Z140" s="343" t="s">
        <v>15625</v>
      </c>
      <c r="AA140" s="325"/>
      <c r="AB140" s="325"/>
      <c r="AC140" s="325"/>
      <c r="AD140" s="325"/>
      <c r="AE140" s="325"/>
      <c r="AF140" s="325"/>
      <c r="AG140" s="325"/>
      <c r="AH140" s="325"/>
      <c r="AI140" s="325"/>
      <c r="AJ140" s="325"/>
      <c r="AK140" s="325"/>
      <c r="AL140" s="325"/>
      <c r="AM140" s="391" t="s">
        <v>15626</v>
      </c>
      <c r="AN140" s="838">
        <f>AN138</f>
        <v>1</v>
      </c>
      <c r="AO140" s="839"/>
      <c r="AP140" s="325"/>
      <c r="AQ140" s="325"/>
      <c r="AR140" s="325"/>
      <c r="AS140" s="325"/>
      <c r="AT140" s="325"/>
      <c r="AU140" s="325"/>
      <c r="AV140" s="325"/>
      <c r="AW140" s="391"/>
      <c r="AX140" s="392">
        <f>ROUND(U140*AN140,0)</f>
        <v>80</v>
      </c>
      <c r="AY140" s="393"/>
    </row>
    <row r="141" spans="1:51" ht="16.5" customHeight="1" x14ac:dyDescent="0.15">
      <c r="A141" s="340">
        <v>12</v>
      </c>
      <c r="B141" s="341">
        <v>7067</v>
      </c>
      <c r="C141" s="390" t="s">
        <v>15778</v>
      </c>
      <c r="D141" s="403"/>
      <c r="E141" s="404"/>
      <c r="F141" s="405"/>
      <c r="G141" s="404"/>
      <c r="H141" s="406"/>
      <c r="U141" s="395"/>
      <c r="V141" s="151"/>
      <c r="W141" s="151"/>
      <c r="Y141" s="387"/>
      <c r="Z141" s="343"/>
      <c r="AA141" s="343"/>
      <c r="AB141" s="343"/>
      <c r="AC141" s="343"/>
      <c r="AD141" s="343"/>
      <c r="AE141" s="343"/>
      <c r="AF141" s="343"/>
      <c r="AG141" s="343"/>
      <c r="AH141" s="343"/>
      <c r="AI141" s="343"/>
      <c r="AJ141" s="343"/>
      <c r="AK141" s="343"/>
      <c r="AL141" s="343"/>
      <c r="AM141" s="343"/>
      <c r="AN141" s="343"/>
      <c r="AO141" s="343"/>
      <c r="AP141" s="114" t="s">
        <v>15628</v>
      </c>
      <c r="AQ141" s="396"/>
      <c r="AR141" s="396"/>
      <c r="AS141" s="396"/>
      <c r="AT141" s="396"/>
      <c r="AU141" s="396"/>
      <c r="AV141" s="396"/>
      <c r="AW141" s="397"/>
      <c r="AX141" s="392">
        <f>ROUND(U140*AV142,0)</f>
        <v>68</v>
      </c>
      <c r="AY141" s="393"/>
    </row>
    <row r="142" spans="1:51" ht="16.5" customHeight="1" x14ac:dyDescent="0.15">
      <c r="A142" s="340">
        <v>12</v>
      </c>
      <c r="B142" s="341">
        <v>7068</v>
      </c>
      <c r="C142" s="390" t="s">
        <v>15779</v>
      </c>
      <c r="D142" s="403"/>
      <c r="E142" s="404"/>
      <c r="F142" s="405"/>
      <c r="G142" s="404"/>
      <c r="H142" s="406"/>
      <c r="U142" s="395"/>
      <c r="V142" s="151"/>
      <c r="W142" s="151"/>
      <c r="Y142" s="387"/>
      <c r="Z142" s="343" t="s">
        <v>15625</v>
      </c>
      <c r="AA142" s="325"/>
      <c r="AB142" s="325"/>
      <c r="AC142" s="325"/>
      <c r="AD142" s="325"/>
      <c r="AE142" s="325"/>
      <c r="AF142" s="325"/>
      <c r="AG142" s="325"/>
      <c r="AH142" s="325"/>
      <c r="AI142" s="325"/>
      <c r="AJ142" s="325"/>
      <c r="AK142" s="325"/>
      <c r="AL142" s="325"/>
      <c r="AM142" s="391" t="s">
        <v>15626</v>
      </c>
      <c r="AN142" s="838">
        <f>AN140</f>
        <v>1</v>
      </c>
      <c r="AO142" s="843"/>
      <c r="AP142" s="324" t="s">
        <v>15630</v>
      </c>
      <c r="AQ142" s="325"/>
      <c r="AR142" s="325"/>
      <c r="AS142" s="325"/>
      <c r="AT142" s="325"/>
      <c r="AU142" s="190" t="s">
        <v>398</v>
      </c>
      <c r="AV142" s="844">
        <f>AV138</f>
        <v>0.85</v>
      </c>
      <c r="AW142" s="845"/>
      <c r="AX142" s="392">
        <f>ROUND(ROUND(U140*AN142,0)*AV142,0)</f>
        <v>68</v>
      </c>
      <c r="AY142" s="393"/>
    </row>
    <row r="143" spans="1:51" ht="17.100000000000001" customHeight="1" x14ac:dyDescent="0.15">
      <c r="A143" s="340">
        <v>12</v>
      </c>
      <c r="B143" s="341">
        <v>1351</v>
      </c>
      <c r="C143" s="390" t="s">
        <v>15780</v>
      </c>
      <c r="D143" s="403"/>
      <c r="E143" s="404"/>
      <c r="F143" s="405"/>
      <c r="G143" s="404"/>
      <c r="H143" s="406"/>
      <c r="I143" s="253" t="s">
        <v>15679</v>
      </c>
      <c r="J143" s="396"/>
      <c r="K143" s="396"/>
      <c r="L143" s="400"/>
      <c r="M143" s="400"/>
      <c r="N143" s="400"/>
      <c r="O143" s="400"/>
      <c r="P143" s="400"/>
      <c r="Q143" s="396"/>
      <c r="R143" s="396"/>
      <c r="S143" s="396"/>
      <c r="T143" s="396"/>
      <c r="U143" s="396"/>
      <c r="V143" s="396"/>
      <c r="W143" s="396"/>
      <c r="X143" s="396"/>
      <c r="Y143" s="397"/>
      <c r="Z143" s="343"/>
      <c r="AA143" s="343"/>
      <c r="AB143" s="343"/>
      <c r="AC143" s="343"/>
      <c r="AD143" s="343"/>
      <c r="AE143" s="343"/>
      <c r="AF143" s="343"/>
      <c r="AG143" s="343"/>
      <c r="AH143" s="343"/>
      <c r="AI143" s="343"/>
      <c r="AJ143" s="343"/>
      <c r="AK143" s="343"/>
      <c r="AL143" s="343"/>
      <c r="AM143" s="343"/>
      <c r="AN143" s="343"/>
      <c r="AO143" s="407"/>
      <c r="AP143" s="396"/>
      <c r="AQ143" s="396"/>
      <c r="AR143" s="396"/>
      <c r="AS143" s="396"/>
      <c r="AT143" s="396"/>
      <c r="AU143" s="396"/>
      <c r="AV143" s="396"/>
      <c r="AW143" s="396"/>
      <c r="AX143" s="392">
        <f>ROUND(U144,0)</f>
        <v>86</v>
      </c>
      <c r="AY143" s="393"/>
    </row>
    <row r="144" spans="1:51" ht="16.5" customHeight="1" x14ac:dyDescent="0.15">
      <c r="A144" s="340">
        <v>12</v>
      </c>
      <c r="B144" s="341">
        <v>1352</v>
      </c>
      <c r="C144" s="390" t="s">
        <v>15781</v>
      </c>
      <c r="D144" s="403"/>
      <c r="E144" s="404"/>
      <c r="F144" s="405"/>
      <c r="G144" s="404"/>
      <c r="H144" s="406"/>
      <c r="U144" s="836">
        <v>86</v>
      </c>
      <c r="V144" s="837"/>
      <c r="W144" s="837"/>
      <c r="X144" s="152" t="s">
        <v>15624</v>
      </c>
      <c r="Y144" s="387"/>
      <c r="Z144" s="343" t="s">
        <v>15625</v>
      </c>
      <c r="AA144" s="325"/>
      <c r="AB144" s="325"/>
      <c r="AC144" s="325"/>
      <c r="AD144" s="325"/>
      <c r="AE144" s="325"/>
      <c r="AF144" s="325"/>
      <c r="AG144" s="325"/>
      <c r="AH144" s="325"/>
      <c r="AI144" s="325"/>
      <c r="AJ144" s="325"/>
      <c r="AK144" s="325"/>
      <c r="AL144" s="325"/>
      <c r="AM144" s="391" t="s">
        <v>15626</v>
      </c>
      <c r="AN144" s="838">
        <f>AN142</f>
        <v>1</v>
      </c>
      <c r="AO144" s="839"/>
      <c r="AP144" s="325"/>
      <c r="AQ144" s="325"/>
      <c r="AR144" s="325"/>
      <c r="AS144" s="325"/>
      <c r="AT144" s="325"/>
      <c r="AU144" s="325"/>
      <c r="AV144" s="325"/>
      <c r="AW144" s="391"/>
      <c r="AX144" s="392">
        <f>ROUND(U144*AN144,0)</f>
        <v>86</v>
      </c>
      <c r="AY144" s="393"/>
    </row>
    <row r="145" spans="1:51" ht="16.5" customHeight="1" x14ac:dyDescent="0.15">
      <c r="A145" s="340">
        <v>12</v>
      </c>
      <c r="B145" s="341">
        <v>7069</v>
      </c>
      <c r="C145" s="390" t="s">
        <v>15782</v>
      </c>
      <c r="D145" s="403"/>
      <c r="E145" s="404"/>
      <c r="F145" s="405"/>
      <c r="G145" s="404"/>
      <c r="H145" s="406"/>
      <c r="U145" s="395"/>
      <c r="V145" s="151"/>
      <c r="W145" s="151"/>
      <c r="Y145" s="387"/>
      <c r="Z145" s="343"/>
      <c r="AA145" s="343"/>
      <c r="AB145" s="343"/>
      <c r="AC145" s="343"/>
      <c r="AD145" s="343"/>
      <c r="AE145" s="343"/>
      <c r="AF145" s="343"/>
      <c r="AG145" s="343"/>
      <c r="AH145" s="343"/>
      <c r="AI145" s="343"/>
      <c r="AJ145" s="343"/>
      <c r="AK145" s="343"/>
      <c r="AL145" s="343"/>
      <c r="AM145" s="343"/>
      <c r="AN145" s="343"/>
      <c r="AO145" s="343"/>
      <c r="AP145" s="114" t="s">
        <v>15628</v>
      </c>
      <c r="AQ145" s="396"/>
      <c r="AR145" s="396"/>
      <c r="AS145" s="396"/>
      <c r="AT145" s="396"/>
      <c r="AU145" s="396"/>
      <c r="AV145" s="396"/>
      <c r="AW145" s="397"/>
      <c r="AX145" s="392">
        <f>ROUND(U144*AV146,0)</f>
        <v>73</v>
      </c>
      <c r="AY145" s="393"/>
    </row>
    <row r="146" spans="1:51" ht="16.5" customHeight="1" x14ac:dyDescent="0.15">
      <c r="A146" s="340">
        <v>12</v>
      </c>
      <c r="B146" s="341">
        <v>7070</v>
      </c>
      <c r="C146" s="390" t="s">
        <v>15783</v>
      </c>
      <c r="D146" s="403"/>
      <c r="E146" s="404"/>
      <c r="F146" s="405"/>
      <c r="G146" s="404"/>
      <c r="H146" s="406"/>
      <c r="U146" s="395"/>
      <c r="V146" s="151"/>
      <c r="W146" s="151"/>
      <c r="Y146" s="387"/>
      <c r="Z146" s="343" t="s">
        <v>15625</v>
      </c>
      <c r="AA146" s="325"/>
      <c r="AB146" s="325"/>
      <c r="AC146" s="325"/>
      <c r="AD146" s="325"/>
      <c r="AE146" s="325"/>
      <c r="AF146" s="325"/>
      <c r="AG146" s="325"/>
      <c r="AH146" s="325"/>
      <c r="AI146" s="325"/>
      <c r="AJ146" s="325"/>
      <c r="AK146" s="325"/>
      <c r="AL146" s="325"/>
      <c r="AM146" s="391" t="s">
        <v>15626</v>
      </c>
      <c r="AN146" s="838">
        <f>AN144</f>
        <v>1</v>
      </c>
      <c r="AO146" s="843"/>
      <c r="AP146" s="324" t="s">
        <v>15630</v>
      </c>
      <c r="AQ146" s="325"/>
      <c r="AR146" s="325"/>
      <c r="AS146" s="325"/>
      <c r="AT146" s="325"/>
      <c r="AU146" s="190" t="s">
        <v>398</v>
      </c>
      <c r="AV146" s="844">
        <f>AV142</f>
        <v>0.85</v>
      </c>
      <c r="AW146" s="845"/>
      <c r="AX146" s="392">
        <f>ROUND(ROUND(U144*AN146,0)*AV146,0)</f>
        <v>73</v>
      </c>
      <c r="AY146" s="393"/>
    </row>
    <row r="147" spans="1:51" ht="17.100000000000001" customHeight="1" x14ac:dyDescent="0.15">
      <c r="A147" s="340">
        <v>12</v>
      </c>
      <c r="B147" s="341">
        <v>1361</v>
      </c>
      <c r="C147" s="390" t="s">
        <v>15784</v>
      </c>
      <c r="D147" s="403"/>
      <c r="E147" s="404"/>
      <c r="F147" s="405"/>
      <c r="G147" s="404"/>
      <c r="H147" s="406"/>
      <c r="I147" s="253" t="s">
        <v>15684</v>
      </c>
      <c r="J147" s="396"/>
      <c r="K147" s="396"/>
      <c r="L147" s="400"/>
      <c r="M147" s="400"/>
      <c r="N147" s="400"/>
      <c r="O147" s="400"/>
      <c r="P147" s="400"/>
      <c r="Q147" s="396"/>
      <c r="R147" s="396"/>
      <c r="S147" s="396"/>
      <c r="T147" s="396"/>
      <c r="U147" s="396"/>
      <c r="V147" s="396"/>
      <c r="W147" s="396"/>
      <c r="X147" s="396"/>
      <c r="Y147" s="397"/>
      <c r="Z147" s="343"/>
      <c r="AA147" s="343"/>
      <c r="AB147" s="343"/>
      <c r="AC147" s="343"/>
      <c r="AD147" s="343"/>
      <c r="AE147" s="343"/>
      <c r="AF147" s="343"/>
      <c r="AG147" s="343"/>
      <c r="AH147" s="343"/>
      <c r="AI147" s="343"/>
      <c r="AJ147" s="343"/>
      <c r="AK147" s="343"/>
      <c r="AL147" s="343"/>
      <c r="AM147" s="343"/>
      <c r="AN147" s="343"/>
      <c r="AO147" s="407"/>
      <c r="AP147" s="396"/>
      <c r="AQ147" s="396"/>
      <c r="AR147" s="396"/>
      <c r="AS147" s="396"/>
      <c r="AT147" s="396"/>
      <c r="AU147" s="396"/>
      <c r="AV147" s="396"/>
      <c r="AW147" s="396"/>
      <c r="AX147" s="392">
        <f>ROUND(U148,0)</f>
        <v>80</v>
      </c>
      <c r="AY147" s="393"/>
    </row>
    <row r="148" spans="1:51" ht="16.5" customHeight="1" x14ac:dyDescent="0.15">
      <c r="A148" s="340">
        <v>12</v>
      </c>
      <c r="B148" s="341">
        <v>1362</v>
      </c>
      <c r="C148" s="390" t="s">
        <v>15785</v>
      </c>
      <c r="D148" s="403"/>
      <c r="E148" s="404"/>
      <c r="F148" s="405"/>
      <c r="G148" s="404"/>
      <c r="H148" s="406"/>
      <c r="U148" s="836">
        <v>80</v>
      </c>
      <c r="V148" s="837"/>
      <c r="W148" s="837"/>
      <c r="X148" s="152" t="s">
        <v>15624</v>
      </c>
      <c r="Y148" s="387"/>
      <c r="Z148" s="343" t="s">
        <v>15625</v>
      </c>
      <c r="AA148" s="325"/>
      <c r="AB148" s="325"/>
      <c r="AC148" s="325"/>
      <c r="AD148" s="325"/>
      <c r="AE148" s="325"/>
      <c r="AF148" s="325"/>
      <c r="AG148" s="325"/>
      <c r="AH148" s="325"/>
      <c r="AI148" s="325"/>
      <c r="AJ148" s="325"/>
      <c r="AK148" s="325"/>
      <c r="AL148" s="325"/>
      <c r="AM148" s="391" t="s">
        <v>15626</v>
      </c>
      <c r="AN148" s="838">
        <f>AN146</f>
        <v>1</v>
      </c>
      <c r="AO148" s="839"/>
      <c r="AP148" s="325"/>
      <c r="AQ148" s="325"/>
      <c r="AR148" s="325"/>
      <c r="AS148" s="325"/>
      <c r="AT148" s="325"/>
      <c r="AU148" s="325"/>
      <c r="AV148" s="325"/>
      <c r="AW148" s="391"/>
      <c r="AX148" s="392">
        <f>ROUND(U148*AN148,0)</f>
        <v>80</v>
      </c>
      <c r="AY148" s="393"/>
    </row>
    <row r="149" spans="1:51" ht="16.5" customHeight="1" x14ac:dyDescent="0.15">
      <c r="A149" s="340">
        <v>12</v>
      </c>
      <c r="B149" s="341">
        <v>7071</v>
      </c>
      <c r="C149" s="390" t="s">
        <v>15786</v>
      </c>
      <c r="D149" s="403"/>
      <c r="E149" s="404"/>
      <c r="F149" s="405"/>
      <c r="G149" s="404"/>
      <c r="H149" s="406"/>
      <c r="U149" s="395"/>
      <c r="V149" s="151"/>
      <c r="W149" s="151"/>
      <c r="Y149" s="387"/>
      <c r="Z149" s="343"/>
      <c r="AA149" s="343"/>
      <c r="AB149" s="343"/>
      <c r="AC149" s="343"/>
      <c r="AD149" s="343"/>
      <c r="AE149" s="343"/>
      <c r="AF149" s="343"/>
      <c r="AG149" s="343"/>
      <c r="AH149" s="343"/>
      <c r="AI149" s="343"/>
      <c r="AJ149" s="343"/>
      <c r="AK149" s="343"/>
      <c r="AL149" s="343"/>
      <c r="AM149" s="343"/>
      <c r="AN149" s="343"/>
      <c r="AO149" s="343"/>
      <c r="AP149" s="114" t="s">
        <v>15628</v>
      </c>
      <c r="AQ149" s="396"/>
      <c r="AR149" s="396"/>
      <c r="AS149" s="396"/>
      <c r="AT149" s="396"/>
      <c r="AU149" s="396"/>
      <c r="AV149" s="396"/>
      <c r="AW149" s="397"/>
      <c r="AX149" s="392">
        <f>ROUND(U148*AV150,0)</f>
        <v>68</v>
      </c>
      <c r="AY149" s="393"/>
    </row>
    <row r="150" spans="1:51" ht="16.5" customHeight="1" x14ac:dyDescent="0.15">
      <c r="A150" s="340">
        <v>12</v>
      </c>
      <c r="B150" s="341">
        <v>7072</v>
      </c>
      <c r="C150" s="390" t="s">
        <v>15787</v>
      </c>
      <c r="D150" s="419"/>
      <c r="E150" s="420"/>
      <c r="F150" s="421"/>
      <c r="G150" s="420"/>
      <c r="H150" s="422"/>
      <c r="I150" s="325"/>
      <c r="J150" s="325"/>
      <c r="K150" s="325"/>
      <c r="L150" s="325"/>
      <c r="M150" s="325"/>
      <c r="N150" s="325"/>
      <c r="O150" s="325"/>
      <c r="P150" s="325"/>
      <c r="Q150" s="325"/>
      <c r="R150" s="325"/>
      <c r="S150" s="325"/>
      <c r="T150" s="325"/>
      <c r="U150" s="416"/>
      <c r="V150" s="417"/>
      <c r="W150" s="417"/>
      <c r="X150" s="325"/>
      <c r="Y150" s="388"/>
      <c r="Z150" s="343" t="s">
        <v>15625</v>
      </c>
      <c r="AA150" s="325"/>
      <c r="AB150" s="325"/>
      <c r="AC150" s="325"/>
      <c r="AD150" s="325"/>
      <c r="AE150" s="325"/>
      <c r="AF150" s="325"/>
      <c r="AG150" s="325"/>
      <c r="AH150" s="325"/>
      <c r="AI150" s="325"/>
      <c r="AJ150" s="325"/>
      <c r="AK150" s="325"/>
      <c r="AL150" s="325"/>
      <c r="AM150" s="391" t="s">
        <v>15626</v>
      </c>
      <c r="AN150" s="838">
        <f>AN148</f>
        <v>1</v>
      </c>
      <c r="AO150" s="843"/>
      <c r="AP150" s="324" t="s">
        <v>15630</v>
      </c>
      <c r="AQ150" s="325"/>
      <c r="AR150" s="325"/>
      <c r="AS150" s="325"/>
      <c r="AT150" s="325"/>
      <c r="AU150" s="190" t="s">
        <v>398</v>
      </c>
      <c r="AV150" s="844">
        <f>AV146</f>
        <v>0.85</v>
      </c>
      <c r="AW150" s="845"/>
      <c r="AX150" s="353">
        <f>ROUND(ROUND(U148*AN150,0)*AV150,0)</f>
        <v>68</v>
      </c>
      <c r="AY150" s="393"/>
    </row>
    <row r="151" spans="1:51" ht="17.100000000000001" customHeight="1" x14ac:dyDescent="0.15">
      <c r="A151" s="340">
        <v>12</v>
      </c>
      <c r="B151" s="340">
        <v>8453</v>
      </c>
      <c r="C151" s="390" t="s">
        <v>15788</v>
      </c>
      <c r="D151" s="861" t="s">
        <v>15789</v>
      </c>
      <c r="E151" s="862"/>
      <c r="F151" s="859"/>
      <c r="G151" s="862"/>
      <c r="H151" s="863"/>
      <c r="I151" s="396" t="s">
        <v>15790</v>
      </c>
      <c r="J151" s="396"/>
      <c r="K151" s="396"/>
      <c r="L151" s="396"/>
      <c r="M151" s="396"/>
      <c r="N151" s="396"/>
      <c r="O151" s="396"/>
      <c r="P151" s="396"/>
      <c r="Q151" s="400"/>
      <c r="R151" s="396"/>
      <c r="S151" s="396"/>
      <c r="T151" s="396"/>
      <c r="U151" s="396"/>
      <c r="V151" s="396"/>
      <c r="W151" s="396"/>
      <c r="X151" s="396"/>
      <c r="Y151" s="397"/>
      <c r="Z151" s="343"/>
      <c r="AA151" s="343"/>
      <c r="AB151" s="343"/>
      <c r="AC151" s="343"/>
      <c r="AD151" s="343"/>
      <c r="AE151" s="343"/>
      <c r="AF151" s="343"/>
      <c r="AG151" s="343"/>
      <c r="AH151" s="343"/>
      <c r="AI151" s="343"/>
      <c r="AJ151" s="343"/>
      <c r="AK151" s="343"/>
      <c r="AL151" s="343"/>
      <c r="AM151" s="343"/>
      <c r="AN151" s="343"/>
      <c r="AO151" s="407"/>
      <c r="AP151" s="396"/>
      <c r="AQ151" s="396"/>
      <c r="AR151" s="396"/>
      <c r="AS151" s="396"/>
      <c r="AT151" s="396"/>
      <c r="AU151" s="396"/>
      <c r="AV151" s="396"/>
      <c r="AW151" s="396"/>
      <c r="AX151" s="392">
        <f>ROUND(U152,0)</f>
        <v>100</v>
      </c>
      <c r="AY151" s="393"/>
    </row>
    <row r="152" spans="1:51" ht="17.100000000000001" customHeight="1" x14ac:dyDescent="0.15">
      <c r="A152" s="340">
        <v>12</v>
      </c>
      <c r="B152" s="340">
        <v>8454</v>
      </c>
      <c r="C152" s="390" t="s">
        <v>15791</v>
      </c>
      <c r="D152" s="864"/>
      <c r="E152" s="865"/>
      <c r="F152" s="851"/>
      <c r="G152" s="865"/>
      <c r="H152" s="866"/>
      <c r="Q152" s="151"/>
      <c r="U152" s="836">
        <v>100</v>
      </c>
      <c r="V152" s="837"/>
      <c r="W152" s="837"/>
      <c r="X152" s="152" t="s">
        <v>15624</v>
      </c>
      <c r="Y152" s="387"/>
      <c r="Z152" s="343" t="s">
        <v>15625</v>
      </c>
      <c r="AA152" s="325"/>
      <c r="AB152" s="325"/>
      <c r="AC152" s="325"/>
      <c r="AD152" s="325"/>
      <c r="AE152" s="325"/>
      <c r="AF152" s="325"/>
      <c r="AG152" s="325"/>
      <c r="AH152" s="325"/>
      <c r="AI152" s="325"/>
      <c r="AJ152" s="325"/>
      <c r="AK152" s="325"/>
      <c r="AL152" s="325"/>
      <c r="AM152" s="391" t="s">
        <v>15626</v>
      </c>
      <c r="AN152" s="838">
        <f>AN150</f>
        <v>1</v>
      </c>
      <c r="AO152" s="839"/>
      <c r="AP152" s="325"/>
      <c r="AQ152" s="325"/>
      <c r="AR152" s="325"/>
      <c r="AS152" s="325"/>
      <c r="AT152" s="325"/>
      <c r="AU152" s="325"/>
      <c r="AV152" s="325"/>
      <c r="AW152" s="325"/>
      <c r="AX152" s="392">
        <f>ROUND(U152*AN152,0)</f>
        <v>100</v>
      </c>
      <c r="AY152" s="393"/>
    </row>
    <row r="153" spans="1:51" ht="17.100000000000001" customHeight="1" x14ac:dyDescent="0.15">
      <c r="A153" s="340">
        <v>12</v>
      </c>
      <c r="B153" s="340">
        <v>8455</v>
      </c>
      <c r="C153" s="390" t="s">
        <v>15792</v>
      </c>
      <c r="D153" s="864"/>
      <c r="E153" s="865"/>
      <c r="F153" s="851"/>
      <c r="G153" s="865"/>
      <c r="H153" s="866"/>
      <c r="Q153" s="151"/>
      <c r="U153" s="395"/>
      <c r="V153" s="151"/>
      <c r="W153" s="151"/>
      <c r="Y153" s="387"/>
      <c r="Z153" s="343"/>
      <c r="AA153" s="343"/>
      <c r="AB153" s="343"/>
      <c r="AC153" s="343"/>
      <c r="AD153" s="343"/>
      <c r="AE153" s="343"/>
      <c r="AF153" s="343"/>
      <c r="AG153" s="343"/>
      <c r="AH153" s="343"/>
      <c r="AI153" s="343"/>
      <c r="AJ153" s="343"/>
      <c r="AK153" s="343"/>
      <c r="AL153" s="343"/>
      <c r="AM153" s="343"/>
      <c r="AN153" s="343"/>
      <c r="AO153" s="343"/>
      <c r="AP153" s="114" t="s">
        <v>15628</v>
      </c>
      <c r="AQ153" s="396"/>
      <c r="AR153" s="396"/>
      <c r="AS153" s="396"/>
      <c r="AT153" s="396"/>
      <c r="AU153" s="396"/>
      <c r="AV153" s="396"/>
      <c r="AW153" s="397"/>
      <c r="AX153" s="392">
        <f>ROUND(U152*AV154,0)</f>
        <v>85</v>
      </c>
      <c r="AY153" s="393"/>
    </row>
    <row r="154" spans="1:51" ht="17.100000000000001" customHeight="1" x14ac:dyDescent="0.15">
      <c r="A154" s="340">
        <v>12</v>
      </c>
      <c r="B154" s="340">
        <v>8456</v>
      </c>
      <c r="C154" s="390" t="s">
        <v>15793</v>
      </c>
      <c r="D154" s="864"/>
      <c r="E154" s="865"/>
      <c r="F154" s="851"/>
      <c r="G154" s="865"/>
      <c r="H154" s="866"/>
      <c r="Q154" s="151"/>
      <c r="U154" s="395"/>
      <c r="V154" s="151"/>
      <c r="W154" s="151"/>
      <c r="Y154" s="387"/>
      <c r="Z154" s="343" t="s">
        <v>15625</v>
      </c>
      <c r="AA154" s="325"/>
      <c r="AB154" s="325"/>
      <c r="AC154" s="325"/>
      <c r="AD154" s="325"/>
      <c r="AE154" s="325"/>
      <c r="AF154" s="325"/>
      <c r="AG154" s="325"/>
      <c r="AH154" s="325"/>
      <c r="AI154" s="325"/>
      <c r="AJ154" s="325"/>
      <c r="AK154" s="325"/>
      <c r="AL154" s="325"/>
      <c r="AM154" s="391" t="s">
        <v>15626</v>
      </c>
      <c r="AN154" s="838">
        <f>AN152</f>
        <v>1</v>
      </c>
      <c r="AO154" s="843"/>
      <c r="AP154" s="324" t="s">
        <v>15630</v>
      </c>
      <c r="AQ154" s="325"/>
      <c r="AR154" s="325"/>
      <c r="AS154" s="325"/>
      <c r="AT154" s="325"/>
      <c r="AU154" s="190" t="s">
        <v>398</v>
      </c>
      <c r="AV154" s="844">
        <f>AV150</f>
        <v>0.85</v>
      </c>
      <c r="AW154" s="845"/>
      <c r="AX154" s="392">
        <f>ROUND(ROUND(U152*AN154,0)*AV154,0)</f>
        <v>85</v>
      </c>
      <c r="AY154" s="393"/>
    </row>
    <row r="155" spans="1:51" ht="17.100000000000001" customHeight="1" x14ac:dyDescent="0.15">
      <c r="A155" s="340">
        <v>12</v>
      </c>
      <c r="B155" s="340">
        <v>8457</v>
      </c>
      <c r="C155" s="390" t="s">
        <v>15794</v>
      </c>
      <c r="D155" s="423"/>
      <c r="E155" s="424"/>
      <c r="F155" s="405"/>
      <c r="G155" s="424"/>
      <c r="H155" s="425"/>
      <c r="I155" s="396" t="s">
        <v>15795</v>
      </c>
      <c r="J155" s="396"/>
      <c r="K155" s="396"/>
      <c r="L155" s="396"/>
      <c r="M155" s="396"/>
      <c r="N155" s="396"/>
      <c r="O155" s="396"/>
      <c r="P155" s="396"/>
      <c r="Q155" s="400"/>
      <c r="R155" s="396"/>
      <c r="S155" s="396"/>
      <c r="T155" s="396"/>
      <c r="U155" s="396"/>
      <c r="V155" s="396"/>
      <c r="W155" s="396"/>
      <c r="X155" s="396"/>
      <c r="Y155" s="397"/>
      <c r="Z155" s="343"/>
      <c r="AA155" s="343"/>
      <c r="AB155" s="343"/>
      <c r="AC155" s="343"/>
      <c r="AD155" s="343"/>
      <c r="AE155" s="343"/>
      <c r="AF155" s="343"/>
      <c r="AG155" s="343"/>
      <c r="AH155" s="343"/>
      <c r="AI155" s="343"/>
      <c r="AJ155" s="343"/>
      <c r="AK155" s="343"/>
      <c r="AL155" s="343"/>
      <c r="AM155" s="343"/>
      <c r="AN155" s="343"/>
      <c r="AO155" s="407"/>
      <c r="AP155" s="396"/>
      <c r="AQ155" s="396"/>
      <c r="AR155" s="396"/>
      <c r="AS155" s="396"/>
      <c r="AT155" s="396"/>
      <c r="AU155" s="396"/>
      <c r="AV155" s="396"/>
      <c r="AW155" s="396"/>
      <c r="AX155" s="392">
        <f>ROUND(U156,0)</f>
        <v>25</v>
      </c>
      <c r="AY155" s="426"/>
    </row>
    <row r="156" spans="1:51" ht="17.100000000000001" customHeight="1" x14ac:dyDescent="0.15">
      <c r="A156" s="340">
        <v>12</v>
      </c>
      <c r="B156" s="340">
        <v>8458</v>
      </c>
      <c r="C156" s="390" t="s">
        <v>15796</v>
      </c>
      <c r="D156" s="423"/>
      <c r="E156" s="424"/>
      <c r="F156" s="405"/>
      <c r="G156" s="424"/>
      <c r="H156" s="425"/>
      <c r="Q156" s="151"/>
      <c r="U156" s="836">
        <v>25</v>
      </c>
      <c r="V156" s="837"/>
      <c r="W156" s="837"/>
      <c r="X156" s="152" t="s">
        <v>15624</v>
      </c>
      <c r="Y156" s="387"/>
      <c r="Z156" s="343" t="s">
        <v>15625</v>
      </c>
      <c r="AA156" s="325"/>
      <c r="AB156" s="325"/>
      <c r="AC156" s="325"/>
      <c r="AD156" s="325"/>
      <c r="AE156" s="325"/>
      <c r="AF156" s="325"/>
      <c r="AG156" s="325"/>
      <c r="AH156" s="325"/>
      <c r="AI156" s="325"/>
      <c r="AJ156" s="325"/>
      <c r="AK156" s="325"/>
      <c r="AL156" s="325"/>
      <c r="AM156" s="391" t="s">
        <v>15626</v>
      </c>
      <c r="AN156" s="838">
        <f>AN154</f>
        <v>1</v>
      </c>
      <c r="AO156" s="839"/>
      <c r="AP156" s="325"/>
      <c r="AQ156" s="325"/>
      <c r="AR156" s="325"/>
      <c r="AS156" s="325"/>
      <c r="AT156" s="325"/>
      <c r="AU156" s="325"/>
      <c r="AV156" s="325"/>
      <c r="AW156" s="325"/>
      <c r="AX156" s="392">
        <f>ROUND(U156*AN156,0)</f>
        <v>25</v>
      </c>
      <c r="AY156" s="426"/>
    </row>
    <row r="157" spans="1:51" ht="17.100000000000001" customHeight="1" x14ac:dyDescent="0.15">
      <c r="A157" s="340">
        <v>12</v>
      </c>
      <c r="B157" s="340">
        <v>8459</v>
      </c>
      <c r="C157" s="390" t="s">
        <v>15797</v>
      </c>
      <c r="D157" s="423"/>
      <c r="E157" s="424"/>
      <c r="F157" s="405"/>
      <c r="G157" s="424"/>
      <c r="H157" s="425"/>
      <c r="Q157" s="151"/>
      <c r="U157" s="395"/>
      <c r="V157" s="151"/>
      <c r="W157" s="151"/>
      <c r="Y157" s="387"/>
      <c r="Z157" s="343"/>
      <c r="AA157" s="343"/>
      <c r="AB157" s="343"/>
      <c r="AC157" s="343"/>
      <c r="AD157" s="343"/>
      <c r="AE157" s="343"/>
      <c r="AF157" s="343"/>
      <c r="AG157" s="343"/>
      <c r="AH157" s="343"/>
      <c r="AI157" s="343"/>
      <c r="AJ157" s="343"/>
      <c r="AK157" s="343"/>
      <c r="AL157" s="343"/>
      <c r="AM157" s="343"/>
      <c r="AN157" s="343"/>
      <c r="AO157" s="343"/>
      <c r="AP157" s="114" t="s">
        <v>15628</v>
      </c>
      <c r="AQ157" s="396"/>
      <c r="AR157" s="396"/>
      <c r="AS157" s="396"/>
      <c r="AT157" s="396"/>
      <c r="AU157" s="396"/>
      <c r="AV157" s="396"/>
      <c r="AW157" s="397"/>
      <c r="AX157" s="392">
        <f>ROUND(U156*AV158,0)</f>
        <v>21</v>
      </c>
      <c r="AY157" s="393"/>
    </row>
    <row r="158" spans="1:51" ht="17.100000000000001" customHeight="1" x14ac:dyDescent="0.15">
      <c r="A158" s="340">
        <v>12</v>
      </c>
      <c r="B158" s="340">
        <v>8460</v>
      </c>
      <c r="C158" s="390" t="s">
        <v>15798</v>
      </c>
      <c r="D158" s="423"/>
      <c r="E158" s="424"/>
      <c r="F158" s="405"/>
      <c r="G158" s="424"/>
      <c r="H158" s="425"/>
      <c r="Q158" s="151"/>
      <c r="U158" s="395"/>
      <c r="V158" s="151"/>
      <c r="W158" s="151"/>
      <c r="Y158" s="387"/>
      <c r="Z158" s="343" t="s">
        <v>15625</v>
      </c>
      <c r="AA158" s="325"/>
      <c r="AB158" s="325"/>
      <c r="AC158" s="325"/>
      <c r="AD158" s="325"/>
      <c r="AE158" s="325"/>
      <c r="AF158" s="325"/>
      <c r="AG158" s="325"/>
      <c r="AH158" s="325"/>
      <c r="AI158" s="325"/>
      <c r="AJ158" s="325"/>
      <c r="AK158" s="325"/>
      <c r="AL158" s="325"/>
      <c r="AM158" s="391" t="s">
        <v>15626</v>
      </c>
      <c r="AN158" s="838">
        <f>AN156</f>
        <v>1</v>
      </c>
      <c r="AO158" s="843"/>
      <c r="AP158" s="324" t="s">
        <v>15630</v>
      </c>
      <c r="AQ158" s="325"/>
      <c r="AR158" s="325"/>
      <c r="AS158" s="325"/>
      <c r="AT158" s="325"/>
      <c r="AU158" s="190" t="s">
        <v>398</v>
      </c>
      <c r="AV158" s="844">
        <f>AV154</f>
        <v>0.85</v>
      </c>
      <c r="AW158" s="845"/>
      <c r="AX158" s="392">
        <f>ROUND(ROUND(U156*AN158,0)*AV158,0)</f>
        <v>21</v>
      </c>
      <c r="AY158" s="393"/>
    </row>
    <row r="159" spans="1:51" ht="17.100000000000001" customHeight="1" x14ac:dyDescent="0.15">
      <c r="A159" s="340">
        <v>12</v>
      </c>
      <c r="B159" s="340">
        <v>8461</v>
      </c>
      <c r="C159" s="390" t="s">
        <v>15799</v>
      </c>
      <c r="D159" s="423"/>
      <c r="E159" s="424"/>
      <c r="F159" s="405"/>
      <c r="G159" s="424"/>
      <c r="H159" s="425"/>
      <c r="I159" s="396" t="s">
        <v>15800</v>
      </c>
      <c r="J159" s="396"/>
      <c r="K159" s="396"/>
      <c r="L159" s="396"/>
      <c r="M159" s="396"/>
      <c r="N159" s="396"/>
      <c r="O159" s="396"/>
      <c r="P159" s="396"/>
      <c r="Q159" s="400"/>
      <c r="R159" s="396"/>
      <c r="S159" s="396"/>
      <c r="T159" s="396"/>
      <c r="U159" s="396"/>
      <c r="V159" s="396"/>
      <c r="W159" s="396"/>
      <c r="X159" s="396"/>
      <c r="Y159" s="397"/>
      <c r="Z159" s="343"/>
      <c r="AA159" s="343"/>
      <c r="AB159" s="343"/>
      <c r="AC159" s="343"/>
      <c r="AD159" s="343"/>
      <c r="AE159" s="343"/>
      <c r="AF159" s="343"/>
      <c r="AG159" s="343"/>
      <c r="AH159" s="343"/>
      <c r="AI159" s="343"/>
      <c r="AJ159" s="343"/>
      <c r="AK159" s="343"/>
      <c r="AL159" s="343"/>
      <c r="AM159" s="343"/>
      <c r="AN159" s="343"/>
      <c r="AO159" s="407"/>
      <c r="AP159" s="396"/>
      <c r="AQ159" s="396"/>
      <c r="AR159" s="396"/>
      <c r="AS159" s="396"/>
      <c r="AT159" s="396"/>
      <c r="AU159" s="396"/>
      <c r="AV159" s="396"/>
      <c r="AW159" s="396"/>
      <c r="AX159" s="392">
        <f>ROUND(U160,0)</f>
        <v>25</v>
      </c>
      <c r="AY159" s="426"/>
    </row>
    <row r="160" spans="1:51" ht="17.100000000000001" customHeight="1" x14ac:dyDescent="0.15">
      <c r="A160" s="340">
        <v>12</v>
      </c>
      <c r="B160" s="340">
        <v>8462</v>
      </c>
      <c r="C160" s="390" t="s">
        <v>15801</v>
      </c>
      <c r="D160" s="423"/>
      <c r="E160" s="424"/>
      <c r="F160" s="405"/>
      <c r="G160" s="424"/>
      <c r="H160" s="425"/>
      <c r="Q160" s="151"/>
      <c r="U160" s="836">
        <v>25</v>
      </c>
      <c r="V160" s="837"/>
      <c r="W160" s="837"/>
      <c r="X160" s="152" t="s">
        <v>15624</v>
      </c>
      <c r="Y160" s="387"/>
      <c r="Z160" s="343" t="s">
        <v>15625</v>
      </c>
      <c r="AA160" s="325"/>
      <c r="AB160" s="325"/>
      <c r="AC160" s="325"/>
      <c r="AD160" s="325"/>
      <c r="AE160" s="325"/>
      <c r="AF160" s="325"/>
      <c r="AG160" s="325"/>
      <c r="AH160" s="325"/>
      <c r="AI160" s="325"/>
      <c r="AJ160" s="325"/>
      <c r="AK160" s="325"/>
      <c r="AL160" s="325"/>
      <c r="AM160" s="391" t="s">
        <v>15626</v>
      </c>
      <c r="AN160" s="838">
        <f>AN158</f>
        <v>1</v>
      </c>
      <c r="AO160" s="839"/>
      <c r="AP160" s="325"/>
      <c r="AQ160" s="325"/>
      <c r="AR160" s="325"/>
      <c r="AS160" s="325"/>
      <c r="AT160" s="325"/>
      <c r="AU160" s="325"/>
      <c r="AV160" s="325"/>
      <c r="AW160" s="325"/>
      <c r="AX160" s="392">
        <f>ROUND(U160*AN160,0)</f>
        <v>25</v>
      </c>
      <c r="AY160" s="426"/>
    </row>
    <row r="161" spans="1:53" ht="17.100000000000001" customHeight="1" x14ac:dyDescent="0.15">
      <c r="A161" s="340">
        <v>12</v>
      </c>
      <c r="B161" s="340">
        <v>8463</v>
      </c>
      <c r="C161" s="390" t="s">
        <v>15802</v>
      </c>
      <c r="D161" s="423"/>
      <c r="E161" s="424"/>
      <c r="F161" s="405"/>
      <c r="G161" s="424"/>
      <c r="H161" s="425"/>
      <c r="Q161" s="151"/>
      <c r="U161" s="395"/>
      <c r="V161" s="151"/>
      <c r="W161" s="151"/>
      <c r="Y161" s="387"/>
      <c r="Z161" s="343"/>
      <c r="AA161" s="343"/>
      <c r="AB161" s="343"/>
      <c r="AC161" s="343"/>
      <c r="AD161" s="343"/>
      <c r="AE161" s="343"/>
      <c r="AF161" s="343"/>
      <c r="AG161" s="343"/>
      <c r="AH161" s="343"/>
      <c r="AI161" s="343"/>
      <c r="AJ161" s="343"/>
      <c r="AK161" s="343"/>
      <c r="AL161" s="343"/>
      <c r="AM161" s="343"/>
      <c r="AN161" s="343"/>
      <c r="AO161" s="343"/>
      <c r="AP161" s="114" t="s">
        <v>15628</v>
      </c>
      <c r="AQ161" s="396"/>
      <c r="AR161" s="396"/>
      <c r="AS161" s="396"/>
      <c r="AT161" s="396"/>
      <c r="AU161" s="396"/>
      <c r="AV161" s="396"/>
      <c r="AW161" s="397"/>
      <c r="AX161" s="392">
        <f>ROUND(U160*AV162,0)</f>
        <v>21</v>
      </c>
      <c r="AY161" s="393"/>
    </row>
    <row r="162" spans="1:53" ht="17.100000000000001" customHeight="1" x14ac:dyDescent="0.15">
      <c r="A162" s="340">
        <v>12</v>
      </c>
      <c r="B162" s="340">
        <v>8464</v>
      </c>
      <c r="C162" s="390" t="s">
        <v>15803</v>
      </c>
      <c r="D162" s="423"/>
      <c r="E162" s="424"/>
      <c r="F162" s="405"/>
      <c r="G162" s="424"/>
      <c r="H162" s="425"/>
      <c r="Q162" s="151"/>
      <c r="U162" s="395"/>
      <c r="V162" s="151"/>
      <c r="W162" s="151"/>
      <c r="Y162" s="387"/>
      <c r="Z162" s="343" t="s">
        <v>15625</v>
      </c>
      <c r="AA162" s="325"/>
      <c r="AB162" s="325"/>
      <c r="AC162" s="325"/>
      <c r="AD162" s="325"/>
      <c r="AE162" s="325"/>
      <c r="AF162" s="325"/>
      <c r="AG162" s="325"/>
      <c r="AH162" s="325"/>
      <c r="AI162" s="325"/>
      <c r="AJ162" s="325"/>
      <c r="AK162" s="325"/>
      <c r="AL162" s="325"/>
      <c r="AM162" s="391" t="s">
        <v>15626</v>
      </c>
      <c r="AN162" s="838">
        <f>AN160</f>
        <v>1</v>
      </c>
      <c r="AO162" s="843"/>
      <c r="AP162" s="324" t="s">
        <v>15630</v>
      </c>
      <c r="AQ162" s="325"/>
      <c r="AR162" s="325"/>
      <c r="AS162" s="325"/>
      <c r="AT162" s="325"/>
      <c r="AU162" s="190" t="s">
        <v>398</v>
      </c>
      <c r="AV162" s="844">
        <f>AV158</f>
        <v>0.85</v>
      </c>
      <c r="AW162" s="845"/>
      <c r="AX162" s="392">
        <f>ROUND(ROUND(U160*AN162,0)*AV162,0)</f>
        <v>21</v>
      </c>
      <c r="AY162" s="393"/>
    </row>
    <row r="163" spans="1:53" ht="17.100000000000001" customHeight="1" x14ac:dyDescent="0.15">
      <c r="A163" s="340">
        <v>12</v>
      </c>
      <c r="B163" s="340">
        <v>8465</v>
      </c>
      <c r="C163" s="390" t="s">
        <v>15804</v>
      </c>
      <c r="D163" s="423"/>
      <c r="E163" s="424"/>
      <c r="F163" s="405"/>
      <c r="G163" s="424"/>
      <c r="H163" s="425"/>
      <c r="I163" s="396" t="s">
        <v>15805</v>
      </c>
      <c r="J163" s="396"/>
      <c r="K163" s="396"/>
      <c r="L163" s="396"/>
      <c r="M163" s="396"/>
      <c r="N163" s="396"/>
      <c r="O163" s="396"/>
      <c r="P163" s="396"/>
      <c r="Q163" s="400"/>
      <c r="R163" s="396"/>
      <c r="S163" s="396"/>
      <c r="T163" s="396"/>
      <c r="U163" s="427"/>
      <c r="V163" s="428"/>
      <c r="W163" s="396"/>
      <c r="X163" s="396"/>
      <c r="Y163" s="429"/>
      <c r="Z163" s="343"/>
      <c r="AA163" s="343"/>
      <c r="AB163" s="343"/>
      <c r="AC163" s="343"/>
      <c r="AD163" s="343"/>
      <c r="AE163" s="343"/>
      <c r="AF163" s="343"/>
      <c r="AG163" s="343"/>
      <c r="AH163" s="343"/>
      <c r="AI163" s="343"/>
      <c r="AJ163" s="343"/>
      <c r="AK163" s="343"/>
      <c r="AL163" s="343"/>
      <c r="AM163" s="343"/>
      <c r="AN163" s="343"/>
      <c r="AO163" s="407"/>
      <c r="AP163" s="396"/>
      <c r="AQ163" s="396"/>
      <c r="AR163" s="396"/>
      <c r="AS163" s="396"/>
      <c r="AT163" s="396"/>
      <c r="AU163" s="396"/>
      <c r="AV163" s="396"/>
      <c r="AW163" s="396"/>
      <c r="AX163" s="392">
        <f>ROUND(U164,0)</f>
        <v>25</v>
      </c>
      <c r="AY163" s="426"/>
    </row>
    <row r="164" spans="1:53" ht="17.100000000000001" customHeight="1" x14ac:dyDescent="0.15">
      <c r="A164" s="340">
        <v>12</v>
      </c>
      <c r="B164" s="340">
        <v>8466</v>
      </c>
      <c r="C164" s="390" t="s">
        <v>15806</v>
      </c>
      <c r="D164" s="423"/>
      <c r="E164" s="424"/>
      <c r="F164" s="405"/>
      <c r="G164" s="424"/>
      <c r="H164" s="425"/>
      <c r="Q164" s="151"/>
      <c r="U164" s="836">
        <v>25</v>
      </c>
      <c r="V164" s="837"/>
      <c r="W164" s="837"/>
      <c r="X164" s="152" t="s">
        <v>15624</v>
      </c>
      <c r="Y164" s="387"/>
      <c r="Z164" s="343" t="s">
        <v>15625</v>
      </c>
      <c r="AA164" s="325"/>
      <c r="AB164" s="325"/>
      <c r="AC164" s="325"/>
      <c r="AD164" s="325"/>
      <c r="AE164" s="325"/>
      <c r="AF164" s="325"/>
      <c r="AG164" s="325"/>
      <c r="AH164" s="325"/>
      <c r="AI164" s="325"/>
      <c r="AJ164" s="325"/>
      <c r="AK164" s="325"/>
      <c r="AL164" s="325"/>
      <c r="AM164" s="391" t="s">
        <v>15626</v>
      </c>
      <c r="AN164" s="838">
        <f>AN162</f>
        <v>1</v>
      </c>
      <c r="AO164" s="839"/>
      <c r="AP164" s="325"/>
      <c r="AQ164" s="325"/>
      <c r="AR164" s="325"/>
      <c r="AS164" s="325"/>
      <c r="AT164" s="325"/>
      <c r="AU164" s="325"/>
      <c r="AV164" s="325"/>
      <c r="AW164" s="325"/>
      <c r="AX164" s="392">
        <f>ROUND(U164*AN164,0)</f>
        <v>25</v>
      </c>
      <c r="AY164" s="426"/>
    </row>
    <row r="165" spans="1:53" ht="17.100000000000001" customHeight="1" x14ac:dyDescent="0.15">
      <c r="A165" s="340">
        <v>12</v>
      </c>
      <c r="B165" s="340">
        <v>8467</v>
      </c>
      <c r="C165" s="390" t="s">
        <v>15807</v>
      </c>
      <c r="D165" s="423"/>
      <c r="E165" s="424"/>
      <c r="F165" s="405"/>
      <c r="G165" s="424"/>
      <c r="H165" s="425"/>
      <c r="Q165" s="151"/>
      <c r="U165" s="395"/>
      <c r="V165" s="151"/>
      <c r="W165" s="151"/>
      <c r="Y165" s="387"/>
      <c r="Z165" s="343"/>
      <c r="AA165" s="343"/>
      <c r="AB165" s="343"/>
      <c r="AC165" s="343"/>
      <c r="AD165" s="343"/>
      <c r="AE165" s="343"/>
      <c r="AF165" s="343"/>
      <c r="AG165" s="343"/>
      <c r="AH165" s="343"/>
      <c r="AI165" s="343"/>
      <c r="AJ165" s="343"/>
      <c r="AK165" s="343"/>
      <c r="AL165" s="343"/>
      <c r="AM165" s="343"/>
      <c r="AN165" s="343"/>
      <c r="AO165" s="343"/>
      <c r="AP165" s="114" t="s">
        <v>15628</v>
      </c>
      <c r="AQ165" s="396"/>
      <c r="AR165" s="396"/>
      <c r="AS165" s="396"/>
      <c r="AT165" s="396"/>
      <c r="AU165" s="396"/>
      <c r="AV165" s="396"/>
      <c r="AW165" s="397"/>
      <c r="AX165" s="392">
        <f>ROUND(U164*AV166,0)</f>
        <v>21</v>
      </c>
      <c r="AY165" s="393"/>
    </row>
    <row r="166" spans="1:53" ht="17.100000000000001" customHeight="1" x14ac:dyDescent="0.15">
      <c r="A166" s="340">
        <v>12</v>
      </c>
      <c r="B166" s="340">
        <v>8468</v>
      </c>
      <c r="C166" s="390" t="s">
        <v>15808</v>
      </c>
      <c r="D166" s="423"/>
      <c r="E166" s="424"/>
      <c r="F166" s="405"/>
      <c r="G166" s="424"/>
      <c r="H166" s="425"/>
      <c r="Q166" s="151"/>
      <c r="U166" s="395"/>
      <c r="V166" s="151"/>
      <c r="W166" s="151"/>
      <c r="Y166" s="387"/>
      <c r="Z166" s="343" t="s">
        <v>15625</v>
      </c>
      <c r="AA166" s="325"/>
      <c r="AB166" s="325"/>
      <c r="AC166" s="325"/>
      <c r="AD166" s="325"/>
      <c r="AE166" s="325"/>
      <c r="AF166" s="325"/>
      <c r="AG166" s="325"/>
      <c r="AH166" s="325"/>
      <c r="AI166" s="325"/>
      <c r="AJ166" s="325"/>
      <c r="AK166" s="325"/>
      <c r="AL166" s="325"/>
      <c r="AM166" s="391" t="s">
        <v>15626</v>
      </c>
      <c r="AN166" s="838">
        <f>AN164</f>
        <v>1</v>
      </c>
      <c r="AO166" s="843"/>
      <c r="AP166" s="324" t="s">
        <v>15630</v>
      </c>
      <c r="AQ166" s="325"/>
      <c r="AR166" s="325"/>
      <c r="AS166" s="325"/>
      <c r="AT166" s="325"/>
      <c r="AU166" s="190" t="s">
        <v>398</v>
      </c>
      <c r="AV166" s="844">
        <f>AV162</f>
        <v>0.85</v>
      </c>
      <c r="AW166" s="845"/>
      <c r="AX166" s="392">
        <f>ROUND(ROUND(U164*AN166,0)*AV166,0)</f>
        <v>21</v>
      </c>
      <c r="AY166" s="393"/>
    </row>
    <row r="167" spans="1:53" ht="17.100000000000001" customHeight="1" x14ac:dyDescent="0.15">
      <c r="A167" s="340">
        <v>12</v>
      </c>
      <c r="B167" s="340">
        <v>8469</v>
      </c>
      <c r="C167" s="390" t="s">
        <v>15809</v>
      </c>
      <c r="D167" s="423"/>
      <c r="E167" s="424"/>
      <c r="F167" s="405"/>
      <c r="G167" s="424"/>
      <c r="H167" s="425"/>
      <c r="I167" s="396" t="s">
        <v>15810</v>
      </c>
      <c r="J167" s="396"/>
      <c r="K167" s="396"/>
      <c r="L167" s="396"/>
      <c r="M167" s="396"/>
      <c r="N167" s="396"/>
      <c r="O167" s="396"/>
      <c r="P167" s="396"/>
      <c r="Q167" s="400"/>
      <c r="R167" s="396"/>
      <c r="S167" s="396"/>
      <c r="T167" s="396"/>
      <c r="U167" s="396"/>
      <c r="V167" s="396"/>
      <c r="W167" s="396"/>
      <c r="X167" s="396"/>
      <c r="Y167" s="397"/>
      <c r="Z167" s="343"/>
      <c r="AA167" s="343"/>
      <c r="AB167" s="343"/>
      <c r="AC167" s="343"/>
      <c r="AD167" s="343"/>
      <c r="AE167" s="343"/>
      <c r="AF167" s="343"/>
      <c r="AG167" s="343"/>
      <c r="AH167" s="343"/>
      <c r="AI167" s="343"/>
      <c r="AJ167" s="343"/>
      <c r="AK167" s="343"/>
      <c r="AL167" s="343"/>
      <c r="AM167" s="343"/>
      <c r="AN167" s="343"/>
      <c r="AO167" s="407"/>
      <c r="AP167" s="396"/>
      <c r="AQ167" s="396"/>
      <c r="AR167" s="396"/>
      <c r="AS167" s="396"/>
      <c r="AT167" s="396"/>
      <c r="AU167" s="396"/>
      <c r="AV167" s="396"/>
      <c r="AW167" s="396"/>
      <c r="AX167" s="392">
        <f>ROUND(U168,0)</f>
        <v>25</v>
      </c>
      <c r="AY167" s="426"/>
    </row>
    <row r="168" spans="1:53" ht="17.100000000000001" customHeight="1" x14ac:dyDescent="0.15">
      <c r="A168" s="340">
        <v>12</v>
      </c>
      <c r="B168" s="340">
        <v>8470</v>
      </c>
      <c r="C168" s="390" t="s">
        <v>15811</v>
      </c>
      <c r="D168" s="423"/>
      <c r="E168" s="424"/>
      <c r="F168" s="405"/>
      <c r="G168" s="424"/>
      <c r="H168" s="425"/>
      <c r="Q168" s="151"/>
      <c r="U168" s="836">
        <v>25</v>
      </c>
      <c r="V168" s="837"/>
      <c r="W168" s="837"/>
      <c r="X168" s="152" t="s">
        <v>15624</v>
      </c>
      <c r="Y168" s="387"/>
      <c r="Z168" s="343" t="s">
        <v>15625</v>
      </c>
      <c r="AA168" s="325"/>
      <c r="AB168" s="325"/>
      <c r="AC168" s="325"/>
      <c r="AD168" s="325"/>
      <c r="AE168" s="325"/>
      <c r="AF168" s="325"/>
      <c r="AG168" s="325"/>
      <c r="AH168" s="325"/>
      <c r="AI168" s="325"/>
      <c r="AJ168" s="325"/>
      <c r="AK168" s="325"/>
      <c r="AL168" s="325"/>
      <c r="AM168" s="391" t="s">
        <v>15626</v>
      </c>
      <c r="AN168" s="838">
        <f>AN166</f>
        <v>1</v>
      </c>
      <c r="AO168" s="839"/>
      <c r="AP168" s="325"/>
      <c r="AQ168" s="325"/>
      <c r="AR168" s="325"/>
      <c r="AS168" s="325"/>
      <c r="AT168" s="325"/>
      <c r="AU168" s="325"/>
      <c r="AV168" s="325"/>
      <c r="AW168" s="325"/>
      <c r="AX168" s="392">
        <f>ROUND(U168*AN168,0)</f>
        <v>25</v>
      </c>
      <c r="AY168" s="426"/>
    </row>
    <row r="169" spans="1:53" ht="17.100000000000001" customHeight="1" x14ac:dyDescent="0.15">
      <c r="A169" s="340">
        <v>12</v>
      </c>
      <c r="B169" s="340">
        <v>8471</v>
      </c>
      <c r="C169" s="390" t="s">
        <v>15812</v>
      </c>
      <c r="D169" s="423"/>
      <c r="E169" s="424"/>
      <c r="F169" s="405"/>
      <c r="G169" s="424"/>
      <c r="H169" s="425"/>
      <c r="Q169" s="151"/>
      <c r="U169" s="395"/>
      <c r="V169" s="151"/>
      <c r="W169" s="151"/>
      <c r="Y169" s="387"/>
      <c r="Z169" s="343"/>
      <c r="AA169" s="343"/>
      <c r="AB169" s="343"/>
      <c r="AC169" s="343"/>
      <c r="AD169" s="343"/>
      <c r="AE169" s="343"/>
      <c r="AF169" s="343"/>
      <c r="AG169" s="343"/>
      <c r="AH169" s="343"/>
      <c r="AI169" s="343"/>
      <c r="AJ169" s="343"/>
      <c r="AK169" s="343"/>
      <c r="AL169" s="343"/>
      <c r="AM169" s="343"/>
      <c r="AN169" s="343"/>
      <c r="AO169" s="343"/>
      <c r="AP169" s="114" t="s">
        <v>15628</v>
      </c>
      <c r="AQ169" s="396"/>
      <c r="AR169" s="396"/>
      <c r="AS169" s="396"/>
      <c r="AT169" s="396"/>
      <c r="AU169" s="396"/>
      <c r="AV169" s="396"/>
      <c r="AW169" s="397"/>
      <c r="AX169" s="392">
        <f>ROUND(U168*AV170,0)</f>
        <v>21</v>
      </c>
      <c r="AY169" s="393"/>
    </row>
    <row r="170" spans="1:53" ht="17.100000000000001" customHeight="1" x14ac:dyDescent="0.15">
      <c r="A170" s="340">
        <v>12</v>
      </c>
      <c r="B170" s="340">
        <v>8472</v>
      </c>
      <c r="C170" s="390" t="s">
        <v>15813</v>
      </c>
      <c r="D170" s="423"/>
      <c r="E170" s="424"/>
      <c r="F170" s="405"/>
      <c r="G170" s="424"/>
      <c r="H170" s="425"/>
      <c r="Q170" s="151"/>
      <c r="U170" s="395"/>
      <c r="V170" s="151"/>
      <c r="W170" s="151"/>
      <c r="Y170" s="387"/>
      <c r="Z170" s="343" t="s">
        <v>15625</v>
      </c>
      <c r="AA170" s="325"/>
      <c r="AB170" s="325"/>
      <c r="AC170" s="325"/>
      <c r="AD170" s="325"/>
      <c r="AE170" s="325"/>
      <c r="AF170" s="325"/>
      <c r="AG170" s="325"/>
      <c r="AH170" s="325"/>
      <c r="AI170" s="325"/>
      <c r="AJ170" s="325"/>
      <c r="AK170" s="325"/>
      <c r="AL170" s="325"/>
      <c r="AM170" s="391" t="s">
        <v>15626</v>
      </c>
      <c r="AN170" s="838">
        <f>AN168</f>
        <v>1</v>
      </c>
      <c r="AO170" s="843"/>
      <c r="AP170" s="324" t="s">
        <v>15630</v>
      </c>
      <c r="AQ170" s="325"/>
      <c r="AR170" s="325"/>
      <c r="AS170" s="325"/>
      <c r="AT170" s="325"/>
      <c r="AU170" s="190" t="s">
        <v>398</v>
      </c>
      <c r="AV170" s="844">
        <f>AV166</f>
        <v>0.85</v>
      </c>
      <c r="AW170" s="845"/>
      <c r="AX170" s="392">
        <f>ROUND(ROUND(U168*AN170,0)*AV170,0)</f>
        <v>21</v>
      </c>
      <c r="AY170" s="393"/>
    </row>
    <row r="171" spans="1:53" ht="17.100000000000001" customHeight="1" x14ac:dyDescent="0.15">
      <c r="A171" s="340">
        <v>12</v>
      </c>
      <c r="B171" s="340">
        <v>8473</v>
      </c>
      <c r="C171" s="390" t="s">
        <v>15814</v>
      </c>
      <c r="D171" s="423"/>
      <c r="E171" s="424"/>
      <c r="F171" s="405"/>
      <c r="G171" s="424"/>
      <c r="H171" s="425"/>
      <c r="I171" s="396" t="s">
        <v>15815</v>
      </c>
      <c r="J171" s="396"/>
      <c r="K171" s="396"/>
      <c r="L171" s="396"/>
      <c r="M171" s="396"/>
      <c r="N171" s="396"/>
      <c r="O171" s="396"/>
      <c r="P171" s="396"/>
      <c r="Q171" s="400"/>
      <c r="R171" s="396"/>
      <c r="S171" s="396"/>
      <c r="T171" s="396"/>
      <c r="U171" s="427"/>
      <c r="V171" s="428"/>
      <c r="W171" s="396"/>
      <c r="X171" s="396"/>
      <c r="Y171" s="429"/>
      <c r="Z171" s="343"/>
      <c r="AA171" s="343"/>
      <c r="AB171" s="343"/>
      <c r="AC171" s="343"/>
      <c r="AD171" s="343"/>
      <c r="AE171" s="343"/>
      <c r="AF171" s="343"/>
      <c r="AG171" s="343"/>
      <c r="AH171" s="343"/>
      <c r="AI171" s="343"/>
      <c r="AJ171" s="343"/>
      <c r="AK171" s="343"/>
      <c r="AL171" s="343"/>
      <c r="AM171" s="343"/>
      <c r="AN171" s="343"/>
      <c r="AO171" s="407"/>
      <c r="AP171" s="396"/>
      <c r="AQ171" s="396"/>
      <c r="AR171" s="396"/>
      <c r="AS171" s="396"/>
      <c r="AT171" s="396"/>
      <c r="AU171" s="396"/>
      <c r="AV171" s="396"/>
      <c r="AW171" s="396"/>
      <c r="AX171" s="392">
        <f>ROUND(U172,0)</f>
        <v>50</v>
      </c>
      <c r="AY171" s="426"/>
    </row>
    <row r="172" spans="1:53" ht="17.100000000000001" customHeight="1" x14ac:dyDescent="0.15">
      <c r="A172" s="340">
        <v>12</v>
      </c>
      <c r="B172" s="340">
        <v>8474</v>
      </c>
      <c r="C172" s="390" t="s">
        <v>15816</v>
      </c>
      <c r="D172" s="423"/>
      <c r="E172" s="424"/>
      <c r="F172" s="405"/>
      <c r="G172" s="424"/>
      <c r="H172" s="425"/>
      <c r="Q172" s="151"/>
      <c r="U172" s="836">
        <v>50</v>
      </c>
      <c r="V172" s="837"/>
      <c r="W172" s="837"/>
      <c r="X172" s="152" t="s">
        <v>15624</v>
      </c>
      <c r="Y172" s="387"/>
      <c r="Z172" s="343" t="s">
        <v>15625</v>
      </c>
      <c r="AA172" s="325"/>
      <c r="AB172" s="325"/>
      <c r="AC172" s="325"/>
      <c r="AD172" s="325"/>
      <c r="AE172" s="325"/>
      <c r="AF172" s="325"/>
      <c r="AG172" s="325"/>
      <c r="AH172" s="325"/>
      <c r="AI172" s="325"/>
      <c r="AJ172" s="325"/>
      <c r="AK172" s="325"/>
      <c r="AL172" s="325"/>
      <c r="AM172" s="391" t="s">
        <v>15626</v>
      </c>
      <c r="AN172" s="838">
        <f>AN170</f>
        <v>1</v>
      </c>
      <c r="AO172" s="839"/>
      <c r="AP172" s="325"/>
      <c r="AQ172" s="325"/>
      <c r="AR172" s="325"/>
      <c r="AS172" s="325"/>
      <c r="AT172" s="325"/>
      <c r="AU172" s="325"/>
      <c r="AV172" s="325"/>
      <c r="AW172" s="325"/>
      <c r="AX172" s="353">
        <f>ROUND(U172*AN172,0)</f>
        <v>50</v>
      </c>
      <c r="AY172" s="426"/>
    </row>
    <row r="173" spans="1:53" ht="17.100000000000001" customHeight="1" x14ac:dyDescent="0.15">
      <c r="A173" s="340">
        <v>12</v>
      </c>
      <c r="B173" s="340">
        <v>8475</v>
      </c>
      <c r="C173" s="390" t="s">
        <v>15817</v>
      </c>
      <c r="D173" s="430"/>
      <c r="E173" s="431"/>
      <c r="F173" s="410"/>
      <c r="G173" s="431"/>
      <c r="H173" s="432"/>
      <c r="Q173" s="151"/>
      <c r="U173" s="395"/>
      <c r="V173" s="151"/>
      <c r="W173" s="151"/>
      <c r="Y173" s="387"/>
      <c r="Z173" s="343"/>
      <c r="AA173" s="343"/>
      <c r="AB173" s="343"/>
      <c r="AC173" s="343"/>
      <c r="AD173" s="343"/>
      <c r="AE173" s="343"/>
      <c r="AF173" s="343"/>
      <c r="AG173" s="343"/>
      <c r="AH173" s="343"/>
      <c r="AI173" s="343"/>
      <c r="AJ173" s="343"/>
      <c r="AK173" s="343"/>
      <c r="AL173" s="343"/>
      <c r="AM173" s="343"/>
      <c r="AN173" s="343"/>
      <c r="AO173" s="343"/>
      <c r="AP173" s="114" t="s">
        <v>15628</v>
      </c>
      <c r="AQ173" s="396"/>
      <c r="AR173" s="396"/>
      <c r="AS173" s="396"/>
      <c r="AT173" s="396"/>
      <c r="AU173" s="396"/>
      <c r="AV173" s="396"/>
      <c r="AW173" s="397"/>
      <c r="AX173" s="392">
        <f>ROUND(U172*AV174,0)</f>
        <v>43</v>
      </c>
      <c r="AY173" s="393"/>
    </row>
    <row r="174" spans="1:53" ht="17.100000000000001" customHeight="1" x14ac:dyDescent="0.15">
      <c r="A174" s="340">
        <v>12</v>
      </c>
      <c r="B174" s="340">
        <v>8476</v>
      </c>
      <c r="C174" s="390" t="s">
        <v>15818</v>
      </c>
      <c r="D174" s="433"/>
      <c r="E174" s="434"/>
      <c r="F174" s="414"/>
      <c r="G174" s="434"/>
      <c r="H174" s="435"/>
      <c r="I174" s="325"/>
      <c r="J174" s="325"/>
      <c r="K174" s="325"/>
      <c r="L174" s="325"/>
      <c r="M174" s="325"/>
      <c r="N174" s="325"/>
      <c r="O174" s="325"/>
      <c r="P174" s="325"/>
      <c r="Q174" s="417"/>
      <c r="R174" s="325"/>
      <c r="S174" s="325"/>
      <c r="T174" s="325"/>
      <c r="U174" s="416"/>
      <c r="V174" s="417"/>
      <c r="W174" s="417"/>
      <c r="X174" s="325"/>
      <c r="Y174" s="388"/>
      <c r="Z174" s="343" t="s">
        <v>15625</v>
      </c>
      <c r="AA174" s="325"/>
      <c r="AB174" s="325"/>
      <c r="AC174" s="325"/>
      <c r="AD174" s="325"/>
      <c r="AE174" s="325"/>
      <c r="AF174" s="325"/>
      <c r="AG174" s="325"/>
      <c r="AH174" s="325"/>
      <c r="AI174" s="325"/>
      <c r="AJ174" s="325"/>
      <c r="AK174" s="325"/>
      <c r="AL174" s="325"/>
      <c r="AM174" s="391" t="s">
        <v>15626</v>
      </c>
      <c r="AN174" s="838">
        <f>AN172</f>
        <v>1</v>
      </c>
      <c r="AO174" s="843"/>
      <c r="AP174" s="324" t="s">
        <v>15630</v>
      </c>
      <c r="AQ174" s="325"/>
      <c r="AR174" s="325"/>
      <c r="AS174" s="325"/>
      <c r="AT174" s="325"/>
      <c r="AU174" s="190" t="s">
        <v>398</v>
      </c>
      <c r="AV174" s="844">
        <f>AV170</f>
        <v>0.85</v>
      </c>
      <c r="AW174" s="845"/>
      <c r="AX174" s="353">
        <f>ROUND(ROUND(U172*AN174,0)*AV174,0)</f>
        <v>43</v>
      </c>
      <c r="AY174" s="418"/>
    </row>
    <row r="175" spans="1:53" ht="17.100000000000001" customHeight="1" x14ac:dyDescent="0.15">
      <c r="A175" s="311">
        <v>12</v>
      </c>
      <c r="B175" s="436" t="s">
        <v>15547</v>
      </c>
      <c r="C175" s="437" t="s">
        <v>15819</v>
      </c>
      <c r="D175" s="438" t="s">
        <v>15549</v>
      </c>
      <c r="E175" s="439"/>
      <c r="F175" s="439"/>
      <c r="G175" s="439"/>
      <c r="H175" s="439"/>
      <c r="I175" s="439"/>
      <c r="J175" s="315"/>
      <c r="K175" s="315"/>
      <c r="L175" s="315"/>
      <c r="M175" s="315"/>
      <c r="N175" s="315"/>
      <c r="O175" s="315"/>
      <c r="P175" s="315"/>
      <c r="Q175" s="315"/>
      <c r="R175" s="315"/>
      <c r="S175" s="315"/>
      <c r="T175" s="440"/>
      <c r="U175" s="440"/>
      <c r="V175" s="441"/>
      <c r="W175" s="442"/>
      <c r="X175" s="442"/>
      <c r="Y175" s="315"/>
      <c r="Z175" s="315"/>
      <c r="AA175" s="315"/>
      <c r="AB175" s="315"/>
      <c r="AC175" s="315"/>
      <c r="AD175" s="315"/>
      <c r="AE175" s="315"/>
      <c r="AF175" s="315"/>
      <c r="AG175" s="443"/>
      <c r="AH175" s="443"/>
      <c r="AI175" s="315"/>
      <c r="AJ175" s="315"/>
      <c r="AK175" s="315"/>
      <c r="AL175" s="315"/>
      <c r="AM175" s="315"/>
      <c r="AN175" s="315"/>
      <c r="AO175" s="315"/>
      <c r="AP175" s="315"/>
      <c r="AQ175" s="315"/>
      <c r="AR175" s="867"/>
      <c r="AS175" s="867"/>
      <c r="AT175" s="444" t="s">
        <v>15820</v>
      </c>
      <c r="AU175" s="444"/>
      <c r="AV175" s="315"/>
      <c r="AW175" s="315"/>
      <c r="AX175" s="319"/>
      <c r="AY175" s="445" t="s">
        <v>15821</v>
      </c>
      <c r="BA175" s="377"/>
    </row>
    <row r="176" spans="1:53" ht="17.100000000000001" customHeight="1" x14ac:dyDescent="0.15">
      <c r="A176" s="321">
        <v>12</v>
      </c>
      <c r="B176" s="446" t="s">
        <v>15560</v>
      </c>
      <c r="C176" s="350" t="s">
        <v>15822</v>
      </c>
      <c r="D176" s="447" t="s">
        <v>15823</v>
      </c>
      <c r="E176" s="448"/>
      <c r="F176" s="448"/>
      <c r="G176" s="448"/>
      <c r="H176" s="448"/>
      <c r="I176" s="448"/>
      <c r="J176" s="325"/>
      <c r="K176" s="325"/>
      <c r="L176" s="325"/>
      <c r="M176" s="325"/>
      <c r="N176" s="325"/>
      <c r="O176" s="325"/>
      <c r="P176" s="325"/>
      <c r="Q176" s="325"/>
      <c r="R176" s="325"/>
      <c r="S176" s="325"/>
      <c r="T176" s="449"/>
      <c r="U176" s="449"/>
      <c r="V176" s="391"/>
      <c r="W176" s="450"/>
      <c r="X176" s="450"/>
      <c r="Y176" s="325"/>
      <c r="Z176" s="330" t="s">
        <v>15824</v>
      </c>
      <c r="AA176" s="343"/>
      <c r="AB176" s="343"/>
      <c r="AC176" s="343"/>
      <c r="AD176" s="343"/>
      <c r="AE176" s="343"/>
      <c r="AF176" s="343"/>
      <c r="AG176" s="451"/>
      <c r="AH176" s="451"/>
      <c r="AI176" s="343"/>
      <c r="AJ176" s="343"/>
      <c r="AK176" s="343"/>
      <c r="AL176" s="343"/>
      <c r="AM176" s="343"/>
      <c r="AN176" s="343"/>
      <c r="AO176" s="343"/>
      <c r="AP176" s="343"/>
      <c r="AQ176" s="343"/>
      <c r="AR176" s="868">
        <v>5</v>
      </c>
      <c r="AS176" s="868"/>
      <c r="AT176" s="452" t="s">
        <v>15825</v>
      </c>
      <c r="AU176" s="452"/>
      <c r="AV176" s="325"/>
      <c r="AW176" s="325"/>
      <c r="AX176" s="328">
        <f>-AR176</f>
        <v>-5</v>
      </c>
      <c r="AY176" s="336" t="s">
        <v>15826</v>
      </c>
      <c r="BA176" s="377"/>
    </row>
    <row r="177" spans="1:53" ht="17.100000000000001" customHeight="1" x14ac:dyDescent="0.15">
      <c r="A177" s="321">
        <v>12</v>
      </c>
      <c r="B177" s="322">
        <v>6010</v>
      </c>
      <c r="C177" s="323" t="s">
        <v>15827</v>
      </c>
      <c r="D177" s="869" t="s">
        <v>15566</v>
      </c>
      <c r="E177" s="870"/>
      <c r="F177" s="871"/>
      <c r="G177" s="870"/>
      <c r="H177" s="872"/>
      <c r="I177" s="338" t="s">
        <v>15567</v>
      </c>
      <c r="J177" s="325"/>
      <c r="K177" s="325"/>
      <c r="L177" s="325"/>
      <c r="M177" s="325"/>
      <c r="N177" s="325"/>
      <c r="O177" s="325"/>
      <c r="P177" s="325"/>
      <c r="Q177" s="325"/>
      <c r="R177" s="325"/>
      <c r="S177" s="325"/>
      <c r="T177" s="449"/>
      <c r="U177" s="449"/>
      <c r="V177" s="391"/>
      <c r="W177" s="450"/>
      <c r="X177" s="450"/>
      <c r="Y177" s="325"/>
      <c r="Z177" s="325"/>
      <c r="AA177" s="325"/>
      <c r="AB177" s="325"/>
      <c r="AC177" s="325"/>
      <c r="AD177" s="325"/>
      <c r="AE177" s="325"/>
      <c r="AF177" s="325"/>
      <c r="AG177" s="453"/>
      <c r="AH177" s="453"/>
      <c r="AI177" s="325"/>
      <c r="AJ177" s="325"/>
      <c r="AK177" s="325"/>
      <c r="AL177" s="325"/>
      <c r="AM177" s="325"/>
      <c r="AN177" s="325"/>
      <c r="AO177" s="325"/>
      <c r="AP177" s="325"/>
      <c r="AQ177" s="325"/>
      <c r="AR177" s="868"/>
      <c r="AS177" s="868"/>
      <c r="AT177" s="452" t="s">
        <v>15568</v>
      </c>
      <c r="AU177" s="452"/>
      <c r="AV177" s="325"/>
      <c r="AW177" s="325"/>
      <c r="AX177" s="328"/>
      <c r="AY177" s="339" t="s">
        <v>15828</v>
      </c>
      <c r="BA177" s="377"/>
    </row>
    <row r="178" spans="1:53" ht="17.100000000000001" customHeight="1" x14ac:dyDescent="0.15">
      <c r="A178" s="340">
        <v>12</v>
      </c>
      <c r="B178" s="341">
        <v>6011</v>
      </c>
      <c r="C178" s="342" t="s">
        <v>15829</v>
      </c>
      <c r="D178" s="869"/>
      <c r="E178" s="870"/>
      <c r="F178" s="871"/>
      <c r="G178" s="870"/>
      <c r="H178" s="872"/>
      <c r="I178" s="338" t="s">
        <v>15570</v>
      </c>
      <c r="J178" s="343"/>
      <c r="K178" s="343"/>
      <c r="L178" s="343"/>
      <c r="M178" s="343"/>
      <c r="N178" s="343"/>
      <c r="O178" s="343"/>
      <c r="P178" s="343"/>
      <c r="Q178" s="343"/>
      <c r="R178" s="343"/>
      <c r="S178" s="343"/>
      <c r="T178" s="454"/>
      <c r="U178" s="454"/>
      <c r="V178" s="455"/>
      <c r="W178" s="456"/>
      <c r="X178" s="456"/>
      <c r="Y178" s="343"/>
      <c r="Z178" s="343"/>
      <c r="AA178" s="343"/>
      <c r="AB178" s="343"/>
      <c r="AC178" s="343"/>
      <c r="AD178" s="343"/>
      <c r="AE178" s="343"/>
      <c r="AF178" s="343"/>
      <c r="AG178" s="451"/>
      <c r="AH178" s="451"/>
      <c r="AI178" s="343"/>
      <c r="AJ178" s="343"/>
      <c r="AK178" s="343"/>
      <c r="AL178" s="343"/>
      <c r="AM178" s="343"/>
      <c r="AN178" s="343"/>
      <c r="AO178" s="343"/>
      <c r="AP178" s="343"/>
      <c r="AQ178" s="343"/>
      <c r="AR178" s="331"/>
      <c r="AS178" s="331"/>
      <c r="AT178" s="348" t="s">
        <v>15568</v>
      </c>
      <c r="AU178" s="348"/>
      <c r="AV178" s="343"/>
      <c r="AW178" s="343"/>
      <c r="AX178" s="353"/>
      <c r="AY178" s="339"/>
      <c r="BA178" s="377"/>
    </row>
    <row r="179" spans="1:53" ht="17.100000000000001" customHeight="1" x14ac:dyDescent="0.15">
      <c r="A179" s="340">
        <v>12</v>
      </c>
      <c r="B179" s="341">
        <v>6012</v>
      </c>
      <c r="C179" s="342" t="s">
        <v>15830</v>
      </c>
      <c r="D179" s="873"/>
      <c r="E179" s="874"/>
      <c r="F179" s="875"/>
      <c r="G179" s="874"/>
      <c r="H179" s="876"/>
      <c r="I179" s="338" t="s">
        <v>15572</v>
      </c>
      <c r="J179" s="343"/>
      <c r="K179" s="343"/>
      <c r="L179" s="343"/>
      <c r="M179" s="343"/>
      <c r="N179" s="343"/>
      <c r="O179" s="343"/>
      <c r="P179" s="343"/>
      <c r="Q179" s="343"/>
      <c r="R179" s="343"/>
      <c r="S179" s="343"/>
      <c r="T179" s="454"/>
      <c r="U179" s="454"/>
      <c r="V179" s="455"/>
      <c r="W179" s="456"/>
      <c r="X179" s="456"/>
      <c r="Y179" s="343"/>
      <c r="Z179" s="343"/>
      <c r="AA179" s="343"/>
      <c r="AB179" s="343"/>
      <c r="AC179" s="343"/>
      <c r="AD179" s="343"/>
      <c r="AE179" s="343"/>
      <c r="AF179" s="343"/>
      <c r="AG179" s="451"/>
      <c r="AH179" s="451"/>
      <c r="AI179" s="343"/>
      <c r="AJ179" s="343"/>
      <c r="AK179" s="343"/>
      <c r="AL179" s="343"/>
      <c r="AM179" s="343"/>
      <c r="AN179" s="343"/>
      <c r="AO179" s="343"/>
      <c r="AP179" s="343"/>
      <c r="AQ179" s="343"/>
      <c r="AR179" s="331"/>
      <c r="AS179" s="331"/>
      <c r="AT179" s="348" t="s">
        <v>15568</v>
      </c>
      <c r="AU179" s="348"/>
      <c r="AV179" s="343"/>
      <c r="AW179" s="343"/>
      <c r="AX179" s="353"/>
      <c r="AY179" s="339"/>
      <c r="BA179" s="377"/>
    </row>
    <row r="180" spans="1:53" ht="17.100000000000001" customHeight="1" x14ac:dyDescent="0.15">
      <c r="A180" s="340">
        <v>12</v>
      </c>
      <c r="B180" s="341">
        <v>6015</v>
      </c>
      <c r="C180" s="342" t="s">
        <v>15831</v>
      </c>
      <c r="D180" s="345" t="s">
        <v>15576</v>
      </c>
      <c r="E180" s="334"/>
      <c r="F180" s="457"/>
      <c r="G180" s="334"/>
      <c r="H180" s="334"/>
      <c r="I180" s="334"/>
      <c r="J180" s="343"/>
      <c r="K180" s="343"/>
      <c r="L180" s="343"/>
      <c r="M180" s="343"/>
      <c r="N180" s="343"/>
      <c r="O180" s="343"/>
      <c r="P180" s="343"/>
      <c r="Q180" s="343"/>
      <c r="R180" s="343"/>
      <c r="S180" s="343"/>
      <c r="T180" s="454"/>
      <c r="U180" s="454"/>
      <c r="V180" s="455"/>
      <c r="W180" s="456"/>
      <c r="X180" s="456"/>
      <c r="Y180" s="343"/>
      <c r="Z180" s="343"/>
      <c r="AA180" s="343"/>
      <c r="AB180" s="343"/>
      <c r="AC180" s="343"/>
      <c r="AD180" s="343"/>
      <c r="AE180" s="343"/>
      <c r="AF180" s="343"/>
      <c r="AG180" s="451"/>
      <c r="AH180" s="451"/>
      <c r="AI180" s="343"/>
      <c r="AJ180" s="343"/>
      <c r="AK180" s="343"/>
      <c r="AL180" s="343"/>
      <c r="AM180" s="343"/>
      <c r="AN180" s="343"/>
      <c r="AO180" s="343"/>
      <c r="AP180" s="343"/>
      <c r="AQ180" s="343"/>
      <c r="AR180" s="877"/>
      <c r="AS180" s="877"/>
      <c r="AT180" s="348" t="s">
        <v>15568</v>
      </c>
      <c r="AU180" s="348"/>
      <c r="AV180" s="343"/>
      <c r="AW180" s="343"/>
      <c r="AX180" s="353"/>
      <c r="AY180" s="333"/>
      <c r="BA180" s="377"/>
    </row>
    <row r="181" spans="1:53" ht="16.5" customHeight="1" x14ac:dyDescent="0.15">
      <c r="A181" s="340">
        <v>12</v>
      </c>
      <c r="B181" s="341">
        <v>6025</v>
      </c>
      <c r="C181" s="342" t="s">
        <v>15832</v>
      </c>
      <c r="D181" s="887" t="s">
        <v>15578</v>
      </c>
      <c r="E181" s="888"/>
      <c r="F181" s="888"/>
      <c r="G181" s="888"/>
      <c r="H181" s="889"/>
      <c r="I181" s="458"/>
      <c r="J181" s="343"/>
      <c r="K181" s="343"/>
      <c r="L181" s="343"/>
      <c r="M181" s="343"/>
      <c r="N181" s="343"/>
      <c r="O181" s="343"/>
      <c r="P181" s="343"/>
      <c r="Q181" s="343"/>
      <c r="R181" s="343"/>
      <c r="S181" s="343"/>
      <c r="T181" s="454"/>
      <c r="U181" s="454"/>
      <c r="V181" s="455"/>
      <c r="W181" s="456"/>
      <c r="X181" s="456"/>
      <c r="Y181" s="343"/>
      <c r="Z181" s="343"/>
      <c r="AA181" s="343"/>
      <c r="AB181" s="343"/>
      <c r="AC181" s="343"/>
      <c r="AD181" s="343"/>
      <c r="AE181" s="343"/>
      <c r="AF181" s="343"/>
      <c r="AG181" s="451"/>
      <c r="AH181" s="451"/>
      <c r="AI181" s="343"/>
      <c r="AJ181" s="343"/>
      <c r="AK181" s="343"/>
      <c r="AL181" s="343"/>
      <c r="AM181" s="343"/>
      <c r="AN181" s="343"/>
      <c r="AO181" s="343"/>
      <c r="AP181" s="343"/>
      <c r="AQ181" s="343"/>
      <c r="AR181" s="877">
        <v>100</v>
      </c>
      <c r="AS181" s="877"/>
      <c r="AT181" s="348" t="s">
        <v>15568</v>
      </c>
      <c r="AU181" s="348"/>
      <c r="AV181" s="343"/>
      <c r="AW181" s="343"/>
      <c r="AX181" s="353">
        <f t="shared" ref="AX181:AX187" si="0">ROUND(AR181,0)</f>
        <v>100</v>
      </c>
      <c r="AY181" s="339" t="s">
        <v>15833</v>
      </c>
      <c r="BA181" s="377"/>
    </row>
    <row r="182" spans="1:53" ht="16.5" customHeight="1" x14ac:dyDescent="0.15">
      <c r="A182" s="340">
        <v>12</v>
      </c>
      <c r="B182" s="341">
        <v>6026</v>
      </c>
      <c r="C182" s="342" t="s">
        <v>15834</v>
      </c>
      <c r="D182" s="873"/>
      <c r="E182" s="874"/>
      <c r="F182" s="874"/>
      <c r="G182" s="874"/>
      <c r="H182" s="876"/>
      <c r="I182" s="345" t="s">
        <v>15581</v>
      </c>
      <c r="J182" s="343"/>
      <c r="K182" s="343"/>
      <c r="L182" s="343"/>
      <c r="M182" s="343"/>
      <c r="N182" s="343"/>
      <c r="O182" s="343"/>
      <c r="P182" s="343"/>
      <c r="Q182" s="343"/>
      <c r="R182" s="343"/>
      <c r="S182" s="343"/>
      <c r="T182" s="454"/>
      <c r="U182" s="454"/>
      <c r="V182" s="455"/>
      <c r="W182" s="456"/>
      <c r="X182" s="456"/>
      <c r="Y182" s="343"/>
      <c r="Z182" s="343"/>
      <c r="AA182" s="343"/>
      <c r="AB182" s="343"/>
      <c r="AC182" s="343"/>
      <c r="AD182" s="343"/>
      <c r="AE182" s="343"/>
      <c r="AF182" s="343"/>
      <c r="AG182" s="451"/>
      <c r="AH182" s="451"/>
      <c r="AI182" s="343"/>
      <c r="AJ182" s="343"/>
      <c r="AK182" s="343"/>
      <c r="AL182" s="343"/>
      <c r="AM182" s="343"/>
      <c r="AN182" s="343"/>
      <c r="AO182" s="343"/>
      <c r="AP182" s="343"/>
      <c r="AQ182" s="343"/>
      <c r="AR182" s="877">
        <v>50</v>
      </c>
      <c r="AS182" s="877"/>
      <c r="AT182" s="348" t="s">
        <v>15568</v>
      </c>
      <c r="AU182" s="348"/>
      <c r="AV182" s="343"/>
      <c r="AW182" s="343"/>
      <c r="AX182" s="353">
        <f>ROUND(AR181,0)+ROUND(AR182,0)</f>
        <v>150</v>
      </c>
      <c r="AY182" s="333"/>
      <c r="BA182" s="377"/>
    </row>
    <row r="183" spans="1:53" ht="17.100000000000001" customHeight="1" x14ac:dyDescent="0.15">
      <c r="A183" s="340">
        <v>12</v>
      </c>
      <c r="B183" s="340">
        <v>6100</v>
      </c>
      <c r="C183" s="342" t="s">
        <v>15835</v>
      </c>
      <c r="D183" s="330" t="s">
        <v>15583</v>
      </c>
      <c r="E183" s="459"/>
      <c r="F183" s="460"/>
      <c r="G183" s="343"/>
      <c r="H183" s="343"/>
      <c r="I183" s="343"/>
      <c r="J183" s="343"/>
      <c r="K183" s="343"/>
      <c r="L183" s="343"/>
      <c r="M183" s="343"/>
      <c r="N183" s="343"/>
      <c r="O183" s="343"/>
      <c r="P183" s="343"/>
      <c r="Q183" s="343"/>
      <c r="R183" s="343"/>
      <c r="S183" s="343"/>
      <c r="T183" s="343"/>
      <c r="U183" s="343"/>
      <c r="V183" s="343"/>
      <c r="W183" s="343"/>
      <c r="X183" s="343"/>
      <c r="Y183" s="343"/>
      <c r="Z183" s="343"/>
      <c r="AA183" s="459"/>
      <c r="AB183" s="459"/>
      <c r="AC183" s="343"/>
      <c r="AD183" s="343"/>
      <c r="AE183" s="343"/>
      <c r="AF183" s="343"/>
      <c r="AG183" s="343"/>
      <c r="AH183" s="343"/>
      <c r="AI183" s="343"/>
      <c r="AJ183" s="343"/>
      <c r="AK183" s="343"/>
      <c r="AL183" s="343"/>
      <c r="AM183" s="343"/>
      <c r="AN183" s="343"/>
      <c r="AO183" s="343"/>
      <c r="AP183" s="343"/>
      <c r="AQ183" s="343"/>
      <c r="AR183" s="877">
        <v>100</v>
      </c>
      <c r="AS183" s="877"/>
      <c r="AT183" s="461" t="s">
        <v>15584</v>
      </c>
      <c r="AU183" s="343"/>
      <c r="AV183" s="343"/>
      <c r="AW183" s="343"/>
      <c r="AX183" s="353">
        <f>ROUND(AR183,0)</f>
        <v>100</v>
      </c>
      <c r="AY183" s="462" t="s">
        <v>15585</v>
      </c>
    </row>
    <row r="184" spans="1:53" ht="17.100000000000001" customHeight="1" x14ac:dyDescent="0.15">
      <c r="A184" s="340">
        <v>12</v>
      </c>
      <c r="B184" s="341">
        <v>6020</v>
      </c>
      <c r="C184" s="342" t="s">
        <v>15836</v>
      </c>
      <c r="D184" s="345" t="s">
        <v>15837</v>
      </c>
      <c r="E184" s="334"/>
      <c r="F184" s="457"/>
      <c r="G184" s="334"/>
      <c r="H184" s="334"/>
      <c r="I184" s="334"/>
      <c r="J184" s="343"/>
      <c r="K184" s="343"/>
      <c r="L184" s="343"/>
      <c r="M184" s="343"/>
      <c r="N184" s="343"/>
      <c r="O184" s="343"/>
      <c r="P184" s="343"/>
      <c r="Q184" s="343"/>
      <c r="R184" s="343"/>
      <c r="S184" s="343"/>
      <c r="T184" s="454"/>
      <c r="U184" s="454"/>
      <c r="V184" s="455"/>
      <c r="W184" s="456"/>
      <c r="X184" s="456"/>
      <c r="Y184" s="343"/>
      <c r="Z184" s="343"/>
      <c r="AA184" s="343"/>
      <c r="AB184" s="343"/>
      <c r="AC184" s="343"/>
      <c r="AD184" s="343"/>
      <c r="AE184" s="343"/>
      <c r="AF184" s="343"/>
      <c r="AG184" s="451"/>
      <c r="AH184" s="451"/>
      <c r="AI184" s="343"/>
      <c r="AJ184" s="343"/>
      <c r="AK184" s="343"/>
      <c r="AL184" s="343"/>
      <c r="AM184" s="343"/>
      <c r="AN184" s="343"/>
      <c r="AO184" s="343"/>
      <c r="AP184" s="343"/>
      <c r="AQ184" s="343"/>
      <c r="AR184" s="877">
        <v>200</v>
      </c>
      <c r="AS184" s="877"/>
      <c r="AT184" s="348" t="s">
        <v>15568</v>
      </c>
      <c r="AU184" s="348"/>
      <c r="AV184" s="343"/>
      <c r="AW184" s="343"/>
      <c r="AX184" s="353">
        <f>ROUND(AR184,0)</f>
        <v>200</v>
      </c>
      <c r="AY184" s="329" t="s">
        <v>15588</v>
      </c>
      <c r="BA184" s="377"/>
    </row>
    <row r="185" spans="1:53" ht="17.100000000000001" customHeight="1" x14ac:dyDescent="0.15">
      <c r="A185" s="340">
        <v>12</v>
      </c>
      <c r="B185" s="340">
        <v>5010</v>
      </c>
      <c r="C185" s="342" t="s">
        <v>15838</v>
      </c>
      <c r="D185" s="343" t="s">
        <v>15591</v>
      </c>
      <c r="E185" s="459"/>
      <c r="F185" s="460"/>
      <c r="G185" s="343"/>
      <c r="H185" s="343"/>
      <c r="I185" s="343"/>
      <c r="J185" s="343"/>
      <c r="K185" s="343"/>
      <c r="L185" s="343"/>
      <c r="M185" s="343"/>
      <c r="N185" s="343"/>
      <c r="O185" s="343"/>
      <c r="P185" s="343"/>
      <c r="Q185" s="343"/>
      <c r="R185" s="343"/>
      <c r="S185" s="343"/>
      <c r="T185" s="343"/>
      <c r="U185" s="343"/>
      <c r="V185" s="343"/>
      <c r="W185" s="343"/>
      <c r="X185" s="343"/>
      <c r="Y185" s="343"/>
      <c r="Z185" s="343"/>
      <c r="AA185" s="459"/>
      <c r="AB185" s="459"/>
      <c r="AC185" s="343"/>
      <c r="AD185" s="343"/>
      <c r="AE185" s="343"/>
      <c r="AF185" s="343"/>
      <c r="AG185" s="343"/>
      <c r="AH185" s="343"/>
      <c r="AI185" s="343"/>
      <c r="AJ185" s="343"/>
      <c r="AK185" s="343"/>
      <c r="AL185" s="343"/>
      <c r="AM185" s="343"/>
      <c r="AN185" s="343"/>
      <c r="AO185" s="343"/>
      <c r="AP185" s="343"/>
      <c r="AQ185" s="343"/>
      <c r="AR185" s="877">
        <v>150</v>
      </c>
      <c r="AS185" s="877"/>
      <c r="AT185" s="348" t="s">
        <v>15568</v>
      </c>
      <c r="AU185" s="348"/>
      <c r="AV185" s="343"/>
      <c r="AW185" s="343"/>
      <c r="AX185" s="353">
        <f>ROUND(AR185,0)</f>
        <v>150</v>
      </c>
      <c r="AY185" s="354"/>
    </row>
    <row r="186" spans="1:53" ht="17.100000000000001" customHeight="1" x14ac:dyDescent="0.15">
      <c r="A186" s="340">
        <v>12</v>
      </c>
      <c r="B186" s="340">
        <v>6720</v>
      </c>
      <c r="C186" s="342" t="s">
        <v>15839</v>
      </c>
      <c r="D186" s="343" t="s">
        <v>15840</v>
      </c>
      <c r="E186" s="459"/>
      <c r="F186" s="460"/>
      <c r="G186" s="343"/>
      <c r="H186" s="343"/>
      <c r="I186" s="343"/>
      <c r="J186" s="343"/>
      <c r="K186" s="343"/>
      <c r="L186" s="343"/>
      <c r="M186" s="343"/>
      <c r="N186" s="343"/>
      <c r="O186" s="343"/>
      <c r="P186" s="343"/>
      <c r="Q186" s="343"/>
      <c r="R186" s="343"/>
      <c r="S186" s="343"/>
      <c r="T186" s="343"/>
      <c r="U186" s="343"/>
      <c r="V186" s="343"/>
      <c r="W186" s="343"/>
      <c r="X186" s="343"/>
      <c r="Y186" s="343"/>
      <c r="Z186" s="343"/>
      <c r="AA186" s="459"/>
      <c r="AB186" s="459"/>
      <c r="AC186" s="343"/>
      <c r="AD186" s="343"/>
      <c r="AE186" s="343"/>
      <c r="AF186" s="343"/>
      <c r="AG186" s="343"/>
      <c r="AH186" s="343"/>
      <c r="AI186" s="343"/>
      <c r="AJ186" s="343"/>
      <c r="AK186" s="343"/>
      <c r="AL186" s="343"/>
      <c r="AM186" s="343"/>
      <c r="AN186" s="343"/>
      <c r="AO186" s="343"/>
      <c r="AP186" s="343"/>
      <c r="AQ186" s="343"/>
      <c r="AR186" s="877">
        <v>584</v>
      </c>
      <c r="AS186" s="877"/>
      <c r="AT186" s="348" t="s">
        <v>15568</v>
      </c>
      <c r="AU186" s="348"/>
      <c r="AV186" s="343"/>
      <c r="AW186" s="343"/>
      <c r="AX186" s="353">
        <f>ROUND(AR186,0)</f>
        <v>584</v>
      </c>
      <c r="AY186" s="336" t="s">
        <v>15589</v>
      </c>
    </row>
    <row r="187" spans="1:53" ht="17.100000000000001" customHeight="1" x14ac:dyDescent="0.15">
      <c r="A187" s="340">
        <v>12</v>
      </c>
      <c r="B187" s="340">
        <v>6725</v>
      </c>
      <c r="C187" s="342" t="s">
        <v>15841</v>
      </c>
      <c r="D187" s="343" t="s">
        <v>15842</v>
      </c>
      <c r="E187" s="463"/>
      <c r="F187" s="463"/>
      <c r="G187" s="343"/>
      <c r="H187" s="343"/>
      <c r="I187" s="343"/>
      <c r="J187" s="343"/>
      <c r="K187" s="343"/>
      <c r="L187" s="343"/>
      <c r="M187" s="343"/>
      <c r="N187" s="343"/>
      <c r="O187" s="343"/>
      <c r="P187" s="343"/>
      <c r="Q187" s="343"/>
      <c r="R187" s="343"/>
      <c r="S187" s="343"/>
      <c r="T187" s="343"/>
      <c r="U187" s="343"/>
      <c r="V187" s="343"/>
      <c r="W187" s="343"/>
      <c r="X187" s="343"/>
      <c r="Y187" s="343"/>
      <c r="Z187" s="343"/>
      <c r="AA187" s="459"/>
      <c r="AB187" s="459"/>
      <c r="AC187" s="343"/>
      <c r="AD187" s="343"/>
      <c r="AE187" s="343"/>
      <c r="AF187" s="343"/>
      <c r="AG187" s="343"/>
      <c r="AH187" s="343"/>
      <c r="AI187" s="343"/>
      <c r="AJ187" s="343"/>
      <c r="AK187" s="343"/>
      <c r="AL187" s="343"/>
      <c r="AM187" s="343"/>
      <c r="AN187" s="343"/>
      <c r="AO187" s="343"/>
      <c r="AP187" s="343"/>
      <c r="AQ187" s="343"/>
      <c r="AR187" s="877">
        <v>240</v>
      </c>
      <c r="AS187" s="877"/>
      <c r="AT187" s="348" t="s">
        <v>15568</v>
      </c>
      <c r="AU187" s="348"/>
      <c r="AV187" s="343"/>
      <c r="AW187" s="343"/>
      <c r="AX187" s="353">
        <f t="shared" si="0"/>
        <v>240</v>
      </c>
      <c r="AY187" s="336" t="s">
        <v>15564</v>
      </c>
    </row>
    <row r="188" spans="1:53" ht="17.100000000000001" customHeight="1" x14ac:dyDescent="0.15">
      <c r="A188" s="340">
        <v>12</v>
      </c>
      <c r="B188" s="341">
        <v>6715</v>
      </c>
      <c r="C188" s="342" t="s">
        <v>15843</v>
      </c>
      <c r="D188" s="830" t="s">
        <v>15596</v>
      </c>
      <c r="E188" s="878"/>
      <c r="F188" s="878"/>
      <c r="G188" s="878"/>
      <c r="H188" s="879"/>
      <c r="I188" s="338" t="s">
        <v>15597</v>
      </c>
      <c r="J188" s="343"/>
      <c r="K188" s="343"/>
      <c r="L188" s="343"/>
      <c r="M188" s="343"/>
      <c r="N188" s="343"/>
      <c r="O188" s="343"/>
      <c r="P188" s="343"/>
      <c r="Q188" s="343"/>
      <c r="R188" s="343"/>
      <c r="S188" s="343"/>
      <c r="T188" s="454"/>
      <c r="U188" s="454"/>
      <c r="V188" s="455"/>
      <c r="W188" s="456"/>
      <c r="X188" s="456"/>
      <c r="Y188" s="343"/>
      <c r="Z188" s="343"/>
      <c r="AA188" s="343"/>
      <c r="AB188" s="343"/>
      <c r="AC188" s="343"/>
      <c r="AD188" s="343"/>
      <c r="AE188" s="343"/>
      <c r="AF188" s="343"/>
      <c r="AG188" s="343"/>
      <c r="AH188" s="451"/>
      <c r="AI188" s="449"/>
      <c r="AJ188" s="368"/>
      <c r="AK188" s="368"/>
      <c r="AL188" s="460"/>
      <c r="AM188" s="449"/>
      <c r="AN188" s="449"/>
      <c r="AO188" s="449"/>
      <c r="AP188" s="449"/>
      <c r="AQ188" s="464"/>
      <c r="AR188" s="460"/>
      <c r="AS188" s="331"/>
      <c r="AT188" s="348" t="s">
        <v>15568</v>
      </c>
      <c r="AU188" s="348"/>
      <c r="AV188" s="343"/>
      <c r="AW188" s="343"/>
      <c r="AX188" s="353"/>
      <c r="AY188" s="339" t="s">
        <v>15598</v>
      </c>
      <c r="BA188" s="377"/>
    </row>
    <row r="189" spans="1:53" ht="17.100000000000001" customHeight="1" x14ac:dyDescent="0.15">
      <c r="A189" s="340">
        <v>12</v>
      </c>
      <c r="B189" s="341">
        <v>6710</v>
      </c>
      <c r="C189" s="342" t="s">
        <v>15844</v>
      </c>
      <c r="D189" s="880"/>
      <c r="E189" s="881"/>
      <c r="F189" s="881"/>
      <c r="G189" s="881"/>
      <c r="H189" s="882"/>
      <c r="I189" s="338" t="s">
        <v>15600</v>
      </c>
      <c r="J189" s="343"/>
      <c r="K189" s="343"/>
      <c r="L189" s="343"/>
      <c r="M189" s="343"/>
      <c r="N189" s="343"/>
      <c r="O189" s="343"/>
      <c r="P189" s="343"/>
      <c r="Q189" s="343"/>
      <c r="R189" s="343"/>
      <c r="S189" s="343"/>
      <c r="T189" s="454"/>
      <c r="U189" s="454"/>
      <c r="V189" s="455"/>
      <c r="W189" s="456"/>
      <c r="X189" s="456"/>
      <c r="Y189" s="343"/>
      <c r="Z189" s="343"/>
      <c r="AA189" s="343"/>
      <c r="AB189" s="343"/>
      <c r="AC189" s="343"/>
      <c r="AD189" s="343"/>
      <c r="AE189" s="343"/>
      <c r="AF189" s="343"/>
      <c r="AG189" s="343"/>
      <c r="AH189" s="451"/>
      <c r="AI189" s="449"/>
      <c r="AJ189" s="368"/>
      <c r="AK189" s="368"/>
      <c r="AL189" s="451"/>
      <c r="AM189" s="449"/>
      <c r="AN189" s="449"/>
      <c r="AO189" s="449"/>
      <c r="AP189" s="449"/>
      <c r="AQ189" s="368"/>
      <c r="AR189" s="368"/>
      <c r="AS189" s="331"/>
      <c r="AT189" s="348" t="s">
        <v>15568</v>
      </c>
      <c r="AU189" s="348"/>
      <c r="AV189" s="343"/>
      <c r="AW189" s="343"/>
      <c r="AX189" s="335"/>
      <c r="AY189" s="339"/>
      <c r="BA189" s="377"/>
    </row>
    <row r="190" spans="1:53" ht="17.100000000000001" customHeight="1" x14ac:dyDescent="0.15">
      <c r="A190" s="340">
        <v>12</v>
      </c>
      <c r="B190" s="341">
        <v>6665</v>
      </c>
      <c r="C190" s="342" t="s">
        <v>15845</v>
      </c>
      <c r="D190" s="880"/>
      <c r="E190" s="881"/>
      <c r="F190" s="881"/>
      <c r="G190" s="881"/>
      <c r="H190" s="882"/>
      <c r="I190" s="338" t="s">
        <v>15602</v>
      </c>
      <c r="J190" s="343"/>
      <c r="K190" s="343"/>
      <c r="L190" s="343"/>
      <c r="M190" s="343"/>
      <c r="N190" s="343"/>
      <c r="O190" s="343"/>
      <c r="P190" s="343"/>
      <c r="Q190" s="343"/>
      <c r="R190" s="343"/>
      <c r="S190" s="343"/>
      <c r="T190" s="454"/>
      <c r="U190" s="454"/>
      <c r="V190" s="455"/>
      <c r="W190" s="456"/>
      <c r="X190" s="456"/>
      <c r="Y190" s="343"/>
      <c r="Z190" s="343"/>
      <c r="AA190" s="343"/>
      <c r="AB190" s="343"/>
      <c r="AC190" s="343"/>
      <c r="AD190" s="343"/>
      <c r="AE190" s="343"/>
      <c r="AF190" s="343"/>
      <c r="AG190" s="343"/>
      <c r="AH190" s="451"/>
      <c r="AI190" s="449"/>
      <c r="AJ190" s="368"/>
      <c r="AK190" s="368"/>
      <c r="AL190" s="460"/>
      <c r="AM190" s="449"/>
      <c r="AN190" s="449"/>
      <c r="AO190" s="449"/>
      <c r="AP190" s="449"/>
      <c r="AQ190" s="464"/>
      <c r="AR190" s="460"/>
      <c r="AS190" s="331"/>
      <c r="AT190" s="348" t="s">
        <v>15568</v>
      </c>
      <c r="AU190" s="348"/>
      <c r="AV190" s="343"/>
      <c r="AW190" s="343"/>
      <c r="AX190" s="353"/>
      <c r="AY190" s="339"/>
      <c r="BA190" s="377"/>
    </row>
    <row r="191" spans="1:53" ht="17.100000000000001" customHeight="1" x14ac:dyDescent="0.15">
      <c r="A191" s="311">
        <v>12</v>
      </c>
      <c r="B191" s="312">
        <v>6670</v>
      </c>
      <c r="C191" s="465" t="s">
        <v>15846</v>
      </c>
      <c r="D191" s="423"/>
      <c r="E191" s="424"/>
      <c r="F191" s="405"/>
      <c r="G191" s="424"/>
      <c r="H191" s="425"/>
      <c r="I191" s="360" t="s">
        <v>15604</v>
      </c>
      <c r="J191" s="315"/>
      <c r="K191" s="315"/>
      <c r="L191" s="315"/>
      <c r="M191" s="315"/>
      <c r="N191" s="315"/>
      <c r="O191" s="315"/>
      <c r="P191" s="315"/>
      <c r="Q191" s="315"/>
      <c r="R191" s="315"/>
      <c r="S191" s="315"/>
      <c r="T191" s="440"/>
      <c r="U191" s="440"/>
      <c r="V191" s="441"/>
      <c r="W191" s="442"/>
      <c r="X191" s="442"/>
      <c r="Y191" s="315"/>
      <c r="Z191" s="315"/>
      <c r="AA191" s="315"/>
      <c r="AB191" s="315"/>
      <c r="AC191" s="315"/>
      <c r="AD191" s="315"/>
      <c r="AE191" s="315"/>
      <c r="AF191" s="315"/>
      <c r="AG191" s="315"/>
      <c r="AH191" s="443"/>
      <c r="AI191" s="466"/>
      <c r="AJ191" s="365"/>
      <c r="AK191" s="365"/>
      <c r="AL191" s="467"/>
      <c r="AM191" s="466"/>
      <c r="AN191" s="466"/>
      <c r="AO191" s="466"/>
      <c r="AP191" s="466"/>
      <c r="AQ191" s="468"/>
      <c r="AR191" s="467"/>
      <c r="AS191" s="317"/>
      <c r="AT191" s="444" t="s">
        <v>15568</v>
      </c>
      <c r="AU191" s="444"/>
      <c r="AV191" s="315"/>
      <c r="AW191" s="315"/>
      <c r="AX191" s="362"/>
      <c r="AY191" s="339"/>
      <c r="BA191" s="377"/>
    </row>
    <row r="192" spans="1:53" ht="17.100000000000001" customHeight="1" x14ac:dyDescent="0.15">
      <c r="A192" s="311">
        <v>12</v>
      </c>
      <c r="B192" s="312">
        <v>6675</v>
      </c>
      <c r="C192" s="313" t="s">
        <v>15847</v>
      </c>
      <c r="D192" s="469"/>
      <c r="E192" s="470"/>
      <c r="F192" s="421"/>
      <c r="G192" s="470"/>
      <c r="H192" s="471"/>
      <c r="I192" s="360" t="s">
        <v>15606</v>
      </c>
      <c r="J192" s="315"/>
      <c r="K192" s="315"/>
      <c r="L192" s="315"/>
      <c r="M192" s="315"/>
      <c r="N192" s="315"/>
      <c r="O192" s="315"/>
      <c r="P192" s="315"/>
      <c r="Q192" s="315"/>
      <c r="R192" s="315"/>
      <c r="S192" s="315"/>
      <c r="T192" s="440"/>
      <c r="U192" s="440"/>
      <c r="V192" s="441"/>
      <c r="W192" s="442"/>
      <c r="X192" s="442"/>
      <c r="Y192" s="315"/>
      <c r="Z192" s="315"/>
      <c r="AA192" s="315"/>
      <c r="AB192" s="315"/>
      <c r="AC192" s="315"/>
      <c r="AD192" s="315"/>
      <c r="AE192" s="315"/>
      <c r="AF192" s="315"/>
      <c r="AG192" s="315"/>
      <c r="AH192" s="443"/>
      <c r="AI192" s="466"/>
      <c r="AJ192" s="365"/>
      <c r="AK192" s="365"/>
      <c r="AL192" s="467"/>
      <c r="AM192" s="466"/>
      <c r="AN192" s="466"/>
      <c r="AO192" s="466"/>
      <c r="AP192" s="466"/>
      <c r="AQ192" s="468"/>
      <c r="AR192" s="467"/>
      <c r="AS192" s="317"/>
      <c r="AT192" s="444" t="s">
        <v>15568</v>
      </c>
      <c r="AU192" s="444"/>
      <c r="AV192" s="315"/>
      <c r="AW192" s="315"/>
      <c r="AX192" s="362"/>
      <c r="AY192" s="339"/>
      <c r="BA192" s="377"/>
    </row>
    <row r="193" spans="1:51" ht="17.100000000000001" customHeight="1" x14ac:dyDescent="0.15">
      <c r="A193" s="311">
        <v>12</v>
      </c>
      <c r="B193" s="311">
        <v>6685</v>
      </c>
      <c r="C193" s="313" t="s">
        <v>15848</v>
      </c>
      <c r="D193" s="314" t="s">
        <v>15608</v>
      </c>
      <c r="E193" s="472"/>
      <c r="F193" s="467"/>
      <c r="G193" s="315"/>
      <c r="H193" s="315"/>
      <c r="I193" s="364"/>
      <c r="J193" s="315"/>
      <c r="K193" s="315"/>
      <c r="L193" s="315"/>
      <c r="M193" s="315"/>
      <c r="N193" s="315"/>
      <c r="O193" s="315"/>
      <c r="P193" s="315"/>
      <c r="Q193" s="315"/>
      <c r="R193" s="315"/>
      <c r="S193" s="315"/>
      <c r="T193" s="315"/>
      <c r="U193" s="315"/>
      <c r="V193" s="315"/>
      <c r="W193" s="315"/>
      <c r="X193" s="315"/>
      <c r="Y193" s="315"/>
      <c r="Z193" s="315"/>
      <c r="AA193" s="472"/>
      <c r="AB193" s="472"/>
      <c r="AC193" s="315"/>
      <c r="AD193" s="315"/>
      <c r="AE193" s="315"/>
      <c r="AF193" s="315"/>
      <c r="AG193" s="315"/>
      <c r="AH193" s="315"/>
      <c r="AI193" s="315"/>
      <c r="AJ193" s="315"/>
      <c r="AK193" s="443"/>
      <c r="AL193" s="315"/>
      <c r="AM193" s="466"/>
      <c r="AN193" s="466"/>
      <c r="AO193" s="466"/>
      <c r="AP193" s="466"/>
      <c r="AQ193" s="365"/>
      <c r="AR193" s="365"/>
      <c r="AS193" s="317"/>
      <c r="AT193" s="473" t="s">
        <v>15584</v>
      </c>
      <c r="AU193" s="315"/>
      <c r="AV193" s="315"/>
      <c r="AW193" s="315"/>
      <c r="AX193" s="362"/>
      <c r="AY193" s="354"/>
    </row>
    <row r="194" spans="1:51" ht="17.100000000000001" customHeight="1" x14ac:dyDescent="0.15">
      <c r="A194" s="340">
        <v>12</v>
      </c>
      <c r="B194" s="341">
        <v>6772</v>
      </c>
      <c r="C194" s="342" t="s">
        <v>15849</v>
      </c>
      <c r="D194" s="830" t="s">
        <v>15850</v>
      </c>
      <c r="E194" s="878"/>
      <c r="F194" s="883"/>
      <c r="G194" s="878"/>
      <c r="H194" s="879"/>
      <c r="I194" s="474" t="s">
        <v>15851</v>
      </c>
      <c r="J194" s="343"/>
      <c r="K194" s="343"/>
      <c r="L194" s="454"/>
      <c r="M194" s="454"/>
      <c r="N194" s="455"/>
      <c r="O194" s="456"/>
      <c r="P194" s="456"/>
      <c r="Q194" s="343"/>
      <c r="R194" s="343"/>
      <c r="S194" s="343"/>
      <c r="T194" s="459"/>
      <c r="U194" s="343"/>
      <c r="V194" s="343"/>
      <c r="W194" s="343"/>
      <c r="X194" s="343"/>
      <c r="Y194" s="343"/>
      <c r="Z194" s="343"/>
      <c r="AA194" s="343"/>
      <c r="AB194" s="343"/>
      <c r="AC194" s="343"/>
      <c r="AD194" s="343"/>
      <c r="AE194" s="343"/>
      <c r="AF194" s="343"/>
      <c r="AG194" s="343"/>
      <c r="AH194" s="451"/>
      <c r="AI194" s="449"/>
      <c r="AJ194" s="368"/>
      <c r="AK194" s="368"/>
      <c r="AL194" s="460"/>
      <c r="AM194" s="449"/>
      <c r="AN194" s="449"/>
      <c r="AO194" s="449"/>
      <c r="AP194" s="449"/>
      <c r="AQ194" s="464"/>
      <c r="AR194" s="460"/>
      <c r="AS194" s="331"/>
      <c r="AT194" s="348" t="s">
        <v>15568</v>
      </c>
      <c r="AU194" s="348"/>
      <c r="AV194" s="343"/>
      <c r="AW194" s="343"/>
      <c r="AX194" s="353"/>
      <c r="AY194" s="339"/>
    </row>
    <row r="195" spans="1:51" ht="17.100000000000001" customHeight="1" x14ac:dyDescent="0.15">
      <c r="A195" s="340">
        <v>12</v>
      </c>
      <c r="B195" s="341">
        <v>6773</v>
      </c>
      <c r="C195" s="342" t="s">
        <v>15852</v>
      </c>
      <c r="D195" s="831"/>
      <c r="E195" s="884"/>
      <c r="F195" s="885"/>
      <c r="G195" s="884"/>
      <c r="H195" s="886"/>
      <c r="I195" s="338" t="s">
        <v>15853</v>
      </c>
      <c r="J195" s="343"/>
      <c r="K195" s="343"/>
      <c r="L195" s="343"/>
      <c r="M195" s="343"/>
      <c r="N195" s="343"/>
      <c r="O195" s="343"/>
      <c r="P195" s="343"/>
      <c r="Q195" s="343"/>
      <c r="R195" s="343"/>
      <c r="S195" s="459"/>
      <c r="T195" s="459"/>
      <c r="U195" s="343"/>
      <c r="V195" s="343"/>
      <c r="W195" s="343"/>
      <c r="X195" s="343"/>
      <c r="Y195" s="343"/>
      <c r="Z195" s="343"/>
      <c r="AA195" s="459"/>
      <c r="AB195" s="459"/>
      <c r="AC195" s="343"/>
      <c r="AD195" s="343"/>
      <c r="AE195" s="343"/>
      <c r="AF195" s="343"/>
      <c r="AG195" s="343"/>
      <c r="AH195" s="343"/>
      <c r="AI195" s="343"/>
      <c r="AJ195" s="343"/>
      <c r="AK195" s="451"/>
      <c r="AL195" s="343"/>
      <c r="AM195" s="449"/>
      <c r="AN195" s="449"/>
      <c r="AO195" s="449"/>
      <c r="AP195" s="449"/>
      <c r="AQ195" s="368"/>
      <c r="AR195" s="368"/>
      <c r="AS195" s="331"/>
      <c r="AT195" s="461" t="s">
        <v>15584</v>
      </c>
      <c r="AU195" s="343"/>
      <c r="AV195" s="343"/>
      <c r="AW195" s="343"/>
      <c r="AX195" s="353"/>
      <c r="AY195" s="354"/>
    </row>
    <row r="196" spans="1:51" ht="17.100000000000001" customHeight="1" x14ac:dyDescent="0.15">
      <c r="A196" s="369">
        <v>12</v>
      </c>
      <c r="B196" s="475">
        <v>6766</v>
      </c>
      <c r="C196" s="476" t="s">
        <v>15854</v>
      </c>
      <c r="D196" s="371" t="s">
        <v>15615</v>
      </c>
      <c r="E196" s="477"/>
      <c r="F196" s="478"/>
      <c r="G196" s="477"/>
      <c r="H196" s="477"/>
      <c r="I196" s="479"/>
      <c r="J196" s="372"/>
      <c r="K196" s="372"/>
      <c r="L196" s="372"/>
      <c r="M196" s="372"/>
      <c r="N196" s="372"/>
      <c r="O196" s="372"/>
      <c r="P196" s="372"/>
      <c r="Q196" s="372"/>
      <c r="R196" s="372"/>
      <c r="S196" s="480"/>
      <c r="T196" s="480"/>
      <c r="U196" s="372"/>
      <c r="V196" s="372"/>
      <c r="W196" s="372"/>
      <c r="X196" s="372"/>
      <c r="Y196" s="372"/>
      <c r="Z196" s="372"/>
      <c r="AA196" s="480"/>
      <c r="AB196" s="480"/>
      <c r="AC196" s="372"/>
      <c r="AD196" s="372"/>
      <c r="AE196" s="372"/>
      <c r="AF196" s="372"/>
      <c r="AG196" s="372"/>
      <c r="AH196" s="372"/>
      <c r="AI196" s="372"/>
      <c r="AJ196" s="372"/>
      <c r="AK196" s="481"/>
      <c r="AL196" s="372"/>
      <c r="AM196" s="482"/>
      <c r="AN196" s="482"/>
      <c r="AO196" s="482"/>
      <c r="AP196" s="482"/>
      <c r="AQ196" s="483"/>
      <c r="AR196" s="483"/>
      <c r="AS196" s="484"/>
      <c r="AT196" s="485" t="s">
        <v>15584</v>
      </c>
      <c r="AU196" s="372"/>
      <c r="AV196" s="372"/>
      <c r="AW196" s="372"/>
      <c r="AX196" s="486"/>
      <c r="AY196" s="487"/>
    </row>
    <row r="198" spans="1:51" ht="17.100000000000001" customHeight="1" x14ac:dyDescent="0.15">
      <c r="AR198" s="151"/>
      <c r="AS198" s="377"/>
      <c r="AT198" s="151"/>
      <c r="AV198" s="151"/>
    </row>
  </sheetData>
  <mergeCells count="192">
    <mergeCell ref="AR185:AS185"/>
    <mergeCell ref="AR186:AS186"/>
    <mergeCell ref="AR187:AS187"/>
    <mergeCell ref="D188:H190"/>
    <mergeCell ref="D194:H195"/>
    <mergeCell ref="AR180:AS180"/>
    <mergeCell ref="D181:H182"/>
    <mergeCell ref="AR181:AS181"/>
    <mergeCell ref="AR182:AS182"/>
    <mergeCell ref="AR183:AS183"/>
    <mergeCell ref="AR184:AS184"/>
    <mergeCell ref="AN174:AO174"/>
    <mergeCell ref="AV174:AW174"/>
    <mergeCell ref="AR175:AS175"/>
    <mergeCell ref="AR176:AS176"/>
    <mergeCell ref="D177:H179"/>
    <mergeCell ref="AR177:AS177"/>
    <mergeCell ref="U168:W168"/>
    <mergeCell ref="AN168:AO168"/>
    <mergeCell ref="AN170:AO170"/>
    <mergeCell ref="AV170:AW170"/>
    <mergeCell ref="U172:W172"/>
    <mergeCell ref="AN172:AO172"/>
    <mergeCell ref="AN162:AO162"/>
    <mergeCell ref="AV162:AW162"/>
    <mergeCell ref="U164:W164"/>
    <mergeCell ref="AN164:AO164"/>
    <mergeCell ref="AN166:AO166"/>
    <mergeCell ref="AV166:AW166"/>
    <mergeCell ref="U156:W156"/>
    <mergeCell ref="AN156:AO156"/>
    <mergeCell ref="AN158:AO158"/>
    <mergeCell ref="AV158:AW158"/>
    <mergeCell ref="U160:W160"/>
    <mergeCell ref="AN160:AO160"/>
    <mergeCell ref="AN150:AO150"/>
    <mergeCell ref="AV150:AW150"/>
    <mergeCell ref="D151:H154"/>
    <mergeCell ref="U152:W152"/>
    <mergeCell ref="AN152:AO152"/>
    <mergeCell ref="AN154:AO154"/>
    <mergeCell ref="AV154:AW154"/>
    <mergeCell ref="U144:W144"/>
    <mergeCell ref="AN144:AO144"/>
    <mergeCell ref="AN146:AO146"/>
    <mergeCell ref="AV146:AW146"/>
    <mergeCell ref="U148:W148"/>
    <mergeCell ref="AN148:AO148"/>
    <mergeCell ref="AN138:AO138"/>
    <mergeCell ref="AV138:AW138"/>
    <mergeCell ref="U140:W140"/>
    <mergeCell ref="AN140:AO140"/>
    <mergeCell ref="AN142:AO142"/>
    <mergeCell ref="AV142:AW142"/>
    <mergeCell ref="U132:W132"/>
    <mergeCell ref="AN132:AO132"/>
    <mergeCell ref="AN134:AO134"/>
    <mergeCell ref="AV134:AW134"/>
    <mergeCell ref="U136:W136"/>
    <mergeCell ref="AN136:AO136"/>
    <mergeCell ref="AN126:AO126"/>
    <mergeCell ref="AV126:AW126"/>
    <mergeCell ref="U128:W128"/>
    <mergeCell ref="AN128:AO128"/>
    <mergeCell ref="AN130:AO130"/>
    <mergeCell ref="AV130:AW130"/>
    <mergeCell ref="U120:W120"/>
    <mergeCell ref="AN120:AO120"/>
    <mergeCell ref="AN122:AO122"/>
    <mergeCell ref="AV122:AW122"/>
    <mergeCell ref="U124:W124"/>
    <mergeCell ref="AN124:AO124"/>
    <mergeCell ref="AN114:AO114"/>
    <mergeCell ref="AV114:AW114"/>
    <mergeCell ref="U116:W116"/>
    <mergeCell ref="AN116:AO116"/>
    <mergeCell ref="AN118:AO118"/>
    <mergeCell ref="AV118:AW118"/>
    <mergeCell ref="U108:W108"/>
    <mergeCell ref="AN108:AO108"/>
    <mergeCell ref="AN110:AO110"/>
    <mergeCell ref="AV110:AW110"/>
    <mergeCell ref="U112:W112"/>
    <mergeCell ref="AN112:AO112"/>
    <mergeCell ref="U100:W100"/>
    <mergeCell ref="AN100:AO100"/>
    <mergeCell ref="AN102:AO102"/>
    <mergeCell ref="AV102:AW102"/>
    <mergeCell ref="D103:H106"/>
    <mergeCell ref="U104:W104"/>
    <mergeCell ref="AN104:AO104"/>
    <mergeCell ref="AN106:AO106"/>
    <mergeCell ref="AV106:AW106"/>
    <mergeCell ref="AN94:AO94"/>
    <mergeCell ref="AV94:AW94"/>
    <mergeCell ref="U96:W96"/>
    <mergeCell ref="AN96:AO96"/>
    <mergeCell ref="AN98:AO98"/>
    <mergeCell ref="AV98:AW98"/>
    <mergeCell ref="U88:W88"/>
    <mergeCell ref="AN88:AO88"/>
    <mergeCell ref="AN90:AO90"/>
    <mergeCell ref="AV90:AW90"/>
    <mergeCell ref="U92:W92"/>
    <mergeCell ref="AN92:AO92"/>
    <mergeCell ref="AN82:AO82"/>
    <mergeCell ref="AV82:AW82"/>
    <mergeCell ref="U84:W84"/>
    <mergeCell ref="AN84:AO84"/>
    <mergeCell ref="AN86:AO86"/>
    <mergeCell ref="AV86:AW86"/>
    <mergeCell ref="U76:W76"/>
    <mergeCell ref="AN76:AO76"/>
    <mergeCell ref="AN78:AO78"/>
    <mergeCell ref="AV78:AW78"/>
    <mergeCell ref="U80:W80"/>
    <mergeCell ref="AN80:AO80"/>
    <mergeCell ref="AN70:AO70"/>
    <mergeCell ref="AV70:AW70"/>
    <mergeCell ref="U72:W72"/>
    <mergeCell ref="AN72:AO72"/>
    <mergeCell ref="AN74:AO74"/>
    <mergeCell ref="AV74:AW74"/>
    <mergeCell ref="U64:W64"/>
    <mergeCell ref="AN64:AO64"/>
    <mergeCell ref="AN66:AO66"/>
    <mergeCell ref="AV66:AW66"/>
    <mergeCell ref="U68:W68"/>
    <mergeCell ref="AN68:AO68"/>
    <mergeCell ref="D59:H60"/>
    <mergeCell ref="U60:W60"/>
    <mergeCell ref="AN60:AO60"/>
    <mergeCell ref="F61:H61"/>
    <mergeCell ref="AN62:AO62"/>
    <mergeCell ref="AV62:AW62"/>
    <mergeCell ref="U52:W52"/>
    <mergeCell ref="AN52:AO52"/>
    <mergeCell ref="AN54:AO54"/>
    <mergeCell ref="AV54:AW54"/>
    <mergeCell ref="D55:H58"/>
    <mergeCell ref="U56:W56"/>
    <mergeCell ref="AN56:AO56"/>
    <mergeCell ref="AN58:AO58"/>
    <mergeCell ref="AV58:AW58"/>
    <mergeCell ref="AN46:AO46"/>
    <mergeCell ref="AV46:AW46"/>
    <mergeCell ref="U48:W48"/>
    <mergeCell ref="AN48:AO48"/>
    <mergeCell ref="AN50:AO50"/>
    <mergeCell ref="AV50:AW50"/>
    <mergeCell ref="U40:W40"/>
    <mergeCell ref="AN40:AO40"/>
    <mergeCell ref="AN42:AO42"/>
    <mergeCell ref="AV42:AW42"/>
    <mergeCell ref="U44:W44"/>
    <mergeCell ref="AN44:AO44"/>
    <mergeCell ref="AN34:AO34"/>
    <mergeCell ref="AV34:AW34"/>
    <mergeCell ref="U36:W36"/>
    <mergeCell ref="AN36:AO36"/>
    <mergeCell ref="AN38:AO38"/>
    <mergeCell ref="AV38:AW38"/>
    <mergeCell ref="U28:W28"/>
    <mergeCell ref="AN28:AO28"/>
    <mergeCell ref="AN30:AO30"/>
    <mergeCell ref="AV30:AW30"/>
    <mergeCell ref="U32:W32"/>
    <mergeCell ref="AN32:AO32"/>
    <mergeCell ref="AN22:AO22"/>
    <mergeCell ref="AV22:AW22"/>
    <mergeCell ref="U24:W24"/>
    <mergeCell ref="AN24:AO24"/>
    <mergeCell ref="AN26:AO26"/>
    <mergeCell ref="AV26:AW26"/>
    <mergeCell ref="U16:W16"/>
    <mergeCell ref="AN16:AO16"/>
    <mergeCell ref="AN18:AO18"/>
    <mergeCell ref="AV18:AW18"/>
    <mergeCell ref="U20:W20"/>
    <mergeCell ref="AN20:AO20"/>
    <mergeCell ref="D11:H12"/>
    <mergeCell ref="U12:W12"/>
    <mergeCell ref="AN12:AO12"/>
    <mergeCell ref="F13:H13"/>
    <mergeCell ref="AN14:AO14"/>
    <mergeCell ref="AV14:AW14"/>
    <mergeCell ref="D5:AW5"/>
    <mergeCell ref="D7:H10"/>
    <mergeCell ref="U8:W8"/>
    <mergeCell ref="AN8:AO8"/>
    <mergeCell ref="AN10:AO10"/>
    <mergeCell ref="AV10:AW10"/>
  </mergeCells>
  <phoneticPr fontId="1"/>
  <printOptions horizontalCentered="1"/>
  <pageMargins left="0.39370078740157483" right="0.19685039370078741" top="0.78740157480314965" bottom="0.59055118110236227" header="0.51181102362204722" footer="0.31496062992125984"/>
  <pageSetup paperSize="9" scale="52" orientation="portrait" r:id="rId1"/>
  <headerFooter>
    <oddHeader>&amp;R&amp;9重度訪問介護</oddHeader>
    <oddFooter>&amp;C&amp;14&amp;P</oddFooter>
  </headerFooter>
  <rowBreaks count="3" manualBreakCount="3">
    <brk id="54" max="50" man="1"/>
    <brk id="102" max="50" man="1"/>
    <brk id="174" max="50"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3">
    <pageSetUpPr autoPageBreaks="0"/>
  </sheetPr>
  <dimension ref="A1:AY151"/>
  <sheetViews>
    <sheetView view="pageBreakPreview" zoomScaleNormal="100" zoomScaleSheetLayoutView="100" workbookViewId="0"/>
  </sheetViews>
  <sheetFormatPr defaultColWidth="9" defaultRowHeight="13.5" x14ac:dyDescent="0.15"/>
  <cols>
    <col min="1" max="1" width="4.5" style="151" customWidth="1"/>
    <col min="2" max="2" width="7.5" style="151" customWidth="1"/>
    <col min="3" max="3" width="30.5" style="151" customWidth="1"/>
    <col min="4" max="19" width="2.5" style="152" customWidth="1"/>
    <col min="20" max="21" width="3.125" style="152" customWidth="1"/>
    <col min="22" max="46" width="2.5" style="152" customWidth="1"/>
    <col min="47" max="47" width="2.5" style="151" customWidth="1"/>
    <col min="48" max="48" width="2.5" style="377" customWidth="1"/>
    <col min="49" max="49" width="2.5" style="151" customWidth="1"/>
    <col min="50" max="50" width="7.125" style="151" customWidth="1"/>
    <col min="51" max="51" width="8.5" style="151" customWidth="1"/>
    <col min="52" max="16384" width="9" style="151"/>
  </cols>
  <sheetData>
    <row r="1" spans="1:51" ht="17.100000000000001" customHeight="1" x14ac:dyDescent="0.15">
      <c r="A1" s="376"/>
    </row>
    <row r="2" spans="1:51" ht="17.100000000000001" customHeight="1" x14ac:dyDescent="0.15">
      <c r="A2" s="376"/>
    </row>
    <row r="3" spans="1:51" ht="17.100000000000001" customHeight="1" x14ac:dyDescent="0.15">
      <c r="A3" s="376"/>
    </row>
    <row r="4" spans="1:51" ht="17.100000000000001" customHeight="1" x14ac:dyDescent="0.15">
      <c r="B4" s="17" t="s">
        <v>15855</v>
      </c>
    </row>
    <row r="5" spans="1:51" s="309" customFormat="1" ht="17.100000000000001" customHeight="1" x14ac:dyDescent="0.15">
      <c r="A5" s="300" t="s">
        <v>15540</v>
      </c>
      <c r="B5" s="301"/>
      <c r="C5" s="302" t="s">
        <v>15541</v>
      </c>
      <c r="D5" s="890" t="s">
        <v>15618</v>
      </c>
      <c r="E5" s="891"/>
      <c r="F5" s="891"/>
      <c r="G5" s="891"/>
      <c r="H5" s="891"/>
      <c r="I5" s="891"/>
      <c r="J5" s="891"/>
      <c r="K5" s="891"/>
      <c r="L5" s="891"/>
      <c r="M5" s="891"/>
      <c r="N5" s="891"/>
      <c r="O5" s="891"/>
      <c r="P5" s="891"/>
      <c r="Q5" s="891"/>
      <c r="R5" s="891"/>
      <c r="S5" s="891"/>
      <c r="T5" s="891"/>
      <c r="U5" s="891"/>
      <c r="V5" s="891"/>
      <c r="W5" s="891"/>
      <c r="X5" s="891"/>
      <c r="Y5" s="891"/>
      <c r="Z5" s="891"/>
      <c r="AA5" s="891"/>
      <c r="AB5" s="891"/>
      <c r="AC5" s="891"/>
      <c r="AD5" s="891"/>
      <c r="AE5" s="891"/>
      <c r="AF5" s="891"/>
      <c r="AG5" s="891"/>
      <c r="AH5" s="891"/>
      <c r="AI5" s="891"/>
      <c r="AJ5" s="891"/>
      <c r="AK5" s="891"/>
      <c r="AL5" s="891"/>
      <c r="AM5" s="891"/>
      <c r="AN5" s="891"/>
      <c r="AO5" s="891"/>
      <c r="AP5" s="891"/>
      <c r="AQ5" s="891"/>
      <c r="AR5" s="891"/>
      <c r="AS5" s="891"/>
      <c r="AT5" s="891"/>
      <c r="AU5" s="891"/>
      <c r="AV5" s="891"/>
      <c r="AW5" s="892"/>
      <c r="AX5" s="306" t="s">
        <v>15543</v>
      </c>
      <c r="AY5" s="378" t="s">
        <v>15544</v>
      </c>
    </row>
    <row r="6" spans="1:51" s="309" customFormat="1" ht="17.100000000000001" customHeight="1" x14ac:dyDescent="0.15">
      <c r="A6" s="379" t="s">
        <v>15545</v>
      </c>
      <c r="B6" s="380" t="s">
        <v>15546</v>
      </c>
      <c r="C6" s="381"/>
      <c r="D6" s="382"/>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c r="AT6" s="383"/>
      <c r="AU6" s="383"/>
      <c r="AV6" s="383"/>
      <c r="AW6" s="383"/>
      <c r="AX6" s="384" t="s">
        <v>391</v>
      </c>
      <c r="AY6" s="385" t="s">
        <v>392</v>
      </c>
    </row>
    <row r="7" spans="1:51" ht="17.100000000000001" customHeight="1" x14ac:dyDescent="0.15">
      <c r="A7" s="321">
        <v>12</v>
      </c>
      <c r="B7" s="322">
        <v>2171</v>
      </c>
      <c r="C7" s="386" t="s">
        <v>15856</v>
      </c>
      <c r="D7" s="849" t="s">
        <v>15620</v>
      </c>
      <c r="E7" s="850"/>
      <c r="F7" s="850"/>
      <c r="G7" s="850"/>
      <c r="H7" s="852"/>
      <c r="I7" s="152" t="s">
        <v>15621</v>
      </c>
      <c r="L7" s="151"/>
      <c r="M7" s="151"/>
      <c r="N7" s="151"/>
      <c r="O7" s="151"/>
      <c r="P7" s="151"/>
      <c r="V7" s="387"/>
      <c r="W7" s="325"/>
      <c r="X7" s="325"/>
      <c r="Y7" s="325"/>
      <c r="Z7" s="325"/>
      <c r="AA7" s="325"/>
      <c r="AB7" s="325"/>
      <c r="AC7" s="325"/>
      <c r="AD7" s="325"/>
      <c r="AE7" s="325"/>
      <c r="AF7" s="325"/>
      <c r="AG7" s="325"/>
      <c r="AH7" s="325"/>
      <c r="AI7" s="325"/>
      <c r="AJ7" s="325"/>
      <c r="AK7" s="325"/>
      <c r="AL7" s="388"/>
      <c r="AU7" s="754" t="s">
        <v>674</v>
      </c>
      <c r="AV7" s="744"/>
      <c r="AW7" s="716"/>
      <c r="AX7" s="488">
        <f>ROUND(R8*$AU$10,0)</f>
        <v>266</v>
      </c>
      <c r="AY7" s="339" t="s">
        <v>15622</v>
      </c>
    </row>
    <row r="8" spans="1:51" ht="16.5" customHeight="1" x14ac:dyDescent="0.15">
      <c r="A8" s="340">
        <v>12</v>
      </c>
      <c r="B8" s="341">
        <v>2172</v>
      </c>
      <c r="C8" s="390" t="s">
        <v>15857</v>
      </c>
      <c r="D8" s="849"/>
      <c r="E8" s="850"/>
      <c r="F8" s="850"/>
      <c r="G8" s="850"/>
      <c r="H8" s="852"/>
      <c r="R8" s="836">
        <f>'2重度訪問'!U8</f>
        <v>213</v>
      </c>
      <c r="S8" s="837"/>
      <c r="T8" s="837"/>
      <c r="U8" s="152" t="s">
        <v>15624</v>
      </c>
      <c r="V8" s="387"/>
      <c r="W8" s="343" t="s">
        <v>15625</v>
      </c>
      <c r="X8" s="325"/>
      <c r="Y8" s="325"/>
      <c r="Z8" s="325"/>
      <c r="AA8" s="325"/>
      <c r="AB8" s="325"/>
      <c r="AC8" s="325"/>
      <c r="AD8" s="325"/>
      <c r="AE8" s="325"/>
      <c r="AF8" s="325"/>
      <c r="AG8" s="325"/>
      <c r="AH8" s="325"/>
      <c r="AI8" s="325"/>
      <c r="AJ8" s="391" t="s">
        <v>15626</v>
      </c>
      <c r="AK8" s="838">
        <f>'2重度訪問'!AN8</f>
        <v>1</v>
      </c>
      <c r="AL8" s="839"/>
      <c r="AU8" s="754"/>
      <c r="AV8" s="744"/>
      <c r="AW8" s="716"/>
      <c r="AX8" s="489">
        <f>ROUND(ROUND(R8*AK8,0)*$AU$10,0)</f>
        <v>266</v>
      </c>
      <c r="AY8" s="393"/>
    </row>
    <row r="9" spans="1:51" ht="16.5" customHeight="1" x14ac:dyDescent="0.15">
      <c r="A9" s="287">
        <v>12</v>
      </c>
      <c r="B9" s="287">
        <v>7085</v>
      </c>
      <c r="C9" s="394" t="s">
        <v>15858</v>
      </c>
      <c r="D9" s="849"/>
      <c r="E9" s="850"/>
      <c r="F9" s="850"/>
      <c r="G9" s="850"/>
      <c r="H9" s="852"/>
      <c r="R9" s="395"/>
      <c r="S9" s="151"/>
      <c r="T9" s="151"/>
      <c r="V9" s="387"/>
      <c r="W9" s="343"/>
      <c r="X9" s="343"/>
      <c r="Y9" s="343"/>
      <c r="Z9" s="343"/>
      <c r="AA9" s="343"/>
      <c r="AB9" s="343"/>
      <c r="AC9" s="343"/>
      <c r="AD9" s="343"/>
      <c r="AE9" s="343"/>
      <c r="AF9" s="343"/>
      <c r="AG9" s="343"/>
      <c r="AH9" s="343"/>
      <c r="AI9" s="343"/>
      <c r="AJ9" s="343"/>
      <c r="AK9" s="343"/>
      <c r="AL9" s="343"/>
      <c r="AM9" s="114" t="s">
        <v>15628</v>
      </c>
      <c r="AN9" s="396"/>
      <c r="AO9" s="396"/>
      <c r="AP9" s="396"/>
      <c r="AQ9" s="396"/>
      <c r="AR9" s="396"/>
      <c r="AS9" s="396"/>
      <c r="AT9" s="396"/>
      <c r="AU9" s="893" t="s">
        <v>398</v>
      </c>
      <c r="AV9" s="894"/>
      <c r="AW9" s="895"/>
      <c r="AX9" s="489">
        <f>ROUND(ROUND(R8*AS10,0)*$AU$10,0)</f>
        <v>226</v>
      </c>
      <c r="AY9" s="393"/>
    </row>
    <row r="10" spans="1:51" ht="16.5" customHeight="1" x14ac:dyDescent="0.15">
      <c r="A10" s="287">
        <v>12</v>
      </c>
      <c r="B10" s="287">
        <v>7086</v>
      </c>
      <c r="C10" s="394" t="s">
        <v>15859</v>
      </c>
      <c r="D10" s="849"/>
      <c r="E10" s="850"/>
      <c r="F10" s="850"/>
      <c r="G10" s="850"/>
      <c r="H10" s="852"/>
      <c r="R10" s="395"/>
      <c r="S10" s="151"/>
      <c r="T10" s="151"/>
      <c r="V10" s="387"/>
      <c r="W10" s="343" t="s">
        <v>15625</v>
      </c>
      <c r="X10" s="325"/>
      <c r="Y10" s="325"/>
      <c r="Z10" s="325"/>
      <c r="AA10" s="325"/>
      <c r="AB10" s="325"/>
      <c r="AC10" s="325"/>
      <c r="AD10" s="325"/>
      <c r="AE10" s="325"/>
      <c r="AF10" s="325"/>
      <c r="AG10" s="325"/>
      <c r="AH10" s="325"/>
      <c r="AI10" s="325"/>
      <c r="AJ10" s="391" t="s">
        <v>15626</v>
      </c>
      <c r="AK10" s="838">
        <f>AK8</f>
        <v>1</v>
      </c>
      <c r="AL10" s="843"/>
      <c r="AM10" s="324" t="s">
        <v>15630</v>
      </c>
      <c r="AN10" s="325"/>
      <c r="AO10" s="325"/>
      <c r="AP10" s="325"/>
      <c r="AQ10" s="325"/>
      <c r="AR10" s="190" t="s">
        <v>398</v>
      </c>
      <c r="AS10" s="844">
        <f>'2重度訪問'!AV10</f>
        <v>0.85</v>
      </c>
      <c r="AT10" s="844"/>
      <c r="AU10" s="896">
        <v>1.25</v>
      </c>
      <c r="AV10" s="897"/>
      <c r="AW10" s="898"/>
      <c r="AX10" s="489">
        <f>ROUND(ROUND(ROUND(R8*AK10,0)*AS10,0)*$AU$10,0)</f>
        <v>226</v>
      </c>
      <c r="AY10" s="393"/>
    </row>
    <row r="11" spans="1:51" ht="16.5" customHeight="1" x14ac:dyDescent="0.15">
      <c r="A11" s="340">
        <v>12</v>
      </c>
      <c r="B11" s="341">
        <v>2181</v>
      </c>
      <c r="C11" s="390" t="s">
        <v>15860</v>
      </c>
      <c r="D11" s="832" t="s">
        <v>15632</v>
      </c>
      <c r="E11" s="833"/>
      <c r="F11" s="833"/>
      <c r="G11" s="833"/>
      <c r="H11" s="835"/>
      <c r="I11" s="398" t="s">
        <v>15633</v>
      </c>
      <c r="J11" s="396"/>
      <c r="K11" s="396"/>
      <c r="L11" s="396"/>
      <c r="M11" s="396"/>
      <c r="N11" s="396"/>
      <c r="O11" s="396"/>
      <c r="P11" s="396"/>
      <c r="Q11" s="396"/>
      <c r="R11" s="399"/>
      <c r="S11" s="400"/>
      <c r="T11" s="400"/>
      <c r="U11" s="396"/>
      <c r="V11" s="397"/>
      <c r="W11" s="343"/>
      <c r="X11" s="325"/>
      <c r="Y11" s="325"/>
      <c r="Z11" s="325"/>
      <c r="AA11" s="325"/>
      <c r="AB11" s="325"/>
      <c r="AC11" s="325"/>
      <c r="AD11" s="325"/>
      <c r="AE11" s="325"/>
      <c r="AF11" s="325"/>
      <c r="AG11" s="325"/>
      <c r="AH11" s="325"/>
      <c r="AI11" s="325"/>
      <c r="AJ11" s="391"/>
      <c r="AK11" s="401"/>
      <c r="AL11" s="402"/>
      <c r="AU11" s="490"/>
      <c r="AV11" s="152"/>
      <c r="AW11" s="387"/>
      <c r="AX11" s="489">
        <f>ROUND(R12*$AU$10,0)</f>
        <v>130</v>
      </c>
      <c r="AY11" s="393"/>
    </row>
    <row r="12" spans="1:51" ht="16.5" customHeight="1" x14ac:dyDescent="0.15">
      <c r="A12" s="340">
        <v>12</v>
      </c>
      <c r="B12" s="341">
        <v>2182</v>
      </c>
      <c r="C12" s="390" t="s">
        <v>15861</v>
      </c>
      <c r="D12" s="832"/>
      <c r="E12" s="833"/>
      <c r="F12" s="833"/>
      <c r="G12" s="833"/>
      <c r="H12" s="835"/>
      <c r="R12" s="836">
        <f>'2重度訪問'!U12</f>
        <v>104</v>
      </c>
      <c r="S12" s="837"/>
      <c r="T12" s="837"/>
      <c r="U12" s="152" t="s">
        <v>15624</v>
      </c>
      <c r="V12" s="387"/>
      <c r="W12" s="343" t="s">
        <v>15625</v>
      </c>
      <c r="X12" s="325"/>
      <c r="Y12" s="325"/>
      <c r="Z12" s="325"/>
      <c r="AA12" s="325"/>
      <c r="AB12" s="325"/>
      <c r="AC12" s="325"/>
      <c r="AD12" s="325"/>
      <c r="AE12" s="325"/>
      <c r="AF12" s="325"/>
      <c r="AG12" s="325"/>
      <c r="AH12" s="325"/>
      <c r="AI12" s="325"/>
      <c r="AJ12" s="391" t="s">
        <v>15626</v>
      </c>
      <c r="AK12" s="838">
        <f>AK10</f>
        <v>1</v>
      </c>
      <c r="AL12" s="839"/>
      <c r="AU12" s="490"/>
      <c r="AV12" s="152"/>
      <c r="AW12" s="387"/>
      <c r="AX12" s="489">
        <f>ROUND(ROUND(R12*AK12,0)*$AU$10,0)</f>
        <v>130</v>
      </c>
      <c r="AY12" s="393"/>
    </row>
    <row r="13" spans="1:51" ht="16.5" customHeight="1" x14ac:dyDescent="0.15">
      <c r="A13" s="287">
        <v>12</v>
      </c>
      <c r="B13" s="287">
        <v>7087</v>
      </c>
      <c r="C13" s="394" t="s">
        <v>15862</v>
      </c>
      <c r="D13" s="403"/>
      <c r="E13" s="404" t="s">
        <v>15636</v>
      </c>
      <c r="F13" s="840">
        <f>'2重度訪問'!$F$13</f>
        <v>1.1499999999999999</v>
      </c>
      <c r="G13" s="841"/>
      <c r="H13" s="842"/>
      <c r="R13" s="395"/>
      <c r="S13" s="151"/>
      <c r="T13" s="151"/>
      <c r="V13" s="387"/>
      <c r="W13" s="343"/>
      <c r="X13" s="343"/>
      <c r="Y13" s="343"/>
      <c r="Z13" s="343"/>
      <c r="AA13" s="343"/>
      <c r="AB13" s="343"/>
      <c r="AC13" s="343"/>
      <c r="AD13" s="343"/>
      <c r="AE13" s="343"/>
      <c r="AF13" s="343"/>
      <c r="AG13" s="343"/>
      <c r="AH13" s="343"/>
      <c r="AI13" s="343"/>
      <c r="AJ13" s="343"/>
      <c r="AK13" s="343"/>
      <c r="AL13" s="343"/>
      <c r="AM13" s="114" t="s">
        <v>15628</v>
      </c>
      <c r="AN13" s="396"/>
      <c r="AO13" s="396"/>
      <c r="AP13" s="396"/>
      <c r="AQ13" s="396"/>
      <c r="AR13" s="396"/>
      <c r="AS13" s="396"/>
      <c r="AT13" s="396"/>
      <c r="AU13" s="490"/>
      <c r="AV13" s="152"/>
      <c r="AW13" s="387"/>
      <c r="AX13" s="489">
        <f>ROUND(ROUND(R12*AS14,0)*$AU$10,0)</f>
        <v>110</v>
      </c>
      <c r="AY13" s="393"/>
    </row>
    <row r="14" spans="1:51" ht="16.5" customHeight="1" x14ac:dyDescent="0.15">
      <c r="A14" s="287">
        <v>12</v>
      </c>
      <c r="B14" s="287">
        <v>7088</v>
      </c>
      <c r="C14" s="394" t="s">
        <v>15863</v>
      </c>
      <c r="D14" s="403"/>
      <c r="E14" s="404"/>
      <c r="F14" s="404"/>
      <c r="G14" s="404"/>
      <c r="H14" s="406"/>
      <c r="R14" s="395"/>
      <c r="S14" s="151"/>
      <c r="T14" s="151"/>
      <c r="V14" s="387"/>
      <c r="W14" s="343" t="s">
        <v>15625</v>
      </c>
      <c r="X14" s="325"/>
      <c r="Y14" s="325"/>
      <c r="Z14" s="325"/>
      <c r="AA14" s="325"/>
      <c r="AB14" s="325"/>
      <c r="AC14" s="325"/>
      <c r="AD14" s="325"/>
      <c r="AE14" s="325"/>
      <c r="AF14" s="325"/>
      <c r="AG14" s="325"/>
      <c r="AH14" s="325"/>
      <c r="AI14" s="325"/>
      <c r="AJ14" s="391" t="s">
        <v>15626</v>
      </c>
      <c r="AK14" s="838">
        <f>AK12</f>
        <v>1</v>
      </c>
      <c r="AL14" s="843"/>
      <c r="AM14" s="324" t="s">
        <v>15630</v>
      </c>
      <c r="AN14" s="325"/>
      <c r="AO14" s="325"/>
      <c r="AP14" s="325"/>
      <c r="AQ14" s="325"/>
      <c r="AR14" s="190" t="s">
        <v>398</v>
      </c>
      <c r="AS14" s="844">
        <f>AS10</f>
        <v>0.85</v>
      </c>
      <c r="AT14" s="844"/>
      <c r="AU14" s="490"/>
      <c r="AV14" s="152"/>
      <c r="AW14" s="387"/>
      <c r="AX14" s="489">
        <f>ROUND(ROUND(ROUND(R12*AK14,0)*AS14,0)*$AU$10,0)</f>
        <v>110</v>
      </c>
      <c r="AY14" s="393"/>
    </row>
    <row r="15" spans="1:51" ht="16.5" customHeight="1" x14ac:dyDescent="0.15">
      <c r="A15" s="340">
        <v>12</v>
      </c>
      <c r="B15" s="341">
        <v>2391</v>
      </c>
      <c r="C15" s="390" t="s">
        <v>15864</v>
      </c>
      <c r="D15" s="403"/>
      <c r="E15" s="404"/>
      <c r="F15" s="404"/>
      <c r="G15" s="404"/>
      <c r="H15" s="406"/>
      <c r="I15" s="253" t="s">
        <v>15639</v>
      </c>
      <c r="J15" s="396"/>
      <c r="K15" s="396"/>
      <c r="L15" s="396"/>
      <c r="M15" s="396"/>
      <c r="N15" s="396"/>
      <c r="O15" s="396"/>
      <c r="P15" s="396"/>
      <c r="Q15" s="396"/>
      <c r="R15" s="399"/>
      <c r="S15" s="400"/>
      <c r="T15" s="400"/>
      <c r="U15" s="396"/>
      <c r="V15" s="397"/>
      <c r="W15" s="343"/>
      <c r="X15" s="325"/>
      <c r="Y15" s="325"/>
      <c r="Z15" s="325"/>
      <c r="AA15" s="325"/>
      <c r="AB15" s="325"/>
      <c r="AC15" s="325"/>
      <c r="AD15" s="325"/>
      <c r="AE15" s="325"/>
      <c r="AF15" s="325"/>
      <c r="AG15" s="325"/>
      <c r="AH15" s="325"/>
      <c r="AI15" s="325"/>
      <c r="AJ15" s="391"/>
      <c r="AK15" s="401"/>
      <c r="AL15" s="402"/>
      <c r="AM15" s="396"/>
      <c r="AN15" s="396"/>
      <c r="AO15" s="396"/>
      <c r="AP15" s="396"/>
      <c r="AQ15" s="396"/>
      <c r="AR15" s="396"/>
      <c r="AS15" s="396"/>
      <c r="AT15" s="396"/>
      <c r="AU15" s="490"/>
      <c r="AV15" s="152"/>
      <c r="AW15" s="387"/>
      <c r="AX15" s="489">
        <f>ROUND(R16*$AU$10,0)</f>
        <v>133</v>
      </c>
      <c r="AY15" s="393"/>
    </row>
    <row r="16" spans="1:51" ht="16.5" customHeight="1" x14ac:dyDescent="0.15">
      <c r="A16" s="340">
        <v>12</v>
      </c>
      <c r="B16" s="341">
        <v>2392</v>
      </c>
      <c r="C16" s="390" t="s">
        <v>15865</v>
      </c>
      <c r="D16" s="403"/>
      <c r="E16" s="404"/>
      <c r="F16" s="404"/>
      <c r="G16" s="404"/>
      <c r="H16" s="406"/>
      <c r="R16" s="836">
        <f>'2重度訪問'!U16</f>
        <v>106</v>
      </c>
      <c r="S16" s="837"/>
      <c r="T16" s="837"/>
      <c r="U16" s="152" t="s">
        <v>15624</v>
      </c>
      <c r="V16" s="387"/>
      <c r="W16" s="343" t="s">
        <v>15625</v>
      </c>
      <c r="X16" s="325"/>
      <c r="Y16" s="325"/>
      <c r="Z16" s="325"/>
      <c r="AA16" s="325"/>
      <c r="AB16" s="325"/>
      <c r="AC16" s="325"/>
      <c r="AD16" s="325"/>
      <c r="AE16" s="325"/>
      <c r="AF16" s="325"/>
      <c r="AG16" s="325"/>
      <c r="AH16" s="325"/>
      <c r="AI16" s="325"/>
      <c r="AJ16" s="391" t="s">
        <v>15626</v>
      </c>
      <c r="AK16" s="838">
        <f>AK14</f>
        <v>1</v>
      </c>
      <c r="AL16" s="839"/>
      <c r="AM16" s="325"/>
      <c r="AN16" s="325"/>
      <c r="AO16" s="325"/>
      <c r="AP16" s="325"/>
      <c r="AQ16" s="325"/>
      <c r="AR16" s="325"/>
      <c r="AS16" s="325"/>
      <c r="AT16" s="325"/>
      <c r="AU16" s="490"/>
      <c r="AV16" s="152"/>
      <c r="AW16" s="387"/>
      <c r="AX16" s="489">
        <f>ROUND(ROUND(R16*AK16,0)*$AU$10,0)</f>
        <v>133</v>
      </c>
      <c r="AY16" s="393"/>
    </row>
    <row r="17" spans="1:51" ht="16.5" customHeight="1" x14ac:dyDescent="0.15">
      <c r="A17" s="287">
        <v>12</v>
      </c>
      <c r="B17" s="287">
        <v>7089</v>
      </c>
      <c r="C17" s="394" t="s">
        <v>15866</v>
      </c>
      <c r="D17" s="403"/>
      <c r="E17" s="404"/>
      <c r="F17" s="404"/>
      <c r="G17" s="404"/>
      <c r="H17" s="406"/>
      <c r="R17" s="395"/>
      <c r="S17" s="151"/>
      <c r="T17" s="151"/>
      <c r="V17" s="387"/>
      <c r="W17" s="343"/>
      <c r="X17" s="343"/>
      <c r="Y17" s="343"/>
      <c r="Z17" s="343"/>
      <c r="AA17" s="343"/>
      <c r="AB17" s="343"/>
      <c r="AC17" s="343"/>
      <c r="AD17" s="343"/>
      <c r="AE17" s="343"/>
      <c r="AF17" s="343"/>
      <c r="AG17" s="343"/>
      <c r="AH17" s="343"/>
      <c r="AI17" s="343"/>
      <c r="AJ17" s="343"/>
      <c r="AK17" s="343"/>
      <c r="AL17" s="343"/>
      <c r="AM17" s="114" t="s">
        <v>15628</v>
      </c>
      <c r="AN17" s="396"/>
      <c r="AO17" s="396"/>
      <c r="AP17" s="396"/>
      <c r="AQ17" s="396"/>
      <c r="AR17" s="396"/>
      <c r="AS17" s="396"/>
      <c r="AT17" s="396"/>
      <c r="AU17" s="490"/>
      <c r="AV17" s="152"/>
      <c r="AW17" s="387"/>
      <c r="AX17" s="489">
        <f>ROUND(ROUND(R16*AS18,0)*$AU$10,0)</f>
        <v>113</v>
      </c>
      <c r="AY17" s="393"/>
    </row>
    <row r="18" spans="1:51" ht="16.5" customHeight="1" x14ac:dyDescent="0.15">
      <c r="A18" s="287">
        <v>12</v>
      </c>
      <c r="B18" s="287">
        <v>7090</v>
      </c>
      <c r="C18" s="394" t="s">
        <v>15867</v>
      </c>
      <c r="D18" s="403"/>
      <c r="E18" s="404"/>
      <c r="F18" s="404"/>
      <c r="G18" s="404"/>
      <c r="H18" s="406"/>
      <c r="R18" s="395"/>
      <c r="S18" s="151"/>
      <c r="T18" s="151"/>
      <c r="V18" s="387"/>
      <c r="W18" s="343" t="s">
        <v>15625</v>
      </c>
      <c r="X18" s="325"/>
      <c r="Y18" s="325"/>
      <c r="Z18" s="325"/>
      <c r="AA18" s="325"/>
      <c r="AB18" s="325"/>
      <c r="AC18" s="325"/>
      <c r="AD18" s="325"/>
      <c r="AE18" s="325"/>
      <c r="AF18" s="325"/>
      <c r="AG18" s="325"/>
      <c r="AH18" s="325"/>
      <c r="AI18" s="325"/>
      <c r="AJ18" s="391" t="s">
        <v>15626</v>
      </c>
      <c r="AK18" s="838">
        <f>AK16</f>
        <v>1</v>
      </c>
      <c r="AL18" s="843"/>
      <c r="AM18" s="324" t="s">
        <v>15630</v>
      </c>
      <c r="AN18" s="325"/>
      <c r="AO18" s="325"/>
      <c r="AP18" s="325"/>
      <c r="AQ18" s="325"/>
      <c r="AR18" s="190" t="s">
        <v>398</v>
      </c>
      <c r="AS18" s="844">
        <f>AS14</f>
        <v>0.85</v>
      </c>
      <c r="AT18" s="844"/>
      <c r="AU18" s="490"/>
      <c r="AV18" s="152"/>
      <c r="AW18" s="387"/>
      <c r="AX18" s="489">
        <f>ROUND(ROUND(ROUND(R16*AK18,0)*AS18,0)*$AU$10,0)</f>
        <v>113</v>
      </c>
      <c r="AY18" s="393"/>
    </row>
    <row r="19" spans="1:51" ht="16.5" customHeight="1" x14ac:dyDescent="0.15">
      <c r="A19" s="340">
        <v>12</v>
      </c>
      <c r="B19" s="341">
        <v>2401</v>
      </c>
      <c r="C19" s="390" t="s">
        <v>15868</v>
      </c>
      <c r="D19" s="403"/>
      <c r="E19" s="404"/>
      <c r="F19" s="404"/>
      <c r="G19" s="404"/>
      <c r="H19" s="406"/>
      <c r="I19" s="253" t="s">
        <v>15644</v>
      </c>
      <c r="J19" s="396"/>
      <c r="K19" s="396"/>
      <c r="L19" s="396"/>
      <c r="M19" s="396"/>
      <c r="N19" s="396"/>
      <c r="O19" s="396"/>
      <c r="P19" s="396"/>
      <c r="Q19" s="396"/>
      <c r="R19" s="399"/>
      <c r="S19" s="400"/>
      <c r="T19" s="400"/>
      <c r="U19" s="396"/>
      <c r="V19" s="397"/>
      <c r="W19" s="343"/>
      <c r="X19" s="325"/>
      <c r="Y19" s="325"/>
      <c r="Z19" s="325"/>
      <c r="AA19" s="325"/>
      <c r="AB19" s="325"/>
      <c r="AC19" s="325"/>
      <c r="AD19" s="325"/>
      <c r="AE19" s="325"/>
      <c r="AF19" s="325"/>
      <c r="AG19" s="325"/>
      <c r="AH19" s="325"/>
      <c r="AI19" s="325"/>
      <c r="AJ19" s="391"/>
      <c r="AK19" s="401"/>
      <c r="AL19" s="402"/>
      <c r="AM19" s="396"/>
      <c r="AN19" s="396"/>
      <c r="AO19" s="396"/>
      <c r="AP19" s="396"/>
      <c r="AQ19" s="396"/>
      <c r="AR19" s="396"/>
      <c r="AS19" s="396"/>
      <c r="AT19" s="396"/>
      <c r="AU19" s="490"/>
      <c r="AV19" s="152"/>
      <c r="AW19" s="387"/>
      <c r="AX19" s="489">
        <f>ROUND(R20*$AU$10,0)</f>
        <v>131</v>
      </c>
      <c r="AY19" s="393"/>
    </row>
    <row r="20" spans="1:51" ht="16.5" customHeight="1" x14ac:dyDescent="0.15">
      <c r="A20" s="340">
        <v>12</v>
      </c>
      <c r="B20" s="341">
        <v>2402</v>
      </c>
      <c r="C20" s="390" t="s">
        <v>15869</v>
      </c>
      <c r="D20" s="403"/>
      <c r="E20" s="404"/>
      <c r="F20" s="404"/>
      <c r="G20" s="404"/>
      <c r="H20" s="406"/>
      <c r="R20" s="836">
        <f>'2重度訪問'!U20</f>
        <v>105</v>
      </c>
      <c r="S20" s="837"/>
      <c r="T20" s="837"/>
      <c r="U20" s="152" t="s">
        <v>15624</v>
      </c>
      <c r="V20" s="387"/>
      <c r="W20" s="343" t="s">
        <v>15625</v>
      </c>
      <c r="X20" s="325"/>
      <c r="Y20" s="325"/>
      <c r="Z20" s="325"/>
      <c r="AA20" s="325"/>
      <c r="AB20" s="325"/>
      <c r="AC20" s="325"/>
      <c r="AD20" s="325"/>
      <c r="AE20" s="325"/>
      <c r="AF20" s="325"/>
      <c r="AG20" s="325"/>
      <c r="AH20" s="325"/>
      <c r="AI20" s="325"/>
      <c r="AJ20" s="391" t="s">
        <v>15626</v>
      </c>
      <c r="AK20" s="838">
        <f>AK18</f>
        <v>1</v>
      </c>
      <c r="AL20" s="839"/>
      <c r="AM20" s="325"/>
      <c r="AN20" s="325"/>
      <c r="AO20" s="325"/>
      <c r="AP20" s="325"/>
      <c r="AQ20" s="325"/>
      <c r="AR20" s="325"/>
      <c r="AS20" s="325"/>
      <c r="AT20" s="325"/>
      <c r="AU20" s="490"/>
      <c r="AV20" s="152"/>
      <c r="AW20" s="387"/>
      <c r="AX20" s="489">
        <f>ROUND(ROUND(R20*AK20,0)*$AU$10,0)</f>
        <v>131</v>
      </c>
      <c r="AY20" s="393"/>
    </row>
    <row r="21" spans="1:51" ht="16.5" customHeight="1" x14ac:dyDescent="0.15">
      <c r="A21" s="287">
        <v>12</v>
      </c>
      <c r="B21" s="287">
        <v>7091</v>
      </c>
      <c r="C21" s="394" t="s">
        <v>15870</v>
      </c>
      <c r="D21" s="403"/>
      <c r="E21" s="404"/>
      <c r="F21" s="404"/>
      <c r="G21" s="404"/>
      <c r="H21" s="406"/>
      <c r="R21" s="395"/>
      <c r="S21" s="151"/>
      <c r="T21" s="151"/>
      <c r="V21" s="387"/>
      <c r="W21" s="343"/>
      <c r="X21" s="343"/>
      <c r="Y21" s="343"/>
      <c r="Z21" s="343"/>
      <c r="AA21" s="343"/>
      <c r="AB21" s="343"/>
      <c r="AC21" s="343"/>
      <c r="AD21" s="343"/>
      <c r="AE21" s="343"/>
      <c r="AF21" s="343"/>
      <c r="AG21" s="343"/>
      <c r="AH21" s="343"/>
      <c r="AI21" s="343"/>
      <c r="AJ21" s="343"/>
      <c r="AK21" s="343"/>
      <c r="AL21" s="343"/>
      <c r="AM21" s="114" t="s">
        <v>15628</v>
      </c>
      <c r="AN21" s="396"/>
      <c r="AO21" s="396"/>
      <c r="AP21" s="396"/>
      <c r="AQ21" s="396"/>
      <c r="AR21" s="396"/>
      <c r="AS21" s="396"/>
      <c r="AT21" s="396"/>
      <c r="AU21" s="490"/>
      <c r="AV21" s="152"/>
      <c r="AW21" s="387"/>
      <c r="AX21" s="489">
        <f>ROUND(ROUND(R20*AS22,0)*$AU$10,0)</f>
        <v>111</v>
      </c>
      <c r="AY21" s="393"/>
    </row>
    <row r="22" spans="1:51" ht="16.5" customHeight="1" x14ac:dyDescent="0.15">
      <c r="A22" s="287">
        <v>12</v>
      </c>
      <c r="B22" s="287">
        <v>7092</v>
      </c>
      <c r="C22" s="394" t="s">
        <v>15871</v>
      </c>
      <c r="D22" s="403"/>
      <c r="E22" s="404"/>
      <c r="F22" s="404"/>
      <c r="G22" s="404"/>
      <c r="H22" s="406"/>
      <c r="R22" s="395"/>
      <c r="S22" s="151"/>
      <c r="T22" s="151"/>
      <c r="V22" s="387"/>
      <c r="W22" s="343" t="s">
        <v>15625</v>
      </c>
      <c r="X22" s="325"/>
      <c r="Y22" s="325"/>
      <c r="Z22" s="325"/>
      <c r="AA22" s="325"/>
      <c r="AB22" s="325"/>
      <c r="AC22" s="325"/>
      <c r="AD22" s="325"/>
      <c r="AE22" s="325"/>
      <c r="AF22" s="325"/>
      <c r="AG22" s="325"/>
      <c r="AH22" s="325"/>
      <c r="AI22" s="325"/>
      <c r="AJ22" s="391" t="s">
        <v>15626</v>
      </c>
      <c r="AK22" s="838">
        <f>AK20</f>
        <v>1</v>
      </c>
      <c r="AL22" s="843"/>
      <c r="AM22" s="324" t="s">
        <v>15630</v>
      </c>
      <c r="AN22" s="325"/>
      <c r="AO22" s="325"/>
      <c r="AP22" s="325"/>
      <c r="AQ22" s="325"/>
      <c r="AR22" s="190" t="s">
        <v>398</v>
      </c>
      <c r="AS22" s="844">
        <f>AS18</f>
        <v>0.85</v>
      </c>
      <c r="AT22" s="844"/>
      <c r="AU22" s="490"/>
      <c r="AV22" s="152"/>
      <c r="AW22" s="387"/>
      <c r="AX22" s="489">
        <f>ROUND(ROUND(ROUND(R20*AK22,0)*AS22,0)*$AU$10,0)</f>
        <v>111</v>
      </c>
      <c r="AY22" s="393"/>
    </row>
    <row r="23" spans="1:51" ht="16.5" customHeight="1" x14ac:dyDescent="0.15">
      <c r="A23" s="340">
        <v>12</v>
      </c>
      <c r="B23" s="341">
        <v>2411</v>
      </c>
      <c r="C23" s="390" t="s">
        <v>15872</v>
      </c>
      <c r="D23" s="403"/>
      <c r="E23" s="404"/>
      <c r="F23" s="404"/>
      <c r="G23" s="404"/>
      <c r="H23" s="406"/>
      <c r="I23" s="253" t="s">
        <v>15649</v>
      </c>
      <c r="J23" s="396"/>
      <c r="K23" s="396"/>
      <c r="L23" s="396"/>
      <c r="M23" s="396"/>
      <c r="N23" s="396"/>
      <c r="O23" s="396"/>
      <c r="P23" s="396"/>
      <c r="Q23" s="396"/>
      <c r="R23" s="399"/>
      <c r="S23" s="400"/>
      <c r="T23" s="400"/>
      <c r="U23" s="396"/>
      <c r="V23" s="397"/>
      <c r="W23" s="343"/>
      <c r="X23" s="325"/>
      <c r="Y23" s="325"/>
      <c r="Z23" s="325"/>
      <c r="AA23" s="325"/>
      <c r="AB23" s="325"/>
      <c r="AC23" s="325"/>
      <c r="AD23" s="325"/>
      <c r="AE23" s="325"/>
      <c r="AF23" s="325"/>
      <c r="AG23" s="325"/>
      <c r="AH23" s="325"/>
      <c r="AI23" s="325"/>
      <c r="AJ23" s="391"/>
      <c r="AK23" s="401"/>
      <c r="AL23" s="402"/>
      <c r="AM23" s="396"/>
      <c r="AN23" s="396"/>
      <c r="AO23" s="396"/>
      <c r="AP23" s="396"/>
      <c r="AQ23" s="396"/>
      <c r="AR23" s="396"/>
      <c r="AS23" s="396"/>
      <c r="AT23" s="396"/>
      <c r="AU23" s="490"/>
      <c r="AV23" s="152"/>
      <c r="AW23" s="387"/>
      <c r="AX23" s="489">
        <f>ROUND(R24*$AU$10,0)</f>
        <v>133</v>
      </c>
      <c r="AY23" s="393"/>
    </row>
    <row r="24" spans="1:51" ht="16.5" customHeight="1" x14ac:dyDescent="0.15">
      <c r="A24" s="340">
        <v>12</v>
      </c>
      <c r="B24" s="341">
        <v>2412</v>
      </c>
      <c r="C24" s="390" t="s">
        <v>15873</v>
      </c>
      <c r="D24" s="403"/>
      <c r="E24" s="404"/>
      <c r="F24" s="404"/>
      <c r="G24" s="404"/>
      <c r="H24" s="406"/>
      <c r="R24" s="836">
        <f>'2重度訪問'!U24</f>
        <v>106</v>
      </c>
      <c r="S24" s="837"/>
      <c r="T24" s="837"/>
      <c r="U24" s="152" t="s">
        <v>15624</v>
      </c>
      <c r="V24" s="387"/>
      <c r="W24" s="343" t="s">
        <v>15625</v>
      </c>
      <c r="X24" s="325"/>
      <c r="Y24" s="325"/>
      <c r="Z24" s="325"/>
      <c r="AA24" s="325"/>
      <c r="AB24" s="325"/>
      <c r="AC24" s="325"/>
      <c r="AD24" s="325"/>
      <c r="AE24" s="325"/>
      <c r="AF24" s="325"/>
      <c r="AG24" s="325"/>
      <c r="AH24" s="325"/>
      <c r="AI24" s="325"/>
      <c r="AJ24" s="391" t="s">
        <v>15626</v>
      </c>
      <c r="AK24" s="838">
        <f>AK22</f>
        <v>1</v>
      </c>
      <c r="AL24" s="839"/>
      <c r="AM24" s="325"/>
      <c r="AN24" s="325"/>
      <c r="AO24" s="325"/>
      <c r="AP24" s="325"/>
      <c r="AQ24" s="325"/>
      <c r="AR24" s="325"/>
      <c r="AS24" s="325"/>
      <c r="AT24" s="325"/>
      <c r="AU24" s="490"/>
      <c r="AV24" s="152"/>
      <c r="AW24" s="387"/>
      <c r="AX24" s="489">
        <f>ROUND(ROUND(R24*AK24,0)*$AU$10,0)</f>
        <v>133</v>
      </c>
      <c r="AY24" s="393"/>
    </row>
    <row r="25" spans="1:51" ht="16.5" customHeight="1" x14ac:dyDescent="0.15">
      <c r="A25" s="340">
        <v>12</v>
      </c>
      <c r="B25" s="341">
        <v>7093</v>
      </c>
      <c r="C25" s="390" t="s">
        <v>15874</v>
      </c>
      <c r="D25" s="403"/>
      <c r="E25" s="404"/>
      <c r="F25" s="404"/>
      <c r="G25" s="404"/>
      <c r="H25" s="406"/>
      <c r="R25" s="395"/>
      <c r="S25" s="151"/>
      <c r="T25" s="151"/>
      <c r="V25" s="387"/>
      <c r="W25" s="343"/>
      <c r="X25" s="343"/>
      <c r="Y25" s="343"/>
      <c r="Z25" s="343"/>
      <c r="AA25" s="343"/>
      <c r="AB25" s="343"/>
      <c r="AC25" s="343"/>
      <c r="AD25" s="343"/>
      <c r="AE25" s="343"/>
      <c r="AF25" s="343"/>
      <c r="AG25" s="343"/>
      <c r="AH25" s="343"/>
      <c r="AI25" s="343"/>
      <c r="AJ25" s="343"/>
      <c r="AK25" s="343"/>
      <c r="AL25" s="343"/>
      <c r="AM25" s="114" t="s">
        <v>15628</v>
      </c>
      <c r="AN25" s="396"/>
      <c r="AO25" s="396"/>
      <c r="AP25" s="396"/>
      <c r="AQ25" s="396"/>
      <c r="AR25" s="396"/>
      <c r="AS25" s="396"/>
      <c r="AT25" s="396"/>
      <c r="AU25" s="490"/>
      <c r="AV25" s="152"/>
      <c r="AW25" s="387"/>
      <c r="AX25" s="489">
        <f>ROUND(ROUND(R24*AS26,0)*$AU$10,0)</f>
        <v>113</v>
      </c>
      <c r="AY25" s="393"/>
    </row>
    <row r="26" spans="1:51" ht="16.5" customHeight="1" x14ac:dyDescent="0.15">
      <c r="A26" s="340">
        <v>12</v>
      </c>
      <c r="B26" s="341">
        <v>7094</v>
      </c>
      <c r="C26" s="390" t="s">
        <v>15875</v>
      </c>
      <c r="D26" s="403"/>
      <c r="E26" s="404"/>
      <c r="F26" s="404"/>
      <c r="G26" s="404"/>
      <c r="H26" s="406"/>
      <c r="R26" s="395"/>
      <c r="S26" s="151"/>
      <c r="T26" s="151"/>
      <c r="V26" s="387"/>
      <c r="W26" s="343" t="s">
        <v>15625</v>
      </c>
      <c r="X26" s="325"/>
      <c r="Y26" s="325"/>
      <c r="Z26" s="325"/>
      <c r="AA26" s="325"/>
      <c r="AB26" s="325"/>
      <c r="AC26" s="325"/>
      <c r="AD26" s="325"/>
      <c r="AE26" s="325"/>
      <c r="AF26" s="325"/>
      <c r="AG26" s="325"/>
      <c r="AH26" s="325"/>
      <c r="AI26" s="325"/>
      <c r="AJ26" s="391" t="s">
        <v>15626</v>
      </c>
      <c r="AK26" s="838">
        <f>AK24</f>
        <v>1</v>
      </c>
      <c r="AL26" s="843"/>
      <c r="AM26" s="324" t="s">
        <v>15630</v>
      </c>
      <c r="AN26" s="325"/>
      <c r="AO26" s="325"/>
      <c r="AP26" s="325"/>
      <c r="AQ26" s="325"/>
      <c r="AR26" s="190" t="s">
        <v>398</v>
      </c>
      <c r="AS26" s="844">
        <f>AS22</f>
        <v>0.85</v>
      </c>
      <c r="AT26" s="844"/>
      <c r="AU26" s="490"/>
      <c r="AV26" s="152"/>
      <c r="AW26" s="387"/>
      <c r="AX26" s="489">
        <f>ROUND(ROUND(ROUND(R24*AK26,0)*AS26,0)*$AU$10,0)</f>
        <v>113</v>
      </c>
      <c r="AY26" s="393"/>
    </row>
    <row r="27" spans="1:51" ht="16.5" customHeight="1" x14ac:dyDescent="0.15">
      <c r="A27" s="340">
        <v>12</v>
      </c>
      <c r="B27" s="341">
        <v>2421</v>
      </c>
      <c r="C27" s="390" t="s">
        <v>15876</v>
      </c>
      <c r="D27" s="403"/>
      <c r="E27" s="404"/>
      <c r="F27" s="404"/>
      <c r="G27" s="404"/>
      <c r="H27" s="406"/>
      <c r="I27" s="253" t="s">
        <v>15654</v>
      </c>
      <c r="J27" s="396"/>
      <c r="K27" s="396"/>
      <c r="L27" s="396"/>
      <c r="M27" s="396"/>
      <c r="N27" s="396"/>
      <c r="O27" s="396"/>
      <c r="P27" s="396"/>
      <c r="Q27" s="396"/>
      <c r="R27" s="399"/>
      <c r="S27" s="400"/>
      <c r="T27" s="400"/>
      <c r="U27" s="396"/>
      <c r="V27" s="397"/>
      <c r="W27" s="343"/>
      <c r="X27" s="325"/>
      <c r="Y27" s="325"/>
      <c r="Z27" s="325"/>
      <c r="AA27" s="325"/>
      <c r="AB27" s="325"/>
      <c r="AC27" s="325"/>
      <c r="AD27" s="325"/>
      <c r="AE27" s="325"/>
      <c r="AF27" s="325"/>
      <c r="AG27" s="325"/>
      <c r="AH27" s="325"/>
      <c r="AI27" s="325"/>
      <c r="AJ27" s="391"/>
      <c r="AK27" s="401"/>
      <c r="AL27" s="402"/>
      <c r="AM27" s="396"/>
      <c r="AN27" s="396"/>
      <c r="AO27" s="396"/>
      <c r="AP27" s="396"/>
      <c r="AQ27" s="396"/>
      <c r="AR27" s="396"/>
      <c r="AS27" s="396"/>
      <c r="AT27" s="396"/>
      <c r="AU27" s="490"/>
      <c r="AV27" s="152"/>
      <c r="AW27" s="387"/>
      <c r="AX27" s="489">
        <f>ROUND(R28*$AU$10,0)</f>
        <v>130</v>
      </c>
      <c r="AY27" s="393"/>
    </row>
    <row r="28" spans="1:51" ht="16.5" customHeight="1" x14ac:dyDescent="0.15">
      <c r="A28" s="340">
        <v>12</v>
      </c>
      <c r="B28" s="341">
        <v>2422</v>
      </c>
      <c r="C28" s="390" t="s">
        <v>15877</v>
      </c>
      <c r="D28" s="403"/>
      <c r="E28" s="404"/>
      <c r="F28" s="404"/>
      <c r="G28" s="404"/>
      <c r="H28" s="406"/>
      <c r="R28" s="836">
        <f>'2重度訪問'!U28</f>
        <v>104</v>
      </c>
      <c r="S28" s="837"/>
      <c r="T28" s="837"/>
      <c r="U28" s="152" t="s">
        <v>15624</v>
      </c>
      <c r="V28" s="387"/>
      <c r="W28" s="343" t="s">
        <v>15625</v>
      </c>
      <c r="X28" s="325"/>
      <c r="Y28" s="325"/>
      <c r="Z28" s="325"/>
      <c r="AA28" s="325"/>
      <c r="AB28" s="325"/>
      <c r="AC28" s="325"/>
      <c r="AD28" s="325"/>
      <c r="AE28" s="325"/>
      <c r="AF28" s="325"/>
      <c r="AG28" s="325"/>
      <c r="AH28" s="325"/>
      <c r="AI28" s="325"/>
      <c r="AJ28" s="391" t="s">
        <v>15626</v>
      </c>
      <c r="AK28" s="838">
        <f>AK26</f>
        <v>1</v>
      </c>
      <c r="AL28" s="839"/>
      <c r="AM28" s="325"/>
      <c r="AN28" s="325"/>
      <c r="AO28" s="325"/>
      <c r="AP28" s="325"/>
      <c r="AQ28" s="325"/>
      <c r="AR28" s="325"/>
      <c r="AS28" s="325"/>
      <c r="AT28" s="325"/>
      <c r="AU28" s="490"/>
      <c r="AV28" s="152"/>
      <c r="AW28" s="387"/>
      <c r="AX28" s="489">
        <f>ROUND(ROUND(R28*AK28,0)*$AU$10,0)</f>
        <v>130</v>
      </c>
      <c r="AY28" s="393"/>
    </row>
    <row r="29" spans="1:51" ht="16.5" customHeight="1" x14ac:dyDescent="0.15">
      <c r="A29" s="340">
        <v>12</v>
      </c>
      <c r="B29" s="341">
        <v>7095</v>
      </c>
      <c r="C29" s="390" t="s">
        <v>15878</v>
      </c>
      <c r="D29" s="403"/>
      <c r="E29" s="404"/>
      <c r="F29" s="404"/>
      <c r="G29" s="404"/>
      <c r="H29" s="406"/>
      <c r="R29" s="395"/>
      <c r="S29" s="151"/>
      <c r="T29" s="151"/>
      <c r="V29" s="387"/>
      <c r="W29" s="343"/>
      <c r="X29" s="343"/>
      <c r="Y29" s="343"/>
      <c r="Z29" s="343"/>
      <c r="AA29" s="343"/>
      <c r="AB29" s="343"/>
      <c r="AC29" s="343"/>
      <c r="AD29" s="343"/>
      <c r="AE29" s="343"/>
      <c r="AF29" s="343"/>
      <c r="AG29" s="343"/>
      <c r="AH29" s="343"/>
      <c r="AI29" s="343"/>
      <c r="AJ29" s="343"/>
      <c r="AK29" s="343"/>
      <c r="AL29" s="343"/>
      <c r="AM29" s="114" t="s">
        <v>15628</v>
      </c>
      <c r="AN29" s="396"/>
      <c r="AO29" s="396"/>
      <c r="AP29" s="396"/>
      <c r="AQ29" s="396"/>
      <c r="AR29" s="396"/>
      <c r="AS29" s="396"/>
      <c r="AT29" s="396"/>
      <c r="AU29" s="490"/>
      <c r="AV29" s="152"/>
      <c r="AW29" s="387"/>
      <c r="AX29" s="489">
        <f>ROUND(ROUND(R28*AS30,0)*$AU$10,0)</f>
        <v>110</v>
      </c>
      <c r="AY29" s="393"/>
    </row>
    <row r="30" spans="1:51" ht="16.5" customHeight="1" x14ac:dyDescent="0.15">
      <c r="A30" s="340">
        <v>12</v>
      </c>
      <c r="B30" s="341">
        <v>7096</v>
      </c>
      <c r="C30" s="390" t="s">
        <v>15879</v>
      </c>
      <c r="D30" s="403"/>
      <c r="E30" s="404"/>
      <c r="F30" s="404"/>
      <c r="G30" s="404"/>
      <c r="H30" s="406"/>
      <c r="R30" s="395"/>
      <c r="S30" s="151"/>
      <c r="T30" s="151"/>
      <c r="V30" s="387"/>
      <c r="W30" s="343" t="s">
        <v>15625</v>
      </c>
      <c r="X30" s="325"/>
      <c r="Y30" s="325"/>
      <c r="Z30" s="325"/>
      <c r="AA30" s="325"/>
      <c r="AB30" s="325"/>
      <c r="AC30" s="325"/>
      <c r="AD30" s="325"/>
      <c r="AE30" s="325"/>
      <c r="AF30" s="325"/>
      <c r="AG30" s="325"/>
      <c r="AH30" s="325"/>
      <c r="AI30" s="325"/>
      <c r="AJ30" s="391" t="s">
        <v>15626</v>
      </c>
      <c r="AK30" s="838">
        <f>AK28</f>
        <v>1</v>
      </c>
      <c r="AL30" s="843"/>
      <c r="AM30" s="324" t="s">
        <v>15630</v>
      </c>
      <c r="AN30" s="325"/>
      <c r="AO30" s="325"/>
      <c r="AP30" s="325"/>
      <c r="AQ30" s="325"/>
      <c r="AR30" s="190" t="s">
        <v>398</v>
      </c>
      <c r="AS30" s="844">
        <f>AS26</f>
        <v>0.85</v>
      </c>
      <c r="AT30" s="844"/>
      <c r="AU30" s="490"/>
      <c r="AV30" s="152"/>
      <c r="AW30" s="387"/>
      <c r="AX30" s="489">
        <f>ROUND(ROUND(ROUND(R28*AK30,0)*AS30,0)*$AU$10,0)</f>
        <v>110</v>
      </c>
      <c r="AY30" s="393"/>
    </row>
    <row r="31" spans="1:51" ht="16.5" customHeight="1" x14ac:dyDescent="0.15">
      <c r="A31" s="340">
        <v>12</v>
      </c>
      <c r="B31" s="341">
        <v>2431</v>
      </c>
      <c r="C31" s="390" t="s">
        <v>15880</v>
      </c>
      <c r="D31" s="403"/>
      <c r="E31" s="404"/>
      <c r="F31" s="404"/>
      <c r="G31" s="404"/>
      <c r="H31" s="406"/>
      <c r="I31" s="253" t="s">
        <v>15659</v>
      </c>
      <c r="J31" s="396"/>
      <c r="K31" s="396"/>
      <c r="L31" s="396"/>
      <c r="M31" s="396"/>
      <c r="N31" s="396"/>
      <c r="O31" s="396"/>
      <c r="P31" s="396"/>
      <c r="Q31" s="396"/>
      <c r="R31" s="399"/>
      <c r="S31" s="400"/>
      <c r="T31" s="400"/>
      <c r="U31" s="396"/>
      <c r="V31" s="397"/>
      <c r="W31" s="343"/>
      <c r="X31" s="325"/>
      <c r="Y31" s="325"/>
      <c r="Z31" s="325"/>
      <c r="AA31" s="325"/>
      <c r="AB31" s="325"/>
      <c r="AC31" s="325"/>
      <c r="AD31" s="325"/>
      <c r="AE31" s="325"/>
      <c r="AF31" s="325"/>
      <c r="AG31" s="325"/>
      <c r="AH31" s="325"/>
      <c r="AI31" s="325"/>
      <c r="AJ31" s="391"/>
      <c r="AK31" s="401"/>
      <c r="AL31" s="402"/>
      <c r="AM31" s="396"/>
      <c r="AN31" s="396"/>
      <c r="AO31" s="396"/>
      <c r="AP31" s="396"/>
      <c r="AQ31" s="396"/>
      <c r="AR31" s="396"/>
      <c r="AS31" s="396"/>
      <c r="AT31" s="396"/>
      <c r="AU31" s="490"/>
      <c r="AV31" s="152"/>
      <c r="AW31" s="387"/>
      <c r="AX31" s="489">
        <f>ROUND(R32*$AU$10,0)</f>
        <v>133</v>
      </c>
      <c r="AY31" s="393"/>
    </row>
    <row r="32" spans="1:51" ht="16.5" customHeight="1" x14ac:dyDescent="0.15">
      <c r="A32" s="340">
        <v>12</v>
      </c>
      <c r="B32" s="341">
        <v>2432</v>
      </c>
      <c r="C32" s="390" t="s">
        <v>15881</v>
      </c>
      <c r="D32" s="403"/>
      <c r="E32" s="404"/>
      <c r="F32" s="404"/>
      <c r="G32" s="404"/>
      <c r="H32" s="406"/>
      <c r="R32" s="836">
        <f>'2重度訪問'!U32</f>
        <v>106</v>
      </c>
      <c r="S32" s="837"/>
      <c r="T32" s="837"/>
      <c r="U32" s="152" t="s">
        <v>15624</v>
      </c>
      <c r="V32" s="387"/>
      <c r="W32" s="343" t="s">
        <v>15625</v>
      </c>
      <c r="X32" s="325"/>
      <c r="Y32" s="325"/>
      <c r="Z32" s="325"/>
      <c r="AA32" s="325"/>
      <c r="AB32" s="325"/>
      <c r="AC32" s="325"/>
      <c r="AD32" s="325"/>
      <c r="AE32" s="325"/>
      <c r="AF32" s="325"/>
      <c r="AG32" s="325"/>
      <c r="AH32" s="325"/>
      <c r="AI32" s="325"/>
      <c r="AJ32" s="391" t="s">
        <v>15626</v>
      </c>
      <c r="AK32" s="838">
        <f>AK30</f>
        <v>1</v>
      </c>
      <c r="AL32" s="839"/>
      <c r="AM32" s="325"/>
      <c r="AN32" s="325"/>
      <c r="AO32" s="325"/>
      <c r="AP32" s="325"/>
      <c r="AQ32" s="325"/>
      <c r="AR32" s="325"/>
      <c r="AS32" s="325"/>
      <c r="AT32" s="325"/>
      <c r="AU32" s="490"/>
      <c r="AV32" s="152"/>
      <c r="AW32" s="387"/>
      <c r="AX32" s="489">
        <f>ROUND(ROUND(R32*AK32,0)*$AU$10,0)</f>
        <v>133</v>
      </c>
      <c r="AY32" s="393"/>
    </row>
    <row r="33" spans="1:51" ht="16.5" customHeight="1" x14ac:dyDescent="0.15">
      <c r="A33" s="340">
        <v>12</v>
      </c>
      <c r="B33" s="341">
        <v>7097</v>
      </c>
      <c r="C33" s="390" t="s">
        <v>15882</v>
      </c>
      <c r="D33" s="403"/>
      <c r="E33" s="404"/>
      <c r="F33" s="404"/>
      <c r="G33" s="404"/>
      <c r="H33" s="406"/>
      <c r="R33" s="395"/>
      <c r="S33" s="151"/>
      <c r="T33" s="151"/>
      <c r="V33" s="387"/>
      <c r="W33" s="343"/>
      <c r="X33" s="343"/>
      <c r="Y33" s="343"/>
      <c r="Z33" s="343"/>
      <c r="AA33" s="343"/>
      <c r="AB33" s="343"/>
      <c r="AC33" s="343"/>
      <c r="AD33" s="343"/>
      <c r="AE33" s="343"/>
      <c r="AF33" s="343"/>
      <c r="AG33" s="343"/>
      <c r="AH33" s="343"/>
      <c r="AI33" s="343"/>
      <c r="AJ33" s="343"/>
      <c r="AK33" s="343"/>
      <c r="AL33" s="343"/>
      <c r="AM33" s="114" t="s">
        <v>15628</v>
      </c>
      <c r="AN33" s="396"/>
      <c r="AO33" s="396"/>
      <c r="AP33" s="396"/>
      <c r="AQ33" s="396"/>
      <c r="AR33" s="396"/>
      <c r="AS33" s="396"/>
      <c r="AT33" s="396"/>
      <c r="AU33" s="490"/>
      <c r="AV33" s="152"/>
      <c r="AW33" s="387"/>
      <c r="AX33" s="489">
        <f>ROUND(ROUND(R32*AS34,0)*$AU$10,0)</f>
        <v>113</v>
      </c>
      <c r="AY33" s="393"/>
    </row>
    <row r="34" spans="1:51" ht="16.5" customHeight="1" x14ac:dyDescent="0.15">
      <c r="A34" s="340">
        <v>12</v>
      </c>
      <c r="B34" s="341">
        <v>7098</v>
      </c>
      <c r="C34" s="390" t="s">
        <v>15883</v>
      </c>
      <c r="D34" s="403"/>
      <c r="E34" s="404"/>
      <c r="F34" s="404"/>
      <c r="G34" s="404"/>
      <c r="H34" s="406"/>
      <c r="R34" s="395"/>
      <c r="S34" s="151"/>
      <c r="T34" s="151"/>
      <c r="V34" s="387"/>
      <c r="W34" s="343" t="s">
        <v>15625</v>
      </c>
      <c r="X34" s="325"/>
      <c r="Y34" s="325"/>
      <c r="Z34" s="325"/>
      <c r="AA34" s="325"/>
      <c r="AB34" s="325"/>
      <c r="AC34" s="325"/>
      <c r="AD34" s="325"/>
      <c r="AE34" s="325"/>
      <c r="AF34" s="325"/>
      <c r="AG34" s="325"/>
      <c r="AH34" s="325"/>
      <c r="AI34" s="325"/>
      <c r="AJ34" s="391" t="s">
        <v>15626</v>
      </c>
      <c r="AK34" s="838">
        <f>AK32</f>
        <v>1</v>
      </c>
      <c r="AL34" s="843"/>
      <c r="AM34" s="324" t="s">
        <v>15630</v>
      </c>
      <c r="AN34" s="325"/>
      <c r="AO34" s="325"/>
      <c r="AP34" s="325"/>
      <c r="AQ34" s="325"/>
      <c r="AR34" s="190" t="s">
        <v>398</v>
      </c>
      <c r="AS34" s="844">
        <f>AS30</f>
        <v>0.85</v>
      </c>
      <c r="AT34" s="844"/>
      <c r="AU34" s="490"/>
      <c r="AV34" s="152"/>
      <c r="AW34" s="387"/>
      <c r="AX34" s="489">
        <f>ROUND(ROUND(ROUND(R32*AK34,0)*AS34,0)*$AU$10,0)</f>
        <v>113</v>
      </c>
      <c r="AY34" s="393"/>
    </row>
    <row r="35" spans="1:51" ht="17.100000000000001" customHeight="1" x14ac:dyDescent="0.15">
      <c r="A35" s="340">
        <v>12</v>
      </c>
      <c r="B35" s="341">
        <v>2121</v>
      </c>
      <c r="C35" s="390" t="s">
        <v>15884</v>
      </c>
      <c r="D35" s="403"/>
      <c r="E35" s="404"/>
      <c r="F35" s="404"/>
      <c r="G35" s="404"/>
      <c r="H35" s="406"/>
      <c r="I35" s="253" t="s">
        <v>15664</v>
      </c>
      <c r="J35" s="396"/>
      <c r="K35" s="396"/>
      <c r="L35" s="400"/>
      <c r="M35" s="400"/>
      <c r="N35" s="400"/>
      <c r="O35" s="400"/>
      <c r="P35" s="400"/>
      <c r="Q35" s="396"/>
      <c r="R35" s="396"/>
      <c r="S35" s="396"/>
      <c r="T35" s="396"/>
      <c r="U35" s="396"/>
      <c r="V35" s="397"/>
      <c r="W35" s="343"/>
      <c r="X35" s="343"/>
      <c r="Y35" s="343"/>
      <c r="Z35" s="343"/>
      <c r="AA35" s="343"/>
      <c r="AB35" s="343"/>
      <c r="AC35" s="343"/>
      <c r="AD35" s="343"/>
      <c r="AE35" s="343"/>
      <c r="AF35" s="343"/>
      <c r="AG35" s="343"/>
      <c r="AH35" s="343"/>
      <c r="AI35" s="343"/>
      <c r="AJ35" s="343"/>
      <c r="AK35" s="343"/>
      <c r="AL35" s="407"/>
      <c r="AM35" s="396"/>
      <c r="AN35" s="396"/>
      <c r="AO35" s="396"/>
      <c r="AP35" s="396"/>
      <c r="AQ35" s="396"/>
      <c r="AR35" s="396"/>
      <c r="AS35" s="396"/>
      <c r="AT35" s="396"/>
      <c r="AU35" s="490"/>
      <c r="AV35" s="152"/>
      <c r="AW35" s="387"/>
      <c r="AX35" s="489">
        <f>ROUND(R36*$AU$10,0)</f>
        <v>123</v>
      </c>
      <c r="AY35" s="393"/>
    </row>
    <row r="36" spans="1:51" ht="16.5" customHeight="1" x14ac:dyDescent="0.15">
      <c r="A36" s="340">
        <v>12</v>
      </c>
      <c r="B36" s="341">
        <v>2122</v>
      </c>
      <c r="C36" s="390" t="s">
        <v>15885</v>
      </c>
      <c r="D36" s="403"/>
      <c r="E36" s="404"/>
      <c r="F36" s="404"/>
      <c r="G36" s="404"/>
      <c r="H36" s="406"/>
      <c r="R36" s="836">
        <f>'2重度訪問'!U36</f>
        <v>98</v>
      </c>
      <c r="S36" s="837"/>
      <c r="T36" s="837"/>
      <c r="U36" s="152" t="s">
        <v>15624</v>
      </c>
      <c r="V36" s="387"/>
      <c r="W36" s="343" t="s">
        <v>15625</v>
      </c>
      <c r="X36" s="325"/>
      <c r="Y36" s="325"/>
      <c r="Z36" s="325"/>
      <c r="AA36" s="325"/>
      <c r="AB36" s="325"/>
      <c r="AC36" s="325"/>
      <c r="AD36" s="325"/>
      <c r="AE36" s="325"/>
      <c r="AF36" s="325"/>
      <c r="AG36" s="325"/>
      <c r="AH36" s="325"/>
      <c r="AI36" s="325"/>
      <c r="AJ36" s="391" t="s">
        <v>15626</v>
      </c>
      <c r="AK36" s="838">
        <f>AK34</f>
        <v>1</v>
      </c>
      <c r="AL36" s="839"/>
      <c r="AM36" s="325"/>
      <c r="AN36" s="325"/>
      <c r="AO36" s="325"/>
      <c r="AP36" s="325"/>
      <c r="AQ36" s="325"/>
      <c r="AR36" s="325"/>
      <c r="AS36" s="325"/>
      <c r="AT36" s="391"/>
      <c r="AU36" s="490"/>
      <c r="AV36" s="152"/>
      <c r="AW36" s="387"/>
      <c r="AX36" s="489">
        <f>ROUND(ROUND(R36*AK36,0)*$AU$10,0)</f>
        <v>123</v>
      </c>
      <c r="AY36" s="393"/>
    </row>
    <row r="37" spans="1:51" ht="16.5" customHeight="1" x14ac:dyDescent="0.15">
      <c r="A37" s="340">
        <v>12</v>
      </c>
      <c r="B37" s="341">
        <v>7099</v>
      </c>
      <c r="C37" s="390" t="s">
        <v>15886</v>
      </c>
      <c r="D37" s="403"/>
      <c r="E37" s="404"/>
      <c r="F37" s="404"/>
      <c r="G37" s="404"/>
      <c r="H37" s="406"/>
      <c r="R37" s="395"/>
      <c r="S37" s="151"/>
      <c r="T37" s="151"/>
      <c r="V37" s="387"/>
      <c r="W37" s="343"/>
      <c r="X37" s="343"/>
      <c r="Y37" s="343"/>
      <c r="Z37" s="343"/>
      <c r="AA37" s="343"/>
      <c r="AB37" s="343"/>
      <c r="AC37" s="343"/>
      <c r="AD37" s="343"/>
      <c r="AE37" s="343"/>
      <c r="AF37" s="343"/>
      <c r="AG37" s="343"/>
      <c r="AH37" s="343"/>
      <c r="AI37" s="343"/>
      <c r="AJ37" s="343"/>
      <c r="AK37" s="343"/>
      <c r="AL37" s="343"/>
      <c r="AM37" s="114" t="s">
        <v>15628</v>
      </c>
      <c r="AN37" s="396"/>
      <c r="AO37" s="396"/>
      <c r="AP37" s="396"/>
      <c r="AQ37" s="396"/>
      <c r="AR37" s="396"/>
      <c r="AS37" s="396"/>
      <c r="AT37" s="396"/>
      <c r="AU37" s="490"/>
      <c r="AV37" s="152"/>
      <c r="AW37" s="387"/>
      <c r="AX37" s="489">
        <f>ROUND(ROUND(R36*AS38,0)*$AU$10,0)</f>
        <v>104</v>
      </c>
      <c r="AY37" s="393"/>
    </row>
    <row r="38" spans="1:51" ht="16.5" customHeight="1" x14ac:dyDescent="0.15">
      <c r="A38" s="340">
        <v>12</v>
      </c>
      <c r="B38" s="341">
        <v>7100</v>
      </c>
      <c r="C38" s="390" t="s">
        <v>15887</v>
      </c>
      <c r="D38" s="403"/>
      <c r="E38" s="404"/>
      <c r="F38" s="404"/>
      <c r="G38" s="404"/>
      <c r="H38" s="406"/>
      <c r="R38" s="395"/>
      <c r="S38" s="151"/>
      <c r="T38" s="151"/>
      <c r="V38" s="387"/>
      <c r="W38" s="343" t="s">
        <v>15625</v>
      </c>
      <c r="X38" s="325"/>
      <c r="Y38" s="325"/>
      <c r="Z38" s="325"/>
      <c r="AA38" s="325"/>
      <c r="AB38" s="325"/>
      <c r="AC38" s="325"/>
      <c r="AD38" s="325"/>
      <c r="AE38" s="325"/>
      <c r="AF38" s="325"/>
      <c r="AG38" s="325"/>
      <c r="AH38" s="325"/>
      <c r="AI38" s="325"/>
      <c r="AJ38" s="391" t="s">
        <v>15626</v>
      </c>
      <c r="AK38" s="838">
        <f>AK36</f>
        <v>1</v>
      </c>
      <c r="AL38" s="843"/>
      <c r="AM38" s="324" t="s">
        <v>15630</v>
      </c>
      <c r="AN38" s="325"/>
      <c r="AO38" s="325"/>
      <c r="AP38" s="325"/>
      <c r="AQ38" s="325"/>
      <c r="AR38" s="190" t="s">
        <v>398</v>
      </c>
      <c r="AS38" s="844">
        <f>AS34</f>
        <v>0.85</v>
      </c>
      <c r="AT38" s="844"/>
      <c r="AU38" s="490"/>
      <c r="AV38" s="152"/>
      <c r="AW38" s="387"/>
      <c r="AX38" s="489">
        <f>ROUND(ROUND(ROUND(R36*AK38,0)*AS38,0)*$AU$10,0)</f>
        <v>104</v>
      </c>
      <c r="AY38" s="393"/>
    </row>
    <row r="39" spans="1:51" ht="17.100000000000001" customHeight="1" x14ac:dyDescent="0.15">
      <c r="A39" s="340">
        <v>12</v>
      </c>
      <c r="B39" s="341">
        <v>2131</v>
      </c>
      <c r="C39" s="390" t="s">
        <v>15888</v>
      </c>
      <c r="D39" s="403"/>
      <c r="E39" s="404"/>
      <c r="F39" s="404"/>
      <c r="G39" s="404"/>
      <c r="H39" s="406"/>
      <c r="I39" s="253" t="s">
        <v>15669</v>
      </c>
      <c r="J39" s="396"/>
      <c r="K39" s="396"/>
      <c r="L39" s="400"/>
      <c r="M39" s="400"/>
      <c r="N39" s="400"/>
      <c r="O39" s="400"/>
      <c r="P39" s="400"/>
      <c r="Q39" s="396"/>
      <c r="R39" s="396"/>
      <c r="S39" s="396"/>
      <c r="T39" s="396"/>
      <c r="U39" s="396"/>
      <c r="V39" s="397"/>
      <c r="W39" s="343"/>
      <c r="X39" s="343"/>
      <c r="Y39" s="343"/>
      <c r="Z39" s="343"/>
      <c r="AA39" s="343"/>
      <c r="AB39" s="343"/>
      <c r="AC39" s="343"/>
      <c r="AD39" s="343"/>
      <c r="AE39" s="343"/>
      <c r="AF39" s="343"/>
      <c r="AG39" s="343"/>
      <c r="AH39" s="343"/>
      <c r="AI39" s="343"/>
      <c r="AJ39" s="343"/>
      <c r="AK39" s="343"/>
      <c r="AL39" s="407"/>
      <c r="AM39" s="396"/>
      <c r="AN39" s="396"/>
      <c r="AO39" s="396"/>
      <c r="AP39" s="396"/>
      <c r="AQ39" s="396"/>
      <c r="AR39" s="396"/>
      <c r="AS39" s="396"/>
      <c r="AT39" s="396"/>
      <c r="AU39" s="490"/>
      <c r="AV39" s="152"/>
      <c r="AW39" s="387"/>
      <c r="AX39" s="489">
        <f>ROUND(R40*$AU$10,0)</f>
        <v>123</v>
      </c>
      <c r="AY39" s="393"/>
    </row>
    <row r="40" spans="1:51" ht="16.5" customHeight="1" x14ac:dyDescent="0.15">
      <c r="A40" s="340">
        <v>12</v>
      </c>
      <c r="B40" s="341">
        <v>2132</v>
      </c>
      <c r="C40" s="390" t="s">
        <v>15889</v>
      </c>
      <c r="D40" s="403"/>
      <c r="E40" s="404"/>
      <c r="F40" s="404"/>
      <c r="G40" s="404"/>
      <c r="H40" s="406"/>
      <c r="R40" s="836">
        <f>'2重度訪問'!U40</f>
        <v>98</v>
      </c>
      <c r="S40" s="837"/>
      <c r="T40" s="837"/>
      <c r="U40" s="152" t="s">
        <v>15624</v>
      </c>
      <c r="V40" s="387"/>
      <c r="W40" s="343" t="s">
        <v>15625</v>
      </c>
      <c r="X40" s="325"/>
      <c r="Y40" s="325"/>
      <c r="Z40" s="325"/>
      <c r="AA40" s="325"/>
      <c r="AB40" s="325"/>
      <c r="AC40" s="325"/>
      <c r="AD40" s="325"/>
      <c r="AE40" s="325"/>
      <c r="AF40" s="325"/>
      <c r="AG40" s="325"/>
      <c r="AH40" s="325"/>
      <c r="AI40" s="325"/>
      <c r="AJ40" s="391" t="s">
        <v>15626</v>
      </c>
      <c r="AK40" s="838">
        <f>AK38</f>
        <v>1</v>
      </c>
      <c r="AL40" s="839"/>
      <c r="AM40" s="325"/>
      <c r="AN40" s="325"/>
      <c r="AO40" s="325"/>
      <c r="AP40" s="325"/>
      <c r="AQ40" s="325"/>
      <c r="AR40" s="325"/>
      <c r="AS40" s="325"/>
      <c r="AT40" s="391"/>
      <c r="AU40" s="490"/>
      <c r="AV40" s="152"/>
      <c r="AW40" s="387"/>
      <c r="AX40" s="489">
        <f>ROUND(ROUND(R40*AK40,0)*$AU$10,0)</f>
        <v>123</v>
      </c>
      <c r="AY40" s="393"/>
    </row>
    <row r="41" spans="1:51" ht="16.5" customHeight="1" x14ac:dyDescent="0.15">
      <c r="A41" s="340">
        <v>12</v>
      </c>
      <c r="B41" s="341">
        <v>7101</v>
      </c>
      <c r="C41" s="390" t="s">
        <v>15890</v>
      </c>
      <c r="D41" s="403"/>
      <c r="E41" s="404"/>
      <c r="F41" s="404"/>
      <c r="G41" s="404"/>
      <c r="H41" s="406"/>
      <c r="R41" s="395"/>
      <c r="S41" s="151"/>
      <c r="T41" s="151"/>
      <c r="V41" s="387"/>
      <c r="W41" s="343"/>
      <c r="X41" s="343"/>
      <c r="Y41" s="343"/>
      <c r="Z41" s="343"/>
      <c r="AA41" s="343"/>
      <c r="AB41" s="343"/>
      <c r="AC41" s="343"/>
      <c r="AD41" s="343"/>
      <c r="AE41" s="343"/>
      <c r="AF41" s="343"/>
      <c r="AG41" s="343"/>
      <c r="AH41" s="343"/>
      <c r="AI41" s="343"/>
      <c r="AJ41" s="343"/>
      <c r="AK41" s="343"/>
      <c r="AL41" s="343"/>
      <c r="AM41" s="114" t="s">
        <v>15628</v>
      </c>
      <c r="AN41" s="396"/>
      <c r="AO41" s="396"/>
      <c r="AP41" s="396"/>
      <c r="AQ41" s="396"/>
      <c r="AR41" s="396"/>
      <c r="AS41" s="396"/>
      <c r="AT41" s="396"/>
      <c r="AU41" s="490"/>
      <c r="AV41" s="152"/>
      <c r="AW41" s="387"/>
      <c r="AX41" s="489">
        <f>ROUND(ROUND(R40*AS42,0)*$AU$10,0)</f>
        <v>104</v>
      </c>
      <c r="AY41" s="393"/>
    </row>
    <row r="42" spans="1:51" ht="16.5" customHeight="1" x14ac:dyDescent="0.15">
      <c r="A42" s="340">
        <v>12</v>
      </c>
      <c r="B42" s="341">
        <v>7102</v>
      </c>
      <c r="C42" s="390" t="s">
        <v>15891</v>
      </c>
      <c r="D42" s="403"/>
      <c r="E42" s="404"/>
      <c r="F42" s="404"/>
      <c r="G42" s="404"/>
      <c r="H42" s="406"/>
      <c r="R42" s="395"/>
      <c r="S42" s="151"/>
      <c r="T42" s="151"/>
      <c r="V42" s="387"/>
      <c r="W42" s="343" t="s">
        <v>15625</v>
      </c>
      <c r="X42" s="325"/>
      <c r="Y42" s="325"/>
      <c r="Z42" s="325"/>
      <c r="AA42" s="325"/>
      <c r="AB42" s="325"/>
      <c r="AC42" s="325"/>
      <c r="AD42" s="325"/>
      <c r="AE42" s="325"/>
      <c r="AF42" s="325"/>
      <c r="AG42" s="325"/>
      <c r="AH42" s="325"/>
      <c r="AI42" s="325"/>
      <c r="AJ42" s="391" t="s">
        <v>15626</v>
      </c>
      <c r="AK42" s="838">
        <f>AK40</f>
        <v>1</v>
      </c>
      <c r="AL42" s="843"/>
      <c r="AM42" s="324" t="s">
        <v>15630</v>
      </c>
      <c r="AN42" s="325"/>
      <c r="AO42" s="325"/>
      <c r="AP42" s="325"/>
      <c r="AQ42" s="325"/>
      <c r="AR42" s="190" t="s">
        <v>398</v>
      </c>
      <c r="AS42" s="844">
        <f>AS38</f>
        <v>0.85</v>
      </c>
      <c r="AT42" s="844"/>
      <c r="AU42" s="490"/>
      <c r="AV42" s="152"/>
      <c r="AW42" s="387"/>
      <c r="AX42" s="489">
        <f>ROUND(ROUND(ROUND(R40*AK42,0)*AS42,0)*$AU$10,0)</f>
        <v>104</v>
      </c>
      <c r="AY42" s="393"/>
    </row>
    <row r="43" spans="1:51" ht="17.100000000000001" customHeight="1" x14ac:dyDescent="0.15">
      <c r="A43" s="340">
        <v>12</v>
      </c>
      <c r="B43" s="341">
        <v>2141</v>
      </c>
      <c r="C43" s="390" t="s">
        <v>15892</v>
      </c>
      <c r="D43" s="403"/>
      <c r="E43" s="404"/>
      <c r="F43" s="404"/>
      <c r="G43" s="404"/>
      <c r="H43" s="406"/>
      <c r="I43" s="253" t="s">
        <v>15674</v>
      </c>
      <c r="J43" s="396"/>
      <c r="K43" s="396"/>
      <c r="L43" s="400"/>
      <c r="M43" s="400"/>
      <c r="N43" s="400"/>
      <c r="O43" s="400"/>
      <c r="P43" s="400"/>
      <c r="Q43" s="396"/>
      <c r="R43" s="396"/>
      <c r="S43" s="396"/>
      <c r="T43" s="396"/>
      <c r="U43" s="396"/>
      <c r="V43" s="397"/>
      <c r="W43" s="343"/>
      <c r="X43" s="343"/>
      <c r="Y43" s="343"/>
      <c r="Z43" s="343"/>
      <c r="AA43" s="343"/>
      <c r="AB43" s="343"/>
      <c r="AC43" s="343"/>
      <c r="AD43" s="343"/>
      <c r="AE43" s="343"/>
      <c r="AF43" s="343"/>
      <c r="AG43" s="343"/>
      <c r="AH43" s="343"/>
      <c r="AI43" s="343"/>
      <c r="AJ43" s="343"/>
      <c r="AK43" s="343"/>
      <c r="AL43" s="407"/>
      <c r="AM43" s="396"/>
      <c r="AN43" s="396"/>
      <c r="AO43" s="396"/>
      <c r="AP43" s="396"/>
      <c r="AQ43" s="396"/>
      <c r="AR43" s="396"/>
      <c r="AS43" s="396"/>
      <c r="AT43" s="396"/>
      <c r="AU43" s="490"/>
      <c r="AV43" s="152"/>
      <c r="AW43" s="387"/>
      <c r="AX43" s="489">
        <f>ROUND(R44*$AU$10,0)</f>
        <v>115</v>
      </c>
      <c r="AY43" s="393"/>
    </row>
    <row r="44" spans="1:51" ht="16.5" customHeight="1" x14ac:dyDescent="0.15">
      <c r="A44" s="340">
        <v>12</v>
      </c>
      <c r="B44" s="341">
        <v>2142</v>
      </c>
      <c r="C44" s="390" t="s">
        <v>15893</v>
      </c>
      <c r="D44" s="403"/>
      <c r="E44" s="404"/>
      <c r="F44" s="404"/>
      <c r="G44" s="404"/>
      <c r="H44" s="406"/>
      <c r="R44" s="836">
        <f>'2重度訪問'!U44</f>
        <v>92</v>
      </c>
      <c r="S44" s="837"/>
      <c r="T44" s="837"/>
      <c r="U44" s="152" t="s">
        <v>15624</v>
      </c>
      <c r="V44" s="387"/>
      <c r="W44" s="343" t="s">
        <v>15625</v>
      </c>
      <c r="X44" s="325"/>
      <c r="Y44" s="325"/>
      <c r="Z44" s="325"/>
      <c r="AA44" s="325"/>
      <c r="AB44" s="325"/>
      <c r="AC44" s="325"/>
      <c r="AD44" s="325"/>
      <c r="AE44" s="325"/>
      <c r="AF44" s="325"/>
      <c r="AG44" s="325"/>
      <c r="AH44" s="325"/>
      <c r="AI44" s="325"/>
      <c r="AJ44" s="391" t="s">
        <v>15626</v>
      </c>
      <c r="AK44" s="838">
        <f>AK42</f>
        <v>1</v>
      </c>
      <c r="AL44" s="839"/>
      <c r="AM44" s="325"/>
      <c r="AN44" s="325"/>
      <c r="AO44" s="325"/>
      <c r="AP44" s="325"/>
      <c r="AQ44" s="325"/>
      <c r="AR44" s="325"/>
      <c r="AS44" s="325"/>
      <c r="AT44" s="391"/>
      <c r="AU44" s="490"/>
      <c r="AV44" s="152"/>
      <c r="AW44" s="387"/>
      <c r="AX44" s="489">
        <f>ROUND(ROUND(R44*AK44,0)*$AU$10,0)</f>
        <v>115</v>
      </c>
      <c r="AY44" s="393"/>
    </row>
    <row r="45" spans="1:51" ht="16.5" customHeight="1" x14ac:dyDescent="0.15">
      <c r="A45" s="340">
        <v>12</v>
      </c>
      <c r="B45" s="341">
        <v>7103</v>
      </c>
      <c r="C45" s="390" t="s">
        <v>15894</v>
      </c>
      <c r="D45" s="403"/>
      <c r="E45" s="404"/>
      <c r="F45" s="404"/>
      <c r="G45" s="404"/>
      <c r="H45" s="406"/>
      <c r="R45" s="395"/>
      <c r="S45" s="151"/>
      <c r="T45" s="151"/>
      <c r="V45" s="387"/>
      <c r="W45" s="343"/>
      <c r="X45" s="343"/>
      <c r="Y45" s="343"/>
      <c r="Z45" s="343"/>
      <c r="AA45" s="343"/>
      <c r="AB45" s="343"/>
      <c r="AC45" s="343"/>
      <c r="AD45" s="343"/>
      <c r="AE45" s="343"/>
      <c r="AF45" s="343"/>
      <c r="AG45" s="343"/>
      <c r="AH45" s="343"/>
      <c r="AI45" s="343"/>
      <c r="AJ45" s="343"/>
      <c r="AK45" s="343"/>
      <c r="AL45" s="343"/>
      <c r="AM45" s="114" t="s">
        <v>15628</v>
      </c>
      <c r="AN45" s="396"/>
      <c r="AO45" s="396"/>
      <c r="AP45" s="396"/>
      <c r="AQ45" s="396"/>
      <c r="AR45" s="396"/>
      <c r="AS45" s="396"/>
      <c r="AT45" s="396"/>
      <c r="AU45" s="490"/>
      <c r="AV45" s="152"/>
      <c r="AW45" s="387"/>
      <c r="AX45" s="489">
        <f>ROUND(ROUND(R44*AS46,0)*$AU$10,0)</f>
        <v>98</v>
      </c>
      <c r="AY45" s="393"/>
    </row>
    <row r="46" spans="1:51" ht="16.5" customHeight="1" x14ac:dyDescent="0.15">
      <c r="A46" s="340">
        <v>12</v>
      </c>
      <c r="B46" s="341">
        <v>7104</v>
      </c>
      <c r="C46" s="390" t="s">
        <v>15895</v>
      </c>
      <c r="D46" s="403"/>
      <c r="E46" s="404"/>
      <c r="F46" s="404"/>
      <c r="G46" s="404"/>
      <c r="H46" s="406"/>
      <c r="R46" s="395"/>
      <c r="S46" s="151"/>
      <c r="T46" s="151"/>
      <c r="V46" s="387"/>
      <c r="W46" s="343" t="s">
        <v>15625</v>
      </c>
      <c r="X46" s="325"/>
      <c r="Y46" s="325"/>
      <c r="Z46" s="325"/>
      <c r="AA46" s="325"/>
      <c r="AB46" s="325"/>
      <c r="AC46" s="325"/>
      <c r="AD46" s="325"/>
      <c r="AE46" s="325"/>
      <c r="AF46" s="325"/>
      <c r="AG46" s="325"/>
      <c r="AH46" s="325"/>
      <c r="AI46" s="325"/>
      <c r="AJ46" s="391" t="s">
        <v>15626</v>
      </c>
      <c r="AK46" s="838">
        <f>AK44</f>
        <v>1</v>
      </c>
      <c r="AL46" s="843"/>
      <c r="AM46" s="324" t="s">
        <v>15630</v>
      </c>
      <c r="AN46" s="325"/>
      <c r="AO46" s="325"/>
      <c r="AP46" s="325"/>
      <c r="AQ46" s="325"/>
      <c r="AR46" s="190" t="s">
        <v>398</v>
      </c>
      <c r="AS46" s="844">
        <f>AS42</f>
        <v>0.85</v>
      </c>
      <c r="AT46" s="844"/>
      <c r="AU46" s="490"/>
      <c r="AV46" s="152"/>
      <c r="AW46" s="387"/>
      <c r="AX46" s="489">
        <f>ROUND(ROUND(ROUND(R44*AK46,0)*AS46,0)*$AU$10,0)</f>
        <v>98</v>
      </c>
      <c r="AY46" s="393"/>
    </row>
    <row r="47" spans="1:51" ht="17.100000000000001" customHeight="1" x14ac:dyDescent="0.15">
      <c r="A47" s="340">
        <v>12</v>
      </c>
      <c r="B47" s="341">
        <v>2151</v>
      </c>
      <c r="C47" s="390" t="s">
        <v>15896</v>
      </c>
      <c r="D47" s="403"/>
      <c r="E47" s="404"/>
      <c r="F47" s="404"/>
      <c r="G47" s="404"/>
      <c r="H47" s="406"/>
      <c r="I47" s="253" t="s">
        <v>15679</v>
      </c>
      <c r="J47" s="396"/>
      <c r="K47" s="396"/>
      <c r="L47" s="400"/>
      <c r="M47" s="400"/>
      <c r="N47" s="400"/>
      <c r="O47" s="400"/>
      <c r="P47" s="400"/>
      <c r="Q47" s="396"/>
      <c r="R47" s="396"/>
      <c r="S47" s="396"/>
      <c r="T47" s="396"/>
      <c r="U47" s="396"/>
      <c r="V47" s="397"/>
      <c r="W47" s="343"/>
      <c r="X47" s="343"/>
      <c r="Y47" s="343"/>
      <c r="Z47" s="343"/>
      <c r="AA47" s="343"/>
      <c r="AB47" s="343"/>
      <c r="AC47" s="343"/>
      <c r="AD47" s="343"/>
      <c r="AE47" s="343"/>
      <c r="AF47" s="343"/>
      <c r="AG47" s="343"/>
      <c r="AH47" s="343"/>
      <c r="AI47" s="343"/>
      <c r="AJ47" s="343"/>
      <c r="AK47" s="343"/>
      <c r="AL47" s="407"/>
      <c r="AM47" s="396"/>
      <c r="AN47" s="396"/>
      <c r="AO47" s="396"/>
      <c r="AP47" s="396"/>
      <c r="AQ47" s="396"/>
      <c r="AR47" s="396"/>
      <c r="AS47" s="396"/>
      <c r="AT47" s="396"/>
      <c r="AU47" s="490"/>
      <c r="AV47" s="152"/>
      <c r="AW47" s="387"/>
      <c r="AX47" s="489">
        <f>ROUND(R48*$AU$10,0)</f>
        <v>124</v>
      </c>
      <c r="AY47" s="393"/>
    </row>
    <row r="48" spans="1:51" ht="16.5" customHeight="1" x14ac:dyDescent="0.15">
      <c r="A48" s="340">
        <v>12</v>
      </c>
      <c r="B48" s="341">
        <v>2152</v>
      </c>
      <c r="C48" s="390" t="s">
        <v>15897</v>
      </c>
      <c r="D48" s="403"/>
      <c r="E48" s="404"/>
      <c r="F48" s="404"/>
      <c r="G48" s="404"/>
      <c r="H48" s="406"/>
      <c r="R48" s="836">
        <f>'2重度訪問'!U48</f>
        <v>99</v>
      </c>
      <c r="S48" s="837"/>
      <c r="T48" s="837"/>
      <c r="U48" s="152" t="s">
        <v>15624</v>
      </c>
      <c r="V48" s="387"/>
      <c r="W48" s="343" t="s">
        <v>15625</v>
      </c>
      <c r="X48" s="325"/>
      <c r="Y48" s="325"/>
      <c r="Z48" s="325"/>
      <c r="AA48" s="325"/>
      <c r="AB48" s="325"/>
      <c r="AC48" s="325"/>
      <c r="AD48" s="325"/>
      <c r="AE48" s="325"/>
      <c r="AF48" s="325"/>
      <c r="AG48" s="325"/>
      <c r="AH48" s="325"/>
      <c r="AI48" s="325"/>
      <c r="AJ48" s="391" t="s">
        <v>15626</v>
      </c>
      <c r="AK48" s="838">
        <f>AK46</f>
        <v>1</v>
      </c>
      <c r="AL48" s="839"/>
      <c r="AM48" s="325"/>
      <c r="AN48" s="325"/>
      <c r="AO48" s="325"/>
      <c r="AP48" s="325"/>
      <c r="AQ48" s="325"/>
      <c r="AR48" s="325"/>
      <c r="AS48" s="325"/>
      <c r="AT48" s="391"/>
      <c r="AU48" s="490"/>
      <c r="AV48" s="152"/>
      <c r="AW48" s="387"/>
      <c r="AX48" s="489">
        <f>ROUND(ROUND(R48*AK48,0)*$AU$10,0)</f>
        <v>124</v>
      </c>
      <c r="AY48" s="393"/>
    </row>
    <row r="49" spans="1:51" ht="16.5" customHeight="1" x14ac:dyDescent="0.15">
      <c r="A49" s="340">
        <v>12</v>
      </c>
      <c r="B49" s="341">
        <v>7105</v>
      </c>
      <c r="C49" s="390" t="s">
        <v>15898</v>
      </c>
      <c r="D49" s="403"/>
      <c r="E49" s="404"/>
      <c r="F49" s="404"/>
      <c r="G49" s="404"/>
      <c r="H49" s="406"/>
      <c r="R49" s="395"/>
      <c r="S49" s="151"/>
      <c r="T49" s="151"/>
      <c r="V49" s="387"/>
      <c r="W49" s="343"/>
      <c r="X49" s="343"/>
      <c r="Y49" s="343"/>
      <c r="Z49" s="343"/>
      <c r="AA49" s="343"/>
      <c r="AB49" s="343"/>
      <c r="AC49" s="343"/>
      <c r="AD49" s="343"/>
      <c r="AE49" s="343"/>
      <c r="AF49" s="343"/>
      <c r="AG49" s="343"/>
      <c r="AH49" s="343"/>
      <c r="AI49" s="343"/>
      <c r="AJ49" s="343"/>
      <c r="AK49" s="343"/>
      <c r="AL49" s="343"/>
      <c r="AM49" s="114" t="s">
        <v>15628</v>
      </c>
      <c r="AN49" s="396"/>
      <c r="AO49" s="396"/>
      <c r="AP49" s="396"/>
      <c r="AQ49" s="396"/>
      <c r="AR49" s="396"/>
      <c r="AS49" s="396"/>
      <c r="AT49" s="396"/>
      <c r="AU49" s="490"/>
      <c r="AV49" s="152"/>
      <c r="AW49" s="387"/>
      <c r="AX49" s="489">
        <f>ROUND(ROUND(R48*AS50,0)*$AU$10,0)</f>
        <v>105</v>
      </c>
      <c r="AY49" s="393"/>
    </row>
    <row r="50" spans="1:51" ht="16.5" customHeight="1" x14ac:dyDescent="0.15">
      <c r="A50" s="340">
        <v>12</v>
      </c>
      <c r="B50" s="341">
        <v>7106</v>
      </c>
      <c r="C50" s="390" t="s">
        <v>15899</v>
      </c>
      <c r="D50" s="403"/>
      <c r="E50" s="404"/>
      <c r="F50" s="404"/>
      <c r="G50" s="404"/>
      <c r="H50" s="406"/>
      <c r="R50" s="395"/>
      <c r="S50" s="151"/>
      <c r="T50" s="151"/>
      <c r="V50" s="387"/>
      <c r="W50" s="343" t="s">
        <v>15625</v>
      </c>
      <c r="X50" s="325"/>
      <c r="Y50" s="325"/>
      <c r="Z50" s="325"/>
      <c r="AA50" s="325"/>
      <c r="AB50" s="325"/>
      <c r="AC50" s="325"/>
      <c r="AD50" s="325"/>
      <c r="AE50" s="325"/>
      <c r="AF50" s="325"/>
      <c r="AG50" s="325"/>
      <c r="AH50" s="325"/>
      <c r="AI50" s="325"/>
      <c r="AJ50" s="391" t="s">
        <v>15626</v>
      </c>
      <c r="AK50" s="838">
        <f>AK48</f>
        <v>1</v>
      </c>
      <c r="AL50" s="843"/>
      <c r="AM50" s="324" t="s">
        <v>15630</v>
      </c>
      <c r="AN50" s="325"/>
      <c r="AO50" s="325"/>
      <c r="AP50" s="325"/>
      <c r="AQ50" s="325"/>
      <c r="AR50" s="190" t="s">
        <v>398</v>
      </c>
      <c r="AS50" s="844">
        <f>AS46</f>
        <v>0.85</v>
      </c>
      <c r="AT50" s="844"/>
      <c r="AU50" s="490"/>
      <c r="AV50" s="152"/>
      <c r="AW50" s="387"/>
      <c r="AX50" s="489">
        <f>ROUND(ROUND(ROUND(R48*AK50,0)*AS50,0)*$AU$10,0)</f>
        <v>105</v>
      </c>
      <c r="AY50" s="393"/>
    </row>
    <row r="51" spans="1:51" ht="17.100000000000001" customHeight="1" x14ac:dyDescent="0.15">
      <c r="A51" s="340">
        <v>12</v>
      </c>
      <c r="B51" s="341">
        <v>2161</v>
      </c>
      <c r="C51" s="390" t="s">
        <v>15900</v>
      </c>
      <c r="D51" s="403"/>
      <c r="E51" s="404"/>
      <c r="F51" s="404"/>
      <c r="G51" s="404"/>
      <c r="H51" s="406"/>
      <c r="I51" s="253" t="s">
        <v>15684</v>
      </c>
      <c r="J51" s="396"/>
      <c r="K51" s="396"/>
      <c r="L51" s="400"/>
      <c r="M51" s="400"/>
      <c r="N51" s="400"/>
      <c r="O51" s="400"/>
      <c r="P51" s="400"/>
      <c r="Q51" s="396"/>
      <c r="R51" s="396"/>
      <c r="S51" s="396"/>
      <c r="T51" s="396"/>
      <c r="U51" s="396"/>
      <c r="V51" s="397"/>
      <c r="W51" s="343"/>
      <c r="X51" s="343"/>
      <c r="Y51" s="343"/>
      <c r="Z51" s="343"/>
      <c r="AA51" s="343"/>
      <c r="AB51" s="343"/>
      <c r="AC51" s="343"/>
      <c r="AD51" s="343"/>
      <c r="AE51" s="343"/>
      <c r="AF51" s="343"/>
      <c r="AG51" s="343"/>
      <c r="AH51" s="343"/>
      <c r="AI51" s="343"/>
      <c r="AJ51" s="343"/>
      <c r="AK51" s="343"/>
      <c r="AL51" s="407"/>
      <c r="AM51" s="396"/>
      <c r="AN51" s="396"/>
      <c r="AO51" s="396"/>
      <c r="AP51" s="396"/>
      <c r="AQ51" s="396"/>
      <c r="AR51" s="396"/>
      <c r="AS51" s="396"/>
      <c r="AT51" s="396"/>
      <c r="AU51" s="490"/>
      <c r="AV51" s="152"/>
      <c r="AW51" s="387"/>
      <c r="AX51" s="489">
        <f>ROUND(R52*$AU$10,0)</f>
        <v>115</v>
      </c>
      <c r="AY51" s="393"/>
    </row>
    <row r="52" spans="1:51" ht="16.5" customHeight="1" x14ac:dyDescent="0.15">
      <c r="A52" s="340">
        <v>12</v>
      </c>
      <c r="B52" s="341">
        <v>2162</v>
      </c>
      <c r="C52" s="390" t="s">
        <v>15901</v>
      </c>
      <c r="D52" s="403"/>
      <c r="E52" s="404"/>
      <c r="F52" s="404"/>
      <c r="G52" s="404"/>
      <c r="H52" s="406"/>
      <c r="R52" s="836">
        <f>'2重度訪問'!U52</f>
        <v>92</v>
      </c>
      <c r="S52" s="837"/>
      <c r="T52" s="837"/>
      <c r="U52" s="152" t="s">
        <v>15624</v>
      </c>
      <c r="V52" s="387"/>
      <c r="W52" s="343" t="s">
        <v>15625</v>
      </c>
      <c r="X52" s="325"/>
      <c r="Y52" s="325"/>
      <c r="Z52" s="325"/>
      <c r="AA52" s="325"/>
      <c r="AB52" s="325"/>
      <c r="AC52" s="325"/>
      <c r="AD52" s="325"/>
      <c r="AE52" s="325"/>
      <c r="AF52" s="325"/>
      <c r="AG52" s="325"/>
      <c r="AH52" s="325"/>
      <c r="AI52" s="325"/>
      <c r="AJ52" s="391" t="s">
        <v>15626</v>
      </c>
      <c r="AK52" s="838">
        <f>AK50</f>
        <v>1</v>
      </c>
      <c r="AL52" s="839"/>
      <c r="AM52" s="325"/>
      <c r="AN52" s="325"/>
      <c r="AO52" s="325"/>
      <c r="AP52" s="325"/>
      <c r="AQ52" s="325"/>
      <c r="AR52" s="325"/>
      <c r="AS52" s="325"/>
      <c r="AT52" s="391"/>
      <c r="AU52" s="490"/>
      <c r="AV52" s="152"/>
      <c r="AW52" s="387"/>
      <c r="AX52" s="489">
        <f>ROUND(ROUND(R52*AK52,0)*$AU$10,0)</f>
        <v>115</v>
      </c>
      <c r="AY52" s="393"/>
    </row>
    <row r="53" spans="1:51" ht="16.5" customHeight="1" x14ac:dyDescent="0.15">
      <c r="A53" s="340">
        <v>12</v>
      </c>
      <c r="B53" s="341">
        <v>7107</v>
      </c>
      <c r="C53" s="390" t="s">
        <v>15902</v>
      </c>
      <c r="D53" s="408"/>
      <c r="E53" s="409"/>
      <c r="F53" s="409"/>
      <c r="G53" s="409"/>
      <c r="H53" s="411"/>
      <c r="R53" s="395"/>
      <c r="S53" s="151"/>
      <c r="T53" s="151"/>
      <c r="V53" s="387"/>
      <c r="W53" s="343"/>
      <c r="X53" s="343"/>
      <c r="Y53" s="343"/>
      <c r="Z53" s="343"/>
      <c r="AA53" s="343"/>
      <c r="AB53" s="343"/>
      <c r="AC53" s="343"/>
      <c r="AD53" s="343"/>
      <c r="AE53" s="343"/>
      <c r="AF53" s="343"/>
      <c r="AG53" s="343"/>
      <c r="AH53" s="343"/>
      <c r="AI53" s="343"/>
      <c r="AJ53" s="343"/>
      <c r="AK53" s="343"/>
      <c r="AL53" s="343"/>
      <c r="AM53" s="114" t="s">
        <v>15628</v>
      </c>
      <c r="AN53" s="396"/>
      <c r="AO53" s="396"/>
      <c r="AP53" s="396"/>
      <c r="AQ53" s="396"/>
      <c r="AR53" s="396"/>
      <c r="AS53" s="396"/>
      <c r="AT53" s="396"/>
      <c r="AU53" s="490"/>
      <c r="AV53" s="152"/>
      <c r="AW53" s="387"/>
      <c r="AX53" s="489">
        <f>ROUND(ROUND(R52*AS54,0)*$AU$10,0)</f>
        <v>98</v>
      </c>
      <c r="AY53" s="393"/>
    </row>
    <row r="54" spans="1:51" ht="16.5" customHeight="1" x14ac:dyDescent="0.15">
      <c r="A54" s="340">
        <v>12</v>
      </c>
      <c r="B54" s="341">
        <v>7108</v>
      </c>
      <c r="C54" s="390" t="s">
        <v>15903</v>
      </c>
      <c r="D54" s="412"/>
      <c r="E54" s="413"/>
      <c r="F54" s="413"/>
      <c r="G54" s="413"/>
      <c r="H54" s="415"/>
      <c r="I54" s="325"/>
      <c r="J54" s="325"/>
      <c r="K54" s="325"/>
      <c r="L54" s="325"/>
      <c r="M54" s="325"/>
      <c r="N54" s="325"/>
      <c r="O54" s="325"/>
      <c r="P54" s="325"/>
      <c r="Q54" s="325"/>
      <c r="R54" s="416"/>
      <c r="S54" s="417"/>
      <c r="T54" s="417"/>
      <c r="U54" s="325"/>
      <c r="V54" s="388"/>
      <c r="W54" s="343" t="s">
        <v>15625</v>
      </c>
      <c r="X54" s="325"/>
      <c r="Y54" s="325"/>
      <c r="Z54" s="325"/>
      <c r="AA54" s="325"/>
      <c r="AB54" s="325"/>
      <c r="AC54" s="325"/>
      <c r="AD54" s="325"/>
      <c r="AE54" s="325"/>
      <c r="AF54" s="325"/>
      <c r="AG54" s="325"/>
      <c r="AH54" s="325"/>
      <c r="AI54" s="325"/>
      <c r="AJ54" s="391" t="s">
        <v>15626</v>
      </c>
      <c r="AK54" s="838">
        <f>AK52</f>
        <v>1</v>
      </c>
      <c r="AL54" s="843"/>
      <c r="AM54" s="324" t="s">
        <v>15630</v>
      </c>
      <c r="AN54" s="325"/>
      <c r="AO54" s="325"/>
      <c r="AP54" s="325"/>
      <c r="AQ54" s="325"/>
      <c r="AR54" s="190" t="s">
        <v>398</v>
      </c>
      <c r="AS54" s="844">
        <f>AS50</f>
        <v>0.85</v>
      </c>
      <c r="AT54" s="844"/>
      <c r="AU54" s="324"/>
      <c r="AV54" s="325"/>
      <c r="AW54" s="388"/>
      <c r="AX54" s="491">
        <f>ROUND(ROUND(ROUND(R52*AK54,0)*AS54,0)*$AU$10,0)</f>
        <v>98</v>
      </c>
      <c r="AY54" s="418"/>
    </row>
    <row r="55" spans="1:51" ht="17.100000000000001" customHeight="1" x14ac:dyDescent="0.15">
      <c r="A55" s="340">
        <v>12</v>
      </c>
      <c r="B55" s="341">
        <v>2271</v>
      </c>
      <c r="C55" s="390" t="s">
        <v>15904</v>
      </c>
      <c r="D55" s="857" t="s">
        <v>15689</v>
      </c>
      <c r="E55" s="858"/>
      <c r="F55" s="858"/>
      <c r="G55" s="858"/>
      <c r="H55" s="860"/>
      <c r="I55" s="10" t="s">
        <v>15690</v>
      </c>
      <c r="L55" s="151"/>
      <c r="M55" s="151"/>
      <c r="N55" s="151"/>
      <c r="O55" s="151"/>
      <c r="P55" s="151"/>
      <c r="V55" s="387"/>
      <c r="W55" s="343"/>
      <c r="X55" s="343"/>
      <c r="Y55" s="343"/>
      <c r="Z55" s="343"/>
      <c r="AA55" s="343"/>
      <c r="AB55" s="343"/>
      <c r="AC55" s="343"/>
      <c r="AD55" s="343"/>
      <c r="AE55" s="343"/>
      <c r="AF55" s="343"/>
      <c r="AG55" s="343"/>
      <c r="AH55" s="343"/>
      <c r="AI55" s="343"/>
      <c r="AJ55" s="343"/>
      <c r="AK55" s="343"/>
      <c r="AL55" s="407"/>
      <c r="AM55" s="396"/>
      <c r="AN55" s="396"/>
      <c r="AO55" s="396"/>
      <c r="AP55" s="396"/>
      <c r="AQ55" s="396"/>
      <c r="AR55" s="396"/>
      <c r="AS55" s="396"/>
      <c r="AT55" s="396"/>
      <c r="AU55" s="753" t="s">
        <v>674</v>
      </c>
      <c r="AV55" s="742"/>
      <c r="AW55" s="714"/>
      <c r="AX55" s="489">
        <f>ROUND(ROUND(R56,0)*$AU$58,0)</f>
        <v>251</v>
      </c>
      <c r="AY55" s="329" t="s">
        <v>15622</v>
      </c>
    </row>
    <row r="56" spans="1:51" ht="16.5" customHeight="1" x14ac:dyDescent="0.15">
      <c r="A56" s="340">
        <v>12</v>
      </c>
      <c r="B56" s="341">
        <v>2272</v>
      </c>
      <c r="C56" s="390" t="s">
        <v>15905</v>
      </c>
      <c r="D56" s="849"/>
      <c r="E56" s="850"/>
      <c r="F56" s="850"/>
      <c r="G56" s="850"/>
      <c r="H56" s="852"/>
      <c r="R56" s="836">
        <f>'2重度訪問'!U56</f>
        <v>201</v>
      </c>
      <c r="S56" s="837"/>
      <c r="T56" s="837"/>
      <c r="U56" s="152" t="s">
        <v>15624</v>
      </c>
      <c r="V56" s="387"/>
      <c r="W56" s="343" t="s">
        <v>15625</v>
      </c>
      <c r="X56" s="325"/>
      <c r="Y56" s="325"/>
      <c r="Z56" s="325"/>
      <c r="AA56" s="325"/>
      <c r="AB56" s="325"/>
      <c r="AC56" s="325"/>
      <c r="AD56" s="325"/>
      <c r="AE56" s="325"/>
      <c r="AF56" s="325"/>
      <c r="AG56" s="325"/>
      <c r="AH56" s="325"/>
      <c r="AI56" s="325"/>
      <c r="AJ56" s="391" t="s">
        <v>15626</v>
      </c>
      <c r="AK56" s="838">
        <f>AK54</f>
        <v>1</v>
      </c>
      <c r="AL56" s="839"/>
      <c r="AM56" s="325"/>
      <c r="AN56" s="325"/>
      <c r="AO56" s="325"/>
      <c r="AP56" s="325"/>
      <c r="AQ56" s="325"/>
      <c r="AR56" s="325"/>
      <c r="AS56" s="325"/>
      <c r="AT56" s="325"/>
      <c r="AU56" s="754"/>
      <c r="AV56" s="744"/>
      <c r="AW56" s="716"/>
      <c r="AX56" s="489">
        <f>ROUND(ROUND(R56*AK56,0)*$AU$58,0)</f>
        <v>251</v>
      </c>
      <c r="AY56" s="393"/>
    </row>
    <row r="57" spans="1:51" ht="16.5" customHeight="1" x14ac:dyDescent="0.15">
      <c r="A57" s="340">
        <v>12</v>
      </c>
      <c r="B57" s="341">
        <v>7109</v>
      </c>
      <c r="C57" s="390" t="s">
        <v>15906</v>
      </c>
      <c r="D57" s="849"/>
      <c r="E57" s="850"/>
      <c r="F57" s="850"/>
      <c r="G57" s="850"/>
      <c r="H57" s="852"/>
      <c r="R57" s="395"/>
      <c r="S57" s="151"/>
      <c r="T57" s="151"/>
      <c r="V57" s="387"/>
      <c r="W57" s="343"/>
      <c r="X57" s="343"/>
      <c r="Y57" s="343"/>
      <c r="Z57" s="343"/>
      <c r="AA57" s="343"/>
      <c r="AB57" s="343"/>
      <c r="AC57" s="343"/>
      <c r="AD57" s="343"/>
      <c r="AE57" s="343"/>
      <c r="AF57" s="343"/>
      <c r="AG57" s="343"/>
      <c r="AH57" s="343"/>
      <c r="AI57" s="343"/>
      <c r="AJ57" s="343"/>
      <c r="AK57" s="343"/>
      <c r="AL57" s="343"/>
      <c r="AM57" s="114" t="s">
        <v>15628</v>
      </c>
      <c r="AN57" s="396"/>
      <c r="AO57" s="396"/>
      <c r="AP57" s="396"/>
      <c r="AQ57" s="396"/>
      <c r="AR57" s="396"/>
      <c r="AS57" s="396"/>
      <c r="AT57" s="396"/>
      <c r="AU57" s="893" t="s">
        <v>398</v>
      </c>
      <c r="AV57" s="894"/>
      <c r="AW57" s="895"/>
      <c r="AX57" s="489">
        <f>ROUND(ROUND(R56*AS58,0)*$AU$58,0)</f>
        <v>214</v>
      </c>
      <c r="AY57" s="393"/>
    </row>
    <row r="58" spans="1:51" ht="16.5" customHeight="1" x14ac:dyDescent="0.15">
      <c r="A58" s="340">
        <v>12</v>
      </c>
      <c r="B58" s="341">
        <v>7110</v>
      </c>
      <c r="C58" s="390" t="s">
        <v>15907</v>
      </c>
      <c r="D58" s="849"/>
      <c r="E58" s="850"/>
      <c r="F58" s="850"/>
      <c r="G58" s="850"/>
      <c r="H58" s="852"/>
      <c r="R58" s="395"/>
      <c r="S58" s="151"/>
      <c r="T58" s="151"/>
      <c r="V58" s="387"/>
      <c r="W58" s="343" t="s">
        <v>15625</v>
      </c>
      <c r="X58" s="325"/>
      <c r="Y58" s="325"/>
      <c r="Z58" s="325"/>
      <c r="AA58" s="325"/>
      <c r="AB58" s="325"/>
      <c r="AC58" s="325"/>
      <c r="AD58" s="325"/>
      <c r="AE58" s="325"/>
      <c r="AF58" s="325"/>
      <c r="AG58" s="325"/>
      <c r="AH58" s="325"/>
      <c r="AI58" s="325"/>
      <c r="AJ58" s="391" t="s">
        <v>15626</v>
      </c>
      <c r="AK58" s="838">
        <f>AK56</f>
        <v>1</v>
      </c>
      <c r="AL58" s="843"/>
      <c r="AM58" s="324" t="s">
        <v>15630</v>
      </c>
      <c r="AN58" s="325"/>
      <c r="AO58" s="325"/>
      <c r="AP58" s="325"/>
      <c r="AQ58" s="325"/>
      <c r="AR58" s="190" t="s">
        <v>398</v>
      </c>
      <c r="AS58" s="844">
        <f>AS54</f>
        <v>0.85</v>
      </c>
      <c r="AT58" s="844"/>
      <c r="AU58" s="896">
        <f>AU10</f>
        <v>1.25</v>
      </c>
      <c r="AV58" s="897"/>
      <c r="AW58" s="898"/>
      <c r="AX58" s="489">
        <f>ROUND(ROUND(ROUND(R56*AK58,0)*AS58,0)*$AU$58,0)</f>
        <v>214</v>
      </c>
      <c r="AY58" s="393"/>
    </row>
    <row r="59" spans="1:51" ht="17.100000000000001" customHeight="1" x14ac:dyDescent="0.15">
      <c r="A59" s="340">
        <v>12</v>
      </c>
      <c r="B59" s="341">
        <v>2281</v>
      </c>
      <c r="C59" s="390" t="s">
        <v>15908</v>
      </c>
      <c r="D59" s="832" t="s">
        <v>15632</v>
      </c>
      <c r="E59" s="833"/>
      <c r="F59" s="833"/>
      <c r="G59" s="833"/>
      <c r="H59" s="835"/>
      <c r="I59" s="253" t="s">
        <v>15695</v>
      </c>
      <c r="J59" s="396"/>
      <c r="K59" s="396"/>
      <c r="L59" s="396"/>
      <c r="M59" s="396"/>
      <c r="N59" s="396"/>
      <c r="O59" s="396"/>
      <c r="P59" s="396"/>
      <c r="Q59" s="396"/>
      <c r="R59" s="399"/>
      <c r="S59" s="400"/>
      <c r="T59" s="400"/>
      <c r="U59" s="396"/>
      <c r="V59" s="397"/>
      <c r="W59" s="343"/>
      <c r="X59" s="325"/>
      <c r="Y59" s="325"/>
      <c r="Z59" s="325"/>
      <c r="AA59" s="325"/>
      <c r="AB59" s="325"/>
      <c r="AC59" s="325"/>
      <c r="AD59" s="325"/>
      <c r="AE59" s="325"/>
      <c r="AF59" s="325"/>
      <c r="AG59" s="325"/>
      <c r="AH59" s="325"/>
      <c r="AI59" s="325"/>
      <c r="AJ59" s="391"/>
      <c r="AK59" s="401"/>
      <c r="AL59" s="402"/>
      <c r="AU59" s="490"/>
      <c r="AV59" s="152"/>
      <c r="AW59" s="387"/>
      <c r="AX59" s="489">
        <f>ROUND(ROUND(R60,0)*$AU$58,0)</f>
        <v>123</v>
      </c>
      <c r="AY59" s="393"/>
    </row>
    <row r="60" spans="1:51" ht="16.5" customHeight="1" x14ac:dyDescent="0.15">
      <c r="A60" s="340">
        <v>12</v>
      </c>
      <c r="B60" s="341">
        <v>2282</v>
      </c>
      <c r="C60" s="390" t="s">
        <v>15909</v>
      </c>
      <c r="D60" s="832"/>
      <c r="E60" s="833"/>
      <c r="F60" s="833"/>
      <c r="G60" s="833"/>
      <c r="H60" s="835"/>
      <c r="R60" s="836">
        <f>'2重度訪問'!U60</f>
        <v>98</v>
      </c>
      <c r="S60" s="837"/>
      <c r="T60" s="837"/>
      <c r="U60" s="152" t="s">
        <v>15624</v>
      </c>
      <c r="V60" s="387"/>
      <c r="W60" s="343" t="s">
        <v>15625</v>
      </c>
      <c r="X60" s="325"/>
      <c r="Y60" s="325"/>
      <c r="Z60" s="325"/>
      <c r="AA60" s="325"/>
      <c r="AB60" s="325"/>
      <c r="AC60" s="325"/>
      <c r="AD60" s="325"/>
      <c r="AE60" s="325"/>
      <c r="AF60" s="325"/>
      <c r="AG60" s="325"/>
      <c r="AH60" s="325"/>
      <c r="AI60" s="325"/>
      <c r="AJ60" s="391" t="s">
        <v>15626</v>
      </c>
      <c r="AK60" s="838">
        <f>AK58</f>
        <v>1</v>
      </c>
      <c r="AL60" s="839"/>
      <c r="AU60" s="490"/>
      <c r="AV60" s="152"/>
      <c r="AW60" s="387"/>
      <c r="AX60" s="489">
        <f>ROUND(ROUND(R60*AK60,0)*$AU$58,0)</f>
        <v>123</v>
      </c>
      <c r="AY60" s="393"/>
    </row>
    <row r="61" spans="1:51" ht="16.5" customHeight="1" x14ac:dyDescent="0.15">
      <c r="A61" s="340">
        <v>12</v>
      </c>
      <c r="B61" s="341">
        <v>7111</v>
      </c>
      <c r="C61" s="390" t="s">
        <v>15910</v>
      </c>
      <c r="D61" s="403"/>
      <c r="E61" s="404" t="s">
        <v>15636</v>
      </c>
      <c r="F61" s="854">
        <f>'2重度訪問'!$F$61</f>
        <v>1.085</v>
      </c>
      <c r="G61" s="855"/>
      <c r="H61" s="856"/>
      <c r="R61" s="395"/>
      <c r="S61" s="151"/>
      <c r="T61" s="151"/>
      <c r="V61" s="387"/>
      <c r="W61" s="343"/>
      <c r="X61" s="343"/>
      <c r="Y61" s="343"/>
      <c r="Z61" s="343"/>
      <c r="AA61" s="343"/>
      <c r="AB61" s="343"/>
      <c r="AC61" s="343"/>
      <c r="AD61" s="343"/>
      <c r="AE61" s="343"/>
      <c r="AF61" s="343"/>
      <c r="AG61" s="343"/>
      <c r="AH61" s="343"/>
      <c r="AI61" s="343"/>
      <c r="AJ61" s="343"/>
      <c r="AK61" s="343"/>
      <c r="AL61" s="343"/>
      <c r="AM61" s="114" t="s">
        <v>15628</v>
      </c>
      <c r="AN61" s="396"/>
      <c r="AO61" s="396"/>
      <c r="AP61" s="396"/>
      <c r="AQ61" s="396"/>
      <c r="AR61" s="396"/>
      <c r="AS61" s="396"/>
      <c r="AT61" s="396"/>
      <c r="AU61" s="490"/>
      <c r="AV61" s="152"/>
      <c r="AW61" s="387"/>
      <c r="AX61" s="489">
        <f>ROUND(ROUND(R60*AS62,0)*$AU$58,0)</f>
        <v>104</v>
      </c>
      <c r="AY61" s="393"/>
    </row>
    <row r="62" spans="1:51" ht="16.5" customHeight="1" x14ac:dyDescent="0.15">
      <c r="A62" s="340">
        <v>12</v>
      </c>
      <c r="B62" s="341">
        <v>7112</v>
      </c>
      <c r="C62" s="390" t="s">
        <v>15911</v>
      </c>
      <c r="D62" s="403"/>
      <c r="E62" s="404"/>
      <c r="F62" s="404"/>
      <c r="G62" s="404"/>
      <c r="H62" s="406"/>
      <c r="R62" s="395"/>
      <c r="S62" s="151"/>
      <c r="T62" s="151"/>
      <c r="V62" s="387"/>
      <c r="W62" s="343" t="s">
        <v>15625</v>
      </c>
      <c r="X62" s="325"/>
      <c r="Y62" s="325"/>
      <c r="Z62" s="325"/>
      <c r="AA62" s="325"/>
      <c r="AB62" s="325"/>
      <c r="AC62" s="325"/>
      <c r="AD62" s="325"/>
      <c r="AE62" s="325"/>
      <c r="AF62" s="325"/>
      <c r="AG62" s="325"/>
      <c r="AH62" s="325"/>
      <c r="AI62" s="325"/>
      <c r="AJ62" s="391" t="s">
        <v>15626</v>
      </c>
      <c r="AK62" s="838">
        <f>AK60</f>
        <v>1</v>
      </c>
      <c r="AL62" s="843"/>
      <c r="AM62" s="324" t="s">
        <v>15630</v>
      </c>
      <c r="AN62" s="325"/>
      <c r="AO62" s="325"/>
      <c r="AP62" s="325"/>
      <c r="AQ62" s="325"/>
      <c r="AR62" s="190" t="s">
        <v>398</v>
      </c>
      <c r="AS62" s="844">
        <f>AS58</f>
        <v>0.85</v>
      </c>
      <c r="AT62" s="844"/>
      <c r="AU62" s="490"/>
      <c r="AV62" s="152"/>
      <c r="AW62" s="387"/>
      <c r="AX62" s="489">
        <f>ROUND(ROUND(ROUND(R60*AK62,0)*AS62,0)*$AU$58,0)</f>
        <v>104</v>
      </c>
      <c r="AY62" s="393"/>
    </row>
    <row r="63" spans="1:51" ht="16.5" customHeight="1" x14ac:dyDescent="0.15">
      <c r="A63" s="340">
        <v>12</v>
      </c>
      <c r="B63" s="341">
        <v>2441</v>
      </c>
      <c r="C63" s="390" t="s">
        <v>15912</v>
      </c>
      <c r="D63" s="403"/>
      <c r="E63" s="404"/>
      <c r="F63" s="404"/>
      <c r="G63" s="404"/>
      <c r="H63" s="406"/>
      <c r="I63" s="253" t="s">
        <v>15639</v>
      </c>
      <c r="J63" s="396"/>
      <c r="K63" s="396"/>
      <c r="L63" s="396"/>
      <c r="M63" s="396"/>
      <c r="N63" s="396"/>
      <c r="O63" s="396"/>
      <c r="P63" s="396"/>
      <c r="Q63" s="396"/>
      <c r="R63" s="399"/>
      <c r="S63" s="400"/>
      <c r="T63" s="400"/>
      <c r="U63" s="396"/>
      <c r="V63" s="397"/>
      <c r="W63" s="343"/>
      <c r="X63" s="325"/>
      <c r="Y63" s="325"/>
      <c r="Z63" s="325"/>
      <c r="AA63" s="325"/>
      <c r="AB63" s="325"/>
      <c r="AC63" s="325"/>
      <c r="AD63" s="325"/>
      <c r="AE63" s="325"/>
      <c r="AF63" s="325"/>
      <c r="AG63" s="325"/>
      <c r="AH63" s="325"/>
      <c r="AI63" s="325"/>
      <c r="AJ63" s="391"/>
      <c r="AK63" s="401"/>
      <c r="AL63" s="402"/>
      <c r="AM63" s="396"/>
      <c r="AN63" s="396"/>
      <c r="AO63" s="396"/>
      <c r="AP63" s="396"/>
      <c r="AQ63" s="396"/>
      <c r="AR63" s="396"/>
      <c r="AS63" s="396"/>
      <c r="AT63" s="396"/>
      <c r="AU63" s="490"/>
      <c r="AV63" s="152"/>
      <c r="AW63" s="387"/>
      <c r="AX63" s="489">
        <f>ROUND(ROUND(R64,0)*$AU$58,0)</f>
        <v>125</v>
      </c>
      <c r="AY63" s="393"/>
    </row>
    <row r="64" spans="1:51" ht="16.5" customHeight="1" x14ac:dyDescent="0.15">
      <c r="A64" s="340">
        <v>12</v>
      </c>
      <c r="B64" s="341">
        <v>2442</v>
      </c>
      <c r="C64" s="390" t="s">
        <v>15913</v>
      </c>
      <c r="D64" s="403"/>
      <c r="E64" s="404"/>
      <c r="F64" s="404"/>
      <c r="G64" s="404"/>
      <c r="H64" s="406"/>
      <c r="R64" s="836">
        <f>'2重度訪問'!U64</f>
        <v>100</v>
      </c>
      <c r="S64" s="837"/>
      <c r="T64" s="837"/>
      <c r="U64" s="152" t="s">
        <v>15624</v>
      </c>
      <c r="V64" s="387"/>
      <c r="W64" s="343" t="s">
        <v>15625</v>
      </c>
      <c r="X64" s="325"/>
      <c r="Y64" s="325"/>
      <c r="Z64" s="325"/>
      <c r="AA64" s="325"/>
      <c r="AB64" s="325"/>
      <c r="AC64" s="325"/>
      <c r="AD64" s="325"/>
      <c r="AE64" s="325"/>
      <c r="AF64" s="325"/>
      <c r="AG64" s="325"/>
      <c r="AH64" s="325"/>
      <c r="AI64" s="325"/>
      <c r="AJ64" s="391" t="s">
        <v>15626</v>
      </c>
      <c r="AK64" s="838">
        <f>AK62</f>
        <v>1</v>
      </c>
      <c r="AL64" s="839"/>
      <c r="AM64" s="325"/>
      <c r="AN64" s="325"/>
      <c r="AO64" s="325"/>
      <c r="AP64" s="325"/>
      <c r="AQ64" s="325"/>
      <c r="AR64" s="325"/>
      <c r="AS64" s="325"/>
      <c r="AT64" s="325"/>
      <c r="AU64" s="490"/>
      <c r="AV64" s="152"/>
      <c r="AW64" s="387"/>
      <c r="AX64" s="489">
        <f>ROUND(ROUND(R64*AK64,0)*$AU$58,0)</f>
        <v>125</v>
      </c>
      <c r="AY64" s="393"/>
    </row>
    <row r="65" spans="1:51" ht="16.5" customHeight="1" x14ac:dyDescent="0.15">
      <c r="A65" s="340">
        <v>12</v>
      </c>
      <c r="B65" s="341">
        <v>7113</v>
      </c>
      <c r="C65" s="390" t="s">
        <v>15914</v>
      </c>
      <c r="D65" s="403"/>
      <c r="E65" s="404"/>
      <c r="F65" s="404"/>
      <c r="G65" s="404"/>
      <c r="H65" s="406"/>
      <c r="R65" s="395"/>
      <c r="S65" s="151"/>
      <c r="T65" s="151"/>
      <c r="V65" s="387"/>
      <c r="W65" s="343"/>
      <c r="X65" s="343"/>
      <c r="Y65" s="343"/>
      <c r="Z65" s="343"/>
      <c r="AA65" s="343"/>
      <c r="AB65" s="343"/>
      <c r="AC65" s="343"/>
      <c r="AD65" s="343"/>
      <c r="AE65" s="343"/>
      <c r="AF65" s="343"/>
      <c r="AG65" s="343"/>
      <c r="AH65" s="343"/>
      <c r="AI65" s="343"/>
      <c r="AJ65" s="343"/>
      <c r="AK65" s="343"/>
      <c r="AL65" s="343"/>
      <c r="AM65" s="114" t="s">
        <v>15628</v>
      </c>
      <c r="AN65" s="396"/>
      <c r="AO65" s="396"/>
      <c r="AP65" s="396"/>
      <c r="AQ65" s="396"/>
      <c r="AR65" s="396"/>
      <c r="AS65" s="396"/>
      <c r="AT65" s="396"/>
      <c r="AU65" s="490"/>
      <c r="AV65" s="152"/>
      <c r="AW65" s="387"/>
      <c r="AX65" s="489">
        <f>ROUND(ROUND(R64*AS66,0)*$AU$58,0)</f>
        <v>106</v>
      </c>
      <c r="AY65" s="393"/>
    </row>
    <row r="66" spans="1:51" ht="16.5" customHeight="1" x14ac:dyDescent="0.15">
      <c r="A66" s="340">
        <v>12</v>
      </c>
      <c r="B66" s="341">
        <v>7114</v>
      </c>
      <c r="C66" s="390" t="s">
        <v>15915</v>
      </c>
      <c r="D66" s="403"/>
      <c r="E66" s="404"/>
      <c r="F66" s="404"/>
      <c r="G66" s="404"/>
      <c r="H66" s="406"/>
      <c r="R66" s="395"/>
      <c r="S66" s="151"/>
      <c r="T66" s="151"/>
      <c r="V66" s="387"/>
      <c r="W66" s="343" t="s">
        <v>15625</v>
      </c>
      <c r="X66" s="325"/>
      <c r="Y66" s="325"/>
      <c r="Z66" s="325"/>
      <c r="AA66" s="325"/>
      <c r="AB66" s="325"/>
      <c r="AC66" s="325"/>
      <c r="AD66" s="325"/>
      <c r="AE66" s="325"/>
      <c r="AF66" s="325"/>
      <c r="AG66" s="325"/>
      <c r="AH66" s="325"/>
      <c r="AI66" s="325"/>
      <c r="AJ66" s="391" t="s">
        <v>15626</v>
      </c>
      <c r="AK66" s="838">
        <f>AK64</f>
        <v>1</v>
      </c>
      <c r="AL66" s="843"/>
      <c r="AM66" s="324" t="s">
        <v>15630</v>
      </c>
      <c r="AN66" s="325"/>
      <c r="AO66" s="325"/>
      <c r="AP66" s="325"/>
      <c r="AQ66" s="325"/>
      <c r="AR66" s="190" t="s">
        <v>398</v>
      </c>
      <c r="AS66" s="844">
        <f>AS62</f>
        <v>0.85</v>
      </c>
      <c r="AT66" s="844"/>
      <c r="AU66" s="490"/>
      <c r="AV66" s="152"/>
      <c r="AW66" s="387"/>
      <c r="AX66" s="489">
        <f>ROUND(ROUND(ROUND(R64*AK66,0)*AS66,0)*$AU$58,0)</f>
        <v>106</v>
      </c>
      <c r="AY66" s="393"/>
    </row>
    <row r="67" spans="1:51" ht="16.5" customHeight="1" x14ac:dyDescent="0.15">
      <c r="A67" s="340">
        <v>12</v>
      </c>
      <c r="B67" s="341">
        <v>2451</v>
      </c>
      <c r="C67" s="390" t="s">
        <v>15916</v>
      </c>
      <c r="D67" s="403"/>
      <c r="E67" s="404"/>
      <c r="F67" s="404"/>
      <c r="G67" s="404"/>
      <c r="H67" s="406"/>
      <c r="I67" s="253" t="s">
        <v>15644</v>
      </c>
      <c r="J67" s="396"/>
      <c r="K67" s="396"/>
      <c r="L67" s="396"/>
      <c r="M67" s="396"/>
      <c r="N67" s="396"/>
      <c r="O67" s="396"/>
      <c r="P67" s="396"/>
      <c r="Q67" s="396"/>
      <c r="R67" s="399"/>
      <c r="S67" s="400"/>
      <c r="T67" s="400"/>
      <c r="U67" s="396"/>
      <c r="V67" s="397"/>
      <c r="W67" s="343"/>
      <c r="X67" s="325"/>
      <c r="Y67" s="325"/>
      <c r="Z67" s="325"/>
      <c r="AA67" s="325"/>
      <c r="AB67" s="325"/>
      <c r="AC67" s="325"/>
      <c r="AD67" s="325"/>
      <c r="AE67" s="325"/>
      <c r="AF67" s="325"/>
      <c r="AG67" s="325"/>
      <c r="AH67" s="325"/>
      <c r="AI67" s="325"/>
      <c r="AJ67" s="391"/>
      <c r="AK67" s="401"/>
      <c r="AL67" s="402"/>
      <c r="AM67" s="396"/>
      <c r="AN67" s="396"/>
      <c r="AO67" s="396"/>
      <c r="AP67" s="396"/>
      <c r="AQ67" s="396"/>
      <c r="AR67" s="396"/>
      <c r="AS67" s="396"/>
      <c r="AT67" s="396"/>
      <c r="AU67" s="490"/>
      <c r="AV67" s="152"/>
      <c r="AW67" s="387"/>
      <c r="AX67" s="489">
        <f>ROUND(ROUND(R68,0)*$AU$58,0)</f>
        <v>124</v>
      </c>
      <c r="AY67" s="393"/>
    </row>
    <row r="68" spans="1:51" ht="16.5" customHeight="1" x14ac:dyDescent="0.15">
      <c r="A68" s="340">
        <v>12</v>
      </c>
      <c r="B68" s="341">
        <v>2452</v>
      </c>
      <c r="C68" s="390" t="s">
        <v>15917</v>
      </c>
      <c r="D68" s="403"/>
      <c r="E68" s="404"/>
      <c r="F68" s="404"/>
      <c r="G68" s="404"/>
      <c r="H68" s="406"/>
      <c r="R68" s="836">
        <f>'2重度訪問'!U68</f>
        <v>99</v>
      </c>
      <c r="S68" s="837"/>
      <c r="T68" s="837"/>
      <c r="U68" s="152" t="s">
        <v>15624</v>
      </c>
      <c r="V68" s="387"/>
      <c r="W68" s="343" t="s">
        <v>15625</v>
      </c>
      <c r="X68" s="325"/>
      <c r="Y68" s="325"/>
      <c r="Z68" s="325"/>
      <c r="AA68" s="325"/>
      <c r="AB68" s="325"/>
      <c r="AC68" s="325"/>
      <c r="AD68" s="325"/>
      <c r="AE68" s="325"/>
      <c r="AF68" s="325"/>
      <c r="AG68" s="325"/>
      <c r="AH68" s="325"/>
      <c r="AI68" s="325"/>
      <c r="AJ68" s="391" t="s">
        <v>15626</v>
      </c>
      <c r="AK68" s="838">
        <f>AK66</f>
        <v>1</v>
      </c>
      <c r="AL68" s="839"/>
      <c r="AM68" s="325"/>
      <c r="AN68" s="325"/>
      <c r="AO68" s="325"/>
      <c r="AP68" s="325"/>
      <c r="AQ68" s="325"/>
      <c r="AR68" s="325"/>
      <c r="AS68" s="325"/>
      <c r="AT68" s="325"/>
      <c r="AU68" s="490"/>
      <c r="AV68" s="152"/>
      <c r="AW68" s="387"/>
      <c r="AX68" s="489">
        <f>ROUND(ROUND(R68*AK68,0)*$AU$58,0)</f>
        <v>124</v>
      </c>
      <c r="AY68" s="393"/>
    </row>
    <row r="69" spans="1:51" ht="16.5" customHeight="1" x14ac:dyDescent="0.15">
      <c r="A69" s="340">
        <v>12</v>
      </c>
      <c r="B69" s="341">
        <v>7115</v>
      </c>
      <c r="C69" s="390" t="s">
        <v>15918</v>
      </c>
      <c r="D69" s="403"/>
      <c r="E69" s="404"/>
      <c r="F69" s="404"/>
      <c r="G69" s="404"/>
      <c r="H69" s="406"/>
      <c r="R69" s="395"/>
      <c r="S69" s="151"/>
      <c r="T69" s="151"/>
      <c r="V69" s="387"/>
      <c r="W69" s="343"/>
      <c r="X69" s="343"/>
      <c r="Y69" s="343"/>
      <c r="Z69" s="343"/>
      <c r="AA69" s="343"/>
      <c r="AB69" s="343"/>
      <c r="AC69" s="343"/>
      <c r="AD69" s="343"/>
      <c r="AE69" s="343"/>
      <c r="AF69" s="343"/>
      <c r="AG69" s="343"/>
      <c r="AH69" s="343"/>
      <c r="AI69" s="343"/>
      <c r="AJ69" s="343"/>
      <c r="AK69" s="343"/>
      <c r="AL69" s="343"/>
      <c r="AM69" s="114" t="s">
        <v>15628</v>
      </c>
      <c r="AN69" s="396"/>
      <c r="AO69" s="396"/>
      <c r="AP69" s="396"/>
      <c r="AQ69" s="396"/>
      <c r="AR69" s="396"/>
      <c r="AS69" s="396"/>
      <c r="AT69" s="396"/>
      <c r="AU69" s="490"/>
      <c r="AV69" s="152"/>
      <c r="AW69" s="387"/>
      <c r="AX69" s="489">
        <f>ROUND(ROUND(R68*AS70,0)*$AU$58,0)</f>
        <v>105</v>
      </c>
      <c r="AY69" s="393"/>
    </row>
    <row r="70" spans="1:51" ht="16.5" customHeight="1" x14ac:dyDescent="0.15">
      <c r="A70" s="340">
        <v>12</v>
      </c>
      <c r="B70" s="341">
        <v>7116</v>
      </c>
      <c r="C70" s="390" t="s">
        <v>15919</v>
      </c>
      <c r="D70" s="403"/>
      <c r="E70" s="404"/>
      <c r="F70" s="404"/>
      <c r="G70" s="404"/>
      <c r="H70" s="406"/>
      <c r="R70" s="395"/>
      <c r="S70" s="151"/>
      <c r="T70" s="151"/>
      <c r="V70" s="387"/>
      <c r="W70" s="343" t="s">
        <v>15625</v>
      </c>
      <c r="X70" s="325"/>
      <c r="Y70" s="325"/>
      <c r="Z70" s="325"/>
      <c r="AA70" s="325"/>
      <c r="AB70" s="325"/>
      <c r="AC70" s="325"/>
      <c r="AD70" s="325"/>
      <c r="AE70" s="325"/>
      <c r="AF70" s="325"/>
      <c r="AG70" s="325"/>
      <c r="AH70" s="325"/>
      <c r="AI70" s="325"/>
      <c r="AJ70" s="391" t="s">
        <v>15626</v>
      </c>
      <c r="AK70" s="838">
        <f>AK68</f>
        <v>1</v>
      </c>
      <c r="AL70" s="843"/>
      <c r="AM70" s="324" t="s">
        <v>15630</v>
      </c>
      <c r="AN70" s="325"/>
      <c r="AO70" s="325"/>
      <c r="AP70" s="325"/>
      <c r="AQ70" s="325"/>
      <c r="AR70" s="190" t="s">
        <v>398</v>
      </c>
      <c r="AS70" s="844">
        <f>AS66</f>
        <v>0.85</v>
      </c>
      <c r="AT70" s="844"/>
      <c r="AU70" s="490"/>
      <c r="AV70" s="152"/>
      <c r="AW70" s="387"/>
      <c r="AX70" s="489">
        <f>ROUND(ROUND(ROUND(R68*AK70,0)*AS70,0)*$AU$58,0)</f>
        <v>105</v>
      </c>
      <c r="AY70" s="393"/>
    </row>
    <row r="71" spans="1:51" ht="16.5" customHeight="1" x14ac:dyDescent="0.15">
      <c r="A71" s="340">
        <v>12</v>
      </c>
      <c r="B71" s="341">
        <v>2461</v>
      </c>
      <c r="C71" s="390" t="s">
        <v>15920</v>
      </c>
      <c r="D71" s="403"/>
      <c r="E71" s="404"/>
      <c r="F71" s="404"/>
      <c r="G71" s="404"/>
      <c r="H71" s="406"/>
      <c r="I71" s="253" t="s">
        <v>15649</v>
      </c>
      <c r="J71" s="396"/>
      <c r="K71" s="396"/>
      <c r="L71" s="396"/>
      <c r="M71" s="396"/>
      <c r="N71" s="396"/>
      <c r="O71" s="396"/>
      <c r="P71" s="396"/>
      <c r="Q71" s="396"/>
      <c r="R71" s="399"/>
      <c r="S71" s="400"/>
      <c r="T71" s="400"/>
      <c r="U71" s="396"/>
      <c r="V71" s="397"/>
      <c r="W71" s="343"/>
      <c r="X71" s="325"/>
      <c r="Y71" s="325"/>
      <c r="Z71" s="325"/>
      <c r="AA71" s="325"/>
      <c r="AB71" s="325"/>
      <c r="AC71" s="325"/>
      <c r="AD71" s="325"/>
      <c r="AE71" s="325"/>
      <c r="AF71" s="325"/>
      <c r="AG71" s="325"/>
      <c r="AH71" s="325"/>
      <c r="AI71" s="325"/>
      <c r="AJ71" s="391"/>
      <c r="AK71" s="401"/>
      <c r="AL71" s="402"/>
      <c r="AM71" s="396"/>
      <c r="AN71" s="396"/>
      <c r="AO71" s="396"/>
      <c r="AP71" s="396"/>
      <c r="AQ71" s="396"/>
      <c r="AR71" s="396"/>
      <c r="AS71" s="396"/>
      <c r="AT71" s="396"/>
      <c r="AU71" s="490"/>
      <c r="AV71" s="152"/>
      <c r="AW71" s="387"/>
      <c r="AX71" s="489">
        <f>ROUND(ROUND(R72,0)*$AU$58,0)</f>
        <v>125</v>
      </c>
      <c r="AY71" s="393"/>
    </row>
    <row r="72" spans="1:51" ht="16.5" customHeight="1" x14ac:dyDescent="0.15">
      <c r="A72" s="340">
        <v>12</v>
      </c>
      <c r="B72" s="341">
        <v>2462</v>
      </c>
      <c r="C72" s="390" t="s">
        <v>15921</v>
      </c>
      <c r="D72" s="403"/>
      <c r="E72" s="404"/>
      <c r="F72" s="404"/>
      <c r="G72" s="404"/>
      <c r="H72" s="406"/>
      <c r="R72" s="836">
        <f>'2重度訪問'!U72</f>
        <v>100</v>
      </c>
      <c r="S72" s="837"/>
      <c r="T72" s="837"/>
      <c r="U72" s="152" t="s">
        <v>15624</v>
      </c>
      <c r="V72" s="387"/>
      <c r="W72" s="343" t="s">
        <v>15625</v>
      </c>
      <c r="X72" s="325"/>
      <c r="Y72" s="325"/>
      <c r="Z72" s="325"/>
      <c r="AA72" s="325"/>
      <c r="AB72" s="325"/>
      <c r="AC72" s="325"/>
      <c r="AD72" s="325"/>
      <c r="AE72" s="325"/>
      <c r="AF72" s="325"/>
      <c r="AG72" s="325"/>
      <c r="AH72" s="325"/>
      <c r="AI72" s="325"/>
      <c r="AJ72" s="391" t="s">
        <v>15626</v>
      </c>
      <c r="AK72" s="838">
        <f>AK70</f>
        <v>1</v>
      </c>
      <c r="AL72" s="839"/>
      <c r="AM72" s="325"/>
      <c r="AN72" s="325"/>
      <c r="AO72" s="325"/>
      <c r="AP72" s="325"/>
      <c r="AQ72" s="325"/>
      <c r="AR72" s="325"/>
      <c r="AS72" s="325"/>
      <c r="AT72" s="325"/>
      <c r="AU72" s="490"/>
      <c r="AV72" s="152"/>
      <c r="AW72" s="387"/>
      <c r="AX72" s="489">
        <f>ROUND(ROUND(R72*AK72,0)*$AU$58,0)</f>
        <v>125</v>
      </c>
      <c r="AY72" s="393"/>
    </row>
    <row r="73" spans="1:51" ht="16.5" customHeight="1" x14ac:dyDescent="0.15">
      <c r="A73" s="340">
        <v>12</v>
      </c>
      <c r="B73" s="341">
        <v>7117</v>
      </c>
      <c r="C73" s="390" t="s">
        <v>15922</v>
      </c>
      <c r="D73" s="403"/>
      <c r="E73" s="404"/>
      <c r="F73" s="404"/>
      <c r="G73" s="404"/>
      <c r="H73" s="406"/>
      <c r="R73" s="395"/>
      <c r="S73" s="151"/>
      <c r="T73" s="151"/>
      <c r="V73" s="387"/>
      <c r="W73" s="343"/>
      <c r="X73" s="343"/>
      <c r="Y73" s="343"/>
      <c r="Z73" s="343"/>
      <c r="AA73" s="343"/>
      <c r="AB73" s="343"/>
      <c r="AC73" s="343"/>
      <c r="AD73" s="343"/>
      <c r="AE73" s="343"/>
      <c r="AF73" s="343"/>
      <c r="AG73" s="343"/>
      <c r="AH73" s="343"/>
      <c r="AI73" s="343"/>
      <c r="AJ73" s="343"/>
      <c r="AK73" s="343"/>
      <c r="AL73" s="343"/>
      <c r="AM73" s="114" t="s">
        <v>15628</v>
      </c>
      <c r="AN73" s="396"/>
      <c r="AO73" s="396"/>
      <c r="AP73" s="396"/>
      <c r="AQ73" s="396"/>
      <c r="AR73" s="396"/>
      <c r="AS73" s="396"/>
      <c r="AT73" s="396"/>
      <c r="AU73" s="490"/>
      <c r="AV73" s="152"/>
      <c r="AW73" s="387"/>
      <c r="AX73" s="489">
        <f>ROUND(ROUND(R72*AS74,0)*$AU$58,0)</f>
        <v>106</v>
      </c>
      <c r="AY73" s="393"/>
    </row>
    <row r="74" spans="1:51" ht="16.5" customHeight="1" x14ac:dyDescent="0.15">
      <c r="A74" s="340">
        <v>12</v>
      </c>
      <c r="B74" s="341">
        <v>7118</v>
      </c>
      <c r="C74" s="390" t="s">
        <v>15923</v>
      </c>
      <c r="D74" s="403"/>
      <c r="E74" s="404"/>
      <c r="F74" s="404"/>
      <c r="G74" s="404"/>
      <c r="H74" s="406"/>
      <c r="R74" s="395"/>
      <c r="S74" s="151"/>
      <c r="T74" s="151"/>
      <c r="V74" s="387"/>
      <c r="W74" s="343" t="s">
        <v>15625</v>
      </c>
      <c r="X74" s="325"/>
      <c r="Y74" s="325"/>
      <c r="Z74" s="325"/>
      <c r="AA74" s="325"/>
      <c r="AB74" s="325"/>
      <c r="AC74" s="325"/>
      <c r="AD74" s="325"/>
      <c r="AE74" s="325"/>
      <c r="AF74" s="325"/>
      <c r="AG74" s="325"/>
      <c r="AH74" s="325"/>
      <c r="AI74" s="325"/>
      <c r="AJ74" s="391" t="s">
        <v>15626</v>
      </c>
      <c r="AK74" s="838">
        <f>AK72</f>
        <v>1</v>
      </c>
      <c r="AL74" s="843"/>
      <c r="AM74" s="324" t="s">
        <v>15630</v>
      </c>
      <c r="AN74" s="325"/>
      <c r="AO74" s="325"/>
      <c r="AP74" s="325"/>
      <c r="AQ74" s="325"/>
      <c r="AR74" s="190" t="s">
        <v>398</v>
      </c>
      <c r="AS74" s="844">
        <f>AS70</f>
        <v>0.85</v>
      </c>
      <c r="AT74" s="844"/>
      <c r="AU74" s="490"/>
      <c r="AV74" s="152"/>
      <c r="AW74" s="387"/>
      <c r="AX74" s="489">
        <f>ROUND(ROUND(ROUND(R72*AK74,0)*AS74,0)*$AU$58,0)</f>
        <v>106</v>
      </c>
      <c r="AY74" s="393"/>
    </row>
    <row r="75" spans="1:51" ht="16.5" customHeight="1" x14ac:dyDescent="0.15">
      <c r="A75" s="340">
        <v>12</v>
      </c>
      <c r="B75" s="341">
        <v>2471</v>
      </c>
      <c r="C75" s="390" t="s">
        <v>15924</v>
      </c>
      <c r="D75" s="403"/>
      <c r="E75" s="404"/>
      <c r="F75" s="404"/>
      <c r="G75" s="404"/>
      <c r="H75" s="406"/>
      <c r="I75" s="253" t="s">
        <v>15654</v>
      </c>
      <c r="J75" s="396"/>
      <c r="K75" s="396"/>
      <c r="L75" s="396"/>
      <c r="M75" s="396"/>
      <c r="N75" s="396"/>
      <c r="O75" s="396"/>
      <c r="P75" s="396"/>
      <c r="Q75" s="396"/>
      <c r="R75" s="399"/>
      <c r="S75" s="400"/>
      <c r="T75" s="400"/>
      <c r="U75" s="396"/>
      <c r="V75" s="397"/>
      <c r="W75" s="343"/>
      <c r="X75" s="325"/>
      <c r="Y75" s="325"/>
      <c r="Z75" s="325"/>
      <c r="AA75" s="325"/>
      <c r="AB75" s="325"/>
      <c r="AC75" s="325"/>
      <c r="AD75" s="325"/>
      <c r="AE75" s="325"/>
      <c r="AF75" s="325"/>
      <c r="AG75" s="325"/>
      <c r="AH75" s="325"/>
      <c r="AI75" s="325"/>
      <c r="AJ75" s="391"/>
      <c r="AK75" s="401"/>
      <c r="AL75" s="402"/>
      <c r="AM75" s="396"/>
      <c r="AN75" s="396"/>
      <c r="AO75" s="396"/>
      <c r="AP75" s="396"/>
      <c r="AQ75" s="396"/>
      <c r="AR75" s="396"/>
      <c r="AS75" s="396"/>
      <c r="AT75" s="396"/>
      <c r="AU75" s="490"/>
      <c r="AV75" s="152"/>
      <c r="AW75" s="387"/>
      <c r="AX75" s="489">
        <f>ROUND(ROUND(R76,0)*$AU$58,0)</f>
        <v>123</v>
      </c>
      <c r="AY75" s="393"/>
    </row>
    <row r="76" spans="1:51" ht="16.5" customHeight="1" x14ac:dyDescent="0.15">
      <c r="A76" s="340">
        <v>12</v>
      </c>
      <c r="B76" s="341">
        <v>2472</v>
      </c>
      <c r="C76" s="390" t="s">
        <v>15925</v>
      </c>
      <c r="D76" s="403"/>
      <c r="E76" s="404"/>
      <c r="F76" s="404"/>
      <c r="G76" s="404"/>
      <c r="H76" s="406"/>
      <c r="R76" s="836">
        <f>'2重度訪問'!U76</f>
        <v>98</v>
      </c>
      <c r="S76" s="837"/>
      <c r="T76" s="837"/>
      <c r="U76" s="152" t="s">
        <v>15624</v>
      </c>
      <c r="V76" s="387"/>
      <c r="W76" s="343" t="s">
        <v>15625</v>
      </c>
      <c r="X76" s="325"/>
      <c r="Y76" s="325"/>
      <c r="Z76" s="325"/>
      <c r="AA76" s="325"/>
      <c r="AB76" s="325"/>
      <c r="AC76" s="325"/>
      <c r="AD76" s="325"/>
      <c r="AE76" s="325"/>
      <c r="AF76" s="325"/>
      <c r="AG76" s="325"/>
      <c r="AH76" s="325"/>
      <c r="AI76" s="325"/>
      <c r="AJ76" s="391" t="s">
        <v>15626</v>
      </c>
      <c r="AK76" s="838">
        <f>AK74</f>
        <v>1</v>
      </c>
      <c r="AL76" s="839"/>
      <c r="AM76" s="325"/>
      <c r="AN76" s="325"/>
      <c r="AO76" s="325"/>
      <c r="AP76" s="325"/>
      <c r="AQ76" s="325"/>
      <c r="AR76" s="325"/>
      <c r="AS76" s="325"/>
      <c r="AT76" s="325"/>
      <c r="AU76" s="490"/>
      <c r="AV76" s="152"/>
      <c r="AW76" s="387"/>
      <c r="AX76" s="489">
        <f>ROUND(ROUND(R76*AK76,0)*$AU$58,0)</f>
        <v>123</v>
      </c>
      <c r="AY76" s="393"/>
    </row>
    <row r="77" spans="1:51" ht="16.5" customHeight="1" x14ac:dyDescent="0.15">
      <c r="A77" s="340">
        <v>12</v>
      </c>
      <c r="B77" s="341">
        <v>7119</v>
      </c>
      <c r="C77" s="390" t="s">
        <v>15926</v>
      </c>
      <c r="D77" s="403"/>
      <c r="E77" s="404"/>
      <c r="F77" s="404"/>
      <c r="G77" s="404"/>
      <c r="H77" s="406"/>
      <c r="R77" s="395"/>
      <c r="S77" s="151"/>
      <c r="T77" s="151"/>
      <c r="V77" s="387"/>
      <c r="W77" s="343"/>
      <c r="X77" s="343"/>
      <c r="Y77" s="343"/>
      <c r="Z77" s="343"/>
      <c r="AA77" s="343"/>
      <c r="AB77" s="343"/>
      <c r="AC77" s="343"/>
      <c r="AD77" s="343"/>
      <c r="AE77" s="343"/>
      <c r="AF77" s="343"/>
      <c r="AG77" s="343"/>
      <c r="AH77" s="343"/>
      <c r="AI77" s="343"/>
      <c r="AJ77" s="343"/>
      <c r="AK77" s="343"/>
      <c r="AL77" s="343"/>
      <c r="AM77" s="114" t="s">
        <v>15628</v>
      </c>
      <c r="AN77" s="396"/>
      <c r="AO77" s="396"/>
      <c r="AP77" s="396"/>
      <c r="AQ77" s="396"/>
      <c r="AR77" s="396"/>
      <c r="AS77" s="396"/>
      <c r="AT77" s="396"/>
      <c r="AU77" s="490"/>
      <c r="AV77" s="152"/>
      <c r="AW77" s="387"/>
      <c r="AX77" s="489">
        <f>ROUND(ROUND(R76*AS78,0)*$AU$58,0)</f>
        <v>104</v>
      </c>
      <c r="AY77" s="393"/>
    </row>
    <row r="78" spans="1:51" ht="16.5" customHeight="1" x14ac:dyDescent="0.15">
      <c r="A78" s="340">
        <v>12</v>
      </c>
      <c r="B78" s="341">
        <v>7120</v>
      </c>
      <c r="C78" s="390" t="s">
        <v>15927</v>
      </c>
      <c r="D78" s="403"/>
      <c r="E78" s="404"/>
      <c r="F78" s="404"/>
      <c r="G78" s="404"/>
      <c r="H78" s="406"/>
      <c r="R78" s="395"/>
      <c r="S78" s="151"/>
      <c r="T78" s="151"/>
      <c r="V78" s="387"/>
      <c r="W78" s="343" t="s">
        <v>15625</v>
      </c>
      <c r="X78" s="325"/>
      <c r="Y78" s="325"/>
      <c r="Z78" s="325"/>
      <c r="AA78" s="325"/>
      <c r="AB78" s="325"/>
      <c r="AC78" s="325"/>
      <c r="AD78" s="325"/>
      <c r="AE78" s="325"/>
      <c r="AF78" s="325"/>
      <c r="AG78" s="325"/>
      <c r="AH78" s="325"/>
      <c r="AI78" s="325"/>
      <c r="AJ78" s="391" t="s">
        <v>15626</v>
      </c>
      <c r="AK78" s="838">
        <f>AK76</f>
        <v>1</v>
      </c>
      <c r="AL78" s="843"/>
      <c r="AM78" s="324" t="s">
        <v>15630</v>
      </c>
      <c r="AN78" s="325"/>
      <c r="AO78" s="325"/>
      <c r="AP78" s="325"/>
      <c r="AQ78" s="325"/>
      <c r="AR78" s="190" t="s">
        <v>398</v>
      </c>
      <c r="AS78" s="844">
        <f>AS74</f>
        <v>0.85</v>
      </c>
      <c r="AT78" s="844"/>
      <c r="AU78" s="490"/>
      <c r="AV78" s="152"/>
      <c r="AW78" s="387"/>
      <c r="AX78" s="489">
        <f>ROUND(ROUND(ROUND(R76*AK78,0)*AS78,0)*$AU$58,0)</f>
        <v>104</v>
      </c>
      <c r="AY78" s="393"/>
    </row>
    <row r="79" spans="1:51" ht="16.5" customHeight="1" x14ac:dyDescent="0.15">
      <c r="A79" s="340">
        <v>12</v>
      </c>
      <c r="B79" s="341">
        <v>2481</v>
      </c>
      <c r="C79" s="390" t="s">
        <v>15928</v>
      </c>
      <c r="D79" s="403"/>
      <c r="E79" s="404"/>
      <c r="F79" s="404"/>
      <c r="G79" s="404"/>
      <c r="H79" s="406"/>
      <c r="I79" s="253" t="s">
        <v>15659</v>
      </c>
      <c r="J79" s="396"/>
      <c r="K79" s="396"/>
      <c r="L79" s="396"/>
      <c r="M79" s="396"/>
      <c r="N79" s="396"/>
      <c r="O79" s="396"/>
      <c r="P79" s="396"/>
      <c r="Q79" s="396"/>
      <c r="R79" s="399"/>
      <c r="S79" s="400"/>
      <c r="T79" s="400"/>
      <c r="U79" s="396"/>
      <c r="V79" s="397"/>
      <c r="W79" s="343"/>
      <c r="X79" s="325"/>
      <c r="Y79" s="325"/>
      <c r="Z79" s="325"/>
      <c r="AA79" s="325"/>
      <c r="AB79" s="325"/>
      <c r="AC79" s="325"/>
      <c r="AD79" s="325"/>
      <c r="AE79" s="325"/>
      <c r="AF79" s="325"/>
      <c r="AG79" s="325"/>
      <c r="AH79" s="325"/>
      <c r="AI79" s="325"/>
      <c r="AJ79" s="391"/>
      <c r="AK79" s="401"/>
      <c r="AL79" s="402"/>
      <c r="AM79" s="396"/>
      <c r="AN79" s="396"/>
      <c r="AO79" s="396"/>
      <c r="AP79" s="396"/>
      <c r="AQ79" s="396"/>
      <c r="AR79" s="396"/>
      <c r="AS79" s="396"/>
      <c r="AT79" s="396"/>
      <c r="AU79" s="490"/>
      <c r="AV79" s="152"/>
      <c r="AW79" s="387"/>
      <c r="AX79" s="489">
        <f>ROUND(ROUND(R80,0)*$AU$58,0)</f>
        <v>125</v>
      </c>
      <c r="AY79" s="393"/>
    </row>
    <row r="80" spans="1:51" ht="16.5" customHeight="1" x14ac:dyDescent="0.15">
      <c r="A80" s="340">
        <v>12</v>
      </c>
      <c r="B80" s="341">
        <v>2482</v>
      </c>
      <c r="C80" s="390" t="s">
        <v>15929</v>
      </c>
      <c r="D80" s="403"/>
      <c r="E80" s="404"/>
      <c r="F80" s="404"/>
      <c r="G80" s="404"/>
      <c r="H80" s="406"/>
      <c r="R80" s="836">
        <f>'2重度訪問'!U80</f>
        <v>100</v>
      </c>
      <c r="S80" s="837"/>
      <c r="T80" s="837"/>
      <c r="U80" s="152" t="s">
        <v>15624</v>
      </c>
      <c r="V80" s="387"/>
      <c r="W80" s="343" t="s">
        <v>15625</v>
      </c>
      <c r="X80" s="325"/>
      <c r="Y80" s="325"/>
      <c r="Z80" s="325"/>
      <c r="AA80" s="325"/>
      <c r="AB80" s="325"/>
      <c r="AC80" s="325"/>
      <c r="AD80" s="325"/>
      <c r="AE80" s="325"/>
      <c r="AF80" s="325"/>
      <c r="AG80" s="325"/>
      <c r="AH80" s="325"/>
      <c r="AI80" s="325"/>
      <c r="AJ80" s="391" t="s">
        <v>15626</v>
      </c>
      <c r="AK80" s="838">
        <f>AK78</f>
        <v>1</v>
      </c>
      <c r="AL80" s="839"/>
      <c r="AM80" s="325"/>
      <c r="AN80" s="325"/>
      <c r="AO80" s="325"/>
      <c r="AP80" s="325"/>
      <c r="AQ80" s="325"/>
      <c r="AR80" s="325"/>
      <c r="AS80" s="325"/>
      <c r="AT80" s="325"/>
      <c r="AU80" s="490"/>
      <c r="AV80" s="152"/>
      <c r="AW80" s="387"/>
      <c r="AX80" s="489">
        <f>ROUND(ROUND(R80*AK80,0)*$AU$58,0)</f>
        <v>125</v>
      </c>
      <c r="AY80" s="393"/>
    </row>
    <row r="81" spans="1:51" ht="16.5" customHeight="1" x14ac:dyDescent="0.15">
      <c r="A81" s="340">
        <v>12</v>
      </c>
      <c r="B81" s="341">
        <v>7121</v>
      </c>
      <c r="C81" s="390" t="s">
        <v>15930</v>
      </c>
      <c r="D81" s="403"/>
      <c r="E81" s="404"/>
      <c r="F81" s="404"/>
      <c r="G81" s="404"/>
      <c r="H81" s="406"/>
      <c r="R81" s="395"/>
      <c r="S81" s="151"/>
      <c r="T81" s="151"/>
      <c r="V81" s="387"/>
      <c r="W81" s="343"/>
      <c r="X81" s="343"/>
      <c r="Y81" s="343"/>
      <c r="Z81" s="343"/>
      <c r="AA81" s="343"/>
      <c r="AB81" s="343"/>
      <c r="AC81" s="343"/>
      <c r="AD81" s="343"/>
      <c r="AE81" s="343"/>
      <c r="AF81" s="343"/>
      <c r="AG81" s="343"/>
      <c r="AH81" s="343"/>
      <c r="AI81" s="343"/>
      <c r="AJ81" s="343"/>
      <c r="AK81" s="343"/>
      <c r="AL81" s="343"/>
      <c r="AM81" s="114" t="s">
        <v>15628</v>
      </c>
      <c r="AN81" s="396"/>
      <c r="AO81" s="396"/>
      <c r="AP81" s="396"/>
      <c r="AQ81" s="396"/>
      <c r="AR81" s="396"/>
      <c r="AS81" s="396"/>
      <c r="AT81" s="396"/>
      <c r="AU81" s="490"/>
      <c r="AV81" s="152"/>
      <c r="AW81" s="387"/>
      <c r="AX81" s="489">
        <f>ROUND(ROUND(R80*AS82,0)*$AU$58,0)</f>
        <v>106</v>
      </c>
      <c r="AY81" s="393"/>
    </row>
    <row r="82" spans="1:51" ht="16.5" customHeight="1" x14ac:dyDescent="0.15">
      <c r="A82" s="340">
        <v>12</v>
      </c>
      <c r="B82" s="341">
        <v>7122</v>
      </c>
      <c r="C82" s="390" t="s">
        <v>15931</v>
      </c>
      <c r="D82" s="403"/>
      <c r="E82" s="404"/>
      <c r="F82" s="404"/>
      <c r="G82" s="404"/>
      <c r="H82" s="406"/>
      <c r="R82" s="395"/>
      <c r="S82" s="151"/>
      <c r="T82" s="151"/>
      <c r="V82" s="387"/>
      <c r="W82" s="343" t="s">
        <v>15625</v>
      </c>
      <c r="X82" s="325"/>
      <c r="Y82" s="325"/>
      <c r="Z82" s="325"/>
      <c r="AA82" s="325"/>
      <c r="AB82" s="325"/>
      <c r="AC82" s="325"/>
      <c r="AD82" s="325"/>
      <c r="AE82" s="325"/>
      <c r="AF82" s="325"/>
      <c r="AG82" s="325"/>
      <c r="AH82" s="325"/>
      <c r="AI82" s="325"/>
      <c r="AJ82" s="391" t="s">
        <v>15626</v>
      </c>
      <c r="AK82" s="838">
        <f>AK80</f>
        <v>1</v>
      </c>
      <c r="AL82" s="843"/>
      <c r="AM82" s="324" t="s">
        <v>15630</v>
      </c>
      <c r="AN82" s="325"/>
      <c r="AO82" s="325"/>
      <c r="AP82" s="325"/>
      <c r="AQ82" s="325"/>
      <c r="AR82" s="190" t="s">
        <v>398</v>
      </c>
      <c r="AS82" s="844">
        <f>AS78</f>
        <v>0.85</v>
      </c>
      <c r="AT82" s="844"/>
      <c r="AU82" s="490"/>
      <c r="AV82" s="152"/>
      <c r="AW82" s="387"/>
      <c r="AX82" s="489">
        <f>ROUND(ROUND(ROUND(R80*AK82,0)*AS82,0)*$AU$58,0)</f>
        <v>106</v>
      </c>
      <c r="AY82" s="393"/>
    </row>
    <row r="83" spans="1:51" ht="17.100000000000001" customHeight="1" x14ac:dyDescent="0.15">
      <c r="A83" s="340">
        <v>12</v>
      </c>
      <c r="B83" s="341">
        <v>2221</v>
      </c>
      <c r="C83" s="390" t="s">
        <v>15932</v>
      </c>
      <c r="D83" s="403"/>
      <c r="E83" s="404"/>
      <c r="F83" s="404"/>
      <c r="G83" s="404"/>
      <c r="H83" s="406"/>
      <c r="I83" s="253" t="s">
        <v>15664</v>
      </c>
      <c r="J83" s="396"/>
      <c r="K83" s="396"/>
      <c r="L83" s="400"/>
      <c r="M83" s="400"/>
      <c r="N83" s="400"/>
      <c r="O83" s="400"/>
      <c r="P83" s="400"/>
      <c r="Q83" s="396"/>
      <c r="R83" s="396"/>
      <c r="S83" s="396"/>
      <c r="T83" s="396"/>
      <c r="U83" s="396"/>
      <c r="V83" s="397"/>
      <c r="W83" s="343"/>
      <c r="X83" s="343"/>
      <c r="Y83" s="343"/>
      <c r="Z83" s="343"/>
      <c r="AA83" s="343"/>
      <c r="AB83" s="343"/>
      <c r="AC83" s="343"/>
      <c r="AD83" s="343"/>
      <c r="AE83" s="343"/>
      <c r="AF83" s="343"/>
      <c r="AG83" s="343"/>
      <c r="AH83" s="343"/>
      <c r="AI83" s="343"/>
      <c r="AJ83" s="343"/>
      <c r="AK83" s="343"/>
      <c r="AL83" s="407"/>
      <c r="AM83" s="396"/>
      <c r="AN83" s="396"/>
      <c r="AO83" s="396"/>
      <c r="AP83" s="396"/>
      <c r="AQ83" s="396"/>
      <c r="AR83" s="396"/>
      <c r="AS83" s="396"/>
      <c r="AT83" s="396"/>
      <c r="AU83" s="490"/>
      <c r="AV83" s="152"/>
      <c r="AW83" s="387"/>
      <c r="AX83" s="489">
        <f>ROUND(ROUND(R84,0)*$AU$58,0)</f>
        <v>115</v>
      </c>
      <c r="AY83" s="393"/>
    </row>
    <row r="84" spans="1:51" ht="16.5" customHeight="1" x14ac:dyDescent="0.15">
      <c r="A84" s="340">
        <v>12</v>
      </c>
      <c r="B84" s="341">
        <v>2222</v>
      </c>
      <c r="C84" s="390" t="s">
        <v>15933</v>
      </c>
      <c r="D84" s="403"/>
      <c r="E84" s="404"/>
      <c r="F84" s="404"/>
      <c r="G84" s="404"/>
      <c r="H84" s="406"/>
      <c r="R84" s="836">
        <f>'2重度訪問'!U84</f>
        <v>92</v>
      </c>
      <c r="S84" s="837"/>
      <c r="T84" s="837"/>
      <c r="U84" s="152" t="s">
        <v>15624</v>
      </c>
      <c r="V84" s="387"/>
      <c r="W84" s="343" t="s">
        <v>15625</v>
      </c>
      <c r="X84" s="325"/>
      <c r="Y84" s="325"/>
      <c r="Z84" s="325"/>
      <c r="AA84" s="325"/>
      <c r="AB84" s="325"/>
      <c r="AC84" s="325"/>
      <c r="AD84" s="325"/>
      <c r="AE84" s="325"/>
      <c r="AF84" s="325"/>
      <c r="AG84" s="325"/>
      <c r="AH84" s="325"/>
      <c r="AI84" s="325"/>
      <c r="AJ84" s="391" t="s">
        <v>15626</v>
      </c>
      <c r="AK84" s="838">
        <f>AK82</f>
        <v>1</v>
      </c>
      <c r="AL84" s="839"/>
      <c r="AM84" s="325"/>
      <c r="AN84" s="325"/>
      <c r="AO84" s="325"/>
      <c r="AP84" s="325"/>
      <c r="AQ84" s="325"/>
      <c r="AR84" s="325"/>
      <c r="AS84" s="325"/>
      <c r="AT84" s="391"/>
      <c r="AU84" s="490"/>
      <c r="AV84" s="152"/>
      <c r="AW84" s="387"/>
      <c r="AX84" s="489">
        <f>ROUND(ROUND(R84*AK84,0)*$AU$58,0)</f>
        <v>115</v>
      </c>
      <c r="AY84" s="393"/>
    </row>
    <row r="85" spans="1:51" ht="16.5" customHeight="1" x14ac:dyDescent="0.15">
      <c r="A85" s="340">
        <v>12</v>
      </c>
      <c r="B85" s="341">
        <v>7123</v>
      </c>
      <c r="C85" s="390" t="s">
        <v>15934</v>
      </c>
      <c r="D85" s="403"/>
      <c r="E85" s="404"/>
      <c r="F85" s="404"/>
      <c r="G85" s="404"/>
      <c r="H85" s="406"/>
      <c r="R85" s="395"/>
      <c r="S85" s="151"/>
      <c r="T85" s="151"/>
      <c r="V85" s="387"/>
      <c r="W85" s="343"/>
      <c r="X85" s="343"/>
      <c r="Y85" s="343"/>
      <c r="Z85" s="343"/>
      <c r="AA85" s="343"/>
      <c r="AB85" s="343"/>
      <c r="AC85" s="343"/>
      <c r="AD85" s="343"/>
      <c r="AE85" s="343"/>
      <c r="AF85" s="343"/>
      <c r="AG85" s="343"/>
      <c r="AH85" s="343"/>
      <c r="AI85" s="343"/>
      <c r="AJ85" s="343"/>
      <c r="AK85" s="343"/>
      <c r="AL85" s="343"/>
      <c r="AM85" s="114" t="s">
        <v>15628</v>
      </c>
      <c r="AN85" s="396"/>
      <c r="AO85" s="396"/>
      <c r="AP85" s="396"/>
      <c r="AQ85" s="396"/>
      <c r="AR85" s="396"/>
      <c r="AS85" s="396"/>
      <c r="AT85" s="396"/>
      <c r="AU85" s="490"/>
      <c r="AV85" s="152"/>
      <c r="AW85" s="387"/>
      <c r="AX85" s="489">
        <f>ROUND(ROUND(R84*AS86,0)*$AU$58,0)</f>
        <v>98</v>
      </c>
      <c r="AY85" s="393"/>
    </row>
    <row r="86" spans="1:51" ht="16.5" customHeight="1" x14ac:dyDescent="0.15">
      <c r="A86" s="340">
        <v>12</v>
      </c>
      <c r="B86" s="341">
        <v>7124</v>
      </c>
      <c r="C86" s="390" t="s">
        <v>15935</v>
      </c>
      <c r="D86" s="403"/>
      <c r="E86" s="404"/>
      <c r="F86" s="404"/>
      <c r="G86" s="404"/>
      <c r="H86" s="406"/>
      <c r="R86" s="395"/>
      <c r="S86" s="151"/>
      <c r="T86" s="151"/>
      <c r="V86" s="387"/>
      <c r="W86" s="343" t="s">
        <v>15625</v>
      </c>
      <c r="X86" s="325"/>
      <c r="Y86" s="325"/>
      <c r="Z86" s="325"/>
      <c r="AA86" s="325"/>
      <c r="AB86" s="325"/>
      <c r="AC86" s="325"/>
      <c r="AD86" s="325"/>
      <c r="AE86" s="325"/>
      <c r="AF86" s="325"/>
      <c r="AG86" s="325"/>
      <c r="AH86" s="325"/>
      <c r="AI86" s="325"/>
      <c r="AJ86" s="391" t="s">
        <v>15626</v>
      </c>
      <c r="AK86" s="838">
        <f>AK84</f>
        <v>1</v>
      </c>
      <c r="AL86" s="843"/>
      <c r="AM86" s="324" t="s">
        <v>15630</v>
      </c>
      <c r="AN86" s="325"/>
      <c r="AO86" s="325"/>
      <c r="AP86" s="325"/>
      <c r="AQ86" s="325"/>
      <c r="AR86" s="190" t="s">
        <v>398</v>
      </c>
      <c r="AS86" s="844">
        <f>AS82</f>
        <v>0.85</v>
      </c>
      <c r="AT86" s="844"/>
      <c r="AU86" s="490"/>
      <c r="AV86" s="152"/>
      <c r="AW86" s="387"/>
      <c r="AX86" s="489">
        <f>ROUND(ROUND(ROUND(R84*AK86,0)*AS86,0)*$AU$58,0)</f>
        <v>98</v>
      </c>
      <c r="AY86" s="393"/>
    </row>
    <row r="87" spans="1:51" ht="17.100000000000001" customHeight="1" x14ac:dyDescent="0.15">
      <c r="A87" s="340">
        <v>12</v>
      </c>
      <c r="B87" s="341">
        <v>2231</v>
      </c>
      <c r="C87" s="390" t="s">
        <v>15936</v>
      </c>
      <c r="D87" s="403"/>
      <c r="E87" s="404"/>
      <c r="F87" s="404"/>
      <c r="G87" s="404"/>
      <c r="H87" s="406"/>
      <c r="I87" s="253" t="s">
        <v>15669</v>
      </c>
      <c r="J87" s="396"/>
      <c r="K87" s="396"/>
      <c r="L87" s="400"/>
      <c r="M87" s="400"/>
      <c r="N87" s="400"/>
      <c r="O87" s="400"/>
      <c r="P87" s="400"/>
      <c r="Q87" s="396"/>
      <c r="R87" s="396"/>
      <c r="S87" s="396"/>
      <c r="T87" s="396"/>
      <c r="U87" s="396"/>
      <c r="V87" s="397"/>
      <c r="W87" s="343"/>
      <c r="X87" s="343"/>
      <c r="Y87" s="343"/>
      <c r="Z87" s="343"/>
      <c r="AA87" s="343"/>
      <c r="AB87" s="343"/>
      <c r="AC87" s="343"/>
      <c r="AD87" s="343"/>
      <c r="AE87" s="343"/>
      <c r="AF87" s="343"/>
      <c r="AG87" s="343"/>
      <c r="AH87" s="343"/>
      <c r="AI87" s="343"/>
      <c r="AJ87" s="343"/>
      <c r="AK87" s="343"/>
      <c r="AL87" s="407"/>
      <c r="AM87" s="396"/>
      <c r="AN87" s="396"/>
      <c r="AO87" s="396"/>
      <c r="AP87" s="396"/>
      <c r="AQ87" s="396"/>
      <c r="AR87" s="396"/>
      <c r="AS87" s="396"/>
      <c r="AT87" s="396"/>
      <c r="AU87" s="490"/>
      <c r="AV87" s="152"/>
      <c r="AW87" s="387"/>
      <c r="AX87" s="489">
        <f>ROUND(ROUND(R88,0)*$AU$58,0)</f>
        <v>115</v>
      </c>
      <c r="AY87" s="393"/>
    </row>
    <row r="88" spans="1:51" ht="16.5" customHeight="1" x14ac:dyDescent="0.15">
      <c r="A88" s="340">
        <v>12</v>
      </c>
      <c r="B88" s="341">
        <v>2232</v>
      </c>
      <c r="C88" s="390" t="s">
        <v>15937</v>
      </c>
      <c r="D88" s="403"/>
      <c r="E88" s="404"/>
      <c r="F88" s="404"/>
      <c r="G88" s="404"/>
      <c r="H88" s="406"/>
      <c r="R88" s="836">
        <f>'2重度訪問'!U88</f>
        <v>92</v>
      </c>
      <c r="S88" s="837"/>
      <c r="T88" s="837"/>
      <c r="U88" s="152" t="s">
        <v>15624</v>
      </c>
      <c r="V88" s="387"/>
      <c r="W88" s="343" t="s">
        <v>15625</v>
      </c>
      <c r="X88" s="325"/>
      <c r="Y88" s="325"/>
      <c r="Z88" s="325"/>
      <c r="AA88" s="325"/>
      <c r="AB88" s="325"/>
      <c r="AC88" s="325"/>
      <c r="AD88" s="325"/>
      <c r="AE88" s="325"/>
      <c r="AF88" s="325"/>
      <c r="AG88" s="325"/>
      <c r="AH88" s="325"/>
      <c r="AI88" s="325"/>
      <c r="AJ88" s="391" t="s">
        <v>15626</v>
      </c>
      <c r="AK88" s="838">
        <f>AK86</f>
        <v>1</v>
      </c>
      <c r="AL88" s="839"/>
      <c r="AM88" s="325"/>
      <c r="AN88" s="325"/>
      <c r="AO88" s="325"/>
      <c r="AP88" s="325"/>
      <c r="AQ88" s="325"/>
      <c r="AR88" s="325"/>
      <c r="AS88" s="325"/>
      <c r="AT88" s="391"/>
      <c r="AU88" s="490"/>
      <c r="AV88" s="152"/>
      <c r="AW88" s="387"/>
      <c r="AX88" s="489">
        <f>ROUND(ROUND(R88*AK88,0)*$AU$58,0)</f>
        <v>115</v>
      </c>
      <c r="AY88" s="393"/>
    </row>
    <row r="89" spans="1:51" ht="16.5" customHeight="1" x14ac:dyDescent="0.15">
      <c r="A89" s="340">
        <v>12</v>
      </c>
      <c r="B89" s="341">
        <v>7125</v>
      </c>
      <c r="C89" s="390" t="s">
        <v>15938</v>
      </c>
      <c r="D89" s="403"/>
      <c r="E89" s="404"/>
      <c r="F89" s="404"/>
      <c r="G89" s="404"/>
      <c r="H89" s="406"/>
      <c r="R89" s="395"/>
      <c r="S89" s="151"/>
      <c r="T89" s="151"/>
      <c r="V89" s="387"/>
      <c r="W89" s="343"/>
      <c r="X89" s="343"/>
      <c r="Y89" s="343"/>
      <c r="Z89" s="343"/>
      <c r="AA89" s="343"/>
      <c r="AB89" s="343"/>
      <c r="AC89" s="343"/>
      <c r="AD89" s="343"/>
      <c r="AE89" s="343"/>
      <c r="AF89" s="343"/>
      <c r="AG89" s="343"/>
      <c r="AH89" s="343"/>
      <c r="AI89" s="343"/>
      <c r="AJ89" s="343"/>
      <c r="AK89" s="343"/>
      <c r="AL89" s="343"/>
      <c r="AM89" s="114" t="s">
        <v>15628</v>
      </c>
      <c r="AN89" s="396"/>
      <c r="AO89" s="396"/>
      <c r="AP89" s="396"/>
      <c r="AQ89" s="396"/>
      <c r="AR89" s="396"/>
      <c r="AS89" s="396"/>
      <c r="AT89" s="396"/>
      <c r="AU89" s="490"/>
      <c r="AV89" s="152"/>
      <c r="AW89" s="387"/>
      <c r="AX89" s="489">
        <f>ROUND(ROUND(R88*AS90,0)*$AU$58,0)</f>
        <v>98</v>
      </c>
      <c r="AY89" s="393"/>
    </row>
    <row r="90" spans="1:51" ht="16.5" customHeight="1" x14ac:dyDescent="0.15">
      <c r="A90" s="340">
        <v>12</v>
      </c>
      <c r="B90" s="341">
        <v>7126</v>
      </c>
      <c r="C90" s="390" t="s">
        <v>15939</v>
      </c>
      <c r="D90" s="403"/>
      <c r="E90" s="404"/>
      <c r="F90" s="404"/>
      <c r="G90" s="404"/>
      <c r="H90" s="406"/>
      <c r="R90" s="395"/>
      <c r="S90" s="151"/>
      <c r="T90" s="151"/>
      <c r="V90" s="387"/>
      <c r="W90" s="343" t="s">
        <v>15625</v>
      </c>
      <c r="X90" s="325"/>
      <c r="Y90" s="325"/>
      <c r="Z90" s="325"/>
      <c r="AA90" s="325"/>
      <c r="AB90" s="325"/>
      <c r="AC90" s="325"/>
      <c r="AD90" s="325"/>
      <c r="AE90" s="325"/>
      <c r="AF90" s="325"/>
      <c r="AG90" s="325"/>
      <c r="AH90" s="325"/>
      <c r="AI90" s="325"/>
      <c r="AJ90" s="391" t="s">
        <v>15626</v>
      </c>
      <c r="AK90" s="838">
        <f>AK88</f>
        <v>1</v>
      </c>
      <c r="AL90" s="843"/>
      <c r="AM90" s="324" t="s">
        <v>15630</v>
      </c>
      <c r="AN90" s="325"/>
      <c r="AO90" s="325"/>
      <c r="AP90" s="325"/>
      <c r="AQ90" s="325"/>
      <c r="AR90" s="190" t="s">
        <v>398</v>
      </c>
      <c r="AS90" s="844">
        <f>AS86</f>
        <v>0.85</v>
      </c>
      <c r="AT90" s="844"/>
      <c r="AU90" s="490"/>
      <c r="AV90" s="152"/>
      <c r="AW90" s="387"/>
      <c r="AX90" s="489">
        <f>ROUND(ROUND(ROUND(R88*AK90,0)*AS90,0)*$AU$58,0)</f>
        <v>98</v>
      </c>
      <c r="AY90" s="393"/>
    </row>
    <row r="91" spans="1:51" ht="17.100000000000001" customHeight="1" x14ac:dyDescent="0.15">
      <c r="A91" s="340">
        <v>12</v>
      </c>
      <c r="B91" s="341">
        <v>2241</v>
      </c>
      <c r="C91" s="390" t="s">
        <v>15940</v>
      </c>
      <c r="D91" s="403"/>
      <c r="E91" s="404"/>
      <c r="F91" s="404"/>
      <c r="G91" s="404"/>
      <c r="H91" s="406"/>
      <c r="I91" s="253" t="s">
        <v>15674</v>
      </c>
      <c r="J91" s="396"/>
      <c r="K91" s="396"/>
      <c r="L91" s="400"/>
      <c r="M91" s="400"/>
      <c r="N91" s="400"/>
      <c r="O91" s="400"/>
      <c r="P91" s="400"/>
      <c r="Q91" s="396"/>
      <c r="R91" s="396"/>
      <c r="S91" s="396"/>
      <c r="T91" s="396"/>
      <c r="U91" s="396"/>
      <c r="V91" s="397"/>
      <c r="W91" s="343"/>
      <c r="X91" s="343"/>
      <c r="Y91" s="343"/>
      <c r="Z91" s="343"/>
      <c r="AA91" s="343"/>
      <c r="AB91" s="343"/>
      <c r="AC91" s="343"/>
      <c r="AD91" s="343"/>
      <c r="AE91" s="343"/>
      <c r="AF91" s="343"/>
      <c r="AG91" s="343"/>
      <c r="AH91" s="343"/>
      <c r="AI91" s="343"/>
      <c r="AJ91" s="343"/>
      <c r="AK91" s="343"/>
      <c r="AL91" s="407"/>
      <c r="AM91" s="396"/>
      <c r="AN91" s="396"/>
      <c r="AO91" s="396"/>
      <c r="AP91" s="396"/>
      <c r="AQ91" s="396"/>
      <c r="AR91" s="396"/>
      <c r="AS91" s="396"/>
      <c r="AT91" s="396"/>
      <c r="AU91" s="490"/>
      <c r="AV91" s="152"/>
      <c r="AW91" s="387"/>
      <c r="AX91" s="489">
        <f>ROUND(ROUND(R92,0)*$AU$58,0)</f>
        <v>109</v>
      </c>
      <c r="AY91" s="393"/>
    </row>
    <row r="92" spans="1:51" ht="16.5" customHeight="1" x14ac:dyDescent="0.15">
      <c r="A92" s="340">
        <v>12</v>
      </c>
      <c r="B92" s="341">
        <v>2242</v>
      </c>
      <c r="C92" s="390" t="s">
        <v>15941</v>
      </c>
      <c r="D92" s="403"/>
      <c r="E92" s="404"/>
      <c r="F92" s="404"/>
      <c r="G92" s="404"/>
      <c r="H92" s="406"/>
      <c r="R92" s="836">
        <f>'2重度訪問'!U92</f>
        <v>87</v>
      </c>
      <c r="S92" s="837"/>
      <c r="T92" s="837"/>
      <c r="U92" s="152" t="s">
        <v>15624</v>
      </c>
      <c r="V92" s="387"/>
      <c r="W92" s="343" t="s">
        <v>15625</v>
      </c>
      <c r="X92" s="325"/>
      <c r="Y92" s="325"/>
      <c r="Z92" s="325"/>
      <c r="AA92" s="325"/>
      <c r="AB92" s="325"/>
      <c r="AC92" s="325"/>
      <c r="AD92" s="325"/>
      <c r="AE92" s="325"/>
      <c r="AF92" s="325"/>
      <c r="AG92" s="325"/>
      <c r="AH92" s="325"/>
      <c r="AI92" s="325"/>
      <c r="AJ92" s="391" t="s">
        <v>15626</v>
      </c>
      <c r="AK92" s="838">
        <f>AK90</f>
        <v>1</v>
      </c>
      <c r="AL92" s="839"/>
      <c r="AM92" s="325"/>
      <c r="AN92" s="325"/>
      <c r="AO92" s="325"/>
      <c r="AP92" s="325"/>
      <c r="AQ92" s="325"/>
      <c r="AR92" s="325"/>
      <c r="AS92" s="325"/>
      <c r="AT92" s="391"/>
      <c r="AU92" s="490"/>
      <c r="AV92" s="152"/>
      <c r="AW92" s="387"/>
      <c r="AX92" s="489">
        <f>ROUND(ROUND(R92*AK92,0)*$AU$58,0)</f>
        <v>109</v>
      </c>
      <c r="AY92" s="393"/>
    </row>
    <row r="93" spans="1:51" ht="16.5" customHeight="1" x14ac:dyDescent="0.15">
      <c r="A93" s="340">
        <v>12</v>
      </c>
      <c r="B93" s="341">
        <v>7127</v>
      </c>
      <c r="C93" s="390" t="s">
        <v>15942</v>
      </c>
      <c r="D93" s="403"/>
      <c r="E93" s="404"/>
      <c r="F93" s="404"/>
      <c r="G93" s="404"/>
      <c r="H93" s="406"/>
      <c r="R93" s="395"/>
      <c r="S93" s="151"/>
      <c r="T93" s="151"/>
      <c r="V93" s="387"/>
      <c r="W93" s="343"/>
      <c r="X93" s="343"/>
      <c r="Y93" s="343"/>
      <c r="Z93" s="343"/>
      <c r="AA93" s="343"/>
      <c r="AB93" s="343"/>
      <c r="AC93" s="343"/>
      <c r="AD93" s="343"/>
      <c r="AE93" s="343"/>
      <c r="AF93" s="343"/>
      <c r="AG93" s="343"/>
      <c r="AH93" s="343"/>
      <c r="AI93" s="343"/>
      <c r="AJ93" s="343"/>
      <c r="AK93" s="343"/>
      <c r="AL93" s="343"/>
      <c r="AM93" s="114" t="s">
        <v>15628</v>
      </c>
      <c r="AN93" s="396"/>
      <c r="AO93" s="396"/>
      <c r="AP93" s="396"/>
      <c r="AQ93" s="396"/>
      <c r="AR93" s="396"/>
      <c r="AS93" s="396"/>
      <c r="AT93" s="396"/>
      <c r="AU93" s="490"/>
      <c r="AV93" s="152"/>
      <c r="AW93" s="387"/>
      <c r="AX93" s="489">
        <f>ROUND(ROUND(R92*AS94,0)*$AU$58,0)</f>
        <v>93</v>
      </c>
      <c r="AY93" s="393"/>
    </row>
    <row r="94" spans="1:51" ht="16.5" customHeight="1" x14ac:dyDescent="0.15">
      <c r="A94" s="340">
        <v>12</v>
      </c>
      <c r="B94" s="341">
        <v>7128</v>
      </c>
      <c r="C94" s="390" t="s">
        <v>15943</v>
      </c>
      <c r="D94" s="403"/>
      <c r="E94" s="404"/>
      <c r="F94" s="404"/>
      <c r="G94" s="404"/>
      <c r="H94" s="406"/>
      <c r="R94" s="395"/>
      <c r="S94" s="151"/>
      <c r="T94" s="151"/>
      <c r="V94" s="387"/>
      <c r="W94" s="343" t="s">
        <v>15625</v>
      </c>
      <c r="X94" s="325"/>
      <c r="Y94" s="325"/>
      <c r="Z94" s="325"/>
      <c r="AA94" s="325"/>
      <c r="AB94" s="325"/>
      <c r="AC94" s="325"/>
      <c r="AD94" s="325"/>
      <c r="AE94" s="325"/>
      <c r="AF94" s="325"/>
      <c r="AG94" s="325"/>
      <c r="AH94" s="325"/>
      <c r="AI94" s="325"/>
      <c r="AJ94" s="391" t="s">
        <v>15626</v>
      </c>
      <c r="AK94" s="838">
        <f>AK92</f>
        <v>1</v>
      </c>
      <c r="AL94" s="843"/>
      <c r="AM94" s="324" t="s">
        <v>15630</v>
      </c>
      <c r="AN94" s="325"/>
      <c r="AO94" s="325"/>
      <c r="AP94" s="325"/>
      <c r="AQ94" s="325"/>
      <c r="AR94" s="190" t="s">
        <v>398</v>
      </c>
      <c r="AS94" s="844">
        <f>AS90</f>
        <v>0.85</v>
      </c>
      <c r="AT94" s="844"/>
      <c r="AU94" s="490"/>
      <c r="AV94" s="152"/>
      <c r="AW94" s="387"/>
      <c r="AX94" s="489">
        <f>ROUND(ROUND(ROUND(R92*AK94,0)*AS94,0)*$AU$58,0)</f>
        <v>93</v>
      </c>
      <c r="AY94" s="393"/>
    </row>
    <row r="95" spans="1:51" ht="17.100000000000001" customHeight="1" x14ac:dyDescent="0.15">
      <c r="A95" s="340">
        <v>12</v>
      </c>
      <c r="B95" s="341">
        <v>2251</v>
      </c>
      <c r="C95" s="390" t="s">
        <v>15944</v>
      </c>
      <c r="D95" s="403"/>
      <c r="E95" s="404"/>
      <c r="F95" s="404"/>
      <c r="G95" s="404"/>
      <c r="H95" s="406"/>
      <c r="I95" s="253" t="s">
        <v>15679</v>
      </c>
      <c r="J95" s="396"/>
      <c r="K95" s="396"/>
      <c r="L95" s="400"/>
      <c r="M95" s="400"/>
      <c r="N95" s="400"/>
      <c r="O95" s="400"/>
      <c r="P95" s="400"/>
      <c r="Q95" s="396"/>
      <c r="R95" s="396"/>
      <c r="S95" s="396"/>
      <c r="T95" s="396"/>
      <c r="U95" s="396"/>
      <c r="V95" s="397"/>
      <c r="W95" s="343"/>
      <c r="X95" s="343"/>
      <c r="Y95" s="343"/>
      <c r="Z95" s="343"/>
      <c r="AA95" s="343"/>
      <c r="AB95" s="343"/>
      <c r="AC95" s="343"/>
      <c r="AD95" s="343"/>
      <c r="AE95" s="343"/>
      <c r="AF95" s="343"/>
      <c r="AG95" s="343"/>
      <c r="AH95" s="343"/>
      <c r="AI95" s="343"/>
      <c r="AJ95" s="343"/>
      <c r="AK95" s="343"/>
      <c r="AL95" s="407"/>
      <c r="AM95" s="396"/>
      <c r="AN95" s="396"/>
      <c r="AO95" s="396"/>
      <c r="AP95" s="396"/>
      <c r="AQ95" s="396"/>
      <c r="AR95" s="396"/>
      <c r="AS95" s="396"/>
      <c r="AT95" s="396"/>
      <c r="AU95" s="490"/>
      <c r="AV95" s="152"/>
      <c r="AW95" s="387"/>
      <c r="AX95" s="489">
        <f>ROUND(ROUND(R96,0)*$AU$58,0)</f>
        <v>116</v>
      </c>
      <c r="AY95" s="393"/>
    </row>
    <row r="96" spans="1:51" ht="16.5" customHeight="1" x14ac:dyDescent="0.15">
      <c r="A96" s="340">
        <v>12</v>
      </c>
      <c r="B96" s="341">
        <v>2252</v>
      </c>
      <c r="C96" s="390" t="s">
        <v>15945</v>
      </c>
      <c r="D96" s="403"/>
      <c r="E96" s="404"/>
      <c r="F96" s="404"/>
      <c r="G96" s="404"/>
      <c r="H96" s="406"/>
      <c r="R96" s="836">
        <f>'2重度訪問'!U96</f>
        <v>93</v>
      </c>
      <c r="S96" s="837"/>
      <c r="T96" s="837"/>
      <c r="U96" s="152" t="s">
        <v>15624</v>
      </c>
      <c r="V96" s="387"/>
      <c r="W96" s="343" t="s">
        <v>15625</v>
      </c>
      <c r="X96" s="325"/>
      <c r="Y96" s="325"/>
      <c r="Z96" s="325"/>
      <c r="AA96" s="325"/>
      <c r="AB96" s="325"/>
      <c r="AC96" s="325"/>
      <c r="AD96" s="325"/>
      <c r="AE96" s="325"/>
      <c r="AF96" s="325"/>
      <c r="AG96" s="325"/>
      <c r="AH96" s="325"/>
      <c r="AI96" s="325"/>
      <c r="AJ96" s="391" t="s">
        <v>15626</v>
      </c>
      <c r="AK96" s="838">
        <f>AK94</f>
        <v>1</v>
      </c>
      <c r="AL96" s="839"/>
      <c r="AM96" s="325"/>
      <c r="AN96" s="325"/>
      <c r="AO96" s="325"/>
      <c r="AP96" s="325"/>
      <c r="AQ96" s="325"/>
      <c r="AR96" s="325"/>
      <c r="AS96" s="325"/>
      <c r="AT96" s="391"/>
      <c r="AU96" s="490"/>
      <c r="AV96" s="152"/>
      <c r="AW96" s="387"/>
      <c r="AX96" s="489">
        <f>ROUND(ROUND(R96*AK96,0)*$AU$58,0)</f>
        <v>116</v>
      </c>
      <c r="AY96" s="393"/>
    </row>
    <row r="97" spans="1:51" ht="16.5" customHeight="1" x14ac:dyDescent="0.15">
      <c r="A97" s="340">
        <v>12</v>
      </c>
      <c r="B97" s="341">
        <v>7129</v>
      </c>
      <c r="C97" s="390" t="s">
        <v>15946</v>
      </c>
      <c r="D97" s="403"/>
      <c r="E97" s="404"/>
      <c r="F97" s="404"/>
      <c r="G97" s="404"/>
      <c r="H97" s="406"/>
      <c r="R97" s="395"/>
      <c r="S97" s="151"/>
      <c r="T97" s="151"/>
      <c r="V97" s="387"/>
      <c r="W97" s="343"/>
      <c r="X97" s="343"/>
      <c r="Y97" s="343"/>
      <c r="Z97" s="343"/>
      <c r="AA97" s="343"/>
      <c r="AB97" s="343"/>
      <c r="AC97" s="343"/>
      <c r="AD97" s="343"/>
      <c r="AE97" s="343"/>
      <c r="AF97" s="343"/>
      <c r="AG97" s="343"/>
      <c r="AH97" s="343"/>
      <c r="AI97" s="343"/>
      <c r="AJ97" s="343"/>
      <c r="AK97" s="343"/>
      <c r="AL97" s="343"/>
      <c r="AM97" s="114" t="s">
        <v>15628</v>
      </c>
      <c r="AN97" s="396"/>
      <c r="AO97" s="396"/>
      <c r="AP97" s="396"/>
      <c r="AQ97" s="396"/>
      <c r="AR97" s="396"/>
      <c r="AS97" s="396"/>
      <c r="AT97" s="396"/>
      <c r="AU97" s="490"/>
      <c r="AV97" s="152"/>
      <c r="AW97" s="387"/>
      <c r="AX97" s="489">
        <f>ROUND(ROUND(R96*AS98,0)*$AU$58,0)</f>
        <v>99</v>
      </c>
      <c r="AY97" s="393"/>
    </row>
    <row r="98" spans="1:51" ht="16.5" customHeight="1" x14ac:dyDescent="0.15">
      <c r="A98" s="340">
        <v>12</v>
      </c>
      <c r="B98" s="341">
        <v>7130</v>
      </c>
      <c r="C98" s="390" t="s">
        <v>15947</v>
      </c>
      <c r="D98" s="403"/>
      <c r="E98" s="404"/>
      <c r="F98" s="404"/>
      <c r="G98" s="404"/>
      <c r="H98" s="406"/>
      <c r="R98" s="395"/>
      <c r="S98" s="151"/>
      <c r="T98" s="151"/>
      <c r="V98" s="387"/>
      <c r="W98" s="343" t="s">
        <v>15625</v>
      </c>
      <c r="X98" s="325"/>
      <c r="Y98" s="325"/>
      <c r="Z98" s="325"/>
      <c r="AA98" s="325"/>
      <c r="AB98" s="325"/>
      <c r="AC98" s="325"/>
      <c r="AD98" s="325"/>
      <c r="AE98" s="325"/>
      <c r="AF98" s="325"/>
      <c r="AG98" s="325"/>
      <c r="AH98" s="325"/>
      <c r="AI98" s="325"/>
      <c r="AJ98" s="391" t="s">
        <v>15626</v>
      </c>
      <c r="AK98" s="838">
        <f>AK96</f>
        <v>1</v>
      </c>
      <c r="AL98" s="843"/>
      <c r="AM98" s="324" t="s">
        <v>15630</v>
      </c>
      <c r="AN98" s="325"/>
      <c r="AO98" s="325"/>
      <c r="AP98" s="325"/>
      <c r="AQ98" s="325"/>
      <c r="AR98" s="190" t="s">
        <v>398</v>
      </c>
      <c r="AS98" s="844">
        <f>AS94</f>
        <v>0.85</v>
      </c>
      <c r="AT98" s="844"/>
      <c r="AU98" s="490"/>
      <c r="AV98" s="152"/>
      <c r="AW98" s="387"/>
      <c r="AX98" s="489">
        <f>ROUND(ROUND(ROUND(R96*AK98,0)*AS98,0)*$AU$58,0)</f>
        <v>99</v>
      </c>
      <c r="AY98" s="393"/>
    </row>
    <row r="99" spans="1:51" ht="17.100000000000001" customHeight="1" x14ac:dyDescent="0.15">
      <c r="A99" s="340">
        <v>12</v>
      </c>
      <c r="B99" s="341">
        <v>2261</v>
      </c>
      <c r="C99" s="390" t="s">
        <v>15948</v>
      </c>
      <c r="D99" s="403"/>
      <c r="E99" s="404"/>
      <c r="F99" s="404"/>
      <c r="G99" s="404"/>
      <c r="H99" s="406"/>
      <c r="I99" s="253" t="s">
        <v>15684</v>
      </c>
      <c r="J99" s="396"/>
      <c r="K99" s="396"/>
      <c r="L99" s="400"/>
      <c r="M99" s="400"/>
      <c r="N99" s="400"/>
      <c r="O99" s="400"/>
      <c r="P99" s="400"/>
      <c r="Q99" s="396"/>
      <c r="R99" s="396"/>
      <c r="S99" s="396"/>
      <c r="T99" s="396"/>
      <c r="U99" s="396"/>
      <c r="V99" s="397"/>
      <c r="W99" s="343"/>
      <c r="X99" s="343"/>
      <c r="Y99" s="343"/>
      <c r="Z99" s="343"/>
      <c r="AA99" s="343"/>
      <c r="AB99" s="343"/>
      <c r="AC99" s="343"/>
      <c r="AD99" s="343"/>
      <c r="AE99" s="343"/>
      <c r="AF99" s="343"/>
      <c r="AG99" s="343"/>
      <c r="AH99" s="343"/>
      <c r="AI99" s="343"/>
      <c r="AJ99" s="343"/>
      <c r="AK99" s="343"/>
      <c r="AL99" s="407"/>
      <c r="AM99" s="396"/>
      <c r="AN99" s="396"/>
      <c r="AO99" s="396"/>
      <c r="AP99" s="396"/>
      <c r="AQ99" s="396"/>
      <c r="AR99" s="396"/>
      <c r="AS99" s="396"/>
      <c r="AT99" s="396"/>
      <c r="AU99" s="490"/>
      <c r="AV99" s="152"/>
      <c r="AW99" s="387"/>
      <c r="AX99" s="489">
        <f>ROUND(ROUND(R100,0)*$AU$58,0)</f>
        <v>109</v>
      </c>
      <c r="AY99" s="393"/>
    </row>
    <row r="100" spans="1:51" ht="16.5" customHeight="1" x14ac:dyDescent="0.15">
      <c r="A100" s="340">
        <v>12</v>
      </c>
      <c r="B100" s="341">
        <v>2262</v>
      </c>
      <c r="C100" s="390" t="s">
        <v>15949</v>
      </c>
      <c r="D100" s="403"/>
      <c r="E100" s="404"/>
      <c r="F100" s="404"/>
      <c r="G100" s="404"/>
      <c r="H100" s="406"/>
      <c r="R100" s="836">
        <f>'2重度訪問'!U100</f>
        <v>87</v>
      </c>
      <c r="S100" s="837"/>
      <c r="T100" s="837"/>
      <c r="U100" s="152" t="s">
        <v>15624</v>
      </c>
      <c r="V100" s="387"/>
      <c r="W100" s="343" t="s">
        <v>15625</v>
      </c>
      <c r="X100" s="325"/>
      <c r="Y100" s="325"/>
      <c r="Z100" s="325"/>
      <c r="AA100" s="325"/>
      <c r="AB100" s="325"/>
      <c r="AC100" s="325"/>
      <c r="AD100" s="325"/>
      <c r="AE100" s="325"/>
      <c r="AF100" s="325"/>
      <c r="AG100" s="325"/>
      <c r="AH100" s="325"/>
      <c r="AI100" s="325"/>
      <c r="AJ100" s="391" t="s">
        <v>15626</v>
      </c>
      <c r="AK100" s="838">
        <f>AK98</f>
        <v>1</v>
      </c>
      <c r="AL100" s="839"/>
      <c r="AM100" s="325"/>
      <c r="AN100" s="325"/>
      <c r="AO100" s="325"/>
      <c r="AP100" s="325"/>
      <c r="AQ100" s="325"/>
      <c r="AR100" s="325"/>
      <c r="AS100" s="325"/>
      <c r="AT100" s="391"/>
      <c r="AU100" s="490"/>
      <c r="AV100" s="152"/>
      <c r="AW100" s="387"/>
      <c r="AX100" s="489">
        <f>ROUND(ROUND(R100*AK100,0)*$AU$58,0)</f>
        <v>109</v>
      </c>
      <c r="AY100" s="393"/>
    </row>
    <row r="101" spans="1:51" ht="16.5" customHeight="1" x14ac:dyDescent="0.15">
      <c r="A101" s="340">
        <v>12</v>
      </c>
      <c r="B101" s="341">
        <v>7131</v>
      </c>
      <c r="C101" s="390" t="s">
        <v>15950</v>
      </c>
      <c r="D101" s="403"/>
      <c r="E101" s="404"/>
      <c r="F101" s="404"/>
      <c r="G101" s="404"/>
      <c r="H101" s="406"/>
      <c r="R101" s="395"/>
      <c r="S101" s="151"/>
      <c r="T101" s="151"/>
      <c r="V101" s="387"/>
      <c r="W101" s="343"/>
      <c r="X101" s="343"/>
      <c r="Y101" s="343"/>
      <c r="Z101" s="343"/>
      <c r="AA101" s="343"/>
      <c r="AB101" s="343"/>
      <c r="AC101" s="343"/>
      <c r="AD101" s="343"/>
      <c r="AE101" s="343"/>
      <c r="AF101" s="343"/>
      <c r="AG101" s="343"/>
      <c r="AH101" s="343"/>
      <c r="AI101" s="343"/>
      <c r="AJ101" s="343"/>
      <c r="AK101" s="343"/>
      <c r="AL101" s="343"/>
      <c r="AM101" s="114" t="s">
        <v>15628</v>
      </c>
      <c r="AN101" s="396"/>
      <c r="AO101" s="396"/>
      <c r="AP101" s="396"/>
      <c r="AQ101" s="396"/>
      <c r="AR101" s="396"/>
      <c r="AS101" s="396"/>
      <c r="AT101" s="396"/>
      <c r="AU101" s="490"/>
      <c r="AV101" s="152"/>
      <c r="AW101" s="387"/>
      <c r="AX101" s="489">
        <f>ROUND(ROUND(R100*AS102,0)*$AU$58,0)</f>
        <v>93</v>
      </c>
      <c r="AY101" s="393"/>
    </row>
    <row r="102" spans="1:51" ht="16.5" customHeight="1" x14ac:dyDescent="0.15">
      <c r="A102" s="340">
        <v>12</v>
      </c>
      <c r="B102" s="341">
        <v>7132</v>
      </c>
      <c r="C102" s="390" t="s">
        <v>15951</v>
      </c>
      <c r="D102" s="419"/>
      <c r="E102" s="420"/>
      <c r="F102" s="420"/>
      <c r="G102" s="420"/>
      <c r="H102" s="422"/>
      <c r="I102" s="325"/>
      <c r="J102" s="325"/>
      <c r="K102" s="325"/>
      <c r="L102" s="325"/>
      <c r="M102" s="325"/>
      <c r="N102" s="325"/>
      <c r="O102" s="325"/>
      <c r="P102" s="325"/>
      <c r="Q102" s="325"/>
      <c r="R102" s="416"/>
      <c r="S102" s="417"/>
      <c r="T102" s="417"/>
      <c r="U102" s="325"/>
      <c r="V102" s="388"/>
      <c r="W102" s="343" t="s">
        <v>15625</v>
      </c>
      <c r="X102" s="325"/>
      <c r="Y102" s="325"/>
      <c r="Z102" s="325"/>
      <c r="AA102" s="325"/>
      <c r="AB102" s="325"/>
      <c r="AC102" s="325"/>
      <c r="AD102" s="325"/>
      <c r="AE102" s="325"/>
      <c r="AF102" s="325"/>
      <c r="AG102" s="325"/>
      <c r="AH102" s="325"/>
      <c r="AI102" s="325"/>
      <c r="AJ102" s="391" t="s">
        <v>15626</v>
      </c>
      <c r="AK102" s="838">
        <f>AK100</f>
        <v>1</v>
      </c>
      <c r="AL102" s="843"/>
      <c r="AM102" s="324" t="s">
        <v>15630</v>
      </c>
      <c r="AN102" s="325"/>
      <c r="AO102" s="325"/>
      <c r="AP102" s="325"/>
      <c r="AQ102" s="325"/>
      <c r="AR102" s="190" t="s">
        <v>398</v>
      </c>
      <c r="AS102" s="844">
        <f>AS98</f>
        <v>0.85</v>
      </c>
      <c r="AT102" s="844"/>
      <c r="AU102" s="324"/>
      <c r="AV102" s="325"/>
      <c r="AW102" s="388"/>
      <c r="AX102" s="491">
        <f>ROUND(ROUND(ROUND(R100*AK102,0)*AS102,0)*$AU$58,0)</f>
        <v>93</v>
      </c>
      <c r="AY102" s="418"/>
    </row>
    <row r="103" spans="1:51" ht="17.100000000000001" customHeight="1" x14ac:dyDescent="0.15">
      <c r="A103" s="340">
        <v>12</v>
      </c>
      <c r="B103" s="341">
        <v>2371</v>
      </c>
      <c r="C103" s="390" t="s">
        <v>15952</v>
      </c>
      <c r="D103" s="857" t="s">
        <v>15740</v>
      </c>
      <c r="E103" s="858"/>
      <c r="F103" s="858"/>
      <c r="G103" s="858"/>
      <c r="H103" s="860"/>
      <c r="I103" s="253" t="s">
        <v>15690</v>
      </c>
      <c r="J103" s="396"/>
      <c r="K103" s="396"/>
      <c r="L103" s="400"/>
      <c r="M103" s="400"/>
      <c r="N103" s="400"/>
      <c r="O103" s="400"/>
      <c r="P103" s="400"/>
      <c r="Q103" s="396"/>
      <c r="R103" s="396"/>
      <c r="S103" s="396"/>
      <c r="T103" s="396"/>
      <c r="U103" s="396"/>
      <c r="V103" s="397"/>
      <c r="W103" s="343"/>
      <c r="X103" s="343"/>
      <c r="Y103" s="343"/>
      <c r="Z103" s="343"/>
      <c r="AA103" s="343"/>
      <c r="AB103" s="343"/>
      <c r="AC103" s="343"/>
      <c r="AD103" s="343"/>
      <c r="AE103" s="343"/>
      <c r="AF103" s="343"/>
      <c r="AG103" s="343"/>
      <c r="AH103" s="343"/>
      <c r="AI103" s="343"/>
      <c r="AJ103" s="343"/>
      <c r="AK103" s="343"/>
      <c r="AL103" s="407"/>
      <c r="AM103" s="396"/>
      <c r="AN103" s="396"/>
      <c r="AO103" s="396"/>
      <c r="AP103" s="396"/>
      <c r="AQ103" s="396"/>
      <c r="AR103" s="396"/>
      <c r="AS103" s="396"/>
      <c r="AT103" s="396"/>
      <c r="AU103" s="753" t="s">
        <v>674</v>
      </c>
      <c r="AV103" s="742"/>
      <c r="AW103" s="714"/>
      <c r="AX103" s="489">
        <f>ROUND(R104*$AU$106,0)</f>
        <v>231</v>
      </c>
      <c r="AY103" s="329" t="s">
        <v>15622</v>
      </c>
    </row>
    <row r="104" spans="1:51" ht="16.5" customHeight="1" x14ac:dyDescent="0.15">
      <c r="A104" s="340">
        <v>12</v>
      </c>
      <c r="B104" s="341">
        <v>2372</v>
      </c>
      <c r="C104" s="390" t="s">
        <v>15953</v>
      </c>
      <c r="D104" s="849"/>
      <c r="E104" s="850"/>
      <c r="F104" s="850"/>
      <c r="G104" s="850"/>
      <c r="H104" s="852"/>
      <c r="R104" s="836">
        <f>'2重度訪問'!U104</f>
        <v>185</v>
      </c>
      <c r="S104" s="837"/>
      <c r="T104" s="837"/>
      <c r="U104" s="152" t="s">
        <v>15624</v>
      </c>
      <c r="V104" s="387"/>
      <c r="W104" s="343" t="s">
        <v>15625</v>
      </c>
      <c r="X104" s="325"/>
      <c r="Y104" s="325"/>
      <c r="Z104" s="325"/>
      <c r="AA104" s="325"/>
      <c r="AB104" s="325"/>
      <c r="AC104" s="325"/>
      <c r="AD104" s="325"/>
      <c r="AE104" s="325"/>
      <c r="AF104" s="325"/>
      <c r="AG104" s="325"/>
      <c r="AH104" s="325"/>
      <c r="AI104" s="325"/>
      <c r="AJ104" s="391" t="s">
        <v>15626</v>
      </c>
      <c r="AK104" s="838">
        <f>AK102</f>
        <v>1</v>
      </c>
      <c r="AL104" s="839"/>
      <c r="AM104" s="325"/>
      <c r="AN104" s="325"/>
      <c r="AO104" s="325"/>
      <c r="AP104" s="325"/>
      <c r="AQ104" s="325"/>
      <c r="AR104" s="325"/>
      <c r="AS104" s="325"/>
      <c r="AT104" s="325"/>
      <c r="AU104" s="754"/>
      <c r="AV104" s="744"/>
      <c r="AW104" s="716"/>
      <c r="AX104" s="489">
        <f>ROUND(ROUND(R104*AK104,0)*$AU$106,0)</f>
        <v>231</v>
      </c>
      <c r="AY104" s="393"/>
    </row>
    <row r="105" spans="1:51" ht="16.5" customHeight="1" x14ac:dyDescent="0.15">
      <c r="A105" s="340">
        <v>12</v>
      </c>
      <c r="B105" s="341">
        <v>7133</v>
      </c>
      <c r="C105" s="390" t="s">
        <v>15954</v>
      </c>
      <c r="D105" s="849"/>
      <c r="E105" s="850"/>
      <c r="F105" s="850"/>
      <c r="G105" s="850"/>
      <c r="H105" s="852"/>
      <c r="R105" s="395"/>
      <c r="S105" s="151"/>
      <c r="T105" s="151"/>
      <c r="V105" s="387"/>
      <c r="W105" s="343"/>
      <c r="X105" s="343"/>
      <c r="Y105" s="343"/>
      <c r="Z105" s="343"/>
      <c r="AA105" s="343"/>
      <c r="AB105" s="343"/>
      <c r="AC105" s="343"/>
      <c r="AD105" s="343"/>
      <c r="AE105" s="343"/>
      <c r="AF105" s="343"/>
      <c r="AG105" s="343"/>
      <c r="AH105" s="343"/>
      <c r="AI105" s="343"/>
      <c r="AJ105" s="343"/>
      <c r="AK105" s="343"/>
      <c r="AL105" s="343"/>
      <c r="AM105" s="114" t="s">
        <v>15628</v>
      </c>
      <c r="AN105" s="396"/>
      <c r="AO105" s="396"/>
      <c r="AP105" s="396"/>
      <c r="AQ105" s="396"/>
      <c r="AR105" s="396"/>
      <c r="AS105" s="396"/>
      <c r="AT105" s="396"/>
      <c r="AU105" s="893" t="s">
        <v>398</v>
      </c>
      <c r="AV105" s="894"/>
      <c r="AW105" s="895"/>
      <c r="AX105" s="489">
        <f>ROUND(ROUND(R104*AS106,0)*$AU$106,0)</f>
        <v>196</v>
      </c>
      <c r="AY105" s="393"/>
    </row>
    <row r="106" spans="1:51" ht="16.5" customHeight="1" x14ac:dyDescent="0.15">
      <c r="A106" s="340">
        <v>12</v>
      </c>
      <c r="B106" s="341">
        <v>7134</v>
      </c>
      <c r="C106" s="390" t="s">
        <v>15955</v>
      </c>
      <c r="D106" s="849"/>
      <c r="E106" s="850"/>
      <c r="F106" s="850"/>
      <c r="G106" s="850"/>
      <c r="H106" s="852"/>
      <c r="R106" s="395"/>
      <c r="S106" s="151"/>
      <c r="T106" s="151"/>
      <c r="V106" s="387"/>
      <c r="W106" s="343" t="s">
        <v>15625</v>
      </c>
      <c r="X106" s="325"/>
      <c r="Y106" s="325"/>
      <c r="Z106" s="325"/>
      <c r="AA106" s="325"/>
      <c r="AB106" s="325"/>
      <c r="AC106" s="325"/>
      <c r="AD106" s="325"/>
      <c r="AE106" s="325"/>
      <c r="AF106" s="325"/>
      <c r="AG106" s="325"/>
      <c r="AH106" s="325"/>
      <c r="AI106" s="325"/>
      <c r="AJ106" s="391" t="s">
        <v>15626</v>
      </c>
      <c r="AK106" s="838">
        <f>AK104</f>
        <v>1</v>
      </c>
      <c r="AL106" s="843"/>
      <c r="AM106" s="324" t="s">
        <v>15630</v>
      </c>
      <c r="AN106" s="325"/>
      <c r="AO106" s="325"/>
      <c r="AP106" s="325"/>
      <c r="AQ106" s="325"/>
      <c r="AR106" s="190" t="s">
        <v>398</v>
      </c>
      <c r="AS106" s="844">
        <f>AS102</f>
        <v>0.85</v>
      </c>
      <c r="AT106" s="844"/>
      <c r="AU106" s="896">
        <f>AU58</f>
        <v>1.25</v>
      </c>
      <c r="AV106" s="897"/>
      <c r="AW106" s="898"/>
      <c r="AX106" s="489">
        <f>ROUND(ROUND(ROUND(R104*AK106,0)*AS106,0)*$AU$106,0)</f>
        <v>196</v>
      </c>
      <c r="AY106" s="393"/>
    </row>
    <row r="107" spans="1:51" ht="17.100000000000001" customHeight="1" x14ac:dyDescent="0.15">
      <c r="A107" s="340">
        <v>12</v>
      </c>
      <c r="B107" s="341">
        <v>2381</v>
      </c>
      <c r="C107" s="390" t="s">
        <v>15956</v>
      </c>
      <c r="D107" s="403"/>
      <c r="E107" s="404"/>
      <c r="F107" s="404"/>
      <c r="G107" s="404"/>
      <c r="H107" s="406"/>
      <c r="I107" s="253" t="s">
        <v>15695</v>
      </c>
      <c r="J107" s="396"/>
      <c r="K107" s="396"/>
      <c r="L107" s="396"/>
      <c r="M107" s="396"/>
      <c r="N107" s="396"/>
      <c r="O107" s="396"/>
      <c r="P107" s="396"/>
      <c r="Q107" s="396"/>
      <c r="R107" s="399"/>
      <c r="S107" s="400"/>
      <c r="T107" s="400"/>
      <c r="U107" s="396"/>
      <c r="V107" s="397"/>
      <c r="W107" s="343"/>
      <c r="X107" s="325"/>
      <c r="Y107" s="325"/>
      <c r="Z107" s="325"/>
      <c r="AA107" s="325"/>
      <c r="AB107" s="325"/>
      <c r="AC107" s="325"/>
      <c r="AD107" s="325"/>
      <c r="AE107" s="325"/>
      <c r="AF107" s="325"/>
      <c r="AG107" s="325"/>
      <c r="AH107" s="325"/>
      <c r="AI107" s="325"/>
      <c r="AJ107" s="391"/>
      <c r="AK107" s="401"/>
      <c r="AL107" s="402"/>
      <c r="AU107" s="490"/>
      <c r="AV107" s="152"/>
      <c r="AW107" s="387"/>
      <c r="AX107" s="489">
        <f>ROUND(R108*$AU$106,0)</f>
        <v>113</v>
      </c>
      <c r="AY107" s="393"/>
    </row>
    <row r="108" spans="1:51" ht="16.5" customHeight="1" x14ac:dyDescent="0.15">
      <c r="A108" s="340">
        <v>12</v>
      </c>
      <c r="B108" s="341">
        <v>2382</v>
      </c>
      <c r="C108" s="390" t="s">
        <v>15957</v>
      </c>
      <c r="D108" s="403"/>
      <c r="E108" s="404"/>
      <c r="F108" s="404"/>
      <c r="G108" s="404"/>
      <c r="H108" s="406"/>
      <c r="R108" s="836">
        <f>'2重度訪問'!U108</f>
        <v>90</v>
      </c>
      <c r="S108" s="837"/>
      <c r="T108" s="837"/>
      <c r="U108" s="152" t="s">
        <v>15624</v>
      </c>
      <c r="V108" s="387"/>
      <c r="W108" s="343" t="s">
        <v>15625</v>
      </c>
      <c r="X108" s="325"/>
      <c r="Y108" s="325"/>
      <c r="Z108" s="325"/>
      <c r="AA108" s="325"/>
      <c r="AB108" s="325"/>
      <c r="AC108" s="325"/>
      <c r="AD108" s="325"/>
      <c r="AE108" s="325"/>
      <c r="AF108" s="325"/>
      <c r="AG108" s="325"/>
      <c r="AH108" s="325"/>
      <c r="AI108" s="325"/>
      <c r="AJ108" s="391" t="s">
        <v>15626</v>
      </c>
      <c r="AK108" s="838">
        <f>AK106</f>
        <v>1</v>
      </c>
      <c r="AL108" s="839"/>
      <c r="AU108" s="490"/>
      <c r="AV108" s="152"/>
      <c r="AW108" s="387"/>
      <c r="AX108" s="489">
        <f>ROUND(ROUND(R108*AK108,0)*$AU$106,0)</f>
        <v>113</v>
      </c>
      <c r="AY108" s="393"/>
    </row>
    <row r="109" spans="1:51" ht="16.5" customHeight="1" x14ac:dyDescent="0.15">
      <c r="A109" s="340">
        <v>12</v>
      </c>
      <c r="B109" s="341">
        <v>7135</v>
      </c>
      <c r="C109" s="390" t="s">
        <v>15958</v>
      </c>
      <c r="D109" s="403"/>
      <c r="E109" s="404"/>
      <c r="F109" s="404"/>
      <c r="G109" s="404"/>
      <c r="H109" s="406"/>
      <c r="R109" s="395"/>
      <c r="S109" s="151"/>
      <c r="T109" s="151"/>
      <c r="V109" s="387"/>
      <c r="W109" s="343"/>
      <c r="X109" s="343"/>
      <c r="Y109" s="343"/>
      <c r="Z109" s="343"/>
      <c r="AA109" s="343"/>
      <c r="AB109" s="343"/>
      <c r="AC109" s="343"/>
      <c r="AD109" s="343"/>
      <c r="AE109" s="343"/>
      <c r="AF109" s="343"/>
      <c r="AG109" s="343"/>
      <c r="AH109" s="343"/>
      <c r="AI109" s="343"/>
      <c r="AJ109" s="343"/>
      <c r="AK109" s="343"/>
      <c r="AL109" s="343"/>
      <c r="AM109" s="114" t="s">
        <v>15628</v>
      </c>
      <c r="AN109" s="396"/>
      <c r="AO109" s="396"/>
      <c r="AP109" s="396"/>
      <c r="AQ109" s="396"/>
      <c r="AR109" s="396"/>
      <c r="AS109" s="396"/>
      <c r="AT109" s="396"/>
      <c r="AU109" s="490"/>
      <c r="AV109" s="152"/>
      <c r="AW109" s="387"/>
      <c r="AX109" s="489">
        <f>ROUND(ROUND(R108*AS110,0)*$AU$106,0)</f>
        <v>96</v>
      </c>
      <c r="AY109" s="393"/>
    </row>
    <row r="110" spans="1:51" ht="16.5" customHeight="1" x14ac:dyDescent="0.15">
      <c r="A110" s="340">
        <v>12</v>
      </c>
      <c r="B110" s="341">
        <v>7136</v>
      </c>
      <c r="C110" s="390" t="s">
        <v>15959</v>
      </c>
      <c r="D110" s="403"/>
      <c r="E110" s="404"/>
      <c r="F110" s="404"/>
      <c r="G110" s="404"/>
      <c r="H110" s="406"/>
      <c r="R110" s="395"/>
      <c r="S110" s="151"/>
      <c r="T110" s="151"/>
      <c r="V110" s="387"/>
      <c r="W110" s="343" t="s">
        <v>15625</v>
      </c>
      <c r="X110" s="325"/>
      <c r="Y110" s="325"/>
      <c r="Z110" s="325"/>
      <c r="AA110" s="325"/>
      <c r="AB110" s="325"/>
      <c r="AC110" s="325"/>
      <c r="AD110" s="325"/>
      <c r="AE110" s="325"/>
      <c r="AF110" s="325"/>
      <c r="AG110" s="325"/>
      <c r="AH110" s="325"/>
      <c r="AI110" s="325"/>
      <c r="AJ110" s="391" t="s">
        <v>15626</v>
      </c>
      <c r="AK110" s="838">
        <f>AK108</f>
        <v>1</v>
      </c>
      <c r="AL110" s="843"/>
      <c r="AM110" s="324" t="s">
        <v>15630</v>
      </c>
      <c r="AN110" s="325"/>
      <c r="AO110" s="325"/>
      <c r="AP110" s="325"/>
      <c r="AQ110" s="325"/>
      <c r="AR110" s="190" t="s">
        <v>398</v>
      </c>
      <c r="AS110" s="844">
        <f>AS106</f>
        <v>0.85</v>
      </c>
      <c r="AT110" s="844"/>
      <c r="AU110" s="490"/>
      <c r="AV110" s="152"/>
      <c r="AW110" s="387"/>
      <c r="AX110" s="489">
        <f>ROUND(ROUND(ROUND(R108*AK110,0)*AS110,0)*$AU$106,0)</f>
        <v>96</v>
      </c>
      <c r="AY110" s="393"/>
    </row>
    <row r="111" spans="1:51" ht="16.5" customHeight="1" x14ac:dyDescent="0.15">
      <c r="A111" s="340">
        <v>12</v>
      </c>
      <c r="B111" s="341">
        <v>2491</v>
      </c>
      <c r="C111" s="390" t="s">
        <v>15960</v>
      </c>
      <c r="D111" s="403"/>
      <c r="E111" s="404"/>
      <c r="F111" s="404"/>
      <c r="G111" s="404"/>
      <c r="H111" s="406"/>
      <c r="I111" s="253" t="s">
        <v>15639</v>
      </c>
      <c r="J111" s="396"/>
      <c r="K111" s="396"/>
      <c r="L111" s="396"/>
      <c r="M111" s="396"/>
      <c r="N111" s="396"/>
      <c r="O111" s="396"/>
      <c r="P111" s="396"/>
      <c r="Q111" s="396"/>
      <c r="R111" s="399"/>
      <c r="S111" s="400"/>
      <c r="T111" s="400"/>
      <c r="U111" s="396"/>
      <c r="V111" s="397"/>
      <c r="W111" s="343"/>
      <c r="X111" s="325"/>
      <c r="Y111" s="325"/>
      <c r="Z111" s="325"/>
      <c r="AA111" s="325"/>
      <c r="AB111" s="325"/>
      <c r="AC111" s="325"/>
      <c r="AD111" s="325"/>
      <c r="AE111" s="325"/>
      <c r="AF111" s="325"/>
      <c r="AG111" s="325"/>
      <c r="AH111" s="325"/>
      <c r="AI111" s="325"/>
      <c r="AJ111" s="391"/>
      <c r="AK111" s="401"/>
      <c r="AL111" s="402"/>
      <c r="AM111" s="396"/>
      <c r="AN111" s="396"/>
      <c r="AO111" s="396"/>
      <c r="AP111" s="396"/>
      <c r="AQ111" s="396"/>
      <c r="AR111" s="396"/>
      <c r="AS111" s="396"/>
      <c r="AT111" s="396"/>
      <c r="AU111" s="490"/>
      <c r="AV111" s="152"/>
      <c r="AW111" s="387"/>
      <c r="AX111" s="489">
        <f>ROUND(R112*$AU$106,0)</f>
        <v>115</v>
      </c>
      <c r="AY111" s="393"/>
    </row>
    <row r="112" spans="1:51" ht="16.5" customHeight="1" x14ac:dyDescent="0.15">
      <c r="A112" s="340">
        <v>12</v>
      </c>
      <c r="B112" s="341">
        <v>2492</v>
      </c>
      <c r="C112" s="390" t="s">
        <v>15961</v>
      </c>
      <c r="D112" s="403"/>
      <c r="E112" s="404"/>
      <c r="F112" s="404"/>
      <c r="G112" s="404"/>
      <c r="H112" s="406"/>
      <c r="R112" s="836">
        <f>'2重度訪問'!U112</f>
        <v>92</v>
      </c>
      <c r="S112" s="837"/>
      <c r="T112" s="837"/>
      <c r="U112" s="152" t="s">
        <v>15624</v>
      </c>
      <c r="V112" s="387"/>
      <c r="W112" s="343" t="s">
        <v>15625</v>
      </c>
      <c r="X112" s="325"/>
      <c r="Y112" s="325"/>
      <c r="Z112" s="325"/>
      <c r="AA112" s="325"/>
      <c r="AB112" s="325"/>
      <c r="AC112" s="325"/>
      <c r="AD112" s="325"/>
      <c r="AE112" s="325"/>
      <c r="AF112" s="325"/>
      <c r="AG112" s="325"/>
      <c r="AH112" s="325"/>
      <c r="AI112" s="325"/>
      <c r="AJ112" s="391" t="s">
        <v>15626</v>
      </c>
      <c r="AK112" s="838">
        <f>AK110</f>
        <v>1</v>
      </c>
      <c r="AL112" s="839"/>
      <c r="AM112" s="325"/>
      <c r="AN112" s="325"/>
      <c r="AO112" s="325"/>
      <c r="AP112" s="325"/>
      <c r="AQ112" s="325"/>
      <c r="AR112" s="325"/>
      <c r="AS112" s="325"/>
      <c r="AT112" s="325"/>
      <c r="AU112" s="490"/>
      <c r="AV112" s="152"/>
      <c r="AW112" s="387"/>
      <c r="AX112" s="489">
        <f>ROUND(ROUND(R112*AK112,0)*$AU$106,0)</f>
        <v>115</v>
      </c>
      <c r="AY112" s="393"/>
    </row>
    <row r="113" spans="1:51" ht="16.5" customHeight="1" x14ac:dyDescent="0.15">
      <c r="A113" s="340">
        <v>12</v>
      </c>
      <c r="B113" s="341">
        <v>7137</v>
      </c>
      <c r="C113" s="390" t="s">
        <v>15962</v>
      </c>
      <c r="D113" s="403"/>
      <c r="E113" s="404"/>
      <c r="F113" s="404"/>
      <c r="G113" s="404"/>
      <c r="H113" s="406"/>
      <c r="R113" s="395"/>
      <c r="S113" s="151"/>
      <c r="T113" s="151"/>
      <c r="V113" s="387"/>
      <c r="W113" s="343"/>
      <c r="X113" s="343"/>
      <c r="Y113" s="343"/>
      <c r="Z113" s="343"/>
      <c r="AA113" s="343"/>
      <c r="AB113" s="343"/>
      <c r="AC113" s="343"/>
      <c r="AD113" s="343"/>
      <c r="AE113" s="343"/>
      <c r="AF113" s="343"/>
      <c r="AG113" s="343"/>
      <c r="AH113" s="343"/>
      <c r="AI113" s="343"/>
      <c r="AJ113" s="343"/>
      <c r="AK113" s="343"/>
      <c r="AL113" s="343"/>
      <c r="AM113" s="114" t="s">
        <v>15628</v>
      </c>
      <c r="AN113" s="396"/>
      <c r="AO113" s="396"/>
      <c r="AP113" s="396"/>
      <c r="AQ113" s="396"/>
      <c r="AR113" s="396"/>
      <c r="AS113" s="396"/>
      <c r="AT113" s="396"/>
      <c r="AU113" s="490"/>
      <c r="AV113" s="152"/>
      <c r="AW113" s="387"/>
      <c r="AX113" s="489">
        <f>ROUND(ROUND(R112*AS114,0)*$AU$106,0)</f>
        <v>98</v>
      </c>
      <c r="AY113" s="393"/>
    </row>
    <row r="114" spans="1:51" ht="16.5" customHeight="1" x14ac:dyDescent="0.15">
      <c r="A114" s="340">
        <v>12</v>
      </c>
      <c r="B114" s="341">
        <v>7138</v>
      </c>
      <c r="C114" s="390" t="s">
        <v>15963</v>
      </c>
      <c r="D114" s="403"/>
      <c r="E114" s="404"/>
      <c r="F114" s="404"/>
      <c r="G114" s="404"/>
      <c r="H114" s="406"/>
      <c r="R114" s="395"/>
      <c r="S114" s="151"/>
      <c r="T114" s="151"/>
      <c r="V114" s="387"/>
      <c r="W114" s="343" t="s">
        <v>15625</v>
      </c>
      <c r="X114" s="325"/>
      <c r="Y114" s="325"/>
      <c r="Z114" s="325"/>
      <c r="AA114" s="325"/>
      <c r="AB114" s="325"/>
      <c r="AC114" s="325"/>
      <c r="AD114" s="325"/>
      <c r="AE114" s="325"/>
      <c r="AF114" s="325"/>
      <c r="AG114" s="325"/>
      <c r="AH114" s="325"/>
      <c r="AI114" s="325"/>
      <c r="AJ114" s="391" t="s">
        <v>15626</v>
      </c>
      <c r="AK114" s="838">
        <f>AK112</f>
        <v>1</v>
      </c>
      <c r="AL114" s="843"/>
      <c r="AM114" s="324" t="s">
        <v>15630</v>
      </c>
      <c r="AN114" s="325"/>
      <c r="AO114" s="325"/>
      <c r="AP114" s="325"/>
      <c r="AQ114" s="325"/>
      <c r="AR114" s="190" t="s">
        <v>398</v>
      </c>
      <c r="AS114" s="844">
        <f>AS110</f>
        <v>0.85</v>
      </c>
      <c r="AT114" s="844"/>
      <c r="AU114" s="490"/>
      <c r="AV114" s="152"/>
      <c r="AW114" s="387"/>
      <c r="AX114" s="489">
        <f>ROUND(ROUND(ROUND(R112*AK114,0)*AS114,0)*$AU$106,0)</f>
        <v>98</v>
      </c>
      <c r="AY114" s="393"/>
    </row>
    <row r="115" spans="1:51" ht="16.5" customHeight="1" x14ac:dyDescent="0.15">
      <c r="A115" s="340">
        <v>12</v>
      </c>
      <c r="B115" s="341">
        <v>2501</v>
      </c>
      <c r="C115" s="390" t="s">
        <v>15964</v>
      </c>
      <c r="D115" s="403"/>
      <c r="E115" s="404"/>
      <c r="F115" s="404"/>
      <c r="G115" s="404"/>
      <c r="H115" s="406"/>
      <c r="I115" s="253" t="s">
        <v>15644</v>
      </c>
      <c r="J115" s="396"/>
      <c r="K115" s="396"/>
      <c r="L115" s="396"/>
      <c r="M115" s="396"/>
      <c r="N115" s="396"/>
      <c r="O115" s="396"/>
      <c r="P115" s="396"/>
      <c r="Q115" s="396"/>
      <c r="R115" s="399"/>
      <c r="S115" s="400"/>
      <c r="T115" s="400"/>
      <c r="U115" s="396"/>
      <c r="V115" s="397"/>
      <c r="W115" s="343"/>
      <c r="X115" s="325"/>
      <c r="Y115" s="325"/>
      <c r="Z115" s="325"/>
      <c r="AA115" s="325"/>
      <c r="AB115" s="325"/>
      <c r="AC115" s="325"/>
      <c r="AD115" s="325"/>
      <c r="AE115" s="325"/>
      <c r="AF115" s="325"/>
      <c r="AG115" s="325"/>
      <c r="AH115" s="325"/>
      <c r="AI115" s="325"/>
      <c r="AJ115" s="391"/>
      <c r="AK115" s="401"/>
      <c r="AL115" s="402"/>
      <c r="AM115" s="396"/>
      <c r="AN115" s="396"/>
      <c r="AO115" s="396"/>
      <c r="AP115" s="396"/>
      <c r="AQ115" s="396"/>
      <c r="AR115" s="396"/>
      <c r="AS115" s="396"/>
      <c r="AT115" s="396"/>
      <c r="AU115" s="490"/>
      <c r="AV115" s="152"/>
      <c r="AW115" s="387"/>
      <c r="AX115" s="489">
        <f>ROUND(R116*$AU$106,0)</f>
        <v>114</v>
      </c>
      <c r="AY115" s="393"/>
    </row>
    <row r="116" spans="1:51" ht="16.5" customHeight="1" x14ac:dyDescent="0.15">
      <c r="A116" s="340">
        <v>12</v>
      </c>
      <c r="B116" s="341">
        <v>2502</v>
      </c>
      <c r="C116" s="390" t="s">
        <v>15965</v>
      </c>
      <c r="D116" s="403"/>
      <c r="E116" s="404"/>
      <c r="F116" s="404"/>
      <c r="G116" s="404"/>
      <c r="H116" s="406"/>
      <c r="R116" s="836">
        <f>'2重度訪問'!U116</f>
        <v>91</v>
      </c>
      <c r="S116" s="837"/>
      <c r="T116" s="837"/>
      <c r="U116" s="152" t="s">
        <v>15624</v>
      </c>
      <c r="V116" s="387"/>
      <c r="W116" s="343" t="s">
        <v>15625</v>
      </c>
      <c r="X116" s="325"/>
      <c r="Y116" s="325"/>
      <c r="Z116" s="325"/>
      <c r="AA116" s="325"/>
      <c r="AB116" s="325"/>
      <c r="AC116" s="325"/>
      <c r="AD116" s="325"/>
      <c r="AE116" s="325"/>
      <c r="AF116" s="325"/>
      <c r="AG116" s="325"/>
      <c r="AH116" s="325"/>
      <c r="AI116" s="325"/>
      <c r="AJ116" s="391" t="s">
        <v>15626</v>
      </c>
      <c r="AK116" s="838">
        <f>AK114</f>
        <v>1</v>
      </c>
      <c r="AL116" s="839"/>
      <c r="AM116" s="325"/>
      <c r="AN116" s="325"/>
      <c r="AO116" s="325"/>
      <c r="AP116" s="325"/>
      <c r="AQ116" s="325"/>
      <c r="AR116" s="325"/>
      <c r="AS116" s="325"/>
      <c r="AT116" s="325"/>
      <c r="AU116" s="490"/>
      <c r="AV116" s="152"/>
      <c r="AW116" s="387"/>
      <c r="AX116" s="489">
        <f>ROUND(ROUND(R116*AK116,0)*$AU$106,0)</f>
        <v>114</v>
      </c>
      <c r="AY116" s="393"/>
    </row>
    <row r="117" spans="1:51" ht="16.5" customHeight="1" x14ac:dyDescent="0.15">
      <c r="A117" s="340">
        <v>12</v>
      </c>
      <c r="B117" s="341">
        <v>7139</v>
      </c>
      <c r="C117" s="390" t="s">
        <v>15966</v>
      </c>
      <c r="D117" s="403"/>
      <c r="E117" s="404"/>
      <c r="F117" s="404"/>
      <c r="G117" s="404"/>
      <c r="H117" s="406"/>
      <c r="R117" s="395"/>
      <c r="S117" s="151"/>
      <c r="T117" s="151"/>
      <c r="V117" s="387"/>
      <c r="W117" s="343"/>
      <c r="X117" s="343"/>
      <c r="Y117" s="343"/>
      <c r="Z117" s="343"/>
      <c r="AA117" s="343"/>
      <c r="AB117" s="343"/>
      <c r="AC117" s="343"/>
      <c r="AD117" s="343"/>
      <c r="AE117" s="343"/>
      <c r="AF117" s="343"/>
      <c r="AG117" s="343"/>
      <c r="AH117" s="343"/>
      <c r="AI117" s="343"/>
      <c r="AJ117" s="343"/>
      <c r="AK117" s="343"/>
      <c r="AL117" s="343"/>
      <c r="AM117" s="114" t="s">
        <v>15628</v>
      </c>
      <c r="AN117" s="396"/>
      <c r="AO117" s="396"/>
      <c r="AP117" s="396"/>
      <c r="AQ117" s="396"/>
      <c r="AR117" s="396"/>
      <c r="AS117" s="396"/>
      <c r="AT117" s="396"/>
      <c r="AU117" s="490"/>
      <c r="AV117" s="152"/>
      <c r="AW117" s="387"/>
      <c r="AX117" s="489">
        <f>ROUND(ROUND(R116*AS118,0)*$AU$106,0)</f>
        <v>96</v>
      </c>
      <c r="AY117" s="393"/>
    </row>
    <row r="118" spans="1:51" ht="16.5" customHeight="1" x14ac:dyDescent="0.15">
      <c r="A118" s="340">
        <v>12</v>
      </c>
      <c r="B118" s="341">
        <v>7140</v>
      </c>
      <c r="C118" s="390" t="s">
        <v>15967</v>
      </c>
      <c r="D118" s="403"/>
      <c r="E118" s="404"/>
      <c r="F118" s="404"/>
      <c r="G118" s="404"/>
      <c r="H118" s="406"/>
      <c r="R118" s="395"/>
      <c r="S118" s="151"/>
      <c r="T118" s="151"/>
      <c r="V118" s="387"/>
      <c r="W118" s="343" t="s">
        <v>15625</v>
      </c>
      <c r="X118" s="325"/>
      <c r="Y118" s="325"/>
      <c r="Z118" s="325"/>
      <c r="AA118" s="325"/>
      <c r="AB118" s="325"/>
      <c r="AC118" s="325"/>
      <c r="AD118" s="325"/>
      <c r="AE118" s="325"/>
      <c r="AF118" s="325"/>
      <c r="AG118" s="325"/>
      <c r="AH118" s="325"/>
      <c r="AI118" s="325"/>
      <c r="AJ118" s="391" t="s">
        <v>15626</v>
      </c>
      <c r="AK118" s="838">
        <f>AK116</f>
        <v>1</v>
      </c>
      <c r="AL118" s="843"/>
      <c r="AM118" s="324" t="s">
        <v>15630</v>
      </c>
      <c r="AN118" s="325"/>
      <c r="AO118" s="325"/>
      <c r="AP118" s="325"/>
      <c r="AQ118" s="325"/>
      <c r="AR118" s="190" t="s">
        <v>398</v>
      </c>
      <c r="AS118" s="844">
        <f>AS114</f>
        <v>0.85</v>
      </c>
      <c r="AT118" s="844"/>
      <c r="AU118" s="490"/>
      <c r="AV118" s="152"/>
      <c r="AW118" s="387"/>
      <c r="AX118" s="489">
        <f>ROUND(ROUND(ROUND(R116*AK118,0)*AS118,0)*$AU$106,0)</f>
        <v>96</v>
      </c>
      <c r="AY118" s="393"/>
    </row>
    <row r="119" spans="1:51" ht="16.5" customHeight="1" x14ac:dyDescent="0.15">
      <c r="A119" s="340">
        <v>12</v>
      </c>
      <c r="B119" s="341">
        <v>2511</v>
      </c>
      <c r="C119" s="390" t="s">
        <v>15968</v>
      </c>
      <c r="D119" s="403"/>
      <c r="E119" s="404"/>
      <c r="F119" s="404"/>
      <c r="G119" s="404"/>
      <c r="H119" s="406"/>
      <c r="I119" s="253" t="s">
        <v>15649</v>
      </c>
      <c r="J119" s="396"/>
      <c r="K119" s="396"/>
      <c r="L119" s="396"/>
      <c r="M119" s="396"/>
      <c r="N119" s="396"/>
      <c r="O119" s="396"/>
      <c r="P119" s="396"/>
      <c r="Q119" s="396"/>
      <c r="R119" s="399"/>
      <c r="S119" s="400"/>
      <c r="T119" s="400"/>
      <c r="U119" s="396"/>
      <c r="V119" s="397"/>
      <c r="W119" s="343"/>
      <c r="X119" s="325"/>
      <c r="Y119" s="325"/>
      <c r="Z119" s="325"/>
      <c r="AA119" s="325"/>
      <c r="AB119" s="325"/>
      <c r="AC119" s="325"/>
      <c r="AD119" s="325"/>
      <c r="AE119" s="325"/>
      <c r="AF119" s="325"/>
      <c r="AG119" s="325"/>
      <c r="AH119" s="325"/>
      <c r="AI119" s="325"/>
      <c r="AJ119" s="391"/>
      <c r="AK119" s="401"/>
      <c r="AL119" s="402"/>
      <c r="AM119" s="396"/>
      <c r="AN119" s="396"/>
      <c r="AO119" s="396"/>
      <c r="AP119" s="396"/>
      <c r="AQ119" s="396"/>
      <c r="AR119" s="396"/>
      <c r="AS119" s="396"/>
      <c r="AT119" s="396"/>
      <c r="AU119" s="490"/>
      <c r="AV119" s="152"/>
      <c r="AW119" s="387"/>
      <c r="AX119" s="489">
        <f>ROUND(R120*$AU$106,0)</f>
        <v>115</v>
      </c>
      <c r="AY119" s="393"/>
    </row>
    <row r="120" spans="1:51" ht="16.5" customHeight="1" x14ac:dyDescent="0.15">
      <c r="A120" s="340">
        <v>12</v>
      </c>
      <c r="B120" s="341">
        <v>2512</v>
      </c>
      <c r="C120" s="390" t="s">
        <v>15969</v>
      </c>
      <c r="D120" s="403"/>
      <c r="E120" s="404"/>
      <c r="F120" s="404"/>
      <c r="G120" s="404"/>
      <c r="H120" s="406"/>
      <c r="R120" s="836">
        <f>'2重度訪問'!U120</f>
        <v>92</v>
      </c>
      <c r="S120" s="837"/>
      <c r="T120" s="837"/>
      <c r="U120" s="152" t="s">
        <v>15624</v>
      </c>
      <c r="V120" s="387"/>
      <c r="W120" s="343" t="s">
        <v>15625</v>
      </c>
      <c r="X120" s="325"/>
      <c r="Y120" s="325"/>
      <c r="Z120" s="325"/>
      <c r="AA120" s="325"/>
      <c r="AB120" s="325"/>
      <c r="AC120" s="325"/>
      <c r="AD120" s="325"/>
      <c r="AE120" s="325"/>
      <c r="AF120" s="325"/>
      <c r="AG120" s="325"/>
      <c r="AH120" s="325"/>
      <c r="AI120" s="325"/>
      <c r="AJ120" s="391" t="s">
        <v>15626</v>
      </c>
      <c r="AK120" s="838">
        <f>AK118</f>
        <v>1</v>
      </c>
      <c r="AL120" s="839"/>
      <c r="AM120" s="325"/>
      <c r="AN120" s="325"/>
      <c r="AO120" s="325"/>
      <c r="AP120" s="325"/>
      <c r="AQ120" s="325"/>
      <c r="AR120" s="325"/>
      <c r="AS120" s="325"/>
      <c r="AT120" s="325"/>
      <c r="AU120" s="490"/>
      <c r="AV120" s="152"/>
      <c r="AW120" s="387"/>
      <c r="AX120" s="489">
        <f>ROUND(ROUND(R120*AK120,0)*$AU$106,0)</f>
        <v>115</v>
      </c>
      <c r="AY120" s="393"/>
    </row>
    <row r="121" spans="1:51" ht="16.5" customHeight="1" x14ac:dyDescent="0.15">
      <c r="A121" s="340">
        <v>12</v>
      </c>
      <c r="B121" s="341">
        <v>7141</v>
      </c>
      <c r="C121" s="390" t="s">
        <v>15970</v>
      </c>
      <c r="D121" s="403"/>
      <c r="E121" s="404"/>
      <c r="F121" s="404"/>
      <c r="G121" s="404"/>
      <c r="H121" s="406"/>
      <c r="R121" s="395"/>
      <c r="S121" s="151"/>
      <c r="T121" s="151"/>
      <c r="V121" s="387"/>
      <c r="W121" s="343"/>
      <c r="X121" s="343"/>
      <c r="Y121" s="343"/>
      <c r="Z121" s="343"/>
      <c r="AA121" s="343"/>
      <c r="AB121" s="343"/>
      <c r="AC121" s="343"/>
      <c r="AD121" s="343"/>
      <c r="AE121" s="343"/>
      <c r="AF121" s="343"/>
      <c r="AG121" s="343"/>
      <c r="AH121" s="343"/>
      <c r="AI121" s="343"/>
      <c r="AJ121" s="343"/>
      <c r="AK121" s="343"/>
      <c r="AL121" s="343"/>
      <c r="AM121" s="114" t="s">
        <v>15628</v>
      </c>
      <c r="AN121" s="396"/>
      <c r="AO121" s="396"/>
      <c r="AP121" s="396"/>
      <c r="AQ121" s="396"/>
      <c r="AR121" s="396"/>
      <c r="AS121" s="396"/>
      <c r="AT121" s="396"/>
      <c r="AU121" s="490"/>
      <c r="AV121" s="152"/>
      <c r="AW121" s="387"/>
      <c r="AX121" s="489">
        <f>ROUND(ROUND(R120*AS122,0)*$AU$106,0)</f>
        <v>98</v>
      </c>
      <c r="AY121" s="393"/>
    </row>
    <row r="122" spans="1:51" ht="16.5" customHeight="1" x14ac:dyDescent="0.15">
      <c r="A122" s="340">
        <v>12</v>
      </c>
      <c r="B122" s="341">
        <v>7142</v>
      </c>
      <c r="C122" s="390" t="s">
        <v>15971</v>
      </c>
      <c r="D122" s="403"/>
      <c r="E122" s="404"/>
      <c r="F122" s="404"/>
      <c r="G122" s="404"/>
      <c r="H122" s="406"/>
      <c r="R122" s="395"/>
      <c r="S122" s="151"/>
      <c r="T122" s="151"/>
      <c r="V122" s="387"/>
      <c r="W122" s="343" t="s">
        <v>15625</v>
      </c>
      <c r="X122" s="325"/>
      <c r="Y122" s="325"/>
      <c r="Z122" s="325"/>
      <c r="AA122" s="325"/>
      <c r="AB122" s="325"/>
      <c r="AC122" s="325"/>
      <c r="AD122" s="325"/>
      <c r="AE122" s="325"/>
      <c r="AF122" s="325"/>
      <c r="AG122" s="325"/>
      <c r="AH122" s="325"/>
      <c r="AI122" s="325"/>
      <c r="AJ122" s="391" t="s">
        <v>15626</v>
      </c>
      <c r="AK122" s="838">
        <f>AK120</f>
        <v>1</v>
      </c>
      <c r="AL122" s="843"/>
      <c r="AM122" s="324" t="s">
        <v>15630</v>
      </c>
      <c r="AN122" s="325"/>
      <c r="AO122" s="325"/>
      <c r="AP122" s="325"/>
      <c r="AQ122" s="325"/>
      <c r="AR122" s="190" t="s">
        <v>398</v>
      </c>
      <c r="AS122" s="844">
        <f>AS118</f>
        <v>0.85</v>
      </c>
      <c r="AT122" s="844"/>
      <c r="AU122" s="490"/>
      <c r="AV122" s="152"/>
      <c r="AW122" s="387"/>
      <c r="AX122" s="489">
        <f>ROUND(ROUND(ROUND(R120*AK122,0)*AS122,0)*$AU$106,0)</f>
        <v>98</v>
      </c>
      <c r="AY122" s="393"/>
    </row>
    <row r="123" spans="1:51" ht="16.5" customHeight="1" x14ac:dyDescent="0.15">
      <c r="A123" s="340">
        <v>12</v>
      </c>
      <c r="B123" s="341">
        <v>2521</v>
      </c>
      <c r="C123" s="390" t="s">
        <v>15972</v>
      </c>
      <c r="D123" s="403"/>
      <c r="E123" s="404"/>
      <c r="F123" s="404"/>
      <c r="G123" s="404"/>
      <c r="H123" s="406"/>
      <c r="I123" s="253" t="s">
        <v>15654</v>
      </c>
      <c r="J123" s="396"/>
      <c r="K123" s="396"/>
      <c r="L123" s="396"/>
      <c r="M123" s="396"/>
      <c r="N123" s="396"/>
      <c r="O123" s="396"/>
      <c r="P123" s="396"/>
      <c r="Q123" s="396"/>
      <c r="R123" s="399"/>
      <c r="S123" s="400"/>
      <c r="T123" s="400"/>
      <c r="U123" s="396"/>
      <c r="V123" s="397"/>
      <c r="W123" s="343"/>
      <c r="X123" s="325"/>
      <c r="Y123" s="325"/>
      <c r="Z123" s="325"/>
      <c r="AA123" s="325"/>
      <c r="AB123" s="325"/>
      <c r="AC123" s="325"/>
      <c r="AD123" s="325"/>
      <c r="AE123" s="325"/>
      <c r="AF123" s="325"/>
      <c r="AG123" s="325"/>
      <c r="AH123" s="325"/>
      <c r="AI123" s="325"/>
      <c r="AJ123" s="391"/>
      <c r="AK123" s="401"/>
      <c r="AL123" s="402"/>
      <c r="AM123" s="396"/>
      <c r="AN123" s="396"/>
      <c r="AO123" s="396"/>
      <c r="AP123" s="396"/>
      <c r="AQ123" s="396"/>
      <c r="AR123" s="396"/>
      <c r="AS123" s="396"/>
      <c r="AT123" s="396"/>
      <c r="AU123" s="490"/>
      <c r="AV123" s="152"/>
      <c r="AW123" s="387"/>
      <c r="AX123" s="489">
        <f>ROUND(R124*$AU$106,0)</f>
        <v>113</v>
      </c>
      <c r="AY123" s="393"/>
    </row>
    <row r="124" spans="1:51" ht="16.5" customHeight="1" x14ac:dyDescent="0.15">
      <c r="A124" s="340">
        <v>12</v>
      </c>
      <c r="B124" s="341">
        <v>2522</v>
      </c>
      <c r="C124" s="390" t="s">
        <v>15973</v>
      </c>
      <c r="D124" s="403"/>
      <c r="E124" s="404"/>
      <c r="F124" s="404"/>
      <c r="G124" s="404"/>
      <c r="H124" s="406"/>
      <c r="R124" s="836">
        <f>'2重度訪問'!U124</f>
        <v>90</v>
      </c>
      <c r="S124" s="837"/>
      <c r="T124" s="837"/>
      <c r="U124" s="152" t="s">
        <v>15624</v>
      </c>
      <c r="V124" s="387"/>
      <c r="W124" s="343" t="s">
        <v>15625</v>
      </c>
      <c r="X124" s="325"/>
      <c r="Y124" s="325"/>
      <c r="Z124" s="325"/>
      <c r="AA124" s="325"/>
      <c r="AB124" s="325"/>
      <c r="AC124" s="325"/>
      <c r="AD124" s="325"/>
      <c r="AE124" s="325"/>
      <c r="AF124" s="325"/>
      <c r="AG124" s="325"/>
      <c r="AH124" s="325"/>
      <c r="AI124" s="325"/>
      <c r="AJ124" s="391" t="s">
        <v>15626</v>
      </c>
      <c r="AK124" s="838">
        <f>AK122</f>
        <v>1</v>
      </c>
      <c r="AL124" s="839"/>
      <c r="AM124" s="325"/>
      <c r="AN124" s="325"/>
      <c r="AO124" s="325"/>
      <c r="AP124" s="325"/>
      <c r="AQ124" s="325"/>
      <c r="AR124" s="325"/>
      <c r="AS124" s="325"/>
      <c r="AT124" s="325"/>
      <c r="AU124" s="490"/>
      <c r="AV124" s="152"/>
      <c r="AW124" s="387"/>
      <c r="AX124" s="489">
        <f>ROUND(ROUND(R124*AK124,0)*$AU$106,0)</f>
        <v>113</v>
      </c>
      <c r="AY124" s="393"/>
    </row>
    <row r="125" spans="1:51" ht="16.5" customHeight="1" x14ac:dyDescent="0.15">
      <c r="A125" s="340">
        <v>12</v>
      </c>
      <c r="B125" s="341">
        <v>7143</v>
      </c>
      <c r="C125" s="390" t="s">
        <v>15974</v>
      </c>
      <c r="D125" s="403"/>
      <c r="E125" s="404"/>
      <c r="F125" s="404"/>
      <c r="G125" s="404"/>
      <c r="H125" s="406"/>
      <c r="R125" s="395"/>
      <c r="S125" s="151"/>
      <c r="T125" s="151"/>
      <c r="V125" s="387"/>
      <c r="W125" s="343"/>
      <c r="X125" s="343"/>
      <c r="Y125" s="343"/>
      <c r="Z125" s="343"/>
      <c r="AA125" s="343"/>
      <c r="AB125" s="343"/>
      <c r="AC125" s="343"/>
      <c r="AD125" s="343"/>
      <c r="AE125" s="343"/>
      <c r="AF125" s="343"/>
      <c r="AG125" s="343"/>
      <c r="AH125" s="343"/>
      <c r="AI125" s="343"/>
      <c r="AJ125" s="343"/>
      <c r="AK125" s="343"/>
      <c r="AL125" s="343"/>
      <c r="AM125" s="114" t="s">
        <v>15628</v>
      </c>
      <c r="AN125" s="396"/>
      <c r="AO125" s="396"/>
      <c r="AP125" s="396"/>
      <c r="AQ125" s="396"/>
      <c r="AR125" s="396"/>
      <c r="AS125" s="396"/>
      <c r="AT125" s="396"/>
      <c r="AU125" s="490"/>
      <c r="AV125" s="152"/>
      <c r="AW125" s="387"/>
      <c r="AX125" s="489">
        <f>ROUND(ROUND(R124*AS126,0)*$AU$106,0)</f>
        <v>96</v>
      </c>
      <c r="AY125" s="393"/>
    </row>
    <row r="126" spans="1:51" ht="16.5" customHeight="1" x14ac:dyDescent="0.15">
      <c r="A126" s="340">
        <v>12</v>
      </c>
      <c r="B126" s="341">
        <v>7144</v>
      </c>
      <c r="C126" s="390" t="s">
        <v>15975</v>
      </c>
      <c r="D126" s="403"/>
      <c r="E126" s="404"/>
      <c r="F126" s="404"/>
      <c r="G126" s="404"/>
      <c r="H126" s="406"/>
      <c r="R126" s="395"/>
      <c r="S126" s="151"/>
      <c r="T126" s="151"/>
      <c r="V126" s="387"/>
      <c r="W126" s="343" t="s">
        <v>15625</v>
      </c>
      <c r="X126" s="325"/>
      <c r="Y126" s="325"/>
      <c r="Z126" s="325"/>
      <c r="AA126" s="325"/>
      <c r="AB126" s="325"/>
      <c r="AC126" s="325"/>
      <c r="AD126" s="325"/>
      <c r="AE126" s="325"/>
      <c r="AF126" s="325"/>
      <c r="AG126" s="325"/>
      <c r="AH126" s="325"/>
      <c r="AI126" s="325"/>
      <c r="AJ126" s="391" t="s">
        <v>15626</v>
      </c>
      <c r="AK126" s="838">
        <f>AK124</f>
        <v>1</v>
      </c>
      <c r="AL126" s="843"/>
      <c r="AM126" s="324" t="s">
        <v>15630</v>
      </c>
      <c r="AN126" s="325"/>
      <c r="AO126" s="325"/>
      <c r="AP126" s="325"/>
      <c r="AQ126" s="325"/>
      <c r="AR126" s="190" t="s">
        <v>398</v>
      </c>
      <c r="AS126" s="844">
        <f>AS122</f>
        <v>0.85</v>
      </c>
      <c r="AT126" s="844"/>
      <c r="AU126" s="490"/>
      <c r="AV126" s="152"/>
      <c r="AW126" s="387"/>
      <c r="AX126" s="489">
        <f>ROUND(ROUND(ROUND(R124*AK126,0)*AS126,0)*$AU$106,0)</f>
        <v>96</v>
      </c>
      <c r="AY126" s="393"/>
    </row>
    <row r="127" spans="1:51" ht="16.5" customHeight="1" x14ac:dyDescent="0.15">
      <c r="A127" s="340">
        <v>12</v>
      </c>
      <c r="B127" s="341">
        <v>2531</v>
      </c>
      <c r="C127" s="390" t="s">
        <v>15976</v>
      </c>
      <c r="D127" s="403"/>
      <c r="E127" s="404"/>
      <c r="F127" s="404"/>
      <c r="G127" s="404"/>
      <c r="H127" s="406"/>
      <c r="I127" s="253" t="s">
        <v>15659</v>
      </c>
      <c r="J127" s="396"/>
      <c r="K127" s="396"/>
      <c r="L127" s="396"/>
      <c r="M127" s="396"/>
      <c r="N127" s="396"/>
      <c r="O127" s="396"/>
      <c r="P127" s="396"/>
      <c r="Q127" s="396"/>
      <c r="R127" s="399"/>
      <c r="S127" s="400"/>
      <c r="T127" s="400"/>
      <c r="U127" s="396"/>
      <c r="V127" s="397"/>
      <c r="W127" s="343"/>
      <c r="X127" s="325"/>
      <c r="Y127" s="325"/>
      <c r="Z127" s="325"/>
      <c r="AA127" s="325"/>
      <c r="AB127" s="325"/>
      <c r="AC127" s="325"/>
      <c r="AD127" s="325"/>
      <c r="AE127" s="325"/>
      <c r="AF127" s="325"/>
      <c r="AG127" s="325"/>
      <c r="AH127" s="325"/>
      <c r="AI127" s="325"/>
      <c r="AJ127" s="391"/>
      <c r="AK127" s="401"/>
      <c r="AL127" s="402"/>
      <c r="AM127" s="396"/>
      <c r="AN127" s="396"/>
      <c r="AO127" s="396"/>
      <c r="AP127" s="396"/>
      <c r="AQ127" s="396"/>
      <c r="AR127" s="396"/>
      <c r="AS127" s="396"/>
      <c r="AT127" s="396"/>
      <c r="AU127" s="490"/>
      <c r="AV127" s="152"/>
      <c r="AW127" s="387"/>
      <c r="AX127" s="489">
        <f>ROUND(R128*$AU$106,0)</f>
        <v>115</v>
      </c>
      <c r="AY127" s="393"/>
    </row>
    <row r="128" spans="1:51" ht="16.5" customHeight="1" x14ac:dyDescent="0.15">
      <c r="A128" s="340">
        <v>12</v>
      </c>
      <c r="B128" s="341">
        <v>2532</v>
      </c>
      <c r="C128" s="390" t="s">
        <v>15977</v>
      </c>
      <c r="D128" s="403"/>
      <c r="E128" s="404"/>
      <c r="F128" s="404"/>
      <c r="G128" s="404"/>
      <c r="H128" s="406"/>
      <c r="R128" s="836">
        <f>'2重度訪問'!U128</f>
        <v>92</v>
      </c>
      <c r="S128" s="837"/>
      <c r="T128" s="837"/>
      <c r="U128" s="152" t="s">
        <v>15624</v>
      </c>
      <c r="V128" s="387"/>
      <c r="W128" s="343" t="s">
        <v>15625</v>
      </c>
      <c r="X128" s="325"/>
      <c r="Y128" s="325"/>
      <c r="Z128" s="325"/>
      <c r="AA128" s="325"/>
      <c r="AB128" s="325"/>
      <c r="AC128" s="325"/>
      <c r="AD128" s="325"/>
      <c r="AE128" s="325"/>
      <c r="AF128" s="325"/>
      <c r="AG128" s="325"/>
      <c r="AH128" s="325"/>
      <c r="AI128" s="325"/>
      <c r="AJ128" s="391" t="s">
        <v>15626</v>
      </c>
      <c r="AK128" s="838">
        <f>AK126</f>
        <v>1</v>
      </c>
      <c r="AL128" s="839"/>
      <c r="AM128" s="325"/>
      <c r="AN128" s="325"/>
      <c r="AO128" s="325"/>
      <c r="AP128" s="325"/>
      <c r="AQ128" s="325"/>
      <c r="AR128" s="325"/>
      <c r="AS128" s="325"/>
      <c r="AT128" s="325"/>
      <c r="AU128" s="490"/>
      <c r="AV128" s="152"/>
      <c r="AW128" s="387"/>
      <c r="AX128" s="489">
        <f>ROUND(ROUND(R128*AK128,0)*$AU$106,0)</f>
        <v>115</v>
      </c>
      <c r="AY128" s="393"/>
    </row>
    <row r="129" spans="1:51" ht="16.5" customHeight="1" x14ac:dyDescent="0.15">
      <c r="A129" s="340">
        <v>12</v>
      </c>
      <c r="B129" s="341">
        <v>7145</v>
      </c>
      <c r="C129" s="390" t="s">
        <v>15978</v>
      </c>
      <c r="D129" s="403"/>
      <c r="E129" s="404"/>
      <c r="F129" s="404"/>
      <c r="G129" s="404"/>
      <c r="H129" s="406"/>
      <c r="R129" s="395"/>
      <c r="S129" s="151"/>
      <c r="T129" s="151"/>
      <c r="V129" s="387"/>
      <c r="W129" s="343"/>
      <c r="X129" s="343"/>
      <c r="Y129" s="343"/>
      <c r="Z129" s="343"/>
      <c r="AA129" s="343"/>
      <c r="AB129" s="343"/>
      <c r="AC129" s="343"/>
      <c r="AD129" s="343"/>
      <c r="AE129" s="343"/>
      <c r="AF129" s="343"/>
      <c r="AG129" s="343"/>
      <c r="AH129" s="343"/>
      <c r="AI129" s="343"/>
      <c r="AJ129" s="343"/>
      <c r="AK129" s="343"/>
      <c r="AL129" s="343"/>
      <c r="AM129" s="114" t="s">
        <v>15628</v>
      </c>
      <c r="AN129" s="396"/>
      <c r="AO129" s="396"/>
      <c r="AP129" s="396"/>
      <c r="AQ129" s="396"/>
      <c r="AR129" s="396"/>
      <c r="AS129" s="396"/>
      <c r="AT129" s="396"/>
      <c r="AU129" s="490"/>
      <c r="AV129" s="152"/>
      <c r="AW129" s="387"/>
      <c r="AX129" s="489">
        <f>ROUND(ROUND(R128*AS130,0)*$AU$106,0)</f>
        <v>98</v>
      </c>
      <c r="AY129" s="393"/>
    </row>
    <row r="130" spans="1:51" ht="16.5" customHeight="1" x14ac:dyDescent="0.15">
      <c r="A130" s="340">
        <v>12</v>
      </c>
      <c r="B130" s="341">
        <v>7146</v>
      </c>
      <c r="C130" s="390" t="s">
        <v>15979</v>
      </c>
      <c r="D130" s="403"/>
      <c r="E130" s="404"/>
      <c r="F130" s="404"/>
      <c r="G130" s="404"/>
      <c r="H130" s="406"/>
      <c r="R130" s="395"/>
      <c r="S130" s="151"/>
      <c r="T130" s="151"/>
      <c r="V130" s="387"/>
      <c r="W130" s="343" t="s">
        <v>15625</v>
      </c>
      <c r="X130" s="325"/>
      <c r="Y130" s="325"/>
      <c r="Z130" s="325"/>
      <c r="AA130" s="325"/>
      <c r="AB130" s="325"/>
      <c r="AC130" s="325"/>
      <c r="AD130" s="325"/>
      <c r="AE130" s="325"/>
      <c r="AF130" s="325"/>
      <c r="AG130" s="325"/>
      <c r="AH130" s="325"/>
      <c r="AI130" s="325"/>
      <c r="AJ130" s="391" t="s">
        <v>15626</v>
      </c>
      <c r="AK130" s="838">
        <f>AK128</f>
        <v>1</v>
      </c>
      <c r="AL130" s="843"/>
      <c r="AM130" s="324" t="s">
        <v>15630</v>
      </c>
      <c r="AN130" s="325"/>
      <c r="AO130" s="325"/>
      <c r="AP130" s="325"/>
      <c r="AQ130" s="325"/>
      <c r="AR130" s="190" t="s">
        <v>398</v>
      </c>
      <c r="AS130" s="844">
        <f>AS126</f>
        <v>0.85</v>
      </c>
      <c r="AT130" s="844"/>
      <c r="AU130" s="490"/>
      <c r="AV130" s="152"/>
      <c r="AW130" s="387"/>
      <c r="AX130" s="489">
        <f>ROUND(ROUND(ROUND(R128*AK130,0)*AS130,0)*$AU$106,0)</f>
        <v>98</v>
      </c>
      <c r="AY130" s="393"/>
    </row>
    <row r="131" spans="1:51" ht="17.100000000000001" customHeight="1" x14ac:dyDescent="0.15">
      <c r="A131" s="340">
        <v>12</v>
      </c>
      <c r="B131" s="341">
        <v>2321</v>
      </c>
      <c r="C131" s="390" t="s">
        <v>15980</v>
      </c>
      <c r="D131" s="403"/>
      <c r="E131" s="404"/>
      <c r="F131" s="404"/>
      <c r="G131" s="404"/>
      <c r="H131" s="406"/>
      <c r="I131" s="253" t="s">
        <v>15664</v>
      </c>
      <c r="J131" s="396"/>
      <c r="K131" s="396"/>
      <c r="L131" s="400"/>
      <c r="M131" s="400"/>
      <c r="N131" s="400"/>
      <c r="O131" s="400"/>
      <c r="P131" s="400"/>
      <c r="Q131" s="396"/>
      <c r="R131" s="396"/>
      <c r="S131" s="396"/>
      <c r="T131" s="396"/>
      <c r="U131" s="396"/>
      <c r="V131" s="397"/>
      <c r="W131" s="343"/>
      <c r="X131" s="343"/>
      <c r="Y131" s="343"/>
      <c r="Z131" s="343"/>
      <c r="AA131" s="343"/>
      <c r="AB131" s="343"/>
      <c r="AC131" s="343"/>
      <c r="AD131" s="343"/>
      <c r="AE131" s="343"/>
      <c r="AF131" s="343"/>
      <c r="AG131" s="343"/>
      <c r="AH131" s="343"/>
      <c r="AI131" s="343"/>
      <c r="AJ131" s="343"/>
      <c r="AK131" s="343"/>
      <c r="AL131" s="407"/>
      <c r="AM131" s="396"/>
      <c r="AN131" s="396"/>
      <c r="AO131" s="396"/>
      <c r="AP131" s="396"/>
      <c r="AQ131" s="396"/>
      <c r="AR131" s="396"/>
      <c r="AS131" s="396"/>
      <c r="AT131" s="396"/>
      <c r="AU131" s="490"/>
      <c r="AV131" s="152"/>
      <c r="AW131" s="387"/>
      <c r="AX131" s="489">
        <f>ROUND(R132*$AU$106,0)</f>
        <v>106</v>
      </c>
      <c r="AY131" s="393"/>
    </row>
    <row r="132" spans="1:51" ht="16.5" customHeight="1" x14ac:dyDescent="0.15">
      <c r="A132" s="340">
        <v>12</v>
      </c>
      <c r="B132" s="341">
        <v>2322</v>
      </c>
      <c r="C132" s="390" t="s">
        <v>15981</v>
      </c>
      <c r="D132" s="403"/>
      <c r="E132" s="404"/>
      <c r="F132" s="404"/>
      <c r="G132" s="404"/>
      <c r="H132" s="406"/>
      <c r="R132" s="836">
        <f>'2重度訪問'!U132</f>
        <v>85</v>
      </c>
      <c r="S132" s="837"/>
      <c r="T132" s="837"/>
      <c r="U132" s="152" t="s">
        <v>15624</v>
      </c>
      <c r="V132" s="387"/>
      <c r="W132" s="343" t="s">
        <v>15625</v>
      </c>
      <c r="X132" s="325"/>
      <c r="Y132" s="325"/>
      <c r="Z132" s="325"/>
      <c r="AA132" s="325"/>
      <c r="AB132" s="325"/>
      <c r="AC132" s="325"/>
      <c r="AD132" s="325"/>
      <c r="AE132" s="325"/>
      <c r="AF132" s="325"/>
      <c r="AG132" s="325"/>
      <c r="AH132" s="325"/>
      <c r="AI132" s="325"/>
      <c r="AJ132" s="391" t="s">
        <v>15626</v>
      </c>
      <c r="AK132" s="838">
        <f>AK130</f>
        <v>1</v>
      </c>
      <c r="AL132" s="839"/>
      <c r="AM132" s="325"/>
      <c r="AN132" s="325"/>
      <c r="AO132" s="325"/>
      <c r="AP132" s="325"/>
      <c r="AQ132" s="325"/>
      <c r="AR132" s="325"/>
      <c r="AS132" s="325"/>
      <c r="AT132" s="391"/>
      <c r="AU132" s="490"/>
      <c r="AV132" s="152"/>
      <c r="AW132" s="387"/>
      <c r="AX132" s="489">
        <f>ROUND(ROUND(R132*AK132,0)*$AU$106,0)</f>
        <v>106</v>
      </c>
      <c r="AY132" s="393"/>
    </row>
    <row r="133" spans="1:51" ht="16.5" customHeight="1" x14ac:dyDescent="0.15">
      <c r="A133" s="340">
        <v>12</v>
      </c>
      <c r="B133" s="341">
        <v>7147</v>
      </c>
      <c r="C133" s="390" t="s">
        <v>15982</v>
      </c>
      <c r="D133" s="403"/>
      <c r="E133" s="404"/>
      <c r="F133" s="404"/>
      <c r="G133" s="404"/>
      <c r="H133" s="406"/>
      <c r="R133" s="395"/>
      <c r="S133" s="151"/>
      <c r="T133" s="151"/>
      <c r="V133" s="387"/>
      <c r="W133" s="343"/>
      <c r="X133" s="343"/>
      <c r="Y133" s="343"/>
      <c r="Z133" s="343"/>
      <c r="AA133" s="343"/>
      <c r="AB133" s="343"/>
      <c r="AC133" s="343"/>
      <c r="AD133" s="343"/>
      <c r="AE133" s="343"/>
      <c r="AF133" s="343"/>
      <c r="AG133" s="343"/>
      <c r="AH133" s="343"/>
      <c r="AI133" s="343"/>
      <c r="AJ133" s="343"/>
      <c r="AK133" s="343"/>
      <c r="AL133" s="343"/>
      <c r="AM133" s="114" t="s">
        <v>15628</v>
      </c>
      <c r="AN133" s="396"/>
      <c r="AO133" s="396"/>
      <c r="AP133" s="396"/>
      <c r="AQ133" s="396"/>
      <c r="AR133" s="396"/>
      <c r="AS133" s="396"/>
      <c r="AT133" s="396"/>
      <c r="AU133" s="490"/>
      <c r="AV133" s="152"/>
      <c r="AW133" s="387"/>
      <c r="AX133" s="489">
        <f>ROUND(ROUND(R132*AS134,0)*$AU$106,0)</f>
        <v>90</v>
      </c>
      <c r="AY133" s="393"/>
    </row>
    <row r="134" spans="1:51" ht="16.5" customHeight="1" x14ac:dyDescent="0.15">
      <c r="A134" s="340">
        <v>12</v>
      </c>
      <c r="B134" s="341">
        <v>7148</v>
      </c>
      <c r="C134" s="390" t="s">
        <v>15983</v>
      </c>
      <c r="D134" s="403"/>
      <c r="E134" s="404"/>
      <c r="F134" s="404"/>
      <c r="G134" s="404"/>
      <c r="H134" s="406"/>
      <c r="R134" s="395"/>
      <c r="S134" s="151"/>
      <c r="T134" s="151"/>
      <c r="V134" s="387"/>
      <c r="W134" s="343" t="s">
        <v>15625</v>
      </c>
      <c r="X134" s="325"/>
      <c r="Y134" s="325"/>
      <c r="Z134" s="325"/>
      <c r="AA134" s="325"/>
      <c r="AB134" s="325"/>
      <c r="AC134" s="325"/>
      <c r="AD134" s="325"/>
      <c r="AE134" s="325"/>
      <c r="AF134" s="325"/>
      <c r="AG134" s="325"/>
      <c r="AH134" s="325"/>
      <c r="AI134" s="325"/>
      <c r="AJ134" s="391" t="s">
        <v>15626</v>
      </c>
      <c r="AK134" s="838">
        <f>AK132</f>
        <v>1</v>
      </c>
      <c r="AL134" s="843"/>
      <c r="AM134" s="324" t="s">
        <v>15630</v>
      </c>
      <c r="AN134" s="325"/>
      <c r="AO134" s="325"/>
      <c r="AP134" s="325"/>
      <c r="AQ134" s="325"/>
      <c r="AR134" s="190" t="s">
        <v>398</v>
      </c>
      <c r="AS134" s="844">
        <f>AS130</f>
        <v>0.85</v>
      </c>
      <c r="AT134" s="844"/>
      <c r="AU134" s="490"/>
      <c r="AV134" s="152"/>
      <c r="AW134" s="387"/>
      <c r="AX134" s="489">
        <f>ROUND(ROUND(ROUND(R132*AK134,0)*AS134,0)*$AU$106,0)</f>
        <v>90</v>
      </c>
      <c r="AY134" s="393"/>
    </row>
    <row r="135" spans="1:51" ht="17.100000000000001" customHeight="1" x14ac:dyDescent="0.15">
      <c r="A135" s="340">
        <v>12</v>
      </c>
      <c r="B135" s="341">
        <v>2331</v>
      </c>
      <c r="C135" s="390" t="s">
        <v>15984</v>
      </c>
      <c r="D135" s="403"/>
      <c r="E135" s="404"/>
      <c r="F135" s="404"/>
      <c r="G135" s="404"/>
      <c r="H135" s="406"/>
      <c r="I135" s="253" t="s">
        <v>15669</v>
      </c>
      <c r="J135" s="396"/>
      <c r="K135" s="396"/>
      <c r="L135" s="400"/>
      <c r="M135" s="400"/>
      <c r="N135" s="400"/>
      <c r="O135" s="400"/>
      <c r="P135" s="400"/>
      <c r="Q135" s="396"/>
      <c r="R135" s="396"/>
      <c r="S135" s="396"/>
      <c r="T135" s="396"/>
      <c r="U135" s="396"/>
      <c r="V135" s="397"/>
      <c r="W135" s="343"/>
      <c r="X135" s="343"/>
      <c r="Y135" s="343"/>
      <c r="Z135" s="343"/>
      <c r="AA135" s="343"/>
      <c r="AB135" s="343"/>
      <c r="AC135" s="343"/>
      <c r="AD135" s="343"/>
      <c r="AE135" s="343"/>
      <c r="AF135" s="343"/>
      <c r="AG135" s="343"/>
      <c r="AH135" s="343"/>
      <c r="AI135" s="343"/>
      <c r="AJ135" s="343"/>
      <c r="AK135" s="343"/>
      <c r="AL135" s="407"/>
      <c r="AM135" s="396"/>
      <c r="AN135" s="396"/>
      <c r="AO135" s="396"/>
      <c r="AP135" s="396"/>
      <c r="AQ135" s="396"/>
      <c r="AR135" s="396"/>
      <c r="AS135" s="396"/>
      <c r="AT135" s="396"/>
      <c r="AU135" s="490"/>
      <c r="AV135" s="152"/>
      <c r="AW135" s="387"/>
      <c r="AX135" s="489">
        <f>ROUND(R136*$AU$106,0)</f>
        <v>106</v>
      </c>
      <c r="AY135" s="393"/>
    </row>
    <row r="136" spans="1:51" ht="16.5" customHeight="1" x14ac:dyDescent="0.15">
      <c r="A136" s="340">
        <v>12</v>
      </c>
      <c r="B136" s="341">
        <v>2332</v>
      </c>
      <c r="C136" s="390" t="s">
        <v>15985</v>
      </c>
      <c r="D136" s="403"/>
      <c r="E136" s="404"/>
      <c r="F136" s="404"/>
      <c r="G136" s="404"/>
      <c r="H136" s="406"/>
      <c r="R136" s="836">
        <f>'2重度訪問'!U136</f>
        <v>85</v>
      </c>
      <c r="S136" s="837"/>
      <c r="T136" s="837"/>
      <c r="U136" s="152" t="s">
        <v>15624</v>
      </c>
      <c r="V136" s="387"/>
      <c r="W136" s="343" t="s">
        <v>15625</v>
      </c>
      <c r="X136" s="325"/>
      <c r="Y136" s="325"/>
      <c r="Z136" s="325"/>
      <c r="AA136" s="325"/>
      <c r="AB136" s="325"/>
      <c r="AC136" s="325"/>
      <c r="AD136" s="325"/>
      <c r="AE136" s="325"/>
      <c r="AF136" s="325"/>
      <c r="AG136" s="325"/>
      <c r="AH136" s="325"/>
      <c r="AI136" s="325"/>
      <c r="AJ136" s="391" t="s">
        <v>15626</v>
      </c>
      <c r="AK136" s="838">
        <f>AK134</f>
        <v>1</v>
      </c>
      <c r="AL136" s="839"/>
      <c r="AM136" s="325"/>
      <c r="AN136" s="325"/>
      <c r="AO136" s="325"/>
      <c r="AP136" s="325"/>
      <c r="AQ136" s="325"/>
      <c r="AR136" s="325"/>
      <c r="AS136" s="325"/>
      <c r="AT136" s="391"/>
      <c r="AU136" s="490"/>
      <c r="AV136" s="152"/>
      <c r="AW136" s="387"/>
      <c r="AX136" s="489">
        <f>ROUND(ROUND(R136*AK136,0)*$AU$106,0)</f>
        <v>106</v>
      </c>
      <c r="AY136" s="393"/>
    </row>
    <row r="137" spans="1:51" ht="16.5" customHeight="1" x14ac:dyDescent="0.15">
      <c r="A137" s="340">
        <v>12</v>
      </c>
      <c r="B137" s="341">
        <v>7149</v>
      </c>
      <c r="C137" s="390" t="s">
        <v>15986</v>
      </c>
      <c r="D137" s="403"/>
      <c r="E137" s="404"/>
      <c r="F137" s="404"/>
      <c r="G137" s="404"/>
      <c r="H137" s="406"/>
      <c r="R137" s="395"/>
      <c r="S137" s="151"/>
      <c r="T137" s="151"/>
      <c r="V137" s="387"/>
      <c r="W137" s="343"/>
      <c r="X137" s="343"/>
      <c r="Y137" s="343"/>
      <c r="Z137" s="343"/>
      <c r="AA137" s="343"/>
      <c r="AB137" s="343"/>
      <c r="AC137" s="343"/>
      <c r="AD137" s="343"/>
      <c r="AE137" s="343"/>
      <c r="AF137" s="343"/>
      <c r="AG137" s="343"/>
      <c r="AH137" s="343"/>
      <c r="AI137" s="343"/>
      <c r="AJ137" s="343"/>
      <c r="AK137" s="343"/>
      <c r="AL137" s="343"/>
      <c r="AM137" s="114" t="s">
        <v>15628</v>
      </c>
      <c r="AN137" s="396"/>
      <c r="AO137" s="396"/>
      <c r="AP137" s="396"/>
      <c r="AQ137" s="396"/>
      <c r="AR137" s="396"/>
      <c r="AS137" s="396"/>
      <c r="AT137" s="396"/>
      <c r="AU137" s="490"/>
      <c r="AV137" s="152"/>
      <c r="AW137" s="387"/>
      <c r="AX137" s="489">
        <f>ROUND(ROUND(R136*AS138,0)*$AU$106,0)</f>
        <v>90</v>
      </c>
      <c r="AY137" s="393"/>
    </row>
    <row r="138" spans="1:51" ht="16.5" customHeight="1" x14ac:dyDescent="0.15">
      <c r="A138" s="340">
        <v>12</v>
      </c>
      <c r="B138" s="341">
        <v>7150</v>
      </c>
      <c r="C138" s="390" t="s">
        <v>15987</v>
      </c>
      <c r="D138" s="403"/>
      <c r="E138" s="404"/>
      <c r="F138" s="404"/>
      <c r="G138" s="404"/>
      <c r="H138" s="406"/>
      <c r="R138" s="395"/>
      <c r="S138" s="151"/>
      <c r="T138" s="151"/>
      <c r="V138" s="387"/>
      <c r="W138" s="343" t="s">
        <v>15625</v>
      </c>
      <c r="X138" s="325"/>
      <c r="Y138" s="325"/>
      <c r="Z138" s="325"/>
      <c r="AA138" s="325"/>
      <c r="AB138" s="325"/>
      <c r="AC138" s="325"/>
      <c r="AD138" s="325"/>
      <c r="AE138" s="325"/>
      <c r="AF138" s="325"/>
      <c r="AG138" s="325"/>
      <c r="AH138" s="325"/>
      <c r="AI138" s="325"/>
      <c r="AJ138" s="391" t="s">
        <v>15626</v>
      </c>
      <c r="AK138" s="838">
        <f>AK136</f>
        <v>1</v>
      </c>
      <c r="AL138" s="843"/>
      <c r="AM138" s="324" t="s">
        <v>15630</v>
      </c>
      <c r="AN138" s="325"/>
      <c r="AO138" s="325"/>
      <c r="AP138" s="325"/>
      <c r="AQ138" s="325"/>
      <c r="AR138" s="190" t="s">
        <v>398</v>
      </c>
      <c r="AS138" s="844">
        <f>AS134</f>
        <v>0.85</v>
      </c>
      <c r="AT138" s="844"/>
      <c r="AU138" s="490"/>
      <c r="AV138" s="152"/>
      <c r="AW138" s="387"/>
      <c r="AX138" s="489">
        <f>ROUND(ROUND(ROUND(R136*AK138,0)*AS138,0)*$AU$106,0)</f>
        <v>90</v>
      </c>
      <c r="AY138" s="393"/>
    </row>
    <row r="139" spans="1:51" ht="17.100000000000001" customHeight="1" x14ac:dyDescent="0.15">
      <c r="A139" s="340">
        <v>12</v>
      </c>
      <c r="B139" s="341">
        <v>2341</v>
      </c>
      <c r="C139" s="390" t="s">
        <v>15988</v>
      </c>
      <c r="D139" s="403"/>
      <c r="E139" s="404"/>
      <c r="F139" s="404"/>
      <c r="G139" s="404"/>
      <c r="H139" s="406"/>
      <c r="I139" s="253" t="s">
        <v>15674</v>
      </c>
      <c r="J139" s="396"/>
      <c r="K139" s="396"/>
      <c r="L139" s="400"/>
      <c r="M139" s="400"/>
      <c r="N139" s="400"/>
      <c r="O139" s="400"/>
      <c r="P139" s="400"/>
      <c r="Q139" s="396"/>
      <c r="R139" s="396"/>
      <c r="S139" s="396"/>
      <c r="T139" s="396"/>
      <c r="U139" s="396"/>
      <c r="V139" s="397"/>
      <c r="W139" s="343"/>
      <c r="X139" s="343"/>
      <c r="Y139" s="343"/>
      <c r="Z139" s="343"/>
      <c r="AA139" s="343"/>
      <c r="AB139" s="343"/>
      <c r="AC139" s="343"/>
      <c r="AD139" s="343"/>
      <c r="AE139" s="343"/>
      <c r="AF139" s="343"/>
      <c r="AG139" s="343"/>
      <c r="AH139" s="343"/>
      <c r="AI139" s="343"/>
      <c r="AJ139" s="343"/>
      <c r="AK139" s="343"/>
      <c r="AL139" s="407"/>
      <c r="AM139" s="396"/>
      <c r="AN139" s="396"/>
      <c r="AO139" s="396"/>
      <c r="AP139" s="396"/>
      <c r="AQ139" s="396"/>
      <c r="AR139" s="396"/>
      <c r="AS139" s="396"/>
      <c r="AT139" s="396"/>
      <c r="AU139" s="490"/>
      <c r="AV139" s="152"/>
      <c r="AW139" s="387"/>
      <c r="AX139" s="489">
        <f>ROUND(R140*$AU$106,0)</f>
        <v>100</v>
      </c>
      <c r="AY139" s="393"/>
    </row>
    <row r="140" spans="1:51" ht="16.5" customHeight="1" x14ac:dyDescent="0.15">
      <c r="A140" s="340">
        <v>12</v>
      </c>
      <c r="B140" s="341">
        <v>2342</v>
      </c>
      <c r="C140" s="390" t="s">
        <v>15989</v>
      </c>
      <c r="D140" s="403"/>
      <c r="E140" s="404"/>
      <c r="F140" s="404"/>
      <c r="G140" s="404"/>
      <c r="H140" s="406"/>
      <c r="R140" s="836">
        <f>'2重度訪問'!U140</f>
        <v>80</v>
      </c>
      <c r="S140" s="837"/>
      <c r="T140" s="837"/>
      <c r="U140" s="152" t="s">
        <v>15624</v>
      </c>
      <c r="V140" s="387"/>
      <c r="W140" s="343" t="s">
        <v>15625</v>
      </c>
      <c r="X140" s="325"/>
      <c r="Y140" s="325"/>
      <c r="Z140" s="325"/>
      <c r="AA140" s="325"/>
      <c r="AB140" s="325"/>
      <c r="AC140" s="325"/>
      <c r="AD140" s="325"/>
      <c r="AE140" s="325"/>
      <c r="AF140" s="325"/>
      <c r="AG140" s="325"/>
      <c r="AH140" s="325"/>
      <c r="AI140" s="325"/>
      <c r="AJ140" s="391" t="s">
        <v>15626</v>
      </c>
      <c r="AK140" s="838">
        <f>AK138</f>
        <v>1</v>
      </c>
      <c r="AL140" s="839"/>
      <c r="AM140" s="325"/>
      <c r="AN140" s="325"/>
      <c r="AO140" s="325"/>
      <c r="AP140" s="325"/>
      <c r="AQ140" s="325"/>
      <c r="AR140" s="325"/>
      <c r="AS140" s="325"/>
      <c r="AT140" s="391"/>
      <c r="AU140" s="490"/>
      <c r="AV140" s="152"/>
      <c r="AW140" s="387"/>
      <c r="AX140" s="489">
        <f>ROUND(ROUND(R140*AK140,0)*$AU$106,0)</f>
        <v>100</v>
      </c>
      <c r="AY140" s="393"/>
    </row>
    <row r="141" spans="1:51" ht="16.5" customHeight="1" x14ac:dyDescent="0.15">
      <c r="A141" s="340">
        <v>12</v>
      </c>
      <c r="B141" s="341">
        <v>7151</v>
      </c>
      <c r="C141" s="390" t="s">
        <v>15990</v>
      </c>
      <c r="D141" s="403"/>
      <c r="E141" s="404"/>
      <c r="F141" s="404"/>
      <c r="G141" s="404"/>
      <c r="H141" s="406"/>
      <c r="R141" s="395"/>
      <c r="S141" s="151"/>
      <c r="T141" s="151"/>
      <c r="V141" s="387"/>
      <c r="W141" s="343"/>
      <c r="X141" s="343"/>
      <c r="Y141" s="343"/>
      <c r="Z141" s="343"/>
      <c r="AA141" s="343"/>
      <c r="AB141" s="343"/>
      <c r="AC141" s="343"/>
      <c r="AD141" s="343"/>
      <c r="AE141" s="343"/>
      <c r="AF141" s="343"/>
      <c r="AG141" s="343"/>
      <c r="AH141" s="343"/>
      <c r="AI141" s="343"/>
      <c r="AJ141" s="343"/>
      <c r="AK141" s="343"/>
      <c r="AL141" s="343"/>
      <c r="AM141" s="114" t="s">
        <v>15628</v>
      </c>
      <c r="AN141" s="396"/>
      <c r="AO141" s="396"/>
      <c r="AP141" s="396"/>
      <c r="AQ141" s="396"/>
      <c r="AR141" s="396"/>
      <c r="AS141" s="396"/>
      <c r="AT141" s="396"/>
      <c r="AU141" s="490"/>
      <c r="AV141" s="152"/>
      <c r="AW141" s="387"/>
      <c r="AX141" s="489">
        <f>ROUND(ROUND(R140*AS142,0)*$AU$106,0)</f>
        <v>85</v>
      </c>
      <c r="AY141" s="393"/>
    </row>
    <row r="142" spans="1:51" ht="16.5" customHeight="1" x14ac:dyDescent="0.15">
      <c r="A142" s="340">
        <v>12</v>
      </c>
      <c r="B142" s="341">
        <v>7152</v>
      </c>
      <c r="C142" s="390" t="s">
        <v>15991</v>
      </c>
      <c r="D142" s="403"/>
      <c r="E142" s="404"/>
      <c r="F142" s="404"/>
      <c r="G142" s="404"/>
      <c r="H142" s="406"/>
      <c r="R142" s="395"/>
      <c r="S142" s="151"/>
      <c r="T142" s="151"/>
      <c r="V142" s="387"/>
      <c r="W142" s="343" t="s">
        <v>15625</v>
      </c>
      <c r="X142" s="325"/>
      <c r="Y142" s="325"/>
      <c r="Z142" s="325"/>
      <c r="AA142" s="325"/>
      <c r="AB142" s="325"/>
      <c r="AC142" s="325"/>
      <c r="AD142" s="325"/>
      <c r="AE142" s="325"/>
      <c r="AF142" s="325"/>
      <c r="AG142" s="325"/>
      <c r="AH142" s="325"/>
      <c r="AI142" s="325"/>
      <c r="AJ142" s="391" t="s">
        <v>15626</v>
      </c>
      <c r="AK142" s="838">
        <f>AK140</f>
        <v>1</v>
      </c>
      <c r="AL142" s="843"/>
      <c r="AM142" s="324" t="s">
        <v>15630</v>
      </c>
      <c r="AN142" s="325"/>
      <c r="AO142" s="325"/>
      <c r="AP142" s="325"/>
      <c r="AQ142" s="325"/>
      <c r="AR142" s="190" t="s">
        <v>398</v>
      </c>
      <c r="AS142" s="844">
        <f>AS138</f>
        <v>0.85</v>
      </c>
      <c r="AT142" s="844"/>
      <c r="AU142" s="490"/>
      <c r="AV142" s="152"/>
      <c r="AW142" s="387"/>
      <c r="AX142" s="489">
        <f>ROUND(ROUND(ROUND(R140*AK142,0)*AS142,0)*$AU$106,0)</f>
        <v>85</v>
      </c>
      <c r="AY142" s="393"/>
    </row>
    <row r="143" spans="1:51" ht="17.100000000000001" customHeight="1" x14ac:dyDescent="0.15">
      <c r="A143" s="340">
        <v>12</v>
      </c>
      <c r="B143" s="341">
        <v>2351</v>
      </c>
      <c r="C143" s="390" t="s">
        <v>15992</v>
      </c>
      <c r="D143" s="403"/>
      <c r="E143" s="404"/>
      <c r="F143" s="404"/>
      <c r="G143" s="404"/>
      <c r="H143" s="406"/>
      <c r="I143" s="253" t="s">
        <v>15679</v>
      </c>
      <c r="J143" s="396"/>
      <c r="K143" s="396"/>
      <c r="L143" s="400"/>
      <c r="M143" s="400"/>
      <c r="N143" s="400"/>
      <c r="O143" s="400"/>
      <c r="P143" s="400"/>
      <c r="Q143" s="396"/>
      <c r="R143" s="396"/>
      <c r="S143" s="396"/>
      <c r="T143" s="396"/>
      <c r="U143" s="396"/>
      <c r="V143" s="397"/>
      <c r="W143" s="343"/>
      <c r="X143" s="343"/>
      <c r="Y143" s="343"/>
      <c r="Z143" s="343"/>
      <c r="AA143" s="343"/>
      <c r="AB143" s="343"/>
      <c r="AC143" s="343"/>
      <c r="AD143" s="343"/>
      <c r="AE143" s="343"/>
      <c r="AF143" s="343"/>
      <c r="AG143" s="343"/>
      <c r="AH143" s="343"/>
      <c r="AI143" s="343"/>
      <c r="AJ143" s="343"/>
      <c r="AK143" s="343"/>
      <c r="AL143" s="407"/>
      <c r="AM143" s="396"/>
      <c r="AN143" s="396"/>
      <c r="AO143" s="396"/>
      <c r="AP143" s="396"/>
      <c r="AQ143" s="396"/>
      <c r="AR143" s="396"/>
      <c r="AS143" s="396"/>
      <c r="AT143" s="396"/>
      <c r="AU143" s="490"/>
      <c r="AV143" s="152"/>
      <c r="AW143" s="387"/>
      <c r="AX143" s="489">
        <f>ROUND(R144*$AU$106,0)</f>
        <v>108</v>
      </c>
      <c r="AY143" s="393"/>
    </row>
    <row r="144" spans="1:51" ht="16.5" customHeight="1" x14ac:dyDescent="0.15">
      <c r="A144" s="340">
        <v>12</v>
      </c>
      <c r="B144" s="341">
        <v>2352</v>
      </c>
      <c r="C144" s="390" t="s">
        <v>15993</v>
      </c>
      <c r="D144" s="403"/>
      <c r="E144" s="404"/>
      <c r="F144" s="404"/>
      <c r="G144" s="404"/>
      <c r="H144" s="406"/>
      <c r="R144" s="836">
        <f>'2重度訪問'!U144</f>
        <v>86</v>
      </c>
      <c r="S144" s="837"/>
      <c r="T144" s="837"/>
      <c r="U144" s="152" t="s">
        <v>15624</v>
      </c>
      <c r="V144" s="387"/>
      <c r="W144" s="343" t="s">
        <v>15625</v>
      </c>
      <c r="X144" s="325"/>
      <c r="Y144" s="325"/>
      <c r="Z144" s="325"/>
      <c r="AA144" s="325"/>
      <c r="AB144" s="325"/>
      <c r="AC144" s="325"/>
      <c r="AD144" s="325"/>
      <c r="AE144" s="325"/>
      <c r="AF144" s="325"/>
      <c r="AG144" s="325"/>
      <c r="AH144" s="325"/>
      <c r="AI144" s="325"/>
      <c r="AJ144" s="391" t="s">
        <v>15626</v>
      </c>
      <c r="AK144" s="838">
        <f>AK142</f>
        <v>1</v>
      </c>
      <c r="AL144" s="839"/>
      <c r="AM144" s="325"/>
      <c r="AN144" s="325"/>
      <c r="AO144" s="325"/>
      <c r="AP144" s="325"/>
      <c r="AQ144" s="325"/>
      <c r="AR144" s="325"/>
      <c r="AS144" s="325"/>
      <c r="AT144" s="391"/>
      <c r="AU144" s="490"/>
      <c r="AV144" s="152"/>
      <c r="AW144" s="387"/>
      <c r="AX144" s="489">
        <f>ROUND(ROUND(R144*AK144,0)*$AU$106,0)</f>
        <v>108</v>
      </c>
      <c r="AY144" s="393"/>
    </row>
    <row r="145" spans="1:51" ht="16.5" customHeight="1" x14ac:dyDescent="0.15">
      <c r="A145" s="340">
        <v>12</v>
      </c>
      <c r="B145" s="341">
        <v>7153</v>
      </c>
      <c r="C145" s="390" t="s">
        <v>15994</v>
      </c>
      <c r="D145" s="403"/>
      <c r="E145" s="404"/>
      <c r="F145" s="404"/>
      <c r="G145" s="404"/>
      <c r="H145" s="406"/>
      <c r="R145" s="395"/>
      <c r="S145" s="151"/>
      <c r="T145" s="151"/>
      <c r="V145" s="387"/>
      <c r="W145" s="343"/>
      <c r="X145" s="343"/>
      <c r="Y145" s="343"/>
      <c r="Z145" s="343"/>
      <c r="AA145" s="343"/>
      <c r="AB145" s="343"/>
      <c r="AC145" s="343"/>
      <c r="AD145" s="343"/>
      <c r="AE145" s="343"/>
      <c r="AF145" s="343"/>
      <c r="AG145" s="343"/>
      <c r="AH145" s="343"/>
      <c r="AI145" s="343"/>
      <c r="AJ145" s="343"/>
      <c r="AK145" s="343"/>
      <c r="AL145" s="343"/>
      <c r="AM145" s="114" t="s">
        <v>15628</v>
      </c>
      <c r="AN145" s="396"/>
      <c r="AO145" s="396"/>
      <c r="AP145" s="396"/>
      <c r="AQ145" s="396"/>
      <c r="AR145" s="396"/>
      <c r="AS145" s="396"/>
      <c r="AT145" s="396"/>
      <c r="AU145" s="490"/>
      <c r="AV145" s="152"/>
      <c r="AW145" s="387"/>
      <c r="AX145" s="489">
        <f>ROUND(ROUND(R144*AS146,0)*$AU$106,0)</f>
        <v>91</v>
      </c>
      <c r="AY145" s="393"/>
    </row>
    <row r="146" spans="1:51" ht="16.5" customHeight="1" x14ac:dyDescent="0.15">
      <c r="A146" s="340">
        <v>12</v>
      </c>
      <c r="B146" s="341">
        <v>7154</v>
      </c>
      <c r="C146" s="390" t="s">
        <v>15995</v>
      </c>
      <c r="D146" s="403"/>
      <c r="E146" s="404"/>
      <c r="F146" s="404"/>
      <c r="G146" s="404"/>
      <c r="H146" s="406"/>
      <c r="R146" s="395"/>
      <c r="S146" s="151"/>
      <c r="T146" s="151"/>
      <c r="V146" s="387"/>
      <c r="W146" s="343" t="s">
        <v>15625</v>
      </c>
      <c r="X146" s="325"/>
      <c r="Y146" s="325"/>
      <c r="Z146" s="325"/>
      <c r="AA146" s="325"/>
      <c r="AB146" s="325"/>
      <c r="AC146" s="325"/>
      <c r="AD146" s="325"/>
      <c r="AE146" s="325"/>
      <c r="AF146" s="325"/>
      <c r="AG146" s="325"/>
      <c r="AH146" s="325"/>
      <c r="AI146" s="325"/>
      <c r="AJ146" s="391" t="s">
        <v>15626</v>
      </c>
      <c r="AK146" s="838">
        <f>AK144</f>
        <v>1</v>
      </c>
      <c r="AL146" s="843"/>
      <c r="AM146" s="324" t="s">
        <v>15630</v>
      </c>
      <c r="AN146" s="325"/>
      <c r="AO146" s="325"/>
      <c r="AP146" s="325"/>
      <c r="AQ146" s="325"/>
      <c r="AR146" s="190" t="s">
        <v>398</v>
      </c>
      <c r="AS146" s="844">
        <f>AS142</f>
        <v>0.85</v>
      </c>
      <c r="AT146" s="844"/>
      <c r="AU146" s="490"/>
      <c r="AV146" s="152"/>
      <c r="AW146" s="387"/>
      <c r="AX146" s="489">
        <f>ROUND(ROUND(ROUND(R144*AK146,0)*AS146,0)*$AU$106,0)</f>
        <v>91</v>
      </c>
      <c r="AY146" s="393"/>
    </row>
    <row r="147" spans="1:51" ht="17.100000000000001" customHeight="1" x14ac:dyDescent="0.15">
      <c r="A147" s="340">
        <v>12</v>
      </c>
      <c r="B147" s="341">
        <v>2361</v>
      </c>
      <c r="C147" s="390" t="s">
        <v>15996</v>
      </c>
      <c r="D147" s="403"/>
      <c r="E147" s="404"/>
      <c r="F147" s="404"/>
      <c r="G147" s="404"/>
      <c r="H147" s="406"/>
      <c r="I147" s="253" t="s">
        <v>15684</v>
      </c>
      <c r="J147" s="396"/>
      <c r="K147" s="396"/>
      <c r="L147" s="400"/>
      <c r="M147" s="400"/>
      <c r="N147" s="400"/>
      <c r="O147" s="400"/>
      <c r="P147" s="400"/>
      <c r="Q147" s="396"/>
      <c r="R147" s="396"/>
      <c r="S147" s="396"/>
      <c r="T147" s="396"/>
      <c r="U147" s="396"/>
      <c r="V147" s="397"/>
      <c r="W147" s="343"/>
      <c r="X147" s="343"/>
      <c r="Y147" s="343"/>
      <c r="Z147" s="343"/>
      <c r="AA147" s="343"/>
      <c r="AB147" s="343"/>
      <c r="AC147" s="343"/>
      <c r="AD147" s="343"/>
      <c r="AE147" s="343"/>
      <c r="AF147" s="343"/>
      <c r="AG147" s="343"/>
      <c r="AH147" s="343"/>
      <c r="AI147" s="343"/>
      <c r="AJ147" s="343"/>
      <c r="AK147" s="343"/>
      <c r="AL147" s="407"/>
      <c r="AM147" s="396"/>
      <c r="AN147" s="396"/>
      <c r="AO147" s="396"/>
      <c r="AP147" s="396"/>
      <c r="AQ147" s="396"/>
      <c r="AR147" s="396"/>
      <c r="AS147" s="396"/>
      <c r="AT147" s="396"/>
      <c r="AU147" s="490"/>
      <c r="AV147" s="152"/>
      <c r="AW147" s="387"/>
      <c r="AX147" s="489">
        <f>ROUND(R148*$AU$106,0)</f>
        <v>100</v>
      </c>
      <c r="AY147" s="393"/>
    </row>
    <row r="148" spans="1:51" ht="16.5" customHeight="1" x14ac:dyDescent="0.15">
      <c r="A148" s="340">
        <v>12</v>
      </c>
      <c r="B148" s="341">
        <v>2362</v>
      </c>
      <c r="C148" s="390" t="s">
        <v>15997</v>
      </c>
      <c r="D148" s="403"/>
      <c r="E148" s="404"/>
      <c r="F148" s="404"/>
      <c r="G148" s="404"/>
      <c r="H148" s="406"/>
      <c r="R148" s="836">
        <f>'2重度訪問'!U148</f>
        <v>80</v>
      </c>
      <c r="S148" s="837"/>
      <c r="T148" s="837"/>
      <c r="U148" s="152" t="s">
        <v>15624</v>
      </c>
      <c r="V148" s="387"/>
      <c r="W148" s="343" t="s">
        <v>15625</v>
      </c>
      <c r="X148" s="325"/>
      <c r="Y148" s="325"/>
      <c r="Z148" s="325"/>
      <c r="AA148" s="325"/>
      <c r="AB148" s="325"/>
      <c r="AC148" s="325"/>
      <c r="AD148" s="325"/>
      <c r="AE148" s="325"/>
      <c r="AF148" s="325"/>
      <c r="AG148" s="325"/>
      <c r="AH148" s="325"/>
      <c r="AI148" s="325"/>
      <c r="AJ148" s="391" t="s">
        <v>15626</v>
      </c>
      <c r="AK148" s="838">
        <f>AK146</f>
        <v>1</v>
      </c>
      <c r="AL148" s="839"/>
      <c r="AM148" s="325"/>
      <c r="AN148" s="325"/>
      <c r="AO148" s="325"/>
      <c r="AP148" s="325"/>
      <c r="AQ148" s="325"/>
      <c r="AR148" s="325"/>
      <c r="AS148" s="325"/>
      <c r="AT148" s="391"/>
      <c r="AU148" s="490"/>
      <c r="AV148" s="152"/>
      <c r="AW148" s="387"/>
      <c r="AX148" s="489">
        <f>ROUND(ROUND(R148*AK148,0)*$AU$106,0)</f>
        <v>100</v>
      </c>
      <c r="AY148" s="393"/>
    </row>
    <row r="149" spans="1:51" ht="16.5" customHeight="1" x14ac:dyDescent="0.15">
      <c r="A149" s="340">
        <v>12</v>
      </c>
      <c r="B149" s="341">
        <v>7155</v>
      </c>
      <c r="C149" s="390" t="s">
        <v>15998</v>
      </c>
      <c r="D149" s="403"/>
      <c r="E149" s="404"/>
      <c r="F149" s="404"/>
      <c r="G149" s="404"/>
      <c r="H149" s="406"/>
      <c r="R149" s="395"/>
      <c r="S149" s="151"/>
      <c r="T149" s="151"/>
      <c r="V149" s="387"/>
      <c r="W149" s="343"/>
      <c r="X149" s="343"/>
      <c r="Y149" s="343"/>
      <c r="Z149" s="343"/>
      <c r="AA149" s="343"/>
      <c r="AB149" s="343"/>
      <c r="AC149" s="343"/>
      <c r="AD149" s="343"/>
      <c r="AE149" s="343"/>
      <c r="AF149" s="343"/>
      <c r="AG149" s="343"/>
      <c r="AH149" s="343"/>
      <c r="AI149" s="343"/>
      <c r="AJ149" s="343"/>
      <c r="AK149" s="343"/>
      <c r="AL149" s="343"/>
      <c r="AM149" s="114" t="s">
        <v>15628</v>
      </c>
      <c r="AN149" s="396"/>
      <c r="AO149" s="396"/>
      <c r="AP149" s="396"/>
      <c r="AQ149" s="396"/>
      <c r="AR149" s="396"/>
      <c r="AS149" s="396"/>
      <c r="AT149" s="396"/>
      <c r="AU149" s="490"/>
      <c r="AV149" s="152"/>
      <c r="AW149" s="387"/>
      <c r="AX149" s="489">
        <f>ROUND(ROUND(R148*AS150,0)*$AU$106,0)</f>
        <v>85</v>
      </c>
      <c r="AY149" s="393"/>
    </row>
    <row r="150" spans="1:51" ht="16.5" customHeight="1" x14ac:dyDescent="0.15">
      <c r="A150" s="340">
        <v>12</v>
      </c>
      <c r="B150" s="341">
        <v>7156</v>
      </c>
      <c r="C150" s="390" t="s">
        <v>15999</v>
      </c>
      <c r="D150" s="419"/>
      <c r="E150" s="420"/>
      <c r="F150" s="420"/>
      <c r="G150" s="420"/>
      <c r="H150" s="422"/>
      <c r="I150" s="325"/>
      <c r="J150" s="325"/>
      <c r="K150" s="325"/>
      <c r="L150" s="325"/>
      <c r="M150" s="325"/>
      <c r="N150" s="325"/>
      <c r="O150" s="325"/>
      <c r="P150" s="325"/>
      <c r="Q150" s="325"/>
      <c r="R150" s="416"/>
      <c r="S150" s="417"/>
      <c r="T150" s="417"/>
      <c r="U150" s="325"/>
      <c r="V150" s="388"/>
      <c r="W150" s="343" t="s">
        <v>15625</v>
      </c>
      <c r="X150" s="325"/>
      <c r="Y150" s="325"/>
      <c r="Z150" s="325"/>
      <c r="AA150" s="325"/>
      <c r="AB150" s="325"/>
      <c r="AC150" s="325"/>
      <c r="AD150" s="325"/>
      <c r="AE150" s="325"/>
      <c r="AF150" s="325"/>
      <c r="AG150" s="325"/>
      <c r="AH150" s="325"/>
      <c r="AI150" s="325"/>
      <c r="AJ150" s="391" t="s">
        <v>15626</v>
      </c>
      <c r="AK150" s="838">
        <f>AK148</f>
        <v>1</v>
      </c>
      <c r="AL150" s="843"/>
      <c r="AM150" s="324" t="s">
        <v>15630</v>
      </c>
      <c r="AN150" s="325"/>
      <c r="AO150" s="325"/>
      <c r="AP150" s="325"/>
      <c r="AQ150" s="325"/>
      <c r="AR150" s="190" t="s">
        <v>398</v>
      </c>
      <c r="AS150" s="844">
        <f>AS146</f>
        <v>0.85</v>
      </c>
      <c r="AT150" s="844"/>
      <c r="AU150" s="324"/>
      <c r="AV150" s="325"/>
      <c r="AW150" s="388"/>
      <c r="AX150" s="491">
        <f>ROUND(ROUND(ROUND(R148*AK150,0)*AS150,0)*$AU$106,0)</f>
        <v>85</v>
      </c>
      <c r="AY150" s="418"/>
    </row>
    <row r="151" spans="1:51" ht="17.100000000000001" customHeight="1" x14ac:dyDescent="0.15"/>
  </sheetData>
  <mergeCells count="161">
    <mergeCell ref="AK150:AL150"/>
    <mergeCell ref="AS150:AT150"/>
    <mergeCell ref="R144:T144"/>
    <mergeCell ref="AK144:AL144"/>
    <mergeCell ref="AK146:AL146"/>
    <mergeCell ref="AS146:AT146"/>
    <mergeCell ref="R148:T148"/>
    <mergeCell ref="AK148:AL148"/>
    <mergeCell ref="AK138:AL138"/>
    <mergeCell ref="AS138:AT138"/>
    <mergeCell ref="R140:T140"/>
    <mergeCell ref="AK140:AL140"/>
    <mergeCell ref="AK142:AL142"/>
    <mergeCell ref="AS142:AT142"/>
    <mergeCell ref="R132:T132"/>
    <mergeCell ref="AK132:AL132"/>
    <mergeCell ref="AK134:AL134"/>
    <mergeCell ref="AS134:AT134"/>
    <mergeCell ref="R136:T136"/>
    <mergeCell ref="AK136:AL136"/>
    <mergeCell ref="AK126:AL126"/>
    <mergeCell ref="AS126:AT126"/>
    <mergeCell ref="R128:T128"/>
    <mergeCell ref="AK128:AL128"/>
    <mergeCell ref="AK130:AL130"/>
    <mergeCell ref="AS130:AT130"/>
    <mergeCell ref="R120:T120"/>
    <mergeCell ref="AK120:AL120"/>
    <mergeCell ref="AK122:AL122"/>
    <mergeCell ref="AS122:AT122"/>
    <mergeCell ref="R124:T124"/>
    <mergeCell ref="AK124:AL124"/>
    <mergeCell ref="AK114:AL114"/>
    <mergeCell ref="AS114:AT114"/>
    <mergeCell ref="R116:T116"/>
    <mergeCell ref="AK116:AL116"/>
    <mergeCell ref="AK118:AL118"/>
    <mergeCell ref="AS118:AT118"/>
    <mergeCell ref="R108:T108"/>
    <mergeCell ref="AK108:AL108"/>
    <mergeCell ref="AK110:AL110"/>
    <mergeCell ref="AS110:AT110"/>
    <mergeCell ref="R112:T112"/>
    <mergeCell ref="AK112:AL112"/>
    <mergeCell ref="D103:H106"/>
    <mergeCell ref="AU103:AW104"/>
    <mergeCell ref="R104:T104"/>
    <mergeCell ref="AK104:AL104"/>
    <mergeCell ref="AU105:AW105"/>
    <mergeCell ref="AK106:AL106"/>
    <mergeCell ref="AS106:AT106"/>
    <mergeCell ref="AU106:AW106"/>
    <mergeCell ref="AK98:AL98"/>
    <mergeCell ref="AS98:AT98"/>
    <mergeCell ref="R100:T100"/>
    <mergeCell ref="AK100:AL100"/>
    <mergeCell ref="AK102:AL102"/>
    <mergeCell ref="AS102:AT102"/>
    <mergeCell ref="R92:T92"/>
    <mergeCell ref="AK92:AL92"/>
    <mergeCell ref="AK94:AL94"/>
    <mergeCell ref="AS94:AT94"/>
    <mergeCell ref="R96:T96"/>
    <mergeCell ref="AK96:AL96"/>
    <mergeCell ref="AK86:AL86"/>
    <mergeCell ref="AS86:AT86"/>
    <mergeCell ref="R88:T88"/>
    <mergeCell ref="AK88:AL88"/>
    <mergeCell ref="AK90:AL90"/>
    <mergeCell ref="AS90:AT90"/>
    <mergeCell ref="R80:T80"/>
    <mergeCell ref="AK80:AL80"/>
    <mergeCell ref="AK82:AL82"/>
    <mergeCell ref="AS82:AT82"/>
    <mergeCell ref="R84:T84"/>
    <mergeCell ref="AK84:AL84"/>
    <mergeCell ref="AK74:AL74"/>
    <mergeCell ref="AS74:AT74"/>
    <mergeCell ref="R76:T76"/>
    <mergeCell ref="AK76:AL76"/>
    <mergeCell ref="AK78:AL78"/>
    <mergeCell ref="AS78:AT78"/>
    <mergeCell ref="R68:T68"/>
    <mergeCell ref="AK68:AL68"/>
    <mergeCell ref="AK70:AL70"/>
    <mergeCell ref="AS70:AT70"/>
    <mergeCell ref="R72:T72"/>
    <mergeCell ref="AK72:AL72"/>
    <mergeCell ref="AK62:AL62"/>
    <mergeCell ref="AS62:AT62"/>
    <mergeCell ref="R64:T64"/>
    <mergeCell ref="AK64:AL64"/>
    <mergeCell ref="AK66:AL66"/>
    <mergeCell ref="AS66:AT66"/>
    <mergeCell ref="AS58:AT58"/>
    <mergeCell ref="AU58:AW58"/>
    <mergeCell ref="D59:H60"/>
    <mergeCell ref="R60:T60"/>
    <mergeCell ref="AK60:AL60"/>
    <mergeCell ref="F61:H61"/>
    <mergeCell ref="R52:T52"/>
    <mergeCell ref="AK52:AL52"/>
    <mergeCell ref="AK54:AL54"/>
    <mergeCell ref="AS54:AT54"/>
    <mergeCell ref="D55:H58"/>
    <mergeCell ref="AU55:AW56"/>
    <mergeCell ref="R56:T56"/>
    <mergeCell ref="AK56:AL56"/>
    <mergeCell ref="AU57:AW57"/>
    <mergeCell ref="AK58:AL58"/>
    <mergeCell ref="AK46:AL46"/>
    <mergeCell ref="AS46:AT46"/>
    <mergeCell ref="R48:T48"/>
    <mergeCell ref="AK48:AL48"/>
    <mergeCell ref="AK50:AL50"/>
    <mergeCell ref="AS50:AT50"/>
    <mergeCell ref="R40:T40"/>
    <mergeCell ref="AK40:AL40"/>
    <mergeCell ref="AK42:AL42"/>
    <mergeCell ref="AS42:AT42"/>
    <mergeCell ref="R44:T44"/>
    <mergeCell ref="AK44:AL44"/>
    <mergeCell ref="AK34:AL34"/>
    <mergeCell ref="AS34:AT34"/>
    <mergeCell ref="R36:T36"/>
    <mergeCell ref="AK36:AL36"/>
    <mergeCell ref="AK38:AL38"/>
    <mergeCell ref="AS38:AT38"/>
    <mergeCell ref="R28:T28"/>
    <mergeCell ref="AK28:AL28"/>
    <mergeCell ref="AK30:AL30"/>
    <mergeCell ref="AS30:AT30"/>
    <mergeCell ref="R32:T32"/>
    <mergeCell ref="AK32:AL32"/>
    <mergeCell ref="AK22:AL22"/>
    <mergeCell ref="AS22:AT22"/>
    <mergeCell ref="R24:T24"/>
    <mergeCell ref="AK24:AL24"/>
    <mergeCell ref="AK26:AL26"/>
    <mergeCell ref="AS26:AT26"/>
    <mergeCell ref="R16:T16"/>
    <mergeCell ref="AK16:AL16"/>
    <mergeCell ref="AK18:AL18"/>
    <mergeCell ref="AS18:AT18"/>
    <mergeCell ref="R20:T20"/>
    <mergeCell ref="AK20:AL20"/>
    <mergeCell ref="D11:H12"/>
    <mergeCell ref="R12:T12"/>
    <mergeCell ref="AK12:AL12"/>
    <mergeCell ref="F13:H13"/>
    <mergeCell ref="AK14:AL14"/>
    <mergeCell ref="AS14:AT14"/>
    <mergeCell ref="D5:AW5"/>
    <mergeCell ref="D7:H10"/>
    <mergeCell ref="AU7:AW8"/>
    <mergeCell ref="R8:T8"/>
    <mergeCell ref="AK8:AL8"/>
    <mergeCell ref="AU9:AW9"/>
    <mergeCell ref="AK10:AL10"/>
    <mergeCell ref="AS10:AT10"/>
    <mergeCell ref="AU10:AW10"/>
  </mergeCells>
  <phoneticPr fontId="1"/>
  <printOptions horizontalCentered="1"/>
  <pageMargins left="0.59055118110236227" right="0.19685039370078741" top="0.78740157480314965" bottom="0.59055118110236227" header="0.51181102362204722" footer="0.31496062992125984"/>
  <pageSetup paperSize="9" scale="55" orientation="portrait" r:id="rId1"/>
  <headerFooter>
    <oddHeader>&amp;R&amp;9重度訪問介護</oddHeader>
    <oddFooter>&amp;C&amp;14&amp;P</oddFooter>
  </headerFooter>
  <rowBreaks count="2" manualBreakCount="2">
    <brk id="54" max="50" man="1"/>
    <brk id="102" max="50"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4">
    <pageSetUpPr autoPageBreaks="0"/>
  </sheetPr>
  <dimension ref="A1:AY152"/>
  <sheetViews>
    <sheetView view="pageBreakPreview" zoomScaleNormal="100" zoomScaleSheetLayoutView="100" workbookViewId="0"/>
  </sheetViews>
  <sheetFormatPr defaultColWidth="9" defaultRowHeight="13.5" x14ac:dyDescent="0.15"/>
  <cols>
    <col min="1" max="1" width="4.5" style="151" customWidth="1"/>
    <col min="2" max="2" width="7.5" style="151" customWidth="1"/>
    <col min="3" max="3" width="30.5" style="151" customWidth="1"/>
    <col min="4" max="19" width="2.5" style="152" customWidth="1"/>
    <col min="20" max="21" width="3.125" style="152" customWidth="1"/>
    <col min="22" max="46" width="2.5" style="152" customWidth="1"/>
    <col min="47" max="47" width="2.5" style="151" customWidth="1"/>
    <col min="48" max="48" width="2.5" style="377" customWidth="1"/>
    <col min="49" max="49" width="2.5" style="151" customWidth="1"/>
    <col min="50" max="50" width="7.125" style="151" customWidth="1"/>
    <col min="51" max="51" width="8.5" style="151" customWidth="1"/>
    <col min="52" max="16384" width="9" style="151"/>
  </cols>
  <sheetData>
    <row r="1" spans="1:51" ht="17.100000000000001" customHeight="1" x14ac:dyDescent="0.15">
      <c r="A1" s="376"/>
    </row>
    <row r="2" spans="1:51" ht="17.100000000000001" customHeight="1" x14ac:dyDescent="0.15">
      <c r="A2" s="376"/>
    </row>
    <row r="3" spans="1:51" ht="17.100000000000001" customHeight="1" x14ac:dyDescent="0.15">
      <c r="A3" s="376"/>
    </row>
    <row r="4" spans="1:51" ht="17.100000000000001" customHeight="1" x14ac:dyDescent="0.15">
      <c r="B4" s="17" t="s">
        <v>16000</v>
      </c>
    </row>
    <row r="5" spans="1:51" s="309" customFormat="1" ht="17.100000000000001" customHeight="1" x14ac:dyDescent="0.15">
      <c r="A5" s="300" t="s">
        <v>15540</v>
      </c>
      <c r="B5" s="301"/>
      <c r="C5" s="302" t="s">
        <v>15541</v>
      </c>
      <c r="D5" s="890" t="s">
        <v>15618</v>
      </c>
      <c r="E5" s="891"/>
      <c r="F5" s="891"/>
      <c r="G5" s="891"/>
      <c r="H5" s="891"/>
      <c r="I5" s="891"/>
      <c r="J5" s="891"/>
      <c r="K5" s="891"/>
      <c r="L5" s="891"/>
      <c r="M5" s="891"/>
      <c r="N5" s="891"/>
      <c r="O5" s="891"/>
      <c r="P5" s="891"/>
      <c r="Q5" s="891"/>
      <c r="R5" s="891"/>
      <c r="S5" s="891"/>
      <c r="T5" s="891"/>
      <c r="U5" s="891"/>
      <c r="V5" s="891"/>
      <c r="W5" s="891"/>
      <c r="X5" s="891"/>
      <c r="Y5" s="891"/>
      <c r="Z5" s="891"/>
      <c r="AA5" s="891"/>
      <c r="AB5" s="891"/>
      <c r="AC5" s="891"/>
      <c r="AD5" s="891"/>
      <c r="AE5" s="891"/>
      <c r="AF5" s="891"/>
      <c r="AG5" s="891"/>
      <c r="AH5" s="891"/>
      <c r="AI5" s="891"/>
      <c r="AJ5" s="891"/>
      <c r="AK5" s="891"/>
      <c r="AL5" s="891"/>
      <c r="AM5" s="891"/>
      <c r="AN5" s="891"/>
      <c r="AO5" s="891"/>
      <c r="AP5" s="891"/>
      <c r="AQ5" s="891"/>
      <c r="AR5" s="891"/>
      <c r="AS5" s="891"/>
      <c r="AT5" s="891"/>
      <c r="AU5" s="891"/>
      <c r="AV5" s="891"/>
      <c r="AW5" s="892"/>
      <c r="AX5" s="306" t="s">
        <v>15543</v>
      </c>
      <c r="AY5" s="378" t="s">
        <v>15544</v>
      </c>
    </row>
    <row r="6" spans="1:51" s="309" customFormat="1" ht="17.100000000000001" customHeight="1" x14ac:dyDescent="0.15">
      <c r="A6" s="379" t="s">
        <v>15545</v>
      </c>
      <c r="B6" s="380" t="s">
        <v>15546</v>
      </c>
      <c r="C6" s="381"/>
      <c r="D6" s="382"/>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c r="AT6" s="383"/>
      <c r="AU6" s="383"/>
      <c r="AV6" s="383"/>
      <c r="AW6" s="383"/>
      <c r="AX6" s="384" t="s">
        <v>391</v>
      </c>
      <c r="AY6" s="385" t="s">
        <v>392</v>
      </c>
    </row>
    <row r="7" spans="1:51" ht="17.100000000000001" customHeight="1" x14ac:dyDescent="0.15">
      <c r="A7" s="321">
        <v>12</v>
      </c>
      <c r="B7" s="322">
        <v>3171</v>
      </c>
      <c r="C7" s="386" t="s">
        <v>16001</v>
      </c>
      <c r="D7" s="849" t="s">
        <v>15620</v>
      </c>
      <c r="E7" s="850"/>
      <c r="F7" s="850"/>
      <c r="G7" s="850"/>
      <c r="H7" s="852"/>
      <c r="I7" s="152" t="s">
        <v>15621</v>
      </c>
      <c r="L7" s="151"/>
      <c r="M7" s="151"/>
      <c r="N7" s="151"/>
      <c r="O7" s="151"/>
      <c r="P7" s="151"/>
      <c r="V7" s="387"/>
      <c r="W7" s="325"/>
      <c r="X7" s="325"/>
      <c r="Y7" s="325"/>
      <c r="Z7" s="325"/>
      <c r="AA7" s="325"/>
      <c r="AB7" s="325"/>
      <c r="AC7" s="325"/>
      <c r="AD7" s="325"/>
      <c r="AE7" s="325"/>
      <c r="AF7" s="325"/>
      <c r="AG7" s="325"/>
      <c r="AH7" s="325"/>
      <c r="AI7" s="325"/>
      <c r="AJ7" s="325"/>
      <c r="AK7" s="325"/>
      <c r="AL7" s="388"/>
      <c r="AU7" s="754" t="s">
        <v>743</v>
      </c>
      <c r="AV7" s="744"/>
      <c r="AW7" s="716"/>
      <c r="AX7" s="488">
        <f>ROUND(R8*$AU$10,0)</f>
        <v>266</v>
      </c>
      <c r="AY7" s="339" t="s">
        <v>15622</v>
      </c>
    </row>
    <row r="8" spans="1:51" ht="16.5" customHeight="1" x14ac:dyDescent="0.15">
      <c r="A8" s="340">
        <v>12</v>
      </c>
      <c r="B8" s="341">
        <v>3172</v>
      </c>
      <c r="C8" s="390" t="s">
        <v>16002</v>
      </c>
      <c r="D8" s="849"/>
      <c r="E8" s="850"/>
      <c r="F8" s="850"/>
      <c r="G8" s="850"/>
      <c r="H8" s="852"/>
      <c r="R8" s="836">
        <f>'2重度訪問'!U8</f>
        <v>213</v>
      </c>
      <c r="S8" s="837"/>
      <c r="T8" s="837"/>
      <c r="U8" s="152" t="s">
        <v>15624</v>
      </c>
      <c r="V8" s="387"/>
      <c r="W8" s="343" t="s">
        <v>15625</v>
      </c>
      <c r="X8" s="325"/>
      <c r="Y8" s="325"/>
      <c r="Z8" s="325"/>
      <c r="AA8" s="325"/>
      <c r="AB8" s="325"/>
      <c r="AC8" s="325"/>
      <c r="AD8" s="325"/>
      <c r="AE8" s="325"/>
      <c r="AF8" s="325"/>
      <c r="AG8" s="325"/>
      <c r="AH8" s="325"/>
      <c r="AI8" s="325"/>
      <c r="AJ8" s="391" t="s">
        <v>15626</v>
      </c>
      <c r="AK8" s="838">
        <f>'2重度訪問'!AN10</f>
        <v>1</v>
      </c>
      <c r="AL8" s="839"/>
      <c r="AU8" s="754"/>
      <c r="AV8" s="744"/>
      <c r="AW8" s="716"/>
      <c r="AX8" s="489">
        <f>ROUND(ROUND(R8*AK8,0)*$AU$10,0)</f>
        <v>266</v>
      </c>
      <c r="AY8" s="393"/>
    </row>
    <row r="9" spans="1:51" ht="16.5" customHeight="1" x14ac:dyDescent="0.15">
      <c r="A9" s="287">
        <v>12</v>
      </c>
      <c r="B9" s="287">
        <v>7157</v>
      </c>
      <c r="C9" s="394" t="s">
        <v>16003</v>
      </c>
      <c r="D9" s="849"/>
      <c r="E9" s="850"/>
      <c r="F9" s="850"/>
      <c r="G9" s="850"/>
      <c r="H9" s="852"/>
      <c r="R9" s="395"/>
      <c r="S9" s="151"/>
      <c r="T9" s="151"/>
      <c r="V9" s="387"/>
      <c r="W9" s="343"/>
      <c r="X9" s="343"/>
      <c r="Y9" s="343"/>
      <c r="Z9" s="343"/>
      <c r="AA9" s="343"/>
      <c r="AB9" s="343"/>
      <c r="AC9" s="343"/>
      <c r="AD9" s="343"/>
      <c r="AE9" s="343"/>
      <c r="AF9" s="343"/>
      <c r="AG9" s="343"/>
      <c r="AH9" s="343"/>
      <c r="AI9" s="343"/>
      <c r="AJ9" s="343"/>
      <c r="AK9" s="343"/>
      <c r="AL9" s="343"/>
      <c r="AM9" s="114" t="s">
        <v>15628</v>
      </c>
      <c r="AN9" s="396"/>
      <c r="AO9" s="396"/>
      <c r="AP9" s="396"/>
      <c r="AQ9" s="396"/>
      <c r="AR9" s="396"/>
      <c r="AS9" s="396"/>
      <c r="AT9" s="396"/>
      <c r="AU9" s="893" t="s">
        <v>398</v>
      </c>
      <c r="AV9" s="894"/>
      <c r="AW9" s="895"/>
      <c r="AX9" s="489">
        <f>ROUND(ROUND(R8*AS10,0)*$AU$10,0)</f>
        <v>226</v>
      </c>
      <c r="AY9" s="393"/>
    </row>
    <row r="10" spans="1:51" ht="16.5" customHeight="1" x14ac:dyDescent="0.15">
      <c r="A10" s="287">
        <v>12</v>
      </c>
      <c r="B10" s="287">
        <v>7158</v>
      </c>
      <c r="C10" s="394" t="s">
        <v>16004</v>
      </c>
      <c r="D10" s="849"/>
      <c r="E10" s="850"/>
      <c r="F10" s="850"/>
      <c r="G10" s="850"/>
      <c r="H10" s="852"/>
      <c r="R10" s="395"/>
      <c r="S10" s="151"/>
      <c r="T10" s="151"/>
      <c r="V10" s="387"/>
      <c r="W10" s="343" t="s">
        <v>15625</v>
      </c>
      <c r="X10" s="325"/>
      <c r="Y10" s="325"/>
      <c r="Z10" s="325"/>
      <c r="AA10" s="325"/>
      <c r="AB10" s="325"/>
      <c r="AC10" s="325"/>
      <c r="AD10" s="325"/>
      <c r="AE10" s="325"/>
      <c r="AF10" s="325"/>
      <c r="AG10" s="325"/>
      <c r="AH10" s="325"/>
      <c r="AI10" s="325"/>
      <c r="AJ10" s="391" t="s">
        <v>15626</v>
      </c>
      <c r="AK10" s="838">
        <f>AK8</f>
        <v>1</v>
      </c>
      <c r="AL10" s="843"/>
      <c r="AM10" s="324" t="s">
        <v>15630</v>
      </c>
      <c r="AN10" s="325"/>
      <c r="AO10" s="325"/>
      <c r="AP10" s="325"/>
      <c r="AQ10" s="325"/>
      <c r="AR10" s="190" t="s">
        <v>398</v>
      </c>
      <c r="AS10" s="844">
        <f>'2重度訪問'!AV10</f>
        <v>0.85</v>
      </c>
      <c r="AT10" s="844"/>
      <c r="AU10" s="896">
        <v>1.25</v>
      </c>
      <c r="AV10" s="897"/>
      <c r="AW10" s="898"/>
      <c r="AX10" s="489">
        <f>ROUND(ROUND(ROUND(R8*AK10,0)*AS10,0)*$AU$10,0)</f>
        <v>226</v>
      </c>
      <c r="AY10" s="393"/>
    </row>
    <row r="11" spans="1:51" ht="16.5" customHeight="1" x14ac:dyDescent="0.15">
      <c r="A11" s="340">
        <v>12</v>
      </c>
      <c r="B11" s="341">
        <v>3181</v>
      </c>
      <c r="C11" s="390" t="s">
        <v>16005</v>
      </c>
      <c r="D11" s="832" t="s">
        <v>15632</v>
      </c>
      <c r="E11" s="833"/>
      <c r="F11" s="833"/>
      <c r="G11" s="833"/>
      <c r="H11" s="835"/>
      <c r="I11" s="398" t="s">
        <v>15633</v>
      </c>
      <c r="J11" s="396"/>
      <c r="K11" s="396"/>
      <c r="L11" s="396"/>
      <c r="M11" s="396"/>
      <c r="N11" s="396"/>
      <c r="O11" s="396"/>
      <c r="P11" s="396"/>
      <c r="Q11" s="396"/>
      <c r="R11" s="399"/>
      <c r="S11" s="400"/>
      <c r="T11" s="400"/>
      <c r="U11" s="396"/>
      <c r="V11" s="397"/>
      <c r="W11" s="343"/>
      <c r="X11" s="325"/>
      <c r="Y11" s="325"/>
      <c r="Z11" s="325"/>
      <c r="AA11" s="325"/>
      <c r="AB11" s="325"/>
      <c r="AC11" s="325"/>
      <c r="AD11" s="325"/>
      <c r="AE11" s="325"/>
      <c r="AF11" s="325"/>
      <c r="AG11" s="325"/>
      <c r="AH11" s="325"/>
      <c r="AI11" s="325"/>
      <c r="AJ11" s="391"/>
      <c r="AK11" s="401"/>
      <c r="AL11" s="402"/>
      <c r="AU11" s="490"/>
      <c r="AV11" s="152"/>
      <c r="AW11" s="387"/>
      <c r="AX11" s="489">
        <f>ROUND(R12*$AU$10,0)</f>
        <v>130</v>
      </c>
      <c r="AY11" s="393"/>
    </row>
    <row r="12" spans="1:51" ht="16.5" customHeight="1" x14ac:dyDescent="0.15">
      <c r="A12" s="340">
        <v>12</v>
      </c>
      <c r="B12" s="341">
        <v>3182</v>
      </c>
      <c r="C12" s="390" t="s">
        <v>16006</v>
      </c>
      <c r="D12" s="832"/>
      <c r="E12" s="833"/>
      <c r="F12" s="833"/>
      <c r="G12" s="833"/>
      <c r="H12" s="835"/>
      <c r="R12" s="836">
        <f>'2重度訪問'!U12</f>
        <v>104</v>
      </c>
      <c r="S12" s="837"/>
      <c r="T12" s="837"/>
      <c r="U12" s="152" t="s">
        <v>15624</v>
      </c>
      <c r="V12" s="387"/>
      <c r="W12" s="343" t="s">
        <v>15625</v>
      </c>
      <c r="X12" s="325"/>
      <c r="Y12" s="325"/>
      <c r="Z12" s="325"/>
      <c r="AA12" s="325"/>
      <c r="AB12" s="325"/>
      <c r="AC12" s="325"/>
      <c r="AD12" s="325"/>
      <c r="AE12" s="325"/>
      <c r="AF12" s="325"/>
      <c r="AG12" s="325"/>
      <c r="AH12" s="325"/>
      <c r="AI12" s="325"/>
      <c r="AJ12" s="391" t="s">
        <v>15626</v>
      </c>
      <c r="AK12" s="838">
        <f>AK10</f>
        <v>1</v>
      </c>
      <c r="AL12" s="839"/>
      <c r="AU12" s="490"/>
      <c r="AV12" s="152"/>
      <c r="AW12" s="387"/>
      <c r="AX12" s="489">
        <f>ROUND(ROUND(R12*AK12,0)*$AU$10,0)</f>
        <v>130</v>
      </c>
      <c r="AY12" s="393"/>
    </row>
    <row r="13" spans="1:51" ht="16.5" customHeight="1" x14ac:dyDescent="0.15">
      <c r="A13" s="287">
        <v>12</v>
      </c>
      <c r="B13" s="287">
        <v>7159</v>
      </c>
      <c r="C13" s="394" t="s">
        <v>16007</v>
      </c>
      <c r="D13" s="403"/>
      <c r="E13" s="404" t="s">
        <v>15636</v>
      </c>
      <c r="F13" s="840">
        <f>'2重度訪問'!$F$13</f>
        <v>1.1499999999999999</v>
      </c>
      <c r="G13" s="841"/>
      <c r="H13" s="842"/>
      <c r="R13" s="395"/>
      <c r="S13" s="151"/>
      <c r="T13" s="151"/>
      <c r="V13" s="387"/>
      <c r="W13" s="343"/>
      <c r="X13" s="343"/>
      <c r="Y13" s="343"/>
      <c r="Z13" s="343"/>
      <c r="AA13" s="343"/>
      <c r="AB13" s="343"/>
      <c r="AC13" s="343"/>
      <c r="AD13" s="343"/>
      <c r="AE13" s="343"/>
      <c r="AF13" s="343"/>
      <c r="AG13" s="343"/>
      <c r="AH13" s="343"/>
      <c r="AI13" s="343"/>
      <c r="AJ13" s="343"/>
      <c r="AK13" s="343"/>
      <c r="AL13" s="343"/>
      <c r="AM13" s="114" t="s">
        <v>15628</v>
      </c>
      <c r="AN13" s="396"/>
      <c r="AO13" s="396"/>
      <c r="AP13" s="396"/>
      <c r="AQ13" s="396"/>
      <c r="AR13" s="396"/>
      <c r="AS13" s="396"/>
      <c r="AT13" s="396"/>
      <c r="AU13" s="490"/>
      <c r="AV13" s="152"/>
      <c r="AW13" s="387"/>
      <c r="AX13" s="489">
        <f>ROUND(ROUND(R12*AS14,0)*$AU$10,0)</f>
        <v>110</v>
      </c>
      <c r="AY13" s="393"/>
    </row>
    <row r="14" spans="1:51" ht="16.5" customHeight="1" x14ac:dyDescent="0.15">
      <c r="A14" s="287">
        <v>12</v>
      </c>
      <c r="B14" s="287">
        <v>7160</v>
      </c>
      <c r="C14" s="394" t="s">
        <v>16008</v>
      </c>
      <c r="D14" s="403"/>
      <c r="E14" s="404"/>
      <c r="F14" s="404"/>
      <c r="G14" s="404"/>
      <c r="H14" s="406"/>
      <c r="R14" s="395"/>
      <c r="S14" s="151"/>
      <c r="T14" s="151"/>
      <c r="V14" s="387"/>
      <c r="W14" s="343" t="s">
        <v>15625</v>
      </c>
      <c r="X14" s="325"/>
      <c r="Y14" s="325"/>
      <c r="Z14" s="325"/>
      <c r="AA14" s="325"/>
      <c r="AB14" s="325"/>
      <c r="AC14" s="325"/>
      <c r="AD14" s="325"/>
      <c r="AE14" s="325"/>
      <c r="AF14" s="325"/>
      <c r="AG14" s="325"/>
      <c r="AH14" s="325"/>
      <c r="AI14" s="325"/>
      <c r="AJ14" s="391" t="s">
        <v>15626</v>
      </c>
      <c r="AK14" s="838">
        <f>AK12</f>
        <v>1</v>
      </c>
      <c r="AL14" s="843"/>
      <c r="AM14" s="324" t="s">
        <v>15630</v>
      </c>
      <c r="AN14" s="325"/>
      <c r="AO14" s="325"/>
      <c r="AP14" s="325"/>
      <c r="AQ14" s="325"/>
      <c r="AR14" s="190" t="s">
        <v>398</v>
      </c>
      <c r="AS14" s="844">
        <f>AS10</f>
        <v>0.85</v>
      </c>
      <c r="AT14" s="844"/>
      <c r="AU14" s="490"/>
      <c r="AV14" s="152"/>
      <c r="AW14" s="387"/>
      <c r="AX14" s="489">
        <f>ROUND(ROUND(ROUND(R12*AK14,0)*AS14,0)*$AU$10,0)</f>
        <v>110</v>
      </c>
      <c r="AY14" s="393"/>
    </row>
    <row r="15" spans="1:51" ht="16.5" customHeight="1" x14ac:dyDescent="0.15">
      <c r="A15" s="340">
        <v>12</v>
      </c>
      <c r="B15" s="341">
        <v>3391</v>
      </c>
      <c r="C15" s="390" t="s">
        <v>16009</v>
      </c>
      <c r="D15" s="403"/>
      <c r="E15" s="404"/>
      <c r="F15" s="404"/>
      <c r="G15" s="404"/>
      <c r="H15" s="406"/>
      <c r="I15" s="253" t="s">
        <v>15639</v>
      </c>
      <c r="J15" s="396"/>
      <c r="K15" s="396"/>
      <c r="L15" s="396"/>
      <c r="M15" s="396"/>
      <c r="N15" s="396"/>
      <c r="O15" s="396"/>
      <c r="P15" s="396"/>
      <c r="Q15" s="396"/>
      <c r="R15" s="399"/>
      <c r="S15" s="400"/>
      <c r="T15" s="400"/>
      <c r="U15" s="396"/>
      <c r="V15" s="397"/>
      <c r="W15" s="343"/>
      <c r="X15" s="325"/>
      <c r="Y15" s="325"/>
      <c r="Z15" s="325"/>
      <c r="AA15" s="325"/>
      <c r="AB15" s="325"/>
      <c r="AC15" s="325"/>
      <c r="AD15" s="325"/>
      <c r="AE15" s="325"/>
      <c r="AF15" s="325"/>
      <c r="AG15" s="325"/>
      <c r="AH15" s="325"/>
      <c r="AI15" s="325"/>
      <c r="AJ15" s="391"/>
      <c r="AK15" s="401"/>
      <c r="AL15" s="402"/>
      <c r="AM15" s="396"/>
      <c r="AN15" s="396"/>
      <c r="AO15" s="396"/>
      <c r="AP15" s="396"/>
      <c r="AQ15" s="396"/>
      <c r="AR15" s="396"/>
      <c r="AS15" s="396"/>
      <c r="AT15" s="396"/>
      <c r="AU15" s="490"/>
      <c r="AV15" s="152"/>
      <c r="AW15" s="387"/>
      <c r="AX15" s="489">
        <f>ROUND(R16*$AU$10,0)</f>
        <v>133</v>
      </c>
      <c r="AY15" s="393"/>
    </row>
    <row r="16" spans="1:51" ht="16.5" customHeight="1" x14ac:dyDescent="0.15">
      <c r="A16" s="340">
        <v>12</v>
      </c>
      <c r="B16" s="341">
        <v>3392</v>
      </c>
      <c r="C16" s="390" t="s">
        <v>16010</v>
      </c>
      <c r="D16" s="403"/>
      <c r="E16" s="404"/>
      <c r="F16" s="404"/>
      <c r="G16" s="404"/>
      <c r="H16" s="406"/>
      <c r="R16" s="836">
        <f>'2重度訪問'!U16</f>
        <v>106</v>
      </c>
      <c r="S16" s="837"/>
      <c r="T16" s="837"/>
      <c r="U16" s="152" t="s">
        <v>15624</v>
      </c>
      <c r="V16" s="387"/>
      <c r="W16" s="343" t="s">
        <v>15625</v>
      </c>
      <c r="X16" s="325"/>
      <c r="Y16" s="325"/>
      <c r="Z16" s="325"/>
      <c r="AA16" s="325"/>
      <c r="AB16" s="325"/>
      <c r="AC16" s="325"/>
      <c r="AD16" s="325"/>
      <c r="AE16" s="325"/>
      <c r="AF16" s="325"/>
      <c r="AG16" s="325"/>
      <c r="AH16" s="325"/>
      <c r="AI16" s="325"/>
      <c r="AJ16" s="391" t="s">
        <v>15626</v>
      </c>
      <c r="AK16" s="838">
        <f>AK14</f>
        <v>1</v>
      </c>
      <c r="AL16" s="839"/>
      <c r="AM16" s="325"/>
      <c r="AN16" s="325"/>
      <c r="AO16" s="325"/>
      <c r="AP16" s="325"/>
      <c r="AQ16" s="325"/>
      <c r="AR16" s="325"/>
      <c r="AS16" s="325"/>
      <c r="AT16" s="325"/>
      <c r="AU16" s="490"/>
      <c r="AV16" s="152"/>
      <c r="AW16" s="387"/>
      <c r="AX16" s="489">
        <f>ROUND(ROUND(R16*AK16,0)*$AU$10,0)</f>
        <v>133</v>
      </c>
      <c r="AY16" s="393"/>
    </row>
    <row r="17" spans="1:51" ht="16.5" customHeight="1" x14ac:dyDescent="0.15">
      <c r="A17" s="287">
        <v>12</v>
      </c>
      <c r="B17" s="287">
        <v>7161</v>
      </c>
      <c r="C17" s="394" t="s">
        <v>16011</v>
      </c>
      <c r="D17" s="403"/>
      <c r="E17" s="404"/>
      <c r="F17" s="404"/>
      <c r="G17" s="404"/>
      <c r="H17" s="406"/>
      <c r="R17" s="395"/>
      <c r="S17" s="151"/>
      <c r="T17" s="151"/>
      <c r="V17" s="387"/>
      <c r="W17" s="343"/>
      <c r="X17" s="343"/>
      <c r="Y17" s="343"/>
      <c r="Z17" s="343"/>
      <c r="AA17" s="343"/>
      <c r="AB17" s="343"/>
      <c r="AC17" s="343"/>
      <c r="AD17" s="343"/>
      <c r="AE17" s="343"/>
      <c r="AF17" s="343"/>
      <c r="AG17" s="343"/>
      <c r="AH17" s="343"/>
      <c r="AI17" s="343"/>
      <c r="AJ17" s="343"/>
      <c r="AK17" s="343"/>
      <c r="AL17" s="343"/>
      <c r="AM17" s="114" t="s">
        <v>15628</v>
      </c>
      <c r="AN17" s="396"/>
      <c r="AO17" s="396"/>
      <c r="AP17" s="396"/>
      <c r="AQ17" s="396"/>
      <c r="AR17" s="396"/>
      <c r="AS17" s="396"/>
      <c r="AT17" s="396"/>
      <c r="AU17" s="490"/>
      <c r="AV17" s="152"/>
      <c r="AW17" s="387"/>
      <c r="AX17" s="489">
        <f>ROUND(ROUND(R16*AS18,0)*$AU$10,0)</f>
        <v>113</v>
      </c>
      <c r="AY17" s="393"/>
    </row>
    <row r="18" spans="1:51" ht="16.5" customHeight="1" x14ac:dyDescent="0.15">
      <c r="A18" s="287">
        <v>12</v>
      </c>
      <c r="B18" s="287">
        <v>7162</v>
      </c>
      <c r="C18" s="394" t="s">
        <v>16012</v>
      </c>
      <c r="D18" s="403"/>
      <c r="E18" s="404"/>
      <c r="F18" s="404"/>
      <c r="G18" s="404"/>
      <c r="H18" s="406"/>
      <c r="R18" s="395"/>
      <c r="S18" s="151"/>
      <c r="T18" s="151"/>
      <c r="V18" s="387"/>
      <c r="W18" s="343" t="s">
        <v>15625</v>
      </c>
      <c r="X18" s="325"/>
      <c r="Y18" s="325"/>
      <c r="Z18" s="325"/>
      <c r="AA18" s="325"/>
      <c r="AB18" s="325"/>
      <c r="AC18" s="325"/>
      <c r="AD18" s="325"/>
      <c r="AE18" s="325"/>
      <c r="AF18" s="325"/>
      <c r="AG18" s="325"/>
      <c r="AH18" s="325"/>
      <c r="AI18" s="325"/>
      <c r="AJ18" s="391" t="s">
        <v>15626</v>
      </c>
      <c r="AK18" s="838">
        <f>AK16</f>
        <v>1</v>
      </c>
      <c r="AL18" s="843"/>
      <c r="AM18" s="324" t="s">
        <v>15630</v>
      </c>
      <c r="AN18" s="325"/>
      <c r="AO18" s="325"/>
      <c r="AP18" s="325"/>
      <c r="AQ18" s="325"/>
      <c r="AR18" s="190" t="s">
        <v>398</v>
      </c>
      <c r="AS18" s="844">
        <f>AS14</f>
        <v>0.85</v>
      </c>
      <c r="AT18" s="844"/>
      <c r="AU18" s="490"/>
      <c r="AV18" s="152"/>
      <c r="AW18" s="387"/>
      <c r="AX18" s="489">
        <f>ROUND(ROUND(ROUND(R16*AK18,0)*AS18,0)*$AU$10,0)</f>
        <v>113</v>
      </c>
      <c r="AY18" s="393"/>
    </row>
    <row r="19" spans="1:51" ht="16.5" customHeight="1" x14ac:dyDescent="0.15">
      <c r="A19" s="340">
        <v>12</v>
      </c>
      <c r="B19" s="341">
        <v>3401</v>
      </c>
      <c r="C19" s="390" t="s">
        <v>16013</v>
      </c>
      <c r="D19" s="403"/>
      <c r="E19" s="404"/>
      <c r="F19" s="404"/>
      <c r="G19" s="404"/>
      <c r="H19" s="406"/>
      <c r="I19" s="253" t="s">
        <v>15644</v>
      </c>
      <c r="J19" s="396"/>
      <c r="K19" s="396"/>
      <c r="L19" s="396"/>
      <c r="M19" s="396"/>
      <c r="N19" s="396"/>
      <c r="O19" s="396"/>
      <c r="P19" s="396"/>
      <c r="Q19" s="396"/>
      <c r="R19" s="399"/>
      <c r="S19" s="400"/>
      <c r="T19" s="400"/>
      <c r="U19" s="396"/>
      <c r="V19" s="397"/>
      <c r="W19" s="343"/>
      <c r="X19" s="325"/>
      <c r="Y19" s="325"/>
      <c r="Z19" s="325"/>
      <c r="AA19" s="325"/>
      <c r="AB19" s="325"/>
      <c r="AC19" s="325"/>
      <c r="AD19" s="325"/>
      <c r="AE19" s="325"/>
      <c r="AF19" s="325"/>
      <c r="AG19" s="325"/>
      <c r="AH19" s="325"/>
      <c r="AI19" s="325"/>
      <c r="AJ19" s="391"/>
      <c r="AK19" s="401"/>
      <c r="AL19" s="402"/>
      <c r="AM19" s="396"/>
      <c r="AN19" s="396"/>
      <c r="AO19" s="396"/>
      <c r="AP19" s="396"/>
      <c r="AQ19" s="396"/>
      <c r="AR19" s="396"/>
      <c r="AS19" s="396"/>
      <c r="AT19" s="396"/>
      <c r="AU19" s="490"/>
      <c r="AV19" s="152"/>
      <c r="AW19" s="387"/>
      <c r="AX19" s="489">
        <f>ROUND(R20*$AU$10,0)</f>
        <v>131</v>
      </c>
      <c r="AY19" s="393"/>
    </row>
    <row r="20" spans="1:51" ht="16.5" customHeight="1" x14ac:dyDescent="0.15">
      <c r="A20" s="340">
        <v>12</v>
      </c>
      <c r="B20" s="341">
        <v>3402</v>
      </c>
      <c r="C20" s="390" t="s">
        <v>16014</v>
      </c>
      <c r="D20" s="403"/>
      <c r="E20" s="404"/>
      <c r="F20" s="404"/>
      <c r="G20" s="404"/>
      <c r="H20" s="406"/>
      <c r="R20" s="836">
        <f>'2重度訪問'!U20</f>
        <v>105</v>
      </c>
      <c r="S20" s="837"/>
      <c r="T20" s="837"/>
      <c r="U20" s="152" t="s">
        <v>15624</v>
      </c>
      <c r="V20" s="387"/>
      <c r="W20" s="343" t="s">
        <v>15625</v>
      </c>
      <c r="X20" s="325"/>
      <c r="Y20" s="325"/>
      <c r="Z20" s="325"/>
      <c r="AA20" s="325"/>
      <c r="AB20" s="325"/>
      <c r="AC20" s="325"/>
      <c r="AD20" s="325"/>
      <c r="AE20" s="325"/>
      <c r="AF20" s="325"/>
      <c r="AG20" s="325"/>
      <c r="AH20" s="325"/>
      <c r="AI20" s="325"/>
      <c r="AJ20" s="391" t="s">
        <v>15626</v>
      </c>
      <c r="AK20" s="838">
        <f>AK18</f>
        <v>1</v>
      </c>
      <c r="AL20" s="839"/>
      <c r="AM20" s="325"/>
      <c r="AN20" s="325"/>
      <c r="AO20" s="325"/>
      <c r="AP20" s="325"/>
      <c r="AQ20" s="325"/>
      <c r="AR20" s="325"/>
      <c r="AS20" s="325"/>
      <c r="AT20" s="325"/>
      <c r="AU20" s="490"/>
      <c r="AV20" s="152"/>
      <c r="AW20" s="387"/>
      <c r="AX20" s="489">
        <f>ROUND(ROUND(R20*AK20,0)*$AU$10,0)</f>
        <v>131</v>
      </c>
      <c r="AY20" s="393"/>
    </row>
    <row r="21" spans="1:51" ht="16.5" customHeight="1" x14ac:dyDescent="0.15">
      <c r="A21" s="287">
        <v>12</v>
      </c>
      <c r="B21" s="287">
        <v>7163</v>
      </c>
      <c r="C21" s="394" t="s">
        <v>16015</v>
      </c>
      <c r="D21" s="403"/>
      <c r="E21" s="404"/>
      <c r="F21" s="404"/>
      <c r="G21" s="404"/>
      <c r="H21" s="406"/>
      <c r="R21" s="395"/>
      <c r="S21" s="151"/>
      <c r="T21" s="151"/>
      <c r="V21" s="387"/>
      <c r="W21" s="343"/>
      <c r="X21" s="343"/>
      <c r="Y21" s="343"/>
      <c r="Z21" s="343"/>
      <c r="AA21" s="343"/>
      <c r="AB21" s="343"/>
      <c r="AC21" s="343"/>
      <c r="AD21" s="343"/>
      <c r="AE21" s="343"/>
      <c r="AF21" s="343"/>
      <c r="AG21" s="343"/>
      <c r="AH21" s="343"/>
      <c r="AI21" s="343"/>
      <c r="AJ21" s="343"/>
      <c r="AK21" s="343"/>
      <c r="AL21" s="343"/>
      <c r="AM21" s="114" t="s">
        <v>15628</v>
      </c>
      <c r="AN21" s="396"/>
      <c r="AO21" s="396"/>
      <c r="AP21" s="396"/>
      <c r="AQ21" s="396"/>
      <c r="AR21" s="396"/>
      <c r="AS21" s="396"/>
      <c r="AT21" s="396"/>
      <c r="AU21" s="490"/>
      <c r="AV21" s="152"/>
      <c r="AW21" s="387"/>
      <c r="AX21" s="489">
        <f>ROUND(ROUND(R20*AS22,0)*$AU$10,0)</f>
        <v>111</v>
      </c>
      <c r="AY21" s="393"/>
    </row>
    <row r="22" spans="1:51" ht="16.5" customHeight="1" x14ac:dyDescent="0.15">
      <c r="A22" s="287">
        <v>12</v>
      </c>
      <c r="B22" s="287">
        <v>7164</v>
      </c>
      <c r="C22" s="394" t="s">
        <v>16016</v>
      </c>
      <c r="D22" s="403"/>
      <c r="E22" s="404"/>
      <c r="F22" s="404"/>
      <c r="G22" s="404"/>
      <c r="H22" s="406"/>
      <c r="R22" s="395"/>
      <c r="S22" s="151"/>
      <c r="T22" s="151"/>
      <c r="V22" s="387"/>
      <c r="W22" s="343" t="s">
        <v>15625</v>
      </c>
      <c r="X22" s="325"/>
      <c r="Y22" s="325"/>
      <c r="Z22" s="325"/>
      <c r="AA22" s="325"/>
      <c r="AB22" s="325"/>
      <c r="AC22" s="325"/>
      <c r="AD22" s="325"/>
      <c r="AE22" s="325"/>
      <c r="AF22" s="325"/>
      <c r="AG22" s="325"/>
      <c r="AH22" s="325"/>
      <c r="AI22" s="325"/>
      <c r="AJ22" s="391" t="s">
        <v>15626</v>
      </c>
      <c r="AK22" s="838">
        <f>AK20</f>
        <v>1</v>
      </c>
      <c r="AL22" s="843"/>
      <c r="AM22" s="324" t="s">
        <v>15630</v>
      </c>
      <c r="AN22" s="325"/>
      <c r="AO22" s="325"/>
      <c r="AP22" s="325"/>
      <c r="AQ22" s="325"/>
      <c r="AR22" s="190" t="s">
        <v>398</v>
      </c>
      <c r="AS22" s="844">
        <f>AS18</f>
        <v>0.85</v>
      </c>
      <c r="AT22" s="844"/>
      <c r="AU22" s="490"/>
      <c r="AV22" s="152"/>
      <c r="AW22" s="387"/>
      <c r="AX22" s="489">
        <f>ROUND(ROUND(ROUND(R20*AK22,0)*AS22,0)*$AU$10,0)</f>
        <v>111</v>
      </c>
      <c r="AY22" s="393"/>
    </row>
    <row r="23" spans="1:51" ht="16.5" customHeight="1" x14ac:dyDescent="0.15">
      <c r="A23" s="340">
        <v>12</v>
      </c>
      <c r="B23" s="341">
        <v>3411</v>
      </c>
      <c r="C23" s="390" t="s">
        <v>16017</v>
      </c>
      <c r="D23" s="403"/>
      <c r="E23" s="404"/>
      <c r="F23" s="404"/>
      <c r="G23" s="404"/>
      <c r="H23" s="406"/>
      <c r="I23" s="253" t="s">
        <v>15649</v>
      </c>
      <c r="J23" s="396"/>
      <c r="K23" s="396"/>
      <c r="L23" s="396"/>
      <c r="M23" s="396"/>
      <c r="N23" s="396"/>
      <c r="O23" s="396"/>
      <c r="P23" s="396"/>
      <c r="Q23" s="396"/>
      <c r="R23" s="399"/>
      <c r="S23" s="400"/>
      <c r="T23" s="400"/>
      <c r="U23" s="396"/>
      <c r="V23" s="397"/>
      <c r="W23" s="343"/>
      <c r="X23" s="325"/>
      <c r="Y23" s="325"/>
      <c r="Z23" s="325"/>
      <c r="AA23" s="325"/>
      <c r="AB23" s="325"/>
      <c r="AC23" s="325"/>
      <c r="AD23" s="325"/>
      <c r="AE23" s="325"/>
      <c r="AF23" s="325"/>
      <c r="AG23" s="325"/>
      <c r="AH23" s="325"/>
      <c r="AI23" s="325"/>
      <c r="AJ23" s="391"/>
      <c r="AK23" s="401"/>
      <c r="AL23" s="402"/>
      <c r="AM23" s="396"/>
      <c r="AN23" s="396"/>
      <c r="AO23" s="396"/>
      <c r="AP23" s="396"/>
      <c r="AQ23" s="396"/>
      <c r="AR23" s="396"/>
      <c r="AS23" s="396"/>
      <c r="AT23" s="396"/>
      <c r="AU23" s="490"/>
      <c r="AV23" s="152"/>
      <c r="AW23" s="387"/>
      <c r="AX23" s="489">
        <f>ROUND(R24*$AU$10,0)</f>
        <v>133</v>
      </c>
      <c r="AY23" s="393"/>
    </row>
    <row r="24" spans="1:51" ht="16.5" customHeight="1" x14ac:dyDescent="0.15">
      <c r="A24" s="340">
        <v>12</v>
      </c>
      <c r="B24" s="341">
        <v>3412</v>
      </c>
      <c r="C24" s="390" t="s">
        <v>16018</v>
      </c>
      <c r="D24" s="403"/>
      <c r="E24" s="404"/>
      <c r="F24" s="404"/>
      <c r="G24" s="404"/>
      <c r="H24" s="406"/>
      <c r="R24" s="836">
        <f>'2重度訪問'!U24</f>
        <v>106</v>
      </c>
      <c r="S24" s="837"/>
      <c r="T24" s="837"/>
      <c r="U24" s="152" t="s">
        <v>15624</v>
      </c>
      <c r="V24" s="387"/>
      <c r="W24" s="343" t="s">
        <v>15625</v>
      </c>
      <c r="X24" s="325"/>
      <c r="Y24" s="325"/>
      <c r="Z24" s="325"/>
      <c r="AA24" s="325"/>
      <c r="AB24" s="325"/>
      <c r="AC24" s="325"/>
      <c r="AD24" s="325"/>
      <c r="AE24" s="325"/>
      <c r="AF24" s="325"/>
      <c r="AG24" s="325"/>
      <c r="AH24" s="325"/>
      <c r="AI24" s="325"/>
      <c r="AJ24" s="391" t="s">
        <v>15626</v>
      </c>
      <c r="AK24" s="838">
        <f>AK22</f>
        <v>1</v>
      </c>
      <c r="AL24" s="839"/>
      <c r="AM24" s="325"/>
      <c r="AN24" s="325"/>
      <c r="AO24" s="325"/>
      <c r="AP24" s="325"/>
      <c r="AQ24" s="325"/>
      <c r="AR24" s="325"/>
      <c r="AS24" s="325"/>
      <c r="AT24" s="325"/>
      <c r="AU24" s="490"/>
      <c r="AV24" s="152"/>
      <c r="AW24" s="387"/>
      <c r="AX24" s="489">
        <f>ROUND(ROUND(R24*AK24,0)*$AU$10,0)</f>
        <v>133</v>
      </c>
      <c r="AY24" s="393"/>
    </row>
    <row r="25" spans="1:51" ht="16.5" customHeight="1" x14ac:dyDescent="0.15">
      <c r="A25" s="340">
        <v>12</v>
      </c>
      <c r="B25" s="341">
        <v>7165</v>
      </c>
      <c r="C25" s="390" t="s">
        <v>16019</v>
      </c>
      <c r="D25" s="403"/>
      <c r="E25" s="404"/>
      <c r="F25" s="404"/>
      <c r="G25" s="404"/>
      <c r="H25" s="406"/>
      <c r="R25" s="395"/>
      <c r="S25" s="151"/>
      <c r="T25" s="151"/>
      <c r="V25" s="387"/>
      <c r="W25" s="343"/>
      <c r="X25" s="343"/>
      <c r="Y25" s="343"/>
      <c r="Z25" s="343"/>
      <c r="AA25" s="343"/>
      <c r="AB25" s="343"/>
      <c r="AC25" s="343"/>
      <c r="AD25" s="343"/>
      <c r="AE25" s="343"/>
      <c r="AF25" s="343"/>
      <c r="AG25" s="343"/>
      <c r="AH25" s="343"/>
      <c r="AI25" s="343"/>
      <c r="AJ25" s="343"/>
      <c r="AK25" s="343"/>
      <c r="AL25" s="343"/>
      <c r="AM25" s="114" t="s">
        <v>15628</v>
      </c>
      <c r="AN25" s="396"/>
      <c r="AO25" s="396"/>
      <c r="AP25" s="396"/>
      <c r="AQ25" s="396"/>
      <c r="AR25" s="396"/>
      <c r="AS25" s="396"/>
      <c r="AT25" s="396"/>
      <c r="AU25" s="490"/>
      <c r="AV25" s="152"/>
      <c r="AW25" s="387"/>
      <c r="AX25" s="489">
        <f>ROUND(ROUND(R24*AS26,0)*$AU$10,0)</f>
        <v>113</v>
      </c>
      <c r="AY25" s="393"/>
    </row>
    <row r="26" spans="1:51" ht="16.5" customHeight="1" x14ac:dyDescent="0.15">
      <c r="A26" s="340">
        <v>12</v>
      </c>
      <c r="B26" s="341">
        <v>7166</v>
      </c>
      <c r="C26" s="390" t="s">
        <v>16020</v>
      </c>
      <c r="D26" s="403"/>
      <c r="E26" s="404"/>
      <c r="F26" s="404"/>
      <c r="G26" s="404"/>
      <c r="H26" s="406"/>
      <c r="R26" s="395"/>
      <c r="S26" s="151"/>
      <c r="T26" s="151"/>
      <c r="V26" s="387"/>
      <c r="W26" s="343" t="s">
        <v>15625</v>
      </c>
      <c r="X26" s="325"/>
      <c r="Y26" s="325"/>
      <c r="Z26" s="325"/>
      <c r="AA26" s="325"/>
      <c r="AB26" s="325"/>
      <c r="AC26" s="325"/>
      <c r="AD26" s="325"/>
      <c r="AE26" s="325"/>
      <c r="AF26" s="325"/>
      <c r="AG26" s="325"/>
      <c r="AH26" s="325"/>
      <c r="AI26" s="325"/>
      <c r="AJ26" s="391" t="s">
        <v>15626</v>
      </c>
      <c r="AK26" s="838">
        <f>AK24</f>
        <v>1</v>
      </c>
      <c r="AL26" s="843"/>
      <c r="AM26" s="324" t="s">
        <v>15630</v>
      </c>
      <c r="AN26" s="325"/>
      <c r="AO26" s="325"/>
      <c r="AP26" s="325"/>
      <c r="AQ26" s="325"/>
      <c r="AR26" s="190" t="s">
        <v>398</v>
      </c>
      <c r="AS26" s="844">
        <f>AS22</f>
        <v>0.85</v>
      </c>
      <c r="AT26" s="844"/>
      <c r="AU26" s="490"/>
      <c r="AV26" s="152"/>
      <c r="AW26" s="387"/>
      <c r="AX26" s="489">
        <f>ROUND(ROUND(ROUND(R24*AK26,0)*AS26,0)*$AU$10,0)</f>
        <v>113</v>
      </c>
      <c r="AY26" s="393"/>
    </row>
    <row r="27" spans="1:51" ht="16.5" customHeight="1" x14ac:dyDescent="0.15">
      <c r="A27" s="340">
        <v>12</v>
      </c>
      <c r="B27" s="341">
        <v>3421</v>
      </c>
      <c r="C27" s="390" t="s">
        <v>16021</v>
      </c>
      <c r="D27" s="403"/>
      <c r="E27" s="404"/>
      <c r="F27" s="404"/>
      <c r="G27" s="404"/>
      <c r="H27" s="406"/>
      <c r="I27" s="253" t="s">
        <v>15654</v>
      </c>
      <c r="J27" s="396"/>
      <c r="K27" s="396"/>
      <c r="L27" s="396"/>
      <c r="M27" s="396"/>
      <c r="N27" s="396"/>
      <c r="O27" s="396"/>
      <c r="P27" s="396"/>
      <c r="Q27" s="396"/>
      <c r="R27" s="399"/>
      <c r="S27" s="400"/>
      <c r="T27" s="400"/>
      <c r="U27" s="396"/>
      <c r="V27" s="397"/>
      <c r="W27" s="343"/>
      <c r="X27" s="325"/>
      <c r="Y27" s="325"/>
      <c r="Z27" s="325"/>
      <c r="AA27" s="325"/>
      <c r="AB27" s="325"/>
      <c r="AC27" s="325"/>
      <c r="AD27" s="325"/>
      <c r="AE27" s="325"/>
      <c r="AF27" s="325"/>
      <c r="AG27" s="325"/>
      <c r="AH27" s="325"/>
      <c r="AI27" s="325"/>
      <c r="AJ27" s="391"/>
      <c r="AK27" s="401"/>
      <c r="AL27" s="402"/>
      <c r="AM27" s="396"/>
      <c r="AN27" s="396"/>
      <c r="AO27" s="396"/>
      <c r="AP27" s="396"/>
      <c r="AQ27" s="396"/>
      <c r="AR27" s="396"/>
      <c r="AS27" s="396"/>
      <c r="AT27" s="396"/>
      <c r="AU27" s="490"/>
      <c r="AV27" s="152"/>
      <c r="AW27" s="387"/>
      <c r="AX27" s="489">
        <f>ROUND(R28*$AU$10,0)</f>
        <v>130</v>
      </c>
      <c r="AY27" s="393"/>
    </row>
    <row r="28" spans="1:51" ht="16.5" customHeight="1" x14ac:dyDescent="0.15">
      <c r="A28" s="340">
        <v>12</v>
      </c>
      <c r="B28" s="341">
        <v>3422</v>
      </c>
      <c r="C28" s="390" t="s">
        <v>16022</v>
      </c>
      <c r="D28" s="403"/>
      <c r="E28" s="404"/>
      <c r="F28" s="404"/>
      <c r="G28" s="404"/>
      <c r="H28" s="406"/>
      <c r="R28" s="836">
        <f>'2重度訪問'!U28</f>
        <v>104</v>
      </c>
      <c r="S28" s="837"/>
      <c r="T28" s="837"/>
      <c r="U28" s="152" t="s">
        <v>15624</v>
      </c>
      <c r="V28" s="387"/>
      <c r="W28" s="343" t="s">
        <v>15625</v>
      </c>
      <c r="X28" s="325"/>
      <c r="Y28" s="325"/>
      <c r="Z28" s="325"/>
      <c r="AA28" s="325"/>
      <c r="AB28" s="325"/>
      <c r="AC28" s="325"/>
      <c r="AD28" s="325"/>
      <c r="AE28" s="325"/>
      <c r="AF28" s="325"/>
      <c r="AG28" s="325"/>
      <c r="AH28" s="325"/>
      <c r="AI28" s="325"/>
      <c r="AJ28" s="391" t="s">
        <v>15626</v>
      </c>
      <c r="AK28" s="838">
        <f>AK26</f>
        <v>1</v>
      </c>
      <c r="AL28" s="839"/>
      <c r="AM28" s="325"/>
      <c r="AN28" s="325"/>
      <c r="AO28" s="325"/>
      <c r="AP28" s="325"/>
      <c r="AQ28" s="325"/>
      <c r="AR28" s="325"/>
      <c r="AS28" s="325"/>
      <c r="AT28" s="325"/>
      <c r="AU28" s="490"/>
      <c r="AV28" s="152"/>
      <c r="AW28" s="387"/>
      <c r="AX28" s="489">
        <f>ROUND(ROUND(R28*AK28,0)*$AU$10,0)</f>
        <v>130</v>
      </c>
      <c r="AY28" s="393"/>
    </row>
    <row r="29" spans="1:51" ht="16.5" customHeight="1" x14ac:dyDescent="0.15">
      <c r="A29" s="340">
        <v>12</v>
      </c>
      <c r="B29" s="341">
        <v>7167</v>
      </c>
      <c r="C29" s="390" t="s">
        <v>16023</v>
      </c>
      <c r="D29" s="403"/>
      <c r="E29" s="404"/>
      <c r="F29" s="404"/>
      <c r="G29" s="404"/>
      <c r="H29" s="406"/>
      <c r="R29" s="395"/>
      <c r="S29" s="151"/>
      <c r="T29" s="151"/>
      <c r="V29" s="387"/>
      <c r="W29" s="343"/>
      <c r="X29" s="343"/>
      <c r="Y29" s="343"/>
      <c r="Z29" s="343"/>
      <c r="AA29" s="343"/>
      <c r="AB29" s="343"/>
      <c r="AC29" s="343"/>
      <c r="AD29" s="343"/>
      <c r="AE29" s="343"/>
      <c r="AF29" s="343"/>
      <c r="AG29" s="343"/>
      <c r="AH29" s="343"/>
      <c r="AI29" s="343"/>
      <c r="AJ29" s="343"/>
      <c r="AK29" s="343"/>
      <c r="AL29" s="343"/>
      <c r="AM29" s="114" t="s">
        <v>15628</v>
      </c>
      <c r="AN29" s="396"/>
      <c r="AO29" s="396"/>
      <c r="AP29" s="396"/>
      <c r="AQ29" s="396"/>
      <c r="AR29" s="396"/>
      <c r="AS29" s="396"/>
      <c r="AT29" s="396"/>
      <c r="AU29" s="490"/>
      <c r="AV29" s="152"/>
      <c r="AW29" s="387"/>
      <c r="AX29" s="489">
        <f>ROUND(ROUND(R28*AS30,0)*$AU$10,0)</f>
        <v>110</v>
      </c>
      <c r="AY29" s="393"/>
    </row>
    <row r="30" spans="1:51" ht="16.5" customHeight="1" x14ac:dyDescent="0.15">
      <c r="A30" s="340">
        <v>12</v>
      </c>
      <c r="B30" s="341">
        <v>7168</v>
      </c>
      <c r="C30" s="390" t="s">
        <v>16024</v>
      </c>
      <c r="D30" s="403"/>
      <c r="E30" s="404"/>
      <c r="F30" s="404"/>
      <c r="G30" s="404"/>
      <c r="H30" s="406"/>
      <c r="R30" s="395"/>
      <c r="S30" s="151"/>
      <c r="T30" s="151"/>
      <c r="V30" s="387"/>
      <c r="W30" s="343" t="s">
        <v>15625</v>
      </c>
      <c r="X30" s="325"/>
      <c r="Y30" s="325"/>
      <c r="Z30" s="325"/>
      <c r="AA30" s="325"/>
      <c r="AB30" s="325"/>
      <c r="AC30" s="325"/>
      <c r="AD30" s="325"/>
      <c r="AE30" s="325"/>
      <c r="AF30" s="325"/>
      <c r="AG30" s="325"/>
      <c r="AH30" s="325"/>
      <c r="AI30" s="325"/>
      <c r="AJ30" s="391" t="s">
        <v>15626</v>
      </c>
      <c r="AK30" s="838">
        <f>AK28</f>
        <v>1</v>
      </c>
      <c r="AL30" s="843"/>
      <c r="AM30" s="324" t="s">
        <v>15630</v>
      </c>
      <c r="AN30" s="325"/>
      <c r="AO30" s="325"/>
      <c r="AP30" s="325"/>
      <c r="AQ30" s="325"/>
      <c r="AR30" s="190" t="s">
        <v>398</v>
      </c>
      <c r="AS30" s="844">
        <f>AS26</f>
        <v>0.85</v>
      </c>
      <c r="AT30" s="844"/>
      <c r="AU30" s="490"/>
      <c r="AV30" s="152"/>
      <c r="AW30" s="387"/>
      <c r="AX30" s="489">
        <f>ROUND(ROUND(ROUND(R28*AK30,0)*AS30,0)*$AU$10,0)</f>
        <v>110</v>
      </c>
      <c r="AY30" s="393"/>
    </row>
    <row r="31" spans="1:51" ht="16.5" customHeight="1" x14ac:dyDescent="0.15">
      <c r="A31" s="340">
        <v>12</v>
      </c>
      <c r="B31" s="341">
        <v>3431</v>
      </c>
      <c r="C31" s="390" t="s">
        <v>16025</v>
      </c>
      <c r="D31" s="403"/>
      <c r="E31" s="404"/>
      <c r="F31" s="404"/>
      <c r="G31" s="404"/>
      <c r="H31" s="406"/>
      <c r="I31" s="253" t="s">
        <v>15659</v>
      </c>
      <c r="J31" s="396"/>
      <c r="K31" s="396"/>
      <c r="L31" s="396"/>
      <c r="M31" s="396"/>
      <c r="N31" s="396"/>
      <c r="O31" s="396"/>
      <c r="P31" s="396"/>
      <c r="Q31" s="396"/>
      <c r="R31" s="399"/>
      <c r="S31" s="400"/>
      <c r="T31" s="400"/>
      <c r="U31" s="396"/>
      <c r="V31" s="397"/>
      <c r="W31" s="343"/>
      <c r="X31" s="325"/>
      <c r="Y31" s="325"/>
      <c r="Z31" s="325"/>
      <c r="AA31" s="325"/>
      <c r="AB31" s="325"/>
      <c r="AC31" s="325"/>
      <c r="AD31" s="325"/>
      <c r="AE31" s="325"/>
      <c r="AF31" s="325"/>
      <c r="AG31" s="325"/>
      <c r="AH31" s="325"/>
      <c r="AI31" s="325"/>
      <c r="AJ31" s="391"/>
      <c r="AK31" s="401"/>
      <c r="AL31" s="402"/>
      <c r="AM31" s="396"/>
      <c r="AN31" s="396"/>
      <c r="AO31" s="396"/>
      <c r="AP31" s="396"/>
      <c r="AQ31" s="396"/>
      <c r="AR31" s="396"/>
      <c r="AS31" s="396"/>
      <c r="AT31" s="396"/>
      <c r="AU31" s="490"/>
      <c r="AV31" s="152"/>
      <c r="AW31" s="387"/>
      <c r="AX31" s="489">
        <f>ROUND(R32*$AU$10,0)</f>
        <v>133</v>
      </c>
      <c r="AY31" s="393"/>
    </row>
    <row r="32" spans="1:51" ht="16.5" customHeight="1" x14ac:dyDescent="0.15">
      <c r="A32" s="340">
        <v>12</v>
      </c>
      <c r="B32" s="341">
        <v>3432</v>
      </c>
      <c r="C32" s="390" t="s">
        <v>16026</v>
      </c>
      <c r="D32" s="403"/>
      <c r="E32" s="404"/>
      <c r="F32" s="404"/>
      <c r="G32" s="404"/>
      <c r="H32" s="406"/>
      <c r="R32" s="836">
        <f>'2重度訪問'!U32</f>
        <v>106</v>
      </c>
      <c r="S32" s="837"/>
      <c r="T32" s="837"/>
      <c r="U32" s="152" t="s">
        <v>15624</v>
      </c>
      <c r="V32" s="387"/>
      <c r="W32" s="343" t="s">
        <v>15625</v>
      </c>
      <c r="X32" s="325"/>
      <c r="Y32" s="325"/>
      <c r="Z32" s="325"/>
      <c r="AA32" s="325"/>
      <c r="AB32" s="325"/>
      <c r="AC32" s="325"/>
      <c r="AD32" s="325"/>
      <c r="AE32" s="325"/>
      <c r="AF32" s="325"/>
      <c r="AG32" s="325"/>
      <c r="AH32" s="325"/>
      <c r="AI32" s="325"/>
      <c r="AJ32" s="391" t="s">
        <v>15626</v>
      </c>
      <c r="AK32" s="838">
        <f>AK30</f>
        <v>1</v>
      </c>
      <c r="AL32" s="839"/>
      <c r="AM32" s="325"/>
      <c r="AN32" s="325"/>
      <c r="AO32" s="325"/>
      <c r="AP32" s="325"/>
      <c r="AQ32" s="325"/>
      <c r="AR32" s="325"/>
      <c r="AS32" s="325"/>
      <c r="AT32" s="325"/>
      <c r="AU32" s="490"/>
      <c r="AV32" s="152"/>
      <c r="AW32" s="387"/>
      <c r="AX32" s="489">
        <f>ROUND(ROUND(R32*AK32,0)*$AU$10,0)</f>
        <v>133</v>
      </c>
      <c r="AY32" s="393"/>
    </row>
    <row r="33" spans="1:51" ht="16.5" customHeight="1" x14ac:dyDescent="0.15">
      <c r="A33" s="340">
        <v>12</v>
      </c>
      <c r="B33" s="341">
        <v>7169</v>
      </c>
      <c r="C33" s="390" t="s">
        <v>16027</v>
      </c>
      <c r="D33" s="403"/>
      <c r="E33" s="404"/>
      <c r="F33" s="404"/>
      <c r="G33" s="404"/>
      <c r="H33" s="406"/>
      <c r="R33" s="395"/>
      <c r="S33" s="151"/>
      <c r="T33" s="151"/>
      <c r="V33" s="387"/>
      <c r="W33" s="343"/>
      <c r="X33" s="343"/>
      <c r="Y33" s="343"/>
      <c r="Z33" s="343"/>
      <c r="AA33" s="343"/>
      <c r="AB33" s="343"/>
      <c r="AC33" s="343"/>
      <c r="AD33" s="343"/>
      <c r="AE33" s="343"/>
      <c r="AF33" s="343"/>
      <c r="AG33" s="343"/>
      <c r="AH33" s="343"/>
      <c r="AI33" s="343"/>
      <c r="AJ33" s="343"/>
      <c r="AK33" s="343"/>
      <c r="AL33" s="343"/>
      <c r="AM33" s="114" t="s">
        <v>15628</v>
      </c>
      <c r="AN33" s="396"/>
      <c r="AO33" s="396"/>
      <c r="AP33" s="396"/>
      <c r="AQ33" s="396"/>
      <c r="AR33" s="396"/>
      <c r="AS33" s="396"/>
      <c r="AT33" s="396"/>
      <c r="AU33" s="490"/>
      <c r="AV33" s="152"/>
      <c r="AW33" s="387"/>
      <c r="AX33" s="489">
        <f>ROUND(ROUND(R32*AS34,0)*$AU$10,0)</f>
        <v>113</v>
      </c>
      <c r="AY33" s="393"/>
    </row>
    <row r="34" spans="1:51" ht="16.5" customHeight="1" x14ac:dyDescent="0.15">
      <c r="A34" s="340">
        <v>12</v>
      </c>
      <c r="B34" s="341">
        <v>7170</v>
      </c>
      <c r="C34" s="390" t="s">
        <v>16028</v>
      </c>
      <c r="D34" s="403"/>
      <c r="E34" s="404"/>
      <c r="F34" s="404"/>
      <c r="G34" s="404"/>
      <c r="H34" s="406"/>
      <c r="R34" s="395"/>
      <c r="S34" s="151"/>
      <c r="T34" s="151"/>
      <c r="V34" s="387"/>
      <c r="W34" s="343" t="s">
        <v>15625</v>
      </c>
      <c r="X34" s="325"/>
      <c r="Y34" s="325"/>
      <c r="Z34" s="325"/>
      <c r="AA34" s="325"/>
      <c r="AB34" s="325"/>
      <c r="AC34" s="325"/>
      <c r="AD34" s="325"/>
      <c r="AE34" s="325"/>
      <c r="AF34" s="325"/>
      <c r="AG34" s="325"/>
      <c r="AH34" s="325"/>
      <c r="AI34" s="325"/>
      <c r="AJ34" s="391" t="s">
        <v>15626</v>
      </c>
      <c r="AK34" s="838">
        <f>AK32</f>
        <v>1</v>
      </c>
      <c r="AL34" s="843"/>
      <c r="AM34" s="324" t="s">
        <v>15630</v>
      </c>
      <c r="AN34" s="325"/>
      <c r="AO34" s="325"/>
      <c r="AP34" s="325"/>
      <c r="AQ34" s="325"/>
      <c r="AR34" s="190" t="s">
        <v>398</v>
      </c>
      <c r="AS34" s="844">
        <f>AS30</f>
        <v>0.85</v>
      </c>
      <c r="AT34" s="844"/>
      <c r="AU34" s="490"/>
      <c r="AV34" s="152"/>
      <c r="AW34" s="387"/>
      <c r="AX34" s="489">
        <f>ROUND(ROUND(ROUND(R32*AK34,0)*AS34,0)*$AU$10,0)</f>
        <v>113</v>
      </c>
      <c r="AY34" s="393"/>
    </row>
    <row r="35" spans="1:51" ht="17.100000000000001" customHeight="1" x14ac:dyDescent="0.15">
      <c r="A35" s="340">
        <v>12</v>
      </c>
      <c r="B35" s="341">
        <v>3121</v>
      </c>
      <c r="C35" s="390" t="s">
        <v>16029</v>
      </c>
      <c r="D35" s="403"/>
      <c r="E35" s="404"/>
      <c r="F35" s="404"/>
      <c r="G35" s="404"/>
      <c r="H35" s="406"/>
      <c r="I35" s="253" t="s">
        <v>15664</v>
      </c>
      <c r="J35" s="396"/>
      <c r="K35" s="396"/>
      <c r="L35" s="400"/>
      <c r="M35" s="400"/>
      <c r="N35" s="400"/>
      <c r="O35" s="400"/>
      <c r="P35" s="400"/>
      <c r="Q35" s="396"/>
      <c r="R35" s="396"/>
      <c r="S35" s="396"/>
      <c r="T35" s="396"/>
      <c r="U35" s="396"/>
      <c r="V35" s="397"/>
      <c r="W35" s="343"/>
      <c r="X35" s="343"/>
      <c r="Y35" s="343"/>
      <c r="Z35" s="343"/>
      <c r="AA35" s="343"/>
      <c r="AB35" s="343"/>
      <c r="AC35" s="343"/>
      <c r="AD35" s="343"/>
      <c r="AE35" s="343"/>
      <c r="AF35" s="343"/>
      <c r="AG35" s="343"/>
      <c r="AH35" s="343"/>
      <c r="AI35" s="343"/>
      <c r="AJ35" s="343"/>
      <c r="AK35" s="343"/>
      <c r="AL35" s="407"/>
      <c r="AM35" s="396"/>
      <c r="AN35" s="396"/>
      <c r="AO35" s="396"/>
      <c r="AP35" s="396"/>
      <c r="AQ35" s="396"/>
      <c r="AR35" s="396"/>
      <c r="AS35" s="396"/>
      <c r="AT35" s="396"/>
      <c r="AU35" s="490"/>
      <c r="AV35" s="152"/>
      <c r="AW35" s="387"/>
      <c r="AX35" s="489">
        <f>ROUND(R36*$AU$10,0)</f>
        <v>123</v>
      </c>
      <c r="AY35" s="393"/>
    </row>
    <row r="36" spans="1:51" ht="16.5" customHeight="1" x14ac:dyDescent="0.15">
      <c r="A36" s="340">
        <v>12</v>
      </c>
      <c r="B36" s="341">
        <v>3122</v>
      </c>
      <c r="C36" s="390" t="s">
        <v>16030</v>
      </c>
      <c r="D36" s="403"/>
      <c r="E36" s="404"/>
      <c r="F36" s="404"/>
      <c r="G36" s="404"/>
      <c r="H36" s="406"/>
      <c r="R36" s="836">
        <f>'2重度訪問'!U36</f>
        <v>98</v>
      </c>
      <c r="S36" s="837"/>
      <c r="T36" s="837"/>
      <c r="U36" s="152" t="s">
        <v>15624</v>
      </c>
      <c r="V36" s="387"/>
      <c r="W36" s="343" t="s">
        <v>15625</v>
      </c>
      <c r="X36" s="325"/>
      <c r="Y36" s="325"/>
      <c r="Z36" s="325"/>
      <c r="AA36" s="325"/>
      <c r="AB36" s="325"/>
      <c r="AC36" s="325"/>
      <c r="AD36" s="325"/>
      <c r="AE36" s="325"/>
      <c r="AF36" s="325"/>
      <c r="AG36" s="325"/>
      <c r="AH36" s="325"/>
      <c r="AI36" s="325"/>
      <c r="AJ36" s="391" t="s">
        <v>15626</v>
      </c>
      <c r="AK36" s="838">
        <f>AK34</f>
        <v>1</v>
      </c>
      <c r="AL36" s="839"/>
      <c r="AM36" s="325"/>
      <c r="AN36" s="325"/>
      <c r="AO36" s="325"/>
      <c r="AP36" s="325"/>
      <c r="AQ36" s="325"/>
      <c r="AR36" s="325"/>
      <c r="AS36" s="325"/>
      <c r="AT36" s="391"/>
      <c r="AU36" s="490"/>
      <c r="AV36" s="152"/>
      <c r="AW36" s="387"/>
      <c r="AX36" s="489">
        <f>ROUND(ROUND(R36*AK36,0)*$AU$10,0)</f>
        <v>123</v>
      </c>
      <c r="AY36" s="393"/>
    </row>
    <row r="37" spans="1:51" ht="16.5" customHeight="1" x14ac:dyDescent="0.15">
      <c r="A37" s="340">
        <v>12</v>
      </c>
      <c r="B37" s="341">
        <v>7171</v>
      </c>
      <c r="C37" s="390" t="s">
        <v>16031</v>
      </c>
      <c r="D37" s="403"/>
      <c r="E37" s="404"/>
      <c r="F37" s="404"/>
      <c r="G37" s="404"/>
      <c r="H37" s="406"/>
      <c r="R37" s="395"/>
      <c r="S37" s="151"/>
      <c r="T37" s="151"/>
      <c r="V37" s="387"/>
      <c r="W37" s="343"/>
      <c r="X37" s="343"/>
      <c r="Y37" s="343"/>
      <c r="Z37" s="343"/>
      <c r="AA37" s="343"/>
      <c r="AB37" s="343"/>
      <c r="AC37" s="343"/>
      <c r="AD37" s="343"/>
      <c r="AE37" s="343"/>
      <c r="AF37" s="343"/>
      <c r="AG37" s="343"/>
      <c r="AH37" s="343"/>
      <c r="AI37" s="343"/>
      <c r="AJ37" s="343"/>
      <c r="AK37" s="343"/>
      <c r="AL37" s="343"/>
      <c r="AM37" s="114" t="s">
        <v>15628</v>
      </c>
      <c r="AN37" s="396"/>
      <c r="AO37" s="396"/>
      <c r="AP37" s="396"/>
      <c r="AQ37" s="396"/>
      <c r="AR37" s="396"/>
      <c r="AS37" s="396"/>
      <c r="AT37" s="396"/>
      <c r="AU37" s="490"/>
      <c r="AV37" s="152"/>
      <c r="AW37" s="387"/>
      <c r="AX37" s="489">
        <f>ROUND(ROUND(R36*AS38,0)*$AU$10,0)</f>
        <v>104</v>
      </c>
      <c r="AY37" s="393"/>
    </row>
    <row r="38" spans="1:51" ht="16.5" customHeight="1" x14ac:dyDescent="0.15">
      <c r="A38" s="340">
        <v>12</v>
      </c>
      <c r="B38" s="341">
        <v>7172</v>
      </c>
      <c r="C38" s="390" t="s">
        <v>16032</v>
      </c>
      <c r="D38" s="403"/>
      <c r="E38" s="404"/>
      <c r="F38" s="404"/>
      <c r="G38" s="404"/>
      <c r="H38" s="406"/>
      <c r="R38" s="395"/>
      <c r="S38" s="151"/>
      <c r="T38" s="151"/>
      <c r="V38" s="387"/>
      <c r="W38" s="343" t="s">
        <v>15625</v>
      </c>
      <c r="X38" s="325"/>
      <c r="Y38" s="325"/>
      <c r="Z38" s="325"/>
      <c r="AA38" s="325"/>
      <c r="AB38" s="325"/>
      <c r="AC38" s="325"/>
      <c r="AD38" s="325"/>
      <c r="AE38" s="325"/>
      <c r="AF38" s="325"/>
      <c r="AG38" s="325"/>
      <c r="AH38" s="325"/>
      <c r="AI38" s="325"/>
      <c r="AJ38" s="391" t="s">
        <v>15626</v>
      </c>
      <c r="AK38" s="838">
        <f>AK36</f>
        <v>1</v>
      </c>
      <c r="AL38" s="843"/>
      <c r="AM38" s="324" t="s">
        <v>15630</v>
      </c>
      <c r="AN38" s="325"/>
      <c r="AO38" s="325"/>
      <c r="AP38" s="325"/>
      <c r="AQ38" s="325"/>
      <c r="AR38" s="190" t="s">
        <v>398</v>
      </c>
      <c r="AS38" s="844">
        <f>AS34</f>
        <v>0.85</v>
      </c>
      <c r="AT38" s="844"/>
      <c r="AU38" s="490"/>
      <c r="AV38" s="152"/>
      <c r="AW38" s="387"/>
      <c r="AX38" s="489">
        <f>ROUND(ROUND(ROUND(R36*AK38,0)*AS38,0)*$AU$10,0)</f>
        <v>104</v>
      </c>
      <c r="AY38" s="393"/>
    </row>
    <row r="39" spans="1:51" ht="17.100000000000001" customHeight="1" x14ac:dyDescent="0.15">
      <c r="A39" s="340">
        <v>12</v>
      </c>
      <c r="B39" s="341">
        <v>3131</v>
      </c>
      <c r="C39" s="390" t="s">
        <v>16033</v>
      </c>
      <c r="D39" s="403"/>
      <c r="E39" s="404"/>
      <c r="F39" s="404"/>
      <c r="G39" s="404"/>
      <c r="H39" s="406"/>
      <c r="I39" s="253" t="s">
        <v>15669</v>
      </c>
      <c r="J39" s="396"/>
      <c r="K39" s="396"/>
      <c r="L39" s="400"/>
      <c r="M39" s="400"/>
      <c r="N39" s="400"/>
      <c r="O39" s="400"/>
      <c r="P39" s="400"/>
      <c r="Q39" s="396"/>
      <c r="R39" s="396"/>
      <c r="S39" s="396"/>
      <c r="T39" s="396"/>
      <c r="U39" s="396"/>
      <c r="V39" s="397"/>
      <c r="W39" s="343"/>
      <c r="X39" s="343"/>
      <c r="Y39" s="343"/>
      <c r="Z39" s="343"/>
      <c r="AA39" s="343"/>
      <c r="AB39" s="343"/>
      <c r="AC39" s="343"/>
      <c r="AD39" s="343"/>
      <c r="AE39" s="343"/>
      <c r="AF39" s="343"/>
      <c r="AG39" s="343"/>
      <c r="AH39" s="343"/>
      <c r="AI39" s="343"/>
      <c r="AJ39" s="343"/>
      <c r="AK39" s="343"/>
      <c r="AL39" s="407"/>
      <c r="AM39" s="396"/>
      <c r="AN39" s="396"/>
      <c r="AO39" s="396"/>
      <c r="AP39" s="396"/>
      <c r="AQ39" s="396"/>
      <c r="AR39" s="396"/>
      <c r="AS39" s="396"/>
      <c r="AT39" s="396"/>
      <c r="AU39" s="490"/>
      <c r="AV39" s="152"/>
      <c r="AW39" s="387"/>
      <c r="AX39" s="489">
        <f>ROUND(R40*$AU$10,0)</f>
        <v>123</v>
      </c>
      <c r="AY39" s="393"/>
    </row>
    <row r="40" spans="1:51" ht="16.5" customHeight="1" x14ac:dyDescent="0.15">
      <c r="A40" s="340">
        <v>12</v>
      </c>
      <c r="B40" s="341">
        <v>3132</v>
      </c>
      <c r="C40" s="390" t="s">
        <v>16034</v>
      </c>
      <c r="D40" s="403"/>
      <c r="E40" s="404"/>
      <c r="F40" s="404"/>
      <c r="G40" s="404"/>
      <c r="H40" s="406"/>
      <c r="R40" s="836">
        <f>'2重度訪問'!U40</f>
        <v>98</v>
      </c>
      <c r="S40" s="837"/>
      <c r="T40" s="837"/>
      <c r="U40" s="152" t="s">
        <v>15624</v>
      </c>
      <c r="V40" s="387"/>
      <c r="W40" s="343" t="s">
        <v>15625</v>
      </c>
      <c r="X40" s="325"/>
      <c r="Y40" s="325"/>
      <c r="Z40" s="325"/>
      <c r="AA40" s="325"/>
      <c r="AB40" s="325"/>
      <c r="AC40" s="325"/>
      <c r="AD40" s="325"/>
      <c r="AE40" s="325"/>
      <c r="AF40" s="325"/>
      <c r="AG40" s="325"/>
      <c r="AH40" s="325"/>
      <c r="AI40" s="325"/>
      <c r="AJ40" s="391" t="s">
        <v>15626</v>
      </c>
      <c r="AK40" s="838">
        <f>AK38</f>
        <v>1</v>
      </c>
      <c r="AL40" s="839"/>
      <c r="AM40" s="325"/>
      <c r="AN40" s="325"/>
      <c r="AO40" s="325"/>
      <c r="AP40" s="325"/>
      <c r="AQ40" s="325"/>
      <c r="AR40" s="325"/>
      <c r="AS40" s="325"/>
      <c r="AT40" s="391"/>
      <c r="AU40" s="490"/>
      <c r="AV40" s="152"/>
      <c r="AW40" s="387"/>
      <c r="AX40" s="489">
        <f>ROUND(ROUND(R40*AK40,0)*$AU$10,0)</f>
        <v>123</v>
      </c>
      <c r="AY40" s="393"/>
    </row>
    <row r="41" spans="1:51" ht="16.5" customHeight="1" x14ac:dyDescent="0.15">
      <c r="A41" s="340">
        <v>12</v>
      </c>
      <c r="B41" s="341">
        <v>7173</v>
      </c>
      <c r="C41" s="390" t="s">
        <v>16035</v>
      </c>
      <c r="D41" s="403"/>
      <c r="E41" s="404"/>
      <c r="F41" s="404"/>
      <c r="G41" s="404"/>
      <c r="H41" s="406"/>
      <c r="R41" s="395"/>
      <c r="S41" s="151"/>
      <c r="T41" s="151"/>
      <c r="V41" s="387"/>
      <c r="W41" s="343"/>
      <c r="X41" s="343"/>
      <c r="Y41" s="343"/>
      <c r="Z41" s="343"/>
      <c r="AA41" s="343"/>
      <c r="AB41" s="343"/>
      <c r="AC41" s="343"/>
      <c r="AD41" s="343"/>
      <c r="AE41" s="343"/>
      <c r="AF41" s="343"/>
      <c r="AG41" s="343"/>
      <c r="AH41" s="343"/>
      <c r="AI41" s="343"/>
      <c r="AJ41" s="343"/>
      <c r="AK41" s="343"/>
      <c r="AL41" s="343"/>
      <c r="AM41" s="114" t="s">
        <v>15628</v>
      </c>
      <c r="AN41" s="396"/>
      <c r="AO41" s="396"/>
      <c r="AP41" s="396"/>
      <c r="AQ41" s="396"/>
      <c r="AR41" s="396"/>
      <c r="AS41" s="396"/>
      <c r="AT41" s="396"/>
      <c r="AU41" s="490"/>
      <c r="AV41" s="152"/>
      <c r="AW41" s="387"/>
      <c r="AX41" s="489">
        <f>ROUND(ROUND(R40*AS42,0)*$AU$10,0)</f>
        <v>104</v>
      </c>
      <c r="AY41" s="393"/>
    </row>
    <row r="42" spans="1:51" ht="16.5" customHeight="1" x14ac:dyDescent="0.15">
      <c r="A42" s="340">
        <v>12</v>
      </c>
      <c r="B42" s="341">
        <v>7174</v>
      </c>
      <c r="C42" s="390" t="s">
        <v>16036</v>
      </c>
      <c r="D42" s="403"/>
      <c r="E42" s="404"/>
      <c r="F42" s="404"/>
      <c r="G42" s="404"/>
      <c r="H42" s="406"/>
      <c r="R42" s="395"/>
      <c r="S42" s="151"/>
      <c r="T42" s="151"/>
      <c r="V42" s="387"/>
      <c r="W42" s="343" t="s">
        <v>15625</v>
      </c>
      <c r="X42" s="325"/>
      <c r="Y42" s="325"/>
      <c r="Z42" s="325"/>
      <c r="AA42" s="325"/>
      <c r="AB42" s="325"/>
      <c r="AC42" s="325"/>
      <c r="AD42" s="325"/>
      <c r="AE42" s="325"/>
      <c r="AF42" s="325"/>
      <c r="AG42" s="325"/>
      <c r="AH42" s="325"/>
      <c r="AI42" s="325"/>
      <c r="AJ42" s="391" t="s">
        <v>15626</v>
      </c>
      <c r="AK42" s="838">
        <f>AK40</f>
        <v>1</v>
      </c>
      <c r="AL42" s="843"/>
      <c r="AM42" s="324" t="s">
        <v>15630</v>
      </c>
      <c r="AN42" s="325"/>
      <c r="AO42" s="325"/>
      <c r="AP42" s="325"/>
      <c r="AQ42" s="325"/>
      <c r="AR42" s="190" t="s">
        <v>398</v>
      </c>
      <c r="AS42" s="844">
        <f>AS38</f>
        <v>0.85</v>
      </c>
      <c r="AT42" s="844"/>
      <c r="AU42" s="490"/>
      <c r="AV42" s="152"/>
      <c r="AW42" s="387"/>
      <c r="AX42" s="489">
        <f>ROUND(ROUND(ROUND(R40*AK42,0)*AS42,0)*$AU$10,0)</f>
        <v>104</v>
      </c>
      <c r="AY42" s="393"/>
    </row>
    <row r="43" spans="1:51" ht="17.100000000000001" customHeight="1" x14ac:dyDescent="0.15">
      <c r="A43" s="340">
        <v>12</v>
      </c>
      <c r="B43" s="341">
        <v>3141</v>
      </c>
      <c r="C43" s="390" t="s">
        <v>16037</v>
      </c>
      <c r="D43" s="403"/>
      <c r="E43" s="404"/>
      <c r="F43" s="404"/>
      <c r="G43" s="404"/>
      <c r="H43" s="406"/>
      <c r="I43" s="253" t="s">
        <v>15674</v>
      </c>
      <c r="J43" s="396"/>
      <c r="K43" s="396"/>
      <c r="L43" s="400"/>
      <c r="M43" s="400"/>
      <c r="N43" s="400"/>
      <c r="O43" s="400"/>
      <c r="P43" s="400"/>
      <c r="Q43" s="396"/>
      <c r="R43" s="396"/>
      <c r="S43" s="396"/>
      <c r="T43" s="396"/>
      <c r="U43" s="396"/>
      <c r="V43" s="397"/>
      <c r="W43" s="343"/>
      <c r="X43" s="343"/>
      <c r="Y43" s="343"/>
      <c r="Z43" s="343"/>
      <c r="AA43" s="343"/>
      <c r="AB43" s="343"/>
      <c r="AC43" s="343"/>
      <c r="AD43" s="343"/>
      <c r="AE43" s="343"/>
      <c r="AF43" s="343"/>
      <c r="AG43" s="343"/>
      <c r="AH43" s="343"/>
      <c r="AI43" s="343"/>
      <c r="AJ43" s="343"/>
      <c r="AK43" s="343"/>
      <c r="AL43" s="407"/>
      <c r="AM43" s="396"/>
      <c r="AN43" s="396"/>
      <c r="AO43" s="396"/>
      <c r="AP43" s="396"/>
      <c r="AQ43" s="396"/>
      <c r="AR43" s="396"/>
      <c r="AS43" s="396"/>
      <c r="AT43" s="396"/>
      <c r="AU43" s="490"/>
      <c r="AV43" s="152"/>
      <c r="AW43" s="387"/>
      <c r="AX43" s="489">
        <f>ROUND(R44*$AU$10,0)</f>
        <v>115</v>
      </c>
      <c r="AY43" s="393"/>
    </row>
    <row r="44" spans="1:51" ht="16.5" customHeight="1" x14ac:dyDescent="0.15">
      <c r="A44" s="340">
        <v>12</v>
      </c>
      <c r="B44" s="341">
        <v>3142</v>
      </c>
      <c r="C44" s="390" t="s">
        <v>16038</v>
      </c>
      <c r="D44" s="403"/>
      <c r="E44" s="404"/>
      <c r="F44" s="404"/>
      <c r="G44" s="404"/>
      <c r="H44" s="406"/>
      <c r="R44" s="836">
        <f>'2重度訪問'!U44</f>
        <v>92</v>
      </c>
      <c r="S44" s="837"/>
      <c r="T44" s="837"/>
      <c r="U44" s="152" t="s">
        <v>15624</v>
      </c>
      <c r="V44" s="387"/>
      <c r="W44" s="343" t="s">
        <v>15625</v>
      </c>
      <c r="X44" s="325"/>
      <c r="Y44" s="325"/>
      <c r="Z44" s="325"/>
      <c r="AA44" s="325"/>
      <c r="AB44" s="325"/>
      <c r="AC44" s="325"/>
      <c r="AD44" s="325"/>
      <c r="AE44" s="325"/>
      <c r="AF44" s="325"/>
      <c r="AG44" s="325"/>
      <c r="AH44" s="325"/>
      <c r="AI44" s="325"/>
      <c r="AJ44" s="391" t="s">
        <v>15626</v>
      </c>
      <c r="AK44" s="838">
        <f>AK42</f>
        <v>1</v>
      </c>
      <c r="AL44" s="839"/>
      <c r="AM44" s="325"/>
      <c r="AN44" s="325"/>
      <c r="AO44" s="325"/>
      <c r="AP44" s="325"/>
      <c r="AQ44" s="325"/>
      <c r="AR44" s="325"/>
      <c r="AS44" s="325"/>
      <c r="AT44" s="391"/>
      <c r="AU44" s="490"/>
      <c r="AV44" s="152"/>
      <c r="AW44" s="387"/>
      <c r="AX44" s="489">
        <f>ROUND(ROUND(R44*AK44,0)*$AU$10,0)</f>
        <v>115</v>
      </c>
      <c r="AY44" s="393"/>
    </row>
    <row r="45" spans="1:51" ht="16.5" customHeight="1" x14ac:dyDescent="0.15">
      <c r="A45" s="340">
        <v>12</v>
      </c>
      <c r="B45" s="341">
        <v>7175</v>
      </c>
      <c r="C45" s="390" t="s">
        <v>16039</v>
      </c>
      <c r="D45" s="403"/>
      <c r="E45" s="404"/>
      <c r="F45" s="404"/>
      <c r="G45" s="404"/>
      <c r="H45" s="406"/>
      <c r="R45" s="395"/>
      <c r="S45" s="151"/>
      <c r="T45" s="151"/>
      <c r="V45" s="387"/>
      <c r="W45" s="343"/>
      <c r="X45" s="343"/>
      <c r="Y45" s="343"/>
      <c r="Z45" s="343"/>
      <c r="AA45" s="343"/>
      <c r="AB45" s="343"/>
      <c r="AC45" s="343"/>
      <c r="AD45" s="343"/>
      <c r="AE45" s="343"/>
      <c r="AF45" s="343"/>
      <c r="AG45" s="343"/>
      <c r="AH45" s="343"/>
      <c r="AI45" s="343"/>
      <c r="AJ45" s="343"/>
      <c r="AK45" s="343"/>
      <c r="AL45" s="343"/>
      <c r="AM45" s="114" t="s">
        <v>15628</v>
      </c>
      <c r="AN45" s="396"/>
      <c r="AO45" s="396"/>
      <c r="AP45" s="396"/>
      <c r="AQ45" s="396"/>
      <c r="AR45" s="396"/>
      <c r="AS45" s="396"/>
      <c r="AT45" s="396"/>
      <c r="AU45" s="490"/>
      <c r="AV45" s="152"/>
      <c r="AW45" s="387"/>
      <c r="AX45" s="489">
        <f>ROUND(ROUND(R44*AS46,0)*$AU$10,0)</f>
        <v>98</v>
      </c>
      <c r="AY45" s="393"/>
    </row>
    <row r="46" spans="1:51" ht="16.5" customHeight="1" x14ac:dyDescent="0.15">
      <c r="A46" s="340">
        <v>12</v>
      </c>
      <c r="B46" s="341">
        <v>7176</v>
      </c>
      <c r="C46" s="390" t="s">
        <v>16040</v>
      </c>
      <c r="D46" s="403"/>
      <c r="E46" s="404"/>
      <c r="F46" s="404"/>
      <c r="G46" s="404"/>
      <c r="H46" s="406"/>
      <c r="R46" s="395"/>
      <c r="S46" s="151"/>
      <c r="T46" s="151"/>
      <c r="V46" s="387"/>
      <c r="W46" s="343" t="s">
        <v>15625</v>
      </c>
      <c r="X46" s="325"/>
      <c r="Y46" s="325"/>
      <c r="Z46" s="325"/>
      <c r="AA46" s="325"/>
      <c r="AB46" s="325"/>
      <c r="AC46" s="325"/>
      <c r="AD46" s="325"/>
      <c r="AE46" s="325"/>
      <c r="AF46" s="325"/>
      <c r="AG46" s="325"/>
      <c r="AH46" s="325"/>
      <c r="AI46" s="325"/>
      <c r="AJ46" s="391" t="s">
        <v>15626</v>
      </c>
      <c r="AK46" s="838">
        <f>AK44</f>
        <v>1</v>
      </c>
      <c r="AL46" s="843"/>
      <c r="AM46" s="324" t="s">
        <v>15630</v>
      </c>
      <c r="AN46" s="325"/>
      <c r="AO46" s="325"/>
      <c r="AP46" s="325"/>
      <c r="AQ46" s="325"/>
      <c r="AR46" s="190" t="s">
        <v>398</v>
      </c>
      <c r="AS46" s="844">
        <f>AS42</f>
        <v>0.85</v>
      </c>
      <c r="AT46" s="844"/>
      <c r="AU46" s="490"/>
      <c r="AV46" s="152"/>
      <c r="AW46" s="387"/>
      <c r="AX46" s="489">
        <f>ROUND(ROUND(ROUND(R44*AK46,0)*AS46,0)*$AU$10,0)</f>
        <v>98</v>
      </c>
      <c r="AY46" s="393"/>
    </row>
    <row r="47" spans="1:51" ht="17.100000000000001" customHeight="1" x14ac:dyDescent="0.15">
      <c r="A47" s="340">
        <v>12</v>
      </c>
      <c r="B47" s="341">
        <v>3151</v>
      </c>
      <c r="C47" s="390" t="s">
        <v>16041</v>
      </c>
      <c r="D47" s="403"/>
      <c r="E47" s="404"/>
      <c r="F47" s="404"/>
      <c r="G47" s="404"/>
      <c r="H47" s="406"/>
      <c r="I47" s="253" t="s">
        <v>15679</v>
      </c>
      <c r="J47" s="396"/>
      <c r="K47" s="396"/>
      <c r="L47" s="400"/>
      <c r="M47" s="400"/>
      <c r="N47" s="400"/>
      <c r="O47" s="400"/>
      <c r="P47" s="400"/>
      <c r="Q47" s="396"/>
      <c r="R47" s="396"/>
      <c r="S47" s="396"/>
      <c r="T47" s="396"/>
      <c r="U47" s="396"/>
      <c r="V47" s="397"/>
      <c r="W47" s="343"/>
      <c r="X47" s="343"/>
      <c r="Y47" s="343"/>
      <c r="Z47" s="343"/>
      <c r="AA47" s="343"/>
      <c r="AB47" s="343"/>
      <c r="AC47" s="343"/>
      <c r="AD47" s="343"/>
      <c r="AE47" s="343"/>
      <c r="AF47" s="343"/>
      <c r="AG47" s="343"/>
      <c r="AH47" s="343"/>
      <c r="AI47" s="343"/>
      <c r="AJ47" s="343"/>
      <c r="AK47" s="343"/>
      <c r="AL47" s="407"/>
      <c r="AM47" s="396"/>
      <c r="AN47" s="396"/>
      <c r="AO47" s="396"/>
      <c r="AP47" s="396"/>
      <c r="AQ47" s="396"/>
      <c r="AR47" s="396"/>
      <c r="AS47" s="396"/>
      <c r="AT47" s="396"/>
      <c r="AU47" s="490"/>
      <c r="AV47" s="152"/>
      <c r="AW47" s="387"/>
      <c r="AX47" s="489">
        <f>ROUND(R48*$AU$10,0)</f>
        <v>124</v>
      </c>
      <c r="AY47" s="393"/>
    </row>
    <row r="48" spans="1:51" ht="16.5" customHeight="1" x14ac:dyDescent="0.15">
      <c r="A48" s="340">
        <v>12</v>
      </c>
      <c r="B48" s="341">
        <v>3152</v>
      </c>
      <c r="C48" s="390" t="s">
        <v>16042</v>
      </c>
      <c r="D48" s="403"/>
      <c r="E48" s="404"/>
      <c r="F48" s="404"/>
      <c r="G48" s="404"/>
      <c r="H48" s="406"/>
      <c r="R48" s="836">
        <f>'2重度訪問'!U48</f>
        <v>99</v>
      </c>
      <c r="S48" s="837"/>
      <c r="T48" s="837"/>
      <c r="U48" s="152" t="s">
        <v>15624</v>
      </c>
      <c r="V48" s="387"/>
      <c r="W48" s="343" t="s">
        <v>15625</v>
      </c>
      <c r="X48" s="325"/>
      <c r="Y48" s="325"/>
      <c r="Z48" s="325"/>
      <c r="AA48" s="325"/>
      <c r="AB48" s="325"/>
      <c r="AC48" s="325"/>
      <c r="AD48" s="325"/>
      <c r="AE48" s="325"/>
      <c r="AF48" s="325"/>
      <c r="AG48" s="325"/>
      <c r="AH48" s="325"/>
      <c r="AI48" s="325"/>
      <c r="AJ48" s="391" t="s">
        <v>15626</v>
      </c>
      <c r="AK48" s="838">
        <f>AK46</f>
        <v>1</v>
      </c>
      <c r="AL48" s="839"/>
      <c r="AM48" s="325"/>
      <c r="AN48" s="325"/>
      <c r="AO48" s="325"/>
      <c r="AP48" s="325"/>
      <c r="AQ48" s="325"/>
      <c r="AR48" s="325"/>
      <c r="AS48" s="325"/>
      <c r="AT48" s="391"/>
      <c r="AU48" s="490"/>
      <c r="AV48" s="152"/>
      <c r="AW48" s="387"/>
      <c r="AX48" s="489">
        <f>ROUND(ROUND(R48*AK48,0)*$AU$10,0)</f>
        <v>124</v>
      </c>
      <c r="AY48" s="393"/>
    </row>
    <row r="49" spans="1:51" ht="16.5" customHeight="1" x14ac:dyDescent="0.15">
      <c r="A49" s="340">
        <v>12</v>
      </c>
      <c r="B49" s="341">
        <v>7177</v>
      </c>
      <c r="C49" s="390" t="s">
        <v>16043</v>
      </c>
      <c r="D49" s="403"/>
      <c r="E49" s="404"/>
      <c r="F49" s="404"/>
      <c r="G49" s="404"/>
      <c r="H49" s="406"/>
      <c r="R49" s="395"/>
      <c r="S49" s="151"/>
      <c r="T49" s="151"/>
      <c r="V49" s="387"/>
      <c r="W49" s="343"/>
      <c r="X49" s="343"/>
      <c r="Y49" s="343"/>
      <c r="Z49" s="343"/>
      <c r="AA49" s="343"/>
      <c r="AB49" s="343"/>
      <c r="AC49" s="343"/>
      <c r="AD49" s="343"/>
      <c r="AE49" s="343"/>
      <c r="AF49" s="343"/>
      <c r="AG49" s="343"/>
      <c r="AH49" s="343"/>
      <c r="AI49" s="343"/>
      <c r="AJ49" s="343"/>
      <c r="AK49" s="343"/>
      <c r="AL49" s="343"/>
      <c r="AM49" s="114" t="s">
        <v>15628</v>
      </c>
      <c r="AN49" s="396"/>
      <c r="AO49" s="396"/>
      <c r="AP49" s="396"/>
      <c r="AQ49" s="396"/>
      <c r="AR49" s="396"/>
      <c r="AS49" s="396"/>
      <c r="AT49" s="396"/>
      <c r="AU49" s="490"/>
      <c r="AV49" s="152"/>
      <c r="AW49" s="387"/>
      <c r="AX49" s="489">
        <f>ROUND(ROUND(R48*AS50,0)*$AU$10,0)</f>
        <v>105</v>
      </c>
      <c r="AY49" s="393"/>
    </row>
    <row r="50" spans="1:51" ht="16.5" customHeight="1" x14ac:dyDescent="0.15">
      <c r="A50" s="340">
        <v>12</v>
      </c>
      <c r="B50" s="341">
        <v>7178</v>
      </c>
      <c r="C50" s="390" t="s">
        <v>16044</v>
      </c>
      <c r="D50" s="403"/>
      <c r="E50" s="404"/>
      <c r="F50" s="404"/>
      <c r="G50" s="404"/>
      <c r="H50" s="406"/>
      <c r="R50" s="395"/>
      <c r="S50" s="151"/>
      <c r="T50" s="151"/>
      <c r="V50" s="387"/>
      <c r="W50" s="343" t="s">
        <v>15625</v>
      </c>
      <c r="X50" s="325"/>
      <c r="Y50" s="325"/>
      <c r="Z50" s="325"/>
      <c r="AA50" s="325"/>
      <c r="AB50" s="325"/>
      <c r="AC50" s="325"/>
      <c r="AD50" s="325"/>
      <c r="AE50" s="325"/>
      <c r="AF50" s="325"/>
      <c r="AG50" s="325"/>
      <c r="AH50" s="325"/>
      <c r="AI50" s="325"/>
      <c r="AJ50" s="391" t="s">
        <v>15626</v>
      </c>
      <c r="AK50" s="838">
        <f>AK48</f>
        <v>1</v>
      </c>
      <c r="AL50" s="843"/>
      <c r="AM50" s="324" t="s">
        <v>15630</v>
      </c>
      <c r="AN50" s="325"/>
      <c r="AO50" s="325"/>
      <c r="AP50" s="325"/>
      <c r="AQ50" s="325"/>
      <c r="AR50" s="190" t="s">
        <v>398</v>
      </c>
      <c r="AS50" s="844">
        <f>AS46</f>
        <v>0.85</v>
      </c>
      <c r="AT50" s="844"/>
      <c r="AU50" s="490"/>
      <c r="AV50" s="152"/>
      <c r="AW50" s="387"/>
      <c r="AX50" s="489">
        <f>ROUND(ROUND(ROUND(R48*AK50,0)*AS50,0)*$AU$10,0)</f>
        <v>105</v>
      </c>
      <c r="AY50" s="393"/>
    </row>
    <row r="51" spans="1:51" ht="17.100000000000001" customHeight="1" x14ac:dyDescent="0.15">
      <c r="A51" s="340">
        <v>12</v>
      </c>
      <c r="B51" s="341">
        <v>3161</v>
      </c>
      <c r="C51" s="390" t="s">
        <v>16045</v>
      </c>
      <c r="D51" s="403"/>
      <c r="E51" s="404"/>
      <c r="F51" s="404"/>
      <c r="G51" s="404"/>
      <c r="H51" s="406"/>
      <c r="I51" s="253" t="s">
        <v>15684</v>
      </c>
      <c r="J51" s="396"/>
      <c r="K51" s="396"/>
      <c r="L51" s="400"/>
      <c r="M51" s="400"/>
      <c r="N51" s="400"/>
      <c r="O51" s="400"/>
      <c r="P51" s="400"/>
      <c r="Q51" s="396"/>
      <c r="R51" s="396"/>
      <c r="S51" s="396"/>
      <c r="T51" s="396"/>
      <c r="U51" s="396"/>
      <c r="V51" s="397"/>
      <c r="W51" s="343"/>
      <c r="X51" s="343"/>
      <c r="Y51" s="343"/>
      <c r="Z51" s="343"/>
      <c r="AA51" s="343"/>
      <c r="AB51" s="343"/>
      <c r="AC51" s="343"/>
      <c r="AD51" s="343"/>
      <c r="AE51" s="343"/>
      <c r="AF51" s="343"/>
      <c r="AG51" s="343"/>
      <c r="AH51" s="343"/>
      <c r="AI51" s="343"/>
      <c r="AJ51" s="343"/>
      <c r="AK51" s="343"/>
      <c r="AL51" s="407"/>
      <c r="AM51" s="396"/>
      <c r="AN51" s="396"/>
      <c r="AO51" s="396"/>
      <c r="AP51" s="396"/>
      <c r="AQ51" s="396"/>
      <c r="AR51" s="396"/>
      <c r="AS51" s="396"/>
      <c r="AT51" s="396"/>
      <c r="AU51" s="490"/>
      <c r="AV51" s="152"/>
      <c r="AW51" s="387"/>
      <c r="AX51" s="489">
        <f>ROUND(R52*$AU$10,0)</f>
        <v>115</v>
      </c>
      <c r="AY51" s="393"/>
    </row>
    <row r="52" spans="1:51" ht="16.5" customHeight="1" x14ac:dyDescent="0.15">
      <c r="A52" s="340">
        <v>12</v>
      </c>
      <c r="B52" s="341">
        <v>3162</v>
      </c>
      <c r="C52" s="390" t="s">
        <v>16046</v>
      </c>
      <c r="D52" s="403"/>
      <c r="E52" s="404"/>
      <c r="F52" s="404"/>
      <c r="G52" s="404"/>
      <c r="H52" s="406"/>
      <c r="R52" s="836">
        <f>'2重度訪問'!U52</f>
        <v>92</v>
      </c>
      <c r="S52" s="837"/>
      <c r="T52" s="837"/>
      <c r="U52" s="152" t="s">
        <v>15624</v>
      </c>
      <c r="V52" s="387"/>
      <c r="W52" s="343" t="s">
        <v>15625</v>
      </c>
      <c r="X52" s="325"/>
      <c r="Y52" s="325"/>
      <c r="Z52" s="325"/>
      <c r="AA52" s="325"/>
      <c r="AB52" s="325"/>
      <c r="AC52" s="325"/>
      <c r="AD52" s="325"/>
      <c r="AE52" s="325"/>
      <c r="AF52" s="325"/>
      <c r="AG52" s="325"/>
      <c r="AH52" s="325"/>
      <c r="AI52" s="325"/>
      <c r="AJ52" s="391" t="s">
        <v>15626</v>
      </c>
      <c r="AK52" s="838">
        <f>AK50</f>
        <v>1</v>
      </c>
      <c r="AL52" s="839"/>
      <c r="AM52" s="325"/>
      <c r="AN52" s="325"/>
      <c r="AO52" s="325"/>
      <c r="AP52" s="325"/>
      <c r="AQ52" s="325"/>
      <c r="AR52" s="325"/>
      <c r="AS52" s="325"/>
      <c r="AT52" s="391"/>
      <c r="AU52" s="490"/>
      <c r="AV52" s="152"/>
      <c r="AW52" s="387"/>
      <c r="AX52" s="489">
        <f>ROUND(ROUND(R52*AK52,0)*$AU$10,0)</f>
        <v>115</v>
      </c>
      <c r="AY52" s="393"/>
    </row>
    <row r="53" spans="1:51" ht="16.5" customHeight="1" x14ac:dyDescent="0.15">
      <c r="A53" s="340">
        <v>12</v>
      </c>
      <c r="B53" s="341">
        <v>7179</v>
      </c>
      <c r="C53" s="390" t="s">
        <v>16047</v>
      </c>
      <c r="D53" s="408"/>
      <c r="E53" s="409"/>
      <c r="F53" s="409"/>
      <c r="G53" s="409"/>
      <c r="H53" s="411"/>
      <c r="R53" s="395"/>
      <c r="S53" s="151"/>
      <c r="T53" s="151"/>
      <c r="V53" s="387"/>
      <c r="W53" s="343"/>
      <c r="X53" s="343"/>
      <c r="Y53" s="343"/>
      <c r="Z53" s="343"/>
      <c r="AA53" s="343"/>
      <c r="AB53" s="343"/>
      <c r="AC53" s="343"/>
      <c r="AD53" s="343"/>
      <c r="AE53" s="343"/>
      <c r="AF53" s="343"/>
      <c r="AG53" s="343"/>
      <c r="AH53" s="343"/>
      <c r="AI53" s="343"/>
      <c r="AJ53" s="343"/>
      <c r="AK53" s="343"/>
      <c r="AL53" s="343"/>
      <c r="AM53" s="114" t="s">
        <v>15628</v>
      </c>
      <c r="AN53" s="396"/>
      <c r="AO53" s="396"/>
      <c r="AP53" s="396"/>
      <c r="AQ53" s="396"/>
      <c r="AR53" s="396"/>
      <c r="AS53" s="396"/>
      <c r="AT53" s="396"/>
      <c r="AU53" s="490"/>
      <c r="AV53" s="152"/>
      <c r="AW53" s="387"/>
      <c r="AX53" s="489">
        <f>ROUND(ROUND(R52*AS54,0)*$AU$10,0)</f>
        <v>98</v>
      </c>
      <c r="AY53" s="393"/>
    </row>
    <row r="54" spans="1:51" ht="16.5" customHeight="1" x14ac:dyDescent="0.15">
      <c r="A54" s="340">
        <v>12</v>
      </c>
      <c r="B54" s="341">
        <v>7180</v>
      </c>
      <c r="C54" s="390" t="s">
        <v>16048</v>
      </c>
      <c r="D54" s="412"/>
      <c r="E54" s="413"/>
      <c r="F54" s="413"/>
      <c r="G54" s="413"/>
      <c r="H54" s="415"/>
      <c r="I54" s="325"/>
      <c r="J54" s="325"/>
      <c r="K54" s="325"/>
      <c r="L54" s="325"/>
      <c r="M54" s="325"/>
      <c r="N54" s="325"/>
      <c r="O54" s="325"/>
      <c r="P54" s="325"/>
      <c r="Q54" s="325"/>
      <c r="R54" s="416"/>
      <c r="S54" s="417"/>
      <c r="T54" s="417"/>
      <c r="U54" s="325"/>
      <c r="V54" s="388"/>
      <c r="W54" s="343" t="s">
        <v>15625</v>
      </c>
      <c r="X54" s="325"/>
      <c r="Y54" s="325"/>
      <c r="Z54" s="325"/>
      <c r="AA54" s="325"/>
      <c r="AB54" s="325"/>
      <c r="AC54" s="325"/>
      <c r="AD54" s="325"/>
      <c r="AE54" s="325"/>
      <c r="AF54" s="325"/>
      <c r="AG54" s="325"/>
      <c r="AH54" s="325"/>
      <c r="AI54" s="325"/>
      <c r="AJ54" s="391" t="s">
        <v>15626</v>
      </c>
      <c r="AK54" s="838">
        <f>AK52</f>
        <v>1</v>
      </c>
      <c r="AL54" s="843"/>
      <c r="AM54" s="324" t="s">
        <v>15630</v>
      </c>
      <c r="AN54" s="325"/>
      <c r="AO54" s="325"/>
      <c r="AP54" s="325"/>
      <c r="AQ54" s="325"/>
      <c r="AR54" s="190" t="s">
        <v>398</v>
      </c>
      <c r="AS54" s="844">
        <f>AS50</f>
        <v>0.85</v>
      </c>
      <c r="AT54" s="844"/>
      <c r="AU54" s="324"/>
      <c r="AV54" s="325"/>
      <c r="AW54" s="388"/>
      <c r="AX54" s="491">
        <f>ROUND(ROUND(ROUND(R52*AK54,0)*AS54,0)*$AU$10,0)</f>
        <v>98</v>
      </c>
      <c r="AY54" s="418"/>
    </row>
    <row r="55" spans="1:51" ht="17.100000000000001" customHeight="1" x14ac:dyDescent="0.15">
      <c r="A55" s="340">
        <v>12</v>
      </c>
      <c r="B55" s="341">
        <v>3271</v>
      </c>
      <c r="C55" s="390" t="s">
        <v>16049</v>
      </c>
      <c r="D55" s="857" t="s">
        <v>15689</v>
      </c>
      <c r="E55" s="858"/>
      <c r="F55" s="858"/>
      <c r="G55" s="858"/>
      <c r="H55" s="860"/>
      <c r="I55" s="10" t="s">
        <v>15690</v>
      </c>
      <c r="L55" s="151"/>
      <c r="M55" s="151"/>
      <c r="N55" s="151"/>
      <c r="O55" s="151"/>
      <c r="P55" s="151"/>
      <c r="V55" s="387"/>
      <c r="W55" s="343"/>
      <c r="X55" s="343"/>
      <c r="Y55" s="343"/>
      <c r="Z55" s="343"/>
      <c r="AA55" s="343"/>
      <c r="AB55" s="343"/>
      <c r="AC55" s="343"/>
      <c r="AD55" s="343"/>
      <c r="AE55" s="343"/>
      <c r="AF55" s="343"/>
      <c r="AG55" s="343"/>
      <c r="AH55" s="343"/>
      <c r="AI55" s="343"/>
      <c r="AJ55" s="343"/>
      <c r="AK55" s="343"/>
      <c r="AL55" s="407"/>
      <c r="AM55" s="396"/>
      <c r="AN55" s="396"/>
      <c r="AO55" s="396"/>
      <c r="AP55" s="396"/>
      <c r="AQ55" s="396"/>
      <c r="AR55" s="396"/>
      <c r="AS55" s="396"/>
      <c r="AT55" s="396"/>
      <c r="AU55" s="753" t="s">
        <v>743</v>
      </c>
      <c r="AV55" s="742"/>
      <c r="AW55" s="714"/>
      <c r="AX55" s="489">
        <f>ROUND(ROUND(R56,0)*$AU$58,0)</f>
        <v>251</v>
      </c>
      <c r="AY55" s="329" t="s">
        <v>15622</v>
      </c>
    </row>
    <row r="56" spans="1:51" ht="16.5" customHeight="1" x14ac:dyDescent="0.15">
      <c r="A56" s="340">
        <v>12</v>
      </c>
      <c r="B56" s="341">
        <v>3272</v>
      </c>
      <c r="C56" s="390" t="s">
        <v>16050</v>
      </c>
      <c r="D56" s="849"/>
      <c r="E56" s="850"/>
      <c r="F56" s="850"/>
      <c r="G56" s="850"/>
      <c r="H56" s="852"/>
      <c r="R56" s="836">
        <f>'2重度訪問'!U56</f>
        <v>201</v>
      </c>
      <c r="S56" s="837"/>
      <c r="T56" s="837"/>
      <c r="U56" s="152" t="s">
        <v>15624</v>
      </c>
      <c r="V56" s="387"/>
      <c r="W56" s="343" t="s">
        <v>15625</v>
      </c>
      <c r="X56" s="325"/>
      <c r="Y56" s="325"/>
      <c r="Z56" s="325"/>
      <c r="AA56" s="325"/>
      <c r="AB56" s="325"/>
      <c r="AC56" s="325"/>
      <c r="AD56" s="325"/>
      <c r="AE56" s="325"/>
      <c r="AF56" s="325"/>
      <c r="AG56" s="325"/>
      <c r="AH56" s="325"/>
      <c r="AI56" s="325"/>
      <c r="AJ56" s="391" t="s">
        <v>15626</v>
      </c>
      <c r="AK56" s="838">
        <f>AK54</f>
        <v>1</v>
      </c>
      <c r="AL56" s="839"/>
      <c r="AM56" s="325"/>
      <c r="AN56" s="325"/>
      <c r="AO56" s="325"/>
      <c r="AP56" s="325"/>
      <c r="AQ56" s="325"/>
      <c r="AR56" s="325"/>
      <c r="AS56" s="325"/>
      <c r="AT56" s="325"/>
      <c r="AU56" s="754"/>
      <c r="AV56" s="744"/>
      <c r="AW56" s="716"/>
      <c r="AX56" s="489">
        <f>ROUND(ROUND(R56*AK56,0)*$AU$58,0)</f>
        <v>251</v>
      </c>
      <c r="AY56" s="393"/>
    </row>
    <row r="57" spans="1:51" ht="16.5" customHeight="1" x14ac:dyDescent="0.15">
      <c r="A57" s="340">
        <v>12</v>
      </c>
      <c r="B57" s="341">
        <v>7181</v>
      </c>
      <c r="C57" s="390" t="s">
        <v>16051</v>
      </c>
      <c r="D57" s="849"/>
      <c r="E57" s="850"/>
      <c r="F57" s="850"/>
      <c r="G57" s="850"/>
      <c r="H57" s="852"/>
      <c r="R57" s="395"/>
      <c r="S57" s="151"/>
      <c r="T57" s="151"/>
      <c r="V57" s="387"/>
      <c r="W57" s="343"/>
      <c r="X57" s="343"/>
      <c r="Y57" s="343"/>
      <c r="Z57" s="343"/>
      <c r="AA57" s="343"/>
      <c r="AB57" s="343"/>
      <c r="AC57" s="343"/>
      <c r="AD57" s="343"/>
      <c r="AE57" s="343"/>
      <c r="AF57" s="343"/>
      <c r="AG57" s="343"/>
      <c r="AH57" s="343"/>
      <c r="AI57" s="343"/>
      <c r="AJ57" s="343"/>
      <c r="AK57" s="343"/>
      <c r="AL57" s="343"/>
      <c r="AM57" s="114" t="s">
        <v>15628</v>
      </c>
      <c r="AN57" s="396"/>
      <c r="AO57" s="396"/>
      <c r="AP57" s="396"/>
      <c r="AQ57" s="396"/>
      <c r="AR57" s="396"/>
      <c r="AS57" s="396"/>
      <c r="AT57" s="396"/>
      <c r="AU57" s="893" t="s">
        <v>398</v>
      </c>
      <c r="AV57" s="894"/>
      <c r="AW57" s="895"/>
      <c r="AX57" s="489">
        <f>ROUND(ROUND(R56*AS58,0)*$AU$58,0)</f>
        <v>214</v>
      </c>
      <c r="AY57" s="393"/>
    </row>
    <row r="58" spans="1:51" ht="16.5" customHeight="1" x14ac:dyDescent="0.15">
      <c r="A58" s="340">
        <v>12</v>
      </c>
      <c r="B58" s="341">
        <v>7182</v>
      </c>
      <c r="C58" s="390" t="s">
        <v>16052</v>
      </c>
      <c r="D58" s="849"/>
      <c r="E58" s="850"/>
      <c r="F58" s="850"/>
      <c r="G58" s="850"/>
      <c r="H58" s="852"/>
      <c r="R58" s="395"/>
      <c r="S58" s="151"/>
      <c r="T58" s="151"/>
      <c r="V58" s="387"/>
      <c r="W58" s="343" t="s">
        <v>15625</v>
      </c>
      <c r="X58" s="325"/>
      <c r="Y58" s="325"/>
      <c r="Z58" s="325"/>
      <c r="AA58" s="325"/>
      <c r="AB58" s="325"/>
      <c r="AC58" s="325"/>
      <c r="AD58" s="325"/>
      <c r="AE58" s="325"/>
      <c r="AF58" s="325"/>
      <c r="AG58" s="325"/>
      <c r="AH58" s="325"/>
      <c r="AI58" s="325"/>
      <c r="AJ58" s="391" t="s">
        <v>15626</v>
      </c>
      <c r="AK58" s="838">
        <f>AK56</f>
        <v>1</v>
      </c>
      <c r="AL58" s="843"/>
      <c r="AM58" s="324" t="s">
        <v>15630</v>
      </c>
      <c r="AN58" s="325"/>
      <c r="AO58" s="325"/>
      <c r="AP58" s="325"/>
      <c r="AQ58" s="325"/>
      <c r="AR58" s="190" t="s">
        <v>398</v>
      </c>
      <c r="AS58" s="844">
        <f>AS54</f>
        <v>0.85</v>
      </c>
      <c r="AT58" s="844"/>
      <c r="AU58" s="896">
        <f>AU10</f>
        <v>1.25</v>
      </c>
      <c r="AV58" s="897"/>
      <c r="AW58" s="898"/>
      <c r="AX58" s="489">
        <f>ROUND(ROUND(ROUND(R56*AK58,0)*AS58,0)*$AU$58,0)</f>
        <v>214</v>
      </c>
      <c r="AY58" s="393"/>
    </row>
    <row r="59" spans="1:51" ht="17.100000000000001" customHeight="1" x14ac:dyDescent="0.15">
      <c r="A59" s="340">
        <v>12</v>
      </c>
      <c r="B59" s="341">
        <v>3281</v>
      </c>
      <c r="C59" s="390" t="s">
        <v>16053</v>
      </c>
      <c r="D59" s="832" t="s">
        <v>15632</v>
      </c>
      <c r="E59" s="833"/>
      <c r="F59" s="833"/>
      <c r="G59" s="833"/>
      <c r="H59" s="835"/>
      <c r="I59" s="253" t="s">
        <v>15695</v>
      </c>
      <c r="J59" s="396"/>
      <c r="K59" s="396"/>
      <c r="L59" s="396"/>
      <c r="M59" s="396"/>
      <c r="N59" s="396"/>
      <c r="O59" s="396"/>
      <c r="P59" s="396"/>
      <c r="Q59" s="396"/>
      <c r="R59" s="399"/>
      <c r="S59" s="400"/>
      <c r="T59" s="400"/>
      <c r="U59" s="396"/>
      <c r="V59" s="397"/>
      <c r="W59" s="343"/>
      <c r="X59" s="325"/>
      <c r="Y59" s="325"/>
      <c r="Z59" s="325"/>
      <c r="AA59" s="325"/>
      <c r="AB59" s="325"/>
      <c r="AC59" s="325"/>
      <c r="AD59" s="325"/>
      <c r="AE59" s="325"/>
      <c r="AF59" s="325"/>
      <c r="AG59" s="325"/>
      <c r="AH59" s="325"/>
      <c r="AI59" s="325"/>
      <c r="AJ59" s="391"/>
      <c r="AK59" s="401"/>
      <c r="AL59" s="402"/>
      <c r="AU59" s="490"/>
      <c r="AV59" s="152"/>
      <c r="AW59" s="387"/>
      <c r="AX59" s="489">
        <f>ROUND(ROUND(R60,0)*$AU$58,0)</f>
        <v>123</v>
      </c>
      <c r="AY59" s="393"/>
    </row>
    <row r="60" spans="1:51" ht="16.5" customHeight="1" x14ac:dyDescent="0.15">
      <c r="A60" s="340">
        <v>12</v>
      </c>
      <c r="B60" s="341">
        <v>3282</v>
      </c>
      <c r="C60" s="390" t="s">
        <v>16054</v>
      </c>
      <c r="D60" s="832"/>
      <c r="E60" s="833"/>
      <c r="F60" s="833"/>
      <c r="G60" s="833"/>
      <c r="H60" s="835"/>
      <c r="R60" s="836">
        <f>'2重度訪問'!U60</f>
        <v>98</v>
      </c>
      <c r="S60" s="837"/>
      <c r="T60" s="837"/>
      <c r="U60" s="152" t="s">
        <v>15624</v>
      </c>
      <c r="V60" s="387"/>
      <c r="W60" s="343" t="s">
        <v>15625</v>
      </c>
      <c r="X60" s="325"/>
      <c r="Y60" s="325"/>
      <c r="Z60" s="325"/>
      <c r="AA60" s="325"/>
      <c r="AB60" s="325"/>
      <c r="AC60" s="325"/>
      <c r="AD60" s="325"/>
      <c r="AE60" s="325"/>
      <c r="AF60" s="325"/>
      <c r="AG60" s="325"/>
      <c r="AH60" s="325"/>
      <c r="AI60" s="325"/>
      <c r="AJ60" s="391" t="s">
        <v>15626</v>
      </c>
      <c r="AK60" s="838">
        <f>AK58</f>
        <v>1</v>
      </c>
      <c r="AL60" s="839"/>
      <c r="AU60" s="490"/>
      <c r="AV60" s="152"/>
      <c r="AW60" s="387"/>
      <c r="AX60" s="489">
        <f>ROUND(ROUND(R60*AK60,0)*$AU$58,0)</f>
        <v>123</v>
      </c>
      <c r="AY60" s="393"/>
    </row>
    <row r="61" spans="1:51" ht="16.5" customHeight="1" x14ac:dyDescent="0.15">
      <c r="A61" s="340">
        <v>12</v>
      </c>
      <c r="B61" s="341">
        <v>7183</v>
      </c>
      <c r="C61" s="390" t="s">
        <v>16055</v>
      </c>
      <c r="D61" s="403"/>
      <c r="E61" s="404" t="s">
        <v>15636</v>
      </c>
      <c r="F61" s="854">
        <f>'2重度訪問'!$F$61</f>
        <v>1.085</v>
      </c>
      <c r="G61" s="855"/>
      <c r="H61" s="856"/>
      <c r="R61" s="395"/>
      <c r="S61" s="151"/>
      <c r="T61" s="151"/>
      <c r="V61" s="387"/>
      <c r="W61" s="343"/>
      <c r="X61" s="343"/>
      <c r="Y61" s="343"/>
      <c r="Z61" s="343"/>
      <c r="AA61" s="343"/>
      <c r="AB61" s="343"/>
      <c r="AC61" s="343"/>
      <c r="AD61" s="343"/>
      <c r="AE61" s="343"/>
      <c r="AF61" s="343"/>
      <c r="AG61" s="343"/>
      <c r="AH61" s="343"/>
      <c r="AI61" s="343"/>
      <c r="AJ61" s="343"/>
      <c r="AK61" s="343"/>
      <c r="AL61" s="343"/>
      <c r="AM61" s="114" t="s">
        <v>15628</v>
      </c>
      <c r="AN61" s="396"/>
      <c r="AO61" s="396"/>
      <c r="AP61" s="396"/>
      <c r="AQ61" s="396"/>
      <c r="AR61" s="396"/>
      <c r="AS61" s="396"/>
      <c r="AT61" s="396"/>
      <c r="AU61" s="490"/>
      <c r="AV61" s="152"/>
      <c r="AW61" s="387"/>
      <c r="AX61" s="489">
        <f>ROUND(ROUND(R60*AS62,0)*$AU$58,0)</f>
        <v>104</v>
      </c>
      <c r="AY61" s="393"/>
    </row>
    <row r="62" spans="1:51" ht="16.5" customHeight="1" x14ac:dyDescent="0.15">
      <c r="A62" s="340">
        <v>12</v>
      </c>
      <c r="B62" s="341">
        <v>7184</v>
      </c>
      <c r="C62" s="390" t="s">
        <v>16056</v>
      </c>
      <c r="D62" s="403"/>
      <c r="E62" s="404"/>
      <c r="F62" s="404"/>
      <c r="G62" s="404"/>
      <c r="H62" s="406"/>
      <c r="R62" s="395"/>
      <c r="S62" s="151"/>
      <c r="T62" s="151"/>
      <c r="V62" s="387"/>
      <c r="W62" s="343" t="s">
        <v>15625</v>
      </c>
      <c r="X62" s="325"/>
      <c r="Y62" s="325"/>
      <c r="Z62" s="325"/>
      <c r="AA62" s="325"/>
      <c r="AB62" s="325"/>
      <c r="AC62" s="325"/>
      <c r="AD62" s="325"/>
      <c r="AE62" s="325"/>
      <c r="AF62" s="325"/>
      <c r="AG62" s="325"/>
      <c r="AH62" s="325"/>
      <c r="AI62" s="325"/>
      <c r="AJ62" s="391" t="s">
        <v>15626</v>
      </c>
      <c r="AK62" s="838">
        <f>AK60</f>
        <v>1</v>
      </c>
      <c r="AL62" s="843"/>
      <c r="AM62" s="324" t="s">
        <v>15630</v>
      </c>
      <c r="AN62" s="325"/>
      <c r="AO62" s="325"/>
      <c r="AP62" s="325"/>
      <c r="AQ62" s="325"/>
      <c r="AR62" s="190" t="s">
        <v>398</v>
      </c>
      <c r="AS62" s="844">
        <f>AS58</f>
        <v>0.85</v>
      </c>
      <c r="AT62" s="844"/>
      <c r="AU62" s="490"/>
      <c r="AV62" s="152"/>
      <c r="AW62" s="387"/>
      <c r="AX62" s="489">
        <f>ROUND(ROUND(ROUND(R60*AK62,0)*AS62,0)*$AU$58,0)</f>
        <v>104</v>
      </c>
      <c r="AY62" s="393"/>
    </row>
    <row r="63" spans="1:51" ht="16.5" customHeight="1" x14ac:dyDescent="0.15">
      <c r="A63" s="340">
        <v>12</v>
      </c>
      <c r="B63" s="341">
        <v>3441</v>
      </c>
      <c r="C63" s="390" t="s">
        <v>16057</v>
      </c>
      <c r="D63" s="403"/>
      <c r="E63" s="404"/>
      <c r="F63" s="404"/>
      <c r="G63" s="404"/>
      <c r="H63" s="406"/>
      <c r="I63" s="253" t="s">
        <v>15639</v>
      </c>
      <c r="J63" s="396"/>
      <c r="K63" s="396"/>
      <c r="L63" s="396"/>
      <c r="M63" s="396"/>
      <c r="N63" s="396"/>
      <c r="O63" s="396"/>
      <c r="P63" s="396"/>
      <c r="Q63" s="396"/>
      <c r="R63" s="399"/>
      <c r="S63" s="400"/>
      <c r="T63" s="400"/>
      <c r="U63" s="396"/>
      <c r="V63" s="397"/>
      <c r="W63" s="343"/>
      <c r="X63" s="325"/>
      <c r="Y63" s="325"/>
      <c r="Z63" s="325"/>
      <c r="AA63" s="325"/>
      <c r="AB63" s="325"/>
      <c r="AC63" s="325"/>
      <c r="AD63" s="325"/>
      <c r="AE63" s="325"/>
      <c r="AF63" s="325"/>
      <c r="AG63" s="325"/>
      <c r="AH63" s="325"/>
      <c r="AI63" s="325"/>
      <c r="AJ63" s="391"/>
      <c r="AK63" s="401"/>
      <c r="AL63" s="402"/>
      <c r="AM63" s="396"/>
      <c r="AN63" s="396"/>
      <c r="AO63" s="396"/>
      <c r="AP63" s="396"/>
      <c r="AQ63" s="396"/>
      <c r="AR63" s="396"/>
      <c r="AS63" s="396"/>
      <c r="AT63" s="396"/>
      <c r="AU63" s="490"/>
      <c r="AV63" s="152"/>
      <c r="AW63" s="387"/>
      <c r="AX63" s="489">
        <f>ROUND(ROUND(R64,0)*$AU$58,0)</f>
        <v>125</v>
      </c>
      <c r="AY63" s="393"/>
    </row>
    <row r="64" spans="1:51" ht="16.5" customHeight="1" x14ac:dyDescent="0.15">
      <c r="A64" s="340">
        <v>12</v>
      </c>
      <c r="B64" s="341">
        <v>3442</v>
      </c>
      <c r="C64" s="390" t="s">
        <v>16058</v>
      </c>
      <c r="D64" s="403"/>
      <c r="E64" s="404"/>
      <c r="F64" s="404"/>
      <c r="G64" s="404"/>
      <c r="H64" s="406"/>
      <c r="R64" s="836">
        <f>'2重度訪問'!U64</f>
        <v>100</v>
      </c>
      <c r="S64" s="837"/>
      <c r="T64" s="837"/>
      <c r="U64" s="152" t="s">
        <v>15624</v>
      </c>
      <c r="V64" s="387"/>
      <c r="W64" s="343" t="s">
        <v>15625</v>
      </c>
      <c r="X64" s="325"/>
      <c r="Y64" s="325"/>
      <c r="Z64" s="325"/>
      <c r="AA64" s="325"/>
      <c r="AB64" s="325"/>
      <c r="AC64" s="325"/>
      <c r="AD64" s="325"/>
      <c r="AE64" s="325"/>
      <c r="AF64" s="325"/>
      <c r="AG64" s="325"/>
      <c r="AH64" s="325"/>
      <c r="AI64" s="325"/>
      <c r="AJ64" s="391" t="s">
        <v>15626</v>
      </c>
      <c r="AK64" s="838">
        <f>AK62</f>
        <v>1</v>
      </c>
      <c r="AL64" s="839"/>
      <c r="AM64" s="325"/>
      <c r="AN64" s="325"/>
      <c r="AO64" s="325"/>
      <c r="AP64" s="325"/>
      <c r="AQ64" s="325"/>
      <c r="AR64" s="325"/>
      <c r="AS64" s="325"/>
      <c r="AT64" s="325"/>
      <c r="AU64" s="490"/>
      <c r="AV64" s="152"/>
      <c r="AW64" s="387"/>
      <c r="AX64" s="489">
        <f>ROUND(ROUND(R64*AK64,0)*$AU$58,0)</f>
        <v>125</v>
      </c>
      <c r="AY64" s="393"/>
    </row>
    <row r="65" spans="1:51" ht="16.5" customHeight="1" x14ac:dyDescent="0.15">
      <c r="A65" s="340">
        <v>12</v>
      </c>
      <c r="B65" s="341">
        <v>7185</v>
      </c>
      <c r="C65" s="390" t="s">
        <v>16059</v>
      </c>
      <c r="D65" s="403"/>
      <c r="E65" s="404"/>
      <c r="F65" s="404"/>
      <c r="G65" s="404"/>
      <c r="H65" s="406"/>
      <c r="R65" s="395"/>
      <c r="S65" s="151"/>
      <c r="T65" s="151"/>
      <c r="V65" s="387"/>
      <c r="W65" s="343"/>
      <c r="X65" s="343"/>
      <c r="Y65" s="343"/>
      <c r="Z65" s="343"/>
      <c r="AA65" s="343"/>
      <c r="AB65" s="343"/>
      <c r="AC65" s="343"/>
      <c r="AD65" s="343"/>
      <c r="AE65" s="343"/>
      <c r="AF65" s="343"/>
      <c r="AG65" s="343"/>
      <c r="AH65" s="343"/>
      <c r="AI65" s="343"/>
      <c r="AJ65" s="343"/>
      <c r="AK65" s="343"/>
      <c r="AL65" s="343"/>
      <c r="AM65" s="114" t="s">
        <v>15628</v>
      </c>
      <c r="AN65" s="396"/>
      <c r="AO65" s="396"/>
      <c r="AP65" s="396"/>
      <c r="AQ65" s="396"/>
      <c r="AR65" s="396"/>
      <c r="AS65" s="396"/>
      <c r="AT65" s="396"/>
      <c r="AU65" s="490"/>
      <c r="AV65" s="152"/>
      <c r="AW65" s="387"/>
      <c r="AX65" s="489">
        <f>ROUND(ROUND(R64*AS66,0)*$AU$58,0)</f>
        <v>106</v>
      </c>
      <c r="AY65" s="393"/>
    </row>
    <row r="66" spans="1:51" ht="16.5" customHeight="1" x14ac:dyDescent="0.15">
      <c r="A66" s="340">
        <v>12</v>
      </c>
      <c r="B66" s="341">
        <v>7186</v>
      </c>
      <c r="C66" s="390" t="s">
        <v>16060</v>
      </c>
      <c r="D66" s="403"/>
      <c r="E66" s="404"/>
      <c r="F66" s="404"/>
      <c r="G66" s="404"/>
      <c r="H66" s="406"/>
      <c r="R66" s="395"/>
      <c r="S66" s="151"/>
      <c r="T66" s="151"/>
      <c r="V66" s="387"/>
      <c r="W66" s="343" t="s">
        <v>15625</v>
      </c>
      <c r="X66" s="325"/>
      <c r="Y66" s="325"/>
      <c r="Z66" s="325"/>
      <c r="AA66" s="325"/>
      <c r="AB66" s="325"/>
      <c r="AC66" s="325"/>
      <c r="AD66" s="325"/>
      <c r="AE66" s="325"/>
      <c r="AF66" s="325"/>
      <c r="AG66" s="325"/>
      <c r="AH66" s="325"/>
      <c r="AI66" s="325"/>
      <c r="AJ66" s="391" t="s">
        <v>15626</v>
      </c>
      <c r="AK66" s="838">
        <f>AK64</f>
        <v>1</v>
      </c>
      <c r="AL66" s="843"/>
      <c r="AM66" s="324" t="s">
        <v>15630</v>
      </c>
      <c r="AN66" s="325"/>
      <c r="AO66" s="325"/>
      <c r="AP66" s="325"/>
      <c r="AQ66" s="325"/>
      <c r="AR66" s="190" t="s">
        <v>398</v>
      </c>
      <c r="AS66" s="844">
        <f>AS62</f>
        <v>0.85</v>
      </c>
      <c r="AT66" s="844"/>
      <c r="AU66" s="490"/>
      <c r="AV66" s="152"/>
      <c r="AW66" s="387"/>
      <c r="AX66" s="489">
        <f>ROUND(ROUND(ROUND(R64*AK66,0)*AS66,0)*$AU$58,0)</f>
        <v>106</v>
      </c>
      <c r="AY66" s="393"/>
    </row>
    <row r="67" spans="1:51" ht="16.5" customHeight="1" x14ac:dyDescent="0.15">
      <c r="A67" s="340">
        <v>12</v>
      </c>
      <c r="B67" s="341">
        <v>3451</v>
      </c>
      <c r="C67" s="390" t="s">
        <v>16061</v>
      </c>
      <c r="D67" s="403"/>
      <c r="E67" s="404"/>
      <c r="F67" s="404"/>
      <c r="G67" s="404"/>
      <c r="H67" s="406"/>
      <c r="I67" s="253" t="s">
        <v>15644</v>
      </c>
      <c r="J67" s="396"/>
      <c r="K67" s="396"/>
      <c r="L67" s="396"/>
      <c r="M67" s="396"/>
      <c r="N67" s="396"/>
      <c r="O67" s="396"/>
      <c r="P67" s="396"/>
      <c r="Q67" s="396"/>
      <c r="R67" s="399"/>
      <c r="S67" s="400"/>
      <c r="T67" s="400"/>
      <c r="U67" s="396"/>
      <c r="V67" s="397"/>
      <c r="W67" s="343"/>
      <c r="X67" s="325"/>
      <c r="Y67" s="325"/>
      <c r="Z67" s="325"/>
      <c r="AA67" s="325"/>
      <c r="AB67" s="325"/>
      <c r="AC67" s="325"/>
      <c r="AD67" s="325"/>
      <c r="AE67" s="325"/>
      <c r="AF67" s="325"/>
      <c r="AG67" s="325"/>
      <c r="AH67" s="325"/>
      <c r="AI67" s="325"/>
      <c r="AJ67" s="391"/>
      <c r="AK67" s="401"/>
      <c r="AL67" s="402"/>
      <c r="AM67" s="396"/>
      <c r="AN67" s="396"/>
      <c r="AO67" s="396"/>
      <c r="AP67" s="396"/>
      <c r="AQ67" s="396"/>
      <c r="AR67" s="396"/>
      <c r="AS67" s="396"/>
      <c r="AT67" s="396"/>
      <c r="AU67" s="490"/>
      <c r="AV67" s="152"/>
      <c r="AW67" s="387"/>
      <c r="AX67" s="489">
        <f>ROUND(ROUND(R68,0)*$AU$58,0)</f>
        <v>124</v>
      </c>
      <c r="AY67" s="393"/>
    </row>
    <row r="68" spans="1:51" ht="16.5" customHeight="1" x14ac:dyDescent="0.15">
      <c r="A68" s="340">
        <v>12</v>
      </c>
      <c r="B68" s="341">
        <v>3452</v>
      </c>
      <c r="C68" s="390" t="s">
        <v>16062</v>
      </c>
      <c r="D68" s="403"/>
      <c r="E68" s="404"/>
      <c r="F68" s="404"/>
      <c r="G68" s="404"/>
      <c r="H68" s="406"/>
      <c r="R68" s="836">
        <f>'2重度訪問'!U68</f>
        <v>99</v>
      </c>
      <c r="S68" s="837"/>
      <c r="T68" s="837"/>
      <c r="U68" s="152" t="s">
        <v>15624</v>
      </c>
      <c r="V68" s="387"/>
      <c r="W68" s="343" t="s">
        <v>15625</v>
      </c>
      <c r="X68" s="325"/>
      <c r="Y68" s="325"/>
      <c r="Z68" s="325"/>
      <c r="AA68" s="325"/>
      <c r="AB68" s="325"/>
      <c r="AC68" s="325"/>
      <c r="AD68" s="325"/>
      <c r="AE68" s="325"/>
      <c r="AF68" s="325"/>
      <c r="AG68" s="325"/>
      <c r="AH68" s="325"/>
      <c r="AI68" s="325"/>
      <c r="AJ68" s="391" t="s">
        <v>15626</v>
      </c>
      <c r="AK68" s="838">
        <f>AK66</f>
        <v>1</v>
      </c>
      <c r="AL68" s="839"/>
      <c r="AM68" s="325"/>
      <c r="AN68" s="325"/>
      <c r="AO68" s="325"/>
      <c r="AP68" s="325"/>
      <c r="AQ68" s="325"/>
      <c r="AR68" s="325"/>
      <c r="AS68" s="325"/>
      <c r="AT68" s="325"/>
      <c r="AU68" s="490"/>
      <c r="AV68" s="152"/>
      <c r="AW68" s="387"/>
      <c r="AX68" s="489">
        <f>ROUND(ROUND(R68*AK68,0)*$AU$58,0)</f>
        <v>124</v>
      </c>
      <c r="AY68" s="393"/>
    </row>
    <row r="69" spans="1:51" ht="16.5" customHeight="1" x14ac:dyDescent="0.15">
      <c r="A69" s="340">
        <v>12</v>
      </c>
      <c r="B69" s="341">
        <v>7187</v>
      </c>
      <c r="C69" s="390" t="s">
        <v>16063</v>
      </c>
      <c r="D69" s="403"/>
      <c r="E69" s="404"/>
      <c r="F69" s="404"/>
      <c r="G69" s="404"/>
      <c r="H69" s="406"/>
      <c r="R69" s="395"/>
      <c r="S69" s="151"/>
      <c r="T69" s="151"/>
      <c r="V69" s="387"/>
      <c r="W69" s="343"/>
      <c r="X69" s="343"/>
      <c r="Y69" s="343"/>
      <c r="Z69" s="343"/>
      <c r="AA69" s="343"/>
      <c r="AB69" s="343"/>
      <c r="AC69" s="343"/>
      <c r="AD69" s="343"/>
      <c r="AE69" s="343"/>
      <c r="AF69" s="343"/>
      <c r="AG69" s="343"/>
      <c r="AH69" s="343"/>
      <c r="AI69" s="343"/>
      <c r="AJ69" s="343"/>
      <c r="AK69" s="343"/>
      <c r="AL69" s="343"/>
      <c r="AM69" s="114" t="s">
        <v>15628</v>
      </c>
      <c r="AN69" s="396"/>
      <c r="AO69" s="396"/>
      <c r="AP69" s="396"/>
      <c r="AQ69" s="396"/>
      <c r="AR69" s="396"/>
      <c r="AS69" s="396"/>
      <c r="AT69" s="396"/>
      <c r="AU69" s="490"/>
      <c r="AV69" s="152"/>
      <c r="AW69" s="387"/>
      <c r="AX69" s="489">
        <f>ROUND(ROUND(R68*AS70,0)*$AU$58,0)</f>
        <v>105</v>
      </c>
      <c r="AY69" s="393"/>
    </row>
    <row r="70" spans="1:51" ht="16.5" customHeight="1" x14ac:dyDescent="0.15">
      <c r="A70" s="340">
        <v>12</v>
      </c>
      <c r="B70" s="341">
        <v>7188</v>
      </c>
      <c r="C70" s="390" t="s">
        <v>16064</v>
      </c>
      <c r="D70" s="403"/>
      <c r="E70" s="404"/>
      <c r="F70" s="404"/>
      <c r="G70" s="404"/>
      <c r="H70" s="406"/>
      <c r="R70" s="395"/>
      <c r="S70" s="151"/>
      <c r="T70" s="151"/>
      <c r="V70" s="387"/>
      <c r="W70" s="343" t="s">
        <v>15625</v>
      </c>
      <c r="X70" s="325"/>
      <c r="Y70" s="325"/>
      <c r="Z70" s="325"/>
      <c r="AA70" s="325"/>
      <c r="AB70" s="325"/>
      <c r="AC70" s="325"/>
      <c r="AD70" s="325"/>
      <c r="AE70" s="325"/>
      <c r="AF70" s="325"/>
      <c r="AG70" s="325"/>
      <c r="AH70" s="325"/>
      <c r="AI70" s="325"/>
      <c r="AJ70" s="391" t="s">
        <v>15626</v>
      </c>
      <c r="AK70" s="838">
        <f>AK68</f>
        <v>1</v>
      </c>
      <c r="AL70" s="843"/>
      <c r="AM70" s="324" t="s">
        <v>15630</v>
      </c>
      <c r="AN70" s="325"/>
      <c r="AO70" s="325"/>
      <c r="AP70" s="325"/>
      <c r="AQ70" s="325"/>
      <c r="AR70" s="190" t="s">
        <v>398</v>
      </c>
      <c r="AS70" s="844">
        <f>AS66</f>
        <v>0.85</v>
      </c>
      <c r="AT70" s="844"/>
      <c r="AU70" s="490"/>
      <c r="AV70" s="152"/>
      <c r="AW70" s="387"/>
      <c r="AX70" s="489">
        <f>ROUND(ROUND(ROUND(R68*AK70,0)*AS70,0)*$AU$58,0)</f>
        <v>105</v>
      </c>
      <c r="AY70" s="393"/>
    </row>
    <row r="71" spans="1:51" ht="16.5" customHeight="1" x14ac:dyDescent="0.15">
      <c r="A71" s="340">
        <v>12</v>
      </c>
      <c r="B71" s="341">
        <v>3461</v>
      </c>
      <c r="C71" s="390" t="s">
        <v>16065</v>
      </c>
      <c r="D71" s="403"/>
      <c r="E71" s="404"/>
      <c r="F71" s="404"/>
      <c r="G71" s="404"/>
      <c r="H71" s="406"/>
      <c r="I71" s="253" t="s">
        <v>15649</v>
      </c>
      <c r="J71" s="396"/>
      <c r="K71" s="396"/>
      <c r="L71" s="396"/>
      <c r="M71" s="396"/>
      <c r="N71" s="396"/>
      <c r="O71" s="396"/>
      <c r="P71" s="396"/>
      <c r="Q71" s="396"/>
      <c r="R71" s="399"/>
      <c r="S71" s="400"/>
      <c r="T71" s="400"/>
      <c r="U71" s="396"/>
      <c r="V71" s="397"/>
      <c r="W71" s="343"/>
      <c r="X71" s="325"/>
      <c r="Y71" s="325"/>
      <c r="Z71" s="325"/>
      <c r="AA71" s="325"/>
      <c r="AB71" s="325"/>
      <c r="AC71" s="325"/>
      <c r="AD71" s="325"/>
      <c r="AE71" s="325"/>
      <c r="AF71" s="325"/>
      <c r="AG71" s="325"/>
      <c r="AH71" s="325"/>
      <c r="AI71" s="325"/>
      <c r="AJ71" s="391"/>
      <c r="AK71" s="401"/>
      <c r="AL71" s="402"/>
      <c r="AM71" s="396"/>
      <c r="AN71" s="396"/>
      <c r="AO71" s="396"/>
      <c r="AP71" s="396"/>
      <c r="AQ71" s="396"/>
      <c r="AR71" s="396"/>
      <c r="AS71" s="396"/>
      <c r="AT71" s="396"/>
      <c r="AU71" s="490"/>
      <c r="AV71" s="152"/>
      <c r="AW71" s="387"/>
      <c r="AX71" s="489">
        <f>ROUND(ROUND(R72,0)*$AU$58,0)</f>
        <v>125</v>
      </c>
      <c r="AY71" s="393"/>
    </row>
    <row r="72" spans="1:51" ht="16.5" customHeight="1" x14ac:dyDescent="0.15">
      <c r="A72" s="340">
        <v>12</v>
      </c>
      <c r="B72" s="341">
        <v>3462</v>
      </c>
      <c r="C72" s="390" t="s">
        <v>16066</v>
      </c>
      <c r="D72" s="403"/>
      <c r="E72" s="404"/>
      <c r="F72" s="404"/>
      <c r="G72" s="404"/>
      <c r="H72" s="406"/>
      <c r="R72" s="836">
        <f>'2重度訪問'!U72</f>
        <v>100</v>
      </c>
      <c r="S72" s="837"/>
      <c r="T72" s="837"/>
      <c r="U72" s="152" t="s">
        <v>15624</v>
      </c>
      <c r="V72" s="387"/>
      <c r="W72" s="343" t="s">
        <v>15625</v>
      </c>
      <c r="X72" s="325"/>
      <c r="Y72" s="325"/>
      <c r="Z72" s="325"/>
      <c r="AA72" s="325"/>
      <c r="AB72" s="325"/>
      <c r="AC72" s="325"/>
      <c r="AD72" s="325"/>
      <c r="AE72" s="325"/>
      <c r="AF72" s="325"/>
      <c r="AG72" s="325"/>
      <c r="AH72" s="325"/>
      <c r="AI72" s="325"/>
      <c r="AJ72" s="391" t="s">
        <v>15626</v>
      </c>
      <c r="AK72" s="838">
        <f>AK70</f>
        <v>1</v>
      </c>
      <c r="AL72" s="839"/>
      <c r="AM72" s="325"/>
      <c r="AN72" s="325"/>
      <c r="AO72" s="325"/>
      <c r="AP72" s="325"/>
      <c r="AQ72" s="325"/>
      <c r="AR72" s="325"/>
      <c r="AS72" s="325"/>
      <c r="AT72" s="325"/>
      <c r="AU72" s="490"/>
      <c r="AV72" s="152"/>
      <c r="AW72" s="387"/>
      <c r="AX72" s="489">
        <f>ROUND(ROUND(R72*AK72,0)*$AU$58,0)</f>
        <v>125</v>
      </c>
      <c r="AY72" s="393"/>
    </row>
    <row r="73" spans="1:51" ht="16.5" customHeight="1" x14ac:dyDescent="0.15">
      <c r="A73" s="340">
        <v>12</v>
      </c>
      <c r="B73" s="341">
        <v>7189</v>
      </c>
      <c r="C73" s="390" t="s">
        <v>16067</v>
      </c>
      <c r="D73" s="403"/>
      <c r="E73" s="404"/>
      <c r="F73" s="404"/>
      <c r="G73" s="404"/>
      <c r="H73" s="406"/>
      <c r="R73" s="395"/>
      <c r="S73" s="151"/>
      <c r="T73" s="151"/>
      <c r="V73" s="387"/>
      <c r="W73" s="343"/>
      <c r="X73" s="343"/>
      <c r="Y73" s="343"/>
      <c r="Z73" s="343"/>
      <c r="AA73" s="343"/>
      <c r="AB73" s="343"/>
      <c r="AC73" s="343"/>
      <c r="AD73" s="343"/>
      <c r="AE73" s="343"/>
      <c r="AF73" s="343"/>
      <c r="AG73" s="343"/>
      <c r="AH73" s="343"/>
      <c r="AI73" s="343"/>
      <c r="AJ73" s="343"/>
      <c r="AK73" s="343"/>
      <c r="AL73" s="343"/>
      <c r="AM73" s="114" t="s">
        <v>15628</v>
      </c>
      <c r="AN73" s="396"/>
      <c r="AO73" s="396"/>
      <c r="AP73" s="396"/>
      <c r="AQ73" s="396"/>
      <c r="AR73" s="396"/>
      <c r="AS73" s="396"/>
      <c r="AT73" s="396"/>
      <c r="AU73" s="490"/>
      <c r="AV73" s="152"/>
      <c r="AW73" s="387"/>
      <c r="AX73" s="489">
        <f>ROUND(ROUND(R72*AS74,0)*$AU$58,0)</f>
        <v>106</v>
      </c>
      <c r="AY73" s="393"/>
    </row>
    <row r="74" spans="1:51" ht="16.5" customHeight="1" x14ac:dyDescent="0.15">
      <c r="A74" s="340">
        <v>12</v>
      </c>
      <c r="B74" s="341">
        <v>7190</v>
      </c>
      <c r="C74" s="390" t="s">
        <v>16068</v>
      </c>
      <c r="D74" s="403"/>
      <c r="E74" s="404"/>
      <c r="F74" s="404"/>
      <c r="G74" s="404"/>
      <c r="H74" s="406"/>
      <c r="R74" s="395"/>
      <c r="S74" s="151"/>
      <c r="T74" s="151"/>
      <c r="V74" s="387"/>
      <c r="W74" s="343" t="s">
        <v>15625</v>
      </c>
      <c r="X74" s="325"/>
      <c r="Y74" s="325"/>
      <c r="Z74" s="325"/>
      <c r="AA74" s="325"/>
      <c r="AB74" s="325"/>
      <c r="AC74" s="325"/>
      <c r="AD74" s="325"/>
      <c r="AE74" s="325"/>
      <c r="AF74" s="325"/>
      <c r="AG74" s="325"/>
      <c r="AH74" s="325"/>
      <c r="AI74" s="325"/>
      <c r="AJ74" s="391" t="s">
        <v>15626</v>
      </c>
      <c r="AK74" s="838">
        <f>AK72</f>
        <v>1</v>
      </c>
      <c r="AL74" s="843"/>
      <c r="AM74" s="324" t="s">
        <v>15630</v>
      </c>
      <c r="AN74" s="325"/>
      <c r="AO74" s="325"/>
      <c r="AP74" s="325"/>
      <c r="AQ74" s="325"/>
      <c r="AR74" s="190" t="s">
        <v>398</v>
      </c>
      <c r="AS74" s="844">
        <f>AS70</f>
        <v>0.85</v>
      </c>
      <c r="AT74" s="844"/>
      <c r="AU74" s="490"/>
      <c r="AV74" s="152"/>
      <c r="AW74" s="387"/>
      <c r="AX74" s="489">
        <f>ROUND(ROUND(ROUND(R72*AK74,0)*AS74,0)*$AU$58,0)</f>
        <v>106</v>
      </c>
      <c r="AY74" s="393"/>
    </row>
    <row r="75" spans="1:51" ht="16.5" customHeight="1" x14ac:dyDescent="0.15">
      <c r="A75" s="340">
        <v>12</v>
      </c>
      <c r="B75" s="341">
        <v>3471</v>
      </c>
      <c r="C75" s="390" t="s">
        <v>16069</v>
      </c>
      <c r="D75" s="403"/>
      <c r="E75" s="404"/>
      <c r="F75" s="404"/>
      <c r="G75" s="404"/>
      <c r="H75" s="406"/>
      <c r="I75" s="253" t="s">
        <v>15654</v>
      </c>
      <c r="J75" s="396"/>
      <c r="K75" s="396"/>
      <c r="L75" s="396"/>
      <c r="M75" s="396"/>
      <c r="N75" s="396"/>
      <c r="O75" s="396"/>
      <c r="P75" s="396"/>
      <c r="Q75" s="396"/>
      <c r="R75" s="399"/>
      <c r="S75" s="400"/>
      <c r="T75" s="400"/>
      <c r="U75" s="396"/>
      <c r="V75" s="397"/>
      <c r="W75" s="343"/>
      <c r="X75" s="325"/>
      <c r="Y75" s="325"/>
      <c r="Z75" s="325"/>
      <c r="AA75" s="325"/>
      <c r="AB75" s="325"/>
      <c r="AC75" s="325"/>
      <c r="AD75" s="325"/>
      <c r="AE75" s="325"/>
      <c r="AF75" s="325"/>
      <c r="AG75" s="325"/>
      <c r="AH75" s="325"/>
      <c r="AI75" s="325"/>
      <c r="AJ75" s="391"/>
      <c r="AK75" s="401"/>
      <c r="AL75" s="402"/>
      <c r="AM75" s="396"/>
      <c r="AN75" s="396"/>
      <c r="AO75" s="396"/>
      <c r="AP75" s="396"/>
      <c r="AQ75" s="396"/>
      <c r="AR75" s="396"/>
      <c r="AS75" s="396"/>
      <c r="AT75" s="396"/>
      <c r="AU75" s="490"/>
      <c r="AV75" s="152"/>
      <c r="AW75" s="387"/>
      <c r="AX75" s="489">
        <f>ROUND(ROUND(R76,0)*$AU$58,0)</f>
        <v>123</v>
      </c>
      <c r="AY75" s="393"/>
    </row>
    <row r="76" spans="1:51" ht="16.5" customHeight="1" x14ac:dyDescent="0.15">
      <c r="A76" s="340">
        <v>12</v>
      </c>
      <c r="B76" s="341">
        <v>3472</v>
      </c>
      <c r="C76" s="390" t="s">
        <v>16070</v>
      </c>
      <c r="D76" s="403"/>
      <c r="E76" s="404"/>
      <c r="F76" s="404"/>
      <c r="G76" s="404"/>
      <c r="H76" s="406"/>
      <c r="R76" s="836">
        <f>'2重度訪問'!U76</f>
        <v>98</v>
      </c>
      <c r="S76" s="837"/>
      <c r="T76" s="837"/>
      <c r="U76" s="152" t="s">
        <v>15624</v>
      </c>
      <c r="V76" s="387"/>
      <c r="W76" s="343" t="s">
        <v>15625</v>
      </c>
      <c r="X76" s="325"/>
      <c r="Y76" s="325"/>
      <c r="Z76" s="325"/>
      <c r="AA76" s="325"/>
      <c r="AB76" s="325"/>
      <c r="AC76" s="325"/>
      <c r="AD76" s="325"/>
      <c r="AE76" s="325"/>
      <c r="AF76" s="325"/>
      <c r="AG76" s="325"/>
      <c r="AH76" s="325"/>
      <c r="AI76" s="325"/>
      <c r="AJ76" s="391" t="s">
        <v>15626</v>
      </c>
      <c r="AK76" s="838">
        <f>AK74</f>
        <v>1</v>
      </c>
      <c r="AL76" s="839"/>
      <c r="AM76" s="325"/>
      <c r="AN76" s="325"/>
      <c r="AO76" s="325"/>
      <c r="AP76" s="325"/>
      <c r="AQ76" s="325"/>
      <c r="AR76" s="325"/>
      <c r="AS76" s="325"/>
      <c r="AT76" s="325"/>
      <c r="AU76" s="490"/>
      <c r="AV76" s="152"/>
      <c r="AW76" s="387"/>
      <c r="AX76" s="489">
        <f>ROUND(ROUND(R76*AK76,0)*$AU$58,0)</f>
        <v>123</v>
      </c>
      <c r="AY76" s="393"/>
    </row>
    <row r="77" spans="1:51" ht="16.5" customHeight="1" x14ac:dyDescent="0.15">
      <c r="A77" s="340">
        <v>12</v>
      </c>
      <c r="B77" s="341">
        <v>7191</v>
      </c>
      <c r="C77" s="390" t="s">
        <v>16071</v>
      </c>
      <c r="D77" s="403"/>
      <c r="E77" s="404"/>
      <c r="F77" s="404"/>
      <c r="G77" s="404"/>
      <c r="H77" s="406"/>
      <c r="R77" s="395"/>
      <c r="S77" s="151"/>
      <c r="T77" s="151"/>
      <c r="V77" s="387"/>
      <c r="W77" s="343"/>
      <c r="X77" s="343"/>
      <c r="Y77" s="343"/>
      <c r="Z77" s="343"/>
      <c r="AA77" s="343"/>
      <c r="AB77" s="343"/>
      <c r="AC77" s="343"/>
      <c r="AD77" s="343"/>
      <c r="AE77" s="343"/>
      <c r="AF77" s="343"/>
      <c r="AG77" s="343"/>
      <c r="AH77" s="343"/>
      <c r="AI77" s="343"/>
      <c r="AJ77" s="343"/>
      <c r="AK77" s="343"/>
      <c r="AL77" s="343"/>
      <c r="AM77" s="114" t="s">
        <v>15628</v>
      </c>
      <c r="AN77" s="396"/>
      <c r="AO77" s="396"/>
      <c r="AP77" s="396"/>
      <c r="AQ77" s="396"/>
      <c r="AR77" s="396"/>
      <c r="AS77" s="396"/>
      <c r="AT77" s="396"/>
      <c r="AU77" s="490"/>
      <c r="AV77" s="152"/>
      <c r="AW77" s="387"/>
      <c r="AX77" s="489">
        <f>ROUND(ROUND(R76*AS78,0)*$AU$58,0)</f>
        <v>104</v>
      </c>
      <c r="AY77" s="393"/>
    </row>
    <row r="78" spans="1:51" ht="16.5" customHeight="1" x14ac:dyDescent="0.15">
      <c r="A78" s="340">
        <v>12</v>
      </c>
      <c r="B78" s="341">
        <v>7192</v>
      </c>
      <c r="C78" s="390" t="s">
        <v>16072</v>
      </c>
      <c r="D78" s="403"/>
      <c r="E78" s="404"/>
      <c r="F78" s="404"/>
      <c r="G78" s="404"/>
      <c r="H78" s="406"/>
      <c r="R78" s="395"/>
      <c r="S78" s="151"/>
      <c r="T78" s="151"/>
      <c r="V78" s="387"/>
      <c r="W78" s="343" t="s">
        <v>15625</v>
      </c>
      <c r="X78" s="325"/>
      <c r="Y78" s="325"/>
      <c r="Z78" s="325"/>
      <c r="AA78" s="325"/>
      <c r="AB78" s="325"/>
      <c r="AC78" s="325"/>
      <c r="AD78" s="325"/>
      <c r="AE78" s="325"/>
      <c r="AF78" s="325"/>
      <c r="AG78" s="325"/>
      <c r="AH78" s="325"/>
      <c r="AI78" s="325"/>
      <c r="AJ78" s="391" t="s">
        <v>15626</v>
      </c>
      <c r="AK78" s="838">
        <f>AK76</f>
        <v>1</v>
      </c>
      <c r="AL78" s="843"/>
      <c r="AM78" s="324" t="s">
        <v>15630</v>
      </c>
      <c r="AN78" s="325"/>
      <c r="AO78" s="325"/>
      <c r="AP78" s="325"/>
      <c r="AQ78" s="325"/>
      <c r="AR78" s="190" t="s">
        <v>398</v>
      </c>
      <c r="AS78" s="844">
        <f>AS74</f>
        <v>0.85</v>
      </c>
      <c r="AT78" s="844"/>
      <c r="AU78" s="490"/>
      <c r="AV78" s="152"/>
      <c r="AW78" s="387"/>
      <c r="AX78" s="489">
        <f>ROUND(ROUND(ROUND(R76*AK78,0)*AS78,0)*$AU$58,0)</f>
        <v>104</v>
      </c>
      <c r="AY78" s="393"/>
    </row>
    <row r="79" spans="1:51" ht="16.5" customHeight="1" x14ac:dyDescent="0.15">
      <c r="A79" s="340">
        <v>12</v>
      </c>
      <c r="B79" s="341">
        <v>3481</v>
      </c>
      <c r="C79" s="390" t="s">
        <v>16073</v>
      </c>
      <c r="D79" s="403"/>
      <c r="E79" s="404"/>
      <c r="F79" s="404"/>
      <c r="G79" s="404"/>
      <c r="H79" s="406"/>
      <c r="I79" s="253" t="s">
        <v>15659</v>
      </c>
      <c r="J79" s="396"/>
      <c r="K79" s="396"/>
      <c r="L79" s="396"/>
      <c r="M79" s="396"/>
      <c r="N79" s="396"/>
      <c r="O79" s="396"/>
      <c r="P79" s="396"/>
      <c r="Q79" s="396"/>
      <c r="R79" s="399"/>
      <c r="S79" s="400"/>
      <c r="T79" s="400"/>
      <c r="U79" s="396"/>
      <c r="V79" s="397"/>
      <c r="W79" s="343"/>
      <c r="X79" s="325"/>
      <c r="Y79" s="325"/>
      <c r="Z79" s="325"/>
      <c r="AA79" s="325"/>
      <c r="AB79" s="325"/>
      <c r="AC79" s="325"/>
      <c r="AD79" s="325"/>
      <c r="AE79" s="325"/>
      <c r="AF79" s="325"/>
      <c r="AG79" s="325"/>
      <c r="AH79" s="325"/>
      <c r="AI79" s="325"/>
      <c r="AJ79" s="391"/>
      <c r="AK79" s="401"/>
      <c r="AL79" s="402"/>
      <c r="AM79" s="396"/>
      <c r="AN79" s="396"/>
      <c r="AO79" s="396"/>
      <c r="AP79" s="396"/>
      <c r="AQ79" s="396"/>
      <c r="AR79" s="396"/>
      <c r="AS79" s="396"/>
      <c r="AT79" s="396"/>
      <c r="AU79" s="490"/>
      <c r="AV79" s="152"/>
      <c r="AW79" s="387"/>
      <c r="AX79" s="489">
        <f>ROUND(ROUND(R80,0)*$AU$58,0)</f>
        <v>125</v>
      </c>
      <c r="AY79" s="393"/>
    </row>
    <row r="80" spans="1:51" ht="16.5" customHeight="1" x14ac:dyDescent="0.15">
      <c r="A80" s="340">
        <v>12</v>
      </c>
      <c r="B80" s="341">
        <v>3482</v>
      </c>
      <c r="C80" s="390" t="s">
        <v>16074</v>
      </c>
      <c r="D80" s="403"/>
      <c r="E80" s="404"/>
      <c r="F80" s="404"/>
      <c r="G80" s="404"/>
      <c r="H80" s="406"/>
      <c r="R80" s="836">
        <f>'2重度訪問'!U80</f>
        <v>100</v>
      </c>
      <c r="S80" s="837"/>
      <c r="T80" s="837"/>
      <c r="U80" s="152" t="s">
        <v>15624</v>
      </c>
      <c r="V80" s="387"/>
      <c r="W80" s="343" t="s">
        <v>15625</v>
      </c>
      <c r="X80" s="325"/>
      <c r="Y80" s="325"/>
      <c r="Z80" s="325"/>
      <c r="AA80" s="325"/>
      <c r="AB80" s="325"/>
      <c r="AC80" s="325"/>
      <c r="AD80" s="325"/>
      <c r="AE80" s="325"/>
      <c r="AF80" s="325"/>
      <c r="AG80" s="325"/>
      <c r="AH80" s="325"/>
      <c r="AI80" s="325"/>
      <c r="AJ80" s="391" t="s">
        <v>15626</v>
      </c>
      <c r="AK80" s="838">
        <f>AK78</f>
        <v>1</v>
      </c>
      <c r="AL80" s="839"/>
      <c r="AM80" s="325"/>
      <c r="AN80" s="325"/>
      <c r="AO80" s="325"/>
      <c r="AP80" s="325"/>
      <c r="AQ80" s="325"/>
      <c r="AR80" s="325"/>
      <c r="AS80" s="325"/>
      <c r="AT80" s="325"/>
      <c r="AU80" s="490"/>
      <c r="AV80" s="152"/>
      <c r="AW80" s="387"/>
      <c r="AX80" s="489">
        <f>ROUND(ROUND(R80*AK80,0)*$AU$58,0)</f>
        <v>125</v>
      </c>
      <c r="AY80" s="393"/>
    </row>
    <row r="81" spans="1:51" ht="16.5" customHeight="1" x14ac:dyDescent="0.15">
      <c r="A81" s="340">
        <v>12</v>
      </c>
      <c r="B81" s="341">
        <v>7193</v>
      </c>
      <c r="C81" s="390" t="s">
        <v>16075</v>
      </c>
      <c r="D81" s="403"/>
      <c r="E81" s="404"/>
      <c r="F81" s="404"/>
      <c r="G81" s="404"/>
      <c r="H81" s="406"/>
      <c r="R81" s="395"/>
      <c r="S81" s="151"/>
      <c r="T81" s="151"/>
      <c r="V81" s="387"/>
      <c r="W81" s="343"/>
      <c r="X81" s="343"/>
      <c r="Y81" s="343"/>
      <c r="Z81" s="343"/>
      <c r="AA81" s="343"/>
      <c r="AB81" s="343"/>
      <c r="AC81" s="343"/>
      <c r="AD81" s="343"/>
      <c r="AE81" s="343"/>
      <c r="AF81" s="343"/>
      <c r="AG81" s="343"/>
      <c r="AH81" s="343"/>
      <c r="AI81" s="343"/>
      <c r="AJ81" s="343"/>
      <c r="AK81" s="343"/>
      <c r="AL81" s="343"/>
      <c r="AM81" s="114" t="s">
        <v>15628</v>
      </c>
      <c r="AN81" s="396"/>
      <c r="AO81" s="396"/>
      <c r="AP81" s="396"/>
      <c r="AQ81" s="396"/>
      <c r="AR81" s="396"/>
      <c r="AS81" s="396"/>
      <c r="AT81" s="396"/>
      <c r="AU81" s="490"/>
      <c r="AV81" s="152"/>
      <c r="AW81" s="387"/>
      <c r="AX81" s="489">
        <f>ROUND(ROUND(R80*AS82,0)*$AU$58,0)</f>
        <v>106</v>
      </c>
      <c r="AY81" s="393"/>
    </row>
    <row r="82" spans="1:51" ht="16.5" customHeight="1" x14ac:dyDescent="0.15">
      <c r="A82" s="340">
        <v>12</v>
      </c>
      <c r="B82" s="341">
        <v>7194</v>
      </c>
      <c r="C82" s="390" t="s">
        <v>16076</v>
      </c>
      <c r="D82" s="403"/>
      <c r="E82" s="404"/>
      <c r="F82" s="404"/>
      <c r="G82" s="404"/>
      <c r="H82" s="406"/>
      <c r="R82" s="395"/>
      <c r="S82" s="151"/>
      <c r="T82" s="151"/>
      <c r="V82" s="387"/>
      <c r="W82" s="343" t="s">
        <v>15625</v>
      </c>
      <c r="X82" s="325"/>
      <c r="Y82" s="325"/>
      <c r="Z82" s="325"/>
      <c r="AA82" s="325"/>
      <c r="AB82" s="325"/>
      <c r="AC82" s="325"/>
      <c r="AD82" s="325"/>
      <c r="AE82" s="325"/>
      <c r="AF82" s="325"/>
      <c r="AG82" s="325"/>
      <c r="AH82" s="325"/>
      <c r="AI82" s="325"/>
      <c r="AJ82" s="391" t="s">
        <v>15626</v>
      </c>
      <c r="AK82" s="838">
        <f>AK80</f>
        <v>1</v>
      </c>
      <c r="AL82" s="843"/>
      <c r="AM82" s="324" t="s">
        <v>15630</v>
      </c>
      <c r="AN82" s="325"/>
      <c r="AO82" s="325"/>
      <c r="AP82" s="325"/>
      <c r="AQ82" s="325"/>
      <c r="AR82" s="190" t="s">
        <v>398</v>
      </c>
      <c r="AS82" s="844">
        <f>AS78</f>
        <v>0.85</v>
      </c>
      <c r="AT82" s="844"/>
      <c r="AU82" s="490"/>
      <c r="AV82" s="152"/>
      <c r="AW82" s="387"/>
      <c r="AX82" s="489">
        <f>ROUND(ROUND(ROUND(R80*AK82,0)*AS82,0)*$AU$58,0)</f>
        <v>106</v>
      </c>
      <c r="AY82" s="393"/>
    </row>
    <row r="83" spans="1:51" ht="17.100000000000001" customHeight="1" x14ac:dyDescent="0.15">
      <c r="A83" s="340">
        <v>12</v>
      </c>
      <c r="B83" s="341">
        <v>3221</v>
      </c>
      <c r="C83" s="390" t="s">
        <v>16077</v>
      </c>
      <c r="D83" s="403"/>
      <c r="E83" s="404"/>
      <c r="F83" s="404"/>
      <c r="G83" s="404"/>
      <c r="H83" s="406"/>
      <c r="I83" s="253" t="s">
        <v>15664</v>
      </c>
      <c r="J83" s="396"/>
      <c r="K83" s="396"/>
      <c r="L83" s="400"/>
      <c r="M83" s="400"/>
      <c r="N83" s="400"/>
      <c r="O83" s="400"/>
      <c r="P83" s="400"/>
      <c r="Q83" s="396"/>
      <c r="R83" s="396"/>
      <c r="S83" s="396"/>
      <c r="T83" s="396"/>
      <c r="U83" s="396"/>
      <c r="V83" s="397"/>
      <c r="W83" s="343"/>
      <c r="X83" s="343"/>
      <c r="Y83" s="343"/>
      <c r="Z83" s="343"/>
      <c r="AA83" s="343"/>
      <c r="AB83" s="343"/>
      <c r="AC83" s="343"/>
      <c r="AD83" s="343"/>
      <c r="AE83" s="343"/>
      <c r="AF83" s="343"/>
      <c r="AG83" s="343"/>
      <c r="AH83" s="343"/>
      <c r="AI83" s="343"/>
      <c r="AJ83" s="343"/>
      <c r="AK83" s="343"/>
      <c r="AL83" s="407"/>
      <c r="AM83" s="396"/>
      <c r="AN83" s="396"/>
      <c r="AO83" s="396"/>
      <c r="AP83" s="396"/>
      <c r="AQ83" s="396"/>
      <c r="AR83" s="396"/>
      <c r="AS83" s="396"/>
      <c r="AT83" s="396"/>
      <c r="AU83" s="490"/>
      <c r="AV83" s="152"/>
      <c r="AW83" s="387"/>
      <c r="AX83" s="489">
        <f>ROUND(ROUND(R84,0)*$AU$58,0)</f>
        <v>115</v>
      </c>
      <c r="AY83" s="393"/>
    </row>
    <row r="84" spans="1:51" ht="16.5" customHeight="1" x14ac:dyDescent="0.15">
      <c r="A84" s="340">
        <v>12</v>
      </c>
      <c r="B84" s="341">
        <v>3222</v>
      </c>
      <c r="C84" s="390" t="s">
        <v>16078</v>
      </c>
      <c r="D84" s="403"/>
      <c r="E84" s="404"/>
      <c r="F84" s="404"/>
      <c r="G84" s="404"/>
      <c r="H84" s="406"/>
      <c r="R84" s="836">
        <f>'2重度訪問'!U84</f>
        <v>92</v>
      </c>
      <c r="S84" s="837"/>
      <c r="T84" s="837"/>
      <c r="U84" s="152" t="s">
        <v>15624</v>
      </c>
      <c r="V84" s="387"/>
      <c r="W84" s="343" t="s">
        <v>15625</v>
      </c>
      <c r="X84" s="325"/>
      <c r="Y84" s="325"/>
      <c r="Z84" s="325"/>
      <c r="AA84" s="325"/>
      <c r="AB84" s="325"/>
      <c r="AC84" s="325"/>
      <c r="AD84" s="325"/>
      <c r="AE84" s="325"/>
      <c r="AF84" s="325"/>
      <c r="AG84" s="325"/>
      <c r="AH84" s="325"/>
      <c r="AI84" s="325"/>
      <c r="AJ84" s="391" t="s">
        <v>15626</v>
      </c>
      <c r="AK84" s="838">
        <f>AK82</f>
        <v>1</v>
      </c>
      <c r="AL84" s="839"/>
      <c r="AM84" s="325"/>
      <c r="AN84" s="325"/>
      <c r="AO84" s="325"/>
      <c r="AP84" s="325"/>
      <c r="AQ84" s="325"/>
      <c r="AR84" s="325"/>
      <c r="AS84" s="325"/>
      <c r="AT84" s="391"/>
      <c r="AU84" s="490"/>
      <c r="AV84" s="152"/>
      <c r="AW84" s="387"/>
      <c r="AX84" s="489">
        <f>ROUND(ROUND(R84*AK84,0)*$AU$58,0)</f>
        <v>115</v>
      </c>
      <c r="AY84" s="393"/>
    </row>
    <row r="85" spans="1:51" ht="16.5" customHeight="1" x14ac:dyDescent="0.15">
      <c r="A85" s="340">
        <v>12</v>
      </c>
      <c r="B85" s="341">
        <v>7195</v>
      </c>
      <c r="C85" s="390" t="s">
        <v>16079</v>
      </c>
      <c r="D85" s="403"/>
      <c r="E85" s="404"/>
      <c r="F85" s="404"/>
      <c r="G85" s="404"/>
      <c r="H85" s="406"/>
      <c r="R85" s="395"/>
      <c r="S85" s="151"/>
      <c r="T85" s="151"/>
      <c r="V85" s="387"/>
      <c r="W85" s="343"/>
      <c r="X85" s="343"/>
      <c r="Y85" s="343"/>
      <c r="Z85" s="343"/>
      <c r="AA85" s="343"/>
      <c r="AB85" s="343"/>
      <c r="AC85" s="343"/>
      <c r="AD85" s="343"/>
      <c r="AE85" s="343"/>
      <c r="AF85" s="343"/>
      <c r="AG85" s="343"/>
      <c r="AH85" s="343"/>
      <c r="AI85" s="343"/>
      <c r="AJ85" s="343"/>
      <c r="AK85" s="343"/>
      <c r="AL85" s="343"/>
      <c r="AM85" s="114" t="s">
        <v>15628</v>
      </c>
      <c r="AN85" s="396"/>
      <c r="AO85" s="396"/>
      <c r="AP85" s="396"/>
      <c r="AQ85" s="396"/>
      <c r="AR85" s="396"/>
      <c r="AS85" s="396"/>
      <c r="AT85" s="396"/>
      <c r="AU85" s="490"/>
      <c r="AV85" s="152"/>
      <c r="AW85" s="387"/>
      <c r="AX85" s="489">
        <f>ROUND(ROUND(R84*AS86,0)*$AU$58,0)</f>
        <v>98</v>
      </c>
      <c r="AY85" s="393"/>
    </row>
    <row r="86" spans="1:51" ht="16.5" customHeight="1" x14ac:dyDescent="0.15">
      <c r="A86" s="340">
        <v>12</v>
      </c>
      <c r="B86" s="341">
        <v>7196</v>
      </c>
      <c r="C86" s="390" t="s">
        <v>16080</v>
      </c>
      <c r="D86" s="403"/>
      <c r="E86" s="404"/>
      <c r="F86" s="404"/>
      <c r="G86" s="404"/>
      <c r="H86" s="406"/>
      <c r="R86" s="395"/>
      <c r="S86" s="151"/>
      <c r="T86" s="151"/>
      <c r="V86" s="387"/>
      <c r="W86" s="343" t="s">
        <v>15625</v>
      </c>
      <c r="X86" s="325"/>
      <c r="Y86" s="325"/>
      <c r="Z86" s="325"/>
      <c r="AA86" s="325"/>
      <c r="AB86" s="325"/>
      <c r="AC86" s="325"/>
      <c r="AD86" s="325"/>
      <c r="AE86" s="325"/>
      <c r="AF86" s="325"/>
      <c r="AG86" s="325"/>
      <c r="AH86" s="325"/>
      <c r="AI86" s="325"/>
      <c r="AJ86" s="391" t="s">
        <v>15626</v>
      </c>
      <c r="AK86" s="838">
        <f>AK84</f>
        <v>1</v>
      </c>
      <c r="AL86" s="843"/>
      <c r="AM86" s="324" t="s">
        <v>15630</v>
      </c>
      <c r="AN86" s="325"/>
      <c r="AO86" s="325"/>
      <c r="AP86" s="325"/>
      <c r="AQ86" s="325"/>
      <c r="AR86" s="190" t="s">
        <v>398</v>
      </c>
      <c r="AS86" s="844">
        <f>AS82</f>
        <v>0.85</v>
      </c>
      <c r="AT86" s="844"/>
      <c r="AU86" s="490"/>
      <c r="AV86" s="152"/>
      <c r="AW86" s="387"/>
      <c r="AX86" s="489">
        <f>ROUND(ROUND(ROUND(R84*AK86,0)*AS86,0)*$AU$58,0)</f>
        <v>98</v>
      </c>
      <c r="AY86" s="393"/>
    </row>
    <row r="87" spans="1:51" ht="17.100000000000001" customHeight="1" x14ac:dyDescent="0.15">
      <c r="A87" s="340">
        <v>12</v>
      </c>
      <c r="B87" s="341">
        <v>3231</v>
      </c>
      <c r="C87" s="390" t="s">
        <v>16081</v>
      </c>
      <c r="D87" s="403"/>
      <c r="E87" s="404"/>
      <c r="F87" s="404"/>
      <c r="G87" s="404"/>
      <c r="H87" s="406"/>
      <c r="I87" s="253" t="s">
        <v>15669</v>
      </c>
      <c r="J87" s="396"/>
      <c r="K87" s="396"/>
      <c r="L87" s="400"/>
      <c r="M87" s="400"/>
      <c r="N87" s="400"/>
      <c r="O87" s="400"/>
      <c r="P87" s="400"/>
      <c r="Q87" s="396"/>
      <c r="R87" s="396"/>
      <c r="S87" s="396"/>
      <c r="T87" s="396"/>
      <c r="U87" s="396"/>
      <c r="V87" s="397"/>
      <c r="W87" s="343"/>
      <c r="X87" s="343"/>
      <c r="Y87" s="343"/>
      <c r="Z87" s="343"/>
      <c r="AA87" s="343"/>
      <c r="AB87" s="343"/>
      <c r="AC87" s="343"/>
      <c r="AD87" s="343"/>
      <c r="AE87" s="343"/>
      <c r="AF87" s="343"/>
      <c r="AG87" s="343"/>
      <c r="AH87" s="343"/>
      <c r="AI87" s="343"/>
      <c r="AJ87" s="343"/>
      <c r="AK87" s="343"/>
      <c r="AL87" s="407"/>
      <c r="AM87" s="396"/>
      <c r="AN87" s="396"/>
      <c r="AO87" s="396"/>
      <c r="AP87" s="396"/>
      <c r="AQ87" s="396"/>
      <c r="AR87" s="396"/>
      <c r="AS87" s="396"/>
      <c r="AT87" s="396"/>
      <c r="AU87" s="490"/>
      <c r="AV87" s="152"/>
      <c r="AW87" s="387"/>
      <c r="AX87" s="489">
        <f>ROUND(ROUND(R88,0)*$AU$58,0)</f>
        <v>115</v>
      </c>
      <c r="AY87" s="393"/>
    </row>
    <row r="88" spans="1:51" ht="16.5" customHeight="1" x14ac:dyDescent="0.15">
      <c r="A88" s="340">
        <v>12</v>
      </c>
      <c r="B88" s="341">
        <v>3232</v>
      </c>
      <c r="C88" s="390" t="s">
        <v>16082</v>
      </c>
      <c r="D88" s="403"/>
      <c r="E88" s="404"/>
      <c r="F88" s="404"/>
      <c r="G88" s="404"/>
      <c r="H88" s="406"/>
      <c r="R88" s="836">
        <f>'2重度訪問'!U88</f>
        <v>92</v>
      </c>
      <c r="S88" s="837"/>
      <c r="T88" s="837"/>
      <c r="U88" s="152" t="s">
        <v>15624</v>
      </c>
      <c r="V88" s="387"/>
      <c r="W88" s="343" t="s">
        <v>15625</v>
      </c>
      <c r="X88" s="325"/>
      <c r="Y88" s="325"/>
      <c r="Z88" s="325"/>
      <c r="AA88" s="325"/>
      <c r="AB88" s="325"/>
      <c r="AC88" s="325"/>
      <c r="AD88" s="325"/>
      <c r="AE88" s="325"/>
      <c r="AF88" s="325"/>
      <c r="AG88" s="325"/>
      <c r="AH88" s="325"/>
      <c r="AI88" s="325"/>
      <c r="AJ88" s="391" t="s">
        <v>15626</v>
      </c>
      <c r="AK88" s="838">
        <f>AK86</f>
        <v>1</v>
      </c>
      <c r="AL88" s="839"/>
      <c r="AM88" s="325"/>
      <c r="AN88" s="325"/>
      <c r="AO88" s="325"/>
      <c r="AP88" s="325"/>
      <c r="AQ88" s="325"/>
      <c r="AR88" s="325"/>
      <c r="AS88" s="325"/>
      <c r="AT88" s="391"/>
      <c r="AU88" s="490"/>
      <c r="AV88" s="152"/>
      <c r="AW88" s="387"/>
      <c r="AX88" s="489">
        <f>ROUND(ROUND(R88*AK88,0)*$AU$58,0)</f>
        <v>115</v>
      </c>
      <c r="AY88" s="393"/>
    </row>
    <row r="89" spans="1:51" ht="16.5" customHeight="1" x14ac:dyDescent="0.15">
      <c r="A89" s="340">
        <v>12</v>
      </c>
      <c r="B89" s="341">
        <v>7197</v>
      </c>
      <c r="C89" s="390" t="s">
        <v>16083</v>
      </c>
      <c r="D89" s="403"/>
      <c r="E89" s="404"/>
      <c r="F89" s="404"/>
      <c r="G89" s="404"/>
      <c r="H89" s="406"/>
      <c r="R89" s="395"/>
      <c r="S89" s="151"/>
      <c r="T89" s="151"/>
      <c r="V89" s="387"/>
      <c r="W89" s="343"/>
      <c r="X89" s="343"/>
      <c r="Y89" s="343"/>
      <c r="Z89" s="343"/>
      <c r="AA89" s="343"/>
      <c r="AB89" s="343"/>
      <c r="AC89" s="343"/>
      <c r="AD89" s="343"/>
      <c r="AE89" s="343"/>
      <c r="AF89" s="343"/>
      <c r="AG89" s="343"/>
      <c r="AH89" s="343"/>
      <c r="AI89" s="343"/>
      <c r="AJ89" s="343"/>
      <c r="AK89" s="343"/>
      <c r="AL89" s="343"/>
      <c r="AM89" s="114" t="s">
        <v>15628</v>
      </c>
      <c r="AN89" s="396"/>
      <c r="AO89" s="396"/>
      <c r="AP89" s="396"/>
      <c r="AQ89" s="396"/>
      <c r="AR89" s="396"/>
      <c r="AS89" s="396"/>
      <c r="AT89" s="396"/>
      <c r="AU89" s="490"/>
      <c r="AV89" s="152"/>
      <c r="AW89" s="387"/>
      <c r="AX89" s="489">
        <f>ROUND(ROUND(R88*AS90,0)*$AU$58,0)</f>
        <v>98</v>
      </c>
      <c r="AY89" s="393"/>
    </row>
    <row r="90" spans="1:51" ht="16.5" customHeight="1" x14ac:dyDescent="0.15">
      <c r="A90" s="340">
        <v>12</v>
      </c>
      <c r="B90" s="341">
        <v>7198</v>
      </c>
      <c r="C90" s="390" t="s">
        <v>16084</v>
      </c>
      <c r="D90" s="403"/>
      <c r="E90" s="404"/>
      <c r="F90" s="404"/>
      <c r="G90" s="404"/>
      <c r="H90" s="406"/>
      <c r="R90" s="395"/>
      <c r="S90" s="151"/>
      <c r="T90" s="151"/>
      <c r="V90" s="387"/>
      <c r="W90" s="343" t="s">
        <v>15625</v>
      </c>
      <c r="X90" s="325"/>
      <c r="Y90" s="325"/>
      <c r="Z90" s="325"/>
      <c r="AA90" s="325"/>
      <c r="AB90" s="325"/>
      <c r="AC90" s="325"/>
      <c r="AD90" s="325"/>
      <c r="AE90" s="325"/>
      <c r="AF90" s="325"/>
      <c r="AG90" s="325"/>
      <c r="AH90" s="325"/>
      <c r="AI90" s="325"/>
      <c r="AJ90" s="391" t="s">
        <v>15626</v>
      </c>
      <c r="AK90" s="838">
        <f>AK88</f>
        <v>1</v>
      </c>
      <c r="AL90" s="843"/>
      <c r="AM90" s="324" t="s">
        <v>15630</v>
      </c>
      <c r="AN90" s="325"/>
      <c r="AO90" s="325"/>
      <c r="AP90" s="325"/>
      <c r="AQ90" s="325"/>
      <c r="AR90" s="190" t="s">
        <v>398</v>
      </c>
      <c r="AS90" s="844">
        <f>AS86</f>
        <v>0.85</v>
      </c>
      <c r="AT90" s="844"/>
      <c r="AU90" s="490"/>
      <c r="AV90" s="152"/>
      <c r="AW90" s="387"/>
      <c r="AX90" s="489">
        <f>ROUND(ROUND(ROUND(R88*AK90,0)*AS90,0)*$AU$58,0)</f>
        <v>98</v>
      </c>
      <c r="AY90" s="393"/>
    </row>
    <row r="91" spans="1:51" ht="17.100000000000001" customHeight="1" x14ac:dyDescent="0.15">
      <c r="A91" s="340">
        <v>12</v>
      </c>
      <c r="B91" s="341">
        <v>3241</v>
      </c>
      <c r="C91" s="390" t="s">
        <v>16085</v>
      </c>
      <c r="D91" s="403"/>
      <c r="E91" s="404"/>
      <c r="F91" s="404"/>
      <c r="G91" s="404"/>
      <c r="H91" s="406"/>
      <c r="I91" s="253" t="s">
        <v>15674</v>
      </c>
      <c r="J91" s="396"/>
      <c r="K91" s="396"/>
      <c r="L91" s="400"/>
      <c r="M91" s="400"/>
      <c r="N91" s="400"/>
      <c r="O91" s="400"/>
      <c r="P91" s="400"/>
      <c r="Q91" s="396"/>
      <c r="R91" s="396"/>
      <c r="S91" s="396"/>
      <c r="T91" s="396"/>
      <c r="U91" s="396"/>
      <c r="V91" s="397"/>
      <c r="W91" s="343"/>
      <c r="X91" s="343"/>
      <c r="Y91" s="343"/>
      <c r="Z91" s="343"/>
      <c r="AA91" s="343"/>
      <c r="AB91" s="343"/>
      <c r="AC91" s="343"/>
      <c r="AD91" s="343"/>
      <c r="AE91" s="343"/>
      <c r="AF91" s="343"/>
      <c r="AG91" s="343"/>
      <c r="AH91" s="343"/>
      <c r="AI91" s="343"/>
      <c r="AJ91" s="343"/>
      <c r="AK91" s="343"/>
      <c r="AL91" s="407"/>
      <c r="AM91" s="396"/>
      <c r="AN91" s="396"/>
      <c r="AO91" s="396"/>
      <c r="AP91" s="396"/>
      <c r="AQ91" s="396"/>
      <c r="AR91" s="396"/>
      <c r="AS91" s="396"/>
      <c r="AT91" s="396"/>
      <c r="AU91" s="490"/>
      <c r="AV91" s="152"/>
      <c r="AW91" s="387"/>
      <c r="AX91" s="489">
        <f>ROUND(ROUND(R92,0)*$AU$58,0)</f>
        <v>109</v>
      </c>
      <c r="AY91" s="393"/>
    </row>
    <row r="92" spans="1:51" ht="16.5" customHeight="1" x14ac:dyDescent="0.15">
      <c r="A92" s="340">
        <v>12</v>
      </c>
      <c r="B92" s="341">
        <v>3242</v>
      </c>
      <c r="C92" s="390" t="s">
        <v>16086</v>
      </c>
      <c r="D92" s="403"/>
      <c r="E92" s="404"/>
      <c r="F92" s="404"/>
      <c r="G92" s="404"/>
      <c r="H92" s="406"/>
      <c r="R92" s="836">
        <f>'2重度訪問'!U92</f>
        <v>87</v>
      </c>
      <c r="S92" s="837"/>
      <c r="T92" s="837"/>
      <c r="U92" s="152" t="s">
        <v>15624</v>
      </c>
      <c r="V92" s="387"/>
      <c r="W92" s="343" t="s">
        <v>15625</v>
      </c>
      <c r="X92" s="325"/>
      <c r="Y92" s="325"/>
      <c r="Z92" s="325"/>
      <c r="AA92" s="325"/>
      <c r="AB92" s="325"/>
      <c r="AC92" s="325"/>
      <c r="AD92" s="325"/>
      <c r="AE92" s="325"/>
      <c r="AF92" s="325"/>
      <c r="AG92" s="325"/>
      <c r="AH92" s="325"/>
      <c r="AI92" s="325"/>
      <c r="AJ92" s="391" t="s">
        <v>15626</v>
      </c>
      <c r="AK92" s="838">
        <f>AK90</f>
        <v>1</v>
      </c>
      <c r="AL92" s="839"/>
      <c r="AM92" s="325"/>
      <c r="AN92" s="325"/>
      <c r="AO92" s="325"/>
      <c r="AP92" s="325"/>
      <c r="AQ92" s="325"/>
      <c r="AR92" s="325"/>
      <c r="AS92" s="325"/>
      <c r="AT92" s="391"/>
      <c r="AU92" s="490"/>
      <c r="AV92" s="152"/>
      <c r="AW92" s="387"/>
      <c r="AX92" s="489">
        <f>ROUND(ROUND(R92*AK92,0)*$AU$58,0)</f>
        <v>109</v>
      </c>
      <c r="AY92" s="393"/>
    </row>
    <row r="93" spans="1:51" ht="16.5" customHeight="1" x14ac:dyDescent="0.15">
      <c r="A93" s="340">
        <v>12</v>
      </c>
      <c r="B93" s="341">
        <v>7199</v>
      </c>
      <c r="C93" s="390" t="s">
        <v>16087</v>
      </c>
      <c r="D93" s="403"/>
      <c r="E93" s="404"/>
      <c r="F93" s="404"/>
      <c r="G93" s="404"/>
      <c r="H93" s="406"/>
      <c r="R93" s="395"/>
      <c r="S93" s="151"/>
      <c r="T93" s="151"/>
      <c r="V93" s="387"/>
      <c r="W93" s="343"/>
      <c r="X93" s="343"/>
      <c r="Y93" s="343"/>
      <c r="Z93" s="343"/>
      <c r="AA93" s="343"/>
      <c r="AB93" s="343"/>
      <c r="AC93" s="343"/>
      <c r="AD93" s="343"/>
      <c r="AE93" s="343"/>
      <c r="AF93" s="343"/>
      <c r="AG93" s="343"/>
      <c r="AH93" s="343"/>
      <c r="AI93" s="343"/>
      <c r="AJ93" s="343"/>
      <c r="AK93" s="343"/>
      <c r="AL93" s="343"/>
      <c r="AM93" s="114" t="s">
        <v>15628</v>
      </c>
      <c r="AN93" s="396"/>
      <c r="AO93" s="396"/>
      <c r="AP93" s="396"/>
      <c r="AQ93" s="396"/>
      <c r="AR93" s="396"/>
      <c r="AS93" s="396"/>
      <c r="AT93" s="396"/>
      <c r="AU93" s="490"/>
      <c r="AV93" s="152"/>
      <c r="AW93" s="387"/>
      <c r="AX93" s="489">
        <f>ROUND(ROUND(R92*AS94,0)*$AU$58,0)</f>
        <v>93</v>
      </c>
      <c r="AY93" s="393"/>
    </row>
    <row r="94" spans="1:51" ht="16.5" customHeight="1" x14ac:dyDescent="0.15">
      <c r="A94" s="340">
        <v>12</v>
      </c>
      <c r="B94" s="341">
        <v>7200</v>
      </c>
      <c r="C94" s="390" t="s">
        <v>16088</v>
      </c>
      <c r="D94" s="403"/>
      <c r="E94" s="404"/>
      <c r="F94" s="404"/>
      <c r="G94" s="404"/>
      <c r="H94" s="406"/>
      <c r="R94" s="395"/>
      <c r="S94" s="151"/>
      <c r="T94" s="151"/>
      <c r="V94" s="387"/>
      <c r="W94" s="343" t="s">
        <v>15625</v>
      </c>
      <c r="X94" s="325"/>
      <c r="Y94" s="325"/>
      <c r="Z94" s="325"/>
      <c r="AA94" s="325"/>
      <c r="AB94" s="325"/>
      <c r="AC94" s="325"/>
      <c r="AD94" s="325"/>
      <c r="AE94" s="325"/>
      <c r="AF94" s="325"/>
      <c r="AG94" s="325"/>
      <c r="AH94" s="325"/>
      <c r="AI94" s="325"/>
      <c r="AJ94" s="391" t="s">
        <v>15626</v>
      </c>
      <c r="AK94" s="838">
        <f>AK92</f>
        <v>1</v>
      </c>
      <c r="AL94" s="843"/>
      <c r="AM94" s="324" t="s">
        <v>15630</v>
      </c>
      <c r="AN94" s="325"/>
      <c r="AO94" s="325"/>
      <c r="AP94" s="325"/>
      <c r="AQ94" s="325"/>
      <c r="AR94" s="190" t="s">
        <v>398</v>
      </c>
      <c r="AS94" s="844">
        <f>AS90</f>
        <v>0.85</v>
      </c>
      <c r="AT94" s="844"/>
      <c r="AU94" s="490"/>
      <c r="AV94" s="152"/>
      <c r="AW94" s="387"/>
      <c r="AX94" s="489">
        <f>ROUND(ROUND(ROUND(R92*AK94,0)*AS94,0)*$AU$58,0)</f>
        <v>93</v>
      </c>
      <c r="AY94" s="393"/>
    </row>
    <row r="95" spans="1:51" ht="17.100000000000001" customHeight="1" x14ac:dyDescent="0.15">
      <c r="A95" s="340">
        <v>12</v>
      </c>
      <c r="B95" s="341">
        <v>3251</v>
      </c>
      <c r="C95" s="390" t="s">
        <v>16089</v>
      </c>
      <c r="D95" s="403"/>
      <c r="E95" s="404"/>
      <c r="F95" s="404"/>
      <c r="G95" s="404"/>
      <c r="H95" s="406"/>
      <c r="I95" s="253" t="s">
        <v>15679</v>
      </c>
      <c r="J95" s="396"/>
      <c r="K95" s="396"/>
      <c r="L95" s="400"/>
      <c r="M95" s="400"/>
      <c r="N95" s="400"/>
      <c r="O95" s="400"/>
      <c r="P95" s="400"/>
      <c r="Q95" s="396"/>
      <c r="R95" s="396"/>
      <c r="S95" s="396"/>
      <c r="T95" s="396"/>
      <c r="U95" s="396"/>
      <c r="V95" s="397"/>
      <c r="W95" s="343"/>
      <c r="X95" s="343"/>
      <c r="Y95" s="343"/>
      <c r="Z95" s="343"/>
      <c r="AA95" s="343"/>
      <c r="AB95" s="343"/>
      <c r="AC95" s="343"/>
      <c r="AD95" s="343"/>
      <c r="AE95" s="343"/>
      <c r="AF95" s="343"/>
      <c r="AG95" s="343"/>
      <c r="AH95" s="343"/>
      <c r="AI95" s="343"/>
      <c r="AJ95" s="343"/>
      <c r="AK95" s="343"/>
      <c r="AL95" s="407"/>
      <c r="AM95" s="396"/>
      <c r="AN95" s="396"/>
      <c r="AO95" s="396"/>
      <c r="AP95" s="396"/>
      <c r="AQ95" s="396"/>
      <c r="AR95" s="396"/>
      <c r="AS95" s="396"/>
      <c r="AT95" s="396"/>
      <c r="AU95" s="490"/>
      <c r="AV95" s="152"/>
      <c r="AW95" s="387"/>
      <c r="AX95" s="489">
        <f>ROUND(ROUND(R96,0)*$AU$58,0)</f>
        <v>116</v>
      </c>
      <c r="AY95" s="393"/>
    </row>
    <row r="96" spans="1:51" ht="16.5" customHeight="1" x14ac:dyDescent="0.15">
      <c r="A96" s="340">
        <v>12</v>
      </c>
      <c r="B96" s="341">
        <v>3252</v>
      </c>
      <c r="C96" s="390" t="s">
        <v>16090</v>
      </c>
      <c r="D96" s="403"/>
      <c r="E96" s="404"/>
      <c r="F96" s="404"/>
      <c r="G96" s="404"/>
      <c r="H96" s="406"/>
      <c r="R96" s="836">
        <f>'2重度訪問'!U96</f>
        <v>93</v>
      </c>
      <c r="S96" s="837"/>
      <c r="T96" s="837"/>
      <c r="U96" s="152" t="s">
        <v>15624</v>
      </c>
      <c r="V96" s="387"/>
      <c r="W96" s="343" t="s">
        <v>15625</v>
      </c>
      <c r="X96" s="325"/>
      <c r="Y96" s="325"/>
      <c r="Z96" s="325"/>
      <c r="AA96" s="325"/>
      <c r="AB96" s="325"/>
      <c r="AC96" s="325"/>
      <c r="AD96" s="325"/>
      <c r="AE96" s="325"/>
      <c r="AF96" s="325"/>
      <c r="AG96" s="325"/>
      <c r="AH96" s="325"/>
      <c r="AI96" s="325"/>
      <c r="AJ96" s="391" t="s">
        <v>15626</v>
      </c>
      <c r="AK96" s="838">
        <f>AK94</f>
        <v>1</v>
      </c>
      <c r="AL96" s="839"/>
      <c r="AM96" s="325"/>
      <c r="AN96" s="325"/>
      <c r="AO96" s="325"/>
      <c r="AP96" s="325"/>
      <c r="AQ96" s="325"/>
      <c r="AR96" s="325"/>
      <c r="AS96" s="325"/>
      <c r="AT96" s="391"/>
      <c r="AU96" s="490"/>
      <c r="AV96" s="152"/>
      <c r="AW96" s="387"/>
      <c r="AX96" s="489">
        <f>ROUND(ROUND(R96*AK96,0)*$AU$58,0)</f>
        <v>116</v>
      </c>
      <c r="AY96" s="393"/>
    </row>
    <row r="97" spans="1:51" ht="16.5" customHeight="1" x14ac:dyDescent="0.15">
      <c r="A97" s="340">
        <v>12</v>
      </c>
      <c r="B97" s="341">
        <v>7201</v>
      </c>
      <c r="C97" s="390" t="s">
        <v>16091</v>
      </c>
      <c r="D97" s="403"/>
      <c r="E97" s="404"/>
      <c r="F97" s="404"/>
      <c r="G97" s="404"/>
      <c r="H97" s="406"/>
      <c r="R97" s="395"/>
      <c r="S97" s="151"/>
      <c r="T97" s="151"/>
      <c r="V97" s="387"/>
      <c r="W97" s="343"/>
      <c r="X97" s="343"/>
      <c r="Y97" s="343"/>
      <c r="Z97" s="343"/>
      <c r="AA97" s="343"/>
      <c r="AB97" s="343"/>
      <c r="AC97" s="343"/>
      <c r="AD97" s="343"/>
      <c r="AE97" s="343"/>
      <c r="AF97" s="343"/>
      <c r="AG97" s="343"/>
      <c r="AH97" s="343"/>
      <c r="AI97" s="343"/>
      <c r="AJ97" s="343"/>
      <c r="AK97" s="343"/>
      <c r="AL97" s="343"/>
      <c r="AM97" s="114" t="s">
        <v>15628</v>
      </c>
      <c r="AN97" s="396"/>
      <c r="AO97" s="396"/>
      <c r="AP97" s="396"/>
      <c r="AQ97" s="396"/>
      <c r="AR97" s="396"/>
      <c r="AS97" s="396"/>
      <c r="AT97" s="396"/>
      <c r="AU97" s="490"/>
      <c r="AV97" s="152"/>
      <c r="AW97" s="387"/>
      <c r="AX97" s="489">
        <f>ROUND(ROUND(R96*AS98,0)*$AU$58,0)</f>
        <v>99</v>
      </c>
      <c r="AY97" s="393"/>
    </row>
    <row r="98" spans="1:51" ht="16.5" customHeight="1" x14ac:dyDescent="0.15">
      <c r="A98" s="340">
        <v>12</v>
      </c>
      <c r="B98" s="341">
        <v>7202</v>
      </c>
      <c r="C98" s="390" t="s">
        <v>16092</v>
      </c>
      <c r="D98" s="403"/>
      <c r="E98" s="404"/>
      <c r="F98" s="404"/>
      <c r="G98" s="404"/>
      <c r="H98" s="406"/>
      <c r="R98" s="395"/>
      <c r="S98" s="151"/>
      <c r="T98" s="151"/>
      <c r="V98" s="387"/>
      <c r="W98" s="343" t="s">
        <v>15625</v>
      </c>
      <c r="X98" s="325"/>
      <c r="Y98" s="325"/>
      <c r="Z98" s="325"/>
      <c r="AA98" s="325"/>
      <c r="AB98" s="325"/>
      <c r="AC98" s="325"/>
      <c r="AD98" s="325"/>
      <c r="AE98" s="325"/>
      <c r="AF98" s="325"/>
      <c r="AG98" s="325"/>
      <c r="AH98" s="325"/>
      <c r="AI98" s="325"/>
      <c r="AJ98" s="391" t="s">
        <v>15626</v>
      </c>
      <c r="AK98" s="838">
        <f>AK96</f>
        <v>1</v>
      </c>
      <c r="AL98" s="843"/>
      <c r="AM98" s="324" t="s">
        <v>15630</v>
      </c>
      <c r="AN98" s="325"/>
      <c r="AO98" s="325"/>
      <c r="AP98" s="325"/>
      <c r="AQ98" s="325"/>
      <c r="AR98" s="190" t="s">
        <v>398</v>
      </c>
      <c r="AS98" s="844">
        <f>AS94</f>
        <v>0.85</v>
      </c>
      <c r="AT98" s="844"/>
      <c r="AU98" s="490"/>
      <c r="AV98" s="152"/>
      <c r="AW98" s="387"/>
      <c r="AX98" s="489">
        <f>ROUND(ROUND(ROUND(R96*AK98,0)*AS98,0)*$AU$58,0)</f>
        <v>99</v>
      </c>
      <c r="AY98" s="393"/>
    </row>
    <row r="99" spans="1:51" ht="17.100000000000001" customHeight="1" x14ac:dyDescent="0.15">
      <c r="A99" s="340">
        <v>12</v>
      </c>
      <c r="B99" s="341">
        <v>3261</v>
      </c>
      <c r="C99" s="390" t="s">
        <v>16093</v>
      </c>
      <c r="D99" s="403"/>
      <c r="E99" s="404"/>
      <c r="F99" s="404"/>
      <c r="G99" s="404"/>
      <c r="H99" s="406"/>
      <c r="I99" s="253" t="s">
        <v>15684</v>
      </c>
      <c r="J99" s="396"/>
      <c r="K99" s="396"/>
      <c r="L99" s="400"/>
      <c r="M99" s="400"/>
      <c r="N99" s="400"/>
      <c r="O99" s="400"/>
      <c r="P99" s="400"/>
      <c r="Q99" s="396"/>
      <c r="R99" s="396"/>
      <c r="S99" s="396"/>
      <c r="T99" s="396"/>
      <c r="U99" s="396"/>
      <c r="V99" s="397"/>
      <c r="W99" s="343"/>
      <c r="X99" s="343"/>
      <c r="Y99" s="343"/>
      <c r="Z99" s="343"/>
      <c r="AA99" s="343"/>
      <c r="AB99" s="343"/>
      <c r="AC99" s="343"/>
      <c r="AD99" s="343"/>
      <c r="AE99" s="343"/>
      <c r="AF99" s="343"/>
      <c r="AG99" s="343"/>
      <c r="AH99" s="343"/>
      <c r="AI99" s="343"/>
      <c r="AJ99" s="343"/>
      <c r="AK99" s="343"/>
      <c r="AL99" s="407"/>
      <c r="AM99" s="396"/>
      <c r="AN99" s="396"/>
      <c r="AO99" s="396"/>
      <c r="AP99" s="396"/>
      <c r="AQ99" s="396"/>
      <c r="AR99" s="396"/>
      <c r="AS99" s="396"/>
      <c r="AT99" s="396"/>
      <c r="AU99" s="490"/>
      <c r="AV99" s="152"/>
      <c r="AW99" s="387"/>
      <c r="AX99" s="489">
        <f>ROUND(ROUND(R100,0)*$AU$58,0)</f>
        <v>109</v>
      </c>
      <c r="AY99" s="393"/>
    </row>
    <row r="100" spans="1:51" ht="16.5" customHeight="1" x14ac:dyDescent="0.15">
      <c r="A100" s="340">
        <v>12</v>
      </c>
      <c r="B100" s="341">
        <v>3262</v>
      </c>
      <c r="C100" s="390" t="s">
        <v>16094</v>
      </c>
      <c r="D100" s="403"/>
      <c r="E100" s="404"/>
      <c r="F100" s="404"/>
      <c r="G100" s="404"/>
      <c r="H100" s="406"/>
      <c r="R100" s="836">
        <f>'2重度訪問'!U100</f>
        <v>87</v>
      </c>
      <c r="S100" s="837"/>
      <c r="T100" s="837"/>
      <c r="U100" s="152" t="s">
        <v>15624</v>
      </c>
      <c r="V100" s="387"/>
      <c r="W100" s="343" t="s">
        <v>15625</v>
      </c>
      <c r="X100" s="325"/>
      <c r="Y100" s="325"/>
      <c r="Z100" s="325"/>
      <c r="AA100" s="325"/>
      <c r="AB100" s="325"/>
      <c r="AC100" s="325"/>
      <c r="AD100" s="325"/>
      <c r="AE100" s="325"/>
      <c r="AF100" s="325"/>
      <c r="AG100" s="325"/>
      <c r="AH100" s="325"/>
      <c r="AI100" s="325"/>
      <c r="AJ100" s="391" t="s">
        <v>15626</v>
      </c>
      <c r="AK100" s="838">
        <f>AK98</f>
        <v>1</v>
      </c>
      <c r="AL100" s="839"/>
      <c r="AM100" s="325"/>
      <c r="AN100" s="325"/>
      <c r="AO100" s="325"/>
      <c r="AP100" s="325"/>
      <c r="AQ100" s="325"/>
      <c r="AR100" s="325"/>
      <c r="AS100" s="325"/>
      <c r="AT100" s="391"/>
      <c r="AU100" s="490"/>
      <c r="AV100" s="152"/>
      <c r="AW100" s="387"/>
      <c r="AX100" s="489">
        <f>ROUND(ROUND(R100*AK100,0)*$AU$58,0)</f>
        <v>109</v>
      </c>
      <c r="AY100" s="393"/>
    </row>
    <row r="101" spans="1:51" ht="16.5" customHeight="1" x14ac:dyDescent="0.15">
      <c r="A101" s="340">
        <v>12</v>
      </c>
      <c r="B101" s="341">
        <v>7203</v>
      </c>
      <c r="C101" s="390" t="s">
        <v>16095</v>
      </c>
      <c r="D101" s="403"/>
      <c r="E101" s="404"/>
      <c r="F101" s="404"/>
      <c r="G101" s="404"/>
      <c r="H101" s="406"/>
      <c r="R101" s="395"/>
      <c r="S101" s="151"/>
      <c r="T101" s="151"/>
      <c r="V101" s="387"/>
      <c r="W101" s="343"/>
      <c r="X101" s="343"/>
      <c r="Y101" s="343"/>
      <c r="Z101" s="343"/>
      <c r="AA101" s="343"/>
      <c r="AB101" s="343"/>
      <c r="AC101" s="343"/>
      <c r="AD101" s="343"/>
      <c r="AE101" s="343"/>
      <c r="AF101" s="343"/>
      <c r="AG101" s="343"/>
      <c r="AH101" s="343"/>
      <c r="AI101" s="343"/>
      <c r="AJ101" s="343"/>
      <c r="AK101" s="343"/>
      <c r="AL101" s="343"/>
      <c r="AM101" s="114" t="s">
        <v>15628</v>
      </c>
      <c r="AN101" s="396"/>
      <c r="AO101" s="396"/>
      <c r="AP101" s="396"/>
      <c r="AQ101" s="396"/>
      <c r="AR101" s="396"/>
      <c r="AS101" s="396"/>
      <c r="AT101" s="396"/>
      <c r="AU101" s="490"/>
      <c r="AV101" s="152"/>
      <c r="AW101" s="387"/>
      <c r="AX101" s="489">
        <f>ROUND(ROUND(R100*AS102,0)*$AU$58,0)</f>
        <v>93</v>
      </c>
      <c r="AY101" s="393"/>
    </row>
    <row r="102" spans="1:51" ht="16.5" customHeight="1" x14ac:dyDescent="0.15">
      <c r="A102" s="340">
        <v>12</v>
      </c>
      <c r="B102" s="341">
        <v>7204</v>
      </c>
      <c r="C102" s="390" t="s">
        <v>16096</v>
      </c>
      <c r="D102" s="419"/>
      <c r="E102" s="420"/>
      <c r="F102" s="420"/>
      <c r="G102" s="420"/>
      <c r="H102" s="422"/>
      <c r="I102" s="325"/>
      <c r="J102" s="325"/>
      <c r="K102" s="325"/>
      <c r="L102" s="325"/>
      <c r="M102" s="325"/>
      <c r="N102" s="325"/>
      <c r="O102" s="325"/>
      <c r="P102" s="325"/>
      <c r="Q102" s="325"/>
      <c r="R102" s="416"/>
      <c r="S102" s="417"/>
      <c r="T102" s="417"/>
      <c r="U102" s="325"/>
      <c r="V102" s="388"/>
      <c r="W102" s="343" t="s">
        <v>15625</v>
      </c>
      <c r="X102" s="325"/>
      <c r="Y102" s="325"/>
      <c r="Z102" s="325"/>
      <c r="AA102" s="325"/>
      <c r="AB102" s="325"/>
      <c r="AC102" s="325"/>
      <c r="AD102" s="325"/>
      <c r="AE102" s="325"/>
      <c r="AF102" s="325"/>
      <c r="AG102" s="325"/>
      <c r="AH102" s="325"/>
      <c r="AI102" s="325"/>
      <c r="AJ102" s="391" t="s">
        <v>15626</v>
      </c>
      <c r="AK102" s="838">
        <f>AK100</f>
        <v>1</v>
      </c>
      <c r="AL102" s="843"/>
      <c r="AM102" s="324" t="s">
        <v>15630</v>
      </c>
      <c r="AN102" s="325"/>
      <c r="AO102" s="325"/>
      <c r="AP102" s="325"/>
      <c r="AQ102" s="325"/>
      <c r="AR102" s="190" t="s">
        <v>398</v>
      </c>
      <c r="AS102" s="844">
        <f>AS98</f>
        <v>0.85</v>
      </c>
      <c r="AT102" s="844"/>
      <c r="AU102" s="324"/>
      <c r="AV102" s="325"/>
      <c r="AW102" s="388"/>
      <c r="AX102" s="491">
        <f>ROUND(ROUND(ROUND(R100*AK102,0)*AS102,0)*$AU$58,0)</f>
        <v>93</v>
      </c>
      <c r="AY102" s="418"/>
    </row>
    <row r="103" spans="1:51" ht="17.100000000000001" customHeight="1" x14ac:dyDescent="0.15">
      <c r="A103" s="340">
        <v>12</v>
      </c>
      <c r="B103" s="341">
        <v>3371</v>
      </c>
      <c r="C103" s="390" t="s">
        <v>16097</v>
      </c>
      <c r="D103" s="857" t="s">
        <v>15740</v>
      </c>
      <c r="E103" s="858"/>
      <c r="F103" s="858"/>
      <c r="G103" s="858"/>
      <c r="H103" s="860"/>
      <c r="I103" s="253" t="s">
        <v>15690</v>
      </c>
      <c r="J103" s="396"/>
      <c r="K103" s="396"/>
      <c r="L103" s="400"/>
      <c r="M103" s="400"/>
      <c r="N103" s="400"/>
      <c r="O103" s="400"/>
      <c r="P103" s="400"/>
      <c r="Q103" s="396"/>
      <c r="R103" s="396"/>
      <c r="S103" s="396"/>
      <c r="T103" s="396"/>
      <c r="U103" s="396"/>
      <c r="V103" s="397"/>
      <c r="W103" s="343"/>
      <c r="X103" s="343"/>
      <c r="Y103" s="343"/>
      <c r="Z103" s="343"/>
      <c r="AA103" s="343"/>
      <c r="AB103" s="343"/>
      <c r="AC103" s="343"/>
      <c r="AD103" s="343"/>
      <c r="AE103" s="343"/>
      <c r="AF103" s="343"/>
      <c r="AG103" s="343"/>
      <c r="AH103" s="343"/>
      <c r="AI103" s="343"/>
      <c r="AJ103" s="343"/>
      <c r="AK103" s="343"/>
      <c r="AL103" s="407"/>
      <c r="AM103" s="396"/>
      <c r="AN103" s="396"/>
      <c r="AO103" s="396"/>
      <c r="AP103" s="396"/>
      <c r="AQ103" s="396"/>
      <c r="AR103" s="396"/>
      <c r="AS103" s="396"/>
      <c r="AT103" s="396"/>
      <c r="AU103" s="753" t="s">
        <v>743</v>
      </c>
      <c r="AV103" s="742"/>
      <c r="AW103" s="714"/>
      <c r="AX103" s="489">
        <f>ROUND(R104*$AU$106,0)</f>
        <v>231</v>
      </c>
      <c r="AY103" s="329" t="s">
        <v>15622</v>
      </c>
    </row>
    <row r="104" spans="1:51" ht="16.5" customHeight="1" x14ac:dyDescent="0.15">
      <c r="A104" s="340">
        <v>12</v>
      </c>
      <c r="B104" s="341">
        <v>3372</v>
      </c>
      <c r="C104" s="390" t="s">
        <v>16098</v>
      </c>
      <c r="D104" s="849"/>
      <c r="E104" s="850"/>
      <c r="F104" s="850"/>
      <c r="G104" s="850"/>
      <c r="H104" s="852"/>
      <c r="R104" s="836">
        <f>'2重度訪問'!U104</f>
        <v>185</v>
      </c>
      <c r="S104" s="837"/>
      <c r="T104" s="837"/>
      <c r="U104" s="152" t="s">
        <v>15624</v>
      </c>
      <c r="V104" s="387"/>
      <c r="W104" s="343" t="s">
        <v>15625</v>
      </c>
      <c r="X104" s="325"/>
      <c r="Y104" s="325"/>
      <c r="Z104" s="325"/>
      <c r="AA104" s="325"/>
      <c r="AB104" s="325"/>
      <c r="AC104" s="325"/>
      <c r="AD104" s="325"/>
      <c r="AE104" s="325"/>
      <c r="AF104" s="325"/>
      <c r="AG104" s="325"/>
      <c r="AH104" s="325"/>
      <c r="AI104" s="325"/>
      <c r="AJ104" s="391" t="s">
        <v>15626</v>
      </c>
      <c r="AK104" s="838">
        <f>AK102</f>
        <v>1</v>
      </c>
      <c r="AL104" s="839"/>
      <c r="AM104" s="325"/>
      <c r="AN104" s="325"/>
      <c r="AO104" s="325"/>
      <c r="AP104" s="325"/>
      <c r="AQ104" s="325"/>
      <c r="AR104" s="325"/>
      <c r="AS104" s="325"/>
      <c r="AT104" s="325"/>
      <c r="AU104" s="754"/>
      <c r="AV104" s="744"/>
      <c r="AW104" s="716"/>
      <c r="AX104" s="489">
        <f>ROUND(ROUND(R104*AK104,0)*$AU$106,0)</f>
        <v>231</v>
      </c>
      <c r="AY104" s="393"/>
    </row>
    <row r="105" spans="1:51" ht="16.5" customHeight="1" x14ac:dyDescent="0.15">
      <c r="A105" s="340">
        <v>12</v>
      </c>
      <c r="B105" s="341">
        <v>7205</v>
      </c>
      <c r="C105" s="390" t="s">
        <v>16099</v>
      </c>
      <c r="D105" s="849"/>
      <c r="E105" s="850"/>
      <c r="F105" s="850"/>
      <c r="G105" s="850"/>
      <c r="H105" s="852"/>
      <c r="R105" s="395"/>
      <c r="S105" s="151"/>
      <c r="T105" s="151"/>
      <c r="V105" s="387"/>
      <c r="W105" s="343"/>
      <c r="X105" s="343"/>
      <c r="Y105" s="343"/>
      <c r="Z105" s="343"/>
      <c r="AA105" s="343"/>
      <c r="AB105" s="343"/>
      <c r="AC105" s="343"/>
      <c r="AD105" s="343"/>
      <c r="AE105" s="343"/>
      <c r="AF105" s="343"/>
      <c r="AG105" s="343"/>
      <c r="AH105" s="343"/>
      <c r="AI105" s="343"/>
      <c r="AJ105" s="343"/>
      <c r="AK105" s="343"/>
      <c r="AL105" s="343"/>
      <c r="AM105" s="114" t="s">
        <v>15628</v>
      </c>
      <c r="AN105" s="396"/>
      <c r="AO105" s="396"/>
      <c r="AP105" s="396"/>
      <c r="AQ105" s="396"/>
      <c r="AR105" s="396"/>
      <c r="AS105" s="396"/>
      <c r="AT105" s="396"/>
      <c r="AU105" s="893" t="s">
        <v>398</v>
      </c>
      <c r="AV105" s="894"/>
      <c r="AW105" s="895"/>
      <c r="AX105" s="489">
        <f>ROUND(ROUND(R104*AS106,0)*$AU$106,0)</f>
        <v>196</v>
      </c>
      <c r="AY105" s="393"/>
    </row>
    <row r="106" spans="1:51" ht="16.5" customHeight="1" x14ac:dyDescent="0.15">
      <c r="A106" s="340">
        <v>12</v>
      </c>
      <c r="B106" s="341">
        <v>7206</v>
      </c>
      <c r="C106" s="390" t="s">
        <v>16100</v>
      </c>
      <c r="D106" s="849"/>
      <c r="E106" s="850"/>
      <c r="F106" s="850"/>
      <c r="G106" s="850"/>
      <c r="H106" s="852"/>
      <c r="R106" s="395"/>
      <c r="S106" s="151"/>
      <c r="T106" s="151"/>
      <c r="V106" s="387"/>
      <c r="W106" s="343" t="s">
        <v>15625</v>
      </c>
      <c r="X106" s="325"/>
      <c r="Y106" s="325"/>
      <c r="Z106" s="325"/>
      <c r="AA106" s="325"/>
      <c r="AB106" s="325"/>
      <c r="AC106" s="325"/>
      <c r="AD106" s="325"/>
      <c r="AE106" s="325"/>
      <c r="AF106" s="325"/>
      <c r="AG106" s="325"/>
      <c r="AH106" s="325"/>
      <c r="AI106" s="325"/>
      <c r="AJ106" s="391" t="s">
        <v>15626</v>
      </c>
      <c r="AK106" s="838">
        <f>AK104</f>
        <v>1</v>
      </c>
      <c r="AL106" s="843"/>
      <c r="AM106" s="324" t="s">
        <v>15630</v>
      </c>
      <c r="AN106" s="325"/>
      <c r="AO106" s="325"/>
      <c r="AP106" s="325"/>
      <c r="AQ106" s="325"/>
      <c r="AR106" s="190" t="s">
        <v>398</v>
      </c>
      <c r="AS106" s="844">
        <f>AS102</f>
        <v>0.85</v>
      </c>
      <c r="AT106" s="844"/>
      <c r="AU106" s="896">
        <f>AU58</f>
        <v>1.25</v>
      </c>
      <c r="AV106" s="897"/>
      <c r="AW106" s="898"/>
      <c r="AX106" s="489">
        <f>ROUND(ROUND(ROUND(R104*AK106,0)*AS106,0)*$AU$106,0)</f>
        <v>196</v>
      </c>
      <c r="AY106" s="393"/>
    </row>
    <row r="107" spans="1:51" ht="17.100000000000001" customHeight="1" x14ac:dyDescent="0.15">
      <c r="A107" s="340">
        <v>12</v>
      </c>
      <c r="B107" s="341">
        <v>3381</v>
      </c>
      <c r="C107" s="390" t="s">
        <v>16101</v>
      </c>
      <c r="D107" s="403"/>
      <c r="E107" s="404"/>
      <c r="F107" s="404"/>
      <c r="G107" s="404"/>
      <c r="H107" s="406"/>
      <c r="I107" s="253" t="s">
        <v>15695</v>
      </c>
      <c r="J107" s="396"/>
      <c r="K107" s="396"/>
      <c r="L107" s="396"/>
      <c r="M107" s="396"/>
      <c r="N107" s="396"/>
      <c r="O107" s="396"/>
      <c r="P107" s="396"/>
      <c r="Q107" s="396"/>
      <c r="R107" s="399"/>
      <c r="S107" s="400"/>
      <c r="T107" s="400"/>
      <c r="U107" s="396"/>
      <c r="V107" s="397"/>
      <c r="W107" s="343"/>
      <c r="X107" s="325"/>
      <c r="Y107" s="325"/>
      <c r="Z107" s="325"/>
      <c r="AA107" s="325"/>
      <c r="AB107" s="325"/>
      <c r="AC107" s="325"/>
      <c r="AD107" s="325"/>
      <c r="AE107" s="325"/>
      <c r="AF107" s="325"/>
      <c r="AG107" s="325"/>
      <c r="AH107" s="325"/>
      <c r="AI107" s="325"/>
      <c r="AJ107" s="391"/>
      <c r="AK107" s="401"/>
      <c r="AL107" s="402"/>
      <c r="AU107" s="490"/>
      <c r="AV107" s="152"/>
      <c r="AW107" s="387"/>
      <c r="AX107" s="489">
        <f>ROUND(R108*$AU$106,0)</f>
        <v>113</v>
      </c>
      <c r="AY107" s="393"/>
    </row>
    <row r="108" spans="1:51" ht="16.5" customHeight="1" x14ac:dyDescent="0.15">
      <c r="A108" s="340">
        <v>12</v>
      </c>
      <c r="B108" s="341">
        <v>3382</v>
      </c>
      <c r="C108" s="390" t="s">
        <v>16102</v>
      </c>
      <c r="D108" s="403"/>
      <c r="E108" s="404"/>
      <c r="F108" s="404"/>
      <c r="G108" s="404"/>
      <c r="H108" s="406"/>
      <c r="R108" s="836">
        <f>'2重度訪問'!U108</f>
        <v>90</v>
      </c>
      <c r="S108" s="837"/>
      <c r="T108" s="837"/>
      <c r="U108" s="152" t="s">
        <v>15624</v>
      </c>
      <c r="V108" s="387"/>
      <c r="W108" s="343" t="s">
        <v>15625</v>
      </c>
      <c r="X108" s="325"/>
      <c r="Y108" s="325"/>
      <c r="Z108" s="325"/>
      <c r="AA108" s="325"/>
      <c r="AB108" s="325"/>
      <c r="AC108" s="325"/>
      <c r="AD108" s="325"/>
      <c r="AE108" s="325"/>
      <c r="AF108" s="325"/>
      <c r="AG108" s="325"/>
      <c r="AH108" s="325"/>
      <c r="AI108" s="325"/>
      <c r="AJ108" s="391" t="s">
        <v>15626</v>
      </c>
      <c r="AK108" s="838">
        <f>AK106</f>
        <v>1</v>
      </c>
      <c r="AL108" s="839"/>
      <c r="AU108" s="490"/>
      <c r="AV108" s="152"/>
      <c r="AW108" s="387"/>
      <c r="AX108" s="489">
        <f>ROUND(ROUND(R108*AK108,0)*$AU$106,0)</f>
        <v>113</v>
      </c>
      <c r="AY108" s="393"/>
    </row>
    <row r="109" spans="1:51" ht="16.5" customHeight="1" x14ac:dyDescent="0.15">
      <c r="A109" s="340">
        <v>12</v>
      </c>
      <c r="B109" s="341">
        <v>7207</v>
      </c>
      <c r="C109" s="390" t="s">
        <v>16103</v>
      </c>
      <c r="D109" s="403"/>
      <c r="E109" s="404"/>
      <c r="F109" s="404"/>
      <c r="G109" s="404"/>
      <c r="H109" s="406"/>
      <c r="R109" s="395"/>
      <c r="S109" s="151"/>
      <c r="T109" s="151"/>
      <c r="V109" s="387"/>
      <c r="W109" s="343"/>
      <c r="X109" s="343"/>
      <c r="Y109" s="343"/>
      <c r="Z109" s="343"/>
      <c r="AA109" s="343"/>
      <c r="AB109" s="343"/>
      <c r="AC109" s="343"/>
      <c r="AD109" s="343"/>
      <c r="AE109" s="343"/>
      <c r="AF109" s="343"/>
      <c r="AG109" s="343"/>
      <c r="AH109" s="343"/>
      <c r="AI109" s="343"/>
      <c r="AJ109" s="343"/>
      <c r="AK109" s="343"/>
      <c r="AL109" s="343"/>
      <c r="AM109" s="114" t="s">
        <v>15628</v>
      </c>
      <c r="AN109" s="396"/>
      <c r="AO109" s="396"/>
      <c r="AP109" s="396"/>
      <c r="AQ109" s="396"/>
      <c r="AR109" s="396"/>
      <c r="AS109" s="396"/>
      <c r="AT109" s="396"/>
      <c r="AU109" s="490"/>
      <c r="AV109" s="152"/>
      <c r="AW109" s="387"/>
      <c r="AX109" s="489">
        <f>ROUND(ROUND(R108*AS110,0)*$AU$106,0)</f>
        <v>96</v>
      </c>
      <c r="AY109" s="393"/>
    </row>
    <row r="110" spans="1:51" ht="16.5" customHeight="1" x14ac:dyDescent="0.15">
      <c r="A110" s="340">
        <v>12</v>
      </c>
      <c r="B110" s="341">
        <v>7208</v>
      </c>
      <c r="C110" s="390" t="s">
        <v>16104</v>
      </c>
      <c r="D110" s="403"/>
      <c r="E110" s="404"/>
      <c r="F110" s="404"/>
      <c r="G110" s="404"/>
      <c r="H110" s="406"/>
      <c r="R110" s="395"/>
      <c r="S110" s="151"/>
      <c r="T110" s="151"/>
      <c r="V110" s="387"/>
      <c r="W110" s="343" t="s">
        <v>15625</v>
      </c>
      <c r="X110" s="325"/>
      <c r="Y110" s="325"/>
      <c r="Z110" s="325"/>
      <c r="AA110" s="325"/>
      <c r="AB110" s="325"/>
      <c r="AC110" s="325"/>
      <c r="AD110" s="325"/>
      <c r="AE110" s="325"/>
      <c r="AF110" s="325"/>
      <c r="AG110" s="325"/>
      <c r="AH110" s="325"/>
      <c r="AI110" s="325"/>
      <c r="AJ110" s="391" t="s">
        <v>15626</v>
      </c>
      <c r="AK110" s="838">
        <f>AK108</f>
        <v>1</v>
      </c>
      <c r="AL110" s="843"/>
      <c r="AM110" s="324" t="s">
        <v>15630</v>
      </c>
      <c r="AN110" s="325"/>
      <c r="AO110" s="325"/>
      <c r="AP110" s="325"/>
      <c r="AQ110" s="325"/>
      <c r="AR110" s="190" t="s">
        <v>398</v>
      </c>
      <c r="AS110" s="844">
        <f>AS106</f>
        <v>0.85</v>
      </c>
      <c r="AT110" s="844"/>
      <c r="AU110" s="490"/>
      <c r="AV110" s="152"/>
      <c r="AW110" s="387"/>
      <c r="AX110" s="489">
        <f>ROUND(ROUND(ROUND(R108*AK110,0)*AS110,0)*$AU$106,0)</f>
        <v>96</v>
      </c>
      <c r="AY110" s="393"/>
    </row>
    <row r="111" spans="1:51" ht="16.5" customHeight="1" x14ac:dyDescent="0.15">
      <c r="A111" s="340">
        <v>12</v>
      </c>
      <c r="B111" s="341">
        <v>3491</v>
      </c>
      <c r="C111" s="390" t="s">
        <v>16105</v>
      </c>
      <c r="D111" s="403"/>
      <c r="E111" s="404"/>
      <c r="F111" s="404"/>
      <c r="G111" s="404"/>
      <c r="H111" s="406"/>
      <c r="I111" s="253" t="s">
        <v>15639</v>
      </c>
      <c r="J111" s="396"/>
      <c r="K111" s="396"/>
      <c r="L111" s="396"/>
      <c r="M111" s="396"/>
      <c r="N111" s="396"/>
      <c r="O111" s="396"/>
      <c r="P111" s="396"/>
      <c r="Q111" s="396"/>
      <c r="R111" s="399"/>
      <c r="S111" s="400"/>
      <c r="T111" s="400"/>
      <c r="U111" s="396"/>
      <c r="V111" s="397"/>
      <c r="W111" s="343"/>
      <c r="X111" s="325"/>
      <c r="Y111" s="325"/>
      <c r="Z111" s="325"/>
      <c r="AA111" s="325"/>
      <c r="AB111" s="325"/>
      <c r="AC111" s="325"/>
      <c r="AD111" s="325"/>
      <c r="AE111" s="325"/>
      <c r="AF111" s="325"/>
      <c r="AG111" s="325"/>
      <c r="AH111" s="325"/>
      <c r="AI111" s="325"/>
      <c r="AJ111" s="391"/>
      <c r="AK111" s="401"/>
      <c r="AL111" s="402"/>
      <c r="AM111" s="396"/>
      <c r="AN111" s="396"/>
      <c r="AO111" s="396"/>
      <c r="AP111" s="396"/>
      <c r="AQ111" s="396"/>
      <c r="AR111" s="396"/>
      <c r="AS111" s="396"/>
      <c r="AT111" s="396"/>
      <c r="AU111" s="490"/>
      <c r="AV111" s="152"/>
      <c r="AW111" s="387"/>
      <c r="AX111" s="489">
        <f>ROUND(R112*$AU$106,0)</f>
        <v>115</v>
      </c>
      <c r="AY111" s="393"/>
    </row>
    <row r="112" spans="1:51" ht="16.5" customHeight="1" x14ac:dyDescent="0.15">
      <c r="A112" s="340">
        <v>12</v>
      </c>
      <c r="B112" s="341">
        <v>3492</v>
      </c>
      <c r="C112" s="390" t="s">
        <v>16106</v>
      </c>
      <c r="D112" s="403"/>
      <c r="E112" s="404"/>
      <c r="F112" s="404"/>
      <c r="G112" s="404"/>
      <c r="H112" s="406"/>
      <c r="R112" s="836">
        <f>'2重度訪問'!U112</f>
        <v>92</v>
      </c>
      <c r="S112" s="837"/>
      <c r="T112" s="837"/>
      <c r="U112" s="152" t="s">
        <v>15624</v>
      </c>
      <c r="V112" s="387"/>
      <c r="W112" s="343" t="s">
        <v>15625</v>
      </c>
      <c r="X112" s="325"/>
      <c r="Y112" s="325"/>
      <c r="Z112" s="325"/>
      <c r="AA112" s="325"/>
      <c r="AB112" s="325"/>
      <c r="AC112" s="325"/>
      <c r="AD112" s="325"/>
      <c r="AE112" s="325"/>
      <c r="AF112" s="325"/>
      <c r="AG112" s="325"/>
      <c r="AH112" s="325"/>
      <c r="AI112" s="325"/>
      <c r="AJ112" s="391" t="s">
        <v>15626</v>
      </c>
      <c r="AK112" s="838">
        <f>AK110</f>
        <v>1</v>
      </c>
      <c r="AL112" s="839"/>
      <c r="AM112" s="325"/>
      <c r="AN112" s="325"/>
      <c r="AO112" s="325"/>
      <c r="AP112" s="325"/>
      <c r="AQ112" s="325"/>
      <c r="AR112" s="325"/>
      <c r="AS112" s="325"/>
      <c r="AT112" s="325"/>
      <c r="AU112" s="490"/>
      <c r="AV112" s="152"/>
      <c r="AW112" s="387"/>
      <c r="AX112" s="489">
        <f>ROUND(ROUND(R112*AK112,0)*$AU$106,0)</f>
        <v>115</v>
      </c>
      <c r="AY112" s="393"/>
    </row>
    <row r="113" spans="1:51" ht="16.5" customHeight="1" x14ac:dyDescent="0.15">
      <c r="A113" s="340">
        <v>12</v>
      </c>
      <c r="B113" s="341">
        <v>7209</v>
      </c>
      <c r="C113" s="390" t="s">
        <v>16107</v>
      </c>
      <c r="D113" s="403"/>
      <c r="E113" s="404"/>
      <c r="F113" s="404"/>
      <c r="G113" s="404"/>
      <c r="H113" s="406"/>
      <c r="R113" s="395"/>
      <c r="S113" s="151"/>
      <c r="T113" s="151"/>
      <c r="V113" s="387"/>
      <c r="W113" s="343"/>
      <c r="X113" s="343"/>
      <c r="Y113" s="343"/>
      <c r="Z113" s="343"/>
      <c r="AA113" s="343"/>
      <c r="AB113" s="343"/>
      <c r="AC113" s="343"/>
      <c r="AD113" s="343"/>
      <c r="AE113" s="343"/>
      <c r="AF113" s="343"/>
      <c r="AG113" s="343"/>
      <c r="AH113" s="343"/>
      <c r="AI113" s="343"/>
      <c r="AJ113" s="343"/>
      <c r="AK113" s="343"/>
      <c r="AL113" s="343"/>
      <c r="AM113" s="114" t="s">
        <v>15628</v>
      </c>
      <c r="AN113" s="396"/>
      <c r="AO113" s="396"/>
      <c r="AP113" s="396"/>
      <c r="AQ113" s="396"/>
      <c r="AR113" s="396"/>
      <c r="AS113" s="396"/>
      <c r="AT113" s="396"/>
      <c r="AU113" s="490"/>
      <c r="AV113" s="152"/>
      <c r="AW113" s="387"/>
      <c r="AX113" s="489">
        <f>ROUND(ROUND(R112*AS114,0)*$AU$106,0)</f>
        <v>98</v>
      </c>
      <c r="AY113" s="393"/>
    </row>
    <row r="114" spans="1:51" ht="16.5" customHeight="1" x14ac:dyDescent="0.15">
      <c r="A114" s="340">
        <v>12</v>
      </c>
      <c r="B114" s="341">
        <v>7210</v>
      </c>
      <c r="C114" s="390" t="s">
        <v>16108</v>
      </c>
      <c r="D114" s="403"/>
      <c r="E114" s="404"/>
      <c r="F114" s="404"/>
      <c r="G114" s="404"/>
      <c r="H114" s="406"/>
      <c r="R114" s="395"/>
      <c r="S114" s="151"/>
      <c r="T114" s="151"/>
      <c r="V114" s="387"/>
      <c r="W114" s="343" t="s">
        <v>15625</v>
      </c>
      <c r="X114" s="325"/>
      <c r="Y114" s="325"/>
      <c r="Z114" s="325"/>
      <c r="AA114" s="325"/>
      <c r="AB114" s="325"/>
      <c r="AC114" s="325"/>
      <c r="AD114" s="325"/>
      <c r="AE114" s="325"/>
      <c r="AF114" s="325"/>
      <c r="AG114" s="325"/>
      <c r="AH114" s="325"/>
      <c r="AI114" s="325"/>
      <c r="AJ114" s="391" t="s">
        <v>15626</v>
      </c>
      <c r="AK114" s="838">
        <f>AK112</f>
        <v>1</v>
      </c>
      <c r="AL114" s="843"/>
      <c r="AM114" s="324" t="s">
        <v>15630</v>
      </c>
      <c r="AN114" s="325"/>
      <c r="AO114" s="325"/>
      <c r="AP114" s="325"/>
      <c r="AQ114" s="325"/>
      <c r="AR114" s="190" t="s">
        <v>398</v>
      </c>
      <c r="AS114" s="844">
        <f>AS110</f>
        <v>0.85</v>
      </c>
      <c r="AT114" s="844"/>
      <c r="AU114" s="490"/>
      <c r="AV114" s="152"/>
      <c r="AW114" s="387"/>
      <c r="AX114" s="489">
        <f>ROUND(ROUND(ROUND(R112*AK114,0)*AS114,0)*$AU$106,0)</f>
        <v>98</v>
      </c>
      <c r="AY114" s="393"/>
    </row>
    <row r="115" spans="1:51" ht="16.5" customHeight="1" x14ac:dyDescent="0.15">
      <c r="A115" s="340">
        <v>12</v>
      </c>
      <c r="B115" s="341">
        <v>3501</v>
      </c>
      <c r="C115" s="390" t="s">
        <v>16109</v>
      </c>
      <c r="D115" s="403"/>
      <c r="E115" s="404"/>
      <c r="F115" s="404"/>
      <c r="G115" s="404"/>
      <c r="H115" s="406"/>
      <c r="I115" s="253" t="s">
        <v>15644</v>
      </c>
      <c r="J115" s="396"/>
      <c r="K115" s="396"/>
      <c r="L115" s="396"/>
      <c r="M115" s="396"/>
      <c r="N115" s="396"/>
      <c r="O115" s="396"/>
      <c r="P115" s="396"/>
      <c r="Q115" s="396"/>
      <c r="R115" s="399"/>
      <c r="S115" s="400"/>
      <c r="T115" s="400"/>
      <c r="U115" s="396"/>
      <c r="V115" s="397"/>
      <c r="W115" s="343"/>
      <c r="X115" s="325"/>
      <c r="Y115" s="325"/>
      <c r="Z115" s="325"/>
      <c r="AA115" s="325"/>
      <c r="AB115" s="325"/>
      <c r="AC115" s="325"/>
      <c r="AD115" s="325"/>
      <c r="AE115" s="325"/>
      <c r="AF115" s="325"/>
      <c r="AG115" s="325"/>
      <c r="AH115" s="325"/>
      <c r="AI115" s="325"/>
      <c r="AJ115" s="391"/>
      <c r="AK115" s="401"/>
      <c r="AL115" s="402"/>
      <c r="AM115" s="396"/>
      <c r="AN115" s="396"/>
      <c r="AO115" s="396"/>
      <c r="AP115" s="396"/>
      <c r="AQ115" s="396"/>
      <c r="AR115" s="396"/>
      <c r="AS115" s="396"/>
      <c r="AT115" s="396"/>
      <c r="AU115" s="490"/>
      <c r="AV115" s="152"/>
      <c r="AW115" s="387"/>
      <c r="AX115" s="489">
        <f>ROUND(R116*$AU$106,0)</f>
        <v>114</v>
      </c>
      <c r="AY115" s="393"/>
    </row>
    <row r="116" spans="1:51" ht="16.5" customHeight="1" x14ac:dyDescent="0.15">
      <c r="A116" s="340">
        <v>12</v>
      </c>
      <c r="B116" s="341">
        <v>3502</v>
      </c>
      <c r="C116" s="390" t="s">
        <v>16110</v>
      </c>
      <c r="D116" s="403"/>
      <c r="E116" s="404"/>
      <c r="F116" s="404"/>
      <c r="G116" s="404"/>
      <c r="H116" s="406"/>
      <c r="R116" s="836">
        <f>'2重度訪問'!U116</f>
        <v>91</v>
      </c>
      <c r="S116" s="837"/>
      <c r="T116" s="837"/>
      <c r="U116" s="152" t="s">
        <v>15624</v>
      </c>
      <c r="V116" s="387"/>
      <c r="W116" s="343" t="s">
        <v>15625</v>
      </c>
      <c r="X116" s="325"/>
      <c r="Y116" s="325"/>
      <c r="Z116" s="325"/>
      <c r="AA116" s="325"/>
      <c r="AB116" s="325"/>
      <c r="AC116" s="325"/>
      <c r="AD116" s="325"/>
      <c r="AE116" s="325"/>
      <c r="AF116" s="325"/>
      <c r="AG116" s="325"/>
      <c r="AH116" s="325"/>
      <c r="AI116" s="325"/>
      <c r="AJ116" s="391" t="s">
        <v>15626</v>
      </c>
      <c r="AK116" s="838">
        <f>AK114</f>
        <v>1</v>
      </c>
      <c r="AL116" s="839"/>
      <c r="AM116" s="325"/>
      <c r="AN116" s="325"/>
      <c r="AO116" s="325"/>
      <c r="AP116" s="325"/>
      <c r="AQ116" s="325"/>
      <c r="AR116" s="325"/>
      <c r="AS116" s="325"/>
      <c r="AT116" s="325"/>
      <c r="AU116" s="490"/>
      <c r="AV116" s="152"/>
      <c r="AW116" s="387"/>
      <c r="AX116" s="489">
        <f>ROUND(ROUND(R116*AK116,0)*$AU$106,0)</f>
        <v>114</v>
      </c>
      <c r="AY116" s="393"/>
    </row>
    <row r="117" spans="1:51" ht="16.5" customHeight="1" x14ac:dyDescent="0.15">
      <c r="A117" s="340">
        <v>12</v>
      </c>
      <c r="B117" s="341">
        <v>7211</v>
      </c>
      <c r="C117" s="390" t="s">
        <v>16111</v>
      </c>
      <c r="D117" s="403"/>
      <c r="E117" s="404"/>
      <c r="F117" s="404"/>
      <c r="G117" s="404"/>
      <c r="H117" s="406"/>
      <c r="R117" s="395"/>
      <c r="S117" s="151"/>
      <c r="T117" s="151"/>
      <c r="V117" s="387"/>
      <c r="W117" s="343"/>
      <c r="X117" s="343"/>
      <c r="Y117" s="343"/>
      <c r="Z117" s="343"/>
      <c r="AA117" s="343"/>
      <c r="AB117" s="343"/>
      <c r="AC117" s="343"/>
      <c r="AD117" s="343"/>
      <c r="AE117" s="343"/>
      <c r="AF117" s="343"/>
      <c r="AG117" s="343"/>
      <c r="AH117" s="343"/>
      <c r="AI117" s="343"/>
      <c r="AJ117" s="343"/>
      <c r="AK117" s="343"/>
      <c r="AL117" s="343"/>
      <c r="AM117" s="114" t="s">
        <v>15628</v>
      </c>
      <c r="AN117" s="396"/>
      <c r="AO117" s="396"/>
      <c r="AP117" s="396"/>
      <c r="AQ117" s="396"/>
      <c r="AR117" s="396"/>
      <c r="AS117" s="396"/>
      <c r="AT117" s="396"/>
      <c r="AU117" s="490"/>
      <c r="AV117" s="152"/>
      <c r="AW117" s="387"/>
      <c r="AX117" s="489">
        <f>ROUND(ROUND(R116*AS118,0)*$AU$106,0)</f>
        <v>96</v>
      </c>
      <c r="AY117" s="393"/>
    </row>
    <row r="118" spans="1:51" ht="16.5" customHeight="1" x14ac:dyDescent="0.15">
      <c r="A118" s="340">
        <v>12</v>
      </c>
      <c r="B118" s="341">
        <v>7212</v>
      </c>
      <c r="C118" s="390" t="s">
        <v>16112</v>
      </c>
      <c r="D118" s="403"/>
      <c r="E118" s="404"/>
      <c r="F118" s="404"/>
      <c r="G118" s="404"/>
      <c r="H118" s="406"/>
      <c r="R118" s="395"/>
      <c r="S118" s="151"/>
      <c r="T118" s="151"/>
      <c r="V118" s="387"/>
      <c r="W118" s="343" t="s">
        <v>15625</v>
      </c>
      <c r="X118" s="325"/>
      <c r="Y118" s="325"/>
      <c r="Z118" s="325"/>
      <c r="AA118" s="325"/>
      <c r="AB118" s="325"/>
      <c r="AC118" s="325"/>
      <c r="AD118" s="325"/>
      <c r="AE118" s="325"/>
      <c r="AF118" s="325"/>
      <c r="AG118" s="325"/>
      <c r="AH118" s="325"/>
      <c r="AI118" s="325"/>
      <c r="AJ118" s="391" t="s">
        <v>15626</v>
      </c>
      <c r="AK118" s="838">
        <f>AK116</f>
        <v>1</v>
      </c>
      <c r="AL118" s="843"/>
      <c r="AM118" s="324" t="s">
        <v>15630</v>
      </c>
      <c r="AN118" s="325"/>
      <c r="AO118" s="325"/>
      <c r="AP118" s="325"/>
      <c r="AQ118" s="325"/>
      <c r="AR118" s="190" t="s">
        <v>398</v>
      </c>
      <c r="AS118" s="844">
        <f>AS114</f>
        <v>0.85</v>
      </c>
      <c r="AT118" s="844"/>
      <c r="AU118" s="490"/>
      <c r="AV118" s="152"/>
      <c r="AW118" s="387"/>
      <c r="AX118" s="489">
        <f>ROUND(ROUND(ROUND(R116*AK118,0)*AS118,0)*$AU$106,0)</f>
        <v>96</v>
      </c>
      <c r="AY118" s="393"/>
    </row>
    <row r="119" spans="1:51" ht="16.5" customHeight="1" x14ac:dyDescent="0.15">
      <c r="A119" s="340">
        <v>12</v>
      </c>
      <c r="B119" s="341">
        <v>3511</v>
      </c>
      <c r="C119" s="390" t="s">
        <v>16113</v>
      </c>
      <c r="D119" s="403"/>
      <c r="E119" s="404"/>
      <c r="F119" s="404"/>
      <c r="G119" s="404"/>
      <c r="H119" s="406"/>
      <c r="I119" s="253" t="s">
        <v>15649</v>
      </c>
      <c r="J119" s="396"/>
      <c r="K119" s="396"/>
      <c r="L119" s="396"/>
      <c r="M119" s="396"/>
      <c r="N119" s="396"/>
      <c r="O119" s="396"/>
      <c r="P119" s="396"/>
      <c r="Q119" s="396"/>
      <c r="R119" s="399"/>
      <c r="S119" s="400"/>
      <c r="T119" s="400"/>
      <c r="U119" s="396"/>
      <c r="V119" s="397"/>
      <c r="W119" s="343"/>
      <c r="X119" s="325"/>
      <c r="Y119" s="325"/>
      <c r="Z119" s="325"/>
      <c r="AA119" s="325"/>
      <c r="AB119" s="325"/>
      <c r="AC119" s="325"/>
      <c r="AD119" s="325"/>
      <c r="AE119" s="325"/>
      <c r="AF119" s="325"/>
      <c r="AG119" s="325"/>
      <c r="AH119" s="325"/>
      <c r="AI119" s="325"/>
      <c r="AJ119" s="391"/>
      <c r="AK119" s="401"/>
      <c r="AL119" s="402"/>
      <c r="AM119" s="396"/>
      <c r="AN119" s="396"/>
      <c r="AO119" s="396"/>
      <c r="AP119" s="396"/>
      <c r="AQ119" s="396"/>
      <c r="AR119" s="396"/>
      <c r="AS119" s="396"/>
      <c r="AT119" s="396"/>
      <c r="AU119" s="490"/>
      <c r="AV119" s="152"/>
      <c r="AW119" s="387"/>
      <c r="AX119" s="489">
        <f>ROUND(R120*$AU$106,0)</f>
        <v>115</v>
      </c>
      <c r="AY119" s="393"/>
    </row>
    <row r="120" spans="1:51" ht="16.5" customHeight="1" x14ac:dyDescent="0.15">
      <c r="A120" s="340">
        <v>12</v>
      </c>
      <c r="B120" s="341">
        <v>3512</v>
      </c>
      <c r="C120" s="390" t="s">
        <v>16114</v>
      </c>
      <c r="D120" s="403"/>
      <c r="E120" s="404"/>
      <c r="F120" s="404"/>
      <c r="G120" s="404"/>
      <c r="H120" s="406"/>
      <c r="R120" s="836">
        <f>'2重度訪問'!U120</f>
        <v>92</v>
      </c>
      <c r="S120" s="837"/>
      <c r="T120" s="837"/>
      <c r="U120" s="152" t="s">
        <v>15624</v>
      </c>
      <c r="V120" s="387"/>
      <c r="W120" s="343" t="s">
        <v>15625</v>
      </c>
      <c r="X120" s="325"/>
      <c r="Y120" s="325"/>
      <c r="Z120" s="325"/>
      <c r="AA120" s="325"/>
      <c r="AB120" s="325"/>
      <c r="AC120" s="325"/>
      <c r="AD120" s="325"/>
      <c r="AE120" s="325"/>
      <c r="AF120" s="325"/>
      <c r="AG120" s="325"/>
      <c r="AH120" s="325"/>
      <c r="AI120" s="325"/>
      <c r="AJ120" s="391" t="s">
        <v>15626</v>
      </c>
      <c r="AK120" s="838">
        <f>AK118</f>
        <v>1</v>
      </c>
      <c r="AL120" s="839"/>
      <c r="AM120" s="325"/>
      <c r="AN120" s="325"/>
      <c r="AO120" s="325"/>
      <c r="AP120" s="325"/>
      <c r="AQ120" s="325"/>
      <c r="AR120" s="325"/>
      <c r="AS120" s="325"/>
      <c r="AT120" s="325"/>
      <c r="AU120" s="490"/>
      <c r="AV120" s="152"/>
      <c r="AW120" s="387"/>
      <c r="AX120" s="489">
        <f>ROUND(ROUND(R120*AK120,0)*$AU$106,0)</f>
        <v>115</v>
      </c>
      <c r="AY120" s="393"/>
    </row>
    <row r="121" spans="1:51" ht="16.5" customHeight="1" x14ac:dyDescent="0.15">
      <c r="A121" s="340">
        <v>12</v>
      </c>
      <c r="B121" s="341">
        <v>7213</v>
      </c>
      <c r="C121" s="390" t="s">
        <v>16115</v>
      </c>
      <c r="D121" s="403"/>
      <c r="E121" s="404"/>
      <c r="F121" s="404"/>
      <c r="G121" s="404"/>
      <c r="H121" s="406"/>
      <c r="R121" s="395"/>
      <c r="S121" s="151"/>
      <c r="T121" s="151"/>
      <c r="V121" s="387"/>
      <c r="W121" s="343"/>
      <c r="X121" s="343"/>
      <c r="Y121" s="343"/>
      <c r="Z121" s="343"/>
      <c r="AA121" s="343"/>
      <c r="AB121" s="343"/>
      <c r="AC121" s="343"/>
      <c r="AD121" s="343"/>
      <c r="AE121" s="343"/>
      <c r="AF121" s="343"/>
      <c r="AG121" s="343"/>
      <c r="AH121" s="343"/>
      <c r="AI121" s="343"/>
      <c r="AJ121" s="343"/>
      <c r="AK121" s="343"/>
      <c r="AL121" s="343"/>
      <c r="AM121" s="114" t="s">
        <v>15628</v>
      </c>
      <c r="AN121" s="396"/>
      <c r="AO121" s="396"/>
      <c r="AP121" s="396"/>
      <c r="AQ121" s="396"/>
      <c r="AR121" s="396"/>
      <c r="AS121" s="396"/>
      <c r="AT121" s="396"/>
      <c r="AU121" s="490"/>
      <c r="AV121" s="152"/>
      <c r="AW121" s="387"/>
      <c r="AX121" s="489">
        <f>ROUND(ROUND(R120*AS122,0)*$AU$106,0)</f>
        <v>98</v>
      </c>
      <c r="AY121" s="393"/>
    </row>
    <row r="122" spans="1:51" ht="16.5" customHeight="1" x14ac:dyDescent="0.15">
      <c r="A122" s="340">
        <v>12</v>
      </c>
      <c r="B122" s="341">
        <v>7214</v>
      </c>
      <c r="C122" s="390" t="s">
        <v>16116</v>
      </c>
      <c r="D122" s="403"/>
      <c r="E122" s="404"/>
      <c r="F122" s="404"/>
      <c r="G122" s="404"/>
      <c r="H122" s="406"/>
      <c r="R122" s="395"/>
      <c r="S122" s="151"/>
      <c r="T122" s="151"/>
      <c r="V122" s="387"/>
      <c r="W122" s="343" t="s">
        <v>15625</v>
      </c>
      <c r="X122" s="325"/>
      <c r="Y122" s="325"/>
      <c r="Z122" s="325"/>
      <c r="AA122" s="325"/>
      <c r="AB122" s="325"/>
      <c r="AC122" s="325"/>
      <c r="AD122" s="325"/>
      <c r="AE122" s="325"/>
      <c r="AF122" s="325"/>
      <c r="AG122" s="325"/>
      <c r="AH122" s="325"/>
      <c r="AI122" s="325"/>
      <c r="AJ122" s="391" t="s">
        <v>15626</v>
      </c>
      <c r="AK122" s="838">
        <f>AK120</f>
        <v>1</v>
      </c>
      <c r="AL122" s="843"/>
      <c r="AM122" s="324" t="s">
        <v>15630</v>
      </c>
      <c r="AN122" s="325"/>
      <c r="AO122" s="325"/>
      <c r="AP122" s="325"/>
      <c r="AQ122" s="325"/>
      <c r="AR122" s="190" t="s">
        <v>398</v>
      </c>
      <c r="AS122" s="844">
        <f>AS118</f>
        <v>0.85</v>
      </c>
      <c r="AT122" s="844"/>
      <c r="AU122" s="490"/>
      <c r="AV122" s="152"/>
      <c r="AW122" s="387"/>
      <c r="AX122" s="489">
        <f>ROUND(ROUND(ROUND(R120*AK122,0)*AS122,0)*$AU$106,0)</f>
        <v>98</v>
      </c>
      <c r="AY122" s="393"/>
    </row>
    <row r="123" spans="1:51" ht="16.5" customHeight="1" x14ac:dyDescent="0.15">
      <c r="A123" s="340">
        <v>12</v>
      </c>
      <c r="B123" s="341">
        <v>3521</v>
      </c>
      <c r="C123" s="390" t="s">
        <v>16117</v>
      </c>
      <c r="D123" s="403"/>
      <c r="E123" s="404"/>
      <c r="F123" s="404"/>
      <c r="G123" s="404"/>
      <c r="H123" s="406"/>
      <c r="I123" s="253" t="s">
        <v>15654</v>
      </c>
      <c r="J123" s="396"/>
      <c r="K123" s="396"/>
      <c r="L123" s="396"/>
      <c r="M123" s="396"/>
      <c r="N123" s="396"/>
      <c r="O123" s="396"/>
      <c r="P123" s="396"/>
      <c r="Q123" s="396"/>
      <c r="R123" s="399"/>
      <c r="S123" s="400"/>
      <c r="T123" s="400"/>
      <c r="U123" s="396"/>
      <c r="V123" s="397"/>
      <c r="W123" s="343"/>
      <c r="X123" s="325"/>
      <c r="Y123" s="325"/>
      <c r="Z123" s="325"/>
      <c r="AA123" s="325"/>
      <c r="AB123" s="325"/>
      <c r="AC123" s="325"/>
      <c r="AD123" s="325"/>
      <c r="AE123" s="325"/>
      <c r="AF123" s="325"/>
      <c r="AG123" s="325"/>
      <c r="AH123" s="325"/>
      <c r="AI123" s="325"/>
      <c r="AJ123" s="391"/>
      <c r="AK123" s="401"/>
      <c r="AL123" s="402"/>
      <c r="AM123" s="396"/>
      <c r="AN123" s="396"/>
      <c r="AO123" s="396"/>
      <c r="AP123" s="396"/>
      <c r="AQ123" s="396"/>
      <c r="AR123" s="396"/>
      <c r="AS123" s="396"/>
      <c r="AT123" s="396"/>
      <c r="AU123" s="490"/>
      <c r="AV123" s="152"/>
      <c r="AW123" s="387"/>
      <c r="AX123" s="489">
        <f>ROUND(R124*$AU$106,0)</f>
        <v>113</v>
      </c>
      <c r="AY123" s="393"/>
    </row>
    <row r="124" spans="1:51" ht="16.5" customHeight="1" x14ac:dyDescent="0.15">
      <c r="A124" s="340">
        <v>12</v>
      </c>
      <c r="B124" s="341">
        <v>3522</v>
      </c>
      <c r="C124" s="390" t="s">
        <v>16118</v>
      </c>
      <c r="D124" s="403"/>
      <c r="E124" s="404"/>
      <c r="F124" s="404"/>
      <c r="G124" s="404"/>
      <c r="H124" s="406"/>
      <c r="R124" s="836">
        <f>'2重度訪問'!U124</f>
        <v>90</v>
      </c>
      <c r="S124" s="837"/>
      <c r="T124" s="837"/>
      <c r="U124" s="152" t="s">
        <v>15624</v>
      </c>
      <c r="V124" s="387"/>
      <c r="W124" s="343" t="s">
        <v>15625</v>
      </c>
      <c r="X124" s="325"/>
      <c r="Y124" s="325"/>
      <c r="Z124" s="325"/>
      <c r="AA124" s="325"/>
      <c r="AB124" s="325"/>
      <c r="AC124" s="325"/>
      <c r="AD124" s="325"/>
      <c r="AE124" s="325"/>
      <c r="AF124" s="325"/>
      <c r="AG124" s="325"/>
      <c r="AH124" s="325"/>
      <c r="AI124" s="325"/>
      <c r="AJ124" s="391" t="s">
        <v>15626</v>
      </c>
      <c r="AK124" s="838">
        <f>AK122</f>
        <v>1</v>
      </c>
      <c r="AL124" s="839"/>
      <c r="AM124" s="325"/>
      <c r="AN124" s="325"/>
      <c r="AO124" s="325"/>
      <c r="AP124" s="325"/>
      <c r="AQ124" s="325"/>
      <c r="AR124" s="325"/>
      <c r="AS124" s="325"/>
      <c r="AT124" s="325"/>
      <c r="AU124" s="490"/>
      <c r="AV124" s="152"/>
      <c r="AW124" s="387"/>
      <c r="AX124" s="489">
        <f>ROUND(ROUND(R124*AK124,0)*$AU$106,0)</f>
        <v>113</v>
      </c>
      <c r="AY124" s="393"/>
    </row>
    <row r="125" spans="1:51" ht="16.5" customHeight="1" x14ac:dyDescent="0.15">
      <c r="A125" s="340">
        <v>12</v>
      </c>
      <c r="B125" s="341">
        <v>7215</v>
      </c>
      <c r="C125" s="390" t="s">
        <v>16119</v>
      </c>
      <c r="D125" s="403"/>
      <c r="E125" s="404"/>
      <c r="F125" s="404"/>
      <c r="G125" s="404"/>
      <c r="H125" s="406"/>
      <c r="R125" s="395"/>
      <c r="S125" s="151"/>
      <c r="T125" s="151"/>
      <c r="V125" s="387"/>
      <c r="W125" s="343"/>
      <c r="X125" s="343"/>
      <c r="Y125" s="343"/>
      <c r="Z125" s="343"/>
      <c r="AA125" s="343"/>
      <c r="AB125" s="343"/>
      <c r="AC125" s="343"/>
      <c r="AD125" s="343"/>
      <c r="AE125" s="343"/>
      <c r="AF125" s="343"/>
      <c r="AG125" s="343"/>
      <c r="AH125" s="343"/>
      <c r="AI125" s="343"/>
      <c r="AJ125" s="343"/>
      <c r="AK125" s="343"/>
      <c r="AL125" s="343"/>
      <c r="AM125" s="114" t="s">
        <v>15628</v>
      </c>
      <c r="AN125" s="396"/>
      <c r="AO125" s="396"/>
      <c r="AP125" s="396"/>
      <c r="AQ125" s="396"/>
      <c r="AR125" s="396"/>
      <c r="AS125" s="396"/>
      <c r="AT125" s="396"/>
      <c r="AU125" s="490"/>
      <c r="AV125" s="152"/>
      <c r="AW125" s="387"/>
      <c r="AX125" s="489">
        <f>ROUND(ROUND(R124*AS126,0)*$AU$106,0)</f>
        <v>96</v>
      </c>
      <c r="AY125" s="393"/>
    </row>
    <row r="126" spans="1:51" ht="16.5" customHeight="1" x14ac:dyDescent="0.15">
      <c r="A126" s="340">
        <v>12</v>
      </c>
      <c r="B126" s="341">
        <v>7216</v>
      </c>
      <c r="C126" s="390" t="s">
        <v>16120</v>
      </c>
      <c r="D126" s="403"/>
      <c r="E126" s="404"/>
      <c r="F126" s="404"/>
      <c r="G126" s="404"/>
      <c r="H126" s="406"/>
      <c r="R126" s="395"/>
      <c r="S126" s="151"/>
      <c r="T126" s="151"/>
      <c r="V126" s="387"/>
      <c r="W126" s="343" t="s">
        <v>15625</v>
      </c>
      <c r="X126" s="325"/>
      <c r="Y126" s="325"/>
      <c r="Z126" s="325"/>
      <c r="AA126" s="325"/>
      <c r="AB126" s="325"/>
      <c r="AC126" s="325"/>
      <c r="AD126" s="325"/>
      <c r="AE126" s="325"/>
      <c r="AF126" s="325"/>
      <c r="AG126" s="325"/>
      <c r="AH126" s="325"/>
      <c r="AI126" s="325"/>
      <c r="AJ126" s="391" t="s">
        <v>15626</v>
      </c>
      <c r="AK126" s="838">
        <f>AK124</f>
        <v>1</v>
      </c>
      <c r="AL126" s="843"/>
      <c r="AM126" s="324" t="s">
        <v>15630</v>
      </c>
      <c r="AN126" s="325"/>
      <c r="AO126" s="325"/>
      <c r="AP126" s="325"/>
      <c r="AQ126" s="325"/>
      <c r="AR126" s="190" t="s">
        <v>398</v>
      </c>
      <c r="AS126" s="844">
        <f>AS122</f>
        <v>0.85</v>
      </c>
      <c r="AT126" s="844"/>
      <c r="AU126" s="490"/>
      <c r="AV126" s="152"/>
      <c r="AW126" s="387"/>
      <c r="AX126" s="489">
        <f>ROUND(ROUND(ROUND(R124*AK126,0)*AS126,0)*$AU$106,0)</f>
        <v>96</v>
      </c>
      <c r="AY126" s="393"/>
    </row>
    <row r="127" spans="1:51" ht="16.5" customHeight="1" x14ac:dyDescent="0.15">
      <c r="A127" s="340">
        <v>12</v>
      </c>
      <c r="B127" s="341">
        <v>3531</v>
      </c>
      <c r="C127" s="390" t="s">
        <v>16121</v>
      </c>
      <c r="D127" s="403"/>
      <c r="E127" s="404"/>
      <c r="F127" s="404"/>
      <c r="G127" s="404"/>
      <c r="H127" s="406"/>
      <c r="I127" s="253" t="s">
        <v>15659</v>
      </c>
      <c r="J127" s="396"/>
      <c r="K127" s="396"/>
      <c r="L127" s="396"/>
      <c r="M127" s="396"/>
      <c r="N127" s="396"/>
      <c r="O127" s="396"/>
      <c r="P127" s="396"/>
      <c r="Q127" s="396"/>
      <c r="R127" s="399"/>
      <c r="S127" s="400"/>
      <c r="T127" s="400"/>
      <c r="U127" s="396"/>
      <c r="V127" s="397"/>
      <c r="W127" s="343"/>
      <c r="X127" s="325"/>
      <c r="Y127" s="325"/>
      <c r="Z127" s="325"/>
      <c r="AA127" s="325"/>
      <c r="AB127" s="325"/>
      <c r="AC127" s="325"/>
      <c r="AD127" s="325"/>
      <c r="AE127" s="325"/>
      <c r="AF127" s="325"/>
      <c r="AG127" s="325"/>
      <c r="AH127" s="325"/>
      <c r="AI127" s="325"/>
      <c r="AJ127" s="391"/>
      <c r="AK127" s="401"/>
      <c r="AL127" s="402"/>
      <c r="AM127" s="396"/>
      <c r="AN127" s="396"/>
      <c r="AO127" s="396"/>
      <c r="AP127" s="396"/>
      <c r="AQ127" s="396"/>
      <c r="AR127" s="396"/>
      <c r="AS127" s="396"/>
      <c r="AT127" s="396"/>
      <c r="AU127" s="490"/>
      <c r="AV127" s="152"/>
      <c r="AW127" s="387"/>
      <c r="AX127" s="489">
        <f>ROUND(R128*$AU$106,0)</f>
        <v>115</v>
      </c>
      <c r="AY127" s="393"/>
    </row>
    <row r="128" spans="1:51" ht="16.5" customHeight="1" x14ac:dyDescent="0.15">
      <c r="A128" s="340">
        <v>12</v>
      </c>
      <c r="B128" s="341">
        <v>3532</v>
      </c>
      <c r="C128" s="390" t="s">
        <v>16122</v>
      </c>
      <c r="D128" s="403"/>
      <c r="E128" s="404"/>
      <c r="F128" s="404"/>
      <c r="G128" s="404"/>
      <c r="H128" s="406"/>
      <c r="R128" s="836">
        <f>'2重度訪問'!U128</f>
        <v>92</v>
      </c>
      <c r="S128" s="837"/>
      <c r="T128" s="837"/>
      <c r="U128" s="152" t="s">
        <v>15624</v>
      </c>
      <c r="V128" s="387"/>
      <c r="W128" s="343" t="s">
        <v>15625</v>
      </c>
      <c r="X128" s="325"/>
      <c r="Y128" s="325"/>
      <c r="Z128" s="325"/>
      <c r="AA128" s="325"/>
      <c r="AB128" s="325"/>
      <c r="AC128" s="325"/>
      <c r="AD128" s="325"/>
      <c r="AE128" s="325"/>
      <c r="AF128" s="325"/>
      <c r="AG128" s="325"/>
      <c r="AH128" s="325"/>
      <c r="AI128" s="325"/>
      <c r="AJ128" s="391" t="s">
        <v>15626</v>
      </c>
      <c r="AK128" s="838">
        <f>AK126</f>
        <v>1</v>
      </c>
      <c r="AL128" s="839"/>
      <c r="AM128" s="325"/>
      <c r="AN128" s="325"/>
      <c r="AO128" s="325"/>
      <c r="AP128" s="325"/>
      <c r="AQ128" s="325"/>
      <c r="AR128" s="325"/>
      <c r="AS128" s="325"/>
      <c r="AT128" s="325"/>
      <c r="AU128" s="490"/>
      <c r="AV128" s="152"/>
      <c r="AW128" s="387"/>
      <c r="AX128" s="489">
        <f>ROUND(ROUND(R128*AK128,0)*$AU$106,0)</f>
        <v>115</v>
      </c>
      <c r="AY128" s="393"/>
    </row>
    <row r="129" spans="1:51" ht="16.5" customHeight="1" x14ac:dyDescent="0.15">
      <c r="A129" s="340">
        <v>12</v>
      </c>
      <c r="B129" s="341">
        <v>7217</v>
      </c>
      <c r="C129" s="390" t="s">
        <v>16123</v>
      </c>
      <c r="D129" s="403"/>
      <c r="E129" s="404"/>
      <c r="F129" s="404"/>
      <c r="G129" s="404"/>
      <c r="H129" s="406"/>
      <c r="R129" s="395"/>
      <c r="S129" s="151"/>
      <c r="T129" s="151"/>
      <c r="V129" s="387"/>
      <c r="W129" s="343"/>
      <c r="X129" s="343"/>
      <c r="Y129" s="343"/>
      <c r="Z129" s="343"/>
      <c r="AA129" s="343"/>
      <c r="AB129" s="343"/>
      <c r="AC129" s="343"/>
      <c r="AD129" s="343"/>
      <c r="AE129" s="343"/>
      <c r="AF129" s="343"/>
      <c r="AG129" s="343"/>
      <c r="AH129" s="343"/>
      <c r="AI129" s="343"/>
      <c r="AJ129" s="343"/>
      <c r="AK129" s="343"/>
      <c r="AL129" s="343"/>
      <c r="AM129" s="114" t="s">
        <v>15628</v>
      </c>
      <c r="AN129" s="396"/>
      <c r="AO129" s="396"/>
      <c r="AP129" s="396"/>
      <c r="AQ129" s="396"/>
      <c r="AR129" s="396"/>
      <c r="AS129" s="396"/>
      <c r="AT129" s="396"/>
      <c r="AU129" s="490"/>
      <c r="AV129" s="152"/>
      <c r="AW129" s="387"/>
      <c r="AX129" s="489">
        <f>ROUND(ROUND(R128*AS130,0)*$AU$106,0)</f>
        <v>98</v>
      </c>
      <c r="AY129" s="393"/>
    </row>
    <row r="130" spans="1:51" ht="16.5" customHeight="1" x14ac:dyDescent="0.15">
      <c r="A130" s="340">
        <v>12</v>
      </c>
      <c r="B130" s="341">
        <v>7218</v>
      </c>
      <c r="C130" s="390" t="s">
        <v>16124</v>
      </c>
      <c r="D130" s="403"/>
      <c r="E130" s="404"/>
      <c r="F130" s="404"/>
      <c r="G130" s="404"/>
      <c r="H130" s="406"/>
      <c r="R130" s="395"/>
      <c r="S130" s="151"/>
      <c r="T130" s="151"/>
      <c r="V130" s="387"/>
      <c r="W130" s="343" t="s">
        <v>15625</v>
      </c>
      <c r="X130" s="325"/>
      <c r="Y130" s="325"/>
      <c r="Z130" s="325"/>
      <c r="AA130" s="325"/>
      <c r="AB130" s="325"/>
      <c r="AC130" s="325"/>
      <c r="AD130" s="325"/>
      <c r="AE130" s="325"/>
      <c r="AF130" s="325"/>
      <c r="AG130" s="325"/>
      <c r="AH130" s="325"/>
      <c r="AI130" s="325"/>
      <c r="AJ130" s="391" t="s">
        <v>15626</v>
      </c>
      <c r="AK130" s="838">
        <f>AK128</f>
        <v>1</v>
      </c>
      <c r="AL130" s="843"/>
      <c r="AM130" s="324" t="s">
        <v>15630</v>
      </c>
      <c r="AN130" s="325"/>
      <c r="AO130" s="325"/>
      <c r="AP130" s="325"/>
      <c r="AQ130" s="325"/>
      <c r="AR130" s="190" t="s">
        <v>398</v>
      </c>
      <c r="AS130" s="844">
        <f>AS126</f>
        <v>0.85</v>
      </c>
      <c r="AT130" s="844"/>
      <c r="AU130" s="490"/>
      <c r="AV130" s="152"/>
      <c r="AW130" s="387"/>
      <c r="AX130" s="489">
        <f>ROUND(ROUND(ROUND(R128*AK130,0)*AS130,0)*$AU$106,0)</f>
        <v>98</v>
      </c>
      <c r="AY130" s="393"/>
    </row>
    <row r="131" spans="1:51" ht="17.100000000000001" customHeight="1" x14ac:dyDescent="0.15">
      <c r="A131" s="340">
        <v>12</v>
      </c>
      <c r="B131" s="341">
        <v>3321</v>
      </c>
      <c r="C131" s="390" t="s">
        <v>16125</v>
      </c>
      <c r="D131" s="403"/>
      <c r="E131" s="404"/>
      <c r="F131" s="404"/>
      <c r="G131" s="404"/>
      <c r="H131" s="406"/>
      <c r="I131" s="253" t="s">
        <v>15664</v>
      </c>
      <c r="J131" s="396"/>
      <c r="K131" s="396"/>
      <c r="L131" s="400"/>
      <c r="M131" s="400"/>
      <c r="N131" s="400"/>
      <c r="O131" s="400"/>
      <c r="P131" s="400"/>
      <c r="Q131" s="396"/>
      <c r="R131" s="396"/>
      <c r="S131" s="396"/>
      <c r="T131" s="396"/>
      <c r="U131" s="396"/>
      <c r="V131" s="397"/>
      <c r="W131" s="343"/>
      <c r="X131" s="343"/>
      <c r="Y131" s="343"/>
      <c r="Z131" s="343"/>
      <c r="AA131" s="343"/>
      <c r="AB131" s="343"/>
      <c r="AC131" s="343"/>
      <c r="AD131" s="343"/>
      <c r="AE131" s="343"/>
      <c r="AF131" s="343"/>
      <c r="AG131" s="343"/>
      <c r="AH131" s="343"/>
      <c r="AI131" s="343"/>
      <c r="AJ131" s="343"/>
      <c r="AK131" s="343"/>
      <c r="AL131" s="407"/>
      <c r="AM131" s="396"/>
      <c r="AN131" s="396"/>
      <c r="AO131" s="396"/>
      <c r="AP131" s="396"/>
      <c r="AQ131" s="396"/>
      <c r="AR131" s="396"/>
      <c r="AS131" s="396"/>
      <c r="AT131" s="396"/>
      <c r="AU131" s="490"/>
      <c r="AV131" s="152"/>
      <c r="AW131" s="387"/>
      <c r="AX131" s="489">
        <f>ROUND(R132*$AU$106,0)</f>
        <v>106</v>
      </c>
      <c r="AY131" s="393"/>
    </row>
    <row r="132" spans="1:51" ht="16.5" customHeight="1" x14ac:dyDescent="0.15">
      <c r="A132" s="340">
        <v>12</v>
      </c>
      <c r="B132" s="341">
        <v>3322</v>
      </c>
      <c r="C132" s="390" t="s">
        <v>16126</v>
      </c>
      <c r="D132" s="403"/>
      <c r="E132" s="404"/>
      <c r="F132" s="404"/>
      <c r="G132" s="404"/>
      <c r="H132" s="406"/>
      <c r="R132" s="836">
        <f>'2重度訪問'!U132</f>
        <v>85</v>
      </c>
      <c r="S132" s="837"/>
      <c r="T132" s="837"/>
      <c r="U132" s="152" t="s">
        <v>15624</v>
      </c>
      <c r="V132" s="387"/>
      <c r="W132" s="343" t="s">
        <v>15625</v>
      </c>
      <c r="X132" s="325"/>
      <c r="Y132" s="325"/>
      <c r="Z132" s="325"/>
      <c r="AA132" s="325"/>
      <c r="AB132" s="325"/>
      <c r="AC132" s="325"/>
      <c r="AD132" s="325"/>
      <c r="AE132" s="325"/>
      <c r="AF132" s="325"/>
      <c r="AG132" s="325"/>
      <c r="AH132" s="325"/>
      <c r="AI132" s="325"/>
      <c r="AJ132" s="391" t="s">
        <v>15626</v>
      </c>
      <c r="AK132" s="838">
        <f>AK130</f>
        <v>1</v>
      </c>
      <c r="AL132" s="839"/>
      <c r="AM132" s="325"/>
      <c r="AN132" s="325"/>
      <c r="AO132" s="325"/>
      <c r="AP132" s="325"/>
      <c r="AQ132" s="325"/>
      <c r="AR132" s="325"/>
      <c r="AS132" s="325"/>
      <c r="AT132" s="391"/>
      <c r="AU132" s="490"/>
      <c r="AV132" s="152"/>
      <c r="AW132" s="387"/>
      <c r="AX132" s="489">
        <f>ROUND(ROUND(R132*AK132,0)*$AU$106,0)</f>
        <v>106</v>
      </c>
      <c r="AY132" s="393"/>
    </row>
    <row r="133" spans="1:51" ht="16.5" customHeight="1" x14ac:dyDescent="0.15">
      <c r="A133" s="340">
        <v>12</v>
      </c>
      <c r="B133" s="341">
        <v>7219</v>
      </c>
      <c r="C133" s="390" t="s">
        <v>16127</v>
      </c>
      <c r="D133" s="403"/>
      <c r="E133" s="404"/>
      <c r="F133" s="404"/>
      <c r="G133" s="404"/>
      <c r="H133" s="406"/>
      <c r="R133" s="395"/>
      <c r="S133" s="151"/>
      <c r="T133" s="151"/>
      <c r="V133" s="387"/>
      <c r="W133" s="343"/>
      <c r="X133" s="343"/>
      <c r="Y133" s="343"/>
      <c r="Z133" s="343"/>
      <c r="AA133" s="343"/>
      <c r="AB133" s="343"/>
      <c r="AC133" s="343"/>
      <c r="AD133" s="343"/>
      <c r="AE133" s="343"/>
      <c r="AF133" s="343"/>
      <c r="AG133" s="343"/>
      <c r="AH133" s="343"/>
      <c r="AI133" s="343"/>
      <c r="AJ133" s="343"/>
      <c r="AK133" s="343"/>
      <c r="AL133" s="343"/>
      <c r="AM133" s="114" t="s">
        <v>15628</v>
      </c>
      <c r="AN133" s="396"/>
      <c r="AO133" s="396"/>
      <c r="AP133" s="396"/>
      <c r="AQ133" s="396"/>
      <c r="AR133" s="396"/>
      <c r="AS133" s="396"/>
      <c r="AT133" s="396"/>
      <c r="AU133" s="490"/>
      <c r="AV133" s="152"/>
      <c r="AW133" s="387"/>
      <c r="AX133" s="489">
        <f>ROUND(ROUND(R132*AS134,0)*$AU$106,0)</f>
        <v>90</v>
      </c>
      <c r="AY133" s="393"/>
    </row>
    <row r="134" spans="1:51" ht="16.5" customHeight="1" x14ac:dyDescent="0.15">
      <c r="A134" s="340">
        <v>12</v>
      </c>
      <c r="B134" s="341">
        <v>7220</v>
      </c>
      <c r="C134" s="390" t="s">
        <v>16128</v>
      </c>
      <c r="D134" s="403"/>
      <c r="E134" s="404"/>
      <c r="F134" s="404"/>
      <c r="G134" s="404"/>
      <c r="H134" s="406"/>
      <c r="R134" s="395"/>
      <c r="S134" s="151"/>
      <c r="T134" s="151"/>
      <c r="V134" s="387"/>
      <c r="W134" s="343" t="s">
        <v>15625</v>
      </c>
      <c r="X134" s="325"/>
      <c r="Y134" s="325"/>
      <c r="Z134" s="325"/>
      <c r="AA134" s="325"/>
      <c r="AB134" s="325"/>
      <c r="AC134" s="325"/>
      <c r="AD134" s="325"/>
      <c r="AE134" s="325"/>
      <c r="AF134" s="325"/>
      <c r="AG134" s="325"/>
      <c r="AH134" s="325"/>
      <c r="AI134" s="325"/>
      <c r="AJ134" s="391" t="s">
        <v>15626</v>
      </c>
      <c r="AK134" s="838">
        <f>AK132</f>
        <v>1</v>
      </c>
      <c r="AL134" s="843"/>
      <c r="AM134" s="324" t="s">
        <v>15630</v>
      </c>
      <c r="AN134" s="325"/>
      <c r="AO134" s="325"/>
      <c r="AP134" s="325"/>
      <c r="AQ134" s="325"/>
      <c r="AR134" s="190" t="s">
        <v>398</v>
      </c>
      <c r="AS134" s="844">
        <f>AS130</f>
        <v>0.85</v>
      </c>
      <c r="AT134" s="844"/>
      <c r="AU134" s="490"/>
      <c r="AV134" s="152"/>
      <c r="AW134" s="387"/>
      <c r="AX134" s="489">
        <f>ROUND(ROUND(ROUND(R132*AK134,0)*AS134,0)*$AU$106,0)</f>
        <v>90</v>
      </c>
      <c r="AY134" s="393"/>
    </row>
    <row r="135" spans="1:51" ht="17.100000000000001" customHeight="1" x14ac:dyDescent="0.15">
      <c r="A135" s="340">
        <v>12</v>
      </c>
      <c r="B135" s="341">
        <v>3331</v>
      </c>
      <c r="C135" s="390" t="s">
        <v>16129</v>
      </c>
      <c r="D135" s="403"/>
      <c r="E135" s="404"/>
      <c r="F135" s="404"/>
      <c r="G135" s="404"/>
      <c r="H135" s="406"/>
      <c r="I135" s="253" t="s">
        <v>15669</v>
      </c>
      <c r="J135" s="396"/>
      <c r="K135" s="396"/>
      <c r="L135" s="400"/>
      <c r="M135" s="400"/>
      <c r="N135" s="400"/>
      <c r="O135" s="400"/>
      <c r="P135" s="400"/>
      <c r="Q135" s="396"/>
      <c r="R135" s="396"/>
      <c r="S135" s="396"/>
      <c r="T135" s="396"/>
      <c r="U135" s="396"/>
      <c r="V135" s="397"/>
      <c r="W135" s="343"/>
      <c r="X135" s="343"/>
      <c r="Y135" s="343"/>
      <c r="Z135" s="343"/>
      <c r="AA135" s="343"/>
      <c r="AB135" s="343"/>
      <c r="AC135" s="343"/>
      <c r="AD135" s="343"/>
      <c r="AE135" s="343"/>
      <c r="AF135" s="343"/>
      <c r="AG135" s="343"/>
      <c r="AH135" s="343"/>
      <c r="AI135" s="343"/>
      <c r="AJ135" s="343"/>
      <c r="AK135" s="343"/>
      <c r="AL135" s="407"/>
      <c r="AM135" s="396"/>
      <c r="AN135" s="396"/>
      <c r="AO135" s="396"/>
      <c r="AP135" s="396"/>
      <c r="AQ135" s="396"/>
      <c r="AR135" s="396"/>
      <c r="AS135" s="396"/>
      <c r="AT135" s="396"/>
      <c r="AU135" s="490"/>
      <c r="AV135" s="152"/>
      <c r="AW135" s="387"/>
      <c r="AX135" s="489">
        <f>ROUND(R136*$AU$106,0)</f>
        <v>106</v>
      </c>
      <c r="AY135" s="393"/>
    </row>
    <row r="136" spans="1:51" ht="16.5" customHeight="1" x14ac:dyDescent="0.15">
      <c r="A136" s="340">
        <v>12</v>
      </c>
      <c r="B136" s="341">
        <v>3332</v>
      </c>
      <c r="C136" s="390" t="s">
        <v>16130</v>
      </c>
      <c r="D136" s="403"/>
      <c r="E136" s="404"/>
      <c r="F136" s="404"/>
      <c r="G136" s="404"/>
      <c r="H136" s="406"/>
      <c r="R136" s="836">
        <f>'2重度訪問'!U136</f>
        <v>85</v>
      </c>
      <c r="S136" s="837"/>
      <c r="T136" s="837"/>
      <c r="U136" s="152" t="s">
        <v>15624</v>
      </c>
      <c r="V136" s="387"/>
      <c r="W136" s="343" t="s">
        <v>15625</v>
      </c>
      <c r="X136" s="325"/>
      <c r="Y136" s="325"/>
      <c r="Z136" s="325"/>
      <c r="AA136" s="325"/>
      <c r="AB136" s="325"/>
      <c r="AC136" s="325"/>
      <c r="AD136" s="325"/>
      <c r="AE136" s="325"/>
      <c r="AF136" s="325"/>
      <c r="AG136" s="325"/>
      <c r="AH136" s="325"/>
      <c r="AI136" s="325"/>
      <c r="AJ136" s="391" t="s">
        <v>15626</v>
      </c>
      <c r="AK136" s="838">
        <f>AK134</f>
        <v>1</v>
      </c>
      <c r="AL136" s="839"/>
      <c r="AM136" s="325"/>
      <c r="AN136" s="325"/>
      <c r="AO136" s="325"/>
      <c r="AP136" s="325"/>
      <c r="AQ136" s="325"/>
      <c r="AR136" s="325"/>
      <c r="AS136" s="325"/>
      <c r="AT136" s="391"/>
      <c r="AU136" s="490"/>
      <c r="AV136" s="152"/>
      <c r="AW136" s="387"/>
      <c r="AX136" s="489">
        <f>ROUND(ROUND(R136*AK136,0)*$AU$106,0)</f>
        <v>106</v>
      </c>
      <c r="AY136" s="393"/>
    </row>
    <row r="137" spans="1:51" ht="16.5" customHeight="1" x14ac:dyDescent="0.15">
      <c r="A137" s="340">
        <v>12</v>
      </c>
      <c r="B137" s="341">
        <v>7221</v>
      </c>
      <c r="C137" s="390" t="s">
        <v>16131</v>
      </c>
      <c r="D137" s="403"/>
      <c r="E137" s="404"/>
      <c r="F137" s="404"/>
      <c r="G137" s="404"/>
      <c r="H137" s="406"/>
      <c r="R137" s="395"/>
      <c r="S137" s="151"/>
      <c r="T137" s="151"/>
      <c r="V137" s="387"/>
      <c r="W137" s="343"/>
      <c r="X137" s="343"/>
      <c r="Y137" s="343"/>
      <c r="Z137" s="343"/>
      <c r="AA137" s="343"/>
      <c r="AB137" s="343"/>
      <c r="AC137" s="343"/>
      <c r="AD137" s="343"/>
      <c r="AE137" s="343"/>
      <c r="AF137" s="343"/>
      <c r="AG137" s="343"/>
      <c r="AH137" s="343"/>
      <c r="AI137" s="343"/>
      <c r="AJ137" s="343"/>
      <c r="AK137" s="343"/>
      <c r="AL137" s="343"/>
      <c r="AM137" s="114" t="s">
        <v>15628</v>
      </c>
      <c r="AN137" s="396"/>
      <c r="AO137" s="396"/>
      <c r="AP137" s="396"/>
      <c r="AQ137" s="396"/>
      <c r="AR137" s="396"/>
      <c r="AS137" s="396"/>
      <c r="AT137" s="396"/>
      <c r="AU137" s="490"/>
      <c r="AV137" s="152"/>
      <c r="AW137" s="387"/>
      <c r="AX137" s="489">
        <f>ROUND(ROUND(R136*AS138,0)*$AU$106,0)</f>
        <v>90</v>
      </c>
      <c r="AY137" s="393"/>
    </row>
    <row r="138" spans="1:51" ht="16.5" customHeight="1" x14ac:dyDescent="0.15">
      <c r="A138" s="340">
        <v>12</v>
      </c>
      <c r="B138" s="341">
        <v>7222</v>
      </c>
      <c r="C138" s="390" t="s">
        <v>16132</v>
      </c>
      <c r="D138" s="403"/>
      <c r="E138" s="404"/>
      <c r="F138" s="404"/>
      <c r="G138" s="404"/>
      <c r="H138" s="406"/>
      <c r="R138" s="395"/>
      <c r="S138" s="151"/>
      <c r="T138" s="151"/>
      <c r="V138" s="387"/>
      <c r="W138" s="343" t="s">
        <v>15625</v>
      </c>
      <c r="X138" s="325"/>
      <c r="Y138" s="325"/>
      <c r="Z138" s="325"/>
      <c r="AA138" s="325"/>
      <c r="AB138" s="325"/>
      <c r="AC138" s="325"/>
      <c r="AD138" s="325"/>
      <c r="AE138" s="325"/>
      <c r="AF138" s="325"/>
      <c r="AG138" s="325"/>
      <c r="AH138" s="325"/>
      <c r="AI138" s="325"/>
      <c r="AJ138" s="391" t="s">
        <v>15626</v>
      </c>
      <c r="AK138" s="838">
        <f>AK136</f>
        <v>1</v>
      </c>
      <c r="AL138" s="843"/>
      <c r="AM138" s="324" t="s">
        <v>15630</v>
      </c>
      <c r="AN138" s="325"/>
      <c r="AO138" s="325"/>
      <c r="AP138" s="325"/>
      <c r="AQ138" s="325"/>
      <c r="AR138" s="190" t="s">
        <v>398</v>
      </c>
      <c r="AS138" s="844">
        <f>AS134</f>
        <v>0.85</v>
      </c>
      <c r="AT138" s="844"/>
      <c r="AU138" s="490"/>
      <c r="AV138" s="152"/>
      <c r="AW138" s="387"/>
      <c r="AX138" s="489">
        <f>ROUND(ROUND(ROUND(R136*AK138,0)*AS138,0)*$AU$106,0)</f>
        <v>90</v>
      </c>
      <c r="AY138" s="393"/>
    </row>
    <row r="139" spans="1:51" ht="17.100000000000001" customHeight="1" x14ac:dyDescent="0.15">
      <c r="A139" s="340">
        <v>12</v>
      </c>
      <c r="B139" s="341">
        <v>3341</v>
      </c>
      <c r="C139" s="390" t="s">
        <v>16133</v>
      </c>
      <c r="D139" s="403"/>
      <c r="E139" s="404"/>
      <c r="F139" s="404"/>
      <c r="G139" s="404"/>
      <c r="H139" s="406"/>
      <c r="I139" s="253" t="s">
        <v>15674</v>
      </c>
      <c r="J139" s="396"/>
      <c r="K139" s="396"/>
      <c r="L139" s="400"/>
      <c r="M139" s="400"/>
      <c r="N139" s="400"/>
      <c r="O139" s="400"/>
      <c r="P139" s="400"/>
      <c r="Q139" s="396"/>
      <c r="R139" s="396"/>
      <c r="S139" s="396"/>
      <c r="T139" s="396"/>
      <c r="U139" s="396"/>
      <c r="V139" s="397"/>
      <c r="W139" s="343"/>
      <c r="X139" s="343"/>
      <c r="Y139" s="343"/>
      <c r="Z139" s="343"/>
      <c r="AA139" s="343"/>
      <c r="AB139" s="343"/>
      <c r="AC139" s="343"/>
      <c r="AD139" s="343"/>
      <c r="AE139" s="343"/>
      <c r="AF139" s="343"/>
      <c r="AG139" s="343"/>
      <c r="AH139" s="343"/>
      <c r="AI139" s="343"/>
      <c r="AJ139" s="343"/>
      <c r="AK139" s="343"/>
      <c r="AL139" s="407"/>
      <c r="AM139" s="396"/>
      <c r="AN139" s="396"/>
      <c r="AO139" s="396"/>
      <c r="AP139" s="396"/>
      <c r="AQ139" s="396"/>
      <c r="AR139" s="396"/>
      <c r="AS139" s="396"/>
      <c r="AT139" s="396"/>
      <c r="AU139" s="490"/>
      <c r="AV139" s="152"/>
      <c r="AW139" s="387"/>
      <c r="AX139" s="489">
        <f>ROUND(R140*$AU$106,0)</f>
        <v>100</v>
      </c>
      <c r="AY139" s="393"/>
    </row>
    <row r="140" spans="1:51" ht="16.5" customHeight="1" x14ac:dyDescent="0.15">
      <c r="A140" s="340">
        <v>12</v>
      </c>
      <c r="B140" s="341">
        <v>3342</v>
      </c>
      <c r="C140" s="390" t="s">
        <v>16134</v>
      </c>
      <c r="D140" s="403"/>
      <c r="E140" s="404"/>
      <c r="F140" s="404"/>
      <c r="G140" s="404"/>
      <c r="H140" s="406"/>
      <c r="R140" s="836">
        <f>'2重度訪問'!U140</f>
        <v>80</v>
      </c>
      <c r="S140" s="837"/>
      <c r="T140" s="837"/>
      <c r="U140" s="152" t="s">
        <v>15624</v>
      </c>
      <c r="V140" s="387"/>
      <c r="W140" s="343" t="s">
        <v>15625</v>
      </c>
      <c r="X140" s="325"/>
      <c r="Y140" s="325"/>
      <c r="Z140" s="325"/>
      <c r="AA140" s="325"/>
      <c r="AB140" s="325"/>
      <c r="AC140" s="325"/>
      <c r="AD140" s="325"/>
      <c r="AE140" s="325"/>
      <c r="AF140" s="325"/>
      <c r="AG140" s="325"/>
      <c r="AH140" s="325"/>
      <c r="AI140" s="325"/>
      <c r="AJ140" s="391" t="s">
        <v>15626</v>
      </c>
      <c r="AK140" s="838">
        <f>AK138</f>
        <v>1</v>
      </c>
      <c r="AL140" s="839"/>
      <c r="AM140" s="325"/>
      <c r="AN140" s="325"/>
      <c r="AO140" s="325"/>
      <c r="AP140" s="325"/>
      <c r="AQ140" s="325"/>
      <c r="AR140" s="325"/>
      <c r="AS140" s="325"/>
      <c r="AT140" s="391"/>
      <c r="AU140" s="490"/>
      <c r="AV140" s="152"/>
      <c r="AW140" s="387"/>
      <c r="AX140" s="489">
        <f>ROUND(ROUND(R140*AK140,0)*$AU$106,0)</f>
        <v>100</v>
      </c>
      <c r="AY140" s="393"/>
    </row>
    <row r="141" spans="1:51" ht="16.5" customHeight="1" x14ac:dyDescent="0.15">
      <c r="A141" s="340">
        <v>12</v>
      </c>
      <c r="B141" s="341">
        <v>7223</v>
      </c>
      <c r="C141" s="390" t="s">
        <v>16135</v>
      </c>
      <c r="D141" s="403"/>
      <c r="E141" s="404"/>
      <c r="F141" s="404"/>
      <c r="G141" s="404"/>
      <c r="H141" s="406"/>
      <c r="R141" s="395"/>
      <c r="S141" s="151"/>
      <c r="T141" s="151"/>
      <c r="V141" s="387"/>
      <c r="W141" s="343"/>
      <c r="X141" s="343"/>
      <c r="Y141" s="343"/>
      <c r="Z141" s="343"/>
      <c r="AA141" s="343"/>
      <c r="AB141" s="343"/>
      <c r="AC141" s="343"/>
      <c r="AD141" s="343"/>
      <c r="AE141" s="343"/>
      <c r="AF141" s="343"/>
      <c r="AG141" s="343"/>
      <c r="AH141" s="343"/>
      <c r="AI141" s="343"/>
      <c r="AJ141" s="343"/>
      <c r="AK141" s="343"/>
      <c r="AL141" s="343"/>
      <c r="AM141" s="114" t="s">
        <v>15628</v>
      </c>
      <c r="AN141" s="396"/>
      <c r="AO141" s="396"/>
      <c r="AP141" s="396"/>
      <c r="AQ141" s="396"/>
      <c r="AR141" s="396"/>
      <c r="AS141" s="396"/>
      <c r="AT141" s="396"/>
      <c r="AU141" s="490"/>
      <c r="AV141" s="152"/>
      <c r="AW141" s="387"/>
      <c r="AX141" s="489">
        <f>ROUND(ROUND(R140*AS142,0)*$AU$106,0)</f>
        <v>85</v>
      </c>
      <c r="AY141" s="393"/>
    </row>
    <row r="142" spans="1:51" ht="16.5" customHeight="1" x14ac:dyDescent="0.15">
      <c r="A142" s="340">
        <v>12</v>
      </c>
      <c r="B142" s="341">
        <v>7224</v>
      </c>
      <c r="C142" s="390" t="s">
        <v>16136</v>
      </c>
      <c r="D142" s="403"/>
      <c r="E142" s="404"/>
      <c r="F142" s="404"/>
      <c r="G142" s="404"/>
      <c r="H142" s="406"/>
      <c r="R142" s="395"/>
      <c r="S142" s="151"/>
      <c r="T142" s="151"/>
      <c r="V142" s="387"/>
      <c r="W142" s="343" t="s">
        <v>15625</v>
      </c>
      <c r="X142" s="325"/>
      <c r="Y142" s="325"/>
      <c r="Z142" s="325"/>
      <c r="AA142" s="325"/>
      <c r="AB142" s="325"/>
      <c r="AC142" s="325"/>
      <c r="AD142" s="325"/>
      <c r="AE142" s="325"/>
      <c r="AF142" s="325"/>
      <c r="AG142" s="325"/>
      <c r="AH142" s="325"/>
      <c r="AI142" s="325"/>
      <c r="AJ142" s="391" t="s">
        <v>15626</v>
      </c>
      <c r="AK142" s="838">
        <f>AK140</f>
        <v>1</v>
      </c>
      <c r="AL142" s="843"/>
      <c r="AM142" s="324" t="s">
        <v>15630</v>
      </c>
      <c r="AN142" s="325"/>
      <c r="AO142" s="325"/>
      <c r="AP142" s="325"/>
      <c r="AQ142" s="325"/>
      <c r="AR142" s="190" t="s">
        <v>398</v>
      </c>
      <c r="AS142" s="844">
        <f>AS138</f>
        <v>0.85</v>
      </c>
      <c r="AT142" s="844"/>
      <c r="AU142" s="490"/>
      <c r="AV142" s="152"/>
      <c r="AW142" s="387"/>
      <c r="AX142" s="489">
        <f>ROUND(ROUND(ROUND(R140*AK142,0)*AS142,0)*$AU$106,0)</f>
        <v>85</v>
      </c>
      <c r="AY142" s="393"/>
    </row>
    <row r="143" spans="1:51" ht="17.100000000000001" customHeight="1" x14ac:dyDescent="0.15">
      <c r="A143" s="340">
        <v>12</v>
      </c>
      <c r="B143" s="341">
        <v>3351</v>
      </c>
      <c r="C143" s="390" t="s">
        <v>16137</v>
      </c>
      <c r="D143" s="403"/>
      <c r="E143" s="404"/>
      <c r="F143" s="404"/>
      <c r="G143" s="404"/>
      <c r="H143" s="406"/>
      <c r="I143" s="253" t="s">
        <v>15679</v>
      </c>
      <c r="J143" s="396"/>
      <c r="K143" s="396"/>
      <c r="L143" s="400"/>
      <c r="M143" s="400"/>
      <c r="N143" s="400"/>
      <c r="O143" s="400"/>
      <c r="P143" s="400"/>
      <c r="Q143" s="396"/>
      <c r="R143" s="396"/>
      <c r="S143" s="396"/>
      <c r="T143" s="396"/>
      <c r="U143" s="396"/>
      <c r="V143" s="397"/>
      <c r="W143" s="343"/>
      <c r="X143" s="343"/>
      <c r="Y143" s="343"/>
      <c r="Z143" s="343"/>
      <c r="AA143" s="343"/>
      <c r="AB143" s="343"/>
      <c r="AC143" s="343"/>
      <c r="AD143" s="343"/>
      <c r="AE143" s="343"/>
      <c r="AF143" s="343"/>
      <c r="AG143" s="343"/>
      <c r="AH143" s="343"/>
      <c r="AI143" s="343"/>
      <c r="AJ143" s="343"/>
      <c r="AK143" s="343"/>
      <c r="AL143" s="407"/>
      <c r="AM143" s="396"/>
      <c r="AN143" s="396"/>
      <c r="AO143" s="396"/>
      <c r="AP143" s="396"/>
      <c r="AQ143" s="396"/>
      <c r="AR143" s="396"/>
      <c r="AS143" s="396"/>
      <c r="AT143" s="396"/>
      <c r="AU143" s="490"/>
      <c r="AV143" s="152"/>
      <c r="AW143" s="387"/>
      <c r="AX143" s="489">
        <f>ROUND(R144*$AU$106,0)</f>
        <v>108</v>
      </c>
      <c r="AY143" s="393"/>
    </row>
    <row r="144" spans="1:51" ht="16.5" customHeight="1" x14ac:dyDescent="0.15">
      <c r="A144" s="340">
        <v>12</v>
      </c>
      <c r="B144" s="341">
        <v>3352</v>
      </c>
      <c r="C144" s="390" t="s">
        <v>16138</v>
      </c>
      <c r="D144" s="403"/>
      <c r="E144" s="404"/>
      <c r="F144" s="404"/>
      <c r="G144" s="404"/>
      <c r="H144" s="406"/>
      <c r="R144" s="836">
        <f>'2重度訪問'!U144</f>
        <v>86</v>
      </c>
      <c r="S144" s="837"/>
      <c r="T144" s="837"/>
      <c r="U144" s="152" t="s">
        <v>15624</v>
      </c>
      <c r="V144" s="387"/>
      <c r="W144" s="343" t="s">
        <v>15625</v>
      </c>
      <c r="X144" s="325"/>
      <c r="Y144" s="325"/>
      <c r="Z144" s="325"/>
      <c r="AA144" s="325"/>
      <c r="AB144" s="325"/>
      <c r="AC144" s="325"/>
      <c r="AD144" s="325"/>
      <c r="AE144" s="325"/>
      <c r="AF144" s="325"/>
      <c r="AG144" s="325"/>
      <c r="AH144" s="325"/>
      <c r="AI144" s="325"/>
      <c r="AJ144" s="391" t="s">
        <v>15626</v>
      </c>
      <c r="AK144" s="838">
        <f>AK142</f>
        <v>1</v>
      </c>
      <c r="AL144" s="839"/>
      <c r="AM144" s="325"/>
      <c r="AN144" s="325"/>
      <c r="AO144" s="325"/>
      <c r="AP144" s="325"/>
      <c r="AQ144" s="325"/>
      <c r="AR144" s="325"/>
      <c r="AS144" s="325"/>
      <c r="AT144" s="391"/>
      <c r="AU144" s="490"/>
      <c r="AV144" s="152"/>
      <c r="AW144" s="387"/>
      <c r="AX144" s="489">
        <f>ROUND(ROUND(R144*AK144,0)*$AU$106,0)</f>
        <v>108</v>
      </c>
      <c r="AY144" s="393"/>
    </row>
    <row r="145" spans="1:51" ht="16.5" customHeight="1" x14ac:dyDescent="0.15">
      <c r="A145" s="340">
        <v>12</v>
      </c>
      <c r="B145" s="341">
        <v>7225</v>
      </c>
      <c r="C145" s="390" t="s">
        <v>16139</v>
      </c>
      <c r="D145" s="403"/>
      <c r="E145" s="404"/>
      <c r="F145" s="404"/>
      <c r="G145" s="404"/>
      <c r="H145" s="406"/>
      <c r="R145" s="395"/>
      <c r="S145" s="151"/>
      <c r="T145" s="151"/>
      <c r="V145" s="387"/>
      <c r="W145" s="343"/>
      <c r="X145" s="343"/>
      <c r="Y145" s="343"/>
      <c r="Z145" s="343"/>
      <c r="AA145" s="343"/>
      <c r="AB145" s="343"/>
      <c r="AC145" s="343"/>
      <c r="AD145" s="343"/>
      <c r="AE145" s="343"/>
      <c r="AF145" s="343"/>
      <c r="AG145" s="343"/>
      <c r="AH145" s="343"/>
      <c r="AI145" s="343"/>
      <c r="AJ145" s="343"/>
      <c r="AK145" s="343"/>
      <c r="AL145" s="343"/>
      <c r="AM145" s="114" t="s">
        <v>15628</v>
      </c>
      <c r="AN145" s="396"/>
      <c r="AO145" s="396"/>
      <c r="AP145" s="396"/>
      <c r="AQ145" s="396"/>
      <c r="AR145" s="396"/>
      <c r="AS145" s="396"/>
      <c r="AT145" s="396"/>
      <c r="AU145" s="490"/>
      <c r="AV145" s="152"/>
      <c r="AW145" s="387"/>
      <c r="AX145" s="489">
        <f>ROUND(ROUND(R144*AS146,0)*$AU$106,0)</f>
        <v>91</v>
      </c>
      <c r="AY145" s="393"/>
    </row>
    <row r="146" spans="1:51" ht="16.5" customHeight="1" x14ac:dyDescent="0.15">
      <c r="A146" s="340">
        <v>12</v>
      </c>
      <c r="B146" s="341">
        <v>7226</v>
      </c>
      <c r="C146" s="390" t="s">
        <v>16140</v>
      </c>
      <c r="D146" s="403"/>
      <c r="E146" s="404"/>
      <c r="F146" s="404"/>
      <c r="G146" s="404"/>
      <c r="H146" s="406"/>
      <c r="R146" s="395"/>
      <c r="S146" s="151"/>
      <c r="T146" s="151"/>
      <c r="V146" s="387"/>
      <c r="W146" s="343" t="s">
        <v>15625</v>
      </c>
      <c r="X146" s="325"/>
      <c r="Y146" s="325"/>
      <c r="Z146" s="325"/>
      <c r="AA146" s="325"/>
      <c r="AB146" s="325"/>
      <c r="AC146" s="325"/>
      <c r="AD146" s="325"/>
      <c r="AE146" s="325"/>
      <c r="AF146" s="325"/>
      <c r="AG146" s="325"/>
      <c r="AH146" s="325"/>
      <c r="AI146" s="325"/>
      <c r="AJ146" s="391" t="s">
        <v>15626</v>
      </c>
      <c r="AK146" s="838">
        <f>AK144</f>
        <v>1</v>
      </c>
      <c r="AL146" s="843"/>
      <c r="AM146" s="324" t="s">
        <v>15630</v>
      </c>
      <c r="AN146" s="325"/>
      <c r="AO146" s="325"/>
      <c r="AP146" s="325"/>
      <c r="AQ146" s="325"/>
      <c r="AR146" s="190" t="s">
        <v>398</v>
      </c>
      <c r="AS146" s="844">
        <f>AS142</f>
        <v>0.85</v>
      </c>
      <c r="AT146" s="844"/>
      <c r="AU146" s="490"/>
      <c r="AV146" s="152"/>
      <c r="AW146" s="387"/>
      <c r="AX146" s="489">
        <f>ROUND(ROUND(ROUND(R144*AK146,0)*AS146,0)*$AU$106,0)</f>
        <v>91</v>
      </c>
      <c r="AY146" s="393"/>
    </row>
    <row r="147" spans="1:51" ht="17.100000000000001" customHeight="1" x14ac:dyDescent="0.15">
      <c r="A147" s="340">
        <v>12</v>
      </c>
      <c r="B147" s="341">
        <v>3361</v>
      </c>
      <c r="C147" s="390" t="s">
        <v>16141</v>
      </c>
      <c r="D147" s="403"/>
      <c r="E147" s="404"/>
      <c r="F147" s="404"/>
      <c r="G147" s="404"/>
      <c r="H147" s="406"/>
      <c r="I147" s="253" t="s">
        <v>15684</v>
      </c>
      <c r="J147" s="396"/>
      <c r="K147" s="396"/>
      <c r="L147" s="400"/>
      <c r="M147" s="400"/>
      <c r="N147" s="400"/>
      <c r="O147" s="400"/>
      <c r="P147" s="400"/>
      <c r="Q147" s="396"/>
      <c r="R147" s="396"/>
      <c r="S147" s="396"/>
      <c r="T147" s="396"/>
      <c r="U147" s="396"/>
      <c r="V147" s="397"/>
      <c r="W147" s="343"/>
      <c r="X147" s="343"/>
      <c r="Y147" s="343"/>
      <c r="Z147" s="343"/>
      <c r="AA147" s="343"/>
      <c r="AB147" s="343"/>
      <c r="AC147" s="343"/>
      <c r="AD147" s="343"/>
      <c r="AE147" s="343"/>
      <c r="AF147" s="343"/>
      <c r="AG147" s="343"/>
      <c r="AH147" s="343"/>
      <c r="AI147" s="343"/>
      <c r="AJ147" s="343"/>
      <c r="AK147" s="343"/>
      <c r="AL147" s="407"/>
      <c r="AM147" s="396"/>
      <c r="AN147" s="396"/>
      <c r="AO147" s="396"/>
      <c r="AP147" s="396"/>
      <c r="AQ147" s="396"/>
      <c r="AR147" s="396"/>
      <c r="AS147" s="396"/>
      <c r="AT147" s="396"/>
      <c r="AU147" s="490"/>
      <c r="AV147" s="152"/>
      <c r="AW147" s="387"/>
      <c r="AX147" s="489">
        <f>ROUND(R148*$AU$106,0)</f>
        <v>100</v>
      </c>
      <c r="AY147" s="393"/>
    </row>
    <row r="148" spans="1:51" ht="16.5" customHeight="1" x14ac:dyDescent="0.15">
      <c r="A148" s="340">
        <v>12</v>
      </c>
      <c r="B148" s="341">
        <v>3362</v>
      </c>
      <c r="C148" s="390" t="s">
        <v>16142</v>
      </c>
      <c r="D148" s="403"/>
      <c r="E148" s="404"/>
      <c r="F148" s="404"/>
      <c r="G148" s="404"/>
      <c r="H148" s="406"/>
      <c r="R148" s="836">
        <f>'2重度訪問'!U148</f>
        <v>80</v>
      </c>
      <c r="S148" s="837"/>
      <c r="T148" s="837"/>
      <c r="U148" s="152" t="s">
        <v>15624</v>
      </c>
      <c r="V148" s="387"/>
      <c r="W148" s="343" t="s">
        <v>15625</v>
      </c>
      <c r="X148" s="325"/>
      <c r="Y148" s="325"/>
      <c r="Z148" s="325"/>
      <c r="AA148" s="325"/>
      <c r="AB148" s="325"/>
      <c r="AC148" s="325"/>
      <c r="AD148" s="325"/>
      <c r="AE148" s="325"/>
      <c r="AF148" s="325"/>
      <c r="AG148" s="325"/>
      <c r="AH148" s="325"/>
      <c r="AI148" s="325"/>
      <c r="AJ148" s="391" t="s">
        <v>15626</v>
      </c>
      <c r="AK148" s="838">
        <f>AK146</f>
        <v>1</v>
      </c>
      <c r="AL148" s="839"/>
      <c r="AM148" s="325"/>
      <c r="AN148" s="325"/>
      <c r="AO148" s="325"/>
      <c r="AP148" s="325"/>
      <c r="AQ148" s="325"/>
      <c r="AR148" s="325"/>
      <c r="AS148" s="325"/>
      <c r="AT148" s="391"/>
      <c r="AU148" s="490"/>
      <c r="AV148" s="152"/>
      <c r="AW148" s="387"/>
      <c r="AX148" s="489">
        <f>ROUND(ROUND(R148*AK148,0)*$AU$106,0)</f>
        <v>100</v>
      </c>
      <c r="AY148" s="393"/>
    </row>
    <row r="149" spans="1:51" ht="16.5" customHeight="1" x14ac:dyDescent="0.15">
      <c r="A149" s="340">
        <v>12</v>
      </c>
      <c r="B149" s="341">
        <v>7227</v>
      </c>
      <c r="C149" s="390" t="s">
        <v>16143</v>
      </c>
      <c r="D149" s="403"/>
      <c r="E149" s="404"/>
      <c r="F149" s="404"/>
      <c r="G149" s="404"/>
      <c r="H149" s="406"/>
      <c r="R149" s="395"/>
      <c r="S149" s="151"/>
      <c r="T149" s="151"/>
      <c r="V149" s="387"/>
      <c r="W149" s="343"/>
      <c r="X149" s="343"/>
      <c r="Y149" s="343"/>
      <c r="Z149" s="343"/>
      <c r="AA149" s="343"/>
      <c r="AB149" s="343"/>
      <c r="AC149" s="343"/>
      <c r="AD149" s="343"/>
      <c r="AE149" s="343"/>
      <c r="AF149" s="343"/>
      <c r="AG149" s="343"/>
      <c r="AH149" s="343"/>
      <c r="AI149" s="343"/>
      <c r="AJ149" s="343"/>
      <c r="AK149" s="343"/>
      <c r="AL149" s="343"/>
      <c r="AM149" s="114" t="s">
        <v>15628</v>
      </c>
      <c r="AN149" s="396"/>
      <c r="AO149" s="396"/>
      <c r="AP149" s="396"/>
      <c r="AQ149" s="396"/>
      <c r="AR149" s="396"/>
      <c r="AS149" s="396"/>
      <c r="AT149" s="396"/>
      <c r="AU149" s="490"/>
      <c r="AV149" s="152"/>
      <c r="AW149" s="387"/>
      <c r="AX149" s="489">
        <f>ROUND(ROUND(R148*AS150,0)*$AU$106,0)</f>
        <v>85</v>
      </c>
      <c r="AY149" s="393"/>
    </row>
    <row r="150" spans="1:51" ht="16.5" customHeight="1" x14ac:dyDescent="0.15">
      <c r="A150" s="340">
        <v>12</v>
      </c>
      <c r="B150" s="341">
        <v>7228</v>
      </c>
      <c r="C150" s="390" t="s">
        <v>16144</v>
      </c>
      <c r="D150" s="419"/>
      <c r="E150" s="420"/>
      <c r="F150" s="420"/>
      <c r="G150" s="420"/>
      <c r="H150" s="422"/>
      <c r="I150" s="325"/>
      <c r="J150" s="325"/>
      <c r="K150" s="325"/>
      <c r="L150" s="325"/>
      <c r="M150" s="325"/>
      <c r="N150" s="325"/>
      <c r="O150" s="325"/>
      <c r="P150" s="325"/>
      <c r="Q150" s="325"/>
      <c r="R150" s="416"/>
      <c r="S150" s="417"/>
      <c r="T150" s="417"/>
      <c r="U150" s="325"/>
      <c r="V150" s="388"/>
      <c r="W150" s="343" t="s">
        <v>15625</v>
      </c>
      <c r="X150" s="325"/>
      <c r="Y150" s="325"/>
      <c r="Z150" s="325"/>
      <c r="AA150" s="325"/>
      <c r="AB150" s="325"/>
      <c r="AC150" s="325"/>
      <c r="AD150" s="325"/>
      <c r="AE150" s="325"/>
      <c r="AF150" s="325"/>
      <c r="AG150" s="325"/>
      <c r="AH150" s="325"/>
      <c r="AI150" s="325"/>
      <c r="AJ150" s="391" t="s">
        <v>15626</v>
      </c>
      <c r="AK150" s="838">
        <f>AK148</f>
        <v>1</v>
      </c>
      <c r="AL150" s="843"/>
      <c r="AM150" s="324" t="s">
        <v>15630</v>
      </c>
      <c r="AN150" s="325"/>
      <c r="AO150" s="325"/>
      <c r="AP150" s="325"/>
      <c r="AQ150" s="325"/>
      <c r="AR150" s="190" t="s">
        <v>398</v>
      </c>
      <c r="AS150" s="844">
        <f>AS146</f>
        <v>0.85</v>
      </c>
      <c r="AT150" s="844"/>
      <c r="AU150" s="324"/>
      <c r="AV150" s="325"/>
      <c r="AW150" s="388"/>
      <c r="AX150" s="491">
        <f>ROUND(ROUND(ROUND(R148*AK150,0)*AS150,0)*$AU$106,0)</f>
        <v>85</v>
      </c>
      <c r="AY150" s="418"/>
    </row>
    <row r="151" spans="1:51" ht="17.100000000000001" customHeight="1" x14ac:dyDescent="0.15"/>
    <row r="152" spans="1:51" ht="17.100000000000001" customHeight="1" x14ac:dyDescent="0.15"/>
  </sheetData>
  <mergeCells count="161">
    <mergeCell ref="AK150:AL150"/>
    <mergeCell ref="AS150:AT150"/>
    <mergeCell ref="R144:T144"/>
    <mergeCell ref="AK144:AL144"/>
    <mergeCell ref="AK146:AL146"/>
    <mergeCell ref="AS146:AT146"/>
    <mergeCell ref="R148:T148"/>
    <mergeCell ref="AK148:AL148"/>
    <mergeCell ref="AK138:AL138"/>
    <mergeCell ref="AS138:AT138"/>
    <mergeCell ref="R140:T140"/>
    <mergeCell ref="AK140:AL140"/>
    <mergeCell ref="AK142:AL142"/>
    <mergeCell ref="AS142:AT142"/>
    <mergeCell ref="R132:T132"/>
    <mergeCell ref="AK132:AL132"/>
    <mergeCell ref="AK134:AL134"/>
    <mergeCell ref="AS134:AT134"/>
    <mergeCell ref="R136:T136"/>
    <mergeCell ref="AK136:AL136"/>
    <mergeCell ref="AK126:AL126"/>
    <mergeCell ref="AS126:AT126"/>
    <mergeCell ref="R128:T128"/>
    <mergeCell ref="AK128:AL128"/>
    <mergeCell ref="AK130:AL130"/>
    <mergeCell ref="AS130:AT130"/>
    <mergeCell ref="R120:T120"/>
    <mergeCell ref="AK120:AL120"/>
    <mergeCell ref="AK122:AL122"/>
    <mergeCell ref="AS122:AT122"/>
    <mergeCell ref="R124:T124"/>
    <mergeCell ref="AK124:AL124"/>
    <mergeCell ref="AK114:AL114"/>
    <mergeCell ref="AS114:AT114"/>
    <mergeCell ref="R116:T116"/>
    <mergeCell ref="AK116:AL116"/>
    <mergeCell ref="AK118:AL118"/>
    <mergeCell ref="AS118:AT118"/>
    <mergeCell ref="R108:T108"/>
    <mergeCell ref="AK108:AL108"/>
    <mergeCell ref="AK110:AL110"/>
    <mergeCell ref="AS110:AT110"/>
    <mergeCell ref="R112:T112"/>
    <mergeCell ref="AK112:AL112"/>
    <mergeCell ref="D103:H106"/>
    <mergeCell ref="AU103:AW104"/>
    <mergeCell ref="R104:T104"/>
    <mergeCell ref="AK104:AL104"/>
    <mergeCell ref="AU105:AW105"/>
    <mergeCell ref="AK106:AL106"/>
    <mergeCell ref="AS106:AT106"/>
    <mergeCell ref="AU106:AW106"/>
    <mergeCell ref="AK98:AL98"/>
    <mergeCell ref="AS98:AT98"/>
    <mergeCell ref="R100:T100"/>
    <mergeCell ref="AK100:AL100"/>
    <mergeCell ref="AK102:AL102"/>
    <mergeCell ref="AS102:AT102"/>
    <mergeCell ref="R92:T92"/>
    <mergeCell ref="AK92:AL92"/>
    <mergeCell ref="AK94:AL94"/>
    <mergeCell ref="AS94:AT94"/>
    <mergeCell ref="R96:T96"/>
    <mergeCell ref="AK96:AL96"/>
    <mergeCell ref="AK86:AL86"/>
    <mergeCell ref="AS86:AT86"/>
    <mergeCell ref="R88:T88"/>
    <mergeCell ref="AK88:AL88"/>
    <mergeCell ref="AK90:AL90"/>
    <mergeCell ref="AS90:AT90"/>
    <mergeCell ref="R80:T80"/>
    <mergeCell ref="AK80:AL80"/>
    <mergeCell ref="AK82:AL82"/>
    <mergeCell ref="AS82:AT82"/>
    <mergeCell ref="R84:T84"/>
    <mergeCell ref="AK84:AL84"/>
    <mergeCell ref="AK74:AL74"/>
    <mergeCell ref="AS74:AT74"/>
    <mergeCell ref="R76:T76"/>
    <mergeCell ref="AK76:AL76"/>
    <mergeCell ref="AK78:AL78"/>
    <mergeCell ref="AS78:AT78"/>
    <mergeCell ref="R68:T68"/>
    <mergeCell ref="AK68:AL68"/>
    <mergeCell ref="AK70:AL70"/>
    <mergeCell ref="AS70:AT70"/>
    <mergeCell ref="R72:T72"/>
    <mergeCell ref="AK72:AL72"/>
    <mergeCell ref="AK62:AL62"/>
    <mergeCell ref="AS62:AT62"/>
    <mergeCell ref="R64:T64"/>
    <mergeCell ref="AK64:AL64"/>
    <mergeCell ref="AK66:AL66"/>
    <mergeCell ref="AS66:AT66"/>
    <mergeCell ref="AS58:AT58"/>
    <mergeCell ref="AU58:AW58"/>
    <mergeCell ref="D59:H60"/>
    <mergeCell ref="R60:T60"/>
    <mergeCell ref="AK60:AL60"/>
    <mergeCell ref="F61:H61"/>
    <mergeCell ref="R52:T52"/>
    <mergeCell ref="AK52:AL52"/>
    <mergeCell ref="AK54:AL54"/>
    <mergeCell ref="AS54:AT54"/>
    <mergeCell ref="D55:H58"/>
    <mergeCell ref="AU55:AW56"/>
    <mergeCell ref="R56:T56"/>
    <mergeCell ref="AK56:AL56"/>
    <mergeCell ref="AU57:AW57"/>
    <mergeCell ref="AK58:AL58"/>
    <mergeCell ref="AK46:AL46"/>
    <mergeCell ref="AS46:AT46"/>
    <mergeCell ref="R48:T48"/>
    <mergeCell ref="AK48:AL48"/>
    <mergeCell ref="AK50:AL50"/>
    <mergeCell ref="AS50:AT50"/>
    <mergeCell ref="R40:T40"/>
    <mergeCell ref="AK40:AL40"/>
    <mergeCell ref="AK42:AL42"/>
    <mergeCell ref="AS42:AT42"/>
    <mergeCell ref="R44:T44"/>
    <mergeCell ref="AK44:AL44"/>
    <mergeCell ref="AK34:AL34"/>
    <mergeCell ref="AS34:AT34"/>
    <mergeCell ref="R36:T36"/>
    <mergeCell ref="AK36:AL36"/>
    <mergeCell ref="AK38:AL38"/>
    <mergeCell ref="AS38:AT38"/>
    <mergeCell ref="R28:T28"/>
    <mergeCell ref="AK28:AL28"/>
    <mergeCell ref="AK30:AL30"/>
    <mergeCell ref="AS30:AT30"/>
    <mergeCell ref="R32:T32"/>
    <mergeCell ref="AK32:AL32"/>
    <mergeCell ref="AK22:AL22"/>
    <mergeCell ref="AS22:AT22"/>
    <mergeCell ref="R24:T24"/>
    <mergeCell ref="AK24:AL24"/>
    <mergeCell ref="AK26:AL26"/>
    <mergeCell ref="AS26:AT26"/>
    <mergeCell ref="R16:T16"/>
    <mergeCell ref="AK16:AL16"/>
    <mergeCell ref="AK18:AL18"/>
    <mergeCell ref="AS18:AT18"/>
    <mergeCell ref="R20:T20"/>
    <mergeCell ref="AK20:AL20"/>
    <mergeCell ref="D11:H12"/>
    <mergeCell ref="R12:T12"/>
    <mergeCell ref="AK12:AL12"/>
    <mergeCell ref="F13:H13"/>
    <mergeCell ref="AK14:AL14"/>
    <mergeCell ref="AS14:AT14"/>
    <mergeCell ref="D5:AW5"/>
    <mergeCell ref="D7:H10"/>
    <mergeCell ref="AU7:AW8"/>
    <mergeCell ref="R8:T8"/>
    <mergeCell ref="AK8:AL8"/>
    <mergeCell ref="AU9:AW9"/>
    <mergeCell ref="AK10:AL10"/>
    <mergeCell ref="AS10:AT10"/>
    <mergeCell ref="AU10:AW10"/>
  </mergeCells>
  <phoneticPr fontId="1"/>
  <printOptions horizontalCentered="1"/>
  <pageMargins left="0.59055118110236227" right="0.19685039370078741" top="0.78740157480314965" bottom="0.59055118110236227" header="0.51181102362204722" footer="0.31496062992125984"/>
  <pageSetup paperSize="9" scale="55" orientation="portrait" r:id="rId1"/>
  <headerFooter>
    <oddHeader>&amp;R&amp;9重度訪問介護</oddHeader>
    <oddFooter>&amp;C&amp;14&amp;P</oddFooter>
  </headerFooter>
  <rowBreaks count="2" manualBreakCount="2">
    <brk id="54" max="50" man="1"/>
    <brk id="102" max="50"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5">
    <pageSetUpPr autoPageBreaks="0"/>
  </sheetPr>
  <dimension ref="A1:AY153"/>
  <sheetViews>
    <sheetView view="pageBreakPreview" zoomScaleNormal="100" zoomScaleSheetLayoutView="100" workbookViewId="0"/>
  </sheetViews>
  <sheetFormatPr defaultColWidth="9" defaultRowHeight="13.5" x14ac:dyDescent="0.15"/>
  <cols>
    <col min="1" max="1" width="4.5" style="151" customWidth="1"/>
    <col min="2" max="2" width="7.5" style="151" customWidth="1"/>
    <col min="3" max="3" width="30.5" style="151" customWidth="1"/>
    <col min="4" max="19" width="2.5" style="152" customWidth="1"/>
    <col min="20" max="21" width="3.125" style="152" customWidth="1"/>
    <col min="22" max="46" width="2.5" style="152" customWidth="1"/>
    <col min="47" max="47" width="2.5" style="151" customWidth="1"/>
    <col min="48" max="48" width="2.5" style="377" customWidth="1"/>
    <col min="49" max="49" width="2.5" style="151" customWidth="1"/>
    <col min="50" max="50" width="7.125" style="151" customWidth="1"/>
    <col min="51" max="51" width="8.5" style="151" customWidth="1"/>
    <col min="52" max="16384" width="9" style="151"/>
  </cols>
  <sheetData>
    <row r="1" spans="1:51" ht="17.100000000000001" customHeight="1" x14ac:dyDescent="0.15">
      <c r="A1" s="376"/>
    </row>
    <row r="2" spans="1:51" ht="17.100000000000001" customHeight="1" x14ac:dyDescent="0.15">
      <c r="A2" s="376"/>
    </row>
    <row r="3" spans="1:51" ht="17.100000000000001" customHeight="1" x14ac:dyDescent="0.15">
      <c r="A3" s="376"/>
    </row>
    <row r="4" spans="1:51" ht="17.100000000000001" customHeight="1" x14ac:dyDescent="0.15">
      <c r="B4" s="17" t="s">
        <v>16145</v>
      </c>
    </row>
    <row r="5" spans="1:51" s="309" customFormat="1" ht="17.100000000000001" customHeight="1" x14ac:dyDescent="0.15">
      <c r="A5" s="300" t="s">
        <v>15540</v>
      </c>
      <c r="B5" s="301"/>
      <c r="C5" s="302" t="s">
        <v>15541</v>
      </c>
      <c r="D5" s="890" t="s">
        <v>15618</v>
      </c>
      <c r="E5" s="891"/>
      <c r="F5" s="891"/>
      <c r="G5" s="891"/>
      <c r="H5" s="891"/>
      <c r="I5" s="891"/>
      <c r="J5" s="891"/>
      <c r="K5" s="891"/>
      <c r="L5" s="891"/>
      <c r="M5" s="891"/>
      <c r="N5" s="891"/>
      <c r="O5" s="891"/>
      <c r="P5" s="891"/>
      <c r="Q5" s="891"/>
      <c r="R5" s="891"/>
      <c r="S5" s="891"/>
      <c r="T5" s="891"/>
      <c r="U5" s="891"/>
      <c r="V5" s="891"/>
      <c r="W5" s="891"/>
      <c r="X5" s="891"/>
      <c r="Y5" s="891"/>
      <c r="Z5" s="891"/>
      <c r="AA5" s="891"/>
      <c r="AB5" s="891"/>
      <c r="AC5" s="891"/>
      <c r="AD5" s="891"/>
      <c r="AE5" s="891"/>
      <c r="AF5" s="891"/>
      <c r="AG5" s="891"/>
      <c r="AH5" s="891"/>
      <c r="AI5" s="891"/>
      <c r="AJ5" s="891"/>
      <c r="AK5" s="891"/>
      <c r="AL5" s="891"/>
      <c r="AM5" s="891"/>
      <c r="AN5" s="891"/>
      <c r="AO5" s="891"/>
      <c r="AP5" s="891"/>
      <c r="AQ5" s="891"/>
      <c r="AR5" s="891"/>
      <c r="AS5" s="891"/>
      <c r="AT5" s="891"/>
      <c r="AU5" s="891"/>
      <c r="AV5" s="891"/>
      <c r="AW5" s="892"/>
      <c r="AX5" s="306" t="s">
        <v>15543</v>
      </c>
      <c r="AY5" s="378" t="s">
        <v>15544</v>
      </c>
    </row>
    <row r="6" spans="1:51" s="309" customFormat="1" ht="17.100000000000001" customHeight="1" x14ac:dyDescent="0.15">
      <c r="A6" s="379" t="s">
        <v>15545</v>
      </c>
      <c r="B6" s="380" t="s">
        <v>15546</v>
      </c>
      <c r="C6" s="381"/>
      <c r="D6" s="382"/>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c r="AT6" s="383"/>
      <c r="AU6" s="383"/>
      <c r="AV6" s="383"/>
      <c r="AW6" s="383"/>
      <c r="AX6" s="384" t="s">
        <v>391</v>
      </c>
      <c r="AY6" s="385" t="s">
        <v>392</v>
      </c>
    </row>
    <row r="7" spans="1:51" ht="17.100000000000001" customHeight="1" x14ac:dyDescent="0.15">
      <c r="A7" s="321">
        <v>12</v>
      </c>
      <c r="B7" s="322">
        <v>4171</v>
      </c>
      <c r="C7" s="386" t="s">
        <v>16146</v>
      </c>
      <c r="D7" s="849" t="s">
        <v>15620</v>
      </c>
      <c r="E7" s="850"/>
      <c r="F7" s="850"/>
      <c r="G7" s="850"/>
      <c r="H7" s="852"/>
      <c r="I7" s="152" t="s">
        <v>15621</v>
      </c>
      <c r="L7" s="151"/>
      <c r="M7" s="151"/>
      <c r="N7" s="151"/>
      <c r="O7" s="151"/>
      <c r="P7" s="151"/>
      <c r="V7" s="387"/>
      <c r="W7" s="325"/>
      <c r="X7" s="325"/>
      <c r="Y7" s="325"/>
      <c r="Z7" s="325"/>
      <c r="AA7" s="325"/>
      <c r="AB7" s="325"/>
      <c r="AC7" s="325"/>
      <c r="AD7" s="325"/>
      <c r="AE7" s="325"/>
      <c r="AF7" s="325"/>
      <c r="AG7" s="325"/>
      <c r="AH7" s="325"/>
      <c r="AI7" s="325"/>
      <c r="AJ7" s="325"/>
      <c r="AK7" s="325"/>
      <c r="AL7" s="388"/>
      <c r="AU7" s="754" t="s">
        <v>862</v>
      </c>
      <c r="AV7" s="744"/>
      <c r="AW7" s="716"/>
      <c r="AX7" s="488">
        <f>ROUND(R8*$AU$10,0)</f>
        <v>320</v>
      </c>
      <c r="AY7" s="339" t="s">
        <v>15622</v>
      </c>
    </row>
    <row r="8" spans="1:51" ht="16.5" customHeight="1" x14ac:dyDescent="0.15">
      <c r="A8" s="340">
        <v>12</v>
      </c>
      <c r="B8" s="341">
        <v>4172</v>
      </c>
      <c r="C8" s="390" t="s">
        <v>16147</v>
      </c>
      <c r="D8" s="849"/>
      <c r="E8" s="850"/>
      <c r="F8" s="850"/>
      <c r="G8" s="850"/>
      <c r="H8" s="852"/>
      <c r="R8" s="836">
        <f>'2重度訪問'!U8</f>
        <v>213</v>
      </c>
      <c r="S8" s="837"/>
      <c r="T8" s="837"/>
      <c r="U8" s="152" t="s">
        <v>15624</v>
      </c>
      <c r="V8" s="387"/>
      <c r="W8" s="343" t="s">
        <v>15625</v>
      </c>
      <c r="X8" s="325"/>
      <c r="Y8" s="325"/>
      <c r="Z8" s="325"/>
      <c r="AA8" s="325"/>
      <c r="AB8" s="325"/>
      <c r="AC8" s="325"/>
      <c r="AD8" s="325"/>
      <c r="AE8" s="325"/>
      <c r="AF8" s="325"/>
      <c r="AG8" s="325"/>
      <c r="AH8" s="325"/>
      <c r="AI8" s="325"/>
      <c r="AJ8" s="391" t="s">
        <v>15626</v>
      </c>
      <c r="AK8" s="838">
        <f>'2重度訪問'!AN12</f>
        <v>1</v>
      </c>
      <c r="AL8" s="839"/>
      <c r="AU8" s="754"/>
      <c r="AV8" s="744"/>
      <c r="AW8" s="716"/>
      <c r="AX8" s="489">
        <f>ROUND(ROUND(R8*AK8,0)*$AU$10,0)</f>
        <v>320</v>
      </c>
      <c r="AY8" s="393"/>
    </row>
    <row r="9" spans="1:51" ht="16.5" customHeight="1" x14ac:dyDescent="0.15">
      <c r="A9" s="287">
        <v>12</v>
      </c>
      <c r="B9" s="287">
        <v>7229</v>
      </c>
      <c r="C9" s="394" t="s">
        <v>16148</v>
      </c>
      <c r="D9" s="849"/>
      <c r="E9" s="850"/>
      <c r="F9" s="850"/>
      <c r="G9" s="850"/>
      <c r="H9" s="852"/>
      <c r="R9" s="395"/>
      <c r="S9" s="151"/>
      <c r="T9" s="151"/>
      <c r="V9" s="387"/>
      <c r="W9" s="343"/>
      <c r="X9" s="343"/>
      <c r="Y9" s="343"/>
      <c r="Z9" s="343"/>
      <c r="AA9" s="343"/>
      <c r="AB9" s="343"/>
      <c r="AC9" s="343"/>
      <c r="AD9" s="343"/>
      <c r="AE9" s="343"/>
      <c r="AF9" s="343"/>
      <c r="AG9" s="343"/>
      <c r="AH9" s="343"/>
      <c r="AI9" s="343"/>
      <c r="AJ9" s="343"/>
      <c r="AK9" s="343"/>
      <c r="AL9" s="343"/>
      <c r="AM9" s="114" t="s">
        <v>15628</v>
      </c>
      <c r="AN9" s="396"/>
      <c r="AO9" s="396"/>
      <c r="AP9" s="396"/>
      <c r="AQ9" s="396"/>
      <c r="AR9" s="396"/>
      <c r="AS9" s="396"/>
      <c r="AT9" s="396"/>
      <c r="AU9" s="893" t="s">
        <v>398</v>
      </c>
      <c r="AV9" s="894"/>
      <c r="AW9" s="895"/>
      <c r="AX9" s="489">
        <f>ROUND(ROUND(R8*AS10,0)*$AU$10,0)</f>
        <v>272</v>
      </c>
      <c r="AY9" s="393"/>
    </row>
    <row r="10" spans="1:51" ht="16.5" customHeight="1" x14ac:dyDescent="0.15">
      <c r="A10" s="287">
        <v>12</v>
      </c>
      <c r="B10" s="287">
        <v>7230</v>
      </c>
      <c r="C10" s="394" t="s">
        <v>16149</v>
      </c>
      <c r="D10" s="849"/>
      <c r="E10" s="850"/>
      <c r="F10" s="850"/>
      <c r="G10" s="850"/>
      <c r="H10" s="852"/>
      <c r="R10" s="395"/>
      <c r="S10" s="151"/>
      <c r="T10" s="151"/>
      <c r="V10" s="387"/>
      <c r="W10" s="343" t="s">
        <v>15625</v>
      </c>
      <c r="X10" s="325"/>
      <c r="Y10" s="325"/>
      <c r="Z10" s="325"/>
      <c r="AA10" s="325"/>
      <c r="AB10" s="325"/>
      <c r="AC10" s="325"/>
      <c r="AD10" s="325"/>
      <c r="AE10" s="325"/>
      <c r="AF10" s="325"/>
      <c r="AG10" s="325"/>
      <c r="AH10" s="325"/>
      <c r="AI10" s="325"/>
      <c r="AJ10" s="391" t="s">
        <v>15626</v>
      </c>
      <c r="AK10" s="838">
        <f>AK8</f>
        <v>1</v>
      </c>
      <c r="AL10" s="843"/>
      <c r="AM10" s="324" t="s">
        <v>15630</v>
      </c>
      <c r="AN10" s="325"/>
      <c r="AO10" s="325"/>
      <c r="AP10" s="325"/>
      <c r="AQ10" s="325"/>
      <c r="AR10" s="190" t="s">
        <v>398</v>
      </c>
      <c r="AS10" s="844">
        <f>'2重度訪問'!AV10</f>
        <v>0.85</v>
      </c>
      <c r="AT10" s="844"/>
      <c r="AU10" s="896">
        <v>1.5</v>
      </c>
      <c r="AV10" s="897"/>
      <c r="AW10" s="898"/>
      <c r="AX10" s="489">
        <f>ROUND(ROUND(ROUND(R8*AK10,0)*AS10,0)*$AU$10,0)</f>
        <v>272</v>
      </c>
      <c r="AY10" s="393"/>
    </row>
    <row r="11" spans="1:51" ht="16.5" customHeight="1" x14ac:dyDescent="0.15">
      <c r="A11" s="340">
        <v>12</v>
      </c>
      <c r="B11" s="341">
        <v>4181</v>
      </c>
      <c r="C11" s="390" t="s">
        <v>16150</v>
      </c>
      <c r="D11" s="832" t="s">
        <v>15632</v>
      </c>
      <c r="E11" s="833"/>
      <c r="F11" s="833"/>
      <c r="G11" s="833"/>
      <c r="H11" s="835"/>
      <c r="I11" s="398" t="s">
        <v>15633</v>
      </c>
      <c r="J11" s="396"/>
      <c r="K11" s="396"/>
      <c r="L11" s="396"/>
      <c r="M11" s="396"/>
      <c r="N11" s="396"/>
      <c r="O11" s="396"/>
      <c r="P11" s="396"/>
      <c r="Q11" s="396"/>
      <c r="R11" s="399"/>
      <c r="S11" s="400"/>
      <c r="T11" s="400"/>
      <c r="U11" s="396"/>
      <c r="V11" s="397"/>
      <c r="W11" s="343"/>
      <c r="X11" s="325"/>
      <c r="Y11" s="325"/>
      <c r="Z11" s="325"/>
      <c r="AA11" s="325"/>
      <c r="AB11" s="325"/>
      <c r="AC11" s="325"/>
      <c r="AD11" s="325"/>
      <c r="AE11" s="325"/>
      <c r="AF11" s="325"/>
      <c r="AG11" s="325"/>
      <c r="AH11" s="325"/>
      <c r="AI11" s="325"/>
      <c r="AJ11" s="391"/>
      <c r="AK11" s="401"/>
      <c r="AL11" s="402"/>
      <c r="AU11" s="490"/>
      <c r="AV11" s="152"/>
      <c r="AW11" s="387"/>
      <c r="AX11" s="489">
        <f>ROUND(R12*$AU$10,0)</f>
        <v>156</v>
      </c>
      <c r="AY11" s="393"/>
    </row>
    <row r="12" spans="1:51" ht="16.5" customHeight="1" x14ac:dyDescent="0.15">
      <c r="A12" s="340">
        <v>12</v>
      </c>
      <c r="B12" s="341">
        <v>4182</v>
      </c>
      <c r="C12" s="390" t="s">
        <v>16151</v>
      </c>
      <c r="D12" s="832"/>
      <c r="E12" s="833"/>
      <c r="F12" s="833"/>
      <c r="G12" s="833"/>
      <c r="H12" s="835"/>
      <c r="R12" s="836">
        <f>'2重度訪問'!U12</f>
        <v>104</v>
      </c>
      <c r="S12" s="837"/>
      <c r="T12" s="837"/>
      <c r="U12" s="152" t="s">
        <v>15624</v>
      </c>
      <c r="V12" s="387"/>
      <c r="W12" s="343" t="s">
        <v>15625</v>
      </c>
      <c r="X12" s="325"/>
      <c r="Y12" s="325"/>
      <c r="Z12" s="325"/>
      <c r="AA12" s="325"/>
      <c r="AB12" s="325"/>
      <c r="AC12" s="325"/>
      <c r="AD12" s="325"/>
      <c r="AE12" s="325"/>
      <c r="AF12" s="325"/>
      <c r="AG12" s="325"/>
      <c r="AH12" s="325"/>
      <c r="AI12" s="325"/>
      <c r="AJ12" s="391" t="s">
        <v>15626</v>
      </c>
      <c r="AK12" s="838">
        <f>AK10</f>
        <v>1</v>
      </c>
      <c r="AL12" s="839"/>
      <c r="AU12" s="490"/>
      <c r="AV12" s="152"/>
      <c r="AW12" s="387"/>
      <c r="AX12" s="489">
        <f>ROUND(ROUND(R12*AK12,0)*$AU$10,0)</f>
        <v>156</v>
      </c>
      <c r="AY12" s="393"/>
    </row>
    <row r="13" spans="1:51" ht="16.5" customHeight="1" x14ac:dyDescent="0.15">
      <c r="A13" s="287">
        <v>12</v>
      </c>
      <c r="B13" s="287">
        <v>7231</v>
      </c>
      <c r="C13" s="394" t="s">
        <v>16152</v>
      </c>
      <c r="D13" s="403"/>
      <c r="E13" s="404" t="s">
        <v>15636</v>
      </c>
      <c r="F13" s="840">
        <f>'2重度訪問'!$F$13</f>
        <v>1.1499999999999999</v>
      </c>
      <c r="G13" s="841"/>
      <c r="H13" s="842"/>
      <c r="R13" s="395"/>
      <c r="S13" s="151"/>
      <c r="T13" s="151"/>
      <c r="V13" s="387"/>
      <c r="W13" s="343"/>
      <c r="X13" s="343"/>
      <c r="Y13" s="343"/>
      <c r="Z13" s="343"/>
      <c r="AA13" s="343"/>
      <c r="AB13" s="343"/>
      <c r="AC13" s="343"/>
      <c r="AD13" s="343"/>
      <c r="AE13" s="343"/>
      <c r="AF13" s="343"/>
      <c r="AG13" s="343"/>
      <c r="AH13" s="343"/>
      <c r="AI13" s="343"/>
      <c r="AJ13" s="343"/>
      <c r="AK13" s="343"/>
      <c r="AL13" s="343"/>
      <c r="AM13" s="114" t="s">
        <v>15628</v>
      </c>
      <c r="AN13" s="396"/>
      <c r="AO13" s="396"/>
      <c r="AP13" s="396"/>
      <c r="AQ13" s="396"/>
      <c r="AR13" s="396"/>
      <c r="AS13" s="396"/>
      <c r="AT13" s="396"/>
      <c r="AU13" s="490"/>
      <c r="AV13" s="152"/>
      <c r="AW13" s="387"/>
      <c r="AX13" s="489">
        <f>ROUND(ROUND(R12*AS14,0)*$AU$10,0)</f>
        <v>132</v>
      </c>
      <c r="AY13" s="393"/>
    </row>
    <row r="14" spans="1:51" ht="16.5" customHeight="1" x14ac:dyDescent="0.15">
      <c r="A14" s="287">
        <v>12</v>
      </c>
      <c r="B14" s="287">
        <v>7232</v>
      </c>
      <c r="C14" s="394" t="s">
        <v>16153</v>
      </c>
      <c r="D14" s="403"/>
      <c r="E14" s="404"/>
      <c r="F14" s="404"/>
      <c r="G14" s="404"/>
      <c r="H14" s="406"/>
      <c r="R14" s="395"/>
      <c r="S14" s="151"/>
      <c r="T14" s="151"/>
      <c r="V14" s="387"/>
      <c r="W14" s="343" t="s">
        <v>15625</v>
      </c>
      <c r="X14" s="325"/>
      <c r="Y14" s="325"/>
      <c r="Z14" s="325"/>
      <c r="AA14" s="325"/>
      <c r="AB14" s="325"/>
      <c r="AC14" s="325"/>
      <c r="AD14" s="325"/>
      <c r="AE14" s="325"/>
      <c r="AF14" s="325"/>
      <c r="AG14" s="325"/>
      <c r="AH14" s="325"/>
      <c r="AI14" s="325"/>
      <c r="AJ14" s="391" t="s">
        <v>15626</v>
      </c>
      <c r="AK14" s="838">
        <f>AK12</f>
        <v>1</v>
      </c>
      <c r="AL14" s="843"/>
      <c r="AM14" s="324" t="s">
        <v>15630</v>
      </c>
      <c r="AN14" s="325"/>
      <c r="AO14" s="325"/>
      <c r="AP14" s="325"/>
      <c r="AQ14" s="325"/>
      <c r="AR14" s="190" t="s">
        <v>398</v>
      </c>
      <c r="AS14" s="844">
        <f>AS10</f>
        <v>0.85</v>
      </c>
      <c r="AT14" s="844"/>
      <c r="AU14" s="490"/>
      <c r="AV14" s="152"/>
      <c r="AW14" s="387"/>
      <c r="AX14" s="489">
        <f>ROUND(ROUND(ROUND(R12*AK14,0)*AS14,0)*$AU$10,0)</f>
        <v>132</v>
      </c>
      <c r="AY14" s="393"/>
    </row>
    <row r="15" spans="1:51" ht="16.5" customHeight="1" x14ac:dyDescent="0.15">
      <c r="A15" s="340">
        <v>12</v>
      </c>
      <c r="B15" s="341">
        <v>4391</v>
      </c>
      <c r="C15" s="390" t="s">
        <v>16154</v>
      </c>
      <c r="D15" s="403"/>
      <c r="E15" s="404"/>
      <c r="F15" s="404"/>
      <c r="G15" s="404"/>
      <c r="H15" s="406"/>
      <c r="I15" s="253" t="s">
        <v>15639</v>
      </c>
      <c r="J15" s="396"/>
      <c r="K15" s="396"/>
      <c r="L15" s="396"/>
      <c r="M15" s="396"/>
      <c r="N15" s="396"/>
      <c r="O15" s="396"/>
      <c r="P15" s="396"/>
      <c r="Q15" s="396"/>
      <c r="R15" s="399"/>
      <c r="S15" s="400"/>
      <c r="T15" s="400"/>
      <c r="U15" s="396"/>
      <c r="V15" s="397"/>
      <c r="W15" s="343"/>
      <c r="X15" s="325"/>
      <c r="Y15" s="325"/>
      <c r="Z15" s="325"/>
      <c r="AA15" s="325"/>
      <c r="AB15" s="325"/>
      <c r="AC15" s="325"/>
      <c r="AD15" s="325"/>
      <c r="AE15" s="325"/>
      <c r="AF15" s="325"/>
      <c r="AG15" s="325"/>
      <c r="AH15" s="325"/>
      <c r="AI15" s="325"/>
      <c r="AJ15" s="391"/>
      <c r="AK15" s="401"/>
      <c r="AL15" s="402"/>
      <c r="AM15" s="396"/>
      <c r="AN15" s="396"/>
      <c r="AO15" s="396"/>
      <c r="AP15" s="396"/>
      <c r="AQ15" s="396"/>
      <c r="AR15" s="396"/>
      <c r="AS15" s="396"/>
      <c r="AT15" s="396"/>
      <c r="AU15" s="490"/>
      <c r="AV15" s="152"/>
      <c r="AW15" s="387"/>
      <c r="AX15" s="489">
        <f>ROUND(R16*$AU$10,0)</f>
        <v>159</v>
      </c>
      <c r="AY15" s="393"/>
    </row>
    <row r="16" spans="1:51" ht="16.5" customHeight="1" x14ac:dyDescent="0.15">
      <c r="A16" s="340">
        <v>12</v>
      </c>
      <c r="B16" s="341">
        <v>4392</v>
      </c>
      <c r="C16" s="390" t="s">
        <v>16155</v>
      </c>
      <c r="D16" s="403"/>
      <c r="E16" s="404"/>
      <c r="F16" s="404"/>
      <c r="G16" s="404"/>
      <c r="H16" s="406"/>
      <c r="R16" s="836">
        <f>'2重度訪問'!U16</f>
        <v>106</v>
      </c>
      <c r="S16" s="837"/>
      <c r="T16" s="837"/>
      <c r="U16" s="152" t="s">
        <v>15624</v>
      </c>
      <c r="V16" s="387"/>
      <c r="W16" s="343" t="s">
        <v>15625</v>
      </c>
      <c r="X16" s="325"/>
      <c r="Y16" s="325"/>
      <c r="Z16" s="325"/>
      <c r="AA16" s="325"/>
      <c r="AB16" s="325"/>
      <c r="AC16" s="325"/>
      <c r="AD16" s="325"/>
      <c r="AE16" s="325"/>
      <c r="AF16" s="325"/>
      <c r="AG16" s="325"/>
      <c r="AH16" s="325"/>
      <c r="AI16" s="325"/>
      <c r="AJ16" s="391" t="s">
        <v>15626</v>
      </c>
      <c r="AK16" s="838">
        <f>AK14</f>
        <v>1</v>
      </c>
      <c r="AL16" s="839"/>
      <c r="AM16" s="325"/>
      <c r="AN16" s="325"/>
      <c r="AO16" s="325"/>
      <c r="AP16" s="325"/>
      <c r="AQ16" s="325"/>
      <c r="AR16" s="325"/>
      <c r="AS16" s="325"/>
      <c r="AT16" s="325"/>
      <c r="AU16" s="490"/>
      <c r="AV16" s="152"/>
      <c r="AW16" s="387"/>
      <c r="AX16" s="489">
        <f>ROUND(ROUND(R16*AK16,0)*$AU$10,0)</f>
        <v>159</v>
      </c>
      <c r="AY16" s="393"/>
    </row>
    <row r="17" spans="1:51" ht="16.5" customHeight="1" x14ac:dyDescent="0.15">
      <c r="A17" s="287">
        <v>12</v>
      </c>
      <c r="B17" s="287">
        <v>7233</v>
      </c>
      <c r="C17" s="394" t="s">
        <v>16156</v>
      </c>
      <c r="D17" s="403"/>
      <c r="E17" s="404"/>
      <c r="F17" s="404"/>
      <c r="G17" s="404"/>
      <c r="H17" s="406"/>
      <c r="R17" s="395"/>
      <c r="S17" s="151"/>
      <c r="T17" s="151"/>
      <c r="V17" s="387"/>
      <c r="W17" s="343"/>
      <c r="X17" s="343"/>
      <c r="Y17" s="343"/>
      <c r="Z17" s="343"/>
      <c r="AA17" s="343"/>
      <c r="AB17" s="343"/>
      <c r="AC17" s="343"/>
      <c r="AD17" s="343"/>
      <c r="AE17" s="343"/>
      <c r="AF17" s="343"/>
      <c r="AG17" s="343"/>
      <c r="AH17" s="343"/>
      <c r="AI17" s="343"/>
      <c r="AJ17" s="343"/>
      <c r="AK17" s="343"/>
      <c r="AL17" s="343"/>
      <c r="AM17" s="114" t="s">
        <v>15628</v>
      </c>
      <c r="AN17" s="396"/>
      <c r="AO17" s="396"/>
      <c r="AP17" s="396"/>
      <c r="AQ17" s="396"/>
      <c r="AR17" s="396"/>
      <c r="AS17" s="396"/>
      <c r="AT17" s="396"/>
      <c r="AU17" s="490"/>
      <c r="AV17" s="152"/>
      <c r="AW17" s="387"/>
      <c r="AX17" s="489">
        <f>ROUND(ROUND(R16*AS18,0)*$AU$10,0)</f>
        <v>135</v>
      </c>
      <c r="AY17" s="393"/>
    </row>
    <row r="18" spans="1:51" ht="16.5" customHeight="1" x14ac:dyDescent="0.15">
      <c r="A18" s="287">
        <v>12</v>
      </c>
      <c r="B18" s="287">
        <v>7234</v>
      </c>
      <c r="C18" s="394" t="s">
        <v>16157</v>
      </c>
      <c r="D18" s="403"/>
      <c r="E18" s="404"/>
      <c r="F18" s="404"/>
      <c r="G18" s="404"/>
      <c r="H18" s="406"/>
      <c r="R18" s="395"/>
      <c r="S18" s="151"/>
      <c r="T18" s="151"/>
      <c r="V18" s="387"/>
      <c r="W18" s="343" t="s">
        <v>15625</v>
      </c>
      <c r="X18" s="325"/>
      <c r="Y18" s="325"/>
      <c r="Z18" s="325"/>
      <c r="AA18" s="325"/>
      <c r="AB18" s="325"/>
      <c r="AC18" s="325"/>
      <c r="AD18" s="325"/>
      <c r="AE18" s="325"/>
      <c r="AF18" s="325"/>
      <c r="AG18" s="325"/>
      <c r="AH18" s="325"/>
      <c r="AI18" s="325"/>
      <c r="AJ18" s="391" t="s">
        <v>15626</v>
      </c>
      <c r="AK18" s="838">
        <f>AK16</f>
        <v>1</v>
      </c>
      <c r="AL18" s="843"/>
      <c r="AM18" s="324" t="s">
        <v>15630</v>
      </c>
      <c r="AN18" s="325"/>
      <c r="AO18" s="325"/>
      <c r="AP18" s="325"/>
      <c r="AQ18" s="325"/>
      <c r="AR18" s="190" t="s">
        <v>398</v>
      </c>
      <c r="AS18" s="844">
        <f>AS14</f>
        <v>0.85</v>
      </c>
      <c r="AT18" s="844"/>
      <c r="AU18" s="490"/>
      <c r="AV18" s="152"/>
      <c r="AW18" s="387"/>
      <c r="AX18" s="489">
        <f>ROUND(ROUND(ROUND(R16*AK18,0)*AS18,0)*$AU$10,0)</f>
        <v>135</v>
      </c>
      <c r="AY18" s="393"/>
    </row>
    <row r="19" spans="1:51" ht="16.5" customHeight="1" x14ac:dyDescent="0.15">
      <c r="A19" s="340">
        <v>12</v>
      </c>
      <c r="B19" s="341">
        <v>4401</v>
      </c>
      <c r="C19" s="390" t="s">
        <v>16158</v>
      </c>
      <c r="D19" s="403"/>
      <c r="E19" s="404"/>
      <c r="F19" s="404"/>
      <c r="G19" s="404"/>
      <c r="H19" s="406"/>
      <c r="I19" s="253" t="s">
        <v>15644</v>
      </c>
      <c r="J19" s="396"/>
      <c r="K19" s="396"/>
      <c r="L19" s="396"/>
      <c r="M19" s="396"/>
      <c r="N19" s="396"/>
      <c r="O19" s="396"/>
      <c r="P19" s="396"/>
      <c r="Q19" s="396"/>
      <c r="R19" s="399"/>
      <c r="S19" s="400"/>
      <c r="T19" s="400"/>
      <c r="U19" s="396"/>
      <c r="V19" s="397"/>
      <c r="W19" s="343"/>
      <c r="X19" s="325"/>
      <c r="Y19" s="325"/>
      <c r="Z19" s="325"/>
      <c r="AA19" s="325"/>
      <c r="AB19" s="325"/>
      <c r="AC19" s="325"/>
      <c r="AD19" s="325"/>
      <c r="AE19" s="325"/>
      <c r="AF19" s="325"/>
      <c r="AG19" s="325"/>
      <c r="AH19" s="325"/>
      <c r="AI19" s="325"/>
      <c r="AJ19" s="391"/>
      <c r="AK19" s="401"/>
      <c r="AL19" s="402"/>
      <c r="AM19" s="396"/>
      <c r="AN19" s="396"/>
      <c r="AO19" s="396"/>
      <c r="AP19" s="396"/>
      <c r="AQ19" s="396"/>
      <c r="AR19" s="396"/>
      <c r="AS19" s="396"/>
      <c r="AT19" s="396"/>
      <c r="AU19" s="490"/>
      <c r="AV19" s="152"/>
      <c r="AW19" s="387"/>
      <c r="AX19" s="489">
        <f>ROUND(R20*$AU$10,0)</f>
        <v>158</v>
      </c>
      <c r="AY19" s="393"/>
    </row>
    <row r="20" spans="1:51" ht="16.5" customHeight="1" x14ac:dyDescent="0.15">
      <c r="A20" s="340">
        <v>12</v>
      </c>
      <c r="B20" s="341">
        <v>4402</v>
      </c>
      <c r="C20" s="390" t="s">
        <v>16159</v>
      </c>
      <c r="D20" s="403"/>
      <c r="E20" s="404"/>
      <c r="F20" s="404"/>
      <c r="G20" s="404"/>
      <c r="H20" s="406"/>
      <c r="R20" s="836">
        <f>'2重度訪問'!U20</f>
        <v>105</v>
      </c>
      <c r="S20" s="837"/>
      <c r="T20" s="837"/>
      <c r="U20" s="152" t="s">
        <v>15624</v>
      </c>
      <c r="V20" s="387"/>
      <c r="W20" s="343" t="s">
        <v>15625</v>
      </c>
      <c r="X20" s="325"/>
      <c r="Y20" s="325"/>
      <c r="Z20" s="325"/>
      <c r="AA20" s="325"/>
      <c r="AB20" s="325"/>
      <c r="AC20" s="325"/>
      <c r="AD20" s="325"/>
      <c r="AE20" s="325"/>
      <c r="AF20" s="325"/>
      <c r="AG20" s="325"/>
      <c r="AH20" s="325"/>
      <c r="AI20" s="325"/>
      <c r="AJ20" s="391" t="s">
        <v>15626</v>
      </c>
      <c r="AK20" s="838">
        <f>AK18</f>
        <v>1</v>
      </c>
      <c r="AL20" s="839"/>
      <c r="AM20" s="325"/>
      <c r="AN20" s="325"/>
      <c r="AO20" s="325"/>
      <c r="AP20" s="325"/>
      <c r="AQ20" s="325"/>
      <c r="AR20" s="325"/>
      <c r="AS20" s="325"/>
      <c r="AT20" s="325"/>
      <c r="AU20" s="490"/>
      <c r="AV20" s="152"/>
      <c r="AW20" s="387"/>
      <c r="AX20" s="489">
        <f>ROUND(ROUND(R20*AK20,0)*$AU$10,0)</f>
        <v>158</v>
      </c>
      <c r="AY20" s="393"/>
    </row>
    <row r="21" spans="1:51" ht="16.5" customHeight="1" x14ac:dyDescent="0.15">
      <c r="A21" s="287">
        <v>12</v>
      </c>
      <c r="B21" s="287">
        <v>7235</v>
      </c>
      <c r="C21" s="394" t="s">
        <v>16160</v>
      </c>
      <c r="D21" s="403"/>
      <c r="E21" s="404"/>
      <c r="F21" s="404"/>
      <c r="G21" s="404"/>
      <c r="H21" s="406"/>
      <c r="R21" s="395"/>
      <c r="S21" s="151"/>
      <c r="T21" s="151"/>
      <c r="V21" s="387"/>
      <c r="W21" s="343"/>
      <c r="X21" s="343"/>
      <c r="Y21" s="343"/>
      <c r="Z21" s="343"/>
      <c r="AA21" s="343"/>
      <c r="AB21" s="343"/>
      <c r="AC21" s="343"/>
      <c r="AD21" s="343"/>
      <c r="AE21" s="343"/>
      <c r="AF21" s="343"/>
      <c r="AG21" s="343"/>
      <c r="AH21" s="343"/>
      <c r="AI21" s="343"/>
      <c r="AJ21" s="343"/>
      <c r="AK21" s="343"/>
      <c r="AL21" s="343"/>
      <c r="AM21" s="114" t="s">
        <v>15628</v>
      </c>
      <c r="AN21" s="396"/>
      <c r="AO21" s="396"/>
      <c r="AP21" s="396"/>
      <c r="AQ21" s="396"/>
      <c r="AR21" s="396"/>
      <c r="AS21" s="396"/>
      <c r="AT21" s="396"/>
      <c r="AU21" s="490"/>
      <c r="AV21" s="152"/>
      <c r="AW21" s="387"/>
      <c r="AX21" s="489">
        <f>ROUND(ROUND(R20*AS22,0)*$AU$10,0)</f>
        <v>134</v>
      </c>
      <c r="AY21" s="393"/>
    </row>
    <row r="22" spans="1:51" ht="16.5" customHeight="1" x14ac:dyDescent="0.15">
      <c r="A22" s="287">
        <v>12</v>
      </c>
      <c r="B22" s="287">
        <v>7236</v>
      </c>
      <c r="C22" s="394" t="s">
        <v>16161</v>
      </c>
      <c r="D22" s="403"/>
      <c r="E22" s="404"/>
      <c r="F22" s="404"/>
      <c r="G22" s="404"/>
      <c r="H22" s="406"/>
      <c r="R22" s="395"/>
      <c r="S22" s="151"/>
      <c r="T22" s="151"/>
      <c r="V22" s="387"/>
      <c r="W22" s="343" t="s">
        <v>15625</v>
      </c>
      <c r="X22" s="325"/>
      <c r="Y22" s="325"/>
      <c r="Z22" s="325"/>
      <c r="AA22" s="325"/>
      <c r="AB22" s="325"/>
      <c r="AC22" s="325"/>
      <c r="AD22" s="325"/>
      <c r="AE22" s="325"/>
      <c r="AF22" s="325"/>
      <c r="AG22" s="325"/>
      <c r="AH22" s="325"/>
      <c r="AI22" s="325"/>
      <c r="AJ22" s="391" t="s">
        <v>15626</v>
      </c>
      <c r="AK22" s="838">
        <f>AK20</f>
        <v>1</v>
      </c>
      <c r="AL22" s="843"/>
      <c r="AM22" s="324" t="s">
        <v>15630</v>
      </c>
      <c r="AN22" s="325"/>
      <c r="AO22" s="325"/>
      <c r="AP22" s="325"/>
      <c r="AQ22" s="325"/>
      <c r="AR22" s="190" t="s">
        <v>398</v>
      </c>
      <c r="AS22" s="844">
        <f>AS18</f>
        <v>0.85</v>
      </c>
      <c r="AT22" s="844"/>
      <c r="AU22" s="490"/>
      <c r="AV22" s="152"/>
      <c r="AW22" s="387"/>
      <c r="AX22" s="489">
        <f>ROUND(ROUND(ROUND(R20*AK22,0)*AS22,0)*$AU$10,0)</f>
        <v>134</v>
      </c>
      <c r="AY22" s="393"/>
    </row>
    <row r="23" spans="1:51" ht="16.5" customHeight="1" x14ac:dyDescent="0.15">
      <c r="A23" s="340">
        <v>12</v>
      </c>
      <c r="B23" s="341">
        <v>4411</v>
      </c>
      <c r="C23" s="390" t="s">
        <v>16162</v>
      </c>
      <c r="D23" s="403"/>
      <c r="E23" s="404"/>
      <c r="F23" s="404"/>
      <c r="G23" s="404"/>
      <c r="H23" s="406"/>
      <c r="I23" s="253" t="s">
        <v>15649</v>
      </c>
      <c r="J23" s="396"/>
      <c r="K23" s="396"/>
      <c r="L23" s="396"/>
      <c r="M23" s="396"/>
      <c r="N23" s="396"/>
      <c r="O23" s="396"/>
      <c r="P23" s="396"/>
      <c r="Q23" s="396"/>
      <c r="R23" s="399"/>
      <c r="S23" s="400"/>
      <c r="T23" s="400"/>
      <c r="U23" s="396"/>
      <c r="V23" s="397"/>
      <c r="W23" s="343"/>
      <c r="X23" s="325"/>
      <c r="Y23" s="325"/>
      <c r="Z23" s="325"/>
      <c r="AA23" s="325"/>
      <c r="AB23" s="325"/>
      <c r="AC23" s="325"/>
      <c r="AD23" s="325"/>
      <c r="AE23" s="325"/>
      <c r="AF23" s="325"/>
      <c r="AG23" s="325"/>
      <c r="AH23" s="325"/>
      <c r="AI23" s="325"/>
      <c r="AJ23" s="391"/>
      <c r="AK23" s="401"/>
      <c r="AL23" s="402"/>
      <c r="AM23" s="396"/>
      <c r="AN23" s="396"/>
      <c r="AO23" s="396"/>
      <c r="AP23" s="396"/>
      <c r="AQ23" s="396"/>
      <c r="AR23" s="396"/>
      <c r="AS23" s="396"/>
      <c r="AT23" s="396"/>
      <c r="AU23" s="490"/>
      <c r="AV23" s="152"/>
      <c r="AW23" s="387"/>
      <c r="AX23" s="489">
        <f>ROUND(R24*$AU$10,0)</f>
        <v>159</v>
      </c>
      <c r="AY23" s="393"/>
    </row>
    <row r="24" spans="1:51" ht="16.5" customHeight="1" x14ac:dyDescent="0.15">
      <c r="A24" s="340">
        <v>12</v>
      </c>
      <c r="B24" s="341">
        <v>4412</v>
      </c>
      <c r="C24" s="390" t="s">
        <v>16163</v>
      </c>
      <c r="D24" s="403"/>
      <c r="E24" s="404"/>
      <c r="F24" s="404"/>
      <c r="G24" s="404"/>
      <c r="H24" s="406"/>
      <c r="R24" s="836">
        <f>'2重度訪問'!U24</f>
        <v>106</v>
      </c>
      <c r="S24" s="837"/>
      <c r="T24" s="837"/>
      <c r="U24" s="152" t="s">
        <v>15624</v>
      </c>
      <c r="V24" s="387"/>
      <c r="W24" s="343" t="s">
        <v>15625</v>
      </c>
      <c r="X24" s="325"/>
      <c r="Y24" s="325"/>
      <c r="Z24" s="325"/>
      <c r="AA24" s="325"/>
      <c r="AB24" s="325"/>
      <c r="AC24" s="325"/>
      <c r="AD24" s="325"/>
      <c r="AE24" s="325"/>
      <c r="AF24" s="325"/>
      <c r="AG24" s="325"/>
      <c r="AH24" s="325"/>
      <c r="AI24" s="325"/>
      <c r="AJ24" s="391" t="s">
        <v>15626</v>
      </c>
      <c r="AK24" s="838">
        <f>AK22</f>
        <v>1</v>
      </c>
      <c r="AL24" s="839"/>
      <c r="AM24" s="325"/>
      <c r="AN24" s="325"/>
      <c r="AO24" s="325"/>
      <c r="AP24" s="325"/>
      <c r="AQ24" s="325"/>
      <c r="AR24" s="325"/>
      <c r="AS24" s="325"/>
      <c r="AT24" s="325"/>
      <c r="AU24" s="490"/>
      <c r="AV24" s="152"/>
      <c r="AW24" s="387"/>
      <c r="AX24" s="489">
        <f>ROUND(ROUND(R24*AK24,0)*$AU$10,0)</f>
        <v>159</v>
      </c>
      <c r="AY24" s="393"/>
    </row>
    <row r="25" spans="1:51" ht="16.5" customHeight="1" x14ac:dyDescent="0.15">
      <c r="A25" s="340">
        <v>12</v>
      </c>
      <c r="B25" s="341">
        <v>7237</v>
      </c>
      <c r="C25" s="390" t="s">
        <v>16164</v>
      </c>
      <c r="D25" s="403"/>
      <c r="E25" s="404"/>
      <c r="F25" s="404"/>
      <c r="G25" s="404"/>
      <c r="H25" s="406"/>
      <c r="R25" s="395"/>
      <c r="S25" s="151"/>
      <c r="T25" s="151"/>
      <c r="V25" s="387"/>
      <c r="W25" s="343"/>
      <c r="X25" s="343"/>
      <c r="Y25" s="343"/>
      <c r="Z25" s="343"/>
      <c r="AA25" s="343"/>
      <c r="AB25" s="343"/>
      <c r="AC25" s="343"/>
      <c r="AD25" s="343"/>
      <c r="AE25" s="343"/>
      <c r="AF25" s="343"/>
      <c r="AG25" s="343"/>
      <c r="AH25" s="343"/>
      <c r="AI25" s="343"/>
      <c r="AJ25" s="343"/>
      <c r="AK25" s="343"/>
      <c r="AL25" s="343"/>
      <c r="AM25" s="114" t="s">
        <v>15628</v>
      </c>
      <c r="AN25" s="396"/>
      <c r="AO25" s="396"/>
      <c r="AP25" s="396"/>
      <c r="AQ25" s="396"/>
      <c r="AR25" s="396"/>
      <c r="AS25" s="396"/>
      <c r="AT25" s="396"/>
      <c r="AU25" s="490"/>
      <c r="AV25" s="152"/>
      <c r="AW25" s="387"/>
      <c r="AX25" s="489">
        <f>ROUND(ROUND(R24*AS26,0)*$AU$10,0)</f>
        <v>135</v>
      </c>
      <c r="AY25" s="393"/>
    </row>
    <row r="26" spans="1:51" ht="16.5" customHeight="1" x14ac:dyDescent="0.15">
      <c r="A26" s="340">
        <v>12</v>
      </c>
      <c r="B26" s="341">
        <v>7238</v>
      </c>
      <c r="C26" s="390" t="s">
        <v>16165</v>
      </c>
      <c r="D26" s="403"/>
      <c r="E26" s="404"/>
      <c r="F26" s="404"/>
      <c r="G26" s="404"/>
      <c r="H26" s="406"/>
      <c r="R26" s="395"/>
      <c r="S26" s="151"/>
      <c r="T26" s="151"/>
      <c r="V26" s="387"/>
      <c r="W26" s="343" t="s">
        <v>15625</v>
      </c>
      <c r="X26" s="325"/>
      <c r="Y26" s="325"/>
      <c r="Z26" s="325"/>
      <c r="AA26" s="325"/>
      <c r="AB26" s="325"/>
      <c r="AC26" s="325"/>
      <c r="AD26" s="325"/>
      <c r="AE26" s="325"/>
      <c r="AF26" s="325"/>
      <c r="AG26" s="325"/>
      <c r="AH26" s="325"/>
      <c r="AI26" s="325"/>
      <c r="AJ26" s="391" t="s">
        <v>15626</v>
      </c>
      <c r="AK26" s="838">
        <f>AK24</f>
        <v>1</v>
      </c>
      <c r="AL26" s="843"/>
      <c r="AM26" s="324" t="s">
        <v>15630</v>
      </c>
      <c r="AN26" s="325"/>
      <c r="AO26" s="325"/>
      <c r="AP26" s="325"/>
      <c r="AQ26" s="325"/>
      <c r="AR26" s="190" t="s">
        <v>398</v>
      </c>
      <c r="AS26" s="844">
        <f>AS22</f>
        <v>0.85</v>
      </c>
      <c r="AT26" s="844"/>
      <c r="AU26" s="490"/>
      <c r="AV26" s="152"/>
      <c r="AW26" s="387"/>
      <c r="AX26" s="489">
        <f>ROUND(ROUND(ROUND(R24*AK26,0)*AS26,0)*$AU$10,0)</f>
        <v>135</v>
      </c>
      <c r="AY26" s="393"/>
    </row>
    <row r="27" spans="1:51" ht="16.5" customHeight="1" x14ac:dyDescent="0.15">
      <c r="A27" s="340">
        <v>12</v>
      </c>
      <c r="B27" s="341">
        <v>4421</v>
      </c>
      <c r="C27" s="390" t="s">
        <v>16166</v>
      </c>
      <c r="D27" s="403"/>
      <c r="E27" s="404"/>
      <c r="F27" s="404"/>
      <c r="G27" s="404"/>
      <c r="H27" s="406"/>
      <c r="I27" s="253" t="s">
        <v>15654</v>
      </c>
      <c r="J27" s="396"/>
      <c r="K27" s="396"/>
      <c r="L27" s="396"/>
      <c r="M27" s="396"/>
      <c r="N27" s="396"/>
      <c r="O27" s="396"/>
      <c r="P27" s="396"/>
      <c r="Q27" s="396"/>
      <c r="R27" s="399"/>
      <c r="S27" s="400"/>
      <c r="T27" s="400"/>
      <c r="U27" s="396"/>
      <c r="V27" s="397"/>
      <c r="W27" s="343"/>
      <c r="X27" s="325"/>
      <c r="Y27" s="325"/>
      <c r="Z27" s="325"/>
      <c r="AA27" s="325"/>
      <c r="AB27" s="325"/>
      <c r="AC27" s="325"/>
      <c r="AD27" s="325"/>
      <c r="AE27" s="325"/>
      <c r="AF27" s="325"/>
      <c r="AG27" s="325"/>
      <c r="AH27" s="325"/>
      <c r="AI27" s="325"/>
      <c r="AJ27" s="391"/>
      <c r="AK27" s="401"/>
      <c r="AL27" s="402"/>
      <c r="AM27" s="396"/>
      <c r="AN27" s="396"/>
      <c r="AO27" s="396"/>
      <c r="AP27" s="396"/>
      <c r="AQ27" s="396"/>
      <c r="AR27" s="396"/>
      <c r="AS27" s="396"/>
      <c r="AT27" s="396"/>
      <c r="AU27" s="490"/>
      <c r="AV27" s="152"/>
      <c r="AW27" s="387"/>
      <c r="AX27" s="489">
        <f>ROUND(R28*$AU$10,0)</f>
        <v>156</v>
      </c>
      <c r="AY27" s="393"/>
    </row>
    <row r="28" spans="1:51" ht="16.5" customHeight="1" x14ac:dyDescent="0.15">
      <c r="A28" s="340">
        <v>12</v>
      </c>
      <c r="B28" s="341">
        <v>4422</v>
      </c>
      <c r="C28" s="390" t="s">
        <v>16167</v>
      </c>
      <c r="D28" s="403"/>
      <c r="E28" s="404"/>
      <c r="F28" s="404"/>
      <c r="G28" s="404"/>
      <c r="H28" s="406"/>
      <c r="R28" s="836">
        <f>'2重度訪問'!U28</f>
        <v>104</v>
      </c>
      <c r="S28" s="837"/>
      <c r="T28" s="837"/>
      <c r="U28" s="152" t="s">
        <v>15624</v>
      </c>
      <c r="V28" s="387"/>
      <c r="W28" s="343" t="s">
        <v>15625</v>
      </c>
      <c r="X28" s="325"/>
      <c r="Y28" s="325"/>
      <c r="Z28" s="325"/>
      <c r="AA28" s="325"/>
      <c r="AB28" s="325"/>
      <c r="AC28" s="325"/>
      <c r="AD28" s="325"/>
      <c r="AE28" s="325"/>
      <c r="AF28" s="325"/>
      <c r="AG28" s="325"/>
      <c r="AH28" s="325"/>
      <c r="AI28" s="325"/>
      <c r="AJ28" s="391" t="s">
        <v>15626</v>
      </c>
      <c r="AK28" s="838">
        <f>AK26</f>
        <v>1</v>
      </c>
      <c r="AL28" s="839"/>
      <c r="AM28" s="325"/>
      <c r="AN28" s="325"/>
      <c r="AO28" s="325"/>
      <c r="AP28" s="325"/>
      <c r="AQ28" s="325"/>
      <c r="AR28" s="325"/>
      <c r="AS28" s="325"/>
      <c r="AT28" s="325"/>
      <c r="AU28" s="490"/>
      <c r="AV28" s="152"/>
      <c r="AW28" s="387"/>
      <c r="AX28" s="489">
        <f>ROUND(ROUND(R28*AK28,0)*$AU$10,0)</f>
        <v>156</v>
      </c>
      <c r="AY28" s="393"/>
    </row>
    <row r="29" spans="1:51" ht="16.5" customHeight="1" x14ac:dyDescent="0.15">
      <c r="A29" s="340">
        <v>12</v>
      </c>
      <c r="B29" s="341">
        <v>7239</v>
      </c>
      <c r="C29" s="390" t="s">
        <v>16168</v>
      </c>
      <c r="D29" s="403"/>
      <c r="E29" s="404"/>
      <c r="F29" s="404"/>
      <c r="G29" s="404"/>
      <c r="H29" s="406"/>
      <c r="R29" s="395"/>
      <c r="S29" s="151"/>
      <c r="T29" s="151"/>
      <c r="V29" s="387"/>
      <c r="W29" s="343"/>
      <c r="X29" s="343"/>
      <c r="Y29" s="343"/>
      <c r="Z29" s="343"/>
      <c r="AA29" s="343"/>
      <c r="AB29" s="343"/>
      <c r="AC29" s="343"/>
      <c r="AD29" s="343"/>
      <c r="AE29" s="343"/>
      <c r="AF29" s="343"/>
      <c r="AG29" s="343"/>
      <c r="AH29" s="343"/>
      <c r="AI29" s="343"/>
      <c r="AJ29" s="343"/>
      <c r="AK29" s="343"/>
      <c r="AL29" s="343"/>
      <c r="AM29" s="114" t="s">
        <v>15628</v>
      </c>
      <c r="AN29" s="396"/>
      <c r="AO29" s="396"/>
      <c r="AP29" s="396"/>
      <c r="AQ29" s="396"/>
      <c r="AR29" s="396"/>
      <c r="AS29" s="396"/>
      <c r="AT29" s="396"/>
      <c r="AU29" s="490"/>
      <c r="AV29" s="152"/>
      <c r="AW29" s="387"/>
      <c r="AX29" s="489">
        <f>ROUND(ROUND(R28*AS30,0)*$AU$10,0)</f>
        <v>132</v>
      </c>
      <c r="AY29" s="393"/>
    </row>
    <row r="30" spans="1:51" ht="16.5" customHeight="1" x14ac:dyDescent="0.15">
      <c r="A30" s="340">
        <v>12</v>
      </c>
      <c r="B30" s="341">
        <v>7240</v>
      </c>
      <c r="C30" s="390" t="s">
        <v>16169</v>
      </c>
      <c r="D30" s="403"/>
      <c r="E30" s="404"/>
      <c r="F30" s="404"/>
      <c r="G30" s="404"/>
      <c r="H30" s="406"/>
      <c r="R30" s="395"/>
      <c r="S30" s="151"/>
      <c r="T30" s="151"/>
      <c r="V30" s="387"/>
      <c r="W30" s="343" t="s">
        <v>15625</v>
      </c>
      <c r="X30" s="325"/>
      <c r="Y30" s="325"/>
      <c r="Z30" s="325"/>
      <c r="AA30" s="325"/>
      <c r="AB30" s="325"/>
      <c r="AC30" s="325"/>
      <c r="AD30" s="325"/>
      <c r="AE30" s="325"/>
      <c r="AF30" s="325"/>
      <c r="AG30" s="325"/>
      <c r="AH30" s="325"/>
      <c r="AI30" s="325"/>
      <c r="AJ30" s="391" t="s">
        <v>15626</v>
      </c>
      <c r="AK30" s="838">
        <f>AK28</f>
        <v>1</v>
      </c>
      <c r="AL30" s="843"/>
      <c r="AM30" s="324" t="s">
        <v>15630</v>
      </c>
      <c r="AN30" s="325"/>
      <c r="AO30" s="325"/>
      <c r="AP30" s="325"/>
      <c r="AQ30" s="325"/>
      <c r="AR30" s="190" t="s">
        <v>398</v>
      </c>
      <c r="AS30" s="844">
        <f>AS26</f>
        <v>0.85</v>
      </c>
      <c r="AT30" s="844"/>
      <c r="AU30" s="490"/>
      <c r="AV30" s="152"/>
      <c r="AW30" s="387"/>
      <c r="AX30" s="489">
        <f>ROUND(ROUND(ROUND(R28*AK30,0)*AS30,0)*$AU$10,0)</f>
        <v>132</v>
      </c>
      <c r="AY30" s="393"/>
    </row>
    <row r="31" spans="1:51" ht="16.5" customHeight="1" x14ac:dyDescent="0.15">
      <c r="A31" s="340">
        <v>12</v>
      </c>
      <c r="B31" s="341">
        <v>4431</v>
      </c>
      <c r="C31" s="390" t="s">
        <v>16170</v>
      </c>
      <c r="D31" s="403"/>
      <c r="E31" s="404"/>
      <c r="F31" s="404"/>
      <c r="G31" s="404"/>
      <c r="H31" s="406"/>
      <c r="I31" s="253" t="s">
        <v>15659</v>
      </c>
      <c r="J31" s="396"/>
      <c r="K31" s="396"/>
      <c r="L31" s="396"/>
      <c r="M31" s="396"/>
      <c r="N31" s="396"/>
      <c r="O31" s="396"/>
      <c r="P31" s="396"/>
      <c r="Q31" s="396"/>
      <c r="R31" s="399"/>
      <c r="S31" s="400"/>
      <c r="T31" s="400"/>
      <c r="U31" s="396"/>
      <c r="V31" s="397"/>
      <c r="W31" s="343"/>
      <c r="X31" s="325"/>
      <c r="Y31" s="325"/>
      <c r="Z31" s="325"/>
      <c r="AA31" s="325"/>
      <c r="AB31" s="325"/>
      <c r="AC31" s="325"/>
      <c r="AD31" s="325"/>
      <c r="AE31" s="325"/>
      <c r="AF31" s="325"/>
      <c r="AG31" s="325"/>
      <c r="AH31" s="325"/>
      <c r="AI31" s="325"/>
      <c r="AJ31" s="391"/>
      <c r="AK31" s="401"/>
      <c r="AL31" s="402"/>
      <c r="AM31" s="396"/>
      <c r="AN31" s="396"/>
      <c r="AO31" s="396"/>
      <c r="AP31" s="396"/>
      <c r="AQ31" s="396"/>
      <c r="AR31" s="396"/>
      <c r="AS31" s="396"/>
      <c r="AT31" s="396"/>
      <c r="AU31" s="490"/>
      <c r="AV31" s="152"/>
      <c r="AW31" s="387"/>
      <c r="AX31" s="489">
        <f>ROUND(R32*$AU$10,0)</f>
        <v>159</v>
      </c>
      <c r="AY31" s="393"/>
    </row>
    <row r="32" spans="1:51" ht="16.5" customHeight="1" x14ac:dyDescent="0.15">
      <c r="A32" s="340">
        <v>12</v>
      </c>
      <c r="B32" s="341">
        <v>4432</v>
      </c>
      <c r="C32" s="390" t="s">
        <v>16171</v>
      </c>
      <c r="D32" s="403"/>
      <c r="E32" s="404"/>
      <c r="F32" s="404"/>
      <c r="G32" s="404"/>
      <c r="H32" s="406"/>
      <c r="R32" s="836">
        <f>'2重度訪問'!U32</f>
        <v>106</v>
      </c>
      <c r="S32" s="837"/>
      <c r="T32" s="837"/>
      <c r="U32" s="152" t="s">
        <v>15624</v>
      </c>
      <c r="V32" s="387"/>
      <c r="W32" s="343" t="s">
        <v>15625</v>
      </c>
      <c r="X32" s="325"/>
      <c r="Y32" s="325"/>
      <c r="Z32" s="325"/>
      <c r="AA32" s="325"/>
      <c r="AB32" s="325"/>
      <c r="AC32" s="325"/>
      <c r="AD32" s="325"/>
      <c r="AE32" s="325"/>
      <c r="AF32" s="325"/>
      <c r="AG32" s="325"/>
      <c r="AH32" s="325"/>
      <c r="AI32" s="325"/>
      <c r="AJ32" s="391" t="s">
        <v>15626</v>
      </c>
      <c r="AK32" s="838">
        <f>AK30</f>
        <v>1</v>
      </c>
      <c r="AL32" s="839"/>
      <c r="AM32" s="325"/>
      <c r="AN32" s="325"/>
      <c r="AO32" s="325"/>
      <c r="AP32" s="325"/>
      <c r="AQ32" s="325"/>
      <c r="AR32" s="325"/>
      <c r="AS32" s="325"/>
      <c r="AT32" s="325"/>
      <c r="AU32" s="490"/>
      <c r="AV32" s="152"/>
      <c r="AW32" s="387"/>
      <c r="AX32" s="489">
        <f>ROUND(ROUND(R32*AK32,0)*$AU$10,0)</f>
        <v>159</v>
      </c>
      <c r="AY32" s="393"/>
    </row>
    <row r="33" spans="1:51" ht="16.5" customHeight="1" x14ac:dyDescent="0.15">
      <c r="A33" s="340">
        <v>12</v>
      </c>
      <c r="B33" s="341">
        <v>7241</v>
      </c>
      <c r="C33" s="390" t="s">
        <v>16172</v>
      </c>
      <c r="D33" s="403"/>
      <c r="E33" s="404"/>
      <c r="F33" s="404"/>
      <c r="G33" s="404"/>
      <c r="H33" s="406"/>
      <c r="R33" s="395"/>
      <c r="S33" s="151"/>
      <c r="T33" s="151"/>
      <c r="V33" s="387"/>
      <c r="W33" s="343"/>
      <c r="X33" s="343"/>
      <c r="Y33" s="343"/>
      <c r="Z33" s="343"/>
      <c r="AA33" s="343"/>
      <c r="AB33" s="343"/>
      <c r="AC33" s="343"/>
      <c r="AD33" s="343"/>
      <c r="AE33" s="343"/>
      <c r="AF33" s="343"/>
      <c r="AG33" s="343"/>
      <c r="AH33" s="343"/>
      <c r="AI33" s="343"/>
      <c r="AJ33" s="343"/>
      <c r="AK33" s="343"/>
      <c r="AL33" s="343"/>
      <c r="AM33" s="114" t="s">
        <v>15628</v>
      </c>
      <c r="AN33" s="396"/>
      <c r="AO33" s="396"/>
      <c r="AP33" s="396"/>
      <c r="AQ33" s="396"/>
      <c r="AR33" s="396"/>
      <c r="AS33" s="396"/>
      <c r="AT33" s="396"/>
      <c r="AU33" s="490"/>
      <c r="AV33" s="152"/>
      <c r="AW33" s="387"/>
      <c r="AX33" s="489">
        <f>ROUND(ROUND(R32*AS34,0)*$AU$10,0)</f>
        <v>135</v>
      </c>
      <c r="AY33" s="393"/>
    </row>
    <row r="34" spans="1:51" ht="16.5" customHeight="1" x14ac:dyDescent="0.15">
      <c r="A34" s="340">
        <v>12</v>
      </c>
      <c r="B34" s="341">
        <v>7242</v>
      </c>
      <c r="C34" s="390" t="s">
        <v>16173</v>
      </c>
      <c r="D34" s="403"/>
      <c r="E34" s="404"/>
      <c r="F34" s="404"/>
      <c r="G34" s="404"/>
      <c r="H34" s="406"/>
      <c r="R34" s="395"/>
      <c r="S34" s="151"/>
      <c r="T34" s="151"/>
      <c r="V34" s="387"/>
      <c r="W34" s="343" t="s">
        <v>15625</v>
      </c>
      <c r="X34" s="325"/>
      <c r="Y34" s="325"/>
      <c r="Z34" s="325"/>
      <c r="AA34" s="325"/>
      <c r="AB34" s="325"/>
      <c r="AC34" s="325"/>
      <c r="AD34" s="325"/>
      <c r="AE34" s="325"/>
      <c r="AF34" s="325"/>
      <c r="AG34" s="325"/>
      <c r="AH34" s="325"/>
      <c r="AI34" s="325"/>
      <c r="AJ34" s="391" t="s">
        <v>15626</v>
      </c>
      <c r="AK34" s="838">
        <f>AK32</f>
        <v>1</v>
      </c>
      <c r="AL34" s="843"/>
      <c r="AM34" s="324" t="s">
        <v>15630</v>
      </c>
      <c r="AN34" s="325"/>
      <c r="AO34" s="325"/>
      <c r="AP34" s="325"/>
      <c r="AQ34" s="325"/>
      <c r="AR34" s="190" t="s">
        <v>398</v>
      </c>
      <c r="AS34" s="844">
        <f>AS30</f>
        <v>0.85</v>
      </c>
      <c r="AT34" s="844"/>
      <c r="AU34" s="490"/>
      <c r="AV34" s="152"/>
      <c r="AW34" s="387"/>
      <c r="AX34" s="489">
        <f>ROUND(ROUND(ROUND(R32*AK34,0)*AS34,0)*$AU$10,0)</f>
        <v>135</v>
      </c>
      <c r="AY34" s="393"/>
    </row>
    <row r="35" spans="1:51" ht="17.100000000000001" customHeight="1" x14ac:dyDescent="0.15">
      <c r="A35" s="340">
        <v>12</v>
      </c>
      <c r="B35" s="341">
        <v>4121</v>
      </c>
      <c r="C35" s="390" t="s">
        <v>16174</v>
      </c>
      <c r="D35" s="403"/>
      <c r="E35" s="404"/>
      <c r="F35" s="404"/>
      <c r="G35" s="404"/>
      <c r="H35" s="406"/>
      <c r="I35" s="253" t="s">
        <v>15664</v>
      </c>
      <c r="J35" s="396"/>
      <c r="K35" s="396"/>
      <c r="L35" s="400"/>
      <c r="M35" s="400"/>
      <c r="N35" s="400"/>
      <c r="O35" s="400"/>
      <c r="P35" s="400"/>
      <c r="Q35" s="396"/>
      <c r="R35" s="396"/>
      <c r="S35" s="396"/>
      <c r="T35" s="396"/>
      <c r="U35" s="396"/>
      <c r="V35" s="397"/>
      <c r="W35" s="343"/>
      <c r="X35" s="343"/>
      <c r="Y35" s="343"/>
      <c r="Z35" s="343"/>
      <c r="AA35" s="343"/>
      <c r="AB35" s="343"/>
      <c r="AC35" s="343"/>
      <c r="AD35" s="343"/>
      <c r="AE35" s="343"/>
      <c r="AF35" s="343"/>
      <c r="AG35" s="343"/>
      <c r="AH35" s="343"/>
      <c r="AI35" s="343"/>
      <c r="AJ35" s="343"/>
      <c r="AK35" s="343"/>
      <c r="AL35" s="407"/>
      <c r="AM35" s="396"/>
      <c r="AN35" s="396"/>
      <c r="AO35" s="396"/>
      <c r="AP35" s="396"/>
      <c r="AQ35" s="396"/>
      <c r="AR35" s="396"/>
      <c r="AS35" s="396"/>
      <c r="AT35" s="396"/>
      <c r="AU35" s="490"/>
      <c r="AV35" s="152"/>
      <c r="AW35" s="387"/>
      <c r="AX35" s="489">
        <f>ROUND(R36*$AU$10,0)</f>
        <v>147</v>
      </c>
      <c r="AY35" s="393"/>
    </row>
    <row r="36" spans="1:51" ht="16.5" customHeight="1" x14ac:dyDescent="0.15">
      <c r="A36" s="340">
        <v>12</v>
      </c>
      <c r="B36" s="341">
        <v>4122</v>
      </c>
      <c r="C36" s="390" t="s">
        <v>16175</v>
      </c>
      <c r="D36" s="403"/>
      <c r="E36" s="404"/>
      <c r="F36" s="404"/>
      <c r="G36" s="404"/>
      <c r="H36" s="406"/>
      <c r="R36" s="836">
        <f>'2重度訪問'!U36</f>
        <v>98</v>
      </c>
      <c r="S36" s="837"/>
      <c r="T36" s="837"/>
      <c r="U36" s="152" t="s">
        <v>15624</v>
      </c>
      <c r="V36" s="387"/>
      <c r="W36" s="343" t="s">
        <v>15625</v>
      </c>
      <c r="X36" s="325"/>
      <c r="Y36" s="325"/>
      <c r="Z36" s="325"/>
      <c r="AA36" s="325"/>
      <c r="AB36" s="325"/>
      <c r="AC36" s="325"/>
      <c r="AD36" s="325"/>
      <c r="AE36" s="325"/>
      <c r="AF36" s="325"/>
      <c r="AG36" s="325"/>
      <c r="AH36" s="325"/>
      <c r="AI36" s="325"/>
      <c r="AJ36" s="391" t="s">
        <v>15626</v>
      </c>
      <c r="AK36" s="838">
        <f>AK34</f>
        <v>1</v>
      </c>
      <c r="AL36" s="839"/>
      <c r="AM36" s="325"/>
      <c r="AN36" s="325"/>
      <c r="AO36" s="325"/>
      <c r="AP36" s="325"/>
      <c r="AQ36" s="325"/>
      <c r="AR36" s="325"/>
      <c r="AS36" s="325"/>
      <c r="AT36" s="391"/>
      <c r="AU36" s="490"/>
      <c r="AV36" s="152"/>
      <c r="AW36" s="387"/>
      <c r="AX36" s="489">
        <f>ROUND(ROUND(R36*AK36,0)*$AU$10,0)</f>
        <v>147</v>
      </c>
      <c r="AY36" s="393"/>
    </row>
    <row r="37" spans="1:51" ht="16.5" customHeight="1" x14ac:dyDescent="0.15">
      <c r="A37" s="340">
        <v>12</v>
      </c>
      <c r="B37" s="341">
        <v>7243</v>
      </c>
      <c r="C37" s="390" t="s">
        <v>16176</v>
      </c>
      <c r="D37" s="403"/>
      <c r="E37" s="404"/>
      <c r="F37" s="404"/>
      <c r="G37" s="404"/>
      <c r="H37" s="406"/>
      <c r="R37" s="395"/>
      <c r="S37" s="151"/>
      <c r="T37" s="151"/>
      <c r="V37" s="387"/>
      <c r="W37" s="343"/>
      <c r="X37" s="343"/>
      <c r="Y37" s="343"/>
      <c r="Z37" s="343"/>
      <c r="AA37" s="343"/>
      <c r="AB37" s="343"/>
      <c r="AC37" s="343"/>
      <c r="AD37" s="343"/>
      <c r="AE37" s="343"/>
      <c r="AF37" s="343"/>
      <c r="AG37" s="343"/>
      <c r="AH37" s="343"/>
      <c r="AI37" s="343"/>
      <c r="AJ37" s="343"/>
      <c r="AK37" s="343"/>
      <c r="AL37" s="343"/>
      <c r="AM37" s="114" t="s">
        <v>15628</v>
      </c>
      <c r="AN37" s="396"/>
      <c r="AO37" s="396"/>
      <c r="AP37" s="396"/>
      <c r="AQ37" s="396"/>
      <c r="AR37" s="396"/>
      <c r="AS37" s="396"/>
      <c r="AT37" s="396"/>
      <c r="AU37" s="490"/>
      <c r="AV37" s="152"/>
      <c r="AW37" s="387"/>
      <c r="AX37" s="489">
        <f>ROUND(ROUND(R36*AS38,0)*$AU$10,0)</f>
        <v>125</v>
      </c>
      <c r="AY37" s="393"/>
    </row>
    <row r="38" spans="1:51" ht="16.5" customHeight="1" x14ac:dyDescent="0.15">
      <c r="A38" s="340">
        <v>12</v>
      </c>
      <c r="B38" s="341">
        <v>7244</v>
      </c>
      <c r="C38" s="390" t="s">
        <v>16177</v>
      </c>
      <c r="D38" s="403"/>
      <c r="E38" s="404"/>
      <c r="F38" s="404"/>
      <c r="G38" s="404"/>
      <c r="H38" s="406"/>
      <c r="R38" s="395"/>
      <c r="S38" s="151"/>
      <c r="T38" s="151"/>
      <c r="V38" s="387"/>
      <c r="W38" s="343" t="s">
        <v>15625</v>
      </c>
      <c r="X38" s="325"/>
      <c r="Y38" s="325"/>
      <c r="Z38" s="325"/>
      <c r="AA38" s="325"/>
      <c r="AB38" s="325"/>
      <c r="AC38" s="325"/>
      <c r="AD38" s="325"/>
      <c r="AE38" s="325"/>
      <c r="AF38" s="325"/>
      <c r="AG38" s="325"/>
      <c r="AH38" s="325"/>
      <c r="AI38" s="325"/>
      <c r="AJ38" s="391" t="s">
        <v>15626</v>
      </c>
      <c r="AK38" s="838">
        <f>AK36</f>
        <v>1</v>
      </c>
      <c r="AL38" s="843"/>
      <c r="AM38" s="324" t="s">
        <v>15630</v>
      </c>
      <c r="AN38" s="325"/>
      <c r="AO38" s="325"/>
      <c r="AP38" s="325"/>
      <c r="AQ38" s="325"/>
      <c r="AR38" s="190" t="s">
        <v>398</v>
      </c>
      <c r="AS38" s="844">
        <f>AS34</f>
        <v>0.85</v>
      </c>
      <c r="AT38" s="844"/>
      <c r="AU38" s="490"/>
      <c r="AV38" s="152"/>
      <c r="AW38" s="387"/>
      <c r="AX38" s="489">
        <f>ROUND(ROUND(ROUND(R36*AK38,0)*AS38,0)*$AU$10,0)</f>
        <v>125</v>
      </c>
      <c r="AY38" s="393"/>
    </row>
    <row r="39" spans="1:51" ht="17.100000000000001" customHeight="1" x14ac:dyDescent="0.15">
      <c r="A39" s="340">
        <v>12</v>
      </c>
      <c r="B39" s="341">
        <v>4131</v>
      </c>
      <c r="C39" s="390" t="s">
        <v>16178</v>
      </c>
      <c r="D39" s="403"/>
      <c r="E39" s="404"/>
      <c r="F39" s="404"/>
      <c r="G39" s="404"/>
      <c r="H39" s="406"/>
      <c r="I39" s="253" t="s">
        <v>15669</v>
      </c>
      <c r="J39" s="396"/>
      <c r="K39" s="396"/>
      <c r="L39" s="400"/>
      <c r="M39" s="400"/>
      <c r="N39" s="400"/>
      <c r="O39" s="400"/>
      <c r="P39" s="400"/>
      <c r="Q39" s="396"/>
      <c r="R39" s="396"/>
      <c r="S39" s="396"/>
      <c r="T39" s="396"/>
      <c r="U39" s="396"/>
      <c r="V39" s="397"/>
      <c r="W39" s="343"/>
      <c r="X39" s="343"/>
      <c r="Y39" s="343"/>
      <c r="Z39" s="343"/>
      <c r="AA39" s="343"/>
      <c r="AB39" s="343"/>
      <c r="AC39" s="343"/>
      <c r="AD39" s="343"/>
      <c r="AE39" s="343"/>
      <c r="AF39" s="343"/>
      <c r="AG39" s="343"/>
      <c r="AH39" s="343"/>
      <c r="AI39" s="343"/>
      <c r="AJ39" s="343"/>
      <c r="AK39" s="343"/>
      <c r="AL39" s="407"/>
      <c r="AM39" s="396"/>
      <c r="AN39" s="396"/>
      <c r="AO39" s="396"/>
      <c r="AP39" s="396"/>
      <c r="AQ39" s="396"/>
      <c r="AR39" s="396"/>
      <c r="AS39" s="396"/>
      <c r="AT39" s="396"/>
      <c r="AU39" s="490"/>
      <c r="AV39" s="152"/>
      <c r="AW39" s="387"/>
      <c r="AX39" s="489">
        <f>ROUND(R40*$AU$10,0)</f>
        <v>147</v>
      </c>
      <c r="AY39" s="393"/>
    </row>
    <row r="40" spans="1:51" ht="16.5" customHeight="1" x14ac:dyDescent="0.15">
      <c r="A40" s="340">
        <v>12</v>
      </c>
      <c r="B40" s="341">
        <v>4132</v>
      </c>
      <c r="C40" s="390" t="s">
        <v>16179</v>
      </c>
      <c r="D40" s="403"/>
      <c r="E40" s="404"/>
      <c r="F40" s="404"/>
      <c r="G40" s="404"/>
      <c r="H40" s="406"/>
      <c r="R40" s="836">
        <f>'2重度訪問'!U40</f>
        <v>98</v>
      </c>
      <c r="S40" s="837"/>
      <c r="T40" s="837"/>
      <c r="U40" s="152" t="s">
        <v>15624</v>
      </c>
      <c r="V40" s="387"/>
      <c r="W40" s="343" t="s">
        <v>15625</v>
      </c>
      <c r="X40" s="325"/>
      <c r="Y40" s="325"/>
      <c r="Z40" s="325"/>
      <c r="AA40" s="325"/>
      <c r="AB40" s="325"/>
      <c r="AC40" s="325"/>
      <c r="AD40" s="325"/>
      <c r="AE40" s="325"/>
      <c r="AF40" s="325"/>
      <c r="AG40" s="325"/>
      <c r="AH40" s="325"/>
      <c r="AI40" s="325"/>
      <c r="AJ40" s="391" t="s">
        <v>15626</v>
      </c>
      <c r="AK40" s="838">
        <f>AK38</f>
        <v>1</v>
      </c>
      <c r="AL40" s="839"/>
      <c r="AM40" s="325"/>
      <c r="AN40" s="325"/>
      <c r="AO40" s="325"/>
      <c r="AP40" s="325"/>
      <c r="AQ40" s="325"/>
      <c r="AR40" s="325"/>
      <c r="AS40" s="325"/>
      <c r="AT40" s="391"/>
      <c r="AU40" s="490"/>
      <c r="AV40" s="152"/>
      <c r="AW40" s="387"/>
      <c r="AX40" s="489">
        <f>ROUND(ROUND(R40*AK40,0)*$AU$10,0)</f>
        <v>147</v>
      </c>
      <c r="AY40" s="393"/>
    </row>
    <row r="41" spans="1:51" ht="16.5" customHeight="1" x14ac:dyDescent="0.15">
      <c r="A41" s="340">
        <v>12</v>
      </c>
      <c r="B41" s="341">
        <v>7245</v>
      </c>
      <c r="C41" s="390" t="s">
        <v>16180</v>
      </c>
      <c r="D41" s="403"/>
      <c r="E41" s="404"/>
      <c r="F41" s="404"/>
      <c r="G41" s="404"/>
      <c r="H41" s="406"/>
      <c r="R41" s="395"/>
      <c r="S41" s="151"/>
      <c r="T41" s="151"/>
      <c r="V41" s="387"/>
      <c r="W41" s="343"/>
      <c r="X41" s="343"/>
      <c r="Y41" s="343"/>
      <c r="Z41" s="343"/>
      <c r="AA41" s="343"/>
      <c r="AB41" s="343"/>
      <c r="AC41" s="343"/>
      <c r="AD41" s="343"/>
      <c r="AE41" s="343"/>
      <c r="AF41" s="343"/>
      <c r="AG41" s="343"/>
      <c r="AH41" s="343"/>
      <c r="AI41" s="343"/>
      <c r="AJ41" s="343"/>
      <c r="AK41" s="343"/>
      <c r="AL41" s="343"/>
      <c r="AM41" s="114" t="s">
        <v>15628</v>
      </c>
      <c r="AN41" s="396"/>
      <c r="AO41" s="396"/>
      <c r="AP41" s="396"/>
      <c r="AQ41" s="396"/>
      <c r="AR41" s="396"/>
      <c r="AS41" s="396"/>
      <c r="AT41" s="396"/>
      <c r="AU41" s="490"/>
      <c r="AV41" s="152"/>
      <c r="AW41" s="387"/>
      <c r="AX41" s="489">
        <f>ROUND(ROUND(R40*AS42,0)*$AU$10,0)</f>
        <v>125</v>
      </c>
      <c r="AY41" s="393"/>
    </row>
    <row r="42" spans="1:51" ht="16.5" customHeight="1" x14ac:dyDescent="0.15">
      <c r="A42" s="340">
        <v>12</v>
      </c>
      <c r="B42" s="341">
        <v>7246</v>
      </c>
      <c r="C42" s="390" t="s">
        <v>16181</v>
      </c>
      <c r="D42" s="403"/>
      <c r="E42" s="404"/>
      <c r="F42" s="404"/>
      <c r="G42" s="404"/>
      <c r="H42" s="406"/>
      <c r="R42" s="395"/>
      <c r="S42" s="151"/>
      <c r="T42" s="151"/>
      <c r="V42" s="387"/>
      <c r="W42" s="343" t="s">
        <v>15625</v>
      </c>
      <c r="X42" s="325"/>
      <c r="Y42" s="325"/>
      <c r="Z42" s="325"/>
      <c r="AA42" s="325"/>
      <c r="AB42" s="325"/>
      <c r="AC42" s="325"/>
      <c r="AD42" s="325"/>
      <c r="AE42" s="325"/>
      <c r="AF42" s="325"/>
      <c r="AG42" s="325"/>
      <c r="AH42" s="325"/>
      <c r="AI42" s="325"/>
      <c r="AJ42" s="391" t="s">
        <v>15626</v>
      </c>
      <c r="AK42" s="838">
        <f>AK40</f>
        <v>1</v>
      </c>
      <c r="AL42" s="843"/>
      <c r="AM42" s="324" t="s">
        <v>15630</v>
      </c>
      <c r="AN42" s="325"/>
      <c r="AO42" s="325"/>
      <c r="AP42" s="325"/>
      <c r="AQ42" s="325"/>
      <c r="AR42" s="190" t="s">
        <v>398</v>
      </c>
      <c r="AS42" s="844">
        <f>AS38</f>
        <v>0.85</v>
      </c>
      <c r="AT42" s="844"/>
      <c r="AU42" s="490"/>
      <c r="AV42" s="152"/>
      <c r="AW42" s="387"/>
      <c r="AX42" s="489">
        <f>ROUND(ROUND(ROUND(R40*AK42,0)*AS42,0)*$AU$10,0)</f>
        <v>125</v>
      </c>
      <c r="AY42" s="393"/>
    </row>
    <row r="43" spans="1:51" ht="17.100000000000001" customHeight="1" x14ac:dyDescent="0.15">
      <c r="A43" s="340">
        <v>12</v>
      </c>
      <c r="B43" s="341">
        <v>4141</v>
      </c>
      <c r="C43" s="390" t="s">
        <v>16182</v>
      </c>
      <c r="D43" s="403"/>
      <c r="E43" s="404"/>
      <c r="F43" s="404"/>
      <c r="G43" s="404"/>
      <c r="H43" s="406"/>
      <c r="I43" s="253" t="s">
        <v>15674</v>
      </c>
      <c r="J43" s="396"/>
      <c r="K43" s="396"/>
      <c r="L43" s="400"/>
      <c r="M43" s="400"/>
      <c r="N43" s="400"/>
      <c r="O43" s="400"/>
      <c r="P43" s="400"/>
      <c r="Q43" s="396"/>
      <c r="R43" s="396"/>
      <c r="S43" s="396"/>
      <c r="T43" s="396"/>
      <c r="U43" s="396"/>
      <c r="V43" s="397"/>
      <c r="W43" s="343"/>
      <c r="X43" s="343"/>
      <c r="Y43" s="343"/>
      <c r="Z43" s="343"/>
      <c r="AA43" s="343"/>
      <c r="AB43" s="343"/>
      <c r="AC43" s="343"/>
      <c r="AD43" s="343"/>
      <c r="AE43" s="343"/>
      <c r="AF43" s="343"/>
      <c r="AG43" s="343"/>
      <c r="AH43" s="343"/>
      <c r="AI43" s="343"/>
      <c r="AJ43" s="343"/>
      <c r="AK43" s="343"/>
      <c r="AL43" s="407"/>
      <c r="AM43" s="396"/>
      <c r="AN43" s="396"/>
      <c r="AO43" s="396"/>
      <c r="AP43" s="396"/>
      <c r="AQ43" s="396"/>
      <c r="AR43" s="396"/>
      <c r="AS43" s="396"/>
      <c r="AT43" s="396"/>
      <c r="AU43" s="490"/>
      <c r="AV43" s="152"/>
      <c r="AW43" s="387"/>
      <c r="AX43" s="489">
        <f>ROUND(R44*$AU$10,0)</f>
        <v>138</v>
      </c>
      <c r="AY43" s="393"/>
    </row>
    <row r="44" spans="1:51" ht="16.5" customHeight="1" x14ac:dyDescent="0.15">
      <c r="A44" s="340">
        <v>12</v>
      </c>
      <c r="B44" s="341">
        <v>4142</v>
      </c>
      <c r="C44" s="390" t="s">
        <v>16183</v>
      </c>
      <c r="D44" s="403"/>
      <c r="E44" s="404"/>
      <c r="F44" s="404"/>
      <c r="G44" s="404"/>
      <c r="H44" s="406"/>
      <c r="R44" s="836">
        <f>'2重度訪問'!U44</f>
        <v>92</v>
      </c>
      <c r="S44" s="837"/>
      <c r="T44" s="837"/>
      <c r="U44" s="152" t="s">
        <v>15624</v>
      </c>
      <c r="V44" s="387"/>
      <c r="W44" s="343" t="s">
        <v>15625</v>
      </c>
      <c r="X44" s="325"/>
      <c r="Y44" s="325"/>
      <c r="Z44" s="325"/>
      <c r="AA44" s="325"/>
      <c r="AB44" s="325"/>
      <c r="AC44" s="325"/>
      <c r="AD44" s="325"/>
      <c r="AE44" s="325"/>
      <c r="AF44" s="325"/>
      <c r="AG44" s="325"/>
      <c r="AH44" s="325"/>
      <c r="AI44" s="325"/>
      <c r="AJ44" s="391" t="s">
        <v>15626</v>
      </c>
      <c r="AK44" s="838">
        <f>AK42</f>
        <v>1</v>
      </c>
      <c r="AL44" s="839"/>
      <c r="AM44" s="325"/>
      <c r="AN44" s="325"/>
      <c r="AO44" s="325"/>
      <c r="AP44" s="325"/>
      <c r="AQ44" s="325"/>
      <c r="AR44" s="325"/>
      <c r="AS44" s="325"/>
      <c r="AT44" s="391"/>
      <c r="AU44" s="490"/>
      <c r="AV44" s="152"/>
      <c r="AW44" s="387"/>
      <c r="AX44" s="489">
        <f>ROUND(ROUND(R44*AK44,0)*$AU$10,0)</f>
        <v>138</v>
      </c>
      <c r="AY44" s="393"/>
    </row>
    <row r="45" spans="1:51" ht="16.5" customHeight="1" x14ac:dyDescent="0.15">
      <c r="A45" s="340">
        <v>12</v>
      </c>
      <c r="B45" s="341">
        <v>7247</v>
      </c>
      <c r="C45" s="390" t="s">
        <v>16184</v>
      </c>
      <c r="D45" s="403"/>
      <c r="E45" s="404"/>
      <c r="F45" s="404"/>
      <c r="G45" s="404"/>
      <c r="H45" s="406"/>
      <c r="R45" s="395"/>
      <c r="S45" s="151"/>
      <c r="T45" s="151"/>
      <c r="V45" s="387"/>
      <c r="W45" s="343"/>
      <c r="X45" s="343"/>
      <c r="Y45" s="343"/>
      <c r="Z45" s="343"/>
      <c r="AA45" s="343"/>
      <c r="AB45" s="343"/>
      <c r="AC45" s="343"/>
      <c r="AD45" s="343"/>
      <c r="AE45" s="343"/>
      <c r="AF45" s="343"/>
      <c r="AG45" s="343"/>
      <c r="AH45" s="343"/>
      <c r="AI45" s="343"/>
      <c r="AJ45" s="343"/>
      <c r="AK45" s="343"/>
      <c r="AL45" s="343"/>
      <c r="AM45" s="114" t="s">
        <v>15628</v>
      </c>
      <c r="AN45" s="396"/>
      <c r="AO45" s="396"/>
      <c r="AP45" s="396"/>
      <c r="AQ45" s="396"/>
      <c r="AR45" s="396"/>
      <c r="AS45" s="396"/>
      <c r="AT45" s="396"/>
      <c r="AU45" s="490"/>
      <c r="AV45" s="152"/>
      <c r="AW45" s="387"/>
      <c r="AX45" s="489">
        <f>ROUND(ROUND(R44*AS46,0)*$AU$10,0)</f>
        <v>117</v>
      </c>
      <c r="AY45" s="393"/>
    </row>
    <row r="46" spans="1:51" ht="16.5" customHeight="1" x14ac:dyDescent="0.15">
      <c r="A46" s="340">
        <v>12</v>
      </c>
      <c r="B46" s="341">
        <v>7248</v>
      </c>
      <c r="C46" s="390" t="s">
        <v>16185</v>
      </c>
      <c r="D46" s="403"/>
      <c r="E46" s="404"/>
      <c r="F46" s="404"/>
      <c r="G46" s="404"/>
      <c r="H46" s="406"/>
      <c r="R46" s="395"/>
      <c r="S46" s="151"/>
      <c r="T46" s="151"/>
      <c r="V46" s="387"/>
      <c r="W46" s="343" t="s">
        <v>15625</v>
      </c>
      <c r="X46" s="325"/>
      <c r="Y46" s="325"/>
      <c r="Z46" s="325"/>
      <c r="AA46" s="325"/>
      <c r="AB46" s="325"/>
      <c r="AC46" s="325"/>
      <c r="AD46" s="325"/>
      <c r="AE46" s="325"/>
      <c r="AF46" s="325"/>
      <c r="AG46" s="325"/>
      <c r="AH46" s="325"/>
      <c r="AI46" s="325"/>
      <c r="AJ46" s="391" t="s">
        <v>15626</v>
      </c>
      <c r="AK46" s="838">
        <f>AK44</f>
        <v>1</v>
      </c>
      <c r="AL46" s="843"/>
      <c r="AM46" s="324" t="s">
        <v>15630</v>
      </c>
      <c r="AN46" s="325"/>
      <c r="AO46" s="325"/>
      <c r="AP46" s="325"/>
      <c r="AQ46" s="325"/>
      <c r="AR46" s="190" t="s">
        <v>398</v>
      </c>
      <c r="AS46" s="844">
        <f>AS42</f>
        <v>0.85</v>
      </c>
      <c r="AT46" s="844"/>
      <c r="AU46" s="490"/>
      <c r="AV46" s="152"/>
      <c r="AW46" s="387"/>
      <c r="AX46" s="489">
        <f>ROUND(ROUND(ROUND(R44*AK46,0)*AS46,0)*$AU$10,0)</f>
        <v>117</v>
      </c>
      <c r="AY46" s="393"/>
    </row>
    <row r="47" spans="1:51" ht="17.100000000000001" customHeight="1" x14ac:dyDescent="0.15">
      <c r="A47" s="340">
        <v>12</v>
      </c>
      <c r="B47" s="341">
        <v>4151</v>
      </c>
      <c r="C47" s="390" t="s">
        <v>16186</v>
      </c>
      <c r="D47" s="403"/>
      <c r="E47" s="404"/>
      <c r="F47" s="404"/>
      <c r="G47" s="404"/>
      <c r="H47" s="406"/>
      <c r="I47" s="253" t="s">
        <v>15679</v>
      </c>
      <c r="J47" s="396"/>
      <c r="K47" s="396"/>
      <c r="L47" s="400"/>
      <c r="M47" s="400"/>
      <c r="N47" s="400"/>
      <c r="O47" s="400"/>
      <c r="P47" s="400"/>
      <c r="Q47" s="396"/>
      <c r="R47" s="396"/>
      <c r="S47" s="396"/>
      <c r="T47" s="396"/>
      <c r="U47" s="396"/>
      <c r="V47" s="397"/>
      <c r="W47" s="343"/>
      <c r="X47" s="343"/>
      <c r="Y47" s="343"/>
      <c r="Z47" s="343"/>
      <c r="AA47" s="343"/>
      <c r="AB47" s="343"/>
      <c r="AC47" s="343"/>
      <c r="AD47" s="343"/>
      <c r="AE47" s="343"/>
      <c r="AF47" s="343"/>
      <c r="AG47" s="343"/>
      <c r="AH47" s="343"/>
      <c r="AI47" s="343"/>
      <c r="AJ47" s="343"/>
      <c r="AK47" s="343"/>
      <c r="AL47" s="407"/>
      <c r="AM47" s="396"/>
      <c r="AN47" s="396"/>
      <c r="AO47" s="396"/>
      <c r="AP47" s="396"/>
      <c r="AQ47" s="396"/>
      <c r="AR47" s="396"/>
      <c r="AS47" s="396"/>
      <c r="AT47" s="396"/>
      <c r="AU47" s="490"/>
      <c r="AV47" s="152"/>
      <c r="AW47" s="387"/>
      <c r="AX47" s="489">
        <f>ROUND(R48*$AU$10,0)</f>
        <v>149</v>
      </c>
      <c r="AY47" s="393"/>
    </row>
    <row r="48" spans="1:51" ht="16.5" customHeight="1" x14ac:dyDescent="0.15">
      <c r="A48" s="340">
        <v>12</v>
      </c>
      <c r="B48" s="341">
        <v>4152</v>
      </c>
      <c r="C48" s="390" t="s">
        <v>16187</v>
      </c>
      <c r="D48" s="403"/>
      <c r="E48" s="404"/>
      <c r="F48" s="404"/>
      <c r="G48" s="404"/>
      <c r="H48" s="406"/>
      <c r="R48" s="836">
        <f>'2重度訪問'!U48</f>
        <v>99</v>
      </c>
      <c r="S48" s="837"/>
      <c r="T48" s="837"/>
      <c r="U48" s="152" t="s">
        <v>15624</v>
      </c>
      <c r="V48" s="387"/>
      <c r="W48" s="343" t="s">
        <v>15625</v>
      </c>
      <c r="X48" s="325"/>
      <c r="Y48" s="325"/>
      <c r="Z48" s="325"/>
      <c r="AA48" s="325"/>
      <c r="AB48" s="325"/>
      <c r="AC48" s="325"/>
      <c r="AD48" s="325"/>
      <c r="AE48" s="325"/>
      <c r="AF48" s="325"/>
      <c r="AG48" s="325"/>
      <c r="AH48" s="325"/>
      <c r="AI48" s="325"/>
      <c r="AJ48" s="391" t="s">
        <v>15626</v>
      </c>
      <c r="AK48" s="838">
        <f>AK46</f>
        <v>1</v>
      </c>
      <c r="AL48" s="839"/>
      <c r="AM48" s="325"/>
      <c r="AN48" s="325"/>
      <c r="AO48" s="325"/>
      <c r="AP48" s="325"/>
      <c r="AQ48" s="325"/>
      <c r="AR48" s="325"/>
      <c r="AS48" s="325"/>
      <c r="AT48" s="391"/>
      <c r="AU48" s="490"/>
      <c r="AV48" s="152"/>
      <c r="AW48" s="387"/>
      <c r="AX48" s="489">
        <f>ROUND(ROUND(R48*AK48,0)*$AU$10,0)</f>
        <v>149</v>
      </c>
      <c r="AY48" s="393"/>
    </row>
    <row r="49" spans="1:51" ht="16.5" customHeight="1" x14ac:dyDescent="0.15">
      <c r="A49" s="340">
        <v>12</v>
      </c>
      <c r="B49" s="341">
        <v>7249</v>
      </c>
      <c r="C49" s="390" t="s">
        <v>16188</v>
      </c>
      <c r="D49" s="403"/>
      <c r="E49" s="404"/>
      <c r="F49" s="404"/>
      <c r="G49" s="404"/>
      <c r="H49" s="406"/>
      <c r="R49" s="395"/>
      <c r="S49" s="151"/>
      <c r="T49" s="151"/>
      <c r="V49" s="387"/>
      <c r="W49" s="343"/>
      <c r="X49" s="343"/>
      <c r="Y49" s="343"/>
      <c r="Z49" s="343"/>
      <c r="AA49" s="343"/>
      <c r="AB49" s="343"/>
      <c r="AC49" s="343"/>
      <c r="AD49" s="343"/>
      <c r="AE49" s="343"/>
      <c r="AF49" s="343"/>
      <c r="AG49" s="343"/>
      <c r="AH49" s="343"/>
      <c r="AI49" s="343"/>
      <c r="AJ49" s="343"/>
      <c r="AK49" s="343"/>
      <c r="AL49" s="343"/>
      <c r="AM49" s="114" t="s">
        <v>15628</v>
      </c>
      <c r="AN49" s="396"/>
      <c r="AO49" s="396"/>
      <c r="AP49" s="396"/>
      <c r="AQ49" s="396"/>
      <c r="AR49" s="396"/>
      <c r="AS49" s="396"/>
      <c r="AT49" s="396"/>
      <c r="AU49" s="490"/>
      <c r="AV49" s="152"/>
      <c r="AW49" s="387"/>
      <c r="AX49" s="489">
        <f>ROUND(ROUND(R48*AS50,0)*$AU$10,0)</f>
        <v>126</v>
      </c>
      <c r="AY49" s="393"/>
    </row>
    <row r="50" spans="1:51" ht="16.5" customHeight="1" x14ac:dyDescent="0.15">
      <c r="A50" s="340">
        <v>12</v>
      </c>
      <c r="B50" s="341">
        <v>7250</v>
      </c>
      <c r="C50" s="390" t="s">
        <v>16189</v>
      </c>
      <c r="D50" s="403"/>
      <c r="E50" s="404"/>
      <c r="F50" s="404"/>
      <c r="G50" s="404"/>
      <c r="H50" s="406"/>
      <c r="R50" s="395"/>
      <c r="S50" s="151"/>
      <c r="T50" s="151"/>
      <c r="V50" s="387"/>
      <c r="W50" s="343" t="s">
        <v>15625</v>
      </c>
      <c r="X50" s="325"/>
      <c r="Y50" s="325"/>
      <c r="Z50" s="325"/>
      <c r="AA50" s="325"/>
      <c r="AB50" s="325"/>
      <c r="AC50" s="325"/>
      <c r="AD50" s="325"/>
      <c r="AE50" s="325"/>
      <c r="AF50" s="325"/>
      <c r="AG50" s="325"/>
      <c r="AH50" s="325"/>
      <c r="AI50" s="325"/>
      <c r="AJ50" s="391" t="s">
        <v>15626</v>
      </c>
      <c r="AK50" s="838">
        <f>AK48</f>
        <v>1</v>
      </c>
      <c r="AL50" s="843"/>
      <c r="AM50" s="324" t="s">
        <v>15630</v>
      </c>
      <c r="AN50" s="325"/>
      <c r="AO50" s="325"/>
      <c r="AP50" s="325"/>
      <c r="AQ50" s="325"/>
      <c r="AR50" s="190" t="s">
        <v>398</v>
      </c>
      <c r="AS50" s="844">
        <f>AS46</f>
        <v>0.85</v>
      </c>
      <c r="AT50" s="844"/>
      <c r="AU50" s="490"/>
      <c r="AV50" s="152"/>
      <c r="AW50" s="387"/>
      <c r="AX50" s="489">
        <f>ROUND(ROUND(ROUND(R48*AK50,0)*AS50,0)*$AU$10,0)</f>
        <v>126</v>
      </c>
      <c r="AY50" s="393"/>
    </row>
    <row r="51" spans="1:51" ht="17.100000000000001" customHeight="1" x14ac:dyDescent="0.15">
      <c r="A51" s="340">
        <v>12</v>
      </c>
      <c r="B51" s="341">
        <v>4161</v>
      </c>
      <c r="C51" s="390" t="s">
        <v>16190</v>
      </c>
      <c r="D51" s="403"/>
      <c r="E51" s="404"/>
      <c r="F51" s="404"/>
      <c r="G51" s="404"/>
      <c r="H51" s="406"/>
      <c r="I51" s="253" t="s">
        <v>15684</v>
      </c>
      <c r="J51" s="396"/>
      <c r="K51" s="396"/>
      <c r="L51" s="400"/>
      <c r="M51" s="400"/>
      <c r="N51" s="400"/>
      <c r="O51" s="400"/>
      <c r="P51" s="400"/>
      <c r="Q51" s="396"/>
      <c r="R51" s="396"/>
      <c r="S51" s="396"/>
      <c r="T51" s="396"/>
      <c r="U51" s="396"/>
      <c r="V51" s="397"/>
      <c r="W51" s="343"/>
      <c r="X51" s="343"/>
      <c r="Y51" s="343"/>
      <c r="Z51" s="343"/>
      <c r="AA51" s="343"/>
      <c r="AB51" s="343"/>
      <c r="AC51" s="343"/>
      <c r="AD51" s="343"/>
      <c r="AE51" s="343"/>
      <c r="AF51" s="343"/>
      <c r="AG51" s="343"/>
      <c r="AH51" s="343"/>
      <c r="AI51" s="343"/>
      <c r="AJ51" s="343"/>
      <c r="AK51" s="343"/>
      <c r="AL51" s="407"/>
      <c r="AM51" s="396"/>
      <c r="AN51" s="396"/>
      <c r="AO51" s="396"/>
      <c r="AP51" s="396"/>
      <c r="AQ51" s="396"/>
      <c r="AR51" s="396"/>
      <c r="AS51" s="396"/>
      <c r="AT51" s="396"/>
      <c r="AU51" s="490"/>
      <c r="AV51" s="152"/>
      <c r="AW51" s="387"/>
      <c r="AX51" s="489">
        <f>ROUND(R52*$AU$10,0)</f>
        <v>138</v>
      </c>
      <c r="AY51" s="393"/>
    </row>
    <row r="52" spans="1:51" ht="16.5" customHeight="1" x14ac:dyDescent="0.15">
      <c r="A52" s="340">
        <v>12</v>
      </c>
      <c r="B52" s="341">
        <v>4162</v>
      </c>
      <c r="C52" s="390" t="s">
        <v>16191</v>
      </c>
      <c r="D52" s="403"/>
      <c r="E52" s="404"/>
      <c r="F52" s="404"/>
      <c r="G52" s="404"/>
      <c r="H52" s="406"/>
      <c r="R52" s="836">
        <f>'2重度訪問'!U52</f>
        <v>92</v>
      </c>
      <c r="S52" s="837"/>
      <c r="T52" s="837"/>
      <c r="U52" s="152" t="s">
        <v>15624</v>
      </c>
      <c r="V52" s="387"/>
      <c r="W52" s="343" t="s">
        <v>15625</v>
      </c>
      <c r="X52" s="325"/>
      <c r="Y52" s="325"/>
      <c r="Z52" s="325"/>
      <c r="AA52" s="325"/>
      <c r="AB52" s="325"/>
      <c r="AC52" s="325"/>
      <c r="AD52" s="325"/>
      <c r="AE52" s="325"/>
      <c r="AF52" s="325"/>
      <c r="AG52" s="325"/>
      <c r="AH52" s="325"/>
      <c r="AI52" s="325"/>
      <c r="AJ52" s="391" t="s">
        <v>15626</v>
      </c>
      <c r="AK52" s="838">
        <f>AK50</f>
        <v>1</v>
      </c>
      <c r="AL52" s="839"/>
      <c r="AM52" s="325"/>
      <c r="AN52" s="325"/>
      <c r="AO52" s="325"/>
      <c r="AP52" s="325"/>
      <c r="AQ52" s="325"/>
      <c r="AR52" s="325"/>
      <c r="AS52" s="325"/>
      <c r="AT52" s="391"/>
      <c r="AU52" s="490"/>
      <c r="AV52" s="152"/>
      <c r="AW52" s="387"/>
      <c r="AX52" s="489">
        <f>ROUND(ROUND(R52*AK52,0)*$AU$10,0)</f>
        <v>138</v>
      </c>
      <c r="AY52" s="393"/>
    </row>
    <row r="53" spans="1:51" ht="16.5" customHeight="1" x14ac:dyDescent="0.15">
      <c r="A53" s="340">
        <v>12</v>
      </c>
      <c r="B53" s="341">
        <v>7251</v>
      </c>
      <c r="C53" s="390" t="s">
        <v>16192</v>
      </c>
      <c r="D53" s="408"/>
      <c r="E53" s="409"/>
      <c r="F53" s="409"/>
      <c r="G53" s="409"/>
      <c r="H53" s="411"/>
      <c r="R53" s="395"/>
      <c r="S53" s="151"/>
      <c r="T53" s="151"/>
      <c r="V53" s="387"/>
      <c r="W53" s="343"/>
      <c r="X53" s="343"/>
      <c r="Y53" s="343"/>
      <c r="Z53" s="343"/>
      <c r="AA53" s="343"/>
      <c r="AB53" s="343"/>
      <c r="AC53" s="343"/>
      <c r="AD53" s="343"/>
      <c r="AE53" s="343"/>
      <c r="AF53" s="343"/>
      <c r="AG53" s="343"/>
      <c r="AH53" s="343"/>
      <c r="AI53" s="343"/>
      <c r="AJ53" s="343"/>
      <c r="AK53" s="343"/>
      <c r="AL53" s="343"/>
      <c r="AM53" s="114" t="s">
        <v>15628</v>
      </c>
      <c r="AN53" s="396"/>
      <c r="AO53" s="396"/>
      <c r="AP53" s="396"/>
      <c r="AQ53" s="396"/>
      <c r="AR53" s="396"/>
      <c r="AS53" s="396"/>
      <c r="AT53" s="396"/>
      <c r="AU53" s="490"/>
      <c r="AV53" s="152"/>
      <c r="AW53" s="387"/>
      <c r="AX53" s="489">
        <f>ROUND(ROUND(R52*AS54,0)*$AU$10,0)</f>
        <v>117</v>
      </c>
      <c r="AY53" s="393"/>
    </row>
    <row r="54" spans="1:51" ht="16.5" customHeight="1" x14ac:dyDescent="0.15">
      <c r="A54" s="340">
        <v>12</v>
      </c>
      <c r="B54" s="341">
        <v>7252</v>
      </c>
      <c r="C54" s="390" t="s">
        <v>16193</v>
      </c>
      <c r="D54" s="412"/>
      <c r="E54" s="413"/>
      <c r="F54" s="413"/>
      <c r="G54" s="413"/>
      <c r="H54" s="415"/>
      <c r="I54" s="325"/>
      <c r="J54" s="325"/>
      <c r="K54" s="325"/>
      <c r="L54" s="325"/>
      <c r="M54" s="325"/>
      <c r="N54" s="325"/>
      <c r="O54" s="325"/>
      <c r="P54" s="325"/>
      <c r="Q54" s="325"/>
      <c r="R54" s="416"/>
      <c r="S54" s="417"/>
      <c r="T54" s="417"/>
      <c r="U54" s="325"/>
      <c r="V54" s="388"/>
      <c r="W54" s="343" t="s">
        <v>15625</v>
      </c>
      <c r="X54" s="325"/>
      <c r="Y54" s="325"/>
      <c r="Z54" s="325"/>
      <c r="AA54" s="325"/>
      <c r="AB54" s="325"/>
      <c r="AC54" s="325"/>
      <c r="AD54" s="325"/>
      <c r="AE54" s="325"/>
      <c r="AF54" s="325"/>
      <c r="AG54" s="325"/>
      <c r="AH54" s="325"/>
      <c r="AI54" s="325"/>
      <c r="AJ54" s="391" t="s">
        <v>15626</v>
      </c>
      <c r="AK54" s="838">
        <f>AK52</f>
        <v>1</v>
      </c>
      <c r="AL54" s="843"/>
      <c r="AM54" s="324" t="s">
        <v>15630</v>
      </c>
      <c r="AN54" s="325"/>
      <c r="AO54" s="325"/>
      <c r="AP54" s="325"/>
      <c r="AQ54" s="325"/>
      <c r="AR54" s="190" t="s">
        <v>398</v>
      </c>
      <c r="AS54" s="844">
        <f>AS50</f>
        <v>0.85</v>
      </c>
      <c r="AT54" s="844"/>
      <c r="AU54" s="324"/>
      <c r="AV54" s="325"/>
      <c r="AW54" s="388"/>
      <c r="AX54" s="491">
        <f>ROUND(ROUND(ROUND(R52*AK54,0)*AS54,0)*$AU$10,0)</f>
        <v>117</v>
      </c>
      <c r="AY54" s="418"/>
    </row>
    <row r="55" spans="1:51" ht="17.100000000000001" customHeight="1" x14ac:dyDescent="0.15">
      <c r="A55" s="340">
        <v>12</v>
      </c>
      <c r="B55" s="341">
        <v>4271</v>
      </c>
      <c r="C55" s="390" t="s">
        <v>16194</v>
      </c>
      <c r="D55" s="857" t="s">
        <v>15689</v>
      </c>
      <c r="E55" s="858"/>
      <c r="F55" s="858"/>
      <c r="G55" s="858"/>
      <c r="H55" s="860"/>
      <c r="I55" s="10" t="s">
        <v>15690</v>
      </c>
      <c r="L55" s="151"/>
      <c r="M55" s="151"/>
      <c r="N55" s="151"/>
      <c r="O55" s="151"/>
      <c r="P55" s="151"/>
      <c r="V55" s="387"/>
      <c r="W55" s="343"/>
      <c r="X55" s="343"/>
      <c r="Y55" s="343"/>
      <c r="Z55" s="343"/>
      <c r="AA55" s="343"/>
      <c r="AB55" s="343"/>
      <c r="AC55" s="343"/>
      <c r="AD55" s="343"/>
      <c r="AE55" s="343"/>
      <c r="AF55" s="343"/>
      <c r="AG55" s="343"/>
      <c r="AH55" s="343"/>
      <c r="AI55" s="343"/>
      <c r="AJ55" s="343"/>
      <c r="AK55" s="343"/>
      <c r="AL55" s="407"/>
      <c r="AM55" s="396"/>
      <c r="AN55" s="396"/>
      <c r="AO55" s="396"/>
      <c r="AP55" s="396"/>
      <c r="AQ55" s="396"/>
      <c r="AR55" s="396"/>
      <c r="AS55" s="396"/>
      <c r="AT55" s="396"/>
      <c r="AU55" s="753" t="s">
        <v>862</v>
      </c>
      <c r="AV55" s="742"/>
      <c r="AW55" s="714"/>
      <c r="AX55" s="489">
        <f>ROUND(ROUND(R56,0)*$AU$58,0)</f>
        <v>302</v>
      </c>
      <c r="AY55" s="329" t="s">
        <v>15622</v>
      </c>
    </row>
    <row r="56" spans="1:51" ht="16.5" customHeight="1" x14ac:dyDescent="0.15">
      <c r="A56" s="340">
        <v>12</v>
      </c>
      <c r="B56" s="341">
        <v>4272</v>
      </c>
      <c r="C56" s="390" t="s">
        <v>16195</v>
      </c>
      <c r="D56" s="849"/>
      <c r="E56" s="850"/>
      <c r="F56" s="850"/>
      <c r="G56" s="850"/>
      <c r="H56" s="852"/>
      <c r="R56" s="836">
        <f>'2重度訪問'!U56</f>
        <v>201</v>
      </c>
      <c r="S56" s="837"/>
      <c r="T56" s="837"/>
      <c r="U56" s="152" t="s">
        <v>15624</v>
      </c>
      <c r="V56" s="387"/>
      <c r="W56" s="343" t="s">
        <v>15625</v>
      </c>
      <c r="X56" s="325"/>
      <c r="Y56" s="325"/>
      <c r="Z56" s="325"/>
      <c r="AA56" s="325"/>
      <c r="AB56" s="325"/>
      <c r="AC56" s="325"/>
      <c r="AD56" s="325"/>
      <c r="AE56" s="325"/>
      <c r="AF56" s="325"/>
      <c r="AG56" s="325"/>
      <c r="AH56" s="325"/>
      <c r="AI56" s="325"/>
      <c r="AJ56" s="391" t="s">
        <v>15626</v>
      </c>
      <c r="AK56" s="838">
        <f>AK54</f>
        <v>1</v>
      </c>
      <c r="AL56" s="839"/>
      <c r="AM56" s="325"/>
      <c r="AN56" s="325"/>
      <c r="AO56" s="325"/>
      <c r="AP56" s="325"/>
      <c r="AQ56" s="325"/>
      <c r="AR56" s="325"/>
      <c r="AS56" s="325"/>
      <c r="AT56" s="325"/>
      <c r="AU56" s="754"/>
      <c r="AV56" s="744"/>
      <c r="AW56" s="716"/>
      <c r="AX56" s="489">
        <f>ROUND(ROUND(R56*AK56,0)*$AU$58,0)</f>
        <v>302</v>
      </c>
      <c r="AY56" s="393"/>
    </row>
    <row r="57" spans="1:51" ht="16.5" customHeight="1" x14ac:dyDescent="0.15">
      <c r="A57" s="340">
        <v>12</v>
      </c>
      <c r="B57" s="341">
        <v>7253</v>
      </c>
      <c r="C57" s="390" t="s">
        <v>16196</v>
      </c>
      <c r="D57" s="849"/>
      <c r="E57" s="850"/>
      <c r="F57" s="850"/>
      <c r="G57" s="850"/>
      <c r="H57" s="852"/>
      <c r="R57" s="395"/>
      <c r="S57" s="151"/>
      <c r="T57" s="151"/>
      <c r="V57" s="387"/>
      <c r="W57" s="343"/>
      <c r="X57" s="343"/>
      <c r="Y57" s="343"/>
      <c r="Z57" s="343"/>
      <c r="AA57" s="343"/>
      <c r="AB57" s="343"/>
      <c r="AC57" s="343"/>
      <c r="AD57" s="343"/>
      <c r="AE57" s="343"/>
      <c r="AF57" s="343"/>
      <c r="AG57" s="343"/>
      <c r="AH57" s="343"/>
      <c r="AI57" s="343"/>
      <c r="AJ57" s="343"/>
      <c r="AK57" s="343"/>
      <c r="AL57" s="343"/>
      <c r="AM57" s="114" t="s">
        <v>15628</v>
      </c>
      <c r="AN57" s="396"/>
      <c r="AO57" s="396"/>
      <c r="AP57" s="396"/>
      <c r="AQ57" s="396"/>
      <c r="AR57" s="396"/>
      <c r="AS57" s="396"/>
      <c r="AT57" s="396"/>
      <c r="AU57" s="893" t="s">
        <v>398</v>
      </c>
      <c r="AV57" s="894"/>
      <c r="AW57" s="895"/>
      <c r="AX57" s="489">
        <f>ROUND(ROUND(R56*AS58,0)*$AU$58,0)</f>
        <v>257</v>
      </c>
      <c r="AY57" s="393"/>
    </row>
    <row r="58" spans="1:51" ht="16.5" customHeight="1" x14ac:dyDescent="0.15">
      <c r="A58" s="340">
        <v>12</v>
      </c>
      <c r="B58" s="341">
        <v>7254</v>
      </c>
      <c r="C58" s="390" t="s">
        <v>16197</v>
      </c>
      <c r="D58" s="849"/>
      <c r="E58" s="850"/>
      <c r="F58" s="850"/>
      <c r="G58" s="850"/>
      <c r="H58" s="852"/>
      <c r="R58" s="395"/>
      <c r="S58" s="151"/>
      <c r="T58" s="151"/>
      <c r="V58" s="387"/>
      <c r="W58" s="343" t="s">
        <v>15625</v>
      </c>
      <c r="X58" s="325"/>
      <c r="Y58" s="325"/>
      <c r="Z58" s="325"/>
      <c r="AA58" s="325"/>
      <c r="AB58" s="325"/>
      <c r="AC58" s="325"/>
      <c r="AD58" s="325"/>
      <c r="AE58" s="325"/>
      <c r="AF58" s="325"/>
      <c r="AG58" s="325"/>
      <c r="AH58" s="325"/>
      <c r="AI58" s="325"/>
      <c r="AJ58" s="391" t="s">
        <v>15626</v>
      </c>
      <c r="AK58" s="838">
        <f>AK56</f>
        <v>1</v>
      </c>
      <c r="AL58" s="843"/>
      <c r="AM58" s="324" t="s">
        <v>15630</v>
      </c>
      <c r="AN58" s="325"/>
      <c r="AO58" s="325"/>
      <c r="AP58" s="325"/>
      <c r="AQ58" s="325"/>
      <c r="AR58" s="190" t="s">
        <v>398</v>
      </c>
      <c r="AS58" s="844">
        <f>AS54</f>
        <v>0.85</v>
      </c>
      <c r="AT58" s="844"/>
      <c r="AU58" s="896">
        <f>AU10</f>
        <v>1.5</v>
      </c>
      <c r="AV58" s="897"/>
      <c r="AW58" s="898"/>
      <c r="AX58" s="489">
        <f>ROUND(ROUND(ROUND(R56*AK58,0)*AS58,0)*$AU$58,0)</f>
        <v>257</v>
      </c>
      <c r="AY58" s="393"/>
    </row>
    <row r="59" spans="1:51" ht="17.100000000000001" customHeight="1" x14ac:dyDescent="0.15">
      <c r="A59" s="340">
        <v>12</v>
      </c>
      <c r="B59" s="341">
        <v>4281</v>
      </c>
      <c r="C59" s="390" t="s">
        <v>16198</v>
      </c>
      <c r="D59" s="832" t="s">
        <v>15632</v>
      </c>
      <c r="E59" s="833"/>
      <c r="F59" s="833"/>
      <c r="G59" s="833"/>
      <c r="H59" s="835"/>
      <c r="I59" s="253" t="s">
        <v>15695</v>
      </c>
      <c r="J59" s="396"/>
      <c r="K59" s="396"/>
      <c r="L59" s="396"/>
      <c r="M59" s="396"/>
      <c r="N59" s="396"/>
      <c r="O59" s="396"/>
      <c r="P59" s="396"/>
      <c r="Q59" s="396"/>
      <c r="R59" s="399"/>
      <c r="S59" s="400"/>
      <c r="T59" s="400"/>
      <c r="U59" s="396"/>
      <c r="V59" s="397"/>
      <c r="W59" s="343"/>
      <c r="X59" s="325"/>
      <c r="Y59" s="325"/>
      <c r="Z59" s="325"/>
      <c r="AA59" s="325"/>
      <c r="AB59" s="325"/>
      <c r="AC59" s="325"/>
      <c r="AD59" s="325"/>
      <c r="AE59" s="325"/>
      <c r="AF59" s="325"/>
      <c r="AG59" s="325"/>
      <c r="AH59" s="325"/>
      <c r="AI59" s="325"/>
      <c r="AJ59" s="391"/>
      <c r="AK59" s="401"/>
      <c r="AL59" s="402"/>
      <c r="AU59" s="490"/>
      <c r="AV59" s="152"/>
      <c r="AW59" s="387"/>
      <c r="AX59" s="489">
        <f>ROUND(ROUND(R60,0)*$AU$58,0)</f>
        <v>147</v>
      </c>
      <c r="AY59" s="393"/>
    </row>
    <row r="60" spans="1:51" ht="16.5" customHeight="1" x14ac:dyDescent="0.15">
      <c r="A60" s="340">
        <v>12</v>
      </c>
      <c r="B60" s="341">
        <v>4282</v>
      </c>
      <c r="C60" s="390" t="s">
        <v>16199</v>
      </c>
      <c r="D60" s="832"/>
      <c r="E60" s="833"/>
      <c r="F60" s="833"/>
      <c r="G60" s="833"/>
      <c r="H60" s="835"/>
      <c r="R60" s="836">
        <f>'2重度訪問'!U60</f>
        <v>98</v>
      </c>
      <c r="S60" s="837"/>
      <c r="T60" s="837"/>
      <c r="U60" s="152" t="s">
        <v>15624</v>
      </c>
      <c r="V60" s="387"/>
      <c r="W60" s="343" t="s">
        <v>15625</v>
      </c>
      <c r="X60" s="325"/>
      <c r="Y60" s="325"/>
      <c r="Z60" s="325"/>
      <c r="AA60" s="325"/>
      <c r="AB60" s="325"/>
      <c r="AC60" s="325"/>
      <c r="AD60" s="325"/>
      <c r="AE60" s="325"/>
      <c r="AF60" s="325"/>
      <c r="AG60" s="325"/>
      <c r="AH60" s="325"/>
      <c r="AI60" s="325"/>
      <c r="AJ60" s="391" t="s">
        <v>15626</v>
      </c>
      <c r="AK60" s="838">
        <f>AK58</f>
        <v>1</v>
      </c>
      <c r="AL60" s="839"/>
      <c r="AU60" s="490"/>
      <c r="AV60" s="152"/>
      <c r="AW60" s="387"/>
      <c r="AX60" s="489">
        <f>ROUND(ROUND(R60*AK60,0)*$AU$58,0)</f>
        <v>147</v>
      </c>
      <c r="AY60" s="393"/>
    </row>
    <row r="61" spans="1:51" ht="16.5" customHeight="1" x14ac:dyDescent="0.15">
      <c r="A61" s="340">
        <v>12</v>
      </c>
      <c r="B61" s="341">
        <v>7255</v>
      </c>
      <c r="C61" s="390" t="s">
        <v>16200</v>
      </c>
      <c r="D61" s="403"/>
      <c r="E61" s="404" t="s">
        <v>15636</v>
      </c>
      <c r="F61" s="854">
        <f>'2重度訪問'!$F$61</f>
        <v>1.085</v>
      </c>
      <c r="G61" s="855"/>
      <c r="H61" s="856"/>
      <c r="R61" s="395"/>
      <c r="S61" s="151"/>
      <c r="T61" s="151"/>
      <c r="V61" s="387"/>
      <c r="W61" s="343"/>
      <c r="X61" s="343"/>
      <c r="Y61" s="343"/>
      <c r="Z61" s="343"/>
      <c r="AA61" s="343"/>
      <c r="AB61" s="343"/>
      <c r="AC61" s="343"/>
      <c r="AD61" s="343"/>
      <c r="AE61" s="343"/>
      <c r="AF61" s="343"/>
      <c r="AG61" s="343"/>
      <c r="AH61" s="343"/>
      <c r="AI61" s="343"/>
      <c r="AJ61" s="343"/>
      <c r="AK61" s="343"/>
      <c r="AL61" s="343"/>
      <c r="AM61" s="114" t="s">
        <v>15628</v>
      </c>
      <c r="AN61" s="396"/>
      <c r="AO61" s="396"/>
      <c r="AP61" s="396"/>
      <c r="AQ61" s="396"/>
      <c r="AR61" s="396"/>
      <c r="AS61" s="396"/>
      <c r="AT61" s="396"/>
      <c r="AU61" s="490"/>
      <c r="AV61" s="152"/>
      <c r="AW61" s="387"/>
      <c r="AX61" s="489">
        <f>ROUND(ROUND(R60*AS62,0)*$AU$58,0)</f>
        <v>125</v>
      </c>
      <c r="AY61" s="393"/>
    </row>
    <row r="62" spans="1:51" ht="16.5" customHeight="1" x14ac:dyDescent="0.15">
      <c r="A62" s="340">
        <v>12</v>
      </c>
      <c r="B62" s="341">
        <v>7256</v>
      </c>
      <c r="C62" s="390" t="s">
        <v>16201</v>
      </c>
      <c r="D62" s="403"/>
      <c r="E62" s="404"/>
      <c r="F62" s="404"/>
      <c r="G62" s="404"/>
      <c r="H62" s="406"/>
      <c r="R62" s="395"/>
      <c r="S62" s="151"/>
      <c r="T62" s="151"/>
      <c r="V62" s="387"/>
      <c r="W62" s="343" t="s">
        <v>15625</v>
      </c>
      <c r="X62" s="325"/>
      <c r="Y62" s="325"/>
      <c r="Z62" s="325"/>
      <c r="AA62" s="325"/>
      <c r="AB62" s="325"/>
      <c r="AC62" s="325"/>
      <c r="AD62" s="325"/>
      <c r="AE62" s="325"/>
      <c r="AF62" s="325"/>
      <c r="AG62" s="325"/>
      <c r="AH62" s="325"/>
      <c r="AI62" s="325"/>
      <c r="AJ62" s="391" t="s">
        <v>15626</v>
      </c>
      <c r="AK62" s="838">
        <f>AK60</f>
        <v>1</v>
      </c>
      <c r="AL62" s="843"/>
      <c r="AM62" s="324" t="s">
        <v>15630</v>
      </c>
      <c r="AN62" s="325"/>
      <c r="AO62" s="325"/>
      <c r="AP62" s="325"/>
      <c r="AQ62" s="325"/>
      <c r="AR62" s="190" t="s">
        <v>398</v>
      </c>
      <c r="AS62" s="844">
        <f>AS58</f>
        <v>0.85</v>
      </c>
      <c r="AT62" s="844"/>
      <c r="AU62" s="490"/>
      <c r="AV62" s="152"/>
      <c r="AW62" s="387"/>
      <c r="AX62" s="489">
        <f>ROUND(ROUND(ROUND(R60*AK62,0)*AS62,0)*$AU$58,0)</f>
        <v>125</v>
      </c>
      <c r="AY62" s="393"/>
    </row>
    <row r="63" spans="1:51" ht="16.5" customHeight="1" x14ac:dyDescent="0.15">
      <c r="A63" s="340">
        <v>12</v>
      </c>
      <c r="B63" s="341">
        <v>4441</v>
      </c>
      <c r="C63" s="390" t="s">
        <v>16202</v>
      </c>
      <c r="D63" s="403"/>
      <c r="E63" s="404"/>
      <c r="F63" s="404"/>
      <c r="G63" s="404"/>
      <c r="H63" s="406"/>
      <c r="I63" s="253" t="s">
        <v>15639</v>
      </c>
      <c r="J63" s="396"/>
      <c r="K63" s="396"/>
      <c r="L63" s="396"/>
      <c r="M63" s="396"/>
      <c r="N63" s="396"/>
      <c r="O63" s="396"/>
      <c r="P63" s="396"/>
      <c r="Q63" s="396"/>
      <c r="R63" s="399"/>
      <c r="S63" s="400"/>
      <c r="T63" s="400"/>
      <c r="U63" s="396"/>
      <c r="V63" s="397"/>
      <c r="W63" s="343"/>
      <c r="X63" s="325"/>
      <c r="Y63" s="325"/>
      <c r="Z63" s="325"/>
      <c r="AA63" s="325"/>
      <c r="AB63" s="325"/>
      <c r="AC63" s="325"/>
      <c r="AD63" s="325"/>
      <c r="AE63" s="325"/>
      <c r="AF63" s="325"/>
      <c r="AG63" s="325"/>
      <c r="AH63" s="325"/>
      <c r="AI63" s="325"/>
      <c r="AJ63" s="391"/>
      <c r="AK63" s="401"/>
      <c r="AL63" s="402"/>
      <c r="AM63" s="396"/>
      <c r="AN63" s="396"/>
      <c r="AO63" s="396"/>
      <c r="AP63" s="396"/>
      <c r="AQ63" s="396"/>
      <c r="AR63" s="396"/>
      <c r="AS63" s="396"/>
      <c r="AT63" s="396"/>
      <c r="AU63" s="490"/>
      <c r="AV63" s="152"/>
      <c r="AW63" s="387"/>
      <c r="AX63" s="489">
        <f>ROUND(ROUND(R64,0)*$AU$58,0)</f>
        <v>150</v>
      </c>
      <c r="AY63" s="393"/>
    </row>
    <row r="64" spans="1:51" ht="16.5" customHeight="1" x14ac:dyDescent="0.15">
      <c r="A64" s="340">
        <v>12</v>
      </c>
      <c r="B64" s="341">
        <v>4442</v>
      </c>
      <c r="C64" s="390" t="s">
        <v>16203</v>
      </c>
      <c r="D64" s="403"/>
      <c r="E64" s="404"/>
      <c r="F64" s="404"/>
      <c r="G64" s="404"/>
      <c r="H64" s="406"/>
      <c r="R64" s="836">
        <f>'2重度訪問'!U64</f>
        <v>100</v>
      </c>
      <c r="S64" s="837"/>
      <c r="T64" s="837"/>
      <c r="U64" s="152" t="s">
        <v>15624</v>
      </c>
      <c r="V64" s="387"/>
      <c r="W64" s="343" t="s">
        <v>15625</v>
      </c>
      <c r="X64" s="325"/>
      <c r="Y64" s="325"/>
      <c r="Z64" s="325"/>
      <c r="AA64" s="325"/>
      <c r="AB64" s="325"/>
      <c r="AC64" s="325"/>
      <c r="AD64" s="325"/>
      <c r="AE64" s="325"/>
      <c r="AF64" s="325"/>
      <c r="AG64" s="325"/>
      <c r="AH64" s="325"/>
      <c r="AI64" s="325"/>
      <c r="AJ64" s="391" t="s">
        <v>15626</v>
      </c>
      <c r="AK64" s="838">
        <f>AK62</f>
        <v>1</v>
      </c>
      <c r="AL64" s="839"/>
      <c r="AM64" s="325"/>
      <c r="AN64" s="325"/>
      <c r="AO64" s="325"/>
      <c r="AP64" s="325"/>
      <c r="AQ64" s="325"/>
      <c r="AR64" s="325"/>
      <c r="AS64" s="325"/>
      <c r="AT64" s="325"/>
      <c r="AU64" s="490"/>
      <c r="AV64" s="152"/>
      <c r="AW64" s="387"/>
      <c r="AX64" s="489">
        <f>ROUND(ROUND(R64*AK64,0)*$AU$58,0)</f>
        <v>150</v>
      </c>
      <c r="AY64" s="393"/>
    </row>
    <row r="65" spans="1:51" ht="16.5" customHeight="1" x14ac:dyDescent="0.15">
      <c r="A65" s="340">
        <v>12</v>
      </c>
      <c r="B65" s="341">
        <v>7257</v>
      </c>
      <c r="C65" s="390" t="s">
        <v>16204</v>
      </c>
      <c r="D65" s="403"/>
      <c r="E65" s="404"/>
      <c r="F65" s="404"/>
      <c r="G65" s="404"/>
      <c r="H65" s="406"/>
      <c r="R65" s="395"/>
      <c r="S65" s="151"/>
      <c r="T65" s="151"/>
      <c r="V65" s="387"/>
      <c r="W65" s="343"/>
      <c r="X65" s="343"/>
      <c r="Y65" s="343"/>
      <c r="Z65" s="343"/>
      <c r="AA65" s="343"/>
      <c r="AB65" s="343"/>
      <c r="AC65" s="343"/>
      <c r="AD65" s="343"/>
      <c r="AE65" s="343"/>
      <c r="AF65" s="343"/>
      <c r="AG65" s="343"/>
      <c r="AH65" s="343"/>
      <c r="AI65" s="343"/>
      <c r="AJ65" s="343"/>
      <c r="AK65" s="343"/>
      <c r="AL65" s="343"/>
      <c r="AM65" s="114" t="s">
        <v>15628</v>
      </c>
      <c r="AN65" s="396"/>
      <c r="AO65" s="396"/>
      <c r="AP65" s="396"/>
      <c r="AQ65" s="396"/>
      <c r="AR65" s="396"/>
      <c r="AS65" s="396"/>
      <c r="AT65" s="396"/>
      <c r="AU65" s="490"/>
      <c r="AV65" s="152"/>
      <c r="AW65" s="387"/>
      <c r="AX65" s="489">
        <f>ROUND(ROUND(R64*AS66,0)*$AU$58,0)</f>
        <v>128</v>
      </c>
      <c r="AY65" s="393"/>
    </row>
    <row r="66" spans="1:51" ht="16.5" customHeight="1" x14ac:dyDescent="0.15">
      <c r="A66" s="340">
        <v>12</v>
      </c>
      <c r="B66" s="341">
        <v>7258</v>
      </c>
      <c r="C66" s="390" t="s">
        <v>16205</v>
      </c>
      <c r="D66" s="403"/>
      <c r="E66" s="404"/>
      <c r="F66" s="404"/>
      <c r="G66" s="404"/>
      <c r="H66" s="406"/>
      <c r="R66" s="395"/>
      <c r="S66" s="151"/>
      <c r="T66" s="151"/>
      <c r="V66" s="387"/>
      <c r="W66" s="343" t="s">
        <v>15625</v>
      </c>
      <c r="X66" s="325"/>
      <c r="Y66" s="325"/>
      <c r="Z66" s="325"/>
      <c r="AA66" s="325"/>
      <c r="AB66" s="325"/>
      <c r="AC66" s="325"/>
      <c r="AD66" s="325"/>
      <c r="AE66" s="325"/>
      <c r="AF66" s="325"/>
      <c r="AG66" s="325"/>
      <c r="AH66" s="325"/>
      <c r="AI66" s="325"/>
      <c r="AJ66" s="391" t="s">
        <v>15626</v>
      </c>
      <c r="AK66" s="838">
        <f>AK64</f>
        <v>1</v>
      </c>
      <c r="AL66" s="843"/>
      <c r="AM66" s="324" t="s">
        <v>15630</v>
      </c>
      <c r="AN66" s="325"/>
      <c r="AO66" s="325"/>
      <c r="AP66" s="325"/>
      <c r="AQ66" s="325"/>
      <c r="AR66" s="190" t="s">
        <v>398</v>
      </c>
      <c r="AS66" s="844">
        <f>AS62</f>
        <v>0.85</v>
      </c>
      <c r="AT66" s="844"/>
      <c r="AU66" s="490"/>
      <c r="AV66" s="152"/>
      <c r="AW66" s="387"/>
      <c r="AX66" s="489">
        <f>ROUND(ROUND(ROUND(R64*AK66,0)*AS66,0)*$AU$58,0)</f>
        <v>128</v>
      </c>
      <c r="AY66" s="393"/>
    </row>
    <row r="67" spans="1:51" ht="16.5" customHeight="1" x14ac:dyDescent="0.15">
      <c r="A67" s="340">
        <v>12</v>
      </c>
      <c r="B67" s="341">
        <v>4451</v>
      </c>
      <c r="C67" s="390" t="s">
        <v>16206</v>
      </c>
      <c r="D67" s="403"/>
      <c r="E67" s="404"/>
      <c r="F67" s="404"/>
      <c r="G67" s="404"/>
      <c r="H67" s="406"/>
      <c r="I67" s="253" t="s">
        <v>15644</v>
      </c>
      <c r="J67" s="396"/>
      <c r="K67" s="396"/>
      <c r="L67" s="396"/>
      <c r="M67" s="396"/>
      <c r="N67" s="396"/>
      <c r="O67" s="396"/>
      <c r="P67" s="396"/>
      <c r="Q67" s="396"/>
      <c r="R67" s="399"/>
      <c r="S67" s="400"/>
      <c r="T67" s="400"/>
      <c r="U67" s="396"/>
      <c r="V67" s="397"/>
      <c r="W67" s="343"/>
      <c r="X67" s="325"/>
      <c r="Y67" s="325"/>
      <c r="Z67" s="325"/>
      <c r="AA67" s="325"/>
      <c r="AB67" s="325"/>
      <c r="AC67" s="325"/>
      <c r="AD67" s="325"/>
      <c r="AE67" s="325"/>
      <c r="AF67" s="325"/>
      <c r="AG67" s="325"/>
      <c r="AH67" s="325"/>
      <c r="AI67" s="325"/>
      <c r="AJ67" s="391"/>
      <c r="AK67" s="401"/>
      <c r="AL67" s="402"/>
      <c r="AM67" s="396"/>
      <c r="AN67" s="396"/>
      <c r="AO67" s="396"/>
      <c r="AP67" s="396"/>
      <c r="AQ67" s="396"/>
      <c r="AR67" s="396"/>
      <c r="AS67" s="396"/>
      <c r="AT67" s="396"/>
      <c r="AU67" s="490"/>
      <c r="AV67" s="152"/>
      <c r="AW67" s="387"/>
      <c r="AX67" s="489">
        <f>ROUND(ROUND(R68,0)*$AU$58,0)</f>
        <v>149</v>
      </c>
      <c r="AY67" s="393"/>
    </row>
    <row r="68" spans="1:51" ht="16.5" customHeight="1" x14ac:dyDescent="0.15">
      <c r="A68" s="340">
        <v>12</v>
      </c>
      <c r="B68" s="341">
        <v>4452</v>
      </c>
      <c r="C68" s="390" t="s">
        <v>16207</v>
      </c>
      <c r="D68" s="403"/>
      <c r="E68" s="404"/>
      <c r="F68" s="404"/>
      <c r="G68" s="404"/>
      <c r="H68" s="406"/>
      <c r="R68" s="836">
        <f>'2重度訪問'!U68</f>
        <v>99</v>
      </c>
      <c r="S68" s="837"/>
      <c r="T68" s="837"/>
      <c r="U68" s="152" t="s">
        <v>15624</v>
      </c>
      <c r="V68" s="387"/>
      <c r="W68" s="343" t="s">
        <v>15625</v>
      </c>
      <c r="X68" s="325"/>
      <c r="Y68" s="325"/>
      <c r="Z68" s="325"/>
      <c r="AA68" s="325"/>
      <c r="AB68" s="325"/>
      <c r="AC68" s="325"/>
      <c r="AD68" s="325"/>
      <c r="AE68" s="325"/>
      <c r="AF68" s="325"/>
      <c r="AG68" s="325"/>
      <c r="AH68" s="325"/>
      <c r="AI68" s="325"/>
      <c r="AJ68" s="391" t="s">
        <v>15626</v>
      </c>
      <c r="AK68" s="838">
        <f>AK66</f>
        <v>1</v>
      </c>
      <c r="AL68" s="839"/>
      <c r="AM68" s="325"/>
      <c r="AN68" s="325"/>
      <c r="AO68" s="325"/>
      <c r="AP68" s="325"/>
      <c r="AQ68" s="325"/>
      <c r="AR68" s="325"/>
      <c r="AS68" s="325"/>
      <c r="AT68" s="325"/>
      <c r="AU68" s="490"/>
      <c r="AV68" s="152"/>
      <c r="AW68" s="387"/>
      <c r="AX68" s="489">
        <f>ROUND(ROUND(R68*AK68,0)*$AU$58,0)</f>
        <v>149</v>
      </c>
      <c r="AY68" s="393"/>
    </row>
    <row r="69" spans="1:51" ht="16.5" customHeight="1" x14ac:dyDescent="0.15">
      <c r="A69" s="340">
        <v>12</v>
      </c>
      <c r="B69" s="341">
        <v>7259</v>
      </c>
      <c r="C69" s="390" t="s">
        <v>16208</v>
      </c>
      <c r="D69" s="403"/>
      <c r="E69" s="404"/>
      <c r="F69" s="404"/>
      <c r="G69" s="404"/>
      <c r="H69" s="406"/>
      <c r="R69" s="395"/>
      <c r="S69" s="151"/>
      <c r="T69" s="151"/>
      <c r="V69" s="387"/>
      <c r="W69" s="343"/>
      <c r="X69" s="343"/>
      <c r="Y69" s="343"/>
      <c r="Z69" s="343"/>
      <c r="AA69" s="343"/>
      <c r="AB69" s="343"/>
      <c r="AC69" s="343"/>
      <c r="AD69" s="343"/>
      <c r="AE69" s="343"/>
      <c r="AF69" s="343"/>
      <c r="AG69" s="343"/>
      <c r="AH69" s="343"/>
      <c r="AI69" s="343"/>
      <c r="AJ69" s="343"/>
      <c r="AK69" s="343"/>
      <c r="AL69" s="343"/>
      <c r="AM69" s="114" t="s">
        <v>15628</v>
      </c>
      <c r="AN69" s="396"/>
      <c r="AO69" s="396"/>
      <c r="AP69" s="396"/>
      <c r="AQ69" s="396"/>
      <c r="AR69" s="396"/>
      <c r="AS69" s="396"/>
      <c r="AT69" s="396"/>
      <c r="AU69" s="490"/>
      <c r="AV69" s="152"/>
      <c r="AW69" s="387"/>
      <c r="AX69" s="489">
        <f>ROUND(ROUND(R68*AS70,0)*$AU$58,0)</f>
        <v>126</v>
      </c>
      <c r="AY69" s="393"/>
    </row>
    <row r="70" spans="1:51" ht="16.5" customHeight="1" x14ac:dyDescent="0.15">
      <c r="A70" s="340">
        <v>12</v>
      </c>
      <c r="B70" s="341">
        <v>7260</v>
      </c>
      <c r="C70" s="390" t="s">
        <v>16209</v>
      </c>
      <c r="D70" s="403"/>
      <c r="E70" s="404"/>
      <c r="F70" s="404"/>
      <c r="G70" s="404"/>
      <c r="H70" s="406"/>
      <c r="R70" s="395"/>
      <c r="S70" s="151"/>
      <c r="T70" s="151"/>
      <c r="V70" s="387"/>
      <c r="W70" s="343" t="s">
        <v>15625</v>
      </c>
      <c r="X70" s="325"/>
      <c r="Y70" s="325"/>
      <c r="Z70" s="325"/>
      <c r="AA70" s="325"/>
      <c r="AB70" s="325"/>
      <c r="AC70" s="325"/>
      <c r="AD70" s="325"/>
      <c r="AE70" s="325"/>
      <c r="AF70" s="325"/>
      <c r="AG70" s="325"/>
      <c r="AH70" s="325"/>
      <c r="AI70" s="325"/>
      <c r="AJ70" s="391" t="s">
        <v>15626</v>
      </c>
      <c r="AK70" s="838">
        <f>AK68</f>
        <v>1</v>
      </c>
      <c r="AL70" s="843"/>
      <c r="AM70" s="324" t="s">
        <v>15630</v>
      </c>
      <c r="AN70" s="325"/>
      <c r="AO70" s="325"/>
      <c r="AP70" s="325"/>
      <c r="AQ70" s="325"/>
      <c r="AR70" s="190" t="s">
        <v>398</v>
      </c>
      <c r="AS70" s="844">
        <f>AS66</f>
        <v>0.85</v>
      </c>
      <c r="AT70" s="844"/>
      <c r="AU70" s="490"/>
      <c r="AV70" s="152"/>
      <c r="AW70" s="387"/>
      <c r="AX70" s="489">
        <f>ROUND(ROUND(ROUND(R68*AK70,0)*AS70,0)*$AU$58,0)</f>
        <v>126</v>
      </c>
      <c r="AY70" s="393"/>
    </row>
    <row r="71" spans="1:51" ht="16.5" customHeight="1" x14ac:dyDescent="0.15">
      <c r="A71" s="340">
        <v>12</v>
      </c>
      <c r="B71" s="341">
        <v>4461</v>
      </c>
      <c r="C71" s="390" t="s">
        <v>16210</v>
      </c>
      <c r="D71" s="403"/>
      <c r="E71" s="404"/>
      <c r="F71" s="404"/>
      <c r="G71" s="404"/>
      <c r="H71" s="406"/>
      <c r="I71" s="253" t="s">
        <v>15649</v>
      </c>
      <c r="J71" s="396"/>
      <c r="K71" s="396"/>
      <c r="L71" s="396"/>
      <c r="M71" s="396"/>
      <c r="N71" s="396"/>
      <c r="O71" s="396"/>
      <c r="P71" s="396"/>
      <c r="Q71" s="396"/>
      <c r="R71" s="399"/>
      <c r="S71" s="400"/>
      <c r="T71" s="400"/>
      <c r="U71" s="396"/>
      <c r="V71" s="397"/>
      <c r="W71" s="343"/>
      <c r="X71" s="325"/>
      <c r="Y71" s="325"/>
      <c r="Z71" s="325"/>
      <c r="AA71" s="325"/>
      <c r="AB71" s="325"/>
      <c r="AC71" s="325"/>
      <c r="AD71" s="325"/>
      <c r="AE71" s="325"/>
      <c r="AF71" s="325"/>
      <c r="AG71" s="325"/>
      <c r="AH71" s="325"/>
      <c r="AI71" s="325"/>
      <c r="AJ71" s="391"/>
      <c r="AK71" s="401"/>
      <c r="AL71" s="402"/>
      <c r="AM71" s="396"/>
      <c r="AN71" s="396"/>
      <c r="AO71" s="396"/>
      <c r="AP71" s="396"/>
      <c r="AQ71" s="396"/>
      <c r="AR71" s="396"/>
      <c r="AS71" s="396"/>
      <c r="AT71" s="396"/>
      <c r="AU71" s="490"/>
      <c r="AV71" s="152"/>
      <c r="AW71" s="387"/>
      <c r="AX71" s="489">
        <f>ROUND(ROUND(R72,0)*$AU$58,0)</f>
        <v>150</v>
      </c>
      <c r="AY71" s="393"/>
    </row>
    <row r="72" spans="1:51" ht="16.5" customHeight="1" x14ac:dyDescent="0.15">
      <c r="A72" s="340">
        <v>12</v>
      </c>
      <c r="B72" s="341">
        <v>4462</v>
      </c>
      <c r="C72" s="390" t="s">
        <v>16211</v>
      </c>
      <c r="D72" s="403"/>
      <c r="E72" s="404"/>
      <c r="F72" s="404"/>
      <c r="G72" s="404"/>
      <c r="H72" s="406"/>
      <c r="R72" s="836">
        <f>'2重度訪問'!U72</f>
        <v>100</v>
      </c>
      <c r="S72" s="837"/>
      <c r="T72" s="837"/>
      <c r="U72" s="152" t="s">
        <v>15624</v>
      </c>
      <c r="V72" s="387"/>
      <c r="W72" s="343" t="s">
        <v>15625</v>
      </c>
      <c r="X72" s="325"/>
      <c r="Y72" s="325"/>
      <c r="Z72" s="325"/>
      <c r="AA72" s="325"/>
      <c r="AB72" s="325"/>
      <c r="AC72" s="325"/>
      <c r="AD72" s="325"/>
      <c r="AE72" s="325"/>
      <c r="AF72" s="325"/>
      <c r="AG72" s="325"/>
      <c r="AH72" s="325"/>
      <c r="AI72" s="325"/>
      <c r="AJ72" s="391" t="s">
        <v>15626</v>
      </c>
      <c r="AK72" s="838">
        <f>AK70</f>
        <v>1</v>
      </c>
      <c r="AL72" s="839"/>
      <c r="AM72" s="325"/>
      <c r="AN72" s="325"/>
      <c r="AO72" s="325"/>
      <c r="AP72" s="325"/>
      <c r="AQ72" s="325"/>
      <c r="AR72" s="325"/>
      <c r="AS72" s="325"/>
      <c r="AT72" s="325"/>
      <c r="AU72" s="490"/>
      <c r="AV72" s="152"/>
      <c r="AW72" s="387"/>
      <c r="AX72" s="489">
        <f>ROUND(ROUND(R72*AK72,0)*$AU$58,0)</f>
        <v>150</v>
      </c>
      <c r="AY72" s="393"/>
    </row>
    <row r="73" spans="1:51" ht="16.5" customHeight="1" x14ac:dyDescent="0.15">
      <c r="A73" s="340">
        <v>12</v>
      </c>
      <c r="B73" s="341">
        <v>7261</v>
      </c>
      <c r="C73" s="390" t="s">
        <v>16212</v>
      </c>
      <c r="D73" s="403"/>
      <c r="E73" s="404"/>
      <c r="F73" s="404"/>
      <c r="G73" s="404"/>
      <c r="H73" s="406"/>
      <c r="R73" s="395"/>
      <c r="S73" s="151"/>
      <c r="T73" s="151"/>
      <c r="V73" s="387"/>
      <c r="W73" s="343"/>
      <c r="X73" s="343"/>
      <c r="Y73" s="343"/>
      <c r="Z73" s="343"/>
      <c r="AA73" s="343"/>
      <c r="AB73" s="343"/>
      <c r="AC73" s="343"/>
      <c r="AD73" s="343"/>
      <c r="AE73" s="343"/>
      <c r="AF73" s="343"/>
      <c r="AG73" s="343"/>
      <c r="AH73" s="343"/>
      <c r="AI73" s="343"/>
      <c r="AJ73" s="343"/>
      <c r="AK73" s="343"/>
      <c r="AL73" s="343"/>
      <c r="AM73" s="114" t="s">
        <v>15628</v>
      </c>
      <c r="AN73" s="396"/>
      <c r="AO73" s="396"/>
      <c r="AP73" s="396"/>
      <c r="AQ73" s="396"/>
      <c r="AR73" s="396"/>
      <c r="AS73" s="396"/>
      <c r="AT73" s="396"/>
      <c r="AU73" s="490"/>
      <c r="AV73" s="152"/>
      <c r="AW73" s="387"/>
      <c r="AX73" s="489">
        <f>ROUND(ROUND(R72*AS74,0)*$AU$58,0)</f>
        <v>128</v>
      </c>
      <c r="AY73" s="393"/>
    </row>
    <row r="74" spans="1:51" ht="16.5" customHeight="1" x14ac:dyDescent="0.15">
      <c r="A74" s="340">
        <v>12</v>
      </c>
      <c r="B74" s="341">
        <v>7262</v>
      </c>
      <c r="C74" s="390" t="s">
        <v>16213</v>
      </c>
      <c r="D74" s="403"/>
      <c r="E74" s="404"/>
      <c r="F74" s="404"/>
      <c r="G74" s="404"/>
      <c r="H74" s="406"/>
      <c r="R74" s="395"/>
      <c r="S74" s="151"/>
      <c r="T74" s="151"/>
      <c r="V74" s="387"/>
      <c r="W74" s="343" t="s">
        <v>15625</v>
      </c>
      <c r="X74" s="325"/>
      <c r="Y74" s="325"/>
      <c r="Z74" s="325"/>
      <c r="AA74" s="325"/>
      <c r="AB74" s="325"/>
      <c r="AC74" s="325"/>
      <c r="AD74" s="325"/>
      <c r="AE74" s="325"/>
      <c r="AF74" s="325"/>
      <c r="AG74" s="325"/>
      <c r="AH74" s="325"/>
      <c r="AI74" s="325"/>
      <c r="AJ74" s="391" t="s">
        <v>15626</v>
      </c>
      <c r="AK74" s="838">
        <f>AK72</f>
        <v>1</v>
      </c>
      <c r="AL74" s="843"/>
      <c r="AM74" s="324" t="s">
        <v>15630</v>
      </c>
      <c r="AN74" s="325"/>
      <c r="AO74" s="325"/>
      <c r="AP74" s="325"/>
      <c r="AQ74" s="325"/>
      <c r="AR74" s="190" t="s">
        <v>398</v>
      </c>
      <c r="AS74" s="844">
        <f>AS70</f>
        <v>0.85</v>
      </c>
      <c r="AT74" s="844"/>
      <c r="AU74" s="490"/>
      <c r="AV74" s="152"/>
      <c r="AW74" s="387"/>
      <c r="AX74" s="489">
        <f>ROUND(ROUND(ROUND(R72*AK74,0)*AS74,0)*$AU$58,0)</f>
        <v>128</v>
      </c>
      <c r="AY74" s="393"/>
    </row>
    <row r="75" spans="1:51" ht="16.5" customHeight="1" x14ac:dyDescent="0.15">
      <c r="A75" s="340">
        <v>12</v>
      </c>
      <c r="B75" s="341">
        <v>4471</v>
      </c>
      <c r="C75" s="390" t="s">
        <v>16214</v>
      </c>
      <c r="D75" s="403"/>
      <c r="E75" s="404"/>
      <c r="F75" s="404"/>
      <c r="G75" s="404"/>
      <c r="H75" s="406"/>
      <c r="I75" s="253" t="s">
        <v>15654</v>
      </c>
      <c r="J75" s="396"/>
      <c r="K75" s="396"/>
      <c r="L75" s="396"/>
      <c r="M75" s="396"/>
      <c r="N75" s="396"/>
      <c r="O75" s="396"/>
      <c r="P75" s="396"/>
      <c r="Q75" s="396"/>
      <c r="R75" s="399"/>
      <c r="S75" s="400"/>
      <c r="T75" s="400"/>
      <c r="U75" s="396"/>
      <c r="V75" s="397"/>
      <c r="W75" s="343"/>
      <c r="X75" s="325"/>
      <c r="Y75" s="325"/>
      <c r="Z75" s="325"/>
      <c r="AA75" s="325"/>
      <c r="AB75" s="325"/>
      <c r="AC75" s="325"/>
      <c r="AD75" s="325"/>
      <c r="AE75" s="325"/>
      <c r="AF75" s="325"/>
      <c r="AG75" s="325"/>
      <c r="AH75" s="325"/>
      <c r="AI75" s="325"/>
      <c r="AJ75" s="391"/>
      <c r="AK75" s="401"/>
      <c r="AL75" s="402"/>
      <c r="AM75" s="396"/>
      <c r="AN75" s="396"/>
      <c r="AO75" s="396"/>
      <c r="AP75" s="396"/>
      <c r="AQ75" s="396"/>
      <c r="AR75" s="396"/>
      <c r="AS75" s="396"/>
      <c r="AT75" s="396"/>
      <c r="AU75" s="490"/>
      <c r="AV75" s="152"/>
      <c r="AW75" s="387"/>
      <c r="AX75" s="489">
        <f>ROUND(ROUND(R76,0)*$AU$58,0)</f>
        <v>147</v>
      </c>
      <c r="AY75" s="393"/>
    </row>
    <row r="76" spans="1:51" ht="16.5" customHeight="1" x14ac:dyDescent="0.15">
      <c r="A76" s="340">
        <v>12</v>
      </c>
      <c r="B76" s="341">
        <v>4472</v>
      </c>
      <c r="C76" s="390" t="s">
        <v>16215</v>
      </c>
      <c r="D76" s="403"/>
      <c r="E76" s="404"/>
      <c r="F76" s="404"/>
      <c r="G76" s="404"/>
      <c r="H76" s="406"/>
      <c r="R76" s="836">
        <f>'2重度訪問'!U76</f>
        <v>98</v>
      </c>
      <c r="S76" s="837"/>
      <c r="T76" s="837"/>
      <c r="U76" s="152" t="s">
        <v>15624</v>
      </c>
      <c r="V76" s="387"/>
      <c r="W76" s="343" t="s">
        <v>15625</v>
      </c>
      <c r="X76" s="325"/>
      <c r="Y76" s="325"/>
      <c r="Z76" s="325"/>
      <c r="AA76" s="325"/>
      <c r="AB76" s="325"/>
      <c r="AC76" s="325"/>
      <c r="AD76" s="325"/>
      <c r="AE76" s="325"/>
      <c r="AF76" s="325"/>
      <c r="AG76" s="325"/>
      <c r="AH76" s="325"/>
      <c r="AI76" s="325"/>
      <c r="AJ76" s="391" t="s">
        <v>15626</v>
      </c>
      <c r="AK76" s="838">
        <f>AK74</f>
        <v>1</v>
      </c>
      <c r="AL76" s="839"/>
      <c r="AM76" s="325"/>
      <c r="AN76" s="325"/>
      <c r="AO76" s="325"/>
      <c r="AP76" s="325"/>
      <c r="AQ76" s="325"/>
      <c r="AR76" s="325"/>
      <c r="AS76" s="325"/>
      <c r="AT76" s="325"/>
      <c r="AU76" s="490"/>
      <c r="AV76" s="152"/>
      <c r="AW76" s="387"/>
      <c r="AX76" s="489">
        <f>ROUND(ROUND(R76*AK76,0)*$AU$58,0)</f>
        <v>147</v>
      </c>
      <c r="AY76" s="393"/>
    </row>
    <row r="77" spans="1:51" ht="16.5" customHeight="1" x14ac:dyDescent="0.15">
      <c r="A77" s="340">
        <v>12</v>
      </c>
      <c r="B77" s="341">
        <v>7263</v>
      </c>
      <c r="C77" s="390" t="s">
        <v>16216</v>
      </c>
      <c r="D77" s="403"/>
      <c r="E77" s="404"/>
      <c r="F77" s="404"/>
      <c r="G77" s="404"/>
      <c r="H77" s="406"/>
      <c r="R77" s="395"/>
      <c r="S77" s="151"/>
      <c r="T77" s="151"/>
      <c r="V77" s="387"/>
      <c r="W77" s="343"/>
      <c r="X77" s="343"/>
      <c r="Y77" s="343"/>
      <c r="Z77" s="343"/>
      <c r="AA77" s="343"/>
      <c r="AB77" s="343"/>
      <c r="AC77" s="343"/>
      <c r="AD77" s="343"/>
      <c r="AE77" s="343"/>
      <c r="AF77" s="343"/>
      <c r="AG77" s="343"/>
      <c r="AH77" s="343"/>
      <c r="AI77" s="343"/>
      <c r="AJ77" s="343"/>
      <c r="AK77" s="343"/>
      <c r="AL77" s="343"/>
      <c r="AM77" s="114" t="s">
        <v>15628</v>
      </c>
      <c r="AN77" s="396"/>
      <c r="AO77" s="396"/>
      <c r="AP77" s="396"/>
      <c r="AQ77" s="396"/>
      <c r="AR77" s="396"/>
      <c r="AS77" s="396"/>
      <c r="AT77" s="396"/>
      <c r="AU77" s="490"/>
      <c r="AV77" s="152"/>
      <c r="AW77" s="387"/>
      <c r="AX77" s="489">
        <f>ROUND(ROUND(R76*AS78,0)*$AU$58,0)</f>
        <v>125</v>
      </c>
      <c r="AY77" s="393"/>
    </row>
    <row r="78" spans="1:51" ht="16.5" customHeight="1" x14ac:dyDescent="0.15">
      <c r="A78" s="340">
        <v>12</v>
      </c>
      <c r="B78" s="341">
        <v>7264</v>
      </c>
      <c r="C78" s="390" t="s">
        <v>16217</v>
      </c>
      <c r="D78" s="403"/>
      <c r="E78" s="404"/>
      <c r="F78" s="404"/>
      <c r="G78" s="404"/>
      <c r="H78" s="406"/>
      <c r="R78" s="395"/>
      <c r="S78" s="151"/>
      <c r="T78" s="151"/>
      <c r="V78" s="387"/>
      <c r="W78" s="343" t="s">
        <v>15625</v>
      </c>
      <c r="X78" s="325"/>
      <c r="Y78" s="325"/>
      <c r="Z78" s="325"/>
      <c r="AA78" s="325"/>
      <c r="AB78" s="325"/>
      <c r="AC78" s="325"/>
      <c r="AD78" s="325"/>
      <c r="AE78" s="325"/>
      <c r="AF78" s="325"/>
      <c r="AG78" s="325"/>
      <c r="AH78" s="325"/>
      <c r="AI78" s="325"/>
      <c r="AJ78" s="391" t="s">
        <v>15626</v>
      </c>
      <c r="AK78" s="838">
        <f>AK76</f>
        <v>1</v>
      </c>
      <c r="AL78" s="843"/>
      <c r="AM78" s="324" t="s">
        <v>15630</v>
      </c>
      <c r="AN78" s="325"/>
      <c r="AO78" s="325"/>
      <c r="AP78" s="325"/>
      <c r="AQ78" s="325"/>
      <c r="AR78" s="190" t="s">
        <v>398</v>
      </c>
      <c r="AS78" s="844">
        <f>AS74</f>
        <v>0.85</v>
      </c>
      <c r="AT78" s="844"/>
      <c r="AU78" s="490"/>
      <c r="AV78" s="152"/>
      <c r="AW78" s="387"/>
      <c r="AX78" s="489">
        <f>ROUND(ROUND(ROUND(R76*AK78,0)*AS78,0)*$AU$58,0)</f>
        <v>125</v>
      </c>
      <c r="AY78" s="393"/>
    </row>
    <row r="79" spans="1:51" ht="16.5" customHeight="1" x14ac:dyDescent="0.15">
      <c r="A79" s="340">
        <v>12</v>
      </c>
      <c r="B79" s="341">
        <v>4481</v>
      </c>
      <c r="C79" s="390" t="s">
        <v>16218</v>
      </c>
      <c r="D79" s="403"/>
      <c r="E79" s="404"/>
      <c r="F79" s="404"/>
      <c r="G79" s="404"/>
      <c r="H79" s="406"/>
      <c r="I79" s="253" t="s">
        <v>15659</v>
      </c>
      <c r="J79" s="396"/>
      <c r="K79" s="396"/>
      <c r="L79" s="396"/>
      <c r="M79" s="396"/>
      <c r="N79" s="396"/>
      <c r="O79" s="396"/>
      <c r="P79" s="396"/>
      <c r="Q79" s="396"/>
      <c r="R79" s="399"/>
      <c r="S79" s="400"/>
      <c r="T79" s="400"/>
      <c r="U79" s="396"/>
      <c r="V79" s="397"/>
      <c r="W79" s="343"/>
      <c r="X79" s="325"/>
      <c r="Y79" s="325"/>
      <c r="Z79" s="325"/>
      <c r="AA79" s="325"/>
      <c r="AB79" s="325"/>
      <c r="AC79" s="325"/>
      <c r="AD79" s="325"/>
      <c r="AE79" s="325"/>
      <c r="AF79" s="325"/>
      <c r="AG79" s="325"/>
      <c r="AH79" s="325"/>
      <c r="AI79" s="325"/>
      <c r="AJ79" s="391"/>
      <c r="AK79" s="401"/>
      <c r="AL79" s="402"/>
      <c r="AM79" s="396"/>
      <c r="AN79" s="396"/>
      <c r="AO79" s="396"/>
      <c r="AP79" s="396"/>
      <c r="AQ79" s="396"/>
      <c r="AR79" s="396"/>
      <c r="AS79" s="396"/>
      <c r="AT79" s="396"/>
      <c r="AU79" s="490"/>
      <c r="AV79" s="152"/>
      <c r="AW79" s="387"/>
      <c r="AX79" s="489">
        <f>ROUND(ROUND(R80,0)*$AU$58,0)</f>
        <v>150</v>
      </c>
      <c r="AY79" s="393"/>
    </row>
    <row r="80" spans="1:51" ht="16.5" customHeight="1" x14ac:dyDescent="0.15">
      <c r="A80" s="340">
        <v>12</v>
      </c>
      <c r="B80" s="341">
        <v>4482</v>
      </c>
      <c r="C80" s="390" t="s">
        <v>16219</v>
      </c>
      <c r="D80" s="403"/>
      <c r="E80" s="404"/>
      <c r="F80" s="404"/>
      <c r="G80" s="404"/>
      <c r="H80" s="406"/>
      <c r="R80" s="836">
        <f>'2重度訪問'!U80</f>
        <v>100</v>
      </c>
      <c r="S80" s="837"/>
      <c r="T80" s="837"/>
      <c r="U80" s="152" t="s">
        <v>15624</v>
      </c>
      <c r="V80" s="387"/>
      <c r="W80" s="343" t="s">
        <v>15625</v>
      </c>
      <c r="X80" s="325"/>
      <c r="Y80" s="325"/>
      <c r="Z80" s="325"/>
      <c r="AA80" s="325"/>
      <c r="AB80" s="325"/>
      <c r="AC80" s="325"/>
      <c r="AD80" s="325"/>
      <c r="AE80" s="325"/>
      <c r="AF80" s="325"/>
      <c r="AG80" s="325"/>
      <c r="AH80" s="325"/>
      <c r="AI80" s="325"/>
      <c r="AJ80" s="391" t="s">
        <v>15626</v>
      </c>
      <c r="AK80" s="838">
        <f>AK78</f>
        <v>1</v>
      </c>
      <c r="AL80" s="839"/>
      <c r="AM80" s="325"/>
      <c r="AN80" s="325"/>
      <c r="AO80" s="325"/>
      <c r="AP80" s="325"/>
      <c r="AQ80" s="325"/>
      <c r="AR80" s="325"/>
      <c r="AS80" s="325"/>
      <c r="AT80" s="325"/>
      <c r="AU80" s="490"/>
      <c r="AV80" s="152"/>
      <c r="AW80" s="387"/>
      <c r="AX80" s="489">
        <f>ROUND(ROUND(R80*AK80,0)*$AU$58,0)</f>
        <v>150</v>
      </c>
      <c r="AY80" s="393"/>
    </row>
    <row r="81" spans="1:51" ht="16.5" customHeight="1" x14ac:dyDescent="0.15">
      <c r="A81" s="340">
        <v>12</v>
      </c>
      <c r="B81" s="341">
        <v>7265</v>
      </c>
      <c r="C81" s="390" t="s">
        <v>16220</v>
      </c>
      <c r="D81" s="403"/>
      <c r="E81" s="404"/>
      <c r="F81" s="404"/>
      <c r="G81" s="404"/>
      <c r="H81" s="406"/>
      <c r="R81" s="395"/>
      <c r="S81" s="151"/>
      <c r="T81" s="151"/>
      <c r="V81" s="387"/>
      <c r="W81" s="343"/>
      <c r="X81" s="343"/>
      <c r="Y81" s="343"/>
      <c r="Z81" s="343"/>
      <c r="AA81" s="343"/>
      <c r="AB81" s="343"/>
      <c r="AC81" s="343"/>
      <c r="AD81" s="343"/>
      <c r="AE81" s="343"/>
      <c r="AF81" s="343"/>
      <c r="AG81" s="343"/>
      <c r="AH81" s="343"/>
      <c r="AI81" s="343"/>
      <c r="AJ81" s="343"/>
      <c r="AK81" s="343"/>
      <c r="AL81" s="343"/>
      <c r="AM81" s="114" t="s">
        <v>15628</v>
      </c>
      <c r="AN81" s="396"/>
      <c r="AO81" s="396"/>
      <c r="AP81" s="396"/>
      <c r="AQ81" s="396"/>
      <c r="AR81" s="396"/>
      <c r="AS81" s="396"/>
      <c r="AT81" s="396"/>
      <c r="AU81" s="490"/>
      <c r="AV81" s="152"/>
      <c r="AW81" s="387"/>
      <c r="AX81" s="489">
        <f>ROUND(ROUND(R80*AS82,0)*$AU$58,0)</f>
        <v>128</v>
      </c>
      <c r="AY81" s="393"/>
    </row>
    <row r="82" spans="1:51" ht="16.5" customHeight="1" x14ac:dyDescent="0.15">
      <c r="A82" s="340">
        <v>12</v>
      </c>
      <c r="B82" s="341">
        <v>7266</v>
      </c>
      <c r="C82" s="390" t="s">
        <v>16221</v>
      </c>
      <c r="D82" s="403"/>
      <c r="E82" s="404"/>
      <c r="F82" s="404"/>
      <c r="G82" s="404"/>
      <c r="H82" s="406"/>
      <c r="R82" s="395"/>
      <c r="S82" s="151"/>
      <c r="T82" s="151"/>
      <c r="V82" s="387"/>
      <c r="W82" s="343" t="s">
        <v>15625</v>
      </c>
      <c r="X82" s="325"/>
      <c r="Y82" s="325"/>
      <c r="Z82" s="325"/>
      <c r="AA82" s="325"/>
      <c r="AB82" s="325"/>
      <c r="AC82" s="325"/>
      <c r="AD82" s="325"/>
      <c r="AE82" s="325"/>
      <c r="AF82" s="325"/>
      <c r="AG82" s="325"/>
      <c r="AH82" s="325"/>
      <c r="AI82" s="325"/>
      <c r="AJ82" s="391" t="s">
        <v>15626</v>
      </c>
      <c r="AK82" s="838">
        <f>AK80</f>
        <v>1</v>
      </c>
      <c r="AL82" s="843"/>
      <c r="AM82" s="324" t="s">
        <v>15630</v>
      </c>
      <c r="AN82" s="325"/>
      <c r="AO82" s="325"/>
      <c r="AP82" s="325"/>
      <c r="AQ82" s="325"/>
      <c r="AR82" s="190" t="s">
        <v>398</v>
      </c>
      <c r="AS82" s="844">
        <f>AS78</f>
        <v>0.85</v>
      </c>
      <c r="AT82" s="844"/>
      <c r="AU82" s="490"/>
      <c r="AV82" s="152"/>
      <c r="AW82" s="387"/>
      <c r="AX82" s="489">
        <f>ROUND(ROUND(ROUND(R80*AK82,0)*AS82,0)*$AU$58,0)</f>
        <v>128</v>
      </c>
      <c r="AY82" s="393"/>
    </row>
    <row r="83" spans="1:51" ht="17.100000000000001" customHeight="1" x14ac:dyDescent="0.15">
      <c r="A83" s="340">
        <v>12</v>
      </c>
      <c r="B83" s="341">
        <v>4221</v>
      </c>
      <c r="C83" s="390" t="s">
        <v>16222</v>
      </c>
      <c r="D83" s="403"/>
      <c r="E83" s="404"/>
      <c r="F83" s="404"/>
      <c r="G83" s="404"/>
      <c r="H83" s="406"/>
      <c r="I83" s="253" t="s">
        <v>15664</v>
      </c>
      <c r="J83" s="396"/>
      <c r="K83" s="396"/>
      <c r="L83" s="400"/>
      <c r="M83" s="400"/>
      <c r="N83" s="400"/>
      <c r="O83" s="400"/>
      <c r="P83" s="400"/>
      <c r="Q83" s="396"/>
      <c r="R83" s="396"/>
      <c r="S83" s="396"/>
      <c r="T83" s="396"/>
      <c r="U83" s="396"/>
      <c r="V83" s="397"/>
      <c r="W83" s="343"/>
      <c r="X83" s="343"/>
      <c r="Y83" s="343"/>
      <c r="Z83" s="343"/>
      <c r="AA83" s="343"/>
      <c r="AB83" s="343"/>
      <c r="AC83" s="343"/>
      <c r="AD83" s="343"/>
      <c r="AE83" s="343"/>
      <c r="AF83" s="343"/>
      <c r="AG83" s="343"/>
      <c r="AH83" s="343"/>
      <c r="AI83" s="343"/>
      <c r="AJ83" s="343"/>
      <c r="AK83" s="343"/>
      <c r="AL83" s="407"/>
      <c r="AM83" s="396"/>
      <c r="AN83" s="396"/>
      <c r="AO83" s="396"/>
      <c r="AP83" s="396"/>
      <c r="AQ83" s="396"/>
      <c r="AR83" s="396"/>
      <c r="AS83" s="396"/>
      <c r="AT83" s="396"/>
      <c r="AU83" s="490"/>
      <c r="AV83" s="152"/>
      <c r="AW83" s="387"/>
      <c r="AX83" s="489">
        <f>ROUND(ROUND(R84,0)*$AU$58,0)</f>
        <v>138</v>
      </c>
      <c r="AY83" s="393"/>
    </row>
    <row r="84" spans="1:51" ht="16.5" customHeight="1" x14ac:dyDescent="0.15">
      <c r="A84" s="340">
        <v>12</v>
      </c>
      <c r="B84" s="341">
        <v>4222</v>
      </c>
      <c r="C84" s="390" t="s">
        <v>16223</v>
      </c>
      <c r="D84" s="403"/>
      <c r="E84" s="404"/>
      <c r="F84" s="404"/>
      <c r="G84" s="404"/>
      <c r="H84" s="406"/>
      <c r="R84" s="836">
        <f>'2重度訪問'!U84</f>
        <v>92</v>
      </c>
      <c r="S84" s="837"/>
      <c r="T84" s="837"/>
      <c r="U84" s="152" t="s">
        <v>15624</v>
      </c>
      <c r="V84" s="387"/>
      <c r="W84" s="343" t="s">
        <v>15625</v>
      </c>
      <c r="X84" s="325"/>
      <c r="Y84" s="325"/>
      <c r="Z84" s="325"/>
      <c r="AA84" s="325"/>
      <c r="AB84" s="325"/>
      <c r="AC84" s="325"/>
      <c r="AD84" s="325"/>
      <c r="AE84" s="325"/>
      <c r="AF84" s="325"/>
      <c r="AG84" s="325"/>
      <c r="AH84" s="325"/>
      <c r="AI84" s="325"/>
      <c r="AJ84" s="391" t="s">
        <v>15626</v>
      </c>
      <c r="AK84" s="838">
        <f>AK82</f>
        <v>1</v>
      </c>
      <c r="AL84" s="839"/>
      <c r="AM84" s="325"/>
      <c r="AN84" s="325"/>
      <c r="AO84" s="325"/>
      <c r="AP84" s="325"/>
      <c r="AQ84" s="325"/>
      <c r="AR84" s="325"/>
      <c r="AS84" s="325"/>
      <c r="AT84" s="391"/>
      <c r="AU84" s="490"/>
      <c r="AV84" s="152"/>
      <c r="AW84" s="387"/>
      <c r="AX84" s="489">
        <f>ROUND(ROUND(R84*AK84,0)*$AU$58,0)</f>
        <v>138</v>
      </c>
      <c r="AY84" s="393"/>
    </row>
    <row r="85" spans="1:51" ht="16.5" customHeight="1" x14ac:dyDescent="0.15">
      <c r="A85" s="340">
        <v>12</v>
      </c>
      <c r="B85" s="341">
        <v>7267</v>
      </c>
      <c r="C85" s="390" t="s">
        <v>16224</v>
      </c>
      <c r="D85" s="403"/>
      <c r="E85" s="404"/>
      <c r="F85" s="404"/>
      <c r="G85" s="404"/>
      <c r="H85" s="406"/>
      <c r="R85" s="395"/>
      <c r="S85" s="151"/>
      <c r="T85" s="151"/>
      <c r="V85" s="387"/>
      <c r="W85" s="343"/>
      <c r="X85" s="343"/>
      <c r="Y85" s="343"/>
      <c r="Z85" s="343"/>
      <c r="AA85" s="343"/>
      <c r="AB85" s="343"/>
      <c r="AC85" s="343"/>
      <c r="AD85" s="343"/>
      <c r="AE85" s="343"/>
      <c r="AF85" s="343"/>
      <c r="AG85" s="343"/>
      <c r="AH85" s="343"/>
      <c r="AI85" s="343"/>
      <c r="AJ85" s="343"/>
      <c r="AK85" s="343"/>
      <c r="AL85" s="343"/>
      <c r="AM85" s="114" t="s">
        <v>15628</v>
      </c>
      <c r="AN85" s="396"/>
      <c r="AO85" s="396"/>
      <c r="AP85" s="396"/>
      <c r="AQ85" s="396"/>
      <c r="AR85" s="396"/>
      <c r="AS85" s="396"/>
      <c r="AT85" s="396"/>
      <c r="AU85" s="490"/>
      <c r="AV85" s="152"/>
      <c r="AW85" s="387"/>
      <c r="AX85" s="489">
        <f>ROUND(ROUND(R84*AS86,0)*$AU$58,0)</f>
        <v>117</v>
      </c>
      <c r="AY85" s="393"/>
    </row>
    <row r="86" spans="1:51" ht="16.5" customHeight="1" x14ac:dyDescent="0.15">
      <c r="A86" s="340">
        <v>12</v>
      </c>
      <c r="B86" s="341">
        <v>7268</v>
      </c>
      <c r="C86" s="390" t="s">
        <v>16225</v>
      </c>
      <c r="D86" s="403"/>
      <c r="E86" s="404"/>
      <c r="F86" s="404"/>
      <c r="G86" s="404"/>
      <c r="H86" s="406"/>
      <c r="R86" s="395"/>
      <c r="S86" s="151"/>
      <c r="T86" s="151"/>
      <c r="V86" s="387"/>
      <c r="W86" s="343" t="s">
        <v>15625</v>
      </c>
      <c r="X86" s="325"/>
      <c r="Y86" s="325"/>
      <c r="Z86" s="325"/>
      <c r="AA86" s="325"/>
      <c r="AB86" s="325"/>
      <c r="AC86" s="325"/>
      <c r="AD86" s="325"/>
      <c r="AE86" s="325"/>
      <c r="AF86" s="325"/>
      <c r="AG86" s="325"/>
      <c r="AH86" s="325"/>
      <c r="AI86" s="325"/>
      <c r="AJ86" s="391" t="s">
        <v>15626</v>
      </c>
      <c r="AK86" s="838">
        <f>AK84</f>
        <v>1</v>
      </c>
      <c r="AL86" s="843"/>
      <c r="AM86" s="324" t="s">
        <v>15630</v>
      </c>
      <c r="AN86" s="325"/>
      <c r="AO86" s="325"/>
      <c r="AP86" s="325"/>
      <c r="AQ86" s="325"/>
      <c r="AR86" s="190" t="s">
        <v>398</v>
      </c>
      <c r="AS86" s="844">
        <f>AS82</f>
        <v>0.85</v>
      </c>
      <c r="AT86" s="844"/>
      <c r="AU86" s="490"/>
      <c r="AV86" s="152"/>
      <c r="AW86" s="387"/>
      <c r="AX86" s="489">
        <f>ROUND(ROUND(ROUND(R84*AK86,0)*AS86,0)*$AU$58,0)</f>
        <v>117</v>
      </c>
      <c r="AY86" s="393"/>
    </row>
    <row r="87" spans="1:51" ht="17.100000000000001" customHeight="1" x14ac:dyDescent="0.15">
      <c r="A87" s="340">
        <v>12</v>
      </c>
      <c r="B87" s="341">
        <v>4231</v>
      </c>
      <c r="C87" s="390" t="s">
        <v>16226</v>
      </c>
      <c r="D87" s="403"/>
      <c r="E87" s="404"/>
      <c r="F87" s="404"/>
      <c r="G87" s="404"/>
      <c r="H87" s="406"/>
      <c r="I87" s="253" t="s">
        <v>15669</v>
      </c>
      <c r="J87" s="396"/>
      <c r="K87" s="396"/>
      <c r="L87" s="400"/>
      <c r="M87" s="400"/>
      <c r="N87" s="400"/>
      <c r="O87" s="400"/>
      <c r="P87" s="400"/>
      <c r="Q87" s="396"/>
      <c r="R87" s="396"/>
      <c r="S87" s="396"/>
      <c r="T87" s="396"/>
      <c r="U87" s="396"/>
      <c r="V87" s="397"/>
      <c r="W87" s="343"/>
      <c r="X87" s="343"/>
      <c r="Y87" s="343"/>
      <c r="Z87" s="343"/>
      <c r="AA87" s="343"/>
      <c r="AB87" s="343"/>
      <c r="AC87" s="343"/>
      <c r="AD87" s="343"/>
      <c r="AE87" s="343"/>
      <c r="AF87" s="343"/>
      <c r="AG87" s="343"/>
      <c r="AH87" s="343"/>
      <c r="AI87" s="343"/>
      <c r="AJ87" s="343"/>
      <c r="AK87" s="343"/>
      <c r="AL87" s="407"/>
      <c r="AM87" s="396"/>
      <c r="AN87" s="396"/>
      <c r="AO87" s="396"/>
      <c r="AP87" s="396"/>
      <c r="AQ87" s="396"/>
      <c r="AR87" s="396"/>
      <c r="AS87" s="396"/>
      <c r="AT87" s="396"/>
      <c r="AU87" s="490"/>
      <c r="AV87" s="152"/>
      <c r="AW87" s="387"/>
      <c r="AX87" s="489">
        <f>ROUND(ROUND(R88,0)*$AU$58,0)</f>
        <v>138</v>
      </c>
      <c r="AY87" s="393"/>
    </row>
    <row r="88" spans="1:51" ht="16.5" customHeight="1" x14ac:dyDescent="0.15">
      <c r="A88" s="340">
        <v>12</v>
      </c>
      <c r="B88" s="341">
        <v>4232</v>
      </c>
      <c r="C88" s="390" t="s">
        <v>16227</v>
      </c>
      <c r="D88" s="403"/>
      <c r="E88" s="404"/>
      <c r="F88" s="404"/>
      <c r="G88" s="404"/>
      <c r="H88" s="406"/>
      <c r="R88" s="836">
        <f>'2重度訪問'!U88</f>
        <v>92</v>
      </c>
      <c r="S88" s="837"/>
      <c r="T88" s="837"/>
      <c r="U88" s="152" t="s">
        <v>15624</v>
      </c>
      <c r="V88" s="387"/>
      <c r="W88" s="343" t="s">
        <v>15625</v>
      </c>
      <c r="X88" s="325"/>
      <c r="Y88" s="325"/>
      <c r="Z88" s="325"/>
      <c r="AA88" s="325"/>
      <c r="AB88" s="325"/>
      <c r="AC88" s="325"/>
      <c r="AD88" s="325"/>
      <c r="AE88" s="325"/>
      <c r="AF88" s="325"/>
      <c r="AG88" s="325"/>
      <c r="AH88" s="325"/>
      <c r="AI88" s="325"/>
      <c r="AJ88" s="391" t="s">
        <v>15626</v>
      </c>
      <c r="AK88" s="838">
        <f>AK86</f>
        <v>1</v>
      </c>
      <c r="AL88" s="839"/>
      <c r="AM88" s="325"/>
      <c r="AN88" s="325"/>
      <c r="AO88" s="325"/>
      <c r="AP88" s="325"/>
      <c r="AQ88" s="325"/>
      <c r="AR88" s="325"/>
      <c r="AS88" s="325"/>
      <c r="AT88" s="391"/>
      <c r="AU88" s="490"/>
      <c r="AV88" s="152"/>
      <c r="AW88" s="387"/>
      <c r="AX88" s="489">
        <f>ROUND(ROUND(R88*AK88,0)*$AU$58,0)</f>
        <v>138</v>
      </c>
      <c r="AY88" s="393"/>
    </row>
    <row r="89" spans="1:51" ht="16.5" customHeight="1" x14ac:dyDescent="0.15">
      <c r="A89" s="340">
        <v>12</v>
      </c>
      <c r="B89" s="341">
        <v>7269</v>
      </c>
      <c r="C89" s="390" t="s">
        <v>16228</v>
      </c>
      <c r="D89" s="403"/>
      <c r="E89" s="404"/>
      <c r="F89" s="404"/>
      <c r="G89" s="404"/>
      <c r="H89" s="406"/>
      <c r="R89" s="395"/>
      <c r="S89" s="151"/>
      <c r="T89" s="151"/>
      <c r="V89" s="387"/>
      <c r="W89" s="343"/>
      <c r="X89" s="343"/>
      <c r="Y89" s="343"/>
      <c r="Z89" s="343"/>
      <c r="AA89" s="343"/>
      <c r="AB89" s="343"/>
      <c r="AC89" s="343"/>
      <c r="AD89" s="343"/>
      <c r="AE89" s="343"/>
      <c r="AF89" s="343"/>
      <c r="AG89" s="343"/>
      <c r="AH89" s="343"/>
      <c r="AI89" s="343"/>
      <c r="AJ89" s="343"/>
      <c r="AK89" s="343"/>
      <c r="AL89" s="343"/>
      <c r="AM89" s="114" t="s">
        <v>15628</v>
      </c>
      <c r="AN89" s="396"/>
      <c r="AO89" s="396"/>
      <c r="AP89" s="396"/>
      <c r="AQ89" s="396"/>
      <c r="AR89" s="396"/>
      <c r="AS89" s="396"/>
      <c r="AT89" s="396"/>
      <c r="AU89" s="490"/>
      <c r="AV89" s="152"/>
      <c r="AW89" s="387"/>
      <c r="AX89" s="489">
        <f>ROUND(ROUND(R88*AS90,0)*$AU$58,0)</f>
        <v>117</v>
      </c>
      <c r="AY89" s="393"/>
    </row>
    <row r="90" spans="1:51" ht="16.5" customHeight="1" x14ac:dyDescent="0.15">
      <c r="A90" s="340">
        <v>12</v>
      </c>
      <c r="B90" s="341">
        <v>7270</v>
      </c>
      <c r="C90" s="390" t="s">
        <v>16229</v>
      </c>
      <c r="D90" s="403"/>
      <c r="E90" s="404"/>
      <c r="F90" s="404"/>
      <c r="G90" s="404"/>
      <c r="H90" s="406"/>
      <c r="R90" s="395"/>
      <c r="S90" s="151"/>
      <c r="T90" s="151"/>
      <c r="V90" s="387"/>
      <c r="W90" s="343" t="s">
        <v>15625</v>
      </c>
      <c r="X90" s="325"/>
      <c r="Y90" s="325"/>
      <c r="Z90" s="325"/>
      <c r="AA90" s="325"/>
      <c r="AB90" s="325"/>
      <c r="AC90" s="325"/>
      <c r="AD90" s="325"/>
      <c r="AE90" s="325"/>
      <c r="AF90" s="325"/>
      <c r="AG90" s="325"/>
      <c r="AH90" s="325"/>
      <c r="AI90" s="325"/>
      <c r="AJ90" s="391" t="s">
        <v>15626</v>
      </c>
      <c r="AK90" s="838">
        <f>AK88</f>
        <v>1</v>
      </c>
      <c r="AL90" s="843"/>
      <c r="AM90" s="324" t="s">
        <v>15630</v>
      </c>
      <c r="AN90" s="325"/>
      <c r="AO90" s="325"/>
      <c r="AP90" s="325"/>
      <c r="AQ90" s="325"/>
      <c r="AR90" s="190" t="s">
        <v>398</v>
      </c>
      <c r="AS90" s="844">
        <f>AS86</f>
        <v>0.85</v>
      </c>
      <c r="AT90" s="844"/>
      <c r="AU90" s="490"/>
      <c r="AV90" s="152"/>
      <c r="AW90" s="387"/>
      <c r="AX90" s="489">
        <f>ROUND(ROUND(ROUND(R88*AK90,0)*AS90,0)*$AU$58,0)</f>
        <v>117</v>
      </c>
      <c r="AY90" s="393"/>
    </row>
    <row r="91" spans="1:51" ht="17.100000000000001" customHeight="1" x14ac:dyDescent="0.15">
      <c r="A91" s="340">
        <v>12</v>
      </c>
      <c r="B91" s="341">
        <v>4241</v>
      </c>
      <c r="C91" s="390" t="s">
        <v>16230</v>
      </c>
      <c r="D91" s="403"/>
      <c r="E91" s="404"/>
      <c r="F91" s="404"/>
      <c r="G91" s="404"/>
      <c r="H91" s="406"/>
      <c r="I91" s="253" t="s">
        <v>15674</v>
      </c>
      <c r="J91" s="396"/>
      <c r="K91" s="396"/>
      <c r="L91" s="400"/>
      <c r="M91" s="400"/>
      <c r="N91" s="400"/>
      <c r="O91" s="400"/>
      <c r="P91" s="400"/>
      <c r="Q91" s="396"/>
      <c r="R91" s="396"/>
      <c r="S91" s="396"/>
      <c r="T91" s="396"/>
      <c r="U91" s="396"/>
      <c r="V91" s="397"/>
      <c r="W91" s="343"/>
      <c r="X91" s="343"/>
      <c r="Y91" s="343"/>
      <c r="Z91" s="343"/>
      <c r="AA91" s="343"/>
      <c r="AB91" s="343"/>
      <c r="AC91" s="343"/>
      <c r="AD91" s="343"/>
      <c r="AE91" s="343"/>
      <c r="AF91" s="343"/>
      <c r="AG91" s="343"/>
      <c r="AH91" s="343"/>
      <c r="AI91" s="343"/>
      <c r="AJ91" s="343"/>
      <c r="AK91" s="343"/>
      <c r="AL91" s="407"/>
      <c r="AM91" s="396"/>
      <c r="AN91" s="396"/>
      <c r="AO91" s="396"/>
      <c r="AP91" s="396"/>
      <c r="AQ91" s="396"/>
      <c r="AR91" s="396"/>
      <c r="AS91" s="396"/>
      <c r="AT91" s="396"/>
      <c r="AU91" s="490"/>
      <c r="AV91" s="152"/>
      <c r="AW91" s="387"/>
      <c r="AX91" s="489">
        <f>ROUND(ROUND(R92,0)*$AU$58,0)</f>
        <v>131</v>
      </c>
      <c r="AY91" s="393"/>
    </row>
    <row r="92" spans="1:51" ht="16.5" customHeight="1" x14ac:dyDescent="0.15">
      <c r="A92" s="340">
        <v>12</v>
      </c>
      <c r="B92" s="341">
        <v>4242</v>
      </c>
      <c r="C92" s="390" t="s">
        <v>16231</v>
      </c>
      <c r="D92" s="403"/>
      <c r="E92" s="404"/>
      <c r="F92" s="404"/>
      <c r="G92" s="404"/>
      <c r="H92" s="406"/>
      <c r="R92" s="836">
        <f>'2重度訪問'!U92</f>
        <v>87</v>
      </c>
      <c r="S92" s="837"/>
      <c r="T92" s="837"/>
      <c r="U92" s="152" t="s">
        <v>15624</v>
      </c>
      <c r="V92" s="387"/>
      <c r="W92" s="343" t="s">
        <v>15625</v>
      </c>
      <c r="X92" s="325"/>
      <c r="Y92" s="325"/>
      <c r="Z92" s="325"/>
      <c r="AA92" s="325"/>
      <c r="AB92" s="325"/>
      <c r="AC92" s="325"/>
      <c r="AD92" s="325"/>
      <c r="AE92" s="325"/>
      <c r="AF92" s="325"/>
      <c r="AG92" s="325"/>
      <c r="AH92" s="325"/>
      <c r="AI92" s="325"/>
      <c r="AJ92" s="391" t="s">
        <v>15626</v>
      </c>
      <c r="AK92" s="838">
        <f>AK90</f>
        <v>1</v>
      </c>
      <c r="AL92" s="839"/>
      <c r="AM92" s="325"/>
      <c r="AN92" s="325"/>
      <c r="AO92" s="325"/>
      <c r="AP92" s="325"/>
      <c r="AQ92" s="325"/>
      <c r="AR92" s="325"/>
      <c r="AS92" s="325"/>
      <c r="AT92" s="391"/>
      <c r="AU92" s="490"/>
      <c r="AV92" s="152"/>
      <c r="AW92" s="387"/>
      <c r="AX92" s="489">
        <f>ROUND(ROUND(R92*AK92,0)*$AU$58,0)</f>
        <v>131</v>
      </c>
      <c r="AY92" s="393"/>
    </row>
    <row r="93" spans="1:51" ht="16.5" customHeight="1" x14ac:dyDescent="0.15">
      <c r="A93" s="340">
        <v>12</v>
      </c>
      <c r="B93" s="341">
        <v>7271</v>
      </c>
      <c r="C93" s="390" t="s">
        <v>16232</v>
      </c>
      <c r="D93" s="403"/>
      <c r="E93" s="404"/>
      <c r="F93" s="404"/>
      <c r="G93" s="404"/>
      <c r="H93" s="406"/>
      <c r="R93" s="395"/>
      <c r="S93" s="151"/>
      <c r="T93" s="151"/>
      <c r="V93" s="387"/>
      <c r="W93" s="343"/>
      <c r="X93" s="343"/>
      <c r="Y93" s="343"/>
      <c r="Z93" s="343"/>
      <c r="AA93" s="343"/>
      <c r="AB93" s="343"/>
      <c r="AC93" s="343"/>
      <c r="AD93" s="343"/>
      <c r="AE93" s="343"/>
      <c r="AF93" s="343"/>
      <c r="AG93" s="343"/>
      <c r="AH93" s="343"/>
      <c r="AI93" s="343"/>
      <c r="AJ93" s="343"/>
      <c r="AK93" s="343"/>
      <c r="AL93" s="343"/>
      <c r="AM93" s="114" t="s">
        <v>15628</v>
      </c>
      <c r="AN93" s="396"/>
      <c r="AO93" s="396"/>
      <c r="AP93" s="396"/>
      <c r="AQ93" s="396"/>
      <c r="AR93" s="396"/>
      <c r="AS93" s="396"/>
      <c r="AT93" s="396"/>
      <c r="AU93" s="490"/>
      <c r="AV93" s="152"/>
      <c r="AW93" s="387"/>
      <c r="AX93" s="489">
        <f>ROUND(ROUND(R92*AS94,0)*$AU$58,0)</f>
        <v>111</v>
      </c>
      <c r="AY93" s="393"/>
    </row>
    <row r="94" spans="1:51" ht="16.5" customHeight="1" x14ac:dyDescent="0.15">
      <c r="A94" s="340">
        <v>12</v>
      </c>
      <c r="B94" s="341">
        <v>7272</v>
      </c>
      <c r="C94" s="390" t="s">
        <v>16233</v>
      </c>
      <c r="D94" s="403"/>
      <c r="E94" s="404"/>
      <c r="F94" s="404"/>
      <c r="G94" s="404"/>
      <c r="H94" s="406"/>
      <c r="R94" s="395"/>
      <c r="S94" s="151"/>
      <c r="T94" s="151"/>
      <c r="V94" s="387"/>
      <c r="W94" s="343" t="s">
        <v>15625</v>
      </c>
      <c r="X94" s="325"/>
      <c r="Y94" s="325"/>
      <c r="Z94" s="325"/>
      <c r="AA94" s="325"/>
      <c r="AB94" s="325"/>
      <c r="AC94" s="325"/>
      <c r="AD94" s="325"/>
      <c r="AE94" s="325"/>
      <c r="AF94" s="325"/>
      <c r="AG94" s="325"/>
      <c r="AH94" s="325"/>
      <c r="AI94" s="325"/>
      <c r="AJ94" s="391" t="s">
        <v>15626</v>
      </c>
      <c r="AK94" s="838">
        <f>AK92</f>
        <v>1</v>
      </c>
      <c r="AL94" s="843"/>
      <c r="AM94" s="324" t="s">
        <v>15630</v>
      </c>
      <c r="AN94" s="325"/>
      <c r="AO94" s="325"/>
      <c r="AP94" s="325"/>
      <c r="AQ94" s="325"/>
      <c r="AR94" s="190" t="s">
        <v>398</v>
      </c>
      <c r="AS94" s="844">
        <f>AS90</f>
        <v>0.85</v>
      </c>
      <c r="AT94" s="844"/>
      <c r="AU94" s="490"/>
      <c r="AV94" s="152"/>
      <c r="AW94" s="387"/>
      <c r="AX94" s="489">
        <f>ROUND(ROUND(ROUND(R92*AK94,0)*AS94,0)*$AU$58,0)</f>
        <v>111</v>
      </c>
      <c r="AY94" s="393"/>
    </row>
    <row r="95" spans="1:51" ht="17.100000000000001" customHeight="1" x14ac:dyDescent="0.15">
      <c r="A95" s="340">
        <v>12</v>
      </c>
      <c r="B95" s="341">
        <v>4251</v>
      </c>
      <c r="C95" s="390" t="s">
        <v>16234</v>
      </c>
      <c r="D95" s="403"/>
      <c r="E95" s="404"/>
      <c r="F95" s="404"/>
      <c r="G95" s="404"/>
      <c r="H95" s="406"/>
      <c r="I95" s="253" t="s">
        <v>15679</v>
      </c>
      <c r="J95" s="396"/>
      <c r="K95" s="396"/>
      <c r="L95" s="400"/>
      <c r="M95" s="400"/>
      <c r="N95" s="400"/>
      <c r="O95" s="400"/>
      <c r="P95" s="400"/>
      <c r="Q95" s="396"/>
      <c r="R95" s="396"/>
      <c r="S95" s="396"/>
      <c r="T95" s="396"/>
      <c r="U95" s="396"/>
      <c r="V95" s="397"/>
      <c r="W95" s="343"/>
      <c r="X95" s="343"/>
      <c r="Y95" s="343"/>
      <c r="Z95" s="343"/>
      <c r="AA95" s="343"/>
      <c r="AB95" s="343"/>
      <c r="AC95" s="343"/>
      <c r="AD95" s="343"/>
      <c r="AE95" s="343"/>
      <c r="AF95" s="343"/>
      <c r="AG95" s="343"/>
      <c r="AH95" s="343"/>
      <c r="AI95" s="343"/>
      <c r="AJ95" s="343"/>
      <c r="AK95" s="343"/>
      <c r="AL95" s="407"/>
      <c r="AM95" s="396"/>
      <c r="AN95" s="396"/>
      <c r="AO95" s="396"/>
      <c r="AP95" s="396"/>
      <c r="AQ95" s="396"/>
      <c r="AR95" s="396"/>
      <c r="AS95" s="396"/>
      <c r="AT95" s="396"/>
      <c r="AU95" s="490"/>
      <c r="AV95" s="152"/>
      <c r="AW95" s="387"/>
      <c r="AX95" s="489">
        <f>ROUND(ROUND(R96,0)*$AU$58,0)</f>
        <v>140</v>
      </c>
      <c r="AY95" s="393"/>
    </row>
    <row r="96" spans="1:51" ht="16.5" customHeight="1" x14ac:dyDescent="0.15">
      <c r="A96" s="340">
        <v>12</v>
      </c>
      <c r="B96" s="341">
        <v>4252</v>
      </c>
      <c r="C96" s="390" t="s">
        <v>16235</v>
      </c>
      <c r="D96" s="403"/>
      <c r="E96" s="404"/>
      <c r="F96" s="404"/>
      <c r="G96" s="404"/>
      <c r="H96" s="406"/>
      <c r="R96" s="836">
        <f>'2重度訪問'!U96</f>
        <v>93</v>
      </c>
      <c r="S96" s="837"/>
      <c r="T96" s="837"/>
      <c r="U96" s="152" t="s">
        <v>15624</v>
      </c>
      <c r="V96" s="387"/>
      <c r="W96" s="343" t="s">
        <v>15625</v>
      </c>
      <c r="X96" s="325"/>
      <c r="Y96" s="325"/>
      <c r="Z96" s="325"/>
      <c r="AA96" s="325"/>
      <c r="AB96" s="325"/>
      <c r="AC96" s="325"/>
      <c r="AD96" s="325"/>
      <c r="AE96" s="325"/>
      <c r="AF96" s="325"/>
      <c r="AG96" s="325"/>
      <c r="AH96" s="325"/>
      <c r="AI96" s="325"/>
      <c r="AJ96" s="391" t="s">
        <v>15626</v>
      </c>
      <c r="AK96" s="838">
        <f>AK94</f>
        <v>1</v>
      </c>
      <c r="AL96" s="839"/>
      <c r="AM96" s="325"/>
      <c r="AN96" s="325"/>
      <c r="AO96" s="325"/>
      <c r="AP96" s="325"/>
      <c r="AQ96" s="325"/>
      <c r="AR96" s="325"/>
      <c r="AS96" s="325"/>
      <c r="AT96" s="391"/>
      <c r="AU96" s="490"/>
      <c r="AV96" s="152"/>
      <c r="AW96" s="387"/>
      <c r="AX96" s="489">
        <f>ROUND(ROUND(R96*AK96,0)*$AU$58,0)</f>
        <v>140</v>
      </c>
      <c r="AY96" s="393"/>
    </row>
    <row r="97" spans="1:51" ht="16.5" customHeight="1" x14ac:dyDescent="0.15">
      <c r="A97" s="340">
        <v>12</v>
      </c>
      <c r="B97" s="341">
        <v>7273</v>
      </c>
      <c r="C97" s="390" t="s">
        <v>16236</v>
      </c>
      <c r="D97" s="403"/>
      <c r="E97" s="404"/>
      <c r="F97" s="404"/>
      <c r="G97" s="404"/>
      <c r="H97" s="406"/>
      <c r="R97" s="395"/>
      <c r="S97" s="151"/>
      <c r="T97" s="151"/>
      <c r="V97" s="387"/>
      <c r="W97" s="343"/>
      <c r="X97" s="343"/>
      <c r="Y97" s="343"/>
      <c r="Z97" s="343"/>
      <c r="AA97" s="343"/>
      <c r="AB97" s="343"/>
      <c r="AC97" s="343"/>
      <c r="AD97" s="343"/>
      <c r="AE97" s="343"/>
      <c r="AF97" s="343"/>
      <c r="AG97" s="343"/>
      <c r="AH97" s="343"/>
      <c r="AI97" s="343"/>
      <c r="AJ97" s="343"/>
      <c r="AK97" s="343"/>
      <c r="AL97" s="343"/>
      <c r="AM97" s="114" t="s">
        <v>15628</v>
      </c>
      <c r="AN97" s="396"/>
      <c r="AO97" s="396"/>
      <c r="AP97" s="396"/>
      <c r="AQ97" s="396"/>
      <c r="AR97" s="396"/>
      <c r="AS97" s="396"/>
      <c r="AT97" s="396"/>
      <c r="AU97" s="490"/>
      <c r="AV97" s="152"/>
      <c r="AW97" s="387"/>
      <c r="AX97" s="489">
        <f>ROUND(ROUND(R96*AS98,0)*$AU$58,0)</f>
        <v>119</v>
      </c>
      <c r="AY97" s="393"/>
    </row>
    <row r="98" spans="1:51" ht="16.5" customHeight="1" x14ac:dyDescent="0.15">
      <c r="A98" s="340">
        <v>12</v>
      </c>
      <c r="B98" s="341">
        <v>7274</v>
      </c>
      <c r="C98" s="390" t="s">
        <v>16237</v>
      </c>
      <c r="D98" s="403"/>
      <c r="E98" s="404"/>
      <c r="F98" s="404"/>
      <c r="G98" s="404"/>
      <c r="H98" s="406"/>
      <c r="R98" s="395"/>
      <c r="S98" s="151"/>
      <c r="T98" s="151"/>
      <c r="V98" s="387"/>
      <c r="W98" s="343" t="s">
        <v>15625</v>
      </c>
      <c r="X98" s="325"/>
      <c r="Y98" s="325"/>
      <c r="Z98" s="325"/>
      <c r="AA98" s="325"/>
      <c r="AB98" s="325"/>
      <c r="AC98" s="325"/>
      <c r="AD98" s="325"/>
      <c r="AE98" s="325"/>
      <c r="AF98" s="325"/>
      <c r="AG98" s="325"/>
      <c r="AH98" s="325"/>
      <c r="AI98" s="325"/>
      <c r="AJ98" s="391" t="s">
        <v>15626</v>
      </c>
      <c r="AK98" s="838">
        <f>AK96</f>
        <v>1</v>
      </c>
      <c r="AL98" s="843"/>
      <c r="AM98" s="324" t="s">
        <v>15630</v>
      </c>
      <c r="AN98" s="325"/>
      <c r="AO98" s="325"/>
      <c r="AP98" s="325"/>
      <c r="AQ98" s="325"/>
      <c r="AR98" s="190" t="s">
        <v>398</v>
      </c>
      <c r="AS98" s="844">
        <f>AS94</f>
        <v>0.85</v>
      </c>
      <c r="AT98" s="844"/>
      <c r="AU98" s="490"/>
      <c r="AV98" s="152"/>
      <c r="AW98" s="387"/>
      <c r="AX98" s="489">
        <f>ROUND(ROUND(ROUND(R96*AK98,0)*AS98,0)*$AU$58,0)</f>
        <v>119</v>
      </c>
      <c r="AY98" s="393"/>
    </row>
    <row r="99" spans="1:51" ht="17.100000000000001" customHeight="1" x14ac:dyDescent="0.15">
      <c r="A99" s="340">
        <v>12</v>
      </c>
      <c r="B99" s="341">
        <v>4261</v>
      </c>
      <c r="C99" s="390" t="s">
        <v>16238</v>
      </c>
      <c r="D99" s="403"/>
      <c r="E99" s="404"/>
      <c r="F99" s="404"/>
      <c r="G99" s="404"/>
      <c r="H99" s="406"/>
      <c r="I99" s="253" t="s">
        <v>15684</v>
      </c>
      <c r="J99" s="396"/>
      <c r="K99" s="396"/>
      <c r="L99" s="400"/>
      <c r="M99" s="400"/>
      <c r="N99" s="400"/>
      <c r="O99" s="400"/>
      <c r="P99" s="400"/>
      <c r="Q99" s="396"/>
      <c r="R99" s="396"/>
      <c r="S99" s="396"/>
      <c r="T99" s="396"/>
      <c r="U99" s="396"/>
      <c r="V99" s="397"/>
      <c r="W99" s="343"/>
      <c r="X99" s="343"/>
      <c r="Y99" s="343"/>
      <c r="Z99" s="343"/>
      <c r="AA99" s="343"/>
      <c r="AB99" s="343"/>
      <c r="AC99" s="343"/>
      <c r="AD99" s="343"/>
      <c r="AE99" s="343"/>
      <c r="AF99" s="343"/>
      <c r="AG99" s="343"/>
      <c r="AH99" s="343"/>
      <c r="AI99" s="343"/>
      <c r="AJ99" s="343"/>
      <c r="AK99" s="343"/>
      <c r="AL99" s="407"/>
      <c r="AM99" s="396"/>
      <c r="AN99" s="396"/>
      <c r="AO99" s="396"/>
      <c r="AP99" s="396"/>
      <c r="AQ99" s="396"/>
      <c r="AR99" s="396"/>
      <c r="AS99" s="396"/>
      <c r="AT99" s="396"/>
      <c r="AU99" s="490"/>
      <c r="AV99" s="152"/>
      <c r="AW99" s="387"/>
      <c r="AX99" s="489">
        <f>ROUND(ROUND(R100,0)*$AU$58,0)</f>
        <v>131</v>
      </c>
      <c r="AY99" s="393"/>
    </row>
    <row r="100" spans="1:51" ht="16.5" customHeight="1" x14ac:dyDescent="0.15">
      <c r="A100" s="340">
        <v>12</v>
      </c>
      <c r="B100" s="341">
        <v>4262</v>
      </c>
      <c r="C100" s="390" t="s">
        <v>16239</v>
      </c>
      <c r="D100" s="403"/>
      <c r="E100" s="404"/>
      <c r="F100" s="404"/>
      <c r="G100" s="404"/>
      <c r="H100" s="406"/>
      <c r="R100" s="836">
        <f>'2重度訪問'!U100</f>
        <v>87</v>
      </c>
      <c r="S100" s="837"/>
      <c r="T100" s="837"/>
      <c r="U100" s="152" t="s">
        <v>15624</v>
      </c>
      <c r="V100" s="387"/>
      <c r="W100" s="343" t="s">
        <v>15625</v>
      </c>
      <c r="X100" s="325"/>
      <c r="Y100" s="325"/>
      <c r="Z100" s="325"/>
      <c r="AA100" s="325"/>
      <c r="AB100" s="325"/>
      <c r="AC100" s="325"/>
      <c r="AD100" s="325"/>
      <c r="AE100" s="325"/>
      <c r="AF100" s="325"/>
      <c r="AG100" s="325"/>
      <c r="AH100" s="325"/>
      <c r="AI100" s="325"/>
      <c r="AJ100" s="391" t="s">
        <v>15626</v>
      </c>
      <c r="AK100" s="838">
        <f>AK98</f>
        <v>1</v>
      </c>
      <c r="AL100" s="839"/>
      <c r="AM100" s="325"/>
      <c r="AN100" s="325"/>
      <c r="AO100" s="325"/>
      <c r="AP100" s="325"/>
      <c r="AQ100" s="325"/>
      <c r="AR100" s="325"/>
      <c r="AS100" s="325"/>
      <c r="AT100" s="391"/>
      <c r="AU100" s="490"/>
      <c r="AV100" s="152"/>
      <c r="AW100" s="387"/>
      <c r="AX100" s="489">
        <f>ROUND(ROUND(R100*AK100,0)*$AU$58,0)</f>
        <v>131</v>
      </c>
      <c r="AY100" s="393"/>
    </row>
    <row r="101" spans="1:51" ht="16.5" customHeight="1" x14ac:dyDescent="0.15">
      <c r="A101" s="340">
        <v>12</v>
      </c>
      <c r="B101" s="341">
        <v>7275</v>
      </c>
      <c r="C101" s="390" t="s">
        <v>16240</v>
      </c>
      <c r="D101" s="403"/>
      <c r="E101" s="404"/>
      <c r="F101" s="404"/>
      <c r="G101" s="404"/>
      <c r="H101" s="406"/>
      <c r="R101" s="395"/>
      <c r="S101" s="151"/>
      <c r="T101" s="151"/>
      <c r="V101" s="387"/>
      <c r="W101" s="343"/>
      <c r="X101" s="343"/>
      <c r="Y101" s="343"/>
      <c r="Z101" s="343"/>
      <c r="AA101" s="343"/>
      <c r="AB101" s="343"/>
      <c r="AC101" s="343"/>
      <c r="AD101" s="343"/>
      <c r="AE101" s="343"/>
      <c r="AF101" s="343"/>
      <c r="AG101" s="343"/>
      <c r="AH101" s="343"/>
      <c r="AI101" s="343"/>
      <c r="AJ101" s="343"/>
      <c r="AK101" s="343"/>
      <c r="AL101" s="343"/>
      <c r="AM101" s="114" t="s">
        <v>15628</v>
      </c>
      <c r="AN101" s="396"/>
      <c r="AO101" s="396"/>
      <c r="AP101" s="396"/>
      <c r="AQ101" s="396"/>
      <c r="AR101" s="396"/>
      <c r="AS101" s="396"/>
      <c r="AT101" s="396"/>
      <c r="AU101" s="490"/>
      <c r="AV101" s="152"/>
      <c r="AW101" s="387"/>
      <c r="AX101" s="489">
        <f>ROUND(ROUND(R100*AS102,0)*$AU$58,0)</f>
        <v>111</v>
      </c>
      <c r="AY101" s="393"/>
    </row>
    <row r="102" spans="1:51" ht="16.5" customHeight="1" x14ac:dyDescent="0.15">
      <c r="A102" s="340">
        <v>12</v>
      </c>
      <c r="B102" s="341">
        <v>7276</v>
      </c>
      <c r="C102" s="390" t="s">
        <v>16241</v>
      </c>
      <c r="D102" s="419"/>
      <c r="E102" s="420"/>
      <c r="F102" s="420"/>
      <c r="G102" s="420"/>
      <c r="H102" s="422"/>
      <c r="I102" s="325"/>
      <c r="J102" s="325"/>
      <c r="K102" s="325"/>
      <c r="L102" s="325"/>
      <c r="M102" s="325"/>
      <c r="N102" s="325"/>
      <c r="O102" s="325"/>
      <c r="P102" s="325"/>
      <c r="Q102" s="325"/>
      <c r="R102" s="416"/>
      <c r="S102" s="417"/>
      <c r="T102" s="417"/>
      <c r="U102" s="325"/>
      <c r="V102" s="388"/>
      <c r="W102" s="343" t="s">
        <v>15625</v>
      </c>
      <c r="X102" s="325"/>
      <c r="Y102" s="325"/>
      <c r="Z102" s="325"/>
      <c r="AA102" s="325"/>
      <c r="AB102" s="325"/>
      <c r="AC102" s="325"/>
      <c r="AD102" s="325"/>
      <c r="AE102" s="325"/>
      <c r="AF102" s="325"/>
      <c r="AG102" s="325"/>
      <c r="AH102" s="325"/>
      <c r="AI102" s="325"/>
      <c r="AJ102" s="391" t="s">
        <v>15626</v>
      </c>
      <c r="AK102" s="838">
        <f>AK100</f>
        <v>1</v>
      </c>
      <c r="AL102" s="843"/>
      <c r="AM102" s="324" t="s">
        <v>15630</v>
      </c>
      <c r="AN102" s="325"/>
      <c r="AO102" s="325"/>
      <c r="AP102" s="325"/>
      <c r="AQ102" s="325"/>
      <c r="AR102" s="190" t="s">
        <v>398</v>
      </c>
      <c r="AS102" s="844">
        <f>AS98</f>
        <v>0.85</v>
      </c>
      <c r="AT102" s="844"/>
      <c r="AU102" s="324"/>
      <c r="AV102" s="325"/>
      <c r="AW102" s="388"/>
      <c r="AX102" s="491">
        <f>ROUND(ROUND(ROUND(R100*AK102,0)*AS102,0)*$AU$58,0)</f>
        <v>111</v>
      </c>
      <c r="AY102" s="418"/>
    </row>
    <row r="103" spans="1:51" ht="17.100000000000001" customHeight="1" x14ac:dyDescent="0.15">
      <c r="A103" s="340">
        <v>12</v>
      </c>
      <c r="B103" s="341">
        <v>4371</v>
      </c>
      <c r="C103" s="390" t="s">
        <v>16242</v>
      </c>
      <c r="D103" s="857" t="s">
        <v>15740</v>
      </c>
      <c r="E103" s="858"/>
      <c r="F103" s="858"/>
      <c r="G103" s="858"/>
      <c r="H103" s="860"/>
      <c r="I103" s="253" t="s">
        <v>15690</v>
      </c>
      <c r="J103" s="396"/>
      <c r="K103" s="396"/>
      <c r="L103" s="400"/>
      <c r="M103" s="400"/>
      <c r="N103" s="400"/>
      <c r="O103" s="400"/>
      <c r="P103" s="400"/>
      <c r="Q103" s="396"/>
      <c r="R103" s="396"/>
      <c r="S103" s="396"/>
      <c r="T103" s="396"/>
      <c r="U103" s="396"/>
      <c r="V103" s="397"/>
      <c r="W103" s="343"/>
      <c r="X103" s="343"/>
      <c r="Y103" s="343"/>
      <c r="Z103" s="343"/>
      <c r="AA103" s="343"/>
      <c r="AB103" s="343"/>
      <c r="AC103" s="343"/>
      <c r="AD103" s="343"/>
      <c r="AE103" s="343"/>
      <c r="AF103" s="343"/>
      <c r="AG103" s="343"/>
      <c r="AH103" s="343"/>
      <c r="AI103" s="343"/>
      <c r="AJ103" s="343"/>
      <c r="AK103" s="343"/>
      <c r="AL103" s="407"/>
      <c r="AM103" s="396"/>
      <c r="AN103" s="396"/>
      <c r="AO103" s="396"/>
      <c r="AP103" s="396"/>
      <c r="AQ103" s="396"/>
      <c r="AR103" s="396"/>
      <c r="AS103" s="396"/>
      <c r="AT103" s="396"/>
      <c r="AU103" s="753" t="s">
        <v>862</v>
      </c>
      <c r="AV103" s="742"/>
      <c r="AW103" s="714"/>
      <c r="AX103" s="489">
        <f>ROUND(R104*$AU$106,0)</f>
        <v>278</v>
      </c>
      <c r="AY103" s="329" t="s">
        <v>15622</v>
      </c>
    </row>
    <row r="104" spans="1:51" ht="16.5" customHeight="1" x14ac:dyDescent="0.15">
      <c r="A104" s="340">
        <v>12</v>
      </c>
      <c r="B104" s="341">
        <v>4372</v>
      </c>
      <c r="C104" s="390" t="s">
        <v>16243</v>
      </c>
      <c r="D104" s="849"/>
      <c r="E104" s="850"/>
      <c r="F104" s="850"/>
      <c r="G104" s="850"/>
      <c r="H104" s="852"/>
      <c r="R104" s="836">
        <f>'2重度訪問'!U104</f>
        <v>185</v>
      </c>
      <c r="S104" s="837"/>
      <c r="T104" s="837"/>
      <c r="U104" s="152" t="s">
        <v>15624</v>
      </c>
      <c r="V104" s="387"/>
      <c r="W104" s="343" t="s">
        <v>15625</v>
      </c>
      <c r="X104" s="325"/>
      <c r="Y104" s="325"/>
      <c r="Z104" s="325"/>
      <c r="AA104" s="325"/>
      <c r="AB104" s="325"/>
      <c r="AC104" s="325"/>
      <c r="AD104" s="325"/>
      <c r="AE104" s="325"/>
      <c r="AF104" s="325"/>
      <c r="AG104" s="325"/>
      <c r="AH104" s="325"/>
      <c r="AI104" s="325"/>
      <c r="AJ104" s="391" t="s">
        <v>15626</v>
      </c>
      <c r="AK104" s="838">
        <f>AK102</f>
        <v>1</v>
      </c>
      <c r="AL104" s="839"/>
      <c r="AM104" s="325"/>
      <c r="AN104" s="325"/>
      <c r="AO104" s="325"/>
      <c r="AP104" s="325"/>
      <c r="AQ104" s="325"/>
      <c r="AR104" s="325"/>
      <c r="AS104" s="325"/>
      <c r="AT104" s="325"/>
      <c r="AU104" s="754"/>
      <c r="AV104" s="744"/>
      <c r="AW104" s="716"/>
      <c r="AX104" s="489">
        <f>ROUND(ROUND(R104*AK104,0)*$AU$106,0)</f>
        <v>278</v>
      </c>
      <c r="AY104" s="393"/>
    </row>
    <row r="105" spans="1:51" ht="16.5" customHeight="1" x14ac:dyDescent="0.15">
      <c r="A105" s="340">
        <v>12</v>
      </c>
      <c r="B105" s="341">
        <v>7277</v>
      </c>
      <c r="C105" s="390" t="s">
        <v>16244</v>
      </c>
      <c r="D105" s="849"/>
      <c r="E105" s="850"/>
      <c r="F105" s="850"/>
      <c r="G105" s="850"/>
      <c r="H105" s="852"/>
      <c r="R105" s="395"/>
      <c r="S105" s="151"/>
      <c r="T105" s="151"/>
      <c r="V105" s="387"/>
      <c r="W105" s="343"/>
      <c r="X105" s="343"/>
      <c r="Y105" s="343"/>
      <c r="Z105" s="343"/>
      <c r="AA105" s="343"/>
      <c r="AB105" s="343"/>
      <c r="AC105" s="343"/>
      <c r="AD105" s="343"/>
      <c r="AE105" s="343"/>
      <c r="AF105" s="343"/>
      <c r="AG105" s="343"/>
      <c r="AH105" s="343"/>
      <c r="AI105" s="343"/>
      <c r="AJ105" s="343"/>
      <c r="AK105" s="343"/>
      <c r="AL105" s="343"/>
      <c r="AM105" s="114" t="s">
        <v>15628</v>
      </c>
      <c r="AN105" s="396"/>
      <c r="AO105" s="396"/>
      <c r="AP105" s="396"/>
      <c r="AQ105" s="396"/>
      <c r="AR105" s="396"/>
      <c r="AS105" s="396"/>
      <c r="AT105" s="396"/>
      <c r="AU105" s="893" t="s">
        <v>398</v>
      </c>
      <c r="AV105" s="894"/>
      <c r="AW105" s="895"/>
      <c r="AX105" s="489">
        <f>ROUND(ROUND(R104*AS106,0)*$AU$106,0)</f>
        <v>236</v>
      </c>
      <c r="AY105" s="393"/>
    </row>
    <row r="106" spans="1:51" ht="16.5" customHeight="1" x14ac:dyDescent="0.15">
      <c r="A106" s="340">
        <v>12</v>
      </c>
      <c r="B106" s="341">
        <v>7278</v>
      </c>
      <c r="C106" s="390" t="s">
        <v>16245</v>
      </c>
      <c r="D106" s="849"/>
      <c r="E106" s="850"/>
      <c r="F106" s="850"/>
      <c r="G106" s="850"/>
      <c r="H106" s="852"/>
      <c r="R106" s="395"/>
      <c r="S106" s="151"/>
      <c r="T106" s="151"/>
      <c r="V106" s="387"/>
      <c r="W106" s="343" t="s">
        <v>15625</v>
      </c>
      <c r="X106" s="325"/>
      <c r="Y106" s="325"/>
      <c r="Z106" s="325"/>
      <c r="AA106" s="325"/>
      <c r="AB106" s="325"/>
      <c r="AC106" s="325"/>
      <c r="AD106" s="325"/>
      <c r="AE106" s="325"/>
      <c r="AF106" s="325"/>
      <c r="AG106" s="325"/>
      <c r="AH106" s="325"/>
      <c r="AI106" s="325"/>
      <c r="AJ106" s="391" t="s">
        <v>15626</v>
      </c>
      <c r="AK106" s="838">
        <f>AK104</f>
        <v>1</v>
      </c>
      <c r="AL106" s="843"/>
      <c r="AM106" s="324" t="s">
        <v>15630</v>
      </c>
      <c r="AN106" s="325"/>
      <c r="AO106" s="325"/>
      <c r="AP106" s="325"/>
      <c r="AQ106" s="325"/>
      <c r="AR106" s="190" t="s">
        <v>398</v>
      </c>
      <c r="AS106" s="844">
        <f>AS102</f>
        <v>0.85</v>
      </c>
      <c r="AT106" s="844"/>
      <c r="AU106" s="896">
        <f>AU58</f>
        <v>1.5</v>
      </c>
      <c r="AV106" s="897"/>
      <c r="AW106" s="898"/>
      <c r="AX106" s="489">
        <f>ROUND(ROUND(ROUND(R104*AK106,0)*AS106,0)*$AU$106,0)</f>
        <v>236</v>
      </c>
      <c r="AY106" s="393"/>
    </row>
    <row r="107" spans="1:51" ht="17.100000000000001" customHeight="1" x14ac:dyDescent="0.15">
      <c r="A107" s="340">
        <v>12</v>
      </c>
      <c r="B107" s="341">
        <v>4381</v>
      </c>
      <c r="C107" s="390" t="s">
        <v>16246</v>
      </c>
      <c r="D107" s="403"/>
      <c r="E107" s="404"/>
      <c r="F107" s="404"/>
      <c r="G107" s="404"/>
      <c r="H107" s="406"/>
      <c r="I107" s="253" t="s">
        <v>15695</v>
      </c>
      <c r="J107" s="396"/>
      <c r="K107" s="396"/>
      <c r="L107" s="396"/>
      <c r="M107" s="396"/>
      <c r="N107" s="396"/>
      <c r="O107" s="396"/>
      <c r="P107" s="396"/>
      <c r="Q107" s="396"/>
      <c r="R107" s="399"/>
      <c r="S107" s="400"/>
      <c r="T107" s="400"/>
      <c r="U107" s="396"/>
      <c r="V107" s="397"/>
      <c r="W107" s="343"/>
      <c r="X107" s="325"/>
      <c r="Y107" s="325"/>
      <c r="Z107" s="325"/>
      <c r="AA107" s="325"/>
      <c r="AB107" s="325"/>
      <c r="AC107" s="325"/>
      <c r="AD107" s="325"/>
      <c r="AE107" s="325"/>
      <c r="AF107" s="325"/>
      <c r="AG107" s="325"/>
      <c r="AH107" s="325"/>
      <c r="AI107" s="325"/>
      <c r="AJ107" s="391"/>
      <c r="AK107" s="401"/>
      <c r="AL107" s="402"/>
      <c r="AU107" s="490"/>
      <c r="AV107" s="152"/>
      <c r="AW107" s="387"/>
      <c r="AX107" s="489">
        <f>ROUND(R108*$AU$106,0)</f>
        <v>135</v>
      </c>
      <c r="AY107" s="393"/>
    </row>
    <row r="108" spans="1:51" ht="16.5" customHeight="1" x14ac:dyDescent="0.15">
      <c r="A108" s="340">
        <v>12</v>
      </c>
      <c r="B108" s="341">
        <v>4382</v>
      </c>
      <c r="C108" s="390" t="s">
        <v>16247</v>
      </c>
      <c r="D108" s="403"/>
      <c r="E108" s="404"/>
      <c r="F108" s="404"/>
      <c r="G108" s="404"/>
      <c r="H108" s="406"/>
      <c r="R108" s="836">
        <f>'2重度訪問'!U108</f>
        <v>90</v>
      </c>
      <c r="S108" s="837"/>
      <c r="T108" s="837"/>
      <c r="U108" s="152" t="s">
        <v>15624</v>
      </c>
      <c r="V108" s="387"/>
      <c r="W108" s="343" t="s">
        <v>15625</v>
      </c>
      <c r="X108" s="325"/>
      <c r="Y108" s="325"/>
      <c r="Z108" s="325"/>
      <c r="AA108" s="325"/>
      <c r="AB108" s="325"/>
      <c r="AC108" s="325"/>
      <c r="AD108" s="325"/>
      <c r="AE108" s="325"/>
      <c r="AF108" s="325"/>
      <c r="AG108" s="325"/>
      <c r="AH108" s="325"/>
      <c r="AI108" s="325"/>
      <c r="AJ108" s="391" t="s">
        <v>15626</v>
      </c>
      <c r="AK108" s="838">
        <f>AK106</f>
        <v>1</v>
      </c>
      <c r="AL108" s="839"/>
      <c r="AU108" s="490"/>
      <c r="AV108" s="152"/>
      <c r="AW108" s="387"/>
      <c r="AX108" s="489">
        <f>ROUND(ROUND(R108*AK108,0)*$AU$106,0)</f>
        <v>135</v>
      </c>
      <c r="AY108" s="393"/>
    </row>
    <row r="109" spans="1:51" ht="16.5" customHeight="1" x14ac:dyDescent="0.15">
      <c r="A109" s="340">
        <v>12</v>
      </c>
      <c r="B109" s="341">
        <v>7279</v>
      </c>
      <c r="C109" s="390" t="s">
        <v>16248</v>
      </c>
      <c r="D109" s="403"/>
      <c r="E109" s="404"/>
      <c r="F109" s="404"/>
      <c r="G109" s="404"/>
      <c r="H109" s="406"/>
      <c r="R109" s="395"/>
      <c r="S109" s="151"/>
      <c r="T109" s="151"/>
      <c r="V109" s="387"/>
      <c r="W109" s="343"/>
      <c r="X109" s="343"/>
      <c r="Y109" s="343"/>
      <c r="Z109" s="343"/>
      <c r="AA109" s="343"/>
      <c r="AB109" s="343"/>
      <c r="AC109" s="343"/>
      <c r="AD109" s="343"/>
      <c r="AE109" s="343"/>
      <c r="AF109" s="343"/>
      <c r="AG109" s="343"/>
      <c r="AH109" s="343"/>
      <c r="AI109" s="343"/>
      <c r="AJ109" s="343"/>
      <c r="AK109" s="343"/>
      <c r="AL109" s="343"/>
      <c r="AM109" s="114" t="s">
        <v>15628</v>
      </c>
      <c r="AN109" s="396"/>
      <c r="AO109" s="396"/>
      <c r="AP109" s="396"/>
      <c r="AQ109" s="396"/>
      <c r="AR109" s="396"/>
      <c r="AS109" s="396"/>
      <c r="AT109" s="396"/>
      <c r="AU109" s="490"/>
      <c r="AV109" s="152"/>
      <c r="AW109" s="387"/>
      <c r="AX109" s="489">
        <f>ROUND(ROUND(R108*AS110,0)*$AU$106,0)</f>
        <v>116</v>
      </c>
      <c r="AY109" s="393"/>
    </row>
    <row r="110" spans="1:51" ht="16.5" customHeight="1" x14ac:dyDescent="0.15">
      <c r="A110" s="340">
        <v>12</v>
      </c>
      <c r="B110" s="341">
        <v>7280</v>
      </c>
      <c r="C110" s="390" t="s">
        <v>16249</v>
      </c>
      <c r="D110" s="403"/>
      <c r="E110" s="404"/>
      <c r="F110" s="404"/>
      <c r="G110" s="404"/>
      <c r="H110" s="406"/>
      <c r="R110" s="395"/>
      <c r="S110" s="151"/>
      <c r="T110" s="151"/>
      <c r="V110" s="387"/>
      <c r="W110" s="343" t="s">
        <v>15625</v>
      </c>
      <c r="X110" s="325"/>
      <c r="Y110" s="325"/>
      <c r="Z110" s="325"/>
      <c r="AA110" s="325"/>
      <c r="AB110" s="325"/>
      <c r="AC110" s="325"/>
      <c r="AD110" s="325"/>
      <c r="AE110" s="325"/>
      <c r="AF110" s="325"/>
      <c r="AG110" s="325"/>
      <c r="AH110" s="325"/>
      <c r="AI110" s="325"/>
      <c r="AJ110" s="391" t="s">
        <v>15626</v>
      </c>
      <c r="AK110" s="838">
        <f>AK108</f>
        <v>1</v>
      </c>
      <c r="AL110" s="843"/>
      <c r="AM110" s="324" t="s">
        <v>15630</v>
      </c>
      <c r="AN110" s="325"/>
      <c r="AO110" s="325"/>
      <c r="AP110" s="325"/>
      <c r="AQ110" s="325"/>
      <c r="AR110" s="190" t="s">
        <v>398</v>
      </c>
      <c r="AS110" s="844">
        <f>AS106</f>
        <v>0.85</v>
      </c>
      <c r="AT110" s="844"/>
      <c r="AU110" s="490"/>
      <c r="AV110" s="152"/>
      <c r="AW110" s="387"/>
      <c r="AX110" s="489">
        <f>ROUND(ROUND(ROUND(R108*AK110,0)*AS110,0)*$AU$106,0)</f>
        <v>116</v>
      </c>
      <c r="AY110" s="393"/>
    </row>
    <row r="111" spans="1:51" ht="16.5" customHeight="1" x14ac:dyDescent="0.15">
      <c r="A111" s="340">
        <v>12</v>
      </c>
      <c r="B111" s="341">
        <v>4491</v>
      </c>
      <c r="C111" s="390" t="s">
        <v>16250</v>
      </c>
      <c r="D111" s="403"/>
      <c r="E111" s="404"/>
      <c r="F111" s="404"/>
      <c r="G111" s="404"/>
      <c r="H111" s="406"/>
      <c r="I111" s="253" t="s">
        <v>15639</v>
      </c>
      <c r="J111" s="396"/>
      <c r="K111" s="396"/>
      <c r="L111" s="396"/>
      <c r="M111" s="396"/>
      <c r="N111" s="396"/>
      <c r="O111" s="396"/>
      <c r="P111" s="396"/>
      <c r="Q111" s="396"/>
      <c r="R111" s="399"/>
      <c r="S111" s="400"/>
      <c r="T111" s="400"/>
      <c r="U111" s="396"/>
      <c r="V111" s="397"/>
      <c r="W111" s="343"/>
      <c r="X111" s="325"/>
      <c r="Y111" s="325"/>
      <c r="Z111" s="325"/>
      <c r="AA111" s="325"/>
      <c r="AB111" s="325"/>
      <c r="AC111" s="325"/>
      <c r="AD111" s="325"/>
      <c r="AE111" s="325"/>
      <c r="AF111" s="325"/>
      <c r="AG111" s="325"/>
      <c r="AH111" s="325"/>
      <c r="AI111" s="325"/>
      <c r="AJ111" s="391"/>
      <c r="AK111" s="401"/>
      <c r="AL111" s="402"/>
      <c r="AM111" s="396"/>
      <c r="AN111" s="396"/>
      <c r="AO111" s="396"/>
      <c r="AP111" s="396"/>
      <c r="AQ111" s="396"/>
      <c r="AR111" s="396"/>
      <c r="AS111" s="396"/>
      <c r="AT111" s="396"/>
      <c r="AU111" s="490"/>
      <c r="AV111" s="152"/>
      <c r="AW111" s="387"/>
      <c r="AX111" s="489">
        <f>ROUND(R112*$AU$106,0)</f>
        <v>138</v>
      </c>
      <c r="AY111" s="393"/>
    </row>
    <row r="112" spans="1:51" ht="16.5" customHeight="1" x14ac:dyDescent="0.15">
      <c r="A112" s="340">
        <v>12</v>
      </c>
      <c r="B112" s="341">
        <v>4492</v>
      </c>
      <c r="C112" s="390" t="s">
        <v>16251</v>
      </c>
      <c r="D112" s="403"/>
      <c r="E112" s="404"/>
      <c r="F112" s="404"/>
      <c r="G112" s="404"/>
      <c r="H112" s="406"/>
      <c r="R112" s="836">
        <f>'2重度訪問'!U112</f>
        <v>92</v>
      </c>
      <c r="S112" s="837"/>
      <c r="T112" s="837"/>
      <c r="U112" s="152" t="s">
        <v>15624</v>
      </c>
      <c r="V112" s="387"/>
      <c r="W112" s="343" t="s">
        <v>15625</v>
      </c>
      <c r="X112" s="325"/>
      <c r="Y112" s="325"/>
      <c r="Z112" s="325"/>
      <c r="AA112" s="325"/>
      <c r="AB112" s="325"/>
      <c r="AC112" s="325"/>
      <c r="AD112" s="325"/>
      <c r="AE112" s="325"/>
      <c r="AF112" s="325"/>
      <c r="AG112" s="325"/>
      <c r="AH112" s="325"/>
      <c r="AI112" s="325"/>
      <c r="AJ112" s="391" t="s">
        <v>15626</v>
      </c>
      <c r="AK112" s="838">
        <f>AK110</f>
        <v>1</v>
      </c>
      <c r="AL112" s="839"/>
      <c r="AM112" s="325"/>
      <c r="AN112" s="325"/>
      <c r="AO112" s="325"/>
      <c r="AP112" s="325"/>
      <c r="AQ112" s="325"/>
      <c r="AR112" s="325"/>
      <c r="AS112" s="325"/>
      <c r="AT112" s="325"/>
      <c r="AU112" s="490"/>
      <c r="AV112" s="152"/>
      <c r="AW112" s="387"/>
      <c r="AX112" s="489">
        <f>ROUND(ROUND(R112*AK112,0)*$AU$106,0)</f>
        <v>138</v>
      </c>
      <c r="AY112" s="393"/>
    </row>
    <row r="113" spans="1:51" ht="16.5" customHeight="1" x14ac:dyDescent="0.15">
      <c r="A113" s="340">
        <v>12</v>
      </c>
      <c r="B113" s="341">
        <v>7281</v>
      </c>
      <c r="C113" s="390" t="s">
        <v>16252</v>
      </c>
      <c r="D113" s="403"/>
      <c r="E113" s="404"/>
      <c r="F113" s="404"/>
      <c r="G113" s="404"/>
      <c r="H113" s="406"/>
      <c r="R113" s="395"/>
      <c r="S113" s="151"/>
      <c r="T113" s="151"/>
      <c r="V113" s="387"/>
      <c r="W113" s="343"/>
      <c r="X113" s="343"/>
      <c r="Y113" s="343"/>
      <c r="Z113" s="343"/>
      <c r="AA113" s="343"/>
      <c r="AB113" s="343"/>
      <c r="AC113" s="343"/>
      <c r="AD113" s="343"/>
      <c r="AE113" s="343"/>
      <c r="AF113" s="343"/>
      <c r="AG113" s="343"/>
      <c r="AH113" s="343"/>
      <c r="AI113" s="343"/>
      <c r="AJ113" s="343"/>
      <c r="AK113" s="343"/>
      <c r="AL113" s="343"/>
      <c r="AM113" s="114" t="s">
        <v>15628</v>
      </c>
      <c r="AN113" s="396"/>
      <c r="AO113" s="396"/>
      <c r="AP113" s="396"/>
      <c r="AQ113" s="396"/>
      <c r="AR113" s="396"/>
      <c r="AS113" s="396"/>
      <c r="AT113" s="396"/>
      <c r="AU113" s="490"/>
      <c r="AV113" s="152"/>
      <c r="AW113" s="387"/>
      <c r="AX113" s="489">
        <f>ROUND(ROUND(R112*AS114,0)*$AU$106,0)</f>
        <v>117</v>
      </c>
      <c r="AY113" s="393"/>
    </row>
    <row r="114" spans="1:51" ht="16.5" customHeight="1" x14ac:dyDescent="0.15">
      <c r="A114" s="340">
        <v>12</v>
      </c>
      <c r="B114" s="341">
        <v>7282</v>
      </c>
      <c r="C114" s="390" t="s">
        <v>16253</v>
      </c>
      <c r="D114" s="403"/>
      <c r="E114" s="404"/>
      <c r="F114" s="404"/>
      <c r="G114" s="404"/>
      <c r="H114" s="406"/>
      <c r="R114" s="395"/>
      <c r="S114" s="151"/>
      <c r="T114" s="151"/>
      <c r="V114" s="387"/>
      <c r="W114" s="343" t="s">
        <v>15625</v>
      </c>
      <c r="X114" s="325"/>
      <c r="Y114" s="325"/>
      <c r="Z114" s="325"/>
      <c r="AA114" s="325"/>
      <c r="AB114" s="325"/>
      <c r="AC114" s="325"/>
      <c r="AD114" s="325"/>
      <c r="AE114" s="325"/>
      <c r="AF114" s="325"/>
      <c r="AG114" s="325"/>
      <c r="AH114" s="325"/>
      <c r="AI114" s="325"/>
      <c r="AJ114" s="391" t="s">
        <v>15626</v>
      </c>
      <c r="AK114" s="838">
        <f>AK112</f>
        <v>1</v>
      </c>
      <c r="AL114" s="843"/>
      <c r="AM114" s="324" t="s">
        <v>15630</v>
      </c>
      <c r="AN114" s="325"/>
      <c r="AO114" s="325"/>
      <c r="AP114" s="325"/>
      <c r="AQ114" s="325"/>
      <c r="AR114" s="190" t="s">
        <v>398</v>
      </c>
      <c r="AS114" s="844">
        <f>AS110</f>
        <v>0.85</v>
      </c>
      <c r="AT114" s="844"/>
      <c r="AU114" s="490"/>
      <c r="AV114" s="152"/>
      <c r="AW114" s="387"/>
      <c r="AX114" s="489">
        <f>ROUND(ROUND(ROUND(R112*AK114,0)*AS114,0)*$AU$106,0)</f>
        <v>117</v>
      </c>
      <c r="AY114" s="393"/>
    </row>
    <row r="115" spans="1:51" ht="16.5" customHeight="1" x14ac:dyDescent="0.15">
      <c r="A115" s="340">
        <v>12</v>
      </c>
      <c r="B115" s="341">
        <v>4501</v>
      </c>
      <c r="C115" s="390" t="s">
        <v>16254</v>
      </c>
      <c r="D115" s="403"/>
      <c r="E115" s="404"/>
      <c r="F115" s="404"/>
      <c r="G115" s="404"/>
      <c r="H115" s="406"/>
      <c r="I115" s="253" t="s">
        <v>15644</v>
      </c>
      <c r="J115" s="396"/>
      <c r="K115" s="396"/>
      <c r="L115" s="396"/>
      <c r="M115" s="396"/>
      <c r="N115" s="396"/>
      <c r="O115" s="396"/>
      <c r="P115" s="396"/>
      <c r="Q115" s="396"/>
      <c r="R115" s="399"/>
      <c r="S115" s="400"/>
      <c r="T115" s="400"/>
      <c r="U115" s="396"/>
      <c r="V115" s="397"/>
      <c r="W115" s="343"/>
      <c r="X115" s="325"/>
      <c r="Y115" s="325"/>
      <c r="Z115" s="325"/>
      <c r="AA115" s="325"/>
      <c r="AB115" s="325"/>
      <c r="AC115" s="325"/>
      <c r="AD115" s="325"/>
      <c r="AE115" s="325"/>
      <c r="AF115" s="325"/>
      <c r="AG115" s="325"/>
      <c r="AH115" s="325"/>
      <c r="AI115" s="325"/>
      <c r="AJ115" s="391"/>
      <c r="AK115" s="401"/>
      <c r="AL115" s="402"/>
      <c r="AM115" s="396"/>
      <c r="AN115" s="396"/>
      <c r="AO115" s="396"/>
      <c r="AP115" s="396"/>
      <c r="AQ115" s="396"/>
      <c r="AR115" s="396"/>
      <c r="AS115" s="396"/>
      <c r="AT115" s="396"/>
      <c r="AU115" s="490"/>
      <c r="AV115" s="152"/>
      <c r="AW115" s="387"/>
      <c r="AX115" s="489">
        <f>ROUND(R116*$AU$106,0)</f>
        <v>137</v>
      </c>
      <c r="AY115" s="393"/>
    </row>
    <row r="116" spans="1:51" ht="16.5" customHeight="1" x14ac:dyDescent="0.15">
      <c r="A116" s="340">
        <v>12</v>
      </c>
      <c r="B116" s="341">
        <v>4502</v>
      </c>
      <c r="C116" s="390" t="s">
        <v>16255</v>
      </c>
      <c r="D116" s="403"/>
      <c r="E116" s="404"/>
      <c r="F116" s="404"/>
      <c r="G116" s="404"/>
      <c r="H116" s="406"/>
      <c r="R116" s="836">
        <f>'2重度訪問'!U116</f>
        <v>91</v>
      </c>
      <c r="S116" s="837"/>
      <c r="T116" s="837"/>
      <c r="U116" s="152" t="s">
        <v>15624</v>
      </c>
      <c r="V116" s="387"/>
      <c r="W116" s="343" t="s">
        <v>15625</v>
      </c>
      <c r="X116" s="325"/>
      <c r="Y116" s="325"/>
      <c r="Z116" s="325"/>
      <c r="AA116" s="325"/>
      <c r="AB116" s="325"/>
      <c r="AC116" s="325"/>
      <c r="AD116" s="325"/>
      <c r="AE116" s="325"/>
      <c r="AF116" s="325"/>
      <c r="AG116" s="325"/>
      <c r="AH116" s="325"/>
      <c r="AI116" s="325"/>
      <c r="AJ116" s="391" t="s">
        <v>15626</v>
      </c>
      <c r="AK116" s="838">
        <f>AK114</f>
        <v>1</v>
      </c>
      <c r="AL116" s="839"/>
      <c r="AM116" s="325"/>
      <c r="AN116" s="325"/>
      <c r="AO116" s="325"/>
      <c r="AP116" s="325"/>
      <c r="AQ116" s="325"/>
      <c r="AR116" s="325"/>
      <c r="AS116" s="325"/>
      <c r="AT116" s="325"/>
      <c r="AU116" s="490"/>
      <c r="AV116" s="152"/>
      <c r="AW116" s="387"/>
      <c r="AX116" s="489">
        <f>ROUND(ROUND(R116*AK116,0)*$AU$106,0)</f>
        <v>137</v>
      </c>
      <c r="AY116" s="393"/>
    </row>
    <row r="117" spans="1:51" ht="16.5" customHeight="1" x14ac:dyDescent="0.15">
      <c r="A117" s="340">
        <v>12</v>
      </c>
      <c r="B117" s="341">
        <v>7283</v>
      </c>
      <c r="C117" s="390" t="s">
        <v>16256</v>
      </c>
      <c r="D117" s="403"/>
      <c r="E117" s="404"/>
      <c r="F117" s="404"/>
      <c r="G117" s="404"/>
      <c r="H117" s="406"/>
      <c r="R117" s="395"/>
      <c r="S117" s="151"/>
      <c r="T117" s="151"/>
      <c r="V117" s="387"/>
      <c r="W117" s="343"/>
      <c r="X117" s="343"/>
      <c r="Y117" s="343"/>
      <c r="Z117" s="343"/>
      <c r="AA117" s="343"/>
      <c r="AB117" s="343"/>
      <c r="AC117" s="343"/>
      <c r="AD117" s="343"/>
      <c r="AE117" s="343"/>
      <c r="AF117" s="343"/>
      <c r="AG117" s="343"/>
      <c r="AH117" s="343"/>
      <c r="AI117" s="343"/>
      <c r="AJ117" s="343"/>
      <c r="AK117" s="343"/>
      <c r="AL117" s="343"/>
      <c r="AM117" s="114" t="s">
        <v>15628</v>
      </c>
      <c r="AN117" s="396"/>
      <c r="AO117" s="396"/>
      <c r="AP117" s="396"/>
      <c r="AQ117" s="396"/>
      <c r="AR117" s="396"/>
      <c r="AS117" s="396"/>
      <c r="AT117" s="396"/>
      <c r="AU117" s="490"/>
      <c r="AV117" s="152"/>
      <c r="AW117" s="387"/>
      <c r="AX117" s="489">
        <f>ROUND(ROUND(R116*AS118,0)*$AU$106,0)</f>
        <v>116</v>
      </c>
      <c r="AY117" s="393"/>
    </row>
    <row r="118" spans="1:51" ht="16.5" customHeight="1" x14ac:dyDescent="0.15">
      <c r="A118" s="340">
        <v>12</v>
      </c>
      <c r="B118" s="341">
        <v>7284</v>
      </c>
      <c r="C118" s="390" t="s">
        <v>16257</v>
      </c>
      <c r="D118" s="403"/>
      <c r="E118" s="404"/>
      <c r="F118" s="404"/>
      <c r="G118" s="404"/>
      <c r="H118" s="406"/>
      <c r="R118" s="395"/>
      <c r="S118" s="151"/>
      <c r="T118" s="151"/>
      <c r="V118" s="387"/>
      <c r="W118" s="343" t="s">
        <v>15625</v>
      </c>
      <c r="X118" s="325"/>
      <c r="Y118" s="325"/>
      <c r="Z118" s="325"/>
      <c r="AA118" s="325"/>
      <c r="AB118" s="325"/>
      <c r="AC118" s="325"/>
      <c r="AD118" s="325"/>
      <c r="AE118" s="325"/>
      <c r="AF118" s="325"/>
      <c r="AG118" s="325"/>
      <c r="AH118" s="325"/>
      <c r="AI118" s="325"/>
      <c r="AJ118" s="391" t="s">
        <v>15626</v>
      </c>
      <c r="AK118" s="838">
        <f>AK116</f>
        <v>1</v>
      </c>
      <c r="AL118" s="843"/>
      <c r="AM118" s="324" t="s">
        <v>15630</v>
      </c>
      <c r="AN118" s="325"/>
      <c r="AO118" s="325"/>
      <c r="AP118" s="325"/>
      <c r="AQ118" s="325"/>
      <c r="AR118" s="190" t="s">
        <v>398</v>
      </c>
      <c r="AS118" s="844">
        <f>AS114</f>
        <v>0.85</v>
      </c>
      <c r="AT118" s="844"/>
      <c r="AU118" s="490"/>
      <c r="AV118" s="152"/>
      <c r="AW118" s="387"/>
      <c r="AX118" s="489">
        <f>ROUND(ROUND(ROUND(R116*AK118,0)*AS118,0)*$AU$106,0)</f>
        <v>116</v>
      </c>
      <c r="AY118" s="393"/>
    </row>
    <row r="119" spans="1:51" ht="16.5" customHeight="1" x14ac:dyDescent="0.15">
      <c r="A119" s="340">
        <v>12</v>
      </c>
      <c r="B119" s="341">
        <v>4511</v>
      </c>
      <c r="C119" s="390" t="s">
        <v>16258</v>
      </c>
      <c r="D119" s="403"/>
      <c r="E119" s="404"/>
      <c r="F119" s="404"/>
      <c r="G119" s="404"/>
      <c r="H119" s="406"/>
      <c r="I119" s="253" t="s">
        <v>15649</v>
      </c>
      <c r="J119" s="396"/>
      <c r="K119" s="396"/>
      <c r="L119" s="396"/>
      <c r="M119" s="396"/>
      <c r="N119" s="396"/>
      <c r="O119" s="396"/>
      <c r="P119" s="396"/>
      <c r="Q119" s="396"/>
      <c r="R119" s="399"/>
      <c r="S119" s="400"/>
      <c r="T119" s="400"/>
      <c r="U119" s="396"/>
      <c r="V119" s="397"/>
      <c r="W119" s="343"/>
      <c r="X119" s="325"/>
      <c r="Y119" s="325"/>
      <c r="Z119" s="325"/>
      <c r="AA119" s="325"/>
      <c r="AB119" s="325"/>
      <c r="AC119" s="325"/>
      <c r="AD119" s="325"/>
      <c r="AE119" s="325"/>
      <c r="AF119" s="325"/>
      <c r="AG119" s="325"/>
      <c r="AH119" s="325"/>
      <c r="AI119" s="325"/>
      <c r="AJ119" s="391"/>
      <c r="AK119" s="401"/>
      <c r="AL119" s="402"/>
      <c r="AM119" s="396"/>
      <c r="AN119" s="396"/>
      <c r="AO119" s="396"/>
      <c r="AP119" s="396"/>
      <c r="AQ119" s="396"/>
      <c r="AR119" s="396"/>
      <c r="AS119" s="396"/>
      <c r="AT119" s="396"/>
      <c r="AU119" s="490"/>
      <c r="AV119" s="152"/>
      <c r="AW119" s="387"/>
      <c r="AX119" s="489">
        <f>ROUND(R120*$AU$106,0)</f>
        <v>138</v>
      </c>
      <c r="AY119" s="393"/>
    </row>
    <row r="120" spans="1:51" ht="16.5" customHeight="1" x14ac:dyDescent="0.15">
      <c r="A120" s="340">
        <v>12</v>
      </c>
      <c r="B120" s="341">
        <v>4512</v>
      </c>
      <c r="C120" s="390" t="s">
        <v>16259</v>
      </c>
      <c r="D120" s="403"/>
      <c r="E120" s="404"/>
      <c r="F120" s="404"/>
      <c r="G120" s="404"/>
      <c r="H120" s="406"/>
      <c r="R120" s="836">
        <f>'2重度訪問'!U120</f>
        <v>92</v>
      </c>
      <c r="S120" s="837"/>
      <c r="T120" s="837"/>
      <c r="U120" s="152" t="s">
        <v>15624</v>
      </c>
      <c r="V120" s="387"/>
      <c r="W120" s="343" t="s">
        <v>15625</v>
      </c>
      <c r="X120" s="325"/>
      <c r="Y120" s="325"/>
      <c r="Z120" s="325"/>
      <c r="AA120" s="325"/>
      <c r="AB120" s="325"/>
      <c r="AC120" s="325"/>
      <c r="AD120" s="325"/>
      <c r="AE120" s="325"/>
      <c r="AF120" s="325"/>
      <c r="AG120" s="325"/>
      <c r="AH120" s="325"/>
      <c r="AI120" s="325"/>
      <c r="AJ120" s="391" t="s">
        <v>15626</v>
      </c>
      <c r="AK120" s="838">
        <f>AK118</f>
        <v>1</v>
      </c>
      <c r="AL120" s="839"/>
      <c r="AM120" s="325"/>
      <c r="AN120" s="325"/>
      <c r="AO120" s="325"/>
      <c r="AP120" s="325"/>
      <c r="AQ120" s="325"/>
      <c r="AR120" s="325"/>
      <c r="AS120" s="325"/>
      <c r="AT120" s="325"/>
      <c r="AU120" s="490"/>
      <c r="AV120" s="152"/>
      <c r="AW120" s="387"/>
      <c r="AX120" s="489">
        <f>ROUND(ROUND(R120*AK120,0)*$AU$106,0)</f>
        <v>138</v>
      </c>
      <c r="AY120" s="393"/>
    </row>
    <row r="121" spans="1:51" ht="16.5" customHeight="1" x14ac:dyDescent="0.15">
      <c r="A121" s="340">
        <v>12</v>
      </c>
      <c r="B121" s="341">
        <v>7285</v>
      </c>
      <c r="C121" s="390" t="s">
        <v>16260</v>
      </c>
      <c r="D121" s="403"/>
      <c r="E121" s="404"/>
      <c r="F121" s="404"/>
      <c r="G121" s="404"/>
      <c r="H121" s="406"/>
      <c r="R121" s="395"/>
      <c r="S121" s="151"/>
      <c r="T121" s="151"/>
      <c r="V121" s="387"/>
      <c r="W121" s="343"/>
      <c r="X121" s="343"/>
      <c r="Y121" s="343"/>
      <c r="Z121" s="343"/>
      <c r="AA121" s="343"/>
      <c r="AB121" s="343"/>
      <c r="AC121" s="343"/>
      <c r="AD121" s="343"/>
      <c r="AE121" s="343"/>
      <c r="AF121" s="343"/>
      <c r="AG121" s="343"/>
      <c r="AH121" s="343"/>
      <c r="AI121" s="343"/>
      <c r="AJ121" s="343"/>
      <c r="AK121" s="343"/>
      <c r="AL121" s="343"/>
      <c r="AM121" s="114" t="s">
        <v>15628</v>
      </c>
      <c r="AN121" s="396"/>
      <c r="AO121" s="396"/>
      <c r="AP121" s="396"/>
      <c r="AQ121" s="396"/>
      <c r="AR121" s="396"/>
      <c r="AS121" s="396"/>
      <c r="AT121" s="396"/>
      <c r="AU121" s="490"/>
      <c r="AV121" s="152"/>
      <c r="AW121" s="387"/>
      <c r="AX121" s="489">
        <f>ROUND(ROUND(R120*AS122,0)*$AU$106,0)</f>
        <v>117</v>
      </c>
      <c r="AY121" s="393"/>
    </row>
    <row r="122" spans="1:51" ht="16.5" customHeight="1" x14ac:dyDescent="0.15">
      <c r="A122" s="340">
        <v>12</v>
      </c>
      <c r="B122" s="341">
        <v>7286</v>
      </c>
      <c r="C122" s="390" t="s">
        <v>16261</v>
      </c>
      <c r="D122" s="403"/>
      <c r="E122" s="404"/>
      <c r="F122" s="404"/>
      <c r="G122" s="404"/>
      <c r="H122" s="406"/>
      <c r="R122" s="395"/>
      <c r="S122" s="151"/>
      <c r="T122" s="151"/>
      <c r="V122" s="387"/>
      <c r="W122" s="343" t="s">
        <v>15625</v>
      </c>
      <c r="X122" s="325"/>
      <c r="Y122" s="325"/>
      <c r="Z122" s="325"/>
      <c r="AA122" s="325"/>
      <c r="AB122" s="325"/>
      <c r="AC122" s="325"/>
      <c r="AD122" s="325"/>
      <c r="AE122" s="325"/>
      <c r="AF122" s="325"/>
      <c r="AG122" s="325"/>
      <c r="AH122" s="325"/>
      <c r="AI122" s="325"/>
      <c r="AJ122" s="391" t="s">
        <v>15626</v>
      </c>
      <c r="AK122" s="838">
        <f>AK120</f>
        <v>1</v>
      </c>
      <c r="AL122" s="843"/>
      <c r="AM122" s="324" t="s">
        <v>15630</v>
      </c>
      <c r="AN122" s="325"/>
      <c r="AO122" s="325"/>
      <c r="AP122" s="325"/>
      <c r="AQ122" s="325"/>
      <c r="AR122" s="190" t="s">
        <v>398</v>
      </c>
      <c r="AS122" s="844">
        <f>AS118</f>
        <v>0.85</v>
      </c>
      <c r="AT122" s="844"/>
      <c r="AU122" s="490"/>
      <c r="AV122" s="152"/>
      <c r="AW122" s="387"/>
      <c r="AX122" s="489">
        <f>ROUND(ROUND(ROUND(R120*AK122,0)*AS122,0)*$AU$106,0)</f>
        <v>117</v>
      </c>
      <c r="AY122" s="393"/>
    </row>
    <row r="123" spans="1:51" ht="16.5" customHeight="1" x14ac:dyDescent="0.15">
      <c r="A123" s="340">
        <v>12</v>
      </c>
      <c r="B123" s="341">
        <v>4521</v>
      </c>
      <c r="C123" s="390" t="s">
        <v>16262</v>
      </c>
      <c r="D123" s="403"/>
      <c r="E123" s="404"/>
      <c r="F123" s="404"/>
      <c r="G123" s="404"/>
      <c r="H123" s="406"/>
      <c r="I123" s="253" t="s">
        <v>15654</v>
      </c>
      <c r="J123" s="396"/>
      <c r="K123" s="396"/>
      <c r="L123" s="396"/>
      <c r="M123" s="396"/>
      <c r="N123" s="396"/>
      <c r="O123" s="396"/>
      <c r="P123" s="396"/>
      <c r="Q123" s="396"/>
      <c r="R123" s="399"/>
      <c r="S123" s="400"/>
      <c r="T123" s="400"/>
      <c r="U123" s="396"/>
      <c r="V123" s="397"/>
      <c r="W123" s="343"/>
      <c r="X123" s="325"/>
      <c r="Y123" s="325"/>
      <c r="Z123" s="325"/>
      <c r="AA123" s="325"/>
      <c r="AB123" s="325"/>
      <c r="AC123" s="325"/>
      <c r="AD123" s="325"/>
      <c r="AE123" s="325"/>
      <c r="AF123" s="325"/>
      <c r="AG123" s="325"/>
      <c r="AH123" s="325"/>
      <c r="AI123" s="325"/>
      <c r="AJ123" s="391"/>
      <c r="AK123" s="401"/>
      <c r="AL123" s="402"/>
      <c r="AM123" s="396"/>
      <c r="AN123" s="396"/>
      <c r="AO123" s="396"/>
      <c r="AP123" s="396"/>
      <c r="AQ123" s="396"/>
      <c r="AR123" s="396"/>
      <c r="AS123" s="396"/>
      <c r="AT123" s="396"/>
      <c r="AU123" s="490"/>
      <c r="AV123" s="152"/>
      <c r="AW123" s="387"/>
      <c r="AX123" s="489">
        <f>ROUND(R124*$AU$106,0)</f>
        <v>135</v>
      </c>
      <c r="AY123" s="393"/>
    </row>
    <row r="124" spans="1:51" ht="16.5" customHeight="1" x14ac:dyDescent="0.15">
      <c r="A124" s="340">
        <v>12</v>
      </c>
      <c r="B124" s="341">
        <v>4522</v>
      </c>
      <c r="C124" s="390" t="s">
        <v>16263</v>
      </c>
      <c r="D124" s="403"/>
      <c r="E124" s="404"/>
      <c r="F124" s="404"/>
      <c r="G124" s="404"/>
      <c r="H124" s="406"/>
      <c r="R124" s="836">
        <f>'2重度訪問'!U124</f>
        <v>90</v>
      </c>
      <c r="S124" s="837"/>
      <c r="T124" s="837"/>
      <c r="U124" s="152" t="s">
        <v>15624</v>
      </c>
      <c r="V124" s="387"/>
      <c r="W124" s="343" t="s">
        <v>15625</v>
      </c>
      <c r="X124" s="325"/>
      <c r="Y124" s="325"/>
      <c r="Z124" s="325"/>
      <c r="AA124" s="325"/>
      <c r="AB124" s="325"/>
      <c r="AC124" s="325"/>
      <c r="AD124" s="325"/>
      <c r="AE124" s="325"/>
      <c r="AF124" s="325"/>
      <c r="AG124" s="325"/>
      <c r="AH124" s="325"/>
      <c r="AI124" s="325"/>
      <c r="AJ124" s="391" t="s">
        <v>15626</v>
      </c>
      <c r="AK124" s="838">
        <f>AK122</f>
        <v>1</v>
      </c>
      <c r="AL124" s="839"/>
      <c r="AM124" s="325"/>
      <c r="AN124" s="325"/>
      <c r="AO124" s="325"/>
      <c r="AP124" s="325"/>
      <c r="AQ124" s="325"/>
      <c r="AR124" s="325"/>
      <c r="AS124" s="325"/>
      <c r="AT124" s="325"/>
      <c r="AU124" s="490"/>
      <c r="AV124" s="152"/>
      <c r="AW124" s="387"/>
      <c r="AX124" s="489">
        <f>ROUND(ROUND(R124*AK124,0)*$AU$106,0)</f>
        <v>135</v>
      </c>
      <c r="AY124" s="393"/>
    </row>
    <row r="125" spans="1:51" ht="16.5" customHeight="1" x14ac:dyDescent="0.15">
      <c r="A125" s="340">
        <v>12</v>
      </c>
      <c r="B125" s="341">
        <v>7287</v>
      </c>
      <c r="C125" s="390" t="s">
        <v>16264</v>
      </c>
      <c r="D125" s="403"/>
      <c r="E125" s="404"/>
      <c r="F125" s="404"/>
      <c r="G125" s="404"/>
      <c r="H125" s="406"/>
      <c r="R125" s="395"/>
      <c r="S125" s="151"/>
      <c r="T125" s="151"/>
      <c r="V125" s="387"/>
      <c r="W125" s="343"/>
      <c r="X125" s="343"/>
      <c r="Y125" s="343"/>
      <c r="Z125" s="343"/>
      <c r="AA125" s="343"/>
      <c r="AB125" s="343"/>
      <c r="AC125" s="343"/>
      <c r="AD125" s="343"/>
      <c r="AE125" s="343"/>
      <c r="AF125" s="343"/>
      <c r="AG125" s="343"/>
      <c r="AH125" s="343"/>
      <c r="AI125" s="343"/>
      <c r="AJ125" s="343"/>
      <c r="AK125" s="343"/>
      <c r="AL125" s="343"/>
      <c r="AM125" s="114" t="s">
        <v>15628</v>
      </c>
      <c r="AN125" s="396"/>
      <c r="AO125" s="396"/>
      <c r="AP125" s="396"/>
      <c r="AQ125" s="396"/>
      <c r="AR125" s="396"/>
      <c r="AS125" s="396"/>
      <c r="AT125" s="396"/>
      <c r="AU125" s="490"/>
      <c r="AV125" s="152"/>
      <c r="AW125" s="387"/>
      <c r="AX125" s="489">
        <f>ROUND(ROUND(R124*AS126,0)*$AU$106,0)</f>
        <v>116</v>
      </c>
      <c r="AY125" s="393"/>
    </row>
    <row r="126" spans="1:51" ht="16.5" customHeight="1" x14ac:dyDescent="0.15">
      <c r="A126" s="340">
        <v>12</v>
      </c>
      <c r="B126" s="341">
        <v>7288</v>
      </c>
      <c r="C126" s="390" t="s">
        <v>16265</v>
      </c>
      <c r="D126" s="403"/>
      <c r="E126" s="404"/>
      <c r="F126" s="404"/>
      <c r="G126" s="404"/>
      <c r="H126" s="406"/>
      <c r="R126" s="395"/>
      <c r="S126" s="151"/>
      <c r="T126" s="151"/>
      <c r="V126" s="387"/>
      <c r="W126" s="343" t="s">
        <v>15625</v>
      </c>
      <c r="X126" s="325"/>
      <c r="Y126" s="325"/>
      <c r="Z126" s="325"/>
      <c r="AA126" s="325"/>
      <c r="AB126" s="325"/>
      <c r="AC126" s="325"/>
      <c r="AD126" s="325"/>
      <c r="AE126" s="325"/>
      <c r="AF126" s="325"/>
      <c r="AG126" s="325"/>
      <c r="AH126" s="325"/>
      <c r="AI126" s="325"/>
      <c r="AJ126" s="391" t="s">
        <v>15626</v>
      </c>
      <c r="AK126" s="838">
        <f>AK124</f>
        <v>1</v>
      </c>
      <c r="AL126" s="843"/>
      <c r="AM126" s="324" t="s">
        <v>15630</v>
      </c>
      <c r="AN126" s="325"/>
      <c r="AO126" s="325"/>
      <c r="AP126" s="325"/>
      <c r="AQ126" s="325"/>
      <c r="AR126" s="190" t="s">
        <v>398</v>
      </c>
      <c r="AS126" s="844">
        <f>AS122</f>
        <v>0.85</v>
      </c>
      <c r="AT126" s="844"/>
      <c r="AU126" s="490"/>
      <c r="AV126" s="152"/>
      <c r="AW126" s="387"/>
      <c r="AX126" s="489">
        <f>ROUND(ROUND(ROUND(R124*AK126,0)*AS126,0)*$AU$106,0)</f>
        <v>116</v>
      </c>
      <c r="AY126" s="393"/>
    </row>
    <row r="127" spans="1:51" ht="16.5" customHeight="1" x14ac:dyDescent="0.15">
      <c r="A127" s="340">
        <v>12</v>
      </c>
      <c r="B127" s="341">
        <v>4531</v>
      </c>
      <c r="C127" s="390" t="s">
        <v>16266</v>
      </c>
      <c r="D127" s="403"/>
      <c r="E127" s="404"/>
      <c r="F127" s="404"/>
      <c r="G127" s="404"/>
      <c r="H127" s="406"/>
      <c r="I127" s="253" t="s">
        <v>15659</v>
      </c>
      <c r="J127" s="396"/>
      <c r="K127" s="396"/>
      <c r="L127" s="396"/>
      <c r="M127" s="396"/>
      <c r="N127" s="396"/>
      <c r="O127" s="396"/>
      <c r="P127" s="396"/>
      <c r="Q127" s="396"/>
      <c r="R127" s="399"/>
      <c r="S127" s="400"/>
      <c r="T127" s="400"/>
      <c r="U127" s="396"/>
      <c r="V127" s="397"/>
      <c r="W127" s="343"/>
      <c r="X127" s="325"/>
      <c r="Y127" s="325"/>
      <c r="Z127" s="325"/>
      <c r="AA127" s="325"/>
      <c r="AB127" s="325"/>
      <c r="AC127" s="325"/>
      <c r="AD127" s="325"/>
      <c r="AE127" s="325"/>
      <c r="AF127" s="325"/>
      <c r="AG127" s="325"/>
      <c r="AH127" s="325"/>
      <c r="AI127" s="325"/>
      <c r="AJ127" s="391"/>
      <c r="AK127" s="401"/>
      <c r="AL127" s="402"/>
      <c r="AM127" s="396"/>
      <c r="AN127" s="396"/>
      <c r="AO127" s="396"/>
      <c r="AP127" s="396"/>
      <c r="AQ127" s="396"/>
      <c r="AR127" s="396"/>
      <c r="AS127" s="396"/>
      <c r="AT127" s="396"/>
      <c r="AU127" s="490"/>
      <c r="AV127" s="152"/>
      <c r="AW127" s="387"/>
      <c r="AX127" s="489">
        <f>ROUND(R128*$AU$106,0)</f>
        <v>138</v>
      </c>
      <c r="AY127" s="393"/>
    </row>
    <row r="128" spans="1:51" ht="16.5" customHeight="1" x14ac:dyDescent="0.15">
      <c r="A128" s="340">
        <v>12</v>
      </c>
      <c r="B128" s="341">
        <v>4532</v>
      </c>
      <c r="C128" s="390" t="s">
        <v>16267</v>
      </c>
      <c r="D128" s="403"/>
      <c r="E128" s="404"/>
      <c r="F128" s="404"/>
      <c r="G128" s="404"/>
      <c r="H128" s="406"/>
      <c r="R128" s="836">
        <f>'2重度訪問'!U128</f>
        <v>92</v>
      </c>
      <c r="S128" s="837"/>
      <c r="T128" s="837"/>
      <c r="U128" s="152" t="s">
        <v>15624</v>
      </c>
      <c r="V128" s="387"/>
      <c r="W128" s="343" t="s">
        <v>15625</v>
      </c>
      <c r="X128" s="325"/>
      <c r="Y128" s="325"/>
      <c r="Z128" s="325"/>
      <c r="AA128" s="325"/>
      <c r="AB128" s="325"/>
      <c r="AC128" s="325"/>
      <c r="AD128" s="325"/>
      <c r="AE128" s="325"/>
      <c r="AF128" s="325"/>
      <c r="AG128" s="325"/>
      <c r="AH128" s="325"/>
      <c r="AI128" s="325"/>
      <c r="AJ128" s="391" t="s">
        <v>15626</v>
      </c>
      <c r="AK128" s="838">
        <f>AK126</f>
        <v>1</v>
      </c>
      <c r="AL128" s="839"/>
      <c r="AM128" s="325"/>
      <c r="AN128" s="325"/>
      <c r="AO128" s="325"/>
      <c r="AP128" s="325"/>
      <c r="AQ128" s="325"/>
      <c r="AR128" s="325"/>
      <c r="AS128" s="325"/>
      <c r="AT128" s="325"/>
      <c r="AU128" s="490"/>
      <c r="AV128" s="152"/>
      <c r="AW128" s="387"/>
      <c r="AX128" s="489">
        <f>ROUND(ROUND(R128*AK128,0)*$AU$106,0)</f>
        <v>138</v>
      </c>
      <c r="AY128" s="393"/>
    </row>
    <row r="129" spans="1:51" ht="16.5" customHeight="1" x14ac:dyDescent="0.15">
      <c r="A129" s="340">
        <v>12</v>
      </c>
      <c r="B129" s="341">
        <v>7289</v>
      </c>
      <c r="C129" s="390" t="s">
        <v>16268</v>
      </c>
      <c r="D129" s="403"/>
      <c r="E129" s="404"/>
      <c r="F129" s="404"/>
      <c r="G129" s="404"/>
      <c r="H129" s="406"/>
      <c r="R129" s="395"/>
      <c r="S129" s="151"/>
      <c r="T129" s="151"/>
      <c r="V129" s="387"/>
      <c r="W129" s="343"/>
      <c r="X129" s="343"/>
      <c r="Y129" s="343"/>
      <c r="Z129" s="343"/>
      <c r="AA129" s="343"/>
      <c r="AB129" s="343"/>
      <c r="AC129" s="343"/>
      <c r="AD129" s="343"/>
      <c r="AE129" s="343"/>
      <c r="AF129" s="343"/>
      <c r="AG129" s="343"/>
      <c r="AH129" s="343"/>
      <c r="AI129" s="343"/>
      <c r="AJ129" s="343"/>
      <c r="AK129" s="343"/>
      <c r="AL129" s="343"/>
      <c r="AM129" s="114" t="s">
        <v>15628</v>
      </c>
      <c r="AN129" s="396"/>
      <c r="AO129" s="396"/>
      <c r="AP129" s="396"/>
      <c r="AQ129" s="396"/>
      <c r="AR129" s="396"/>
      <c r="AS129" s="396"/>
      <c r="AT129" s="396"/>
      <c r="AU129" s="490"/>
      <c r="AV129" s="152"/>
      <c r="AW129" s="387"/>
      <c r="AX129" s="489">
        <f>ROUND(ROUND(R128*AS130,0)*$AU$106,0)</f>
        <v>117</v>
      </c>
      <c r="AY129" s="393"/>
    </row>
    <row r="130" spans="1:51" ht="16.5" customHeight="1" x14ac:dyDescent="0.15">
      <c r="A130" s="340">
        <v>12</v>
      </c>
      <c r="B130" s="341">
        <v>7290</v>
      </c>
      <c r="C130" s="390" t="s">
        <v>16269</v>
      </c>
      <c r="D130" s="403"/>
      <c r="E130" s="404"/>
      <c r="F130" s="404"/>
      <c r="G130" s="404"/>
      <c r="H130" s="406"/>
      <c r="R130" s="395"/>
      <c r="S130" s="151"/>
      <c r="T130" s="151"/>
      <c r="V130" s="387"/>
      <c r="W130" s="343" t="s">
        <v>15625</v>
      </c>
      <c r="X130" s="325"/>
      <c r="Y130" s="325"/>
      <c r="Z130" s="325"/>
      <c r="AA130" s="325"/>
      <c r="AB130" s="325"/>
      <c r="AC130" s="325"/>
      <c r="AD130" s="325"/>
      <c r="AE130" s="325"/>
      <c r="AF130" s="325"/>
      <c r="AG130" s="325"/>
      <c r="AH130" s="325"/>
      <c r="AI130" s="325"/>
      <c r="AJ130" s="391" t="s">
        <v>15626</v>
      </c>
      <c r="AK130" s="838">
        <f>AK128</f>
        <v>1</v>
      </c>
      <c r="AL130" s="843"/>
      <c r="AM130" s="324" t="s">
        <v>15630</v>
      </c>
      <c r="AN130" s="325"/>
      <c r="AO130" s="325"/>
      <c r="AP130" s="325"/>
      <c r="AQ130" s="325"/>
      <c r="AR130" s="190" t="s">
        <v>398</v>
      </c>
      <c r="AS130" s="844">
        <f>AS126</f>
        <v>0.85</v>
      </c>
      <c r="AT130" s="844"/>
      <c r="AU130" s="490"/>
      <c r="AV130" s="152"/>
      <c r="AW130" s="387"/>
      <c r="AX130" s="489">
        <f>ROUND(ROUND(ROUND(R128*AK130,0)*AS130,0)*$AU$106,0)</f>
        <v>117</v>
      </c>
      <c r="AY130" s="393"/>
    </row>
    <row r="131" spans="1:51" ht="17.100000000000001" customHeight="1" x14ac:dyDescent="0.15">
      <c r="A131" s="340">
        <v>12</v>
      </c>
      <c r="B131" s="341">
        <v>4321</v>
      </c>
      <c r="C131" s="390" t="s">
        <v>16270</v>
      </c>
      <c r="D131" s="403"/>
      <c r="E131" s="404"/>
      <c r="F131" s="404"/>
      <c r="G131" s="404"/>
      <c r="H131" s="406"/>
      <c r="I131" s="253" t="s">
        <v>15664</v>
      </c>
      <c r="J131" s="396"/>
      <c r="K131" s="396"/>
      <c r="L131" s="400"/>
      <c r="M131" s="400"/>
      <c r="N131" s="400"/>
      <c r="O131" s="400"/>
      <c r="P131" s="400"/>
      <c r="Q131" s="396"/>
      <c r="R131" s="396"/>
      <c r="S131" s="396"/>
      <c r="T131" s="396"/>
      <c r="U131" s="396"/>
      <c r="V131" s="397"/>
      <c r="W131" s="343"/>
      <c r="X131" s="343"/>
      <c r="Y131" s="343"/>
      <c r="Z131" s="343"/>
      <c r="AA131" s="343"/>
      <c r="AB131" s="343"/>
      <c r="AC131" s="343"/>
      <c r="AD131" s="343"/>
      <c r="AE131" s="343"/>
      <c r="AF131" s="343"/>
      <c r="AG131" s="343"/>
      <c r="AH131" s="343"/>
      <c r="AI131" s="343"/>
      <c r="AJ131" s="343"/>
      <c r="AK131" s="343"/>
      <c r="AL131" s="407"/>
      <c r="AM131" s="396"/>
      <c r="AN131" s="396"/>
      <c r="AO131" s="396"/>
      <c r="AP131" s="396"/>
      <c r="AQ131" s="396"/>
      <c r="AR131" s="396"/>
      <c r="AS131" s="396"/>
      <c r="AT131" s="396"/>
      <c r="AU131" s="490"/>
      <c r="AV131" s="152"/>
      <c r="AW131" s="387"/>
      <c r="AX131" s="489">
        <f>ROUND(R132*$AU$106,0)</f>
        <v>128</v>
      </c>
      <c r="AY131" s="393"/>
    </row>
    <row r="132" spans="1:51" ht="16.5" customHeight="1" x14ac:dyDescent="0.15">
      <c r="A132" s="340">
        <v>12</v>
      </c>
      <c r="B132" s="341">
        <v>4322</v>
      </c>
      <c r="C132" s="390" t="s">
        <v>16271</v>
      </c>
      <c r="D132" s="403"/>
      <c r="E132" s="404"/>
      <c r="F132" s="404"/>
      <c r="G132" s="404"/>
      <c r="H132" s="406"/>
      <c r="R132" s="836">
        <f>'2重度訪問'!U132</f>
        <v>85</v>
      </c>
      <c r="S132" s="837"/>
      <c r="T132" s="837"/>
      <c r="U132" s="152" t="s">
        <v>15624</v>
      </c>
      <c r="V132" s="387"/>
      <c r="W132" s="343" t="s">
        <v>15625</v>
      </c>
      <c r="X132" s="325"/>
      <c r="Y132" s="325"/>
      <c r="Z132" s="325"/>
      <c r="AA132" s="325"/>
      <c r="AB132" s="325"/>
      <c r="AC132" s="325"/>
      <c r="AD132" s="325"/>
      <c r="AE132" s="325"/>
      <c r="AF132" s="325"/>
      <c r="AG132" s="325"/>
      <c r="AH132" s="325"/>
      <c r="AI132" s="325"/>
      <c r="AJ132" s="391" t="s">
        <v>15626</v>
      </c>
      <c r="AK132" s="838">
        <f>AK130</f>
        <v>1</v>
      </c>
      <c r="AL132" s="839"/>
      <c r="AM132" s="325"/>
      <c r="AN132" s="325"/>
      <c r="AO132" s="325"/>
      <c r="AP132" s="325"/>
      <c r="AQ132" s="325"/>
      <c r="AR132" s="325"/>
      <c r="AS132" s="325"/>
      <c r="AT132" s="391"/>
      <c r="AU132" s="490"/>
      <c r="AV132" s="152"/>
      <c r="AW132" s="387"/>
      <c r="AX132" s="489">
        <f>ROUND(ROUND(R132*AK132,0)*$AU$106,0)</f>
        <v>128</v>
      </c>
      <c r="AY132" s="393"/>
    </row>
    <row r="133" spans="1:51" ht="16.5" customHeight="1" x14ac:dyDescent="0.15">
      <c r="A133" s="340">
        <v>12</v>
      </c>
      <c r="B133" s="341">
        <v>7291</v>
      </c>
      <c r="C133" s="390" t="s">
        <v>16272</v>
      </c>
      <c r="D133" s="403"/>
      <c r="E133" s="404"/>
      <c r="F133" s="404"/>
      <c r="G133" s="404"/>
      <c r="H133" s="406"/>
      <c r="R133" s="395"/>
      <c r="S133" s="151"/>
      <c r="T133" s="151"/>
      <c r="V133" s="387"/>
      <c r="W133" s="343"/>
      <c r="X133" s="343"/>
      <c r="Y133" s="343"/>
      <c r="Z133" s="343"/>
      <c r="AA133" s="343"/>
      <c r="AB133" s="343"/>
      <c r="AC133" s="343"/>
      <c r="AD133" s="343"/>
      <c r="AE133" s="343"/>
      <c r="AF133" s="343"/>
      <c r="AG133" s="343"/>
      <c r="AH133" s="343"/>
      <c r="AI133" s="343"/>
      <c r="AJ133" s="343"/>
      <c r="AK133" s="343"/>
      <c r="AL133" s="343"/>
      <c r="AM133" s="114" t="s">
        <v>15628</v>
      </c>
      <c r="AN133" s="396"/>
      <c r="AO133" s="396"/>
      <c r="AP133" s="396"/>
      <c r="AQ133" s="396"/>
      <c r="AR133" s="396"/>
      <c r="AS133" s="396"/>
      <c r="AT133" s="396"/>
      <c r="AU133" s="490"/>
      <c r="AV133" s="152"/>
      <c r="AW133" s="387"/>
      <c r="AX133" s="489">
        <f>ROUND(ROUND(R132*AS134,0)*$AU$106,0)</f>
        <v>108</v>
      </c>
      <c r="AY133" s="393"/>
    </row>
    <row r="134" spans="1:51" ht="16.5" customHeight="1" x14ac:dyDescent="0.15">
      <c r="A134" s="340">
        <v>12</v>
      </c>
      <c r="B134" s="341">
        <v>7292</v>
      </c>
      <c r="C134" s="390" t="s">
        <v>16273</v>
      </c>
      <c r="D134" s="403"/>
      <c r="E134" s="404"/>
      <c r="F134" s="404"/>
      <c r="G134" s="404"/>
      <c r="H134" s="406"/>
      <c r="R134" s="395"/>
      <c r="S134" s="151"/>
      <c r="T134" s="151"/>
      <c r="V134" s="387"/>
      <c r="W134" s="343" t="s">
        <v>15625</v>
      </c>
      <c r="X134" s="325"/>
      <c r="Y134" s="325"/>
      <c r="Z134" s="325"/>
      <c r="AA134" s="325"/>
      <c r="AB134" s="325"/>
      <c r="AC134" s="325"/>
      <c r="AD134" s="325"/>
      <c r="AE134" s="325"/>
      <c r="AF134" s="325"/>
      <c r="AG134" s="325"/>
      <c r="AH134" s="325"/>
      <c r="AI134" s="325"/>
      <c r="AJ134" s="391" t="s">
        <v>15626</v>
      </c>
      <c r="AK134" s="838">
        <f>AK132</f>
        <v>1</v>
      </c>
      <c r="AL134" s="843"/>
      <c r="AM134" s="324" t="s">
        <v>15630</v>
      </c>
      <c r="AN134" s="325"/>
      <c r="AO134" s="325"/>
      <c r="AP134" s="325"/>
      <c r="AQ134" s="325"/>
      <c r="AR134" s="190" t="s">
        <v>398</v>
      </c>
      <c r="AS134" s="844">
        <f>AS130</f>
        <v>0.85</v>
      </c>
      <c r="AT134" s="844"/>
      <c r="AU134" s="490"/>
      <c r="AV134" s="152"/>
      <c r="AW134" s="387"/>
      <c r="AX134" s="489">
        <f>ROUND(ROUND(ROUND(R132*AK134,0)*AS134,0)*$AU$106,0)</f>
        <v>108</v>
      </c>
      <c r="AY134" s="393"/>
    </row>
    <row r="135" spans="1:51" ht="17.100000000000001" customHeight="1" x14ac:dyDescent="0.15">
      <c r="A135" s="340">
        <v>12</v>
      </c>
      <c r="B135" s="341">
        <v>4331</v>
      </c>
      <c r="C135" s="390" t="s">
        <v>16274</v>
      </c>
      <c r="D135" s="403"/>
      <c r="E135" s="404"/>
      <c r="F135" s="404"/>
      <c r="G135" s="404"/>
      <c r="H135" s="406"/>
      <c r="I135" s="253" t="s">
        <v>15669</v>
      </c>
      <c r="J135" s="396"/>
      <c r="K135" s="396"/>
      <c r="L135" s="400"/>
      <c r="M135" s="400"/>
      <c r="N135" s="400"/>
      <c r="O135" s="400"/>
      <c r="P135" s="400"/>
      <c r="Q135" s="396"/>
      <c r="R135" s="396"/>
      <c r="S135" s="396"/>
      <c r="T135" s="396"/>
      <c r="U135" s="396"/>
      <c r="V135" s="397"/>
      <c r="W135" s="343"/>
      <c r="X135" s="343"/>
      <c r="Y135" s="343"/>
      <c r="Z135" s="343"/>
      <c r="AA135" s="343"/>
      <c r="AB135" s="343"/>
      <c r="AC135" s="343"/>
      <c r="AD135" s="343"/>
      <c r="AE135" s="343"/>
      <c r="AF135" s="343"/>
      <c r="AG135" s="343"/>
      <c r="AH135" s="343"/>
      <c r="AI135" s="343"/>
      <c r="AJ135" s="343"/>
      <c r="AK135" s="343"/>
      <c r="AL135" s="407"/>
      <c r="AM135" s="396"/>
      <c r="AN135" s="396"/>
      <c r="AO135" s="396"/>
      <c r="AP135" s="396"/>
      <c r="AQ135" s="396"/>
      <c r="AR135" s="396"/>
      <c r="AS135" s="396"/>
      <c r="AT135" s="396"/>
      <c r="AU135" s="490"/>
      <c r="AV135" s="152"/>
      <c r="AW135" s="387"/>
      <c r="AX135" s="489">
        <f>ROUND(R136*$AU$106,0)</f>
        <v>128</v>
      </c>
      <c r="AY135" s="393"/>
    </row>
    <row r="136" spans="1:51" ht="16.5" customHeight="1" x14ac:dyDescent="0.15">
      <c r="A136" s="340">
        <v>12</v>
      </c>
      <c r="B136" s="341">
        <v>4332</v>
      </c>
      <c r="C136" s="390" t="s">
        <v>16275</v>
      </c>
      <c r="D136" s="403"/>
      <c r="E136" s="404"/>
      <c r="F136" s="404"/>
      <c r="G136" s="404"/>
      <c r="H136" s="406"/>
      <c r="R136" s="836">
        <f>'2重度訪問'!U136</f>
        <v>85</v>
      </c>
      <c r="S136" s="837"/>
      <c r="T136" s="837"/>
      <c r="U136" s="152" t="s">
        <v>15624</v>
      </c>
      <c r="V136" s="387"/>
      <c r="W136" s="343" t="s">
        <v>15625</v>
      </c>
      <c r="X136" s="325"/>
      <c r="Y136" s="325"/>
      <c r="Z136" s="325"/>
      <c r="AA136" s="325"/>
      <c r="AB136" s="325"/>
      <c r="AC136" s="325"/>
      <c r="AD136" s="325"/>
      <c r="AE136" s="325"/>
      <c r="AF136" s="325"/>
      <c r="AG136" s="325"/>
      <c r="AH136" s="325"/>
      <c r="AI136" s="325"/>
      <c r="AJ136" s="391" t="s">
        <v>15626</v>
      </c>
      <c r="AK136" s="838">
        <f>AK134</f>
        <v>1</v>
      </c>
      <c r="AL136" s="839"/>
      <c r="AM136" s="325"/>
      <c r="AN136" s="325"/>
      <c r="AO136" s="325"/>
      <c r="AP136" s="325"/>
      <c r="AQ136" s="325"/>
      <c r="AR136" s="325"/>
      <c r="AS136" s="325"/>
      <c r="AT136" s="391"/>
      <c r="AU136" s="490"/>
      <c r="AV136" s="152"/>
      <c r="AW136" s="387"/>
      <c r="AX136" s="489">
        <f>ROUND(ROUND(R136*AK136,0)*$AU$106,0)</f>
        <v>128</v>
      </c>
      <c r="AY136" s="393"/>
    </row>
    <row r="137" spans="1:51" ht="16.5" customHeight="1" x14ac:dyDescent="0.15">
      <c r="A137" s="340">
        <v>12</v>
      </c>
      <c r="B137" s="341">
        <v>7293</v>
      </c>
      <c r="C137" s="390" t="s">
        <v>16276</v>
      </c>
      <c r="D137" s="403"/>
      <c r="E137" s="404"/>
      <c r="F137" s="404"/>
      <c r="G137" s="404"/>
      <c r="H137" s="406"/>
      <c r="R137" s="395"/>
      <c r="S137" s="151"/>
      <c r="T137" s="151"/>
      <c r="V137" s="387"/>
      <c r="W137" s="343"/>
      <c r="X137" s="343"/>
      <c r="Y137" s="343"/>
      <c r="Z137" s="343"/>
      <c r="AA137" s="343"/>
      <c r="AB137" s="343"/>
      <c r="AC137" s="343"/>
      <c r="AD137" s="343"/>
      <c r="AE137" s="343"/>
      <c r="AF137" s="343"/>
      <c r="AG137" s="343"/>
      <c r="AH137" s="343"/>
      <c r="AI137" s="343"/>
      <c r="AJ137" s="343"/>
      <c r="AK137" s="343"/>
      <c r="AL137" s="343"/>
      <c r="AM137" s="114" t="s">
        <v>15628</v>
      </c>
      <c r="AN137" s="396"/>
      <c r="AO137" s="396"/>
      <c r="AP137" s="396"/>
      <c r="AQ137" s="396"/>
      <c r="AR137" s="396"/>
      <c r="AS137" s="396"/>
      <c r="AT137" s="396"/>
      <c r="AU137" s="490"/>
      <c r="AV137" s="152"/>
      <c r="AW137" s="387"/>
      <c r="AX137" s="489">
        <f>ROUND(ROUND(R136*AS138,0)*$AU$106,0)</f>
        <v>108</v>
      </c>
      <c r="AY137" s="393"/>
    </row>
    <row r="138" spans="1:51" ht="16.5" customHeight="1" x14ac:dyDescent="0.15">
      <c r="A138" s="340">
        <v>12</v>
      </c>
      <c r="B138" s="341">
        <v>7294</v>
      </c>
      <c r="C138" s="390" t="s">
        <v>16277</v>
      </c>
      <c r="D138" s="403"/>
      <c r="E138" s="404"/>
      <c r="F138" s="404"/>
      <c r="G138" s="404"/>
      <c r="H138" s="406"/>
      <c r="R138" s="395"/>
      <c r="S138" s="151"/>
      <c r="T138" s="151"/>
      <c r="V138" s="387"/>
      <c r="W138" s="343" t="s">
        <v>15625</v>
      </c>
      <c r="X138" s="325"/>
      <c r="Y138" s="325"/>
      <c r="Z138" s="325"/>
      <c r="AA138" s="325"/>
      <c r="AB138" s="325"/>
      <c r="AC138" s="325"/>
      <c r="AD138" s="325"/>
      <c r="AE138" s="325"/>
      <c r="AF138" s="325"/>
      <c r="AG138" s="325"/>
      <c r="AH138" s="325"/>
      <c r="AI138" s="325"/>
      <c r="AJ138" s="391" t="s">
        <v>15626</v>
      </c>
      <c r="AK138" s="838">
        <f>AK136</f>
        <v>1</v>
      </c>
      <c r="AL138" s="843"/>
      <c r="AM138" s="324" t="s">
        <v>15630</v>
      </c>
      <c r="AN138" s="325"/>
      <c r="AO138" s="325"/>
      <c r="AP138" s="325"/>
      <c r="AQ138" s="325"/>
      <c r="AR138" s="190" t="s">
        <v>398</v>
      </c>
      <c r="AS138" s="844">
        <f>AS134</f>
        <v>0.85</v>
      </c>
      <c r="AT138" s="844"/>
      <c r="AU138" s="490"/>
      <c r="AV138" s="152"/>
      <c r="AW138" s="387"/>
      <c r="AX138" s="489">
        <f>ROUND(ROUND(ROUND(R136*AK138,0)*AS138,0)*$AU$106,0)</f>
        <v>108</v>
      </c>
      <c r="AY138" s="393"/>
    </row>
    <row r="139" spans="1:51" ht="17.100000000000001" customHeight="1" x14ac:dyDescent="0.15">
      <c r="A139" s="340">
        <v>12</v>
      </c>
      <c r="B139" s="341">
        <v>4341</v>
      </c>
      <c r="C139" s="390" t="s">
        <v>16278</v>
      </c>
      <c r="D139" s="403"/>
      <c r="E139" s="404"/>
      <c r="F139" s="404"/>
      <c r="G139" s="404"/>
      <c r="H139" s="406"/>
      <c r="I139" s="253" t="s">
        <v>15674</v>
      </c>
      <c r="J139" s="396"/>
      <c r="K139" s="396"/>
      <c r="L139" s="400"/>
      <c r="M139" s="400"/>
      <c r="N139" s="400"/>
      <c r="O139" s="400"/>
      <c r="P139" s="400"/>
      <c r="Q139" s="396"/>
      <c r="R139" s="396"/>
      <c r="S139" s="396"/>
      <c r="T139" s="396"/>
      <c r="U139" s="396"/>
      <c r="V139" s="397"/>
      <c r="W139" s="343"/>
      <c r="X139" s="343"/>
      <c r="Y139" s="343"/>
      <c r="Z139" s="343"/>
      <c r="AA139" s="343"/>
      <c r="AB139" s="343"/>
      <c r="AC139" s="343"/>
      <c r="AD139" s="343"/>
      <c r="AE139" s="343"/>
      <c r="AF139" s="343"/>
      <c r="AG139" s="343"/>
      <c r="AH139" s="343"/>
      <c r="AI139" s="343"/>
      <c r="AJ139" s="343"/>
      <c r="AK139" s="343"/>
      <c r="AL139" s="407"/>
      <c r="AM139" s="396"/>
      <c r="AN139" s="396"/>
      <c r="AO139" s="396"/>
      <c r="AP139" s="396"/>
      <c r="AQ139" s="396"/>
      <c r="AR139" s="396"/>
      <c r="AS139" s="396"/>
      <c r="AT139" s="396"/>
      <c r="AU139" s="490"/>
      <c r="AV139" s="152"/>
      <c r="AW139" s="387"/>
      <c r="AX139" s="489">
        <f>ROUND(R140*$AU$106,0)</f>
        <v>120</v>
      </c>
      <c r="AY139" s="393"/>
    </row>
    <row r="140" spans="1:51" ht="16.5" customHeight="1" x14ac:dyDescent="0.15">
      <c r="A140" s="340">
        <v>12</v>
      </c>
      <c r="B140" s="341">
        <v>4342</v>
      </c>
      <c r="C140" s="390" t="s">
        <v>16279</v>
      </c>
      <c r="D140" s="403"/>
      <c r="E140" s="404"/>
      <c r="F140" s="404"/>
      <c r="G140" s="404"/>
      <c r="H140" s="406"/>
      <c r="R140" s="836">
        <f>'2重度訪問'!U140</f>
        <v>80</v>
      </c>
      <c r="S140" s="837"/>
      <c r="T140" s="837"/>
      <c r="U140" s="152" t="s">
        <v>15624</v>
      </c>
      <c r="V140" s="387"/>
      <c r="W140" s="343" t="s">
        <v>15625</v>
      </c>
      <c r="X140" s="325"/>
      <c r="Y140" s="325"/>
      <c r="Z140" s="325"/>
      <c r="AA140" s="325"/>
      <c r="AB140" s="325"/>
      <c r="AC140" s="325"/>
      <c r="AD140" s="325"/>
      <c r="AE140" s="325"/>
      <c r="AF140" s="325"/>
      <c r="AG140" s="325"/>
      <c r="AH140" s="325"/>
      <c r="AI140" s="325"/>
      <c r="AJ140" s="391" t="s">
        <v>15626</v>
      </c>
      <c r="AK140" s="838">
        <f>AK138</f>
        <v>1</v>
      </c>
      <c r="AL140" s="839"/>
      <c r="AM140" s="325"/>
      <c r="AN140" s="325"/>
      <c r="AO140" s="325"/>
      <c r="AP140" s="325"/>
      <c r="AQ140" s="325"/>
      <c r="AR140" s="325"/>
      <c r="AS140" s="325"/>
      <c r="AT140" s="391"/>
      <c r="AU140" s="490"/>
      <c r="AV140" s="152"/>
      <c r="AW140" s="387"/>
      <c r="AX140" s="489">
        <f>ROUND(ROUND(R140*AK140,0)*$AU$106,0)</f>
        <v>120</v>
      </c>
      <c r="AY140" s="393"/>
    </row>
    <row r="141" spans="1:51" ht="16.5" customHeight="1" x14ac:dyDescent="0.15">
      <c r="A141" s="340">
        <v>12</v>
      </c>
      <c r="B141" s="341">
        <v>7295</v>
      </c>
      <c r="C141" s="390" t="s">
        <v>16280</v>
      </c>
      <c r="D141" s="403"/>
      <c r="E141" s="404"/>
      <c r="F141" s="404"/>
      <c r="G141" s="404"/>
      <c r="H141" s="406"/>
      <c r="R141" s="395"/>
      <c r="S141" s="151"/>
      <c r="T141" s="151"/>
      <c r="V141" s="387"/>
      <c r="W141" s="343"/>
      <c r="X141" s="343"/>
      <c r="Y141" s="343"/>
      <c r="Z141" s="343"/>
      <c r="AA141" s="343"/>
      <c r="AB141" s="343"/>
      <c r="AC141" s="343"/>
      <c r="AD141" s="343"/>
      <c r="AE141" s="343"/>
      <c r="AF141" s="343"/>
      <c r="AG141" s="343"/>
      <c r="AH141" s="343"/>
      <c r="AI141" s="343"/>
      <c r="AJ141" s="343"/>
      <c r="AK141" s="343"/>
      <c r="AL141" s="343"/>
      <c r="AM141" s="114" t="s">
        <v>15628</v>
      </c>
      <c r="AN141" s="396"/>
      <c r="AO141" s="396"/>
      <c r="AP141" s="396"/>
      <c r="AQ141" s="396"/>
      <c r="AR141" s="396"/>
      <c r="AS141" s="396"/>
      <c r="AT141" s="396"/>
      <c r="AU141" s="490"/>
      <c r="AV141" s="152"/>
      <c r="AW141" s="387"/>
      <c r="AX141" s="489">
        <f>ROUND(ROUND(R140*AS142,0)*$AU$106,0)</f>
        <v>102</v>
      </c>
      <c r="AY141" s="393"/>
    </row>
    <row r="142" spans="1:51" ht="16.5" customHeight="1" x14ac:dyDescent="0.15">
      <c r="A142" s="340">
        <v>12</v>
      </c>
      <c r="B142" s="341">
        <v>7296</v>
      </c>
      <c r="C142" s="390" t="s">
        <v>16281</v>
      </c>
      <c r="D142" s="403"/>
      <c r="E142" s="404"/>
      <c r="F142" s="404"/>
      <c r="G142" s="404"/>
      <c r="H142" s="406"/>
      <c r="R142" s="395"/>
      <c r="S142" s="151"/>
      <c r="T142" s="151"/>
      <c r="V142" s="387"/>
      <c r="W142" s="343" t="s">
        <v>15625</v>
      </c>
      <c r="X142" s="325"/>
      <c r="Y142" s="325"/>
      <c r="Z142" s="325"/>
      <c r="AA142" s="325"/>
      <c r="AB142" s="325"/>
      <c r="AC142" s="325"/>
      <c r="AD142" s="325"/>
      <c r="AE142" s="325"/>
      <c r="AF142" s="325"/>
      <c r="AG142" s="325"/>
      <c r="AH142" s="325"/>
      <c r="AI142" s="325"/>
      <c r="AJ142" s="391" t="s">
        <v>15626</v>
      </c>
      <c r="AK142" s="838">
        <f>AK140</f>
        <v>1</v>
      </c>
      <c r="AL142" s="843"/>
      <c r="AM142" s="324" t="s">
        <v>15630</v>
      </c>
      <c r="AN142" s="325"/>
      <c r="AO142" s="325"/>
      <c r="AP142" s="325"/>
      <c r="AQ142" s="325"/>
      <c r="AR142" s="190" t="s">
        <v>398</v>
      </c>
      <c r="AS142" s="844">
        <f>AS138</f>
        <v>0.85</v>
      </c>
      <c r="AT142" s="844"/>
      <c r="AU142" s="490"/>
      <c r="AV142" s="152"/>
      <c r="AW142" s="387"/>
      <c r="AX142" s="489">
        <f>ROUND(ROUND(ROUND(R140*AK142,0)*AS142,0)*$AU$106,0)</f>
        <v>102</v>
      </c>
      <c r="AY142" s="393"/>
    </row>
    <row r="143" spans="1:51" ht="17.100000000000001" customHeight="1" x14ac:dyDescent="0.15">
      <c r="A143" s="340">
        <v>12</v>
      </c>
      <c r="B143" s="341">
        <v>4351</v>
      </c>
      <c r="C143" s="390" t="s">
        <v>16282</v>
      </c>
      <c r="D143" s="403"/>
      <c r="E143" s="404"/>
      <c r="F143" s="404"/>
      <c r="G143" s="404"/>
      <c r="H143" s="406"/>
      <c r="I143" s="253" t="s">
        <v>15679</v>
      </c>
      <c r="J143" s="396"/>
      <c r="K143" s="396"/>
      <c r="L143" s="400"/>
      <c r="M143" s="400"/>
      <c r="N143" s="400"/>
      <c r="O143" s="400"/>
      <c r="P143" s="400"/>
      <c r="Q143" s="396"/>
      <c r="R143" s="396"/>
      <c r="S143" s="396"/>
      <c r="T143" s="396"/>
      <c r="U143" s="396"/>
      <c r="V143" s="397"/>
      <c r="W143" s="343"/>
      <c r="X143" s="343"/>
      <c r="Y143" s="343"/>
      <c r="Z143" s="343"/>
      <c r="AA143" s="343"/>
      <c r="AB143" s="343"/>
      <c r="AC143" s="343"/>
      <c r="AD143" s="343"/>
      <c r="AE143" s="343"/>
      <c r="AF143" s="343"/>
      <c r="AG143" s="343"/>
      <c r="AH143" s="343"/>
      <c r="AI143" s="343"/>
      <c r="AJ143" s="343"/>
      <c r="AK143" s="343"/>
      <c r="AL143" s="407"/>
      <c r="AM143" s="396"/>
      <c r="AN143" s="396"/>
      <c r="AO143" s="396"/>
      <c r="AP143" s="396"/>
      <c r="AQ143" s="396"/>
      <c r="AR143" s="396"/>
      <c r="AS143" s="396"/>
      <c r="AT143" s="396"/>
      <c r="AU143" s="490"/>
      <c r="AV143" s="152"/>
      <c r="AW143" s="387"/>
      <c r="AX143" s="489">
        <f>ROUND(R144*$AU$106,0)</f>
        <v>129</v>
      </c>
      <c r="AY143" s="393"/>
    </row>
    <row r="144" spans="1:51" ht="16.5" customHeight="1" x14ac:dyDescent="0.15">
      <c r="A144" s="340">
        <v>12</v>
      </c>
      <c r="B144" s="341">
        <v>4352</v>
      </c>
      <c r="C144" s="390" t="s">
        <v>16283</v>
      </c>
      <c r="D144" s="403"/>
      <c r="E144" s="404"/>
      <c r="F144" s="404"/>
      <c r="G144" s="404"/>
      <c r="H144" s="406"/>
      <c r="R144" s="836">
        <f>'2重度訪問'!U144</f>
        <v>86</v>
      </c>
      <c r="S144" s="837"/>
      <c r="T144" s="837"/>
      <c r="U144" s="152" t="s">
        <v>15624</v>
      </c>
      <c r="V144" s="387"/>
      <c r="W144" s="343" t="s">
        <v>15625</v>
      </c>
      <c r="X144" s="325"/>
      <c r="Y144" s="325"/>
      <c r="Z144" s="325"/>
      <c r="AA144" s="325"/>
      <c r="AB144" s="325"/>
      <c r="AC144" s="325"/>
      <c r="AD144" s="325"/>
      <c r="AE144" s="325"/>
      <c r="AF144" s="325"/>
      <c r="AG144" s="325"/>
      <c r="AH144" s="325"/>
      <c r="AI144" s="325"/>
      <c r="AJ144" s="391" t="s">
        <v>15626</v>
      </c>
      <c r="AK144" s="838">
        <f>AK142</f>
        <v>1</v>
      </c>
      <c r="AL144" s="839"/>
      <c r="AM144" s="325"/>
      <c r="AN144" s="325"/>
      <c r="AO144" s="325"/>
      <c r="AP144" s="325"/>
      <c r="AQ144" s="325"/>
      <c r="AR144" s="325"/>
      <c r="AS144" s="325"/>
      <c r="AT144" s="391"/>
      <c r="AU144" s="490"/>
      <c r="AV144" s="152"/>
      <c r="AW144" s="387"/>
      <c r="AX144" s="489">
        <f>ROUND(ROUND(R144*AK144,0)*$AU$106,0)</f>
        <v>129</v>
      </c>
      <c r="AY144" s="393"/>
    </row>
    <row r="145" spans="1:51" ht="16.5" customHeight="1" x14ac:dyDescent="0.15">
      <c r="A145" s="340">
        <v>12</v>
      </c>
      <c r="B145" s="341">
        <v>7297</v>
      </c>
      <c r="C145" s="390" t="s">
        <v>16284</v>
      </c>
      <c r="D145" s="403"/>
      <c r="E145" s="404"/>
      <c r="F145" s="404"/>
      <c r="G145" s="404"/>
      <c r="H145" s="406"/>
      <c r="R145" s="395"/>
      <c r="S145" s="151"/>
      <c r="T145" s="151"/>
      <c r="V145" s="387"/>
      <c r="W145" s="343"/>
      <c r="X145" s="343"/>
      <c r="Y145" s="343"/>
      <c r="Z145" s="343"/>
      <c r="AA145" s="343"/>
      <c r="AB145" s="343"/>
      <c r="AC145" s="343"/>
      <c r="AD145" s="343"/>
      <c r="AE145" s="343"/>
      <c r="AF145" s="343"/>
      <c r="AG145" s="343"/>
      <c r="AH145" s="343"/>
      <c r="AI145" s="343"/>
      <c r="AJ145" s="343"/>
      <c r="AK145" s="343"/>
      <c r="AL145" s="343"/>
      <c r="AM145" s="114" t="s">
        <v>15628</v>
      </c>
      <c r="AN145" s="396"/>
      <c r="AO145" s="396"/>
      <c r="AP145" s="396"/>
      <c r="AQ145" s="396"/>
      <c r="AR145" s="396"/>
      <c r="AS145" s="396"/>
      <c r="AT145" s="396"/>
      <c r="AU145" s="490"/>
      <c r="AV145" s="152"/>
      <c r="AW145" s="387"/>
      <c r="AX145" s="489">
        <f>ROUND(ROUND(R144*AS146,0)*$AU$106,0)</f>
        <v>110</v>
      </c>
      <c r="AY145" s="393"/>
    </row>
    <row r="146" spans="1:51" ht="16.5" customHeight="1" x14ac:dyDescent="0.15">
      <c r="A146" s="340">
        <v>12</v>
      </c>
      <c r="B146" s="341">
        <v>7298</v>
      </c>
      <c r="C146" s="390" t="s">
        <v>16285</v>
      </c>
      <c r="D146" s="403"/>
      <c r="E146" s="404"/>
      <c r="F146" s="404"/>
      <c r="G146" s="404"/>
      <c r="H146" s="406"/>
      <c r="R146" s="395"/>
      <c r="S146" s="151"/>
      <c r="T146" s="151"/>
      <c r="V146" s="387"/>
      <c r="W146" s="343" t="s">
        <v>15625</v>
      </c>
      <c r="X146" s="325"/>
      <c r="Y146" s="325"/>
      <c r="Z146" s="325"/>
      <c r="AA146" s="325"/>
      <c r="AB146" s="325"/>
      <c r="AC146" s="325"/>
      <c r="AD146" s="325"/>
      <c r="AE146" s="325"/>
      <c r="AF146" s="325"/>
      <c r="AG146" s="325"/>
      <c r="AH146" s="325"/>
      <c r="AI146" s="325"/>
      <c r="AJ146" s="391" t="s">
        <v>15626</v>
      </c>
      <c r="AK146" s="838">
        <f>AK144</f>
        <v>1</v>
      </c>
      <c r="AL146" s="843"/>
      <c r="AM146" s="324" t="s">
        <v>15630</v>
      </c>
      <c r="AN146" s="325"/>
      <c r="AO146" s="325"/>
      <c r="AP146" s="325"/>
      <c r="AQ146" s="325"/>
      <c r="AR146" s="190" t="s">
        <v>398</v>
      </c>
      <c r="AS146" s="844">
        <f>AS142</f>
        <v>0.85</v>
      </c>
      <c r="AT146" s="844"/>
      <c r="AU146" s="490"/>
      <c r="AV146" s="152"/>
      <c r="AW146" s="387"/>
      <c r="AX146" s="489">
        <f>ROUND(ROUND(ROUND(R144*AK146,0)*AS146,0)*$AU$106,0)</f>
        <v>110</v>
      </c>
      <c r="AY146" s="393"/>
    </row>
    <row r="147" spans="1:51" ht="17.100000000000001" customHeight="1" x14ac:dyDescent="0.15">
      <c r="A147" s="340">
        <v>12</v>
      </c>
      <c r="B147" s="341">
        <v>4361</v>
      </c>
      <c r="C147" s="390" t="s">
        <v>16286</v>
      </c>
      <c r="D147" s="403"/>
      <c r="E147" s="404"/>
      <c r="F147" s="404"/>
      <c r="G147" s="404"/>
      <c r="H147" s="406"/>
      <c r="I147" s="253" t="s">
        <v>15684</v>
      </c>
      <c r="J147" s="396"/>
      <c r="K147" s="396"/>
      <c r="L147" s="400"/>
      <c r="M147" s="400"/>
      <c r="N147" s="400"/>
      <c r="O147" s="400"/>
      <c r="P147" s="400"/>
      <c r="Q147" s="396"/>
      <c r="R147" s="396"/>
      <c r="S147" s="396"/>
      <c r="T147" s="396"/>
      <c r="U147" s="396"/>
      <c r="V147" s="397"/>
      <c r="W147" s="343"/>
      <c r="X147" s="343"/>
      <c r="Y147" s="343"/>
      <c r="Z147" s="343"/>
      <c r="AA147" s="343"/>
      <c r="AB147" s="343"/>
      <c r="AC147" s="343"/>
      <c r="AD147" s="343"/>
      <c r="AE147" s="343"/>
      <c r="AF147" s="343"/>
      <c r="AG147" s="343"/>
      <c r="AH147" s="343"/>
      <c r="AI147" s="343"/>
      <c r="AJ147" s="343"/>
      <c r="AK147" s="343"/>
      <c r="AL147" s="407"/>
      <c r="AM147" s="396"/>
      <c r="AN147" s="396"/>
      <c r="AO147" s="396"/>
      <c r="AP147" s="396"/>
      <c r="AQ147" s="396"/>
      <c r="AR147" s="396"/>
      <c r="AS147" s="396"/>
      <c r="AT147" s="396"/>
      <c r="AU147" s="490"/>
      <c r="AV147" s="152"/>
      <c r="AW147" s="387"/>
      <c r="AX147" s="489">
        <f>ROUND(R148*$AU$106,0)</f>
        <v>120</v>
      </c>
      <c r="AY147" s="393"/>
    </row>
    <row r="148" spans="1:51" ht="16.5" customHeight="1" x14ac:dyDescent="0.15">
      <c r="A148" s="340">
        <v>12</v>
      </c>
      <c r="B148" s="341">
        <v>4362</v>
      </c>
      <c r="C148" s="390" t="s">
        <v>16287</v>
      </c>
      <c r="D148" s="403"/>
      <c r="E148" s="404"/>
      <c r="F148" s="404"/>
      <c r="G148" s="404"/>
      <c r="H148" s="406"/>
      <c r="R148" s="836">
        <f>'2重度訪問'!U148</f>
        <v>80</v>
      </c>
      <c r="S148" s="837"/>
      <c r="T148" s="837"/>
      <c r="U148" s="152" t="s">
        <v>15624</v>
      </c>
      <c r="V148" s="387"/>
      <c r="W148" s="343" t="s">
        <v>15625</v>
      </c>
      <c r="X148" s="325"/>
      <c r="Y148" s="325"/>
      <c r="Z148" s="325"/>
      <c r="AA148" s="325"/>
      <c r="AB148" s="325"/>
      <c r="AC148" s="325"/>
      <c r="AD148" s="325"/>
      <c r="AE148" s="325"/>
      <c r="AF148" s="325"/>
      <c r="AG148" s="325"/>
      <c r="AH148" s="325"/>
      <c r="AI148" s="325"/>
      <c r="AJ148" s="391" t="s">
        <v>15626</v>
      </c>
      <c r="AK148" s="838">
        <f>AK146</f>
        <v>1</v>
      </c>
      <c r="AL148" s="839"/>
      <c r="AM148" s="325"/>
      <c r="AN148" s="325"/>
      <c r="AO148" s="325"/>
      <c r="AP148" s="325"/>
      <c r="AQ148" s="325"/>
      <c r="AR148" s="325"/>
      <c r="AS148" s="325"/>
      <c r="AT148" s="391"/>
      <c r="AU148" s="490"/>
      <c r="AV148" s="152"/>
      <c r="AW148" s="387"/>
      <c r="AX148" s="489">
        <f>ROUND(ROUND(R148*AK148,0)*$AU$106,0)</f>
        <v>120</v>
      </c>
      <c r="AY148" s="393"/>
    </row>
    <row r="149" spans="1:51" ht="16.5" customHeight="1" x14ac:dyDescent="0.15">
      <c r="A149" s="340">
        <v>12</v>
      </c>
      <c r="B149" s="341">
        <v>7299</v>
      </c>
      <c r="C149" s="390" t="s">
        <v>16288</v>
      </c>
      <c r="D149" s="403"/>
      <c r="E149" s="404"/>
      <c r="F149" s="404"/>
      <c r="G149" s="404"/>
      <c r="H149" s="406"/>
      <c r="R149" s="395"/>
      <c r="S149" s="151"/>
      <c r="T149" s="151"/>
      <c r="V149" s="387"/>
      <c r="W149" s="343"/>
      <c r="X149" s="343"/>
      <c r="Y149" s="343"/>
      <c r="Z149" s="343"/>
      <c r="AA149" s="343"/>
      <c r="AB149" s="343"/>
      <c r="AC149" s="343"/>
      <c r="AD149" s="343"/>
      <c r="AE149" s="343"/>
      <c r="AF149" s="343"/>
      <c r="AG149" s="343"/>
      <c r="AH149" s="343"/>
      <c r="AI149" s="343"/>
      <c r="AJ149" s="343"/>
      <c r="AK149" s="343"/>
      <c r="AL149" s="343"/>
      <c r="AM149" s="114" t="s">
        <v>15628</v>
      </c>
      <c r="AN149" s="396"/>
      <c r="AO149" s="396"/>
      <c r="AP149" s="396"/>
      <c r="AQ149" s="396"/>
      <c r="AR149" s="396"/>
      <c r="AS149" s="396"/>
      <c r="AT149" s="396"/>
      <c r="AU149" s="490"/>
      <c r="AV149" s="152"/>
      <c r="AW149" s="387"/>
      <c r="AX149" s="489">
        <f>ROUND(ROUND(R148*AS150,0)*$AU$106,0)</f>
        <v>102</v>
      </c>
      <c r="AY149" s="393"/>
    </row>
    <row r="150" spans="1:51" ht="16.5" customHeight="1" x14ac:dyDescent="0.15">
      <c r="A150" s="340">
        <v>12</v>
      </c>
      <c r="B150" s="341">
        <v>7300</v>
      </c>
      <c r="C150" s="390" t="s">
        <v>16289</v>
      </c>
      <c r="D150" s="419"/>
      <c r="E150" s="420"/>
      <c r="F150" s="420"/>
      <c r="G150" s="420"/>
      <c r="H150" s="422"/>
      <c r="I150" s="325"/>
      <c r="J150" s="325"/>
      <c r="K150" s="325"/>
      <c r="L150" s="325"/>
      <c r="M150" s="325"/>
      <c r="N150" s="325"/>
      <c r="O150" s="325"/>
      <c r="P150" s="325"/>
      <c r="Q150" s="325"/>
      <c r="R150" s="416"/>
      <c r="S150" s="417"/>
      <c r="T150" s="417"/>
      <c r="U150" s="325"/>
      <c r="V150" s="388"/>
      <c r="W150" s="343" t="s">
        <v>15625</v>
      </c>
      <c r="X150" s="325"/>
      <c r="Y150" s="325"/>
      <c r="Z150" s="325"/>
      <c r="AA150" s="325"/>
      <c r="AB150" s="325"/>
      <c r="AC150" s="325"/>
      <c r="AD150" s="325"/>
      <c r="AE150" s="325"/>
      <c r="AF150" s="325"/>
      <c r="AG150" s="325"/>
      <c r="AH150" s="325"/>
      <c r="AI150" s="325"/>
      <c r="AJ150" s="391" t="s">
        <v>15626</v>
      </c>
      <c r="AK150" s="838">
        <f>AK148</f>
        <v>1</v>
      </c>
      <c r="AL150" s="843"/>
      <c r="AM150" s="324" t="s">
        <v>15630</v>
      </c>
      <c r="AN150" s="325"/>
      <c r="AO150" s="325"/>
      <c r="AP150" s="325"/>
      <c r="AQ150" s="325"/>
      <c r="AR150" s="190" t="s">
        <v>398</v>
      </c>
      <c r="AS150" s="844">
        <f>AS146</f>
        <v>0.85</v>
      </c>
      <c r="AT150" s="844"/>
      <c r="AU150" s="324"/>
      <c r="AV150" s="325"/>
      <c r="AW150" s="388"/>
      <c r="AX150" s="491">
        <f>ROUND(ROUND(ROUND(R148*AK150,0)*AS150,0)*$AU$106,0)</f>
        <v>102</v>
      </c>
      <c r="AY150" s="418"/>
    </row>
    <row r="151" spans="1:51" ht="17.100000000000001" customHeight="1" x14ac:dyDescent="0.15"/>
    <row r="152" spans="1:51" ht="17.100000000000001" customHeight="1" x14ac:dyDescent="0.15"/>
    <row r="153" spans="1:51" ht="17.100000000000001" customHeight="1" x14ac:dyDescent="0.15"/>
  </sheetData>
  <mergeCells count="161">
    <mergeCell ref="AK150:AL150"/>
    <mergeCell ref="AS150:AT150"/>
    <mergeCell ref="R144:T144"/>
    <mergeCell ref="AK144:AL144"/>
    <mergeCell ref="AK146:AL146"/>
    <mergeCell ref="AS146:AT146"/>
    <mergeCell ref="R148:T148"/>
    <mergeCell ref="AK148:AL148"/>
    <mergeCell ref="AK138:AL138"/>
    <mergeCell ref="AS138:AT138"/>
    <mergeCell ref="R140:T140"/>
    <mergeCell ref="AK140:AL140"/>
    <mergeCell ref="AK142:AL142"/>
    <mergeCell ref="AS142:AT142"/>
    <mergeCell ref="R132:T132"/>
    <mergeCell ref="AK132:AL132"/>
    <mergeCell ref="AK134:AL134"/>
    <mergeCell ref="AS134:AT134"/>
    <mergeCell ref="R136:T136"/>
    <mergeCell ref="AK136:AL136"/>
    <mergeCell ref="AK126:AL126"/>
    <mergeCell ref="AS126:AT126"/>
    <mergeCell ref="R128:T128"/>
    <mergeCell ref="AK128:AL128"/>
    <mergeCell ref="AK130:AL130"/>
    <mergeCell ref="AS130:AT130"/>
    <mergeCell ref="R120:T120"/>
    <mergeCell ref="AK120:AL120"/>
    <mergeCell ref="AK122:AL122"/>
    <mergeCell ref="AS122:AT122"/>
    <mergeCell ref="R124:T124"/>
    <mergeCell ref="AK124:AL124"/>
    <mergeCell ref="AK114:AL114"/>
    <mergeCell ref="AS114:AT114"/>
    <mergeCell ref="R116:T116"/>
    <mergeCell ref="AK116:AL116"/>
    <mergeCell ref="AK118:AL118"/>
    <mergeCell ref="AS118:AT118"/>
    <mergeCell ref="R108:T108"/>
    <mergeCell ref="AK108:AL108"/>
    <mergeCell ref="AK110:AL110"/>
    <mergeCell ref="AS110:AT110"/>
    <mergeCell ref="R112:T112"/>
    <mergeCell ref="AK112:AL112"/>
    <mergeCell ref="D103:H106"/>
    <mergeCell ref="AU103:AW104"/>
    <mergeCell ref="R104:T104"/>
    <mergeCell ref="AK104:AL104"/>
    <mergeCell ref="AU105:AW105"/>
    <mergeCell ref="AK106:AL106"/>
    <mergeCell ref="AS106:AT106"/>
    <mergeCell ref="AU106:AW106"/>
    <mergeCell ref="AK98:AL98"/>
    <mergeCell ref="AS98:AT98"/>
    <mergeCell ref="R100:T100"/>
    <mergeCell ref="AK100:AL100"/>
    <mergeCell ref="AK102:AL102"/>
    <mergeCell ref="AS102:AT102"/>
    <mergeCell ref="R92:T92"/>
    <mergeCell ref="AK92:AL92"/>
    <mergeCell ref="AK94:AL94"/>
    <mergeCell ref="AS94:AT94"/>
    <mergeCell ref="R96:T96"/>
    <mergeCell ref="AK96:AL96"/>
    <mergeCell ref="AK86:AL86"/>
    <mergeCell ref="AS86:AT86"/>
    <mergeCell ref="R88:T88"/>
    <mergeCell ref="AK88:AL88"/>
    <mergeCell ref="AK90:AL90"/>
    <mergeCell ref="AS90:AT90"/>
    <mergeCell ref="R80:T80"/>
    <mergeCell ref="AK80:AL80"/>
    <mergeCell ref="AK82:AL82"/>
    <mergeCell ref="AS82:AT82"/>
    <mergeCell ref="R84:T84"/>
    <mergeCell ref="AK84:AL84"/>
    <mergeCell ref="AK74:AL74"/>
    <mergeCell ref="AS74:AT74"/>
    <mergeCell ref="R76:T76"/>
    <mergeCell ref="AK76:AL76"/>
    <mergeCell ref="AK78:AL78"/>
    <mergeCell ref="AS78:AT78"/>
    <mergeCell ref="R68:T68"/>
    <mergeCell ref="AK68:AL68"/>
    <mergeCell ref="AK70:AL70"/>
    <mergeCell ref="AS70:AT70"/>
    <mergeCell ref="R72:T72"/>
    <mergeCell ref="AK72:AL72"/>
    <mergeCell ref="AK62:AL62"/>
    <mergeCell ref="AS62:AT62"/>
    <mergeCell ref="R64:T64"/>
    <mergeCell ref="AK64:AL64"/>
    <mergeCell ref="AK66:AL66"/>
    <mergeCell ref="AS66:AT66"/>
    <mergeCell ref="AS58:AT58"/>
    <mergeCell ref="AU58:AW58"/>
    <mergeCell ref="D59:H60"/>
    <mergeCell ref="R60:T60"/>
    <mergeCell ref="AK60:AL60"/>
    <mergeCell ref="F61:H61"/>
    <mergeCell ref="R52:T52"/>
    <mergeCell ref="AK52:AL52"/>
    <mergeCell ref="AK54:AL54"/>
    <mergeCell ref="AS54:AT54"/>
    <mergeCell ref="D55:H58"/>
    <mergeCell ref="AU55:AW56"/>
    <mergeCell ref="R56:T56"/>
    <mergeCell ref="AK56:AL56"/>
    <mergeCell ref="AU57:AW57"/>
    <mergeCell ref="AK58:AL58"/>
    <mergeCell ref="AK46:AL46"/>
    <mergeCell ref="AS46:AT46"/>
    <mergeCell ref="R48:T48"/>
    <mergeCell ref="AK48:AL48"/>
    <mergeCell ref="AK50:AL50"/>
    <mergeCell ref="AS50:AT50"/>
    <mergeCell ref="R40:T40"/>
    <mergeCell ref="AK40:AL40"/>
    <mergeCell ref="AK42:AL42"/>
    <mergeCell ref="AS42:AT42"/>
    <mergeCell ref="R44:T44"/>
    <mergeCell ref="AK44:AL44"/>
    <mergeCell ref="AK34:AL34"/>
    <mergeCell ref="AS34:AT34"/>
    <mergeCell ref="R36:T36"/>
    <mergeCell ref="AK36:AL36"/>
    <mergeCell ref="AK38:AL38"/>
    <mergeCell ref="AS38:AT38"/>
    <mergeCell ref="R28:T28"/>
    <mergeCell ref="AK28:AL28"/>
    <mergeCell ref="AK30:AL30"/>
    <mergeCell ref="AS30:AT30"/>
    <mergeCell ref="R32:T32"/>
    <mergeCell ref="AK32:AL32"/>
    <mergeCell ref="AK22:AL22"/>
    <mergeCell ref="AS22:AT22"/>
    <mergeCell ref="R24:T24"/>
    <mergeCell ref="AK24:AL24"/>
    <mergeCell ref="AK26:AL26"/>
    <mergeCell ref="AS26:AT26"/>
    <mergeCell ref="R16:T16"/>
    <mergeCell ref="AK16:AL16"/>
    <mergeCell ref="AK18:AL18"/>
    <mergeCell ref="AS18:AT18"/>
    <mergeCell ref="R20:T20"/>
    <mergeCell ref="AK20:AL20"/>
    <mergeCell ref="D11:H12"/>
    <mergeCell ref="R12:T12"/>
    <mergeCell ref="AK12:AL12"/>
    <mergeCell ref="F13:H13"/>
    <mergeCell ref="AK14:AL14"/>
    <mergeCell ref="AS14:AT14"/>
    <mergeCell ref="D5:AW5"/>
    <mergeCell ref="D7:H10"/>
    <mergeCell ref="AU7:AW8"/>
    <mergeCell ref="R8:T8"/>
    <mergeCell ref="AK8:AL8"/>
    <mergeCell ref="AU9:AW9"/>
    <mergeCell ref="AK10:AL10"/>
    <mergeCell ref="AS10:AT10"/>
    <mergeCell ref="AU10:AW10"/>
  </mergeCells>
  <phoneticPr fontId="1"/>
  <printOptions horizontalCentered="1"/>
  <pageMargins left="0.59055118110236227" right="0.19685039370078741" top="0.78740157480314965" bottom="0.59055118110236227" header="0.51181102362204722" footer="0.31496062992125984"/>
  <pageSetup paperSize="9" scale="55" orientation="portrait" r:id="rId1"/>
  <headerFooter>
    <oddHeader>&amp;R&amp;9重度訪問介護</oddHeader>
    <oddFooter>&amp;C&amp;14&amp;P</oddFooter>
  </headerFooter>
  <rowBreaks count="2" manualBreakCount="2">
    <brk id="54" max="50" man="1"/>
    <brk id="102" max="50"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6">
    <pageSetUpPr autoPageBreaks="0"/>
  </sheetPr>
  <dimension ref="A1:AY298"/>
  <sheetViews>
    <sheetView view="pageBreakPreview" zoomScaleNormal="100" zoomScaleSheetLayoutView="100" workbookViewId="0"/>
  </sheetViews>
  <sheetFormatPr defaultColWidth="9" defaultRowHeight="17.100000000000001" customHeight="1" x14ac:dyDescent="0.15"/>
  <cols>
    <col min="1" max="1" width="4.5" style="151" customWidth="1"/>
    <col min="2" max="2" width="7.5" style="151" customWidth="1"/>
    <col min="3" max="3" width="32.5" style="377" bestFit="1" customWidth="1"/>
    <col min="4" max="42" width="2.5" style="152" customWidth="1"/>
    <col min="43" max="43" width="2.5" style="151" customWidth="1"/>
    <col min="44" max="44" width="2.5" style="377" customWidth="1"/>
    <col min="45" max="45" width="2.5" style="151" customWidth="1"/>
    <col min="46" max="49" width="2.5" style="152" customWidth="1"/>
    <col min="50" max="50" width="7.125" style="151" customWidth="1"/>
    <col min="51" max="51" width="8.5" style="151" customWidth="1"/>
    <col min="52" max="16384" width="9" style="151"/>
  </cols>
  <sheetData>
    <row r="1" spans="1:51" ht="17.100000000000001" customHeight="1" x14ac:dyDescent="0.15">
      <c r="A1" s="376"/>
    </row>
    <row r="2" spans="1:51" ht="17.100000000000001" customHeight="1" x14ac:dyDescent="0.15">
      <c r="A2" s="376"/>
    </row>
    <row r="3" spans="1:51" ht="17.100000000000001" customHeight="1" x14ac:dyDescent="0.15">
      <c r="A3" s="376"/>
    </row>
    <row r="4" spans="1:51" ht="17.100000000000001" customHeight="1" x14ac:dyDescent="0.15">
      <c r="B4" s="17" t="s">
        <v>16290</v>
      </c>
    </row>
    <row r="5" spans="1:51" s="309" customFormat="1" ht="17.100000000000001" customHeight="1" x14ac:dyDescent="0.15">
      <c r="A5" s="300" t="s">
        <v>15540</v>
      </c>
      <c r="B5" s="301"/>
      <c r="C5" s="492" t="s">
        <v>15541</v>
      </c>
      <c r="D5" s="890" t="s">
        <v>15618</v>
      </c>
      <c r="E5" s="891"/>
      <c r="F5" s="891"/>
      <c r="G5" s="891"/>
      <c r="H5" s="891"/>
      <c r="I5" s="891"/>
      <c r="J5" s="891"/>
      <c r="K5" s="891"/>
      <c r="L5" s="891"/>
      <c r="M5" s="891"/>
      <c r="N5" s="891"/>
      <c r="O5" s="891"/>
      <c r="P5" s="891"/>
      <c r="Q5" s="891"/>
      <c r="R5" s="891"/>
      <c r="S5" s="891"/>
      <c r="T5" s="891"/>
      <c r="U5" s="891"/>
      <c r="V5" s="891"/>
      <c r="W5" s="891"/>
      <c r="X5" s="891"/>
      <c r="Y5" s="891"/>
      <c r="Z5" s="891"/>
      <c r="AA5" s="891"/>
      <c r="AB5" s="891"/>
      <c r="AC5" s="891"/>
      <c r="AD5" s="891"/>
      <c r="AE5" s="891"/>
      <c r="AF5" s="891"/>
      <c r="AG5" s="891"/>
      <c r="AH5" s="891"/>
      <c r="AI5" s="891"/>
      <c r="AJ5" s="891"/>
      <c r="AK5" s="891"/>
      <c r="AL5" s="891"/>
      <c r="AM5" s="891"/>
      <c r="AN5" s="891"/>
      <c r="AO5" s="891"/>
      <c r="AP5" s="891"/>
      <c r="AQ5" s="891"/>
      <c r="AR5" s="891"/>
      <c r="AS5" s="891"/>
      <c r="AT5" s="891"/>
      <c r="AU5" s="891"/>
      <c r="AV5" s="891"/>
      <c r="AW5" s="892"/>
      <c r="AX5" s="306" t="s">
        <v>15543</v>
      </c>
      <c r="AY5" s="378" t="s">
        <v>15544</v>
      </c>
    </row>
    <row r="6" spans="1:51" s="309" customFormat="1" ht="17.100000000000001" customHeight="1" x14ac:dyDescent="0.15">
      <c r="A6" s="379" t="s">
        <v>15545</v>
      </c>
      <c r="B6" s="380" t="s">
        <v>15546</v>
      </c>
      <c r="C6" s="493"/>
      <c r="D6" s="382"/>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c r="AT6" s="383"/>
      <c r="AU6" s="383"/>
      <c r="AV6" s="383"/>
      <c r="AW6" s="383"/>
      <c r="AX6" s="384" t="s">
        <v>391</v>
      </c>
      <c r="AY6" s="385" t="s">
        <v>392</v>
      </c>
    </row>
    <row r="7" spans="1:51" ht="17.100000000000001" customHeight="1" x14ac:dyDescent="0.15">
      <c r="A7" s="321">
        <v>12</v>
      </c>
      <c r="B7" s="322">
        <v>7301</v>
      </c>
      <c r="C7" s="386" t="s">
        <v>16291</v>
      </c>
      <c r="D7" s="849" t="s">
        <v>15620</v>
      </c>
      <c r="E7" s="850"/>
      <c r="F7" s="850"/>
      <c r="G7" s="850"/>
      <c r="H7" s="852"/>
      <c r="I7" s="904" t="s">
        <v>15621</v>
      </c>
      <c r="J7" s="905"/>
      <c r="K7" s="905"/>
      <c r="L7" s="905"/>
      <c r="M7" s="905"/>
      <c r="N7" s="905"/>
      <c r="O7" s="905"/>
      <c r="P7" s="905"/>
      <c r="Q7" s="905"/>
      <c r="R7" s="905"/>
      <c r="S7" s="905"/>
      <c r="T7" s="905"/>
      <c r="U7" s="906"/>
      <c r="V7" s="325"/>
      <c r="W7" s="325"/>
      <c r="X7" s="325"/>
      <c r="Y7" s="325"/>
      <c r="Z7" s="325"/>
      <c r="AA7" s="325"/>
      <c r="AB7" s="325"/>
      <c r="AC7" s="325"/>
      <c r="AD7" s="325"/>
      <c r="AE7" s="325"/>
      <c r="AF7" s="325"/>
      <c r="AG7" s="325"/>
      <c r="AH7" s="325"/>
      <c r="AI7" s="325"/>
      <c r="AJ7" s="325"/>
      <c r="AK7" s="388"/>
      <c r="AQ7" s="152"/>
      <c r="AR7" s="152"/>
      <c r="AS7" s="152"/>
      <c r="AT7" s="494"/>
      <c r="AU7" s="151"/>
      <c r="AW7" s="387"/>
      <c r="AX7" s="488">
        <f>ROUND(Q8,0)</f>
        <v>213</v>
      </c>
      <c r="AY7" s="339" t="s">
        <v>15622</v>
      </c>
    </row>
    <row r="8" spans="1:51" ht="16.5" customHeight="1" x14ac:dyDescent="0.15">
      <c r="A8" s="340">
        <v>12</v>
      </c>
      <c r="B8" s="341">
        <v>7302</v>
      </c>
      <c r="C8" s="390" t="s">
        <v>16292</v>
      </c>
      <c r="D8" s="849"/>
      <c r="E8" s="850"/>
      <c r="F8" s="850"/>
      <c r="G8" s="850"/>
      <c r="H8" s="852"/>
      <c r="Q8" s="836">
        <f>ROUND(Q200*$F$13,0)</f>
        <v>213</v>
      </c>
      <c r="R8" s="837"/>
      <c r="S8" s="837"/>
      <c r="T8" s="152" t="s">
        <v>15624</v>
      </c>
      <c r="U8" s="387"/>
      <c r="V8" s="343" t="s">
        <v>15625</v>
      </c>
      <c r="W8" s="325"/>
      <c r="X8" s="325"/>
      <c r="Y8" s="325"/>
      <c r="Z8" s="325"/>
      <c r="AA8" s="325"/>
      <c r="AB8" s="325"/>
      <c r="AC8" s="325"/>
      <c r="AD8" s="325"/>
      <c r="AE8" s="325"/>
      <c r="AF8" s="325"/>
      <c r="AG8" s="325"/>
      <c r="AH8" s="325"/>
      <c r="AI8" s="391" t="s">
        <v>15626</v>
      </c>
      <c r="AJ8" s="838">
        <f>'2重度訪問'!AN8</f>
        <v>1</v>
      </c>
      <c r="AK8" s="839"/>
      <c r="AQ8" s="152"/>
      <c r="AR8" s="152"/>
      <c r="AS8" s="152"/>
      <c r="AT8" s="490"/>
      <c r="AW8" s="387"/>
      <c r="AX8" s="489">
        <f>ROUND(Q8*AJ8,0)</f>
        <v>213</v>
      </c>
      <c r="AY8" s="393"/>
    </row>
    <row r="9" spans="1:51" ht="16.5" customHeight="1" x14ac:dyDescent="0.15">
      <c r="A9" s="287">
        <v>12</v>
      </c>
      <c r="B9" s="287">
        <v>7303</v>
      </c>
      <c r="C9" s="394" t="s">
        <v>16293</v>
      </c>
      <c r="D9" s="849"/>
      <c r="E9" s="850"/>
      <c r="F9" s="850"/>
      <c r="G9" s="850"/>
      <c r="H9" s="852"/>
      <c r="Q9" s="395"/>
      <c r="R9" s="151"/>
      <c r="S9" s="151"/>
      <c r="U9" s="387"/>
      <c r="V9" s="343"/>
      <c r="W9" s="343"/>
      <c r="X9" s="343"/>
      <c r="Y9" s="343"/>
      <c r="Z9" s="343"/>
      <c r="AA9" s="343"/>
      <c r="AB9" s="343"/>
      <c r="AC9" s="343"/>
      <c r="AD9" s="343"/>
      <c r="AE9" s="343"/>
      <c r="AF9" s="343"/>
      <c r="AG9" s="343"/>
      <c r="AH9" s="343"/>
      <c r="AI9" s="343"/>
      <c r="AJ9" s="343"/>
      <c r="AK9" s="343"/>
      <c r="AL9" s="114" t="s">
        <v>15628</v>
      </c>
      <c r="AM9" s="396"/>
      <c r="AN9" s="396"/>
      <c r="AO9" s="396"/>
      <c r="AP9" s="396"/>
      <c r="AQ9" s="396"/>
      <c r="AR9" s="396"/>
      <c r="AS9" s="396"/>
      <c r="AT9" s="490"/>
      <c r="AW9" s="387"/>
      <c r="AX9" s="489">
        <f>ROUND(Q8*AR10,0)</f>
        <v>181</v>
      </c>
      <c r="AY9" s="393"/>
    </row>
    <row r="10" spans="1:51" ht="16.5" customHeight="1" x14ac:dyDescent="0.15">
      <c r="A10" s="287">
        <v>12</v>
      </c>
      <c r="B10" s="287">
        <v>7304</v>
      </c>
      <c r="C10" s="394" t="s">
        <v>16294</v>
      </c>
      <c r="D10" s="849"/>
      <c r="E10" s="850"/>
      <c r="F10" s="850"/>
      <c r="G10" s="850"/>
      <c r="H10" s="852"/>
      <c r="Q10" s="395"/>
      <c r="R10" s="151"/>
      <c r="S10" s="151"/>
      <c r="U10" s="387"/>
      <c r="V10" s="343" t="s">
        <v>15625</v>
      </c>
      <c r="W10" s="325"/>
      <c r="X10" s="325"/>
      <c r="Y10" s="325"/>
      <c r="Z10" s="325"/>
      <c r="AA10" s="325"/>
      <c r="AB10" s="325"/>
      <c r="AC10" s="325"/>
      <c r="AD10" s="325"/>
      <c r="AE10" s="325"/>
      <c r="AF10" s="325"/>
      <c r="AG10" s="325"/>
      <c r="AH10" s="325"/>
      <c r="AI10" s="391" t="s">
        <v>15626</v>
      </c>
      <c r="AJ10" s="838">
        <f>AJ8</f>
        <v>1</v>
      </c>
      <c r="AK10" s="843"/>
      <c r="AL10" s="324" t="s">
        <v>15630</v>
      </c>
      <c r="AM10" s="325"/>
      <c r="AN10" s="325"/>
      <c r="AO10" s="325"/>
      <c r="AP10" s="325"/>
      <c r="AQ10" s="190" t="s">
        <v>398</v>
      </c>
      <c r="AR10" s="844">
        <f>'2重度訪問'!AV10</f>
        <v>0.85</v>
      </c>
      <c r="AS10" s="844"/>
      <c r="AT10" s="490"/>
      <c r="AW10" s="387"/>
      <c r="AX10" s="489">
        <f>ROUND(ROUND(Q8*AJ10,0)*AR10,0)</f>
        <v>181</v>
      </c>
      <c r="AY10" s="393"/>
    </row>
    <row r="11" spans="1:51" ht="17.100000000000001" customHeight="1" x14ac:dyDescent="0.15">
      <c r="A11" s="340">
        <v>12</v>
      </c>
      <c r="B11" s="341">
        <v>7305</v>
      </c>
      <c r="C11" s="390" t="s">
        <v>16295</v>
      </c>
      <c r="D11" s="832" t="s">
        <v>15632</v>
      </c>
      <c r="E11" s="833"/>
      <c r="F11" s="833"/>
      <c r="G11" s="833"/>
      <c r="H11" s="835"/>
      <c r="L11" s="151"/>
      <c r="M11" s="151"/>
      <c r="N11" s="151"/>
      <c r="U11" s="387"/>
      <c r="V11" s="343"/>
      <c r="W11" s="343"/>
      <c r="X11" s="343"/>
      <c r="Y11" s="343"/>
      <c r="Z11" s="343"/>
      <c r="AA11" s="343"/>
      <c r="AB11" s="343"/>
      <c r="AC11" s="343"/>
      <c r="AD11" s="343"/>
      <c r="AE11" s="343"/>
      <c r="AF11" s="343"/>
      <c r="AG11" s="343"/>
      <c r="AH11" s="343"/>
      <c r="AI11" s="343"/>
      <c r="AJ11" s="343"/>
      <c r="AK11" s="407"/>
      <c r="AL11" s="396"/>
      <c r="AM11" s="396"/>
      <c r="AN11" s="396"/>
      <c r="AO11" s="396"/>
      <c r="AP11" s="396"/>
      <c r="AQ11" s="396"/>
      <c r="AR11" s="396"/>
      <c r="AS11" s="396"/>
      <c r="AT11" s="857" t="s">
        <v>16296</v>
      </c>
      <c r="AU11" s="858"/>
      <c r="AV11" s="858"/>
      <c r="AW11" s="860"/>
      <c r="AX11" s="489">
        <f>ROUND(Q8*AT14,0)</f>
        <v>170</v>
      </c>
      <c r="AY11" s="339"/>
    </row>
    <row r="12" spans="1:51" ht="16.5" customHeight="1" x14ac:dyDescent="0.15">
      <c r="A12" s="340">
        <v>12</v>
      </c>
      <c r="B12" s="341">
        <v>7306</v>
      </c>
      <c r="C12" s="390" t="s">
        <v>16297</v>
      </c>
      <c r="D12" s="832"/>
      <c r="E12" s="833"/>
      <c r="F12" s="833"/>
      <c r="G12" s="833"/>
      <c r="H12" s="835"/>
      <c r="Q12" s="899"/>
      <c r="R12" s="900"/>
      <c r="S12" s="900"/>
      <c r="U12" s="387"/>
      <c r="V12" s="343" t="s">
        <v>15625</v>
      </c>
      <c r="W12" s="325"/>
      <c r="X12" s="325"/>
      <c r="Y12" s="325"/>
      <c r="Z12" s="325"/>
      <c r="AA12" s="325"/>
      <c r="AB12" s="325"/>
      <c r="AC12" s="325"/>
      <c r="AD12" s="325"/>
      <c r="AE12" s="325"/>
      <c r="AF12" s="325"/>
      <c r="AG12" s="325"/>
      <c r="AH12" s="325"/>
      <c r="AI12" s="391" t="s">
        <v>15626</v>
      </c>
      <c r="AJ12" s="838">
        <f>AJ10</f>
        <v>1</v>
      </c>
      <c r="AK12" s="839"/>
      <c r="AQ12" s="152"/>
      <c r="AR12" s="152"/>
      <c r="AS12" s="152"/>
      <c r="AT12" s="849"/>
      <c r="AU12" s="850"/>
      <c r="AV12" s="850"/>
      <c r="AW12" s="852"/>
      <c r="AX12" s="489">
        <f>ROUND(ROUND(Q8*AJ12,0)*AT14,0)</f>
        <v>170</v>
      </c>
      <c r="AY12" s="393"/>
    </row>
    <row r="13" spans="1:51" ht="16.5" customHeight="1" x14ac:dyDescent="0.15">
      <c r="A13" s="287">
        <v>12</v>
      </c>
      <c r="B13" s="287">
        <v>7307</v>
      </c>
      <c r="C13" s="394" t="s">
        <v>16298</v>
      </c>
      <c r="D13" s="403"/>
      <c r="E13" s="404" t="s">
        <v>15636</v>
      </c>
      <c r="F13" s="840">
        <v>1.1499999999999999</v>
      </c>
      <c r="G13" s="841"/>
      <c r="H13" s="842"/>
      <c r="Q13" s="395"/>
      <c r="R13" s="151"/>
      <c r="S13" s="151"/>
      <c r="U13" s="387"/>
      <c r="V13" s="343"/>
      <c r="W13" s="343"/>
      <c r="X13" s="343"/>
      <c r="Y13" s="343"/>
      <c r="Z13" s="343"/>
      <c r="AA13" s="343"/>
      <c r="AB13" s="343"/>
      <c r="AC13" s="343"/>
      <c r="AD13" s="343"/>
      <c r="AE13" s="343"/>
      <c r="AF13" s="343"/>
      <c r="AG13" s="343"/>
      <c r="AH13" s="343"/>
      <c r="AI13" s="343"/>
      <c r="AJ13" s="343"/>
      <c r="AK13" s="343"/>
      <c r="AL13" s="114" t="s">
        <v>15628</v>
      </c>
      <c r="AM13" s="396"/>
      <c r="AN13" s="396"/>
      <c r="AO13" s="396"/>
      <c r="AP13" s="396"/>
      <c r="AQ13" s="396"/>
      <c r="AR13" s="396"/>
      <c r="AS13" s="396"/>
      <c r="AT13" s="901" t="s">
        <v>15636</v>
      </c>
      <c r="AU13" s="902"/>
      <c r="AV13" s="902"/>
      <c r="AW13" s="903"/>
      <c r="AX13" s="489">
        <f>ROUND(ROUND(Q8*AR14,0)*AT14,0)</f>
        <v>145</v>
      </c>
      <c r="AY13" s="393"/>
    </row>
    <row r="14" spans="1:51" ht="16.5" customHeight="1" x14ac:dyDescent="0.15">
      <c r="A14" s="287">
        <v>12</v>
      </c>
      <c r="B14" s="287">
        <v>7308</v>
      </c>
      <c r="C14" s="394" t="s">
        <v>16299</v>
      </c>
      <c r="D14" s="403"/>
      <c r="E14" s="404"/>
      <c r="F14" s="404"/>
      <c r="G14" s="404"/>
      <c r="H14" s="406"/>
      <c r="Q14" s="395"/>
      <c r="R14" s="151"/>
      <c r="S14" s="151"/>
      <c r="U14" s="387"/>
      <c r="V14" s="343" t="s">
        <v>15625</v>
      </c>
      <c r="W14" s="325"/>
      <c r="X14" s="325"/>
      <c r="Y14" s="325"/>
      <c r="Z14" s="325"/>
      <c r="AA14" s="325"/>
      <c r="AB14" s="325"/>
      <c r="AC14" s="325"/>
      <c r="AD14" s="325"/>
      <c r="AE14" s="325"/>
      <c r="AF14" s="325"/>
      <c r="AG14" s="325"/>
      <c r="AH14" s="325"/>
      <c r="AI14" s="391" t="s">
        <v>15626</v>
      </c>
      <c r="AJ14" s="838">
        <f>AJ12</f>
        <v>1</v>
      </c>
      <c r="AK14" s="843"/>
      <c r="AL14" s="324" t="s">
        <v>15630</v>
      </c>
      <c r="AM14" s="325"/>
      <c r="AN14" s="325"/>
      <c r="AO14" s="325"/>
      <c r="AP14" s="325"/>
      <c r="AQ14" s="190" t="s">
        <v>398</v>
      </c>
      <c r="AR14" s="844">
        <f>AR10</f>
        <v>0.85</v>
      </c>
      <c r="AS14" s="844"/>
      <c r="AT14" s="907">
        <v>0.8</v>
      </c>
      <c r="AU14" s="844"/>
      <c r="AV14" s="844"/>
      <c r="AW14" s="845"/>
      <c r="AX14" s="489">
        <f>ROUND(ROUND(ROUND(Q8*AJ14,0)*AR14,0)*AT14,0)</f>
        <v>145</v>
      </c>
      <c r="AY14" s="393"/>
    </row>
    <row r="15" spans="1:51" ht="16.5" customHeight="1" x14ac:dyDescent="0.15">
      <c r="A15" s="340">
        <v>12</v>
      </c>
      <c r="B15" s="341">
        <v>7309</v>
      </c>
      <c r="C15" s="390" t="s">
        <v>16300</v>
      </c>
      <c r="D15" s="494"/>
      <c r="E15" s="151"/>
      <c r="F15" s="151"/>
      <c r="G15" s="151"/>
      <c r="H15" s="495"/>
      <c r="I15" s="908" t="s">
        <v>15633</v>
      </c>
      <c r="J15" s="909"/>
      <c r="K15" s="909"/>
      <c r="L15" s="909"/>
      <c r="M15" s="909"/>
      <c r="N15" s="909"/>
      <c r="O15" s="909"/>
      <c r="P15" s="909"/>
      <c r="Q15" s="909"/>
      <c r="R15" s="909"/>
      <c r="S15" s="909"/>
      <c r="T15" s="909"/>
      <c r="U15" s="910"/>
      <c r="V15" s="343"/>
      <c r="W15" s="325"/>
      <c r="X15" s="325"/>
      <c r="Y15" s="325"/>
      <c r="Z15" s="325"/>
      <c r="AA15" s="325"/>
      <c r="AB15" s="325"/>
      <c r="AC15" s="325"/>
      <c r="AD15" s="325"/>
      <c r="AE15" s="325"/>
      <c r="AF15" s="325"/>
      <c r="AG15" s="325"/>
      <c r="AH15" s="325"/>
      <c r="AI15" s="391"/>
      <c r="AJ15" s="401"/>
      <c r="AK15" s="402"/>
      <c r="AQ15" s="152"/>
      <c r="AR15" s="152"/>
      <c r="AS15" s="152"/>
      <c r="AT15" s="496"/>
      <c r="AU15" s="400"/>
      <c r="AV15" s="396"/>
      <c r="AW15" s="397"/>
      <c r="AX15" s="489">
        <f>ROUND(Q16,0)</f>
        <v>104</v>
      </c>
      <c r="AY15" s="393"/>
    </row>
    <row r="16" spans="1:51" ht="16.5" customHeight="1" x14ac:dyDescent="0.15">
      <c r="A16" s="340">
        <v>12</v>
      </c>
      <c r="B16" s="341">
        <v>7310</v>
      </c>
      <c r="C16" s="390" t="s">
        <v>16301</v>
      </c>
      <c r="D16" s="494"/>
      <c r="E16" s="151"/>
      <c r="F16" s="151"/>
      <c r="G16" s="151"/>
      <c r="H16" s="495"/>
      <c r="Q16" s="836">
        <f>ROUND(Q208*$F$13,0)</f>
        <v>104</v>
      </c>
      <c r="R16" s="837"/>
      <c r="S16" s="837"/>
      <c r="T16" s="152" t="s">
        <v>15624</v>
      </c>
      <c r="U16" s="387"/>
      <c r="V16" s="343" t="s">
        <v>15625</v>
      </c>
      <c r="W16" s="325"/>
      <c r="X16" s="325"/>
      <c r="Y16" s="325"/>
      <c r="Z16" s="325"/>
      <c r="AA16" s="325"/>
      <c r="AB16" s="325"/>
      <c r="AC16" s="325"/>
      <c r="AD16" s="325"/>
      <c r="AE16" s="325"/>
      <c r="AF16" s="325"/>
      <c r="AG16" s="325"/>
      <c r="AH16" s="325"/>
      <c r="AI16" s="391" t="s">
        <v>15626</v>
      </c>
      <c r="AJ16" s="838">
        <f>AJ14</f>
        <v>1</v>
      </c>
      <c r="AK16" s="839"/>
      <c r="AQ16" s="152"/>
      <c r="AR16" s="152"/>
      <c r="AS16" s="152"/>
      <c r="AT16" s="490"/>
      <c r="AW16" s="387"/>
      <c r="AX16" s="489">
        <f>ROUND(Q16*AJ16,0)</f>
        <v>104</v>
      </c>
      <c r="AY16" s="393"/>
    </row>
    <row r="17" spans="1:51" ht="16.5" customHeight="1" x14ac:dyDescent="0.15">
      <c r="A17" s="287">
        <v>12</v>
      </c>
      <c r="B17" s="287">
        <v>7311</v>
      </c>
      <c r="C17" s="394" t="s">
        <v>16302</v>
      </c>
      <c r="D17" s="494"/>
      <c r="E17" s="151"/>
      <c r="F17" s="151"/>
      <c r="G17" s="151"/>
      <c r="H17" s="495"/>
      <c r="Q17" s="395"/>
      <c r="R17" s="151"/>
      <c r="S17" s="151"/>
      <c r="U17" s="387"/>
      <c r="V17" s="343"/>
      <c r="W17" s="343"/>
      <c r="X17" s="343"/>
      <c r="Y17" s="343"/>
      <c r="Z17" s="343"/>
      <c r="AA17" s="343"/>
      <c r="AB17" s="343"/>
      <c r="AC17" s="343"/>
      <c r="AD17" s="343"/>
      <c r="AE17" s="343"/>
      <c r="AF17" s="343"/>
      <c r="AG17" s="343"/>
      <c r="AH17" s="343"/>
      <c r="AI17" s="343"/>
      <c r="AJ17" s="343"/>
      <c r="AK17" s="343"/>
      <c r="AL17" s="114" t="s">
        <v>15628</v>
      </c>
      <c r="AM17" s="396"/>
      <c r="AN17" s="396"/>
      <c r="AO17" s="396"/>
      <c r="AP17" s="396"/>
      <c r="AQ17" s="396"/>
      <c r="AR17" s="396"/>
      <c r="AS17" s="397"/>
      <c r="AT17" s="490"/>
      <c r="AW17" s="387"/>
      <c r="AX17" s="489">
        <f>ROUND(Q16*AR18,0)</f>
        <v>88</v>
      </c>
      <c r="AY17" s="393"/>
    </row>
    <row r="18" spans="1:51" ht="16.5" customHeight="1" x14ac:dyDescent="0.15">
      <c r="A18" s="287">
        <v>12</v>
      </c>
      <c r="B18" s="287">
        <v>7312</v>
      </c>
      <c r="C18" s="394" t="s">
        <v>16303</v>
      </c>
      <c r="D18" s="403"/>
      <c r="E18" s="404"/>
      <c r="F18" s="404"/>
      <c r="G18" s="404"/>
      <c r="H18" s="406"/>
      <c r="Q18" s="395"/>
      <c r="R18" s="151"/>
      <c r="S18" s="151"/>
      <c r="U18" s="387"/>
      <c r="V18" s="343" t="s">
        <v>15625</v>
      </c>
      <c r="W18" s="325"/>
      <c r="X18" s="325"/>
      <c r="Y18" s="325"/>
      <c r="Z18" s="325"/>
      <c r="AA18" s="325"/>
      <c r="AB18" s="325"/>
      <c r="AC18" s="325"/>
      <c r="AD18" s="325"/>
      <c r="AE18" s="325"/>
      <c r="AF18" s="325"/>
      <c r="AG18" s="325"/>
      <c r="AH18" s="325"/>
      <c r="AI18" s="391" t="s">
        <v>15626</v>
      </c>
      <c r="AJ18" s="838">
        <f>AJ16</f>
        <v>1</v>
      </c>
      <c r="AK18" s="843"/>
      <c r="AL18" s="324" t="s">
        <v>15630</v>
      </c>
      <c r="AM18" s="325"/>
      <c r="AN18" s="325"/>
      <c r="AO18" s="325"/>
      <c r="AP18" s="325"/>
      <c r="AQ18" s="190" t="s">
        <v>398</v>
      </c>
      <c r="AR18" s="844">
        <f>AR14</f>
        <v>0.85</v>
      </c>
      <c r="AS18" s="844"/>
      <c r="AT18" s="490"/>
      <c r="AW18" s="387"/>
      <c r="AX18" s="489">
        <f>ROUND(ROUND(Q16*AJ18,0)*AR18,0)</f>
        <v>88</v>
      </c>
      <c r="AY18" s="393"/>
    </row>
    <row r="19" spans="1:51" ht="16.5" customHeight="1" x14ac:dyDescent="0.15">
      <c r="A19" s="340">
        <v>12</v>
      </c>
      <c r="B19" s="341">
        <v>7313</v>
      </c>
      <c r="C19" s="390" t="s">
        <v>16304</v>
      </c>
      <c r="D19" s="494"/>
      <c r="E19" s="151"/>
      <c r="F19" s="151"/>
      <c r="G19" s="151"/>
      <c r="H19" s="495"/>
      <c r="I19" s="254"/>
      <c r="Q19" s="395"/>
      <c r="R19" s="151"/>
      <c r="S19" s="151"/>
      <c r="U19" s="387"/>
      <c r="V19" s="343"/>
      <c r="W19" s="325"/>
      <c r="X19" s="325"/>
      <c r="Y19" s="325"/>
      <c r="Z19" s="325"/>
      <c r="AA19" s="325"/>
      <c r="AB19" s="325"/>
      <c r="AC19" s="325"/>
      <c r="AD19" s="325"/>
      <c r="AE19" s="325"/>
      <c r="AF19" s="325"/>
      <c r="AG19" s="325"/>
      <c r="AH19" s="325"/>
      <c r="AI19" s="391"/>
      <c r="AJ19" s="401"/>
      <c r="AK19" s="402"/>
      <c r="AQ19" s="152"/>
      <c r="AR19" s="152"/>
      <c r="AS19" s="152"/>
      <c r="AT19" s="857" t="s">
        <v>16296</v>
      </c>
      <c r="AU19" s="858"/>
      <c r="AV19" s="858"/>
      <c r="AW19" s="860"/>
      <c r="AX19" s="489">
        <f>ROUND(Q16*AT22,0)</f>
        <v>83</v>
      </c>
      <c r="AY19" s="393"/>
    </row>
    <row r="20" spans="1:51" ht="16.5" customHeight="1" x14ac:dyDescent="0.15">
      <c r="A20" s="340">
        <v>12</v>
      </c>
      <c r="B20" s="341">
        <v>7314</v>
      </c>
      <c r="C20" s="390" t="s">
        <v>16305</v>
      </c>
      <c r="D20" s="494"/>
      <c r="E20" s="151"/>
      <c r="F20" s="151"/>
      <c r="G20" s="151"/>
      <c r="H20" s="495"/>
      <c r="Q20" s="899"/>
      <c r="R20" s="900"/>
      <c r="S20" s="900"/>
      <c r="U20" s="387"/>
      <c r="V20" s="343" t="s">
        <v>15625</v>
      </c>
      <c r="W20" s="325"/>
      <c r="X20" s="325"/>
      <c r="Y20" s="325"/>
      <c r="Z20" s="325"/>
      <c r="AA20" s="325"/>
      <c r="AB20" s="325"/>
      <c r="AC20" s="325"/>
      <c r="AD20" s="325"/>
      <c r="AE20" s="325"/>
      <c r="AF20" s="325"/>
      <c r="AG20" s="325"/>
      <c r="AH20" s="325"/>
      <c r="AI20" s="391" t="s">
        <v>15626</v>
      </c>
      <c r="AJ20" s="838">
        <f>AJ18</f>
        <v>1</v>
      </c>
      <c r="AK20" s="839"/>
      <c r="AQ20" s="152"/>
      <c r="AR20" s="152"/>
      <c r="AS20" s="152"/>
      <c r="AT20" s="849"/>
      <c r="AU20" s="850"/>
      <c r="AV20" s="850"/>
      <c r="AW20" s="852"/>
      <c r="AX20" s="489">
        <f>ROUND(ROUND(Q16*AJ20,0)*AT22,0)</f>
        <v>83</v>
      </c>
      <c r="AY20" s="393"/>
    </row>
    <row r="21" spans="1:51" ht="16.5" customHeight="1" x14ac:dyDescent="0.15">
      <c r="A21" s="287">
        <v>12</v>
      </c>
      <c r="B21" s="287">
        <v>7315</v>
      </c>
      <c r="C21" s="394" t="s">
        <v>16306</v>
      </c>
      <c r="D21" s="494"/>
      <c r="E21" s="151"/>
      <c r="F21" s="151"/>
      <c r="G21" s="151"/>
      <c r="H21" s="495"/>
      <c r="Q21" s="395"/>
      <c r="R21" s="151"/>
      <c r="S21" s="151"/>
      <c r="U21" s="387"/>
      <c r="V21" s="343"/>
      <c r="W21" s="343"/>
      <c r="X21" s="343"/>
      <c r="Y21" s="343"/>
      <c r="Z21" s="343"/>
      <c r="AA21" s="343"/>
      <c r="AB21" s="343"/>
      <c r="AC21" s="343"/>
      <c r="AD21" s="343"/>
      <c r="AE21" s="343"/>
      <c r="AF21" s="343"/>
      <c r="AG21" s="343"/>
      <c r="AH21" s="343"/>
      <c r="AI21" s="343"/>
      <c r="AJ21" s="343"/>
      <c r="AK21" s="343"/>
      <c r="AL21" s="114" t="s">
        <v>15628</v>
      </c>
      <c r="AM21" s="396"/>
      <c r="AN21" s="396"/>
      <c r="AO21" s="396"/>
      <c r="AP21" s="396"/>
      <c r="AQ21" s="396"/>
      <c r="AR21" s="396"/>
      <c r="AS21" s="397"/>
      <c r="AT21" s="901" t="s">
        <v>15636</v>
      </c>
      <c r="AU21" s="902"/>
      <c r="AV21" s="902"/>
      <c r="AW21" s="903"/>
      <c r="AX21" s="489">
        <f>ROUND(ROUND(Q16*AR22,0)*AT22,0)</f>
        <v>70</v>
      </c>
      <c r="AY21" s="393"/>
    </row>
    <row r="22" spans="1:51" ht="16.5" customHeight="1" x14ac:dyDescent="0.15">
      <c r="A22" s="287">
        <v>12</v>
      </c>
      <c r="B22" s="287">
        <v>7316</v>
      </c>
      <c r="C22" s="394" t="s">
        <v>16307</v>
      </c>
      <c r="D22" s="403"/>
      <c r="E22" s="404"/>
      <c r="F22" s="404"/>
      <c r="G22" s="404"/>
      <c r="H22" s="406"/>
      <c r="Q22" s="395"/>
      <c r="R22" s="151"/>
      <c r="S22" s="151"/>
      <c r="U22" s="387"/>
      <c r="V22" s="343" t="s">
        <v>15625</v>
      </c>
      <c r="W22" s="325"/>
      <c r="X22" s="325"/>
      <c r="Y22" s="325"/>
      <c r="Z22" s="325"/>
      <c r="AA22" s="325"/>
      <c r="AB22" s="325"/>
      <c r="AC22" s="325"/>
      <c r="AD22" s="325"/>
      <c r="AE22" s="325"/>
      <c r="AF22" s="325"/>
      <c r="AG22" s="325"/>
      <c r="AH22" s="325"/>
      <c r="AI22" s="391" t="s">
        <v>15626</v>
      </c>
      <c r="AJ22" s="838">
        <f>AJ20</f>
        <v>1</v>
      </c>
      <c r="AK22" s="843"/>
      <c r="AL22" s="324" t="s">
        <v>15630</v>
      </c>
      <c r="AM22" s="325"/>
      <c r="AN22" s="325"/>
      <c r="AO22" s="325"/>
      <c r="AP22" s="325"/>
      <c r="AQ22" s="190" t="s">
        <v>398</v>
      </c>
      <c r="AR22" s="844">
        <f>AR18</f>
        <v>0.85</v>
      </c>
      <c r="AS22" s="844"/>
      <c r="AT22" s="907">
        <f>AT14</f>
        <v>0.8</v>
      </c>
      <c r="AU22" s="844"/>
      <c r="AV22" s="844"/>
      <c r="AW22" s="845"/>
      <c r="AX22" s="489">
        <f>ROUND(ROUND(ROUND(Q16*AJ22,0)*AR22,0)*AT22,0)</f>
        <v>70</v>
      </c>
      <c r="AY22" s="393"/>
    </row>
    <row r="23" spans="1:51" ht="16.5" customHeight="1" x14ac:dyDescent="0.15">
      <c r="A23" s="340">
        <v>12</v>
      </c>
      <c r="B23" s="341">
        <v>7317</v>
      </c>
      <c r="C23" s="390" t="s">
        <v>16308</v>
      </c>
      <c r="D23" s="403"/>
      <c r="E23" s="404"/>
      <c r="F23" s="404"/>
      <c r="G23" s="404"/>
      <c r="H23" s="406"/>
      <c r="I23" s="908" t="s">
        <v>16309</v>
      </c>
      <c r="J23" s="909"/>
      <c r="K23" s="909"/>
      <c r="L23" s="909"/>
      <c r="M23" s="909"/>
      <c r="N23" s="909"/>
      <c r="O23" s="909"/>
      <c r="P23" s="909"/>
      <c r="Q23" s="909"/>
      <c r="R23" s="909"/>
      <c r="S23" s="909"/>
      <c r="T23" s="909"/>
      <c r="U23" s="910"/>
      <c r="V23" s="343"/>
      <c r="W23" s="325"/>
      <c r="X23" s="325"/>
      <c r="Y23" s="325"/>
      <c r="Z23" s="325"/>
      <c r="AA23" s="325"/>
      <c r="AB23" s="325"/>
      <c r="AC23" s="325"/>
      <c r="AD23" s="325"/>
      <c r="AE23" s="325"/>
      <c r="AF23" s="325"/>
      <c r="AG23" s="325"/>
      <c r="AH23" s="325"/>
      <c r="AI23" s="391"/>
      <c r="AJ23" s="401"/>
      <c r="AK23" s="402"/>
      <c r="AL23" s="396"/>
      <c r="AM23" s="396"/>
      <c r="AN23" s="396"/>
      <c r="AO23" s="396"/>
      <c r="AP23" s="396"/>
      <c r="AQ23" s="396"/>
      <c r="AR23" s="396"/>
      <c r="AS23" s="396"/>
      <c r="AT23" s="496"/>
      <c r="AU23" s="400"/>
      <c r="AV23" s="396"/>
      <c r="AW23" s="397"/>
      <c r="AX23" s="489">
        <f>ROUND(Q24,0)</f>
        <v>106</v>
      </c>
      <c r="AY23" s="393"/>
    </row>
    <row r="24" spans="1:51" ht="16.5" customHeight="1" x14ac:dyDescent="0.15">
      <c r="A24" s="340">
        <v>12</v>
      </c>
      <c r="B24" s="341">
        <v>7318</v>
      </c>
      <c r="C24" s="390" t="s">
        <v>16310</v>
      </c>
      <c r="D24" s="403"/>
      <c r="E24" s="404"/>
      <c r="F24" s="404"/>
      <c r="G24" s="404"/>
      <c r="H24" s="406"/>
      <c r="Q24" s="836">
        <f>ROUND(Q216*$F$13,0)</f>
        <v>106</v>
      </c>
      <c r="R24" s="837"/>
      <c r="S24" s="837"/>
      <c r="T24" s="152" t="s">
        <v>15624</v>
      </c>
      <c r="U24" s="387"/>
      <c r="V24" s="343" t="s">
        <v>15625</v>
      </c>
      <c r="W24" s="325"/>
      <c r="X24" s="325"/>
      <c r="Y24" s="325"/>
      <c r="Z24" s="325"/>
      <c r="AA24" s="325"/>
      <c r="AB24" s="325"/>
      <c r="AC24" s="325"/>
      <c r="AD24" s="325"/>
      <c r="AE24" s="325"/>
      <c r="AF24" s="325"/>
      <c r="AG24" s="325"/>
      <c r="AH24" s="325"/>
      <c r="AI24" s="391" t="s">
        <v>15626</v>
      </c>
      <c r="AJ24" s="838">
        <f>AJ22</f>
        <v>1</v>
      </c>
      <c r="AK24" s="839"/>
      <c r="AL24" s="325"/>
      <c r="AM24" s="325"/>
      <c r="AN24" s="325"/>
      <c r="AO24" s="325"/>
      <c r="AP24" s="325"/>
      <c r="AQ24" s="325"/>
      <c r="AR24" s="325"/>
      <c r="AS24" s="325"/>
      <c r="AT24" s="490"/>
      <c r="AW24" s="387"/>
      <c r="AX24" s="489">
        <f>ROUND(Q24*AJ24,0)</f>
        <v>106</v>
      </c>
      <c r="AY24" s="393"/>
    </row>
    <row r="25" spans="1:51" ht="16.5" customHeight="1" x14ac:dyDescent="0.15">
      <c r="A25" s="287">
        <v>12</v>
      </c>
      <c r="B25" s="287">
        <v>7319</v>
      </c>
      <c r="C25" s="394" t="s">
        <v>16311</v>
      </c>
      <c r="D25" s="403"/>
      <c r="E25" s="404"/>
      <c r="F25" s="404"/>
      <c r="G25" s="404"/>
      <c r="H25" s="406"/>
      <c r="Q25" s="395"/>
      <c r="R25" s="151"/>
      <c r="S25" s="151"/>
      <c r="U25" s="387"/>
      <c r="V25" s="343"/>
      <c r="W25" s="343"/>
      <c r="X25" s="343"/>
      <c r="Y25" s="343"/>
      <c r="Z25" s="343"/>
      <c r="AA25" s="343"/>
      <c r="AB25" s="343"/>
      <c r="AC25" s="343"/>
      <c r="AD25" s="343"/>
      <c r="AE25" s="343"/>
      <c r="AF25" s="343"/>
      <c r="AG25" s="343"/>
      <c r="AH25" s="343"/>
      <c r="AI25" s="343"/>
      <c r="AJ25" s="343"/>
      <c r="AK25" s="343"/>
      <c r="AL25" s="114" t="s">
        <v>15628</v>
      </c>
      <c r="AM25" s="396"/>
      <c r="AN25" s="396"/>
      <c r="AO25" s="396"/>
      <c r="AP25" s="396"/>
      <c r="AQ25" s="396"/>
      <c r="AR25" s="396"/>
      <c r="AS25" s="397"/>
      <c r="AT25" s="490"/>
      <c r="AW25" s="387"/>
      <c r="AX25" s="489">
        <f>ROUND(Q24*AR26,0)</f>
        <v>90</v>
      </c>
      <c r="AY25" s="393"/>
    </row>
    <row r="26" spans="1:51" ht="16.5" customHeight="1" x14ac:dyDescent="0.15">
      <c r="A26" s="287">
        <v>12</v>
      </c>
      <c r="B26" s="287">
        <v>7320</v>
      </c>
      <c r="C26" s="394" t="s">
        <v>16312</v>
      </c>
      <c r="D26" s="403"/>
      <c r="E26" s="404"/>
      <c r="F26" s="404"/>
      <c r="G26" s="404"/>
      <c r="H26" s="406"/>
      <c r="Q26" s="395"/>
      <c r="R26" s="151"/>
      <c r="S26" s="151"/>
      <c r="U26" s="387"/>
      <c r="V26" s="343" t="s">
        <v>15625</v>
      </c>
      <c r="W26" s="325"/>
      <c r="X26" s="325"/>
      <c r="Y26" s="325"/>
      <c r="Z26" s="325"/>
      <c r="AA26" s="325"/>
      <c r="AB26" s="325"/>
      <c r="AC26" s="325"/>
      <c r="AD26" s="325"/>
      <c r="AE26" s="325"/>
      <c r="AF26" s="325"/>
      <c r="AG26" s="325"/>
      <c r="AH26" s="325"/>
      <c r="AI26" s="391" t="s">
        <v>15626</v>
      </c>
      <c r="AJ26" s="838">
        <f>AJ24</f>
        <v>1</v>
      </c>
      <c r="AK26" s="843"/>
      <c r="AL26" s="324" t="s">
        <v>15630</v>
      </c>
      <c r="AM26" s="325"/>
      <c r="AN26" s="325"/>
      <c r="AO26" s="325"/>
      <c r="AP26" s="325"/>
      <c r="AQ26" s="190" t="s">
        <v>398</v>
      </c>
      <c r="AR26" s="844">
        <f>AR22</f>
        <v>0.85</v>
      </c>
      <c r="AS26" s="844"/>
      <c r="AT26" s="490"/>
      <c r="AW26" s="387"/>
      <c r="AX26" s="489">
        <f>ROUND(ROUND(Q24*AJ26,0)*AR26,0)</f>
        <v>90</v>
      </c>
      <c r="AY26" s="393"/>
    </row>
    <row r="27" spans="1:51" ht="16.5" customHeight="1" x14ac:dyDescent="0.15">
      <c r="A27" s="340">
        <v>12</v>
      </c>
      <c r="B27" s="341">
        <v>7321</v>
      </c>
      <c r="C27" s="390" t="s">
        <v>16313</v>
      </c>
      <c r="D27" s="403"/>
      <c r="E27" s="404"/>
      <c r="F27" s="404"/>
      <c r="G27" s="404"/>
      <c r="H27" s="406"/>
      <c r="I27" s="10"/>
      <c r="Q27" s="395"/>
      <c r="R27" s="151"/>
      <c r="S27" s="151"/>
      <c r="U27" s="387"/>
      <c r="V27" s="343"/>
      <c r="W27" s="325"/>
      <c r="X27" s="325"/>
      <c r="Y27" s="325"/>
      <c r="Z27" s="325"/>
      <c r="AA27" s="325"/>
      <c r="AB27" s="325"/>
      <c r="AC27" s="325"/>
      <c r="AD27" s="325"/>
      <c r="AE27" s="325"/>
      <c r="AF27" s="325"/>
      <c r="AG27" s="325"/>
      <c r="AH27" s="325"/>
      <c r="AI27" s="391"/>
      <c r="AJ27" s="401"/>
      <c r="AK27" s="402"/>
      <c r="AL27" s="396"/>
      <c r="AM27" s="396"/>
      <c r="AN27" s="396"/>
      <c r="AO27" s="396"/>
      <c r="AP27" s="396"/>
      <c r="AQ27" s="396"/>
      <c r="AR27" s="396"/>
      <c r="AS27" s="396"/>
      <c r="AT27" s="857" t="s">
        <v>16296</v>
      </c>
      <c r="AU27" s="858"/>
      <c r="AV27" s="858"/>
      <c r="AW27" s="860"/>
      <c r="AX27" s="489">
        <f>ROUND(Q24*AT30,0)</f>
        <v>85</v>
      </c>
      <c r="AY27" s="393"/>
    </row>
    <row r="28" spans="1:51" ht="16.5" customHeight="1" x14ac:dyDescent="0.15">
      <c r="A28" s="340">
        <v>12</v>
      </c>
      <c r="B28" s="341">
        <v>7322</v>
      </c>
      <c r="C28" s="390" t="s">
        <v>16314</v>
      </c>
      <c r="D28" s="403"/>
      <c r="E28" s="404"/>
      <c r="F28" s="404"/>
      <c r="G28" s="404"/>
      <c r="H28" s="406"/>
      <c r="Q28" s="899"/>
      <c r="R28" s="900"/>
      <c r="S28" s="900"/>
      <c r="U28" s="387"/>
      <c r="V28" s="343" t="s">
        <v>15625</v>
      </c>
      <c r="W28" s="325"/>
      <c r="X28" s="325"/>
      <c r="Y28" s="325"/>
      <c r="Z28" s="325"/>
      <c r="AA28" s="325"/>
      <c r="AB28" s="325"/>
      <c r="AC28" s="325"/>
      <c r="AD28" s="325"/>
      <c r="AE28" s="325"/>
      <c r="AF28" s="325"/>
      <c r="AG28" s="325"/>
      <c r="AH28" s="325"/>
      <c r="AI28" s="391" t="s">
        <v>15626</v>
      </c>
      <c r="AJ28" s="838">
        <f>AJ26</f>
        <v>1</v>
      </c>
      <c r="AK28" s="839"/>
      <c r="AL28" s="325"/>
      <c r="AM28" s="325"/>
      <c r="AN28" s="325"/>
      <c r="AO28" s="325"/>
      <c r="AP28" s="325"/>
      <c r="AQ28" s="325"/>
      <c r="AR28" s="325"/>
      <c r="AS28" s="325"/>
      <c r="AT28" s="849"/>
      <c r="AU28" s="850"/>
      <c r="AV28" s="850"/>
      <c r="AW28" s="852"/>
      <c r="AX28" s="489">
        <f>ROUND(ROUND(Q24*AJ28,0)*AT30,0)</f>
        <v>85</v>
      </c>
      <c r="AY28" s="393"/>
    </row>
    <row r="29" spans="1:51" ht="16.5" customHeight="1" x14ac:dyDescent="0.15">
      <c r="A29" s="287">
        <v>12</v>
      </c>
      <c r="B29" s="287">
        <v>7323</v>
      </c>
      <c r="C29" s="394" t="s">
        <v>16315</v>
      </c>
      <c r="D29" s="403"/>
      <c r="E29" s="404"/>
      <c r="F29" s="404"/>
      <c r="G29" s="404"/>
      <c r="H29" s="406"/>
      <c r="Q29" s="395"/>
      <c r="R29" s="151"/>
      <c r="S29" s="151"/>
      <c r="U29" s="387"/>
      <c r="V29" s="343"/>
      <c r="W29" s="343"/>
      <c r="X29" s="343"/>
      <c r="Y29" s="343"/>
      <c r="Z29" s="343"/>
      <c r="AA29" s="343"/>
      <c r="AB29" s="343"/>
      <c r="AC29" s="343"/>
      <c r="AD29" s="343"/>
      <c r="AE29" s="343"/>
      <c r="AF29" s="343"/>
      <c r="AG29" s="343"/>
      <c r="AH29" s="343"/>
      <c r="AI29" s="343"/>
      <c r="AJ29" s="343"/>
      <c r="AK29" s="343"/>
      <c r="AL29" s="114" t="s">
        <v>15628</v>
      </c>
      <c r="AM29" s="396"/>
      <c r="AN29" s="396"/>
      <c r="AO29" s="396"/>
      <c r="AP29" s="396"/>
      <c r="AQ29" s="396"/>
      <c r="AR29" s="396"/>
      <c r="AS29" s="397"/>
      <c r="AT29" s="901" t="s">
        <v>15636</v>
      </c>
      <c r="AU29" s="902"/>
      <c r="AV29" s="902"/>
      <c r="AW29" s="903"/>
      <c r="AX29" s="489">
        <f>ROUND(ROUND(Q24*AR30,0)*AT30,0)</f>
        <v>72</v>
      </c>
      <c r="AY29" s="393"/>
    </row>
    <row r="30" spans="1:51" ht="16.5" customHeight="1" x14ac:dyDescent="0.15">
      <c r="A30" s="287">
        <v>12</v>
      </c>
      <c r="B30" s="287">
        <v>7324</v>
      </c>
      <c r="C30" s="394" t="s">
        <v>16316</v>
      </c>
      <c r="D30" s="403"/>
      <c r="E30" s="404"/>
      <c r="F30" s="404"/>
      <c r="G30" s="404"/>
      <c r="H30" s="406"/>
      <c r="Q30" s="395"/>
      <c r="R30" s="151"/>
      <c r="S30" s="151"/>
      <c r="U30" s="387"/>
      <c r="V30" s="343" t="s">
        <v>15625</v>
      </c>
      <c r="W30" s="325"/>
      <c r="X30" s="325"/>
      <c r="Y30" s="325"/>
      <c r="Z30" s="325"/>
      <c r="AA30" s="325"/>
      <c r="AB30" s="325"/>
      <c r="AC30" s="325"/>
      <c r="AD30" s="325"/>
      <c r="AE30" s="325"/>
      <c r="AF30" s="325"/>
      <c r="AG30" s="325"/>
      <c r="AH30" s="325"/>
      <c r="AI30" s="391" t="s">
        <v>15626</v>
      </c>
      <c r="AJ30" s="838">
        <f>AJ28</f>
        <v>1</v>
      </c>
      <c r="AK30" s="843"/>
      <c r="AL30" s="324" t="s">
        <v>15630</v>
      </c>
      <c r="AM30" s="325"/>
      <c r="AN30" s="325"/>
      <c r="AO30" s="325"/>
      <c r="AP30" s="325"/>
      <c r="AQ30" s="190" t="s">
        <v>398</v>
      </c>
      <c r="AR30" s="844">
        <f>AR26</f>
        <v>0.85</v>
      </c>
      <c r="AS30" s="844"/>
      <c r="AT30" s="907">
        <f>AT22</f>
        <v>0.8</v>
      </c>
      <c r="AU30" s="844"/>
      <c r="AV30" s="844"/>
      <c r="AW30" s="845"/>
      <c r="AX30" s="489">
        <f>ROUND(ROUND(ROUND(Q24*AJ30,0)*AR30,0)*AT30,0)</f>
        <v>72</v>
      </c>
      <c r="AY30" s="393"/>
    </row>
    <row r="31" spans="1:51" ht="16.5" customHeight="1" x14ac:dyDescent="0.15">
      <c r="A31" s="340">
        <v>12</v>
      </c>
      <c r="B31" s="341">
        <v>7325</v>
      </c>
      <c r="C31" s="390" t="s">
        <v>16317</v>
      </c>
      <c r="D31" s="403"/>
      <c r="E31" s="404"/>
      <c r="F31" s="404"/>
      <c r="G31" s="404"/>
      <c r="H31" s="406"/>
      <c r="I31" s="908" t="s">
        <v>16318</v>
      </c>
      <c r="J31" s="909"/>
      <c r="K31" s="909"/>
      <c r="L31" s="909"/>
      <c r="M31" s="909"/>
      <c r="N31" s="909"/>
      <c r="O31" s="909"/>
      <c r="P31" s="909"/>
      <c r="Q31" s="909"/>
      <c r="R31" s="909"/>
      <c r="S31" s="909"/>
      <c r="T31" s="909"/>
      <c r="U31" s="910"/>
      <c r="V31" s="343"/>
      <c r="W31" s="325"/>
      <c r="X31" s="325"/>
      <c r="Y31" s="325"/>
      <c r="Z31" s="325"/>
      <c r="AA31" s="325"/>
      <c r="AB31" s="325"/>
      <c r="AC31" s="325"/>
      <c r="AD31" s="325"/>
      <c r="AE31" s="325"/>
      <c r="AF31" s="325"/>
      <c r="AG31" s="325"/>
      <c r="AH31" s="325"/>
      <c r="AI31" s="391"/>
      <c r="AJ31" s="401"/>
      <c r="AK31" s="402"/>
      <c r="AL31" s="396"/>
      <c r="AM31" s="396"/>
      <c r="AN31" s="396"/>
      <c r="AO31" s="396"/>
      <c r="AP31" s="396"/>
      <c r="AQ31" s="396"/>
      <c r="AR31" s="396"/>
      <c r="AS31" s="396"/>
      <c r="AT31" s="496"/>
      <c r="AU31" s="400"/>
      <c r="AV31" s="396"/>
      <c r="AW31" s="397"/>
      <c r="AX31" s="489">
        <f>ROUND(Q32,0)</f>
        <v>105</v>
      </c>
      <c r="AY31" s="393"/>
    </row>
    <row r="32" spans="1:51" ht="16.5" customHeight="1" x14ac:dyDescent="0.15">
      <c r="A32" s="340">
        <v>12</v>
      </c>
      <c r="B32" s="341">
        <v>7326</v>
      </c>
      <c r="C32" s="390" t="s">
        <v>16319</v>
      </c>
      <c r="D32" s="403"/>
      <c r="E32" s="404"/>
      <c r="F32" s="404"/>
      <c r="G32" s="404"/>
      <c r="H32" s="406"/>
      <c r="Q32" s="836">
        <f>ROUND(Q224*$F$13,0)</f>
        <v>105</v>
      </c>
      <c r="R32" s="837"/>
      <c r="S32" s="837"/>
      <c r="T32" s="152" t="s">
        <v>15624</v>
      </c>
      <c r="U32" s="387"/>
      <c r="V32" s="343" t="s">
        <v>15625</v>
      </c>
      <c r="W32" s="325"/>
      <c r="X32" s="325"/>
      <c r="Y32" s="325"/>
      <c r="Z32" s="325"/>
      <c r="AA32" s="325"/>
      <c r="AB32" s="325"/>
      <c r="AC32" s="325"/>
      <c r="AD32" s="325"/>
      <c r="AE32" s="325"/>
      <c r="AF32" s="325"/>
      <c r="AG32" s="325"/>
      <c r="AH32" s="325"/>
      <c r="AI32" s="391" t="s">
        <v>15626</v>
      </c>
      <c r="AJ32" s="838">
        <f>AJ30</f>
        <v>1</v>
      </c>
      <c r="AK32" s="839"/>
      <c r="AL32" s="325"/>
      <c r="AM32" s="325"/>
      <c r="AN32" s="325"/>
      <c r="AO32" s="325"/>
      <c r="AP32" s="325"/>
      <c r="AQ32" s="325"/>
      <c r="AR32" s="325"/>
      <c r="AS32" s="325"/>
      <c r="AT32" s="490"/>
      <c r="AW32" s="387"/>
      <c r="AX32" s="489">
        <f>ROUND(Q32*AJ32,0)</f>
        <v>105</v>
      </c>
      <c r="AY32" s="393"/>
    </row>
    <row r="33" spans="1:51" ht="16.5" customHeight="1" x14ac:dyDescent="0.15">
      <c r="A33" s="287">
        <v>12</v>
      </c>
      <c r="B33" s="287">
        <v>7327</v>
      </c>
      <c r="C33" s="394" t="s">
        <v>16320</v>
      </c>
      <c r="D33" s="403"/>
      <c r="E33" s="404"/>
      <c r="F33" s="404"/>
      <c r="G33" s="404"/>
      <c r="H33" s="406"/>
      <c r="Q33" s="395"/>
      <c r="R33" s="151"/>
      <c r="S33" s="151"/>
      <c r="U33" s="387"/>
      <c r="V33" s="343"/>
      <c r="W33" s="343"/>
      <c r="X33" s="343"/>
      <c r="Y33" s="343"/>
      <c r="Z33" s="343"/>
      <c r="AA33" s="343"/>
      <c r="AB33" s="343"/>
      <c r="AC33" s="343"/>
      <c r="AD33" s="343"/>
      <c r="AE33" s="343"/>
      <c r="AF33" s="343"/>
      <c r="AG33" s="343"/>
      <c r="AH33" s="343"/>
      <c r="AI33" s="343"/>
      <c r="AJ33" s="343"/>
      <c r="AK33" s="343"/>
      <c r="AL33" s="114" t="s">
        <v>15628</v>
      </c>
      <c r="AM33" s="396"/>
      <c r="AN33" s="396"/>
      <c r="AO33" s="396"/>
      <c r="AP33" s="396"/>
      <c r="AQ33" s="396"/>
      <c r="AR33" s="396"/>
      <c r="AS33" s="397"/>
      <c r="AT33" s="490"/>
      <c r="AW33" s="387"/>
      <c r="AX33" s="489">
        <f>ROUND(Q32*AR34,0)</f>
        <v>89</v>
      </c>
      <c r="AY33" s="393"/>
    </row>
    <row r="34" spans="1:51" ht="16.5" customHeight="1" x14ac:dyDescent="0.15">
      <c r="A34" s="287">
        <v>12</v>
      </c>
      <c r="B34" s="287">
        <v>7328</v>
      </c>
      <c r="C34" s="394" t="s">
        <v>16321</v>
      </c>
      <c r="D34" s="403"/>
      <c r="E34" s="404"/>
      <c r="F34" s="404"/>
      <c r="G34" s="404"/>
      <c r="H34" s="406"/>
      <c r="Q34" s="395"/>
      <c r="R34" s="151"/>
      <c r="S34" s="151"/>
      <c r="U34" s="387"/>
      <c r="V34" s="343" t="s">
        <v>15625</v>
      </c>
      <c r="W34" s="325"/>
      <c r="X34" s="325"/>
      <c r="Y34" s="325"/>
      <c r="Z34" s="325"/>
      <c r="AA34" s="325"/>
      <c r="AB34" s="325"/>
      <c r="AC34" s="325"/>
      <c r="AD34" s="325"/>
      <c r="AE34" s="325"/>
      <c r="AF34" s="325"/>
      <c r="AG34" s="325"/>
      <c r="AH34" s="325"/>
      <c r="AI34" s="391" t="s">
        <v>15626</v>
      </c>
      <c r="AJ34" s="838">
        <f>AJ32</f>
        <v>1</v>
      </c>
      <c r="AK34" s="843"/>
      <c r="AL34" s="324" t="s">
        <v>15630</v>
      </c>
      <c r="AM34" s="325"/>
      <c r="AN34" s="325"/>
      <c r="AO34" s="325"/>
      <c r="AP34" s="325"/>
      <c r="AQ34" s="190" t="s">
        <v>398</v>
      </c>
      <c r="AR34" s="844">
        <f>AR30</f>
        <v>0.85</v>
      </c>
      <c r="AS34" s="844"/>
      <c r="AT34" s="490"/>
      <c r="AW34" s="387"/>
      <c r="AX34" s="489">
        <f>ROUND(ROUND(Q32*AJ34,0)*AR34,0)</f>
        <v>89</v>
      </c>
      <c r="AY34" s="393"/>
    </row>
    <row r="35" spans="1:51" ht="16.5" customHeight="1" x14ac:dyDescent="0.15">
      <c r="A35" s="340">
        <v>12</v>
      </c>
      <c r="B35" s="341">
        <v>7329</v>
      </c>
      <c r="C35" s="390" t="s">
        <v>16322</v>
      </c>
      <c r="D35" s="403"/>
      <c r="E35" s="404"/>
      <c r="F35" s="404"/>
      <c r="G35" s="404"/>
      <c r="H35" s="406"/>
      <c r="I35" s="10"/>
      <c r="Q35" s="395"/>
      <c r="R35" s="151"/>
      <c r="S35" s="151"/>
      <c r="U35" s="387"/>
      <c r="V35" s="343"/>
      <c r="W35" s="325"/>
      <c r="X35" s="325"/>
      <c r="Y35" s="325"/>
      <c r="Z35" s="325"/>
      <c r="AA35" s="325"/>
      <c r="AB35" s="325"/>
      <c r="AC35" s="325"/>
      <c r="AD35" s="325"/>
      <c r="AE35" s="325"/>
      <c r="AF35" s="325"/>
      <c r="AG35" s="325"/>
      <c r="AH35" s="325"/>
      <c r="AI35" s="391"/>
      <c r="AJ35" s="401"/>
      <c r="AK35" s="402"/>
      <c r="AL35" s="396"/>
      <c r="AM35" s="396"/>
      <c r="AN35" s="396"/>
      <c r="AO35" s="396"/>
      <c r="AP35" s="396"/>
      <c r="AQ35" s="396"/>
      <c r="AR35" s="396"/>
      <c r="AS35" s="396"/>
      <c r="AT35" s="857" t="s">
        <v>16296</v>
      </c>
      <c r="AU35" s="858"/>
      <c r="AV35" s="858"/>
      <c r="AW35" s="860"/>
      <c r="AX35" s="489">
        <f>ROUND(Q32*AT38,0)</f>
        <v>84</v>
      </c>
      <c r="AY35" s="393"/>
    </row>
    <row r="36" spans="1:51" ht="16.5" customHeight="1" x14ac:dyDescent="0.15">
      <c r="A36" s="340">
        <v>12</v>
      </c>
      <c r="B36" s="341">
        <v>7330</v>
      </c>
      <c r="C36" s="390" t="s">
        <v>16323</v>
      </c>
      <c r="D36" s="403"/>
      <c r="E36" s="404"/>
      <c r="F36" s="404"/>
      <c r="G36" s="404"/>
      <c r="H36" s="406"/>
      <c r="Q36" s="899"/>
      <c r="R36" s="900"/>
      <c r="S36" s="900"/>
      <c r="U36" s="387"/>
      <c r="V36" s="343" t="s">
        <v>15625</v>
      </c>
      <c r="W36" s="325"/>
      <c r="X36" s="325"/>
      <c r="Y36" s="325"/>
      <c r="Z36" s="325"/>
      <c r="AA36" s="325"/>
      <c r="AB36" s="325"/>
      <c r="AC36" s="325"/>
      <c r="AD36" s="325"/>
      <c r="AE36" s="325"/>
      <c r="AF36" s="325"/>
      <c r="AG36" s="325"/>
      <c r="AH36" s="325"/>
      <c r="AI36" s="391" t="s">
        <v>15626</v>
      </c>
      <c r="AJ36" s="838">
        <f>AJ34</f>
        <v>1</v>
      </c>
      <c r="AK36" s="839"/>
      <c r="AL36" s="325"/>
      <c r="AM36" s="325"/>
      <c r="AN36" s="325"/>
      <c r="AO36" s="325"/>
      <c r="AP36" s="325"/>
      <c r="AQ36" s="325"/>
      <c r="AR36" s="325"/>
      <c r="AS36" s="325"/>
      <c r="AT36" s="849"/>
      <c r="AU36" s="850"/>
      <c r="AV36" s="850"/>
      <c r="AW36" s="852"/>
      <c r="AX36" s="489">
        <f>ROUND(ROUND(Q32*AJ36,0)*AT38,0)</f>
        <v>84</v>
      </c>
      <c r="AY36" s="393"/>
    </row>
    <row r="37" spans="1:51" ht="16.5" customHeight="1" x14ac:dyDescent="0.15">
      <c r="A37" s="287">
        <v>12</v>
      </c>
      <c r="B37" s="287">
        <v>7331</v>
      </c>
      <c r="C37" s="394" t="s">
        <v>16324</v>
      </c>
      <c r="D37" s="403"/>
      <c r="E37" s="404"/>
      <c r="F37" s="404"/>
      <c r="G37" s="404"/>
      <c r="H37" s="406"/>
      <c r="Q37" s="395"/>
      <c r="R37" s="151"/>
      <c r="S37" s="151"/>
      <c r="U37" s="387"/>
      <c r="V37" s="343"/>
      <c r="W37" s="343"/>
      <c r="X37" s="343"/>
      <c r="Y37" s="343"/>
      <c r="Z37" s="343"/>
      <c r="AA37" s="343"/>
      <c r="AB37" s="343"/>
      <c r="AC37" s="343"/>
      <c r="AD37" s="343"/>
      <c r="AE37" s="343"/>
      <c r="AF37" s="343"/>
      <c r="AG37" s="343"/>
      <c r="AH37" s="343"/>
      <c r="AI37" s="343"/>
      <c r="AJ37" s="343"/>
      <c r="AK37" s="343"/>
      <c r="AL37" s="114" t="s">
        <v>15628</v>
      </c>
      <c r="AM37" s="396"/>
      <c r="AN37" s="396"/>
      <c r="AO37" s="396"/>
      <c r="AP37" s="396"/>
      <c r="AQ37" s="396"/>
      <c r="AR37" s="396"/>
      <c r="AS37" s="397"/>
      <c r="AT37" s="901" t="s">
        <v>15636</v>
      </c>
      <c r="AU37" s="902"/>
      <c r="AV37" s="902"/>
      <c r="AW37" s="903"/>
      <c r="AX37" s="489">
        <f>ROUND(ROUND(Q32*AR38,0)*AT38,0)</f>
        <v>71</v>
      </c>
      <c r="AY37" s="393"/>
    </row>
    <row r="38" spans="1:51" ht="16.5" customHeight="1" x14ac:dyDescent="0.15">
      <c r="A38" s="287">
        <v>12</v>
      </c>
      <c r="B38" s="287">
        <v>7332</v>
      </c>
      <c r="C38" s="394" t="s">
        <v>16325</v>
      </c>
      <c r="D38" s="403"/>
      <c r="E38" s="404"/>
      <c r="F38" s="404"/>
      <c r="G38" s="404"/>
      <c r="H38" s="406"/>
      <c r="Q38" s="395"/>
      <c r="R38" s="151"/>
      <c r="S38" s="151"/>
      <c r="U38" s="387"/>
      <c r="V38" s="343" t="s">
        <v>15625</v>
      </c>
      <c r="W38" s="325"/>
      <c r="X38" s="325"/>
      <c r="Y38" s="325"/>
      <c r="Z38" s="325"/>
      <c r="AA38" s="325"/>
      <c r="AB38" s="325"/>
      <c r="AC38" s="325"/>
      <c r="AD38" s="325"/>
      <c r="AE38" s="325"/>
      <c r="AF38" s="325"/>
      <c r="AG38" s="325"/>
      <c r="AH38" s="325"/>
      <c r="AI38" s="391" t="s">
        <v>15626</v>
      </c>
      <c r="AJ38" s="838">
        <f>AJ36</f>
        <v>1</v>
      </c>
      <c r="AK38" s="843"/>
      <c r="AL38" s="324" t="s">
        <v>15630</v>
      </c>
      <c r="AM38" s="325"/>
      <c r="AN38" s="325"/>
      <c r="AO38" s="325"/>
      <c r="AP38" s="325"/>
      <c r="AQ38" s="190" t="s">
        <v>398</v>
      </c>
      <c r="AR38" s="844">
        <f>AR34</f>
        <v>0.85</v>
      </c>
      <c r="AS38" s="844"/>
      <c r="AT38" s="907">
        <f>AT30</f>
        <v>0.8</v>
      </c>
      <c r="AU38" s="844"/>
      <c r="AV38" s="844"/>
      <c r="AW38" s="845"/>
      <c r="AX38" s="489">
        <f>ROUND(ROUND(ROUND(Q32*AJ38,0)*AR38,0)*AT38,0)</f>
        <v>71</v>
      </c>
      <c r="AY38" s="393"/>
    </row>
    <row r="39" spans="1:51" ht="16.5" customHeight="1" x14ac:dyDescent="0.15">
      <c r="A39" s="340">
        <v>12</v>
      </c>
      <c r="B39" s="341">
        <v>7333</v>
      </c>
      <c r="C39" s="390" t="s">
        <v>16326</v>
      </c>
      <c r="D39" s="403"/>
      <c r="E39" s="404"/>
      <c r="F39" s="404"/>
      <c r="G39" s="404"/>
      <c r="H39" s="406"/>
      <c r="I39" s="908" t="s">
        <v>16327</v>
      </c>
      <c r="J39" s="909"/>
      <c r="K39" s="909"/>
      <c r="L39" s="909"/>
      <c r="M39" s="909"/>
      <c r="N39" s="909"/>
      <c r="O39" s="909"/>
      <c r="P39" s="909"/>
      <c r="Q39" s="909"/>
      <c r="R39" s="909"/>
      <c r="S39" s="909"/>
      <c r="T39" s="909"/>
      <c r="U39" s="910"/>
      <c r="V39" s="343"/>
      <c r="W39" s="325"/>
      <c r="X39" s="325"/>
      <c r="Y39" s="325"/>
      <c r="Z39" s="325"/>
      <c r="AA39" s="325"/>
      <c r="AB39" s="325"/>
      <c r="AC39" s="325"/>
      <c r="AD39" s="325"/>
      <c r="AE39" s="325"/>
      <c r="AF39" s="325"/>
      <c r="AG39" s="325"/>
      <c r="AH39" s="325"/>
      <c r="AI39" s="391"/>
      <c r="AJ39" s="401"/>
      <c r="AK39" s="402"/>
      <c r="AL39" s="396"/>
      <c r="AM39" s="396"/>
      <c r="AN39" s="396"/>
      <c r="AO39" s="396"/>
      <c r="AP39" s="396"/>
      <c r="AQ39" s="396"/>
      <c r="AR39" s="396"/>
      <c r="AS39" s="396"/>
      <c r="AT39" s="496"/>
      <c r="AU39" s="400"/>
      <c r="AV39" s="396"/>
      <c r="AW39" s="397"/>
      <c r="AX39" s="489">
        <f>ROUND(Q40,0)</f>
        <v>106</v>
      </c>
      <c r="AY39" s="393"/>
    </row>
    <row r="40" spans="1:51" ht="16.5" customHeight="1" x14ac:dyDescent="0.15">
      <c r="A40" s="340">
        <v>12</v>
      </c>
      <c r="B40" s="341">
        <v>7334</v>
      </c>
      <c r="C40" s="390" t="s">
        <v>16328</v>
      </c>
      <c r="D40" s="403"/>
      <c r="E40" s="404"/>
      <c r="F40" s="404"/>
      <c r="G40" s="404"/>
      <c r="H40" s="406"/>
      <c r="Q40" s="836">
        <f>ROUND(Q232*$F$13,0)</f>
        <v>106</v>
      </c>
      <c r="R40" s="837"/>
      <c r="S40" s="837"/>
      <c r="T40" s="152" t="s">
        <v>15624</v>
      </c>
      <c r="U40" s="387"/>
      <c r="V40" s="343" t="s">
        <v>15625</v>
      </c>
      <c r="W40" s="325"/>
      <c r="X40" s="325"/>
      <c r="Y40" s="325"/>
      <c r="Z40" s="325"/>
      <c r="AA40" s="325"/>
      <c r="AB40" s="325"/>
      <c r="AC40" s="325"/>
      <c r="AD40" s="325"/>
      <c r="AE40" s="325"/>
      <c r="AF40" s="325"/>
      <c r="AG40" s="325"/>
      <c r="AH40" s="325"/>
      <c r="AI40" s="391" t="s">
        <v>15626</v>
      </c>
      <c r="AJ40" s="838">
        <f>AJ38</f>
        <v>1</v>
      </c>
      <c r="AK40" s="839"/>
      <c r="AL40" s="325"/>
      <c r="AM40" s="325"/>
      <c r="AN40" s="325"/>
      <c r="AO40" s="325"/>
      <c r="AP40" s="325"/>
      <c r="AQ40" s="325"/>
      <c r="AR40" s="325"/>
      <c r="AS40" s="325"/>
      <c r="AT40" s="490"/>
      <c r="AW40" s="387"/>
      <c r="AX40" s="489">
        <f>ROUND(Q40*AJ40,0)</f>
        <v>106</v>
      </c>
      <c r="AY40" s="393"/>
    </row>
    <row r="41" spans="1:51" ht="16.5" customHeight="1" x14ac:dyDescent="0.15">
      <c r="A41" s="340">
        <v>12</v>
      </c>
      <c r="B41" s="341">
        <v>7335</v>
      </c>
      <c r="C41" s="390" t="s">
        <v>16329</v>
      </c>
      <c r="D41" s="403"/>
      <c r="E41" s="404"/>
      <c r="F41" s="404"/>
      <c r="G41" s="404"/>
      <c r="H41" s="406"/>
      <c r="Q41" s="395"/>
      <c r="R41" s="151"/>
      <c r="S41" s="151"/>
      <c r="U41" s="387"/>
      <c r="V41" s="343"/>
      <c r="W41" s="343"/>
      <c r="X41" s="343"/>
      <c r="Y41" s="343"/>
      <c r="Z41" s="343"/>
      <c r="AA41" s="343"/>
      <c r="AB41" s="343"/>
      <c r="AC41" s="343"/>
      <c r="AD41" s="343"/>
      <c r="AE41" s="343"/>
      <c r="AF41" s="343"/>
      <c r="AG41" s="343"/>
      <c r="AH41" s="343"/>
      <c r="AI41" s="343"/>
      <c r="AJ41" s="343"/>
      <c r="AK41" s="343"/>
      <c r="AL41" s="114" t="s">
        <v>15628</v>
      </c>
      <c r="AM41" s="396"/>
      <c r="AN41" s="396"/>
      <c r="AO41" s="396"/>
      <c r="AP41" s="396"/>
      <c r="AQ41" s="396"/>
      <c r="AR41" s="396"/>
      <c r="AS41" s="397"/>
      <c r="AT41" s="490"/>
      <c r="AW41" s="387"/>
      <c r="AX41" s="489">
        <f>ROUND(Q40*AR42,0)</f>
        <v>90</v>
      </c>
      <c r="AY41" s="393"/>
    </row>
    <row r="42" spans="1:51" ht="16.5" customHeight="1" x14ac:dyDescent="0.15">
      <c r="A42" s="340">
        <v>12</v>
      </c>
      <c r="B42" s="341">
        <v>7336</v>
      </c>
      <c r="C42" s="390" t="s">
        <v>16330</v>
      </c>
      <c r="D42" s="403"/>
      <c r="E42" s="404"/>
      <c r="F42" s="404"/>
      <c r="G42" s="404"/>
      <c r="H42" s="406"/>
      <c r="Q42" s="395"/>
      <c r="R42" s="151"/>
      <c r="S42" s="151"/>
      <c r="U42" s="387"/>
      <c r="V42" s="343" t="s">
        <v>15625</v>
      </c>
      <c r="W42" s="325"/>
      <c r="X42" s="325"/>
      <c r="Y42" s="325"/>
      <c r="Z42" s="325"/>
      <c r="AA42" s="325"/>
      <c r="AB42" s="325"/>
      <c r="AC42" s="325"/>
      <c r="AD42" s="325"/>
      <c r="AE42" s="325"/>
      <c r="AF42" s="325"/>
      <c r="AG42" s="325"/>
      <c r="AH42" s="325"/>
      <c r="AI42" s="391" t="s">
        <v>15626</v>
      </c>
      <c r="AJ42" s="838">
        <f>AJ40</f>
        <v>1</v>
      </c>
      <c r="AK42" s="843"/>
      <c r="AL42" s="324" t="s">
        <v>15630</v>
      </c>
      <c r="AM42" s="325"/>
      <c r="AN42" s="325"/>
      <c r="AO42" s="325"/>
      <c r="AP42" s="325"/>
      <c r="AQ42" s="190" t="s">
        <v>398</v>
      </c>
      <c r="AR42" s="844">
        <f>AR38</f>
        <v>0.85</v>
      </c>
      <c r="AS42" s="844"/>
      <c r="AT42" s="490"/>
      <c r="AW42" s="387"/>
      <c r="AX42" s="489">
        <f>ROUND(ROUND(Q40*AJ42,0)*AR42,0)</f>
        <v>90</v>
      </c>
      <c r="AY42" s="393"/>
    </row>
    <row r="43" spans="1:51" ht="16.5" customHeight="1" x14ac:dyDescent="0.15">
      <c r="A43" s="340">
        <v>12</v>
      </c>
      <c r="B43" s="341">
        <v>7337</v>
      </c>
      <c r="C43" s="390" t="s">
        <v>16331</v>
      </c>
      <c r="D43" s="403"/>
      <c r="E43" s="404"/>
      <c r="F43" s="404"/>
      <c r="G43" s="404"/>
      <c r="H43" s="406"/>
      <c r="I43" s="10"/>
      <c r="Q43" s="395"/>
      <c r="R43" s="151"/>
      <c r="S43" s="151"/>
      <c r="U43" s="387"/>
      <c r="V43" s="343"/>
      <c r="W43" s="325"/>
      <c r="X43" s="325"/>
      <c r="Y43" s="325"/>
      <c r="Z43" s="325"/>
      <c r="AA43" s="325"/>
      <c r="AB43" s="325"/>
      <c r="AC43" s="325"/>
      <c r="AD43" s="325"/>
      <c r="AE43" s="325"/>
      <c r="AF43" s="325"/>
      <c r="AG43" s="325"/>
      <c r="AH43" s="325"/>
      <c r="AI43" s="391"/>
      <c r="AJ43" s="401"/>
      <c r="AK43" s="402"/>
      <c r="AL43" s="396"/>
      <c r="AM43" s="396"/>
      <c r="AN43" s="396"/>
      <c r="AO43" s="396"/>
      <c r="AP43" s="396"/>
      <c r="AQ43" s="396"/>
      <c r="AR43" s="396"/>
      <c r="AS43" s="396"/>
      <c r="AT43" s="857" t="s">
        <v>16296</v>
      </c>
      <c r="AU43" s="858"/>
      <c r="AV43" s="858"/>
      <c r="AW43" s="860"/>
      <c r="AX43" s="489">
        <f>ROUND(Q40*AT46,0)</f>
        <v>85</v>
      </c>
      <c r="AY43" s="393"/>
    </row>
    <row r="44" spans="1:51" ht="16.5" customHeight="1" x14ac:dyDescent="0.15">
      <c r="A44" s="340">
        <v>12</v>
      </c>
      <c r="B44" s="341">
        <v>7338</v>
      </c>
      <c r="C44" s="390" t="s">
        <v>16332</v>
      </c>
      <c r="D44" s="403"/>
      <c r="E44" s="404"/>
      <c r="F44" s="404"/>
      <c r="G44" s="404"/>
      <c r="H44" s="406"/>
      <c r="Q44" s="899"/>
      <c r="R44" s="900"/>
      <c r="S44" s="900"/>
      <c r="U44" s="387"/>
      <c r="V44" s="343" t="s">
        <v>15625</v>
      </c>
      <c r="W44" s="325"/>
      <c r="X44" s="325"/>
      <c r="Y44" s="325"/>
      <c r="Z44" s="325"/>
      <c r="AA44" s="325"/>
      <c r="AB44" s="325"/>
      <c r="AC44" s="325"/>
      <c r="AD44" s="325"/>
      <c r="AE44" s="325"/>
      <c r="AF44" s="325"/>
      <c r="AG44" s="325"/>
      <c r="AH44" s="325"/>
      <c r="AI44" s="391" t="s">
        <v>15626</v>
      </c>
      <c r="AJ44" s="838">
        <f>AJ42</f>
        <v>1</v>
      </c>
      <c r="AK44" s="839"/>
      <c r="AL44" s="325"/>
      <c r="AM44" s="325"/>
      <c r="AN44" s="325"/>
      <c r="AO44" s="325"/>
      <c r="AP44" s="325"/>
      <c r="AQ44" s="325"/>
      <c r="AR44" s="325"/>
      <c r="AS44" s="325"/>
      <c r="AT44" s="849"/>
      <c r="AU44" s="850"/>
      <c r="AV44" s="850"/>
      <c r="AW44" s="852"/>
      <c r="AX44" s="489">
        <f>ROUND(ROUND(Q40*AJ44,0)*AT46,0)</f>
        <v>85</v>
      </c>
      <c r="AY44" s="393"/>
    </row>
    <row r="45" spans="1:51" ht="16.5" customHeight="1" x14ac:dyDescent="0.15">
      <c r="A45" s="340">
        <v>12</v>
      </c>
      <c r="B45" s="341">
        <v>7339</v>
      </c>
      <c r="C45" s="390" t="s">
        <v>16333</v>
      </c>
      <c r="D45" s="403"/>
      <c r="E45" s="404"/>
      <c r="F45" s="404"/>
      <c r="G45" s="404"/>
      <c r="H45" s="406"/>
      <c r="Q45" s="395"/>
      <c r="R45" s="151"/>
      <c r="S45" s="151"/>
      <c r="U45" s="387"/>
      <c r="V45" s="343"/>
      <c r="W45" s="343"/>
      <c r="X45" s="343"/>
      <c r="Y45" s="343"/>
      <c r="Z45" s="343"/>
      <c r="AA45" s="343"/>
      <c r="AB45" s="343"/>
      <c r="AC45" s="343"/>
      <c r="AD45" s="343"/>
      <c r="AE45" s="343"/>
      <c r="AF45" s="343"/>
      <c r="AG45" s="343"/>
      <c r="AH45" s="343"/>
      <c r="AI45" s="343"/>
      <c r="AJ45" s="343"/>
      <c r="AK45" s="343"/>
      <c r="AL45" s="114" t="s">
        <v>15628</v>
      </c>
      <c r="AM45" s="396"/>
      <c r="AN45" s="396"/>
      <c r="AO45" s="396"/>
      <c r="AP45" s="396"/>
      <c r="AQ45" s="396"/>
      <c r="AR45" s="396"/>
      <c r="AS45" s="397"/>
      <c r="AT45" s="901" t="s">
        <v>15636</v>
      </c>
      <c r="AU45" s="902"/>
      <c r="AV45" s="902"/>
      <c r="AW45" s="903"/>
      <c r="AX45" s="489">
        <f>ROUND(ROUND(Q40*AR46,0)*AT46,0)</f>
        <v>72</v>
      </c>
      <c r="AY45" s="393"/>
    </row>
    <row r="46" spans="1:51" ht="16.5" customHeight="1" x14ac:dyDescent="0.15">
      <c r="A46" s="340">
        <v>12</v>
      </c>
      <c r="B46" s="341">
        <v>7340</v>
      </c>
      <c r="C46" s="390" t="s">
        <v>16334</v>
      </c>
      <c r="D46" s="403"/>
      <c r="E46" s="404"/>
      <c r="F46" s="404"/>
      <c r="G46" s="404"/>
      <c r="H46" s="406"/>
      <c r="Q46" s="395"/>
      <c r="R46" s="151"/>
      <c r="S46" s="151"/>
      <c r="U46" s="387"/>
      <c r="V46" s="343" t="s">
        <v>15625</v>
      </c>
      <c r="W46" s="325"/>
      <c r="X46" s="325"/>
      <c r="Y46" s="325"/>
      <c r="Z46" s="325"/>
      <c r="AA46" s="325"/>
      <c r="AB46" s="325"/>
      <c r="AC46" s="325"/>
      <c r="AD46" s="325"/>
      <c r="AE46" s="325"/>
      <c r="AF46" s="325"/>
      <c r="AG46" s="325"/>
      <c r="AH46" s="325"/>
      <c r="AI46" s="391" t="s">
        <v>15626</v>
      </c>
      <c r="AJ46" s="838">
        <f>AJ44</f>
        <v>1</v>
      </c>
      <c r="AK46" s="843"/>
      <c r="AL46" s="324" t="s">
        <v>15630</v>
      </c>
      <c r="AM46" s="325"/>
      <c r="AN46" s="325"/>
      <c r="AO46" s="325"/>
      <c r="AP46" s="325"/>
      <c r="AQ46" s="190" t="s">
        <v>398</v>
      </c>
      <c r="AR46" s="844">
        <f>AR42</f>
        <v>0.85</v>
      </c>
      <c r="AS46" s="844"/>
      <c r="AT46" s="907">
        <f>AT38</f>
        <v>0.8</v>
      </c>
      <c r="AU46" s="844"/>
      <c r="AV46" s="844"/>
      <c r="AW46" s="845"/>
      <c r="AX46" s="489">
        <f>ROUND(ROUND(ROUND(Q40*AJ46,0)*AR46,0)*AT46,0)</f>
        <v>72</v>
      </c>
      <c r="AY46" s="393"/>
    </row>
    <row r="47" spans="1:51" ht="16.5" customHeight="1" x14ac:dyDescent="0.15">
      <c r="A47" s="340">
        <v>12</v>
      </c>
      <c r="B47" s="341">
        <v>7341</v>
      </c>
      <c r="C47" s="390" t="s">
        <v>16335</v>
      </c>
      <c r="D47" s="403"/>
      <c r="E47" s="404"/>
      <c r="F47" s="404"/>
      <c r="G47" s="404"/>
      <c r="H47" s="406"/>
      <c r="I47" s="908" t="s">
        <v>16336</v>
      </c>
      <c r="J47" s="909"/>
      <c r="K47" s="909"/>
      <c r="L47" s="909"/>
      <c r="M47" s="909"/>
      <c r="N47" s="909"/>
      <c r="O47" s="909"/>
      <c r="P47" s="909"/>
      <c r="Q47" s="909"/>
      <c r="R47" s="909"/>
      <c r="S47" s="909"/>
      <c r="T47" s="909"/>
      <c r="U47" s="910"/>
      <c r="V47" s="343"/>
      <c r="W47" s="325"/>
      <c r="X47" s="325"/>
      <c r="Y47" s="325"/>
      <c r="Z47" s="325"/>
      <c r="AA47" s="325"/>
      <c r="AB47" s="325"/>
      <c r="AC47" s="325"/>
      <c r="AD47" s="325"/>
      <c r="AE47" s="325"/>
      <c r="AF47" s="325"/>
      <c r="AG47" s="325"/>
      <c r="AH47" s="325"/>
      <c r="AI47" s="391"/>
      <c r="AJ47" s="401"/>
      <c r="AK47" s="402"/>
      <c r="AL47" s="396"/>
      <c r="AM47" s="396"/>
      <c r="AN47" s="396"/>
      <c r="AO47" s="396"/>
      <c r="AP47" s="396"/>
      <c r="AQ47" s="396"/>
      <c r="AR47" s="396"/>
      <c r="AS47" s="396"/>
      <c r="AT47" s="496"/>
      <c r="AU47" s="400"/>
      <c r="AV47" s="396"/>
      <c r="AW47" s="397"/>
      <c r="AX47" s="489">
        <f>ROUND(Q48,0)</f>
        <v>104</v>
      </c>
      <c r="AY47" s="393"/>
    </row>
    <row r="48" spans="1:51" ht="16.5" customHeight="1" x14ac:dyDescent="0.15">
      <c r="A48" s="340">
        <v>12</v>
      </c>
      <c r="B48" s="341">
        <v>7342</v>
      </c>
      <c r="C48" s="390" t="s">
        <v>16337</v>
      </c>
      <c r="D48" s="403"/>
      <c r="E48" s="404"/>
      <c r="F48" s="404"/>
      <c r="G48" s="404"/>
      <c r="H48" s="406"/>
      <c r="Q48" s="836">
        <f>ROUND(Q240*$F$13,0)</f>
        <v>104</v>
      </c>
      <c r="R48" s="837"/>
      <c r="S48" s="837"/>
      <c r="T48" s="152" t="s">
        <v>15624</v>
      </c>
      <c r="U48" s="387"/>
      <c r="V48" s="343" t="s">
        <v>15625</v>
      </c>
      <c r="W48" s="325"/>
      <c r="X48" s="325"/>
      <c r="Y48" s="325"/>
      <c r="Z48" s="325"/>
      <c r="AA48" s="325"/>
      <c r="AB48" s="325"/>
      <c r="AC48" s="325"/>
      <c r="AD48" s="325"/>
      <c r="AE48" s="325"/>
      <c r="AF48" s="325"/>
      <c r="AG48" s="325"/>
      <c r="AH48" s="325"/>
      <c r="AI48" s="391" t="s">
        <v>15626</v>
      </c>
      <c r="AJ48" s="838">
        <f>AJ46</f>
        <v>1</v>
      </c>
      <c r="AK48" s="839"/>
      <c r="AL48" s="325"/>
      <c r="AM48" s="325"/>
      <c r="AN48" s="325"/>
      <c r="AO48" s="325"/>
      <c r="AP48" s="325"/>
      <c r="AQ48" s="325"/>
      <c r="AR48" s="325"/>
      <c r="AS48" s="325"/>
      <c r="AT48" s="490"/>
      <c r="AW48" s="387"/>
      <c r="AX48" s="489">
        <f>ROUND(Q48*AJ48,0)</f>
        <v>104</v>
      </c>
      <c r="AY48" s="393"/>
    </row>
    <row r="49" spans="1:51" ht="16.5" customHeight="1" x14ac:dyDescent="0.15">
      <c r="A49" s="340">
        <v>12</v>
      </c>
      <c r="B49" s="341">
        <v>7343</v>
      </c>
      <c r="C49" s="390" t="s">
        <v>16338</v>
      </c>
      <c r="D49" s="403"/>
      <c r="E49" s="404"/>
      <c r="F49" s="404"/>
      <c r="G49" s="404"/>
      <c r="H49" s="406"/>
      <c r="Q49" s="395"/>
      <c r="R49" s="151"/>
      <c r="S49" s="151"/>
      <c r="U49" s="387"/>
      <c r="V49" s="343"/>
      <c r="W49" s="343"/>
      <c r="X49" s="343"/>
      <c r="Y49" s="343"/>
      <c r="Z49" s="343"/>
      <c r="AA49" s="343"/>
      <c r="AB49" s="343"/>
      <c r="AC49" s="343"/>
      <c r="AD49" s="343"/>
      <c r="AE49" s="343"/>
      <c r="AF49" s="343"/>
      <c r="AG49" s="343"/>
      <c r="AH49" s="343"/>
      <c r="AI49" s="343"/>
      <c r="AJ49" s="343"/>
      <c r="AK49" s="343"/>
      <c r="AL49" s="114" t="s">
        <v>15628</v>
      </c>
      <c r="AM49" s="396"/>
      <c r="AN49" s="396"/>
      <c r="AO49" s="396"/>
      <c r="AP49" s="396"/>
      <c r="AQ49" s="396"/>
      <c r="AR49" s="396"/>
      <c r="AS49" s="397"/>
      <c r="AT49" s="490"/>
      <c r="AW49" s="387"/>
      <c r="AX49" s="489">
        <f>ROUND(Q48*AR50,0)</f>
        <v>88</v>
      </c>
      <c r="AY49" s="393"/>
    </row>
    <row r="50" spans="1:51" ht="16.5" customHeight="1" x14ac:dyDescent="0.15">
      <c r="A50" s="340">
        <v>12</v>
      </c>
      <c r="B50" s="341">
        <v>7344</v>
      </c>
      <c r="C50" s="390" t="s">
        <v>16339</v>
      </c>
      <c r="D50" s="403"/>
      <c r="E50" s="404"/>
      <c r="F50" s="404"/>
      <c r="G50" s="404"/>
      <c r="H50" s="406"/>
      <c r="Q50" s="395"/>
      <c r="R50" s="151"/>
      <c r="S50" s="151"/>
      <c r="U50" s="387"/>
      <c r="V50" s="343" t="s">
        <v>15625</v>
      </c>
      <c r="W50" s="325"/>
      <c r="X50" s="325"/>
      <c r="Y50" s="325"/>
      <c r="Z50" s="325"/>
      <c r="AA50" s="325"/>
      <c r="AB50" s="325"/>
      <c r="AC50" s="325"/>
      <c r="AD50" s="325"/>
      <c r="AE50" s="325"/>
      <c r="AF50" s="325"/>
      <c r="AG50" s="325"/>
      <c r="AH50" s="325"/>
      <c r="AI50" s="391" t="s">
        <v>15626</v>
      </c>
      <c r="AJ50" s="838">
        <f>AJ48</f>
        <v>1</v>
      </c>
      <c r="AK50" s="843"/>
      <c r="AL50" s="324" t="s">
        <v>15630</v>
      </c>
      <c r="AM50" s="325"/>
      <c r="AN50" s="325"/>
      <c r="AO50" s="325"/>
      <c r="AP50" s="325"/>
      <c r="AQ50" s="190" t="s">
        <v>398</v>
      </c>
      <c r="AR50" s="844">
        <f>AR46</f>
        <v>0.85</v>
      </c>
      <c r="AS50" s="844"/>
      <c r="AT50" s="490"/>
      <c r="AW50" s="387"/>
      <c r="AX50" s="489">
        <f>ROUND(ROUND(Q48*AJ50,0)*AR50,0)</f>
        <v>88</v>
      </c>
      <c r="AY50" s="393"/>
    </row>
    <row r="51" spans="1:51" ht="16.5" customHeight="1" x14ac:dyDescent="0.15">
      <c r="A51" s="340">
        <v>12</v>
      </c>
      <c r="B51" s="341">
        <v>7345</v>
      </c>
      <c r="C51" s="390" t="s">
        <v>16340</v>
      </c>
      <c r="D51" s="403"/>
      <c r="E51" s="404"/>
      <c r="F51" s="404"/>
      <c r="G51" s="404"/>
      <c r="H51" s="406"/>
      <c r="I51" s="10"/>
      <c r="Q51" s="395"/>
      <c r="R51" s="151"/>
      <c r="S51" s="151"/>
      <c r="U51" s="387"/>
      <c r="V51" s="343"/>
      <c r="W51" s="325"/>
      <c r="X51" s="325"/>
      <c r="Y51" s="325"/>
      <c r="Z51" s="325"/>
      <c r="AA51" s="325"/>
      <c r="AB51" s="325"/>
      <c r="AC51" s="325"/>
      <c r="AD51" s="325"/>
      <c r="AE51" s="325"/>
      <c r="AF51" s="325"/>
      <c r="AG51" s="325"/>
      <c r="AH51" s="325"/>
      <c r="AI51" s="391"/>
      <c r="AJ51" s="401"/>
      <c r="AK51" s="402"/>
      <c r="AL51" s="396"/>
      <c r="AM51" s="396"/>
      <c r="AN51" s="396"/>
      <c r="AO51" s="396"/>
      <c r="AP51" s="396"/>
      <c r="AQ51" s="396"/>
      <c r="AR51" s="396"/>
      <c r="AS51" s="396"/>
      <c r="AT51" s="857" t="s">
        <v>16296</v>
      </c>
      <c r="AU51" s="858"/>
      <c r="AV51" s="858"/>
      <c r="AW51" s="860"/>
      <c r="AX51" s="489">
        <f>ROUND(Q48*AT54,0)</f>
        <v>83</v>
      </c>
      <c r="AY51" s="393"/>
    </row>
    <row r="52" spans="1:51" ht="16.5" customHeight="1" x14ac:dyDescent="0.15">
      <c r="A52" s="340">
        <v>12</v>
      </c>
      <c r="B52" s="341">
        <v>7346</v>
      </c>
      <c r="C52" s="390" t="s">
        <v>16341</v>
      </c>
      <c r="D52" s="403"/>
      <c r="E52" s="404"/>
      <c r="F52" s="404"/>
      <c r="G52" s="404"/>
      <c r="H52" s="406"/>
      <c r="Q52" s="899"/>
      <c r="R52" s="900"/>
      <c r="S52" s="900"/>
      <c r="U52" s="387"/>
      <c r="V52" s="343" t="s">
        <v>15625</v>
      </c>
      <c r="W52" s="325"/>
      <c r="X52" s="325"/>
      <c r="Y52" s="325"/>
      <c r="Z52" s="325"/>
      <c r="AA52" s="325"/>
      <c r="AB52" s="325"/>
      <c r="AC52" s="325"/>
      <c r="AD52" s="325"/>
      <c r="AE52" s="325"/>
      <c r="AF52" s="325"/>
      <c r="AG52" s="325"/>
      <c r="AH52" s="325"/>
      <c r="AI52" s="391" t="s">
        <v>15626</v>
      </c>
      <c r="AJ52" s="838">
        <f>AJ50</f>
        <v>1</v>
      </c>
      <c r="AK52" s="839"/>
      <c r="AL52" s="325"/>
      <c r="AM52" s="325"/>
      <c r="AN52" s="325"/>
      <c r="AO52" s="325"/>
      <c r="AP52" s="325"/>
      <c r="AQ52" s="325"/>
      <c r="AR52" s="325"/>
      <c r="AS52" s="325"/>
      <c r="AT52" s="849"/>
      <c r="AU52" s="850"/>
      <c r="AV52" s="850"/>
      <c r="AW52" s="852"/>
      <c r="AX52" s="489">
        <f>ROUND(ROUND(Q48*AJ52,0)*AT54,0)</f>
        <v>83</v>
      </c>
      <c r="AY52" s="393"/>
    </row>
    <row r="53" spans="1:51" ht="16.5" customHeight="1" x14ac:dyDescent="0.15">
      <c r="A53" s="340">
        <v>12</v>
      </c>
      <c r="B53" s="341">
        <v>7347</v>
      </c>
      <c r="C53" s="390" t="s">
        <v>16342</v>
      </c>
      <c r="D53" s="403"/>
      <c r="E53" s="404"/>
      <c r="F53" s="404"/>
      <c r="G53" s="404"/>
      <c r="H53" s="406"/>
      <c r="Q53" s="395"/>
      <c r="R53" s="151"/>
      <c r="S53" s="151"/>
      <c r="U53" s="387"/>
      <c r="V53" s="343"/>
      <c r="W53" s="343"/>
      <c r="X53" s="343"/>
      <c r="Y53" s="343"/>
      <c r="Z53" s="343"/>
      <c r="AA53" s="343"/>
      <c r="AB53" s="343"/>
      <c r="AC53" s="343"/>
      <c r="AD53" s="343"/>
      <c r="AE53" s="343"/>
      <c r="AF53" s="343"/>
      <c r="AG53" s="343"/>
      <c r="AH53" s="343"/>
      <c r="AI53" s="343"/>
      <c r="AJ53" s="343"/>
      <c r="AK53" s="343"/>
      <c r="AL53" s="114" t="s">
        <v>15628</v>
      </c>
      <c r="AM53" s="396"/>
      <c r="AN53" s="396"/>
      <c r="AO53" s="396"/>
      <c r="AP53" s="396"/>
      <c r="AQ53" s="396"/>
      <c r="AR53" s="396"/>
      <c r="AS53" s="397"/>
      <c r="AT53" s="901" t="s">
        <v>15636</v>
      </c>
      <c r="AU53" s="902"/>
      <c r="AV53" s="902"/>
      <c r="AW53" s="903"/>
      <c r="AX53" s="489">
        <f>ROUND(ROUND(Q48*AR54,0)*AT54,0)</f>
        <v>70</v>
      </c>
      <c r="AY53" s="393"/>
    </row>
    <row r="54" spans="1:51" ht="16.5" customHeight="1" x14ac:dyDescent="0.15">
      <c r="A54" s="340">
        <v>12</v>
      </c>
      <c r="B54" s="341">
        <v>7348</v>
      </c>
      <c r="C54" s="390" t="s">
        <v>16343</v>
      </c>
      <c r="D54" s="403"/>
      <c r="E54" s="404"/>
      <c r="F54" s="404"/>
      <c r="G54" s="404"/>
      <c r="H54" s="406"/>
      <c r="Q54" s="395"/>
      <c r="R54" s="151"/>
      <c r="S54" s="151"/>
      <c r="U54" s="387"/>
      <c r="V54" s="343" t="s">
        <v>15625</v>
      </c>
      <c r="W54" s="325"/>
      <c r="X54" s="325"/>
      <c r="Y54" s="325"/>
      <c r="Z54" s="325"/>
      <c r="AA54" s="325"/>
      <c r="AB54" s="325"/>
      <c r="AC54" s="325"/>
      <c r="AD54" s="325"/>
      <c r="AE54" s="325"/>
      <c r="AF54" s="325"/>
      <c r="AG54" s="325"/>
      <c r="AH54" s="325"/>
      <c r="AI54" s="391" t="s">
        <v>15626</v>
      </c>
      <c r="AJ54" s="838">
        <f>AJ52</f>
        <v>1</v>
      </c>
      <c r="AK54" s="843"/>
      <c r="AL54" s="324" t="s">
        <v>15630</v>
      </c>
      <c r="AM54" s="325"/>
      <c r="AN54" s="325"/>
      <c r="AO54" s="325"/>
      <c r="AP54" s="325"/>
      <c r="AQ54" s="190" t="s">
        <v>398</v>
      </c>
      <c r="AR54" s="844">
        <f>AR50</f>
        <v>0.85</v>
      </c>
      <c r="AS54" s="844"/>
      <c r="AT54" s="907">
        <f>AT46</f>
        <v>0.8</v>
      </c>
      <c r="AU54" s="844"/>
      <c r="AV54" s="844"/>
      <c r="AW54" s="845"/>
      <c r="AX54" s="489">
        <f>ROUND(ROUND(ROUND(Q48*AJ54,0)*AR54,0)*AT54,0)</f>
        <v>70</v>
      </c>
      <c r="AY54" s="393"/>
    </row>
    <row r="55" spans="1:51" ht="16.5" customHeight="1" x14ac:dyDescent="0.15">
      <c r="A55" s="340">
        <v>12</v>
      </c>
      <c r="B55" s="341">
        <v>7349</v>
      </c>
      <c r="C55" s="390" t="s">
        <v>16344</v>
      </c>
      <c r="D55" s="403"/>
      <c r="E55" s="404"/>
      <c r="F55" s="404"/>
      <c r="G55" s="404"/>
      <c r="H55" s="406"/>
      <c r="I55" s="908" t="s">
        <v>16345</v>
      </c>
      <c r="J55" s="909"/>
      <c r="K55" s="909"/>
      <c r="L55" s="909"/>
      <c r="M55" s="909"/>
      <c r="N55" s="909"/>
      <c r="O55" s="909"/>
      <c r="P55" s="909"/>
      <c r="Q55" s="909"/>
      <c r="R55" s="909"/>
      <c r="S55" s="909"/>
      <c r="T55" s="909"/>
      <c r="U55" s="910"/>
      <c r="V55" s="343"/>
      <c r="W55" s="325"/>
      <c r="X55" s="325"/>
      <c r="Y55" s="325"/>
      <c r="Z55" s="325"/>
      <c r="AA55" s="325"/>
      <c r="AB55" s="325"/>
      <c r="AC55" s="325"/>
      <c r="AD55" s="325"/>
      <c r="AE55" s="325"/>
      <c r="AF55" s="325"/>
      <c r="AG55" s="325"/>
      <c r="AH55" s="325"/>
      <c r="AI55" s="391"/>
      <c r="AJ55" s="401"/>
      <c r="AK55" s="402"/>
      <c r="AL55" s="396"/>
      <c r="AM55" s="396"/>
      <c r="AN55" s="396"/>
      <c r="AO55" s="396"/>
      <c r="AP55" s="396"/>
      <c r="AQ55" s="396"/>
      <c r="AR55" s="396"/>
      <c r="AS55" s="396"/>
      <c r="AT55" s="496"/>
      <c r="AU55" s="400"/>
      <c r="AV55" s="396"/>
      <c r="AW55" s="397"/>
      <c r="AX55" s="489">
        <f>ROUND(Q56,0)</f>
        <v>106</v>
      </c>
      <c r="AY55" s="393"/>
    </row>
    <row r="56" spans="1:51" ht="16.5" customHeight="1" x14ac:dyDescent="0.15">
      <c r="A56" s="340">
        <v>12</v>
      </c>
      <c r="B56" s="341">
        <v>7350</v>
      </c>
      <c r="C56" s="390" t="s">
        <v>16346</v>
      </c>
      <c r="D56" s="403"/>
      <c r="E56" s="404"/>
      <c r="F56" s="404"/>
      <c r="G56" s="404"/>
      <c r="H56" s="406"/>
      <c r="Q56" s="836">
        <f>ROUND(Q248*$F$13,0)</f>
        <v>106</v>
      </c>
      <c r="R56" s="837"/>
      <c r="S56" s="837"/>
      <c r="T56" s="152" t="s">
        <v>15624</v>
      </c>
      <c r="U56" s="387"/>
      <c r="V56" s="343" t="s">
        <v>15625</v>
      </c>
      <c r="W56" s="325"/>
      <c r="X56" s="325"/>
      <c r="Y56" s="325"/>
      <c r="Z56" s="325"/>
      <c r="AA56" s="325"/>
      <c r="AB56" s="325"/>
      <c r="AC56" s="325"/>
      <c r="AD56" s="325"/>
      <c r="AE56" s="325"/>
      <c r="AF56" s="325"/>
      <c r="AG56" s="325"/>
      <c r="AH56" s="325"/>
      <c r="AI56" s="391" t="s">
        <v>15626</v>
      </c>
      <c r="AJ56" s="838">
        <f>AJ54</f>
        <v>1</v>
      </c>
      <c r="AK56" s="839"/>
      <c r="AL56" s="325"/>
      <c r="AM56" s="325"/>
      <c r="AN56" s="325"/>
      <c r="AO56" s="325"/>
      <c r="AP56" s="325"/>
      <c r="AQ56" s="325"/>
      <c r="AR56" s="325"/>
      <c r="AS56" s="325"/>
      <c r="AT56" s="490"/>
      <c r="AW56" s="387"/>
      <c r="AX56" s="489">
        <f>ROUND(Q56*AJ56,0)</f>
        <v>106</v>
      </c>
      <c r="AY56" s="393"/>
    </row>
    <row r="57" spans="1:51" ht="16.5" customHeight="1" x14ac:dyDescent="0.15">
      <c r="A57" s="340">
        <v>12</v>
      </c>
      <c r="B57" s="341">
        <v>7351</v>
      </c>
      <c r="C57" s="390" t="s">
        <v>16347</v>
      </c>
      <c r="D57" s="403"/>
      <c r="E57" s="404"/>
      <c r="F57" s="404"/>
      <c r="G57" s="404"/>
      <c r="H57" s="406"/>
      <c r="Q57" s="395"/>
      <c r="R57" s="151"/>
      <c r="S57" s="151"/>
      <c r="U57" s="387"/>
      <c r="V57" s="343"/>
      <c r="W57" s="343"/>
      <c r="X57" s="343"/>
      <c r="Y57" s="343"/>
      <c r="Z57" s="343"/>
      <c r="AA57" s="343"/>
      <c r="AB57" s="343"/>
      <c r="AC57" s="343"/>
      <c r="AD57" s="343"/>
      <c r="AE57" s="343"/>
      <c r="AF57" s="343"/>
      <c r="AG57" s="343"/>
      <c r="AH57" s="343"/>
      <c r="AI57" s="343"/>
      <c r="AJ57" s="343"/>
      <c r="AK57" s="343"/>
      <c r="AL57" s="114" t="s">
        <v>15628</v>
      </c>
      <c r="AM57" s="396"/>
      <c r="AN57" s="396"/>
      <c r="AO57" s="396"/>
      <c r="AP57" s="396"/>
      <c r="AQ57" s="396"/>
      <c r="AR57" s="396"/>
      <c r="AS57" s="397"/>
      <c r="AT57" s="490"/>
      <c r="AW57" s="387"/>
      <c r="AX57" s="489">
        <f>ROUND(Q56*AR58,0)</f>
        <v>90</v>
      </c>
      <c r="AY57" s="393"/>
    </row>
    <row r="58" spans="1:51" ht="16.5" customHeight="1" x14ac:dyDescent="0.15">
      <c r="A58" s="340">
        <v>12</v>
      </c>
      <c r="B58" s="341">
        <v>7352</v>
      </c>
      <c r="C58" s="390" t="s">
        <v>16348</v>
      </c>
      <c r="D58" s="403"/>
      <c r="E58" s="404"/>
      <c r="F58" s="404"/>
      <c r="G58" s="404"/>
      <c r="H58" s="406"/>
      <c r="Q58" s="395"/>
      <c r="R58" s="151"/>
      <c r="S58" s="151"/>
      <c r="U58" s="387"/>
      <c r="V58" s="343" t="s">
        <v>15625</v>
      </c>
      <c r="W58" s="325"/>
      <c r="X58" s="325"/>
      <c r="Y58" s="325"/>
      <c r="Z58" s="325"/>
      <c r="AA58" s="325"/>
      <c r="AB58" s="325"/>
      <c r="AC58" s="325"/>
      <c r="AD58" s="325"/>
      <c r="AE58" s="325"/>
      <c r="AF58" s="325"/>
      <c r="AG58" s="325"/>
      <c r="AH58" s="325"/>
      <c r="AI58" s="391" t="s">
        <v>15626</v>
      </c>
      <c r="AJ58" s="838">
        <f>AJ56</f>
        <v>1</v>
      </c>
      <c r="AK58" s="843"/>
      <c r="AL58" s="324" t="s">
        <v>15630</v>
      </c>
      <c r="AM58" s="325"/>
      <c r="AN58" s="325"/>
      <c r="AO58" s="325"/>
      <c r="AP58" s="325"/>
      <c r="AQ58" s="190" t="s">
        <v>398</v>
      </c>
      <c r="AR58" s="844">
        <f>AR54</f>
        <v>0.85</v>
      </c>
      <c r="AS58" s="844"/>
      <c r="AT58" s="490"/>
      <c r="AW58" s="387"/>
      <c r="AX58" s="489">
        <f>ROUND(ROUND(Q56*AJ58,0)*AR58,0)</f>
        <v>90</v>
      </c>
      <c r="AY58" s="393"/>
    </row>
    <row r="59" spans="1:51" ht="16.5" customHeight="1" x14ac:dyDescent="0.15">
      <c r="A59" s="340">
        <v>12</v>
      </c>
      <c r="B59" s="341">
        <v>7353</v>
      </c>
      <c r="C59" s="390" t="s">
        <v>16349</v>
      </c>
      <c r="D59" s="403"/>
      <c r="E59" s="404"/>
      <c r="F59" s="404"/>
      <c r="G59" s="404"/>
      <c r="H59" s="406"/>
      <c r="I59" s="10"/>
      <c r="Q59" s="395"/>
      <c r="R59" s="151"/>
      <c r="S59" s="151"/>
      <c r="U59" s="387"/>
      <c r="V59" s="343"/>
      <c r="W59" s="325"/>
      <c r="X59" s="325"/>
      <c r="Y59" s="325"/>
      <c r="Z59" s="325"/>
      <c r="AA59" s="325"/>
      <c r="AB59" s="325"/>
      <c r="AC59" s="325"/>
      <c r="AD59" s="325"/>
      <c r="AE59" s="325"/>
      <c r="AF59" s="325"/>
      <c r="AG59" s="325"/>
      <c r="AH59" s="325"/>
      <c r="AI59" s="391"/>
      <c r="AJ59" s="401"/>
      <c r="AK59" s="402"/>
      <c r="AL59" s="396"/>
      <c r="AM59" s="396"/>
      <c r="AN59" s="396"/>
      <c r="AO59" s="396"/>
      <c r="AP59" s="396"/>
      <c r="AQ59" s="396"/>
      <c r="AR59" s="396"/>
      <c r="AS59" s="396"/>
      <c r="AT59" s="857" t="s">
        <v>16296</v>
      </c>
      <c r="AU59" s="858"/>
      <c r="AV59" s="858"/>
      <c r="AW59" s="860"/>
      <c r="AX59" s="489">
        <f>ROUND(Q56*AT62,0)</f>
        <v>85</v>
      </c>
      <c r="AY59" s="393"/>
    </row>
    <row r="60" spans="1:51" ht="16.5" customHeight="1" x14ac:dyDescent="0.15">
      <c r="A60" s="340">
        <v>12</v>
      </c>
      <c r="B60" s="341">
        <v>7354</v>
      </c>
      <c r="C60" s="390" t="s">
        <v>16350</v>
      </c>
      <c r="D60" s="403"/>
      <c r="E60" s="404"/>
      <c r="F60" s="404"/>
      <c r="G60" s="404"/>
      <c r="H60" s="406"/>
      <c r="Q60" s="899"/>
      <c r="R60" s="900"/>
      <c r="S60" s="900"/>
      <c r="U60" s="387"/>
      <c r="V60" s="343" t="s">
        <v>15625</v>
      </c>
      <c r="W60" s="325"/>
      <c r="X60" s="325"/>
      <c r="Y60" s="325"/>
      <c r="Z60" s="325"/>
      <c r="AA60" s="325"/>
      <c r="AB60" s="325"/>
      <c r="AC60" s="325"/>
      <c r="AD60" s="325"/>
      <c r="AE60" s="325"/>
      <c r="AF60" s="325"/>
      <c r="AG60" s="325"/>
      <c r="AH60" s="325"/>
      <c r="AI60" s="391" t="s">
        <v>15626</v>
      </c>
      <c r="AJ60" s="838">
        <f>AJ58</f>
        <v>1</v>
      </c>
      <c r="AK60" s="839"/>
      <c r="AL60" s="325"/>
      <c r="AM60" s="325"/>
      <c r="AN60" s="325"/>
      <c r="AO60" s="325"/>
      <c r="AP60" s="325"/>
      <c r="AQ60" s="325"/>
      <c r="AR60" s="325"/>
      <c r="AS60" s="325"/>
      <c r="AT60" s="849"/>
      <c r="AU60" s="850"/>
      <c r="AV60" s="850"/>
      <c r="AW60" s="852"/>
      <c r="AX60" s="489">
        <f>ROUND(ROUND(Q56*AJ60,0)*AT62,0)</f>
        <v>85</v>
      </c>
      <c r="AY60" s="393"/>
    </row>
    <row r="61" spans="1:51" ht="16.5" customHeight="1" x14ac:dyDescent="0.15">
      <c r="A61" s="340">
        <v>12</v>
      </c>
      <c r="B61" s="341">
        <v>7355</v>
      </c>
      <c r="C61" s="390" t="s">
        <v>16351</v>
      </c>
      <c r="D61" s="403"/>
      <c r="E61" s="404"/>
      <c r="F61" s="404"/>
      <c r="G61" s="404"/>
      <c r="H61" s="406"/>
      <c r="Q61" s="395"/>
      <c r="R61" s="151"/>
      <c r="S61" s="151"/>
      <c r="U61" s="387"/>
      <c r="V61" s="343"/>
      <c r="W61" s="343"/>
      <c r="X61" s="343"/>
      <c r="Y61" s="343"/>
      <c r="Z61" s="343"/>
      <c r="AA61" s="343"/>
      <c r="AB61" s="343"/>
      <c r="AC61" s="343"/>
      <c r="AD61" s="343"/>
      <c r="AE61" s="343"/>
      <c r="AF61" s="343"/>
      <c r="AG61" s="343"/>
      <c r="AH61" s="343"/>
      <c r="AI61" s="343"/>
      <c r="AJ61" s="343"/>
      <c r="AK61" s="343"/>
      <c r="AL61" s="114" t="s">
        <v>15628</v>
      </c>
      <c r="AM61" s="396"/>
      <c r="AN61" s="396"/>
      <c r="AO61" s="396"/>
      <c r="AP61" s="396"/>
      <c r="AQ61" s="396"/>
      <c r="AR61" s="396"/>
      <c r="AS61" s="397"/>
      <c r="AT61" s="901" t="s">
        <v>15636</v>
      </c>
      <c r="AU61" s="902"/>
      <c r="AV61" s="902"/>
      <c r="AW61" s="903"/>
      <c r="AX61" s="489">
        <f>ROUND(ROUND(Q56*AR62,0)*AT62,0)</f>
        <v>72</v>
      </c>
      <c r="AY61" s="393"/>
    </row>
    <row r="62" spans="1:51" ht="16.5" customHeight="1" x14ac:dyDescent="0.15">
      <c r="A62" s="340">
        <v>12</v>
      </c>
      <c r="B62" s="341">
        <v>7356</v>
      </c>
      <c r="C62" s="390" t="s">
        <v>16352</v>
      </c>
      <c r="D62" s="403"/>
      <c r="E62" s="404"/>
      <c r="F62" s="404"/>
      <c r="G62" s="404"/>
      <c r="H62" s="406"/>
      <c r="Q62" s="395"/>
      <c r="R62" s="151"/>
      <c r="S62" s="151"/>
      <c r="U62" s="387"/>
      <c r="V62" s="343" t="s">
        <v>15625</v>
      </c>
      <c r="W62" s="325"/>
      <c r="X62" s="325"/>
      <c r="Y62" s="325"/>
      <c r="Z62" s="325"/>
      <c r="AA62" s="325"/>
      <c r="AB62" s="325"/>
      <c r="AC62" s="325"/>
      <c r="AD62" s="325"/>
      <c r="AE62" s="325"/>
      <c r="AF62" s="325"/>
      <c r="AG62" s="325"/>
      <c r="AH62" s="325"/>
      <c r="AI62" s="391" t="s">
        <v>15626</v>
      </c>
      <c r="AJ62" s="838">
        <f>AJ60</f>
        <v>1</v>
      </c>
      <c r="AK62" s="843"/>
      <c r="AL62" s="324" t="s">
        <v>15630</v>
      </c>
      <c r="AM62" s="325"/>
      <c r="AN62" s="325"/>
      <c r="AO62" s="325"/>
      <c r="AP62" s="325"/>
      <c r="AQ62" s="190" t="s">
        <v>398</v>
      </c>
      <c r="AR62" s="844">
        <f>AR58</f>
        <v>0.85</v>
      </c>
      <c r="AS62" s="844"/>
      <c r="AT62" s="907">
        <f>AT54</f>
        <v>0.8</v>
      </c>
      <c r="AU62" s="844"/>
      <c r="AV62" s="844"/>
      <c r="AW62" s="845"/>
      <c r="AX62" s="489">
        <f>ROUND(ROUND(ROUND(Q56*AJ62,0)*AR62,0)*AT62,0)</f>
        <v>72</v>
      </c>
      <c r="AY62" s="393"/>
    </row>
    <row r="63" spans="1:51" ht="17.100000000000001" customHeight="1" x14ac:dyDescent="0.15">
      <c r="A63" s="340">
        <v>12</v>
      </c>
      <c r="B63" s="341">
        <v>7357</v>
      </c>
      <c r="C63" s="390" t="s">
        <v>16353</v>
      </c>
      <c r="D63" s="403"/>
      <c r="E63" s="404"/>
      <c r="F63" s="404"/>
      <c r="G63" s="404"/>
      <c r="H63" s="406"/>
      <c r="I63" s="908" t="s">
        <v>16354</v>
      </c>
      <c r="J63" s="909"/>
      <c r="K63" s="909"/>
      <c r="L63" s="909"/>
      <c r="M63" s="909"/>
      <c r="N63" s="909"/>
      <c r="O63" s="909"/>
      <c r="P63" s="909"/>
      <c r="Q63" s="909"/>
      <c r="R63" s="909"/>
      <c r="S63" s="909"/>
      <c r="T63" s="909"/>
      <c r="U63" s="910"/>
      <c r="V63" s="343"/>
      <c r="W63" s="343"/>
      <c r="X63" s="343"/>
      <c r="Y63" s="343"/>
      <c r="Z63" s="343"/>
      <c r="AA63" s="343"/>
      <c r="AB63" s="343"/>
      <c r="AC63" s="343"/>
      <c r="AD63" s="343"/>
      <c r="AE63" s="343"/>
      <c r="AF63" s="343"/>
      <c r="AG63" s="343"/>
      <c r="AH63" s="343"/>
      <c r="AI63" s="343"/>
      <c r="AJ63" s="401"/>
      <c r="AK63" s="402"/>
      <c r="AL63" s="396"/>
      <c r="AM63" s="396"/>
      <c r="AN63" s="396"/>
      <c r="AO63" s="396"/>
      <c r="AP63" s="396"/>
      <c r="AQ63" s="396"/>
      <c r="AR63" s="396"/>
      <c r="AS63" s="396"/>
      <c r="AT63" s="496"/>
      <c r="AU63" s="400"/>
      <c r="AV63" s="396"/>
      <c r="AW63" s="397"/>
      <c r="AX63" s="489">
        <f>ROUND(Q64,0)</f>
        <v>98</v>
      </c>
      <c r="AY63" s="393"/>
    </row>
    <row r="64" spans="1:51" ht="16.5" customHeight="1" x14ac:dyDescent="0.15">
      <c r="A64" s="340">
        <v>12</v>
      </c>
      <c r="B64" s="341">
        <v>7358</v>
      </c>
      <c r="C64" s="390" t="s">
        <v>16355</v>
      </c>
      <c r="D64" s="403"/>
      <c r="E64" s="404"/>
      <c r="F64" s="404"/>
      <c r="G64" s="404"/>
      <c r="H64" s="406"/>
      <c r="Q64" s="836">
        <f>ROUND(Q256*$F$13,0)</f>
        <v>98</v>
      </c>
      <c r="R64" s="837"/>
      <c r="S64" s="837"/>
      <c r="T64" s="152" t="s">
        <v>15624</v>
      </c>
      <c r="U64" s="387"/>
      <c r="V64" s="343" t="s">
        <v>15625</v>
      </c>
      <c r="W64" s="325"/>
      <c r="X64" s="325"/>
      <c r="Y64" s="325"/>
      <c r="Z64" s="325"/>
      <c r="AA64" s="325"/>
      <c r="AB64" s="325"/>
      <c r="AC64" s="325"/>
      <c r="AD64" s="325"/>
      <c r="AE64" s="325"/>
      <c r="AF64" s="325"/>
      <c r="AG64" s="325"/>
      <c r="AH64" s="325"/>
      <c r="AI64" s="391" t="s">
        <v>15626</v>
      </c>
      <c r="AJ64" s="838">
        <f>AJ62</f>
        <v>1</v>
      </c>
      <c r="AK64" s="839"/>
      <c r="AL64" s="325"/>
      <c r="AM64" s="325"/>
      <c r="AN64" s="325"/>
      <c r="AO64" s="325"/>
      <c r="AP64" s="325"/>
      <c r="AQ64" s="325"/>
      <c r="AR64" s="325"/>
      <c r="AS64" s="391"/>
      <c r="AT64" s="490"/>
      <c r="AW64" s="387"/>
      <c r="AX64" s="489">
        <f>ROUND(Q64*AJ64,0)</f>
        <v>98</v>
      </c>
      <c r="AY64" s="393"/>
    </row>
    <row r="65" spans="1:51" ht="16.5" customHeight="1" x14ac:dyDescent="0.15">
      <c r="A65" s="340">
        <v>12</v>
      </c>
      <c r="B65" s="341">
        <v>7359</v>
      </c>
      <c r="C65" s="390" t="s">
        <v>16356</v>
      </c>
      <c r="D65" s="403"/>
      <c r="E65" s="404"/>
      <c r="F65" s="404"/>
      <c r="G65" s="404"/>
      <c r="H65" s="406"/>
      <c r="Q65" s="395"/>
      <c r="R65" s="151"/>
      <c r="S65" s="151"/>
      <c r="U65" s="387"/>
      <c r="V65" s="343"/>
      <c r="W65" s="343"/>
      <c r="X65" s="343"/>
      <c r="Y65" s="343"/>
      <c r="Z65" s="343"/>
      <c r="AA65" s="343"/>
      <c r="AB65" s="343"/>
      <c r="AC65" s="343"/>
      <c r="AD65" s="343"/>
      <c r="AE65" s="343"/>
      <c r="AF65" s="343"/>
      <c r="AG65" s="343"/>
      <c r="AH65" s="343"/>
      <c r="AI65" s="343"/>
      <c r="AJ65" s="343"/>
      <c r="AK65" s="343"/>
      <c r="AL65" s="114" t="s">
        <v>15628</v>
      </c>
      <c r="AM65" s="396"/>
      <c r="AN65" s="396"/>
      <c r="AO65" s="396"/>
      <c r="AP65" s="396"/>
      <c r="AQ65" s="396"/>
      <c r="AR65" s="396"/>
      <c r="AS65" s="397"/>
      <c r="AT65" s="490"/>
      <c r="AW65" s="387"/>
      <c r="AX65" s="489">
        <f>ROUND(Q64*AR66,0)</f>
        <v>83</v>
      </c>
      <c r="AY65" s="393"/>
    </row>
    <row r="66" spans="1:51" ht="16.5" customHeight="1" x14ac:dyDescent="0.15">
      <c r="A66" s="340">
        <v>12</v>
      </c>
      <c r="B66" s="341">
        <v>7360</v>
      </c>
      <c r="C66" s="390" t="s">
        <v>16357</v>
      </c>
      <c r="D66" s="403"/>
      <c r="E66" s="404"/>
      <c r="F66" s="404"/>
      <c r="G66" s="404"/>
      <c r="H66" s="406"/>
      <c r="Q66" s="395"/>
      <c r="R66" s="151"/>
      <c r="S66" s="151"/>
      <c r="U66" s="387"/>
      <c r="V66" s="343" t="s">
        <v>15625</v>
      </c>
      <c r="W66" s="325"/>
      <c r="X66" s="325"/>
      <c r="Y66" s="325"/>
      <c r="Z66" s="325"/>
      <c r="AA66" s="325"/>
      <c r="AB66" s="325"/>
      <c r="AC66" s="325"/>
      <c r="AD66" s="325"/>
      <c r="AE66" s="325"/>
      <c r="AF66" s="325"/>
      <c r="AG66" s="325"/>
      <c r="AH66" s="325"/>
      <c r="AI66" s="391" t="s">
        <v>15626</v>
      </c>
      <c r="AJ66" s="838">
        <f>AJ64</f>
        <v>1</v>
      </c>
      <c r="AK66" s="843"/>
      <c r="AL66" s="324" t="s">
        <v>15630</v>
      </c>
      <c r="AM66" s="325"/>
      <c r="AN66" s="325"/>
      <c r="AO66" s="325"/>
      <c r="AP66" s="325"/>
      <c r="AQ66" s="190" t="s">
        <v>398</v>
      </c>
      <c r="AR66" s="844">
        <f>AR62</f>
        <v>0.85</v>
      </c>
      <c r="AS66" s="844"/>
      <c r="AT66" s="490"/>
      <c r="AW66" s="387"/>
      <c r="AX66" s="489">
        <f>ROUND(ROUND(Q64*AJ66,0)*AR66,0)</f>
        <v>83</v>
      </c>
      <c r="AY66" s="393"/>
    </row>
    <row r="67" spans="1:51" ht="17.100000000000001" customHeight="1" x14ac:dyDescent="0.15">
      <c r="A67" s="340">
        <v>12</v>
      </c>
      <c r="B67" s="341">
        <v>7361</v>
      </c>
      <c r="C67" s="390" t="s">
        <v>16358</v>
      </c>
      <c r="D67" s="403"/>
      <c r="E67" s="404"/>
      <c r="F67" s="404"/>
      <c r="G67" s="404"/>
      <c r="H67" s="406"/>
      <c r="I67" s="10"/>
      <c r="L67" s="151"/>
      <c r="M67" s="151"/>
      <c r="N67" s="151"/>
      <c r="U67" s="387"/>
      <c r="V67" s="343"/>
      <c r="W67" s="343"/>
      <c r="X67" s="343"/>
      <c r="Y67" s="343"/>
      <c r="Z67" s="343"/>
      <c r="AA67" s="343"/>
      <c r="AB67" s="343"/>
      <c r="AC67" s="343"/>
      <c r="AD67" s="343"/>
      <c r="AE67" s="343"/>
      <c r="AF67" s="343"/>
      <c r="AG67" s="343"/>
      <c r="AH67" s="343"/>
      <c r="AI67" s="343"/>
      <c r="AJ67" s="401"/>
      <c r="AK67" s="402"/>
      <c r="AL67" s="396"/>
      <c r="AM67" s="396"/>
      <c r="AN67" s="396"/>
      <c r="AO67" s="396"/>
      <c r="AP67" s="396"/>
      <c r="AQ67" s="396"/>
      <c r="AR67" s="396"/>
      <c r="AS67" s="396"/>
      <c r="AT67" s="857" t="s">
        <v>16296</v>
      </c>
      <c r="AU67" s="858"/>
      <c r="AV67" s="858"/>
      <c r="AW67" s="860"/>
      <c r="AX67" s="489">
        <f>ROUND(Q64*AT70,0)</f>
        <v>78</v>
      </c>
      <c r="AY67" s="393"/>
    </row>
    <row r="68" spans="1:51" ht="16.5" customHeight="1" x14ac:dyDescent="0.15">
      <c r="A68" s="340">
        <v>12</v>
      </c>
      <c r="B68" s="341">
        <v>7362</v>
      </c>
      <c r="C68" s="390" t="s">
        <v>16359</v>
      </c>
      <c r="D68" s="403"/>
      <c r="E68" s="404"/>
      <c r="F68" s="404"/>
      <c r="G68" s="404"/>
      <c r="H68" s="406"/>
      <c r="Q68" s="899"/>
      <c r="R68" s="900"/>
      <c r="S68" s="900"/>
      <c r="U68" s="387"/>
      <c r="V68" s="343" t="s">
        <v>15625</v>
      </c>
      <c r="W68" s="325"/>
      <c r="X68" s="325"/>
      <c r="Y68" s="325"/>
      <c r="Z68" s="325"/>
      <c r="AA68" s="325"/>
      <c r="AB68" s="325"/>
      <c r="AC68" s="325"/>
      <c r="AD68" s="325"/>
      <c r="AE68" s="325"/>
      <c r="AF68" s="325"/>
      <c r="AG68" s="325"/>
      <c r="AH68" s="325"/>
      <c r="AI68" s="391" t="s">
        <v>15626</v>
      </c>
      <c r="AJ68" s="838">
        <f>AJ66</f>
        <v>1</v>
      </c>
      <c r="AK68" s="839"/>
      <c r="AL68" s="325"/>
      <c r="AM68" s="325"/>
      <c r="AN68" s="325"/>
      <c r="AO68" s="325"/>
      <c r="AP68" s="325"/>
      <c r="AQ68" s="325"/>
      <c r="AR68" s="325"/>
      <c r="AS68" s="391"/>
      <c r="AT68" s="849"/>
      <c r="AU68" s="850"/>
      <c r="AV68" s="850"/>
      <c r="AW68" s="852"/>
      <c r="AX68" s="489">
        <f>ROUND(ROUND(Q64*AJ68,0)*AT70,0)</f>
        <v>78</v>
      </c>
      <c r="AY68" s="393"/>
    </row>
    <row r="69" spans="1:51" ht="16.5" customHeight="1" x14ac:dyDescent="0.15">
      <c r="A69" s="340">
        <v>12</v>
      </c>
      <c r="B69" s="341">
        <v>7363</v>
      </c>
      <c r="C69" s="390" t="s">
        <v>16360</v>
      </c>
      <c r="D69" s="403"/>
      <c r="E69" s="404"/>
      <c r="F69" s="404"/>
      <c r="G69" s="404"/>
      <c r="H69" s="406"/>
      <c r="Q69" s="395"/>
      <c r="R69" s="151"/>
      <c r="S69" s="151"/>
      <c r="U69" s="387"/>
      <c r="V69" s="343"/>
      <c r="W69" s="343"/>
      <c r="X69" s="343"/>
      <c r="Y69" s="343"/>
      <c r="Z69" s="343"/>
      <c r="AA69" s="343"/>
      <c r="AB69" s="343"/>
      <c r="AC69" s="343"/>
      <c r="AD69" s="343"/>
      <c r="AE69" s="343"/>
      <c r="AF69" s="343"/>
      <c r="AG69" s="343"/>
      <c r="AH69" s="343"/>
      <c r="AI69" s="343"/>
      <c r="AJ69" s="343"/>
      <c r="AK69" s="343"/>
      <c r="AL69" s="114" t="s">
        <v>15628</v>
      </c>
      <c r="AM69" s="396"/>
      <c r="AN69" s="396"/>
      <c r="AO69" s="396"/>
      <c r="AP69" s="396"/>
      <c r="AQ69" s="396"/>
      <c r="AR69" s="396"/>
      <c r="AS69" s="397"/>
      <c r="AT69" s="901" t="s">
        <v>15636</v>
      </c>
      <c r="AU69" s="902"/>
      <c r="AV69" s="902"/>
      <c r="AW69" s="903"/>
      <c r="AX69" s="489">
        <f>ROUND(ROUND(Q64*AR70,0)*AT70,0)</f>
        <v>66</v>
      </c>
      <c r="AY69" s="393"/>
    </row>
    <row r="70" spans="1:51" ht="16.5" customHeight="1" x14ac:dyDescent="0.15">
      <c r="A70" s="340">
        <v>12</v>
      </c>
      <c r="B70" s="341">
        <v>7364</v>
      </c>
      <c r="C70" s="390" t="s">
        <v>16361</v>
      </c>
      <c r="D70" s="403"/>
      <c r="E70" s="404"/>
      <c r="F70" s="404"/>
      <c r="G70" s="404"/>
      <c r="H70" s="406"/>
      <c r="Q70" s="395"/>
      <c r="R70" s="151"/>
      <c r="S70" s="151"/>
      <c r="U70" s="387"/>
      <c r="V70" s="343" t="s">
        <v>15625</v>
      </c>
      <c r="W70" s="325"/>
      <c r="X70" s="325"/>
      <c r="Y70" s="325"/>
      <c r="Z70" s="325"/>
      <c r="AA70" s="325"/>
      <c r="AB70" s="325"/>
      <c r="AC70" s="325"/>
      <c r="AD70" s="325"/>
      <c r="AE70" s="325"/>
      <c r="AF70" s="325"/>
      <c r="AG70" s="325"/>
      <c r="AH70" s="325"/>
      <c r="AI70" s="391" t="s">
        <v>15626</v>
      </c>
      <c r="AJ70" s="838">
        <f>AJ68</f>
        <v>1</v>
      </c>
      <c r="AK70" s="843"/>
      <c r="AL70" s="324" t="s">
        <v>15630</v>
      </c>
      <c r="AM70" s="325"/>
      <c r="AN70" s="325"/>
      <c r="AO70" s="325"/>
      <c r="AP70" s="325"/>
      <c r="AQ70" s="190" t="s">
        <v>398</v>
      </c>
      <c r="AR70" s="844">
        <f>AR66</f>
        <v>0.85</v>
      </c>
      <c r="AS70" s="844"/>
      <c r="AT70" s="907">
        <f>AT62</f>
        <v>0.8</v>
      </c>
      <c r="AU70" s="844"/>
      <c r="AV70" s="844"/>
      <c r="AW70" s="845"/>
      <c r="AX70" s="489">
        <f>ROUND(ROUND(ROUND(Q64*AJ70,0)*AR70,0)*AT70,0)</f>
        <v>66</v>
      </c>
      <c r="AY70" s="393"/>
    </row>
    <row r="71" spans="1:51" ht="17.100000000000001" customHeight="1" x14ac:dyDescent="0.15">
      <c r="A71" s="340">
        <v>12</v>
      </c>
      <c r="B71" s="341">
        <v>7365</v>
      </c>
      <c r="C71" s="390" t="s">
        <v>16362</v>
      </c>
      <c r="D71" s="403"/>
      <c r="E71" s="404"/>
      <c r="F71" s="404"/>
      <c r="G71" s="404"/>
      <c r="H71" s="406"/>
      <c r="I71" s="908" t="s">
        <v>16363</v>
      </c>
      <c r="J71" s="909"/>
      <c r="K71" s="909"/>
      <c r="L71" s="909"/>
      <c r="M71" s="909"/>
      <c r="N71" s="909"/>
      <c r="O71" s="909"/>
      <c r="P71" s="909"/>
      <c r="Q71" s="909"/>
      <c r="R71" s="909"/>
      <c r="S71" s="909"/>
      <c r="T71" s="909"/>
      <c r="U71" s="910"/>
      <c r="V71" s="343"/>
      <c r="W71" s="343"/>
      <c r="X71" s="343"/>
      <c r="Y71" s="343"/>
      <c r="Z71" s="343"/>
      <c r="AA71" s="343"/>
      <c r="AB71" s="343"/>
      <c r="AC71" s="343"/>
      <c r="AD71" s="343"/>
      <c r="AE71" s="343"/>
      <c r="AF71" s="343"/>
      <c r="AG71" s="343"/>
      <c r="AH71" s="343"/>
      <c r="AI71" s="343"/>
      <c r="AJ71" s="401"/>
      <c r="AK71" s="402"/>
      <c r="AL71" s="396"/>
      <c r="AM71" s="396"/>
      <c r="AN71" s="396"/>
      <c r="AO71" s="396"/>
      <c r="AP71" s="396"/>
      <c r="AQ71" s="396"/>
      <c r="AR71" s="396"/>
      <c r="AS71" s="396"/>
      <c r="AT71" s="496"/>
      <c r="AU71" s="400"/>
      <c r="AV71" s="396"/>
      <c r="AW71" s="397"/>
      <c r="AX71" s="489">
        <f>ROUND(Q72,0)</f>
        <v>98</v>
      </c>
      <c r="AY71" s="393"/>
    </row>
    <row r="72" spans="1:51" ht="16.5" customHeight="1" x14ac:dyDescent="0.15">
      <c r="A72" s="340">
        <v>12</v>
      </c>
      <c r="B72" s="341">
        <v>7366</v>
      </c>
      <c r="C72" s="390" t="s">
        <v>16364</v>
      </c>
      <c r="D72" s="403"/>
      <c r="E72" s="404"/>
      <c r="F72" s="404"/>
      <c r="G72" s="404"/>
      <c r="H72" s="406"/>
      <c r="Q72" s="836">
        <f>ROUND(Q264*$F$13,0)</f>
        <v>98</v>
      </c>
      <c r="R72" s="837"/>
      <c r="S72" s="837"/>
      <c r="T72" s="152" t="s">
        <v>15624</v>
      </c>
      <c r="U72" s="387"/>
      <c r="V72" s="343" t="s">
        <v>15625</v>
      </c>
      <c r="W72" s="325"/>
      <c r="X72" s="325"/>
      <c r="Y72" s="325"/>
      <c r="Z72" s="325"/>
      <c r="AA72" s="325"/>
      <c r="AB72" s="325"/>
      <c r="AC72" s="325"/>
      <c r="AD72" s="325"/>
      <c r="AE72" s="325"/>
      <c r="AF72" s="325"/>
      <c r="AG72" s="325"/>
      <c r="AH72" s="325"/>
      <c r="AI72" s="391" t="s">
        <v>15626</v>
      </c>
      <c r="AJ72" s="838">
        <f>AJ70</f>
        <v>1</v>
      </c>
      <c r="AK72" s="839"/>
      <c r="AL72" s="325"/>
      <c r="AM72" s="325"/>
      <c r="AN72" s="325"/>
      <c r="AO72" s="325"/>
      <c r="AP72" s="325"/>
      <c r="AQ72" s="325"/>
      <c r="AR72" s="325"/>
      <c r="AS72" s="391"/>
      <c r="AT72" s="490"/>
      <c r="AW72" s="387"/>
      <c r="AX72" s="489">
        <f>ROUND(Q72*AJ72,0)</f>
        <v>98</v>
      </c>
      <c r="AY72" s="393"/>
    </row>
    <row r="73" spans="1:51" ht="16.5" customHeight="1" x14ac:dyDescent="0.15">
      <c r="A73" s="340">
        <v>12</v>
      </c>
      <c r="B73" s="341">
        <v>7367</v>
      </c>
      <c r="C73" s="390" t="s">
        <v>16365</v>
      </c>
      <c r="D73" s="403"/>
      <c r="E73" s="404"/>
      <c r="F73" s="404"/>
      <c r="G73" s="404"/>
      <c r="H73" s="406"/>
      <c r="Q73" s="395"/>
      <c r="R73" s="151"/>
      <c r="S73" s="151"/>
      <c r="U73" s="387"/>
      <c r="V73" s="343"/>
      <c r="W73" s="343"/>
      <c r="X73" s="343"/>
      <c r="Y73" s="343"/>
      <c r="Z73" s="343"/>
      <c r="AA73" s="343"/>
      <c r="AB73" s="343"/>
      <c r="AC73" s="343"/>
      <c r="AD73" s="343"/>
      <c r="AE73" s="343"/>
      <c r="AF73" s="343"/>
      <c r="AG73" s="343"/>
      <c r="AH73" s="343"/>
      <c r="AI73" s="343"/>
      <c r="AJ73" s="343"/>
      <c r="AK73" s="343"/>
      <c r="AL73" s="114" t="s">
        <v>15628</v>
      </c>
      <c r="AM73" s="396"/>
      <c r="AN73" s="396"/>
      <c r="AO73" s="396"/>
      <c r="AP73" s="396"/>
      <c r="AQ73" s="396"/>
      <c r="AR73" s="396"/>
      <c r="AS73" s="397"/>
      <c r="AT73" s="490"/>
      <c r="AW73" s="387"/>
      <c r="AX73" s="489">
        <f>ROUND(Q72*AR74,0)</f>
        <v>83</v>
      </c>
      <c r="AY73" s="393"/>
    </row>
    <row r="74" spans="1:51" ht="16.5" customHeight="1" x14ac:dyDescent="0.15">
      <c r="A74" s="340">
        <v>12</v>
      </c>
      <c r="B74" s="341">
        <v>7368</v>
      </c>
      <c r="C74" s="390" t="s">
        <v>16366</v>
      </c>
      <c r="D74" s="403"/>
      <c r="E74" s="404"/>
      <c r="F74" s="404"/>
      <c r="G74" s="404"/>
      <c r="H74" s="406"/>
      <c r="Q74" s="395"/>
      <c r="R74" s="151"/>
      <c r="S74" s="151"/>
      <c r="U74" s="387"/>
      <c r="V74" s="343" t="s">
        <v>15625</v>
      </c>
      <c r="W74" s="325"/>
      <c r="X74" s="325"/>
      <c r="Y74" s="325"/>
      <c r="Z74" s="325"/>
      <c r="AA74" s="325"/>
      <c r="AB74" s="325"/>
      <c r="AC74" s="325"/>
      <c r="AD74" s="325"/>
      <c r="AE74" s="325"/>
      <c r="AF74" s="325"/>
      <c r="AG74" s="325"/>
      <c r="AH74" s="325"/>
      <c r="AI74" s="391" t="s">
        <v>15626</v>
      </c>
      <c r="AJ74" s="838">
        <f>AJ72</f>
        <v>1</v>
      </c>
      <c r="AK74" s="843"/>
      <c r="AL74" s="324" t="s">
        <v>15630</v>
      </c>
      <c r="AM74" s="325"/>
      <c r="AN74" s="325"/>
      <c r="AO74" s="325"/>
      <c r="AP74" s="325"/>
      <c r="AQ74" s="190" t="s">
        <v>398</v>
      </c>
      <c r="AR74" s="844">
        <f>AR70</f>
        <v>0.85</v>
      </c>
      <c r="AS74" s="844"/>
      <c r="AT74" s="490"/>
      <c r="AW74" s="387"/>
      <c r="AX74" s="489">
        <f>ROUND(ROUND(Q72*AJ74,0)*AR74,0)</f>
        <v>83</v>
      </c>
      <c r="AY74" s="393"/>
    </row>
    <row r="75" spans="1:51" ht="17.100000000000001" customHeight="1" x14ac:dyDescent="0.15">
      <c r="A75" s="340">
        <v>12</v>
      </c>
      <c r="B75" s="341">
        <v>7369</v>
      </c>
      <c r="C75" s="390" t="s">
        <v>16367</v>
      </c>
      <c r="D75" s="403"/>
      <c r="E75" s="404"/>
      <c r="F75" s="404"/>
      <c r="G75" s="404"/>
      <c r="H75" s="406"/>
      <c r="I75" s="10"/>
      <c r="L75" s="151"/>
      <c r="M75" s="151"/>
      <c r="N75" s="151"/>
      <c r="U75" s="387"/>
      <c r="V75" s="343"/>
      <c r="W75" s="343"/>
      <c r="X75" s="343"/>
      <c r="Y75" s="343"/>
      <c r="Z75" s="343"/>
      <c r="AA75" s="343"/>
      <c r="AB75" s="343"/>
      <c r="AC75" s="343"/>
      <c r="AD75" s="343"/>
      <c r="AE75" s="343"/>
      <c r="AF75" s="343"/>
      <c r="AG75" s="343"/>
      <c r="AH75" s="343"/>
      <c r="AI75" s="343"/>
      <c r="AJ75" s="401"/>
      <c r="AK75" s="402"/>
      <c r="AL75" s="396"/>
      <c r="AM75" s="396"/>
      <c r="AN75" s="396"/>
      <c r="AO75" s="396"/>
      <c r="AP75" s="396"/>
      <c r="AQ75" s="396"/>
      <c r="AR75" s="396"/>
      <c r="AS75" s="396"/>
      <c r="AT75" s="857" t="s">
        <v>16296</v>
      </c>
      <c r="AU75" s="858"/>
      <c r="AV75" s="858"/>
      <c r="AW75" s="860"/>
      <c r="AX75" s="489">
        <f>ROUND(Q72*AT78,0)</f>
        <v>78</v>
      </c>
      <c r="AY75" s="393"/>
    </row>
    <row r="76" spans="1:51" ht="16.5" customHeight="1" x14ac:dyDescent="0.15">
      <c r="A76" s="340">
        <v>12</v>
      </c>
      <c r="B76" s="341">
        <v>7370</v>
      </c>
      <c r="C76" s="390" t="s">
        <v>16368</v>
      </c>
      <c r="D76" s="403"/>
      <c r="E76" s="404"/>
      <c r="F76" s="404"/>
      <c r="G76" s="404"/>
      <c r="H76" s="406"/>
      <c r="Q76" s="899"/>
      <c r="R76" s="900"/>
      <c r="S76" s="900"/>
      <c r="U76" s="387"/>
      <c r="V76" s="343" t="s">
        <v>15625</v>
      </c>
      <c r="W76" s="325"/>
      <c r="X76" s="325"/>
      <c r="Y76" s="325"/>
      <c r="Z76" s="325"/>
      <c r="AA76" s="325"/>
      <c r="AB76" s="325"/>
      <c r="AC76" s="325"/>
      <c r="AD76" s="325"/>
      <c r="AE76" s="325"/>
      <c r="AF76" s="325"/>
      <c r="AG76" s="325"/>
      <c r="AH76" s="325"/>
      <c r="AI76" s="391" t="s">
        <v>15626</v>
      </c>
      <c r="AJ76" s="838">
        <f>AJ74</f>
        <v>1</v>
      </c>
      <c r="AK76" s="839"/>
      <c r="AL76" s="325"/>
      <c r="AM76" s="325"/>
      <c r="AN76" s="325"/>
      <c r="AO76" s="325"/>
      <c r="AP76" s="325"/>
      <c r="AQ76" s="325"/>
      <c r="AR76" s="325"/>
      <c r="AS76" s="391"/>
      <c r="AT76" s="849"/>
      <c r="AU76" s="850"/>
      <c r="AV76" s="850"/>
      <c r="AW76" s="852"/>
      <c r="AX76" s="489">
        <f>ROUND(ROUND(Q72*AJ76,0)*AT78,0)</f>
        <v>78</v>
      </c>
      <c r="AY76" s="393"/>
    </row>
    <row r="77" spans="1:51" ht="16.5" customHeight="1" x14ac:dyDescent="0.15">
      <c r="A77" s="340">
        <v>12</v>
      </c>
      <c r="B77" s="341">
        <v>7371</v>
      </c>
      <c r="C77" s="390" t="s">
        <v>16369</v>
      </c>
      <c r="D77" s="403"/>
      <c r="E77" s="404"/>
      <c r="F77" s="404"/>
      <c r="G77" s="404"/>
      <c r="H77" s="406"/>
      <c r="Q77" s="395"/>
      <c r="R77" s="151"/>
      <c r="S77" s="151"/>
      <c r="U77" s="387"/>
      <c r="V77" s="343"/>
      <c r="W77" s="343"/>
      <c r="X77" s="343"/>
      <c r="Y77" s="343"/>
      <c r="Z77" s="343"/>
      <c r="AA77" s="343"/>
      <c r="AB77" s="343"/>
      <c r="AC77" s="343"/>
      <c r="AD77" s="343"/>
      <c r="AE77" s="343"/>
      <c r="AF77" s="343"/>
      <c r="AG77" s="343"/>
      <c r="AH77" s="343"/>
      <c r="AI77" s="343"/>
      <c r="AJ77" s="343"/>
      <c r="AK77" s="343"/>
      <c r="AL77" s="114" t="s">
        <v>15628</v>
      </c>
      <c r="AM77" s="396"/>
      <c r="AN77" s="396"/>
      <c r="AO77" s="396"/>
      <c r="AP77" s="396"/>
      <c r="AQ77" s="396"/>
      <c r="AR77" s="396"/>
      <c r="AS77" s="397"/>
      <c r="AT77" s="901" t="s">
        <v>15636</v>
      </c>
      <c r="AU77" s="902"/>
      <c r="AV77" s="902"/>
      <c r="AW77" s="903"/>
      <c r="AX77" s="489">
        <f>ROUND(ROUND(Q72*AR78,0)*AT78,0)</f>
        <v>66</v>
      </c>
      <c r="AY77" s="393"/>
    </row>
    <row r="78" spans="1:51" ht="16.5" customHeight="1" x14ac:dyDescent="0.15">
      <c r="A78" s="340">
        <v>12</v>
      </c>
      <c r="B78" s="341">
        <v>7372</v>
      </c>
      <c r="C78" s="390" t="s">
        <v>16370</v>
      </c>
      <c r="D78" s="403"/>
      <c r="E78" s="404"/>
      <c r="F78" s="404"/>
      <c r="G78" s="404"/>
      <c r="H78" s="406"/>
      <c r="Q78" s="395"/>
      <c r="R78" s="151"/>
      <c r="S78" s="151"/>
      <c r="U78" s="387"/>
      <c r="V78" s="343" t="s">
        <v>15625</v>
      </c>
      <c r="W78" s="325"/>
      <c r="X78" s="325"/>
      <c r="Y78" s="325"/>
      <c r="Z78" s="325"/>
      <c r="AA78" s="325"/>
      <c r="AB78" s="325"/>
      <c r="AC78" s="325"/>
      <c r="AD78" s="325"/>
      <c r="AE78" s="325"/>
      <c r="AF78" s="325"/>
      <c r="AG78" s="325"/>
      <c r="AH78" s="325"/>
      <c r="AI78" s="391" t="s">
        <v>15626</v>
      </c>
      <c r="AJ78" s="838">
        <f>AJ76</f>
        <v>1</v>
      </c>
      <c r="AK78" s="843"/>
      <c r="AL78" s="324" t="s">
        <v>15630</v>
      </c>
      <c r="AM78" s="325"/>
      <c r="AN78" s="325"/>
      <c r="AO78" s="325"/>
      <c r="AP78" s="325"/>
      <c r="AQ78" s="190" t="s">
        <v>398</v>
      </c>
      <c r="AR78" s="844">
        <f>AR74</f>
        <v>0.85</v>
      </c>
      <c r="AS78" s="844"/>
      <c r="AT78" s="907">
        <f>AT70</f>
        <v>0.8</v>
      </c>
      <c r="AU78" s="844"/>
      <c r="AV78" s="844"/>
      <c r="AW78" s="845"/>
      <c r="AX78" s="489">
        <f>ROUND(ROUND(ROUND(Q72*AJ78,0)*AR78,0)*AT78,0)</f>
        <v>66</v>
      </c>
      <c r="AY78" s="393"/>
    </row>
    <row r="79" spans="1:51" ht="17.100000000000001" customHeight="1" x14ac:dyDescent="0.15">
      <c r="A79" s="340">
        <v>12</v>
      </c>
      <c r="B79" s="341">
        <v>7373</v>
      </c>
      <c r="C79" s="390" t="s">
        <v>16371</v>
      </c>
      <c r="D79" s="403"/>
      <c r="E79" s="404"/>
      <c r="F79" s="404"/>
      <c r="G79" s="404"/>
      <c r="H79" s="406"/>
      <c r="I79" s="908" t="s">
        <v>16372</v>
      </c>
      <c r="J79" s="909"/>
      <c r="K79" s="909"/>
      <c r="L79" s="909"/>
      <c r="M79" s="909"/>
      <c r="N79" s="909"/>
      <c r="O79" s="909"/>
      <c r="P79" s="909"/>
      <c r="Q79" s="909"/>
      <c r="R79" s="909"/>
      <c r="S79" s="909"/>
      <c r="T79" s="909"/>
      <c r="U79" s="910"/>
      <c r="V79" s="343"/>
      <c r="W79" s="343"/>
      <c r="X79" s="343"/>
      <c r="Y79" s="343"/>
      <c r="Z79" s="343"/>
      <c r="AA79" s="343"/>
      <c r="AB79" s="343"/>
      <c r="AC79" s="343"/>
      <c r="AD79" s="343"/>
      <c r="AE79" s="343"/>
      <c r="AF79" s="343"/>
      <c r="AG79" s="343"/>
      <c r="AH79" s="343"/>
      <c r="AI79" s="343"/>
      <c r="AJ79" s="401"/>
      <c r="AK79" s="402"/>
      <c r="AL79" s="396"/>
      <c r="AM79" s="396"/>
      <c r="AN79" s="396"/>
      <c r="AO79" s="396"/>
      <c r="AP79" s="396"/>
      <c r="AQ79" s="396"/>
      <c r="AR79" s="396"/>
      <c r="AS79" s="396"/>
      <c r="AT79" s="496"/>
      <c r="AU79" s="400"/>
      <c r="AV79" s="396"/>
      <c r="AW79" s="397"/>
      <c r="AX79" s="489">
        <f>ROUND(Q80,0)</f>
        <v>92</v>
      </c>
      <c r="AY79" s="393"/>
    </row>
    <row r="80" spans="1:51" ht="16.5" customHeight="1" x14ac:dyDescent="0.15">
      <c r="A80" s="340">
        <v>12</v>
      </c>
      <c r="B80" s="341">
        <v>7374</v>
      </c>
      <c r="C80" s="390" t="s">
        <v>16373</v>
      </c>
      <c r="D80" s="403"/>
      <c r="E80" s="404"/>
      <c r="F80" s="404"/>
      <c r="G80" s="404"/>
      <c r="H80" s="406"/>
      <c r="Q80" s="836">
        <f>ROUND(Q272*$F$13,0)</f>
        <v>92</v>
      </c>
      <c r="R80" s="837"/>
      <c r="S80" s="837"/>
      <c r="T80" s="152" t="s">
        <v>15624</v>
      </c>
      <c r="U80" s="387"/>
      <c r="V80" s="343" t="s">
        <v>15625</v>
      </c>
      <c r="W80" s="325"/>
      <c r="X80" s="325"/>
      <c r="Y80" s="325"/>
      <c r="Z80" s="325"/>
      <c r="AA80" s="325"/>
      <c r="AB80" s="325"/>
      <c r="AC80" s="325"/>
      <c r="AD80" s="325"/>
      <c r="AE80" s="325"/>
      <c r="AF80" s="325"/>
      <c r="AG80" s="325"/>
      <c r="AH80" s="325"/>
      <c r="AI80" s="391" t="s">
        <v>15626</v>
      </c>
      <c r="AJ80" s="838">
        <f>AJ78</f>
        <v>1</v>
      </c>
      <c r="AK80" s="839"/>
      <c r="AL80" s="325"/>
      <c r="AM80" s="325"/>
      <c r="AN80" s="325"/>
      <c r="AO80" s="325"/>
      <c r="AP80" s="325"/>
      <c r="AQ80" s="325"/>
      <c r="AR80" s="325"/>
      <c r="AS80" s="391"/>
      <c r="AT80" s="490"/>
      <c r="AW80" s="387"/>
      <c r="AX80" s="489">
        <f>ROUND(Q80*AJ80,0)</f>
        <v>92</v>
      </c>
      <c r="AY80" s="393"/>
    </row>
    <row r="81" spans="1:51" ht="16.5" customHeight="1" x14ac:dyDescent="0.15">
      <c r="A81" s="340">
        <v>12</v>
      </c>
      <c r="B81" s="341">
        <v>7375</v>
      </c>
      <c r="C81" s="390" t="s">
        <v>16374</v>
      </c>
      <c r="D81" s="403"/>
      <c r="E81" s="404"/>
      <c r="F81" s="404"/>
      <c r="G81" s="404"/>
      <c r="H81" s="406"/>
      <c r="Q81" s="395"/>
      <c r="R81" s="151"/>
      <c r="S81" s="151"/>
      <c r="U81" s="387"/>
      <c r="V81" s="343"/>
      <c r="W81" s="343"/>
      <c r="X81" s="343"/>
      <c r="Y81" s="343"/>
      <c r="Z81" s="343"/>
      <c r="AA81" s="343"/>
      <c r="AB81" s="343"/>
      <c r="AC81" s="343"/>
      <c r="AD81" s="343"/>
      <c r="AE81" s="343"/>
      <c r="AF81" s="343"/>
      <c r="AG81" s="343"/>
      <c r="AH81" s="343"/>
      <c r="AI81" s="343"/>
      <c r="AJ81" s="343"/>
      <c r="AK81" s="343"/>
      <c r="AL81" s="114" t="s">
        <v>15628</v>
      </c>
      <c r="AM81" s="396"/>
      <c r="AN81" s="396"/>
      <c r="AO81" s="396"/>
      <c r="AP81" s="396"/>
      <c r="AQ81" s="396"/>
      <c r="AR81" s="396"/>
      <c r="AS81" s="397"/>
      <c r="AT81" s="490"/>
      <c r="AW81" s="387"/>
      <c r="AX81" s="489">
        <f>ROUND(Q80*AR82,0)</f>
        <v>78</v>
      </c>
      <c r="AY81" s="393"/>
    </row>
    <row r="82" spans="1:51" ht="16.5" customHeight="1" x14ac:dyDescent="0.15">
      <c r="A82" s="340">
        <v>12</v>
      </c>
      <c r="B82" s="341">
        <v>7376</v>
      </c>
      <c r="C82" s="390" t="s">
        <v>16375</v>
      </c>
      <c r="D82" s="403"/>
      <c r="E82" s="404"/>
      <c r="F82" s="404"/>
      <c r="G82" s="404"/>
      <c r="H82" s="406"/>
      <c r="Q82" s="395"/>
      <c r="R82" s="151"/>
      <c r="S82" s="151"/>
      <c r="U82" s="387"/>
      <c r="V82" s="343" t="s">
        <v>15625</v>
      </c>
      <c r="W82" s="325"/>
      <c r="X82" s="325"/>
      <c r="Y82" s="325"/>
      <c r="Z82" s="325"/>
      <c r="AA82" s="325"/>
      <c r="AB82" s="325"/>
      <c r="AC82" s="325"/>
      <c r="AD82" s="325"/>
      <c r="AE82" s="325"/>
      <c r="AF82" s="325"/>
      <c r="AG82" s="325"/>
      <c r="AH82" s="325"/>
      <c r="AI82" s="391" t="s">
        <v>15626</v>
      </c>
      <c r="AJ82" s="838">
        <f>AJ80</f>
        <v>1</v>
      </c>
      <c r="AK82" s="843"/>
      <c r="AL82" s="324" t="s">
        <v>15630</v>
      </c>
      <c r="AM82" s="325"/>
      <c r="AN82" s="325"/>
      <c r="AO82" s="325"/>
      <c r="AP82" s="325"/>
      <c r="AQ82" s="190" t="s">
        <v>398</v>
      </c>
      <c r="AR82" s="844">
        <f>AR78</f>
        <v>0.85</v>
      </c>
      <c r="AS82" s="844"/>
      <c r="AT82" s="490"/>
      <c r="AW82" s="387"/>
      <c r="AX82" s="489">
        <f>ROUND(ROUND(Q80*AJ82,0)*AR82,0)</f>
        <v>78</v>
      </c>
      <c r="AY82" s="393"/>
    </row>
    <row r="83" spans="1:51" ht="17.100000000000001" customHeight="1" x14ac:dyDescent="0.15">
      <c r="A83" s="340">
        <v>12</v>
      </c>
      <c r="B83" s="341">
        <v>7377</v>
      </c>
      <c r="C83" s="390" t="s">
        <v>16376</v>
      </c>
      <c r="D83" s="403"/>
      <c r="E83" s="404"/>
      <c r="F83" s="404"/>
      <c r="G83" s="404"/>
      <c r="H83" s="406"/>
      <c r="I83" s="10"/>
      <c r="L83" s="151"/>
      <c r="M83" s="151"/>
      <c r="N83" s="151"/>
      <c r="U83" s="387"/>
      <c r="V83" s="343"/>
      <c r="W83" s="343"/>
      <c r="X83" s="343"/>
      <c r="Y83" s="343"/>
      <c r="Z83" s="343"/>
      <c r="AA83" s="343"/>
      <c r="AB83" s="343"/>
      <c r="AC83" s="343"/>
      <c r="AD83" s="343"/>
      <c r="AE83" s="343"/>
      <c r="AF83" s="343"/>
      <c r="AG83" s="343"/>
      <c r="AH83" s="343"/>
      <c r="AI83" s="343"/>
      <c r="AJ83" s="401"/>
      <c r="AK83" s="402"/>
      <c r="AL83" s="396"/>
      <c r="AM83" s="396"/>
      <c r="AN83" s="396"/>
      <c r="AO83" s="396"/>
      <c r="AP83" s="396"/>
      <c r="AQ83" s="396"/>
      <c r="AR83" s="396"/>
      <c r="AS83" s="396"/>
      <c r="AT83" s="857" t="s">
        <v>16296</v>
      </c>
      <c r="AU83" s="858"/>
      <c r="AV83" s="858"/>
      <c r="AW83" s="860"/>
      <c r="AX83" s="489">
        <f>ROUND(Q80*AT86,0)</f>
        <v>74</v>
      </c>
      <c r="AY83" s="393"/>
    </row>
    <row r="84" spans="1:51" ht="16.5" customHeight="1" x14ac:dyDescent="0.15">
      <c r="A84" s="340">
        <v>12</v>
      </c>
      <c r="B84" s="341">
        <v>7378</v>
      </c>
      <c r="C84" s="390" t="s">
        <v>16377</v>
      </c>
      <c r="D84" s="403"/>
      <c r="E84" s="404"/>
      <c r="F84" s="404"/>
      <c r="G84" s="404"/>
      <c r="H84" s="406"/>
      <c r="Q84" s="899"/>
      <c r="R84" s="900"/>
      <c r="S84" s="900"/>
      <c r="U84" s="387"/>
      <c r="V84" s="343" t="s">
        <v>15625</v>
      </c>
      <c r="W84" s="325"/>
      <c r="X84" s="325"/>
      <c r="Y84" s="325"/>
      <c r="Z84" s="325"/>
      <c r="AA84" s="325"/>
      <c r="AB84" s="325"/>
      <c r="AC84" s="325"/>
      <c r="AD84" s="325"/>
      <c r="AE84" s="325"/>
      <c r="AF84" s="325"/>
      <c r="AG84" s="325"/>
      <c r="AH84" s="325"/>
      <c r="AI84" s="391" t="s">
        <v>15626</v>
      </c>
      <c r="AJ84" s="838">
        <f>AJ82</f>
        <v>1</v>
      </c>
      <c r="AK84" s="839"/>
      <c r="AL84" s="325"/>
      <c r="AM84" s="325"/>
      <c r="AN84" s="325"/>
      <c r="AO84" s="325"/>
      <c r="AP84" s="325"/>
      <c r="AQ84" s="325"/>
      <c r="AR84" s="325"/>
      <c r="AS84" s="391"/>
      <c r="AT84" s="849"/>
      <c r="AU84" s="850"/>
      <c r="AV84" s="850"/>
      <c r="AW84" s="852"/>
      <c r="AX84" s="489">
        <f>ROUND(ROUND(Q80*AJ84,0)*AT86,0)</f>
        <v>74</v>
      </c>
      <c r="AY84" s="393"/>
    </row>
    <row r="85" spans="1:51" ht="16.5" customHeight="1" x14ac:dyDescent="0.15">
      <c r="A85" s="340">
        <v>12</v>
      </c>
      <c r="B85" s="341">
        <v>7379</v>
      </c>
      <c r="C85" s="390" t="s">
        <v>16378</v>
      </c>
      <c r="D85" s="403"/>
      <c r="E85" s="404"/>
      <c r="F85" s="404"/>
      <c r="G85" s="404"/>
      <c r="H85" s="406"/>
      <c r="Q85" s="395"/>
      <c r="R85" s="151"/>
      <c r="S85" s="151"/>
      <c r="U85" s="387"/>
      <c r="V85" s="343"/>
      <c r="W85" s="343"/>
      <c r="X85" s="343"/>
      <c r="Y85" s="343"/>
      <c r="Z85" s="343"/>
      <c r="AA85" s="343"/>
      <c r="AB85" s="343"/>
      <c r="AC85" s="343"/>
      <c r="AD85" s="343"/>
      <c r="AE85" s="343"/>
      <c r="AF85" s="343"/>
      <c r="AG85" s="343"/>
      <c r="AH85" s="343"/>
      <c r="AI85" s="343"/>
      <c r="AJ85" s="343"/>
      <c r="AK85" s="343"/>
      <c r="AL85" s="114" t="s">
        <v>15628</v>
      </c>
      <c r="AM85" s="396"/>
      <c r="AN85" s="396"/>
      <c r="AO85" s="396"/>
      <c r="AP85" s="396"/>
      <c r="AQ85" s="396"/>
      <c r="AR85" s="396"/>
      <c r="AS85" s="397"/>
      <c r="AT85" s="901" t="s">
        <v>15636</v>
      </c>
      <c r="AU85" s="902"/>
      <c r="AV85" s="902"/>
      <c r="AW85" s="903"/>
      <c r="AX85" s="489">
        <f>ROUND(ROUND(Q80*AR86,0)*AT86,0)</f>
        <v>62</v>
      </c>
      <c r="AY85" s="393"/>
    </row>
    <row r="86" spans="1:51" ht="16.5" customHeight="1" x14ac:dyDescent="0.15">
      <c r="A86" s="340">
        <v>12</v>
      </c>
      <c r="B86" s="341">
        <v>7380</v>
      </c>
      <c r="C86" s="390" t="s">
        <v>16379</v>
      </c>
      <c r="D86" s="419"/>
      <c r="E86" s="420"/>
      <c r="F86" s="420"/>
      <c r="G86" s="420"/>
      <c r="H86" s="422"/>
      <c r="I86" s="325"/>
      <c r="J86" s="325"/>
      <c r="K86" s="325"/>
      <c r="L86" s="325"/>
      <c r="M86" s="325"/>
      <c r="N86" s="325"/>
      <c r="O86" s="325"/>
      <c r="P86" s="325"/>
      <c r="Q86" s="416"/>
      <c r="R86" s="417"/>
      <c r="S86" s="417"/>
      <c r="T86" s="325"/>
      <c r="U86" s="388"/>
      <c r="V86" s="343" t="s">
        <v>15625</v>
      </c>
      <c r="W86" s="325"/>
      <c r="X86" s="325"/>
      <c r="Y86" s="325"/>
      <c r="Z86" s="325"/>
      <c r="AA86" s="325"/>
      <c r="AB86" s="325"/>
      <c r="AC86" s="325"/>
      <c r="AD86" s="325"/>
      <c r="AE86" s="325"/>
      <c r="AF86" s="325"/>
      <c r="AG86" s="325"/>
      <c r="AH86" s="325"/>
      <c r="AI86" s="391" t="s">
        <v>15626</v>
      </c>
      <c r="AJ86" s="838">
        <f>AJ84</f>
        <v>1</v>
      </c>
      <c r="AK86" s="843"/>
      <c r="AL86" s="324" t="s">
        <v>15630</v>
      </c>
      <c r="AM86" s="325"/>
      <c r="AN86" s="325"/>
      <c r="AO86" s="325"/>
      <c r="AP86" s="325"/>
      <c r="AQ86" s="190" t="s">
        <v>398</v>
      </c>
      <c r="AR86" s="844">
        <f>AR82</f>
        <v>0.85</v>
      </c>
      <c r="AS86" s="844"/>
      <c r="AT86" s="907">
        <f>AT78</f>
        <v>0.8</v>
      </c>
      <c r="AU86" s="844"/>
      <c r="AV86" s="844"/>
      <c r="AW86" s="845"/>
      <c r="AX86" s="491">
        <f>ROUND(ROUND(ROUND(Q80*AJ86,0)*AR86,0)*AT86,0)</f>
        <v>62</v>
      </c>
      <c r="AY86" s="418"/>
    </row>
    <row r="87" spans="1:51" ht="17.100000000000001" customHeight="1" x14ac:dyDescent="0.15">
      <c r="A87" s="340">
        <v>12</v>
      </c>
      <c r="B87" s="341">
        <v>7381</v>
      </c>
      <c r="C87" s="390" t="s">
        <v>16380</v>
      </c>
      <c r="D87" s="857" t="s">
        <v>15620</v>
      </c>
      <c r="E87" s="858"/>
      <c r="F87" s="858"/>
      <c r="G87" s="858"/>
      <c r="H87" s="860"/>
      <c r="I87" s="908" t="s">
        <v>16381</v>
      </c>
      <c r="J87" s="909"/>
      <c r="K87" s="909"/>
      <c r="L87" s="909"/>
      <c r="M87" s="909"/>
      <c r="N87" s="909"/>
      <c r="O87" s="909"/>
      <c r="P87" s="909"/>
      <c r="Q87" s="909"/>
      <c r="R87" s="909"/>
      <c r="S87" s="909"/>
      <c r="T87" s="909"/>
      <c r="U87" s="910"/>
      <c r="V87" s="343"/>
      <c r="W87" s="343"/>
      <c r="X87" s="343"/>
      <c r="Y87" s="343"/>
      <c r="Z87" s="343"/>
      <c r="AA87" s="343"/>
      <c r="AB87" s="343"/>
      <c r="AC87" s="343"/>
      <c r="AD87" s="343"/>
      <c r="AE87" s="343"/>
      <c r="AF87" s="343"/>
      <c r="AG87" s="343"/>
      <c r="AH87" s="343"/>
      <c r="AI87" s="343"/>
      <c r="AJ87" s="401"/>
      <c r="AK87" s="402"/>
      <c r="AL87" s="396"/>
      <c r="AM87" s="396"/>
      <c r="AN87" s="396"/>
      <c r="AO87" s="396"/>
      <c r="AP87" s="396"/>
      <c r="AQ87" s="396"/>
      <c r="AR87" s="396"/>
      <c r="AS87" s="396"/>
      <c r="AT87" s="496"/>
      <c r="AU87" s="400"/>
      <c r="AV87" s="396"/>
      <c r="AW87" s="397"/>
      <c r="AX87" s="489">
        <f>ROUND(Q88,0)</f>
        <v>99</v>
      </c>
      <c r="AY87" s="329" t="s">
        <v>15622</v>
      </c>
    </row>
    <row r="88" spans="1:51" ht="16.5" customHeight="1" x14ac:dyDescent="0.15">
      <c r="A88" s="340">
        <v>12</v>
      </c>
      <c r="B88" s="341">
        <v>7382</v>
      </c>
      <c r="C88" s="390" t="s">
        <v>16382</v>
      </c>
      <c r="D88" s="849"/>
      <c r="E88" s="850"/>
      <c r="F88" s="850"/>
      <c r="G88" s="850"/>
      <c r="H88" s="852"/>
      <c r="Q88" s="836">
        <f>ROUND(Q280*$F$93,0)</f>
        <v>99</v>
      </c>
      <c r="R88" s="837"/>
      <c r="S88" s="837"/>
      <c r="T88" s="152" t="s">
        <v>15624</v>
      </c>
      <c r="U88" s="387"/>
      <c r="V88" s="343" t="s">
        <v>15625</v>
      </c>
      <c r="W88" s="325"/>
      <c r="X88" s="325"/>
      <c r="Y88" s="325"/>
      <c r="Z88" s="325"/>
      <c r="AA88" s="325"/>
      <c r="AB88" s="325"/>
      <c r="AC88" s="325"/>
      <c r="AD88" s="325"/>
      <c r="AE88" s="325"/>
      <c r="AF88" s="325"/>
      <c r="AG88" s="325"/>
      <c r="AH88" s="325"/>
      <c r="AI88" s="391" t="s">
        <v>15626</v>
      </c>
      <c r="AJ88" s="838">
        <f>AJ86</f>
        <v>1</v>
      </c>
      <c r="AK88" s="839"/>
      <c r="AL88" s="325"/>
      <c r="AM88" s="325"/>
      <c r="AN88" s="325"/>
      <c r="AO88" s="325"/>
      <c r="AP88" s="325"/>
      <c r="AQ88" s="325"/>
      <c r="AR88" s="325"/>
      <c r="AS88" s="391"/>
      <c r="AT88" s="490"/>
      <c r="AW88" s="387"/>
      <c r="AX88" s="489">
        <f>ROUND(Q88*AJ88,0)</f>
        <v>99</v>
      </c>
      <c r="AY88" s="393"/>
    </row>
    <row r="89" spans="1:51" ht="16.5" customHeight="1" x14ac:dyDescent="0.15">
      <c r="A89" s="340">
        <v>12</v>
      </c>
      <c r="B89" s="341">
        <v>7383</v>
      </c>
      <c r="C89" s="390" t="s">
        <v>16383</v>
      </c>
      <c r="D89" s="849"/>
      <c r="E89" s="850"/>
      <c r="F89" s="850"/>
      <c r="G89" s="850"/>
      <c r="H89" s="852"/>
      <c r="Q89" s="395"/>
      <c r="R89" s="151"/>
      <c r="S89" s="151"/>
      <c r="U89" s="387"/>
      <c r="V89" s="343"/>
      <c r="W89" s="343"/>
      <c r="X89" s="343"/>
      <c r="Y89" s="343"/>
      <c r="Z89" s="343"/>
      <c r="AA89" s="343"/>
      <c r="AB89" s="343"/>
      <c r="AC89" s="343"/>
      <c r="AD89" s="343"/>
      <c r="AE89" s="343"/>
      <c r="AF89" s="343"/>
      <c r="AG89" s="343"/>
      <c r="AH89" s="343"/>
      <c r="AI89" s="343"/>
      <c r="AJ89" s="343"/>
      <c r="AK89" s="343"/>
      <c r="AL89" s="114" t="s">
        <v>15628</v>
      </c>
      <c r="AM89" s="396"/>
      <c r="AN89" s="396"/>
      <c r="AO89" s="396"/>
      <c r="AP89" s="396"/>
      <c r="AQ89" s="396"/>
      <c r="AR89" s="396"/>
      <c r="AS89" s="397"/>
      <c r="AT89" s="490"/>
      <c r="AW89" s="387"/>
      <c r="AX89" s="489">
        <f>ROUND(Q88*AR90,0)</f>
        <v>84</v>
      </c>
      <c r="AY89" s="393"/>
    </row>
    <row r="90" spans="1:51" ht="16.5" customHeight="1" x14ac:dyDescent="0.15">
      <c r="A90" s="340">
        <v>12</v>
      </c>
      <c r="B90" s="341">
        <v>7384</v>
      </c>
      <c r="C90" s="390" t="s">
        <v>16384</v>
      </c>
      <c r="D90" s="849"/>
      <c r="E90" s="850"/>
      <c r="F90" s="850"/>
      <c r="G90" s="850"/>
      <c r="H90" s="852"/>
      <c r="Q90" s="395"/>
      <c r="R90" s="151"/>
      <c r="S90" s="151"/>
      <c r="U90" s="387"/>
      <c r="V90" s="343" t="s">
        <v>15625</v>
      </c>
      <c r="W90" s="325"/>
      <c r="X90" s="325"/>
      <c r="Y90" s="325"/>
      <c r="Z90" s="325"/>
      <c r="AA90" s="325"/>
      <c r="AB90" s="325"/>
      <c r="AC90" s="325"/>
      <c r="AD90" s="325"/>
      <c r="AE90" s="325"/>
      <c r="AF90" s="325"/>
      <c r="AG90" s="325"/>
      <c r="AH90" s="325"/>
      <c r="AI90" s="391" t="s">
        <v>15626</v>
      </c>
      <c r="AJ90" s="838">
        <f>AJ88</f>
        <v>1</v>
      </c>
      <c r="AK90" s="843"/>
      <c r="AL90" s="324" t="s">
        <v>15630</v>
      </c>
      <c r="AM90" s="325"/>
      <c r="AN90" s="325"/>
      <c r="AO90" s="325"/>
      <c r="AP90" s="325"/>
      <c r="AQ90" s="190" t="s">
        <v>398</v>
      </c>
      <c r="AR90" s="844">
        <f>AR86</f>
        <v>0.85</v>
      </c>
      <c r="AS90" s="844"/>
      <c r="AT90" s="490"/>
      <c r="AW90" s="387"/>
      <c r="AX90" s="489">
        <f>ROUND(ROUND(Q88*AJ90,0)*AR90,0)</f>
        <v>84</v>
      </c>
      <c r="AY90" s="393"/>
    </row>
    <row r="91" spans="1:51" ht="17.100000000000001" customHeight="1" x14ac:dyDescent="0.15">
      <c r="A91" s="340">
        <v>12</v>
      </c>
      <c r="B91" s="341">
        <v>7385</v>
      </c>
      <c r="C91" s="390" t="s">
        <v>16385</v>
      </c>
      <c r="D91" s="832" t="s">
        <v>15632</v>
      </c>
      <c r="E91" s="833"/>
      <c r="F91" s="833"/>
      <c r="G91" s="833"/>
      <c r="H91" s="835"/>
      <c r="I91" s="10"/>
      <c r="L91" s="151"/>
      <c r="M91" s="151"/>
      <c r="N91" s="151"/>
      <c r="U91" s="387"/>
      <c r="V91" s="343"/>
      <c r="W91" s="343"/>
      <c r="X91" s="343"/>
      <c r="Y91" s="343"/>
      <c r="Z91" s="343"/>
      <c r="AA91" s="343"/>
      <c r="AB91" s="343"/>
      <c r="AC91" s="343"/>
      <c r="AD91" s="343"/>
      <c r="AE91" s="343"/>
      <c r="AF91" s="343"/>
      <c r="AG91" s="343"/>
      <c r="AH91" s="343"/>
      <c r="AI91" s="343"/>
      <c r="AJ91" s="401"/>
      <c r="AK91" s="402"/>
      <c r="AL91" s="396"/>
      <c r="AM91" s="396"/>
      <c r="AN91" s="396"/>
      <c r="AO91" s="396"/>
      <c r="AP91" s="396"/>
      <c r="AQ91" s="396"/>
      <c r="AR91" s="396"/>
      <c r="AS91" s="396"/>
      <c r="AT91" s="857" t="s">
        <v>16296</v>
      </c>
      <c r="AU91" s="858"/>
      <c r="AV91" s="858"/>
      <c r="AW91" s="860"/>
      <c r="AX91" s="489">
        <f>ROUND(Q88*AT94,0)</f>
        <v>79</v>
      </c>
      <c r="AY91" s="393"/>
    </row>
    <row r="92" spans="1:51" ht="16.5" customHeight="1" x14ac:dyDescent="0.15">
      <c r="A92" s="340">
        <v>12</v>
      </c>
      <c r="B92" s="341">
        <v>7386</v>
      </c>
      <c r="C92" s="390" t="s">
        <v>16386</v>
      </c>
      <c r="D92" s="832"/>
      <c r="E92" s="833"/>
      <c r="F92" s="833"/>
      <c r="G92" s="833"/>
      <c r="H92" s="835"/>
      <c r="Q92" s="899"/>
      <c r="R92" s="900"/>
      <c r="S92" s="900"/>
      <c r="U92" s="387"/>
      <c r="V92" s="343" t="s">
        <v>15625</v>
      </c>
      <c r="W92" s="325"/>
      <c r="X92" s="325"/>
      <c r="Y92" s="325"/>
      <c r="Z92" s="325"/>
      <c r="AA92" s="325"/>
      <c r="AB92" s="325"/>
      <c r="AC92" s="325"/>
      <c r="AD92" s="325"/>
      <c r="AE92" s="325"/>
      <c r="AF92" s="325"/>
      <c r="AG92" s="325"/>
      <c r="AH92" s="325"/>
      <c r="AI92" s="391" t="s">
        <v>15626</v>
      </c>
      <c r="AJ92" s="838">
        <f>AJ90</f>
        <v>1</v>
      </c>
      <c r="AK92" s="839"/>
      <c r="AL92" s="325"/>
      <c r="AM92" s="325"/>
      <c r="AN92" s="325"/>
      <c r="AO92" s="325"/>
      <c r="AP92" s="325"/>
      <c r="AQ92" s="325"/>
      <c r="AR92" s="325"/>
      <c r="AS92" s="391"/>
      <c r="AT92" s="849"/>
      <c r="AU92" s="850"/>
      <c r="AV92" s="850"/>
      <c r="AW92" s="852"/>
      <c r="AX92" s="489">
        <f>ROUND(ROUND(Q88*AJ92,0)*AT94,0)</f>
        <v>79</v>
      </c>
      <c r="AY92" s="393"/>
    </row>
    <row r="93" spans="1:51" ht="16.5" customHeight="1" x14ac:dyDescent="0.15">
      <c r="A93" s="340">
        <v>12</v>
      </c>
      <c r="B93" s="341">
        <v>7387</v>
      </c>
      <c r="C93" s="390" t="s">
        <v>16387</v>
      </c>
      <c r="D93" s="403"/>
      <c r="E93" s="404" t="s">
        <v>15636</v>
      </c>
      <c r="F93" s="840">
        <f>F13</f>
        <v>1.1499999999999999</v>
      </c>
      <c r="G93" s="841"/>
      <c r="H93" s="842"/>
      <c r="Q93" s="395"/>
      <c r="R93" s="151"/>
      <c r="S93" s="151"/>
      <c r="U93" s="387"/>
      <c r="V93" s="343"/>
      <c r="W93" s="343"/>
      <c r="X93" s="343"/>
      <c r="Y93" s="343"/>
      <c r="Z93" s="343"/>
      <c r="AA93" s="343"/>
      <c r="AB93" s="343"/>
      <c r="AC93" s="343"/>
      <c r="AD93" s="343"/>
      <c r="AE93" s="343"/>
      <c r="AF93" s="343"/>
      <c r="AG93" s="343"/>
      <c r="AH93" s="343"/>
      <c r="AI93" s="343"/>
      <c r="AJ93" s="343"/>
      <c r="AK93" s="343"/>
      <c r="AL93" s="114" t="s">
        <v>15628</v>
      </c>
      <c r="AM93" s="396"/>
      <c r="AN93" s="396"/>
      <c r="AO93" s="396"/>
      <c r="AP93" s="396"/>
      <c r="AQ93" s="396"/>
      <c r="AR93" s="396"/>
      <c r="AS93" s="397"/>
      <c r="AT93" s="901" t="s">
        <v>15636</v>
      </c>
      <c r="AU93" s="902"/>
      <c r="AV93" s="902"/>
      <c r="AW93" s="903"/>
      <c r="AX93" s="489">
        <f>ROUND(ROUND(Q88*AR94,0)*AT94,0)</f>
        <v>67</v>
      </c>
      <c r="AY93" s="393"/>
    </row>
    <row r="94" spans="1:51" ht="16.5" customHeight="1" x14ac:dyDescent="0.15">
      <c r="A94" s="340">
        <v>12</v>
      </c>
      <c r="B94" s="341">
        <v>7388</v>
      </c>
      <c r="C94" s="390" t="s">
        <v>16388</v>
      </c>
      <c r="D94" s="403"/>
      <c r="E94" s="404"/>
      <c r="F94" s="404"/>
      <c r="G94" s="404"/>
      <c r="H94" s="406"/>
      <c r="Q94" s="395"/>
      <c r="R94" s="151"/>
      <c r="S94" s="151"/>
      <c r="U94" s="387"/>
      <c r="V94" s="343" t="s">
        <v>15625</v>
      </c>
      <c r="W94" s="325"/>
      <c r="X94" s="325"/>
      <c r="Y94" s="325"/>
      <c r="Z94" s="325"/>
      <c r="AA94" s="325"/>
      <c r="AB94" s="325"/>
      <c r="AC94" s="325"/>
      <c r="AD94" s="325"/>
      <c r="AE94" s="325"/>
      <c r="AF94" s="325"/>
      <c r="AG94" s="325"/>
      <c r="AH94" s="325"/>
      <c r="AI94" s="391" t="s">
        <v>15626</v>
      </c>
      <c r="AJ94" s="838">
        <f>AJ92</f>
        <v>1</v>
      </c>
      <c r="AK94" s="843"/>
      <c r="AL94" s="324" t="s">
        <v>15630</v>
      </c>
      <c r="AM94" s="325"/>
      <c r="AN94" s="325"/>
      <c r="AO94" s="325"/>
      <c r="AP94" s="325"/>
      <c r="AQ94" s="190" t="s">
        <v>398</v>
      </c>
      <c r="AR94" s="844">
        <f>AR90</f>
        <v>0.85</v>
      </c>
      <c r="AS94" s="844"/>
      <c r="AT94" s="907">
        <f>AT86</f>
        <v>0.8</v>
      </c>
      <c r="AU94" s="844"/>
      <c r="AV94" s="844"/>
      <c r="AW94" s="845"/>
      <c r="AX94" s="489">
        <f>ROUND(ROUND(ROUND(Q88*AJ94,0)*AR94,0)*AT94,0)</f>
        <v>67</v>
      </c>
      <c r="AY94" s="393"/>
    </row>
    <row r="95" spans="1:51" ht="17.100000000000001" customHeight="1" x14ac:dyDescent="0.15">
      <c r="A95" s="340">
        <v>12</v>
      </c>
      <c r="B95" s="341">
        <v>7389</v>
      </c>
      <c r="C95" s="390" t="s">
        <v>16389</v>
      </c>
      <c r="D95" s="403"/>
      <c r="E95" s="404"/>
      <c r="F95" s="404"/>
      <c r="G95" s="404"/>
      <c r="H95" s="406"/>
      <c r="I95" s="908" t="s">
        <v>16390</v>
      </c>
      <c r="J95" s="909"/>
      <c r="K95" s="909"/>
      <c r="L95" s="909"/>
      <c r="M95" s="909"/>
      <c r="N95" s="909"/>
      <c r="O95" s="909"/>
      <c r="P95" s="909"/>
      <c r="Q95" s="909"/>
      <c r="R95" s="909"/>
      <c r="S95" s="909"/>
      <c r="T95" s="909"/>
      <c r="U95" s="910"/>
      <c r="V95" s="343"/>
      <c r="W95" s="343"/>
      <c r="X95" s="343"/>
      <c r="Y95" s="343"/>
      <c r="Z95" s="343"/>
      <c r="AA95" s="343"/>
      <c r="AB95" s="343"/>
      <c r="AC95" s="343"/>
      <c r="AD95" s="343"/>
      <c r="AE95" s="343"/>
      <c r="AF95" s="343"/>
      <c r="AG95" s="343"/>
      <c r="AH95" s="343"/>
      <c r="AI95" s="343"/>
      <c r="AJ95" s="401"/>
      <c r="AK95" s="402"/>
      <c r="AL95" s="396"/>
      <c r="AM95" s="396"/>
      <c r="AN95" s="396"/>
      <c r="AO95" s="396"/>
      <c r="AP95" s="396"/>
      <c r="AQ95" s="396"/>
      <c r="AR95" s="396"/>
      <c r="AS95" s="396"/>
      <c r="AT95" s="496"/>
      <c r="AU95" s="400"/>
      <c r="AV95" s="396"/>
      <c r="AW95" s="397"/>
      <c r="AX95" s="489">
        <f>ROUND(Q96,0)</f>
        <v>92</v>
      </c>
      <c r="AY95" s="393"/>
    </row>
    <row r="96" spans="1:51" ht="16.5" customHeight="1" x14ac:dyDescent="0.15">
      <c r="A96" s="340">
        <v>12</v>
      </c>
      <c r="B96" s="341">
        <v>7390</v>
      </c>
      <c r="C96" s="390" t="s">
        <v>16391</v>
      </c>
      <c r="D96" s="403"/>
      <c r="E96" s="404"/>
      <c r="F96" s="404"/>
      <c r="G96" s="404"/>
      <c r="H96" s="406"/>
      <c r="Q96" s="836">
        <f>ROUND(Q288*$F$93,0)</f>
        <v>92</v>
      </c>
      <c r="R96" s="837"/>
      <c r="S96" s="837"/>
      <c r="T96" s="152" t="s">
        <v>15624</v>
      </c>
      <c r="U96" s="387"/>
      <c r="V96" s="343" t="s">
        <v>15625</v>
      </c>
      <c r="W96" s="325"/>
      <c r="X96" s="325"/>
      <c r="Y96" s="325"/>
      <c r="Z96" s="325"/>
      <c r="AA96" s="325"/>
      <c r="AB96" s="325"/>
      <c r="AC96" s="325"/>
      <c r="AD96" s="325"/>
      <c r="AE96" s="325"/>
      <c r="AF96" s="325"/>
      <c r="AG96" s="325"/>
      <c r="AH96" s="325"/>
      <c r="AI96" s="391" t="s">
        <v>15626</v>
      </c>
      <c r="AJ96" s="838">
        <f>AJ94</f>
        <v>1</v>
      </c>
      <c r="AK96" s="839"/>
      <c r="AL96" s="325"/>
      <c r="AM96" s="325"/>
      <c r="AN96" s="325"/>
      <c r="AO96" s="325"/>
      <c r="AP96" s="325"/>
      <c r="AQ96" s="325"/>
      <c r="AR96" s="325"/>
      <c r="AS96" s="391"/>
      <c r="AT96" s="490"/>
      <c r="AW96" s="387"/>
      <c r="AX96" s="489">
        <f>ROUND(Q96*AJ96,0)</f>
        <v>92</v>
      </c>
      <c r="AY96" s="393"/>
    </row>
    <row r="97" spans="1:51" ht="16.5" customHeight="1" x14ac:dyDescent="0.15">
      <c r="A97" s="340">
        <v>12</v>
      </c>
      <c r="B97" s="341">
        <v>7391</v>
      </c>
      <c r="C97" s="390" t="s">
        <v>16392</v>
      </c>
      <c r="D97" s="408"/>
      <c r="E97" s="409"/>
      <c r="F97" s="409"/>
      <c r="G97" s="409"/>
      <c r="H97" s="411"/>
      <c r="Q97" s="395"/>
      <c r="R97" s="151"/>
      <c r="S97" s="151"/>
      <c r="U97" s="387"/>
      <c r="V97" s="343"/>
      <c r="W97" s="343"/>
      <c r="X97" s="343"/>
      <c r="Y97" s="343"/>
      <c r="Z97" s="343"/>
      <c r="AA97" s="343"/>
      <c r="AB97" s="343"/>
      <c r="AC97" s="343"/>
      <c r="AD97" s="343"/>
      <c r="AE97" s="343"/>
      <c r="AF97" s="343"/>
      <c r="AG97" s="343"/>
      <c r="AH97" s="343"/>
      <c r="AI97" s="343"/>
      <c r="AJ97" s="343"/>
      <c r="AK97" s="343"/>
      <c r="AL97" s="114" t="s">
        <v>15628</v>
      </c>
      <c r="AM97" s="396"/>
      <c r="AN97" s="396"/>
      <c r="AO97" s="396"/>
      <c r="AP97" s="396"/>
      <c r="AQ97" s="396"/>
      <c r="AR97" s="396"/>
      <c r="AS97" s="397"/>
      <c r="AT97" s="490"/>
      <c r="AW97" s="387"/>
      <c r="AX97" s="489">
        <f>ROUND(Q96*AR98,0)</f>
        <v>78</v>
      </c>
      <c r="AY97" s="393"/>
    </row>
    <row r="98" spans="1:51" ht="16.5" customHeight="1" x14ac:dyDescent="0.15">
      <c r="A98" s="340">
        <v>12</v>
      </c>
      <c r="B98" s="341">
        <v>7392</v>
      </c>
      <c r="C98" s="390" t="s">
        <v>16393</v>
      </c>
      <c r="D98" s="408"/>
      <c r="E98" s="409"/>
      <c r="F98" s="409"/>
      <c r="G98" s="409"/>
      <c r="H98" s="411"/>
      <c r="Q98" s="395"/>
      <c r="R98" s="151"/>
      <c r="S98" s="151"/>
      <c r="U98" s="387"/>
      <c r="V98" s="343" t="s">
        <v>15625</v>
      </c>
      <c r="W98" s="325"/>
      <c r="X98" s="325"/>
      <c r="Y98" s="325"/>
      <c r="Z98" s="325"/>
      <c r="AA98" s="325"/>
      <c r="AB98" s="325"/>
      <c r="AC98" s="325"/>
      <c r="AD98" s="325"/>
      <c r="AE98" s="325"/>
      <c r="AF98" s="325"/>
      <c r="AG98" s="325"/>
      <c r="AH98" s="325"/>
      <c r="AI98" s="391" t="s">
        <v>15626</v>
      </c>
      <c r="AJ98" s="838">
        <f>AJ96</f>
        <v>1</v>
      </c>
      <c r="AK98" s="843"/>
      <c r="AL98" s="324" t="s">
        <v>15630</v>
      </c>
      <c r="AM98" s="325"/>
      <c r="AN98" s="325"/>
      <c r="AO98" s="325"/>
      <c r="AP98" s="325"/>
      <c r="AQ98" s="190" t="s">
        <v>398</v>
      </c>
      <c r="AR98" s="844">
        <f>AR94</f>
        <v>0.85</v>
      </c>
      <c r="AS98" s="844"/>
      <c r="AT98" s="490"/>
      <c r="AW98" s="387"/>
      <c r="AX98" s="489">
        <f>ROUND(ROUND(Q96*AJ98,0)*AR98,0)</f>
        <v>78</v>
      </c>
      <c r="AY98" s="393"/>
    </row>
    <row r="99" spans="1:51" ht="17.100000000000001" customHeight="1" x14ac:dyDescent="0.15">
      <c r="A99" s="340">
        <v>12</v>
      </c>
      <c r="B99" s="341">
        <v>7393</v>
      </c>
      <c r="C99" s="390" t="s">
        <v>16394</v>
      </c>
      <c r="D99" s="403"/>
      <c r="E99" s="404"/>
      <c r="F99" s="404"/>
      <c r="G99" s="404"/>
      <c r="H99" s="406"/>
      <c r="I99" s="10"/>
      <c r="L99" s="151"/>
      <c r="M99" s="151"/>
      <c r="N99" s="151"/>
      <c r="U99" s="387"/>
      <c r="V99" s="343"/>
      <c r="W99" s="343"/>
      <c r="X99" s="343"/>
      <c r="Y99" s="343"/>
      <c r="Z99" s="343"/>
      <c r="AA99" s="343"/>
      <c r="AB99" s="343"/>
      <c r="AC99" s="343"/>
      <c r="AD99" s="343"/>
      <c r="AE99" s="343"/>
      <c r="AF99" s="343"/>
      <c r="AG99" s="343"/>
      <c r="AH99" s="343"/>
      <c r="AI99" s="343"/>
      <c r="AJ99" s="401"/>
      <c r="AK99" s="402"/>
      <c r="AL99" s="396"/>
      <c r="AM99" s="396"/>
      <c r="AN99" s="396"/>
      <c r="AO99" s="396"/>
      <c r="AP99" s="396"/>
      <c r="AQ99" s="396"/>
      <c r="AR99" s="396"/>
      <c r="AS99" s="396"/>
      <c r="AT99" s="857" t="s">
        <v>16296</v>
      </c>
      <c r="AU99" s="858"/>
      <c r="AV99" s="858"/>
      <c r="AW99" s="860"/>
      <c r="AX99" s="489">
        <f>ROUND(Q96*AT102,0)</f>
        <v>74</v>
      </c>
      <c r="AY99" s="393"/>
    </row>
    <row r="100" spans="1:51" ht="16.5" customHeight="1" x14ac:dyDescent="0.15">
      <c r="A100" s="340">
        <v>12</v>
      </c>
      <c r="B100" s="341">
        <v>7394</v>
      </c>
      <c r="C100" s="390" t="s">
        <v>16395</v>
      </c>
      <c r="D100" s="403"/>
      <c r="E100" s="404"/>
      <c r="F100" s="404"/>
      <c r="G100" s="404"/>
      <c r="H100" s="406"/>
      <c r="Q100" s="899"/>
      <c r="R100" s="900"/>
      <c r="S100" s="900"/>
      <c r="U100" s="387"/>
      <c r="V100" s="343" t="s">
        <v>15625</v>
      </c>
      <c r="W100" s="325"/>
      <c r="X100" s="325"/>
      <c r="Y100" s="325"/>
      <c r="Z100" s="325"/>
      <c r="AA100" s="325"/>
      <c r="AB100" s="325"/>
      <c r="AC100" s="325"/>
      <c r="AD100" s="325"/>
      <c r="AE100" s="325"/>
      <c r="AF100" s="325"/>
      <c r="AG100" s="325"/>
      <c r="AH100" s="325"/>
      <c r="AI100" s="391" t="s">
        <v>15626</v>
      </c>
      <c r="AJ100" s="838">
        <f>AJ98</f>
        <v>1</v>
      </c>
      <c r="AK100" s="839"/>
      <c r="AL100" s="325"/>
      <c r="AM100" s="325"/>
      <c r="AN100" s="325"/>
      <c r="AO100" s="325"/>
      <c r="AP100" s="325"/>
      <c r="AQ100" s="325"/>
      <c r="AR100" s="325"/>
      <c r="AS100" s="391"/>
      <c r="AT100" s="849"/>
      <c r="AU100" s="850"/>
      <c r="AV100" s="850"/>
      <c r="AW100" s="852"/>
      <c r="AX100" s="489">
        <f>ROUND(ROUND(Q96*AJ100,0)*AT102,0)</f>
        <v>74</v>
      </c>
      <c r="AY100" s="393"/>
    </row>
    <row r="101" spans="1:51" ht="16.5" customHeight="1" x14ac:dyDescent="0.15">
      <c r="A101" s="340">
        <v>12</v>
      </c>
      <c r="B101" s="341">
        <v>7395</v>
      </c>
      <c r="C101" s="390" t="s">
        <v>16396</v>
      </c>
      <c r="D101" s="408"/>
      <c r="E101" s="409"/>
      <c r="F101" s="409"/>
      <c r="G101" s="409"/>
      <c r="H101" s="411"/>
      <c r="Q101" s="395"/>
      <c r="R101" s="151"/>
      <c r="S101" s="151"/>
      <c r="U101" s="387"/>
      <c r="V101" s="343"/>
      <c r="W101" s="343"/>
      <c r="X101" s="343"/>
      <c r="Y101" s="343"/>
      <c r="Z101" s="343"/>
      <c r="AA101" s="343"/>
      <c r="AB101" s="343"/>
      <c r="AC101" s="343"/>
      <c r="AD101" s="343"/>
      <c r="AE101" s="343"/>
      <c r="AF101" s="343"/>
      <c r="AG101" s="343"/>
      <c r="AH101" s="343"/>
      <c r="AI101" s="343"/>
      <c r="AJ101" s="343"/>
      <c r="AK101" s="343"/>
      <c r="AL101" s="114" t="s">
        <v>15628</v>
      </c>
      <c r="AM101" s="396"/>
      <c r="AN101" s="396"/>
      <c r="AO101" s="396"/>
      <c r="AP101" s="396"/>
      <c r="AQ101" s="396"/>
      <c r="AR101" s="396"/>
      <c r="AS101" s="397"/>
      <c r="AT101" s="901" t="s">
        <v>15636</v>
      </c>
      <c r="AU101" s="902"/>
      <c r="AV101" s="902"/>
      <c r="AW101" s="903"/>
      <c r="AX101" s="489">
        <f>ROUND(ROUND(Q96*AR102,0)*AT102,0)</f>
        <v>62</v>
      </c>
      <c r="AY101" s="393"/>
    </row>
    <row r="102" spans="1:51" ht="16.5" customHeight="1" x14ac:dyDescent="0.15">
      <c r="A102" s="340">
        <v>12</v>
      </c>
      <c r="B102" s="341">
        <v>7396</v>
      </c>
      <c r="C102" s="390" t="s">
        <v>16397</v>
      </c>
      <c r="D102" s="412"/>
      <c r="E102" s="413"/>
      <c r="F102" s="413"/>
      <c r="G102" s="413"/>
      <c r="H102" s="415"/>
      <c r="I102" s="325"/>
      <c r="J102" s="325"/>
      <c r="K102" s="325"/>
      <c r="L102" s="325"/>
      <c r="M102" s="325"/>
      <c r="N102" s="325"/>
      <c r="O102" s="325"/>
      <c r="P102" s="325"/>
      <c r="Q102" s="416"/>
      <c r="R102" s="417"/>
      <c r="S102" s="417"/>
      <c r="T102" s="325"/>
      <c r="U102" s="388"/>
      <c r="V102" s="343" t="s">
        <v>15625</v>
      </c>
      <c r="W102" s="325"/>
      <c r="X102" s="325"/>
      <c r="Y102" s="325"/>
      <c r="Z102" s="325"/>
      <c r="AA102" s="325"/>
      <c r="AB102" s="325"/>
      <c r="AC102" s="325"/>
      <c r="AD102" s="325"/>
      <c r="AE102" s="325"/>
      <c r="AF102" s="325"/>
      <c r="AG102" s="325"/>
      <c r="AH102" s="325"/>
      <c r="AI102" s="391" t="s">
        <v>15626</v>
      </c>
      <c r="AJ102" s="838">
        <f>AJ100</f>
        <v>1</v>
      </c>
      <c r="AK102" s="843"/>
      <c r="AL102" s="324" t="s">
        <v>15630</v>
      </c>
      <c r="AM102" s="325"/>
      <c r="AN102" s="325"/>
      <c r="AO102" s="325"/>
      <c r="AP102" s="325"/>
      <c r="AQ102" s="190" t="s">
        <v>398</v>
      </c>
      <c r="AR102" s="844">
        <f>AR98</f>
        <v>0.85</v>
      </c>
      <c r="AS102" s="844"/>
      <c r="AT102" s="907">
        <f>AT94</f>
        <v>0.8</v>
      </c>
      <c r="AU102" s="844"/>
      <c r="AV102" s="844"/>
      <c r="AW102" s="845"/>
      <c r="AX102" s="491">
        <f>ROUND(ROUND(ROUND(Q96*AJ102,0)*AR102,0)*AT102,0)</f>
        <v>62</v>
      </c>
      <c r="AY102" s="418"/>
    </row>
    <row r="103" spans="1:51" ht="17.100000000000001" customHeight="1" x14ac:dyDescent="0.15">
      <c r="A103" s="340">
        <v>12</v>
      </c>
      <c r="B103" s="341">
        <v>7397</v>
      </c>
      <c r="C103" s="390" t="s">
        <v>16398</v>
      </c>
      <c r="D103" s="849" t="s">
        <v>15689</v>
      </c>
      <c r="E103" s="850"/>
      <c r="F103" s="850"/>
      <c r="G103" s="850"/>
      <c r="H103" s="852"/>
      <c r="I103" s="908" t="s">
        <v>15621</v>
      </c>
      <c r="J103" s="909"/>
      <c r="K103" s="909"/>
      <c r="L103" s="909"/>
      <c r="M103" s="909"/>
      <c r="N103" s="909"/>
      <c r="O103" s="909"/>
      <c r="P103" s="909"/>
      <c r="Q103" s="909"/>
      <c r="R103" s="909"/>
      <c r="S103" s="909"/>
      <c r="T103" s="909"/>
      <c r="U103" s="910"/>
      <c r="V103" s="343"/>
      <c r="W103" s="343"/>
      <c r="X103" s="343"/>
      <c r="Y103" s="343"/>
      <c r="Z103" s="343"/>
      <c r="AA103" s="343"/>
      <c r="AB103" s="343"/>
      <c r="AC103" s="343"/>
      <c r="AD103" s="343"/>
      <c r="AE103" s="343"/>
      <c r="AF103" s="343"/>
      <c r="AG103" s="343"/>
      <c r="AH103" s="343"/>
      <c r="AI103" s="343"/>
      <c r="AJ103" s="343"/>
      <c r="AK103" s="407"/>
      <c r="AL103" s="396"/>
      <c r="AM103" s="396"/>
      <c r="AN103" s="396"/>
      <c r="AO103" s="396"/>
      <c r="AP103" s="396"/>
      <c r="AQ103" s="396"/>
      <c r="AR103" s="396"/>
      <c r="AS103" s="396"/>
      <c r="AT103" s="496"/>
      <c r="AU103" s="400"/>
      <c r="AV103" s="396"/>
      <c r="AW103" s="397"/>
      <c r="AX103" s="489">
        <f>ROUND(Q104,0)</f>
        <v>201</v>
      </c>
      <c r="AY103" s="329" t="s">
        <v>15622</v>
      </c>
    </row>
    <row r="104" spans="1:51" ht="16.5" customHeight="1" x14ac:dyDescent="0.15">
      <c r="A104" s="340">
        <v>12</v>
      </c>
      <c r="B104" s="341">
        <v>7398</v>
      </c>
      <c r="C104" s="390" t="s">
        <v>16399</v>
      </c>
      <c r="D104" s="849"/>
      <c r="E104" s="850"/>
      <c r="F104" s="850"/>
      <c r="G104" s="850"/>
      <c r="H104" s="852"/>
      <c r="Q104" s="836">
        <f>ROUND(Q200*$F$109,0)</f>
        <v>201</v>
      </c>
      <c r="R104" s="837"/>
      <c r="S104" s="837"/>
      <c r="T104" s="152" t="s">
        <v>15624</v>
      </c>
      <c r="U104" s="387"/>
      <c r="V104" s="343" t="s">
        <v>15625</v>
      </c>
      <c r="W104" s="325"/>
      <c r="X104" s="325"/>
      <c r="Y104" s="325"/>
      <c r="Z104" s="325"/>
      <c r="AA104" s="325"/>
      <c r="AB104" s="325"/>
      <c r="AC104" s="325"/>
      <c r="AD104" s="325"/>
      <c r="AE104" s="325"/>
      <c r="AF104" s="325"/>
      <c r="AG104" s="325"/>
      <c r="AH104" s="325"/>
      <c r="AI104" s="391" t="s">
        <v>15626</v>
      </c>
      <c r="AJ104" s="838">
        <f>'2重度訪問'!AN104</f>
        <v>1</v>
      </c>
      <c r="AK104" s="839"/>
      <c r="AQ104" s="152"/>
      <c r="AR104" s="152"/>
      <c r="AS104" s="152"/>
      <c r="AT104" s="490"/>
      <c r="AW104" s="387"/>
      <c r="AX104" s="489">
        <f>ROUND(Q104*AJ104,0)</f>
        <v>201</v>
      </c>
      <c r="AY104" s="393"/>
    </row>
    <row r="105" spans="1:51" ht="16.5" customHeight="1" x14ac:dyDescent="0.15">
      <c r="A105" s="287">
        <v>12</v>
      </c>
      <c r="B105" s="287">
        <v>7399</v>
      </c>
      <c r="C105" s="394" t="s">
        <v>16400</v>
      </c>
      <c r="D105" s="849"/>
      <c r="E105" s="850"/>
      <c r="F105" s="850"/>
      <c r="G105" s="850"/>
      <c r="H105" s="852"/>
      <c r="Q105" s="395"/>
      <c r="R105" s="151"/>
      <c r="S105" s="151"/>
      <c r="U105" s="387"/>
      <c r="V105" s="343"/>
      <c r="W105" s="343"/>
      <c r="X105" s="343"/>
      <c r="Y105" s="343"/>
      <c r="Z105" s="343"/>
      <c r="AA105" s="343"/>
      <c r="AB105" s="343"/>
      <c r="AC105" s="343"/>
      <c r="AD105" s="343"/>
      <c r="AE105" s="343"/>
      <c r="AF105" s="343"/>
      <c r="AG105" s="343"/>
      <c r="AH105" s="343"/>
      <c r="AI105" s="343"/>
      <c r="AJ105" s="343"/>
      <c r="AK105" s="343"/>
      <c r="AL105" s="114" t="s">
        <v>15628</v>
      </c>
      <c r="AM105" s="396"/>
      <c r="AN105" s="396"/>
      <c r="AO105" s="396"/>
      <c r="AP105" s="396"/>
      <c r="AQ105" s="396"/>
      <c r="AR105" s="396"/>
      <c r="AS105" s="396"/>
      <c r="AT105" s="490"/>
      <c r="AW105" s="387"/>
      <c r="AX105" s="489">
        <f>ROUND(Q104*AR106,0)</f>
        <v>171</v>
      </c>
      <c r="AY105" s="393"/>
    </row>
    <row r="106" spans="1:51" ht="16.5" customHeight="1" x14ac:dyDescent="0.15">
      <c r="A106" s="287">
        <v>12</v>
      </c>
      <c r="B106" s="287">
        <v>7400</v>
      </c>
      <c r="C106" s="394" t="s">
        <v>16401</v>
      </c>
      <c r="D106" s="849"/>
      <c r="E106" s="850"/>
      <c r="F106" s="850"/>
      <c r="G106" s="850"/>
      <c r="H106" s="852"/>
      <c r="Q106" s="395"/>
      <c r="R106" s="151"/>
      <c r="S106" s="151"/>
      <c r="U106" s="387"/>
      <c r="V106" s="343" t="s">
        <v>15625</v>
      </c>
      <c r="W106" s="325"/>
      <c r="X106" s="325"/>
      <c r="Y106" s="325"/>
      <c r="Z106" s="325"/>
      <c r="AA106" s="325"/>
      <c r="AB106" s="325"/>
      <c r="AC106" s="325"/>
      <c r="AD106" s="325"/>
      <c r="AE106" s="325"/>
      <c r="AF106" s="325"/>
      <c r="AG106" s="325"/>
      <c r="AH106" s="325"/>
      <c r="AI106" s="391" t="s">
        <v>15626</v>
      </c>
      <c r="AJ106" s="838">
        <f>AJ104</f>
        <v>1</v>
      </c>
      <c r="AK106" s="843"/>
      <c r="AL106" s="324" t="s">
        <v>15630</v>
      </c>
      <c r="AM106" s="325"/>
      <c r="AN106" s="325"/>
      <c r="AO106" s="325"/>
      <c r="AP106" s="325"/>
      <c r="AQ106" s="190" t="s">
        <v>398</v>
      </c>
      <c r="AR106" s="844">
        <f>'2重度訪問'!AV106</f>
        <v>0.85</v>
      </c>
      <c r="AS106" s="844"/>
      <c r="AT106" s="490"/>
      <c r="AW106" s="387"/>
      <c r="AX106" s="489">
        <f>ROUND(ROUND(Q104*AJ106,0)*AR106,0)</f>
        <v>171</v>
      </c>
      <c r="AY106" s="393"/>
    </row>
    <row r="107" spans="1:51" ht="17.100000000000001" customHeight="1" x14ac:dyDescent="0.15">
      <c r="A107" s="340">
        <v>12</v>
      </c>
      <c r="B107" s="341">
        <v>7401</v>
      </c>
      <c r="C107" s="390" t="s">
        <v>16402</v>
      </c>
      <c r="D107" s="832" t="s">
        <v>15632</v>
      </c>
      <c r="E107" s="833"/>
      <c r="F107" s="833"/>
      <c r="G107" s="833"/>
      <c r="H107" s="835"/>
      <c r="L107" s="151"/>
      <c r="M107" s="151"/>
      <c r="N107" s="151"/>
      <c r="U107" s="387"/>
      <c r="V107" s="343"/>
      <c r="W107" s="343"/>
      <c r="X107" s="343"/>
      <c r="Y107" s="343"/>
      <c r="Z107" s="343"/>
      <c r="AA107" s="343"/>
      <c r="AB107" s="343"/>
      <c r="AC107" s="343"/>
      <c r="AD107" s="343"/>
      <c r="AE107" s="343"/>
      <c r="AF107" s="343"/>
      <c r="AG107" s="343"/>
      <c r="AH107" s="343"/>
      <c r="AI107" s="343"/>
      <c r="AJ107" s="343"/>
      <c r="AK107" s="407"/>
      <c r="AL107" s="396"/>
      <c r="AM107" s="396"/>
      <c r="AN107" s="396"/>
      <c r="AO107" s="396"/>
      <c r="AP107" s="396"/>
      <c r="AQ107" s="396"/>
      <c r="AR107" s="396"/>
      <c r="AS107" s="396"/>
      <c r="AT107" s="857" t="s">
        <v>16296</v>
      </c>
      <c r="AU107" s="858"/>
      <c r="AV107" s="858"/>
      <c r="AW107" s="860"/>
      <c r="AX107" s="489">
        <f>ROUND(Q104*AT110,0)</f>
        <v>161</v>
      </c>
      <c r="AY107" s="339"/>
    </row>
    <row r="108" spans="1:51" ht="16.5" customHeight="1" x14ac:dyDescent="0.15">
      <c r="A108" s="340">
        <v>12</v>
      </c>
      <c r="B108" s="341">
        <v>7402</v>
      </c>
      <c r="C108" s="390" t="s">
        <v>16403</v>
      </c>
      <c r="D108" s="832"/>
      <c r="E108" s="833"/>
      <c r="F108" s="833"/>
      <c r="G108" s="833"/>
      <c r="H108" s="835"/>
      <c r="Q108" s="899"/>
      <c r="R108" s="900"/>
      <c r="S108" s="900"/>
      <c r="U108" s="387"/>
      <c r="V108" s="343" t="s">
        <v>15625</v>
      </c>
      <c r="W108" s="325"/>
      <c r="X108" s="325"/>
      <c r="Y108" s="325"/>
      <c r="Z108" s="325"/>
      <c r="AA108" s="325"/>
      <c r="AB108" s="325"/>
      <c r="AC108" s="325"/>
      <c r="AD108" s="325"/>
      <c r="AE108" s="325"/>
      <c r="AF108" s="325"/>
      <c r="AG108" s="325"/>
      <c r="AH108" s="325"/>
      <c r="AI108" s="391" t="s">
        <v>15626</v>
      </c>
      <c r="AJ108" s="838">
        <f>AJ106</f>
        <v>1</v>
      </c>
      <c r="AK108" s="839"/>
      <c r="AQ108" s="152"/>
      <c r="AR108" s="152"/>
      <c r="AS108" s="152"/>
      <c r="AT108" s="849"/>
      <c r="AU108" s="850"/>
      <c r="AV108" s="850"/>
      <c r="AW108" s="852"/>
      <c r="AX108" s="489">
        <f>ROUND(ROUND(Q104*AJ108,0)*AT110,0)</f>
        <v>161</v>
      </c>
      <c r="AY108" s="393"/>
    </row>
    <row r="109" spans="1:51" ht="16.5" customHeight="1" x14ac:dyDescent="0.15">
      <c r="A109" s="287">
        <v>12</v>
      </c>
      <c r="B109" s="287">
        <v>7403</v>
      </c>
      <c r="C109" s="394" t="s">
        <v>16404</v>
      </c>
      <c r="D109" s="403"/>
      <c r="E109" s="404" t="s">
        <v>15636</v>
      </c>
      <c r="F109" s="854">
        <v>1.085</v>
      </c>
      <c r="G109" s="855"/>
      <c r="H109" s="856"/>
      <c r="Q109" s="395"/>
      <c r="R109" s="151"/>
      <c r="S109" s="151"/>
      <c r="U109" s="387"/>
      <c r="V109" s="343"/>
      <c r="W109" s="343"/>
      <c r="X109" s="343"/>
      <c r="Y109" s="343"/>
      <c r="Z109" s="343"/>
      <c r="AA109" s="343"/>
      <c r="AB109" s="343"/>
      <c r="AC109" s="343"/>
      <c r="AD109" s="343"/>
      <c r="AE109" s="343"/>
      <c r="AF109" s="343"/>
      <c r="AG109" s="343"/>
      <c r="AH109" s="343"/>
      <c r="AI109" s="343"/>
      <c r="AJ109" s="343"/>
      <c r="AK109" s="343"/>
      <c r="AL109" s="114" t="s">
        <v>15628</v>
      </c>
      <c r="AM109" s="396"/>
      <c r="AN109" s="396"/>
      <c r="AO109" s="396"/>
      <c r="AP109" s="396"/>
      <c r="AQ109" s="396"/>
      <c r="AR109" s="396"/>
      <c r="AS109" s="396"/>
      <c r="AT109" s="901" t="s">
        <v>15636</v>
      </c>
      <c r="AU109" s="902"/>
      <c r="AV109" s="902"/>
      <c r="AW109" s="903"/>
      <c r="AX109" s="489">
        <f>ROUND(ROUND(Q104*AR110,0)*AT110,0)</f>
        <v>137</v>
      </c>
      <c r="AY109" s="393"/>
    </row>
    <row r="110" spans="1:51" ht="16.5" customHeight="1" x14ac:dyDescent="0.15">
      <c r="A110" s="287">
        <v>12</v>
      </c>
      <c r="B110" s="287">
        <v>7404</v>
      </c>
      <c r="C110" s="394" t="s">
        <v>16405</v>
      </c>
      <c r="D110" s="403"/>
      <c r="E110" s="404"/>
      <c r="F110" s="404"/>
      <c r="G110" s="404"/>
      <c r="H110" s="406"/>
      <c r="Q110" s="395"/>
      <c r="R110" s="151"/>
      <c r="S110" s="151"/>
      <c r="U110" s="387"/>
      <c r="V110" s="343" t="s">
        <v>15625</v>
      </c>
      <c r="W110" s="325"/>
      <c r="X110" s="325"/>
      <c r="Y110" s="325"/>
      <c r="Z110" s="325"/>
      <c r="AA110" s="325"/>
      <c r="AB110" s="325"/>
      <c r="AC110" s="325"/>
      <c r="AD110" s="325"/>
      <c r="AE110" s="325"/>
      <c r="AF110" s="325"/>
      <c r="AG110" s="325"/>
      <c r="AH110" s="325"/>
      <c r="AI110" s="391" t="s">
        <v>15626</v>
      </c>
      <c r="AJ110" s="838">
        <f>AJ108</f>
        <v>1</v>
      </c>
      <c r="AK110" s="843"/>
      <c r="AL110" s="324" t="s">
        <v>15630</v>
      </c>
      <c r="AM110" s="325"/>
      <c r="AN110" s="325"/>
      <c r="AO110" s="325"/>
      <c r="AP110" s="325"/>
      <c r="AQ110" s="190" t="s">
        <v>398</v>
      </c>
      <c r="AR110" s="844">
        <f>AR106</f>
        <v>0.85</v>
      </c>
      <c r="AS110" s="844"/>
      <c r="AT110" s="907">
        <f>AT102</f>
        <v>0.8</v>
      </c>
      <c r="AU110" s="844"/>
      <c r="AV110" s="844"/>
      <c r="AW110" s="845"/>
      <c r="AX110" s="489">
        <f>ROUND(ROUND(ROUND(Q104*AJ110,0)*AR110,0)*AT110,0)</f>
        <v>137</v>
      </c>
      <c r="AY110" s="393"/>
    </row>
    <row r="111" spans="1:51" ht="16.5" customHeight="1" x14ac:dyDescent="0.15">
      <c r="A111" s="340">
        <v>12</v>
      </c>
      <c r="B111" s="341">
        <v>7405</v>
      </c>
      <c r="C111" s="390" t="s">
        <v>16406</v>
      </c>
      <c r="D111" s="494"/>
      <c r="E111" s="151"/>
      <c r="F111" s="151"/>
      <c r="G111" s="151"/>
      <c r="H111" s="495"/>
      <c r="I111" s="908" t="s">
        <v>15633</v>
      </c>
      <c r="J111" s="909"/>
      <c r="K111" s="909"/>
      <c r="L111" s="909"/>
      <c r="M111" s="909"/>
      <c r="N111" s="909"/>
      <c r="O111" s="909"/>
      <c r="P111" s="909"/>
      <c r="Q111" s="909"/>
      <c r="R111" s="909"/>
      <c r="S111" s="909"/>
      <c r="T111" s="909"/>
      <c r="U111" s="910"/>
      <c r="V111" s="343"/>
      <c r="W111" s="325"/>
      <c r="X111" s="325"/>
      <c r="Y111" s="325"/>
      <c r="Z111" s="325"/>
      <c r="AA111" s="325"/>
      <c r="AB111" s="325"/>
      <c r="AC111" s="325"/>
      <c r="AD111" s="325"/>
      <c r="AE111" s="325"/>
      <c r="AF111" s="325"/>
      <c r="AG111" s="325"/>
      <c r="AH111" s="325"/>
      <c r="AI111" s="391"/>
      <c r="AJ111" s="401"/>
      <c r="AK111" s="402"/>
      <c r="AQ111" s="152"/>
      <c r="AR111" s="152"/>
      <c r="AS111" s="152"/>
      <c r="AT111" s="496"/>
      <c r="AU111" s="400"/>
      <c r="AV111" s="396"/>
      <c r="AW111" s="397"/>
      <c r="AX111" s="489">
        <f>ROUND(Q112,0)</f>
        <v>98</v>
      </c>
      <c r="AY111" s="393"/>
    </row>
    <row r="112" spans="1:51" ht="16.5" customHeight="1" x14ac:dyDescent="0.15">
      <c r="A112" s="340">
        <v>12</v>
      </c>
      <c r="B112" s="341">
        <v>7406</v>
      </c>
      <c r="C112" s="390" t="s">
        <v>16407</v>
      </c>
      <c r="D112" s="494"/>
      <c r="E112" s="151"/>
      <c r="F112" s="151"/>
      <c r="G112" s="151"/>
      <c r="H112" s="495"/>
      <c r="Q112" s="836">
        <f>ROUND(Q208*$F$109,0)</f>
        <v>98</v>
      </c>
      <c r="R112" s="837"/>
      <c r="S112" s="837"/>
      <c r="T112" s="152" t="s">
        <v>15624</v>
      </c>
      <c r="U112" s="387"/>
      <c r="V112" s="343" t="s">
        <v>15625</v>
      </c>
      <c r="W112" s="325"/>
      <c r="X112" s="325"/>
      <c r="Y112" s="325"/>
      <c r="Z112" s="325"/>
      <c r="AA112" s="325"/>
      <c r="AB112" s="325"/>
      <c r="AC112" s="325"/>
      <c r="AD112" s="325"/>
      <c r="AE112" s="325"/>
      <c r="AF112" s="325"/>
      <c r="AG112" s="325"/>
      <c r="AH112" s="325"/>
      <c r="AI112" s="391" t="s">
        <v>15626</v>
      </c>
      <c r="AJ112" s="838">
        <f>AJ110</f>
        <v>1</v>
      </c>
      <c r="AK112" s="839"/>
      <c r="AQ112" s="152"/>
      <c r="AR112" s="152"/>
      <c r="AS112" s="152"/>
      <c r="AT112" s="490"/>
      <c r="AW112" s="387"/>
      <c r="AX112" s="489">
        <f>ROUND(Q112*AJ112,0)</f>
        <v>98</v>
      </c>
      <c r="AY112" s="393"/>
    </row>
    <row r="113" spans="1:51" ht="16.5" customHeight="1" x14ac:dyDescent="0.15">
      <c r="A113" s="287">
        <v>12</v>
      </c>
      <c r="B113" s="287">
        <v>7407</v>
      </c>
      <c r="C113" s="394" t="s">
        <v>16408</v>
      </c>
      <c r="D113" s="494"/>
      <c r="E113" s="151"/>
      <c r="F113" s="151"/>
      <c r="G113" s="151"/>
      <c r="H113" s="495"/>
      <c r="Q113" s="395"/>
      <c r="R113" s="151"/>
      <c r="S113" s="151"/>
      <c r="U113" s="387"/>
      <c r="V113" s="343"/>
      <c r="W113" s="343"/>
      <c r="X113" s="343"/>
      <c r="Y113" s="343"/>
      <c r="Z113" s="343"/>
      <c r="AA113" s="343"/>
      <c r="AB113" s="343"/>
      <c r="AC113" s="343"/>
      <c r="AD113" s="343"/>
      <c r="AE113" s="343"/>
      <c r="AF113" s="343"/>
      <c r="AG113" s="343"/>
      <c r="AH113" s="343"/>
      <c r="AI113" s="343"/>
      <c r="AJ113" s="343"/>
      <c r="AK113" s="343"/>
      <c r="AL113" s="114" t="s">
        <v>15628</v>
      </c>
      <c r="AM113" s="396"/>
      <c r="AN113" s="396"/>
      <c r="AO113" s="396"/>
      <c r="AP113" s="396"/>
      <c r="AQ113" s="396"/>
      <c r="AR113" s="396"/>
      <c r="AS113" s="397"/>
      <c r="AT113" s="490"/>
      <c r="AW113" s="387"/>
      <c r="AX113" s="489">
        <f>ROUND(Q112*AR114,0)</f>
        <v>83</v>
      </c>
      <c r="AY113" s="393"/>
    </row>
    <row r="114" spans="1:51" ht="16.5" customHeight="1" x14ac:dyDescent="0.15">
      <c r="A114" s="287">
        <v>12</v>
      </c>
      <c r="B114" s="287">
        <v>7408</v>
      </c>
      <c r="C114" s="394" t="s">
        <v>16409</v>
      </c>
      <c r="D114" s="403"/>
      <c r="E114" s="404"/>
      <c r="F114" s="404"/>
      <c r="G114" s="404"/>
      <c r="H114" s="406"/>
      <c r="Q114" s="395"/>
      <c r="R114" s="151"/>
      <c r="S114" s="151"/>
      <c r="U114" s="387"/>
      <c r="V114" s="343" t="s">
        <v>15625</v>
      </c>
      <c r="W114" s="325"/>
      <c r="X114" s="325"/>
      <c r="Y114" s="325"/>
      <c r="Z114" s="325"/>
      <c r="AA114" s="325"/>
      <c r="AB114" s="325"/>
      <c r="AC114" s="325"/>
      <c r="AD114" s="325"/>
      <c r="AE114" s="325"/>
      <c r="AF114" s="325"/>
      <c r="AG114" s="325"/>
      <c r="AH114" s="325"/>
      <c r="AI114" s="391" t="s">
        <v>15626</v>
      </c>
      <c r="AJ114" s="838">
        <f>AJ112</f>
        <v>1</v>
      </c>
      <c r="AK114" s="843"/>
      <c r="AL114" s="324" t="s">
        <v>15630</v>
      </c>
      <c r="AM114" s="325"/>
      <c r="AN114" s="325"/>
      <c r="AO114" s="325"/>
      <c r="AP114" s="325"/>
      <c r="AQ114" s="190" t="s">
        <v>398</v>
      </c>
      <c r="AR114" s="844">
        <f>AR110</f>
        <v>0.85</v>
      </c>
      <c r="AS114" s="844"/>
      <c r="AT114" s="490"/>
      <c r="AW114" s="387"/>
      <c r="AX114" s="489">
        <f>ROUND(ROUND(Q112*AJ114,0)*AR114,0)</f>
        <v>83</v>
      </c>
      <c r="AY114" s="393"/>
    </row>
    <row r="115" spans="1:51" ht="16.5" customHeight="1" x14ac:dyDescent="0.15">
      <c r="A115" s="340">
        <v>12</v>
      </c>
      <c r="B115" s="341">
        <v>7409</v>
      </c>
      <c r="C115" s="390" t="s">
        <v>16410</v>
      </c>
      <c r="D115" s="494"/>
      <c r="E115" s="151"/>
      <c r="F115" s="151"/>
      <c r="G115" s="151"/>
      <c r="H115" s="495"/>
      <c r="I115" s="254"/>
      <c r="Q115" s="395"/>
      <c r="R115" s="151"/>
      <c r="S115" s="151"/>
      <c r="U115" s="387"/>
      <c r="V115" s="343"/>
      <c r="W115" s="325"/>
      <c r="X115" s="325"/>
      <c r="Y115" s="325"/>
      <c r="Z115" s="325"/>
      <c r="AA115" s="325"/>
      <c r="AB115" s="325"/>
      <c r="AC115" s="325"/>
      <c r="AD115" s="325"/>
      <c r="AE115" s="325"/>
      <c r="AF115" s="325"/>
      <c r="AG115" s="325"/>
      <c r="AH115" s="325"/>
      <c r="AI115" s="391"/>
      <c r="AJ115" s="401"/>
      <c r="AK115" s="402"/>
      <c r="AQ115" s="152"/>
      <c r="AR115" s="152"/>
      <c r="AS115" s="152"/>
      <c r="AT115" s="857" t="s">
        <v>16296</v>
      </c>
      <c r="AU115" s="858"/>
      <c r="AV115" s="858"/>
      <c r="AW115" s="860"/>
      <c r="AX115" s="489">
        <f>ROUND(Q112*AT118,0)</f>
        <v>78</v>
      </c>
      <c r="AY115" s="393"/>
    </row>
    <row r="116" spans="1:51" ht="16.5" customHeight="1" x14ac:dyDescent="0.15">
      <c r="A116" s="340">
        <v>12</v>
      </c>
      <c r="B116" s="341">
        <v>7410</v>
      </c>
      <c r="C116" s="390" t="s">
        <v>16411</v>
      </c>
      <c r="D116" s="494"/>
      <c r="E116" s="151"/>
      <c r="F116" s="151"/>
      <c r="G116" s="151"/>
      <c r="H116" s="495"/>
      <c r="Q116" s="899"/>
      <c r="R116" s="900"/>
      <c r="S116" s="900"/>
      <c r="U116" s="387"/>
      <c r="V116" s="343" t="s">
        <v>15625</v>
      </c>
      <c r="W116" s="325"/>
      <c r="X116" s="325"/>
      <c r="Y116" s="325"/>
      <c r="Z116" s="325"/>
      <c r="AA116" s="325"/>
      <c r="AB116" s="325"/>
      <c r="AC116" s="325"/>
      <c r="AD116" s="325"/>
      <c r="AE116" s="325"/>
      <c r="AF116" s="325"/>
      <c r="AG116" s="325"/>
      <c r="AH116" s="325"/>
      <c r="AI116" s="391" t="s">
        <v>15626</v>
      </c>
      <c r="AJ116" s="838">
        <f>AJ114</f>
        <v>1</v>
      </c>
      <c r="AK116" s="839"/>
      <c r="AQ116" s="152"/>
      <c r="AR116" s="152"/>
      <c r="AS116" s="152"/>
      <c r="AT116" s="849"/>
      <c r="AU116" s="850"/>
      <c r="AV116" s="850"/>
      <c r="AW116" s="852"/>
      <c r="AX116" s="489">
        <f>ROUND(ROUND(Q112*AJ116,0)*AT118,0)</f>
        <v>78</v>
      </c>
      <c r="AY116" s="393"/>
    </row>
    <row r="117" spans="1:51" ht="16.5" customHeight="1" x14ac:dyDescent="0.15">
      <c r="A117" s="287">
        <v>12</v>
      </c>
      <c r="B117" s="287">
        <v>7411</v>
      </c>
      <c r="C117" s="394" t="s">
        <v>16412</v>
      </c>
      <c r="D117" s="494"/>
      <c r="E117" s="151"/>
      <c r="F117" s="151"/>
      <c r="G117" s="151"/>
      <c r="H117" s="495"/>
      <c r="Q117" s="395"/>
      <c r="R117" s="151"/>
      <c r="S117" s="151"/>
      <c r="U117" s="387"/>
      <c r="V117" s="343"/>
      <c r="W117" s="343"/>
      <c r="X117" s="343"/>
      <c r="Y117" s="343"/>
      <c r="Z117" s="343"/>
      <c r="AA117" s="343"/>
      <c r="AB117" s="343"/>
      <c r="AC117" s="343"/>
      <c r="AD117" s="343"/>
      <c r="AE117" s="343"/>
      <c r="AF117" s="343"/>
      <c r="AG117" s="343"/>
      <c r="AH117" s="343"/>
      <c r="AI117" s="343"/>
      <c r="AJ117" s="343"/>
      <c r="AK117" s="343"/>
      <c r="AL117" s="114" t="s">
        <v>15628</v>
      </c>
      <c r="AM117" s="396"/>
      <c r="AN117" s="396"/>
      <c r="AO117" s="396"/>
      <c r="AP117" s="396"/>
      <c r="AQ117" s="396"/>
      <c r="AR117" s="396"/>
      <c r="AS117" s="397"/>
      <c r="AT117" s="901" t="s">
        <v>15636</v>
      </c>
      <c r="AU117" s="902"/>
      <c r="AV117" s="902"/>
      <c r="AW117" s="903"/>
      <c r="AX117" s="489">
        <f>ROUND(ROUND(Q112*AR118,0)*AT118,0)</f>
        <v>66</v>
      </c>
      <c r="AY117" s="393"/>
    </row>
    <row r="118" spans="1:51" ht="16.5" customHeight="1" x14ac:dyDescent="0.15">
      <c r="A118" s="287">
        <v>12</v>
      </c>
      <c r="B118" s="287">
        <v>7412</v>
      </c>
      <c r="C118" s="394" t="s">
        <v>16413</v>
      </c>
      <c r="D118" s="403"/>
      <c r="E118" s="404"/>
      <c r="F118" s="404"/>
      <c r="G118" s="404"/>
      <c r="H118" s="406"/>
      <c r="Q118" s="395"/>
      <c r="R118" s="151"/>
      <c r="S118" s="151"/>
      <c r="U118" s="387"/>
      <c r="V118" s="343" t="s">
        <v>15625</v>
      </c>
      <c r="W118" s="325"/>
      <c r="X118" s="325"/>
      <c r="Y118" s="325"/>
      <c r="Z118" s="325"/>
      <c r="AA118" s="325"/>
      <c r="AB118" s="325"/>
      <c r="AC118" s="325"/>
      <c r="AD118" s="325"/>
      <c r="AE118" s="325"/>
      <c r="AF118" s="325"/>
      <c r="AG118" s="325"/>
      <c r="AH118" s="325"/>
      <c r="AI118" s="391" t="s">
        <v>15626</v>
      </c>
      <c r="AJ118" s="838">
        <f>AJ116</f>
        <v>1</v>
      </c>
      <c r="AK118" s="843"/>
      <c r="AL118" s="324" t="s">
        <v>15630</v>
      </c>
      <c r="AM118" s="325"/>
      <c r="AN118" s="325"/>
      <c r="AO118" s="325"/>
      <c r="AP118" s="325"/>
      <c r="AQ118" s="190" t="s">
        <v>398</v>
      </c>
      <c r="AR118" s="844">
        <f>AR114</f>
        <v>0.85</v>
      </c>
      <c r="AS118" s="844"/>
      <c r="AT118" s="907">
        <f>AT110</f>
        <v>0.8</v>
      </c>
      <c r="AU118" s="844"/>
      <c r="AV118" s="844"/>
      <c r="AW118" s="845"/>
      <c r="AX118" s="489">
        <f>ROUND(ROUND(ROUND(Q112*AJ118,0)*AR118,0)*AT118,0)</f>
        <v>66</v>
      </c>
      <c r="AY118" s="393"/>
    </row>
    <row r="119" spans="1:51" ht="16.5" customHeight="1" x14ac:dyDescent="0.15">
      <c r="A119" s="340">
        <v>12</v>
      </c>
      <c r="B119" s="341">
        <v>7413</v>
      </c>
      <c r="C119" s="390" t="s">
        <v>16414</v>
      </c>
      <c r="D119" s="403"/>
      <c r="E119" s="404"/>
      <c r="F119" s="404"/>
      <c r="G119" s="404"/>
      <c r="H119" s="406"/>
      <c r="I119" s="908" t="s">
        <v>16309</v>
      </c>
      <c r="J119" s="909"/>
      <c r="K119" s="909"/>
      <c r="L119" s="909"/>
      <c r="M119" s="909"/>
      <c r="N119" s="909"/>
      <c r="O119" s="909"/>
      <c r="P119" s="909"/>
      <c r="Q119" s="909"/>
      <c r="R119" s="909"/>
      <c r="S119" s="909"/>
      <c r="T119" s="909"/>
      <c r="U119" s="910"/>
      <c r="V119" s="343"/>
      <c r="W119" s="325"/>
      <c r="X119" s="325"/>
      <c r="Y119" s="325"/>
      <c r="Z119" s="325"/>
      <c r="AA119" s="325"/>
      <c r="AB119" s="325"/>
      <c r="AC119" s="325"/>
      <c r="AD119" s="325"/>
      <c r="AE119" s="325"/>
      <c r="AF119" s="325"/>
      <c r="AG119" s="325"/>
      <c r="AH119" s="325"/>
      <c r="AI119" s="391"/>
      <c r="AJ119" s="401"/>
      <c r="AK119" s="402"/>
      <c r="AL119" s="396"/>
      <c r="AM119" s="396"/>
      <c r="AN119" s="396"/>
      <c r="AO119" s="396"/>
      <c r="AP119" s="396"/>
      <c r="AQ119" s="396"/>
      <c r="AR119" s="396"/>
      <c r="AS119" s="396"/>
      <c r="AT119" s="496"/>
      <c r="AU119" s="400"/>
      <c r="AV119" s="396"/>
      <c r="AW119" s="397"/>
      <c r="AX119" s="489">
        <f>ROUND(Q120,0)</f>
        <v>100</v>
      </c>
      <c r="AY119" s="393"/>
    </row>
    <row r="120" spans="1:51" ht="16.5" customHeight="1" x14ac:dyDescent="0.15">
      <c r="A120" s="340">
        <v>12</v>
      </c>
      <c r="B120" s="341">
        <v>7414</v>
      </c>
      <c r="C120" s="390" t="s">
        <v>16415</v>
      </c>
      <c r="D120" s="403"/>
      <c r="E120" s="404"/>
      <c r="F120" s="404"/>
      <c r="G120" s="404"/>
      <c r="H120" s="406"/>
      <c r="Q120" s="836">
        <f>ROUND(Q216*$F$109,0)</f>
        <v>100</v>
      </c>
      <c r="R120" s="837"/>
      <c r="S120" s="837"/>
      <c r="T120" s="152" t="s">
        <v>15624</v>
      </c>
      <c r="U120" s="387"/>
      <c r="V120" s="343" t="s">
        <v>15625</v>
      </c>
      <c r="W120" s="325"/>
      <c r="X120" s="325"/>
      <c r="Y120" s="325"/>
      <c r="Z120" s="325"/>
      <c r="AA120" s="325"/>
      <c r="AB120" s="325"/>
      <c r="AC120" s="325"/>
      <c r="AD120" s="325"/>
      <c r="AE120" s="325"/>
      <c r="AF120" s="325"/>
      <c r="AG120" s="325"/>
      <c r="AH120" s="325"/>
      <c r="AI120" s="391" t="s">
        <v>15626</v>
      </c>
      <c r="AJ120" s="838">
        <f>AJ118</f>
        <v>1</v>
      </c>
      <c r="AK120" s="839"/>
      <c r="AL120" s="325"/>
      <c r="AM120" s="325"/>
      <c r="AN120" s="325"/>
      <c r="AO120" s="325"/>
      <c r="AP120" s="325"/>
      <c r="AQ120" s="325"/>
      <c r="AR120" s="325"/>
      <c r="AS120" s="325"/>
      <c r="AT120" s="490"/>
      <c r="AW120" s="387"/>
      <c r="AX120" s="489">
        <f>ROUND(Q120*AJ120,0)</f>
        <v>100</v>
      </c>
      <c r="AY120" s="393"/>
    </row>
    <row r="121" spans="1:51" ht="16.5" customHeight="1" x14ac:dyDescent="0.15">
      <c r="A121" s="287">
        <v>12</v>
      </c>
      <c r="B121" s="287">
        <v>7415</v>
      </c>
      <c r="C121" s="394" t="s">
        <v>16416</v>
      </c>
      <c r="D121" s="403"/>
      <c r="E121" s="404"/>
      <c r="F121" s="404"/>
      <c r="G121" s="404"/>
      <c r="H121" s="406"/>
      <c r="Q121" s="395"/>
      <c r="R121" s="151"/>
      <c r="S121" s="151"/>
      <c r="U121" s="387"/>
      <c r="V121" s="343"/>
      <c r="W121" s="343"/>
      <c r="X121" s="343"/>
      <c r="Y121" s="343"/>
      <c r="Z121" s="343"/>
      <c r="AA121" s="343"/>
      <c r="AB121" s="343"/>
      <c r="AC121" s="343"/>
      <c r="AD121" s="343"/>
      <c r="AE121" s="343"/>
      <c r="AF121" s="343"/>
      <c r="AG121" s="343"/>
      <c r="AH121" s="343"/>
      <c r="AI121" s="343"/>
      <c r="AJ121" s="343"/>
      <c r="AK121" s="343"/>
      <c r="AL121" s="114" t="s">
        <v>15628</v>
      </c>
      <c r="AM121" s="396"/>
      <c r="AN121" s="396"/>
      <c r="AO121" s="396"/>
      <c r="AP121" s="396"/>
      <c r="AQ121" s="396"/>
      <c r="AR121" s="396"/>
      <c r="AS121" s="397"/>
      <c r="AT121" s="490"/>
      <c r="AW121" s="387"/>
      <c r="AX121" s="489">
        <f>ROUND(Q120*AR122,0)</f>
        <v>85</v>
      </c>
      <c r="AY121" s="393"/>
    </row>
    <row r="122" spans="1:51" ht="16.5" customHeight="1" x14ac:dyDescent="0.15">
      <c r="A122" s="287">
        <v>12</v>
      </c>
      <c r="B122" s="287">
        <v>7416</v>
      </c>
      <c r="C122" s="394" t="s">
        <v>16417</v>
      </c>
      <c r="D122" s="403"/>
      <c r="E122" s="404"/>
      <c r="F122" s="404"/>
      <c r="G122" s="404"/>
      <c r="H122" s="406"/>
      <c r="Q122" s="395"/>
      <c r="R122" s="151"/>
      <c r="S122" s="151"/>
      <c r="U122" s="387"/>
      <c r="V122" s="343" t="s">
        <v>15625</v>
      </c>
      <c r="W122" s="325"/>
      <c r="X122" s="325"/>
      <c r="Y122" s="325"/>
      <c r="Z122" s="325"/>
      <c r="AA122" s="325"/>
      <c r="AB122" s="325"/>
      <c r="AC122" s="325"/>
      <c r="AD122" s="325"/>
      <c r="AE122" s="325"/>
      <c r="AF122" s="325"/>
      <c r="AG122" s="325"/>
      <c r="AH122" s="325"/>
      <c r="AI122" s="391" t="s">
        <v>15626</v>
      </c>
      <c r="AJ122" s="838">
        <f>AJ120</f>
        <v>1</v>
      </c>
      <c r="AK122" s="843"/>
      <c r="AL122" s="324" t="s">
        <v>15630</v>
      </c>
      <c r="AM122" s="325"/>
      <c r="AN122" s="325"/>
      <c r="AO122" s="325"/>
      <c r="AP122" s="325"/>
      <c r="AQ122" s="190" t="s">
        <v>398</v>
      </c>
      <c r="AR122" s="844">
        <f>AR118</f>
        <v>0.85</v>
      </c>
      <c r="AS122" s="844"/>
      <c r="AT122" s="490"/>
      <c r="AW122" s="387"/>
      <c r="AX122" s="489">
        <f>ROUND(ROUND(Q120*AJ122,0)*AR122,0)</f>
        <v>85</v>
      </c>
      <c r="AY122" s="393"/>
    </row>
    <row r="123" spans="1:51" ht="16.5" customHeight="1" x14ac:dyDescent="0.15">
      <c r="A123" s="340">
        <v>12</v>
      </c>
      <c r="B123" s="341">
        <v>7417</v>
      </c>
      <c r="C123" s="390" t="s">
        <v>16418</v>
      </c>
      <c r="D123" s="403"/>
      <c r="E123" s="404"/>
      <c r="F123" s="404"/>
      <c r="G123" s="404"/>
      <c r="H123" s="406"/>
      <c r="I123" s="10"/>
      <c r="Q123" s="395"/>
      <c r="R123" s="151"/>
      <c r="S123" s="151"/>
      <c r="U123" s="387"/>
      <c r="V123" s="343"/>
      <c r="W123" s="325"/>
      <c r="X123" s="325"/>
      <c r="Y123" s="325"/>
      <c r="Z123" s="325"/>
      <c r="AA123" s="325"/>
      <c r="AB123" s="325"/>
      <c r="AC123" s="325"/>
      <c r="AD123" s="325"/>
      <c r="AE123" s="325"/>
      <c r="AF123" s="325"/>
      <c r="AG123" s="325"/>
      <c r="AH123" s="325"/>
      <c r="AI123" s="391"/>
      <c r="AJ123" s="401"/>
      <c r="AK123" s="402"/>
      <c r="AL123" s="396"/>
      <c r="AM123" s="396"/>
      <c r="AN123" s="396"/>
      <c r="AO123" s="396"/>
      <c r="AP123" s="396"/>
      <c r="AQ123" s="396"/>
      <c r="AR123" s="396"/>
      <c r="AS123" s="396"/>
      <c r="AT123" s="857" t="s">
        <v>16296</v>
      </c>
      <c r="AU123" s="858"/>
      <c r="AV123" s="858"/>
      <c r="AW123" s="860"/>
      <c r="AX123" s="489">
        <f>ROUND(Q120*AT126,0)</f>
        <v>80</v>
      </c>
      <c r="AY123" s="393"/>
    </row>
    <row r="124" spans="1:51" ht="16.5" customHeight="1" x14ac:dyDescent="0.15">
      <c r="A124" s="340">
        <v>12</v>
      </c>
      <c r="B124" s="341">
        <v>7418</v>
      </c>
      <c r="C124" s="390" t="s">
        <v>16419</v>
      </c>
      <c r="D124" s="403"/>
      <c r="E124" s="404"/>
      <c r="F124" s="404"/>
      <c r="G124" s="404"/>
      <c r="H124" s="406"/>
      <c r="Q124" s="899"/>
      <c r="R124" s="900"/>
      <c r="S124" s="900"/>
      <c r="U124" s="387"/>
      <c r="V124" s="343" t="s">
        <v>15625</v>
      </c>
      <c r="W124" s="325"/>
      <c r="X124" s="325"/>
      <c r="Y124" s="325"/>
      <c r="Z124" s="325"/>
      <c r="AA124" s="325"/>
      <c r="AB124" s="325"/>
      <c r="AC124" s="325"/>
      <c r="AD124" s="325"/>
      <c r="AE124" s="325"/>
      <c r="AF124" s="325"/>
      <c r="AG124" s="325"/>
      <c r="AH124" s="325"/>
      <c r="AI124" s="391" t="s">
        <v>15626</v>
      </c>
      <c r="AJ124" s="838">
        <f>AJ122</f>
        <v>1</v>
      </c>
      <c r="AK124" s="839"/>
      <c r="AL124" s="325"/>
      <c r="AM124" s="325"/>
      <c r="AN124" s="325"/>
      <c r="AO124" s="325"/>
      <c r="AP124" s="325"/>
      <c r="AQ124" s="325"/>
      <c r="AR124" s="325"/>
      <c r="AS124" s="325"/>
      <c r="AT124" s="849"/>
      <c r="AU124" s="850"/>
      <c r="AV124" s="850"/>
      <c r="AW124" s="852"/>
      <c r="AX124" s="489">
        <f>ROUND(ROUND(Q120*AJ124,0)*AT126,0)</f>
        <v>80</v>
      </c>
      <c r="AY124" s="393"/>
    </row>
    <row r="125" spans="1:51" ht="16.5" customHeight="1" x14ac:dyDescent="0.15">
      <c r="A125" s="287">
        <v>12</v>
      </c>
      <c r="B125" s="287">
        <v>7419</v>
      </c>
      <c r="C125" s="394" t="s">
        <v>16420</v>
      </c>
      <c r="D125" s="403"/>
      <c r="E125" s="404"/>
      <c r="F125" s="404"/>
      <c r="G125" s="404"/>
      <c r="H125" s="406"/>
      <c r="Q125" s="395"/>
      <c r="R125" s="151"/>
      <c r="S125" s="151"/>
      <c r="U125" s="387"/>
      <c r="V125" s="343"/>
      <c r="W125" s="343"/>
      <c r="X125" s="343"/>
      <c r="Y125" s="343"/>
      <c r="Z125" s="343"/>
      <c r="AA125" s="343"/>
      <c r="AB125" s="343"/>
      <c r="AC125" s="343"/>
      <c r="AD125" s="343"/>
      <c r="AE125" s="343"/>
      <c r="AF125" s="343"/>
      <c r="AG125" s="343"/>
      <c r="AH125" s="343"/>
      <c r="AI125" s="343"/>
      <c r="AJ125" s="343"/>
      <c r="AK125" s="343"/>
      <c r="AL125" s="114" t="s">
        <v>15628</v>
      </c>
      <c r="AM125" s="396"/>
      <c r="AN125" s="396"/>
      <c r="AO125" s="396"/>
      <c r="AP125" s="396"/>
      <c r="AQ125" s="396"/>
      <c r="AR125" s="396"/>
      <c r="AS125" s="397"/>
      <c r="AT125" s="901" t="s">
        <v>15636</v>
      </c>
      <c r="AU125" s="902"/>
      <c r="AV125" s="902"/>
      <c r="AW125" s="903"/>
      <c r="AX125" s="489">
        <f>ROUND(ROUND(Q120*AR126,0)*AT126,0)</f>
        <v>68</v>
      </c>
      <c r="AY125" s="393"/>
    </row>
    <row r="126" spans="1:51" ht="16.5" customHeight="1" x14ac:dyDescent="0.15">
      <c r="A126" s="287">
        <v>12</v>
      </c>
      <c r="B126" s="287">
        <v>7420</v>
      </c>
      <c r="C126" s="394" t="s">
        <v>16421</v>
      </c>
      <c r="D126" s="403"/>
      <c r="E126" s="404"/>
      <c r="F126" s="404"/>
      <c r="G126" s="404"/>
      <c r="H126" s="406"/>
      <c r="Q126" s="395"/>
      <c r="R126" s="151"/>
      <c r="S126" s="151"/>
      <c r="U126" s="387"/>
      <c r="V126" s="343" t="s">
        <v>15625</v>
      </c>
      <c r="W126" s="325"/>
      <c r="X126" s="325"/>
      <c r="Y126" s="325"/>
      <c r="Z126" s="325"/>
      <c r="AA126" s="325"/>
      <c r="AB126" s="325"/>
      <c r="AC126" s="325"/>
      <c r="AD126" s="325"/>
      <c r="AE126" s="325"/>
      <c r="AF126" s="325"/>
      <c r="AG126" s="325"/>
      <c r="AH126" s="325"/>
      <c r="AI126" s="391" t="s">
        <v>15626</v>
      </c>
      <c r="AJ126" s="838">
        <f>AJ124</f>
        <v>1</v>
      </c>
      <c r="AK126" s="843"/>
      <c r="AL126" s="324" t="s">
        <v>15630</v>
      </c>
      <c r="AM126" s="325"/>
      <c r="AN126" s="325"/>
      <c r="AO126" s="325"/>
      <c r="AP126" s="325"/>
      <c r="AQ126" s="190" t="s">
        <v>398</v>
      </c>
      <c r="AR126" s="844">
        <f>AR122</f>
        <v>0.85</v>
      </c>
      <c r="AS126" s="844"/>
      <c r="AT126" s="907">
        <f>AT118</f>
        <v>0.8</v>
      </c>
      <c r="AU126" s="844"/>
      <c r="AV126" s="844"/>
      <c r="AW126" s="845"/>
      <c r="AX126" s="489">
        <f>ROUND(ROUND(ROUND(Q120*AJ126,0)*AR126,0)*AT126,0)</f>
        <v>68</v>
      </c>
      <c r="AY126" s="393"/>
    </row>
    <row r="127" spans="1:51" ht="16.5" customHeight="1" x14ac:dyDescent="0.15">
      <c r="A127" s="340">
        <v>12</v>
      </c>
      <c r="B127" s="341">
        <v>7421</v>
      </c>
      <c r="C127" s="390" t="s">
        <v>16422</v>
      </c>
      <c r="D127" s="403"/>
      <c r="E127" s="404"/>
      <c r="F127" s="404"/>
      <c r="G127" s="404"/>
      <c r="H127" s="406"/>
      <c r="I127" s="908" t="s">
        <v>16318</v>
      </c>
      <c r="J127" s="909"/>
      <c r="K127" s="909"/>
      <c r="L127" s="909"/>
      <c r="M127" s="909"/>
      <c r="N127" s="909"/>
      <c r="O127" s="909"/>
      <c r="P127" s="909"/>
      <c r="Q127" s="909"/>
      <c r="R127" s="909"/>
      <c r="S127" s="909"/>
      <c r="T127" s="909"/>
      <c r="U127" s="910"/>
      <c r="V127" s="343"/>
      <c r="W127" s="325"/>
      <c r="X127" s="325"/>
      <c r="Y127" s="325"/>
      <c r="Z127" s="325"/>
      <c r="AA127" s="325"/>
      <c r="AB127" s="325"/>
      <c r="AC127" s="325"/>
      <c r="AD127" s="325"/>
      <c r="AE127" s="325"/>
      <c r="AF127" s="325"/>
      <c r="AG127" s="325"/>
      <c r="AH127" s="325"/>
      <c r="AI127" s="391"/>
      <c r="AJ127" s="401"/>
      <c r="AK127" s="402"/>
      <c r="AL127" s="396"/>
      <c r="AM127" s="396"/>
      <c r="AN127" s="396"/>
      <c r="AO127" s="396"/>
      <c r="AP127" s="396"/>
      <c r="AQ127" s="396"/>
      <c r="AR127" s="396"/>
      <c r="AS127" s="396"/>
      <c r="AT127" s="496"/>
      <c r="AU127" s="400"/>
      <c r="AV127" s="396"/>
      <c r="AW127" s="397"/>
      <c r="AX127" s="489">
        <f>ROUND(Q128,0)</f>
        <v>99</v>
      </c>
      <c r="AY127" s="393"/>
    </row>
    <row r="128" spans="1:51" ht="16.5" customHeight="1" x14ac:dyDescent="0.15">
      <c r="A128" s="340">
        <v>12</v>
      </c>
      <c r="B128" s="341">
        <v>7422</v>
      </c>
      <c r="C128" s="390" t="s">
        <v>16423</v>
      </c>
      <c r="D128" s="403"/>
      <c r="E128" s="404"/>
      <c r="F128" s="404"/>
      <c r="G128" s="404"/>
      <c r="H128" s="406"/>
      <c r="Q128" s="836">
        <f>ROUND(Q224*$F$109,0)</f>
        <v>99</v>
      </c>
      <c r="R128" s="837"/>
      <c r="S128" s="837"/>
      <c r="T128" s="152" t="s">
        <v>15624</v>
      </c>
      <c r="U128" s="387"/>
      <c r="V128" s="343" t="s">
        <v>15625</v>
      </c>
      <c r="W128" s="325"/>
      <c r="X128" s="325"/>
      <c r="Y128" s="325"/>
      <c r="Z128" s="325"/>
      <c r="AA128" s="325"/>
      <c r="AB128" s="325"/>
      <c r="AC128" s="325"/>
      <c r="AD128" s="325"/>
      <c r="AE128" s="325"/>
      <c r="AF128" s="325"/>
      <c r="AG128" s="325"/>
      <c r="AH128" s="325"/>
      <c r="AI128" s="391" t="s">
        <v>15626</v>
      </c>
      <c r="AJ128" s="838">
        <f>AJ126</f>
        <v>1</v>
      </c>
      <c r="AK128" s="839"/>
      <c r="AL128" s="325"/>
      <c r="AM128" s="325"/>
      <c r="AN128" s="325"/>
      <c r="AO128" s="325"/>
      <c r="AP128" s="325"/>
      <c r="AQ128" s="325"/>
      <c r="AR128" s="325"/>
      <c r="AS128" s="325"/>
      <c r="AT128" s="490"/>
      <c r="AW128" s="387"/>
      <c r="AX128" s="489">
        <f>ROUND(Q128*AJ128,0)</f>
        <v>99</v>
      </c>
      <c r="AY128" s="393"/>
    </row>
    <row r="129" spans="1:51" ht="16.5" customHeight="1" x14ac:dyDescent="0.15">
      <c r="A129" s="287">
        <v>12</v>
      </c>
      <c r="B129" s="287">
        <v>7423</v>
      </c>
      <c r="C129" s="394" t="s">
        <v>16424</v>
      </c>
      <c r="D129" s="403"/>
      <c r="E129" s="404"/>
      <c r="F129" s="404"/>
      <c r="G129" s="404"/>
      <c r="H129" s="406"/>
      <c r="Q129" s="395"/>
      <c r="R129" s="151"/>
      <c r="S129" s="151"/>
      <c r="U129" s="387"/>
      <c r="V129" s="343"/>
      <c r="W129" s="343"/>
      <c r="X129" s="343"/>
      <c r="Y129" s="343"/>
      <c r="Z129" s="343"/>
      <c r="AA129" s="343"/>
      <c r="AB129" s="343"/>
      <c r="AC129" s="343"/>
      <c r="AD129" s="343"/>
      <c r="AE129" s="343"/>
      <c r="AF129" s="343"/>
      <c r="AG129" s="343"/>
      <c r="AH129" s="343"/>
      <c r="AI129" s="343"/>
      <c r="AJ129" s="343"/>
      <c r="AK129" s="343"/>
      <c r="AL129" s="114" t="s">
        <v>15628</v>
      </c>
      <c r="AM129" s="396"/>
      <c r="AN129" s="396"/>
      <c r="AO129" s="396"/>
      <c r="AP129" s="396"/>
      <c r="AQ129" s="396"/>
      <c r="AR129" s="396"/>
      <c r="AS129" s="397"/>
      <c r="AT129" s="490"/>
      <c r="AW129" s="387"/>
      <c r="AX129" s="489">
        <f>ROUND(Q128*AR130,0)</f>
        <v>84</v>
      </c>
      <c r="AY129" s="393"/>
    </row>
    <row r="130" spans="1:51" ht="16.5" customHeight="1" x14ac:dyDescent="0.15">
      <c r="A130" s="287">
        <v>12</v>
      </c>
      <c r="B130" s="287">
        <v>7424</v>
      </c>
      <c r="C130" s="394" t="s">
        <v>16425</v>
      </c>
      <c r="D130" s="403"/>
      <c r="E130" s="404"/>
      <c r="F130" s="404"/>
      <c r="G130" s="404"/>
      <c r="H130" s="406"/>
      <c r="Q130" s="395"/>
      <c r="R130" s="151"/>
      <c r="S130" s="151"/>
      <c r="U130" s="387"/>
      <c r="V130" s="343" t="s">
        <v>15625</v>
      </c>
      <c r="W130" s="325"/>
      <c r="X130" s="325"/>
      <c r="Y130" s="325"/>
      <c r="Z130" s="325"/>
      <c r="AA130" s="325"/>
      <c r="AB130" s="325"/>
      <c r="AC130" s="325"/>
      <c r="AD130" s="325"/>
      <c r="AE130" s="325"/>
      <c r="AF130" s="325"/>
      <c r="AG130" s="325"/>
      <c r="AH130" s="325"/>
      <c r="AI130" s="391" t="s">
        <v>15626</v>
      </c>
      <c r="AJ130" s="838">
        <f>AJ128</f>
        <v>1</v>
      </c>
      <c r="AK130" s="843"/>
      <c r="AL130" s="324" t="s">
        <v>15630</v>
      </c>
      <c r="AM130" s="325"/>
      <c r="AN130" s="325"/>
      <c r="AO130" s="325"/>
      <c r="AP130" s="325"/>
      <c r="AQ130" s="190" t="s">
        <v>398</v>
      </c>
      <c r="AR130" s="844">
        <f>AR126</f>
        <v>0.85</v>
      </c>
      <c r="AS130" s="844"/>
      <c r="AT130" s="490"/>
      <c r="AW130" s="387"/>
      <c r="AX130" s="489">
        <f>ROUND(ROUND(Q128*AJ130,0)*AR130,0)</f>
        <v>84</v>
      </c>
      <c r="AY130" s="393"/>
    </row>
    <row r="131" spans="1:51" ht="16.5" customHeight="1" x14ac:dyDescent="0.15">
      <c r="A131" s="340">
        <v>12</v>
      </c>
      <c r="B131" s="341">
        <v>7425</v>
      </c>
      <c r="C131" s="390" t="s">
        <v>16426</v>
      </c>
      <c r="D131" s="403"/>
      <c r="E131" s="404"/>
      <c r="F131" s="404"/>
      <c r="G131" s="404"/>
      <c r="H131" s="406"/>
      <c r="I131" s="10"/>
      <c r="Q131" s="395"/>
      <c r="R131" s="151"/>
      <c r="S131" s="151"/>
      <c r="U131" s="387"/>
      <c r="V131" s="343"/>
      <c r="W131" s="325"/>
      <c r="X131" s="325"/>
      <c r="Y131" s="325"/>
      <c r="Z131" s="325"/>
      <c r="AA131" s="325"/>
      <c r="AB131" s="325"/>
      <c r="AC131" s="325"/>
      <c r="AD131" s="325"/>
      <c r="AE131" s="325"/>
      <c r="AF131" s="325"/>
      <c r="AG131" s="325"/>
      <c r="AH131" s="325"/>
      <c r="AI131" s="391"/>
      <c r="AJ131" s="401"/>
      <c r="AK131" s="402"/>
      <c r="AL131" s="396"/>
      <c r="AM131" s="396"/>
      <c r="AN131" s="396"/>
      <c r="AO131" s="396"/>
      <c r="AP131" s="396"/>
      <c r="AQ131" s="396"/>
      <c r="AR131" s="396"/>
      <c r="AS131" s="396"/>
      <c r="AT131" s="857" t="s">
        <v>16296</v>
      </c>
      <c r="AU131" s="858"/>
      <c r="AV131" s="858"/>
      <c r="AW131" s="860"/>
      <c r="AX131" s="489">
        <f>ROUND(Q128*AT134,0)</f>
        <v>79</v>
      </c>
      <c r="AY131" s="393"/>
    </row>
    <row r="132" spans="1:51" ht="16.5" customHeight="1" x14ac:dyDescent="0.15">
      <c r="A132" s="340">
        <v>12</v>
      </c>
      <c r="B132" s="341">
        <v>7426</v>
      </c>
      <c r="C132" s="390" t="s">
        <v>16427</v>
      </c>
      <c r="D132" s="403"/>
      <c r="E132" s="404"/>
      <c r="F132" s="404"/>
      <c r="G132" s="404"/>
      <c r="H132" s="406"/>
      <c r="Q132" s="899"/>
      <c r="R132" s="900"/>
      <c r="S132" s="900"/>
      <c r="U132" s="387"/>
      <c r="V132" s="343" t="s">
        <v>15625</v>
      </c>
      <c r="W132" s="325"/>
      <c r="X132" s="325"/>
      <c r="Y132" s="325"/>
      <c r="Z132" s="325"/>
      <c r="AA132" s="325"/>
      <c r="AB132" s="325"/>
      <c r="AC132" s="325"/>
      <c r="AD132" s="325"/>
      <c r="AE132" s="325"/>
      <c r="AF132" s="325"/>
      <c r="AG132" s="325"/>
      <c r="AH132" s="325"/>
      <c r="AI132" s="391" t="s">
        <v>15626</v>
      </c>
      <c r="AJ132" s="838">
        <f>AJ130</f>
        <v>1</v>
      </c>
      <c r="AK132" s="839"/>
      <c r="AL132" s="325"/>
      <c r="AM132" s="325"/>
      <c r="AN132" s="325"/>
      <c r="AO132" s="325"/>
      <c r="AP132" s="325"/>
      <c r="AQ132" s="325"/>
      <c r="AR132" s="325"/>
      <c r="AS132" s="325"/>
      <c r="AT132" s="849"/>
      <c r="AU132" s="850"/>
      <c r="AV132" s="850"/>
      <c r="AW132" s="852"/>
      <c r="AX132" s="489">
        <f>ROUND(ROUND(Q128*AJ132,0)*AT134,0)</f>
        <v>79</v>
      </c>
      <c r="AY132" s="393"/>
    </row>
    <row r="133" spans="1:51" ht="16.5" customHeight="1" x14ac:dyDescent="0.15">
      <c r="A133" s="287">
        <v>12</v>
      </c>
      <c r="B133" s="287">
        <v>7427</v>
      </c>
      <c r="C133" s="394" t="s">
        <v>16428</v>
      </c>
      <c r="D133" s="403"/>
      <c r="E133" s="404"/>
      <c r="F133" s="404"/>
      <c r="G133" s="404"/>
      <c r="H133" s="406"/>
      <c r="Q133" s="395"/>
      <c r="R133" s="151"/>
      <c r="S133" s="151"/>
      <c r="U133" s="387"/>
      <c r="V133" s="343"/>
      <c r="W133" s="343"/>
      <c r="X133" s="343"/>
      <c r="Y133" s="343"/>
      <c r="Z133" s="343"/>
      <c r="AA133" s="343"/>
      <c r="AB133" s="343"/>
      <c r="AC133" s="343"/>
      <c r="AD133" s="343"/>
      <c r="AE133" s="343"/>
      <c r="AF133" s="343"/>
      <c r="AG133" s="343"/>
      <c r="AH133" s="343"/>
      <c r="AI133" s="343"/>
      <c r="AJ133" s="343"/>
      <c r="AK133" s="343"/>
      <c r="AL133" s="114" t="s">
        <v>15628</v>
      </c>
      <c r="AM133" s="396"/>
      <c r="AN133" s="396"/>
      <c r="AO133" s="396"/>
      <c r="AP133" s="396"/>
      <c r="AQ133" s="396"/>
      <c r="AR133" s="396"/>
      <c r="AS133" s="397"/>
      <c r="AT133" s="901" t="s">
        <v>15636</v>
      </c>
      <c r="AU133" s="902"/>
      <c r="AV133" s="902"/>
      <c r="AW133" s="903"/>
      <c r="AX133" s="489">
        <f>ROUND(ROUND(Q128*AR134,0)*AT134,0)</f>
        <v>67</v>
      </c>
      <c r="AY133" s="393"/>
    </row>
    <row r="134" spans="1:51" ht="16.5" customHeight="1" x14ac:dyDescent="0.15">
      <c r="A134" s="287">
        <v>12</v>
      </c>
      <c r="B134" s="287">
        <v>7428</v>
      </c>
      <c r="C134" s="394" t="s">
        <v>16429</v>
      </c>
      <c r="D134" s="403"/>
      <c r="E134" s="404"/>
      <c r="F134" s="404"/>
      <c r="G134" s="404"/>
      <c r="H134" s="406"/>
      <c r="Q134" s="395"/>
      <c r="R134" s="151"/>
      <c r="S134" s="151"/>
      <c r="U134" s="387"/>
      <c r="V134" s="343" t="s">
        <v>15625</v>
      </c>
      <c r="W134" s="325"/>
      <c r="X134" s="325"/>
      <c r="Y134" s="325"/>
      <c r="Z134" s="325"/>
      <c r="AA134" s="325"/>
      <c r="AB134" s="325"/>
      <c r="AC134" s="325"/>
      <c r="AD134" s="325"/>
      <c r="AE134" s="325"/>
      <c r="AF134" s="325"/>
      <c r="AG134" s="325"/>
      <c r="AH134" s="325"/>
      <c r="AI134" s="391" t="s">
        <v>15626</v>
      </c>
      <c r="AJ134" s="838">
        <f>AJ132</f>
        <v>1</v>
      </c>
      <c r="AK134" s="843"/>
      <c r="AL134" s="324" t="s">
        <v>15630</v>
      </c>
      <c r="AM134" s="325"/>
      <c r="AN134" s="325"/>
      <c r="AO134" s="325"/>
      <c r="AP134" s="325"/>
      <c r="AQ134" s="190" t="s">
        <v>398</v>
      </c>
      <c r="AR134" s="844">
        <f>AR130</f>
        <v>0.85</v>
      </c>
      <c r="AS134" s="844"/>
      <c r="AT134" s="907">
        <f>AT126</f>
        <v>0.8</v>
      </c>
      <c r="AU134" s="844"/>
      <c r="AV134" s="844"/>
      <c r="AW134" s="845"/>
      <c r="AX134" s="489">
        <f>ROUND(ROUND(ROUND(Q128*AJ134,0)*AR134,0)*AT134,0)</f>
        <v>67</v>
      </c>
      <c r="AY134" s="393"/>
    </row>
    <row r="135" spans="1:51" ht="16.5" customHeight="1" x14ac:dyDescent="0.15">
      <c r="A135" s="340">
        <v>12</v>
      </c>
      <c r="B135" s="341">
        <v>7429</v>
      </c>
      <c r="C135" s="390" t="s">
        <v>16430</v>
      </c>
      <c r="D135" s="403"/>
      <c r="E135" s="404"/>
      <c r="F135" s="404"/>
      <c r="G135" s="404"/>
      <c r="H135" s="406"/>
      <c r="I135" s="908" t="s">
        <v>16327</v>
      </c>
      <c r="J135" s="909"/>
      <c r="K135" s="909"/>
      <c r="L135" s="909"/>
      <c r="M135" s="909"/>
      <c r="N135" s="909"/>
      <c r="O135" s="909"/>
      <c r="P135" s="909"/>
      <c r="Q135" s="909"/>
      <c r="R135" s="909"/>
      <c r="S135" s="909"/>
      <c r="T135" s="909"/>
      <c r="U135" s="910"/>
      <c r="V135" s="343"/>
      <c r="W135" s="325"/>
      <c r="X135" s="325"/>
      <c r="Y135" s="325"/>
      <c r="Z135" s="325"/>
      <c r="AA135" s="325"/>
      <c r="AB135" s="325"/>
      <c r="AC135" s="325"/>
      <c r="AD135" s="325"/>
      <c r="AE135" s="325"/>
      <c r="AF135" s="325"/>
      <c r="AG135" s="325"/>
      <c r="AH135" s="325"/>
      <c r="AI135" s="391"/>
      <c r="AJ135" s="401"/>
      <c r="AK135" s="402"/>
      <c r="AL135" s="396"/>
      <c r="AM135" s="396"/>
      <c r="AN135" s="396"/>
      <c r="AO135" s="396"/>
      <c r="AP135" s="396"/>
      <c r="AQ135" s="396"/>
      <c r="AR135" s="396"/>
      <c r="AS135" s="396"/>
      <c r="AT135" s="496"/>
      <c r="AU135" s="400"/>
      <c r="AV135" s="396"/>
      <c r="AW135" s="397"/>
      <c r="AX135" s="489">
        <f>ROUND(Q136,0)</f>
        <v>100</v>
      </c>
      <c r="AY135" s="393"/>
    </row>
    <row r="136" spans="1:51" ht="16.5" customHeight="1" x14ac:dyDescent="0.15">
      <c r="A136" s="340">
        <v>12</v>
      </c>
      <c r="B136" s="341">
        <v>7430</v>
      </c>
      <c r="C136" s="390" t="s">
        <v>16431</v>
      </c>
      <c r="D136" s="403"/>
      <c r="E136" s="404"/>
      <c r="F136" s="404"/>
      <c r="G136" s="404"/>
      <c r="H136" s="406"/>
      <c r="Q136" s="836">
        <f>ROUND(Q232*$F$109,0)</f>
        <v>100</v>
      </c>
      <c r="R136" s="837"/>
      <c r="S136" s="837"/>
      <c r="T136" s="152" t="s">
        <v>15624</v>
      </c>
      <c r="U136" s="387"/>
      <c r="V136" s="343" t="s">
        <v>15625</v>
      </c>
      <c r="W136" s="325"/>
      <c r="X136" s="325"/>
      <c r="Y136" s="325"/>
      <c r="Z136" s="325"/>
      <c r="AA136" s="325"/>
      <c r="AB136" s="325"/>
      <c r="AC136" s="325"/>
      <c r="AD136" s="325"/>
      <c r="AE136" s="325"/>
      <c r="AF136" s="325"/>
      <c r="AG136" s="325"/>
      <c r="AH136" s="325"/>
      <c r="AI136" s="391" t="s">
        <v>15626</v>
      </c>
      <c r="AJ136" s="838">
        <f>AJ134</f>
        <v>1</v>
      </c>
      <c r="AK136" s="839"/>
      <c r="AL136" s="325"/>
      <c r="AM136" s="325"/>
      <c r="AN136" s="325"/>
      <c r="AO136" s="325"/>
      <c r="AP136" s="325"/>
      <c r="AQ136" s="325"/>
      <c r="AR136" s="325"/>
      <c r="AS136" s="325"/>
      <c r="AT136" s="490"/>
      <c r="AW136" s="387"/>
      <c r="AX136" s="489">
        <f>ROUND(Q136*AJ136,0)</f>
        <v>100</v>
      </c>
      <c r="AY136" s="393"/>
    </row>
    <row r="137" spans="1:51" ht="16.5" customHeight="1" x14ac:dyDescent="0.15">
      <c r="A137" s="340">
        <v>12</v>
      </c>
      <c r="B137" s="341">
        <v>7431</v>
      </c>
      <c r="C137" s="390" t="s">
        <v>16432</v>
      </c>
      <c r="D137" s="403"/>
      <c r="E137" s="404"/>
      <c r="F137" s="404"/>
      <c r="G137" s="404"/>
      <c r="H137" s="406"/>
      <c r="Q137" s="395"/>
      <c r="R137" s="151"/>
      <c r="S137" s="151"/>
      <c r="U137" s="387"/>
      <c r="V137" s="343"/>
      <c r="W137" s="343"/>
      <c r="X137" s="343"/>
      <c r="Y137" s="343"/>
      <c r="Z137" s="343"/>
      <c r="AA137" s="343"/>
      <c r="AB137" s="343"/>
      <c r="AC137" s="343"/>
      <c r="AD137" s="343"/>
      <c r="AE137" s="343"/>
      <c r="AF137" s="343"/>
      <c r="AG137" s="343"/>
      <c r="AH137" s="343"/>
      <c r="AI137" s="343"/>
      <c r="AJ137" s="343"/>
      <c r="AK137" s="343"/>
      <c r="AL137" s="114" t="s">
        <v>15628</v>
      </c>
      <c r="AM137" s="396"/>
      <c r="AN137" s="396"/>
      <c r="AO137" s="396"/>
      <c r="AP137" s="396"/>
      <c r="AQ137" s="396"/>
      <c r="AR137" s="396"/>
      <c r="AS137" s="397"/>
      <c r="AT137" s="490"/>
      <c r="AW137" s="387"/>
      <c r="AX137" s="489">
        <f>ROUND(Q136*AR138,0)</f>
        <v>85</v>
      </c>
      <c r="AY137" s="393"/>
    </row>
    <row r="138" spans="1:51" ht="16.5" customHeight="1" x14ac:dyDescent="0.15">
      <c r="A138" s="340">
        <v>12</v>
      </c>
      <c r="B138" s="341">
        <v>7432</v>
      </c>
      <c r="C138" s="390" t="s">
        <v>16433</v>
      </c>
      <c r="D138" s="403"/>
      <c r="E138" s="404"/>
      <c r="F138" s="404"/>
      <c r="G138" s="404"/>
      <c r="H138" s="406"/>
      <c r="Q138" s="395"/>
      <c r="R138" s="151"/>
      <c r="S138" s="151"/>
      <c r="U138" s="387"/>
      <c r="V138" s="343" t="s">
        <v>15625</v>
      </c>
      <c r="W138" s="325"/>
      <c r="X138" s="325"/>
      <c r="Y138" s="325"/>
      <c r="Z138" s="325"/>
      <c r="AA138" s="325"/>
      <c r="AB138" s="325"/>
      <c r="AC138" s="325"/>
      <c r="AD138" s="325"/>
      <c r="AE138" s="325"/>
      <c r="AF138" s="325"/>
      <c r="AG138" s="325"/>
      <c r="AH138" s="325"/>
      <c r="AI138" s="391" t="s">
        <v>15626</v>
      </c>
      <c r="AJ138" s="838">
        <f>AJ136</f>
        <v>1</v>
      </c>
      <c r="AK138" s="843"/>
      <c r="AL138" s="324" t="s">
        <v>15630</v>
      </c>
      <c r="AM138" s="325"/>
      <c r="AN138" s="325"/>
      <c r="AO138" s="325"/>
      <c r="AP138" s="325"/>
      <c r="AQ138" s="190" t="s">
        <v>398</v>
      </c>
      <c r="AR138" s="844">
        <f>AR134</f>
        <v>0.85</v>
      </c>
      <c r="AS138" s="844"/>
      <c r="AT138" s="490"/>
      <c r="AW138" s="387"/>
      <c r="AX138" s="489">
        <f>ROUND(ROUND(Q136*AJ138,0)*AR138,0)</f>
        <v>85</v>
      </c>
      <c r="AY138" s="393"/>
    </row>
    <row r="139" spans="1:51" ht="16.5" customHeight="1" x14ac:dyDescent="0.15">
      <c r="A139" s="340">
        <v>12</v>
      </c>
      <c r="B139" s="341">
        <v>7433</v>
      </c>
      <c r="C139" s="390" t="s">
        <v>16434</v>
      </c>
      <c r="D139" s="403"/>
      <c r="E139" s="404"/>
      <c r="F139" s="404"/>
      <c r="G139" s="404"/>
      <c r="H139" s="406"/>
      <c r="I139" s="10"/>
      <c r="Q139" s="395"/>
      <c r="R139" s="151"/>
      <c r="S139" s="151"/>
      <c r="U139" s="387"/>
      <c r="V139" s="343"/>
      <c r="W139" s="325"/>
      <c r="X139" s="325"/>
      <c r="Y139" s="325"/>
      <c r="Z139" s="325"/>
      <c r="AA139" s="325"/>
      <c r="AB139" s="325"/>
      <c r="AC139" s="325"/>
      <c r="AD139" s="325"/>
      <c r="AE139" s="325"/>
      <c r="AF139" s="325"/>
      <c r="AG139" s="325"/>
      <c r="AH139" s="325"/>
      <c r="AI139" s="391"/>
      <c r="AJ139" s="401"/>
      <c r="AK139" s="402"/>
      <c r="AL139" s="396"/>
      <c r="AM139" s="396"/>
      <c r="AN139" s="396"/>
      <c r="AO139" s="396"/>
      <c r="AP139" s="396"/>
      <c r="AQ139" s="396"/>
      <c r="AR139" s="396"/>
      <c r="AS139" s="396"/>
      <c r="AT139" s="857" t="s">
        <v>16296</v>
      </c>
      <c r="AU139" s="858"/>
      <c r="AV139" s="858"/>
      <c r="AW139" s="860"/>
      <c r="AX139" s="489">
        <f>ROUND(Q136*AT142,0)</f>
        <v>80</v>
      </c>
      <c r="AY139" s="393"/>
    </row>
    <row r="140" spans="1:51" ht="16.5" customHeight="1" x14ac:dyDescent="0.15">
      <c r="A140" s="340">
        <v>12</v>
      </c>
      <c r="B140" s="341">
        <v>7434</v>
      </c>
      <c r="C140" s="390" t="s">
        <v>16435</v>
      </c>
      <c r="D140" s="403"/>
      <c r="E140" s="404"/>
      <c r="F140" s="404"/>
      <c r="G140" s="404"/>
      <c r="H140" s="406"/>
      <c r="Q140" s="899"/>
      <c r="R140" s="900"/>
      <c r="S140" s="900"/>
      <c r="U140" s="387"/>
      <c r="V140" s="343" t="s">
        <v>15625</v>
      </c>
      <c r="W140" s="325"/>
      <c r="X140" s="325"/>
      <c r="Y140" s="325"/>
      <c r="Z140" s="325"/>
      <c r="AA140" s="325"/>
      <c r="AB140" s="325"/>
      <c r="AC140" s="325"/>
      <c r="AD140" s="325"/>
      <c r="AE140" s="325"/>
      <c r="AF140" s="325"/>
      <c r="AG140" s="325"/>
      <c r="AH140" s="325"/>
      <c r="AI140" s="391" t="s">
        <v>15626</v>
      </c>
      <c r="AJ140" s="838">
        <f>AJ138</f>
        <v>1</v>
      </c>
      <c r="AK140" s="839"/>
      <c r="AL140" s="325"/>
      <c r="AM140" s="325"/>
      <c r="AN140" s="325"/>
      <c r="AO140" s="325"/>
      <c r="AP140" s="325"/>
      <c r="AQ140" s="325"/>
      <c r="AR140" s="325"/>
      <c r="AS140" s="325"/>
      <c r="AT140" s="849"/>
      <c r="AU140" s="850"/>
      <c r="AV140" s="850"/>
      <c r="AW140" s="852"/>
      <c r="AX140" s="489">
        <f>ROUND(ROUND(Q136*AJ140,0)*AT142,0)</f>
        <v>80</v>
      </c>
      <c r="AY140" s="393"/>
    </row>
    <row r="141" spans="1:51" ht="16.5" customHeight="1" x14ac:dyDescent="0.15">
      <c r="A141" s="340">
        <v>12</v>
      </c>
      <c r="B141" s="341">
        <v>7435</v>
      </c>
      <c r="C141" s="390" t="s">
        <v>16436</v>
      </c>
      <c r="D141" s="403"/>
      <c r="E141" s="404"/>
      <c r="F141" s="404"/>
      <c r="G141" s="404"/>
      <c r="H141" s="406"/>
      <c r="Q141" s="395"/>
      <c r="R141" s="151"/>
      <c r="S141" s="151"/>
      <c r="U141" s="387"/>
      <c r="V141" s="343"/>
      <c r="W141" s="343"/>
      <c r="X141" s="343"/>
      <c r="Y141" s="343"/>
      <c r="Z141" s="343"/>
      <c r="AA141" s="343"/>
      <c r="AB141" s="343"/>
      <c r="AC141" s="343"/>
      <c r="AD141" s="343"/>
      <c r="AE141" s="343"/>
      <c r="AF141" s="343"/>
      <c r="AG141" s="343"/>
      <c r="AH141" s="343"/>
      <c r="AI141" s="343"/>
      <c r="AJ141" s="343"/>
      <c r="AK141" s="343"/>
      <c r="AL141" s="114" t="s">
        <v>15628</v>
      </c>
      <c r="AM141" s="396"/>
      <c r="AN141" s="396"/>
      <c r="AO141" s="396"/>
      <c r="AP141" s="396"/>
      <c r="AQ141" s="396"/>
      <c r="AR141" s="396"/>
      <c r="AS141" s="397"/>
      <c r="AT141" s="901" t="s">
        <v>15636</v>
      </c>
      <c r="AU141" s="902"/>
      <c r="AV141" s="902"/>
      <c r="AW141" s="903"/>
      <c r="AX141" s="489">
        <f>ROUND(ROUND(Q136*AR142,0)*AT142,0)</f>
        <v>68</v>
      </c>
      <c r="AY141" s="393"/>
    </row>
    <row r="142" spans="1:51" ht="16.5" customHeight="1" x14ac:dyDescent="0.15">
      <c r="A142" s="340">
        <v>12</v>
      </c>
      <c r="B142" s="341">
        <v>7436</v>
      </c>
      <c r="C142" s="390" t="s">
        <v>16437</v>
      </c>
      <c r="D142" s="403"/>
      <c r="E142" s="404"/>
      <c r="F142" s="404"/>
      <c r="G142" s="404"/>
      <c r="H142" s="406"/>
      <c r="Q142" s="395"/>
      <c r="R142" s="151"/>
      <c r="S142" s="151"/>
      <c r="U142" s="387"/>
      <c r="V142" s="343" t="s">
        <v>15625</v>
      </c>
      <c r="W142" s="325"/>
      <c r="X142" s="325"/>
      <c r="Y142" s="325"/>
      <c r="Z142" s="325"/>
      <c r="AA142" s="325"/>
      <c r="AB142" s="325"/>
      <c r="AC142" s="325"/>
      <c r="AD142" s="325"/>
      <c r="AE142" s="325"/>
      <c r="AF142" s="325"/>
      <c r="AG142" s="325"/>
      <c r="AH142" s="325"/>
      <c r="AI142" s="391" t="s">
        <v>15626</v>
      </c>
      <c r="AJ142" s="838">
        <f>AJ140</f>
        <v>1</v>
      </c>
      <c r="AK142" s="843"/>
      <c r="AL142" s="324" t="s">
        <v>15630</v>
      </c>
      <c r="AM142" s="325"/>
      <c r="AN142" s="325"/>
      <c r="AO142" s="325"/>
      <c r="AP142" s="325"/>
      <c r="AQ142" s="190" t="s">
        <v>398</v>
      </c>
      <c r="AR142" s="844">
        <f>AR138</f>
        <v>0.85</v>
      </c>
      <c r="AS142" s="844"/>
      <c r="AT142" s="907">
        <f>AT134</f>
        <v>0.8</v>
      </c>
      <c r="AU142" s="844"/>
      <c r="AV142" s="844"/>
      <c r="AW142" s="845"/>
      <c r="AX142" s="489">
        <f>ROUND(ROUND(ROUND(Q136*AJ142,0)*AR142,0)*AT142,0)</f>
        <v>68</v>
      </c>
      <c r="AY142" s="393"/>
    </row>
    <row r="143" spans="1:51" ht="16.5" customHeight="1" x14ac:dyDescent="0.15">
      <c r="A143" s="340">
        <v>12</v>
      </c>
      <c r="B143" s="341">
        <v>7437</v>
      </c>
      <c r="C143" s="390" t="s">
        <v>16438</v>
      </c>
      <c r="D143" s="403"/>
      <c r="E143" s="404"/>
      <c r="F143" s="404"/>
      <c r="G143" s="404"/>
      <c r="H143" s="406"/>
      <c r="I143" s="908" t="s">
        <v>16336</v>
      </c>
      <c r="J143" s="909"/>
      <c r="K143" s="909"/>
      <c r="L143" s="909"/>
      <c r="M143" s="909"/>
      <c r="N143" s="909"/>
      <c r="O143" s="909"/>
      <c r="P143" s="909"/>
      <c r="Q143" s="909"/>
      <c r="R143" s="909"/>
      <c r="S143" s="909"/>
      <c r="T143" s="909"/>
      <c r="U143" s="910"/>
      <c r="V143" s="343"/>
      <c r="W143" s="325"/>
      <c r="X143" s="325"/>
      <c r="Y143" s="325"/>
      <c r="Z143" s="325"/>
      <c r="AA143" s="325"/>
      <c r="AB143" s="325"/>
      <c r="AC143" s="325"/>
      <c r="AD143" s="325"/>
      <c r="AE143" s="325"/>
      <c r="AF143" s="325"/>
      <c r="AG143" s="325"/>
      <c r="AH143" s="325"/>
      <c r="AI143" s="391"/>
      <c r="AJ143" s="401"/>
      <c r="AK143" s="402"/>
      <c r="AL143" s="396"/>
      <c r="AM143" s="396"/>
      <c r="AN143" s="396"/>
      <c r="AO143" s="396"/>
      <c r="AP143" s="396"/>
      <c r="AQ143" s="396"/>
      <c r="AR143" s="396"/>
      <c r="AS143" s="396"/>
      <c r="AT143" s="496"/>
      <c r="AU143" s="400"/>
      <c r="AV143" s="396"/>
      <c r="AW143" s="397"/>
      <c r="AX143" s="489">
        <f>ROUND(Q144,0)</f>
        <v>98</v>
      </c>
      <c r="AY143" s="393"/>
    </row>
    <row r="144" spans="1:51" ht="16.5" customHeight="1" x14ac:dyDescent="0.15">
      <c r="A144" s="340">
        <v>12</v>
      </c>
      <c r="B144" s="341">
        <v>7438</v>
      </c>
      <c r="C144" s="390" t="s">
        <v>16439</v>
      </c>
      <c r="D144" s="403"/>
      <c r="E144" s="404"/>
      <c r="F144" s="404"/>
      <c r="G144" s="404"/>
      <c r="H144" s="406"/>
      <c r="Q144" s="836">
        <f>ROUND(Q240*$F$109,0)</f>
        <v>98</v>
      </c>
      <c r="R144" s="837"/>
      <c r="S144" s="837"/>
      <c r="T144" s="152" t="s">
        <v>15624</v>
      </c>
      <c r="U144" s="387"/>
      <c r="V144" s="343" t="s">
        <v>15625</v>
      </c>
      <c r="W144" s="325"/>
      <c r="X144" s="325"/>
      <c r="Y144" s="325"/>
      <c r="Z144" s="325"/>
      <c r="AA144" s="325"/>
      <c r="AB144" s="325"/>
      <c r="AC144" s="325"/>
      <c r="AD144" s="325"/>
      <c r="AE144" s="325"/>
      <c r="AF144" s="325"/>
      <c r="AG144" s="325"/>
      <c r="AH144" s="325"/>
      <c r="AI144" s="391" t="s">
        <v>15626</v>
      </c>
      <c r="AJ144" s="838">
        <f>AJ142</f>
        <v>1</v>
      </c>
      <c r="AK144" s="839"/>
      <c r="AL144" s="325"/>
      <c r="AM144" s="325"/>
      <c r="AN144" s="325"/>
      <c r="AO144" s="325"/>
      <c r="AP144" s="325"/>
      <c r="AQ144" s="325"/>
      <c r="AR144" s="325"/>
      <c r="AS144" s="325"/>
      <c r="AT144" s="490"/>
      <c r="AW144" s="387"/>
      <c r="AX144" s="489">
        <f>ROUND(Q144*AJ144,0)</f>
        <v>98</v>
      </c>
      <c r="AY144" s="393"/>
    </row>
    <row r="145" spans="1:51" ht="16.5" customHeight="1" x14ac:dyDescent="0.15">
      <c r="A145" s="340">
        <v>12</v>
      </c>
      <c r="B145" s="341">
        <v>7439</v>
      </c>
      <c r="C145" s="390" t="s">
        <v>16440</v>
      </c>
      <c r="D145" s="403"/>
      <c r="E145" s="404"/>
      <c r="F145" s="404"/>
      <c r="G145" s="404"/>
      <c r="H145" s="406"/>
      <c r="Q145" s="395"/>
      <c r="R145" s="151"/>
      <c r="S145" s="151"/>
      <c r="U145" s="387"/>
      <c r="V145" s="343"/>
      <c r="W145" s="343"/>
      <c r="X145" s="343"/>
      <c r="Y145" s="343"/>
      <c r="Z145" s="343"/>
      <c r="AA145" s="343"/>
      <c r="AB145" s="343"/>
      <c r="AC145" s="343"/>
      <c r="AD145" s="343"/>
      <c r="AE145" s="343"/>
      <c r="AF145" s="343"/>
      <c r="AG145" s="343"/>
      <c r="AH145" s="343"/>
      <c r="AI145" s="343"/>
      <c r="AJ145" s="343"/>
      <c r="AK145" s="343"/>
      <c r="AL145" s="114" t="s">
        <v>15628</v>
      </c>
      <c r="AM145" s="396"/>
      <c r="AN145" s="396"/>
      <c r="AO145" s="396"/>
      <c r="AP145" s="396"/>
      <c r="AQ145" s="396"/>
      <c r="AR145" s="396"/>
      <c r="AS145" s="397"/>
      <c r="AT145" s="490"/>
      <c r="AW145" s="387"/>
      <c r="AX145" s="489">
        <f>ROUND(Q144*AR146,0)</f>
        <v>83</v>
      </c>
      <c r="AY145" s="393"/>
    </row>
    <row r="146" spans="1:51" ht="16.5" customHeight="1" x14ac:dyDescent="0.15">
      <c r="A146" s="340">
        <v>12</v>
      </c>
      <c r="B146" s="341">
        <v>7440</v>
      </c>
      <c r="C146" s="390" t="s">
        <v>16441</v>
      </c>
      <c r="D146" s="403"/>
      <c r="E146" s="404"/>
      <c r="F146" s="404"/>
      <c r="G146" s="404"/>
      <c r="H146" s="406"/>
      <c r="Q146" s="395"/>
      <c r="R146" s="151"/>
      <c r="S146" s="151"/>
      <c r="U146" s="387"/>
      <c r="V146" s="343" t="s">
        <v>15625</v>
      </c>
      <c r="W146" s="325"/>
      <c r="X146" s="325"/>
      <c r="Y146" s="325"/>
      <c r="Z146" s="325"/>
      <c r="AA146" s="325"/>
      <c r="AB146" s="325"/>
      <c r="AC146" s="325"/>
      <c r="AD146" s="325"/>
      <c r="AE146" s="325"/>
      <c r="AF146" s="325"/>
      <c r="AG146" s="325"/>
      <c r="AH146" s="325"/>
      <c r="AI146" s="391" t="s">
        <v>15626</v>
      </c>
      <c r="AJ146" s="838">
        <f>AJ144</f>
        <v>1</v>
      </c>
      <c r="AK146" s="843"/>
      <c r="AL146" s="324" t="s">
        <v>15630</v>
      </c>
      <c r="AM146" s="325"/>
      <c r="AN146" s="325"/>
      <c r="AO146" s="325"/>
      <c r="AP146" s="325"/>
      <c r="AQ146" s="190" t="s">
        <v>398</v>
      </c>
      <c r="AR146" s="844">
        <f>AR142</f>
        <v>0.85</v>
      </c>
      <c r="AS146" s="844"/>
      <c r="AT146" s="490"/>
      <c r="AW146" s="387"/>
      <c r="AX146" s="489">
        <f>ROUND(ROUND(Q144*AJ146,0)*AR146,0)</f>
        <v>83</v>
      </c>
      <c r="AY146" s="393"/>
    </row>
    <row r="147" spans="1:51" ht="16.5" customHeight="1" x14ac:dyDescent="0.15">
      <c r="A147" s="340">
        <v>12</v>
      </c>
      <c r="B147" s="341">
        <v>7441</v>
      </c>
      <c r="C147" s="390" t="s">
        <v>16442</v>
      </c>
      <c r="D147" s="403"/>
      <c r="E147" s="404"/>
      <c r="F147" s="404"/>
      <c r="G147" s="404"/>
      <c r="H147" s="406"/>
      <c r="I147" s="10"/>
      <c r="Q147" s="395"/>
      <c r="R147" s="151"/>
      <c r="S147" s="151"/>
      <c r="U147" s="387"/>
      <c r="V147" s="343"/>
      <c r="W147" s="325"/>
      <c r="X147" s="325"/>
      <c r="Y147" s="325"/>
      <c r="Z147" s="325"/>
      <c r="AA147" s="325"/>
      <c r="AB147" s="325"/>
      <c r="AC147" s="325"/>
      <c r="AD147" s="325"/>
      <c r="AE147" s="325"/>
      <c r="AF147" s="325"/>
      <c r="AG147" s="325"/>
      <c r="AH147" s="325"/>
      <c r="AI147" s="391"/>
      <c r="AJ147" s="401"/>
      <c r="AK147" s="402"/>
      <c r="AL147" s="396"/>
      <c r="AM147" s="396"/>
      <c r="AN147" s="396"/>
      <c r="AO147" s="396"/>
      <c r="AP147" s="396"/>
      <c r="AQ147" s="396"/>
      <c r="AR147" s="396"/>
      <c r="AS147" s="396"/>
      <c r="AT147" s="857" t="s">
        <v>16296</v>
      </c>
      <c r="AU147" s="858"/>
      <c r="AV147" s="858"/>
      <c r="AW147" s="860"/>
      <c r="AX147" s="489">
        <f>ROUND(Q144*AT150,0)</f>
        <v>78</v>
      </c>
      <c r="AY147" s="393"/>
    </row>
    <row r="148" spans="1:51" ht="16.5" customHeight="1" x14ac:dyDescent="0.15">
      <c r="A148" s="340">
        <v>12</v>
      </c>
      <c r="B148" s="341">
        <v>7442</v>
      </c>
      <c r="C148" s="390" t="s">
        <v>16443</v>
      </c>
      <c r="D148" s="403"/>
      <c r="E148" s="404"/>
      <c r="F148" s="404"/>
      <c r="G148" s="404"/>
      <c r="H148" s="406"/>
      <c r="Q148" s="899"/>
      <c r="R148" s="900"/>
      <c r="S148" s="900"/>
      <c r="U148" s="387"/>
      <c r="V148" s="343" t="s">
        <v>15625</v>
      </c>
      <c r="W148" s="325"/>
      <c r="X148" s="325"/>
      <c r="Y148" s="325"/>
      <c r="Z148" s="325"/>
      <c r="AA148" s="325"/>
      <c r="AB148" s="325"/>
      <c r="AC148" s="325"/>
      <c r="AD148" s="325"/>
      <c r="AE148" s="325"/>
      <c r="AF148" s="325"/>
      <c r="AG148" s="325"/>
      <c r="AH148" s="325"/>
      <c r="AI148" s="391" t="s">
        <v>15626</v>
      </c>
      <c r="AJ148" s="838">
        <f>AJ146</f>
        <v>1</v>
      </c>
      <c r="AK148" s="839"/>
      <c r="AL148" s="325"/>
      <c r="AM148" s="325"/>
      <c r="AN148" s="325"/>
      <c r="AO148" s="325"/>
      <c r="AP148" s="325"/>
      <c r="AQ148" s="325"/>
      <c r="AR148" s="325"/>
      <c r="AS148" s="325"/>
      <c r="AT148" s="849"/>
      <c r="AU148" s="850"/>
      <c r="AV148" s="850"/>
      <c r="AW148" s="852"/>
      <c r="AX148" s="489">
        <f>ROUND(ROUND(Q144*AJ148,0)*AT150,0)</f>
        <v>78</v>
      </c>
      <c r="AY148" s="393"/>
    </row>
    <row r="149" spans="1:51" ht="16.5" customHeight="1" x14ac:dyDescent="0.15">
      <c r="A149" s="340">
        <v>12</v>
      </c>
      <c r="B149" s="341">
        <v>7443</v>
      </c>
      <c r="C149" s="390" t="s">
        <v>16444</v>
      </c>
      <c r="D149" s="403"/>
      <c r="E149" s="404"/>
      <c r="F149" s="404"/>
      <c r="G149" s="404"/>
      <c r="H149" s="406"/>
      <c r="Q149" s="395"/>
      <c r="R149" s="151"/>
      <c r="S149" s="151"/>
      <c r="U149" s="387"/>
      <c r="V149" s="343"/>
      <c r="W149" s="343"/>
      <c r="X149" s="343"/>
      <c r="Y149" s="343"/>
      <c r="Z149" s="343"/>
      <c r="AA149" s="343"/>
      <c r="AB149" s="343"/>
      <c r="AC149" s="343"/>
      <c r="AD149" s="343"/>
      <c r="AE149" s="343"/>
      <c r="AF149" s="343"/>
      <c r="AG149" s="343"/>
      <c r="AH149" s="343"/>
      <c r="AI149" s="343"/>
      <c r="AJ149" s="343"/>
      <c r="AK149" s="343"/>
      <c r="AL149" s="114" t="s">
        <v>15628</v>
      </c>
      <c r="AM149" s="396"/>
      <c r="AN149" s="396"/>
      <c r="AO149" s="396"/>
      <c r="AP149" s="396"/>
      <c r="AQ149" s="396"/>
      <c r="AR149" s="396"/>
      <c r="AS149" s="397"/>
      <c r="AT149" s="901" t="s">
        <v>15636</v>
      </c>
      <c r="AU149" s="902"/>
      <c r="AV149" s="902"/>
      <c r="AW149" s="903"/>
      <c r="AX149" s="489">
        <f>ROUND(ROUND(Q144*AR150,0)*AT150,0)</f>
        <v>66</v>
      </c>
      <c r="AY149" s="393"/>
    </row>
    <row r="150" spans="1:51" ht="16.5" customHeight="1" x14ac:dyDescent="0.15">
      <c r="A150" s="340">
        <v>12</v>
      </c>
      <c r="B150" s="341">
        <v>7444</v>
      </c>
      <c r="C150" s="390" t="s">
        <v>16445</v>
      </c>
      <c r="D150" s="403"/>
      <c r="E150" s="404"/>
      <c r="F150" s="404"/>
      <c r="G150" s="404"/>
      <c r="H150" s="406"/>
      <c r="Q150" s="395"/>
      <c r="R150" s="151"/>
      <c r="S150" s="151"/>
      <c r="U150" s="387"/>
      <c r="V150" s="343" t="s">
        <v>15625</v>
      </c>
      <c r="W150" s="325"/>
      <c r="X150" s="325"/>
      <c r="Y150" s="325"/>
      <c r="Z150" s="325"/>
      <c r="AA150" s="325"/>
      <c r="AB150" s="325"/>
      <c r="AC150" s="325"/>
      <c r="AD150" s="325"/>
      <c r="AE150" s="325"/>
      <c r="AF150" s="325"/>
      <c r="AG150" s="325"/>
      <c r="AH150" s="325"/>
      <c r="AI150" s="391" t="s">
        <v>15626</v>
      </c>
      <c r="AJ150" s="838">
        <f>AJ148</f>
        <v>1</v>
      </c>
      <c r="AK150" s="843"/>
      <c r="AL150" s="324" t="s">
        <v>15630</v>
      </c>
      <c r="AM150" s="325"/>
      <c r="AN150" s="325"/>
      <c r="AO150" s="325"/>
      <c r="AP150" s="325"/>
      <c r="AQ150" s="190" t="s">
        <v>398</v>
      </c>
      <c r="AR150" s="844">
        <f>AR146</f>
        <v>0.85</v>
      </c>
      <c r="AS150" s="844"/>
      <c r="AT150" s="907">
        <f>AT142</f>
        <v>0.8</v>
      </c>
      <c r="AU150" s="844"/>
      <c r="AV150" s="844"/>
      <c r="AW150" s="845"/>
      <c r="AX150" s="489">
        <f>ROUND(ROUND(ROUND(Q144*AJ150,0)*AR150,0)*AT150,0)</f>
        <v>66</v>
      </c>
      <c r="AY150" s="393"/>
    </row>
    <row r="151" spans="1:51" ht="16.5" customHeight="1" x14ac:dyDescent="0.15">
      <c r="A151" s="340">
        <v>12</v>
      </c>
      <c r="B151" s="341">
        <v>7445</v>
      </c>
      <c r="C151" s="390" t="s">
        <v>16446</v>
      </c>
      <c r="D151" s="403"/>
      <c r="E151" s="404"/>
      <c r="F151" s="404"/>
      <c r="G151" s="404"/>
      <c r="H151" s="406"/>
      <c r="I151" s="908" t="s">
        <v>16345</v>
      </c>
      <c r="J151" s="909"/>
      <c r="K151" s="909"/>
      <c r="L151" s="909"/>
      <c r="M151" s="909"/>
      <c r="N151" s="909"/>
      <c r="O151" s="909"/>
      <c r="P151" s="909"/>
      <c r="Q151" s="909"/>
      <c r="R151" s="909"/>
      <c r="S151" s="909"/>
      <c r="T151" s="909"/>
      <c r="U151" s="910"/>
      <c r="V151" s="343"/>
      <c r="W151" s="325"/>
      <c r="X151" s="325"/>
      <c r="Y151" s="325"/>
      <c r="Z151" s="325"/>
      <c r="AA151" s="325"/>
      <c r="AB151" s="325"/>
      <c r="AC151" s="325"/>
      <c r="AD151" s="325"/>
      <c r="AE151" s="325"/>
      <c r="AF151" s="325"/>
      <c r="AG151" s="325"/>
      <c r="AH151" s="325"/>
      <c r="AI151" s="391"/>
      <c r="AJ151" s="401"/>
      <c r="AK151" s="402"/>
      <c r="AL151" s="396"/>
      <c r="AM151" s="396"/>
      <c r="AN151" s="396"/>
      <c r="AO151" s="396"/>
      <c r="AP151" s="396"/>
      <c r="AQ151" s="396"/>
      <c r="AR151" s="396"/>
      <c r="AS151" s="396"/>
      <c r="AT151" s="496"/>
      <c r="AU151" s="400"/>
      <c r="AV151" s="396"/>
      <c r="AW151" s="397"/>
      <c r="AX151" s="489">
        <f>ROUND(Q152,0)</f>
        <v>100</v>
      </c>
      <c r="AY151" s="393"/>
    </row>
    <row r="152" spans="1:51" ht="16.5" customHeight="1" x14ac:dyDescent="0.15">
      <c r="A152" s="340">
        <v>12</v>
      </c>
      <c r="B152" s="341">
        <v>7446</v>
      </c>
      <c r="C152" s="390" t="s">
        <v>16447</v>
      </c>
      <c r="D152" s="403"/>
      <c r="E152" s="404"/>
      <c r="F152" s="404"/>
      <c r="G152" s="404"/>
      <c r="H152" s="406"/>
      <c r="Q152" s="836">
        <f>ROUND(Q248*$F$109,0)</f>
        <v>100</v>
      </c>
      <c r="R152" s="837"/>
      <c r="S152" s="837"/>
      <c r="T152" s="152" t="s">
        <v>15624</v>
      </c>
      <c r="U152" s="387"/>
      <c r="V152" s="343" t="s">
        <v>15625</v>
      </c>
      <c r="W152" s="325"/>
      <c r="X152" s="325"/>
      <c r="Y152" s="325"/>
      <c r="Z152" s="325"/>
      <c r="AA152" s="325"/>
      <c r="AB152" s="325"/>
      <c r="AC152" s="325"/>
      <c r="AD152" s="325"/>
      <c r="AE152" s="325"/>
      <c r="AF152" s="325"/>
      <c r="AG152" s="325"/>
      <c r="AH152" s="325"/>
      <c r="AI152" s="391" t="s">
        <v>15626</v>
      </c>
      <c r="AJ152" s="838">
        <f>AJ150</f>
        <v>1</v>
      </c>
      <c r="AK152" s="839"/>
      <c r="AL152" s="325"/>
      <c r="AM152" s="325"/>
      <c r="AN152" s="325"/>
      <c r="AO152" s="325"/>
      <c r="AP152" s="325"/>
      <c r="AQ152" s="325"/>
      <c r="AR152" s="325"/>
      <c r="AS152" s="325"/>
      <c r="AT152" s="490"/>
      <c r="AW152" s="387"/>
      <c r="AX152" s="489">
        <f>ROUND(Q152*AJ152,0)</f>
        <v>100</v>
      </c>
      <c r="AY152" s="393"/>
    </row>
    <row r="153" spans="1:51" ht="16.5" customHeight="1" x14ac:dyDescent="0.15">
      <c r="A153" s="340">
        <v>12</v>
      </c>
      <c r="B153" s="341">
        <v>7447</v>
      </c>
      <c r="C153" s="390" t="s">
        <v>16448</v>
      </c>
      <c r="D153" s="403"/>
      <c r="E153" s="404"/>
      <c r="F153" s="404"/>
      <c r="G153" s="404"/>
      <c r="H153" s="406"/>
      <c r="Q153" s="395"/>
      <c r="R153" s="151"/>
      <c r="S153" s="151"/>
      <c r="U153" s="387"/>
      <c r="V153" s="343"/>
      <c r="W153" s="343"/>
      <c r="X153" s="343"/>
      <c r="Y153" s="343"/>
      <c r="Z153" s="343"/>
      <c r="AA153" s="343"/>
      <c r="AB153" s="343"/>
      <c r="AC153" s="343"/>
      <c r="AD153" s="343"/>
      <c r="AE153" s="343"/>
      <c r="AF153" s="343"/>
      <c r="AG153" s="343"/>
      <c r="AH153" s="343"/>
      <c r="AI153" s="343"/>
      <c r="AJ153" s="343"/>
      <c r="AK153" s="343"/>
      <c r="AL153" s="114" t="s">
        <v>15628</v>
      </c>
      <c r="AM153" s="396"/>
      <c r="AN153" s="396"/>
      <c r="AO153" s="396"/>
      <c r="AP153" s="396"/>
      <c r="AQ153" s="396"/>
      <c r="AR153" s="396"/>
      <c r="AS153" s="397"/>
      <c r="AT153" s="490"/>
      <c r="AW153" s="387"/>
      <c r="AX153" s="489">
        <f>ROUND(Q152*AR154,0)</f>
        <v>85</v>
      </c>
      <c r="AY153" s="393"/>
    </row>
    <row r="154" spans="1:51" ht="16.5" customHeight="1" x14ac:dyDescent="0.15">
      <c r="A154" s="340">
        <v>12</v>
      </c>
      <c r="B154" s="341">
        <v>7448</v>
      </c>
      <c r="C154" s="390" t="s">
        <v>16449</v>
      </c>
      <c r="D154" s="403"/>
      <c r="E154" s="404"/>
      <c r="F154" s="404"/>
      <c r="G154" s="404"/>
      <c r="H154" s="406"/>
      <c r="Q154" s="395"/>
      <c r="R154" s="151"/>
      <c r="S154" s="151"/>
      <c r="U154" s="387"/>
      <c r="V154" s="343" t="s">
        <v>15625</v>
      </c>
      <c r="W154" s="325"/>
      <c r="X154" s="325"/>
      <c r="Y154" s="325"/>
      <c r="Z154" s="325"/>
      <c r="AA154" s="325"/>
      <c r="AB154" s="325"/>
      <c r="AC154" s="325"/>
      <c r="AD154" s="325"/>
      <c r="AE154" s="325"/>
      <c r="AF154" s="325"/>
      <c r="AG154" s="325"/>
      <c r="AH154" s="325"/>
      <c r="AI154" s="391" t="s">
        <v>15626</v>
      </c>
      <c r="AJ154" s="838">
        <f>AJ152</f>
        <v>1</v>
      </c>
      <c r="AK154" s="843"/>
      <c r="AL154" s="324" t="s">
        <v>15630</v>
      </c>
      <c r="AM154" s="325"/>
      <c r="AN154" s="325"/>
      <c r="AO154" s="325"/>
      <c r="AP154" s="325"/>
      <c r="AQ154" s="190" t="s">
        <v>398</v>
      </c>
      <c r="AR154" s="844">
        <f>AR150</f>
        <v>0.85</v>
      </c>
      <c r="AS154" s="844"/>
      <c r="AT154" s="490"/>
      <c r="AW154" s="387"/>
      <c r="AX154" s="489">
        <f>ROUND(ROUND(Q152*AJ154,0)*AR154,0)</f>
        <v>85</v>
      </c>
      <c r="AY154" s="393"/>
    </row>
    <row r="155" spans="1:51" ht="16.5" customHeight="1" x14ac:dyDescent="0.15">
      <c r="A155" s="340">
        <v>12</v>
      </c>
      <c r="B155" s="341">
        <v>7449</v>
      </c>
      <c r="C155" s="390" t="s">
        <v>16450</v>
      </c>
      <c r="D155" s="403"/>
      <c r="E155" s="404"/>
      <c r="F155" s="404"/>
      <c r="G155" s="404"/>
      <c r="H155" s="406"/>
      <c r="I155" s="10"/>
      <c r="Q155" s="395"/>
      <c r="R155" s="151"/>
      <c r="S155" s="151"/>
      <c r="U155" s="387"/>
      <c r="V155" s="343"/>
      <c r="W155" s="325"/>
      <c r="X155" s="325"/>
      <c r="Y155" s="325"/>
      <c r="Z155" s="325"/>
      <c r="AA155" s="325"/>
      <c r="AB155" s="325"/>
      <c r="AC155" s="325"/>
      <c r="AD155" s="325"/>
      <c r="AE155" s="325"/>
      <c r="AF155" s="325"/>
      <c r="AG155" s="325"/>
      <c r="AH155" s="325"/>
      <c r="AI155" s="391"/>
      <c r="AJ155" s="401"/>
      <c r="AK155" s="402"/>
      <c r="AL155" s="396"/>
      <c r="AM155" s="396"/>
      <c r="AN155" s="396"/>
      <c r="AO155" s="396"/>
      <c r="AP155" s="396"/>
      <c r="AQ155" s="396"/>
      <c r="AR155" s="396"/>
      <c r="AS155" s="396"/>
      <c r="AT155" s="857" t="s">
        <v>16296</v>
      </c>
      <c r="AU155" s="858"/>
      <c r="AV155" s="858"/>
      <c r="AW155" s="860"/>
      <c r="AX155" s="489">
        <f>ROUND(Q152*AT158,0)</f>
        <v>80</v>
      </c>
      <c r="AY155" s="393"/>
    </row>
    <row r="156" spans="1:51" ht="16.5" customHeight="1" x14ac:dyDescent="0.15">
      <c r="A156" s="340">
        <v>12</v>
      </c>
      <c r="B156" s="341">
        <v>7450</v>
      </c>
      <c r="C156" s="390" t="s">
        <v>16451</v>
      </c>
      <c r="D156" s="403"/>
      <c r="E156" s="404"/>
      <c r="F156" s="404"/>
      <c r="G156" s="404"/>
      <c r="H156" s="406"/>
      <c r="Q156" s="899"/>
      <c r="R156" s="900"/>
      <c r="S156" s="900"/>
      <c r="U156" s="387"/>
      <c r="V156" s="343" t="s">
        <v>15625</v>
      </c>
      <c r="W156" s="325"/>
      <c r="X156" s="325"/>
      <c r="Y156" s="325"/>
      <c r="Z156" s="325"/>
      <c r="AA156" s="325"/>
      <c r="AB156" s="325"/>
      <c r="AC156" s="325"/>
      <c r="AD156" s="325"/>
      <c r="AE156" s="325"/>
      <c r="AF156" s="325"/>
      <c r="AG156" s="325"/>
      <c r="AH156" s="325"/>
      <c r="AI156" s="391" t="s">
        <v>15626</v>
      </c>
      <c r="AJ156" s="838">
        <f>AJ154</f>
        <v>1</v>
      </c>
      <c r="AK156" s="839"/>
      <c r="AL156" s="325"/>
      <c r="AM156" s="325"/>
      <c r="AN156" s="325"/>
      <c r="AO156" s="325"/>
      <c r="AP156" s="325"/>
      <c r="AQ156" s="325"/>
      <c r="AR156" s="325"/>
      <c r="AS156" s="325"/>
      <c r="AT156" s="849"/>
      <c r="AU156" s="850"/>
      <c r="AV156" s="850"/>
      <c r="AW156" s="852"/>
      <c r="AX156" s="489">
        <f>ROUND(ROUND(Q152*AJ156,0)*AT158,0)</f>
        <v>80</v>
      </c>
      <c r="AY156" s="393"/>
    </row>
    <row r="157" spans="1:51" ht="16.5" customHeight="1" x14ac:dyDescent="0.15">
      <c r="A157" s="340">
        <v>12</v>
      </c>
      <c r="B157" s="341">
        <v>7451</v>
      </c>
      <c r="C157" s="390" t="s">
        <v>16452</v>
      </c>
      <c r="D157" s="403"/>
      <c r="E157" s="404"/>
      <c r="F157" s="404"/>
      <c r="G157" s="404"/>
      <c r="H157" s="406"/>
      <c r="Q157" s="395"/>
      <c r="R157" s="151"/>
      <c r="S157" s="151"/>
      <c r="U157" s="387"/>
      <c r="V157" s="343"/>
      <c r="W157" s="343"/>
      <c r="X157" s="343"/>
      <c r="Y157" s="343"/>
      <c r="Z157" s="343"/>
      <c r="AA157" s="343"/>
      <c r="AB157" s="343"/>
      <c r="AC157" s="343"/>
      <c r="AD157" s="343"/>
      <c r="AE157" s="343"/>
      <c r="AF157" s="343"/>
      <c r="AG157" s="343"/>
      <c r="AH157" s="343"/>
      <c r="AI157" s="343"/>
      <c r="AJ157" s="343"/>
      <c r="AK157" s="343"/>
      <c r="AL157" s="114" t="s">
        <v>15628</v>
      </c>
      <c r="AM157" s="396"/>
      <c r="AN157" s="396"/>
      <c r="AO157" s="396"/>
      <c r="AP157" s="396"/>
      <c r="AQ157" s="396"/>
      <c r="AR157" s="396"/>
      <c r="AS157" s="397"/>
      <c r="AT157" s="901" t="s">
        <v>15636</v>
      </c>
      <c r="AU157" s="902"/>
      <c r="AV157" s="902"/>
      <c r="AW157" s="903"/>
      <c r="AX157" s="489">
        <f>ROUND(ROUND(Q152*AR158,0)*AT158,0)</f>
        <v>68</v>
      </c>
      <c r="AY157" s="393"/>
    </row>
    <row r="158" spans="1:51" ht="16.5" customHeight="1" x14ac:dyDescent="0.15">
      <c r="A158" s="340">
        <v>12</v>
      </c>
      <c r="B158" s="341">
        <v>7452</v>
      </c>
      <c r="C158" s="390" t="s">
        <v>16453</v>
      </c>
      <c r="D158" s="403"/>
      <c r="E158" s="404"/>
      <c r="F158" s="404"/>
      <c r="G158" s="404"/>
      <c r="H158" s="406"/>
      <c r="Q158" s="395"/>
      <c r="R158" s="151"/>
      <c r="S158" s="151"/>
      <c r="U158" s="387"/>
      <c r="V158" s="343" t="s">
        <v>15625</v>
      </c>
      <c r="W158" s="325"/>
      <c r="X158" s="325"/>
      <c r="Y158" s="325"/>
      <c r="Z158" s="325"/>
      <c r="AA158" s="325"/>
      <c r="AB158" s="325"/>
      <c r="AC158" s="325"/>
      <c r="AD158" s="325"/>
      <c r="AE158" s="325"/>
      <c r="AF158" s="325"/>
      <c r="AG158" s="325"/>
      <c r="AH158" s="325"/>
      <c r="AI158" s="391" t="s">
        <v>15626</v>
      </c>
      <c r="AJ158" s="838">
        <f>AJ156</f>
        <v>1</v>
      </c>
      <c r="AK158" s="843"/>
      <c r="AL158" s="324" t="s">
        <v>15630</v>
      </c>
      <c r="AM158" s="325"/>
      <c r="AN158" s="325"/>
      <c r="AO158" s="325"/>
      <c r="AP158" s="325"/>
      <c r="AQ158" s="190" t="s">
        <v>398</v>
      </c>
      <c r="AR158" s="844">
        <f>AR154</f>
        <v>0.85</v>
      </c>
      <c r="AS158" s="844"/>
      <c r="AT158" s="907">
        <f>AT150</f>
        <v>0.8</v>
      </c>
      <c r="AU158" s="844"/>
      <c r="AV158" s="844"/>
      <c r="AW158" s="845"/>
      <c r="AX158" s="489">
        <f>ROUND(ROUND(ROUND(Q152*AJ158,0)*AR158,0)*AT158,0)</f>
        <v>68</v>
      </c>
      <c r="AY158" s="393"/>
    </row>
    <row r="159" spans="1:51" ht="17.100000000000001" customHeight="1" x14ac:dyDescent="0.15">
      <c r="A159" s="340">
        <v>12</v>
      </c>
      <c r="B159" s="341">
        <v>7453</v>
      </c>
      <c r="C159" s="390" t="s">
        <v>16454</v>
      </c>
      <c r="D159" s="403"/>
      <c r="E159" s="404"/>
      <c r="F159" s="404"/>
      <c r="G159" s="404"/>
      <c r="H159" s="406"/>
      <c r="I159" s="908" t="s">
        <v>16354</v>
      </c>
      <c r="J159" s="909"/>
      <c r="K159" s="909"/>
      <c r="L159" s="909"/>
      <c r="M159" s="909"/>
      <c r="N159" s="909"/>
      <c r="O159" s="909"/>
      <c r="P159" s="909"/>
      <c r="Q159" s="909"/>
      <c r="R159" s="909"/>
      <c r="S159" s="909"/>
      <c r="T159" s="909"/>
      <c r="U159" s="910"/>
      <c r="V159" s="343"/>
      <c r="W159" s="343"/>
      <c r="X159" s="343"/>
      <c r="Y159" s="343"/>
      <c r="Z159" s="343"/>
      <c r="AA159" s="343"/>
      <c r="AB159" s="343"/>
      <c r="AC159" s="343"/>
      <c r="AD159" s="343"/>
      <c r="AE159" s="343"/>
      <c r="AF159" s="343"/>
      <c r="AG159" s="343"/>
      <c r="AH159" s="343"/>
      <c r="AI159" s="343"/>
      <c r="AJ159" s="401"/>
      <c r="AK159" s="402"/>
      <c r="AL159" s="396"/>
      <c r="AM159" s="396"/>
      <c r="AN159" s="396"/>
      <c r="AO159" s="396"/>
      <c r="AP159" s="396"/>
      <c r="AQ159" s="396"/>
      <c r="AR159" s="396"/>
      <c r="AS159" s="396"/>
      <c r="AT159" s="496"/>
      <c r="AU159" s="400"/>
      <c r="AV159" s="396"/>
      <c r="AW159" s="397"/>
      <c r="AX159" s="489">
        <f>ROUND(Q160,0)</f>
        <v>92</v>
      </c>
      <c r="AY159" s="393"/>
    </row>
    <row r="160" spans="1:51" ht="16.5" customHeight="1" x14ac:dyDescent="0.15">
      <c r="A160" s="340">
        <v>12</v>
      </c>
      <c r="B160" s="341">
        <v>7454</v>
      </c>
      <c r="C160" s="390" t="s">
        <v>16455</v>
      </c>
      <c r="D160" s="403"/>
      <c r="E160" s="404"/>
      <c r="F160" s="404"/>
      <c r="G160" s="404"/>
      <c r="H160" s="406"/>
      <c r="Q160" s="836">
        <f>ROUND(Q256*$F$109,0)</f>
        <v>92</v>
      </c>
      <c r="R160" s="837"/>
      <c r="S160" s="837"/>
      <c r="T160" s="152" t="s">
        <v>15624</v>
      </c>
      <c r="U160" s="387"/>
      <c r="V160" s="343" t="s">
        <v>15625</v>
      </c>
      <c r="W160" s="325"/>
      <c r="X160" s="325"/>
      <c r="Y160" s="325"/>
      <c r="Z160" s="325"/>
      <c r="AA160" s="325"/>
      <c r="AB160" s="325"/>
      <c r="AC160" s="325"/>
      <c r="AD160" s="325"/>
      <c r="AE160" s="325"/>
      <c r="AF160" s="325"/>
      <c r="AG160" s="325"/>
      <c r="AH160" s="325"/>
      <c r="AI160" s="391" t="s">
        <v>15626</v>
      </c>
      <c r="AJ160" s="838">
        <f>AJ158</f>
        <v>1</v>
      </c>
      <c r="AK160" s="839"/>
      <c r="AL160" s="325"/>
      <c r="AM160" s="325"/>
      <c r="AN160" s="325"/>
      <c r="AO160" s="325"/>
      <c r="AP160" s="325"/>
      <c r="AQ160" s="325"/>
      <c r="AR160" s="325"/>
      <c r="AS160" s="391"/>
      <c r="AT160" s="490"/>
      <c r="AW160" s="387"/>
      <c r="AX160" s="489">
        <f>ROUND(Q160*AJ160,0)</f>
        <v>92</v>
      </c>
      <c r="AY160" s="393"/>
    </row>
    <row r="161" spans="1:51" ht="16.5" customHeight="1" x14ac:dyDescent="0.15">
      <c r="A161" s="340">
        <v>12</v>
      </c>
      <c r="B161" s="341">
        <v>7455</v>
      </c>
      <c r="C161" s="390" t="s">
        <v>16456</v>
      </c>
      <c r="D161" s="403"/>
      <c r="E161" s="404"/>
      <c r="F161" s="404"/>
      <c r="G161" s="404"/>
      <c r="H161" s="406"/>
      <c r="Q161" s="395"/>
      <c r="R161" s="151"/>
      <c r="S161" s="151"/>
      <c r="U161" s="387"/>
      <c r="V161" s="343"/>
      <c r="W161" s="343"/>
      <c r="X161" s="343"/>
      <c r="Y161" s="343"/>
      <c r="Z161" s="343"/>
      <c r="AA161" s="343"/>
      <c r="AB161" s="343"/>
      <c r="AC161" s="343"/>
      <c r="AD161" s="343"/>
      <c r="AE161" s="343"/>
      <c r="AF161" s="343"/>
      <c r="AG161" s="343"/>
      <c r="AH161" s="343"/>
      <c r="AI161" s="343"/>
      <c r="AJ161" s="343"/>
      <c r="AK161" s="343"/>
      <c r="AL161" s="114" t="s">
        <v>15628</v>
      </c>
      <c r="AM161" s="396"/>
      <c r="AN161" s="396"/>
      <c r="AO161" s="396"/>
      <c r="AP161" s="396"/>
      <c r="AQ161" s="396"/>
      <c r="AR161" s="396"/>
      <c r="AS161" s="397"/>
      <c r="AT161" s="490"/>
      <c r="AW161" s="387"/>
      <c r="AX161" s="489">
        <f>ROUND(Q160*AR162,0)</f>
        <v>78</v>
      </c>
      <c r="AY161" s="393"/>
    </row>
    <row r="162" spans="1:51" ht="16.5" customHeight="1" x14ac:dyDescent="0.15">
      <c r="A162" s="340">
        <v>12</v>
      </c>
      <c r="B162" s="341">
        <v>7456</v>
      </c>
      <c r="C162" s="390" t="s">
        <v>16457</v>
      </c>
      <c r="D162" s="403"/>
      <c r="E162" s="404"/>
      <c r="F162" s="404"/>
      <c r="G162" s="404"/>
      <c r="H162" s="406"/>
      <c r="Q162" s="395"/>
      <c r="R162" s="151"/>
      <c r="S162" s="151"/>
      <c r="U162" s="387"/>
      <c r="V162" s="343" t="s">
        <v>15625</v>
      </c>
      <c r="W162" s="325"/>
      <c r="X162" s="325"/>
      <c r="Y162" s="325"/>
      <c r="Z162" s="325"/>
      <c r="AA162" s="325"/>
      <c r="AB162" s="325"/>
      <c r="AC162" s="325"/>
      <c r="AD162" s="325"/>
      <c r="AE162" s="325"/>
      <c r="AF162" s="325"/>
      <c r="AG162" s="325"/>
      <c r="AH162" s="325"/>
      <c r="AI162" s="391" t="s">
        <v>15626</v>
      </c>
      <c r="AJ162" s="838">
        <f>AJ160</f>
        <v>1</v>
      </c>
      <c r="AK162" s="843"/>
      <c r="AL162" s="324" t="s">
        <v>15630</v>
      </c>
      <c r="AM162" s="325"/>
      <c r="AN162" s="325"/>
      <c r="AO162" s="325"/>
      <c r="AP162" s="325"/>
      <c r="AQ162" s="190" t="s">
        <v>398</v>
      </c>
      <c r="AR162" s="844">
        <f>AR158</f>
        <v>0.85</v>
      </c>
      <c r="AS162" s="844"/>
      <c r="AT162" s="490"/>
      <c r="AW162" s="387"/>
      <c r="AX162" s="489">
        <f>ROUND(ROUND(Q160*AJ162,0)*AR162,0)</f>
        <v>78</v>
      </c>
      <c r="AY162" s="393"/>
    </row>
    <row r="163" spans="1:51" ht="17.100000000000001" customHeight="1" x14ac:dyDescent="0.15">
      <c r="A163" s="340">
        <v>12</v>
      </c>
      <c r="B163" s="341">
        <v>7457</v>
      </c>
      <c r="C163" s="390" t="s">
        <v>16458</v>
      </c>
      <c r="D163" s="403"/>
      <c r="E163" s="404"/>
      <c r="F163" s="404"/>
      <c r="G163" s="404"/>
      <c r="H163" s="406"/>
      <c r="I163" s="10"/>
      <c r="L163" s="151"/>
      <c r="M163" s="151"/>
      <c r="N163" s="151"/>
      <c r="U163" s="387"/>
      <c r="V163" s="343"/>
      <c r="W163" s="343"/>
      <c r="X163" s="343"/>
      <c r="Y163" s="343"/>
      <c r="Z163" s="343"/>
      <c r="AA163" s="343"/>
      <c r="AB163" s="343"/>
      <c r="AC163" s="343"/>
      <c r="AD163" s="343"/>
      <c r="AE163" s="343"/>
      <c r="AF163" s="343"/>
      <c r="AG163" s="343"/>
      <c r="AH163" s="343"/>
      <c r="AI163" s="343"/>
      <c r="AJ163" s="401"/>
      <c r="AK163" s="402"/>
      <c r="AL163" s="396"/>
      <c r="AM163" s="396"/>
      <c r="AN163" s="396"/>
      <c r="AO163" s="396"/>
      <c r="AP163" s="396"/>
      <c r="AQ163" s="396"/>
      <c r="AR163" s="396"/>
      <c r="AS163" s="396"/>
      <c r="AT163" s="857" t="s">
        <v>16296</v>
      </c>
      <c r="AU163" s="858"/>
      <c r="AV163" s="858"/>
      <c r="AW163" s="860"/>
      <c r="AX163" s="489">
        <f>ROUND(Q160*AT166,0)</f>
        <v>74</v>
      </c>
      <c r="AY163" s="393"/>
    </row>
    <row r="164" spans="1:51" ht="16.5" customHeight="1" x14ac:dyDescent="0.15">
      <c r="A164" s="340">
        <v>12</v>
      </c>
      <c r="B164" s="341">
        <v>7458</v>
      </c>
      <c r="C164" s="390" t="s">
        <v>16459</v>
      </c>
      <c r="D164" s="403"/>
      <c r="E164" s="404"/>
      <c r="F164" s="404"/>
      <c r="G164" s="404"/>
      <c r="H164" s="406"/>
      <c r="Q164" s="899"/>
      <c r="R164" s="900"/>
      <c r="S164" s="900"/>
      <c r="U164" s="387"/>
      <c r="V164" s="343" t="s">
        <v>15625</v>
      </c>
      <c r="W164" s="325"/>
      <c r="X164" s="325"/>
      <c r="Y164" s="325"/>
      <c r="Z164" s="325"/>
      <c r="AA164" s="325"/>
      <c r="AB164" s="325"/>
      <c r="AC164" s="325"/>
      <c r="AD164" s="325"/>
      <c r="AE164" s="325"/>
      <c r="AF164" s="325"/>
      <c r="AG164" s="325"/>
      <c r="AH164" s="325"/>
      <c r="AI164" s="391" t="s">
        <v>15626</v>
      </c>
      <c r="AJ164" s="838">
        <f>AJ162</f>
        <v>1</v>
      </c>
      <c r="AK164" s="839"/>
      <c r="AL164" s="325"/>
      <c r="AM164" s="325"/>
      <c r="AN164" s="325"/>
      <c r="AO164" s="325"/>
      <c r="AP164" s="325"/>
      <c r="AQ164" s="325"/>
      <c r="AR164" s="325"/>
      <c r="AS164" s="391"/>
      <c r="AT164" s="849"/>
      <c r="AU164" s="850"/>
      <c r="AV164" s="850"/>
      <c r="AW164" s="852"/>
      <c r="AX164" s="489">
        <f>ROUND(ROUND(Q160*AJ164,0)*AT166,0)</f>
        <v>74</v>
      </c>
      <c r="AY164" s="393"/>
    </row>
    <row r="165" spans="1:51" ht="16.5" customHeight="1" x14ac:dyDescent="0.15">
      <c r="A165" s="340">
        <v>12</v>
      </c>
      <c r="B165" s="341">
        <v>7459</v>
      </c>
      <c r="C165" s="390" t="s">
        <v>16460</v>
      </c>
      <c r="D165" s="403"/>
      <c r="E165" s="404"/>
      <c r="F165" s="404"/>
      <c r="G165" s="404"/>
      <c r="H165" s="406"/>
      <c r="Q165" s="395"/>
      <c r="R165" s="151"/>
      <c r="S165" s="151"/>
      <c r="U165" s="387"/>
      <c r="V165" s="343"/>
      <c r="W165" s="343"/>
      <c r="X165" s="343"/>
      <c r="Y165" s="343"/>
      <c r="Z165" s="343"/>
      <c r="AA165" s="343"/>
      <c r="AB165" s="343"/>
      <c r="AC165" s="343"/>
      <c r="AD165" s="343"/>
      <c r="AE165" s="343"/>
      <c r="AF165" s="343"/>
      <c r="AG165" s="343"/>
      <c r="AH165" s="343"/>
      <c r="AI165" s="343"/>
      <c r="AJ165" s="343"/>
      <c r="AK165" s="343"/>
      <c r="AL165" s="114" t="s">
        <v>15628</v>
      </c>
      <c r="AM165" s="396"/>
      <c r="AN165" s="396"/>
      <c r="AO165" s="396"/>
      <c r="AP165" s="396"/>
      <c r="AQ165" s="396"/>
      <c r="AR165" s="396"/>
      <c r="AS165" s="397"/>
      <c r="AT165" s="901" t="s">
        <v>15636</v>
      </c>
      <c r="AU165" s="902"/>
      <c r="AV165" s="902"/>
      <c r="AW165" s="903"/>
      <c r="AX165" s="489">
        <f>ROUND(ROUND(Q160*AR166,0)*AT166,0)</f>
        <v>62</v>
      </c>
      <c r="AY165" s="393"/>
    </row>
    <row r="166" spans="1:51" ht="16.5" customHeight="1" x14ac:dyDescent="0.15">
      <c r="A166" s="340">
        <v>12</v>
      </c>
      <c r="B166" s="341">
        <v>7460</v>
      </c>
      <c r="C166" s="390" t="s">
        <v>16461</v>
      </c>
      <c r="D166" s="403"/>
      <c r="E166" s="404"/>
      <c r="F166" s="404"/>
      <c r="G166" s="404"/>
      <c r="H166" s="406"/>
      <c r="Q166" s="395"/>
      <c r="R166" s="151"/>
      <c r="S166" s="151"/>
      <c r="U166" s="387"/>
      <c r="V166" s="343" t="s">
        <v>15625</v>
      </c>
      <c r="W166" s="325"/>
      <c r="X166" s="325"/>
      <c r="Y166" s="325"/>
      <c r="Z166" s="325"/>
      <c r="AA166" s="325"/>
      <c r="AB166" s="325"/>
      <c r="AC166" s="325"/>
      <c r="AD166" s="325"/>
      <c r="AE166" s="325"/>
      <c r="AF166" s="325"/>
      <c r="AG166" s="325"/>
      <c r="AH166" s="325"/>
      <c r="AI166" s="391" t="s">
        <v>15626</v>
      </c>
      <c r="AJ166" s="838">
        <f>AJ164</f>
        <v>1</v>
      </c>
      <c r="AK166" s="843"/>
      <c r="AL166" s="324" t="s">
        <v>15630</v>
      </c>
      <c r="AM166" s="325"/>
      <c r="AN166" s="325"/>
      <c r="AO166" s="325"/>
      <c r="AP166" s="325"/>
      <c r="AQ166" s="190" t="s">
        <v>398</v>
      </c>
      <c r="AR166" s="844">
        <f>AR162</f>
        <v>0.85</v>
      </c>
      <c r="AS166" s="844"/>
      <c r="AT166" s="907">
        <f>AT158</f>
        <v>0.8</v>
      </c>
      <c r="AU166" s="844"/>
      <c r="AV166" s="844"/>
      <c r="AW166" s="845"/>
      <c r="AX166" s="489">
        <f>ROUND(ROUND(ROUND(Q160*AJ166,0)*AR166,0)*AT166,0)</f>
        <v>62</v>
      </c>
      <c r="AY166" s="393"/>
    </row>
    <row r="167" spans="1:51" ht="17.100000000000001" customHeight="1" x14ac:dyDescent="0.15">
      <c r="A167" s="340">
        <v>12</v>
      </c>
      <c r="B167" s="341">
        <v>7461</v>
      </c>
      <c r="C167" s="390" t="s">
        <v>16462</v>
      </c>
      <c r="D167" s="403"/>
      <c r="E167" s="404"/>
      <c r="F167" s="404"/>
      <c r="G167" s="404"/>
      <c r="H167" s="406"/>
      <c r="I167" s="908" t="s">
        <v>16363</v>
      </c>
      <c r="J167" s="909"/>
      <c r="K167" s="909"/>
      <c r="L167" s="909"/>
      <c r="M167" s="909"/>
      <c r="N167" s="909"/>
      <c r="O167" s="909"/>
      <c r="P167" s="909"/>
      <c r="Q167" s="909"/>
      <c r="R167" s="909"/>
      <c r="S167" s="909"/>
      <c r="T167" s="909"/>
      <c r="U167" s="910"/>
      <c r="V167" s="343"/>
      <c r="W167" s="343"/>
      <c r="X167" s="343"/>
      <c r="Y167" s="343"/>
      <c r="Z167" s="343"/>
      <c r="AA167" s="343"/>
      <c r="AB167" s="343"/>
      <c r="AC167" s="343"/>
      <c r="AD167" s="343"/>
      <c r="AE167" s="343"/>
      <c r="AF167" s="343"/>
      <c r="AG167" s="343"/>
      <c r="AH167" s="343"/>
      <c r="AI167" s="343"/>
      <c r="AJ167" s="401"/>
      <c r="AK167" s="402"/>
      <c r="AL167" s="396"/>
      <c r="AM167" s="396"/>
      <c r="AN167" s="396"/>
      <c r="AO167" s="396"/>
      <c r="AP167" s="396"/>
      <c r="AQ167" s="396"/>
      <c r="AR167" s="396"/>
      <c r="AS167" s="396"/>
      <c r="AT167" s="496"/>
      <c r="AU167" s="400"/>
      <c r="AV167" s="396"/>
      <c r="AW167" s="397"/>
      <c r="AX167" s="489">
        <f>ROUND(Q168,0)</f>
        <v>92</v>
      </c>
      <c r="AY167" s="393"/>
    </row>
    <row r="168" spans="1:51" ht="16.5" customHeight="1" x14ac:dyDescent="0.15">
      <c r="A168" s="340">
        <v>12</v>
      </c>
      <c r="B168" s="341">
        <v>7462</v>
      </c>
      <c r="C168" s="390" t="s">
        <v>16463</v>
      </c>
      <c r="D168" s="403"/>
      <c r="E168" s="404"/>
      <c r="F168" s="404"/>
      <c r="G168" s="404"/>
      <c r="H168" s="406"/>
      <c r="Q168" s="836">
        <f>ROUND(Q264*$F$109,0)</f>
        <v>92</v>
      </c>
      <c r="R168" s="837"/>
      <c r="S168" s="837"/>
      <c r="T168" s="152" t="s">
        <v>15624</v>
      </c>
      <c r="U168" s="387"/>
      <c r="V168" s="343" t="s">
        <v>15625</v>
      </c>
      <c r="W168" s="325"/>
      <c r="X168" s="325"/>
      <c r="Y168" s="325"/>
      <c r="Z168" s="325"/>
      <c r="AA168" s="325"/>
      <c r="AB168" s="325"/>
      <c r="AC168" s="325"/>
      <c r="AD168" s="325"/>
      <c r="AE168" s="325"/>
      <c r="AF168" s="325"/>
      <c r="AG168" s="325"/>
      <c r="AH168" s="325"/>
      <c r="AI168" s="391" t="s">
        <v>15626</v>
      </c>
      <c r="AJ168" s="838">
        <f>AJ166</f>
        <v>1</v>
      </c>
      <c r="AK168" s="839"/>
      <c r="AL168" s="325"/>
      <c r="AM168" s="325"/>
      <c r="AN168" s="325"/>
      <c r="AO168" s="325"/>
      <c r="AP168" s="325"/>
      <c r="AQ168" s="325"/>
      <c r="AR168" s="325"/>
      <c r="AS168" s="391"/>
      <c r="AT168" s="490"/>
      <c r="AW168" s="387"/>
      <c r="AX168" s="489">
        <f>ROUND(Q168*AJ168,0)</f>
        <v>92</v>
      </c>
      <c r="AY168" s="393"/>
    </row>
    <row r="169" spans="1:51" ht="16.5" customHeight="1" x14ac:dyDescent="0.15">
      <c r="A169" s="340">
        <v>12</v>
      </c>
      <c r="B169" s="341">
        <v>7463</v>
      </c>
      <c r="C169" s="390" t="s">
        <v>16464</v>
      </c>
      <c r="D169" s="403"/>
      <c r="E169" s="404"/>
      <c r="F169" s="404"/>
      <c r="G169" s="404"/>
      <c r="H169" s="406"/>
      <c r="Q169" s="395"/>
      <c r="R169" s="151"/>
      <c r="S169" s="151"/>
      <c r="U169" s="387"/>
      <c r="V169" s="343"/>
      <c r="W169" s="343"/>
      <c r="X169" s="343"/>
      <c r="Y169" s="343"/>
      <c r="Z169" s="343"/>
      <c r="AA169" s="343"/>
      <c r="AB169" s="343"/>
      <c r="AC169" s="343"/>
      <c r="AD169" s="343"/>
      <c r="AE169" s="343"/>
      <c r="AF169" s="343"/>
      <c r="AG169" s="343"/>
      <c r="AH169" s="343"/>
      <c r="AI169" s="343"/>
      <c r="AJ169" s="343"/>
      <c r="AK169" s="343"/>
      <c r="AL169" s="114" t="s">
        <v>15628</v>
      </c>
      <c r="AM169" s="396"/>
      <c r="AN169" s="396"/>
      <c r="AO169" s="396"/>
      <c r="AP169" s="396"/>
      <c r="AQ169" s="396"/>
      <c r="AR169" s="396"/>
      <c r="AS169" s="397"/>
      <c r="AT169" s="490"/>
      <c r="AW169" s="387"/>
      <c r="AX169" s="489">
        <f>ROUND(Q168*AR170,0)</f>
        <v>78</v>
      </c>
      <c r="AY169" s="393"/>
    </row>
    <row r="170" spans="1:51" ht="16.5" customHeight="1" x14ac:dyDescent="0.15">
      <c r="A170" s="340">
        <v>12</v>
      </c>
      <c r="B170" s="341">
        <v>7464</v>
      </c>
      <c r="C170" s="390" t="s">
        <v>16465</v>
      </c>
      <c r="D170" s="403"/>
      <c r="E170" s="404"/>
      <c r="F170" s="404"/>
      <c r="G170" s="404"/>
      <c r="H170" s="406"/>
      <c r="Q170" s="395"/>
      <c r="R170" s="151"/>
      <c r="S170" s="151"/>
      <c r="U170" s="387"/>
      <c r="V170" s="343" t="s">
        <v>15625</v>
      </c>
      <c r="W170" s="325"/>
      <c r="X170" s="325"/>
      <c r="Y170" s="325"/>
      <c r="Z170" s="325"/>
      <c r="AA170" s="325"/>
      <c r="AB170" s="325"/>
      <c r="AC170" s="325"/>
      <c r="AD170" s="325"/>
      <c r="AE170" s="325"/>
      <c r="AF170" s="325"/>
      <c r="AG170" s="325"/>
      <c r="AH170" s="325"/>
      <c r="AI170" s="391" t="s">
        <v>15626</v>
      </c>
      <c r="AJ170" s="838">
        <f>AJ168</f>
        <v>1</v>
      </c>
      <c r="AK170" s="843"/>
      <c r="AL170" s="324" t="s">
        <v>15630</v>
      </c>
      <c r="AM170" s="325"/>
      <c r="AN170" s="325"/>
      <c r="AO170" s="325"/>
      <c r="AP170" s="325"/>
      <c r="AQ170" s="190" t="s">
        <v>398</v>
      </c>
      <c r="AR170" s="844">
        <f>AR166</f>
        <v>0.85</v>
      </c>
      <c r="AS170" s="844"/>
      <c r="AT170" s="490"/>
      <c r="AW170" s="387"/>
      <c r="AX170" s="489">
        <f>ROUND(ROUND(Q168*AJ170,0)*AR170,0)</f>
        <v>78</v>
      </c>
      <c r="AY170" s="393"/>
    </row>
    <row r="171" spans="1:51" ht="17.100000000000001" customHeight="1" x14ac:dyDescent="0.15">
      <c r="A171" s="340">
        <v>12</v>
      </c>
      <c r="B171" s="341">
        <v>7465</v>
      </c>
      <c r="C171" s="390" t="s">
        <v>16466</v>
      </c>
      <c r="D171" s="403"/>
      <c r="E171" s="404"/>
      <c r="F171" s="404"/>
      <c r="G171" s="404"/>
      <c r="H171" s="406"/>
      <c r="I171" s="10"/>
      <c r="L171" s="151"/>
      <c r="M171" s="151"/>
      <c r="N171" s="151"/>
      <c r="U171" s="387"/>
      <c r="V171" s="343"/>
      <c r="W171" s="343"/>
      <c r="X171" s="343"/>
      <c r="Y171" s="343"/>
      <c r="Z171" s="343"/>
      <c r="AA171" s="343"/>
      <c r="AB171" s="343"/>
      <c r="AC171" s="343"/>
      <c r="AD171" s="343"/>
      <c r="AE171" s="343"/>
      <c r="AF171" s="343"/>
      <c r="AG171" s="343"/>
      <c r="AH171" s="343"/>
      <c r="AI171" s="343"/>
      <c r="AJ171" s="401"/>
      <c r="AK171" s="402"/>
      <c r="AL171" s="396"/>
      <c r="AM171" s="396"/>
      <c r="AN171" s="396"/>
      <c r="AO171" s="396"/>
      <c r="AP171" s="396"/>
      <c r="AQ171" s="396"/>
      <c r="AR171" s="396"/>
      <c r="AS171" s="396"/>
      <c r="AT171" s="857" t="s">
        <v>16296</v>
      </c>
      <c r="AU171" s="858"/>
      <c r="AV171" s="858"/>
      <c r="AW171" s="860"/>
      <c r="AX171" s="489">
        <f>ROUND(Q168*AT174,0)</f>
        <v>74</v>
      </c>
      <c r="AY171" s="393"/>
    </row>
    <row r="172" spans="1:51" ht="16.5" customHeight="1" x14ac:dyDescent="0.15">
      <c r="A172" s="340">
        <v>12</v>
      </c>
      <c r="B172" s="341">
        <v>7466</v>
      </c>
      <c r="C172" s="390" t="s">
        <v>16467</v>
      </c>
      <c r="D172" s="403"/>
      <c r="E172" s="404"/>
      <c r="F172" s="404"/>
      <c r="G172" s="404"/>
      <c r="H172" s="406"/>
      <c r="Q172" s="899"/>
      <c r="R172" s="900"/>
      <c r="S172" s="900"/>
      <c r="U172" s="387"/>
      <c r="V172" s="343" t="s">
        <v>15625</v>
      </c>
      <c r="W172" s="325"/>
      <c r="X172" s="325"/>
      <c r="Y172" s="325"/>
      <c r="Z172" s="325"/>
      <c r="AA172" s="325"/>
      <c r="AB172" s="325"/>
      <c r="AC172" s="325"/>
      <c r="AD172" s="325"/>
      <c r="AE172" s="325"/>
      <c r="AF172" s="325"/>
      <c r="AG172" s="325"/>
      <c r="AH172" s="325"/>
      <c r="AI172" s="391" t="s">
        <v>15626</v>
      </c>
      <c r="AJ172" s="838">
        <f>AJ170</f>
        <v>1</v>
      </c>
      <c r="AK172" s="839"/>
      <c r="AL172" s="325"/>
      <c r="AM172" s="325"/>
      <c r="AN172" s="325"/>
      <c r="AO172" s="325"/>
      <c r="AP172" s="325"/>
      <c r="AQ172" s="325"/>
      <c r="AR172" s="325"/>
      <c r="AS172" s="391"/>
      <c r="AT172" s="849"/>
      <c r="AU172" s="850"/>
      <c r="AV172" s="850"/>
      <c r="AW172" s="852"/>
      <c r="AX172" s="489">
        <f>ROUND(ROUND(Q168*AJ172,0)*AT174,0)</f>
        <v>74</v>
      </c>
      <c r="AY172" s="393"/>
    </row>
    <row r="173" spans="1:51" ht="16.5" customHeight="1" x14ac:dyDescent="0.15">
      <c r="A173" s="340">
        <v>12</v>
      </c>
      <c r="B173" s="341">
        <v>7467</v>
      </c>
      <c r="C173" s="390" t="s">
        <v>16468</v>
      </c>
      <c r="D173" s="403"/>
      <c r="E173" s="404"/>
      <c r="F173" s="404"/>
      <c r="G173" s="404"/>
      <c r="H173" s="406"/>
      <c r="Q173" s="395"/>
      <c r="R173" s="151"/>
      <c r="S173" s="151"/>
      <c r="U173" s="387"/>
      <c r="V173" s="343"/>
      <c r="W173" s="343"/>
      <c r="X173" s="343"/>
      <c r="Y173" s="343"/>
      <c r="Z173" s="343"/>
      <c r="AA173" s="343"/>
      <c r="AB173" s="343"/>
      <c r="AC173" s="343"/>
      <c r="AD173" s="343"/>
      <c r="AE173" s="343"/>
      <c r="AF173" s="343"/>
      <c r="AG173" s="343"/>
      <c r="AH173" s="343"/>
      <c r="AI173" s="343"/>
      <c r="AJ173" s="343"/>
      <c r="AK173" s="343"/>
      <c r="AL173" s="114" t="s">
        <v>15628</v>
      </c>
      <c r="AM173" s="396"/>
      <c r="AN173" s="396"/>
      <c r="AO173" s="396"/>
      <c r="AP173" s="396"/>
      <c r="AQ173" s="396"/>
      <c r="AR173" s="396"/>
      <c r="AS173" s="397"/>
      <c r="AT173" s="901" t="s">
        <v>15636</v>
      </c>
      <c r="AU173" s="902"/>
      <c r="AV173" s="902"/>
      <c r="AW173" s="903"/>
      <c r="AX173" s="489">
        <f>ROUND(ROUND(Q168*AR174,0)*AT174,0)</f>
        <v>62</v>
      </c>
      <c r="AY173" s="393"/>
    </row>
    <row r="174" spans="1:51" ht="16.5" customHeight="1" x14ac:dyDescent="0.15">
      <c r="A174" s="340">
        <v>12</v>
      </c>
      <c r="B174" s="341">
        <v>7468</v>
      </c>
      <c r="C174" s="390" t="s">
        <v>16469</v>
      </c>
      <c r="D174" s="403"/>
      <c r="E174" s="404"/>
      <c r="F174" s="404"/>
      <c r="G174" s="404"/>
      <c r="H174" s="406"/>
      <c r="Q174" s="395"/>
      <c r="R174" s="151"/>
      <c r="S174" s="151"/>
      <c r="U174" s="387"/>
      <c r="V174" s="343" t="s">
        <v>15625</v>
      </c>
      <c r="W174" s="325"/>
      <c r="X174" s="325"/>
      <c r="Y174" s="325"/>
      <c r="Z174" s="325"/>
      <c r="AA174" s="325"/>
      <c r="AB174" s="325"/>
      <c r="AC174" s="325"/>
      <c r="AD174" s="325"/>
      <c r="AE174" s="325"/>
      <c r="AF174" s="325"/>
      <c r="AG174" s="325"/>
      <c r="AH174" s="325"/>
      <c r="AI174" s="391" t="s">
        <v>15626</v>
      </c>
      <c r="AJ174" s="838">
        <f>AJ172</f>
        <v>1</v>
      </c>
      <c r="AK174" s="843"/>
      <c r="AL174" s="324" t="s">
        <v>15630</v>
      </c>
      <c r="AM174" s="325"/>
      <c r="AN174" s="325"/>
      <c r="AO174" s="325"/>
      <c r="AP174" s="325"/>
      <c r="AQ174" s="190" t="s">
        <v>398</v>
      </c>
      <c r="AR174" s="844">
        <f>AR170</f>
        <v>0.85</v>
      </c>
      <c r="AS174" s="844"/>
      <c r="AT174" s="907">
        <f>AT166</f>
        <v>0.8</v>
      </c>
      <c r="AU174" s="844"/>
      <c r="AV174" s="844"/>
      <c r="AW174" s="845"/>
      <c r="AX174" s="489">
        <f>ROUND(ROUND(ROUND(Q168*AJ174,0)*AR174,0)*AT174,0)</f>
        <v>62</v>
      </c>
      <c r="AY174" s="393"/>
    </row>
    <row r="175" spans="1:51" ht="17.100000000000001" customHeight="1" x14ac:dyDescent="0.15">
      <c r="A175" s="340">
        <v>12</v>
      </c>
      <c r="B175" s="341">
        <v>7469</v>
      </c>
      <c r="C175" s="390" t="s">
        <v>16470</v>
      </c>
      <c r="D175" s="403"/>
      <c r="E175" s="404"/>
      <c r="F175" s="404"/>
      <c r="G175" s="404"/>
      <c r="H175" s="406"/>
      <c r="I175" s="908" t="s">
        <v>16372</v>
      </c>
      <c r="J175" s="909"/>
      <c r="K175" s="909"/>
      <c r="L175" s="909"/>
      <c r="M175" s="909"/>
      <c r="N175" s="909"/>
      <c r="O175" s="909"/>
      <c r="P175" s="909"/>
      <c r="Q175" s="909"/>
      <c r="R175" s="909"/>
      <c r="S175" s="909"/>
      <c r="T175" s="909"/>
      <c r="U175" s="910"/>
      <c r="V175" s="343"/>
      <c r="W175" s="343"/>
      <c r="X175" s="343"/>
      <c r="Y175" s="343"/>
      <c r="Z175" s="343"/>
      <c r="AA175" s="343"/>
      <c r="AB175" s="343"/>
      <c r="AC175" s="343"/>
      <c r="AD175" s="343"/>
      <c r="AE175" s="343"/>
      <c r="AF175" s="343"/>
      <c r="AG175" s="343"/>
      <c r="AH175" s="343"/>
      <c r="AI175" s="343"/>
      <c r="AJ175" s="401"/>
      <c r="AK175" s="402"/>
      <c r="AL175" s="396"/>
      <c r="AM175" s="396"/>
      <c r="AN175" s="396"/>
      <c r="AO175" s="396"/>
      <c r="AP175" s="396"/>
      <c r="AQ175" s="396"/>
      <c r="AR175" s="396"/>
      <c r="AS175" s="396"/>
      <c r="AT175" s="496"/>
      <c r="AU175" s="400"/>
      <c r="AV175" s="396"/>
      <c r="AW175" s="397"/>
      <c r="AX175" s="489">
        <f>ROUND(Q176,0)</f>
        <v>87</v>
      </c>
      <c r="AY175" s="393"/>
    </row>
    <row r="176" spans="1:51" ht="16.5" customHeight="1" x14ac:dyDescent="0.15">
      <c r="A176" s="340">
        <v>12</v>
      </c>
      <c r="B176" s="341">
        <v>7470</v>
      </c>
      <c r="C176" s="390" t="s">
        <v>16471</v>
      </c>
      <c r="D176" s="403"/>
      <c r="E176" s="404"/>
      <c r="F176" s="404"/>
      <c r="G176" s="404"/>
      <c r="H176" s="406"/>
      <c r="Q176" s="836">
        <f>ROUND(Q272*$F$109,0)</f>
        <v>87</v>
      </c>
      <c r="R176" s="837"/>
      <c r="S176" s="837"/>
      <c r="T176" s="152" t="s">
        <v>15624</v>
      </c>
      <c r="U176" s="387"/>
      <c r="V176" s="343" t="s">
        <v>15625</v>
      </c>
      <c r="W176" s="325"/>
      <c r="X176" s="325"/>
      <c r="Y176" s="325"/>
      <c r="Z176" s="325"/>
      <c r="AA176" s="325"/>
      <c r="AB176" s="325"/>
      <c r="AC176" s="325"/>
      <c r="AD176" s="325"/>
      <c r="AE176" s="325"/>
      <c r="AF176" s="325"/>
      <c r="AG176" s="325"/>
      <c r="AH176" s="325"/>
      <c r="AI176" s="391" t="s">
        <v>15626</v>
      </c>
      <c r="AJ176" s="838">
        <f>AJ174</f>
        <v>1</v>
      </c>
      <c r="AK176" s="839"/>
      <c r="AL176" s="325"/>
      <c r="AM176" s="325"/>
      <c r="AN176" s="325"/>
      <c r="AO176" s="325"/>
      <c r="AP176" s="325"/>
      <c r="AQ176" s="325"/>
      <c r="AR176" s="325"/>
      <c r="AS176" s="391"/>
      <c r="AT176" s="490"/>
      <c r="AW176" s="387"/>
      <c r="AX176" s="489">
        <f>ROUND(Q176*AJ176,0)</f>
        <v>87</v>
      </c>
      <c r="AY176" s="393"/>
    </row>
    <row r="177" spans="1:51" ht="16.5" customHeight="1" x14ac:dyDescent="0.15">
      <c r="A177" s="340">
        <v>12</v>
      </c>
      <c r="B177" s="341">
        <v>7471</v>
      </c>
      <c r="C177" s="390" t="s">
        <v>16472</v>
      </c>
      <c r="D177" s="403"/>
      <c r="E177" s="404"/>
      <c r="F177" s="404"/>
      <c r="G177" s="404"/>
      <c r="H177" s="406"/>
      <c r="Q177" s="395"/>
      <c r="R177" s="151"/>
      <c r="S177" s="151"/>
      <c r="U177" s="387"/>
      <c r="V177" s="343"/>
      <c r="W177" s="343"/>
      <c r="X177" s="343"/>
      <c r="Y177" s="343"/>
      <c r="Z177" s="343"/>
      <c r="AA177" s="343"/>
      <c r="AB177" s="343"/>
      <c r="AC177" s="343"/>
      <c r="AD177" s="343"/>
      <c r="AE177" s="343"/>
      <c r="AF177" s="343"/>
      <c r="AG177" s="343"/>
      <c r="AH177" s="343"/>
      <c r="AI177" s="343"/>
      <c r="AJ177" s="343"/>
      <c r="AK177" s="343"/>
      <c r="AL177" s="114" t="s">
        <v>15628</v>
      </c>
      <c r="AM177" s="396"/>
      <c r="AN177" s="396"/>
      <c r="AO177" s="396"/>
      <c r="AP177" s="396"/>
      <c r="AQ177" s="396"/>
      <c r="AR177" s="396"/>
      <c r="AS177" s="397"/>
      <c r="AT177" s="490"/>
      <c r="AW177" s="387"/>
      <c r="AX177" s="489">
        <f>ROUND(Q176*AR178,0)</f>
        <v>74</v>
      </c>
      <c r="AY177" s="393"/>
    </row>
    <row r="178" spans="1:51" ht="16.5" customHeight="1" x14ac:dyDescent="0.15">
      <c r="A178" s="340">
        <v>12</v>
      </c>
      <c r="B178" s="341">
        <v>7472</v>
      </c>
      <c r="C178" s="390" t="s">
        <v>16473</v>
      </c>
      <c r="D178" s="403"/>
      <c r="E178" s="404"/>
      <c r="F178" s="404"/>
      <c r="G178" s="404"/>
      <c r="H178" s="406"/>
      <c r="Q178" s="395"/>
      <c r="R178" s="151"/>
      <c r="S178" s="151"/>
      <c r="U178" s="387"/>
      <c r="V178" s="343" t="s">
        <v>15625</v>
      </c>
      <c r="W178" s="325"/>
      <c r="X178" s="325"/>
      <c r="Y178" s="325"/>
      <c r="Z178" s="325"/>
      <c r="AA178" s="325"/>
      <c r="AB178" s="325"/>
      <c r="AC178" s="325"/>
      <c r="AD178" s="325"/>
      <c r="AE178" s="325"/>
      <c r="AF178" s="325"/>
      <c r="AG178" s="325"/>
      <c r="AH178" s="325"/>
      <c r="AI178" s="391" t="s">
        <v>15626</v>
      </c>
      <c r="AJ178" s="838">
        <f>AJ176</f>
        <v>1</v>
      </c>
      <c r="AK178" s="843"/>
      <c r="AL178" s="324" t="s">
        <v>15630</v>
      </c>
      <c r="AM178" s="325"/>
      <c r="AN178" s="325"/>
      <c r="AO178" s="325"/>
      <c r="AP178" s="325"/>
      <c r="AQ178" s="190" t="s">
        <v>398</v>
      </c>
      <c r="AR178" s="844">
        <f>AR174</f>
        <v>0.85</v>
      </c>
      <c r="AS178" s="844"/>
      <c r="AT178" s="490"/>
      <c r="AW178" s="387"/>
      <c r="AX178" s="489">
        <f>ROUND(ROUND(Q176*AJ178,0)*AR178,0)</f>
        <v>74</v>
      </c>
      <c r="AY178" s="393"/>
    </row>
    <row r="179" spans="1:51" ht="17.100000000000001" customHeight="1" x14ac:dyDescent="0.15">
      <c r="A179" s="340">
        <v>12</v>
      </c>
      <c r="B179" s="341">
        <v>7473</v>
      </c>
      <c r="C179" s="390" t="s">
        <v>16474</v>
      </c>
      <c r="D179" s="403"/>
      <c r="E179" s="404"/>
      <c r="F179" s="404"/>
      <c r="G179" s="404"/>
      <c r="H179" s="406"/>
      <c r="I179" s="10"/>
      <c r="L179" s="151"/>
      <c r="M179" s="151"/>
      <c r="N179" s="151"/>
      <c r="U179" s="387"/>
      <c r="V179" s="343"/>
      <c r="W179" s="343"/>
      <c r="X179" s="343"/>
      <c r="Y179" s="343"/>
      <c r="Z179" s="343"/>
      <c r="AA179" s="343"/>
      <c r="AB179" s="343"/>
      <c r="AC179" s="343"/>
      <c r="AD179" s="343"/>
      <c r="AE179" s="343"/>
      <c r="AF179" s="343"/>
      <c r="AG179" s="343"/>
      <c r="AH179" s="343"/>
      <c r="AI179" s="343"/>
      <c r="AJ179" s="401"/>
      <c r="AK179" s="402"/>
      <c r="AL179" s="396"/>
      <c r="AM179" s="396"/>
      <c r="AN179" s="396"/>
      <c r="AO179" s="396"/>
      <c r="AP179" s="396"/>
      <c r="AQ179" s="396"/>
      <c r="AR179" s="396"/>
      <c r="AS179" s="396"/>
      <c r="AT179" s="857" t="s">
        <v>16296</v>
      </c>
      <c r="AU179" s="858"/>
      <c r="AV179" s="858"/>
      <c r="AW179" s="860"/>
      <c r="AX179" s="489">
        <f>ROUND(Q176*AT182,0)</f>
        <v>70</v>
      </c>
      <c r="AY179" s="393"/>
    </row>
    <row r="180" spans="1:51" ht="16.5" customHeight="1" x14ac:dyDescent="0.15">
      <c r="A180" s="340">
        <v>12</v>
      </c>
      <c r="B180" s="341">
        <v>7474</v>
      </c>
      <c r="C180" s="390" t="s">
        <v>16475</v>
      </c>
      <c r="D180" s="403"/>
      <c r="E180" s="404"/>
      <c r="F180" s="404"/>
      <c r="G180" s="404"/>
      <c r="H180" s="406"/>
      <c r="Q180" s="899"/>
      <c r="R180" s="900"/>
      <c r="S180" s="900"/>
      <c r="U180" s="387"/>
      <c r="V180" s="343" t="s">
        <v>15625</v>
      </c>
      <c r="W180" s="325"/>
      <c r="X180" s="325"/>
      <c r="Y180" s="325"/>
      <c r="Z180" s="325"/>
      <c r="AA180" s="325"/>
      <c r="AB180" s="325"/>
      <c r="AC180" s="325"/>
      <c r="AD180" s="325"/>
      <c r="AE180" s="325"/>
      <c r="AF180" s="325"/>
      <c r="AG180" s="325"/>
      <c r="AH180" s="325"/>
      <c r="AI180" s="391" t="s">
        <v>15626</v>
      </c>
      <c r="AJ180" s="838">
        <f>AJ178</f>
        <v>1</v>
      </c>
      <c r="AK180" s="839"/>
      <c r="AL180" s="325"/>
      <c r="AM180" s="325"/>
      <c r="AN180" s="325"/>
      <c r="AO180" s="325"/>
      <c r="AP180" s="325"/>
      <c r="AQ180" s="325"/>
      <c r="AR180" s="325"/>
      <c r="AS180" s="391"/>
      <c r="AT180" s="849"/>
      <c r="AU180" s="850"/>
      <c r="AV180" s="850"/>
      <c r="AW180" s="852"/>
      <c r="AX180" s="489">
        <f>ROUND(ROUND(Q176*AJ180,0)*AT182,0)</f>
        <v>70</v>
      </c>
      <c r="AY180" s="393"/>
    </row>
    <row r="181" spans="1:51" ht="16.5" customHeight="1" x14ac:dyDescent="0.15">
      <c r="A181" s="340">
        <v>12</v>
      </c>
      <c r="B181" s="341">
        <v>7475</v>
      </c>
      <c r="C181" s="390" t="s">
        <v>16476</v>
      </c>
      <c r="D181" s="403"/>
      <c r="E181" s="404"/>
      <c r="F181" s="404"/>
      <c r="G181" s="404"/>
      <c r="H181" s="406"/>
      <c r="Q181" s="395"/>
      <c r="R181" s="151"/>
      <c r="S181" s="151"/>
      <c r="U181" s="387"/>
      <c r="V181" s="343"/>
      <c r="W181" s="343"/>
      <c r="X181" s="343"/>
      <c r="Y181" s="343"/>
      <c r="Z181" s="343"/>
      <c r="AA181" s="343"/>
      <c r="AB181" s="343"/>
      <c r="AC181" s="343"/>
      <c r="AD181" s="343"/>
      <c r="AE181" s="343"/>
      <c r="AF181" s="343"/>
      <c r="AG181" s="343"/>
      <c r="AH181" s="343"/>
      <c r="AI181" s="343"/>
      <c r="AJ181" s="343"/>
      <c r="AK181" s="343"/>
      <c r="AL181" s="114" t="s">
        <v>15628</v>
      </c>
      <c r="AM181" s="396"/>
      <c r="AN181" s="396"/>
      <c r="AO181" s="396"/>
      <c r="AP181" s="396"/>
      <c r="AQ181" s="396"/>
      <c r="AR181" s="396"/>
      <c r="AS181" s="397"/>
      <c r="AT181" s="901" t="s">
        <v>15636</v>
      </c>
      <c r="AU181" s="902"/>
      <c r="AV181" s="902"/>
      <c r="AW181" s="903"/>
      <c r="AX181" s="489">
        <f>ROUND(ROUND(Q176*AR182,0)*AT182,0)</f>
        <v>59</v>
      </c>
      <c r="AY181" s="393"/>
    </row>
    <row r="182" spans="1:51" ht="16.5" customHeight="1" x14ac:dyDescent="0.15">
      <c r="A182" s="340">
        <v>12</v>
      </c>
      <c r="B182" s="341">
        <v>7476</v>
      </c>
      <c r="C182" s="390" t="s">
        <v>16477</v>
      </c>
      <c r="D182" s="419"/>
      <c r="E182" s="420"/>
      <c r="F182" s="420"/>
      <c r="G182" s="420"/>
      <c r="H182" s="422"/>
      <c r="I182" s="325"/>
      <c r="J182" s="325"/>
      <c r="K182" s="325"/>
      <c r="L182" s="325"/>
      <c r="M182" s="325"/>
      <c r="N182" s="325"/>
      <c r="O182" s="325"/>
      <c r="P182" s="325"/>
      <c r="Q182" s="416"/>
      <c r="R182" s="417"/>
      <c r="S182" s="417"/>
      <c r="T182" s="325"/>
      <c r="U182" s="388"/>
      <c r="V182" s="343" t="s">
        <v>15625</v>
      </c>
      <c r="W182" s="325"/>
      <c r="X182" s="325"/>
      <c r="Y182" s="325"/>
      <c r="Z182" s="325"/>
      <c r="AA182" s="325"/>
      <c r="AB182" s="325"/>
      <c r="AC182" s="325"/>
      <c r="AD182" s="325"/>
      <c r="AE182" s="325"/>
      <c r="AF182" s="325"/>
      <c r="AG182" s="325"/>
      <c r="AH182" s="325"/>
      <c r="AI182" s="391" t="s">
        <v>15626</v>
      </c>
      <c r="AJ182" s="838">
        <f>AJ180</f>
        <v>1</v>
      </c>
      <c r="AK182" s="843"/>
      <c r="AL182" s="324" t="s">
        <v>15630</v>
      </c>
      <c r="AM182" s="325"/>
      <c r="AN182" s="325"/>
      <c r="AO182" s="325"/>
      <c r="AP182" s="325"/>
      <c r="AQ182" s="190" t="s">
        <v>398</v>
      </c>
      <c r="AR182" s="844">
        <f>AR178</f>
        <v>0.85</v>
      </c>
      <c r="AS182" s="844"/>
      <c r="AT182" s="907">
        <f>AT174</f>
        <v>0.8</v>
      </c>
      <c r="AU182" s="844"/>
      <c r="AV182" s="844"/>
      <c r="AW182" s="845"/>
      <c r="AX182" s="491">
        <f>ROUND(ROUND(ROUND(Q176*AJ182,0)*AR182,0)*AT182,0)</f>
        <v>59</v>
      </c>
      <c r="AY182" s="418"/>
    </row>
    <row r="183" spans="1:51" ht="17.100000000000001" customHeight="1" x14ac:dyDescent="0.15">
      <c r="A183" s="321">
        <v>12</v>
      </c>
      <c r="B183" s="322">
        <v>7477</v>
      </c>
      <c r="C183" s="386" t="s">
        <v>16478</v>
      </c>
      <c r="D183" s="849" t="s">
        <v>15689</v>
      </c>
      <c r="E183" s="850"/>
      <c r="F183" s="850"/>
      <c r="G183" s="850"/>
      <c r="H183" s="852"/>
      <c r="I183" s="908" t="s">
        <v>16381</v>
      </c>
      <c r="J183" s="909"/>
      <c r="K183" s="909"/>
      <c r="L183" s="909"/>
      <c r="M183" s="909"/>
      <c r="N183" s="909"/>
      <c r="O183" s="909"/>
      <c r="P183" s="909"/>
      <c r="Q183" s="909"/>
      <c r="R183" s="909"/>
      <c r="S183" s="909"/>
      <c r="T183" s="909"/>
      <c r="U183" s="910"/>
      <c r="V183" s="325"/>
      <c r="W183" s="325"/>
      <c r="X183" s="325"/>
      <c r="Y183" s="325"/>
      <c r="Z183" s="325"/>
      <c r="AA183" s="325"/>
      <c r="AB183" s="325"/>
      <c r="AC183" s="325"/>
      <c r="AD183" s="325"/>
      <c r="AE183" s="325"/>
      <c r="AF183" s="325"/>
      <c r="AG183" s="325"/>
      <c r="AH183" s="325"/>
      <c r="AI183" s="325"/>
      <c r="AJ183" s="401"/>
      <c r="AK183" s="402"/>
      <c r="AQ183" s="152"/>
      <c r="AR183" s="152"/>
      <c r="AS183" s="152"/>
      <c r="AT183" s="494"/>
      <c r="AU183" s="151"/>
      <c r="AW183" s="387"/>
      <c r="AX183" s="488">
        <f>ROUND(Q184,0)</f>
        <v>93</v>
      </c>
      <c r="AY183" s="339" t="s">
        <v>15622</v>
      </c>
    </row>
    <row r="184" spans="1:51" ht="16.5" customHeight="1" x14ac:dyDescent="0.15">
      <c r="A184" s="340">
        <v>12</v>
      </c>
      <c r="B184" s="341">
        <v>7478</v>
      </c>
      <c r="C184" s="390" t="s">
        <v>16479</v>
      </c>
      <c r="D184" s="849"/>
      <c r="E184" s="850"/>
      <c r="F184" s="850"/>
      <c r="G184" s="850"/>
      <c r="H184" s="852"/>
      <c r="Q184" s="836">
        <f>ROUND(Q280*$F$189,0)</f>
        <v>93</v>
      </c>
      <c r="R184" s="837"/>
      <c r="S184" s="837"/>
      <c r="T184" s="152" t="s">
        <v>15624</v>
      </c>
      <c r="U184" s="387"/>
      <c r="V184" s="343" t="s">
        <v>15625</v>
      </c>
      <c r="W184" s="325"/>
      <c r="X184" s="325"/>
      <c r="Y184" s="325"/>
      <c r="Z184" s="325"/>
      <c r="AA184" s="325"/>
      <c r="AB184" s="325"/>
      <c r="AC184" s="325"/>
      <c r="AD184" s="325"/>
      <c r="AE184" s="325"/>
      <c r="AF184" s="325"/>
      <c r="AG184" s="325"/>
      <c r="AH184" s="325"/>
      <c r="AI184" s="391" t="s">
        <v>15626</v>
      </c>
      <c r="AJ184" s="838">
        <f>AJ182</f>
        <v>1</v>
      </c>
      <c r="AK184" s="839"/>
      <c r="AL184" s="325"/>
      <c r="AM184" s="325"/>
      <c r="AN184" s="325"/>
      <c r="AO184" s="325"/>
      <c r="AP184" s="325"/>
      <c r="AQ184" s="325"/>
      <c r="AR184" s="325"/>
      <c r="AS184" s="391"/>
      <c r="AT184" s="490"/>
      <c r="AW184" s="387"/>
      <c r="AX184" s="489">
        <f>ROUND(Q184*AJ184,0)</f>
        <v>93</v>
      </c>
      <c r="AY184" s="393"/>
    </row>
    <row r="185" spans="1:51" ht="16.5" customHeight="1" x14ac:dyDescent="0.15">
      <c r="A185" s="340">
        <v>12</v>
      </c>
      <c r="B185" s="341">
        <v>7479</v>
      </c>
      <c r="C185" s="390" t="s">
        <v>16480</v>
      </c>
      <c r="D185" s="849"/>
      <c r="E185" s="850"/>
      <c r="F185" s="850"/>
      <c r="G185" s="850"/>
      <c r="H185" s="852"/>
      <c r="Q185" s="395"/>
      <c r="R185" s="151"/>
      <c r="S185" s="151"/>
      <c r="U185" s="387"/>
      <c r="V185" s="343"/>
      <c r="W185" s="343"/>
      <c r="X185" s="343"/>
      <c r="Y185" s="343"/>
      <c r="Z185" s="343"/>
      <c r="AA185" s="343"/>
      <c r="AB185" s="343"/>
      <c r="AC185" s="343"/>
      <c r="AD185" s="343"/>
      <c r="AE185" s="343"/>
      <c r="AF185" s="343"/>
      <c r="AG185" s="343"/>
      <c r="AH185" s="343"/>
      <c r="AI185" s="343"/>
      <c r="AJ185" s="343"/>
      <c r="AK185" s="343"/>
      <c r="AL185" s="114" t="s">
        <v>15628</v>
      </c>
      <c r="AM185" s="396"/>
      <c r="AN185" s="396"/>
      <c r="AO185" s="396"/>
      <c r="AP185" s="396"/>
      <c r="AQ185" s="396"/>
      <c r="AR185" s="396"/>
      <c r="AS185" s="397"/>
      <c r="AT185" s="490"/>
      <c r="AW185" s="387"/>
      <c r="AX185" s="489">
        <f>ROUND(Q184*AR186,0)</f>
        <v>79</v>
      </c>
      <c r="AY185" s="393"/>
    </row>
    <row r="186" spans="1:51" ht="16.5" customHeight="1" x14ac:dyDescent="0.15">
      <c r="A186" s="340">
        <v>12</v>
      </c>
      <c r="B186" s="341">
        <v>7480</v>
      </c>
      <c r="C186" s="390" t="s">
        <v>16481</v>
      </c>
      <c r="D186" s="849"/>
      <c r="E186" s="850"/>
      <c r="F186" s="850"/>
      <c r="G186" s="850"/>
      <c r="H186" s="852"/>
      <c r="Q186" s="395"/>
      <c r="R186" s="151"/>
      <c r="S186" s="151"/>
      <c r="U186" s="387"/>
      <c r="V186" s="343" t="s">
        <v>15625</v>
      </c>
      <c r="W186" s="325"/>
      <c r="X186" s="325"/>
      <c r="Y186" s="325"/>
      <c r="Z186" s="325"/>
      <c r="AA186" s="325"/>
      <c r="AB186" s="325"/>
      <c r="AC186" s="325"/>
      <c r="AD186" s="325"/>
      <c r="AE186" s="325"/>
      <c r="AF186" s="325"/>
      <c r="AG186" s="325"/>
      <c r="AH186" s="325"/>
      <c r="AI186" s="391" t="s">
        <v>15626</v>
      </c>
      <c r="AJ186" s="838">
        <f>AJ184</f>
        <v>1</v>
      </c>
      <c r="AK186" s="843"/>
      <c r="AL186" s="324" t="s">
        <v>15630</v>
      </c>
      <c r="AM186" s="325"/>
      <c r="AN186" s="325"/>
      <c r="AO186" s="325"/>
      <c r="AP186" s="325"/>
      <c r="AQ186" s="190" t="s">
        <v>398</v>
      </c>
      <c r="AR186" s="844">
        <f>AR182</f>
        <v>0.85</v>
      </c>
      <c r="AS186" s="844"/>
      <c r="AT186" s="490"/>
      <c r="AW186" s="387"/>
      <c r="AX186" s="489">
        <f>ROUND(ROUND(Q184*AJ186,0)*AR186,0)</f>
        <v>79</v>
      </c>
      <c r="AY186" s="393"/>
    </row>
    <row r="187" spans="1:51" ht="17.100000000000001" customHeight="1" x14ac:dyDescent="0.15">
      <c r="A187" s="340">
        <v>12</v>
      </c>
      <c r="B187" s="341">
        <v>7481</v>
      </c>
      <c r="C187" s="390" t="s">
        <v>16482</v>
      </c>
      <c r="D187" s="832" t="s">
        <v>15632</v>
      </c>
      <c r="E187" s="833"/>
      <c r="F187" s="833"/>
      <c r="G187" s="833"/>
      <c r="H187" s="835"/>
      <c r="I187" s="10"/>
      <c r="L187" s="151"/>
      <c r="M187" s="151"/>
      <c r="N187" s="151"/>
      <c r="U187" s="387"/>
      <c r="V187" s="343"/>
      <c r="W187" s="343"/>
      <c r="X187" s="343"/>
      <c r="Y187" s="343"/>
      <c r="Z187" s="343"/>
      <c r="AA187" s="343"/>
      <c r="AB187" s="343"/>
      <c r="AC187" s="343"/>
      <c r="AD187" s="343"/>
      <c r="AE187" s="343"/>
      <c r="AF187" s="343"/>
      <c r="AG187" s="343"/>
      <c r="AH187" s="343"/>
      <c r="AI187" s="343"/>
      <c r="AJ187" s="401"/>
      <c r="AK187" s="402"/>
      <c r="AL187" s="396"/>
      <c r="AM187" s="396"/>
      <c r="AN187" s="396"/>
      <c r="AO187" s="396"/>
      <c r="AP187" s="396"/>
      <c r="AQ187" s="396"/>
      <c r="AR187" s="396"/>
      <c r="AS187" s="396"/>
      <c r="AT187" s="857" t="s">
        <v>16296</v>
      </c>
      <c r="AU187" s="858"/>
      <c r="AV187" s="858"/>
      <c r="AW187" s="860"/>
      <c r="AX187" s="489">
        <f>ROUND(Q184*AT190,0)</f>
        <v>74</v>
      </c>
      <c r="AY187" s="393"/>
    </row>
    <row r="188" spans="1:51" ht="16.5" customHeight="1" x14ac:dyDescent="0.15">
      <c r="A188" s="340">
        <v>12</v>
      </c>
      <c r="B188" s="341">
        <v>7482</v>
      </c>
      <c r="C188" s="390" t="s">
        <v>16483</v>
      </c>
      <c r="D188" s="832"/>
      <c r="E188" s="833"/>
      <c r="F188" s="833"/>
      <c r="G188" s="833"/>
      <c r="H188" s="835"/>
      <c r="Q188" s="899"/>
      <c r="R188" s="900"/>
      <c r="S188" s="900"/>
      <c r="U188" s="387"/>
      <c r="V188" s="343" t="s">
        <v>15625</v>
      </c>
      <c r="W188" s="325"/>
      <c r="X188" s="325"/>
      <c r="Y188" s="325"/>
      <c r="Z188" s="325"/>
      <c r="AA188" s="325"/>
      <c r="AB188" s="325"/>
      <c r="AC188" s="325"/>
      <c r="AD188" s="325"/>
      <c r="AE188" s="325"/>
      <c r="AF188" s="325"/>
      <c r="AG188" s="325"/>
      <c r="AH188" s="325"/>
      <c r="AI188" s="391" t="s">
        <v>15626</v>
      </c>
      <c r="AJ188" s="838">
        <f>AJ186</f>
        <v>1</v>
      </c>
      <c r="AK188" s="839"/>
      <c r="AL188" s="325"/>
      <c r="AM188" s="325"/>
      <c r="AN188" s="325"/>
      <c r="AO188" s="325"/>
      <c r="AP188" s="325"/>
      <c r="AQ188" s="325"/>
      <c r="AR188" s="325"/>
      <c r="AS188" s="391"/>
      <c r="AT188" s="849"/>
      <c r="AU188" s="850"/>
      <c r="AV188" s="850"/>
      <c r="AW188" s="852"/>
      <c r="AX188" s="489">
        <f>ROUND(ROUND(Q184*AJ188,0)*AT190,0)</f>
        <v>74</v>
      </c>
      <c r="AY188" s="393"/>
    </row>
    <row r="189" spans="1:51" ht="16.5" customHeight="1" x14ac:dyDescent="0.15">
      <c r="A189" s="340">
        <v>12</v>
      </c>
      <c r="B189" s="341">
        <v>7483</v>
      </c>
      <c r="C189" s="390" t="s">
        <v>16484</v>
      </c>
      <c r="D189" s="403"/>
      <c r="E189" s="404" t="s">
        <v>15636</v>
      </c>
      <c r="F189" s="854">
        <f>F109</f>
        <v>1.085</v>
      </c>
      <c r="G189" s="855"/>
      <c r="H189" s="856"/>
      <c r="Q189" s="395"/>
      <c r="R189" s="151"/>
      <c r="S189" s="151"/>
      <c r="U189" s="387"/>
      <c r="V189" s="343"/>
      <c r="W189" s="343"/>
      <c r="X189" s="343"/>
      <c r="Y189" s="343"/>
      <c r="Z189" s="343"/>
      <c r="AA189" s="343"/>
      <c r="AB189" s="343"/>
      <c r="AC189" s="343"/>
      <c r="AD189" s="343"/>
      <c r="AE189" s="343"/>
      <c r="AF189" s="343"/>
      <c r="AG189" s="343"/>
      <c r="AH189" s="343"/>
      <c r="AI189" s="343"/>
      <c r="AJ189" s="343"/>
      <c r="AK189" s="343"/>
      <c r="AL189" s="114" t="s">
        <v>15628</v>
      </c>
      <c r="AM189" s="396"/>
      <c r="AN189" s="396"/>
      <c r="AO189" s="396"/>
      <c r="AP189" s="396"/>
      <c r="AQ189" s="396"/>
      <c r="AR189" s="396"/>
      <c r="AS189" s="397"/>
      <c r="AT189" s="901" t="s">
        <v>15636</v>
      </c>
      <c r="AU189" s="902"/>
      <c r="AV189" s="902"/>
      <c r="AW189" s="903"/>
      <c r="AX189" s="489">
        <f>ROUND(ROUND(Q184*AR190,0)*AT190,0)</f>
        <v>63</v>
      </c>
      <c r="AY189" s="393"/>
    </row>
    <row r="190" spans="1:51" ht="16.5" customHeight="1" x14ac:dyDescent="0.15">
      <c r="A190" s="340">
        <v>12</v>
      </c>
      <c r="B190" s="341">
        <v>7484</v>
      </c>
      <c r="C190" s="390" t="s">
        <v>16485</v>
      </c>
      <c r="D190" s="403"/>
      <c r="E190" s="404"/>
      <c r="F190" s="404"/>
      <c r="G190" s="404"/>
      <c r="H190" s="406"/>
      <c r="Q190" s="395"/>
      <c r="R190" s="151"/>
      <c r="S190" s="151"/>
      <c r="U190" s="387"/>
      <c r="V190" s="343" t="s">
        <v>15625</v>
      </c>
      <c r="W190" s="325"/>
      <c r="X190" s="325"/>
      <c r="Y190" s="325"/>
      <c r="Z190" s="325"/>
      <c r="AA190" s="325"/>
      <c r="AB190" s="325"/>
      <c r="AC190" s="325"/>
      <c r="AD190" s="325"/>
      <c r="AE190" s="325"/>
      <c r="AF190" s="325"/>
      <c r="AG190" s="325"/>
      <c r="AH190" s="325"/>
      <c r="AI190" s="391" t="s">
        <v>15626</v>
      </c>
      <c r="AJ190" s="838">
        <f>AJ188</f>
        <v>1</v>
      </c>
      <c r="AK190" s="843"/>
      <c r="AL190" s="324" t="s">
        <v>15630</v>
      </c>
      <c r="AM190" s="325"/>
      <c r="AN190" s="325"/>
      <c r="AO190" s="325"/>
      <c r="AP190" s="325"/>
      <c r="AQ190" s="190" t="s">
        <v>398</v>
      </c>
      <c r="AR190" s="844">
        <f>AR186</f>
        <v>0.85</v>
      </c>
      <c r="AS190" s="844"/>
      <c r="AT190" s="907">
        <f>AT182</f>
        <v>0.8</v>
      </c>
      <c r="AU190" s="844"/>
      <c r="AV190" s="844"/>
      <c r="AW190" s="845"/>
      <c r="AX190" s="489">
        <f>ROUND(ROUND(ROUND(Q184*AJ190,0)*AR190,0)*AT190,0)</f>
        <v>63</v>
      </c>
      <c r="AY190" s="393"/>
    </row>
    <row r="191" spans="1:51" ht="17.100000000000001" customHeight="1" x14ac:dyDescent="0.15">
      <c r="A191" s="340">
        <v>12</v>
      </c>
      <c r="B191" s="341">
        <v>7485</v>
      </c>
      <c r="C191" s="390" t="s">
        <v>16486</v>
      </c>
      <c r="D191" s="403"/>
      <c r="E191" s="404"/>
      <c r="F191" s="404"/>
      <c r="G191" s="404"/>
      <c r="H191" s="406"/>
      <c r="I191" s="908" t="s">
        <v>16390</v>
      </c>
      <c r="J191" s="909"/>
      <c r="K191" s="909"/>
      <c r="L191" s="909"/>
      <c r="M191" s="909"/>
      <c r="N191" s="909"/>
      <c r="O191" s="909"/>
      <c r="P191" s="909"/>
      <c r="Q191" s="909"/>
      <c r="R191" s="909"/>
      <c r="S191" s="909"/>
      <c r="T191" s="909"/>
      <c r="U191" s="910"/>
      <c r="V191" s="343"/>
      <c r="W191" s="343"/>
      <c r="X191" s="343"/>
      <c r="Y191" s="343"/>
      <c r="Z191" s="343"/>
      <c r="AA191" s="343"/>
      <c r="AB191" s="343"/>
      <c r="AC191" s="343"/>
      <c r="AD191" s="343"/>
      <c r="AE191" s="343"/>
      <c r="AF191" s="343"/>
      <c r="AG191" s="343"/>
      <c r="AH191" s="343"/>
      <c r="AI191" s="343"/>
      <c r="AJ191" s="401"/>
      <c r="AK191" s="402"/>
      <c r="AL191" s="396"/>
      <c r="AM191" s="396"/>
      <c r="AN191" s="396"/>
      <c r="AO191" s="396"/>
      <c r="AP191" s="396"/>
      <c r="AQ191" s="396"/>
      <c r="AR191" s="396"/>
      <c r="AS191" s="396"/>
      <c r="AT191" s="496"/>
      <c r="AU191" s="400"/>
      <c r="AV191" s="396"/>
      <c r="AW191" s="397"/>
      <c r="AX191" s="489">
        <f>ROUND(Q192,0)</f>
        <v>87</v>
      </c>
      <c r="AY191" s="393"/>
    </row>
    <row r="192" spans="1:51" ht="16.5" customHeight="1" x14ac:dyDescent="0.15">
      <c r="A192" s="340">
        <v>12</v>
      </c>
      <c r="B192" s="341">
        <v>7486</v>
      </c>
      <c r="C192" s="390" t="s">
        <v>16487</v>
      </c>
      <c r="D192" s="403"/>
      <c r="E192" s="404"/>
      <c r="F192" s="404"/>
      <c r="G192" s="404"/>
      <c r="H192" s="406"/>
      <c r="Q192" s="836">
        <f>ROUND(Q288*$F$189,0)</f>
        <v>87</v>
      </c>
      <c r="R192" s="837"/>
      <c r="S192" s="837"/>
      <c r="T192" s="152" t="s">
        <v>15624</v>
      </c>
      <c r="U192" s="387"/>
      <c r="V192" s="343" t="s">
        <v>15625</v>
      </c>
      <c r="W192" s="325"/>
      <c r="X192" s="325"/>
      <c r="Y192" s="325"/>
      <c r="Z192" s="325"/>
      <c r="AA192" s="325"/>
      <c r="AB192" s="325"/>
      <c r="AC192" s="325"/>
      <c r="AD192" s="325"/>
      <c r="AE192" s="325"/>
      <c r="AF192" s="325"/>
      <c r="AG192" s="325"/>
      <c r="AH192" s="325"/>
      <c r="AI192" s="391" t="s">
        <v>15626</v>
      </c>
      <c r="AJ192" s="838">
        <f>AJ190</f>
        <v>1</v>
      </c>
      <c r="AK192" s="839"/>
      <c r="AL192" s="325"/>
      <c r="AM192" s="325"/>
      <c r="AN192" s="325"/>
      <c r="AO192" s="325"/>
      <c r="AP192" s="325"/>
      <c r="AQ192" s="325"/>
      <c r="AR192" s="325"/>
      <c r="AS192" s="391"/>
      <c r="AT192" s="490"/>
      <c r="AW192" s="387"/>
      <c r="AX192" s="489">
        <f>ROUND(Q192*AJ192,0)</f>
        <v>87</v>
      </c>
      <c r="AY192" s="393"/>
    </row>
    <row r="193" spans="1:51" ht="16.5" customHeight="1" x14ac:dyDescent="0.15">
      <c r="A193" s="340">
        <v>12</v>
      </c>
      <c r="B193" s="341">
        <v>7487</v>
      </c>
      <c r="C193" s="390" t="s">
        <v>16488</v>
      </c>
      <c r="D193" s="408"/>
      <c r="E193" s="409"/>
      <c r="F193" s="409"/>
      <c r="G193" s="409"/>
      <c r="H193" s="411"/>
      <c r="Q193" s="395"/>
      <c r="R193" s="151"/>
      <c r="S193" s="151"/>
      <c r="U193" s="387"/>
      <c r="V193" s="343"/>
      <c r="W193" s="343"/>
      <c r="X193" s="343"/>
      <c r="Y193" s="343"/>
      <c r="Z193" s="343"/>
      <c r="AA193" s="343"/>
      <c r="AB193" s="343"/>
      <c r="AC193" s="343"/>
      <c r="AD193" s="343"/>
      <c r="AE193" s="343"/>
      <c r="AF193" s="343"/>
      <c r="AG193" s="343"/>
      <c r="AH193" s="343"/>
      <c r="AI193" s="343"/>
      <c r="AJ193" s="343"/>
      <c r="AK193" s="343"/>
      <c r="AL193" s="114" t="s">
        <v>15628</v>
      </c>
      <c r="AM193" s="396"/>
      <c r="AN193" s="396"/>
      <c r="AO193" s="396"/>
      <c r="AP193" s="396"/>
      <c r="AQ193" s="396"/>
      <c r="AR193" s="396"/>
      <c r="AS193" s="397"/>
      <c r="AT193" s="490"/>
      <c r="AW193" s="387"/>
      <c r="AX193" s="489">
        <f>ROUND(Q192*AR194,0)</f>
        <v>74</v>
      </c>
      <c r="AY193" s="393"/>
    </row>
    <row r="194" spans="1:51" ht="16.5" customHeight="1" x14ac:dyDescent="0.15">
      <c r="A194" s="340">
        <v>12</v>
      </c>
      <c r="B194" s="341">
        <v>7488</v>
      </c>
      <c r="C194" s="390" t="s">
        <v>16489</v>
      </c>
      <c r="D194" s="408"/>
      <c r="E194" s="409"/>
      <c r="F194" s="409"/>
      <c r="G194" s="409"/>
      <c r="H194" s="411"/>
      <c r="Q194" s="395"/>
      <c r="R194" s="151"/>
      <c r="S194" s="151"/>
      <c r="U194" s="387"/>
      <c r="V194" s="343" t="s">
        <v>15625</v>
      </c>
      <c r="W194" s="325"/>
      <c r="X194" s="325"/>
      <c r="Y194" s="325"/>
      <c r="Z194" s="325"/>
      <c r="AA194" s="325"/>
      <c r="AB194" s="325"/>
      <c r="AC194" s="325"/>
      <c r="AD194" s="325"/>
      <c r="AE194" s="325"/>
      <c r="AF194" s="325"/>
      <c r="AG194" s="325"/>
      <c r="AH194" s="325"/>
      <c r="AI194" s="391" t="s">
        <v>15626</v>
      </c>
      <c r="AJ194" s="838">
        <f>AJ192</f>
        <v>1</v>
      </c>
      <c r="AK194" s="843"/>
      <c r="AL194" s="324" t="s">
        <v>15630</v>
      </c>
      <c r="AM194" s="325"/>
      <c r="AN194" s="325"/>
      <c r="AO194" s="325"/>
      <c r="AP194" s="325"/>
      <c r="AQ194" s="190" t="s">
        <v>398</v>
      </c>
      <c r="AR194" s="844">
        <f>AR190</f>
        <v>0.85</v>
      </c>
      <c r="AS194" s="844"/>
      <c r="AT194" s="490"/>
      <c r="AW194" s="387"/>
      <c r="AX194" s="489">
        <f>ROUND(ROUND(Q192*AJ194,0)*AR194,0)</f>
        <v>74</v>
      </c>
      <c r="AY194" s="393"/>
    </row>
    <row r="195" spans="1:51" ht="17.100000000000001" customHeight="1" x14ac:dyDescent="0.15">
      <c r="A195" s="340">
        <v>12</v>
      </c>
      <c r="B195" s="341">
        <v>7489</v>
      </c>
      <c r="C195" s="390" t="s">
        <v>16490</v>
      </c>
      <c r="D195" s="403"/>
      <c r="E195" s="404"/>
      <c r="F195" s="404"/>
      <c r="G195" s="404"/>
      <c r="H195" s="406"/>
      <c r="I195" s="10"/>
      <c r="L195" s="151"/>
      <c r="M195" s="151"/>
      <c r="N195" s="151"/>
      <c r="U195" s="387"/>
      <c r="V195" s="343"/>
      <c r="W195" s="343"/>
      <c r="X195" s="343"/>
      <c r="Y195" s="343"/>
      <c r="Z195" s="343"/>
      <c r="AA195" s="343"/>
      <c r="AB195" s="343"/>
      <c r="AC195" s="343"/>
      <c r="AD195" s="343"/>
      <c r="AE195" s="343"/>
      <c r="AF195" s="343"/>
      <c r="AG195" s="343"/>
      <c r="AH195" s="343"/>
      <c r="AI195" s="343"/>
      <c r="AJ195" s="401"/>
      <c r="AK195" s="402"/>
      <c r="AL195" s="396"/>
      <c r="AM195" s="396"/>
      <c r="AN195" s="396"/>
      <c r="AO195" s="396"/>
      <c r="AP195" s="396"/>
      <c r="AQ195" s="396"/>
      <c r="AR195" s="396"/>
      <c r="AS195" s="396"/>
      <c r="AT195" s="857" t="s">
        <v>16296</v>
      </c>
      <c r="AU195" s="858"/>
      <c r="AV195" s="858"/>
      <c r="AW195" s="860"/>
      <c r="AX195" s="489">
        <f>ROUND(Q192*AT198,0)</f>
        <v>70</v>
      </c>
      <c r="AY195" s="393"/>
    </row>
    <row r="196" spans="1:51" ht="16.5" customHeight="1" x14ac:dyDescent="0.15">
      <c r="A196" s="340">
        <v>12</v>
      </c>
      <c r="B196" s="341">
        <v>7490</v>
      </c>
      <c r="C196" s="390" t="s">
        <v>16491</v>
      </c>
      <c r="D196" s="403"/>
      <c r="E196" s="404"/>
      <c r="F196" s="404"/>
      <c r="G196" s="404"/>
      <c r="H196" s="406"/>
      <c r="Q196" s="899"/>
      <c r="R196" s="900"/>
      <c r="S196" s="900"/>
      <c r="U196" s="387"/>
      <c r="V196" s="343" t="s">
        <v>15625</v>
      </c>
      <c r="W196" s="325"/>
      <c r="X196" s="325"/>
      <c r="Y196" s="325"/>
      <c r="Z196" s="325"/>
      <c r="AA196" s="325"/>
      <c r="AB196" s="325"/>
      <c r="AC196" s="325"/>
      <c r="AD196" s="325"/>
      <c r="AE196" s="325"/>
      <c r="AF196" s="325"/>
      <c r="AG196" s="325"/>
      <c r="AH196" s="325"/>
      <c r="AI196" s="391" t="s">
        <v>15626</v>
      </c>
      <c r="AJ196" s="838">
        <f>AJ194</f>
        <v>1</v>
      </c>
      <c r="AK196" s="839"/>
      <c r="AL196" s="325"/>
      <c r="AM196" s="325"/>
      <c r="AN196" s="325"/>
      <c r="AO196" s="325"/>
      <c r="AP196" s="325"/>
      <c r="AQ196" s="325"/>
      <c r="AR196" s="325"/>
      <c r="AS196" s="391"/>
      <c r="AT196" s="849"/>
      <c r="AU196" s="850"/>
      <c r="AV196" s="850"/>
      <c r="AW196" s="852"/>
      <c r="AX196" s="489">
        <f>ROUND(ROUND(Q192*AJ196,0)*AT198,0)</f>
        <v>70</v>
      </c>
      <c r="AY196" s="393"/>
    </row>
    <row r="197" spans="1:51" ht="16.5" customHeight="1" x14ac:dyDescent="0.15">
      <c r="A197" s="340">
        <v>12</v>
      </c>
      <c r="B197" s="341">
        <v>7491</v>
      </c>
      <c r="C197" s="390" t="s">
        <v>16492</v>
      </c>
      <c r="D197" s="408"/>
      <c r="E197" s="409"/>
      <c r="F197" s="409"/>
      <c r="G197" s="409"/>
      <c r="H197" s="411"/>
      <c r="Q197" s="395"/>
      <c r="R197" s="151"/>
      <c r="S197" s="151"/>
      <c r="U197" s="387"/>
      <c r="V197" s="343"/>
      <c r="W197" s="343"/>
      <c r="X197" s="343"/>
      <c r="Y197" s="343"/>
      <c r="Z197" s="343"/>
      <c r="AA197" s="343"/>
      <c r="AB197" s="343"/>
      <c r="AC197" s="343"/>
      <c r="AD197" s="343"/>
      <c r="AE197" s="343"/>
      <c r="AF197" s="343"/>
      <c r="AG197" s="343"/>
      <c r="AH197" s="343"/>
      <c r="AI197" s="343"/>
      <c r="AJ197" s="343"/>
      <c r="AK197" s="343"/>
      <c r="AL197" s="114" t="s">
        <v>15628</v>
      </c>
      <c r="AM197" s="396"/>
      <c r="AN197" s="396"/>
      <c r="AO197" s="396"/>
      <c r="AP197" s="396"/>
      <c r="AQ197" s="396"/>
      <c r="AR197" s="396"/>
      <c r="AS197" s="397"/>
      <c r="AT197" s="901" t="s">
        <v>15636</v>
      </c>
      <c r="AU197" s="902"/>
      <c r="AV197" s="902"/>
      <c r="AW197" s="903"/>
      <c r="AX197" s="489">
        <f>ROUND(ROUND(Q192*AR198,0)*AT198,0)</f>
        <v>59</v>
      </c>
      <c r="AY197" s="393"/>
    </row>
    <row r="198" spans="1:51" ht="16.5" customHeight="1" x14ac:dyDescent="0.15">
      <c r="A198" s="340">
        <v>12</v>
      </c>
      <c r="B198" s="341">
        <v>7492</v>
      </c>
      <c r="C198" s="390" t="s">
        <v>16493</v>
      </c>
      <c r="D198" s="412"/>
      <c r="E198" s="413"/>
      <c r="F198" s="413"/>
      <c r="G198" s="413"/>
      <c r="H198" s="415"/>
      <c r="I198" s="325"/>
      <c r="J198" s="325"/>
      <c r="K198" s="325"/>
      <c r="L198" s="325"/>
      <c r="M198" s="325"/>
      <c r="N198" s="325"/>
      <c r="O198" s="325"/>
      <c r="P198" s="325"/>
      <c r="Q198" s="416"/>
      <c r="R198" s="417"/>
      <c r="S198" s="417"/>
      <c r="T198" s="325"/>
      <c r="U198" s="388"/>
      <c r="V198" s="343" t="s">
        <v>15625</v>
      </c>
      <c r="W198" s="325"/>
      <c r="X198" s="325"/>
      <c r="Y198" s="325"/>
      <c r="Z198" s="325"/>
      <c r="AA198" s="325"/>
      <c r="AB198" s="325"/>
      <c r="AC198" s="325"/>
      <c r="AD198" s="325"/>
      <c r="AE198" s="325"/>
      <c r="AF198" s="325"/>
      <c r="AG198" s="325"/>
      <c r="AH198" s="325"/>
      <c r="AI198" s="391" t="s">
        <v>15626</v>
      </c>
      <c r="AJ198" s="838">
        <f>AJ196</f>
        <v>1</v>
      </c>
      <c r="AK198" s="843"/>
      <c r="AL198" s="324" t="s">
        <v>15630</v>
      </c>
      <c r="AM198" s="325"/>
      <c r="AN198" s="325"/>
      <c r="AO198" s="325"/>
      <c r="AP198" s="325"/>
      <c r="AQ198" s="190" t="s">
        <v>398</v>
      </c>
      <c r="AR198" s="844">
        <f>AR194</f>
        <v>0.85</v>
      </c>
      <c r="AS198" s="844"/>
      <c r="AT198" s="907">
        <f>AT190</f>
        <v>0.8</v>
      </c>
      <c r="AU198" s="844"/>
      <c r="AV198" s="844"/>
      <c r="AW198" s="845"/>
      <c r="AX198" s="491">
        <f>ROUND(ROUND(ROUND(Q192*AJ198,0)*AR198,0)*AT198,0)</f>
        <v>59</v>
      </c>
      <c r="AY198" s="418"/>
    </row>
    <row r="199" spans="1:51" ht="17.100000000000001" customHeight="1" x14ac:dyDescent="0.15">
      <c r="A199" s="340">
        <v>12</v>
      </c>
      <c r="B199" s="341">
        <v>7493</v>
      </c>
      <c r="C199" s="390" t="s">
        <v>16494</v>
      </c>
      <c r="D199" s="857" t="s">
        <v>15740</v>
      </c>
      <c r="E199" s="858"/>
      <c r="F199" s="858"/>
      <c r="G199" s="858"/>
      <c r="H199" s="860"/>
      <c r="I199" s="908" t="s">
        <v>15621</v>
      </c>
      <c r="J199" s="909"/>
      <c r="K199" s="909"/>
      <c r="L199" s="909"/>
      <c r="M199" s="909"/>
      <c r="N199" s="909"/>
      <c r="O199" s="909"/>
      <c r="P199" s="909"/>
      <c r="Q199" s="909"/>
      <c r="R199" s="909"/>
      <c r="S199" s="909"/>
      <c r="T199" s="909"/>
      <c r="U199" s="910"/>
      <c r="V199" s="343"/>
      <c r="W199" s="343"/>
      <c r="X199" s="343"/>
      <c r="Y199" s="343"/>
      <c r="Z199" s="343"/>
      <c r="AA199" s="343"/>
      <c r="AB199" s="343"/>
      <c r="AC199" s="343"/>
      <c r="AD199" s="343"/>
      <c r="AE199" s="343"/>
      <c r="AF199" s="343"/>
      <c r="AG199" s="343"/>
      <c r="AH199" s="343"/>
      <c r="AI199" s="343"/>
      <c r="AJ199" s="343"/>
      <c r="AK199" s="407"/>
      <c r="AL199" s="396"/>
      <c r="AM199" s="396"/>
      <c r="AN199" s="396"/>
      <c r="AO199" s="396"/>
      <c r="AP199" s="396"/>
      <c r="AQ199" s="396"/>
      <c r="AR199" s="396"/>
      <c r="AS199" s="396"/>
      <c r="AT199" s="496"/>
      <c r="AU199" s="400"/>
      <c r="AV199" s="396"/>
      <c r="AW199" s="397"/>
      <c r="AX199" s="489">
        <f>ROUND(Q200,0)</f>
        <v>185</v>
      </c>
      <c r="AY199" s="329" t="s">
        <v>15622</v>
      </c>
    </row>
    <row r="200" spans="1:51" ht="16.5" customHeight="1" x14ac:dyDescent="0.15">
      <c r="A200" s="340">
        <v>12</v>
      </c>
      <c r="B200" s="341">
        <v>7494</v>
      </c>
      <c r="C200" s="390" t="s">
        <v>16495</v>
      </c>
      <c r="D200" s="849"/>
      <c r="E200" s="850"/>
      <c r="F200" s="850"/>
      <c r="G200" s="850"/>
      <c r="H200" s="852"/>
      <c r="Q200" s="836">
        <v>185</v>
      </c>
      <c r="R200" s="911"/>
      <c r="S200" s="911"/>
      <c r="T200" s="152" t="s">
        <v>15624</v>
      </c>
      <c r="U200" s="387"/>
      <c r="V200" s="343" t="s">
        <v>15625</v>
      </c>
      <c r="W200" s="325"/>
      <c r="X200" s="325"/>
      <c r="Y200" s="325"/>
      <c r="Z200" s="325"/>
      <c r="AA200" s="325"/>
      <c r="AB200" s="325"/>
      <c r="AC200" s="325"/>
      <c r="AD200" s="325"/>
      <c r="AE200" s="325"/>
      <c r="AF200" s="325"/>
      <c r="AG200" s="325"/>
      <c r="AH200" s="325"/>
      <c r="AI200" s="391" t="s">
        <v>15626</v>
      </c>
      <c r="AJ200" s="838">
        <f>AJ182</f>
        <v>1</v>
      </c>
      <c r="AK200" s="839"/>
      <c r="AQ200" s="152"/>
      <c r="AR200" s="152"/>
      <c r="AS200" s="152"/>
      <c r="AT200" s="490"/>
      <c r="AW200" s="387"/>
      <c r="AX200" s="489">
        <f>ROUND(Q200*AJ200,0)</f>
        <v>185</v>
      </c>
      <c r="AY200" s="393"/>
    </row>
    <row r="201" spans="1:51" ht="16.5" customHeight="1" x14ac:dyDescent="0.15">
      <c r="A201" s="287">
        <v>12</v>
      </c>
      <c r="B201" s="287">
        <v>7495</v>
      </c>
      <c r="C201" s="394" t="s">
        <v>16496</v>
      </c>
      <c r="D201" s="849"/>
      <c r="E201" s="850"/>
      <c r="F201" s="850"/>
      <c r="G201" s="850"/>
      <c r="H201" s="852"/>
      <c r="Q201" s="395"/>
      <c r="R201" s="151"/>
      <c r="S201" s="151"/>
      <c r="U201" s="387"/>
      <c r="V201" s="343"/>
      <c r="W201" s="343"/>
      <c r="X201" s="343"/>
      <c r="Y201" s="343"/>
      <c r="Z201" s="343"/>
      <c r="AA201" s="343"/>
      <c r="AB201" s="343"/>
      <c r="AC201" s="343"/>
      <c r="AD201" s="343"/>
      <c r="AE201" s="343"/>
      <c r="AF201" s="343"/>
      <c r="AG201" s="343"/>
      <c r="AH201" s="343"/>
      <c r="AI201" s="343"/>
      <c r="AJ201" s="343"/>
      <c r="AK201" s="343"/>
      <c r="AL201" s="114" t="s">
        <v>15628</v>
      </c>
      <c r="AM201" s="396"/>
      <c r="AN201" s="396"/>
      <c r="AO201" s="396"/>
      <c r="AP201" s="396"/>
      <c r="AQ201" s="396"/>
      <c r="AR201" s="396"/>
      <c r="AS201" s="396"/>
      <c r="AT201" s="490"/>
      <c r="AW201" s="387"/>
      <c r="AX201" s="489">
        <f>ROUND(Q200*AR202,0)</f>
        <v>157</v>
      </c>
      <c r="AY201" s="393"/>
    </row>
    <row r="202" spans="1:51" ht="16.5" customHeight="1" x14ac:dyDescent="0.15">
      <c r="A202" s="287">
        <v>12</v>
      </c>
      <c r="B202" s="287">
        <v>7496</v>
      </c>
      <c r="C202" s="394" t="s">
        <v>16497</v>
      </c>
      <c r="D202" s="849"/>
      <c r="E202" s="850"/>
      <c r="F202" s="850"/>
      <c r="G202" s="850"/>
      <c r="H202" s="852"/>
      <c r="Q202" s="395"/>
      <c r="R202" s="151"/>
      <c r="S202" s="151"/>
      <c r="U202" s="387"/>
      <c r="V202" s="343" t="s">
        <v>15625</v>
      </c>
      <c r="W202" s="325"/>
      <c r="X202" s="325"/>
      <c r="Y202" s="325"/>
      <c r="Z202" s="325"/>
      <c r="AA202" s="325"/>
      <c r="AB202" s="325"/>
      <c r="AC202" s="325"/>
      <c r="AD202" s="325"/>
      <c r="AE202" s="325"/>
      <c r="AF202" s="325"/>
      <c r="AG202" s="325"/>
      <c r="AH202" s="325"/>
      <c r="AI202" s="391" t="s">
        <v>15626</v>
      </c>
      <c r="AJ202" s="838">
        <f>AJ200</f>
        <v>1</v>
      </c>
      <c r="AK202" s="843"/>
      <c r="AL202" s="324" t="s">
        <v>15630</v>
      </c>
      <c r="AM202" s="325"/>
      <c r="AN202" s="325"/>
      <c r="AO202" s="325"/>
      <c r="AP202" s="325"/>
      <c r="AQ202" s="190" t="s">
        <v>398</v>
      </c>
      <c r="AR202" s="844">
        <f>AR182</f>
        <v>0.85</v>
      </c>
      <c r="AS202" s="844"/>
      <c r="AT202" s="490"/>
      <c r="AW202" s="387"/>
      <c r="AX202" s="489">
        <f>ROUND(ROUND(Q200*AJ202,0)*AR202,0)</f>
        <v>157</v>
      </c>
      <c r="AY202" s="393"/>
    </row>
    <row r="203" spans="1:51" ht="17.100000000000001" customHeight="1" x14ac:dyDescent="0.15">
      <c r="A203" s="340">
        <v>12</v>
      </c>
      <c r="B203" s="341">
        <v>7497</v>
      </c>
      <c r="C203" s="390" t="s">
        <v>16498</v>
      </c>
      <c r="D203" s="403"/>
      <c r="E203" s="404"/>
      <c r="F203" s="404"/>
      <c r="G203" s="404"/>
      <c r="H203" s="406"/>
      <c r="L203" s="151"/>
      <c r="M203" s="151"/>
      <c r="N203" s="151"/>
      <c r="U203" s="387"/>
      <c r="V203" s="343"/>
      <c r="W203" s="343"/>
      <c r="X203" s="343"/>
      <c r="Y203" s="343"/>
      <c r="Z203" s="343"/>
      <c r="AA203" s="343"/>
      <c r="AB203" s="343"/>
      <c r="AC203" s="343"/>
      <c r="AD203" s="343"/>
      <c r="AE203" s="343"/>
      <c r="AF203" s="343"/>
      <c r="AG203" s="343"/>
      <c r="AH203" s="343"/>
      <c r="AI203" s="343"/>
      <c r="AJ203" s="343"/>
      <c r="AK203" s="407"/>
      <c r="AL203" s="396"/>
      <c r="AM203" s="396"/>
      <c r="AN203" s="396"/>
      <c r="AO203" s="396"/>
      <c r="AP203" s="396"/>
      <c r="AQ203" s="396"/>
      <c r="AR203" s="396"/>
      <c r="AS203" s="396"/>
      <c r="AT203" s="857" t="s">
        <v>16296</v>
      </c>
      <c r="AU203" s="858"/>
      <c r="AV203" s="858"/>
      <c r="AW203" s="860"/>
      <c r="AX203" s="489">
        <f>ROUND(Q200*AT206,0)</f>
        <v>148</v>
      </c>
      <c r="AY203" s="339"/>
    </row>
    <row r="204" spans="1:51" ht="16.5" customHeight="1" x14ac:dyDescent="0.15">
      <c r="A204" s="340">
        <v>12</v>
      </c>
      <c r="B204" s="341">
        <v>7498</v>
      </c>
      <c r="C204" s="390" t="s">
        <v>16499</v>
      </c>
      <c r="D204" s="403"/>
      <c r="E204" s="404"/>
      <c r="F204" s="404"/>
      <c r="G204" s="404"/>
      <c r="H204" s="406"/>
      <c r="Q204" s="899"/>
      <c r="R204" s="900"/>
      <c r="S204" s="900"/>
      <c r="U204" s="387"/>
      <c r="V204" s="343" t="s">
        <v>15625</v>
      </c>
      <c r="W204" s="325"/>
      <c r="X204" s="325"/>
      <c r="Y204" s="325"/>
      <c r="Z204" s="325"/>
      <c r="AA204" s="325"/>
      <c r="AB204" s="325"/>
      <c r="AC204" s="325"/>
      <c r="AD204" s="325"/>
      <c r="AE204" s="325"/>
      <c r="AF204" s="325"/>
      <c r="AG204" s="325"/>
      <c r="AH204" s="325"/>
      <c r="AI204" s="391" t="s">
        <v>15626</v>
      </c>
      <c r="AJ204" s="838">
        <f>AJ202</f>
        <v>1</v>
      </c>
      <c r="AK204" s="839"/>
      <c r="AQ204" s="152"/>
      <c r="AR204" s="152"/>
      <c r="AS204" s="152"/>
      <c r="AT204" s="849"/>
      <c r="AU204" s="850"/>
      <c r="AV204" s="850"/>
      <c r="AW204" s="852"/>
      <c r="AX204" s="489">
        <f>ROUND(ROUND(Q200*AJ204,0)*AT206,0)</f>
        <v>148</v>
      </c>
      <c r="AY204" s="393"/>
    </row>
    <row r="205" spans="1:51" ht="16.5" customHeight="1" x14ac:dyDescent="0.15">
      <c r="A205" s="287">
        <v>12</v>
      </c>
      <c r="B205" s="287">
        <v>7499</v>
      </c>
      <c r="C205" s="394" t="s">
        <v>16500</v>
      </c>
      <c r="D205" s="403"/>
      <c r="E205" s="404"/>
      <c r="F205" s="497"/>
      <c r="G205" s="497"/>
      <c r="H205" s="498"/>
      <c r="Q205" s="395"/>
      <c r="R205" s="151"/>
      <c r="S205" s="151"/>
      <c r="U205" s="387"/>
      <c r="V205" s="343"/>
      <c r="W205" s="343"/>
      <c r="X205" s="343"/>
      <c r="Y205" s="343"/>
      <c r="Z205" s="343"/>
      <c r="AA205" s="343"/>
      <c r="AB205" s="343"/>
      <c r="AC205" s="343"/>
      <c r="AD205" s="343"/>
      <c r="AE205" s="343"/>
      <c r="AF205" s="343"/>
      <c r="AG205" s="343"/>
      <c r="AH205" s="343"/>
      <c r="AI205" s="343"/>
      <c r="AJ205" s="343"/>
      <c r="AK205" s="343"/>
      <c r="AL205" s="114" t="s">
        <v>15628</v>
      </c>
      <c r="AM205" s="396"/>
      <c r="AN205" s="396"/>
      <c r="AO205" s="396"/>
      <c r="AP205" s="396"/>
      <c r="AQ205" s="396"/>
      <c r="AR205" s="396"/>
      <c r="AS205" s="396"/>
      <c r="AT205" s="901" t="s">
        <v>15636</v>
      </c>
      <c r="AU205" s="902"/>
      <c r="AV205" s="902"/>
      <c r="AW205" s="903"/>
      <c r="AX205" s="489">
        <f>ROUND(ROUND(Q200*AR206,0)*AT206,0)</f>
        <v>126</v>
      </c>
      <c r="AY205" s="393"/>
    </row>
    <row r="206" spans="1:51" ht="16.5" customHeight="1" x14ac:dyDescent="0.15">
      <c r="A206" s="287">
        <v>12</v>
      </c>
      <c r="B206" s="287">
        <v>7500</v>
      </c>
      <c r="C206" s="394" t="s">
        <v>16501</v>
      </c>
      <c r="D206" s="403"/>
      <c r="E206" s="404"/>
      <c r="F206" s="404"/>
      <c r="G206" s="404"/>
      <c r="H206" s="406"/>
      <c r="Q206" s="395"/>
      <c r="R206" s="151"/>
      <c r="S206" s="151"/>
      <c r="U206" s="387"/>
      <c r="V206" s="343" t="s">
        <v>15625</v>
      </c>
      <c r="W206" s="325"/>
      <c r="X206" s="325"/>
      <c r="Y206" s="325"/>
      <c r="Z206" s="325"/>
      <c r="AA206" s="325"/>
      <c r="AB206" s="325"/>
      <c r="AC206" s="325"/>
      <c r="AD206" s="325"/>
      <c r="AE206" s="325"/>
      <c r="AF206" s="325"/>
      <c r="AG206" s="325"/>
      <c r="AH206" s="325"/>
      <c r="AI206" s="391" t="s">
        <v>15626</v>
      </c>
      <c r="AJ206" s="838">
        <f>AJ204</f>
        <v>1</v>
      </c>
      <c r="AK206" s="843"/>
      <c r="AL206" s="324" t="s">
        <v>15630</v>
      </c>
      <c r="AM206" s="325"/>
      <c r="AN206" s="325"/>
      <c r="AO206" s="325"/>
      <c r="AP206" s="325"/>
      <c r="AQ206" s="190" t="s">
        <v>398</v>
      </c>
      <c r="AR206" s="844">
        <f>AR202</f>
        <v>0.85</v>
      </c>
      <c r="AS206" s="844"/>
      <c r="AT206" s="907">
        <f>AT182</f>
        <v>0.8</v>
      </c>
      <c r="AU206" s="844"/>
      <c r="AV206" s="844"/>
      <c r="AW206" s="845"/>
      <c r="AX206" s="489">
        <f>ROUND(ROUND(ROUND(Q200*AJ206,0)*AR206,0)*AT206,0)</f>
        <v>126</v>
      </c>
      <c r="AY206" s="393"/>
    </row>
    <row r="207" spans="1:51" ht="16.5" customHeight="1" x14ac:dyDescent="0.15">
      <c r="A207" s="340">
        <v>12</v>
      </c>
      <c r="B207" s="341">
        <v>7501</v>
      </c>
      <c r="C207" s="390" t="s">
        <v>16502</v>
      </c>
      <c r="D207" s="494"/>
      <c r="E207" s="151"/>
      <c r="F207" s="151"/>
      <c r="G207" s="151"/>
      <c r="H207" s="495"/>
      <c r="I207" s="908" t="s">
        <v>15633</v>
      </c>
      <c r="J207" s="909"/>
      <c r="K207" s="909"/>
      <c r="L207" s="909"/>
      <c r="M207" s="909"/>
      <c r="N207" s="909"/>
      <c r="O207" s="909"/>
      <c r="P207" s="909"/>
      <c r="Q207" s="909"/>
      <c r="R207" s="909"/>
      <c r="S207" s="909"/>
      <c r="T207" s="909"/>
      <c r="U207" s="910"/>
      <c r="V207" s="343"/>
      <c r="W207" s="325"/>
      <c r="X207" s="325"/>
      <c r="Y207" s="325"/>
      <c r="Z207" s="325"/>
      <c r="AA207" s="325"/>
      <c r="AB207" s="325"/>
      <c r="AC207" s="325"/>
      <c r="AD207" s="325"/>
      <c r="AE207" s="325"/>
      <c r="AF207" s="325"/>
      <c r="AG207" s="325"/>
      <c r="AH207" s="325"/>
      <c r="AI207" s="391"/>
      <c r="AJ207" s="401"/>
      <c r="AK207" s="402"/>
      <c r="AQ207" s="152"/>
      <c r="AR207" s="152"/>
      <c r="AS207" s="152"/>
      <c r="AT207" s="496"/>
      <c r="AU207" s="400"/>
      <c r="AV207" s="396"/>
      <c r="AW207" s="397"/>
      <c r="AX207" s="489">
        <f>ROUND(Q208,0)</f>
        <v>90</v>
      </c>
      <c r="AY207" s="393"/>
    </row>
    <row r="208" spans="1:51" ht="16.5" customHeight="1" x14ac:dyDescent="0.15">
      <c r="A208" s="340">
        <v>12</v>
      </c>
      <c r="B208" s="341">
        <v>7502</v>
      </c>
      <c r="C208" s="390" t="s">
        <v>16503</v>
      </c>
      <c r="D208" s="494"/>
      <c r="E208" s="151"/>
      <c r="F208" s="151"/>
      <c r="G208" s="151"/>
      <c r="H208" s="495"/>
      <c r="Q208" s="836">
        <v>90</v>
      </c>
      <c r="R208" s="911"/>
      <c r="S208" s="911"/>
      <c r="T208" s="152" t="s">
        <v>15624</v>
      </c>
      <c r="U208" s="387"/>
      <c r="V208" s="343" t="s">
        <v>15625</v>
      </c>
      <c r="W208" s="325"/>
      <c r="X208" s="325"/>
      <c r="Y208" s="325"/>
      <c r="Z208" s="325"/>
      <c r="AA208" s="325"/>
      <c r="AB208" s="325"/>
      <c r="AC208" s="325"/>
      <c r="AD208" s="325"/>
      <c r="AE208" s="325"/>
      <c r="AF208" s="325"/>
      <c r="AG208" s="325"/>
      <c r="AH208" s="325"/>
      <c r="AI208" s="391" t="s">
        <v>15626</v>
      </c>
      <c r="AJ208" s="838">
        <f>AJ206</f>
        <v>1</v>
      </c>
      <c r="AK208" s="839"/>
      <c r="AQ208" s="152"/>
      <c r="AR208" s="152"/>
      <c r="AS208" s="152"/>
      <c r="AT208" s="490"/>
      <c r="AW208" s="387"/>
      <c r="AX208" s="489">
        <f>ROUND(Q208*AJ208,0)</f>
        <v>90</v>
      </c>
      <c r="AY208" s="393"/>
    </row>
    <row r="209" spans="1:51" ht="16.5" customHeight="1" x14ac:dyDescent="0.15">
      <c r="A209" s="287">
        <v>12</v>
      </c>
      <c r="B209" s="287">
        <v>7503</v>
      </c>
      <c r="C209" s="394" t="s">
        <v>16504</v>
      </c>
      <c r="D209" s="494"/>
      <c r="E209" s="151"/>
      <c r="F209" s="151"/>
      <c r="G209" s="151"/>
      <c r="H209" s="495"/>
      <c r="Q209" s="395"/>
      <c r="R209" s="151"/>
      <c r="S209" s="151"/>
      <c r="U209" s="387"/>
      <c r="V209" s="343"/>
      <c r="W209" s="343"/>
      <c r="X209" s="343"/>
      <c r="Y209" s="343"/>
      <c r="Z209" s="343"/>
      <c r="AA209" s="343"/>
      <c r="AB209" s="343"/>
      <c r="AC209" s="343"/>
      <c r="AD209" s="343"/>
      <c r="AE209" s="343"/>
      <c r="AF209" s="343"/>
      <c r="AG209" s="343"/>
      <c r="AH209" s="343"/>
      <c r="AI209" s="343"/>
      <c r="AJ209" s="343"/>
      <c r="AK209" s="343"/>
      <c r="AL209" s="114" t="s">
        <v>15628</v>
      </c>
      <c r="AM209" s="396"/>
      <c r="AN209" s="396"/>
      <c r="AO209" s="396"/>
      <c r="AP209" s="396"/>
      <c r="AQ209" s="396"/>
      <c r="AR209" s="396"/>
      <c r="AS209" s="397"/>
      <c r="AT209" s="490"/>
      <c r="AW209" s="387"/>
      <c r="AX209" s="489">
        <f>ROUND(Q208*AR210,0)</f>
        <v>77</v>
      </c>
      <c r="AY209" s="393"/>
    </row>
    <row r="210" spans="1:51" ht="16.5" customHeight="1" x14ac:dyDescent="0.15">
      <c r="A210" s="287">
        <v>12</v>
      </c>
      <c r="B210" s="287">
        <v>7504</v>
      </c>
      <c r="C210" s="394" t="s">
        <v>16505</v>
      </c>
      <c r="D210" s="403"/>
      <c r="E210" s="404"/>
      <c r="F210" s="404"/>
      <c r="G210" s="404"/>
      <c r="H210" s="406"/>
      <c r="Q210" s="395"/>
      <c r="R210" s="151"/>
      <c r="S210" s="151"/>
      <c r="U210" s="387"/>
      <c r="V210" s="343" t="s">
        <v>15625</v>
      </c>
      <c r="W210" s="325"/>
      <c r="X210" s="325"/>
      <c r="Y210" s="325"/>
      <c r="Z210" s="325"/>
      <c r="AA210" s="325"/>
      <c r="AB210" s="325"/>
      <c r="AC210" s="325"/>
      <c r="AD210" s="325"/>
      <c r="AE210" s="325"/>
      <c r="AF210" s="325"/>
      <c r="AG210" s="325"/>
      <c r="AH210" s="325"/>
      <c r="AI210" s="391" t="s">
        <v>15626</v>
      </c>
      <c r="AJ210" s="838">
        <f>AJ208</f>
        <v>1</v>
      </c>
      <c r="AK210" s="843"/>
      <c r="AL210" s="324" t="s">
        <v>15630</v>
      </c>
      <c r="AM210" s="325"/>
      <c r="AN210" s="325"/>
      <c r="AO210" s="325"/>
      <c r="AP210" s="325"/>
      <c r="AQ210" s="190" t="s">
        <v>398</v>
      </c>
      <c r="AR210" s="844">
        <f>AR206</f>
        <v>0.85</v>
      </c>
      <c r="AS210" s="844"/>
      <c r="AT210" s="490"/>
      <c r="AW210" s="387"/>
      <c r="AX210" s="489">
        <f>ROUND(ROUND(Q208*AJ210,0)*AR210,0)</f>
        <v>77</v>
      </c>
      <c r="AY210" s="393"/>
    </row>
    <row r="211" spans="1:51" ht="16.5" customHeight="1" x14ac:dyDescent="0.15">
      <c r="A211" s="340">
        <v>12</v>
      </c>
      <c r="B211" s="341">
        <v>7505</v>
      </c>
      <c r="C211" s="390" t="s">
        <v>16506</v>
      </c>
      <c r="D211" s="494"/>
      <c r="E211" s="151"/>
      <c r="F211" s="151"/>
      <c r="G211" s="151"/>
      <c r="H211" s="495"/>
      <c r="I211" s="254"/>
      <c r="Q211" s="395"/>
      <c r="R211" s="151"/>
      <c r="S211" s="151"/>
      <c r="U211" s="387"/>
      <c r="V211" s="343"/>
      <c r="W211" s="325"/>
      <c r="X211" s="325"/>
      <c r="Y211" s="325"/>
      <c r="Z211" s="325"/>
      <c r="AA211" s="325"/>
      <c r="AB211" s="325"/>
      <c r="AC211" s="325"/>
      <c r="AD211" s="325"/>
      <c r="AE211" s="325"/>
      <c r="AF211" s="325"/>
      <c r="AG211" s="325"/>
      <c r="AH211" s="325"/>
      <c r="AI211" s="391"/>
      <c r="AJ211" s="401"/>
      <c r="AK211" s="402"/>
      <c r="AQ211" s="152"/>
      <c r="AR211" s="152"/>
      <c r="AS211" s="152"/>
      <c r="AT211" s="857" t="s">
        <v>16296</v>
      </c>
      <c r="AU211" s="858"/>
      <c r="AV211" s="858"/>
      <c r="AW211" s="860"/>
      <c r="AX211" s="489">
        <f>ROUND(Q208*AT214,0)</f>
        <v>72</v>
      </c>
      <c r="AY211" s="393"/>
    </row>
    <row r="212" spans="1:51" ht="16.5" customHeight="1" x14ac:dyDescent="0.15">
      <c r="A212" s="340">
        <v>12</v>
      </c>
      <c r="B212" s="341">
        <v>7506</v>
      </c>
      <c r="C212" s="390" t="s">
        <v>16507</v>
      </c>
      <c r="D212" s="494"/>
      <c r="E212" s="151"/>
      <c r="F212" s="151"/>
      <c r="G212" s="151"/>
      <c r="H212" s="495"/>
      <c r="Q212" s="899"/>
      <c r="R212" s="900"/>
      <c r="S212" s="900"/>
      <c r="U212" s="387"/>
      <c r="V212" s="343" t="s">
        <v>15625</v>
      </c>
      <c r="W212" s="325"/>
      <c r="X212" s="325"/>
      <c r="Y212" s="325"/>
      <c r="Z212" s="325"/>
      <c r="AA212" s="325"/>
      <c r="AB212" s="325"/>
      <c r="AC212" s="325"/>
      <c r="AD212" s="325"/>
      <c r="AE212" s="325"/>
      <c r="AF212" s="325"/>
      <c r="AG212" s="325"/>
      <c r="AH212" s="325"/>
      <c r="AI212" s="391" t="s">
        <v>15626</v>
      </c>
      <c r="AJ212" s="838">
        <f>AJ210</f>
        <v>1</v>
      </c>
      <c r="AK212" s="839"/>
      <c r="AQ212" s="152"/>
      <c r="AR212" s="152"/>
      <c r="AS212" s="152"/>
      <c r="AT212" s="849"/>
      <c r="AU212" s="850"/>
      <c r="AV212" s="850"/>
      <c r="AW212" s="852"/>
      <c r="AX212" s="489">
        <f>ROUND(ROUND(Q208*AJ212,0)*AT214,0)</f>
        <v>72</v>
      </c>
      <c r="AY212" s="393"/>
    </row>
    <row r="213" spans="1:51" ht="16.5" customHeight="1" x14ac:dyDescent="0.15">
      <c r="A213" s="287">
        <v>12</v>
      </c>
      <c r="B213" s="287">
        <v>7507</v>
      </c>
      <c r="C213" s="394" t="s">
        <v>16508</v>
      </c>
      <c r="D213" s="494"/>
      <c r="E213" s="151"/>
      <c r="F213" s="151"/>
      <c r="G213" s="151"/>
      <c r="H213" s="495"/>
      <c r="Q213" s="395"/>
      <c r="R213" s="151"/>
      <c r="S213" s="151"/>
      <c r="U213" s="387"/>
      <c r="V213" s="343"/>
      <c r="W213" s="343"/>
      <c r="X213" s="343"/>
      <c r="Y213" s="343"/>
      <c r="Z213" s="343"/>
      <c r="AA213" s="343"/>
      <c r="AB213" s="343"/>
      <c r="AC213" s="343"/>
      <c r="AD213" s="343"/>
      <c r="AE213" s="343"/>
      <c r="AF213" s="343"/>
      <c r="AG213" s="343"/>
      <c r="AH213" s="343"/>
      <c r="AI213" s="343"/>
      <c r="AJ213" s="343"/>
      <c r="AK213" s="343"/>
      <c r="AL213" s="114" t="s">
        <v>15628</v>
      </c>
      <c r="AM213" s="396"/>
      <c r="AN213" s="396"/>
      <c r="AO213" s="396"/>
      <c r="AP213" s="396"/>
      <c r="AQ213" s="396"/>
      <c r="AR213" s="396"/>
      <c r="AS213" s="397"/>
      <c r="AT213" s="901" t="s">
        <v>15636</v>
      </c>
      <c r="AU213" s="902"/>
      <c r="AV213" s="902"/>
      <c r="AW213" s="903"/>
      <c r="AX213" s="489">
        <f>ROUND(ROUND(Q208*AR214,0)*AT214,0)</f>
        <v>62</v>
      </c>
      <c r="AY213" s="393"/>
    </row>
    <row r="214" spans="1:51" ht="16.5" customHeight="1" x14ac:dyDescent="0.15">
      <c r="A214" s="287">
        <v>12</v>
      </c>
      <c r="B214" s="287">
        <v>7508</v>
      </c>
      <c r="C214" s="394" t="s">
        <v>16509</v>
      </c>
      <c r="D214" s="403"/>
      <c r="E214" s="404"/>
      <c r="F214" s="404"/>
      <c r="G214" s="404"/>
      <c r="H214" s="406"/>
      <c r="Q214" s="395"/>
      <c r="R214" s="151"/>
      <c r="S214" s="151"/>
      <c r="U214" s="387"/>
      <c r="V214" s="343" t="s">
        <v>15625</v>
      </c>
      <c r="W214" s="325"/>
      <c r="X214" s="325"/>
      <c r="Y214" s="325"/>
      <c r="Z214" s="325"/>
      <c r="AA214" s="325"/>
      <c r="AB214" s="325"/>
      <c r="AC214" s="325"/>
      <c r="AD214" s="325"/>
      <c r="AE214" s="325"/>
      <c r="AF214" s="325"/>
      <c r="AG214" s="325"/>
      <c r="AH214" s="325"/>
      <c r="AI214" s="391" t="s">
        <v>15626</v>
      </c>
      <c r="AJ214" s="838">
        <f>AJ212</f>
        <v>1</v>
      </c>
      <c r="AK214" s="843"/>
      <c r="AL214" s="324" t="s">
        <v>15630</v>
      </c>
      <c r="AM214" s="325"/>
      <c r="AN214" s="325"/>
      <c r="AO214" s="325"/>
      <c r="AP214" s="325"/>
      <c r="AQ214" s="190" t="s">
        <v>398</v>
      </c>
      <c r="AR214" s="844">
        <f>AR210</f>
        <v>0.85</v>
      </c>
      <c r="AS214" s="844"/>
      <c r="AT214" s="907">
        <f>AT206</f>
        <v>0.8</v>
      </c>
      <c r="AU214" s="844"/>
      <c r="AV214" s="844"/>
      <c r="AW214" s="845"/>
      <c r="AX214" s="489">
        <f>ROUND(ROUND(ROUND(Q208*AJ214,0)*AR214,0)*AT214,0)</f>
        <v>62</v>
      </c>
      <c r="AY214" s="393"/>
    </row>
    <row r="215" spans="1:51" ht="16.5" customHeight="1" x14ac:dyDescent="0.15">
      <c r="A215" s="340">
        <v>12</v>
      </c>
      <c r="B215" s="341">
        <v>7509</v>
      </c>
      <c r="C215" s="390" t="s">
        <v>16510</v>
      </c>
      <c r="D215" s="403"/>
      <c r="E215" s="404"/>
      <c r="F215" s="404"/>
      <c r="G215" s="404"/>
      <c r="H215" s="406"/>
      <c r="I215" s="908" t="s">
        <v>16309</v>
      </c>
      <c r="J215" s="909"/>
      <c r="K215" s="909"/>
      <c r="L215" s="909"/>
      <c r="M215" s="909"/>
      <c r="N215" s="909"/>
      <c r="O215" s="909"/>
      <c r="P215" s="909"/>
      <c r="Q215" s="909"/>
      <c r="R215" s="909"/>
      <c r="S215" s="909"/>
      <c r="T215" s="909"/>
      <c r="U215" s="910"/>
      <c r="V215" s="343"/>
      <c r="W215" s="325"/>
      <c r="X215" s="325"/>
      <c r="Y215" s="325"/>
      <c r="Z215" s="325"/>
      <c r="AA215" s="325"/>
      <c r="AB215" s="325"/>
      <c r="AC215" s="325"/>
      <c r="AD215" s="325"/>
      <c r="AE215" s="325"/>
      <c r="AF215" s="325"/>
      <c r="AG215" s="325"/>
      <c r="AH215" s="325"/>
      <c r="AI215" s="391"/>
      <c r="AJ215" s="401"/>
      <c r="AK215" s="402"/>
      <c r="AL215" s="396"/>
      <c r="AM215" s="396"/>
      <c r="AN215" s="396"/>
      <c r="AO215" s="396"/>
      <c r="AP215" s="396"/>
      <c r="AQ215" s="396"/>
      <c r="AR215" s="396"/>
      <c r="AS215" s="396"/>
      <c r="AT215" s="496"/>
      <c r="AU215" s="400"/>
      <c r="AV215" s="396"/>
      <c r="AW215" s="397"/>
      <c r="AX215" s="489">
        <f>ROUND(Q216,0)</f>
        <v>92</v>
      </c>
      <c r="AY215" s="393"/>
    </row>
    <row r="216" spans="1:51" ht="16.5" customHeight="1" x14ac:dyDescent="0.15">
      <c r="A216" s="340">
        <v>12</v>
      </c>
      <c r="B216" s="341">
        <v>7510</v>
      </c>
      <c r="C216" s="390" t="s">
        <v>16511</v>
      </c>
      <c r="D216" s="403"/>
      <c r="E216" s="404"/>
      <c r="F216" s="404"/>
      <c r="G216" s="404"/>
      <c r="H216" s="406"/>
      <c r="Q216" s="836">
        <v>92</v>
      </c>
      <c r="R216" s="837"/>
      <c r="S216" s="837"/>
      <c r="T216" s="152" t="s">
        <v>15624</v>
      </c>
      <c r="U216" s="387"/>
      <c r="V216" s="343" t="s">
        <v>15625</v>
      </c>
      <c r="W216" s="325"/>
      <c r="X216" s="325"/>
      <c r="Y216" s="325"/>
      <c r="Z216" s="325"/>
      <c r="AA216" s="325"/>
      <c r="AB216" s="325"/>
      <c r="AC216" s="325"/>
      <c r="AD216" s="325"/>
      <c r="AE216" s="325"/>
      <c r="AF216" s="325"/>
      <c r="AG216" s="325"/>
      <c r="AH216" s="325"/>
      <c r="AI216" s="391" t="s">
        <v>15626</v>
      </c>
      <c r="AJ216" s="838">
        <f>AJ214</f>
        <v>1</v>
      </c>
      <c r="AK216" s="839"/>
      <c r="AL216" s="325"/>
      <c r="AM216" s="325"/>
      <c r="AN216" s="325"/>
      <c r="AO216" s="325"/>
      <c r="AP216" s="325"/>
      <c r="AQ216" s="325"/>
      <c r="AR216" s="325"/>
      <c r="AS216" s="325"/>
      <c r="AT216" s="490"/>
      <c r="AW216" s="387"/>
      <c r="AX216" s="489">
        <f>ROUND(Q216*AJ216,0)</f>
        <v>92</v>
      </c>
      <c r="AY216" s="393"/>
    </row>
    <row r="217" spans="1:51" ht="16.5" customHeight="1" x14ac:dyDescent="0.15">
      <c r="A217" s="287">
        <v>12</v>
      </c>
      <c r="B217" s="287">
        <v>7511</v>
      </c>
      <c r="C217" s="394" t="s">
        <v>16512</v>
      </c>
      <c r="D217" s="403"/>
      <c r="E217" s="404"/>
      <c r="F217" s="404"/>
      <c r="G217" s="404"/>
      <c r="H217" s="406"/>
      <c r="Q217" s="395"/>
      <c r="R217" s="151"/>
      <c r="S217" s="151"/>
      <c r="U217" s="387"/>
      <c r="V217" s="343"/>
      <c r="W217" s="343"/>
      <c r="X217" s="343"/>
      <c r="Y217" s="343"/>
      <c r="Z217" s="343"/>
      <c r="AA217" s="343"/>
      <c r="AB217" s="343"/>
      <c r="AC217" s="343"/>
      <c r="AD217" s="343"/>
      <c r="AE217" s="343"/>
      <c r="AF217" s="343"/>
      <c r="AG217" s="343"/>
      <c r="AH217" s="343"/>
      <c r="AI217" s="343"/>
      <c r="AJ217" s="343"/>
      <c r="AK217" s="343"/>
      <c r="AL217" s="114" t="s">
        <v>15628</v>
      </c>
      <c r="AM217" s="396"/>
      <c r="AN217" s="396"/>
      <c r="AO217" s="396"/>
      <c r="AP217" s="396"/>
      <c r="AQ217" s="396"/>
      <c r="AR217" s="396"/>
      <c r="AS217" s="397"/>
      <c r="AT217" s="490"/>
      <c r="AW217" s="387"/>
      <c r="AX217" s="489">
        <f>ROUND(Q216*AR218,0)</f>
        <v>78</v>
      </c>
      <c r="AY217" s="393"/>
    </row>
    <row r="218" spans="1:51" ht="16.5" customHeight="1" x14ac:dyDescent="0.15">
      <c r="A218" s="287">
        <v>12</v>
      </c>
      <c r="B218" s="287">
        <v>7512</v>
      </c>
      <c r="C218" s="394" t="s">
        <v>16513</v>
      </c>
      <c r="D218" s="403"/>
      <c r="E218" s="404"/>
      <c r="F218" s="404"/>
      <c r="G218" s="404"/>
      <c r="H218" s="406"/>
      <c r="Q218" s="395"/>
      <c r="R218" s="151"/>
      <c r="S218" s="151"/>
      <c r="U218" s="387"/>
      <c r="V218" s="343" t="s">
        <v>15625</v>
      </c>
      <c r="W218" s="325"/>
      <c r="X218" s="325"/>
      <c r="Y218" s="325"/>
      <c r="Z218" s="325"/>
      <c r="AA218" s="325"/>
      <c r="AB218" s="325"/>
      <c r="AC218" s="325"/>
      <c r="AD218" s="325"/>
      <c r="AE218" s="325"/>
      <c r="AF218" s="325"/>
      <c r="AG218" s="325"/>
      <c r="AH218" s="325"/>
      <c r="AI218" s="391" t="s">
        <v>15626</v>
      </c>
      <c r="AJ218" s="838">
        <f>AJ216</f>
        <v>1</v>
      </c>
      <c r="AK218" s="843"/>
      <c r="AL218" s="324" t="s">
        <v>15630</v>
      </c>
      <c r="AM218" s="325"/>
      <c r="AN218" s="325"/>
      <c r="AO218" s="325"/>
      <c r="AP218" s="325"/>
      <c r="AQ218" s="190" t="s">
        <v>398</v>
      </c>
      <c r="AR218" s="844">
        <f>AR214</f>
        <v>0.85</v>
      </c>
      <c r="AS218" s="844"/>
      <c r="AT218" s="490"/>
      <c r="AW218" s="387"/>
      <c r="AX218" s="489">
        <f>ROUND(ROUND(Q216*AJ218,0)*AR218,0)</f>
        <v>78</v>
      </c>
      <c r="AY218" s="393"/>
    </row>
    <row r="219" spans="1:51" ht="16.5" customHeight="1" x14ac:dyDescent="0.15">
      <c r="A219" s="340">
        <v>12</v>
      </c>
      <c r="B219" s="341">
        <v>7513</v>
      </c>
      <c r="C219" s="390" t="s">
        <v>16514</v>
      </c>
      <c r="D219" s="403"/>
      <c r="E219" s="404"/>
      <c r="F219" s="404"/>
      <c r="G219" s="404"/>
      <c r="H219" s="406"/>
      <c r="I219" s="10"/>
      <c r="Q219" s="395"/>
      <c r="R219" s="151"/>
      <c r="S219" s="151"/>
      <c r="U219" s="387"/>
      <c r="V219" s="343"/>
      <c r="W219" s="325"/>
      <c r="X219" s="325"/>
      <c r="Y219" s="325"/>
      <c r="Z219" s="325"/>
      <c r="AA219" s="325"/>
      <c r="AB219" s="325"/>
      <c r="AC219" s="325"/>
      <c r="AD219" s="325"/>
      <c r="AE219" s="325"/>
      <c r="AF219" s="325"/>
      <c r="AG219" s="325"/>
      <c r="AH219" s="325"/>
      <c r="AI219" s="391"/>
      <c r="AJ219" s="401"/>
      <c r="AK219" s="402"/>
      <c r="AL219" s="396"/>
      <c r="AM219" s="396"/>
      <c r="AN219" s="396"/>
      <c r="AO219" s="396"/>
      <c r="AP219" s="396"/>
      <c r="AQ219" s="396"/>
      <c r="AR219" s="396"/>
      <c r="AS219" s="396"/>
      <c r="AT219" s="857" t="s">
        <v>16296</v>
      </c>
      <c r="AU219" s="858"/>
      <c r="AV219" s="858"/>
      <c r="AW219" s="860"/>
      <c r="AX219" s="489">
        <f>ROUND(Q216*AT222,0)</f>
        <v>74</v>
      </c>
      <c r="AY219" s="393"/>
    </row>
    <row r="220" spans="1:51" ht="16.5" customHeight="1" x14ac:dyDescent="0.15">
      <c r="A220" s="340">
        <v>12</v>
      </c>
      <c r="B220" s="341">
        <v>7514</v>
      </c>
      <c r="C220" s="390" t="s">
        <v>16515</v>
      </c>
      <c r="D220" s="403"/>
      <c r="E220" s="404"/>
      <c r="F220" s="404"/>
      <c r="G220" s="404"/>
      <c r="H220" s="406"/>
      <c r="Q220" s="899"/>
      <c r="R220" s="900"/>
      <c r="S220" s="900"/>
      <c r="U220" s="387"/>
      <c r="V220" s="343" t="s">
        <v>15625</v>
      </c>
      <c r="W220" s="325"/>
      <c r="X220" s="325"/>
      <c r="Y220" s="325"/>
      <c r="Z220" s="325"/>
      <c r="AA220" s="325"/>
      <c r="AB220" s="325"/>
      <c r="AC220" s="325"/>
      <c r="AD220" s="325"/>
      <c r="AE220" s="325"/>
      <c r="AF220" s="325"/>
      <c r="AG220" s="325"/>
      <c r="AH220" s="325"/>
      <c r="AI220" s="391" t="s">
        <v>15626</v>
      </c>
      <c r="AJ220" s="838">
        <f>AJ218</f>
        <v>1</v>
      </c>
      <c r="AK220" s="839"/>
      <c r="AL220" s="325"/>
      <c r="AM220" s="325"/>
      <c r="AN220" s="325"/>
      <c r="AO220" s="325"/>
      <c r="AP220" s="325"/>
      <c r="AQ220" s="325"/>
      <c r="AR220" s="325"/>
      <c r="AS220" s="325"/>
      <c r="AT220" s="849"/>
      <c r="AU220" s="850"/>
      <c r="AV220" s="850"/>
      <c r="AW220" s="852"/>
      <c r="AX220" s="489">
        <f>ROUND(ROUND(Q216*AJ220,0)*AT222,0)</f>
        <v>74</v>
      </c>
      <c r="AY220" s="393"/>
    </row>
    <row r="221" spans="1:51" ht="16.5" customHeight="1" x14ac:dyDescent="0.15">
      <c r="A221" s="287">
        <v>12</v>
      </c>
      <c r="B221" s="287">
        <v>7515</v>
      </c>
      <c r="C221" s="394" t="s">
        <v>16516</v>
      </c>
      <c r="D221" s="403"/>
      <c r="E221" s="404"/>
      <c r="F221" s="404"/>
      <c r="G221" s="404"/>
      <c r="H221" s="406"/>
      <c r="Q221" s="395"/>
      <c r="R221" s="151"/>
      <c r="S221" s="151"/>
      <c r="U221" s="387"/>
      <c r="V221" s="343"/>
      <c r="W221" s="343"/>
      <c r="X221" s="343"/>
      <c r="Y221" s="343"/>
      <c r="Z221" s="343"/>
      <c r="AA221" s="343"/>
      <c r="AB221" s="343"/>
      <c r="AC221" s="343"/>
      <c r="AD221" s="343"/>
      <c r="AE221" s="343"/>
      <c r="AF221" s="343"/>
      <c r="AG221" s="343"/>
      <c r="AH221" s="343"/>
      <c r="AI221" s="343"/>
      <c r="AJ221" s="343"/>
      <c r="AK221" s="343"/>
      <c r="AL221" s="114" t="s">
        <v>15628</v>
      </c>
      <c r="AM221" s="396"/>
      <c r="AN221" s="396"/>
      <c r="AO221" s="396"/>
      <c r="AP221" s="396"/>
      <c r="AQ221" s="396"/>
      <c r="AR221" s="396"/>
      <c r="AS221" s="397"/>
      <c r="AT221" s="901" t="s">
        <v>15636</v>
      </c>
      <c r="AU221" s="902"/>
      <c r="AV221" s="902"/>
      <c r="AW221" s="903"/>
      <c r="AX221" s="489">
        <f>ROUND(ROUND(Q216*AR222,0)*AT222,0)</f>
        <v>62</v>
      </c>
      <c r="AY221" s="393"/>
    </row>
    <row r="222" spans="1:51" ht="16.5" customHeight="1" x14ac:dyDescent="0.15">
      <c r="A222" s="287">
        <v>12</v>
      </c>
      <c r="B222" s="287">
        <v>7516</v>
      </c>
      <c r="C222" s="394" t="s">
        <v>16517</v>
      </c>
      <c r="D222" s="403"/>
      <c r="E222" s="404"/>
      <c r="F222" s="404"/>
      <c r="G222" s="404"/>
      <c r="H222" s="406"/>
      <c r="Q222" s="395"/>
      <c r="R222" s="151"/>
      <c r="S222" s="151"/>
      <c r="U222" s="387"/>
      <c r="V222" s="343" t="s">
        <v>15625</v>
      </c>
      <c r="W222" s="325"/>
      <c r="X222" s="325"/>
      <c r="Y222" s="325"/>
      <c r="Z222" s="325"/>
      <c r="AA222" s="325"/>
      <c r="AB222" s="325"/>
      <c r="AC222" s="325"/>
      <c r="AD222" s="325"/>
      <c r="AE222" s="325"/>
      <c r="AF222" s="325"/>
      <c r="AG222" s="325"/>
      <c r="AH222" s="325"/>
      <c r="AI222" s="391" t="s">
        <v>15626</v>
      </c>
      <c r="AJ222" s="838">
        <f>AJ220</f>
        <v>1</v>
      </c>
      <c r="AK222" s="843"/>
      <c r="AL222" s="324" t="s">
        <v>15630</v>
      </c>
      <c r="AM222" s="325"/>
      <c r="AN222" s="325"/>
      <c r="AO222" s="325"/>
      <c r="AP222" s="325"/>
      <c r="AQ222" s="190" t="s">
        <v>398</v>
      </c>
      <c r="AR222" s="844">
        <f>AR218</f>
        <v>0.85</v>
      </c>
      <c r="AS222" s="844"/>
      <c r="AT222" s="907">
        <f>AT214</f>
        <v>0.8</v>
      </c>
      <c r="AU222" s="844"/>
      <c r="AV222" s="844"/>
      <c r="AW222" s="845"/>
      <c r="AX222" s="489">
        <f>ROUND(ROUND(ROUND(Q216*AJ222,0)*AR222,0)*AT222,0)</f>
        <v>62</v>
      </c>
      <c r="AY222" s="393"/>
    </row>
    <row r="223" spans="1:51" ht="16.5" customHeight="1" x14ac:dyDescent="0.15">
      <c r="A223" s="340">
        <v>12</v>
      </c>
      <c r="B223" s="341">
        <v>7517</v>
      </c>
      <c r="C223" s="390" t="s">
        <v>16518</v>
      </c>
      <c r="D223" s="403"/>
      <c r="E223" s="404"/>
      <c r="F223" s="404"/>
      <c r="G223" s="404"/>
      <c r="H223" s="406"/>
      <c r="I223" s="908" t="s">
        <v>16318</v>
      </c>
      <c r="J223" s="909"/>
      <c r="K223" s="909"/>
      <c r="L223" s="909"/>
      <c r="M223" s="909"/>
      <c r="N223" s="909"/>
      <c r="O223" s="909"/>
      <c r="P223" s="909"/>
      <c r="Q223" s="909"/>
      <c r="R223" s="909"/>
      <c r="S223" s="909"/>
      <c r="T223" s="909"/>
      <c r="U223" s="910"/>
      <c r="V223" s="343"/>
      <c r="W223" s="325"/>
      <c r="X223" s="325"/>
      <c r="Y223" s="325"/>
      <c r="Z223" s="325"/>
      <c r="AA223" s="325"/>
      <c r="AB223" s="325"/>
      <c r="AC223" s="325"/>
      <c r="AD223" s="325"/>
      <c r="AE223" s="325"/>
      <c r="AF223" s="325"/>
      <c r="AG223" s="325"/>
      <c r="AH223" s="325"/>
      <c r="AI223" s="391"/>
      <c r="AJ223" s="401"/>
      <c r="AK223" s="402"/>
      <c r="AL223" s="396"/>
      <c r="AM223" s="396"/>
      <c r="AN223" s="396"/>
      <c r="AO223" s="396"/>
      <c r="AP223" s="396"/>
      <c r="AQ223" s="396"/>
      <c r="AR223" s="396"/>
      <c r="AS223" s="396"/>
      <c r="AT223" s="496"/>
      <c r="AU223" s="400"/>
      <c r="AV223" s="396"/>
      <c r="AW223" s="397"/>
      <c r="AX223" s="489">
        <f>ROUND(Q224,0)</f>
        <v>91</v>
      </c>
      <c r="AY223" s="393"/>
    </row>
    <row r="224" spans="1:51" ht="16.5" customHeight="1" x14ac:dyDescent="0.15">
      <c r="A224" s="340">
        <v>12</v>
      </c>
      <c r="B224" s="341">
        <v>7518</v>
      </c>
      <c r="C224" s="390" t="s">
        <v>16519</v>
      </c>
      <c r="D224" s="403"/>
      <c r="E224" s="404"/>
      <c r="F224" s="404"/>
      <c r="G224" s="404"/>
      <c r="H224" s="406"/>
      <c r="Q224" s="836">
        <v>91</v>
      </c>
      <c r="R224" s="837"/>
      <c r="S224" s="837"/>
      <c r="T224" s="152" t="s">
        <v>15624</v>
      </c>
      <c r="U224" s="387"/>
      <c r="V224" s="343" t="s">
        <v>15625</v>
      </c>
      <c r="W224" s="325"/>
      <c r="X224" s="325"/>
      <c r="Y224" s="325"/>
      <c r="Z224" s="325"/>
      <c r="AA224" s="325"/>
      <c r="AB224" s="325"/>
      <c r="AC224" s="325"/>
      <c r="AD224" s="325"/>
      <c r="AE224" s="325"/>
      <c r="AF224" s="325"/>
      <c r="AG224" s="325"/>
      <c r="AH224" s="325"/>
      <c r="AI224" s="391" t="s">
        <v>15626</v>
      </c>
      <c r="AJ224" s="838">
        <f>AJ222</f>
        <v>1</v>
      </c>
      <c r="AK224" s="839"/>
      <c r="AL224" s="325"/>
      <c r="AM224" s="325"/>
      <c r="AN224" s="325"/>
      <c r="AO224" s="325"/>
      <c r="AP224" s="325"/>
      <c r="AQ224" s="325"/>
      <c r="AR224" s="325"/>
      <c r="AS224" s="325"/>
      <c r="AT224" s="490"/>
      <c r="AW224" s="387"/>
      <c r="AX224" s="489">
        <f>ROUND(Q224*AJ224,0)</f>
        <v>91</v>
      </c>
      <c r="AY224" s="393"/>
    </row>
    <row r="225" spans="1:51" ht="16.5" customHeight="1" x14ac:dyDescent="0.15">
      <c r="A225" s="287">
        <v>12</v>
      </c>
      <c r="B225" s="287">
        <v>7519</v>
      </c>
      <c r="C225" s="394" t="s">
        <v>16520</v>
      </c>
      <c r="D225" s="403"/>
      <c r="E225" s="404"/>
      <c r="F225" s="404"/>
      <c r="G225" s="404"/>
      <c r="H225" s="406"/>
      <c r="Q225" s="395"/>
      <c r="R225" s="151"/>
      <c r="S225" s="151"/>
      <c r="U225" s="387"/>
      <c r="V225" s="343"/>
      <c r="W225" s="343"/>
      <c r="X225" s="343"/>
      <c r="Y225" s="343"/>
      <c r="Z225" s="343"/>
      <c r="AA225" s="343"/>
      <c r="AB225" s="343"/>
      <c r="AC225" s="343"/>
      <c r="AD225" s="343"/>
      <c r="AE225" s="343"/>
      <c r="AF225" s="343"/>
      <c r="AG225" s="343"/>
      <c r="AH225" s="343"/>
      <c r="AI225" s="343"/>
      <c r="AJ225" s="343"/>
      <c r="AK225" s="343"/>
      <c r="AL225" s="114" t="s">
        <v>15628</v>
      </c>
      <c r="AM225" s="396"/>
      <c r="AN225" s="396"/>
      <c r="AO225" s="396"/>
      <c r="AP225" s="396"/>
      <c r="AQ225" s="396"/>
      <c r="AR225" s="396"/>
      <c r="AS225" s="397"/>
      <c r="AT225" s="490"/>
      <c r="AW225" s="387"/>
      <c r="AX225" s="489">
        <f>ROUND(Q224*AR226,0)</f>
        <v>77</v>
      </c>
      <c r="AY225" s="393"/>
    </row>
    <row r="226" spans="1:51" ht="16.5" customHeight="1" x14ac:dyDescent="0.15">
      <c r="A226" s="287">
        <v>12</v>
      </c>
      <c r="B226" s="287">
        <v>7520</v>
      </c>
      <c r="C226" s="394" t="s">
        <v>16521</v>
      </c>
      <c r="D226" s="403"/>
      <c r="E226" s="404"/>
      <c r="F226" s="404"/>
      <c r="G226" s="404"/>
      <c r="H226" s="406"/>
      <c r="Q226" s="395"/>
      <c r="R226" s="151"/>
      <c r="S226" s="151"/>
      <c r="U226" s="387"/>
      <c r="V226" s="343" t="s">
        <v>15625</v>
      </c>
      <c r="W226" s="325"/>
      <c r="X226" s="325"/>
      <c r="Y226" s="325"/>
      <c r="Z226" s="325"/>
      <c r="AA226" s="325"/>
      <c r="AB226" s="325"/>
      <c r="AC226" s="325"/>
      <c r="AD226" s="325"/>
      <c r="AE226" s="325"/>
      <c r="AF226" s="325"/>
      <c r="AG226" s="325"/>
      <c r="AH226" s="325"/>
      <c r="AI226" s="391" t="s">
        <v>15626</v>
      </c>
      <c r="AJ226" s="838">
        <f>AJ224</f>
        <v>1</v>
      </c>
      <c r="AK226" s="843"/>
      <c r="AL226" s="324" t="s">
        <v>15630</v>
      </c>
      <c r="AM226" s="325"/>
      <c r="AN226" s="325"/>
      <c r="AO226" s="325"/>
      <c r="AP226" s="325"/>
      <c r="AQ226" s="190" t="s">
        <v>398</v>
      </c>
      <c r="AR226" s="844">
        <f>AR222</f>
        <v>0.85</v>
      </c>
      <c r="AS226" s="844"/>
      <c r="AT226" s="490"/>
      <c r="AW226" s="387"/>
      <c r="AX226" s="489">
        <f>ROUND(ROUND(Q224*AJ226,0)*AR226,0)</f>
        <v>77</v>
      </c>
      <c r="AY226" s="393"/>
    </row>
    <row r="227" spans="1:51" ht="16.5" customHeight="1" x14ac:dyDescent="0.15">
      <c r="A227" s="340">
        <v>12</v>
      </c>
      <c r="B227" s="341">
        <v>7521</v>
      </c>
      <c r="C227" s="390" t="s">
        <v>16522</v>
      </c>
      <c r="D227" s="403"/>
      <c r="E227" s="404"/>
      <c r="F227" s="404"/>
      <c r="G227" s="404"/>
      <c r="H227" s="406"/>
      <c r="I227" s="10"/>
      <c r="Q227" s="395"/>
      <c r="R227" s="151"/>
      <c r="S227" s="151"/>
      <c r="U227" s="387"/>
      <c r="V227" s="343"/>
      <c r="W227" s="325"/>
      <c r="X227" s="325"/>
      <c r="Y227" s="325"/>
      <c r="Z227" s="325"/>
      <c r="AA227" s="325"/>
      <c r="AB227" s="325"/>
      <c r="AC227" s="325"/>
      <c r="AD227" s="325"/>
      <c r="AE227" s="325"/>
      <c r="AF227" s="325"/>
      <c r="AG227" s="325"/>
      <c r="AH227" s="325"/>
      <c r="AI227" s="391"/>
      <c r="AJ227" s="401"/>
      <c r="AK227" s="402"/>
      <c r="AL227" s="396"/>
      <c r="AM227" s="396"/>
      <c r="AN227" s="396"/>
      <c r="AO227" s="396"/>
      <c r="AP227" s="396"/>
      <c r="AQ227" s="396"/>
      <c r="AR227" s="396"/>
      <c r="AS227" s="396"/>
      <c r="AT227" s="857" t="s">
        <v>16296</v>
      </c>
      <c r="AU227" s="858"/>
      <c r="AV227" s="858"/>
      <c r="AW227" s="860"/>
      <c r="AX227" s="489">
        <f>ROUND(Q224*AT230,0)</f>
        <v>73</v>
      </c>
      <c r="AY227" s="393"/>
    </row>
    <row r="228" spans="1:51" ht="16.5" customHeight="1" x14ac:dyDescent="0.15">
      <c r="A228" s="340">
        <v>12</v>
      </c>
      <c r="B228" s="341">
        <v>7522</v>
      </c>
      <c r="C228" s="390" t="s">
        <v>16523</v>
      </c>
      <c r="D228" s="403"/>
      <c r="E228" s="404"/>
      <c r="F228" s="404"/>
      <c r="G228" s="404"/>
      <c r="H228" s="406"/>
      <c r="Q228" s="899"/>
      <c r="R228" s="900"/>
      <c r="S228" s="900"/>
      <c r="U228" s="387"/>
      <c r="V228" s="343" t="s">
        <v>15625</v>
      </c>
      <c r="W228" s="325"/>
      <c r="X228" s="325"/>
      <c r="Y228" s="325"/>
      <c r="Z228" s="325"/>
      <c r="AA228" s="325"/>
      <c r="AB228" s="325"/>
      <c r="AC228" s="325"/>
      <c r="AD228" s="325"/>
      <c r="AE228" s="325"/>
      <c r="AF228" s="325"/>
      <c r="AG228" s="325"/>
      <c r="AH228" s="325"/>
      <c r="AI228" s="391" t="s">
        <v>15626</v>
      </c>
      <c r="AJ228" s="838">
        <f>AJ226</f>
        <v>1</v>
      </c>
      <c r="AK228" s="839"/>
      <c r="AL228" s="325"/>
      <c r="AM228" s="325"/>
      <c r="AN228" s="325"/>
      <c r="AO228" s="325"/>
      <c r="AP228" s="325"/>
      <c r="AQ228" s="325"/>
      <c r="AR228" s="325"/>
      <c r="AS228" s="325"/>
      <c r="AT228" s="849"/>
      <c r="AU228" s="850"/>
      <c r="AV228" s="850"/>
      <c r="AW228" s="852"/>
      <c r="AX228" s="489">
        <f>ROUND(ROUND(Q224*AJ228,0)*AT230,0)</f>
        <v>73</v>
      </c>
      <c r="AY228" s="393"/>
    </row>
    <row r="229" spans="1:51" ht="16.5" customHeight="1" x14ac:dyDescent="0.15">
      <c r="A229" s="287">
        <v>12</v>
      </c>
      <c r="B229" s="287">
        <v>7523</v>
      </c>
      <c r="C229" s="394" t="s">
        <v>16524</v>
      </c>
      <c r="D229" s="403"/>
      <c r="E229" s="404"/>
      <c r="F229" s="404"/>
      <c r="G229" s="404"/>
      <c r="H229" s="406"/>
      <c r="Q229" s="395"/>
      <c r="R229" s="151"/>
      <c r="S229" s="151"/>
      <c r="U229" s="387"/>
      <c r="V229" s="343"/>
      <c r="W229" s="343"/>
      <c r="X229" s="343"/>
      <c r="Y229" s="343"/>
      <c r="Z229" s="343"/>
      <c r="AA229" s="343"/>
      <c r="AB229" s="343"/>
      <c r="AC229" s="343"/>
      <c r="AD229" s="343"/>
      <c r="AE229" s="343"/>
      <c r="AF229" s="343"/>
      <c r="AG229" s="343"/>
      <c r="AH229" s="343"/>
      <c r="AI229" s="343"/>
      <c r="AJ229" s="343"/>
      <c r="AK229" s="343"/>
      <c r="AL229" s="114" t="s">
        <v>15628</v>
      </c>
      <c r="AM229" s="396"/>
      <c r="AN229" s="396"/>
      <c r="AO229" s="396"/>
      <c r="AP229" s="396"/>
      <c r="AQ229" s="396"/>
      <c r="AR229" s="396"/>
      <c r="AS229" s="397"/>
      <c r="AT229" s="901" t="s">
        <v>15636</v>
      </c>
      <c r="AU229" s="902"/>
      <c r="AV229" s="902"/>
      <c r="AW229" s="903"/>
      <c r="AX229" s="489">
        <f>ROUND(ROUND(Q224*AR230,0)*AT230,0)</f>
        <v>62</v>
      </c>
      <c r="AY229" s="393"/>
    </row>
    <row r="230" spans="1:51" ht="16.5" customHeight="1" x14ac:dyDescent="0.15">
      <c r="A230" s="287">
        <v>12</v>
      </c>
      <c r="B230" s="287">
        <v>7524</v>
      </c>
      <c r="C230" s="394" t="s">
        <v>16525</v>
      </c>
      <c r="D230" s="403"/>
      <c r="E230" s="404"/>
      <c r="F230" s="404"/>
      <c r="G230" s="404"/>
      <c r="H230" s="406"/>
      <c r="Q230" s="395"/>
      <c r="R230" s="151"/>
      <c r="S230" s="151"/>
      <c r="U230" s="387"/>
      <c r="V230" s="343" t="s">
        <v>15625</v>
      </c>
      <c r="W230" s="325"/>
      <c r="X230" s="325"/>
      <c r="Y230" s="325"/>
      <c r="Z230" s="325"/>
      <c r="AA230" s="325"/>
      <c r="AB230" s="325"/>
      <c r="AC230" s="325"/>
      <c r="AD230" s="325"/>
      <c r="AE230" s="325"/>
      <c r="AF230" s="325"/>
      <c r="AG230" s="325"/>
      <c r="AH230" s="325"/>
      <c r="AI230" s="391" t="s">
        <v>15626</v>
      </c>
      <c r="AJ230" s="838">
        <f>AJ228</f>
        <v>1</v>
      </c>
      <c r="AK230" s="843"/>
      <c r="AL230" s="324" t="s">
        <v>15630</v>
      </c>
      <c r="AM230" s="325"/>
      <c r="AN230" s="325"/>
      <c r="AO230" s="325"/>
      <c r="AP230" s="325"/>
      <c r="AQ230" s="190" t="s">
        <v>398</v>
      </c>
      <c r="AR230" s="844">
        <f>AR226</f>
        <v>0.85</v>
      </c>
      <c r="AS230" s="844"/>
      <c r="AT230" s="907">
        <f>AT222</f>
        <v>0.8</v>
      </c>
      <c r="AU230" s="844"/>
      <c r="AV230" s="844"/>
      <c r="AW230" s="845"/>
      <c r="AX230" s="489">
        <f>ROUND(ROUND(ROUND(Q224*AJ230,0)*AR230,0)*AT230,0)</f>
        <v>62</v>
      </c>
      <c r="AY230" s="393"/>
    </row>
    <row r="231" spans="1:51" ht="16.5" customHeight="1" x14ac:dyDescent="0.15">
      <c r="A231" s="340">
        <v>12</v>
      </c>
      <c r="B231" s="341">
        <v>7525</v>
      </c>
      <c r="C231" s="390" t="s">
        <v>16526</v>
      </c>
      <c r="D231" s="403"/>
      <c r="E231" s="404"/>
      <c r="F231" s="404"/>
      <c r="G231" s="404"/>
      <c r="H231" s="406"/>
      <c r="I231" s="908" t="s">
        <v>16327</v>
      </c>
      <c r="J231" s="909"/>
      <c r="K231" s="909"/>
      <c r="L231" s="909"/>
      <c r="M231" s="909"/>
      <c r="N231" s="909"/>
      <c r="O231" s="909"/>
      <c r="P231" s="909"/>
      <c r="Q231" s="909"/>
      <c r="R231" s="909"/>
      <c r="S231" s="909"/>
      <c r="T231" s="909"/>
      <c r="U231" s="910"/>
      <c r="V231" s="343"/>
      <c r="W231" s="325"/>
      <c r="X231" s="325"/>
      <c r="Y231" s="325"/>
      <c r="Z231" s="325"/>
      <c r="AA231" s="325"/>
      <c r="AB231" s="325"/>
      <c r="AC231" s="325"/>
      <c r="AD231" s="325"/>
      <c r="AE231" s="325"/>
      <c r="AF231" s="325"/>
      <c r="AG231" s="325"/>
      <c r="AH231" s="325"/>
      <c r="AI231" s="391"/>
      <c r="AJ231" s="401"/>
      <c r="AK231" s="402"/>
      <c r="AL231" s="396"/>
      <c r="AM231" s="396"/>
      <c r="AN231" s="396"/>
      <c r="AO231" s="396"/>
      <c r="AP231" s="396"/>
      <c r="AQ231" s="396"/>
      <c r="AR231" s="396"/>
      <c r="AS231" s="396"/>
      <c r="AT231" s="496"/>
      <c r="AU231" s="400"/>
      <c r="AV231" s="396"/>
      <c r="AW231" s="397"/>
      <c r="AX231" s="489">
        <f>ROUND(Q232,0)</f>
        <v>92</v>
      </c>
      <c r="AY231" s="393"/>
    </row>
    <row r="232" spans="1:51" ht="16.5" customHeight="1" x14ac:dyDescent="0.15">
      <c r="A232" s="340">
        <v>12</v>
      </c>
      <c r="B232" s="341">
        <v>7526</v>
      </c>
      <c r="C232" s="390" t="s">
        <v>16527</v>
      </c>
      <c r="D232" s="403"/>
      <c r="E232" s="404"/>
      <c r="F232" s="404"/>
      <c r="G232" s="404"/>
      <c r="H232" s="406"/>
      <c r="Q232" s="836">
        <v>92</v>
      </c>
      <c r="R232" s="837"/>
      <c r="S232" s="837"/>
      <c r="T232" s="152" t="s">
        <v>15624</v>
      </c>
      <c r="U232" s="387"/>
      <c r="V232" s="343" t="s">
        <v>15625</v>
      </c>
      <c r="W232" s="325"/>
      <c r="X232" s="325"/>
      <c r="Y232" s="325"/>
      <c r="Z232" s="325"/>
      <c r="AA232" s="325"/>
      <c r="AB232" s="325"/>
      <c r="AC232" s="325"/>
      <c r="AD232" s="325"/>
      <c r="AE232" s="325"/>
      <c r="AF232" s="325"/>
      <c r="AG232" s="325"/>
      <c r="AH232" s="325"/>
      <c r="AI232" s="391" t="s">
        <v>15626</v>
      </c>
      <c r="AJ232" s="838">
        <f>AJ230</f>
        <v>1</v>
      </c>
      <c r="AK232" s="839"/>
      <c r="AL232" s="325"/>
      <c r="AM232" s="325"/>
      <c r="AN232" s="325"/>
      <c r="AO232" s="325"/>
      <c r="AP232" s="325"/>
      <c r="AQ232" s="325"/>
      <c r="AR232" s="325"/>
      <c r="AS232" s="325"/>
      <c r="AT232" s="490"/>
      <c r="AW232" s="387"/>
      <c r="AX232" s="489">
        <f>ROUND(Q232*AJ232,0)</f>
        <v>92</v>
      </c>
      <c r="AY232" s="393"/>
    </row>
    <row r="233" spans="1:51" ht="16.5" customHeight="1" x14ac:dyDescent="0.15">
      <c r="A233" s="340">
        <v>12</v>
      </c>
      <c r="B233" s="341">
        <v>7527</v>
      </c>
      <c r="C233" s="390" t="s">
        <v>16528</v>
      </c>
      <c r="D233" s="403"/>
      <c r="E233" s="404"/>
      <c r="F233" s="404"/>
      <c r="G233" s="404"/>
      <c r="H233" s="406"/>
      <c r="Q233" s="395"/>
      <c r="R233" s="151"/>
      <c r="S233" s="151"/>
      <c r="U233" s="387"/>
      <c r="V233" s="343"/>
      <c r="W233" s="343"/>
      <c r="X233" s="343"/>
      <c r="Y233" s="343"/>
      <c r="Z233" s="343"/>
      <c r="AA233" s="343"/>
      <c r="AB233" s="343"/>
      <c r="AC233" s="343"/>
      <c r="AD233" s="343"/>
      <c r="AE233" s="343"/>
      <c r="AF233" s="343"/>
      <c r="AG233" s="343"/>
      <c r="AH233" s="343"/>
      <c r="AI233" s="343"/>
      <c r="AJ233" s="343"/>
      <c r="AK233" s="343"/>
      <c r="AL233" s="114" t="s">
        <v>15628</v>
      </c>
      <c r="AM233" s="396"/>
      <c r="AN233" s="396"/>
      <c r="AO233" s="396"/>
      <c r="AP233" s="396"/>
      <c r="AQ233" s="396"/>
      <c r="AR233" s="396"/>
      <c r="AS233" s="397"/>
      <c r="AT233" s="490"/>
      <c r="AW233" s="387"/>
      <c r="AX233" s="489">
        <f>ROUND(Q232*AR234,0)</f>
        <v>78</v>
      </c>
      <c r="AY233" s="393"/>
    </row>
    <row r="234" spans="1:51" ht="16.5" customHeight="1" x14ac:dyDescent="0.15">
      <c r="A234" s="340">
        <v>12</v>
      </c>
      <c r="B234" s="341">
        <v>7528</v>
      </c>
      <c r="C234" s="390" t="s">
        <v>16529</v>
      </c>
      <c r="D234" s="403"/>
      <c r="E234" s="404"/>
      <c r="F234" s="404"/>
      <c r="G234" s="404"/>
      <c r="H234" s="406"/>
      <c r="Q234" s="395"/>
      <c r="R234" s="151"/>
      <c r="S234" s="151"/>
      <c r="U234" s="387"/>
      <c r="V234" s="343" t="s">
        <v>15625</v>
      </c>
      <c r="W234" s="325"/>
      <c r="X234" s="325"/>
      <c r="Y234" s="325"/>
      <c r="Z234" s="325"/>
      <c r="AA234" s="325"/>
      <c r="AB234" s="325"/>
      <c r="AC234" s="325"/>
      <c r="AD234" s="325"/>
      <c r="AE234" s="325"/>
      <c r="AF234" s="325"/>
      <c r="AG234" s="325"/>
      <c r="AH234" s="325"/>
      <c r="AI234" s="391" t="s">
        <v>15626</v>
      </c>
      <c r="AJ234" s="838">
        <f>AJ232</f>
        <v>1</v>
      </c>
      <c r="AK234" s="843"/>
      <c r="AL234" s="324" t="s">
        <v>15630</v>
      </c>
      <c r="AM234" s="325"/>
      <c r="AN234" s="325"/>
      <c r="AO234" s="325"/>
      <c r="AP234" s="325"/>
      <c r="AQ234" s="190" t="s">
        <v>398</v>
      </c>
      <c r="AR234" s="844">
        <f>AR230</f>
        <v>0.85</v>
      </c>
      <c r="AS234" s="844"/>
      <c r="AT234" s="490"/>
      <c r="AW234" s="387"/>
      <c r="AX234" s="489">
        <f>ROUND(ROUND(Q232*AJ234,0)*AR234,0)</f>
        <v>78</v>
      </c>
      <c r="AY234" s="393"/>
    </row>
    <row r="235" spans="1:51" ht="16.5" customHeight="1" x14ac:dyDescent="0.15">
      <c r="A235" s="340">
        <v>12</v>
      </c>
      <c r="B235" s="341">
        <v>7529</v>
      </c>
      <c r="C235" s="390" t="s">
        <v>16530</v>
      </c>
      <c r="D235" s="403"/>
      <c r="E235" s="404"/>
      <c r="F235" s="404"/>
      <c r="G235" s="404"/>
      <c r="H235" s="406"/>
      <c r="I235" s="10"/>
      <c r="Q235" s="395"/>
      <c r="R235" s="151"/>
      <c r="S235" s="151"/>
      <c r="U235" s="387"/>
      <c r="V235" s="343"/>
      <c r="W235" s="325"/>
      <c r="X235" s="325"/>
      <c r="Y235" s="325"/>
      <c r="Z235" s="325"/>
      <c r="AA235" s="325"/>
      <c r="AB235" s="325"/>
      <c r="AC235" s="325"/>
      <c r="AD235" s="325"/>
      <c r="AE235" s="325"/>
      <c r="AF235" s="325"/>
      <c r="AG235" s="325"/>
      <c r="AH235" s="325"/>
      <c r="AI235" s="391"/>
      <c r="AJ235" s="401"/>
      <c r="AK235" s="402"/>
      <c r="AL235" s="396"/>
      <c r="AM235" s="396"/>
      <c r="AN235" s="396"/>
      <c r="AO235" s="396"/>
      <c r="AP235" s="396"/>
      <c r="AQ235" s="396"/>
      <c r="AR235" s="396"/>
      <c r="AS235" s="396"/>
      <c r="AT235" s="857" t="s">
        <v>16296</v>
      </c>
      <c r="AU235" s="858"/>
      <c r="AV235" s="858"/>
      <c r="AW235" s="860"/>
      <c r="AX235" s="489">
        <f>ROUND(Q232*AT238,0)</f>
        <v>74</v>
      </c>
      <c r="AY235" s="393"/>
    </row>
    <row r="236" spans="1:51" ht="16.5" customHeight="1" x14ac:dyDescent="0.15">
      <c r="A236" s="340">
        <v>12</v>
      </c>
      <c r="B236" s="341">
        <v>7530</v>
      </c>
      <c r="C236" s="390" t="s">
        <v>16531</v>
      </c>
      <c r="D236" s="403"/>
      <c r="E236" s="404"/>
      <c r="F236" s="404"/>
      <c r="G236" s="404"/>
      <c r="H236" s="406"/>
      <c r="Q236" s="899"/>
      <c r="R236" s="900"/>
      <c r="S236" s="900"/>
      <c r="U236" s="387"/>
      <c r="V236" s="343" t="s">
        <v>15625</v>
      </c>
      <c r="W236" s="325"/>
      <c r="X236" s="325"/>
      <c r="Y236" s="325"/>
      <c r="Z236" s="325"/>
      <c r="AA236" s="325"/>
      <c r="AB236" s="325"/>
      <c r="AC236" s="325"/>
      <c r="AD236" s="325"/>
      <c r="AE236" s="325"/>
      <c r="AF236" s="325"/>
      <c r="AG236" s="325"/>
      <c r="AH236" s="325"/>
      <c r="AI236" s="391" t="s">
        <v>15626</v>
      </c>
      <c r="AJ236" s="838">
        <f>AJ234</f>
        <v>1</v>
      </c>
      <c r="AK236" s="839"/>
      <c r="AL236" s="325"/>
      <c r="AM236" s="325"/>
      <c r="AN236" s="325"/>
      <c r="AO236" s="325"/>
      <c r="AP236" s="325"/>
      <c r="AQ236" s="325"/>
      <c r="AR236" s="325"/>
      <c r="AS236" s="325"/>
      <c r="AT236" s="849"/>
      <c r="AU236" s="850"/>
      <c r="AV236" s="850"/>
      <c r="AW236" s="852"/>
      <c r="AX236" s="489">
        <f>ROUND(ROUND(Q232*AJ236,0)*AT238,0)</f>
        <v>74</v>
      </c>
      <c r="AY236" s="393"/>
    </row>
    <row r="237" spans="1:51" ht="16.5" customHeight="1" x14ac:dyDescent="0.15">
      <c r="A237" s="340">
        <v>12</v>
      </c>
      <c r="B237" s="341">
        <v>7531</v>
      </c>
      <c r="C237" s="390" t="s">
        <v>16532</v>
      </c>
      <c r="D237" s="403"/>
      <c r="E237" s="404"/>
      <c r="F237" s="404"/>
      <c r="G237" s="404"/>
      <c r="H237" s="406"/>
      <c r="Q237" s="395"/>
      <c r="R237" s="151"/>
      <c r="S237" s="151"/>
      <c r="U237" s="387"/>
      <c r="V237" s="343"/>
      <c r="W237" s="343"/>
      <c r="X237" s="343"/>
      <c r="Y237" s="343"/>
      <c r="Z237" s="343"/>
      <c r="AA237" s="343"/>
      <c r="AB237" s="343"/>
      <c r="AC237" s="343"/>
      <c r="AD237" s="343"/>
      <c r="AE237" s="343"/>
      <c r="AF237" s="343"/>
      <c r="AG237" s="343"/>
      <c r="AH237" s="343"/>
      <c r="AI237" s="343"/>
      <c r="AJ237" s="343"/>
      <c r="AK237" s="343"/>
      <c r="AL237" s="114" t="s">
        <v>15628</v>
      </c>
      <c r="AM237" s="396"/>
      <c r="AN237" s="396"/>
      <c r="AO237" s="396"/>
      <c r="AP237" s="396"/>
      <c r="AQ237" s="396"/>
      <c r="AR237" s="396"/>
      <c r="AS237" s="397"/>
      <c r="AT237" s="901" t="s">
        <v>15636</v>
      </c>
      <c r="AU237" s="902"/>
      <c r="AV237" s="902"/>
      <c r="AW237" s="903"/>
      <c r="AX237" s="489">
        <f>ROUND(ROUND(Q232*AR238,0)*AT238,0)</f>
        <v>62</v>
      </c>
      <c r="AY237" s="393"/>
    </row>
    <row r="238" spans="1:51" ht="16.5" customHeight="1" x14ac:dyDescent="0.15">
      <c r="A238" s="340">
        <v>12</v>
      </c>
      <c r="B238" s="341">
        <v>7532</v>
      </c>
      <c r="C238" s="390" t="s">
        <v>16533</v>
      </c>
      <c r="D238" s="403"/>
      <c r="E238" s="404"/>
      <c r="F238" s="404"/>
      <c r="G238" s="404"/>
      <c r="H238" s="406"/>
      <c r="Q238" s="395"/>
      <c r="R238" s="151"/>
      <c r="S238" s="151"/>
      <c r="U238" s="387"/>
      <c r="V238" s="343" t="s">
        <v>15625</v>
      </c>
      <c r="W238" s="325"/>
      <c r="X238" s="325"/>
      <c r="Y238" s="325"/>
      <c r="Z238" s="325"/>
      <c r="AA238" s="325"/>
      <c r="AB238" s="325"/>
      <c r="AC238" s="325"/>
      <c r="AD238" s="325"/>
      <c r="AE238" s="325"/>
      <c r="AF238" s="325"/>
      <c r="AG238" s="325"/>
      <c r="AH238" s="325"/>
      <c r="AI238" s="391" t="s">
        <v>15626</v>
      </c>
      <c r="AJ238" s="838">
        <f>AJ236</f>
        <v>1</v>
      </c>
      <c r="AK238" s="843"/>
      <c r="AL238" s="324" t="s">
        <v>15630</v>
      </c>
      <c r="AM238" s="325"/>
      <c r="AN238" s="325"/>
      <c r="AO238" s="325"/>
      <c r="AP238" s="325"/>
      <c r="AQ238" s="190" t="s">
        <v>398</v>
      </c>
      <c r="AR238" s="844">
        <f>AR234</f>
        <v>0.85</v>
      </c>
      <c r="AS238" s="844"/>
      <c r="AT238" s="907">
        <f>AT230</f>
        <v>0.8</v>
      </c>
      <c r="AU238" s="844"/>
      <c r="AV238" s="844"/>
      <c r="AW238" s="845"/>
      <c r="AX238" s="489">
        <f>ROUND(ROUND(ROUND(Q232*AJ238,0)*AR238,0)*AT238,0)</f>
        <v>62</v>
      </c>
      <c r="AY238" s="393"/>
    </row>
    <row r="239" spans="1:51" ht="16.5" customHeight="1" x14ac:dyDescent="0.15">
      <c r="A239" s="340">
        <v>12</v>
      </c>
      <c r="B239" s="341">
        <v>7533</v>
      </c>
      <c r="C239" s="390" t="s">
        <v>16534</v>
      </c>
      <c r="D239" s="403"/>
      <c r="E239" s="404"/>
      <c r="F239" s="404"/>
      <c r="G239" s="404"/>
      <c r="H239" s="406"/>
      <c r="I239" s="908" t="s">
        <v>16336</v>
      </c>
      <c r="J239" s="909"/>
      <c r="K239" s="909"/>
      <c r="L239" s="909"/>
      <c r="M239" s="909"/>
      <c r="N239" s="909"/>
      <c r="O239" s="909"/>
      <c r="P239" s="909"/>
      <c r="Q239" s="909"/>
      <c r="R239" s="909"/>
      <c r="S239" s="909"/>
      <c r="T239" s="909"/>
      <c r="U239" s="910"/>
      <c r="V239" s="343"/>
      <c r="W239" s="325"/>
      <c r="X239" s="325"/>
      <c r="Y239" s="325"/>
      <c r="Z239" s="325"/>
      <c r="AA239" s="325"/>
      <c r="AB239" s="325"/>
      <c r="AC239" s="325"/>
      <c r="AD239" s="325"/>
      <c r="AE239" s="325"/>
      <c r="AF239" s="325"/>
      <c r="AG239" s="325"/>
      <c r="AH239" s="325"/>
      <c r="AI239" s="391"/>
      <c r="AJ239" s="401"/>
      <c r="AK239" s="402"/>
      <c r="AL239" s="396"/>
      <c r="AM239" s="396"/>
      <c r="AN239" s="396"/>
      <c r="AO239" s="396"/>
      <c r="AP239" s="396"/>
      <c r="AQ239" s="396"/>
      <c r="AR239" s="396"/>
      <c r="AS239" s="396"/>
      <c r="AT239" s="496"/>
      <c r="AU239" s="400"/>
      <c r="AV239" s="396"/>
      <c r="AW239" s="397"/>
      <c r="AX239" s="489">
        <f>ROUND(Q240,0)</f>
        <v>90</v>
      </c>
      <c r="AY239" s="393"/>
    </row>
    <row r="240" spans="1:51" ht="16.5" customHeight="1" x14ac:dyDescent="0.15">
      <c r="A240" s="340">
        <v>12</v>
      </c>
      <c r="B240" s="341">
        <v>7534</v>
      </c>
      <c r="C240" s="390" t="s">
        <v>16535</v>
      </c>
      <c r="D240" s="403"/>
      <c r="E240" s="404"/>
      <c r="F240" s="404"/>
      <c r="G240" s="404"/>
      <c r="H240" s="406"/>
      <c r="Q240" s="836">
        <v>90</v>
      </c>
      <c r="R240" s="837"/>
      <c r="S240" s="837"/>
      <c r="T240" s="152" t="s">
        <v>15624</v>
      </c>
      <c r="U240" s="387"/>
      <c r="V240" s="343" t="s">
        <v>15625</v>
      </c>
      <c r="W240" s="325"/>
      <c r="X240" s="325"/>
      <c r="Y240" s="325"/>
      <c r="Z240" s="325"/>
      <c r="AA240" s="325"/>
      <c r="AB240" s="325"/>
      <c r="AC240" s="325"/>
      <c r="AD240" s="325"/>
      <c r="AE240" s="325"/>
      <c r="AF240" s="325"/>
      <c r="AG240" s="325"/>
      <c r="AH240" s="325"/>
      <c r="AI240" s="391" t="s">
        <v>15626</v>
      </c>
      <c r="AJ240" s="838">
        <f>AJ238</f>
        <v>1</v>
      </c>
      <c r="AK240" s="839"/>
      <c r="AL240" s="325"/>
      <c r="AM240" s="325"/>
      <c r="AN240" s="325"/>
      <c r="AO240" s="325"/>
      <c r="AP240" s="325"/>
      <c r="AQ240" s="325"/>
      <c r="AR240" s="325"/>
      <c r="AS240" s="325"/>
      <c r="AT240" s="490"/>
      <c r="AW240" s="387"/>
      <c r="AX240" s="489">
        <f>ROUND(Q240*AJ240,0)</f>
        <v>90</v>
      </c>
      <c r="AY240" s="393"/>
    </row>
    <row r="241" spans="1:51" ht="16.5" customHeight="1" x14ac:dyDescent="0.15">
      <c r="A241" s="340">
        <v>12</v>
      </c>
      <c r="B241" s="341">
        <v>7535</v>
      </c>
      <c r="C241" s="390" t="s">
        <v>16536</v>
      </c>
      <c r="D241" s="403"/>
      <c r="E241" s="404"/>
      <c r="F241" s="404"/>
      <c r="G241" s="404"/>
      <c r="H241" s="406"/>
      <c r="Q241" s="395"/>
      <c r="R241" s="151"/>
      <c r="S241" s="151"/>
      <c r="U241" s="387"/>
      <c r="V241" s="343"/>
      <c r="W241" s="343"/>
      <c r="X241" s="343"/>
      <c r="Y241" s="343"/>
      <c r="Z241" s="343"/>
      <c r="AA241" s="343"/>
      <c r="AB241" s="343"/>
      <c r="AC241" s="343"/>
      <c r="AD241" s="343"/>
      <c r="AE241" s="343"/>
      <c r="AF241" s="343"/>
      <c r="AG241" s="343"/>
      <c r="AH241" s="343"/>
      <c r="AI241" s="343"/>
      <c r="AJ241" s="343"/>
      <c r="AK241" s="343"/>
      <c r="AL241" s="114" t="s">
        <v>15628</v>
      </c>
      <c r="AM241" s="396"/>
      <c r="AN241" s="396"/>
      <c r="AO241" s="396"/>
      <c r="AP241" s="396"/>
      <c r="AQ241" s="396"/>
      <c r="AR241" s="396"/>
      <c r="AS241" s="397"/>
      <c r="AT241" s="490"/>
      <c r="AW241" s="387"/>
      <c r="AX241" s="489">
        <f>ROUND(Q240*AR242,0)</f>
        <v>77</v>
      </c>
      <c r="AY241" s="393"/>
    </row>
    <row r="242" spans="1:51" ht="16.5" customHeight="1" x14ac:dyDescent="0.15">
      <c r="A242" s="340">
        <v>12</v>
      </c>
      <c r="B242" s="341">
        <v>7536</v>
      </c>
      <c r="C242" s="390" t="s">
        <v>16537</v>
      </c>
      <c r="D242" s="403"/>
      <c r="E242" s="404"/>
      <c r="F242" s="404"/>
      <c r="G242" s="404"/>
      <c r="H242" s="406"/>
      <c r="Q242" s="395"/>
      <c r="R242" s="151"/>
      <c r="S242" s="151"/>
      <c r="U242" s="387"/>
      <c r="V242" s="343" t="s">
        <v>15625</v>
      </c>
      <c r="W242" s="325"/>
      <c r="X242" s="325"/>
      <c r="Y242" s="325"/>
      <c r="Z242" s="325"/>
      <c r="AA242" s="325"/>
      <c r="AB242" s="325"/>
      <c r="AC242" s="325"/>
      <c r="AD242" s="325"/>
      <c r="AE242" s="325"/>
      <c r="AF242" s="325"/>
      <c r="AG242" s="325"/>
      <c r="AH242" s="325"/>
      <c r="AI242" s="391" t="s">
        <v>15626</v>
      </c>
      <c r="AJ242" s="838">
        <f>AJ240</f>
        <v>1</v>
      </c>
      <c r="AK242" s="843"/>
      <c r="AL242" s="324" t="s">
        <v>15630</v>
      </c>
      <c r="AM242" s="325"/>
      <c r="AN242" s="325"/>
      <c r="AO242" s="325"/>
      <c r="AP242" s="325"/>
      <c r="AQ242" s="190" t="s">
        <v>398</v>
      </c>
      <c r="AR242" s="844">
        <f>AR238</f>
        <v>0.85</v>
      </c>
      <c r="AS242" s="844"/>
      <c r="AT242" s="490"/>
      <c r="AW242" s="387"/>
      <c r="AX242" s="489">
        <f>ROUND(ROUND(Q240*AJ242,0)*AR242,0)</f>
        <v>77</v>
      </c>
      <c r="AY242" s="393"/>
    </row>
    <row r="243" spans="1:51" ht="16.5" customHeight="1" x14ac:dyDescent="0.15">
      <c r="A243" s="340">
        <v>12</v>
      </c>
      <c r="B243" s="341">
        <v>7537</v>
      </c>
      <c r="C243" s="390" t="s">
        <v>16538</v>
      </c>
      <c r="D243" s="403"/>
      <c r="E243" s="404"/>
      <c r="F243" s="404"/>
      <c r="G243" s="404"/>
      <c r="H243" s="406"/>
      <c r="I243" s="10"/>
      <c r="Q243" s="395"/>
      <c r="R243" s="151"/>
      <c r="S243" s="151"/>
      <c r="U243" s="387"/>
      <c r="V243" s="343"/>
      <c r="W243" s="325"/>
      <c r="X243" s="325"/>
      <c r="Y243" s="325"/>
      <c r="Z243" s="325"/>
      <c r="AA243" s="325"/>
      <c r="AB243" s="325"/>
      <c r="AC243" s="325"/>
      <c r="AD243" s="325"/>
      <c r="AE243" s="325"/>
      <c r="AF243" s="325"/>
      <c r="AG243" s="325"/>
      <c r="AH243" s="325"/>
      <c r="AI243" s="391"/>
      <c r="AJ243" s="401"/>
      <c r="AK243" s="402"/>
      <c r="AL243" s="396"/>
      <c r="AM243" s="396"/>
      <c r="AN243" s="396"/>
      <c r="AO243" s="396"/>
      <c r="AP243" s="396"/>
      <c r="AQ243" s="396"/>
      <c r="AR243" s="396"/>
      <c r="AS243" s="396"/>
      <c r="AT243" s="857" t="s">
        <v>16296</v>
      </c>
      <c r="AU243" s="858"/>
      <c r="AV243" s="858"/>
      <c r="AW243" s="860"/>
      <c r="AX243" s="489">
        <f>ROUND(Q240*AT246,0)</f>
        <v>72</v>
      </c>
      <c r="AY243" s="393"/>
    </row>
    <row r="244" spans="1:51" ht="16.5" customHeight="1" x14ac:dyDescent="0.15">
      <c r="A244" s="340">
        <v>12</v>
      </c>
      <c r="B244" s="341">
        <v>7538</v>
      </c>
      <c r="C244" s="390" t="s">
        <v>16539</v>
      </c>
      <c r="D244" s="403"/>
      <c r="E244" s="404"/>
      <c r="F244" s="404"/>
      <c r="G244" s="404"/>
      <c r="H244" s="406"/>
      <c r="Q244" s="899"/>
      <c r="R244" s="900"/>
      <c r="S244" s="900"/>
      <c r="U244" s="387"/>
      <c r="V244" s="343" t="s">
        <v>15625</v>
      </c>
      <c r="W244" s="325"/>
      <c r="X244" s="325"/>
      <c r="Y244" s="325"/>
      <c r="Z244" s="325"/>
      <c r="AA244" s="325"/>
      <c r="AB244" s="325"/>
      <c r="AC244" s="325"/>
      <c r="AD244" s="325"/>
      <c r="AE244" s="325"/>
      <c r="AF244" s="325"/>
      <c r="AG244" s="325"/>
      <c r="AH244" s="325"/>
      <c r="AI244" s="391" t="s">
        <v>15626</v>
      </c>
      <c r="AJ244" s="838">
        <f>AJ242</f>
        <v>1</v>
      </c>
      <c r="AK244" s="839"/>
      <c r="AL244" s="325"/>
      <c r="AM244" s="325"/>
      <c r="AN244" s="325"/>
      <c r="AO244" s="325"/>
      <c r="AP244" s="325"/>
      <c r="AQ244" s="325"/>
      <c r="AR244" s="325"/>
      <c r="AS244" s="325"/>
      <c r="AT244" s="849"/>
      <c r="AU244" s="850"/>
      <c r="AV244" s="850"/>
      <c r="AW244" s="852"/>
      <c r="AX244" s="489">
        <f>ROUND(ROUND(Q240*AJ244,0)*AT246,0)</f>
        <v>72</v>
      </c>
      <c r="AY244" s="393"/>
    </row>
    <row r="245" spans="1:51" ht="16.5" customHeight="1" x14ac:dyDescent="0.15">
      <c r="A245" s="340">
        <v>12</v>
      </c>
      <c r="B245" s="341">
        <v>7539</v>
      </c>
      <c r="C245" s="390" t="s">
        <v>16540</v>
      </c>
      <c r="D245" s="403"/>
      <c r="E245" s="404"/>
      <c r="F245" s="404"/>
      <c r="G245" s="404"/>
      <c r="H245" s="406"/>
      <c r="Q245" s="395"/>
      <c r="R245" s="151"/>
      <c r="S245" s="151"/>
      <c r="U245" s="387"/>
      <c r="V245" s="343"/>
      <c r="W245" s="343"/>
      <c r="X245" s="343"/>
      <c r="Y245" s="343"/>
      <c r="Z245" s="343"/>
      <c r="AA245" s="343"/>
      <c r="AB245" s="343"/>
      <c r="AC245" s="343"/>
      <c r="AD245" s="343"/>
      <c r="AE245" s="343"/>
      <c r="AF245" s="343"/>
      <c r="AG245" s="343"/>
      <c r="AH245" s="343"/>
      <c r="AI245" s="343"/>
      <c r="AJ245" s="343"/>
      <c r="AK245" s="343"/>
      <c r="AL245" s="114" t="s">
        <v>15628</v>
      </c>
      <c r="AM245" s="396"/>
      <c r="AN245" s="396"/>
      <c r="AO245" s="396"/>
      <c r="AP245" s="396"/>
      <c r="AQ245" s="396"/>
      <c r="AR245" s="396"/>
      <c r="AS245" s="397"/>
      <c r="AT245" s="901" t="s">
        <v>15636</v>
      </c>
      <c r="AU245" s="902"/>
      <c r="AV245" s="902"/>
      <c r="AW245" s="903"/>
      <c r="AX245" s="489">
        <f>ROUND(ROUND(Q240*AR246,0)*AT246,0)</f>
        <v>62</v>
      </c>
      <c r="AY245" s="393"/>
    </row>
    <row r="246" spans="1:51" ht="16.5" customHeight="1" x14ac:dyDescent="0.15">
      <c r="A246" s="340">
        <v>12</v>
      </c>
      <c r="B246" s="341">
        <v>7540</v>
      </c>
      <c r="C246" s="390" t="s">
        <v>16541</v>
      </c>
      <c r="D246" s="403"/>
      <c r="E246" s="404"/>
      <c r="F246" s="404"/>
      <c r="G246" s="404"/>
      <c r="H246" s="406"/>
      <c r="Q246" s="395"/>
      <c r="R246" s="151"/>
      <c r="S246" s="151"/>
      <c r="U246" s="387"/>
      <c r="V246" s="343" t="s">
        <v>15625</v>
      </c>
      <c r="W246" s="325"/>
      <c r="X246" s="325"/>
      <c r="Y246" s="325"/>
      <c r="Z246" s="325"/>
      <c r="AA246" s="325"/>
      <c r="AB246" s="325"/>
      <c r="AC246" s="325"/>
      <c r="AD246" s="325"/>
      <c r="AE246" s="325"/>
      <c r="AF246" s="325"/>
      <c r="AG246" s="325"/>
      <c r="AH246" s="325"/>
      <c r="AI246" s="391" t="s">
        <v>15626</v>
      </c>
      <c r="AJ246" s="838">
        <f>AJ244</f>
        <v>1</v>
      </c>
      <c r="AK246" s="843"/>
      <c r="AL246" s="324" t="s">
        <v>15630</v>
      </c>
      <c r="AM246" s="325"/>
      <c r="AN246" s="325"/>
      <c r="AO246" s="325"/>
      <c r="AP246" s="325"/>
      <c r="AQ246" s="190" t="s">
        <v>398</v>
      </c>
      <c r="AR246" s="844">
        <f>AR242</f>
        <v>0.85</v>
      </c>
      <c r="AS246" s="844"/>
      <c r="AT246" s="907">
        <f>AT238</f>
        <v>0.8</v>
      </c>
      <c r="AU246" s="844"/>
      <c r="AV246" s="844"/>
      <c r="AW246" s="845"/>
      <c r="AX246" s="489">
        <f>ROUND(ROUND(ROUND(Q240*AJ246,0)*AR246,0)*AT246,0)</f>
        <v>62</v>
      </c>
      <c r="AY246" s="393"/>
    </row>
    <row r="247" spans="1:51" ht="16.5" customHeight="1" x14ac:dyDescent="0.15">
      <c r="A247" s="340">
        <v>12</v>
      </c>
      <c r="B247" s="341">
        <v>7541</v>
      </c>
      <c r="C247" s="390" t="s">
        <v>16542</v>
      </c>
      <c r="D247" s="403"/>
      <c r="E247" s="404"/>
      <c r="F247" s="404"/>
      <c r="G247" s="404"/>
      <c r="H247" s="406"/>
      <c r="I247" s="908" t="s">
        <v>16345</v>
      </c>
      <c r="J247" s="909"/>
      <c r="K247" s="909"/>
      <c r="L247" s="909"/>
      <c r="M247" s="909"/>
      <c r="N247" s="909"/>
      <c r="O247" s="909"/>
      <c r="P247" s="909"/>
      <c r="Q247" s="909"/>
      <c r="R247" s="909"/>
      <c r="S247" s="909"/>
      <c r="T247" s="909"/>
      <c r="U247" s="910"/>
      <c r="V247" s="343"/>
      <c r="W247" s="325"/>
      <c r="X247" s="325"/>
      <c r="Y247" s="325"/>
      <c r="Z247" s="325"/>
      <c r="AA247" s="325"/>
      <c r="AB247" s="325"/>
      <c r="AC247" s="325"/>
      <c r="AD247" s="325"/>
      <c r="AE247" s="325"/>
      <c r="AF247" s="325"/>
      <c r="AG247" s="325"/>
      <c r="AH247" s="325"/>
      <c r="AI247" s="391"/>
      <c r="AJ247" s="401"/>
      <c r="AK247" s="402"/>
      <c r="AL247" s="396"/>
      <c r="AM247" s="396"/>
      <c r="AN247" s="396"/>
      <c r="AO247" s="396"/>
      <c r="AP247" s="396"/>
      <c r="AQ247" s="396"/>
      <c r="AR247" s="396"/>
      <c r="AS247" s="396"/>
      <c r="AT247" s="496"/>
      <c r="AU247" s="400"/>
      <c r="AV247" s="396"/>
      <c r="AW247" s="397"/>
      <c r="AX247" s="489">
        <f>ROUND(Q248,0)</f>
        <v>92</v>
      </c>
      <c r="AY247" s="393"/>
    </row>
    <row r="248" spans="1:51" ht="16.5" customHeight="1" x14ac:dyDescent="0.15">
      <c r="A248" s="340">
        <v>12</v>
      </c>
      <c r="B248" s="341">
        <v>7542</v>
      </c>
      <c r="C248" s="390" t="s">
        <v>16543</v>
      </c>
      <c r="D248" s="403"/>
      <c r="E248" s="404"/>
      <c r="F248" s="404"/>
      <c r="G248" s="404"/>
      <c r="H248" s="406"/>
      <c r="Q248" s="836">
        <v>92</v>
      </c>
      <c r="R248" s="837"/>
      <c r="S248" s="837"/>
      <c r="T248" s="152" t="s">
        <v>15624</v>
      </c>
      <c r="U248" s="387"/>
      <c r="V248" s="343" t="s">
        <v>15625</v>
      </c>
      <c r="W248" s="325"/>
      <c r="X248" s="325"/>
      <c r="Y248" s="325"/>
      <c r="Z248" s="325"/>
      <c r="AA248" s="325"/>
      <c r="AB248" s="325"/>
      <c r="AC248" s="325"/>
      <c r="AD248" s="325"/>
      <c r="AE248" s="325"/>
      <c r="AF248" s="325"/>
      <c r="AG248" s="325"/>
      <c r="AH248" s="325"/>
      <c r="AI248" s="391" t="s">
        <v>15626</v>
      </c>
      <c r="AJ248" s="838">
        <f>AJ246</f>
        <v>1</v>
      </c>
      <c r="AK248" s="839"/>
      <c r="AL248" s="325"/>
      <c r="AM248" s="325"/>
      <c r="AN248" s="325"/>
      <c r="AO248" s="325"/>
      <c r="AP248" s="325"/>
      <c r="AQ248" s="325"/>
      <c r="AR248" s="325"/>
      <c r="AS248" s="325"/>
      <c r="AT248" s="490"/>
      <c r="AW248" s="387"/>
      <c r="AX248" s="489">
        <f>ROUND(Q248*AJ248,0)</f>
        <v>92</v>
      </c>
      <c r="AY248" s="393"/>
    </row>
    <row r="249" spans="1:51" ht="16.5" customHeight="1" x14ac:dyDescent="0.15">
      <c r="A249" s="340">
        <v>12</v>
      </c>
      <c r="B249" s="341">
        <v>7543</v>
      </c>
      <c r="C249" s="390" t="s">
        <v>16544</v>
      </c>
      <c r="D249" s="403"/>
      <c r="E249" s="404"/>
      <c r="F249" s="404"/>
      <c r="G249" s="404"/>
      <c r="H249" s="406"/>
      <c r="Q249" s="395"/>
      <c r="R249" s="151"/>
      <c r="S249" s="151"/>
      <c r="U249" s="387"/>
      <c r="V249" s="343"/>
      <c r="W249" s="343"/>
      <c r="X249" s="343"/>
      <c r="Y249" s="343"/>
      <c r="Z249" s="343"/>
      <c r="AA249" s="343"/>
      <c r="AB249" s="343"/>
      <c r="AC249" s="343"/>
      <c r="AD249" s="343"/>
      <c r="AE249" s="343"/>
      <c r="AF249" s="343"/>
      <c r="AG249" s="343"/>
      <c r="AH249" s="343"/>
      <c r="AI249" s="343"/>
      <c r="AJ249" s="343"/>
      <c r="AK249" s="343"/>
      <c r="AL249" s="114" t="s">
        <v>15628</v>
      </c>
      <c r="AM249" s="396"/>
      <c r="AN249" s="396"/>
      <c r="AO249" s="396"/>
      <c r="AP249" s="396"/>
      <c r="AQ249" s="396"/>
      <c r="AR249" s="396"/>
      <c r="AS249" s="397"/>
      <c r="AT249" s="490"/>
      <c r="AW249" s="387"/>
      <c r="AX249" s="489">
        <f>ROUND(Q248*AR250,0)</f>
        <v>78</v>
      </c>
      <c r="AY249" s="393"/>
    </row>
    <row r="250" spans="1:51" ht="16.5" customHeight="1" x14ac:dyDescent="0.15">
      <c r="A250" s="340">
        <v>12</v>
      </c>
      <c r="B250" s="341">
        <v>7544</v>
      </c>
      <c r="C250" s="390" t="s">
        <v>16545</v>
      </c>
      <c r="D250" s="403"/>
      <c r="E250" s="404"/>
      <c r="F250" s="404"/>
      <c r="G250" s="404"/>
      <c r="H250" s="406"/>
      <c r="Q250" s="395"/>
      <c r="R250" s="151"/>
      <c r="S250" s="151"/>
      <c r="U250" s="387"/>
      <c r="V250" s="343" t="s">
        <v>15625</v>
      </c>
      <c r="W250" s="325"/>
      <c r="X250" s="325"/>
      <c r="Y250" s="325"/>
      <c r="Z250" s="325"/>
      <c r="AA250" s="325"/>
      <c r="AB250" s="325"/>
      <c r="AC250" s="325"/>
      <c r="AD250" s="325"/>
      <c r="AE250" s="325"/>
      <c r="AF250" s="325"/>
      <c r="AG250" s="325"/>
      <c r="AH250" s="325"/>
      <c r="AI250" s="391" t="s">
        <v>15626</v>
      </c>
      <c r="AJ250" s="838">
        <f>AJ248</f>
        <v>1</v>
      </c>
      <c r="AK250" s="843"/>
      <c r="AL250" s="324" t="s">
        <v>15630</v>
      </c>
      <c r="AM250" s="325"/>
      <c r="AN250" s="325"/>
      <c r="AO250" s="325"/>
      <c r="AP250" s="325"/>
      <c r="AQ250" s="190" t="s">
        <v>398</v>
      </c>
      <c r="AR250" s="844">
        <f>AR246</f>
        <v>0.85</v>
      </c>
      <c r="AS250" s="844"/>
      <c r="AT250" s="490"/>
      <c r="AW250" s="387"/>
      <c r="AX250" s="489">
        <f>ROUND(ROUND(Q248*AJ250,0)*AR250,0)</f>
        <v>78</v>
      </c>
      <c r="AY250" s="393"/>
    </row>
    <row r="251" spans="1:51" ht="16.5" customHeight="1" x14ac:dyDescent="0.15">
      <c r="A251" s="340">
        <v>12</v>
      </c>
      <c r="B251" s="341">
        <v>7545</v>
      </c>
      <c r="C251" s="390" t="s">
        <v>16546</v>
      </c>
      <c r="D251" s="403"/>
      <c r="E251" s="404"/>
      <c r="F251" s="404"/>
      <c r="G251" s="404"/>
      <c r="H251" s="406"/>
      <c r="I251" s="10"/>
      <c r="Q251" s="395"/>
      <c r="R251" s="151"/>
      <c r="S251" s="151"/>
      <c r="U251" s="387"/>
      <c r="V251" s="343"/>
      <c r="W251" s="325"/>
      <c r="X251" s="325"/>
      <c r="Y251" s="325"/>
      <c r="Z251" s="325"/>
      <c r="AA251" s="325"/>
      <c r="AB251" s="325"/>
      <c r="AC251" s="325"/>
      <c r="AD251" s="325"/>
      <c r="AE251" s="325"/>
      <c r="AF251" s="325"/>
      <c r="AG251" s="325"/>
      <c r="AH251" s="325"/>
      <c r="AI251" s="391"/>
      <c r="AJ251" s="401"/>
      <c r="AK251" s="402"/>
      <c r="AL251" s="396"/>
      <c r="AM251" s="396"/>
      <c r="AN251" s="396"/>
      <c r="AO251" s="396"/>
      <c r="AP251" s="396"/>
      <c r="AQ251" s="396"/>
      <c r="AR251" s="396"/>
      <c r="AS251" s="396"/>
      <c r="AT251" s="857" t="s">
        <v>16296</v>
      </c>
      <c r="AU251" s="858"/>
      <c r="AV251" s="858"/>
      <c r="AW251" s="860"/>
      <c r="AX251" s="489">
        <f>ROUND(Q248*AT254,0)</f>
        <v>74</v>
      </c>
      <c r="AY251" s="393"/>
    </row>
    <row r="252" spans="1:51" ht="16.5" customHeight="1" x14ac:dyDescent="0.15">
      <c r="A252" s="340">
        <v>12</v>
      </c>
      <c r="B252" s="341">
        <v>7546</v>
      </c>
      <c r="C252" s="390" t="s">
        <v>16547</v>
      </c>
      <c r="D252" s="403"/>
      <c r="E252" s="404"/>
      <c r="F252" s="404"/>
      <c r="G252" s="404"/>
      <c r="H252" s="406"/>
      <c r="Q252" s="899"/>
      <c r="R252" s="900"/>
      <c r="S252" s="900"/>
      <c r="U252" s="387"/>
      <c r="V252" s="343" t="s">
        <v>15625</v>
      </c>
      <c r="W252" s="325"/>
      <c r="X252" s="325"/>
      <c r="Y252" s="325"/>
      <c r="Z252" s="325"/>
      <c r="AA252" s="325"/>
      <c r="AB252" s="325"/>
      <c r="AC252" s="325"/>
      <c r="AD252" s="325"/>
      <c r="AE252" s="325"/>
      <c r="AF252" s="325"/>
      <c r="AG252" s="325"/>
      <c r="AH252" s="325"/>
      <c r="AI252" s="391" t="s">
        <v>15626</v>
      </c>
      <c r="AJ252" s="838">
        <f>AJ250</f>
        <v>1</v>
      </c>
      <c r="AK252" s="839"/>
      <c r="AL252" s="325"/>
      <c r="AM252" s="325"/>
      <c r="AN252" s="325"/>
      <c r="AO252" s="325"/>
      <c r="AP252" s="325"/>
      <c r="AQ252" s="325"/>
      <c r="AR252" s="325"/>
      <c r="AS252" s="325"/>
      <c r="AT252" s="849"/>
      <c r="AU252" s="850"/>
      <c r="AV252" s="850"/>
      <c r="AW252" s="852"/>
      <c r="AX252" s="489">
        <f>ROUND(ROUND(Q248*AJ252,0)*AT254,0)</f>
        <v>74</v>
      </c>
      <c r="AY252" s="393"/>
    </row>
    <row r="253" spans="1:51" ht="16.5" customHeight="1" x14ac:dyDescent="0.15">
      <c r="A253" s="340">
        <v>12</v>
      </c>
      <c r="B253" s="341">
        <v>7547</v>
      </c>
      <c r="C253" s="390" t="s">
        <v>16548</v>
      </c>
      <c r="D253" s="403"/>
      <c r="E253" s="404"/>
      <c r="F253" s="404"/>
      <c r="G253" s="404"/>
      <c r="H253" s="406"/>
      <c r="Q253" s="395"/>
      <c r="R253" s="151"/>
      <c r="S253" s="151"/>
      <c r="U253" s="387"/>
      <c r="V253" s="343"/>
      <c r="W253" s="343"/>
      <c r="X253" s="343"/>
      <c r="Y253" s="343"/>
      <c r="Z253" s="343"/>
      <c r="AA253" s="343"/>
      <c r="AB253" s="343"/>
      <c r="AC253" s="343"/>
      <c r="AD253" s="343"/>
      <c r="AE253" s="343"/>
      <c r="AF253" s="343"/>
      <c r="AG253" s="343"/>
      <c r="AH253" s="343"/>
      <c r="AI253" s="343"/>
      <c r="AJ253" s="343"/>
      <c r="AK253" s="343"/>
      <c r="AL253" s="114" t="s">
        <v>15628</v>
      </c>
      <c r="AM253" s="396"/>
      <c r="AN253" s="396"/>
      <c r="AO253" s="396"/>
      <c r="AP253" s="396"/>
      <c r="AQ253" s="396"/>
      <c r="AR253" s="396"/>
      <c r="AS253" s="397"/>
      <c r="AT253" s="901" t="s">
        <v>15636</v>
      </c>
      <c r="AU253" s="902"/>
      <c r="AV253" s="902"/>
      <c r="AW253" s="903"/>
      <c r="AX253" s="489">
        <f>ROUND(ROUND(Q248*AR254,0)*AT254,0)</f>
        <v>62</v>
      </c>
      <c r="AY253" s="393"/>
    </row>
    <row r="254" spans="1:51" ht="16.5" customHeight="1" x14ac:dyDescent="0.15">
      <c r="A254" s="340">
        <v>12</v>
      </c>
      <c r="B254" s="341">
        <v>7548</v>
      </c>
      <c r="C254" s="390" t="s">
        <v>16549</v>
      </c>
      <c r="D254" s="403"/>
      <c r="E254" s="404"/>
      <c r="F254" s="404"/>
      <c r="G254" s="404"/>
      <c r="H254" s="406"/>
      <c r="Q254" s="395"/>
      <c r="R254" s="151"/>
      <c r="S254" s="151"/>
      <c r="U254" s="387"/>
      <c r="V254" s="343" t="s">
        <v>15625</v>
      </c>
      <c r="W254" s="325"/>
      <c r="X254" s="325"/>
      <c r="Y254" s="325"/>
      <c r="Z254" s="325"/>
      <c r="AA254" s="325"/>
      <c r="AB254" s="325"/>
      <c r="AC254" s="325"/>
      <c r="AD254" s="325"/>
      <c r="AE254" s="325"/>
      <c r="AF254" s="325"/>
      <c r="AG254" s="325"/>
      <c r="AH254" s="325"/>
      <c r="AI254" s="391" t="s">
        <v>15626</v>
      </c>
      <c r="AJ254" s="838">
        <f>AJ252</f>
        <v>1</v>
      </c>
      <c r="AK254" s="843"/>
      <c r="AL254" s="324" t="s">
        <v>15630</v>
      </c>
      <c r="AM254" s="325"/>
      <c r="AN254" s="325"/>
      <c r="AO254" s="325"/>
      <c r="AP254" s="325"/>
      <c r="AQ254" s="190" t="s">
        <v>398</v>
      </c>
      <c r="AR254" s="844">
        <f>AR250</f>
        <v>0.85</v>
      </c>
      <c r="AS254" s="844"/>
      <c r="AT254" s="907">
        <f>AT246</f>
        <v>0.8</v>
      </c>
      <c r="AU254" s="844"/>
      <c r="AV254" s="844"/>
      <c r="AW254" s="845"/>
      <c r="AX254" s="489">
        <f>ROUND(ROUND(ROUND(Q248*AJ254,0)*AR254,0)*AT254,0)</f>
        <v>62</v>
      </c>
      <c r="AY254" s="393"/>
    </row>
    <row r="255" spans="1:51" ht="17.100000000000001" customHeight="1" x14ac:dyDescent="0.15">
      <c r="A255" s="340">
        <v>12</v>
      </c>
      <c r="B255" s="341">
        <v>7549</v>
      </c>
      <c r="C255" s="390" t="s">
        <v>16550</v>
      </c>
      <c r="D255" s="403"/>
      <c r="E255" s="404"/>
      <c r="F255" s="404"/>
      <c r="G255" s="404"/>
      <c r="H255" s="406"/>
      <c r="I255" s="908" t="s">
        <v>16354</v>
      </c>
      <c r="J255" s="909"/>
      <c r="K255" s="909"/>
      <c r="L255" s="909"/>
      <c r="M255" s="909"/>
      <c r="N255" s="909"/>
      <c r="O255" s="909"/>
      <c r="P255" s="909"/>
      <c r="Q255" s="909"/>
      <c r="R255" s="909"/>
      <c r="S255" s="909"/>
      <c r="T255" s="909"/>
      <c r="U255" s="910"/>
      <c r="V255" s="343"/>
      <c r="W255" s="343"/>
      <c r="X255" s="343"/>
      <c r="Y255" s="343"/>
      <c r="Z255" s="343"/>
      <c r="AA255" s="343"/>
      <c r="AB255" s="343"/>
      <c r="AC255" s="343"/>
      <c r="AD255" s="343"/>
      <c r="AE255" s="343"/>
      <c r="AF255" s="343"/>
      <c r="AG255" s="343"/>
      <c r="AH255" s="343"/>
      <c r="AI255" s="343"/>
      <c r="AJ255" s="401"/>
      <c r="AK255" s="402"/>
      <c r="AL255" s="396"/>
      <c r="AM255" s="396"/>
      <c r="AN255" s="396"/>
      <c r="AO255" s="396"/>
      <c r="AP255" s="396"/>
      <c r="AQ255" s="396"/>
      <c r="AR255" s="396"/>
      <c r="AS255" s="396"/>
      <c r="AT255" s="496"/>
      <c r="AU255" s="400"/>
      <c r="AV255" s="396"/>
      <c r="AW255" s="397"/>
      <c r="AX255" s="489">
        <f>ROUND(Q256,0)</f>
        <v>85</v>
      </c>
      <c r="AY255" s="393"/>
    </row>
    <row r="256" spans="1:51" ht="16.5" customHeight="1" x14ac:dyDescent="0.15">
      <c r="A256" s="340">
        <v>12</v>
      </c>
      <c r="B256" s="341">
        <v>7550</v>
      </c>
      <c r="C256" s="390" t="s">
        <v>16551</v>
      </c>
      <c r="D256" s="403"/>
      <c r="E256" s="404"/>
      <c r="F256" s="404"/>
      <c r="G256" s="404"/>
      <c r="H256" s="406"/>
      <c r="Q256" s="836">
        <v>85</v>
      </c>
      <c r="R256" s="837"/>
      <c r="S256" s="837"/>
      <c r="T256" s="152" t="s">
        <v>15624</v>
      </c>
      <c r="U256" s="387"/>
      <c r="V256" s="343" t="s">
        <v>15625</v>
      </c>
      <c r="W256" s="325"/>
      <c r="X256" s="325"/>
      <c r="Y256" s="325"/>
      <c r="Z256" s="325"/>
      <c r="AA256" s="325"/>
      <c r="AB256" s="325"/>
      <c r="AC256" s="325"/>
      <c r="AD256" s="325"/>
      <c r="AE256" s="325"/>
      <c r="AF256" s="325"/>
      <c r="AG256" s="325"/>
      <c r="AH256" s="325"/>
      <c r="AI256" s="391" t="s">
        <v>15626</v>
      </c>
      <c r="AJ256" s="838">
        <f>AJ254</f>
        <v>1</v>
      </c>
      <c r="AK256" s="839"/>
      <c r="AL256" s="325"/>
      <c r="AM256" s="325"/>
      <c r="AN256" s="325"/>
      <c r="AO256" s="325"/>
      <c r="AP256" s="325"/>
      <c r="AQ256" s="325"/>
      <c r="AR256" s="325"/>
      <c r="AS256" s="391"/>
      <c r="AT256" s="490"/>
      <c r="AW256" s="387"/>
      <c r="AX256" s="489">
        <f>ROUND(Q256*AJ256,0)</f>
        <v>85</v>
      </c>
      <c r="AY256" s="393"/>
    </row>
    <row r="257" spans="1:51" ht="16.5" customHeight="1" x14ac:dyDescent="0.15">
      <c r="A257" s="340">
        <v>12</v>
      </c>
      <c r="B257" s="341">
        <v>7551</v>
      </c>
      <c r="C257" s="390" t="s">
        <v>16552</v>
      </c>
      <c r="D257" s="403"/>
      <c r="E257" s="404"/>
      <c r="F257" s="404"/>
      <c r="G257" s="404"/>
      <c r="H257" s="406"/>
      <c r="Q257" s="395"/>
      <c r="R257" s="151"/>
      <c r="S257" s="151"/>
      <c r="U257" s="387"/>
      <c r="V257" s="343"/>
      <c r="W257" s="343"/>
      <c r="X257" s="343"/>
      <c r="Y257" s="343"/>
      <c r="Z257" s="343"/>
      <c r="AA257" s="343"/>
      <c r="AB257" s="343"/>
      <c r="AC257" s="343"/>
      <c r="AD257" s="343"/>
      <c r="AE257" s="343"/>
      <c r="AF257" s="343"/>
      <c r="AG257" s="343"/>
      <c r="AH257" s="343"/>
      <c r="AI257" s="343"/>
      <c r="AJ257" s="343"/>
      <c r="AK257" s="343"/>
      <c r="AL257" s="114" t="s">
        <v>15628</v>
      </c>
      <c r="AM257" s="396"/>
      <c r="AN257" s="396"/>
      <c r="AO257" s="396"/>
      <c r="AP257" s="396"/>
      <c r="AQ257" s="396"/>
      <c r="AR257" s="396"/>
      <c r="AS257" s="397"/>
      <c r="AT257" s="490"/>
      <c r="AW257" s="387"/>
      <c r="AX257" s="489">
        <f>ROUND(Q256*AR258,0)</f>
        <v>72</v>
      </c>
      <c r="AY257" s="393"/>
    </row>
    <row r="258" spans="1:51" ht="16.5" customHeight="1" x14ac:dyDescent="0.15">
      <c r="A258" s="340">
        <v>12</v>
      </c>
      <c r="B258" s="341">
        <v>7552</v>
      </c>
      <c r="C258" s="390" t="s">
        <v>16553</v>
      </c>
      <c r="D258" s="403"/>
      <c r="E258" s="404"/>
      <c r="F258" s="404"/>
      <c r="G258" s="404"/>
      <c r="H258" s="406"/>
      <c r="Q258" s="395"/>
      <c r="R258" s="151"/>
      <c r="S258" s="151"/>
      <c r="U258" s="387"/>
      <c r="V258" s="343" t="s">
        <v>15625</v>
      </c>
      <c r="W258" s="325"/>
      <c r="X258" s="325"/>
      <c r="Y258" s="325"/>
      <c r="Z258" s="325"/>
      <c r="AA258" s="325"/>
      <c r="AB258" s="325"/>
      <c r="AC258" s="325"/>
      <c r="AD258" s="325"/>
      <c r="AE258" s="325"/>
      <c r="AF258" s="325"/>
      <c r="AG258" s="325"/>
      <c r="AH258" s="325"/>
      <c r="AI258" s="391" t="s">
        <v>15626</v>
      </c>
      <c r="AJ258" s="838">
        <f>AJ256</f>
        <v>1</v>
      </c>
      <c r="AK258" s="843"/>
      <c r="AL258" s="324" t="s">
        <v>15630</v>
      </c>
      <c r="AM258" s="325"/>
      <c r="AN258" s="325"/>
      <c r="AO258" s="325"/>
      <c r="AP258" s="325"/>
      <c r="AQ258" s="190" t="s">
        <v>398</v>
      </c>
      <c r="AR258" s="844">
        <f>AR254</f>
        <v>0.85</v>
      </c>
      <c r="AS258" s="844"/>
      <c r="AT258" s="490"/>
      <c r="AW258" s="387"/>
      <c r="AX258" s="489">
        <f>ROUND(ROUND(Q256*AJ258,0)*AR258,0)</f>
        <v>72</v>
      </c>
      <c r="AY258" s="393"/>
    </row>
    <row r="259" spans="1:51" ht="17.100000000000001" customHeight="1" x14ac:dyDescent="0.15">
      <c r="A259" s="340">
        <v>12</v>
      </c>
      <c r="B259" s="341">
        <v>7553</v>
      </c>
      <c r="C259" s="390" t="s">
        <v>16554</v>
      </c>
      <c r="D259" s="403"/>
      <c r="E259" s="404"/>
      <c r="F259" s="404"/>
      <c r="G259" s="404"/>
      <c r="H259" s="406"/>
      <c r="I259" s="10"/>
      <c r="L259" s="151"/>
      <c r="M259" s="151"/>
      <c r="N259" s="151"/>
      <c r="U259" s="387"/>
      <c r="V259" s="343"/>
      <c r="W259" s="343"/>
      <c r="X259" s="343"/>
      <c r="Y259" s="343"/>
      <c r="Z259" s="343"/>
      <c r="AA259" s="343"/>
      <c r="AB259" s="343"/>
      <c r="AC259" s="343"/>
      <c r="AD259" s="343"/>
      <c r="AE259" s="343"/>
      <c r="AF259" s="343"/>
      <c r="AG259" s="343"/>
      <c r="AH259" s="343"/>
      <c r="AI259" s="343"/>
      <c r="AJ259" s="401"/>
      <c r="AK259" s="402"/>
      <c r="AL259" s="396"/>
      <c r="AM259" s="396"/>
      <c r="AN259" s="396"/>
      <c r="AO259" s="396"/>
      <c r="AP259" s="396"/>
      <c r="AQ259" s="396"/>
      <c r="AR259" s="396"/>
      <c r="AS259" s="396"/>
      <c r="AT259" s="857" t="s">
        <v>16296</v>
      </c>
      <c r="AU259" s="858"/>
      <c r="AV259" s="858"/>
      <c r="AW259" s="860"/>
      <c r="AX259" s="489">
        <f>ROUND(Q256*AT262,0)</f>
        <v>68</v>
      </c>
      <c r="AY259" s="393"/>
    </row>
    <row r="260" spans="1:51" ht="16.5" customHeight="1" x14ac:dyDescent="0.15">
      <c r="A260" s="340">
        <v>12</v>
      </c>
      <c r="B260" s="341">
        <v>7554</v>
      </c>
      <c r="C260" s="390" t="s">
        <v>16555</v>
      </c>
      <c r="D260" s="403"/>
      <c r="E260" s="404"/>
      <c r="F260" s="404"/>
      <c r="G260" s="404"/>
      <c r="H260" s="406"/>
      <c r="Q260" s="899"/>
      <c r="R260" s="900"/>
      <c r="S260" s="900"/>
      <c r="U260" s="387"/>
      <c r="V260" s="343" t="s">
        <v>15625</v>
      </c>
      <c r="W260" s="325"/>
      <c r="X260" s="325"/>
      <c r="Y260" s="325"/>
      <c r="Z260" s="325"/>
      <c r="AA260" s="325"/>
      <c r="AB260" s="325"/>
      <c r="AC260" s="325"/>
      <c r="AD260" s="325"/>
      <c r="AE260" s="325"/>
      <c r="AF260" s="325"/>
      <c r="AG260" s="325"/>
      <c r="AH260" s="325"/>
      <c r="AI260" s="391" t="s">
        <v>15626</v>
      </c>
      <c r="AJ260" s="838">
        <f>AJ258</f>
        <v>1</v>
      </c>
      <c r="AK260" s="839"/>
      <c r="AL260" s="325"/>
      <c r="AM260" s="325"/>
      <c r="AN260" s="325"/>
      <c r="AO260" s="325"/>
      <c r="AP260" s="325"/>
      <c r="AQ260" s="325"/>
      <c r="AR260" s="325"/>
      <c r="AS260" s="391"/>
      <c r="AT260" s="849"/>
      <c r="AU260" s="850"/>
      <c r="AV260" s="850"/>
      <c r="AW260" s="852"/>
      <c r="AX260" s="489">
        <f>ROUND(ROUND(Q256*AJ260,0)*AT262,0)</f>
        <v>68</v>
      </c>
      <c r="AY260" s="393"/>
    </row>
    <row r="261" spans="1:51" ht="16.5" customHeight="1" x14ac:dyDescent="0.15">
      <c r="A261" s="340">
        <v>12</v>
      </c>
      <c r="B261" s="341">
        <v>7555</v>
      </c>
      <c r="C261" s="390" t="s">
        <v>16556</v>
      </c>
      <c r="D261" s="403"/>
      <c r="E261" s="404"/>
      <c r="F261" s="404"/>
      <c r="G261" s="404"/>
      <c r="H261" s="406"/>
      <c r="Q261" s="395"/>
      <c r="R261" s="151"/>
      <c r="S261" s="151"/>
      <c r="U261" s="387"/>
      <c r="V261" s="343"/>
      <c r="W261" s="343"/>
      <c r="X261" s="343"/>
      <c r="Y261" s="343"/>
      <c r="Z261" s="343"/>
      <c r="AA261" s="343"/>
      <c r="AB261" s="343"/>
      <c r="AC261" s="343"/>
      <c r="AD261" s="343"/>
      <c r="AE261" s="343"/>
      <c r="AF261" s="343"/>
      <c r="AG261" s="343"/>
      <c r="AH261" s="343"/>
      <c r="AI261" s="343"/>
      <c r="AJ261" s="343"/>
      <c r="AK261" s="343"/>
      <c r="AL261" s="114" t="s">
        <v>15628</v>
      </c>
      <c r="AM261" s="396"/>
      <c r="AN261" s="396"/>
      <c r="AO261" s="396"/>
      <c r="AP261" s="396"/>
      <c r="AQ261" s="396"/>
      <c r="AR261" s="396"/>
      <c r="AS261" s="397"/>
      <c r="AT261" s="901" t="s">
        <v>15636</v>
      </c>
      <c r="AU261" s="902"/>
      <c r="AV261" s="902"/>
      <c r="AW261" s="903"/>
      <c r="AX261" s="489">
        <f>ROUND(ROUND(Q256*AR262,0)*AT262,0)</f>
        <v>58</v>
      </c>
      <c r="AY261" s="393"/>
    </row>
    <row r="262" spans="1:51" ht="16.5" customHeight="1" x14ac:dyDescent="0.15">
      <c r="A262" s="340">
        <v>12</v>
      </c>
      <c r="B262" s="341">
        <v>7556</v>
      </c>
      <c r="C262" s="390" t="s">
        <v>16557</v>
      </c>
      <c r="D262" s="403"/>
      <c r="E262" s="404"/>
      <c r="F262" s="404"/>
      <c r="G262" s="404"/>
      <c r="H262" s="406"/>
      <c r="Q262" s="395"/>
      <c r="R262" s="151"/>
      <c r="S262" s="151"/>
      <c r="U262" s="387"/>
      <c r="V262" s="343" t="s">
        <v>15625</v>
      </c>
      <c r="W262" s="325"/>
      <c r="X262" s="325"/>
      <c r="Y262" s="325"/>
      <c r="Z262" s="325"/>
      <c r="AA262" s="325"/>
      <c r="AB262" s="325"/>
      <c r="AC262" s="325"/>
      <c r="AD262" s="325"/>
      <c r="AE262" s="325"/>
      <c r="AF262" s="325"/>
      <c r="AG262" s="325"/>
      <c r="AH262" s="325"/>
      <c r="AI262" s="391" t="s">
        <v>15626</v>
      </c>
      <c r="AJ262" s="838">
        <f>AJ260</f>
        <v>1</v>
      </c>
      <c r="AK262" s="843"/>
      <c r="AL262" s="324" t="s">
        <v>15630</v>
      </c>
      <c r="AM262" s="325"/>
      <c r="AN262" s="325"/>
      <c r="AO262" s="325"/>
      <c r="AP262" s="325"/>
      <c r="AQ262" s="190" t="s">
        <v>398</v>
      </c>
      <c r="AR262" s="844">
        <f>AR258</f>
        <v>0.85</v>
      </c>
      <c r="AS262" s="844"/>
      <c r="AT262" s="907">
        <f>AT254</f>
        <v>0.8</v>
      </c>
      <c r="AU262" s="844"/>
      <c r="AV262" s="844"/>
      <c r="AW262" s="845"/>
      <c r="AX262" s="489">
        <f>ROUND(ROUND(ROUND(Q256*AJ262,0)*AR262,0)*AT262,0)</f>
        <v>58</v>
      </c>
      <c r="AY262" s="393"/>
    </row>
    <row r="263" spans="1:51" ht="17.100000000000001" customHeight="1" x14ac:dyDescent="0.15">
      <c r="A263" s="340">
        <v>12</v>
      </c>
      <c r="B263" s="341">
        <v>7557</v>
      </c>
      <c r="C263" s="390" t="s">
        <v>16558</v>
      </c>
      <c r="D263" s="403"/>
      <c r="E263" s="404"/>
      <c r="F263" s="404"/>
      <c r="G263" s="404"/>
      <c r="H263" s="406"/>
      <c r="I263" s="908" t="s">
        <v>16363</v>
      </c>
      <c r="J263" s="909"/>
      <c r="K263" s="909"/>
      <c r="L263" s="909"/>
      <c r="M263" s="909"/>
      <c r="N263" s="909"/>
      <c r="O263" s="909"/>
      <c r="P263" s="909"/>
      <c r="Q263" s="909"/>
      <c r="R263" s="909"/>
      <c r="S263" s="909"/>
      <c r="T263" s="909"/>
      <c r="U263" s="910"/>
      <c r="V263" s="343"/>
      <c r="W263" s="343"/>
      <c r="X263" s="343"/>
      <c r="Y263" s="343"/>
      <c r="Z263" s="343"/>
      <c r="AA263" s="343"/>
      <c r="AB263" s="343"/>
      <c r="AC263" s="343"/>
      <c r="AD263" s="343"/>
      <c r="AE263" s="343"/>
      <c r="AF263" s="343"/>
      <c r="AG263" s="343"/>
      <c r="AH263" s="343"/>
      <c r="AI263" s="343"/>
      <c r="AJ263" s="401"/>
      <c r="AK263" s="402"/>
      <c r="AL263" s="396"/>
      <c r="AM263" s="396"/>
      <c r="AN263" s="396"/>
      <c r="AO263" s="396"/>
      <c r="AP263" s="396"/>
      <c r="AQ263" s="396"/>
      <c r="AR263" s="396"/>
      <c r="AS263" s="396"/>
      <c r="AT263" s="496"/>
      <c r="AU263" s="400"/>
      <c r="AV263" s="396"/>
      <c r="AW263" s="397"/>
      <c r="AX263" s="489">
        <f>ROUND(Q264,0)</f>
        <v>85</v>
      </c>
      <c r="AY263" s="393"/>
    </row>
    <row r="264" spans="1:51" ht="16.5" customHeight="1" x14ac:dyDescent="0.15">
      <c r="A264" s="340">
        <v>12</v>
      </c>
      <c r="B264" s="341">
        <v>7558</v>
      </c>
      <c r="C264" s="390" t="s">
        <v>16559</v>
      </c>
      <c r="D264" s="403"/>
      <c r="E264" s="404"/>
      <c r="F264" s="404"/>
      <c r="G264" s="404"/>
      <c r="H264" s="406"/>
      <c r="Q264" s="836">
        <v>85</v>
      </c>
      <c r="R264" s="837"/>
      <c r="S264" s="837"/>
      <c r="T264" s="152" t="s">
        <v>15624</v>
      </c>
      <c r="U264" s="387"/>
      <c r="V264" s="343" t="s">
        <v>15625</v>
      </c>
      <c r="W264" s="325"/>
      <c r="X264" s="325"/>
      <c r="Y264" s="325"/>
      <c r="Z264" s="325"/>
      <c r="AA264" s="325"/>
      <c r="AB264" s="325"/>
      <c r="AC264" s="325"/>
      <c r="AD264" s="325"/>
      <c r="AE264" s="325"/>
      <c r="AF264" s="325"/>
      <c r="AG264" s="325"/>
      <c r="AH264" s="325"/>
      <c r="AI264" s="391" t="s">
        <v>15626</v>
      </c>
      <c r="AJ264" s="838">
        <f>AJ262</f>
        <v>1</v>
      </c>
      <c r="AK264" s="839"/>
      <c r="AL264" s="325"/>
      <c r="AM264" s="325"/>
      <c r="AN264" s="325"/>
      <c r="AO264" s="325"/>
      <c r="AP264" s="325"/>
      <c r="AQ264" s="325"/>
      <c r="AR264" s="325"/>
      <c r="AS264" s="391"/>
      <c r="AT264" s="490"/>
      <c r="AW264" s="387"/>
      <c r="AX264" s="489">
        <f>ROUND(Q264*AJ264,0)</f>
        <v>85</v>
      </c>
      <c r="AY264" s="393"/>
    </row>
    <row r="265" spans="1:51" ht="16.5" customHeight="1" x14ac:dyDescent="0.15">
      <c r="A265" s="340">
        <v>12</v>
      </c>
      <c r="B265" s="341">
        <v>7559</v>
      </c>
      <c r="C265" s="390" t="s">
        <v>16560</v>
      </c>
      <c r="D265" s="403"/>
      <c r="E265" s="404"/>
      <c r="F265" s="404"/>
      <c r="G265" s="404"/>
      <c r="H265" s="406"/>
      <c r="Q265" s="395"/>
      <c r="R265" s="151"/>
      <c r="S265" s="151"/>
      <c r="U265" s="387"/>
      <c r="V265" s="343"/>
      <c r="W265" s="343"/>
      <c r="X265" s="343"/>
      <c r="Y265" s="343"/>
      <c r="Z265" s="343"/>
      <c r="AA265" s="343"/>
      <c r="AB265" s="343"/>
      <c r="AC265" s="343"/>
      <c r="AD265" s="343"/>
      <c r="AE265" s="343"/>
      <c r="AF265" s="343"/>
      <c r="AG265" s="343"/>
      <c r="AH265" s="343"/>
      <c r="AI265" s="343"/>
      <c r="AJ265" s="343"/>
      <c r="AK265" s="343"/>
      <c r="AL265" s="114" t="s">
        <v>15628</v>
      </c>
      <c r="AM265" s="396"/>
      <c r="AN265" s="396"/>
      <c r="AO265" s="396"/>
      <c r="AP265" s="396"/>
      <c r="AQ265" s="396"/>
      <c r="AR265" s="396"/>
      <c r="AS265" s="397"/>
      <c r="AT265" s="490"/>
      <c r="AW265" s="387"/>
      <c r="AX265" s="489">
        <f>ROUND(Q264*AR266,0)</f>
        <v>72</v>
      </c>
      <c r="AY265" s="393"/>
    </row>
    <row r="266" spans="1:51" ht="16.5" customHeight="1" x14ac:dyDescent="0.15">
      <c r="A266" s="340">
        <v>12</v>
      </c>
      <c r="B266" s="341">
        <v>7560</v>
      </c>
      <c r="C266" s="390" t="s">
        <v>16561</v>
      </c>
      <c r="D266" s="403"/>
      <c r="E266" s="404"/>
      <c r="F266" s="404"/>
      <c r="G266" s="404"/>
      <c r="H266" s="406"/>
      <c r="Q266" s="395"/>
      <c r="R266" s="151"/>
      <c r="S266" s="151"/>
      <c r="U266" s="387"/>
      <c r="V266" s="343" t="s">
        <v>15625</v>
      </c>
      <c r="W266" s="325"/>
      <c r="X266" s="325"/>
      <c r="Y266" s="325"/>
      <c r="Z266" s="325"/>
      <c r="AA266" s="325"/>
      <c r="AB266" s="325"/>
      <c r="AC266" s="325"/>
      <c r="AD266" s="325"/>
      <c r="AE266" s="325"/>
      <c r="AF266" s="325"/>
      <c r="AG266" s="325"/>
      <c r="AH266" s="325"/>
      <c r="AI266" s="391" t="s">
        <v>15626</v>
      </c>
      <c r="AJ266" s="838">
        <f>AJ264</f>
        <v>1</v>
      </c>
      <c r="AK266" s="843"/>
      <c r="AL266" s="324" t="s">
        <v>15630</v>
      </c>
      <c r="AM266" s="325"/>
      <c r="AN266" s="325"/>
      <c r="AO266" s="325"/>
      <c r="AP266" s="325"/>
      <c r="AQ266" s="190" t="s">
        <v>398</v>
      </c>
      <c r="AR266" s="844">
        <f>AR262</f>
        <v>0.85</v>
      </c>
      <c r="AS266" s="844"/>
      <c r="AT266" s="490"/>
      <c r="AW266" s="387"/>
      <c r="AX266" s="489">
        <f>ROUND(ROUND(Q264*AJ266,0)*AR266,0)</f>
        <v>72</v>
      </c>
      <c r="AY266" s="393"/>
    </row>
    <row r="267" spans="1:51" ht="17.100000000000001" customHeight="1" x14ac:dyDescent="0.15">
      <c r="A267" s="340">
        <v>12</v>
      </c>
      <c r="B267" s="341">
        <v>7561</v>
      </c>
      <c r="C267" s="390" t="s">
        <v>16562</v>
      </c>
      <c r="D267" s="403"/>
      <c r="E267" s="404"/>
      <c r="F267" s="404"/>
      <c r="G267" s="404"/>
      <c r="H267" s="406"/>
      <c r="I267" s="10"/>
      <c r="L267" s="151"/>
      <c r="M267" s="151"/>
      <c r="N267" s="151"/>
      <c r="U267" s="387"/>
      <c r="V267" s="343"/>
      <c r="W267" s="343"/>
      <c r="X267" s="343"/>
      <c r="Y267" s="343"/>
      <c r="Z267" s="343"/>
      <c r="AA267" s="343"/>
      <c r="AB267" s="343"/>
      <c r="AC267" s="343"/>
      <c r="AD267" s="343"/>
      <c r="AE267" s="343"/>
      <c r="AF267" s="343"/>
      <c r="AG267" s="343"/>
      <c r="AH267" s="343"/>
      <c r="AI267" s="343"/>
      <c r="AJ267" s="401"/>
      <c r="AK267" s="402"/>
      <c r="AL267" s="396"/>
      <c r="AM267" s="396"/>
      <c r="AN267" s="396"/>
      <c r="AO267" s="396"/>
      <c r="AP267" s="396"/>
      <c r="AQ267" s="396"/>
      <c r="AR267" s="396"/>
      <c r="AS267" s="396"/>
      <c r="AT267" s="857" t="s">
        <v>16296</v>
      </c>
      <c r="AU267" s="858"/>
      <c r="AV267" s="858"/>
      <c r="AW267" s="860"/>
      <c r="AX267" s="489">
        <f>ROUND(Q264*AT270,0)</f>
        <v>68</v>
      </c>
      <c r="AY267" s="393"/>
    </row>
    <row r="268" spans="1:51" ht="16.5" customHeight="1" x14ac:dyDescent="0.15">
      <c r="A268" s="340">
        <v>12</v>
      </c>
      <c r="B268" s="341">
        <v>7562</v>
      </c>
      <c r="C268" s="390" t="s">
        <v>16563</v>
      </c>
      <c r="D268" s="403"/>
      <c r="E268" s="404"/>
      <c r="F268" s="404"/>
      <c r="G268" s="404"/>
      <c r="H268" s="406"/>
      <c r="Q268" s="899"/>
      <c r="R268" s="900"/>
      <c r="S268" s="900"/>
      <c r="U268" s="387"/>
      <c r="V268" s="343" t="s">
        <v>15625</v>
      </c>
      <c r="W268" s="325"/>
      <c r="X268" s="325"/>
      <c r="Y268" s="325"/>
      <c r="Z268" s="325"/>
      <c r="AA268" s="325"/>
      <c r="AB268" s="325"/>
      <c r="AC268" s="325"/>
      <c r="AD268" s="325"/>
      <c r="AE268" s="325"/>
      <c r="AF268" s="325"/>
      <c r="AG268" s="325"/>
      <c r="AH268" s="325"/>
      <c r="AI268" s="391" t="s">
        <v>15626</v>
      </c>
      <c r="AJ268" s="838">
        <f>AJ266</f>
        <v>1</v>
      </c>
      <c r="AK268" s="839"/>
      <c r="AL268" s="325"/>
      <c r="AM268" s="325"/>
      <c r="AN268" s="325"/>
      <c r="AO268" s="325"/>
      <c r="AP268" s="325"/>
      <c r="AQ268" s="325"/>
      <c r="AR268" s="325"/>
      <c r="AS268" s="391"/>
      <c r="AT268" s="849"/>
      <c r="AU268" s="850"/>
      <c r="AV268" s="850"/>
      <c r="AW268" s="852"/>
      <c r="AX268" s="489">
        <f>ROUND(ROUND(Q264*AJ268,0)*AT270,0)</f>
        <v>68</v>
      </c>
      <c r="AY268" s="393"/>
    </row>
    <row r="269" spans="1:51" ht="16.5" customHeight="1" x14ac:dyDescent="0.15">
      <c r="A269" s="340">
        <v>12</v>
      </c>
      <c r="B269" s="341">
        <v>7563</v>
      </c>
      <c r="C269" s="390" t="s">
        <v>16564</v>
      </c>
      <c r="D269" s="403"/>
      <c r="E269" s="404"/>
      <c r="F269" s="404"/>
      <c r="G269" s="404"/>
      <c r="H269" s="406"/>
      <c r="Q269" s="395"/>
      <c r="R269" s="151"/>
      <c r="S269" s="151"/>
      <c r="U269" s="387"/>
      <c r="V269" s="343"/>
      <c r="W269" s="343"/>
      <c r="X269" s="343"/>
      <c r="Y269" s="343"/>
      <c r="Z269" s="343"/>
      <c r="AA269" s="343"/>
      <c r="AB269" s="343"/>
      <c r="AC269" s="343"/>
      <c r="AD269" s="343"/>
      <c r="AE269" s="343"/>
      <c r="AF269" s="343"/>
      <c r="AG269" s="343"/>
      <c r="AH269" s="343"/>
      <c r="AI269" s="343"/>
      <c r="AJ269" s="343"/>
      <c r="AK269" s="343"/>
      <c r="AL269" s="114" t="s">
        <v>15628</v>
      </c>
      <c r="AM269" s="396"/>
      <c r="AN269" s="396"/>
      <c r="AO269" s="396"/>
      <c r="AP269" s="396"/>
      <c r="AQ269" s="396"/>
      <c r="AR269" s="396"/>
      <c r="AS269" s="397"/>
      <c r="AT269" s="901" t="s">
        <v>15636</v>
      </c>
      <c r="AU269" s="902"/>
      <c r="AV269" s="902"/>
      <c r="AW269" s="903"/>
      <c r="AX269" s="489">
        <f>ROUND(ROUND(Q264*AR270,0)*AT270,0)</f>
        <v>58</v>
      </c>
      <c r="AY269" s="393"/>
    </row>
    <row r="270" spans="1:51" ht="16.5" customHeight="1" x14ac:dyDescent="0.15">
      <c r="A270" s="340">
        <v>12</v>
      </c>
      <c r="B270" s="341">
        <v>7564</v>
      </c>
      <c r="C270" s="390" t="s">
        <v>16565</v>
      </c>
      <c r="D270" s="403"/>
      <c r="E270" s="404"/>
      <c r="F270" s="404"/>
      <c r="G270" s="404"/>
      <c r="H270" s="406"/>
      <c r="Q270" s="395"/>
      <c r="R270" s="151"/>
      <c r="S270" s="151"/>
      <c r="U270" s="387"/>
      <c r="V270" s="343" t="s">
        <v>15625</v>
      </c>
      <c r="W270" s="325"/>
      <c r="X270" s="325"/>
      <c r="Y270" s="325"/>
      <c r="Z270" s="325"/>
      <c r="AA270" s="325"/>
      <c r="AB270" s="325"/>
      <c r="AC270" s="325"/>
      <c r="AD270" s="325"/>
      <c r="AE270" s="325"/>
      <c r="AF270" s="325"/>
      <c r="AG270" s="325"/>
      <c r="AH270" s="325"/>
      <c r="AI270" s="391" t="s">
        <v>15626</v>
      </c>
      <c r="AJ270" s="838">
        <f>AJ268</f>
        <v>1</v>
      </c>
      <c r="AK270" s="843"/>
      <c r="AL270" s="324" t="s">
        <v>15630</v>
      </c>
      <c r="AM270" s="325"/>
      <c r="AN270" s="325"/>
      <c r="AO270" s="325"/>
      <c r="AP270" s="325"/>
      <c r="AQ270" s="190" t="s">
        <v>398</v>
      </c>
      <c r="AR270" s="844">
        <f>AR266</f>
        <v>0.85</v>
      </c>
      <c r="AS270" s="844"/>
      <c r="AT270" s="907">
        <f>AT262</f>
        <v>0.8</v>
      </c>
      <c r="AU270" s="844"/>
      <c r="AV270" s="844"/>
      <c r="AW270" s="845"/>
      <c r="AX270" s="489">
        <f>ROUND(ROUND(ROUND(Q264*AJ270,0)*AR270,0)*AT270,0)</f>
        <v>58</v>
      </c>
      <c r="AY270" s="393"/>
    </row>
    <row r="271" spans="1:51" ht="17.100000000000001" customHeight="1" x14ac:dyDescent="0.15">
      <c r="A271" s="340">
        <v>12</v>
      </c>
      <c r="B271" s="341">
        <v>7565</v>
      </c>
      <c r="C271" s="390" t="s">
        <v>16566</v>
      </c>
      <c r="D271" s="403"/>
      <c r="E271" s="404"/>
      <c r="F271" s="404"/>
      <c r="G271" s="404"/>
      <c r="H271" s="406"/>
      <c r="I271" s="908" t="s">
        <v>16372</v>
      </c>
      <c r="J271" s="909"/>
      <c r="K271" s="909"/>
      <c r="L271" s="909"/>
      <c r="M271" s="909"/>
      <c r="N271" s="909"/>
      <c r="O271" s="909"/>
      <c r="P271" s="909"/>
      <c r="Q271" s="909"/>
      <c r="R271" s="909"/>
      <c r="S271" s="909"/>
      <c r="T271" s="909"/>
      <c r="U271" s="910"/>
      <c r="V271" s="343"/>
      <c r="W271" s="343"/>
      <c r="X271" s="343"/>
      <c r="Y271" s="343"/>
      <c r="Z271" s="343"/>
      <c r="AA271" s="343"/>
      <c r="AB271" s="343"/>
      <c r="AC271" s="343"/>
      <c r="AD271" s="343"/>
      <c r="AE271" s="343"/>
      <c r="AF271" s="343"/>
      <c r="AG271" s="343"/>
      <c r="AH271" s="343"/>
      <c r="AI271" s="343"/>
      <c r="AJ271" s="401"/>
      <c r="AK271" s="402"/>
      <c r="AL271" s="396"/>
      <c r="AM271" s="396"/>
      <c r="AN271" s="396"/>
      <c r="AO271" s="396"/>
      <c r="AP271" s="396"/>
      <c r="AQ271" s="396"/>
      <c r="AR271" s="396"/>
      <c r="AS271" s="396"/>
      <c r="AT271" s="496"/>
      <c r="AU271" s="400"/>
      <c r="AV271" s="396"/>
      <c r="AW271" s="397"/>
      <c r="AX271" s="489">
        <f>ROUND(Q272,0)</f>
        <v>80</v>
      </c>
      <c r="AY271" s="393"/>
    </row>
    <row r="272" spans="1:51" ht="16.5" customHeight="1" x14ac:dyDescent="0.15">
      <c r="A272" s="340">
        <v>12</v>
      </c>
      <c r="B272" s="341">
        <v>7566</v>
      </c>
      <c r="C272" s="390" t="s">
        <v>16567</v>
      </c>
      <c r="D272" s="403"/>
      <c r="E272" s="404"/>
      <c r="F272" s="404"/>
      <c r="G272" s="404"/>
      <c r="H272" s="406"/>
      <c r="Q272" s="836">
        <v>80</v>
      </c>
      <c r="R272" s="837"/>
      <c r="S272" s="837"/>
      <c r="T272" s="152" t="s">
        <v>15624</v>
      </c>
      <c r="U272" s="387"/>
      <c r="V272" s="343" t="s">
        <v>15625</v>
      </c>
      <c r="W272" s="325"/>
      <c r="X272" s="325"/>
      <c r="Y272" s="325"/>
      <c r="Z272" s="325"/>
      <c r="AA272" s="325"/>
      <c r="AB272" s="325"/>
      <c r="AC272" s="325"/>
      <c r="AD272" s="325"/>
      <c r="AE272" s="325"/>
      <c r="AF272" s="325"/>
      <c r="AG272" s="325"/>
      <c r="AH272" s="325"/>
      <c r="AI272" s="391" t="s">
        <v>15626</v>
      </c>
      <c r="AJ272" s="838">
        <f>AJ270</f>
        <v>1</v>
      </c>
      <c r="AK272" s="839"/>
      <c r="AL272" s="325"/>
      <c r="AM272" s="325"/>
      <c r="AN272" s="325"/>
      <c r="AO272" s="325"/>
      <c r="AP272" s="325"/>
      <c r="AQ272" s="325"/>
      <c r="AR272" s="325"/>
      <c r="AS272" s="391"/>
      <c r="AT272" s="490"/>
      <c r="AW272" s="387"/>
      <c r="AX272" s="489">
        <f>ROUND(Q272*AJ272,0)</f>
        <v>80</v>
      </c>
      <c r="AY272" s="393"/>
    </row>
    <row r="273" spans="1:51" ht="16.5" customHeight="1" x14ac:dyDescent="0.15">
      <c r="A273" s="340">
        <v>12</v>
      </c>
      <c r="B273" s="341">
        <v>7567</v>
      </c>
      <c r="C273" s="390" t="s">
        <v>16568</v>
      </c>
      <c r="D273" s="403"/>
      <c r="E273" s="404"/>
      <c r="F273" s="404"/>
      <c r="G273" s="404"/>
      <c r="H273" s="406"/>
      <c r="Q273" s="395"/>
      <c r="R273" s="151"/>
      <c r="S273" s="151"/>
      <c r="U273" s="387"/>
      <c r="V273" s="343"/>
      <c r="W273" s="343"/>
      <c r="X273" s="343"/>
      <c r="Y273" s="343"/>
      <c r="Z273" s="343"/>
      <c r="AA273" s="343"/>
      <c r="AB273" s="343"/>
      <c r="AC273" s="343"/>
      <c r="AD273" s="343"/>
      <c r="AE273" s="343"/>
      <c r="AF273" s="343"/>
      <c r="AG273" s="343"/>
      <c r="AH273" s="343"/>
      <c r="AI273" s="343"/>
      <c r="AJ273" s="343"/>
      <c r="AK273" s="343"/>
      <c r="AL273" s="114" t="s">
        <v>15628</v>
      </c>
      <c r="AM273" s="396"/>
      <c r="AN273" s="396"/>
      <c r="AO273" s="396"/>
      <c r="AP273" s="396"/>
      <c r="AQ273" s="396"/>
      <c r="AR273" s="396"/>
      <c r="AS273" s="397"/>
      <c r="AT273" s="490"/>
      <c r="AW273" s="387"/>
      <c r="AX273" s="489">
        <f>ROUND(Q272*AR274,0)</f>
        <v>68</v>
      </c>
      <c r="AY273" s="393"/>
    </row>
    <row r="274" spans="1:51" ht="16.5" customHeight="1" x14ac:dyDescent="0.15">
      <c r="A274" s="340">
        <v>12</v>
      </c>
      <c r="B274" s="341">
        <v>7568</v>
      </c>
      <c r="C274" s="390" t="s">
        <v>16569</v>
      </c>
      <c r="D274" s="403"/>
      <c r="E274" s="404"/>
      <c r="F274" s="404"/>
      <c r="G274" s="404"/>
      <c r="H274" s="406"/>
      <c r="Q274" s="395"/>
      <c r="R274" s="151"/>
      <c r="S274" s="151"/>
      <c r="U274" s="387"/>
      <c r="V274" s="343" t="s">
        <v>15625</v>
      </c>
      <c r="W274" s="325"/>
      <c r="X274" s="325"/>
      <c r="Y274" s="325"/>
      <c r="Z274" s="325"/>
      <c r="AA274" s="325"/>
      <c r="AB274" s="325"/>
      <c r="AC274" s="325"/>
      <c r="AD274" s="325"/>
      <c r="AE274" s="325"/>
      <c r="AF274" s="325"/>
      <c r="AG274" s="325"/>
      <c r="AH274" s="325"/>
      <c r="AI274" s="391" t="s">
        <v>15626</v>
      </c>
      <c r="AJ274" s="838">
        <f>AJ272</f>
        <v>1</v>
      </c>
      <c r="AK274" s="843"/>
      <c r="AL274" s="324" t="s">
        <v>15630</v>
      </c>
      <c r="AM274" s="325"/>
      <c r="AN274" s="325"/>
      <c r="AO274" s="325"/>
      <c r="AP274" s="325"/>
      <c r="AQ274" s="190" t="s">
        <v>398</v>
      </c>
      <c r="AR274" s="844">
        <f>AR270</f>
        <v>0.85</v>
      </c>
      <c r="AS274" s="844"/>
      <c r="AT274" s="490"/>
      <c r="AW274" s="387"/>
      <c r="AX274" s="489">
        <f>ROUND(ROUND(Q272*AJ274,0)*AR274,0)</f>
        <v>68</v>
      </c>
      <c r="AY274" s="393"/>
    </row>
    <row r="275" spans="1:51" ht="17.100000000000001" customHeight="1" x14ac:dyDescent="0.15">
      <c r="A275" s="340">
        <v>12</v>
      </c>
      <c r="B275" s="341">
        <v>7569</v>
      </c>
      <c r="C275" s="390" t="s">
        <v>16570</v>
      </c>
      <c r="D275" s="403"/>
      <c r="E275" s="404"/>
      <c r="F275" s="404"/>
      <c r="G275" s="404"/>
      <c r="H275" s="406"/>
      <c r="I275" s="10"/>
      <c r="L275" s="151"/>
      <c r="M275" s="151"/>
      <c r="N275" s="151"/>
      <c r="U275" s="387"/>
      <c r="V275" s="343"/>
      <c r="W275" s="343"/>
      <c r="X275" s="343"/>
      <c r="Y275" s="343"/>
      <c r="Z275" s="343"/>
      <c r="AA275" s="343"/>
      <c r="AB275" s="343"/>
      <c r="AC275" s="343"/>
      <c r="AD275" s="343"/>
      <c r="AE275" s="343"/>
      <c r="AF275" s="343"/>
      <c r="AG275" s="343"/>
      <c r="AH275" s="343"/>
      <c r="AI275" s="343"/>
      <c r="AJ275" s="401"/>
      <c r="AK275" s="402"/>
      <c r="AL275" s="396"/>
      <c r="AM275" s="396"/>
      <c r="AN275" s="396"/>
      <c r="AO275" s="396"/>
      <c r="AP275" s="396"/>
      <c r="AQ275" s="396"/>
      <c r="AR275" s="396"/>
      <c r="AS275" s="396"/>
      <c r="AT275" s="857" t="s">
        <v>16296</v>
      </c>
      <c r="AU275" s="858"/>
      <c r="AV275" s="858"/>
      <c r="AW275" s="860"/>
      <c r="AX275" s="489">
        <f>ROUND(Q272*AT278,0)</f>
        <v>64</v>
      </c>
      <c r="AY275" s="393"/>
    </row>
    <row r="276" spans="1:51" ht="16.5" customHeight="1" x14ac:dyDescent="0.15">
      <c r="A276" s="340">
        <v>12</v>
      </c>
      <c r="B276" s="341">
        <v>7570</v>
      </c>
      <c r="C276" s="390" t="s">
        <v>16571</v>
      </c>
      <c r="D276" s="403"/>
      <c r="E276" s="404"/>
      <c r="F276" s="404"/>
      <c r="G276" s="404"/>
      <c r="H276" s="406"/>
      <c r="Q276" s="899"/>
      <c r="R276" s="900"/>
      <c r="S276" s="900"/>
      <c r="U276" s="387"/>
      <c r="V276" s="343" t="s">
        <v>15625</v>
      </c>
      <c r="W276" s="325"/>
      <c r="X276" s="325"/>
      <c r="Y276" s="325"/>
      <c r="Z276" s="325"/>
      <c r="AA276" s="325"/>
      <c r="AB276" s="325"/>
      <c r="AC276" s="325"/>
      <c r="AD276" s="325"/>
      <c r="AE276" s="325"/>
      <c r="AF276" s="325"/>
      <c r="AG276" s="325"/>
      <c r="AH276" s="325"/>
      <c r="AI276" s="391" t="s">
        <v>15626</v>
      </c>
      <c r="AJ276" s="838">
        <f>AJ274</f>
        <v>1</v>
      </c>
      <c r="AK276" s="839"/>
      <c r="AL276" s="325"/>
      <c r="AM276" s="325"/>
      <c r="AN276" s="325"/>
      <c r="AO276" s="325"/>
      <c r="AP276" s="325"/>
      <c r="AQ276" s="325"/>
      <c r="AR276" s="325"/>
      <c r="AS276" s="391"/>
      <c r="AT276" s="849"/>
      <c r="AU276" s="850"/>
      <c r="AV276" s="850"/>
      <c r="AW276" s="852"/>
      <c r="AX276" s="489">
        <f>ROUND(ROUND(Q272*AJ276,0)*AT278,0)</f>
        <v>64</v>
      </c>
      <c r="AY276" s="393"/>
    </row>
    <row r="277" spans="1:51" ht="16.5" customHeight="1" x14ac:dyDescent="0.15">
      <c r="A277" s="340">
        <v>12</v>
      </c>
      <c r="B277" s="341">
        <v>7571</v>
      </c>
      <c r="C277" s="390" t="s">
        <v>16572</v>
      </c>
      <c r="D277" s="403"/>
      <c r="E277" s="404"/>
      <c r="F277" s="404"/>
      <c r="G277" s="404"/>
      <c r="H277" s="406"/>
      <c r="Q277" s="395"/>
      <c r="R277" s="151"/>
      <c r="S277" s="151"/>
      <c r="U277" s="387"/>
      <c r="V277" s="343"/>
      <c r="W277" s="343"/>
      <c r="X277" s="343"/>
      <c r="Y277" s="343"/>
      <c r="Z277" s="343"/>
      <c r="AA277" s="343"/>
      <c r="AB277" s="343"/>
      <c r="AC277" s="343"/>
      <c r="AD277" s="343"/>
      <c r="AE277" s="343"/>
      <c r="AF277" s="343"/>
      <c r="AG277" s="343"/>
      <c r="AH277" s="343"/>
      <c r="AI277" s="343"/>
      <c r="AJ277" s="343"/>
      <c r="AK277" s="343"/>
      <c r="AL277" s="114" t="s">
        <v>15628</v>
      </c>
      <c r="AM277" s="396"/>
      <c r="AN277" s="396"/>
      <c r="AO277" s="396"/>
      <c r="AP277" s="396"/>
      <c r="AQ277" s="396"/>
      <c r="AR277" s="396"/>
      <c r="AS277" s="397"/>
      <c r="AT277" s="901" t="s">
        <v>15636</v>
      </c>
      <c r="AU277" s="902"/>
      <c r="AV277" s="902"/>
      <c r="AW277" s="903"/>
      <c r="AX277" s="489">
        <f>ROUND(ROUND(Q272*AR278,0)*AT278,0)</f>
        <v>54</v>
      </c>
      <c r="AY277" s="393"/>
    </row>
    <row r="278" spans="1:51" ht="16.5" customHeight="1" x14ac:dyDescent="0.15">
      <c r="A278" s="340">
        <v>12</v>
      </c>
      <c r="B278" s="341">
        <v>7572</v>
      </c>
      <c r="C278" s="390" t="s">
        <v>16573</v>
      </c>
      <c r="D278" s="419"/>
      <c r="E278" s="420"/>
      <c r="F278" s="420"/>
      <c r="G278" s="420"/>
      <c r="H278" s="422"/>
      <c r="I278" s="325"/>
      <c r="J278" s="325"/>
      <c r="K278" s="325"/>
      <c r="L278" s="325"/>
      <c r="M278" s="325"/>
      <c r="N278" s="325"/>
      <c r="O278" s="325"/>
      <c r="P278" s="325"/>
      <c r="Q278" s="416"/>
      <c r="R278" s="417"/>
      <c r="S278" s="417"/>
      <c r="T278" s="325"/>
      <c r="U278" s="388"/>
      <c r="V278" s="343" t="s">
        <v>15625</v>
      </c>
      <c r="W278" s="325"/>
      <c r="X278" s="325"/>
      <c r="Y278" s="325"/>
      <c r="Z278" s="325"/>
      <c r="AA278" s="325"/>
      <c r="AB278" s="325"/>
      <c r="AC278" s="325"/>
      <c r="AD278" s="325"/>
      <c r="AE278" s="325"/>
      <c r="AF278" s="325"/>
      <c r="AG278" s="325"/>
      <c r="AH278" s="325"/>
      <c r="AI278" s="391" t="s">
        <v>15626</v>
      </c>
      <c r="AJ278" s="838">
        <f>AJ276</f>
        <v>1</v>
      </c>
      <c r="AK278" s="843"/>
      <c r="AL278" s="324" t="s">
        <v>15630</v>
      </c>
      <c r="AM278" s="325"/>
      <c r="AN278" s="325"/>
      <c r="AO278" s="325"/>
      <c r="AP278" s="325"/>
      <c r="AQ278" s="190" t="s">
        <v>398</v>
      </c>
      <c r="AR278" s="844">
        <f>AR274</f>
        <v>0.85</v>
      </c>
      <c r="AS278" s="844"/>
      <c r="AT278" s="907">
        <f>AT270</f>
        <v>0.8</v>
      </c>
      <c r="AU278" s="844"/>
      <c r="AV278" s="844"/>
      <c r="AW278" s="845"/>
      <c r="AX278" s="491">
        <f>ROUND(ROUND(ROUND(Q272*AJ278,0)*AR278,0)*AT278,0)</f>
        <v>54</v>
      </c>
      <c r="AY278" s="418"/>
    </row>
    <row r="279" spans="1:51" ht="17.100000000000001" customHeight="1" x14ac:dyDescent="0.15">
      <c r="A279" s="321">
        <v>12</v>
      </c>
      <c r="B279" s="322">
        <v>7573</v>
      </c>
      <c r="C279" s="386" t="s">
        <v>16574</v>
      </c>
      <c r="D279" s="849" t="s">
        <v>15740</v>
      </c>
      <c r="E279" s="850"/>
      <c r="F279" s="850"/>
      <c r="G279" s="850"/>
      <c r="H279" s="852"/>
      <c r="I279" s="908" t="s">
        <v>16381</v>
      </c>
      <c r="J279" s="909"/>
      <c r="K279" s="909"/>
      <c r="L279" s="909"/>
      <c r="M279" s="909"/>
      <c r="N279" s="909"/>
      <c r="O279" s="909"/>
      <c r="P279" s="909"/>
      <c r="Q279" s="909"/>
      <c r="R279" s="909"/>
      <c r="S279" s="909"/>
      <c r="T279" s="909"/>
      <c r="U279" s="910"/>
      <c r="V279" s="325"/>
      <c r="W279" s="325"/>
      <c r="X279" s="325"/>
      <c r="Y279" s="325"/>
      <c r="Z279" s="325"/>
      <c r="AA279" s="325"/>
      <c r="AB279" s="325"/>
      <c r="AC279" s="325"/>
      <c r="AD279" s="325"/>
      <c r="AE279" s="325"/>
      <c r="AF279" s="325"/>
      <c r="AG279" s="325"/>
      <c r="AH279" s="325"/>
      <c r="AI279" s="325"/>
      <c r="AJ279" s="401"/>
      <c r="AK279" s="402"/>
      <c r="AQ279" s="152"/>
      <c r="AR279" s="152"/>
      <c r="AS279" s="152"/>
      <c r="AT279" s="494"/>
      <c r="AU279" s="151"/>
      <c r="AW279" s="387"/>
      <c r="AX279" s="488">
        <f>ROUND(Q280,0)</f>
        <v>86</v>
      </c>
      <c r="AY279" s="329" t="s">
        <v>15622</v>
      </c>
    </row>
    <row r="280" spans="1:51" ht="16.5" customHeight="1" x14ac:dyDescent="0.15">
      <c r="A280" s="340">
        <v>12</v>
      </c>
      <c r="B280" s="341">
        <v>7574</v>
      </c>
      <c r="C280" s="390" t="s">
        <v>16575</v>
      </c>
      <c r="D280" s="849"/>
      <c r="E280" s="850"/>
      <c r="F280" s="850"/>
      <c r="G280" s="850"/>
      <c r="H280" s="852"/>
      <c r="Q280" s="836">
        <v>86</v>
      </c>
      <c r="R280" s="837"/>
      <c r="S280" s="837"/>
      <c r="T280" s="152" t="s">
        <v>15624</v>
      </c>
      <c r="U280" s="387"/>
      <c r="V280" s="343" t="s">
        <v>15625</v>
      </c>
      <c r="W280" s="325"/>
      <c r="X280" s="325"/>
      <c r="Y280" s="325"/>
      <c r="Z280" s="325"/>
      <c r="AA280" s="325"/>
      <c r="AB280" s="325"/>
      <c r="AC280" s="325"/>
      <c r="AD280" s="325"/>
      <c r="AE280" s="325"/>
      <c r="AF280" s="325"/>
      <c r="AG280" s="325"/>
      <c r="AH280" s="325"/>
      <c r="AI280" s="391" t="s">
        <v>15626</v>
      </c>
      <c r="AJ280" s="838">
        <f>AJ182</f>
        <v>1</v>
      </c>
      <c r="AK280" s="839"/>
      <c r="AL280" s="325"/>
      <c r="AM280" s="325"/>
      <c r="AN280" s="325"/>
      <c r="AO280" s="325"/>
      <c r="AP280" s="325"/>
      <c r="AQ280" s="325"/>
      <c r="AR280" s="325"/>
      <c r="AS280" s="391"/>
      <c r="AT280" s="490"/>
      <c r="AW280" s="387"/>
      <c r="AX280" s="489">
        <f>ROUND(Q280*AJ280,0)</f>
        <v>86</v>
      </c>
      <c r="AY280" s="393"/>
    </row>
    <row r="281" spans="1:51" ht="16.5" customHeight="1" x14ac:dyDescent="0.15">
      <c r="A281" s="340">
        <v>12</v>
      </c>
      <c r="B281" s="341">
        <v>7575</v>
      </c>
      <c r="C281" s="390" t="s">
        <v>16576</v>
      </c>
      <c r="D281" s="849"/>
      <c r="E281" s="850"/>
      <c r="F281" s="850"/>
      <c r="G281" s="850"/>
      <c r="H281" s="852"/>
      <c r="Q281" s="395"/>
      <c r="R281" s="151"/>
      <c r="S281" s="151"/>
      <c r="U281" s="387"/>
      <c r="V281" s="343"/>
      <c r="W281" s="343"/>
      <c r="X281" s="343"/>
      <c r="Y281" s="343"/>
      <c r="Z281" s="343"/>
      <c r="AA281" s="343"/>
      <c r="AB281" s="343"/>
      <c r="AC281" s="343"/>
      <c r="AD281" s="343"/>
      <c r="AE281" s="343"/>
      <c r="AF281" s="343"/>
      <c r="AG281" s="343"/>
      <c r="AH281" s="343"/>
      <c r="AI281" s="343"/>
      <c r="AJ281" s="343"/>
      <c r="AK281" s="343"/>
      <c r="AL281" s="114" t="s">
        <v>15628</v>
      </c>
      <c r="AM281" s="396"/>
      <c r="AN281" s="396"/>
      <c r="AO281" s="396"/>
      <c r="AP281" s="396"/>
      <c r="AQ281" s="396"/>
      <c r="AR281" s="396"/>
      <c r="AS281" s="397"/>
      <c r="AT281" s="490"/>
      <c r="AW281" s="387"/>
      <c r="AX281" s="489">
        <f>ROUND(Q280*AR282,0)</f>
        <v>73</v>
      </c>
      <c r="AY281" s="393"/>
    </row>
    <row r="282" spans="1:51" ht="16.5" customHeight="1" x14ac:dyDescent="0.15">
      <c r="A282" s="340">
        <v>12</v>
      </c>
      <c r="B282" s="341">
        <v>7576</v>
      </c>
      <c r="C282" s="390" t="s">
        <v>16577</v>
      </c>
      <c r="D282" s="849"/>
      <c r="E282" s="850"/>
      <c r="F282" s="850"/>
      <c r="G282" s="850"/>
      <c r="H282" s="852"/>
      <c r="Q282" s="395"/>
      <c r="R282" s="151"/>
      <c r="S282" s="151"/>
      <c r="U282" s="387"/>
      <c r="V282" s="343" t="s">
        <v>15625</v>
      </c>
      <c r="W282" s="325"/>
      <c r="X282" s="325"/>
      <c r="Y282" s="325"/>
      <c r="Z282" s="325"/>
      <c r="AA282" s="325"/>
      <c r="AB282" s="325"/>
      <c r="AC282" s="325"/>
      <c r="AD282" s="325"/>
      <c r="AE282" s="325"/>
      <c r="AF282" s="325"/>
      <c r="AG282" s="325"/>
      <c r="AH282" s="325"/>
      <c r="AI282" s="391" t="s">
        <v>15626</v>
      </c>
      <c r="AJ282" s="838">
        <f>AJ280</f>
        <v>1</v>
      </c>
      <c r="AK282" s="843"/>
      <c r="AL282" s="324" t="s">
        <v>15630</v>
      </c>
      <c r="AM282" s="325"/>
      <c r="AN282" s="325"/>
      <c r="AO282" s="325"/>
      <c r="AP282" s="325"/>
      <c r="AQ282" s="190" t="s">
        <v>398</v>
      </c>
      <c r="AR282" s="844">
        <f>AR182</f>
        <v>0.85</v>
      </c>
      <c r="AS282" s="844"/>
      <c r="AT282" s="490"/>
      <c r="AW282" s="387"/>
      <c r="AX282" s="489">
        <f>ROUND(ROUND(Q280*AJ282,0)*AR282,0)</f>
        <v>73</v>
      </c>
      <c r="AY282" s="393"/>
    </row>
    <row r="283" spans="1:51" ht="17.100000000000001" customHeight="1" x14ac:dyDescent="0.15">
      <c r="A283" s="340">
        <v>12</v>
      </c>
      <c r="B283" s="341">
        <v>7577</v>
      </c>
      <c r="C283" s="390" t="s">
        <v>16578</v>
      </c>
      <c r="D283" s="403"/>
      <c r="E283" s="404"/>
      <c r="F283" s="404"/>
      <c r="G283" s="404"/>
      <c r="H283" s="406"/>
      <c r="I283" s="10"/>
      <c r="L283" s="151"/>
      <c r="M283" s="151"/>
      <c r="N283" s="151"/>
      <c r="U283" s="387"/>
      <c r="V283" s="343"/>
      <c r="W283" s="343"/>
      <c r="X283" s="343"/>
      <c r="Y283" s="343"/>
      <c r="Z283" s="343"/>
      <c r="AA283" s="343"/>
      <c r="AB283" s="343"/>
      <c r="AC283" s="343"/>
      <c r="AD283" s="343"/>
      <c r="AE283" s="343"/>
      <c r="AF283" s="343"/>
      <c r="AG283" s="343"/>
      <c r="AH283" s="343"/>
      <c r="AI283" s="343"/>
      <c r="AJ283" s="401"/>
      <c r="AK283" s="402"/>
      <c r="AL283" s="396"/>
      <c r="AM283" s="396"/>
      <c r="AN283" s="396"/>
      <c r="AO283" s="396"/>
      <c r="AP283" s="396"/>
      <c r="AQ283" s="396"/>
      <c r="AR283" s="396"/>
      <c r="AS283" s="396"/>
      <c r="AT283" s="857" t="s">
        <v>16296</v>
      </c>
      <c r="AU283" s="858"/>
      <c r="AV283" s="858"/>
      <c r="AW283" s="860"/>
      <c r="AX283" s="489">
        <f>ROUND(Q280*AT286,0)</f>
        <v>69</v>
      </c>
      <c r="AY283" s="393"/>
    </row>
    <row r="284" spans="1:51" ht="16.5" customHeight="1" x14ac:dyDescent="0.15">
      <c r="A284" s="340">
        <v>12</v>
      </c>
      <c r="B284" s="341">
        <v>7578</v>
      </c>
      <c r="C284" s="390" t="s">
        <v>16579</v>
      </c>
      <c r="D284" s="403"/>
      <c r="E284" s="404"/>
      <c r="F284" s="404"/>
      <c r="G284" s="404"/>
      <c r="H284" s="406"/>
      <c r="Q284" s="899"/>
      <c r="R284" s="900"/>
      <c r="S284" s="900"/>
      <c r="U284" s="387"/>
      <c r="V284" s="343" t="s">
        <v>15625</v>
      </c>
      <c r="W284" s="325"/>
      <c r="X284" s="325"/>
      <c r="Y284" s="325"/>
      <c r="Z284" s="325"/>
      <c r="AA284" s="325"/>
      <c r="AB284" s="325"/>
      <c r="AC284" s="325"/>
      <c r="AD284" s="325"/>
      <c r="AE284" s="325"/>
      <c r="AF284" s="325"/>
      <c r="AG284" s="325"/>
      <c r="AH284" s="325"/>
      <c r="AI284" s="391" t="s">
        <v>15626</v>
      </c>
      <c r="AJ284" s="838">
        <f>AJ282</f>
        <v>1</v>
      </c>
      <c r="AK284" s="839"/>
      <c r="AL284" s="325"/>
      <c r="AM284" s="325"/>
      <c r="AN284" s="325"/>
      <c r="AO284" s="325"/>
      <c r="AP284" s="325"/>
      <c r="AQ284" s="325"/>
      <c r="AR284" s="325"/>
      <c r="AS284" s="391"/>
      <c r="AT284" s="849"/>
      <c r="AU284" s="850"/>
      <c r="AV284" s="850"/>
      <c r="AW284" s="852"/>
      <c r="AX284" s="489">
        <f>ROUND(ROUND(Q280*AJ284,0)*AT286,0)</f>
        <v>69</v>
      </c>
      <c r="AY284" s="393"/>
    </row>
    <row r="285" spans="1:51" ht="16.5" customHeight="1" x14ac:dyDescent="0.15">
      <c r="A285" s="340">
        <v>12</v>
      </c>
      <c r="B285" s="341">
        <v>7579</v>
      </c>
      <c r="C285" s="390" t="s">
        <v>16580</v>
      </c>
      <c r="D285" s="403"/>
      <c r="E285" s="404"/>
      <c r="F285" s="497"/>
      <c r="G285" s="497"/>
      <c r="H285" s="498"/>
      <c r="Q285" s="395"/>
      <c r="R285" s="151"/>
      <c r="S285" s="151"/>
      <c r="U285" s="387"/>
      <c r="V285" s="343"/>
      <c r="W285" s="343"/>
      <c r="X285" s="343"/>
      <c r="Y285" s="343"/>
      <c r="Z285" s="343"/>
      <c r="AA285" s="343"/>
      <c r="AB285" s="343"/>
      <c r="AC285" s="343"/>
      <c r="AD285" s="343"/>
      <c r="AE285" s="343"/>
      <c r="AF285" s="343"/>
      <c r="AG285" s="343"/>
      <c r="AH285" s="343"/>
      <c r="AI285" s="343"/>
      <c r="AJ285" s="343"/>
      <c r="AK285" s="343"/>
      <c r="AL285" s="114" t="s">
        <v>15628</v>
      </c>
      <c r="AM285" s="396"/>
      <c r="AN285" s="396"/>
      <c r="AO285" s="396"/>
      <c r="AP285" s="396"/>
      <c r="AQ285" s="396"/>
      <c r="AR285" s="396"/>
      <c r="AS285" s="397"/>
      <c r="AT285" s="901" t="s">
        <v>15636</v>
      </c>
      <c r="AU285" s="902"/>
      <c r="AV285" s="902"/>
      <c r="AW285" s="903"/>
      <c r="AX285" s="489">
        <f>ROUND(ROUND(Q280*AR286,0)*AT286,0)</f>
        <v>58</v>
      </c>
      <c r="AY285" s="393"/>
    </row>
    <row r="286" spans="1:51" ht="16.5" customHeight="1" x14ac:dyDescent="0.15">
      <c r="A286" s="340">
        <v>12</v>
      </c>
      <c r="B286" s="341">
        <v>7580</v>
      </c>
      <c r="C286" s="390" t="s">
        <v>16581</v>
      </c>
      <c r="D286" s="403"/>
      <c r="E286" s="404"/>
      <c r="F286" s="404"/>
      <c r="G286" s="404"/>
      <c r="H286" s="406"/>
      <c r="Q286" s="395"/>
      <c r="R286" s="151"/>
      <c r="S286" s="151"/>
      <c r="U286" s="387"/>
      <c r="V286" s="343" t="s">
        <v>15625</v>
      </c>
      <c r="W286" s="325"/>
      <c r="X286" s="325"/>
      <c r="Y286" s="325"/>
      <c r="Z286" s="325"/>
      <c r="AA286" s="325"/>
      <c r="AB286" s="325"/>
      <c r="AC286" s="325"/>
      <c r="AD286" s="325"/>
      <c r="AE286" s="325"/>
      <c r="AF286" s="325"/>
      <c r="AG286" s="325"/>
      <c r="AH286" s="325"/>
      <c r="AI286" s="391" t="s">
        <v>15626</v>
      </c>
      <c r="AJ286" s="838">
        <f>AJ284</f>
        <v>1</v>
      </c>
      <c r="AK286" s="843"/>
      <c r="AL286" s="324" t="s">
        <v>15630</v>
      </c>
      <c r="AM286" s="325"/>
      <c r="AN286" s="325"/>
      <c r="AO286" s="325"/>
      <c r="AP286" s="325"/>
      <c r="AQ286" s="190" t="s">
        <v>398</v>
      </c>
      <c r="AR286" s="844">
        <f>AR282</f>
        <v>0.85</v>
      </c>
      <c r="AS286" s="844"/>
      <c r="AT286" s="907">
        <f>AT278</f>
        <v>0.8</v>
      </c>
      <c r="AU286" s="844"/>
      <c r="AV286" s="844"/>
      <c r="AW286" s="845"/>
      <c r="AX286" s="489">
        <f>ROUND(ROUND(ROUND(Q280*AJ286,0)*AR286,0)*AT286,0)</f>
        <v>58</v>
      </c>
      <c r="AY286" s="393"/>
    </row>
    <row r="287" spans="1:51" ht="17.100000000000001" customHeight="1" x14ac:dyDescent="0.15">
      <c r="A287" s="340">
        <v>12</v>
      </c>
      <c r="B287" s="341">
        <v>7581</v>
      </c>
      <c r="C287" s="390" t="s">
        <v>16582</v>
      </c>
      <c r="D287" s="403"/>
      <c r="E287" s="404"/>
      <c r="F287" s="404"/>
      <c r="G287" s="404"/>
      <c r="H287" s="406"/>
      <c r="I287" s="908" t="s">
        <v>16390</v>
      </c>
      <c r="J287" s="909"/>
      <c r="K287" s="909"/>
      <c r="L287" s="909"/>
      <c r="M287" s="909"/>
      <c r="N287" s="909"/>
      <c r="O287" s="909"/>
      <c r="P287" s="909"/>
      <c r="Q287" s="909"/>
      <c r="R287" s="909"/>
      <c r="S287" s="909"/>
      <c r="T287" s="909"/>
      <c r="U287" s="910"/>
      <c r="V287" s="343"/>
      <c r="W287" s="343"/>
      <c r="X287" s="343"/>
      <c r="Y287" s="343"/>
      <c r="Z287" s="343"/>
      <c r="AA287" s="343"/>
      <c r="AB287" s="343"/>
      <c r="AC287" s="343"/>
      <c r="AD287" s="343"/>
      <c r="AE287" s="343"/>
      <c r="AF287" s="343"/>
      <c r="AG287" s="343"/>
      <c r="AH287" s="343"/>
      <c r="AI287" s="343"/>
      <c r="AJ287" s="401"/>
      <c r="AK287" s="402"/>
      <c r="AL287" s="396"/>
      <c r="AM287" s="396"/>
      <c r="AN287" s="396"/>
      <c r="AO287" s="396"/>
      <c r="AP287" s="396"/>
      <c r="AQ287" s="396"/>
      <c r="AR287" s="396"/>
      <c r="AS287" s="396"/>
      <c r="AT287" s="496"/>
      <c r="AU287" s="400"/>
      <c r="AV287" s="396"/>
      <c r="AW287" s="397"/>
      <c r="AX287" s="489">
        <f>ROUND(Q288,0)</f>
        <v>80</v>
      </c>
      <c r="AY287" s="393"/>
    </row>
    <row r="288" spans="1:51" ht="16.5" customHeight="1" x14ac:dyDescent="0.15">
      <c r="A288" s="340">
        <v>12</v>
      </c>
      <c r="B288" s="341">
        <v>7582</v>
      </c>
      <c r="C288" s="390" t="s">
        <v>16583</v>
      </c>
      <c r="D288" s="403"/>
      <c r="E288" s="404"/>
      <c r="F288" s="404"/>
      <c r="G288" s="404"/>
      <c r="H288" s="406"/>
      <c r="Q288" s="836">
        <v>80</v>
      </c>
      <c r="R288" s="837"/>
      <c r="S288" s="837"/>
      <c r="T288" s="152" t="s">
        <v>15624</v>
      </c>
      <c r="U288" s="387"/>
      <c r="V288" s="343" t="s">
        <v>15625</v>
      </c>
      <c r="W288" s="325"/>
      <c r="X288" s="325"/>
      <c r="Y288" s="325"/>
      <c r="Z288" s="325"/>
      <c r="AA288" s="325"/>
      <c r="AB288" s="325"/>
      <c r="AC288" s="325"/>
      <c r="AD288" s="325"/>
      <c r="AE288" s="325"/>
      <c r="AF288" s="325"/>
      <c r="AG288" s="325"/>
      <c r="AH288" s="325"/>
      <c r="AI288" s="391" t="s">
        <v>15626</v>
      </c>
      <c r="AJ288" s="838">
        <f>AJ286</f>
        <v>1</v>
      </c>
      <c r="AK288" s="839"/>
      <c r="AL288" s="325"/>
      <c r="AM288" s="325"/>
      <c r="AN288" s="325"/>
      <c r="AO288" s="325"/>
      <c r="AP288" s="325"/>
      <c r="AQ288" s="325"/>
      <c r="AR288" s="325"/>
      <c r="AS288" s="391"/>
      <c r="AT288" s="490"/>
      <c r="AW288" s="387"/>
      <c r="AX288" s="489">
        <f>ROUND(Q288*AJ288,0)</f>
        <v>80</v>
      </c>
      <c r="AY288" s="393"/>
    </row>
    <row r="289" spans="1:51" ht="16.5" customHeight="1" x14ac:dyDescent="0.15">
      <c r="A289" s="340">
        <v>12</v>
      </c>
      <c r="B289" s="341">
        <v>7583</v>
      </c>
      <c r="C289" s="390" t="s">
        <v>16584</v>
      </c>
      <c r="D289" s="408"/>
      <c r="E289" s="409"/>
      <c r="F289" s="409"/>
      <c r="G289" s="409"/>
      <c r="H289" s="411"/>
      <c r="Q289" s="395"/>
      <c r="R289" s="151"/>
      <c r="S289" s="151"/>
      <c r="U289" s="387"/>
      <c r="V289" s="343"/>
      <c r="W289" s="343"/>
      <c r="X289" s="343"/>
      <c r="Y289" s="343"/>
      <c r="Z289" s="343"/>
      <c r="AA289" s="343"/>
      <c r="AB289" s="343"/>
      <c r="AC289" s="343"/>
      <c r="AD289" s="343"/>
      <c r="AE289" s="343"/>
      <c r="AF289" s="343"/>
      <c r="AG289" s="343"/>
      <c r="AH289" s="343"/>
      <c r="AI289" s="343"/>
      <c r="AJ289" s="343"/>
      <c r="AK289" s="343"/>
      <c r="AL289" s="114" t="s">
        <v>15628</v>
      </c>
      <c r="AM289" s="396"/>
      <c r="AN289" s="396"/>
      <c r="AO289" s="396"/>
      <c r="AP289" s="396"/>
      <c r="AQ289" s="396"/>
      <c r="AR289" s="396"/>
      <c r="AS289" s="397"/>
      <c r="AT289" s="490"/>
      <c r="AW289" s="387"/>
      <c r="AX289" s="489">
        <f>ROUND(Q288*AR290,0)</f>
        <v>68</v>
      </c>
      <c r="AY289" s="393"/>
    </row>
    <row r="290" spans="1:51" ht="16.5" customHeight="1" x14ac:dyDescent="0.15">
      <c r="A290" s="340">
        <v>12</v>
      </c>
      <c r="B290" s="341">
        <v>7584</v>
      </c>
      <c r="C290" s="390" t="s">
        <v>16585</v>
      </c>
      <c r="D290" s="408"/>
      <c r="E290" s="409"/>
      <c r="F290" s="409"/>
      <c r="G290" s="409"/>
      <c r="H290" s="411"/>
      <c r="Q290" s="395"/>
      <c r="R290" s="151"/>
      <c r="S290" s="151"/>
      <c r="U290" s="387"/>
      <c r="V290" s="343" t="s">
        <v>15625</v>
      </c>
      <c r="W290" s="325"/>
      <c r="X290" s="325"/>
      <c r="Y290" s="325"/>
      <c r="Z290" s="325"/>
      <c r="AA290" s="325"/>
      <c r="AB290" s="325"/>
      <c r="AC290" s="325"/>
      <c r="AD290" s="325"/>
      <c r="AE290" s="325"/>
      <c r="AF290" s="325"/>
      <c r="AG290" s="325"/>
      <c r="AH290" s="325"/>
      <c r="AI290" s="391" t="s">
        <v>15626</v>
      </c>
      <c r="AJ290" s="838">
        <f>AJ288</f>
        <v>1</v>
      </c>
      <c r="AK290" s="843"/>
      <c r="AL290" s="324" t="s">
        <v>15630</v>
      </c>
      <c r="AM290" s="325"/>
      <c r="AN290" s="325"/>
      <c r="AO290" s="325"/>
      <c r="AP290" s="325"/>
      <c r="AQ290" s="190" t="s">
        <v>398</v>
      </c>
      <c r="AR290" s="844">
        <f>AR286</f>
        <v>0.85</v>
      </c>
      <c r="AS290" s="844"/>
      <c r="AT290" s="490"/>
      <c r="AW290" s="387"/>
      <c r="AX290" s="489">
        <f>ROUND(ROUND(Q288*AJ290,0)*AR290,0)</f>
        <v>68</v>
      </c>
      <c r="AY290" s="393"/>
    </row>
    <row r="291" spans="1:51" ht="17.100000000000001" customHeight="1" x14ac:dyDescent="0.15">
      <c r="A291" s="340">
        <v>12</v>
      </c>
      <c r="B291" s="341">
        <v>7585</v>
      </c>
      <c r="C291" s="390" t="s">
        <v>16586</v>
      </c>
      <c r="D291" s="403"/>
      <c r="E291" s="404"/>
      <c r="F291" s="404"/>
      <c r="G291" s="404"/>
      <c r="H291" s="406"/>
      <c r="I291" s="10"/>
      <c r="L291" s="151"/>
      <c r="M291" s="151"/>
      <c r="N291" s="151"/>
      <c r="U291" s="387"/>
      <c r="V291" s="343"/>
      <c r="W291" s="343"/>
      <c r="X291" s="343"/>
      <c r="Y291" s="343"/>
      <c r="Z291" s="343"/>
      <c r="AA291" s="343"/>
      <c r="AB291" s="343"/>
      <c r="AC291" s="343"/>
      <c r="AD291" s="343"/>
      <c r="AE291" s="343"/>
      <c r="AF291" s="343"/>
      <c r="AG291" s="343"/>
      <c r="AH291" s="343"/>
      <c r="AI291" s="343"/>
      <c r="AJ291" s="401"/>
      <c r="AK291" s="402"/>
      <c r="AL291" s="396"/>
      <c r="AM291" s="396"/>
      <c r="AN291" s="396"/>
      <c r="AO291" s="396"/>
      <c r="AP291" s="396"/>
      <c r="AQ291" s="396"/>
      <c r="AR291" s="396"/>
      <c r="AS291" s="396"/>
      <c r="AT291" s="857" t="s">
        <v>16296</v>
      </c>
      <c r="AU291" s="858"/>
      <c r="AV291" s="858"/>
      <c r="AW291" s="860"/>
      <c r="AX291" s="489">
        <f>ROUND(Q288*AT294,0)</f>
        <v>64</v>
      </c>
      <c r="AY291" s="393"/>
    </row>
    <row r="292" spans="1:51" ht="16.5" customHeight="1" x14ac:dyDescent="0.15">
      <c r="A292" s="340">
        <v>12</v>
      </c>
      <c r="B292" s="341">
        <v>7586</v>
      </c>
      <c r="C292" s="390" t="s">
        <v>16587</v>
      </c>
      <c r="D292" s="403"/>
      <c r="E292" s="404"/>
      <c r="F292" s="404"/>
      <c r="G292" s="404"/>
      <c r="H292" s="406"/>
      <c r="Q292" s="899"/>
      <c r="R292" s="900"/>
      <c r="S292" s="900"/>
      <c r="U292" s="387"/>
      <c r="V292" s="343" t="s">
        <v>15625</v>
      </c>
      <c r="W292" s="325"/>
      <c r="X292" s="325"/>
      <c r="Y292" s="325"/>
      <c r="Z292" s="325"/>
      <c r="AA292" s="325"/>
      <c r="AB292" s="325"/>
      <c r="AC292" s="325"/>
      <c r="AD292" s="325"/>
      <c r="AE292" s="325"/>
      <c r="AF292" s="325"/>
      <c r="AG292" s="325"/>
      <c r="AH292" s="325"/>
      <c r="AI292" s="391" t="s">
        <v>15626</v>
      </c>
      <c r="AJ292" s="838">
        <f>AJ290</f>
        <v>1</v>
      </c>
      <c r="AK292" s="839"/>
      <c r="AL292" s="325"/>
      <c r="AM292" s="325"/>
      <c r="AN292" s="325"/>
      <c r="AO292" s="325"/>
      <c r="AP292" s="325"/>
      <c r="AQ292" s="325"/>
      <c r="AR292" s="325"/>
      <c r="AS292" s="391"/>
      <c r="AT292" s="849"/>
      <c r="AU292" s="850"/>
      <c r="AV292" s="850"/>
      <c r="AW292" s="852"/>
      <c r="AX292" s="489">
        <f>ROUND(ROUND(Q288*AJ292,0)*AT294,0)</f>
        <v>64</v>
      </c>
      <c r="AY292" s="393"/>
    </row>
    <row r="293" spans="1:51" ht="16.5" customHeight="1" x14ac:dyDescent="0.15">
      <c r="A293" s="340">
        <v>12</v>
      </c>
      <c r="B293" s="341">
        <v>7587</v>
      </c>
      <c r="C293" s="390" t="s">
        <v>16588</v>
      </c>
      <c r="D293" s="408"/>
      <c r="E293" s="409"/>
      <c r="F293" s="409"/>
      <c r="G293" s="409"/>
      <c r="H293" s="411"/>
      <c r="Q293" s="395"/>
      <c r="R293" s="151"/>
      <c r="S293" s="151"/>
      <c r="U293" s="387"/>
      <c r="V293" s="343"/>
      <c r="W293" s="343"/>
      <c r="X293" s="343"/>
      <c r="Y293" s="343"/>
      <c r="Z293" s="343"/>
      <c r="AA293" s="343"/>
      <c r="AB293" s="343"/>
      <c r="AC293" s="343"/>
      <c r="AD293" s="343"/>
      <c r="AE293" s="343"/>
      <c r="AF293" s="343"/>
      <c r="AG293" s="343"/>
      <c r="AH293" s="343"/>
      <c r="AI293" s="343"/>
      <c r="AJ293" s="343"/>
      <c r="AK293" s="343"/>
      <c r="AL293" s="114" t="s">
        <v>15628</v>
      </c>
      <c r="AM293" s="396"/>
      <c r="AN293" s="396"/>
      <c r="AO293" s="396"/>
      <c r="AP293" s="396"/>
      <c r="AQ293" s="396"/>
      <c r="AR293" s="396"/>
      <c r="AS293" s="397"/>
      <c r="AT293" s="901" t="s">
        <v>15636</v>
      </c>
      <c r="AU293" s="902"/>
      <c r="AV293" s="902"/>
      <c r="AW293" s="903"/>
      <c r="AX293" s="489">
        <f>ROUND(ROUND(Q288*AR294,0)*AT294,0)</f>
        <v>54</v>
      </c>
      <c r="AY293" s="393"/>
    </row>
    <row r="294" spans="1:51" ht="16.5" customHeight="1" x14ac:dyDescent="0.15">
      <c r="A294" s="340">
        <v>12</v>
      </c>
      <c r="B294" s="341">
        <v>7588</v>
      </c>
      <c r="C294" s="390" t="s">
        <v>16589</v>
      </c>
      <c r="D294" s="412"/>
      <c r="E294" s="413"/>
      <c r="F294" s="413"/>
      <c r="G294" s="413"/>
      <c r="H294" s="415"/>
      <c r="I294" s="325"/>
      <c r="J294" s="325"/>
      <c r="K294" s="325"/>
      <c r="L294" s="325"/>
      <c r="M294" s="325"/>
      <c r="N294" s="325"/>
      <c r="O294" s="325"/>
      <c r="P294" s="325"/>
      <c r="Q294" s="416"/>
      <c r="R294" s="417"/>
      <c r="S294" s="417"/>
      <c r="T294" s="325"/>
      <c r="U294" s="388"/>
      <c r="V294" s="343" t="s">
        <v>15625</v>
      </c>
      <c r="W294" s="325"/>
      <c r="X294" s="325"/>
      <c r="Y294" s="325"/>
      <c r="Z294" s="325"/>
      <c r="AA294" s="325"/>
      <c r="AB294" s="325"/>
      <c r="AC294" s="325"/>
      <c r="AD294" s="325"/>
      <c r="AE294" s="325"/>
      <c r="AF294" s="325"/>
      <c r="AG294" s="325"/>
      <c r="AH294" s="325"/>
      <c r="AI294" s="391" t="s">
        <v>15626</v>
      </c>
      <c r="AJ294" s="838">
        <f>AJ292</f>
        <v>1</v>
      </c>
      <c r="AK294" s="843"/>
      <c r="AL294" s="324" t="s">
        <v>15630</v>
      </c>
      <c r="AM294" s="325"/>
      <c r="AN294" s="325"/>
      <c r="AO294" s="325"/>
      <c r="AP294" s="325"/>
      <c r="AQ294" s="190" t="s">
        <v>398</v>
      </c>
      <c r="AR294" s="844">
        <f>AR290</f>
        <v>0.85</v>
      </c>
      <c r="AS294" s="844"/>
      <c r="AT294" s="907">
        <f>AT286</f>
        <v>0.8</v>
      </c>
      <c r="AU294" s="844"/>
      <c r="AV294" s="844"/>
      <c r="AW294" s="845"/>
      <c r="AX294" s="491">
        <f>ROUND(ROUND(ROUND(Q288*AJ294,0)*AR294,0)*AT294,0)</f>
        <v>54</v>
      </c>
      <c r="AY294" s="418"/>
    </row>
    <row r="298" spans="1:51" ht="17.100000000000001" customHeight="1" x14ac:dyDescent="0.15">
      <c r="AN298" s="151"/>
      <c r="AO298" s="377"/>
      <c r="AP298" s="151"/>
      <c r="AR298" s="151"/>
    </row>
  </sheetData>
  <mergeCells count="447">
    <mergeCell ref="AT293:AW293"/>
    <mergeCell ref="AJ294:AK294"/>
    <mergeCell ref="AR294:AS294"/>
    <mergeCell ref="AT294:AW294"/>
    <mergeCell ref="I287:U287"/>
    <mergeCell ref="Q288:S288"/>
    <mergeCell ref="AJ288:AK288"/>
    <mergeCell ref="AJ290:AK290"/>
    <mergeCell ref="AR290:AS290"/>
    <mergeCell ref="AT291:AW292"/>
    <mergeCell ref="Q292:S292"/>
    <mergeCell ref="AJ292:AK292"/>
    <mergeCell ref="AT283:AW284"/>
    <mergeCell ref="Q284:S284"/>
    <mergeCell ref="AJ284:AK284"/>
    <mergeCell ref="AT285:AW285"/>
    <mergeCell ref="AJ286:AK286"/>
    <mergeCell ref="AR286:AS286"/>
    <mergeCell ref="AT286:AW286"/>
    <mergeCell ref="AJ278:AK278"/>
    <mergeCell ref="AR278:AS278"/>
    <mergeCell ref="AT278:AW278"/>
    <mergeCell ref="D279:H282"/>
    <mergeCell ref="I279:U279"/>
    <mergeCell ref="Q280:S280"/>
    <mergeCell ref="AJ280:AK280"/>
    <mergeCell ref="AJ282:AK282"/>
    <mergeCell ref="AR282:AS282"/>
    <mergeCell ref="AJ274:AK274"/>
    <mergeCell ref="AR274:AS274"/>
    <mergeCell ref="AT275:AW276"/>
    <mergeCell ref="Q276:S276"/>
    <mergeCell ref="AJ276:AK276"/>
    <mergeCell ref="AT277:AW277"/>
    <mergeCell ref="AJ270:AK270"/>
    <mergeCell ref="AR270:AS270"/>
    <mergeCell ref="AT270:AW270"/>
    <mergeCell ref="I271:U271"/>
    <mergeCell ref="Q272:S272"/>
    <mergeCell ref="AJ272:AK272"/>
    <mergeCell ref="AJ266:AK266"/>
    <mergeCell ref="AR266:AS266"/>
    <mergeCell ref="AT267:AW268"/>
    <mergeCell ref="Q268:S268"/>
    <mergeCell ref="AJ268:AK268"/>
    <mergeCell ref="AT269:AW269"/>
    <mergeCell ref="AJ262:AK262"/>
    <mergeCell ref="AR262:AS262"/>
    <mergeCell ref="AT262:AW262"/>
    <mergeCell ref="I263:U263"/>
    <mergeCell ref="Q264:S264"/>
    <mergeCell ref="AJ264:AK264"/>
    <mergeCell ref="AJ258:AK258"/>
    <mergeCell ref="AR258:AS258"/>
    <mergeCell ref="AT259:AW260"/>
    <mergeCell ref="Q260:S260"/>
    <mergeCell ref="AJ260:AK260"/>
    <mergeCell ref="AT261:AW261"/>
    <mergeCell ref="AJ254:AK254"/>
    <mergeCell ref="AR254:AS254"/>
    <mergeCell ref="AT254:AW254"/>
    <mergeCell ref="I255:U255"/>
    <mergeCell ref="Q256:S256"/>
    <mergeCell ref="AJ256:AK256"/>
    <mergeCell ref="AJ250:AK250"/>
    <mergeCell ref="AR250:AS250"/>
    <mergeCell ref="AT251:AW252"/>
    <mergeCell ref="Q252:S252"/>
    <mergeCell ref="AJ252:AK252"/>
    <mergeCell ref="AT253:AW253"/>
    <mergeCell ref="AJ246:AK246"/>
    <mergeCell ref="AR246:AS246"/>
    <mergeCell ref="AT246:AW246"/>
    <mergeCell ref="I247:U247"/>
    <mergeCell ref="Q248:S248"/>
    <mergeCell ref="AJ248:AK248"/>
    <mergeCell ref="AJ242:AK242"/>
    <mergeCell ref="AR242:AS242"/>
    <mergeCell ref="AT243:AW244"/>
    <mergeCell ref="Q244:S244"/>
    <mergeCell ref="AJ244:AK244"/>
    <mergeCell ref="AT245:AW245"/>
    <mergeCell ref="AJ238:AK238"/>
    <mergeCell ref="AR238:AS238"/>
    <mergeCell ref="AT238:AW238"/>
    <mergeCell ref="I239:U239"/>
    <mergeCell ref="Q240:S240"/>
    <mergeCell ref="AJ240:AK240"/>
    <mergeCell ref="AJ234:AK234"/>
    <mergeCell ref="AR234:AS234"/>
    <mergeCell ref="AT235:AW236"/>
    <mergeCell ref="Q236:S236"/>
    <mergeCell ref="AJ236:AK236"/>
    <mergeCell ref="AT237:AW237"/>
    <mergeCell ref="AJ230:AK230"/>
    <mergeCell ref="AR230:AS230"/>
    <mergeCell ref="AT230:AW230"/>
    <mergeCell ref="I231:U231"/>
    <mergeCell ref="Q232:S232"/>
    <mergeCell ref="AJ232:AK232"/>
    <mergeCell ref="AJ226:AK226"/>
    <mergeCell ref="AR226:AS226"/>
    <mergeCell ref="AT227:AW228"/>
    <mergeCell ref="Q228:S228"/>
    <mergeCell ref="AJ228:AK228"/>
    <mergeCell ref="AT229:AW229"/>
    <mergeCell ref="AJ222:AK222"/>
    <mergeCell ref="AR222:AS222"/>
    <mergeCell ref="AT222:AW222"/>
    <mergeCell ref="I223:U223"/>
    <mergeCell ref="Q224:S224"/>
    <mergeCell ref="AJ224:AK224"/>
    <mergeCell ref="AJ218:AK218"/>
    <mergeCell ref="AR218:AS218"/>
    <mergeCell ref="AT219:AW220"/>
    <mergeCell ref="Q220:S220"/>
    <mergeCell ref="AJ220:AK220"/>
    <mergeCell ref="AT221:AW221"/>
    <mergeCell ref="AT213:AW213"/>
    <mergeCell ref="AJ214:AK214"/>
    <mergeCell ref="AR214:AS214"/>
    <mergeCell ref="AT214:AW214"/>
    <mergeCell ref="I215:U215"/>
    <mergeCell ref="Q216:S216"/>
    <mergeCell ref="AJ216:AK216"/>
    <mergeCell ref="I207:U207"/>
    <mergeCell ref="Q208:S208"/>
    <mergeCell ref="AJ208:AK208"/>
    <mergeCell ref="AJ210:AK210"/>
    <mergeCell ref="AR210:AS210"/>
    <mergeCell ref="AT211:AW212"/>
    <mergeCell ref="Q212:S212"/>
    <mergeCell ref="AJ212:AK212"/>
    <mergeCell ref="AT203:AW204"/>
    <mergeCell ref="Q204:S204"/>
    <mergeCell ref="AJ204:AK204"/>
    <mergeCell ref="AT205:AW205"/>
    <mergeCell ref="AJ206:AK206"/>
    <mergeCell ref="AR206:AS206"/>
    <mergeCell ref="AT206:AW206"/>
    <mergeCell ref="AJ198:AK198"/>
    <mergeCell ref="AR198:AS198"/>
    <mergeCell ref="AT198:AW198"/>
    <mergeCell ref="D199:H202"/>
    <mergeCell ref="I199:U199"/>
    <mergeCell ref="Q200:S200"/>
    <mergeCell ref="AJ200:AK200"/>
    <mergeCell ref="AJ202:AK202"/>
    <mergeCell ref="AR202:AS202"/>
    <mergeCell ref="AJ194:AK194"/>
    <mergeCell ref="AR194:AS194"/>
    <mergeCell ref="AT195:AW196"/>
    <mergeCell ref="Q196:S196"/>
    <mergeCell ref="AJ196:AK196"/>
    <mergeCell ref="AT197:AW197"/>
    <mergeCell ref="AJ190:AK190"/>
    <mergeCell ref="AR190:AS190"/>
    <mergeCell ref="AT190:AW190"/>
    <mergeCell ref="I191:U191"/>
    <mergeCell ref="Q192:S192"/>
    <mergeCell ref="AJ192:AK192"/>
    <mergeCell ref="D187:H188"/>
    <mergeCell ref="AT187:AW188"/>
    <mergeCell ref="Q188:S188"/>
    <mergeCell ref="AJ188:AK188"/>
    <mergeCell ref="F189:H189"/>
    <mergeCell ref="AT189:AW189"/>
    <mergeCell ref="AJ182:AK182"/>
    <mergeCell ref="AR182:AS182"/>
    <mergeCell ref="AT182:AW182"/>
    <mergeCell ref="D183:H186"/>
    <mergeCell ref="I183:U183"/>
    <mergeCell ref="Q184:S184"/>
    <mergeCell ref="AJ184:AK184"/>
    <mergeCell ref="AJ186:AK186"/>
    <mergeCell ref="AR186:AS186"/>
    <mergeCell ref="AJ178:AK178"/>
    <mergeCell ref="AR178:AS178"/>
    <mergeCell ref="AT179:AW180"/>
    <mergeCell ref="Q180:S180"/>
    <mergeCell ref="AJ180:AK180"/>
    <mergeCell ref="AT181:AW181"/>
    <mergeCell ref="AJ174:AK174"/>
    <mergeCell ref="AR174:AS174"/>
    <mergeCell ref="AT174:AW174"/>
    <mergeCell ref="I175:U175"/>
    <mergeCell ref="Q176:S176"/>
    <mergeCell ref="AJ176:AK176"/>
    <mergeCell ref="AJ170:AK170"/>
    <mergeCell ref="AR170:AS170"/>
    <mergeCell ref="AT171:AW172"/>
    <mergeCell ref="Q172:S172"/>
    <mergeCell ref="AJ172:AK172"/>
    <mergeCell ref="AT173:AW173"/>
    <mergeCell ref="AJ166:AK166"/>
    <mergeCell ref="AR166:AS166"/>
    <mergeCell ref="AT166:AW166"/>
    <mergeCell ref="I167:U167"/>
    <mergeCell ref="Q168:S168"/>
    <mergeCell ref="AJ168:AK168"/>
    <mergeCell ref="AJ162:AK162"/>
    <mergeCell ref="AR162:AS162"/>
    <mergeCell ref="AT163:AW164"/>
    <mergeCell ref="Q164:S164"/>
    <mergeCell ref="AJ164:AK164"/>
    <mergeCell ref="AT165:AW165"/>
    <mergeCell ref="AJ158:AK158"/>
    <mergeCell ref="AR158:AS158"/>
    <mergeCell ref="AT158:AW158"/>
    <mergeCell ref="I159:U159"/>
    <mergeCell ref="Q160:S160"/>
    <mergeCell ref="AJ160:AK160"/>
    <mergeCell ref="AJ154:AK154"/>
    <mergeCell ref="AR154:AS154"/>
    <mergeCell ref="AT155:AW156"/>
    <mergeCell ref="Q156:S156"/>
    <mergeCell ref="AJ156:AK156"/>
    <mergeCell ref="AT157:AW157"/>
    <mergeCell ref="AJ150:AK150"/>
    <mergeCell ref="AR150:AS150"/>
    <mergeCell ref="AT150:AW150"/>
    <mergeCell ref="I151:U151"/>
    <mergeCell ref="Q152:S152"/>
    <mergeCell ref="AJ152:AK152"/>
    <mergeCell ref="AJ146:AK146"/>
    <mergeCell ref="AR146:AS146"/>
    <mergeCell ref="AT147:AW148"/>
    <mergeCell ref="Q148:S148"/>
    <mergeCell ref="AJ148:AK148"/>
    <mergeCell ref="AT149:AW149"/>
    <mergeCell ref="AJ142:AK142"/>
    <mergeCell ref="AR142:AS142"/>
    <mergeCell ref="AT142:AW142"/>
    <mergeCell ref="I143:U143"/>
    <mergeCell ref="Q144:S144"/>
    <mergeCell ref="AJ144:AK144"/>
    <mergeCell ref="AJ138:AK138"/>
    <mergeCell ref="AR138:AS138"/>
    <mergeCell ref="AT139:AW140"/>
    <mergeCell ref="Q140:S140"/>
    <mergeCell ref="AJ140:AK140"/>
    <mergeCell ref="AT141:AW141"/>
    <mergeCell ref="AJ134:AK134"/>
    <mergeCell ref="AR134:AS134"/>
    <mergeCell ref="AT134:AW134"/>
    <mergeCell ref="I135:U135"/>
    <mergeCell ref="Q136:S136"/>
    <mergeCell ref="AJ136:AK136"/>
    <mergeCell ref="AJ130:AK130"/>
    <mergeCell ref="AR130:AS130"/>
    <mergeCell ref="AT131:AW132"/>
    <mergeCell ref="Q132:S132"/>
    <mergeCell ref="AJ132:AK132"/>
    <mergeCell ref="AT133:AW133"/>
    <mergeCell ref="AJ126:AK126"/>
    <mergeCell ref="AR126:AS126"/>
    <mergeCell ref="AT126:AW126"/>
    <mergeCell ref="I127:U127"/>
    <mergeCell ref="Q128:S128"/>
    <mergeCell ref="AJ128:AK128"/>
    <mergeCell ref="AJ122:AK122"/>
    <mergeCell ref="AR122:AS122"/>
    <mergeCell ref="AT123:AW124"/>
    <mergeCell ref="Q124:S124"/>
    <mergeCell ref="AJ124:AK124"/>
    <mergeCell ref="AT125:AW125"/>
    <mergeCell ref="AJ118:AK118"/>
    <mergeCell ref="AR118:AS118"/>
    <mergeCell ref="AT118:AW118"/>
    <mergeCell ref="I119:U119"/>
    <mergeCell ref="Q120:S120"/>
    <mergeCell ref="AJ120:AK120"/>
    <mergeCell ref="AJ114:AK114"/>
    <mergeCell ref="AR114:AS114"/>
    <mergeCell ref="AT115:AW116"/>
    <mergeCell ref="Q116:S116"/>
    <mergeCell ref="AJ116:AK116"/>
    <mergeCell ref="AT117:AW117"/>
    <mergeCell ref="AJ110:AK110"/>
    <mergeCell ref="AR110:AS110"/>
    <mergeCell ref="AT110:AW110"/>
    <mergeCell ref="I111:U111"/>
    <mergeCell ref="Q112:S112"/>
    <mergeCell ref="AJ112:AK112"/>
    <mergeCell ref="D107:H108"/>
    <mergeCell ref="AT107:AW108"/>
    <mergeCell ref="Q108:S108"/>
    <mergeCell ref="AJ108:AK108"/>
    <mergeCell ref="F109:H109"/>
    <mergeCell ref="AT109:AW109"/>
    <mergeCell ref="AJ102:AK102"/>
    <mergeCell ref="AR102:AS102"/>
    <mergeCell ref="AT102:AW102"/>
    <mergeCell ref="D103:H106"/>
    <mergeCell ref="I103:U103"/>
    <mergeCell ref="Q104:S104"/>
    <mergeCell ref="AJ104:AK104"/>
    <mergeCell ref="AJ106:AK106"/>
    <mergeCell ref="AR106:AS106"/>
    <mergeCell ref="AJ98:AK98"/>
    <mergeCell ref="AR98:AS98"/>
    <mergeCell ref="AT99:AW100"/>
    <mergeCell ref="Q100:S100"/>
    <mergeCell ref="AJ100:AK100"/>
    <mergeCell ref="AT101:AW101"/>
    <mergeCell ref="AJ94:AK94"/>
    <mergeCell ref="AR94:AS94"/>
    <mergeCell ref="AT94:AW94"/>
    <mergeCell ref="I95:U95"/>
    <mergeCell ref="Q96:S96"/>
    <mergeCell ref="AJ96:AK96"/>
    <mergeCell ref="D91:H92"/>
    <mergeCell ref="AT91:AW92"/>
    <mergeCell ref="Q92:S92"/>
    <mergeCell ref="AJ92:AK92"/>
    <mergeCell ref="F93:H93"/>
    <mergeCell ref="AT93:AW93"/>
    <mergeCell ref="AJ86:AK86"/>
    <mergeCell ref="AR86:AS86"/>
    <mergeCell ref="AT86:AW86"/>
    <mergeCell ref="D87:H90"/>
    <mergeCell ref="I87:U87"/>
    <mergeCell ref="Q88:S88"/>
    <mergeCell ref="AJ88:AK88"/>
    <mergeCell ref="AJ90:AK90"/>
    <mergeCell ref="AR90:AS90"/>
    <mergeCell ref="AJ82:AK82"/>
    <mergeCell ref="AR82:AS82"/>
    <mergeCell ref="AT83:AW84"/>
    <mergeCell ref="Q84:S84"/>
    <mergeCell ref="AJ84:AK84"/>
    <mergeCell ref="AT85:AW85"/>
    <mergeCell ref="AJ78:AK78"/>
    <mergeCell ref="AR78:AS78"/>
    <mergeCell ref="AT78:AW78"/>
    <mergeCell ref="I79:U79"/>
    <mergeCell ref="Q80:S80"/>
    <mergeCell ref="AJ80:AK80"/>
    <mergeCell ref="AJ74:AK74"/>
    <mergeCell ref="AR74:AS74"/>
    <mergeCell ref="AT75:AW76"/>
    <mergeCell ref="Q76:S76"/>
    <mergeCell ref="AJ76:AK76"/>
    <mergeCell ref="AT77:AW77"/>
    <mergeCell ref="AJ70:AK70"/>
    <mergeCell ref="AR70:AS70"/>
    <mergeCell ref="AT70:AW70"/>
    <mergeCell ref="I71:U71"/>
    <mergeCell ref="Q72:S72"/>
    <mergeCell ref="AJ72:AK72"/>
    <mergeCell ref="AJ66:AK66"/>
    <mergeCell ref="AR66:AS66"/>
    <mergeCell ref="AT67:AW68"/>
    <mergeCell ref="Q68:S68"/>
    <mergeCell ref="AJ68:AK68"/>
    <mergeCell ref="AT69:AW69"/>
    <mergeCell ref="AJ62:AK62"/>
    <mergeCell ref="AR62:AS62"/>
    <mergeCell ref="AT62:AW62"/>
    <mergeCell ref="I63:U63"/>
    <mergeCell ref="Q64:S64"/>
    <mergeCell ref="AJ64:AK64"/>
    <mergeCell ref="AJ58:AK58"/>
    <mergeCell ref="AR58:AS58"/>
    <mergeCell ref="AT59:AW60"/>
    <mergeCell ref="Q60:S60"/>
    <mergeCell ref="AJ60:AK60"/>
    <mergeCell ref="AT61:AW61"/>
    <mergeCell ref="AJ54:AK54"/>
    <mergeCell ref="AR54:AS54"/>
    <mergeCell ref="AT54:AW54"/>
    <mergeCell ref="I55:U55"/>
    <mergeCell ref="Q56:S56"/>
    <mergeCell ref="AJ56:AK56"/>
    <mergeCell ref="AJ50:AK50"/>
    <mergeCell ref="AR50:AS50"/>
    <mergeCell ref="AT51:AW52"/>
    <mergeCell ref="Q52:S52"/>
    <mergeCell ref="AJ52:AK52"/>
    <mergeCell ref="AT53:AW53"/>
    <mergeCell ref="AJ46:AK46"/>
    <mergeCell ref="AR46:AS46"/>
    <mergeCell ref="AT46:AW46"/>
    <mergeCell ref="I47:U47"/>
    <mergeCell ref="Q48:S48"/>
    <mergeCell ref="AJ48:AK48"/>
    <mergeCell ref="AJ42:AK42"/>
    <mergeCell ref="AR42:AS42"/>
    <mergeCell ref="AT43:AW44"/>
    <mergeCell ref="Q44:S44"/>
    <mergeCell ref="AJ44:AK44"/>
    <mergeCell ref="AT45:AW45"/>
    <mergeCell ref="AJ38:AK38"/>
    <mergeCell ref="AR38:AS38"/>
    <mergeCell ref="AT38:AW38"/>
    <mergeCell ref="I39:U39"/>
    <mergeCell ref="Q40:S40"/>
    <mergeCell ref="AJ40:AK40"/>
    <mergeCell ref="AJ34:AK34"/>
    <mergeCell ref="AR34:AS34"/>
    <mergeCell ref="AT35:AW36"/>
    <mergeCell ref="Q36:S36"/>
    <mergeCell ref="AJ36:AK36"/>
    <mergeCell ref="AT37:AW37"/>
    <mergeCell ref="AJ30:AK30"/>
    <mergeCell ref="AR30:AS30"/>
    <mergeCell ref="AT30:AW30"/>
    <mergeCell ref="I31:U31"/>
    <mergeCell ref="Q32:S32"/>
    <mergeCell ref="AJ32:AK32"/>
    <mergeCell ref="AJ26:AK26"/>
    <mergeCell ref="AR26:AS26"/>
    <mergeCell ref="AT27:AW28"/>
    <mergeCell ref="Q28:S28"/>
    <mergeCell ref="AJ28:AK28"/>
    <mergeCell ref="AT29:AW29"/>
    <mergeCell ref="AJ22:AK22"/>
    <mergeCell ref="AR22:AS22"/>
    <mergeCell ref="AT22:AW22"/>
    <mergeCell ref="I23:U23"/>
    <mergeCell ref="Q24:S24"/>
    <mergeCell ref="AJ24:AK24"/>
    <mergeCell ref="AJ18:AK18"/>
    <mergeCell ref="AR18:AS18"/>
    <mergeCell ref="AT19:AW20"/>
    <mergeCell ref="Q20:S20"/>
    <mergeCell ref="AJ20:AK20"/>
    <mergeCell ref="AT21:AW21"/>
    <mergeCell ref="AJ14:AK14"/>
    <mergeCell ref="AR14:AS14"/>
    <mergeCell ref="AT14:AW14"/>
    <mergeCell ref="I15:U15"/>
    <mergeCell ref="Q16:S16"/>
    <mergeCell ref="AJ16:AK16"/>
    <mergeCell ref="D11:H12"/>
    <mergeCell ref="AT11:AW12"/>
    <mergeCell ref="Q12:S12"/>
    <mergeCell ref="AJ12:AK12"/>
    <mergeCell ref="F13:H13"/>
    <mergeCell ref="AT13:AW13"/>
    <mergeCell ref="D5:AW5"/>
    <mergeCell ref="D7:H10"/>
    <mergeCell ref="I7:U7"/>
    <mergeCell ref="Q8:S8"/>
    <mergeCell ref="AJ8:AK8"/>
    <mergeCell ref="AJ10:AK10"/>
    <mergeCell ref="AR10:AS10"/>
  </mergeCells>
  <phoneticPr fontId="1"/>
  <printOptions horizontalCentered="1"/>
  <pageMargins left="0.39370078740157483" right="0.19685039370078741" top="0.78740157480314965" bottom="0.59055118110236227" header="0.51181102362204722" footer="0.31496062992125984"/>
  <pageSetup paperSize="9" scale="55" orientation="portrait" r:id="rId1"/>
  <headerFooter>
    <oddHeader>&amp;R&amp;9重度訪問介護</oddHeader>
    <oddFooter>&amp;C&amp;14&amp;P</oddFooter>
  </headerFooter>
  <rowBreaks count="5" manualBreakCount="5">
    <brk id="86" max="50" man="1"/>
    <brk id="102" max="50" man="1"/>
    <brk id="182" max="50" man="1"/>
    <brk id="198" max="50" man="1"/>
    <brk id="278" max="50"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7">
    <pageSetUpPr autoPageBreaks="0"/>
  </sheetPr>
  <dimension ref="A1:BA298"/>
  <sheetViews>
    <sheetView view="pageBreakPreview" zoomScaleNormal="100" zoomScaleSheetLayoutView="100" workbookViewId="0"/>
  </sheetViews>
  <sheetFormatPr defaultColWidth="9" defaultRowHeight="17.100000000000001" customHeight="1" x14ac:dyDescent="0.15"/>
  <cols>
    <col min="1" max="1" width="4.5" style="151" customWidth="1"/>
    <col min="2" max="2" width="7.5" style="151" customWidth="1"/>
    <col min="3" max="3" width="32.5" style="151" bestFit="1" customWidth="1"/>
    <col min="4" max="42" width="2.5" style="152" customWidth="1"/>
    <col min="43" max="43" width="2.5" style="151" customWidth="1"/>
    <col min="44" max="44" width="2.5" style="377" customWidth="1"/>
    <col min="45" max="47" width="2.5" style="151" customWidth="1"/>
    <col min="48" max="51" width="2.5" style="152" customWidth="1"/>
    <col min="52" max="52" width="7.125" style="151" customWidth="1"/>
    <col min="53" max="53" width="8.5" style="151" customWidth="1"/>
    <col min="54" max="16384" width="9" style="151"/>
  </cols>
  <sheetData>
    <row r="1" spans="1:53" ht="17.100000000000001" customHeight="1" x14ac:dyDescent="0.15">
      <c r="A1" s="376"/>
    </row>
    <row r="2" spans="1:53" ht="17.100000000000001" customHeight="1" x14ac:dyDescent="0.15">
      <c r="A2" s="376"/>
    </row>
    <row r="3" spans="1:53" ht="17.100000000000001" customHeight="1" x14ac:dyDescent="0.15">
      <c r="A3" s="376"/>
    </row>
    <row r="4" spans="1:53" ht="17.100000000000001" customHeight="1" x14ac:dyDescent="0.15">
      <c r="B4" s="17" t="s">
        <v>16590</v>
      </c>
    </row>
    <row r="5" spans="1:53" s="309" customFormat="1" ht="17.100000000000001" customHeight="1" x14ac:dyDescent="0.15">
      <c r="A5" s="300" t="s">
        <v>15540</v>
      </c>
      <c r="B5" s="301"/>
      <c r="C5" s="302" t="s">
        <v>15541</v>
      </c>
      <c r="D5" s="890" t="s">
        <v>15618</v>
      </c>
      <c r="E5" s="891"/>
      <c r="F5" s="891"/>
      <c r="G5" s="891"/>
      <c r="H5" s="891"/>
      <c r="I5" s="891"/>
      <c r="J5" s="891"/>
      <c r="K5" s="891"/>
      <c r="L5" s="891"/>
      <c r="M5" s="891"/>
      <c r="N5" s="891"/>
      <c r="O5" s="891"/>
      <c r="P5" s="891"/>
      <c r="Q5" s="891"/>
      <c r="R5" s="891"/>
      <c r="S5" s="891"/>
      <c r="T5" s="891"/>
      <c r="U5" s="891"/>
      <c r="V5" s="891"/>
      <c r="W5" s="891"/>
      <c r="X5" s="891"/>
      <c r="Y5" s="891"/>
      <c r="Z5" s="891"/>
      <c r="AA5" s="891"/>
      <c r="AB5" s="891"/>
      <c r="AC5" s="891"/>
      <c r="AD5" s="891"/>
      <c r="AE5" s="891"/>
      <c r="AF5" s="891"/>
      <c r="AG5" s="891"/>
      <c r="AH5" s="891"/>
      <c r="AI5" s="891"/>
      <c r="AJ5" s="891"/>
      <c r="AK5" s="891"/>
      <c r="AL5" s="891"/>
      <c r="AM5" s="891"/>
      <c r="AN5" s="891"/>
      <c r="AO5" s="891"/>
      <c r="AP5" s="891"/>
      <c r="AQ5" s="891"/>
      <c r="AR5" s="891"/>
      <c r="AS5" s="891"/>
      <c r="AT5" s="891"/>
      <c r="AU5" s="891"/>
      <c r="AV5" s="891"/>
      <c r="AW5" s="891"/>
      <c r="AX5" s="891"/>
      <c r="AY5" s="892"/>
      <c r="AZ5" s="306" t="s">
        <v>15543</v>
      </c>
      <c r="BA5" s="378" t="s">
        <v>15544</v>
      </c>
    </row>
    <row r="6" spans="1:53" s="309" customFormat="1" ht="17.100000000000001" customHeight="1" x14ac:dyDescent="0.15">
      <c r="A6" s="379" t="s">
        <v>15545</v>
      </c>
      <c r="B6" s="380" t="s">
        <v>15546</v>
      </c>
      <c r="C6" s="381"/>
      <c r="D6" s="382"/>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c r="AT6" s="383"/>
      <c r="AU6" s="383"/>
      <c r="AV6" s="383"/>
      <c r="AW6" s="383"/>
      <c r="AX6" s="383"/>
      <c r="AY6" s="383"/>
      <c r="AZ6" s="384" t="s">
        <v>391</v>
      </c>
      <c r="BA6" s="385" t="s">
        <v>392</v>
      </c>
    </row>
    <row r="7" spans="1:53" ht="17.100000000000001" customHeight="1" x14ac:dyDescent="0.15">
      <c r="A7" s="321">
        <v>12</v>
      </c>
      <c r="B7" s="322">
        <v>7589</v>
      </c>
      <c r="C7" s="386" t="s">
        <v>16591</v>
      </c>
      <c r="D7" s="849" t="s">
        <v>15620</v>
      </c>
      <c r="E7" s="850"/>
      <c r="F7" s="850"/>
      <c r="G7" s="850"/>
      <c r="H7" s="852"/>
      <c r="I7" s="904" t="s">
        <v>15621</v>
      </c>
      <c r="J7" s="905"/>
      <c r="K7" s="905"/>
      <c r="L7" s="905"/>
      <c r="M7" s="905"/>
      <c r="N7" s="905"/>
      <c r="O7" s="905"/>
      <c r="P7" s="905"/>
      <c r="Q7" s="905"/>
      <c r="R7" s="905"/>
      <c r="S7" s="905"/>
      <c r="T7" s="905"/>
      <c r="U7" s="906"/>
      <c r="V7" s="325"/>
      <c r="W7" s="325"/>
      <c r="X7" s="325"/>
      <c r="Y7" s="325"/>
      <c r="Z7" s="325"/>
      <c r="AA7" s="325"/>
      <c r="AB7" s="325"/>
      <c r="AC7" s="325"/>
      <c r="AD7" s="325"/>
      <c r="AE7" s="325"/>
      <c r="AF7" s="325"/>
      <c r="AG7" s="325"/>
      <c r="AH7" s="325"/>
      <c r="AI7" s="325"/>
      <c r="AJ7" s="325"/>
      <c r="AK7" s="388"/>
      <c r="AQ7" s="152"/>
      <c r="AR7" s="152"/>
      <c r="AS7" s="152"/>
      <c r="AT7" s="912" t="s">
        <v>16592</v>
      </c>
      <c r="AU7" s="913"/>
      <c r="AV7" s="151"/>
      <c r="AW7" s="151"/>
      <c r="AY7" s="387"/>
      <c r="AZ7" s="488">
        <f>ROUND(Q8*$AT$16,0)</f>
        <v>266</v>
      </c>
      <c r="BA7" s="339" t="s">
        <v>15622</v>
      </c>
    </row>
    <row r="8" spans="1:53" ht="16.5" customHeight="1" x14ac:dyDescent="0.15">
      <c r="A8" s="340">
        <v>12</v>
      </c>
      <c r="B8" s="341">
        <v>7590</v>
      </c>
      <c r="C8" s="390" t="s">
        <v>16593</v>
      </c>
      <c r="D8" s="849"/>
      <c r="E8" s="850"/>
      <c r="F8" s="850"/>
      <c r="G8" s="850"/>
      <c r="H8" s="852"/>
      <c r="Q8" s="836">
        <f>ROUND(Q200*$F$13,0)</f>
        <v>213</v>
      </c>
      <c r="R8" s="911"/>
      <c r="S8" s="911"/>
      <c r="T8" s="152" t="s">
        <v>15624</v>
      </c>
      <c r="U8" s="387"/>
      <c r="V8" s="343" t="s">
        <v>15625</v>
      </c>
      <c r="W8" s="325"/>
      <c r="X8" s="325"/>
      <c r="Y8" s="325"/>
      <c r="Z8" s="325"/>
      <c r="AA8" s="325"/>
      <c r="AB8" s="325"/>
      <c r="AC8" s="325"/>
      <c r="AD8" s="325"/>
      <c r="AE8" s="325"/>
      <c r="AF8" s="325"/>
      <c r="AG8" s="325"/>
      <c r="AH8" s="325"/>
      <c r="AI8" s="391" t="s">
        <v>15626</v>
      </c>
      <c r="AJ8" s="838">
        <f>'2重度訪問'!AN8</f>
        <v>1</v>
      </c>
      <c r="AK8" s="839"/>
      <c r="AQ8" s="152"/>
      <c r="AR8" s="152"/>
      <c r="AS8" s="152"/>
      <c r="AT8" s="912"/>
      <c r="AU8" s="913"/>
      <c r="AY8" s="387"/>
      <c r="AZ8" s="489">
        <f>ROUND(ROUND(Q8*AJ8,0)*$AT$16,0)</f>
        <v>266</v>
      </c>
      <c r="BA8" s="393"/>
    </row>
    <row r="9" spans="1:53" ht="16.5" customHeight="1" x14ac:dyDescent="0.15">
      <c r="A9" s="287">
        <v>12</v>
      </c>
      <c r="B9" s="287">
        <v>7591</v>
      </c>
      <c r="C9" s="394" t="s">
        <v>16594</v>
      </c>
      <c r="D9" s="849"/>
      <c r="E9" s="850"/>
      <c r="F9" s="850"/>
      <c r="G9" s="850"/>
      <c r="H9" s="852"/>
      <c r="Q9" s="395"/>
      <c r="R9" s="151"/>
      <c r="S9" s="151"/>
      <c r="U9" s="387"/>
      <c r="V9" s="343"/>
      <c r="W9" s="343"/>
      <c r="X9" s="343"/>
      <c r="Y9" s="343"/>
      <c r="Z9" s="343"/>
      <c r="AA9" s="343"/>
      <c r="AB9" s="343"/>
      <c r="AC9" s="343"/>
      <c r="AD9" s="343"/>
      <c r="AE9" s="343"/>
      <c r="AF9" s="343"/>
      <c r="AG9" s="343"/>
      <c r="AH9" s="343"/>
      <c r="AI9" s="343"/>
      <c r="AJ9" s="343"/>
      <c r="AK9" s="343"/>
      <c r="AL9" s="114" t="s">
        <v>15628</v>
      </c>
      <c r="AM9" s="396"/>
      <c r="AN9" s="396"/>
      <c r="AO9" s="396"/>
      <c r="AP9" s="396"/>
      <c r="AQ9" s="396"/>
      <c r="AR9" s="396"/>
      <c r="AS9" s="396"/>
      <c r="AT9" s="912"/>
      <c r="AU9" s="913"/>
      <c r="AY9" s="387"/>
      <c r="AZ9" s="489">
        <f>ROUND(ROUND(Q8*AR10,0)*$AT$16,0)</f>
        <v>226</v>
      </c>
      <c r="BA9" s="393"/>
    </row>
    <row r="10" spans="1:53" ht="16.5" customHeight="1" x14ac:dyDescent="0.15">
      <c r="A10" s="287">
        <v>12</v>
      </c>
      <c r="B10" s="287">
        <v>7592</v>
      </c>
      <c r="C10" s="394" t="s">
        <v>16595</v>
      </c>
      <c r="D10" s="849"/>
      <c r="E10" s="850"/>
      <c r="F10" s="850"/>
      <c r="G10" s="850"/>
      <c r="H10" s="852"/>
      <c r="Q10" s="395"/>
      <c r="R10" s="151"/>
      <c r="S10" s="151"/>
      <c r="U10" s="387"/>
      <c r="V10" s="343" t="s">
        <v>15625</v>
      </c>
      <c r="W10" s="325"/>
      <c r="X10" s="325"/>
      <c r="Y10" s="325"/>
      <c r="Z10" s="325"/>
      <c r="AA10" s="325"/>
      <c r="AB10" s="325"/>
      <c r="AC10" s="325"/>
      <c r="AD10" s="325"/>
      <c r="AE10" s="325"/>
      <c r="AF10" s="325"/>
      <c r="AG10" s="325"/>
      <c r="AH10" s="325"/>
      <c r="AI10" s="391" t="s">
        <v>15626</v>
      </c>
      <c r="AJ10" s="838">
        <f>AJ8</f>
        <v>1</v>
      </c>
      <c r="AK10" s="843"/>
      <c r="AL10" s="324" t="s">
        <v>15630</v>
      </c>
      <c r="AM10" s="325"/>
      <c r="AN10" s="325"/>
      <c r="AO10" s="325"/>
      <c r="AP10" s="325"/>
      <c r="AQ10" s="190" t="s">
        <v>398</v>
      </c>
      <c r="AR10" s="844">
        <f>'2重度訪問'!AV10</f>
        <v>0.85</v>
      </c>
      <c r="AS10" s="844"/>
      <c r="AT10" s="912"/>
      <c r="AU10" s="913"/>
      <c r="AY10" s="387"/>
      <c r="AZ10" s="489">
        <f>ROUND(ROUND(ROUND(Q8*AJ10,0)*AR10,0)*$AT$16,0)</f>
        <v>226</v>
      </c>
      <c r="BA10" s="393"/>
    </row>
    <row r="11" spans="1:53" ht="17.100000000000001" customHeight="1" x14ac:dyDescent="0.15">
      <c r="A11" s="340">
        <v>12</v>
      </c>
      <c r="B11" s="341">
        <v>7593</v>
      </c>
      <c r="C11" s="390" t="s">
        <v>16596</v>
      </c>
      <c r="D11" s="832" t="s">
        <v>15632</v>
      </c>
      <c r="E11" s="833"/>
      <c r="F11" s="833"/>
      <c r="G11" s="833"/>
      <c r="H11" s="835"/>
      <c r="L11" s="151"/>
      <c r="M11" s="151"/>
      <c r="N11" s="151"/>
      <c r="U11" s="387"/>
      <c r="V11" s="343"/>
      <c r="W11" s="343"/>
      <c r="X11" s="343"/>
      <c r="Y11" s="343"/>
      <c r="Z11" s="343"/>
      <c r="AA11" s="343"/>
      <c r="AB11" s="343"/>
      <c r="AC11" s="343"/>
      <c r="AD11" s="343"/>
      <c r="AE11" s="343"/>
      <c r="AF11" s="343"/>
      <c r="AG11" s="343"/>
      <c r="AH11" s="343"/>
      <c r="AI11" s="343"/>
      <c r="AJ11" s="343"/>
      <c r="AK11" s="407"/>
      <c r="AL11" s="396"/>
      <c r="AM11" s="396"/>
      <c r="AN11" s="396"/>
      <c r="AO11" s="396"/>
      <c r="AP11" s="396"/>
      <c r="AQ11" s="396"/>
      <c r="AR11" s="396"/>
      <c r="AS11" s="396"/>
      <c r="AT11" s="912"/>
      <c r="AU11" s="913"/>
      <c r="AV11" s="858" t="s">
        <v>16296</v>
      </c>
      <c r="AW11" s="858"/>
      <c r="AX11" s="858"/>
      <c r="AY11" s="860"/>
      <c r="AZ11" s="489">
        <f>ROUND(ROUND(Q8*$AT$16,0)*AV14,0)</f>
        <v>213</v>
      </c>
      <c r="BA11" s="339"/>
    </row>
    <row r="12" spans="1:53" ht="16.5" customHeight="1" x14ac:dyDescent="0.15">
      <c r="A12" s="340">
        <v>12</v>
      </c>
      <c r="B12" s="341">
        <v>7594</v>
      </c>
      <c r="C12" s="390" t="s">
        <v>16597</v>
      </c>
      <c r="D12" s="832"/>
      <c r="E12" s="833"/>
      <c r="F12" s="833"/>
      <c r="G12" s="833"/>
      <c r="H12" s="835"/>
      <c r="Q12" s="899"/>
      <c r="R12" s="899"/>
      <c r="S12" s="899"/>
      <c r="U12" s="387"/>
      <c r="V12" s="343" t="s">
        <v>15625</v>
      </c>
      <c r="W12" s="325"/>
      <c r="X12" s="325"/>
      <c r="Y12" s="325"/>
      <c r="Z12" s="325"/>
      <c r="AA12" s="325"/>
      <c r="AB12" s="325"/>
      <c r="AC12" s="325"/>
      <c r="AD12" s="325"/>
      <c r="AE12" s="325"/>
      <c r="AF12" s="325"/>
      <c r="AG12" s="325"/>
      <c r="AH12" s="325"/>
      <c r="AI12" s="391" t="s">
        <v>15626</v>
      </c>
      <c r="AJ12" s="838">
        <f>AJ10</f>
        <v>1</v>
      </c>
      <c r="AK12" s="839"/>
      <c r="AQ12" s="152"/>
      <c r="AR12" s="152"/>
      <c r="AS12" s="152"/>
      <c r="AT12" s="912"/>
      <c r="AU12" s="913"/>
      <c r="AV12" s="850"/>
      <c r="AW12" s="850"/>
      <c r="AX12" s="850"/>
      <c r="AY12" s="852"/>
      <c r="AZ12" s="489">
        <f>ROUND(ROUND(ROUND(Q8*AJ12,0)*$AT$16,0)*AV14,0)</f>
        <v>213</v>
      </c>
      <c r="BA12" s="393"/>
    </row>
    <row r="13" spans="1:53" ht="16.5" customHeight="1" x14ac:dyDescent="0.15">
      <c r="A13" s="287">
        <v>12</v>
      </c>
      <c r="B13" s="287">
        <v>7595</v>
      </c>
      <c r="C13" s="394" t="s">
        <v>16598</v>
      </c>
      <c r="D13" s="403"/>
      <c r="E13" s="404" t="s">
        <v>15636</v>
      </c>
      <c r="F13" s="840">
        <f>'2重度訪問 (入院入所中)'!$F$13</f>
        <v>1.1499999999999999</v>
      </c>
      <c r="G13" s="841"/>
      <c r="H13" s="842"/>
      <c r="Q13" s="395"/>
      <c r="R13" s="151"/>
      <c r="S13" s="151"/>
      <c r="U13" s="387"/>
      <c r="V13" s="343"/>
      <c r="W13" s="343"/>
      <c r="X13" s="343"/>
      <c r="Y13" s="343"/>
      <c r="Z13" s="343"/>
      <c r="AA13" s="343"/>
      <c r="AB13" s="343"/>
      <c r="AC13" s="343"/>
      <c r="AD13" s="343"/>
      <c r="AE13" s="343"/>
      <c r="AF13" s="343"/>
      <c r="AG13" s="343"/>
      <c r="AH13" s="343"/>
      <c r="AI13" s="343"/>
      <c r="AJ13" s="343"/>
      <c r="AK13" s="343"/>
      <c r="AL13" s="114" t="s">
        <v>15628</v>
      </c>
      <c r="AM13" s="396"/>
      <c r="AN13" s="396"/>
      <c r="AO13" s="396"/>
      <c r="AP13" s="396"/>
      <c r="AQ13" s="396"/>
      <c r="AR13" s="396"/>
      <c r="AS13" s="396"/>
      <c r="AT13" s="912"/>
      <c r="AU13" s="913"/>
      <c r="AV13" s="902" t="s">
        <v>15636</v>
      </c>
      <c r="AW13" s="902"/>
      <c r="AX13" s="902"/>
      <c r="AY13" s="903"/>
      <c r="AZ13" s="489">
        <f>ROUND(ROUND(ROUND(Q8*AR14,0)*$AT$16,0)*AV14,0)</f>
        <v>181</v>
      </c>
      <c r="BA13" s="393"/>
    </row>
    <row r="14" spans="1:53" ht="16.5" customHeight="1" x14ac:dyDescent="0.15">
      <c r="A14" s="287">
        <v>12</v>
      </c>
      <c r="B14" s="287">
        <v>7596</v>
      </c>
      <c r="C14" s="394" t="s">
        <v>16599</v>
      </c>
      <c r="D14" s="403"/>
      <c r="E14" s="404"/>
      <c r="F14" s="404"/>
      <c r="G14" s="404"/>
      <c r="H14" s="406"/>
      <c r="Q14" s="395"/>
      <c r="R14" s="151"/>
      <c r="S14" s="151"/>
      <c r="U14" s="387"/>
      <c r="V14" s="343" t="s">
        <v>15625</v>
      </c>
      <c r="W14" s="325"/>
      <c r="X14" s="325"/>
      <c r="Y14" s="325"/>
      <c r="Z14" s="325"/>
      <c r="AA14" s="325"/>
      <c r="AB14" s="325"/>
      <c r="AC14" s="325"/>
      <c r="AD14" s="325"/>
      <c r="AE14" s="325"/>
      <c r="AF14" s="325"/>
      <c r="AG14" s="325"/>
      <c r="AH14" s="325"/>
      <c r="AI14" s="391" t="s">
        <v>15626</v>
      </c>
      <c r="AJ14" s="838">
        <f>AJ12</f>
        <v>1</v>
      </c>
      <c r="AK14" s="843"/>
      <c r="AL14" s="324" t="s">
        <v>15630</v>
      </c>
      <c r="AM14" s="325"/>
      <c r="AN14" s="325"/>
      <c r="AO14" s="325"/>
      <c r="AP14" s="325"/>
      <c r="AQ14" s="190" t="s">
        <v>398</v>
      </c>
      <c r="AR14" s="844">
        <f>AR10</f>
        <v>0.85</v>
      </c>
      <c r="AS14" s="844"/>
      <c r="AT14" s="912"/>
      <c r="AU14" s="913"/>
      <c r="AV14" s="844">
        <v>0.8</v>
      </c>
      <c r="AW14" s="844"/>
      <c r="AX14" s="844"/>
      <c r="AY14" s="845"/>
      <c r="AZ14" s="489">
        <f>ROUND(ROUND(ROUND(ROUND(Q8*AJ14,0)*AR14,0)*$AT$16,0)*AV14,0)</f>
        <v>181</v>
      </c>
      <c r="BA14" s="393"/>
    </row>
    <row r="15" spans="1:53" ht="16.5" customHeight="1" x14ac:dyDescent="0.15">
      <c r="A15" s="340">
        <v>12</v>
      </c>
      <c r="B15" s="341">
        <v>7597</v>
      </c>
      <c r="C15" s="390" t="s">
        <v>16600</v>
      </c>
      <c r="D15" s="494"/>
      <c r="E15" s="151"/>
      <c r="F15" s="151"/>
      <c r="G15" s="151"/>
      <c r="H15" s="495"/>
      <c r="I15" s="908" t="s">
        <v>15633</v>
      </c>
      <c r="J15" s="909"/>
      <c r="K15" s="909"/>
      <c r="L15" s="909"/>
      <c r="M15" s="909"/>
      <c r="N15" s="909"/>
      <c r="O15" s="909"/>
      <c r="P15" s="909"/>
      <c r="Q15" s="909"/>
      <c r="R15" s="909"/>
      <c r="S15" s="909"/>
      <c r="T15" s="909"/>
      <c r="U15" s="910"/>
      <c r="V15" s="343"/>
      <c r="W15" s="325"/>
      <c r="X15" s="325"/>
      <c r="Y15" s="325"/>
      <c r="Z15" s="325"/>
      <c r="AA15" s="325"/>
      <c r="AB15" s="325"/>
      <c r="AC15" s="325"/>
      <c r="AD15" s="325"/>
      <c r="AE15" s="325"/>
      <c r="AF15" s="325"/>
      <c r="AG15" s="325"/>
      <c r="AH15" s="325"/>
      <c r="AI15" s="391"/>
      <c r="AJ15" s="401"/>
      <c r="AK15" s="402"/>
      <c r="AQ15" s="152"/>
      <c r="AR15" s="152"/>
      <c r="AS15" s="152"/>
      <c r="AT15" s="912" t="s">
        <v>15636</v>
      </c>
      <c r="AU15" s="913"/>
      <c r="AV15" s="400"/>
      <c r="AW15" s="400"/>
      <c r="AX15" s="396"/>
      <c r="AY15" s="397"/>
      <c r="AZ15" s="489">
        <f>ROUND(Q16*$AT$16,0)</f>
        <v>130</v>
      </c>
      <c r="BA15" s="393"/>
    </row>
    <row r="16" spans="1:53" ht="16.5" customHeight="1" x14ac:dyDescent="0.15">
      <c r="A16" s="340">
        <v>12</v>
      </c>
      <c r="B16" s="341">
        <v>7598</v>
      </c>
      <c r="C16" s="390" t="s">
        <v>16601</v>
      </c>
      <c r="D16" s="494"/>
      <c r="E16" s="151"/>
      <c r="F16" s="151"/>
      <c r="G16" s="151"/>
      <c r="H16" s="495"/>
      <c r="Q16" s="836">
        <f>ROUND(Q208*$F$13,0)</f>
        <v>104</v>
      </c>
      <c r="R16" s="911"/>
      <c r="S16" s="911"/>
      <c r="T16" s="152" t="s">
        <v>15624</v>
      </c>
      <c r="U16" s="387"/>
      <c r="V16" s="343" t="s">
        <v>15625</v>
      </c>
      <c r="W16" s="325"/>
      <c r="X16" s="325"/>
      <c r="Y16" s="325"/>
      <c r="Z16" s="325"/>
      <c r="AA16" s="325"/>
      <c r="AB16" s="325"/>
      <c r="AC16" s="325"/>
      <c r="AD16" s="325"/>
      <c r="AE16" s="325"/>
      <c r="AF16" s="325"/>
      <c r="AG16" s="325"/>
      <c r="AH16" s="325"/>
      <c r="AI16" s="391" t="s">
        <v>15626</v>
      </c>
      <c r="AJ16" s="838">
        <f>AJ14</f>
        <v>1</v>
      </c>
      <c r="AK16" s="839"/>
      <c r="AQ16" s="152"/>
      <c r="AR16" s="152"/>
      <c r="AS16" s="152"/>
      <c r="AT16" s="914">
        <f>'2重度訪問（早朝）'!AU10</f>
        <v>1.25</v>
      </c>
      <c r="AU16" s="915"/>
      <c r="AY16" s="387"/>
      <c r="AZ16" s="489">
        <f>ROUND(ROUND(Q16*AJ16,0)*$AT$16,0)</f>
        <v>130</v>
      </c>
      <c r="BA16" s="393"/>
    </row>
    <row r="17" spans="1:53" ht="16.5" customHeight="1" x14ac:dyDescent="0.15">
      <c r="A17" s="287">
        <v>12</v>
      </c>
      <c r="B17" s="287">
        <v>7599</v>
      </c>
      <c r="C17" s="394" t="s">
        <v>16602</v>
      </c>
      <c r="D17" s="494"/>
      <c r="E17" s="151"/>
      <c r="F17" s="151"/>
      <c r="G17" s="151"/>
      <c r="H17" s="495"/>
      <c r="Q17" s="395"/>
      <c r="R17" s="151"/>
      <c r="S17" s="151"/>
      <c r="U17" s="387"/>
      <c r="V17" s="343"/>
      <c r="W17" s="343"/>
      <c r="X17" s="343"/>
      <c r="Y17" s="343"/>
      <c r="Z17" s="343"/>
      <c r="AA17" s="343"/>
      <c r="AB17" s="343"/>
      <c r="AC17" s="343"/>
      <c r="AD17" s="343"/>
      <c r="AE17" s="343"/>
      <c r="AF17" s="343"/>
      <c r="AG17" s="343"/>
      <c r="AH17" s="343"/>
      <c r="AI17" s="343"/>
      <c r="AJ17" s="343"/>
      <c r="AK17" s="343"/>
      <c r="AL17" s="114" t="s">
        <v>15628</v>
      </c>
      <c r="AM17" s="396"/>
      <c r="AN17" s="396"/>
      <c r="AO17" s="396"/>
      <c r="AP17" s="396"/>
      <c r="AQ17" s="396"/>
      <c r="AR17" s="396"/>
      <c r="AS17" s="396"/>
      <c r="AT17" s="499"/>
      <c r="AU17" s="500"/>
      <c r="AY17" s="387"/>
      <c r="AZ17" s="489">
        <f>ROUND(ROUND(Q16*AR18,0)*$AT$16,0)</f>
        <v>110</v>
      </c>
      <c r="BA17" s="393"/>
    </row>
    <row r="18" spans="1:53" ht="16.5" customHeight="1" x14ac:dyDescent="0.15">
      <c r="A18" s="287">
        <v>12</v>
      </c>
      <c r="B18" s="287">
        <v>7600</v>
      </c>
      <c r="C18" s="394" t="s">
        <v>16603</v>
      </c>
      <c r="D18" s="403"/>
      <c r="E18" s="404"/>
      <c r="F18" s="404"/>
      <c r="G18" s="404"/>
      <c r="H18" s="406"/>
      <c r="Q18" s="395"/>
      <c r="R18" s="151"/>
      <c r="S18" s="151"/>
      <c r="U18" s="387"/>
      <c r="V18" s="343" t="s">
        <v>15625</v>
      </c>
      <c r="W18" s="325"/>
      <c r="X18" s="325"/>
      <c r="Y18" s="325"/>
      <c r="Z18" s="325"/>
      <c r="AA18" s="325"/>
      <c r="AB18" s="325"/>
      <c r="AC18" s="325"/>
      <c r="AD18" s="325"/>
      <c r="AE18" s="325"/>
      <c r="AF18" s="325"/>
      <c r="AG18" s="325"/>
      <c r="AH18" s="325"/>
      <c r="AI18" s="391" t="s">
        <v>15626</v>
      </c>
      <c r="AJ18" s="838">
        <f>AJ16</f>
        <v>1</v>
      </c>
      <c r="AK18" s="843"/>
      <c r="AL18" s="324" t="s">
        <v>15630</v>
      </c>
      <c r="AM18" s="325"/>
      <c r="AN18" s="325"/>
      <c r="AO18" s="325"/>
      <c r="AP18" s="325"/>
      <c r="AQ18" s="190" t="s">
        <v>398</v>
      </c>
      <c r="AR18" s="844">
        <f>AR14</f>
        <v>0.85</v>
      </c>
      <c r="AS18" s="844"/>
      <c r="AT18" s="499"/>
      <c r="AU18" s="500"/>
      <c r="AY18" s="387"/>
      <c r="AZ18" s="489">
        <f>ROUND(ROUND(ROUND(Q16*AJ18,0)*AR18,0)*$AT$16,0)</f>
        <v>110</v>
      </c>
      <c r="BA18" s="393"/>
    </row>
    <row r="19" spans="1:53" ht="16.5" customHeight="1" x14ac:dyDescent="0.15">
      <c r="A19" s="340">
        <v>12</v>
      </c>
      <c r="B19" s="341">
        <v>7601</v>
      </c>
      <c r="C19" s="390" t="s">
        <v>16604</v>
      </c>
      <c r="D19" s="494"/>
      <c r="E19" s="151"/>
      <c r="F19" s="151"/>
      <c r="G19" s="151"/>
      <c r="H19" s="495"/>
      <c r="I19" s="254"/>
      <c r="Q19" s="395"/>
      <c r="R19" s="151"/>
      <c r="S19" s="151"/>
      <c r="U19" s="387"/>
      <c r="V19" s="343"/>
      <c r="W19" s="325"/>
      <c r="X19" s="325"/>
      <c r="Y19" s="325"/>
      <c r="Z19" s="325"/>
      <c r="AA19" s="325"/>
      <c r="AB19" s="325"/>
      <c r="AC19" s="325"/>
      <c r="AD19" s="325"/>
      <c r="AE19" s="325"/>
      <c r="AF19" s="325"/>
      <c r="AG19" s="325"/>
      <c r="AH19" s="325"/>
      <c r="AI19" s="391"/>
      <c r="AJ19" s="401"/>
      <c r="AK19" s="402"/>
      <c r="AQ19" s="152"/>
      <c r="AR19" s="152"/>
      <c r="AS19" s="152"/>
      <c r="AT19" s="490"/>
      <c r="AU19" s="387"/>
      <c r="AV19" s="858" t="s">
        <v>16296</v>
      </c>
      <c r="AW19" s="858"/>
      <c r="AX19" s="858"/>
      <c r="AY19" s="860"/>
      <c r="AZ19" s="489">
        <f>ROUND(ROUND(Q16*$AT$16,0)*AV22,0)</f>
        <v>104</v>
      </c>
      <c r="BA19" s="393"/>
    </row>
    <row r="20" spans="1:53" ht="16.5" customHeight="1" x14ac:dyDescent="0.15">
      <c r="A20" s="340">
        <v>12</v>
      </c>
      <c r="B20" s="341">
        <v>7602</v>
      </c>
      <c r="C20" s="390" t="s">
        <v>16605</v>
      </c>
      <c r="D20" s="494"/>
      <c r="E20" s="151"/>
      <c r="F20" s="151"/>
      <c r="G20" s="151"/>
      <c r="H20" s="495"/>
      <c r="Q20" s="899"/>
      <c r="R20" s="899"/>
      <c r="S20" s="899"/>
      <c r="U20" s="387"/>
      <c r="V20" s="343" t="s">
        <v>15625</v>
      </c>
      <c r="W20" s="325"/>
      <c r="X20" s="325"/>
      <c r="Y20" s="325"/>
      <c r="Z20" s="325"/>
      <c r="AA20" s="325"/>
      <c r="AB20" s="325"/>
      <c r="AC20" s="325"/>
      <c r="AD20" s="325"/>
      <c r="AE20" s="325"/>
      <c r="AF20" s="325"/>
      <c r="AG20" s="325"/>
      <c r="AH20" s="325"/>
      <c r="AI20" s="391" t="s">
        <v>15626</v>
      </c>
      <c r="AJ20" s="838">
        <f>AJ18</f>
        <v>1</v>
      </c>
      <c r="AK20" s="839"/>
      <c r="AQ20" s="152"/>
      <c r="AR20" s="152"/>
      <c r="AS20" s="152"/>
      <c r="AT20" s="490"/>
      <c r="AU20" s="387"/>
      <c r="AV20" s="850"/>
      <c r="AW20" s="850"/>
      <c r="AX20" s="850"/>
      <c r="AY20" s="852"/>
      <c r="AZ20" s="489">
        <f>ROUND(ROUND(ROUND(Q16*AJ20,0)*$AT$16,0)*AV22,0)</f>
        <v>104</v>
      </c>
      <c r="BA20" s="393"/>
    </row>
    <row r="21" spans="1:53" ht="16.5" customHeight="1" x14ac:dyDescent="0.15">
      <c r="A21" s="287">
        <v>12</v>
      </c>
      <c r="B21" s="287">
        <v>7603</v>
      </c>
      <c r="C21" s="394" t="s">
        <v>16606</v>
      </c>
      <c r="D21" s="494"/>
      <c r="E21" s="151"/>
      <c r="F21" s="151"/>
      <c r="G21" s="151"/>
      <c r="H21" s="495"/>
      <c r="Q21" s="395"/>
      <c r="R21" s="151"/>
      <c r="S21" s="151"/>
      <c r="U21" s="387"/>
      <c r="V21" s="343"/>
      <c r="W21" s="343"/>
      <c r="X21" s="343"/>
      <c r="Y21" s="343"/>
      <c r="Z21" s="343"/>
      <c r="AA21" s="343"/>
      <c r="AB21" s="343"/>
      <c r="AC21" s="343"/>
      <c r="AD21" s="343"/>
      <c r="AE21" s="343"/>
      <c r="AF21" s="343"/>
      <c r="AG21" s="343"/>
      <c r="AH21" s="343"/>
      <c r="AI21" s="343"/>
      <c r="AJ21" s="343"/>
      <c r="AK21" s="343"/>
      <c r="AL21" s="114" t="s">
        <v>15628</v>
      </c>
      <c r="AM21" s="396"/>
      <c r="AN21" s="396"/>
      <c r="AO21" s="396"/>
      <c r="AP21" s="396"/>
      <c r="AQ21" s="396"/>
      <c r="AR21" s="396"/>
      <c r="AS21" s="396"/>
      <c r="AT21" s="490"/>
      <c r="AU21" s="387"/>
      <c r="AV21" s="902" t="s">
        <v>15636</v>
      </c>
      <c r="AW21" s="902"/>
      <c r="AX21" s="902"/>
      <c r="AY21" s="903"/>
      <c r="AZ21" s="489">
        <f>ROUND(ROUND(ROUND(Q16*AR22,0)*$AT$16,0)*AV22,0)</f>
        <v>88</v>
      </c>
      <c r="BA21" s="393"/>
    </row>
    <row r="22" spans="1:53" ht="16.5" customHeight="1" x14ac:dyDescent="0.15">
      <c r="A22" s="287">
        <v>12</v>
      </c>
      <c r="B22" s="287">
        <v>7604</v>
      </c>
      <c r="C22" s="394" t="s">
        <v>16607</v>
      </c>
      <c r="D22" s="403"/>
      <c r="E22" s="404"/>
      <c r="F22" s="404"/>
      <c r="G22" s="404"/>
      <c r="H22" s="406"/>
      <c r="Q22" s="395"/>
      <c r="R22" s="151"/>
      <c r="S22" s="151"/>
      <c r="U22" s="387"/>
      <c r="V22" s="343" t="s">
        <v>15625</v>
      </c>
      <c r="W22" s="325"/>
      <c r="X22" s="325"/>
      <c r="Y22" s="325"/>
      <c r="Z22" s="325"/>
      <c r="AA22" s="325"/>
      <c r="AB22" s="325"/>
      <c r="AC22" s="325"/>
      <c r="AD22" s="325"/>
      <c r="AE22" s="325"/>
      <c r="AF22" s="325"/>
      <c r="AG22" s="325"/>
      <c r="AH22" s="325"/>
      <c r="AI22" s="391" t="s">
        <v>15626</v>
      </c>
      <c r="AJ22" s="838">
        <f>AJ20</f>
        <v>1</v>
      </c>
      <c r="AK22" s="843"/>
      <c r="AL22" s="324" t="s">
        <v>15630</v>
      </c>
      <c r="AM22" s="325"/>
      <c r="AN22" s="325"/>
      <c r="AO22" s="325"/>
      <c r="AP22" s="325"/>
      <c r="AQ22" s="190" t="s">
        <v>398</v>
      </c>
      <c r="AR22" s="844">
        <f>AR18</f>
        <v>0.85</v>
      </c>
      <c r="AS22" s="844"/>
      <c r="AT22" s="501"/>
      <c r="AU22" s="502"/>
      <c r="AV22" s="844">
        <f>AV14</f>
        <v>0.8</v>
      </c>
      <c r="AW22" s="844"/>
      <c r="AX22" s="844"/>
      <c r="AY22" s="845"/>
      <c r="AZ22" s="489">
        <f>ROUND(ROUND(ROUND(ROUND(Q16*AJ22,0)*AR22,0)*$AT$16,0)*AV22,0)</f>
        <v>88</v>
      </c>
      <c r="BA22" s="393"/>
    </row>
    <row r="23" spans="1:53" ht="16.5" customHeight="1" x14ac:dyDescent="0.15">
      <c r="A23" s="340">
        <v>12</v>
      </c>
      <c r="B23" s="341">
        <v>7605</v>
      </c>
      <c r="C23" s="390" t="s">
        <v>16608</v>
      </c>
      <c r="D23" s="403"/>
      <c r="E23" s="404"/>
      <c r="F23" s="404"/>
      <c r="G23" s="404"/>
      <c r="H23" s="406"/>
      <c r="I23" s="908" t="s">
        <v>16309</v>
      </c>
      <c r="J23" s="909"/>
      <c r="K23" s="909"/>
      <c r="L23" s="909"/>
      <c r="M23" s="909"/>
      <c r="N23" s="909"/>
      <c r="O23" s="909"/>
      <c r="P23" s="909"/>
      <c r="Q23" s="909"/>
      <c r="R23" s="909"/>
      <c r="S23" s="909"/>
      <c r="T23" s="909"/>
      <c r="U23" s="910"/>
      <c r="V23" s="343"/>
      <c r="W23" s="325"/>
      <c r="X23" s="325"/>
      <c r="Y23" s="325"/>
      <c r="Z23" s="325"/>
      <c r="AA23" s="325"/>
      <c r="AB23" s="325"/>
      <c r="AC23" s="325"/>
      <c r="AD23" s="325"/>
      <c r="AE23" s="325"/>
      <c r="AF23" s="325"/>
      <c r="AG23" s="325"/>
      <c r="AH23" s="325"/>
      <c r="AI23" s="391"/>
      <c r="AJ23" s="401"/>
      <c r="AK23" s="402"/>
      <c r="AL23" s="396"/>
      <c r="AM23" s="396"/>
      <c r="AN23" s="396"/>
      <c r="AO23" s="396"/>
      <c r="AP23" s="396"/>
      <c r="AQ23" s="396"/>
      <c r="AR23" s="396"/>
      <c r="AS23" s="396"/>
      <c r="AT23" s="490"/>
      <c r="AU23" s="387"/>
      <c r="AV23" s="400"/>
      <c r="AW23" s="400"/>
      <c r="AX23" s="396"/>
      <c r="AY23" s="397"/>
      <c r="AZ23" s="489">
        <f>ROUND(Q24*$AT$16,0)</f>
        <v>133</v>
      </c>
      <c r="BA23" s="393"/>
    </row>
    <row r="24" spans="1:53" ht="16.5" customHeight="1" x14ac:dyDescent="0.15">
      <c r="A24" s="340">
        <v>12</v>
      </c>
      <c r="B24" s="341">
        <v>7606</v>
      </c>
      <c r="C24" s="390" t="s">
        <v>16609</v>
      </c>
      <c r="D24" s="403"/>
      <c r="E24" s="404"/>
      <c r="F24" s="404"/>
      <c r="G24" s="404"/>
      <c r="H24" s="406"/>
      <c r="Q24" s="836">
        <f>ROUND(Q216*$F$13,0)</f>
        <v>106</v>
      </c>
      <c r="R24" s="911"/>
      <c r="S24" s="911"/>
      <c r="T24" s="152" t="s">
        <v>15624</v>
      </c>
      <c r="U24" s="387"/>
      <c r="V24" s="343" t="s">
        <v>15625</v>
      </c>
      <c r="W24" s="325"/>
      <c r="X24" s="325"/>
      <c r="Y24" s="325"/>
      <c r="Z24" s="325"/>
      <c r="AA24" s="325"/>
      <c r="AB24" s="325"/>
      <c r="AC24" s="325"/>
      <c r="AD24" s="325"/>
      <c r="AE24" s="325"/>
      <c r="AF24" s="325"/>
      <c r="AG24" s="325"/>
      <c r="AH24" s="325"/>
      <c r="AI24" s="391" t="s">
        <v>15626</v>
      </c>
      <c r="AJ24" s="838">
        <f>AJ22</f>
        <v>1</v>
      </c>
      <c r="AK24" s="839"/>
      <c r="AL24" s="325"/>
      <c r="AM24" s="325"/>
      <c r="AN24" s="325"/>
      <c r="AO24" s="325"/>
      <c r="AP24" s="325"/>
      <c r="AQ24" s="325"/>
      <c r="AR24" s="325"/>
      <c r="AS24" s="325"/>
      <c r="AT24" s="490"/>
      <c r="AU24" s="387"/>
      <c r="AY24" s="387"/>
      <c r="AZ24" s="489">
        <f>ROUND(ROUND(Q24*AJ24,0)*$AT$16,0)</f>
        <v>133</v>
      </c>
      <c r="BA24" s="393"/>
    </row>
    <row r="25" spans="1:53" ht="16.5" customHeight="1" x14ac:dyDescent="0.15">
      <c r="A25" s="287">
        <v>12</v>
      </c>
      <c r="B25" s="287">
        <v>7607</v>
      </c>
      <c r="C25" s="394" t="s">
        <v>16610</v>
      </c>
      <c r="D25" s="403"/>
      <c r="E25" s="404"/>
      <c r="F25" s="404"/>
      <c r="G25" s="404"/>
      <c r="H25" s="406"/>
      <c r="Q25" s="395"/>
      <c r="R25" s="151"/>
      <c r="S25" s="151"/>
      <c r="U25" s="387"/>
      <c r="V25" s="343"/>
      <c r="W25" s="343"/>
      <c r="X25" s="343"/>
      <c r="Y25" s="343"/>
      <c r="Z25" s="343"/>
      <c r="AA25" s="343"/>
      <c r="AB25" s="343"/>
      <c r="AC25" s="343"/>
      <c r="AD25" s="343"/>
      <c r="AE25" s="343"/>
      <c r="AF25" s="343"/>
      <c r="AG25" s="343"/>
      <c r="AH25" s="343"/>
      <c r="AI25" s="343"/>
      <c r="AJ25" s="343"/>
      <c r="AK25" s="343"/>
      <c r="AL25" s="114" t="s">
        <v>15628</v>
      </c>
      <c r="AM25" s="396"/>
      <c r="AN25" s="396"/>
      <c r="AO25" s="396"/>
      <c r="AP25" s="396"/>
      <c r="AQ25" s="396"/>
      <c r="AR25" s="396"/>
      <c r="AS25" s="396"/>
      <c r="AT25" s="490"/>
      <c r="AU25" s="387"/>
      <c r="AY25" s="387"/>
      <c r="AZ25" s="489">
        <f>ROUND(ROUND(Q24*AR26,0)*$AT$16,0)</f>
        <v>113</v>
      </c>
      <c r="BA25" s="393"/>
    </row>
    <row r="26" spans="1:53" ht="16.5" customHeight="1" x14ac:dyDescent="0.15">
      <c r="A26" s="287">
        <v>12</v>
      </c>
      <c r="B26" s="287">
        <v>7608</v>
      </c>
      <c r="C26" s="394" t="s">
        <v>16611</v>
      </c>
      <c r="D26" s="403"/>
      <c r="E26" s="404"/>
      <c r="F26" s="404"/>
      <c r="G26" s="404"/>
      <c r="H26" s="406"/>
      <c r="Q26" s="395"/>
      <c r="R26" s="151"/>
      <c r="S26" s="151"/>
      <c r="U26" s="387"/>
      <c r="V26" s="343" t="s">
        <v>15625</v>
      </c>
      <c r="W26" s="325"/>
      <c r="X26" s="325"/>
      <c r="Y26" s="325"/>
      <c r="Z26" s="325"/>
      <c r="AA26" s="325"/>
      <c r="AB26" s="325"/>
      <c r="AC26" s="325"/>
      <c r="AD26" s="325"/>
      <c r="AE26" s="325"/>
      <c r="AF26" s="325"/>
      <c r="AG26" s="325"/>
      <c r="AH26" s="325"/>
      <c r="AI26" s="391" t="s">
        <v>15626</v>
      </c>
      <c r="AJ26" s="838">
        <f>AJ24</f>
        <v>1</v>
      </c>
      <c r="AK26" s="843"/>
      <c r="AL26" s="324" t="s">
        <v>15630</v>
      </c>
      <c r="AM26" s="325"/>
      <c r="AN26" s="325"/>
      <c r="AO26" s="325"/>
      <c r="AP26" s="325"/>
      <c r="AQ26" s="190" t="s">
        <v>398</v>
      </c>
      <c r="AR26" s="844">
        <f>AR22</f>
        <v>0.85</v>
      </c>
      <c r="AS26" s="844"/>
      <c r="AT26" s="501"/>
      <c r="AU26" s="502"/>
      <c r="AY26" s="387"/>
      <c r="AZ26" s="489">
        <f>ROUND(ROUND(ROUND(Q24*AJ26,0)*AR26,0)*$AT$16,0)</f>
        <v>113</v>
      </c>
      <c r="BA26" s="393"/>
    </row>
    <row r="27" spans="1:53" ht="16.5" customHeight="1" x14ac:dyDescent="0.15">
      <c r="A27" s="340">
        <v>12</v>
      </c>
      <c r="B27" s="341">
        <v>7609</v>
      </c>
      <c r="C27" s="390" t="s">
        <v>16612</v>
      </c>
      <c r="D27" s="403"/>
      <c r="E27" s="404"/>
      <c r="F27" s="404"/>
      <c r="G27" s="404"/>
      <c r="H27" s="406"/>
      <c r="I27" s="10"/>
      <c r="Q27" s="395"/>
      <c r="R27" s="151"/>
      <c r="S27" s="151"/>
      <c r="U27" s="387"/>
      <c r="V27" s="343"/>
      <c r="W27" s="325"/>
      <c r="X27" s="325"/>
      <c r="Y27" s="325"/>
      <c r="Z27" s="325"/>
      <c r="AA27" s="325"/>
      <c r="AB27" s="325"/>
      <c r="AC27" s="325"/>
      <c r="AD27" s="325"/>
      <c r="AE27" s="325"/>
      <c r="AF27" s="325"/>
      <c r="AG27" s="325"/>
      <c r="AH27" s="325"/>
      <c r="AI27" s="391"/>
      <c r="AJ27" s="401"/>
      <c r="AK27" s="402"/>
      <c r="AL27" s="396"/>
      <c r="AM27" s="396"/>
      <c r="AN27" s="396"/>
      <c r="AO27" s="396"/>
      <c r="AP27" s="396"/>
      <c r="AQ27" s="396"/>
      <c r="AR27" s="396"/>
      <c r="AS27" s="396"/>
      <c r="AT27" s="490"/>
      <c r="AU27" s="387"/>
      <c r="AV27" s="858" t="s">
        <v>16296</v>
      </c>
      <c r="AW27" s="858"/>
      <c r="AX27" s="858"/>
      <c r="AY27" s="860"/>
      <c r="AZ27" s="489">
        <f>ROUND(ROUND(Q24*$AT$16,0)*AV30,0)</f>
        <v>106</v>
      </c>
      <c r="BA27" s="393"/>
    </row>
    <row r="28" spans="1:53" ht="16.5" customHeight="1" x14ac:dyDescent="0.15">
      <c r="A28" s="340">
        <v>12</v>
      </c>
      <c r="B28" s="341">
        <v>7610</v>
      </c>
      <c r="C28" s="390" t="s">
        <v>16613</v>
      </c>
      <c r="D28" s="403"/>
      <c r="E28" s="404"/>
      <c r="F28" s="404"/>
      <c r="G28" s="404"/>
      <c r="H28" s="406"/>
      <c r="Q28" s="899"/>
      <c r="R28" s="899"/>
      <c r="S28" s="899"/>
      <c r="U28" s="387"/>
      <c r="V28" s="343" t="s">
        <v>15625</v>
      </c>
      <c r="W28" s="325"/>
      <c r="X28" s="325"/>
      <c r="Y28" s="325"/>
      <c r="Z28" s="325"/>
      <c r="AA28" s="325"/>
      <c r="AB28" s="325"/>
      <c r="AC28" s="325"/>
      <c r="AD28" s="325"/>
      <c r="AE28" s="325"/>
      <c r="AF28" s="325"/>
      <c r="AG28" s="325"/>
      <c r="AH28" s="325"/>
      <c r="AI28" s="391" t="s">
        <v>15626</v>
      </c>
      <c r="AJ28" s="838">
        <f>AJ26</f>
        <v>1</v>
      </c>
      <c r="AK28" s="839"/>
      <c r="AL28" s="325"/>
      <c r="AM28" s="325"/>
      <c r="AN28" s="325"/>
      <c r="AO28" s="325"/>
      <c r="AP28" s="325"/>
      <c r="AQ28" s="325"/>
      <c r="AR28" s="325"/>
      <c r="AS28" s="325"/>
      <c r="AT28" s="490"/>
      <c r="AU28" s="387"/>
      <c r="AV28" s="850"/>
      <c r="AW28" s="850"/>
      <c r="AX28" s="850"/>
      <c r="AY28" s="852"/>
      <c r="AZ28" s="489">
        <f>ROUND(ROUND(ROUND(Q24*AJ28,0)*$AT$16,0)*AV30,0)</f>
        <v>106</v>
      </c>
      <c r="BA28" s="393"/>
    </row>
    <row r="29" spans="1:53" ht="16.5" customHeight="1" x14ac:dyDescent="0.15">
      <c r="A29" s="287">
        <v>12</v>
      </c>
      <c r="B29" s="287">
        <v>7611</v>
      </c>
      <c r="C29" s="394" t="s">
        <v>16614</v>
      </c>
      <c r="D29" s="403"/>
      <c r="E29" s="404"/>
      <c r="F29" s="404"/>
      <c r="G29" s="404"/>
      <c r="H29" s="406"/>
      <c r="Q29" s="395"/>
      <c r="R29" s="151"/>
      <c r="S29" s="151"/>
      <c r="U29" s="387"/>
      <c r="V29" s="343"/>
      <c r="W29" s="343"/>
      <c r="X29" s="343"/>
      <c r="Y29" s="343"/>
      <c r="Z29" s="343"/>
      <c r="AA29" s="343"/>
      <c r="AB29" s="343"/>
      <c r="AC29" s="343"/>
      <c r="AD29" s="343"/>
      <c r="AE29" s="343"/>
      <c r="AF29" s="343"/>
      <c r="AG29" s="343"/>
      <c r="AH29" s="343"/>
      <c r="AI29" s="343"/>
      <c r="AJ29" s="343"/>
      <c r="AK29" s="343"/>
      <c r="AL29" s="114" t="s">
        <v>15628</v>
      </c>
      <c r="AM29" s="396"/>
      <c r="AN29" s="396"/>
      <c r="AO29" s="396"/>
      <c r="AP29" s="396"/>
      <c r="AQ29" s="396"/>
      <c r="AR29" s="396"/>
      <c r="AS29" s="396"/>
      <c r="AT29" s="490"/>
      <c r="AU29" s="387"/>
      <c r="AV29" s="902" t="s">
        <v>15636</v>
      </c>
      <c r="AW29" s="902"/>
      <c r="AX29" s="902"/>
      <c r="AY29" s="903"/>
      <c r="AZ29" s="489">
        <f>ROUND(ROUND(ROUND(Q24*AR30,0)*$AT$16,0)*AV30,0)</f>
        <v>90</v>
      </c>
      <c r="BA29" s="393"/>
    </row>
    <row r="30" spans="1:53" ht="16.5" customHeight="1" x14ac:dyDescent="0.15">
      <c r="A30" s="287">
        <v>12</v>
      </c>
      <c r="B30" s="287">
        <v>7612</v>
      </c>
      <c r="C30" s="394" t="s">
        <v>16615</v>
      </c>
      <c r="D30" s="403"/>
      <c r="E30" s="404"/>
      <c r="F30" s="404"/>
      <c r="G30" s="404"/>
      <c r="H30" s="406"/>
      <c r="Q30" s="395"/>
      <c r="R30" s="151"/>
      <c r="S30" s="151"/>
      <c r="U30" s="387"/>
      <c r="V30" s="343" t="s">
        <v>15625</v>
      </c>
      <c r="W30" s="325"/>
      <c r="X30" s="325"/>
      <c r="Y30" s="325"/>
      <c r="Z30" s="325"/>
      <c r="AA30" s="325"/>
      <c r="AB30" s="325"/>
      <c r="AC30" s="325"/>
      <c r="AD30" s="325"/>
      <c r="AE30" s="325"/>
      <c r="AF30" s="325"/>
      <c r="AG30" s="325"/>
      <c r="AH30" s="325"/>
      <c r="AI30" s="391" t="s">
        <v>15626</v>
      </c>
      <c r="AJ30" s="838">
        <f>AJ28</f>
        <v>1</v>
      </c>
      <c r="AK30" s="843"/>
      <c r="AL30" s="324" t="s">
        <v>15630</v>
      </c>
      <c r="AM30" s="325"/>
      <c r="AN30" s="325"/>
      <c r="AO30" s="325"/>
      <c r="AP30" s="325"/>
      <c r="AQ30" s="190" t="s">
        <v>398</v>
      </c>
      <c r="AR30" s="844">
        <f>AR26</f>
        <v>0.85</v>
      </c>
      <c r="AS30" s="844"/>
      <c r="AT30" s="501"/>
      <c r="AU30" s="502"/>
      <c r="AV30" s="844">
        <f>AV22</f>
        <v>0.8</v>
      </c>
      <c r="AW30" s="844"/>
      <c r="AX30" s="844"/>
      <c r="AY30" s="845"/>
      <c r="AZ30" s="489">
        <f>ROUND(ROUND(ROUND(ROUND(Q24*AJ30,0)*AR30,0)*$AT$16,0)*AV30,0)</f>
        <v>90</v>
      </c>
      <c r="BA30" s="393"/>
    </row>
    <row r="31" spans="1:53" ht="16.5" customHeight="1" x14ac:dyDescent="0.15">
      <c r="A31" s="340">
        <v>12</v>
      </c>
      <c r="B31" s="341">
        <v>7613</v>
      </c>
      <c r="C31" s="390" t="s">
        <v>16616</v>
      </c>
      <c r="D31" s="403"/>
      <c r="E31" s="404"/>
      <c r="F31" s="404"/>
      <c r="G31" s="404"/>
      <c r="H31" s="406"/>
      <c r="I31" s="908" t="s">
        <v>16318</v>
      </c>
      <c r="J31" s="909"/>
      <c r="K31" s="909"/>
      <c r="L31" s="909"/>
      <c r="M31" s="909"/>
      <c r="N31" s="909"/>
      <c r="O31" s="909"/>
      <c r="P31" s="909"/>
      <c r="Q31" s="909"/>
      <c r="R31" s="909"/>
      <c r="S31" s="909"/>
      <c r="T31" s="909"/>
      <c r="U31" s="910"/>
      <c r="V31" s="343"/>
      <c r="W31" s="325"/>
      <c r="X31" s="325"/>
      <c r="Y31" s="325"/>
      <c r="Z31" s="325"/>
      <c r="AA31" s="325"/>
      <c r="AB31" s="325"/>
      <c r="AC31" s="325"/>
      <c r="AD31" s="325"/>
      <c r="AE31" s="325"/>
      <c r="AF31" s="325"/>
      <c r="AG31" s="325"/>
      <c r="AH31" s="325"/>
      <c r="AI31" s="391"/>
      <c r="AJ31" s="401"/>
      <c r="AK31" s="402"/>
      <c r="AL31" s="396"/>
      <c r="AM31" s="396"/>
      <c r="AN31" s="396"/>
      <c r="AO31" s="396"/>
      <c r="AP31" s="396"/>
      <c r="AQ31" s="396"/>
      <c r="AR31" s="396"/>
      <c r="AS31" s="396"/>
      <c r="AT31" s="490"/>
      <c r="AU31" s="387"/>
      <c r="AV31" s="400"/>
      <c r="AW31" s="400"/>
      <c r="AX31" s="396"/>
      <c r="AY31" s="397"/>
      <c r="AZ31" s="489">
        <f>ROUND(Q32*$AT$16,0)</f>
        <v>131</v>
      </c>
      <c r="BA31" s="393"/>
    </row>
    <row r="32" spans="1:53" ht="16.5" customHeight="1" x14ac:dyDescent="0.15">
      <c r="A32" s="340">
        <v>12</v>
      </c>
      <c r="B32" s="341">
        <v>7614</v>
      </c>
      <c r="C32" s="390" t="s">
        <v>16617</v>
      </c>
      <c r="D32" s="403"/>
      <c r="E32" s="404"/>
      <c r="F32" s="404"/>
      <c r="G32" s="404"/>
      <c r="H32" s="406"/>
      <c r="Q32" s="836">
        <f>ROUND(Q224*$F$13,0)</f>
        <v>105</v>
      </c>
      <c r="R32" s="911"/>
      <c r="S32" s="911"/>
      <c r="T32" s="152" t="s">
        <v>15624</v>
      </c>
      <c r="U32" s="387"/>
      <c r="V32" s="343" t="s">
        <v>15625</v>
      </c>
      <c r="W32" s="325"/>
      <c r="X32" s="325"/>
      <c r="Y32" s="325"/>
      <c r="Z32" s="325"/>
      <c r="AA32" s="325"/>
      <c r="AB32" s="325"/>
      <c r="AC32" s="325"/>
      <c r="AD32" s="325"/>
      <c r="AE32" s="325"/>
      <c r="AF32" s="325"/>
      <c r="AG32" s="325"/>
      <c r="AH32" s="325"/>
      <c r="AI32" s="391" t="s">
        <v>15626</v>
      </c>
      <c r="AJ32" s="838">
        <f>AJ30</f>
        <v>1</v>
      </c>
      <c r="AK32" s="839"/>
      <c r="AL32" s="325"/>
      <c r="AM32" s="325"/>
      <c r="AN32" s="325"/>
      <c r="AO32" s="325"/>
      <c r="AP32" s="325"/>
      <c r="AQ32" s="325"/>
      <c r="AR32" s="325"/>
      <c r="AS32" s="325"/>
      <c r="AT32" s="490"/>
      <c r="AU32" s="387"/>
      <c r="AY32" s="387"/>
      <c r="AZ32" s="489">
        <f>ROUND(ROUND(Q32*AJ32,0)*$AT$16,0)</f>
        <v>131</v>
      </c>
      <c r="BA32" s="393"/>
    </row>
    <row r="33" spans="1:53" ht="16.5" customHeight="1" x14ac:dyDescent="0.15">
      <c r="A33" s="287">
        <v>12</v>
      </c>
      <c r="B33" s="287">
        <v>7615</v>
      </c>
      <c r="C33" s="394" t="s">
        <v>16618</v>
      </c>
      <c r="D33" s="403"/>
      <c r="E33" s="404"/>
      <c r="F33" s="404"/>
      <c r="G33" s="404"/>
      <c r="H33" s="406"/>
      <c r="Q33" s="395"/>
      <c r="R33" s="151"/>
      <c r="S33" s="151"/>
      <c r="U33" s="387"/>
      <c r="V33" s="343"/>
      <c r="W33" s="343"/>
      <c r="X33" s="343"/>
      <c r="Y33" s="343"/>
      <c r="Z33" s="343"/>
      <c r="AA33" s="343"/>
      <c r="AB33" s="343"/>
      <c r="AC33" s="343"/>
      <c r="AD33" s="343"/>
      <c r="AE33" s="343"/>
      <c r="AF33" s="343"/>
      <c r="AG33" s="343"/>
      <c r="AH33" s="343"/>
      <c r="AI33" s="343"/>
      <c r="AJ33" s="343"/>
      <c r="AK33" s="343"/>
      <c r="AL33" s="114" t="s">
        <v>15628</v>
      </c>
      <c r="AM33" s="396"/>
      <c r="AN33" s="396"/>
      <c r="AO33" s="396"/>
      <c r="AP33" s="396"/>
      <c r="AQ33" s="396"/>
      <c r="AR33" s="396"/>
      <c r="AS33" s="396"/>
      <c r="AT33" s="490"/>
      <c r="AU33" s="387"/>
      <c r="AY33" s="387"/>
      <c r="AZ33" s="489">
        <f>ROUND(ROUND(Q32*AR34,0)*$AT$16,0)</f>
        <v>111</v>
      </c>
      <c r="BA33" s="393"/>
    </row>
    <row r="34" spans="1:53" ht="16.5" customHeight="1" x14ac:dyDescent="0.15">
      <c r="A34" s="287">
        <v>12</v>
      </c>
      <c r="B34" s="287">
        <v>7616</v>
      </c>
      <c r="C34" s="394" t="s">
        <v>16619</v>
      </c>
      <c r="D34" s="403"/>
      <c r="E34" s="404"/>
      <c r="F34" s="404"/>
      <c r="G34" s="404"/>
      <c r="H34" s="406"/>
      <c r="Q34" s="395"/>
      <c r="R34" s="151"/>
      <c r="S34" s="151"/>
      <c r="U34" s="387"/>
      <c r="V34" s="343" t="s">
        <v>15625</v>
      </c>
      <c r="W34" s="325"/>
      <c r="X34" s="325"/>
      <c r="Y34" s="325"/>
      <c r="Z34" s="325"/>
      <c r="AA34" s="325"/>
      <c r="AB34" s="325"/>
      <c r="AC34" s="325"/>
      <c r="AD34" s="325"/>
      <c r="AE34" s="325"/>
      <c r="AF34" s="325"/>
      <c r="AG34" s="325"/>
      <c r="AH34" s="325"/>
      <c r="AI34" s="391" t="s">
        <v>15626</v>
      </c>
      <c r="AJ34" s="838">
        <f>AJ32</f>
        <v>1</v>
      </c>
      <c r="AK34" s="843"/>
      <c r="AL34" s="324" t="s">
        <v>15630</v>
      </c>
      <c r="AM34" s="325"/>
      <c r="AN34" s="325"/>
      <c r="AO34" s="325"/>
      <c r="AP34" s="325"/>
      <c r="AQ34" s="190" t="s">
        <v>398</v>
      </c>
      <c r="AR34" s="844">
        <f>AR30</f>
        <v>0.85</v>
      </c>
      <c r="AS34" s="844"/>
      <c r="AT34" s="501"/>
      <c r="AU34" s="502"/>
      <c r="AY34" s="387"/>
      <c r="AZ34" s="489">
        <f>ROUND(ROUND(ROUND(Q32*AJ34,0)*AR34,0)*$AT$16,0)</f>
        <v>111</v>
      </c>
      <c r="BA34" s="393"/>
    </row>
    <row r="35" spans="1:53" ht="16.5" customHeight="1" x14ac:dyDescent="0.15">
      <c r="A35" s="340">
        <v>12</v>
      </c>
      <c r="B35" s="341">
        <v>7617</v>
      </c>
      <c r="C35" s="390" t="s">
        <v>16620</v>
      </c>
      <c r="D35" s="403"/>
      <c r="E35" s="404"/>
      <c r="F35" s="404"/>
      <c r="G35" s="404"/>
      <c r="H35" s="406"/>
      <c r="I35" s="10"/>
      <c r="Q35" s="395"/>
      <c r="R35" s="151"/>
      <c r="S35" s="151"/>
      <c r="U35" s="387"/>
      <c r="V35" s="343"/>
      <c r="W35" s="325"/>
      <c r="X35" s="325"/>
      <c r="Y35" s="325"/>
      <c r="Z35" s="325"/>
      <c r="AA35" s="325"/>
      <c r="AB35" s="325"/>
      <c r="AC35" s="325"/>
      <c r="AD35" s="325"/>
      <c r="AE35" s="325"/>
      <c r="AF35" s="325"/>
      <c r="AG35" s="325"/>
      <c r="AH35" s="325"/>
      <c r="AI35" s="391"/>
      <c r="AJ35" s="401"/>
      <c r="AK35" s="402"/>
      <c r="AL35" s="396"/>
      <c r="AM35" s="396"/>
      <c r="AN35" s="396"/>
      <c r="AO35" s="396"/>
      <c r="AP35" s="396"/>
      <c r="AQ35" s="396"/>
      <c r="AR35" s="396"/>
      <c r="AS35" s="396"/>
      <c r="AT35" s="490"/>
      <c r="AU35" s="387"/>
      <c r="AV35" s="858" t="s">
        <v>16296</v>
      </c>
      <c r="AW35" s="858"/>
      <c r="AX35" s="858"/>
      <c r="AY35" s="860"/>
      <c r="AZ35" s="489">
        <f>ROUND(ROUND(Q32*$AT$16,0)*AV38,0)</f>
        <v>105</v>
      </c>
      <c r="BA35" s="393"/>
    </row>
    <row r="36" spans="1:53" ht="16.5" customHeight="1" x14ac:dyDescent="0.15">
      <c r="A36" s="340">
        <v>12</v>
      </c>
      <c r="B36" s="341">
        <v>7618</v>
      </c>
      <c r="C36" s="390" t="s">
        <v>16621</v>
      </c>
      <c r="D36" s="403"/>
      <c r="E36" s="404"/>
      <c r="F36" s="404"/>
      <c r="G36" s="404"/>
      <c r="H36" s="406"/>
      <c r="Q36" s="899"/>
      <c r="R36" s="899"/>
      <c r="S36" s="899"/>
      <c r="U36" s="387"/>
      <c r="V36" s="343" t="s">
        <v>15625</v>
      </c>
      <c r="W36" s="325"/>
      <c r="X36" s="325"/>
      <c r="Y36" s="325"/>
      <c r="Z36" s="325"/>
      <c r="AA36" s="325"/>
      <c r="AB36" s="325"/>
      <c r="AC36" s="325"/>
      <c r="AD36" s="325"/>
      <c r="AE36" s="325"/>
      <c r="AF36" s="325"/>
      <c r="AG36" s="325"/>
      <c r="AH36" s="325"/>
      <c r="AI36" s="391" t="s">
        <v>15626</v>
      </c>
      <c r="AJ36" s="838">
        <f>AJ34</f>
        <v>1</v>
      </c>
      <c r="AK36" s="839"/>
      <c r="AL36" s="325"/>
      <c r="AM36" s="325"/>
      <c r="AN36" s="325"/>
      <c r="AO36" s="325"/>
      <c r="AP36" s="325"/>
      <c r="AQ36" s="325"/>
      <c r="AR36" s="325"/>
      <c r="AS36" s="325"/>
      <c r="AT36" s="490"/>
      <c r="AU36" s="387"/>
      <c r="AV36" s="850"/>
      <c r="AW36" s="850"/>
      <c r="AX36" s="850"/>
      <c r="AY36" s="852"/>
      <c r="AZ36" s="489">
        <f>ROUND(ROUND(ROUND(Q32*AJ36,0)*$AT$16,0)*AV38,0)</f>
        <v>105</v>
      </c>
      <c r="BA36" s="393"/>
    </row>
    <row r="37" spans="1:53" ht="16.5" customHeight="1" x14ac:dyDescent="0.15">
      <c r="A37" s="287">
        <v>12</v>
      </c>
      <c r="B37" s="287">
        <v>7619</v>
      </c>
      <c r="C37" s="394" t="s">
        <v>16622</v>
      </c>
      <c r="D37" s="403"/>
      <c r="E37" s="404"/>
      <c r="F37" s="404"/>
      <c r="G37" s="404"/>
      <c r="H37" s="406"/>
      <c r="Q37" s="395"/>
      <c r="R37" s="151"/>
      <c r="S37" s="151"/>
      <c r="U37" s="387"/>
      <c r="V37" s="343"/>
      <c r="W37" s="343"/>
      <c r="X37" s="343"/>
      <c r="Y37" s="343"/>
      <c r="Z37" s="343"/>
      <c r="AA37" s="343"/>
      <c r="AB37" s="343"/>
      <c r="AC37" s="343"/>
      <c r="AD37" s="343"/>
      <c r="AE37" s="343"/>
      <c r="AF37" s="343"/>
      <c r="AG37" s="343"/>
      <c r="AH37" s="343"/>
      <c r="AI37" s="343"/>
      <c r="AJ37" s="343"/>
      <c r="AK37" s="343"/>
      <c r="AL37" s="114" t="s">
        <v>15628</v>
      </c>
      <c r="AM37" s="396"/>
      <c r="AN37" s="396"/>
      <c r="AO37" s="396"/>
      <c r="AP37" s="396"/>
      <c r="AQ37" s="396"/>
      <c r="AR37" s="396"/>
      <c r="AS37" s="396"/>
      <c r="AT37" s="490"/>
      <c r="AU37" s="387"/>
      <c r="AV37" s="902" t="s">
        <v>15636</v>
      </c>
      <c r="AW37" s="902"/>
      <c r="AX37" s="902"/>
      <c r="AY37" s="903"/>
      <c r="AZ37" s="489">
        <f>ROUND(ROUND(ROUND(Q32*AR38,0)*$AT$16,0)*AV38,0)</f>
        <v>89</v>
      </c>
      <c r="BA37" s="393"/>
    </row>
    <row r="38" spans="1:53" ht="16.5" customHeight="1" x14ac:dyDescent="0.15">
      <c r="A38" s="287">
        <v>12</v>
      </c>
      <c r="B38" s="287">
        <v>7620</v>
      </c>
      <c r="C38" s="394" t="s">
        <v>16623</v>
      </c>
      <c r="D38" s="403"/>
      <c r="E38" s="404"/>
      <c r="F38" s="404"/>
      <c r="G38" s="404"/>
      <c r="H38" s="406"/>
      <c r="Q38" s="395"/>
      <c r="R38" s="151"/>
      <c r="S38" s="151"/>
      <c r="U38" s="387"/>
      <c r="V38" s="343" t="s">
        <v>15625</v>
      </c>
      <c r="W38" s="325"/>
      <c r="X38" s="325"/>
      <c r="Y38" s="325"/>
      <c r="Z38" s="325"/>
      <c r="AA38" s="325"/>
      <c r="AB38" s="325"/>
      <c r="AC38" s="325"/>
      <c r="AD38" s="325"/>
      <c r="AE38" s="325"/>
      <c r="AF38" s="325"/>
      <c r="AG38" s="325"/>
      <c r="AH38" s="325"/>
      <c r="AI38" s="391" t="s">
        <v>15626</v>
      </c>
      <c r="AJ38" s="838">
        <f>AJ36</f>
        <v>1</v>
      </c>
      <c r="AK38" s="843"/>
      <c r="AL38" s="324" t="s">
        <v>15630</v>
      </c>
      <c r="AM38" s="325"/>
      <c r="AN38" s="325"/>
      <c r="AO38" s="325"/>
      <c r="AP38" s="325"/>
      <c r="AQ38" s="190" t="s">
        <v>398</v>
      </c>
      <c r="AR38" s="844">
        <f>AR34</f>
        <v>0.85</v>
      </c>
      <c r="AS38" s="844"/>
      <c r="AT38" s="501"/>
      <c r="AU38" s="502"/>
      <c r="AV38" s="844">
        <f>AV30</f>
        <v>0.8</v>
      </c>
      <c r="AW38" s="844"/>
      <c r="AX38" s="844"/>
      <c r="AY38" s="845"/>
      <c r="AZ38" s="489">
        <f>ROUND(ROUND(ROUND(ROUND(Q32*AJ38,0)*AR38,0)*$AT$16,0)*AV38,0)</f>
        <v>89</v>
      </c>
      <c r="BA38" s="393"/>
    </row>
    <row r="39" spans="1:53" ht="16.5" customHeight="1" x14ac:dyDescent="0.15">
      <c r="A39" s="340">
        <v>12</v>
      </c>
      <c r="B39" s="341">
        <v>7621</v>
      </c>
      <c r="C39" s="390" t="s">
        <v>16624</v>
      </c>
      <c r="D39" s="403"/>
      <c r="E39" s="404"/>
      <c r="F39" s="404"/>
      <c r="G39" s="404"/>
      <c r="H39" s="406"/>
      <c r="I39" s="908" t="s">
        <v>16327</v>
      </c>
      <c r="J39" s="909"/>
      <c r="K39" s="909"/>
      <c r="L39" s="909"/>
      <c r="M39" s="909"/>
      <c r="N39" s="909"/>
      <c r="O39" s="909"/>
      <c r="P39" s="909"/>
      <c r="Q39" s="909"/>
      <c r="R39" s="909"/>
      <c r="S39" s="909"/>
      <c r="T39" s="909"/>
      <c r="U39" s="910"/>
      <c r="V39" s="343"/>
      <c r="W39" s="325"/>
      <c r="X39" s="325"/>
      <c r="Y39" s="325"/>
      <c r="Z39" s="325"/>
      <c r="AA39" s="325"/>
      <c r="AB39" s="325"/>
      <c r="AC39" s="325"/>
      <c r="AD39" s="325"/>
      <c r="AE39" s="325"/>
      <c r="AF39" s="325"/>
      <c r="AG39" s="325"/>
      <c r="AH39" s="325"/>
      <c r="AI39" s="391"/>
      <c r="AJ39" s="401"/>
      <c r="AK39" s="402"/>
      <c r="AL39" s="396"/>
      <c r="AM39" s="396"/>
      <c r="AN39" s="396"/>
      <c r="AO39" s="396"/>
      <c r="AP39" s="396"/>
      <c r="AQ39" s="396"/>
      <c r="AR39" s="396"/>
      <c r="AS39" s="396"/>
      <c r="AT39" s="490"/>
      <c r="AU39" s="387"/>
      <c r="AV39" s="400"/>
      <c r="AW39" s="400"/>
      <c r="AX39" s="396"/>
      <c r="AY39" s="397"/>
      <c r="AZ39" s="489">
        <f>ROUND(Q40*$AT$16,0)</f>
        <v>133</v>
      </c>
      <c r="BA39" s="393"/>
    </row>
    <row r="40" spans="1:53" ht="16.5" customHeight="1" x14ac:dyDescent="0.15">
      <c r="A40" s="340">
        <v>12</v>
      </c>
      <c r="B40" s="341">
        <v>7622</v>
      </c>
      <c r="C40" s="390" t="s">
        <v>16625</v>
      </c>
      <c r="D40" s="403"/>
      <c r="E40" s="404"/>
      <c r="F40" s="404"/>
      <c r="G40" s="404"/>
      <c r="H40" s="406"/>
      <c r="Q40" s="836">
        <f>ROUND(Q232*$F$13,0)</f>
        <v>106</v>
      </c>
      <c r="R40" s="911"/>
      <c r="S40" s="911"/>
      <c r="T40" s="152" t="s">
        <v>15624</v>
      </c>
      <c r="U40" s="387"/>
      <c r="V40" s="343" t="s">
        <v>15625</v>
      </c>
      <c r="W40" s="325"/>
      <c r="X40" s="325"/>
      <c r="Y40" s="325"/>
      <c r="Z40" s="325"/>
      <c r="AA40" s="325"/>
      <c r="AB40" s="325"/>
      <c r="AC40" s="325"/>
      <c r="AD40" s="325"/>
      <c r="AE40" s="325"/>
      <c r="AF40" s="325"/>
      <c r="AG40" s="325"/>
      <c r="AH40" s="325"/>
      <c r="AI40" s="391" t="s">
        <v>15626</v>
      </c>
      <c r="AJ40" s="838">
        <f>AJ38</f>
        <v>1</v>
      </c>
      <c r="AK40" s="839"/>
      <c r="AL40" s="325"/>
      <c r="AM40" s="325"/>
      <c r="AN40" s="325"/>
      <c r="AO40" s="325"/>
      <c r="AP40" s="325"/>
      <c r="AQ40" s="325"/>
      <c r="AR40" s="325"/>
      <c r="AS40" s="325"/>
      <c r="AT40" s="490"/>
      <c r="AU40" s="387"/>
      <c r="AY40" s="387"/>
      <c r="AZ40" s="489">
        <f>ROUND(ROUND(Q40*AJ40,0)*$AT$16,0)</f>
        <v>133</v>
      </c>
      <c r="BA40" s="393"/>
    </row>
    <row r="41" spans="1:53" ht="16.5" customHeight="1" x14ac:dyDescent="0.15">
      <c r="A41" s="340">
        <v>12</v>
      </c>
      <c r="B41" s="341">
        <v>7623</v>
      </c>
      <c r="C41" s="390" t="s">
        <v>16626</v>
      </c>
      <c r="D41" s="403"/>
      <c r="E41" s="404"/>
      <c r="F41" s="404"/>
      <c r="G41" s="404"/>
      <c r="H41" s="406"/>
      <c r="Q41" s="395"/>
      <c r="R41" s="151"/>
      <c r="S41" s="151"/>
      <c r="U41" s="387"/>
      <c r="V41" s="343"/>
      <c r="W41" s="343"/>
      <c r="X41" s="343"/>
      <c r="Y41" s="343"/>
      <c r="Z41" s="343"/>
      <c r="AA41" s="343"/>
      <c r="AB41" s="343"/>
      <c r="AC41" s="343"/>
      <c r="AD41" s="343"/>
      <c r="AE41" s="343"/>
      <c r="AF41" s="343"/>
      <c r="AG41" s="343"/>
      <c r="AH41" s="343"/>
      <c r="AI41" s="343"/>
      <c r="AJ41" s="343"/>
      <c r="AK41" s="343"/>
      <c r="AL41" s="114" t="s">
        <v>15628</v>
      </c>
      <c r="AM41" s="396"/>
      <c r="AN41" s="396"/>
      <c r="AO41" s="396"/>
      <c r="AP41" s="396"/>
      <c r="AQ41" s="396"/>
      <c r="AR41" s="396"/>
      <c r="AS41" s="396"/>
      <c r="AT41" s="490"/>
      <c r="AU41" s="387"/>
      <c r="AY41" s="387"/>
      <c r="AZ41" s="489">
        <f>ROUND(ROUND(Q40*AR42,0)*$AT$16,0)</f>
        <v>113</v>
      </c>
      <c r="BA41" s="393"/>
    </row>
    <row r="42" spans="1:53" ht="16.5" customHeight="1" x14ac:dyDescent="0.15">
      <c r="A42" s="340">
        <v>12</v>
      </c>
      <c r="B42" s="341">
        <v>7624</v>
      </c>
      <c r="C42" s="390" t="s">
        <v>16627</v>
      </c>
      <c r="D42" s="403"/>
      <c r="E42" s="404"/>
      <c r="F42" s="404"/>
      <c r="G42" s="404"/>
      <c r="H42" s="406"/>
      <c r="Q42" s="395"/>
      <c r="R42" s="151"/>
      <c r="S42" s="151"/>
      <c r="U42" s="387"/>
      <c r="V42" s="343" t="s">
        <v>15625</v>
      </c>
      <c r="W42" s="325"/>
      <c r="X42" s="325"/>
      <c r="Y42" s="325"/>
      <c r="Z42" s="325"/>
      <c r="AA42" s="325"/>
      <c r="AB42" s="325"/>
      <c r="AC42" s="325"/>
      <c r="AD42" s="325"/>
      <c r="AE42" s="325"/>
      <c r="AF42" s="325"/>
      <c r="AG42" s="325"/>
      <c r="AH42" s="325"/>
      <c r="AI42" s="391" t="s">
        <v>15626</v>
      </c>
      <c r="AJ42" s="838">
        <f>AJ40</f>
        <v>1</v>
      </c>
      <c r="AK42" s="843"/>
      <c r="AL42" s="324" t="s">
        <v>15630</v>
      </c>
      <c r="AM42" s="325"/>
      <c r="AN42" s="325"/>
      <c r="AO42" s="325"/>
      <c r="AP42" s="325"/>
      <c r="AQ42" s="190" t="s">
        <v>398</v>
      </c>
      <c r="AR42" s="844">
        <f>AR38</f>
        <v>0.85</v>
      </c>
      <c r="AS42" s="844"/>
      <c r="AT42" s="501"/>
      <c r="AU42" s="502"/>
      <c r="AY42" s="387"/>
      <c r="AZ42" s="489">
        <f>ROUND(ROUND(ROUND(Q40*AJ42,0)*AR42,0)*$AT$16,0)</f>
        <v>113</v>
      </c>
      <c r="BA42" s="393"/>
    </row>
    <row r="43" spans="1:53" ht="16.5" customHeight="1" x14ac:dyDescent="0.15">
      <c r="A43" s="340">
        <v>12</v>
      </c>
      <c r="B43" s="341">
        <v>7625</v>
      </c>
      <c r="C43" s="390" t="s">
        <v>16628</v>
      </c>
      <c r="D43" s="403"/>
      <c r="E43" s="404"/>
      <c r="F43" s="404"/>
      <c r="G43" s="404"/>
      <c r="H43" s="406"/>
      <c r="I43" s="10"/>
      <c r="Q43" s="395"/>
      <c r="R43" s="151"/>
      <c r="S43" s="151"/>
      <c r="U43" s="387"/>
      <c r="V43" s="343"/>
      <c r="W43" s="325"/>
      <c r="X43" s="325"/>
      <c r="Y43" s="325"/>
      <c r="Z43" s="325"/>
      <c r="AA43" s="325"/>
      <c r="AB43" s="325"/>
      <c r="AC43" s="325"/>
      <c r="AD43" s="325"/>
      <c r="AE43" s="325"/>
      <c r="AF43" s="325"/>
      <c r="AG43" s="325"/>
      <c r="AH43" s="325"/>
      <c r="AI43" s="391"/>
      <c r="AJ43" s="401"/>
      <c r="AK43" s="402"/>
      <c r="AL43" s="396"/>
      <c r="AM43" s="396"/>
      <c r="AN43" s="396"/>
      <c r="AO43" s="396"/>
      <c r="AP43" s="396"/>
      <c r="AQ43" s="396"/>
      <c r="AR43" s="396"/>
      <c r="AS43" s="396"/>
      <c r="AT43" s="490"/>
      <c r="AU43" s="387"/>
      <c r="AV43" s="858" t="s">
        <v>16296</v>
      </c>
      <c r="AW43" s="858"/>
      <c r="AX43" s="858"/>
      <c r="AY43" s="860"/>
      <c r="AZ43" s="489">
        <f>ROUND(ROUND(Q40*$AT$16,0)*AV46,0)</f>
        <v>106</v>
      </c>
      <c r="BA43" s="393"/>
    </row>
    <row r="44" spans="1:53" ht="16.5" customHeight="1" x14ac:dyDescent="0.15">
      <c r="A44" s="340">
        <v>12</v>
      </c>
      <c r="B44" s="341">
        <v>7626</v>
      </c>
      <c r="C44" s="390" t="s">
        <v>16629</v>
      </c>
      <c r="D44" s="403"/>
      <c r="E44" s="404"/>
      <c r="F44" s="404"/>
      <c r="G44" s="404"/>
      <c r="H44" s="406"/>
      <c r="Q44" s="899"/>
      <c r="R44" s="899"/>
      <c r="S44" s="899"/>
      <c r="U44" s="387"/>
      <c r="V44" s="343" t="s">
        <v>15625</v>
      </c>
      <c r="W44" s="325"/>
      <c r="X44" s="325"/>
      <c r="Y44" s="325"/>
      <c r="Z44" s="325"/>
      <c r="AA44" s="325"/>
      <c r="AB44" s="325"/>
      <c r="AC44" s="325"/>
      <c r="AD44" s="325"/>
      <c r="AE44" s="325"/>
      <c r="AF44" s="325"/>
      <c r="AG44" s="325"/>
      <c r="AH44" s="325"/>
      <c r="AI44" s="391" t="s">
        <v>15626</v>
      </c>
      <c r="AJ44" s="838">
        <f>AJ42</f>
        <v>1</v>
      </c>
      <c r="AK44" s="839"/>
      <c r="AL44" s="325"/>
      <c r="AM44" s="325"/>
      <c r="AN44" s="325"/>
      <c r="AO44" s="325"/>
      <c r="AP44" s="325"/>
      <c r="AQ44" s="325"/>
      <c r="AR44" s="325"/>
      <c r="AS44" s="325"/>
      <c r="AT44" s="490"/>
      <c r="AU44" s="387"/>
      <c r="AV44" s="850"/>
      <c r="AW44" s="850"/>
      <c r="AX44" s="850"/>
      <c r="AY44" s="852"/>
      <c r="AZ44" s="489">
        <f>ROUND(ROUND(ROUND(Q40*AJ44,0)*$AT$16,0)*AV46,0)</f>
        <v>106</v>
      </c>
      <c r="BA44" s="393"/>
    </row>
    <row r="45" spans="1:53" ht="16.5" customHeight="1" x14ac:dyDescent="0.15">
      <c r="A45" s="340">
        <v>12</v>
      </c>
      <c r="B45" s="341">
        <v>7627</v>
      </c>
      <c r="C45" s="390" t="s">
        <v>16630</v>
      </c>
      <c r="D45" s="403"/>
      <c r="E45" s="404"/>
      <c r="F45" s="404"/>
      <c r="G45" s="404"/>
      <c r="H45" s="406"/>
      <c r="Q45" s="395"/>
      <c r="R45" s="151"/>
      <c r="S45" s="151"/>
      <c r="U45" s="387"/>
      <c r="V45" s="343"/>
      <c r="W45" s="343"/>
      <c r="X45" s="343"/>
      <c r="Y45" s="343"/>
      <c r="Z45" s="343"/>
      <c r="AA45" s="343"/>
      <c r="AB45" s="343"/>
      <c r="AC45" s="343"/>
      <c r="AD45" s="343"/>
      <c r="AE45" s="343"/>
      <c r="AF45" s="343"/>
      <c r="AG45" s="343"/>
      <c r="AH45" s="343"/>
      <c r="AI45" s="343"/>
      <c r="AJ45" s="343"/>
      <c r="AK45" s="343"/>
      <c r="AL45" s="114" t="s">
        <v>15628</v>
      </c>
      <c r="AM45" s="396"/>
      <c r="AN45" s="396"/>
      <c r="AO45" s="396"/>
      <c r="AP45" s="396"/>
      <c r="AQ45" s="396"/>
      <c r="AR45" s="396"/>
      <c r="AS45" s="396"/>
      <c r="AT45" s="490"/>
      <c r="AU45" s="387"/>
      <c r="AV45" s="902" t="s">
        <v>15636</v>
      </c>
      <c r="AW45" s="902"/>
      <c r="AX45" s="902"/>
      <c r="AY45" s="903"/>
      <c r="AZ45" s="489">
        <f>ROUND(ROUND(ROUND(Q40*AR46,0)*$AT$16,0)*AV46,0)</f>
        <v>90</v>
      </c>
      <c r="BA45" s="393"/>
    </row>
    <row r="46" spans="1:53" ht="16.5" customHeight="1" x14ac:dyDescent="0.15">
      <c r="A46" s="340">
        <v>12</v>
      </c>
      <c r="B46" s="341">
        <v>7628</v>
      </c>
      <c r="C46" s="390" t="s">
        <v>16631</v>
      </c>
      <c r="D46" s="403"/>
      <c r="E46" s="404"/>
      <c r="F46" s="404"/>
      <c r="G46" s="404"/>
      <c r="H46" s="406"/>
      <c r="Q46" s="395"/>
      <c r="R46" s="151"/>
      <c r="S46" s="151"/>
      <c r="U46" s="387"/>
      <c r="V46" s="343" t="s">
        <v>15625</v>
      </c>
      <c r="W46" s="325"/>
      <c r="X46" s="325"/>
      <c r="Y46" s="325"/>
      <c r="Z46" s="325"/>
      <c r="AA46" s="325"/>
      <c r="AB46" s="325"/>
      <c r="AC46" s="325"/>
      <c r="AD46" s="325"/>
      <c r="AE46" s="325"/>
      <c r="AF46" s="325"/>
      <c r="AG46" s="325"/>
      <c r="AH46" s="325"/>
      <c r="AI46" s="391" t="s">
        <v>15626</v>
      </c>
      <c r="AJ46" s="838">
        <f>AJ44</f>
        <v>1</v>
      </c>
      <c r="AK46" s="843"/>
      <c r="AL46" s="324" t="s">
        <v>15630</v>
      </c>
      <c r="AM46" s="325"/>
      <c r="AN46" s="325"/>
      <c r="AO46" s="325"/>
      <c r="AP46" s="325"/>
      <c r="AQ46" s="190" t="s">
        <v>398</v>
      </c>
      <c r="AR46" s="844">
        <f>AR42</f>
        <v>0.85</v>
      </c>
      <c r="AS46" s="844"/>
      <c r="AT46" s="501"/>
      <c r="AU46" s="502"/>
      <c r="AV46" s="844">
        <f>AV38</f>
        <v>0.8</v>
      </c>
      <c r="AW46" s="844"/>
      <c r="AX46" s="844"/>
      <c r="AY46" s="845"/>
      <c r="AZ46" s="489">
        <f>ROUND(ROUND(ROUND(ROUND(Q40*AJ46,0)*AR46,0)*$AT$16,0)*AV46,0)</f>
        <v>90</v>
      </c>
      <c r="BA46" s="393"/>
    </row>
    <row r="47" spans="1:53" ht="16.5" customHeight="1" x14ac:dyDescent="0.15">
      <c r="A47" s="340">
        <v>12</v>
      </c>
      <c r="B47" s="341">
        <v>7629</v>
      </c>
      <c r="C47" s="390" t="s">
        <v>16632</v>
      </c>
      <c r="D47" s="403"/>
      <c r="E47" s="404"/>
      <c r="F47" s="404"/>
      <c r="G47" s="404"/>
      <c r="H47" s="406"/>
      <c r="I47" s="908" t="s">
        <v>16336</v>
      </c>
      <c r="J47" s="909"/>
      <c r="K47" s="909"/>
      <c r="L47" s="909"/>
      <c r="M47" s="909"/>
      <c r="N47" s="909"/>
      <c r="O47" s="909"/>
      <c r="P47" s="909"/>
      <c r="Q47" s="909"/>
      <c r="R47" s="909"/>
      <c r="S47" s="909"/>
      <c r="T47" s="909"/>
      <c r="U47" s="910"/>
      <c r="V47" s="343"/>
      <c r="W47" s="325"/>
      <c r="X47" s="325"/>
      <c r="Y47" s="325"/>
      <c r="Z47" s="325"/>
      <c r="AA47" s="325"/>
      <c r="AB47" s="325"/>
      <c r="AC47" s="325"/>
      <c r="AD47" s="325"/>
      <c r="AE47" s="325"/>
      <c r="AF47" s="325"/>
      <c r="AG47" s="325"/>
      <c r="AH47" s="325"/>
      <c r="AI47" s="391"/>
      <c r="AJ47" s="401"/>
      <c r="AK47" s="402"/>
      <c r="AL47" s="396"/>
      <c r="AM47" s="396"/>
      <c r="AN47" s="396"/>
      <c r="AO47" s="396"/>
      <c r="AP47" s="396"/>
      <c r="AQ47" s="396"/>
      <c r="AR47" s="396"/>
      <c r="AS47" s="396"/>
      <c r="AT47" s="490"/>
      <c r="AU47" s="387"/>
      <c r="AV47" s="400"/>
      <c r="AW47" s="400"/>
      <c r="AX47" s="396"/>
      <c r="AY47" s="397"/>
      <c r="AZ47" s="489">
        <f>ROUND(Q48*$AT$16,0)</f>
        <v>130</v>
      </c>
      <c r="BA47" s="393"/>
    </row>
    <row r="48" spans="1:53" ht="16.5" customHeight="1" x14ac:dyDescent="0.15">
      <c r="A48" s="340">
        <v>12</v>
      </c>
      <c r="B48" s="341">
        <v>7630</v>
      </c>
      <c r="C48" s="390" t="s">
        <v>16633</v>
      </c>
      <c r="D48" s="403"/>
      <c r="E48" s="404"/>
      <c r="F48" s="404"/>
      <c r="G48" s="404"/>
      <c r="H48" s="406"/>
      <c r="Q48" s="836">
        <f>ROUND(Q240*$F$13,0)</f>
        <v>104</v>
      </c>
      <c r="R48" s="911"/>
      <c r="S48" s="911"/>
      <c r="T48" s="152" t="s">
        <v>15624</v>
      </c>
      <c r="U48" s="387"/>
      <c r="V48" s="343" t="s">
        <v>15625</v>
      </c>
      <c r="W48" s="325"/>
      <c r="X48" s="325"/>
      <c r="Y48" s="325"/>
      <c r="Z48" s="325"/>
      <c r="AA48" s="325"/>
      <c r="AB48" s="325"/>
      <c r="AC48" s="325"/>
      <c r="AD48" s="325"/>
      <c r="AE48" s="325"/>
      <c r="AF48" s="325"/>
      <c r="AG48" s="325"/>
      <c r="AH48" s="325"/>
      <c r="AI48" s="391" t="s">
        <v>15626</v>
      </c>
      <c r="AJ48" s="838">
        <f>AJ46</f>
        <v>1</v>
      </c>
      <c r="AK48" s="839"/>
      <c r="AL48" s="325"/>
      <c r="AM48" s="325"/>
      <c r="AN48" s="325"/>
      <c r="AO48" s="325"/>
      <c r="AP48" s="325"/>
      <c r="AQ48" s="325"/>
      <c r="AR48" s="325"/>
      <c r="AS48" s="325"/>
      <c r="AT48" s="490"/>
      <c r="AU48" s="387"/>
      <c r="AY48" s="387"/>
      <c r="AZ48" s="489">
        <f>ROUND(ROUND(Q48*AJ48,0)*$AT$16,0)</f>
        <v>130</v>
      </c>
      <c r="BA48" s="393"/>
    </row>
    <row r="49" spans="1:53" ht="16.5" customHeight="1" x14ac:dyDescent="0.15">
      <c r="A49" s="340">
        <v>12</v>
      </c>
      <c r="B49" s="341">
        <v>7631</v>
      </c>
      <c r="C49" s="390" t="s">
        <v>16634</v>
      </c>
      <c r="D49" s="403"/>
      <c r="E49" s="404"/>
      <c r="F49" s="404"/>
      <c r="G49" s="404"/>
      <c r="H49" s="406"/>
      <c r="Q49" s="395"/>
      <c r="R49" s="151"/>
      <c r="S49" s="151"/>
      <c r="U49" s="387"/>
      <c r="V49" s="343"/>
      <c r="W49" s="343"/>
      <c r="X49" s="343"/>
      <c r="Y49" s="343"/>
      <c r="Z49" s="343"/>
      <c r="AA49" s="343"/>
      <c r="AB49" s="343"/>
      <c r="AC49" s="343"/>
      <c r="AD49" s="343"/>
      <c r="AE49" s="343"/>
      <c r="AF49" s="343"/>
      <c r="AG49" s="343"/>
      <c r="AH49" s="343"/>
      <c r="AI49" s="343"/>
      <c r="AJ49" s="343"/>
      <c r="AK49" s="343"/>
      <c r="AL49" s="114" t="s">
        <v>15628</v>
      </c>
      <c r="AM49" s="396"/>
      <c r="AN49" s="396"/>
      <c r="AO49" s="396"/>
      <c r="AP49" s="396"/>
      <c r="AQ49" s="396"/>
      <c r="AR49" s="396"/>
      <c r="AS49" s="396"/>
      <c r="AT49" s="490"/>
      <c r="AU49" s="387"/>
      <c r="AY49" s="387"/>
      <c r="AZ49" s="489">
        <f>ROUND(ROUND(Q48*AR50,0)*$AT$16,0)</f>
        <v>110</v>
      </c>
      <c r="BA49" s="393"/>
    </row>
    <row r="50" spans="1:53" ht="16.5" customHeight="1" x14ac:dyDescent="0.15">
      <c r="A50" s="340">
        <v>12</v>
      </c>
      <c r="B50" s="341">
        <v>7632</v>
      </c>
      <c r="C50" s="390" t="s">
        <v>16635</v>
      </c>
      <c r="D50" s="403"/>
      <c r="E50" s="404"/>
      <c r="F50" s="404"/>
      <c r="G50" s="404"/>
      <c r="H50" s="406"/>
      <c r="Q50" s="395"/>
      <c r="R50" s="151"/>
      <c r="S50" s="151"/>
      <c r="U50" s="387"/>
      <c r="V50" s="343" t="s">
        <v>15625</v>
      </c>
      <c r="W50" s="325"/>
      <c r="X50" s="325"/>
      <c r="Y50" s="325"/>
      <c r="Z50" s="325"/>
      <c r="AA50" s="325"/>
      <c r="AB50" s="325"/>
      <c r="AC50" s="325"/>
      <c r="AD50" s="325"/>
      <c r="AE50" s="325"/>
      <c r="AF50" s="325"/>
      <c r="AG50" s="325"/>
      <c r="AH50" s="325"/>
      <c r="AI50" s="391" t="s">
        <v>15626</v>
      </c>
      <c r="AJ50" s="838">
        <f>AJ48</f>
        <v>1</v>
      </c>
      <c r="AK50" s="843"/>
      <c r="AL50" s="324" t="s">
        <v>15630</v>
      </c>
      <c r="AM50" s="325"/>
      <c r="AN50" s="325"/>
      <c r="AO50" s="325"/>
      <c r="AP50" s="325"/>
      <c r="AQ50" s="190" t="s">
        <v>398</v>
      </c>
      <c r="AR50" s="844">
        <f>AR46</f>
        <v>0.85</v>
      </c>
      <c r="AS50" s="844"/>
      <c r="AT50" s="501"/>
      <c r="AU50" s="502"/>
      <c r="AY50" s="387"/>
      <c r="AZ50" s="489">
        <f>ROUND(ROUND(ROUND(Q48*AJ50,0)*AR50,0)*$AT$16,0)</f>
        <v>110</v>
      </c>
      <c r="BA50" s="393"/>
    </row>
    <row r="51" spans="1:53" ht="16.5" customHeight="1" x14ac:dyDescent="0.15">
      <c r="A51" s="340">
        <v>12</v>
      </c>
      <c r="B51" s="341">
        <v>7633</v>
      </c>
      <c r="C51" s="390" t="s">
        <v>16636</v>
      </c>
      <c r="D51" s="403"/>
      <c r="E51" s="404"/>
      <c r="F51" s="404"/>
      <c r="G51" s="404"/>
      <c r="H51" s="406"/>
      <c r="I51" s="10"/>
      <c r="Q51" s="395"/>
      <c r="R51" s="151"/>
      <c r="S51" s="151"/>
      <c r="U51" s="387"/>
      <c r="V51" s="343"/>
      <c r="W51" s="325"/>
      <c r="X51" s="325"/>
      <c r="Y51" s="325"/>
      <c r="Z51" s="325"/>
      <c r="AA51" s="325"/>
      <c r="AB51" s="325"/>
      <c r="AC51" s="325"/>
      <c r="AD51" s="325"/>
      <c r="AE51" s="325"/>
      <c r="AF51" s="325"/>
      <c r="AG51" s="325"/>
      <c r="AH51" s="325"/>
      <c r="AI51" s="391"/>
      <c r="AJ51" s="401"/>
      <c r="AK51" s="402"/>
      <c r="AL51" s="396"/>
      <c r="AM51" s="396"/>
      <c r="AN51" s="396"/>
      <c r="AO51" s="396"/>
      <c r="AP51" s="396"/>
      <c r="AQ51" s="396"/>
      <c r="AR51" s="396"/>
      <c r="AS51" s="396"/>
      <c r="AT51" s="490"/>
      <c r="AU51" s="387"/>
      <c r="AV51" s="858" t="s">
        <v>16296</v>
      </c>
      <c r="AW51" s="858"/>
      <c r="AX51" s="858"/>
      <c r="AY51" s="860"/>
      <c r="AZ51" s="489">
        <f>ROUND(ROUND(Q48*$AT$16,0)*AV54,0)</f>
        <v>104</v>
      </c>
      <c r="BA51" s="393"/>
    </row>
    <row r="52" spans="1:53" ht="16.5" customHeight="1" x14ac:dyDescent="0.15">
      <c r="A52" s="340">
        <v>12</v>
      </c>
      <c r="B52" s="341">
        <v>7634</v>
      </c>
      <c r="C52" s="390" t="s">
        <v>16637</v>
      </c>
      <c r="D52" s="403"/>
      <c r="E52" s="404"/>
      <c r="F52" s="404"/>
      <c r="G52" s="404"/>
      <c r="H52" s="406"/>
      <c r="Q52" s="899"/>
      <c r="R52" s="899"/>
      <c r="S52" s="899"/>
      <c r="U52" s="387"/>
      <c r="V52" s="343" t="s">
        <v>15625</v>
      </c>
      <c r="W52" s="325"/>
      <c r="X52" s="325"/>
      <c r="Y52" s="325"/>
      <c r="Z52" s="325"/>
      <c r="AA52" s="325"/>
      <c r="AB52" s="325"/>
      <c r="AC52" s="325"/>
      <c r="AD52" s="325"/>
      <c r="AE52" s="325"/>
      <c r="AF52" s="325"/>
      <c r="AG52" s="325"/>
      <c r="AH52" s="325"/>
      <c r="AI52" s="391" t="s">
        <v>15626</v>
      </c>
      <c r="AJ52" s="838">
        <f>AJ50</f>
        <v>1</v>
      </c>
      <c r="AK52" s="839"/>
      <c r="AL52" s="325"/>
      <c r="AM52" s="325"/>
      <c r="AN52" s="325"/>
      <c r="AO52" s="325"/>
      <c r="AP52" s="325"/>
      <c r="AQ52" s="325"/>
      <c r="AR52" s="325"/>
      <c r="AS52" s="325"/>
      <c r="AT52" s="490"/>
      <c r="AU52" s="387"/>
      <c r="AV52" s="850"/>
      <c r="AW52" s="850"/>
      <c r="AX52" s="850"/>
      <c r="AY52" s="852"/>
      <c r="AZ52" s="489">
        <f>ROUND(ROUND(ROUND(Q48*AJ52,0)*$AT$16,0)*AV54,0)</f>
        <v>104</v>
      </c>
      <c r="BA52" s="393"/>
    </row>
    <row r="53" spans="1:53" ht="16.5" customHeight="1" x14ac:dyDescent="0.15">
      <c r="A53" s="340">
        <v>12</v>
      </c>
      <c r="B53" s="341">
        <v>7635</v>
      </c>
      <c r="C53" s="390" t="s">
        <v>16638</v>
      </c>
      <c r="D53" s="403"/>
      <c r="E53" s="404"/>
      <c r="F53" s="404"/>
      <c r="G53" s="404"/>
      <c r="H53" s="406"/>
      <c r="Q53" s="395"/>
      <c r="R53" s="151"/>
      <c r="S53" s="151"/>
      <c r="U53" s="387"/>
      <c r="V53" s="343"/>
      <c r="W53" s="343"/>
      <c r="X53" s="343"/>
      <c r="Y53" s="343"/>
      <c r="Z53" s="343"/>
      <c r="AA53" s="343"/>
      <c r="AB53" s="343"/>
      <c r="AC53" s="343"/>
      <c r="AD53" s="343"/>
      <c r="AE53" s="343"/>
      <c r="AF53" s="343"/>
      <c r="AG53" s="343"/>
      <c r="AH53" s="343"/>
      <c r="AI53" s="343"/>
      <c r="AJ53" s="343"/>
      <c r="AK53" s="343"/>
      <c r="AL53" s="114" t="s">
        <v>15628</v>
      </c>
      <c r="AM53" s="396"/>
      <c r="AN53" s="396"/>
      <c r="AO53" s="396"/>
      <c r="AP53" s="396"/>
      <c r="AQ53" s="396"/>
      <c r="AR53" s="396"/>
      <c r="AS53" s="396"/>
      <c r="AT53" s="490"/>
      <c r="AU53" s="387"/>
      <c r="AV53" s="902" t="s">
        <v>15636</v>
      </c>
      <c r="AW53" s="902"/>
      <c r="AX53" s="902"/>
      <c r="AY53" s="903"/>
      <c r="AZ53" s="489">
        <f>ROUND(ROUND(ROUND(Q48*AR54,0)*$AT$16,0)*AV54,0)</f>
        <v>88</v>
      </c>
      <c r="BA53" s="393"/>
    </row>
    <row r="54" spans="1:53" ht="16.5" customHeight="1" x14ac:dyDescent="0.15">
      <c r="A54" s="340">
        <v>12</v>
      </c>
      <c r="B54" s="341">
        <v>7636</v>
      </c>
      <c r="C54" s="390" t="s">
        <v>16639</v>
      </c>
      <c r="D54" s="403"/>
      <c r="E54" s="404"/>
      <c r="F54" s="404"/>
      <c r="G54" s="404"/>
      <c r="H54" s="406"/>
      <c r="Q54" s="395"/>
      <c r="R54" s="151"/>
      <c r="S54" s="151"/>
      <c r="U54" s="387"/>
      <c r="V54" s="343" t="s">
        <v>15625</v>
      </c>
      <c r="W54" s="325"/>
      <c r="X54" s="325"/>
      <c r="Y54" s="325"/>
      <c r="Z54" s="325"/>
      <c r="AA54" s="325"/>
      <c r="AB54" s="325"/>
      <c r="AC54" s="325"/>
      <c r="AD54" s="325"/>
      <c r="AE54" s="325"/>
      <c r="AF54" s="325"/>
      <c r="AG54" s="325"/>
      <c r="AH54" s="325"/>
      <c r="AI54" s="391" t="s">
        <v>15626</v>
      </c>
      <c r="AJ54" s="838">
        <f>AJ52</f>
        <v>1</v>
      </c>
      <c r="AK54" s="843"/>
      <c r="AL54" s="324" t="s">
        <v>15630</v>
      </c>
      <c r="AM54" s="325"/>
      <c r="AN54" s="325"/>
      <c r="AO54" s="325"/>
      <c r="AP54" s="325"/>
      <c r="AQ54" s="190" t="s">
        <v>398</v>
      </c>
      <c r="AR54" s="844">
        <f>AR50</f>
        <v>0.85</v>
      </c>
      <c r="AS54" s="844"/>
      <c r="AT54" s="501"/>
      <c r="AU54" s="502"/>
      <c r="AV54" s="844">
        <f>AV46</f>
        <v>0.8</v>
      </c>
      <c r="AW54" s="844"/>
      <c r="AX54" s="844"/>
      <c r="AY54" s="845"/>
      <c r="AZ54" s="489">
        <f>ROUND(ROUND(ROUND(ROUND(Q48*AJ54,0)*AR54,0)*$AT$16,0)*AV54,0)</f>
        <v>88</v>
      </c>
      <c r="BA54" s="393"/>
    </row>
    <row r="55" spans="1:53" ht="16.5" customHeight="1" x14ac:dyDescent="0.15">
      <c r="A55" s="340">
        <v>12</v>
      </c>
      <c r="B55" s="341">
        <v>7637</v>
      </c>
      <c r="C55" s="390" t="s">
        <v>16640</v>
      </c>
      <c r="D55" s="403"/>
      <c r="E55" s="404"/>
      <c r="F55" s="404"/>
      <c r="G55" s="404"/>
      <c r="H55" s="406"/>
      <c r="I55" s="908" t="s">
        <v>16345</v>
      </c>
      <c r="J55" s="909"/>
      <c r="K55" s="909"/>
      <c r="L55" s="909"/>
      <c r="M55" s="909"/>
      <c r="N55" s="909"/>
      <c r="O55" s="909"/>
      <c r="P55" s="909"/>
      <c r="Q55" s="909"/>
      <c r="R55" s="909"/>
      <c r="S55" s="909"/>
      <c r="T55" s="909"/>
      <c r="U55" s="910"/>
      <c r="V55" s="343"/>
      <c r="W55" s="325"/>
      <c r="X55" s="325"/>
      <c r="Y55" s="325"/>
      <c r="Z55" s="325"/>
      <c r="AA55" s="325"/>
      <c r="AB55" s="325"/>
      <c r="AC55" s="325"/>
      <c r="AD55" s="325"/>
      <c r="AE55" s="325"/>
      <c r="AF55" s="325"/>
      <c r="AG55" s="325"/>
      <c r="AH55" s="325"/>
      <c r="AI55" s="391"/>
      <c r="AJ55" s="401"/>
      <c r="AK55" s="402"/>
      <c r="AL55" s="396"/>
      <c r="AM55" s="396"/>
      <c r="AN55" s="396"/>
      <c r="AO55" s="396"/>
      <c r="AP55" s="396"/>
      <c r="AQ55" s="396"/>
      <c r="AR55" s="396"/>
      <c r="AS55" s="396"/>
      <c r="AT55" s="490"/>
      <c r="AU55" s="387"/>
      <c r="AV55" s="400"/>
      <c r="AW55" s="400"/>
      <c r="AX55" s="396"/>
      <c r="AY55" s="397"/>
      <c r="AZ55" s="489">
        <f>ROUND(Q56*$AT$16,0)</f>
        <v>133</v>
      </c>
      <c r="BA55" s="393"/>
    </row>
    <row r="56" spans="1:53" ht="16.5" customHeight="1" x14ac:dyDescent="0.15">
      <c r="A56" s="340">
        <v>12</v>
      </c>
      <c r="B56" s="341">
        <v>7638</v>
      </c>
      <c r="C56" s="390" t="s">
        <v>16641</v>
      </c>
      <c r="D56" s="403"/>
      <c r="E56" s="404"/>
      <c r="F56" s="404"/>
      <c r="G56" s="404"/>
      <c r="H56" s="406"/>
      <c r="Q56" s="836">
        <f>ROUND(Q248*$F$13,0)</f>
        <v>106</v>
      </c>
      <c r="R56" s="911"/>
      <c r="S56" s="911"/>
      <c r="T56" s="152" t="s">
        <v>15624</v>
      </c>
      <c r="U56" s="387"/>
      <c r="V56" s="343" t="s">
        <v>15625</v>
      </c>
      <c r="W56" s="325"/>
      <c r="X56" s="325"/>
      <c r="Y56" s="325"/>
      <c r="Z56" s="325"/>
      <c r="AA56" s="325"/>
      <c r="AB56" s="325"/>
      <c r="AC56" s="325"/>
      <c r="AD56" s="325"/>
      <c r="AE56" s="325"/>
      <c r="AF56" s="325"/>
      <c r="AG56" s="325"/>
      <c r="AH56" s="325"/>
      <c r="AI56" s="391" t="s">
        <v>15626</v>
      </c>
      <c r="AJ56" s="838">
        <f>AJ54</f>
        <v>1</v>
      </c>
      <c r="AK56" s="839"/>
      <c r="AL56" s="325"/>
      <c r="AM56" s="325"/>
      <c r="AN56" s="325"/>
      <c r="AO56" s="325"/>
      <c r="AP56" s="325"/>
      <c r="AQ56" s="325"/>
      <c r="AR56" s="325"/>
      <c r="AS56" s="325"/>
      <c r="AT56" s="490"/>
      <c r="AU56" s="387"/>
      <c r="AY56" s="387"/>
      <c r="AZ56" s="489">
        <f>ROUND(ROUND(Q56*AJ56,0)*$AT$16,0)</f>
        <v>133</v>
      </c>
      <c r="BA56" s="393"/>
    </row>
    <row r="57" spans="1:53" ht="16.5" customHeight="1" x14ac:dyDescent="0.15">
      <c r="A57" s="340">
        <v>12</v>
      </c>
      <c r="B57" s="341">
        <v>7639</v>
      </c>
      <c r="C57" s="390" t="s">
        <v>16642</v>
      </c>
      <c r="D57" s="403"/>
      <c r="E57" s="404"/>
      <c r="F57" s="404"/>
      <c r="G57" s="404"/>
      <c r="H57" s="406"/>
      <c r="Q57" s="395"/>
      <c r="R57" s="151"/>
      <c r="S57" s="151"/>
      <c r="U57" s="387"/>
      <c r="V57" s="343"/>
      <c r="W57" s="343"/>
      <c r="X57" s="343"/>
      <c r="Y57" s="343"/>
      <c r="Z57" s="343"/>
      <c r="AA57" s="343"/>
      <c r="AB57" s="343"/>
      <c r="AC57" s="343"/>
      <c r="AD57" s="343"/>
      <c r="AE57" s="343"/>
      <c r="AF57" s="343"/>
      <c r="AG57" s="343"/>
      <c r="AH57" s="343"/>
      <c r="AI57" s="343"/>
      <c r="AJ57" s="343"/>
      <c r="AK57" s="343"/>
      <c r="AL57" s="114" t="s">
        <v>15628</v>
      </c>
      <c r="AM57" s="396"/>
      <c r="AN57" s="396"/>
      <c r="AO57" s="396"/>
      <c r="AP57" s="396"/>
      <c r="AQ57" s="396"/>
      <c r="AR57" s="396"/>
      <c r="AS57" s="396"/>
      <c r="AT57" s="490"/>
      <c r="AU57" s="387"/>
      <c r="AY57" s="387"/>
      <c r="AZ57" s="489">
        <f>ROUND(ROUND(Q56*AR58,0)*$AT$16,0)</f>
        <v>113</v>
      </c>
      <c r="BA57" s="393"/>
    </row>
    <row r="58" spans="1:53" ht="16.5" customHeight="1" x14ac:dyDescent="0.15">
      <c r="A58" s="340">
        <v>12</v>
      </c>
      <c r="B58" s="341">
        <v>7640</v>
      </c>
      <c r="C58" s="390" t="s">
        <v>16643</v>
      </c>
      <c r="D58" s="403"/>
      <c r="E58" s="404"/>
      <c r="F58" s="404"/>
      <c r="G58" s="404"/>
      <c r="H58" s="406"/>
      <c r="Q58" s="395"/>
      <c r="R58" s="151"/>
      <c r="S58" s="151"/>
      <c r="U58" s="387"/>
      <c r="V58" s="343" t="s">
        <v>15625</v>
      </c>
      <c r="W58" s="325"/>
      <c r="X58" s="325"/>
      <c r="Y58" s="325"/>
      <c r="Z58" s="325"/>
      <c r="AA58" s="325"/>
      <c r="AB58" s="325"/>
      <c r="AC58" s="325"/>
      <c r="AD58" s="325"/>
      <c r="AE58" s="325"/>
      <c r="AF58" s="325"/>
      <c r="AG58" s="325"/>
      <c r="AH58" s="325"/>
      <c r="AI58" s="391" t="s">
        <v>15626</v>
      </c>
      <c r="AJ58" s="838">
        <f>AJ56</f>
        <v>1</v>
      </c>
      <c r="AK58" s="843"/>
      <c r="AL58" s="324" t="s">
        <v>15630</v>
      </c>
      <c r="AM58" s="325"/>
      <c r="AN58" s="325"/>
      <c r="AO58" s="325"/>
      <c r="AP58" s="325"/>
      <c r="AQ58" s="190" t="s">
        <v>398</v>
      </c>
      <c r="AR58" s="844">
        <f>AR54</f>
        <v>0.85</v>
      </c>
      <c r="AS58" s="844"/>
      <c r="AT58" s="501"/>
      <c r="AU58" s="502"/>
      <c r="AY58" s="387"/>
      <c r="AZ58" s="489">
        <f>ROUND(ROUND(ROUND(Q56*AJ58,0)*AR58,0)*$AT$16,0)</f>
        <v>113</v>
      </c>
      <c r="BA58" s="393"/>
    </row>
    <row r="59" spans="1:53" ht="16.5" customHeight="1" x14ac:dyDescent="0.15">
      <c r="A59" s="340">
        <v>12</v>
      </c>
      <c r="B59" s="341">
        <v>7641</v>
      </c>
      <c r="C59" s="390" t="s">
        <v>16644</v>
      </c>
      <c r="D59" s="403"/>
      <c r="E59" s="404"/>
      <c r="F59" s="404"/>
      <c r="G59" s="404"/>
      <c r="H59" s="406"/>
      <c r="I59" s="10"/>
      <c r="Q59" s="395"/>
      <c r="R59" s="151"/>
      <c r="S59" s="151"/>
      <c r="U59" s="387"/>
      <c r="V59" s="343"/>
      <c r="W59" s="325"/>
      <c r="X59" s="325"/>
      <c r="Y59" s="325"/>
      <c r="Z59" s="325"/>
      <c r="AA59" s="325"/>
      <c r="AB59" s="325"/>
      <c r="AC59" s="325"/>
      <c r="AD59" s="325"/>
      <c r="AE59" s="325"/>
      <c r="AF59" s="325"/>
      <c r="AG59" s="325"/>
      <c r="AH59" s="325"/>
      <c r="AI59" s="391"/>
      <c r="AJ59" s="401"/>
      <c r="AK59" s="402"/>
      <c r="AL59" s="396"/>
      <c r="AM59" s="396"/>
      <c r="AN59" s="396"/>
      <c r="AO59" s="396"/>
      <c r="AP59" s="396"/>
      <c r="AQ59" s="396"/>
      <c r="AR59" s="396"/>
      <c r="AS59" s="396"/>
      <c r="AT59" s="490"/>
      <c r="AU59" s="387"/>
      <c r="AV59" s="858" t="s">
        <v>16296</v>
      </c>
      <c r="AW59" s="858"/>
      <c r="AX59" s="858"/>
      <c r="AY59" s="860"/>
      <c r="AZ59" s="489">
        <f>ROUND(ROUND(Q56*$AT$16,0)*AV62,0)</f>
        <v>106</v>
      </c>
      <c r="BA59" s="393"/>
    </row>
    <row r="60" spans="1:53" ht="16.5" customHeight="1" x14ac:dyDescent="0.15">
      <c r="A60" s="340">
        <v>12</v>
      </c>
      <c r="B60" s="341">
        <v>7642</v>
      </c>
      <c r="C60" s="390" t="s">
        <v>16645</v>
      </c>
      <c r="D60" s="403"/>
      <c r="E60" s="404"/>
      <c r="F60" s="404"/>
      <c r="G60" s="404"/>
      <c r="H60" s="406"/>
      <c r="Q60" s="899"/>
      <c r="R60" s="899"/>
      <c r="S60" s="899"/>
      <c r="U60" s="387"/>
      <c r="V60" s="343" t="s">
        <v>15625</v>
      </c>
      <c r="W60" s="325"/>
      <c r="X60" s="325"/>
      <c r="Y60" s="325"/>
      <c r="Z60" s="325"/>
      <c r="AA60" s="325"/>
      <c r="AB60" s="325"/>
      <c r="AC60" s="325"/>
      <c r="AD60" s="325"/>
      <c r="AE60" s="325"/>
      <c r="AF60" s="325"/>
      <c r="AG60" s="325"/>
      <c r="AH60" s="325"/>
      <c r="AI60" s="391" t="s">
        <v>15626</v>
      </c>
      <c r="AJ60" s="838">
        <f>AJ58</f>
        <v>1</v>
      </c>
      <c r="AK60" s="839"/>
      <c r="AL60" s="325"/>
      <c r="AM60" s="325"/>
      <c r="AN60" s="325"/>
      <c r="AO60" s="325"/>
      <c r="AP60" s="325"/>
      <c r="AQ60" s="325"/>
      <c r="AR60" s="325"/>
      <c r="AS60" s="325"/>
      <c r="AT60" s="490"/>
      <c r="AU60" s="387"/>
      <c r="AV60" s="850"/>
      <c r="AW60" s="850"/>
      <c r="AX60" s="850"/>
      <c r="AY60" s="852"/>
      <c r="AZ60" s="489">
        <f>ROUND(ROUND(ROUND(Q56*AJ60,0)*$AT$16,0)*AV62,0)</f>
        <v>106</v>
      </c>
      <c r="BA60" s="393"/>
    </row>
    <row r="61" spans="1:53" ht="16.5" customHeight="1" x14ac:dyDescent="0.15">
      <c r="A61" s="340">
        <v>12</v>
      </c>
      <c r="B61" s="341">
        <v>7643</v>
      </c>
      <c r="C61" s="390" t="s">
        <v>16646</v>
      </c>
      <c r="D61" s="403"/>
      <c r="E61" s="404"/>
      <c r="F61" s="404"/>
      <c r="G61" s="404"/>
      <c r="H61" s="406"/>
      <c r="Q61" s="395"/>
      <c r="R61" s="151"/>
      <c r="S61" s="151"/>
      <c r="U61" s="387"/>
      <c r="V61" s="343"/>
      <c r="W61" s="343"/>
      <c r="X61" s="343"/>
      <c r="Y61" s="343"/>
      <c r="Z61" s="343"/>
      <c r="AA61" s="343"/>
      <c r="AB61" s="343"/>
      <c r="AC61" s="343"/>
      <c r="AD61" s="343"/>
      <c r="AE61" s="343"/>
      <c r="AF61" s="343"/>
      <c r="AG61" s="343"/>
      <c r="AH61" s="343"/>
      <c r="AI61" s="343"/>
      <c r="AJ61" s="343"/>
      <c r="AK61" s="343"/>
      <c r="AL61" s="114" t="s">
        <v>15628</v>
      </c>
      <c r="AM61" s="396"/>
      <c r="AN61" s="396"/>
      <c r="AO61" s="396"/>
      <c r="AP61" s="396"/>
      <c r="AQ61" s="396"/>
      <c r="AR61" s="396"/>
      <c r="AS61" s="396"/>
      <c r="AT61" s="490"/>
      <c r="AU61" s="387"/>
      <c r="AV61" s="902" t="s">
        <v>15636</v>
      </c>
      <c r="AW61" s="902"/>
      <c r="AX61" s="902"/>
      <c r="AY61" s="903"/>
      <c r="AZ61" s="489">
        <f>ROUND(ROUND(ROUND(Q56*AR62,0)*$AT$16,0)*AV62,0)</f>
        <v>90</v>
      </c>
      <c r="BA61" s="393"/>
    </row>
    <row r="62" spans="1:53" ht="16.5" customHeight="1" x14ac:dyDescent="0.15">
      <c r="A62" s="340">
        <v>12</v>
      </c>
      <c r="B62" s="341">
        <v>7644</v>
      </c>
      <c r="C62" s="390" t="s">
        <v>16647</v>
      </c>
      <c r="D62" s="403"/>
      <c r="E62" s="404"/>
      <c r="F62" s="404"/>
      <c r="G62" s="404"/>
      <c r="H62" s="406"/>
      <c r="Q62" s="395"/>
      <c r="R62" s="151"/>
      <c r="S62" s="151"/>
      <c r="U62" s="387"/>
      <c r="V62" s="343" t="s">
        <v>15625</v>
      </c>
      <c r="W62" s="325"/>
      <c r="X62" s="325"/>
      <c r="Y62" s="325"/>
      <c r="Z62" s="325"/>
      <c r="AA62" s="325"/>
      <c r="AB62" s="325"/>
      <c r="AC62" s="325"/>
      <c r="AD62" s="325"/>
      <c r="AE62" s="325"/>
      <c r="AF62" s="325"/>
      <c r="AG62" s="325"/>
      <c r="AH62" s="325"/>
      <c r="AI62" s="391" t="s">
        <v>15626</v>
      </c>
      <c r="AJ62" s="838">
        <f>AJ60</f>
        <v>1</v>
      </c>
      <c r="AK62" s="843"/>
      <c r="AL62" s="324" t="s">
        <v>15630</v>
      </c>
      <c r="AM62" s="325"/>
      <c r="AN62" s="325"/>
      <c r="AO62" s="325"/>
      <c r="AP62" s="325"/>
      <c r="AQ62" s="190" t="s">
        <v>398</v>
      </c>
      <c r="AR62" s="844">
        <f>AR58</f>
        <v>0.85</v>
      </c>
      <c r="AS62" s="844"/>
      <c r="AT62" s="501"/>
      <c r="AU62" s="502"/>
      <c r="AV62" s="844">
        <f>AV54</f>
        <v>0.8</v>
      </c>
      <c r="AW62" s="844"/>
      <c r="AX62" s="844"/>
      <c r="AY62" s="845"/>
      <c r="AZ62" s="489">
        <f>ROUND(ROUND(ROUND(ROUND(Q56*AJ62,0)*AR62,0)*$AT$16,0)*AV62,0)</f>
        <v>90</v>
      </c>
      <c r="BA62" s="393"/>
    </row>
    <row r="63" spans="1:53" ht="17.100000000000001" customHeight="1" x14ac:dyDescent="0.15">
      <c r="A63" s="340">
        <v>12</v>
      </c>
      <c r="B63" s="341">
        <v>7645</v>
      </c>
      <c r="C63" s="390" t="s">
        <v>16648</v>
      </c>
      <c r="D63" s="403"/>
      <c r="E63" s="404"/>
      <c r="F63" s="404"/>
      <c r="G63" s="404"/>
      <c r="H63" s="406"/>
      <c r="I63" s="908" t="s">
        <v>16354</v>
      </c>
      <c r="J63" s="909"/>
      <c r="K63" s="909"/>
      <c r="L63" s="909"/>
      <c r="M63" s="909"/>
      <c r="N63" s="909"/>
      <c r="O63" s="909"/>
      <c r="P63" s="909"/>
      <c r="Q63" s="909"/>
      <c r="R63" s="909"/>
      <c r="S63" s="909"/>
      <c r="T63" s="909"/>
      <c r="U63" s="910"/>
      <c r="V63" s="343"/>
      <c r="W63" s="343"/>
      <c r="X63" s="343"/>
      <c r="Y63" s="343"/>
      <c r="Z63" s="343"/>
      <c r="AA63" s="343"/>
      <c r="AB63" s="343"/>
      <c r="AC63" s="343"/>
      <c r="AD63" s="343"/>
      <c r="AE63" s="343"/>
      <c r="AF63" s="343"/>
      <c r="AG63" s="343"/>
      <c r="AH63" s="343"/>
      <c r="AI63" s="343"/>
      <c r="AJ63" s="401"/>
      <c r="AK63" s="402"/>
      <c r="AL63" s="396"/>
      <c r="AM63" s="396"/>
      <c r="AN63" s="396"/>
      <c r="AO63" s="396"/>
      <c r="AP63" s="396"/>
      <c r="AQ63" s="396"/>
      <c r="AR63" s="396"/>
      <c r="AS63" s="396"/>
      <c r="AT63" s="490"/>
      <c r="AU63" s="387"/>
      <c r="AV63" s="400"/>
      <c r="AW63" s="400"/>
      <c r="AX63" s="396"/>
      <c r="AY63" s="397"/>
      <c r="AZ63" s="489">
        <f>ROUND(Q64*$AT$16,0)</f>
        <v>123</v>
      </c>
      <c r="BA63" s="393"/>
    </row>
    <row r="64" spans="1:53" ht="16.5" customHeight="1" x14ac:dyDescent="0.15">
      <c r="A64" s="340">
        <v>12</v>
      </c>
      <c r="B64" s="341">
        <v>7646</v>
      </c>
      <c r="C64" s="390" t="s">
        <v>16649</v>
      </c>
      <c r="D64" s="403"/>
      <c r="E64" s="404"/>
      <c r="F64" s="404"/>
      <c r="G64" s="404"/>
      <c r="H64" s="406"/>
      <c r="Q64" s="836">
        <f>ROUND(Q256*$F$13,0)</f>
        <v>98</v>
      </c>
      <c r="R64" s="911"/>
      <c r="S64" s="911"/>
      <c r="T64" s="152" t="s">
        <v>15624</v>
      </c>
      <c r="U64" s="387"/>
      <c r="V64" s="343" t="s">
        <v>15625</v>
      </c>
      <c r="W64" s="325"/>
      <c r="X64" s="325"/>
      <c r="Y64" s="325"/>
      <c r="Z64" s="325"/>
      <c r="AA64" s="325"/>
      <c r="AB64" s="325"/>
      <c r="AC64" s="325"/>
      <c r="AD64" s="325"/>
      <c r="AE64" s="325"/>
      <c r="AF64" s="325"/>
      <c r="AG64" s="325"/>
      <c r="AH64" s="325"/>
      <c r="AI64" s="391" t="s">
        <v>15626</v>
      </c>
      <c r="AJ64" s="838">
        <f>AJ62</f>
        <v>1</v>
      </c>
      <c r="AK64" s="839"/>
      <c r="AL64" s="325"/>
      <c r="AM64" s="325"/>
      <c r="AN64" s="325"/>
      <c r="AO64" s="325"/>
      <c r="AP64" s="325"/>
      <c r="AQ64" s="325"/>
      <c r="AR64" s="325"/>
      <c r="AS64" s="391"/>
      <c r="AT64" s="503"/>
      <c r="AU64" s="504"/>
      <c r="AY64" s="387"/>
      <c r="AZ64" s="489">
        <f>ROUND(ROUND(Q64*AJ64,0)*$AT$16,0)</f>
        <v>123</v>
      </c>
      <c r="BA64" s="393"/>
    </row>
    <row r="65" spans="1:53" ht="16.5" customHeight="1" x14ac:dyDescent="0.15">
      <c r="A65" s="340">
        <v>12</v>
      </c>
      <c r="B65" s="341">
        <v>7647</v>
      </c>
      <c r="C65" s="390" t="s">
        <v>16650</v>
      </c>
      <c r="D65" s="403"/>
      <c r="E65" s="404"/>
      <c r="F65" s="404"/>
      <c r="G65" s="404"/>
      <c r="H65" s="406"/>
      <c r="Q65" s="395"/>
      <c r="R65" s="151"/>
      <c r="S65" s="151"/>
      <c r="U65" s="387"/>
      <c r="V65" s="343"/>
      <c r="W65" s="343"/>
      <c r="X65" s="343"/>
      <c r="Y65" s="343"/>
      <c r="Z65" s="343"/>
      <c r="AA65" s="343"/>
      <c r="AB65" s="343"/>
      <c r="AC65" s="343"/>
      <c r="AD65" s="343"/>
      <c r="AE65" s="343"/>
      <c r="AF65" s="343"/>
      <c r="AG65" s="343"/>
      <c r="AH65" s="343"/>
      <c r="AI65" s="343"/>
      <c r="AJ65" s="343"/>
      <c r="AK65" s="343"/>
      <c r="AL65" s="114" t="s">
        <v>15628</v>
      </c>
      <c r="AM65" s="396"/>
      <c r="AN65" s="396"/>
      <c r="AO65" s="396"/>
      <c r="AP65" s="396"/>
      <c r="AQ65" s="396"/>
      <c r="AR65" s="396"/>
      <c r="AS65" s="396"/>
      <c r="AT65" s="490"/>
      <c r="AU65" s="387"/>
      <c r="AY65" s="387"/>
      <c r="AZ65" s="489">
        <f>ROUND(ROUND(Q64*AR66,0)*$AT$16,0)</f>
        <v>104</v>
      </c>
      <c r="BA65" s="393"/>
    </row>
    <row r="66" spans="1:53" ht="16.5" customHeight="1" x14ac:dyDescent="0.15">
      <c r="A66" s="340">
        <v>12</v>
      </c>
      <c r="B66" s="341">
        <v>7648</v>
      </c>
      <c r="C66" s="390" t="s">
        <v>16651</v>
      </c>
      <c r="D66" s="403"/>
      <c r="E66" s="404"/>
      <c r="F66" s="404"/>
      <c r="G66" s="404"/>
      <c r="H66" s="406"/>
      <c r="Q66" s="395"/>
      <c r="R66" s="151"/>
      <c r="S66" s="151"/>
      <c r="U66" s="387"/>
      <c r="V66" s="343" t="s">
        <v>15625</v>
      </c>
      <c r="W66" s="325"/>
      <c r="X66" s="325"/>
      <c r="Y66" s="325"/>
      <c r="Z66" s="325"/>
      <c r="AA66" s="325"/>
      <c r="AB66" s="325"/>
      <c r="AC66" s="325"/>
      <c r="AD66" s="325"/>
      <c r="AE66" s="325"/>
      <c r="AF66" s="325"/>
      <c r="AG66" s="325"/>
      <c r="AH66" s="325"/>
      <c r="AI66" s="391" t="s">
        <v>15626</v>
      </c>
      <c r="AJ66" s="838">
        <f>AJ64</f>
        <v>1</v>
      </c>
      <c r="AK66" s="843"/>
      <c r="AL66" s="324" t="s">
        <v>15630</v>
      </c>
      <c r="AM66" s="325"/>
      <c r="AN66" s="325"/>
      <c r="AO66" s="325"/>
      <c r="AP66" s="325"/>
      <c r="AQ66" s="190" t="s">
        <v>398</v>
      </c>
      <c r="AR66" s="844">
        <f>AR62</f>
        <v>0.85</v>
      </c>
      <c r="AS66" s="844"/>
      <c r="AT66" s="501"/>
      <c r="AU66" s="502"/>
      <c r="AY66" s="387"/>
      <c r="AZ66" s="489">
        <f>ROUND(ROUND(ROUND(Q64*AJ66,0)*AR66,0)*$AT$16,0)</f>
        <v>104</v>
      </c>
      <c r="BA66" s="393"/>
    </row>
    <row r="67" spans="1:53" ht="17.100000000000001" customHeight="1" x14ac:dyDescent="0.15">
      <c r="A67" s="340">
        <v>12</v>
      </c>
      <c r="B67" s="341">
        <v>7649</v>
      </c>
      <c r="C67" s="390" t="s">
        <v>16652</v>
      </c>
      <c r="D67" s="403"/>
      <c r="E67" s="404"/>
      <c r="F67" s="404"/>
      <c r="G67" s="404"/>
      <c r="H67" s="406"/>
      <c r="I67" s="10"/>
      <c r="L67" s="151"/>
      <c r="M67" s="151"/>
      <c r="N67" s="151"/>
      <c r="U67" s="387"/>
      <c r="V67" s="343"/>
      <c r="W67" s="343"/>
      <c r="X67" s="343"/>
      <c r="Y67" s="343"/>
      <c r="Z67" s="343"/>
      <c r="AA67" s="343"/>
      <c r="AB67" s="343"/>
      <c r="AC67" s="343"/>
      <c r="AD67" s="343"/>
      <c r="AE67" s="343"/>
      <c r="AF67" s="343"/>
      <c r="AG67" s="343"/>
      <c r="AH67" s="343"/>
      <c r="AI67" s="343"/>
      <c r="AJ67" s="401"/>
      <c r="AK67" s="402"/>
      <c r="AL67" s="396"/>
      <c r="AM67" s="396"/>
      <c r="AN67" s="396"/>
      <c r="AO67" s="396"/>
      <c r="AP67" s="396"/>
      <c r="AQ67" s="396"/>
      <c r="AR67" s="396"/>
      <c r="AS67" s="396"/>
      <c r="AT67" s="490"/>
      <c r="AU67" s="387"/>
      <c r="AV67" s="858" t="s">
        <v>16296</v>
      </c>
      <c r="AW67" s="858"/>
      <c r="AX67" s="858"/>
      <c r="AY67" s="860"/>
      <c r="AZ67" s="489">
        <f>ROUND(ROUND(Q64*$AT$16,0)*AV70,0)</f>
        <v>98</v>
      </c>
      <c r="BA67" s="393"/>
    </row>
    <row r="68" spans="1:53" ht="16.5" customHeight="1" x14ac:dyDescent="0.15">
      <c r="A68" s="340">
        <v>12</v>
      </c>
      <c r="B68" s="341">
        <v>7650</v>
      </c>
      <c r="C68" s="390" t="s">
        <v>16653</v>
      </c>
      <c r="D68" s="403"/>
      <c r="E68" s="404"/>
      <c r="F68" s="404"/>
      <c r="G68" s="404"/>
      <c r="H68" s="406"/>
      <c r="Q68" s="899"/>
      <c r="R68" s="899"/>
      <c r="S68" s="899"/>
      <c r="U68" s="387"/>
      <c r="V68" s="343" t="s">
        <v>15625</v>
      </c>
      <c r="W68" s="325"/>
      <c r="X68" s="325"/>
      <c r="Y68" s="325"/>
      <c r="Z68" s="325"/>
      <c r="AA68" s="325"/>
      <c r="AB68" s="325"/>
      <c r="AC68" s="325"/>
      <c r="AD68" s="325"/>
      <c r="AE68" s="325"/>
      <c r="AF68" s="325"/>
      <c r="AG68" s="325"/>
      <c r="AH68" s="325"/>
      <c r="AI68" s="391" t="s">
        <v>15626</v>
      </c>
      <c r="AJ68" s="838">
        <f>AJ66</f>
        <v>1</v>
      </c>
      <c r="AK68" s="839"/>
      <c r="AL68" s="325"/>
      <c r="AM68" s="325"/>
      <c r="AN68" s="325"/>
      <c r="AO68" s="325"/>
      <c r="AP68" s="325"/>
      <c r="AQ68" s="325"/>
      <c r="AR68" s="325"/>
      <c r="AS68" s="391"/>
      <c r="AT68" s="503"/>
      <c r="AU68" s="504"/>
      <c r="AV68" s="850"/>
      <c r="AW68" s="850"/>
      <c r="AX68" s="850"/>
      <c r="AY68" s="852"/>
      <c r="AZ68" s="489">
        <f>ROUND(ROUND(ROUND(Q64*AJ68,0)*$AT$16,0)*AV70,0)</f>
        <v>98</v>
      </c>
      <c r="BA68" s="393"/>
    </row>
    <row r="69" spans="1:53" ht="16.5" customHeight="1" x14ac:dyDescent="0.15">
      <c r="A69" s="340">
        <v>12</v>
      </c>
      <c r="B69" s="341">
        <v>7651</v>
      </c>
      <c r="C69" s="390" t="s">
        <v>16654</v>
      </c>
      <c r="D69" s="403"/>
      <c r="E69" s="404"/>
      <c r="F69" s="404"/>
      <c r="G69" s="404"/>
      <c r="H69" s="406"/>
      <c r="Q69" s="395"/>
      <c r="R69" s="151"/>
      <c r="S69" s="151"/>
      <c r="U69" s="387"/>
      <c r="V69" s="343"/>
      <c r="W69" s="343"/>
      <c r="X69" s="343"/>
      <c r="Y69" s="343"/>
      <c r="Z69" s="343"/>
      <c r="AA69" s="343"/>
      <c r="AB69" s="343"/>
      <c r="AC69" s="343"/>
      <c r="AD69" s="343"/>
      <c r="AE69" s="343"/>
      <c r="AF69" s="343"/>
      <c r="AG69" s="343"/>
      <c r="AH69" s="343"/>
      <c r="AI69" s="343"/>
      <c r="AJ69" s="343"/>
      <c r="AK69" s="343"/>
      <c r="AL69" s="114" t="s">
        <v>15628</v>
      </c>
      <c r="AM69" s="396"/>
      <c r="AN69" s="396"/>
      <c r="AO69" s="396"/>
      <c r="AP69" s="396"/>
      <c r="AQ69" s="396"/>
      <c r="AR69" s="396"/>
      <c r="AS69" s="396"/>
      <c r="AT69" s="490"/>
      <c r="AU69" s="387"/>
      <c r="AV69" s="902" t="s">
        <v>15636</v>
      </c>
      <c r="AW69" s="902"/>
      <c r="AX69" s="902"/>
      <c r="AY69" s="903"/>
      <c r="AZ69" s="489">
        <f>ROUND(ROUND(ROUND(Q64*AR70,0)*$AT$16,0)*AV70,0)</f>
        <v>83</v>
      </c>
      <c r="BA69" s="393"/>
    </row>
    <row r="70" spans="1:53" ht="16.5" customHeight="1" x14ac:dyDescent="0.15">
      <c r="A70" s="340">
        <v>12</v>
      </c>
      <c r="B70" s="341">
        <v>7652</v>
      </c>
      <c r="C70" s="390" t="s">
        <v>16655</v>
      </c>
      <c r="D70" s="403"/>
      <c r="E70" s="404"/>
      <c r="F70" s="404"/>
      <c r="G70" s="404"/>
      <c r="H70" s="406"/>
      <c r="Q70" s="395"/>
      <c r="R70" s="151"/>
      <c r="S70" s="151"/>
      <c r="U70" s="387"/>
      <c r="V70" s="343" t="s">
        <v>15625</v>
      </c>
      <c r="W70" s="325"/>
      <c r="X70" s="325"/>
      <c r="Y70" s="325"/>
      <c r="Z70" s="325"/>
      <c r="AA70" s="325"/>
      <c r="AB70" s="325"/>
      <c r="AC70" s="325"/>
      <c r="AD70" s="325"/>
      <c r="AE70" s="325"/>
      <c r="AF70" s="325"/>
      <c r="AG70" s="325"/>
      <c r="AH70" s="325"/>
      <c r="AI70" s="391" t="s">
        <v>15626</v>
      </c>
      <c r="AJ70" s="838">
        <f>AJ68</f>
        <v>1</v>
      </c>
      <c r="AK70" s="843"/>
      <c r="AL70" s="324" t="s">
        <v>15630</v>
      </c>
      <c r="AM70" s="325"/>
      <c r="AN70" s="325"/>
      <c r="AO70" s="325"/>
      <c r="AP70" s="325"/>
      <c r="AQ70" s="190" t="s">
        <v>398</v>
      </c>
      <c r="AR70" s="844">
        <f>AR66</f>
        <v>0.85</v>
      </c>
      <c r="AS70" s="844"/>
      <c r="AT70" s="501"/>
      <c r="AU70" s="502"/>
      <c r="AV70" s="844">
        <f>AV62</f>
        <v>0.8</v>
      </c>
      <c r="AW70" s="844"/>
      <c r="AX70" s="844"/>
      <c r="AY70" s="845"/>
      <c r="AZ70" s="489">
        <f>ROUND(ROUND(ROUND(ROUND(Q64*AJ70,0)*AR70,0)*$AT$16,0)*AV70,0)</f>
        <v>83</v>
      </c>
      <c r="BA70" s="393"/>
    </row>
    <row r="71" spans="1:53" ht="17.100000000000001" customHeight="1" x14ac:dyDescent="0.15">
      <c r="A71" s="340">
        <v>12</v>
      </c>
      <c r="B71" s="341">
        <v>7653</v>
      </c>
      <c r="C71" s="390" t="s">
        <v>16656</v>
      </c>
      <c r="D71" s="403"/>
      <c r="E71" s="404"/>
      <c r="F71" s="404"/>
      <c r="G71" s="404"/>
      <c r="H71" s="406"/>
      <c r="I71" s="908" t="s">
        <v>16363</v>
      </c>
      <c r="J71" s="909"/>
      <c r="K71" s="909"/>
      <c r="L71" s="909"/>
      <c r="M71" s="909"/>
      <c r="N71" s="909"/>
      <c r="O71" s="909"/>
      <c r="P71" s="909"/>
      <c r="Q71" s="909"/>
      <c r="R71" s="909"/>
      <c r="S71" s="909"/>
      <c r="T71" s="909"/>
      <c r="U71" s="910"/>
      <c r="V71" s="343"/>
      <c r="W71" s="343"/>
      <c r="X71" s="343"/>
      <c r="Y71" s="343"/>
      <c r="Z71" s="343"/>
      <c r="AA71" s="343"/>
      <c r="AB71" s="343"/>
      <c r="AC71" s="343"/>
      <c r="AD71" s="343"/>
      <c r="AE71" s="343"/>
      <c r="AF71" s="343"/>
      <c r="AG71" s="343"/>
      <c r="AH71" s="343"/>
      <c r="AI71" s="343"/>
      <c r="AJ71" s="401"/>
      <c r="AK71" s="402"/>
      <c r="AL71" s="396"/>
      <c r="AM71" s="396"/>
      <c r="AN71" s="396"/>
      <c r="AO71" s="396"/>
      <c r="AP71" s="396"/>
      <c r="AQ71" s="396"/>
      <c r="AR71" s="396"/>
      <c r="AS71" s="396"/>
      <c r="AT71" s="490"/>
      <c r="AU71" s="387"/>
      <c r="AV71" s="400"/>
      <c r="AW71" s="400"/>
      <c r="AX71" s="396"/>
      <c r="AY71" s="397"/>
      <c r="AZ71" s="489">
        <f>ROUND(Q72*$AT$16,0)</f>
        <v>123</v>
      </c>
      <c r="BA71" s="393"/>
    </row>
    <row r="72" spans="1:53" ht="16.5" customHeight="1" x14ac:dyDescent="0.15">
      <c r="A72" s="340">
        <v>12</v>
      </c>
      <c r="B72" s="341">
        <v>7654</v>
      </c>
      <c r="C72" s="390" t="s">
        <v>16657</v>
      </c>
      <c r="D72" s="403"/>
      <c r="E72" s="404"/>
      <c r="F72" s="404"/>
      <c r="G72" s="404"/>
      <c r="H72" s="406"/>
      <c r="Q72" s="836">
        <f>ROUND(Q264*$F$13,0)</f>
        <v>98</v>
      </c>
      <c r="R72" s="911"/>
      <c r="S72" s="911"/>
      <c r="T72" s="152" t="s">
        <v>15624</v>
      </c>
      <c r="U72" s="387"/>
      <c r="V72" s="343" t="s">
        <v>15625</v>
      </c>
      <c r="W72" s="325"/>
      <c r="X72" s="325"/>
      <c r="Y72" s="325"/>
      <c r="Z72" s="325"/>
      <c r="AA72" s="325"/>
      <c r="AB72" s="325"/>
      <c r="AC72" s="325"/>
      <c r="AD72" s="325"/>
      <c r="AE72" s="325"/>
      <c r="AF72" s="325"/>
      <c r="AG72" s="325"/>
      <c r="AH72" s="325"/>
      <c r="AI72" s="391" t="s">
        <v>15626</v>
      </c>
      <c r="AJ72" s="838">
        <f>AJ70</f>
        <v>1</v>
      </c>
      <c r="AK72" s="839"/>
      <c r="AL72" s="325"/>
      <c r="AM72" s="325"/>
      <c r="AN72" s="325"/>
      <c r="AO72" s="325"/>
      <c r="AP72" s="325"/>
      <c r="AQ72" s="325"/>
      <c r="AR72" s="325"/>
      <c r="AS72" s="391"/>
      <c r="AT72" s="503"/>
      <c r="AU72" s="504"/>
      <c r="AY72" s="387"/>
      <c r="AZ72" s="489">
        <f>ROUND(ROUND(Q72*AJ72,0)*$AT$16,0)</f>
        <v>123</v>
      </c>
      <c r="BA72" s="393"/>
    </row>
    <row r="73" spans="1:53" ht="16.5" customHeight="1" x14ac:dyDescent="0.15">
      <c r="A73" s="340">
        <v>12</v>
      </c>
      <c r="B73" s="341">
        <v>7655</v>
      </c>
      <c r="C73" s="390" t="s">
        <v>16658</v>
      </c>
      <c r="D73" s="403"/>
      <c r="E73" s="404"/>
      <c r="F73" s="404"/>
      <c r="G73" s="404"/>
      <c r="H73" s="406"/>
      <c r="Q73" s="395"/>
      <c r="R73" s="151"/>
      <c r="S73" s="151"/>
      <c r="U73" s="387"/>
      <c r="V73" s="343"/>
      <c r="W73" s="343"/>
      <c r="X73" s="343"/>
      <c r="Y73" s="343"/>
      <c r="Z73" s="343"/>
      <c r="AA73" s="343"/>
      <c r="AB73" s="343"/>
      <c r="AC73" s="343"/>
      <c r="AD73" s="343"/>
      <c r="AE73" s="343"/>
      <c r="AF73" s="343"/>
      <c r="AG73" s="343"/>
      <c r="AH73" s="343"/>
      <c r="AI73" s="343"/>
      <c r="AJ73" s="343"/>
      <c r="AK73" s="343"/>
      <c r="AL73" s="114" t="s">
        <v>15628</v>
      </c>
      <c r="AM73" s="396"/>
      <c r="AN73" s="396"/>
      <c r="AO73" s="396"/>
      <c r="AP73" s="396"/>
      <c r="AQ73" s="396"/>
      <c r="AR73" s="396"/>
      <c r="AS73" s="396"/>
      <c r="AT73" s="490"/>
      <c r="AU73" s="387"/>
      <c r="AY73" s="387"/>
      <c r="AZ73" s="489">
        <f>ROUND(ROUND(Q72*AR74,0)*$AT$16,0)</f>
        <v>104</v>
      </c>
      <c r="BA73" s="393"/>
    </row>
    <row r="74" spans="1:53" ht="16.5" customHeight="1" x14ac:dyDescent="0.15">
      <c r="A74" s="340">
        <v>12</v>
      </c>
      <c r="B74" s="341">
        <v>7656</v>
      </c>
      <c r="C74" s="390" t="s">
        <v>16659</v>
      </c>
      <c r="D74" s="403"/>
      <c r="E74" s="404"/>
      <c r="F74" s="404"/>
      <c r="G74" s="404"/>
      <c r="H74" s="406"/>
      <c r="Q74" s="395"/>
      <c r="R74" s="151"/>
      <c r="S74" s="151"/>
      <c r="U74" s="387"/>
      <c r="V74" s="343" t="s">
        <v>15625</v>
      </c>
      <c r="W74" s="325"/>
      <c r="X74" s="325"/>
      <c r="Y74" s="325"/>
      <c r="Z74" s="325"/>
      <c r="AA74" s="325"/>
      <c r="AB74" s="325"/>
      <c r="AC74" s="325"/>
      <c r="AD74" s="325"/>
      <c r="AE74" s="325"/>
      <c r="AF74" s="325"/>
      <c r="AG74" s="325"/>
      <c r="AH74" s="325"/>
      <c r="AI74" s="391" t="s">
        <v>15626</v>
      </c>
      <c r="AJ74" s="838">
        <f>AJ72</f>
        <v>1</v>
      </c>
      <c r="AK74" s="843"/>
      <c r="AL74" s="324" t="s">
        <v>15630</v>
      </c>
      <c r="AM74" s="325"/>
      <c r="AN74" s="325"/>
      <c r="AO74" s="325"/>
      <c r="AP74" s="325"/>
      <c r="AQ74" s="190" t="s">
        <v>398</v>
      </c>
      <c r="AR74" s="844">
        <f>AR70</f>
        <v>0.85</v>
      </c>
      <c r="AS74" s="844"/>
      <c r="AT74" s="501"/>
      <c r="AU74" s="502"/>
      <c r="AY74" s="387"/>
      <c r="AZ74" s="489">
        <f>ROUND(ROUND(ROUND(Q72*AJ74,0)*AR74,0)*$AT$16,0)</f>
        <v>104</v>
      </c>
      <c r="BA74" s="393"/>
    </row>
    <row r="75" spans="1:53" ht="17.100000000000001" customHeight="1" x14ac:dyDescent="0.15">
      <c r="A75" s="340">
        <v>12</v>
      </c>
      <c r="B75" s="341">
        <v>7657</v>
      </c>
      <c r="C75" s="390" t="s">
        <v>16660</v>
      </c>
      <c r="D75" s="403"/>
      <c r="E75" s="404"/>
      <c r="F75" s="404"/>
      <c r="G75" s="404"/>
      <c r="H75" s="406"/>
      <c r="I75" s="10"/>
      <c r="L75" s="151"/>
      <c r="M75" s="151"/>
      <c r="N75" s="151"/>
      <c r="U75" s="387"/>
      <c r="V75" s="343"/>
      <c r="W75" s="343"/>
      <c r="X75" s="343"/>
      <c r="Y75" s="343"/>
      <c r="Z75" s="343"/>
      <c r="AA75" s="343"/>
      <c r="AB75" s="343"/>
      <c r="AC75" s="343"/>
      <c r="AD75" s="343"/>
      <c r="AE75" s="343"/>
      <c r="AF75" s="343"/>
      <c r="AG75" s="343"/>
      <c r="AH75" s="343"/>
      <c r="AI75" s="343"/>
      <c r="AJ75" s="401"/>
      <c r="AK75" s="402"/>
      <c r="AL75" s="396"/>
      <c r="AM75" s="396"/>
      <c r="AN75" s="396"/>
      <c r="AO75" s="396"/>
      <c r="AP75" s="396"/>
      <c r="AQ75" s="396"/>
      <c r="AR75" s="396"/>
      <c r="AS75" s="396"/>
      <c r="AT75" s="490"/>
      <c r="AU75" s="387"/>
      <c r="AV75" s="858" t="s">
        <v>16296</v>
      </c>
      <c r="AW75" s="858"/>
      <c r="AX75" s="858"/>
      <c r="AY75" s="860"/>
      <c r="AZ75" s="489">
        <f>ROUND(ROUND(Q72*$AT$16,0)*AV78,0)</f>
        <v>98</v>
      </c>
      <c r="BA75" s="393"/>
    </row>
    <row r="76" spans="1:53" ht="16.5" customHeight="1" x14ac:dyDescent="0.15">
      <c r="A76" s="340">
        <v>12</v>
      </c>
      <c r="B76" s="341">
        <v>7658</v>
      </c>
      <c r="C76" s="390" t="s">
        <v>16661</v>
      </c>
      <c r="D76" s="403"/>
      <c r="E76" s="404"/>
      <c r="F76" s="404"/>
      <c r="G76" s="404"/>
      <c r="H76" s="406"/>
      <c r="Q76" s="899"/>
      <c r="R76" s="899"/>
      <c r="S76" s="899"/>
      <c r="U76" s="387"/>
      <c r="V76" s="343" t="s">
        <v>15625</v>
      </c>
      <c r="W76" s="325"/>
      <c r="X76" s="325"/>
      <c r="Y76" s="325"/>
      <c r="Z76" s="325"/>
      <c r="AA76" s="325"/>
      <c r="AB76" s="325"/>
      <c r="AC76" s="325"/>
      <c r="AD76" s="325"/>
      <c r="AE76" s="325"/>
      <c r="AF76" s="325"/>
      <c r="AG76" s="325"/>
      <c r="AH76" s="325"/>
      <c r="AI76" s="391" t="s">
        <v>15626</v>
      </c>
      <c r="AJ76" s="838">
        <f>AJ74</f>
        <v>1</v>
      </c>
      <c r="AK76" s="839"/>
      <c r="AL76" s="325"/>
      <c r="AM76" s="325"/>
      <c r="AN76" s="325"/>
      <c r="AO76" s="325"/>
      <c r="AP76" s="325"/>
      <c r="AQ76" s="325"/>
      <c r="AR76" s="325"/>
      <c r="AS76" s="391"/>
      <c r="AT76" s="503"/>
      <c r="AU76" s="504"/>
      <c r="AV76" s="850"/>
      <c r="AW76" s="850"/>
      <c r="AX76" s="850"/>
      <c r="AY76" s="852"/>
      <c r="AZ76" s="489">
        <f>ROUND(ROUND(ROUND(Q72*AJ76,0)*$AT$16,0)*AV78,0)</f>
        <v>98</v>
      </c>
      <c r="BA76" s="393"/>
    </row>
    <row r="77" spans="1:53" ht="16.5" customHeight="1" x14ac:dyDescent="0.15">
      <c r="A77" s="340">
        <v>12</v>
      </c>
      <c r="B77" s="341">
        <v>7659</v>
      </c>
      <c r="C77" s="390" t="s">
        <v>16662</v>
      </c>
      <c r="D77" s="403"/>
      <c r="E77" s="404"/>
      <c r="F77" s="404"/>
      <c r="G77" s="404"/>
      <c r="H77" s="406"/>
      <c r="Q77" s="395"/>
      <c r="R77" s="151"/>
      <c r="S77" s="151"/>
      <c r="U77" s="387"/>
      <c r="V77" s="343"/>
      <c r="W77" s="343"/>
      <c r="X77" s="343"/>
      <c r="Y77" s="343"/>
      <c r="Z77" s="343"/>
      <c r="AA77" s="343"/>
      <c r="AB77" s="343"/>
      <c r="AC77" s="343"/>
      <c r="AD77" s="343"/>
      <c r="AE77" s="343"/>
      <c r="AF77" s="343"/>
      <c r="AG77" s="343"/>
      <c r="AH77" s="343"/>
      <c r="AI77" s="343"/>
      <c r="AJ77" s="343"/>
      <c r="AK77" s="343"/>
      <c r="AL77" s="114" t="s">
        <v>15628</v>
      </c>
      <c r="AM77" s="396"/>
      <c r="AN77" s="396"/>
      <c r="AO77" s="396"/>
      <c r="AP77" s="396"/>
      <c r="AQ77" s="396"/>
      <c r="AR77" s="396"/>
      <c r="AS77" s="396"/>
      <c r="AT77" s="490"/>
      <c r="AU77" s="387"/>
      <c r="AV77" s="902" t="s">
        <v>15636</v>
      </c>
      <c r="AW77" s="902"/>
      <c r="AX77" s="902"/>
      <c r="AY77" s="903"/>
      <c r="AZ77" s="489">
        <f>ROUND(ROUND(ROUND(Q72*AR78,0)*$AT$16,0)*AV78,0)</f>
        <v>83</v>
      </c>
      <c r="BA77" s="393"/>
    </row>
    <row r="78" spans="1:53" ht="16.5" customHeight="1" x14ac:dyDescent="0.15">
      <c r="A78" s="340">
        <v>12</v>
      </c>
      <c r="B78" s="341">
        <v>7660</v>
      </c>
      <c r="C78" s="390" t="s">
        <v>16663</v>
      </c>
      <c r="D78" s="403"/>
      <c r="E78" s="404"/>
      <c r="F78" s="404"/>
      <c r="G78" s="404"/>
      <c r="H78" s="406"/>
      <c r="Q78" s="395"/>
      <c r="R78" s="151"/>
      <c r="S78" s="151"/>
      <c r="U78" s="387"/>
      <c r="V78" s="343" t="s">
        <v>15625</v>
      </c>
      <c r="W78" s="325"/>
      <c r="X78" s="325"/>
      <c r="Y78" s="325"/>
      <c r="Z78" s="325"/>
      <c r="AA78" s="325"/>
      <c r="AB78" s="325"/>
      <c r="AC78" s="325"/>
      <c r="AD78" s="325"/>
      <c r="AE78" s="325"/>
      <c r="AF78" s="325"/>
      <c r="AG78" s="325"/>
      <c r="AH78" s="325"/>
      <c r="AI78" s="391" t="s">
        <v>15626</v>
      </c>
      <c r="AJ78" s="838">
        <f>AJ76</f>
        <v>1</v>
      </c>
      <c r="AK78" s="843"/>
      <c r="AL78" s="324" t="s">
        <v>15630</v>
      </c>
      <c r="AM78" s="325"/>
      <c r="AN78" s="325"/>
      <c r="AO78" s="325"/>
      <c r="AP78" s="325"/>
      <c r="AQ78" s="190" t="s">
        <v>398</v>
      </c>
      <c r="AR78" s="844">
        <f>AR74</f>
        <v>0.85</v>
      </c>
      <c r="AS78" s="844"/>
      <c r="AT78" s="501"/>
      <c r="AU78" s="502"/>
      <c r="AV78" s="844">
        <f>AV70</f>
        <v>0.8</v>
      </c>
      <c r="AW78" s="844"/>
      <c r="AX78" s="844"/>
      <c r="AY78" s="845"/>
      <c r="AZ78" s="489">
        <f>ROUND(ROUND(ROUND(ROUND(Q72*AJ78,0)*AR78,0)*$AT$16,0)*AV78,0)</f>
        <v>83</v>
      </c>
      <c r="BA78" s="393"/>
    </row>
    <row r="79" spans="1:53" ht="17.100000000000001" customHeight="1" x14ac:dyDescent="0.15">
      <c r="A79" s="340">
        <v>12</v>
      </c>
      <c r="B79" s="341">
        <v>7661</v>
      </c>
      <c r="C79" s="390" t="s">
        <v>16664</v>
      </c>
      <c r="D79" s="403"/>
      <c r="E79" s="404"/>
      <c r="F79" s="404"/>
      <c r="G79" s="404"/>
      <c r="H79" s="406"/>
      <c r="I79" s="908" t="s">
        <v>16372</v>
      </c>
      <c r="J79" s="909"/>
      <c r="K79" s="909"/>
      <c r="L79" s="909"/>
      <c r="M79" s="909"/>
      <c r="N79" s="909"/>
      <c r="O79" s="909"/>
      <c r="P79" s="909"/>
      <c r="Q79" s="909"/>
      <c r="R79" s="909"/>
      <c r="S79" s="909"/>
      <c r="T79" s="909"/>
      <c r="U79" s="910"/>
      <c r="V79" s="343"/>
      <c r="W79" s="343"/>
      <c r="X79" s="343"/>
      <c r="Y79" s="343"/>
      <c r="Z79" s="343"/>
      <c r="AA79" s="343"/>
      <c r="AB79" s="343"/>
      <c r="AC79" s="343"/>
      <c r="AD79" s="343"/>
      <c r="AE79" s="343"/>
      <c r="AF79" s="343"/>
      <c r="AG79" s="343"/>
      <c r="AH79" s="343"/>
      <c r="AI79" s="343"/>
      <c r="AJ79" s="401"/>
      <c r="AK79" s="402"/>
      <c r="AL79" s="396"/>
      <c r="AM79" s="396"/>
      <c r="AN79" s="396"/>
      <c r="AO79" s="396"/>
      <c r="AP79" s="396"/>
      <c r="AQ79" s="396"/>
      <c r="AR79" s="396"/>
      <c r="AS79" s="396"/>
      <c r="AT79" s="490"/>
      <c r="AU79" s="387"/>
      <c r="AV79" s="400"/>
      <c r="AW79" s="400"/>
      <c r="AX79" s="396"/>
      <c r="AY79" s="397"/>
      <c r="AZ79" s="489">
        <f>ROUND(Q80*$AT$16,0)</f>
        <v>115</v>
      </c>
      <c r="BA79" s="393"/>
    </row>
    <row r="80" spans="1:53" ht="16.5" customHeight="1" x14ac:dyDescent="0.15">
      <c r="A80" s="340">
        <v>12</v>
      </c>
      <c r="B80" s="341">
        <v>7662</v>
      </c>
      <c r="C80" s="390" t="s">
        <v>16665</v>
      </c>
      <c r="D80" s="403"/>
      <c r="E80" s="404"/>
      <c r="F80" s="404"/>
      <c r="G80" s="404"/>
      <c r="H80" s="406"/>
      <c r="Q80" s="836">
        <f>ROUND(Q272*$F$13,0)</f>
        <v>92</v>
      </c>
      <c r="R80" s="911"/>
      <c r="S80" s="911"/>
      <c r="T80" s="152" t="s">
        <v>15624</v>
      </c>
      <c r="U80" s="387"/>
      <c r="V80" s="343" t="s">
        <v>15625</v>
      </c>
      <c r="W80" s="325"/>
      <c r="X80" s="325"/>
      <c r="Y80" s="325"/>
      <c r="Z80" s="325"/>
      <c r="AA80" s="325"/>
      <c r="AB80" s="325"/>
      <c r="AC80" s="325"/>
      <c r="AD80" s="325"/>
      <c r="AE80" s="325"/>
      <c r="AF80" s="325"/>
      <c r="AG80" s="325"/>
      <c r="AH80" s="325"/>
      <c r="AI80" s="391" t="s">
        <v>15626</v>
      </c>
      <c r="AJ80" s="838">
        <f>AJ78</f>
        <v>1</v>
      </c>
      <c r="AK80" s="839"/>
      <c r="AL80" s="325"/>
      <c r="AM80" s="325"/>
      <c r="AN80" s="325"/>
      <c r="AO80" s="325"/>
      <c r="AP80" s="325"/>
      <c r="AQ80" s="325"/>
      <c r="AR80" s="325"/>
      <c r="AS80" s="391"/>
      <c r="AT80" s="503"/>
      <c r="AU80" s="504"/>
      <c r="AY80" s="387"/>
      <c r="AZ80" s="489">
        <f>ROUND(ROUND(Q80*AJ80,0)*$AT$16,0)</f>
        <v>115</v>
      </c>
      <c r="BA80" s="393"/>
    </row>
    <row r="81" spans="1:53" ht="16.5" customHeight="1" x14ac:dyDescent="0.15">
      <c r="A81" s="340">
        <v>12</v>
      </c>
      <c r="B81" s="341">
        <v>7663</v>
      </c>
      <c r="C81" s="390" t="s">
        <v>16666</v>
      </c>
      <c r="D81" s="403"/>
      <c r="E81" s="404"/>
      <c r="F81" s="404"/>
      <c r="G81" s="404"/>
      <c r="H81" s="406"/>
      <c r="Q81" s="395"/>
      <c r="R81" s="151"/>
      <c r="S81" s="151"/>
      <c r="U81" s="387"/>
      <c r="V81" s="343"/>
      <c r="W81" s="343"/>
      <c r="X81" s="343"/>
      <c r="Y81" s="343"/>
      <c r="Z81" s="343"/>
      <c r="AA81" s="343"/>
      <c r="AB81" s="343"/>
      <c r="AC81" s="343"/>
      <c r="AD81" s="343"/>
      <c r="AE81" s="343"/>
      <c r="AF81" s="343"/>
      <c r="AG81" s="343"/>
      <c r="AH81" s="343"/>
      <c r="AI81" s="343"/>
      <c r="AJ81" s="343"/>
      <c r="AK81" s="343"/>
      <c r="AL81" s="114" t="s">
        <v>15628</v>
      </c>
      <c r="AM81" s="396"/>
      <c r="AN81" s="396"/>
      <c r="AO81" s="396"/>
      <c r="AP81" s="396"/>
      <c r="AQ81" s="396"/>
      <c r="AR81" s="396"/>
      <c r="AS81" s="396"/>
      <c r="AT81" s="490"/>
      <c r="AU81" s="387"/>
      <c r="AY81" s="387"/>
      <c r="AZ81" s="489">
        <f>ROUND(ROUND(Q80*AR82,0)*$AT$16,0)</f>
        <v>98</v>
      </c>
      <c r="BA81" s="393"/>
    </row>
    <row r="82" spans="1:53" ht="16.5" customHeight="1" x14ac:dyDescent="0.15">
      <c r="A82" s="340">
        <v>12</v>
      </c>
      <c r="B82" s="341">
        <v>7664</v>
      </c>
      <c r="C82" s="390" t="s">
        <v>16667</v>
      </c>
      <c r="D82" s="403"/>
      <c r="E82" s="404"/>
      <c r="F82" s="404"/>
      <c r="G82" s="404"/>
      <c r="H82" s="406"/>
      <c r="Q82" s="395"/>
      <c r="R82" s="151"/>
      <c r="S82" s="151"/>
      <c r="U82" s="387"/>
      <c r="V82" s="343" t="s">
        <v>15625</v>
      </c>
      <c r="W82" s="325"/>
      <c r="X82" s="325"/>
      <c r="Y82" s="325"/>
      <c r="Z82" s="325"/>
      <c r="AA82" s="325"/>
      <c r="AB82" s="325"/>
      <c r="AC82" s="325"/>
      <c r="AD82" s="325"/>
      <c r="AE82" s="325"/>
      <c r="AF82" s="325"/>
      <c r="AG82" s="325"/>
      <c r="AH82" s="325"/>
      <c r="AI82" s="391" t="s">
        <v>15626</v>
      </c>
      <c r="AJ82" s="838">
        <f>AJ80</f>
        <v>1</v>
      </c>
      <c r="AK82" s="843"/>
      <c r="AL82" s="324" t="s">
        <v>15630</v>
      </c>
      <c r="AM82" s="325"/>
      <c r="AN82" s="325"/>
      <c r="AO82" s="325"/>
      <c r="AP82" s="325"/>
      <c r="AQ82" s="190" t="s">
        <v>398</v>
      </c>
      <c r="AR82" s="844">
        <f>AR78</f>
        <v>0.85</v>
      </c>
      <c r="AS82" s="844"/>
      <c r="AT82" s="501"/>
      <c r="AU82" s="502"/>
      <c r="AY82" s="387"/>
      <c r="AZ82" s="489">
        <f>ROUND(ROUND(ROUND(Q80*AJ82,0)*AR82,0)*$AT$16,0)</f>
        <v>98</v>
      </c>
      <c r="BA82" s="393"/>
    </row>
    <row r="83" spans="1:53" ht="17.100000000000001" customHeight="1" x14ac:dyDescent="0.15">
      <c r="A83" s="340">
        <v>12</v>
      </c>
      <c r="B83" s="341">
        <v>7665</v>
      </c>
      <c r="C83" s="390" t="s">
        <v>16668</v>
      </c>
      <c r="D83" s="403"/>
      <c r="E83" s="404"/>
      <c r="F83" s="404"/>
      <c r="G83" s="404"/>
      <c r="H83" s="406"/>
      <c r="I83" s="10"/>
      <c r="L83" s="151"/>
      <c r="M83" s="151"/>
      <c r="N83" s="151"/>
      <c r="U83" s="387"/>
      <c r="V83" s="343"/>
      <c r="W83" s="343"/>
      <c r="X83" s="343"/>
      <c r="Y83" s="343"/>
      <c r="Z83" s="343"/>
      <c r="AA83" s="343"/>
      <c r="AB83" s="343"/>
      <c r="AC83" s="343"/>
      <c r="AD83" s="343"/>
      <c r="AE83" s="343"/>
      <c r="AF83" s="343"/>
      <c r="AG83" s="343"/>
      <c r="AH83" s="343"/>
      <c r="AI83" s="343"/>
      <c r="AJ83" s="401"/>
      <c r="AK83" s="402"/>
      <c r="AL83" s="396"/>
      <c r="AM83" s="396"/>
      <c r="AN83" s="396"/>
      <c r="AO83" s="396"/>
      <c r="AP83" s="396"/>
      <c r="AQ83" s="396"/>
      <c r="AR83" s="396"/>
      <c r="AS83" s="396"/>
      <c r="AT83" s="490"/>
      <c r="AU83" s="387"/>
      <c r="AV83" s="858" t="s">
        <v>16296</v>
      </c>
      <c r="AW83" s="858"/>
      <c r="AX83" s="858"/>
      <c r="AY83" s="860"/>
      <c r="AZ83" s="489">
        <f>ROUND(ROUND(Q80*$AT$16,0)*AV86,0)</f>
        <v>92</v>
      </c>
      <c r="BA83" s="393"/>
    </row>
    <row r="84" spans="1:53" ht="16.5" customHeight="1" x14ac:dyDescent="0.15">
      <c r="A84" s="340">
        <v>12</v>
      </c>
      <c r="B84" s="341">
        <v>7666</v>
      </c>
      <c r="C84" s="390" t="s">
        <v>16669</v>
      </c>
      <c r="D84" s="403"/>
      <c r="E84" s="404"/>
      <c r="F84" s="404"/>
      <c r="G84" s="404"/>
      <c r="H84" s="406"/>
      <c r="Q84" s="899"/>
      <c r="R84" s="899"/>
      <c r="S84" s="899"/>
      <c r="U84" s="387"/>
      <c r="V84" s="343" t="s">
        <v>15625</v>
      </c>
      <c r="W84" s="325"/>
      <c r="X84" s="325"/>
      <c r="Y84" s="325"/>
      <c r="Z84" s="325"/>
      <c r="AA84" s="325"/>
      <c r="AB84" s="325"/>
      <c r="AC84" s="325"/>
      <c r="AD84" s="325"/>
      <c r="AE84" s="325"/>
      <c r="AF84" s="325"/>
      <c r="AG84" s="325"/>
      <c r="AH84" s="325"/>
      <c r="AI84" s="391" t="s">
        <v>15626</v>
      </c>
      <c r="AJ84" s="838">
        <f>AJ82</f>
        <v>1</v>
      </c>
      <c r="AK84" s="839"/>
      <c r="AL84" s="325"/>
      <c r="AM84" s="325"/>
      <c r="AN84" s="325"/>
      <c r="AO84" s="325"/>
      <c r="AP84" s="325"/>
      <c r="AQ84" s="325"/>
      <c r="AR84" s="325"/>
      <c r="AS84" s="391"/>
      <c r="AT84" s="503"/>
      <c r="AU84" s="504"/>
      <c r="AV84" s="850"/>
      <c r="AW84" s="850"/>
      <c r="AX84" s="850"/>
      <c r="AY84" s="852"/>
      <c r="AZ84" s="489">
        <f>ROUND(ROUND(ROUND(Q80*AJ84,0)*$AT$16,0)*AV86,0)</f>
        <v>92</v>
      </c>
      <c r="BA84" s="393"/>
    </row>
    <row r="85" spans="1:53" ht="16.5" customHeight="1" x14ac:dyDescent="0.15">
      <c r="A85" s="340">
        <v>12</v>
      </c>
      <c r="B85" s="341">
        <v>7667</v>
      </c>
      <c r="C85" s="390" t="s">
        <v>16670</v>
      </c>
      <c r="D85" s="403"/>
      <c r="E85" s="404"/>
      <c r="F85" s="404"/>
      <c r="G85" s="404"/>
      <c r="H85" s="406"/>
      <c r="Q85" s="395"/>
      <c r="R85" s="151"/>
      <c r="S85" s="151"/>
      <c r="U85" s="387"/>
      <c r="V85" s="343"/>
      <c r="W85" s="343"/>
      <c r="X85" s="343"/>
      <c r="Y85" s="343"/>
      <c r="Z85" s="343"/>
      <c r="AA85" s="343"/>
      <c r="AB85" s="343"/>
      <c r="AC85" s="343"/>
      <c r="AD85" s="343"/>
      <c r="AE85" s="343"/>
      <c r="AF85" s="343"/>
      <c r="AG85" s="343"/>
      <c r="AH85" s="343"/>
      <c r="AI85" s="343"/>
      <c r="AJ85" s="343"/>
      <c r="AK85" s="343"/>
      <c r="AL85" s="114" t="s">
        <v>15628</v>
      </c>
      <c r="AM85" s="396"/>
      <c r="AN85" s="396"/>
      <c r="AO85" s="396"/>
      <c r="AP85" s="396"/>
      <c r="AQ85" s="396"/>
      <c r="AR85" s="396"/>
      <c r="AS85" s="396"/>
      <c r="AT85" s="490"/>
      <c r="AU85" s="387"/>
      <c r="AV85" s="902" t="s">
        <v>15636</v>
      </c>
      <c r="AW85" s="902"/>
      <c r="AX85" s="902"/>
      <c r="AY85" s="903"/>
      <c r="AZ85" s="489">
        <f>ROUND(ROUND(ROUND(Q80*AR86,0)*$AT$16,0)*AV86,0)</f>
        <v>78</v>
      </c>
      <c r="BA85" s="393"/>
    </row>
    <row r="86" spans="1:53" ht="16.5" customHeight="1" x14ac:dyDescent="0.15">
      <c r="A86" s="340">
        <v>12</v>
      </c>
      <c r="B86" s="341">
        <v>7668</v>
      </c>
      <c r="C86" s="390" t="s">
        <v>16671</v>
      </c>
      <c r="D86" s="419"/>
      <c r="E86" s="420"/>
      <c r="F86" s="420"/>
      <c r="G86" s="420"/>
      <c r="H86" s="422"/>
      <c r="I86" s="325"/>
      <c r="J86" s="325"/>
      <c r="K86" s="325"/>
      <c r="L86" s="325"/>
      <c r="M86" s="325"/>
      <c r="N86" s="325"/>
      <c r="O86" s="325"/>
      <c r="P86" s="325"/>
      <c r="Q86" s="416"/>
      <c r="R86" s="417"/>
      <c r="S86" s="417"/>
      <c r="T86" s="325"/>
      <c r="U86" s="388"/>
      <c r="V86" s="343" t="s">
        <v>15625</v>
      </c>
      <c r="W86" s="325"/>
      <c r="X86" s="325"/>
      <c r="Y86" s="325"/>
      <c r="Z86" s="325"/>
      <c r="AA86" s="325"/>
      <c r="AB86" s="325"/>
      <c r="AC86" s="325"/>
      <c r="AD86" s="325"/>
      <c r="AE86" s="325"/>
      <c r="AF86" s="325"/>
      <c r="AG86" s="325"/>
      <c r="AH86" s="325"/>
      <c r="AI86" s="391" t="s">
        <v>15626</v>
      </c>
      <c r="AJ86" s="838">
        <f>AJ84</f>
        <v>1</v>
      </c>
      <c r="AK86" s="843"/>
      <c r="AL86" s="324" t="s">
        <v>15630</v>
      </c>
      <c r="AM86" s="325"/>
      <c r="AN86" s="325"/>
      <c r="AO86" s="325"/>
      <c r="AP86" s="325"/>
      <c r="AQ86" s="190" t="s">
        <v>398</v>
      </c>
      <c r="AR86" s="844">
        <f>AR82</f>
        <v>0.85</v>
      </c>
      <c r="AS86" s="844"/>
      <c r="AT86" s="505"/>
      <c r="AU86" s="506"/>
      <c r="AV86" s="844">
        <f>AV78</f>
        <v>0.8</v>
      </c>
      <c r="AW86" s="844"/>
      <c r="AX86" s="844"/>
      <c r="AY86" s="845"/>
      <c r="AZ86" s="491">
        <f>ROUND(ROUND(ROUND(ROUND(Q80*AJ86,0)*AR86,0)*$AT$16,0)*AV86,0)</f>
        <v>78</v>
      </c>
      <c r="BA86" s="418"/>
    </row>
    <row r="87" spans="1:53" ht="17.100000000000001" customHeight="1" x14ac:dyDescent="0.15">
      <c r="A87" s="340">
        <v>12</v>
      </c>
      <c r="B87" s="341">
        <v>7669</v>
      </c>
      <c r="C87" s="390" t="s">
        <v>16672</v>
      </c>
      <c r="D87" s="857" t="s">
        <v>15620</v>
      </c>
      <c r="E87" s="858"/>
      <c r="F87" s="858"/>
      <c r="G87" s="858"/>
      <c r="H87" s="860"/>
      <c r="I87" s="908" t="s">
        <v>16381</v>
      </c>
      <c r="J87" s="909"/>
      <c r="K87" s="909"/>
      <c r="L87" s="909"/>
      <c r="M87" s="909"/>
      <c r="N87" s="909"/>
      <c r="O87" s="909"/>
      <c r="P87" s="909"/>
      <c r="Q87" s="909"/>
      <c r="R87" s="909"/>
      <c r="S87" s="909"/>
      <c r="T87" s="909"/>
      <c r="U87" s="910"/>
      <c r="V87" s="343"/>
      <c r="W87" s="343"/>
      <c r="X87" s="343"/>
      <c r="Y87" s="343"/>
      <c r="Z87" s="343"/>
      <c r="AA87" s="343"/>
      <c r="AB87" s="343"/>
      <c r="AC87" s="343"/>
      <c r="AD87" s="343"/>
      <c r="AE87" s="343"/>
      <c r="AF87" s="343"/>
      <c r="AG87" s="343"/>
      <c r="AH87" s="343"/>
      <c r="AI87" s="343"/>
      <c r="AJ87" s="401"/>
      <c r="AK87" s="402"/>
      <c r="AL87" s="396"/>
      <c r="AM87" s="396"/>
      <c r="AN87" s="396"/>
      <c r="AO87" s="396"/>
      <c r="AP87" s="396"/>
      <c r="AQ87" s="396"/>
      <c r="AR87" s="396"/>
      <c r="AS87" s="396"/>
      <c r="AT87" s="916" t="s">
        <v>16592</v>
      </c>
      <c r="AU87" s="917"/>
      <c r="AV87" s="400"/>
      <c r="AW87" s="400"/>
      <c r="AX87" s="396"/>
      <c r="AY87" s="397"/>
      <c r="AZ87" s="489">
        <f>ROUND(Q88*$AT$96,0)</f>
        <v>124</v>
      </c>
      <c r="BA87" s="329" t="s">
        <v>15622</v>
      </c>
    </row>
    <row r="88" spans="1:53" ht="16.5" customHeight="1" x14ac:dyDescent="0.15">
      <c r="A88" s="340">
        <v>12</v>
      </c>
      <c r="B88" s="341">
        <v>7670</v>
      </c>
      <c r="C88" s="390" t="s">
        <v>16673</v>
      </c>
      <c r="D88" s="849"/>
      <c r="E88" s="850"/>
      <c r="F88" s="850"/>
      <c r="G88" s="850"/>
      <c r="H88" s="852"/>
      <c r="Q88" s="836">
        <f>ROUND(Q280*$F$93,0)</f>
        <v>99</v>
      </c>
      <c r="R88" s="911"/>
      <c r="S88" s="911"/>
      <c r="T88" s="152" t="s">
        <v>15624</v>
      </c>
      <c r="U88" s="387"/>
      <c r="V88" s="343" t="s">
        <v>15625</v>
      </c>
      <c r="W88" s="325"/>
      <c r="X88" s="325"/>
      <c r="Y88" s="325"/>
      <c r="Z88" s="325"/>
      <c r="AA88" s="325"/>
      <c r="AB88" s="325"/>
      <c r="AC88" s="325"/>
      <c r="AD88" s="325"/>
      <c r="AE88" s="325"/>
      <c r="AF88" s="325"/>
      <c r="AG88" s="325"/>
      <c r="AH88" s="325"/>
      <c r="AI88" s="391" t="s">
        <v>15626</v>
      </c>
      <c r="AJ88" s="838">
        <f>AJ86</f>
        <v>1</v>
      </c>
      <c r="AK88" s="839"/>
      <c r="AL88" s="325"/>
      <c r="AM88" s="325"/>
      <c r="AN88" s="325"/>
      <c r="AO88" s="325"/>
      <c r="AP88" s="325"/>
      <c r="AQ88" s="325"/>
      <c r="AR88" s="325"/>
      <c r="AS88" s="391"/>
      <c r="AT88" s="912"/>
      <c r="AU88" s="913"/>
      <c r="AY88" s="387"/>
      <c r="AZ88" s="489">
        <f>ROUND(ROUND(Q88*AJ88,0)*$AT$96,0)</f>
        <v>124</v>
      </c>
      <c r="BA88" s="393"/>
    </row>
    <row r="89" spans="1:53" ht="16.5" customHeight="1" x14ac:dyDescent="0.15">
      <c r="A89" s="340">
        <v>12</v>
      </c>
      <c r="B89" s="341">
        <v>7671</v>
      </c>
      <c r="C89" s="390" t="s">
        <v>16674</v>
      </c>
      <c r="D89" s="849"/>
      <c r="E89" s="850"/>
      <c r="F89" s="850"/>
      <c r="G89" s="850"/>
      <c r="H89" s="852"/>
      <c r="Q89" s="395"/>
      <c r="R89" s="151"/>
      <c r="S89" s="151"/>
      <c r="U89" s="387"/>
      <c r="V89" s="343"/>
      <c r="W89" s="343"/>
      <c r="X89" s="343"/>
      <c r="Y89" s="343"/>
      <c r="Z89" s="343"/>
      <c r="AA89" s="343"/>
      <c r="AB89" s="343"/>
      <c r="AC89" s="343"/>
      <c r="AD89" s="343"/>
      <c r="AE89" s="343"/>
      <c r="AF89" s="343"/>
      <c r="AG89" s="343"/>
      <c r="AH89" s="343"/>
      <c r="AI89" s="343"/>
      <c r="AJ89" s="343"/>
      <c r="AK89" s="343"/>
      <c r="AL89" s="114" t="s">
        <v>15628</v>
      </c>
      <c r="AM89" s="396"/>
      <c r="AN89" s="396"/>
      <c r="AO89" s="396"/>
      <c r="AP89" s="396"/>
      <c r="AQ89" s="396"/>
      <c r="AR89" s="396"/>
      <c r="AS89" s="396"/>
      <c r="AT89" s="912"/>
      <c r="AU89" s="913"/>
      <c r="AY89" s="387"/>
      <c r="AZ89" s="489">
        <f>ROUND(ROUND(Q88*AR90,0)*$AT$96,0)</f>
        <v>105</v>
      </c>
      <c r="BA89" s="393"/>
    </row>
    <row r="90" spans="1:53" ht="16.5" customHeight="1" x14ac:dyDescent="0.15">
      <c r="A90" s="340">
        <v>12</v>
      </c>
      <c r="B90" s="341">
        <v>7672</v>
      </c>
      <c r="C90" s="390" t="s">
        <v>16675</v>
      </c>
      <c r="D90" s="849"/>
      <c r="E90" s="850"/>
      <c r="F90" s="850"/>
      <c r="G90" s="850"/>
      <c r="H90" s="852"/>
      <c r="Q90" s="395"/>
      <c r="R90" s="151"/>
      <c r="S90" s="151"/>
      <c r="U90" s="387"/>
      <c r="V90" s="343" t="s">
        <v>15625</v>
      </c>
      <c r="W90" s="325"/>
      <c r="X90" s="325"/>
      <c r="Y90" s="325"/>
      <c r="Z90" s="325"/>
      <c r="AA90" s="325"/>
      <c r="AB90" s="325"/>
      <c r="AC90" s="325"/>
      <c r="AD90" s="325"/>
      <c r="AE90" s="325"/>
      <c r="AF90" s="325"/>
      <c r="AG90" s="325"/>
      <c r="AH90" s="325"/>
      <c r="AI90" s="391" t="s">
        <v>15626</v>
      </c>
      <c r="AJ90" s="838">
        <f>AJ88</f>
        <v>1</v>
      </c>
      <c r="AK90" s="843"/>
      <c r="AL90" s="324" t="s">
        <v>15630</v>
      </c>
      <c r="AM90" s="325"/>
      <c r="AN90" s="325"/>
      <c r="AO90" s="325"/>
      <c r="AP90" s="325"/>
      <c r="AQ90" s="190" t="s">
        <v>398</v>
      </c>
      <c r="AR90" s="844">
        <f>AR86</f>
        <v>0.85</v>
      </c>
      <c r="AS90" s="844"/>
      <c r="AT90" s="912"/>
      <c r="AU90" s="913"/>
      <c r="AY90" s="387"/>
      <c r="AZ90" s="489">
        <f>ROUND(ROUND(ROUND(Q88*AJ90,0)*AR90,0)*$AT$96,0)</f>
        <v>105</v>
      </c>
      <c r="BA90" s="393"/>
    </row>
    <row r="91" spans="1:53" ht="17.100000000000001" customHeight="1" x14ac:dyDescent="0.15">
      <c r="A91" s="340">
        <v>12</v>
      </c>
      <c r="B91" s="341">
        <v>7673</v>
      </c>
      <c r="C91" s="390" t="s">
        <v>16676</v>
      </c>
      <c r="D91" s="832" t="s">
        <v>15632</v>
      </c>
      <c r="E91" s="833"/>
      <c r="F91" s="833"/>
      <c r="G91" s="833"/>
      <c r="H91" s="835"/>
      <c r="I91" s="10"/>
      <c r="L91" s="151"/>
      <c r="M91" s="151"/>
      <c r="N91" s="151"/>
      <c r="U91" s="387"/>
      <c r="V91" s="343"/>
      <c r="W91" s="343"/>
      <c r="X91" s="343"/>
      <c r="Y91" s="343"/>
      <c r="Z91" s="343"/>
      <c r="AA91" s="343"/>
      <c r="AB91" s="343"/>
      <c r="AC91" s="343"/>
      <c r="AD91" s="343"/>
      <c r="AE91" s="343"/>
      <c r="AF91" s="343"/>
      <c r="AG91" s="343"/>
      <c r="AH91" s="343"/>
      <c r="AI91" s="343"/>
      <c r="AJ91" s="401"/>
      <c r="AK91" s="402"/>
      <c r="AL91" s="396"/>
      <c r="AM91" s="396"/>
      <c r="AN91" s="396"/>
      <c r="AO91" s="396"/>
      <c r="AP91" s="396"/>
      <c r="AQ91" s="396"/>
      <c r="AR91" s="396"/>
      <c r="AS91" s="396"/>
      <c r="AT91" s="912"/>
      <c r="AU91" s="913"/>
      <c r="AV91" s="858" t="s">
        <v>16296</v>
      </c>
      <c r="AW91" s="858"/>
      <c r="AX91" s="858"/>
      <c r="AY91" s="860"/>
      <c r="AZ91" s="489">
        <f>ROUND(ROUND(Q88*$AT$96,0)*AV94,0)</f>
        <v>99</v>
      </c>
      <c r="BA91" s="393"/>
    </row>
    <row r="92" spans="1:53" ht="16.5" customHeight="1" x14ac:dyDescent="0.15">
      <c r="A92" s="340">
        <v>12</v>
      </c>
      <c r="B92" s="341">
        <v>7674</v>
      </c>
      <c r="C92" s="390" t="s">
        <v>16677</v>
      </c>
      <c r="D92" s="832"/>
      <c r="E92" s="833"/>
      <c r="F92" s="833"/>
      <c r="G92" s="833"/>
      <c r="H92" s="835"/>
      <c r="Q92" s="899"/>
      <c r="R92" s="899"/>
      <c r="S92" s="899"/>
      <c r="U92" s="387"/>
      <c r="V92" s="343" t="s">
        <v>15625</v>
      </c>
      <c r="W92" s="325"/>
      <c r="X92" s="325"/>
      <c r="Y92" s="325"/>
      <c r="Z92" s="325"/>
      <c r="AA92" s="325"/>
      <c r="AB92" s="325"/>
      <c r="AC92" s="325"/>
      <c r="AD92" s="325"/>
      <c r="AE92" s="325"/>
      <c r="AF92" s="325"/>
      <c r="AG92" s="325"/>
      <c r="AH92" s="325"/>
      <c r="AI92" s="391" t="s">
        <v>15626</v>
      </c>
      <c r="AJ92" s="838">
        <f>AJ90</f>
        <v>1</v>
      </c>
      <c r="AK92" s="839"/>
      <c r="AL92" s="325"/>
      <c r="AM92" s="325"/>
      <c r="AN92" s="325"/>
      <c r="AO92" s="325"/>
      <c r="AP92" s="325"/>
      <c r="AQ92" s="325"/>
      <c r="AR92" s="325"/>
      <c r="AS92" s="391"/>
      <c r="AT92" s="912"/>
      <c r="AU92" s="913"/>
      <c r="AV92" s="850"/>
      <c r="AW92" s="850"/>
      <c r="AX92" s="850"/>
      <c r="AY92" s="852"/>
      <c r="AZ92" s="489">
        <f>ROUND(ROUND(ROUND(Q88*AJ92,0)*$AT$96,0)*AV94,0)</f>
        <v>99</v>
      </c>
      <c r="BA92" s="393"/>
    </row>
    <row r="93" spans="1:53" ht="16.5" customHeight="1" x14ac:dyDescent="0.15">
      <c r="A93" s="340">
        <v>12</v>
      </c>
      <c r="B93" s="341">
        <v>7675</v>
      </c>
      <c r="C93" s="390" t="s">
        <v>16678</v>
      </c>
      <c r="D93" s="403"/>
      <c r="E93" s="404" t="s">
        <v>15636</v>
      </c>
      <c r="F93" s="840">
        <f>F13</f>
        <v>1.1499999999999999</v>
      </c>
      <c r="G93" s="841"/>
      <c r="H93" s="842"/>
      <c r="Q93" s="395"/>
      <c r="R93" s="151"/>
      <c r="S93" s="151"/>
      <c r="U93" s="387"/>
      <c r="V93" s="343"/>
      <c r="W93" s="343"/>
      <c r="X93" s="343"/>
      <c r="Y93" s="343"/>
      <c r="Z93" s="343"/>
      <c r="AA93" s="343"/>
      <c r="AB93" s="343"/>
      <c r="AC93" s="343"/>
      <c r="AD93" s="343"/>
      <c r="AE93" s="343"/>
      <c r="AF93" s="343"/>
      <c r="AG93" s="343"/>
      <c r="AH93" s="343"/>
      <c r="AI93" s="343"/>
      <c r="AJ93" s="343"/>
      <c r="AK93" s="343"/>
      <c r="AL93" s="114" t="s">
        <v>15628</v>
      </c>
      <c r="AM93" s="396"/>
      <c r="AN93" s="396"/>
      <c r="AO93" s="396"/>
      <c r="AP93" s="396"/>
      <c r="AQ93" s="396"/>
      <c r="AR93" s="396"/>
      <c r="AS93" s="396"/>
      <c r="AT93" s="912"/>
      <c r="AU93" s="913"/>
      <c r="AV93" s="902" t="s">
        <v>15636</v>
      </c>
      <c r="AW93" s="902"/>
      <c r="AX93" s="902"/>
      <c r="AY93" s="903"/>
      <c r="AZ93" s="489">
        <f>ROUND(ROUND(ROUND(Q88*AR94,0)*$AT$96,0)*AV94,0)</f>
        <v>84</v>
      </c>
      <c r="BA93" s="393"/>
    </row>
    <row r="94" spans="1:53" ht="16.5" customHeight="1" x14ac:dyDescent="0.15">
      <c r="A94" s="340">
        <v>12</v>
      </c>
      <c r="B94" s="341">
        <v>7676</v>
      </c>
      <c r="C94" s="390" t="s">
        <v>16679</v>
      </c>
      <c r="D94" s="403"/>
      <c r="E94" s="404"/>
      <c r="F94" s="404"/>
      <c r="G94" s="404"/>
      <c r="H94" s="406"/>
      <c r="Q94" s="395"/>
      <c r="R94" s="151"/>
      <c r="S94" s="151"/>
      <c r="U94" s="387"/>
      <c r="V94" s="343" t="s">
        <v>15625</v>
      </c>
      <c r="W94" s="325"/>
      <c r="X94" s="325"/>
      <c r="Y94" s="325"/>
      <c r="Z94" s="325"/>
      <c r="AA94" s="325"/>
      <c r="AB94" s="325"/>
      <c r="AC94" s="325"/>
      <c r="AD94" s="325"/>
      <c r="AE94" s="325"/>
      <c r="AF94" s="325"/>
      <c r="AG94" s="325"/>
      <c r="AH94" s="325"/>
      <c r="AI94" s="391" t="s">
        <v>15626</v>
      </c>
      <c r="AJ94" s="838">
        <f>AJ92</f>
        <v>1</v>
      </c>
      <c r="AK94" s="843"/>
      <c r="AL94" s="324" t="s">
        <v>15630</v>
      </c>
      <c r="AM94" s="325"/>
      <c r="AN94" s="325"/>
      <c r="AO94" s="325"/>
      <c r="AP94" s="325"/>
      <c r="AQ94" s="190" t="s">
        <v>398</v>
      </c>
      <c r="AR94" s="844">
        <f>AR90</f>
        <v>0.85</v>
      </c>
      <c r="AS94" s="844"/>
      <c r="AT94" s="912"/>
      <c r="AU94" s="913"/>
      <c r="AV94" s="844">
        <f>AV86</f>
        <v>0.8</v>
      </c>
      <c r="AW94" s="844"/>
      <c r="AX94" s="844"/>
      <c r="AY94" s="845"/>
      <c r="AZ94" s="489">
        <f>ROUND(ROUND(ROUND(ROUND(Q88*AJ94,0)*AR94,0)*$AT$96,0)*AV94,0)</f>
        <v>84</v>
      </c>
      <c r="BA94" s="393"/>
    </row>
    <row r="95" spans="1:53" ht="17.100000000000001" customHeight="1" x14ac:dyDescent="0.15">
      <c r="A95" s="340">
        <v>12</v>
      </c>
      <c r="B95" s="341">
        <v>7677</v>
      </c>
      <c r="C95" s="390" t="s">
        <v>16680</v>
      </c>
      <c r="D95" s="403"/>
      <c r="E95" s="404"/>
      <c r="F95" s="404"/>
      <c r="G95" s="404"/>
      <c r="H95" s="406"/>
      <c r="I95" s="908" t="s">
        <v>16390</v>
      </c>
      <c r="J95" s="909"/>
      <c r="K95" s="909"/>
      <c r="L95" s="909"/>
      <c r="M95" s="909"/>
      <c r="N95" s="909"/>
      <c r="O95" s="909"/>
      <c r="P95" s="909"/>
      <c r="Q95" s="909"/>
      <c r="R95" s="909"/>
      <c r="S95" s="909"/>
      <c r="T95" s="909"/>
      <c r="U95" s="910"/>
      <c r="V95" s="343"/>
      <c r="W95" s="343"/>
      <c r="X95" s="343"/>
      <c r="Y95" s="343"/>
      <c r="Z95" s="343"/>
      <c r="AA95" s="343"/>
      <c r="AB95" s="343"/>
      <c r="AC95" s="343"/>
      <c r="AD95" s="343"/>
      <c r="AE95" s="343"/>
      <c r="AF95" s="343"/>
      <c r="AG95" s="343"/>
      <c r="AH95" s="343"/>
      <c r="AI95" s="343"/>
      <c r="AJ95" s="401"/>
      <c r="AK95" s="402"/>
      <c r="AL95" s="396"/>
      <c r="AM95" s="396"/>
      <c r="AN95" s="396"/>
      <c r="AO95" s="396"/>
      <c r="AP95" s="396"/>
      <c r="AQ95" s="396"/>
      <c r="AR95" s="396"/>
      <c r="AS95" s="396"/>
      <c r="AT95" s="912" t="s">
        <v>15636</v>
      </c>
      <c r="AU95" s="913"/>
      <c r="AV95" s="400"/>
      <c r="AW95" s="400"/>
      <c r="AX95" s="396"/>
      <c r="AY95" s="397"/>
      <c r="AZ95" s="489">
        <f>ROUND(Q96*$AT$96,0)</f>
        <v>115</v>
      </c>
      <c r="BA95" s="393"/>
    </row>
    <row r="96" spans="1:53" ht="16.5" customHeight="1" x14ac:dyDescent="0.15">
      <c r="A96" s="340">
        <v>12</v>
      </c>
      <c r="B96" s="341">
        <v>7678</v>
      </c>
      <c r="C96" s="390" t="s">
        <v>16681</v>
      </c>
      <c r="D96" s="403"/>
      <c r="E96" s="404"/>
      <c r="F96" s="404"/>
      <c r="G96" s="404"/>
      <c r="H96" s="406"/>
      <c r="Q96" s="836">
        <f>ROUND(Q288*$F$93,0)</f>
        <v>92</v>
      </c>
      <c r="R96" s="911"/>
      <c r="S96" s="911"/>
      <c r="T96" s="152" t="s">
        <v>15624</v>
      </c>
      <c r="U96" s="387"/>
      <c r="V96" s="343" t="s">
        <v>15625</v>
      </c>
      <c r="W96" s="325"/>
      <c r="X96" s="325"/>
      <c r="Y96" s="325"/>
      <c r="Z96" s="325"/>
      <c r="AA96" s="325"/>
      <c r="AB96" s="325"/>
      <c r="AC96" s="325"/>
      <c r="AD96" s="325"/>
      <c r="AE96" s="325"/>
      <c r="AF96" s="325"/>
      <c r="AG96" s="325"/>
      <c r="AH96" s="325"/>
      <c r="AI96" s="391" t="s">
        <v>15626</v>
      </c>
      <c r="AJ96" s="838">
        <f>AJ94</f>
        <v>1</v>
      </c>
      <c r="AK96" s="839"/>
      <c r="AL96" s="325"/>
      <c r="AM96" s="325"/>
      <c r="AN96" s="325"/>
      <c r="AO96" s="325"/>
      <c r="AP96" s="325"/>
      <c r="AQ96" s="325"/>
      <c r="AR96" s="325"/>
      <c r="AS96" s="391"/>
      <c r="AT96" s="914">
        <f>AT16</f>
        <v>1.25</v>
      </c>
      <c r="AU96" s="915"/>
      <c r="AY96" s="387"/>
      <c r="AZ96" s="489">
        <f>ROUND(ROUND(Q96*AJ96,0)*$AT$96,0)</f>
        <v>115</v>
      </c>
      <c r="BA96" s="393"/>
    </row>
    <row r="97" spans="1:53" ht="16.5" customHeight="1" x14ac:dyDescent="0.15">
      <c r="A97" s="340">
        <v>12</v>
      </c>
      <c r="B97" s="341">
        <v>7679</v>
      </c>
      <c r="C97" s="390" t="s">
        <v>16682</v>
      </c>
      <c r="D97" s="408"/>
      <c r="E97" s="409"/>
      <c r="F97" s="409"/>
      <c r="G97" s="409"/>
      <c r="H97" s="411"/>
      <c r="Q97" s="395"/>
      <c r="R97" s="151"/>
      <c r="S97" s="151"/>
      <c r="U97" s="387"/>
      <c r="V97" s="343"/>
      <c r="W97" s="343"/>
      <c r="X97" s="343"/>
      <c r="Y97" s="343"/>
      <c r="Z97" s="343"/>
      <c r="AA97" s="343"/>
      <c r="AB97" s="343"/>
      <c r="AC97" s="343"/>
      <c r="AD97" s="343"/>
      <c r="AE97" s="343"/>
      <c r="AF97" s="343"/>
      <c r="AG97" s="343"/>
      <c r="AH97" s="343"/>
      <c r="AI97" s="343"/>
      <c r="AJ97" s="343"/>
      <c r="AK97" s="343"/>
      <c r="AL97" s="114" t="s">
        <v>15628</v>
      </c>
      <c r="AM97" s="396"/>
      <c r="AN97" s="396"/>
      <c r="AO97" s="396"/>
      <c r="AP97" s="396"/>
      <c r="AQ97" s="396"/>
      <c r="AR97" s="396"/>
      <c r="AS97" s="396"/>
      <c r="AT97" s="490"/>
      <c r="AU97" s="387"/>
      <c r="AY97" s="387"/>
      <c r="AZ97" s="489">
        <f>ROUND(ROUND(Q96*AR98,0)*$AT$96,0)</f>
        <v>98</v>
      </c>
      <c r="BA97" s="393"/>
    </row>
    <row r="98" spans="1:53" ht="16.5" customHeight="1" x14ac:dyDescent="0.15">
      <c r="A98" s="340">
        <v>12</v>
      </c>
      <c r="B98" s="341">
        <v>7680</v>
      </c>
      <c r="C98" s="390" t="s">
        <v>16683</v>
      </c>
      <c r="D98" s="408"/>
      <c r="E98" s="409"/>
      <c r="F98" s="409"/>
      <c r="G98" s="409"/>
      <c r="H98" s="411"/>
      <c r="Q98" s="395"/>
      <c r="R98" s="151"/>
      <c r="S98" s="151"/>
      <c r="U98" s="387"/>
      <c r="V98" s="343" t="s">
        <v>15625</v>
      </c>
      <c r="W98" s="325"/>
      <c r="X98" s="325"/>
      <c r="Y98" s="325"/>
      <c r="Z98" s="325"/>
      <c r="AA98" s="325"/>
      <c r="AB98" s="325"/>
      <c r="AC98" s="325"/>
      <c r="AD98" s="325"/>
      <c r="AE98" s="325"/>
      <c r="AF98" s="325"/>
      <c r="AG98" s="325"/>
      <c r="AH98" s="325"/>
      <c r="AI98" s="391" t="s">
        <v>15626</v>
      </c>
      <c r="AJ98" s="838">
        <f>AJ96</f>
        <v>1</v>
      </c>
      <c r="AK98" s="843"/>
      <c r="AL98" s="324" t="s">
        <v>15630</v>
      </c>
      <c r="AM98" s="325"/>
      <c r="AN98" s="325"/>
      <c r="AO98" s="325"/>
      <c r="AP98" s="325"/>
      <c r="AQ98" s="190" t="s">
        <v>398</v>
      </c>
      <c r="AR98" s="844">
        <f>AR94</f>
        <v>0.85</v>
      </c>
      <c r="AS98" s="844"/>
      <c r="AT98" s="501"/>
      <c r="AU98" s="502"/>
      <c r="AY98" s="387"/>
      <c r="AZ98" s="489">
        <f>ROUND(ROUND(ROUND(Q96*AJ98,0)*AR98,0)*$AT$96,0)</f>
        <v>98</v>
      </c>
      <c r="BA98" s="393"/>
    </row>
    <row r="99" spans="1:53" ht="17.100000000000001" customHeight="1" x14ac:dyDescent="0.15">
      <c r="A99" s="340">
        <v>12</v>
      </c>
      <c r="B99" s="341">
        <v>7681</v>
      </c>
      <c r="C99" s="390" t="s">
        <v>16684</v>
      </c>
      <c r="D99" s="403"/>
      <c r="E99" s="404"/>
      <c r="F99" s="404"/>
      <c r="G99" s="404"/>
      <c r="H99" s="406"/>
      <c r="I99" s="10"/>
      <c r="L99" s="151"/>
      <c r="M99" s="151"/>
      <c r="N99" s="151"/>
      <c r="U99" s="387"/>
      <c r="V99" s="343"/>
      <c r="W99" s="343"/>
      <c r="X99" s="343"/>
      <c r="Y99" s="343"/>
      <c r="Z99" s="343"/>
      <c r="AA99" s="343"/>
      <c r="AB99" s="343"/>
      <c r="AC99" s="343"/>
      <c r="AD99" s="343"/>
      <c r="AE99" s="343"/>
      <c r="AF99" s="343"/>
      <c r="AG99" s="343"/>
      <c r="AH99" s="343"/>
      <c r="AI99" s="343"/>
      <c r="AJ99" s="401"/>
      <c r="AK99" s="402"/>
      <c r="AL99" s="396"/>
      <c r="AM99" s="396"/>
      <c r="AN99" s="396"/>
      <c r="AO99" s="396"/>
      <c r="AP99" s="396"/>
      <c r="AQ99" s="396"/>
      <c r="AR99" s="396"/>
      <c r="AS99" s="396"/>
      <c r="AT99" s="490"/>
      <c r="AU99" s="387"/>
      <c r="AV99" s="858" t="s">
        <v>16296</v>
      </c>
      <c r="AW99" s="858"/>
      <c r="AX99" s="858"/>
      <c r="AY99" s="860"/>
      <c r="AZ99" s="489">
        <f>ROUND(ROUND(Q96*$AT$96,0)*AV102,0)</f>
        <v>92</v>
      </c>
      <c r="BA99" s="393"/>
    </row>
    <row r="100" spans="1:53" ht="16.5" customHeight="1" x14ac:dyDescent="0.15">
      <c r="A100" s="340">
        <v>12</v>
      </c>
      <c r="B100" s="341">
        <v>7682</v>
      </c>
      <c r="C100" s="390" t="s">
        <v>16685</v>
      </c>
      <c r="D100" s="403"/>
      <c r="E100" s="404"/>
      <c r="F100" s="404"/>
      <c r="G100" s="404"/>
      <c r="H100" s="406"/>
      <c r="Q100" s="899"/>
      <c r="R100" s="899"/>
      <c r="S100" s="899"/>
      <c r="U100" s="387"/>
      <c r="V100" s="343" t="s">
        <v>15625</v>
      </c>
      <c r="W100" s="325"/>
      <c r="X100" s="325"/>
      <c r="Y100" s="325"/>
      <c r="Z100" s="325"/>
      <c r="AA100" s="325"/>
      <c r="AB100" s="325"/>
      <c r="AC100" s="325"/>
      <c r="AD100" s="325"/>
      <c r="AE100" s="325"/>
      <c r="AF100" s="325"/>
      <c r="AG100" s="325"/>
      <c r="AH100" s="325"/>
      <c r="AI100" s="391" t="s">
        <v>15626</v>
      </c>
      <c r="AJ100" s="838">
        <f>AJ98</f>
        <v>1</v>
      </c>
      <c r="AK100" s="839"/>
      <c r="AL100" s="325"/>
      <c r="AM100" s="325"/>
      <c r="AN100" s="325"/>
      <c r="AO100" s="325"/>
      <c r="AP100" s="325"/>
      <c r="AQ100" s="325"/>
      <c r="AR100" s="325"/>
      <c r="AS100" s="391"/>
      <c r="AT100" s="503"/>
      <c r="AU100" s="504"/>
      <c r="AV100" s="850"/>
      <c r="AW100" s="850"/>
      <c r="AX100" s="850"/>
      <c r="AY100" s="852"/>
      <c r="AZ100" s="489">
        <f>ROUND(ROUND(ROUND(Q96*AJ100,0)*$AT$96,0)*AV102,0)</f>
        <v>92</v>
      </c>
      <c r="BA100" s="393"/>
    </row>
    <row r="101" spans="1:53" ht="16.5" customHeight="1" x14ac:dyDescent="0.15">
      <c r="A101" s="340">
        <v>12</v>
      </c>
      <c r="B101" s="341">
        <v>7683</v>
      </c>
      <c r="C101" s="390" t="s">
        <v>16686</v>
      </c>
      <c r="D101" s="408"/>
      <c r="E101" s="409"/>
      <c r="F101" s="409"/>
      <c r="G101" s="409"/>
      <c r="H101" s="411"/>
      <c r="Q101" s="395"/>
      <c r="R101" s="151"/>
      <c r="S101" s="151"/>
      <c r="U101" s="387"/>
      <c r="V101" s="343"/>
      <c r="W101" s="343"/>
      <c r="X101" s="343"/>
      <c r="Y101" s="343"/>
      <c r="Z101" s="343"/>
      <c r="AA101" s="343"/>
      <c r="AB101" s="343"/>
      <c r="AC101" s="343"/>
      <c r="AD101" s="343"/>
      <c r="AE101" s="343"/>
      <c r="AF101" s="343"/>
      <c r="AG101" s="343"/>
      <c r="AH101" s="343"/>
      <c r="AI101" s="343"/>
      <c r="AJ101" s="343"/>
      <c r="AK101" s="343"/>
      <c r="AL101" s="114" t="s">
        <v>15628</v>
      </c>
      <c r="AM101" s="396"/>
      <c r="AN101" s="396"/>
      <c r="AO101" s="396"/>
      <c r="AP101" s="396"/>
      <c r="AQ101" s="396"/>
      <c r="AR101" s="396"/>
      <c r="AS101" s="396"/>
      <c r="AT101" s="490"/>
      <c r="AU101" s="387"/>
      <c r="AV101" s="902" t="s">
        <v>15636</v>
      </c>
      <c r="AW101" s="902"/>
      <c r="AX101" s="902"/>
      <c r="AY101" s="903"/>
      <c r="AZ101" s="489">
        <f>ROUND(ROUND(ROUND(Q96*AR102,0)*$AT$96,0)*AV102,0)</f>
        <v>78</v>
      </c>
      <c r="BA101" s="393"/>
    </row>
    <row r="102" spans="1:53" ht="16.5" customHeight="1" x14ac:dyDescent="0.15">
      <c r="A102" s="340">
        <v>12</v>
      </c>
      <c r="B102" s="341">
        <v>7684</v>
      </c>
      <c r="C102" s="390" t="s">
        <v>16687</v>
      </c>
      <c r="D102" s="412"/>
      <c r="E102" s="413"/>
      <c r="F102" s="413"/>
      <c r="G102" s="413"/>
      <c r="H102" s="415"/>
      <c r="I102" s="325"/>
      <c r="J102" s="325"/>
      <c r="K102" s="325"/>
      <c r="L102" s="325"/>
      <c r="M102" s="325"/>
      <c r="N102" s="325"/>
      <c r="O102" s="325"/>
      <c r="P102" s="325"/>
      <c r="Q102" s="416"/>
      <c r="R102" s="417"/>
      <c r="S102" s="417"/>
      <c r="T102" s="325"/>
      <c r="U102" s="388"/>
      <c r="V102" s="343" t="s">
        <v>15625</v>
      </c>
      <c r="W102" s="325"/>
      <c r="X102" s="325"/>
      <c r="Y102" s="325"/>
      <c r="Z102" s="325"/>
      <c r="AA102" s="325"/>
      <c r="AB102" s="325"/>
      <c r="AC102" s="325"/>
      <c r="AD102" s="325"/>
      <c r="AE102" s="325"/>
      <c r="AF102" s="325"/>
      <c r="AG102" s="325"/>
      <c r="AH102" s="325"/>
      <c r="AI102" s="391" t="s">
        <v>15626</v>
      </c>
      <c r="AJ102" s="838">
        <f>AJ100</f>
        <v>1</v>
      </c>
      <c r="AK102" s="843"/>
      <c r="AL102" s="324" t="s">
        <v>15630</v>
      </c>
      <c r="AM102" s="325"/>
      <c r="AN102" s="325"/>
      <c r="AO102" s="325"/>
      <c r="AP102" s="325"/>
      <c r="AQ102" s="190" t="s">
        <v>398</v>
      </c>
      <c r="AR102" s="844">
        <f>AR98</f>
        <v>0.85</v>
      </c>
      <c r="AS102" s="844"/>
      <c r="AT102" s="505"/>
      <c r="AU102" s="506"/>
      <c r="AV102" s="844">
        <f>AV94</f>
        <v>0.8</v>
      </c>
      <c r="AW102" s="844"/>
      <c r="AX102" s="844"/>
      <c r="AY102" s="845"/>
      <c r="AZ102" s="491">
        <f>ROUND(ROUND(ROUND(ROUND(Q96*AJ102,0)*AR102,0)*$AT$96,0)*AV102,0)</f>
        <v>78</v>
      </c>
      <c r="BA102" s="418"/>
    </row>
    <row r="103" spans="1:53" ht="17.100000000000001" customHeight="1" x14ac:dyDescent="0.15">
      <c r="A103" s="340">
        <v>12</v>
      </c>
      <c r="B103" s="341">
        <v>7685</v>
      </c>
      <c r="C103" s="390" t="s">
        <v>16688</v>
      </c>
      <c r="D103" s="849" t="s">
        <v>15689</v>
      </c>
      <c r="E103" s="850"/>
      <c r="F103" s="850"/>
      <c r="G103" s="850"/>
      <c r="H103" s="852"/>
      <c r="I103" s="908" t="s">
        <v>15621</v>
      </c>
      <c r="J103" s="909"/>
      <c r="K103" s="909"/>
      <c r="L103" s="909"/>
      <c r="M103" s="909"/>
      <c r="N103" s="909"/>
      <c r="O103" s="909"/>
      <c r="P103" s="909"/>
      <c r="Q103" s="909"/>
      <c r="R103" s="909"/>
      <c r="S103" s="909"/>
      <c r="T103" s="909"/>
      <c r="U103" s="910"/>
      <c r="V103" s="343"/>
      <c r="W103" s="343"/>
      <c r="X103" s="343"/>
      <c r="Y103" s="343"/>
      <c r="Z103" s="343"/>
      <c r="AA103" s="343"/>
      <c r="AB103" s="343"/>
      <c r="AC103" s="343"/>
      <c r="AD103" s="343"/>
      <c r="AE103" s="343"/>
      <c r="AF103" s="343"/>
      <c r="AG103" s="343"/>
      <c r="AH103" s="343"/>
      <c r="AI103" s="343"/>
      <c r="AJ103" s="343"/>
      <c r="AK103" s="407"/>
      <c r="AL103" s="396"/>
      <c r="AM103" s="396"/>
      <c r="AN103" s="396"/>
      <c r="AO103" s="396"/>
      <c r="AP103" s="396"/>
      <c r="AQ103" s="396"/>
      <c r="AR103" s="396"/>
      <c r="AS103" s="396"/>
      <c r="AT103" s="916" t="s">
        <v>16592</v>
      </c>
      <c r="AU103" s="917"/>
      <c r="AV103" s="400"/>
      <c r="AW103" s="400"/>
      <c r="AX103" s="396"/>
      <c r="AY103" s="397"/>
      <c r="AZ103" s="489">
        <f>ROUND(Q104*$AT$112,0)</f>
        <v>251</v>
      </c>
      <c r="BA103" s="329" t="s">
        <v>15622</v>
      </c>
    </row>
    <row r="104" spans="1:53" ht="16.5" customHeight="1" x14ac:dyDescent="0.15">
      <c r="A104" s="340">
        <v>12</v>
      </c>
      <c r="B104" s="341">
        <v>7686</v>
      </c>
      <c r="C104" s="390" t="s">
        <v>16689</v>
      </c>
      <c r="D104" s="849"/>
      <c r="E104" s="850"/>
      <c r="F104" s="850"/>
      <c r="G104" s="850"/>
      <c r="H104" s="852"/>
      <c r="Q104" s="836">
        <f>ROUND(Q200*$F$109,0)</f>
        <v>201</v>
      </c>
      <c r="R104" s="911"/>
      <c r="S104" s="911"/>
      <c r="T104" s="152" t="s">
        <v>15624</v>
      </c>
      <c r="U104" s="387"/>
      <c r="V104" s="343" t="s">
        <v>15625</v>
      </c>
      <c r="W104" s="325"/>
      <c r="X104" s="325"/>
      <c r="Y104" s="325"/>
      <c r="Z104" s="325"/>
      <c r="AA104" s="325"/>
      <c r="AB104" s="325"/>
      <c r="AC104" s="325"/>
      <c r="AD104" s="325"/>
      <c r="AE104" s="325"/>
      <c r="AF104" s="325"/>
      <c r="AG104" s="325"/>
      <c r="AH104" s="325"/>
      <c r="AI104" s="391" t="s">
        <v>15626</v>
      </c>
      <c r="AJ104" s="838">
        <f>'2重度訪問'!AN104</f>
        <v>1</v>
      </c>
      <c r="AK104" s="839"/>
      <c r="AQ104" s="152"/>
      <c r="AR104" s="152"/>
      <c r="AS104" s="152"/>
      <c r="AT104" s="912"/>
      <c r="AU104" s="913"/>
      <c r="AY104" s="387"/>
      <c r="AZ104" s="489">
        <f>ROUND(ROUND(Q104*AJ104,0)*$AT$112,0)</f>
        <v>251</v>
      </c>
      <c r="BA104" s="393"/>
    </row>
    <row r="105" spans="1:53" ht="16.5" customHeight="1" x14ac:dyDescent="0.15">
      <c r="A105" s="287">
        <v>12</v>
      </c>
      <c r="B105" s="287">
        <v>7687</v>
      </c>
      <c r="C105" s="394" t="s">
        <v>16690</v>
      </c>
      <c r="D105" s="849"/>
      <c r="E105" s="850"/>
      <c r="F105" s="850"/>
      <c r="G105" s="850"/>
      <c r="H105" s="852"/>
      <c r="Q105" s="395"/>
      <c r="R105" s="151"/>
      <c r="S105" s="151"/>
      <c r="U105" s="387"/>
      <c r="V105" s="343"/>
      <c r="W105" s="343"/>
      <c r="X105" s="343"/>
      <c r="Y105" s="343"/>
      <c r="Z105" s="343"/>
      <c r="AA105" s="343"/>
      <c r="AB105" s="343"/>
      <c r="AC105" s="343"/>
      <c r="AD105" s="343"/>
      <c r="AE105" s="343"/>
      <c r="AF105" s="343"/>
      <c r="AG105" s="343"/>
      <c r="AH105" s="343"/>
      <c r="AI105" s="343"/>
      <c r="AJ105" s="343"/>
      <c r="AK105" s="343"/>
      <c r="AL105" s="114" t="s">
        <v>15628</v>
      </c>
      <c r="AM105" s="396"/>
      <c r="AN105" s="396"/>
      <c r="AO105" s="396"/>
      <c r="AP105" s="396"/>
      <c r="AQ105" s="396"/>
      <c r="AR105" s="396"/>
      <c r="AS105" s="396"/>
      <c r="AT105" s="912"/>
      <c r="AU105" s="913"/>
      <c r="AY105" s="387"/>
      <c r="AZ105" s="489">
        <f>ROUND(ROUND(Q104*AR106,0)*$AT$112,0)</f>
        <v>214</v>
      </c>
      <c r="BA105" s="393"/>
    </row>
    <row r="106" spans="1:53" ht="16.5" customHeight="1" x14ac:dyDescent="0.15">
      <c r="A106" s="287">
        <v>12</v>
      </c>
      <c r="B106" s="287">
        <v>7688</v>
      </c>
      <c r="C106" s="394" t="s">
        <v>16691</v>
      </c>
      <c r="D106" s="849"/>
      <c r="E106" s="850"/>
      <c r="F106" s="850"/>
      <c r="G106" s="850"/>
      <c r="H106" s="852"/>
      <c r="Q106" s="395"/>
      <c r="R106" s="151"/>
      <c r="S106" s="151"/>
      <c r="U106" s="387"/>
      <c r="V106" s="343" t="s">
        <v>15625</v>
      </c>
      <c r="W106" s="325"/>
      <c r="X106" s="325"/>
      <c r="Y106" s="325"/>
      <c r="Z106" s="325"/>
      <c r="AA106" s="325"/>
      <c r="AB106" s="325"/>
      <c r="AC106" s="325"/>
      <c r="AD106" s="325"/>
      <c r="AE106" s="325"/>
      <c r="AF106" s="325"/>
      <c r="AG106" s="325"/>
      <c r="AH106" s="325"/>
      <c r="AI106" s="391" t="s">
        <v>15626</v>
      </c>
      <c r="AJ106" s="838">
        <f>AJ104</f>
        <v>1</v>
      </c>
      <c r="AK106" s="843"/>
      <c r="AL106" s="324" t="s">
        <v>15630</v>
      </c>
      <c r="AM106" s="325"/>
      <c r="AN106" s="325"/>
      <c r="AO106" s="325"/>
      <c r="AP106" s="325"/>
      <c r="AQ106" s="190" t="s">
        <v>398</v>
      </c>
      <c r="AR106" s="844">
        <f>'2重度訪問'!AV106</f>
        <v>0.85</v>
      </c>
      <c r="AS106" s="844"/>
      <c r="AT106" s="912"/>
      <c r="AU106" s="913"/>
      <c r="AY106" s="387"/>
      <c r="AZ106" s="489">
        <f>ROUND(ROUND(ROUND(Q104*AJ106,0)*AR106,0)*$AT$112,0)</f>
        <v>214</v>
      </c>
      <c r="BA106" s="393"/>
    </row>
    <row r="107" spans="1:53" ht="17.100000000000001" customHeight="1" x14ac:dyDescent="0.15">
      <c r="A107" s="340">
        <v>12</v>
      </c>
      <c r="B107" s="341">
        <v>7689</v>
      </c>
      <c r="C107" s="390" t="s">
        <v>16692</v>
      </c>
      <c r="D107" s="832" t="s">
        <v>15632</v>
      </c>
      <c r="E107" s="833"/>
      <c r="F107" s="833"/>
      <c r="G107" s="833"/>
      <c r="H107" s="835"/>
      <c r="L107" s="151"/>
      <c r="M107" s="151"/>
      <c r="N107" s="151"/>
      <c r="U107" s="387"/>
      <c r="V107" s="343"/>
      <c r="W107" s="343"/>
      <c r="X107" s="343"/>
      <c r="Y107" s="343"/>
      <c r="Z107" s="343"/>
      <c r="AA107" s="343"/>
      <c r="AB107" s="343"/>
      <c r="AC107" s="343"/>
      <c r="AD107" s="343"/>
      <c r="AE107" s="343"/>
      <c r="AF107" s="343"/>
      <c r="AG107" s="343"/>
      <c r="AH107" s="343"/>
      <c r="AI107" s="343"/>
      <c r="AJ107" s="343"/>
      <c r="AK107" s="407"/>
      <c r="AL107" s="396"/>
      <c r="AM107" s="396"/>
      <c r="AN107" s="396"/>
      <c r="AO107" s="396"/>
      <c r="AP107" s="396"/>
      <c r="AQ107" s="396"/>
      <c r="AR107" s="396"/>
      <c r="AS107" s="396"/>
      <c r="AT107" s="912"/>
      <c r="AU107" s="913"/>
      <c r="AV107" s="858" t="s">
        <v>16296</v>
      </c>
      <c r="AW107" s="858"/>
      <c r="AX107" s="858"/>
      <c r="AY107" s="860"/>
      <c r="AZ107" s="489">
        <f>ROUND(ROUND(Q104*$AT$112,0)*AV110,0)</f>
        <v>201</v>
      </c>
      <c r="BA107" s="339"/>
    </row>
    <row r="108" spans="1:53" ht="16.5" customHeight="1" x14ac:dyDescent="0.15">
      <c r="A108" s="340">
        <v>12</v>
      </c>
      <c r="B108" s="341">
        <v>7690</v>
      </c>
      <c r="C108" s="390" t="s">
        <v>16693</v>
      </c>
      <c r="D108" s="832"/>
      <c r="E108" s="833"/>
      <c r="F108" s="833"/>
      <c r="G108" s="833"/>
      <c r="H108" s="835"/>
      <c r="Q108" s="899"/>
      <c r="R108" s="899"/>
      <c r="S108" s="899"/>
      <c r="U108" s="387"/>
      <c r="V108" s="343" t="s">
        <v>15625</v>
      </c>
      <c r="W108" s="325"/>
      <c r="X108" s="325"/>
      <c r="Y108" s="325"/>
      <c r="Z108" s="325"/>
      <c r="AA108" s="325"/>
      <c r="AB108" s="325"/>
      <c r="AC108" s="325"/>
      <c r="AD108" s="325"/>
      <c r="AE108" s="325"/>
      <c r="AF108" s="325"/>
      <c r="AG108" s="325"/>
      <c r="AH108" s="325"/>
      <c r="AI108" s="391" t="s">
        <v>15626</v>
      </c>
      <c r="AJ108" s="838">
        <f>AJ106</f>
        <v>1</v>
      </c>
      <c r="AK108" s="839"/>
      <c r="AQ108" s="152"/>
      <c r="AR108" s="152"/>
      <c r="AS108" s="152"/>
      <c r="AT108" s="912"/>
      <c r="AU108" s="913"/>
      <c r="AV108" s="850"/>
      <c r="AW108" s="850"/>
      <c r="AX108" s="850"/>
      <c r="AY108" s="852"/>
      <c r="AZ108" s="489">
        <f>ROUND(ROUND(ROUND(Q104*AJ108,0)*$AT$112,0)*AV110,0)</f>
        <v>201</v>
      </c>
      <c r="BA108" s="393"/>
    </row>
    <row r="109" spans="1:53" ht="16.5" customHeight="1" x14ac:dyDescent="0.15">
      <c r="A109" s="287">
        <v>12</v>
      </c>
      <c r="B109" s="287">
        <v>7691</v>
      </c>
      <c r="C109" s="394" t="s">
        <v>16694</v>
      </c>
      <c r="D109" s="403"/>
      <c r="E109" s="404" t="s">
        <v>15636</v>
      </c>
      <c r="F109" s="854">
        <f>'2重度訪問 (入院入所中)'!$F$109</f>
        <v>1.085</v>
      </c>
      <c r="G109" s="855"/>
      <c r="H109" s="856"/>
      <c r="Q109" s="395"/>
      <c r="R109" s="151"/>
      <c r="S109" s="151"/>
      <c r="U109" s="387"/>
      <c r="V109" s="343"/>
      <c r="W109" s="343"/>
      <c r="X109" s="343"/>
      <c r="Y109" s="343"/>
      <c r="Z109" s="343"/>
      <c r="AA109" s="343"/>
      <c r="AB109" s="343"/>
      <c r="AC109" s="343"/>
      <c r="AD109" s="343"/>
      <c r="AE109" s="343"/>
      <c r="AF109" s="343"/>
      <c r="AG109" s="343"/>
      <c r="AH109" s="343"/>
      <c r="AI109" s="343"/>
      <c r="AJ109" s="343"/>
      <c r="AK109" s="343"/>
      <c r="AL109" s="114" t="s">
        <v>15628</v>
      </c>
      <c r="AM109" s="396"/>
      <c r="AN109" s="396"/>
      <c r="AO109" s="396"/>
      <c r="AP109" s="396"/>
      <c r="AQ109" s="396"/>
      <c r="AR109" s="396"/>
      <c r="AS109" s="396"/>
      <c r="AT109" s="912"/>
      <c r="AU109" s="913"/>
      <c r="AV109" s="902" t="s">
        <v>15636</v>
      </c>
      <c r="AW109" s="902"/>
      <c r="AX109" s="902"/>
      <c r="AY109" s="903"/>
      <c r="AZ109" s="489">
        <f>ROUND(ROUND(ROUND(Q104*AR110,0)*$AT$112,0)*AV110,0)</f>
        <v>171</v>
      </c>
      <c r="BA109" s="393"/>
    </row>
    <row r="110" spans="1:53" ht="16.5" customHeight="1" x14ac:dyDescent="0.15">
      <c r="A110" s="287">
        <v>12</v>
      </c>
      <c r="B110" s="287">
        <v>7692</v>
      </c>
      <c r="C110" s="394" t="s">
        <v>16695</v>
      </c>
      <c r="D110" s="403"/>
      <c r="E110" s="404"/>
      <c r="F110" s="404"/>
      <c r="G110" s="404"/>
      <c r="H110" s="406"/>
      <c r="Q110" s="395"/>
      <c r="R110" s="151"/>
      <c r="S110" s="151"/>
      <c r="U110" s="387"/>
      <c r="V110" s="343" t="s">
        <v>15625</v>
      </c>
      <c r="W110" s="325"/>
      <c r="X110" s="325"/>
      <c r="Y110" s="325"/>
      <c r="Z110" s="325"/>
      <c r="AA110" s="325"/>
      <c r="AB110" s="325"/>
      <c r="AC110" s="325"/>
      <c r="AD110" s="325"/>
      <c r="AE110" s="325"/>
      <c r="AF110" s="325"/>
      <c r="AG110" s="325"/>
      <c r="AH110" s="325"/>
      <c r="AI110" s="391" t="s">
        <v>15626</v>
      </c>
      <c r="AJ110" s="838">
        <f>AJ108</f>
        <v>1</v>
      </c>
      <c r="AK110" s="843"/>
      <c r="AL110" s="324" t="s">
        <v>15630</v>
      </c>
      <c r="AM110" s="325"/>
      <c r="AN110" s="325"/>
      <c r="AO110" s="325"/>
      <c r="AP110" s="325"/>
      <c r="AQ110" s="190" t="s">
        <v>398</v>
      </c>
      <c r="AR110" s="844">
        <f>AR106</f>
        <v>0.85</v>
      </c>
      <c r="AS110" s="844"/>
      <c r="AT110" s="912"/>
      <c r="AU110" s="913"/>
      <c r="AV110" s="844">
        <f>AV102</f>
        <v>0.8</v>
      </c>
      <c r="AW110" s="844"/>
      <c r="AX110" s="844"/>
      <c r="AY110" s="845"/>
      <c r="AZ110" s="489">
        <f>ROUND(ROUND(ROUND(ROUND(Q104*AJ110,0)*AR110,0)*$AT$112,0)*AV110,0)</f>
        <v>171</v>
      </c>
      <c r="BA110" s="393"/>
    </row>
    <row r="111" spans="1:53" ht="16.5" customHeight="1" x14ac:dyDescent="0.15">
      <c r="A111" s="340">
        <v>12</v>
      </c>
      <c r="B111" s="341">
        <v>7693</v>
      </c>
      <c r="C111" s="390" t="s">
        <v>16696</v>
      </c>
      <c r="D111" s="494"/>
      <c r="E111" s="151"/>
      <c r="F111" s="151"/>
      <c r="G111" s="151"/>
      <c r="H111" s="495"/>
      <c r="I111" s="908" t="s">
        <v>15633</v>
      </c>
      <c r="J111" s="909"/>
      <c r="K111" s="909"/>
      <c r="L111" s="909"/>
      <c r="M111" s="909"/>
      <c r="N111" s="909"/>
      <c r="O111" s="909"/>
      <c r="P111" s="909"/>
      <c r="Q111" s="909"/>
      <c r="R111" s="909"/>
      <c r="S111" s="909"/>
      <c r="T111" s="909"/>
      <c r="U111" s="910"/>
      <c r="V111" s="343"/>
      <c r="W111" s="325"/>
      <c r="X111" s="325"/>
      <c r="Y111" s="325"/>
      <c r="Z111" s="325"/>
      <c r="AA111" s="325"/>
      <c r="AB111" s="325"/>
      <c r="AC111" s="325"/>
      <c r="AD111" s="325"/>
      <c r="AE111" s="325"/>
      <c r="AF111" s="325"/>
      <c r="AG111" s="325"/>
      <c r="AH111" s="325"/>
      <c r="AI111" s="391"/>
      <c r="AJ111" s="401"/>
      <c r="AK111" s="402"/>
      <c r="AQ111" s="152"/>
      <c r="AR111" s="152"/>
      <c r="AS111" s="152"/>
      <c r="AT111" s="912" t="s">
        <v>15636</v>
      </c>
      <c r="AU111" s="913"/>
      <c r="AV111" s="400"/>
      <c r="AW111" s="400"/>
      <c r="AX111" s="396"/>
      <c r="AY111" s="397"/>
      <c r="AZ111" s="489">
        <f>ROUND(Q112*$AT$112,0)</f>
        <v>123</v>
      </c>
      <c r="BA111" s="393"/>
    </row>
    <row r="112" spans="1:53" ht="16.5" customHeight="1" x14ac:dyDescent="0.15">
      <c r="A112" s="340">
        <v>12</v>
      </c>
      <c r="B112" s="341">
        <v>7694</v>
      </c>
      <c r="C112" s="390" t="s">
        <v>16697</v>
      </c>
      <c r="D112" s="494"/>
      <c r="E112" s="151"/>
      <c r="F112" s="151"/>
      <c r="G112" s="151"/>
      <c r="H112" s="495"/>
      <c r="Q112" s="836">
        <f>ROUND(Q208*$F$109,0)</f>
        <v>98</v>
      </c>
      <c r="R112" s="911"/>
      <c r="S112" s="911"/>
      <c r="T112" s="152" t="s">
        <v>15624</v>
      </c>
      <c r="U112" s="387"/>
      <c r="V112" s="343" t="s">
        <v>15625</v>
      </c>
      <c r="W112" s="325"/>
      <c r="X112" s="325"/>
      <c r="Y112" s="325"/>
      <c r="Z112" s="325"/>
      <c r="AA112" s="325"/>
      <c r="AB112" s="325"/>
      <c r="AC112" s="325"/>
      <c r="AD112" s="325"/>
      <c r="AE112" s="325"/>
      <c r="AF112" s="325"/>
      <c r="AG112" s="325"/>
      <c r="AH112" s="325"/>
      <c r="AI112" s="391" t="s">
        <v>15626</v>
      </c>
      <c r="AJ112" s="838">
        <f>AJ110</f>
        <v>1</v>
      </c>
      <c r="AK112" s="839"/>
      <c r="AQ112" s="152"/>
      <c r="AR112" s="152"/>
      <c r="AS112" s="152"/>
      <c r="AT112" s="914">
        <f>AT96</f>
        <v>1.25</v>
      </c>
      <c r="AU112" s="915"/>
      <c r="AY112" s="387"/>
      <c r="AZ112" s="489">
        <f>ROUND(ROUND(Q112*AJ112,0)*$AT$112,0)</f>
        <v>123</v>
      </c>
      <c r="BA112" s="393"/>
    </row>
    <row r="113" spans="1:53" ht="16.5" customHeight="1" x14ac:dyDescent="0.15">
      <c r="A113" s="287">
        <v>12</v>
      </c>
      <c r="B113" s="287">
        <v>7695</v>
      </c>
      <c r="C113" s="394" t="s">
        <v>16698</v>
      </c>
      <c r="D113" s="494"/>
      <c r="E113" s="151"/>
      <c r="F113" s="151"/>
      <c r="G113" s="151"/>
      <c r="H113" s="495"/>
      <c r="Q113" s="395"/>
      <c r="R113" s="151"/>
      <c r="S113" s="151"/>
      <c r="U113" s="387"/>
      <c r="V113" s="343"/>
      <c r="W113" s="343"/>
      <c r="X113" s="343"/>
      <c r="Y113" s="343"/>
      <c r="Z113" s="343"/>
      <c r="AA113" s="343"/>
      <c r="AB113" s="343"/>
      <c r="AC113" s="343"/>
      <c r="AD113" s="343"/>
      <c r="AE113" s="343"/>
      <c r="AF113" s="343"/>
      <c r="AG113" s="343"/>
      <c r="AH113" s="343"/>
      <c r="AI113" s="343"/>
      <c r="AJ113" s="343"/>
      <c r="AK113" s="343"/>
      <c r="AL113" s="114" t="s">
        <v>15628</v>
      </c>
      <c r="AM113" s="396"/>
      <c r="AN113" s="396"/>
      <c r="AO113" s="396"/>
      <c r="AP113" s="396"/>
      <c r="AQ113" s="396"/>
      <c r="AR113" s="396"/>
      <c r="AS113" s="396"/>
      <c r="AT113" s="490"/>
      <c r="AU113" s="387"/>
      <c r="AY113" s="387"/>
      <c r="AZ113" s="489">
        <f>ROUND(ROUND(Q112*AR114,0)*$AT$112,0)</f>
        <v>104</v>
      </c>
      <c r="BA113" s="393"/>
    </row>
    <row r="114" spans="1:53" ht="16.5" customHeight="1" x14ac:dyDescent="0.15">
      <c r="A114" s="287">
        <v>12</v>
      </c>
      <c r="B114" s="287">
        <v>7696</v>
      </c>
      <c r="C114" s="394" t="s">
        <v>16699</v>
      </c>
      <c r="D114" s="403"/>
      <c r="E114" s="404"/>
      <c r="F114" s="404"/>
      <c r="G114" s="404"/>
      <c r="H114" s="406"/>
      <c r="Q114" s="395"/>
      <c r="R114" s="151"/>
      <c r="S114" s="151"/>
      <c r="U114" s="387"/>
      <c r="V114" s="343" t="s">
        <v>15625</v>
      </c>
      <c r="W114" s="325"/>
      <c r="X114" s="325"/>
      <c r="Y114" s="325"/>
      <c r="Z114" s="325"/>
      <c r="AA114" s="325"/>
      <c r="AB114" s="325"/>
      <c r="AC114" s="325"/>
      <c r="AD114" s="325"/>
      <c r="AE114" s="325"/>
      <c r="AF114" s="325"/>
      <c r="AG114" s="325"/>
      <c r="AH114" s="325"/>
      <c r="AI114" s="391" t="s">
        <v>15626</v>
      </c>
      <c r="AJ114" s="838">
        <f>AJ112</f>
        <v>1</v>
      </c>
      <c r="AK114" s="843"/>
      <c r="AL114" s="324" t="s">
        <v>15630</v>
      </c>
      <c r="AM114" s="325"/>
      <c r="AN114" s="325"/>
      <c r="AO114" s="325"/>
      <c r="AP114" s="325"/>
      <c r="AQ114" s="190" t="s">
        <v>398</v>
      </c>
      <c r="AR114" s="844">
        <f>AR110</f>
        <v>0.85</v>
      </c>
      <c r="AS114" s="844"/>
      <c r="AT114" s="501"/>
      <c r="AU114" s="502"/>
      <c r="AY114" s="387"/>
      <c r="AZ114" s="489">
        <f>ROUND(ROUND(ROUND(Q112*AJ114,0)*AR114,0)*$AT$112,0)</f>
        <v>104</v>
      </c>
      <c r="BA114" s="393"/>
    </row>
    <row r="115" spans="1:53" ht="16.5" customHeight="1" x14ac:dyDescent="0.15">
      <c r="A115" s="340">
        <v>12</v>
      </c>
      <c r="B115" s="341">
        <v>7697</v>
      </c>
      <c r="C115" s="390" t="s">
        <v>16700</v>
      </c>
      <c r="D115" s="494"/>
      <c r="E115" s="151"/>
      <c r="F115" s="151"/>
      <c r="G115" s="151"/>
      <c r="H115" s="495"/>
      <c r="I115" s="254"/>
      <c r="Q115" s="395"/>
      <c r="R115" s="151"/>
      <c r="S115" s="151"/>
      <c r="U115" s="387"/>
      <c r="V115" s="343"/>
      <c r="W115" s="325"/>
      <c r="X115" s="325"/>
      <c r="Y115" s="325"/>
      <c r="Z115" s="325"/>
      <c r="AA115" s="325"/>
      <c r="AB115" s="325"/>
      <c r="AC115" s="325"/>
      <c r="AD115" s="325"/>
      <c r="AE115" s="325"/>
      <c r="AF115" s="325"/>
      <c r="AG115" s="325"/>
      <c r="AH115" s="325"/>
      <c r="AI115" s="391"/>
      <c r="AJ115" s="401"/>
      <c r="AK115" s="402"/>
      <c r="AQ115" s="152"/>
      <c r="AR115" s="152"/>
      <c r="AS115" s="152"/>
      <c r="AT115" s="490"/>
      <c r="AU115" s="387"/>
      <c r="AV115" s="858" t="s">
        <v>16296</v>
      </c>
      <c r="AW115" s="858"/>
      <c r="AX115" s="858"/>
      <c r="AY115" s="860"/>
      <c r="AZ115" s="489">
        <f>ROUND(ROUND(Q112*$AT$112,0)*AV118,0)</f>
        <v>98</v>
      </c>
      <c r="BA115" s="393"/>
    </row>
    <row r="116" spans="1:53" ht="16.5" customHeight="1" x14ac:dyDescent="0.15">
      <c r="A116" s="340">
        <v>12</v>
      </c>
      <c r="B116" s="341">
        <v>7698</v>
      </c>
      <c r="C116" s="390" t="s">
        <v>16701</v>
      </c>
      <c r="D116" s="494"/>
      <c r="E116" s="151"/>
      <c r="F116" s="151"/>
      <c r="G116" s="151"/>
      <c r="H116" s="495"/>
      <c r="Q116" s="899"/>
      <c r="R116" s="899"/>
      <c r="S116" s="899"/>
      <c r="U116" s="387"/>
      <c r="V116" s="343" t="s">
        <v>15625</v>
      </c>
      <c r="W116" s="325"/>
      <c r="X116" s="325"/>
      <c r="Y116" s="325"/>
      <c r="Z116" s="325"/>
      <c r="AA116" s="325"/>
      <c r="AB116" s="325"/>
      <c r="AC116" s="325"/>
      <c r="AD116" s="325"/>
      <c r="AE116" s="325"/>
      <c r="AF116" s="325"/>
      <c r="AG116" s="325"/>
      <c r="AH116" s="325"/>
      <c r="AI116" s="391" t="s">
        <v>15626</v>
      </c>
      <c r="AJ116" s="838">
        <f>AJ114</f>
        <v>1</v>
      </c>
      <c r="AK116" s="839"/>
      <c r="AQ116" s="152"/>
      <c r="AR116" s="152"/>
      <c r="AS116" s="152"/>
      <c r="AT116" s="490"/>
      <c r="AU116" s="387"/>
      <c r="AV116" s="850"/>
      <c r="AW116" s="850"/>
      <c r="AX116" s="850"/>
      <c r="AY116" s="852"/>
      <c r="AZ116" s="489">
        <f>ROUND(ROUND(ROUND(Q112*AJ116,0)*$AT$112,0)*AV118,0)</f>
        <v>98</v>
      </c>
      <c r="BA116" s="393"/>
    </row>
    <row r="117" spans="1:53" ht="16.5" customHeight="1" x14ac:dyDescent="0.15">
      <c r="A117" s="287">
        <v>12</v>
      </c>
      <c r="B117" s="287">
        <v>7699</v>
      </c>
      <c r="C117" s="394" t="s">
        <v>16702</v>
      </c>
      <c r="D117" s="494"/>
      <c r="E117" s="151"/>
      <c r="F117" s="151"/>
      <c r="G117" s="151"/>
      <c r="H117" s="495"/>
      <c r="Q117" s="395"/>
      <c r="R117" s="151"/>
      <c r="S117" s="151"/>
      <c r="U117" s="387"/>
      <c r="V117" s="343"/>
      <c r="W117" s="343"/>
      <c r="X117" s="343"/>
      <c r="Y117" s="343"/>
      <c r="Z117" s="343"/>
      <c r="AA117" s="343"/>
      <c r="AB117" s="343"/>
      <c r="AC117" s="343"/>
      <c r="AD117" s="343"/>
      <c r="AE117" s="343"/>
      <c r="AF117" s="343"/>
      <c r="AG117" s="343"/>
      <c r="AH117" s="343"/>
      <c r="AI117" s="343"/>
      <c r="AJ117" s="343"/>
      <c r="AK117" s="343"/>
      <c r="AL117" s="114" t="s">
        <v>15628</v>
      </c>
      <c r="AM117" s="396"/>
      <c r="AN117" s="396"/>
      <c r="AO117" s="396"/>
      <c r="AP117" s="396"/>
      <c r="AQ117" s="396"/>
      <c r="AR117" s="396"/>
      <c r="AS117" s="396"/>
      <c r="AT117" s="490"/>
      <c r="AU117" s="387"/>
      <c r="AV117" s="902" t="s">
        <v>15636</v>
      </c>
      <c r="AW117" s="902"/>
      <c r="AX117" s="902"/>
      <c r="AY117" s="903"/>
      <c r="AZ117" s="489">
        <f>ROUND(ROUND(ROUND(Q112*AR118,0)*$AT$112,0)*AV118,0)</f>
        <v>83</v>
      </c>
      <c r="BA117" s="393"/>
    </row>
    <row r="118" spans="1:53" ht="16.5" customHeight="1" x14ac:dyDescent="0.15">
      <c r="A118" s="287">
        <v>12</v>
      </c>
      <c r="B118" s="287">
        <v>7700</v>
      </c>
      <c r="C118" s="394" t="s">
        <v>16703</v>
      </c>
      <c r="D118" s="403"/>
      <c r="E118" s="404"/>
      <c r="F118" s="404"/>
      <c r="G118" s="404"/>
      <c r="H118" s="406"/>
      <c r="Q118" s="395"/>
      <c r="R118" s="151"/>
      <c r="S118" s="151"/>
      <c r="U118" s="387"/>
      <c r="V118" s="343" t="s">
        <v>15625</v>
      </c>
      <c r="W118" s="325"/>
      <c r="X118" s="325"/>
      <c r="Y118" s="325"/>
      <c r="Z118" s="325"/>
      <c r="AA118" s="325"/>
      <c r="AB118" s="325"/>
      <c r="AC118" s="325"/>
      <c r="AD118" s="325"/>
      <c r="AE118" s="325"/>
      <c r="AF118" s="325"/>
      <c r="AG118" s="325"/>
      <c r="AH118" s="325"/>
      <c r="AI118" s="391" t="s">
        <v>15626</v>
      </c>
      <c r="AJ118" s="838">
        <f>AJ116</f>
        <v>1</v>
      </c>
      <c r="AK118" s="843"/>
      <c r="AL118" s="324" t="s">
        <v>15630</v>
      </c>
      <c r="AM118" s="325"/>
      <c r="AN118" s="325"/>
      <c r="AO118" s="325"/>
      <c r="AP118" s="325"/>
      <c r="AQ118" s="190" t="s">
        <v>398</v>
      </c>
      <c r="AR118" s="844">
        <f>AR114</f>
        <v>0.85</v>
      </c>
      <c r="AS118" s="844"/>
      <c r="AT118" s="501"/>
      <c r="AU118" s="502"/>
      <c r="AV118" s="844">
        <f>AV110</f>
        <v>0.8</v>
      </c>
      <c r="AW118" s="844"/>
      <c r="AX118" s="844"/>
      <c r="AY118" s="845"/>
      <c r="AZ118" s="489">
        <f>ROUND(ROUND(ROUND(ROUND(Q112*AJ118,0)*AR118,0)*$AT$112,0)*AV118,0)</f>
        <v>83</v>
      </c>
      <c r="BA118" s="393"/>
    </row>
    <row r="119" spans="1:53" ht="16.5" customHeight="1" x14ac:dyDescent="0.15">
      <c r="A119" s="340">
        <v>12</v>
      </c>
      <c r="B119" s="341">
        <v>7701</v>
      </c>
      <c r="C119" s="390" t="s">
        <v>16704</v>
      </c>
      <c r="D119" s="403"/>
      <c r="E119" s="404"/>
      <c r="F119" s="404"/>
      <c r="G119" s="404"/>
      <c r="H119" s="406"/>
      <c r="I119" s="908" t="s">
        <v>16309</v>
      </c>
      <c r="J119" s="909"/>
      <c r="K119" s="909"/>
      <c r="L119" s="909"/>
      <c r="M119" s="909"/>
      <c r="N119" s="909"/>
      <c r="O119" s="909"/>
      <c r="P119" s="909"/>
      <c r="Q119" s="909"/>
      <c r="R119" s="909"/>
      <c r="S119" s="909"/>
      <c r="T119" s="909"/>
      <c r="U119" s="910"/>
      <c r="V119" s="343"/>
      <c r="W119" s="325"/>
      <c r="X119" s="325"/>
      <c r="Y119" s="325"/>
      <c r="Z119" s="325"/>
      <c r="AA119" s="325"/>
      <c r="AB119" s="325"/>
      <c r="AC119" s="325"/>
      <c r="AD119" s="325"/>
      <c r="AE119" s="325"/>
      <c r="AF119" s="325"/>
      <c r="AG119" s="325"/>
      <c r="AH119" s="325"/>
      <c r="AI119" s="391"/>
      <c r="AJ119" s="401"/>
      <c r="AK119" s="402"/>
      <c r="AL119" s="396"/>
      <c r="AM119" s="396"/>
      <c r="AN119" s="396"/>
      <c r="AO119" s="396"/>
      <c r="AP119" s="396"/>
      <c r="AQ119" s="396"/>
      <c r="AR119" s="396"/>
      <c r="AS119" s="396"/>
      <c r="AT119" s="490"/>
      <c r="AU119" s="387"/>
      <c r="AV119" s="400"/>
      <c r="AW119" s="400"/>
      <c r="AX119" s="396"/>
      <c r="AY119" s="397"/>
      <c r="AZ119" s="489">
        <f>ROUND(Q120*$AT$112,0)</f>
        <v>125</v>
      </c>
      <c r="BA119" s="393"/>
    </row>
    <row r="120" spans="1:53" ht="16.5" customHeight="1" x14ac:dyDescent="0.15">
      <c r="A120" s="340">
        <v>12</v>
      </c>
      <c r="B120" s="341">
        <v>7702</v>
      </c>
      <c r="C120" s="390" t="s">
        <v>16705</v>
      </c>
      <c r="D120" s="403"/>
      <c r="E120" s="404"/>
      <c r="F120" s="404"/>
      <c r="G120" s="404"/>
      <c r="H120" s="406"/>
      <c r="Q120" s="836">
        <f>ROUND(Q216*$F$109,0)</f>
        <v>100</v>
      </c>
      <c r="R120" s="911"/>
      <c r="S120" s="911"/>
      <c r="T120" s="152" t="s">
        <v>15624</v>
      </c>
      <c r="U120" s="387"/>
      <c r="V120" s="343" t="s">
        <v>15625</v>
      </c>
      <c r="W120" s="325"/>
      <c r="X120" s="325"/>
      <c r="Y120" s="325"/>
      <c r="Z120" s="325"/>
      <c r="AA120" s="325"/>
      <c r="AB120" s="325"/>
      <c r="AC120" s="325"/>
      <c r="AD120" s="325"/>
      <c r="AE120" s="325"/>
      <c r="AF120" s="325"/>
      <c r="AG120" s="325"/>
      <c r="AH120" s="325"/>
      <c r="AI120" s="391" t="s">
        <v>15626</v>
      </c>
      <c r="AJ120" s="838">
        <f>AJ118</f>
        <v>1</v>
      </c>
      <c r="AK120" s="839"/>
      <c r="AL120" s="325"/>
      <c r="AM120" s="325"/>
      <c r="AN120" s="325"/>
      <c r="AO120" s="325"/>
      <c r="AP120" s="325"/>
      <c r="AQ120" s="325"/>
      <c r="AR120" s="325"/>
      <c r="AS120" s="325"/>
      <c r="AT120" s="490"/>
      <c r="AU120" s="387"/>
      <c r="AY120" s="387"/>
      <c r="AZ120" s="489">
        <f>ROUND(ROUND(Q120*AJ120,0)*$AT$112,0)</f>
        <v>125</v>
      </c>
      <c r="BA120" s="393"/>
    </row>
    <row r="121" spans="1:53" ht="16.5" customHeight="1" x14ac:dyDescent="0.15">
      <c r="A121" s="287">
        <v>12</v>
      </c>
      <c r="B121" s="287">
        <v>7703</v>
      </c>
      <c r="C121" s="394" t="s">
        <v>16706</v>
      </c>
      <c r="D121" s="403"/>
      <c r="E121" s="404"/>
      <c r="F121" s="404"/>
      <c r="G121" s="404"/>
      <c r="H121" s="406"/>
      <c r="Q121" s="395"/>
      <c r="R121" s="151"/>
      <c r="S121" s="151"/>
      <c r="U121" s="387"/>
      <c r="V121" s="343"/>
      <c r="W121" s="343"/>
      <c r="X121" s="343"/>
      <c r="Y121" s="343"/>
      <c r="Z121" s="343"/>
      <c r="AA121" s="343"/>
      <c r="AB121" s="343"/>
      <c r="AC121" s="343"/>
      <c r="AD121" s="343"/>
      <c r="AE121" s="343"/>
      <c r="AF121" s="343"/>
      <c r="AG121" s="343"/>
      <c r="AH121" s="343"/>
      <c r="AI121" s="343"/>
      <c r="AJ121" s="343"/>
      <c r="AK121" s="343"/>
      <c r="AL121" s="114" t="s">
        <v>15628</v>
      </c>
      <c r="AM121" s="396"/>
      <c r="AN121" s="396"/>
      <c r="AO121" s="396"/>
      <c r="AP121" s="396"/>
      <c r="AQ121" s="396"/>
      <c r="AR121" s="396"/>
      <c r="AS121" s="396"/>
      <c r="AT121" s="490"/>
      <c r="AU121" s="387"/>
      <c r="AY121" s="387"/>
      <c r="AZ121" s="489">
        <f>ROUND(ROUND(Q120*AR122,0)*$AT$112,0)</f>
        <v>106</v>
      </c>
      <c r="BA121" s="393"/>
    </row>
    <row r="122" spans="1:53" ht="16.5" customHeight="1" x14ac:dyDescent="0.15">
      <c r="A122" s="287">
        <v>12</v>
      </c>
      <c r="B122" s="287">
        <v>7704</v>
      </c>
      <c r="C122" s="394" t="s">
        <v>16707</v>
      </c>
      <c r="D122" s="403"/>
      <c r="E122" s="404"/>
      <c r="F122" s="404"/>
      <c r="G122" s="404"/>
      <c r="H122" s="406"/>
      <c r="Q122" s="395"/>
      <c r="R122" s="151"/>
      <c r="S122" s="151"/>
      <c r="U122" s="387"/>
      <c r="V122" s="343" t="s">
        <v>15625</v>
      </c>
      <c r="W122" s="325"/>
      <c r="X122" s="325"/>
      <c r="Y122" s="325"/>
      <c r="Z122" s="325"/>
      <c r="AA122" s="325"/>
      <c r="AB122" s="325"/>
      <c r="AC122" s="325"/>
      <c r="AD122" s="325"/>
      <c r="AE122" s="325"/>
      <c r="AF122" s="325"/>
      <c r="AG122" s="325"/>
      <c r="AH122" s="325"/>
      <c r="AI122" s="391" t="s">
        <v>15626</v>
      </c>
      <c r="AJ122" s="838">
        <f>AJ120</f>
        <v>1</v>
      </c>
      <c r="AK122" s="843"/>
      <c r="AL122" s="324" t="s">
        <v>15630</v>
      </c>
      <c r="AM122" s="325"/>
      <c r="AN122" s="325"/>
      <c r="AO122" s="325"/>
      <c r="AP122" s="325"/>
      <c r="AQ122" s="190" t="s">
        <v>398</v>
      </c>
      <c r="AR122" s="844">
        <f>AR118</f>
        <v>0.85</v>
      </c>
      <c r="AS122" s="844"/>
      <c r="AT122" s="501"/>
      <c r="AU122" s="502"/>
      <c r="AY122" s="387"/>
      <c r="AZ122" s="489">
        <f>ROUND(ROUND(ROUND(Q120*AJ122,0)*AR122,0)*$AT$112,0)</f>
        <v>106</v>
      </c>
      <c r="BA122" s="393"/>
    </row>
    <row r="123" spans="1:53" ht="16.5" customHeight="1" x14ac:dyDescent="0.15">
      <c r="A123" s="340">
        <v>12</v>
      </c>
      <c r="B123" s="341">
        <v>7705</v>
      </c>
      <c r="C123" s="390" t="s">
        <v>16708</v>
      </c>
      <c r="D123" s="403"/>
      <c r="E123" s="404"/>
      <c r="F123" s="404"/>
      <c r="G123" s="404"/>
      <c r="H123" s="406"/>
      <c r="I123" s="10"/>
      <c r="Q123" s="395"/>
      <c r="R123" s="151"/>
      <c r="S123" s="151"/>
      <c r="U123" s="387"/>
      <c r="V123" s="343"/>
      <c r="W123" s="325"/>
      <c r="X123" s="325"/>
      <c r="Y123" s="325"/>
      <c r="Z123" s="325"/>
      <c r="AA123" s="325"/>
      <c r="AB123" s="325"/>
      <c r="AC123" s="325"/>
      <c r="AD123" s="325"/>
      <c r="AE123" s="325"/>
      <c r="AF123" s="325"/>
      <c r="AG123" s="325"/>
      <c r="AH123" s="325"/>
      <c r="AI123" s="391"/>
      <c r="AJ123" s="401"/>
      <c r="AK123" s="402"/>
      <c r="AL123" s="396"/>
      <c r="AM123" s="396"/>
      <c r="AN123" s="396"/>
      <c r="AO123" s="396"/>
      <c r="AP123" s="396"/>
      <c r="AQ123" s="396"/>
      <c r="AR123" s="396"/>
      <c r="AS123" s="396"/>
      <c r="AT123" s="490"/>
      <c r="AU123" s="387"/>
      <c r="AV123" s="858" t="s">
        <v>16296</v>
      </c>
      <c r="AW123" s="858"/>
      <c r="AX123" s="858"/>
      <c r="AY123" s="860"/>
      <c r="AZ123" s="489">
        <f>ROUND(ROUND(Q120*$AT$112,0)*AV126,0)</f>
        <v>100</v>
      </c>
      <c r="BA123" s="393"/>
    </row>
    <row r="124" spans="1:53" ht="16.5" customHeight="1" x14ac:dyDescent="0.15">
      <c r="A124" s="340">
        <v>12</v>
      </c>
      <c r="B124" s="341">
        <v>7706</v>
      </c>
      <c r="C124" s="390" t="s">
        <v>16709</v>
      </c>
      <c r="D124" s="403"/>
      <c r="E124" s="404"/>
      <c r="F124" s="404"/>
      <c r="G124" s="404"/>
      <c r="H124" s="406"/>
      <c r="Q124" s="899"/>
      <c r="R124" s="899"/>
      <c r="S124" s="899"/>
      <c r="U124" s="387"/>
      <c r="V124" s="343" t="s">
        <v>15625</v>
      </c>
      <c r="W124" s="325"/>
      <c r="X124" s="325"/>
      <c r="Y124" s="325"/>
      <c r="Z124" s="325"/>
      <c r="AA124" s="325"/>
      <c r="AB124" s="325"/>
      <c r="AC124" s="325"/>
      <c r="AD124" s="325"/>
      <c r="AE124" s="325"/>
      <c r="AF124" s="325"/>
      <c r="AG124" s="325"/>
      <c r="AH124" s="325"/>
      <c r="AI124" s="391" t="s">
        <v>15626</v>
      </c>
      <c r="AJ124" s="838">
        <f>AJ122</f>
        <v>1</v>
      </c>
      <c r="AK124" s="839"/>
      <c r="AL124" s="325"/>
      <c r="AM124" s="325"/>
      <c r="AN124" s="325"/>
      <c r="AO124" s="325"/>
      <c r="AP124" s="325"/>
      <c r="AQ124" s="325"/>
      <c r="AR124" s="325"/>
      <c r="AS124" s="325"/>
      <c r="AT124" s="490"/>
      <c r="AU124" s="387"/>
      <c r="AV124" s="850"/>
      <c r="AW124" s="850"/>
      <c r="AX124" s="850"/>
      <c r="AY124" s="852"/>
      <c r="AZ124" s="489">
        <f>ROUND(ROUND(ROUND(Q120*AJ124,0)*$AT$112,0)*AV126,0)</f>
        <v>100</v>
      </c>
      <c r="BA124" s="393"/>
    </row>
    <row r="125" spans="1:53" ht="16.5" customHeight="1" x14ac:dyDescent="0.15">
      <c r="A125" s="287">
        <v>12</v>
      </c>
      <c r="B125" s="287">
        <v>7707</v>
      </c>
      <c r="C125" s="394" t="s">
        <v>16710</v>
      </c>
      <c r="D125" s="403"/>
      <c r="E125" s="404"/>
      <c r="F125" s="404"/>
      <c r="G125" s="404"/>
      <c r="H125" s="406"/>
      <c r="Q125" s="395"/>
      <c r="R125" s="151"/>
      <c r="S125" s="151"/>
      <c r="U125" s="387"/>
      <c r="V125" s="343"/>
      <c r="W125" s="343"/>
      <c r="X125" s="343"/>
      <c r="Y125" s="343"/>
      <c r="Z125" s="343"/>
      <c r="AA125" s="343"/>
      <c r="AB125" s="343"/>
      <c r="AC125" s="343"/>
      <c r="AD125" s="343"/>
      <c r="AE125" s="343"/>
      <c r="AF125" s="343"/>
      <c r="AG125" s="343"/>
      <c r="AH125" s="343"/>
      <c r="AI125" s="343"/>
      <c r="AJ125" s="343"/>
      <c r="AK125" s="343"/>
      <c r="AL125" s="114" t="s">
        <v>15628</v>
      </c>
      <c r="AM125" s="396"/>
      <c r="AN125" s="396"/>
      <c r="AO125" s="396"/>
      <c r="AP125" s="396"/>
      <c r="AQ125" s="396"/>
      <c r="AR125" s="396"/>
      <c r="AS125" s="396"/>
      <c r="AT125" s="490"/>
      <c r="AU125" s="387"/>
      <c r="AV125" s="902" t="s">
        <v>15636</v>
      </c>
      <c r="AW125" s="902"/>
      <c r="AX125" s="902"/>
      <c r="AY125" s="903"/>
      <c r="AZ125" s="489">
        <f>ROUND(ROUND(ROUND(Q120*AR126,0)*$AT$112,0)*AV126,0)</f>
        <v>85</v>
      </c>
      <c r="BA125" s="393"/>
    </row>
    <row r="126" spans="1:53" ht="16.5" customHeight="1" x14ac:dyDescent="0.15">
      <c r="A126" s="287">
        <v>12</v>
      </c>
      <c r="B126" s="287">
        <v>7708</v>
      </c>
      <c r="C126" s="394" t="s">
        <v>16711</v>
      </c>
      <c r="D126" s="403"/>
      <c r="E126" s="404"/>
      <c r="F126" s="404"/>
      <c r="G126" s="404"/>
      <c r="H126" s="406"/>
      <c r="Q126" s="395"/>
      <c r="R126" s="151"/>
      <c r="S126" s="151"/>
      <c r="U126" s="387"/>
      <c r="V126" s="343" t="s">
        <v>15625</v>
      </c>
      <c r="W126" s="325"/>
      <c r="X126" s="325"/>
      <c r="Y126" s="325"/>
      <c r="Z126" s="325"/>
      <c r="AA126" s="325"/>
      <c r="AB126" s="325"/>
      <c r="AC126" s="325"/>
      <c r="AD126" s="325"/>
      <c r="AE126" s="325"/>
      <c r="AF126" s="325"/>
      <c r="AG126" s="325"/>
      <c r="AH126" s="325"/>
      <c r="AI126" s="391" t="s">
        <v>15626</v>
      </c>
      <c r="AJ126" s="838">
        <f>AJ124</f>
        <v>1</v>
      </c>
      <c r="AK126" s="843"/>
      <c r="AL126" s="324" t="s">
        <v>15630</v>
      </c>
      <c r="AM126" s="325"/>
      <c r="AN126" s="325"/>
      <c r="AO126" s="325"/>
      <c r="AP126" s="325"/>
      <c r="AQ126" s="190" t="s">
        <v>398</v>
      </c>
      <c r="AR126" s="844">
        <f>AR122</f>
        <v>0.85</v>
      </c>
      <c r="AS126" s="844"/>
      <c r="AT126" s="501"/>
      <c r="AU126" s="502"/>
      <c r="AV126" s="844">
        <f>AV118</f>
        <v>0.8</v>
      </c>
      <c r="AW126" s="844"/>
      <c r="AX126" s="844"/>
      <c r="AY126" s="845"/>
      <c r="AZ126" s="489">
        <f>ROUND(ROUND(ROUND(ROUND(Q120*AJ126,0)*AR126,0)*$AT$112,0)*AV126,0)</f>
        <v>85</v>
      </c>
      <c r="BA126" s="393"/>
    </row>
    <row r="127" spans="1:53" ht="16.5" customHeight="1" x14ac:dyDescent="0.15">
      <c r="A127" s="340">
        <v>12</v>
      </c>
      <c r="B127" s="341">
        <v>7709</v>
      </c>
      <c r="C127" s="390" t="s">
        <v>16712</v>
      </c>
      <c r="D127" s="403"/>
      <c r="E127" s="404"/>
      <c r="F127" s="404"/>
      <c r="G127" s="404"/>
      <c r="H127" s="406"/>
      <c r="I127" s="908" t="s">
        <v>16318</v>
      </c>
      <c r="J127" s="909"/>
      <c r="K127" s="909"/>
      <c r="L127" s="909"/>
      <c r="M127" s="909"/>
      <c r="N127" s="909"/>
      <c r="O127" s="909"/>
      <c r="P127" s="909"/>
      <c r="Q127" s="909"/>
      <c r="R127" s="909"/>
      <c r="S127" s="909"/>
      <c r="T127" s="909"/>
      <c r="U127" s="910"/>
      <c r="V127" s="343"/>
      <c r="W127" s="325"/>
      <c r="X127" s="325"/>
      <c r="Y127" s="325"/>
      <c r="Z127" s="325"/>
      <c r="AA127" s="325"/>
      <c r="AB127" s="325"/>
      <c r="AC127" s="325"/>
      <c r="AD127" s="325"/>
      <c r="AE127" s="325"/>
      <c r="AF127" s="325"/>
      <c r="AG127" s="325"/>
      <c r="AH127" s="325"/>
      <c r="AI127" s="391"/>
      <c r="AJ127" s="401"/>
      <c r="AK127" s="402"/>
      <c r="AL127" s="396"/>
      <c r="AM127" s="396"/>
      <c r="AN127" s="396"/>
      <c r="AO127" s="396"/>
      <c r="AP127" s="396"/>
      <c r="AQ127" s="396"/>
      <c r="AR127" s="396"/>
      <c r="AS127" s="396"/>
      <c r="AT127" s="490"/>
      <c r="AU127" s="387"/>
      <c r="AV127" s="400"/>
      <c r="AW127" s="400"/>
      <c r="AX127" s="396"/>
      <c r="AY127" s="397"/>
      <c r="AZ127" s="489">
        <f>ROUND(Q128*$AT$112,0)</f>
        <v>124</v>
      </c>
      <c r="BA127" s="393"/>
    </row>
    <row r="128" spans="1:53" ht="16.5" customHeight="1" x14ac:dyDescent="0.15">
      <c r="A128" s="340">
        <v>12</v>
      </c>
      <c r="B128" s="341">
        <v>7710</v>
      </c>
      <c r="C128" s="390" t="s">
        <v>16713</v>
      </c>
      <c r="D128" s="403"/>
      <c r="E128" s="404"/>
      <c r="F128" s="404"/>
      <c r="G128" s="404"/>
      <c r="H128" s="406"/>
      <c r="Q128" s="836">
        <f>ROUND(Q224*$F$109,0)</f>
        <v>99</v>
      </c>
      <c r="R128" s="911"/>
      <c r="S128" s="911"/>
      <c r="T128" s="152" t="s">
        <v>15624</v>
      </c>
      <c r="U128" s="387"/>
      <c r="V128" s="343" t="s">
        <v>15625</v>
      </c>
      <c r="W128" s="325"/>
      <c r="X128" s="325"/>
      <c r="Y128" s="325"/>
      <c r="Z128" s="325"/>
      <c r="AA128" s="325"/>
      <c r="AB128" s="325"/>
      <c r="AC128" s="325"/>
      <c r="AD128" s="325"/>
      <c r="AE128" s="325"/>
      <c r="AF128" s="325"/>
      <c r="AG128" s="325"/>
      <c r="AH128" s="325"/>
      <c r="AI128" s="391" t="s">
        <v>15626</v>
      </c>
      <c r="AJ128" s="838">
        <f>AJ126</f>
        <v>1</v>
      </c>
      <c r="AK128" s="839"/>
      <c r="AL128" s="325"/>
      <c r="AM128" s="325"/>
      <c r="AN128" s="325"/>
      <c r="AO128" s="325"/>
      <c r="AP128" s="325"/>
      <c r="AQ128" s="325"/>
      <c r="AR128" s="325"/>
      <c r="AS128" s="325"/>
      <c r="AT128" s="490"/>
      <c r="AU128" s="387"/>
      <c r="AY128" s="387"/>
      <c r="AZ128" s="489">
        <f>ROUND(ROUND(Q128*AJ128,0)*$AT$112,0)</f>
        <v>124</v>
      </c>
      <c r="BA128" s="393"/>
    </row>
    <row r="129" spans="1:53" ht="16.5" customHeight="1" x14ac:dyDescent="0.15">
      <c r="A129" s="287">
        <v>12</v>
      </c>
      <c r="B129" s="287">
        <v>7711</v>
      </c>
      <c r="C129" s="394" t="s">
        <v>16714</v>
      </c>
      <c r="D129" s="403"/>
      <c r="E129" s="404"/>
      <c r="F129" s="404"/>
      <c r="G129" s="404"/>
      <c r="H129" s="406"/>
      <c r="Q129" s="395"/>
      <c r="R129" s="151"/>
      <c r="S129" s="151"/>
      <c r="U129" s="387"/>
      <c r="V129" s="343"/>
      <c r="W129" s="343"/>
      <c r="X129" s="343"/>
      <c r="Y129" s="343"/>
      <c r="Z129" s="343"/>
      <c r="AA129" s="343"/>
      <c r="AB129" s="343"/>
      <c r="AC129" s="343"/>
      <c r="AD129" s="343"/>
      <c r="AE129" s="343"/>
      <c r="AF129" s="343"/>
      <c r="AG129" s="343"/>
      <c r="AH129" s="343"/>
      <c r="AI129" s="343"/>
      <c r="AJ129" s="343"/>
      <c r="AK129" s="343"/>
      <c r="AL129" s="114" t="s">
        <v>15628</v>
      </c>
      <c r="AM129" s="396"/>
      <c r="AN129" s="396"/>
      <c r="AO129" s="396"/>
      <c r="AP129" s="396"/>
      <c r="AQ129" s="396"/>
      <c r="AR129" s="396"/>
      <c r="AS129" s="396"/>
      <c r="AT129" s="490"/>
      <c r="AU129" s="387"/>
      <c r="AY129" s="387"/>
      <c r="AZ129" s="489">
        <f>ROUND(ROUND(Q128*AR130,0)*$AT$112,0)</f>
        <v>105</v>
      </c>
      <c r="BA129" s="393"/>
    </row>
    <row r="130" spans="1:53" ht="16.5" customHeight="1" x14ac:dyDescent="0.15">
      <c r="A130" s="287">
        <v>12</v>
      </c>
      <c r="B130" s="287">
        <v>7712</v>
      </c>
      <c r="C130" s="394" t="s">
        <v>16715</v>
      </c>
      <c r="D130" s="403"/>
      <c r="E130" s="404"/>
      <c r="F130" s="404"/>
      <c r="G130" s="404"/>
      <c r="H130" s="406"/>
      <c r="Q130" s="395"/>
      <c r="R130" s="151"/>
      <c r="S130" s="151"/>
      <c r="U130" s="387"/>
      <c r="V130" s="343" t="s">
        <v>15625</v>
      </c>
      <c r="W130" s="325"/>
      <c r="X130" s="325"/>
      <c r="Y130" s="325"/>
      <c r="Z130" s="325"/>
      <c r="AA130" s="325"/>
      <c r="AB130" s="325"/>
      <c r="AC130" s="325"/>
      <c r="AD130" s="325"/>
      <c r="AE130" s="325"/>
      <c r="AF130" s="325"/>
      <c r="AG130" s="325"/>
      <c r="AH130" s="325"/>
      <c r="AI130" s="391" t="s">
        <v>15626</v>
      </c>
      <c r="AJ130" s="838">
        <f>AJ128</f>
        <v>1</v>
      </c>
      <c r="AK130" s="843"/>
      <c r="AL130" s="324" t="s">
        <v>15630</v>
      </c>
      <c r="AM130" s="325"/>
      <c r="AN130" s="325"/>
      <c r="AO130" s="325"/>
      <c r="AP130" s="325"/>
      <c r="AQ130" s="190" t="s">
        <v>398</v>
      </c>
      <c r="AR130" s="844">
        <f>AR126</f>
        <v>0.85</v>
      </c>
      <c r="AS130" s="844"/>
      <c r="AT130" s="501"/>
      <c r="AU130" s="502"/>
      <c r="AY130" s="387"/>
      <c r="AZ130" s="489">
        <f>ROUND(ROUND(ROUND(Q128*AJ130,0)*AR130,0)*$AT$112,0)</f>
        <v>105</v>
      </c>
      <c r="BA130" s="393"/>
    </row>
    <row r="131" spans="1:53" ht="16.5" customHeight="1" x14ac:dyDescent="0.15">
      <c r="A131" s="340">
        <v>12</v>
      </c>
      <c r="B131" s="341">
        <v>7713</v>
      </c>
      <c r="C131" s="390" t="s">
        <v>16716</v>
      </c>
      <c r="D131" s="403"/>
      <c r="E131" s="404"/>
      <c r="F131" s="404"/>
      <c r="G131" s="404"/>
      <c r="H131" s="406"/>
      <c r="I131" s="10"/>
      <c r="Q131" s="395"/>
      <c r="R131" s="151"/>
      <c r="S131" s="151"/>
      <c r="U131" s="387"/>
      <c r="V131" s="343"/>
      <c r="W131" s="325"/>
      <c r="X131" s="325"/>
      <c r="Y131" s="325"/>
      <c r="Z131" s="325"/>
      <c r="AA131" s="325"/>
      <c r="AB131" s="325"/>
      <c r="AC131" s="325"/>
      <c r="AD131" s="325"/>
      <c r="AE131" s="325"/>
      <c r="AF131" s="325"/>
      <c r="AG131" s="325"/>
      <c r="AH131" s="325"/>
      <c r="AI131" s="391"/>
      <c r="AJ131" s="401"/>
      <c r="AK131" s="402"/>
      <c r="AL131" s="396"/>
      <c r="AM131" s="396"/>
      <c r="AN131" s="396"/>
      <c r="AO131" s="396"/>
      <c r="AP131" s="396"/>
      <c r="AQ131" s="396"/>
      <c r="AR131" s="396"/>
      <c r="AS131" s="396"/>
      <c r="AT131" s="490"/>
      <c r="AU131" s="387"/>
      <c r="AV131" s="858" t="s">
        <v>16296</v>
      </c>
      <c r="AW131" s="858"/>
      <c r="AX131" s="858"/>
      <c r="AY131" s="860"/>
      <c r="AZ131" s="489">
        <f>ROUND(ROUND(Q128*$AT$112,0)*AV134,0)</f>
        <v>99</v>
      </c>
      <c r="BA131" s="393"/>
    </row>
    <row r="132" spans="1:53" ht="16.5" customHeight="1" x14ac:dyDescent="0.15">
      <c r="A132" s="340">
        <v>12</v>
      </c>
      <c r="B132" s="341">
        <v>7714</v>
      </c>
      <c r="C132" s="390" t="s">
        <v>16717</v>
      </c>
      <c r="D132" s="403"/>
      <c r="E132" s="404"/>
      <c r="F132" s="404"/>
      <c r="G132" s="404"/>
      <c r="H132" s="406"/>
      <c r="Q132" s="899"/>
      <c r="R132" s="899"/>
      <c r="S132" s="899"/>
      <c r="U132" s="387"/>
      <c r="V132" s="343" t="s">
        <v>15625</v>
      </c>
      <c r="W132" s="325"/>
      <c r="X132" s="325"/>
      <c r="Y132" s="325"/>
      <c r="Z132" s="325"/>
      <c r="AA132" s="325"/>
      <c r="AB132" s="325"/>
      <c r="AC132" s="325"/>
      <c r="AD132" s="325"/>
      <c r="AE132" s="325"/>
      <c r="AF132" s="325"/>
      <c r="AG132" s="325"/>
      <c r="AH132" s="325"/>
      <c r="AI132" s="391" t="s">
        <v>15626</v>
      </c>
      <c r="AJ132" s="838">
        <f>AJ130</f>
        <v>1</v>
      </c>
      <c r="AK132" s="839"/>
      <c r="AL132" s="325"/>
      <c r="AM132" s="325"/>
      <c r="AN132" s="325"/>
      <c r="AO132" s="325"/>
      <c r="AP132" s="325"/>
      <c r="AQ132" s="325"/>
      <c r="AR132" s="325"/>
      <c r="AS132" s="325"/>
      <c r="AT132" s="490"/>
      <c r="AU132" s="387"/>
      <c r="AV132" s="850"/>
      <c r="AW132" s="850"/>
      <c r="AX132" s="850"/>
      <c r="AY132" s="852"/>
      <c r="AZ132" s="489">
        <f>ROUND(ROUND(ROUND(Q128*AJ132,0)*$AT$112,0)*AV134,0)</f>
        <v>99</v>
      </c>
      <c r="BA132" s="393"/>
    </row>
    <row r="133" spans="1:53" ht="16.5" customHeight="1" x14ac:dyDescent="0.15">
      <c r="A133" s="287">
        <v>12</v>
      </c>
      <c r="B133" s="287">
        <v>7715</v>
      </c>
      <c r="C133" s="394" t="s">
        <v>16718</v>
      </c>
      <c r="D133" s="403"/>
      <c r="E133" s="404"/>
      <c r="F133" s="404"/>
      <c r="G133" s="404"/>
      <c r="H133" s="406"/>
      <c r="Q133" s="395"/>
      <c r="R133" s="151"/>
      <c r="S133" s="151"/>
      <c r="U133" s="387"/>
      <c r="V133" s="343"/>
      <c r="W133" s="343"/>
      <c r="X133" s="343"/>
      <c r="Y133" s="343"/>
      <c r="Z133" s="343"/>
      <c r="AA133" s="343"/>
      <c r="AB133" s="343"/>
      <c r="AC133" s="343"/>
      <c r="AD133" s="343"/>
      <c r="AE133" s="343"/>
      <c r="AF133" s="343"/>
      <c r="AG133" s="343"/>
      <c r="AH133" s="343"/>
      <c r="AI133" s="343"/>
      <c r="AJ133" s="343"/>
      <c r="AK133" s="343"/>
      <c r="AL133" s="114" t="s">
        <v>15628</v>
      </c>
      <c r="AM133" s="396"/>
      <c r="AN133" s="396"/>
      <c r="AO133" s="396"/>
      <c r="AP133" s="396"/>
      <c r="AQ133" s="396"/>
      <c r="AR133" s="396"/>
      <c r="AS133" s="396"/>
      <c r="AT133" s="490"/>
      <c r="AU133" s="387"/>
      <c r="AV133" s="902" t="s">
        <v>15636</v>
      </c>
      <c r="AW133" s="902"/>
      <c r="AX133" s="902"/>
      <c r="AY133" s="903"/>
      <c r="AZ133" s="489">
        <f>ROUND(ROUND(ROUND(Q128*AR134,0)*$AT$112,0)*AV134,0)</f>
        <v>84</v>
      </c>
      <c r="BA133" s="393"/>
    </row>
    <row r="134" spans="1:53" ht="16.5" customHeight="1" x14ac:dyDescent="0.15">
      <c r="A134" s="287">
        <v>12</v>
      </c>
      <c r="B134" s="287">
        <v>7716</v>
      </c>
      <c r="C134" s="394" t="s">
        <v>16719</v>
      </c>
      <c r="D134" s="403"/>
      <c r="E134" s="404"/>
      <c r="F134" s="404"/>
      <c r="G134" s="404"/>
      <c r="H134" s="406"/>
      <c r="Q134" s="395"/>
      <c r="R134" s="151"/>
      <c r="S134" s="151"/>
      <c r="U134" s="387"/>
      <c r="V134" s="343" t="s">
        <v>15625</v>
      </c>
      <c r="W134" s="325"/>
      <c r="X134" s="325"/>
      <c r="Y134" s="325"/>
      <c r="Z134" s="325"/>
      <c r="AA134" s="325"/>
      <c r="AB134" s="325"/>
      <c r="AC134" s="325"/>
      <c r="AD134" s="325"/>
      <c r="AE134" s="325"/>
      <c r="AF134" s="325"/>
      <c r="AG134" s="325"/>
      <c r="AH134" s="325"/>
      <c r="AI134" s="391" t="s">
        <v>15626</v>
      </c>
      <c r="AJ134" s="838">
        <f>AJ132</f>
        <v>1</v>
      </c>
      <c r="AK134" s="843"/>
      <c r="AL134" s="324" t="s">
        <v>15630</v>
      </c>
      <c r="AM134" s="325"/>
      <c r="AN134" s="325"/>
      <c r="AO134" s="325"/>
      <c r="AP134" s="325"/>
      <c r="AQ134" s="190" t="s">
        <v>398</v>
      </c>
      <c r="AR134" s="844">
        <f>AR130</f>
        <v>0.85</v>
      </c>
      <c r="AS134" s="844"/>
      <c r="AT134" s="501"/>
      <c r="AU134" s="502"/>
      <c r="AV134" s="844">
        <f>AV126</f>
        <v>0.8</v>
      </c>
      <c r="AW134" s="844"/>
      <c r="AX134" s="844"/>
      <c r="AY134" s="845"/>
      <c r="AZ134" s="489">
        <f>ROUND(ROUND(ROUND(ROUND(Q128*AJ134,0)*AR134,0)*$AT$112,0)*AV134,0)</f>
        <v>84</v>
      </c>
      <c r="BA134" s="393"/>
    </row>
    <row r="135" spans="1:53" ht="16.5" customHeight="1" x14ac:dyDescent="0.15">
      <c r="A135" s="340">
        <v>12</v>
      </c>
      <c r="B135" s="341">
        <v>7717</v>
      </c>
      <c r="C135" s="390" t="s">
        <v>16720</v>
      </c>
      <c r="D135" s="403"/>
      <c r="E135" s="404"/>
      <c r="F135" s="404"/>
      <c r="G135" s="404"/>
      <c r="H135" s="406"/>
      <c r="I135" s="908" t="s">
        <v>16327</v>
      </c>
      <c r="J135" s="909"/>
      <c r="K135" s="909"/>
      <c r="L135" s="909"/>
      <c r="M135" s="909"/>
      <c r="N135" s="909"/>
      <c r="O135" s="909"/>
      <c r="P135" s="909"/>
      <c r="Q135" s="909"/>
      <c r="R135" s="909"/>
      <c r="S135" s="909"/>
      <c r="T135" s="909"/>
      <c r="U135" s="910"/>
      <c r="V135" s="343"/>
      <c r="W135" s="325"/>
      <c r="X135" s="325"/>
      <c r="Y135" s="325"/>
      <c r="Z135" s="325"/>
      <c r="AA135" s="325"/>
      <c r="AB135" s="325"/>
      <c r="AC135" s="325"/>
      <c r="AD135" s="325"/>
      <c r="AE135" s="325"/>
      <c r="AF135" s="325"/>
      <c r="AG135" s="325"/>
      <c r="AH135" s="325"/>
      <c r="AI135" s="391"/>
      <c r="AJ135" s="401"/>
      <c r="AK135" s="402"/>
      <c r="AL135" s="396"/>
      <c r="AM135" s="396"/>
      <c r="AN135" s="396"/>
      <c r="AO135" s="396"/>
      <c r="AP135" s="396"/>
      <c r="AQ135" s="396"/>
      <c r="AR135" s="396"/>
      <c r="AS135" s="396"/>
      <c r="AT135" s="490"/>
      <c r="AU135" s="387"/>
      <c r="AV135" s="400"/>
      <c r="AW135" s="400"/>
      <c r="AX135" s="396"/>
      <c r="AY135" s="397"/>
      <c r="AZ135" s="489">
        <f>ROUND(Q136*$AT$112,0)</f>
        <v>125</v>
      </c>
      <c r="BA135" s="393"/>
    </row>
    <row r="136" spans="1:53" ht="16.5" customHeight="1" x14ac:dyDescent="0.15">
      <c r="A136" s="340">
        <v>12</v>
      </c>
      <c r="B136" s="341">
        <v>7718</v>
      </c>
      <c r="C136" s="390" t="s">
        <v>16721</v>
      </c>
      <c r="D136" s="403"/>
      <c r="E136" s="404"/>
      <c r="F136" s="404"/>
      <c r="G136" s="404"/>
      <c r="H136" s="406"/>
      <c r="Q136" s="836">
        <f>ROUND(Q232*$F$109,0)</f>
        <v>100</v>
      </c>
      <c r="R136" s="911"/>
      <c r="S136" s="911"/>
      <c r="T136" s="152" t="s">
        <v>15624</v>
      </c>
      <c r="U136" s="387"/>
      <c r="V136" s="343" t="s">
        <v>15625</v>
      </c>
      <c r="W136" s="325"/>
      <c r="X136" s="325"/>
      <c r="Y136" s="325"/>
      <c r="Z136" s="325"/>
      <c r="AA136" s="325"/>
      <c r="AB136" s="325"/>
      <c r="AC136" s="325"/>
      <c r="AD136" s="325"/>
      <c r="AE136" s="325"/>
      <c r="AF136" s="325"/>
      <c r="AG136" s="325"/>
      <c r="AH136" s="325"/>
      <c r="AI136" s="391" t="s">
        <v>15626</v>
      </c>
      <c r="AJ136" s="838">
        <f>AJ134</f>
        <v>1</v>
      </c>
      <c r="AK136" s="839"/>
      <c r="AL136" s="325"/>
      <c r="AM136" s="325"/>
      <c r="AN136" s="325"/>
      <c r="AO136" s="325"/>
      <c r="AP136" s="325"/>
      <c r="AQ136" s="325"/>
      <c r="AR136" s="325"/>
      <c r="AS136" s="325"/>
      <c r="AT136" s="490"/>
      <c r="AU136" s="387"/>
      <c r="AY136" s="387"/>
      <c r="AZ136" s="489">
        <f>ROUND(ROUND(Q136*AJ136,0)*$AT$112,0)</f>
        <v>125</v>
      </c>
      <c r="BA136" s="393"/>
    </row>
    <row r="137" spans="1:53" ht="16.5" customHeight="1" x14ac:dyDescent="0.15">
      <c r="A137" s="340">
        <v>12</v>
      </c>
      <c r="B137" s="341">
        <v>7719</v>
      </c>
      <c r="C137" s="390" t="s">
        <v>16722</v>
      </c>
      <c r="D137" s="403"/>
      <c r="E137" s="404"/>
      <c r="F137" s="404"/>
      <c r="G137" s="404"/>
      <c r="H137" s="406"/>
      <c r="Q137" s="395"/>
      <c r="R137" s="151"/>
      <c r="S137" s="151"/>
      <c r="U137" s="387"/>
      <c r="V137" s="343"/>
      <c r="W137" s="343"/>
      <c r="X137" s="343"/>
      <c r="Y137" s="343"/>
      <c r="Z137" s="343"/>
      <c r="AA137" s="343"/>
      <c r="AB137" s="343"/>
      <c r="AC137" s="343"/>
      <c r="AD137" s="343"/>
      <c r="AE137" s="343"/>
      <c r="AF137" s="343"/>
      <c r="AG137" s="343"/>
      <c r="AH137" s="343"/>
      <c r="AI137" s="343"/>
      <c r="AJ137" s="343"/>
      <c r="AK137" s="343"/>
      <c r="AL137" s="114" t="s">
        <v>15628</v>
      </c>
      <c r="AM137" s="396"/>
      <c r="AN137" s="396"/>
      <c r="AO137" s="396"/>
      <c r="AP137" s="396"/>
      <c r="AQ137" s="396"/>
      <c r="AR137" s="396"/>
      <c r="AS137" s="396"/>
      <c r="AT137" s="490"/>
      <c r="AU137" s="387"/>
      <c r="AY137" s="387"/>
      <c r="AZ137" s="489">
        <f>ROUND(ROUND(Q136*AR138,0)*$AT$112,0)</f>
        <v>106</v>
      </c>
      <c r="BA137" s="393"/>
    </row>
    <row r="138" spans="1:53" ht="16.5" customHeight="1" x14ac:dyDescent="0.15">
      <c r="A138" s="340">
        <v>12</v>
      </c>
      <c r="B138" s="341">
        <v>7720</v>
      </c>
      <c r="C138" s="390" t="s">
        <v>16723</v>
      </c>
      <c r="D138" s="403"/>
      <c r="E138" s="404"/>
      <c r="F138" s="404"/>
      <c r="G138" s="404"/>
      <c r="H138" s="406"/>
      <c r="Q138" s="395"/>
      <c r="R138" s="151"/>
      <c r="S138" s="151"/>
      <c r="U138" s="387"/>
      <c r="V138" s="343" t="s">
        <v>15625</v>
      </c>
      <c r="W138" s="325"/>
      <c r="X138" s="325"/>
      <c r="Y138" s="325"/>
      <c r="Z138" s="325"/>
      <c r="AA138" s="325"/>
      <c r="AB138" s="325"/>
      <c r="AC138" s="325"/>
      <c r="AD138" s="325"/>
      <c r="AE138" s="325"/>
      <c r="AF138" s="325"/>
      <c r="AG138" s="325"/>
      <c r="AH138" s="325"/>
      <c r="AI138" s="391" t="s">
        <v>15626</v>
      </c>
      <c r="AJ138" s="838">
        <f>AJ136</f>
        <v>1</v>
      </c>
      <c r="AK138" s="843"/>
      <c r="AL138" s="324" t="s">
        <v>15630</v>
      </c>
      <c r="AM138" s="325"/>
      <c r="AN138" s="325"/>
      <c r="AO138" s="325"/>
      <c r="AP138" s="325"/>
      <c r="AQ138" s="190" t="s">
        <v>398</v>
      </c>
      <c r="AR138" s="844">
        <f>AR134</f>
        <v>0.85</v>
      </c>
      <c r="AS138" s="844"/>
      <c r="AT138" s="501"/>
      <c r="AU138" s="502"/>
      <c r="AY138" s="387"/>
      <c r="AZ138" s="489">
        <f>ROUND(ROUND(ROUND(Q136*AJ138,0)*AR138,0)*$AT$112,0)</f>
        <v>106</v>
      </c>
      <c r="BA138" s="393"/>
    </row>
    <row r="139" spans="1:53" ht="16.5" customHeight="1" x14ac:dyDescent="0.15">
      <c r="A139" s="340">
        <v>12</v>
      </c>
      <c r="B139" s="341">
        <v>7721</v>
      </c>
      <c r="C139" s="390" t="s">
        <v>16724</v>
      </c>
      <c r="D139" s="403"/>
      <c r="E139" s="404"/>
      <c r="F139" s="404"/>
      <c r="G139" s="404"/>
      <c r="H139" s="406"/>
      <c r="I139" s="10"/>
      <c r="Q139" s="395"/>
      <c r="R139" s="151"/>
      <c r="S139" s="151"/>
      <c r="U139" s="387"/>
      <c r="V139" s="343"/>
      <c r="W139" s="325"/>
      <c r="X139" s="325"/>
      <c r="Y139" s="325"/>
      <c r="Z139" s="325"/>
      <c r="AA139" s="325"/>
      <c r="AB139" s="325"/>
      <c r="AC139" s="325"/>
      <c r="AD139" s="325"/>
      <c r="AE139" s="325"/>
      <c r="AF139" s="325"/>
      <c r="AG139" s="325"/>
      <c r="AH139" s="325"/>
      <c r="AI139" s="391"/>
      <c r="AJ139" s="401"/>
      <c r="AK139" s="402"/>
      <c r="AL139" s="396"/>
      <c r="AM139" s="396"/>
      <c r="AN139" s="396"/>
      <c r="AO139" s="396"/>
      <c r="AP139" s="396"/>
      <c r="AQ139" s="396"/>
      <c r="AR139" s="396"/>
      <c r="AS139" s="396"/>
      <c r="AT139" s="490"/>
      <c r="AU139" s="387"/>
      <c r="AV139" s="858" t="s">
        <v>16296</v>
      </c>
      <c r="AW139" s="858"/>
      <c r="AX139" s="858"/>
      <c r="AY139" s="860"/>
      <c r="AZ139" s="489">
        <f>ROUND(ROUND(Q136*$AT$112,0)*AV142,0)</f>
        <v>100</v>
      </c>
      <c r="BA139" s="393"/>
    </row>
    <row r="140" spans="1:53" ht="16.5" customHeight="1" x14ac:dyDescent="0.15">
      <c r="A140" s="340">
        <v>12</v>
      </c>
      <c r="B140" s="341">
        <v>7722</v>
      </c>
      <c r="C140" s="390" t="s">
        <v>16725</v>
      </c>
      <c r="D140" s="403"/>
      <c r="E140" s="404"/>
      <c r="F140" s="404"/>
      <c r="G140" s="404"/>
      <c r="H140" s="406"/>
      <c r="Q140" s="899"/>
      <c r="R140" s="899"/>
      <c r="S140" s="899"/>
      <c r="U140" s="387"/>
      <c r="V140" s="343" t="s">
        <v>15625</v>
      </c>
      <c r="W140" s="325"/>
      <c r="X140" s="325"/>
      <c r="Y140" s="325"/>
      <c r="Z140" s="325"/>
      <c r="AA140" s="325"/>
      <c r="AB140" s="325"/>
      <c r="AC140" s="325"/>
      <c r="AD140" s="325"/>
      <c r="AE140" s="325"/>
      <c r="AF140" s="325"/>
      <c r="AG140" s="325"/>
      <c r="AH140" s="325"/>
      <c r="AI140" s="391" t="s">
        <v>15626</v>
      </c>
      <c r="AJ140" s="838">
        <f>AJ138</f>
        <v>1</v>
      </c>
      <c r="AK140" s="839"/>
      <c r="AL140" s="325"/>
      <c r="AM140" s="325"/>
      <c r="AN140" s="325"/>
      <c r="AO140" s="325"/>
      <c r="AP140" s="325"/>
      <c r="AQ140" s="325"/>
      <c r="AR140" s="325"/>
      <c r="AS140" s="325"/>
      <c r="AT140" s="490"/>
      <c r="AU140" s="387"/>
      <c r="AV140" s="850"/>
      <c r="AW140" s="850"/>
      <c r="AX140" s="850"/>
      <c r="AY140" s="852"/>
      <c r="AZ140" s="489">
        <f>ROUND(ROUND(ROUND(Q136*AJ140,0)*$AT$112,0)*AV142,0)</f>
        <v>100</v>
      </c>
      <c r="BA140" s="393"/>
    </row>
    <row r="141" spans="1:53" ht="16.5" customHeight="1" x14ac:dyDescent="0.15">
      <c r="A141" s="340">
        <v>12</v>
      </c>
      <c r="B141" s="341">
        <v>7723</v>
      </c>
      <c r="C141" s="390" t="s">
        <v>16726</v>
      </c>
      <c r="D141" s="403"/>
      <c r="E141" s="404"/>
      <c r="F141" s="404"/>
      <c r="G141" s="404"/>
      <c r="H141" s="406"/>
      <c r="Q141" s="395"/>
      <c r="R141" s="151"/>
      <c r="S141" s="151"/>
      <c r="U141" s="387"/>
      <c r="V141" s="343"/>
      <c r="W141" s="343"/>
      <c r="X141" s="343"/>
      <c r="Y141" s="343"/>
      <c r="Z141" s="343"/>
      <c r="AA141" s="343"/>
      <c r="AB141" s="343"/>
      <c r="AC141" s="343"/>
      <c r="AD141" s="343"/>
      <c r="AE141" s="343"/>
      <c r="AF141" s="343"/>
      <c r="AG141" s="343"/>
      <c r="AH141" s="343"/>
      <c r="AI141" s="343"/>
      <c r="AJ141" s="343"/>
      <c r="AK141" s="343"/>
      <c r="AL141" s="114" t="s">
        <v>15628</v>
      </c>
      <c r="AM141" s="396"/>
      <c r="AN141" s="396"/>
      <c r="AO141" s="396"/>
      <c r="AP141" s="396"/>
      <c r="AQ141" s="396"/>
      <c r="AR141" s="396"/>
      <c r="AS141" s="396"/>
      <c r="AT141" s="490"/>
      <c r="AU141" s="387"/>
      <c r="AV141" s="902" t="s">
        <v>15636</v>
      </c>
      <c r="AW141" s="902"/>
      <c r="AX141" s="902"/>
      <c r="AY141" s="903"/>
      <c r="AZ141" s="489">
        <f>ROUND(ROUND(ROUND(Q136*AR142,0)*$AT$112,0)*AV142,0)</f>
        <v>85</v>
      </c>
      <c r="BA141" s="393"/>
    </row>
    <row r="142" spans="1:53" ht="16.5" customHeight="1" x14ac:dyDescent="0.15">
      <c r="A142" s="340">
        <v>12</v>
      </c>
      <c r="B142" s="341">
        <v>7724</v>
      </c>
      <c r="C142" s="390" t="s">
        <v>16727</v>
      </c>
      <c r="D142" s="403"/>
      <c r="E142" s="404"/>
      <c r="F142" s="404"/>
      <c r="G142" s="404"/>
      <c r="H142" s="406"/>
      <c r="Q142" s="395"/>
      <c r="R142" s="151"/>
      <c r="S142" s="151"/>
      <c r="U142" s="387"/>
      <c r="V142" s="343" t="s">
        <v>15625</v>
      </c>
      <c r="W142" s="325"/>
      <c r="X142" s="325"/>
      <c r="Y142" s="325"/>
      <c r="Z142" s="325"/>
      <c r="AA142" s="325"/>
      <c r="AB142" s="325"/>
      <c r="AC142" s="325"/>
      <c r="AD142" s="325"/>
      <c r="AE142" s="325"/>
      <c r="AF142" s="325"/>
      <c r="AG142" s="325"/>
      <c r="AH142" s="325"/>
      <c r="AI142" s="391" t="s">
        <v>15626</v>
      </c>
      <c r="AJ142" s="838">
        <f>AJ140</f>
        <v>1</v>
      </c>
      <c r="AK142" s="843"/>
      <c r="AL142" s="324" t="s">
        <v>15630</v>
      </c>
      <c r="AM142" s="325"/>
      <c r="AN142" s="325"/>
      <c r="AO142" s="325"/>
      <c r="AP142" s="325"/>
      <c r="AQ142" s="190" t="s">
        <v>398</v>
      </c>
      <c r="AR142" s="844">
        <f>AR138</f>
        <v>0.85</v>
      </c>
      <c r="AS142" s="844"/>
      <c r="AT142" s="501"/>
      <c r="AU142" s="502"/>
      <c r="AV142" s="844">
        <f>AV134</f>
        <v>0.8</v>
      </c>
      <c r="AW142" s="844"/>
      <c r="AX142" s="844"/>
      <c r="AY142" s="845"/>
      <c r="AZ142" s="489">
        <f>ROUND(ROUND(ROUND(ROUND(Q136*AJ142,0)*AR142,0)*$AT$112,0)*AV142,0)</f>
        <v>85</v>
      </c>
      <c r="BA142" s="393"/>
    </row>
    <row r="143" spans="1:53" ht="16.5" customHeight="1" x14ac:dyDescent="0.15">
      <c r="A143" s="340">
        <v>12</v>
      </c>
      <c r="B143" s="341">
        <v>7725</v>
      </c>
      <c r="C143" s="390" t="s">
        <v>16728</v>
      </c>
      <c r="D143" s="403"/>
      <c r="E143" s="404"/>
      <c r="F143" s="404"/>
      <c r="G143" s="404"/>
      <c r="H143" s="406"/>
      <c r="I143" s="908" t="s">
        <v>16336</v>
      </c>
      <c r="J143" s="909"/>
      <c r="K143" s="909"/>
      <c r="L143" s="909"/>
      <c r="M143" s="909"/>
      <c r="N143" s="909"/>
      <c r="O143" s="909"/>
      <c r="P143" s="909"/>
      <c r="Q143" s="909"/>
      <c r="R143" s="909"/>
      <c r="S143" s="909"/>
      <c r="T143" s="909"/>
      <c r="U143" s="910"/>
      <c r="V143" s="343"/>
      <c r="W143" s="325"/>
      <c r="X143" s="325"/>
      <c r="Y143" s="325"/>
      <c r="Z143" s="325"/>
      <c r="AA143" s="325"/>
      <c r="AB143" s="325"/>
      <c r="AC143" s="325"/>
      <c r="AD143" s="325"/>
      <c r="AE143" s="325"/>
      <c r="AF143" s="325"/>
      <c r="AG143" s="325"/>
      <c r="AH143" s="325"/>
      <c r="AI143" s="391"/>
      <c r="AJ143" s="401"/>
      <c r="AK143" s="402"/>
      <c r="AL143" s="396"/>
      <c r="AM143" s="396"/>
      <c r="AN143" s="396"/>
      <c r="AO143" s="396"/>
      <c r="AP143" s="396"/>
      <c r="AQ143" s="396"/>
      <c r="AR143" s="396"/>
      <c r="AS143" s="396"/>
      <c r="AT143" s="490"/>
      <c r="AU143" s="387"/>
      <c r="AV143" s="400"/>
      <c r="AW143" s="400"/>
      <c r="AX143" s="396"/>
      <c r="AY143" s="397"/>
      <c r="AZ143" s="489">
        <f>ROUND(Q144*$AT$112,0)</f>
        <v>123</v>
      </c>
      <c r="BA143" s="393"/>
    </row>
    <row r="144" spans="1:53" ht="16.5" customHeight="1" x14ac:dyDescent="0.15">
      <c r="A144" s="340">
        <v>12</v>
      </c>
      <c r="B144" s="341">
        <v>7726</v>
      </c>
      <c r="C144" s="390" t="s">
        <v>16729</v>
      </c>
      <c r="D144" s="403"/>
      <c r="E144" s="404"/>
      <c r="F144" s="404"/>
      <c r="G144" s="404"/>
      <c r="H144" s="406"/>
      <c r="Q144" s="836">
        <f>ROUND(Q240*$F$109,0)</f>
        <v>98</v>
      </c>
      <c r="R144" s="911"/>
      <c r="S144" s="911"/>
      <c r="T144" s="152" t="s">
        <v>15624</v>
      </c>
      <c r="U144" s="387"/>
      <c r="V144" s="343" t="s">
        <v>15625</v>
      </c>
      <c r="W144" s="325"/>
      <c r="X144" s="325"/>
      <c r="Y144" s="325"/>
      <c r="Z144" s="325"/>
      <c r="AA144" s="325"/>
      <c r="AB144" s="325"/>
      <c r="AC144" s="325"/>
      <c r="AD144" s="325"/>
      <c r="AE144" s="325"/>
      <c r="AF144" s="325"/>
      <c r="AG144" s="325"/>
      <c r="AH144" s="325"/>
      <c r="AI144" s="391" t="s">
        <v>15626</v>
      </c>
      <c r="AJ144" s="838">
        <f>AJ142</f>
        <v>1</v>
      </c>
      <c r="AK144" s="839"/>
      <c r="AL144" s="325"/>
      <c r="AM144" s="325"/>
      <c r="AN144" s="325"/>
      <c r="AO144" s="325"/>
      <c r="AP144" s="325"/>
      <c r="AQ144" s="325"/>
      <c r="AR144" s="325"/>
      <c r="AS144" s="325"/>
      <c r="AT144" s="490"/>
      <c r="AU144" s="387"/>
      <c r="AY144" s="387"/>
      <c r="AZ144" s="489">
        <f>ROUND(ROUND(Q144*AJ144,0)*$AT$112,0)</f>
        <v>123</v>
      </c>
      <c r="BA144" s="393"/>
    </row>
    <row r="145" spans="1:53" ht="16.5" customHeight="1" x14ac:dyDescent="0.15">
      <c r="A145" s="340">
        <v>12</v>
      </c>
      <c r="B145" s="341">
        <v>7727</v>
      </c>
      <c r="C145" s="390" t="s">
        <v>16730</v>
      </c>
      <c r="D145" s="403"/>
      <c r="E145" s="404"/>
      <c r="F145" s="404"/>
      <c r="G145" s="404"/>
      <c r="H145" s="406"/>
      <c r="Q145" s="395"/>
      <c r="R145" s="151"/>
      <c r="S145" s="151"/>
      <c r="U145" s="387"/>
      <c r="V145" s="343"/>
      <c r="W145" s="343"/>
      <c r="X145" s="343"/>
      <c r="Y145" s="343"/>
      <c r="Z145" s="343"/>
      <c r="AA145" s="343"/>
      <c r="AB145" s="343"/>
      <c r="AC145" s="343"/>
      <c r="AD145" s="343"/>
      <c r="AE145" s="343"/>
      <c r="AF145" s="343"/>
      <c r="AG145" s="343"/>
      <c r="AH145" s="343"/>
      <c r="AI145" s="343"/>
      <c r="AJ145" s="343"/>
      <c r="AK145" s="343"/>
      <c r="AL145" s="114" t="s">
        <v>15628</v>
      </c>
      <c r="AM145" s="396"/>
      <c r="AN145" s="396"/>
      <c r="AO145" s="396"/>
      <c r="AP145" s="396"/>
      <c r="AQ145" s="396"/>
      <c r="AR145" s="396"/>
      <c r="AS145" s="396"/>
      <c r="AT145" s="490"/>
      <c r="AU145" s="387"/>
      <c r="AY145" s="387"/>
      <c r="AZ145" s="489">
        <f>ROUND(ROUND(Q144*AR146,0)*$AT$112,0)</f>
        <v>104</v>
      </c>
      <c r="BA145" s="393"/>
    </row>
    <row r="146" spans="1:53" ht="16.5" customHeight="1" x14ac:dyDescent="0.15">
      <c r="A146" s="340">
        <v>12</v>
      </c>
      <c r="B146" s="341">
        <v>7728</v>
      </c>
      <c r="C146" s="390" t="s">
        <v>16731</v>
      </c>
      <c r="D146" s="403"/>
      <c r="E146" s="404"/>
      <c r="F146" s="404"/>
      <c r="G146" s="404"/>
      <c r="H146" s="406"/>
      <c r="Q146" s="395"/>
      <c r="R146" s="151"/>
      <c r="S146" s="151"/>
      <c r="U146" s="387"/>
      <c r="V146" s="343" t="s">
        <v>15625</v>
      </c>
      <c r="W146" s="325"/>
      <c r="X146" s="325"/>
      <c r="Y146" s="325"/>
      <c r="Z146" s="325"/>
      <c r="AA146" s="325"/>
      <c r="AB146" s="325"/>
      <c r="AC146" s="325"/>
      <c r="AD146" s="325"/>
      <c r="AE146" s="325"/>
      <c r="AF146" s="325"/>
      <c r="AG146" s="325"/>
      <c r="AH146" s="325"/>
      <c r="AI146" s="391" t="s">
        <v>15626</v>
      </c>
      <c r="AJ146" s="838">
        <f>AJ144</f>
        <v>1</v>
      </c>
      <c r="AK146" s="843"/>
      <c r="AL146" s="324" t="s">
        <v>15630</v>
      </c>
      <c r="AM146" s="325"/>
      <c r="AN146" s="325"/>
      <c r="AO146" s="325"/>
      <c r="AP146" s="325"/>
      <c r="AQ146" s="190" t="s">
        <v>398</v>
      </c>
      <c r="AR146" s="844">
        <f>AR142</f>
        <v>0.85</v>
      </c>
      <c r="AS146" s="844"/>
      <c r="AT146" s="501"/>
      <c r="AU146" s="502"/>
      <c r="AY146" s="387"/>
      <c r="AZ146" s="489">
        <f>ROUND(ROUND(ROUND(Q144*AJ146,0)*AR146,0)*$AT$112,0)</f>
        <v>104</v>
      </c>
      <c r="BA146" s="393"/>
    </row>
    <row r="147" spans="1:53" ht="16.5" customHeight="1" x14ac:dyDescent="0.15">
      <c r="A147" s="340">
        <v>12</v>
      </c>
      <c r="B147" s="341">
        <v>7729</v>
      </c>
      <c r="C147" s="390" t="s">
        <v>16732</v>
      </c>
      <c r="D147" s="403"/>
      <c r="E147" s="404"/>
      <c r="F147" s="404"/>
      <c r="G147" s="404"/>
      <c r="H147" s="406"/>
      <c r="I147" s="10"/>
      <c r="Q147" s="395"/>
      <c r="R147" s="151"/>
      <c r="S147" s="151"/>
      <c r="U147" s="387"/>
      <c r="V147" s="343"/>
      <c r="W147" s="325"/>
      <c r="X147" s="325"/>
      <c r="Y147" s="325"/>
      <c r="Z147" s="325"/>
      <c r="AA147" s="325"/>
      <c r="AB147" s="325"/>
      <c r="AC147" s="325"/>
      <c r="AD147" s="325"/>
      <c r="AE147" s="325"/>
      <c r="AF147" s="325"/>
      <c r="AG147" s="325"/>
      <c r="AH147" s="325"/>
      <c r="AI147" s="391"/>
      <c r="AJ147" s="401"/>
      <c r="AK147" s="402"/>
      <c r="AL147" s="396"/>
      <c r="AM147" s="396"/>
      <c r="AN147" s="396"/>
      <c r="AO147" s="396"/>
      <c r="AP147" s="396"/>
      <c r="AQ147" s="396"/>
      <c r="AR147" s="396"/>
      <c r="AS147" s="396"/>
      <c r="AT147" s="490"/>
      <c r="AU147" s="387"/>
      <c r="AV147" s="858" t="s">
        <v>16296</v>
      </c>
      <c r="AW147" s="858"/>
      <c r="AX147" s="858"/>
      <c r="AY147" s="860"/>
      <c r="AZ147" s="489">
        <f>ROUND(ROUND(Q144*$AT$112,0)*AV150,0)</f>
        <v>98</v>
      </c>
      <c r="BA147" s="393"/>
    </row>
    <row r="148" spans="1:53" ht="16.5" customHeight="1" x14ac:dyDescent="0.15">
      <c r="A148" s="340">
        <v>12</v>
      </c>
      <c r="B148" s="341">
        <v>7730</v>
      </c>
      <c r="C148" s="390" t="s">
        <v>16733</v>
      </c>
      <c r="D148" s="403"/>
      <c r="E148" s="404"/>
      <c r="F148" s="404"/>
      <c r="G148" s="404"/>
      <c r="H148" s="406"/>
      <c r="Q148" s="899"/>
      <c r="R148" s="899"/>
      <c r="S148" s="899"/>
      <c r="U148" s="387"/>
      <c r="V148" s="343" t="s">
        <v>15625</v>
      </c>
      <c r="W148" s="325"/>
      <c r="X148" s="325"/>
      <c r="Y148" s="325"/>
      <c r="Z148" s="325"/>
      <c r="AA148" s="325"/>
      <c r="AB148" s="325"/>
      <c r="AC148" s="325"/>
      <c r="AD148" s="325"/>
      <c r="AE148" s="325"/>
      <c r="AF148" s="325"/>
      <c r="AG148" s="325"/>
      <c r="AH148" s="325"/>
      <c r="AI148" s="391" t="s">
        <v>15626</v>
      </c>
      <c r="AJ148" s="838">
        <f>AJ146</f>
        <v>1</v>
      </c>
      <c r="AK148" s="839"/>
      <c r="AL148" s="325"/>
      <c r="AM148" s="325"/>
      <c r="AN148" s="325"/>
      <c r="AO148" s="325"/>
      <c r="AP148" s="325"/>
      <c r="AQ148" s="325"/>
      <c r="AR148" s="325"/>
      <c r="AS148" s="325"/>
      <c r="AT148" s="490"/>
      <c r="AU148" s="387"/>
      <c r="AV148" s="850"/>
      <c r="AW148" s="850"/>
      <c r="AX148" s="850"/>
      <c r="AY148" s="852"/>
      <c r="AZ148" s="489">
        <f>ROUND(ROUND(ROUND(Q144*AJ148,0)*$AT$112,0)*AV150,0)</f>
        <v>98</v>
      </c>
      <c r="BA148" s="393"/>
    </row>
    <row r="149" spans="1:53" ht="16.5" customHeight="1" x14ac:dyDescent="0.15">
      <c r="A149" s="340">
        <v>12</v>
      </c>
      <c r="B149" s="341">
        <v>7731</v>
      </c>
      <c r="C149" s="390" t="s">
        <v>16734</v>
      </c>
      <c r="D149" s="403"/>
      <c r="E149" s="404"/>
      <c r="F149" s="404"/>
      <c r="G149" s="404"/>
      <c r="H149" s="406"/>
      <c r="Q149" s="395"/>
      <c r="R149" s="151"/>
      <c r="S149" s="151"/>
      <c r="U149" s="387"/>
      <c r="V149" s="343"/>
      <c r="W149" s="343"/>
      <c r="X149" s="343"/>
      <c r="Y149" s="343"/>
      <c r="Z149" s="343"/>
      <c r="AA149" s="343"/>
      <c r="AB149" s="343"/>
      <c r="AC149" s="343"/>
      <c r="AD149" s="343"/>
      <c r="AE149" s="343"/>
      <c r="AF149" s="343"/>
      <c r="AG149" s="343"/>
      <c r="AH149" s="343"/>
      <c r="AI149" s="343"/>
      <c r="AJ149" s="343"/>
      <c r="AK149" s="343"/>
      <c r="AL149" s="114" t="s">
        <v>15628</v>
      </c>
      <c r="AM149" s="396"/>
      <c r="AN149" s="396"/>
      <c r="AO149" s="396"/>
      <c r="AP149" s="396"/>
      <c r="AQ149" s="396"/>
      <c r="AR149" s="396"/>
      <c r="AS149" s="396"/>
      <c r="AT149" s="490"/>
      <c r="AU149" s="387"/>
      <c r="AV149" s="902" t="s">
        <v>15636</v>
      </c>
      <c r="AW149" s="902"/>
      <c r="AX149" s="902"/>
      <c r="AY149" s="903"/>
      <c r="AZ149" s="489">
        <f>ROUND(ROUND(ROUND(Q144*AR150,0)*$AT$112,0)*AV150,0)</f>
        <v>83</v>
      </c>
      <c r="BA149" s="393"/>
    </row>
    <row r="150" spans="1:53" ht="16.5" customHeight="1" x14ac:dyDescent="0.15">
      <c r="A150" s="340">
        <v>12</v>
      </c>
      <c r="B150" s="341">
        <v>7732</v>
      </c>
      <c r="C150" s="390" t="s">
        <v>16735</v>
      </c>
      <c r="D150" s="403"/>
      <c r="E150" s="404"/>
      <c r="F150" s="404"/>
      <c r="G150" s="404"/>
      <c r="H150" s="406"/>
      <c r="Q150" s="395"/>
      <c r="R150" s="151"/>
      <c r="S150" s="151"/>
      <c r="U150" s="387"/>
      <c r="V150" s="343" t="s">
        <v>15625</v>
      </c>
      <c r="W150" s="325"/>
      <c r="X150" s="325"/>
      <c r="Y150" s="325"/>
      <c r="Z150" s="325"/>
      <c r="AA150" s="325"/>
      <c r="AB150" s="325"/>
      <c r="AC150" s="325"/>
      <c r="AD150" s="325"/>
      <c r="AE150" s="325"/>
      <c r="AF150" s="325"/>
      <c r="AG150" s="325"/>
      <c r="AH150" s="325"/>
      <c r="AI150" s="391" t="s">
        <v>15626</v>
      </c>
      <c r="AJ150" s="838">
        <f>AJ148</f>
        <v>1</v>
      </c>
      <c r="AK150" s="843"/>
      <c r="AL150" s="324" t="s">
        <v>15630</v>
      </c>
      <c r="AM150" s="325"/>
      <c r="AN150" s="325"/>
      <c r="AO150" s="325"/>
      <c r="AP150" s="325"/>
      <c r="AQ150" s="190" t="s">
        <v>398</v>
      </c>
      <c r="AR150" s="844">
        <f>AR146</f>
        <v>0.85</v>
      </c>
      <c r="AS150" s="844"/>
      <c r="AT150" s="501"/>
      <c r="AU150" s="502"/>
      <c r="AV150" s="844">
        <f>AV142</f>
        <v>0.8</v>
      </c>
      <c r="AW150" s="844"/>
      <c r="AX150" s="844"/>
      <c r="AY150" s="845"/>
      <c r="AZ150" s="489">
        <f>ROUND(ROUND(ROUND(ROUND(Q144*AJ150,0)*AR150,0)*$AT$112,0)*AV150,0)</f>
        <v>83</v>
      </c>
      <c r="BA150" s="393"/>
    </row>
    <row r="151" spans="1:53" ht="16.5" customHeight="1" x14ac:dyDescent="0.15">
      <c r="A151" s="340">
        <v>12</v>
      </c>
      <c r="B151" s="341">
        <v>7733</v>
      </c>
      <c r="C151" s="390" t="s">
        <v>16736</v>
      </c>
      <c r="D151" s="403"/>
      <c r="E151" s="404"/>
      <c r="F151" s="404"/>
      <c r="G151" s="404"/>
      <c r="H151" s="406"/>
      <c r="I151" s="908" t="s">
        <v>16345</v>
      </c>
      <c r="J151" s="909"/>
      <c r="K151" s="909"/>
      <c r="L151" s="909"/>
      <c r="M151" s="909"/>
      <c r="N151" s="909"/>
      <c r="O151" s="909"/>
      <c r="P151" s="909"/>
      <c r="Q151" s="909"/>
      <c r="R151" s="909"/>
      <c r="S151" s="909"/>
      <c r="T151" s="909"/>
      <c r="U151" s="910"/>
      <c r="V151" s="343"/>
      <c r="W151" s="325"/>
      <c r="X151" s="325"/>
      <c r="Y151" s="325"/>
      <c r="Z151" s="325"/>
      <c r="AA151" s="325"/>
      <c r="AB151" s="325"/>
      <c r="AC151" s="325"/>
      <c r="AD151" s="325"/>
      <c r="AE151" s="325"/>
      <c r="AF151" s="325"/>
      <c r="AG151" s="325"/>
      <c r="AH151" s="325"/>
      <c r="AI151" s="391"/>
      <c r="AJ151" s="401"/>
      <c r="AK151" s="402"/>
      <c r="AL151" s="396"/>
      <c r="AM151" s="396"/>
      <c r="AN151" s="396"/>
      <c r="AO151" s="396"/>
      <c r="AP151" s="396"/>
      <c r="AQ151" s="396"/>
      <c r="AR151" s="396"/>
      <c r="AS151" s="396"/>
      <c r="AT151" s="490"/>
      <c r="AU151" s="387"/>
      <c r="AV151" s="400"/>
      <c r="AW151" s="400"/>
      <c r="AX151" s="396"/>
      <c r="AY151" s="397"/>
      <c r="AZ151" s="489">
        <f>ROUND(Q152*$AT$112,0)</f>
        <v>125</v>
      </c>
      <c r="BA151" s="393"/>
    </row>
    <row r="152" spans="1:53" ht="16.5" customHeight="1" x14ac:dyDescent="0.15">
      <c r="A152" s="340">
        <v>12</v>
      </c>
      <c r="B152" s="341">
        <v>7734</v>
      </c>
      <c r="C152" s="390" t="s">
        <v>16737</v>
      </c>
      <c r="D152" s="403"/>
      <c r="E152" s="404"/>
      <c r="F152" s="404"/>
      <c r="G152" s="404"/>
      <c r="H152" s="406"/>
      <c r="Q152" s="836">
        <f>ROUND(Q248*$F$109,0)</f>
        <v>100</v>
      </c>
      <c r="R152" s="911"/>
      <c r="S152" s="911"/>
      <c r="T152" s="152" t="s">
        <v>15624</v>
      </c>
      <c r="U152" s="387"/>
      <c r="V152" s="343" t="s">
        <v>15625</v>
      </c>
      <c r="W152" s="325"/>
      <c r="X152" s="325"/>
      <c r="Y152" s="325"/>
      <c r="Z152" s="325"/>
      <c r="AA152" s="325"/>
      <c r="AB152" s="325"/>
      <c r="AC152" s="325"/>
      <c r="AD152" s="325"/>
      <c r="AE152" s="325"/>
      <c r="AF152" s="325"/>
      <c r="AG152" s="325"/>
      <c r="AH152" s="325"/>
      <c r="AI152" s="391" t="s">
        <v>15626</v>
      </c>
      <c r="AJ152" s="838">
        <f>AJ150</f>
        <v>1</v>
      </c>
      <c r="AK152" s="839"/>
      <c r="AL152" s="325"/>
      <c r="AM152" s="325"/>
      <c r="AN152" s="325"/>
      <c r="AO152" s="325"/>
      <c r="AP152" s="325"/>
      <c r="AQ152" s="325"/>
      <c r="AR152" s="325"/>
      <c r="AS152" s="325"/>
      <c r="AT152" s="490"/>
      <c r="AU152" s="387"/>
      <c r="AY152" s="387"/>
      <c r="AZ152" s="489">
        <f>ROUND(ROUND(Q152*AJ152,0)*$AT$112,0)</f>
        <v>125</v>
      </c>
      <c r="BA152" s="393"/>
    </row>
    <row r="153" spans="1:53" ht="16.5" customHeight="1" x14ac:dyDescent="0.15">
      <c r="A153" s="340">
        <v>12</v>
      </c>
      <c r="B153" s="341">
        <v>7735</v>
      </c>
      <c r="C153" s="390" t="s">
        <v>16738</v>
      </c>
      <c r="D153" s="403"/>
      <c r="E153" s="404"/>
      <c r="F153" s="404"/>
      <c r="G153" s="404"/>
      <c r="H153" s="406"/>
      <c r="Q153" s="395"/>
      <c r="R153" s="151"/>
      <c r="S153" s="151"/>
      <c r="U153" s="387"/>
      <c r="V153" s="343"/>
      <c r="W153" s="343"/>
      <c r="X153" s="343"/>
      <c r="Y153" s="343"/>
      <c r="Z153" s="343"/>
      <c r="AA153" s="343"/>
      <c r="AB153" s="343"/>
      <c r="AC153" s="343"/>
      <c r="AD153" s="343"/>
      <c r="AE153" s="343"/>
      <c r="AF153" s="343"/>
      <c r="AG153" s="343"/>
      <c r="AH153" s="343"/>
      <c r="AI153" s="343"/>
      <c r="AJ153" s="343"/>
      <c r="AK153" s="343"/>
      <c r="AL153" s="114" t="s">
        <v>15628</v>
      </c>
      <c r="AM153" s="396"/>
      <c r="AN153" s="396"/>
      <c r="AO153" s="396"/>
      <c r="AP153" s="396"/>
      <c r="AQ153" s="396"/>
      <c r="AR153" s="396"/>
      <c r="AS153" s="396"/>
      <c r="AT153" s="490"/>
      <c r="AU153" s="387"/>
      <c r="AY153" s="387"/>
      <c r="AZ153" s="489">
        <f>ROUND(ROUND(Q152*AR154,0)*$AT$112,0)</f>
        <v>106</v>
      </c>
      <c r="BA153" s="393"/>
    </row>
    <row r="154" spans="1:53" ht="16.5" customHeight="1" x14ac:dyDescent="0.15">
      <c r="A154" s="340">
        <v>12</v>
      </c>
      <c r="B154" s="341">
        <v>7736</v>
      </c>
      <c r="C154" s="390" t="s">
        <v>16739</v>
      </c>
      <c r="D154" s="403"/>
      <c r="E154" s="404"/>
      <c r="F154" s="404"/>
      <c r="G154" s="404"/>
      <c r="H154" s="406"/>
      <c r="Q154" s="395"/>
      <c r="R154" s="151"/>
      <c r="S154" s="151"/>
      <c r="U154" s="387"/>
      <c r="V154" s="343" t="s">
        <v>15625</v>
      </c>
      <c r="W154" s="325"/>
      <c r="X154" s="325"/>
      <c r="Y154" s="325"/>
      <c r="Z154" s="325"/>
      <c r="AA154" s="325"/>
      <c r="AB154" s="325"/>
      <c r="AC154" s="325"/>
      <c r="AD154" s="325"/>
      <c r="AE154" s="325"/>
      <c r="AF154" s="325"/>
      <c r="AG154" s="325"/>
      <c r="AH154" s="325"/>
      <c r="AI154" s="391" t="s">
        <v>15626</v>
      </c>
      <c r="AJ154" s="838">
        <f>AJ152</f>
        <v>1</v>
      </c>
      <c r="AK154" s="843"/>
      <c r="AL154" s="324" t="s">
        <v>15630</v>
      </c>
      <c r="AM154" s="325"/>
      <c r="AN154" s="325"/>
      <c r="AO154" s="325"/>
      <c r="AP154" s="325"/>
      <c r="AQ154" s="190" t="s">
        <v>398</v>
      </c>
      <c r="AR154" s="844">
        <f>AR150</f>
        <v>0.85</v>
      </c>
      <c r="AS154" s="844"/>
      <c r="AT154" s="501"/>
      <c r="AU154" s="502"/>
      <c r="AY154" s="387"/>
      <c r="AZ154" s="489">
        <f>ROUND(ROUND(ROUND(Q152*AJ154,0)*AR154,0)*$AT$112,0)</f>
        <v>106</v>
      </c>
      <c r="BA154" s="393"/>
    </row>
    <row r="155" spans="1:53" ht="16.5" customHeight="1" x14ac:dyDescent="0.15">
      <c r="A155" s="340">
        <v>12</v>
      </c>
      <c r="B155" s="341">
        <v>7737</v>
      </c>
      <c r="C155" s="390" t="s">
        <v>16740</v>
      </c>
      <c r="D155" s="403"/>
      <c r="E155" s="404"/>
      <c r="F155" s="404"/>
      <c r="G155" s="404"/>
      <c r="H155" s="406"/>
      <c r="I155" s="10"/>
      <c r="Q155" s="395"/>
      <c r="R155" s="151"/>
      <c r="S155" s="151"/>
      <c r="U155" s="387"/>
      <c r="V155" s="343"/>
      <c r="W155" s="325"/>
      <c r="X155" s="325"/>
      <c r="Y155" s="325"/>
      <c r="Z155" s="325"/>
      <c r="AA155" s="325"/>
      <c r="AB155" s="325"/>
      <c r="AC155" s="325"/>
      <c r="AD155" s="325"/>
      <c r="AE155" s="325"/>
      <c r="AF155" s="325"/>
      <c r="AG155" s="325"/>
      <c r="AH155" s="325"/>
      <c r="AI155" s="391"/>
      <c r="AJ155" s="401"/>
      <c r="AK155" s="402"/>
      <c r="AL155" s="396"/>
      <c r="AM155" s="396"/>
      <c r="AN155" s="396"/>
      <c r="AO155" s="396"/>
      <c r="AP155" s="396"/>
      <c r="AQ155" s="396"/>
      <c r="AR155" s="396"/>
      <c r="AS155" s="396"/>
      <c r="AT155" s="490"/>
      <c r="AU155" s="387"/>
      <c r="AV155" s="858" t="s">
        <v>16296</v>
      </c>
      <c r="AW155" s="858"/>
      <c r="AX155" s="858"/>
      <c r="AY155" s="860"/>
      <c r="AZ155" s="489">
        <f>ROUND(ROUND(Q152*$AT$112,0)*AV158,0)</f>
        <v>100</v>
      </c>
      <c r="BA155" s="393"/>
    </row>
    <row r="156" spans="1:53" ht="16.5" customHeight="1" x14ac:dyDescent="0.15">
      <c r="A156" s="340">
        <v>12</v>
      </c>
      <c r="B156" s="341">
        <v>7738</v>
      </c>
      <c r="C156" s="390" t="s">
        <v>16741</v>
      </c>
      <c r="D156" s="403"/>
      <c r="E156" s="404"/>
      <c r="F156" s="404"/>
      <c r="G156" s="404"/>
      <c r="H156" s="406"/>
      <c r="Q156" s="899"/>
      <c r="R156" s="899"/>
      <c r="S156" s="899"/>
      <c r="U156" s="387"/>
      <c r="V156" s="343" t="s">
        <v>15625</v>
      </c>
      <c r="W156" s="325"/>
      <c r="X156" s="325"/>
      <c r="Y156" s="325"/>
      <c r="Z156" s="325"/>
      <c r="AA156" s="325"/>
      <c r="AB156" s="325"/>
      <c r="AC156" s="325"/>
      <c r="AD156" s="325"/>
      <c r="AE156" s="325"/>
      <c r="AF156" s="325"/>
      <c r="AG156" s="325"/>
      <c r="AH156" s="325"/>
      <c r="AI156" s="391" t="s">
        <v>15626</v>
      </c>
      <c r="AJ156" s="838">
        <f>AJ154</f>
        <v>1</v>
      </c>
      <c r="AK156" s="839"/>
      <c r="AL156" s="325"/>
      <c r="AM156" s="325"/>
      <c r="AN156" s="325"/>
      <c r="AO156" s="325"/>
      <c r="AP156" s="325"/>
      <c r="AQ156" s="325"/>
      <c r="AR156" s="325"/>
      <c r="AS156" s="325"/>
      <c r="AT156" s="490"/>
      <c r="AU156" s="387"/>
      <c r="AV156" s="850"/>
      <c r="AW156" s="850"/>
      <c r="AX156" s="850"/>
      <c r="AY156" s="852"/>
      <c r="AZ156" s="489">
        <f>ROUND(ROUND(ROUND(Q152*AJ156,0)*$AT$112,0)*AV158,0)</f>
        <v>100</v>
      </c>
      <c r="BA156" s="393"/>
    </row>
    <row r="157" spans="1:53" ht="16.5" customHeight="1" x14ac:dyDescent="0.15">
      <c r="A157" s="340">
        <v>12</v>
      </c>
      <c r="B157" s="341">
        <v>7739</v>
      </c>
      <c r="C157" s="390" t="s">
        <v>16742</v>
      </c>
      <c r="D157" s="403"/>
      <c r="E157" s="404"/>
      <c r="F157" s="404"/>
      <c r="G157" s="404"/>
      <c r="H157" s="406"/>
      <c r="Q157" s="395"/>
      <c r="R157" s="151"/>
      <c r="S157" s="151"/>
      <c r="U157" s="387"/>
      <c r="V157" s="343"/>
      <c r="W157" s="343"/>
      <c r="X157" s="343"/>
      <c r="Y157" s="343"/>
      <c r="Z157" s="343"/>
      <c r="AA157" s="343"/>
      <c r="AB157" s="343"/>
      <c r="AC157" s="343"/>
      <c r="AD157" s="343"/>
      <c r="AE157" s="343"/>
      <c r="AF157" s="343"/>
      <c r="AG157" s="343"/>
      <c r="AH157" s="343"/>
      <c r="AI157" s="343"/>
      <c r="AJ157" s="343"/>
      <c r="AK157" s="343"/>
      <c r="AL157" s="114" t="s">
        <v>15628</v>
      </c>
      <c r="AM157" s="396"/>
      <c r="AN157" s="396"/>
      <c r="AO157" s="396"/>
      <c r="AP157" s="396"/>
      <c r="AQ157" s="396"/>
      <c r="AR157" s="396"/>
      <c r="AS157" s="396"/>
      <c r="AT157" s="490"/>
      <c r="AU157" s="387"/>
      <c r="AV157" s="902" t="s">
        <v>15636</v>
      </c>
      <c r="AW157" s="902"/>
      <c r="AX157" s="902"/>
      <c r="AY157" s="903"/>
      <c r="AZ157" s="489">
        <f>ROUND(ROUND(ROUND(Q152*AR158,0)*$AT$112,0)*AV158,0)</f>
        <v>85</v>
      </c>
      <c r="BA157" s="393"/>
    </row>
    <row r="158" spans="1:53" ht="16.5" customHeight="1" x14ac:dyDescent="0.15">
      <c r="A158" s="340">
        <v>12</v>
      </c>
      <c r="B158" s="341">
        <v>7740</v>
      </c>
      <c r="C158" s="390" t="s">
        <v>16743</v>
      </c>
      <c r="D158" s="403"/>
      <c r="E158" s="404"/>
      <c r="F158" s="404"/>
      <c r="G158" s="404"/>
      <c r="H158" s="406"/>
      <c r="Q158" s="395"/>
      <c r="R158" s="151"/>
      <c r="S158" s="151"/>
      <c r="U158" s="387"/>
      <c r="V158" s="343" t="s">
        <v>15625</v>
      </c>
      <c r="W158" s="325"/>
      <c r="X158" s="325"/>
      <c r="Y158" s="325"/>
      <c r="Z158" s="325"/>
      <c r="AA158" s="325"/>
      <c r="AB158" s="325"/>
      <c r="AC158" s="325"/>
      <c r="AD158" s="325"/>
      <c r="AE158" s="325"/>
      <c r="AF158" s="325"/>
      <c r="AG158" s="325"/>
      <c r="AH158" s="325"/>
      <c r="AI158" s="391" t="s">
        <v>15626</v>
      </c>
      <c r="AJ158" s="838">
        <f>AJ156</f>
        <v>1</v>
      </c>
      <c r="AK158" s="843"/>
      <c r="AL158" s="324" t="s">
        <v>15630</v>
      </c>
      <c r="AM158" s="325"/>
      <c r="AN158" s="325"/>
      <c r="AO158" s="325"/>
      <c r="AP158" s="325"/>
      <c r="AQ158" s="190" t="s">
        <v>398</v>
      </c>
      <c r="AR158" s="844">
        <f>AR154</f>
        <v>0.85</v>
      </c>
      <c r="AS158" s="844"/>
      <c r="AT158" s="501"/>
      <c r="AU158" s="502"/>
      <c r="AV158" s="844">
        <f>AV150</f>
        <v>0.8</v>
      </c>
      <c r="AW158" s="844"/>
      <c r="AX158" s="844"/>
      <c r="AY158" s="845"/>
      <c r="AZ158" s="489">
        <f>ROUND(ROUND(ROUND(ROUND(Q152*AJ158,0)*AR158,0)*$AT$112,0)*AV158,0)</f>
        <v>85</v>
      </c>
      <c r="BA158" s="393"/>
    </row>
    <row r="159" spans="1:53" ht="17.100000000000001" customHeight="1" x14ac:dyDescent="0.15">
      <c r="A159" s="340">
        <v>12</v>
      </c>
      <c r="B159" s="341">
        <v>7741</v>
      </c>
      <c r="C159" s="390" t="s">
        <v>16744</v>
      </c>
      <c r="D159" s="403"/>
      <c r="E159" s="404"/>
      <c r="F159" s="404"/>
      <c r="G159" s="404"/>
      <c r="H159" s="406"/>
      <c r="I159" s="908" t="s">
        <v>16354</v>
      </c>
      <c r="J159" s="909"/>
      <c r="K159" s="909"/>
      <c r="L159" s="909"/>
      <c r="M159" s="909"/>
      <c r="N159" s="909"/>
      <c r="O159" s="909"/>
      <c r="P159" s="909"/>
      <c r="Q159" s="909"/>
      <c r="R159" s="909"/>
      <c r="S159" s="909"/>
      <c r="T159" s="909"/>
      <c r="U159" s="910"/>
      <c r="V159" s="343"/>
      <c r="W159" s="343"/>
      <c r="X159" s="343"/>
      <c r="Y159" s="343"/>
      <c r="Z159" s="343"/>
      <c r="AA159" s="343"/>
      <c r="AB159" s="343"/>
      <c r="AC159" s="343"/>
      <c r="AD159" s="343"/>
      <c r="AE159" s="343"/>
      <c r="AF159" s="343"/>
      <c r="AG159" s="343"/>
      <c r="AH159" s="343"/>
      <c r="AI159" s="343"/>
      <c r="AJ159" s="401"/>
      <c r="AK159" s="402"/>
      <c r="AL159" s="396"/>
      <c r="AM159" s="396"/>
      <c r="AN159" s="396"/>
      <c r="AO159" s="396"/>
      <c r="AP159" s="396"/>
      <c r="AQ159" s="396"/>
      <c r="AR159" s="396"/>
      <c r="AS159" s="396"/>
      <c r="AT159" s="490"/>
      <c r="AU159" s="387"/>
      <c r="AV159" s="400"/>
      <c r="AW159" s="400"/>
      <c r="AX159" s="396"/>
      <c r="AY159" s="397"/>
      <c r="AZ159" s="489">
        <f>ROUND(Q160*$AT$112,0)</f>
        <v>115</v>
      </c>
      <c r="BA159" s="393"/>
    </row>
    <row r="160" spans="1:53" ht="16.5" customHeight="1" x14ac:dyDescent="0.15">
      <c r="A160" s="340">
        <v>12</v>
      </c>
      <c r="B160" s="341">
        <v>7742</v>
      </c>
      <c r="C160" s="390" t="s">
        <v>16745</v>
      </c>
      <c r="D160" s="403"/>
      <c r="E160" s="404"/>
      <c r="F160" s="404"/>
      <c r="G160" s="404"/>
      <c r="H160" s="406"/>
      <c r="Q160" s="836">
        <f>ROUND(Q256*$F$109,0)</f>
        <v>92</v>
      </c>
      <c r="R160" s="911"/>
      <c r="S160" s="911"/>
      <c r="T160" s="152" t="s">
        <v>15624</v>
      </c>
      <c r="U160" s="387"/>
      <c r="V160" s="343" t="s">
        <v>15625</v>
      </c>
      <c r="W160" s="325"/>
      <c r="X160" s="325"/>
      <c r="Y160" s="325"/>
      <c r="Z160" s="325"/>
      <c r="AA160" s="325"/>
      <c r="AB160" s="325"/>
      <c r="AC160" s="325"/>
      <c r="AD160" s="325"/>
      <c r="AE160" s="325"/>
      <c r="AF160" s="325"/>
      <c r="AG160" s="325"/>
      <c r="AH160" s="325"/>
      <c r="AI160" s="391" t="s">
        <v>15626</v>
      </c>
      <c r="AJ160" s="838">
        <f>AJ158</f>
        <v>1</v>
      </c>
      <c r="AK160" s="839"/>
      <c r="AL160" s="325"/>
      <c r="AM160" s="325"/>
      <c r="AN160" s="325"/>
      <c r="AO160" s="325"/>
      <c r="AP160" s="325"/>
      <c r="AQ160" s="325"/>
      <c r="AR160" s="325"/>
      <c r="AS160" s="391"/>
      <c r="AT160" s="503"/>
      <c r="AU160" s="504"/>
      <c r="AY160" s="387"/>
      <c r="AZ160" s="489">
        <f>ROUND(ROUND(Q160*AJ160,0)*$AT$112,0)</f>
        <v>115</v>
      </c>
      <c r="BA160" s="393"/>
    </row>
    <row r="161" spans="1:53" ht="16.5" customHeight="1" x14ac:dyDescent="0.15">
      <c r="A161" s="340">
        <v>12</v>
      </c>
      <c r="B161" s="341">
        <v>7743</v>
      </c>
      <c r="C161" s="390" t="s">
        <v>16746</v>
      </c>
      <c r="D161" s="403"/>
      <c r="E161" s="404"/>
      <c r="F161" s="404"/>
      <c r="G161" s="404"/>
      <c r="H161" s="406"/>
      <c r="Q161" s="395"/>
      <c r="R161" s="151"/>
      <c r="S161" s="151"/>
      <c r="U161" s="387"/>
      <c r="V161" s="343"/>
      <c r="W161" s="343"/>
      <c r="X161" s="343"/>
      <c r="Y161" s="343"/>
      <c r="Z161" s="343"/>
      <c r="AA161" s="343"/>
      <c r="AB161" s="343"/>
      <c r="AC161" s="343"/>
      <c r="AD161" s="343"/>
      <c r="AE161" s="343"/>
      <c r="AF161" s="343"/>
      <c r="AG161" s="343"/>
      <c r="AH161" s="343"/>
      <c r="AI161" s="343"/>
      <c r="AJ161" s="343"/>
      <c r="AK161" s="343"/>
      <c r="AL161" s="114" t="s">
        <v>15628</v>
      </c>
      <c r="AM161" s="396"/>
      <c r="AN161" s="396"/>
      <c r="AO161" s="396"/>
      <c r="AP161" s="396"/>
      <c r="AQ161" s="396"/>
      <c r="AR161" s="396"/>
      <c r="AS161" s="396"/>
      <c r="AT161" s="490"/>
      <c r="AU161" s="387"/>
      <c r="AY161" s="387"/>
      <c r="AZ161" s="489">
        <f>ROUND(ROUND(Q160*AR162,0)*$AT$112,0)</f>
        <v>98</v>
      </c>
      <c r="BA161" s="393"/>
    </row>
    <row r="162" spans="1:53" ht="16.5" customHeight="1" x14ac:dyDescent="0.15">
      <c r="A162" s="340">
        <v>12</v>
      </c>
      <c r="B162" s="341">
        <v>7744</v>
      </c>
      <c r="C162" s="390" t="s">
        <v>16747</v>
      </c>
      <c r="D162" s="403"/>
      <c r="E162" s="404"/>
      <c r="F162" s="404"/>
      <c r="G162" s="404"/>
      <c r="H162" s="406"/>
      <c r="Q162" s="395"/>
      <c r="R162" s="151"/>
      <c r="S162" s="151"/>
      <c r="U162" s="387"/>
      <c r="V162" s="343" t="s">
        <v>15625</v>
      </c>
      <c r="W162" s="325"/>
      <c r="X162" s="325"/>
      <c r="Y162" s="325"/>
      <c r="Z162" s="325"/>
      <c r="AA162" s="325"/>
      <c r="AB162" s="325"/>
      <c r="AC162" s="325"/>
      <c r="AD162" s="325"/>
      <c r="AE162" s="325"/>
      <c r="AF162" s="325"/>
      <c r="AG162" s="325"/>
      <c r="AH162" s="325"/>
      <c r="AI162" s="391" t="s">
        <v>15626</v>
      </c>
      <c r="AJ162" s="838">
        <f>AJ160</f>
        <v>1</v>
      </c>
      <c r="AK162" s="843"/>
      <c r="AL162" s="324" t="s">
        <v>15630</v>
      </c>
      <c r="AM162" s="325"/>
      <c r="AN162" s="325"/>
      <c r="AO162" s="325"/>
      <c r="AP162" s="325"/>
      <c r="AQ162" s="190" t="s">
        <v>398</v>
      </c>
      <c r="AR162" s="844">
        <f>AR158</f>
        <v>0.85</v>
      </c>
      <c r="AS162" s="844"/>
      <c r="AT162" s="501"/>
      <c r="AU162" s="502"/>
      <c r="AY162" s="387"/>
      <c r="AZ162" s="489">
        <f>ROUND(ROUND(ROUND(Q160*AJ162,0)*AR162,0)*$AT$112,0)</f>
        <v>98</v>
      </c>
      <c r="BA162" s="393"/>
    </row>
    <row r="163" spans="1:53" ht="17.100000000000001" customHeight="1" x14ac:dyDescent="0.15">
      <c r="A163" s="340">
        <v>12</v>
      </c>
      <c r="B163" s="341">
        <v>7745</v>
      </c>
      <c r="C163" s="390" t="s">
        <v>16748</v>
      </c>
      <c r="D163" s="403"/>
      <c r="E163" s="404"/>
      <c r="F163" s="404"/>
      <c r="G163" s="404"/>
      <c r="H163" s="406"/>
      <c r="I163" s="10"/>
      <c r="L163" s="151"/>
      <c r="M163" s="151"/>
      <c r="N163" s="151"/>
      <c r="U163" s="387"/>
      <c r="V163" s="343"/>
      <c r="W163" s="343"/>
      <c r="X163" s="343"/>
      <c r="Y163" s="343"/>
      <c r="Z163" s="343"/>
      <c r="AA163" s="343"/>
      <c r="AB163" s="343"/>
      <c r="AC163" s="343"/>
      <c r="AD163" s="343"/>
      <c r="AE163" s="343"/>
      <c r="AF163" s="343"/>
      <c r="AG163" s="343"/>
      <c r="AH163" s="343"/>
      <c r="AI163" s="343"/>
      <c r="AJ163" s="401"/>
      <c r="AK163" s="402"/>
      <c r="AL163" s="396"/>
      <c r="AM163" s="396"/>
      <c r="AN163" s="396"/>
      <c r="AO163" s="396"/>
      <c r="AP163" s="396"/>
      <c r="AQ163" s="396"/>
      <c r="AR163" s="396"/>
      <c r="AS163" s="396"/>
      <c r="AT163" s="490"/>
      <c r="AU163" s="387"/>
      <c r="AV163" s="858" t="s">
        <v>16296</v>
      </c>
      <c r="AW163" s="858"/>
      <c r="AX163" s="858"/>
      <c r="AY163" s="860"/>
      <c r="AZ163" s="489">
        <f>ROUND(ROUND(Q160*$AT$112,0)*AV166,0)</f>
        <v>92</v>
      </c>
      <c r="BA163" s="393"/>
    </row>
    <row r="164" spans="1:53" ht="16.5" customHeight="1" x14ac:dyDescent="0.15">
      <c r="A164" s="340">
        <v>12</v>
      </c>
      <c r="B164" s="341">
        <v>7746</v>
      </c>
      <c r="C164" s="390" t="s">
        <v>16749</v>
      </c>
      <c r="D164" s="403"/>
      <c r="E164" s="404"/>
      <c r="F164" s="404"/>
      <c r="G164" s="404"/>
      <c r="H164" s="406"/>
      <c r="Q164" s="899"/>
      <c r="R164" s="899"/>
      <c r="S164" s="899"/>
      <c r="U164" s="387"/>
      <c r="V164" s="343" t="s">
        <v>15625</v>
      </c>
      <c r="W164" s="325"/>
      <c r="X164" s="325"/>
      <c r="Y164" s="325"/>
      <c r="Z164" s="325"/>
      <c r="AA164" s="325"/>
      <c r="AB164" s="325"/>
      <c r="AC164" s="325"/>
      <c r="AD164" s="325"/>
      <c r="AE164" s="325"/>
      <c r="AF164" s="325"/>
      <c r="AG164" s="325"/>
      <c r="AH164" s="325"/>
      <c r="AI164" s="391" t="s">
        <v>15626</v>
      </c>
      <c r="AJ164" s="838">
        <f>AJ162</f>
        <v>1</v>
      </c>
      <c r="AK164" s="839"/>
      <c r="AL164" s="325"/>
      <c r="AM164" s="325"/>
      <c r="AN164" s="325"/>
      <c r="AO164" s="325"/>
      <c r="AP164" s="325"/>
      <c r="AQ164" s="325"/>
      <c r="AR164" s="325"/>
      <c r="AS164" s="391"/>
      <c r="AT164" s="503"/>
      <c r="AU164" s="504"/>
      <c r="AV164" s="850"/>
      <c r="AW164" s="850"/>
      <c r="AX164" s="850"/>
      <c r="AY164" s="852"/>
      <c r="AZ164" s="489">
        <f>ROUND(ROUND(ROUND(Q160*AJ164,0)*$AT$112,0)*AV166,0)</f>
        <v>92</v>
      </c>
      <c r="BA164" s="393"/>
    </row>
    <row r="165" spans="1:53" ht="16.5" customHeight="1" x14ac:dyDescent="0.15">
      <c r="A165" s="340">
        <v>12</v>
      </c>
      <c r="B165" s="341">
        <v>7747</v>
      </c>
      <c r="C165" s="390" t="s">
        <v>16750</v>
      </c>
      <c r="D165" s="403"/>
      <c r="E165" s="404"/>
      <c r="F165" s="404"/>
      <c r="G165" s="404"/>
      <c r="H165" s="406"/>
      <c r="Q165" s="395"/>
      <c r="R165" s="151"/>
      <c r="S165" s="151"/>
      <c r="U165" s="387"/>
      <c r="V165" s="343"/>
      <c r="W165" s="343"/>
      <c r="X165" s="343"/>
      <c r="Y165" s="343"/>
      <c r="Z165" s="343"/>
      <c r="AA165" s="343"/>
      <c r="AB165" s="343"/>
      <c r="AC165" s="343"/>
      <c r="AD165" s="343"/>
      <c r="AE165" s="343"/>
      <c r="AF165" s="343"/>
      <c r="AG165" s="343"/>
      <c r="AH165" s="343"/>
      <c r="AI165" s="343"/>
      <c r="AJ165" s="343"/>
      <c r="AK165" s="343"/>
      <c r="AL165" s="114" t="s">
        <v>15628</v>
      </c>
      <c r="AM165" s="396"/>
      <c r="AN165" s="396"/>
      <c r="AO165" s="396"/>
      <c r="AP165" s="396"/>
      <c r="AQ165" s="396"/>
      <c r="AR165" s="396"/>
      <c r="AS165" s="396"/>
      <c r="AT165" s="490"/>
      <c r="AU165" s="387"/>
      <c r="AV165" s="902" t="s">
        <v>15636</v>
      </c>
      <c r="AW165" s="902"/>
      <c r="AX165" s="902"/>
      <c r="AY165" s="903"/>
      <c r="AZ165" s="489">
        <f>ROUND(ROUND(ROUND(Q160*AR166,0)*$AT$112,0)*AV166,0)</f>
        <v>78</v>
      </c>
      <c r="BA165" s="393"/>
    </row>
    <row r="166" spans="1:53" ht="16.5" customHeight="1" x14ac:dyDescent="0.15">
      <c r="A166" s="340">
        <v>12</v>
      </c>
      <c r="B166" s="341">
        <v>7748</v>
      </c>
      <c r="C166" s="390" t="s">
        <v>16751</v>
      </c>
      <c r="D166" s="403"/>
      <c r="E166" s="404"/>
      <c r="F166" s="404"/>
      <c r="G166" s="404"/>
      <c r="H166" s="406"/>
      <c r="Q166" s="395"/>
      <c r="R166" s="151"/>
      <c r="S166" s="151"/>
      <c r="U166" s="387"/>
      <c r="V166" s="343" t="s">
        <v>15625</v>
      </c>
      <c r="W166" s="325"/>
      <c r="X166" s="325"/>
      <c r="Y166" s="325"/>
      <c r="Z166" s="325"/>
      <c r="AA166" s="325"/>
      <c r="AB166" s="325"/>
      <c r="AC166" s="325"/>
      <c r="AD166" s="325"/>
      <c r="AE166" s="325"/>
      <c r="AF166" s="325"/>
      <c r="AG166" s="325"/>
      <c r="AH166" s="325"/>
      <c r="AI166" s="391" t="s">
        <v>15626</v>
      </c>
      <c r="AJ166" s="838">
        <f>AJ164</f>
        <v>1</v>
      </c>
      <c r="AK166" s="843"/>
      <c r="AL166" s="324" t="s">
        <v>15630</v>
      </c>
      <c r="AM166" s="325"/>
      <c r="AN166" s="325"/>
      <c r="AO166" s="325"/>
      <c r="AP166" s="325"/>
      <c r="AQ166" s="190" t="s">
        <v>398</v>
      </c>
      <c r="AR166" s="844">
        <f>AR162</f>
        <v>0.85</v>
      </c>
      <c r="AS166" s="844"/>
      <c r="AT166" s="501"/>
      <c r="AU166" s="502"/>
      <c r="AV166" s="844">
        <f>AV158</f>
        <v>0.8</v>
      </c>
      <c r="AW166" s="844"/>
      <c r="AX166" s="844"/>
      <c r="AY166" s="845"/>
      <c r="AZ166" s="489">
        <f>ROUND(ROUND(ROUND(ROUND(Q160*AJ166,0)*AR166,0)*$AT$112,0)*AV166,0)</f>
        <v>78</v>
      </c>
      <c r="BA166" s="393"/>
    </row>
    <row r="167" spans="1:53" ht="17.100000000000001" customHeight="1" x14ac:dyDescent="0.15">
      <c r="A167" s="340">
        <v>12</v>
      </c>
      <c r="B167" s="341">
        <v>7749</v>
      </c>
      <c r="C167" s="390" t="s">
        <v>16752</v>
      </c>
      <c r="D167" s="403"/>
      <c r="E167" s="404"/>
      <c r="F167" s="404"/>
      <c r="G167" s="404"/>
      <c r="H167" s="406"/>
      <c r="I167" s="908" t="s">
        <v>16363</v>
      </c>
      <c r="J167" s="909"/>
      <c r="K167" s="909"/>
      <c r="L167" s="909"/>
      <c r="M167" s="909"/>
      <c r="N167" s="909"/>
      <c r="O167" s="909"/>
      <c r="P167" s="909"/>
      <c r="Q167" s="909"/>
      <c r="R167" s="909"/>
      <c r="S167" s="909"/>
      <c r="T167" s="909"/>
      <c r="U167" s="910"/>
      <c r="V167" s="343"/>
      <c r="W167" s="343"/>
      <c r="X167" s="343"/>
      <c r="Y167" s="343"/>
      <c r="Z167" s="343"/>
      <c r="AA167" s="343"/>
      <c r="AB167" s="343"/>
      <c r="AC167" s="343"/>
      <c r="AD167" s="343"/>
      <c r="AE167" s="343"/>
      <c r="AF167" s="343"/>
      <c r="AG167" s="343"/>
      <c r="AH167" s="343"/>
      <c r="AI167" s="343"/>
      <c r="AJ167" s="401"/>
      <c r="AK167" s="402"/>
      <c r="AL167" s="396"/>
      <c r="AM167" s="396"/>
      <c r="AN167" s="396"/>
      <c r="AO167" s="396"/>
      <c r="AP167" s="396"/>
      <c r="AQ167" s="396"/>
      <c r="AR167" s="396"/>
      <c r="AS167" s="396"/>
      <c r="AT167" s="490"/>
      <c r="AU167" s="387"/>
      <c r="AV167" s="400"/>
      <c r="AW167" s="400"/>
      <c r="AX167" s="396"/>
      <c r="AY167" s="397"/>
      <c r="AZ167" s="489">
        <f>ROUND(Q168*$AT$112,0)</f>
        <v>115</v>
      </c>
      <c r="BA167" s="393"/>
    </row>
    <row r="168" spans="1:53" ht="16.5" customHeight="1" x14ac:dyDescent="0.15">
      <c r="A168" s="340">
        <v>12</v>
      </c>
      <c r="B168" s="341">
        <v>7750</v>
      </c>
      <c r="C168" s="390" t="s">
        <v>16753</v>
      </c>
      <c r="D168" s="403"/>
      <c r="E168" s="404"/>
      <c r="F168" s="404"/>
      <c r="G168" s="404"/>
      <c r="H168" s="406"/>
      <c r="Q168" s="836">
        <f>ROUND(Q264*$F$109,0)</f>
        <v>92</v>
      </c>
      <c r="R168" s="911"/>
      <c r="S168" s="911"/>
      <c r="T168" s="152" t="s">
        <v>15624</v>
      </c>
      <c r="U168" s="387"/>
      <c r="V168" s="343" t="s">
        <v>15625</v>
      </c>
      <c r="W168" s="325"/>
      <c r="X168" s="325"/>
      <c r="Y168" s="325"/>
      <c r="Z168" s="325"/>
      <c r="AA168" s="325"/>
      <c r="AB168" s="325"/>
      <c r="AC168" s="325"/>
      <c r="AD168" s="325"/>
      <c r="AE168" s="325"/>
      <c r="AF168" s="325"/>
      <c r="AG168" s="325"/>
      <c r="AH168" s="325"/>
      <c r="AI168" s="391" t="s">
        <v>15626</v>
      </c>
      <c r="AJ168" s="838">
        <f>AJ166</f>
        <v>1</v>
      </c>
      <c r="AK168" s="839"/>
      <c r="AL168" s="325"/>
      <c r="AM168" s="325"/>
      <c r="AN168" s="325"/>
      <c r="AO168" s="325"/>
      <c r="AP168" s="325"/>
      <c r="AQ168" s="325"/>
      <c r="AR168" s="325"/>
      <c r="AS168" s="391"/>
      <c r="AT168" s="503"/>
      <c r="AU168" s="504"/>
      <c r="AY168" s="387"/>
      <c r="AZ168" s="489">
        <f>ROUND(ROUND(Q168*AJ168,0)*$AT$112,0)</f>
        <v>115</v>
      </c>
      <c r="BA168" s="393"/>
    </row>
    <row r="169" spans="1:53" ht="16.5" customHeight="1" x14ac:dyDescent="0.15">
      <c r="A169" s="340">
        <v>12</v>
      </c>
      <c r="B169" s="341">
        <v>7751</v>
      </c>
      <c r="C169" s="390" t="s">
        <v>16754</v>
      </c>
      <c r="D169" s="403"/>
      <c r="E169" s="404"/>
      <c r="F169" s="404"/>
      <c r="G169" s="404"/>
      <c r="H169" s="406"/>
      <c r="Q169" s="395"/>
      <c r="R169" s="151"/>
      <c r="S169" s="151"/>
      <c r="U169" s="387"/>
      <c r="V169" s="343"/>
      <c r="W169" s="343"/>
      <c r="X169" s="343"/>
      <c r="Y169" s="343"/>
      <c r="Z169" s="343"/>
      <c r="AA169" s="343"/>
      <c r="AB169" s="343"/>
      <c r="AC169" s="343"/>
      <c r="AD169" s="343"/>
      <c r="AE169" s="343"/>
      <c r="AF169" s="343"/>
      <c r="AG169" s="343"/>
      <c r="AH169" s="343"/>
      <c r="AI169" s="343"/>
      <c r="AJ169" s="343"/>
      <c r="AK169" s="343"/>
      <c r="AL169" s="114" t="s">
        <v>15628</v>
      </c>
      <c r="AM169" s="396"/>
      <c r="AN169" s="396"/>
      <c r="AO169" s="396"/>
      <c r="AP169" s="396"/>
      <c r="AQ169" s="396"/>
      <c r="AR169" s="396"/>
      <c r="AS169" s="396"/>
      <c r="AT169" s="490"/>
      <c r="AU169" s="387"/>
      <c r="AY169" s="387"/>
      <c r="AZ169" s="489">
        <f>ROUND(ROUND(Q168*AR170,0)*$AT$112,0)</f>
        <v>98</v>
      </c>
      <c r="BA169" s="393"/>
    </row>
    <row r="170" spans="1:53" ht="16.5" customHeight="1" x14ac:dyDescent="0.15">
      <c r="A170" s="340">
        <v>12</v>
      </c>
      <c r="B170" s="341">
        <v>7752</v>
      </c>
      <c r="C170" s="390" t="s">
        <v>16755</v>
      </c>
      <c r="D170" s="403"/>
      <c r="E170" s="404"/>
      <c r="F170" s="404"/>
      <c r="G170" s="404"/>
      <c r="H170" s="406"/>
      <c r="Q170" s="395"/>
      <c r="R170" s="151"/>
      <c r="S170" s="151"/>
      <c r="U170" s="387"/>
      <c r="V170" s="343" t="s">
        <v>15625</v>
      </c>
      <c r="W170" s="325"/>
      <c r="X170" s="325"/>
      <c r="Y170" s="325"/>
      <c r="Z170" s="325"/>
      <c r="AA170" s="325"/>
      <c r="AB170" s="325"/>
      <c r="AC170" s="325"/>
      <c r="AD170" s="325"/>
      <c r="AE170" s="325"/>
      <c r="AF170" s="325"/>
      <c r="AG170" s="325"/>
      <c r="AH170" s="325"/>
      <c r="AI170" s="391" t="s">
        <v>15626</v>
      </c>
      <c r="AJ170" s="838">
        <f>AJ168</f>
        <v>1</v>
      </c>
      <c r="AK170" s="843"/>
      <c r="AL170" s="324" t="s">
        <v>15630</v>
      </c>
      <c r="AM170" s="325"/>
      <c r="AN170" s="325"/>
      <c r="AO170" s="325"/>
      <c r="AP170" s="325"/>
      <c r="AQ170" s="190" t="s">
        <v>398</v>
      </c>
      <c r="AR170" s="844">
        <f>AR166</f>
        <v>0.85</v>
      </c>
      <c r="AS170" s="844"/>
      <c r="AT170" s="501"/>
      <c r="AU170" s="502"/>
      <c r="AY170" s="387"/>
      <c r="AZ170" s="489">
        <f>ROUND(ROUND(ROUND(Q168*AJ170,0)*AR170,0)*$AT$112,0)</f>
        <v>98</v>
      </c>
      <c r="BA170" s="393"/>
    </row>
    <row r="171" spans="1:53" ht="17.100000000000001" customHeight="1" x14ac:dyDescent="0.15">
      <c r="A171" s="340">
        <v>12</v>
      </c>
      <c r="B171" s="341">
        <v>7753</v>
      </c>
      <c r="C171" s="390" t="s">
        <v>16756</v>
      </c>
      <c r="D171" s="403"/>
      <c r="E171" s="404"/>
      <c r="F171" s="404"/>
      <c r="G171" s="404"/>
      <c r="H171" s="406"/>
      <c r="I171" s="10"/>
      <c r="L171" s="151"/>
      <c r="M171" s="151"/>
      <c r="N171" s="151"/>
      <c r="U171" s="387"/>
      <c r="V171" s="343"/>
      <c r="W171" s="343"/>
      <c r="X171" s="343"/>
      <c r="Y171" s="343"/>
      <c r="Z171" s="343"/>
      <c r="AA171" s="343"/>
      <c r="AB171" s="343"/>
      <c r="AC171" s="343"/>
      <c r="AD171" s="343"/>
      <c r="AE171" s="343"/>
      <c r="AF171" s="343"/>
      <c r="AG171" s="343"/>
      <c r="AH171" s="343"/>
      <c r="AI171" s="343"/>
      <c r="AJ171" s="401"/>
      <c r="AK171" s="402"/>
      <c r="AL171" s="396"/>
      <c r="AM171" s="396"/>
      <c r="AN171" s="396"/>
      <c r="AO171" s="396"/>
      <c r="AP171" s="396"/>
      <c r="AQ171" s="396"/>
      <c r="AR171" s="396"/>
      <c r="AS171" s="396"/>
      <c r="AT171" s="490"/>
      <c r="AU171" s="387"/>
      <c r="AV171" s="858" t="s">
        <v>16296</v>
      </c>
      <c r="AW171" s="858"/>
      <c r="AX171" s="858"/>
      <c r="AY171" s="860"/>
      <c r="AZ171" s="489">
        <f>ROUND(ROUND(Q168*$AT$112,0)*AV174,0)</f>
        <v>92</v>
      </c>
      <c r="BA171" s="393"/>
    </row>
    <row r="172" spans="1:53" ht="16.5" customHeight="1" x14ac:dyDescent="0.15">
      <c r="A172" s="340">
        <v>12</v>
      </c>
      <c r="B172" s="341">
        <v>7754</v>
      </c>
      <c r="C172" s="390" t="s">
        <v>16757</v>
      </c>
      <c r="D172" s="403"/>
      <c r="E172" s="404"/>
      <c r="F172" s="404"/>
      <c r="G172" s="404"/>
      <c r="H172" s="406"/>
      <c r="Q172" s="899"/>
      <c r="R172" s="899"/>
      <c r="S172" s="899"/>
      <c r="U172" s="387"/>
      <c r="V172" s="343" t="s">
        <v>15625</v>
      </c>
      <c r="W172" s="325"/>
      <c r="X172" s="325"/>
      <c r="Y172" s="325"/>
      <c r="Z172" s="325"/>
      <c r="AA172" s="325"/>
      <c r="AB172" s="325"/>
      <c r="AC172" s="325"/>
      <c r="AD172" s="325"/>
      <c r="AE172" s="325"/>
      <c r="AF172" s="325"/>
      <c r="AG172" s="325"/>
      <c r="AH172" s="325"/>
      <c r="AI172" s="391" t="s">
        <v>15626</v>
      </c>
      <c r="AJ172" s="838">
        <f>AJ170</f>
        <v>1</v>
      </c>
      <c r="AK172" s="839"/>
      <c r="AL172" s="325"/>
      <c r="AM172" s="325"/>
      <c r="AN172" s="325"/>
      <c r="AO172" s="325"/>
      <c r="AP172" s="325"/>
      <c r="AQ172" s="325"/>
      <c r="AR172" s="325"/>
      <c r="AS172" s="391"/>
      <c r="AT172" s="503"/>
      <c r="AU172" s="504"/>
      <c r="AV172" s="850"/>
      <c r="AW172" s="850"/>
      <c r="AX172" s="850"/>
      <c r="AY172" s="852"/>
      <c r="AZ172" s="489">
        <f>ROUND(ROUND(ROUND(Q168*AJ172,0)*$AT$112,0)*AV174,0)</f>
        <v>92</v>
      </c>
      <c r="BA172" s="393"/>
    </row>
    <row r="173" spans="1:53" ht="16.5" customHeight="1" x14ac:dyDescent="0.15">
      <c r="A173" s="340">
        <v>12</v>
      </c>
      <c r="B173" s="341">
        <v>7755</v>
      </c>
      <c r="C173" s="390" t="s">
        <v>16758</v>
      </c>
      <c r="D173" s="403"/>
      <c r="E173" s="404"/>
      <c r="F173" s="404"/>
      <c r="G173" s="404"/>
      <c r="H173" s="406"/>
      <c r="Q173" s="395"/>
      <c r="R173" s="151"/>
      <c r="S173" s="151"/>
      <c r="U173" s="387"/>
      <c r="V173" s="343"/>
      <c r="W173" s="343"/>
      <c r="X173" s="343"/>
      <c r="Y173" s="343"/>
      <c r="Z173" s="343"/>
      <c r="AA173" s="343"/>
      <c r="AB173" s="343"/>
      <c r="AC173" s="343"/>
      <c r="AD173" s="343"/>
      <c r="AE173" s="343"/>
      <c r="AF173" s="343"/>
      <c r="AG173" s="343"/>
      <c r="AH173" s="343"/>
      <c r="AI173" s="343"/>
      <c r="AJ173" s="343"/>
      <c r="AK173" s="343"/>
      <c r="AL173" s="114" t="s">
        <v>15628</v>
      </c>
      <c r="AM173" s="396"/>
      <c r="AN173" s="396"/>
      <c r="AO173" s="396"/>
      <c r="AP173" s="396"/>
      <c r="AQ173" s="396"/>
      <c r="AR173" s="396"/>
      <c r="AS173" s="396"/>
      <c r="AT173" s="490"/>
      <c r="AU173" s="387"/>
      <c r="AV173" s="902" t="s">
        <v>15636</v>
      </c>
      <c r="AW173" s="902"/>
      <c r="AX173" s="902"/>
      <c r="AY173" s="903"/>
      <c r="AZ173" s="489">
        <f>ROUND(ROUND(ROUND(Q168*AR174,0)*$AT$112,0)*AV174,0)</f>
        <v>78</v>
      </c>
      <c r="BA173" s="393"/>
    </row>
    <row r="174" spans="1:53" ht="16.5" customHeight="1" x14ac:dyDescent="0.15">
      <c r="A174" s="340">
        <v>12</v>
      </c>
      <c r="B174" s="341">
        <v>7756</v>
      </c>
      <c r="C174" s="390" t="s">
        <v>16759</v>
      </c>
      <c r="D174" s="403"/>
      <c r="E174" s="404"/>
      <c r="F174" s="404"/>
      <c r="G174" s="404"/>
      <c r="H174" s="406"/>
      <c r="Q174" s="395"/>
      <c r="R174" s="151"/>
      <c r="S174" s="151"/>
      <c r="U174" s="387"/>
      <c r="V174" s="343" t="s">
        <v>15625</v>
      </c>
      <c r="W174" s="325"/>
      <c r="X174" s="325"/>
      <c r="Y174" s="325"/>
      <c r="Z174" s="325"/>
      <c r="AA174" s="325"/>
      <c r="AB174" s="325"/>
      <c r="AC174" s="325"/>
      <c r="AD174" s="325"/>
      <c r="AE174" s="325"/>
      <c r="AF174" s="325"/>
      <c r="AG174" s="325"/>
      <c r="AH174" s="325"/>
      <c r="AI174" s="391" t="s">
        <v>15626</v>
      </c>
      <c r="AJ174" s="838">
        <f>AJ172</f>
        <v>1</v>
      </c>
      <c r="AK174" s="843"/>
      <c r="AL174" s="324" t="s">
        <v>15630</v>
      </c>
      <c r="AM174" s="325"/>
      <c r="AN174" s="325"/>
      <c r="AO174" s="325"/>
      <c r="AP174" s="325"/>
      <c r="AQ174" s="190" t="s">
        <v>398</v>
      </c>
      <c r="AR174" s="844">
        <f>AR170</f>
        <v>0.85</v>
      </c>
      <c r="AS174" s="844"/>
      <c r="AT174" s="501"/>
      <c r="AU174" s="502"/>
      <c r="AV174" s="844">
        <f>AV166</f>
        <v>0.8</v>
      </c>
      <c r="AW174" s="844"/>
      <c r="AX174" s="844"/>
      <c r="AY174" s="845"/>
      <c r="AZ174" s="489">
        <f>ROUND(ROUND(ROUND(ROUND(Q168*AJ174,0)*AR174,0)*$AT$112,0)*AV174,0)</f>
        <v>78</v>
      </c>
      <c r="BA174" s="393"/>
    </row>
    <row r="175" spans="1:53" ht="17.100000000000001" customHeight="1" x14ac:dyDescent="0.15">
      <c r="A175" s="340">
        <v>12</v>
      </c>
      <c r="B175" s="341">
        <v>7757</v>
      </c>
      <c r="C175" s="390" t="s">
        <v>16760</v>
      </c>
      <c r="D175" s="403"/>
      <c r="E175" s="404"/>
      <c r="F175" s="404"/>
      <c r="G175" s="404"/>
      <c r="H175" s="406"/>
      <c r="I175" s="908" t="s">
        <v>16372</v>
      </c>
      <c r="J175" s="909"/>
      <c r="K175" s="909"/>
      <c r="L175" s="909"/>
      <c r="M175" s="909"/>
      <c r="N175" s="909"/>
      <c r="O175" s="909"/>
      <c r="P175" s="909"/>
      <c r="Q175" s="909"/>
      <c r="R175" s="909"/>
      <c r="S175" s="909"/>
      <c r="T175" s="909"/>
      <c r="U175" s="910"/>
      <c r="V175" s="343"/>
      <c r="W175" s="343"/>
      <c r="X175" s="343"/>
      <c r="Y175" s="343"/>
      <c r="Z175" s="343"/>
      <c r="AA175" s="343"/>
      <c r="AB175" s="343"/>
      <c r="AC175" s="343"/>
      <c r="AD175" s="343"/>
      <c r="AE175" s="343"/>
      <c r="AF175" s="343"/>
      <c r="AG175" s="343"/>
      <c r="AH175" s="343"/>
      <c r="AI175" s="343"/>
      <c r="AJ175" s="401"/>
      <c r="AK175" s="402"/>
      <c r="AL175" s="396"/>
      <c r="AM175" s="396"/>
      <c r="AN175" s="396"/>
      <c r="AO175" s="396"/>
      <c r="AP175" s="396"/>
      <c r="AQ175" s="396"/>
      <c r="AR175" s="396"/>
      <c r="AS175" s="396"/>
      <c r="AT175" s="490"/>
      <c r="AU175" s="387"/>
      <c r="AV175" s="400"/>
      <c r="AW175" s="400"/>
      <c r="AX175" s="396"/>
      <c r="AY175" s="397"/>
      <c r="AZ175" s="489">
        <f>ROUND(Q176*$AT$112,0)</f>
        <v>109</v>
      </c>
      <c r="BA175" s="393"/>
    </row>
    <row r="176" spans="1:53" ht="16.5" customHeight="1" x14ac:dyDescent="0.15">
      <c r="A176" s="340">
        <v>12</v>
      </c>
      <c r="B176" s="341">
        <v>7758</v>
      </c>
      <c r="C176" s="390" t="s">
        <v>16761</v>
      </c>
      <c r="D176" s="403"/>
      <c r="E176" s="404"/>
      <c r="F176" s="404"/>
      <c r="G176" s="404"/>
      <c r="H176" s="406"/>
      <c r="Q176" s="836">
        <f>ROUND(Q272*$F$109,0)</f>
        <v>87</v>
      </c>
      <c r="R176" s="911"/>
      <c r="S176" s="911"/>
      <c r="T176" s="152" t="s">
        <v>15624</v>
      </c>
      <c r="U176" s="387"/>
      <c r="V176" s="343" t="s">
        <v>15625</v>
      </c>
      <c r="W176" s="325"/>
      <c r="X176" s="325"/>
      <c r="Y176" s="325"/>
      <c r="Z176" s="325"/>
      <c r="AA176" s="325"/>
      <c r="AB176" s="325"/>
      <c r="AC176" s="325"/>
      <c r="AD176" s="325"/>
      <c r="AE176" s="325"/>
      <c r="AF176" s="325"/>
      <c r="AG176" s="325"/>
      <c r="AH176" s="325"/>
      <c r="AI176" s="391" t="s">
        <v>15626</v>
      </c>
      <c r="AJ176" s="838">
        <f>AJ174</f>
        <v>1</v>
      </c>
      <c r="AK176" s="839"/>
      <c r="AL176" s="325"/>
      <c r="AM176" s="325"/>
      <c r="AN176" s="325"/>
      <c r="AO176" s="325"/>
      <c r="AP176" s="325"/>
      <c r="AQ176" s="325"/>
      <c r="AR176" s="325"/>
      <c r="AS176" s="391"/>
      <c r="AT176" s="503"/>
      <c r="AU176" s="504"/>
      <c r="AY176" s="387"/>
      <c r="AZ176" s="489">
        <f>ROUND(ROUND(Q176*AJ176,0)*$AT$112,0)</f>
        <v>109</v>
      </c>
      <c r="BA176" s="393"/>
    </row>
    <row r="177" spans="1:53" ht="16.5" customHeight="1" x14ac:dyDescent="0.15">
      <c r="A177" s="340">
        <v>12</v>
      </c>
      <c r="B177" s="341">
        <v>7759</v>
      </c>
      <c r="C177" s="390" t="s">
        <v>16762</v>
      </c>
      <c r="D177" s="403"/>
      <c r="E177" s="404"/>
      <c r="F177" s="404"/>
      <c r="G177" s="404"/>
      <c r="H177" s="406"/>
      <c r="Q177" s="395"/>
      <c r="R177" s="151"/>
      <c r="S177" s="151"/>
      <c r="U177" s="387"/>
      <c r="V177" s="343"/>
      <c r="W177" s="343"/>
      <c r="X177" s="343"/>
      <c r="Y177" s="343"/>
      <c r="Z177" s="343"/>
      <c r="AA177" s="343"/>
      <c r="AB177" s="343"/>
      <c r="AC177" s="343"/>
      <c r="AD177" s="343"/>
      <c r="AE177" s="343"/>
      <c r="AF177" s="343"/>
      <c r="AG177" s="343"/>
      <c r="AH177" s="343"/>
      <c r="AI177" s="343"/>
      <c r="AJ177" s="343"/>
      <c r="AK177" s="343"/>
      <c r="AL177" s="114" t="s">
        <v>15628</v>
      </c>
      <c r="AM177" s="396"/>
      <c r="AN177" s="396"/>
      <c r="AO177" s="396"/>
      <c r="AP177" s="396"/>
      <c r="AQ177" s="396"/>
      <c r="AR177" s="396"/>
      <c r="AS177" s="396"/>
      <c r="AT177" s="490"/>
      <c r="AU177" s="387"/>
      <c r="AY177" s="387"/>
      <c r="AZ177" s="489">
        <f>ROUND(ROUND(Q176*AR178,0)*$AT$112,0)</f>
        <v>93</v>
      </c>
      <c r="BA177" s="393"/>
    </row>
    <row r="178" spans="1:53" ht="16.5" customHeight="1" x14ac:dyDescent="0.15">
      <c r="A178" s="340">
        <v>12</v>
      </c>
      <c r="B178" s="341">
        <v>7760</v>
      </c>
      <c r="C178" s="390" t="s">
        <v>16763</v>
      </c>
      <c r="D178" s="403"/>
      <c r="E178" s="404"/>
      <c r="F178" s="404"/>
      <c r="G178" s="404"/>
      <c r="H178" s="406"/>
      <c r="Q178" s="395"/>
      <c r="R178" s="151"/>
      <c r="S178" s="151"/>
      <c r="U178" s="387"/>
      <c r="V178" s="343" t="s">
        <v>15625</v>
      </c>
      <c r="W178" s="325"/>
      <c r="X178" s="325"/>
      <c r="Y178" s="325"/>
      <c r="Z178" s="325"/>
      <c r="AA178" s="325"/>
      <c r="AB178" s="325"/>
      <c r="AC178" s="325"/>
      <c r="AD178" s="325"/>
      <c r="AE178" s="325"/>
      <c r="AF178" s="325"/>
      <c r="AG178" s="325"/>
      <c r="AH178" s="325"/>
      <c r="AI178" s="391" t="s">
        <v>15626</v>
      </c>
      <c r="AJ178" s="838">
        <f>AJ176</f>
        <v>1</v>
      </c>
      <c r="AK178" s="843"/>
      <c r="AL178" s="324" t="s">
        <v>15630</v>
      </c>
      <c r="AM178" s="325"/>
      <c r="AN178" s="325"/>
      <c r="AO178" s="325"/>
      <c r="AP178" s="325"/>
      <c r="AQ178" s="190" t="s">
        <v>398</v>
      </c>
      <c r="AR178" s="844">
        <f>AR174</f>
        <v>0.85</v>
      </c>
      <c r="AS178" s="844"/>
      <c r="AT178" s="501"/>
      <c r="AU178" s="502"/>
      <c r="AY178" s="387"/>
      <c r="AZ178" s="489">
        <f>ROUND(ROUND(ROUND(Q176*AJ178,0)*AR178,0)*$AT$112,0)</f>
        <v>93</v>
      </c>
      <c r="BA178" s="393"/>
    </row>
    <row r="179" spans="1:53" ht="17.100000000000001" customHeight="1" x14ac:dyDescent="0.15">
      <c r="A179" s="340">
        <v>12</v>
      </c>
      <c r="B179" s="341">
        <v>7761</v>
      </c>
      <c r="C179" s="390" t="s">
        <v>16764</v>
      </c>
      <c r="D179" s="403"/>
      <c r="E179" s="404"/>
      <c r="F179" s="404"/>
      <c r="G179" s="404"/>
      <c r="H179" s="406"/>
      <c r="I179" s="10"/>
      <c r="L179" s="151"/>
      <c r="M179" s="151"/>
      <c r="N179" s="151"/>
      <c r="U179" s="387"/>
      <c r="V179" s="343"/>
      <c r="W179" s="343"/>
      <c r="X179" s="343"/>
      <c r="Y179" s="343"/>
      <c r="Z179" s="343"/>
      <c r="AA179" s="343"/>
      <c r="AB179" s="343"/>
      <c r="AC179" s="343"/>
      <c r="AD179" s="343"/>
      <c r="AE179" s="343"/>
      <c r="AF179" s="343"/>
      <c r="AG179" s="343"/>
      <c r="AH179" s="343"/>
      <c r="AI179" s="343"/>
      <c r="AJ179" s="401"/>
      <c r="AK179" s="402"/>
      <c r="AL179" s="396"/>
      <c r="AM179" s="396"/>
      <c r="AN179" s="396"/>
      <c r="AO179" s="396"/>
      <c r="AP179" s="396"/>
      <c r="AQ179" s="396"/>
      <c r="AR179" s="396"/>
      <c r="AS179" s="396"/>
      <c r="AT179" s="490"/>
      <c r="AU179" s="387"/>
      <c r="AV179" s="858" t="s">
        <v>16296</v>
      </c>
      <c r="AW179" s="858"/>
      <c r="AX179" s="858"/>
      <c r="AY179" s="860"/>
      <c r="AZ179" s="489">
        <f>ROUND(ROUND(Q176*$AT$112,0)*AV182,0)</f>
        <v>87</v>
      </c>
      <c r="BA179" s="393"/>
    </row>
    <row r="180" spans="1:53" ht="16.5" customHeight="1" x14ac:dyDescent="0.15">
      <c r="A180" s="340">
        <v>12</v>
      </c>
      <c r="B180" s="341">
        <v>7762</v>
      </c>
      <c r="C180" s="390" t="s">
        <v>16765</v>
      </c>
      <c r="D180" s="403"/>
      <c r="E180" s="404"/>
      <c r="F180" s="404"/>
      <c r="G180" s="404"/>
      <c r="H180" s="406"/>
      <c r="Q180" s="899"/>
      <c r="R180" s="899"/>
      <c r="S180" s="899"/>
      <c r="U180" s="387"/>
      <c r="V180" s="343" t="s">
        <v>15625</v>
      </c>
      <c r="W180" s="325"/>
      <c r="X180" s="325"/>
      <c r="Y180" s="325"/>
      <c r="Z180" s="325"/>
      <c r="AA180" s="325"/>
      <c r="AB180" s="325"/>
      <c r="AC180" s="325"/>
      <c r="AD180" s="325"/>
      <c r="AE180" s="325"/>
      <c r="AF180" s="325"/>
      <c r="AG180" s="325"/>
      <c r="AH180" s="325"/>
      <c r="AI180" s="391" t="s">
        <v>15626</v>
      </c>
      <c r="AJ180" s="838">
        <f>AJ178</f>
        <v>1</v>
      </c>
      <c r="AK180" s="839"/>
      <c r="AL180" s="325"/>
      <c r="AM180" s="325"/>
      <c r="AN180" s="325"/>
      <c r="AO180" s="325"/>
      <c r="AP180" s="325"/>
      <c r="AQ180" s="325"/>
      <c r="AR180" s="325"/>
      <c r="AS180" s="391"/>
      <c r="AT180" s="503"/>
      <c r="AU180" s="504"/>
      <c r="AV180" s="850"/>
      <c r="AW180" s="850"/>
      <c r="AX180" s="850"/>
      <c r="AY180" s="852"/>
      <c r="AZ180" s="489">
        <f>ROUND(ROUND(ROUND(Q176*AJ180,0)*$AT$112,0)*AV182,0)</f>
        <v>87</v>
      </c>
      <c r="BA180" s="393"/>
    </row>
    <row r="181" spans="1:53" ht="16.5" customHeight="1" x14ac:dyDescent="0.15">
      <c r="A181" s="340">
        <v>12</v>
      </c>
      <c r="B181" s="341">
        <v>7763</v>
      </c>
      <c r="C181" s="390" t="s">
        <v>16766</v>
      </c>
      <c r="D181" s="403"/>
      <c r="E181" s="404"/>
      <c r="F181" s="404"/>
      <c r="G181" s="404"/>
      <c r="H181" s="406"/>
      <c r="Q181" s="395"/>
      <c r="R181" s="151"/>
      <c r="S181" s="151"/>
      <c r="U181" s="387"/>
      <c r="V181" s="343"/>
      <c r="W181" s="343"/>
      <c r="X181" s="343"/>
      <c r="Y181" s="343"/>
      <c r="Z181" s="343"/>
      <c r="AA181" s="343"/>
      <c r="AB181" s="343"/>
      <c r="AC181" s="343"/>
      <c r="AD181" s="343"/>
      <c r="AE181" s="343"/>
      <c r="AF181" s="343"/>
      <c r="AG181" s="343"/>
      <c r="AH181" s="343"/>
      <c r="AI181" s="343"/>
      <c r="AJ181" s="343"/>
      <c r="AK181" s="343"/>
      <c r="AL181" s="114" t="s">
        <v>15628</v>
      </c>
      <c r="AM181" s="396"/>
      <c r="AN181" s="396"/>
      <c r="AO181" s="396"/>
      <c r="AP181" s="396"/>
      <c r="AQ181" s="396"/>
      <c r="AR181" s="396"/>
      <c r="AS181" s="396"/>
      <c r="AT181" s="490"/>
      <c r="AU181" s="387"/>
      <c r="AV181" s="902" t="s">
        <v>15636</v>
      </c>
      <c r="AW181" s="902"/>
      <c r="AX181" s="902"/>
      <c r="AY181" s="903"/>
      <c r="AZ181" s="489">
        <f>ROUND(ROUND(ROUND(Q176*AR182,0)*$AT$112,0)*AV182,0)</f>
        <v>74</v>
      </c>
      <c r="BA181" s="393"/>
    </row>
    <row r="182" spans="1:53" ht="16.5" customHeight="1" x14ac:dyDescent="0.15">
      <c r="A182" s="340">
        <v>12</v>
      </c>
      <c r="B182" s="341">
        <v>7764</v>
      </c>
      <c r="C182" s="390" t="s">
        <v>16767</v>
      </c>
      <c r="D182" s="419"/>
      <c r="E182" s="420"/>
      <c r="F182" s="420"/>
      <c r="G182" s="420"/>
      <c r="H182" s="422"/>
      <c r="I182" s="325"/>
      <c r="J182" s="325"/>
      <c r="K182" s="325"/>
      <c r="L182" s="325"/>
      <c r="M182" s="325"/>
      <c r="N182" s="325"/>
      <c r="O182" s="325"/>
      <c r="P182" s="325"/>
      <c r="Q182" s="416"/>
      <c r="R182" s="417"/>
      <c r="S182" s="417"/>
      <c r="T182" s="325"/>
      <c r="U182" s="388"/>
      <c r="V182" s="343" t="s">
        <v>15625</v>
      </c>
      <c r="W182" s="325"/>
      <c r="X182" s="325"/>
      <c r="Y182" s="325"/>
      <c r="Z182" s="325"/>
      <c r="AA182" s="325"/>
      <c r="AB182" s="325"/>
      <c r="AC182" s="325"/>
      <c r="AD182" s="325"/>
      <c r="AE182" s="325"/>
      <c r="AF182" s="325"/>
      <c r="AG182" s="325"/>
      <c r="AH182" s="325"/>
      <c r="AI182" s="391" t="s">
        <v>15626</v>
      </c>
      <c r="AJ182" s="838">
        <f>AJ180</f>
        <v>1</v>
      </c>
      <c r="AK182" s="843"/>
      <c r="AL182" s="324" t="s">
        <v>15630</v>
      </c>
      <c r="AM182" s="325"/>
      <c r="AN182" s="325"/>
      <c r="AO182" s="325"/>
      <c r="AP182" s="325"/>
      <c r="AQ182" s="190" t="s">
        <v>398</v>
      </c>
      <c r="AR182" s="844">
        <f>AR178</f>
        <v>0.85</v>
      </c>
      <c r="AS182" s="844"/>
      <c r="AT182" s="505"/>
      <c r="AU182" s="506"/>
      <c r="AV182" s="844">
        <f>AV174</f>
        <v>0.8</v>
      </c>
      <c r="AW182" s="844"/>
      <c r="AX182" s="844"/>
      <c r="AY182" s="845"/>
      <c r="AZ182" s="491">
        <f>ROUND(ROUND(ROUND(ROUND(Q176*AJ182,0)*AR182,0)*$AT$112,0)*AV182,0)</f>
        <v>74</v>
      </c>
      <c r="BA182" s="418"/>
    </row>
    <row r="183" spans="1:53" ht="17.100000000000001" customHeight="1" x14ac:dyDescent="0.15">
      <c r="A183" s="321">
        <v>12</v>
      </c>
      <c r="B183" s="322">
        <v>7765</v>
      </c>
      <c r="C183" s="386" t="s">
        <v>16768</v>
      </c>
      <c r="D183" s="849" t="s">
        <v>15689</v>
      </c>
      <c r="E183" s="850"/>
      <c r="F183" s="850"/>
      <c r="G183" s="850"/>
      <c r="H183" s="852"/>
      <c r="I183" s="908" t="s">
        <v>16381</v>
      </c>
      <c r="J183" s="909"/>
      <c r="K183" s="909"/>
      <c r="L183" s="909"/>
      <c r="M183" s="909"/>
      <c r="N183" s="909"/>
      <c r="O183" s="909"/>
      <c r="P183" s="909"/>
      <c r="Q183" s="909"/>
      <c r="R183" s="909"/>
      <c r="S183" s="909"/>
      <c r="T183" s="909"/>
      <c r="U183" s="910"/>
      <c r="V183" s="325"/>
      <c r="W183" s="325"/>
      <c r="X183" s="325"/>
      <c r="Y183" s="325"/>
      <c r="Z183" s="325"/>
      <c r="AA183" s="325"/>
      <c r="AB183" s="325"/>
      <c r="AC183" s="325"/>
      <c r="AD183" s="325"/>
      <c r="AE183" s="325"/>
      <c r="AF183" s="325"/>
      <c r="AG183" s="325"/>
      <c r="AH183" s="325"/>
      <c r="AI183" s="325"/>
      <c r="AJ183" s="401"/>
      <c r="AK183" s="402"/>
      <c r="AQ183" s="152"/>
      <c r="AR183" s="152"/>
      <c r="AS183" s="152"/>
      <c r="AT183" s="916" t="s">
        <v>16592</v>
      </c>
      <c r="AU183" s="917"/>
      <c r="AV183" s="151"/>
      <c r="AW183" s="151"/>
      <c r="AY183" s="387"/>
      <c r="AZ183" s="489">
        <f>ROUND(Q184*$AT$192,0)</f>
        <v>116</v>
      </c>
      <c r="BA183" s="339" t="s">
        <v>15622</v>
      </c>
    </row>
    <row r="184" spans="1:53" ht="16.5" customHeight="1" x14ac:dyDescent="0.15">
      <c r="A184" s="340">
        <v>12</v>
      </c>
      <c r="B184" s="341">
        <v>7766</v>
      </c>
      <c r="C184" s="390" t="s">
        <v>16769</v>
      </c>
      <c r="D184" s="849"/>
      <c r="E184" s="850"/>
      <c r="F184" s="850"/>
      <c r="G184" s="850"/>
      <c r="H184" s="852"/>
      <c r="Q184" s="836">
        <f>ROUND(Q280*$F$189,0)</f>
        <v>93</v>
      </c>
      <c r="R184" s="911"/>
      <c r="S184" s="911"/>
      <c r="T184" s="152" t="s">
        <v>15624</v>
      </c>
      <c r="U184" s="387"/>
      <c r="V184" s="343" t="s">
        <v>15625</v>
      </c>
      <c r="W184" s="325"/>
      <c r="X184" s="325"/>
      <c r="Y184" s="325"/>
      <c r="Z184" s="325"/>
      <c r="AA184" s="325"/>
      <c r="AB184" s="325"/>
      <c r="AC184" s="325"/>
      <c r="AD184" s="325"/>
      <c r="AE184" s="325"/>
      <c r="AF184" s="325"/>
      <c r="AG184" s="325"/>
      <c r="AH184" s="325"/>
      <c r="AI184" s="391" t="s">
        <v>15626</v>
      </c>
      <c r="AJ184" s="838">
        <f>AJ182</f>
        <v>1</v>
      </c>
      <c r="AK184" s="839"/>
      <c r="AL184" s="325"/>
      <c r="AM184" s="325"/>
      <c r="AN184" s="325"/>
      <c r="AO184" s="325"/>
      <c r="AP184" s="325"/>
      <c r="AQ184" s="325"/>
      <c r="AR184" s="325"/>
      <c r="AS184" s="391"/>
      <c r="AT184" s="912"/>
      <c r="AU184" s="913"/>
      <c r="AY184" s="387"/>
      <c r="AZ184" s="489">
        <f>ROUND(ROUND(Q184*AJ184,0)*$AT$192,0)</f>
        <v>116</v>
      </c>
      <c r="BA184" s="393"/>
    </row>
    <row r="185" spans="1:53" ht="16.5" customHeight="1" x14ac:dyDescent="0.15">
      <c r="A185" s="340">
        <v>12</v>
      </c>
      <c r="B185" s="341">
        <v>7767</v>
      </c>
      <c r="C185" s="390" t="s">
        <v>16770</v>
      </c>
      <c r="D185" s="849"/>
      <c r="E185" s="850"/>
      <c r="F185" s="850"/>
      <c r="G185" s="850"/>
      <c r="H185" s="852"/>
      <c r="Q185" s="395"/>
      <c r="R185" s="151"/>
      <c r="S185" s="151"/>
      <c r="U185" s="387"/>
      <c r="V185" s="343"/>
      <c r="W185" s="343"/>
      <c r="X185" s="343"/>
      <c r="Y185" s="343"/>
      <c r="Z185" s="343"/>
      <c r="AA185" s="343"/>
      <c r="AB185" s="343"/>
      <c r="AC185" s="343"/>
      <c r="AD185" s="343"/>
      <c r="AE185" s="343"/>
      <c r="AF185" s="343"/>
      <c r="AG185" s="343"/>
      <c r="AH185" s="343"/>
      <c r="AI185" s="343"/>
      <c r="AJ185" s="343"/>
      <c r="AK185" s="343"/>
      <c r="AL185" s="114" t="s">
        <v>15628</v>
      </c>
      <c r="AM185" s="396"/>
      <c r="AN185" s="396"/>
      <c r="AO185" s="396"/>
      <c r="AP185" s="396"/>
      <c r="AQ185" s="396"/>
      <c r="AR185" s="396"/>
      <c r="AS185" s="396"/>
      <c r="AT185" s="912"/>
      <c r="AU185" s="913"/>
      <c r="AY185" s="387"/>
      <c r="AZ185" s="489">
        <f>ROUND(ROUND(Q184*AR186,0)*$AT$192,0)</f>
        <v>99</v>
      </c>
      <c r="BA185" s="393"/>
    </row>
    <row r="186" spans="1:53" ht="16.5" customHeight="1" x14ac:dyDescent="0.15">
      <c r="A186" s="340">
        <v>12</v>
      </c>
      <c r="B186" s="341">
        <v>7768</v>
      </c>
      <c r="C186" s="390" t="s">
        <v>16771</v>
      </c>
      <c r="D186" s="849"/>
      <c r="E186" s="850"/>
      <c r="F186" s="850"/>
      <c r="G186" s="850"/>
      <c r="H186" s="852"/>
      <c r="Q186" s="395"/>
      <c r="R186" s="151"/>
      <c r="S186" s="151"/>
      <c r="U186" s="387"/>
      <c r="V186" s="343" t="s">
        <v>15625</v>
      </c>
      <c r="W186" s="325"/>
      <c r="X186" s="325"/>
      <c r="Y186" s="325"/>
      <c r="Z186" s="325"/>
      <c r="AA186" s="325"/>
      <c r="AB186" s="325"/>
      <c r="AC186" s="325"/>
      <c r="AD186" s="325"/>
      <c r="AE186" s="325"/>
      <c r="AF186" s="325"/>
      <c r="AG186" s="325"/>
      <c r="AH186" s="325"/>
      <c r="AI186" s="391" t="s">
        <v>15626</v>
      </c>
      <c r="AJ186" s="838">
        <f>AJ184</f>
        <v>1</v>
      </c>
      <c r="AK186" s="843"/>
      <c r="AL186" s="324" t="s">
        <v>15630</v>
      </c>
      <c r="AM186" s="325"/>
      <c r="AN186" s="325"/>
      <c r="AO186" s="325"/>
      <c r="AP186" s="325"/>
      <c r="AQ186" s="190" t="s">
        <v>398</v>
      </c>
      <c r="AR186" s="844">
        <f>AR182</f>
        <v>0.85</v>
      </c>
      <c r="AS186" s="844"/>
      <c r="AT186" s="912"/>
      <c r="AU186" s="913"/>
      <c r="AY186" s="387"/>
      <c r="AZ186" s="489">
        <f>ROUND(ROUND(ROUND(Q184*AJ186,0)*AR186,0)*$AT$192,0)</f>
        <v>99</v>
      </c>
      <c r="BA186" s="393"/>
    </row>
    <row r="187" spans="1:53" ht="17.100000000000001" customHeight="1" x14ac:dyDescent="0.15">
      <c r="A187" s="340">
        <v>12</v>
      </c>
      <c r="B187" s="341">
        <v>7769</v>
      </c>
      <c r="C187" s="390" t="s">
        <v>16772</v>
      </c>
      <c r="D187" s="832" t="s">
        <v>15632</v>
      </c>
      <c r="E187" s="833"/>
      <c r="F187" s="833"/>
      <c r="G187" s="833"/>
      <c r="H187" s="835"/>
      <c r="I187" s="10"/>
      <c r="L187" s="151"/>
      <c r="M187" s="151"/>
      <c r="N187" s="151"/>
      <c r="U187" s="387"/>
      <c r="V187" s="343"/>
      <c r="W187" s="343"/>
      <c r="X187" s="343"/>
      <c r="Y187" s="343"/>
      <c r="Z187" s="343"/>
      <c r="AA187" s="343"/>
      <c r="AB187" s="343"/>
      <c r="AC187" s="343"/>
      <c r="AD187" s="343"/>
      <c r="AE187" s="343"/>
      <c r="AF187" s="343"/>
      <c r="AG187" s="343"/>
      <c r="AH187" s="343"/>
      <c r="AI187" s="343"/>
      <c r="AJ187" s="401"/>
      <c r="AK187" s="402"/>
      <c r="AL187" s="396"/>
      <c r="AM187" s="396"/>
      <c r="AN187" s="396"/>
      <c r="AO187" s="396"/>
      <c r="AP187" s="396"/>
      <c r="AQ187" s="396"/>
      <c r="AR187" s="396"/>
      <c r="AS187" s="396"/>
      <c r="AT187" s="912"/>
      <c r="AU187" s="913"/>
      <c r="AV187" s="858" t="s">
        <v>16296</v>
      </c>
      <c r="AW187" s="858"/>
      <c r="AX187" s="858"/>
      <c r="AY187" s="860"/>
      <c r="AZ187" s="489">
        <f>ROUND(ROUND(Q184*$AT$192,0)*AV190,0)</f>
        <v>93</v>
      </c>
      <c r="BA187" s="393"/>
    </row>
    <row r="188" spans="1:53" ht="16.5" customHeight="1" x14ac:dyDescent="0.15">
      <c r="A188" s="340">
        <v>12</v>
      </c>
      <c r="B188" s="341">
        <v>7770</v>
      </c>
      <c r="C188" s="390" t="s">
        <v>16773</v>
      </c>
      <c r="D188" s="832"/>
      <c r="E188" s="833"/>
      <c r="F188" s="833"/>
      <c r="G188" s="833"/>
      <c r="H188" s="835"/>
      <c r="Q188" s="899"/>
      <c r="R188" s="899"/>
      <c r="S188" s="899"/>
      <c r="U188" s="387"/>
      <c r="V188" s="343" t="s">
        <v>15625</v>
      </c>
      <c r="W188" s="325"/>
      <c r="X188" s="325"/>
      <c r="Y188" s="325"/>
      <c r="Z188" s="325"/>
      <c r="AA188" s="325"/>
      <c r="AB188" s="325"/>
      <c r="AC188" s="325"/>
      <c r="AD188" s="325"/>
      <c r="AE188" s="325"/>
      <c r="AF188" s="325"/>
      <c r="AG188" s="325"/>
      <c r="AH188" s="325"/>
      <c r="AI188" s="391" t="s">
        <v>15626</v>
      </c>
      <c r="AJ188" s="838">
        <f>AJ186</f>
        <v>1</v>
      </c>
      <c r="AK188" s="839"/>
      <c r="AL188" s="325"/>
      <c r="AM188" s="325"/>
      <c r="AN188" s="325"/>
      <c r="AO188" s="325"/>
      <c r="AP188" s="325"/>
      <c r="AQ188" s="325"/>
      <c r="AR188" s="325"/>
      <c r="AS188" s="391"/>
      <c r="AT188" s="912"/>
      <c r="AU188" s="913"/>
      <c r="AV188" s="850"/>
      <c r="AW188" s="850"/>
      <c r="AX188" s="850"/>
      <c r="AY188" s="852"/>
      <c r="AZ188" s="489">
        <f>ROUND(ROUND(ROUND(Q184*AJ188,0)*$AT$192,0)*AV190,0)</f>
        <v>93</v>
      </c>
      <c r="BA188" s="393"/>
    </row>
    <row r="189" spans="1:53" ht="16.5" customHeight="1" x14ac:dyDescent="0.15">
      <c r="A189" s="340">
        <v>12</v>
      </c>
      <c r="B189" s="341">
        <v>7771</v>
      </c>
      <c r="C189" s="390" t="s">
        <v>16774</v>
      </c>
      <c r="D189" s="403"/>
      <c r="E189" s="404" t="s">
        <v>15636</v>
      </c>
      <c r="F189" s="854">
        <f>F109</f>
        <v>1.085</v>
      </c>
      <c r="G189" s="855"/>
      <c r="H189" s="856"/>
      <c r="Q189" s="395"/>
      <c r="R189" s="151"/>
      <c r="S189" s="151"/>
      <c r="U189" s="387"/>
      <c r="V189" s="343"/>
      <c r="W189" s="343"/>
      <c r="X189" s="343"/>
      <c r="Y189" s="343"/>
      <c r="Z189" s="343"/>
      <c r="AA189" s="343"/>
      <c r="AB189" s="343"/>
      <c r="AC189" s="343"/>
      <c r="AD189" s="343"/>
      <c r="AE189" s="343"/>
      <c r="AF189" s="343"/>
      <c r="AG189" s="343"/>
      <c r="AH189" s="343"/>
      <c r="AI189" s="343"/>
      <c r="AJ189" s="343"/>
      <c r="AK189" s="343"/>
      <c r="AL189" s="114" t="s">
        <v>15628</v>
      </c>
      <c r="AM189" s="396"/>
      <c r="AN189" s="396"/>
      <c r="AO189" s="396"/>
      <c r="AP189" s="396"/>
      <c r="AQ189" s="396"/>
      <c r="AR189" s="396"/>
      <c r="AS189" s="396"/>
      <c r="AT189" s="912"/>
      <c r="AU189" s="913"/>
      <c r="AV189" s="902" t="s">
        <v>15636</v>
      </c>
      <c r="AW189" s="902"/>
      <c r="AX189" s="902"/>
      <c r="AY189" s="903"/>
      <c r="AZ189" s="489">
        <f>ROUND(ROUND(ROUND(Q184*AR190,0)*$AT$192,0)*AV190,0)</f>
        <v>79</v>
      </c>
      <c r="BA189" s="393"/>
    </row>
    <row r="190" spans="1:53" ht="16.5" customHeight="1" x14ac:dyDescent="0.15">
      <c r="A190" s="340">
        <v>12</v>
      </c>
      <c r="B190" s="341">
        <v>7772</v>
      </c>
      <c r="C190" s="390" t="s">
        <v>16775</v>
      </c>
      <c r="D190" s="403"/>
      <c r="E190" s="404"/>
      <c r="F190" s="404"/>
      <c r="G190" s="404"/>
      <c r="H190" s="406"/>
      <c r="Q190" s="395"/>
      <c r="R190" s="151"/>
      <c r="S190" s="151"/>
      <c r="U190" s="387"/>
      <c r="V190" s="343" t="s">
        <v>15625</v>
      </c>
      <c r="W190" s="325"/>
      <c r="X190" s="325"/>
      <c r="Y190" s="325"/>
      <c r="Z190" s="325"/>
      <c r="AA190" s="325"/>
      <c r="AB190" s="325"/>
      <c r="AC190" s="325"/>
      <c r="AD190" s="325"/>
      <c r="AE190" s="325"/>
      <c r="AF190" s="325"/>
      <c r="AG190" s="325"/>
      <c r="AH190" s="325"/>
      <c r="AI190" s="391" t="s">
        <v>15626</v>
      </c>
      <c r="AJ190" s="838">
        <f>AJ188</f>
        <v>1</v>
      </c>
      <c r="AK190" s="843"/>
      <c r="AL190" s="324" t="s">
        <v>15630</v>
      </c>
      <c r="AM190" s="325"/>
      <c r="AN190" s="325"/>
      <c r="AO190" s="325"/>
      <c r="AP190" s="325"/>
      <c r="AQ190" s="190" t="s">
        <v>398</v>
      </c>
      <c r="AR190" s="844">
        <f>AR186</f>
        <v>0.85</v>
      </c>
      <c r="AS190" s="844"/>
      <c r="AT190" s="912"/>
      <c r="AU190" s="913"/>
      <c r="AV190" s="844">
        <f>AV182</f>
        <v>0.8</v>
      </c>
      <c r="AW190" s="844"/>
      <c r="AX190" s="844"/>
      <c r="AY190" s="845"/>
      <c r="AZ190" s="489">
        <f>ROUND(ROUND(ROUND(ROUND(Q184*AJ190,0)*AR190,0)*$AT$192,0)*AV190,0)</f>
        <v>79</v>
      </c>
      <c r="BA190" s="393"/>
    </row>
    <row r="191" spans="1:53" ht="17.100000000000001" customHeight="1" x14ac:dyDescent="0.15">
      <c r="A191" s="340">
        <v>12</v>
      </c>
      <c r="B191" s="341">
        <v>7773</v>
      </c>
      <c r="C191" s="390" t="s">
        <v>16776</v>
      </c>
      <c r="D191" s="403"/>
      <c r="E191" s="404"/>
      <c r="F191" s="404"/>
      <c r="G191" s="404"/>
      <c r="H191" s="406"/>
      <c r="I191" s="908" t="s">
        <v>16390</v>
      </c>
      <c r="J191" s="909"/>
      <c r="K191" s="909"/>
      <c r="L191" s="909"/>
      <c r="M191" s="909"/>
      <c r="N191" s="909"/>
      <c r="O191" s="909"/>
      <c r="P191" s="909"/>
      <c r="Q191" s="909"/>
      <c r="R191" s="909"/>
      <c r="S191" s="909"/>
      <c r="T191" s="909"/>
      <c r="U191" s="910"/>
      <c r="V191" s="343"/>
      <c r="W191" s="343"/>
      <c r="X191" s="343"/>
      <c r="Y191" s="343"/>
      <c r="Z191" s="343"/>
      <c r="AA191" s="343"/>
      <c r="AB191" s="343"/>
      <c r="AC191" s="343"/>
      <c r="AD191" s="343"/>
      <c r="AE191" s="343"/>
      <c r="AF191" s="343"/>
      <c r="AG191" s="343"/>
      <c r="AH191" s="343"/>
      <c r="AI191" s="343"/>
      <c r="AJ191" s="401"/>
      <c r="AK191" s="402"/>
      <c r="AL191" s="396"/>
      <c r="AM191" s="396"/>
      <c r="AN191" s="396"/>
      <c r="AO191" s="396"/>
      <c r="AP191" s="396"/>
      <c r="AQ191" s="396"/>
      <c r="AR191" s="396"/>
      <c r="AS191" s="396"/>
      <c r="AT191" s="912" t="s">
        <v>15636</v>
      </c>
      <c r="AU191" s="913"/>
      <c r="AV191" s="400"/>
      <c r="AW191" s="400"/>
      <c r="AX191" s="396"/>
      <c r="AY191" s="397"/>
      <c r="AZ191" s="489">
        <f>ROUND(Q192*$AT$192,0)</f>
        <v>109</v>
      </c>
      <c r="BA191" s="393"/>
    </row>
    <row r="192" spans="1:53" ht="16.5" customHeight="1" x14ac:dyDescent="0.15">
      <c r="A192" s="340">
        <v>12</v>
      </c>
      <c r="B192" s="341">
        <v>7774</v>
      </c>
      <c r="C192" s="390" t="s">
        <v>16777</v>
      </c>
      <c r="D192" s="403"/>
      <c r="E192" s="404"/>
      <c r="F192" s="404"/>
      <c r="G192" s="404"/>
      <c r="H192" s="406"/>
      <c r="Q192" s="836">
        <f>ROUND(Q288*$F$189,0)</f>
        <v>87</v>
      </c>
      <c r="R192" s="911"/>
      <c r="S192" s="911"/>
      <c r="T192" s="152" t="s">
        <v>15624</v>
      </c>
      <c r="U192" s="387"/>
      <c r="V192" s="343" t="s">
        <v>15625</v>
      </c>
      <c r="W192" s="325"/>
      <c r="X192" s="325"/>
      <c r="Y192" s="325"/>
      <c r="Z192" s="325"/>
      <c r="AA192" s="325"/>
      <c r="AB192" s="325"/>
      <c r="AC192" s="325"/>
      <c r="AD192" s="325"/>
      <c r="AE192" s="325"/>
      <c r="AF192" s="325"/>
      <c r="AG192" s="325"/>
      <c r="AH192" s="325"/>
      <c r="AI192" s="391" t="s">
        <v>15626</v>
      </c>
      <c r="AJ192" s="838">
        <f>AJ190</f>
        <v>1</v>
      </c>
      <c r="AK192" s="839"/>
      <c r="AL192" s="325"/>
      <c r="AM192" s="325"/>
      <c r="AN192" s="325"/>
      <c r="AO192" s="325"/>
      <c r="AP192" s="325"/>
      <c r="AQ192" s="325"/>
      <c r="AR192" s="325"/>
      <c r="AS192" s="391"/>
      <c r="AT192" s="914">
        <f>AT112</f>
        <v>1.25</v>
      </c>
      <c r="AU192" s="915"/>
      <c r="AY192" s="387"/>
      <c r="AZ192" s="489">
        <f>ROUND(ROUND(Q192*AJ192,0)*$AT$192,0)</f>
        <v>109</v>
      </c>
      <c r="BA192" s="393"/>
    </row>
    <row r="193" spans="1:53" ht="16.5" customHeight="1" x14ac:dyDescent="0.15">
      <c r="A193" s="340">
        <v>12</v>
      </c>
      <c r="B193" s="341">
        <v>7775</v>
      </c>
      <c r="C193" s="390" t="s">
        <v>16778</v>
      </c>
      <c r="D193" s="408"/>
      <c r="E193" s="409"/>
      <c r="F193" s="409"/>
      <c r="G193" s="409"/>
      <c r="H193" s="411"/>
      <c r="Q193" s="395"/>
      <c r="R193" s="151"/>
      <c r="S193" s="151"/>
      <c r="U193" s="387"/>
      <c r="V193" s="343"/>
      <c r="W193" s="343"/>
      <c r="X193" s="343"/>
      <c r="Y193" s="343"/>
      <c r="Z193" s="343"/>
      <c r="AA193" s="343"/>
      <c r="AB193" s="343"/>
      <c r="AC193" s="343"/>
      <c r="AD193" s="343"/>
      <c r="AE193" s="343"/>
      <c r="AF193" s="343"/>
      <c r="AG193" s="343"/>
      <c r="AH193" s="343"/>
      <c r="AI193" s="343"/>
      <c r="AJ193" s="343"/>
      <c r="AK193" s="343"/>
      <c r="AL193" s="114" t="s">
        <v>15628</v>
      </c>
      <c r="AM193" s="396"/>
      <c r="AN193" s="396"/>
      <c r="AO193" s="396"/>
      <c r="AP193" s="396"/>
      <c r="AQ193" s="396"/>
      <c r="AR193" s="396"/>
      <c r="AS193" s="396"/>
      <c r="AT193" s="490"/>
      <c r="AU193" s="387"/>
      <c r="AY193" s="387"/>
      <c r="AZ193" s="489">
        <f>ROUND(ROUND(Q192*AR194,0)*$AT$192,0)</f>
        <v>93</v>
      </c>
      <c r="BA193" s="393"/>
    </row>
    <row r="194" spans="1:53" ht="16.5" customHeight="1" x14ac:dyDescent="0.15">
      <c r="A194" s="340">
        <v>12</v>
      </c>
      <c r="B194" s="341">
        <v>7776</v>
      </c>
      <c r="C194" s="390" t="s">
        <v>16779</v>
      </c>
      <c r="D194" s="408"/>
      <c r="E194" s="409"/>
      <c r="F194" s="409"/>
      <c r="G194" s="409"/>
      <c r="H194" s="411"/>
      <c r="Q194" s="395"/>
      <c r="R194" s="151"/>
      <c r="S194" s="151"/>
      <c r="U194" s="387"/>
      <c r="V194" s="343" t="s">
        <v>15625</v>
      </c>
      <c r="W194" s="325"/>
      <c r="X194" s="325"/>
      <c r="Y194" s="325"/>
      <c r="Z194" s="325"/>
      <c r="AA194" s="325"/>
      <c r="AB194" s="325"/>
      <c r="AC194" s="325"/>
      <c r="AD194" s="325"/>
      <c r="AE194" s="325"/>
      <c r="AF194" s="325"/>
      <c r="AG194" s="325"/>
      <c r="AH194" s="325"/>
      <c r="AI194" s="391" t="s">
        <v>15626</v>
      </c>
      <c r="AJ194" s="838">
        <f>AJ192</f>
        <v>1</v>
      </c>
      <c r="AK194" s="843"/>
      <c r="AL194" s="324" t="s">
        <v>15630</v>
      </c>
      <c r="AM194" s="325"/>
      <c r="AN194" s="325"/>
      <c r="AO194" s="325"/>
      <c r="AP194" s="325"/>
      <c r="AQ194" s="190" t="s">
        <v>398</v>
      </c>
      <c r="AR194" s="844">
        <f>AR190</f>
        <v>0.85</v>
      </c>
      <c r="AS194" s="844"/>
      <c r="AT194" s="501"/>
      <c r="AU194" s="502"/>
      <c r="AY194" s="387"/>
      <c r="AZ194" s="489">
        <f>ROUND(ROUND(ROUND(Q192*AJ194,0)*AR194,0)*$AT$192,0)</f>
        <v>93</v>
      </c>
      <c r="BA194" s="393"/>
    </row>
    <row r="195" spans="1:53" ht="17.100000000000001" customHeight="1" x14ac:dyDescent="0.15">
      <c r="A195" s="340">
        <v>12</v>
      </c>
      <c r="B195" s="341">
        <v>7777</v>
      </c>
      <c r="C195" s="390" t="s">
        <v>16780</v>
      </c>
      <c r="D195" s="403"/>
      <c r="E195" s="404"/>
      <c r="F195" s="404"/>
      <c r="G195" s="404"/>
      <c r="H195" s="406"/>
      <c r="I195" s="10"/>
      <c r="L195" s="151"/>
      <c r="M195" s="151"/>
      <c r="N195" s="151"/>
      <c r="U195" s="387"/>
      <c r="V195" s="343"/>
      <c r="W195" s="343"/>
      <c r="X195" s="343"/>
      <c r="Y195" s="343"/>
      <c r="Z195" s="343"/>
      <c r="AA195" s="343"/>
      <c r="AB195" s="343"/>
      <c r="AC195" s="343"/>
      <c r="AD195" s="343"/>
      <c r="AE195" s="343"/>
      <c r="AF195" s="343"/>
      <c r="AG195" s="343"/>
      <c r="AH195" s="343"/>
      <c r="AI195" s="343"/>
      <c r="AJ195" s="401"/>
      <c r="AK195" s="402"/>
      <c r="AL195" s="396"/>
      <c r="AM195" s="396"/>
      <c r="AN195" s="396"/>
      <c r="AO195" s="396"/>
      <c r="AP195" s="396"/>
      <c r="AQ195" s="396"/>
      <c r="AR195" s="396"/>
      <c r="AS195" s="396"/>
      <c r="AT195" s="490"/>
      <c r="AU195" s="387"/>
      <c r="AV195" s="858" t="s">
        <v>16296</v>
      </c>
      <c r="AW195" s="858"/>
      <c r="AX195" s="858"/>
      <c r="AY195" s="860"/>
      <c r="AZ195" s="489">
        <f>ROUND(ROUND(Q192*$AT$192,0)*AV198,0)</f>
        <v>87</v>
      </c>
      <c r="BA195" s="393"/>
    </row>
    <row r="196" spans="1:53" ht="16.5" customHeight="1" x14ac:dyDescent="0.15">
      <c r="A196" s="340">
        <v>12</v>
      </c>
      <c r="B196" s="341">
        <v>7778</v>
      </c>
      <c r="C196" s="390" t="s">
        <v>16781</v>
      </c>
      <c r="D196" s="403"/>
      <c r="E196" s="404"/>
      <c r="F196" s="404"/>
      <c r="G196" s="404"/>
      <c r="H196" s="406"/>
      <c r="Q196" s="899"/>
      <c r="R196" s="899"/>
      <c r="S196" s="899"/>
      <c r="U196" s="387"/>
      <c r="V196" s="343" t="s">
        <v>15625</v>
      </c>
      <c r="W196" s="325"/>
      <c r="X196" s="325"/>
      <c r="Y196" s="325"/>
      <c r="Z196" s="325"/>
      <c r="AA196" s="325"/>
      <c r="AB196" s="325"/>
      <c r="AC196" s="325"/>
      <c r="AD196" s="325"/>
      <c r="AE196" s="325"/>
      <c r="AF196" s="325"/>
      <c r="AG196" s="325"/>
      <c r="AH196" s="325"/>
      <c r="AI196" s="391" t="s">
        <v>15626</v>
      </c>
      <c r="AJ196" s="838">
        <f>AJ194</f>
        <v>1</v>
      </c>
      <c r="AK196" s="839"/>
      <c r="AL196" s="325"/>
      <c r="AM196" s="325"/>
      <c r="AN196" s="325"/>
      <c r="AO196" s="325"/>
      <c r="AP196" s="325"/>
      <c r="AQ196" s="325"/>
      <c r="AR196" s="325"/>
      <c r="AS196" s="391"/>
      <c r="AT196" s="503"/>
      <c r="AU196" s="504"/>
      <c r="AV196" s="850"/>
      <c r="AW196" s="850"/>
      <c r="AX196" s="850"/>
      <c r="AY196" s="852"/>
      <c r="AZ196" s="489">
        <f>ROUND(ROUND(ROUND(Q192*AJ196,0)*$AT$192,0)*AV198,0)</f>
        <v>87</v>
      </c>
      <c r="BA196" s="393"/>
    </row>
    <row r="197" spans="1:53" ht="16.5" customHeight="1" x14ac:dyDescent="0.15">
      <c r="A197" s="340">
        <v>12</v>
      </c>
      <c r="B197" s="341">
        <v>7779</v>
      </c>
      <c r="C197" s="390" t="s">
        <v>16782</v>
      </c>
      <c r="D197" s="408"/>
      <c r="E197" s="409"/>
      <c r="F197" s="409"/>
      <c r="G197" s="409"/>
      <c r="H197" s="411"/>
      <c r="Q197" s="395"/>
      <c r="R197" s="151"/>
      <c r="S197" s="151"/>
      <c r="U197" s="387"/>
      <c r="V197" s="343"/>
      <c r="W197" s="343"/>
      <c r="X197" s="343"/>
      <c r="Y197" s="343"/>
      <c r="Z197" s="343"/>
      <c r="AA197" s="343"/>
      <c r="AB197" s="343"/>
      <c r="AC197" s="343"/>
      <c r="AD197" s="343"/>
      <c r="AE197" s="343"/>
      <c r="AF197" s="343"/>
      <c r="AG197" s="343"/>
      <c r="AH197" s="343"/>
      <c r="AI197" s="343"/>
      <c r="AJ197" s="343"/>
      <c r="AK197" s="343"/>
      <c r="AL197" s="114" t="s">
        <v>15628</v>
      </c>
      <c r="AM197" s="396"/>
      <c r="AN197" s="396"/>
      <c r="AO197" s="396"/>
      <c r="AP197" s="396"/>
      <c r="AQ197" s="396"/>
      <c r="AR197" s="396"/>
      <c r="AS197" s="396"/>
      <c r="AT197" s="490"/>
      <c r="AU197" s="387"/>
      <c r="AV197" s="902" t="s">
        <v>15636</v>
      </c>
      <c r="AW197" s="902"/>
      <c r="AX197" s="902"/>
      <c r="AY197" s="903"/>
      <c r="AZ197" s="489">
        <f>ROUND(ROUND(ROUND(Q192*AR198,0)*$AT$192,0)*AV198,0)</f>
        <v>74</v>
      </c>
      <c r="BA197" s="393"/>
    </row>
    <row r="198" spans="1:53" ht="16.5" customHeight="1" x14ac:dyDescent="0.15">
      <c r="A198" s="340">
        <v>12</v>
      </c>
      <c r="B198" s="341">
        <v>7780</v>
      </c>
      <c r="C198" s="390" t="s">
        <v>16783</v>
      </c>
      <c r="D198" s="412"/>
      <c r="E198" s="413"/>
      <c r="F198" s="413"/>
      <c r="G198" s="413"/>
      <c r="H198" s="415"/>
      <c r="I198" s="325"/>
      <c r="J198" s="325"/>
      <c r="K198" s="325"/>
      <c r="L198" s="325"/>
      <c r="M198" s="325"/>
      <c r="N198" s="325"/>
      <c r="O198" s="325"/>
      <c r="P198" s="325"/>
      <c r="Q198" s="416"/>
      <c r="R198" s="417"/>
      <c r="S198" s="417"/>
      <c r="T198" s="325"/>
      <c r="U198" s="388"/>
      <c r="V198" s="343" t="s">
        <v>15625</v>
      </c>
      <c r="W198" s="325"/>
      <c r="X198" s="325"/>
      <c r="Y198" s="325"/>
      <c r="Z198" s="325"/>
      <c r="AA198" s="325"/>
      <c r="AB198" s="325"/>
      <c r="AC198" s="325"/>
      <c r="AD198" s="325"/>
      <c r="AE198" s="325"/>
      <c r="AF198" s="325"/>
      <c r="AG198" s="325"/>
      <c r="AH198" s="325"/>
      <c r="AI198" s="391" t="s">
        <v>15626</v>
      </c>
      <c r="AJ198" s="838">
        <f>AJ196</f>
        <v>1</v>
      </c>
      <c r="AK198" s="843"/>
      <c r="AL198" s="324" t="s">
        <v>15630</v>
      </c>
      <c r="AM198" s="325"/>
      <c r="AN198" s="325"/>
      <c r="AO198" s="325"/>
      <c r="AP198" s="325"/>
      <c r="AQ198" s="190" t="s">
        <v>398</v>
      </c>
      <c r="AR198" s="844">
        <f>AR194</f>
        <v>0.85</v>
      </c>
      <c r="AS198" s="844"/>
      <c r="AT198" s="505"/>
      <c r="AU198" s="506"/>
      <c r="AV198" s="844">
        <f>AV190</f>
        <v>0.8</v>
      </c>
      <c r="AW198" s="844"/>
      <c r="AX198" s="844"/>
      <c r="AY198" s="845"/>
      <c r="AZ198" s="491">
        <f>ROUND(ROUND(ROUND(ROUND(Q192*AJ198,0)*AR198,0)*$AT$192,0)*AV198,0)</f>
        <v>74</v>
      </c>
      <c r="BA198" s="418"/>
    </row>
    <row r="199" spans="1:53" ht="17.100000000000001" customHeight="1" x14ac:dyDescent="0.15">
      <c r="A199" s="340">
        <v>12</v>
      </c>
      <c r="B199" s="341">
        <v>7781</v>
      </c>
      <c r="C199" s="390" t="s">
        <v>16784</v>
      </c>
      <c r="D199" s="857" t="s">
        <v>15740</v>
      </c>
      <c r="E199" s="858"/>
      <c r="F199" s="858"/>
      <c r="G199" s="858"/>
      <c r="H199" s="860"/>
      <c r="I199" s="908" t="s">
        <v>15621</v>
      </c>
      <c r="J199" s="909"/>
      <c r="K199" s="909"/>
      <c r="L199" s="909"/>
      <c r="M199" s="909"/>
      <c r="N199" s="909"/>
      <c r="O199" s="909"/>
      <c r="P199" s="909"/>
      <c r="Q199" s="909"/>
      <c r="R199" s="909"/>
      <c r="S199" s="909"/>
      <c r="T199" s="909"/>
      <c r="U199" s="910"/>
      <c r="V199" s="343"/>
      <c r="W199" s="343"/>
      <c r="X199" s="343"/>
      <c r="Y199" s="343"/>
      <c r="Z199" s="343"/>
      <c r="AA199" s="343"/>
      <c r="AB199" s="343"/>
      <c r="AC199" s="343"/>
      <c r="AD199" s="343"/>
      <c r="AE199" s="343"/>
      <c r="AF199" s="343"/>
      <c r="AG199" s="343"/>
      <c r="AH199" s="343"/>
      <c r="AI199" s="343"/>
      <c r="AJ199" s="343"/>
      <c r="AK199" s="407"/>
      <c r="AL199" s="396"/>
      <c r="AM199" s="396"/>
      <c r="AN199" s="396"/>
      <c r="AO199" s="396"/>
      <c r="AP199" s="396"/>
      <c r="AQ199" s="396"/>
      <c r="AR199" s="396"/>
      <c r="AS199" s="396"/>
      <c r="AT199" s="916" t="s">
        <v>16592</v>
      </c>
      <c r="AU199" s="917"/>
      <c r="AV199" s="400"/>
      <c r="AW199" s="400"/>
      <c r="AX199" s="396"/>
      <c r="AY199" s="397"/>
      <c r="AZ199" s="489">
        <f>ROUND(Q200*$AT$208,0)</f>
        <v>231</v>
      </c>
      <c r="BA199" s="329" t="s">
        <v>15622</v>
      </c>
    </row>
    <row r="200" spans="1:53" ht="16.5" customHeight="1" x14ac:dyDescent="0.15">
      <c r="A200" s="340">
        <v>12</v>
      </c>
      <c r="B200" s="341">
        <v>7782</v>
      </c>
      <c r="C200" s="390" t="s">
        <v>16785</v>
      </c>
      <c r="D200" s="849"/>
      <c r="E200" s="850"/>
      <c r="F200" s="850"/>
      <c r="G200" s="850"/>
      <c r="H200" s="852"/>
      <c r="Q200" s="836">
        <f>'2重度訪問'!U104</f>
        <v>185</v>
      </c>
      <c r="R200" s="911"/>
      <c r="S200" s="911"/>
      <c r="T200" s="152" t="s">
        <v>15624</v>
      </c>
      <c r="U200" s="387"/>
      <c r="V200" s="343" t="s">
        <v>15625</v>
      </c>
      <c r="W200" s="325"/>
      <c r="X200" s="325"/>
      <c r="Y200" s="325"/>
      <c r="Z200" s="325"/>
      <c r="AA200" s="325"/>
      <c r="AB200" s="325"/>
      <c r="AC200" s="325"/>
      <c r="AD200" s="325"/>
      <c r="AE200" s="325"/>
      <c r="AF200" s="325"/>
      <c r="AG200" s="325"/>
      <c r="AH200" s="325"/>
      <c r="AI200" s="391" t="s">
        <v>15626</v>
      </c>
      <c r="AJ200" s="838">
        <f>AJ182</f>
        <v>1</v>
      </c>
      <c r="AK200" s="839"/>
      <c r="AQ200" s="152"/>
      <c r="AR200" s="152"/>
      <c r="AS200" s="152"/>
      <c r="AT200" s="912"/>
      <c r="AU200" s="913"/>
      <c r="AY200" s="387"/>
      <c r="AZ200" s="489">
        <f>ROUND(ROUND(Q200*AJ200,0)*$AT$208,0)</f>
        <v>231</v>
      </c>
      <c r="BA200" s="393"/>
    </row>
    <row r="201" spans="1:53" ht="16.5" customHeight="1" x14ac:dyDescent="0.15">
      <c r="A201" s="287">
        <v>12</v>
      </c>
      <c r="B201" s="287">
        <v>7783</v>
      </c>
      <c r="C201" s="394" t="s">
        <v>16786</v>
      </c>
      <c r="D201" s="849"/>
      <c r="E201" s="850"/>
      <c r="F201" s="850"/>
      <c r="G201" s="850"/>
      <c r="H201" s="852"/>
      <c r="Q201" s="395"/>
      <c r="R201" s="151"/>
      <c r="S201" s="151"/>
      <c r="U201" s="387"/>
      <c r="V201" s="343"/>
      <c r="W201" s="343"/>
      <c r="X201" s="343"/>
      <c r="Y201" s="343"/>
      <c r="Z201" s="343"/>
      <c r="AA201" s="343"/>
      <c r="AB201" s="343"/>
      <c r="AC201" s="343"/>
      <c r="AD201" s="343"/>
      <c r="AE201" s="343"/>
      <c r="AF201" s="343"/>
      <c r="AG201" s="343"/>
      <c r="AH201" s="343"/>
      <c r="AI201" s="343"/>
      <c r="AJ201" s="343"/>
      <c r="AK201" s="343"/>
      <c r="AL201" s="114" t="s">
        <v>15628</v>
      </c>
      <c r="AM201" s="396"/>
      <c r="AN201" s="396"/>
      <c r="AO201" s="396"/>
      <c r="AP201" s="396"/>
      <c r="AQ201" s="396"/>
      <c r="AR201" s="396"/>
      <c r="AS201" s="396"/>
      <c r="AT201" s="912"/>
      <c r="AU201" s="913"/>
      <c r="AY201" s="387"/>
      <c r="AZ201" s="489">
        <f>ROUND(ROUND(Q200*AR202,0)*$AT$208,0)</f>
        <v>196</v>
      </c>
      <c r="BA201" s="393"/>
    </row>
    <row r="202" spans="1:53" ht="16.5" customHeight="1" x14ac:dyDescent="0.15">
      <c r="A202" s="287">
        <v>12</v>
      </c>
      <c r="B202" s="287">
        <v>7784</v>
      </c>
      <c r="C202" s="394" t="s">
        <v>16787</v>
      </c>
      <c r="D202" s="849"/>
      <c r="E202" s="850"/>
      <c r="F202" s="850"/>
      <c r="G202" s="850"/>
      <c r="H202" s="852"/>
      <c r="Q202" s="395"/>
      <c r="R202" s="151"/>
      <c r="S202" s="151"/>
      <c r="U202" s="387"/>
      <c r="V202" s="343" t="s">
        <v>15625</v>
      </c>
      <c r="W202" s="325"/>
      <c r="X202" s="325"/>
      <c r="Y202" s="325"/>
      <c r="Z202" s="325"/>
      <c r="AA202" s="325"/>
      <c r="AB202" s="325"/>
      <c r="AC202" s="325"/>
      <c r="AD202" s="325"/>
      <c r="AE202" s="325"/>
      <c r="AF202" s="325"/>
      <c r="AG202" s="325"/>
      <c r="AH202" s="325"/>
      <c r="AI202" s="391" t="s">
        <v>15626</v>
      </c>
      <c r="AJ202" s="838">
        <f>AJ200</f>
        <v>1</v>
      </c>
      <c r="AK202" s="843"/>
      <c r="AL202" s="324" t="s">
        <v>15630</v>
      </c>
      <c r="AM202" s="325"/>
      <c r="AN202" s="325"/>
      <c r="AO202" s="325"/>
      <c r="AP202" s="325"/>
      <c r="AQ202" s="190" t="s">
        <v>398</v>
      </c>
      <c r="AR202" s="844">
        <f>AR182</f>
        <v>0.85</v>
      </c>
      <c r="AS202" s="844"/>
      <c r="AT202" s="912"/>
      <c r="AU202" s="913"/>
      <c r="AY202" s="387"/>
      <c r="AZ202" s="489">
        <f>ROUND(ROUND(ROUND(Q200*AJ202,0)*AR202,0)*$AT$208,0)</f>
        <v>196</v>
      </c>
      <c r="BA202" s="393"/>
    </row>
    <row r="203" spans="1:53" ht="17.100000000000001" customHeight="1" x14ac:dyDescent="0.15">
      <c r="A203" s="340">
        <v>12</v>
      </c>
      <c r="B203" s="341">
        <v>7785</v>
      </c>
      <c r="C203" s="390" t="s">
        <v>16788</v>
      </c>
      <c r="D203" s="403"/>
      <c r="E203" s="404"/>
      <c r="F203" s="404"/>
      <c r="G203" s="404"/>
      <c r="H203" s="406"/>
      <c r="L203" s="151"/>
      <c r="M203" s="151"/>
      <c r="N203" s="151"/>
      <c r="U203" s="387"/>
      <c r="V203" s="343"/>
      <c r="W203" s="343"/>
      <c r="X203" s="343"/>
      <c r="Y203" s="343"/>
      <c r="Z203" s="343"/>
      <c r="AA203" s="343"/>
      <c r="AB203" s="343"/>
      <c r="AC203" s="343"/>
      <c r="AD203" s="343"/>
      <c r="AE203" s="343"/>
      <c r="AF203" s="343"/>
      <c r="AG203" s="343"/>
      <c r="AH203" s="343"/>
      <c r="AI203" s="343"/>
      <c r="AJ203" s="343"/>
      <c r="AK203" s="407"/>
      <c r="AL203" s="396"/>
      <c r="AM203" s="396"/>
      <c r="AN203" s="396"/>
      <c r="AO203" s="396"/>
      <c r="AP203" s="396"/>
      <c r="AQ203" s="396"/>
      <c r="AR203" s="396"/>
      <c r="AS203" s="396"/>
      <c r="AT203" s="912"/>
      <c r="AU203" s="913"/>
      <c r="AV203" s="858" t="s">
        <v>16296</v>
      </c>
      <c r="AW203" s="858"/>
      <c r="AX203" s="858"/>
      <c r="AY203" s="860"/>
      <c r="AZ203" s="489">
        <f>ROUND(ROUND(Q200*$AT$208,0)*AV206,0)</f>
        <v>185</v>
      </c>
      <c r="BA203" s="339"/>
    </row>
    <row r="204" spans="1:53" ht="16.5" customHeight="1" x14ac:dyDescent="0.15">
      <c r="A204" s="340">
        <v>12</v>
      </c>
      <c r="B204" s="341">
        <v>7786</v>
      </c>
      <c r="C204" s="390" t="s">
        <v>16789</v>
      </c>
      <c r="D204" s="403"/>
      <c r="E204" s="404"/>
      <c r="F204" s="404"/>
      <c r="G204" s="404"/>
      <c r="H204" s="406"/>
      <c r="Q204" s="899"/>
      <c r="R204" s="899"/>
      <c r="S204" s="899"/>
      <c r="U204" s="387"/>
      <c r="V204" s="343" t="s">
        <v>15625</v>
      </c>
      <c r="W204" s="325"/>
      <c r="X204" s="325"/>
      <c r="Y204" s="325"/>
      <c r="Z204" s="325"/>
      <c r="AA204" s="325"/>
      <c r="AB204" s="325"/>
      <c r="AC204" s="325"/>
      <c r="AD204" s="325"/>
      <c r="AE204" s="325"/>
      <c r="AF204" s="325"/>
      <c r="AG204" s="325"/>
      <c r="AH204" s="325"/>
      <c r="AI204" s="391" t="s">
        <v>15626</v>
      </c>
      <c r="AJ204" s="838">
        <f>AJ202</f>
        <v>1</v>
      </c>
      <c r="AK204" s="839"/>
      <c r="AQ204" s="152"/>
      <c r="AR204" s="152"/>
      <c r="AS204" s="152"/>
      <c r="AT204" s="912"/>
      <c r="AU204" s="913"/>
      <c r="AV204" s="850"/>
      <c r="AW204" s="850"/>
      <c r="AX204" s="850"/>
      <c r="AY204" s="852"/>
      <c r="AZ204" s="489">
        <f>ROUND(ROUND(ROUND(Q200*AJ204,0)*$AT$208,0)*AV206,0)</f>
        <v>185</v>
      </c>
      <c r="BA204" s="393"/>
    </row>
    <row r="205" spans="1:53" ht="16.5" customHeight="1" x14ac:dyDescent="0.15">
      <c r="A205" s="287">
        <v>12</v>
      </c>
      <c r="B205" s="287">
        <v>7787</v>
      </c>
      <c r="C205" s="394" t="s">
        <v>16790</v>
      </c>
      <c r="D205" s="403"/>
      <c r="E205" s="404"/>
      <c r="F205" s="497"/>
      <c r="G205" s="497"/>
      <c r="H205" s="498"/>
      <c r="Q205" s="395"/>
      <c r="R205" s="151"/>
      <c r="S205" s="151"/>
      <c r="U205" s="387"/>
      <c r="V205" s="343"/>
      <c r="W205" s="343"/>
      <c r="X205" s="343"/>
      <c r="Y205" s="343"/>
      <c r="Z205" s="343"/>
      <c r="AA205" s="343"/>
      <c r="AB205" s="343"/>
      <c r="AC205" s="343"/>
      <c r="AD205" s="343"/>
      <c r="AE205" s="343"/>
      <c r="AF205" s="343"/>
      <c r="AG205" s="343"/>
      <c r="AH205" s="343"/>
      <c r="AI205" s="343"/>
      <c r="AJ205" s="343"/>
      <c r="AK205" s="343"/>
      <c r="AL205" s="114" t="s">
        <v>15628</v>
      </c>
      <c r="AM205" s="396"/>
      <c r="AN205" s="396"/>
      <c r="AO205" s="396"/>
      <c r="AP205" s="396"/>
      <c r="AQ205" s="396"/>
      <c r="AR205" s="396"/>
      <c r="AS205" s="396"/>
      <c r="AT205" s="912"/>
      <c r="AU205" s="913"/>
      <c r="AV205" s="902" t="s">
        <v>15636</v>
      </c>
      <c r="AW205" s="902"/>
      <c r="AX205" s="902"/>
      <c r="AY205" s="903"/>
      <c r="AZ205" s="489">
        <f>ROUND(ROUND(ROUND(Q200*AR206,0)*$AT$208,0)*AV206,0)</f>
        <v>157</v>
      </c>
      <c r="BA205" s="393"/>
    </row>
    <row r="206" spans="1:53" ht="16.5" customHeight="1" x14ac:dyDescent="0.15">
      <c r="A206" s="287">
        <v>12</v>
      </c>
      <c r="B206" s="287">
        <v>7788</v>
      </c>
      <c r="C206" s="394" t="s">
        <v>16791</v>
      </c>
      <c r="D206" s="403"/>
      <c r="E206" s="404"/>
      <c r="F206" s="404"/>
      <c r="G206" s="404"/>
      <c r="H206" s="406"/>
      <c r="Q206" s="395"/>
      <c r="R206" s="151"/>
      <c r="S206" s="151"/>
      <c r="U206" s="387"/>
      <c r="V206" s="343" t="s">
        <v>15625</v>
      </c>
      <c r="W206" s="325"/>
      <c r="X206" s="325"/>
      <c r="Y206" s="325"/>
      <c r="Z206" s="325"/>
      <c r="AA206" s="325"/>
      <c r="AB206" s="325"/>
      <c r="AC206" s="325"/>
      <c r="AD206" s="325"/>
      <c r="AE206" s="325"/>
      <c r="AF206" s="325"/>
      <c r="AG206" s="325"/>
      <c r="AH206" s="325"/>
      <c r="AI206" s="391" t="s">
        <v>15626</v>
      </c>
      <c r="AJ206" s="838">
        <f>AJ204</f>
        <v>1</v>
      </c>
      <c r="AK206" s="843"/>
      <c r="AL206" s="324" t="s">
        <v>15630</v>
      </c>
      <c r="AM206" s="325"/>
      <c r="AN206" s="325"/>
      <c r="AO206" s="325"/>
      <c r="AP206" s="325"/>
      <c r="AQ206" s="190" t="s">
        <v>398</v>
      </c>
      <c r="AR206" s="844">
        <f>AR202</f>
        <v>0.85</v>
      </c>
      <c r="AS206" s="844"/>
      <c r="AT206" s="912"/>
      <c r="AU206" s="913"/>
      <c r="AV206" s="844">
        <f>AV182</f>
        <v>0.8</v>
      </c>
      <c r="AW206" s="844"/>
      <c r="AX206" s="844"/>
      <c r="AY206" s="845"/>
      <c r="AZ206" s="489">
        <f>ROUND(ROUND(ROUND(ROUND(Q200*AJ206,0)*AR206,0)*$AT$208,0)*AV206,0)</f>
        <v>157</v>
      </c>
      <c r="BA206" s="393"/>
    </row>
    <row r="207" spans="1:53" ht="16.5" customHeight="1" x14ac:dyDescent="0.15">
      <c r="A207" s="340">
        <v>12</v>
      </c>
      <c r="B207" s="341">
        <v>7789</v>
      </c>
      <c r="C207" s="390" t="s">
        <v>16792</v>
      </c>
      <c r="D207" s="494"/>
      <c r="E207" s="151"/>
      <c r="F207" s="151"/>
      <c r="G207" s="151"/>
      <c r="H207" s="495"/>
      <c r="I207" s="908" t="s">
        <v>15633</v>
      </c>
      <c r="J207" s="909"/>
      <c r="K207" s="909"/>
      <c r="L207" s="909"/>
      <c r="M207" s="909"/>
      <c r="N207" s="909"/>
      <c r="O207" s="909"/>
      <c r="P207" s="909"/>
      <c r="Q207" s="909"/>
      <c r="R207" s="909"/>
      <c r="S207" s="909"/>
      <c r="T207" s="909"/>
      <c r="U207" s="910"/>
      <c r="V207" s="343"/>
      <c r="W207" s="325"/>
      <c r="X207" s="325"/>
      <c r="Y207" s="325"/>
      <c r="Z207" s="325"/>
      <c r="AA207" s="325"/>
      <c r="AB207" s="325"/>
      <c r="AC207" s="325"/>
      <c r="AD207" s="325"/>
      <c r="AE207" s="325"/>
      <c r="AF207" s="325"/>
      <c r="AG207" s="325"/>
      <c r="AH207" s="325"/>
      <c r="AI207" s="391"/>
      <c r="AJ207" s="401"/>
      <c r="AK207" s="402"/>
      <c r="AQ207" s="152"/>
      <c r="AR207" s="152"/>
      <c r="AS207" s="152"/>
      <c r="AT207" s="912" t="s">
        <v>15636</v>
      </c>
      <c r="AU207" s="913"/>
      <c r="AV207" s="400"/>
      <c r="AW207" s="400"/>
      <c r="AX207" s="396"/>
      <c r="AY207" s="397"/>
      <c r="AZ207" s="489">
        <f>ROUND(Q208*$AT$208,0)</f>
        <v>113</v>
      </c>
      <c r="BA207" s="393"/>
    </row>
    <row r="208" spans="1:53" ht="16.5" customHeight="1" x14ac:dyDescent="0.15">
      <c r="A208" s="340">
        <v>12</v>
      </c>
      <c r="B208" s="341">
        <v>7790</v>
      </c>
      <c r="C208" s="390" t="s">
        <v>16793</v>
      </c>
      <c r="D208" s="494"/>
      <c r="E208" s="151"/>
      <c r="F208" s="151"/>
      <c r="G208" s="151"/>
      <c r="H208" s="495"/>
      <c r="Q208" s="836">
        <f>'2重度訪問'!U108</f>
        <v>90</v>
      </c>
      <c r="R208" s="911"/>
      <c r="S208" s="911"/>
      <c r="T208" s="152" t="s">
        <v>15624</v>
      </c>
      <c r="U208" s="387"/>
      <c r="V208" s="343" t="s">
        <v>15625</v>
      </c>
      <c r="W208" s="325"/>
      <c r="X208" s="325"/>
      <c r="Y208" s="325"/>
      <c r="Z208" s="325"/>
      <c r="AA208" s="325"/>
      <c r="AB208" s="325"/>
      <c r="AC208" s="325"/>
      <c r="AD208" s="325"/>
      <c r="AE208" s="325"/>
      <c r="AF208" s="325"/>
      <c r="AG208" s="325"/>
      <c r="AH208" s="325"/>
      <c r="AI208" s="391" t="s">
        <v>15626</v>
      </c>
      <c r="AJ208" s="838">
        <f>AJ206</f>
        <v>1</v>
      </c>
      <c r="AK208" s="839"/>
      <c r="AQ208" s="152"/>
      <c r="AR208" s="152"/>
      <c r="AS208" s="152"/>
      <c r="AT208" s="914">
        <f>AT192</f>
        <v>1.25</v>
      </c>
      <c r="AU208" s="915"/>
      <c r="AY208" s="387"/>
      <c r="AZ208" s="489">
        <f>ROUND(ROUND(Q208*AJ208,0)*$AT$208,0)</f>
        <v>113</v>
      </c>
      <c r="BA208" s="393"/>
    </row>
    <row r="209" spans="1:53" ht="16.5" customHeight="1" x14ac:dyDescent="0.15">
      <c r="A209" s="287">
        <v>12</v>
      </c>
      <c r="B209" s="287">
        <v>7791</v>
      </c>
      <c r="C209" s="394" t="s">
        <v>16794</v>
      </c>
      <c r="D209" s="494"/>
      <c r="E209" s="151"/>
      <c r="F209" s="151"/>
      <c r="G209" s="151"/>
      <c r="H209" s="495"/>
      <c r="Q209" s="395"/>
      <c r="R209" s="151"/>
      <c r="S209" s="151"/>
      <c r="U209" s="387"/>
      <c r="V209" s="343"/>
      <c r="W209" s="343"/>
      <c r="X209" s="343"/>
      <c r="Y209" s="343"/>
      <c r="Z209" s="343"/>
      <c r="AA209" s="343"/>
      <c r="AB209" s="343"/>
      <c r="AC209" s="343"/>
      <c r="AD209" s="343"/>
      <c r="AE209" s="343"/>
      <c r="AF209" s="343"/>
      <c r="AG209" s="343"/>
      <c r="AH209" s="343"/>
      <c r="AI209" s="343"/>
      <c r="AJ209" s="343"/>
      <c r="AK209" s="343"/>
      <c r="AL209" s="114" t="s">
        <v>15628</v>
      </c>
      <c r="AM209" s="396"/>
      <c r="AN209" s="396"/>
      <c r="AO209" s="396"/>
      <c r="AP209" s="396"/>
      <c r="AQ209" s="396"/>
      <c r="AR209" s="396"/>
      <c r="AS209" s="396"/>
      <c r="AT209" s="490"/>
      <c r="AU209" s="387"/>
      <c r="AY209" s="387"/>
      <c r="AZ209" s="489">
        <f>ROUND(ROUND(Q208*AR210,0)*$AT$208,0)</f>
        <v>96</v>
      </c>
      <c r="BA209" s="393"/>
    </row>
    <row r="210" spans="1:53" ht="16.5" customHeight="1" x14ac:dyDescent="0.15">
      <c r="A210" s="287">
        <v>12</v>
      </c>
      <c r="B210" s="287">
        <v>7792</v>
      </c>
      <c r="C210" s="394" t="s">
        <v>16795</v>
      </c>
      <c r="D210" s="403"/>
      <c r="E210" s="404"/>
      <c r="F210" s="404"/>
      <c r="G210" s="404"/>
      <c r="H210" s="406"/>
      <c r="Q210" s="395"/>
      <c r="R210" s="151"/>
      <c r="S210" s="151"/>
      <c r="U210" s="387"/>
      <c r="V210" s="343" t="s">
        <v>15625</v>
      </c>
      <c r="W210" s="325"/>
      <c r="X210" s="325"/>
      <c r="Y210" s="325"/>
      <c r="Z210" s="325"/>
      <c r="AA210" s="325"/>
      <c r="AB210" s="325"/>
      <c r="AC210" s="325"/>
      <c r="AD210" s="325"/>
      <c r="AE210" s="325"/>
      <c r="AF210" s="325"/>
      <c r="AG210" s="325"/>
      <c r="AH210" s="325"/>
      <c r="AI210" s="391" t="s">
        <v>15626</v>
      </c>
      <c r="AJ210" s="838">
        <f>AJ208</f>
        <v>1</v>
      </c>
      <c r="AK210" s="843"/>
      <c r="AL210" s="324" t="s">
        <v>15630</v>
      </c>
      <c r="AM210" s="325"/>
      <c r="AN210" s="325"/>
      <c r="AO210" s="325"/>
      <c r="AP210" s="325"/>
      <c r="AQ210" s="190" t="s">
        <v>398</v>
      </c>
      <c r="AR210" s="844">
        <f>AR206</f>
        <v>0.85</v>
      </c>
      <c r="AS210" s="844"/>
      <c r="AT210" s="501"/>
      <c r="AU210" s="502"/>
      <c r="AY210" s="387"/>
      <c r="AZ210" s="489">
        <f>ROUND(ROUND(ROUND(Q208*AJ210,0)*AR210,0)*$AT$208,0)</f>
        <v>96</v>
      </c>
      <c r="BA210" s="393"/>
    </row>
    <row r="211" spans="1:53" ht="16.5" customHeight="1" x14ac:dyDescent="0.15">
      <c r="A211" s="340">
        <v>12</v>
      </c>
      <c r="B211" s="341">
        <v>7793</v>
      </c>
      <c r="C211" s="390" t="s">
        <v>16796</v>
      </c>
      <c r="D211" s="494"/>
      <c r="E211" s="151"/>
      <c r="F211" s="151"/>
      <c r="G211" s="151"/>
      <c r="H211" s="495"/>
      <c r="I211" s="254"/>
      <c r="Q211" s="395"/>
      <c r="R211" s="151"/>
      <c r="S211" s="151"/>
      <c r="U211" s="387"/>
      <c r="V211" s="343"/>
      <c r="W211" s="325"/>
      <c r="X211" s="325"/>
      <c r="Y211" s="325"/>
      <c r="Z211" s="325"/>
      <c r="AA211" s="325"/>
      <c r="AB211" s="325"/>
      <c r="AC211" s="325"/>
      <c r="AD211" s="325"/>
      <c r="AE211" s="325"/>
      <c r="AF211" s="325"/>
      <c r="AG211" s="325"/>
      <c r="AH211" s="325"/>
      <c r="AI211" s="391"/>
      <c r="AJ211" s="401"/>
      <c r="AK211" s="402"/>
      <c r="AQ211" s="152"/>
      <c r="AR211" s="152"/>
      <c r="AS211" s="152"/>
      <c r="AT211" s="490"/>
      <c r="AU211" s="387"/>
      <c r="AV211" s="858" t="s">
        <v>16296</v>
      </c>
      <c r="AW211" s="858"/>
      <c r="AX211" s="858"/>
      <c r="AY211" s="860"/>
      <c r="AZ211" s="489">
        <f>ROUND(ROUND(Q208*$AT$208,0)*AV214,0)</f>
        <v>90</v>
      </c>
      <c r="BA211" s="393"/>
    </row>
    <row r="212" spans="1:53" ht="16.5" customHeight="1" x14ac:dyDescent="0.15">
      <c r="A212" s="340">
        <v>12</v>
      </c>
      <c r="B212" s="341">
        <v>7794</v>
      </c>
      <c r="C212" s="390" t="s">
        <v>16797</v>
      </c>
      <c r="D212" s="494"/>
      <c r="E212" s="151"/>
      <c r="F212" s="151"/>
      <c r="G212" s="151"/>
      <c r="H212" s="495"/>
      <c r="Q212" s="899"/>
      <c r="R212" s="899"/>
      <c r="S212" s="899"/>
      <c r="U212" s="387"/>
      <c r="V212" s="343" t="s">
        <v>15625</v>
      </c>
      <c r="W212" s="325"/>
      <c r="X212" s="325"/>
      <c r="Y212" s="325"/>
      <c r="Z212" s="325"/>
      <c r="AA212" s="325"/>
      <c r="AB212" s="325"/>
      <c r="AC212" s="325"/>
      <c r="AD212" s="325"/>
      <c r="AE212" s="325"/>
      <c r="AF212" s="325"/>
      <c r="AG212" s="325"/>
      <c r="AH212" s="325"/>
      <c r="AI212" s="391" t="s">
        <v>15626</v>
      </c>
      <c r="AJ212" s="838">
        <f>AJ210</f>
        <v>1</v>
      </c>
      <c r="AK212" s="839"/>
      <c r="AQ212" s="152"/>
      <c r="AR212" s="152"/>
      <c r="AS212" s="152"/>
      <c r="AT212" s="490"/>
      <c r="AU212" s="387"/>
      <c r="AV212" s="850"/>
      <c r="AW212" s="850"/>
      <c r="AX212" s="850"/>
      <c r="AY212" s="852"/>
      <c r="AZ212" s="489">
        <f>ROUND(ROUND(ROUND(Q208*AJ212,0)*$AT$208,0)*AV214,0)</f>
        <v>90</v>
      </c>
      <c r="BA212" s="393"/>
    </row>
    <row r="213" spans="1:53" ht="16.5" customHeight="1" x14ac:dyDescent="0.15">
      <c r="A213" s="287">
        <v>12</v>
      </c>
      <c r="B213" s="287">
        <v>7795</v>
      </c>
      <c r="C213" s="394" t="s">
        <v>16798</v>
      </c>
      <c r="D213" s="494"/>
      <c r="E213" s="151"/>
      <c r="F213" s="151"/>
      <c r="G213" s="151"/>
      <c r="H213" s="495"/>
      <c r="Q213" s="395"/>
      <c r="R213" s="151"/>
      <c r="S213" s="151"/>
      <c r="U213" s="387"/>
      <c r="V213" s="343"/>
      <c r="W213" s="343"/>
      <c r="X213" s="343"/>
      <c r="Y213" s="343"/>
      <c r="Z213" s="343"/>
      <c r="AA213" s="343"/>
      <c r="AB213" s="343"/>
      <c r="AC213" s="343"/>
      <c r="AD213" s="343"/>
      <c r="AE213" s="343"/>
      <c r="AF213" s="343"/>
      <c r="AG213" s="343"/>
      <c r="AH213" s="343"/>
      <c r="AI213" s="343"/>
      <c r="AJ213" s="343"/>
      <c r="AK213" s="343"/>
      <c r="AL213" s="114" t="s">
        <v>15628</v>
      </c>
      <c r="AM213" s="396"/>
      <c r="AN213" s="396"/>
      <c r="AO213" s="396"/>
      <c r="AP213" s="396"/>
      <c r="AQ213" s="396"/>
      <c r="AR213" s="396"/>
      <c r="AS213" s="396"/>
      <c r="AT213" s="490"/>
      <c r="AU213" s="387"/>
      <c r="AV213" s="902" t="s">
        <v>15636</v>
      </c>
      <c r="AW213" s="902"/>
      <c r="AX213" s="902"/>
      <c r="AY213" s="903"/>
      <c r="AZ213" s="489">
        <f>ROUND(ROUND(ROUND(Q208*AR214,0)*$AT$208,0)*AV214,0)</f>
        <v>77</v>
      </c>
      <c r="BA213" s="393"/>
    </row>
    <row r="214" spans="1:53" ht="16.5" customHeight="1" x14ac:dyDescent="0.15">
      <c r="A214" s="287">
        <v>12</v>
      </c>
      <c r="B214" s="287">
        <v>7796</v>
      </c>
      <c r="C214" s="394" t="s">
        <v>16799</v>
      </c>
      <c r="D214" s="403"/>
      <c r="E214" s="404"/>
      <c r="F214" s="404"/>
      <c r="G214" s="404"/>
      <c r="H214" s="406"/>
      <c r="Q214" s="395"/>
      <c r="R214" s="151"/>
      <c r="S214" s="151"/>
      <c r="U214" s="387"/>
      <c r="V214" s="343" t="s">
        <v>15625</v>
      </c>
      <c r="W214" s="325"/>
      <c r="X214" s="325"/>
      <c r="Y214" s="325"/>
      <c r="Z214" s="325"/>
      <c r="AA214" s="325"/>
      <c r="AB214" s="325"/>
      <c r="AC214" s="325"/>
      <c r="AD214" s="325"/>
      <c r="AE214" s="325"/>
      <c r="AF214" s="325"/>
      <c r="AG214" s="325"/>
      <c r="AH214" s="325"/>
      <c r="AI214" s="391" t="s">
        <v>15626</v>
      </c>
      <c r="AJ214" s="838">
        <f>AJ212</f>
        <v>1</v>
      </c>
      <c r="AK214" s="843"/>
      <c r="AL214" s="324" t="s">
        <v>15630</v>
      </c>
      <c r="AM214" s="325"/>
      <c r="AN214" s="325"/>
      <c r="AO214" s="325"/>
      <c r="AP214" s="325"/>
      <c r="AQ214" s="190" t="s">
        <v>398</v>
      </c>
      <c r="AR214" s="844">
        <f>AR210</f>
        <v>0.85</v>
      </c>
      <c r="AS214" s="844"/>
      <c r="AT214" s="501"/>
      <c r="AU214" s="502"/>
      <c r="AV214" s="844">
        <f>AV206</f>
        <v>0.8</v>
      </c>
      <c r="AW214" s="844"/>
      <c r="AX214" s="844"/>
      <c r="AY214" s="845"/>
      <c r="AZ214" s="489">
        <f>ROUND(ROUND(ROUND(ROUND(Q208*AJ214,0)*AR214,0)*$AT$208,0)*AV214,0)</f>
        <v>77</v>
      </c>
      <c r="BA214" s="393"/>
    </row>
    <row r="215" spans="1:53" ht="16.5" customHeight="1" x14ac:dyDescent="0.15">
      <c r="A215" s="340">
        <v>12</v>
      </c>
      <c r="B215" s="341">
        <v>7797</v>
      </c>
      <c r="C215" s="390" t="s">
        <v>16800</v>
      </c>
      <c r="D215" s="403"/>
      <c r="E215" s="404"/>
      <c r="F215" s="404"/>
      <c r="G215" s="404"/>
      <c r="H215" s="406"/>
      <c r="I215" s="908" t="s">
        <v>16309</v>
      </c>
      <c r="J215" s="909"/>
      <c r="K215" s="909"/>
      <c r="L215" s="909"/>
      <c r="M215" s="909"/>
      <c r="N215" s="909"/>
      <c r="O215" s="909"/>
      <c r="P215" s="909"/>
      <c r="Q215" s="909"/>
      <c r="R215" s="909"/>
      <c r="S215" s="909"/>
      <c r="T215" s="909"/>
      <c r="U215" s="910"/>
      <c r="V215" s="343"/>
      <c r="W215" s="325"/>
      <c r="X215" s="325"/>
      <c r="Y215" s="325"/>
      <c r="Z215" s="325"/>
      <c r="AA215" s="325"/>
      <c r="AB215" s="325"/>
      <c r="AC215" s="325"/>
      <c r="AD215" s="325"/>
      <c r="AE215" s="325"/>
      <c r="AF215" s="325"/>
      <c r="AG215" s="325"/>
      <c r="AH215" s="325"/>
      <c r="AI215" s="391"/>
      <c r="AJ215" s="401"/>
      <c r="AK215" s="402"/>
      <c r="AL215" s="396"/>
      <c r="AM215" s="396"/>
      <c r="AN215" s="396"/>
      <c r="AO215" s="396"/>
      <c r="AP215" s="396"/>
      <c r="AQ215" s="396"/>
      <c r="AR215" s="396"/>
      <c r="AS215" s="396"/>
      <c r="AT215" s="490"/>
      <c r="AU215" s="387"/>
      <c r="AV215" s="400"/>
      <c r="AW215" s="400"/>
      <c r="AX215" s="396"/>
      <c r="AY215" s="397"/>
      <c r="AZ215" s="489">
        <f>ROUND(Q216*$AT$208,0)</f>
        <v>115</v>
      </c>
      <c r="BA215" s="393"/>
    </row>
    <row r="216" spans="1:53" ht="16.5" customHeight="1" x14ac:dyDescent="0.15">
      <c r="A216" s="340">
        <v>12</v>
      </c>
      <c r="B216" s="341">
        <v>7798</v>
      </c>
      <c r="C216" s="390" t="s">
        <v>16801</v>
      </c>
      <c r="D216" s="403"/>
      <c r="E216" s="404"/>
      <c r="F216" s="404"/>
      <c r="G216" s="404"/>
      <c r="H216" s="406"/>
      <c r="Q216" s="836">
        <f>'2重度訪問'!U112</f>
        <v>92</v>
      </c>
      <c r="R216" s="911"/>
      <c r="S216" s="911"/>
      <c r="T216" s="152" t="s">
        <v>15624</v>
      </c>
      <c r="U216" s="387"/>
      <c r="V216" s="343" t="s">
        <v>15625</v>
      </c>
      <c r="W216" s="325"/>
      <c r="X216" s="325"/>
      <c r="Y216" s="325"/>
      <c r="Z216" s="325"/>
      <c r="AA216" s="325"/>
      <c r="AB216" s="325"/>
      <c r="AC216" s="325"/>
      <c r="AD216" s="325"/>
      <c r="AE216" s="325"/>
      <c r="AF216" s="325"/>
      <c r="AG216" s="325"/>
      <c r="AH216" s="325"/>
      <c r="AI216" s="391" t="s">
        <v>15626</v>
      </c>
      <c r="AJ216" s="838">
        <f>AJ214</f>
        <v>1</v>
      </c>
      <c r="AK216" s="839"/>
      <c r="AL216" s="325"/>
      <c r="AM216" s="325"/>
      <c r="AN216" s="325"/>
      <c r="AO216" s="325"/>
      <c r="AP216" s="325"/>
      <c r="AQ216" s="325"/>
      <c r="AR216" s="325"/>
      <c r="AS216" s="325"/>
      <c r="AT216" s="490"/>
      <c r="AU216" s="387"/>
      <c r="AY216" s="387"/>
      <c r="AZ216" s="489">
        <f>ROUND(ROUND(Q216*AJ216,0)*$AT$208,0)</f>
        <v>115</v>
      </c>
      <c r="BA216" s="393"/>
    </row>
    <row r="217" spans="1:53" ht="16.5" customHeight="1" x14ac:dyDescent="0.15">
      <c r="A217" s="287">
        <v>12</v>
      </c>
      <c r="B217" s="287">
        <v>7799</v>
      </c>
      <c r="C217" s="394" t="s">
        <v>16802</v>
      </c>
      <c r="D217" s="403"/>
      <c r="E217" s="404"/>
      <c r="F217" s="404"/>
      <c r="G217" s="404"/>
      <c r="H217" s="406"/>
      <c r="Q217" s="395"/>
      <c r="R217" s="151"/>
      <c r="S217" s="151"/>
      <c r="U217" s="387"/>
      <c r="V217" s="343"/>
      <c r="W217" s="343"/>
      <c r="X217" s="343"/>
      <c r="Y217" s="343"/>
      <c r="Z217" s="343"/>
      <c r="AA217" s="343"/>
      <c r="AB217" s="343"/>
      <c r="AC217" s="343"/>
      <c r="AD217" s="343"/>
      <c r="AE217" s="343"/>
      <c r="AF217" s="343"/>
      <c r="AG217" s="343"/>
      <c r="AH217" s="343"/>
      <c r="AI217" s="343"/>
      <c r="AJ217" s="343"/>
      <c r="AK217" s="343"/>
      <c r="AL217" s="114" t="s">
        <v>15628</v>
      </c>
      <c r="AM217" s="396"/>
      <c r="AN217" s="396"/>
      <c r="AO217" s="396"/>
      <c r="AP217" s="396"/>
      <c r="AQ217" s="396"/>
      <c r="AR217" s="396"/>
      <c r="AS217" s="396"/>
      <c r="AT217" s="490"/>
      <c r="AU217" s="387"/>
      <c r="AY217" s="387"/>
      <c r="AZ217" s="489">
        <f>ROUND(ROUND(Q216*AR218,0)*$AT$208,0)</f>
        <v>98</v>
      </c>
      <c r="BA217" s="393"/>
    </row>
    <row r="218" spans="1:53" ht="16.5" customHeight="1" x14ac:dyDescent="0.15">
      <c r="A218" s="287">
        <v>12</v>
      </c>
      <c r="B218" s="287">
        <v>7800</v>
      </c>
      <c r="C218" s="394" t="s">
        <v>16803</v>
      </c>
      <c r="D218" s="403"/>
      <c r="E218" s="404"/>
      <c r="F218" s="404"/>
      <c r="G218" s="404"/>
      <c r="H218" s="406"/>
      <c r="Q218" s="395"/>
      <c r="R218" s="151"/>
      <c r="S218" s="151"/>
      <c r="U218" s="387"/>
      <c r="V218" s="343" t="s">
        <v>15625</v>
      </c>
      <c r="W218" s="325"/>
      <c r="X218" s="325"/>
      <c r="Y218" s="325"/>
      <c r="Z218" s="325"/>
      <c r="AA218" s="325"/>
      <c r="AB218" s="325"/>
      <c r="AC218" s="325"/>
      <c r="AD218" s="325"/>
      <c r="AE218" s="325"/>
      <c r="AF218" s="325"/>
      <c r="AG218" s="325"/>
      <c r="AH218" s="325"/>
      <c r="AI218" s="391" t="s">
        <v>15626</v>
      </c>
      <c r="AJ218" s="838">
        <f>AJ216</f>
        <v>1</v>
      </c>
      <c r="AK218" s="843"/>
      <c r="AL218" s="324" t="s">
        <v>15630</v>
      </c>
      <c r="AM218" s="325"/>
      <c r="AN218" s="325"/>
      <c r="AO218" s="325"/>
      <c r="AP218" s="325"/>
      <c r="AQ218" s="190" t="s">
        <v>398</v>
      </c>
      <c r="AR218" s="844">
        <f>AR214</f>
        <v>0.85</v>
      </c>
      <c r="AS218" s="844"/>
      <c r="AT218" s="501"/>
      <c r="AU218" s="502"/>
      <c r="AY218" s="387"/>
      <c r="AZ218" s="489">
        <f>ROUND(ROUND(ROUND(Q216*AJ218,0)*AR218,0)*$AT$208,0)</f>
        <v>98</v>
      </c>
      <c r="BA218" s="393"/>
    </row>
    <row r="219" spans="1:53" ht="16.5" customHeight="1" x14ac:dyDescent="0.15">
      <c r="A219" s="340">
        <v>12</v>
      </c>
      <c r="B219" s="341">
        <v>7801</v>
      </c>
      <c r="C219" s="390" t="s">
        <v>16804</v>
      </c>
      <c r="D219" s="403"/>
      <c r="E219" s="404"/>
      <c r="F219" s="404"/>
      <c r="G219" s="404"/>
      <c r="H219" s="406"/>
      <c r="I219" s="10"/>
      <c r="Q219" s="395"/>
      <c r="R219" s="151"/>
      <c r="S219" s="151"/>
      <c r="U219" s="387"/>
      <c r="V219" s="343"/>
      <c r="W219" s="325"/>
      <c r="X219" s="325"/>
      <c r="Y219" s="325"/>
      <c r="Z219" s="325"/>
      <c r="AA219" s="325"/>
      <c r="AB219" s="325"/>
      <c r="AC219" s="325"/>
      <c r="AD219" s="325"/>
      <c r="AE219" s="325"/>
      <c r="AF219" s="325"/>
      <c r="AG219" s="325"/>
      <c r="AH219" s="325"/>
      <c r="AI219" s="391"/>
      <c r="AJ219" s="401"/>
      <c r="AK219" s="402"/>
      <c r="AL219" s="396"/>
      <c r="AM219" s="396"/>
      <c r="AN219" s="396"/>
      <c r="AO219" s="396"/>
      <c r="AP219" s="396"/>
      <c r="AQ219" s="396"/>
      <c r="AR219" s="396"/>
      <c r="AS219" s="396"/>
      <c r="AT219" s="490"/>
      <c r="AU219" s="387"/>
      <c r="AV219" s="858" t="s">
        <v>16296</v>
      </c>
      <c r="AW219" s="858"/>
      <c r="AX219" s="858"/>
      <c r="AY219" s="860"/>
      <c r="AZ219" s="489">
        <f>ROUND(ROUND(Q216*$AT$208,0)*AV222,0)</f>
        <v>92</v>
      </c>
      <c r="BA219" s="393"/>
    </row>
    <row r="220" spans="1:53" ht="16.5" customHeight="1" x14ac:dyDescent="0.15">
      <c r="A220" s="340">
        <v>12</v>
      </c>
      <c r="B220" s="341">
        <v>7802</v>
      </c>
      <c r="C220" s="390" t="s">
        <v>16805</v>
      </c>
      <c r="D220" s="403"/>
      <c r="E220" s="404"/>
      <c r="F220" s="404"/>
      <c r="G220" s="404"/>
      <c r="H220" s="406"/>
      <c r="Q220" s="899"/>
      <c r="R220" s="899"/>
      <c r="S220" s="899"/>
      <c r="U220" s="387"/>
      <c r="V220" s="343" t="s">
        <v>15625</v>
      </c>
      <c r="W220" s="325"/>
      <c r="X220" s="325"/>
      <c r="Y220" s="325"/>
      <c r="Z220" s="325"/>
      <c r="AA220" s="325"/>
      <c r="AB220" s="325"/>
      <c r="AC220" s="325"/>
      <c r="AD220" s="325"/>
      <c r="AE220" s="325"/>
      <c r="AF220" s="325"/>
      <c r="AG220" s="325"/>
      <c r="AH220" s="325"/>
      <c r="AI220" s="391" t="s">
        <v>15626</v>
      </c>
      <c r="AJ220" s="838">
        <f>AJ218</f>
        <v>1</v>
      </c>
      <c r="AK220" s="839"/>
      <c r="AL220" s="325"/>
      <c r="AM220" s="325"/>
      <c r="AN220" s="325"/>
      <c r="AO220" s="325"/>
      <c r="AP220" s="325"/>
      <c r="AQ220" s="325"/>
      <c r="AR220" s="325"/>
      <c r="AS220" s="325"/>
      <c r="AT220" s="490"/>
      <c r="AU220" s="387"/>
      <c r="AV220" s="850"/>
      <c r="AW220" s="850"/>
      <c r="AX220" s="850"/>
      <c r="AY220" s="852"/>
      <c r="AZ220" s="489">
        <f>ROUND(ROUND(ROUND(Q216*AJ220,0)*$AT$208,0)*AV222,0)</f>
        <v>92</v>
      </c>
      <c r="BA220" s="393"/>
    </row>
    <row r="221" spans="1:53" ht="16.5" customHeight="1" x14ac:dyDescent="0.15">
      <c r="A221" s="287">
        <v>12</v>
      </c>
      <c r="B221" s="287">
        <v>7803</v>
      </c>
      <c r="C221" s="394" t="s">
        <v>16806</v>
      </c>
      <c r="D221" s="403"/>
      <c r="E221" s="404"/>
      <c r="F221" s="404"/>
      <c r="G221" s="404"/>
      <c r="H221" s="406"/>
      <c r="Q221" s="395"/>
      <c r="R221" s="151"/>
      <c r="S221" s="151"/>
      <c r="U221" s="387"/>
      <c r="V221" s="343"/>
      <c r="W221" s="343"/>
      <c r="X221" s="343"/>
      <c r="Y221" s="343"/>
      <c r="Z221" s="343"/>
      <c r="AA221" s="343"/>
      <c r="AB221" s="343"/>
      <c r="AC221" s="343"/>
      <c r="AD221" s="343"/>
      <c r="AE221" s="343"/>
      <c r="AF221" s="343"/>
      <c r="AG221" s="343"/>
      <c r="AH221" s="343"/>
      <c r="AI221" s="343"/>
      <c r="AJ221" s="343"/>
      <c r="AK221" s="343"/>
      <c r="AL221" s="114" t="s">
        <v>15628</v>
      </c>
      <c r="AM221" s="396"/>
      <c r="AN221" s="396"/>
      <c r="AO221" s="396"/>
      <c r="AP221" s="396"/>
      <c r="AQ221" s="396"/>
      <c r="AR221" s="396"/>
      <c r="AS221" s="396"/>
      <c r="AT221" s="490"/>
      <c r="AU221" s="387"/>
      <c r="AV221" s="902" t="s">
        <v>15636</v>
      </c>
      <c r="AW221" s="902"/>
      <c r="AX221" s="902"/>
      <c r="AY221" s="903"/>
      <c r="AZ221" s="489">
        <f>ROUND(ROUND(ROUND(Q216*AR222,0)*$AT$208,0)*AV222,0)</f>
        <v>78</v>
      </c>
      <c r="BA221" s="393"/>
    </row>
    <row r="222" spans="1:53" ht="16.5" customHeight="1" x14ac:dyDescent="0.15">
      <c r="A222" s="287">
        <v>12</v>
      </c>
      <c r="B222" s="287">
        <v>7804</v>
      </c>
      <c r="C222" s="394" t="s">
        <v>16807</v>
      </c>
      <c r="D222" s="403"/>
      <c r="E222" s="404"/>
      <c r="F222" s="404"/>
      <c r="G222" s="404"/>
      <c r="H222" s="406"/>
      <c r="Q222" s="395"/>
      <c r="R222" s="151"/>
      <c r="S222" s="151"/>
      <c r="U222" s="387"/>
      <c r="V222" s="343" t="s">
        <v>15625</v>
      </c>
      <c r="W222" s="325"/>
      <c r="X222" s="325"/>
      <c r="Y222" s="325"/>
      <c r="Z222" s="325"/>
      <c r="AA222" s="325"/>
      <c r="AB222" s="325"/>
      <c r="AC222" s="325"/>
      <c r="AD222" s="325"/>
      <c r="AE222" s="325"/>
      <c r="AF222" s="325"/>
      <c r="AG222" s="325"/>
      <c r="AH222" s="325"/>
      <c r="AI222" s="391" t="s">
        <v>15626</v>
      </c>
      <c r="AJ222" s="838">
        <f>AJ220</f>
        <v>1</v>
      </c>
      <c r="AK222" s="843"/>
      <c r="AL222" s="324" t="s">
        <v>15630</v>
      </c>
      <c r="AM222" s="325"/>
      <c r="AN222" s="325"/>
      <c r="AO222" s="325"/>
      <c r="AP222" s="325"/>
      <c r="AQ222" s="190" t="s">
        <v>398</v>
      </c>
      <c r="AR222" s="844">
        <f>AR218</f>
        <v>0.85</v>
      </c>
      <c r="AS222" s="844"/>
      <c r="AT222" s="501"/>
      <c r="AU222" s="502"/>
      <c r="AV222" s="844">
        <f>AV214</f>
        <v>0.8</v>
      </c>
      <c r="AW222" s="844"/>
      <c r="AX222" s="844"/>
      <c r="AY222" s="845"/>
      <c r="AZ222" s="489">
        <f>ROUND(ROUND(ROUND(ROUND(Q216*AJ222,0)*AR222,0)*$AT$208,0)*AV222,0)</f>
        <v>78</v>
      </c>
      <c r="BA222" s="393"/>
    </row>
    <row r="223" spans="1:53" ht="16.5" customHeight="1" x14ac:dyDescent="0.15">
      <c r="A223" s="340">
        <v>12</v>
      </c>
      <c r="B223" s="341">
        <v>7805</v>
      </c>
      <c r="C223" s="390" t="s">
        <v>16808</v>
      </c>
      <c r="D223" s="403"/>
      <c r="E223" s="404"/>
      <c r="F223" s="404"/>
      <c r="G223" s="404"/>
      <c r="H223" s="406"/>
      <c r="I223" s="908" t="s">
        <v>16318</v>
      </c>
      <c r="J223" s="909"/>
      <c r="K223" s="909"/>
      <c r="L223" s="909"/>
      <c r="M223" s="909"/>
      <c r="N223" s="909"/>
      <c r="O223" s="909"/>
      <c r="P223" s="909"/>
      <c r="Q223" s="909"/>
      <c r="R223" s="909"/>
      <c r="S223" s="909"/>
      <c r="T223" s="909"/>
      <c r="U223" s="910"/>
      <c r="V223" s="343"/>
      <c r="W223" s="325"/>
      <c r="X223" s="325"/>
      <c r="Y223" s="325"/>
      <c r="Z223" s="325"/>
      <c r="AA223" s="325"/>
      <c r="AB223" s="325"/>
      <c r="AC223" s="325"/>
      <c r="AD223" s="325"/>
      <c r="AE223" s="325"/>
      <c r="AF223" s="325"/>
      <c r="AG223" s="325"/>
      <c r="AH223" s="325"/>
      <c r="AI223" s="391"/>
      <c r="AJ223" s="401"/>
      <c r="AK223" s="402"/>
      <c r="AL223" s="396"/>
      <c r="AM223" s="396"/>
      <c r="AN223" s="396"/>
      <c r="AO223" s="396"/>
      <c r="AP223" s="396"/>
      <c r="AQ223" s="396"/>
      <c r="AR223" s="396"/>
      <c r="AS223" s="396"/>
      <c r="AT223" s="490"/>
      <c r="AU223" s="387"/>
      <c r="AV223" s="400"/>
      <c r="AW223" s="400"/>
      <c r="AX223" s="396"/>
      <c r="AY223" s="397"/>
      <c r="AZ223" s="489">
        <f>ROUND(Q224*$AT$208,0)</f>
        <v>114</v>
      </c>
      <c r="BA223" s="393"/>
    </row>
    <row r="224" spans="1:53" ht="16.5" customHeight="1" x14ac:dyDescent="0.15">
      <c r="A224" s="340">
        <v>12</v>
      </c>
      <c r="B224" s="341">
        <v>7806</v>
      </c>
      <c r="C224" s="390" t="s">
        <v>16809</v>
      </c>
      <c r="D224" s="403"/>
      <c r="E224" s="404"/>
      <c r="F224" s="404"/>
      <c r="G224" s="404"/>
      <c r="H224" s="406"/>
      <c r="Q224" s="836">
        <f>'2重度訪問'!U116</f>
        <v>91</v>
      </c>
      <c r="R224" s="911"/>
      <c r="S224" s="911"/>
      <c r="T224" s="152" t="s">
        <v>15624</v>
      </c>
      <c r="U224" s="387"/>
      <c r="V224" s="343" t="s">
        <v>15625</v>
      </c>
      <c r="W224" s="325"/>
      <c r="X224" s="325"/>
      <c r="Y224" s="325"/>
      <c r="Z224" s="325"/>
      <c r="AA224" s="325"/>
      <c r="AB224" s="325"/>
      <c r="AC224" s="325"/>
      <c r="AD224" s="325"/>
      <c r="AE224" s="325"/>
      <c r="AF224" s="325"/>
      <c r="AG224" s="325"/>
      <c r="AH224" s="325"/>
      <c r="AI224" s="391" t="s">
        <v>15626</v>
      </c>
      <c r="AJ224" s="838">
        <f>AJ222</f>
        <v>1</v>
      </c>
      <c r="AK224" s="839"/>
      <c r="AL224" s="325"/>
      <c r="AM224" s="325"/>
      <c r="AN224" s="325"/>
      <c r="AO224" s="325"/>
      <c r="AP224" s="325"/>
      <c r="AQ224" s="325"/>
      <c r="AR224" s="325"/>
      <c r="AS224" s="325"/>
      <c r="AT224" s="490"/>
      <c r="AU224" s="387"/>
      <c r="AY224" s="387"/>
      <c r="AZ224" s="489">
        <f>ROUND(ROUND(Q224*AJ224,0)*$AT$208,0)</f>
        <v>114</v>
      </c>
      <c r="BA224" s="393"/>
    </row>
    <row r="225" spans="1:53" ht="16.5" customHeight="1" x14ac:dyDescent="0.15">
      <c r="A225" s="287">
        <v>12</v>
      </c>
      <c r="B225" s="287">
        <v>7807</v>
      </c>
      <c r="C225" s="394" t="s">
        <v>16810</v>
      </c>
      <c r="D225" s="403"/>
      <c r="E225" s="404"/>
      <c r="F225" s="404"/>
      <c r="G225" s="404"/>
      <c r="H225" s="406"/>
      <c r="Q225" s="395"/>
      <c r="R225" s="151"/>
      <c r="S225" s="151"/>
      <c r="U225" s="387"/>
      <c r="V225" s="343"/>
      <c r="W225" s="343"/>
      <c r="X225" s="343"/>
      <c r="Y225" s="343"/>
      <c r="Z225" s="343"/>
      <c r="AA225" s="343"/>
      <c r="AB225" s="343"/>
      <c r="AC225" s="343"/>
      <c r="AD225" s="343"/>
      <c r="AE225" s="343"/>
      <c r="AF225" s="343"/>
      <c r="AG225" s="343"/>
      <c r="AH225" s="343"/>
      <c r="AI225" s="343"/>
      <c r="AJ225" s="343"/>
      <c r="AK225" s="343"/>
      <c r="AL225" s="114" t="s">
        <v>15628</v>
      </c>
      <c r="AM225" s="396"/>
      <c r="AN225" s="396"/>
      <c r="AO225" s="396"/>
      <c r="AP225" s="396"/>
      <c r="AQ225" s="396"/>
      <c r="AR225" s="396"/>
      <c r="AS225" s="396"/>
      <c r="AT225" s="490"/>
      <c r="AU225" s="387"/>
      <c r="AY225" s="387"/>
      <c r="AZ225" s="489">
        <f>ROUND(ROUND(Q224*AR226,0)*$AT$208,0)</f>
        <v>96</v>
      </c>
      <c r="BA225" s="393"/>
    </row>
    <row r="226" spans="1:53" ht="16.5" customHeight="1" x14ac:dyDescent="0.15">
      <c r="A226" s="287">
        <v>12</v>
      </c>
      <c r="B226" s="287">
        <v>7808</v>
      </c>
      <c r="C226" s="394" t="s">
        <v>16811</v>
      </c>
      <c r="D226" s="403"/>
      <c r="E226" s="404"/>
      <c r="F226" s="404"/>
      <c r="G226" s="404"/>
      <c r="H226" s="406"/>
      <c r="Q226" s="395"/>
      <c r="R226" s="151"/>
      <c r="S226" s="151"/>
      <c r="U226" s="387"/>
      <c r="V226" s="343" t="s">
        <v>15625</v>
      </c>
      <c r="W226" s="325"/>
      <c r="X226" s="325"/>
      <c r="Y226" s="325"/>
      <c r="Z226" s="325"/>
      <c r="AA226" s="325"/>
      <c r="AB226" s="325"/>
      <c r="AC226" s="325"/>
      <c r="AD226" s="325"/>
      <c r="AE226" s="325"/>
      <c r="AF226" s="325"/>
      <c r="AG226" s="325"/>
      <c r="AH226" s="325"/>
      <c r="AI226" s="391" t="s">
        <v>15626</v>
      </c>
      <c r="AJ226" s="838">
        <f>AJ224</f>
        <v>1</v>
      </c>
      <c r="AK226" s="843"/>
      <c r="AL226" s="324" t="s">
        <v>15630</v>
      </c>
      <c r="AM226" s="325"/>
      <c r="AN226" s="325"/>
      <c r="AO226" s="325"/>
      <c r="AP226" s="325"/>
      <c r="AQ226" s="190" t="s">
        <v>398</v>
      </c>
      <c r="AR226" s="844">
        <f>AR222</f>
        <v>0.85</v>
      </c>
      <c r="AS226" s="844"/>
      <c r="AT226" s="501"/>
      <c r="AU226" s="502"/>
      <c r="AY226" s="387"/>
      <c r="AZ226" s="489">
        <f>ROUND(ROUND(ROUND(Q224*AJ226,0)*AR226,0)*$AT$208,0)</f>
        <v>96</v>
      </c>
      <c r="BA226" s="393"/>
    </row>
    <row r="227" spans="1:53" ht="16.5" customHeight="1" x14ac:dyDescent="0.15">
      <c r="A227" s="340">
        <v>12</v>
      </c>
      <c r="B227" s="341">
        <v>7809</v>
      </c>
      <c r="C227" s="390" t="s">
        <v>16812</v>
      </c>
      <c r="D227" s="403"/>
      <c r="E227" s="404"/>
      <c r="F227" s="404"/>
      <c r="G227" s="404"/>
      <c r="H227" s="406"/>
      <c r="I227" s="10"/>
      <c r="Q227" s="395"/>
      <c r="R227" s="151"/>
      <c r="S227" s="151"/>
      <c r="U227" s="387"/>
      <c r="V227" s="343"/>
      <c r="W227" s="325"/>
      <c r="X227" s="325"/>
      <c r="Y227" s="325"/>
      <c r="Z227" s="325"/>
      <c r="AA227" s="325"/>
      <c r="AB227" s="325"/>
      <c r="AC227" s="325"/>
      <c r="AD227" s="325"/>
      <c r="AE227" s="325"/>
      <c r="AF227" s="325"/>
      <c r="AG227" s="325"/>
      <c r="AH227" s="325"/>
      <c r="AI227" s="391"/>
      <c r="AJ227" s="401"/>
      <c r="AK227" s="402"/>
      <c r="AL227" s="396"/>
      <c r="AM227" s="396"/>
      <c r="AN227" s="396"/>
      <c r="AO227" s="396"/>
      <c r="AP227" s="396"/>
      <c r="AQ227" s="396"/>
      <c r="AR227" s="396"/>
      <c r="AS227" s="396"/>
      <c r="AT227" s="490"/>
      <c r="AU227" s="387"/>
      <c r="AV227" s="858" t="s">
        <v>16296</v>
      </c>
      <c r="AW227" s="858"/>
      <c r="AX227" s="858"/>
      <c r="AY227" s="860"/>
      <c r="AZ227" s="489">
        <f>ROUND(ROUND(Q224*$AT$208,0)*AV230,0)</f>
        <v>91</v>
      </c>
      <c r="BA227" s="393"/>
    </row>
    <row r="228" spans="1:53" ht="16.5" customHeight="1" x14ac:dyDescent="0.15">
      <c r="A228" s="340">
        <v>12</v>
      </c>
      <c r="B228" s="341">
        <v>7810</v>
      </c>
      <c r="C228" s="390" t="s">
        <v>16813</v>
      </c>
      <c r="D228" s="403"/>
      <c r="E228" s="404"/>
      <c r="F228" s="404"/>
      <c r="G228" s="404"/>
      <c r="H228" s="406"/>
      <c r="Q228" s="899"/>
      <c r="R228" s="899"/>
      <c r="S228" s="899"/>
      <c r="U228" s="387"/>
      <c r="V228" s="343" t="s">
        <v>15625</v>
      </c>
      <c r="W228" s="325"/>
      <c r="X228" s="325"/>
      <c r="Y228" s="325"/>
      <c r="Z228" s="325"/>
      <c r="AA228" s="325"/>
      <c r="AB228" s="325"/>
      <c r="AC228" s="325"/>
      <c r="AD228" s="325"/>
      <c r="AE228" s="325"/>
      <c r="AF228" s="325"/>
      <c r="AG228" s="325"/>
      <c r="AH228" s="325"/>
      <c r="AI228" s="391" t="s">
        <v>15626</v>
      </c>
      <c r="AJ228" s="838">
        <f>AJ226</f>
        <v>1</v>
      </c>
      <c r="AK228" s="839"/>
      <c r="AL228" s="325"/>
      <c r="AM228" s="325"/>
      <c r="AN228" s="325"/>
      <c r="AO228" s="325"/>
      <c r="AP228" s="325"/>
      <c r="AQ228" s="325"/>
      <c r="AR228" s="325"/>
      <c r="AS228" s="325"/>
      <c r="AT228" s="490"/>
      <c r="AU228" s="387"/>
      <c r="AV228" s="850"/>
      <c r="AW228" s="850"/>
      <c r="AX228" s="850"/>
      <c r="AY228" s="852"/>
      <c r="AZ228" s="489">
        <f>ROUND(ROUND(ROUND(Q224*AJ228,0)*$AT$208,0)*AV230,0)</f>
        <v>91</v>
      </c>
      <c r="BA228" s="393"/>
    </row>
    <row r="229" spans="1:53" ht="16.5" customHeight="1" x14ac:dyDescent="0.15">
      <c r="A229" s="287">
        <v>12</v>
      </c>
      <c r="B229" s="287">
        <v>7811</v>
      </c>
      <c r="C229" s="394" t="s">
        <v>16814</v>
      </c>
      <c r="D229" s="403"/>
      <c r="E229" s="404"/>
      <c r="F229" s="404"/>
      <c r="G229" s="404"/>
      <c r="H229" s="406"/>
      <c r="Q229" s="395"/>
      <c r="R229" s="151"/>
      <c r="S229" s="151"/>
      <c r="U229" s="387"/>
      <c r="V229" s="343"/>
      <c r="W229" s="343"/>
      <c r="X229" s="343"/>
      <c r="Y229" s="343"/>
      <c r="Z229" s="343"/>
      <c r="AA229" s="343"/>
      <c r="AB229" s="343"/>
      <c r="AC229" s="343"/>
      <c r="AD229" s="343"/>
      <c r="AE229" s="343"/>
      <c r="AF229" s="343"/>
      <c r="AG229" s="343"/>
      <c r="AH229" s="343"/>
      <c r="AI229" s="343"/>
      <c r="AJ229" s="343"/>
      <c r="AK229" s="343"/>
      <c r="AL229" s="114" t="s">
        <v>15628</v>
      </c>
      <c r="AM229" s="396"/>
      <c r="AN229" s="396"/>
      <c r="AO229" s="396"/>
      <c r="AP229" s="396"/>
      <c r="AQ229" s="396"/>
      <c r="AR229" s="396"/>
      <c r="AS229" s="396"/>
      <c r="AT229" s="490"/>
      <c r="AU229" s="387"/>
      <c r="AV229" s="902" t="s">
        <v>15636</v>
      </c>
      <c r="AW229" s="902"/>
      <c r="AX229" s="902"/>
      <c r="AY229" s="903"/>
      <c r="AZ229" s="489">
        <f>ROUND(ROUND(ROUND(Q224*AR230,0)*$AT$208,0)*AV230,0)</f>
        <v>77</v>
      </c>
      <c r="BA229" s="393"/>
    </row>
    <row r="230" spans="1:53" ht="16.5" customHeight="1" x14ac:dyDescent="0.15">
      <c r="A230" s="287">
        <v>12</v>
      </c>
      <c r="B230" s="287">
        <v>7812</v>
      </c>
      <c r="C230" s="394" t="s">
        <v>16815</v>
      </c>
      <c r="D230" s="403"/>
      <c r="E230" s="404"/>
      <c r="F230" s="404"/>
      <c r="G230" s="404"/>
      <c r="H230" s="406"/>
      <c r="Q230" s="395"/>
      <c r="R230" s="151"/>
      <c r="S230" s="151"/>
      <c r="U230" s="387"/>
      <c r="V230" s="343" t="s">
        <v>15625</v>
      </c>
      <c r="W230" s="325"/>
      <c r="X230" s="325"/>
      <c r="Y230" s="325"/>
      <c r="Z230" s="325"/>
      <c r="AA230" s="325"/>
      <c r="AB230" s="325"/>
      <c r="AC230" s="325"/>
      <c r="AD230" s="325"/>
      <c r="AE230" s="325"/>
      <c r="AF230" s="325"/>
      <c r="AG230" s="325"/>
      <c r="AH230" s="325"/>
      <c r="AI230" s="391" t="s">
        <v>15626</v>
      </c>
      <c r="AJ230" s="838">
        <f>AJ228</f>
        <v>1</v>
      </c>
      <c r="AK230" s="843"/>
      <c r="AL230" s="324" t="s">
        <v>15630</v>
      </c>
      <c r="AM230" s="325"/>
      <c r="AN230" s="325"/>
      <c r="AO230" s="325"/>
      <c r="AP230" s="325"/>
      <c r="AQ230" s="190" t="s">
        <v>398</v>
      </c>
      <c r="AR230" s="844">
        <f>AR226</f>
        <v>0.85</v>
      </c>
      <c r="AS230" s="844"/>
      <c r="AT230" s="501"/>
      <c r="AU230" s="502"/>
      <c r="AV230" s="844">
        <f>AV222</f>
        <v>0.8</v>
      </c>
      <c r="AW230" s="844"/>
      <c r="AX230" s="844"/>
      <c r="AY230" s="845"/>
      <c r="AZ230" s="489">
        <f>ROUND(ROUND(ROUND(ROUND(Q224*AJ230,0)*AR230,0)*$AT$208,0)*AV230,0)</f>
        <v>77</v>
      </c>
      <c r="BA230" s="393"/>
    </row>
    <row r="231" spans="1:53" ht="16.5" customHeight="1" x14ac:dyDescent="0.15">
      <c r="A231" s="340">
        <v>12</v>
      </c>
      <c r="B231" s="341">
        <v>7813</v>
      </c>
      <c r="C231" s="390" t="s">
        <v>16816</v>
      </c>
      <c r="D231" s="403"/>
      <c r="E231" s="404"/>
      <c r="F231" s="404"/>
      <c r="G231" s="404"/>
      <c r="H231" s="406"/>
      <c r="I231" s="908" t="s">
        <v>16327</v>
      </c>
      <c r="J231" s="909"/>
      <c r="K231" s="909"/>
      <c r="L231" s="909"/>
      <c r="M231" s="909"/>
      <c r="N231" s="909"/>
      <c r="O231" s="909"/>
      <c r="P231" s="909"/>
      <c r="Q231" s="909"/>
      <c r="R231" s="909"/>
      <c r="S231" s="909"/>
      <c r="T231" s="909"/>
      <c r="U231" s="910"/>
      <c r="V231" s="343"/>
      <c r="W231" s="325"/>
      <c r="X231" s="325"/>
      <c r="Y231" s="325"/>
      <c r="Z231" s="325"/>
      <c r="AA231" s="325"/>
      <c r="AB231" s="325"/>
      <c r="AC231" s="325"/>
      <c r="AD231" s="325"/>
      <c r="AE231" s="325"/>
      <c r="AF231" s="325"/>
      <c r="AG231" s="325"/>
      <c r="AH231" s="325"/>
      <c r="AI231" s="391"/>
      <c r="AJ231" s="401"/>
      <c r="AK231" s="402"/>
      <c r="AL231" s="396"/>
      <c r="AM231" s="396"/>
      <c r="AN231" s="396"/>
      <c r="AO231" s="396"/>
      <c r="AP231" s="396"/>
      <c r="AQ231" s="396"/>
      <c r="AR231" s="396"/>
      <c r="AS231" s="396"/>
      <c r="AT231" s="490"/>
      <c r="AU231" s="387"/>
      <c r="AV231" s="400"/>
      <c r="AW231" s="400"/>
      <c r="AX231" s="396"/>
      <c r="AY231" s="397"/>
      <c r="AZ231" s="489">
        <f>ROUND(Q232*$AT$208,0)</f>
        <v>115</v>
      </c>
      <c r="BA231" s="393"/>
    </row>
    <row r="232" spans="1:53" ht="16.5" customHeight="1" x14ac:dyDescent="0.15">
      <c r="A232" s="340">
        <v>12</v>
      </c>
      <c r="B232" s="341">
        <v>7814</v>
      </c>
      <c r="C232" s="390" t="s">
        <v>16817</v>
      </c>
      <c r="D232" s="403"/>
      <c r="E232" s="404"/>
      <c r="F232" s="404"/>
      <c r="G232" s="404"/>
      <c r="H232" s="406"/>
      <c r="Q232" s="836">
        <f>'2重度訪問'!U120</f>
        <v>92</v>
      </c>
      <c r="R232" s="911"/>
      <c r="S232" s="911"/>
      <c r="T232" s="152" t="s">
        <v>15624</v>
      </c>
      <c r="U232" s="387"/>
      <c r="V232" s="343" t="s">
        <v>15625</v>
      </c>
      <c r="W232" s="325"/>
      <c r="X232" s="325"/>
      <c r="Y232" s="325"/>
      <c r="Z232" s="325"/>
      <c r="AA232" s="325"/>
      <c r="AB232" s="325"/>
      <c r="AC232" s="325"/>
      <c r="AD232" s="325"/>
      <c r="AE232" s="325"/>
      <c r="AF232" s="325"/>
      <c r="AG232" s="325"/>
      <c r="AH232" s="325"/>
      <c r="AI232" s="391" t="s">
        <v>15626</v>
      </c>
      <c r="AJ232" s="838">
        <f>AJ230</f>
        <v>1</v>
      </c>
      <c r="AK232" s="839"/>
      <c r="AL232" s="325"/>
      <c r="AM232" s="325"/>
      <c r="AN232" s="325"/>
      <c r="AO232" s="325"/>
      <c r="AP232" s="325"/>
      <c r="AQ232" s="325"/>
      <c r="AR232" s="325"/>
      <c r="AS232" s="325"/>
      <c r="AT232" s="490"/>
      <c r="AU232" s="387"/>
      <c r="AY232" s="387"/>
      <c r="AZ232" s="489">
        <f>ROUND(ROUND(Q232*AJ232,0)*$AT$208,0)</f>
        <v>115</v>
      </c>
      <c r="BA232" s="393"/>
    </row>
    <row r="233" spans="1:53" ht="16.5" customHeight="1" x14ac:dyDescent="0.15">
      <c r="A233" s="340">
        <v>12</v>
      </c>
      <c r="B233" s="341">
        <v>7815</v>
      </c>
      <c r="C233" s="390" t="s">
        <v>16818</v>
      </c>
      <c r="D233" s="403"/>
      <c r="E233" s="404"/>
      <c r="F233" s="404"/>
      <c r="G233" s="404"/>
      <c r="H233" s="406"/>
      <c r="Q233" s="395"/>
      <c r="R233" s="151"/>
      <c r="S233" s="151"/>
      <c r="U233" s="387"/>
      <c r="V233" s="343"/>
      <c r="W233" s="343"/>
      <c r="X233" s="343"/>
      <c r="Y233" s="343"/>
      <c r="Z233" s="343"/>
      <c r="AA233" s="343"/>
      <c r="AB233" s="343"/>
      <c r="AC233" s="343"/>
      <c r="AD233" s="343"/>
      <c r="AE233" s="343"/>
      <c r="AF233" s="343"/>
      <c r="AG233" s="343"/>
      <c r="AH233" s="343"/>
      <c r="AI233" s="343"/>
      <c r="AJ233" s="343"/>
      <c r="AK233" s="343"/>
      <c r="AL233" s="114" t="s">
        <v>15628</v>
      </c>
      <c r="AM233" s="396"/>
      <c r="AN233" s="396"/>
      <c r="AO233" s="396"/>
      <c r="AP233" s="396"/>
      <c r="AQ233" s="396"/>
      <c r="AR233" s="396"/>
      <c r="AS233" s="396"/>
      <c r="AT233" s="490"/>
      <c r="AU233" s="387"/>
      <c r="AY233" s="387"/>
      <c r="AZ233" s="489">
        <f>ROUND(ROUND(Q232*AR234,0)*$AT$208,0)</f>
        <v>98</v>
      </c>
      <c r="BA233" s="393"/>
    </row>
    <row r="234" spans="1:53" ht="16.5" customHeight="1" x14ac:dyDescent="0.15">
      <c r="A234" s="340">
        <v>12</v>
      </c>
      <c r="B234" s="341">
        <v>7816</v>
      </c>
      <c r="C234" s="390" t="s">
        <v>16819</v>
      </c>
      <c r="D234" s="403"/>
      <c r="E234" s="404"/>
      <c r="F234" s="404"/>
      <c r="G234" s="404"/>
      <c r="H234" s="406"/>
      <c r="Q234" s="395"/>
      <c r="R234" s="151"/>
      <c r="S234" s="151"/>
      <c r="U234" s="387"/>
      <c r="V234" s="343" t="s">
        <v>15625</v>
      </c>
      <c r="W234" s="325"/>
      <c r="X234" s="325"/>
      <c r="Y234" s="325"/>
      <c r="Z234" s="325"/>
      <c r="AA234" s="325"/>
      <c r="AB234" s="325"/>
      <c r="AC234" s="325"/>
      <c r="AD234" s="325"/>
      <c r="AE234" s="325"/>
      <c r="AF234" s="325"/>
      <c r="AG234" s="325"/>
      <c r="AH234" s="325"/>
      <c r="AI234" s="391" t="s">
        <v>15626</v>
      </c>
      <c r="AJ234" s="838">
        <f>AJ232</f>
        <v>1</v>
      </c>
      <c r="AK234" s="843"/>
      <c r="AL234" s="324" t="s">
        <v>15630</v>
      </c>
      <c r="AM234" s="325"/>
      <c r="AN234" s="325"/>
      <c r="AO234" s="325"/>
      <c r="AP234" s="325"/>
      <c r="AQ234" s="190" t="s">
        <v>398</v>
      </c>
      <c r="AR234" s="844">
        <f>AR230</f>
        <v>0.85</v>
      </c>
      <c r="AS234" s="844"/>
      <c r="AT234" s="501"/>
      <c r="AU234" s="502"/>
      <c r="AY234" s="387"/>
      <c r="AZ234" s="489">
        <f>ROUND(ROUND(ROUND(Q232*AJ234,0)*AR234,0)*$AT$208,0)</f>
        <v>98</v>
      </c>
      <c r="BA234" s="393"/>
    </row>
    <row r="235" spans="1:53" ht="16.5" customHeight="1" x14ac:dyDescent="0.15">
      <c r="A235" s="340">
        <v>12</v>
      </c>
      <c r="B235" s="341">
        <v>7817</v>
      </c>
      <c r="C235" s="390" t="s">
        <v>16820</v>
      </c>
      <c r="D235" s="403"/>
      <c r="E235" s="404"/>
      <c r="F235" s="404"/>
      <c r="G235" s="404"/>
      <c r="H235" s="406"/>
      <c r="I235" s="10"/>
      <c r="Q235" s="395"/>
      <c r="R235" s="151"/>
      <c r="S235" s="151"/>
      <c r="U235" s="387"/>
      <c r="V235" s="343"/>
      <c r="W235" s="325"/>
      <c r="X235" s="325"/>
      <c r="Y235" s="325"/>
      <c r="Z235" s="325"/>
      <c r="AA235" s="325"/>
      <c r="AB235" s="325"/>
      <c r="AC235" s="325"/>
      <c r="AD235" s="325"/>
      <c r="AE235" s="325"/>
      <c r="AF235" s="325"/>
      <c r="AG235" s="325"/>
      <c r="AH235" s="325"/>
      <c r="AI235" s="391"/>
      <c r="AJ235" s="401"/>
      <c r="AK235" s="402"/>
      <c r="AL235" s="396"/>
      <c r="AM235" s="396"/>
      <c r="AN235" s="396"/>
      <c r="AO235" s="396"/>
      <c r="AP235" s="396"/>
      <c r="AQ235" s="396"/>
      <c r="AR235" s="396"/>
      <c r="AS235" s="396"/>
      <c r="AT235" s="490"/>
      <c r="AU235" s="387"/>
      <c r="AV235" s="858" t="s">
        <v>16296</v>
      </c>
      <c r="AW235" s="858"/>
      <c r="AX235" s="858"/>
      <c r="AY235" s="860"/>
      <c r="AZ235" s="489">
        <f>ROUND(ROUND(Q232*$AT$208,0)*AV238,0)</f>
        <v>92</v>
      </c>
      <c r="BA235" s="393"/>
    </row>
    <row r="236" spans="1:53" ht="16.5" customHeight="1" x14ac:dyDescent="0.15">
      <c r="A236" s="340">
        <v>12</v>
      </c>
      <c r="B236" s="341">
        <v>7818</v>
      </c>
      <c r="C236" s="390" t="s">
        <v>16821</v>
      </c>
      <c r="D236" s="403"/>
      <c r="E236" s="404"/>
      <c r="F236" s="404"/>
      <c r="G236" s="404"/>
      <c r="H236" s="406"/>
      <c r="Q236" s="899"/>
      <c r="R236" s="899"/>
      <c r="S236" s="899"/>
      <c r="U236" s="387"/>
      <c r="V236" s="343" t="s">
        <v>15625</v>
      </c>
      <c r="W236" s="325"/>
      <c r="X236" s="325"/>
      <c r="Y236" s="325"/>
      <c r="Z236" s="325"/>
      <c r="AA236" s="325"/>
      <c r="AB236" s="325"/>
      <c r="AC236" s="325"/>
      <c r="AD236" s="325"/>
      <c r="AE236" s="325"/>
      <c r="AF236" s="325"/>
      <c r="AG236" s="325"/>
      <c r="AH236" s="325"/>
      <c r="AI236" s="391" t="s">
        <v>15626</v>
      </c>
      <c r="AJ236" s="838">
        <f>AJ234</f>
        <v>1</v>
      </c>
      <c r="AK236" s="839"/>
      <c r="AL236" s="325"/>
      <c r="AM236" s="325"/>
      <c r="AN236" s="325"/>
      <c r="AO236" s="325"/>
      <c r="AP236" s="325"/>
      <c r="AQ236" s="325"/>
      <c r="AR236" s="325"/>
      <c r="AS236" s="325"/>
      <c r="AT236" s="490"/>
      <c r="AU236" s="387"/>
      <c r="AV236" s="850"/>
      <c r="AW236" s="850"/>
      <c r="AX236" s="850"/>
      <c r="AY236" s="852"/>
      <c r="AZ236" s="489">
        <f>ROUND(ROUND(ROUND(Q232*AJ236,0)*$AT$208,0)*AV238,0)</f>
        <v>92</v>
      </c>
      <c r="BA236" s="393"/>
    </row>
    <row r="237" spans="1:53" ht="16.5" customHeight="1" x14ac:dyDescent="0.15">
      <c r="A237" s="340">
        <v>12</v>
      </c>
      <c r="B237" s="341">
        <v>7819</v>
      </c>
      <c r="C237" s="390" t="s">
        <v>16822</v>
      </c>
      <c r="D237" s="403"/>
      <c r="E237" s="404"/>
      <c r="F237" s="404"/>
      <c r="G237" s="404"/>
      <c r="H237" s="406"/>
      <c r="Q237" s="395"/>
      <c r="R237" s="151"/>
      <c r="S237" s="151"/>
      <c r="U237" s="387"/>
      <c r="V237" s="343"/>
      <c r="W237" s="343"/>
      <c r="X237" s="343"/>
      <c r="Y237" s="343"/>
      <c r="Z237" s="343"/>
      <c r="AA237" s="343"/>
      <c r="AB237" s="343"/>
      <c r="AC237" s="343"/>
      <c r="AD237" s="343"/>
      <c r="AE237" s="343"/>
      <c r="AF237" s="343"/>
      <c r="AG237" s="343"/>
      <c r="AH237" s="343"/>
      <c r="AI237" s="343"/>
      <c r="AJ237" s="343"/>
      <c r="AK237" s="343"/>
      <c r="AL237" s="114" t="s">
        <v>15628</v>
      </c>
      <c r="AM237" s="396"/>
      <c r="AN237" s="396"/>
      <c r="AO237" s="396"/>
      <c r="AP237" s="396"/>
      <c r="AQ237" s="396"/>
      <c r="AR237" s="396"/>
      <c r="AS237" s="396"/>
      <c r="AT237" s="490"/>
      <c r="AU237" s="387"/>
      <c r="AV237" s="902" t="s">
        <v>15636</v>
      </c>
      <c r="AW237" s="902"/>
      <c r="AX237" s="902"/>
      <c r="AY237" s="903"/>
      <c r="AZ237" s="489">
        <f>ROUND(ROUND(ROUND(Q232*AR238,0)*$AT$208,0)*AV238,0)</f>
        <v>78</v>
      </c>
      <c r="BA237" s="393"/>
    </row>
    <row r="238" spans="1:53" ht="16.5" customHeight="1" x14ac:dyDescent="0.15">
      <c r="A238" s="340">
        <v>12</v>
      </c>
      <c r="B238" s="341">
        <v>7820</v>
      </c>
      <c r="C238" s="390" t="s">
        <v>16823</v>
      </c>
      <c r="D238" s="403"/>
      <c r="E238" s="404"/>
      <c r="F238" s="404"/>
      <c r="G238" s="404"/>
      <c r="H238" s="406"/>
      <c r="Q238" s="395"/>
      <c r="R238" s="151"/>
      <c r="S238" s="151"/>
      <c r="U238" s="387"/>
      <c r="V238" s="343" t="s">
        <v>15625</v>
      </c>
      <c r="W238" s="325"/>
      <c r="X238" s="325"/>
      <c r="Y238" s="325"/>
      <c r="Z238" s="325"/>
      <c r="AA238" s="325"/>
      <c r="AB238" s="325"/>
      <c r="AC238" s="325"/>
      <c r="AD238" s="325"/>
      <c r="AE238" s="325"/>
      <c r="AF238" s="325"/>
      <c r="AG238" s="325"/>
      <c r="AH238" s="325"/>
      <c r="AI238" s="391" t="s">
        <v>15626</v>
      </c>
      <c r="AJ238" s="838">
        <f>AJ236</f>
        <v>1</v>
      </c>
      <c r="AK238" s="843"/>
      <c r="AL238" s="324" t="s">
        <v>15630</v>
      </c>
      <c r="AM238" s="325"/>
      <c r="AN238" s="325"/>
      <c r="AO238" s="325"/>
      <c r="AP238" s="325"/>
      <c r="AQ238" s="190" t="s">
        <v>398</v>
      </c>
      <c r="AR238" s="844">
        <f>AR234</f>
        <v>0.85</v>
      </c>
      <c r="AS238" s="844"/>
      <c r="AT238" s="501"/>
      <c r="AU238" s="502"/>
      <c r="AV238" s="844">
        <f>AV230</f>
        <v>0.8</v>
      </c>
      <c r="AW238" s="844"/>
      <c r="AX238" s="844"/>
      <c r="AY238" s="845"/>
      <c r="AZ238" s="489">
        <f>ROUND(ROUND(ROUND(ROUND(Q232*AJ238,0)*AR238,0)*$AT$208,0)*AV238,0)</f>
        <v>78</v>
      </c>
      <c r="BA238" s="393"/>
    </row>
    <row r="239" spans="1:53" ht="16.5" customHeight="1" x14ac:dyDescent="0.15">
      <c r="A239" s="340">
        <v>12</v>
      </c>
      <c r="B239" s="341">
        <v>7821</v>
      </c>
      <c r="C239" s="390" t="s">
        <v>16824</v>
      </c>
      <c r="D239" s="403"/>
      <c r="E239" s="404"/>
      <c r="F239" s="404"/>
      <c r="G239" s="404"/>
      <c r="H239" s="406"/>
      <c r="I239" s="908" t="s">
        <v>16336</v>
      </c>
      <c r="J239" s="909"/>
      <c r="K239" s="909"/>
      <c r="L239" s="909"/>
      <c r="M239" s="909"/>
      <c r="N239" s="909"/>
      <c r="O239" s="909"/>
      <c r="P239" s="909"/>
      <c r="Q239" s="909"/>
      <c r="R239" s="909"/>
      <c r="S239" s="909"/>
      <c r="T239" s="909"/>
      <c r="U239" s="910"/>
      <c r="V239" s="343"/>
      <c r="W239" s="325"/>
      <c r="X239" s="325"/>
      <c r="Y239" s="325"/>
      <c r="Z239" s="325"/>
      <c r="AA239" s="325"/>
      <c r="AB239" s="325"/>
      <c r="AC239" s="325"/>
      <c r="AD239" s="325"/>
      <c r="AE239" s="325"/>
      <c r="AF239" s="325"/>
      <c r="AG239" s="325"/>
      <c r="AH239" s="325"/>
      <c r="AI239" s="391"/>
      <c r="AJ239" s="401"/>
      <c r="AK239" s="402"/>
      <c r="AL239" s="396"/>
      <c r="AM239" s="396"/>
      <c r="AN239" s="396"/>
      <c r="AO239" s="396"/>
      <c r="AP239" s="396"/>
      <c r="AQ239" s="396"/>
      <c r="AR239" s="396"/>
      <c r="AS239" s="396"/>
      <c r="AT239" s="490"/>
      <c r="AU239" s="387"/>
      <c r="AV239" s="400"/>
      <c r="AW239" s="400"/>
      <c r="AX239" s="396"/>
      <c r="AY239" s="397"/>
      <c r="AZ239" s="489">
        <f>ROUND(Q240*$AT$208,0)</f>
        <v>113</v>
      </c>
      <c r="BA239" s="393"/>
    </row>
    <row r="240" spans="1:53" ht="16.5" customHeight="1" x14ac:dyDescent="0.15">
      <c r="A240" s="340">
        <v>12</v>
      </c>
      <c r="B240" s="341">
        <v>7822</v>
      </c>
      <c r="C240" s="390" t="s">
        <v>16825</v>
      </c>
      <c r="D240" s="403"/>
      <c r="E240" s="404"/>
      <c r="F240" s="404"/>
      <c r="G240" s="404"/>
      <c r="H240" s="406"/>
      <c r="Q240" s="836">
        <f>'2重度訪問'!U124</f>
        <v>90</v>
      </c>
      <c r="R240" s="911"/>
      <c r="S240" s="911"/>
      <c r="T240" s="152" t="s">
        <v>15624</v>
      </c>
      <c r="U240" s="387"/>
      <c r="V240" s="343" t="s">
        <v>15625</v>
      </c>
      <c r="W240" s="325"/>
      <c r="X240" s="325"/>
      <c r="Y240" s="325"/>
      <c r="Z240" s="325"/>
      <c r="AA240" s="325"/>
      <c r="AB240" s="325"/>
      <c r="AC240" s="325"/>
      <c r="AD240" s="325"/>
      <c r="AE240" s="325"/>
      <c r="AF240" s="325"/>
      <c r="AG240" s="325"/>
      <c r="AH240" s="325"/>
      <c r="AI240" s="391" t="s">
        <v>15626</v>
      </c>
      <c r="AJ240" s="838">
        <f>AJ238</f>
        <v>1</v>
      </c>
      <c r="AK240" s="839"/>
      <c r="AL240" s="325"/>
      <c r="AM240" s="325"/>
      <c r="AN240" s="325"/>
      <c r="AO240" s="325"/>
      <c r="AP240" s="325"/>
      <c r="AQ240" s="325"/>
      <c r="AR240" s="325"/>
      <c r="AS240" s="325"/>
      <c r="AT240" s="490"/>
      <c r="AU240" s="387"/>
      <c r="AY240" s="387"/>
      <c r="AZ240" s="489">
        <f>ROUND(ROUND(Q240*AJ240,0)*$AT$208,0)</f>
        <v>113</v>
      </c>
      <c r="BA240" s="393"/>
    </row>
    <row r="241" spans="1:53" ht="16.5" customHeight="1" x14ac:dyDescent="0.15">
      <c r="A241" s="340">
        <v>12</v>
      </c>
      <c r="B241" s="341">
        <v>7823</v>
      </c>
      <c r="C241" s="390" t="s">
        <v>16826</v>
      </c>
      <c r="D241" s="403"/>
      <c r="E241" s="404"/>
      <c r="F241" s="404"/>
      <c r="G241" s="404"/>
      <c r="H241" s="406"/>
      <c r="Q241" s="395"/>
      <c r="R241" s="151"/>
      <c r="S241" s="151"/>
      <c r="U241" s="387"/>
      <c r="V241" s="343"/>
      <c r="W241" s="343"/>
      <c r="X241" s="343"/>
      <c r="Y241" s="343"/>
      <c r="Z241" s="343"/>
      <c r="AA241" s="343"/>
      <c r="AB241" s="343"/>
      <c r="AC241" s="343"/>
      <c r="AD241" s="343"/>
      <c r="AE241" s="343"/>
      <c r="AF241" s="343"/>
      <c r="AG241" s="343"/>
      <c r="AH241" s="343"/>
      <c r="AI241" s="343"/>
      <c r="AJ241" s="343"/>
      <c r="AK241" s="343"/>
      <c r="AL241" s="114" t="s">
        <v>15628</v>
      </c>
      <c r="AM241" s="396"/>
      <c r="AN241" s="396"/>
      <c r="AO241" s="396"/>
      <c r="AP241" s="396"/>
      <c r="AQ241" s="396"/>
      <c r="AR241" s="396"/>
      <c r="AS241" s="396"/>
      <c r="AT241" s="490"/>
      <c r="AU241" s="387"/>
      <c r="AY241" s="387"/>
      <c r="AZ241" s="489">
        <f>ROUND(ROUND(Q240*AR242,0)*$AT$208,0)</f>
        <v>96</v>
      </c>
      <c r="BA241" s="393"/>
    </row>
    <row r="242" spans="1:53" ht="16.5" customHeight="1" x14ac:dyDescent="0.15">
      <c r="A242" s="340">
        <v>12</v>
      </c>
      <c r="B242" s="341">
        <v>7824</v>
      </c>
      <c r="C242" s="390" t="s">
        <v>16827</v>
      </c>
      <c r="D242" s="403"/>
      <c r="E242" s="404"/>
      <c r="F242" s="404"/>
      <c r="G242" s="404"/>
      <c r="H242" s="406"/>
      <c r="Q242" s="395"/>
      <c r="R242" s="151"/>
      <c r="S242" s="151"/>
      <c r="U242" s="387"/>
      <c r="V242" s="343" t="s">
        <v>15625</v>
      </c>
      <c r="W242" s="325"/>
      <c r="X242" s="325"/>
      <c r="Y242" s="325"/>
      <c r="Z242" s="325"/>
      <c r="AA242" s="325"/>
      <c r="AB242" s="325"/>
      <c r="AC242" s="325"/>
      <c r="AD242" s="325"/>
      <c r="AE242" s="325"/>
      <c r="AF242" s="325"/>
      <c r="AG242" s="325"/>
      <c r="AH242" s="325"/>
      <c r="AI242" s="391" t="s">
        <v>15626</v>
      </c>
      <c r="AJ242" s="838">
        <f>AJ240</f>
        <v>1</v>
      </c>
      <c r="AK242" s="843"/>
      <c r="AL242" s="324" t="s">
        <v>15630</v>
      </c>
      <c r="AM242" s="325"/>
      <c r="AN242" s="325"/>
      <c r="AO242" s="325"/>
      <c r="AP242" s="325"/>
      <c r="AQ242" s="190" t="s">
        <v>398</v>
      </c>
      <c r="AR242" s="844">
        <f>AR238</f>
        <v>0.85</v>
      </c>
      <c r="AS242" s="844"/>
      <c r="AT242" s="501"/>
      <c r="AU242" s="502"/>
      <c r="AY242" s="387"/>
      <c r="AZ242" s="489">
        <f>ROUND(ROUND(ROUND(Q240*AJ242,0)*AR242,0)*$AT$208,0)</f>
        <v>96</v>
      </c>
      <c r="BA242" s="393"/>
    </row>
    <row r="243" spans="1:53" ht="16.5" customHeight="1" x14ac:dyDescent="0.15">
      <c r="A243" s="340">
        <v>12</v>
      </c>
      <c r="B243" s="341">
        <v>7825</v>
      </c>
      <c r="C243" s="390" t="s">
        <v>16828</v>
      </c>
      <c r="D243" s="403"/>
      <c r="E243" s="404"/>
      <c r="F243" s="404"/>
      <c r="G243" s="404"/>
      <c r="H243" s="406"/>
      <c r="I243" s="10"/>
      <c r="Q243" s="395"/>
      <c r="R243" s="151"/>
      <c r="S243" s="151"/>
      <c r="U243" s="387"/>
      <c r="V243" s="343"/>
      <c r="W243" s="325"/>
      <c r="X243" s="325"/>
      <c r="Y243" s="325"/>
      <c r="Z243" s="325"/>
      <c r="AA243" s="325"/>
      <c r="AB243" s="325"/>
      <c r="AC243" s="325"/>
      <c r="AD243" s="325"/>
      <c r="AE243" s="325"/>
      <c r="AF243" s="325"/>
      <c r="AG243" s="325"/>
      <c r="AH243" s="325"/>
      <c r="AI243" s="391"/>
      <c r="AJ243" s="401"/>
      <c r="AK243" s="402"/>
      <c r="AL243" s="396"/>
      <c r="AM243" s="396"/>
      <c r="AN243" s="396"/>
      <c r="AO243" s="396"/>
      <c r="AP243" s="396"/>
      <c r="AQ243" s="396"/>
      <c r="AR243" s="396"/>
      <c r="AS243" s="396"/>
      <c r="AT243" s="490"/>
      <c r="AU243" s="387"/>
      <c r="AV243" s="858" t="s">
        <v>16296</v>
      </c>
      <c r="AW243" s="858"/>
      <c r="AX243" s="858"/>
      <c r="AY243" s="860"/>
      <c r="AZ243" s="489">
        <f>ROUND(ROUND(Q240*$AT$208,0)*AV246,0)</f>
        <v>90</v>
      </c>
      <c r="BA243" s="393"/>
    </row>
    <row r="244" spans="1:53" ht="16.5" customHeight="1" x14ac:dyDescent="0.15">
      <c r="A244" s="340">
        <v>12</v>
      </c>
      <c r="B244" s="341">
        <v>7826</v>
      </c>
      <c r="C244" s="390" t="s">
        <v>16829</v>
      </c>
      <c r="D244" s="403"/>
      <c r="E244" s="404"/>
      <c r="F244" s="404"/>
      <c r="G244" s="404"/>
      <c r="H244" s="406"/>
      <c r="Q244" s="899"/>
      <c r="R244" s="899"/>
      <c r="S244" s="899"/>
      <c r="U244" s="387"/>
      <c r="V244" s="343" t="s">
        <v>15625</v>
      </c>
      <c r="W244" s="325"/>
      <c r="X244" s="325"/>
      <c r="Y244" s="325"/>
      <c r="Z244" s="325"/>
      <c r="AA244" s="325"/>
      <c r="AB244" s="325"/>
      <c r="AC244" s="325"/>
      <c r="AD244" s="325"/>
      <c r="AE244" s="325"/>
      <c r="AF244" s="325"/>
      <c r="AG244" s="325"/>
      <c r="AH244" s="325"/>
      <c r="AI244" s="391" t="s">
        <v>15626</v>
      </c>
      <c r="AJ244" s="838">
        <f>AJ242</f>
        <v>1</v>
      </c>
      <c r="AK244" s="839"/>
      <c r="AL244" s="325"/>
      <c r="AM244" s="325"/>
      <c r="AN244" s="325"/>
      <c r="AO244" s="325"/>
      <c r="AP244" s="325"/>
      <c r="AQ244" s="325"/>
      <c r="AR244" s="325"/>
      <c r="AS244" s="325"/>
      <c r="AT244" s="490"/>
      <c r="AU244" s="387"/>
      <c r="AV244" s="850"/>
      <c r="AW244" s="850"/>
      <c r="AX244" s="850"/>
      <c r="AY244" s="852"/>
      <c r="AZ244" s="489">
        <f>ROUND(ROUND(ROUND(Q240*AJ244,0)*$AT$208,0)*AV246,0)</f>
        <v>90</v>
      </c>
      <c r="BA244" s="393"/>
    </row>
    <row r="245" spans="1:53" ht="16.5" customHeight="1" x14ac:dyDescent="0.15">
      <c r="A245" s="340">
        <v>12</v>
      </c>
      <c r="B245" s="341">
        <v>7827</v>
      </c>
      <c r="C245" s="390" t="s">
        <v>16830</v>
      </c>
      <c r="D245" s="403"/>
      <c r="E245" s="404"/>
      <c r="F245" s="404"/>
      <c r="G245" s="404"/>
      <c r="H245" s="406"/>
      <c r="Q245" s="395"/>
      <c r="R245" s="151"/>
      <c r="S245" s="151"/>
      <c r="U245" s="387"/>
      <c r="V245" s="343"/>
      <c r="W245" s="343"/>
      <c r="X245" s="343"/>
      <c r="Y245" s="343"/>
      <c r="Z245" s="343"/>
      <c r="AA245" s="343"/>
      <c r="AB245" s="343"/>
      <c r="AC245" s="343"/>
      <c r="AD245" s="343"/>
      <c r="AE245" s="343"/>
      <c r="AF245" s="343"/>
      <c r="AG245" s="343"/>
      <c r="AH245" s="343"/>
      <c r="AI245" s="343"/>
      <c r="AJ245" s="343"/>
      <c r="AK245" s="343"/>
      <c r="AL245" s="114" t="s">
        <v>15628</v>
      </c>
      <c r="AM245" s="396"/>
      <c r="AN245" s="396"/>
      <c r="AO245" s="396"/>
      <c r="AP245" s="396"/>
      <c r="AQ245" s="396"/>
      <c r="AR245" s="396"/>
      <c r="AS245" s="396"/>
      <c r="AT245" s="490"/>
      <c r="AU245" s="387"/>
      <c r="AV245" s="902" t="s">
        <v>15636</v>
      </c>
      <c r="AW245" s="902"/>
      <c r="AX245" s="902"/>
      <c r="AY245" s="903"/>
      <c r="AZ245" s="489">
        <f>ROUND(ROUND(ROUND(Q240*AR246,0)*$AT$208,0)*AV246,0)</f>
        <v>77</v>
      </c>
      <c r="BA245" s="393"/>
    </row>
    <row r="246" spans="1:53" ht="16.5" customHeight="1" x14ac:dyDescent="0.15">
      <c r="A246" s="340">
        <v>12</v>
      </c>
      <c r="B246" s="341">
        <v>7828</v>
      </c>
      <c r="C246" s="390" t="s">
        <v>16831</v>
      </c>
      <c r="D246" s="403"/>
      <c r="E246" s="404"/>
      <c r="F246" s="404"/>
      <c r="G246" s="404"/>
      <c r="H246" s="406"/>
      <c r="Q246" s="395"/>
      <c r="R246" s="151"/>
      <c r="S246" s="151"/>
      <c r="U246" s="387"/>
      <c r="V246" s="343" t="s">
        <v>15625</v>
      </c>
      <c r="W246" s="325"/>
      <c r="X246" s="325"/>
      <c r="Y246" s="325"/>
      <c r="Z246" s="325"/>
      <c r="AA246" s="325"/>
      <c r="AB246" s="325"/>
      <c r="AC246" s="325"/>
      <c r="AD246" s="325"/>
      <c r="AE246" s="325"/>
      <c r="AF246" s="325"/>
      <c r="AG246" s="325"/>
      <c r="AH246" s="325"/>
      <c r="AI246" s="391" t="s">
        <v>15626</v>
      </c>
      <c r="AJ246" s="838">
        <f>AJ244</f>
        <v>1</v>
      </c>
      <c r="AK246" s="843"/>
      <c r="AL246" s="324" t="s">
        <v>15630</v>
      </c>
      <c r="AM246" s="325"/>
      <c r="AN246" s="325"/>
      <c r="AO246" s="325"/>
      <c r="AP246" s="325"/>
      <c r="AQ246" s="190" t="s">
        <v>398</v>
      </c>
      <c r="AR246" s="844">
        <f>AR242</f>
        <v>0.85</v>
      </c>
      <c r="AS246" s="844"/>
      <c r="AT246" s="501"/>
      <c r="AU246" s="502"/>
      <c r="AV246" s="844">
        <f>AV238</f>
        <v>0.8</v>
      </c>
      <c r="AW246" s="844"/>
      <c r="AX246" s="844"/>
      <c r="AY246" s="845"/>
      <c r="AZ246" s="489">
        <f>ROUND(ROUND(ROUND(ROUND(Q240*AJ246,0)*AR246,0)*$AT$208,0)*AV246,0)</f>
        <v>77</v>
      </c>
      <c r="BA246" s="393"/>
    </row>
    <row r="247" spans="1:53" ht="16.5" customHeight="1" x14ac:dyDescent="0.15">
      <c r="A247" s="340">
        <v>12</v>
      </c>
      <c r="B247" s="341">
        <v>7829</v>
      </c>
      <c r="C247" s="390" t="s">
        <v>16832</v>
      </c>
      <c r="D247" s="403"/>
      <c r="E247" s="404"/>
      <c r="F247" s="404"/>
      <c r="G247" s="404"/>
      <c r="H247" s="406"/>
      <c r="I247" s="908" t="s">
        <v>16345</v>
      </c>
      <c r="J247" s="909"/>
      <c r="K247" s="909"/>
      <c r="L247" s="909"/>
      <c r="M247" s="909"/>
      <c r="N247" s="909"/>
      <c r="O247" s="909"/>
      <c r="P247" s="909"/>
      <c r="Q247" s="909"/>
      <c r="R247" s="909"/>
      <c r="S247" s="909"/>
      <c r="T247" s="909"/>
      <c r="U247" s="910"/>
      <c r="V247" s="343"/>
      <c r="W247" s="325"/>
      <c r="X247" s="325"/>
      <c r="Y247" s="325"/>
      <c r="Z247" s="325"/>
      <c r="AA247" s="325"/>
      <c r="AB247" s="325"/>
      <c r="AC247" s="325"/>
      <c r="AD247" s="325"/>
      <c r="AE247" s="325"/>
      <c r="AF247" s="325"/>
      <c r="AG247" s="325"/>
      <c r="AH247" s="325"/>
      <c r="AI247" s="391"/>
      <c r="AJ247" s="401"/>
      <c r="AK247" s="402"/>
      <c r="AL247" s="396"/>
      <c r="AM247" s="396"/>
      <c r="AN247" s="396"/>
      <c r="AO247" s="396"/>
      <c r="AP247" s="396"/>
      <c r="AQ247" s="396"/>
      <c r="AR247" s="396"/>
      <c r="AS247" s="396"/>
      <c r="AT247" s="490"/>
      <c r="AU247" s="387"/>
      <c r="AV247" s="400"/>
      <c r="AW247" s="400"/>
      <c r="AX247" s="396"/>
      <c r="AY247" s="397"/>
      <c r="AZ247" s="489">
        <f>ROUND(Q248*$AT$208,0)</f>
        <v>115</v>
      </c>
      <c r="BA247" s="393"/>
    </row>
    <row r="248" spans="1:53" ht="16.5" customHeight="1" x14ac:dyDescent="0.15">
      <c r="A248" s="340">
        <v>12</v>
      </c>
      <c r="B248" s="341">
        <v>7830</v>
      </c>
      <c r="C248" s="390" t="s">
        <v>16833</v>
      </c>
      <c r="D248" s="403"/>
      <c r="E248" s="404"/>
      <c r="F248" s="404"/>
      <c r="G248" s="404"/>
      <c r="H248" s="406"/>
      <c r="Q248" s="836">
        <f>'2重度訪問'!U128</f>
        <v>92</v>
      </c>
      <c r="R248" s="911"/>
      <c r="S248" s="911"/>
      <c r="T248" s="152" t="s">
        <v>15624</v>
      </c>
      <c r="U248" s="387"/>
      <c r="V248" s="343" t="s">
        <v>15625</v>
      </c>
      <c r="W248" s="325"/>
      <c r="X248" s="325"/>
      <c r="Y248" s="325"/>
      <c r="Z248" s="325"/>
      <c r="AA248" s="325"/>
      <c r="AB248" s="325"/>
      <c r="AC248" s="325"/>
      <c r="AD248" s="325"/>
      <c r="AE248" s="325"/>
      <c r="AF248" s="325"/>
      <c r="AG248" s="325"/>
      <c r="AH248" s="325"/>
      <c r="AI248" s="391" t="s">
        <v>15626</v>
      </c>
      <c r="AJ248" s="838">
        <f>AJ246</f>
        <v>1</v>
      </c>
      <c r="AK248" s="839"/>
      <c r="AL248" s="325"/>
      <c r="AM248" s="325"/>
      <c r="AN248" s="325"/>
      <c r="AO248" s="325"/>
      <c r="AP248" s="325"/>
      <c r="AQ248" s="325"/>
      <c r="AR248" s="325"/>
      <c r="AS248" s="325"/>
      <c r="AT248" s="490"/>
      <c r="AU248" s="387"/>
      <c r="AY248" s="387"/>
      <c r="AZ248" s="489">
        <f>ROUND(ROUND(Q248*AJ248,0)*$AT$208,0)</f>
        <v>115</v>
      </c>
      <c r="BA248" s="393"/>
    </row>
    <row r="249" spans="1:53" ht="16.5" customHeight="1" x14ac:dyDescent="0.15">
      <c r="A249" s="340">
        <v>12</v>
      </c>
      <c r="B249" s="341">
        <v>7831</v>
      </c>
      <c r="C249" s="390" t="s">
        <v>16834</v>
      </c>
      <c r="D249" s="403"/>
      <c r="E249" s="404"/>
      <c r="F249" s="404"/>
      <c r="G249" s="404"/>
      <c r="H249" s="406"/>
      <c r="Q249" s="395"/>
      <c r="R249" s="151"/>
      <c r="S249" s="151"/>
      <c r="U249" s="387"/>
      <c r="V249" s="343"/>
      <c r="W249" s="343"/>
      <c r="X249" s="343"/>
      <c r="Y249" s="343"/>
      <c r="Z249" s="343"/>
      <c r="AA249" s="343"/>
      <c r="AB249" s="343"/>
      <c r="AC249" s="343"/>
      <c r="AD249" s="343"/>
      <c r="AE249" s="343"/>
      <c r="AF249" s="343"/>
      <c r="AG249" s="343"/>
      <c r="AH249" s="343"/>
      <c r="AI249" s="343"/>
      <c r="AJ249" s="343"/>
      <c r="AK249" s="343"/>
      <c r="AL249" s="114" t="s">
        <v>15628</v>
      </c>
      <c r="AM249" s="396"/>
      <c r="AN249" s="396"/>
      <c r="AO249" s="396"/>
      <c r="AP249" s="396"/>
      <c r="AQ249" s="396"/>
      <c r="AR249" s="396"/>
      <c r="AS249" s="396"/>
      <c r="AT249" s="490"/>
      <c r="AU249" s="387"/>
      <c r="AY249" s="387"/>
      <c r="AZ249" s="489">
        <f>ROUND(ROUND(Q248*AR250,0)*$AT$208,0)</f>
        <v>98</v>
      </c>
      <c r="BA249" s="393"/>
    </row>
    <row r="250" spans="1:53" ht="16.5" customHeight="1" x14ac:dyDescent="0.15">
      <c r="A250" s="340">
        <v>12</v>
      </c>
      <c r="B250" s="341">
        <v>7832</v>
      </c>
      <c r="C250" s="390" t="s">
        <v>16835</v>
      </c>
      <c r="D250" s="403"/>
      <c r="E250" s="404"/>
      <c r="F250" s="404"/>
      <c r="G250" s="404"/>
      <c r="H250" s="406"/>
      <c r="Q250" s="395"/>
      <c r="R250" s="151"/>
      <c r="S250" s="151"/>
      <c r="U250" s="387"/>
      <c r="V250" s="343" t="s">
        <v>15625</v>
      </c>
      <c r="W250" s="325"/>
      <c r="X250" s="325"/>
      <c r="Y250" s="325"/>
      <c r="Z250" s="325"/>
      <c r="AA250" s="325"/>
      <c r="AB250" s="325"/>
      <c r="AC250" s="325"/>
      <c r="AD250" s="325"/>
      <c r="AE250" s="325"/>
      <c r="AF250" s="325"/>
      <c r="AG250" s="325"/>
      <c r="AH250" s="325"/>
      <c r="AI250" s="391" t="s">
        <v>15626</v>
      </c>
      <c r="AJ250" s="838">
        <f>AJ248</f>
        <v>1</v>
      </c>
      <c r="AK250" s="843"/>
      <c r="AL250" s="324" t="s">
        <v>15630</v>
      </c>
      <c r="AM250" s="325"/>
      <c r="AN250" s="325"/>
      <c r="AO250" s="325"/>
      <c r="AP250" s="325"/>
      <c r="AQ250" s="190" t="s">
        <v>398</v>
      </c>
      <c r="AR250" s="844">
        <f>AR246</f>
        <v>0.85</v>
      </c>
      <c r="AS250" s="844"/>
      <c r="AT250" s="501"/>
      <c r="AU250" s="502"/>
      <c r="AY250" s="387"/>
      <c r="AZ250" s="489">
        <f>ROUND(ROUND(ROUND(Q248*AJ250,0)*AR250,0)*$AT$208,0)</f>
        <v>98</v>
      </c>
      <c r="BA250" s="393"/>
    </row>
    <row r="251" spans="1:53" ht="16.5" customHeight="1" x14ac:dyDescent="0.15">
      <c r="A251" s="340">
        <v>12</v>
      </c>
      <c r="B251" s="341">
        <v>7833</v>
      </c>
      <c r="C251" s="390" t="s">
        <v>16836</v>
      </c>
      <c r="D251" s="403"/>
      <c r="E251" s="404"/>
      <c r="F251" s="404"/>
      <c r="G251" s="404"/>
      <c r="H251" s="406"/>
      <c r="I251" s="10"/>
      <c r="Q251" s="395"/>
      <c r="R251" s="151"/>
      <c r="S251" s="151"/>
      <c r="U251" s="387"/>
      <c r="V251" s="343"/>
      <c r="W251" s="325"/>
      <c r="X251" s="325"/>
      <c r="Y251" s="325"/>
      <c r="Z251" s="325"/>
      <c r="AA251" s="325"/>
      <c r="AB251" s="325"/>
      <c r="AC251" s="325"/>
      <c r="AD251" s="325"/>
      <c r="AE251" s="325"/>
      <c r="AF251" s="325"/>
      <c r="AG251" s="325"/>
      <c r="AH251" s="325"/>
      <c r="AI251" s="391"/>
      <c r="AJ251" s="401"/>
      <c r="AK251" s="402"/>
      <c r="AL251" s="396"/>
      <c r="AM251" s="396"/>
      <c r="AN251" s="396"/>
      <c r="AO251" s="396"/>
      <c r="AP251" s="396"/>
      <c r="AQ251" s="396"/>
      <c r="AR251" s="396"/>
      <c r="AS251" s="396"/>
      <c r="AT251" s="490"/>
      <c r="AU251" s="387"/>
      <c r="AV251" s="858" t="s">
        <v>16296</v>
      </c>
      <c r="AW251" s="858"/>
      <c r="AX251" s="858"/>
      <c r="AY251" s="860"/>
      <c r="AZ251" s="489">
        <f>ROUND(ROUND(Q248*$AT$208,0)*AV254,0)</f>
        <v>92</v>
      </c>
      <c r="BA251" s="393"/>
    </row>
    <row r="252" spans="1:53" ht="16.5" customHeight="1" x14ac:dyDescent="0.15">
      <c r="A252" s="340">
        <v>12</v>
      </c>
      <c r="B252" s="341">
        <v>7834</v>
      </c>
      <c r="C252" s="390" t="s">
        <v>16837</v>
      </c>
      <c r="D252" s="403"/>
      <c r="E252" s="404"/>
      <c r="F252" s="404"/>
      <c r="G252" s="404"/>
      <c r="H252" s="406"/>
      <c r="Q252" s="899"/>
      <c r="R252" s="899"/>
      <c r="S252" s="899"/>
      <c r="U252" s="387"/>
      <c r="V252" s="343" t="s">
        <v>15625</v>
      </c>
      <c r="W252" s="325"/>
      <c r="X252" s="325"/>
      <c r="Y252" s="325"/>
      <c r="Z252" s="325"/>
      <c r="AA252" s="325"/>
      <c r="AB252" s="325"/>
      <c r="AC252" s="325"/>
      <c r="AD252" s="325"/>
      <c r="AE252" s="325"/>
      <c r="AF252" s="325"/>
      <c r="AG252" s="325"/>
      <c r="AH252" s="325"/>
      <c r="AI252" s="391" t="s">
        <v>15626</v>
      </c>
      <c r="AJ252" s="838">
        <f>AJ250</f>
        <v>1</v>
      </c>
      <c r="AK252" s="839"/>
      <c r="AL252" s="325"/>
      <c r="AM252" s="325"/>
      <c r="AN252" s="325"/>
      <c r="AO252" s="325"/>
      <c r="AP252" s="325"/>
      <c r="AQ252" s="325"/>
      <c r="AR252" s="325"/>
      <c r="AS252" s="325"/>
      <c r="AT252" s="490"/>
      <c r="AU252" s="387"/>
      <c r="AV252" s="850"/>
      <c r="AW252" s="850"/>
      <c r="AX252" s="850"/>
      <c r="AY252" s="852"/>
      <c r="AZ252" s="489">
        <f>ROUND(ROUND(ROUND(Q248*AJ252,0)*$AT$208,0)*AV254,0)</f>
        <v>92</v>
      </c>
      <c r="BA252" s="393"/>
    </row>
    <row r="253" spans="1:53" ht="16.5" customHeight="1" x14ac:dyDescent="0.15">
      <c r="A253" s="340">
        <v>12</v>
      </c>
      <c r="B253" s="341">
        <v>7835</v>
      </c>
      <c r="C253" s="390" t="s">
        <v>16838</v>
      </c>
      <c r="D253" s="403"/>
      <c r="E253" s="404"/>
      <c r="F253" s="404"/>
      <c r="G253" s="404"/>
      <c r="H253" s="406"/>
      <c r="Q253" s="395"/>
      <c r="R253" s="151"/>
      <c r="S253" s="151"/>
      <c r="U253" s="387"/>
      <c r="V253" s="343"/>
      <c r="W253" s="343"/>
      <c r="X253" s="343"/>
      <c r="Y253" s="343"/>
      <c r="Z253" s="343"/>
      <c r="AA253" s="343"/>
      <c r="AB253" s="343"/>
      <c r="AC253" s="343"/>
      <c r="AD253" s="343"/>
      <c r="AE253" s="343"/>
      <c r="AF253" s="343"/>
      <c r="AG253" s="343"/>
      <c r="AH253" s="343"/>
      <c r="AI253" s="343"/>
      <c r="AJ253" s="343"/>
      <c r="AK253" s="343"/>
      <c r="AL253" s="114" t="s">
        <v>15628</v>
      </c>
      <c r="AM253" s="396"/>
      <c r="AN253" s="396"/>
      <c r="AO253" s="396"/>
      <c r="AP253" s="396"/>
      <c r="AQ253" s="396"/>
      <c r="AR253" s="396"/>
      <c r="AS253" s="396"/>
      <c r="AT253" s="490"/>
      <c r="AU253" s="387"/>
      <c r="AV253" s="902" t="s">
        <v>15636</v>
      </c>
      <c r="AW253" s="902"/>
      <c r="AX253" s="902"/>
      <c r="AY253" s="903"/>
      <c r="AZ253" s="489">
        <f>ROUND(ROUND(ROUND(Q248*AR254,0)*$AT$208,0)*AV254,0)</f>
        <v>78</v>
      </c>
      <c r="BA253" s="393"/>
    </row>
    <row r="254" spans="1:53" ht="16.5" customHeight="1" x14ac:dyDescent="0.15">
      <c r="A254" s="340">
        <v>12</v>
      </c>
      <c r="B254" s="341">
        <v>7836</v>
      </c>
      <c r="C254" s="390" t="s">
        <v>16839</v>
      </c>
      <c r="D254" s="403"/>
      <c r="E254" s="404"/>
      <c r="F254" s="404"/>
      <c r="G254" s="404"/>
      <c r="H254" s="406"/>
      <c r="Q254" s="395"/>
      <c r="R254" s="151"/>
      <c r="S254" s="151"/>
      <c r="U254" s="387"/>
      <c r="V254" s="343" t="s">
        <v>15625</v>
      </c>
      <c r="W254" s="325"/>
      <c r="X254" s="325"/>
      <c r="Y254" s="325"/>
      <c r="Z254" s="325"/>
      <c r="AA254" s="325"/>
      <c r="AB254" s="325"/>
      <c r="AC254" s="325"/>
      <c r="AD254" s="325"/>
      <c r="AE254" s="325"/>
      <c r="AF254" s="325"/>
      <c r="AG254" s="325"/>
      <c r="AH254" s="325"/>
      <c r="AI254" s="391" t="s">
        <v>15626</v>
      </c>
      <c r="AJ254" s="838">
        <f>AJ252</f>
        <v>1</v>
      </c>
      <c r="AK254" s="843"/>
      <c r="AL254" s="324" t="s">
        <v>15630</v>
      </c>
      <c r="AM254" s="325"/>
      <c r="AN254" s="325"/>
      <c r="AO254" s="325"/>
      <c r="AP254" s="325"/>
      <c r="AQ254" s="190" t="s">
        <v>398</v>
      </c>
      <c r="AR254" s="844">
        <f>AR250</f>
        <v>0.85</v>
      </c>
      <c r="AS254" s="844"/>
      <c r="AT254" s="501"/>
      <c r="AU254" s="502"/>
      <c r="AV254" s="844">
        <f>AV246</f>
        <v>0.8</v>
      </c>
      <c r="AW254" s="844"/>
      <c r="AX254" s="844"/>
      <c r="AY254" s="845"/>
      <c r="AZ254" s="489">
        <f>ROUND(ROUND(ROUND(ROUND(Q248*AJ254,0)*AR254,0)*$AT$208,0)*AV254,0)</f>
        <v>78</v>
      </c>
      <c r="BA254" s="393"/>
    </row>
    <row r="255" spans="1:53" ht="17.100000000000001" customHeight="1" x14ac:dyDescent="0.15">
      <c r="A255" s="340">
        <v>12</v>
      </c>
      <c r="B255" s="341">
        <v>7837</v>
      </c>
      <c r="C255" s="390" t="s">
        <v>16840</v>
      </c>
      <c r="D255" s="403"/>
      <c r="E255" s="404"/>
      <c r="F255" s="404"/>
      <c r="G255" s="404"/>
      <c r="H255" s="406"/>
      <c r="I255" s="908" t="s">
        <v>16354</v>
      </c>
      <c r="J255" s="909"/>
      <c r="K255" s="909"/>
      <c r="L255" s="909"/>
      <c r="M255" s="909"/>
      <c r="N255" s="909"/>
      <c r="O255" s="909"/>
      <c r="P255" s="909"/>
      <c r="Q255" s="909"/>
      <c r="R255" s="909"/>
      <c r="S255" s="909"/>
      <c r="T255" s="909"/>
      <c r="U255" s="910"/>
      <c r="V255" s="343"/>
      <c r="W255" s="343"/>
      <c r="X255" s="343"/>
      <c r="Y255" s="343"/>
      <c r="Z255" s="343"/>
      <c r="AA255" s="343"/>
      <c r="AB255" s="343"/>
      <c r="AC255" s="343"/>
      <c r="AD255" s="343"/>
      <c r="AE255" s="343"/>
      <c r="AF255" s="343"/>
      <c r="AG255" s="343"/>
      <c r="AH255" s="343"/>
      <c r="AI255" s="343"/>
      <c r="AJ255" s="401"/>
      <c r="AK255" s="402"/>
      <c r="AL255" s="396"/>
      <c r="AM255" s="396"/>
      <c r="AN255" s="396"/>
      <c r="AO255" s="396"/>
      <c r="AP255" s="396"/>
      <c r="AQ255" s="396"/>
      <c r="AR255" s="396"/>
      <c r="AS255" s="396"/>
      <c r="AT255" s="490"/>
      <c r="AU255" s="387"/>
      <c r="AV255" s="400"/>
      <c r="AW255" s="400"/>
      <c r="AX255" s="396"/>
      <c r="AY255" s="397"/>
      <c r="AZ255" s="489">
        <f>ROUND(Q256*$AT$208,0)</f>
        <v>106</v>
      </c>
      <c r="BA255" s="393"/>
    </row>
    <row r="256" spans="1:53" ht="16.5" customHeight="1" x14ac:dyDescent="0.15">
      <c r="A256" s="340">
        <v>12</v>
      </c>
      <c r="B256" s="341">
        <v>7838</v>
      </c>
      <c r="C256" s="390" t="s">
        <v>16841</v>
      </c>
      <c r="D256" s="403"/>
      <c r="E256" s="404"/>
      <c r="F256" s="404"/>
      <c r="G256" s="404"/>
      <c r="H256" s="406"/>
      <c r="Q256" s="836">
        <f>'2重度訪問'!U132</f>
        <v>85</v>
      </c>
      <c r="R256" s="911"/>
      <c r="S256" s="911"/>
      <c r="T256" s="152" t="s">
        <v>15624</v>
      </c>
      <c r="U256" s="387"/>
      <c r="V256" s="343" t="s">
        <v>15625</v>
      </c>
      <c r="W256" s="325"/>
      <c r="X256" s="325"/>
      <c r="Y256" s="325"/>
      <c r="Z256" s="325"/>
      <c r="AA256" s="325"/>
      <c r="AB256" s="325"/>
      <c r="AC256" s="325"/>
      <c r="AD256" s="325"/>
      <c r="AE256" s="325"/>
      <c r="AF256" s="325"/>
      <c r="AG256" s="325"/>
      <c r="AH256" s="325"/>
      <c r="AI256" s="391" t="s">
        <v>15626</v>
      </c>
      <c r="AJ256" s="838">
        <f>AJ254</f>
        <v>1</v>
      </c>
      <c r="AK256" s="839"/>
      <c r="AL256" s="325"/>
      <c r="AM256" s="325"/>
      <c r="AN256" s="325"/>
      <c r="AO256" s="325"/>
      <c r="AP256" s="325"/>
      <c r="AQ256" s="325"/>
      <c r="AR256" s="325"/>
      <c r="AS256" s="391"/>
      <c r="AT256" s="503"/>
      <c r="AU256" s="504"/>
      <c r="AY256" s="387"/>
      <c r="AZ256" s="489">
        <f>ROUND(ROUND(Q256*AJ256,0)*$AT$208,0)</f>
        <v>106</v>
      </c>
      <c r="BA256" s="393"/>
    </row>
    <row r="257" spans="1:53" ht="16.5" customHeight="1" x14ac:dyDescent="0.15">
      <c r="A257" s="340">
        <v>12</v>
      </c>
      <c r="B257" s="341">
        <v>7839</v>
      </c>
      <c r="C257" s="390" t="s">
        <v>16842</v>
      </c>
      <c r="D257" s="403"/>
      <c r="E257" s="404"/>
      <c r="F257" s="404"/>
      <c r="G257" s="404"/>
      <c r="H257" s="406"/>
      <c r="Q257" s="395"/>
      <c r="R257" s="151"/>
      <c r="S257" s="151"/>
      <c r="U257" s="387"/>
      <c r="V257" s="343"/>
      <c r="W257" s="343"/>
      <c r="X257" s="343"/>
      <c r="Y257" s="343"/>
      <c r="Z257" s="343"/>
      <c r="AA257" s="343"/>
      <c r="AB257" s="343"/>
      <c r="AC257" s="343"/>
      <c r="AD257" s="343"/>
      <c r="AE257" s="343"/>
      <c r="AF257" s="343"/>
      <c r="AG257" s="343"/>
      <c r="AH257" s="343"/>
      <c r="AI257" s="343"/>
      <c r="AJ257" s="343"/>
      <c r="AK257" s="343"/>
      <c r="AL257" s="114" t="s">
        <v>15628</v>
      </c>
      <c r="AM257" s="396"/>
      <c r="AN257" s="396"/>
      <c r="AO257" s="396"/>
      <c r="AP257" s="396"/>
      <c r="AQ257" s="396"/>
      <c r="AR257" s="396"/>
      <c r="AS257" s="396"/>
      <c r="AT257" s="490"/>
      <c r="AU257" s="387"/>
      <c r="AY257" s="387"/>
      <c r="AZ257" s="489">
        <f>ROUND(ROUND(Q256*AR258,0)*$AT$208,0)</f>
        <v>90</v>
      </c>
      <c r="BA257" s="393"/>
    </row>
    <row r="258" spans="1:53" ht="16.5" customHeight="1" x14ac:dyDescent="0.15">
      <c r="A258" s="340">
        <v>12</v>
      </c>
      <c r="B258" s="341">
        <v>7840</v>
      </c>
      <c r="C258" s="390" t="s">
        <v>16843</v>
      </c>
      <c r="D258" s="403"/>
      <c r="E258" s="404"/>
      <c r="F258" s="404"/>
      <c r="G258" s="404"/>
      <c r="H258" s="406"/>
      <c r="Q258" s="395"/>
      <c r="R258" s="151"/>
      <c r="S258" s="151"/>
      <c r="U258" s="387"/>
      <c r="V258" s="343" t="s">
        <v>15625</v>
      </c>
      <c r="W258" s="325"/>
      <c r="X258" s="325"/>
      <c r="Y258" s="325"/>
      <c r="Z258" s="325"/>
      <c r="AA258" s="325"/>
      <c r="AB258" s="325"/>
      <c r="AC258" s="325"/>
      <c r="AD258" s="325"/>
      <c r="AE258" s="325"/>
      <c r="AF258" s="325"/>
      <c r="AG258" s="325"/>
      <c r="AH258" s="325"/>
      <c r="AI258" s="391" t="s">
        <v>15626</v>
      </c>
      <c r="AJ258" s="838">
        <f>AJ256</f>
        <v>1</v>
      </c>
      <c r="AK258" s="843"/>
      <c r="AL258" s="324" t="s">
        <v>15630</v>
      </c>
      <c r="AM258" s="325"/>
      <c r="AN258" s="325"/>
      <c r="AO258" s="325"/>
      <c r="AP258" s="325"/>
      <c r="AQ258" s="190" t="s">
        <v>398</v>
      </c>
      <c r="AR258" s="844">
        <f>AR254</f>
        <v>0.85</v>
      </c>
      <c r="AS258" s="844"/>
      <c r="AT258" s="501"/>
      <c r="AU258" s="502"/>
      <c r="AY258" s="387"/>
      <c r="AZ258" s="489">
        <f>ROUND(ROUND(ROUND(Q256*AJ258,0)*AR258,0)*$AT$208,0)</f>
        <v>90</v>
      </c>
      <c r="BA258" s="393"/>
    </row>
    <row r="259" spans="1:53" ht="17.100000000000001" customHeight="1" x14ac:dyDescent="0.15">
      <c r="A259" s="340">
        <v>12</v>
      </c>
      <c r="B259" s="341">
        <v>7841</v>
      </c>
      <c r="C259" s="390" t="s">
        <v>16844</v>
      </c>
      <c r="D259" s="403"/>
      <c r="E259" s="404"/>
      <c r="F259" s="404"/>
      <c r="G259" s="404"/>
      <c r="H259" s="406"/>
      <c r="I259" s="10"/>
      <c r="L259" s="151"/>
      <c r="M259" s="151"/>
      <c r="N259" s="151"/>
      <c r="U259" s="387"/>
      <c r="V259" s="343"/>
      <c r="W259" s="343"/>
      <c r="X259" s="343"/>
      <c r="Y259" s="343"/>
      <c r="Z259" s="343"/>
      <c r="AA259" s="343"/>
      <c r="AB259" s="343"/>
      <c r="AC259" s="343"/>
      <c r="AD259" s="343"/>
      <c r="AE259" s="343"/>
      <c r="AF259" s="343"/>
      <c r="AG259" s="343"/>
      <c r="AH259" s="343"/>
      <c r="AI259" s="343"/>
      <c r="AJ259" s="401"/>
      <c r="AK259" s="402"/>
      <c r="AL259" s="396"/>
      <c r="AM259" s="396"/>
      <c r="AN259" s="396"/>
      <c r="AO259" s="396"/>
      <c r="AP259" s="396"/>
      <c r="AQ259" s="396"/>
      <c r="AR259" s="396"/>
      <c r="AS259" s="396"/>
      <c r="AT259" s="490"/>
      <c r="AU259" s="387"/>
      <c r="AV259" s="858" t="s">
        <v>16296</v>
      </c>
      <c r="AW259" s="858"/>
      <c r="AX259" s="858"/>
      <c r="AY259" s="860"/>
      <c r="AZ259" s="489">
        <f>ROUND(ROUND(Q256*$AT$208,0)*AV262,0)</f>
        <v>85</v>
      </c>
      <c r="BA259" s="393"/>
    </row>
    <row r="260" spans="1:53" ht="16.5" customHeight="1" x14ac:dyDescent="0.15">
      <c r="A260" s="340">
        <v>12</v>
      </c>
      <c r="B260" s="341">
        <v>7842</v>
      </c>
      <c r="C260" s="390" t="s">
        <v>16845</v>
      </c>
      <c r="D260" s="403"/>
      <c r="E260" s="404"/>
      <c r="F260" s="404"/>
      <c r="G260" s="404"/>
      <c r="H260" s="406"/>
      <c r="Q260" s="899"/>
      <c r="R260" s="899"/>
      <c r="S260" s="899"/>
      <c r="U260" s="387"/>
      <c r="V260" s="343" t="s">
        <v>15625</v>
      </c>
      <c r="W260" s="325"/>
      <c r="X260" s="325"/>
      <c r="Y260" s="325"/>
      <c r="Z260" s="325"/>
      <c r="AA260" s="325"/>
      <c r="AB260" s="325"/>
      <c r="AC260" s="325"/>
      <c r="AD260" s="325"/>
      <c r="AE260" s="325"/>
      <c r="AF260" s="325"/>
      <c r="AG260" s="325"/>
      <c r="AH260" s="325"/>
      <c r="AI260" s="391" t="s">
        <v>15626</v>
      </c>
      <c r="AJ260" s="838">
        <f>AJ258</f>
        <v>1</v>
      </c>
      <c r="AK260" s="839"/>
      <c r="AL260" s="325"/>
      <c r="AM260" s="325"/>
      <c r="AN260" s="325"/>
      <c r="AO260" s="325"/>
      <c r="AP260" s="325"/>
      <c r="AQ260" s="325"/>
      <c r="AR260" s="325"/>
      <c r="AS260" s="391"/>
      <c r="AT260" s="503"/>
      <c r="AU260" s="504"/>
      <c r="AV260" s="850"/>
      <c r="AW260" s="850"/>
      <c r="AX260" s="850"/>
      <c r="AY260" s="852"/>
      <c r="AZ260" s="489">
        <f>ROUND(ROUND(ROUND(Q256*AJ260,0)*$AT$208,0)*AV262,0)</f>
        <v>85</v>
      </c>
      <c r="BA260" s="393"/>
    </row>
    <row r="261" spans="1:53" ht="16.5" customHeight="1" x14ac:dyDescent="0.15">
      <c r="A261" s="340">
        <v>12</v>
      </c>
      <c r="B261" s="341">
        <v>7843</v>
      </c>
      <c r="C261" s="390" t="s">
        <v>16846</v>
      </c>
      <c r="D261" s="403"/>
      <c r="E261" s="404"/>
      <c r="F261" s="404"/>
      <c r="G261" s="404"/>
      <c r="H261" s="406"/>
      <c r="Q261" s="395"/>
      <c r="R261" s="151"/>
      <c r="S261" s="151"/>
      <c r="U261" s="387"/>
      <c r="V261" s="343"/>
      <c r="W261" s="343"/>
      <c r="X261" s="343"/>
      <c r="Y261" s="343"/>
      <c r="Z261" s="343"/>
      <c r="AA261" s="343"/>
      <c r="AB261" s="343"/>
      <c r="AC261" s="343"/>
      <c r="AD261" s="343"/>
      <c r="AE261" s="343"/>
      <c r="AF261" s="343"/>
      <c r="AG261" s="343"/>
      <c r="AH261" s="343"/>
      <c r="AI261" s="343"/>
      <c r="AJ261" s="343"/>
      <c r="AK261" s="343"/>
      <c r="AL261" s="114" t="s">
        <v>15628</v>
      </c>
      <c r="AM261" s="396"/>
      <c r="AN261" s="396"/>
      <c r="AO261" s="396"/>
      <c r="AP261" s="396"/>
      <c r="AQ261" s="396"/>
      <c r="AR261" s="396"/>
      <c r="AS261" s="396"/>
      <c r="AT261" s="490"/>
      <c r="AU261" s="387"/>
      <c r="AV261" s="902" t="s">
        <v>15636</v>
      </c>
      <c r="AW261" s="902"/>
      <c r="AX261" s="902"/>
      <c r="AY261" s="903"/>
      <c r="AZ261" s="489">
        <f>ROUND(ROUND(ROUND(Q256*AR262,0)*$AT$208,0)*AV262,0)</f>
        <v>72</v>
      </c>
      <c r="BA261" s="393"/>
    </row>
    <row r="262" spans="1:53" ht="16.5" customHeight="1" x14ac:dyDescent="0.15">
      <c r="A262" s="340">
        <v>12</v>
      </c>
      <c r="B262" s="341">
        <v>7844</v>
      </c>
      <c r="C262" s="390" t="s">
        <v>16847</v>
      </c>
      <c r="D262" s="403"/>
      <c r="E262" s="404"/>
      <c r="F262" s="404"/>
      <c r="G262" s="404"/>
      <c r="H262" s="406"/>
      <c r="Q262" s="395"/>
      <c r="R262" s="151"/>
      <c r="S262" s="151"/>
      <c r="U262" s="387"/>
      <c r="V262" s="343" t="s">
        <v>15625</v>
      </c>
      <c r="W262" s="325"/>
      <c r="X262" s="325"/>
      <c r="Y262" s="325"/>
      <c r="Z262" s="325"/>
      <c r="AA262" s="325"/>
      <c r="AB262" s="325"/>
      <c r="AC262" s="325"/>
      <c r="AD262" s="325"/>
      <c r="AE262" s="325"/>
      <c r="AF262" s="325"/>
      <c r="AG262" s="325"/>
      <c r="AH262" s="325"/>
      <c r="AI262" s="391" t="s">
        <v>15626</v>
      </c>
      <c r="AJ262" s="838">
        <f>AJ260</f>
        <v>1</v>
      </c>
      <c r="AK262" s="843"/>
      <c r="AL262" s="324" t="s">
        <v>15630</v>
      </c>
      <c r="AM262" s="325"/>
      <c r="AN262" s="325"/>
      <c r="AO262" s="325"/>
      <c r="AP262" s="325"/>
      <c r="AQ262" s="190" t="s">
        <v>398</v>
      </c>
      <c r="AR262" s="844">
        <f>AR258</f>
        <v>0.85</v>
      </c>
      <c r="AS262" s="844"/>
      <c r="AT262" s="501"/>
      <c r="AU262" s="502"/>
      <c r="AV262" s="844">
        <f>AV254</f>
        <v>0.8</v>
      </c>
      <c r="AW262" s="844"/>
      <c r="AX262" s="844"/>
      <c r="AY262" s="845"/>
      <c r="AZ262" s="489">
        <f>ROUND(ROUND(ROUND(ROUND(Q256*AJ262,0)*AR262,0)*$AT$208,0)*AV262,0)</f>
        <v>72</v>
      </c>
      <c r="BA262" s="393"/>
    </row>
    <row r="263" spans="1:53" ht="17.100000000000001" customHeight="1" x14ac:dyDescent="0.15">
      <c r="A263" s="340">
        <v>12</v>
      </c>
      <c r="B263" s="341">
        <v>7845</v>
      </c>
      <c r="C263" s="390" t="s">
        <v>16848</v>
      </c>
      <c r="D263" s="403"/>
      <c r="E263" s="404"/>
      <c r="F263" s="404"/>
      <c r="G263" s="404"/>
      <c r="H263" s="406"/>
      <c r="I263" s="908" t="s">
        <v>16363</v>
      </c>
      <c r="J263" s="909"/>
      <c r="K263" s="909"/>
      <c r="L263" s="909"/>
      <c r="M263" s="909"/>
      <c r="N263" s="909"/>
      <c r="O263" s="909"/>
      <c r="P263" s="909"/>
      <c r="Q263" s="909"/>
      <c r="R263" s="909"/>
      <c r="S263" s="909"/>
      <c r="T263" s="909"/>
      <c r="U263" s="910"/>
      <c r="V263" s="343"/>
      <c r="W263" s="343"/>
      <c r="X263" s="343"/>
      <c r="Y263" s="343"/>
      <c r="Z263" s="343"/>
      <c r="AA263" s="343"/>
      <c r="AB263" s="343"/>
      <c r="AC263" s="343"/>
      <c r="AD263" s="343"/>
      <c r="AE263" s="343"/>
      <c r="AF263" s="343"/>
      <c r="AG263" s="343"/>
      <c r="AH263" s="343"/>
      <c r="AI263" s="343"/>
      <c r="AJ263" s="401"/>
      <c r="AK263" s="402"/>
      <c r="AL263" s="396"/>
      <c r="AM263" s="396"/>
      <c r="AN263" s="396"/>
      <c r="AO263" s="396"/>
      <c r="AP263" s="396"/>
      <c r="AQ263" s="396"/>
      <c r="AR263" s="396"/>
      <c r="AS263" s="396"/>
      <c r="AT263" s="490"/>
      <c r="AU263" s="387"/>
      <c r="AV263" s="400"/>
      <c r="AW263" s="400"/>
      <c r="AX263" s="396"/>
      <c r="AY263" s="397"/>
      <c r="AZ263" s="489">
        <f>ROUND(Q264*$AT$208,0)</f>
        <v>106</v>
      </c>
      <c r="BA263" s="393"/>
    </row>
    <row r="264" spans="1:53" ht="16.5" customHeight="1" x14ac:dyDescent="0.15">
      <c r="A264" s="340">
        <v>12</v>
      </c>
      <c r="B264" s="341">
        <v>7846</v>
      </c>
      <c r="C264" s="390" t="s">
        <v>16849</v>
      </c>
      <c r="D264" s="403"/>
      <c r="E264" s="404"/>
      <c r="F264" s="404"/>
      <c r="G264" s="404"/>
      <c r="H264" s="406"/>
      <c r="Q264" s="836">
        <f>'2重度訪問'!U136</f>
        <v>85</v>
      </c>
      <c r="R264" s="911"/>
      <c r="S264" s="911"/>
      <c r="T264" s="152" t="s">
        <v>15624</v>
      </c>
      <c r="U264" s="387"/>
      <c r="V264" s="343" t="s">
        <v>15625</v>
      </c>
      <c r="W264" s="325"/>
      <c r="X264" s="325"/>
      <c r="Y264" s="325"/>
      <c r="Z264" s="325"/>
      <c r="AA264" s="325"/>
      <c r="AB264" s="325"/>
      <c r="AC264" s="325"/>
      <c r="AD264" s="325"/>
      <c r="AE264" s="325"/>
      <c r="AF264" s="325"/>
      <c r="AG264" s="325"/>
      <c r="AH264" s="325"/>
      <c r="AI264" s="391" t="s">
        <v>15626</v>
      </c>
      <c r="AJ264" s="838">
        <f>AJ262</f>
        <v>1</v>
      </c>
      <c r="AK264" s="839"/>
      <c r="AL264" s="325"/>
      <c r="AM264" s="325"/>
      <c r="AN264" s="325"/>
      <c r="AO264" s="325"/>
      <c r="AP264" s="325"/>
      <c r="AQ264" s="325"/>
      <c r="AR264" s="325"/>
      <c r="AS264" s="391"/>
      <c r="AT264" s="503"/>
      <c r="AU264" s="504"/>
      <c r="AY264" s="387"/>
      <c r="AZ264" s="489">
        <f>ROUND(ROUND(Q264*AJ264,0)*$AT$208,0)</f>
        <v>106</v>
      </c>
      <c r="BA264" s="393"/>
    </row>
    <row r="265" spans="1:53" ht="16.5" customHeight="1" x14ac:dyDescent="0.15">
      <c r="A265" s="340">
        <v>12</v>
      </c>
      <c r="B265" s="341">
        <v>7847</v>
      </c>
      <c r="C265" s="390" t="s">
        <v>16850</v>
      </c>
      <c r="D265" s="403"/>
      <c r="E265" s="404"/>
      <c r="F265" s="404"/>
      <c r="G265" s="404"/>
      <c r="H265" s="406"/>
      <c r="Q265" s="395"/>
      <c r="R265" s="151"/>
      <c r="S265" s="151"/>
      <c r="U265" s="387"/>
      <c r="V265" s="343"/>
      <c r="W265" s="343"/>
      <c r="X265" s="343"/>
      <c r="Y265" s="343"/>
      <c r="Z265" s="343"/>
      <c r="AA265" s="343"/>
      <c r="AB265" s="343"/>
      <c r="AC265" s="343"/>
      <c r="AD265" s="343"/>
      <c r="AE265" s="343"/>
      <c r="AF265" s="343"/>
      <c r="AG265" s="343"/>
      <c r="AH265" s="343"/>
      <c r="AI265" s="343"/>
      <c r="AJ265" s="343"/>
      <c r="AK265" s="343"/>
      <c r="AL265" s="114" t="s">
        <v>15628</v>
      </c>
      <c r="AM265" s="396"/>
      <c r="AN265" s="396"/>
      <c r="AO265" s="396"/>
      <c r="AP265" s="396"/>
      <c r="AQ265" s="396"/>
      <c r="AR265" s="396"/>
      <c r="AS265" s="396"/>
      <c r="AT265" s="490"/>
      <c r="AU265" s="387"/>
      <c r="AY265" s="387"/>
      <c r="AZ265" s="489">
        <f>ROUND(ROUND(Q264*AR266,0)*$AT$208,0)</f>
        <v>90</v>
      </c>
      <c r="BA265" s="393"/>
    </row>
    <row r="266" spans="1:53" ht="16.5" customHeight="1" x14ac:dyDescent="0.15">
      <c r="A266" s="340">
        <v>12</v>
      </c>
      <c r="B266" s="341">
        <v>7848</v>
      </c>
      <c r="C266" s="390" t="s">
        <v>16851</v>
      </c>
      <c r="D266" s="403"/>
      <c r="E266" s="404"/>
      <c r="F266" s="404"/>
      <c r="G266" s="404"/>
      <c r="H266" s="406"/>
      <c r="Q266" s="395"/>
      <c r="R266" s="151"/>
      <c r="S266" s="151"/>
      <c r="U266" s="387"/>
      <c r="V266" s="343" t="s">
        <v>15625</v>
      </c>
      <c r="W266" s="325"/>
      <c r="X266" s="325"/>
      <c r="Y266" s="325"/>
      <c r="Z266" s="325"/>
      <c r="AA266" s="325"/>
      <c r="AB266" s="325"/>
      <c r="AC266" s="325"/>
      <c r="AD266" s="325"/>
      <c r="AE266" s="325"/>
      <c r="AF266" s="325"/>
      <c r="AG266" s="325"/>
      <c r="AH266" s="325"/>
      <c r="AI266" s="391" t="s">
        <v>15626</v>
      </c>
      <c r="AJ266" s="838">
        <f>AJ264</f>
        <v>1</v>
      </c>
      <c r="AK266" s="843"/>
      <c r="AL266" s="324" t="s">
        <v>15630</v>
      </c>
      <c r="AM266" s="325"/>
      <c r="AN266" s="325"/>
      <c r="AO266" s="325"/>
      <c r="AP266" s="325"/>
      <c r="AQ266" s="190" t="s">
        <v>398</v>
      </c>
      <c r="AR266" s="844">
        <f>AR262</f>
        <v>0.85</v>
      </c>
      <c r="AS266" s="844"/>
      <c r="AT266" s="501"/>
      <c r="AU266" s="502"/>
      <c r="AY266" s="387"/>
      <c r="AZ266" s="489">
        <f>ROUND(ROUND(ROUND(Q264*AJ266,0)*AR266,0)*$AT$208,0)</f>
        <v>90</v>
      </c>
      <c r="BA266" s="393"/>
    </row>
    <row r="267" spans="1:53" ht="17.100000000000001" customHeight="1" x14ac:dyDescent="0.15">
      <c r="A267" s="340">
        <v>12</v>
      </c>
      <c r="B267" s="341">
        <v>7849</v>
      </c>
      <c r="C267" s="390" t="s">
        <v>16852</v>
      </c>
      <c r="D267" s="403"/>
      <c r="E267" s="404"/>
      <c r="F267" s="404"/>
      <c r="G267" s="404"/>
      <c r="H267" s="406"/>
      <c r="I267" s="10"/>
      <c r="L267" s="151"/>
      <c r="M267" s="151"/>
      <c r="N267" s="151"/>
      <c r="U267" s="387"/>
      <c r="V267" s="343"/>
      <c r="W267" s="343"/>
      <c r="X267" s="343"/>
      <c r="Y267" s="343"/>
      <c r="Z267" s="343"/>
      <c r="AA267" s="343"/>
      <c r="AB267" s="343"/>
      <c r="AC267" s="343"/>
      <c r="AD267" s="343"/>
      <c r="AE267" s="343"/>
      <c r="AF267" s="343"/>
      <c r="AG267" s="343"/>
      <c r="AH267" s="343"/>
      <c r="AI267" s="343"/>
      <c r="AJ267" s="401"/>
      <c r="AK267" s="402"/>
      <c r="AL267" s="396"/>
      <c r="AM267" s="396"/>
      <c r="AN267" s="396"/>
      <c r="AO267" s="396"/>
      <c r="AP267" s="396"/>
      <c r="AQ267" s="396"/>
      <c r="AR267" s="396"/>
      <c r="AS267" s="396"/>
      <c r="AT267" s="490"/>
      <c r="AU267" s="387"/>
      <c r="AV267" s="858" t="s">
        <v>16296</v>
      </c>
      <c r="AW267" s="858"/>
      <c r="AX267" s="858"/>
      <c r="AY267" s="860"/>
      <c r="AZ267" s="489">
        <f>ROUND(ROUND(Q264*$AT$208,0)*AV270,0)</f>
        <v>85</v>
      </c>
      <c r="BA267" s="393"/>
    </row>
    <row r="268" spans="1:53" ht="16.5" customHeight="1" x14ac:dyDescent="0.15">
      <c r="A268" s="340">
        <v>12</v>
      </c>
      <c r="B268" s="341">
        <v>7850</v>
      </c>
      <c r="C268" s="390" t="s">
        <v>16853</v>
      </c>
      <c r="D268" s="403"/>
      <c r="E268" s="404"/>
      <c r="F268" s="404"/>
      <c r="G268" s="404"/>
      <c r="H268" s="406"/>
      <c r="Q268" s="899"/>
      <c r="R268" s="899"/>
      <c r="S268" s="899"/>
      <c r="U268" s="387"/>
      <c r="V268" s="343" t="s">
        <v>15625</v>
      </c>
      <c r="W268" s="325"/>
      <c r="X268" s="325"/>
      <c r="Y268" s="325"/>
      <c r="Z268" s="325"/>
      <c r="AA268" s="325"/>
      <c r="AB268" s="325"/>
      <c r="AC268" s="325"/>
      <c r="AD268" s="325"/>
      <c r="AE268" s="325"/>
      <c r="AF268" s="325"/>
      <c r="AG268" s="325"/>
      <c r="AH268" s="325"/>
      <c r="AI268" s="391" t="s">
        <v>15626</v>
      </c>
      <c r="AJ268" s="838">
        <f>AJ266</f>
        <v>1</v>
      </c>
      <c r="AK268" s="839"/>
      <c r="AL268" s="325"/>
      <c r="AM268" s="325"/>
      <c r="AN268" s="325"/>
      <c r="AO268" s="325"/>
      <c r="AP268" s="325"/>
      <c r="AQ268" s="325"/>
      <c r="AR268" s="325"/>
      <c r="AS268" s="391"/>
      <c r="AT268" s="503"/>
      <c r="AU268" s="504"/>
      <c r="AV268" s="850"/>
      <c r="AW268" s="850"/>
      <c r="AX268" s="850"/>
      <c r="AY268" s="852"/>
      <c r="AZ268" s="489">
        <f>ROUND(ROUND(ROUND(Q264*AJ268,0)*$AT$208,0)*AV270,0)</f>
        <v>85</v>
      </c>
      <c r="BA268" s="393"/>
    </row>
    <row r="269" spans="1:53" ht="16.5" customHeight="1" x14ac:dyDescent="0.15">
      <c r="A269" s="340">
        <v>12</v>
      </c>
      <c r="B269" s="341">
        <v>7851</v>
      </c>
      <c r="C269" s="390" t="s">
        <v>16854</v>
      </c>
      <c r="D269" s="403"/>
      <c r="E269" s="404"/>
      <c r="F269" s="404"/>
      <c r="G269" s="404"/>
      <c r="H269" s="406"/>
      <c r="Q269" s="395"/>
      <c r="R269" s="151"/>
      <c r="S269" s="151"/>
      <c r="U269" s="387"/>
      <c r="V269" s="343"/>
      <c r="W269" s="343"/>
      <c r="X269" s="343"/>
      <c r="Y269" s="343"/>
      <c r="Z269" s="343"/>
      <c r="AA269" s="343"/>
      <c r="AB269" s="343"/>
      <c r="AC269" s="343"/>
      <c r="AD269" s="343"/>
      <c r="AE269" s="343"/>
      <c r="AF269" s="343"/>
      <c r="AG269" s="343"/>
      <c r="AH269" s="343"/>
      <c r="AI269" s="343"/>
      <c r="AJ269" s="343"/>
      <c r="AK269" s="343"/>
      <c r="AL269" s="114" t="s">
        <v>15628</v>
      </c>
      <c r="AM269" s="396"/>
      <c r="AN269" s="396"/>
      <c r="AO269" s="396"/>
      <c r="AP269" s="396"/>
      <c r="AQ269" s="396"/>
      <c r="AR269" s="396"/>
      <c r="AS269" s="396"/>
      <c r="AT269" s="490"/>
      <c r="AU269" s="387"/>
      <c r="AV269" s="902" t="s">
        <v>15636</v>
      </c>
      <c r="AW269" s="902"/>
      <c r="AX269" s="902"/>
      <c r="AY269" s="903"/>
      <c r="AZ269" s="489">
        <f>ROUND(ROUND(ROUND(Q264*AR270,0)*$AT$208,0)*AV270,0)</f>
        <v>72</v>
      </c>
      <c r="BA269" s="393"/>
    </row>
    <row r="270" spans="1:53" ht="16.5" customHeight="1" x14ac:dyDescent="0.15">
      <c r="A270" s="340">
        <v>12</v>
      </c>
      <c r="B270" s="341">
        <v>7852</v>
      </c>
      <c r="C270" s="390" t="s">
        <v>16855</v>
      </c>
      <c r="D270" s="403"/>
      <c r="E270" s="404"/>
      <c r="F270" s="404"/>
      <c r="G270" s="404"/>
      <c r="H270" s="406"/>
      <c r="Q270" s="395"/>
      <c r="R270" s="151"/>
      <c r="S270" s="151"/>
      <c r="U270" s="387"/>
      <c r="V270" s="343" t="s">
        <v>15625</v>
      </c>
      <c r="W270" s="325"/>
      <c r="X270" s="325"/>
      <c r="Y270" s="325"/>
      <c r="Z270" s="325"/>
      <c r="AA270" s="325"/>
      <c r="AB270" s="325"/>
      <c r="AC270" s="325"/>
      <c r="AD270" s="325"/>
      <c r="AE270" s="325"/>
      <c r="AF270" s="325"/>
      <c r="AG270" s="325"/>
      <c r="AH270" s="325"/>
      <c r="AI270" s="391" t="s">
        <v>15626</v>
      </c>
      <c r="AJ270" s="838">
        <f>AJ268</f>
        <v>1</v>
      </c>
      <c r="AK270" s="843"/>
      <c r="AL270" s="324" t="s">
        <v>15630</v>
      </c>
      <c r="AM270" s="325"/>
      <c r="AN270" s="325"/>
      <c r="AO270" s="325"/>
      <c r="AP270" s="325"/>
      <c r="AQ270" s="190" t="s">
        <v>398</v>
      </c>
      <c r="AR270" s="844">
        <f>AR266</f>
        <v>0.85</v>
      </c>
      <c r="AS270" s="844"/>
      <c r="AT270" s="501"/>
      <c r="AU270" s="502"/>
      <c r="AV270" s="844">
        <f>AV262</f>
        <v>0.8</v>
      </c>
      <c r="AW270" s="844"/>
      <c r="AX270" s="844"/>
      <c r="AY270" s="845"/>
      <c r="AZ270" s="489">
        <f>ROUND(ROUND(ROUND(ROUND(Q264*AJ270,0)*AR270,0)*$AT$208,0)*AV270,0)</f>
        <v>72</v>
      </c>
      <c r="BA270" s="393"/>
    </row>
    <row r="271" spans="1:53" ht="17.100000000000001" customHeight="1" x14ac:dyDescent="0.15">
      <c r="A271" s="340">
        <v>12</v>
      </c>
      <c r="B271" s="341">
        <v>7853</v>
      </c>
      <c r="C271" s="390" t="s">
        <v>16856</v>
      </c>
      <c r="D271" s="403"/>
      <c r="E271" s="404"/>
      <c r="F271" s="404"/>
      <c r="G271" s="404"/>
      <c r="H271" s="406"/>
      <c r="I271" s="908" t="s">
        <v>16372</v>
      </c>
      <c r="J271" s="909"/>
      <c r="K271" s="909"/>
      <c r="L271" s="909"/>
      <c r="M271" s="909"/>
      <c r="N271" s="909"/>
      <c r="O271" s="909"/>
      <c r="P271" s="909"/>
      <c r="Q271" s="909"/>
      <c r="R271" s="909"/>
      <c r="S271" s="909"/>
      <c r="T271" s="909"/>
      <c r="U271" s="910"/>
      <c r="V271" s="343"/>
      <c r="W271" s="343"/>
      <c r="X271" s="343"/>
      <c r="Y271" s="343"/>
      <c r="Z271" s="343"/>
      <c r="AA271" s="343"/>
      <c r="AB271" s="343"/>
      <c r="AC271" s="343"/>
      <c r="AD271" s="343"/>
      <c r="AE271" s="343"/>
      <c r="AF271" s="343"/>
      <c r="AG271" s="343"/>
      <c r="AH271" s="343"/>
      <c r="AI271" s="343"/>
      <c r="AJ271" s="401"/>
      <c r="AK271" s="402"/>
      <c r="AL271" s="396"/>
      <c r="AM271" s="396"/>
      <c r="AN271" s="396"/>
      <c r="AO271" s="396"/>
      <c r="AP271" s="396"/>
      <c r="AQ271" s="396"/>
      <c r="AR271" s="396"/>
      <c r="AS271" s="396"/>
      <c r="AT271" s="490"/>
      <c r="AU271" s="387"/>
      <c r="AV271" s="400"/>
      <c r="AW271" s="400"/>
      <c r="AX271" s="396"/>
      <c r="AY271" s="397"/>
      <c r="AZ271" s="489">
        <f>ROUND(Q272*$AT$208,0)</f>
        <v>100</v>
      </c>
      <c r="BA271" s="393"/>
    </row>
    <row r="272" spans="1:53" ht="16.5" customHeight="1" x14ac:dyDescent="0.15">
      <c r="A272" s="340">
        <v>12</v>
      </c>
      <c r="B272" s="341">
        <v>7854</v>
      </c>
      <c r="C272" s="390" t="s">
        <v>16857</v>
      </c>
      <c r="D272" s="403"/>
      <c r="E272" s="404"/>
      <c r="F272" s="404"/>
      <c r="G272" s="404"/>
      <c r="H272" s="406"/>
      <c r="Q272" s="836">
        <f>'2重度訪問'!U140</f>
        <v>80</v>
      </c>
      <c r="R272" s="911"/>
      <c r="S272" s="911"/>
      <c r="T272" s="152" t="s">
        <v>15624</v>
      </c>
      <c r="U272" s="387"/>
      <c r="V272" s="343" t="s">
        <v>15625</v>
      </c>
      <c r="W272" s="325"/>
      <c r="X272" s="325"/>
      <c r="Y272" s="325"/>
      <c r="Z272" s="325"/>
      <c r="AA272" s="325"/>
      <c r="AB272" s="325"/>
      <c r="AC272" s="325"/>
      <c r="AD272" s="325"/>
      <c r="AE272" s="325"/>
      <c r="AF272" s="325"/>
      <c r="AG272" s="325"/>
      <c r="AH272" s="325"/>
      <c r="AI272" s="391" t="s">
        <v>15626</v>
      </c>
      <c r="AJ272" s="838">
        <f>AJ270</f>
        <v>1</v>
      </c>
      <c r="AK272" s="839"/>
      <c r="AL272" s="325"/>
      <c r="AM272" s="325"/>
      <c r="AN272" s="325"/>
      <c r="AO272" s="325"/>
      <c r="AP272" s="325"/>
      <c r="AQ272" s="325"/>
      <c r="AR272" s="325"/>
      <c r="AS272" s="391"/>
      <c r="AT272" s="503"/>
      <c r="AU272" s="504"/>
      <c r="AY272" s="387"/>
      <c r="AZ272" s="489">
        <f>ROUND(ROUND(Q272*AJ272,0)*$AT$208,0)</f>
        <v>100</v>
      </c>
      <c r="BA272" s="393"/>
    </row>
    <row r="273" spans="1:53" ht="16.5" customHeight="1" x14ac:dyDescent="0.15">
      <c r="A273" s="340">
        <v>12</v>
      </c>
      <c r="B273" s="341">
        <v>7855</v>
      </c>
      <c r="C273" s="390" t="s">
        <v>16858</v>
      </c>
      <c r="D273" s="403"/>
      <c r="E273" s="404"/>
      <c r="F273" s="404"/>
      <c r="G273" s="404"/>
      <c r="H273" s="406"/>
      <c r="Q273" s="395"/>
      <c r="R273" s="151"/>
      <c r="S273" s="151"/>
      <c r="U273" s="387"/>
      <c r="V273" s="343"/>
      <c r="W273" s="343"/>
      <c r="X273" s="343"/>
      <c r="Y273" s="343"/>
      <c r="Z273" s="343"/>
      <c r="AA273" s="343"/>
      <c r="AB273" s="343"/>
      <c r="AC273" s="343"/>
      <c r="AD273" s="343"/>
      <c r="AE273" s="343"/>
      <c r="AF273" s="343"/>
      <c r="AG273" s="343"/>
      <c r="AH273" s="343"/>
      <c r="AI273" s="343"/>
      <c r="AJ273" s="343"/>
      <c r="AK273" s="343"/>
      <c r="AL273" s="114" t="s">
        <v>15628</v>
      </c>
      <c r="AM273" s="396"/>
      <c r="AN273" s="396"/>
      <c r="AO273" s="396"/>
      <c r="AP273" s="396"/>
      <c r="AQ273" s="396"/>
      <c r="AR273" s="396"/>
      <c r="AS273" s="396"/>
      <c r="AT273" s="490"/>
      <c r="AU273" s="387"/>
      <c r="AY273" s="387"/>
      <c r="AZ273" s="489">
        <f>ROUND(ROUND(Q272*AR274,0)*$AT$208,0)</f>
        <v>85</v>
      </c>
      <c r="BA273" s="393"/>
    </row>
    <row r="274" spans="1:53" ht="16.5" customHeight="1" x14ac:dyDescent="0.15">
      <c r="A274" s="340">
        <v>12</v>
      </c>
      <c r="B274" s="341">
        <v>7856</v>
      </c>
      <c r="C274" s="390" t="s">
        <v>16859</v>
      </c>
      <c r="D274" s="403"/>
      <c r="E274" s="404"/>
      <c r="F274" s="404"/>
      <c r="G274" s="404"/>
      <c r="H274" s="406"/>
      <c r="Q274" s="395"/>
      <c r="R274" s="151"/>
      <c r="S274" s="151"/>
      <c r="U274" s="387"/>
      <c r="V274" s="343" t="s">
        <v>15625</v>
      </c>
      <c r="W274" s="325"/>
      <c r="X274" s="325"/>
      <c r="Y274" s="325"/>
      <c r="Z274" s="325"/>
      <c r="AA274" s="325"/>
      <c r="AB274" s="325"/>
      <c r="AC274" s="325"/>
      <c r="AD274" s="325"/>
      <c r="AE274" s="325"/>
      <c r="AF274" s="325"/>
      <c r="AG274" s="325"/>
      <c r="AH274" s="325"/>
      <c r="AI274" s="391" t="s">
        <v>15626</v>
      </c>
      <c r="AJ274" s="838">
        <f>AJ272</f>
        <v>1</v>
      </c>
      <c r="AK274" s="843"/>
      <c r="AL274" s="324" t="s">
        <v>15630</v>
      </c>
      <c r="AM274" s="325"/>
      <c r="AN274" s="325"/>
      <c r="AO274" s="325"/>
      <c r="AP274" s="325"/>
      <c r="AQ274" s="190" t="s">
        <v>398</v>
      </c>
      <c r="AR274" s="844">
        <f>AR270</f>
        <v>0.85</v>
      </c>
      <c r="AS274" s="844"/>
      <c r="AT274" s="501"/>
      <c r="AU274" s="502"/>
      <c r="AY274" s="387"/>
      <c r="AZ274" s="489">
        <f>ROUND(ROUND(ROUND(Q272*AJ274,0)*AR274,0)*$AT$208,0)</f>
        <v>85</v>
      </c>
      <c r="BA274" s="393"/>
    </row>
    <row r="275" spans="1:53" ht="17.100000000000001" customHeight="1" x14ac:dyDescent="0.15">
      <c r="A275" s="340">
        <v>12</v>
      </c>
      <c r="B275" s="341">
        <v>7857</v>
      </c>
      <c r="C275" s="390" t="s">
        <v>16860</v>
      </c>
      <c r="D275" s="403"/>
      <c r="E275" s="404"/>
      <c r="F275" s="404"/>
      <c r="G275" s="404"/>
      <c r="H275" s="406"/>
      <c r="I275" s="10"/>
      <c r="L275" s="151"/>
      <c r="M275" s="151"/>
      <c r="N275" s="151"/>
      <c r="U275" s="387"/>
      <c r="V275" s="343"/>
      <c r="W275" s="343"/>
      <c r="X275" s="343"/>
      <c r="Y275" s="343"/>
      <c r="Z275" s="343"/>
      <c r="AA275" s="343"/>
      <c r="AB275" s="343"/>
      <c r="AC275" s="343"/>
      <c r="AD275" s="343"/>
      <c r="AE275" s="343"/>
      <c r="AF275" s="343"/>
      <c r="AG275" s="343"/>
      <c r="AH275" s="343"/>
      <c r="AI275" s="343"/>
      <c r="AJ275" s="401"/>
      <c r="AK275" s="402"/>
      <c r="AL275" s="396"/>
      <c r="AM275" s="396"/>
      <c r="AN275" s="396"/>
      <c r="AO275" s="396"/>
      <c r="AP275" s="396"/>
      <c r="AQ275" s="396"/>
      <c r="AR275" s="396"/>
      <c r="AS275" s="396"/>
      <c r="AT275" s="490"/>
      <c r="AU275" s="387"/>
      <c r="AV275" s="858" t="s">
        <v>16296</v>
      </c>
      <c r="AW275" s="858"/>
      <c r="AX275" s="858"/>
      <c r="AY275" s="860"/>
      <c r="AZ275" s="489">
        <f>ROUND(ROUND(Q272*$AT$208,0)*AV278,0)</f>
        <v>80</v>
      </c>
      <c r="BA275" s="393"/>
    </row>
    <row r="276" spans="1:53" ht="16.5" customHeight="1" x14ac:dyDescent="0.15">
      <c r="A276" s="340">
        <v>12</v>
      </c>
      <c r="B276" s="341">
        <v>7858</v>
      </c>
      <c r="C276" s="390" t="s">
        <v>16861</v>
      </c>
      <c r="D276" s="403"/>
      <c r="E276" s="404"/>
      <c r="F276" s="404"/>
      <c r="G276" s="404"/>
      <c r="H276" s="406"/>
      <c r="Q276" s="899"/>
      <c r="R276" s="899"/>
      <c r="S276" s="899"/>
      <c r="U276" s="387"/>
      <c r="V276" s="343" t="s">
        <v>15625</v>
      </c>
      <c r="W276" s="325"/>
      <c r="X276" s="325"/>
      <c r="Y276" s="325"/>
      <c r="Z276" s="325"/>
      <c r="AA276" s="325"/>
      <c r="AB276" s="325"/>
      <c r="AC276" s="325"/>
      <c r="AD276" s="325"/>
      <c r="AE276" s="325"/>
      <c r="AF276" s="325"/>
      <c r="AG276" s="325"/>
      <c r="AH276" s="325"/>
      <c r="AI276" s="391" t="s">
        <v>15626</v>
      </c>
      <c r="AJ276" s="838">
        <f>AJ274</f>
        <v>1</v>
      </c>
      <c r="AK276" s="839"/>
      <c r="AL276" s="325"/>
      <c r="AM276" s="325"/>
      <c r="AN276" s="325"/>
      <c r="AO276" s="325"/>
      <c r="AP276" s="325"/>
      <c r="AQ276" s="325"/>
      <c r="AR276" s="325"/>
      <c r="AS276" s="391"/>
      <c r="AT276" s="503"/>
      <c r="AU276" s="504"/>
      <c r="AV276" s="850"/>
      <c r="AW276" s="850"/>
      <c r="AX276" s="850"/>
      <c r="AY276" s="852"/>
      <c r="AZ276" s="489">
        <f>ROUND(ROUND(ROUND(Q272*AJ276,0)*$AT$208,0)*AV278,0)</f>
        <v>80</v>
      </c>
      <c r="BA276" s="393"/>
    </row>
    <row r="277" spans="1:53" ht="16.5" customHeight="1" x14ac:dyDescent="0.15">
      <c r="A277" s="340">
        <v>12</v>
      </c>
      <c r="B277" s="341">
        <v>7859</v>
      </c>
      <c r="C277" s="390" t="s">
        <v>16862</v>
      </c>
      <c r="D277" s="403"/>
      <c r="E277" s="404"/>
      <c r="F277" s="404"/>
      <c r="G277" s="404"/>
      <c r="H277" s="406"/>
      <c r="Q277" s="395"/>
      <c r="R277" s="151"/>
      <c r="S277" s="151"/>
      <c r="U277" s="387"/>
      <c r="V277" s="343"/>
      <c r="W277" s="343"/>
      <c r="X277" s="343"/>
      <c r="Y277" s="343"/>
      <c r="Z277" s="343"/>
      <c r="AA277" s="343"/>
      <c r="AB277" s="343"/>
      <c r="AC277" s="343"/>
      <c r="AD277" s="343"/>
      <c r="AE277" s="343"/>
      <c r="AF277" s="343"/>
      <c r="AG277" s="343"/>
      <c r="AH277" s="343"/>
      <c r="AI277" s="343"/>
      <c r="AJ277" s="343"/>
      <c r="AK277" s="343"/>
      <c r="AL277" s="114" t="s">
        <v>15628</v>
      </c>
      <c r="AM277" s="396"/>
      <c r="AN277" s="396"/>
      <c r="AO277" s="396"/>
      <c r="AP277" s="396"/>
      <c r="AQ277" s="396"/>
      <c r="AR277" s="396"/>
      <c r="AS277" s="396"/>
      <c r="AT277" s="490"/>
      <c r="AU277" s="387"/>
      <c r="AV277" s="902" t="s">
        <v>15636</v>
      </c>
      <c r="AW277" s="902"/>
      <c r="AX277" s="902"/>
      <c r="AY277" s="903"/>
      <c r="AZ277" s="489">
        <f>ROUND(ROUND(ROUND(Q272*AR278,0)*$AT$208,0)*AV278,0)</f>
        <v>68</v>
      </c>
      <c r="BA277" s="393"/>
    </row>
    <row r="278" spans="1:53" ht="16.5" customHeight="1" x14ac:dyDescent="0.15">
      <c r="A278" s="340">
        <v>12</v>
      </c>
      <c r="B278" s="341">
        <v>7860</v>
      </c>
      <c r="C278" s="390" t="s">
        <v>16863</v>
      </c>
      <c r="D278" s="419"/>
      <c r="E278" s="420"/>
      <c r="F278" s="420"/>
      <c r="G278" s="420"/>
      <c r="H278" s="422"/>
      <c r="I278" s="325"/>
      <c r="J278" s="325"/>
      <c r="K278" s="325"/>
      <c r="L278" s="325"/>
      <c r="M278" s="325"/>
      <c r="N278" s="325"/>
      <c r="O278" s="325"/>
      <c r="P278" s="325"/>
      <c r="Q278" s="416"/>
      <c r="R278" s="417"/>
      <c r="S278" s="417"/>
      <c r="T278" s="325"/>
      <c r="U278" s="388"/>
      <c r="V278" s="343" t="s">
        <v>15625</v>
      </c>
      <c r="W278" s="325"/>
      <c r="X278" s="325"/>
      <c r="Y278" s="325"/>
      <c r="Z278" s="325"/>
      <c r="AA278" s="325"/>
      <c r="AB278" s="325"/>
      <c r="AC278" s="325"/>
      <c r="AD278" s="325"/>
      <c r="AE278" s="325"/>
      <c r="AF278" s="325"/>
      <c r="AG278" s="325"/>
      <c r="AH278" s="325"/>
      <c r="AI278" s="391" t="s">
        <v>15626</v>
      </c>
      <c r="AJ278" s="838">
        <f>AJ276</f>
        <v>1</v>
      </c>
      <c r="AK278" s="843"/>
      <c r="AL278" s="324" t="s">
        <v>15630</v>
      </c>
      <c r="AM278" s="325"/>
      <c r="AN278" s="325"/>
      <c r="AO278" s="325"/>
      <c r="AP278" s="325"/>
      <c r="AQ278" s="190" t="s">
        <v>398</v>
      </c>
      <c r="AR278" s="844">
        <f>AR274</f>
        <v>0.85</v>
      </c>
      <c r="AS278" s="844"/>
      <c r="AT278" s="505"/>
      <c r="AU278" s="506"/>
      <c r="AV278" s="844">
        <f>AV270</f>
        <v>0.8</v>
      </c>
      <c r="AW278" s="844"/>
      <c r="AX278" s="844"/>
      <c r="AY278" s="845"/>
      <c r="AZ278" s="491">
        <f>ROUND(ROUND(ROUND(ROUND(Q272*AJ278,0)*AR278,0)*$AT$208,0)*AV278,0)</f>
        <v>68</v>
      </c>
      <c r="BA278" s="418"/>
    </row>
    <row r="279" spans="1:53" ht="17.100000000000001" customHeight="1" x14ac:dyDescent="0.15">
      <c r="A279" s="321">
        <v>12</v>
      </c>
      <c r="B279" s="322">
        <v>7861</v>
      </c>
      <c r="C279" s="386" t="s">
        <v>16864</v>
      </c>
      <c r="D279" s="849" t="s">
        <v>15740</v>
      </c>
      <c r="E279" s="850"/>
      <c r="F279" s="850"/>
      <c r="G279" s="850"/>
      <c r="H279" s="852"/>
      <c r="I279" s="908" t="s">
        <v>16381</v>
      </c>
      <c r="J279" s="909"/>
      <c r="K279" s="909"/>
      <c r="L279" s="909"/>
      <c r="M279" s="909"/>
      <c r="N279" s="909"/>
      <c r="O279" s="909"/>
      <c r="P279" s="909"/>
      <c r="Q279" s="909"/>
      <c r="R279" s="909"/>
      <c r="S279" s="909"/>
      <c r="T279" s="909"/>
      <c r="U279" s="910"/>
      <c r="V279" s="325"/>
      <c r="W279" s="325"/>
      <c r="X279" s="325"/>
      <c r="Y279" s="325"/>
      <c r="Z279" s="325"/>
      <c r="AA279" s="325"/>
      <c r="AB279" s="325"/>
      <c r="AC279" s="325"/>
      <c r="AD279" s="325"/>
      <c r="AE279" s="325"/>
      <c r="AF279" s="325"/>
      <c r="AG279" s="325"/>
      <c r="AH279" s="325"/>
      <c r="AI279" s="325"/>
      <c r="AJ279" s="401"/>
      <c r="AK279" s="402"/>
      <c r="AQ279" s="152"/>
      <c r="AR279" s="152"/>
      <c r="AS279" s="152"/>
      <c r="AT279" s="916" t="s">
        <v>16592</v>
      </c>
      <c r="AU279" s="917"/>
      <c r="AV279" s="151"/>
      <c r="AW279" s="151"/>
      <c r="AY279" s="387"/>
      <c r="AZ279" s="489">
        <f>ROUND(Q280*$AT$288,0)</f>
        <v>108</v>
      </c>
      <c r="BA279" s="329" t="s">
        <v>15622</v>
      </c>
    </row>
    <row r="280" spans="1:53" ht="16.5" customHeight="1" x14ac:dyDescent="0.15">
      <c r="A280" s="340">
        <v>12</v>
      </c>
      <c r="B280" s="341">
        <v>7862</v>
      </c>
      <c r="C280" s="390" t="s">
        <v>16865</v>
      </c>
      <c r="D280" s="849"/>
      <c r="E280" s="850"/>
      <c r="F280" s="850"/>
      <c r="G280" s="850"/>
      <c r="H280" s="852"/>
      <c r="Q280" s="836">
        <f>'2重度訪問'!U144</f>
        <v>86</v>
      </c>
      <c r="R280" s="911"/>
      <c r="S280" s="911"/>
      <c r="T280" s="152" t="s">
        <v>15624</v>
      </c>
      <c r="U280" s="387"/>
      <c r="V280" s="343" t="s">
        <v>15625</v>
      </c>
      <c r="W280" s="325"/>
      <c r="X280" s="325"/>
      <c r="Y280" s="325"/>
      <c r="Z280" s="325"/>
      <c r="AA280" s="325"/>
      <c r="AB280" s="325"/>
      <c r="AC280" s="325"/>
      <c r="AD280" s="325"/>
      <c r="AE280" s="325"/>
      <c r="AF280" s="325"/>
      <c r="AG280" s="325"/>
      <c r="AH280" s="325"/>
      <c r="AI280" s="391" t="s">
        <v>15626</v>
      </c>
      <c r="AJ280" s="838">
        <f>AJ182</f>
        <v>1</v>
      </c>
      <c r="AK280" s="839"/>
      <c r="AL280" s="325"/>
      <c r="AM280" s="325"/>
      <c r="AN280" s="325"/>
      <c r="AO280" s="325"/>
      <c r="AP280" s="325"/>
      <c r="AQ280" s="325"/>
      <c r="AR280" s="325"/>
      <c r="AS280" s="391"/>
      <c r="AT280" s="912"/>
      <c r="AU280" s="913"/>
      <c r="AY280" s="387"/>
      <c r="AZ280" s="489">
        <f>ROUND(ROUND(Q280*AJ280,0)*$AT$288,0)</f>
        <v>108</v>
      </c>
      <c r="BA280" s="393"/>
    </row>
    <row r="281" spans="1:53" ht="16.5" customHeight="1" x14ac:dyDescent="0.15">
      <c r="A281" s="340">
        <v>12</v>
      </c>
      <c r="B281" s="341">
        <v>7863</v>
      </c>
      <c r="C281" s="390" t="s">
        <v>16866</v>
      </c>
      <c r="D281" s="849"/>
      <c r="E281" s="850"/>
      <c r="F281" s="850"/>
      <c r="G281" s="850"/>
      <c r="H281" s="852"/>
      <c r="Q281" s="395"/>
      <c r="R281" s="151"/>
      <c r="S281" s="151"/>
      <c r="U281" s="387"/>
      <c r="V281" s="343"/>
      <c r="W281" s="343"/>
      <c r="X281" s="343"/>
      <c r="Y281" s="343"/>
      <c r="Z281" s="343"/>
      <c r="AA281" s="343"/>
      <c r="AB281" s="343"/>
      <c r="AC281" s="343"/>
      <c r="AD281" s="343"/>
      <c r="AE281" s="343"/>
      <c r="AF281" s="343"/>
      <c r="AG281" s="343"/>
      <c r="AH281" s="343"/>
      <c r="AI281" s="343"/>
      <c r="AJ281" s="343"/>
      <c r="AK281" s="343"/>
      <c r="AL281" s="114" t="s">
        <v>15628</v>
      </c>
      <c r="AM281" s="396"/>
      <c r="AN281" s="396"/>
      <c r="AO281" s="396"/>
      <c r="AP281" s="396"/>
      <c r="AQ281" s="396"/>
      <c r="AR281" s="396"/>
      <c r="AS281" s="396"/>
      <c r="AT281" s="912"/>
      <c r="AU281" s="913"/>
      <c r="AY281" s="387"/>
      <c r="AZ281" s="489">
        <f>ROUND(ROUND(Q280*AR282,0)*$AT$288,0)</f>
        <v>91</v>
      </c>
      <c r="BA281" s="393"/>
    </row>
    <row r="282" spans="1:53" ht="16.5" customHeight="1" x14ac:dyDescent="0.15">
      <c r="A282" s="340">
        <v>12</v>
      </c>
      <c r="B282" s="341">
        <v>7864</v>
      </c>
      <c r="C282" s="390" t="s">
        <v>16867</v>
      </c>
      <c r="D282" s="849"/>
      <c r="E282" s="850"/>
      <c r="F282" s="850"/>
      <c r="G282" s="850"/>
      <c r="H282" s="852"/>
      <c r="Q282" s="395"/>
      <c r="R282" s="151"/>
      <c r="S282" s="151"/>
      <c r="U282" s="387"/>
      <c r="V282" s="343" t="s">
        <v>15625</v>
      </c>
      <c r="W282" s="325"/>
      <c r="X282" s="325"/>
      <c r="Y282" s="325"/>
      <c r="Z282" s="325"/>
      <c r="AA282" s="325"/>
      <c r="AB282" s="325"/>
      <c r="AC282" s="325"/>
      <c r="AD282" s="325"/>
      <c r="AE282" s="325"/>
      <c r="AF282" s="325"/>
      <c r="AG282" s="325"/>
      <c r="AH282" s="325"/>
      <c r="AI282" s="391" t="s">
        <v>15626</v>
      </c>
      <c r="AJ282" s="838">
        <f>AJ280</f>
        <v>1</v>
      </c>
      <c r="AK282" s="843"/>
      <c r="AL282" s="324" t="s">
        <v>15630</v>
      </c>
      <c r="AM282" s="325"/>
      <c r="AN282" s="325"/>
      <c r="AO282" s="325"/>
      <c r="AP282" s="325"/>
      <c r="AQ282" s="190" t="s">
        <v>398</v>
      </c>
      <c r="AR282" s="844">
        <f>AR182</f>
        <v>0.85</v>
      </c>
      <c r="AS282" s="844"/>
      <c r="AT282" s="912"/>
      <c r="AU282" s="913"/>
      <c r="AY282" s="387"/>
      <c r="AZ282" s="489">
        <f>ROUND(ROUND(ROUND(Q280*AJ282,0)*AR282,0)*$AT$288,0)</f>
        <v>91</v>
      </c>
      <c r="BA282" s="393"/>
    </row>
    <row r="283" spans="1:53" ht="17.100000000000001" customHeight="1" x14ac:dyDescent="0.15">
      <c r="A283" s="340">
        <v>12</v>
      </c>
      <c r="B283" s="341">
        <v>7865</v>
      </c>
      <c r="C283" s="390" t="s">
        <v>16868</v>
      </c>
      <c r="D283" s="403"/>
      <c r="E283" s="404"/>
      <c r="F283" s="404"/>
      <c r="G283" s="404"/>
      <c r="H283" s="406"/>
      <c r="I283" s="10"/>
      <c r="L283" s="151"/>
      <c r="M283" s="151"/>
      <c r="N283" s="151"/>
      <c r="U283" s="387"/>
      <c r="V283" s="343"/>
      <c r="W283" s="343"/>
      <c r="X283" s="343"/>
      <c r="Y283" s="343"/>
      <c r="Z283" s="343"/>
      <c r="AA283" s="343"/>
      <c r="AB283" s="343"/>
      <c r="AC283" s="343"/>
      <c r="AD283" s="343"/>
      <c r="AE283" s="343"/>
      <c r="AF283" s="343"/>
      <c r="AG283" s="343"/>
      <c r="AH283" s="343"/>
      <c r="AI283" s="343"/>
      <c r="AJ283" s="401"/>
      <c r="AK283" s="402"/>
      <c r="AL283" s="396"/>
      <c r="AM283" s="396"/>
      <c r="AN283" s="396"/>
      <c r="AO283" s="396"/>
      <c r="AP283" s="396"/>
      <c r="AQ283" s="396"/>
      <c r="AR283" s="396"/>
      <c r="AS283" s="396"/>
      <c r="AT283" s="912"/>
      <c r="AU283" s="913"/>
      <c r="AV283" s="858" t="s">
        <v>16296</v>
      </c>
      <c r="AW283" s="858"/>
      <c r="AX283" s="858"/>
      <c r="AY283" s="860"/>
      <c r="AZ283" s="489">
        <f>ROUND(ROUND(Q280*$AT$288,0)*AV286,0)</f>
        <v>86</v>
      </c>
      <c r="BA283" s="393"/>
    </row>
    <row r="284" spans="1:53" ht="16.5" customHeight="1" x14ac:dyDescent="0.15">
      <c r="A284" s="340">
        <v>12</v>
      </c>
      <c r="B284" s="341">
        <v>7866</v>
      </c>
      <c r="C284" s="390" t="s">
        <v>16869</v>
      </c>
      <c r="D284" s="403"/>
      <c r="E284" s="404"/>
      <c r="F284" s="404"/>
      <c r="G284" s="404"/>
      <c r="H284" s="406"/>
      <c r="Q284" s="899"/>
      <c r="R284" s="899"/>
      <c r="S284" s="899"/>
      <c r="U284" s="387"/>
      <c r="V284" s="343" t="s">
        <v>15625</v>
      </c>
      <c r="W284" s="325"/>
      <c r="X284" s="325"/>
      <c r="Y284" s="325"/>
      <c r="Z284" s="325"/>
      <c r="AA284" s="325"/>
      <c r="AB284" s="325"/>
      <c r="AC284" s="325"/>
      <c r="AD284" s="325"/>
      <c r="AE284" s="325"/>
      <c r="AF284" s="325"/>
      <c r="AG284" s="325"/>
      <c r="AH284" s="325"/>
      <c r="AI284" s="391" t="s">
        <v>15626</v>
      </c>
      <c r="AJ284" s="838">
        <f>AJ282</f>
        <v>1</v>
      </c>
      <c r="AK284" s="839"/>
      <c r="AL284" s="325"/>
      <c r="AM284" s="325"/>
      <c r="AN284" s="325"/>
      <c r="AO284" s="325"/>
      <c r="AP284" s="325"/>
      <c r="AQ284" s="325"/>
      <c r="AR284" s="325"/>
      <c r="AS284" s="391"/>
      <c r="AT284" s="912"/>
      <c r="AU284" s="913"/>
      <c r="AV284" s="850"/>
      <c r="AW284" s="850"/>
      <c r="AX284" s="850"/>
      <c r="AY284" s="852"/>
      <c r="AZ284" s="489">
        <f>ROUND(ROUND(ROUND(Q280*AJ284,0)*$AT$288,0)*AV286,0)</f>
        <v>86</v>
      </c>
      <c r="BA284" s="393"/>
    </row>
    <row r="285" spans="1:53" ht="16.5" customHeight="1" x14ac:dyDescent="0.15">
      <c r="A285" s="340">
        <v>12</v>
      </c>
      <c r="B285" s="341">
        <v>7867</v>
      </c>
      <c r="C285" s="390" t="s">
        <v>16870</v>
      </c>
      <c r="D285" s="403"/>
      <c r="E285" s="404"/>
      <c r="F285" s="497"/>
      <c r="G285" s="497"/>
      <c r="H285" s="498"/>
      <c r="Q285" s="395"/>
      <c r="R285" s="151"/>
      <c r="S285" s="151"/>
      <c r="U285" s="387"/>
      <c r="V285" s="343"/>
      <c r="W285" s="343"/>
      <c r="X285" s="343"/>
      <c r="Y285" s="343"/>
      <c r="Z285" s="343"/>
      <c r="AA285" s="343"/>
      <c r="AB285" s="343"/>
      <c r="AC285" s="343"/>
      <c r="AD285" s="343"/>
      <c r="AE285" s="343"/>
      <c r="AF285" s="343"/>
      <c r="AG285" s="343"/>
      <c r="AH285" s="343"/>
      <c r="AI285" s="343"/>
      <c r="AJ285" s="343"/>
      <c r="AK285" s="343"/>
      <c r="AL285" s="114" t="s">
        <v>15628</v>
      </c>
      <c r="AM285" s="396"/>
      <c r="AN285" s="396"/>
      <c r="AO285" s="396"/>
      <c r="AP285" s="396"/>
      <c r="AQ285" s="396"/>
      <c r="AR285" s="396"/>
      <c r="AS285" s="396"/>
      <c r="AT285" s="912"/>
      <c r="AU285" s="913"/>
      <c r="AV285" s="902" t="s">
        <v>15636</v>
      </c>
      <c r="AW285" s="902"/>
      <c r="AX285" s="902"/>
      <c r="AY285" s="903"/>
      <c r="AZ285" s="489">
        <f>ROUND(ROUND(ROUND(Q280*AR286,0)*$AT$288,0)*AV286,0)</f>
        <v>73</v>
      </c>
      <c r="BA285" s="393"/>
    </row>
    <row r="286" spans="1:53" ht="16.5" customHeight="1" x14ac:dyDescent="0.15">
      <c r="A286" s="340">
        <v>12</v>
      </c>
      <c r="B286" s="341">
        <v>7868</v>
      </c>
      <c r="C286" s="390" t="s">
        <v>16871</v>
      </c>
      <c r="D286" s="403"/>
      <c r="E286" s="404"/>
      <c r="F286" s="404"/>
      <c r="G286" s="404"/>
      <c r="H286" s="406"/>
      <c r="Q286" s="395"/>
      <c r="R286" s="151"/>
      <c r="S286" s="151"/>
      <c r="U286" s="387"/>
      <c r="V286" s="343" t="s">
        <v>15625</v>
      </c>
      <c r="W286" s="325"/>
      <c r="X286" s="325"/>
      <c r="Y286" s="325"/>
      <c r="Z286" s="325"/>
      <c r="AA286" s="325"/>
      <c r="AB286" s="325"/>
      <c r="AC286" s="325"/>
      <c r="AD286" s="325"/>
      <c r="AE286" s="325"/>
      <c r="AF286" s="325"/>
      <c r="AG286" s="325"/>
      <c r="AH286" s="325"/>
      <c r="AI286" s="391" t="s">
        <v>15626</v>
      </c>
      <c r="AJ286" s="838">
        <f>AJ284</f>
        <v>1</v>
      </c>
      <c r="AK286" s="843"/>
      <c r="AL286" s="324" t="s">
        <v>15630</v>
      </c>
      <c r="AM286" s="325"/>
      <c r="AN286" s="325"/>
      <c r="AO286" s="325"/>
      <c r="AP286" s="325"/>
      <c r="AQ286" s="190" t="s">
        <v>398</v>
      </c>
      <c r="AR286" s="844">
        <f>AR282</f>
        <v>0.85</v>
      </c>
      <c r="AS286" s="844"/>
      <c r="AT286" s="912"/>
      <c r="AU286" s="913"/>
      <c r="AV286" s="844">
        <f>AV278</f>
        <v>0.8</v>
      </c>
      <c r="AW286" s="844"/>
      <c r="AX286" s="844"/>
      <c r="AY286" s="845"/>
      <c r="AZ286" s="489">
        <f>ROUND(ROUND(ROUND(ROUND(Q280*AJ286,0)*AR286,0)*$AT$288,0)*AV286,0)</f>
        <v>73</v>
      </c>
      <c r="BA286" s="393"/>
    </row>
    <row r="287" spans="1:53" ht="17.100000000000001" customHeight="1" x14ac:dyDescent="0.15">
      <c r="A287" s="340">
        <v>12</v>
      </c>
      <c r="B287" s="341">
        <v>7869</v>
      </c>
      <c r="C287" s="390" t="s">
        <v>16872</v>
      </c>
      <c r="D287" s="403"/>
      <c r="E287" s="404"/>
      <c r="F287" s="404"/>
      <c r="G287" s="404"/>
      <c r="H287" s="406"/>
      <c r="I287" s="908" t="s">
        <v>16390</v>
      </c>
      <c r="J287" s="909"/>
      <c r="K287" s="909"/>
      <c r="L287" s="909"/>
      <c r="M287" s="909"/>
      <c r="N287" s="909"/>
      <c r="O287" s="909"/>
      <c r="P287" s="909"/>
      <c r="Q287" s="909"/>
      <c r="R287" s="909"/>
      <c r="S287" s="909"/>
      <c r="T287" s="909"/>
      <c r="U287" s="910"/>
      <c r="V287" s="343"/>
      <c r="W287" s="343"/>
      <c r="X287" s="343"/>
      <c r="Y287" s="343"/>
      <c r="Z287" s="343"/>
      <c r="AA287" s="343"/>
      <c r="AB287" s="343"/>
      <c r="AC287" s="343"/>
      <c r="AD287" s="343"/>
      <c r="AE287" s="343"/>
      <c r="AF287" s="343"/>
      <c r="AG287" s="343"/>
      <c r="AH287" s="343"/>
      <c r="AI287" s="343"/>
      <c r="AJ287" s="401"/>
      <c r="AK287" s="402"/>
      <c r="AL287" s="396"/>
      <c r="AM287" s="396"/>
      <c r="AN287" s="396"/>
      <c r="AO287" s="396"/>
      <c r="AP287" s="396"/>
      <c r="AQ287" s="396"/>
      <c r="AR287" s="396"/>
      <c r="AS287" s="396"/>
      <c r="AT287" s="912" t="s">
        <v>15636</v>
      </c>
      <c r="AU287" s="913"/>
      <c r="AV287" s="400"/>
      <c r="AW287" s="400"/>
      <c r="AX287" s="396"/>
      <c r="AY287" s="397"/>
      <c r="AZ287" s="489">
        <f>ROUND(Q288*$AT$288,0)</f>
        <v>100</v>
      </c>
      <c r="BA287" s="393"/>
    </row>
    <row r="288" spans="1:53" ht="16.5" customHeight="1" x14ac:dyDescent="0.15">
      <c r="A288" s="340">
        <v>12</v>
      </c>
      <c r="B288" s="341">
        <v>7870</v>
      </c>
      <c r="C288" s="390" t="s">
        <v>16873</v>
      </c>
      <c r="D288" s="403"/>
      <c r="E288" s="404"/>
      <c r="F288" s="404"/>
      <c r="G288" s="404"/>
      <c r="H288" s="406"/>
      <c r="Q288" s="836">
        <f>'2重度訪問'!U148</f>
        <v>80</v>
      </c>
      <c r="R288" s="911"/>
      <c r="S288" s="911"/>
      <c r="T288" s="152" t="s">
        <v>15624</v>
      </c>
      <c r="U288" s="387"/>
      <c r="V288" s="343" t="s">
        <v>15625</v>
      </c>
      <c r="W288" s="325"/>
      <c r="X288" s="325"/>
      <c r="Y288" s="325"/>
      <c r="Z288" s="325"/>
      <c r="AA288" s="325"/>
      <c r="AB288" s="325"/>
      <c r="AC288" s="325"/>
      <c r="AD288" s="325"/>
      <c r="AE288" s="325"/>
      <c r="AF288" s="325"/>
      <c r="AG288" s="325"/>
      <c r="AH288" s="325"/>
      <c r="AI288" s="391" t="s">
        <v>15626</v>
      </c>
      <c r="AJ288" s="838">
        <f>AJ286</f>
        <v>1</v>
      </c>
      <c r="AK288" s="839"/>
      <c r="AL288" s="325"/>
      <c r="AM288" s="325"/>
      <c r="AN288" s="325"/>
      <c r="AO288" s="325"/>
      <c r="AP288" s="325"/>
      <c r="AQ288" s="325"/>
      <c r="AR288" s="325"/>
      <c r="AS288" s="391"/>
      <c r="AT288" s="914">
        <f>AT208</f>
        <v>1.25</v>
      </c>
      <c r="AU288" s="915"/>
      <c r="AY288" s="387"/>
      <c r="AZ288" s="489">
        <f>ROUND(ROUND(Q288*AJ288,0)*$AT$288,0)</f>
        <v>100</v>
      </c>
      <c r="BA288" s="393"/>
    </row>
    <row r="289" spans="1:53" ht="16.5" customHeight="1" x14ac:dyDescent="0.15">
      <c r="A289" s="340">
        <v>12</v>
      </c>
      <c r="B289" s="341">
        <v>7871</v>
      </c>
      <c r="C289" s="390" t="s">
        <v>16874</v>
      </c>
      <c r="D289" s="408"/>
      <c r="E289" s="409"/>
      <c r="F289" s="409"/>
      <c r="G289" s="409"/>
      <c r="H289" s="411"/>
      <c r="Q289" s="395"/>
      <c r="R289" s="151"/>
      <c r="S289" s="151"/>
      <c r="U289" s="387"/>
      <c r="V289" s="343"/>
      <c r="W289" s="343"/>
      <c r="X289" s="343"/>
      <c r="Y289" s="343"/>
      <c r="Z289" s="343"/>
      <c r="AA289" s="343"/>
      <c r="AB289" s="343"/>
      <c r="AC289" s="343"/>
      <c r="AD289" s="343"/>
      <c r="AE289" s="343"/>
      <c r="AF289" s="343"/>
      <c r="AG289" s="343"/>
      <c r="AH289" s="343"/>
      <c r="AI289" s="343"/>
      <c r="AJ289" s="343"/>
      <c r="AK289" s="343"/>
      <c r="AL289" s="114" t="s">
        <v>15628</v>
      </c>
      <c r="AM289" s="396"/>
      <c r="AN289" s="396"/>
      <c r="AO289" s="396"/>
      <c r="AP289" s="396"/>
      <c r="AQ289" s="396"/>
      <c r="AR289" s="396"/>
      <c r="AS289" s="396"/>
      <c r="AT289" s="490"/>
      <c r="AU289" s="387"/>
      <c r="AY289" s="387"/>
      <c r="AZ289" s="489">
        <f>ROUND(ROUND(Q288*AR290,0)*$AT$288,0)</f>
        <v>85</v>
      </c>
      <c r="BA289" s="393"/>
    </row>
    <row r="290" spans="1:53" ht="16.5" customHeight="1" x14ac:dyDescent="0.15">
      <c r="A290" s="340">
        <v>12</v>
      </c>
      <c r="B290" s="341">
        <v>7872</v>
      </c>
      <c r="C290" s="390" t="s">
        <v>16875</v>
      </c>
      <c r="D290" s="408"/>
      <c r="E290" s="409"/>
      <c r="F290" s="409"/>
      <c r="G290" s="409"/>
      <c r="H290" s="411"/>
      <c r="Q290" s="395"/>
      <c r="R290" s="151"/>
      <c r="S290" s="151"/>
      <c r="U290" s="387"/>
      <c r="V290" s="343" t="s">
        <v>15625</v>
      </c>
      <c r="W290" s="325"/>
      <c r="X290" s="325"/>
      <c r="Y290" s="325"/>
      <c r="Z290" s="325"/>
      <c r="AA290" s="325"/>
      <c r="AB290" s="325"/>
      <c r="AC290" s="325"/>
      <c r="AD290" s="325"/>
      <c r="AE290" s="325"/>
      <c r="AF290" s="325"/>
      <c r="AG290" s="325"/>
      <c r="AH290" s="325"/>
      <c r="AI290" s="391" t="s">
        <v>15626</v>
      </c>
      <c r="AJ290" s="838">
        <f>AJ288</f>
        <v>1</v>
      </c>
      <c r="AK290" s="843"/>
      <c r="AL290" s="324" t="s">
        <v>15630</v>
      </c>
      <c r="AM290" s="325"/>
      <c r="AN290" s="325"/>
      <c r="AO290" s="325"/>
      <c r="AP290" s="325"/>
      <c r="AQ290" s="190" t="s">
        <v>398</v>
      </c>
      <c r="AR290" s="844">
        <f>AR286</f>
        <v>0.85</v>
      </c>
      <c r="AS290" s="844"/>
      <c r="AT290" s="501"/>
      <c r="AU290" s="502"/>
      <c r="AY290" s="387"/>
      <c r="AZ290" s="489">
        <f>ROUND(ROUND(ROUND(Q288*AJ290,0)*AR290,0)*$AT$288,0)</f>
        <v>85</v>
      </c>
      <c r="BA290" s="393"/>
    </row>
    <row r="291" spans="1:53" ht="17.100000000000001" customHeight="1" x14ac:dyDescent="0.15">
      <c r="A291" s="340">
        <v>12</v>
      </c>
      <c r="B291" s="341">
        <v>7873</v>
      </c>
      <c r="C291" s="390" t="s">
        <v>16876</v>
      </c>
      <c r="D291" s="403"/>
      <c r="E291" s="404"/>
      <c r="F291" s="404"/>
      <c r="G291" s="404"/>
      <c r="H291" s="406"/>
      <c r="I291" s="10"/>
      <c r="L291" s="151"/>
      <c r="M291" s="151"/>
      <c r="N291" s="151"/>
      <c r="U291" s="387"/>
      <c r="V291" s="343"/>
      <c r="W291" s="343"/>
      <c r="X291" s="343"/>
      <c r="Y291" s="343"/>
      <c r="Z291" s="343"/>
      <c r="AA291" s="343"/>
      <c r="AB291" s="343"/>
      <c r="AC291" s="343"/>
      <c r="AD291" s="343"/>
      <c r="AE291" s="343"/>
      <c r="AF291" s="343"/>
      <c r="AG291" s="343"/>
      <c r="AH291" s="343"/>
      <c r="AI291" s="343"/>
      <c r="AJ291" s="401"/>
      <c r="AK291" s="402"/>
      <c r="AL291" s="396"/>
      <c r="AM291" s="396"/>
      <c r="AN291" s="396"/>
      <c r="AO291" s="396"/>
      <c r="AP291" s="396"/>
      <c r="AQ291" s="396"/>
      <c r="AR291" s="396"/>
      <c r="AS291" s="396"/>
      <c r="AT291" s="490"/>
      <c r="AU291" s="387"/>
      <c r="AV291" s="858" t="s">
        <v>16296</v>
      </c>
      <c r="AW291" s="858"/>
      <c r="AX291" s="858"/>
      <c r="AY291" s="860"/>
      <c r="AZ291" s="489">
        <f>ROUND(ROUND(Q288*$AT$288,0)*AV294,0)</f>
        <v>80</v>
      </c>
      <c r="BA291" s="393"/>
    </row>
    <row r="292" spans="1:53" ht="16.5" customHeight="1" x14ac:dyDescent="0.15">
      <c r="A292" s="340">
        <v>12</v>
      </c>
      <c r="B292" s="341">
        <v>7874</v>
      </c>
      <c r="C292" s="390" t="s">
        <v>16877</v>
      </c>
      <c r="D292" s="403"/>
      <c r="E292" s="404"/>
      <c r="F292" s="404"/>
      <c r="G292" s="404"/>
      <c r="H292" s="406"/>
      <c r="Q292" s="899"/>
      <c r="R292" s="899"/>
      <c r="S292" s="899"/>
      <c r="U292" s="387"/>
      <c r="V292" s="343" t="s">
        <v>15625</v>
      </c>
      <c r="W292" s="325"/>
      <c r="X292" s="325"/>
      <c r="Y292" s="325"/>
      <c r="Z292" s="325"/>
      <c r="AA292" s="325"/>
      <c r="AB292" s="325"/>
      <c r="AC292" s="325"/>
      <c r="AD292" s="325"/>
      <c r="AE292" s="325"/>
      <c r="AF292" s="325"/>
      <c r="AG292" s="325"/>
      <c r="AH292" s="325"/>
      <c r="AI292" s="391" t="s">
        <v>15626</v>
      </c>
      <c r="AJ292" s="838">
        <f>AJ290</f>
        <v>1</v>
      </c>
      <c r="AK292" s="839"/>
      <c r="AL292" s="325"/>
      <c r="AM292" s="325"/>
      <c r="AN292" s="325"/>
      <c r="AO292" s="325"/>
      <c r="AP292" s="325"/>
      <c r="AQ292" s="325"/>
      <c r="AR292" s="325"/>
      <c r="AS292" s="391"/>
      <c r="AT292" s="503"/>
      <c r="AU292" s="504"/>
      <c r="AV292" s="850"/>
      <c r="AW292" s="850"/>
      <c r="AX292" s="850"/>
      <c r="AY292" s="852"/>
      <c r="AZ292" s="489">
        <f>ROUND(ROUND(ROUND(Q288*AJ292,0)*$AT$288,0)*AV294,0)</f>
        <v>80</v>
      </c>
      <c r="BA292" s="393"/>
    </row>
    <row r="293" spans="1:53" ht="16.5" customHeight="1" x14ac:dyDescent="0.15">
      <c r="A293" s="340">
        <v>12</v>
      </c>
      <c r="B293" s="341">
        <v>7875</v>
      </c>
      <c r="C293" s="390" t="s">
        <v>16878</v>
      </c>
      <c r="D293" s="408"/>
      <c r="E293" s="409"/>
      <c r="F293" s="409"/>
      <c r="G293" s="409"/>
      <c r="H293" s="411"/>
      <c r="Q293" s="395"/>
      <c r="R293" s="151"/>
      <c r="S293" s="151"/>
      <c r="U293" s="387"/>
      <c r="V293" s="343"/>
      <c r="W293" s="343"/>
      <c r="X293" s="343"/>
      <c r="Y293" s="343"/>
      <c r="Z293" s="343"/>
      <c r="AA293" s="343"/>
      <c r="AB293" s="343"/>
      <c r="AC293" s="343"/>
      <c r="AD293" s="343"/>
      <c r="AE293" s="343"/>
      <c r="AF293" s="343"/>
      <c r="AG293" s="343"/>
      <c r="AH293" s="343"/>
      <c r="AI293" s="343"/>
      <c r="AJ293" s="343"/>
      <c r="AK293" s="343"/>
      <c r="AL293" s="114" t="s">
        <v>15628</v>
      </c>
      <c r="AM293" s="396"/>
      <c r="AN293" s="396"/>
      <c r="AO293" s="396"/>
      <c r="AP293" s="396"/>
      <c r="AQ293" s="396"/>
      <c r="AR293" s="396"/>
      <c r="AS293" s="396"/>
      <c r="AT293" s="490"/>
      <c r="AU293" s="387"/>
      <c r="AV293" s="902" t="s">
        <v>15636</v>
      </c>
      <c r="AW293" s="902"/>
      <c r="AX293" s="902"/>
      <c r="AY293" s="903"/>
      <c r="AZ293" s="489">
        <f>ROUND(ROUND(ROUND(Q288*AR294,0)*$AT$288,0)*AV294,0)</f>
        <v>68</v>
      </c>
      <c r="BA293" s="393"/>
    </row>
    <row r="294" spans="1:53" ht="16.5" customHeight="1" x14ac:dyDescent="0.15">
      <c r="A294" s="340">
        <v>12</v>
      </c>
      <c r="B294" s="341">
        <v>7876</v>
      </c>
      <c r="C294" s="390" t="s">
        <v>16879</v>
      </c>
      <c r="D294" s="412"/>
      <c r="E294" s="413"/>
      <c r="F294" s="413"/>
      <c r="G294" s="413"/>
      <c r="H294" s="415"/>
      <c r="I294" s="325"/>
      <c r="J294" s="325"/>
      <c r="K294" s="325"/>
      <c r="L294" s="325"/>
      <c r="M294" s="325"/>
      <c r="N294" s="325"/>
      <c r="O294" s="325"/>
      <c r="P294" s="325"/>
      <c r="Q294" s="416"/>
      <c r="R294" s="417"/>
      <c r="S294" s="417"/>
      <c r="T294" s="325"/>
      <c r="U294" s="388"/>
      <c r="V294" s="343" t="s">
        <v>15625</v>
      </c>
      <c r="W294" s="325"/>
      <c r="X294" s="325"/>
      <c r="Y294" s="325"/>
      <c r="Z294" s="325"/>
      <c r="AA294" s="325"/>
      <c r="AB294" s="325"/>
      <c r="AC294" s="325"/>
      <c r="AD294" s="325"/>
      <c r="AE294" s="325"/>
      <c r="AF294" s="325"/>
      <c r="AG294" s="325"/>
      <c r="AH294" s="325"/>
      <c r="AI294" s="391" t="s">
        <v>15626</v>
      </c>
      <c r="AJ294" s="838">
        <f>AJ292</f>
        <v>1</v>
      </c>
      <c r="AK294" s="843"/>
      <c r="AL294" s="324" t="s">
        <v>15630</v>
      </c>
      <c r="AM294" s="325"/>
      <c r="AN294" s="325"/>
      <c r="AO294" s="325"/>
      <c r="AP294" s="325"/>
      <c r="AQ294" s="190" t="s">
        <v>398</v>
      </c>
      <c r="AR294" s="844">
        <f>AR290</f>
        <v>0.85</v>
      </c>
      <c r="AS294" s="844"/>
      <c r="AT294" s="505"/>
      <c r="AU294" s="506"/>
      <c r="AV294" s="844">
        <f>AV286</f>
        <v>0.8</v>
      </c>
      <c r="AW294" s="844"/>
      <c r="AX294" s="844"/>
      <c r="AY294" s="845"/>
      <c r="AZ294" s="353">
        <f>ROUND(ROUND(ROUND(ROUND(Q288*AJ294,0)*AR294,0)*$AT$288,0)*AV294,0)</f>
        <v>68</v>
      </c>
      <c r="BA294" s="418"/>
    </row>
    <row r="298" spans="1:53" ht="17.100000000000001" customHeight="1" x14ac:dyDescent="0.15">
      <c r="AN298" s="151"/>
      <c r="AO298" s="377"/>
      <c r="AP298" s="151"/>
      <c r="AR298" s="151"/>
    </row>
  </sheetData>
  <mergeCells count="465">
    <mergeCell ref="AV291:AY292"/>
    <mergeCell ref="Q292:S292"/>
    <mergeCell ref="AJ292:AK292"/>
    <mergeCell ref="AV293:AY293"/>
    <mergeCell ref="AJ294:AK294"/>
    <mergeCell ref="AR294:AS294"/>
    <mergeCell ref="AV294:AY294"/>
    <mergeCell ref="I287:U287"/>
    <mergeCell ref="AT287:AU287"/>
    <mergeCell ref="Q288:S288"/>
    <mergeCell ref="AJ288:AK288"/>
    <mergeCell ref="AT288:AU288"/>
    <mergeCell ref="AJ290:AK290"/>
    <mergeCell ref="AR290:AS290"/>
    <mergeCell ref="AV283:AY284"/>
    <mergeCell ref="Q284:S284"/>
    <mergeCell ref="AJ284:AK284"/>
    <mergeCell ref="AV285:AY285"/>
    <mergeCell ref="AJ286:AK286"/>
    <mergeCell ref="AR286:AS286"/>
    <mergeCell ref="AV286:AY286"/>
    <mergeCell ref="AJ278:AK278"/>
    <mergeCell ref="AR278:AS278"/>
    <mergeCell ref="AV278:AY278"/>
    <mergeCell ref="D279:H282"/>
    <mergeCell ref="I279:U279"/>
    <mergeCell ref="AT279:AU286"/>
    <mergeCell ref="Q280:S280"/>
    <mergeCell ref="AJ280:AK280"/>
    <mergeCell ref="AJ282:AK282"/>
    <mergeCell ref="AR282:AS282"/>
    <mergeCell ref="AJ274:AK274"/>
    <mergeCell ref="AR274:AS274"/>
    <mergeCell ref="AV275:AY276"/>
    <mergeCell ref="Q276:S276"/>
    <mergeCell ref="AJ276:AK276"/>
    <mergeCell ref="AV277:AY277"/>
    <mergeCell ref="AJ270:AK270"/>
    <mergeCell ref="AR270:AS270"/>
    <mergeCell ref="AV270:AY270"/>
    <mergeCell ref="I271:U271"/>
    <mergeCell ref="Q272:S272"/>
    <mergeCell ref="AJ272:AK272"/>
    <mergeCell ref="AJ266:AK266"/>
    <mergeCell ref="AR266:AS266"/>
    <mergeCell ref="AV267:AY268"/>
    <mergeCell ref="Q268:S268"/>
    <mergeCell ref="AJ268:AK268"/>
    <mergeCell ref="AV269:AY269"/>
    <mergeCell ref="AJ262:AK262"/>
    <mergeCell ref="AR262:AS262"/>
    <mergeCell ref="AV262:AY262"/>
    <mergeCell ref="I263:U263"/>
    <mergeCell ref="Q264:S264"/>
    <mergeCell ref="AJ264:AK264"/>
    <mergeCell ref="AJ258:AK258"/>
    <mergeCell ref="AR258:AS258"/>
    <mergeCell ref="AV259:AY260"/>
    <mergeCell ref="Q260:S260"/>
    <mergeCell ref="AJ260:AK260"/>
    <mergeCell ref="AV261:AY261"/>
    <mergeCell ref="AJ254:AK254"/>
    <mergeCell ref="AR254:AS254"/>
    <mergeCell ref="AV254:AY254"/>
    <mergeCell ref="I255:U255"/>
    <mergeCell ref="Q256:S256"/>
    <mergeCell ref="AJ256:AK256"/>
    <mergeCell ref="AJ250:AK250"/>
    <mergeCell ref="AR250:AS250"/>
    <mergeCell ref="AV251:AY252"/>
    <mergeCell ref="Q252:S252"/>
    <mergeCell ref="AJ252:AK252"/>
    <mergeCell ref="AV253:AY253"/>
    <mergeCell ref="AJ246:AK246"/>
    <mergeCell ref="AR246:AS246"/>
    <mergeCell ref="AV246:AY246"/>
    <mergeCell ref="I247:U247"/>
    <mergeCell ref="Q248:S248"/>
    <mergeCell ref="AJ248:AK248"/>
    <mergeCell ref="AJ242:AK242"/>
    <mergeCell ref="AR242:AS242"/>
    <mergeCell ref="AV243:AY244"/>
    <mergeCell ref="Q244:S244"/>
    <mergeCell ref="AJ244:AK244"/>
    <mergeCell ref="AV245:AY245"/>
    <mergeCell ref="AJ238:AK238"/>
    <mergeCell ref="AR238:AS238"/>
    <mergeCell ref="AV238:AY238"/>
    <mergeCell ref="I239:U239"/>
    <mergeCell ref="Q240:S240"/>
    <mergeCell ref="AJ240:AK240"/>
    <mergeCell ref="AJ234:AK234"/>
    <mergeCell ref="AR234:AS234"/>
    <mergeCell ref="AV235:AY236"/>
    <mergeCell ref="Q236:S236"/>
    <mergeCell ref="AJ236:AK236"/>
    <mergeCell ref="AV237:AY237"/>
    <mergeCell ref="AJ230:AK230"/>
    <mergeCell ref="AR230:AS230"/>
    <mergeCell ref="AV230:AY230"/>
    <mergeCell ref="I231:U231"/>
    <mergeCell ref="Q232:S232"/>
    <mergeCell ref="AJ232:AK232"/>
    <mergeCell ref="AJ226:AK226"/>
    <mergeCell ref="AR226:AS226"/>
    <mergeCell ref="AV227:AY228"/>
    <mergeCell ref="Q228:S228"/>
    <mergeCell ref="AJ228:AK228"/>
    <mergeCell ref="AV229:AY229"/>
    <mergeCell ref="AV221:AY221"/>
    <mergeCell ref="AJ222:AK222"/>
    <mergeCell ref="AR222:AS222"/>
    <mergeCell ref="AV222:AY222"/>
    <mergeCell ref="I223:U223"/>
    <mergeCell ref="Q224:S224"/>
    <mergeCell ref="AJ224:AK224"/>
    <mergeCell ref="I215:U215"/>
    <mergeCell ref="Q216:S216"/>
    <mergeCell ref="AJ216:AK216"/>
    <mergeCell ref="AJ218:AK218"/>
    <mergeCell ref="AR218:AS218"/>
    <mergeCell ref="AV219:AY220"/>
    <mergeCell ref="Q220:S220"/>
    <mergeCell ref="AJ220:AK220"/>
    <mergeCell ref="AV211:AY212"/>
    <mergeCell ref="Q212:S212"/>
    <mergeCell ref="AJ212:AK212"/>
    <mergeCell ref="AV213:AY213"/>
    <mergeCell ref="AJ214:AK214"/>
    <mergeCell ref="AR214:AS214"/>
    <mergeCell ref="AV214:AY214"/>
    <mergeCell ref="I207:U207"/>
    <mergeCell ref="AT207:AU207"/>
    <mergeCell ref="Q208:S208"/>
    <mergeCell ref="AJ208:AK208"/>
    <mergeCell ref="AT208:AU208"/>
    <mergeCell ref="AJ210:AK210"/>
    <mergeCell ref="AR210:AS210"/>
    <mergeCell ref="AV203:AY204"/>
    <mergeCell ref="Q204:S204"/>
    <mergeCell ref="AJ204:AK204"/>
    <mergeCell ref="AV205:AY205"/>
    <mergeCell ref="AJ206:AK206"/>
    <mergeCell ref="AR206:AS206"/>
    <mergeCell ref="AV206:AY206"/>
    <mergeCell ref="AJ198:AK198"/>
    <mergeCell ref="AR198:AS198"/>
    <mergeCell ref="AV198:AY198"/>
    <mergeCell ref="D199:H202"/>
    <mergeCell ref="I199:U199"/>
    <mergeCell ref="AT199:AU206"/>
    <mergeCell ref="Q200:S200"/>
    <mergeCell ref="AJ200:AK200"/>
    <mergeCell ref="AJ202:AK202"/>
    <mergeCell ref="AR202:AS202"/>
    <mergeCell ref="AJ194:AK194"/>
    <mergeCell ref="AR194:AS194"/>
    <mergeCell ref="AV195:AY196"/>
    <mergeCell ref="Q196:S196"/>
    <mergeCell ref="AJ196:AK196"/>
    <mergeCell ref="AV197:AY197"/>
    <mergeCell ref="AJ190:AK190"/>
    <mergeCell ref="AR190:AS190"/>
    <mergeCell ref="AV190:AY190"/>
    <mergeCell ref="I191:U191"/>
    <mergeCell ref="AT191:AU191"/>
    <mergeCell ref="Q192:S192"/>
    <mergeCell ref="AJ192:AK192"/>
    <mergeCell ref="AT192:AU192"/>
    <mergeCell ref="D187:H188"/>
    <mergeCell ref="AV187:AY188"/>
    <mergeCell ref="Q188:S188"/>
    <mergeCell ref="AJ188:AK188"/>
    <mergeCell ref="F189:H189"/>
    <mergeCell ref="AV189:AY189"/>
    <mergeCell ref="AJ182:AK182"/>
    <mergeCell ref="AR182:AS182"/>
    <mergeCell ref="AV182:AY182"/>
    <mergeCell ref="D183:H186"/>
    <mergeCell ref="I183:U183"/>
    <mergeCell ref="AT183:AU190"/>
    <mergeCell ref="Q184:S184"/>
    <mergeCell ref="AJ184:AK184"/>
    <mergeCell ref="AJ186:AK186"/>
    <mergeCell ref="AR186:AS186"/>
    <mergeCell ref="AJ178:AK178"/>
    <mergeCell ref="AR178:AS178"/>
    <mergeCell ref="AV179:AY180"/>
    <mergeCell ref="Q180:S180"/>
    <mergeCell ref="AJ180:AK180"/>
    <mergeCell ref="AV181:AY181"/>
    <mergeCell ref="AJ174:AK174"/>
    <mergeCell ref="AR174:AS174"/>
    <mergeCell ref="AV174:AY174"/>
    <mergeCell ref="I175:U175"/>
    <mergeCell ref="Q176:S176"/>
    <mergeCell ref="AJ176:AK176"/>
    <mergeCell ref="AJ170:AK170"/>
    <mergeCell ref="AR170:AS170"/>
    <mergeCell ref="AV171:AY172"/>
    <mergeCell ref="Q172:S172"/>
    <mergeCell ref="AJ172:AK172"/>
    <mergeCell ref="AV173:AY173"/>
    <mergeCell ref="AJ166:AK166"/>
    <mergeCell ref="AR166:AS166"/>
    <mergeCell ref="AV166:AY166"/>
    <mergeCell ref="I167:U167"/>
    <mergeCell ref="Q168:S168"/>
    <mergeCell ref="AJ168:AK168"/>
    <mergeCell ref="AJ162:AK162"/>
    <mergeCell ref="AR162:AS162"/>
    <mergeCell ref="AV163:AY164"/>
    <mergeCell ref="Q164:S164"/>
    <mergeCell ref="AJ164:AK164"/>
    <mergeCell ref="AV165:AY165"/>
    <mergeCell ref="AJ158:AK158"/>
    <mergeCell ref="AR158:AS158"/>
    <mergeCell ref="AV158:AY158"/>
    <mergeCell ref="I159:U159"/>
    <mergeCell ref="Q160:S160"/>
    <mergeCell ref="AJ160:AK160"/>
    <mergeCell ref="AJ154:AK154"/>
    <mergeCell ref="AR154:AS154"/>
    <mergeCell ref="AV155:AY156"/>
    <mergeCell ref="Q156:S156"/>
    <mergeCell ref="AJ156:AK156"/>
    <mergeCell ref="AV157:AY157"/>
    <mergeCell ref="AJ150:AK150"/>
    <mergeCell ref="AR150:AS150"/>
    <mergeCell ref="AV150:AY150"/>
    <mergeCell ref="I151:U151"/>
    <mergeCell ref="Q152:S152"/>
    <mergeCell ref="AJ152:AK152"/>
    <mergeCell ref="AJ146:AK146"/>
    <mergeCell ref="AR146:AS146"/>
    <mergeCell ref="AV147:AY148"/>
    <mergeCell ref="Q148:S148"/>
    <mergeCell ref="AJ148:AK148"/>
    <mergeCell ref="AV149:AY149"/>
    <mergeCell ref="AJ142:AK142"/>
    <mergeCell ref="AR142:AS142"/>
    <mergeCell ref="AV142:AY142"/>
    <mergeCell ref="I143:U143"/>
    <mergeCell ref="Q144:S144"/>
    <mergeCell ref="AJ144:AK144"/>
    <mergeCell ref="AJ138:AK138"/>
    <mergeCell ref="AR138:AS138"/>
    <mergeCell ref="AV139:AY140"/>
    <mergeCell ref="Q140:S140"/>
    <mergeCell ref="AJ140:AK140"/>
    <mergeCell ref="AV141:AY141"/>
    <mergeCell ref="AJ134:AK134"/>
    <mergeCell ref="AR134:AS134"/>
    <mergeCell ref="AV134:AY134"/>
    <mergeCell ref="I135:U135"/>
    <mergeCell ref="Q136:S136"/>
    <mergeCell ref="AJ136:AK136"/>
    <mergeCell ref="AJ130:AK130"/>
    <mergeCell ref="AR130:AS130"/>
    <mergeCell ref="AV131:AY132"/>
    <mergeCell ref="Q132:S132"/>
    <mergeCell ref="AJ132:AK132"/>
    <mergeCell ref="AV133:AY133"/>
    <mergeCell ref="AJ126:AK126"/>
    <mergeCell ref="AR126:AS126"/>
    <mergeCell ref="AV126:AY126"/>
    <mergeCell ref="I127:U127"/>
    <mergeCell ref="Q128:S128"/>
    <mergeCell ref="AJ128:AK128"/>
    <mergeCell ref="AJ122:AK122"/>
    <mergeCell ref="AR122:AS122"/>
    <mergeCell ref="AV123:AY124"/>
    <mergeCell ref="Q124:S124"/>
    <mergeCell ref="AJ124:AK124"/>
    <mergeCell ref="AV125:AY125"/>
    <mergeCell ref="AJ118:AK118"/>
    <mergeCell ref="AR118:AS118"/>
    <mergeCell ref="AV118:AY118"/>
    <mergeCell ref="I119:U119"/>
    <mergeCell ref="Q120:S120"/>
    <mergeCell ref="AJ120:AK120"/>
    <mergeCell ref="AJ114:AK114"/>
    <mergeCell ref="AR114:AS114"/>
    <mergeCell ref="AV115:AY116"/>
    <mergeCell ref="Q116:S116"/>
    <mergeCell ref="AJ116:AK116"/>
    <mergeCell ref="AV117:AY117"/>
    <mergeCell ref="AJ110:AK110"/>
    <mergeCell ref="AR110:AS110"/>
    <mergeCell ref="AV110:AY110"/>
    <mergeCell ref="I111:U111"/>
    <mergeCell ref="AT111:AU111"/>
    <mergeCell ref="Q112:S112"/>
    <mergeCell ref="AJ112:AK112"/>
    <mergeCell ref="AT112:AU112"/>
    <mergeCell ref="D107:H108"/>
    <mergeCell ref="AV107:AY108"/>
    <mergeCell ref="Q108:S108"/>
    <mergeCell ref="AJ108:AK108"/>
    <mergeCell ref="F109:H109"/>
    <mergeCell ref="AV109:AY109"/>
    <mergeCell ref="AJ102:AK102"/>
    <mergeCell ref="AR102:AS102"/>
    <mergeCell ref="AV102:AY102"/>
    <mergeCell ref="D103:H106"/>
    <mergeCell ref="I103:U103"/>
    <mergeCell ref="AT103:AU110"/>
    <mergeCell ref="Q104:S104"/>
    <mergeCell ref="AJ104:AK104"/>
    <mergeCell ref="AJ106:AK106"/>
    <mergeCell ref="AR106:AS106"/>
    <mergeCell ref="AJ98:AK98"/>
    <mergeCell ref="AR98:AS98"/>
    <mergeCell ref="AV99:AY100"/>
    <mergeCell ref="Q100:S100"/>
    <mergeCell ref="AJ100:AK100"/>
    <mergeCell ref="AV101:AY101"/>
    <mergeCell ref="AJ94:AK94"/>
    <mergeCell ref="AR94:AS94"/>
    <mergeCell ref="AV94:AY94"/>
    <mergeCell ref="I95:U95"/>
    <mergeCell ref="AT95:AU95"/>
    <mergeCell ref="Q96:S96"/>
    <mergeCell ref="AJ96:AK96"/>
    <mergeCell ref="AT96:AU96"/>
    <mergeCell ref="D91:H92"/>
    <mergeCell ref="AV91:AY92"/>
    <mergeCell ref="Q92:S92"/>
    <mergeCell ref="AJ92:AK92"/>
    <mergeCell ref="F93:H93"/>
    <mergeCell ref="AV93:AY93"/>
    <mergeCell ref="AJ86:AK86"/>
    <mergeCell ref="AR86:AS86"/>
    <mergeCell ref="AV86:AY86"/>
    <mergeCell ref="D87:H90"/>
    <mergeCell ref="I87:U87"/>
    <mergeCell ref="AT87:AU94"/>
    <mergeCell ref="Q88:S88"/>
    <mergeCell ref="AJ88:AK88"/>
    <mergeCell ref="AJ90:AK90"/>
    <mergeCell ref="AR90:AS90"/>
    <mergeCell ref="AJ82:AK82"/>
    <mergeCell ref="AR82:AS82"/>
    <mergeCell ref="AV83:AY84"/>
    <mergeCell ref="Q84:S84"/>
    <mergeCell ref="AJ84:AK84"/>
    <mergeCell ref="AV85:AY85"/>
    <mergeCell ref="AJ78:AK78"/>
    <mergeCell ref="AR78:AS78"/>
    <mergeCell ref="AV78:AY78"/>
    <mergeCell ref="I79:U79"/>
    <mergeCell ref="Q80:S80"/>
    <mergeCell ref="AJ80:AK80"/>
    <mergeCell ref="AJ74:AK74"/>
    <mergeCell ref="AR74:AS74"/>
    <mergeCell ref="AV75:AY76"/>
    <mergeCell ref="Q76:S76"/>
    <mergeCell ref="AJ76:AK76"/>
    <mergeCell ref="AV77:AY77"/>
    <mergeCell ref="AJ70:AK70"/>
    <mergeCell ref="AR70:AS70"/>
    <mergeCell ref="AV70:AY70"/>
    <mergeCell ref="I71:U71"/>
    <mergeCell ref="Q72:S72"/>
    <mergeCell ref="AJ72:AK72"/>
    <mergeCell ref="AJ66:AK66"/>
    <mergeCell ref="AR66:AS66"/>
    <mergeCell ref="AV67:AY68"/>
    <mergeCell ref="Q68:S68"/>
    <mergeCell ref="AJ68:AK68"/>
    <mergeCell ref="AV69:AY69"/>
    <mergeCell ref="AJ62:AK62"/>
    <mergeCell ref="AR62:AS62"/>
    <mergeCell ref="AV62:AY62"/>
    <mergeCell ref="I63:U63"/>
    <mergeCell ref="Q64:S64"/>
    <mergeCell ref="AJ64:AK64"/>
    <mergeCell ref="AJ58:AK58"/>
    <mergeCell ref="AR58:AS58"/>
    <mergeCell ref="AV59:AY60"/>
    <mergeCell ref="Q60:S60"/>
    <mergeCell ref="AJ60:AK60"/>
    <mergeCell ref="AV61:AY61"/>
    <mergeCell ref="AJ54:AK54"/>
    <mergeCell ref="AR54:AS54"/>
    <mergeCell ref="AV54:AY54"/>
    <mergeCell ref="I55:U55"/>
    <mergeCell ref="Q56:S56"/>
    <mergeCell ref="AJ56:AK56"/>
    <mergeCell ref="AJ50:AK50"/>
    <mergeCell ref="AR50:AS50"/>
    <mergeCell ref="AV51:AY52"/>
    <mergeCell ref="Q52:S52"/>
    <mergeCell ref="AJ52:AK52"/>
    <mergeCell ref="AV53:AY53"/>
    <mergeCell ref="AJ46:AK46"/>
    <mergeCell ref="AR46:AS46"/>
    <mergeCell ref="AV46:AY46"/>
    <mergeCell ref="I47:U47"/>
    <mergeCell ref="Q48:S48"/>
    <mergeCell ref="AJ48:AK48"/>
    <mergeCell ref="AJ42:AK42"/>
    <mergeCell ref="AR42:AS42"/>
    <mergeCell ref="AV43:AY44"/>
    <mergeCell ref="Q44:S44"/>
    <mergeCell ref="AJ44:AK44"/>
    <mergeCell ref="AV45:AY45"/>
    <mergeCell ref="AJ38:AK38"/>
    <mergeCell ref="AR38:AS38"/>
    <mergeCell ref="AV38:AY38"/>
    <mergeCell ref="I39:U39"/>
    <mergeCell ref="Q40:S40"/>
    <mergeCell ref="AJ40:AK40"/>
    <mergeCell ref="AJ34:AK34"/>
    <mergeCell ref="AR34:AS34"/>
    <mergeCell ref="AV35:AY36"/>
    <mergeCell ref="Q36:S36"/>
    <mergeCell ref="AJ36:AK36"/>
    <mergeCell ref="AV37:AY37"/>
    <mergeCell ref="AV29:AY29"/>
    <mergeCell ref="AJ30:AK30"/>
    <mergeCell ref="AR30:AS30"/>
    <mergeCell ref="AV30:AY30"/>
    <mergeCell ref="I31:U31"/>
    <mergeCell ref="Q32:S32"/>
    <mergeCell ref="AJ32:AK32"/>
    <mergeCell ref="I23:U23"/>
    <mergeCell ref="Q24:S24"/>
    <mergeCell ref="AJ24:AK24"/>
    <mergeCell ref="AJ26:AK26"/>
    <mergeCell ref="AR26:AS26"/>
    <mergeCell ref="AV27:AY28"/>
    <mergeCell ref="Q28:S28"/>
    <mergeCell ref="AJ28:AK28"/>
    <mergeCell ref="AV19:AY20"/>
    <mergeCell ref="Q20:S20"/>
    <mergeCell ref="AJ20:AK20"/>
    <mergeCell ref="AV21:AY21"/>
    <mergeCell ref="AJ22:AK22"/>
    <mergeCell ref="AR22:AS22"/>
    <mergeCell ref="AV22:AY22"/>
    <mergeCell ref="I15:U15"/>
    <mergeCell ref="AT15:AU15"/>
    <mergeCell ref="Q16:S16"/>
    <mergeCell ref="AJ16:AK16"/>
    <mergeCell ref="AT16:AU16"/>
    <mergeCell ref="AJ18:AK18"/>
    <mergeCell ref="AR18:AS18"/>
    <mergeCell ref="Q12:S12"/>
    <mergeCell ref="AJ12:AK12"/>
    <mergeCell ref="F13:H13"/>
    <mergeCell ref="AV13:AY13"/>
    <mergeCell ref="AJ14:AK14"/>
    <mergeCell ref="AR14:AS14"/>
    <mergeCell ref="AV14:AY14"/>
    <mergeCell ref="D5:AY5"/>
    <mergeCell ref="D7:H10"/>
    <mergeCell ref="I7:U7"/>
    <mergeCell ref="AT7:AU14"/>
    <mergeCell ref="Q8:S8"/>
    <mergeCell ref="AJ8:AK8"/>
    <mergeCell ref="AJ10:AK10"/>
    <mergeCell ref="AR10:AS10"/>
    <mergeCell ref="D11:H12"/>
    <mergeCell ref="AV11:AY12"/>
  </mergeCells>
  <phoneticPr fontId="1"/>
  <printOptions horizontalCentered="1"/>
  <pageMargins left="0.39370078740157483" right="0.19685039370078741" top="0.78740157480314965" bottom="0.59055118110236227" header="0.51181102362204722" footer="0.31496062992125984"/>
  <pageSetup paperSize="9" scale="55" orientation="portrait" r:id="rId1"/>
  <headerFooter>
    <oddHeader>&amp;R&amp;9重度訪問介護</oddHeader>
    <oddFooter>&amp;C&amp;14&amp;P</oddFooter>
  </headerFooter>
  <rowBreaks count="5" manualBreakCount="5">
    <brk id="86" max="50" man="1"/>
    <brk id="102" max="50" man="1"/>
    <brk id="182" max="50" man="1"/>
    <brk id="198" max="50" man="1"/>
    <brk id="278" max="50"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8">
    <pageSetUpPr autoPageBreaks="0"/>
  </sheetPr>
  <dimension ref="A1:BA298"/>
  <sheetViews>
    <sheetView view="pageBreakPreview" zoomScaleNormal="100" zoomScaleSheetLayoutView="100" workbookViewId="0"/>
  </sheetViews>
  <sheetFormatPr defaultColWidth="9" defaultRowHeight="17.100000000000001" customHeight="1" x14ac:dyDescent="0.15"/>
  <cols>
    <col min="1" max="1" width="4.5" style="151" customWidth="1"/>
    <col min="2" max="2" width="7.5" style="151" customWidth="1"/>
    <col min="3" max="3" width="32.5" style="151" bestFit="1" customWidth="1"/>
    <col min="4" max="42" width="2.5" style="152" customWidth="1"/>
    <col min="43" max="43" width="2.5" style="151" customWidth="1"/>
    <col min="44" max="44" width="2.5" style="377" customWidth="1"/>
    <col min="45" max="47" width="2.5" style="151" customWidth="1"/>
    <col min="48" max="51" width="2.5" style="152" customWidth="1"/>
    <col min="52" max="52" width="7.125" style="151" customWidth="1"/>
    <col min="53" max="53" width="8.5" style="151" customWidth="1"/>
    <col min="54" max="16384" width="9" style="151"/>
  </cols>
  <sheetData>
    <row r="1" spans="1:53" ht="17.100000000000001" customHeight="1" x14ac:dyDescent="0.15">
      <c r="A1" s="376"/>
    </row>
    <row r="2" spans="1:53" ht="17.100000000000001" customHeight="1" x14ac:dyDescent="0.15">
      <c r="A2" s="376"/>
    </row>
    <row r="3" spans="1:53" ht="17.100000000000001" customHeight="1" x14ac:dyDescent="0.15">
      <c r="A3" s="376"/>
    </row>
    <row r="4" spans="1:53" ht="17.100000000000001" customHeight="1" x14ac:dyDescent="0.15">
      <c r="B4" s="17" t="s">
        <v>16880</v>
      </c>
    </row>
    <row r="5" spans="1:53" s="309" customFormat="1" ht="17.100000000000001" customHeight="1" x14ac:dyDescent="0.15">
      <c r="A5" s="300" t="s">
        <v>15540</v>
      </c>
      <c r="B5" s="301"/>
      <c r="C5" s="302" t="s">
        <v>15541</v>
      </c>
      <c r="D5" s="890" t="s">
        <v>15618</v>
      </c>
      <c r="E5" s="891"/>
      <c r="F5" s="891"/>
      <c r="G5" s="891"/>
      <c r="H5" s="891"/>
      <c r="I5" s="891"/>
      <c r="J5" s="891"/>
      <c r="K5" s="891"/>
      <c r="L5" s="891"/>
      <c r="M5" s="891"/>
      <c r="N5" s="891"/>
      <c r="O5" s="891"/>
      <c r="P5" s="891"/>
      <c r="Q5" s="891"/>
      <c r="R5" s="891"/>
      <c r="S5" s="891"/>
      <c r="T5" s="891"/>
      <c r="U5" s="891"/>
      <c r="V5" s="891"/>
      <c r="W5" s="891"/>
      <c r="X5" s="891"/>
      <c r="Y5" s="891"/>
      <c r="Z5" s="891"/>
      <c r="AA5" s="891"/>
      <c r="AB5" s="891"/>
      <c r="AC5" s="891"/>
      <c r="AD5" s="891"/>
      <c r="AE5" s="891"/>
      <c r="AF5" s="891"/>
      <c r="AG5" s="891"/>
      <c r="AH5" s="891"/>
      <c r="AI5" s="891"/>
      <c r="AJ5" s="891"/>
      <c r="AK5" s="891"/>
      <c r="AL5" s="891"/>
      <c r="AM5" s="891"/>
      <c r="AN5" s="891"/>
      <c r="AO5" s="891"/>
      <c r="AP5" s="891"/>
      <c r="AQ5" s="891"/>
      <c r="AR5" s="891"/>
      <c r="AS5" s="891"/>
      <c r="AT5" s="891"/>
      <c r="AU5" s="891"/>
      <c r="AV5" s="891"/>
      <c r="AW5" s="891"/>
      <c r="AX5" s="891"/>
      <c r="AY5" s="892"/>
      <c r="AZ5" s="306" t="s">
        <v>15543</v>
      </c>
      <c r="BA5" s="378" t="s">
        <v>15544</v>
      </c>
    </row>
    <row r="6" spans="1:53" s="309" customFormat="1" ht="17.100000000000001" customHeight="1" x14ac:dyDescent="0.15">
      <c r="A6" s="379" t="s">
        <v>15545</v>
      </c>
      <c r="B6" s="380" t="s">
        <v>15546</v>
      </c>
      <c r="C6" s="381"/>
      <c r="D6" s="382"/>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c r="AT6" s="383"/>
      <c r="AU6" s="383"/>
      <c r="AV6" s="383"/>
      <c r="AW6" s="383"/>
      <c r="AX6" s="383"/>
      <c r="AY6" s="383"/>
      <c r="AZ6" s="384" t="s">
        <v>391</v>
      </c>
      <c r="BA6" s="385" t="s">
        <v>392</v>
      </c>
    </row>
    <row r="7" spans="1:53" ht="17.100000000000001" customHeight="1" x14ac:dyDescent="0.15">
      <c r="A7" s="321">
        <v>12</v>
      </c>
      <c r="B7" s="322">
        <v>7877</v>
      </c>
      <c r="C7" s="386" t="s">
        <v>16881</v>
      </c>
      <c r="D7" s="849" t="s">
        <v>15620</v>
      </c>
      <c r="E7" s="850"/>
      <c r="F7" s="850"/>
      <c r="G7" s="850"/>
      <c r="H7" s="852"/>
      <c r="I7" s="904" t="s">
        <v>15621</v>
      </c>
      <c r="J7" s="905"/>
      <c r="K7" s="905"/>
      <c r="L7" s="905"/>
      <c r="M7" s="905"/>
      <c r="N7" s="905"/>
      <c r="O7" s="905"/>
      <c r="P7" s="905"/>
      <c r="Q7" s="905"/>
      <c r="R7" s="905"/>
      <c r="S7" s="905"/>
      <c r="T7" s="905"/>
      <c r="U7" s="906"/>
      <c r="V7" s="325"/>
      <c r="W7" s="325"/>
      <c r="X7" s="325"/>
      <c r="Y7" s="325"/>
      <c r="Z7" s="325"/>
      <c r="AA7" s="325"/>
      <c r="AB7" s="325"/>
      <c r="AC7" s="325"/>
      <c r="AD7" s="325"/>
      <c r="AE7" s="325"/>
      <c r="AF7" s="325"/>
      <c r="AG7" s="325"/>
      <c r="AH7" s="325"/>
      <c r="AI7" s="325"/>
      <c r="AJ7" s="325"/>
      <c r="AK7" s="388"/>
      <c r="AQ7" s="152"/>
      <c r="AR7" s="152"/>
      <c r="AS7" s="152"/>
      <c r="AT7" s="918" t="s">
        <v>743</v>
      </c>
      <c r="AU7" s="913"/>
      <c r="AV7" s="151"/>
      <c r="AW7" s="151"/>
      <c r="AY7" s="387"/>
      <c r="AZ7" s="488">
        <f>ROUND(Q8*$AT$16,0)</f>
        <v>266</v>
      </c>
      <c r="BA7" s="339" t="s">
        <v>15622</v>
      </c>
    </row>
    <row r="8" spans="1:53" ht="16.5" customHeight="1" x14ac:dyDescent="0.15">
      <c r="A8" s="340">
        <v>12</v>
      </c>
      <c r="B8" s="341">
        <v>7878</v>
      </c>
      <c r="C8" s="390" t="s">
        <v>16882</v>
      </c>
      <c r="D8" s="849"/>
      <c r="E8" s="850"/>
      <c r="F8" s="850"/>
      <c r="G8" s="850"/>
      <c r="H8" s="852"/>
      <c r="Q8" s="836">
        <f>ROUND(Q200*$F$13,0)</f>
        <v>213</v>
      </c>
      <c r="R8" s="911"/>
      <c r="S8" s="911"/>
      <c r="T8" s="152" t="s">
        <v>15624</v>
      </c>
      <c r="U8" s="387"/>
      <c r="V8" s="343" t="s">
        <v>15625</v>
      </c>
      <c r="W8" s="325"/>
      <c r="X8" s="325"/>
      <c r="Y8" s="325"/>
      <c r="Z8" s="325"/>
      <c r="AA8" s="325"/>
      <c r="AB8" s="325"/>
      <c r="AC8" s="325"/>
      <c r="AD8" s="325"/>
      <c r="AE8" s="325"/>
      <c r="AF8" s="325"/>
      <c r="AG8" s="325"/>
      <c r="AH8" s="325"/>
      <c r="AI8" s="391" t="s">
        <v>15626</v>
      </c>
      <c r="AJ8" s="838">
        <f>'2重度訪問'!AN8</f>
        <v>1</v>
      </c>
      <c r="AK8" s="839"/>
      <c r="AQ8" s="152"/>
      <c r="AR8" s="152"/>
      <c r="AS8" s="152"/>
      <c r="AT8" s="912"/>
      <c r="AU8" s="913"/>
      <c r="AY8" s="387"/>
      <c r="AZ8" s="489">
        <f>ROUND(ROUND(Q8*AJ8,0)*$AT$16,0)</f>
        <v>266</v>
      </c>
      <c r="BA8" s="393"/>
    </row>
    <row r="9" spans="1:53" ht="16.5" customHeight="1" x14ac:dyDescent="0.15">
      <c r="A9" s="287">
        <v>12</v>
      </c>
      <c r="B9" s="287">
        <v>7879</v>
      </c>
      <c r="C9" s="394" t="s">
        <v>16883</v>
      </c>
      <c r="D9" s="849"/>
      <c r="E9" s="850"/>
      <c r="F9" s="850"/>
      <c r="G9" s="850"/>
      <c r="H9" s="852"/>
      <c r="Q9" s="395"/>
      <c r="R9" s="151"/>
      <c r="S9" s="151"/>
      <c r="U9" s="387"/>
      <c r="V9" s="343"/>
      <c r="W9" s="343"/>
      <c r="X9" s="343"/>
      <c r="Y9" s="343"/>
      <c r="Z9" s="343"/>
      <c r="AA9" s="343"/>
      <c r="AB9" s="343"/>
      <c r="AC9" s="343"/>
      <c r="AD9" s="343"/>
      <c r="AE9" s="343"/>
      <c r="AF9" s="343"/>
      <c r="AG9" s="343"/>
      <c r="AH9" s="343"/>
      <c r="AI9" s="343"/>
      <c r="AJ9" s="343"/>
      <c r="AK9" s="343"/>
      <c r="AL9" s="114" t="s">
        <v>15628</v>
      </c>
      <c r="AM9" s="396"/>
      <c r="AN9" s="396"/>
      <c r="AO9" s="396"/>
      <c r="AP9" s="396"/>
      <c r="AQ9" s="396"/>
      <c r="AR9" s="396"/>
      <c r="AS9" s="396"/>
      <c r="AT9" s="912"/>
      <c r="AU9" s="913"/>
      <c r="AY9" s="387"/>
      <c r="AZ9" s="489">
        <f>ROUND(ROUND(Q8*AR10,0)*$AT$16,0)</f>
        <v>226</v>
      </c>
      <c r="BA9" s="393"/>
    </row>
    <row r="10" spans="1:53" ht="16.5" customHeight="1" x14ac:dyDescent="0.15">
      <c r="A10" s="287">
        <v>12</v>
      </c>
      <c r="B10" s="287">
        <v>7880</v>
      </c>
      <c r="C10" s="394" t="s">
        <v>16884</v>
      </c>
      <c r="D10" s="849"/>
      <c r="E10" s="850"/>
      <c r="F10" s="850"/>
      <c r="G10" s="850"/>
      <c r="H10" s="852"/>
      <c r="Q10" s="395"/>
      <c r="R10" s="151"/>
      <c r="S10" s="151"/>
      <c r="U10" s="387"/>
      <c r="V10" s="343" t="s">
        <v>15625</v>
      </c>
      <c r="W10" s="325"/>
      <c r="X10" s="325"/>
      <c r="Y10" s="325"/>
      <c r="Z10" s="325"/>
      <c r="AA10" s="325"/>
      <c r="AB10" s="325"/>
      <c r="AC10" s="325"/>
      <c r="AD10" s="325"/>
      <c r="AE10" s="325"/>
      <c r="AF10" s="325"/>
      <c r="AG10" s="325"/>
      <c r="AH10" s="325"/>
      <c r="AI10" s="391" t="s">
        <v>15626</v>
      </c>
      <c r="AJ10" s="838">
        <f>AJ8</f>
        <v>1</v>
      </c>
      <c r="AK10" s="843"/>
      <c r="AL10" s="324" t="s">
        <v>15630</v>
      </c>
      <c r="AM10" s="325"/>
      <c r="AN10" s="325"/>
      <c r="AO10" s="325"/>
      <c r="AP10" s="325"/>
      <c r="AQ10" s="190" t="s">
        <v>398</v>
      </c>
      <c r="AR10" s="844">
        <f>'2重度訪問'!AV10</f>
        <v>0.85</v>
      </c>
      <c r="AS10" s="844"/>
      <c r="AT10" s="912"/>
      <c r="AU10" s="913"/>
      <c r="AY10" s="387"/>
      <c r="AZ10" s="489">
        <f>ROUND(ROUND(ROUND(Q8*AJ10,0)*AR10,0)*$AT$16,0)</f>
        <v>226</v>
      </c>
      <c r="BA10" s="393"/>
    </row>
    <row r="11" spans="1:53" ht="17.100000000000001" customHeight="1" x14ac:dyDescent="0.15">
      <c r="A11" s="340">
        <v>12</v>
      </c>
      <c r="B11" s="341">
        <v>7881</v>
      </c>
      <c r="C11" s="390" t="s">
        <v>16885</v>
      </c>
      <c r="D11" s="832" t="s">
        <v>15632</v>
      </c>
      <c r="E11" s="833"/>
      <c r="F11" s="833"/>
      <c r="G11" s="833"/>
      <c r="H11" s="835"/>
      <c r="L11" s="151"/>
      <c r="M11" s="151"/>
      <c r="N11" s="151"/>
      <c r="U11" s="387"/>
      <c r="V11" s="343"/>
      <c r="W11" s="343"/>
      <c r="X11" s="343"/>
      <c r="Y11" s="343"/>
      <c r="Z11" s="343"/>
      <c r="AA11" s="343"/>
      <c r="AB11" s="343"/>
      <c r="AC11" s="343"/>
      <c r="AD11" s="343"/>
      <c r="AE11" s="343"/>
      <c r="AF11" s="343"/>
      <c r="AG11" s="343"/>
      <c r="AH11" s="343"/>
      <c r="AI11" s="343"/>
      <c r="AJ11" s="343"/>
      <c r="AK11" s="407"/>
      <c r="AL11" s="396"/>
      <c r="AM11" s="396"/>
      <c r="AN11" s="396"/>
      <c r="AO11" s="396"/>
      <c r="AP11" s="396"/>
      <c r="AQ11" s="396"/>
      <c r="AR11" s="396"/>
      <c r="AS11" s="396"/>
      <c r="AT11" s="912"/>
      <c r="AU11" s="913"/>
      <c r="AV11" s="858" t="s">
        <v>16296</v>
      </c>
      <c r="AW11" s="858"/>
      <c r="AX11" s="858"/>
      <c r="AY11" s="860"/>
      <c r="AZ11" s="489">
        <f>ROUND(ROUND(Q8*$AT$16,0)*AV14,0)</f>
        <v>213</v>
      </c>
      <c r="BA11" s="339"/>
    </row>
    <row r="12" spans="1:53" ht="16.5" customHeight="1" x14ac:dyDescent="0.15">
      <c r="A12" s="340">
        <v>12</v>
      </c>
      <c r="B12" s="341">
        <v>7882</v>
      </c>
      <c r="C12" s="390" t="s">
        <v>16886</v>
      </c>
      <c r="D12" s="832"/>
      <c r="E12" s="833"/>
      <c r="F12" s="833"/>
      <c r="G12" s="833"/>
      <c r="H12" s="835"/>
      <c r="Q12" s="899"/>
      <c r="R12" s="899"/>
      <c r="S12" s="899"/>
      <c r="U12" s="387"/>
      <c r="V12" s="343" t="s">
        <v>15625</v>
      </c>
      <c r="W12" s="325"/>
      <c r="X12" s="325"/>
      <c r="Y12" s="325"/>
      <c r="Z12" s="325"/>
      <c r="AA12" s="325"/>
      <c r="AB12" s="325"/>
      <c r="AC12" s="325"/>
      <c r="AD12" s="325"/>
      <c r="AE12" s="325"/>
      <c r="AF12" s="325"/>
      <c r="AG12" s="325"/>
      <c r="AH12" s="325"/>
      <c r="AI12" s="391" t="s">
        <v>15626</v>
      </c>
      <c r="AJ12" s="838">
        <f>AJ10</f>
        <v>1</v>
      </c>
      <c r="AK12" s="839"/>
      <c r="AQ12" s="152"/>
      <c r="AR12" s="152"/>
      <c r="AS12" s="152"/>
      <c r="AT12" s="912"/>
      <c r="AU12" s="913"/>
      <c r="AV12" s="850"/>
      <c r="AW12" s="850"/>
      <c r="AX12" s="850"/>
      <c r="AY12" s="852"/>
      <c r="AZ12" s="489">
        <f>ROUND(ROUND(ROUND(Q8*AJ12,0)*$AT$16,0)*AV14,0)</f>
        <v>213</v>
      </c>
      <c r="BA12" s="393"/>
    </row>
    <row r="13" spans="1:53" ht="16.5" customHeight="1" x14ac:dyDescent="0.15">
      <c r="A13" s="287">
        <v>12</v>
      </c>
      <c r="B13" s="287">
        <v>7883</v>
      </c>
      <c r="C13" s="394" t="s">
        <v>16887</v>
      </c>
      <c r="D13" s="403"/>
      <c r="E13" s="404" t="s">
        <v>15636</v>
      </c>
      <c r="F13" s="840">
        <f>'2重度訪問 (入院入所中)'!$F$13</f>
        <v>1.1499999999999999</v>
      </c>
      <c r="G13" s="841"/>
      <c r="H13" s="842"/>
      <c r="Q13" s="395"/>
      <c r="R13" s="151"/>
      <c r="S13" s="151"/>
      <c r="U13" s="387"/>
      <c r="V13" s="343"/>
      <c r="W13" s="343"/>
      <c r="X13" s="343"/>
      <c r="Y13" s="343"/>
      <c r="Z13" s="343"/>
      <c r="AA13" s="343"/>
      <c r="AB13" s="343"/>
      <c r="AC13" s="343"/>
      <c r="AD13" s="343"/>
      <c r="AE13" s="343"/>
      <c r="AF13" s="343"/>
      <c r="AG13" s="343"/>
      <c r="AH13" s="343"/>
      <c r="AI13" s="343"/>
      <c r="AJ13" s="343"/>
      <c r="AK13" s="343"/>
      <c r="AL13" s="114" t="s">
        <v>15628</v>
      </c>
      <c r="AM13" s="396"/>
      <c r="AN13" s="396"/>
      <c r="AO13" s="396"/>
      <c r="AP13" s="396"/>
      <c r="AQ13" s="396"/>
      <c r="AR13" s="396"/>
      <c r="AS13" s="396"/>
      <c r="AT13" s="912"/>
      <c r="AU13" s="913"/>
      <c r="AV13" s="902" t="s">
        <v>15636</v>
      </c>
      <c r="AW13" s="902"/>
      <c r="AX13" s="902"/>
      <c r="AY13" s="903"/>
      <c r="AZ13" s="489">
        <f>ROUND(ROUND(ROUND(Q8*AR14,0)*$AT$16,0)*AV14,0)</f>
        <v>181</v>
      </c>
      <c r="BA13" s="393"/>
    </row>
    <row r="14" spans="1:53" ht="16.5" customHeight="1" x14ac:dyDescent="0.15">
      <c r="A14" s="287">
        <v>12</v>
      </c>
      <c r="B14" s="287">
        <v>7884</v>
      </c>
      <c r="C14" s="394" t="s">
        <v>16888</v>
      </c>
      <c r="D14" s="403"/>
      <c r="E14" s="404"/>
      <c r="F14" s="404"/>
      <c r="G14" s="404"/>
      <c r="H14" s="406"/>
      <c r="Q14" s="395"/>
      <c r="R14" s="151"/>
      <c r="S14" s="151"/>
      <c r="U14" s="387"/>
      <c r="V14" s="343" t="s">
        <v>15625</v>
      </c>
      <c r="W14" s="325"/>
      <c r="X14" s="325"/>
      <c r="Y14" s="325"/>
      <c r="Z14" s="325"/>
      <c r="AA14" s="325"/>
      <c r="AB14" s="325"/>
      <c r="AC14" s="325"/>
      <c r="AD14" s="325"/>
      <c r="AE14" s="325"/>
      <c r="AF14" s="325"/>
      <c r="AG14" s="325"/>
      <c r="AH14" s="325"/>
      <c r="AI14" s="391" t="s">
        <v>15626</v>
      </c>
      <c r="AJ14" s="838">
        <f>AJ12</f>
        <v>1</v>
      </c>
      <c r="AK14" s="843"/>
      <c r="AL14" s="324" t="s">
        <v>15630</v>
      </c>
      <c r="AM14" s="325"/>
      <c r="AN14" s="325"/>
      <c r="AO14" s="325"/>
      <c r="AP14" s="325"/>
      <c r="AQ14" s="190" t="s">
        <v>398</v>
      </c>
      <c r="AR14" s="844">
        <f>AR10</f>
        <v>0.85</v>
      </c>
      <c r="AS14" s="844"/>
      <c r="AT14" s="912"/>
      <c r="AU14" s="913"/>
      <c r="AV14" s="844">
        <v>0.8</v>
      </c>
      <c r="AW14" s="844"/>
      <c r="AX14" s="844"/>
      <c r="AY14" s="845"/>
      <c r="AZ14" s="489">
        <f>ROUND(ROUND(ROUND(ROUND(Q8*AJ14,0)*AR14,0)*$AT$16,0)*AV14,0)</f>
        <v>181</v>
      </c>
      <c r="BA14" s="393"/>
    </row>
    <row r="15" spans="1:53" ht="16.5" customHeight="1" x14ac:dyDescent="0.15">
      <c r="A15" s="340">
        <v>12</v>
      </c>
      <c r="B15" s="341">
        <v>7885</v>
      </c>
      <c r="C15" s="390" t="s">
        <v>16889</v>
      </c>
      <c r="D15" s="494"/>
      <c r="E15" s="151"/>
      <c r="F15" s="151"/>
      <c r="G15" s="151"/>
      <c r="H15" s="495"/>
      <c r="I15" s="908" t="s">
        <v>15633</v>
      </c>
      <c r="J15" s="909"/>
      <c r="K15" s="909"/>
      <c r="L15" s="909"/>
      <c r="M15" s="909"/>
      <c r="N15" s="909"/>
      <c r="O15" s="909"/>
      <c r="P15" s="909"/>
      <c r="Q15" s="909"/>
      <c r="R15" s="909"/>
      <c r="S15" s="909"/>
      <c r="T15" s="909"/>
      <c r="U15" s="910"/>
      <c r="V15" s="343"/>
      <c r="W15" s="325"/>
      <c r="X15" s="325"/>
      <c r="Y15" s="325"/>
      <c r="Z15" s="325"/>
      <c r="AA15" s="325"/>
      <c r="AB15" s="325"/>
      <c r="AC15" s="325"/>
      <c r="AD15" s="325"/>
      <c r="AE15" s="325"/>
      <c r="AF15" s="325"/>
      <c r="AG15" s="325"/>
      <c r="AH15" s="325"/>
      <c r="AI15" s="391"/>
      <c r="AJ15" s="401"/>
      <c r="AK15" s="402"/>
      <c r="AQ15" s="152"/>
      <c r="AR15" s="152"/>
      <c r="AS15" s="152"/>
      <c r="AT15" s="918" t="s">
        <v>15636</v>
      </c>
      <c r="AU15" s="913"/>
      <c r="AV15" s="400"/>
      <c r="AW15" s="400"/>
      <c r="AX15" s="396"/>
      <c r="AY15" s="397"/>
      <c r="AZ15" s="489">
        <f>ROUND(Q16*$AT$16,0)</f>
        <v>130</v>
      </c>
      <c r="BA15" s="393"/>
    </row>
    <row r="16" spans="1:53" ht="16.5" customHeight="1" x14ac:dyDescent="0.15">
      <c r="A16" s="340">
        <v>12</v>
      </c>
      <c r="B16" s="341">
        <v>7886</v>
      </c>
      <c r="C16" s="390" t="s">
        <v>16890</v>
      </c>
      <c r="D16" s="494"/>
      <c r="E16" s="151"/>
      <c r="F16" s="151"/>
      <c r="G16" s="151"/>
      <c r="H16" s="495"/>
      <c r="Q16" s="836">
        <f>ROUND(Q208*$F$13,0)</f>
        <v>104</v>
      </c>
      <c r="R16" s="911"/>
      <c r="S16" s="911"/>
      <c r="T16" s="152" t="s">
        <v>15624</v>
      </c>
      <c r="U16" s="387"/>
      <c r="V16" s="343" t="s">
        <v>15625</v>
      </c>
      <c r="W16" s="325"/>
      <c r="X16" s="325"/>
      <c r="Y16" s="325"/>
      <c r="Z16" s="325"/>
      <c r="AA16" s="325"/>
      <c r="AB16" s="325"/>
      <c r="AC16" s="325"/>
      <c r="AD16" s="325"/>
      <c r="AE16" s="325"/>
      <c r="AF16" s="325"/>
      <c r="AG16" s="325"/>
      <c r="AH16" s="325"/>
      <c r="AI16" s="391" t="s">
        <v>15626</v>
      </c>
      <c r="AJ16" s="838">
        <f>AJ14</f>
        <v>1</v>
      </c>
      <c r="AK16" s="839"/>
      <c r="AQ16" s="152"/>
      <c r="AR16" s="152"/>
      <c r="AS16" s="152"/>
      <c r="AT16" s="919">
        <f>'2重度訪問（夜間）'!AU10</f>
        <v>1.25</v>
      </c>
      <c r="AU16" s="915"/>
      <c r="AY16" s="387"/>
      <c r="AZ16" s="489">
        <f>ROUND(ROUND(Q16*AJ16,0)*$AT$16,0)</f>
        <v>130</v>
      </c>
      <c r="BA16" s="393"/>
    </row>
    <row r="17" spans="1:53" ht="16.5" customHeight="1" x14ac:dyDescent="0.15">
      <c r="A17" s="287">
        <v>12</v>
      </c>
      <c r="B17" s="287">
        <v>7887</v>
      </c>
      <c r="C17" s="394" t="s">
        <v>16891</v>
      </c>
      <c r="D17" s="494"/>
      <c r="E17" s="151"/>
      <c r="F17" s="151"/>
      <c r="G17" s="151"/>
      <c r="H17" s="495"/>
      <c r="Q17" s="395"/>
      <c r="R17" s="151"/>
      <c r="S17" s="151"/>
      <c r="U17" s="387"/>
      <c r="V17" s="343"/>
      <c r="W17" s="343"/>
      <c r="X17" s="343"/>
      <c r="Y17" s="343"/>
      <c r="Z17" s="343"/>
      <c r="AA17" s="343"/>
      <c r="AB17" s="343"/>
      <c r="AC17" s="343"/>
      <c r="AD17" s="343"/>
      <c r="AE17" s="343"/>
      <c r="AF17" s="343"/>
      <c r="AG17" s="343"/>
      <c r="AH17" s="343"/>
      <c r="AI17" s="343"/>
      <c r="AJ17" s="343"/>
      <c r="AK17" s="343"/>
      <c r="AL17" s="114" t="s">
        <v>15628</v>
      </c>
      <c r="AM17" s="396"/>
      <c r="AN17" s="396"/>
      <c r="AO17" s="396"/>
      <c r="AP17" s="396"/>
      <c r="AQ17" s="396"/>
      <c r="AR17" s="396"/>
      <c r="AS17" s="396"/>
      <c r="AT17" s="499"/>
      <c r="AU17" s="500"/>
      <c r="AY17" s="387"/>
      <c r="AZ17" s="489">
        <f>ROUND(ROUND(Q16*AR18,0)*$AT$16,0)</f>
        <v>110</v>
      </c>
      <c r="BA17" s="393"/>
    </row>
    <row r="18" spans="1:53" ht="16.5" customHeight="1" x14ac:dyDescent="0.15">
      <c r="A18" s="287">
        <v>12</v>
      </c>
      <c r="B18" s="287">
        <v>7888</v>
      </c>
      <c r="C18" s="394" t="s">
        <v>16892</v>
      </c>
      <c r="D18" s="403"/>
      <c r="E18" s="404"/>
      <c r="F18" s="404"/>
      <c r="G18" s="404"/>
      <c r="H18" s="406"/>
      <c r="Q18" s="395"/>
      <c r="R18" s="151"/>
      <c r="S18" s="151"/>
      <c r="U18" s="387"/>
      <c r="V18" s="343" t="s">
        <v>15625</v>
      </c>
      <c r="W18" s="325"/>
      <c r="X18" s="325"/>
      <c r="Y18" s="325"/>
      <c r="Z18" s="325"/>
      <c r="AA18" s="325"/>
      <c r="AB18" s="325"/>
      <c r="AC18" s="325"/>
      <c r="AD18" s="325"/>
      <c r="AE18" s="325"/>
      <c r="AF18" s="325"/>
      <c r="AG18" s="325"/>
      <c r="AH18" s="325"/>
      <c r="AI18" s="391" t="s">
        <v>15626</v>
      </c>
      <c r="AJ18" s="838">
        <f>AJ16</f>
        <v>1</v>
      </c>
      <c r="AK18" s="843"/>
      <c r="AL18" s="324" t="s">
        <v>15630</v>
      </c>
      <c r="AM18" s="325"/>
      <c r="AN18" s="325"/>
      <c r="AO18" s="325"/>
      <c r="AP18" s="325"/>
      <c r="AQ18" s="190" t="s">
        <v>398</v>
      </c>
      <c r="AR18" s="844">
        <f>AR14</f>
        <v>0.85</v>
      </c>
      <c r="AS18" s="844"/>
      <c r="AT18" s="499"/>
      <c r="AU18" s="500"/>
      <c r="AY18" s="387"/>
      <c r="AZ18" s="489">
        <f>ROUND(ROUND(ROUND(Q16*AJ18,0)*AR18,0)*$AT$16,0)</f>
        <v>110</v>
      </c>
      <c r="BA18" s="393"/>
    </row>
    <row r="19" spans="1:53" ht="16.5" customHeight="1" x14ac:dyDescent="0.15">
      <c r="A19" s="340">
        <v>12</v>
      </c>
      <c r="B19" s="341">
        <v>7889</v>
      </c>
      <c r="C19" s="390" t="s">
        <v>16893</v>
      </c>
      <c r="D19" s="494"/>
      <c r="E19" s="151"/>
      <c r="F19" s="151"/>
      <c r="G19" s="151"/>
      <c r="H19" s="495"/>
      <c r="I19" s="254"/>
      <c r="Q19" s="395"/>
      <c r="R19" s="151"/>
      <c r="S19" s="151"/>
      <c r="U19" s="387"/>
      <c r="V19" s="343"/>
      <c r="W19" s="325"/>
      <c r="X19" s="325"/>
      <c r="Y19" s="325"/>
      <c r="Z19" s="325"/>
      <c r="AA19" s="325"/>
      <c r="AB19" s="325"/>
      <c r="AC19" s="325"/>
      <c r="AD19" s="325"/>
      <c r="AE19" s="325"/>
      <c r="AF19" s="325"/>
      <c r="AG19" s="325"/>
      <c r="AH19" s="325"/>
      <c r="AI19" s="391"/>
      <c r="AJ19" s="401"/>
      <c r="AK19" s="402"/>
      <c r="AQ19" s="152"/>
      <c r="AR19" s="152"/>
      <c r="AS19" s="152"/>
      <c r="AT19" s="490"/>
      <c r="AU19" s="387"/>
      <c r="AV19" s="858" t="s">
        <v>16296</v>
      </c>
      <c r="AW19" s="858"/>
      <c r="AX19" s="858"/>
      <c r="AY19" s="860"/>
      <c r="AZ19" s="489">
        <f>ROUND(ROUND(Q16*$AT$16,0)*AV22,0)</f>
        <v>104</v>
      </c>
      <c r="BA19" s="393"/>
    </row>
    <row r="20" spans="1:53" ht="16.5" customHeight="1" x14ac:dyDescent="0.15">
      <c r="A20" s="340">
        <v>12</v>
      </c>
      <c r="B20" s="341">
        <v>7890</v>
      </c>
      <c r="C20" s="390" t="s">
        <v>16894</v>
      </c>
      <c r="D20" s="494"/>
      <c r="E20" s="151"/>
      <c r="F20" s="151"/>
      <c r="G20" s="151"/>
      <c r="H20" s="495"/>
      <c r="Q20" s="899"/>
      <c r="R20" s="899"/>
      <c r="S20" s="899"/>
      <c r="U20" s="387"/>
      <c r="V20" s="343" t="s">
        <v>15625</v>
      </c>
      <c r="W20" s="325"/>
      <c r="X20" s="325"/>
      <c r="Y20" s="325"/>
      <c r="Z20" s="325"/>
      <c r="AA20" s="325"/>
      <c r="AB20" s="325"/>
      <c r="AC20" s="325"/>
      <c r="AD20" s="325"/>
      <c r="AE20" s="325"/>
      <c r="AF20" s="325"/>
      <c r="AG20" s="325"/>
      <c r="AH20" s="325"/>
      <c r="AI20" s="391" t="s">
        <v>15626</v>
      </c>
      <c r="AJ20" s="838">
        <f>AJ18</f>
        <v>1</v>
      </c>
      <c r="AK20" s="839"/>
      <c r="AQ20" s="152"/>
      <c r="AR20" s="152"/>
      <c r="AS20" s="152"/>
      <c r="AT20" s="490"/>
      <c r="AU20" s="387"/>
      <c r="AV20" s="850"/>
      <c r="AW20" s="850"/>
      <c r="AX20" s="850"/>
      <c r="AY20" s="852"/>
      <c r="AZ20" s="489">
        <f>ROUND(ROUND(ROUND(Q16*AJ20,0)*$AT$16,0)*AV22,0)</f>
        <v>104</v>
      </c>
      <c r="BA20" s="393"/>
    </row>
    <row r="21" spans="1:53" ht="16.5" customHeight="1" x14ac:dyDescent="0.15">
      <c r="A21" s="287">
        <v>12</v>
      </c>
      <c r="B21" s="287">
        <v>7891</v>
      </c>
      <c r="C21" s="394" t="s">
        <v>16895</v>
      </c>
      <c r="D21" s="494"/>
      <c r="E21" s="151"/>
      <c r="F21" s="151"/>
      <c r="G21" s="151"/>
      <c r="H21" s="495"/>
      <c r="Q21" s="395"/>
      <c r="R21" s="151"/>
      <c r="S21" s="151"/>
      <c r="U21" s="387"/>
      <c r="V21" s="343"/>
      <c r="W21" s="343"/>
      <c r="X21" s="343"/>
      <c r="Y21" s="343"/>
      <c r="Z21" s="343"/>
      <c r="AA21" s="343"/>
      <c r="AB21" s="343"/>
      <c r="AC21" s="343"/>
      <c r="AD21" s="343"/>
      <c r="AE21" s="343"/>
      <c r="AF21" s="343"/>
      <c r="AG21" s="343"/>
      <c r="AH21" s="343"/>
      <c r="AI21" s="343"/>
      <c r="AJ21" s="343"/>
      <c r="AK21" s="343"/>
      <c r="AL21" s="114" t="s">
        <v>15628</v>
      </c>
      <c r="AM21" s="396"/>
      <c r="AN21" s="396"/>
      <c r="AO21" s="396"/>
      <c r="AP21" s="396"/>
      <c r="AQ21" s="396"/>
      <c r="AR21" s="396"/>
      <c r="AS21" s="396"/>
      <c r="AT21" s="490"/>
      <c r="AU21" s="387"/>
      <c r="AV21" s="902" t="s">
        <v>15636</v>
      </c>
      <c r="AW21" s="902"/>
      <c r="AX21" s="902"/>
      <c r="AY21" s="903"/>
      <c r="AZ21" s="489">
        <f>ROUND(ROUND(ROUND(Q16*AR22,0)*$AT$16,0)*AV22,0)</f>
        <v>88</v>
      </c>
      <c r="BA21" s="393"/>
    </row>
    <row r="22" spans="1:53" ht="16.5" customHeight="1" x14ac:dyDescent="0.15">
      <c r="A22" s="287">
        <v>12</v>
      </c>
      <c r="B22" s="287">
        <v>7892</v>
      </c>
      <c r="C22" s="394" t="s">
        <v>16896</v>
      </c>
      <c r="D22" s="403"/>
      <c r="E22" s="404"/>
      <c r="F22" s="404"/>
      <c r="G22" s="404"/>
      <c r="H22" s="406"/>
      <c r="Q22" s="395"/>
      <c r="R22" s="151"/>
      <c r="S22" s="151"/>
      <c r="U22" s="387"/>
      <c r="V22" s="343" t="s">
        <v>15625</v>
      </c>
      <c r="W22" s="325"/>
      <c r="X22" s="325"/>
      <c r="Y22" s="325"/>
      <c r="Z22" s="325"/>
      <c r="AA22" s="325"/>
      <c r="AB22" s="325"/>
      <c r="AC22" s="325"/>
      <c r="AD22" s="325"/>
      <c r="AE22" s="325"/>
      <c r="AF22" s="325"/>
      <c r="AG22" s="325"/>
      <c r="AH22" s="325"/>
      <c r="AI22" s="391" t="s">
        <v>15626</v>
      </c>
      <c r="AJ22" s="838">
        <f>AJ20</f>
        <v>1</v>
      </c>
      <c r="AK22" s="843"/>
      <c r="AL22" s="324" t="s">
        <v>15630</v>
      </c>
      <c r="AM22" s="325"/>
      <c r="AN22" s="325"/>
      <c r="AO22" s="325"/>
      <c r="AP22" s="325"/>
      <c r="AQ22" s="190" t="s">
        <v>398</v>
      </c>
      <c r="AR22" s="844">
        <f>AR18</f>
        <v>0.85</v>
      </c>
      <c r="AS22" s="844"/>
      <c r="AT22" s="501"/>
      <c r="AU22" s="502"/>
      <c r="AV22" s="844">
        <f>AV14</f>
        <v>0.8</v>
      </c>
      <c r="AW22" s="844"/>
      <c r="AX22" s="844"/>
      <c r="AY22" s="845"/>
      <c r="AZ22" s="489">
        <f>ROUND(ROUND(ROUND(ROUND(Q16*AJ22,0)*AR22,0)*$AT$16,0)*AV22,0)</f>
        <v>88</v>
      </c>
      <c r="BA22" s="393"/>
    </row>
    <row r="23" spans="1:53" ht="16.5" customHeight="1" x14ac:dyDescent="0.15">
      <c r="A23" s="340">
        <v>12</v>
      </c>
      <c r="B23" s="341">
        <v>7893</v>
      </c>
      <c r="C23" s="390" t="s">
        <v>16897</v>
      </c>
      <c r="D23" s="403"/>
      <c r="E23" s="404"/>
      <c r="F23" s="404"/>
      <c r="G23" s="404"/>
      <c r="H23" s="406"/>
      <c r="I23" s="908" t="s">
        <v>16309</v>
      </c>
      <c r="J23" s="909"/>
      <c r="K23" s="909"/>
      <c r="L23" s="909"/>
      <c r="M23" s="909"/>
      <c r="N23" s="909"/>
      <c r="O23" s="909"/>
      <c r="P23" s="909"/>
      <c r="Q23" s="909"/>
      <c r="R23" s="909"/>
      <c r="S23" s="909"/>
      <c r="T23" s="909"/>
      <c r="U23" s="910"/>
      <c r="V23" s="343"/>
      <c r="W23" s="325"/>
      <c r="X23" s="325"/>
      <c r="Y23" s="325"/>
      <c r="Z23" s="325"/>
      <c r="AA23" s="325"/>
      <c r="AB23" s="325"/>
      <c r="AC23" s="325"/>
      <c r="AD23" s="325"/>
      <c r="AE23" s="325"/>
      <c r="AF23" s="325"/>
      <c r="AG23" s="325"/>
      <c r="AH23" s="325"/>
      <c r="AI23" s="391"/>
      <c r="AJ23" s="401"/>
      <c r="AK23" s="402"/>
      <c r="AL23" s="396"/>
      <c r="AM23" s="396"/>
      <c r="AN23" s="396"/>
      <c r="AO23" s="396"/>
      <c r="AP23" s="396"/>
      <c r="AQ23" s="396"/>
      <c r="AR23" s="396"/>
      <c r="AS23" s="396"/>
      <c r="AT23" s="490"/>
      <c r="AU23" s="387"/>
      <c r="AV23" s="400"/>
      <c r="AW23" s="400"/>
      <c r="AX23" s="396"/>
      <c r="AY23" s="397"/>
      <c r="AZ23" s="489">
        <f>ROUND(Q24*$AT$16,0)</f>
        <v>133</v>
      </c>
      <c r="BA23" s="393"/>
    </row>
    <row r="24" spans="1:53" ht="16.5" customHeight="1" x14ac:dyDescent="0.15">
      <c r="A24" s="340">
        <v>12</v>
      </c>
      <c r="B24" s="341">
        <v>7894</v>
      </c>
      <c r="C24" s="390" t="s">
        <v>16898</v>
      </c>
      <c r="D24" s="403"/>
      <c r="E24" s="404"/>
      <c r="F24" s="404"/>
      <c r="G24" s="404"/>
      <c r="H24" s="406"/>
      <c r="Q24" s="836">
        <f>ROUND(Q216*$F$13,0)</f>
        <v>106</v>
      </c>
      <c r="R24" s="911"/>
      <c r="S24" s="911"/>
      <c r="T24" s="152" t="s">
        <v>15624</v>
      </c>
      <c r="U24" s="387"/>
      <c r="V24" s="343" t="s">
        <v>15625</v>
      </c>
      <c r="W24" s="325"/>
      <c r="X24" s="325"/>
      <c r="Y24" s="325"/>
      <c r="Z24" s="325"/>
      <c r="AA24" s="325"/>
      <c r="AB24" s="325"/>
      <c r="AC24" s="325"/>
      <c r="AD24" s="325"/>
      <c r="AE24" s="325"/>
      <c r="AF24" s="325"/>
      <c r="AG24" s="325"/>
      <c r="AH24" s="325"/>
      <c r="AI24" s="391" t="s">
        <v>15626</v>
      </c>
      <c r="AJ24" s="838">
        <f>AJ22</f>
        <v>1</v>
      </c>
      <c r="AK24" s="839"/>
      <c r="AL24" s="325"/>
      <c r="AM24" s="325"/>
      <c r="AN24" s="325"/>
      <c r="AO24" s="325"/>
      <c r="AP24" s="325"/>
      <c r="AQ24" s="325"/>
      <c r="AR24" s="325"/>
      <c r="AS24" s="325"/>
      <c r="AT24" s="490"/>
      <c r="AU24" s="387"/>
      <c r="AY24" s="387"/>
      <c r="AZ24" s="489">
        <f>ROUND(ROUND(Q24*AJ24,0)*$AT$16,0)</f>
        <v>133</v>
      </c>
      <c r="BA24" s="393"/>
    </row>
    <row r="25" spans="1:53" ht="16.5" customHeight="1" x14ac:dyDescent="0.15">
      <c r="A25" s="287">
        <v>12</v>
      </c>
      <c r="B25" s="287">
        <v>7895</v>
      </c>
      <c r="C25" s="394" t="s">
        <v>16899</v>
      </c>
      <c r="D25" s="403"/>
      <c r="E25" s="404"/>
      <c r="F25" s="404"/>
      <c r="G25" s="404"/>
      <c r="H25" s="406"/>
      <c r="Q25" s="395"/>
      <c r="R25" s="151"/>
      <c r="S25" s="151"/>
      <c r="U25" s="387"/>
      <c r="V25" s="343"/>
      <c r="W25" s="343"/>
      <c r="X25" s="343"/>
      <c r="Y25" s="343"/>
      <c r="Z25" s="343"/>
      <c r="AA25" s="343"/>
      <c r="AB25" s="343"/>
      <c r="AC25" s="343"/>
      <c r="AD25" s="343"/>
      <c r="AE25" s="343"/>
      <c r="AF25" s="343"/>
      <c r="AG25" s="343"/>
      <c r="AH25" s="343"/>
      <c r="AI25" s="343"/>
      <c r="AJ25" s="343"/>
      <c r="AK25" s="343"/>
      <c r="AL25" s="114" t="s">
        <v>15628</v>
      </c>
      <c r="AM25" s="396"/>
      <c r="AN25" s="396"/>
      <c r="AO25" s="396"/>
      <c r="AP25" s="396"/>
      <c r="AQ25" s="396"/>
      <c r="AR25" s="396"/>
      <c r="AS25" s="396"/>
      <c r="AT25" s="490"/>
      <c r="AU25" s="387"/>
      <c r="AY25" s="387"/>
      <c r="AZ25" s="489">
        <f>ROUND(ROUND(Q24*AR26,0)*$AT$16,0)</f>
        <v>113</v>
      </c>
      <c r="BA25" s="393"/>
    </row>
    <row r="26" spans="1:53" ht="16.5" customHeight="1" x14ac:dyDescent="0.15">
      <c r="A26" s="287">
        <v>12</v>
      </c>
      <c r="B26" s="287">
        <v>7896</v>
      </c>
      <c r="C26" s="394" t="s">
        <v>16900</v>
      </c>
      <c r="D26" s="403"/>
      <c r="E26" s="404"/>
      <c r="F26" s="404"/>
      <c r="G26" s="404"/>
      <c r="H26" s="406"/>
      <c r="Q26" s="395"/>
      <c r="R26" s="151"/>
      <c r="S26" s="151"/>
      <c r="U26" s="387"/>
      <c r="V26" s="343" t="s">
        <v>15625</v>
      </c>
      <c r="W26" s="325"/>
      <c r="X26" s="325"/>
      <c r="Y26" s="325"/>
      <c r="Z26" s="325"/>
      <c r="AA26" s="325"/>
      <c r="AB26" s="325"/>
      <c r="AC26" s="325"/>
      <c r="AD26" s="325"/>
      <c r="AE26" s="325"/>
      <c r="AF26" s="325"/>
      <c r="AG26" s="325"/>
      <c r="AH26" s="325"/>
      <c r="AI26" s="391" t="s">
        <v>15626</v>
      </c>
      <c r="AJ26" s="838">
        <f>AJ24</f>
        <v>1</v>
      </c>
      <c r="AK26" s="843"/>
      <c r="AL26" s="324" t="s">
        <v>15630</v>
      </c>
      <c r="AM26" s="325"/>
      <c r="AN26" s="325"/>
      <c r="AO26" s="325"/>
      <c r="AP26" s="325"/>
      <c r="AQ26" s="190" t="s">
        <v>398</v>
      </c>
      <c r="AR26" s="844">
        <f>AR22</f>
        <v>0.85</v>
      </c>
      <c r="AS26" s="844"/>
      <c r="AT26" s="501"/>
      <c r="AU26" s="502"/>
      <c r="AY26" s="387"/>
      <c r="AZ26" s="489">
        <f>ROUND(ROUND(ROUND(Q24*AJ26,0)*AR26,0)*$AT$16,0)</f>
        <v>113</v>
      </c>
      <c r="BA26" s="393"/>
    </row>
    <row r="27" spans="1:53" ht="16.5" customHeight="1" x14ac:dyDescent="0.15">
      <c r="A27" s="340">
        <v>12</v>
      </c>
      <c r="B27" s="341">
        <v>7897</v>
      </c>
      <c r="C27" s="390" t="s">
        <v>16901</v>
      </c>
      <c r="D27" s="403"/>
      <c r="E27" s="404"/>
      <c r="F27" s="404"/>
      <c r="G27" s="404"/>
      <c r="H27" s="406"/>
      <c r="I27" s="10"/>
      <c r="Q27" s="395"/>
      <c r="R27" s="151"/>
      <c r="S27" s="151"/>
      <c r="U27" s="387"/>
      <c r="V27" s="343"/>
      <c r="W27" s="325"/>
      <c r="X27" s="325"/>
      <c r="Y27" s="325"/>
      <c r="Z27" s="325"/>
      <c r="AA27" s="325"/>
      <c r="AB27" s="325"/>
      <c r="AC27" s="325"/>
      <c r="AD27" s="325"/>
      <c r="AE27" s="325"/>
      <c r="AF27" s="325"/>
      <c r="AG27" s="325"/>
      <c r="AH27" s="325"/>
      <c r="AI27" s="391"/>
      <c r="AJ27" s="401"/>
      <c r="AK27" s="402"/>
      <c r="AL27" s="396"/>
      <c r="AM27" s="396"/>
      <c r="AN27" s="396"/>
      <c r="AO27" s="396"/>
      <c r="AP27" s="396"/>
      <c r="AQ27" s="396"/>
      <c r="AR27" s="396"/>
      <c r="AS27" s="396"/>
      <c r="AT27" s="490"/>
      <c r="AU27" s="387"/>
      <c r="AV27" s="858" t="s">
        <v>16296</v>
      </c>
      <c r="AW27" s="858"/>
      <c r="AX27" s="858"/>
      <c r="AY27" s="860"/>
      <c r="AZ27" s="489">
        <f>ROUND(ROUND(Q24*$AT$16,0)*AV30,0)</f>
        <v>106</v>
      </c>
      <c r="BA27" s="393"/>
    </row>
    <row r="28" spans="1:53" ht="16.5" customHeight="1" x14ac:dyDescent="0.15">
      <c r="A28" s="340">
        <v>12</v>
      </c>
      <c r="B28" s="341">
        <v>7898</v>
      </c>
      <c r="C28" s="390" t="s">
        <v>16902</v>
      </c>
      <c r="D28" s="403"/>
      <c r="E28" s="404"/>
      <c r="F28" s="404"/>
      <c r="G28" s="404"/>
      <c r="H28" s="406"/>
      <c r="Q28" s="899"/>
      <c r="R28" s="899"/>
      <c r="S28" s="899"/>
      <c r="U28" s="387"/>
      <c r="V28" s="343" t="s">
        <v>15625</v>
      </c>
      <c r="W28" s="325"/>
      <c r="X28" s="325"/>
      <c r="Y28" s="325"/>
      <c r="Z28" s="325"/>
      <c r="AA28" s="325"/>
      <c r="AB28" s="325"/>
      <c r="AC28" s="325"/>
      <c r="AD28" s="325"/>
      <c r="AE28" s="325"/>
      <c r="AF28" s="325"/>
      <c r="AG28" s="325"/>
      <c r="AH28" s="325"/>
      <c r="AI28" s="391" t="s">
        <v>15626</v>
      </c>
      <c r="AJ28" s="838">
        <f>AJ26</f>
        <v>1</v>
      </c>
      <c r="AK28" s="839"/>
      <c r="AL28" s="325"/>
      <c r="AM28" s="325"/>
      <c r="AN28" s="325"/>
      <c r="AO28" s="325"/>
      <c r="AP28" s="325"/>
      <c r="AQ28" s="325"/>
      <c r="AR28" s="325"/>
      <c r="AS28" s="325"/>
      <c r="AT28" s="490"/>
      <c r="AU28" s="387"/>
      <c r="AV28" s="850"/>
      <c r="AW28" s="850"/>
      <c r="AX28" s="850"/>
      <c r="AY28" s="852"/>
      <c r="AZ28" s="489">
        <f>ROUND(ROUND(ROUND(Q24*AJ28,0)*$AT$16,0)*AV30,0)</f>
        <v>106</v>
      </c>
      <c r="BA28" s="393"/>
    </row>
    <row r="29" spans="1:53" ht="16.5" customHeight="1" x14ac:dyDescent="0.15">
      <c r="A29" s="287">
        <v>12</v>
      </c>
      <c r="B29" s="287">
        <v>7899</v>
      </c>
      <c r="C29" s="394" t="s">
        <v>16903</v>
      </c>
      <c r="D29" s="403"/>
      <c r="E29" s="404"/>
      <c r="F29" s="404"/>
      <c r="G29" s="404"/>
      <c r="H29" s="406"/>
      <c r="Q29" s="395"/>
      <c r="R29" s="151"/>
      <c r="S29" s="151"/>
      <c r="U29" s="387"/>
      <c r="V29" s="343"/>
      <c r="W29" s="343"/>
      <c r="X29" s="343"/>
      <c r="Y29" s="343"/>
      <c r="Z29" s="343"/>
      <c r="AA29" s="343"/>
      <c r="AB29" s="343"/>
      <c r="AC29" s="343"/>
      <c r="AD29" s="343"/>
      <c r="AE29" s="343"/>
      <c r="AF29" s="343"/>
      <c r="AG29" s="343"/>
      <c r="AH29" s="343"/>
      <c r="AI29" s="343"/>
      <c r="AJ29" s="343"/>
      <c r="AK29" s="343"/>
      <c r="AL29" s="114" t="s">
        <v>15628</v>
      </c>
      <c r="AM29" s="396"/>
      <c r="AN29" s="396"/>
      <c r="AO29" s="396"/>
      <c r="AP29" s="396"/>
      <c r="AQ29" s="396"/>
      <c r="AR29" s="396"/>
      <c r="AS29" s="396"/>
      <c r="AT29" s="490"/>
      <c r="AU29" s="387"/>
      <c r="AV29" s="902" t="s">
        <v>15636</v>
      </c>
      <c r="AW29" s="902"/>
      <c r="AX29" s="902"/>
      <c r="AY29" s="903"/>
      <c r="AZ29" s="489">
        <f>ROUND(ROUND(ROUND(Q24*AR30,0)*$AT$16,0)*AV30,0)</f>
        <v>90</v>
      </c>
      <c r="BA29" s="393"/>
    </row>
    <row r="30" spans="1:53" ht="16.5" customHeight="1" x14ac:dyDescent="0.15">
      <c r="A30" s="287">
        <v>12</v>
      </c>
      <c r="B30" s="287">
        <v>7900</v>
      </c>
      <c r="C30" s="394" t="s">
        <v>16904</v>
      </c>
      <c r="D30" s="403"/>
      <c r="E30" s="404"/>
      <c r="F30" s="404"/>
      <c r="G30" s="404"/>
      <c r="H30" s="406"/>
      <c r="Q30" s="395"/>
      <c r="R30" s="151"/>
      <c r="S30" s="151"/>
      <c r="U30" s="387"/>
      <c r="V30" s="343" t="s">
        <v>15625</v>
      </c>
      <c r="W30" s="325"/>
      <c r="X30" s="325"/>
      <c r="Y30" s="325"/>
      <c r="Z30" s="325"/>
      <c r="AA30" s="325"/>
      <c r="AB30" s="325"/>
      <c r="AC30" s="325"/>
      <c r="AD30" s="325"/>
      <c r="AE30" s="325"/>
      <c r="AF30" s="325"/>
      <c r="AG30" s="325"/>
      <c r="AH30" s="325"/>
      <c r="AI30" s="391" t="s">
        <v>15626</v>
      </c>
      <c r="AJ30" s="838">
        <f>AJ28</f>
        <v>1</v>
      </c>
      <c r="AK30" s="843"/>
      <c r="AL30" s="324" t="s">
        <v>15630</v>
      </c>
      <c r="AM30" s="325"/>
      <c r="AN30" s="325"/>
      <c r="AO30" s="325"/>
      <c r="AP30" s="325"/>
      <c r="AQ30" s="190" t="s">
        <v>398</v>
      </c>
      <c r="AR30" s="844">
        <f>AR26</f>
        <v>0.85</v>
      </c>
      <c r="AS30" s="844"/>
      <c r="AT30" s="501"/>
      <c r="AU30" s="502"/>
      <c r="AV30" s="844">
        <f>AV22</f>
        <v>0.8</v>
      </c>
      <c r="AW30" s="844"/>
      <c r="AX30" s="844"/>
      <c r="AY30" s="845"/>
      <c r="AZ30" s="489">
        <f>ROUND(ROUND(ROUND(ROUND(Q24*AJ30,0)*AR30,0)*$AT$16,0)*AV30,0)</f>
        <v>90</v>
      </c>
      <c r="BA30" s="393"/>
    </row>
    <row r="31" spans="1:53" ht="16.5" customHeight="1" x14ac:dyDescent="0.15">
      <c r="A31" s="340">
        <v>12</v>
      </c>
      <c r="B31" s="341">
        <v>7901</v>
      </c>
      <c r="C31" s="390" t="s">
        <v>16905</v>
      </c>
      <c r="D31" s="403"/>
      <c r="E31" s="404"/>
      <c r="F31" s="404"/>
      <c r="G31" s="404"/>
      <c r="H31" s="406"/>
      <c r="I31" s="908" t="s">
        <v>16318</v>
      </c>
      <c r="J31" s="909"/>
      <c r="K31" s="909"/>
      <c r="L31" s="909"/>
      <c r="M31" s="909"/>
      <c r="N31" s="909"/>
      <c r="O31" s="909"/>
      <c r="P31" s="909"/>
      <c r="Q31" s="909"/>
      <c r="R31" s="909"/>
      <c r="S31" s="909"/>
      <c r="T31" s="909"/>
      <c r="U31" s="910"/>
      <c r="V31" s="343"/>
      <c r="W31" s="325"/>
      <c r="X31" s="325"/>
      <c r="Y31" s="325"/>
      <c r="Z31" s="325"/>
      <c r="AA31" s="325"/>
      <c r="AB31" s="325"/>
      <c r="AC31" s="325"/>
      <c r="AD31" s="325"/>
      <c r="AE31" s="325"/>
      <c r="AF31" s="325"/>
      <c r="AG31" s="325"/>
      <c r="AH31" s="325"/>
      <c r="AI31" s="391"/>
      <c r="AJ31" s="401"/>
      <c r="AK31" s="402"/>
      <c r="AL31" s="396"/>
      <c r="AM31" s="396"/>
      <c r="AN31" s="396"/>
      <c r="AO31" s="396"/>
      <c r="AP31" s="396"/>
      <c r="AQ31" s="396"/>
      <c r="AR31" s="396"/>
      <c r="AS31" s="396"/>
      <c r="AT31" s="490"/>
      <c r="AU31" s="387"/>
      <c r="AV31" s="400"/>
      <c r="AW31" s="400"/>
      <c r="AX31" s="396"/>
      <c r="AY31" s="397"/>
      <c r="AZ31" s="489">
        <f>ROUND(Q32*$AT$16,0)</f>
        <v>131</v>
      </c>
      <c r="BA31" s="393"/>
    </row>
    <row r="32" spans="1:53" ht="16.5" customHeight="1" x14ac:dyDescent="0.15">
      <c r="A32" s="340">
        <v>12</v>
      </c>
      <c r="B32" s="341">
        <v>7902</v>
      </c>
      <c r="C32" s="390" t="s">
        <v>16906</v>
      </c>
      <c r="D32" s="403"/>
      <c r="E32" s="404"/>
      <c r="F32" s="404"/>
      <c r="G32" s="404"/>
      <c r="H32" s="406"/>
      <c r="Q32" s="836">
        <f>ROUND(Q224*$F$13,0)</f>
        <v>105</v>
      </c>
      <c r="R32" s="911"/>
      <c r="S32" s="911"/>
      <c r="T32" s="152" t="s">
        <v>15624</v>
      </c>
      <c r="U32" s="387"/>
      <c r="V32" s="343" t="s">
        <v>15625</v>
      </c>
      <c r="W32" s="325"/>
      <c r="X32" s="325"/>
      <c r="Y32" s="325"/>
      <c r="Z32" s="325"/>
      <c r="AA32" s="325"/>
      <c r="AB32" s="325"/>
      <c r="AC32" s="325"/>
      <c r="AD32" s="325"/>
      <c r="AE32" s="325"/>
      <c r="AF32" s="325"/>
      <c r="AG32" s="325"/>
      <c r="AH32" s="325"/>
      <c r="AI32" s="391" t="s">
        <v>15626</v>
      </c>
      <c r="AJ32" s="838">
        <f>AJ30</f>
        <v>1</v>
      </c>
      <c r="AK32" s="839"/>
      <c r="AL32" s="325"/>
      <c r="AM32" s="325"/>
      <c r="AN32" s="325"/>
      <c r="AO32" s="325"/>
      <c r="AP32" s="325"/>
      <c r="AQ32" s="325"/>
      <c r="AR32" s="325"/>
      <c r="AS32" s="325"/>
      <c r="AT32" s="490"/>
      <c r="AU32" s="387"/>
      <c r="AY32" s="387"/>
      <c r="AZ32" s="489">
        <f>ROUND(ROUND(Q32*AJ32,0)*$AT$16,0)</f>
        <v>131</v>
      </c>
      <c r="BA32" s="393"/>
    </row>
    <row r="33" spans="1:53" ht="16.5" customHeight="1" x14ac:dyDescent="0.15">
      <c r="A33" s="287">
        <v>12</v>
      </c>
      <c r="B33" s="287">
        <v>7903</v>
      </c>
      <c r="C33" s="394" t="s">
        <v>16907</v>
      </c>
      <c r="D33" s="403"/>
      <c r="E33" s="404"/>
      <c r="F33" s="404"/>
      <c r="G33" s="404"/>
      <c r="H33" s="406"/>
      <c r="Q33" s="395"/>
      <c r="R33" s="151"/>
      <c r="S33" s="151"/>
      <c r="U33" s="387"/>
      <c r="V33" s="343"/>
      <c r="W33" s="343"/>
      <c r="X33" s="343"/>
      <c r="Y33" s="343"/>
      <c r="Z33" s="343"/>
      <c r="AA33" s="343"/>
      <c r="AB33" s="343"/>
      <c r="AC33" s="343"/>
      <c r="AD33" s="343"/>
      <c r="AE33" s="343"/>
      <c r="AF33" s="343"/>
      <c r="AG33" s="343"/>
      <c r="AH33" s="343"/>
      <c r="AI33" s="343"/>
      <c r="AJ33" s="343"/>
      <c r="AK33" s="343"/>
      <c r="AL33" s="114" t="s">
        <v>15628</v>
      </c>
      <c r="AM33" s="396"/>
      <c r="AN33" s="396"/>
      <c r="AO33" s="396"/>
      <c r="AP33" s="396"/>
      <c r="AQ33" s="396"/>
      <c r="AR33" s="396"/>
      <c r="AS33" s="396"/>
      <c r="AT33" s="490"/>
      <c r="AU33" s="387"/>
      <c r="AY33" s="387"/>
      <c r="AZ33" s="489">
        <f>ROUND(ROUND(Q32*AR34,0)*$AT$16,0)</f>
        <v>111</v>
      </c>
      <c r="BA33" s="393"/>
    </row>
    <row r="34" spans="1:53" ht="16.5" customHeight="1" x14ac:dyDescent="0.15">
      <c r="A34" s="287">
        <v>12</v>
      </c>
      <c r="B34" s="287">
        <v>7904</v>
      </c>
      <c r="C34" s="394" t="s">
        <v>16908</v>
      </c>
      <c r="D34" s="403"/>
      <c r="E34" s="404"/>
      <c r="F34" s="404"/>
      <c r="G34" s="404"/>
      <c r="H34" s="406"/>
      <c r="Q34" s="395"/>
      <c r="R34" s="151"/>
      <c r="S34" s="151"/>
      <c r="U34" s="387"/>
      <c r="V34" s="343" t="s">
        <v>15625</v>
      </c>
      <c r="W34" s="325"/>
      <c r="X34" s="325"/>
      <c r="Y34" s="325"/>
      <c r="Z34" s="325"/>
      <c r="AA34" s="325"/>
      <c r="AB34" s="325"/>
      <c r="AC34" s="325"/>
      <c r="AD34" s="325"/>
      <c r="AE34" s="325"/>
      <c r="AF34" s="325"/>
      <c r="AG34" s="325"/>
      <c r="AH34" s="325"/>
      <c r="AI34" s="391" t="s">
        <v>15626</v>
      </c>
      <c r="AJ34" s="838">
        <f>AJ32</f>
        <v>1</v>
      </c>
      <c r="AK34" s="843"/>
      <c r="AL34" s="324" t="s">
        <v>15630</v>
      </c>
      <c r="AM34" s="325"/>
      <c r="AN34" s="325"/>
      <c r="AO34" s="325"/>
      <c r="AP34" s="325"/>
      <c r="AQ34" s="190" t="s">
        <v>398</v>
      </c>
      <c r="AR34" s="844">
        <f>AR30</f>
        <v>0.85</v>
      </c>
      <c r="AS34" s="844"/>
      <c r="AT34" s="501"/>
      <c r="AU34" s="502"/>
      <c r="AY34" s="387"/>
      <c r="AZ34" s="489">
        <f>ROUND(ROUND(ROUND(Q32*AJ34,0)*AR34,0)*$AT$16,0)</f>
        <v>111</v>
      </c>
      <c r="BA34" s="393"/>
    </row>
    <row r="35" spans="1:53" ht="16.5" customHeight="1" x14ac:dyDescent="0.15">
      <c r="A35" s="340">
        <v>12</v>
      </c>
      <c r="B35" s="341">
        <v>7905</v>
      </c>
      <c r="C35" s="390" t="s">
        <v>16909</v>
      </c>
      <c r="D35" s="403"/>
      <c r="E35" s="404"/>
      <c r="F35" s="404"/>
      <c r="G35" s="404"/>
      <c r="H35" s="406"/>
      <c r="I35" s="10"/>
      <c r="Q35" s="395"/>
      <c r="R35" s="151"/>
      <c r="S35" s="151"/>
      <c r="U35" s="387"/>
      <c r="V35" s="343"/>
      <c r="W35" s="325"/>
      <c r="X35" s="325"/>
      <c r="Y35" s="325"/>
      <c r="Z35" s="325"/>
      <c r="AA35" s="325"/>
      <c r="AB35" s="325"/>
      <c r="AC35" s="325"/>
      <c r="AD35" s="325"/>
      <c r="AE35" s="325"/>
      <c r="AF35" s="325"/>
      <c r="AG35" s="325"/>
      <c r="AH35" s="325"/>
      <c r="AI35" s="391"/>
      <c r="AJ35" s="401"/>
      <c r="AK35" s="402"/>
      <c r="AL35" s="396"/>
      <c r="AM35" s="396"/>
      <c r="AN35" s="396"/>
      <c r="AO35" s="396"/>
      <c r="AP35" s="396"/>
      <c r="AQ35" s="396"/>
      <c r="AR35" s="396"/>
      <c r="AS35" s="396"/>
      <c r="AT35" s="490"/>
      <c r="AU35" s="387"/>
      <c r="AV35" s="858" t="s">
        <v>16296</v>
      </c>
      <c r="AW35" s="858"/>
      <c r="AX35" s="858"/>
      <c r="AY35" s="860"/>
      <c r="AZ35" s="489">
        <f>ROUND(ROUND(Q32*$AT$16,0)*AV38,0)</f>
        <v>105</v>
      </c>
      <c r="BA35" s="393"/>
    </row>
    <row r="36" spans="1:53" ht="16.5" customHeight="1" x14ac:dyDescent="0.15">
      <c r="A36" s="340">
        <v>12</v>
      </c>
      <c r="B36" s="341">
        <v>7906</v>
      </c>
      <c r="C36" s="390" t="s">
        <v>16910</v>
      </c>
      <c r="D36" s="403"/>
      <c r="E36" s="404"/>
      <c r="F36" s="404"/>
      <c r="G36" s="404"/>
      <c r="H36" s="406"/>
      <c r="Q36" s="899"/>
      <c r="R36" s="899"/>
      <c r="S36" s="899"/>
      <c r="U36" s="387"/>
      <c r="V36" s="343" t="s">
        <v>15625</v>
      </c>
      <c r="W36" s="325"/>
      <c r="X36" s="325"/>
      <c r="Y36" s="325"/>
      <c r="Z36" s="325"/>
      <c r="AA36" s="325"/>
      <c r="AB36" s="325"/>
      <c r="AC36" s="325"/>
      <c r="AD36" s="325"/>
      <c r="AE36" s="325"/>
      <c r="AF36" s="325"/>
      <c r="AG36" s="325"/>
      <c r="AH36" s="325"/>
      <c r="AI36" s="391" t="s">
        <v>15626</v>
      </c>
      <c r="AJ36" s="838">
        <f>AJ34</f>
        <v>1</v>
      </c>
      <c r="AK36" s="839"/>
      <c r="AL36" s="325"/>
      <c r="AM36" s="325"/>
      <c r="AN36" s="325"/>
      <c r="AO36" s="325"/>
      <c r="AP36" s="325"/>
      <c r="AQ36" s="325"/>
      <c r="AR36" s="325"/>
      <c r="AS36" s="325"/>
      <c r="AT36" s="490"/>
      <c r="AU36" s="387"/>
      <c r="AV36" s="850"/>
      <c r="AW36" s="850"/>
      <c r="AX36" s="850"/>
      <c r="AY36" s="852"/>
      <c r="AZ36" s="489">
        <f>ROUND(ROUND(ROUND(Q32*AJ36,0)*$AT$16,0)*AV38,0)</f>
        <v>105</v>
      </c>
      <c r="BA36" s="393"/>
    </row>
    <row r="37" spans="1:53" ht="16.5" customHeight="1" x14ac:dyDescent="0.15">
      <c r="A37" s="287">
        <v>12</v>
      </c>
      <c r="B37" s="287">
        <v>7907</v>
      </c>
      <c r="C37" s="394" t="s">
        <v>16911</v>
      </c>
      <c r="D37" s="403"/>
      <c r="E37" s="404"/>
      <c r="F37" s="404"/>
      <c r="G37" s="404"/>
      <c r="H37" s="406"/>
      <c r="Q37" s="395"/>
      <c r="R37" s="151"/>
      <c r="S37" s="151"/>
      <c r="U37" s="387"/>
      <c r="V37" s="343"/>
      <c r="W37" s="343"/>
      <c r="X37" s="343"/>
      <c r="Y37" s="343"/>
      <c r="Z37" s="343"/>
      <c r="AA37" s="343"/>
      <c r="AB37" s="343"/>
      <c r="AC37" s="343"/>
      <c r="AD37" s="343"/>
      <c r="AE37" s="343"/>
      <c r="AF37" s="343"/>
      <c r="AG37" s="343"/>
      <c r="AH37" s="343"/>
      <c r="AI37" s="343"/>
      <c r="AJ37" s="343"/>
      <c r="AK37" s="343"/>
      <c r="AL37" s="114" t="s">
        <v>15628</v>
      </c>
      <c r="AM37" s="396"/>
      <c r="AN37" s="396"/>
      <c r="AO37" s="396"/>
      <c r="AP37" s="396"/>
      <c r="AQ37" s="396"/>
      <c r="AR37" s="396"/>
      <c r="AS37" s="396"/>
      <c r="AT37" s="490"/>
      <c r="AU37" s="387"/>
      <c r="AV37" s="902" t="s">
        <v>15636</v>
      </c>
      <c r="AW37" s="902"/>
      <c r="AX37" s="902"/>
      <c r="AY37" s="903"/>
      <c r="AZ37" s="489">
        <f>ROUND(ROUND(ROUND(Q32*AR38,0)*$AT$16,0)*AV38,0)</f>
        <v>89</v>
      </c>
      <c r="BA37" s="393"/>
    </row>
    <row r="38" spans="1:53" ht="16.5" customHeight="1" x14ac:dyDescent="0.15">
      <c r="A38" s="287">
        <v>12</v>
      </c>
      <c r="B38" s="287">
        <v>7908</v>
      </c>
      <c r="C38" s="394" t="s">
        <v>16912</v>
      </c>
      <c r="D38" s="403"/>
      <c r="E38" s="404"/>
      <c r="F38" s="404"/>
      <c r="G38" s="404"/>
      <c r="H38" s="406"/>
      <c r="Q38" s="395"/>
      <c r="R38" s="151"/>
      <c r="S38" s="151"/>
      <c r="U38" s="387"/>
      <c r="V38" s="343" t="s">
        <v>15625</v>
      </c>
      <c r="W38" s="325"/>
      <c r="X38" s="325"/>
      <c r="Y38" s="325"/>
      <c r="Z38" s="325"/>
      <c r="AA38" s="325"/>
      <c r="AB38" s="325"/>
      <c r="AC38" s="325"/>
      <c r="AD38" s="325"/>
      <c r="AE38" s="325"/>
      <c r="AF38" s="325"/>
      <c r="AG38" s="325"/>
      <c r="AH38" s="325"/>
      <c r="AI38" s="391" t="s">
        <v>15626</v>
      </c>
      <c r="AJ38" s="838">
        <f>AJ36</f>
        <v>1</v>
      </c>
      <c r="AK38" s="843"/>
      <c r="AL38" s="324" t="s">
        <v>15630</v>
      </c>
      <c r="AM38" s="325"/>
      <c r="AN38" s="325"/>
      <c r="AO38" s="325"/>
      <c r="AP38" s="325"/>
      <c r="AQ38" s="190" t="s">
        <v>398</v>
      </c>
      <c r="AR38" s="844">
        <f>AR34</f>
        <v>0.85</v>
      </c>
      <c r="AS38" s="844"/>
      <c r="AT38" s="501"/>
      <c r="AU38" s="502"/>
      <c r="AV38" s="844">
        <f>AV30</f>
        <v>0.8</v>
      </c>
      <c r="AW38" s="844"/>
      <c r="AX38" s="844"/>
      <c r="AY38" s="845"/>
      <c r="AZ38" s="489">
        <f>ROUND(ROUND(ROUND(ROUND(Q32*AJ38,0)*AR38,0)*$AT$16,0)*AV38,0)</f>
        <v>89</v>
      </c>
      <c r="BA38" s="393"/>
    </row>
    <row r="39" spans="1:53" ht="16.5" customHeight="1" x14ac:dyDescent="0.15">
      <c r="A39" s="340">
        <v>12</v>
      </c>
      <c r="B39" s="341">
        <v>7909</v>
      </c>
      <c r="C39" s="390" t="s">
        <v>16913</v>
      </c>
      <c r="D39" s="403"/>
      <c r="E39" s="404"/>
      <c r="F39" s="404"/>
      <c r="G39" s="404"/>
      <c r="H39" s="406"/>
      <c r="I39" s="908" t="s">
        <v>16327</v>
      </c>
      <c r="J39" s="909"/>
      <c r="K39" s="909"/>
      <c r="L39" s="909"/>
      <c r="M39" s="909"/>
      <c r="N39" s="909"/>
      <c r="O39" s="909"/>
      <c r="P39" s="909"/>
      <c r="Q39" s="909"/>
      <c r="R39" s="909"/>
      <c r="S39" s="909"/>
      <c r="T39" s="909"/>
      <c r="U39" s="910"/>
      <c r="V39" s="343"/>
      <c r="W39" s="325"/>
      <c r="X39" s="325"/>
      <c r="Y39" s="325"/>
      <c r="Z39" s="325"/>
      <c r="AA39" s="325"/>
      <c r="AB39" s="325"/>
      <c r="AC39" s="325"/>
      <c r="AD39" s="325"/>
      <c r="AE39" s="325"/>
      <c r="AF39" s="325"/>
      <c r="AG39" s="325"/>
      <c r="AH39" s="325"/>
      <c r="AI39" s="391"/>
      <c r="AJ39" s="401"/>
      <c r="AK39" s="402"/>
      <c r="AL39" s="396"/>
      <c r="AM39" s="396"/>
      <c r="AN39" s="396"/>
      <c r="AO39" s="396"/>
      <c r="AP39" s="396"/>
      <c r="AQ39" s="396"/>
      <c r="AR39" s="396"/>
      <c r="AS39" s="396"/>
      <c r="AT39" s="490"/>
      <c r="AU39" s="387"/>
      <c r="AV39" s="400"/>
      <c r="AW39" s="400"/>
      <c r="AX39" s="396"/>
      <c r="AY39" s="397"/>
      <c r="AZ39" s="489">
        <f>ROUND(Q40*$AT$16,0)</f>
        <v>133</v>
      </c>
      <c r="BA39" s="393"/>
    </row>
    <row r="40" spans="1:53" ht="16.5" customHeight="1" x14ac:dyDescent="0.15">
      <c r="A40" s="340">
        <v>12</v>
      </c>
      <c r="B40" s="341">
        <v>7910</v>
      </c>
      <c r="C40" s="390" t="s">
        <v>16914</v>
      </c>
      <c r="D40" s="403"/>
      <c r="E40" s="404"/>
      <c r="F40" s="404"/>
      <c r="G40" s="404"/>
      <c r="H40" s="406"/>
      <c r="Q40" s="836">
        <f>ROUND(Q232*$F$13,0)</f>
        <v>106</v>
      </c>
      <c r="R40" s="911"/>
      <c r="S40" s="911"/>
      <c r="T40" s="152" t="s">
        <v>15624</v>
      </c>
      <c r="U40" s="387"/>
      <c r="V40" s="343" t="s">
        <v>15625</v>
      </c>
      <c r="W40" s="325"/>
      <c r="X40" s="325"/>
      <c r="Y40" s="325"/>
      <c r="Z40" s="325"/>
      <c r="AA40" s="325"/>
      <c r="AB40" s="325"/>
      <c r="AC40" s="325"/>
      <c r="AD40" s="325"/>
      <c r="AE40" s="325"/>
      <c r="AF40" s="325"/>
      <c r="AG40" s="325"/>
      <c r="AH40" s="325"/>
      <c r="AI40" s="391" t="s">
        <v>15626</v>
      </c>
      <c r="AJ40" s="838">
        <f>AJ38</f>
        <v>1</v>
      </c>
      <c r="AK40" s="839"/>
      <c r="AL40" s="325"/>
      <c r="AM40" s="325"/>
      <c r="AN40" s="325"/>
      <c r="AO40" s="325"/>
      <c r="AP40" s="325"/>
      <c r="AQ40" s="325"/>
      <c r="AR40" s="325"/>
      <c r="AS40" s="325"/>
      <c r="AT40" s="490"/>
      <c r="AU40" s="387"/>
      <c r="AY40" s="387"/>
      <c r="AZ40" s="489">
        <f>ROUND(ROUND(Q40*AJ40,0)*$AT$16,0)</f>
        <v>133</v>
      </c>
      <c r="BA40" s="393"/>
    </row>
    <row r="41" spans="1:53" ht="16.5" customHeight="1" x14ac:dyDescent="0.15">
      <c r="A41" s="340">
        <v>12</v>
      </c>
      <c r="B41" s="341">
        <v>7911</v>
      </c>
      <c r="C41" s="390" t="s">
        <v>16915</v>
      </c>
      <c r="D41" s="403"/>
      <c r="E41" s="404"/>
      <c r="F41" s="404"/>
      <c r="G41" s="404"/>
      <c r="H41" s="406"/>
      <c r="Q41" s="395"/>
      <c r="R41" s="151"/>
      <c r="S41" s="151"/>
      <c r="U41" s="387"/>
      <c r="V41" s="343"/>
      <c r="W41" s="343"/>
      <c r="X41" s="343"/>
      <c r="Y41" s="343"/>
      <c r="Z41" s="343"/>
      <c r="AA41" s="343"/>
      <c r="AB41" s="343"/>
      <c r="AC41" s="343"/>
      <c r="AD41" s="343"/>
      <c r="AE41" s="343"/>
      <c r="AF41" s="343"/>
      <c r="AG41" s="343"/>
      <c r="AH41" s="343"/>
      <c r="AI41" s="343"/>
      <c r="AJ41" s="343"/>
      <c r="AK41" s="343"/>
      <c r="AL41" s="114" t="s">
        <v>15628</v>
      </c>
      <c r="AM41" s="396"/>
      <c r="AN41" s="396"/>
      <c r="AO41" s="396"/>
      <c r="AP41" s="396"/>
      <c r="AQ41" s="396"/>
      <c r="AR41" s="396"/>
      <c r="AS41" s="396"/>
      <c r="AT41" s="490"/>
      <c r="AU41" s="387"/>
      <c r="AY41" s="387"/>
      <c r="AZ41" s="489">
        <f>ROUND(ROUND(Q40*AR42,0)*$AT$16,0)</f>
        <v>113</v>
      </c>
      <c r="BA41" s="393"/>
    </row>
    <row r="42" spans="1:53" ht="16.5" customHeight="1" x14ac:dyDescent="0.15">
      <c r="A42" s="340">
        <v>12</v>
      </c>
      <c r="B42" s="341">
        <v>7912</v>
      </c>
      <c r="C42" s="390" t="s">
        <v>16916</v>
      </c>
      <c r="D42" s="403"/>
      <c r="E42" s="404"/>
      <c r="F42" s="404"/>
      <c r="G42" s="404"/>
      <c r="H42" s="406"/>
      <c r="Q42" s="395"/>
      <c r="R42" s="151"/>
      <c r="S42" s="151"/>
      <c r="U42" s="387"/>
      <c r="V42" s="343" t="s">
        <v>15625</v>
      </c>
      <c r="W42" s="325"/>
      <c r="X42" s="325"/>
      <c r="Y42" s="325"/>
      <c r="Z42" s="325"/>
      <c r="AA42" s="325"/>
      <c r="AB42" s="325"/>
      <c r="AC42" s="325"/>
      <c r="AD42" s="325"/>
      <c r="AE42" s="325"/>
      <c r="AF42" s="325"/>
      <c r="AG42" s="325"/>
      <c r="AH42" s="325"/>
      <c r="AI42" s="391" t="s">
        <v>15626</v>
      </c>
      <c r="AJ42" s="838">
        <f>AJ40</f>
        <v>1</v>
      </c>
      <c r="AK42" s="843"/>
      <c r="AL42" s="324" t="s">
        <v>15630</v>
      </c>
      <c r="AM42" s="325"/>
      <c r="AN42" s="325"/>
      <c r="AO42" s="325"/>
      <c r="AP42" s="325"/>
      <c r="AQ42" s="190" t="s">
        <v>398</v>
      </c>
      <c r="AR42" s="844">
        <f>AR38</f>
        <v>0.85</v>
      </c>
      <c r="AS42" s="844"/>
      <c r="AT42" s="501"/>
      <c r="AU42" s="502"/>
      <c r="AY42" s="387"/>
      <c r="AZ42" s="489">
        <f>ROUND(ROUND(ROUND(Q40*AJ42,0)*AR42,0)*$AT$16,0)</f>
        <v>113</v>
      </c>
      <c r="BA42" s="393"/>
    </row>
    <row r="43" spans="1:53" ht="16.5" customHeight="1" x14ac:dyDescent="0.15">
      <c r="A43" s="340">
        <v>12</v>
      </c>
      <c r="B43" s="341">
        <v>7913</v>
      </c>
      <c r="C43" s="390" t="s">
        <v>16917</v>
      </c>
      <c r="D43" s="403"/>
      <c r="E43" s="404"/>
      <c r="F43" s="404"/>
      <c r="G43" s="404"/>
      <c r="H43" s="406"/>
      <c r="I43" s="10"/>
      <c r="Q43" s="395"/>
      <c r="R43" s="151"/>
      <c r="S43" s="151"/>
      <c r="U43" s="387"/>
      <c r="V43" s="343"/>
      <c r="W43" s="325"/>
      <c r="X43" s="325"/>
      <c r="Y43" s="325"/>
      <c r="Z43" s="325"/>
      <c r="AA43" s="325"/>
      <c r="AB43" s="325"/>
      <c r="AC43" s="325"/>
      <c r="AD43" s="325"/>
      <c r="AE43" s="325"/>
      <c r="AF43" s="325"/>
      <c r="AG43" s="325"/>
      <c r="AH43" s="325"/>
      <c r="AI43" s="391"/>
      <c r="AJ43" s="401"/>
      <c r="AK43" s="402"/>
      <c r="AL43" s="396"/>
      <c r="AM43" s="396"/>
      <c r="AN43" s="396"/>
      <c r="AO43" s="396"/>
      <c r="AP43" s="396"/>
      <c r="AQ43" s="396"/>
      <c r="AR43" s="396"/>
      <c r="AS43" s="396"/>
      <c r="AT43" s="490"/>
      <c r="AU43" s="387"/>
      <c r="AV43" s="858" t="s">
        <v>16296</v>
      </c>
      <c r="AW43" s="858"/>
      <c r="AX43" s="858"/>
      <c r="AY43" s="860"/>
      <c r="AZ43" s="489">
        <f>ROUND(ROUND(Q40*$AT$16,0)*AV46,0)</f>
        <v>106</v>
      </c>
      <c r="BA43" s="393"/>
    </row>
    <row r="44" spans="1:53" ht="16.5" customHeight="1" x14ac:dyDescent="0.15">
      <c r="A44" s="340">
        <v>12</v>
      </c>
      <c r="B44" s="341">
        <v>7914</v>
      </c>
      <c r="C44" s="390" t="s">
        <v>16918</v>
      </c>
      <c r="D44" s="403"/>
      <c r="E44" s="404"/>
      <c r="F44" s="404"/>
      <c r="G44" s="404"/>
      <c r="H44" s="406"/>
      <c r="Q44" s="899"/>
      <c r="R44" s="899"/>
      <c r="S44" s="899"/>
      <c r="U44" s="387"/>
      <c r="V44" s="343" t="s">
        <v>15625</v>
      </c>
      <c r="W44" s="325"/>
      <c r="X44" s="325"/>
      <c r="Y44" s="325"/>
      <c r="Z44" s="325"/>
      <c r="AA44" s="325"/>
      <c r="AB44" s="325"/>
      <c r="AC44" s="325"/>
      <c r="AD44" s="325"/>
      <c r="AE44" s="325"/>
      <c r="AF44" s="325"/>
      <c r="AG44" s="325"/>
      <c r="AH44" s="325"/>
      <c r="AI44" s="391" t="s">
        <v>15626</v>
      </c>
      <c r="AJ44" s="838">
        <f>AJ42</f>
        <v>1</v>
      </c>
      <c r="AK44" s="839"/>
      <c r="AL44" s="325"/>
      <c r="AM44" s="325"/>
      <c r="AN44" s="325"/>
      <c r="AO44" s="325"/>
      <c r="AP44" s="325"/>
      <c r="AQ44" s="325"/>
      <c r="AR44" s="325"/>
      <c r="AS44" s="325"/>
      <c r="AT44" s="490"/>
      <c r="AU44" s="387"/>
      <c r="AV44" s="850"/>
      <c r="AW44" s="850"/>
      <c r="AX44" s="850"/>
      <c r="AY44" s="852"/>
      <c r="AZ44" s="489">
        <f>ROUND(ROUND(ROUND(Q40*AJ44,0)*$AT$16,0)*AV46,0)</f>
        <v>106</v>
      </c>
      <c r="BA44" s="393"/>
    </row>
    <row r="45" spans="1:53" ht="16.5" customHeight="1" x14ac:dyDescent="0.15">
      <c r="A45" s="340">
        <v>12</v>
      </c>
      <c r="B45" s="341">
        <v>7915</v>
      </c>
      <c r="C45" s="390" t="s">
        <v>16919</v>
      </c>
      <c r="D45" s="403"/>
      <c r="E45" s="404"/>
      <c r="F45" s="404"/>
      <c r="G45" s="404"/>
      <c r="H45" s="406"/>
      <c r="Q45" s="395"/>
      <c r="R45" s="151"/>
      <c r="S45" s="151"/>
      <c r="U45" s="387"/>
      <c r="V45" s="343"/>
      <c r="W45" s="343"/>
      <c r="X45" s="343"/>
      <c r="Y45" s="343"/>
      <c r="Z45" s="343"/>
      <c r="AA45" s="343"/>
      <c r="AB45" s="343"/>
      <c r="AC45" s="343"/>
      <c r="AD45" s="343"/>
      <c r="AE45" s="343"/>
      <c r="AF45" s="343"/>
      <c r="AG45" s="343"/>
      <c r="AH45" s="343"/>
      <c r="AI45" s="343"/>
      <c r="AJ45" s="343"/>
      <c r="AK45" s="343"/>
      <c r="AL45" s="114" t="s">
        <v>15628</v>
      </c>
      <c r="AM45" s="396"/>
      <c r="AN45" s="396"/>
      <c r="AO45" s="396"/>
      <c r="AP45" s="396"/>
      <c r="AQ45" s="396"/>
      <c r="AR45" s="396"/>
      <c r="AS45" s="396"/>
      <c r="AT45" s="490"/>
      <c r="AU45" s="387"/>
      <c r="AV45" s="902" t="s">
        <v>15636</v>
      </c>
      <c r="AW45" s="902"/>
      <c r="AX45" s="902"/>
      <c r="AY45" s="903"/>
      <c r="AZ45" s="489">
        <f>ROUND(ROUND(ROUND(Q40*AR46,0)*$AT$16,0)*AV46,0)</f>
        <v>90</v>
      </c>
      <c r="BA45" s="393"/>
    </row>
    <row r="46" spans="1:53" ht="16.5" customHeight="1" x14ac:dyDescent="0.15">
      <c r="A46" s="340">
        <v>12</v>
      </c>
      <c r="B46" s="341">
        <v>7916</v>
      </c>
      <c r="C46" s="390" t="s">
        <v>16920</v>
      </c>
      <c r="D46" s="403"/>
      <c r="E46" s="404"/>
      <c r="F46" s="404"/>
      <c r="G46" s="404"/>
      <c r="H46" s="406"/>
      <c r="Q46" s="395"/>
      <c r="R46" s="151"/>
      <c r="S46" s="151"/>
      <c r="U46" s="387"/>
      <c r="V46" s="343" t="s">
        <v>15625</v>
      </c>
      <c r="W46" s="325"/>
      <c r="X46" s="325"/>
      <c r="Y46" s="325"/>
      <c r="Z46" s="325"/>
      <c r="AA46" s="325"/>
      <c r="AB46" s="325"/>
      <c r="AC46" s="325"/>
      <c r="AD46" s="325"/>
      <c r="AE46" s="325"/>
      <c r="AF46" s="325"/>
      <c r="AG46" s="325"/>
      <c r="AH46" s="325"/>
      <c r="AI46" s="391" t="s">
        <v>15626</v>
      </c>
      <c r="AJ46" s="838">
        <f>AJ44</f>
        <v>1</v>
      </c>
      <c r="AK46" s="843"/>
      <c r="AL46" s="324" t="s">
        <v>15630</v>
      </c>
      <c r="AM46" s="325"/>
      <c r="AN46" s="325"/>
      <c r="AO46" s="325"/>
      <c r="AP46" s="325"/>
      <c r="AQ46" s="190" t="s">
        <v>398</v>
      </c>
      <c r="AR46" s="844">
        <f>AR42</f>
        <v>0.85</v>
      </c>
      <c r="AS46" s="844"/>
      <c r="AT46" s="501"/>
      <c r="AU46" s="502"/>
      <c r="AV46" s="844">
        <f>AV38</f>
        <v>0.8</v>
      </c>
      <c r="AW46" s="844"/>
      <c r="AX46" s="844"/>
      <c r="AY46" s="845"/>
      <c r="AZ46" s="489">
        <f>ROUND(ROUND(ROUND(ROUND(Q40*AJ46,0)*AR46,0)*$AT$16,0)*AV46,0)</f>
        <v>90</v>
      </c>
      <c r="BA46" s="393"/>
    </row>
    <row r="47" spans="1:53" ht="16.5" customHeight="1" x14ac:dyDescent="0.15">
      <c r="A47" s="340">
        <v>12</v>
      </c>
      <c r="B47" s="341">
        <v>7917</v>
      </c>
      <c r="C47" s="390" t="s">
        <v>16921</v>
      </c>
      <c r="D47" s="403"/>
      <c r="E47" s="404"/>
      <c r="F47" s="404"/>
      <c r="G47" s="404"/>
      <c r="H47" s="406"/>
      <c r="I47" s="908" t="s">
        <v>16336</v>
      </c>
      <c r="J47" s="909"/>
      <c r="K47" s="909"/>
      <c r="L47" s="909"/>
      <c r="M47" s="909"/>
      <c r="N47" s="909"/>
      <c r="O47" s="909"/>
      <c r="P47" s="909"/>
      <c r="Q47" s="909"/>
      <c r="R47" s="909"/>
      <c r="S47" s="909"/>
      <c r="T47" s="909"/>
      <c r="U47" s="910"/>
      <c r="V47" s="343"/>
      <c r="W47" s="325"/>
      <c r="X47" s="325"/>
      <c r="Y47" s="325"/>
      <c r="Z47" s="325"/>
      <c r="AA47" s="325"/>
      <c r="AB47" s="325"/>
      <c r="AC47" s="325"/>
      <c r="AD47" s="325"/>
      <c r="AE47" s="325"/>
      <c r="AF47" s="325"/>
      <c r="AG47" s="325"/>
      <c r="AH47" s="325"/>
      <c r="AI47" s="391"/>
      <c r="AJ47" s="401"/>
      <c r="AK47" s="402"/>
      <c r="AL47" s="396"/>
      <c r="AM47" s="396"/>
      <c r="AN47" s="396"/>
      <c r="AO47" s="396"/>
      <c r="AP47" s="396"/>
      <c r="AQ47" s="396"/>
      <c r="AR47" s="396"/>
      <c r="AS47" s="396"/>
      <c r="AT47" s="490"/>
      <c r="AU47" s="387"/>
      <c r="AV47" s="400"/>
      <c r="AW47" s="400"/>
      <c r="AX47" s="396"/>
      <c r="AY47" s="397"/>
      <c r="AZ47" s="489">
        <f>ROUND(Q48*$AT$16,0)</f>
        <v>130</v>
      </c>
      <c r="BA47" s="393"/>
    </row>
    <row r="48" spans="1:53" ht="16.5" customHeight="1" x14ac:dyDescent="0.15">
      <c r="A48" s="340">
        <v>12</v>
      </c>
      <c r="B48" s="341">
        <v>7918</v>
      </c>
      <c r="C48" s="390" t="s">
        <v>16922</v>
      </c>
      <c r="D48" s="403"/>
      <c r="E48" s="404"/>
      <c r="F48" s="404"/>
      <c r="G48" s="404"/>
      <c r="H48" s="406"/>
      <c r="Q48" s="836">
        <f>ROUND(Q240*$F$13,0)</f>
        <v>104</v>
      </c>
      <c r="R48" s="911"/>
      <c r="S48" s="911"/>
      <c r="T48" s="152" t="s">
        <v>15624</v>
      </c>
      <c r="U48" s="387"/>
      <c r="V48" s="343" t="s">
        <v>15625</v>
      </c>
      <c r="W48" s="325"/>
      <c r="X48" s="325"/>
      <c r="Y48" s="325"/>
      <c r="Z48" s="325"/>
      <c r="AA48" s="325"/>
      <c r="AB48" s="325"/>
      <c r="AC48" s="325"/>
      <c r="AD48" s="325"/>
      <c r="AE48" s="325"/>
      <c r="AF48" s="325"/>
      <c r="AG48" s="325"/>
      <c r="AH48" s="325"/>
      <c r="AI48" s="391" t="s">
        <v>15626</v>
      </c>
      <c r="AJ48" s="838">
        <f>AJ46</f>
        <v>1</v>
      </c>
      <c r="AK48" s="839"/>
      <c r="AL48" s="325"/>
      <c r="AM48" s="325"/>
      <c r="AN48" s="325"/>
      <c r="AO48" s="325"/>
      <c r="AP48" s="325"/>
      <c r="AQ48" s="325"/>
      <c r="AR48" s="325"/>
      <c r="AS48" s="325"/>
      <c r="AT48" s="490"/>
      <c r="AU48" s="387"/>
      <c r="AY48" s="387"/>
      <c r="AZ48" s="489">
        <f>ROUND(ROUND(Q48*AJ48,0)*$AT$16,0)</f>
        <v>130</v>
      </c>
      <c r="BA48" s="393"/>
    </row>
    <row r="49" spans="1:53" ht="16.5" customHeight="1" x14ac:dyDescent="0.15">
      <c r="A49" s="340">
        <v>12</v>
      </c>
      <c r="B49" s="341">
        <v>7919</v>
      </c>
      <c r="C49" s="390" t="s">
        <v>16923</v>
      </c>
      <c r="D49" s="403"/>
      <c r="E49" s="404"/>
      <c r="F49" s="404"/>
      <c r="G49" s="404"/>
      <c r="H49" s="406"/>
      <c r="Q49" s="395"/>
      <c r="R49" s="151"/>
      <c r="S49" s="151"/>
      <c r="U49" s="387"/>
      <c r="V49" s="343"/>
      <c r="W49" s="343"/>
      <c r="X49" s="343"/>
      <c r="Y49" s="343"/>
      <c r="Z49" s="343"/>
      <c r="AA49" s="343"/>
      <c r="AB49" s="343"/>
      <c r="AC49" s="343"/>
      <c r="AD49" s="343"/>
      <c r="AE49" s="343"/>
      <c r="AF49" s="343"/>
      <c r="AG49" s="343"/>
      <c r="AH49" s="343"/>
      <c r="AI49" s="343"/>
      <c r="AJ49" s="343"/>
      <c r="AK49" s="343"/>
      <c r="AL49" s="114" t="s">
        <v>15628</v>
      </c>
      <c r="AM49" s="396"/>
      <c r="AN49" s="396"/>
      <c r="AO49" s="396"/>
      <c r="AP49" s="396"/>
      <c r="AQ49" s="396"/>
      <c r="AR49" s="396"/>
      <c r="AS49" s="396"/>
      <c r="AT49" s="490"/>
      <c r="AU49" s="387"/>
      <c r="AY49" s="387"/>
      <c r="AZ49" s="489">
        <f>ROUND(ROUND(Q48*AR50,0)*$AT$16,0)</f>
        <v>110</v>
      </c>
      <c r="BA49" s="393"/>
    </row>
    <row r="50" spans="1:53" ht="16.5" customHeight="1" x14ac:dyDescent="0.15">
      <c r="A50" s="340">
        <v>12</v>
      </c>
      <c r="B50" s="341">
        <v>7920</v>
      </c>
      <c r="C50" s="390" t="s">
        <v>16924</v>
      </c>
      <c r="D50" s="403"/>
      <c r="E50" s="404"/>
      <c r="F50" s="404"/>
      <c r="G50" s="404"/>
      <c r="H50" s="406"/>
      <c r="Q50" s="395"/>
      <c r="R50" s="151"/>
      <c r="S50" s="151"/>
      <c r="U50" s="387"/>
      <c r="V50" s="343" t="s">
        <v>15625</v>
      </c>
      <c r="W50" s="325"/>
      <c r="X50" s="325"/>
      <c r="Y50" s="325"/>
      <c r="Z50" s="325"/>
      <c r="AA50" s="325"/>
      <c r="AB50" s="325"/>
      <c r="AC50" s="325"/>
      <c r="AD50" s="325"/>
      <c r="AE50" s="325"/>
      <c r="AF50" s="325"/>
      <c r="AG50" s="325"/>
      <c r="AH50" s="325"/>
      <c r="AI50" s="391" t="s">
        <v>15626</v>
      </c>
      <c r="AJ50" s="838">
        <f>AJ48</f>
        <v>1</v>
      </c>
      <c r="AK50" s="843"/>
      <c r="AL50" s="324" t="s">
        <v>15630</v>
      </c>
      <c r="AM50" s="325"/>
      <c r="AN50" s="325"/>
      <c r="AO50" s="325"/>
      <c r="AP50" s="325"/>
      <c r="AQ50" s="190" t="s">
        <v>398</v>
      </c>
      <c r="AR50" s="844">
        <f>AR46</f>
        <v>0.85</v>
      </c>
      <c r="AS50" s="844"/>
      <c r="AT50" s="501"/>
      <c r="AU50" s="502"/>
      <c r="AY50" s="387"/>
      <c r="AZ50" s="489">
        <f>ROUND(ROUND(ROUND(Q48*AJ50,0)*AR50,0)*$AT$16,0)</f>
        <v>110</v>
      </c>
      <c r="BA50" s="393"/>
    </row>
    <row r="51" spans="1:53" ht="16.5" customHeight="1" x14ac:dyDescent="0.15">
      <c r="A51" s="340">
        <v>12</v>
      </c>
      <c r="B51" s="341">
        <v>7921</v>
      </c>
      <c r="C51" s="390" t="s">
        <v>16925</v>
      </c>
      <c r="D51" s="403"/>
      <c r="E51" s="404"/>
      <c r="F51" s="404"/>
      <c r="G51" s="404"/>
      <c r="H51" s="406"/>
      <c r="I51" s="10"/>
      <c r="Q51" s="395"/>
      <c r="R51" s="151"/>
      <c r="S51" s="151"/>
      <c r="U51" s="387"/>
      <c r="V51" s="343"/>
      <c r="W51" s="325"/>
      <c r="X51" s="325"/>
      <c r="Y51" s="325"/>
      <c r="Z51" s="325"/>
      <c r="AA51" s="325"/>
      <c r="AB51" s="325"/>
      <c r="AC51" s="325"/>
      <c r="AD51" s="325"/>
      <c r="AE51" s="325"/>
      <c r="AF51" s="325"/>
      <c r="AG51" s="325"/>
      <c r="AH51" s="325"/>
      <c r="AI51" s="391"/>
      <c r="AJ51" s="401"/>
      <c r="AK51" s="402"/>
      <c r="AL51" s="396"/>
      <c r="AM51" s="396"/>
      <c r="AN51" s="396"/>
      <c r="AO51" s="396"/>
      <c r="AP51" s="396"/>
      <c r="AQ51" s="396"/>
      <c r="AR51" s="396"/>
      <c r="AS51" s="396"/>
      <c r="AT51" s="490"/>
      <c r="AU51" s="387"/>
      <c r="AV51" s="858" t="s">
        <v>16296</v>
      </c>
      <c r="AW51" s="858"/>
      <c r="AX51" s="858"/>
      <c r="AY51" s="860"/>
      <c r="AZ51" s="489">
        <f>ROUND(ROUND(Q48*$AT$16,0)*AV54,0)</f>
        <v>104</v>
      </c>
      <c r="BA51" s="393"/>
    </row>
    <row r="52" spans="1:53" ht="16.5" customHeight="1" x14ac:dyDescent="0.15">
      <c r="A52" s="340">
        <v>12</v>
      </c>
      <c r="B52" s="341">
        <v>7922</v>
      </c>
      <c r="C52" s="390" t="s">
        <v>16926</v>
      </c>
      <c r="D52" s="403"/>
      <c r="E52" s="404"/>
      <c r="F52" s="404"/>
      <c r="G52" s="404"/>
      <c r="H52" s="406"/>
      <c r="Q52" s="899"/>
      <c r="R52" s="899"/>
      <c r="S52" s="899"/>
      <c r="U52" s="387"/>
      <c r="V52" s="343" t="s">
        <v>15625</v>
      </c>
      <c r="W52" s="325"/>
      <c r="X52" s="325"/>
      <c r="Y52" s="325"/>
      <c r="Z52" s="325"/>
      <c r="AA52" s="325"/>
      <c r="AB52" s="325"/>
      <c r="AC52" s="325"/>
      <c r="AD52" s="325"/>
      <c r="AE52" s="325"/>
      <c r="AF52" s="325"/>
      <c r="AG52" s="325"/>
      <c r="AH52" s="325"/>
      <c r="AI52" s="391" t="s">
        <v>15626</v>
      </c>
      <c r="AJ52" s="838">
        <f>AJ50</f>
        <v>1</v>
      </c>
      <c r="AK52" s="839"/>
      <c r="AL52" s="325"/>
      <c r="AM52" s="325"/>
      <c r="AN52" s="325"/>
      <c r="AO52" s="325"/>
      <c r="AP52" s="325"/>
      <c r="AQ52" s="325"/>
      <c r="AR52" s="325"/>
      <c r="AS52" s="325"/>
      <c r="AT52" s="490"/>
      <c r="AU52" s="387"/>
      <c r="AV52" s="850"/>
      <c r="AW52" s="850"/>
      <c r="AX52" s="850"/>
      <c r="AY52" s="852"/>
      <c r="AZ52" s="489">
        <f>ROUND(ROUND(ROUND(Q48*AJ52,0)*$AT$16,0)*AV54,0)</f>
        <v>104</v>
      </c>
      <c r="BA52" s="393"/>
    </row>
    <row r="53" spans="1:53" ht="16.5" customHeight="1" x14ac:dyDescent="0.15">
      <c r="A53" s="340">
        <v>12</v>
      </c>
      <c r="B53" s="341">
        <v>7923</v>
      </c>
      <c r="C53" s="390" t="s">
        <v>16927</v>
      </c>
      <c r="D53" s="403"/>
      <c r="E53" s="404"/>
      <c r="F53" s="404"/>
      <c r="G53" s="404"/>
      <c r="H53" s="406"/>
      <c r="Q53" s="395"/>
      <c r="R53" s="151"/>
      <c r="S53" s="151"/>
      <c r="U53" s="387"/>
      <c r="V53" s="343"/>
      <c r="W53" s="343"/>
      <c r="X53" s="343"/>
      <c r="Y53" s="343"/>
      <c r="Z53" s="343"/>
      <c r="AA53" s="343"/>
      <c r="AB53" s="343"/>
      <c r="AC53" s="343"/>
      <c r="AD53" s="343"/>
      <c r="AE53" s="343"/>
      <c r="AF53" s="343"/>
      <c r="AG53" s="343"/>
      <c r="AH53" s="343"/>
      <c r="AI53" s="343"/>
      <c r="AJ53" s="343"/>
      <c r="AK53" s="343"/>
      <c r="AL53" s="114" t="s">
        <v>15628</v>
      </c>
      <c r="AM53" s="396"/>
      <c r="AN53" s="396"/>
      <c r="AO53" s="396"/>
      <c r="AP53" s="396"/>
      <c r="AQ53" s="396"/>
      <c r="AR53" s="396"/>
      <c r="AS53" s="396"/>
      <c r="AT53" s="490"/>
      <c r="AU53" s="387"/>
      <c r="AV53" s="902" t="s">
        <v>15636</v>
      </c>
      <c r="AW53" s="902"/>
      <c r="AX53" s="902"/>
      <c r="AY53" s="903"/>
      <c r="AZ53" s="489">
        <f>ROUND(ROUND(ROUND(Q48*AR54,0)*$AT$16,0)*AV54,0)</f>
        <v>88</v>
      </c>
      <c r="BA53" s="393"/>
    </row>
    <row r="54" spans="1:53" ht="16.5" customHeight="1" x14ac:dyDescent="0.15">
      <c r="A54" s="340">
        <v>12</v>
      </c>
      <c r="B54" s="341">
        <v>7924</v>
      </c>
      <c r="C54" s="390" t="s">
        <v>16928</v>
      </c>
      <c r="D54" s="403"/>
      <c r="E54" s="404"/>
      <c r="F54" s="404"/>
      <c r="G54" s="404"/>
      <c r="H54" s="406"/>
      <c r="Q54" s="395"/>
      <c r="R54" s="151"/>
      <c r="S54" s="151"/>
      <c r="U54" s="387"/>
      <c r="V54" s="343" t="s">
        <v>15625</v>
      </c>
      <c r="W54" s="325"/>
      <c r="X54" s="325"/>
      <c r="Y54" s="325"/>
      <c r="Z54" s="325"/>
      <c r="AA54" s="325"/>
      <c r="AB54" s="325"/>
      <c r="AC54" s="325"/>
      <c r="AD54" s="325"/>
      <c r="AE54" s="325"/>
      <c r="AF54" s="325"/>
      <c r="AG54" s="325"/>
      <c r="AH54" s="325"/>
      <c r="AI54" s="391" t="s">
        <v>15626</v>
      </c>
      <c r="AJ54" s="838">
        <f>AJ52</f>
        <v>1</v>
      </c>
      <c r="AK54" s="843"/>
      <c r="AL54" s="324" t="s">
        <v>15630</v>
      </c>
      <c r="AM54" s="325"/>
      <c r="AN54" s="325"/>
      <c r="AO54" s="325"/>
      <c r="AP54" s="325"/>
      <c r="AQ54" s="190" t="s">
        <v>398</v>
      </c>
      <c r="AR54" s="844">
        <f>AR50</f>
        <v>0.85</v>
      </c>
      <c r="AS54" s="844"/>
      <c r="AT54" s="501"/>
      <c r="AU54" s="502"/>
      <c r="AV54" s="844">
        <f>AV46</f>
        <v>0.8</v>
      </c>
      <c r="AW54" s="844"/>
      <c r="AX54" s="844"/>
      <c r="AY54" s="845"/>
      <c r="AZ54" s="489">
        <f>ROUND(ROUND(ROUND(ROUND(Q48*AJ54,0)*AR54,0)*$AT$16,0)*AV54,0)</f>
        <v>88</v>
      </c>
      <c r="BA54" s="393"/>
    </row>
    <row r="55" spans="1:53" ht="16.5" customHeight="1" x14ac:dyDescent="0.15">
      <c r="A55" s="340">
        <v>12</v>
      </c>
      <c r="B55" s="341">
        <v>7925</v>
      </c>
      <c r="C55" s="390" t="s">
        <v>16929</v>
      </c>
      <c r="D55" s="403"/>
      <c r="E55" s="404"/>
      <c r="F55" s="404"/>
      <c r="G55" s="404"/>
      <c r="H55" s="406"/>
      <c r="I55" s="908" t="s">
        <v>16345</v>
      </c>
      <c r="J55" s="909"/>
      <c r="K55" s="909"/>
      <c r="L55" s="909"/>
      <c r="M55" s="909"/>
      <c r="N55" s="909"/>
      <c r="O55" s="909"/>
      <c r="P55" s="909"/>
      <c r="Q55" s="909"/>
      <c r="R55" s="909"/>
      <c r="S55" s="909"/>
      <c r="T55" s="909"/>
      <c r="U55" s="910"/>
      <c r="V55" s="343"/>
      <c r="W55" s="325"/>
      <c r="X55" s="325"/>
      <c r="Y55" s="325"/>
      <c r="Z55" s="325"/>
      <c r="AA55" s="325"/>
      <c r="AB55" s="325"/>
      <c r="AC55" s="325"/>
      <c r="AD55" s="325"/>
      <c r="AE55" s="325"/>
      <c r="AF55" s="325"/>
      <c r="AG55" s="325"/>
      <c r="AH55" s="325"/>
      <c r="AI55" s="391"/>
      <c r="AJ55" s="401"/>
      <c r="AK55" s="402"/>
      <c r="AL55" s="396"/>
      <c r="AM55" s="396"/>
      <c r="AN55" s="396"/>
      <c r="AO55" s="396"/>
      <c r="AP55" s="396"/>
      <c r="AQ55" s="396"/>
      <c r="AR55" s="396"/>
      <c r="AS55" s="396"/>
      <c r="AT55" s="490"/>
      <c r="AU55" s="387"/>
      <c r="AV55" s="400"/>
      <c r="AW55" s="400"/>
      <c r="AX55" s="396"/>
      <c r="AY55" s="397"/>
      <c r="AZ55" s="489">
        <f>ROUND(Q56*$AT$16,0)</f>
        <v>133</v>
      </c>
      <c r="BA55" s="393"/>
    </row>
    <row r="56" spans="1:53" ht="16.5" customHeight="1" x14ac:dyDescent="0.15">
      <c r="A56" s="340">
        <v>12</v>
      </c>
      <c r="B56" s="341">
        <v>7926</v>
      </c>
      <c r="C56" s="390" t="s">
        <v>16930</v>
      </c>
      <c r="D56" s="403"/>
      <c r="E56" s="404"/>
      <c r="F56" s="404"/>
      <c r="G56" s="404"/>
      <c r="H56" s="406"/>
      <c r="Q56" s="836">
        <f>ROUND(Q248*$F$13,0)</f>
        <v>106</v>
      </c>
      <c r="R56" s="911"/>
      <c r="S56" s="911"/>
      <c r="T56" s="152" t="s">
        <v>15624</v>
      </c>
      <c r="U56" s="387"/>
      <c r="V56" s="343" t="s">
        <v>15625</v>
      </c>
      <c r="W56" s="325"/>
      <c r="X56" s="325"/>
      <c r="Y56" s="325"/>
      <c r="Z56" s="325"/>
      <c r="AA56" s="325"/>
      <c r="AB56" s="325"/>
      <c r="AC56" s="325"/>
      <c r="AD56" s="325"/>
      <c r="AE56" s="325"/>
      <c r="AF56" s="325"/>
      <c r="AG56" s="325"/>
      <c r="AH56" s="325"/>
      <c r="AI56" s="391" t="s">
        <v>15626</v>
      </c>
      <c r="AJ56" s="838">
        <f>AJ54</f>
        <v>1</v>
      </c>
      <c r="AK56" s="839"/>
      <c r="AL56" s="325"/>
      <c r="AM56" s="325"/>
      <c r="AN56" s="325"/>
      <c r="AO56" s="325"/>
      <c r="AP56" s="325"/>
      <c r="AQ56" s="325"/>
      <c r="AR56" s="325"/>
      <c r="AS56" s="325"/>
      <c r="AT56" s="490"/>
      <c r="AU56" s="387"/>
      <c r="AY56" s="387"/>
      <c r="AZ56" s="489">
        <f>ROUND(ROUND(Q56*AJ56,0)*$AT$16,0)</f>
        <v>133</v>
      </c>
      <c r="BA56" s="393"/>
    </row>
    <row r="57" spans="1:53" ht="16.5" customHeight="1" x14ac:dyDescent="0.15">
      <c r="A57" s="340">
        <v>12</v>
      </c>
      <c r="B57" s="341">
        <v>7927</v>
      </c>
      <c r="C57" s="390" t="s">
        <v>16931</v>
      </c>
      <c r="D57" s="403"/>
      <c r="E57" s="404"/>
      <c r="F57" s="404"/>
      <c r="G57" s="404"/>
      <c r="H57" s="406"/>
      <c r="Q57" s="395"/>
      <c r="R57" s="151"/>
      <c r="S57" s="151"/>
      <c r="U57" s="387"/>
      <c r="V57" s="343"/>
      <c r="W57" s="343"/>
      <c r="X57" s="343"/>
      <c r="Y57" s="343"/>
      <c r="Z57" s="343"/>
      <c r="AA57" s="343"/>
      <c r="AB57" s="343"/>
      <c r="AC57" s="343"/>
      <c r="AD57" s="343"/>
      <c r="AE57" s="343"/>
      <c r="AF57" s="343"/>
      <c r="AG57" s="343"/>
      <c r="AH57" s="343"/>
      <c r="AI57" s="343"/>
      <c r="AJ57" s="343"/>
      <c r="AK57" s="343"/>
      <c r="AL57" s="114" t="s">
        <v>15628</v>
      </c>
      <c r="AM57" s="396"/>
      <c r="AN57" s="396"/>
      <c r="AO57" s="396"/>
      <c r="AP57" s="396"/>
      <c r="AQ57" s="396"/>
      <c r="AR57" s="396"/>
      <c r="AS57" s="396"/>
      <c r="AT57" s="490"/>
      <c r="AU57" s="387"/>
      <c r="AY57" s="387"/>
      <c r="AZ57" s="489">
        <f>ROUND(ROUND(Q56*AR58,0)*$AT$16,0)</f>
        <v>113</v>
      </c>
      <c r="BA57" s="393"/>
    </row>
    <row r="58" spans="1:53" ht="16.5" customHeight="1" x14ac:dyDescent="0.15">
      <c r="A58" s="340">
        <v>12</v>
      </c>
      <c r="B58" s="341">
        <v>7928</v>
      </c>
      <c r="C58" s="390" t="s">
        <v>16932</v>
      </c>
      <c r="D58" s="403"/>
      <c r="E58" s="404"/>
      <c r="F58" s="404"/>
      <c r="G58" s="404"/>
      <c r="H58" s="406"/>
      <c r="Q58" s="395"/>
      <c r="R58" s="151"/>
      <c r="S58" s="151"/>
      <c r="U58" s="387"/>
      <c r="V58" s="343" t="s">
        <v>15625</v>
      </c>
      <c r="W58" s="325"/>
      <c r="X58" s="325"/>
      <c r="Y58" s="325"/>
      <c r="Z58" s="325"/>
      <c r="AA58" s="325"/>
      <c r="AB58" s="325"/>
      <c r="AC58" s="325"/>
      <c r="AD58" s="325"/>
      <c r="AE58" s="325"/>
      <c r="AF58" s="325"/>
      <c r="AG58" s="325"/>
      <c r="AH58" s="325"/>
      <c r="AI58" s="391" t="s">
        <v>15626</v>
      </c>
      <c r="AJ58" s="838">
        <f>AJ56</f>
        <v>1</v>
      </c>
      <c r="AK58" s="843"/>
      <c r="AL58" s="324" t="s">
        <v>15630</v>
      </c>
      <c r="AM58" s="325"/>
      <c r="AN58" s="325"/>
      <c r="AO58" s="325"/>
      <c r="AP58" s="325"/>
      <c r="AQ58" s="190" t="s">
        <v>398</v>
      </c>
      <c r="AR58" s="844">
        <f>AR54</f>
        <v>0.85</v>
      </c>
      <c r="AS58" s="844"/>
      <c r="AT58" s="501"/>
      <c r="AU58" s="502"/>
      <c r="AY58" s="387"/>
      <c r="AZ58" s="489">
        <f>ROUND(ROUND(ROUND(Q56*AJ58,0)*AR58,0)*$AT$16,0)</f>
        <v>113</v>
      </c>
      <c r="BA58" s="393"/>
    </row>
    <row r="59" spans="1:53" ht="16.5" customHeight="1" x14ac:dyDescent="0.15">
      <c r="A59" s="340">
        <v>12</v>
      </c>
      <c r="B59" s="341">
        <v>7929</v>
      </c>
      <c r="C59" s="390" t="s">
        <v>16933</v>
      </c>
      <c r="D59" s="403"/>
      <c r="E59" s="404"/>
      <c r="F59" s="404"/>
      <c r="G59" s="404"/>
      <c r="H59" s="406"/>
      <c r="I59" s="10"/>
      <c r="Q59" s="395"/>
      <c r="R59" s="151"/>
      <c r="S59" s="151"/>
      <c r="U59" s="387"/>
      <c r="V59" s="343"/>
      <c r="W59" s="325"/>
      <c r="X59" s="325"/>
      <c r="Y59" s="325"/>
      <c r="Z59" s="325"/>
      <c r="AA59" s="325"/>
      <c r="AB59" s="325"/>
      <c r="AC59" s="325"/>
      <c r="AD59" s="325"/>
      <c r="AE59" s="325"/>
      <c r="AF59" s="325"/>
      <c r="AG59" s="325"/>
      <c r="AH59" s="325"/>
      <c r="AI59" s="391"/>
      <c r="AJ59" s="401"/>
      <c r="AK59" s="402"/>
      <c r="AL59" s="396"/>
      <c r="AM59" s="396"/>
      <c r="AN59" s="396"/>
      <c r="AO59" s="396"/>
      <c r="AP59" s="396"/>
      <c r="AQ59" s="396"/>
      <c r="AR59" s="396"/>
      <c r="AS59" s="396"/>
      <c r="AT59" s="490"/>
      <c r="AU59" s="387"/>
      <c r="AV59" s="858" t="s">
        <v>16296</v>
      </c>
      <c r="AW59" s="858"/>
      <c r="AX59" s="858"/>
      <c r="AY59" s="860"/>
      <c r="AZ59" s="489">
        <f>ROUND(ROUND(Q56*$AT$16,0)*AV62,0)</f>
        <v>106</v>
      </c>
      <c r="BA59" s="393"/>
    </row>
    <row r="60" spans="1:53" ht="16.5" customHeight="1" x14ac:dyDescent="0.15">
      <c r="A60" s="340">
        <v>12</v>
      </c>
      <c r="B60" s="341">
        <v>7930</v>
      </c>
      <c r="C60" s="390" t="s">
        <v>16934</v>
      </c>
      <c r="D60" s="403"/>
      <c r="E60" s="404"/>
      <c r="F60" s="404"/>
      <c r="G60" s="404"/>
      <c r="H60" s="406"/>
      <c r="Q60" s="899"/>
      <c r="R60" s="899"/>
      <c r="S60" s="899"/>
      <c r="U60" s="387"/>
      <c r="V60" s="343" t="s">
        <v>15625</v>
      </c>
      <c r="W60" s="325"/>
      <c r="X60" s="325"/>
      <c r="Y60" s="325"/>
      <c r="Z60" s="325"/>
      <c r="AA60" s="325"/>
      <c r="AB60" s="325"/>
      <c r="AC60" s="325"/>
      <c r="AD60" s="325"/>
      <c r="AE60" s="325"/>
      <c r="AF60" s="325"/>
      <c r="AG60" s="325"/>
      <c r="AH60" s="325"/>
      <c r="AI60" s="391" t="s">
        <v>15626</v>
      </c>
      <c r="AJ60" s="838">
        <f>AJ58</f>
        <v>1</v>
      </c>
      <c r="AK60" s="839"/>
      <c r="AL60" s="325"/>
      <c r="AM60" s="325"/>
      <c r="AN60" s="325"/>
      <c r="AO60" s="325"/>
      <c r="AP60" s="325"/>
      <c r="AQ60" s="325"/>
      <c r="AR60" s="325"/>
      <c r="AS60" s="325"/>
      <c r="AT60" s="490"/>
      <c r="AU60" s="387"/>
      <c r="AV60" s="850"/>
      <c r="AW60" s="850"/>
      <c r="AX60" s="850"/>
      <c r="AY60" s="852"/>
      <c r="AZ60" s="489">
        <f>ROUND(ROUND(ROUND(Q56*AJ60,0)*$AT$16,0)*AV62,0)</f>
        <v>106</v>
      </c>
      <c r="BA60" s="393"/>
    </row>
    <row r="61" spans="1:53" ht="16.5" customHeight="1" x14ac:dyDescent="0.15">
      <c r="A61" s="340">
        <v>12</v>
      </c>
      <c r="B61" s="341">
        <v>7931</v>
      </c>
      <c r="C61" s="390" t="s">
        <v>16935</v>
      </c>
      <c r="D61" s="403"/>
      <c r="E61" s="404"/>
      <c r="F61" s="404"/>
      <c r="G61" s="404"/>
      <c r="H61" s="406"/>
      <c r="Q61" s="395"/>
      <c r="R61" s="151"/>
      <c r="S61" s="151"/>
      <c r="U61" s="387"/>
      <c r="V61" s="343"/>
      <c r="W61" s="343"/>
      <c r="X61" s="343"/>
      <c r="Y61" s="343"/>
      <c r="Z61" s="343"/>
      <c r="AA61" s="343"/>
      <c r="AB61" s="343"/>
      <c r="AC61" s="343"/>
      <c r="AD61" s="343"/>
      <c r="AE61" s="343"/>
      <c r="AF61" s="343"/>
      <c r="AG61" s="343"/>
      <c r="AH61" s="343"/>
      <c r="AI61" s="343"/>
      <c r="AJ61" s="343"/>
      <c r="AK61" s="343"/>
      <c r="AL61" s="114" t="s">
        <v>15628</v>
      </c>
      <c r="AM61" s="396"/>
      <c r="AN61" s="396"/>
      <c r="AO61" s="396"/>
      <c r="AP61" s="396"/>
      <c r="AQ61" s="396"/>
      <c r="AR61" s="396"/>
      <c r="AS61" s="396"/>
      <c r="AT61" s="490"/>
      <c r="AU61" s="387"/>
      <c r="AV61" s="902" t="s">
        <v>15636</v>
      </c>
      <c r="AW61" s="902"/>
      <c r="AX61" s="902"/>
      <c r="AY61" s="903"/>
      <c r="AZ61" s="489">
        <f>ROUND(ROUND(ROUND(Q56*AR62,0)*$AT$16,0)*AV62,0)</f>
        <v>90</v>
      </c>
      <c r="BA61" s="393"/>
    </row>
    <row r="62" spans="1:53" ht="16.5" customHeight="1" x14ac:dyDescent="0.15">
      <c r="A62" s="340">
        <v>12</v>
      </c>
      <c r="B62" s="341">
        <v>7932</v>
      </c>
      <c r="C62" s="390" t="s">
        <v>16936</v>
      </c>
      <c r="D62" s="403"/>
      <c r="E62" s="404"/>
      <c r="F62" s="404"/>
      <c r="G62" s="404"/>
      <c r="H62" s="406"/>
      <c r="Q62" s="395"/>
      <c r="R62" s="151"/>
      <c r="S62" s="151"/>
      <c r="U62" s="387"/>
      <c r="V62" s="343" t="s">
        <v>15625</v>
      </c>
      <c r="W62" s="325"/>
      <c r="X62" s="325"/>
      <c r="Y62" s="325"/>
      <c r="Z62" s="325"/>
      <c r="AA62" s="325"/>
      <c r="AB62" s="325"/>
      <c r="AC62" s="325"/>
      <c r="AD62" s="325"/>
      <c r="AE62" s="325"/>
      <c r="AF62" s="325"/>
      <c r="AG62" s="325"/>
      <c r="AH62" s="325"/>
      <c r="AI62" s="391" t="s">
        <v>15626</v>
      </c>
      <c r="AJ62" s="838">
        <f>AJ60</f>
        <v>1</v>
      </c>
      <c r="AK62" s="843"/>
      <c r="AL62" s="324" t="s">
        <v>15630</v>
      </c>
      <c r="AM62" s="325"/>
      <c r="AN62" s="325"/>
      <c r="AO62" s="325"/>
      <c r="AP62" s="325"/>
      <c r="AQ62" s="190" t="s">
        <v>398</v>
      </c>
      <c r="AR62" s="844">
        <f>AR58</f>
        <v>0.85</v>
      </c>
      <c r="AS62" s="844"/>
      <c r="AT62" s="501"/>
      <c r="AU62" s="502"/>
      <c r="AV62" s="844">
        <f>AV54</f>
        <v>0.8</v>
      </c>
      <c r="AW62" s="844"/>
      <c r="AX62" s="844"/>
      <c r="AY62" s="845"/>
      <c r="AZ62" s="489">
        <f>ROUND(ROUND(ROUND(ROUND(Q56*AJ62,0)*AR62,0)*$AT$16,0)*AV62,0)</f>
        <v>90</v>
      </c>
      <c r="BA62" s="393"/>
    </row>
    <row r="63" spans="1:53" ht="17.100000000000001" customHeight="1" x14ac:dyDescent="0.15">
      <c r="A63" s="340">
        <v>12</v>
      </c>
      <c r="B63" s="341">
        <v>7933</v>
      </c>
      <c r="C63" s="390" t="s">
        <v>16937</v>
      </c>
      <c r="D63" s="403"/>
      <c r="E63" s="404"/>
      <c r="F63" s="404"/>
      <c r="G63" s="404"/>
      <c r="H63" s="406"/>
      <c r="I63" s="908" t="s">
        <v>16354</v>
      </c>
      <c r="J63" s="909"/>
      <c r="K63" s="909"/>
      <c r="L63" s="909"/>
      <c r="M63" s="909"/>
      <c r="N63" s="909"/>
      <c r="O63" s="909"/>
      <c r="P63" s="909"/>
      <c r="Q63" s="909"/>
      <c r="R63" s="909"/>
      <c r="S63" s="909"/>
      <c r="T63" s="909"/>
      <c r="U63" s="910"/>
      <c r="V63" s="343"/>
      <c r="W63" s="343"/>
      <c r="X63" s="343"/>
      <c r="Y63" s="343"/>
      <c r="Z63" s="343"/>
      <c r="AA63" s="343"/>
      <c r="AB63" s="343"/>
      <c r="AC63" s="343"/>
      <c r="AD63" s="343"/>
      <c r="AE63" s="343"/>
      <c r="AF63" s="343"/>
      <c r="AG63" s="343"/>
      <c r="AH63" s="343"/>
      <c r="AI63" s="343"/>
      <c r="AJ63" s="401"/>
      <c r="AK63" s="402"/>
      <c r="AL63" s="396"/>
      <c r="AM63" s="396"/>
      <c r="AN63" s="396"/>
      <c r="AO63" s="396"/>
      <c r="AP63" s="396"/>
      <c r="AQ63" s="396"/>
      <c r="AR63" s="396"/>
      <c r="AS63" s="396"/>
      <c r="AT63" s="490"/>
      <c r="AU63" s="387"/>
      <c r="AV63" s="400"/>
      <c r="AW63" s="400"/>
      <c r="AX63" s="396"/>
      <c r="AY63" s="397"/>
      <c r="AZ63" s="489">
        <f>ROUND(Q64*$AT$16,0)</f>
        <v>123</v>
      </c>
      <c r="BA63" s="393"/>
    </row>
    <row r="64" spans="1:53" ht="16.5" customHeight="1" x14ac:dyDescent="0.15">
      <c r="A64" s="340">
        <v>12</v>
      </c>
      <c r="B64" s="341">
        <v>7934</v>
      </c>
      <c r="C64" s="390" t="s">
        <v>16938</v>
      </c>
      <c r="D64" s="403"/>
      <c r="E64" s="404"/>
      <c r="F64" s="404"/>
      <c r="G64" s="404"/>
      <c r="H64" s="406"/>
      <c r="Q64" s="836">
        <f>ROUND(Q256*$F$13,0)</f>
        <v>98</v>
      </c>
      <c r="R64" s="911"/>
      <c r="S64" s="911"/>
      <c r="T64" s="152" t="s">
        <v>15624</v>
      </c>
      <c r="U64" s="387"/>
      <c r="V64" s="343" t="s">
        <v>15625</v>
      </c>
      <c r="W64" s="325"/>
      <c r="X64" s="325"/>
      <c r="Y64" s="325"/>
      <c r="Z64" s="325"/>
      <c r="AA64" s="325"/>
      <c r="AB64" s="325"/>
      <c r="AC64" s="325"/>
      <c r="AD64" s="325"/>
      <c r="AE64" s="325"/>
      <c r="AF64" s="325"/>
      <c r="AG64" s="325"/>
      <c r="AH64" s="325"/>
      <c r="AI64" s="391" t="s">
        <v>15626</v>
      </c>
      <c r="AJ64" s="838">
        <f>AJ62</f>
        <v>1</v>
      </c>
      <c r="AK64" s="839"/>
      <c r="AL64" s="325"/>
      <c r="AM64" s="325"/>
      <c r="AN64" s="325"/>
      <c r="AO64" s="325"/>
      <c r="AP64" s="325"/>
      <c r="AQ64" s="325"/>
      <c r="AR64" s="325"/>
      <c r="AS64" s="391"/>
      <c r="AT64" s="503"/>
      <c r="AU64" s="504"/>
      <c r="AY64" s="387"/>
      <c r="AZ64" s="489">
        <f>ROUND(ROUND(Q64*AJ64,0)*$AT$16,0)</f>
        <v>123</v>
      </c>
      <c r="BA64" s="393"/>
    </row>
    <row r="65" spans="1:53" ht="16.5" customHeight="1" x14ac:dyDescent="0.15">
      <c r="A65" s="340">
        <v>12</v>
      </c>
      <c r="B65" s="341">
        <v>7935</v>
      </c>
      <c r="C65" s="390" t="s">
        <v>16939</v>
      </c>
      <c r="D65" s="403"/>
      <c r="E65" s="404"/>
      <c r="F65" s="404"/>
      <c r="G65" s="404"/>
      <c r="H65" s="406"/>
      <c r="Q65" s="395"/>
      <c r="R65" s="151"/>
      <c r="S65" s="151"/>
      <c r="U65" s="387"/>
      <c r="V65" s="343"/>
      <c r="W65" s="343"/>
      <c r="X65" s="343"/>
      <c r="Y65" s="343"/>
      <c r="Z65" s="343"/>
      <c r="AA65" s="343"/>
      <c r="AB65" s="343"/>
      <c r="AC65" s="343"/>
      <c r="AD65" s="343"/>
      <c r="AE65" s="343"/>
      <c r="AF65" s="343"/>
      <c r="AG65" s="343"/>
      <c r="AH65" s="343"/>
      <c r="AI65" s="343"/>
      <c r="AJ65" s="343"/>
      <c r="AK65" s="343"/>
      <c r="AL65" s="114" t="s">
        <v>15628</v>
      </c>
      <c r="AM65" s="396"/>
      <c r="AN65" s="396"/>
      <c r="AO65" s="396"/>
      <c r="AP65" s="396"/>
      <c r="AQ65" s="396"/>
      <c r="AR65" s="396"/>
      <c r="AS65" s="396"/>
      <c r="AT65" s="490"/>
      <c r="AU65" s="387"/>
      <c r="AY65" s="387"/>
      <c r="AZ65" s="489">
        <f>ROUND(ROUND(Q64*AR66,0)*$AT$16,0)</f>
        <v>104</v>
      </c>
      <c r="BA65" s="393"/>
    </row>
    <row r="66" spans="1:53" ht="16.5" customHeight="1" x14ac:dyDescent="0.15">
      <c r="A66" s="340">
        <v>12</v>
      </c>
      <c r="B66" s="341">
        <v>7936</v>
      </c>
      <c r="C66" s="390" t="s">
        <v>16940</v>
      </c>
      <c r="D66" s="403"/>
      <c r="E66" s="404"/>
      <c r="F66" s="404"/>
      <c r="G66" s="404"/>
      <c r="H66" s="406"/>
      <c r="Q66" s="395"/>
      <c r="R66" s="151"/>
      <c r="S66" s="151"/>
      <c r="U66" s="387"/>
      <c r="V66" s="343" t="s">
        <v>15625</v>
      </c>
      <c r="W66" s="325"/>
      <c r="X66" s="325"/>
      <c r="Y66" s="325"/>
      <c r="Z66" s="325"/>
      <c r="AA66" s="325"/>
      <c r="AB66" s="325"/>
      <c r="AC66" s="325"/>
      <c r="AD66" s="325"/>
      <c r="AE66" s="325"/>
      <c r="AF66" s="325"/>
      <c r="AG66" s="325"/>
      <c r="AH66" s="325"/>
      <c r="AI66" s="391" t="s">
        <v>15626</v>
      </c>
      <c r="AJ66" s="838">
        <f>AJ64</f>
        <v>1</v>
      </c>
      <c r="AK66" s="843"/>
      <c r="AL66" s="324" t="s">
        <v>15630</v>
      </c>
      <c r="AM66" s="325"/>
      <c r="AN66" s="325"/>
      <c r="AO66" s="325"/>
      <c r="AP66" s="325"/>
      <c r="AQ66" s="190" t="s">
        <v>398</v>
      </c>
      <c r="AR66" s="844">
        <f>AR62</f>
        <v>0.85</v>
      </c>
      <c r="AS66" s="844"/>
      <c r="AT66" s="501"/>
      <c r="AU66" s="502"/>
      <c r="AY66" s="387"/>
      <c r="AZ66" s="489">
        <f>ROUND(ROUND(ROUND(Q64*AJ66,0)*AR66,0)*$AT$16,0)</f>
        <v>104</v>
      </c>
      <c r="BA66" s="393"/>
    </row>
    <row r="67" spans="1:53" ht="17.100000000000001" customHeight="1" x14ac:dyDescent="0.15">
      <c r="A67" s="340">
        <v>12</v>
      </c>
      <c r="B67" s="341">
        <v>7937</v>
      </c>
      <c r="C67" s="390" t="s">
        <v>16941</v>
      </c>
      <c r="D67" s="403"/>
      <c r="E67" s="404"/>
      <c r="F67" s="404"/>
      <c r="G67" s="404"/>
      <c r="H67" s="406"/>
      <c r="I67" s="10"/>
      <c r="L67" s="151"/>
      <c r="M67" s="151"/>
      <c r="N67" s="151"/>
      <c r="U67" s="387"/>
      <c r="V67" s="343"/>
      <c r="W67" s="343"/>
      <c r="X67" s="343"/>
      <c r="Y67" s="343"/>
      <c r="Z67" s="343"/>
      <c r="AA67" s="343"/>
      <c r="AB67" s="343"/>
      <c r="AC67" s="343"/>
      <c r="AD67" s="343"/>
      <c r="AE67" s="343"/>
      <c r="AF67" s="343"/>
      <c r="AG67" s="343"/>
      <c r="AH67" s="343"/>
      <c r="AI67" s="343"/>
      <c r="AJ67" s="401"/>
      <c r="AK67" s="402"/>
      <c r="AL67" s="396"/>
      <c r="AM67" s="396"/>
      <c r="AN67" s="396"/>
      <c r="AO67" s="396"/>
      <c r="AP67" s="396"/>
      <c r="AQ67" s="396"/>
      <c r="AR67" s="396"/>
      <c r="AS67" s="396"/>
      <c r="AT67" s="490"/>
      <c r="AU67" s="387"/>
      <c r="AV67" s="858" t="s">
        <v>16296</v>
      </c>
      <c r="AW67" s="858"/>
      <c r="AX67" s="858"/>
      <c r="AY67" s="860"/>
      <c r="AZ67" s="489">
        <f>ROUND(ROUND(Q64*$AT$16,0)*AV70,0)</f>
        <v>98</v>
      </c>
      <c r="BA67" s="393"/>
    </row>
    <row r="68" spans="1:53" ht="16.5" customHeight="1" x14ac:dyDescent="0.15">
      <c r="A68" s="340">
        <v>12</v>
      </c>
      <c r="B68" s="341">
        <v>7938</v>
      </c>
      <c r="C68" s="390" t="s">
        <v>16942</v>
      </c>
      <c r="D68" s="403"/>
      <c r="E68" s="404"/>
      <c r="F68" s="404"/>
      <c r="G68" s="404"/>
      <c r="H68" s="406"/>
      <c r="Q68" s="899"/>
      <c r="R68" s="899"/>
      <c r="S68" s="899"/>
      <c r="U68" s="387"/>
      <c r="V68" s="343" t="s">
        <v>15625</v>
      </c>
      <c r="W68" s="325"/>
      <c r="X68" s="325"/>
      <c r="Y68" s="325"/>
      <c r="Z68" s="325"/>
      <c r="AA68" s="325"/>
      <c r="AB68" s="325"/>
      <c r="AC68" s="325"/>
      <c r="AD68" s="325"/>
      <c r="AE68" s="325"/>
      <c r="AF68" s="325"/>
      <c r="AG68" s="325"/>
      <c r="AH68" s="325"/>
      <c r="AI68" s="391" t="s">
        <v>15626</v>
      </c>
      <c r="AJ68" s="838">
        <f>AJ66</f>
        <v>1</v>
      </c>
      <c r="AK68" s="839"/>
      <c r="AL68" s="325"/>
      <c r="AM68" s="325"/>
      <c r="AN68" s="325"/>
      <c r="AO68" s="325"/>
      <c r="AP68" s="325"/>
      <c r="AQ68" s="325"/>
      <c r="AR68" s="325"/>
      <c r="AS68" s="391"/>
      <c r="AT68" s="503"/>
      <c r="AU68" s="504"/>
      <c r="AV68" s="850"/>
      <c r="AW68" s="850"/>
      <c r="AX68" s="850"/>
      <c r="AY68" s="852"/>
      <c r="AZ68" s="489">
        <f>ROUND(ROUND(ROUND(Q64*AJ68,0)*$AT$16,0)*AV70,0)</f>
        <v>98</v>
      </c>
      <c r="BA68" s="393"/>
    </row>
    <row r="69" spans="1:53" ht="16.5" customHeight="1" x14ac:dyDescent="0.15">
      <c r="A69" s="340">
        <v>12</v>
      </c>
      <c r="B69" s="341">
        <v>7939</v>
      </c>
      <c r="C69" s="390" t="s">
        <v>16943</v>
      </c>
      <c r="D69" s="403"/>
      <c r="E69" s="404"/>
      <c r="F69" s="404"/>
      <c r="G69" s="404"/>
      <c r="H69" s="406"/>
      <c r="Q69" s="395"/>
      <c r="R69" s="151"/>
      <c r="S69" s="151"/>
      <c r="U69" s="387"/>
      <c r="V69" s="343"/>
      <c r="W69" s="343"/>
      <c r="X69" s="343"/>
      <c r="Y69" s="343"/>
      <c r="Z69" s="343"/>
      <c r="AA69" s="343"/>
      <c r="AB69" s="343"/>
      <c r="AC69" s="343"/>
      <c r="AD69" s="343"/>
      <c r="AE69" s="343"/>
      <c r="AF69" s="343"/>
      <c r="AG69" s="343"/>
      <c r="AH69" s="343"/>
      <c r="AI69" s="343"/>
      <c r="AJ69" s="343"/>
      <c r="AK69" s="343"/>
      <c r="AL69" s="114" t="s">
        <v>15628</v>
      </c>
      <c r="AM69" s="396"/>
      <c r="AN69" s="396"/>
      <c r="AO69" s="396"/>
      <c r="AP69" s="396"/>
      <c r="AQ69" s="396"/>
      <c r="AR69" s="396"/>
      <c r="AS69" s="396"/>
      <c r="AT69" s="490"/>
      <c r="AU69" s="387"/>
      <c r="AV69" s="902" t="s">
        <v>15636</v>
      </c>
      <c r="AW69" s="902"/>
      <c r="AX69" s="902"/>
      <c r="AY69" s="903"/>
      <c r="AZ69" s="489">
        <f>ROUND(ROUND(ROUND(Q64*AR70,0)*$AT$16,0)*AV70,0)</f>
        <v>83</v>
      </c>
      <c r="BA69" s="393"/>
    </row>
    <row r="70" spans="1:53" ht="16.5" customHeight="1" x14ac:dyDescent="0.15">
      <c r="A70" s="340">
        <v>12</v>
      </c>
      <c r="B70" s="341">
        <v>7940</v>
      </c>
      <c r="C70" s="390" t="s">
        <v>16944</v>
      </c>
      <c r="D70" s="403"/>
      <c r="E70" s="404"/>
      <c r="F70" s="404"/>
      <c r="G70" s="404"/>
      <c r="H70" s="406"/>
      <c r="Q70" s="395"/>
      <c r="R70" s="151"/>
      <c r="S70" s="151"/>
      <c r="U70" s="387"/>
      <c r="V70" s="343" t="s">
        <v>15625</v>
      </c>
      <c r="W70" s="325"/>
      <c r="X70" s="325"/>
      <c r="Y70" s="325"/>
      <c r="Z70" s="325"/>
      <c r="AA70" s="325"/>
      <c r="AB70" s="325"/>
      <c r="AC70" s="325"/>
      <c r="AD70" s="325"/>
      <c r="AE70" s="325"/>
      <c r="AF70" s="325"/>
      <c r="AG70" s="325"/>
      <c r="AH70" s="325"/>
      <c r="AI70" s="391" t="s">
        <v>15626</v>
      </c>
      <c r="AJ70" s="838">
        <f>AJ68</f>
        <v>1</v>
      </c>
      <c r="AK70" s="843"/>
      <c r="AL70" s="324" t="s">
        <v>15630</v>
      </c>
      <c r="AM70" s="325"/>
      <c r="AN70" s="325"/>
      <c r="AO70" s="325"/>
      <c r="AP70" s="325"/>
      <c r="AQ70" s="190" t="s">
        <v>398</v>
      </c>
      <c r="AR70" s="844">
        <f>AR66</f>
        <v>0.85</v>
      </c>
      <c r="AS70" s="844"/>
      <c r="AT70" s="501"/>
      <c r="AU70" s="502"/>
      <c r="AV70" s="844">
        <f>AV62</f>
        <v>0.8</v>
      </c>
      <c r="AW70" s="844"/>
      <c r="AX70" s="844"/>
      <c r="AY70" s="845"/>
      <c r="AZ70" s="489">
        <f>ROUND(ROUND(ROUND(ROUND(Q64*AJ70,0)*AR70,0)*$AT$16,0)*AV70,0)</f>
        <v>83</v>
      </c>
      <c r="BA70" s="393"/>
    </row>
    <row r="71" spans="1:53" ht="17.100000000000001" customHeight="1" x14ac:dyDescent="0.15">
      <c r="A71" s="340">
        <v>12</v>
      </c>
      <c r="B71" s="341">
        <v>7941</v>
      </c>
      <c r="C71" s="390" t="s">
        <v>16945</v>
      </c>
      <c r="D71" s="403"/>
      <c r="E71" s="404"/>
      <c r="F71" s="404"/>
      <c r="G71" s="404"/>
      <c r="H71" s="406"/>
      <c r="I71" s="908" t="s">
        <v>16363</v>
      </c>
      <c r="J71" s="909"/>
      <c r="K71" s="909"/>
      <c r="L71" s="909"/>
      <c r="M71" s="909"/>
      <c r="N71" s="909"/>
      <c r="O71" s="909"/>
      <c r="P71" s="909"/>
      <c r="Q71" s="909"/>
      <c r="R71" s="909"/>
      <c r="S71" s="909"/>
      <c r="T71" s="909"/>
      <c r="U71" s="910"/>
      <c r="V71" s="343"/>
      <c r="W71" s="343"/>
      <c r="X71" s="343"/>
      <c r="Y71" s="343"/>
      <c r="Z71" s="343"/>
      <c r="AA71" s="343"/>
      <c r="AB71" s="343"/>
      <c r="AC71" s="343"/>
      <c r="AD71" s="343"/>
      <c r="AE71" s="343"/>
      <c r="AF71" s="343"/>
      <c r="AG71" s="343"/>
      <c r="AH71" s="343"/>
      <c r="AI71" s="343"/>
      <c r="AJ71" s="401"/>
      <c r="AK71" s="402"/>
      <c r="AL71" s="396"/>
      <c r="AM71" s="396"/>
      <c r="AN71" s="396"/>
      <c r="AO71" s="396"/>
      <c r="AP71" s="396"/>
      <c r="AQ71" s="396"/>
      <c r="AR71" s="396"/>
      <c r="AS71" s="396"/>
      <c r="AT71" s="490"/>
      <c r="AU71" s="387"/>
      <c r="AV71" s="400"/>
      <c r="AW71" s="400"/>
      <c r="AX71" s="396"/>
      <c r="AY71" s="397"/>
      <c r="AZ71" s="489">
        <f>ROUND(Q72*$AT$16,0)</f>
        <v>123</v>
      </c>
      <c r="BA71" s="393"/>
    </row>
    <row r="72" spans="1:53" ht="16.5" customHeight="1" x14ac:dyDescent="0.15">
      <c r="A72" s="340">
        <v>12</v>
      </c>
      <c r="B72" s="341">
        <v>7942</v>
      </c>
      <c r="C72" s="390" t="s">
        <v>16946</v>
      </c>
      <c r="D72" s="403"/>
      <c r="E72" s="404"/>
      <c r="F72" s="404"/>
      <c r="G72" s="404"/>
      <c r="H72" s="406"/>
      <c r="Q72" s="836">
        <f>ROUND(Q264*$F$13,0)</f>
        <v>98</v>
      </c>
      <c r="R72" s="911"/>
      <c r="S72" s="911"/>
      <c r="T72" s="152" t="s">
        <v>15624</v>
      </c>
      <c r="U72" s="387"/>
      <c r="V72" s="343" t="s">
        <v>15625</v>
      </c>
      <c r="W72" s="325"/>
      <c r="X72" s="325"/>
      <c r="Y72" s="325"/>
      <c r="Z72" s="325"/>
      <c r="AA72" s="325"/>
      <c r="AB72" s="325"/>
      <c r="AC72" s="325"/>
      <c r="AD72" s="325"/>
      <c r="AE72" s="325"/>
      <c r="AF72" s="325"/>
      <c r="AG72" s="325"/>
      <c r="AH72" s="325"/>
      <c r="AI72" s="391" t="s">
        <v>15626</v>
      </c>
      <c r="AJ72" s="838">
        <f>AJ70</f>
        <v>1</v>
      </c>
      <c r="AK72" s="839"/>
      <c r="AL72" s="325"/>
      <c r="AM72" s="325"/>
      <c r="AN72" s="325"/>
      <c r="AO72" s="325"/>
      <c r="AP72" s="325"/>
      <c r="AQ72" s="325"/>
      <c r="AR72" s="325"/>
      <c r="AS72" s="391"/>
      <c r="AT72" s="503"/>
      <c r="AU72" s="504"/>
      <c r="AY72" s="387"/>
      <c r="AZ72" s="489">
        <f>ROUND(ROUND(Q72*AJ72,0)*$AT$16,0)</f>
        <v>123</v>
      </c>
      <c r="BA72" s="393"/>
    </row>
    <row r="73" spans="1:53" ht="16.5" customHeight="1" x14ac:dyDescent="0.15">
      <c r="A73" s="340">
        <v>12</v>
      </c>
      <c r="B73" s="341">
        <v>7943</v>
      </c>
      <c r="C73" s="390" t="s">
        <v>16947</v>
      </c>
      <c r="D73" s="403"/>
      <c r="E73" s="404"/>
      <c r="F73" s="404"/>
      <c r="G73" s="404"/>
      <c r="H73" s="406"/>
      <c r="Q73" s="395"/>
      <c r="R73" s="151"/>
      <c r="S73" s="151"/>
      <c r="U73" s="387"/>
      <c r="V73" s="343"/>
      <c r="W73" s="343"/>
      <c r="X73" s="343"/>
      <c r="Y73" s="343"/>
      <c r="Z73" s="343"/>
      <c r="AA73" s="343"/>
      <c r="AB73" s="343"/>
      <c r="AC73" s="343"/>
      <c r="AD73" s="343"/>
      <c r="AE73" s="343"/>
      <c r="AF73" s="343"/>
      <c r="AG73" s="343"/>
      <c r="AH73" s="343"/>
      <c r="AI73" s="343"/>
      <c r="AJ73" s="343"/>
      <c r="AK73" s="343"/>
      <c r="AL73" s="114" t="s">
        <v>15628</v>
      </c>
      <c r="AM73" s="396"/>
      <c r="AN73" s="396"/>
      <c r="AO73" s="396"/>
      <c r="AP73" s="396"/>
      <c r="AQ73" s="396"/>
      <c r="AR73" s="396"/>
      <c r="AS73" s="396"/>
      <c r="AT73" s="490"/>
      <c r="AU73" s="387"/>
      <c r="AY73" s="387"/>
      <c r="AZ73" s="489">
        <f>ROUND(ROUND(Q72*AR74,0)*$AT$16,0)</f>
        <v>104</v>
      </c>
      <c r="BA73" s="393"/>
    </row>
    <row r="74" spans="1:53" ht="16.5" customHeight="1" x14ac:dyDescent="0.15">
      <c r="A74" s="340">
        <v>12</v>
      </c>
      <c r="B74" s="341">
        <v>7944</v>
      </c>
      <c r="C74" s="390" t="s">
        <v>16948</v>
      </c>
      <c r="D74" s="403"/>
      <c r="E74" s="404"/>
      <c r="F74" s="404"/>
      <c r="G74" s="404"/>
      <c r="H74" s="406"/>
      <c r="Q74" s="395"/>
      <c r="R74" s="151"/>
      <c r="S74" s="151"/>
      <c r="U74" s="387"/>
      <c r="V74" s="343" t="s">
        <v>15625</v>
      </c>
      <c r="W74" s="325"/>
      <c r="X74" s="325"/>
      <c r="Y74" s="325"/>
      <c r="Z74" s="325"/>
      <c r="AA74" s="325"/>
      <c r="AB74" s="325"/>
      <c r="AC74" s="325"/>
      <c r="AD74" s="325"/>
      <c r="AE74" s="325"/>
      <c r="AF74" s="325"/>
      <c r="AG74" s="325"/>
      <c r="AH74" s="325"/>
      <c r="AI74" s="391" t="s">
        <v>15626</v>
      </c>
      <c r="AJ74" s="838">
        <f>AJ72</f>
        <v>1</v>
      </c>
      <c r="AK74" s="843"/>
      <c r="AL74" s="324" t="s">
        <v>15630</v>
      </c>
      <c r="AM74" s="325"/>
      <c r="AN74" s="325"/>
      <c r="AO74" s="325"/>
      <c r="AP74" s="325"/>
      <c r="AQ74" s="190" t="s">
        <v>398</v>
      </c>
      <c r="AR74" s="844">
        <f>AR70</f>
        <v>0.85</v>
      </c>
      <c r="AS74" s="844"/>
      <c r="AT74" s="501"/>
      <c r="AU74" s="502"/>
      <c r="AY74" s="387"/>
      <c r="AZ74" s="489">
        <f>ROUND(ROUND(ROUND(Q72*AJ74,0)*AR74,0)*$AT$16,0)</f>
        <v>104</v>
      </c>
      <c r="BA74" s="393"/>
    </row>
    <row r="75" spans="1:53" ht="17.100000000000001" customHeight="1" x14ac:dyDescent="0.15">
      <c r="A75" s="340">
        <v>12</v>
      </c>
      <c r="B75" s="341">
        <v>7945</v>
      </c>
      <c r="C75" s="390" t="s">
        <v>16949</v>
      </c>
      <c r="D75" s="403"/>
      <c r="E75" s="404"/>
      <c r="F75" s="404"/>
      <c r="G75" s="404"/>
      <c r="H75" s="406"/>
      <c r="I75" s="10"/>
      <c r="L75" s="151"/>
      <c r="M75" s="151"/>
      <c r="N75" s="151"/>
      <c r="U75" s="387"/>
      <c r="V75" s="343"/>
      <c r="W75" s="343"/>
      <c r="X75" s="343"/>
      <c r="Y75" s="343"/>
      <c r="Z75" s="343"/>
      <c r="AA75" s="343"/>
      <c r="AB75" s="343"/>
      <c r="AC75" s="343"/>
      <c r="AD75" s="343"/>
      <c r="AE75" s="343"/>
      <c r="AF75" s="343"/>
      <c r="AG75" s="343"/>
      <c r="AH75" s="343"/>
      <c r="AI75" s="343"/>
      <c r="AJ75" s="401"/>
      <c r="AK75" s="402"/>
      <c r="AL75" s="396"/>
      <c r="AM75" s="396"/>
      <c r="AN75" s="396"/>
      <c r="AO75" s="396"/>
      <c r="AP75" s="396"/>
      <c r="AQ75" s="396"/>
      <c r="AR75" s="396"/>
      <c r="AS75" s="396"/>
      <c r="AT75" s="490"/>
      <c r="AU75" s="387"/>
      <c r="AV75" s="858" t="s">
        <v>16296</v>
      </c>
      <c r="AW75" s="858"/>
      <c r="AX75" s="858"/>
      <c r="AY75" s="860"/>
      <c r="AZ75" s="489">
        <f>ROUND(ROUND(Q72*$AT$16,0)*AV78,0)</f>
        <v>98</v>
      </c>
      <c r="BA75" s="393"/>
    </row>
    <row r="76" spans="1:53" ht="16.5" customHeight="1" x14ac:dyDescent="0.15">
      <c r="A76" s="340">
        <v>12</v>
      </c>
      <c r="B76" s="341">
        <v>7946</v>
      </c>
      <c r="C76" s="390" t="s">
        <v>16950</v>
      </c>
      <c r="D76" s="403"/>
      <c r="E76" s="404"/>
      <c r="F76" s="404"/>
      <c r="G76" s="404"/>
      <c r="H76" s="406"/>
      <c r="Q76" s="899"/>
      <c r="R76" s="899"/>
      <c r="S76" s="899"/>
      <c r="U76" s="387"/>
      <c r="V76" s="343" t="s">
        <v>15625</v>
      </c>
      <c r="W76" s="325"/>
      <c r="X76" s="325"/>
      <c r="Y76" s="325"/>
      <c r="Z76" s="325"/>
      <c r="AA76" s="325"/>
      <c r="AB76" s="325"/>
      <c r="AC76" s="325"/>
      <c r="AD76" s="325"/>
      <c r="AE76" s="325"/>
      <c r="AF76" s="325"/>
      <c r="AG76" s="325"/>
      <c r="AH76" s="325"/>
      <c r="AI76" s="391" t="s">
        <v>15626</v>
      </c>
      <c r="AJ76" s="838">
        <f>AJ74</f>
        <v>1</v>
      </c>
      <c r="AK76" s="839"/>
      <c r="AL76" s="325"/>
      <c r="AM76" s="325"/>
      <c r="AN76" s="325"/>
      <c r="AO76" s="325"/>
      <c r="AP76" s="325"/>
      <c r="AQ76" s="325"/>
      <c r="AR76" s="325"/>
      <c r="AS76" s="391"/>
      <c r="AT76" s="503"/>
      <c r="AU76" s="504"/>
      <c r="AV76" s="850"/>
      <c r="AW76" s="850"/>
      <c r="AX76" s="850"/>
      <c r="AY76" s="852"/>
      <c r="AZ76" s="489">
        <f>ROUND(ROUND(ROUND(Q72*AJ76,0)*$AT$16,0)*AV78,0)</f>
        <v>98</v>
      </c>
      <c r="BA76" s="393"/>
    </row>
    <row r="77" spans="1:53" ht="16.5" customHeight="1" x14ac:dyDescent="0.15">
      <c r="A77" s="340">
        <v>12</v>
      </c>
      <c r="B77" s="341">
        <v>7947</v>
      </c>
      <c r="C77" s="390" t="s">
        <v>16951</v>
      </c>
      <c r="D77" s="403"/>
      <c r="E77" s="404"/>
      <c r="F77" s="404"/>
      <c r="G77" s="404"/>
      <c r="H77" s="406"/>
      <c r="Q77" s="395"/>
      <c r="R77" s="151"/>
      <c r="S77" s="151"/>
      <c r="U77" s="387"/>
      <c r="V77" s="343"/>
      <c r="W77" s="343"/>
      <c r="X77" s="343"/>
      <c r="Y77" s="343"/>
      <c r="Z77" s="343"/>
      <c r="AA77" s="343"/>
      <c r="AB77" s="343"/>
      <c r="AC77" s="343"/>
      <c r="AD77" s="343"/>
      <c r="AE77" s="343"/>
      <c r="AF77" s="343"/>
      <c r="AG77" s="343"/>
      <c r="AH77" s="343"/>
      <c r="AI77" s="343"/>
      <c r="AJ77" s="343"/>
      <c r="AK77" s="343"/>
      <c r="AL77" s="114" t="s">
        <v>15628</v>
      </c>
      <c r="AM77" s="396"/>
      <c r="AN77" s="396"/>
      <c r="AO77" s="396"/>
      <c r="AP77" s="396"/>
      <c r="AQ77" s="396"/>
      <c r="AR77" s="396"/>
      <c r="AS77" s="396"/>
      <c r="AT77" s="490"/>
      <c r="AU77" s="387"/>
      <c r="AV77" s="902" t="s">
        <v>15636</v>
      </c>
      <c r="AW77" s="902"/>
      <c r="AX77" s="902"/>
      <c r="AY77" s="903"/>
      <c r="AZ77" s="489">
        <f>ROUND(ROUND(ROUND(Q72*AR78,0)*$AT$16,0)*AV78,0)</f>
        <v>83</v>
      </c>
      <c r="BA77" s="393"/>
    </row>
    <row r="78" spans="1:53" ht="16.5" customHeight="1" x14ac:dyDescent="0.15">
      <c r="A78" s="340">
        <v>12</v>
      </c>
      <c r="B78" s="341">
        <v>7948</v>
      </c>
      <c r="C78" s="390" t="s">
        <v>16952</v>
      </c>
      <c r="D78" s="403"/>
      <c r="E78" s="404"/>
      <c r="F78" s="404"/>
      <c r="G78" s="404"/>
      <c r="H78" s="406"/>
      <c r="Q78" s="395"/>
      <c r="R78" s="151"/>
      <c r="S78" s="151"/>
      <c r="U78" s="387"/>
      <c r="V78" s="343" t="s">
        <v>15625</v>
      </c>
      <c r="W78" s="325"/>
      <c r="X78" s="325"/>
      <c r="Y78" s="325"/>
      <c r="Z78" s="325"/>
      <c r="AA78" s="325"/>
      <c r="AB78" s="325"/>
      <c r="AC78" s="325"/>
      <c r="AD78" s="325"/>
      <c r="AE78" s="325"/>
      <c r="AF78" s="325"/>
      <c r="AG78" s="325"/>
      <c r="AH78" s="325"/>
      <c r="AI78" s="391" t="s">
        <v>15626</v>
      </c>
      <c r="AJ78" s="838">
        <f>AJ76</f>
        <v>1</v>
      </c>
      <c r="AK78" s="843"/>
      <c r="AL78" s="324" t="s">
        <v>15630</v>
      </c>
      <c r="AM78" s="325"/>
      <c r="AN78" s="325"/>
      <c r="AO78" s="325"/>
      <c r="AP78" s="325"/>
      <c r="AQ78" s="190" t="s">
        <v>398</v>
      </c>
      <c r="AR78" s="844">
        <f>AR74</f>
        <v>0.85</v>
      </c>
      <c r="AS78" s="844"/>
      <c r="AT78" s="501"/>
      <c r="AU78" s="502"/>
      <c r="AV78" s="844">
        <f>AV70</f>
        <v>0.8</v>
      </c>
      <c r="AW78" s="844"/>
      <c r="AX78" s="844"/>
      <c r="AY78" s="845"/>
      <c r="AZ78" s="489">
        <f>ROUND(ROUND(ROUND(ROUND(Q72*AJ78,0)*AR78,0)*$AT$16,0)*AV78,0)</f>
        <v>83</v>
      </c>
      <c r="BA78" s="393"/>
    </row>
    <row r="79" spans="1:53" ht="17.100000000000001" customHeight="1" x14ac:dyDescent="0.15">
      <c r="A79" s="340">
        <v>12</v>
      </c>
      <c r="B79" s="341">
        <v>7949</v>
      </c>
      <c r="C79" s="390" t="s">
        <v>16953</v>
      </c>
      <c r="D79" s="403"/>
      <c r="E79" s="404"/>
      <c r="F79" s="404"/>
      <c r="G79" s="404"/>
      <c r="H79" s="406"/>
      <c r="I79" s="908" t="s">
        <v>16372</v>
      </c>
      <c r="J79" s="909"/>
      <c r="K79" s="909"/>
      <c r="L79" s="909"/>
      <c r="M79" s="909"/>
      <c r="N79" s="909"/>
      <c r="O79" s="909"/>
      <c r="P79" s="909"/>
      <c r="Q79" s="909"/>
      <c r="R79" s="909"/>
      <c r="S79" s="909"/>
      <c r="T79" s="909"/>
      <c r="U79" s="910"/>
      <c r="V79" s="343"/>
      <c r="W79" s="343"/>
      <c r="X79" s="343"/>
      <c r="Y79" s="343"/>
      <c r="Z79" s="343"/>
      <c r="AA79" s="343"/>
      <c r="AB79" s="343"/>
      <c r="AC79" s="343"/>
      <c r="AD79" s="343"/>
      <c r="AE79" s="343"/>
      <c r="AF79" s="343"/>
      <c r="AG79" s="343"/>
      <c r="AH79" s="343"/>
      <c r="AI79" s="343"/>
      <c r="AJ79" s="401"/>
      <c r="AK79" s="402"/>
      <c r="AL79" s="396"/>
      <c r="AM79" s="396"/>
      <c r="AN79" s="396"/>
      <c r="AO79" s="396"/>
      <c r="AP79" s="396"/>
      <c r="AQ79" s="396"/>
      <c r="AR79" s="396"/>
      <c r="AS79" s="396"/>
      <c r="AT79" s="490"/>
      <c r="AU79" s="387"/>
      <c r="AV79" s="400"/>
      <c r="AW79" s="400"/>
      <c r="AX79" s="396"/>
      <c r="AY79" s="397"/>
      <c r="AZ79" s="489">
        <f>ROUND(Q80*$AT$16,0)</f>
        <v>115</v>
      </c>
      <c r="BA79" s="393"/>
    </row>
    <row r="80" spans="1:53" ht="16.5" customHeight="1" x14ac:dyDescent="0.15">
      <c r="A80" s="340">
        <v>12</v>
      </c>
      <c r="B80" s="341">
        <v>7950</v>
      </c>
      <c r="C80" s="390" t="s">
        <v>16954</v>
      </c>
      <c r="D80" s="403"/>
      <c r="E80" s="404"/>
      <c r="F80" s="404"/>
      <c r="G80" s="404"/>
      <c r="H80" s="406"/>
      <c r="Q80" s="836">
        <f>ROUND(Q272*$F$13,0)</f>
        <v>92</v>
      </c>
      <c r="R80" s="911"/>
      <c r="S80" s="911"/>
      <c r="T80" s="152" t="s">
        <v>15624</v>
      </c>
      <c r="U80" s="387"/>
      <c r="V80" s="343" t="s">
        <v>15625</v>
      </c>
      <c r="W80" s="325"/>
      <c r="X80" s="325"/>
      <c r="Y80" s="325"/>
      <c r="Z80" s="325"/>
      <c r="AA80" s="325"/>
      <c r="AB80" s="325"/>
      <c r="AC80" s="325"/>
      <c r="AD80" s="325"/>
      <c r="AE80" s="325"/>
      <c r="AF80" s="325"/>
      <c r="AG80" s="325"/>
      <c r="AH80" s="325"/>
      <c r="AI80" s="391" t="s">
        <v>15626</v>
      </c>
      <c r="AJ80" s="838">
        <f>AJ78</f>
        <v>1</v>
      </c>
      <c r="AK80" s="839"/>
      <c r="AL80" s="325"/>
      <c r="AM80" s="325"/>
      <c r="AN80" s="325"/>
      <c r="AO80" s="325"/>
      <c r="AP80" s="325"/>
      <c r="AQ80" s="325"/>
      <c r="AR80" s="325"/>
      <c r="AS80" s="391"/>
      <c r="AT80" s="503"/>
      <c r="AU80" s="504"/>
      <c r="AY80" s="387"/>
      <c r="AZ80" s="489">
        <f>ROUND(ROUND(Q80*AJ80,0)*$AT$16,0)</f>
        <v>115</v>
      </c>
      <c r="BA80" s="393"/>
    </row>
    <row r="81" spans="1:53" ht="16.5" customHeight="1" x14ac:dyDescent="0.15">
      <c r="A81" s="340">
        <v>12</v>
      </c>
      <c r="B81" s="341">
        <v>7951</v>
      </c>
      <c r="C81" s="390" t="s">
        <v>16955</v>
      </c>
      <c r="D81" s="403"/>
      <c r="E81" s="404"/>
      <c r="F81" s="404"/>
      <c r="G81" s="404"/>
      <c r="H81" s="406"/>
      <c r="Q81" s="395"/>
      <c r="R81" s="151"/>
      <c r="S81" s="151"/>
      <c r="U81" s="387"/>
      <c r="V81" s="343"/>
      <c r="W81" s="343"/>
      <c r="X81" s="343"/>
      <c r="Y81" s="343"/>
      <c r="Z81" s="343"/>
      <c r="AA81" s="343"/>
      <c r="AB81" s="343"/>
      <c r="AC81" s="343"/>
      <c r="AD81" s="343"/>
      <c r="AE81" s="343"/>
      <c r="AF81" s="343"/>
      <c r="AG81" s="343"/>
      <c r="AH81" s="343"/>
      <c r="AI81" s="343"/>
      <c r="AJ81" s="343"/>
      <c r="AK81" s="343"/>
      <c r="AL81" s="114" t="s">
        <v>15628</v>
      </c>
      <c r="AM81" s="396"/>
      <c r="AN81" s="396"/>
      <c r="AO81" s="396"/>
      <c r="AP81" s="396"/>
      <c r="AQ81" s="396"/>
      <c r="AR81" s="396"/>
      <c r="AS81" s="396"/>
      <c r="AT81" s="490"/>
      <c r="AU81" s="387"/>
      <c r="AY81" s="387"/>
      <c r="AZ81" s="489">
        <f>ROUND(ROUND(Q80*AR82,0)*$AT$16,0)</f>
        <v>98</v>
      </c>
      <c r="BA81" s="393"/>
    </row>
    <row r="82" spans="1:53" ht="16.5" customHeight="1" x14ac:dyDescent="0.15">
      <c r="A82" s="340">
        <v>12</v>
      </c>
      <c r="B82" s="341">
        <v>7952</v>
      </c>
      <c r="C82" s="390" t="s">
        <v>16956</v>
      </c>
      <c r="D82" s="403"/>
      <c r="E82" s="404"/>
      <c r="F82" s="404"/>
      <c r="G82" s="404"/>
      <c r="H82" s="406"/>
      <c r="Q82" s="395"/>
      <c r="R82" s="151"/>
      <c r="S82" s="151"/>
      <c r="U82" s="387"/>
      <c r="V82" s="343" t="s">
        <v>15625</v>
      </c>
      <c r="W82" s="325"/>
      <c r="X82" s="325"/>
      <c r="Y82" s="325"/>
      <c r="Z82" s="325"/>
      <c r="AA82" s="325"/>
      <c r="AB82" s="325"/>
      <c r="AC82" s="325"/>
      <c r="AD82" s="325"/>
      <c r="AE82" s="325"/>
      <c r="AF82" s="325"/>
      <c r="AG82" s="325"/>
      <c r="AH82" s="325"/>
      <c r="AI82" s="391" t="s">
        <v>15626</v>
      </c>
      <c r="AJ82" s="838">
        <f>AJ80</f>
        <v>1</v>
      </c>
      <c r="AK82" s="843"/>
      <c r="AL82" s="324" t="s">
        <v>15630</v>
      </c>
      <c r="AM82" s="325"/>
      <c r="AN82" s="325"/>
      <c r="AO82" s="325"/>
      <c r="AP82" s="325"/>
      <c r="AQ82" s="190" t="s">
        <v>398</v>
      </c>
      <c r="AR82" s="844">
        <f>AR78</f>
        <v>0.85</v>
      </c>
      <c r="AS82" s="844"/>
      <c r="AT82" s="501"/>
      <c r="AU82" s="502"/>
      <c r="AY82" s="387"/>
      <c r="AZ82" s="489">
        <f>ROUND(ROUND(ROUND(Q80*AJ82,0)*AR82,0)*$AT$16,0)</f>
        <v>98</v>
      </c>
      <c r="BA82" s="393"/>
    </row>
    <row r="83" spans="1:53" ht="17.100000000000001" customHeight="1" x14ac:dyDescent="0.15">
      <c r="A83" s="340">
        <v>12</v>
      </c>
      <c r="B83" s="341">
        <v>7953</v>
      </c>
      <c r="C83" s="390" t="s">
        <v>16957</v>
      </c>
      <c r="D83" s="403"/>
      <c r="E83" s="404"/>
      <c r="F83" s="404"/>
      <c r="G83" s="404"/>
      <c r="H83" s="406"/>
      <c r="I83" s="10"/>
      <c r="L83" s="151"/>
      <c r="M83" s="151"/>
      <c r="N83" s="151"/>
      <c r="U83" s="387"/>
      <c r="V83" s="343"/>
      <c r="W83" s="343"/>
      <c r="X83" s="343"/>
      <c r="Y83" s="343"/>
      <c r="Z83" s="343"/>
      <c r="AA83" s="343"/>
      <c r="AB83" s="343"/>
      <c r="AC83" s="343"/>
      <c r="AD83" s="343"/>
      <c r="AE83" s="343"/>
      <c r="AF83" s="343"/>
      <c r="AG83" s="343"/>
      <c r="AH83" s="343"/>
      <c r="AI83" s="343"/>
      <c r="AJ83" s="401"/>
      <c r="AK83" s="402"/>
      <c r="AL83" s="396"/>
      <c r="AM83" s="396"/>
      <c r="AN83" s="396"/>
      <c r="AO83" s="396"/>
      <c r="AP83" s="396"/>
      <c r="AQ83" s="396"/>
      <c r="AR83" s="396"/>
      <c r="AS83" s="396"/>
      <c r="AT83" s="490"/>
      <c r="AU83" s="387"/>
      <c r="AV83" s="858" t="s">
        <v>16296</v>
      </c>
      <c r="AW83" s="858"/>
      <c r="AX83" s="858"/>
      <c r="AY83" s="860"/>
      <c r="AZ83" s="489">
        <f>ROUND(ROUND(Q80*$AT$16,0)*AV86,0)</f>
        <v>92</v>
      </c>
      <c r="BA83" s="393"/>
    </row>
    <row r="84" spans="1:53" ht="16.5" customHeight="1" x14ac:dyDescent="0.15">
      <c r="A84" s="340">
        <v>12</v>
      </c>
      <c r="B84" s="341">
        <v>7954</v>
      </c>
      <c r="C84" s="390" t="s">
        <v>16958</v>
      </c>
      <c r="D84" s="403"/>
      <c r="E84" s="404"/>
      <c r="F84" s="404"/>
      <c r="G84" s="404"/>
      <c r="H84" s="406"/>
      <c r="Q84" s="899"/>
      <c r="R84" s="899"/>
      <c r="S84" s="899"/>
      <c r="U84" s="387"/>
      <c r="V84" s="343" t="s">
        <v>15625</v>
      </c>
      <c r="W84" s="325"/>
      <c r="X84" s="325"/>
      <c r="Y84" s="325"/>
      <c r="Z84" s="325"/>
      <c r="AA84" s="325"/>
      <c r="AB84" s="325"/>
      <c r="AC84" s="325"/>
      <c r="AD84" s="325"/>
      <c r="AE84" s="325"/>
      <c r="AF84" s="325"/>
      <c r="AG84" s="325"/>
      <c r="AH84" s="325"/>
      <c r="AI84" s="391" t="s">
        <v>15626</v>
      </c>
      <c r="AJ84" s="838">
        <f>AJ82</f>
        <v>1</v>
      </c>
      <c r="AK84" s="839"/>
      <c r="AL84" s="325"/>
      <c r="AM84" s="325"/>
      <c r="AN84" s="325"/>
      <c r="AO84" s="325"/>
      <c r="AP84" s="325"/>
      <c r="AQ84" s="325"/>
      <c r="AR84" s="325"/>
      <c r="AS84" s="391"/>
      <c r="AT84" s="503"/>
      <c r="AU84" s="504"/>
      <c r="AV84" s="850"/>
      <c r="AW84" s="850"/>
      <c r="AX84" s="850"/>
      <c r="AY84" s="852"/>
      <c r="AZ84" s="489">
        <f>ROUND(ROUND(ROUND(Q80*AJ84,0)*$AT$16,0)*AV86,0)</f>
        <v>92</v>
      </c>
      <c r="BA84" s="393"/>
    </row>
    <row r="85" spans="1:53" ht="16.5" customHeight="1" x14ac:dyDescent="0.15">
      <c r="A85" s="340">
        <v>12</v>
      </c>
      <c r="B85" s="341">
        <v>7955</v>
      </c>
      <c r="C85" s="390" t="s">
        <v>16959</v>
      </c>
      <c r="D85" s="403"/>
      <c r="E85" s="404"/>
      <c r="F85" s="404"/>
      <c r="G85" s="404"/>
      <c r="H85" s="406"/>
      <c r="Q85" s="395"/>
      <c r="R85" s="151"/>
      <c r="S85" s="151"/>
      <c r="U85" s="387"/>
      <c r="V85" s="343"/>
      <c r="W85" s="343"/>
      <c r="X85" s="343"/>
      <c r="Y85" s="343"/>
      <c r="Z85" s="343"/>
      <c r="AA85" s="343"/>
      <c r="AB85" s="343"/>
      <c r="AC85" s="343"/>
      <c r="AD85" s="343"/>
      <c r="AE85" s="343"/>
      <c r="AF85" s="343"/>
      <c r="AG85" s="343"/>
      <c r="AH85" s="343"/>
      <c r="AI85" s="343"/>
      <c r="AJ85" s="343"/>
      <c r="AK85" s="343"/>
      <c r="AL85" s="114" t="s">
        <v>15628</v>
      </c>
      <c r="AM85" s="396"/>
      <c r="AN85" s="396"/>
      <c r="AO85" s="396"/>
      <c r="AP85" s="396"/>
      <c r="AQ85" s="396"/>
      <c r="AR85" s="396"/>
      <c r="AS85" s="396"/>
      <c r="AT85" s="490"/>
      <c r="AU85" s="387"/>
      <c r="AV85" s="902" t="s">
        <v>15636</v>
      </c>
      <c r="AW85" s="902"/>
      <c r="AX85" s="902"/>
      <c r="AY85" s="903"/>
      <c r="AZ85" s="489">
        <f>ROUND(ROUND(ROUND(Q80*AR86,0)*$AT$16,0)*AV86,0)</f>
        <v>78</v>
      </c>
      <c r="BA85" s="393"/>
    </row>
    <row r="86" spans="1:53" ht="16.5" customHeight="1" x14ac:dyDescent="0.15">
      <c r="A86" s="340">
        <v>12</v>
      </c>
      <c r="B86" s="341">
        <v>7956</v>
      </c>
      <c r="C86" s="390" t="s">
        <v>16960</v>
      </c>
      <c r="D86" s="419"/>
      <c r="E86" s="420"/>
      <c r="F86" s="420"/>
      <c r="G86" s="420"/>
      <c r="H86" s="422"/>
      <c r="I86" s="325"/>
      <c r="J86" s="325"/>
      <c r="K86" s="325"/>
      <c r="L86" s="325"/>
      <c r="M86" s="325"/>
      <c r="N86" s="325"/>
      <c r="O86" s="325"/>
      <c r="P86" s="325"/>
      <c r="Q86" s="416"/>
      <c r="R86" s="417"/>
      <c r="S86" s="417"/>
      <c r="T86" s="325"/>
      <c r="U86" s="388"/>
      <c r="V86" s="343" t="s">
        <v>15625</v>
      </c>
      <c r="W86" s="325"/>
      <c r="X86" s="325"/>
      <c r="Y86" s="325"/>
      <c r="Z86" s="325"/>
      <c r="AA86" s="325"/>
      <c r="AB86" s="325"/>
      <c r="AC86" s="325"/>
      <c r="AD86" s="325"/>
      <c r="AE86" s="325"/>
      <c r="AF86" s="325"/>
      <c r="AG86" s="325"/>
      <c r="AH86" s="325"/>
      <c r="AI86" s="391" t="s">
        <v>15626</v>
      </c>
      <c r="AJ86" s="838">
        <f>AJ84</f>
        <v>1</v>
      </c>
      <c r="AK86" s="843"/>
      <c r="AL86" s="324" t="s">
        <v>15630</v>
      </c>
      <c r="AM86" s="325"/>
      <c r="AN86" s="325"/>
      <c r="AO86" s="325"/>
      <c r="AP86" s="325"/>
      <c r="AQ86" s="190" t="s">
        <v>398</v>
      </c>
      <c r="AR86" s="844">
        <f>AR82</f>
        <v>0.85</v>
      </c>
      <c r="AS86" s="844"/>
      <c r="AT86" s="505"/>
      <c r="AU86" s="506"/>
      <c r="AV86" s="844">
        <f>AV78</f>
        <v>0.8</v>
      </c>
      <c r="AW86" s="844"/>
      <c r="AX86" s="844"/>
      <c r="AY86" s="845"/>
      <c r="AZ86" s="491">
        <f>ROUND(ROUND(ROUND(ROUND(Q80*AJ86,0)*AR86,0)*$AT$16,0)*AV86,0)</f>
        <v>78</v>
      </c>
      <c r="BA86" s="418"/>
    </row>
    <row r="87" spans="1:53" ht="17.100000000000001" customHeight="1" x14ac:dyDescent="0.15">
      <c r="A87" s="340">
        <v>12</v>
      </c>
      <c r="B87" s="341">
        <v>7957</v>
      </c>
      <c r="C87" s="390" t="s">
        <v>16961</v>
      </c>
      <c r="D87" s="857" t="s">
        <v>15620</v>
      </c>
      <c r="E87" s="858"/>
      <c r="F87" s="858"/>
      <c r="G87" s="858"/>
      <c r="H87" s="860"/>
      <c r="I87" s="908" t="s">
        <v>16381</v>
      </c>
      <c r="J87" s="909"/>
      <c r="K87" s="909"/>
      <c r="L87" s="909"/>
      <c r="M87" s="909"/>
      <c r="N87" s="909"/>
      <c r="O87" s="909"/>
      <c r="P87" s="909"/>
      <c r="Q87" s="909"/>
      <c r="R87" s="909"/>
      <c r="S87" s="909"/>
      <c r="T87" s="909"/>
      <c r="U87" s="910"/>
      <c r="V87" s="343"/>
      <c r="W87" s="343"/>
      <c r="X87" s="343"/>
      <c r="Y87" s="343"/>
      <c r="Z87" s="343"/>
      <c r="AA87" s="343"/>
      <c r="AB87" s="343"/>
      <c r="AC87" s="343"/>
      <c r="AD87" s="343"/>
      <c r="AE87" s="343"/>
      <c r="AF87" s="343"/>
      <c r="AG87" s="343"/>
      <c r="AH87" s="343"/>
      <c r="AI87" s="343"/>
      <c r="AJ87" s="401"/>
      <c r="AK87" s="402"/>
      <c r="AL87" s="396"/>
      <c r="AM87" s="396"/>
      <c r="AN87" s="396"/>
      <c r="AO87" s="396"/>
      <c r="AP87" s="396"/>
      <c r="AQ87" s="396"/>
      <c r="AR87" s="396"/>
      <c r="AS87" s="396"/>
      <c r="AT87" s="920" t="s">
        <v>743</v>
      </c>
      <c r="AU87" s="917"/>
      <c r="AV87" s="400"/>
      <c r="AW87" s="400"/>
      <c r="AX87" s="396"/>
      <c r="AY87" s="397"/>
      <c r="AZ87" s="489">
        <f>ROUND(Q88*$AT$96,0)</f>
        <v>124</v>
      </c>
      <c r="BA87" s="329" t="s">
        <v>15622</v>
      </c>
    </row>
    <row r="88" spans="1:53" ht="16.5" customHeight="1" x14ac:dyDescent="0.15">
      <c r="A88" s="340">
        <v>12</v>
      </c>
      <c r="B88" s="341">
        <v>7958</v>
      </c>
      <c r="C88" s="390" t="s">
        <v>16962</v>
      </c>
      <c r="D88" s="849"/>
      <c r="E88" s="850"/>
      <c r="F88" s="850"/>
      <c r="G88" s="850"/>
      <c r="H88" s="852"/>
      <c r="Q88" s="836">
        <f>ROUND(Q280*$F$93,0)</f>
        <v>99</v>
      </c>
      <c r="R88" s="911"/>
      <c r="S88" s="911"/>
      <c r="T88" s="152" t="s">
        <v>15624</v>
      </c>
      <c r="U88" s="387"/>
      <c r="V88" s="343" t="s">
        <v>15625</v>
      </c>
      <c r="W88" s="325"/>
      <c r="X88" s="325"/>
      <c r="Y88" s="325"/>
      <c r="Z88" s="325"/>
      <c r="AA88" s="325"/>
      <c r="AB88" s="325"/>
      <c r="AC88" s="325"/>
      <c r="AD88" s="325"/>
      <c r="AE88" s="325"/>
      <c r="AF88" s="325"/>
      <c r="AG88" s="325"/>
      <c r="AH88" s="325"/>
      <c r="AI88" s="391" t="s">
        <v>15626</v>
      </c>
      <c r="AJ88" s="838">
        <f>AJ86</f>
        <v>1</v>
      </c>
      <c r="AK88" s="839"/>
      <c r="AL88" s="325"/>
      <c r="AM88" s="325"/>
      <c r="AN88" s="325"/>
      <c r="AO88" s="325"/>
      <c r="AP88" s="325"/>
      <c r="AQ88" s="325"/>
      <c r="AR88" s="325"/>
      <c r="AS88" s="391"/>
      <c r="AT88" s="912"/>
      <c r="AU88" s="913"/>
      <c r="AY88" s="387"/>
      <c r="AZ88" s="489">
        <f>ROUND(ROUND(Q88*AJ88,0)*$AT$96,0)</f>
        <v>124</v>
      </c>
      <c r="BA88" s="393"/>
    </row>
    <row r="89" spans="1:53" ht="16.5" customHeight="1" x14ac:dyDescent="0.15">
      <c r="A89" s="340">
        <v>12</v>
      </c>
      <c r="B89" s="341">
        <v>7959</v>
      </c>
      <c r="C89" s="390" t="s">
        <v>16963</v>
      </c>
      <c r="D89" s="849"/>
      <c r="E89" s="850"/>
      <c r="F89" s="850"/>
      <c r="G89" s="850"/>
      <c r="H89" s="852"/>
      <c r="Q89" s="395"/>
      <c r="R89" s="151"/>
      <c r="S89" s="151"/>
      <c r="U89" s="387"/>
      <c r="V89" s="343"/>
      <c r="W89" s="343"/>
      <c r="X89" s="343"/>
      <c r="Y89" s="343"/>
      <c r="Z89" s="343"/>
      <c r="AA89" s="343"/>
      <c r="AB89" s="343"/>
      <c r="AC89" s="343"/>
      <c r="AD89" s="343"/>
      <c r="AE89" s="343"/>
      <c r="AF89" s="343"/>
      <c r="AG89" s="343"/>
      <c r="AH89" s="343"/>
      <c r="AI89" s="343"/>
      <c r="AJ89" s="343"/>
      <c r="AK89" s="343"/>
      <c r="AL89" s="114" t="s">
        <v>15628</v>
      </c>
      <c r="AM89" s="396"/>
      <c r="AN89" s="396"/>
      <c r="AO89" s="396"/>
      <c r="AP89" s="396"/>
      <c r="AQ89" s="396"/>
      <c r="AR89" s="396"/>
      <c r="AS89" s="396"/>
      <c r="AT89" s="912"/>
      <c r="AU89" s="913"/>
      <c r="AY89" s="387"/>
      <c r="AZ89" s="489">
        <f>ROUND(ROUND(Q88*AR90,0)*$AT$96,0)</f>
        <v>105</v>
      </c>
      <c r="BA89" s="393"/>
    </row>
    <row r="90" spans="1:53" ht="16.5" customHeight="1" x14ac:dyDescent="0.15">
      <c r="A90" s="340">
        <v>12</v>
      </c>
      <c r="B90" s="341">
        <v>7960</v>
      </c>
      <c r="C90" s="390" t="s">
        <v>16964</v>
      </c>
      <c r="D90" s="849"/>
      <c r="E90" s="850"/>
      <c r="F90" s="850"/>
      <c r="G90" s="850"/>
      <c r="H90" s="852"/>
      <c r="Q90" s="395"/>
      <c r="R90" s="151"/>
      <c r="S90" s="151"/>
      <c r="U90" s="387"/>
      <c r="V90" s="343" t="s">
        <v>15625</v>
      </c>
      <c r="W90" s="325"/>
      <c r="X90" s="325"/>
      <c r="Y90" s="325"/>
      <c r="Z90" s="325"/>
      <c r="AA90" s="325"/>
      <c r="AB90" s="325"/>
      <c r="AC90" s="325"/>
      <c r="AD90" s="325"/>
      <c r="AE90" s="325"/>
      <c r="AF90" s="325"/>
      <c r="AG90" s="325"/>
      <c r="AH90" s="325"/>
      <c r="AI90" s="391" t="s">
        <v>15626</v>
      </c>
      <c r="AJ90" s="838">
        <f>AJ88</f>
        <v>1</v>
      </c>
      <c r="AK90" s="843"/>
      <c r="AL90" s="324" t="s">
        <v>15630</v>
      </c>
      <c r="AM90" s="325"/>
      <c r="AN90" s="325"/>
      <c r="AO90" s="325"/>
      <c r="AP90" s="325"/>
      <c r="AQ90" s="190" t="s">
        <v>398</v>
      </c>
      <c r="AR90" s="844">
        <f>AR86</f>
        <v>0.85</v>
      </c>
      <c r="AS90" s="844"/>
      <c r="AT90" s="912"/>
      <c r="AU90" s="913"/>
      <c r="AY90" s="387"/>
      <c r="AZ90" s="489">
        <f>ROUND(ROUND(ROUND(Q88*AJ90,0)*AR90,0)*$AT$96,0)</f>
        <v>105</v>
      </c>
      <c r="BA90" s="393"/>
    </row>
    <row r="91" spans="1:53" ht="17.100000000000001" customHeight="1" x14ac:dyDescent="0.15">
      <c r="A91" s="340">
        <v>12</v>
      </c>
      <c r="B91" s="341">
        <v>7961</v>
      </c>
      <c r="C91" s="390" t="s">
        <v>16965</v>
      </c>
      <c r="D91" s="832" t="s">
        <v>15632</v>
      </c>
      <c r="E91" s="833"/>
      <c r="F91" s="833"/>
      <c r="G91" s="833"/>
      <c r="H91" s="835"/>
      <c r="I91" s="10"/>
      <c r="L91" s="151"/>
      <c r="M91" s="151"/>
      <c r="N91" s="151"/>
      <c r="U91" s="387"/>
      <c r="V91" s="343"/>
      <c r="W91" s="343"/>
      <c r="X91" s="343"/>
      <c r="Y91" s="343"/>
      <c r="Z91" s="343"/>
      <c r="AA91" s="343"/>
      <c r="AB91" s="343"/>
      <c r="AC91" s="343"/>
      <c r="AD91" s="343"/>
      <c r="AE91" s="343"/>
      <c r="AF91" s="343"/>
      <c r="AG91" s="343"/>
      <c r="AH91" s="343"/>
      <c r="AI91" s="343"/>
      <c r="AJ91" s="401"/>
      <c r="AK91" s="402"/>
      <c r="AL91" s="396"/>
      <c r="AM91" s="396"/>
      <c r="AN91" s="396"/>
      <c r="AO91" s="396"/>
      <c r="AP91" s="396"/>
      <c r="AQ91" s="396"/>
      <c r="AR91" s="396"/>
      <c r="AS91" s="396"/>
      <c r="AT91" s="912"/>
      <c r="AU91" s="913"/>
      <c r="AV91" s="858" t="s">
        <v>16296</v>
      </c>
      <c r="AW91" s="858"/>
      <c r="AX91" s="858"/>
      <c r="AY91" s="860"/>
      <c r="AZ91" s="489">
        <f>ROUND(ROUND(Q88*$AT$96,0)*AV94,0)</f>
        <v>99</v>
      </c>
      <c r="BA91" s="393"/>
    </row>
    <row r="92" spans="1:53" ht="16.5" customHeight="1" x14ac:dyDescent="0.15">
      <c r="A92" s="340">
        <v>12</v>
      </c>
      <c r="B92" s="341">
        <v>7962</v>
      </c>
      <c r="C92" s="390" t="s">
        <v>16966</v>
      </c>
      <c r="D92" s="832"/>
      <c r="E92" s="833"/>
      <c r="F92" s="833"/>
      <c r="G92" s="833"/>
      <c r="H92" s="835"/>
      <c r="Q92" s="899"/>
      <c r="R92" s="899"/>
      <c r="S92" s="899"/>
      <c r="U92" s="387"/>
      <c r="V92" s="343" t="s">
        <v>15625</v>
      </c>
      <c r="W92" s="325"/>
      <c r="X92" s="325"/>
      <c r="Y92" s="325"/>
      <c r="Z92" s="325"/>
      <c r="AA92" s="325"/>
      <c r="AB92" s="325"/>
      <c r="AC92" s="325"/>
      <c r="AD92" s="325"/>
      <c r="AE92" s="325"/>
      <c r="AF92" s="325"/>
      <c r="AG92" s="325"/>
      <c r="AH92" s="325"/>
      <c r="AI92" s="391" t="s">
        <v>15626</v>
      </c>
      <c r="AJ92" s="838">
        <f>AJ90</f>
        <v>1</v>
      </c>
      <c r="AK92" s="839"/>
      <c r="AL92" s="325"/>
      <c r="AM92" s="325"/>
      <c r="AN92" s="325"/>
      <c r="AO92" s="325"/>
      <c r="AP92" s="325"/>
      <c r="AQ92" s="325"/>
      <c r="AR92" s="325"/>
      <c r="AS92" s="391"/>
      <c r="AT92" s="912"/>
      <c r="AU92" s="913"/>
      <c r="AV92" s="850"/>
      <c r="AW92" s="850"/>
      <c r="AX92" s="850"/>
      <c r="AY92" s="852"/>
      <c r="AZ92" s="489">
        <f>ROUND(ROUND(ROUND(Q88*AJ92,0)*$AT$96,0)*AV94,0)</f>
        <v>99</v>
      </c>
      <c r="BA92" s="393"/>
    </row>
    <row r="93" spans="1:53" ht="16.5" customHeight="1" x14ac:dyDescent="0.15">
      <c r="A93" s="340">
        <v>12</v>
      </c>
      <c r="B93" s="341">
        <v>7963</v>
      </c>
      <c r="C93" s="390" t="s">
        <v>16967</v>
      </c>
      <c r="D93" s="403"/>
      <c r="E93" s="404" t="s">
        <v>15636</v>
      </c>
      <c r="F93" s="840">
        <f>F13</f>
        <v>1.1499999999999999</v>
      </c>
      <c r="G93" s="841"/>
      <c r="H93" s="842"/>
      <c r="Q93" s="395"/>
      <c r="R93" s="151"/>
      <c r="S93" s="151"/>
      <c r="U93" s="387"/>
      <c r="V93" s="343"/>
      <c r="W93" s="343"/>
      <c r="X93" s="343"/>
      <c r="Y93" s="343"/>
      <c r="Z93" s="343"/>
      <c r="AA93" s="343"/>
      <c r="AB93" s="343"/>
      <c r="AC93" s="343"/>
      <c r="AD93" s="343"/>
      <c r="AE93" s="343"/>
      <c r="AF93" s="343"/>
      <c r="AG93" s="343"/>
      <c r="AH93" s="343"/>
      <c r="AI93" s="343"/>
      <c r="AJ93" s="343"/>
      <c r="AK93" s="343"/>
      <c r="AL93" s="114" t="s">
        <v>15628</v>
      </c>
      <c r="AM93" s="396"/>
      <c r="AN93" s="396"/>
      <c r="AO93" s="396"/>
      <c r="AP93" s="396"/>
      <c r="AQ93" s="396"/>
      <c r="AR93" s="396"/>
      <c r="AS93" s="396"/>
      <c r="AT93" s="912"/>
      <c r="AU93" s="913"/>
      <c r="AV93" s="902" t="s">
        <v>15636</v>
      </c>
      <c r="AW93" s="902"/>
      <c r="AX93" s="902"/>
      <c r="AY93" s="903"/>
      <c r="AZ93" s="489">
        <f>ROUND(ROUND(ROUND(Q88*AR94,0)*$AT$96,0)*AV94,0)</f>
        <v>84</v>
      </c>
      <c r="BA93" s="393"/>
    </row>
    <row r="94" spans="1:53" ht="16.5" customHeight="1" x14ac:dyDescent="0.15">
      <c r="A94" s="340">
        <v>12</v>
      </c>
      <c r="B94" s="341">
        <v>7964</v>
      </c>
      <c r="C94" s="390" t="s">
        <v>16968</v>
      </c>
      <c r="D94" s="403"/>
      <c r="E94" s="404"/>
      <c r="F94" s="404"/>
      <c r="G94" s="404"/>
      <c r="H94" s="406"/>
      <c r="Q94" s="395"/>
      <c r="R94" s="151"/>
      <c r="S94" s="151"/>
      <c r="U94" s="387"/>
      <c r="V94" s="343" t="s">
        <v>15625</v>
      </c>
      <c r="W94" s="325"/>
      <c r="X94" s="325"/>
      <c r="Y94" s="325"/>
      <c r="Z94" s="325"/>
      <c r="AA94" s="325"/>
      <c r="AB94" s="325"/>
      <c r="AC94" s="325"/>
      <c r="AD94" s="325"/>
      <c r="AE94" s="325"/>
      <c r="AF94" s="325"/>
      <c r="AG94" s="325"/>
      <c r="AH94" s="325"/>
      <c r="AI94" s="391" t="s">
        <v>15626</v>
      </c>
      <c r="AJ94" s="838">
        <f>AJ92</f>
        <v>1</v>
      </c>
      <c r="AK94" s="843"/>
      <c r="AL94" s="324" t="s">
        <v>15630</v>
      </c>
      <c r="AM94" s="325"/>
      <c r="AN94" s="325"/>
      <c r="AO94" s="325"/>
      <c r="AP94" s="325"/>
      <c r="AQ94" s="190" t="s">
        <v>398</v>
      </c>
      <c r="AR94" s="844">
        <f>AR90</f>
        <v>0.85</v>
      </c>
      <c r="AS94" s="844"/>
      <c r="AT94" s="912"/>
      <c r="AU94" s="913"/>
      <c r="AV94" s="844">
        <f>AV86</f>
        <v>0.8</v>
      </c>
      <c r="AW94" s="844"/>
      <c r="AX94" s="844"/>
      <c r="AY94" s="845"/>
      <c r="AZ94" s="489">
        <f>ROUND(ROUND(ROUND(ROUND(Q88*AJ94,0)*AR94,0)*$AT$96,0)*AV94,0)</f>
        <v>84</v>
      </c>
      <c r="BA94" s="393"/>
    </row>
    <row r="95" spans="1:53" ht="17.100000000000001" customHeight="1" x14ac:dyDescent="0.15">
      <c r="A95" s="340">
        <v>12</v>
      </c>
      <c r="B95" s="341">
        <v>7965</v>
      </c>
      <c r="C95" s="390" t="s">
        <v>16969</v>
      </c>
      <c r="D95" s="403"/>
      <c r="E95" s="404"/>
      <c r="F95" s="404"/>
      <c r="G95" s="404"/>
      <c r="H95" s="406"/>
      <c r="I95" s="908" t="s">
        <v>16390</v>
      </c>
      <c r="J95" s="909"/>
      <c r="K95" s="909"/>
      <c r="L95" s="909"/>
      <c r="M95" s="909"/>
      <c r="N95" s="909"/>
      <c r="O95" s="909"/>
      <c r="P95" s="909"/>
      <c r="Q95" s="909"/>
      <c r="R95" s="909"/>
      <c r="S95" s="909"/>
      <c r="T95" s="909"/>
      <c r="U95" s="910"/>
      <c r="V95" s="343"/>
      <c r="W95" s="343"/>
      <c r="X95" s="343"/>
      <c r="Y95" s="343"/>
      <c r="Z95" s="343"/>
      <c r="AA95" s="343"/>
      <c r="AB95" s="343"/>
      <c r="AC95" s="343"/>
      <c r="AD95" s="343"/>
      <c r="AE95" s="343"/>
      <c r="AF95" s="343"/>
      <c r="AG95" s="343"/>
      <c r="AH95" s="343"/>
      <c r="AI95" s="343"/>
      <c r="AJ95" s="401"/>
      <c r="AK95" s="402"/>
      <c r="AL95" s="396"/>
      <c r="AM95" s="396"/>
      <c r="AN95" s="396"/>
      <c r="AO95" s="396"/>
      <c r="AP95" s="396"/>
      <c r="AQ95" s="396"/>
      <c r="AR95" s="396"/>
      <c r="AS95" s="396"/>
      <c r="AT95" s="918" t="s">
        <v>15636</v>
      </c>
      <c r="AU95" s="913"/>
      <c r="AV95" s="400"/>
      <c r="AW95" s="400"/>
      <c r="AX95" s="396"/>
      <c r="AY95" s="397"/>
      <c r="AZ95" s="489">
        <f>ROUND(Q96*$AT$96,0)</f>
        <v>115</v>
      </c>
      <c r="BA95" s="393"/>
    </row>
    <row r="96" spans="1:53" ht="16.5" customHeight="1" x14ac:dyDescent="0.15">
      <c r="A96" s="340">
        <v>12</v>
      </c>
      <c r="B96" s="341">
        <v>7966</v>
      </c>
      <c r="C96" s="390" t="s">
        <v>16970</v>
      </c>
      <c r="D96" s="403"/>
      <c r="E96" s="404"/>
      <c r="F96" s="404"/>
      <c r="G96" s="404"/>
      <c r="H96" s="406"/>
      <c r="Q96" s="836">
        <f>ROUND(Q288*$F$93,0)</f>
        <v>92</v>
      </c>
      <c r="R96" s="911"/>
      <c r="S96" s="911"/>
      <c r="T96" s="152" t="s">
        <v>15624</v>
      </c>
      <c r="U96" s="387"/>
      <c r="V96" s="343" t="s">
        <v>15625</v>
      </c>
      <c r="W96" s="325"/>
      <c r="X96" s="325"/>
      <c r="Y96" s="325"/>
      <c r="Z96" s="325"/>
      <c r="AA96" s="325"/>
      <c r="AB96" s="325"/>
      <c r="AC96" s="325"/>
      <c r="AD96" s="325"/>
      <c r="AE96" s="325"/>
      <c r="AF96" s="325"/>
      <c r="AG96" s="325"/>
      <c r="AH96" s="325"/>
      <c r="AI96" s="391" t="s">
        <v>15626</v>
      </c>
      <c r="AJ96" s="838">
        <f>AJ94</f>
        <v>1</v>
      </c>
      <c r="AK96" s="839"/>
      <c r="AL96" s="325"/>
      <c r="AM96" s="325"/>
      <c r="AN96" s="325"/>
      <c r="AO96" s="325"/>
      <c r="AP96" s="325"/>
      <c r="AQ96" s="325"/>
      <c r="AR96" s="325"/>
      <c r="AS96" s="391"/>
      <c r="AT96" s="919">
        <f>AT16</f>
        <v>1.25</v>
      </c>
      <c r="AU96" s="915"/>
      <c r="AY96" s="387"/>
      <c r="AZ96" s="489">
        <f>ROUND(ROUND(Q96*AJ96,0)*$AT$96,0)</f>
        <v>115</v>
      </c>
      <c r="BA96" s="393"/>
    </row>
    <row r="97" spans="1:53" ht="16.5" customHeight="1" x14ac:dyDescent="0.15">
      <c r="A97" s="340">
        <v>12</v>
      </c>
      <c r="B97" s="341">
        <v>7967</v>
      </c>
      <c r="C97" s="390" t="s">
        <v>16971</v>
      </c>
      <c r="D97" s="408"/>
      <c r="E97" s="409"/>
      <c r="F97" s="409"/>
      <c r="G97" s="409"/>
      <c r="H97" s="411"/>
      <c r="Q97" s="395"/>
      <c r="R97" s="151"/>
      <c r="S97" s="151"/>
      <c r="U97" s="387"/>
      <c r="V97" s="343"/>
      <c r="W97" s="343"/>
      <c r="X97" s="343"/>
      <c r="Y97" s="343"/>
      <c r="Z97" s="343"/>
      <c r="AA97" s="343"/>
      <c r="AB97" s="343"/>
      <c r="AC97" s="343"/>
      <c r="AD97" s="343"/>
      <c r="AE97" s="343"/>
      <c r="AF97" s="343"/>
      <c r="AG97" s="343"/>
      <c r="AH97" s="343"/>
      <c r="AI97" s="343"/>
      <c r="AJ97" s="343"/>
      <c r="AK97" s="343"/>
      <c r="AL97" s="114" t="s">
        <v>15628</v>
      </c>
      <c r="AM97" s="396"/>
      <c r="AN97" s="396"/>
      <c r="AO97" s="396"/>
      <c r="AP97" s="396"/>
      <c r="AQ97" s="396"/>
      <c r="AR97" s="396"/>
      <c r="AS97" s="396"/>
      <c r="AT97" s="490"/>
      <c r="AU97" s="387"/>
      <c r="AY97" s="387"/>
      <c r="AZ97" s="489">
        <f>ROUND(ROUND(Q96*AR98,0)*$AT$96,0)</f>
        <v>98</v>
      </c>
      <c r="BA97" s="393"/>
    </row>
    <row r="98" spans="1:53" ht="16.5" customHeight="1" x14ac:dyDescent="0.15">
      <c r="A98" s="340">
        <v>12</v>
      </c>
      <c r="B98" s="341">
        <v>7968</v>
      </c>
      <c r="C98" s="390" t="s">
        <v>16972</v>
      </c>
      <c r="D98" s="408"/>
      <c r="E98" s="409"/>
      <c r="F98" s="409"/>
      <c r="G98" s="409"/>
      <c r="H98" s="411"/>
      <c r="Q98" s="395"/>
      <c r="R98" s="151"/>
      <c r="S98" s="151"/>
      <c r="U98" s="387"/>
      <c r="V98" s="343" t="s">
        <v>15625</v>
      </c>
      <c r="W98" s="325"/>
      <c r="X98" s="325"/>
      <c r="Y98" s="325"/>
      <c r="Z98" s="325"/>
      <c r="AA98" s="325"/>
      <c r="AB98" s="325"/>
      <c r="AC98" s="325"/>
      <c r="AD98" s="325"/>
      <c r="AE98" s="325"/>
      <c r="AF98" s="325"/>
      <c r="AG98" s="325"/>
      <c r="AH98" s="325"/>
      <c r="AI98" s="391" t="s">
        <v>15626</v>
      </c>
      <c r="AJ98" s="838">
        <f>AJ96</f>
        <v>1</v>
      </c>
      <c r="AK98" s="843"/>
      <c r="AL98" s="324" t="s">
        <v>15630</v>
      </c>
      <c r="AM98" s="325"/>
      <c r="AN98" s="325"/>
      <c r="AO98" s="325"/>
      <c r="AP98" s="325"/>
      <c r="AQ98" s="190" t="s">
        <v>398</v>
      </c>
      <c r="AR98" s="844">
        <f>AR94</f>
        <v>0.85</v>
      </c>
      <c r="AS98" s="844"/>
      <c r="AT98" s="501"/>
      <c r="AU98" s="502"/>
      <c r="AY98" s="387"/>
      <c r="AZ98" s="489">
        <f>ROUND(ROUND(ROUND(Q96*AJ98,0)*AR98,0)*$AT$96,0)</f>
        <v>98</v>
      </c>
      <c r="BA98" s="393"/>
    </row>
    <row r="99" spans="1:53" ht="17.100000000000001" customHeight="1" x14ac:dyDescent="0.15">
      <c r="A99" s="340">
        <v>12</v>
      </c>
      <c r="B99" s="341">
        <v>7969</v>
      </c>
      <c r="C99" s="390" t="s">
        <v>16973</v>
      </c>
      <c r="D99" s="403"/>
      <c r="E99" s="404"/>
      <c r="F99" s="404"/>
      <c r="G99" s="404"/>
      <c r="H99" s="406"/>
      <c r="I99" s="10"/>
      <c r="L99" s="151"/>
      <c r="M99" s="151"/>
      <c r="N99" s="151"/>
      <c r="U99" s="387"/>
      <c r="V99" s="343"/>
      <c r="W99" s="343"/>
      <c r="X99" s="343"/>
      <c r="Y99" s="343"/>
      <c r="Z99" s="343"/>
      <c r="AA99" s="343"/>
      <c r="AB99" s="343"/>
      <c r="AC99" s="343"/>
      <c r="AD99" s="343"/>
      <c r="AE99" s="343"/>
      <c r="AF99" s="343"/>
      <c r="AG99" s="343"/>
      <c r="AH99" s="343"/>
      <c r="AI99" s="343"/>
      <c r="AJ99" s="401"/>
      <c r="AK99" s="402"/>
      <c r="AL99" s="396"/>
      <c r="AM99" s="396"/>
      <c r="AN99" s="396"/>
      <c r="AO99" s="396"/>
      <c r="AP99" s="396"/>
      <c r="AQ99" s="396"/>
      <c r="AR99" s="396"/>
      <c r="AS99" s="396"/>
      <c r="AT99" s="490"/>
      <c r="AU99" s="387"/>
      <c r="AV99" s="858" t="s">
        <v>16296</v>
      </c>
      <c r="AW99" s="858"/>
      <c r="AX99" s="858"/>
      <c r="AY99" s="860"/>
      <c r="AZ99" s="489">
        <f>ROUND(ROUND(Q96*$AT$96,0)*AV102,0)</f>
        <v>92</v>
      </c>
      <c r="BA99" s="393"/>
    </row>
    <row r="100" spans="1:53" ht="16.5" customHeight="1" x14ac:dyDescent="0.15">
      <c r="A100" s="340">
        <v>12</v>
      </c>
      <c r="B100" s="341">
        <v>7970</v>
      </c>
      <c r="C100" s="390" t="s">
        <v>16974</v>
      </c>
      <c r="D100" s="403"/>
      <c r="E100" s="404"/>
      <c r="F100" s="404"/>
      <c r="G100" s="404"/>
      <c r="H100" s="406"/>
      <c r="Q100" s="899"/>
      <c r="R100" s="899"/>
      <c r="S100" s="899"/>
      <c r="U100" s="387"/>
      <c r="V100" s="343" t="s">
        <v>15625</v>
      </c>
      <c r="W100" s="325"/>
      <c r="X100" s="325"/>
      <c r="Y100" s="325"/>
      <c r="Z100" s="325"/>
      <c r="AA100" s="325"/>
      <c r="AB100" s="325"/>
      <c r="AC100" s="325"/>
      <c r="AD100" s="325"/>
      <c r="AE100" s="325"/>
      <c r="AF100" s="325"/>
      <c r="AG100" s="325"/>
      <c r="AH100" s="325"/>
      <c r="AI100" s="391" t="s">
        <v>15626</v>
      </c>
      <c r="AJ100" s="838">
        <f>AJ98</f>
        <v>1</v>
      </c>
      <c r="AK100" s="839"/>
      <c r="AL100" s="325"/>
      <c r="AM100" s="325"/>
      <c r="AN100" s="325"/>
      <c r="AO100" s="325"/>
      <c r="AP100" s="325"/>
      <c r="AQ100" s="325"/>
      <c r="AR100" s="325"/>
      <c r="AS100" s="391"/>
      <c r="AT100" s="503"/>
      <c r="AU100" s="504"/>
      <c r="AV100" s="850"/>
      <c r="AW100" s="850"/>
      <c r="AX100" s="850"/>
      <c r="AY100" s="852"/>
      <c r="AZ100" s="489">
        <f>ROUND(ROUND(ROUND(Q96*AJ100,0)*$AT$96,0)*AV102,0)</f>
        <v>92</v>
      </c>
      <c r="BA100" s="393"/>
    </row>
    <row r="101" spans="1:53" ht="16.5" customHeight="1" x14ac:dyDescent="0.15">
      <c r="A101" s="340">
        <v>12</v>
      </c>
      <c r="B101" s="341">
        <v>7971</v>
      </c>
      <c r="C101" s="390" t="s">
        <v>16975</v>
      </c>
      <c r="D101" s="408"/>
      <c r="E101" s="409"/>
      <c r="F101" s="409"/>
      <c r="G101" s="409"/>
      <c r="H101" s="411"/>
      <c r="Q101" s="395"/>
      <c r="R101" s="151"/>
      <c r="S101" s="151"/>
      <c r="U101" s="387"/>
      <c r="V101" s="343"/>
      <c r="W101" s="343"/>
      <c r="X101" s="343"/>
      <c r="Y101" s="343"/>
      <c r="Z101" s="343"/>
      <c r="AA101" s="343"/>
      <c r="AB101" s="343"/>
      <c r="AC101" s="343"/>
      <c r="AD101" s="343"/>
      <c r="AE101" s="343"/>
      <c r="AF101" s="343"/>
      <c r="AG101" s="343"/>
      <c r="AH101" s="343"/>
      <c r="AI101" s="343"/>
      <c r="AJ101" s="343"/>
      <c r="AK101" s="343"/>
      <c r="AL101" s="114" t="s">
        <v>15628</v>
      </c>
      <c r="AM101" s="396"/>
      <c r="AN101" s="396"/>
      <c r="AO101" s="396"/>
      <c r="AP101" s="396"/>
      <c r="AQ101" s="396"/>
      <c r="AR101" s="396"/>
      <c r="AS101" s="396"/>
      <c r="AT101" s="490"/>
      <c r="AU101" s="387"/>
      <c r="AV101" s="902" t="s">
        <v>15636</v>
      </c>
      <c r="AW101" s="902"/>
      <c r="AX101" s="902"/>
      <c r="AY101" s="903"/>
      <c r="AZ101" s="489">
        <f>ROUND(ROUND(ROUND(Q96*AR102,0)*$AT$96,0)*AV102,0)</f>
        <v>78</v>
      </c>
      <c r="BA101" s="393"/>
    </row>
    <row r="102" spans="1:53" ht="16.5" customHeight="1" x14ac:dyDescent="0.15">
      <c r="A102" s="340">
        <v>12</v>
      </c>
      <c r="B102" s="341">
        <v>7972</v>
      </c>
      <c r="C102" s="390" t="s">
        <v>16976</v>
      </c>
      <c r="D102" s="412"/>
      <c r="E102" s="413"/>
      <c r="F102" s="413"/>
      <c r="G102" s="413"/>
      <c r="H102" s="415"/>
      <c r="I102" s="325"/>
      <c r="J102" s="325"/>
      <c r="K102" s="325"/>
      <c r="L102" s="325"/>
      <c r="M102" s="325"/>
      <c r="N102" s="325"/>
      <c r="O102" s="325"/>
      <c r="P102" s="325"/>
      <c r="Q102" s="416"/>
      <c r="R102" s="417"/>
      <c r="S102" s="417"/>
      <c r="T102" s="325"/>
      <c r="U102" s="388"/>
      <c r="V102" s="343" t="s">
        <v>15625</v>
      </c>
      <c r="W102" s="325"/>
      <c r="X102" s="325"/>
      <c r="Y102" s="325"/>
      <c r="Z102" s="325"/>
      <c r="AA102" s="325"/>
      <c r="AB102" s="325"/>
      <c r="AC102" s="325"/>
      <c r="AD102" s="325"/>
      <c r="AE102" s="325"/>
      <c r="AF102" s="325"/>
      <c r="AG102" s="325"/>
      <c r="AH102" s="325"/>
      <c r="AI102" s="391" t="s">
        <v>15626</v>
      </c>
      <c r="AJ102" s="838">
        <f>AJ100</f>
        <v>1</v>
      </c>
      <c r="AK102" s="843"/>
      <c r="AL102" s="324" t="s">
        <v>15630</v>
      </c>
      <c r="AM102" s="325"/>
      <c r="AN102" s="325"/>
      <c r="AO102" s="325"/>
      <c r="AP102" s="325"/>
      <c r="AQ102" s="190" t="s">
        <v>398</v>
      </c>
      <c r="AR102" s="844">
        <f>AR98</f>
        <v>0.85</v>
      </c>
      <c r="AS102" s="844"/>
      <c r="AT102" s="505"/>
      <c r="AU102" s="506"/>
      <c r="AV102" s="844">
        <f>AV94</f>
        <v>0.8</v>
      </c>
      <c r="AW102" s="844"/>
      <c r="AX102" s="844"/>
      <c r="AY102" s="845"/>
      <c r="AZ102" s="491">
        <f>ROUND(ROUND(ROUND(ROUND(Q96*AJ102,0)*AR102,0)*$AT$96,0)*AV102,0)</f>
        <v>78</v>
      </c>
      <c r="BA102" s="418"/>
    </row>
    <row r="103" spans="1:53" ht="17.100000000000001" customHeight="1" x14ac:dyDescent="0.15">
      <c r="A103" s="340">
        <v>12</v>
      </c>
      <c r="B103" s="341">
        <v>7973</v>
      </c>
      <c r="C103" s="390" t="s">
        <v>16977</v>
      </c>
      <c r="D103" s="849" t="s">
        <v>15689</v>
      </c>
      <c r="E103" s="850"/>
      <c r="F103" s="850"/>
      <c r="G103" s="850"/>
      <c r="H103" s="852"/>
      <c r="I103" s="908" t="s">
        <v>15621</v>
      </c>
      <c r="J103" s="909"/>
      <c r="K103" s="909"/>
      <c r="L103" s="909"/>
      <c r="M103" s="909"/>
      <c r="N103" s="909"/>
      <c r="O103" s="909"/>
      <c r="P103" s="909"/>
      <c r="Q103" s="909"/>
      <c r="R103" s="909"/>
      <c r="S103" s="909"/>
      <c r="T103" s="909"/>
      <c r="U103" s="910"/>
      <c r="V103" s="343"/>
      <c r="W103" s="343"/>
      <c r="X103" s="343"/>
      <c r="Y103" s="343"/>
      <c r="Z103" s="343"/>
      <c r="AA103" s="343"/>
      <c r="AB103" s="343"/>
      <c r="AC103" s="343"/>
      <c r="AD103" s="343"/>
      <c r="AE103" s="343"/>
      <c r="AF103" s="343"/>
      <c r="AG103" s="343"/>
      <c r="AH103" s="343"/>
      <c r="AI103" s="343"/>
      <c r="AJ103" s="343"/>
      <c r="AK103" s="407"/>
      <c r="AL103" s="396"/>
      <c r="AM103" s="396"/>
      <c r="AN103" s="396"/>
      <c r="AO103" s="396"/>
      <c r="AP103" s="396"/>
      <c r="AQ103" s="396"/>
      <c r="AR103" s="396"/>
      <c r="AS103" s="396"/>
      <c r="AT103" s="920" t="s">
        <v>743</v>
      </c>
      <c r="AU103" s="917"/>
      <c r="AV103" s="400"/>
      <c r="AW103" s="400"/>
      <c r="AX103" s="396"/>
      <c r="AY103" s="397"/>
      <c r="AZ103" s="489">
        <f>ROUND(Q104*$AT$112,0)</f>
        <v>251</v>
      </c>
      <c r="BA103" s="329" t="s">
        <v>15622</v>
      </c>
    </row>
    <row r="104" spans="1:53" ht="16.5" customHeight="1" x14ac:dyDescent="0.15">
      <c r="A104" s="340">
        <v>12</v>
      </c>
      <c r="B104" s="341">
        <v>7974</v>
      </c>
      <c r="C104" s="390" t="s">
        <v>16978</v>
      </c>
      <c r="D104" s="849"/>
      <c r="E104" s="850"/>
      <c r="F104" s="850"/>
      <c r="G104" s="850"/>
      <c r="H104" s="852"/>
      <c r="Q104" s="836">
        <f>ROUND(Q200*$F$109,0)</f>
        <v>201</v>
      </c>
      <c r="R104" s="911"/>
      <c r="S104" s="911"/>
      <c r="T104" s="152" t="s">
        <v>15624</v>
      </c>
      <c r="U104" s="387"/>
      <c r="V104" s="343" t="s">
        <v>15625</v>
      </c>
      <c r="W104" s="325"/>
      <c r="X104" s="325"/>
      <c r="Y104" s="325"/>
      <c r="Z104" s="325"/>
      <c r="AA104" s="325"/>
      <c r="AB104" s="325"/>
      <c r="AC104" s="325"/>
      <c r="AD104" s="325"/>
      <c r="AE104" s="325"/>
      <c r="AF104" s="325"/>
      <c r="AG104" s="325"/>
      <c r="AH104" s="325"/>
      <c r="AI104" s="391" t="s">
        <v>15626</v>
      </c>
      <c r="AJ104" s="838">
        <f>'2重度訪問'!AN104</f>
        <v>1</v>
      </c>
      <c r="AK104" s="839"/>
      <c r="AQ104" s="152"/>
      <c r="AR104" s="152"/>
      <c r="AS104" s="152"/>
      <c r="AT104" s="912"/>
      <c r="AU104" s="913"/>
      <c r="AY104" s="387"/>
      <c r="AZ104" s="489">
        <f>ROUND(ROUND(Q104*AJ104,0)*$AT$112,0)</f>
        <v>251</v>
      </c>
      <c r="BA104" s="393"/>
    </row>
    <row r="105" spans="1:53" ht="16.5" customHeight="1" x14ac:dyDescent="0.15">
      <c r="A105" s="287">
        <v>12</v>
      </c>
      <c r="B105" s="287">
        <v>7975</v>
      </c>
      <c r="C105" s="394" t="s">
        <v>16979</v>
      </c>
      <c r="D105" s="849"/>
      <c r="E105" s="850"/>
      <c r="F105" s="850"/>
      <c r="G105" s="850"/>
      <c r="H105" s="852"/>
      <c r="Q105" s="395"/>
      <c r="R105" s="151"/>
      <c r="S105" s="151"/>
      <c r="U105" s="387"/>
      <c r="V105" s="343"/>
      <c r="W105" s="343"/>
      <c r="X105" s="343"/>
      <c r="Y105" s="343"/>
      <c r="Z105" s="343"/>
      <c r="AA105" s="343"/>
      <c r="AB105" s="343"/>
      <c r="AC105" s="343"/>
      <c r="AD105" s="343"/>
      <c r="AE105" s="343"/>
      <c r="AF105" s="343"/>
      <c r="AG105" s="343"/>
      <c r="AH105" s="343"/>
      <c r="AI105" s="343"/>
      <c r="AJ105" s="343"/>
      <c r="AK105" s="343"/>
      <c r="AL105" s="114" t="s">
        <v>15628</v>
      </c>
      <c r="AM105" s="396"/>
      <c r="AN105" s="396"/>
      <c r="AO105" s="396"/>
      <c r="AP105" s="396"/>
      <c r="AQ105" s="396"/>
      <c r="AR105" s="396"/>
      <c r="AS105" s="396"/>
      <c r="AT105" s="912"/>
      <c r="AU105" s="913"/>
      <c r="AY105" s="387"/>
      <c r="AZ105" s="489">
        <f>ROUND(ROUND(Q104*AR106,0)*$AT$112,0)</f>
        <v>214</v>
      </c>
      <c r="BA105" s="393"/>
    </row>
    <row r="106" spans="1:53" ht="16.5" customHeight="1" x14ac:dyDescent="0.15">
      <c r="A106" s="287">
        <v>12</v>
      </c>
      <c r="B106" s="287">
        <v>7976</v>
      </c>
      <c r="C106" s="394" t="s">
        <v>16980</v>
      </c>
      <c r="D106" s="849"/>
      <c r="E106" s="850"/>
      <c r="F106" s="850"/>
      <c r="G106" s="850"/>
      <c r="H106" s="852"/>
      <c r="Q106" s="395"/>
      <c r="R106" s="151"/>
      <c r="S106" s="151"/>
      <c r="U106" s="387"/>
      <c r="V106" s="343" t="s">
        <v>15625</v>
      </c>
      <c r="W106" s="325"/>
      <c r="X106" s="325"/>
      <c r="Y106" s="325"/>
      <c r="Z106" s="325"/>
      <c r="AA106" s="325"/>
      <c r="AB106" s="325"/>
      <c r="AC106" s="325"/>
      <c r="AD106" s="325"/>
      <c r="AE106" s="325"/>
      <c r="AF106" s="325"/>
      <c r="AG106" s="325"/>
      <c r="AH106" s="325"/>
      <c r="AI106" s="391" t="s">
        <v>15626</v>
      </c>
      <c r="AJ106" s="838">
        <f>AJ104</f>
        <v>1</v>
      </c>
      <c r="AK106" s="843"/>
      <c r="AL106" s="324" t="s">
        <v>15630</v>
      </c>
      <c r="AM106" s="325"/>
      <c r="AN106" s="325"/>
      <c r="AO106" s="325"/>
      <c r="AP106" s="325"/>
      <c r="AQ106" s="190" t="s">
        <v>398</v>
      </c>
      <c r="AR106" s="844">
        <f>'2重度訪問'!AV106</f>
        <v>0.85</v>
      </c>
      <c r="AS106" s="844"/>
      <c r="AT106" s="912"/>
      <c r="AU106" s="913"/>
      <c r="AY106" s="387"/>
      <c r="AZ106" s="489">
        <f>ROUND(ROUND(ROUND(Q104*AJ106,0)*AR106,0)*$AT$112,0)</f>
        <v>214</v>
      </c>
      <c r="BA106" s="393"/>
    </row>
    <row r="107" spans="1:53" ht="17.100000000000001" customHeight="1" x14ac:dyDescent="0.15">
      <c r="A107" s="340">
        <v>12</v>
      </c>
      <c r="B107" s="341">
        <v>7977</v>
      </c>
      <c r="C107" s="390" t="s">
        <v>16981</v>
      </c>
      <c r="D107" s="832" t="s">
        <v>15632</v>
      </c>
      <c r="E107" s="833"/>
      <c r="F107" s="833"/>
      <c r="G107" s="833"/>
      <c r="H107" s="835"/>
      <c r="L107" s="151"/>
      <c r="M107" s="151"/>
      <c r="N107" s="151"/>
      <c r="U107" s="387"/>
      <c r="V107" s="343"/>
      <c r="W107" s="343"/>
      <c r="X107" s="343"/>
      <c r="Y107" s="343"/>
      <c r="Z107" s="343"/>
      <c r="AA107" s="343"/>
      <c r="AB107" s="343"/>
      <c r="AC107" s="343"/>
      <c r="AD107" s="343"/>
      <c r="AE107" s="343"/>
      <c r="AF107" s="343"/>
      <c r="AG107" s="343"/>
      <c r="AH107" s="343"/>
      <c r="AI107" s="343"/>
      <c r="AJ107" s="343"/>
      <c r="AK107" s="407"/>
      <c r="AL107" s="396"/>
      <c r="AM107" s="396"/>
      <c r="AN107" s="396"/>
      <c r="AO107" s="396"/>
      <c r="AP107" s="396"/>
      <c r="AQ107" s="396"/>
      <c r="AR107" s="396"/>
      <c r="AS107" s="396"/>
      <c r="AT107" s="912"/>
      <c r="AU107" s="913"/>
      <c r="AV107" s="858" t="s">
        <v>16296</v>
      </c>
      <c r="AW107" s="858"/>
      <c r="AX107" s="858"/>
      <c r="AY107" s="860"/>
      <c r="AZ107" s="489">
        <f>ROUND(ROUND(Q104*$AT$112,0)*AV110,0)</f>
        <v>201</v>
      </c>
      <c r="BA107" s="339"/>
    </row>
    <row r="108" spans="1:53" ht="16.5" customHeight="1" x14ac:dyDescent="0.15">
      <c r="A108" s="340">
        <v>12</v>
      </c>
      <c r="B108" s="341">
        <v>7978</v>
      </c>
      <c r="C108" s="390" t="s">
        <v>16982</v>
      </c>
      <c r="D108" s="832"/>
      <c r="E108" s="833"/>
      <c r="F108" s="833"/>
      <c r="G108" s="833"/>
      <c r="H108" s="835"/>
      <c r="Q108" s="899"/>
      <c r="R108" s="899"/>
      <c r="S108" s="899"/>
      <c r="U108" s="387"/>
      <c r="V108" s="343" t="s">
        <v>15625</v>
      </c>
      <c r="W108" s="325"/>
      <c r="X108" s="325"/>
      <c r="Y108" s="325"/>
      <c r="Z108" s="325"/>
      <c r="AA108" s="325"/>
      <c r="AB108" s="325"/>
      <c r="AC108" s="325"/>
      <c r="AD108" s="325"/>
      <c r="AE108" s="325"/>
      <c r="AF108" s="325"/>
      <c r="AG108" s="325"/>
      <c r="AH108" s="325"/>
      <c r="AI108" s="391" t="s">
        <v>15626</v>
      </c>
      <c r="AJ108" s="838">
        <f>AJ106</f>
        <v>1</v>
      </c>
      <c r="AK108" s="839"/>
      <c r="AQ108" s="152"/>
      <c r="AR108" s="152"/>
      <c r="AS108" s="152"/>
      <c r="AT108" s="912"/>
      <c r="AU108" s="913"/>
      <c r="AV108" s="850"/>
      <c r="AW108" s="850"/>
      <c r="AX108" s="850"/>
      <c r="AY108" s="852"/>
      <c r="AZ108" s="489">
        <f>ROUND(ROUND(ROUND(Q104*AJ108,0)*$AT$112,0)*AV110,0)</f>
        <v>201</v>
      </c>
      <c r="BA108" s="393"/>
    </row>
    <row r="109" spans="1:53" ht="16.5" customHeight="1" x14ac:dyDescent="0.15">
      <c r="A109" s="287">
        <v>12</v>
      </c>
      <c r="B109" s="287">
        <v>7979</v>
      </c>
      <c r="C109" s="394" t="s">
        <v>16983</v>
      </c>
      <c r="D109" s="403"/>
      <c r="E109" s="404" t="s">
        <v>15636</v>
      </c>
      <c r="F109" s="854">
        <f>'2重度訪問 (入院入所中)'!$F$109</f>
        <v>1.085</v>
      </c>
      <c r="G109" s="855"/>
      <c r="H109" s="856"/>
      <c r="Q109" s="395"/>
      <c r="R109" s="151"/>
      <c r="S109" s="151"/>
      <c r="U109" s="387"/>
      <c r="V109" s="343"/>
      <c r="W109" s="343"/>
      <c r="X109" s="343"/>
      <c r="Y109" s="343"/>
      <c r="Z109" s="343"/>
      <c r="AA109" s="343"/>
      <c r="AB109" s="343"/>
      <c r="AC109" s="343"/>
      <c r="AD109" s="343"/>
      <c r="AE109" s="343"/>
      <c r="AF109" s="343"/>
      <c r="AG109" s="343"/>
      <c r="AH109" s="343"/>
      <c r="AI109" s="343"/>
      <c r="AJ109" s="343"/>
      <c r="AK109" s="343"/>
      <c r="AL109" s="114" t="s">
        <v>15628</v>
      </c>
      <c r="AM109" s="396"/>
      <c r="AN109" s="396"/>
      <c r="AO109" s="396"/>
      <c r="AP109" s="396"/>
      <c r="AQ109" s="396"/>
      <c r="AR109" s="396"/>
      <c r="AS109" s="396"/>
      <c r="AT109" s="912"/>
      <c r="AU109" s="913"/>
      <c r="AV109" s="902" t="s">
        <v>15636</v>
      </c>
      <c r="AW109" s="902"/>
      <c r="AX109" s="902"/>
      <c r="AY109" s="903"/>
      <c r="AZ109" s="489">
        <f>ROUND(ROUND(ROUND(Q104*AR110,0)*$AT$112,0)*AV110,0)</f>
        <v>171</v>
      </c>
      <c r="BA109" s="393"/>
    </row>
    <row r="110" spans="1:53" ht="16.5" customHeight="1" x14ac:dyDescent="0.15">
      <c r="A110" s="287">
        <v>12</v>
      </c>
      <c r="B110" s="287">
        <v>7980</v>
      </c>
      <c r="C110" s="394" t="s">
        <v>16984</v>
      </c>
      <c r="D110" s="403"/>
      <c r="E110" s="404"/>
      <c r="F110" s="404"/>
      <c r="G110" s="404"/>
      <c r="H110" s="406"/>
      <c r="Q110" s="395"/>
      <c r="R110" s="151"/>
      <c r="S110" s="151"/>
      <c r="U110" s="387"/>
      <c r="V110" s="343" t="s">
        <v>15625</v>
      </c>
      <c r="W110" s="325"/>
      <c r="X110" s="325"/>
      <c r="Y110" s="325"/>
      <c r="Z110" s="325"/>
      <c r="AA110" s="325"/>
      <c r="AB110" s="325"/>
      <c r="AC110" s="325"/>
      <c r="AD110" s="325"/>
      <c r="AE110" s="325"/>
      <c r="AF110" s="325"/>
      <c r="AG110" s="325"/>
      <c r="AH110" s="325"/>
      <c r="AI110" s="391" t="s">
        <v>15626</v>
      </c>
      <c r="AJ110" s="838">
        <f>AJ108</f>
        <v>1</v>
      </c>
      <c r="AK110" s="843"/>
      <c r="AL110" s="324" t="s">
        <v>15630</v>
      </c>
      <c r="AM110" s="325"/>
      <c r="AN110" s="325"/>
      <c r="AO110" s="325"/>
      <c r="AP110" s="325"/>
      <c r="AQ110" s="190" t="s">
        <v>398</v>
      </c>
      <c r="AR110" s="844">
        <f>AR106</f>
        <v>0.85</v>
      </c>
      <c r="AS110" s="844"/>
      <c r="AT110" s="912"/>
      <c r="AU110" s="913"/>
      <c r="AV110" s="844">
        <f>AV102</f>
        <v>0.8</v>
      </c>
      <c r="AW110" s="844"/>
      <c r="AX110" s="844"/>
      <c r="AY110" s="845"/>
      <c r="AZ110" s="489">
        <f>ROUND(ROUND(ROUND(ROUND(Q104*AJ110,0)*AR110,0)*$AT$112,0)*AV110,0)</f>
        <v>171</v>
      </c>
      <c r="BA110" s="393"/>
    </row>
    <row r="111" spans="1:53" ht="16.5" customHeight="1" x14ac:dyDescent="0.15">
      <c r="A111" s="340">
        <v>12</v>
      </c>
      <c r="B111" s="341">
        <v>7981</v>
      </c>
      <c r="C111" s="390" t="s">
        <v>16985</v>
      </c>
      <c r="D111" s="494"/>
      <c r="E111" s="151"/>
      <c r="F111" s="151"/>
      <c r="G111" s="151"/>
      <c r="H111" s="495"/>
      <c r="I111" s="908" t="s">
        <v>15633</v>
      </c>
      <c r="J111" s="909"/>
      <c r="K111" s="909"/>
      <c r="L111" s="909"/>
      <c r="M111" s="909"/>
      <c r="N111" s="909"/>
      <c r="O111" s="909"/>
      <c r="P111" s="909"/>
      <c r="Q111" s="909"/>
      <c r="R111" s="909"/>
      <c r="S111" s="909"/>
      <c r="T111" s="909"/>
      <c r="U111" s="910"/>
      <c r="V111" s="343"/>
      <c r="W111" s="325"/>
      <c r="X111" s="325"/>
      <c r="Y111" s="325"/>
      <c r="Z111" s="325"/>
      <c r="AA111" s="325"/>
      <c r="AB111" s="325"/>
      <c r="AC111" s="325"/>
      <c r="AD111" s="325"/>
      <c r="AE111" s="325"/>
      <c r="AF111" s="325"/>
      <c r="AG111" s="325"/>
      <c r="AH111" s="325"/>
      <c r="AI111" s="391"/>
      <c r="AJ111" s="401"/>
      <c r="AK111" s="402"/>
      <c r="AQ111" s="152"/>
      <c r="AR111" s="152"/>
      <c r="AS111" s="152"/>
      <c r="AT111" s="918" t="s">
        <v>15636</v>
      </c>
      <c r="AU111" s="913"/>
      <c r="AV111" s="400"/>
      <c r="AW111" s="400"/>
      <c r="AX111" s="396"/>
      <c r="AY111" s="397"/>
      <c r="AZ111" s="489">
        <f>ROUND(Q112*$AT$112,0)</f>
        <v>123</v>
      </c>
      <c r="BA111" s="393"/>
    </row>
    <row r="112" spans="1:53" ht="16.5" customHeight="1" x14ac:dyDescent="0.15">
      <c r="A112" s="340">
        <v>12</v>
      </c>
      <c r="B112" s="341">
        <v>7982</v>
      </c>
      <c r="C112" s="390" t="s">
        <v>16986</v>
      </c>
      <c r="D112" s="494"/>
      <c r="E112" s="151"/>
      <c r="F112" s="151"/>
      <c r="G112" s="151"/>
      <c r="H112" s="495"/>
      <c r="Q112" s="836">
        <f>ROUND(Q208*$F$109,0)</f>
        <v>98</v>
      </c>
      <c r="R112" s="911"/>
      <c r="S112" s="911"/>
      <c r="T112" s="152" t="s">
        <v>15624</v>
      </c>
      <c r="U112" s="387"/>
      <c r="V112" s="343" t="s">
        <v>15625</v>
      </c>
      <c r="W112" s="325"/>
      <c r="X112" s="325"/>
      <c r="Y112" s="325"/>
      <c r="Z112" s="325"/>
      <c r="AA112" s="325"/>
      <c r="AB112" s="325"/>
      <c r="AC112" s="325"/>
      <c r="AD112" s="325"/>
      <c r="AE112" s="325"/>
      <c r="AF112" s="325"/>
      <c r="AG112" s="325"/>
      <c r="AH112" s="325"/>
      <c r="AI112" s="391" t="s">
        <v>15626</v>
      </c>
      <c r="AJ112" s="838">
        <f>AJ110</f>
        <v>1</v>
      </c>
      <c r="AK112" s="839"/>
      <c r="AQ112" s="152"/>
      <c r="AR112" s="152"/>
      <c r="AS112" s="152"/>
      <c r="AT112" s="919">
        <f>AT96</f>
        <v>1.25</v>
      </c>
      <c r="AU112" s="915"/>
      <c r="AY112" s="387"/>
      <c r="AZ112" s="489">
        <f>ROUND(ROUND(Q112*AJ112,0)*$AT$112,0)</f>
        <v>123</v>
      </c>
      <c r="BA112" s="393"/>
    </row>
    <row r="113" spans="1:53" ht="16.5" customHeight="1" x14ac:dyDescent="0.15">
      <c r="A113" s="287">
        <v>12</v>
      </c>
      <c r="B113" s="287">
        <v>7983</v>
      </c>
      <c r="C113" s="394" t="s">
        <v>16987</v>
      </c>
      <c r="D113" s="494"/>
      <c r="E113" s="151"/>
      <c r="F113" s="151"/>
      <c r="G113" s="151"/>
      <c r="H113" s="495"/>
      <c r="Q113" s="395"/>
      <c r="R113" s="151"/>
      <c r="S113" s="151"/>
      <c r="U113" s="387"/>
      <c r="V113" s="343"/>
      <c r="W113" s="343"/>
      <c r="X113" s="343"/>
      <c r="Y113" s="343"/>
      <c r="Z113" s="343"/>
      <c r="AA113" s="343"/>
      <c r="AB113" s="343"/>
      <c r="AC113" s="343"/>
      <c r="AD113" s="343"/>
      <c r="AE113" s="343"/>
      <c r="AF113" s="343"/>
      <c r="AG113" s="343"/>
      <c r="AH113" s="343"/>
      <c r="AI113" s="343"/>
      <c r="AJ113" s="343"/>
      <c r="AK113" s="343"/>
      <c r="AL113" s="114" t="s">
        <v>15628</v>
      </c>
      <c r="AM113" s="396"/>
      <c r="AN113" s="396"/>
      <c r="AO113" s="396"/>
      <c r="AP113" s="396"/>
      <c r="AQ113" s="396"/>
      <c r="AR113" s="396"/>
      <c r="AS113" s="396"/>
      <c r="AT113" s="490"/>
      <c r="AU113" s="387"/>
      <c r="AY113" s="387"/>
      <c r="AZ113" s="489">
        <f>ROUND(ROUND(Q112*AR114,0)*$AT$112,0)</f>
        <v>104</v>
      </c>
      <c r="BA113" s="393"/>
    </row>
    <row r="114" spans="1:53" ht="16.5" customHeight="1" x14ac:dyDescent="0.15">
      <c r="A114" s="287">
        <v>12</v>
      </c>
      <c r="B114" s="287">
        <v>7984</v>
      </c>
      <c r="C114" s="394" t="s">
        <v>16988</v>
      </c>
      <c r="D114" s="403"/>
      <c r="E114" s="404"/>
      <c r="F114" s="404"/>
      <c r="G114" s="404"/>
      <c r="H114" s="406"/>
      <c r="Q114" s="395"/>
      <c r="R114" s="151"/>
      <c r="S114" s="151"/>
      <c r="U114" s="387"/>
      <c r="V114" s="343" t="s">
        <v>15625</v>
      </c>
      <c r="W114" s="325"/>
      <c r="X114" s="325"/>
      <c r="Y114" s="325"/>
      <c r="Z114" s="325"/>
      <c r="AA114" s="325"/>
      <c r="AB114" s="325"/>
      <c r="AC114" s="325"/>
      <c r="AD114" s="325"/>
      <c r="AE114" s="325"/>
      <c r="AF114" s="325"/>
      <c r="AG114" s="325"/>
      <c r="AH114" s="325"/>
      <c r="AI114" s="391" t="s">
        <v>15626</v>
      </c>
      <c r="AJ114" s="838">
        <f>AJ112</f>
        <v>1</v>
      </c>
      <c r="AK114" s="843"/>
      <c r="AL114" s="324" t="s">
        <v>15630</v>
      </c>
      <c r="AM114" s="325"/>
      <c r="AN114" s="325"/>
      <c r="AO114" s="325"/>
      <c r="AP114" s="325"/>
      <c r="AQ114" s="190" t="s">
        <v>398</v>
      </c>
      <c r="AR114" s="844">
        <f>AR110</f>
        <v>0.85</v>
      </c>
      <c r="AS114" s="844"/>
      <c r="AT114" s="501"/>
      <c r="AU114" s="502"/>
      <c r="AY114" s="387"/>
      <c r="AZ114" s="489">
        <f>ROUND(ROUND(ROUND(Q112*AJ114,0)*AR114,0)*$AT$112,0)</f>
        <v>104</v>
      </c>
      <c r="BA114" s="393"/>
    </row>
    <row r="115" spans="1:53" ht="16.5" customHeight="1" x14ac:dyDescent="0.15">
      <c r="A115" s="340">
        <v>12</v>
      </c>
      <c r="B115" s="341">
        <v>7985</v>
      </c>
      <c r="C115" s="390" t="s">
        <v>16989</v>
      </c>
      <c r="D115" s="494"/>
      <c r="E115" s="151"/>
      <c r="F115" s="151"/>
      <c r="G115" s="151"/>
      <c r="H115" s="495"/>
      <c r="I115" s="254"/>
      <c r="Q115" s="395"/>
      <c r="R115" s="151"/>
      <c r="S115" s="151"/>
      <c r="U115" s="387"/>
      <c r="V115" s="343"/>
      <c r="W115" s="325"/>
      <c r="X115" s="325"/>
      <c r="Y115" s="325"/>
      <c r="Z115" s="325"/>
      <c r="AA115" s="325"/>
      <c r="AB115" s="325"/>
      <c r="AC115" s="325"/>
      <c r="AD115" s="325"/>
      <c r="AE115" s="325"/>
      <c r="AF115" s="325"/>
      <c r="AG115" s="325"/>
      <c r="AH115" s="325"/>
      <c r="AI115" s="391"/>
      <c r="AJ115" s="401"/>
      <c r="AK115" s="402"/>
      <c r="AQ115" s="152"/>
      <c r="AR115" s="152"/>
      <c r="AS115" s="152"/>
      <c r="AT115" s="490"/>
      <c r="AU115" s="387"/>
      <c r="AV115" s="858" t="s">
        <v>16296</v>
      </c>
      <c r="AW115" s="858"/>
      <c r="AX115" s="858"/>
      <c r="AY115" s="860"/>
      <c r="AZ115" s="489">
        <f>ROUND(ROUND(Q112*$AT$112,0)*AV118,0)</f>
        <v>98</v>
      </c>
      <c r="BA115" s="393"/>
    </row>
    <row r="116" spans="1:53" ht="16.5" customHeight="1" x14ac:dyDescent="0.15">
      <c r="A116" s="340">
        <v>12</v>
      </c>
      <c r="B116" s="341">
        <v>7986</v>
      </c>
      <c r="C116" s="390" t="s">
        <v>16990</v>
      </c>
      <c r="D116" s="494"/>
      <c r="E116" s="151"/>
      <c r="F116" s="151"/>
      <c r="G116" s="151"/>
      <c r="H116" s="495"/>
      <c r="Q116" s="899"/>
      <c r="R116" s="899"/>
      <c r="S116" s="899"/>
      <c r="U116" s="387"/>
      <c r="V116" s="343" t="s">
        <v>15625</v>
      </c>
      <c r="W116" s="325"/>
      <c r="X116" s="325"/>
      <c r="Y116" s="325"/>
      <c r="Z116" s="325"/>
      <c r="AA116" s="325"/>
      <c r="AB116" s="325"/>
      <c r="AC116" s="325"/>
      <c r="AD116" s="325"/>
      <c r="AE116" s="325"/>
      <c r="AF116" s="325"/>
      <c r="AG116" s="325"/>
      <c r="AH116" s="325"/>
      <c r="AI116" s="391" t="s">
        <v>15626</v>
      </c>
      <c r="AJ116" s="838">
        <f>AJ114</f>
        <v>1</v>
      </c>
      <c r="AK116" s="839"/>
      <c r="AQ116" s="152"/>
      <c r="AR116" s="152"/>
      <c r="AS116" s="152"/>
      <c r="AT116" s="490"/>
      <c r="AU116" s="387"/>
      <c r="AV116" s="850"/>
      <c r="AW116" s="850"/>
      <c r="AX116" s="850"/>
      <c r="AY116" s="852"/>
      <c r="AZ116" s="489">
        <f>ROUND(ROUND(ROUND(Q112*AJ116,0)*$AT$112,0)*AV118,0)</f>
        <v>98</v>
      </c>
      <c r="BA116" s="393"/>
    </row>
    <row r="117" spans="1:53" ht="16.5" customHeight="1" x14ac:dyDescent="0.15">
      <c r="A117" s="287">
        <v>12</v>
      </c>
      <c r="B117" s="287">
        <v>7987</v>
      </c>
      <c r="C117" s="394" t="s">
        <v>16991</v>
      </c>
      <c r="D117" s="494"/>
      <c r="E117" s="151"/>
      <c r="F117" s="151"/>
      <c r="G117" s="151"/>
      <c r="H117" s="495"/>
      <c r="Q117" s="395"/>
      <c r="R117" s="151"/>
      <c r="S117" s="151"/>
      <c r="U117" s="387"/>
      <c r="V117" s="343"/>
      <c r="W117" s="343"/>
      <c r="X117" s="343"/>
      <c r="Y117" s="343"/>
      <c r="Z117" s="343"/>
      <c r="AA117" s="343"/>
      <c r="AB117" s="343"/>
      <c r="AC117" s="343"/>
      <c r="AD117" s="343"/>
      <c r="AE117" s="343"/>
      <c r="AF117" s="343"/>
      <c r="AG117" s="343"/>
      <c r="AH117" s="343"/>
      <c r="AI117" s="343"/>
      <c r="AJ117" s="343"/>
      <c r="AK117" s="343"/>
      <c r="AL117" s="114" t="s">
        <v>15628</v>
      </c>
      <c r="AM117" s="396"/>
      <c r="AN117" s="396"/>
      <c r="AO117" s="396"/>
      <c r="AP117" s="396"/>
      <c r="AQ117" s="396"/>
      <c r="AR117" s="396"/>
      <c r="AS117" s="396"/>
      <c r="AT117" s="490"/>
      <c r="AU117" s="387"/>
      <c r="AV117" s="902" t="s">
        <v>15636</v>
      </c>
      <c r="AW117" s="902"/>
      <c r="AX117" s="902"/>
      <c r="AY117" s="903"/>
      <c r="AZ117" s="489">
        <f>ROUND(ROUND(ROUND(Q112*AR118,0)*$AT$112,0)*AV118,0)</f>
        <v>83</v>
      </c>
      <c r="BA117" s="393"/>
    </row>
    <row r="118" spans="1:53" ht="16.5" customHeight="1" x14ac:dyDescent="0.15">
      <c r="A118" s="287">
        <v>12</v>
      </c>
      <c r="B118" s="287">
        <v>7988</v>
      </c>
      <c r="C118" s="394" t="s">
        <v>16992</v>
      </c>
      <c r="D118" s="403"/>
      <c r="E118" s="404"/>
      <c r="F118" s="404"/>
      <c r="G118" s="404"/>
      <c r="H118" s="406"/>
      <c r="Q118" s="395"/>
      <c r="R118" s="151"/>
      <c r="S118" s="151"/>
      <c r="U118" s="387"/>
      <c r="V118" s="343" t="s">
        <v>15625</v>
      </c>
      <c r="W118" s="325"/>
      <c r="X118" s="325"/>
      <c r="Y118" s="325"/>
      <c r="Z118" s="325"/>
      <c r="AA118" s="325"/>
      <c r="AB118" s="325"/>
      <c r="AC118" s="325"/>
      <c r="AD118" s="325"/>
      <c r="AE118" s="325"/>
      <c r="AF118" s="325"/>
      <c r="AG118" s="325"/>
      <c r="AH118" s="325"/>
      <c r="AI118" s="391" t="s">
        <v>15626</v>
      </c>
      <c r="AJ118" s="838">
        <f>AJ116</f>
        <v>1</v>
      </c>
      <c r="AK118" s="843"/>
      <c r="AL118" s="324" t="s">
        <v>15630</v>
      </c>
      <c r="AM118" s="325"/>
      <c r="AN118" s="325"/>
      <c r="AO118" s="325"/>
      <c r="AP118" s="325"/>
      <c r="AQ118" s="190" t="s">
        <v>398</v>
      </c>
      <c r="AR118" s="844">
        <f>AR114</f>
        <v>0.85</v>
      </c>
      <c r="AS118" s="844"/>
      <c r="AT118" s="501"/>
      <c r="AU118" s="502"/>
      <c r="AV118" s="844">
        <f>AV110</f>
        <v>0.8</v>
      </c>
      <c r="AW118" s="844"/>
      <c r="AX118" s="844"/>
      <c r="AY118" s="845"/>
      <c r="AZ118" s="489">
        <f>ROUND(ROUND(ROUND(ROUND(Q112*AJ118,0)*AR118,0)*$AT$112,0)*AV118,0)</f>
        <v>83</v>
      </c>
      <c r="BA118" s="393"/>
    </row>
    <row r="119" spans="1:53" ht="16.5" customHeight="1" x14ac:dyDescent="0.15">
      <c r="A119" s="340">
        <v>12</v>
      </c>
      <c r="B119" s="341">
        <v>7989</v>
      </c>
      <c r="C119" s="390" t="s">
        <v>16993</v>
      </c>
      <c r="D119" s="403"/>
      <c r="E119" s="404"/>
      <c r="F119" s="404"/>
      <c r="G119" s="404"/>
      <c r="H119" s="406"/>
      <c r="I119" s="908" t="s">
        <v>16309</v>
      </c>
      <c r="J119" s="909"/>
      <c r="K119" s="909"/>
      <c r="L119" s="909"/>
      <c r="M119" s="909"/>
      <c r="N119" s="909"/>
      <c r="O119" s="909"/>
      <c r="P119" s="909"/>
      <c r="Q119" s="909"/>
      <c r="R119" s="909"/>
      <c r="S119" s="909"/>
      <c r="T119" s="909"/>
      <c r="U119" s="910"/>
      <c r="V119" s="343"/>
      <c r="W119" s="325"/>
      <c r="X119" s="325"/>
      <c r="Y119" s="325"/>
      <c r="Z119" s="325"/>
      <c r="AA119" s="325"/>
      <c r="AB119" s="325"/>
      <c r="AC119" s="325"/>
      <c r="AD119" s="325"/>
      <c r="AE119" s="325"/>
      <c r="AF119" s="325"/>
      <c r="AG119" s="325"/>
      <c r="AH119" s="325"/>
      <c r="AI119" s="391"/>
      <c r="AJ119" s="401"/>
      <c r="AK119" s="402"/>
      <c r="AL119" s="396"/>
      <c r="AM119" s="396"/>
      <c r="AN119" s="396"/>
      <c r="AO119" s="396"/>
      <c r="AP119" s="396"/>
      <c r="AQ119" s="396"/>
      <c r="AR119" s="396"/>
      <c r="AS119" s="396"/>
      <c r="AT119" s="490"/>
      <c r="AU119" s="387"/>
      <c r="AV119" s="400"/>
      <c r="AW119" s="400"/>
      <c r="AX119" s="396"/>
      <c r="AY119" s="397"/>
      <c r="AZ119" s="489">
        <f>ROUND(Q120*$AT$112,0)</f>
        <v>125</v>
      </c>
      <c r="BA119" s="393"/>
    </row>
    <row r="120" spans="1:53" ht="16.5" customHeight="1" x14ac:dyDescent="0.15">
      <c r="A120" s="340">
        <v>12</v>
      </c>
      <c r="B120" s="341">
        <v>7990</v>
      </c>
      <c r="C120" s="390" t="s">
        <v>16994</v>
      </c>
      <c r="D120" s="403"/>
      <c r="E120" s="404"/>
      <c r="F120" s="404"/>
      <c r="G120" s="404"/>
      <c r="H120" s="406"/>
      <c r="Q120" s="836">
        <f>ROUND(Q216*$F$109,0)</f>
        <v>100</v>
      </c>
      <c r="R120" s="911"/>
      <c r="S120" s="911"/>
      <c r="T120" s="152" t="s">
        <v>15624</v>
      </c>
      <c r="U120" s="387"/>
      <c r="V120" s="343" t="s">
        <v>15625</v>
      </c>
      <c r="W120" s="325"/>
      <c r="X120" s="325"/>
      <c r="Y120" s="325"/>
      <c r="Z120" s="325"/>
      <c r="AA120" s="325"/>
      <c r="AB120" s="325"/>
      <c r="AC120" s="325"/>
      <c r="AD120" s="325"/>
      <c r="AE120" s="325"/>
      <c r="AF120" s="325"/>
      <c r="AG120" s="325"/>
      <c r="AH120" s="325"/>
      <c r="AI120" s="391" t="s">
        <v>15626</v>
      </c>
      <c r="AJ120" s="838">
        <f>AJ118</f>
        <v>1</v>
      </c>
      <c r="AK120" s="839"/>
      <c r="AL120" s="325"/>
      <c r="AM120" s="325"/>
      <c r="AN120" s="325"/>
      <c r="AO120" s="325"/>
      <c r="AP120" s="325"/>
      <c r="AQ120" s="325"/>
      <c r="AR120" s="325"/>
      <c r="AS120" s="325"/>
      <c r="AT120" s="490"/>
      <c r="AU120" s="387"/>
      <c r="AY120" s="387"/>
      <c r="AZ120" s="489">
        <f>ROUND(ROUND(Q120*AJ120,0)*$AT$112,0)</f>
        <v>125</v>
      </c>
      <c r="BA120" s="393"/>
    </row>
    <row r="121" spans="1:53" ht="16.5" customHeight="1" x14ac:dyDescent="0.15">
      <c r="A121" s="287">
        <v>12</v>
      </c>
      <c r="B121" s="287">
        <v>7991</v>
      </c>
      <c r="C121" s="394" t="s">
        <v>16995</v>
      </c>
      <c r="D121" s="403"/>
      <c r="E121" s="404"/>
      <c r="F121" s="404"/>
      <c r="G121" s="404"/>
      <c r="H121" s="406"/>
      <c r="Q121" s="395"/>
      <c r="R121" s="151"/>
      <c r="S121" s="151"/>
      <c r="U121" s="387"/>
      <c r="V121" s="343"/>
      <c r="W121" s="343"/>
      <c r="X121" s="343"/>
      <c r="Y121" s="343"/>
      <c r="Z121" s="343"/>
      <c r="AA121" s="343"/>
      <c r="AB121" s="343"/>
      <c r="AC121" s="343"/>
      <c r="AD121" s="343"/>
      <c r="AE121" s="343"/>
      <c r="AF121" s="343"/>
      <c r="AG121" s="343"/>
      <c r="AH121" s="343"/>
      <c r="AI121" s="343"/>
      <c r="AJ121" s="343"/>
      <c r="AK121" s="343"/>
      <c r="AL121" s="114" t="s">
        <v>15628</v>
      </c>
      <c r="AM121" s="396"/>
      <c r="AN121" s="396"/>
      <c r="AO121" s="396"/>
      <c r="AP121" s="396"/>
      <c r="AQ121" s="396"/>
      <c r="AR121" s="396"/>
      <c r="AS121" s="396"/>
      <c r="AT121" s="490"/>
      <c r="AU121" s="387"/>
      <c r="AY121" s="387"/>
      <c r="AZ121" s="489">
        <f>ROUND(ROUND(Q120*AR122,0)*$AT$112,0)</f>
        <v>106</v>
      </c>
      <c r="BA121" s="393"/>
    </row>
    <row r="122" spans="1:53" ht="16.5" customHeight="1" x14ac:dyDescent="0.15">
      <c r="A122" s="287">
        <v>12</v>
      </c>
      <c r="B122" s="287">
        <v>7992</v>
      </c>
      <c r="C122" s="394" t="s">
        <v>16996</v>
      </c>
      <c r="D122" s="403"/>
      <c r="E122" s="404"/>
      <c r="F122" s="404"/>
      <c r="G122" s="404"/>
      <c r="H122" s="406"/>
      <c r="Q122" s="395"/>
      <c r="R122" s="151"/>
      <c r="S122" s="151"/>
      <c r="U122" s="387"/>
      <c r="V122" s="343" t="s">
        <v>15625</v>
      </c>
      <c r="W122" s="325"/>
      <c r="X122" s="325"/>
      <c r="Y122" s="325"/>
      <c r="Z122" s="325"/>
      <c r="AA122" s="325"/>
      <c r="AB122" s="325"/>
      <c r="AC122" s="325"/>
      <c r="AD122" s="325"/>
      <c r="AE122" s="325"/>
      <c r="AF122" s="325"/>
      <c r="AG122" s="325"/>
      <c r="AH122" s="325"/>
      <c r="AI122" s="391" t="s">
        <v>15626</v>
      </c>
      <c r="AJ122" s="838">
        <f>AJ120</f>
        <v>1</v>
      </c>
      <c r="AK122" s="843"/>
      <c r="AL122" s="324" t="s">
        <v>15630</v>
      </c>
      <c r="AM122" s="325"/>
      <c r="AN122" s="325"/>
      <c r="AO122" s="325"/>
      <c r="AP122" s="325"/>
      <c r="AQ122" s="190" t="s">
        <v>398</v>
      </c>
      <c r="AR122" s="844">
        <f>AR118</f>
        <v>0.85</v>
      </c>
      <c r="AS122" s="844"/>
      <c r="AT122" s="501"/>
      <c r="AU122" s="502"/>
      <c r="AY122" s="387"/>
      <c r="AZ122" s="489">
        <f>ROUND(ROUND(ROUND(Q120*AJ122,0)*AR122,0)*$AT$112,0)</f>
        <v>106</v>
      </c>
      <c r="BA122" s="393"/>
    </row>
    <row r="123" spans="1:53" ht="16.5" customHeight="1" x14ac:dyDescent="0.15">
      <c r="A123" s="340">
        <v>12</v>
      </c>
      <c r="B123" s="341">
        <v>7993</v>
      </c>
      <c r="C123" s="390" t="s">
        <v>16997</v>
      </c>
      <c r="D123" s="403"/>
      <c r="E123" s="404"/>
      <c r="F123" s="404"/>
      <c r="G123" s="404"/>
      <c r="H123" s="406"/>
      <c r="I123" s="10"/>
      <c r="Q123" s="395"/>
      <c r="R123" s="151"/>
      <c r="S123" s="151"/>
      <c r="U123" s="387"/>
      <c r="V123" s="343"/>
      <c r="W123" s="325"/>
      <c r="X123" s="325"/>
      <c r="Y123" s="325"/>
      <c r="Z123" s="325"/>
      <c r="AA123" s="325"/>
      <c r="AB123" s="325"/>
      <c r="AC123" s="325"/>
      <c r="AD123" s="325"/>
      <c r="AE123" s="325"/>
      <c r="AF123" s="325"/>
      <c r="AG123" s="325"/>
      <c r="AH123" s="325"/>
      <c r="AI123" s="391"/>
      <c r="AJ123" s="401"/>
      <c r="AK123" s="402"/>
      <c r="AL123" s="396"/>
      <c r="AM123" s="396"/>
      <c r="AN123" s="396"/>
      <c r="AO123" s="396"/>
      <c r="AP123" s="396"/>
      <c r="AQ123" s="396"/>
      <c r="AR123" s="396"/>
      <c r="AS123" s="396"/>
      <c r="AT123" s="490"/>
      <c r="AU123" s="387"/>
      <c r="AV123" s="858" t="s">
        <v>16296</v>
      </c>
      <c r="AW123" s="858"/>
      <c r="AX123" s="858"/>
      <c r="AY123" s="860"/>
      <c r="AZ123" s="489">
        <f>ROUND(ROUND(Q120*$AT$112,0)*AV126,0)</f>
        <v>100</v>
      </c>
      <c r="BA123" s="393"/>
    </row>
    <row r="124" spans="1:53" ht="16.5" customHeight="1" x14ac:dyDescent="0.15">
      <c r="A124" s="340">
        <v>12</v>
      </c>
      <c r="B124" s="341">
        <v>7994</v>
      </c>
      <c r="C124" s="390" t="s">
        <v>16998</v>
      </c>
      <c r="D124" s="403"/>
      <c r="E124" s="404"/>
      <c r="F124" s="404"/>
      <c r="G124" s="404"/>
      <c r="H124" s="406"/>
      <c r="Q124" s="899"/>
      <c r="R124" s="899"/>
      <c r="S124" s="899"/>
      <c r="U124" s="387"/>
      <c r="V124" s="343" t="s">
        <v>15625</v>
      </c>
      <c r="W124" s="325"/>
      <c r="X124" s="325"/>
      <c r="Y124" s="325"/>
      <c r="Z124" s="325"/>
      <c r="AA124" s="325"/>
      <c r="AB124" s="325"/>
      <c r="AC124" s="325"/>
      <c r="AD124" s="325"/>
      <c r="AE124" s="325"/>
      <c r="AF124" s="325"/>
      <c r="AG124" s="325"/>
      <c r="AH124" s="325"/>
      <c r="AI124" s="391" t="s">
        <v>15626</v>
      </c>
      <c r="AJ124" s="838">
        <f>AJ122</f>
        <v>1</v>
      </c>
      <c r="AK124" s="839"/>
      <c r="AL124" s="325"/>
      <c r="AM124" s="325"/>
      <c r="AN124" s="325"/>
      <c r="AO124" s="325"/>
      <c r="AP124" s="325"/>
      <c r="AQ124" s="325"/>
      <c r="AR124" s="325"/>
      <c r="AS124" s="325"/>
      <c r="AT124" s="490"/>
      <c r="AU124" s="387"/>
      <c r="AV124" s="850"/>
      <c r="AW124" s="850"/>
      <c r="AX124" s="850"/>
      <c r="AY124" s="852"/>
      <c r="AZ124" s="489">
        <f>ROUND(ROUND(ROUND(Q120*AJ124,0)*$AT$112,0)*AV126,0)</f>
        <v>100</v>
      </c>
      <c r="BA124" s="393"/>
    </row>
    <row r="125" spans="1:53" ht="16.5" customHeight="1" x14ac:dyDescent="0.15">
      <c r="A125" s="287">
        <v>12</v>
      </c>
      <c r="B125" s="287">
        <v>7995</v>
      </c>
      <c r="C125" s="394" t="s">
        <v>16999</v>
      </c>
      <c r="D125" s="403"/>
      <c r="E125" s="404"/>
      <c r="F125" s="404"/>
      <c r="G125" s="404"/>
      <c r="H125" s="406"/>
      <c r="Q125" s="395"/>
      <c r="R125" s="151"/>
      <c r="S125" s="151"/>
      <c r="U125" s="387"/>
      <c r="V125" s="343"/>
      <c r="W125" s="343"/>
      <c r="X125" s="343"/>
      <c r="Y125" s="343"/>
      <c r="Z125" s="343"/>
      <c r="AA125" s="343"/>
      <c r="AB125" s="343"/>
      <c r="AC125" s="343"/>
      <c r="AD125" s="343"/>
      <c r="AE125" s="343"/>
      <c r="AF125" s="343"/>
      <c r="AG125" s="343"/>
      <c r="AH125" s="343"/>
      <c r="AI125" s="343"/>
      <c r="AJ125" s="343"/>
      <c r="AK125" s="343"/>
      <c r="AL125" s="114" t="s">
        <v>15628</v>
      </c>
      <c r="AM125" s="396"/>
      <c r="AN125" s="396"/>
      <c r="AO125" s="396"/>
      <c r="AP125" s="396"/>
      <c r="AQ125" s="396"/>
      <c r="AR125" s="396"/>
      <c r="AS125" s="396"/>
      <c r="AT125" s="490"/>
      <c r="AU125" s="387"/>
      <c r="AV125" s="902" t="s">
        <v>15636</v>
      </c>
      <c r="AW125" s="902"/>
      <c r="AX125" s="902"/>
      <c r="AY125" s="903"/>
      <c r="AZ125" s="489">
        <f>ROUND(ROUND(ROUND(Q120*AR126,0)*$AT$112,0)*AV126,0)</f>
        <v>85</v>
      </c>
      <c r="BA125" s="393"/>
    </row>
    <row r="126" spans="1:53" ht="16.5" customHeight="1" x14ac:dyDescent="0.15">
      <c r="A126" s="287">
        <v>12</v>
      </c>
      <c r="B126" s="287">
        <v>7996</v>
      </c>
      <c r="C126" s="394" t="s">
        <v>17000</v>
      </c>
      <c r="D126" s="403"/>
      <c r="E126" s="404"/>
      <c r="F126" s="404"/>
      <c r="G126" s="404"/>
      <c r="H126" s="406"/>
      <c r="Q126" s="395"/>
      <c r="R126" s="151"/>
      <c r="S126" s="151"/>
      <c r="U126" s="387"/>
      <c r="V126" s="343" t="s">
        <v>15625</v>
      </c>
      <c r="W126" s="325"/>
      <c r="X126" s="325"/>
      <c r="Y126" s="325"/>
      <c r="Z126" s="325"/>
      <c r="AA126" s="325"/>
      <c r="AB126" s="325"/>
      <c r="AC126" s="325"/>
      <c r="AD126" s="325"/>
      <c r="AE126" s="325"/>
      <c r="AF126" s="325"/>
      <c r="AG126" s="325"/>
      <c r="AH126" s="325"/>
      <c r="AI126" s="391" t="s">
        <v>15626</v>
      </c>
      <c r="AJ126" s="838">
        <f>AJ124</f>
        <v>1</v>
      </c>
      <c r="AK126" s="843"/>
      <c r="AL126" s="324" t="s">
        <v>15630</v>
      </c>
      <c r="AM126" s="325"/>
      <c r="AN126" s="325"/>
      <c r="AO126" s="325"/>
      <c r="AP126" s="325"/>
      <c r="AQ126" s="190" t="s">
        <v>398</v>
      </c>
      <c r="AR126" s="844">
        <f>AR122</f>
        <v>0.85</v>
      </c>
      <c r="AS126" s="844"/>
      <c r="AT126" s="501"/>
      <c r="AU126" s="502"/>
      <c r="AV126" s="844">
        <f>AV118</f>
        <v>0.8</v>
      </c>
      <c r="AW126" s="844"/>
      <c r="AX126" s="844"/>
      <c r="AY126" s="845"/>
      <c r="AZ126" s="489">
        <f>ROUND(ROUND(ROUND(ROUND(Q120*AJ126,0)*AR126,0)*$AT$112,0)*AV126,0)</f>
        <v>85</v>
      </c>
      <c r="BA126" s="393"/>
    </row>
    <row r="127" spans="1:53" ht="16.5" customHeight="1" x14ac:dyDescent="0.15">
      <c r="A127" s="340">
        <v>12</v>
      </c>
      <c r="B127" s="341">
        <v>7997</v>
      </c>
      <c r="C127" s="390" t="s">
        <v>17001</v>
      </c>
      <c r="D127" s="403"/>
      <c r="E127" s="404"/>
      <c r="F127" s="404"/>
      <c r="G127" s="404"/>
      <c r="H127" s="406"/>
      <c r="I127" s="908" t="s">
        <v>16318</v>
      </c>
      <c r="J127" s="909"/>
      <c r="K127" s="909"/>
      <c r="L127" s="909"/>
      <c r="M127" s="909"/>
      <c r="N127" s="909"/>
      <c r="O127" s="909"/>
      <c r="P127" s="909"/>
      <c r="Q127" s="909"/>
      <c r="R127" s="909"/>
      <c r="S127" s="909"/>
      <c r="T127" s="909"/>
      <c r="U127" s="910"/>
      <c r="V127" s="343"/>
      <c r="W127" s="325"/>
      <c r="X127" s="325"/>
      <c r="Y127" s="325"/>
      <c r="Z127" s="325"/>
      <c r="AA127" s="325"/>
      <c r="AB127" s="325"/>
      <c r="AC127" s="325"/>
      <c r="AD127" s="325"/>
      <c r="AE127" s="325"/>
      <c r="AF127" s="325"/>
      <c r="AG127" s="325"/>
      <c r="AH127" s="325"/>
      <c r="AI127" s="391"/>
      <c r="AJ127" s="401"/>
      <c r="AK127" s="402"/>
      <c r="AL127" s="396"/>
      <c r="AM127" s="396"/>
      <c r="AN127" s="396"/>
      <c r="AO127" s="396"/>
      <c r="AP127" s="396"/>
      <c r="AQ127" s="396"/>
      <c r="AR127" s="396"/>
      <c r="AS127" s="396"/>
      <c r="AT127" s="490"/>
      <c r="AU127" s="387"/>
      <c r="AV127" s="400"/>
      <c r="AW127" s="400"/>
      <c r="AX127" s="396"/>
      <c r="AY127" s="397"/>
      <c r="AZ127" s="489">
        <f>ROUND(Q128*$AT$112,0)</f>
        <v>124</v>
      </c>
      <c r="BA127" s="393"/>
    </row>
    <row r="128" spans="1:53" ht="16.5" customHeight="1" x14ac:dyDescent="0.15">
      <c r="A128" s="340">
        <v>12</v>
      </c>
      <c r="B128" s="341">
        <v>7998</v>
      </c>
      <c r="C128" s="390" t="s">
        <v>17002</v>
      </c>
      <c r="D128" s="403"/>
      <c r="E128" s="404"/>
      <c r="F128" s="404"/>
      <c r="G128" s="404"/>
      <c r="H128" s="406"/>
      <c r="Q128" s="836">
        <f>ROUND(Q224*$F$109,0)</f>
        <v>99</v>
      </c>
      <c r="R128" s="911"/>
      <c r="S128" s="911"/>
      <c r="T128" s="152" t="s">
        <v>15624</v>
      </c>
      <c r="U128" s="387"/>
      <c r="V128" s="343" t="s">
        <v>15625</v>
      </c>
      <c r="W128" s="325"/>
      <c r="X128" s="325"/>
      <c r="Y128" s="325"/>
      <c r="Z128" s="325"/>
      <c r="AA128" s="325"/>
      <c r="AB128" s="325"/>
      <c r="AC128" s="325"/>
      <c r="AD128" s="325"/>
      <c r="AE128" s="325"/>
      <c r="AF128" s="325"/>
      <c r="AG128" s="325"/>
      <c r="AH128" s="325"/>
      <c r="AI128" s="391" t="s">
        <v>15626</v>
      </c>
      <c r="AJ128" s="838">
        <f>AJ126</f>
        <v>1</v>
      </c>
      <c r="AK128" s="839"/>
      <c r="AL128" s="325"/>
      <c r="AM128" s="325"/>
      <c r="AN128" s="325"/>
      <c r="AO128" s="325"/>
      <c r="AP128" s="325"/>
      <c r="AQ128" s="325"/>
      <c r="AR128" s="325"/>
      <c r="AS128" s="325"/>
      <c r="AT128" s="490"/>
      <c r="AU128" s="387"/>
      <c r="AY128" s="387"/>
      <c r="AZ128" s="489">
        <f>ROUND(ROUND(Q128*AJ128,0)*$AT$112,0)</f>
        <v>124</v>
      </c>
      <c r="BA128" s="393"/>
    </row>
    <row r="129" spans="1:53" ht="16.5" customHeight="1" x14ac:dyDescent="0.15">
      <c r="A129" s="287">
        <v>12</v>
      </c>
      <c r="B129" s="287">
        <v>7999</v>
      </c>
      <c r="C129" s="394" t="s">
        <v>17003</v>
      </c>
      <c r="D129" s="403"/>
      <c r="E129" s="404"/>
      <c r="F129" s="404"/>
      <c r="G129" s="404"/>
      <c r="H129" s="406"/>
      <c r="Q129" s="395"/>
      <c r="R129" s="151"/>
      <c r="S129" s="151"/>
      <c r="U129" s="387"/>
      <c r="V129" s="343"/>
      <c r="W129" s="343"/>
      <c r="X129" s="343"/>
      <c r="Y129" s="343"/>
      <c r="Z129" s="343"/>
      <c r="AA129" s="343"/>
      <c r="AB129" s="343"/>
      <c r="AC129" s="343"/>
      <c r="AD129" s="343"/>
      <c r="AE129" s="343"/>
      <c r="AF129" s="343"/>
      <c r="AG129" s="343"/>
      <c r="AH129" s="343"/>
      <c r="AI129" s="343"/>
      <c r="AJ129" s="343"/>
      <c r="AK129" s="343"/>
      <c r="AL129" s="114" t="s">
        <v>15628</v>
      </c>
      <c r="AM129" s="396"/>
      <c r="AN129" s="396"/>
      <c r="AO129" s="396"/>
      <c r="AP129" s="396"/>
      <c r="AQ129" s="396"/>
      <c r="AR129" s="396"/>
      <c r="AS129" s="396"/>
      <c r="AT129" s="490"/>
      <c r="AU129" s="387"/>
      <c r="AY129" s="387"/>
      <c r="AZ129" s="489">
        <f>ROUND(ROUND(Q128*AR130,0)*$AT$112,0)</f>
        <v>105</v>
      </c>
      <c r="BA129" s="393"/>
    </row>
    <row r="130" spans="1:53" ht="16.5" customHeight="1" x14ac:dyDescent="0.15">
      <c r="A130" s="287">
        <v>12</v>
      </c>
      <c r="B130" s="287">
        <v>8000</v>
      </c>
      <c r="C130" s="394" t="s">
        <v>17004</v>
      </c>
      <c r="D130" s="403"/>
      <c r="E130" s="404"/>
      <c r="F130" s="404"/>
      <c r="G130" s="404"/>
      <c r="H130" s="406"/>
      <c r="Q130" s="395"/>
      <c r="R130" s="151"/>
      <c r="S130" s="151"/>
      <c r="U130" s="387"/>
      <c r="V130" s="343" t="s">
        <v>15625</v>
      </c>
      <c r="W130" s="325"/>
      <c r="X130" s="325"/>
      <c r="Y130" s="325"/>
      <c r="Z130" s="325"/>
      <c r="AA130" s="325"/>
      <c r="AB130" s="325"/>
      <c r="AC130" s="325"/>
      <c r="AD130" s="325"/>
      <c r="AE130" s="325"/>
      <c r="AF130" s="325"/>
      <c r="AG130" s="325"/>
      <c r="AH130" s="325"/>
      <c r="AI130" s="391" t="s">
        <v>15626</v>
      </c>
      <c r="AJ130" s="838">
        <f>AJ128</f>
        <v>1</v>
      </c>
      <c r="AK130" s="843"/>
      <c r="AL130" s="324" t="s">
        <v>15630</v>
      </c>
      <c r="AM130" s="325"/>
      <c r="AN130" s="325"/>
      <c r="AO130" s="325"/>
      <c r="AP130" s="325"/>
      <c r="AQ130" s="190" t="s">
        <v>398</v>
      </c>
      <c r="AR130" s="844">
        <f>AR126</f>
        <v>0.85</v>
      </c>
      <c r="AS130" s="844"/>
      <c r="AT130" s="501"/>
      <c r="AU130" s="502"/>
      <c r="AY130" s="387"/>
      <c r="AZ130" s="489">
        <f>ROUND(ROUND(ROUND(Q128*AJ130,0)*AR130,0)*$AT$112,0)</f>
        <v>105</v>
      </c>
      <c r="BA130" s="393"/>
    </row>
    <row r="131" spans="1:53" ht="16.5" customHeight="1" x14ac:dyDescent="0.15">
      <c r="A131" s="340">
        <v>12</v>
      </c>
      <c r="B131" s="341">
        <v>8001</v>
      </c>
      <c r="C131" s="390" t="s">
        <v>17005</v>
      </c>
      <c r="D131" s="403"/>
      <c r="E131" s="404"/>
      <c r="F131" s="404"/>
      <c r="G131" s="404"/>
      <c r="H131" s="406"/>
      <c r="I131" s="10"/>
      <c r="Q131" s="395"/>
      <c r="R131" s="151"/>
      <c r="S131" s="151"/>
      <c r="U131" s="387"/>
      <c r="V131" s="343"/>
      <c r="W131" s="325"/>
      <c r="X131" s="325"/>
      <c r="Y131" s="325"/>
      <c r="Z131" s="325"/>
      <c r="AA131" s="325"/>
      <c r="AB131" s="325"/>
      <c r="AC131" s="325"/>
      <c r="AD131" s="325"/>
      <c r="AE131" s="325"/>
      <c r="AF131" s="325"/>
      <c r="AG131" s="325"/>
      <c r="AH131" s="325"/>
      <c r="AI131" s="391"/>
      <c r="AJ131" s="401"/>
      <c r="AK131" s="402"/>
      <c r="AL131" s="396"/>
      <c r="AM131" s="396"/>
      <c r="AN131" s="396"/>
      <c r="AO131" s="396"/>
      <c r="AP131" s="396"/>
      <c r="AQ131" s="396"/>
      <c r="AR131" s="396"/>
      <c r="AS131" s="396"/>
      <c r="AT131" s="490"/>
      <c r="AU131" s="387"/>
      <c r="AV131" s="858" t="s">
        <v>16296</v>
      </c>
      <c r="AW131" s="858"/>
      <c r="AX131" s="858"/>
      <c r="AY131" s="860"/>
      <c r="AZ131" s="489">
        <f>ROUND(ROUND(Q128*$AT$112,0)*AV134,0)</f>
        <v>99</v>
      </c>
      <c r="BA131" s="393"/>
    </row>
    <row r="132" spans="1:53" ht="16.5" customHeight="1" x14ac:dyDescent="0.15">
      <c r="A132" s="340">
        <v>12</v>
      </c>
      <c r="B132" s="341">
        <v>8002</v>
      </c>
      <c r="C132" s="390" t="s">
        <v>17006</v>
      </c>
      <c r="D132" s="403"/>
      <c r="E132" s="404"/>
      <c r="F132" s="404"/>
      <c r="G132" s="404"/>
      <c r="H132" s="406"/>
      <c r="Q132" s="899"/>
      <c r="R132" s="899"/>
      <c r="S132" s="899"/>
      <c r="U132" s="387"/>
      <c r="V132" s="343" t="s">
        <v>15625</v>
      </c>
      <c r="W132" s="325"/>
      <c r="X132" s="325"/>
      <c r="Y132" s="325"/>
      <c r="Z132" s="325"/>
      <c r="AA132" s="325"/>
      <c r="AB132" s="325"/>
      <c r="AC132" s="325"/>
      <c r="AD132" s="325"/>
      <c r="AE132" s="325"/>
      <c r="AF132" s="325"/>
      <c r="AG132" s="325"/>
      <c r="AH132" s="325"/>
      <c r="AI132" s="391" t="s">
        <v>15626</v>
      </c>
      <c r="AJ132" s="838">
        <f>AJ130</f>
        <v>1</v>
      </c>
      <c r="AK132" s="839"/>
      <c r="AL132" s="325"/>
      <c r="AM132" s="325"/>
      <c r="AN132" s="325"/>
      <c r="AO132" s="325"/>
      <c r="AP132" s="325"/>
      <c r="AQ132" s="325"/>
      <c r="AR132" s="325"/>
      <c r="AS132" s="325"/>
      <c r="AT132" s="490"/>
      <c r="AU132" s="387"/>
      <c r="AV132" s="850"/>
      <c r="AW132" s="850"/>
      <c r="AX132" s="850"/>
      <c r="AY132" s="852"/>
      <c r="AZ132" s="489">
        <f>ROUND(ROUND(ROUND(Q128*AJ132,0)*$AT$112,0)*AV134,0)</f>
        <v>99</v>
      </c>
      <c r="BA132" s="393"/>
    </row>
    <row r="133" spans="1:53" ht="16.5" customHeight="1" x14ac:dyDescent="0.15">
      <c r="A133" s="287">
        <v>12</v>
      </c>
      <c r="B133" s="287">
        <v>8003</v>
      </c>
      <c r="C133" s="394" t="s">
        <v>17007</v>
      </c>
      <c r="D133" s="403"/>
      <c r="E133" s="404"/>
      <c r="F133" s="404"/>
      <c r="G133" s="404"/>
      <c r="H133" s="406"/>
      <c r="Q133" s="395"/>
      <c r="R133" s="151"/>
      <c r="S133" s="151"/>
      <c r="U133" s="387"/>
      <c r="V133" s="343"/>
      <c r="W133" s="343"/>
      <c r="X133" s="343"/>
      <c r="Y133" s="343"/>
      <c r="Z133" s="343"/>
      <c r="AA133" s="343"/>
      <c r="AB133" s="343"/>
      <c r="AC133" s="343"/>
      <c r="AD133" s="343"/>
      <c r="AE133" s="343"/>
      <c r="AF133" s="343"/>
      <c r="AG133" s="343"/>
      <c r="AH133" s="343"/>
      <c r="AI133" s="343"/>
      <c r="AJ133" s="343"/>
      <c r="AK133" s="343"/>
      <c r="AL133" s="114" t="s">
        <v>15628</v>
      </c>
      <c r="AM133" s="396"/>
      <c r="AN133" s="396"/>
      <c r="AO133" s="396"/>
      <c r="AP133" s="396"/>
      <c r="AQ133" s="396"/>
      <c r="AR133" s="396"/>
      <c r="AS133" s="396"/>
      <c r="AT133" s="490"/>
      <c r="AU133" s="387"/>
      <c r="AV133" s="902" t="s">
        <v>15636</v>
      </c>
      <c r="AW133" s="902"/>
      <c r="AX133" s="902"/>
      <c r="AY133" s="903"/>
      <c r="AZ133" s="489">
        <f>ROUND(ROUND(ROUND(Q128*AR134,0)*$AT$112,0)*AV134,0)</f>
        <v>84</v>
      </c>
      <c r="BA133" s="393"/>
    </row>
    <row r="134" spans="1:53" ht="16.5" customHeight="1" x14ac:dyDescent="0.15">
      <c r="A134" s="287">
        <v>12</v>
      </c>
      <c r="B134" s="287">
        <v>8004</v>
      </c>
      <c r="C134" s="394" t="s">
        <v>17008</v>
      </c>
      <c r="D134" s="403"/>
      <c r="E134" s="404"/>
      <c r="F134" s="404"/>
      <c r="G134" s="404"/>
      <c r="H134" s="406"/>
      <c r="Q134" s="395"/>
      <c r="R134" s="151"/>
      <c r="S134" s="151"/>
      <c r="U134" s="387"/>
      <c r="V134" s="343" t="s">
        <v>15625</v>
      </c>
      <c r="W134" s="325"/>
      <c r="X134" s="325"/>
      <c r="Y134" s="325"/>
      <c r="Z134" s="325"/>
      <c r="AA134" s="325"/>
      <c r="AB134" s="325"/>
      <c r="AC134" s="325"/>
      <c r="AD134" s="325"/>
      <c r="AE134" s="325"/>
      <c r="AF134" s="325"/>
      <c r="AG134" s="325"/>
      <c r="AH134" s="325"/>
      <c r="AI134" s="391" t="s">
        <v>15626</v>
      </c>
      <c r="AJ134" s="838">
        <f>AJ132</f>
        <v>1</v>
      </c>
      <c r="AK134" s="843"/>
      <c r="AL134" s="324" t="s">
        <v>15630</v>
      </c>
      <c r="AM134" s="325"/>
      <c r="AN134" s="325"/>
      <c r="AO134" s="325"/>
      <c r="AP134" s="325"/>
      <c r="AQ134" s="190" t="s">
        <v>398</v>
      </c>
      <c r="AR134" s="844">
        <f>AR130</f>
        <v>0.85</v>
      </c>
      <c r="AS134" s="844"/>
      <c r="AT134" s="501"/>
      <c r="AU134" s="502"/>
      <c r="AV134" s="844">
        <f>AV126</f>
        <v>0.8</v>
      </c>
      <c r="AW134" s="844"/>
      <c r="AX134" s="844"/>
      <c r="AY134" s="845"/>
      <c r="AZ134" s="489">
        <f>ROUND(ROUND(ROUND(ROUND(Q128*AJ134,0)*AR134,0)*$AT$112,0)*AV134,0)</f>
        <v>84</v>
      </c>
      <c r="BA134" s="393"/>
    </row>
    <row r="135" spans="1:53" ht="16.5" customHeight="1" x14ac:dyDescent="0.15">
      <c r="A135" s="340">
        <v>12</v>
      </c>
      <c r="B135" s="341">
        <v>8005</v>
      </c>
      <c r="C135" s="390" t="s">
        <v>17009</v>
      </c>
      <c r="D135" s="403"/>
      <c r="E135" s="404"/>
      <c r="F135" s="404"/>
      <c r="G135" s="404"/>
      <c r="H135" s="406"/>
      <c r="I135" s="908" t="s">
        <v>16327</v>
      </c>
      <c r="J135" s="909"/>
      <c r="K135" s="909"/>
      <c r="L135" s="909"/>
      <c r="M135" s="909"/>
      <c r="N135" s="909"/>
      <c r="O135" s="909"/>
      <c r="P135" s="909"/>
      <c r="Q135" s="909"/>
      <c r="R135" s="909"/>
      <c r="S135" s="909"/>
      <c r="T135" s="909"/>
      <c r="U135" s="910"/>
      <c r="V135" s="343"/>
      <c r="W135" s="325"/>
      <c r="X135" s="325"/>
      <c r="Y135" s="325"/>
      <c r="Z135" s="325"/>
      <c r="AA135" s="325"/>
      <c r="AB135" s="325"/>
      <c r="AC135" s="325"/>
      <c r="AD135" s="325"/>
      <c r="AE135" s="325"/>
      <c r="AF135" s="325"/>
      <c r="AG135" s="325"/>
      <c r="AH135" s="325"/>
      <c r="AI135" s="391"/>
      <c r="AJ135" s="401"/>
      <c r="AK135" s="402"/>
      <c r="AL135" s="396"/>
      <c r="AM135" s="396"/>
      <c r="AN135" s="396"/>
      <c r="AO135" s="396"/>
      <c r="AP135" s="396"/>
      <c r="AQ135" s="396"/>
      <c r="AR135" s="396"/>
      <c r="AS135" s="396"/>
      <c r="AT135" s="490"/>
      <c r="AU135" s="387"/>
      <c r="AV135" s="400"/>
      <c r="AW135" s="400"/>
      <c r="AX135" s="396"/>
      <c r="AY135" s="397"/>
      <c r="AZ135" s="489">
        <f>ROUND(Q136*$AT$112,0)</f>
        <v>125</v>
      </c>
      <c r="BA135" s="393"/>
    </row>
    <row r="136" spans="1:53" ht="16.5" customHeight="1" x14ac:dyDescent="0.15">
      <c r="A136" s="340">
        <v>12</v>
      </c>
      <c r="B136" s="341">
        <v>8006</v>
      </c>
      <c r="C136" s="390" t="s">
        <v>17010</v>
      </c>
      <c r="D136" s="403"/>
      <c r="E136" s="404"/>
      <c r="F136" s="404"/>
      <c r="G136" s="404"/>
      <c r="H136" s="406"/>
      <c r="Q136" s="836">
        <f>ROUND(Q232*$F$109,0)</f>
        <v>100</v>
      </c>
      <c r="R136" s="911"/>
      <c r="S136" s="911"/>
      <c r="T136" s="152" t="s">
        <v>15624</v>
      </c>
      <c r="U136" s="387"/>
      <c r="V136" s="343" t="s">
        <v>15625</v>
      </c>
      <c r="W136" s="325"/>
      <c r="X136" s="325"/>
      <c r="Y136" s="325"/>
      <c r="Z136" s="325"/>
      <c r="AA136" s="325"/>
      <c r="AB136" s="325"/>
      <c r="AC136" s="325"/>
      <c r="AD136" s="325"/>
      <c r="AE136" s="325"/>
      <c r="AF136" s="325"/>
      <c r="AG136" s="325"/>
      <c r="AH136" s="325"/>
      <c r="AI136" s="391" t="s">
        <v>15626</v>
      </c>
      <c r="AJ136" s="838">
        <f>AJ134</f>
        <v>1</v>
      </c>
      <c r="AK136" s="839"/>
      <c r="AL136" s="325"/>
      <c r="AM136" s="325"/>
      <c r="AN136" s="325"/>
      <c r="AO136" s="325"/>
      <c r="AP136" s="325"/>
      <c r="AQ136" s="325"/>
      <c r="AR136" s="325"/>
      <c r="AS136" s="325"/>
      <c r="AT136" s="490"/>
      <c r="AU136" s="387"/>
      <c r="AY136" s="387"/>
      <c r="AZ136" s="489">
        <f>ROUND(ROUND(Q136*AJ136,0)*$AT$112,0)</f>
        <v>125</v>
      </c>
      <c r="BA136" s="393"/>
    </row>
    <row r="137" spans="1:53" ht="16.5" customHeight="1" x14ac:dyDescent="0.15">
      <c r="A137" s="340">
        <v>12</v>
      </c>
      <c r="B137" s="341">
        <v>8007</v>
      </c>
      <c r="C137" s="390" t="s">
        <v>17011</v>
      </c>
      <c r="D137" s="403"/>
      <c r="E137" s="404"/>
      <c r="F137" s="404"/>
      <c r="G137" s="404"/>
      <c r="H137" s="406"/>
      <c r="Q137" s="395"/>
      <c r="R137" s="151"/>
      <c r="S137" s="151"/>
      <c r="U137" s="387"/>
      <c r="V137" s="343"/>
      <c r="W137" s="343"/>
      <c r="X137" s="343"/>
      <c r="Y137" s="343"/>
      <c r="Z137" s="343"/>
      <c r="AA137" s="343"/>
      <c r="AB137" s="343"/>
      <c r="AC137" s="343"/>
      <c r="AD137" s="343"/>
      <c r="AE137" s="343"/>
      <c r="AF137" s="343"/>
      <c r="AG137" s="343"/>
      <c r="AH137" s="343"/>
      <c r="AI137" s="343"/>
      <c r="AJ137" s="343"/>
      <c r="AK137" s="343"/>
      <c r="AL137" s="114" t="s">
        <v>15628</v>
      </c>
      <c r="AM137" s="396"/>
      <c r="AN137" s="396"/>
      <c r="AO137" s="396"/>
      <c r="AP137" s="396"/>
      <c r="AQ137" s="396"/>
      <c r="AR137" s="396"/>
      <c r="AS137" s="396"/>
      <c r="AT137" s="490"/>
      <c r="AU137" s="387"/>
      <c r="AY137" s="387"/>
      <c r="AZ137" s="489">
        <f>ROUND(ROUND(Q136*AR138,0)*$AT$112,0)</f>
        <v>106</v>
      </c>
      <c r="BA137" s="393"/>
    </row>
    <row r="138" spans="1:53" ht="16.5" customHeight="1" x14ac:dyDescent="0.15">
      <c r="A138" s="340">
        <v>12</v>
      </c>
      <c r="B138" s="341">
        <v>8008</v>
      </c>
      <c r="C138" s="390" t="s">
        <v>17012</v>
      </c>
      <c r="D138" s="403"/>
      <c r="E138" s="404"/>
      <c r="F138" s="404"/>
      <c r="G138" s="404"/>
      <c r="H138" s="406"/>
      <c r="Q138" s="395"/>
      <c r="R138" s="151"/>
      <c r="S138" s="151"/>
      <c r="U138" s="387"/>
      <c r="V138" s="343" t="s">
        <v>15625</v>
      </c>
      <c r="W138" s="325"/>
      <c r="X138" s="325"/>
      <c r="Y138" s="325"/>
      <c r="Z138" s="325"/>
      <c r="AA138" s="325"/>
      <c r="AB138" s="325"/>
      <c r="AC138" s="325"/>
      <c r="AD138" s="325"/>
      <c r="AE138" s="325"/>
      <c r="AF138" s="325"/>
      <c r="AG138" s="325"/>
      <c r="AH138" s="325"/>
      <c r="AI138" s="391" t="s">
        <v>15626</v>
      </c>
      <c r="AJ138" s="838">
        <f>AJ136</f>
        <v>1</v>
      </c>
      <c r="AK138" s="843"/>
      <c r="AL138" s="324" t="s">
        <v>15630</v>
      </c>
      <c r="AM138" s="325"/>
      <c r="AN138" s="325"/>
      <c r="AO138" s="325"/>
      <c r="AP138" s="325"/>
      <c r="AQ138" s="190" t="s">
        <v>398</v>
      </c>
      <c r="AR138" s="844">
        <f>AR134</f>
        <v>0.85</v>
      </c>
      <c r="AS138" s="844"/>
      <c r="AT138" s="501"/>
      <c r="AU138" s="502"/>
      <c r="AY138" s="387"/>
      <c r="AZ138" s="489">
        <f>ROUND(ROUND(ROUND(Q136*AJ138,0)*AR138,0)*$AT$112,0)</f>
        <v>106</v>
      </c>
      <c r="BA138" s="393"/>
    </row>
    <row r="139" spans="1:53" ht="16.5" customHeight="1" x14ac:dyDescent="0.15">
      <c r="A139" s="340">
        <v>12</v>
      </c>
      <c r="B139" s="341">
        <v>8009</v>
      </c>
      <c r="C139" s="390" t="s">
        <v>17013</v>
      </c>
      <c r="D139" s="403"/>
      <c r="E139" s="404"/>
      <c r="F139" s="404"/>
      <c r="G139" s="404"/>
      <c r="H139" s="406"/>
      <c r="I139" s="10"/>
      <c r="Q139" s="395"/>
      <c r="R139" s="151"/>
      <c r="S139" s="151"/>
      <c r="U139" s="387"/>
      <c r="V139" s="343"/>
      <c r="W139" s="325"/>
      <c r="X139" s="325"/>
      <c r="Y139" s="325"/>
      <c r="Z139" s="325"/>
      <c r="AA139" s="325"/>
      <c r="AB139" s="325"/>
      <c r="AC139" s="325"/>
      <c r="AD139" s="325"/>
      <c r="AE139" s="325"/>
      <c r="AF139" s="325"/>
      <c r="AG139" s="325"/>
      <c r="AH139" s="325"/>
      <c r="AI139" s="391"/>
      <c r="AJ139" s="401"/>
      <c r="AK139" s="402"/>
      <c r="AL139" s="396"/>
      <c r="AM139" s="396"/>
      <c r="AN139" s="396"/>
      <c r="AO139" s="396"/>
      <c r="AP139" s="396"/>
      <c r="AQ139" s="396"/>
      <c r="AR139" s="396"/>
      <c r="AS139" s="396"/>
      <c r="AT139" s="490"/>
      <c r="AU139" s="387"/>
      <c r="AV139" s="858" t="s">
        <v>16296</v>
      </c>
      <c r="AW139" s="858"/>
      <c r="AX139" s="858"/>
      <c r="AY139" s="860"/>
      <c r="AZ139" s="489">
        <f>ROUND(ROUND(Q136*$AT$112,0)*AV142,0)</f>
        <v>100</v>
      </c>
      <c r="BA139" s="393"/>
    </row>
    <row r="140" spans="1:53" ht="16.5" customHeight="1" x14ac:dyDescent="0.15">
      <c r="A140" s="340">
        <v>12</v>
      </c>
      <c r="B140" s="341">
        <v>8010</v>
      </c>
      <c r="C140" s="390" t="s">
        <v>17014</v>
      </c>
      <c r="D140" s="403"/>
      <c r="E140" s="404"/>
      <c r="F140" s="404"/>
      <c r="G140" s="404"/>
      <c r="H140" s="406"/>
      <c r="Q140" s="899"/>
      <c r="R140" s="899"/>
      <c r="S140" s="899"/>
      <c r="U140" s="387"/>
      <c r="V140" s="343" t="s">
        <v>15625</v>
      </c>
      <c r="W140" s="325"/>
      <c r="X140" s="325"/>
      <c r="Y140" s="325"/>
      <c r="Z140" s="325"/>
      <c r="AA140" s="325"/>
      <c r="AB140" s="325"/>
      <c r="AC140" s="325"/>
      <c r="AD140" s="325"/>
      <c r="AE140" s="325"/>
      <c r="AF140" s="325"/>
      <c r="AG140" s="325"/>
      <c r="AH140" s="325"/>
      <c r="AI140" s="391" t="s">
        <v>15626</v>
      </c>
      <c r="AJ140" s="838">
        <f>AJ138</f>
        <v>1</v>
      </c>
      <c r="AK140" s="839"/>
      <c r="AL140" s="325"/>
      <c r="AM140" s="325"/>
      <c r="AN140" s="325"/>
      <c r="AO140" s="325"/>
      <c r="AP140" s="325"/>
      <c r="AQ140" s="325"/>
      <c r="AR140" s="325"/>
      <c r="AS140" s="325"/>
      <c r="AT140" s="490"/>
      <c r="AU140" s="387"/>
      <c r="AV140" s="850"/>
      <c r="AW140" s="850"/>
      <c r="AX140" s="850"/>
      <c r="AY140" s="852"/>
      <c r="AZ140" s="489">
        <f>ROUND(ROUND(ROUND(Q136*AJ140,0)*$AT$112,0)*AV142,0)</f>
        <v>100</v>
      </c>
      <c r="BA140" s="393"/>
    </row>
    <row r="141" spans="1:53" ht="16.5" customHeight="1" x14ac:dyDescent="0.15">
      <c r="A141" s="340">
        <v>12</v>
      </c>
      <c r="B141" s="341">
        <v>8011</v>
      </c>
      <c r="C141" s="390" t="s">
        <v>17015</v>
      </c>
      <c r="D141" s="403"/>
      <c r="E141" s="404"/>
      <c r="F141" s="404"/>
      <c r="G141" s="404"/>
      <c r="H141" s="406"/>
      <c r="Q141" s="395"/>
      <c r="R141" s="151"/>
      <c r="S141" s="151"/>
      <c r="U141" s="387"/>
      <c r="V141" s="343"/>
      <c r="W141" s="343"/>
      <c r="X141" s="343"/>
      <c r="Y141" s="343"/>
      <c r="Z141" s="343"/>
      <c r="AA141" s="343"/>
      <c r="AB141" s="343"/>
      <c r="AC141" s="343"/>
      <c r="AD141" s="343"/>
      <c r="AE141" s="343"/>
      <c r="AF141" s="343"/>
      <c r="AG141" s="343"/>
      <c r="AH141" s="343"/>
      <c r="AI141" s="343"/>
      <c r="AJ141" s="343"/>
      <c r="AK141" s="343"/>
      <c r="AL141" s="114" t="s">
        <v>15628</v>
      </c>
      <c r="AM141" s="396"/>
      <c r="AN141" s="396"/>
      <c r="AO141" s="396"/>
      <c r="AP141" s="396"/>
      <c r="AQ141" s="396"/>
      <c r="AR141" s="396"/>
      <c r="AS141" s="396"/>
      <c r="AT141" s="490"/>
      <c r="AU141" s="387"/>
      <c r="AV141" s="902" t="s">
        <v>15636</v>
      </c>
      <c r="AW141" s="902"/>
      <c r="AX141" s="902"/>
      <c r="AY141" s="903"/>
      <c r="AZ141" s="489">
        <f>ROUND(ROUND(ROUND(Q136*AR142,0)*$AT$112,0)*AV142,0)</f>
        <v>85</v>
      </c>
      <c r="BA141" s="393"/>
    </row>
    <row r="142" spans="1:53" ht="16.5" customHeight="1" x14ac:dyDescent="0.15">
      <c r="A142" s="340">
        <v>12</v>
      </c>
      <c r="B142" s="341">
        <v>8012</v>
      </c>
      <c r="C142" s="390" t="s">
        <v>17016</v>
      </c>
      <c r="D142" s="403"/>
      <c r="E142" s="404"/>
      <c r="F142" s="404"/>
      <c r="G142" s="404"/>
      <c r="H142" s="406"/>
      <c r="Q142" s="395"/>
      <c r="R142" s="151"/>
      <c r="S142" s="151"/>
      <c r="U142" s="387"/>
      <c r="V142" s="343" t="s">
        <v>15625</v>
      </c>
      <c r="W142" s="325"/>
      <c r="X142" s="325"/>
      <c r="Y142" s="325"/>
      <c r="Z142" s="325"/>
      <c r="AA142" s="325"/>
      <c r="AB142" s="325"/>
      <c r="AC142" s="325"/>
      <c r="AD142" s="325"/>
      <c r="AE142" s="325"/>
      <c r="AF142" s="325"/>
      <c r="AG142" s="325"/>
      <c r="AH142" s="325"/>
      <c r="AI142" s="391" t="s">
        <v>15626</v>
      </c>
      <c r="AJ142" s="838">
        <f>AJ140</f>
        <v>1</v>
      </c>
      <c r="AK142" s="843"/>
      <c r="AL142" s="324" t="s">
        <v>15630</v>
      </c>
      <c r="AM142" s="325"/>
      <c r="AN142" s="325"/>
      <c r="AO142" s="325"/>
      <c r="AP142" s="325"/>
      <c r="AQ142" s="190" t="s">
        <v>398</v>
      </c>
      <c r="AR142" s="844">
        <f>AR138</f>
        <v>0.85</v>
      </c>
      <c r="AS142" s="844"/>
      <c r="AT142" s="501"/>
      <c r="AU142" s="502"/>
      <c r="AV142" s="844">
        <f>AV134</f>
        <v>0.8</v>
      </c>
      <c r="AW142" s="844"/>
      <c r="AX142" s="844"/>
      <c r="AY142" s="845"/>
      <c r="AZ142" s="489">
        <f>ROUND(ROUND(ROUND(ROUND(Q136*AJ142,0)*AR142,0)*$AT$112,0)*AV142,0)</f>
        <v>85</v>
      </c>
      <c r="BA142" s="393"/>
    </row>
    <row r="143" spans="1:53" ht="16.5" customHeight="1" x14ac:dyDescent="0.15">
      <c r="A143" s="340">
        <v>12</v>
      </c>
      <c r="B143" s="341">
        <v>8013</v>
      </c>
      <c r="C143" s="390" t="s">
        <v>17017</v>
      </c>
      <c r="D143" s="403"/>
      <c r="E143" s="404"/>
      <c r="F143" s="404"/>
      <c r="G143" s="404"/>
      <c r="H143" s="406"/>
      <c r="I143" s="908" t="s">
        <v>16336</v>
      </c>
      <c r="J143" s="909"/>
      <c r="K143" s="909"/>
      <c r="L143" s="909"/>
      <c r="M143" s="909"/>
      <c r="N143" s="909"/>
      <c r="O143" s="909"/>
      <c r="P143" s="909"/>
      <c r="Q143" s="909"/>
      <c r="R143" s="909"/>
      <c r="S143" s="909"/>
      <c r="T143" s="909"/>
      <c r="U143" s="910"/>
      <c r="V143" s="343"/>
      <c r="W143" s="325"/>
      <c r="X143" s="325"/>
      <c r="Y143" s="325"/>
      <c r="Z143" s="325"/>
      <c r="AA143" s="325"/>
      <c r="AB143" s="325"/>
      <c r="AC143" s="325"/>
      <c r="AD143" s="325"/>
      <c r="AE143" s="325"/>
      <c r="AF143" s="325"/>
      <c r="AG143" s="325"/>
      <c r="AH143" s="325"/>
      <c r="AI143" s="391"/>
      <c r="AJ143" s="401"/>
      <c r="AK143" s="402"/>
      <c r="AL143" s="396"/>
      <c r="AM143" s="396"/>
      <c r="AN143" s="396"/>
      <c r="AO143" s="396"/>
      <c r="AP143" s="396"/>
      <c r="AQ143" s="396"/>
      <c r="AR143" s="396"/>
      <c r="AS143" s="396"/>
      <c r="AT143" s="490"/>
      <c r="AU143" s="387"/>
      <c r="AV143" s="400"/>
      <c r="AW143" s="400"/>
      <c r="AX143" s="396"/>
      <c r="AY143" s="397"/>
      <c r="AZ143" s="489">
        <f>ROUND(Q144*$AT$112,0)</f>
        <v>123</v>
      </c>
      <c r="BA143" s="393"/>
    </row>
    <row r="144" spans="1:53" ht="16.5" customHeight="1" x14ac:dyDescent="0.15">
      <c r="A144" s="340">
        <v>12</v>
      </c>
      <c r="B144" s="341">
        <v>8014</v>
      </c>
      <c r="C144" s="390" t="s">
        <v>17018</v>
      </c>
      <c r="D144" s="403"/>
      <c r="E144" s="404"/>
      <c r="F144" s="404"/>
      <c r="G144" s="404"/>
      <c r="H144" s="406"/>
      <c r="Q144" s="836">
        <f>ROUND(Q240*$F$109,0)</f>
        <v>98</v>
      </c>
      <c r="R144" s="911"/>
      <c r="S144" s="911"/>
      <c r="T144" s="152" t="s">
        <v>15624</v>
      </c>
      <c r="U144" s="387"/>
      <c r="V144" s="343" t="s">
        <v>15625</v>
      </c>
      <c r="W144" s="325"/>
      <c r="X144" s="325"/>
      <c r="Y144" s="325"/>
      <c r="Z144" s="325"/>
      <c r="AA144" s="325"/>
      <c r="AB144" s="325"/>
      <c r="AC144" s="325"/>
      <c r="AD144" s="325"/>
      <c r="AE144" s="325"/>
      <c r="AF144" s="325"/>
      <c r="AG144" s="325"/>
      <c r="AH144" s="325"/>
      <c r="AI144" s="391" t="s">
        <v>15626</v>
      </c>
      <c r="AJ144" s="838">
        <f>AJ142</f>
        <v>1</v>
      </c>
      <c r="AK144" s="839"/>
      <c r="AL144" s="325"/>
      <c r="AM144" s="325"/>
      <c r="AN144" s="325"/>
      <c r="AO144" s="325"/>
      <c r="AP144" s="325"/>
      <c r="AQ144" s="325"/>
      <c r="AR144" s="325"/>
      <c r="AS144" s="325"/>
      <c r="AT144" s="490"/>
      <c r="AU144" s="387"/>
      <c r="AY144" s="387"/>
      <c r="AZ144" s="489">
        <f>ROUND(ROUND(Q144*AJ144,0)*$AT$112,0)</f>
        <v>123</v>
      </c>
      <c r="BA144" s="393"/>
    </row>
    <row r="145" spans="1:53" ht="16.5" customHeight="1" x14ac:dyDescent="0.15">
      <c r="A145" s="340">
        <v>12</v>
      </c>
      <c r="B145" s="341">
        <v>8015</v>
      </c>
      <c r="C145" s="390" t="s">
        <v>17019</v>
      </c>
      <c r="D145" s="403"/>
      <c r="E145" s="404"/>
      <c r="F145" s="404"/>
      <c r="G145" s="404"/>
      <c r="H145" s="406"/>
      <c r="Q145" s="395"/>
      <c r="R145" s="151"/>
      <c r="S145" s="151"/>
      <c r="U145" s="387"/>
      <c r="V145" s="343"/>
      <c r="W145" s="343"/>
      <c r="X145" s="343"/>
      <c r="Y145" s="343"/>
      <c r="Z145" s="343"/>
      <c r="AA145" s="343"/>
      <c r="AB145" s="343"/>
      <c r="AC145" s="343"/>
      <c r="AD145" s="343"/>
      <c r="AE145" s="343"/>
      <c r="AF145" s="343"/>
      <c r="AG145" s="343"/>
      <c r="AH145" s="343"/>
      <c r="AI145" s="343"/>
      <c r="AJ145" s="343"/>
      <c r="AK145" s="343"/>
      <c r="AL145" s="114" t="s">
        <v>15628</v>
      </c>
      <c r="AM145" s="396"/>
      <c r="AN145" s="396"/>
      <c r="AO145" s="396"/>
      <c r="AP145" s="396"/>
      <c r="AQ145" s="396"/>
      <c r="AR145" s="396"/>
      <c r="AS145" s="396"/>
      <c r="AT145" s="490"/>
      <c r="AU145" s="387"/>
      <c r="AY145" s="387"/>
      <c r="AZ145" s="489">
        <f>ROUND(ROUND(Q144*AR146,0)*$AT$112,0)</f>
        <v>104</v>
      </c>
      <c r="BA145" s="393"/>
    </row>
    <row r="146" spans="1:53" ht="16.5" customHeight="1" x14ac:dyDescent="0.15">
      <c r="A146" s="340">
        <v>12</v>
      </c>
      <c r="B146" s="341">
        <v>8016</v>
      </c>
      <c r="C146" s="390" t="s">
        <v>17020</v>
      </c>
      <c r="D146" s="403"/>
      <c r="E146" s="404"/>
      <c r="F146" s="404"/>
      <c r="G146" s="404"/>
      <c r="H146" s="406"/>
      <c r="Q146" s="395"/>
      <c r="R146" s="151"/>
      <c r="S146" s="151"/>
      <c r="U146" s="387"/>
      <c r="V146" s="343" t="s">
        <v>15625</v>
      </c>
      <c r="W146" s="325"/>
      <c r="X146" s="325"/>
      <c r="Y146" s="325"/>
      <c r="Z146" s="325"/>
      <c r="AA146" s="325"/>
      <c r="AB146" s="325"/>
      <c r="AC146" s="325"/>
      <c r="AD146" s="325"/>
      <c r="AE146" s="325"/>
      <c r="AF146" s="325"/>
      <c r="AG146" s="325"/>
      <c r="AH146" s="325"/>
      <c r="AI146" s="391" t="s">
        <v>15626</v>
      </c>
      <c r="AJ146" s="838">
        <f>AJ144</f>
        <v>1</v>
      </c>
      <c r="AK146" s="843"/>
      <c r="AL146" s="324" t="s">
        <v>15630</v>
      </c>
      <c r="AM146" s="325"/>
      <c r="AN146" s="325"/>
      <c r="AO146" s="325"/>
      <c r="AP146" s="325"/>
      <c r="AQ146" s="190" t="s">
        <v>398</v>
      </c>
      <c r="AR146" s="844">
        <f>AR142</f>
        <v>0.85</v>
      </c>
      <c r="AS146" s="844"/>
      <c r="AT146" s="501"/>
      <c r="AU146" s="502"/>
      <c r="AY146" s="387"/>
      <c r="AZ146" s="489">
        <f>ROUND(ROUND(ROUND(Q144*AJ146,0)*AR146,0)*$AT$112,0)</f>
        <v>104</v>
      </c>
      <c r="BA146" s="393"/>
    </row>
    <row r="147" spans="1:53" ht="16.5" customHeight="1" x14ac:dyDescent="0.15">
      <c r="A147" s="340">
        <v>12</v>
      </c>
      <c r="B147" s="341">
        <v>8017</v>
      </c>
      <c r="C147" s="390" t="s">
        <v>17021</v>
      </c>
      <c r="D147" s="403"/>
      <c r="E147" s="404"/>
      <c r="F147" s="404"/>
      <c r="G147" s="404"/>
      <c r="H147" s="406"/>
      <c r="I147" s="10"/>
      <c r="Q147" s="395"/>
      <c r="R147" s="151"/>
      <c r="S147" s="151"/>
      <c r="U147" s="387"/>
      <c r="V147" s="343"/>
      <c r="W147" s="325"/>
      <c r="X147" s="325"/>
      <c r="Y147" s="325"/>
      <c r="Z147" s="325"/>
      <c r="AA147" s="325"/>
      <c r="AB147" s="325"/>
      <c r="AC147" s="325"/>
      <c r="AD147" s="325"/>
      <c r="AE147" s="325"/>
      <c r="AF147" s="325"/>
      <c r="AG147" s="325"/>
      <c r="AH147" s="325"/>
      <c r="AI147" s="391"/>
      <c r="AJ147" s="401"/>
      <c r="AK147" s="402"/>
      <c r="AL147" s="396"/>
      <c r="AM147" s="396"/>
      <c r="AN147" s="396"/>
      <c r="AO147" s="396"/>
      <c r="AP147" s="396"/>
      <c r="AQ147" s="396"/>
      <c r="AR147" s="396"/>
      <c r="AS147" s="396"/>
      <c r="AT147" s="490"/>
      <c r="AU147" s="387"/>
      <c r="AV147" s="858" t="s">
        <v>16296</v>
      </c>
      <c r="AW147" s="858"/>
      <c r="AX147" s="858"/>
      <c r="AY147" s="860"/>
      <c r="AZ147" s="489">
        <f>ROUND(ROUND(Q144*$AT$112,0)*AV150,0)</f>
        <v>98</v>
      </c>
      <c r="BA147" s="393"/>
    </row>
    <row r="148" spans="1:53" ht="16.5" customHeight="1" x14ac:dyDescent="0.15">
      <c r="A148" s="340">
        <v>12</v>
      </c>
      <c r="B148" s="341">
        <v>8018</v>
      </c>
      <c r="C148" s="390" t="s">
        <v>17022</v>
      </c>
      <c r="D148" s="403"/>
      <c r="E148" s="404"/>
      <c r="F148" s="404"/>
      <c r="G148" s="404"/>
      <c r="H148" s="406"/>
      <c r="Q148" s="899"/>
      <c r="R148" s="899"/>
      <c r="S148" s="899"/>
      <c r="U148" s="387"/>
      <c r="V148" s="343" t="s">
        <v>15625</v>
      </c>
      <c r="W148" s="325"/>
      <c r="X148" s="325"/>
      <c r="Y148" s="325"/>
      <c r="Z148" s="325"/>
      <c r="AA148" s="325"/>
      <c r="AB148" s="325"/>
      <c r="AC148" s="325"/>
      <c r="AD148" s="325"/>
      <c r="AE148" s="325"/>
      <c r="AF148" s="325"/>
      <c r="AG148" s="325"/>
      <c r="AH148" s="325"/>
      <c r="AI148" s="391" t="s">
        <v>15626</v>
      </c>
      <c r="AJ148" s="838">
        <f>AJ146</f>
        <v>1</v>
      </c>
      <c r="AK148" s="839"/>
      <c r="AL148" s="325"/>
      <c r="AM148" s="325"/>
      <c r="AN148" s="325"/>
      <c r="AO148" s="325"/>
      <c r="AP148" s="325"/>
      <c r="AQ148" s="325"/>
      <c r="AR148" s="325"/>
      <c r="AS148" s="325"/>
      <c r="AT148" s="490"/>
      <c r="AU148" s="387"/>
      <c r="AV148" s="850"/>
      <c r="AW148" s="850"/>
      <c r="AX148" s="850"/>
      <c r="AY148" s="852"/>
      <c r="AZ148" s="489">
        <f>ROUND(ROUND(ROUND(Q144*AJ148,0)*$AT$112,0)*AV150,0)</f>
        <v>98</v>
      </c>
      <c r="BA148" s="393"/>
    </row>
    <row r="149" spans="1:53" ht="16.5" customHeight="1" x14ac:dyDescent="0.15">
      <c r="A149" s="340">
        <v>12</v>
      </c>
      <c r="B149" s="341">
        <v>8019</v>
      </c>
      <c r="C149" s="390" t="s">
        <v>17023</v>
      </c>
      <c r="D149" s="403"/>
      <c r="E149" s="404"/>
      <c r="F149" s="404"/>
      <c r="G149" s="404"/>
      <c r="H149" s="406"/>
      <c r="Q149" s="395"/>
      <c r="R149" s="151"/>
      <c r="S149" s="151"/>
      <c r="U149" s="387"/>
      <c r="V149" s="343"/>
      <c r="W149" s="343"/>
      <c r="X149" s="343"/>
      <c r="Y149" s="343"/>
      <c r="Z149" s="343"/>
      <c r="AA149" s="343"/>
      <c r="AB149" s="343"/>
      <c r="AC149" s="343"/>
      <c r="AD149" s="343"/>
      <c r="AE149" s="343"/>
      <c r="AF149" s="343"/>
      <c r="AG149" s="343"/>
      <c r="AH149" s="343"/>
      <c r="AI149" s="343"/>
      <c r="AJ149" s="343"/>
      <c r="AK149" s="343"/>
      <c r="AL149" s="114" t="s">
        <v>15628</v>
      </c>
      <c r="AM149" s="396"/>
      <c r="AN149" s="396"/>
      <c r="AO149" s="396"/>
      <c r="AP149" s="396"/>
      <c r="AQ149" s="396"/>
      <c r="AR149" s="396"/>
      <c r="AS149" s="396"/>
      <c r="AT149" s="490"/>
      <c r="AU149" s="387"/>
      <c r="AV149" s="902" t="s">
        <v>15636</v>
      </c>
      <c r="AW149" s="902"/>
      <c r="AX149" s="902"/>
      <c r="AY149" s="903"/>
      <c r="AZ149" s="489">
        <f>ROUND(ROUND(ROUND(Q144*AR150,0)*$AT$112,0)*AV150,0)</f>
        <v>83</v>
      </c>
      <c r="BA149" s="393"/>
    </row>
    <row r="150" spans="1:53" ht="16.5" customHeight="1" x14ac:dyDescent="0.15">
      <c r="A150" s="340">
        <v>12</v>
      </c>
      <c r="B150" s="341">
        <v>8020</v>
      </c>
      <c r="C150" s="390" t="s">
        <v>17024</v>
      </c>
      <c r="D150" s="403"/>
      <c r="E150" s="404"/>
      <c r="F150" s="404"/>
      <c r="G150" s="404"/>
      <c r="H150" s="406"/>
      <c r="Q150" s="395"/>
      <c r="R150" s="151"/>
      <c r="S150" s="151"/>
      <c r="U150" s="387"/>
      <c r="V150" s="343" t="s">
        <v>15625</v>
      </c>
      <c r="W150" s="325"/>
      <c r="X150" s="325"/>
      <c r="Y150" s="325"/>
      <c r="Z150" s="325"/>
      <c r="AA150" s="325"/>
      <c r="AB150" s="325"/>
      <c r="AC150" s="325"/>
      <c r="AD150" s="325"/>
      <c r="AE150" s="325"/>
      <c r="AF150" s="325"/>
      <c r="AG150" s="325"/>
      <c r="AH150" s="325"/>
      <c r="AI150" s="391" t="s">
        <v>15626</v>
      </c>
      <c r="AJ150" s="838">
        <f>AJ148</f>
        <v>1</v>
      </c>
      <c r="AK150" s="843"/>
      <c r="AL150" s="324" t="s">
        <v>15630</v>
      </c>
      <c r="AM150" s="325"/>
      <c r="AN150" s="325"/>
      <c r="AO150" s="325"/>
      <c r="AP150" s="325"/>
      <c r="AQ150" s="190" t="s">
        <v>398</v>
      </c>
      <c r="AR150" s="844">
        <f>AR146</f>
        <v>0.85</v>
      </c>
      <c r="AS150" s="844"/>
      <c r="AT150" s="501"/>
      <c r="AU150" s="502"/>
      <c r="AV150" s="844">
        <f>AV142</f>
        <v>0.8</v>
      </c>
      <c r="AW150" s="844"/>
      <c r="AX150" s="844"/>
      <c r="AY150" s="845"/>
      <c r="AZ150" s="489">
        <f>ROUND(ROUND(ROUND(ROUND(Q144*AJ150,0)*AR150,0)*$AT$112,0)*AV150,0)</f>
        <v>83</v>
      </c>
      <c r="BA150" s="393"/>
    </row>
    <row r="151" spans="1:53" ht="16.5" customHeight="1" x14ac:dyDescent="0.15">
      <c r="A151" s="340">
        <v>12</v>
      </c>
      <c r="B151" s="341">
        <v>8021</v>
      </c>
      <c r="C151" s="390" t="s">
        <v>17025</v>
      </c>
      <c r="D151" s="403"/>
      <c r="E151" s="404"/>
      <c r="F151" s="404"/>
      <c r="G151" s="404"/>
      <c r="H151" s="406"/>
      <c r="I151" s="908" t="s">
        <v>16345</v>
      </c>
      <c r="J151" s="909"/>
      <c r="K151" s="909"/>
      <c r="L151" s="909"/>
      <c r="M151" s="909"/>
      <c r="N151" s="909"/>
      <c r="O151" s="909"/>
      <c r="P151" s="909"/>
      <c r="Q151" s="909"/>
      <c r="R151" s="909"/>
      <c r="S151" s="909"/>
      <c r="T151" s="909"/>
      <c r="U151" s="910"/>
      <c r="V151" s="343"/>
      <c r="W151" s="325"/>
      <c r="X151" s="325"/>
      <c r="Y151" s="325"/>
      <c r="Z151" s="325"/>
      <c r="AA151" s="325"/>
      <c r="AB151" s="325"/>
      <c r="AC151" s="325"/>
      <c r="AD151" s="325"/>
      <c r="AE151" s="325"/>
      <c r="AF151" s="325"/>
      <c r="AG151" s="325"/>
      <c r="AH151" s="325"/>
      <c r="AI151" s="391"/>
      <c r="AJ151" s="401"/>
      <c r="AK151" s="402"/>
      <c r="AL151" s="396"/>
      <c r="AM151" s="396"/>
      <c r="AN151" s="396"/>
      <c r="AO151" s="396"/>
      <c r="AP151" s="396"/>
      <c r="AQ151" s="396"/>
      <c r="AR151" s="396"/>
      <c r="AS151" s="396"/>
      <c r="AT151" s="490"/>
      <c r="AU151" s="387"/>
      <c r="AV151" s="400"/>
      <c r="AW151" s="400"/>
      <c r="AX151" s="396"/>
      <c r="AY151" s="397"/>
      <c r="AZ151" s="489">
        <f>ROUND(Q152*$AT$112,0)</f>
        <v>125</v>
      </c>
      <c r="BA151" s="393"/>
    </row>
    <row r="152" spans="1:53" ht="16.5" customHeight="1" x14ac:dyDescent="0.15">
      <c r="A152" s="340">
        <v>12</v>
      </c>
      <c r="B152" s="341">
        <v>8022</v>
      </c>
      <c r="C152" s="390" t="s">
        <v>17026</v>
      </c>
      <c r="D152" s="403"/>
      <c r="E152" s="404"/>
      <c r="F152" s="404"/>
      <c r="G152" s="404"/>
      <c r="H152" s="406"/>
      <c r="Q152" s="836">
        <f>ROUND(Q248*$F$109,0)</f>
        <v>100</v>
      </c>
      <c r="R152" s="911"/>
      <c r="S152" s="911"/>
      <c r="T152" s="152" t="s">
        <v>15624</v>
      </c>
      <c r="U152" s="387"/>
      <c r="V152" s="343" t="s">
        <v>15625</v>
      </c>
      <c r="W152" s="325"/>
      <c r="X152" s="325"/>
      <c r="Y152" s="325"/>
      <c r="Z152" s="325"/>
      <c r="AA152" s="325"/>
      <c r="AB152" s="325"/>
      <c r="AC152" s="325"/>
      <c r="AD152" s="325"/>
      <c r="AE152" s="325"/>
      <c r="AF152" s="325"/>
      <c r="AG152" s="325"/>
      <c r="AH152" s="325"/>
      <c r="AI152" s="391" t="s">
        <v>15626</v>
      </c>
      <c r="AJ152" s="838">
        <f>AJ150</f>
        <v>1</v>
      </c>
      <c r="AK152" s="839"/>
      <c r="AL152" s="325"/>
      <c r="AM152" s="325"/>
      <c r="AN152" s="325"/>
      <c r="AO152" s="325"/>
      <c r="AP152" s="325"/>
      <c r="AQ152" s="325"/>
      <c r="AR152" s="325"/>
      <c r="AS152" s="325"/>
      <c r="AT152" s="490"/>
      <c r="AU152" s="387"/>
      <c r="AY152" s="387"/>
      <c r="AZ152" s="489">
        <f>ROUND(ROUND(Q152*AJ152,0)*$AT$112,0)</f>
        <v>125</v>
      </c>
      <c r="BA152" s="393"/>
    </row>
    <row r="153" spans="1:53" ht="16.5" customHeight="1" x14ac:dyDescent="0.15">
      <c r="A153" s="340">
        <v>12</v>
      </c>
      <c r="B153" s="341">
        <v>8023</v>
      </c>
      <c r="C153" s="390" t="s">
        <v>17027</v>
      </c>
      <c r="D153" s="403"/>
      <c r="E153" s="404"/>
      <c r="F153" s="404"/>
      <c r="G153" s="404"/>
      <c r="H153" s="406"/>
      <c r="Q153" s="395"/>
      <c r="R153" s="151"/>
      <c r="S153" s="151"/>
      <c r="U153" s="387"/>
      <c r="V153" s="343"/>
      <c r="W153" s="343"/>
      <c r="X153" s="343"/>
      <c r="Y153" s="343"/>
      <c r="Z153" s="343"/>
      <c r="AA153" s="343"/>
      <c r="AB153" s="343"/>
      <c r="AC153" s="343"/>
      <c r="AD153" s="343"/>
      <c r="AE153" s="343"/>
      <c r="AF153" s="343"/>
      <c r="AG153" s="343"/>
      <c r="AH153" s="343"/>
      <c r="AI153" s="343"/>
      <c r="AJ153" s="343"/>
      <c r="AK153" s="343"/>
      <c r="AL153" s="114" t="s">
        <v>15628</v>
      </c>
      <c r="AM153" s="396"/>
      <c r="AN153" s="396"/>
      <c r="AO153" s="396"/>
      <c r="AP153" s="396"/>
      <c r="AQ153" s="396"/>
      <c r="AR153" s="396"/>
      <c r="AS153" s="396"/>
      <c r="AT153" s="490"/>
      <c r="AU153" s="387"/>
      <c r="AY153" s="387"/>
      <c r="AZ153" s="489">
        <f>ROUND(ROUND(Q152*AR154,0)*$AT$112,0)</f>
        <v>106</v>
      </c>
      <c r="BA153" s="393"/>
    </row>
    <row r="154" spans="1:53" ht="16.5" customHeight="1" x14ac:dyDescent="0.15">
      <c r="A154" s="340">
        <v>12</v>
      </c>
      <c r="B154" s="341">
        <v>8024</v>
      </c>
      <c r="C154" s="390" t="s">
        <v>17028</v>
      </c>
      <c r="D154" s="403"/>
      <c r="E154" s="404"/>
      <c r="F154" s="404"/>
      <c r="G154" s="404"/>
      <c r="H154" s="406"/>
      <c r="Q154" s="395"/>
      <c r="R154" s="151"/>
      <c r="S154" s="151"/>
      <c r="U154" s="387"/>
      <c r="V154" s="343" t="s">
        <v>15625</v>
      </c>
      <c r="W154" s="325"/>
      <c r="X154" s="325"/>
      <c r="Y154" s="325"/>
      <c r="Z154" s="325"/>
      <c r="AA154" s="325"/>
      <c r="AB154" s="325"/>
      <c r="AC154" s="325"/>
      <c r="AD154" s="325"/>
      <c r="AE154" s="325"/>
      <c r="AF154" s="325"/>
      <c r="AG154" s="325"/>
      <c r="AH154" s="325"/>
      <c r="AI154" s="391" t="s">
        <v>15626</v>
      </c>
      <c r="AJ154" s="838">
        <f>AJ152</f>
        <v>1</v>
      </c>
      <c r="AK154" s="843"/>
      <c r="AL154" s="324" t="s">
        <v>15630</v>
      </c>
      <c r="AM154" s="325"/>
      <c r="AN154" s="325"/>
      <c r="AO154" s="325"/>
      <c r="AP154" s="325"/>
      <c r="AQ154" s="190" t="s">
        <v>398</v>
      </c>
      <c r="AR154" s="844">
        <f>AR150</f>
        <v>0.85</v>
      </c>
      <c r="AS154" s="844"/>
      <c r="AT154" s="501"/>
      <c r="AU154" s="502"/>
      <c r="AY154" s="387"/>
      <c r="AZ154" s="489">
        <f>ROUND(ROUND(ROUND(Q152*AJ154,0)*AR154,0)*$AT$112,0)</f>
        <v>106</v>
      </c>
      <c r="BA154" s="393"/>
    </row>
    <row r="155" spans="1:53" ht="16.5" customHeight="1" x14ac:dyDescent="0.15">
      <c r="A155" s="340">
        <v>12</v>
      </c>
      <c r="B155" s="341">
        <v>8025</v>
      </c>
      <c r="C155" s="390" t="s">
        <v>17029</v>
      </c>
      <c r="D155" s="403"/>
      <c r="E155" s="404"/>
      <c r="F155" s="404"/>
      <c r="G155" s="404"/>
      <c r="H155" s="406"/>
      <c r="I155" s="10"/>
      <c r="Q155" s="395"/>
      <c r="R155" s="151"/>
      <c r="S155" s="151"/>
      <c r="U155" s="387"/>
      <c r="V155" s="343"/>
      <c r="W155" s="325"/>
      <c r="X155" s="325"/>
      <c r="Y155" s="325"/>
      <c r="Z155" s="325"/>
      <c r="AA155" s="325"/>
      <c r="AB155" s="325"/>
      <c r="AC155" s="325"/>
      <c r="AD155" s="325"/>
      <c r="AE155" s="325"/>
      <c r="AF155" s="325"/>
      <c r="AG155" s="325"/>
      <c r="AH155" s="325"/>
      <c r="AI155" s="391"/>
      <c r="AJ155" s="401"/>
      <c r="AK155" s="402"/>
      <c r="AL155" s="396"/>
      <c r="AM155" s="396"/>
      <c r="AN155" s="396"/>
      <c r="AO155" s="396"/>
      <c r="AP155" s="396"/>
      <c r="AQ155" s="396"/>
      <c r="AR155" s="396"/>
      <c r="AS155" s="396"/>
      <c r="AT155" s="490"/>
      <c r="AU155" s="387"/>
      <c r="AV155" s="858" t="s">
        <v>16296</v>
      </c>
      <c r="AW155" s="858"/>
      <c r="AX155" s="858"/>
      <c r="AY155" s="860"/>
      <c r="AZ155" s="489">
        <f>ROUND(ROUND(Q152*$AT$112,0)*AV158,0)</f>
        <v>100</v>
      </c>
      <c r="BA155" s="393"/>
    </row>
    <row r="156" spans="1:53" ht="16.5" customHeight="1" x14ac:dyDescent="0.15">
      <c r="A156" s="340">
        <v>12</v>
      </c>
      <c r="B156" s="341">
        <v>8026</v>
      </c>
      <c r="C156" s="390" t="s">
        <v>17030</v>
      </c>
      <c r="D156" s="403"/>
      <c r="E156" s="404"/>
      <c r="F156" s="404"/>
      <c r="G156" s="404"/>
      <c r="H156" s="406"/>
      <c r="Q156" s="899"/>
      <c r="R156" s="899"/>
      <c r="S156" s="899"/>
      <c r="U156" s="387"/>
      <c r="V156" s="343" t="s">
        <v>15625</v>
      </c>
      <c r="W156" s="325"/>
      <c r="X156" s="325"/>
      <c r="Y156" s="325"/>
      <c r="Z156" s="325"/>
      <c r="AA156" s="325"/>
      <c r="AB156" s="325"/>
      <c r="AC156" s="325"/>
      <c r="AD156" s="325"/>
      <c r="AE156" s="325"/>
      <c r="AF156" s="325"/>
      <c r="AG156" s="325"/>
      <c r="AH156" s="325"/>
      <c r="AI156" s="391" t="s">
        <v>15626</v>
      </c>
      <c r="AJ156" s="838">
        <f>AJ154</f>
        <v>1</v>
      </c>
      <c r="AK156" s="839"/>
      <c r="AL156" s="325"/>
      <c r="AM156" s="325"/>
      <c r="AN156" s="325"/>
      <c r="AO156" s="325"/>
      <c r="AP156" s="325"/>
      <c r="AQ156" s="325"/>
      <c r="AR156" s="325"/>
      <c r="AS156" s="325"/>
      <c r="AT156" s="490"/>
      <c r="AU156" s="387"/>
      <c r="AV156" s="850"/>
      <c r="AW156" s="850"/>
      <c r="AX156" s="850"/>
      <c r="AY156" s="852"/>
      <c r="AZ156" s="489">
        <f>ROUND(ROUND(ROUND(Q152*AJ156,0)*$AT$112,0)*AV158,0)</f>
        <v>100</v>
      </c>
      <c r="BA156" s="393"/>
    </row>
    <row r="157" spans="1:53" ht="16.5" customHeight="1" x14ac:dyDescent="0.15">
      <c r="A157" s="340">
        <v>12</v>
      </c>
      <c r="B157" s="341">
        <v>8027</v>
      </c>
      <c r="C157" s="390" t="s">
        <v>17031</v>
      </c>
      <c r="D157" s="403"/>
      <c r="E157" s="404"/>
      <c r="F157" s="404"/>
      <c r="G157" s="404"/>
      <c r="H157" s="406"/>
      <c r="Q157" s="395"/>
      <c r="R157" s="151"/>
      <c r="S157" s="151"/>
      <c r="U157" s="387"/>
      <c r="V157" s="343"/>
      <c r="W157" s="343"/>
      <c r="X157" s="343"/>
      <c r="Y157" s="343"/>
      <c r="Z157" s="343"/>
      <c r="AA157" s="343"/>
      <c r="AB157" s="343"/>
      <c r="AC157" s="343"/>
      <c r="AD157" s="343"/>
      <c r="AE157" s="343"/>
      <c r="AF157" s="343"/>
      <c r="AG157" s="343"/>
      <c r="AH157" s="343"/>
      <c r="AI157" s="343"/>
      <c r="AJ157" s="343"/>
      <c r="AK157" s="343"/>
      <c r="AL157" s="114" t="s">
        <v>15628</v>
      </c>
      <c r="AM157" s="396"/>
      <c r="AN157" s="396"/>
      <c r="AO157" s="396"/>
      <c r="AP157" s="396"/>
      <c r="AQ157" s="396"/>
      <c r="AR157" s="396"/>
      <c r="AS157" s="396"/>
      <c r="AT157" s="490"/>
      <c r="AU157" s="387"/>
      <c r="AV157" s="902" t="s">
        <v>15636</v>
      </c>
      <c r="AW157" s="902"/>
      <c r="AX157" s="902"/>
      <c r="AY157" s="903"/>
      <c r="AZ157" s="489">
        <f>ROUND(ROUND(ROUND(Q152*AR158,0)*$AT$112,0)*AV158,0)</f>
        <v>85</v>
      </c>
      <c r="BA157" s="393"/>
    </row>
    <row r="158" spans="1:53" ht="16.5" customHeight="1" x14ac:dyDescent="0.15">
      <c r="A158" s="340">
        <v>12</v>
      </c>
      <c r="B158" s="341">
        <v>8028</v>
      </c>
      <c r="C158" s="390" t="s">
        <v>17032</v>
      </c>
      <c r="D158" s="403"/>
      <c r="E158" s="404"/>
      <c r="F158" s="404"/>
      <c r="G158" s="404"/>
      <c r="H158" s="406"/>
      <c r="Q158" s="395"/>
      <c r="R158" s="151"/>
      <c r="S158" s="151"/>
      <c r="U158" s="387"/>
      <c r="V158" s="343" t="s">
        <v>15625</v>
      </c>
      <c r="W158" s="325"/>
      <c r="X158" s="325"/>
      <c r="Y158" s="325"/>
      <c r="Z158" s="325"/>
      <c r="AA158" s="325"/>
      <c r="AB158" s="325"/>
      <c r="AC158" s="325"/>
      <c r="AD158" s="325"/>
      <c r="AE158" s="325"/>
      <c r="AF158" s="325"/>
      <c r="AG158" s="325"/>
      <c r="AH158" s="325"/>
      <c r="AI158" s="391" t="s">
        <v>15626</v>
      </c>
      <c r="AJ158" s="838">
        <f>AJ156</f>
        <v>1</v>
      </c>
      <c r="AK158" s="843"/>
      <c r="AL158" s="324" t="s">
        <v>15630</v>
      </c>
      <c r="AM158" s="325"/>
      <c r="AN158" s="325"/>
      <c r="AO158" s="325"/>
      <c r="AP158" s="325"/>
      <c r="AQ158" s="190" t="s">
        <v>398</v>
      </c>
      <c r="AR158" s="844">
        <f>AR154</f>
        <v>0.85</v>
      </c>
      <c r="AS158" s="844"/>
      <c r="AT158" s="501"/>
      <c r="AU158" s="502"/>
      <c r="AV158" s="844">
        <f>AV150</f>
        <v>0.8</v>
      </c>
      <c r="AW158" s="844"/>
      <c r="AX158" s="844"/>
      <c r="AY158" s="845"/>
      <c r="AZ158" s="489">
        <f>ROUND(ROUND(ROUND(ROUND(Q152*AJ158,0)*AR158,0)*$AT$112,0)*AV158,0)</f>
        <v>85</v>
      </c>
      <c r="BA158" s="393"/>
    </row>
    <row r="159" spans="1:53" ht="17.100000000000001" customHeight="1" x14ac:dyDescent="0.15">
      <c r="A159" s="340">
        <v>12</v>
      </c>
      <c r="B159" s="341">
        <v>8029</v>
      </c>
      <c r="C159" s="390" t="s">
        <v>17033</v>
      </c>
      <c r="D159" s="403"/>
      <c r="E159" s="404"/>
      <c r="F159" s="404"/>
      <c r="G159" s="404"/>
      <c r="H159" s="406"/>
      <c r="I159" s="908" t="s">
        <v>16354</v>
      </c>
      <c r="J159" s="909"/>
      <c r="K159" s="909"/>
      <c r="L159" s="909"/>
      <c r="M159" s="909"/>
      <c r="N159" s="909"/>
      <c r="O159" s="909"/>
      <c r="P159" s="909"/>
      <c r="Q159" s="909"/>
      <c r="R159" s="909"/>
      <c r="S159" s="909"/>
      <c r="T159" s="909"/>
      <c r="U159" s="910"/>
      <c r="V159" s="343"/>
      <c r="W159" s="343"/>
      <c r="X159" s="343"/>
      <c r="Y159" s="343"/>
      <c r="Z159" s="343"/>
      <c r="AA159" s="343"/>
      <c r="AB159" s="343"/>
      <c r="AC159" s="343"/>
      <c r="AD159" s="343"/>
      <c r="AE159" s="343"/>
      <c r="AF159" s="343"/>
      <c r="AG159" s="343"/>
      <c r="AH159" s="343"/>
      <c r="AI159" s="343"/>
      <c r="AJ159" s="401"/>
      <c r="AK159" s="402"/>
      <c r="AL159" s="396"/>
      <c r="AM159" s="396"/>
      <c r="AN159" s="396"/>
      <c r="AO159" s="396"/>
      <c r="AP159" s="396"/>
      <c r="AQ159" s="396"/>
      <c r="AR159" s="396"/>
      <c r="AS159" s="396"/>
      <c r="AT159" s="490"/>
      <c r="AU159" s="387"/>
      <c r="AV159" s="400"/>
      <c r="AW159" s="400"/>
      <c r="AX159" s="396"/>
      <c r="AY159" s="397"/>
      <c r="AZ159" s="489">
        <f>ROUND(Q160*$AT$112,0)</f>
        <v>115</v>
      </c>
      <c r="BA159" s="393"/>
    </row>
    <row r="160" spans="1:53" ht="16.5" customHeight="1" x14ac:dyDescent="0.15">
      <c r="A160" s="340">
        <v>12</v>
      </c>
      <c r="B160" s="341">
        <v>8030</v>
      </c>
      <c r="C160" s="390" t="s">
        <v>17034</v>
      </c>
      <c r="D160" s="403"/>
      <c r="E160" s="404"/>
      <c r="F160" s="404"/>
      <c r="G160" s="404"/>
      <c r="H160" s="406"/>
      <c r="Q160" s="836">
        <f>ROUND(Q256*$F$109,0)</f>
        <v>92</v>
      </c>
      <c r="R160" s="911"/>
      <c r="S160" s="911"/>
      <c r="T160" s="152" t="s">
        <v>15624</v>
      </c>
      <c r="U160" s="387"/>
      <c r="V160" s="343" t="s">
        <v>15625</v>
      </c>
      <c r="W160" s="325"/>
      <c r="X160" s="325"/>
      <c r="Y160" s="325"/>
      <c r="Z160" s="325"/>
      <c r="AA160" s="325"/>
      <c r="AB160" s="325"/>
      <c r="AC160" s="325"/>
      <c r="AD160" s="325"/>
      <c r="AE160" s="325"/>
      <c r="AF160" s="325"/>
      <c r="AG160" s="325"/>
      <c r="AH160" s="325"/>
      <c r="AI160" s="391" t="s">
        <v>15626</v>
      </c>
      <c r="AJ160" s="838">
        <f>AJ158</f>
        <v>1</v>
      </c>
      <c r="AK160" s="839"/>
      <c r="AL160" s="325"/>
      <c r="AM160" s="325"/>
      <c r="AN160" s="325"/>
      <c r="AO160" s="325"/>
      <c r="AP160" s="325"/>
      <c r="AQ160" s="325"/>
      <c r="AR160" s="325"/>
      <c r="AS160" s="391"/>
      <c r="AT160" s="503"/>
      <c r="AU160" s="504"/>
      <c r="AY160" s="387"/>
      <c r="AZ160" s="489">
        <f>ROUND(ROUND(Q160*AJ160,0)*$AT$112,0)</f>
        <v>115</v>
      </c>
      <c r="BA160" s="393"/>
    </row>
    <row r="161" spans="1:53" ht="16.5" customHeight="1" x14ac:dyDescent="0.15">
      <c r="A161" s="340">
        <v>12</v>
      </c>
      <c r="B161" s="341">
        <v>8031</v>
      </c>
      <c r="C161" s="390" t="s">
        <v>17035</v>
      </c>
      <c r="D161" s="403"/>
      <c r="E161" s="404"/>
      <c r="F161" s="404"/>
      <c r="G161" s="404"/>
      <c r="H161" s="406"/>
      <c r="Q161" s="395"/>
      <c r="R161" s="151"/>
      <c r="S161" s="151"/>
      <c r="U161" s="387"/>
      <c r="V161" s="343"/>
      <c r="W161" s="343"/>
      <c r="X161" s="343"/>
      <c r="Y161" s="343"/>
      <c r="Z161" s="343"/>
      <c r="AA161" s="343"/>
      <c r="AB161" s="343"/>
      <c r="AC161" s="343"/>
      <c r="AD161" s="343"/>
      <c r="AE161" s="343"/>
      <c r="AF161" s="343"/>
      <c r="AG161" s="343"/>
      <c r="AH161" s="343"/>
      <c r="AI161" s="343"/>
      <c r="AJ161" s="343"/>
      <c r="AK161" s="343"/>
      <c r="AL161" s="114" t="s">
        <v>15628</v>
      </c>
      <c r="AM161" s="396"/>
      <c r="AN161" s="396"/>
      <c r="AO161" s="396"/>
      <c r="AP161" s="396"/>
      <c r="AQ161" s="396"/>
      <c r="AR161" s="396"/>
      <c r="AS161" s="396"/>
      <c r="AT161" s="490"/>
      <c r="AU161" s="387"/>
      <c r="AY161" s="387"/>
      <c r="AZ161" s="489">
        <f>ROUND(ROUND(Q160*AR162,0)*$AT$112,0)</f>
        <v>98</v>
      </c>
      <c r="BA161" s="393"/>
    </row>
    <row r="162" spans="1:53" ht="16.5" customHeight="1" x14ac:dyDescent="0.15">
      <c r="A162" s="340">
        <v>12</v>
      </c>
      <c r="B162" s="341">
        <v>8032</v>
      </c>
      <c r="C162" s="390" t="s">
        <v>17036</v>
      </c>
      <c r="D162" s="403"/>
      <c r="E162" s="404"/>
      <c r="F162" s="404"/>
      <c r="G162" s="404"/>
      <c r="H162" s="406"/>
      <c r="Q162" s="395"/>
      <c r="R162" s="151"/>
      <c r="S162" s="151"/>
      <c r="U162" s="387"/>
      <c r="V162" s="343" t="s">
        <v>15625</v>
      </c>
      <c r="W162" s="325"/>
      <c r="X162" s="325"/>
      <c r="Y162" s="325"/>
      <c r="Z162" s="325"/>
      <c r="AA162" s="325"/>
      <c r="AB162" s="325"/>
      <c r="AC162" s="325"/>
      <c r="AD162" s="325"/>
      <c r="AE162" s="325"/>
      <c r="AF162" s="325"/>
      <c r="AG162" s="325"/>
      <c r="AH162" s="325"/>
      <c r="AI162" s="391" t="s">
        <v>15626</v>
      </c>
      <c r="AJ162" s="838">
        <f>AJ160</f>
        <v>1</v>
      </c>
      <c r="AK162" s="843"/>
      <c r="AL162" s="324" t="s">
        <v>15630</v>
      </c>
      <c r="AM162" s="325"/>
      <c r="AN162" s="325"/>
      <c r="AO162" s="325"/>
      <c r="AP162" s="325"/>
      <c r="AQ162" s="190" t="s">
        <v>398</v>
      </c>
      <c r="AR162" s="844">
        <f>AR158</f>
        <v>0.85</v>
      </c>
      <c r="AS162" s="844"/>
      <c r="AT162" s="501"/>
      <c r="AU162" s="502"/>
      <c r="AY162" s="387"/>
      <c r="AZ162" s="489">
        <f>ROUND(ROUND(ROUND(Q160*AJ162,0)*AR162,0)*$AT$112,0)</f>
        <v>98</v>
      </c>
      <c r="BA162" s="393"/>
    </row>
    <row r="163" spans="1:53" ht="17.100000000000001" customHeight="1" x14ac:dyDescent="0.15">
      <c r="A163" s="340">
        <v>12</v>
      </c>
      <c r="B163" s="341">
        <v>8033</v>
      </c>
      <c r="C163" s="390" t="s">
        <v>17037</v>
      </c>
      <c r="D163" s="403"/>
      <c r="E163" s="404"/>
      <c r="F163" s="404"/>
      <c r="G163" s="404"/>
      <c r="H163" s="406"/>
      <c r="I163" s="10"/>
      <c r="L163" s="151"/>
      <c r="M163" s="151"/>
      <c r="N163" s="151"/>
      <c r="U163" s="387"/>
      <c r="V163" s="343"/>
      <c r="W163" s="343"/>
      <c r="X163" s="343"/>
      <c r="Y163" s="343"/>
      <c r="Z163" s="343"/>
      <c r="AA163" s="343"/>
      <c r="AB163" s="343"/>
      <c r="AC163" s="343"/>
      <c r="AD163" s="343"/>
      <c r="AE163" s="343"/>
      <c r="AF163" s="343"/>
      <c r="AG163" s="343"/>
      <c r="AH163" s="343"/>
      <c r="AI163" s="343"/>
      <c r="AJ163" s="401"/>
      <c r="AK163" s="402"/>
      <c r="AL163" s="396"/>
      <c r="AM163" s="396"/>
      <c r="AN163" s="396"/>
      <c r="AO163" s="396"/>
      <c r="AP163" s="396"/>
      <c r="AQ163" s="396"/>
      <c r="AR163" s="396"/>
      <c r="AS163" s="396"/>
      <c r="AT163" s="490"/>
      <c r="AU163" s="387"/>
      <c r="AV163" s="858" t="s">
        <v>16296</v>
      </c>
      <c r="AW163" s="858"/>
      <c r="AX163" s="858"/>
      <c r="AY163" s="860"/>
      <c r="AZ163" s="489">
        <f>ROUND(ROUND(Q160*$AT$112,0)*AV166,0)</f>
        <v>92</v>
      </c>
      <c r="BA163" s="393"/>
    </row>
    <row r="164" spans="1:53" ht="16.5" customHeight="1" x14ac:dyDescent="0.15">
      <c r="A164" s="340">
        <v>12</v>
      </c>
      <c r="B164" s="341">
        <v>8034</v>
      </c>
      <c r="C164" s="390" t="s">
        <v>17038</v>
      </c>
      <c r="D164" s="403"/>
      <c r="E164" s="404"/>
      <c r="F164" s="404"/>
      <c r="G164" s="404"/>
      <c r="H164" s="406"/>
      <c r="Q164" s="899"/>
      <c r="R164" s="899"/>
      <c r="S164" s="899"/>
      <c r="U164" s="387"/>
      <c r="V164" s="343" t="s">
        <v>15625</v>
      </c>
      <c r="W164" s="325"/>
      <c r="X164" s="325"/>
      <c r="Y164" s="325"/>
      <c r="Z164" s="325"/>
      <c r="AA164" s="325"/>
      <c r="AB164" s="325"/>
      <c r="AC164" s="325"/>
      <c r="AD164" s="325"/>
      <c r="AE164" s="325"/>
      <c r="AF164" s="325"/>
      <c r="AG164" s="325"/>
      <c r="AH164" s="325"/>
      <c r="AI164" s="391" t="s">
        <v>15626</v>
      </c>
      <c r="AJ164" s="838">
        <f>AJ162</f>
        <v>1</v>
      </c>
      <c r="AK164" s="839"/>
      <c r="AL164" s="325"/>
      <c r="AM164" s="325"/>
      <c r="AN164" s="325"/>
      <c r="AO164" s="325"/>
      <c r="AP164" s="325"/>
      <c r="AQ164" s="325"/>
      <c r="AR164" s="325"/>
      <c r="AS164" s="391"/>
      <c r="AT164" s="503"/>
      <c r="AU164" s="504"/>
      <c r="AV164" s="850"/>
      <c r="AW164" s="850"/>
      <c r="AX164" s="850"/>
      <c r="AY164" s="852"/>
      <c r="AZ164" s="489">
        <f>ROUND(ROUND(ROUND(Q160*AJ164,0)*$AT$112,0)*AV166,0)</f>
        <v>92</v>
      </c>
      <c r="BA164" s="393"/>
    </row>
    <row r="165" spans="1:53" ht="16.5" customHeight="1" x14ac:dyDescent="0.15">
      <c r="A165" s="340">
        <v>12</v>
      </c>
      <c r="B165" s="341">
        <v>8035</v>
      </c>
      <c r="C165" s="390" t="s">
        <v>17039</v>
      </c>
      <c r="D165" s="403"/>
      <c r="E165" s="404"/>
      <c r="F165" s="404"/>
      <c r="G165" s="404"/>
      <c r="H165" s="406"/>
      <c r="Q165" s="395"/>
      <c r="R165" s="151"/>
      <c r="S165" s="151"/>
      <c r="U165" s="387"/>
      <c r="V165" s="343"/>
      <c r="W165" s="343"/>
      <c r="X165" s="343"/>
      <c r="Y165" s="343"/>
      <c r="Z165" s="343"/>
      <c r="AA165" s="343"/>
      <c r="AB165" s="343"/>
      <c r="AC165" s="343"/>
      <c r="AD165" s="343"/>
      <c r="AE165" s="343"/>
      <c r="AF165" s="343"/>
      <c r="AG165" s="343"/>
      <c r="AH165" s="343"/>
      <c r="AI165" s="343"/>
      <c r="AJ165" s="343"/>
      <c r="AK165" s="343"/>
      <c r="AL165" s="114" t="s">
        <v>15628</v>
      </c>
      <c r="AM165" s="396"/>
      <c r="AN165" s="396"/>
      <c r="AO165" s="396"/>
      <c r="AP165" s="396"/>
      <c r="AQ165" s="396"/>
      <c r="AR165" s="396"/>
      <c r="AS165" s="396"/>
      <c r="AT165" s="490"/>
      <c r="AU165" s="387"/>
      <c r="AV165" s="902" t="s">
        <v>15636</v>
      </c>
      <c r="AW165" s="902"/>
      <c r="AX165" s="902"/>
      <c r="AY165" s="903"/>
      <c r="AZ165" s="489">
        <f>ROUND(ROUND(ROUND(Q160*AR166,0)*$AT$112,0)*AV166,0)</f>
        <v>78</v>
      </c>
      <c r="BA165" s="393"/>
    </row>
    <row r="166" spans="1:53" ht="16.5" customHeight="1" x14ac:dyDescent="0.15">
      <c r="A166" s="340">
        <v>12</v>
      </c>
      <c r="B166" s="341">
        <v>8036</v>
      </c>
      <c r="C166" s="390" t="s">
        <v>17040</v>
      </c>
      <c r="D166" s="403"/>
      <c r="E166" s="404"/>
      <c r="F166" s="404"/>
      <c r="G166" s="404"/>
      <c r="H166" s="406"/>
      <c r="Q166" s="395"/>
      <c r="R166" s="151"/>
      <c r="S166" s="151"/>
      <c r="U166" s="387"/>
      <c r="V166" s="343" t="s">
        <v>15625</v>
      </c>
      <c r="W166" s="325"/>
      <c r="X166" s="325"/>
      <c r="Y166" s="325"/>
      <c r="Z166" s="325"/>
      <c r="AA166" s="325"/>
      <c r="AB166" s="325"/>
      <c r="AC166" s="325"/>
      <c r="AD166" s="325"/>
      <c r="AE166" s="325"/>
      <c r="AF166" s="325"/>
      <c r="AG166" s="325"/>
      <c r="AH166" s="325"/>
      <c r="AI166" s="391" t="s">
        <v>15626</v>
      </c>
      <c r="AJ166" s="838">
        <f>AJ164</f>
        <v>1</v>
      </c>
      <c r="AK166" s="843"/>
      <c r="AL166" s="324" t="s">
        <v>15630</v>
      </c>
      <c r="AM166" s="325"/>
      <c r="AN166" s="325"/>
      <c r="AO166" s="325"/>
      <c r="AP166" s="325"/>
      <c r="AQ166" s="190" t="s">
        <v>398</v>
      </c>
      <c r="AR166" s="844">
        <f>AR162</f>
        <v>0.85</v>
      </c>
      <c r="AS166" s="844"/>
      <c r="AT166" s="501"/>
      <c r="AU166" s="502"/>
      <c r="AV166" s="844">
        <f>AV158</f>
        <v>0.8</v>
      </c>
      <c r="AW166" s="844"/>
      <c r="AX166" s="844"/>
      <c r="AY166" s="845"/>
      <c r="AZ166" s="489">
        <f>ROUND(ROUND(ROUND(ROUND(Q160*AJ166,0)*AR166,0)*$AT$112,0)*AV166,0)</f>
        <v>78</v>
      </c>
      <c r="BA166" s="393"/>
    </row>
    <row r="167" spans="1:53" ht="17.100000000000001" customHeight="1" x14ac:dyDescent="0.15">
      <c r="A167" s="340">
        <v>12</v>
      </c>
      <c r="B167" s="341">
        <v>8037</v>
      </c>
      <c r="C167" s="390" t="s">
        <v>17041</v>
      </c>
      <c r="D167" s="403"/>
      <c r="E167" s="404"/>
      <c r="F167" s="404"/>
      <c r="G167" s="404"/>
      <c r="H167" s="406"/>
      <c r="I167" s="908" t="s">
        <v>16363</v>
      </c>
      <c r="J167" s="909"/>
      <c r="K167" s="909"/>
      <c r="L167" s="909"/>
      <c r="M167" s="909"/>
      <c r="N167" s="909"/>
      <c r="O167" s="909"/>
      <c r="P167" s="909"/>
      <c r="Q167" s="909"/>
      <c r="R167" s="909"/>
      <c r="S167" s="909"/>
      <c r="T167" s="909"/>
      <c r="U167" s="910"/>
      <c r="V167" s="343"/>
      <c r="W167" s="343"/>
      <c r="X167" s="343"/>
      <c r="Y167" s="343"/>
      <c r="Z167" s="343"/>
      <c r="AA167" s="343"/>
      <c r="AB167" s="343"/>
      <c r="AC167" s="343"/>
      <c r="AD167" s="343"/>
      <c r="AE167" s="343"/>
      <c r="AF167" s="343"/>
      <c r="AG167" s="343"/>
      <c r="AH167" s="343"/>
      <c r="AI167" s="343"/>
      <c r="AJ167" s="401"/>
      <c r="AK167" s="402"/>
      <c r="AL167" s="396"/>
      <c r="AM167" s="396"/>
      <c r="AN167" s="396"/>
      <c r="AO167" s="396"/>
      <c r="AP167" s="396"/>
      <c r="AQ167" s="396"/>
      <c r="AR167" s="396"/>
      <c r="AS167" s="396"/>
      <c r="AT167" s="490"/>
      <c r="AU167" s="387"/>
      <c r="AV167" s="400"/>
      <c r="AW167" s="400"/>
      <c r="AX167" s="396"/>
      <c r="AY167" s="397"/>
      <c r="AZ167" s="489">
        <f>ROUND(Q168*$AT$112,0)</f>
        <v>115</v>
      </c>
      <c r="BA167" s="393"/>
    </row>
    <row r="168" spans="1:53" ht="16.5" customHeight="1" x14ac:dyDescent="0.15">
      <c r="A168" s="340">
        <v>12</v>
      </c>
      <c r="B168" s="341">
        <v>8038</v>
      </c>
      <c r="C168" s="390" t="s">
        <v>17042</v>
      </c>
      <c r="D168" s="403"/>
      <c r="E168" s="404"/>
      <c r="F168" s="404"/>
      <c r="G168" s="404"/>
      <c r="H168" s="406"/>
      <c r="Q168" s="836">
        <f>ROUND(Q264*$F$109,0)</f>
        <v>92</v>
      </c>
      <c r="R168" s="911"/>
      <c r="S168" s="911"/>
      <c r="T168" s="152" t="s">
        <v>15624</v>
      </c>
      <c r="U168" s="387"/>
      <c r="V168" s="343" t="s">
        <v>15625</v>
      </c>
      <c r="W168" s="325"/>
      <c r="X168" s="325"/>
      <c r="Y168" s="325"/>
      <c r="Z168" s="325"/>
      <c r="AA168" s="325"/>
      <c r="AB168" s="325"/>
      <c r="AC168" s="325"/>
      <c r="AD168" s="325"/>
      <c r="AE168" s="325"/>
      <c r="AF168" s="325"/>
      <c r="AG168" s="325"/>
      <c r="AH168" s="325"/>
      <c r="AI168" s="391" t="s">
        <v>15626</v>
      </c>
      <c r="AJ168" s="838">
        <f>AJ166</f>
        <v>1</v>
      </c>
      <c r="AK168" s="839"/>
      <c r="AL168" s="325"/>
      <c r="AM168" s="325"/>
      <c r="AN168" s="325"/>
      <c r="AO168" s="325"/>
      <c r="AP168" s="325"/>
      <c r="AQ168" s="325"/>
      <c r="AR168" s="325"/>
      <c r="AS168" s="391"/>
      <c r="AT168" s="503"/>
      <c r="AU168" s="504"/>
      <c r="AY168" s="387"/>
      <c r="AZ168" s="489">
        <f>ROUND(ROUND(Q168*AJ168,0)*$AT$112,0)</f>
        <v>115</v>
      </c>
      <c r="BA168" s="393"/>
    </row>
    <row r="169" spans="1:53" ht="16.5" customHeight="1" x14ac:dyDescent="0.15">
      <c r="A169" s="340">
        <v>12</v>
      </c>
      <c r="B169" s="341">
        <v>8039</v>
      </c>
      <c r="C169" s="390" t="s">
        <v>17043</v>
      </c>
      <c r="D169" s="403"/>
      <c r="E169" s="404"/>
      <c r="F169" s="404"/>
      <c r="G169" s="404"/>
      <c r="H169" s="406"/>
      <c r="Q169" s="395"/>
      <c r="R169" s="151"/>
      <c r="S169" s="151"/>
      <c r="U169" s="387"/>
      <c r="V169" s="343"/>
      <c r="W169" s="343"/>
      <c r="X169" s="343"/>
      <c r="Y169" s="343"/>
      <c r="Z169" s="343"/>
      <c r="AA169" s="343"/>
      <c r="AB169" s="343"/>
      <c r="AC169" s="343"/>
      <c r="AD169" s="343"/>
      <c r="AE169" s="343"/>
      <c r="AF169" s="343"/>
      <c r="AG169" s="343"/>
      <c r="AH169" s="343"/>
      <c r="AI169" s="343"/>
      <c r="AJ169" s="343"/>
      <c r="AK169" s="343"/>
      <c r="AL169" s="114" t="s">
        <v>15628</v>
      </c>
      <c r="AM169" s="396"/>
      <c r="AN169" s="396"/>
      <c r="AO169" s="396"/>
      <c r="AP169" s="396"/>
      <c r="AQ169" s="396"/>
      <c r="AR169" s="396"/>
      <c r="AS169" s="396"/>
      <c r="AT169" s="490"/>
      <c r="AU169" s="387"/>
      <c r="AY169" s="387"/>
      <c r="AZ169" s="489">
        <f>ROUND(ROUND(Q168*AR170,0)*$AT$112,0)</f>
        <v>98</v>
      </c>
      <c r="BA169" s="393"/>
    </row>
    <row r="170" spans="1:53" ht="16.5" customHeight="1" x14ac:dyDescent="0.15">
      <c r="A170" s="340">
        <v>12</v>
      </c>
      <c r="B170" s="341">
        <v>8040</v>
      </c>
      <c r="C170" s="390" t="s">
        <v>17044</v>
      </c>
      <c r="D170" s="403"/>
      <c r="E170" s="404"/>
      <c r="F170" s="404"/>
      <c r="G170" s="404"/>
      <c r="H170" s="406"/>
      <c r="Q170" s="395"/>
      <c r="R170" s="151"/>
      <c r="S170" s="151"/>
      <c r="U170" s="387"/>
      <c r="V170" s="343" t="s">
        <v>15625</v>
      </c>
      <c r="W170" s="325"/>
      <c r="X170" s="325"/>
      <c r="Y170" s="325"/>
      <c r="Z170" s="325"/>
      <c r="AA170" s="325"/>
      <c r="AB170" s="325"/>
      <c r="AC170" s="325"/>
      <c r="AD170" s="325"/>
      <c r="AE170" s="325"/>
      <c r="AF170" s="325"/>
      <c r="AG170" s="325"/>
      <c r="AH170" s="325"/>
      <c r="AI170" s="391" t="s">
        <v>15626</v>
      </c>
      <c r="AJ170" s="838">
        <f>AJ168</f>
        <v>1</v>
      </c>
      <c r="AK170" s="843"/>
      <c r="AL170" s="324" t="s">
        <v>15630</v>
      </c>
      <c r="AM170" s="325"/>
      <c r="AN170" s="325"/>
      <c r="AO170" s="325"/>
      <c r="AP170" s="325"/>
      <c r="AQ170" s="190" t="s">
        <v>398</v>
      </c>
      <c r="AR170" s="844">
        <f>AR166</f>
        <v>0.85</v>
      </c>
      <c r="AS170" s="844"/>
      <c r="AT170" s="501"/>
      <c r="AU170" s="502"/>
      <c r="AY170" s="387"/>
      <c r="AZ170" s="489">
        <f>ROUND(ROUND(ROUND(Q168*AJ170,0)*AR170,0)*$AT$112,0)</f>
        <v>98</v>
      </c>
      <c r="BA170" s="393"/>
    </row>
    <row r="171" spans="1:53" ht="17.100000000000001" customHeight="1" x14ac:dyDescent="0.15">
      <c r="A171" s="340">
        <v>12</v>
      </c>
      <c r="B171" s="341">
        <v>8041</v>
      </c>
      <c r="C171" s="390" t="s">
        <v>17045</v>
      </c>
      <c r="D171" s="403"/>
      <c r="E171" s="404"/>
      <c r="F171" s="404"/>
      <c r="G171" s="404"/>
      <c r="H171" s="406"/>
      <c r="I171" s="10"/>
      <c r="L171" s="151"/>
      <c r="M171" s="151"/>
      <c r="N171" s="151"/>
      <c r="U171" s="387"/>
      <c r="V171" s="343"/>
      <c r="W171" s="343"/>
      <c r="X171" s="343"/>
      <c r="Y171" s="343"/>
      <c r="Z171" s="343"/>
      <c r="AA171" s="343"/>
      <c r="AB171" s="343"/>
      <c r="AC171" s="343"/>
      <c r="AD171" s="343"/>
      <c r="AE171" s="343"/>
      <c r="AF171" s="343"/>
      <c r="AG171" s="343"/>
      <c r="AH171" s="343"/>
      <c r="AI171" s="343"/>
      <c r="AJ171" s="401"/>
      <c r="AK171" s="402"/>
      <c r="AL171" s="396"/>
      <c r="AM171" s="396"/>
      <c r="AN171" s="396"/>
      <c r="AO171" s="396"/>
      <c r="AP171" s="396"/>
      <c r="AQ171" s="396"/>
      <c r="AR171" s="396"/>
      <c r="AS171" s="396"/>
      <c r="AT171" s="490"/>
      <c r="AU171" s="387"/>
      <c r="AV171" s="858" t="s">
        <v>16296</v>
      </c>
      <c r="AW171" s="858"/>
      <c r="AX171" s="858"/>
      <c r="AY171" s="860"/>
      <c r="AZ171" s="489">
        <f>ROUND(ROUND(Q168*$AT$112,0)*AV174,0)</f>
        <v>92</v>
      </c>
      <c r="BA171" s="393"/>
    </row>
    <row r="172" spans="1:53" ht="16.5" customHeight="1" x14ac:dyDescent="0.15">
      <c r="A172" s="340">
        <v>12</v>
      </c>
      <c r="B172" s="341">
        <v>8042</v>
      </c>
      <c r="C172" s="390" t="s">
        <v>17046</v>
      </c>
      <c r="D172" s="403"/>
      <c r="E172" s="404"/>
      <c r="F172" s="404"/>
      <c r="G172" s="404"/>
      <c r="H172" s="406"/>
      <c r="Q172" s="899"/>
      <c r="R172" s="899"/>
      <c r="S172" s="899"/>
      <c r="U172" s="387"/>
      <c r="V172" s="343" t="s">
        <v>15625</v>
      </c>
      <c r="W172" s="325"/>
      <c r="X172" s="325"/>
      <c r="Y172" s="325"/>
      <c r="Z172" s="325"/>
      <c r="AA172" s="325"/>
      <c r="AB172" s="325"/>
      <c r="AC172" s="325"/>
      <c r="AD172" s="325"/>
      <c r="AE172" s="325"/>
      <c r="AF172" s="325"/>
      <c r="AG172" s="325"/>
      <c r="AH172" s="325"/>
      <c r="AI172" s="391" t="s">
        <v>15626</v>
      </c>
      <c r="AJ172" s="838">
        <f>AJ170</f>
        <v>1</v>
      </c>
      <c r="AK172" s="839"/>
      <c r="AL172" s="325"/>
      <c r="AM172" s="325"/>
      <c r="AN172" s="325"/>
      <c r="AO172" s="325"/>
      <c r="AP172" s="325"/>
      <c r="AQ172" s="325"/>
      <c r="AR172" s="325"/>
      <c r="AS172" s="391"/>
      <c r="AT172" s="503"/>
      <c r="AU172" s="504"/>
      <c r="AV172" s="850"/>
      <c r="AW172" s="850"/>
      <c r="AX172" s="850"/>
      <c r="AY172" s="852"/>
      <c r="AZ172" s="489">
        <f>ROUND(ROUND(ROUND(Q168*AJ172,0)*$AT$112,0)*AV174,0)</f>
        <v>92</v>
      </c>
      <c r="BA172" s="393"/>
    </row>
    <row r="173" spans="1:53" ht="16.5" customHeight="1" x14ac:dyDescent="0.15">
      <c r="A173" s="340">
        <v>12</v>
      </c>
      <c r="B173" s="341">
        <v>8043</v>
      </c>
      <c r="C173" s="390" t="s">
        <v>17047</v>
      </c>
      <c r="D173" s="403"/>
      <c r="E173" s="404"/>
      <c r="F173" s="404"/>
      <c r="G173" s="404"/>
      <c r="H173" s="406"/>
      <c r="Q173" s="395"/>
      <c r="R173" s="151"/>
      <c r="S173" s="151"/>
      <c r="U173" s="387"/>
      <c r="V173" s="343"/>
      <c r="W173" s="343"/>
      <c r="X173" s="343"/>
      <c r="Y173" s="343"/>
      <c r="Z173" s="343"/>
      <c r="AA173" s="343"/>
      <c r="AB173" s="343"/>
      <c r="AC173" s="343"/>
      <c r="AD173" s="343"/>
      <c r="AE173" s="343"/>
      <c r="AF173" s="343"/>
      <c r="AG173" s="343"/>
      <c r="AH173" s="343"/>
      <c r="AI173" s="343"/>
      <c r="AJ173" s="343"/>
      <c r="AK173" s="343"/>
      <c r="AL173" s="114" t="s">
        <v>15628</v>
      </c>
      <c r="AM173" s="396"/>
      <c r="AN173" s="396"/>
      <c r="AO173" s="396"/>
      <c r="AP173" s="396"/>
      <c r="AQ173" s="396"/>
      <c r="AR173" s="396"/>
      <c r="AS173" s="396"/>
      <c r="AT173" s="490"/>
      <c r="AU173" s="387"/>
      <c r="AV173" s="902" t="s">
        <v>15636</v>
      </c>
      <c r="AW173" s="902"/>
      <c r="AX173" s="902"/>
      <c r="AY173" s="903"/>
      <c r="AZ173" s="489">
        <f>ROUND(ROUND(ROUND(Q168*AR174,0)*$AT$112,0)*AV174,0)</f>
        <v>78</v>
      </c>
      <c r="BA173" s="393"/>
    </row>
    <row r="174" spans="1:53" ht="16.5" customHeight="1" x14ac:dyDescent="0.15">
      <c r="A174" s="340">
        <v>12</v>
      </c>
      <c r="B174" s="341">
        <v>8044</v>
      </c>
      <c r="C174" s="390" t="s">
        <v>17048</v>
      </c>
      <c r="D174" s="403"/>
      <c r="E174" s="404"/>
      <c r="F174" s="404"/>
      <c r="G174" s="404"/>
      <c r="H174" s="406"/>
      <c r="Q174" s="395"/>
      <c r="R174" s="151"/>
      <c r="S174" s="151"/>
      <c r="U174" s="387"/>
      <c r="V174" s="343" t="s">
        <v>15625</v>
      </c>
      <c r="W174" s="325"/>
      <c r="X174" s="325"/>
      <c r="Y174" s="325"/>
      <c r="Z174" s="325"/>
      <c r="AA174" s="325"/>
      <c r="AB174" s="325"/>
      <c r="AC174" s="325"/>
      <c r="AD174" s="325"/>
      <c r="AE174" s="325"/>
      <c r="AF174" s="325"/>
      <c r="AG174" s="325"/>
      <c r="AH174" s="325"/>
      <c r="AI174" s="391" t="s">
        <v>15626</v>
      </c>
      <c r="AJ174" s="838">
        <f>AJ172</f>
        <v>1</v>
      </c>
      <c r="AK174" s="843"/>
      <c r="AL174" s="324" t="s">
        <v>15630</v>
      </c>
      <c r="AM174" s="325"/>
      <c r="AN174" s="325"/>
      <c r="AO174" s="325"/>
      <c r="AP174" s="325"/>
      <c r="AQ174" s="190" t="s">
        <v>398</v>
      </c>
      <c r="AR174" s="844">
        <f>AR170</f>
        <v>0.85</v>
      </c>
      <c r="AS174" s="844"/>
      <c r="AT174" s="501"/>
      <c r="AU174" s="502"/>
      <c r="AV174" s="844">
        <f>AV166</f>
        <v>0.8</v>
      </c>
      <c r="AW174" s="844"/>
      <c r="AX174" s="844"/>
      <c r="AY174" s="845"/>
      <c r="AZ174" s="489">
        <f>ROUND(ROUND(ROUND(ROUND(Q168*AJ174,0)*AR174,0)*$AT$112,0)*AV174,0)</f>
        <v>78</v>
      </c>
      <c r="BA174" s="393"/>
    </row>
    <row r="175" spans="1:53" ht="17.100000000000001" customHeight="1" x14ac:dyDescent="0.15">
      <c r="A175" s="340">
        <v>12</v>
      </c>
      <c r="B175" s="341">
        <v>8045</v>
      </c>
      <c r="C175" s="390" t="s">
        <v>17049</v>
      </c>
      <c r="D175" s="403"/>
      <c r="E175" s="404"/>
      <c r="F175" s="404"/>
      <c r="G175" s="404"/>
      <c r="H175" s="406"/>
      <c r="I175" s="908" t="s">
        <v>16372</v>
      </c>
      <c r="J175" s="909"/>
      <c r="K175" s="909"/>
      <c r="L175" s="909"/>
      <c r="M175" s="909"/>
      <c r="N175" s="909"/>
      <c r="O175" s="909"/>
      <c r="P175" s="909"/>
      <c r="Q175" s="909"/>
      <c r="R175" s="909"/>
      <c r="S175" s="909"/>
      <c r="T175" s="909"/>
      <c r="U175" s="910"/>
      <c r="V175" s="343"/>
      <c r="W175" s="343"/>
      <c r="X175" s="343"/>
      <c r="Y175" s="343"/>
      <c r="Z175" s="343"/>
      <c r="AA175" s="343"/>
      <c r="AB175" s="343"/>
      <c r="AC175" s="343"/>
      <c r="AD175" s="343"/>
      <c r="AE175" s="343"/>
      <c r="AF175" s="343"/>
      <c r="AG175" s="343"/>
      <c r="AH175" s="343"/>
      <c r="AI175" s="343"/>
      <c r="AJ175" s="401"/>
      <c r="AK175" s="402"/>
      <c r="AL175" s="396"/>
      <c r="AM175" s="396"/>
      <c r="AN175" s="396"/>
      <c r="AO175" s="396"/>
      <c r="AP175" s="396"/>
      <c r="AQ175" s="396"/>
      <c r="AR175" s="396"/>
      <c r="AS175" s="396"/>
      <c r="AT175" s="490"/>
      <c r="AU175" s="387"/>
      <c r="AV175" s="400"/>
      <c r="AW175" s="400"/>
      <c r="AX175" s="396"/>
      <c r="AY175" s="397"/>
      <c r="AZ175" s="489">
        <f>ROUND(Q176*$AT$112,0)</f>
        <v>109</v>
      </c>
      <c r="BA175" s="393"/>
    </row>
    <row r="176" spans="1:53" ht="16.5" customHeight="1" x14ac:dyDescent="0.15">
      <c r="A176" s="340">
        <v>12</v>
      </c>
      <c r="B176" s="341">
        <v>8046</v>
      </c>
      <c r="C176" s="390" t="s">
        <v>17050</v>
      </c>
      <c r="D176" s="403"/>
      <c r="E176" s="404"/>
      <c r="F176" s="404"/>
      <c r="G176" s="404"/>
      <c r="H176" s="406"/>
      <c r="Q176" s="836">
        <f>ROUND(Q272*$F$109,0)</f>
        <v>87</v>
      </c>
      <c r="R176" s="911"/>
      <c r="S176" s="911"/>
      <c r="T176" s="152" t="s">
        <v>15624</v>
      </c>
      <c r="U176" s="387"/>
      <c r="V176" s="343" t="s">
        <v>15625</v>
      </c>
      <c r="W176" s="325"/>
      <c r="X176" s="325"/>
      <c r="Y176" s="325"/>
      <c r="Z176" s="325"/>
      <c r="AA176" s="325"/>
      <c r="AB176" s="325"/>
      <c r="AC176" s="325"/>
      <c r="AD176" s="325"/>
      <c r="AE176" s="325"/>
      <c r="AF176" s="325"/>
      <c r="AG176" s="325"/>
      <c r="AH176" s="325"/>
      <c r="AI176" s="391" t="s">
        <v>15626</v>
      </c>
      <c r="AJ176" s="838">
        <f>AJ174</f>
        <v>1</v>
      </c>
      <c r="AK176" s="839"/>
      <c r="AL176" s="325"/>
      <c r="AM176" s="325"/>
      <c r="AN176" s="325"/>
      <c r="AO176" s="325"/>
      <c r="AP176" s="325"/>
      <c r="AQ176" s="325"/>
      <c r="AR176" s="325"/>
      <c r="AS176" s="391"/>
      <c r="AT176" s="503"/>
      <c r="AU176" s="504"/>
      <c r="AY176" s="387"/>
      <c r="AZ176" s="489">
        <f>ROUND(ROUND(Q176*AJ176,0)*$AT$112,0)</f>
        <v>109</v>
      </c>
      <c r="BA176" s="393"/>
    </row>
    <row r="177" spans="1:53" ht="16.5" customHeight="1" x14ac:dyDescent="0.15">
      <c r="A177" s="340">
        <v>12</v>
      </c>
      <c r="B177" s="341">
        <v>8047</v>
      </c>
      <c r="C177" s="390" t="s">
        <v>17051</v>
      </c>
      <c r="D177" s="403"/>
      <c r="E177" s="404"/>
      <c r="F177" s="404"/>
      <c r="G177" s="404"/>
      <c r="H177" s="406"/>
      <c r="Q177" s="395"/>
      <c r="R177" s="151"/>
      <c r="S177" s="151"/>
      <c r="U177" s="387"/>
      <c r="V177" s="343"/>
      <c r="W177" s="343"/>
      <c r="X177" s="343"/>
      <c r="Y177" s="343"/>
      <c r="Z177" s="343"/>
      <c r="AA177" s="343"/>
      <c r="AB177" s="343"/>
      <c r="AC177" s="343"/>
      <c r="AD177" s="343"/>
      <c r="AE177" s="343"/>
      <c r="AF177" s="343"/>
      <c r="AG177" s="343"/>
      <c r="AH177" s="343"/>
      <c r="AI177" s="343"/>
      <c r="AJ177" s="343"/>
      <c r="AK177" s="343"/>
      <c r="AL177" s="114" t="s">
        <v>15628</v>
      </c>
      <c r="AM177" s="396"/>
      <c r="AN177" s="396"/>
      <c r="AO177" s="396"/>
      <c r="AP177" s="396"/>
      <c r="AQ177" s="396"/>
      <c r="AR177" s="396"/>
      <c r="AS177" s="396"/>
      <c r="AT177" s="490"/>
      <c r="AU177" s="387"/>
      <c r="AY177" s="387"/>
      <c r="AZ177" s="489">
        <f>ROUND(ROUND(Q176*AR178,0)*$AT$112,0)</f>
        <v>93</v>
      </c>
      <c r="BA177" s="393"/>
    </row>
    <row r="178" spans="1:53" ht="16.5" customHeight="1" x14ac:dyDescent="0.15">
      <c r="A178" s="340">
        <v>12</v>
      </c>
      <c r="B178" s="341">
        <v>8048</v>
      </c>
      <c r="C178" s="390" t="s">
        <v>17052</v>
      </c>
      <c r="D178" s="403"/>
      <c r="E178" s="404"/>
      <c r="F178" s="404"/>
      <c r="G178" s="404"/>
      <c r="H178" s="406"/>
      <c r="Q178" s="395"/>
      <c r="R178" s="151"/>
      <c r="S178" s="151"/>
      <c r="U178" s="387"/>
      <c r="V178" s="343" t="s">
        <v>15625</v>
      </c>
      <c r="W178" s="325"/>
      <c r="X178" s="325"/>
      <c r="Y178" s="325"/>
      <c r="Z178" s="325"/>
      <c r="AA178" s="325"/>
      <c r="AB178" s="325"/>
      <c r="AC178" s="325"/>
      <c r="AD178" s="325"/>
      <c r="AE178" s="325"/>
      <c r="AF178" s="325"/>
      <c r="AG178" s="325"/>
      <c r="AH178" s="325"/>
      <c r="AI178" s="391" t="s">
        <v>15626</v>
      </c>
      <c r="AJ178" s="838">
        <f>AJ176</f>
        <v>1</v>
      </c>
      <c r="AK178" s="843"/>
      <c r="AL178" s="324" t="s">
        <v>15630</v>
      </c>
      <c r="AM178" s="325"/>
      <c r="AN178" s="325"/>
      <c r="AO178" s="325"/>
      <c r="AP178" s="325"/>
      <c r="AQ178" s="190" t="s">
        <v>398</v>
      </c>
      <c r="AR178" s="844">
        <f>AR174</f>
        <v>0.85</v>
      </c>
      <c r="AS178" s="844"/>
      <c r="AT178" s="501"/>
      <c r="AU178" s="502"/>
      <c r="AY178" s="387"/>
      <c r="AZ178" s="489">
        <f>ROUND(ROUND(ROUND(Q176*AJ178,0)*AR178,0)*$AT$112,0)</f>
        <v>93</v>
      </c>
      <c r="BA178" s="393"/>
    </row>
    <row r="179" spans="1:53" ht="17.100000000000001" customHeight="1" x14ac:dyDescent="0.15">
      <c r="A179" s="340">
        <v>12</v>
      </c>
      <c r="B179" s="341">
        <v>8049</v>
      </c>
      <c r="C179" s="390" t="s">
        <v>17053</v>
      </c>
      <c r="D179" s="403"/>
      <c r="E179" s="404"/>
      <c r="F179" s="404"/>
      <c r="G179" s="404"/>
      <c r="H179" s="406"/>
      <c r="I179" s="10"/>
      <c r="L179" s="151"/>
      <c r="M179" s="151"/>
      <c r="N179" s="151"/>
      <c r="U179" s="387"/>
      <c r="V179" s="343"/>
      <c r="W179" s="343"/>
      <c r="X179" s="343"/>
      <c r="Y179" s="343"/>
      <c r="Z179" s="343"/>
      <c r="AA179" s="343"/>
      <c r="AB179" s="343"/>
      <c r="AC179" s="343"/>
      <c r="AD179" s="343"/>
      <c r="AE179" s="343"/>
      <c r="AF179" s="343"/>
      <c r="AG179" s="343"/>
      <c r="AH179" s="343"/>
      <c r="AI179" s="343"/>
      <c r="AJ179" s="401"/>
      <c r="AK179" s="402"/>
      <c r="AL179" s="396"/>
      <c r="AM179" s="396"/>
      <c r="AN179" s="396"/>
      <c r="AO179" s="396"/>
      <c r="AP179" s="396"/>
      <c r="AQ179" s="396"/>
      <c r="AR179" s="396"/>
      <c r="AS179" s="396"/>
      <c r="AT179" s="490"/>
      <c r="AU179" s="387"/>
      <c r="AV179" s="858" t="s">
        <v>16296</v>
      </c>
      <c r="AW179" s="858"/>
      <c r="AX179" s="858"/>
      <c r="AY179" s="860"/>
      <c r="AZ179" s="489">
        <f>ROUND(ROUND(Q176*$AT$112,0)*AV182,0)</f>
        <v>87</v>
      </c>
      <c r="BA179" s="393"/>
    </row>
    <row r="180" spans="1:53" ht="16.5" customHeight="1" x14ac:dyDescent="0.15">
      <c r="A180" s="340">
        <v>12</v>
      </c>
      <c r="B180" s="341">
        <v>8050</v>
      </c>
      <c r="C180" s="390" t="s">
        <v>17054</v>
      </c>
      <c r="D180" s="403"/>
      <c r="E180" s="404"/>
      <c r="F180" s="404"/>
      <c r="G180" s="404"/>
      <c r="H180" s="406"/>
      <c r="Q180" s="899"/>
      <c r="R180" s="899"/>
      <c r="S180" s="899"/>
      <c r="U180" s="387"/>
      <c r="V180" s="343" t="s">
        <v>15625</v>
      </c>
      <c r="W180" s="325"/>
      <c r="X180" s="325"/>
      <c r="Y180" s="325"/>
      <c r="Z180" s="325"/>
      <c r="AA180" s="325"/>
      <c r="AB180" s="325"/>
      <c r="AC180" s="325"/>
      <c r="AD180" s="325"/>
      <c r="AE180" s="325"/>
      <c r="AF180" s="325"/>
      <c r="AG180" s="325"/>
      <c r="AH180" s="325"/>
      <c r="AI180" s="391" t="s">
        <v>15626</v>
      </c>
      <c r="AJ180" s="838">
        <f>AJ178</f>
        <v>1</v>
      </c>
      <c r="AK180" s="839"/>
      <c r="AL180" s="325"/>
      <c r="AM180" s="325"/>
      <c r="AN180" s="325"/>
      <c r="AO180" s="325"/>
      <c r="AP180" s="325"/>
      <c r="AQ180" s="325"/>
      <c r="AR180" s="325"/>
      <c r="AS180" s="391"/>
      <c r="AT180" s="503"/>
      <c r="AU180" s="504"/>
      <c r="AV180" s="850"/>
      <c r="AW180" s="850"/>
      <c r="AX180" s="850"/>
      <c r="AY180" s="852"/>
      <c r="AZ180" s="489">
        <f>ROUND(ROUND(ROUND(Q176*AJ180,0)*$AT$112,0)*AV182,0)</f>
        <v>87</v>
      </c>
      <c r="BA180" s="393"/>
    </row>
    <row r="181" spans="1:53" ht="16.5" customHeight="1" x14ac:dyDescent="0.15">
      <c r="A181" s="340">
        <v>12</v>
      </c>
      <c r="B181" s="341">
        <v>8051</v>
      </c>
      <c r="C181" s="390" t="s">
        <v>17055</v>
      </c>
      <c r="D181" s="403"/>
      <c r="E181" s="404"/>
      <c r="F181" s="404"/>
      <c r="G181" s="404"/>
      <c r="H181" s="406"/>
      <c r="Q181" s="395"/>
      <c r="R181" s="151"/>
      <c r="S181" s="151"/>
      <c r="U181" s="387"/>
      <c r="V181" s="343"/>
      <c r="W181" s="343"/>
      <c r="X181" s="343"/>
      <c r="Y181" s="343"/>
      <c r="Z181" s="343"/>
      <c r="AA181" s="343"/>
      <c r="AB181" s="343"/>
      <c r="AC181" s="343"/>
      <c r="AD181" s="343"/>
      <c r="AE181" s="343"/>
      <c r="AF181" s="343"/>
      <c r="AG181" s="343"/>
      <c r="AH181" s="343"/>
      <c r="AI181" s="343"/>
      <c r="AJ181" s="343"/>
      <c r="AK181" s="343"/>
      <c r="AL181" s="114" t="s">
        <v>15628</v>
      </c>
      <c r="AM181" s="396"/>
      <c r="AN181" s="396"/>
      <c r="AO181" s="396"/>
      <c r="AP181" s="396"/>
      <c r="AQ181" s="396"/>
      <c r="AR181" s="396"/>
      <c r="AS181" s="396"/>
      <c r="AT181" s="490"/>
      <c r="AU181" s="387"/>
      <c r="AV181" s="902" t="s">
        <v>15636</v>
      </c>
      <c r="AW181" s="902"/>
      <c r="AX181" s="902"/>
      <c r="AY181" s="903"/>
      <c r="AZ181" s="489">
        <f>ROUND(ROUND(ROUND(Q176*AR182,0)*$AT$112,0)*AV182,0)</f>
        <v>74</v>
      </c>
      <c r="BA181" s="393"/>
    </row>
    <row r="182" spans="1:53" ht="16.5" customHeight="1" x14ac:dyDescent="0.15">
      <c r="A182" s="340">
        <v>12</v>
      </c>
      <c r="B182" s="341">
        <v>8052</v>
      </c>
      <c r="C182" s="390" t="s">
        <v>17056</v>
      </c>
      <c r="D182" s="419"/>
      <c r="E182" s="420"/>
      <c r="F182" s="420"/>
      <c r="G182" s="420"/>
      <c r="H182" s="422"/>
      <c r="I182" s="325"/>
      <c r="J182" s="325"/>
      <c r="K182" s="325"/>
      <c r="L182" s="325"/>
      <c r="M182" s="325"/>
      <c r="N182" s="325"/>
      <c r="O182" s="325"/>
      <c r="P182" s="325"/>
      <c r="Q182" s="416"/>
      <c r="R182" s="417"/>
      <c r="S182" s="417"/>
      <c r="T182" s="325"/>
      <c r="U182" s="388"/>
      <c r="V182" s="343" t="s">
        <v>15625</v>
      </c>
      <c r="W182" s="325"/>
      <c r="X182" s="325"/>
      <c r="Y182" s="325"/>
      <c r="Z182" s="325"/>
      <c r="AA182" s="325"/>
      <c r="AB182" s="325"/>
      <c r="AC182" s="325"/>
      <c r="AD182" s="325"/>
      <c r="AE182" s="325"/>
      <c r="AF182" s="325"/>
      <c r="AG182" s="325"/>
      <c r="AH182" s="325"/>
      <c r="AI182" s="391" t="s">
        <v>15626</v>
      </c>
      <c r="AJ182" s="838">
        <f>AJ180</f>
        <v>1</v>
      </c>
      <c r="AK182" s="843"/>
      <c r="AL182" s="324" t="s">
        <v>15630</v>
      </c>
      <c r="AM182" s="325"/>
      <c r="AN182" s="325"/>
      <c r="AO182" s="325"/>
      <c r="AP182" s="325"/>
      <c r="AQ182" s="190" t="s">
        <v>398</v>
      </c>
      <c r="AR182" s="844">
        <f>AR178</f>
        <v>0.85</v>
      </c>
      <c r="AS182" s="844"/>
      <c r="AT182" s="505"/>
      <c r="AU182" s="506"/>
      <c r="AV182" s="844">
        <f>AV174</f>
        <v>0.8</v>
      </c>
      <c r="AW182" s="844"/>
      <c r="AX182" s="844"/>
      <c r="AY182" s="845"/>
      <c r="AZ182" s="491">
        <f>ROUND(ROUND(ROUND(ROUND(Q176*AJ182,0)*AR182,0)*$AT$112,0)*AV182,0)</f>
        <v>74</v>
      </c>
      <c r="BA182" s="418"/>
    </row>
    <row r="183" spans="1:53" ht="17.100000000000001" customHeight="1" x14ac:dyDescent="0.15">
      <c r="A183" s="321">
        <v>12</v>
      </c>
      <c r="B183" s="322">
        <v>8053</v>
      </c>
      <c r="C183" s="386" t="s">
        <v>17057</v>
      </c>
      <c r="D183" s="849" t="s">
        <v>15689</v>
      </c>
      <c r="E183" s="850"/>
      <c r="F183" s="850"/>
      <c r="G183" s="850"/>
      <c r="H183" s="852"/>
      <c r="I183" s="908" t="s">
        <v>16381</v>
      </c>
      <c r="J183" s="909"/>
      <c r="K183" s="909"/>
      <c r="L183" s="909"/>
      <c r="M183" s="909"/>
      <c r="N183" s="909"/>
      <c r="O183" s="909"/>
      <c r="P183" s="909"/>
      <c r="Q183" s="909"/>
      <c r="R183" s="909"/>
      <c r="S183" s="909"/>
      <c r="T183" s="909"/>
      <c r="U183" s="910"/>
      <c r="V183" s="325"/>
      <c r="W183" s="325"/>
      <c r="X183" s="325"/>
      <c r="Y183" s="325"/>
      <c r="Z183" s="325"/>
      <c r="AA183" s="325"/>
      <c r="AB183" s="325"/>
      <c r="AC183" s="325"/>
      <c r="AD183" s="325"/>
      <c r="AE183" s="325"/>
      <c r="AF183" s="325"/>
      <c r="AG183" s="325"/>
      <c r="AH183" s="325"/>
      <c r="AI183" s="325"/>
      <c r="AJ183" s="401"/>
      <c r="AK183" s="402"/>
      <c r="AQ183" s="152"/>
      <c r="AR183" s="152"/>
      <c r="AS183" s="152"/>
      <c r="AT183" s="920" t="s">
        <v>743</v>
      </c>
      <c r="AU183" s="917"/>
      <c r="AV183" s="151"/>
      <c r="AW183" s="151"/>
      <c r="AY183" s="387"/>
      <c r="AZ183" s="489">
        <f>ROUND(Q184*$AT$192,0)</f>
        <v>116</v>
      </c>
      <c r="BA183" s="339" t="s">
        <v>15622</v>
      </c>
    </row>
    <row r="184" spans="1:53" ht="16.5" customHeight="1" x14ac:dyDescent="0.15">
      <c r="A184" s="340">
        <v>12</v>
      </c>
      <c r="B184" s="341">
        <v>8054</v>
      </c>
      <c r="C184" s="390" t="s">
        <v>17058</v>
      </c>
      <c r="D184" s="849"/>
      <c r="E184" s="850"/>
      <c r="F184" s="850"/>
      <c r="G184" s="850"/>
      <c r="H184" s="852"/>
      <c r="Q184" s="836">
        <f>ROUND(Q280*$F$189,0)</f>
        <v>93</v>
      </c>
      <c r="R184" s="911"/>
      <c r="S184" s="911"/>
      <c r="T184" s="152" t="s">
        <v>15624</v>
      </c>
      <c r="U184" s="387"/>
      <c r="V184" s="343" t="s">
        <v>15625</v>
      </c>
      <c r="W184" s="325"/>
      <c r="X184" s="325"/>
      <c r="Y184" s="325"/>
      <c r="Z184" s="325"/>
      <c r="AA184" s="325"/>
      <c r="AB184" s="325"/>
      <c r="AC184" s="325"/>
      <c r="AD184" s="325"/>
      <c r="AE184" s="325"/>
      <c r="AF184" s="325"/>
      <c r="AG184" s="325"/>
      <c r="AH184" s="325"/>
      <c r="AI184" s="391" t="s">
        <v>15626</v>
      </c>
      <c r="AJ184" s="838">
        <f>AJ182</f>
        <v>1</v>
      </c>
      <c r="AK184" s="839"/>
      <c r="AL184" s="325"/>
      <c r="AM184" s="325"/>
      <c r="AN184" s="325"/>
      <c r="AO184" s="325"/>
      <c r="AP184" s="325"/>
      <c r="AQ184" s="325"/>
      <c r="AR184" s="325"/>
      <c r="AS184" s="391"/>
      <c r="AT184" s="912"/>
      <c r="AU184" s="913"/>
      <c r="AY184" s="387"/>
      <c r="AZ184" s="489">
        <f>ROUND(ROUND(Q184*AJ184,0)*$AT$192,0)</f>
        <v>116</v>
      </c>
      <c r="BA184" s="393"/>
    </row>
    <row r="185" spans="1:53" ht="16.5" customHeight="1" x14ac:dyDescent="0.15">
      <c r="A185" s="340">
        <v>12</v>
      </c>
      <c r="B185" s="341">
        <v>8055</v>
      </c>
      <c r="C185" s="390" t="s">
        <v>17059</v>
      </c>
      <c r="D185" s="849"/>
      <c r="E185" s="850"/>
      <c r="F185" s="850"/>
      <c r="G185" s="850"/>
      <c r="H185" s="852"/>
      <c r="Q185" s="395"/>
      <c r="R185" s="151"/>
      <c r="S185" s="151"/>
      <c r="U185" s="387"/>
      <c r="V185" s="343"/>
      <c r="W185" s="343"/>
      <c r="X185" s="343"/>
      <c r="Y185" s="343"/>
      <c r="Z185" s="343"/>
      <c r="AA185" s="343"/>
      <c r="AB185" s="343"/>
      <c r="AC185" s="343"/>
      <c r="AD185" s="343"/>
      <c r="AE185" s="343"/>
      <c r="AF185" s="343"/>
      <c r="AG185" s="343"/>
      <c r="AH185" s="343"/>
      <c r="AI185" s="343"/>
      <c r="AJ185" s="343"/>
      <c r="AK185" s="343"/>
      <c r="AL185" s="114" t="s">
        <v>15628</v>
      </c>
      <c r="AM185" s="396"/>
      <c r="AN185" s="396"/>
      <c r="AO185" s="396"/>
      <c r="AP185" s="396"/>
      <c r="AQ185" s="396"/>
      <c r="AR185" s="396"/>
      <c r="AS185" s="396"/>
      <c r="AT185" s="912"/>
      <c r="AU185" s="913"/>
      <c r="AY185" s="387"/>
      <c r="AZ185" s="489">
        <f>ROUND(ROUND(Q184*AR186,0)*$AT$192,0)</f>
        <v>99</v>
      </c>
      <c r="BA185" s="393"/>
    </row>
    <row r="186" spans="1:53" ht="16.5" customHeight="1" x14ac:dyDescent="0.15">
      <c r="A186" s="340">
        <v>12</v>
      </c>
      <c r="B186" s="341">
        <v>8056</v>
      </c>
      <c r="C186" s="390" t="s">
        <v>17060</v>
      </c>
      <c r="D186" s="849"/>
      <c r="E186" s="850"/>
      <c r="F186" s="850"/>
      <c r="G186" s="850"/>
      <c r="H186" s="852"/>
      <c r="Q186" s="395"/>
      <c r="R186" s="151"/>
      <c r="S186" s="151"/>
      <c r="U186" s="387"/>
      <c r="V186" s="343" t="s">
        <v>15625</v>
      </c>
      <c r="W186" s="325"/>
      <c r="X186" s="325"/>
      <c r="Y186" s="325"/>
      <c r="Z186" s="325"/>
      <c r="AA186" s="325"/>
      <c r="AB186" s="325"/>
      <c r="AC186" s="325"/>
      <c r="AD186" s="325"/>
      <c r="AE186" s="325"/>
      <c r="AF186" s="325"/>
      <c r="AG186" s="325"/>
      <c r="AH186" s="325"/>
      <c r="AI186" s="391" t="s">
        <v>15626</v>
      </c>
      <c r="AJ186" s="838">
        <f>AJ184</f>
        <v>1</v>
      </c>
      <c r="AK186" s="843"/>
      <c r="AL186" s="324" t="s">
        <v>15630</v>
      </c>
      <c r="AM186" s="325"/>
      <c r="AN186" s="325"/>
      <c r="AO186" s="325"/>
      <c r="AP186" s="325"/>
      <c r="AQ186" s="190" t="s">
        <v>398</v>
      </c>
      <c r="AR186" s="844">
        <f>AR182</f>
        <v>0.85</v>
      </c>
      <c r="AS186" s="844"/>
      <c r="AT186" s="912"/>
      <c r="AU186" s="913"/>
      <c r="AY186" s="387"/>
      <c r="AZ186" s="489">
        <f>ROUND(ROUND(ROUND(Q184*AJ186,0)*AR186,0)*$AT$192,0)</f>
        <v>99</v>
      </c>
      <c r="BA186" s="393"/>
    </row>
    <row r="187" spans="1:53" ht="17.100000000000001" customHeight="1" x14ac:dyDescent="0.15">
      <c r="A187" s="340">
        <v>12</v>
      </c>
      <c r="B187" s="341">
        <v>8057</v>
      </c>
      <c r="C187" s="390" t="s">
        <v>17061</v>
      </c>
      <c r="D187" s="832" t="s">
        <v>15632</v>
      </c>
      <c r="E187" s="833"/>
      <c r="F187" s="833"/>
      <c r="G187" s="833"/>
      <c r="H187" s="835"/>
      <c r="I187" s="10"/>
      <c r="L187" s="151"/>
      <c r="M187" s="151"/>
      <c r="N187" s="151"/>
      <c r="U187" s="387"/>
      <c r="V187" s="343"/>
      <c r="W187" s="343"/>
      <c r="X187" s="343"/>
      <c r="Y187" s="343"/>
      <c r="Z187" s="343"/>
      <c r="AA187" s="343"/>
      <c r="AB187" s="343"/>
      <c r="AC187" s="343"/>
      <c r="AD187" s="343"/>
      <c r="AE187" s="343"/>
      <c r="AF187" s="343"/>
      <c r="AG187" s="343"/>
      <c r="AH187" s="343"/>
      <c r="AI187" s="343"/>
      <c r="AJ187" s="401"/>
      <c r="AK187" s="402"/>
      <c r="AL187" s="396"/>
      <c r="AM187" s="396"/>
      <c r="AN187" s="396"/>
      <c r="AO187" s="396"/>
      <c r="AP187" s="396"/>
      <c r="AQ187" s="396"/>
      <c r="AR187" s="396"/>
      <c r="AS187" s="396"/>
      <c r="AT187" s="912"/>
      <c r="AU187" s="913"/>
      <c r="AV187" s="858" t="s">
        <v>16296</v>
      </c>
      <c r="AW187" s="858"/>
      <c r="AX187" s="858"/>
      <c r="AY187" s="860"/>
      <c r="AZ187" s="489">
        <f>ROUND(ROUND(Q184*$AT$192,0)*AV190,0)</f>
        <v>93</v>
      </c>
      <c r="BA187" s="393"/>
    </row>
    <row r="188" spans="1:53" ht="16.5" customHeight="1" x14ac:dyDescent="0.15">
      <c r="A188" s="340">
        <v>12</v>
      </c>
      <c r="B188" s="341">
        <v>8058</v>
      </c>
      <c r="C188" s="390" t="s">
        <v>17062</v>
      </c>
      <c r="D188" s="832"/>
      <c r="E188" s="833"/>
      <c r="F188" s="833"/>
      <c r="G188" s="833"/>
      <c r="H188" s="835"/>
      <c r="Q188" s="899"/>
      <c r="R188" s="899"/>
      <c r="S188" s="899"/>
      <c r="U188" s="387"/>
      <c r="V188" s="343" t="s">
        <v>15625</v>
      </c>
      <c r="W188" s="325"/>
      <c r="X188" s="325"/>
      <c r="Y188" s="325"/>
      <c r="Z188" s="325"/>
      <c r="AA188" s="325"/>
      <c r="AB188" s="325"/>
      <c r="AC188" s="325"/>
      <c r="AD188" s="325"/>
      <c r="AE188" s="325"/>
      <c r="AF188" s="325"/>
      <c r="AG188" s="325"/>
      <c r="AH188" s="325"/>
      <c r="AI188" s="391" t="s">
        <v>15626</v>
      </c>
      <c r="AJ188" s="838">
        <f>AJ186</f>
        <v>1</v>
      </c>
      <c r="AK188" s="839"/>
      <c r="AL188" s="325"/>
      <c r="AM188" s="325"/>
      <c r="AN188" s="325"/>
      <c r="AO188" s="325"/>
      <c r="AP188" s="325"/>
      <c r="AQ188" s="325"/>
      <c r="AR188" s="325"/>
      <c r="AS188" s="391"/>
      <c r="AT188" s="912"/>
      <c r="AU188" s="913"/>
      <c r="AV188" s="850"/>
      <c r="AW188" s="850"/>
      <c r="AX188" s="850"/>
      <c r="AY188" s="852"/>
      <c r="AZ188" s="489">
        <f>ROUND(ROUND(ROUND(Q184*AJ188,0)*$AT$192,0)*AV190,0)</f>
        <v>93</v>
      </c>
      <c r="BA188" s="393"/>
    </row>
    <row r="189" spans="1:53" ht="16.5" customHeight="1" x14ac:dyDescent="0.15">
      <c r="A189" s="340">
        <v>12</v>
      </c>
      <c r="B189" s="341">
        <v>8059</v>
      </c>
      <c r="C189" s="390" t="s">
        <v>17063</v>
      </c>
      <c r="D189" s="403"/>
      <c r="E189" s="404" t="s">
        <v>15636</v>
      </c>
      <c r="F189" s="854">
        <f>F109</f>
        <v>1.085</v>
      </c>
      <c r="G189" s="855"/>
      <c r="H189" s="856"/>
      <c r="Q189" s="395"/>
      <c r="R189" s="151"/>
      <c r="S189" s="151"/>
      <c r="U189" s="387"/>
      <c r="V189" s="343"/>
      <c r="W189" s="343"/>
      <c r="X189" s="343"/>
      <c r="Y189" s="343"/>
      <c r="Z189" s="343"/>
      <c r="AA189" s="343"/>
      <c r="AB189" s="343"/>
      <c r="AC189" s="343"/>
      <c r="AD189" s="343"/>
      <c r="AE189" s="343"/>
      <c r="AF189" s="343"/>
      <c r="AG189" s="343"/>
      <c r="AH189" s="343"/>
      <c r="AI189" s="343"/>
      <c r="AJ189" s="343"/>
      <c r="AK189" s="343"/>
      <c r="AL189" s="114" t="s">
        <v>15628</v>
      </c>
      <c r="AM189" s="396"/>
      <c r="AN189" s="396"/>
      <c r="AO189" s="396"/>
      <c r="AP189" s="396"/>
      <c r="AQ189" s="396"/>
      <c r="AR189" s="396"/>
      <c r="AS189" s="396"/>
      <c r="AT189" s="912"/>
      <c r="AU189" s="913"/>
      <c r="AV189" s="902" t="s">
        <v>15636</v>
      </c>
      <c r="AW189" s="902"/>
      <c r="AX189" s="902"/>
      <c r="AY189" s="903"/>
      <c r="AZ189" s="489">
        <f>ROUND(ROUND(ROUND(Q184*AR190,0)*$AT$192,0)*AV190,0)</f>
        <v>79</v>
      </c>
      <c r="BA189" s="393"/>
    </row>
    <row r="190" spans="1:53" ht="16.5" customHeight="1" x14ac:dyDescent="0.15">
      <c r="A190" s="340">
        <v>12</v>
      </c>
      <c r="B190" s="341">
        <v>8060</v>
      </c>
      <c r="C190" s="390" t="s">
        <v>17064</v>
      </c>
      <c r="D190" s="403"/>
      <c r="E190" s="404"/>
      <c r="F190" s="404"/>
      <c r="G190" s="404"/>
      <c r="H190" s="406"/>
      <c r="Q190" s="395"/>
      <c r="R190" s="151"/>
      <c r="S190" s="151"/>
      <c r="U190" s="387"/>
      <c r="V190" s="343" t="s">
        <v>15625</v>
      </c>
      <c r="W190" s="325"/>
      <c r="X190" s="325"/>
      <c r="Y190" s="325"/>
      <c r="Z190" s="325"/>
      <c r="AA190" s="325"/>
      <c r="AB190" s="325"/>
      <c r="AC190" s="325"/>
      <c r="AD190" s="325"/>
      <c r="AE190" s="325"/>
      <c r="AF190" s="325"/>
      <c r="AG190" s="325"/>
      <c r="AH190" s="325"/>
      <c r="AI190" s="391" t="s">
        <v>15626</v>
      </c>
      <c r="AJ190" s="838">
        <f>AJ188</f>
        <v>1</v>
      </c>
      <c r="AK190" s="843"/>
      <c r="AL190" s="324" t="s">
        <v>15630</v>
      </c>
      <c r="AM190" s="325"/>
      <c r="AN190" s="325"/>
      <c r="AO190" s="325"/>
      <c r="AP190" s="325"/>
      <c r="AQ190" s="190" t="s">
        <v>398</v>
      </c>
      <c r="AR190" s="844">
        <f>AR186</f>
        <v>0.85</v>
      </c>
      <c r="AS190" s="844"/>
      <c r="AT190" s="912"/>
      <c r="AU190" s="913"/>
      <c r="AV190" s="844">
        <f>AV182</f>
        <v>0.8</v>
      </c>
      <c r="AW190" s="844"/>
      <c r="AX190" s="844"/>
      <c r="AY190" s="845"/>
      <c r="AZ190" s="489">
        <f>ROUND(ROUND(ROUND(ROUND(Q184*AJ190,0)*AR190,0)*$AT$192,0)*AV190,0)</f>
        <v>79</v>
      </c>
      <c r="BA190" s="393"/>
    </row>
    <row r="191" spans="1:53" ht="17.100000000000001" customHeight="1" x14ac:dyDescent="0.15">
      <c r="A191" s="340">
        <v>12</v>
      </c>
      <c r="B191" s="341">
        <v>8061</v>
      </c>
      <c r="C191" s="390" t="s">
        <v>17065</v>
      </c>
      <c r="D191" s="403"/>
      <c r="E191" s="404"/>
      <c r="F191" s="404"/>
      <c r="G191" s="404"/>
      <c r="H191" s="406"/>
      <c r="I191" s="908" t="s">
        <v>16390</v>
      </c>
      <c r="J191" s="909"/>
      <c r="K191" s="909"/>
      <c r="L191" s="909"/>
      <c r="M191" s="909"/>
      <c r="N191" s="909"/>
      <c r="O191" s="909"/>
      <c r="P191" s="909"/>
      <c r="Q191" s="909"/>
      <c r="R191" s="909"/>
      <c r="S191" s="909"/>
      <c r="T191" s="909"/>
      <c r="U191" s="910"/>
      <c r="V191" s="343"/>
      <c r="W191" s="343"/>
      <c r="X191" s="343"/>
      <c r="Y191" s="343"/>
      <c r="Z191" s="343"/>
      <c r="AA191" s="343"/>
      <c r="AB191" s="343"/>
      <c r="AC191" s="343"/>
      <c r="AD191" s="343"/>
      <c r="AE191" s="343"/>
      <c r="AF191" s="343"/>
      <c r="AG191" s="343"/>
      <c r="AH191" s="343"/>
      <c r="AI191" s="343"/>
      <c r="AJ191" s="401"/>
      <c r="AK191" s="402"/>
      <c r="AL191" s="396"/>
      <c r="AM191" s="396"/>
      <c r="AN191" s="396"/>
      <c r="AO191" s="396"/>
      <c r="AP191" s="396"/>
      <c r="AQ191" s="396"/>
      <c r="AR191" s="396"/>
      <c r="AS191" s="396"/>
      <c r="AT191" s="918" t="s">
        <v>15636</v>
      </c>
      <c r="AU191" s="913"/>
      <c r="AV191" s="400"/>
      <c r="AW191" s="400"/>
      <c r="AX191" s="396"/>
      <c r="AY191" s="397"/>
      <c r="AZ191" s="489">
        <f>ROUND(Q192*$AT$192,0)</f>
        <v>109</v>
      </c>
      <c r="BA191" s="393"/>
    </row>
    <row r="192" spans="1:53" ht="16.5" customHeight="1" x14ac:dyDescent="0.15">
      <c r="A192" s="340">
        <v>12</v>
      </c>
      <c r="B192" s="341">
        <v>8062</v>
      </c>
      <c r="C192" s="390" t="s">
        <v>17066</v>
      </c>
      <c r="D192" s="403"/>
      <c r="E192" s="404"/>
      <c r="F192" s="404"/>
      <c r="G192" s="404"/>
      <c r="H192" s="406"/>
      <c r="Q192" s="836">
        <f>ROUND(Q288*$F$189,0)</f>
        <v>87</v>
      </c>
      <c r="R192" s="911"/>
      <c r="S192" s="911"/>
      <c r="T192" s="152" t="s">
        <v>15624</v>
      </c>
      <c r="U192" s="387"/>
      <c r="V192" s="343" t="s">
        <v>15625</v>
      </c>
      <c r="W192" s="325"/>
      <c r="X192" s="325"/>
      <c r="Y192" s="325"/>
      <c r="Z192" s="325"/>
      <c r="AA192" s="325"/>
      <c r="AB192" s="325"/>
      <c r="AC192" s="325"/>
      <c r="AD192" s="325"/>
      <c r="AE192" s="325"/>
      <c r="AF192" s="325"/>
      <c r="AG192" s="325"/>
      <c r="AH192" s="325"/>
      <c r="AI192" s="391" t="s">
        <v>15626</v>
      </c>
      <c r="AJ192" s="838">
        <f>AJ190</f>
        <v>1</v>
      </c>
      <c r="AK192" s="839"/>
      <c r="AL192" s="325"/>
      <c r="AM192" s="325"/>
      <c r="AN192" s="325"/>
      <c r="AO192" s="325"/>
      <c r="AP192" s="325"/>
      <c r="AQ192" s="325"/>
      <c r="AR192" s="325"/>
      <c r="AS192" s="391"/>
      <c r="AT192" s="919">
        <f>AT112</f>
        <v>1.25</v>
      </c>
      <c r="AU192" s="915"/>
      <c r="AY192" s="387"/>
      <c r="AZ192" s="489">
        <f>ROUND(ROUND(Q192*AJ192,0)*$AT$192,0)</f>
        <v>109</v>
      </c>
      <c r="BA192" s="393"/>
    </row>
    <row r="193" spans="1:53" ht="16.5" customHeight="1" x14ac:dyDescent="0.15">
      <c r="A193" s="340">
        <v>12</v>
      </c>
      <c r="B193" s="341">
        <v>8063</v>
      </c>
      <c r="C193" s="390" t="s">
        <v>17067</v>
      </c>
      <c r="D193" s="408"/>
      <c r="E193" s="409"/>
      <c r="F193" s="409"/>
      <c r="G193" s="409"/>
      <c r="H193" s="411"/>
      <c r="Q193" s="395"/>
      <c r="R193" s="151"/>
      <c r="S193" s="151"/>
      <c r="U193" s="387"/>
      <c r="V193" s="343"/>
      <c r="W193" s="343"/>
      <c r="X193" s="343"/>
      <c r="Y193" s="343"/>
      <c r="Z193" s="343"/>
      <c r="AA193" s="343"/>
      <c r="AB193" s="343"/>
      <c r="AC193" s="343"/>
      <c r="AD193" s="343"/>
      <c r="AE193" s="343"/>
      <c r="AF193" s="343"/>
      <c r="AG193" s="343"/>
      <c r="AH193" s="343"/>
      <c r="AI193" s="343"/>
      <c r="AJ193" s="343"/>
      <c r="AK193" s="343"/>
      <c r="AL193" s="114" t="s">
        <v>15628</v>
      </c>
      <c r="AM193" s="396"/>
      <c r="AN193" s="396"/>
      <c r="AO193" s="396"/>
      <c r="AP193" s="396"/>
      <c r="AQ193" s="396"/>
      <c r="AR193" s="396"/>
      <c r="AS193" s="396"/>
      <c r="AT193" s="490"/>
      <c r="AU193" s="387"/>
      <c r="AY193" s="387"/>
      <c r="AZ193" s="489">
        <f>ROUND(ROUND(Q192*AR194,0)*$AT$192,0)</f>
        <v>93</v>
      </c>
      <c r="BA193" s="393"/>
    </row>
    <row r="194" spans="1:53" ht="16.5" customHeight="1" x14ac:dyDescent="0.15">
      <c r="A194" s="340">
        <v>12</v>
      </c>
      <c r="B194" s="341">
        <v>8064</v>
      </c>
      <c r="C194" s="390" t="s">
        <v>17068</v>
      </c>
      <c r="D194" s="408"/>
      <c r="E194" s="409"/>
      <c r="F194" s="409"/>
      <c r="G194" s="409"/>
      <c r="H194" s="411"/>
      <c r="Q194" s="395"/>
      <c r="R194" s="151"/>
      <c r="S194" s="151"/>
      <c r="U194" s="387"/>
      <c r="V194" s="343" t="s">
        <v>15625</v>
      </c>
      <c r="W194" s="325"/>
      <c r="X194" s="325"/>
      <c r="Y194" s="325"/>
      <c r="Z194" s="325"/>
      <c r="AA194" s="325"/>
      <c r="AB194" s="325"/>
      <c r="AC194" s="325"/>
      <c r="AD194" s="325"/>
      <c r="AE194" s="325"/>
      <c r="AF194" s="325"/>
      <c r="AG194" s="325"/>
      <c r="AH194" s="325"/>
      <c r="AI194" s="391" t="s">
        <v>15626</v>
      </c>
      <c r="AJ194" s="838">
        <f>AJ192</f>
        <v>1</v>
      </c>
      <c r="AK194" s="843"/>
      <c r="AL194" s="324" t="s">
        <v>15630</v>
      </c>
      <c r="AM194" s="325"/>
      <c r="AN194" s="325"/>
      <c r="AO194" s="325"/>
      <c r="AP194" s="325"/>
      <c r="AQ194" s="190" t="s">
        <v>398</v>
      </c>
      <c r="AR194" s="844">
        <f>AR190</f>
        <v>0.85</v>
      </c>
      <c r="AS194" s="844"/>
      <c r="AT194" s="501"/>
      <c r="AU194" s="502"/>
      <c r="AY194" s="387"/>
      <c r="AZ194" s="489">
        <f>ROUND(ROUND(ROUND(Q192*AJ194,0)*AR194,0)*$AT$192,0)</f>
        <v>93</v>
      </c>
      <c r="BA194" s="393"/>
    </row>
    <row r="195" spans="1:53" ht="17.100000000000001" customHeight="1" x14ac:dyDescent="0.15">
      <c r="A195" s="340">
        <v>12</v>
      </c>
      <c r="B195" s="341">
        <v>8065</v>
      </c>
      <c r="C195" s="390" t="s">
        <v>17069</v>
      </c>
      <c r="D195" s="403"/>
      <c r="E195" s="404"/>
      <c r="F195" s="404"/>
      <c r="G195" s="404"/>
      <c r="H195" s="406"/>
      <c r="I195" s="10"/>
      <c r="L195" s="151"/>
      <c r="M195" s="151"/>
      <c r="N195" s="151"/>
      <c r="U195" s="387"/>
      <c r="V195" s="343"/>
      <c r="W195" s="343"/>
      <c r="X195" s="343"/>
      <c r="Y195" s="343"/>
      <c r="Z195" s="343"/>
      <c r="AA195" s="343"/>
      <c r="AB195" s="343"/>
      <c r="AC195" s="343"/>
      <c r="AD195" s="343"/>
      <c r="AE195" s="343"/>
      <c r="AF195" s="343"/>
      <c r="AG195" s="343"/>
      <c r="AH195" s="343"/>
      <c r="AI195" s="343"/>
      <c r="AJ195" s="401"/>
      <c r="AK195" s="402"/>
      <c r="AL195" s="396"/>
      <c r="AM195" s="396"/>
      <c r="AN195" s="396"/>
      <c r="AO195" s="396"/>
      <c r="AP195" s="396"/>
      <c r="AQ195" s="396"/>
      <c r="AR195" s="396"/>
      <c r="AS195" s="396"/>
      <c r="AT195" s="490"/>
      <c r="AU195" s="387"/>
      <c r="AV195" s="858" t="s">
        <v>16296</v>
      </c>
      <c r="AW195" s="858"/>
      <c r="AX195" s="858"/>
      <c r="AY195" s="860"/>
      <c r="AZ195" s="489">
        <f>ROUND(ROUND(Q192*$AT$192,0)*AV198,0)</f>
        <v>87</v>
      </c>
      <c r="BA195" s="393"/>
    </row>
    <row r="196" spans="1:53" ht="16.5" customHeight="1" x14ac:dyDescent="0.15">
      <c r="A196" s="340">
        <v>12</v>
      </c>
      <c r="B196" s="341">
        <v>8066</v>
      </c>
      <c r="C196" s="390" t="s">
        <v>17070</v>
      </c>
      <c r="D196" s="403"/>
      <c r="E196" s="404"/>
      <c r="F196" s="404"/>
      <c r="G196" s="404"/>
      <c r="H196" s="406"/>
      <c r="Q196" s="899"/>
      <c r="R196" s="899"/>
      <c r="S196" s="899"/>
      <c r="U196" s="387"/>
      <c r="V196" s="343" t="s">
        <v>15625</v>
      </c>
      <c r="W196" s="325"/>
      <c r="X196" s="325"/>
      <c r="Y196" s="325"/>
      <c r="Z196" s="325"/>
      <c r="AA196" s="325"/>
      <c r="AB196" s="325"/>
      <c r="AC196" s="325"/>
      <c r="AD196" s="325"/>
      <c r="AE196" s="325"/>
      <c r="AF196" s="325"/>
      <c r="AG196" s="325"/>
      <c r="AH196" s="325"/>
      <c r="AI196" s="391" t="s">
        <v>15626</v>
      </c>
      <c r="AJ196" s="838">
        <f>AJ194</f>
        <v>1</v>
      </c>
      <c r="AK196" s="839"/>
      <c r="AL196" s="325"/>
      <c r="AM196" s="325"/>
      <c r="AN196" s="325"/>
      <c r="AO196" s="325"/>
      <c r="AP196" s="325"/>
      <c r="AQ196" s="325"/>
      <c r="AR196" s="325"/>
      <c r="AS196" s="391"/>
      <c r="AT196" s="503"/>
      <c r="AU196" s="504"/>
      <c r="AV196" s="850"/>
      <c r="AW196" s="850"/>
      <c r="AX196" s="850"/>
      <c r="AY196" s="852"/>
      <c r="AZ196" s="489">
        <f>ROUND(ROUND(ROUND(Q192*AJ196,0)*$AT$192,0)*AV198,0)</f>
        <v>87</v>
      </c>
      <c r="BA196" s="393"/>
    </row>
    <row r="197" spans="1:53" ht="16.5" customHeight="1" x14ac:dyDescent="0.15">
      <c r="A197" s="340">
        <v>12</v>
      </c>
      <c r="B197" s="341">
        <v>8067</v>
      </c>
      <c r="C197" s="390" t="s">
        <v>17071</v>
      </c>
      <c r="D197" s="408"/>
      <c r="E197" s="409"/>
      <c r="F197" s="409"/>
      <c r="G197" s="409"/>
      <c r="H197" s="411"/>
      <c r="Q197" s="395"/>
      <c r="R197" s="151"/>
      <c r="S197" s="151"/>
      <c r="U197" s="387"/>
      <c r="V197" s="343"/>
      <c r="W197" s="343"/>
      <c r="X197" s="343"/>
      <c r="Y197" s="343"/>
      <c r="Z197" s="343"/>
      <c r="AA197" s="343"/>
      <c r="AB197" s="343"/>
      <c r="AC197" s="343"/>
      <c r="AD197" s="343"/>
      <c r="AE197" s="343"/>
      <c r="AF197" s="343"/>
      <c r="AG197" s="343"/>
      <c r="AH197" s="343"/>
      <c r="AI197" s="343"/>
      <c r="AJ197" s="343"/>
      <c r="AK197" s="343"/>
      <c r="AL197" s="114" t="s">
        <v>15628</v>
      </c>
      <c r="AM197" s="396"/>
      <c r="AN197" s="396"/>
      <c r="AO197" s="396"/>
      <c r="AP197" s="396"/>
      <c r="AQ197" s="396"/>
      <c r="AR197" s="396"/>
      <c r="AS197" s="396"/>
      <c r="AT197" s="490"/>
      <c r="AU197" s="387"/>
      <c r="AV197" s="902" t="s">
        <v>15636</v>
      </c>
      <c r="AW197" s="902"/>
      <c r="AX197" s="902"/>
      <c r="AY197" s="903"/>
      <c r="AZ197" s="489">
        <f>ROUND(ROUND(ROUND(Q192*AR198,0)*$AT$192,0)*AV198,0)</f>
        <v>74</v>
      </c>
      <c r="BA197" s="393"/>
    </row>
    <row r="198" spans="1:53" ht="16.5" customHeight="1" x14ac:dyDescent="0.15">
      <c r="A198" s="340">
        <v>12</v>
      </c>
      <c r="B198" s="341">
        <v>8068</v>
      </c>
      <c r="C198" s="390" t="s">
        <v>17072</v>
      </c>
      <c r="D198" s="412"/>
      <c r="E198" s="413"/>
      <c r="F198" s="413"/>
      <c r="G198" s="413"/>
      <c r="H198" s="415"/>
      <c r="I198" s="325"/>
      <c r="J198" s="325"/>
      <c r="K198" s="325"/>
      <c r="L198" s="325"/>
      <c r="M198" s="325"/>
      <c r="N198" s="325"/>
      <c r="O198" s="325"/>
      <c r="P198" s="325"/>
      <c r="Q198" s="416"/>
      <c r="R198" s="417"/>
      <c r="S198" s="417"/>
      <c r="T198" s="325"/>
      <c r="U198" s="388"/>
      <c r="V198" s="343" t="s">
        <v>15625</v>
      </c>
      <c r="W198" s="325"/>
      <c r="X198" s="325"/>
      <c r="Y198" s="325"/>
      <c r="Z198" s="325"/>
      <c r="AA198" s="325"/>
      <c r="AB198" s="325"/>
      <c r="AC198" s="325"/>
      <c r="AD198" s="325"/>
      <c r="AE198" s="325"/>
      <c r="AF198" s="325"/>
      <c r="AG198" s="325"/>
      <c r="AH198" s="325"/>
      <c r="AI198" s="391" t="s">
        <v>15626</v>
      </c>
      <c r="AJ198" s="838">
        <f>AJ196</f>
        <v>1</v>
      </c>
      <c r="AK198" s="843"/>
      <c r="AL198" s="324" t="s">
        <v>15630</v>
      </c>
      <c r="AM198" s="325"/>
      <c r="AN198" s="325"/>
      <c r="AO198" s="325"/>
      <c r="AP198" s="325"/>
      <c r="AQ198" s="190" t="s">
        <v>398</v>
      </c>
      <c r="AR198" s="844">
        <f>AR194</f>
        <v>0.85</v>
      </c>
      <c r="AS198" s="844"/>
      <c r="AT198" s="505"/>
      <c r="AU198" s="506"/>
      <c r="AV198" s="844">
        <f>AV190</f>
        <v>0.8</v>
      </c>
      <c r="AW198" s="844"/>
      <c r="AX198" s="844"/>
      <c r="AY198" s="845"/>
      <c r="AZ198" s="491">
        <f>ROUND(ROUND(ROUND(ROUND(Q192*AJ198,0)*AR198,0)*$AT$192,0)*AV198,0)</f>
        <v>74</v>
      </c>
      <c r="BA198" s="418"/>
    </row>
    <row r="199" spans="1:53" ht="17.100000000000001" customHeight="1" x14ac:dyDescent="0.15">
      <c r="A199" s="340">
        <v>12</v>
      </c>
      <c r="B199" s="341">
        <v>8069</v>
      </c>
      <c r="C199" s="390" t="s">
        <v>17073</v>
      </c>
      <c r="D199" s="857" t="s">
        <v>15740</v>
      </c>
      <c r="E199" s="858"/>
      <c r="F199" s="858"/>
      <c r="G199" s="858"/>
      <c r="H199" s="860"/>
      <c r="I199" s="908" t="s">
        <v>15621</v>
      </c>
      <c r="J199" s="909"/>
      <c r="K199" s="909"/>
      <c r="L199" s="909"/>
      <c r="M199" s="909"/>
      <c r="N199" s="909"/>
      <c r="O199" s="909"/>
      <c r="P199" s="909"/>
      <c r="Q199" s="909"/>
      <c r="R199" s="909"/>
      <c r="S199" s="909"/>
      <c r="T199" s="909"/>
      <c r="U199" s="910"/>
      <c r="V199" s="343"/>
      <c r="W199" s="343"/>
      <c r="X199" s="343"/>
      <c r="Y199" s="343"/>
      <c r="Z199" s="343"/>
      <c r="AA199" s="343"/>
      <c r="AB199" s="343"/>
      <c r="AC199" s="343"/>
      <c r="AD199" s="343"/>
      <c r="AE199" s="343"/>
      <c r="AF199" s="343"/>
      <c r="AG199" s="343"/>
      <c r="AH199" s="343"/>
      <c r="AI199" s="343"/>
      <c r="AJ199" s="343"/>
      <c r="AK199" s="407"/>
      <c r="AL199" s="396"/>
      <c r="AM199" s="396"/>
      <c r="AN199" s="396"/>
      <c r="AO199" s="396"/>
      <c r="AP199" s="396"/>
      <c r="AQ199" s="396"/>
      <c r="AR199" s="396"/>
      <c r="AS199" s="396"/>
      <c r="AT199" s="920" t="s">
        <v>743</v>
      </c>
      <c r="AU199" s="917"/>
      <c r="AV199" s="400"/>
      <c r="AW199" s="400"/>
      <c r="AX199" s="396"/>
      <c r="AY199" s="397"/>
      <c r="AZ199" s="489">
        <f>ROUND(Q200*$AT$208,0)</f>
        <v>231</v>
      </c>
      <c r="BA199" s="329" t="s">
        <v>15622</v>
      </c>
    </row>
    <row r="200" spans="1:53" ht="16.5" customHeight="1" x14ac:dyDescent="0.15">
      <c r="A200" s="340">
        <v>12</v>
      </c>
      <c r="B200" s="341">
        <v>8070</v>
      </c>
      <c r="C200" s="390" t="s">
        <v>17074</v>
      </c>
      <c r="D200" s="849"/>
      <c r="E200" s="850"/>
      <c r="F200" s="850"/>
      <c r="G200" s="850"/>
      <c r="H200" s="852"/>
      <c r="Q200" s="836">
        <f>'2重度訪問'!U104</f>
        <v>185</v>
      </c>
      <c r="R200" s="911"/>
      <c r="S200" s="911"/>
      <c r="T200" s="152" t="s">
        <v>15624</v>
      </c>
      <c r="U200" s="387"/>
      <c r="V200" s="343" t="s">
        <v>15625</v>
      </c>
      <c r="W200" s="325"/>
      <c r="X200" s="325"/>
      <c r="Y200" s="325"/>
      <c r="Z200" s="325"/>
      <c r="AA200" s="325"/>
      <c r="AB200" s="325"/>
      <c r="AC200" s="325"/>
      <c r="AD200" s="325"/>
      <c r="AE200" s="325"/>
      <c r="AF200" s="325"/>
      <c r="AG200" s="325"/>
      <c r="AH200" s="325"/>
      <c r="AI200" s="391" t="s">
        <v>15626</v>
      </c>
      <c r="AJ200" s="838">
        <f>AJ182</f>
        <v>1</v>
      </c>
      <c r="AK200" s="839"/>
      <c r="AQ200" s="152"/>
      <c r="AR200" s="152"/>
      <c r="AS200" s="152"/>
      <c r="AT200" s="912"/>
      <c r="AU200" s="913"/>
      <c r="AY200" s="387"/>
      <c r="AZ200" s="489">
        <f>ROUND(ROUND(Q200*AJ200,0)*$AT$208,0)</f>
        <v>231</v>
      </c>
      <c r="BA200" s="393"/>
    </row>
    <row r="201" spans="1:53" ht="16.5" customHeight="1" x14ac:dyDescent="0.15">
      <c r="A201" s="287">
        <v>12</v>
      </c>
      <c r="B201" s="287">
        <v>8071</v>
      </c>
      <c r="C201" s="394" t="s">
        <v>17075</v>
      </c>
      <c r="D201" s="849"/>
      <c r="E201" s="850"/>
      <c r="F201" s="850"/>
      <c r="G201" s="850"/>
      <c r="H201" s="852"/>
      <c r="Q201" s="395"/>
      <c r="R201" s="151"/>
      <c r="S201" s="151"/>
      <c r="U201" s="387"/>
      <c r="V201" s="343"/>
      <c r="W201" s="343"/>
      <c r="X201" s="343"/>
      <c r="Y201" s="343"/>
      <c r="Z201" s="343"/>
      <c r="AA201" s="343"/>
      <c r="AB201" s="343"/>
      <c r="AC201" s="343"/>
      <c r="AD201" s="343"/>
      <c r="AE201" s="343"/>
      <c r="AF201" s="343"/>
      <c r="AG201" s="343"/>
      <c r="AH201" s="343"/>
      <c r="AI201" s="343"/>
      <c r="AJ201" s="343"/>
      <c r="AK201" s="343"/>
      <c r="AL201" s="114" t="s">
        <v>15628</v>
      </c>
      <c r="AM201" s="396"/>
      <c r="AN201" s="396"/>
      <c r="AO201" s="396"/>
      <c r="AP201" s="396"/>
      <c r="AQ201" s="396"/>
      <c r="AR201" s="396"/>
      <c r="AS201" s="396"/>
      <c r="AT201" s="912"/>
      <c r="AU201" s="913"/>
      <c r="AY201" s="387"/>
      <c r="AZ201" s="489">
        <f>ROUND(ROUND(Q200*AR202,0)*$AT$208,0)</f>
        <v>196</v>
      </c>
      <c r="BA201" s="393"/>
    </row>
    <row r="202" spans="1:53" ht="16.5" customHeight="1" x14ac:dyDescent="0.15">
      <c r="A202" s="287">
        <v>12</v>
      </c>
      <c r="B202" s="287">
        <v>8072</v>
      </c>
      <c r="C202" s="394" t="s">
        <v>17076</v>
      </c>
      <c r="D202" s="849"/>
      <c r="E202" s="850"/>
      <c r="F202" s="850"/>
      <c r="G202" s="850"/>
      <c r="H202" s="852"/>
      <c r="Q202" s="395"/>
      <c r="R202" s="151"/>
      <c r="S202" s="151"/>
      <c r="U202" s="387"/>
      <c r="V202" s="343" t="s">
        <v>15625</v>
      </c>
      <c r="W202" s="325"/>
      <c r="X202" s="325"/>
      <c r="Y202" s="325"/>
      <c r="Z202" s="325"/>
      <c r="AA202" s="325"/>
      <c r="AB202" s="325"/>
      <c r="AC202" s="325"/>
      <c r="AD202" s="325"/>
      <c r="AE202" s="325"/>
      <c r="AF202" s="325"/>
      <c r="AG202" s="325"/>
      <c r="AH202" s="325"/>
      <c r="AI202" s="391" t="s">
        <v>15626</v>
      </c>
      <c r="AJ202" s="838">
        <f>AJ200</f>
        <v>1</v>
      </c>
      <c r="AK202" s="843"/>
      <c r="AL202" s="324" t="s">
        <v>15630</v>
      </c>
      <c r="AM202" s="325"/>
      <c r="AN202" s="325"/>
      <c r="AO202" s="325"/>
      <c r="AP202" s="325"/>
      <c r="AQ202" s="190" t="s">
        <v>398</v>
      </c>
      <c r="AR202" s="844">
        <f>AR182</f>
        <v>0.85</v>
      </c>
      <c r="AS202" s="844"/>
      <c r="AT202" s="912"/>
      <c r="AU202" s="913"/>
      <c r="AY202" s="387"/>
      <c r="AZ202" s="489">
        <f>ROUND(ROUND(ROUND(Q200*AJ202,0)*AR202,0)*$AT$208,0)</f>
        <v>196</v>
      </c>
      <c r="BA202" s="393"/>
    </row>
    <row r="203" spans="1:53" ht="17.100000000000001" customHeight="1" x14ac:dyDescent="0.15">
      <c r="A203" s="340">
        <v>12</v>
      </c>
      <c r="B203" s="341">
        <v>8073</v>
      </c>
      <c r="C203" s="390" t="s">
        <v>17077</v>
      </c>
      <c r="D203" s="403"/>
      <c r="E203" s="404"/>
      <c r="F203" s="404"/>
      <c r="G203" s="404"/>
      <c r="H203" s="406"/>
      <c r="L203" s="151"/>
      <c r="M203" s="151"/>
      <c r="N203" s="151"/>
      <c r="U203" s="387"/>
      <c r="V203" s="343"/>
      <c r="W203" s="343"/>
      <c r="X203" s="343"/>
      <c r="Y203" s="343"/>
      <c r="Z203" s="343"/>
      <c r="AA203" s="343"/>
      <c r="AB203" s="343"/>
      <c r="AC203" s="343"/>
      <c r="AD203" s="343"/>
      <c r="AE203" s="343"/>
      <c r="AF203" s="343"/>
      <c r="AG203" s="343"/>
      <c r="AH203" s="343"/>
      <c r="AI203" s="343"/>
      <c r="AJ203" s="343"/>
      <c r="AK203" s="407"/>
      <c r="AL203" s="396"/>
      <c r="AM203" s="396"/>
      <c r="AN203" s="396"/>
      <c r="AO203" s="396"/>
      <c r="AP203" s="396"/>
      <c r="AQ203" s="396"/>
      <c r="AR203" s="396"/>
      <c r="AS203" s="396"/>
      <c r="AT203" s="912"/>
      <c r="AU203" s="913"/>
      <c r="AV203" s="858" t="s">
        <v>16296</v>
      </c>
      <c r="AW203" s="858"/>
      <c r="AX203" s="858"/>
      <c r="AY203" s="860"/>
      <c r="AZ203" s="489">
        <f>ROUND(ROUND(Q200*$AT$208,0)*AV206,0)</f>
        <v>185</v>
      </c>
      <c r="BA203" s="339"/>
    </row>
    <row r="204" spans="1:53" ht="16.5" customHeight="1" x14ac:dyDescent="0.15">
      <c r="A204" s="340">
        <v>12</v>
      </c>
      <c r="B204" s="341">
        <v>8074</v>
      </c>
      <c r="C204" s="390" t="s">
        <v>17078</v>
      </c>
      <c r="D204" s="403"/>
      <c r="E204" s="404"/>
      <c r="F204" s="404"/>
      <c r="G204" s="404"/>
      <c r="H204" s="406"/>
      <c r="Q204" s="899"/>
      <c r="R204" s="899"/>
      <c r="S204" s="899"/>
      <c r="U204" s="387"/>
      <c r="V204" s="343" t="s">
        <v>15625</v>
      </c>
      <c r="W204" s="325"/>
      <c r="X204" s="325"/>
      <c r="Y204" s="325"/>
      <c r="Z204" s="325"/>
      <c r="AA204" s="325"/>
      <c r="AB204" s="325"/>
      <c r="AC204" s="325"/>
      <c r="AD204" s="325"/>
      <c r="AE204" s="325"/>
      <c r="AF204" s="325"/>
      <c r="AG204" s="325"/>
      <c r="AH204" s="325"/>
      <c r="AI204" s="391" t="s">
        <v>15626</v>
      </c>
      <c r="AJ204" s="838">
        <f>AJ202</f>
        <v>1</v>
      </c>
      <c r="AK204" s="839"/>
      <c r="AQ204" s="152"/>
      <c r="AR204" s="152"/>
      <c r="AS204" s="152"/>
      <c r="AT204" s="912"/>
      <c r="AU204" s="913"/>
      <c r="AV204" s="850"/>
      <c r="AW204" s="850"/>
      <c r="AX204" s="850"/>
      <c r="AY204" s="852"/>
      <c r="AZ204" s="489">
        <f>ROUND(ROUND(ROUND(Q200*AJ204,0)*$AT$208,0)*AV206,0)</f>
        <v>185</v>
      </c>
      <c r="BA204" s="393"/>
    </row>
    <row r="205" spans="1:53" ht="16.5" customHeight="1" x14ac:dyDescent="0.15">
      <c r="A205" s="287">
        <v>12</v>
      </c>
      <c r="B205" s="287">
        <v>8075</v>
      </c>
      <c r="C205" s="394" t="s">
        <v>17079</v>
      </c>
      <c r="D205" s="403"/>
      <c r="E205" s="404"/>
      <c r="F205" s="497"/>
      <c r="G205" s="497"/>
      <c r="H205" s="498"/>
      <c r="Q205" s="395"/>
      <c r="R205" s="151"/>
      <c r="S205" s="151"/>
      <c r="U205" s="387"/>
      <c r="V205" s="343"/>
      <c r="W205" s="343"/>
      <c r="X205" s="343"/>
      <c r="Y205" s="343"/>
      <c r="Z205" s="343"/>
      <c r="AA205" s="343"/>
      <c r="AB205" s="343"/>
      <c r="AC205" s="343"/>
      <c r="AD205" s="343"/>
      <c r="AE205" s="343"/>
      <c r="AF205" s="343"/>
      <c r="AG205" s="343"/>
      <c r="AH205" s="343"/>
      <c r="AI205" s="343"/>
      <c r="AJ205" s="343"/>
      <c r="AK205" s="343"/>
      <c r="AL205" s="114" t="s">
        <v>15628</v>
      </c>
      <c r="AM205" s="396"/>
      <c r="AN205" s="396"/>
      <c r="AO205" s="396"/>
      <c r="AP205" s="396"/>
      <c r="AQ205" s="396"/>
      <c r="AR205" s="396"/>
      <c r="AS205" s="396"/>
      <c r="AT205" s="912"/>
      <c r="AU205" s="913"/>
      <c r="AV205" s="902" t="s">
        <v>15636</v>
      </c>
      <c r="AW205" s="902"/>
      <c r="AX205" s="902"/>
      <c r="AY205" s="903"/>
      <c r="AZ205" s="489">
        <f>ROUND(ROUND(ROUND(Q200*AR206,0)*$AT$208,0)*AV206,0)</f>
        <v>157</v>
      </c>
      <c r="BA205" s="393"/>
    </row>
    <row r="206" spans="1:53" ht="16.5" customHeight="1" x14ac:dyDescent="0.15">
      <c r="A206" s="287">
        <v>12</v>
      </c>
      <c r="B206" s="287">
        <v>8076</v>
      </c>
      <c r="C206" s="394" t="s">
        <v>17080</v>
      </c>
      <c r="D206" s="403"/>
      <c r="E206" s="404"/>
      <c r="F206" s="404"/>
      <c r="G206" s="404"/>
      <c r="H206" s="406"/>
      <c r="Q206" s="395"/>
      <c r="R206" s="151"/>
      <c r="S206" s="151"/>
      <c r="U206" s="387"/>
      <c r="V206" s="343" t="s">
        <v>15625</v>
      </c>
      <c r="W206" s="325"/>
      <c r="X206" s="325"/>
      <c r="Y206" s="325"/>
      <c r="Z206" s="325"/>
      <c r="AA206" s="325"/>
      <c r="AB206" s="325"/>
      <c r="AC206" s="325"/>
      <c r="AD206" s="325"/>
      <c r="AE206" s="325"/>
      <c r="AF206" s="325"/>
      <c r="AG206" s="325"/>
      <c r="AH206" s="325"/>
      <c r="AI206" s="391" t="s">
        <v>15626</v>
      </c>
      <c r="AJ206" s="838">
        <f>AJ204</f>
        <v>1</v>
      </c>
      <c r="AK206" s="843"/>
      <c r="AL206" s="324" t="s">
        <v>15630</v>
      </c>
      <c r="AM206" s="325"/>
      <c r="AN206" s="325"/>
      <c r="AO206" s="325"/>
      <c r="AP206" s="325"/>
      <c r="AQ206" s="190" t="s">
        <v>398</v>
      </c>
      <c r="AR206" s="844">
        <f>AR202</f>
        <v>0.85</v>
      </c>
      <c r="AS206" s="844"/>
      <c r="AT206" s="912"/>
      <c r="AU206" s="913"/>
      <c r="AV206" s="844">
        <f>AV182</f>
        <v>0.8</v>
      </c>
      <c r="AW206" s="844"/>
      <c r="AX206" s="844"/>
      <c r="AY206" s="845"/>
      <c r="AZ206" s="489">
        <f>ROUND(ROUND(ROUND(ROUND(Q200*AJ206,0)*AR206,0)*$AT$208,0)*AV206,0)</f>
        <v>157</v>
      </c>
      <c r="BA206" s="393"/>
    </row>
    <row r="207" spans="1:53" ht="16.5" customHeight="1" x14ac:dyDescent="0.15">
      <c r="A207" s="340">
        <v>12</v>
      </c>
      <c r="B207" s="341">
        <v>8077</v>
      </c>
      <c r="C207" s="390" t="s">
        <v>17081</v>
      </c>
      <c r="D207" s="494"/>
      <c r="E207" s="151"/>
      <c r="F207" s="151"/>
      <c r="G207" s="151"/>
      <c r="H207" s="495"/>
      <c r="I207" s="908" t="s">
        <v>15633</v>
      </c>
      <c r="J207" s="909"/>
      <c r="K207" s="909"/>
      <c r="L207" s="909"/>
      <c r="M207" s="909"/>
      <c r="N207" s="909"/>
      <c r="O207" s="909"/>
      <c r="P207" s="909"/>
      <c r="Q207" s="909"/>
      <c r="R207" s="909"/>
      <c r="S207" s="909"/>
      <c r="T207" s="909"/>
      <c r="U207" s="910"/>
      <c r="V207" s="343"/>
      <c r="W207" s="325"/>
      <c r="X207" s="325"/>
      <c r="Y207" s="325"/>
      <c r="Z207" s="325"/>
      <c r="AA207" s="325"/>
      <c r="AB207" s="325"/>
      <c r="AC207" s="325"/>
      <c r="AD207" s="325"/>
      <c r="AE207" s="325"/>
      <c r="AF207" s="325"/>
      <c r="AG207" s="325"/>
      <c r="AH207" s="325"/>
      <c r="AI207" s="391"/>
      <c r="AJ207" s="401"/>
      <c r="AK207" s="402"/>
      <c r="AQ207" s="152"/>
      <c r="AR207" s="152"/>
      <c r="AS207" s="152"/>
      <c r="AT207" s="918" t="s">
        <v>15636</v>
      </c>
      <c r="AU207" s="913"/>
      <c r="AV207" s="400"/>
      <c r="AW207" s="400"/>
      <c r="AX207" s="396"/>
      <c r="AY207" s="397"/>
      <c r="AZ207" s="489">
        <f>ROUND(Q208*$AT$208,0)</f>
        <v>113</v>
      </c>
      <c r="BA207" s="393"/>
    </row>
    <row r="208" spans="1:53" ht="16.5" customHeight="1" x14ac:dyDescent="0.15">
      <c r="A208" s="340">
        <v>12</v>
      </c>
      <c r="B208" s="341">
        <v>8078</v>
      </c>
      <c r="C208" s="390" t="s">
        <v>17082</v>
      </c>
      <c r="D208" s="494"/>
      <c r="E208" s="151"/>
      <c r="F208" s="151"/>
      <c r="G208" s="151"/>
      <c r="H208" s="495"/>
      <c r="Q208" s="836">
        <f>'2重度訪問'!U108</f>
        <v>90</v>
      </c>
      <c r="R208" s="911"/>
      <c r="S208" s="911"/>
      <c r="T208" s="152" t="s">
        <v>15624</v>
      </c>
      <c r="U208" s="387"/>
      <c r="V208" s="343" t="s">
        <v>15625</v>
      </c>
      <c r="W208" s="325"/>
      <c r="X208" s="325"/>
      <c r="Y208" s="325"/>
      <c r="Z208" s="325"/>
      <c r="AA208" s="325"/>
      <c r="AB208" s="325"/>
      <c r="AC208" s="325"/>
      <c r="AD208" s="325"/>
      <c r="AE208" s="325"/>
      <c r="AF208" s="325"/>
      <c r="AG208" s="325"/>
      <c r="AH208" s="325"/>
      <c r="AI208" s="391" t="s">
        <v>15626</v>
      </c>
      <c r="AJ208" s="838">
        <f>AJ206</f>
        <v>1</v>
      </c>
      <c r="AK208" s="839"/>
      <c r="AQ208" s="152"/>
      <c r="AR208" s="152"/>
      <c r="AS208" s="152"/>
      <c r="AT208" s="919">
        <f>AT192</f>
        <v>1.25</v>
      </c>
      <c r="AU208" s="915"/>
      <c r="AY208" s="387"/>
      <c r="AZ208" s="489">
        <f>ROUND(ROUND(Q208*AJ208,0)*$AT$208,0)</f>
        <v>113</v>
      </c>
      <c r="BA208" s="393"/>
    </row>
    <row r="209" spans="1:53" ht="16.5" customHeight="1" x14ac:dyDescent="0.15">
      <c r="A209" s="287">
        <v>12</v>
      </c>
      <c r="B209" s="287">
        <v>8079</v>
      </c>
      <c r="C209" s="394" t="s">
        <v>17083</v>
      </c>
      <c r="D209" s="494"/>
      <c r="E209" s="151"/>
      <c r="F209" s="151"/>
      <c r="G209" s="151"/>
      <c r="H209" s="495"/>
      <c r="Q209" s="395"/>
      <c r="R209" s="151"/>
      <c r="S209" s="151"/>
      <c r="U209" s="387"/>
      <c r="V209" s="343"/>
      <c r="W209" s="343"/>
      <c r="X209" s="343"/>
      <c r="Y209" s="343"/>
      <c r="Z209" s="343"/>
      <c r="AA209" s="343"/>
      <c r="AB209" s="343"/>
      <c r="AC209" s="343"/>
      <c r="AD209" s="343"/>
      <c r="AE209" s="343"/>
      <c r="AF209" s="343"/>
      <c r="AG209" s="343"/>
      <c r="AH209" s="343"/>
      <c r="AI209" s="343"/>
      <c r="AJ209" s="343"/>
      <c r="AK209" s="343"/>
      <c r="AL209" s="114" t="s">
        <v>15628</v>
      </c>
      <c r="AM209" s="396"/>
      <c r="AN209" s="396"/>
      <c r="AO209" s="396"/>
      <c r="AP209" s="396"/>
      <c r="AQ209" s="396"/>
      <c r="AR209" s="396"/>
      <c r="AS209" s="396"/>
      <c r="AT209" s="490"/>
      <c r="AU209" s="387"/>
      <c r="AY209" s="387"/>
      <c r="AZ209" s="489">
        <f>ROUND(ROUND(Q208*AR210,0)*$AT$208,0)</f>
        <v>96</v>
      </c>
      <c r="BA209" s="393"/>
    </row>
    <row r="210" spans="1:53" ht="16.5" customHeight="1" x14ac:dyDescent="0.15">
      <c r="A210" s="287">
        <v>12</v>
      </c>
      <c r="B210" s="287">
        <v>8080</v>
      </c>
      <c r="C210" s="394" t="s">
        <v>17084</v>
      </c>
      <c r="D210" s="403"/>
      <c r="E210" s="404"/>
      <c r="F210" s="404"/>
      <c r="G210" s="404"/>
      <c r="H210" s="406"/>
      <c r="Q210" s="395"/>
      <c r="R210" s="151"/>
      <c r="S210" s="151"/>
      <c r="U210" s="387"/>
      <c r="V210" s="343" t="s">
        <v>15625</v>
      </c>
      <c r="W210" s="325"/>
      <c r="X210" s="325"/>
      <c r="Y210" s="325"/>
      <c r="Z210" s="325"/>
      <c r="AA210" s="325"/>
      <c r="AB210" s="325"/>
      <c r="AC210" s="325"/>
      <c r="AD210" s="325"/>
      <c r="AE210" s="325"/>
      <c r="AF210" s="325"/>
      <c r="AG210" s="325"/>
      <c r="AH210" s="325"/>
      <c r="AI210" s="391" t="s">
        <v>15626</v>
      </c>
      <c r="AJ210" s="838">
        <f>AJ208</f>
        <v>1</v>
      </c>
      <c r="AK210" s="843"/>
      <c r="AL210" s="324" t="s">
        <v>15630</v>
      </c>
      <c r="AM210" s="325"/>
      <c r="AN210" s="325"/>
      <c r="AO210" s="325"/>
      <c r="AP210" s="325"/>
      <c r="AQ210" s="190" t="s">
        <v>398</v>
      </c>
      <c r="AR210" s="844">
        <f>AR206</f>
        <v>0.85</v>
      </c>
      <c r="AS210" s="844"/>
      <c r="AT210" s="501"/>
      <c r="AU210" s="502"/>
      <c r="AY210" s="387"/>
      <c r="AZ210" s="489">
        <f>ROUND(ROUND(ROUND(Q208*AJ210,0)*AR210,0)*$AT$208,0)</f>
        <v>96</v>
      </c>
      <c r="BA210" s="393"/>
    </row>
    <row r="211" spans="1:53" ht="16.5" customHeight="1" x14ac:dyDescent="0.15">
      <c r="A211" s="340">
        <v>12</v>
      </c>
      <c r="B211" s="341">
        <v>8081</v>
      </c>
      <c r="C211" s="390" t="s">
        <v>17085</v>
      </c>
      <c r="D211" s="494"/>
      <c r="E211" s="151"/>
      <c r="F211" s="151"/>
      <c r="G211" s="151"/>
      <c r="H211" s="495"/>
      <c r="I211" s="254"/>
      <c r="Q211" s="395"/>
      <c r="R211" s="151"/>
      <c r="S211" s="151"/>
      <c r="U211" s="387"/>
      <c r="V211" s="343"/>
      <c r="W211" s="325"/>
      <c r="X211" s="325"/>
      <c r="Y211" s="325"/>
      <c r="Z211" s="325"/>
      <c r="AA211" s="325"/>
      <c r="AB211" s="325"/>
      <c r="AC211" s="325"/>
      <c r="AD211" s="325"/>
      <c r="AE211" s="325"/>
      <c r="AF211" s="325"/>
      <c r="AG211" s="325"/>
      <c r="AH211" s="325"/>
      <c r="AI211" s="391"/>
      <c r="AJ211" s="401"/>
      <c r="AK211" s="402"/>
      <c r="AQ211" s="152"/>
      <c r="AR211" s="152"/>
      <c r="AS211" s="152"/>
      <c r="AT211" s="490"/>
      <c r="AU211" s="387"/>
      <c r="AV211" s="858" t="s">
        <v>16296</v>
      </c>
      <c r="AW211" s="858"/>
      <c r="AX211" s="858"/>
      <c r="AY211" s="860"/>
      <c r="AZ211" s="489">
        <f>ROUND(ROUND(Q208*$AT$208,0)*AV214,0)</f>
        <v>90</v>
      </c>
      <c r="BA211" s="393"/>
    </row>
    <row r="212" spans="1:53" ht="16.5" customHeight="1" x14ac:dyDescent="0.15">
      <c r="A212" s="340">
        <v>12</v>
      </c>
      <c r="B212" s="341">
        <v>8082</v>
      </c>
      <c r="C212" s="390" t="s">
        <v>17086</v>
      </c>
      <c r="D212" s="494"/>
      <c r="E212" s="151"/>
      <c r="F212" s="151"/>
      <c r="G212" s="151"/>
      <c r="H212" s="495"/>
      <c r="Q212" s="899"/>
      <c r="R212" s="899"/>
      <c r="S212" s="899"/>
      <c r="U212" s="387"/>
      <c r="V212" s="343" t="s">
        <v>15625</v>
      </c>
      <c r="W212" s="325"/>
      <c r="X212" s="325"/>
      <c r="Y212" s="325"/>
      <c r="Z212" s="325"/>
      <c r="AA212" s="325"/>
      <c r="AB212" s="325"/>
      <c r="AC212" s="325"/>
      <c r="AD212" s="325"/>
      <c r="AE212" s="325"/>
      <c r="AF212" s="325"/>
      <c r="AG212" s="325"/>
      <c r="AH212" s="325"/>
      <c r="AI212" s="391" t="s">
        <v>15626</v>
      </c>
      <c r="AJ212" s="838">
        <f>AJ210</f>
        <v>1</v>
      </c>
      <c r="AK212" s="839"/>
      <c r="AQ212" s="152"/>
      <c r="AR212" s="152"/>
      <c r="AS212" s="152"/>
      <c r="AT212" s="490"/>
      <c r="AU212" s="387"/>
      <c r="AV212" s="850"/>
      <c r="AW212" s="850"/>
      <c r="AX212" s="850"/>
      <c r="AY212" s="852"/>
      <c r="AZ212" s="489">
        <f>ROUND(ROUND(ROUND(Q208*AJ212,0)*$AT$208,0)*AV214,0)</f>
        <v>90</v>
      </c>
      <c r="BA212" s="393"/>
    </row>
    <row r="213" spans="1:53" ht="16.5" customHeight="1" x14ac:dyDescent="0.15">
      <c r="A213" s="287">
        <v>12</v>
      </c>
      <c r="B213" s="287">
        <v>8083</v>
      </c>
      <c r="C213" s="394" t="s">
        <v>17087</v>
      </c>
      <c r="D213" s="494"/>
      <c r="E213" s="151"/>
      <c r="F213" s="151"/>
      <c r="G213" s="151"/>
      <c r="H213" s="495"/>
      <c r="Q213" s="395"/>
      <c r="R213" s="151"/>
      <c r="S213" s="151"/>
      <c r="U213" s="387"/>
      <c r="V213" s="343"/>
      <c r="W213" s="343"/>
      <c r="X213" s="343"/>
      <c r="Y213" s="343"/>
      <c r="Z213" s="343"/>
      <c r="AA213" s="343"/>
      <c r="AB213" s="343"/>
      <c r="AC213" s="343"/>
      <c r="AD213" s="343"/>
      <c r="AE213" s="343"/>
      <c r="AF213" s="343"/>
      <c r="AG213" s="343"/>
      <c r="AH213" s="343"/>
      <c r="AI213" s="343"/>
      <c r="AJ213" s="343"/>
      <c r="AK213" s="343"/>
      <c r="AL213" s="114" t="s">
        <v>15628</v>
      </c>
      <c r="AM213" s="396"/>
      <c r="AN213" s="396"/>
      <c r="AO213" s="396"/>
      <c r="AP213" s="396"/>
      <c r="AQ213" s="396"/>
      <c r="AR213" s="396"/>
      <c r="AS213" s="396"/>
      <c r="AT213" s="490"/>
      <c r="AU213" s="387"/>
      <c r="AV213" s="902" t="s">
        <v>15636</v>
      </c>
      <c r="AW213" s="902"/>
      <c r="AX213" s="902"/>
      <c r="AY213" s="903"/>
      <c r="AZ213" s="489">
        <f>ROUND(ROUND(ROUND(Q208*AR214,0)*$AT$208,0)*AV214,0)</f>
        <v>77</v>
      </c>
      <c r="BA213" s="393"/>
    </row>
    <row r="214" spans="1:53" ht="16.5" customHeight="1" x14ac:dyDescent="0.15">
      <c r="A214" s="287">
        <v>12</v>
      </c>
      <c r="B214" s="287">
        <v>8084</v>
      </c>
      <c r="C214" s="394" t="s">
        <v>17088</v>
      </c>
      <c r="D214" s="403"/>
      <c r="E214" s="404"/>
      <c r="F214" s="404"/>
      <c r="G214" s="404"/>
      <c r="H214" s="406"/>
      <c r="Q214" s="395"/>
      <c r="R214" s="151"/>
      <c r="S214" s="151"/>
      <c r="U214" s="387"/>
      <c r="V214" s="343" t="s">
        <v>15625</v>
      </c>
      <c r="W214" s="325"/>
      <c r="X214" s="325"/>
      <c r="Y214" s="325"/>
      <c r="Z214" s="325"/>
      <c r="AA214" s="325"/>
      <c r="AB214" s="325"/>
      <c r="AC214" s="325"/>
      <c r="AD214" s="325"/>
      <c r="AE214" s="325"/>
      <c r="AF214" s="325"/>
      <c r="AG214" s="325"/>
      <c r="AH214" s="325"/>
      <c r="AI214" s="391" t="s">
        <v>15626</v>
      </c>
      <c r="AJ214" s="838">
        <f>AJ212</f>
        <v>1</v>
      </c>
      <c r="AK214" s="843"/>
      <c r="AL214" s="324" t="s">
        <v>15630</v>
      </c>
      <c r="AM214" s="325"/>
      <c r="AN214" s="325"/>
      <c r="AO214" s="325"/>
      <c r="AP214" s="325"/>
      <c r="AQ214" s="190" t="s">
        <v>398</v>
      </c>
      <c r="AR214" s="844">
        <f>AR210</f>
        <v>0.85</v>
      </c>
      <c r="AS214" s="844"/>
      <c r="AT214" s="501"/>
      <c r="AU214" s="502"/>
      <c r="AV214" s="844">
        <f>AV206</f>
        <v>0.8</v>
      </c>
      <c r="AW214" s="844"/>
      <c r="AX214" s="844"/>
      <c r="AY214" s="845"/>
      <c r="AZ214" s="489">
        <f>ROUND(ROUND(ROUND(ROUND(Q208*AJ214,0)*AR214,0)*$AT$208,0)*AV214,0)</f>
        <v>77</v>
      </c>
      <c r="BA214" s="393"/>
    </row>
    <row r="215" spans="1:53" ht="16.5" customHeight="1" x14ac:dyDescent="0.15">
      <c r="A215" s="340">
        <v>12</v>
      </c>
      <c r="B215" s="341">
        <v>8085</v>
      </c>
      <c r="C215" s="390" t="s">
        <v>17089</v>
      </c>
      <c r="D215" s="403"/>
      <c r="E215" s="404"/>
      <c r="F215" s="404"/>
      <c r="G215" s="404"/>
      <c r="H215" s="406"/>
      <c r="I215" s="908" t="s">
        <v>16309</v>
      </c>
      <c r="J215" s="909"/>
      <c r="K215" s="909"/>
      <c r="L215" s="909"/>
      <c r="M215" s="909"/>
      <c r="N215" s="909"/>
      <c r="O215" s="909"/>
      <c r="P215" s="909"/>
      <c r="Q215" s="909"/>
      <c r="R215" s="909"/>
      <c r="S215" s="909"/>
      <c r="T215" s="909"/>
      <c r="U215" s="910"/>
      <c r="V215" s="343"/>
      <c r="W215" s="325"/>
      <c r="X215" s="325"/>
      <c r="Y215" s="325"/>
      <c r="Z215" s="325"/>
      <c r="AA215" s="325"/>
      <c r="AB215" s="325"/>
      <c r="AC215" s="325"/>
      <c r="AD215" s="325"/>
      <c r="AE215" s="325"/>
      <c r="AF215" s="325"/>
      <c r="AG215" s="325"/>
      <c r="AH215" s="325"/>
      <c r="AI215" s="391"/>
      <c r="AJ215" s="401"/>
      <c r="AK215" s="402"/>
      <c r="AL215" s="396"/>
      <c r="AM215" s="396"/>
      <c r="AN215" s="396"/>
      <c r="AO215" s="396"/>
      <c r="AP215" s="396"/>
      <c r="AQ215" s="396"/>
      <c r="AR215" s="396"/>
      <c r="AS215" s="396"/>
      <c r="AT215" s="490"/>
      <c r="AU215" s="387"/>
      <c r="AV215" s="400"/>
      <c r="AW215" s="400"/>
      <c r="AX215" s="396"/>
      <c r="AY215" s="397"/>
      <c r="AZ215" s="489">
        <f>ROUND(Q216*$AT$208,0)</f>
        <v>115</v>
      </c>
      <c r="BA215" s="393"/>
    </row>
    <row r="216" spans="1:53" ht="16.5" customHeight="1" x14ac:dyDescent="0.15">
      <c r="A216" s="340">
        <v>12</v>
      </c>
      <c r="B216" s="341">
        <v>8086</v>
      </c>
      <c r="C216" s="390" t="s">
        <v>17090</v>
      </c>
      <c r="D216" s="403"/>
      <c r="E216" s="404"/>
      <c r="F216" s="404"/>
      <c r="G216" s="404"/>
      <c r="H216" s="406"/>
      <c r="Q216" s="836">
        <f>'2重度訪問'!U112</f>
        <v>92</v>
      </c>
      <c r="R216" s="911"/>
      <c r="S216" s="911"/>
      <c r="T216" s="152" t="s">
        <v>15624</v>
      </c>
      <c r="U216" s="387"/>
      <c r="V216" s="343" t="s">
        <v>15625</v>
      </c>
      <c r="W216" s="325"/>
      <c r="X216" s="325"/>
      <c r="Y216" s="325"/>
      <c r="Z216" s="325"/>
      <c r="AA216" s="325"/>
      <c r="AB216" s="325"/>
      <c r="AC216" s="325"/>
      <c r="AD216" s="325"/>
      <c r="AE216" s="325"/>
      <c r="AF216" s="325"/>
      <c r="AG216" s="325"/>
      <c r="AH216" s="325"/>
      <c r="AI216" s="391" t="s">
        <v>15626</v>
      </c>
      <c r="AJ216" s="838">
        <f>AJ214</f>
        <v>1</v>
      </c>
      <c r="AK216" s="839"/>
      <c r="AL216" s="325"/>
      <c r="AM216" s="325"/>
      <c r="AN216" s="325"/>
      <c r="AO216" s="325"/>
      <c r="AP216" s="325"/>
      <c r="AQ216" s="325"/>
      <c r="AR216" s="325"/>
      <c r="AS216" s="325"/>
      <c r="AT216" s="490"/>
      <c r="AU216" s="387"/>
      <c r="AY216" s="387"/>
      <c r="AZ216" s="489">
        <f>ROUND(ROUND(Q216*AJ216,0)*$AT$208,0)</f>
        <v>115</v>
      </c>
      <c r="BA216" s="393"/>
    </row>
    <row r="217" spans="1:53" ht="16.5" customHeight="1" x14ac:dyDescent="0.15">
      <c r="A217" s="287">
        <v>12</v>
      </c>
      <c r="B217" s="287">
        <v>8087</v>
      </c>
      <c r="C217" s="394" t="s">
        <v>17091</v>
      </c>
      <c r="D217" s="403"/>
      <c r="E217" s="404"/>
      <c r="F217" s="404"/>
      <c r="G217" s="404"/>
      <c r="H217" s="406"/>
      <c r="Q217" s="395"/>
      <c r="R217" s="151"/>
      <c r="S217" s="151"/>
      <c r="U217" s="387"/>
      <c r="V217" s="343"/>
      <c r="W217" s="343"/>
      <c r="X217" s="343"/>
      <c r="Y217" s="343"/>
      <c r="Z217" s="343"/>
      <c r="AA217" s="343"/>
      <c r="AB217" s="343"/>
      <c r="AC217" s="343"/>
      <c r="AD217" s="343"/>
      <c r="AE217" s="343"/>
      <c r="AF217" s="343"/>
      <c r="AG217" s="343"/>
      <c r="AH217" s="343"/>
      <c r="AI217" s="343"/>
      <c r="AJ217" s="343"/>
      <c r="AK217" s="343"/>
      <c r="AL217" s="114" t="s">
        <v>15628</v>
      </c>
      <c r="AM217" s="396"/>
      <c r="AN217" s="396"/>
      <c r="AO217" s="396"/>
      <c r="AP217" s="396"/>
      <c r="AQ217" s="396"/>
      <c r="AR217" s="396"/>
      <c r="AS217" s="396"/>
      <c r="AT217" s="490"/>
      <c r="AU217" s="387"/>
      <c r="AY217" s="387"/>
      <c r="AZ217" s="489">
        <f>ROUND(ROUND(Q216*AR218,0)*$AT$208,0)</f>
        <v>98</v>
      </c>
      <c r="BA217" s="393"/>
    </row>
    <row r="218" spans="1:53" ht="16.5" customHeight="1" x14ac:dyDescent="0.15">
      <c r="A218" s="287">
        <v>12</v>
      </c>
      <c r="B218" s="287">
        <v>8088</v>
      </c>
      <c r="C218" s="394" t="s">
        <v>17092</v>
      </c>
      <c r="D218" s="403"/>
      <c r="E218" s="404"/>
      <c r="F218" s="404"/>
      <c r="G218" s="404"/>
      <c r="H218" s="406"/>
      <c r="Q218" s="395"/>
      <c r="R218" s="151"/>
      <c r="S218" s="151"/>
      <c r="U218" s="387"/>
      <c r="V218" s="343" t="s">
        <v>15625</v>
      </c>
      <c r="W218" s="325"/>
      <c r="X218" s="325"/>
      <c r="Y218" s="325"/>
      <c r="Z218" s="325"/>
      <c r="AA218" s="325"/>
      <c r="AB218" s="325"/>
      <c r="AC218" s="325"/>
      <c r="AD218" s="325"/>
      <c r="AE218" s="325"/>
      <c r="AF218" s="325"/>
      <c r="AG218" s="325"/>
      <c r="AH218" s="325"/>
      <c r="AI218" s="391" t="s">
        <v>15626</v>
      </c>
      <c r="AJ218" s="838">
        <f>AJ216</f>
        <v>1</v>
      </c>
      <c r="AK218" s="843"/>
      <c r="AL218" s="324" t="s">
        <v>15630</v>
      </c>
      <c r="AM218" s="325"/>
      <c r="AN218" s="325"/>
      <c r="AO218" s="325"/>
      <c r="AP218" s="325"/>
      <c r="AQ218" s="190" t="s">
        <v>398</v>
      </c>
      <c r="AR218" s="844">
        <f>AR214</f>
        <v>0.85</v>
      </c>
      <c r="AS218" s="844"/>
      <c r="AT218" s="501"/>
      <c r="AU218" s="502"/>
      <c r="AY218" s="387"/>
      <c r="AZ218" s="489">
        <f>ROUND(ROUND(ROUND(Q216*AJ218,0)*AR218,0)*$AT$208,0)</f>
        <v>98</v>
      </c>
      <c r="BA218" s="393"/>
    </row>
    <row r="219" spans="1:53" ht="16.5" customHeight="1" x14ac:dyDescent="0.15">
      <c r="A219" s="340">
        <v>12</v>
      </c>
      <c r="B219" s="341">
        <v>8089</v>
      </c>
      <c r="C219" s="390" t="s">
        <v>17093</v>
      </c>
      <c r="D219" s="403"/>
      <c r="E219" s="404"/>
      <c r="F219" s="404"/>
      <c r="G219" s="404"/>
      <c r="H219" s="406"/>
      <c r="I219" s="10"/>
      <c r="Q219" s="395"/>
      <c r="R219" s="151"/>
      <c r="S219" s="151"/>
      <c r="U219" s="387"/>
      <c r="V219" s="343"/>
      <c r="W219" s="325"/>
      <c r="X219" s="325"/>
      <c r="Y219" s="325"/>
      <c r="Z219" s="325"/>
      <c r="AA219" s="325"/>
      <c r="AB219" s="325"/>
      <c r="AC219" s="325"/>
      <c r="AD219" s="325"/>
      <c r="AE219" s="325"/>
      <c r="AF219" s="325"/>
      <c r="AG219" s="325"/>
      <c r="AH219" s="325"/>
      <c r="AI219" s="391"/>
      <c r="AJ219" s="401"/>
      <c r="AK219" s="402"/>
      <c r="AL219" s="396"/>
      <c r="AM219" s="396"/>
      <c r="AN219" s="396"/>
      <c r="AO219" s="396"/>
      <c r="AP219" s="396"/>
      <c r="AQ219" s="396"/>
      <c r="AR219" s="396"/>
      <c r="AS219" s="396"/>
      <c r="AT219" s="490"/>
      <c r="AU219" s="387"/>
      <c r="AV219" s="858" t="s">
        <v>16296</v>
      </c>
      <c r="AW219" s="858"/>
      <c r="AX219" s="858"/>
      <c r="AY219" s="860"/>
      <c r="AZ219" s="489">
        <f>ROUND(ROUND(Q216*$AT$208,0)*AV222,0)</f>
        <v>92</v>
      </c>
      <c r="BA219" s="393"/>
    </row>
    <row r="220" spans="1:53" ht="16.5" customHeight="1" x14ac:dyDescent="0.15">
      <c r="A220" s="340">
        <v>12</v>
      </c>
      <c r="B220" s="341">
        <v>8090</v>
      </c>
      <c r="C220" s="390" t="s">
        <v>17094</v>
      </c>
      <c r="D220" s="403"/>
      <c r="E220" s="404"/>
      <c r="F220" s="404"/>
      <c r="G220" s="404"/>
      <c r="H220" s="406"/>
      <c r="Q220" s="899"/>
      <c r="R220" s="899"/>
      <c r="S220" s="899"/>
      <c r="U220" s="387"/>
      <c r="V220" s="343" t="s">
        <v>15625</v>
      </c>
      <c r="W220" s="325"/>
      <c r="X220" s="325"/>
      <c r="Y220" s="325"/>
      <c r="Z220" s="325"/>
      <c r="AA220" s="325"/>
      <c r="AB220" s="325"/>
      <c r="AC220" s="325"/>
      <c r="AD220" s="325"/>
      <c r="AE220" s="325"/>
      <c r="AF220" s="325"/>
      <c r="AG220" s="325"/>
      <c r="AH220" s="325"/>
      <c r="AI220" s="391" t="s">
        <v>15626</v>
      </c>
      <c r="AJ220" s="838">
        <f>AJ218</f>
        <v>1</v>
      </c>
      <c r="AK220" s="839"/>
      <c r="AL220" s="325"/>
      <c r="AM220" s="325"/>
      <c r="AN220" s="325"/>
      <c r="AO220" s="325"/>
      <c r="AP220" s="325"/>
      <c r="AQ220" s="325"/>
      <c r="AR220" s="325"/>
      <c r="AS220" s="325"/>
      <c r="AT220" s="490"/>
      <c r="AU220" s="387"/>
      <c r="AV220" s="850"/>
      <c r="AW220" s="850"/>
      <c r="AX220" s="850"/>
      <c r="AY220" s="852"/>
      <c r="AZ220" s="489">
        <f>ROUND(ROUND(ROUND(Q216*AJ220,0)*$AT$208,0)*AV222,0)</f>
        <v>92</v>
      </c>
      <c r="BA220" s="393"/>
    </row>
    <row r="221" spans="1:53" ht="16.5" customHeight="1" x14ac:dyDescent="0.15">
      <c r="A221" s="287">
        <v>12</v>
      </c>
      <c r="B221" s="287">
        <v>8091</v>
      </c>
      <c r="C221" s="394" t="s">
        <v>17095</v>
      </c>
      <c r="D221" s="403"/>
      <c r="E221" s="404"/>
      <c r="F221" s="404"/>
      <c r="G221" s="404"/>
      <c r="H221" s="406"/>
      <c r="Q221" s="395"/>
      <c r="R221" s="151"/>
      <c r="S221" s="151"/>
      <c r="U221" s="387"/>
      <c r="V221" s="343"/>
      <c r="W221" s="343"/>
      <c r="X221" s="343"/>
      <c r="Y221" s="343"/>
      <c r="Z221" s="343"/>
      <c r="AA221" s="343"/>
      <c r="AB221" s="343"/>
      <c r="AC221" s="343"/>
      <c r="AD221" s="343"/>
      <c r="AE221" s="343"/>
      <c r="AF221" s="343"/>
      <c r="AG221" s="343"/>
      <c r="AH221" s="343"/>
      <c r="AI221" s="343"/>
      <c r="AJ221" s="343"/>
      <c r="AK221" s="343"/>
      <c r="AL221" s="114" t="s">
        <v>15628</v>
      </c>
      <c r="AM221" s="396"/>
      <c r="AN221" s="396"/>
      <c r="AO221" s="396"/>
      <c r="AP221" s="396"/>
      <c r="AQ221" s="396"/>
      <c r="AR221" s="396"/>
      <c r="AS221" s="396"/>
      <c r="AT221" s="490"/>
      <c r="AU221" s="387"/>
      <c r="AV221" s="902" t="s">
        <v>15636</v>
      </c>
      <c r="AW221" s="902"/>
      <c r="AX221" s="902"/>
      <c r="AY221" s="903"/>
      <c r="AZ221" s="489">
        <f>ROUND(ROUND(ROUND(Q216*AR222,0)*$AT$208,0)*AV222,0)</f>
        <v>78</v>
      </c>
      <c r="BA221" s="393"/>
    </row>
    <row r="222" spans="1:53" ht="16.5" customHeight="1" x14ac:dyDescent="0.15">
      <c r="A222" s="287">
        <v>12</v>
      </c>
      <c r="B222" s="287">
        <v>8092</v>
      </c>
      <c r="C222" s="394" t="s">
        <v>17096</v>
      </c>
      <c r="D222" s="403"/>
      <c r="E222" s="404"/>
      <c r="F222" s="404"/>
      <c r="G222" s="404"/>
      <c r="H222" s="406"/>
      <c r="Q222" s="395"/>
      <c r="R222" s="151"/>
      <c r="S222" s="151"/>
      <c r="U222" s="387"/>
      <c r="V222" s="343" t="s">
        <v>15625</v>
      </c>
      <c r="W222" s="325"/>
      <c r="X222" s="325"/>
      <c r="Y222" s="325"/>
      <c r="Z222" s="325"/>
      <c r="AA222" s="325"/>
      <c r="AB222" s="325"/>
      <c r="AC222" s="325"/>
      <c r="AD222" s="325"/>
      <c r="AE222" s="325"/>
      <c r="AF222" s="325"/>
      <c r="AG222" s="325"/>
      <c r="AH222" s="325"/>
      <c r="AI222" s="391" t="s">
        <v>15626</v>
      </c>
      <c r="AJ222" s="838">
        <f>AJ220</f>
        <v>1</v>
      </c>
      <c r="AK222" s="843"/>
      <c r="AL222" s="324" t="s">
        <v>15630</v>
      </c>
      <c r="AM222" s="325"/>
      <c r="AN222" s="325"/>
      <c r="AO222" s="325"/>
      <c r="AP222" s="325"/>
      <c r="AQ222" s="190" t="s">
        <v>398</v>
      </c>
      <c r="AR222" s="844">
        <f>AR218</f>
        <v>0.85</v>
      </c>
      <c r="AS222" s="844"/>
      <c r="AT222" s="501"/>
      <c r="AU222" s="502"/>
      <c r="AV222" s="844">
        <f>AV214</f>
        <v>0.8</v>
      </c>
      <c r="AW222" s="844"/>
      <c r="AX222" s="844"/>
      <c r="AY222" s="845"/>
      <c r="AZ222" s="489">
        <f>ROUND(ROUND(ROUND(ROUND(Q216*AJ222,0)*AR222,0)*$AT$208,0)*AV222,0)</f>
        <v>78</v>
      </c>
      <c r="BA222" s="393"/>
    </row>
    <row r="223" spans="1:53" ht="16.5" customHeight="1" x14ac:dyDescent="0.15">
      <c r="A223" s="340">
        <v>12</v>
      </c>
      <c r="B223" s="341">
        <v>8093</v>
      </c>
      <c r="C223" s="390" t="s">
        <v>17097</v>
      </c>
      <c r="D223" s="403"/>
      <c r="E223" s="404"/>
      <c r="F223" s="404"/>
      <c r="G223" s="404"/>
      <c r="H223" s="406"/>
      <c r="I223" s="908" t="s">
        <v>16318</v>
      </c>
      <c r="J223" s="909"/>
      <c r="K223" s="909"/>
      <c r="L223" s="909"/>
      <c r="M223" s="909"/>
      <c r="N223" s="909"/>
      <c r="O223" s="909"/>
      <c r="P223" s="909"/>
      <c r="Q223" s="909"/>
      <c r="R223" s="909"/>
      <c r="S223" s="909"/>
      <c r="T223" s="909"/>
      <c r="U223" s="910"/>
      <c r="V223" s="343"/>
      <c r="W223" s="325"/>
      <c r="X223" s="325"/>
      <c r="Y223" s="325"/>
      <c r="Z223" s="325"/>
      <c r="AA223" s="325"/>
      <c r="AB223" s="325"/>
      <c r="AC223" s="325"/>
      <c r="AD223" s="325"/>
      <c r="AE223" s="325"/>
      <c r="AF223" s="325"/>
      <c r="AG223" s="325"/>
      <c r="AH223" s="325"/>
      <c r="AI223" s="391"/>
      <c r="AJ223" s="401"/>
      <c r="AK223" s="402"/>
      <c r="AL223" s="396"/>
      <c r="AM223" s="396"/>
      <c r="AN223" s="396"/>
      <c r="AO223" s="396"/>
      <c r="AP223" s="396"/>
      <c r="AQ223" s="396"/>
      <c r="AR223" s="396"/>
      <c r="AS223" s="396"/>
      <c r="AT223" s="490"/>
      <c r="AU223" s="387"/>
      <c r="AV223" s="400"/>
      <c r="AW223" s="400"/>
      <c r="AX223" s="396"/>
      <c r="AY223" s="397"/>
      <c r="AZ223" s="489">
        <f>ROUND(Q224*$AT$208,0)</f>
        <v>114</v>
      </c>
      <c r="BA223" s="393"/>
    </row>
    <row r="224" spans="1:53" ht="16.5" customHeight="1" x14ac:dyDescent="0.15">
      <c r="A224" s="340">
        <v>12</v>
      </c>
      <c r="B224" s="341">
        <v>8094</v>
      </c>
      <c r="C224" s="390" t="s">
        <v>17098</v>
      </c>
      <c r="D224" s="403"/>
      <c r="E224" s="404"/>
      <c r="F224" s="404"/>
      <c r="G224" s="404"/>
      <c r="H224" s="406"/>
      <c r="Q224" s="836">
        <f>'2重度訪問'!U116</f>
        <v>91</v>
      </c>
      <c r="R224" s="911"/>
      <c r="S224" s="911"/>
      <c r="T224" s="152" t="s">
        <v>15624</v>
      </c>
      <c r="U224" s="387"/>
      <c r="V224" s="343" t="s">
        <v>15625</v>
      </c>
      <c r="W224" s="325"/>
      <c r="X224" s="325"/>
      <c r="Y224" s="325"/>
      <c r="Z224" s="325"/>
      <c r="AA224" s="325"/>
      <c r="AB224" s="325"/>
      <c r="AC224" s="325"/>
      <c r="AD224" s="325"/>
      <c r="AE224" s="325"/>
      <c r="AF224" s="325"/>
      <c r="AG224" s="325"/>
      <c r="AH224" s="325"/>
      <c r="AI224" s="391" t="s">
        <v>15626</v>
      </c>
      <c r="AJ224" s="838">
        <f>AJ222</f>
        <v>1</v>
      </c>
      <c r="AK224" s="839"/>
      <c r="AL224" s="325"/>
      <c r="AM224" s="325"/>
      <c r="AN224" s="325"/>
      <c r="AO224" s="325"/>
      <c r="AP224" s="325"/>
      <c r="AQ224" s="325"/>
      <c r="AR224" s="325"/>
      <c r="AS224" s="325"/>
      <c r="AT224" s="490"/>
      <c r="AU224" s="387"/>
      <c r="AY224" s="387"/>
      <c r="AZ224" s="489">
        <f>ROUND(ROUND(Q224*AJ224,0)*$AT$208,0)</f>
        <v>114</v>
      </c>
      <c r="BA224" s="393"/>
    </row>
    <row r="225" spans="1:53" ht="16.5" customHeight="1" x14ac:dyDescent="0.15">
      <c r="A225" s="287">
        <v>12</v>
      </c>
      <c r="B225" s="287">
        <v>8095</v>
      </c>
      <c r="C225" s="394" t="s">
        <v>17099</v>
      </c>
      <c r="D225" s="403"/>
      <c r="E225" s="404"/>
      <c r="F225" s="404"/>
      <c r="G225" s="404"/>
      <c r="H225" s="406"/>
      <c r="Q225" s="395"/>
      <c r="R225" s="151"/>
      <c r="S225" s="151"/>
      <c r="U225" s="387"/>
      <c r="V225" s="343"/>
      <c r="W225" s="343"/>
      <c r="X225" s="343"/>
      <c r="Y225" s="343"/>
      <c r="Z225" s="343"/>
      <c r="AA225" s="343"/>
      <c r="AB225" s="343"/>
      <c r="AC225" s="343"/>
      <c r="AD225" s="343"/>
      <c r="AE225" s="343"/>
      <c r="AF225" s="343"/>
      <c r="AG225" s="343"/>
      <c r="AH225" s="343"/>
      <c r="AI225" s="343"/>
      <c r="AJ225" s="343"/>
      <c r="AK225" s="343"/>
      <c r="AL225" s="114" t="s">
        <v>15628</v>
      </c>
      <c r="AM225" s="396"/>
      <c r="AN225" s="396"/>
      <c r="AO225" s="396"/>
      <c r="AP225" s="396"/>
      <c r="AQ225" s="396"/>
      <c r="AR225" s="396"/>
      <c r="AS225" s="396"/>
      <c r="AT225" s="490"/>
      <c r="AU225" s="387"/>
      <c r="AY225" s="387"/>
      <c r="AZ225" s="489">
        <f>ROUND(ROUND(Q224*AR226,0)*$AT$208,0)</f>
        <v>96</v>
      </c>
      <c r="BA225" s="393"/>
    </row>
    <row r="226" spans="1:53" ht="16.5" customHeight="1" x14ac:dyDescent="0.15">
      <c r="A226" s="287">
        <v>12</v>
      </c>
      <c r="B226" s="287">
        <v>8096</v>
      </c>
      <c r="C226" s="394" t="s">
        <v>17100</v>
      </c>
      <c r="D226" s="403"/>
      <c r="E226" s="404"/>
      <c r="F226" s="404"/>
      <c r="G226" s="404"/>
      <c r="H226" s="406"/>
      <c r="Q226" s="395"/>
      <c r="R226" s="151"/>
      <c r="S226" s="151"/>
      <c r="U226" s="387"/>
      <c r="V226" s="343" t="s">
        <v>15625</v>
      </c>
      <c r="W226" s="325"/>
      <c r="X226" s="325"/>
      <c r="Y226" s="325"/>
      <c r="Z226" s="325"/>
      <c r="AA226" s="325"/>
      <c r="AB226" s="325"/>
      <c r="AC226" s="325"/>
      <c r="AD226" s="325"/>
      <c r="AE226" s="325"/>
      <c r="AF226" s="325"/>
      <c r="AG226" s="325"/>
      <c r="AH226" s="325"/>
      <c r="AI226" s="391" t="s">
        <v>15626</v>
      </c>
      <c r="AJ226" s="838">
        <f>AJ224</f>
        <v>1</v>
      </c>
      <c r="AK226" s="843"/>
      <c r="AL226" s="324" t="s">
        <v>15630</v>
      </c>
      <c r="AM226" s="325"/>
      <c r="AN226" s="325"/>
      <c r="AO226" s="325"/>
      <c r="AP226" s="325"/>
      <c r="AQ226" s="190" t="s">
        <v>398</v>
      </c>
      <c r="AR226" s="844">
        <f>AR222</f>
        <v>0.85</v>
      </c>
      <c r="AS226" s="844"/>
      <c r="AT226" s="501"/>
      <c r="AU226" s="502"/>
      <c r="AY226" s="387"/>
      <c r="AZ226" s="489">
        <f>ROUND(ROUND(ROUND(Q224*AJ226,0)*AR226,0)*$AT$208,0)</f>
        <v>96</v>
      </c>
      <c r="BA226" s="393"/>
    </row>
    <row r="227" spans="1:53" ht="16.5" customHeight="1" x14ac:dyDescent="0.15">
      <c r="A227" s="340">
        <v>12</v>
      </c>
      <c r="B227" s="341">
        <v>8097</v>
      </c>
      <c r="C227" s="390" t="s">
        <v>17101</v>
      </c>
      <c r="D227" s="403"/>
      <c r="E227" s="404"/>
      <c r="F227" s="404"/>
      <c r="G227" s="404"/>
      <c r="H227" s="406"/>
      <c r="I227" s="10"/>
      <c r="Q227" s="395"/>
      <c r="R227" s="151"/>
      <c r="S227" s="151"/>
      <c r="U227" s="387"/>
      <c r="V227" s="343"/>
      <c r="W227" s="325"/>
      <c r="X227" s="325"/>
      <c r="Y227" s="325"/>
      <c r="Z227" s="325"/>
      <c r="AA227" s="325"/>
      <c r="AB227" s="325"/>
      <c r="AC227" s="325"/>
      <c r="AD227" s="325"/>
      <c r="AE227" s="325"/>
      <c r="AF227" s="325"/>
      <c r="AG227" s="325"/>
      <c r="AH227" s="325"/>
      <c r="AI227" s="391"/>
      <c r="AJ227" s="401"/>
      <c r="AK227" s="402"/>
      <c r="AL227" s="396"/>
      <c r="AM227" s="396"/>
      <c r="AN227" s="396"/>
      <c r="AO227" s="396"/>
      <c r="AP227" s="396"/>
      <c r="AQ227" s="396"/>
      <c r="AR227" s="396"/>
      <c r="AS227" s="396"/>
      <c r="AT227" s="490"/>
      <c r="AU227" s="387"/>
      <c r="AV227" s="858" t="s">
        <v>16296</v>
      </c>
      <c r="AW227" s="858"/>
      <c r="AX227" s="858"/>
      <c r="AY227" s="860"/>
      <c r="AZ227" s="489">
        <f>ROUND(ROUND(Q224*$AT$208,0)*AV230,0)</f>
        <v>91</v>
      </c>
      <c r="BA227" s="393"/>
    </row>
    <row r="228" spans="1:53" ht="16.5" customHeight="1" x14ac:dyDescent="0.15">
      <c r="A228" s="340">
        <v>12</v>
      </c>
      <c r="B228" s="341">
        <v>8098</v>
      </c>
      <c r="C228" s="390" t="s">
        <v>17102</v>
      </c>
      <c r="D228" s="403"/>
      <c r="E228" s="404"/>
      <c r="F228" s="404"/>
      <c r="G228" s="404"/>
      <c r="H228" s="406"/>
      <c r="Q228" s="899"/>
      <c r="R228" s="899"/>
      <c r="S228" s="899"/>
      <c r="U228" s="387"/>
      <c r="V228" s="343" t="s">
        <v>15625</v>
      </c>
      <c r="W228" s="325"/>
      <c r="X228" s="325"/>
      <c r="Y228" s="325"/>
      <c r="Z228" s="325"/>
      <c r="AA228" s="325"/>
      <c r="AB228" s="325"/>
      <c r="AC228" s="325"/>
      <c r="AD228" s="325"/>
      <c r="AE228" s="325"/>
      <c r="AF228" s="325"/>
      <c r="AG228" s="325"/>
      <c r="AH228" s="325"/>
      <c r="AI228" s="391" t="s">
        <v>15626</v>
      </c>
      <c r="AJ228" s="838">
        <f>AJ226</f>
        <v>1</v>
      </c>
      <c r="AK228" s="839"/>
      <c r="AL228" s="325"/>
      <c r="AM228" s="325"/>
      <c r="AN228" s="325"/>
      <c r="AO228" s="325"/>
      <c r="AP228" s="325"/>
      <c r="AQ228" s="325"/>
      <c r="AR228" s="325"/>
      <c r="AS228" s="325"/>
      <c r="AT228" s="490"/>
      <c r="AU228" s="387"/>
      <c r="AV228" s="850"/>
      <c r="AW228" s="850"/>
      <c r="AX228" s="850"/>
      <c r="AY228" s="852"/>
      <c r="AZ228" s="489">
        <f>ROUND(ROUND(ROUND(Q224*AJ228,0)*$AT$208,0)*AV230,0)</f>
        <v>91</v>
      </c>
      <c r="BA228" s="393"/>
    </row>
    <row r="229" spans="1:53" ht="16.5" customHeight="1" x14ac:dyDescent="0.15">
      <c r="A229" s="287">
        <v>12</v>
      </c>
      <c r="B229" s="287">
        <v>8099</v>
      </c>
      <c r="C229" s="394" t="s">
        <v>17103</v>
      </c>
      <c r="D229" s="403"/>
      <c r="E229" s="404"/>
      <c r="F229" s="404"/>
      <c r="G229" s="404"/>
      <c r="H229" s="406"/>
      <c r="Q229" s="395"/>
      <c r="R229" s="151"/>
      <c r="S229" s="151"/>
      <c r="U229" s="387"/>
      <c r="V229" s="343"/>
      <c r="W229" s="343"/>
      <c r="X229" s="343"/>
      <c r="Y229" s="343"/>
      <c r="Z229" s="343"/>
      <c r="AA229" s="343"/>
      <c r="AB229" s="343"/>
      <c r="AC229" s="343"/>
      <c r="AD229" s="343"/>
      <c r="AE229" s="343"/>
      <c r="AF229" s="343"/>
      <c r="AG229" s="343"/>
      <c r="AH229" s="343"/>
      <c r="AI229" s="343"/>
      <c r="AJ229" s="343"/>
      <c r="AK229" s="343"/>
      <c r="AL229" s="114" t="s">
        <v>15628</v>
      </c>
      <c r="AM229" s="396"/>
      <c r="AN229" s="396"/>
      <c r="AO229" s="396"/>
      <c r="AP229" s="396"/>
      <c r="AQ229" s="396"/>
      <c r="AR229" s="396"/>
      <c r="AS229" s="396"/>
      <c r="AT229" s="490"/>
      <c r="AU229" s="387"/>
      <c r="AV229" s="902" t="s">
        <v>15636</v>
      </c>
      <c r="AW229" s="902"/>
      <c r="AX229" s="902"/>
      <c r="AY229" s="903"/>
      <c r="AZ229" s="489">
        <f>ROUND(ROUND(ROUND(Q224*AR230,0)*$AT$208,0)*AV230,0)</f>
        <v>77</v>
      </c>
      <c r="BA229" s="393"/>
    </row>
    <row r="230" spans="1:53" ht="16.5" customHeight="1" x14ac:dyDescent="0.15">
      <c r="A230" s="287">
        <v>12</v>
      </c>
      <c r="B230" s="287">
        <v>8100</v>
      </c>
      <c r="C230" s="394" t="s">
        <v>17104</v>
      </c>
      <c r="D230" s="403"/>
      <c r="E230" s="404"/>
      <c r="F230" s="404"/>
      <c r="G230" s="404"/>
      <c r="H230" s="406"/>
      <c r="Q230" s="395"/>
      <c r="R230" s="151"/>
      <c r="S230" s="151"/>
      <c r="U230" s="387"/>
      <c r="V230" s="343" t="s">
        <v>15625</v>
      </c>
      <c r="W230" s="325"/>
      <c r="X230" s="325"/>
      <c r="Y230" s="325"/>
      <c r="Z230" s="325"/>
      <c r="AA230" s="325"/>
      <c r="AB230" s="325"/>
      <c r="AC230" s="325"/>
      <c r="AD230" s="325"/>
      <c r="AE230" s="325"/>
      <c r="AF230" s="325"/>
      <c r="AG230" s="325"/>
      <c r="AH230" s="325"/>
      <c r="AI230" s="391" t="s">
        <v>15626</v>
      </c>
      <c r="AJ230" s="838">
        <f>AJ228</f>
        <v>1</v>
      </c>
      <c r="AK230" s="843"/>
      <c r="AL230" s="324" t="s">
        <v>15630</v>
      </c>
      <c r="AM230" s="325"/>
      <c r="AN230" s="325"/>
      <c r="AO230" s="325"/>
      <c r="AP230" s="325"/>
      <c r="AQ230" s="190" t="s">
        <v>398</v>
      </c>
      <c r="AR230" s="844">
        <f>AR226</f>
        <v>0.85</v>
      </c>
      <c r="AS230" s="844"/>
      <c r="AT230" s="501"/>
      <c r="AU230" s="502"/>
      <c r="AV230" s="844">
        <f>AV222</f>
        <v>0.8</v>
      </c>
      <c r="AW230" s="844"/>
      <c r="AX230" s="844"/>
      <c r="AY230" s="845"/>
      <c r="AZ230" s="489">
        <f>ROUND(ROUND(ROUND(ROUND(Q224*AJ230,0)*AR230,0)*$AT$208,0)*AV230,0)</f>
        <v>77</v>
      </c>
      <c r="BA230" s="393"/>
    </row>
    <row r="231" spans="1:53" ht="16.5" customHeight="1" x14ac:dyDescent="0.15">
      <c r="A231" s="340">
        <v>12</v>
      </c>
      <c r="B231" s="341">
        <v>8101</v>
      </c>
      <c r="C231" s="390" t="s">
        <v>17105</v>
      </c>
      <c r="D231" s="403"/>
      <c r="E231" s="404"/>
      <c r="F231" s="404"/>
      <c r="G231" s="404"/>
      <c r="H231" s="406"/>
      <c r="I231" s="908" t="s">
        <v>16327</v>
      </c>
      <c r="J231" s="909"/>
      <c r="K231" s="909"/>
      <c r="L231" s="909"/>
      <c r="M231" s="909"/>
      <c r="N231" s="909"/>
      <c r="O231" s="909"/>
      <c r="P231" s="909"/>
      <c r="Q231" s="909"/>
      <c r="R231" s="909"/>
      <c r="S231" s="909"/>
      <c r="T231" s="909"/>
      <c r="U231" s="910"/>
      <c r="V231" s="343"/>
      <c r="W231" s="325"/>
      <c r="X231" s="325"/>
      <c r="Y231" s="325"/>
      <c r="Z231" s="325"/>
      <c r="AA231" s="325"/>
      <c r="AB231" s="325"/>
      <c r="AC231" s="325"/>
      <c r="AD231" s="325"/>
      <c r="AE231" s="325"/>
      <c r="AF231" s="325"/>
      <c r="AG231" s="325"/>
      <c r="AH231" s="325"/>
      <c r="AI231" s="391"/>
      <c r="AJ231" s="401"/>
      <c r="AK231" s="402"/>
      <c r="AL231" s="396"/>
      <c r="AM231" s="396"/>
      <c r="AN231" s="396"/>
      <c r="AO231" s="396"/>
      <c r="AP231" s="396"/>
      <c r="AQ231" s="396"/>
      <c r="AR231" s="396"/>
      <c r="AS231" s="396"/>
      <c r="AT231" s="490"/>
      <c r="AU231" s="387"/>
      <c r="AV231" s="400"/>
      <c r="AW231" s="400"/>
      <c r="AX231" s="396"/>
      <c r="AY231" s="397"/>
      <c r="AZ231" s="489">
        <f>ROUND(Q232*$AT$208,0)</f>
        <v>115</v>
      </c>
      <c r="BA231" s="393"/>
    </row>
    <row r="232" spans="1:53" ht="16.5" customHeight="1" x14ac:dyDescent="0.15">
      <c r="A232" s="340">
        <v>12</v>
      </c>
      <c r="B232" s="341">
        <v>8102</v>
      </c>
      <c r="C232" s="390" t="s">
        <v>17106</v>
      </c>
      <c r="D232" s="403"/>
      <c r="E232" s="404"/>
      <c r="F232" s="404"/>
      <c r="G232" s="404"/>
      <c r="H232" s="406"/>
      <c r="Q232" s="836">
        <f>'2重度訪問'!U120</f>
        <v>92</v>
      </c>
      <c r="R232" s="911"/>
      <c r="S232" s="911"/>
      <c r="T232" s="152" t="s">
        <v>15624</v>
      </c>
      <c r="U232" s="387"/>
      <c r="V232" s="343" t="s">
        <v>15625</v>
      </c>
      <c r="W232" s="325"/>
      <c r="X232" s="325"/>
      <c r="Y232" s="325"/>
      <c r="Z232" s="325"/>
      <c r="AA232" s="325"/>
      <c r="AB232" s="325"/>
      <c r="AC232" s="325"/>
      <c r="AD232" s="325"/>
      <c r="AE232" s="325"/>
      <c r="AF232" s="325"/>
      <c r="AG232" s="325"/>
      <c r="AH232" s="325"/>
      <c r="AI232" s="391" t="s">
        <v>15626</v>
      </c>
      <c r="AJ232" s="838">
        <f>AJ230</f>
        <v>1</v>
      </c>
      <c r="AK232" s="839"/>
      <c r="AL232" s="325"/>
      <c r="AM232" s="325"/>
      <c r="AN232" s="325"/>
      <c r="AO232" s="325"/>
      <c r="AP232" s="325"/>
      <c r="AQ232" s="325"/>
      <c r="AR232" s="325"/>
      <c r="AS232" s="325"/>
      <c r="AT232" s="490"/>
      <c r="AU232" s="387"/>
      <c r="AY232" s="387"/>
      <c r="AZ232" s="489">
        <f>ROUND(ROUND(Q232*AJ232,0)*$AT$208,0)</f>
        <v>115</v>
      </c>
      <c r="BA232" s="393"/>
    </row>
    <row r="233" spans="1:53" ht="16.5" customHeight="1" x14ac:dyDescent="0.15">
      <c r="A233" s="340">
        <v>12</v>
      </c>
      <c r="B233" s="341">
        <v>8103</v>
      </c>
      <c r="C233" s="390" t="s">
        <v>17107</v>
      </c>
      <c r="D233" s="403"/>
      <c r="E233" s="404"/>
      <c r="F233" s="404"/>
      <c r="G233" s="404"/>
      <c r="H233" s="406"/>
      <c r="Q233" s="395"/>
      <c r="R233" s="151"/>
      <c r="S233" s="151"/>
      <c r="U233" s="387"/>
      <c r="V233" s="343"/>
      <c r="W233" s="343"/>
      <c r="X233" s="343"/>
      <c r="Y233" s="343"/>
      <c r="Z233" s="343"/>
      <c r="AA233" s="343"/>
      <c r="AB233" s="343"/>
      <c r="AC233" s="343"/>
      <c r="AD233" s="343"/>
      <c r="AE233" s="343"/>
      <c r="AF233" s="343"/>
      <c r="AG233" s="343"/>
      <c r="AH233" s="343"/>
      <c r="AI233" s="343"/>
      <c r="AJ233" s="343"/>
      <c r="AK233" s="343"/>
      <c r="AL233" s="114" t="s">
        <v>15628</v>
      </c>
      <c r="AM233" s="396"/>
      <c r="AN233" s="396"/>
      <c r="AO233" s="396"/>
      <c r="AP233" s="396"/>
      <c r="AQ233" s="396"/>
      <c r="AR233" s="396"/>
      <c r="AS233" s="396"/>
      <c r="AT233" s="490"/>
      <c r="AU233" s="387"/>
      <c r="AY233" s="387"/>
      <c r="AZ233" s="489">
        <f>ROUND(ROUND(Q232*AR234,0)*$AT$208,0)</f>
        <v>98</v>
      </c>
      <c r="BA233" s="393"/>
    </row>
    <row r="234" spans="1:53" ht="16.5" customHeight="1" x14ac:dyDescent="0.15">
      <c r="A234" s="340">
        <v>12</v>
      </c>
      <c r="B234" s="341">
        <v>8104</v>
      </c>
      <c r="C234" s="390" t="s">
        <v>17108</v>
      </c>
      <c r="D234" s="403"/>
      <c r="E234" s="404"/>
      <c r="F234" s="404"/>
      <c r="G234" s="404"/>
      <c r="H234" s="406"/>
      <c r="Q234" s="395"/>
      <c r="R234" s="151"/>
      <c r="S234" s="151"/>
      <c r="U234" s="387"/>
      <c r="V234" s="343" t="s">
        <v>15625</v>
      </c>
      <c r="W234" s="325"/>
      <c r="X234" s="325"/>
      <c r="Y234" s="325"/>
      <c r="Z234" s="325"/>
      <c r="AA234" s="325"/>
      <c r="AB234" s="325"/>
      <c r="AC234" s="325"/>
      <c r="AD234" s="325"/>
      <c r="AE234" s="325"/>
      <c r="AF234" s="325"/>
      <c r="AG234" s="325"/>
      <c r="AH234" s="325"/>
      <c r="AI234" s="391" t="s">
        <v>15626</v>
      </c>
      <c r="AJ234" s="838">
        <f>AJ232</f>
        <v>1</v>
      </c>
      <c r="AK234" s="843"/>
      <c r="AL234" s="324" t="s">
        <v>15630</v>
      </c>
      <c r="AM234" s="325"/>
      <c r="AN234" s="325"/>
      <c r="AO234" s="325"/>
      <c r="AP234" s="325"/>
      <c r="AQ234" s="190" t="s">
        <v>398</v>
      </c>
      <c r="AR234" s="844">
        <f>AR230</f>
        <v>0.85</v>
      </c>
      <c r="AS234" s="844"/>
      <c r="AT234" s="501"/>
      <c r="AU234" s="502"/>
      <c r="AY234" s="387"/>
      <c r="AZ234" s="489">
        <f>ROUND(ROUND(ROUND(Q232*AJ234,0)*AR234,0)*$AT$208,0)</f>
        <v>98</v>
      </c>
      <c r="BA234" s="393"/>
    </row>
    <row r="235" spans="1:53" ht="16.5" customHeight="1" x14ac:dyDescent="0.15">
      <c r="A235" s="340">
        <v>12</v>
      </c>
      <c r="B235" s="341">
        <v>8105</v>
      </c>
      <c r="C235" s="390" t="s">
        <v>17109</v>
      </c>
      <c r="D235" s="403"/>
      <c r="E235" s="404"/>
      <c r="F235" s="404"/>
      <c r="G235" s="404"/>
      <c r="H235" s="406"/>
      <c r="I235" s="10"/>
      <c r="Q235" s="395"/>
      <c r="R235" s="151"/>
      <c r="S235" s="151"/>
      <c r="U235" s="387"/>
      <c r="V235" s="343"/>
      <c r="W235" s="325"/>
      <c r="X235" s="325"/>
      <c r="Y235" s="325"/>
      <c r="Z235" s="325"/>
      <c r="AA235" s="325"/>
      <c r="AB235" s="325"/>
      <c r="AC235" s="325"/>
      <c r="AD235" s="325"/>
      <c r="AE235" s="325"/>
      <c r="AF235" s="325"/>
      <c r="AG235" s="325"/>
      <c r="AH235" s="325"/>
      <c r="AI235" s="391"/>
      <c r="AJ235" s="401"/>
      <c r="AK235" s="402"/>
      <c r="AL235" s="396"/>
      <c r="AM235" s="396"/>
      <c r="AN235" s="396"/>
      <c r="AO235" s="396"/>
      <c r="AP235" s="396"/>
      <c r="AQ235" s="396"/>
      <c r="AR235" s="396"/>
      <c r="AS235" s="396"/>
      <c r="AT235" s="490"/>
      <c r="AU235" s="387"/>
      <c r="AV235" s="858" t="s">
        <v>16296</v>
      </c>
      <c r="AW235" s="858"/>
      <c r="AX235" s="858"/>
      <c r="AY235" s="860"/>
      <c r="AZ235" s="489">
        <f>ROUND(ROUND(Q232*$AT$208,0)*AV238,0)</f>
        <v>92</v>
      </c>
      <c r="BA235" s="393"/>
    </row>
    <row r="236" spans="1:53" ht="16.5" customHeight="1" x14ac:dyDescent="0.15">
      <c r="A236" s="340">
        <v>12</v>
      </c>
      <c r="B236" s="341">
        <v>8106</v>
      </c>
      <c r="C236" s="390" t="s">
        <v>17110</v>
      </c>
      <c r="D236" s="403"/>
      <c r="E236" s="404"/>
      <c r="F236" s="404"/>
      <c r="G236" s="404"/>
      <c r="H236" s="406"/>
      <c r="Q236" s="899"/>
      <c r="R236" s="899"/>
      <c r="S236" s="899"/>
      <c r="U236" s="387"/>
      <c r="V236" s="343" t="s">
        <v>15625</v>
      </c>
      <c r="W236" s="325"/>
      <c r="X236" s="325"/>
      <c r="Y236" s="325"/>
      <c r="Z236" s="325"/>
      <c r="AA236" s="325"/>
      <c r="AB236" s="325"/>
      <c r="AC236" s="325"/>
      <c r="AD236" s="325"/>
      <c r="AE236" s="325"/>
      <c r="AF236" s="325"/>
      <c r="AG236" s="325"/>
      <c r="AH236" s="325"/>
      <c r="AI236" s="391" t="s">
        <v>15626</v>
      </c>
      <c r="AJ236" s="838">
        <f>AJ234</f>
        <v>1</v>
      </c>
      <c r="AK236" s="839"/>
      <c r="AL236" s="325"/>
      <c r="AM236" s="325"/>
      <c r="AN236" s="325"/>
      <c r="AO236" s="325"/>
      <c r="AP236" s="325"/>
      <c r="AQ236" s="325"/>
      <c r="AR236" s="325"/>
      <c r="AS236" s="325"/>
      <c r="AT236" s="490"/>
      <c r="AU236" s="387"/>
      <c r="AV236" s="850"/>
      <c r="AW236" s="850"/>
      <c r="AX236" s="850"/>
      <c r="AY236" s="852"/>
      <c r="AZ236" s="489">
        <f>ROUND(ROUND(ROUND(Q232*AJ236,0)*$AT$208,0)*AV238,0)</f>
        <v>92</v>
      </c>
      <c r="BA236" s="393"/>
    </row>
    <row r="237" spans="1:53" ht="16.5" customHeight="1" x14ac:dyDescent="0.15">
      <c r="A237" s="340">
        <v>12</v>
      </c>
      <c r="B237" s="341">
        <v>8107</v>
      </c>
      <c r="C237" s="390" t="s">
        <v>17111</v>
      </c>
      <c r="D237" s="403"/>
      <c r="E237" s="404"/>
      <c r="F237" s="404"/>
      <c r="G237" s="404"/>
      <c r="H237" s="406"/>
      <c r="Q237" s="395"/>
      <c r="R237" s="151"/>
      <c r="S237" s="151"/>
      <c r="U237" s="387"/>
      <c r="V237" s="343"/>
      <c r="W237" s="343"/>
      <c r="X237" s="343"/>
      <c r="Y237" s="343"/>
      <c r="Z237" s="343"/>
      <c r="AA237" s="343"/>
      <c r="AB237" s="343"/>
      <c r="AC237" s="343"/>
      <c r="AD237" s="343"/>
      <c r="AE237" s="343"/>
      <c r="AF237" s="343"/>
      <c r="AG237" s="343"/>
      <c r="AH237" s="343"/>
      <c r="AI237" s="343"/>
      <c r="AJ237" s="343"/>
      <c r="AK237" s="343"/>
      <c r="AL237" s="114" t="s">
        <v>15628</v>
      </c>
      <c r="AM237" s="396"/>
      <c r="AN237" s="396"/>
      <c r="AO237" s="396"/>
      <c r="AP237" s="396"/>
      <c r="AQ237" s="396"/>
      <c r="AR237" s="396"/>
      <c r="AS237" s="396"/>
      <c r="AT237" s="490"/>
      <c r="AU237" s="387"/>
      <c r="AV237" s="902" t="s">
        <v>15636</v>
      </c>
      <c r="AW237" s="902"/>
      <c r="AX237" s="902"/>
      <c r="AY237" s="903"/>
      <c r="AZ237" s="489">
        <f>ROUND(ROUND(ROUND(Q232*AR238,0)*$AT$208,0)*AV238,0)</f>
        <v>78</v>
      </c>
      <c r="BA237" s="393"/>
    </row>
    <row r="238" spans="1:53" ht="16.5" customHeight="1" x14ac:dyDescent="0.15">
      <c r="A238" s="340">
        <v>12</v>
      </c>
      <c r="B238" s="341">
        <v>8108</v>
      </c>
      <c r="C238" s="390" t="s">
        <v>17112</v>
      </c>
      <c r="D238" s="403"/>
      <c r="E238" s="404"/>
      <c r="F238" s="404"/>
      <c r="G238" s="404"/>
      <c r="H238" s="406"/>
      <c r="Q238" s="395"/>
      <c r="R238" s="151"/>
      <c r="S238" s="151"/>
      <c r="U238" s="387"/>
      <c r="V238" s="343" t="s">
        <v>15625</v>
      </c>
      <c r="W238" s="325"/>
      <c r="X238" s="325"/>
      <c r="Y238" s="325"/>
      <c r="Z238" s="325"/>
      <c r="AA238" s="325"/>
      <c r="AB238" s="325"/>
      <c r="AC238" s="325"/>
      <c r="AD238" s="325"/>
      <c r="AE238" s="325"/>
      <c r="AF238" s="325"/>
      <c r="AG238" s="325"/>
      <c r="AH238" s="325"/>
      <c r="AI238" s="391" t="s">
        <v>15626</v>
      </c>
      <c r="AJ238" s="838">
        <f>AJ236</f>
        <v>1</v>
      </c>
      <c r="AK238" s="843"/>
      <c r="AL238" s="324" t="s">
        <v>15630</v>
      </c>
      <c r="AM238" s="325"/>
      <c r="AN238" s="325"/>
      <c r="AO238" s="325"/>
      <c r="AP238" s="325"/>
      <c r="AQ238" s="190" t="s">
        <v>398</v>
      </c>
      <c r="AR238" s="844">
        <f>AR234</f>
        <v>0.85</v>
      </c>
      <c r="AS238" s="844"/>
      <c r="AT238" s="501"/>
      <c r="AU238" s="502"/>
      <c r="AV238" s="844">
        <f>AV230</f>
        <v>0.8</v>
      </c>
      <c r="AW238" s="844"/>
      <c r="AX238" s="844"/>
      <c r="AY238" s="845"/>
      <c r="AZ238" s="489">
        <f>ROUND(ROUND(ROUND(ROUND(Q232*AJ238,0)*AR238,0)*$AT$208,0)*AV238,0)</f>
        <v>78</v>
      </c>
      <c r="BA238" s="393"/>
    </row>
    <row r="239" spans="1:53" ht="16.5" customHeight="1" x14ac:dyDescent="0.15">
      <c r="A239" s="340">
        <v>12</v>
      </c>
      <c r="B239" s="341">
        <v>8109</v>
      </c>
      <c r="C239" s="390" t="s">
        <v>17113</v>
      </c>
      <c r="D239" s="403"/>
      <c r="E239" s="404"/>
      <c r="F239" s="404"/>
      <c r="G239" s="404"/>
      <c r="H239" s="406"/>
      <c r="I239" s="908" t="s">
        <v>16336</v>
      </c>
      <c r="J239" s="909"/>
      <c r="K239" s="909"/>
      <c r="L239" s="909"/>
      <c r="M239" s="909"/>
      <c r="N239" s="909"/>
      <c r="O239" s="909"/>
      <c r="P239" s="909"/>
      <c r="Q239" s="909"/>
      <c r="R239" s="909"/>
      <c r="S239" s="909"/>
      <c r="T239" s="909"/>
      <c r="U239" s="910"/>
      <c r="V239" s="343"/>
      <c r="W239" s="325"/>
      <c r="X239" s="325"/>
      <c r="Y239" s="325"/>
      <c r="Z239" s="325"/>
      <c r="AA239" s="325"/>
      <c r="AB239" s="325"/>
      <c r="AC239" s="325"/>
      <c r="AD239" s="325"/>
      <c r="AE239" s="325"/>
      <c r="AF239" s="325"/>
      <c r="AG239" s="325"/>
      <c r="AH239" s="325"/>
      <c r="AI239" s="391"/>
      <c r="AJ239" s="401"/>
      <c r="AK239" s="402"/>
      <c r="AL239" s="396"/>
      <c r="AM239" s="396"/>
      <c r="AN239" s="396"/>
      <c r="AO239" s="396"/>
      <c r="AP239" s="396"/>
      <c r="AQ239" s="396"/>
      <c r="AR239" s="396"/>
      <c r="AS239" s="396"/>
      <c r="AT239" s="490"/>
      <c r="AU239" s="387"/>
      <c r="AV239" s="400"/>
      <c r="AW239" s="400"/>
      <c r="AX239" s="396"/>
      <c r="AY239" s="397"/>
      <c r="AZ239" s="489">
        <f>ROUND(Q240*$AT$208,0)</f>
        <v>113</v>
      </c>
      <c r="BA239" s="393"/>
    </row>
    <row r="240" spans="1:53" ht="16.5" customHeight="1" x14ac:dyDescent="0.15">
      <c r="A240" s="340">
        <v>12</v>
      </c>
      <c r="B240" s="341">
        <v>8110</v>
      </c>
      <c r="C240" s="390" t="s">
        <v>17114</v>
      </c>
      <c r="D240" s="403"/>
      <c r="E240" s="404"/>
      <c r="F240" s="404"/>
      <c r="G240" s="404"/>
      <c r="H240" s="406"/>
      <c r="Q240" s="836">
        <f>'2重度訪問'!U124</f>
        <v>90</v>
      </c>
      <c r="R240" s="911"/>
      <c r="S240" s="911"/>
      <c r="T240" s="152" t="s">
        <v>15624</v>
      </c>
      <c r="U240" s="387"/>
      <c r="V240" s="343" t="s">
        <v>15625</v>
      </c>
      <c r="W240" s="325"/>
      <c r="X240" s="325"/>
      <c r="Y240" s="325"/>
      <c r="Z240" s="325"/>
      <c r="AA240" s="325"/>
      <c r="AB240" s="325"/>
      <c r="AC240" s="325"/>
      <c r="AD240" s="325"/>
      <c r="AE240" s="325"/>
      <c r="AF240" s="325"/>
      <c r="AG240" s="325"/>
      <c r="AH240" s="325"/>
      <c r="AI240" s="391" t="s">
        <v>15626</v>
      </c>
      <c r="AJ240" s="838">
        <f>AJ238</f>
        <v>1</v>
      </c>
      <c r="AK240" s="839"/>
      <c r="AL240" s="325"/>
      <c r="AM240" s="325"/>
      <c r="AN240" s="325"/>
      <c r="AO240" s="325"/>
      <c r="AP240" s="325"/>
      <c r="AQ240" s="325"/>
      <c r="AR240" s="325"/>
      <c r="AS240" s="325"/>
      <c r="AT240" s="490"/>
      <c r="AU240" s="387"/>
      <c r="AY240" s="387"/>
      <c r="AZ240" s="489">
        <f>ROUND(ROUND(Q240*AJ240,0)*$AT$208,0)</f>
        <v>113</v>
      </c>
      <c r="BA240" s="393"/>
    </row>
    <row r="241" spans="1:53" ht="16.5" customHeight="1" x14ac:dyDescent="0.15">
      <c r="A241" s="340">
        <v>12</v>
      </c>
      <c r="B241" s="341">
        <v>8111</v>
      </c>
      <c r="C241" s="390" t="s">
        <v>17115</v>
      </c>
      <c r="D241" s="403"/>
      <c r="E241" s="404"/>
      <c r="F241" s="404"/>
      <c r="G241" s="404"/>
      <c r="H241" s="406"/>
      <c r="Q241" s="395"/>
      <c r="R241" s="151"/>
      <c r="S241" s="151"/>
      <c r="U241" s="387"/>
      <c r="V241" s="343"/>
      <c r="W241" s="343"/>
      <c r="X241" s="343"/>
      <c r="Y241" s="343"/>
      <c r="Z241" s="343"/>
      <c r="AA241" s="343"/>
      <c r="AB241" s="343"/>
      <c r="AC241" s="343"/>
      <c r="AD241" s="343"/>
      <c r="AE241" s="343"/>
      <c r="AF241" s="343"/>
      <c r="AG241" s="343"/>
      <c r="AH241" s="343"/>
      <c r="AI241" s="343"/>
      <c r="AJ241" s="343"/>
      <c r="AK241" s="343"/>
      <c r="AL241" s="114" t="s">
        <v>15628</v>
      </c>
      <c r="AM241" s="396"/>
      <c r="AN241" s="396"/>
      <c r="AO241" s="396"/>
      <c r="AP241" s="396"/>
      <c r="AQ241" s="396"/>
      <c r="AR241" s="396"/>
      <c r="AS241" s="396"/>
      <c r="AT241" s="490"/>
      <c r="AU241" s="387"/>
      <c r="AY241" s="387"/>
      <c r="AZ241" s="489">
        <f>ROUND(ROUND(Q240*AR242,0)*$AT$208,0)</f>
        <v>96</v>
      </c>
      <c r="BA241" s="393"/>
    </row>
    <row r="242" spans="1:53" ht="16.5" customHeight="1" x14ac:dyDescent="0.15">
      <c r="A242" s="340">
        <v>12</v>
      </c>
      <c r="B242" s="341">
        <v>8112</v>
      </c>
      <c r="C242" s="390" t="s">
        <v>17116</v>
      </c>
      <c r="D242" s="403"/>
      <c r="E242" s="404"/>
      <c r="F242" s="404"/>
      <c r="G242" s="404"/>
      <c r="H242" s="406"/>
      <c r="Q242" s="395"/>
      <c r="R242" s="151"/>
      <c r="S242" s="151"/>
      <c r="U242" s="387"/>
      <c r="V242" s="343" t="s">
        <v>15625</v>
      </c>
      <c r="W242" s="325"/>
      <c r="X242" s="325"/>
      <c r="Y242" s="325"/>
      <c r="Z242" s="325"/>
      <c r="AA242" s="325"/>
      <c r="AB242" s="325"/>
      <c r="AC242" s="325"/>
      <c r="AD242" s="325"/>
      <c r="AE242" s="325"/>
      <c r="AF242" s="325"/>
      <c r="AG242" s="325"/>
      <c r="AH242" s="325"/>
      <c r="AI242" s="391" t="s">
        <v>15626</v>
      </c>
      <c r="AJ242" s="838">
        <f>AJ240</f>
        <v>1</v>
      </c>
      <c r="AK242" s="843"/>
      <c r="AL242" s="324" t="s">
        <v>15630</v>
      </c>
      <c r="AM242" s="325"/>
      <c r="AN242" s="325"/>
      <c r="AO242" s="325"/>
      <c r="AP242" s="325"/>
      <c r="AQ242" s="190" t="s">
        <v>398</v>
      </c>
      <c r="AR242" s="844">
        <f>AR238</f>
        <v>0.85</v>
      </c>
      <c r="AS242" s="844"/>
      <c r="AT242" s="501"/>
      <c r="AU242" s="502"/>
      <c r="AY242" s="387"/>
      <c r="AZ242" s="489">
        <f>ROUND(ROUND(ROUND(Q240*AJ242,0)*AR242,0)*$AT$208,0)</f>
        <v>96</v>
      </c>
      <c r="BA242" s="393"/>
    </row>
    <row r="243" spans="1:53" ht="16.5" customHeight="1" x14ac:dyDescent="0.15">
      <c r="A243" s="340">
        <v>12</v>
      </c>
      <c r="B243" s="341">
        <v>8113</v>
      </c>
      <c r="C243" s="390" t="s">
        <v>17117</v>
      </c>
      <c r="D243" s="403"/>
      <c r="E243" s="404"/>
      <c r="F243" s="404"/>
      <c r="G243" s="404"/>
      <c r="H243" s="406"/>
      <c r="I243" s="10"/>
      <c r="Q243" s="395"/>
      <c r="R243" s="151"/>
      <c r="S243" s="151"/>
      <c r="U243" s="387"/>
      <c r="V243" s="343"/>
      <c r="W243" s="325"/>
      <c r="X243" s="325"/>
      <c r="Y243" s="325"/>
      <c r="Z243" s="325"/>
      <c r="AA243" s="325"/>
      <c r="AB243" s="325"/>
      <c r="AC243" s="325"/>
      <c r="AD243" s="325"/>
      <c r="AE243" s="325"/>
      <c r="AF243" s="325"/>
      <c r="AG243" s="325"/>
      <c r="AH243" s="325"/>
      <c r="AI243" s="391"/>
      <c r="AJ243" s="401"/>
      <c r="AK243" s="402"/>
      <c r="AL243" s="396"/>
      <c r="AM243" s="396"/>
      <c r="AN243" s="396"/>
      <c r="AO243" s="396"/>
      <c r="AP243" s="396"/>
      <c r="AQ243" s="396"/>
      <c r="AR243" s="396"/>
      <c r="AS243" s="396"/>
      <c r="AT243" s="490"/>
      <c r="AU243" s="387"/>
      <c r="AV243" s="858" t="s">
        <v>16296</v>
      </c>
      <c r="AW243" s="858"/>
      <c r="AX243" s="858"/>
      <c r="AY243" s="860"/>
      <c r="AZ243" s="489">
        <f>ROUND(ROUND(Q240*$AT$208,0)*AV246,0)</f>
        <v>90</v>
      </c>
      <c r="BA243" s="393"/>
    </row>
    <row r="244" spans="1:53" ht="16.5" customHeight="1" x14ac:dyDescent="0.15">
      <c r="A244" s="340">
        <v>12</v>
      </c>
      <c r="B244" s="341">
        <v>8114</v>
      </c>
      <c r="C244" s="390" t="s">
        <v>17118</v>
      </c>
      <c r="D244" s="403"/>
      <c r="E244" s="404"/>
      <c r="F244" s="404"/>
      <c r="G244" s="404"/>
      <c r="H244" s="406"/>
      <c r="Q244" s="899"/>
      <c r="R244" s="899"/>
      <c r="S244" s="899"/>
      <c r="U244" s="387"/>
      <c r="V244" s="343" t="s">
        <v>15625</v>
      </c>
      <c r="W244" s="325"/>
      <c r="X244" s="325"/>
      <c r="Y244" s="325"/>
      <c r="Z244" s="325"/>
      <c r="AA244" s="325"/>
      <c r="AB244" s="325"/>
      <c r="AC244" s="325"/>
      <c r="AD244" s="325"/>
      <c r="AE244" s="325"/>
      <c r="AF244" s="325"/>
      <c r="AG244" s="325"/>
      <c r="AH244" s="325"/>
      <c r="AI244" s="391" t="s">
        <v>15626</v>
      </c>
      <c r="AJ244" s="838">
        <f>AJ242</f>
        <v>1</v>
      </c>
      <c r="AK244" s="839"/>
      <c r="AL244" s="325"/>
      <c r="AM244" s="325"/>
      <c r="AN244" s="325"/>
      <c r="AO244" s="325"/>
      <c r="AP244" s="325"/>
      <c r="AQ244" s="325"/>
      <c r="AR244" s="325"/>
      <c r="AS244" s="325"/>
      <c r="AT244" s="490"/>
      <c r="AU244" s="387"/>
      <c r="AV244" s="850"/>
      <c r="AW244" s="850"/>
      <c r="AX244" s="850"/>
      <c r="AY244" s="852"/>
      <c r="AZ244" s="489">
        <f>ROUND(ROUND(ROUND(Q240*AJ244,0)*$AT$208,0)*AV246,0)</f>
        <v>90</v>
      </c>
      <c r="BA244" s="393"/>
    </row>
    <row r="245" spans="1:53" ht="16.5" customHeight="1" x14ac:dyDescent="0.15">
      <c r="A245" s="340">
        <v>12</v>
      </c>
      <c r="B245" s="341">
        <v>8115</v>
      </c>
      <c r="C245" s="390" t="s">
        <v>17119</v>
      </c>
      <c r="D245" s="403"/>
      <c r="E245" s="404"/>
      <c r="F245" s="404"/>
      <c r="G245" s="404"/>
      <c r="H245" s="406"/>
      <c r="Q245" s="395"/>
      <c r="R245" s="151"/>
      <c r="S245" s="151"/>
      <c r="U245" s="387"/>
      <c r="V245" s="343"/>
      <c r="W245" s="343"/>
      <c r="X245" s="343"/>
      <c r="Y245" s="343"/>
      <c r="Z245" s="343"/>
      <c r="AA245" s="343"/>
      <c r="AB245" s="343"/>
      <c r="AC245" s="343"/>
      <c r="AD245" s="343"/>
      <c r="AE245" s="343"/>
      <c r="AF245" s="343"/>
      <c r="AG245" s="343"/>
      <c r="AH245" s="343"/>
      <c r="AI245" s="343"/>
      <c r="AJ245" s="343"/>
      <c r="AK245" s="343"/>
      <c r="AL245" s="114" t="s">
        <v>15628</v>
      </c>
      <c r="AM245" s="396"/>
      <c r="AN245" s="396"/>
      <c r="AO245" s="396"/>
      <c r="AP245" s="396"/>
      <c r="AQ245" s="396"/>
      <c r="AR245" s="396"/>
      <c r="AS245" s="396"/>
      <c r="AT245" s="490"/>
      <c r="AU245" s="387"/>
      <c r="AV245" s="902" t="s">
        <v>15636</v>
      </c>
      <c r="AW245" s="902"/>
      <c r="AX245" s="902"/>
      <c r="AY245" s="903"/>
      <c r="AZ245" s="489">
        <f>ROUND(ROUND(ROUND(Q240*AR246,0)*$AT$208,0)*AV246,0)</f>
        <v>77</v>
      </c>
      <c r="BA245" s="393"/>
    </row>
    <row r="246" spans="1:53" ht="16.5" customHeight="1" x14ac:dyDescent="0.15">
      <c r="A246" s="340">
        <v>12</v>
      </c>
      <c r="B246" s="341">
        <v>8116</v>
      </c>
      <c r="C246" s="390" t="s">
        <v>17120</v>
      </c>
      <c r="D246" s="403"/>
      <c r="E246" s="404"/>
      <c r="F246" s="404"/>
      <c r="G246" s="404"/>
      <c r="H246" s="406"/>
      <c r="Q246" s="395"/>
      <c r="R246" s="151"/>
      <c r="S246" s="151"/>
      <c r="U246" s="387"/>
      <c r="V246" s="343" t="s">
        <v>15625</v>
      </c>
      <c r="W246" s="325"/>
      <c r="X246" s="325"/>
      <c r="Y246" s="325"/>
      <c r="Z246" s="325"/>
      <c r="AA246" s="325"/>
      <c r="AB246" s="325"/>
      <c r="AC246" s="325"/>
      <c r="AD246" s="325"/>
      <c r="AE246" s="325"/>
      <c r="AF246" s="325"/>
      <c r="AG246" s="325"/>
      <c r="AH246" s="325"/>
      <c r="AI246" s="391" t="s">
        <v>15626</v>
      </c>
      <c r="AJ246" s="838">
        <f>AJ244</f>
        <v>1</v>
      </c>
      <c r="AK246" s="843"/>
      <c r="AL246" s="324" t="s">
        <v>15630</v>
      </c>
      <c r="AM246" s="325"/>
      <c r="AN246" s="325"/>
      <c r="AO246" s="325"/>
      <c r="AP246" s="325"/>
      <c r="AQ246" s="190" t="s">
        <v>398</v>
      </c>
      <c r="AR246" s="844">
        <f>AR242</f>
        <v>0.85</v>
      </c>
      <c r="AS246" s="844"/>
      <c r="AT246" s="501"/>
      <c r="AU246" s="502"/>
      <c r="AV246" s="844">
        <f>AV238</f>
        <v>0.8</v>
      </c>
      <c r="AW246" s="844"/>
      <c r="AX246" s="844"/>
      <c r="AY246" s="845"/>
      <c r="AZ246" s="489">
        <f>ROUND(ROUND(ROUND(ROUND(Q240*AJ246,0)*AR246,0)*$AT$208,0)*AV246,0)</f>
        <v>77</v>
      </c>
      <c r="BA246" s="393"/>
    </row>
    <row r="247" spans="1:53" ht="16.5" customHeight="1" x14ac:dyDescent="0.15">
      <c r="A247" s="340">
        <v>12</v>
      </c>
      <c r="B247" s="341">
        <v>8117</v>
      </c>
      <c r="C247" s="390" t="s">
        <v>17121</v>
      </c>
      <c r="D247" s="403"/>
      <c r="E247" s="404"/>
      <c r="F247" s="404"/>
      <c r="G247" s="404"/>
      <c r="H247" s="406"/>
      <c r="I247" s="908" t="s">
        <v>16345</v>
      </c>
      <c r="J247" s="909"/>
      <c r="K247" s="909"/>
      <c r="L247" s="909"/>
      <c r="M247" s="909"/>
      <c r="N247" s="909"/>
      <c r="O247" s="909"/>
      <c r="P247" s="909"/>
      <c r="Q247" s="909"/>
      <c r="R247" s="909"/>
      <c r="S247" s="909"/>
      <c r="T247" s="909"/>
      <c r="U247" s="910"/>
      <c r="V247" s="343"/>
      <c r="W247" s="325"/>
      <c r="X247" s="325"/>
      <c r="Y247" s="325"/>
      <c r="Z247" s="325"/>
      <c r="AA247" s="325"/>
      <c r="AB247" s="325"/>
      <c r="AC247" s="325"/>
      <c r="AD247" s="325"/>
      <c r="AE247" s="325"/>
      <c r="AF247" s="325"/>
      <c r="AG247" s="325"/>
      <c r="AH247" s="325"/>
      <c r="AI247" s="391"/>
      <c r="AJ247" s="401"/>
      <c r="AK247" s="402"/>
      <c r="AL247" s="396"/>
      <c r="AM247" s="396"/>
      <c r="AN247" s="396"/>
      <c r="AO247" s="396"/>
      <c r="AP247" s="396"/>
      <c r="AQ247" s="396"/>
      <c r="AR247" s="396"/>
      <c r="AS247" s="396"/>
      <c r="AT247" s="490"/>
      <c r="AU247" s="387"/>
      <c r="AV247" s="400"/>
      <c r="AW247" s="400"/>
      <c r="AX247" s="396"/>
      <c r="AY247" s="397"/>
      <c r="AZ247" s="489">
        <f>ROUND(Q248*$AT$208,0)</f>
        <v>115</v>
      </c>
      <c r="BA247" s="393"/>
    </row>
    <row r="248" spans="1:53" ht="16.5" customHeight="1" x14ac:dyDescent="0.15">
      <c r="A248" s="340">
        <v>12</v>
      </c>
      <c r="B248" s="341">
        <v>8118</v>
      </c>
      <c r="C248" s="390" t="s">
        <v>17122</v>
      </c>
      <c r="D248" s="403"/>
      <c r="E248" s="404"/>
      <c r="F248" s="404"/>
      <c r="G248" s="404"/>
      <c r="H248" s="406"/>
      <c r="Q248" s="836">
        <f>'2重度訪問'!U128</f>
        <v>92</v>
      </c>
      <c r="R248" s="911"/>
      <c r="S248" s="911"/>
      <c r="T248" s="152" t="s">
        <v>15624</v>
      </c>
      <c r="U248" s="387"/>
      <c r="V248" s="343" t="s">
        <v>15625</v>
      </c>
      <c r="W248" s="325"/>
      <c r="X248" s="325"/>
      <c r="Y248" s="325"/>
      <c r="Z248" s="325"/>
      <c r="AA248" s="325"/>
      <c r="AB248" s="325"/>
      <c r="AC248" s="325"/>
      <c r="AD248" s="325"/>
      <c r="AE248" s="325"/>
      <c r="AF248" s="325"/>
      <c r="AG248" s="325"/>
      <c r="AH248" s="325"/>
      <c r="AI248" s="391" t="s">
        <v>15626</v>
      </c>
      <c r="AJ248" s="838">
        <f>AJ246</f>
        <v>1</v>
      </c>
      <c r="AK248" s="839"/>
      <c r="AL248" s="325"/>
      <c r="AM248" s="325"/>
      <c r="AN248" s="325"/>
      <c r="AO248" s="325"/>
      <c r="AP248" s="325"/>
      <c r="AQ248" s="325"/>
      <c r="AR248" s="325"/>
      <c r="AS248" s="325"/>
      <c r="AT248" s="490"/>
      <c r="AU248" s="387"/>
      <c r="AY248" s="387"/>
      <c r="AZ248" s="489">
        <f>ROUND(ROUND(Q248*AJ248,0)*$AT$208,0)</f>
        <v>115</v>
      </c>
      <c r="BA248" s="393"/>
    </row>
    <row r="249" spans="1:53" ht="16.5" customHeight="1" x14ac:dyDescent="0.15">
      <c r="A249" s="340">
        <v>12</v>
      </c>
      <c r="B249" s="341">
        <v>8119</v>
      </c>
      <c r="C249" s="390" t="s">
        <v>17123</v>
      </c>
      <c r="D249" s="403"/>
      <c r="E249" s="404"/>
      <c r="F249" s="404"/>
      <c r="G249" s="404"/>
      <c r="H249" s="406"/>
      <c r="Q249" s="395"/>
      <c r="R249" s="151"/>
      <c r="S249" s="151"/>
      <c r="U249" s="387"/>
      <c r="V249" s="343"/>
      <c r="W249" s="343"/>
      <c r="X249" s="343"/>
      <c r="Y249" s="343"/>
      <c r="Z249" s="343"/>
      <c r="AA249" s="343"/>
      <c r="AB249" s="343"/>
      <c r="AC249" s="343"/>
      <c r="AD249" s="343"/>
      <c r="AE249" s="343"/>
      <c r="AF249" s="343"/>
      <c r="AG249" s="343"/>
      <c r="AH249" s="343"/>
      <c r="AI249" s="343"/>
      <c r="AJ249" s="343"/>
      <c r="AK249" s="343"/>
      <c r="AL249" s="114" t="s">
        <v>15628</v>
      </c>
      <c r="AM249" s="396"/>
      <c r="AN249" s="396"/>
      <c r="AO249" s="396"/>
      <c r="AP249" s="396"/>
      <c r="AQ249" s="396"/>
      <c r="AR249" s="396"/>
      <c r="AS249" s="396"/>
      <c r="AT249" s="490"/>
      <c r="AU249" s="387"/>
      <c r="AY249" s="387"/>
      <c r="AZ249" s="489">
        <f>ROUND(ROUND(Q248*AR250,0)*$AT$208,0)</f>
        <v>98</v>
      </c>
      <c r="BA249" s="393"/>
    </row>
    <row r="250" spans="1:53" ht="16.5" customHeight="1" x14ac:dyDescent="0.15">
      <c r="A250" s="340">
        <v>12</v>
      </c>
      <c r="B250" s="341">
        <v>8120</v>
      </c>
      <c r="C250" s="390" t="s">
        <v>17124</v>
      </c>
      <c r="D250" s="403"/>
      <c r="E250" s="404"/>
      <c r="F250" s="404"/>
      <c r="G250" s="404"/>
      <c r="H250" s="406"/>
      <c r="Q250" s="395"/>
      <c r="R250" s="151"/>
      <c r="S250" s="151"/>
      <c r="U250" s="387"/>
      <c r="V250" s="343" t="s">
        <v>15625</v>
      </c>
      <c r="W250" s="325"/>
      <c r="X250" s="325"/>
      <c r="Y250" s="325"/>
      <c r="Z250" s="325"/>
      <c r="AA250" s="325"/>
      <c r="AB250" s="325"/>
      <c r="AC250" s="325"/>
      <c r="AD250" s="325"/>
      <c r="AE250" s="325"/>
      <c r="AF250" s="325"/>
      <c r="AG250" s="325"/>
      <c r="AH250" s="325"/>
      <c r="AI250" s="391" t="s">
        <v>15626</v>
      </c>
      <c r="AJ250" s="838">
        <f>AJ248</f>
        <v>1</v>
      </c>
      <c r="AK250" s="843"/>
      <c r="AL250" s="324" t="s">
        <v>15630</v>
      </c>
      <c r="AM250" s="325"/>
      <c r="AN250" s="325"/>
      <c r="AO250" s="325"/>
      <c r="AP250" s="325"/>
      <c r="AQ250" s="190" t="s">
        <v>398</v>
      </c>
      <c r="AR250" s="844">
        <f>AR246</f>
        <v>0.85</v>
      </c>
      <c r="AS250" s="844"/>
      <c r="AT250" s="501"/>
      <c r="AU250" s="502"/>
      <c r="AY250" s="387"/>
      <c r="AZ250" s="489">
        <f>ROUND(ROUND(ROUND(Q248*AJ250,0)*AR250,0)*$AT$208,0)</f>
        <v>98</v>
      </c>
      <c r="BA250" s="393"/>
    </row>
    <row r="251" spans="1:53" ht="16.5" customHeight="1" x14ac:dyDescent="0.15">
      <c r="A251" s="340">
        <v>12</v>
      </c>
      <c r="B251" s="341">
        <v>8121</v>
      </c>
      <c r="C251" s="390" t="s">
        <v>17125</v>
      </c>
      <c r="D251" s="403"/>
      <c r="E251" s="404"/>
      <c r="F251" s="404"/>
      <c r="G251" s="404"/>
      <c r="H251" s="406"/>
      <c r="I251" s="10"/>
      <c r="Q251" s="395"/>
      <c r="R251" s="151"/>
      <c r="S251" s="151"/>
      <c r="U251" s="387"/>
      <c r="V251" s="343"/>
      <c r="W251" s="325"/>
      <c r="X251" s="325"/>
      <c r="Y251" s="325"/>
      <c r="Z251" s="325"/>
      <c r="AA251" s="325"/>
      <c r="AB251" s="325"/>
      <c r="AC251" s="325"/>
      <c r="AD251" s="325"/>
      <c r="AE251" s="325"/>
      <c r="AF251" s="325"/>
      <c r="AG251" s="325"/>
      <c r="AH251" s="325"/>
      <c r="AI251" s="391"/>
      <c r="AJ251" s="401"/>
      <c r="AK251" s="402"/>
      <c r="AL251" s="396"/>
      <c r="AM251" s="396"/>
      <c r="AN251" s="396"/>
      <c r="AO251" s="396"/>
      <c r="AP251" s="396"/>
      <c r="AQ251" s="396"/>
      <c r="AR251" s="396"/>
      <c r="AS251" s="396"/>
      <c r="AT251" s="490"/>
      <c r="AU251" s="387"/>
      <c r="AV251" s="858" t="s">
        <v>16296</v>
      </c>
      <c r="AW251" s="858"/>
      <c r="AX251" s="858"/>
      <c r="AY251" s="860"/>
      <c r="AZ251" s="489">
        <f>ROUND(ROUND(Q248*$AT$208,0)*AV254,0)</f>
        <v>92</v>
      </c>
      <c r="BA251" s="393"/>
    </row>
    <row r="252" spans="1:53" ht="16.5" customHeight="1" x14ac:dyDescent="0.15">
      <c r="A252" s="340">
        <v>12</v>
      </c>
      <c r="B252" s="341">
        <v>8122</v>
      </c>
      <c r="C252" s="390" t="s">
        <v>17126</v>
      </c>
      <c r="D252" s="403"/>
      <c r="E252" s="404"/>
      <c r="F252" s="404"/>
      <c r="G252" s="404"/>
      <c r="H252" s="406"/>
      <c r="Q252" s="899"/>
      <c r="R252" s="899"/>
      <c r="S252" s="899"/>
      <c r="U252" s="387"/>
      <c r="V252" s="343" t="s">
        <v>15625</v>
      </c>
      <c r="W252" s="325"/>
      <c r="X252" s="325"/>
      <c r="Y252" s="325"/>
      <c r="Z252" s="325"/>
      <c r="AA252" s="325"/>
      <c r="AB252" s="325"/>
      <c r="AC252" s="325"/>
      <c r="AD252" s="325"/>
      <c r="AE252" s="325"/>
      <c r="AF252" s="325"/>
      <c r="AG252" s="325"/>
      <c r="AH252" s="325"/>
      <c r="AI252" s="391" t="s">
        <v>15626</v>
      </c>
      <c r="AJ252" s="838">
        <f>AJ250</f>
        <v>1</v>
      </c>
      <c r="AK252" s="839"/>
      <c r="AL252" s="325"/>
      <c r="AM252" s="325"/>
      <c r="AN252" s="325"/>
      <c r="AO252" s="325"/>
      <c r="AP252" s="325"/>
      <c r="AQ252" s="325"/>
      <c r="AR252" s="325"/>
      <c r="AS252" s="325"/>
      <c r="AT252" s="490"/>
      <c r="AU252" s="387"/>
      <c r="AV252" s="850"/>
      <c r="AW252" s="850"/>
      <c r="AX252" s="850"/>
      <c r="AY252" s="852"/>
      <c r="AZ252" s="489">
        <f>ROUND(ROUND(ROUND(Q248*AJ252,0)*$AT$208,0)*AV254,0)</f>
        <v>92</v>
      </c>
      <c r="BA252" s="393"/>
    </row>
    <row r="253" spans="1:53" ht="16.5" customHeight="1" x14ac:dyDescent="0.15">
      <c r="A253" s="340">
        <v>12</v>
      </c>
      <c r="B253" s="341">
        <v>8123</v>
      </c>
      <c r="C253" s="390" t="s">
        <v>17127</v>
      </c>
      <c r="D253" s="403"/>
      <c r="E253" s="404"/>
      <c r="F253" s="404"/>
      <c r="G253" s="404"/>
      <c r="H253" s="406"/>
      <c r="Q253" s="395"/>
      <c r="R253" s="151"/>
      <c r="S253" s="151"/>
      <c r="U253" s="387"/>
      <c r="V253" s="343"/>
      <c r="W253" s="343"/>
      <c r="X253" s="343"/>
      <c r="Y253" s="343"/>
      <c r="Z253" s="343"/>
      <c r="AA253" s="343"/>
      <c r="AB253" s="343"/>
      <c r="AC253" s="343"/>
      <c r="AD253" s="343"/>
      <c r="AE253" s="343"/>
      <c r="AF253" s="343"/>
      <c r="AG253" s="343"/>
      <c r="AH253" s="343"/>
      <c r="AI253" s="343"/>
      <c r="AJ253" s="343"/>
      <c r="AK253" s="343"/>
      <c r="AL253" s="114" t="s">
        <v>15628</v>
      </c>
      <c r="AM253" s="396"/>
      <c r="AN253" s="396"/>
      <c r="AO253" s="396"/>
      <c r="AP253" s="396"/>
      <c r="AQ253" s="396"/>
      <c r="AR253" s="396"/>
      <c r="AS253" s="396"/>
      <c r="AT253" s="490"/>
      <c r="AU253" s="387"/>
      <c r="AV253" s="902" t="s">
        <v>15636</v>
      </c>
      <c r="AW253" s="902"/>
      <c r="AX253" s="902"/>
      <c r="AY253" s="903"/>
      <c r="AZ253" s="489">
        <f>ROUND(ROUND(ROUND(Q248*AR254,0)*$AT$208,0)*AV254,0)</f>
        <v>78</v>
      </c>
      <c r="BA253" s="393"/>
    </row>
    <row r="254" spans="1:53" ht="16.5" customHeight="1" x14ac:dyDescent="0.15">
      <c r="A254" s="340">
        <v>12</v>
      </c>
      <c r="B254" s="341">
        <v>8124</v>
      </c>
      <c r="C254" s="390" t="s">
        <v>17128</v>
      </c>
      <c r="D254" s="403"/>
      <c r="E254" s="404"/>
      <c r="F254" s="404"/>
      <c r="G254" s="404"/>
      <c r="H254" s="406"/>
      <c r="Q254" s="395"/>
      <c r="R254" s="151"/>
      <c r="S254" s="151"/>
      <c r="U254" s="387"/>
      <c r="V254" s="343" t="s">
        <v>15625</v>
      </c>
      <c r="W254" s="325"/>
      <c r="X254" s="325"/>
      <c r="Y254" s="325"/>
      <c r="Z254" s="325"/>
      <c r="AA254" s="325"/>
      <c r="AB254" s="325"/>
      <c r="AC254" s="325"/>
      <c r="AD254" s="325"/>
      <c r="AE254" s="325"/>
      <c r="AF254" s="325"/>
      <c r="AG254" s="325"/>
      <c r="AH254" s="325"/>
      <c r="AI254" s="391" t="s">
        <v>15626</v>
      </c>
      <c r="AJ254" s="838">
        <f>AJ252</f>
        <v>1</v>
      </c>
      <c r="AK254" s="843"/>
      <c r="AL254" s="324" t="s">
        <v>15630</v>
      </c>
      <c r="AM254" s="325"/>
      <c r="AN254" s="325"/>
      <c r="AO254" s="325"/>
      <c r="AP254" s="325"/>
      <c r="AQ254" s="190" t="s">
        <v>398</v>
      </c>
      <c r="AR254" s="844">
        <f>AR250</f>
        <v>0.85</v>
      </c>
      <c r="AS254" s="844"/>
      <c r="AT254" s="501"/>
      <c r="AU254" s="502"/>
      <c r="AV254" s="844">
        <f>AV246</f>
        <v>0.8</v>
      </c>
      <c r="AW254" s="844"/>
      <c r="AX254" s="844"/>
      <c r="AY254" s="845"/>
      <c r="AZ254" s="489">
        <f>ROUND(ROUND(ROUND(ROUND(Q248*AJ254,0)*AR254,0)*$AT$208,0)*AV254,0)</f>
        <v>78</v>
      </c>
      <c r="BA254" s="393"/>
    </row>
    <row r="255" spans="1:53" ht="17.100000000000001" customHeight="1" x14ac:dyDescent="0.15">
      <c r="A255" s="340">
        <v>12</v>
      </c>
      <c r="B255" s="341">
        <v>8125</v>
      </c>
      <c r="C255" s="390" t="s">
        <v>17129</v>
      </c>
      <c r="D255" s="403"/>
      <c r="E255" s="404"/>
      <c r="F255" s="404"/>
      <c r="G255" s="404"/>
      <c r="H255" s="406"/>
      <c r="I255" s="908" t="s">
        <v>16354</v>
      </c>
      <c r="J255" s="909"/>
      <c r="K255" s="909"/>
      <c r="L255" s="909"/>
      <c r="M255" s="909"/>
      <c r="N255" s="909"/>
      <c r="O255" s="909"/>
      <c r="P255" s="909"/>
      <c r="Q255" s="909"/>
      <c r="R255" s="909"/>
      <c r="S255" s="909"/>
      <c r="T255" s="909"/>
      <c r="U255" s="910"/>
      <c r="V255" s="343"/>
      <c r="W255" s="343"/>
      <c r="X255" s="343"/>
      <c r="Y255" s="343"/>
      <c r="Z255" s="343"/>
      <c r="AA255" s="343"/>
      <c r="AB255" s="343"/>
      <c r="AC255" s="343"/>
      <c r="AD255" s="343"/>
      <c r="AE255" s="343"/>
      <c r="AF255" s="343"/>
      <c r="AG255" s="343"/>
      <c r="AH255" s="343"/>
      <c r="AI255" s="343"/>
      <c r="AJ255" s="401"/>
      <c r="AK255" s="402"/>
      <c r="AL255" s="396"/>
      <c r="AM255" s="396"/>
      <c r="AN255" s="396"/>
      <c r="AO255" s="396"/>
      <c r="AP255" s="396"/>
      <c r="AQ255" s="396"/>
      <c r="AR255" s="396"/>
      <c r="AS255" s="396"/>
      <c r="AT255" s="490"/>
      <c r="AU255" s="387"/>
      <c r="AV255" s="400"/>
      <c r="AW255" s="400"/>
      <c r="AX255" s="396"/>
      <c r="AY255" s="397"/>
      <c r="AZ255" s="489">
        <f>ROUND(Q256*$AT$208,0)</f>
        <v>106</v>
      </c>
      <c r="BA255" s="393"/>
    </row>
    <row r="256" spans="1:53" ht="16.5" customHeight="1" x14ac:dyDescent="0.15">
      <c r="A256" s="340">
        <v>12</v>
      </c>
      <c r="B256" s="341">
        <v>8126</v>
      </c>
      <c r="C256" s="390" t="s">
        <v>17130</v>
      </c>
      <c r="D256" s="403"/>
      <c r="E256" s="404"/>
      <c r="F256" s="404"/>
      <c r="G256" s="404"/>
      <c r="H256" s="406"/>
      <c r="Q256" s="836">
        <f>'2重度訪問'!U132</f>
        <v>85</v>
      </c>
      <c r="R256" s="911"/>
      <c r="S256" s="911"/>
      <c r="T256" s="152" t="s">
        <v>15624</v>
      </c>
      <c r="U256" s="387"/>
      <c r="V256" s="343" t="s">
        <v>15625</v>
      </c>
      <c r="W256" s="325"/>
      <c r="X256" s="325"/>
      <c r="Y256" s="325"/>
      <c r="Z256" s="325"/>
      <c r="AA256" s="325"/>
      <c r="AB256" s="325"/>
      <c r="AC256" s="325"/>
      <c r="AD256" s="325"/>
      <c r="AE256" s="325"/>
      <c r="AF256" s="325"/>
      <c r="AG256" s="325"/>
      <c r="AH256" s="325"/>
      <c r="AI256" s="391" t="s">
        <v>15626</v>
      </c>
      <c r="AJ256" s="838">
        <f>AJ254</f>
        <v>1</v>
      </c>
      <c r="AK256" s="839"/>
      <c r="AL256" s="325"/>
      <c r="AM256" s="325"/>
      <c r="AN256" s="325"/>
      <c r="AO256" s="325"/>
      <c r="AP256" s="325"/>
      <c r="AQ256" s="325"/>
      <c r="AR256" s="325"/>
      <c r="AS256" s="391"/>
      <c r="AT256" s="503"/>
      <c r="AU256" s="504"/>
      <c r="AY256" s="387"/>
      <c r="AZ256" s="489">
        <f>ROUND(ROUND(Q256*AJ256,0)*$AT$208,0)</f>
        <v>106</v>
      </c>
      <c r="BA256" s="393"/>
    </row>
    <row r="257" spans="1:53" ht="16.5" customHeight="1" x14ac:dyDescent="0.15">
      <c r="A257" s="340">
        <v>12</v>
      </c>
      <c r="B257" s="341">
        <v>8127</v>
      </c>
      <c r="C257" s="390" t="s">
        <v>17131</v>
      </c>
      <c r="D257" s="403"/>
      <c r="E257" s="404"/>
      <c r="F257" s="404"/>
      <c r="G257" s="404"/>
      <c r="H257" s="406"/>
      <c r="Q257" s="395"/>
      <c r="R257" s="151"/>
      <c r="S257" s="151"/>
      <c r="U257" s="387"/>
      <c r="V257" s="343"/>
      <c r="W257" s="343"/>
      <c r="X257" s="343"/>
      <c r="Y257" s="343"/>
      <c r="Z257" s="343"/>
      <c r="AA257" s="343"/>
      <c r="AB257" s="343"/>
      <c r="AC257" s="343"/>
      <c r="AD257" s="343"/>
      <c r="AE257" s="343"/>
      <c r="AF257" s="343"/>
      <c r="AG257" s="343"/>
      <c r="AH257" s="343"/>
      <c r="AI257" s="343"/>
      <c r="AJ257" s="343"/>
      <c r="AK257" s="343"/>
      <c r="AL257" s="114" t="s">
        <v>15628</v>
      </c>
      <c r="AM257" s="396"/>
      <c r="AN257" s="396"/>
      <c r="AO257" s="396"/>
      <c r="AP257" s="396"/>
      <c r="AQ257" s="396"/>
      <c r="AR257" s="396"/>
      <c r="AS257" s="396"/>
      <c r="AT257" s="490"/>
      <c r="AU257" s="387"/>
      <c r="AY257" s="387"/>
      <c r="AZ257" s="489">
        <f>ROUND(ROUND(Q256*AR258,0)*$AT$208,0)</f>
        <v>90</v>
      </c>
      <c r="BA257" s="393"/>
    </row>
    <row r="258" spans="1:53" ht="16.5" customHeight="1" x14ac:dyDescent="0.15">
      <c r="A258" s="340">
        <v>12</v>
      </c>
      <c r="B258" s="341">
        <v>8128</v>
      </c>
      <c r="C258" s="390" t="s">
        <v>17132</v>
      </c>
      <c r="D258" s="403"/>
      <c r="E258" s="404"/>
      <c r="F258" s="404"/>
      <c r="G258" s="404"/>
      <c r="H258" s="406"/>
      <c r="Q258" s="395"/>
      <c r="R258" s="151"/>
      <c r="S258" s="151"/>
      <c r="U258" s="387"/>
      <c r="V258" s="343" t="s">
        <v>15625</v>
      </c>
      <c r="W258" s="325"/>
      <c r="X258" s="325"/>
      <c r="Y258" s="325"/>
      <c r="Z258" s="325"/>
      <c r="AA258" s="325"/>
      <c r="AB258" s="325"/>
      <c r="AC258" s="325"/>
      <c r="AD258" s="325"/>
      <c r="AE258" s="325"/>
      <c r="AF258" s="325"/>
      <c r="AG258" s="325"/>
      <c r="AH258" s="325"/>
      <c r="AI258" s="391" t="s">
        <v>15626</v>
      </c>
      <c r="AJ258" s="838">
        <f>AJ256</f>
        <v>1</v>
      </c>
      <c r="AK258" s="843"/>
      <c r="AL258" s="324" t="s">
        <v>15630</v>
      </c>
      <c r="AM258" s="325"/>
      <c r="AN258" s="325"/>
      <c r="AO258" s="325"/>
      <c r="AP258" s="325"/>
      <c r="AQ258" s="190" t="s">
        <v>398</v>
      </c>
      <c r="AR258" s="844">
        <f>AR254</f>
        <v>0.85</v>
      </c>
      <c r="AS258" s="844"/>
      <c r="AT258" s="501"/>
      <c r="AU258" s="502"/>
      <c r="AY258" s="387"/>
      <c r="AZ258" s="489">
        <f>ROUND(ROUND(ROUND(Q256*AJ258,0)*AR258,0)*$AT$208,0)</f>
        <v>90</v>
      </c>
      <c r="BA258" s="393"/>
    </row>
    <row r="259" spans="1:53" ht="17.100000000000001" customHeight="1" x14ac:dyDescent="0.15">
      <c r="A259" s="340">
        <v>12</v>
      </c>
      <c r="B259" s="341">
        <v>8129</v>
      </c>
      <c r="C259" s="390" t="s">
        <v>17133</v>
      </c>
      <c r="D259" s="403"/>
      <c r="E259" s="404"/>
      <c r="F259" s="404"/>
      <c r="G259" s="404"/>
      <c r="H259" s="406"/>
      <c r="I259" s="10"/>
      <c r="L259" s="151"/>
      <c r="M259" s="151"/>
      <c r="N259" s="151"/>
      <c r="U259" s="387"/>
      <c r="V259" s="343"/>
      <c r="W259" s="343"/>
      <c r="X259" s="343"/>
      <c r="Y259" s="343"/>
      <c r="Z259" s="343"/>
      <c r="AA259" s="343"/>
      <c r="AB259" s="343"/>
      <c r="AC259" s="343"/>
      <c r="AD259" s="343"/>
      <c r="AE259" s="343"/>
      <c r="AF259" s="343"/>
      <c r="AG259" s="343"/>
      <c r="AH259" s="343"/>
      <c r="AI259" s="343"/>
      <c r="AJ259" s="401"/>
      <c r="AK259" s="402"/>
      <c r="AL259" s="396"/>
      <c r="AM259" s="396"/>
      <c r="AN259" s="396"/>
      <c r="AO259" s="396"/>
      <c r="AP259" s="396"/>
      <c r="AQ259" s="396"/>
      <c r="AR259" s="396"/>
      <c r="AS259" s="396"/>
      <c r="AT259" s="490"/>
      <c r="AU259" s="387"/>
      <c r="AV259" s="858" t="s">
        <v>16296</v>
      </c>
      <c r="AW259" s="858"/>
      <c r="AX259" s="858"/>
      <c r="AY259" s="860"/>
      <c r="AZ259" s="489">
        <f>ROUND(ROUND(Q256*$AT$208,0)*AV262,0)</f>
        <v>85</v>
      </c>
      <c r="BA259" s="393"/>
    </row>
    <row r="260" spans="1:53" ht="16.5" customHeight="1" x14ac:dyDescent="0.15">
      <c r="A260" s="340">
        <v>12</v>
      </c>
      <c r="B260" s="341">
        <v>8130</v>
      </c>
      <c r="C260" s="390" t="s">
        <v>17134</v>
      </c>
      <c r="D260" s="403"/>
      <c r="E260" s="404"/>
      <c r="F260" s="404"/>
      <c r="G260" s="404"/>
      <c r="H260" s="406"/>
      <c r="Q260" s="899"/>
      <c r="R260" s="899"/>
      <c r="S260" s="899"/>
      <c r="U260" s="387"/>
      <c r="V260" s="343" t="s">
        <v>15625</v>
      </c>
      <c r="W260" s="325"/>
      <c r="X260" s="325"/>
      <c r="Y260" s="325"/>
      <c r="Z260" s="325"/>
      <c r="AA260" s="325"/>
      <c r="AB260" s="325"/>
      <c r="AC260" s="325"/>
      <c r="AD260" s="325"/>
      <c r="AE260" s="325"/>
      <c r="AF260" s="325"/>
      <c r="AG260" s="325"/>
      <c r="AH260" s="325"/>
      <c r="AI260" s="391" t="s">
        <v>15626</v>
      </c>
      <c r="AJ260" s="838">
        <f>AJ258</f>
        <v>1</v>
      </c>
      <c r="AK260" s="839"/>
      <c r="AL260" s="325"/>
      <c r="AM260" s="325"/>
      <c r="AN260" s="325"/>
      <c r="AO260" s="325"/>
      <c r="AP260" s="325"/>
      <c r="AQ260" s="325"/>
      <c r="AR260" s="325"/>
      <c r="AS260" s="391"/>
      <c r="AT260" s="503"/>
      <c r="AU260" s="504"/>
      <c r="AV260" s="850"/>
      <c r="AW260" s="850"/>
      <c r="AX260" s="850"/>
      <c r="AY260" s="852"/>
      <c r="AZ260" s="489">
        <f>ROUND(ROUND(ROUND(Q256*AJ260,0)*$AT$208,0)*AV262,0)</f>
        <v>85</v>
      </c>
      <c r="BA260" s="393"/>
    </row>
    <row r="261" spans="1:53" ht="16.5" customHeight="1" x14ac:dyDescent="0.15">
      <c r="A261" s="340">
        <v>12</v>
      </c>
      <c r="B261" s="341">
        <v>8131</v>
      </c>
      <c r="C261" s="390" t="s">
        <v>17135</v>
      </c>
      <c r="D261" s="403"/>
      <c r="E261" s="404"/>
      <c r="F261" s="404"/>
      <c r="G261" s="404"/>
      <c r="H261" s="406"/>
      <c r="Q261" s="395"/>
      <c r="R261" s="151"/>
      <c r="S261" s="151"/>
      <c r="U261" s="387"/>
      <c r="V261" s="343"/>
      <c r="W261" s="343"/>
      <c r="X261" s="343"/>
      <c r="Y261" s="343"/>
      <c r="Z261" s="343"/>
      <c r="AA261" s="343"/>
      <c r="AB261" s="343"/>
      <c r="AC261" s="343"/>
      <c r="AD261" s="343"/>
      <c r="AE261" s="343"/>
      <c r="AF261" s="343"/>
      <c r="AG261" s="343"/>
      <c r="AH261" s="343"/>
      <c r="AI261" s="343"/>
      <c r="AJ261" s="343"/>
      <c r="AK261" s="343"/>
      <c r="AL261" s="114" t="s">
        <v>15628</v>
      </c>
      <c r="AM261" s="396"/>
      <c r="AN261" s="396"/>
      <c r="AO261" s="396"/>
      <c r="AP261" s="396"/>
      <c r="AQ261" s="396"/>
      <c r="AR261" s="396"/>
      <c r="AS261" s="396"/>
      <c r="AT261" s="490"/>
      <c r="AU261" s="387"/>
      <c r="AV261" s="902" t="s">
        <v>15636</v>
      </c>
      <c r="AW261" s="902"/>
      <c r="AX261" s="902"/>
      <c r="AY261" s="903"/>
      <c r="AZ261" s="489">
        <f>ROUND(ROUND(ROUND(Q256*AR262,0)*$AT$208,0)*AV262,0)</f>
        <v>72</v>
      </c>
      <c r="BA261" s="393"/>
    </row>
    <row r="262" spans="1:53" ht="16.5" customHeight="1" x14ac:dyDescent="0.15">
      <c r="A262" s="340">
        <v>12</v>
      </c>
      <c r="B262" s="341">
        <v>8132</v>
      </c>
      <c r="C262" s="390" t="s">
        <v>17136</v>
      </c>
      <c r="D262" s="403"/>
      <c r="E262" s="404"/>
      <c r="F262" s="404"/>
      <c r="G262" s="404"/>
      <c r="H262" s="406"/>
      <c r="Q262" s="395"/>
      <c r="R262" s="151"/>
      <c r="S262" s="151"/>
      <c r="U262" s="387"/>
      <c r="V262" s="343" t="s">
        <v>15625</v>
      </c>
      <c r="W262" s="325"/>
      <c r="X262" s="325"/>
      <c r="Y262" s="325"/>
      <c r="Z262" s="325"/>
      <c r="AA262" s="325"/>
      <c r="AB262" s="325"/>
      <c r="AC262" s="325"/>
      <c r="AD262" s="325"/>
      <c r="AE262" s="325"/>
      <c r="AF262" s="325"/>
      <c r="AG262" s="325"/>
      <c r="AH262" s="325"/>
      <c r="AI262" s="391" t="s">
        <v>15626</v>
      </c>
      <c r="AJ262" s="838">
        <f>AJ260</f>
        <v>1</v>
      </c>
      <c r="AK262" s="843"/>
      <c r="AL262" s="324" t="s">
        <v>15630</v>
      </c>
      <c r="AM262" s="325"/>
      <c r="AN262" s="325"/>
      <c r="AO262" s="325"/>
      <c r="AP262" s="325"/>
      <c r="AQ262" s="190" t="s">
        <v>398</v>
      </c>
      <c r="AR262" s="844">
        <f>AR258</f>
        <v>0.85</v>
      </c>
      <c r="AS262" s="844"/>
      <c r="AT262" s="501"/>
      <c r="AU262" s="502"/>
      <c r="AV262" s="844">
        <f>AV254</f>
        <v>0.8</v>
      </c>
      <c r="AW262" s="844"/>
      <c r="AX262" s="844"/>
      <c r="AY262" s="845"/>
      <c r="AZ262" s="489">
        <f>ROUND(ROUND(ROUND(ROUND(Q256*AJ262,0)*AR262,0)*$AT$208,0)*AV262,0)</f>
        <v>72</v>
      </c>
      <c r="BA262" s="393"/>
    </row>
    <row r="263" spans="1:53" ht="17.100000000000001" customHeight="1" x14ac:dyDescent="0.15">
      <c r="A263" s="340">
        <v>12</v>
      </c>
      <c r="B263" s="341">
        <v>8133</v>
      </c>
      <c r="C263" s="390" t="s">
        <v>17137</v>
      </c>
      <c r="D263" s="403"/>
      <c r="E263" s="404"/>
      <c r="F263" s="404"/>
      <c r="G263" s="404"/>
      <c r="H263" s="406"/>
      <c r="I263" s="908" t="s">
        <v>16363</v>
      </c>
      <c r="J263" s="909"/>
      <c r="K263" s="909"/>
      <c r="L263" s="909"/>
      <c r="M263" s="909"/>
      <c r="N263" s="909"/>
      <c r="O263" s="909"/>
      <c r="P263" s="909"/>
      <c r="Q263" s="909"/>
      <c r="R263" s="909"/>
      <c r="S263" s="909"/>
      <c r="T263" s="909"/>
      <c r="U263" s="910"/>
      <c r="V263" s="343"/>
      <c r="W263" s="343"/>
      <c r="X263" s="343"/>
      <c r="Y263" s="343"/>
      <c r="Z263" s="343"/>
      <c r="AA263" s="343"/>
      <c r="AB263" s="343"/>
      <c r="AC263" s="343"/>
      <c r="AD263" s="343"/>
      <c r="AE263" s="343"/>
      <c r="AF263" s="343"/>
      <c r="AG263" s="343"/>
      <c r="AH263" s="343"/>
      <c r="AI263" s="343"/>
      <c r="AJ263" s="401"/>
      <c r="AK263" s="402"/>
      <c r="AL263" s="396"/>
      <c r="AM263" s="396"/>
      <c r="AN263" s="396"/>
      <c r="AO263" s="396"/>
      <c r="AP263" s="396"/>
      <c r="AQ263" s="396"/>
      <c r="AR263" s="396"/>
      <c r="AS263" s="396"/>
      <c r="AT263" s="490"/>
      <c r="AU263" s="387"/>
      <c r="AV263" s="400"/>
      <c r="AW263" s="400"/>
      <c r="AX263" s="396"/>
      <c r="AY263" s="397"/>
      <c r="AZ263" s="489">
        <f>ROUND(Q264*$AT$208,0)</f>
        <v>106</v>
      </c>
      <c r="BA263" s="393"/>
    </row>
    <row r="264" spans="1:53" ht="16.5" customHeight="1" x14ac:dyDescent="0.15">
      <c r="A264" s="340">
        <v>12</v>
      </c>
      <c r="B264" s="341">
        <v>8134</v>
      </c>
      <c r="C264" s="390" t="s">
        <v>17138</v>
      </c>
      <c r="D264" s="403"/>
      <c r="E264" s="404"/>
      <c r="F264" s="404"/>
      <c r="G264" s="404"/>
      <c r="H264" s="406"/>
      <c r="Q264" s="836">
        <f>'2重度訪問'!U136</f>
        <v>85</v>
      </c>
      <c r="R264" s="911"/>
      <c r="S264" s="911"/>
      <c r="T264" s="152" t="s">
        <v>15624</v>
      </c>
      <c r="U264" s="387"/>
      <c r="V264" s="343" t="s">
        <v>15625</v>
      </c>
      <c r="W264" s="325"/>
      <c r="X264" s="325"/>
      <c r="Y264" s="325"/>
      <c r="Z264" s="325"/>
      <c r="AA264" s="325"/>
      <c r="AB264" s="325"/>
      <c r="AC264" s="325"/>
      <c r="AD264" s="325"/>
      <c r="AE264" s="325"/>
      <c r="AF264" s="325"/>
      <c r="AG264" s="325"/>
      <c r="AH264" s="325"/>
      <c r="AI264" s="391" t="s">
        <v>15626</v>
      </c>
      <c r="AJ264" s="838">
        <f>AJ262</f>
        <v>1</v>
      </c>
      <c r="AK264" s="839"/>
      <c r="AL264" s="325"/>
      <c r="AM264" s="325"/>
      <c r="AN264" s="325"/>
      <c r="AO264" s="325"/>
      <c r="AP264" s="325"/>
      <c r="AQ264" s="325"/>
      <c r="AR264" s="325"/>
      <c r="AS264" s="391"/>
      <c r="AT264" s="503"/>
      <c r="AU264" s="504"/>
      <c r="AY264" s="387"/>
      <c r="AZ264" s="489">
        <f>ROUND(ROUND(Q264*AJ264,0)*$AT$208,0)</f>
        <v>106</v>
      </c>
      <c r="BA264" s="393"/>
    </row>
    <row r="265" spans="1:53" ht="16.5" customHeight="1" x14ac:dyDescent="0.15">
      <c r="A265" s="340">
        <v>12</v>
      </c>
      <c r="B265" s="341">
        <v>8135</v>
      </c>
      <c r="C265" s="390" t="s">
        <v>17139</v>
      </c>
      <c r="D265" s="403"/>
      <c r="E265" s="404"/>
      <c r="F265" s="404"/>
      <c r="G265" s="404"/>
      <c r="H265" s="406"/>
      <c r="Q265" s="395"/>
      <c r="R265" s="151"/>
      <c r="S265" s="151"/>
      <c r="U265" s="387"/>
      <c r="V265" s="343"/>
      <c r="W265" s="343"/>
      <c r="X265" s="343"/>
      <c r="Y265" s="343"/>
      <c r="Z265" s="343"/>
      <c r="AA265" s="343"/>
      <c r="AB265" s="343"/>
      <c r="AC265" s="343"/>
      <c r="AD265" s="343"/>
      <c r="AE265" s="343"/>
      <c r="AF265" s="343"/>
      <c r="AG265" s="343"/>
      <c r="AH265" s="343"/>
      <c r="AI265" s="343"/>
      <c r="AJ265" s="343"/>
      <c r="AK265" s="343"/>
      <c r="AL265" s="114" t="s">
        <v>15628</v>
      </c>
      <c r="AM265" s="396"/>
      <c r="AN265" s="396"/>
      <c r="AO265" s="396"/>
      <c r="AP265" s="396"/>
      <c r="AQ265" s="396"/>
      <c r="AR265" s="396"/>
      <c r="AS265" s="396"/>
      <c r="AT265" s="490"/>
      <c r="AU265" s="387"/>
      <c r="AY265" s="387"/>
      <c r="AZ265" s="489">
        <f>ROUND(ROUND(Q264*AR266,0)*$AT$208,0)</f>
        <v>90</v>
      </c>
      <c r="BA265" s="393"/>
    </row>
    <row r="266" spans="1:53" ht="16.5" customHeight="1" x14ac:dyDescent="0.15">
      <c r="A266" s="340">
        <v>12</v>
      </c>
      <c r="B266" s="341">
        <v>8136</v>
      </c>
      <c r="C266" s="390" t="s">
        <v>17140</v>
      </c>
      <c r="D266" s="403"/>
      <c r="E266" s="404"/>
      <c r="F266" s="404"/>
      <c r="G266" s="404"/>
      <c r="H266" s="406"/>
      <c r="Q266" s="395"/>
      <c r="R266" s="151"/>
      <c r="S266" s="151"/>
      <c r="U266" s="387"/>
      <c r="V266" s="343" t="s">
        <v>15625</v>
      </c>
      <c r="W266" s="325"/>
      <c r="X266" s="325"/>
      <c r="Y266" s="325"/>
      <c r="Z266" s="325"/>
      <c r="AA266" s="325"/>
      <c r="AB266" s="325"/>
      <c r="AC266" s="325"/>
      <c r="AD266" s="325"/>
      <c r="AE266" s="325"/>
      <c r="AF266" s="325"/>
      <c r="AG266" s="325"/>
      <c r="AH266" s="325"/>
      <c r="AI266" s="391" t="s">
        <v>15626</v>
      </c>
      <c r="AJ266" s="838">
        <f>AJ264</f>
        <v>1</v>
      </c>
      <c r="AK266" s="843"/>
      <c r="AL266" s="324" t="s">
        <v>15630</v>
      </c>
      <c r="AM266" s="325"/>
      <c r="AN266" s="325"/>
      <c r="AO266" s="325"/>
      <c r="AP266" s="325"/>
      <c r="AQ266" s="190" t="s">
        <v>398</v>
      </c>
      <c r="AR266" s="844">
        <f>AR262</f>
        <v>0.85</v>
      </c>
      <c r="AS266" s="844"/>
      <c r="AT266" s="501"/>
      <c r="AU266" s="502"/>
      <c r="AY266" s="387"/>
      <c r="AZ266" s="489">
        <f>ROUND(ROUND(ROUND(Q264*AJ266,0)*AR266,0)*$AT$208,0)</f>
        <v>90</v>
      </c>
      <c r="BA266" s="393"/>
    </row>
    <row r="267" spans="1:53" ht="17.100000000000001" customHeight="1" x14ac:dyDescent="0.15">
      <c r="A267" s="340">
        <v>12</v>
      </c>
      <c r="B267" s="341">
        <v>8137</v>
      </c>
      <c r="C267" s="390" t="s">
        <v>17141</v>
      </c>
      <c r="D267" s="403"/>
      <c r="E267" s="404"/>
      <c r="F267" s="404"/>
      <c r="G267" s="404"/>
      <c r="H267" s="406"/>
      <c r="I267" s="10"/>
      <c r="L267" s="151"/>
      <c r="M267" s="151"/>
      <c r="N267" s="151"/>
      <c r="U267" s="387"/>
      <c r="V267" s="343"/>
      <c r="W267" s="343"/>
      <c r="X267" s="343"/>
      <c r="Y267" s="343"/>
      <c r="Z267" s="343"/>
      <c r="AA267" s="343"/>
      <c r="AB267" s="343"/>
      <c r="AC267" s="343"/>
      <c r="AD267" s="343"/>
      <c r="AE267" s="343"/>
      <c r="AF267" s="343"/>
      <c r="AG267" s="343"/>
      <c r="AH267" s="343"/>
      <c r="AI267" s="343"/>
      <c r="AJ267" s="401"/>
      <c r="AK267" s="402"/>
      <c r="AL267" s="396"/>
      <c r="AM267" s="396"/>
      <c r="AN267" s="396"/>
      <c r="AO267" s="396"/>
      <c r="AP267" s="396"/>
      <c r="AQ267" s="396"/>
      <c r="AR267" s="396"/>
      <c r="AS267" s="396"/>
      <c r="AT267" s="490"/>
      <c r="AU267" s="387"/>
      <c r="AV267" s="858" t="s">
        <v>16296</v>
      </c>
      <c r="AW267" s="858"/>
      <c r="AX267" s="858"/>
      <c r="AY267" s="860"/>
      <c r="AZ267" s="489">
        <f>ROUND(ROUND(Q264*$AT$208,0)*AV270,0)</f>
        <v>85</v>
      </c>
      <c r="BA267" s="393"/>
    </row>
    <row r="268" spans="1:53" ht="16.5" customHeight="1" x14ac:dyDescent="0.15">
      <c r="A268" s="340">
        <v>12</v>
      </c>
      <c r="B268" s="341">
        <v>8138</v>
      </c>
      <c r="C268" s="390" t="s">
        <v>17142</v>
      </c>
      <c r="D268" s="403"/>
      <c r="E268" s="404"/>
      <c r="F268" s="404"/>
      <c r="G268" s="404"/>
      <c r="H268" s="406"/>
      <c r="Q268" s="899"/>
      <c r="R268" s="899"/>
      <c r="S268" s="899"/>
      <c r="U268" s="387"/>
      <c r="V268" s="343" t="s">
        <v>15625</v>
      </c>
      <c r="W268" s="325"/>
      <c r="X268" s="325"/>
      <c r="Y268" s="325"/>
      <c r="Z268" s="325"/>
      <c r="AA268" s="325"/>
      <c r="AB268" s="325"/>
      <c r="AC268" s="325"/>
      <c r="AD268" s="325"/>
      <c r="AE268" s="325"/>
      <c r="AF268" s="325"/>
      <c r="AG268" s="325"/>
      <c r="AH268" s="325"/>
      <c r="AI268" s="391" t="s">
        <v>15626</v>
      </c>
      <c r="AJ268" s="838">
        <f>AJ266</f>
        <v>1</v>
      </c>
      <c r="AK268" s="839"/>
      <c r="AL268" s="325"/>
      <c r="AM268" s="325"/>
      <c r="AN268" s="325"/>
      <c r="AO268" s="325"/>
      <c r="AP268" s="325"/>
      <c r="AQ268" s="325"/>
      <c r="AR268" s="325"/>
      <c r="AS268" s="391"/>
      <c r="AT268" s="503"/>
      <c r="AU268" s="504"/>
      <c r="AV268" s="850"/>
      <c r="AW268" s="850"/>
      <c r="AX268" s="850"/>
      <c r="AY268" s="852"/>
      <c r="AZ268" s="489">
        <f>ROUND(ROUND(ROUND(Q264*AJ268,0)*$AT$208,0)*AV270,0)</f>
        <v>85</v>
      </c>
      <c r="BA268" s="393"/>
    </row>
    <row r="269" spans="1:53" ht="16.5" customHeight="1" x14ac:dyDescent="0.15">
      <c r="A269" s="340">
        <v>12</v>
      </c>
      <c r="B269" s="341">
        <v>8139</v>
      </c>
      <c r="C269" s="390" t="s">
        <v>17143</v>
      </c>
      <c r="D269" s="403"/>
      <c r="E269" s="404"/>
      <c r="F269" s="404"/>
      <c r="G269" s="404"/>
      <c r="H269" s="406"/>
      <c r="Q269" s="395"/>
      <c r="R269" s="151"/>
      <c r="S269" s="151"/>
      <c r="U269" s="387"/>
      <c r="V269" s="343"/>
      <c r="W269" s="343"/>
      <c r="X269" s="343"/>
      <c r="Y269" s="343"/>
      <c r="Z269" s="343"/>
      <c r="AA269" s="343"/>
      <c r="AB269" s="343"/>
      <c r="AC269" s="343"/>
      <c r="AD269" s="343"/>
      <c r="AE269" s="343"/>
      <c r="AF269" s="343"/>
      <c r="AG269" s="343"/>
      <c r="AH269" s="343"/>
      <c r="AI269" s="343"/>
      <c r="AJ269" s="343"/>
      <c r="AK269" s="343"/>
      <c r="AL269" s="114" t="s">
        <v>15628</v>
      </c>
      <c r="AM269" s="396"/>
      <c r="AN269" s="396"/>
      <c r="AO269" s="396"/>
      <c r="AP269" s="396"/>
      <c r="AQ269" s="396"/>
      <c r="AR269" s="396"/>
      <c r="AS269" s="396"/>
      <c r="AT269" s="490"/>
      <c r="AU269" s="387"/>
      <c r="AV269" s="902" t="s">
        <v>15636</v>
      </c>
      <c r="AW269" s="902"/>
      <c r="AX269" s="902"/>
      <c r="AY269" s="903"/>
      <c r="AZ269" s="489">
        <f>ROUND(ROUND(ROUND(Q264*AR270,0)*$AT$208,0)*AV270,0)</f>
        <v>72</v>
      </c>
      <c r="BA269" s="393"/>
    </row>
    <row r="270" spans="1:53" ht="16.5" customHeight="1" x14ac:dyDescent="0.15">
      <c r="A270" s="340">
        <v>12</v>
      </c>
      <c r="B270" s="341">
        <v>8140</v>
      </c>
      <c r="C270" s="390" t="s">
        <v>17144</v>
      </c>
      <c r="D270" s="403"/>
      <c r="E270" s="404"/>
      <c r="F270" s="404"/>
      <c r="G270" s="404"/>
      <c r="H270" s="406"/>
      <c r="Q270" s="395"/>
      <c r="R270" s="151"/>
      <c r="S270" s="151"/>
      <c r="U270" s="387"/>
      <c r="V270" s="343" t="s">
        <v>15625</v>
      </c>
      <c r="W270" s="325"/>
      <c r="X270" s="325"/>
      <c r="Y270" s="325"/>
      <c r="Z270" s="325"/>
      <c r="AA270" s="325"/>
      <c r="AB270" s="325"/>
      <c r="AC270" s="325"/>
      <c r="AD270" s="325"/>
      <c r="AE270" s="325"/>
      <c r="AF270" s="325"/>
      <c r="AG270" s="325"/>
      <c r="AH270" s="325"/>
      <c r="AI270" s="391" t="s">
        <v>15626</v>
      </c>
      <c r="AJ270" s="838">
        <f>AJ268</f>
        <v>1</v>
      </c>
      <c r="AK270" s="843"/>
      <c r="AL270" s="324" t="s">
        <v>15630</v>
      </c>
      <c r="AM270" s="325"/>
      <c r="AN270" s="325"/>
      <c r="AO270" s="325"/>
      <c r="AP270" s="325"/>
      <c r="AQ270" s="190" t="s">
        <v>398</v>
      </c>
      <c r="AR270" s="844">
        <f>AR266</f>
        <v>0.85</v>
      </c>
      <c r="AS270" s="844"/>
      <c r="AT270" s="501"/>
      <c r="AU270" s="502"/>
      <c r="AV270" s="844">
        <f>AV262</f>
        <v>0.8</v>
      </c>
      <c r="AW270" s="844"/>
      <c r="AX270" s="844"/>
      <c r="AY270" s="845"/>
      <c r="AZ270" s="489">
        <f>ROUND(ROUND(ROUND(ROUND(Q264*AJ270,0)*AR270,0)*$AT$208,0)*AV270,0)</f>
        <v>72</v>
      </c>
      <c r="BA270" s="393"/>
    </row>
    <row r="271" spans="1:53" ht="17.100000000000001" customHeight="1" x14ac:dyDescent="0.15">
      <c r="A271" s="340">
        <v>12</v>
      </c>
      <c r="B271" s="341">
        <v>8141</v>
      </c>
      <c r="C271" s="390" t="s">
        <v>17145</v>
      </c>
      <c r="D271" s="403"/>
      <c r="E271" s="404"/>
      <c r="F271" s="404"/>
      <c r="G271" s="404"/>
      <c r="H271" s="406"/>
      <c r="I271" s="908" t="s">
        <v>16372</v>
      </c>
      <c r="J271" s="909"/>
      <c r="K271" s="909"/>
      <c r="L271" s="909"/>
      <c r="M271" s="909"/>
      <c r="N271" s="909"/>
      <c r="O271" s="909"/>
      <c r="P271" s="909"/>
      <c r="Q271" s="909"/>
      <c r="R271" s="909"/>
      <c r="S271" s="909"/>
      <c r="T271" s="909"/>
      <c r="U271" s="910"/>
      <c r="V271" s="343"/>
      <c r="W271" s="343"/>
      <c r="X271" s="343"/>
      <c r="Y271" s="343"/>
      <c r="Z271" s="343"/>
      <c r="AA271" s="343"/>
      <c r="AB271" s="343"/>
      <c r="AC271" s="343"/>
      <c r="AD271" s="343"/>
      <c r="AE271" s="343"/>
      <c r="AF271" s="343"/>
      <c r="AG271" s="343"/>
      <c r="AH271" s="343"/>
      <c r="AI271" s="343"/>
      <c r="AJ271" s="401"/>
      <c r="AK271" s="402"/>
      <c r="AL271" s="396"/>
      <c r="AM271" s="396"/>
      <c r="AN271" s="396"/>
      <c r="AO271" s="396"/>
      <c r="AP271" s="396"/>
      <c r="AQ271" s="396"/>
      <c r="AR271" s="396"/>
      <c r="AS271" s="396"/>
      <c r="AT271" s="490"/>
      <c r="AU271" s="387"/>
      <c r="AV271" s="400"/>
      <c r="AW271" s="400"/>
      <c r="AX271" s="396"/>
      <c r="AY271" s="397"/>
      <c r="AZ271" s="489">
        <f>ROUND(Q272*$AT$208,0)</f>
        <v>100</v>
      </c>
      <c r="BA271" s="393"/>
    </row>
    <row r="272" spans="1:53" ht="16.5" customHeight="1" x14ac:dyDescent="0.15">
      <c r="A272" s="340">
        <v>12</v>
      </c>
      <c r="B272" s="341">
        <v>8142</v>
      </c>
      <c r="C272" s="390" t="s">
        <v>17146</v>
      </c>
      <c r="D272" s="403"/>
      <c r="E272" s="404"/>
      <c r="F272" s="404"/>
      <c r="G272" s="404"/>
      <c r="H272" s="406"/>
      <c r="Q272" s="836">
        <f>'2重度訪問'!U140</f>
        <v>80</v>
      </c>
      <c r="R272" s="911"/>
      <c r="S272" s="911"/>
      <c r="T272" s="152" t="s">
        <v>15624</v>
      </c>
      <c r="U272" s="387"/>
      <c r="V272" s="343" t="s">
        <v>15625</v>
      </c>
      <c r="W272" s="325"/>
      <c r="X272" s="325"/>
      <c r="Y272" s="325"/>
      <c r="Z272" s="325"/>
      <c r="AA272" s="325"/>
      <c r="AB272" s="325"/>
      <c r="AC272" s="325"/>
      <c r="AD272" s="325"/>
      <c r="AE272" s="325"/>
      <c r="AF272" s="325"/>
      <c r="AG272" s="325"/>
      <c r="AH272" s="325"/>
      <c r="AI272" s="391" t="s">
        <v>15626</v>
      </c>
      <c r="AJ272" s="838">
        <f>AJ270</f>
        <v>1</v>
      </c>
      <c r="AK272" s="839"/>
      <c r="AL272" s="325"/>
      <c r="AM272" s="325"/>
      <c r="AN272" s="325"/>
      <c r="AO272" s="325"/>
      <c r="AP272" s="325"/>
      <c r="AQ272" s="325"/>
      <c r="AR272" s="325"/>
      <c r="AS272" s="391"/>
      <c r="AT272" s="503"/>
      <c r="AU272" s="504"/>
      <c r="AY272" s="387"/>
      <c r="AZ272" s="489">
        <f>ROUND(ROUND(Q272*AJ272,0)*$AT$208,0)</f>
        <v>100</v>
      </c>
      <c r="BA272" s="393"/>
    </row>
    <row r="273" spans="1:53" ht="16.5" customHeight="1" x14ac:dyDescent="0.15">
      <c r="A273" s="340">
        <v>12</v>
      </c>
      <c r="B273" s="341">
        <v>8143</v>
      </c>
      <c r="C273" s="390" t="s">
        <v>17147</v>
      </c>
      <c r="D273" s="403"/>
      <c r="E273" s="404"/>
      <c r="F273" s="404"/>
      <c r="G273" s="404"/>
      <c r="H273" s="406"/>
      <c r="Q273" s="395"/>
      <c r="R273" s="151"/>
      <c r="S273" s="151"/>
      <c r="U273" s="387"/>
      <c r="V273" s="343"/>
      <c r="W273" s="343"/>
      <c r="X273" s="343"/>
      <c r="Y273" s="343"/>
      <c r="Z273" s="343"/>
      <c r="AA273" s="343"/>
      <c r="AB273" s="343"/>
      <c r="AC273" s="343"/>
      <c r="AD273" s="343"/>
      <c r="AE273" s="343"/>
      <c r="AF273" s="343"/>
      <c r="AG273" s="343"/>
      <c r="AH273" s="343"/>
      <c r="AI273" s="343"/>
      <c r="AJ273" s="343"/>
      <c r="AK273" s="343"/>
      <c r="AL273" s="114" t="s">
        <v>15628</v>
      </c>
      <c r="AM273" s="396"/>
      <c r="AN273" s="396"/>
      <c r="AO273" s="396"/>
      <c r="AP273" s="396"/>
      <c r="AQ273" s="396"/>
      <c r="AR273" s="396"/>
      <c r="AS273" s="396"/>
      <c r="AT273" s="490"/>
      <c r="AU273" s="387"/>
      <c r="AY273" s="387"/>
      <c r="AZ273" s="489">
        <f>ROUND(ROUND(Q272*AR274,0)*$AT$208,0)</f>
        <v>85</v>
      </c>
      <c r="BA273" s="393"/>
    </row>
    <row r="274" spans="1:53" ht="16.5" customHeight="1" x14ac:dyDescent="0.15">
      <c r="A274" s="340">
        <v>12</v>
      </c>
      <c r="B274" s="341">
        <v>8144</v>
      </c>
      <c r="C274" s="390" t="s">
        <v>17148</v>
      </c>
      <c r="D274" s="403"/>
      <c r="E274" s="404"/>
      <c r="F274" s="404"/>
      <c r="G274" s="404"/>
      <c r="H274" s="406"/>
      <c r="Q274" s="395"/>
      <c r="R274" s="151"/>
      <c r="S274" s="151"/>
      <c r="U274" s="387"/>
      <c r="V274" s="343" t="s">
        <v>15625</v>
      </c>
      <c r="W274" s="325"/>
      <c r="X274" s="325"/>
      <c r="Y274" s="325"/>
      <c r="Z274" s="325"/>
      <c r="AA274" s="325"/>
      <c r="AB274" s="325"/>
      <c r="AC274" s="325"/>
      <c r="AD274" s="325"/>
      <c r="AE274" s="325"/>
      <c r="AF274" s="325"/>
      <c r="AG274" s="325"/>
      <c r="AH274" s="325"/>
      <c r="AI274" s="391" t="s">
        <v>15626</v>
      </c>
      <c r="AJ274" s="838">
        <f>AJ272</f>
        <v>1</v>
      </c>
      <c r="AK274" s="843"/>
      <c r="AL274" s="324" t="s">
        <v>15630</v>
      </c>
      <c r="AM274" s="325"/>
      <c r="AN274" s="325"/>
      <c r="AO274" s="325"/>
      <c r="AP274" s="325"/>
      <c r="AQ274" s="190" t="s">
        <v>398</v>
      </c>
      <c r="AR274" s="844">
        <f>AR270</f>
        <v>0.85</v>
      </c>
      <c r="AS274" s="844"/>
      <c r="AT274" s="501"/>
      <c r="AU274" s="502"/>
      <c r="AY274" s="387"/>
      <c r="AZ274" s="489">
        <f>ROUND(ROUND(ROUND(Q272*AJ274,0)*AR274,0)*$AT$208,0)</f>
        <v>85</v>
      </c>
      <c r="BA274" s="393"/>
    </row>
    <row r="275" spans="1:53" ht="17.100000000000001" customHeight="1" x14ac:dyDescent="0.15">
      <c r="A275" s="340">
        <v>12</v>
      </c>
      <c r="B275" s="341">
        <v>8145</v>
      </c>
      <c r="C275" s="390" t="s">
        <v>17149</v>
      </c>
      <c r="D275" s="403"/>
      <c r="E275" s="404"/>
      <c r="F275" s="404"/>
      <c r="G275" s="404"/>
      <c r="H275" s="406"/>
      <c r="I275" s="10"/>
      <c r="L275" s="151"/>
      <c r="M275" s="151"/>
      <c r="N275" s="151"/>
      <c r="U275" s="387"/>
      <c r="V275" s="343"/>
      <c r="W275" s="343"/>
      <c r="X275" s="343"/>
      <c r="Y275" s="343"/>
      <c r="Z275" s="343"/>
      <c r="AA275" s="343"/>
      <c r="AB275" s="343"/>
      <c r="AC275" s="343"/>
      <c r="AD275" s="343"/>
      <c r="AE275" s="343"/>
      <c r="AF275" s="343"/>
      <c r="AG275" s="343"/>
      <c r="AH275" s="343"/>
      <c r="AI275" s="343"/>
      <c r="AJ275" s="401"/>
      <c r="AK275" s="402"/>
      <c r="AL275" s="396"/>
      <c r="AM275" s="396"/>
      <c r="AN275" s="396"/>
      <c r="AO275" s="396"/>
      <c r="AP275" s="396"/>
      <c r="AQ275" s="396"/>
      <c r="AR275" s="396"/>
      <c r="AS275" s="396"/>
      <c r="AT275" s="490"/>
      <c r="AU275" s="387"/>
      <c r="AV275" s="858" t="s">
        <v>16296</v>
      </c>
      <c r="AW275" s="858"/>
      <c r="AX275" s="858"/>
      <c r="AY275" s="860"/>
      <c r="AZ275" s="489">
        <f>ROUND(ROUND(Q272*$AT$208,0)*AV278,0)</f>
        <v>80</v>
      </c>
      <c r="BA275" s="393"/>
    </row>
    <row r="276" spans="1:53" ht="16.5" customHeight="1" x14ac:dyDescent="0.15">
      <c r="A276" s="340">
        <v>12</v>
      </c>
      <c r="B276" s="341">
        <v>8146</v>
      </c>
      <c r="C276" s="390" t="s">
        <v>17150</v>
      </c>
      <c r="D276" s="403"/>
      <c r="E276" s="404"/>
      <c r="F276" s="404"/>
      <c r="G276" s="404"/>
      <c r="H276" s="406"/>
      <c r="Q276" s="899"/>
      <c r="R276" s="899"/>
      <c r="S276" s="899"/>
      <c r="U276" s="387"/>
      <c r="V276" s="343" t="s">
        <v>15625</v>
      </c>
      <c r="W276" s="325"/>
      <c r="X276" s="325"/>
      <c r="Y276" s="325"/>
      <c r="Z276" s="325"/>
      <c r="AA276" s="325"/>
      <c r="AB276" s="325"/>
      <c r="AC276" s="325"/>
      <c r="AD276" s="325"/>
      <c r="AE276" s="325"/>
      <c r="AF276" s="325"/>
      <c r="AG276" s="325"/>
      <c r="AH276" s="325"/>
      <c r="AI276" s="391" t="s">
        <v>15626</v>
      </c>
      <c r="AJ276" s="838">
        <f>AJ274</f>
        <v>1</v>
      </c>
      <c r="AK276" s="839"/>
      <c r="AL276" s="325"/>
      <c r="AM276" s="325"/>
      <c r="AN276" s="325"/>
      <c r="AO276" s="325"/>
      <c r="AP276" s="325"/>
      <c r="AQ276" s="325"/>
      <c r="AR276" s="325"/>
      <c r="AS276" s="391"/>
      <c r="AT276" s="503"/>
      <c r="AU276" s="504"/>
      <c r="AV276" s="850"/>
      <c r="AW276" s="850"/>
      <c r="AX276" s="850"/>
      <c r="AY276" s="852"/>
      <c r="AZ276" s="489">
        <f>ROUND(ROUND(ROUND(Q272*AJ276,0)*$AT$208,0)*AV278,0)</f>
        <v>80</v>
      </c>
      <c r="BA276" s="393"/>
    </row>
    <row r="277" spans="1:53" ht="16.5" customHeight="1" x14ac:dyDescent="0.15">
      <c r="A277" s="340">
        <v>12</v>
      </c>
      <c r="B277" s="341">
        <v>8147</v>
      </c>
      <c r="C277" s="390" t="s">
        <v>17151</v>
      </c>
      <c r="D277" s="403"/>
      <c r="E277" s="404"/>
      <c r="F277" s="404"/>
      <c r="G277" s="404"/>
      <c r="H277" s="406"/>
      <c r="Q277" s="395"/>
      <c r="R277" s="151"/>
      <c r="S277" s="151"/>
      <c r="U277" s="387"/>
      <c r="V277" s="343"/>
      <c r="W277" s="343"/>
      <c r="X277" s="343"/>
      <c r="Y277" s="343"/>
      <c r="Z277" s="343"/>
      <c r="AA277" s="343"/>
      <c r="AB277" s="343"/>
      <c r="AC277" s="343"/>
      <c r="AD277" s="343"/>
      <c r="AE277" s="343"/>
      <c r="AF277" s="343"/>
      <c r="AG277" s="343"/>
      <c r="AH277" s="343"/>
      <c r="AI277" s="343"/>
      <c r="AJ277" s="343"/>
      <c r="AK277" s="343"/>
      <c r="AL277" s="114" t="s">
        <v>15628</v>
      </c>
      <c r="AM277" s="396"/>
      <c r="AN277" s="396"/>
      <c r="AO277" s="396"/>
      <c r="AP277" s="396"/>
      <c r="AQ277" s="396"/>
      <c r="AR277" s="396"/>
      <c r="AS277" s="396"/>
      <c r="AT277" s="490"/>
      <c r="AU277" s="387"/>
      <c r="AV277" s="902" t="s">
        <v>15636</v>
      </c>
      <c r="AW277" s="902"/>
      <c r="AX277" s="902"/>
      <c r="AY277" s="903"/>
      <c r="AZ277" s="489">
        <f>ROUND(ROUND(ROUND(Q272*AR278,0)*$AT$208,0)*AV278,0)</f>
        <v>68</v>
      </c>
      <c r="BA277" s="393"/>
    </row>
    <row r="278" spans="1:53" ht="16.5" customHeight="1" x14ac:dyDescent="0.15">
      <c r="A278" s="340">
        <v>12</v>
      </c>
      <c r="B278" s="341">
        <v>8148</v>
      </c>
      <c r="C278" s="390" t="s">
        <v>17152</v>
      </c>
      <c r="D278" s="419"/>
      <c r="E278" s="420"/>
      <c r="F278" s="420"/>
      <c r="G278" s="420"/>
      <c r="H278" s="422"/>
      <c r="I278" s="325"/>
      <c r="J278" s="325"/>
      <c r="K278" s="325"/>
      <c r="L278" s="325"/>
      <c r="M278" s="325"/>
      <c r="N278" s="325"/>
      <c r="O278" s="325"/>
      <c r="P278" s="325"/>
      <c r="Q278" s="416"/>
      <c r="R278" s="417"/>
      <c r="S278" s="417"/>
      <c r="T278" s="325"/>
      <c r="U278" s="388"/>
      <c r="V278" s="343" t="s">
        <v>15625</v>
      </c>
      <c r="W278" s="325"/>
      <c r="X278" s="325"/>
      <c r="Y278" s="325"/>
      <c r="Z278" s="325"/>
      <c r="AA278" s="325"/>
      <c r="AB278" s="325"/>
      <c r="AC278" s="325"/>
      <c r="AD278" s="325"/>
      <c r="AE278" s="325"/>
      <c r="AF278" s="325"/>
      <c r="AG278" s="325"/>
      <c r="AH278" s="325"/>
      <c r="AI278" s="391" t="s">
        <v>15626</v>
      </c>
      <c r="AJ278" s="838">
        <f>AJ276</f>
        <v>1</v>
      </c>
      <c r="AK278" s="843"/>
      <c r="AL278" s="324" t="s">
        <v>15630</v>
      </c>
      <c r="AM278" s="325"/>
      <c r="AN278" s="325"/>
      <c r="AO278" s="325"/>
      <c r="AP278" s="325"/>
      <c r="AQ278" s="190" t="s">
        <v>398</v>
      </c>
      <c r="AR278" s="844">
        <f>AR274</f>
        <v>0.85</v>
      </c>
      <c r="AS278" s="844"/>
      <c r="AT278" s="505"/>
      <c r="AU278" s="506"/>
      <c r="AV278" s="844">
        <f>AV270</f>
        <v>0.8</v>
      </c>
      <c r="AW278" s="844"/>
      <c r="AX278" s="844"/>
      <c r="AY278" s="845"/>
      <c r="AZ278" s="491">
        <f>ROUND(ROUND(ROUND(ROUND(Q272*AJ278,0)*AR278,0)*$AT$208,0)*AV278,0)</f>
        <v>68</v>
      </c>
      <c r="BA278" s="418"/>
    </row>
    <row r="279" spans="1:53" ht="17.100000000000001" customHeight="1" x14ac:dyDescent="0.15">
      <c r="A279" s="321">
        <v>12</v>
      </c>
      <c r="B279" s="322">
        <v>8149</v>
      </c>
      <c r="C279" s="386" t="s">
        <v>17153</v>
      </c>
      <c r="D279" s="849" t="s">
        <v>15740</v>
      </c>
      <c r="E279" s="850"/>
      <c r="F279" s="850"/>
      <c r="G279" s="850"/>
      <c r="H279" s="852"/>
      <c r="I279" s="908" t="s">
        <v>16381</v>
      </c>
      <c r="J279" s="909"/>
      <c r="K279" s="909"/>
      <c r="L279" s="909"/>
      <c r="M279" s="909"/>
      <c r="N279" s="909"/>
      <c r="O279" s="909"/>
      <c r="P279" s="909"/>
      <c r="Q279" s="909"/>
      <c r="R279" s="909"/>
      <c r="S279" s="909"/>
      <c r="T279" s="909"/>
      <c r="U279" s="910"/>
      <c r="V279" s="325"/>
      <c r="W279" s="325"/>
      <c r="X279" s="325"/>
      <c r="Y279" s="325"/>
      <c r="Z279" s="325"/>
      <c r="AA279" s="325"/>
      <c r="AB279" s="325"/>
      <c r="AC279" s="325"/>
      <c r="AD279" s="325"/>
      <c r="AE279" s="325"/>
      <c r="AF279" s="325"/>
      <c r="AG279" s="325"/>
      <c r="AH279" s="325"/>
      <c r="AI279" s="325"/>
      <c r="AJ279" s="401"/>
      <c r="AK279" s="402"/>
      <c r="AQ279" s="152"/>
      <c r="AR279" s="152"/>
      <c r="AS279" s="152"/>
      <c r="AT279" s="920" t="s">
        <v>743</v>
      </c>
      <c r="AU279" s="917"/>
      <c r="AV279" s="151"/>
      <c r="AW279" s="151"/>
      <c r="AY279" s="387"/>
      <c r="AZ279" s="489">
        <f>ROUND(Q280*$AT$288,0)</f>
        <v>108</v>
      </c>
      <c r="BA279" s="329" t="s">
        <v>15622</v>
      </c>
    </row>
    <row r="280" spans="1:53" ht="16.5" customHeight="1" x14ac:dyDescent="0.15">
      <c r="A280" s="340">
        <v>12</v>
      </c>
      <c r="B280" s="341">
        <v>8150</v>
      </c>
      <c r="C280" s="390" t="s">
        <v>17154</v>
      </c>
      <c r="D280" s="849"/>
      <c r="E280" s="850"/>
      <c r="F280" s="850"/>
      <c r="G280" s="850"/>
      <c r="H280" s="852"/>
      <c r="Q280" s="836">
        <f>'2重度訪問'!U144</f>
        <v>86</v>
      </c>
      <c r="R280" s="911"/>
      <c r="S280" s="911"/>
      <c r="T280" s="152" t="s">
        <v>15624</v>
      </c>
      <c r="U280" s="387"/>
      <c r="V280" s="343" t="s">
        <v>15625</v>
      </c>
      <c r="W280" s="325"/>
      <c r="X280" s="325"/>
      <c r="Y280" s="325"/>
      <c r="Z280" s="325"/>
      <c r="AA280" s="325"/>
      <c r="AB280" s="325"/>
      <c r="AC280" s="325"/>
      <c r="AD280" s="325"/>
      <c r="AE280" s="325"/>
      <c r="AF280" s="325"/>
      <c r="AG280" s="325"/>
      <c r="AH280" s="325"/>
      <c r="AI280" s="391" t="s">
        <v>15626</v>
      </c>
      <c r="AJ280" s="838">
        <f>AJ182</f>
        <v>1</v>
      </c>
      <c r="AK280" s="839"/>
      <c r="AL280" s="325"/>
      <c r="AM280" s="325"/>
      <c r="AN280" s="325"/>
      <c r="AO280" s="325"/>
      <c r="AP280" s="325"/>
      <c r="AQ280" s="325"/>
      <c r="AR280" s="325"/>
      <c r="AS280" s="391"/>
      <c r="AT280" s="912"/>
      <c r="AU280" s="913"/>
      <c r="AY280" s="387"/>
      <c r="AZ280" s="489">
        <f>ROUND(ROUND(Q280*AJ280,0)*$AT$288,0)</f>
        <v>108</v>
      </c>
      <c r="BA280" s="393"/>
    </row>
    <row r="281" spans="1:53" ht="16.5" customHeight="1" x14ac:dyDescent="0.15">
      <c r="A281" s="340">
        <v>12</v>
      </c>
      <c r="B281" s="341">
        <v>8151</v>
      </c>
      <c r="C281" s="390" t="s">
        <v>17155</v>
      </c>
      <c r="D281" s="849"/>
      <c r="E281" s="850"/>
      <c r="F281" s="850"/>
      <c r="G281" s="850"/>
      <c r="H281" s="852"/>
      <c r="Q281" s="395"/>
      <c r="R281" s="151"/>
      <c r="S281" s="151"/>
      <c r="U281" s="387"/>
      <c r="V281" s="343"/>
      <c r="W281" s="343"/>
      <c r="X281" s="343"/>
      <c r="Y281" s="343"/>
      <c r="Z281" s="343"/>
      <c r="AA281" s="343"/>
      <c r="AB281" s="343"/>
      <c r="AC281" s="343"/>
      <c r="AD281" s="343"/>
      <c r="AE281" s="343"/>
      <c r="AF281" s="343"/>
      <c r="AG281" s="343"/>
      <c r="AH281" s="343"/>
      <c r="AI281" s="343"/>
      <c r="AJ281" s="343"/>
      <c r="AK281" s="343"/>
      <c r="AL281" s="114" t="s">
        <v>15628</v>
      </c>
      <c r="AM281" s="396"/>
      <c r="AN281" s="396"/>
      <c r="AO281" s="396"/>
      <c r="AP281" s="396"/>
      <c r="AQ281" s="396"/>
      <c r="AR281" s="396"/>
      <c r="AS281" s="396"/>
      <c r="AT281" s="912"/>
      <c r="AU281" s="913"/>
      <c r="AY281" s="387"/>
      <c r="AZ281" s="489">
        <f>ROUND(ROUND(Q280*AR282,0)*$AT$288,0)</f>
        <v>91</v>
      </c>
      <c r="BA281" s="393"/>
    </row>
    <row r="282" spans="1:53" ht="16.5" customHeight="1" x14ac:dyDescent="0.15">
      <c r="A282" s="340">
        <v>12</v>
      </c>
      <c r="B282" s="341">
        <v>8152</v>
      </c>
      <c r="C282" s="390" t="s">
        <v>17156</v>
      </c>
      <c r="D282" s="849"/>
      <c r="E282" s="850"/>
      <c r="F282" s="850"/>
      <c r="G282" s="850"/>
      <c r="H282" s="852"/>
      <c r="Q282" s="395"/>
      <c r="R282" s="151"/>
      <c r="S282" s="151"/>
      <c r="U282" s="387"/>
      <c r="V282" s="343" t="s">
        <v>15625</v>
      </c>
      <c r="W282" s="325"/>
      <c r="X282" s="325"/>
      <c r="Y282" s="325"/>
      <c r="Z282" s="325"/>
      <c r="AA282" s="325"/>
      <c r="AB282" s="325"/>
      <c r="AC282" s="325"/>
      <c r="AD282" s="325"/>
      <c r="AE282" s="325"/>
      <c r="AF282" s="325"/>
      <c r="AG282" s="325"/>
      <c r="AH282" s="325"/>
      <c r="AI282" s="391" t="s">
        <v>15626</v>
      </c>
      <c r="AJ282" s="838">
        <f>AJ280</f>
        <v>1</v>
      </c>
      <c r="AK282" s="843"/>
      <c r="AL282" s="324" t="s">
        <v>15630</v>
      </c>
      <c r="AM282" s="325"/>
      <c r="AN282" s="325"/>
      <c r="AO282" s="325"/>
      <c r="AP282" s="325"/>
      <c r="AQ282" s="190" t="s">
        <v>398</v>
      </c>
      <c r="AR282" s="844">
        <f>AR182</f>
        <v>0.85</v>
      </c>
      <c r="AS282" s="844"/>
      <c r="AT282" s="912"/>
      <c r="AU282" s="913"/>
      <c r="AY282" s="387"/>
      <c r="AZ282" s="489">
        <f>ROUND(ROUND(ROUND(Q280*AJ282,0)*AR282,0)*$AT$288,0)</f>
        <v>91</v>
      </c>
      <c r="BA282" s="393"/>
    </row>
    <row r="283" spans="1:53" ht="17.100000000000001" customHeight="1" x14ac:dyDescent="0.15">
      <c r="A283" s="340">
        <v>12</v>
      </c>
      <c r="B283" s="341">
        <v>8153</v>
      </c>
      <c r="C283" s="390" t="s">
        <v>17157</v>
      </c>
      <c r="D283" s="403"/>
      <c r="E283" s="404"/>
      <c r="F283" s="404"/>
      <c r="G283" s="404"/>
      <c r="H283" s="406"/>
      <c r="I283" s="10"/>
      <c r="L283" s="151"/>
      <c r="M283" s="151"/>
      <c r="N283" s="151"/>
      <c r="U283" s="387"/>
      <c r="V283" s="343"/>
      <c r="W283" s="343"/>
      <c r="X283" s="343"/>
      <c r="Y283" s="343"/>
      <c r="Z283" s="343"/>
      <c r="AA283" s="343"/>
      <c r="AB283" s="343"/>
      <c r="AC283" s="343"/>
      <c r="AD283" s="343"/>
      <c r="AE283" s="343"/>
      <c r="AF283" s="343"/>
      <c r="AG283" s="343"/>
      <c r="AH283" s="343"/>
      <c r="AI283" s="343"/>
      <c r="AJ283" s="401"/>
      <c r="AK283" s="402"/>
      <c r="AL283" s="396"/>
      <c r="AM283" s="396"/>
      <c r="AN283" s="396"/>
      <c r="AO283" s="396"/>
      <c r="AP283" s="396"/>
      <c r="AQ283" s="396"/>
      <c r="AR283" s="396"/>
      <c r="AS283" s="396"/>
      <c r="AT283" s="912"/>
      <c r="AU283" s="913"/>
      <c r="AV283" s="858" t="s">
        <v>16296</v>
      </c>
      <c r="AW283" s="858"/>
      <c r="AX283" s="858"/>
      <c r="AY283" s="860"/>
      <c r="AZ283" s="489">
        <f>ROUND(ROUND(Q280*$AT$288,0)*AV286,0)</f>
        <v>86</v>
      </c>
      <c r="BA283" s="393"/>
    </row>
    <row r="284" spans="1:53" ht="16.5" customHeight="1" x14ac:dyDescent="0.15">
      <c r="A284" s="340">
        <v>12</v>
      </c>
      <c r="B284" s="341">
        <v>8154</v>
      </c>
      <c r="C284" s="390" t="s">
        <v>17158</v>
      </c>
      <c r="D284" s="403"/>
      <c r="E284" s="404"/>
      <c r="F284" s="404"/>
      <c r="G284" s="404"/>
      <c r="H284" s="406"/>
      <c r="Q284" s="899"/>
      <c r="R284" s="899"/>
      <c r="S284" s="899"/>
      <c r="U284" s="387"/>
      <c r="V284" s="343" t="s">
        <v>15625</v>
      </c>
      <c r="W284" s="325"/>
      <c r="X284" s="325"/>
      <c r="Y284" s="325"/>
      <c r="Z284" s="325"/>
      <c r="AA284" s="325"/>
      <c r="AB284" s="325"/>
      <c r="AC284" s="325"/>
      <c r="AD284" s="325"/>
      <c r="AE284" s="325"/>
      <c r="AF284" s="325"/>
      <c r="AG284" s="325"/>
      <c r="AH284" s="325"/>
      <c r="AI284" s="391" t="s">
        <v>15626</v>
      </c>
      <c r="AJ284" s="838">
        <f>AJ282</f>
        <v>1</v>
      </c>
      <c r="AK284" s="839"/>
      <c r="AL284" s="325"/>
      <c r="AM284" s="325"/>
      <c r="AN284" s="325"/>
      <c r="AO284" s="325"/>
      <c r="AP284" s="325"/>
      <c r="AQ284" s="325"/>
      <c r="AR284" s="325"/>
      <c r="AS284" s="391"/>
      <c r="AT284" s="912"/>
      <c r="AU284" s="913"/>
      <c r="AV284" s="850"/>
      <c r="AW284" s="850"/>
      <c r="AX284" s="850"/>
      <c r="AY284" s="852"/>
      <c r="AZ284" s="489">
        <f>ROUND(ROUND(ROUND(Q280*AJ284,0)*$AT$288,0)*AV286,0)</f>
        <v>86</v>
      </c>
      <c r="BA284" s="393"/>
    </row>
    <row r="285" spans="1:53" ht="16.5" customHeight="1" x14ac:dyDescent="0.15">
      <c r="A285" s="340">
        <v>12</v>
      </c>
      <c r="B285" s="341">
        <v>8155</v>
      </c>
      <c r="C285" s="390" t="s">
        <v>17159</v>
      </c>
      <c r="D285" s="403"/>
      <c r="E285" s="404"/>
      <c r="F285" s="497"/>
      <c r="G285" s="497"/>
      <c r="H285" s="498"/>
      <c r="Q285" s="395"/>
      <c r="R285" s="151"/>
      <c r="S285" s="151"/>
      <c r="U285" s="387"/>
      <c r="V285" s="343"/>
      <c r="W285" s="343"/>
      <c r="X285" s="343"/>
      <c r="Y285" s="343"/>
      <c r="Z285" s="343"/>
      <c r="AA285" s="343"/>
      <c r="AB285" s="343"/>
      <c r="AC285" s="343"/>
      <c r="AD285" s="343"/>
      <c r="AE285" s="343"/>
      <c r="AF285" s="343"/>
      <c r="AG285" s="343"/>
      <c r="AH285" s="343"/>
      <c r="AI285" s="343"/>
      <c r="AJ285" s="343"/>
      <c r="AK285" s="343"/>
      <c r="AL285" s="114" t="s">
        <v>15628</v>
      </c>
      <c r="AM285" s="396"/>
      <c r="AN285" s="396"/>
      <c r="AO285" s="396"/>
      <c r="AP285" s="396"/>
      <c r="AQ285" s="396"/>
      <c r="AR285" s="396"/>
      <c r="AS285" s="396"/>
      <c r="AT285" s="912"/>
      <c r="AU285" s="913"/>
      <c r="AV285" s="902" t="s">
        <v>15636</v>
      </c>
      <c r="AW285" s="902"/>
      <c r="AX285" s="902"/>
      <c r="AY285" s="903"/>
      <c r="AZ285" s="489">
        <f>ROUND(ROUND(ROUND(Q280*AR286,0)*$AT$288,0)*AV286,0)</f>
        <v>73</v>
      </c>
      <c r="BA285" s="393"/>
    </row>
    <row r="286" spans="1:53" ht="16.5" customHeight="1" x14ac:dyDescent="0.15">
      <c r="A286" s="340">
        <v>12</v>
      </c>
      <c r="B286" s="341">
        <v>8156</v>
      </c>
      <c r="C286" s="390" t="s">
        <v>17160</v>
      </c>
      <c r="D286" s="403"/>
      <c r="E286" s="404"/>
      <c r="F286" s="404"/>
      <c r="G286" s="404"/>
      <c r="H286" s="406"/>
      <c r="Q286" s="395"/>
      <c r="R286" s="151"/>
      <c r="S286" s="151"/>
      <c r="U286" s="387"/>
      <c r="V286" s="343" t="s">
        <v>15625</v>
      </c>
      <c r="W286" s="325"/>
      <c r="X286" s="325"/>
      <c r="Y286" s="325"/>
      <c r="Z286" s="325"/>
      <c r="AA286" s="325"/>
      <c r="AB286" s="325"/>
      <c r="AC286" s="325"/>
      <c r="AD286" s="325"/>
      <c r="AE286" s="325"/>
      <c r="AF286" s="325"/>
      <c r="AG286" s="325"/>
      <c r="AH286" s="325"/>
      <c r="AI286" s="391" t="s">
        <v>15626</v>
      </c>
      <c r="AJ286" s="838">
        <f>AJ284</f>
        <v>1</v>
      </c>
      <c r="AK286" s="843"/>
      <c r="AL286" s="324" t="s">
        <v>15630</v>
      </c>
      <c r="AM286" s="325"/>
      <c r="AN286" s="325"/>
      <c r="AO286" s="325"/>
      <c r="AP286" s="325"/>
      <c r="AQ286" s="190" t="s">
        <v>398</v>
      </c>
      <c r="AR286" s="844">
        <f>AR282</f>
        <v>0.85</v>
      </c>
      <c r="AS286" s="844"/>
      <c r="AT286" s="912"/>
      <c r="AU286" s="913"/>
      <c r="AV286" s="844">
        <f>AV278</f>
        <v>0.8</v>
      </c>
      <c r="AW286" s="844"/>
      <c r="AX286" s="844"/>
      <c r="AY286" s="845"/>
      <c r="AZ286" s="489">
        <f>ROUND(ROUND(ROUND(ROUND(Q280*AJ286,0)*AR286,0)*$AT$288,0)*AV286,0)</f>
        <v>73</v>
      </c>
      <c r="BA286" s="393"/>
    </row>
    <row r="287" spans="1:53" ht="17.100000000000001" customHeight="1" x14ac:dyDescent="0.15">
      <c r="A287" s="340">
        <v>12</v>
      </c>
      <c r="B287" s="341">
        <v>8157</v>
      </c>
      <c r="C287" s="390" t="s">
        <v>17161</v>
      </c>
      <c r="D287" s="403"/>
      <c r="E287" s="404"/>
      <c r="F287" s="404"/>
      <c r="G287" s="404"/>
      <c r="H287" s="406"/>
      <c r="I287" s="908" t="s">
        <v>16390</v>
      </c>
      <c r="J287" s="909"/>
      <c r="K287" s="909"/>
      <c r="L287" s="909"/>
      <c r="M287" s="909"/>
      <c r="N287" s="909"/>
      <c r="O287" s="909"/>
      <c r="P287" s="909"/>
      <c r="Q287" s="909"/>
      <c r="R287" s="909"/>
      <c r="S287" s="909"/>
      <c r="T287" s="909"/>
      <c r="U287" s="910"/>
      <c r="V287" s="343"/>
      <c r="W287" s="343"/>
      <c r="X287" s="343"/>
      <c r="Y287" s="343"/>
      <c r="Z287" s="343"/>
      <c r="AA287" s="343"/>
      <c r="AB287" s="343"/>
      <c r="AC287" s="343"/>
      <c r="AD287" s="343"/>
      <c r="AE287" s="343"/>
      <c r="AF287" s="343"/>
      <c r="AG287" s="343"/>
      <c r="AH287" s="343"/>
      <c r="AI287" s="343"/>
      <c r="AJ287" s="401"/>
      <c r="AK287" s="402"/>
      <c r="AL287" s="396"/>
      <c r="AM287" s="396"/>
      <c r="AN287" s="396"/>
      <c r="AO287" s="396"/>
      <c r="AP287" s="396"/>
      <c r="AQ287" s="396"/>
      <c r="AR287" s="396"/>
      <c r="AS287" s="396"/>
      <c r="AT287" s="918" t="s">
        <v>15636</v>
      </c>
      <c r="AU287" s="913"/>
      <c r="AV287" s="400"/>
      <c r="AW287" s="400"/>
      <c r="AX287" s="396"/>
      <c r="AY287" s="397"/>
      <c r="AZ287" s="489">
        <f>ROUND(Q288*$AT$288,0)</f>
        <v>100</v>
      </c>
      <c r="BA287" s="393"/>
    </row>
    <row r="288" spans="1:53" ht="16.5" customHeight="1" x14ac:dyDescent="0.15">
      <c r="A288" s="340">
        <v>12</v>
      </c>
      <c r="B288" s="341">
        <v>8158</v>
      </c>
      <c r="C288" s="390" t="s">
        <v>17162</v>
      </c>
      <c r="D288" s="403"/>
      <c r="E288" s="404"/>
      <c r="F288" s="404"/>
      <c r="G288" s="404"/>
      <c r="H288" s="406"/>
      <c r="Q288" s="836">
        <f>'2重度訪問'!U148</f>
        <v>80</v>
      </c>
      <c r="R288" s="911"/>
      <c r="S288" s="911"/>
      <c r="T288" s="152" t="s">
        <v>15624</v>
      </c>
      <c r="U288" s="387"/>
      <c r="V288" s="343" t="s">
        <v>15625</v>
      </c>
      <c r="W288" s="325"/>
      <c r="X288" s="325"/>
      <c r="Y288" s="325"/>
      <c r="Z288" s="325"/>
      <c r="AA288" s="325"/>
      <c r="AB288" s="325"/>
      <c r="AC288" s="325"/>
      <c r="AD288" s="325"/>
      <c r="AE288" s="325"/>
      <c r="AF288" s="325"/>
      <c r="AG288" s="325"/>
      <c r="AH288" s="325"/>
      <c r="AI288" s="391" t="s">
        <v>15626</v>
      </c>
      <c r="AJ288" s="838">
        <f>AJ286</f>
        <v>1</v>
      </c>
      <c r="AK288" s="839"/>
      <c r="AL288" s="325"/>
      <c r="AM288" s="325"/>
      <c r="AN288" s="325"/>
      <c r="AO288" s="325"/>
      <c r="AP288" s="325"/>
      <c r="AQ288" s="325"/>
      <c r="AR288" s="325"/>
      <c r="AS288" s="391"/>
      <c r="AT288" s="919">
        <f>AT208</f>
        <v>1.25</v>
      </c>
      <c r="AU288" s="915"/>
      <c r="AY288" s="387"/>
      <c r="AZ288" s="489">
        <f>ROUND(ROUND(Q288*AJ288,0)*$AT$288,0)</f>
        <v>100</v>
      </c>
      <c r="BA288" s="393"/>
    </row>
    <row r="289" spans="1:53" ht="16.5" customHeight="1" x14ac:dyDescent="0.15">
      <c r="A289" s="340">
        <v>12</v>
      </c>
      <c r="B289" s="341">
        <v>8159</v>
      </c>
      <c r="C289" s="390" t="s">
        <v>17163</v>
      </c>
      <c r="D289" s="408"/>
      <c r="E289" s="409"/>
      <c r="F289" s="409"/>
      <c r="G289" s="409"/>
      <c r="H289" s="411"/>
      <c r="Q289" s="395"/>
      <c r="R289" s="151"/>
      <c r="S289" s="151"/>
      <c r="U289" s="387"/>
      <c r="V289" s="343"/>
      <c r="W289" s="343"/>
      <c r="X289" s="343"/>
      <c r="Y289" s="343"/>
      <c r="Z289" s="343"/>
      <c r="AA289" s="343"/>
      <c r="AB289" s="343"/>
      <c r="AC289" s="343"/>
      <c r="AD289" s="343"/>
      <c r="AE289" s="343"/>
      <c r="AF289" s="343"/>
      <c r="AG289" s="343"/>
      <c r="AH289" s="343"/>
      <c r="AI289" s="343"/>
      <c r="AJ289" s="343"/>
      <c r="AK289" s="343"/>
      <c r="AL289" s="114" t="s">
        <v>15628</v>
      </c>
      <c r="AM289" s="396"/>
      <c r="AN289" s="396"/>
      <c r="AO289" s="396"/>
      <c r="AP289" s="396"/>
      <c r="AQ289" s="396"/>
      <c r="AR289" s="396"/>
      <c r="AS289" s="396"/>
      <c r="AT289" s="490"/>
      <c r="AU289" s="387"/>
      <c r="AY289" s="387"/>
      <c r="AZ289" s="489">
        <f>ROUND(ROUND(Q288*AR290,0)*$AT$288,0)</f>
        <v>85</v>
      </c>
      <c r="BA289" s="393"/>
    </row>
    <row r="290" spans="1:53" ht="16.5" customHeight="1" x14ac:dyDescent="0.15">
      <c r="A290" s="340">
        <v>12</v>
      </c>
      <c r="B290" s="341">
        <v>8160</v>
      </c>
      <c r="C290" s="390" t="s">
        <v>17164</v>
      </c>
      <c r="D290" s="408"/>
      <c r="E290" s="409"/>
      <c r="F290" s="409"/>
      <c r="G290" s="409"/>
      <c r="H290" s="411"/>
      <c r="Q290" s="395"/>
      <c r="R290" s="151"/>
      <c r="S290" s="151"/>
      <c r="U290" s="387"/>
      <c r="V290" s="343" t="s">
        <v>15625</v>
      </c>
      <c r="W290" s="325"/>
      <c r="X290" s="325"/>
      <c r="Y290" s="325"/>
      <c r="Z290" s="325"/>
      <c r="AA290" s="325"/>
      <c r="AB290" s="325"/>
      <c r="AC290" s="325"/>
      <c r="AD290" s="325"/>
      <c r="AE290" s="325"/>
      <c r="AF290" s="325"/>
      <c r="AG290" s="325"/>
      <c r="AH290" s="325"/>
      <c r="AI290" s="391" t="s">
        <v>15626</v>
      </c>
      <c r="AJ290" s="838">
        <f>AJ288</f>
        <v>1</v>
      </c>
      <c r="AK290" s="843"/>
      <c r="AL290" s="324" t="s">
        <v>15630</v>
      </c>
      <c r="AM290" s="325"/>
      <c r="AN290" s="325"/>
      <c r="AO290" s="325"/>
      <c r="AP290" s="325"/>
      <c r="AQ290" s="190" t="s">
        <v>398</v>
      </c>
      <c r="AR290" s="844">
        <f>AR286</f>
        <v>0.85</v>
      </c>
      <c r="AS290" s="844"/>
      <c r="AT290" s="501"/>
      <c r="AU290" s="502"/>
      <c r="AY290" s="387"/>
      <c r="AZ290" s="489">
        <f>ROUND(ROUND(ROUND(Q288*AJ290,0)*AR290,0)*$AT$288,0)</f>
        <v>85</v>
      </c>
      <c r="BA290" s="393"/>
    </row>
    <row r="291" spans="1:53" ht="17.100000000000001" customHeight="1" x14ac:dyDescent="0.15">
      <c r="A291" s="340">
        <v>12</v>
      </c>
      <c r="B291" s="341">
        <v>8161</v>
      </c>
      <c r="C291" s="390" t="s">
        <v>17165</v>
      </c>
      <c r="D291" s="403"/>
      <c r="E291" s="404"/>
      <c r="F291" s="404"/>
      <c r="G291" s="404"/>
      <c r="H291" s="406"/>
      <c r="I291" s="10"/>
      <c r="L291" s="151"/>
      <c r="M291" s="151"/>
      <c r="N291" s="151"/>
      <c r="U291" s="387"/>
      <c r="V291" s="343"/>
      <c r="W291" s="343"/>
      <c r="X291" s="343"/>
      <c r="Y291" s="343"/>
      <c r="Z291" s="343"/>
      <c r="AA291" s="343"/>
      <c r="AB291" s="343"/>
      <c r="AC291" s="343"/>
      <c r="AD291" s="343"/>
      <c r="AE291" s="343"/>
      <c r="AF291" s="343"/>
      <c r="AG291" s="343"/>
      <c r="AH291" s="343"/>
      <c r="AI291" s="343"/>
      <c r="AJ291" s="401"/>
      <c r="AK291" s="402"/>
      <c r="AL291" s="396"/>
      <c r="AM291" s="396"/>
      <c r="AN291" s="396"/>
      <c r="AO291" s="396"/>
      <c r="AP291" s="396"/>
      <c r="AQ291" s="396"/>
      <c r="AR291" s="396"/>
      <c r="AS291" s="396"/>
      <c r="AT291" s="490"/>
      <c r="AU291" s="387"/>
      <c r="AV291" s="858" t="s">
        <v>16296</v>
      </c>
      <c r="AW291" s="858"/>
      <c r="AX291" s="858"/>
      <c r="AY291" s="860"/>
      <c r="AZ291" s="489">
        <f>ROUND(ROUND(Q288*$AT$288,0)*AV294,0)</f>
        <v>80</v>
      </c>
      <c r="BA291" s="393"/>
    </row>
    <row r="292" spans="1:53" ht="16.5" customHeight="1" x14ac:dyDescent="0.15">
      <c r="A292" s="340">
        <v>12</v>
      </c>
      <c r="B292" s="341">
        <v>8162</v>
      </c>
      <c r="C292" s="390" t="s">
        <v>17166</v>
      </c>
      <c r="D292" s="403"/>
      <c r="E292" s="404"/>
      <c r="F292" s="404"/>
      <c r="G292" s="404"/>
      <c r="H292" s="406"/>
      <c r="Q292" s="899"/>
      <c r="R292" s="899"/>
      <c r="S292" s="899"/>
      <c r="U292" s="387"/>
      <c r="V292" s="343" t="s">
        <v>15625</v>
      </c>
      <c r="W292" s="325"/>
      <c r="X292" s="325"/>
      <c r="Y292" s="325"/>
      <c r="Z292" s="325"/>
      <c r="AA292" s="325"/>
      <c r="AB292" s="325"/>
      <c r="AC292" s="325"/>
      <c r="AD292" s="325"/>
      <c r="AE292" s="325"/>
      <c r="AF292" s="325"/>
      <c r="AG292" s="325"/>
      <c r="AH292" s="325"/>
      <c r="AI292" s="391" t="s">
        <v>15626</v>
      </c>
      <c r="AJ292" s="838">
        <f>AJ290</f>
        <v>1</v>
      </c>
      <c r="AK292" s="839"/>
      <c r="AL292" s="325"/>
      <c r="AM292" s="325"/>
      <c r="AN292" s="325"/>
      <c r="AO292" s="325"/>
      <c r="AP292" s="325"/>
      <c r="AQ292" s="325"/>
      <c r="AR292" s="325"/>
      <c r="AS292" s="391"/>
      <c r="AT292" s="503"/>
      <c r="AU292" s="504"/>
      <c r="AV292" s="850"/>
      <c r="AW292" s="850"/>
      <c r="AX292" s="850"/>
      <c r="AY292" s="852"/>
      <c r="AZ292" s="489">
        <f>ROUND(ROUND(ROUND(Q288*AJ292,0)*$AT$288,0)*AV294,0)</f>
        <v>80</v>
      </c>
      <c r="BA292" s="393"/>
    </row>
    <row r="293" spans="1:53" ht="16.5" customHeight="1" x14ac:dyDescent="0.15">
      <c r="A293" s="340">
        <v>12</v>
      </c>
      <c r="B293" s="341">
        <v>8163</v>
      </c>
      <c r="C293" s="390" t="s">
        <v>17167</v>
      </c>
      <c r="D293" s="408"/>
      <c r="E293" s="409"/>
      <c r="F293" s="409"/>
      <c r="G293" s="409"/>
      <c r="H293" s="411"/>
      <c r="Q293" s="395"/>
      <c r="R293" s="151"/>
      <c r="S293" s="151"/>
      <c r="U293" s="387"/>
      <c r="V293" s="343"/>
      <c r="W293" s="343"/>
      <c r="X293" s="343"/>
      <c r="Y293" s="343"/>
      <c r="Z293" s="343"/>
      <c r="AA293" s="343"/>
      <c r="AB293" s="343"/>
      <c r="AC293" s="343"/>
      <c r="AD293" s="343"/>
      <c r="AE293" s="343"/>
      <c r="AF293" s="343"/>
      <c r="AG293" s="343"/>
      <c r="AH293" s="343"/>
      <c r="AI293" s="343"/>
      <c r="AJ293" s="343"/>
      <c r="AK293" s="343"/>
      <c r="AL293" s="114" t="s">
        <v>15628</v>
      </c>
      <c r="AM293" s="396"/>
      <c r="AN293" s="396"/>
      <c r="AO293" s="396"/>
      <c r="AP293" s="396"/>
      <c r="AQ293" s="396"/>
      <c r="AR293" s="396"/>
      <c r="AS293" s="396"/>
      <c r="AT293" s="490"/>
      <c r="AU293" s="387"/>
      <c r="AV293" s="902" t="s">
        <v>15636</v>
      </c>
      <c r="AW293" s="902"/>
      <c r="AX293" s="902"/>
      <c r="AY293" s="903"/>
      <c r="AZ293" s="489">
        <f>ROUND(ROUND(ROUND(Q288*AR294,0)*$AT$288,0)*AV294,0)</f>
        <v>68</v>
      </c>
      <c r="BA293" s="393"/>
    </row>
    <row r="294" spans="1:53" ht="16.5" customHeight="1" x14ac:dyDescent="0.15">
      <c r="A294" s="340">
        <v>12</v>
      </c>
      <c r="B294" s="341">
        <v>8164</v>
      </c>
      <c r="C294" s="390" t="s">
        <v>17168</v>
      </c>
      <c r="D294" s="412"/>
      <c r="E294" s="413"/>
      <c r="F294" s="413"/>
      <c r="G294" s="413"/>
      <c r="H294" s="415"/>
      <c r="I294" s="325"/>
      <c r="J294" s="325"/>
      <c r="K294" s="325"/>
      <c r="L294" s="325"/>
      <c r="M294" s="325"/>
      <c r="N294" s="325"/>
      <c r="O294" s="325"/>
      <c r="P294" s="325"/>
      <c r="Q294" s="416"/>
      <c r="R294" s="417"/>
      <c r="S294" s="417"/>
      <c r="T294" s="325"/>
      <c r="U294" s="388"/>
      <c r="V294" s="343" t="s">
        <v>15625</v>
      </c>
      <c r="W294" s="325"/>
      <c r="X294" s="325"/>
      <c r="Y294" s="325"/>
      <c r="Z294" s="325"/>
      <c r="AA294" s="325"/>
      <c r="AB294" s="325"/>
      <c r="AC294" s="325"/>
      <c r="AD294" s="325"/>
      <c r="AE294" s="325"/>
      <c r="AF294" s="325"/>
      <c r="AG294" s="325"/>
      <c r="AH294" s="325"/>
      <c r="AI294" s="391" t="s">
        <v>15626</v>
      </c>
      <c r="AJ294" s="838">
        <f>AJ292</f>
        <v>1</v>
      </c>
      <c r="AK294" s="843"/>
      <c r="AL294" s="324" t="s">
        <v>15630</v>
      </c>
      <c r="AM294" s="325"/>
      <c r="AN294" s="325"/>
      <c r="AO294" s="325"/>
      <c r="AP294" s="325"/>
      <c r="AQ294" s="190" t="s">
        <v>398</v>
      </c>
      <c r="AR294" s="844">
        <f>AR290</f>
        <v>0.85</v>
      </c>
      <c r="AS294" s="844"/>
      <c r="AT294" s="505"/>
      <c r="AU294" s="506"/>
      <c r="AV294" s="844">
        <f>AV286</f>
        <v>0.8</v>
      </c>
      <c r="AW294" s="844"/>
      <c r="AX294" s="844"/>
      <c r="AY294" s="845"/>
      <c r="AZ294" s="353">
        <f>ROUND(ROUND(ROUND(ROUND(Q288*AJ294,0)*AR294,0)*$AT$288,0)*AV294,0)</f>
        <v>68</v>
      </c>
      <c r="BA294" s="418"/>
    </row>
    <row r="298" spans="1:53" ht="17.100000000000001" customHeight="1" x14ac:dyDescent="0.15">
      <c r="AN298" s="151"/>
      <c r="AO298" s="377"/>
      <c r="AP298" s="151"/>
      <c r="AR298" s="151"/>
    </row>
  </sheetData>
  <mergeCells count="465">
    <mergeCell ref="AV291:AY292"/>
    <mergeCell ref="Q292:S292"/>
    <mergeCell ref="AJ292:AK292"/>
    <mergeCell ref="AV293:AY293"/>
    <mergeCell ref="AJ294:AK294"/>
    <mergeCell ref="AR294:AS294"/>
    <mergeCell ref="AV294:AY294"/>
    <mergeCell ref="I287:U287"/>
    <mergeCell ref="AT287:AU287"/>
    <mergeCell ref="Q288:S288"/>
    <mergeCell ref="AJ288:AK288"/>
    <mergeCell ref="AT288:AU288"/>
    <mergeCell ref="AJ290:AK290"/>
    <mergeCell ref="AR290:AS290"/>
    <mergeCell ref="AV283:AY284"/>
    <mergeCell ref="Q284:S284"/>
    <mergeCell ref="AJ284:AK284"/>
    <mergeCell ref="AV285:AY285"/>
    <mergeCell ref="AJ286:AK286"/>
    <mergeCell ref="AR286:AS286"/>
    <mergeCell ref="AV286:AY286"/>
    <mergeCell ref="AJ278:AK278"/>
    <mergeCell ref="AR278:AS278"/>
    <mergeCell ref="AV278:AY278"/>
    <mergeCell ref="D279:H282"/>
    <mergeCell ref="I279:U279"/>
    <mergeCell ref="AT279:AU286"/>
    <mergeCell ref="Q280:S280"/>
    <mergeCell ref="AJ280:AK280"/>
    <mergeCell ref="AJ282:AK282"/>
    <mergeCell ref="AR282:AS282"/>
    <mergeCell ref="AJ274:AK274"/>
    <mergeCell ref="AR274:AS274"/>
    <mergeCell ref="AV275:AY276"/>
    <mergeCell ref="Q276:S276"/>
    <mergeCell ref="AJ276:AK276"/>
    <mergeCell ref="AV277:AY277"/>
    <mergeCell ref="AJ270:AK270"/>
    <mergeCell ref="AR270:AS270"/>
    <mergeCell ref="AV270:AY270"/>
    <mergeCell ref="I271:U271"/>
    <mergeCell ref="Q272:S272"/>
    <mergeCell ref="AJ272:AK272"/>
    <mergeCell ref="AJ266:AK266"/>
    <mergeCell ref="AR266:AS266"/>
    <mergeCell ref="AV267:AY268"/>
    <mergeCell ref="Q268:S268"/>
    <mergeCell ref="AJ268:AK268"/>
    <mergeCell ref="AV269:AY269"/>
    <mergeCell ref="AJ262:AK262"/>
    <mergeCell ref="AR262:AS262"/>
    <mergeCell ref="AV262:AY262"/>
    <mergeCell ref="I263:U263"/>
    <mergeCell ref="Q264:S264"/>
    <mergeCell ref="AJ264:AK264"/>
    <mergeCell ref="AJ258:AK258"/>
    <mergeCell ref="AR258:AS258"/>
    <mergeCell ref="AV259:AY260"/>
    <mergeCell ref="Q260:S260"/>
    <mergeCell ref="AJ260:AK260"/>
    <mergeCell ref="AV261:AY261"/>
    <mergeCell ref="AJ254:AK254"/>
    <mergeCell ref="AR254:AS254"/>
    <mergeCell ref="AV254:AY254"/>
    <mergeCell ref="I255:U255"/>
    <mergeCell ref="Q256:S256"/>
    <mergeCell ref="AJ256:AK256"/>
    <mergeCell ref="AJ250:AK250"/>
    <mergeCell ref="AR250:AS250"/>
    <mergeCell ref="AV251:AY252"/>
    <mergeCell ref="Q252:S252"/>
    <mergeCell ref="AJ252:AK252"/>
    <mergeCell ref="AV253:AY253"/>
    <mergeCell ref="AJ246:AK246"/>
    <mergeCell ref="AR246:AS246"/>
    <mergeCell ref="AV246:AY246"/>
    <mergeCell ref="I247:U247"/>
    <mergeCell ref="Q248:S248"/>
    <mergeCell ref="AJ248:AK248"/>
    <mergeCell ref="AJ242:AK242"/>
    <mergeCell ref="AR242:AS242"/>
    <mergeCell ref="AV243:AY244"/>
    <mergeCell ref="Q244:S244"/>
    <mergeCell ref="AJ244:AK244"/>
    <mergeCell ref="AV245:AY245"/>
    <mergeCell ref="AJ238:AK238"/>
    <mergeCell ref="AR238:AS238"/>
    <mergeCell ref="AV238:AY238"/>
    <mergeCell ref="I239:U239"/>
    <mergeCell ref="Q240:S240"/>
    <mergeCell ref="AJ240:AK240"/>
    <mergeCell ref="AJ234:AK234"/>
    <mergeCell ref="AR234:AS234"/>
    <mergeCell ref="AV235:AY236"/>
    <mergeCell ref="Q236:S236"/>
    <mergeCell ref="AJ236:AK236"/>
    <mergeCell ref="AV237:AY237"/>
    <mergeCell ref="AJ230:AK230"/>
    <mergeCell ref="AR230:AS230"/>
    <mergeCell ref="AV230:AY230"/>
    <mergeCell ref="I231:U231"/>
    <mergeCell ref="Q232:S232"/>
    <mergeCell ref="AJ232:AK232"/>
    <mergeCell ref="AJ226:AK226"/>
    <mergeCell ref="AR226:AS226"/>
    <mergeCell ref="AV227:AY228"/>
    <mergeCell ref="Q228:S228"/>
    <mergeCell ref="AJ228:AK228"/>
    <mergeCell ref="AV229:AY229"/>
    <mergeCell ref="AV221:AY221"/>
    <mergeCell ref="AJ222:AK222"/>
    <mergeCell ref="AR222:AS222"/>
    <mergeCell ref="AV222:AY222"/>
    <mergeCell ref="I223:U223"/>
    <mergeCell ref="Q224:S224"/>
    <mergeCell ref="AJ224:AK224"/>
    <mergeCell ref="I215:U215"/>
    <mergeCell ref="Q216:S216"/>
    <mergeCell ref="AJ216:AK216"/>
    <mergeCell ref="AJ218:AK218"/>
    <mergeCell ref="AR218:AS218"/>
    <mergeCell ref="AV219:AY220"/>
    <mergeCell ref="Q220:S220"/>
    <mergeCell ref="AJ220:AK220"/>
    <mergeCell ref="AV211:AY212"/>
    <mergeCell ref="Q212:S212"/>
    <mergeCell ref="AJ212:AK212"/>
    <mergeCell ref="AV213:AY213"/>
    <mergeCell ref="AJ214:AK214"/>
    <mergeCell ref="AR214:AS214"/>
    <mergeCell ref="AV214:AY214"/>
    <mergeCell ref="I207:U207"/>
    <mergeCell ref="AT207:AU207"/>
    <mergeCell ref="Q208:S208"/>
    <mergeCell ref="AJ208:AK208"/>
    <mergeCell ref="AT208:AU208"/>
    <mergeCell ref="AJ210:AK210"/>
    <mergeCell ref="AR210:AS210"/>
    <mergeCell ref="AV203:AY204"/>
    <mergeCell ref="Q204:S204"/>
    <mergeCell ref="AJ204:AK204"/>
    <mergeCell ref="AV205:AY205"/>
    <mergeCell ref="AJ206:AK206"/>
    <mergeCell ref="AR206:AS206"/>
    <mergeCell ref="AV206:AY206"/>
    <mergeCell ref="AJ198:AK198"/>
    <mergeCell ref="AR198:AS198"/>
    <mergeCell ref="AV198:AY198"/>
    <mergeCell ref="D199:H202"/>
    <mergeCell ref="I199:U199"/>
    <mergeCell ref="AT199:AU206"/>
    <mergeCell ref="Q200:S200"/>
    <mergeCell ref="AJ200:AK200"/>
    <mergeCell ref="AJ202:AK202"/>
    <mergeCell ref="AR202:AS202"/>
    <mergeCell ref="AJ194:AK194"/>
    <mergeCell ref="AR194:AS194"/>
    <mergeCell ref="AV195:AY196"/>
    <mergeCell ref="Q196:S196"/>
    <mergeCell ref="AJ196:AK196"/>
    <mergeCell ref="AV197:AY197"/>
    <mergeCell ref="AJ190:AK190"/>
    <mergeCell ref="AR190:AS190"/>
    <mergeCell ref="AV190:AY190"/>
    <mergeCell ref="I191:U191"/>
    <mergeCell ref="AT191:AU191"/>
    <mergeCell ref="Q192:S192"/>
    <mergeCell ref="AJ192:AK192"/>
    <mergeCell ref="AT192:AU192"/>
    <mergeCell ref="D187:H188"/>
    <mergeCell ref="AV187:AY188"/>
    <mergeCell ref="Q188:S188"/>
    <mergeCell ref="AJ188:AK188"/>
    <mergeCell ref="F189:H189"/>
    <mergeCell ref="AV189:AY189"/>
    <mergeCell ref="AJ182:AK182"/>
    <mergeCell ref="AR182:AS182"/>
    <mergeCell ref="AV182:AY182"/>
    <mergeCell ref="D183:H186"/>
    <mergeCell ref="I183:U183"/>
    <mergeCell ref="AT183:AU190"/>
    <mergeCell ref="Q184:S184"/>
    <mergeCell ref="AJ184:AK184"/>
    <mergeCell ref="AJ186:AK186"/>
    <mergeCell ref="AR186:AS186"/>
    <mergeCell ref="AJ178:AK178"/>
    <mergeCell ref="AR178:AS178"/>
    <mergeCell ref="AV179:AY180"/>
    <mergeCell ref="Q180:S180"/>
    <mergeCell ref="AJ180:AK180"/>
    <mergeCell ref="AV181:AY181"/>
    <mergeCell ref="AJ174:AK174"/>
    <mergeCell ref="AR174:AS174"/>
    <mergeCell ref="AV174:AY174"/>
    <mergeCell ref="I175:U175"/>
    <mergeCell ref="Q176:S176"/>
    <mergeCell ref="AJ176:AK176"/>
    <mergeCell ref="AJ170:AK170"/>
    <mergeCell ref="AR170:AS170"/>
    <mergeCell ref="AV171:AY172"/>
    <mergeCell ref="Q172:S172"/>
    <mergeCell ref="AJ172:AK172"/>
    <mergeCell ref="AV173:AY173"/>
    <mergeCell ref="AJ166:AK166"/>
    <mergeCell ref="AR166:AS166"/>
    <mergeCell ref="AV166:AY166"/>
    <mergeCell ref="I167:U167"/>
    <mergeCell ref="Q168:S168"/>
    <mergeCell ref="AJ168:AK168"/>
    <mergeCell ref="AJ162:AK162"/>
    <mergeCell ref="AR162:AS162"/>
    <mergeCell ref="AV163:AY164"/>
    <mergeCell ref="Q164:S164"/>
    <mergeCell ref="AJ164:AK164"/>
    <mergeCell ref="AV165:AY165"/>
    <mergeCell ref="AJ158:AK158"/>
    <mergeCell ref="AR158:AS158"/>
    <mergeCell ref="AV158:AY158"/>
    <mergeCell ref="I159:U159"/>
    <mergeCell ref="Q160:S160"/>
    <mergeCell ref="AJ160:AK160"/>
    <mergeCell ref="AJ154:AK154"/>
    <mergeCell ref="AR154:AS154"/>
    <mergeCell ref="AV155:AY156"/>
    <mergeCell ref="Q156:S156"/>
    <mergeCell ref="AJ156:AK156"/>
    <mergeCell ref="AV157:AY157"/>
    <mergeCell ref="AJ150:AK150"/>
    <mergeCell ref="AR150:AS150"/>
    <mergeCell ref="AV150:AY150"/>
    <mergeCell ref="I151:U151"/>
    <mergeCell ref="Q152:S152"/>
    <mergeCell ref="AJ152:AK152"/>
    <mergeCell ref="AJ146:AK146"/>
    <mergeCell ref="AR146:AS146"/>
    <mergeCell ref="AV147:AY148"/>
    <mergeCell ref="Q148:S148"/>
    <mergeCell ref="AJ148:AK148"/>
    <mergeCell ref="AV149:AY149"/>
    <mergeCell ref="AJ142:AK142"/>
    <mergeCell ref="AR142:AS142"/>
    <mergeCell ref="AV142:AY142"/>
    <mergeCell ref="I143:U143"/>
    <mergeCell ref="Q144:S144"/>
    <mergeCell ref="AJ144:AK144"/>
    <mergeCell ref="AJ138:AK138"/>
    <mergeCell ref="AR138:AS138"/>
    <mergeCell ref="AV139:AY140"/>
    <mergeCell ref="Q140:S140"/>
    <mergeCell ref="AJ140:AK140"/>
    <mergeCell ref="AV141:AY141"/>
    <mergeCell ref="AJ134:AK134"/>
    <mergeCell ref="AR134:AS134"/>
    <mergeCell ref="AV134:AY134"/>
    <mergeCell ref="I135:U135"/>
    <mergeCell ref="Q136:S136"/>
    <mergeCell ref="AJ136:AK136"/>
    <mergeCell ref="AJ130:AK130"/>
    <mergeCell ref="AR130:AS130"/>
    <mergeCell ref="AV131:AY132"/>
    <mergeCell ref="Q132:S132"/>
    <mergeCell ref="AJ132:AK132"/>
    <mergeCell ref="AV133:AY133"/>
    <mergeCell ref="AJ126:AK126"/>
    <mergeCell ref="AR126:AS126"/>
    <mergeCell ref="AV126:AY126"/>
    <mergeCell ref="I127:U127"/>
    <mergeCell ref="Q128:S128"/>
    <mergeCell ref="AJ128:AK128"/>
    <mergeCell ref="AJ122:AK122"/>
    <mergeCell ref="AR122:AS122"/>
    <mergeCell ref="AV123:AY124"/>
    <mergeCell ref="Q124:S124"/>
    <mergeCell ref="AJ124:AK124"/>
    <mergeCell ref="AV125:AY125"/>
    <mergeCell ref="AJ118:AK118"/>
    <mergeCell ref="AR118:AS118"/>
    <mergeCell ref="AV118:AY118"/>
    <mergeCell ref="I119:U119"/>
    <mergeCell ref="Q120:S120"/>
    <mergeCell ref="AJ120:AK120"/>
    <mergeCell ref="AJ114:AK114"/>
    <mergeCell ref="AR114:AS114"/>
    <mergeCell ref="AV115:AY116"/>
    <mergeCell ref="Q116:S116"/>
    <mergeCell ref="AJ116:AK116"/>
    <mergeCell ref="AV117:AY117"/>
    <mergeCell ref="AJ110:AK110"/>
    <mergeCell ref="AR110:AS110"/>
    <mergeCell ref="AV110:AY110"/>
    <mergeCell ref="I111:U111"/>
    <mergeCell ref="AT111:AU111"/>
    <mergeCell ref="Q112:S112"/>
    <mergeCell ref="AJ112:AK112"/>
    <mergeCell ref="AT112:AU112"/>
    <mergeCell ref="D107:H108"/>
    <mergeCell ref="AV107:AY108"/>
    <mergeCell ref="Q108:S108"/>
    <mergeCell ref="AJ108:AK108"/>
    <mergeCell ref="F109:H109"/>
    <mergeCell ref="AV109:AY109"/>
    <mergeCell ref="AJ102:AK102"/>
    <mergeCell ref="AR102:AS102"/>
    <mergeCell ref="AV102:AY102"/>
    <mergeCell ref="D103:H106"/>
    <mergeCell ref="I103:U103"/>
    <mergeCell ref="AT103:AU110"/>
    <mergeCell ref="Q104:S104"/>
    <mergeCell ref="AJ104:AK104"/>
    <mergeCell ref="AJ106:AK106"/>
    <mergeCell ref="AR106:AS106"/>
    <mergeCell ref="AJ98:AK98"/>
    <mergeCell ref="AR98:AS98"/>
    <mergeCell ref="AV99:AY100"/>
    <mergeCell ref="Q100:S100"/>
    <mergeCell ref="AJ100:AK100"/>
    <mergeCell ref="AV101:AY101"/>
    <mergeCell ref="AJ94:AK94"/>
    <mergeCell ref="AR94:AS94"/>
    <mergeCell ref="AV94:AY94"/>
    <mergeCell ref="I95:U95"/>
    <mergeCell ref="AT95:AU95"/>
    <mergeCell ref="Q96:S96"/>
    <mergeCell ref="AJ96:AK96"/>
    <mergeCell ref="AT96:AU96"/>
    <mergeCell ref="D91:H92"/>
    <mergeCell ref="AV91:AY92"/>
    <mergeCell ref="Q92:S92"/>
    <mergeCell ref="AJ92:AK92"/>
    <mergeCell ref="F93:H93"/>
    <mergeCell ref="AV93:AY93"/>
    <mergeCell ref="AJ86:AK86"/>
    <mergeCell ref="AR86:AS86"/>
    <mergeCell ref="AV86:AY86"/>
    <mergeCell ref="D87:H90"/>
    <mergeCell ref="I87:U87"/>
    <mergeCell ref="AT87:AU94"/>
    <mergeCell ref="Q88:S88"/>
    <mergeCell ref="AJ88:AK88"/>
    <mergeCell ref="AJ90:AK90"/>
    <mergeCell ref="AR90:AS90"/>
    <mergeCell ref="AJ82:AK82"/>
    <mergeCell ref="AR82:AS82"/>
    <mergeCell ref="AV83:AY84"/>
    <mergeCell ref="Q84:S84"/>
    <mergeCell ref="AJ84:AK84"/>
    <mergeCell ref="AV85:AY85"/>
    <mergeCell ref="AJ78:AK78"/>
    <mergeCell ref="AR78:AS78"/>
    <mergeCell ref="AV78:AY78"/>
    <mergeCell ref="I79:U79"/>
    <mergeCell ref="Q80:S80"/>
    <mergeCell ref="AJ80:AK80"/>
    <mergeCell ref="AJ74:AK74"/>
    <mergeCell ref="AR74:AS74"/>
    <mergeCell ref="AV75:AY76"/>
    <mergeCell ref="Q76:S76"/>
    <mergeCell ref="AJ76:AK76"/>
    <mergeCell ref="AV77:AY77"/>
    <mergeCell ref="AJ70:AK70"/>
    <mergeCell ref="AR70:AS70"/>
    <mergeCell ref="AV70:AY70"/>
    <mergeCell ref="I71:U71"/>
    <mergeCell ref="Q72:S72"/>
    <mergeCell ref="AJ72:AK72"/>
    <mergeCell ref="AJ66:AK66"/>
    <mergeCell ref="AR66:AS66"/>
    <mergeCell ref="AV67:AY68"/>
    <mergeCell ref="Q68:S68"/>
    <mergeCell ref="AJ68:AK68"/>
    <mergeCell ref="AV69:AY69"/>
    <mergeCell ref="AJ62:AK62"/>
    <mergeCell ref="AR62:AS62"/>
    <mergeCell ref="AV62:AY62"/>
    <mergeCell ref="I63:U63"/>
    <mergeCell ref="Q64:S64"/>
    <mergeCell ref="AJ64:AK64"/>
    <mergeCell ref="AJ58:AK58"/>
    <mergeCell ref="AR58:AS58"/>
    <mergeCell ref="AV59:AY60"/>
    <mergeCell ref="Q60:S60"/>
    <mergeCell ref="AJ60:AK60"/>
    <mergeCell ref="AV61:AY61"/>
    <mergeCell ref="AJ54:AK54"/>
    <mergeCell ref="AR54:AS54"/>
    <mergeCell ref="AV54:AY54"/>
    <mergeCell ref="I55:U55"/>
    <mergeCell ref="Q56:S56"/>
    <mergeCell ref="AJ56:AK56"/>
    <mergeCell ref="AJ50:AK50"/>
    <mergeCell ref="AR50:AS50"/>
    <mergeCell ref="AV51:AY52"/>
    <mergeCell ref="Q52:S52"/>
    <mergeCell ref="AJ52:AK52"/>
    <mergeCell ref="AV53:AY53"/>
    <mergeCell ref="AJ46:AK46"/>
    <mergeCell ref="AR46:AS46"/>
    <mergeCell ref="AV46:AY46"/>
    <mergeCell ref="I47:U47"/>
    <mergeCell ref="Q48:S48"/>
    <mergeCell ref="AJ48:AK48"/>
    <mergeCell ref="AJ42:AK42"/>
    <mergeCell ref="AR42:AS42"/>
    <mergeCell ref="AV43:AY44"/>
    <mergeCell ref="Q44:S44"/>
    <mergeCell ref="AJ44:AK44"/>
    <mergeCell ref="AV45:AY45"/>
    <mergeCell ref="AJ38:AK38"/>
    <mergeCell ref="AR38:AS38"/>
    <mergeCell ref="AV38:AY38"/>
    <mergeCell ref="I39:U39"/>
    <mergeCell ref="Q40:S40"/>
    <mergeCell ref="AJ40:AK40"/>
    <mergeCell ref="AJ34:AK34"/>
    <mergeCell ref="AR34:AS34"/>
    <mergeCell ref="AV35:AY36"/>
    <mergeCell ref="Q36:S36"/>
    <mergeCell ref="AJ36:AK36"/>
    <mergeCell ref="AV37:AY37"/>
    <mergeCell ref="AV29:AY29"/>
    <mergeCell ref="AJ30:AK30"/>
    <mergeCell ref="AR30:AS30"/>
    <mergeCell ref="AV30:AY30"/>
    <mergeCell ref="I31:U31"/>
    <mergeCell ref="Q32:S32"/>
    <mergeCell ref="AJ32:AK32"/>
    <mergeCell ref="I23:U23"/>
    <mergeCell ref="Q24:S24"/>
    <mergeCell ref="AJ24:AK24"/>
    <mergeCell ref="AJ26:AK26"/>
    <mergeCell ref="AR26:AS26"/>
    <mergeCell ref="AV27:AY28"/>
    <mergeCell ref="Q28:S28"/>
    <mergeCell ref="AJ28:AK28"/>
    <mergeCell ref="AV19:AY20"/>
    <mergeCell ref="Q20:S20"/>
    <mergeCell ref="AJ20:AK20"/>
    <mergeCell ref="AV21:AY21"/>
    <mergeCell ref="AJ22:AK22"/>
    <mergeCell ref="AR22:AS22"/>
    <mergeCell ref="AV22:AY22"/>
    <mergeCell ref="I15:U15"/>
    <mergeCell ref="AT15:AU15"/>
    <mergeCell ref="Q16:S16"/>
    <mergeCell ref="AJ16:AK16"/>
    <mergeCell ref="AT16:AU16"/>
    <mergeCell ref="AJ18:AK18"/>
    <mergeCell ref="AR18:AS18"/>
    <mergeCell ref="Q12:S12"/>
    <mergeCell ref="AJ12:AK12"/>
    <mergeCell ref="F13:H13"/>
    <mergeCell ref="AV13:AY13"/>
    <mergeCell ref="AJ14:AK14"/>
    <mergeCell ref="AR14:AS14"/>
    <mergeCell ref="AV14:AY14"/>
    <mergeCell ref="D5:AY5"/>
    <mergeCell ref="D7:H10"/>
    <mergeCell ref="I7:U7"/>
    <mergeCell ref="AT7:AU14"/>
    <mergeCell ref="Q8:S8"/>
    <mergeCell ref="AJ8:AK8"/>
    <mergeCell ref="AJ10:AK10"/>
    <mergeCell ref="AR10:AS10"/>
    <mergeCell ref="D11:H12"/>
    <mergeCell ref="AV11:AY12"/>
  </mergeCells>
  <phoneticPr fontId="1"/>
  <printOptions horizontalCentered="1"/>
  <pageMargins left="0.39370078740157483" right="0.19685039370078741" top="0.78740157480314965" bottom="0.59055118110236227" header="0.51181102362204722" footer="0.31496062992125984"/>
  <pageSetup paperSize="9" scale="55" orientation="portrait" r:id="rId1"/>
  <headerFooter>
    <oddHeader>&amp;R&amp;9重度訪問介護</oddHeader>
    <oddFooter>&amp;C&amp;14&amp;P</oddFooter>
  </headerFooter>
  <rowBreaks count="5" manualBreakCount="5">
    <brk id="86" max="50" man="1"/>
    <brk id="102" max="50" man="1"/>
    <brk id="182" max="50" man="1"/>
    <brk id="198" max="50" man="1"/>
    <brk id="278" max="5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V12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8" style="10" bestFit="1" customWidth="1"/>
    <col min="4" max="4" width="2.5" style="11" customWidth="1"/>
    <col min="5" max="5" width="4.875" style="10" customWidth="1"/>
    <col min="6" max="6" width="5.5" style="10" customWidth="1"/>
    <col min="7" max="7" width="2.5" style="10" customWidth="1"/>
    <col min="8" max="8" width="4.875" style="10" customWidth="1"/>
    <col min="9" max="9" width="5.5" style="117" bestFit="1" customWidth="1"/>
    <col min="10" max="10" width="11.875" style="12" customWidth="1"/>
    <col min="11" max="11" width="3.5" style="12" bestFit="1" customWidth="1"/>
    <col min="12" max="12" width="4.5" style="13" bestFit="1" customWidth="1"/>
    <col min="13" max="13" width="24.875" style="14" bestFit="1" customWidth="1"/>
    <col min="14" max="14" width="3.5" style="12" bestFit="1" customWidth="1"/>
    <col min="15" max="15" width="5.5" style="13" bestFit="1" customWidth="1"/>
    <col min="16" max="16" width="3.5" style="12" bestFit="1" customWidth="1"/>
    <col min="17" max="17" width="4.5" style="13" bestFit="1" customWidth="1"/>
    <col min="18" max="18" width="5.5" style="12" bestFit="1" customWidth="1"/>
    <col min="19" max="19" width="9.875" style="12" customWidth="1"/>
    <col min="20" max="20" width="4.5" style="12" bestFit="1" customWidth="1"/>
    <col min="21" max="21" width="7.125" style="15" customWidth="1"/>
    <col min="22" max="22" width="8.5" style="16" customWidth="1"/>
    <col min="23" max="16384" width="8.875" style="12"/>
  </cols>
  <sheetData>
    <row r="1" spans="1:22" ht="17.100000000000001" customHeight="1" x14ac:dyDescent="0.15">
      <c r="E1" s="11"/>
      <c r="F1" s="12"/>
      <c r="G1" s="12"/>
      <c r="H1" s="11"/>
      <c r="I1" s="12"/>
    </row>
    <row r="2" spans="1:22" ht="17.100000000000001" customHeight="1" x14ac:dyDescent="0.15"/>
    <row r="3" spans="1:22" ht="17.100000000000001" customHeight="1" x14ac:dyDescent="0.15"/>
    <row r="4" spans="1:22" ht="17.100000000000001" customHeight="1" x14ac:dyDescent="0.15">
      <c r="B4" s="17" t="s">
        <v>1804</v>
      </c>
      <c r="E4" s="71"/>
      <c r="F4" s="71"/>
      <c r="G4" s="71"/>
    </row>
    <row r="5" spans="1:22" ht="16.5" customHeight="1" x14ac:dyDescent="0.15">
      <c r="A5" s="19" t="s">
        <v>384</v>
      </c>
      <c r="B5" s="20"/>
      <c r="C5" s="21" t="s">
        <v>385</v>
      </c>
      <c r="D5" s="126"/>
      <c r="E5" s="23" t="s">
        <v>386</v>
      </c>
      <c r="F5" s="23"/>
      <c r="G5" s="23"/>
      <c r="H5" s="23"/>
      <c r="I5" s="118"/>
      <c r="J5" s="23"/>
      <c r="K5" s="23"/>
      <c r="L5" s="24"/>
      <c r="M5" s="23"/>
      <c r="N5" s="23"/>
      <c r="O5" s="24"/>
      <c r="P5" s="23"/>
      <c r="Q5" s="24"/>
      <c r="R5" s="23"/>
      <c r="S5" s="23"/>
      <c r="T5" s="23"/>
      <c r="U5" s="25" t="s">
        <v>387</v>
      </c>
      <c r="V5" s="21" t="s">
        <v>388</v>
      </c>
    </row>
    <row r="6" spans="1:22" ht="16.5" customHeight="1" x14ac:dyDescent="0.15">
      <c r="A6" s="26" t="s">
        <v>389</v>
      </c>
      <c r="B6" s="26" t="s">
        <v>390</v>
      </c>
      <c r="C6" s="27"/>
      <c r="D6" s="28"/>
      <c r="E6" s="29"/>
      <c r="F6" s="29"/>
      <c r="G6" s="726" t="s">
        <v>1032</v>
      </c>
      <c r="H6" s="731"/>
      <c r="I6" s="727"/>
      <c r="J6" s="29"/>
      <c r="K6" s="29"/>
      <c r="L6" s="30"/>
      <c r="M6" s="29"/>
      <c r="N6" s="29"/>
      <c r="O6" s="30"/>
      <c r="P6" s="29"/>
      <c r="Q6" s="30"/>
      <c r="R6" s="29"/>
      <c r="S6" s="29"/>
      <c r="T6" s="29"/>
      <c r="U6" s="31" t="s">
        <v>391</v>
      </c>
      <c r="V6" s="32" t="s">
        <v>392</v>
      </c>
    </row>
    <row r="7" spans="1:22" ht="16.5" customHeight="1" x14ac:dyDescent="0.15">
      <c r="A7" s="41">
        <v>11</v>
      </c>
      <c r="B7" s="41">
        <v>1547</v>
      </c>
      <c r="C7" s="127" t="s">
        <v>1805</v>
      </c>
      <c r="D7" s="732" t="s">
        <v>1806</v>
      </c>
      <c r="E7" s="707" t="s">
        <v>861</v>
      </c>
      <c r="F7" s="717"/>
      <c r="G7" s="732" t="s">
        <v>1807</v>
      </c>
      <c r="H7" s="707" t="s">
        <v>1617</v>
      </c>
      <c r="I7" s="717"/>
      <c r="J7" s="53"/>
      <c r="K7" s="49"/>
      <c r="L7" s="50"/>
      <c r="M7" s="44"/>
      <c r="N7" s="45"/>
      <c r="O7" s="46"/>
      <c r="P7" s="53" t="s">
        <v>1036</v>
      </c>
      <c r="Q7" s="50"/>
      <c r="R7" s="115"/>
      <c r="S7" s="53"/>
      <c r="T7" s="49"/>
      <c r="U7" s="47">
        <f>+ROUND((_11_B身体０．５＿０．５*(1+_11・B深夜)),0)</f>
        <v>221</v>
      </c>
      <c r="V7" s="128" t="s">
        <v>395</v>
      </c>
    </row>
    <row r="8" spans="1:22" ht="16.5" customHeight="1" x14ac:dyDescent="0.15">
      <c r="A8" s="41">
        <v>11</v>
      </c>
      <c r="B8" s="41">
        <v>1548</v>
      </c>
      <c r="C8" s="127" t="s">
        <v>1808</v>
      </c>
      <c r="D8" s="733"/>
      <c r="E8" s="709"/>
      <c r="F8" s="718"/>
      <c r="G8" s="733"/>
      <c r="H8" s="709"/>
      <c r="I8" s="718"/>
      <c r="J8" s="43"/>
      <c r="K8" s="37"/>
      <c r="L8" s="38"/>
      <c r="M8" s="44" t="s">
        <v>397</v>
      </c>
      <c r="N8" s="45" t="s">
        <v>398</v>
      </c>
      <c r="O8" s="46">
        <v>1</v>
      </c>
      <c r="P8" s="35" t="s">
        <v>398</v>
      </c>
      <c r="Q8" s="13">
        <v>0.5</v>
      </c>
      <c r="R8" s="728" t="s">
        <v>676</v>
      </c>
      <c r="S8" s="35"/>
      <c r="U8" s="47">
        <f>+ROUND((ROUND((_11_B身体０．５＿０．５*_11・２人),0)*(1+_11・B深夜)),0)</f>
        <v>221</v>
      </c>
      <c r="V8" s="48"/>
    </row>
    <row r="9" spans="1:22" ht="16.5" customHeight="1" x14ac:dyDescent="0.15">
      <c r="A9" s="41">
        <v>11</v>
      </c>
      <c r="B9" s="41">
        <v>1549</v>
      </c>
      <c r="C9" s="127" t="s">
        <v>1809</v>
      </c>
      <c r="D9" s="733"/>
      <c r="E9" s="709"/>
      <c r="F9" s="718"/>
      <c r="G9" s="733"/>
      <c r="H9" s="709"/>
      <c r="I9" s="718"/>
      <c r="J9" s="705" t="s">
        <v>400</v>
      </c>
      <c r="K9" s="49" t="s">
        <v>398</v>
      </c>
      <c r="L9" s="50">
        <v>0.7</v>
      </c>
      <c r="M9" s="44"/>
      <c r="N9" s="45"/>
      <c r="O9" s="46"/>
      <c r="P9" s="35"/>
      <c r="R9" s="728"/>
      <c r="S9" s="35"/>
      <c r="U9" s="47">
        <f>+ROUND((ROUND((_11_B身体０．５＿０．５*_11・基礎１),0)*(1+_11・B深夜)),0)</f>
        <v>155</v>
      </c>
      <c r="V9" s="48"/>
    </row>
    <row r="10" spans="1:22" ht="16.5" customHeight="1" x14ac:dyDescent="0.15">
      <c r="A10" s="41">
        <v>11</v>
      </c>
      <c r="B10" s="41">
        <v>1550</v>
      </c>
      <c r="C10" s="127" t="s">
        <v>1810</v>
      </c>
      <c r="D10" s="733"/>
      <c r="E10" s="121"/>
      <c r="F10" s="129"/>
      <c r="G10" s="733"/>
      <c r="H10" s="100">
        <f>_11_B身体０．５＿０．５</f>
        <v>147</v>
      </c>
      <c r="I10" s="12" t="s">
        <v>392</v>
      </c>
      <c r="J10" s="711"/>
      <c r="K10" s="37"/>
      <c r="L10" s="38"/>
      <c r="M10" s="44" t="s">
        <v>397</v>
      </c>
      <c r="N10" s="45" t="s">
        <v>398</v>
      </c>
      <c r="O10" s="46">
        <v>1</v>
      </c>
      <c r="P10" s="35"/>
      <c r="R10" s="57"/>
      <c r="S10" s="43"/>
      <c r="T10" s="37"/>
      <c r="U10" s="47">
        <f>+ROUND((ROUND((ROUND((_11_B身体０．５＿０．５*_11・基礎１),0)*_11・２人),0)*(1+_11・B深夜)),0)</f>
        <v>155</v>
      </c>
      <c r="V10" s="48"/>
    </row>
    <row r="11" spans="1:22" ht="16.5" customHeight="1" x14ac:dyDescent="0.15">
      <c r="A11" s="41">
        <v>11</v>
      </c>
      <c r="B11" s="41" t="s">
        <v>1811</v>
      </c>
      <c r="C11" s="127" t="s">
        <v>1812</v>
      </c>
      <c r="D11" s="733"/>
      <c r="E11" s="121"/>
      <c r="F11" s="129"/>
      <c r="G11" s="733"/>
      <c r="H11" s="121"/>
      <c r="I11" s="99"/>
      <c r="J11" s="53"/>
      <c r="K11" s="49"/>
      <c r="L11" s="50"/>
      <c r="M11" s="44"/>
      <c r="N11" s="45"/>
      <c r="O11" s="46"/>
      <c r="P11" s="35"/>
      <c r="R11" s="57"/>
      <c r="S11" s="707" t="s">
        <v>404</v>
      </c>
      <c r="T11" s="708"/>
      <c r="U11" s="47">
        <f>+ROUND((ROUND((_11_B身体０．５＿０．５*(1+_11・B深夜)),0)*_11・初任),0)</f>
        <v>155</v>
      </c>
      <c r="V11" s="48"/>
    </row>
    <row r="12" spans="1:22" ht="16.5" customHeight="1" x14ac:dyDescent="0.15">
      <c r="A12" s="41">
        <v>11</v>
      </c>
      <c r="B12" s="41" t="s">
        <v>1813</v>
      </c>
      <c r="C12" s="127" t="s">
        <v>1814</v>
      </c>
      <c r="D12" s="733"/>
      <c r="E12" s="121"/>
      <c r="F12" s="129"/>
      <c r="G12" s="733"/>
      <c r="H12" s="121"/>
      <c r="I12" s="99"/>
      <c r="J12" s="43"/>
      <c r="K12" s="37"/>
      <c r="L12" s="38"/>
      <c r="M12" s="44" t="s">
        <v>397</v>
      </c>
      <c r="N12" s="45" t="s">
        <v>398</v>
      </c>
      <c r="O12" s="46">
        <v>1</v>
      </c>
      <c r="P12" s="35"/>
      <c r="R12" s="57"/>
      <c r="S12" s="709"/>
      <c r="T12" s="704"/>
      <c r="U12" s="47">
        <f>+ROUND((ROUND((ROUND((_11_B身体０．５＿０．５*_11・２人),0)*(1+_11・B深夜)),0)*_11・初任),0)</f>
        <v>155</v>
      </c>
      <c r="V12" s="48"/>
    </row>
    <row r="13" spans="1:22" ht="16.5" customHeight="1" x14ac:dyDescent="0.15">
      <c r="A13" s="41">
        <v>11</v>
      </c>
      <c r="B13" s="41" t="s">
        <v>1815</v>
      </c>
      <c r="C13" s="127" t="s">
        <v>1816</v>
      </c>
      <c r="D13" s="733"/>
      <c r="E13" s="72"/>
      <c r="F13" s="130"/>
      <c r="G13" s="733"/>
      <c r="H13" s="72"/>
      <c r="I13" s="99"/>
      <c r="J13" s="705" t="s">
        <v>400</v>
      </c>
      <c r="K13" s="49" t="s">
        <v>398</v>
      </c>
      <c r="L13" s="50">
        <v>0.7</v>
      </c>
      <c r="M13" s="44"/>
      <c r="N13" s="45"/>
      <c r="O13" s="46"/>
      <c r="P13" s="35"/>
      <c r="R13" s="57"/>
      <c r="S13" s="709"/>
      <c r="T13" s="704"/>
      <c r="U13" s="47">
        <f>+ROUND((ROUND((ROUND((_11_B身体０．５＿０．５*_11・基礎１),0)*(1+_11・B深夜)),0)*_11・初任),0)</f>
        <v>109</v>
      </c>
      <c r="V13" s="48"/>
    </row>
    <row r="14" spans="1:22" ht="16.5" customHeight="1" x14ac:dyDescent="0.15">
      <c r="A14" s="41">
        <v>11</v>
      </c>
      <c r="B14" s="41" t="s">
        <v>1817</v>
      </c>
      <c r="C14" s="127" t="s">
        <v>1818</v>
      </c>
      <c r="D14" s="733"/>
      <c r="E14" s="72"/>
      <c r="F14" s="130"/>
      <c r="G14" s="733"/>
      <c r="H14" s="72"/>
      <c r="I14" s="99"/>
      <c r="J14" s="711"/>
      <c r="K14" s="37"/>
      <c r="L14" s="38"/>
      <c r="M14" s="44" t="s">
        <v>397</v>
      </c>
      <c r="N14" s="45" t="s">
        <v>398</v>
      </c>
      <c r="O14" s="46">
        <v>1</v>
      </c>
      <c r="P14" s="35"/>
      <c r="R14" s="57"/>
      <c r="S14" s="55" t="s">
        <v>398</v>
      </c>
      <c r="T14" s="38">
        <f>_11・初任</f>
        <v>0.7</v>
      </c>
      <c r="U14" s="47">
        <f>+ROUND((ROUND((ROUND((ROUND((_11_B身体０．５＿０．５*_11・基礎１),0)*_11・２人),0)*(1+_11・B深夜)),0)*_11・初任),0)</f>
        <v>109</v>
      </c>
      <c r="V14" s="48"/>
    </row>
    <row r="15" spans="1:22" ht="16.5" customHeight="1" x14ac:dyDescent="0.15">
      <c r="A15" s="41">
        <v>11</v>
      </c>
      <c r="B15" s="41">
        <v>1551</v>
      </c>
      <c r="C15" s="127" t="s">
        <v>1819</v>
      </c>
      <c r="D15" s="131"/>
      <c r="E15" s="72"/>
      <c r="F15" s="130"/>
      <c r="G15" s="131"/>
      <c r="H15" s="707" t="s">
        <v>1631</v>
      </c>
      <c r="I15" s="717"/>
      <c r="J15" s="49"/>
      <c r="K15" s="49"/>
      <c r="L15" s="50"/>
      <c r="M15" s="44"/>
      <c r="N15" s="45"/>
      <c r="O15" s="46"/>
      <c r="P15" s="35"/>
      <c r="R15" s="57"/>
      <c r="S15" s="53"/>
      <c r="T15" s="49"/>
      <c r="U15" s="47">
        <f>+ROUND((_11_B身体０．５＿１．０*(1+_11・B深夜)),0)</f>
        <v>494</v>
      </c>
      <c r="V15" s="48"/>
    </row>
    <row r="16" spans="1:22" ht="16.5" customHeight="1" x14ac:dyDescent="0.15">
      <c r="A16" s="41">
        <v>11</v>
      </c>
      <c r="B16" s="41">
        <v>1552</v>
      </c>
      <c r="C16" s="127" t="s">
        <v>1820</v>
      </c>
      <c r="D16" s="131"/>
      <c r="E16" s="72"/>
      <c r="F16" s="130"/>
      <c r="G16" s="131"/>
      <c r="H16" s="709"/>
      <c r="I16" s="718"/>
      <c r="J16" s="37"/>
      <c r="K16" s="37"/>
      <c r="L16" s="38"/>
      <c r="M16" s="44" t="s">
        <v>397</v>
      </c>
      <c r="N16" s="45" t="s">
        <v>398</v>
      </c>
      <c r="O16" s="46">
        <v>1</v>
      </c>
      <c r="P16" s="35"/>
      <c r="R16" s="57"/>
      <c r="S16" s="35"/>
      <c r="U16" s="47">
        <f>+ROUND((ROUND((_11_B身体０．５＿１．０*_11・２人),0)*(1+_11・B深夜)),0)</f>
        <v>494</v>
      </c>
      <c r="V16" s="48"/>
    </row>
    <row r="17" spans="1:22" ht="16.5" customHeight="1" x14ac:dyDescent="0.15">
      <c r="A17" s="41">
        <v>11</v>
      </c>
      <c r="B17" s="41">
        <v>1553</v>
      </c>
      <c r="C17" s="127" t="s">
        <v>1821</v>
      </c>
      <c r="D17" s="131"/>
      <c r="E17" s="72"/>
      <c r="F17" s="130"/>
      <c r="G17" s="131"/>
      <c r="H17" s="709"/>
      <c r="I17" s="718"/>
      <c r="J17" s="729" t="s">
        <v>400</v>
      </c>
      <c r="K17" s="49" t="s">
        <v>398</v>
      </c>
      <c r="L17" s="50">
        <v>0.7</v>
      </c>
      <c r="M17" s="44"/>
      <c r="N17" s="45"/>
      <c r="O17" s="46"/>
      <c r="P17" s="35"/>
      <c r="R17" s="57"/>
      <c r="S17" s="35"/>
      <c r="U17" s="47">
        <f>+ROUND((ROUND((_11_B身体０．５＿１．０*_11・基礎１),0)*(1+_11・B深夜)),0)</f>
        <v>345</v>
      </c>
      <c r="V17" s="48"/>
    </row>
    <row r="18" spans="1:22" ht="16.5" customHeight="1" x14ac:dyDescent="0.15">
      <c r="A18" s="41">
        <v>11</v>
      </c>
      <c r="B18" s="41">
        <v>1554</v>
      </c>
      <c r="C18" s="127" t="s">
        <v>1822</v>
      </c>
      <c r="D18" s="131"/>
      <c r="E18" s="72"/>
      <c r="F18" s="130"/>
      <c r="G18" s="131"/>
      <c r="H18" s="100">
        <f>_11_B身体０．５＿１．０</f>
        <v>329</v>
      </c>
      <c r="I18" s="57" t="s">
        <v>392</v>
      </c>
      <c r="J18" s="730"/>
      <c r="K18" s="37"/>
      <c r="L18" s="38"/>
      <c r="M18" s="44" t="s">
        <v>397</v>
      </c>
      <c r="N18" s="45" t="s">
        <v>398</v>
      </c>
      <c r="O18" s="46">
        <v>1</v>
      </c>
      <c r="P18" s="35"/>
      <c r="R18" s="57"/>
      <c r="S18" s="43"/>
      <c r="T18" s="37"/>
      <c r="U18" s="47">
        <f>+ROUND((ROUND((ROUND((_11_B身体０．５＿１．０*_11・基礎１),0)*_11・２人),0)*(1+_11・B深夜)),0)</f>
        <v>345</v>
      </c>
      <c r="V18" s="48"/>
    </row>
    <row r="19" spans="1:22" ht="16.5" customHeight="1" x14ac:dyDescent="0.15">
      <c r="A19" s="41">
        <v>11</v>
      </c>
      <c r="B19" s="41" t="s">
        <v>1823</v>
      </c>
      <c r="C19" s="127" t="s">
        <v>1824</v>
      </c>
      <c r="D19" s="131"/>
      <c r="E19" s="72"/>
      <c r="F19" s="130"/>
      <c r="G19" s="131"/>
      <c r="H19" s="72"/>
      <c r="I19" s="99"/>
      <c r="J19" s="53"/>
      <c r="K19" s="49"/>
      <c r="L19" s="50"/>
      <c r="M19" s="44"/>
      <c r="N19" s="45"/>
      <c r="O19" s="46"/>
      <c r="P19" s="35"/>
      <c r="R19" s="57"/>
      <c r="S19" s="707" t="s">
        <v>404</v>
      </c>
      <c r="T19" s="708"/>
      <c r="U19" s="47">
        <f>+ROUND((ROUND((_11_B身体０．５＿１．０*(1+_11・B深夜)),0)*_11・初任),0)</f>
        <v>346</v>
      </c>
      <c r="V19" s="48"/>
    </row>
    <row r="20" spans="1:22" ht="16.5" customHeight="1" x14ac:dyDescent="0.15">
      <c r="A20" s="41">
        <v>11</v>
      </c>
      <c r="B20" s="41" t="s">
        <v>1825</v>
      </c>
      <c r="C20" s="127" t="s">
        <v>1826</v>
      </c>
      <c r="D20" s="131"/>
      <c r="E20" s="72"/>
      <c r="F20" s="130"/>
      <c r="G20" s="131"/>
      <c r="H20" s="72"/>
      <c r="I20" s="99"/>
      <c r="J20" s="43"/>
      <c r="K20" s="37"/>
      <c r="L20" s="38"/>
      <c r="M20" s="44" t="s">
        <v>397</v>
      </c>
      <c r="N20" s="45" t="s">
        <v>398</v>
      </c>
      <c r="O20" s="46">
        <v>1</v>
      </c>
      <c r="P20" s="35"/>
      <c r="R20" s="57"/>
      <c r="S20" s="709"/>
      <c r="T20" s="704"/>
      <c r="U20" s="47">
        <f>+ROUND((ROUND((ROUND((_11_B身体０．５＿１．０*_11・２人),0)*(1+_11・B深夜)),0)*_11・初任),0)</f>
        <v>346</v>
      </c>
      <c r="V20" s="48"/>
    </row>
    <row r="21" spans="1:22" ht="16.5" customHeight="1" x14ac:dyDescent="0.15">
      <c r="A21" s="41">
        <v>11</v>
      </c>
      <c r="B21" s="41" t="s">
        <v>1827</v>
      </c>
      <c r="C21" s="127" t="s">
        <v>1828</v>
      </c>
      <c r="D21" s="131"/>
      <c r="E21" s="72"/>
      <c r="F21" s="130"/>
      <c r="G21" s="131"/>
      <c r="H21" s="72"/>
      <c r="I21" s="99"/>
      <c r="J21" s="705" t="s">
        <v>400</v>
      </c>
      <c r="K21" s="49" t="s">
        <v>398</v>
      </c>
      <c r="L21" s="50">
        <v>0.7</v>
      </c>
      <c r="M21" s="44"/>
      <c r="N21" s="45"/>
      <c r="O21" s="46"/>
      <c r="P21" s="35"/>
      <c r="R21" s="57"/>
      <c r="S21" s="709"/>
      <c r="T21" s="704"/>
      <c r="U21" s="47">
        <f>+ROUND((ROUND((ROUND((_11_B身体０．５＿１．０*_11・基礎１),0)*(1+_11・B深夜)),0)*_11・初任),0)</f>
        <v>242</v>
      </c>
      <c r="V21" s="48"/>
    </row>
    <row r="22" spans="1:22" ht="16.5" customHeight="1" x14ac:dyDescent="0.15">
      <c r="A22" s="41">
        <v>11</v>
      </c>
      <c r="B22" s="41" t="s">
        <v>1829</v>
      </c>
      <c r="C22" s="127" t="s">
        <v>1830</v>
      </c>
      <c r="D22" s="131"/>
      <c r="E22" s="72"/>
      <c r="F22" s="130"/>
      <c r="G22" s="131"/>
      <c r="H22" s="72"/>
      <c r="I22" s="99"/>
      <c r="J22" s="711"/>
      <c r="K22" s="37"/>
      <c r="L22" s="38"/>
      <c r="M22" s="44" t="s">
        <v>397</v>
      </c>
      <c r="N22" s="45" t="s">
        <v>398</v>
      </c>
      <c r="O22" s="46">
        <v>1</v>
      </c>
      <c r="P22" s="35"/>
      <c r="R22" s="57"/>
      <c r="S22" s="55" t="s">
        <v>398</v>
      </c>
      <c r="T22" s="38">
        <f>_11・初任</f>
        <v>0.7</v>
      </c>
      <c r="U22" s="47">
        <f>+ROUND((ROUND((ROUND((ROUND((_11_B身体０．５＿１．０*_11・基礎１),0)*_11・２人),0)*(1+_11・B深夜)),0)*_11・初任),0)</f>
        <v>242</v>
      </c>
      <c r="V22" s="48"/>
    </row>
    <row r="23" spans="1:22" ht="16.5" customHeight="1" x14ac:dyDescent="0.15">
      <c r="A23" s="41">
        <v>11</v>
      </c>
      <c r="B23" s="41">
        <v>1555</v>
      </c>
      <c r="C23" s="127" t="s">
        <v>1831</v>
      </c>
      <c r="D23" s="131"/>
      <c r="E23" s="72"/>
      <c r="F23" s="130"/>
      <c r="G23" s="131"/>
      <c r="H23" s="707" t="s">
        <v>1644</v>
      </c>
      <c r="I23" s="717"/>
      <c r="J23" s="53"/>
      <c r="K23" s="49"/>
      <c r="L23" s="50"/>
      <c r="M23" s="44"/>
      <c r="N23" s="45"/>
      <c r="O23" s="46"/>
      <c r="P23" s="35"/>
      <c r="R23" s="57"/>
      <c r="S23" s="53"/>
      <c r="T23" s="49"/>
      <c r="U23" s="47">
        <f>+ROUND((_11_B身体０．５＿１．５*(1+_11・B深夜)),0)</f>
        <v>617</v>
      </c>
      <c r="V23" s="48"/>
    </row>
    <row r="24" spans="1:22" ht="16.5" customHeight="1" x14ac:dyDescent="0.15">
      <c r="A24" s="41">
        <v>11</v>
      </c>
      <c r="B24" s="41">
        <v>1556</v>
      </c>
      <c r="C24" s="127" t="s">
        <v>1832</v>
      </c>
      <c r="D24" s="131"/>
      <c r="E24" s="72"/>
      <c r="F24" s="130"/>
      <c r="G24" s="131"/>
      <c r="H24" s="709"/>
      <c r="I24" s="718"/>
      <c r="J24" s="43"/>
      <c r="K24" s="37"/>
      <c r="L24" s="38"/>
      <c r="M24" s="44" t="s">
        <v>397</v>
      </c>
      <c r="N24" s="45" t="s">
        <v>398</v>
      </c>
      <c r="O24" s="46">
        <v>1</v>
      </c>
      <c r="P24" s="35"/>
      <c r="R24" s="57"/>
      <c r="S24" s="35"/>
      <c r="U24" s="47">
        <f>+ROUND((ROUND((_11_B身体０．５＿１．５*_11・２人),0)*(1+_11・B深夜)),0)</f>
        <v>617</v>
      </c>
      <c r="V24" s="48"/>
    </row>
    <row r="25" spans="1:22" ht="16.5" customHeight="1" x14ac:dyDescent="0.15">
      <c r="A25" s="41">
        <v>11</v>
      </c>
      <c r="B25" s="41">
        <v>1557</v>
      </c>
      <c r="C25" s="127" t="s">
        <v>1833</v>
      </c>
      <c r="D25" s="131"/>
      <c r="E25" s="72"/>
      <c r="F25" s="130"/>
      <c r="G25" s="131"/>
      <c r="H25" s="709"/>
      <c r="I25" s="718"/>
      <c r="J25" s="705" t="s">
        <v>400</v>
      </c>
      <c r="K25" s="49" t="s">
        <v>398</v>
      </c>
      <c r="L25" s="50">
        <v>0.7</v>
      </c>
      <c r="M25" s="44"/>
      <c r="N25" s="45"/>
      <c r="O25" s="46"/>
      <c r="P25" s="35"/>
      <c r="R25" s="57"/>
      <c r="S25" s="35"/>
      <c r="U25" s="47">
        <f>+ROUND((ROUND((_11_B身体０．５＿１．５*_11・基礎１),0)*(1+_11・B深夜)),0)</f>
        <v>432</v>
      </c>
      <c r="V25" s="48"/>
    </row>
    <row r="26" spans="1:22" ht="16.5" customHeight="1" x14ac:dyDescent="0.15">
      <c r="A26" s="41">
        <v>11</v>
      </c>
      <c r="B26" s="41">
        <v>1558</v>
      </c>
      <c r="C26" s="127" t="s">
        <v>1834</v>
      </c>
      <c r="D26" s="131"/>
      <c r="E26" s="72"/>
      <c r="F26" s="130"/>
      <c r="G26" s="131"/>
      <c r="H26" s="100">
        <f>_11_B身体０．５＿１．５</f>
        <v>411</v>
      </c>
      <c r="I26" s="12" t="s">
        <v>392</v>
      </c>
      <c r="J26" s="711"/>
      <c r="K26" s="37"/>
      <c r="L26" s="38"/>
      <c r="M26" s="44" t="s">
        <v>397</v>
      </c>
      <c r="N26" s="45" t="s">
        <v>398</v>
      </c>
      <c r="O26" s="46">
        <v>1</v>
      </c>
      <c r="P26" s="35"/>
      <c r="R26" s="57"/>
      <c r="S26" s="43"/>
      <c r="T26" s="37"/>
      <c r="U26" s="47">
        <f>+ROUND((ROUND((ROUND((_11_B身体０．５＿１．５*_11・基礎１),0)*_11・２人),0)*(1+_11・B深夜)),0)</f>
        <v>432</v>
      </c>
      <c r="V26" s="48"/>
    </row>
    <row r="27" spans="1:22" ht="16.5" customHeight="1" x14ac:dyDescent="0.15">
      <c r="A27" s="41">
        <v>11</v>
      </c>
      <c r="B27" s="41" t="s">
        <v>1835</v>
      </c>
      <c r="C27" s="127" t="s">
        <v>1836</v>
      </c>
      <c r="D27" s="131"/>
      <c r="E27" s="72"/>
      <c r="F27" s="130"/>
      <c r="G27" s="131"/>
      <c r="H27" s="72"/>
      <c r="I27" s="99"/>
      <c r="J27" s="53"/>
      <c r="K27" s="49"/>
      <c r="L27" s="50"/>
      <c r="M27" s="44"/>
      <c r="N27" s="45"/>
      <c r="O27" s="46"/>
      <c r="P27" s="35"/>
      <c r="R27" s="57"/>
      <c r="S27" s="707" t="s">
        <v>404</v>
      </c>
      <c r="T27" s="708"/>
      <c r="U27" s="47">
        <f>+ROUND((ROUND((_11_B身体０．５＿１．５*(1+_11・B深夜)),0)*_11・初任),0)</f>
        <v>432</v>
      </c>
      <c r="V27" s="48"/>
    </row>
    <row r="28" spans="1:22" ht="16.5" customHeight="1" x14ac:dyDescent="0.15">
      <c r="A28" s="41">
        <v>11</v>
      </c>
      <c r="B28" s="41" t="s">
        <v>1837</v>
      </c>
      <c r="C28" s="127" t="s">
        <v>1838</v>
      </c>
      <c r="D28" s="131"/>
      <c r="E28" s="72"/>
      <c r="F28" s="130"/>
      <c r="G28" s="131"/>
      <c r="H28" s="72"/>
      <c r="I28" s="99"/>
      <c r="J28" s="43"/>
      <c r="K28" s="37"/>
      <c r="L28" s="38"/>
      <c r="M28" s="44" t="s">
        <v>397</v>
      </c>
      <c r="N28" s="45" t="s">
        <v>398</v>
      </c>
      <c r="O28" s="46">
        <v>1</v>
      </c>
      <c r="P28" s="35"/>
      <c r="R28" s="57"/>
      <c r="S28" s="709"/>
      <c r="T28" s="704"/>
      <c r="U28" s="47">
        <f>+ROUND((ROUND((ROUND((_11_B身体０．５＿１．５*_11・２人),0)*(1+_11・B深夜)),0)*_11・初任),0)</f>
        <v>432</v>
      </c>
      <c r="V28" s="48"/>
    </row>
    <row r="29" spans="1:22" ht="16.5" customHeight="1" x14ac:dyDescent="0.15">
      <c r="A29" s="41">
        <v>11</v>
      </c>
      <c r="B29" s="41" t="s">
        <v>1839</v>
      </c>
      <c r="C29" s="127" t="s">
        <v>1840</v>
      </c>
      <c r="D29" s="131"/>
      <c r="E29" s="72"/>
      <c r="F29" s="130"/>
      <c r="G29" s="131"/>
      <c r="H29" s="72"/>
      <c r="I29" s="99"/>
      <c r="J29" s="705" t="s">
        <v>400</v>
      </c>
      <c r="K29" s="49" t="s">
        <v>398</v>
      </c>
      <c r="L29" s="50">
        <v>0.7</v>
      </c>
      <c r="M29" s="44"/>
      <c r="N29" s="45"/>
      <c r="O29" s="46"/>
      <c r="P29" s="35"/>
      <c r="R29" s="57"/>
      <c r="S29" s="709"/>
      <c r="T29" s="704"/>
      <c r="U29" s="47">
        <f>+ROUND((ROUND((ROUND((_11_B身体０．５＿１．５*_11・基礎１),0)*(1+_11・B深夜)),0)*_11・初任),0)</f>
        <v>302</v>
      </c>
      <c r="V29" s="48"/>
    </row>
    <row r="30" spans="1:22" ht="16.5" customHeight="1" x14ac:dyDescent="0.15">
      <c r="A30" s="41">
        <v>11</v>
      </c>
      <c r="B30" s="41" t="s">
        <v>1841</v>
      </c>
      <c r="C30" s="127" t="s">
        <v>1842</v>
      </c>
      <c r="D30" s="131"/>
      <c r="E30" s="72"/>
      <c r="F30" s="130"/>
      <c r="G30" s="131"/>
      <c r="H30" s="72"/>
      <c r="I30" s="99"/>
      <c r="J30" s="711"/>
      <c r="K30" s="37"/>
      <c r="L30" s="38"/>
      <c r="M30" s="44" t="s">
        <v>397</v>
      </c>
      <c r="N30" s="45" t="s">
        <v>398</v>
      </c>
      <c r="O30" s="46">
        <v>1</v>
      </c>
      <c r="P30" s="35"/>
      <c r="R30" s="57"/>
      <c r="S30" s="55" t="s">
        <v>398</v>
      </c>
      <c r="T30" s="38">
        <f>_11・初任</f>
        <v>0.7</v>
      </c>
      <c r="U30" s="47">
        <f>+ROUND((ROUND((ROUND((ROUND((_11_B身体０．５＿１．５*_11・基礎１),0)*_11・２人),0)*(1+_11・B深夜)),0)*_11・初任),0)</f>
        <v>302</v>
      </c>
      <c r="V30" s="48"/>
    </row>
    <row r="31" spans="1:22" ht="16.5" customHeight="1" x14ac:dyDescent="0.15">
      <c r="A31" s="41">
        <v>11</v>
      </c>
      <c r="B31" s="41">
        <v>1559</v>
      </c>
      <c r="C31" s="127" t="s">
        <v>1843</v>
      </c>
      <c r="D31" s="131"/>
      <c r="E31" s="72"/>
      <c r="F31" s="130"/>
      <c r="G31" s="131"/>
      <c r="H31" s="707" t="s">
        <v>1657</v>
      </c>
      <c r="I31" s="717"/>
      <c r="J31" s="53"/>
      <c r="K31" s="49"/>
      <c r="L31" s="50"/>
      <c r="M31" s="44"/>
      <c r="N31" s="45"/>
      <c r="O31" s="46"/>
      <c r="P31" s="35"/>
      <c r="R31" s="57"/>
      <c r="S31" s="53"/>
      <c r="T31" s="49"/>
      <c r="U31" s="47">
        <f>+ROUND((_11_B身体０．５＿２．０*(1+_11・B深夜)),0)</f>
        <v>743</v>
      </c>
      <c r="V31" s="48"/>
    </row>
    <row r="32" spans="1:22" ht="16.5" customHeight="1" x14ac:dyDescent="0.15">
      <c r="A32" s="41">
        <v>11</v>
      </c>
      <c r="B32" s="41">
        <v>1560</v>
      </c>
      <c r="C32" s="127" t="s">
        <v>1844</v>
      </c>
      <c r="D32" s="131"/>
      <c r="E32" s="72"/>
      <c r="F32" s="130"/>
      <c r="G32" s="131"/>
      <c r="H32" s="709"/>
      <c r="I32" s="718"/>
      <c r="J32" s="43"/>
      <c r="K32" s="37"/>
      <c r="L32" s="38"/>
      <c r="M32" s="44" t="s">
        <v>397</v>
      </c>
      <c r="N32" s="45" t="s">
        <v>398</v>
      </c>
      <c r="O32" s="46">
        <v>1</v>
      </c>
      <c r="P32" s="35"/>
      <c r="R32" s="57"/>
      <c r="S32" s="35"/>
      <c r="U32" s="47">
        <f>+ROUND((ROUND((_11_B身体０．５＿２．０*_11・２人),0)*(1+_11・B深夜)),0)</f>
        <v>743</v>
      </c>
      <c r="V32" s="48"/>
    </row>
    <row r="33" spans="1:22" ht="16.5" customHeight="1" x14ac:dyDescent="0.15">
      <c r="A33" s="41">
        <v>11</v>
      </c>
      <c r="B33" s="41">
        <v>1561</v>
      </c>
      <c r="C33" s="127" t="s">
        <v>1845</v>
      </c>
      <c r="D33" s="131"/>
      <c r="E33" s="72"/>
      <c r="F33" s="130"/>
      <c r="G33" s="131"/>
      <c r="H33" s="709"/>
      <c r="I33" s="718"/>
      <c r="J33" s="705" t="s">
        <v>400</v>
      </c>
      <c r="K33" s="49" t="s">
        <v>398</v>
      </c>
      <c r="L33" s="50">
        <v>0.7</v>
      </c>
      <c r="M33" s="44"/>
      <c r="N33" s="45"/>
      <c r="O33" s="46"/>
      <c r="P33" s="35"/>
      <c r="R33" s="57"/>
      <c r="S33" s="35"/>
      <c r="U33" s="47">
        <f>+ROUND((ROUND((_11_B身体０．５＿２．０*_11・基礎１),0)*(1+_11・B深夜)),0)</f>
        <v>521</v>
      </c>
      <c r="V33" s="48"/>
    </row>
    <row r="34" spans="1:22" ht="16.5" customHeight="1" x14ac:dyDescent="0.15">
      <c r="A34" s="41">
        <v>11</v>
      </c>
      <c r="B34" s="41">
        <v>1562</v>
      </c>
      <c r="C34" s="127" t="s">
        <v>1846</v>
      </c>
      <c r="D34" s="131"/>
      <c r="E34" s="72"/>
      <c r="F34" s="130"/>
      <c r="G34" s="131"/>
      <c r="H34" s="100">
        <f>_11_B身体０．５＿２．０</f>
        <v>495</v>
      </c>
      <c r="I34" s="12" t="s">
        <v>392</v>
      </c>
      <c r="J34" s="711"/>
      <c r="K34" s="37"/>
      <c r="L34" s="38"/>
      <c r="M34" s="44" t="s">
        <v>397</v>
      </c>
      <c r="N34" s="45" t="s">
        <v>398</v>
      </c>
      <c r="O34" s="46">
        <v>1</v>
      </c>
      <c r="P34" s="35"/>
      <c r="R34" s="57"/>
      <c r="S34" s="43"/>
      <c r="T34" s="37"/>
      <c r="U34" s="47">
        <f>+ROUND((ROUND((ROUND((_11_B身体０．５＿２．０*_11・基礎１),0)*_11・２人),0)*(1+_11・B深夜)),0)</f>
        <v>521</v>
      </c>
      <c r="V34" s="48"/>
    </row>
    <row r="35" spans="1:22" ht="16.5" customHeight="1" x14ac:dyDescent="0.15">
      <c r="A35" s="41">
        <v>11</v>
      </c>
      <c r="B35" s="41" t="s">
        <v>1847</v>
      </c>
      <c r="C35" s="127" t="s">
        <v>1848</v>
      </c>
      <c r="D35" s="131"/>
      <c r="E35" s="72"/>
      <c r="F35" s="130"/>
      <c r="G35" s="131"/>
      <c r="H35" s="72"/>
      <c r="I35" s="99"/>
      <c r="J35" s="53"/>
      <c r="K35" s="49"/>
      <c r="L35" s="50"/>
      <c r="M35" s="44"/>
      <c r="N35" s="45"/>
      <c r="O35" s="46"/>
      <c r="P35" s="35"/>
      <c r="R35" s="57"/>
      <c r="S35" s="707" t="s">
        <v>404</v>
      </c>
      <c r="T35" s="708"/>
      <c r="U35" s="47">
        <f>+ROUND((ROUND((_11_B身体０．５＿２．０*(1+_11・B深夜)),0)*_11・初任),0)</f>
        <v>520</v>
      </c>
      <c r="V35" s="48"/>
    </row>
    <row r="36" spans="1:22" ht="16.5" customHeight="1" x14ac:dyDescent="0.15">
      <c r="A36" s="41">
        <v>11</v>
      </c>
      <c r="B36" s="41" t="s">
        <v>1849</v>
      </c>
      <c r="C36" s="127" t="s">
        <v>1850</v>
      </c>
      <c r="D36" s="131"/>
      <c r="E36" s="72"/>
      <c r="F36" s="130"/>
      <c r="G36" s="131"/>
      <c r="H36" s="72"/>
      <c r="I36" s="99"/>
      <c r="J36" s="43"/>
      <c r="K36" s="37"/>
      <c r="L36" s="38"/>
      <c r="M36" s="44" t="s">
        <v>397</v>
      </c>
      <c r="N36" s="45" t="s">
        <v>398</v>
      </c>
      <c r="O36" s="46">
        <v>1</v>
      </c>
      <c r="P36" s="35"/>
      <c r="R36" s="57"/>
      <c r="S36" s="709"/>
      <c r="T36" s="704"/>
      <c r="U36" s="47">
        <f>+ROUND((ROUND((ROUND((_11_B身体０．５＿２．０*_11・２人),0)*(1+_11・B深夜)),0)*_11・初任),0)</f>
        <v>520</v>
      </c>
      <c r="V36" s="48"/>
    </row>
    <row r="37" spans="1:22" ht="16.5" customHeight="1" x14ac:dyDescent="0.15">
      <c r="A37" s="41">
        <v>11</v>
      </c>
      <c r="B37" s="41" t="s">
        <v>1851</v>
      </c>
      <c r="C37" s="127" t="s">
        <v>1852</v>
      </c>
      <c r="D37" s="131"/>
      <c r="E37" s="72"/>
      <c r="F37" s="130"/>
      <c r="G37" s="131"/>
      <c r="H37" s="72"/>
      <c r="I37" s="99"/>
      <c r="J37" s="705" t="s">
        <v>400</v>
      </c>
      <c r="K37" s="49" t="s">
        <v>398</v>
      </c>
      <c r="L37" s="50">
        <v>0.7</v>
      </c>
      <c r="M37" s="44"/>
      <c r="N37" s="45"/>
      <c r="O37" s="46"/>
      <c r="P37" s="35"/>
      <c r="R37" s="57"/>
      <c r="S37" s="709"/>
      <c r="T37" s="704"/>
      <c r="U37" s="47">
        <f>+ROUND((ROUND((ROUND((_11_B身体０．５＿２．０*_11・基礎１),0)*(1+_11・B深夜)),0)*_11・初任),0)</f>
        <v>365</v>
      </c>
      <c r="V37" s="48"/>
    </row>
    <row r="38" spans="1:22" ht="16.5" customHeight="1" x14ac:dyDescent="0.15">
      <c r="A38" s="41">
        <v>11</v>
      </c>
      <c r="B38" s="41" t="s">
        <v>1853</v>
      </c>
      <c r="C38" s="127" t="s">
        <v>1854</v>
      </c>
      <c r="D38" s="131"/>
      <c r="E38" s="72"/>
      <c r="F38" s="130"/>
      <c r="G38" s="131"/>
      <c r="H38" s="72"/>
      <c r="I38" s="99"/>
      <c r="J38" s="711"/>
      <c r="K38" s="37"/>
      <c r="L38" s="38"/>
      <c r="M38" s="44" t="s">
        <v>397</v>
      </c>
      <c r="N38" s="45" t="s">
        <v>398</v>
      </c>
      <c r="O38" s="46">
        <v>1</v>
      </c>
      <c r="P38" s="35"/>
      <c r="R38" s="57"/>
      <c r="S38" s="55" t="s">
        <v>398</v>
      </c>
      <c r="T38" s="38">
        <f>_11・初任</f>
        <v>0.7</v>
      </c>
      <c r="U38" s="47">
        <f>+ROUND((ROUND((ROUND((ROUND((_11_B身体０．５＿２．０*_11・基礎１),0)*_11・２人),0)*(1+_11・B深夜)),0)*_11・初任),0)</f>
        <v>365</v>
      </c>
      <c r="V38" s="48"/>
    </row>
    <row r="39" spans="1:22" ht="16.5" customHeight="1" x14ac:dyDescent="0.15">
      <c r="A39" s="41">
        <v>11</v>
      </c>
      <c r="B39" s="41">
        <v>1563</v>
      </c>
      <c r="C39" s="127" t="s">
        <v>1855</v>
      </c>
      <c r="D39" s="131"/>
      <c r="E39" s="72"/>
      <c r="F39" s="130"/>
      <c r="G39" s="131"/>
      <c r="H39" s="707" t="s">
        <v>1670</v>
      </c>
      <c r="I39" s="717"/>
      <c r="J39" s="53"/>
      <c r="K39" s="49"/>
      <c r="L39" s="50"/>
      <c r="M39" s="44"/>
      <c r="N39" s="45"/>
      <c r="O39" s="46"/>
      <c r="P39" s="35"/>
      <c r="R39" s="57"/>
      <c r="S39" s="53"/>
      <c r="T39" s="49"/>
      <c r="U39" s="47">
        <f>+ROUND((_11_B身体０．５＿２．５*(1+_11・B深夜)),0)</f>
        <v>867</v>
      </c>
      <c r="V39" s="48"/>
    </row>
    <row r="40" spans="1:22" ht="16.5" customHeight="1" x14ac:dyDescent="0.15">
      <c r="A40" s="41">
        <v>11</v>
      </c>
      <c r="B40" s="41">
        <v>1564</v>
      </c>
      <c r="C40" s="127" t="s">
        <v>1856</v>
      </c>
      <c r="D40" s="131"/>
      <c r="E40" s="72"/>
      <c r="F40" s="130"/>
      <c r="G40" s="131"/>
      <c r="H40" s="709"/>
      <c r="I40" s="718"/>
      <c r="J40" s="43"/>
      <c r="K40" s="37"/>
      <c r="L40" s="38"/>
      <c r="M40" s="44" t="s">
        <v>397</v>
      </c>
      <c r="N40" s="45" t="s">
        <v>398</v>
      </c>
      <c r="O40" s="46">
        <v>1</v>
      </c>
      <c r="P40" s="35"/>
      <c r="R40" s="57"/>
      <c r="S40" s="35"/>
      <c r="U40" s="47">
        <f>+ROUND((ROUND((_11_B身体０．５＿２．５*_11・２人),0)*(1+_11・B深夜)),0)</f>
        <v>867</v>
      </c>
      <c r="V40" s="48"/>
    </row>
    <row r="41" spans="1:22" ht="16.5" customHeight="1" x14ac:dyDescent="0.15">
      <c r="A41" s="41">
        <v>11</v>
      </c>
      <c r="B41" s="41">
        <v>1565</v>
      </c>
      <c r="C41" s="127" t="s">
        <v>1857</v>
      </c>
      <c r="D41" s="131"/>
      <c r="E41" s="72"/>
      <c r="F41" s="130"/>
      <c r="G41" s="131"/>
      <c r="H41" s="709"/>
      <c r="I41" s="718"/>
      <c r="J41" s="705" t="s">
        <v>400</v>
      </c>
      <c r="K41" s="49" t="s">
        <v>398</v>
      </c>
      <c r="L41" s="50">
        <v>0.7</v>
      </c>
      <c r="M41" s="44"/>
      <c r="N41" s="45"/>
      <c r="O41" s="46"/>
      <c r="P41" s="35"/>
      <c r="R41" s="57"/>
      <c r="S41" s="35"/>
      <c r="U41" s="47">
        <f>+ROUND((ROUND((_11_B身体０．５＿２．５*_11・基礎１),0)*(1+_11・B深夜)),0)</f>
        <v>608</v>
      </c>
      <c r="V41" s="48"/>
    </row>
    <row r="42" spans="1:22" ht="16.5" customHeight="1" x14ac:dyDescent="0.15">
      <c r="A42" s="41">
        <v>11</v>
      </c>
      <c r="B42" s="41">
        <v>1566</v>
      </c>
      <c r="C42" s="127" t="s">
        <v>1858</v>
      </c>
      <c r="D42" s="131"/>
      <c r="E42" s="72"/>
      <c r="F42" s="130"/>
      <c r="G42" s="131"/>
      <c r="H42" s="100">
        <f>_11_B身体０．５＿２．５</f>
        <v>578</v>
      </c>
      <c r="I42" s="12" t="s">
        <v>392</v>
      </c>
      <c r="J42" s="711"/>
      <c r="K42" s="37"/>
      <c r="L42" s="38"/>
      <c r="M42" s="44" t="s">
        <v>397</v>
      </c>
      <c r="N42" s="45" t="s">
        <v>398</v>
      </c>
      <c r="O42" s="46">
        <v>1</v>
      </c>
      <c r="P42" s="35"/>
      <c r="R42" s="57"/>
      <c r="S42" s="43"/>
      <c r="T42" s="37"/>
      <c r="U42" s="47">
        <f>+ROUND((ROUND((ROUND((_11_B身体０．５＿２．５*_11・基礎１),0)*_11・２人),0)*(1+_11・B深夜)),0)</f>
        <v>608</v>
      </c>
      <c r="V42" s="48"/>
    </row>
    <row r="43" spans="1:22" ht="16.5" customHeight="1" x14ac:dyDescent="0.15">
      <c r="A43" s="41">
        <v>11</v>
      </c>
      <c r="B43" s="41" t="s">
        <v>1859</v>
      </c>
      <c r="C43" s="127" t="s">
        <v>1860</v>
      </c>
      <c r="D43" s="131"/>
      <c r="E43" s="72"/>
      <c r="F43" s="130"/>
      <c r="G43" s="131"/>
      <c r="H43" s="72"/>
      <c r="I43" s="99"/>
      <c r="J43" s="53"/>
      <c r="K43" s="49"/>
      <c r="L43" s="50"/>
      <c r="M43" s="44"/>
      <c r="N43" s="45"/>
      <c r="O43" s="46"/>
      <c r="P43" s="35"/>
      <c r="R43" s="57"/>
      <c r="S43" s="707" t="s">
        <v>404</v>
      </c>
      <c r="T43" s="708"/>
      <c r="U43" s="47">
        <f>+ROUND((ROUND((_11_B身体０．５＿２．５*(1+_11・B深夜)),0)*_11・初任),0)</f>
        <v>607</v>
      </c>
      <c r="V43" s="48"/>
    </row>
    <row r="44" spans="1:22" ht="16.5" customHeight="1" x14ac:dyDescent="0.15">
      <c r="A44" s="41">
        <v>11</v>
      </c>
      <c r="B44" s="41" t="s">
        <v>1861</v>
      </c>
      <c r="C44" s="127" t="s">
        <v>1862</v>
      </c>
      <c r="D44" s="131"/>
      <c r="E44" s="72"/>
      <c r="F44" s="130"/>
      <c r="G44" s="131"/>
      <c r="H44" s="72"/>
      <c r="I44" s="99"/>
      <c r="J44" s="43"/>
      <c r="K44" s="37"/>
      <c r="L44" s="38"/>
      <c r="M44" s="44" t="s">
        <v>397</v>
      </c>
      <c r="N44" s="45" t="s">
        <v>398</v>
      </c>
      <c r="O44" s="46">
        <v>1</v>
      </c>
      <c r="P44" s="35"/>
      <c r="R44" s="57"/>
      <c r="S44" s="709"/>
      <c r="T44" s="704"/>
      <c r="U44" s="47">
        <f>+ROUND((ROUND((ROUND((_11_B身体０．５＿２．５*_11・２人),0)*(1+_11・B深夜)),0)*_11・初任),0)</f>
        <v>607</v>
      </c>
      <c r="V44" s="48"/>
    </row>
    <row r="45" spans="1:22" ht="16.5" customHeight="1" x14ac:dyDescent="0.15">
      <c r="A45" s="41">
        <v>11</v>
      </c>
      <c r="B45" s="41" t="s">
        <v>1863</v>
      </c>
      <c r="C45" s="127" t="s">
        <v>1864</v>
      </c>
      <c r="D45" s="131"/>
      <c r="E45" s="72"/>
      <c r="F45" s="130"/>
      <c r="G45" s="131"/>
      <c r="H45" s="72"/>
      <c r="I45" s="99"/>
      <c r="J45" s="705" t="s">
        <v>400</v>
      </c>
      <c r="K45" s="49" t="s">
        <v>398</v>
      </c>
      <c r="L45" s="50">
        <v>0.7</v>
      </c>
      <c r="M45" s="44"/>
      <c r="N45" s="45"/>
      <c r="O45" s="46"/>
      <c r="P45" s="35"/>
      <c r="R45" s="57"/>
      <c r="S45" s="709"/>
      <c r="T45" s="704"/>
      <c r="U45" s="47">
        <f>+ROUND((ROUND((ROUND((_11_B身体０．５＿２．５*_11・基礎１),0)*(1+_11・B深夜)),0)*_11・初任),0)</f>
        <v>426</v>
      </c>
      <c r="V45" s="48"/>
    </row>
    <row r="46" spans="1:22" ht="16.5" customHeight="1" x14ac:dyDescent="0.15">
      <c r="A46" s="41">
        <v>11</v>
      </c>
      <c r="B46" s="41" t="s">
        <v>1865</v>
      </c>
      <c r="C46" s="127" t="s">
        <v>1866</v>
      </c>
      <c r="D46" s="131"/>
      <c r="E46" s="72"/>
      <c r="F46" s="130"/>
      <c r="G46" s="131"/>
      <c r="H46" s="72"/>
      <c r="I46" s="99"/>
      <c r="J46" s="711"/>
      <c r="K46" s="37"/>
      <c r="L46" s="38"/>
      <c r="M46" s="44" t="s">
        <v>397</v>
      </c>
      <c r="N46" s="45" t="s">
        <v>398</v>
      </c>
      <c r="O46" s="46">
        <v>1</v>
      </c>
      <c r="P46" s="35"/>
      <c r="R46" s="57"/>
      <c r="S46" s="55" t="s">
        <v>398</v>
      </c>
      <c r="T46" s="38">
        <f>_11・初任</f>
        <v>0.7</v>
      </c>
      <c r="U46" s="47">
        <f>+ROUND((ROUND((ROUND((ROUND((_11_B身体０．５＿２．５*_11・基礎１),0)*_11・２人),0)*(1+_11・B深夜)),0)*_11・初任),0)</f>
        <v>426</v>
      </c>
      <c r="V46" s="48"/>
    </row>
    <row r="47" spans="1:22" ht="16.5" customHeight="1" x14ac:dyDescent="0.15">
      <c r="A47" s="41">
        <v>11</v>
      </c>
      <c r="B47" s="41">
        <v>1567</v>
      </c>
      <c r="C47" s="127" t="s">
        <v>1867</v>
      </c>
      <c r="D47" s="131"/>
      <c r="E47" s="707" t="s">
        <v>876</v>
      </c>
      <c r="F47" s="717"/>
      <c r="G47" s="131"/>
      <c r="H47" s="707" t="s">
        <v>1617</v>
      </c>
      <c r="I47" s="717"/>
      <c r="J47" s="53"/>
      <c r="K47" s="49"/>
      <c r="L47" s="50"/>
      <c r="M47" s="44"/>
      <c r="N47" s="45"/>
      <c r="O47" s="46"/>
      <c r="P47" s="35"/>
      <c r="R47" s="57"/>
      <c r="S47" s="53"/>
      <c r="T47" s="49"/>
      <c r="U47" s="47">
        <f>+ROUND((_11_B身体１．０＿０．５*(1+_11・B深夜)),0)</f>
        <v>273</v>
      </c>
      <c r="V47" s="48"/>
    </row>
    <row r="48" spans="1:22" ht="16.5" customHeight="1" x14ac:dyDescent="0.15">
      <c r="A48" s="41">
        <v>11</v>
      </c>
      <c r="B48" s="41">
        <v>1568</v>
      </c>
      <c r="C48" s="127" t="s">
        <v>1868</v>
      </c>
      <c r="D48" s="131"/>
      <c r="E48" s="709"/>
      <c r="F48" s="718"/>
      <c r="G48" s="131"/>
      <c r="H48" s="709"/>
      <c r="I48" s="718"/>
      <c r="J48" s="43"/>
      <c r="K48" s="37"/>
      <c r="L48" s="38"/>
      <c r="M48" s="44" t="s">
        <v>397</v>
      </c>
      <c r="N48" s="45" t="s">
        <v>398</v>
      </c>
      <c r="O48" s="46">
        <v>1</v>
      </c>
      <c r="P48" s="35"/>
      <c r="R48" s="57"/>
      <c r="S48" s="35"/>
      <c r="U48" s="47">
        <f>+ROUND((ROUND((_11_B身体１．０＿０．５*_11・２人),0)*(1+_11・B深夜)),0)</f>
        <v>273</v>
      </c>
      <c r="V48" s="48"/>
    </row>
    <row r="49" spans="1:22" ht="16.5" customHeight="1" x14ac:dyDescent="0.15">
      <c r="A49" s="41">
        <v>11</v>
      </c>
      <c r="B49" s="41">
        <v>1569</v>
      </c>
      <c r="C49" s="127" t="s">
        <v>1869</v>
      </c>
      <c r="D49" s="131"/>
      <c r="E49" s="709"/>
      <c r="F49" s="718"/>
      <c r="G49" s="131"/>
      <c r="H49" s="709"/>
      <c r="I49" s="718"/>
      <c r="J49" s="705" t="s">
        <v>400</v>
      </c>
      <c r="K49" s="49" t="s">
        <v>398</v>
      </c>
      <c r="L49" s="50">
        <v>0.7</v>
      </c>
      <c r="M49" s="44"/>
      <c r="N49" s="45"/>
      <c r="O49" s="46"/>
      <c r="P49" s="35"/>
      <c r="R49" s="57"/>
      <c r="S49" s="35"/>
      <c r="U49" s="47">
        <f>+ROUND((ROUND((_11_B身体１．０＿０．５*_11・基礎１),0)*(1+_11・B深夜)),0)</f>
        <v>191</v>
      </c>
      <c r="V49" s="48"/>
    </row>
    <row r="50" spans="1:22" ht="16.5" customHeight="1" x14ac:dyDescent="0.15">
      <c r="A50" s="41">
        <v>11</v>
      </c>
      <c r="B50" s="41">
        <v>1570</v>
      </c>
      <c r="C50" s="127" t="s">
        <v>1870</v>
      </c>
      <c r="D50" s="131"/>
      <c r="E50" s="72"/>
      <c r="F50" s="130"/>
      <c r="G50" s="131"/>
      <c r="H50" s="100">
        <f>_11_B身体１．０＿０．５</f>
        <v>182</v>
      </c>
      <c r="I50" s="12" t="s">
        <v>392</v>
      </c>
      <c r="J50" s="711"/>
      <c r="K50" s="37"/>
      <c r="L50" s="38"/>
      <c r="M50" s="44" t="s">
        <v>397</v>
      </c>
      <c r="N50" s="45" t="s">
        <v>398</v>
      </c>
      <c r="O50" s="46">
        <v>1</v>
      </c>
      <c r="P50" s="35"/>
      <c r="R50" s="57"/>
      <c r="S50" s="43"/>
      <c r="T50" s="37"/>
      <c r="U50" s="47">
        <f>+ROUND((ROUND((ROUND((_11_B身体１．０＿０．５*_11・基礎１),0)*_11・２人),0)*(1+_11・B深夜)),0)</f>
        <v>191</v>
      </c>
      <c r="V50" s="48"/>
    </row>
    <row r="51" spans="1:22" ht="16.5" customHeight="1" x14ac:dyDescent="0.15">
      <c r="A51" s="41">
        <v>11</v>
      </c>
      <c r="B51" s="41" t="s">
        <v>1871</v>
      </c>
      <c r="C51" s="127" t="s">
        <v>1872</v>
      </c>
      <c r="D51" s="131"/>
      <c r="E51" s="72"/>
      <c r="F51" s="130"/>
      <c r="G51" s="131"/>
      <c r="H51" s="72"/>
      <c r="I51" s="99"/>
      <c r="J51" s="53"/>
      <c r="K51" s="49"/>
      <c r="L51" s="50"/>
      <c r="M51" s="44"/>
      <c r="N51" s="45"/>
      <c r="O51" s="46"/>
      <c r="P51" s="35"/>
      <c r="R51" s="57"/>
      <c r="S51" s="707" t="s">
        <v>404</v>
      </c>
      <c r="T51" s="708"/>
      <c r="U51" s="47">
        <f>+ROUND((ROUND((_11_B身体１．０＿０．５*(1+_11・B深夜)),0)*_11・初任),0)</f>
        <v>191</v>
      </c>
      <c r="V51" s="48"/>
    </row>
    <row r="52" spans="1:22" ht="16.5" customHeight="1" x14ac:dyDescent="0.15">
      <c r="A52" s="41">
        <v>11</v>
      </c>
      <c r="B52" s="41" t="s">
        <v>1873</v>
      </c>
      <c r="C52" s="127" t="s">
        <v>1874</v>
      </c>
      <c r="D52" s="131"/>
      <c r="E52" s="72"/>
      <c r="F52" s="130"/>
      <c r="G52" s="131"/>
      <c r="H52" s="72"/>
      <c r="I52" s="99"/>
      <c r="J52" s="43"/>
      <c r="K52" s="37"/>
      <c r="L52" s="38"/>
      <c r="M52" s="44" t="s">
        <v>397</v>
      </c>
      <c r="N52" s="45" t="s">
        <v>398</v>
      </c>
      <c r="O52" s="46">
        <v>1</v>
      </c>
      <c r="P52" s="35"/>
      <c r="R52" s="57"/>
      <c r="S52" s="709"/>
      <c r="T52" s="704"/>
      <c r="U52" s="47">
        <f>+ROUND((ROUND((ROUND((_11_B身体１．０＿０．５*_11・２人),0)*(1+_11・B深夜)),0)*_11・初任),0)</f>
        <v>191</v>
      </c>
      <c r="V52" s="48"/>
    </row>
    <row r="53" spans="1:22" ht="16.5" customHeight="1" x14ac:dyDescent="0.15">
      <c r="A53" s="41">
        <v>11</v>
      </c>
      <c r="B53" s="41" t="s">
        <v>1875</v>
      </c>
      <c r="C53" s="127" t="s">
        <v>1876</v>
      </c>
      <c r="D53" s="131"/>
      <c r="E53" s="72"/>
      <c r="F53" s="130"/>
      <c r="G53" s="131"/>
      <c r="H53" s="72"/>
      <c r="I53" s="99"/>
      <c r="J53" s="705" t="s">
        <v>400</v>
      </c>
      <c r="K53" s="49" t="s">
        <v>398</v>
      </c>
      <c r="L53" s="50">
        <v>0.7</v>
      </c>
      <c r="M53" s="44"/>
      <c r="N53" s="45"/>
      <c r="O53" s="46"/>
      <c r="P53" s="35"/>
      <c r="R53" s="57"/>
      <c r="S53" s="709"/>
      <c r="T53" s="704"/>
      <c r="U53" s="47">
        <f>+ROUND((ROUND((ROUND((_11_B身体１．０＿０．５*_11・基礎１),0)*(1+_11・B深夜)),0)*_11・初任),0)</f>
        <v>134</v>
      </c>
      <c r="V53" s="48"/>
    </row>
    <row r="54" spans="1:22" ht="16.5" customHeight="1" x14ac:dyDescent="0.15">
      <c r="A54" s="41">
        <v>11</v>
      </c>
      <c r="B54" s="41" t="s">
        <v>1877</v>
      </c>
      <c r="C54" s="127" t="s">
        <v>1878</v>
      </c>
      <c r="D54" s="131"/>
      <c r="E54" s="72"/>
      <c r="F54" s="130"/>
      <c r="G54" s="131"/>
      <c r="H54" s="72"/>
      <c r="I54" s="99"/>
      <c r="J54" s="711"/>
      <c r="K54" s="37"/>
      <c r="L54" s="38"/>
      <c r="M54" s="44" t="s">
        <v>397</v>
      </c>
      <c r="N54" s="45" t="s">
        <v>398</v>
      </c>
      <c r="O54" s="46">
        <v>1</v>
      </c>
      <c r="P54" s="35"/>
      <c r="R54" s="57"/>
      <c r="S54" s="55" t="s">
        <v>398</v>
      </c>
      <c r="T54" s="38">
        <f>_11・初任</f>
        <v>0.7</v>
      </c>
      <c r="U54" s="47">
        <f>+ROUND((ROUND((ROUND((ROUND((_11_B身体１．０＿０．５*_11・基礎１),0)*_11・２人),0)*(1+_11・B深夜)),0)*_11・初任),0)</f>
        <v>134</v>
      </c>
      <c r="V54" s="48"/>
    </row>
    <row r="55" spans="1:22" ht="16.5" customHeight="1" x14ac:dyDescent="0.15">
      <c r="A55" s="41">
        <v>11</v>
      </c>
      <c r="B55" s="41">
        <v>1571</v>
      </c>
      <c r="C55" s="127" t="s">
        <v>1879</v>
      </c>
      <c r="D55" s="131"/>
      <c r="E55" s="72"/>
      <c r="F55" s="130"/>
      <c r="G55" s="131"/>
      <c r="H55" s="707" t="s">
        <v>1695</v>
      </c>
      <c r="I55" s="717"/>
      <c r="J55" s="53"/>
      <c r="K55" s="49"/>
      <c r="L55" s="50"/>
      <c r="M55" s="44"/>
      <c r="N55" s="45"/>
      <c r="O55" s="46"/>
      <c r="P55" s="35"/>
      <c r="R55" s="57"/>
      <c r="S55" s="53"/>
      <c r="T55" s="49"/>
      <c r="U55" s="47">
        <f>+ROUND((_11_B身体１．０＿１．０*(1+_11・B深夜)),0)</f>
        <v>396</v>
      </c>
      <c r="V55" s="48"/>
    </row>
    <row r="56" spans="1:22" ht="16.5" customHeight="1" x14ac:dyDescent="0.15">
      <c r="A56" s="41">
        <v>11</v>
      </c>
      <c r="B56" s="41">
        <v>1572</v>
      </c>
      <c r="C56" s="127" t="s">
        <v>1880</v>
      </c>
      <c r="D56" s="131"/>
      <c r="E56" s="72"/>
      <c r="F56" s="130"/>
      <c r="G56" s="131"/>
      <c r="H56" s="709"/>
      <c r="I56" s="718"/>
      <c r="J56" s="43"/>
      <c r="K56" s="37"/>
      <c r="L56" s="38"/>
      <c r="M56" s="44" t="s">
        <v>397</v>
      </c>
      <c r="N56" s="45" t="s">
        <v>398</v>
      </c>
      <c r="O56" s="46">
        <v>1</v>
      </c>
      <c r="P56" s="35"/>
      <c r="R56" s="57"/>
      <c r="S56" s="35"/>
      <c r="U56" s="47">
        <f>+ROUND((ROUND((_11_B身体１．０＿１．０*_11・２人),0)*(1+_11・B深夜)),0)</f>
        <v>396</v>
      </c>
      <c r="V56" s="48"/>
    </row>
    <row r="57" spans="1:22" ht="16.5" customHeight="1" x14ac:dyDescent="0.15">
      <c r="A57" s="41">
        <v>11</v>
      </c>
      <c r="B57" s="41">
        <v>1573</v>
      </c>
      <c r="C57" s="127" t="s">
        <v>1881</v>
      </c>
      <c r="D57" s="131"/>
      <c r="E57" s="72"/>
      <c r="F57" s="130"/>
      <c r="G57" s="131"/>
      <c r="H57" s="709"/>
      <c r="I57" s="718"/>
      <c r="J57" s="705" t="s">
        <v>400</v>
      </c>
      <c r="K57" s="49" t="s">
        <v>398</v>
      </c>
      <c r="L57" s="50">
        <v>0.7</v>
      </c>
      <c r="M57" s="44"/>
      <c r="N57" s="45"/>
      <c r="O57" s="46"/>
      <c r="P57" s="35"/>
      <c r="R57" s="57"/>
      <c r="S57" s="35"/>
      <c r="U57" s="47">
        <f>+ROUND((ROUND((_11_B身体１．０＿１．０*_11・基礎１),0)*(1+_11・B深夜)),0)</f>
        <v>278</v>
      </c>
      <c r="V57" s="48"/>
    </row>
    <row r="58" spans="1:22" ht="16.5" customHeight="1" x14ac:dyDescent="0.15">
      <c r="A58" s="41">
        <v>11</v>
      </c>
      <c r="B58" s="41">
        <v>1574</v>
      </c>
      <c r="C58" s="127" t="s">
        <v>1882</v>
      </c>
      <c r="D58" s="131"/>
      <c r="E58" s="72"/>
      <c r="F58" s="130"/>
      <c r="G58" s="131"/>
      <c r="H58" s="100">
        <f>_11_B身体１．０＿１．０</f>
        <v>264</v>
      </c>
      <c r="I58" s="12" t="s">
        <v>392</v>
      </c>
      <c r="J58" s="711"/>
      <c r="K58" s="37"/>
      <c r="L58" s="38"/>
      <c r="M58" s="44" t="s">
        <v>397</v>
      </c>
      <c r="N58" s="45" t="s">
        <v>398</v>
      </c>
      <c r="O58" s="46">
        <v>1</v>
      </c>
      <c r="P58" s="35"/>
      <c r="R58" s="57"/>
      <c r="S58" s="43"/>
      <c r="T58" s="37"/>
      <c r="U58" s="47">
        <f>+ROUND((ROUND((ROUND((_11_B身体１．０＿１．０*_11・基礎１),0)*_11・２人),0)*(1+_11・B深夜)),0)</f>
        <v>278</v>
      </c>
      <c r="V58" s="48"/>
    </row>
    <row r="59" spans="1:22" ht="16.5" customHeight="1" x14ac:dyDescent="0.15">
      <c r="A59" s="41">
        <v>11</v>
      </c>
      <c r="B59" s="41" t="s">
        <v>1883</v>
      </c>
      <c r="C59" s="127" t="s">
        <v>1884</v>
      </c>
      <c r="D59" s="131"/>
      <c r="E59" s="72"/>
      <c r="F59" s="130"/>
      <c r="G59" s="131"/>
      <c r="H59" s="72"/>
      <c r="I59" s="99"/>
      <c r="J59" s="53"/>
      <c r="K59" s="49"/>
      <c r="L59" s="50"/>
      <c r="M59" s="44"/>
      <c r="N59" s="45"/>
      <c r="O59" s="46"/>
      <c r="P59" s="35"/>
      <c r="R59" s="57"/>
      <c r="S59" s="707" t="s">
        <v>404</v>
      </c>
      <c r="T59" s="708"/>
      <c r="U59" s="47">
        <f>+ROUND((ROUND((_11_B身体１．０＿１．０*(1+_11・B深夜)),0)*_11・初任),0)</f>
        <v>277</v>
      </c>
      <c r="V59" s="48"/>
    </row>
    <row r="60" spans="1:22" ht="16.5" customHeight="1" x14ac:dyDescent="0.15">
      <c r="A60" s="41">
        <v>11</v>
      </c>
      <c r="B60" s="41" t="s">
        <v>1885</v>
      </c>
      <c r="C60" s="127" t="s">
        <v>1886</v>
      </c>
      <c r="D60" s="131"/>
      <c r="E60" s="72"/>
      <c r="F60" s="130"/>
      <c r="G60" s="131"/>
      <c r="H60" s="72"/>
      <c r="I60" s="99"/>
      <c r="J60" s="43"/>
      <c r="K60" s="37"/>
      <c r="L60" s="38"/>
      <c r="M60" s="44" t="s">
        <v>397</v>
      </c>
      <c r="N60" s="45" t="s">
        <v>398</v>
      </c>
      <c r="O60" s="46">
        <v>1</v>
      </c>
      <c r="P60" s="35"/>
      <c r="R60" s="57"/>
      <c r="S60" s="709"/>
      <c r="T60" s="704"/>
      <c r="U60" s="47">
        <f>+ROUND((ROUND((ROUND((_11_B身体１．０＿１．０*_11・２人),0)*(1+_11・B深夜)),0)*_11・初任),0)</f>
        <v>277</v>
      </c>
      <c r="V60" s="48"/>
    </row>
    <row r="61" spans="1:22" ht="16.5" customHeight="1" x14ac:dyDescent="0.15">
      <c r="A61" s="41">
        <v>11</v>
      </c>
      <c r="B61" s="41" t="s">
        <v>1887</v>
      </c>
      <c r="C61" s="127" t="s">
        <v>1888</v>
      </c>
      <c r="D61" s="131"/>
      <c r="E61" s="72"/>
      <c r="F61" s="130"/>
      <c r="G61" s="131"/>
      <c r="H61" s="72"/>
      <c r="I61" s="99"/>
      <c r="J61" s="705" t="s">
        <v>400</v>
      </c>
      <c r="K61" s="49" t="s">
        <v>398</v>
      </c>
      <c r="L61" s="50">
        <v>0.7</v>
      </c>
      <c r="M61" s="44"/>
      <c r="N61" s="45"/>
      <c r="O61" s="46"/>
      <c r="P61" s="35"/>
      <c r="R61" s="57"/>
      <c r="S61" s="709"/>
      <c r="T61" s="704"/>
      <c r="U61" s="47">
        <f>+ROUND((ROUND((ROUND((_11_B身体１．０＿１．０*_11・基礎１),0)*(1+_11・B深夜)),0)*_11・初任),0)</f>
        <v>195</v>
      </c>
      <c r="V61" s="48"/>
    </row>
    <row r="62" spans="1:22" ht="16.5" customHeight="1" x14ac:dyDescent="0.15">
      <c r="A62" s="41">
        <v>11</v>
      </c>
      <c r="B62" s="41" t="s">
        <v>1889</v>
      </c>
      <c r="C62" s="127" t="s">
        <v>1890</v>
      </c>
      <c r="D62" s="131"/>
      <c r="E62" s="72"/>
      <c r="F62" s="130"/>
      <c r="G62" s="131"/>
      <c r="H62" s="72"/>
      <c r="I62" s="99"/>
      <c r="J62" s="711"/>
      <c r="K62" s="37"/>
      <c r="L62" s="38"/>
      <c r="M62" s="44" t="s">
        <v>397</v>
      </c>
      <c r="N62" s="45" t="s">
        <v>398</v>
      </c>
      <c r="O62" s="46">
        <v>1</v>
      </c>
      <c r="P62" s="35"/>
      <c r="R62" s="57"/>
      <c r="S62" s="55" t="s">
        <v>398</v>
      </c>
      <c r="T62" s="38">
        <f>_11・初任</f>
        <v>0.7</v>
      </c>
      <c r="U62" s="47">
        <f>+ROUND((ROUND((ROUND((ROUND((_11_B身体１．０＿１．０*_11・基礎１),0)*_11・２人),0)*(1+_11・B深夜)),0)*_11・初任),0)</f>
        <v>195</v>
      </c>
      <c r="V62" s="48"/>
    </row>
    <row r="63" spans="1:22" ht="16.5" customHeight="1" x14ac:dyDescent="0.15">
      <c r="A63" s="41">
        <v>11</v>
      </c>
      <c r="B63" s="41">
        <v>1575</v>
      </c>
      <c r="C63" s="127" t="s">
        <v>1891</v>
      </c>
      <c r="D63" s="131"/>
      <c r="E63" s="132"/>
      <c r="F63" s="106"/>
      <c r="G63" s="131"/>
      <c r="H63" s="707" t="s">
        <v>1644</v>
      </c>
      <c r="I63" s="717"/>
      <c r="J63" s="53"/>
      <c r="K63" s="49"/>
      <c r="L63" s="50"/>
      <c r="M63" s="44"/>
      <c r="N63" s="45"/>
      <c r="O63" s="46"/>
      <c r="P63" s="35"/>
      <c r="R63" s="57"/>
      <c r="S63" s="53"/>
      <c r="T63" s="49"/>
      <c r="U63" s="47">
        <f>+ROUND((_11_B身体１．０＿１．５*(1+_11・B深夜)),0)</f>
        <v>522</v>
      </c>
      <c r="V63" s="48"/>
    </row>
    <row r="64" spans="1:22" ht="16.5" customHeight="1" x14ac:dyDescent="0.15">
      <c r="A64" s="41">
        <v>11</v>
      </c>
      <c r="B64" s="41">
        <v>1576</v>
      </c>
      <c r="C64" s="127" t="s">
        <v>1892</v>
      </c>
      <c r="D64" s="131"/>
      <c r="E64" s="132"/>
      <c r="F64" s="106"/>
      <c r="G64" s="131"/>
      <c r="H64" s="709"/>
      <c r="I64" s="718"/>
      <c r="J64" s="43"/>
      <c r="K64" s="37"/>
      <c r="L64" s="38"/>
      <c r="M64" s="44" t="s">
        <v>397</v>
      </c>
      <c r="N64" s="45" t="s">
        <v>398</v>
      </c>
      <c r="O64" s="46">
        <v>1</v>
      </c>
      <c r="P64" s="35"/>
      <c r="R64" s="57"/>
      <c r="S64" s="35"/>
      <c r="U64" s="47">
        <f>+ROUND((ROUND((_11_B身体１．０＿１．５*_11・２人),0)*(1+_11・B深夜)),0)</f>
        <v>522</v>
      </c>
      <c r="V64" s="48"/>
    </row>
    <row r="65" spans="1:22" ht="16.5" customHeight="1" x14ac:dyDescent="0.15">
      <c r="A65" s="41">
        <v>11</v>
      </c>
      <c r="B65" s="41">
        <v>1577</v>
      </c>
      <c r="C65" s="127" t="s">
        <v>1893</v>
      </c>
      <c r="D65" s="131"/>
      <c r="E65" s="132"/>
      <c r="F65" s="106"/>
      <c r="G65" s="131"/>
      <c r="H65" s="709"/>
      <c r="I65" s="718"/>
      <c r="J65" s="705" t="s">
        <v>400</v>
      </c>
      <c r="K65" s="49" t="s">
        <v>398</v>
      </c>
      <c r="L65" s="50">
        <v>0.7</v>
      </c>
      <c r="M65" s="44"/>
      <c r="N65" s="45"/>
      <c r="O65" s="46"/>
      <c r="P65" s="35"/>
      <c r="R65" s="57"/>
      <c r="S65" s="35"/>
      <c r="U65" s="47">
        <f>+ROUND((ROUND((_11_B身体１．０＿１．５*_11・基礎１),0)*(1+_11・B深夜)),0)</f>
        <v>366</v>
      </c>
      <c r="V65" s="48"/>
    </row>
    <row r="66" spans="1:22" ht="16.5" customHeight="1" x14ac:dyDescent="0.15">
      <c r="A66" s="41">
        <v>11</v>
      </c>
      <c r="B66" s="41">
        <v>1578</v>
      </c>
      <c r="C66" s="127" t="s">
        <v>1894</v>
      </c>
      <c r="D66" s="131"/>
      <c r="E66" s="72"/>
      <c r="F66" s="130"/>
      <c r="G66" s="131"/>
      <c r="H66" s="100">
        <f>_11_B身体１．０＿１．５</f>
        <v>348</v>
      </c>
      <c r="I66" s="12" t="s">
        <v>392</v>
      </c>
      <c r="J66" s="711"/>
      <c r="K66" s="37"/>
      <c r="L66" s="38"/>
      <c r="M66" s="44" t="s">
        <v>397</v>
      </c>
      <c r="N66" s="45" t="s">
        <v>398</v>
      </c>
      <c r="O66" s="46">
        <v>1</v>
      </c>
      <c r="P66" s="35"/>
      <c r="R66" s="57"/>
      <c r="S66" s="43"/>
      <c r="T66" s="37"/>
      <c r="U66" s="47">
        <f>+ROUND((ROUND((ROUND((_11_B身体１．０＿１．５*_11・基礎１),0)*_11・２人),0)*(1+_11・B深夜)),0)</f>
        <v>366</v>
      </c>
      <c r="V66" s="48"/>
    </row>
    <row r="67" spans="1:22" ht="16.5" customHeight="1" x14ac:dyDescent="0.15">
      <c r="A67" s="41">
        <v>11</v>
      </c>
      <c r="B67" s="41" t="s">
        <v>1895</v>
      </c>
      <c r="C67" s="127" t="s">
        <v>1896</v>
      </c>
      <c r="D67" s="131"/>
      <c r="E67" s="72"/>
      <c r="F67" s="130"/>
      <c r="G67" s="131"/>
      <c r="H67" s="72"/>
      <c r="I67" s="99"/>
      <c r="J67" s="53"/>
      <c r="K67" s="49"/>
      <c r="L67" s="50"/>
      <c r="M67" s="44"/>
      <c r="N67" s="45"/>
      <c r="O67" s="46"/>
      <c r="P67" s="35"/>
      <c r="R67" s="57"/>
      <c r="S67" s="707" t="s">
        <v>404</v>
      </c>
      <c r="T67" s="708"/>
      <c r="U67" s="47">
        <f>+ROUND((ROUND((_11_B身体１．０＿１．５*(1+_11・B深夜)),0)*_11・初任),0)</f>
        <v>365</v>
      </c>
      <c r="V67" s="48"/>
    </row>
    <row r="68" spans="1:22" ht="16.5" customHeight="1" x14ac:dyDescent="0.15">
      <c r="A68" s="41">
        <v>11</v>
      </c>
      <c r="B68" s="41" t="s">
        <v>1897</v>
      </c>
      <c r="C68" s="127" t="s">
        <v>1898</v>
      </c>
      <c r="D68" s="131"/>
      <c r="E68" s="72"/>
      <c r="F68" s="130"/>
      <c r="G68" s="131"/>
      <c r="H68" s="72"/>
      <c r="I68" s="99"/>
      <c r="J68" s="43"/>
      <c r="K68" s="37"/>
      <c r="L68" s="38"/>
      <c r="M68" s="44" t="s">
        <v>397</v>
      </c>
      <c r="N68" s="45" t="s">
        <v>398</v>
      </c>
      <c r="O68" s="46">
        <v>1</v>
      </c>
      <c r="P68" s="35"/>
      <c r="R68" s="57"/>
      <c r="S68" s="709"/>
      <c r="T68" s="704"/>
      <c r="U68" s="47">
        <f>+ROUND((ROUND((ROUND((_11_B身体１．０＿１．５*_11・２人),0)*(1+_11・B深夜)),0)*_11・初任),0)</f>
        <v>365</v>
      </c>
      <c r="V68" s="48"/>
    </row>
    <row r="69" spans="1:22" ht="16.5" customHeight="1" x14ac:dyDescent="0.15">
      <c r="A69" s="41">
        <v>11</v>
      </c>
      <c r="B69" s="41" t="s">
        <v>1899</v>
      </c>
      <c r="C69" s="127" t="s">
        <v>1900</v>
      </c>
      <c r="D69" s="131"/>
      <c r="E69" s="72"/>
      <c r="F69" s="130"/>
      <c r="G69" s="131"/>
      <c r="H69" s="72"/>
      <c r="I69" s="99"/>
      <c r="J69" s="705" t="s">
        <v>400</v>
      </c>
      <c r="K69" s="49" t="s">
        <v>398</v>
      </c>
      <c r="L69" s="50">
        <v>0.7</v>
      </c>
      <c r="M69" s="44"/>
      <c r="N69" s="45"/>
      <c r="O69" s="46"/>
      <c r="P69" s="35"/>
      <c r="R69" s="57"/>
      <c r="S69" s="709"/>
      <c r="T69" s="704"/>
      <c r="U69" s="47">
        <f>+ROUND((ROUND((ROUND((_11_B身体１．０＿１．５*_11・基礎１),0)*(1+_11・B深夜)),0)*_11・初任),0)</f>
        <v>256</v>
      </c>
      <c r="V69" s="48"/>
    </row>
    <row r="70" spans="1:22" ht="16.5" customHeight="1" x14ac:dyDescent="0.15">
      <c r="A70" s="41">
        <v>11</v>
      </c>
      <c r="B70" s="41" t="s">
        <v>1901</v>
      </c>
      <c r="C70" s="127" t="s">
        <v>1902</v>
      </c>
      <c r="D70" s="131"/>
      <c r="E70" s="72"/>
      <c r="F70" s="130"/>
      <c r="G70" s="131"/>
      <c r="H70" s="72"/>
      <c r="I70" s="99"/>
      <c r="J70" s="711"/>
      <c r="K70" s="37"/>
      <c r="L70" s="38"/>
      <c r="M70" s="44" t="s">
        <v>397</v>
      </c>
      <c r="N70" s="45" t="s">
        <v>398</v>
      </c>
      <c r="O70" s="46">
        <v>1</v>
      </c>
      <c r="P70" s="35"/>
      <c r="R70" s="57"/>
      <c r="S70" s="55" t="s">
        <v>398</v>
      </c>
      <c r="T70" s="38">
        <f>_11・初任</f>
        <v>0.7</v>
      </c>
      <c r="U70" s="47">
        <f>+ROUND((ROUND((ROUND((ROUND((_11_B身体１．０＿１．５*_11・基礎１),0)*_11・２人),0)*(1+_11・B深夜)),0)*_11・初任),0)</f>
        <v>256</v>
      </c>
      <c r="V70" s="48"/>
    </row>
    <row r="71" spans="1:22" ht="16.5" customHeight="1" x14ac:dyDescent="0.15">
      <c r="A71" s="41">
        <v>11</v>
      </c>
      <c r="B71" s="41">
        <v>1579</v>
      </c>
      <c r="C71" s="127" t="s">
        <v>1903</v>
      </c>
      <c r="D71" s="131"/>
      <c r="E71" s="72"/>
      <c r="F71" s="130"/>
      <c r="G71" s="131"/>
      <c r="H71" s="707" t="s">
        <v>1657</v>
      </c>
      <c r="I71" s="717"/>
      <c r="J71" s="53"/>
      <c r="K71" s="49"/>
      <c r="L71" s="50"/>
      <c r="M71" s="44"/>
      <c r="N71" s="45"/>
      <c r="O71" s="46"/>
      <c r="P71" s="35"/>
      <c r="R71" s="57"/>
      <c r="S71" s="53"/>
      <c r="T71" s="49"/>
      <c r="U71" s="47">
        <f>+ROUND((_11_B身体１．０＿２．０*(1+_11・B深夜)),0)</f>
        <v>647</v>
      </c>
      <c r="V71" s="48"/>
    </row>
    <row r="72" spans="1:22" ht="16.5" customHeight="1" x14ac:dyDescent="0.15">
      <c r="A72" s="41">
        <v>11</v>
      </c>
      <c r="B72" s="41">
        <v>1580</v>
      </c>
      <c r="C72" s="127" t="s">
        <v>1904</v>
      </c>
      <c r="D72" s="131"/>
      <c r="E72" s="72"/>
      <c r="F72" s="130"/>
      <c r="G72" s="131"/>
      <c r="H72" s="709"/>
      <c r="I72" s="718"/>
      <c r="J72" s="43"/>
      <c r="K72" s="37"/>
      <c r="L72" s="38"/>
      <c r="M72" s="44" t="s">
        <v>397</v>
      </c>
      <c r="N72" s="45" t="s">
        <v>398</v>
      </c>
      <c r="O72" s="46">
        <v>1</v>
      </c>
      <c r="P72" s="35"/>
      <c r="R72" s="57"/>
      <c r="S72" s="35"/>
      <c r="U72" s="47">
        <f>+ROUND((ROUND((_11_B身体１．０＿２．０*_11・２人),0)*(1+_11・B深夜)),0)</f>
        <v>647</v>
      </c>
      <c r="V72" s="48"/>
    </row>
    <row r="73" spans="1:22" ht="16.5" customHeight="1" x14ac:dyDescent="0.15">
      <c r="A73" s="41">
        <v>11</v>
      </c>
      <c r="B73" s="41">
        <v>1581</v>
      </c>
      <c r="C73" s="127" t="s">
        <v>1905</v>
      </c>
      <c r="D73" s="131"/>
      <c r="E73" s="72"/>
      <c r="F73" s="130"/>
      <c r="G73" s="131"/>
      <c r="H73" s="709"/>
      <c r="I73" s="718"/>
      <c r="J73" s="705" t="s">
        <v>400</v>
      </c>
      <c r="K73" s="49" t="s">
        <v>398</v>
      </c>
      <c r="L73" s="50">
        <v>0.7</v>
      </c>
      <c r="M73" s="44"/>
      <c r="N73" s="45"/>
      <c r="O73" s="46"/>
      <c r="P73" s="35"/>
      <c r="R73" s="57"/>
      <c r="S73" s="35"/>
      <c r="U73" s="47">
        <f>+ROUND((ROUND((_11_B身体１．０＿２．０*_11・基礎１),0)*(1+_11・B深夜)),0)</f>
        <v>453</v>
      </c>
      <c r="V73" s="48"/>
    </row>
    <row r="74" spans="1:22" ht="16.5" customHeight="1" x14ac:dyDescent="0.15">
      <c r="A74" s="41">
        <v>11</v>
      </c>
      <c r="B74" s="41">
        <v>1582</v>
      </c>
      <c r="C74" s="127" t="s">
        <v>1906</v>
      </c>
      <c r="D74" s="131"/>
      <c r="E74" s="72"/>
      <c r="F74" s="130"/>
      <c r="G74" s="131"/>
      <c r="H74" s="100">
        <f>_11_B身体１．０＿２．０</f>
        <v>431</v>
      </c>
      <c r="I74" s="12" t="s">
        <v>392</v>
      </c>
      <c r="J74" s="711"/>
      <c r="K74" s="37"/>
      <c r="L74" s="38"/>
      <c r="M74" s="44" t="s">
        <v>397</v>
      </c>
      <c r="N74" s="45" t="s">
        <v>398</v>
      </c>
      <c r="O74" s="46">
        <v>1</v>
      </c>
      <c r="P74" s="35"/>
      <c r="R74" s="57"/>
      <c r="S74" s="43"/>
      <c r="T74" s="37"/>
      <c r="U74" s="47">
        <f>+ROUND((ROUND((ROUND((_11_B身体１．０＿２．０*_11・基礎１),0)*_11・２人),0)*(1+_11・B深夜)),0)</f>
        <v>453</v>
      </c>
      <c r="V74" s="48"/>
    </row>
    <row r="75" spans="1:22" ht="16.5" customHeight="1" x14ac:dyDescent="0.15">
      <c r="A75" s="41">
        <v>11</v>
      </c>
      <c r="B75" s="41" t="s">
        <v>1907</v>
      </c>
      <c r="C75" s="127" t="s">
        <v>1908</v>
      </c>
      <c r="D75" s="131"/>
      <c r="E75" s="72"/>
      <c r="F75" s="130"/>
      <c r="G75" s="131"/>
      <c r="H75" s="72"/>
      <c r="I75" s="99"/>
      <c r="J75" s="53"/>
      <c r="K75" s="49"/>
      <c r="L75" s="50"/>
      <c r="M75" s="44"/>
      <c r="N75" s="45"/>
      <c r="O75" s="46"/>
      <c r="P75" s="35"/>
      <c r="R75" s="57"/>
      <c r="S75" s="707" t="s">
        <v>404</v>
      </c>
      <c r="T75" s="708"/>
      <c r="U75" s="47">
        <f>+ROUND((ROUND((_11_B身体１．０＿２．０*(1+_11・B深夜)),0)*_11・初任),0)</f>
        <v>453</v>
      </c>
      <c r="V75" s="48"/>
    </row>
    <row r="76" spans="1:22" ht="16.5" customHeight="1" x14ac:dyDescent="0.15">
      <c r="A76" s="41">
        <v>11</v>
      </c>
      <c r="B76" s="41" t="s">
        <v>1909</v>
      </c>
      <c r="C76" s="127" t="s">
        <v>1910</v>
      </c>
      <c r="D76" s="131"/>
      <c r="E76" s="72"/>
      <c r="F76" s="130"/>
      <c r="G76" s="131"/>
      <c r="H76" s="72"/>
      <c r="I76" s="99"/>
      <c r="J76" s="43"/>
      <c r="K76" s="37"/>
      <c r="L76" s="38"/>
      <c r="M76" s="44" t="s">
        <v>397</v>
      </c>
      <c r="N76" s="45" t="s">
        <v>398</v>
      </c>
      <c r="O76" s="46">
        <v>1</v>
      </c>
      <c r="P76" s="35"/>
      <c r="R76" s="57"/>
      <c r="S76" s="709"/>
      <c r="T76" s="704"/>
      <c r="U76" s="47">
        <f>+ROUND((ROUND((ROUND((_11_B身体１．０＿２．０*_11・２人),0)*(1+_11・B深夜)),0)*_11・初任),0)</f>
        <v>453</v>
      </c>
      <c r="V76" s="48"/>
    </row>
    <row r="77" spans="1:22" ht="16.5" customHeight="1" x14ac:dyDescent="0.15">
      <c r="A77" s="41">
        <v>11</v>
      </c>
      <c r="B77" s="41" t="s">
        <v>1911</v>
      </c>
      <c r="C77" s="127" t="s">
        <v>1912</v>
      </c>
      <c r="D77" s="131"/>
      <c r="E77" s="72"/>
      <c r="F77" s="130"/>
      <c r="G77" s="131"/>
      <c r="H77" s="72"/>
      <c r="I77" s="99"/>
      <c r="J77" s="705" t="s">
        <v>400</v>
      </c>
      <c r="K77" s="49" t="s">
        <v>398</v>
      </c>
      <c r="L77" s="50">
        <v>0.7</v>
      </c>
      <c r="M77" s="44"/>
      <c r="N77" s="45"/>
      <c r="O77" s="46"/>
      <c r="P77" s="35"/>
      <c r="R77" s="57"/>
      <c r="S77" s="709"/>
      <c r="T77" s="704"/>
      <c r="U77" s="47">
        <f>+ROUND((ROUND((ROUND((_11_B身体１．０＿２．０*_11・基礎１),0)*(1+_11・B深夜)),0)*_11・初任),0)</f>
        <v>317</v>
      </c>
      <c r="V77" s="48"/>
    </row>
    <row r="78" spans="1:22" ht="16.5" customHeight="1" x14ac:dyDescent="0.15">
      <c r="A78" s="41">
        <v>11</v>
      </c>
      <c r="B78" s="41" t="s">
        <v>1913</v>
      </c>
      <c r="C78" s="127" t="s">
        <v>1914</v>
      </c>
      <c r="D78" s="133"/>
      <c r="E78" s="122"/>
      <c r="F78" s="134"/>
      <c r="G78" s="133"/>
      <c r="H78" s="122"/>
      <c r="I78" s="113"/>
      <c r="J78" s="711"/>
      <c r="K78" s="37"/>
      <c r="L78" s="38"/>
      <c r="M78" s="44" t="s">
        <v>397</v>
      </c>
      <c r="N78" s="45" t="s">
        <v>398</v>
      </c>
      <c r="O78" s="46">
        <v>1</v>
      </c>
      <c r="P78" s="43"/>
      <c r="Q78" s="38"/>
      <c r="R78" s="79"/>
      <c r="S78" s="55" t="s">
        <v>398</v>
      </c>
      <c r="T78" s="38">
        <f>_11・初任</f>
        <v>0.7</v>
      </c>
      <c r="U78" s="47">
        <f>+ROUND((ROUND((ROUND((ROUND((_11_B身体１．０＿２．０*_11・基礎１),0)*_11・２人),0)*(1+_11・B深夜)),0)*_11・初任),0)</f>
        <v>317</v>
      </c>
      <c r="V78" s="63"/>
    </row>
    <row r="79" spans="1:22" ht="16.5" customHeight="1" x14ac:dyDescent="0.15">
      <c r="A79" s="41">
        <v>11</v>
      </c>
      <c r="B79" s="41">
        <v>1583</v>
      </c>
      <c r="C79" s="127" t="s">
        <v>1915</v>
      </c>
      <c r="D79" s="732" t="s">
        <v>1806</v>
      </c>
      <c r="E79" s="707" t="s">
        <v>889</v>
      </c>
      <c r="F79" s="717"/>
      <c r="G79" s="732" t="s">
        <v>1807</v>
      </c>
      <c r="H79" s="707" t="s">
        <v>1617</v>
      </c>
      <c r="I79" s="717"/>
      <c r="J79" s="53"/>
      <c r="K79" s="49"/>
      <c r="L79" s="50"/>
      <c r="M79" s="44"/>
      <c r="N79" s="45"/>
      <c r="O79" s="46"/>
      <c r="P79" s="53" t="s">
        <v>1036</v>
      </c>
      <c r="Q79" s="50"/>
      <c r="R79" s="115"/>
      <c r="S79" s="35"/>
      <c r="U79" s="39">
        <f>+ROUND((_11_B身体１．５＿０．５*(1+_11・B深夜)),0)</f>
        <v>123</v>
      </c>
      <c r="V79" s="48"/>
    </row>
    <row r="80" spans="1:22" ht="16.5" customHeight="1" x14ac:dyDescent="0.15">
      <c r="A80" s="41">
        <v>11</v>
      </c>
      <c r="B80" s="41">
        <v>1584</v>
      </c>
      <c r="C80" s="127" t="s">
        <v>1916</v>
      </c>
      <c r="D80" s="733"/>
      <c r="E80" s="709"/>
      <c r="F80" s="718"/>
      <c r="G80" s="733"/>
      <c r="H80" s="709"/>
      <c r="I80" s="718"/>
      <c r="J80" s="43"/>
      <c r="K80" s="37"/>
      <c r="L80" s="38"/>
      <c r="M80" s="44" t="s">
        <v>397</v>
      </c>
      <c r="N80" s="45" t="s">
        <v>398</v>
      </c>
      <c r="O80" s="46">
        <v>1</v>
      </c>
      <c r="P80" s="35" t="s">
        <v>398</v>
      </c>
      <c r="Q80" s="13">
        <v>0.5</v>
      </c>
      <c r="R80" s="728" t="s">
        <v>676</v>
      </c>
      <c r="S80" s="35"/>
      <c r="U80" s="47">
        <f>+ROUND((ROUND((_11_B身体１．５＿０．５*_11・２人),0)*(1+_11・B深夜)),0)</f>
        <v>123</v>
      </c>
      <c r="V80" s="48"/>
    </row>
    <row r="81" spans="1:22" ht="16.5" customHeight="1" x14ac:dyDescent="0.15">
      <c r="A81" s="41">
        <v>11</v>
      </c>
      <c r="B81" s="41">
        <v>1585</v>
      </c>
      <c r="C81" s="127" t="s">
        <v>1917</v>
      </c>
      <c r="D81" s="733"/>
      <c r="E81" s="709"/>
      <c r="F81" s="718"/>
      <c r="G81" s="733"/>
      <c r="H81" s="709"/>
      <c r="I81" s="718"/>
      <c r="J81" s="705" t="s">
        <v>400</v>
      </c>
      <c r="K81" s="49" t="s">
        <v>398</v>
      </c>
      <c r="L81" s="50">
        <v>0.7</v>
      </c>
      <c r="M81" s="44"/>
      <c r="N81" s="45"/>
      <c r="O81" s="46"/>
      <c r="P81" s="35"/>
      <c r="R81" s="728"/>
      <c r="S81" s="35"/>
      <c r="U81" s="47">
        <f>+ROUND((ROUND((_11_B身体１．５＿０．５*_11・基礎１),0)*(1+_11・B深夜)),0)</f>
        <v>86</v>
      </c>
      <c r="V81" s="48"/>
    </row>
    <row r="82" spans="1:22" ht="16.5" customHeight="1" x14ac:dyDescent="0.15">
      <c r="A82" s="41">
        <v>11</v>
      </c>
      <c r="B82" s="41">
        <v>1586</v>
      </c>
      <c r="C82" s="127" t="s">
        <v>1918</v>
      </c>
      <c r="D82" s="733"/>
      <c r="E82" s="72"/>
      <c r="F82" s="130"/>
      <c r="G82" s="733"/>
      <c r="H82" s="100">
        <f>_11_B身体１．５＿０．５</f>
        <v>82</v>
      </c>
      <c r="I82" s="12" t="s">
        <v>392</v>
      </c>
      <c r="J82" s="711"/>
      <c r="K82" s="37"/>
      <c r="L82" s="38"/>
      <c r="M82" s="44" t="s">
        <v>397</v>
      </c>
      <c r="N82" s="45" t="s">
        <v>398</v>
      </c>
      <c r="O82" s="46">
        <v>1</v>
      </c>
      <c r="P82" s="35"/>
      <c r="R82" s="57"/>
      <c r="S82" s="43"/>
      <c r="T82" s="37"/>
      <c r="U82" s="47">
        <f>+ROUND((ROUND((ROUND((_11_B身体１．５＿０．５*_11・基礎１),0)*_11・２人),0)*(1+_11・B深夜)),0)</f>
        <v>86</v>
      </c>
      <c r="V82" s="48"/>
    </row>
    <row r="83" spans="1:22" ht="16.5" customHeight="1" x14ac:dyDescent="0.15">
      <c r="A83" s="41">
        <v>11</v>
      </c>
      <c r="B83" s="41" t="s">
        <v>1919</v>
      </c>
      <c r="C83" s="127" t="s">
        <v>1920</v>
      </c>
      <c r="D83" s="733"/>
      <c r="E83" s="72"/>
      <c r="F83" s="130"/>
      <c r="G83" s="733"/>
      <c r="H83" s="72"/>
      <c r="I83" s="99"/>
      <c r="J83" s="53"/>
      <c r="K83" s="49"/>
      <c r="L83" s="50"/>
      <c r="M83" s="44"/>
      <c r="N83" s="45"/>
      <c r="O83" s="46"/>
      <c r="P83" s="35"/>
      <c r="R83" s="57"/>
      <c r="S83" s="707" t="s">
        <v>404</v>
      </c>
      <c r="T83" s="708"/>
      <c r="U83" s="47">
        <f>+ROUND((ROUND((_11_B身体１．５＿０．５*(1+_11・B深夜)),0)*_11・初任),0)</f>
        <v>86</v>
      </c>
      <c r="V83" s="48"/>
    </row>
    <row r="84" spans="1:22" ht="16.5" customHeight="1" x14ac:dyDescent="0.15">
      <c r="A84" s="41">
        <v>11</v>
      </c>
      <c r="B84" s="41" t="s">
        <v>1921</v>
      </c>
      <c r="C84" s="127" t="s">
        <v>1922</v>
      </c>
      <c r="D84" s="733"/>
      <c r="E84" s="72"/>
      <c r="F84" s="130"/>
      <c r="G84" s="733"/>
      <c r="H84" s="72"/>
      <c r="I84" s="99"/>
      <c r="J84" s="43"/>
      <c r="K84" s="37"/>
      <c r="L84" s="38"/>
      <c r="M84" s="44" t="s">
        <v>397</v>
      </c>
      <c r="N84" s="45" t="s">
        <v>398</v>
      </c>
      <c r="O84" s="46">
        <v>1</v>
      </c>
      <c r="P84" s="35"/>
      <c r="R84" s="57"/>
      <c r="S84" s="709"/>
      <c r="T84" s="704"/>
      <c r="U84" s="47">
        <f>+ROUND((ROUND((ROUND((_11_B身体１．５＿０．５*_11・２人),0)*(1+_11・B深夜)),0)*_11・初任),0)</f>
        <v>86</v>
      </c>
      <c r="V84" s="48"/>
    </row>
    <row r="85" spans="1:22" ht="16.5" customHeight="1" x14ac:dyDescent="0.15">
      <c r="A85" s="41">
        <v>11</v>
      </c>
      <c r="B85" s="41" t="s">
        <v>1923</v>
      </c>
      <c r="C85" s="127" t="s">
        <v>1924</v>
      </c>
      <c r="D85" s="733"/>
      <c r="E85" s="72"/>
      <c r="F85" s="130"/>
      <c r="G85" s="733"/>
      <c r="H85" s="72"/>
      <c r="I85" s="99"/>
      <c r="J85" s="705" t="s">
        <v>400</v>
      </c>
      <c r="K85" s="49" t="s">
        <v>398</v>
      </c>
      <c r="L85" s="50">
        <v>0.7</v>
      </c>
      <c r="M85" s="44"/>
      <c r="N85" s="45"/>
      <c r="O85" s="46"/>
      <c r="P85" s="35"/>
      <c r="R85" s="57"/>
      <c r="S85" s="709"/>
      <c r="T85" s="704"/>
      <c r="U85" s="47">
        <f>+ROUND((ROUND((ROUND((_11_B身体１．５＿０．５*_11・基礎１),0)*(1+_11・B深夜)),0)*_11・初任),0)</f>
        <v>60</v>
      </c>
      <c r="V85" s="48"/>
    </row>
    <row r="86" spans="1:22" ht="16.5" customHeight="1" x14ac:dyDescent="0.15">
      <c r="A86" s="41">
        <v>11</v>
      </c>
      <c r="B86" s="41" t="s">
        <v>1925</v>
      </c>
      <c r="C86" s="127" t="s">
        <v>1926</v>
      </c>
      <c r="D86" s="733"/>
      <c r="E86" s="72"/>
      <c r="F86" s="130"/>
      <c r="G86" s="733"/>
      <c r="H86" s="122"/>
      <c r="I86" s="111"/>
      <c r="J86" s="711"/>
      <c r="K86" s="37"/>
      <c r="L86" s="38"/>
      <c r="M86" s="44" t="s">
        <v>397</v>
      </c>
      <c r="N86" s="45" t="s">
        <v>398</v>
      </c>
      <c r="O86" s="46">
        <v>1</v>
      </c>
      <c r="P86" s="35"/>
      <c r="R86" s="57"/>
      <c r="S86" s="55" t="s">
        <v>398</v>
      </c>
      <c r="T86" s="38">
        <f>_11・初任</f>
        <v>0.7</v>
      </c>
      <c r="U86" s="47">
        <f>+ROUND((ROUND((ROUND((ROUND((_11_B身体１．５＿０．５*_11・基礎１),0)*_11・２人),0)*(1+_11・B深夜)),0)*_11・初任),0)</f>
        <v>60</v>
      </c>
      <c r="V86" s="48"/>
    </row>
    <row r="87" spans="1:22" ht="16.5" customHeight="1" x14ac:dyDescent="0.15">
      <c r="A87" s="33">
        <v>11</v>
      </c>
      <c r="B87" s="33">
        <v>1587</v>
      </c>
      <c r="C87" s="135" t="s">
        <v>1927</v>
      </c>
      <c r="D87" s="136"/>
      <c r="E87" s="72"/>
      <c r="F87" s="130"/>
      <c r="G87" s="137"/>
      <c r="H87" s="709" t="s">
        <v>1695</v>
      </c>
      <c r="I87" s="718"/>
      <c r="J87" s="35"/>
      <c r="M87" s="36"/>
      <c r="N87" s="37"/>
      <c r="O87" s="38"/>
      <c r="P87" s="35"/>
      <c r="R87" s="57"/>
      <c r="S87" s="35"/>
      <c r="U87" s="39">
        <f>+ROUND((_11_B身体１．５＿１．０*(1+_11・B深夜)),0)</f>
        <v>249</v>
      </c>
      <c r="V87" s="48"/>
    </row>
    <row r="88" spans="1:22" ht="16.5" customHeight="1" x14ac:dyDescent="0.15">
      <c r="A88" s="41">
        <v>11</v>
      </c>
      <c r="B88" s="41">
        <v>1588</v>
      </c>
      <c r="C88" s="127" t="s">
        <v>1928</v>
      </c>
      <c r="D88" s="136"/>
      <c r="E88" s="72"/>
      <c r="F88" s="130"/>
      <c r="G88" s="137"/>
      <c r="H88" s="709"/>
      <c r="I88" s="718"/>
      <c r="J88" s="43"/>
      <c r="K88" s="37"/>
      <c r="L88" s="38"/>
      <c r="M88" s="44" t="s">
        <v>397</v>
      </c>
      <c r="N88" s="45" t="s">
        <v>398</v>
      </c>
      <c r="O88" s="46">
        <v>1</v>
      </c>
      <c r="P88" s="35"/>
      <c r="R88" s="57"/>
      <c r="S88" s="35"/>
      <c r="U88" s="47">
        <f>+ROUND((ROUND((_11_B身体１．５＿１．０*_11・２人),0)*(1+_11・B深夜)),0)</f>
        <v>249</v>
      </c>
      <c r="V88" s="48"/>
    </row>
    <row r="89" spans="1:22" ht="16.5" customHeight="1" x14ac:dyDescent="0.15">
      <c r="A89" s="41">
        <v>11</v>
      </c>
      <c r="B89" s="41">
        <v>1589</v>
      </c>
      <c r="C89" s="127" t="s">
        <v>1929</v>
      </c>
      <c r="D89" s="136"/>
      <c r="E89" s="72"/>
      <c r="F89" s="130"/>
      <c r="G89" s="137"/>
      <c r="H89" s="709"/>
      <c r="I89" s="718"/>
      <c r="J89" s="705" t="s">
        <v>400</v>
      </c>
      <c r="K89" s="49" t="s">
        <v>398</v>
      </c>
      <c r="L89" s="50">
        <v>0.7</v>
      </c>
      <c r="M89" s="44"/>
      <c r="N89" s="45"/>
      <c r="O89" s="46"/>
      <c r="P89" s="35"/>
      <c r="R89" s="57"/>
      <c r="S89" s="35"/>
      <c r="U89" s="47">
        <f>+ROUND((ROUND((_11_B身体１．５＿１．０*_11・基礎１),0)*(1+_11・B深夜)),0)</f>
        <v>174</v>
      </c>
      <c r="V89" s="48"/>
    </row>
    <row r="90" spans="1:22" ht="16.5" customHeight="1" x14ac:dyDescent="0.15">
      <c r="A90" s="41">
        <v>11</v>
      </c>
      <c r="B90" s="41">
        <v>1590</v>
      </c>
      <c r="C90" s="127" t="s">
        <v>1930</v>
      </c>
      <c r="D90" s="136"/>
      <c r="E90" s="72"/>
      <c r="F90" s="130"/>
      <c r="G90" s="137"/>
      <c r="H90" s="100">
        <f>_11_B身体１．５＿１．０</f>
        <v>166</v>
      </c>
      <c r="I90" s="12" t="s">
        <v>392</v>
      </c>
      <c r="J90" s="711"/>
      <c r="K90" s="37"/>
      <c r="L90" s="38"/>
      <c r="M90" s="44" t="s">
        <v>397</v>
      </c>
      <c r="N90" s="45" t="s">
        <v>398</v>
      </c>
      <c r="O90" s="46">
        <v>1</v>
      </c>
      <c r="P90" s="35"/>
      <c r="R90" s="57"/>
      <c r="S90" s="43"/>
      <c r="T90" s="37"/>
      <c r="U90" s="47">
        <f>+ROUND((ROUND((ROUND((_11_B身体１．５＿１．０*_11・基礎１),0)*_11・２人),0)*(1+_11・B深夜)),0)</f>
        <v>174</v>
      </c>
      <c r="V90" s="48"/>
    </row>
    <row r="91" spans="1:22" ht="16.5" customHeight="1" x14ac:dyDescent="0.15">
      <c r="A91" s="41">
        <v>11</v>
      </c>
      <c r="B91" s="41" t="s">
        <v>1931</v>
      </c>
      <c r="C91" s="127" t="s">
        <v>1932</v>
      </c>
      <c r="D91" s="136"/>
      <c r="E91" s="72"/>
      <c r="F91" s="130"/>
      <c r="G91" s="137"/>
      <c r="H91" s="72"/>
      <c r="I91" s="99"/>
      <c r="J91" s="53"/>
      <c r="K91" s="49"/>
      <c r="L91" s="50"/>
      <c r="M91" s="44"/>
      <c r="N91" s="45"/>
      <c r="O91" s="46"/>
      <c r="P91" s="35"/>
      <c r="R91" s="57"/>
      <c r="S91" s="707" t="s">
        <v>404</v>
      </c>
      <c r="T91" s="708"/>
      <c r="U91" s="47">
        <f>+ROUND((ROUND((_11_B身体１．５＿１．０*(1+_11・B深夜)),0)*_11・初任),0)</f>
        <v>174</v>
      </c>
      <c r="V91" s="48"/>
    </row>
    <row r="92" spans="1:22" ht="16.5" customHeight="1" x14ac:dyDescent="0.15">
      <c r="A92" s="41">
        <v>11</v>
      </c>
      <c r="B92" s="41" t="s">
        <v>1933</v>
      </c>
      <c r="C92" s="127" t="s">
        <v>1934</v>
      </c>
      <c r="D92" s="136"/>
      <c r="E92" s="72"/>
      <c r="F92" s="130"/>
      <c r="G92" s="137"/>
      <c r="H92" s="72"/>
      <c r="I92" s="99"/>
      <c r="J92" s="43"/>
      <c r="K92" s="37"/>
      <c r="L92" s="38"/>
      <c r="M92" s="44" t="s">
        <v>397</v>
      </c>
      <c r="N92" s="45" t="s">
        <v>398</v>
      </c>
      <c r="O92" s="46">
        <v>1</v>
      </c>
      <c r="P92" s="35"/>
      <c r="R92" s="57"/>
      <c r="S92" s="709"/>
      <c r="T92" s="704"/>
      <c r="U92" s="47">
        <f>+ROUND((ROUND((ROUND((_11_B身体１．５＿１．０*_11・２人),0)*(1+_11・B深夜)),0)*_11・初任),0)</f>
        <v>174</v>
      </c>
      <c r="V92" s="48"/>
    </row>
    <row r="93" spans="1:22" ht="16.5" customHeight="1" x14ac:dyDescent="0.15">
      <c r="A93" s="41">
        <v>11</v>
      </c>
      <c r="B93" s="41" t="s">
        <v>1935</v>
      </c>
      <c r="C93" s="127" t="s">
        <v>1936</v>
      </c>
      <c r="D93" s="136"/>
      <c r="E93" s="72"/>
      <c r="F93" s="130"/>
      <c r="G93" s="137"/>
      <c r="H93" s="72"/>
      <c r="I93" s="99"/>
      <c r="J93" s="705" t="s">
        <v>400</v>
      </c>
      <c r="K93" s="49" t="s">
        <v>398</v>
      </c>
      <c r="L93" s="50">
        <v>0.7</v>
      </c>
      <c r="M93" s="44"/>
      <c r="N93" s="45"/>
      <c r="O93" s="46"/>
      <c r="P93" s="35"/>
      <c r="R93" s="57"/>
      <c r="S93" s="709"/>
      <c r="T93" s="704"/>
      <c r="U93" s="47">
        <f>+ROUND((ROUND((ROUND((_11_B身体１．５＿１．０*_11・基礎１),0)*(1+_11・B深夜)),0)*_11・初任),0)</f>
        <v>122</v>
      </c>
      <c r="V93" s="48"/>
    </row>
    <row r="94" spans="1:22" ht="16.5" customHeight="1" x14ac:dyDescent="0.15">
      <c r="A94" s="41">
        <v>11</v>
      </c>
      <c r="B94" s="41" t="s">
        <v>1937</v>
      </c>
      <c r="C94" s="127" t="s">
        <v>1938</v>
      </c>
      <c r="D94" s="136"/>
      <c r="E94" s="72"/>
      <c r="F94" s="130"/>
      <c r="G94" s="137"/>
      <c r="H94" s="72"/>
      <c r="I94" s="99"/>
      <c r="J94" s="711"/>
      <c r="K94" s="37"/>
      <c r="L94" s="38"/>
      <c r="M94" s="44" t="s">
        <v>397</v>
      </c>
      <c r="N94" s="45" t="s">
        <v>398</v>
      </c>
      <c r="O94" s="46">
        <v>1</v>
      </c>
      <c r="P94" s="35"/>
      <c r="R94" s="57"/>
      <c r="S94" s="55" t="s">
        <v>398</v>
      </c>
      <c r="T94" s="38">
        <f>_11・初任</f>
        <v>0.7</v>
      </c>
      <c r="U94" s="47">
        <f>+ROUND((ROUND((ROUND((ROUND((_11_B身体１．５＿１．０*_11・基礎１),0)*_11・２人),0)*(1+_11・B深夜)),0)*_11・初任),0)</f>
        <v>122</v>
      </c>
      <c r="V94" s="48"/>
    </row>
    <row r="95" spans="1:22" ht="16.5" customHeight="1" x14ac:dyDescent="0.15">
      <c r="A95" s="41">
        <v>11</v>
      </c>
      <c r="B95" s="41">
        <v>1591</v>
      </c>
      <c r="C95" s="127" t="s">
        <v>1939</v>
      </c>
      <c r="D95" s="136"/>
      <c r="E95" s="132"/>
      <c r="F95" s="106"/>
      <c r="G95" s="137"/>
      <c r="H95" s="707" t="s">
        <v>1644</v>
      </c>
      <c r="I95" s="717"/>
      <c r="J95" s="53"/>
      <c r="K95" s="49"/>
      <c r="L95" s="50"/>
      <c r="M95" s="44"/>
      <c r="N95" s="45"/>
      <c r="O95" s="46"/>
      <c r="P95" s="35"/>
      <c r="R95" s="57"/>
      <c r="S95" s="53"/>
      <c r="T95" s="49"/>
      <c r="U95" s="47">
        <f>+ROUND((_11_B身体１．５＿１．５*(1+_11・B深夜)),0)</f>
        <v>374</v>
      </c>
      <c r="V95" s="48"/>
    </row>
    <row r="96" spans="1:22" ht="16.5" customHeight="1" x14ac:dyDescent="0.15">
      <c r="A96" s="41">
        <v>11</v>
      </c>
      <c r="B96" s="41">
        <v>1592</v>
      </c>
      <c r="C96" s="127" t="s">
        <v>1940</v>
      </c>
      <c r="D96" s="136"/>
      <c r="E96" s="132"/>
      <c r="F96" s="106"/>
      <c r="G96" s="137"/>
      <c r="H96" s="709"/>
      <c r="I96" s="718"/>
      <c r="J96" s="43"/>
      <c r="K96" s="37"/>
      <c r="L96" s="38"/>
      <c r="M96" s="44" t="s">
        <v>397</v>
      </c>
      <c r="N96" s="45" t="s">
        <v>398</v>
      </c>
      <c r="O96" s="46">
        <v>1</v>
      </c>
      <c r="P96" s="35"/>
      <c r="R96" s="57"/>
      <c r="S96" s="35"/>
      <c r="U96" s="47">
        <f>+ROUND((ROUND((_11_B身体１．５＿１．５*_11・２人),0)*(1+_11・B深夜)),0)</f>
        <v>374</v>
      </c>
      <c r="V96" s="48"/>
    </row>
    <row r="97" spans="1:22" ht="16.5" customHeight="1" x14ac:dyDescent="0.15">
      <c r="A97" s="41">
        <v>11</v>
      </c>
      <c r="B97" s="41">
        <v>1593</v>
      </c>
      <c r="C97" s="127" t="s">
        <v>1941</v>
      </c>
      <c r="D97" s="136"/>
      <c r="E97" s="132"/>
      <c r="F97" s="106"/>
      <c r="G97" s="137"/>
      <c r="H97" s="709"/>
      <c r="I97" s="718"/>
      <c r="J97" s="705" t="s">
        <v>400</v>
      </c>
      <c r="K97" s="49" t="s">
        <v>398</v>
      </c>
      <c r="L97" s="50">
        <v>0.7</v>
      </c>
      <c r="M97" s="44"/>
      <c r="N97" s="45"/>
      <c r="O97" s="46"/>
      <c r="P97" s="35"/>
      <c r="R97" s="57"/>
      <c r="S97" s="35"/>
      <c r="U97" s="47">
        <f>+ROUND((ROUND((_11_B身体１．５＿１．５*_11・基礎１),0)*(1+_11・B深夜)),0)</f>
        <v>261</v>
      </c>
      <c r="V97" s="48"/>
    </row>
    <row r="98" spans="1:22" ht="16.5" customHeight="1" x14ac:dyDescent="0.15">
      <c r="A98" s="41">
        <v>11</v>
      </c>
      <c r="B98" s="41">
        <v>1594</v>
      </c>
      <c r="C98" s="127" t="s">
        <v>1942</v>
      </c>
      <c r="D98" s="136"/>
      <c r="E98" s="72"/>
      <c r="F98" s="130"/>
      <c r="G98" s="137"/>
      <c r="H98" s="100">
        <f>_11_B身体１．５＿１．５</f>
        <v>249</v>
      </c>
      <c r="I98" s="12" t="s">
        <v>392</v>
      </c>
      <c r="J98" s="711"/>
      <c r="K98" s="37"/>
      <c r="L98" s="38"/>
      <c r="M98" s="44" t="s">
        <v>397</v>
      </c>
      <c r="N98" s="45" t="s">
        <v>398</v>
      </c>
      <c r="O98" s="46">
        <v>1</v>
      </c>
      <c r="P98" s="35"/>
      <c r="R98" s="57"/>
      <c r="S98" s="43"/>
      <c r="T98" s="37"/>
      <c r="U98" s="47">
        <f>+ROUND((ROUND((ROUND((_11_B身体１．５＿１．５*_11・基礎１),0)*_11・２人),0)*(1+_11・B深夜)),0)</f>
        <v>261</v>
      </c>
      <c r="V98" s="48"/>
    </row>
    <row r="99" spans="1:22" ht="16.5" customHeight="1" x14ac:dyDescent="0.15">
      <c r="A99" s="41">
        <v>11</v>
      </c>
      <c r="B99" s="41" t="s">
        <v>1943</v>
      </c>
      <c r="C99" s="127" t="s">
        <v>1944</v>
      </c>
      <c r="D99" s="136"/>
      <c r="E99" s="72"/>
      <c r="F99" s="130"/>
      <c r="G99" s="137"/>
      <c r="H99" s="72"/>
      <c r="I99" s="99"/>
      <c r="J99" s="53"/>
      <c r="K99" s="49"/>
      <c r="L99" s="50"/>
      <c r="M99" s="44"/>
      <c r="N99" s="45"/>
      <c r="O99" s="46"/>
      <c r="P99" s="35"/>
      <c r="R99" s="57"/>
      <c r="S99" s="707" t="s">
        <v>404</v>
      </c>
      <c r="T99" s="708"/>
      <c r="U99" s="47">
        <f>+ROUND((ROUND((_11_B身体１．５＿１．５*(1+_11・B深夜)),0)*_11・初任),0)</f>
        <v>262</v>
      </c>
      <c r="V99" s="48"/>
    </row>
    <row r="100" spans="1:22" ht="16.5" customHeight="1" x14ac:dyDescent="0.15">
      <c r="A100" s="41">
        <v>11</v>
      </c>
      <c r="B100" s="41" t="s">
        <v>1945</v>
      </c>
      <c r="C100" s="127" t="s">
        <v>1946</v>
      </c>
      <c r="D100" s="136"/>
      <c r="E100" s="72"/>
      <c r="F100" s="130"/>
      <c r="G100" s="137"/>
      <c r="H100" s="72"/>
      <c r="I100" s="99"/>
      <c r="J100" s="43"/>
      <c r="K100" s="37"/>
      <c r="L100" s="38"/>
      <c r="M100" s="44" t="s">
        <v>397</v>
      </c>
      <c r="N100" s="45" t="s">
        <v>398</v>
      </c>
      <c r="O100" s="46">
        <v>1</v>
      </c>
      <c r="P100" s="35"/>
      <c r="R100" s="57"/>
      <c r="S100" s="709"/>
      <c r="T100" s="704"/>
      <c r="U100" s="47">
        <f>+ROUND((ROUND((ROUND((_11_B身体１．５＿１．５*_11・２人),0)*(1+_11・B深夜)),0)*_11・初任),0)</f>
        <v>262</v>
      </c>
      <c r="V100" s="48"/>
    </row>
    <row r="101" spans="1:22" ht="16.5" customHeight="1" x14ac:dyDescent="0.15">
      <c r="A101" s="41">
        <v>11</v>
      </c>
      <c r="B101" s="41" t="s">
        <v>1947</v>
      </c>
      <c r="C101" s="127" t="s">
        <v>1948</v>
      </c>
      <c r="D101" s="136"/>
      <c r="E101" s="72"/>
      <c r="F101" s="130"/>
      <c r="G101" s="137"/>
      <c r="H101" s="72"/>
      <c r="I101" s="99"/>
      <c r="J101" s="705" t="s">
        <v>400</v>
      </c>
      <c r="K101" s="49" t="s">
        <v>398</v>
      </c>
      <c r="L101" s="50">
        <v>0.7</v>
      </c>
      <c r="M101" s="44"/>
      <c r="N101" s="45"/>
      <c r="O101" s="46"/>
      <c r="P101" s="35"/>
      <c r="R101" s="57"/>
      <c r="S101" s="709"/>
      <c r="T101" s="704"/>
      <c r="U101" s="47">
        <f>+ROUND((ROUND((ROUND((_11_B身体１．５＿１．５*_11・基礎１),0)*(1+_11・B深夜)),0)*_11・初任),0)</f>
        <v>183</v>
      </c>
      <c r="V101" s="48"/>
    </row>
    <row r="102" spans="1:22" ht="16.5" customHeight="1" x14ac:dyDescent="0.15">
      <c r="A102" s="41">
        <v>11</v>
      </c>
      <c r="B102" s="41" t="s">
        <v>1949</v>
      </c>
      <c r="C102" s="127" t="s">
        <v>1950</v>
      </c>
      <c r="D102" s="136"/>
      <c r="E102" s="72"/>
      <c r="F102" s="130"/>
      <c r="G102" s="137"/>
      <c r="H102" s="72"/>
      <c r="I102" s="99"/>
      <c r="J102" s="711"/>
      <c r="K102" s="37"/>
      <c r="L102" s="38"/>
      <c r="M102" s="44" t="s">
        <v>397</v>
      </c>
      <c r="N102" s="45" t="s">
        <v>398</v>
      </c>
      <c r="O102" s="46">
        <v>1</v>
      </c>
      <c r="P102" s="35"/>
      <c r="R102" s="57"/>
      <c r="S102" s="55" t="s">
        <v>398</v>
      </c>
      <c r="T102" s="38">
        <f>_11・初任</f>
        <v>0.7</v>
      </c>
      <c r="U102" s="47">
        <f>+ROUND((ROUND((ROUND((ROUND((_11_B身体１．５＿１．５*_11・基礎１),0)*_11・２人),0)*(1+_11・B深夜)),0)*_11・初任),0)</f>
        <v>183</v>
      </c>
      <c r="V102" s="48"/>
    </row>
    <row r="103" spans="1:22" ht="16.5" customHeight="1" x14ac:dyDescent="0.15">
      <c r="A103" s="41">
        <v>11</v>
      </c>
      <c r="B103" s="41">
        <v>1595</v>
      </c>
      <c r="C103" s="127" t="s">
        <v>1951</v>
      </c>
      <c r="D103" s="136"/>
      <c r="E103" s="707" t="s">
        <v>1188</v>
      </c>
      <c r="F103" s="717"/>
      <c r="G103" s="137"/>
      <c r="H103" s="707" t="s">
        <v>1617</v>
      </c>
      <c r="I103" s="717"/>
      <c r="J103" s="53"/>
      <c r="K103" s="49"/>
      <c r="L103" s="50"/>
      <c r="M103" s="44"/>
      <c r="N103" s="45"/>
      <c r="O103" s="46"/>
      <c r="P103" s="35"/>
      <c r="R103" s="57"/>
      <c r="S103" s="53"/>
      <c r="T103" s="49"/>
      <c r="U103" s="47">
        <f>+ROUND((_11_B身体２．０＿０．５*(1+_11・B深夜)),0)</f>
        <v>126</v>
      </c>
      <c r="V103" s="48"/>
    </row>
    <row r="104" spans="1:22" ht="16.5" customHeight="1" x14ac:dyDescent="0.15">
      <c r="A104" s="41">
        <v>11</v>
      </c>
      <c r="B104" s="41">
        <v>1596</v>
      </c>
      <c r="C104" s="127" t="s">
        <v>1952</v>
      </c>
      <c r="D104" s="136"/>
      <c r="E104" s="709"/>
      <c r="F104" s="718"/>
      <c r="G104" s="137"/>
      <c r="H104" s="709"/>
      <c r="I104" s="718"/>
      <c r="J104" s="43"/>
      <c r="K104" s="37"/>
      <c r="L104" s="38"/>
      <c r="M104" s="44" t="s">
        <v>397</v>
      </c>
      <c r="N104" s="45" t="s">
        <v>398</v>
      </c>
      <c r="O104" s="46">
        <v>1</v>
      </c>
      <c r="P104" s="35"/>
      <c r="R104" s="57"/>
      <c r="S104" s="35"/>
      <c r="U104" s="47">
        <f>+ROUND((ROUND((_11_B身体２．０＿０．５*_11・２人),0)*(1+_11・B深夜)),0)</f>
        <v>126</v>
      </c>
      <c r="V104" s="48"/>
    </row>
    <row r="105" spans="1:22" ht="16.5" customHeight="1" x14ac:dyDescent="0.15">
      <c r="A105" s="41">
        <v>11</v>
      </c>
      <c r="B105" s="41">
        <v>1597</v>
      </c>
      <c r="C105" s="127" t="s">
        <v>1953</v>
      </c>
      <c r="D105" s="136"/>
      <c r="E105" s="709"/>
      <c r="F105" s="718"/>
      <c r="G105" s="137"/>
      <c r="H105" s="709"/>
      <c r="I105" s="718"/>
      <c r="J105" s="705" t="s">
        <v>400</v>
      </c>
      <c r="K105" s="49" t="s">
        <v>398</v>
      </c>
      <c r="L105" s="50">
        <v>0.7</v>
      </c>
      <c r="M105" s="44"/>
      <c r="N105" s="45"/>
      <c r="O105" s="46"/>
      <c r="P105" s="35"/>
      <c r="R105" s="57"/>
      <c r="S105" s="35"/>
      <c r="U105" s="47">
        <f>+ROUND((ROUND((_11_B身体２．０＿０．５*_11・基礎１),0)*(1+_11・B深夜)),0)</f>
        <v>89</v>
      </c>
      <c r="V105" s="48"/>
    </row>
    <row r="106" spans="1:22" ht="16.5" customHeight="1" x14ac:dyDescent="0.15">
      <c r="A106" s="41">
        <v>11</v>
      </c>
      <c r="B106" s="41">
        <v>1598</v>
      </c>
      <c r="C106" s="127" t="s">
        <v>1954</v>
      </c>
      <c r="D106" s="136"/>
      <c r="E106" s="72"/>
      <c r="F106" s="130"/>
      <c r="G106" s="137"/>
      <c r="H106" s="100">
        <f>_11_B身体２．０＿０．５</f>
        <v>84</v>
      </c>
      <c r="I106" s="12" t="s">
        <v>392</v>
      </c>
      <c r="J106" s="711"/>
      <c r="K106" s="37"/>
      <c r="L106" s="38"/>
      <c r="M106" s="44" t="s">
        <v>397</v>
      </c>
      <c r="N106" s="45" t="s">
        <v>398</v>
      </c>
      <c r="O106" s="46">
        <v>1</v>
      </c>
      <c r="P106" s="35"/>
      <c r="R106" s="57"/>
      <c r="S106" s="43"/>
      <c r="T106" s="37"/>
      <c r="U106" s="47">
        <f>+ROUND((ROUND((ROUND((_11_B身体２．０＿０．５*_11・基礎１),0)*_11・２人),0)*(1+_11・B深夜)),0)</f>
        <v>89</v>
      </c>
      <c r="V106" s="48"/>
    </row>
    <row r="107" spans="1:22" ht="16.5" customHeight="1" x14ac:dyDescent="0.15">
      <c r="A107" s="41">
        <v>11</v>
      </c>
      <c r="B107" s="41" t="s">
        <v>1955</v>
      </c>
      <c r="C107" s="127" t="s">
        <v>1956</v>
      </c>
      <c r="D107" s="136"/>
      <c r="E107" s="72"/>
      <c r="F107" s="130"/>
      <c r="G107" s="137"/>
      <c r="H107" s="72"/>
      <c r="I107" s="99"/>
      <c r="J107" s="53"/>
      <c r="K107" s="49"/>
      <c r="L107" s="50"/>
      <c r="M107" s="44"/>
      <c r="N107" s="45"/>
      <c r="O107" s="46"/>
      <c r="P107" s="35"/>
      <c r="R107" s="57"/>
      <c r="S107" s="707" t="s">
        <v>404</v>
      </c>
      <c r="T107" s="708"/>
      <c r="U107" s="47">
        <f>+ROUND((ROUND((_11_B身体２．０＿０．５*(1+_11・B深夜)),0)*_11・初任),0)</f>
        <v>88</v>
      </c>
      <c r="V107" s="48"/>
    </row>
    <row r="108" spans="1:22" ht="16.5" customHeight="1" x14ac:dyDescent="0.15">
      <c r="A108" s="41">
        <v>11</v>
      </c>
      <c r="B108" s="41" t="s">
        <v>1957</v>
      </c>
      <c r="C108" s="127" t="s">
        <v>1958</v>
      </c>
      <c r="D108" s="136"/>
      <c r="E108" s="72"/>
      <c r="F108" s="130"/>
      <c r="G108" s="137"/>
      <c r="H108" s="72"/>
      <c r="I108" s="99"/>
      <c r="J108" s="43"/>
      <c r="K108" s="37"/>
      <c r="L108" s="38"/>
      <c r="M108" s="44" t="s">
        <v>397</v>
      </c>
      <c r="N108" s="45" t="s">
        <v>398</v>
      </c>
      <c r="O108" s="46">
        <v>1</v>
      </c>
      <c r="P108" s="35"/>
      <c r="R108" s="57"/>
      <c r="S108" s="709"/>
      <c r="T108" s="704"/>
      <c r="U108" s="47">
        <f>+ROUND((ROUND((ROUND((_11_B身体２．０＿０．５*_11・２人),0)*(1+_11・B深夜)),0)*_11・初任),0)</f>
        <v>88</v>
      </c>
      <c r="V108" s="48"/>
    </row>
    <row r="109" spans="1:22" ht="16.5" customHeight="1" x14ac:dyDescent="0.15">
      <c r="A109" s="41">
        <v>11</v>
      </c>
      <c r="B109" s="41" t="s">
        <v>1959</v>
      </c>
      <c r="C109" s="127" t="s">
        <v>1960</v>
      </c>
      <c r="D109" s="136"/>
      <c r="E109" s="72"/>
      <c r="F109" s="130"/>
      <c r="G109" s="137"/>
      <c r="H109" s="72"/>
      <c r="I109" s="99"/>
      <c r="J109" s="705" t="s">
        <v>400</v>
      </c>
      <c r="K109" s="49" t="s">
        <v>398</v>
      </c>
      <c r="L109" s="50">
        <v>0.7</v>
      </c>
      <c r="M109" s="44"/>
      <c r="N109" s="45"/>
      <c r="O109" s="46"/>
      <c r="P109" s="35"/>
      <c r="R109" s="57"/>
      <c r="S109" s="709"/>
      <c r="T109" s="704"/>
      <c r="U109" s="47">
        <f>+ROUND((ROUND((ROUND((_11_B身体２．０＿０．５*_11・基礎１),0)*(1+_11・B深夜)),0)*_11・初任),0)</f>
        <v>62</v>
      </c>
      <c r="V109" s="48"/>
    </row>
    <row r="110" spans="1:22" ht="16.5" customHeight="1" x14ac:dyDescent="0.15">
      <c r="A110" s="41">
        <v>11</v>
      </c>
      <c r="B110" s="41" t="s">
        <v>1961</v>
      </c>
      <c r="C110" s="127" t="s">
        <v>1962</v>
      </c>
      <c r="D110" s="136"/>
      <c r="E110" s="72"/>
      <c r="F110" s="130"/>
      <c r="G110" s="137"/>
      <c r="H110" s="72"/>
      <c r="I110" s="99"/>
      <c r="J110" s="711"/>
      <c r="K110" s="37"/>
      <c r="L110" s="38"/>
      <c r="M110" s="44" t="s">
        <v>397</v>
      </c>
      <c r="N110" s="45" t="s">
        <v>398</v>
      </c>
      <c r="O110" s="46">
        <v>1</v>
      </c>
      <c r="P110" s="35"/>
      <c r="R110" s="57"/>
      <c r="S110" s="55" t="s">
        <v>398</v>
      </c>
      <c r="T110" s="38">
        <f>_11・初任</f>
        <v>0.7</v>
      </c>
      <c r="U110" s="47">
        <f>+ROUND((ROUND((ROUND((ROUND((_11_B身体２．０＿０．５*_11・基礎１),0)*_11・２人),0)*(1+_11・B深夜)),0)*_11・初任),0)</f>
        <v>62</v>
      </c>
      <c r="V110" s="48"/>
    </row>
    <row r="111" spans="1:22" ht="16.5" customHeight="1" x14ac:dyDescent="0.15">
      <c r="A111" s="41">
        <v>11</v>
      </c>
      <c r="B111" s="41">
        <v>1599</v>
      </c>
      <c r="C111" s="127" t="s">
        <v>1963</v>
      </c>
      <c r="D111" s="136"/>
      <c r="E111" s="72"/>
      <c r="F111" s="130"/>
      <c r="G111" s="137"/>
      <c r="H111" s="707" t="s">
        <v>1695</v>
      </c>
      <c r="I111" s="717"/>
      <c r="J111" s="53"/>
      <c r="K111" s="49"/>
      <c r="L111" s="50"/>
      <c r="M111" s="44"/>
      <c r="N111" s="45"/>
      <c r="O111" s="46"/>
      <c r="P111" s="35"/>
      <c r="R111" s="57"/>
      <c r="S111" s="53"/>
      <c r="T111" s="49"/>
      <c r="U111" s="47">
        <f>+ROUND((_11_B身体２．０＿１．０*(1+_11・B深夜)),0)</f>
        <v>251</v>
      </c>
      <c r="V111" s="48"/>
    </row>
    <row r="112" spans="1:22" ht="16.5" customHeight="1" x14ac:dyDescent="0.15">
      <c r="A112" s="41">
        <v>11</v>
      </c>
      <c r="B112" s="41">
        <v>1600</v>
      </c>
      <c r="C112" s="127" t="s">
        <v>1964</v>
      </c>
      <c r="D112" s="136"/>
      <c r="E112" s="72"/>
      <c r="F112" s="130"/>
      <c r="G112" s="137"/>
      <c r="H112" s="709"/>
      <c r="I112" s="718"/>
      <c r="J112" s="43"/>
      <c r="K112" s="37"/>
      <c r="L112" s="38"/>
      <c r="M112" s="44" t="s">
        <v>397</v>
      </c>
      <c r="N112" s="45" t="s">
        <v>398</v>
      </c>
      <c r="O112" s="46">
        <v>1</v>
      </c>
      <c r="P112" s="35"/>
      <c r="R112" s="57"/>
      <c r="S112" s="35"/>
      <c r="U112" s="47">
        <f>+ROUND((ROUND((_11_B身体２．０＿１．０*_11・２人),0)*(1+_11・B深夜)),0)</f>
        <v>251</v>
      </c>
      <c r="V112" s="48"/>
    </row>
    <row r="113" spans="1:22" ht="16.5" customHeight="1" x14ac:dyDescent="0.15">
      <c r="A113" s="41">
        <v>11</v>
      </c>
      <c r="B113" s="41">
        <v>1601</v>
      </c>
      <c r="C113" s="127" t="s">
        <v>1965</v>
      </c>
      <c r="D113" s="136"/>
      <c r="E113" s="72"/>
      <c r="F113" s="130"/>
      <c r="G113" s="137"/>
      <c r="H113" s="709"/>
      <c r="I113" s="718"/>
      <c r="J113" s="705" t="s">
        <v>400</v>
      </c>
      <c r="K113" s="49" t="s">
        <v>398</v>
      </c>
      <c r="L113" s="50">
        <v>0.7</v>
      </c>
      <c r="M113" s="44"/>
      <c r="N113" s="45"/>
      <c r="O113" s="46"/>
      <c r="P113" s="35"/>
      <c r="R113" s="57"/>
      <c r="S113" s="35"/>
      <c r="U113" s="47">
        <f>+ROUND((ROUND((_11_B身体２．０＿１．０*_11・基礎１),0)*(1+_11・B深夜)),0)</f>
        <v>176</v>
      </c>
      <c r="V113" s="48"/>
    </row>
    <row r="114" spans="1:22" ht="16.5" customHeight="1" x14ac:dyDescent="0.15">
      <c r="A114" s="41">
        <v>11</v>
      </c>
      <c r="B114" s="41">
        <v>1602</v>
      </c>
      <c r="C114" s="127" t="s">
        <v>1966</v>
      </c>
      <c r="D114" s="136"/>
      <c r="E114" s="72"/>
      <c r="F114" s="130"/>
      <c r="G114" s="137"/>
      <c r="H114" s="100">
        <f>_11_B身体２．０＿１．０</f>
        <v>167</v>
      </c>
      <c r="I114" s="12" t="s">
        <v>392</v>
      </c>
      <c r="J114" s="711"/>
      <c r="K114" s="37"/>
      <c r="L114" s="38"/>
      <c r="M114" s="44" t="s">
        <v>397</v>
      </c>
      <c r="N114" s="45" t="s">
        <v>398</v>
      </c>
      <c r="O114" s="46">
        <v>1</v>
      </c>
      <c r="P114" s="35"/>
      <c r="R114" s="57"/>
      <c r="S114" s="43"/>
      <c r="T114" s="37"/>
      <c r="U114" s="47">
        <f>+ROUND((ROUND((ROUND((_11_B身体２．０＿１．０*_11・基礎１),0)*_11・２人),0)*(1+_11・B深夜)),0)</f>
        <v>176</v>
      </c>
      <c r="V114" s="48"/>
    </row>
    <row r="115" spans="1:22" ht="16.5" customHeight="1" x14ac:dyDescent="0.15">
      <c r="A115" s="41">
        <v>11</v>
      </c>
      <c r="B115" s="41" t="s">
        <v>1967</v>
      </c>
      <c r="C115" s="127" t="s">
        <v>1968</v>
      </c>
      <c r="D115" s="136"/>
      <c r="E115" s="72"/>
      <c r="F115" s="130"/>
      <c r="G115" s="137"/>
      <c r="H115" s="72"/>
      <c r="I115" s="99"/>
      <c r="J115" s="53"/>
      <c r="K115" s="49"/>
      <c r="L115" s="50"/>
      <c r="M115" s="44"/>
      <c r="N115" s="45"/>
      <c r="O115" s="46"/>
      <c r="P115" s="35"/>
      <c r="R115" s="57"/>
      <c r="S115" s="707" t="s">
        <v>404</v>
      </c>
      <c r="T115" s="708"/>
      <c r="U115" s="47">
        <f>+ROUND((ROUND((_11_B身体２．０＿１．０*(1+_11・B深夜)),0)*_11・初任),0)</f>
        <v>176</v>
      </c>
      <c r="V115" s="48"/>
    </row>
    <row r="116" spans="1:22" ht="16.5" customHeight="1" x14ac:dyDescent="0.15">
      <c r="A116" s="41">
        <v>11</v>
      </c>
      <c r="B116" s="41" t="s">
        <v>1969</v>
      </c>
      <c r="C116" s="127" t="s">
        <v>1970</v>
      </c>
      <c r="D116" s="136"/>
      <c r="E116" s="72"/>
      <c r="F116" s="130"/>
      <c r="G116" s="137"/>
      <c r="H116" s="72"/>
      <c r="I116" s="99"/>
      <c r="J116" s="43"/>
      <c r="K116" s="37"/>
      <c r="L116" s="38"/>
      <c r="M116" s="44" t="s">
        <v>397</v>
      </c>
      <c r="N116" s="45" t="s">
        <v>398</v>
      </c>
      <c r="O116" s="46">
        <v>1</v>
      </c>
      <c r="P116" s="35"/>
      <c r="R116" s="57"/>
      <c r="S116" s="709"/>
      <c r="T116" s="704"/>
      <c r="U116" s="47">
        <f>+ROUND((ROUND((ROUND((_11_B身体２．０＿１．０*_11・２人),0)*(1+_11・B深夜)),0)*_11・初任),0)</f>
        <v>176</v>
      </c>
      <c r="V116" s="48"/>
    </row>
    <row r="117" spans="1:22" ht="16.5" customHeight="1" x14ac:dyDescent="0.15">
      <c r="A117" s="41">
        <v>11</v>
      </c>
      <c r="B117" s="41" t="s">
        <v>1971</v>
      </c>
      <c r="C117" s="127" t="s">
        <v>1972</v>
      </c>
      <c r="D117" s="136"/>
      <c r="E117" s="72"/>
      <c r="F117" s="130"/>
      <c r="G117" s="137"/>
      <c r="H117" s="72"/>
      <c r="I117" s="99"/>
      <c r="J117" s="705" t="s">
        <v>400</v>
      </c>
      <c r="K117" s="49" t="s">
        <v>398</v>
      </c>
      <c r="L117" s="50">
        <v>0.7</v>
      </c>
      <c r="M117" s="44"/>
      <c r="N117" s="45"/>
      <c r="O117" s="46"/>
      <c r="P117" s="35"/>
      <c r="R117" s="57"/>
      <c r="S117" s="709"/>
      <c r="T117" s="704"/>
      <c r="U117" s="47">
        <f>+ROUND((ROUND((ROUND((_11_B身体２．０＿１．０*_11・基礎１),0)*(1+_11・B深夜)),0)*_11・初任),0)</f>
        <v>123</v>
      </c>
      <c r="V117" s="48"/>
    </row>
    <row r="118" spans="1:22" ht="16.5" customHeight="1" x14ac:dyDescent="0.15">
      <c r="A118" s="41">
        <v>11</v>
      </c>
      <c r="B118" s="41" t="s">
        <v>1973</v>
      </c>
      <c r="C118" s="127" t="s">
        <v>1974</v>
      </c>
      <c r="D118" s="136"/>
      <c r="E118" s="72"/>
      <c r="F118" s="130"/>
      <c r="G118" s="137"/>
      <c r="H118" s="72"/>
      <c r="I118" s="99"/>
      <c r="J118" s="711"/>
      <c r="K118" s="37"/>
      <c r="L118" s="38"/>
      <c r="M118" s="44" t="s">
        <v>397</v>
      </c>
      <c r="N118" s="45" t="s">
        <v>398</v>
      </c>
      <c r="O118" s="46">
        <v>1</v>
      </c>
      <c r="P118" s="35"/>
      <c r="R118" s="57"/>
      <c r="S118" s="55" t="s">
        <v>398</v>
      </c>
      <c r="T118" s="38">
        <f>_11・初任</f>
        <v>0.7</v>
      </c>
      <c r="U118" s="47">
        <f>+ROUND((ROUND((ROUND((ROUND((_11_B身体２．０＿１．０*_11・基礎１),0)*_11・２人),0)*(1+_11・B深夜)),0)*_11・初任),0)</f>
        <v>123</v>
      </c>
      <c r="V118" s="48"/>
    </row>
    <row r="119" spans="1:22" ht="16.5" customHeight="1" x14ac:dyDescent="0.15">
      <c r="A119" s="41">
        <v>11</v>
      </c>
      <c r="B119" s="41">
        <v>1603</v>
      </c>
      <c r="C119" s="127" t="s">
        <v>1975</v>
      </c>
      <c r="D119" s="136"/>
      <c r="E119" s="707" t="s">
        <v>915</v>
      </c>
      <c r="F119" s="717"/>
      <c r="G119" s="137"/>
      <c r="H119" s="707" t="s">
        <v>1617</v>
      </c>
      <c r="I119" s="717"/>
      <c r="J119" s="53"/>
      <c r="K119" s="49"/>
      <c r="L119" s="50"/>
      <c r="M119" s="44"/>
      <c r="N119" s="45"/>
      <c r="O119" s="46"/>
      <c r="P119" s="35"/>
      <c r="R119" s="57"/>
      <c r="S119" s="53"/>
      <c r="T119" s="49"/>
      <c r="U119" s="47">
        <f>+ROUND((_11_B身体２．５＿０．５*(1+_11・B深夜)),0)</f>
        <v>125</v>
      </c>
      <c r="V119" s="48"/>
    </row>
    <row r="120" spans="1:22" ht="16.5" customHeight="1" x14ac:dyDescent="0.15">
      <c r="A120" s="41">
        <v>11</v>
      </c>
      <c r="B120" s="41">
        <v>1604</v>
      </c>
      <c r="C120" s="127" t="s">
        <v>1976</v>
      </c>
      <c r="D120" s="136"/>
      <c r="E120" s="709"/>
      <c r="F120" s="718"/>
      <c r="G120" s="137"/>
      <c r="H120" s="709"/>
      <c r="I120" s="718"/>
      <c r="J120" s="43"/>
      <c r="K120" s="37"/>
      <c r="L120" s="38"/>
      <c r="M120" s="44" t="s">
        <v>397</v>
      </c>
      <c r="N120" s="45" t="s">
        <v>398</v>
      </c>
      <c r="O120" s="46">
        <v>1</v>
      </c>
      <c r="P120" s="35"/>
      <c r="R120" s="57"/>
      <c r="S120" s="35"/>
      <c r="U120" s="47">
        <f>+ROUND((ROUND((_11_B身体２．５＿０．５*_11・２人),0)*(1+_11・B深夜)),0)</f>
        <v>125</v>
      </c>
      <c r="V120" s="48"/>
    </row>
    <row r="121" spans="1:22" ht="16.5" customHeight="1" x14ac:dyDescent="0.15">
      <c r="A121" s="41">
        <v>11</v>
      </c>
      <c r="B121" s="41">
        <v>1605</v>
      </c>
      <c r="C121" s="127" t="s">
        <v>1977</v>
      </c>
      <c r="D121" s="136"/>
      <c r="E121" s="709"/>
      <c r="F121" s="718"/>
      <c r="G121" s="137"/>
      <c r="H121" s="709"/>
      <c r="I121" s="718"/>
      <c r="J121" s="705" t="s">
        <v>400</v>
      </c>
      <c r="K121" s="49" t="s">
        <v>398</v>
      </c>
      <c r="L121" s="50">
        <v>0.7</v>
      </c>
      <c r="M121" s="44"/>
      <c r="N121" s="45"/>
      <c r="O121" s="46"/>
      <c r="P121" s="35"/>
      <c r="R121" s="57"/>
      <c r="S121" s="35"/>
      <c r="U121" s="47">
        <f>+ROUND((ROUND((_11_B身体２．５＿０．５*_11・基礎１),0)*(1+_11・B深夜)),0)</f>
        <v>87</v>
      </c>
      <c r="V121" s="48"/>
    </row>
    <row r="122" spans="1:22" ht="16.5" customHeight="1" x14ac:dyDescent="0.15">
      <c r="A122" s="41">
        <v>11</v>
      </c>
      <c r="B122" s="41">
        <v>1606</v>
      </c>
      <c r="C122" s="127" t="s">
        <v>1978</v>
      </c>
      <c r="D122" s="136"/>
      <c r="E122" s="72"/>
      <c r="F122" s="130"/>
      <c r="G122" s="137"/>
      <c r="H122" s="100">
        <f>_11_B身体２．５＿０．５</f>
        <v>83</v>
      </c>
      <c r="I122" s="12" t="s">
        <v>392</v>
      </c>
      <c r="J122" s="711"/>
      <c r="K122" s="37"/>
      <c r="L122" s="38"/>
      <c r="M122" s="44" t="s">
        <v>397</v>
      </c>
      <c r="N122" s="45" t="s">
        <v>398</v>
      </c>
      <c r="O122" s="46">
        <v>1</v>
      </c>
      <c r="P122" s="35"/>
      <c r="R122" s="57"/>
      <c r="S122" s="43"/>
      <c r="T122" s="37"/>
      <c r="U122" s="47">
        <f>+ROUND((ROUND((ROUND((_11_B身体２．５＿０．５*_11・基礎１),0)*_11・２人),0)*(1+_11・B深夜)),0)</f>
        <v>87</v>
      </c>
      <c r="V122" s="48"/>
    </row>
    <row r="123" spans="1:22" ht="16.5" customHeight="1" x14ac:dyDescent="0.15">
      <c r="A123" s="41">
        <v>11</v>
      </c>
      <c r="B123" s="41" t="s">
        <v>1979</v>
      </c>
      <c r="C123" s="127" t="s">
        <v>1980</v>
      </c>
      <c r="D123" s="136"/>
      <c r="E123" s="72"/>
      <c r="F123" s="130"/>
      <c r="G123" s="137"/>
      <c r="H123" s="72"/>
      <c r="I123" s="99"/>
      <c r="J123" s="53"/>
      <c r="K123" s="49"/>
      <c r="L123" s="50"/>
      <c r="M123" s="44"/>
      <c r="N123" s="45"/>
      <c r="O123" s="46"/>
      <c r="P123" s="35"/>
      <c r="R123" s="57"/>
      <c r="S123" s="707" t="s">
        <v>404</v>
      </c>
      <c r="T123" s="708"/>
      <c r="U123" s="47">
        <f>+ROUND((ROUND((_11_B身体２．５＿０．５*(1+_11・B深夜)),0)*_11・初任),0)</f>
        <v>88</v>
      </c>
      <c r="V123" s="48"/>
    </row>
    <row r="124" spans="1:22" ht="16.5" customHeight="1" x14ac:dyDescent="0.15">
      <c r="A124" s="41">
        <v>11</v>
      </c>
      <c r="B124" s="41" t="s">
        <v>1981</v>
      </c>
      <c r="C124" s="127" t="s">
        <v>1982</v>
      </c>
      <c r="D124" s="136"/>
      <c r="E124" s="72"/>
      <c r="F124" s="130"/>
      <c r="G124" s="137"/>
      <c r="H124" s="72"/>
      <c r="I124" s="99"/>
      <c r="J124" s="43"/>
      <c r="K124" s="37"/>
      <c r="L124" s="38"/>
      <c r="M124" s="44" t="s">
        <v>397</v>
      </c>
      <c r="N124" s="45" t="s">
        <v>398</v>
      </c>
      <c r="O124" s="46">
        <v>1</v>
      </c>
      <c r="P124" s="35"/>
      <c r="R124" s="57"/>
      <c r="S124" s="709"/>
      <c r="T124" s="704"/>
      <c r="U124" s="47">
        <f>+ROUND((ROUND((ROUND((_11_B身体２．５＿０．５*_11・２人),0)*(1+_11・B深夜)),0)*_11・初任),0)</f>
        <v>88</v>
      </c>
      <c r="V124" s="48"/>
    </row>
    <row r="125" spans="1:22" ht="16.5" customHeight="1" x14ac:dyDescent="0.15">
      <c r="A125" s="41">
        <v>11</v>
      </c>
      <c r="B125" s="41" t="s">
        <v>1983</v>
      </c>
      <c r="C125" s="127" t="s">
        <v>1984</v>
      </c>
      <c r="D125" s="136"/>
      <c r="E125" s="72"/>
      <c r="F125" s="130"/>
      <c r="G125" s="137"/>
      <c r="H125" s="72"/>
      <c r="I125" s="99"/>
      <c r="J125" s="705" t="s">
        <v>400</v>
      </c>
      <c r="K125" s="49" t="s">
        <v>398</v>
      </c>
      <c r="L125" s="50">
        <v>0.7</v>
      </c>
      <c r="M125" s="44"/>
      <c r="N125" s="45"/>
      <c r="O125" s="46"/>
      <c r="P125" s="35"/>
      <c r="R125" s="57"/>
      <c r="S125" s="709"/>
      <c r="T125" s="704"/>
      <c r="U125" s="47">
        <f>+ROUND((ROUND((ROUND((_11_B身体２．５＿０．５*_11・基礎１),0)*(1+_11・B深夜)),0)*_11・初任),0)</f>
        <v>61</v>
      </c>
      <c r="V125" s="48"/>
    </row>
    <row r="126" spans="1:22" ht="16.5" customHeight="1" x14ac:dyDescent="0.15">
      <c r="A126" s="41">
        <v>11</v>
      </c>
      <c r="B126" s="41" t="s">
        <v>1985</v>
      </c>
      <c r="C126" s="127" t="s">
        <v>1986</v>
      </c>
      <c r="D126" s="138"/>
      <c r="E126" s="122"/>
      <c r="F126" s="134"/>
      <c r="G126" s="139"/>
      <c r="H126" s="122"/>
      <c r="I126" s="111"/>
      <c r="J126" s="711"/>
      <c r="K126" s="37"/>
      <c r="L126" s="38"/>
      <c r="M126" s="44" t="s">
        <v>397</v>
      </c>
      <c r="N126" s="45" t="s">
        <v>398</v>
      </c>
      <c r="O126" s="46">
        <v>1</v>
      </c>
      <c r="P126" s="43"/>
      <c r="Q126" s="38"/>
      <c r="R126" s="79"/>
      <c r="S126" s="55" t="s">
        <v>398</v>
      </c>
      <c r="T126" s="38">
        <f>_11・初任</f>
        <v>0.7</v>
      </c>
      <c r="U126" s="47">
        <f>+ROUND((ROUND((ROUND((ROUND((_11_B身体２．５＿０．５*_11・基礎１),0)*_11・２人),0)*(1+_11・B深夜)),0)*_11・初任),0)</f>
        <v>61</v>
      </c>
      <c r="V126" s="63"/>
    </row>
    <row r="127" spans="1:22" ht="16.5" customHeight="1" x14ac:dyDescent="0.15"/>
    <row r="128" spans="1:22" ht="16.5" customHeight="1" x14ac:dyDescent="0.15"/>
  </sheetData>
  <mergeCells count="72">
    <mergeCell ref="E119:F121"/>
    <mergeCell ref="H119:I121"/>
    <mergeCell ref="J121:J122"/>
    <mergeCell ref="S123:T125"/>
    <mergeCell ref="J125:J126"/>
    <mergeCell ref="S107:T109"/>
    <mergeCell ref="J109:J110"/>
    <mergeCell ref="H111:I113"/>
    <mergeCell ref="J113:J114"/>
    <mergeCell ref="S115:T117"/>
    <mergeCell ref="J117:J118"/>
    <mergeCell ref="S99:T101"/>
    <mergeCell ref="J101:J102"/>
    <mergeCell ref="E103:F105"/>
    <mergeCell ref="H103:I105"/>
    <mergeCell ref="J105:J106"/>
    <mergeCell ref="H87:I89"/>
    <mergeCell ref="J89:J90"/>
    <mergeCell ref="S91:T93"/>
    <mergeCell ref="J93:J94"/>
    <mergeCell ref="H95:I97"/>
    <mergeCell ref="J97:J98"/>
    <mergeCell ref="H71:I73"/>
    <mergeCell ref="J73:J74"/>
    <mergeCell ref="S75:T77"/>
    <mergeCell ref="J77:J78"/>
    <mergeCell ref="D79:D86"/>
    <mergeCell ref="E79:F81"/>
    <mergeCell ref="G79:G86"/>
    <mergeCell ref="H79:I81"/>
    <mergeCell ref="R80:R81"/>
    <mergeCell ref="J81:J82"/>
    <mergeCell ref="S83:T85"/>
    <mergeCell ref="J85:J86"/>
    <mergeCell ref="S59:T61"/>
    <mergeCell ref="J61:J62"/>
    <mergeCell ref="H63:I65"/>
    <mergeCell ref="J65:J66"/>
    <mergeCell ref="S67:T69"/>
    <mergeCell ref="J69:J70"/>
    <mergeCell ref="E47:F49"/>
    <mergeCell ref="H47:I49"/>
    <mergeCell ref="J49:J50"/>
    <mergeCell ref="S51:T53"/>
    <mergeCell ref="J53:J54"/>
    <mergeCell ref="H55:I57"/>
    <mergeCell ref="J57:J58"/>
    <mergeCell ref="S35:T37"/>
    <mergeCell ref="J37:J38"/>
    <mergeCell ref="H39:I41"/>
    <mergeCell ref="J41:J42"/>
    <mergeCell ref="S43:T45"/>
    <mergeCell ref="J45:J46"/>
    <mergeCell ref="H23:I25"/>
    <mergeCell ref="J25:J26"/>
    <mergeCell ref="S27:T29"/>
    <mergeCell ref="J29:J30"/>
    <mergeCell ref="H31:I33"/>
    <mergeCell ref="J33:J34"/>
    <mergeCell ref="S11:T13"/>
    <mergeCell ref="J13:J14"/>
    <mergeCell ref="H15:I17"/>
    <mergeCell ref="J17:J18"/>
    <mergeCell ref="S19:T21"/>
    <mergeCell ref="J21:J22"/>
    <mergeCell ref="R8:R9"/>
    <mergeCell ref="J9:J10"/>
    <mergeCell ref="G6:I6"/>
    <mergeCell ref="D7:D14"/>
    <mergeCell ref="E7:F9"/>
    <mergeCell ref="G7:G14"/>
    <mergeCell ref="H7:I9"/>
  </mergeCells>
  <phoneticPr fontId="1"/>
  <printOptions horizontalCentered="1"/>
  <pageMargins left="0.70866141732283472" right="0.70866141732283472" top="0.74803149606299213" bottom="0.74803149606299213" header="0.31496062992125984" footer="0.31496062992125984"/>
  <pageSetup paperSize="9" scale="51" fitToHeight="0" orientation="portrait" r:id="rId1"/>
  <headerFooter>
    <oddHeader>&amp;R&amp;"ＭＳ Ｐゴシック"&amp;9居宅介護</oddHeader>
    <oddFooter>&amp;C&amp;"ＭＳ Ｐゴシック"&amp;14&amp;P</oddFooter>
  </headerFooter>
  <rowBreaks count="1" manualBreakCount="1">
    <brk id="78" max="21"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9">
    <pageSetUpPr autoPageBreaks="0"/>
  </sheetPr>
  <dimension ref="A1:BA298"/>
  <sheetViews>
    <sheetView view="pageBreakPreview" zoomScaleNormal="100" zoomScaleSheetLayoutView="100" workbookViewId="0"/>
  </sheetViews>
  <sheetFormatPr defaultColWidth="9" defaultRowHeight="17.100000000000001" customHeight="1" x14ac:dyDescent="0.15"/>
  <cols>
    <col min="1" max="1" width="4.5" style="151" customWidth="1"/>
    <col min="2" max="2" width="7.5" style="151" customWidth="1"/>
    <col min="3" max="3" width="32.5" style="151" bestFit="1" customWidth="1"/>
    <col min="4" max="42" width="2.5" style="152" customWidth="1"/>
    <col min="43" max="43" width="2.5" style="151" customWidth="1"/>
    <col min="44" max="44" width="2.5" style="377" customWidth="1"/>
    <col min="45" max="47" width="2.5" style="151" customWidth="1"/>
    <col min="48" max="51" width="2.5" style="152" customWidth="1"/>
    <col min="52" max="52" width="7.125" style="151" customWidth="1"/>
    <col min="53" max="53" width="8.5" style="151" customWidth="1"/>
    <col min="54" max="16384" width="9" style="151"/>
  </cols>
  <sheetData>
    <row r="1" spans="1:53" ht="17.100000000000001" customHeight="1" x14ac:dyDescent="0.15">
      <c r="A1" s="376"/>
    </row>
    <row r="2" spans="1:53" ht="17.100000000000001" customHeight="1" x14ac:dyDescent="0.15">
      <c r="A2" s="376"/>
    </row>
    <row r="3" spans="1:53" ht="17.100000000000001" customHeight="1" x14ac:dyDescent="0.15">
      <c r="A3" s="376"/>
    </row>
    <row r="4" spans="1:53" ht="17.100000000000001" customHeight="1" x14ac:dyDescent="0.15">
      <c r="B4" s="17" t="s">
        <v>17169</v>
      </c>
    </row>
    <row r="5" spans="1:53" s="309" customFormat="1" ht="17.100000000000001" customHeight="1" x14ac:dyDescent="0.15">
      <c r="A5" s="300" t="s">
        <v>15540</v>
      </c>
      <c r="B5" s="301"/>
      <c r="C5" s="302" t="s">
        <v>15541</v>
      </c>
      <c r="D5" s="300"/>
      <c r="E5" s="507"/>
      <c r="F5" s="507"/>
      <c r="G5" s="507"/>
      <c r="H5" s="507"/>
      <c r="I5" s="507"/>
      <c r="J5" s="507"/>
      <c r="K5" s="507"/>
      <c r="L5" s="507"/>
      <c r="M5" s="507"/>
      <c r="N5" s="507"/>
      <c r="O5" s="507"/>
      <c r="P5" s="507"/>
      <c r="Q5" s="507"/>
      <c r="R5" s="507"/>
      <c r="S5" s="507"/>
      <c r="T5" s="508" t="s">
        <v>15618</v>
      </c>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306" t="s">
        <v>15543</v>
      </c>
      <c r="BA5" s="378" t="s">
        <v>15544</v>
      </c>
    </row>
    <row r="6" spans="1:53" s="309" customFormat="1" ht="17.100000000000001" customHeight="1" x14ac:dyDescent="0.15">
      <c r="A6" s="379" t="s">
        <v>15545</v>
      </c>
      <c r="B6" s="380" t="s">
        <v>15546</v>
      </c>
      <c r="C6" s="381"/>
      <c r="D6" s="382"/>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c r="AT6" s="383"/>
      <c r="AU6" s="383"/>
      <c r="AV6" s="383"/>
      <c r="AW6" s="383"/>
      <c r="AX6" s="383"/>
      <c r="AY6" s="383"/>
      <c r="AZ6" s="384" t="s">
        <v>391</v>
      </c>
      <c r="BA6" s="385" t="s">
        <v>392</v>
      </c>
    </row>
    <row r="7" spans="1:53" ht="17.100000000000001" customHeight="1" x14ac:dyDescent="0.15">
      <c r="A7" s="321">
        <v>12</v>
      </c>
      <c r="B7" s="322">
        <v>8165</v>
      </c>
      <c r="C7" s="386" t="s">
        <v>17170</v>
      </c>
      <c r="D7" s="849" t="s">
        <v>15620</v>
      </c>
      <c r="E7" s="850"/>
      <c r="F7" s="850"/>
      <c r="G7" s="850"/>
      <c r="H7" s="852"/>
      <c r="I7" s="904" t="s">
        <v>15621</v>
      </c>
      <c r="J7" s="905"/>
      <c r="K7" s="905"/>
      <c r="L7" s="905"/>
      <c r="M7" s="905"/>
      <c r="N7" s="905"/>
      <c r="O7" s="905"/>
      <c r="P7" s="905"/>
      <c r="Q7" s="905"/>
      <c r="R7" s="905"/>
      <c r="S7" s="905"/>
      <c r="T7" s="905"/>
      <c r="U7" s="906"/>
      <c r="V7" s="325"/>
      <c r="W7" s="325"/>
      <c r="X7" s="325"/>
      <c r="Y7" s="325"/>
      <c r="Z7" s="325"/>
      <c r="AA7" s="325"/>
      <c r="AB7" s="325"/>
      <c r="AC7" s="325"/>
      <c r="AD7" s="325"/>
      <c r="AE7" s="325"/>
      <c r="AF7" s="325"/>
      <c r="AG7" s="325"/>
      <c r="AH7" s="325"/>
      <c r="AI7" s="325"/>
      <c r="AJ7" s="325"/>
      <c r="AK7" s="388"/>
      <c r="AQ7" s="152"/>
      <c r="AR7" s="152"/>
      <c r="AS7" s="152"/>
      <c r="AT7" s="918" t="s">
        <v>862</v>
      </c>
      <c r="AU7" s="913"/>
      <c r="AV7" s="151"/>
      <c r="AW7" s="151"/>
      <c r="AY7" s="387"/>
      <c r="AZ7" s="488">
        <f>ROUND(Q8*$AT$16,0)</f>
        <v>320</v>
      </c>
      <c r="BA7" s="339" t="s">
        <v>15622</v>
      </c>
    </row>
    <row r="8" spans="1:53" ht="16.5" customHeight="1" x14ac:dyDescent="0.15">
      <c r="A8" s="340">
        <v>12</v>
      </c>
      <c r="B8" s="341">
        <v>8166</v>
      </c>
      <c r="C8" s="390" t="s">
        <v>17171</v>
      </c>
      <c r="D8" s="849"/>
      <c r="E8" s="850"/>
      <c r="F8" s="850"/>
      <c r="G8" s="850"/>
      <c r="H8" s="852"/>
      <c r="Q8" s="836">
        <f>ROUND(Q200*$F$13,0)</f>
        <v>213</v>
      </c>
      <c r="R8" s="911"/>
      <c r="S8" s="911"/>
      <c r="T8" s="152" t="s">
        <v>15624</v>
      </c>
      <c r="U8" s="387"/>
      <c r="V8" s="343" t="s">
        <v>15625</v>
      </c>
      <c r="W8" s="325"/>
      <c r="X8" s="325"/>
      <c r="Y8" s="325"/>
      <c r="Z8" s="325"/>
      <c r="AA8" s="325"/>
      <c r="AB8" s="325"/>
      <c r="AC8" s="325"/>
      <c r="AD8" s="325"/>
      <c r="AE8" s="325"/>
      <c r="AF8" s="325"/>
      <c r="AG8" s="325"/>
      <c r="AH8" s="325"/>
      <c r="AI8" s="391" t="s">
        <v>15626</v>
      </c>
      <c r="AJ8" s="838">
        <f>'2重度訪問'!AN8</f>
        <v>1</v>
      </c>
      <c r="AK8" s="839"/>
      <c r="AQ8" s="152"/>
      <c r="AR8" s="152"/>
      <c r="AS8" s="152"/>
      <c r="AT8" s="912"/>
      <c r="AU8" s="913"/>
      <c r="AY8" s="387"/>
      <c r="AZ8" s="489">
        <f>ROUND(ROUND(Q8*AJ8,0)*$AT$16,0)</f>
        <v>320</v>
      </c>
      <c r="BA8" s="393"/>
    </row>
    <row r="9" spans="1:53" ht="16.5" customHeight="1" x14ac:dyDescent="0.15">
      <c r="A9" s="287">
        <v>12</v>
      </c>
      <c r="B9" s="287">
        <v>8167</v>
      </c>
      <c r="C9" s="394" t="s">
        <v>17172</v>
      </c>
      <c r="D9" s="849"/>
      <c r="E9" s="850"/>
      <c r="F9" s="850"/>
      <c r="G9" s="850"/>
      <c r="H9" s="852"/>
      <c r="Q9" s="395"/>
      <c r="R9" s="151"/>
      <c r="S9" s="151"/>
      <c r="U9" s="387"/>
      <c r="V9" s="343"/>
      <c r="W9" s="343"/>
      <c r="X9" s="343"/>
      <c r="Y9" s="343"/>
      <c r="Z9" s="343"/>
      <c r="AA9" s="343"/>
      <c r="AB9" s="343"/>
      <c r="AC9" s="343"/>
      <c r="AD9" s="343"/>
      <c r="AE9" s="343"/>
      <c r="AF9" s="343"/>
      <c r="AG9" s="343"/>
      <c r="AH9" s="343"/>
      <c r="AI9" s="343"/>
      <c r="AJ9" s="343"/>
      <c r="AK9" s="343"/>
      <c r="AL9" s="114" t="s">
        <v>15628</v>
      </c>
      <c r="AM9" s="396"/>
      <c r="AN9" s="396"/>
      <c r="AO9" s="396"/>
      <c r="AP9" s="396"/>
      <c r="AQ9" s="396"/>
      <c r="AR9" s="396"/>
      <c r="AS9" s="396"/>
      <c r="AT9" s="912"/>
      <c r="AU9" s="913"/>
      <c r="AY9" s="387"/>
      <c r="AZ9" s="489">
        <f>ROUND(ROUND(Q8*AR10,0)*$AT$16,0)</f>
        <v>272</v>
      </c>
      <c r="BA9" s="393"/>
    </row>
    <row r="10" spans="1:53" ht="16.5" customHeight="1" x14ac:dyDescent="0.15">
      <c r="A10" s="287">
        <v>12</v>
      </c>
      <c r="B10" s="287">
        <v>8168</v>
      </c>
      <c r="C10" s="394" t="s">
        <v>17173</v>
      </c>
      <c r="D10" s="849"/>
      <c r="E10" s="850"/>
      <c r="F10" s="850"/>
      <c r="G10" s="850"/>
      <c r="H10" s="852"/>
      <c r="Q10" s="395"/>
      <c r="R10" s="151"/>
      <c r="S10" s="151"/>
      <c r="U10" s="387"/>
      <c r="V10" s="343" t="s">
        <v>15625</v>
      </c>
      <c r="W10" s="325"/>
      <c r="X10" s="325"/>
      <c r="Y10" s="325"/>
      <c r="Z10" s="325"/>
      <c r="AA10" s="325"/>
      <c r="AB10" s="325"/>
      <c r="AC10" s="325"/>
      <c r="AD10" s="325"/>
      <c r="AE10" s="325"/>
      <c r="AF10" s="325"/>
      <c r="AG10" s="325"/>
      <c r="AH10" s="325"/>
      <c r="AI10" s="391" t="s">
        <v>15626</v>
      </c>
      <c r="AJ10" s="838">
        <f>AJ8</f>
        <v>1</v>
      </c>
      <c r="AK10" s="843"/>
      <c r="AL10" s="324" t="s">
        <v>15630</v>
      </c>
      <c r="AM10" s="325"/>
      <c r="AN10" s="325"/>
      <c r="AO10" s="325"/>
      <c r="AP10" s="325"/>
      <c r="AQ10" s="190" t="s">
        <v>398</v>
      </c>
      <c r="AR10" s="844">
        <f>'2重度訪問'!AV10</f>
        <v>0.85</v>
      </c>
      <c r="AS10" s="844"/>
      <c r="AT10" s="912"/>
      <c r="AU10" s="913"/>
      <c r="AY10" s="387"/>
      <c r="AZ10" s="489">
        <f>ROUND(ROUND(ROUND(Q8*AJ10,0)*AR10,0)*$AT$16,0)</f>
        <v>272</v>
      </c>
      <c r="BA10" s="393"/>
    </row>
    <row r="11" spans="1:53" ht="17.100000000000001" customHeight="1" x14ac:dyDescent="0.15">
      <c r="A11" s="340">
        <v>12</v>
      </c>
      <c r="B11" s="341">
        <v>8169</v>
      </c>
      <c r="C11" s="390" t="s">
        <v>17174</v>
      </c>
      <c r="D11" s="832" t="s">
        <v>15632</v>
      </c>
      <c r="E11" s="833"/>
      <c r="F11" s="833"/>
      <c r="G11" s="833"/>
      <c r="H11" s="835"/>
      <c r="L11" s="151"/>
      <c r="M11" s="151"/>
      <c r="N11" s="151"/>
      <c r="U11" s="387"/>
      <c r="V11" s="343"/>
      <c r="W11" s="343"/>
      <c r="X11" s="343"/>
      <c r="Y11" s="343"/>
      <c r="Z11" s="343"/>
      <c r="AA11" s="343"/>
      <c r="AB11" s="343"/>
      <c r="AC11" s="343"/>
      <c r="AD11" s="343"/>
      <c r="AE11" s="343"/>
      <c r="AF11" s="343"/>
      <c r="AG11" s="343"/>
      <c r="AH11" s="343"/>
      <c r="AI11" s="343"/>
      <c r="AJ11" s="343"/>
      <c r="AK11" s="407"/>
      <c r="AL11" s="396"/>
      <c r="AM11" s="396"/>
      <c r="AN11" s="396"/>
      <c r="AO11" s="396"/>
      <c r="AP11" s="396"/>
      <c r="AQ11" s="396"/>
      <c r="AR11" s="396"/>
      <c r="AS11" s="396"/>
      <c r="AT11" s="912"/>
      <c r="AU11" s="913"/>
      <c r="AV11" s="858" t="s">
        <v>16296</v>
      </c>
      <c r="AW11" s="858"/>
      <c r="AX11" s="858"/>
      <c r="AY11" s="860"/>
      <c r="AZ11" s="489">
        <f>ROUND(ROUND(Q8*$AT$16,0)*AV14,0)</f>
        <v>256</v>
      </c>
      <c r="BA11" s="339"/>
    </row>
    <row r="12" spans="1:53" ht="16.5" customHeight="1" x14ac:dyDescent="0.15">
      <c r="A12" s="340">
        <v>12</v>
      </c>
      <c r="B12" s="341">
        <v>8170</v>
      </c>
      <c r="C12" s="390" t="s">
        <v>17175</v>
      </c>
      <c r="D12" s="832"/>
      <c r="E12" s="833"/>
      <c r="F12" s="833"/>
      <c r="G12" s="833"/>
      <c r="H12" s="835"/>
      <c r="Q12" s="899"/>
      <c r="R12" s="899"/>
      <c r="S12" s="899"/>
      <c r="U12" s="387"/>
      <c r="V12" s="343" t="s">
        <v>15625</v>
      </c>
      <c r="W12" s="325"/>
      <c r="X12" s="325"/>
      <c r="Y12" s="325"/>
      <c r="Z12" s="325"/>
      <c r="AA12" s="325"/>
      <c r="AB12" s="325"/>
      <c r="AC12" s="325"/>
      <c r="AD12" s="325"/>
      <c r="AE12" s="325"/>
      <c r="AF12" s="325"/>
      <c r="AG12" s="325"/>
      <c r="AH12" s="325"/>
      <c r="AI12" s="391" t="s">
        <v>15626</v>
      </c>
      <c r="AJ12" s="838">
        <f>AJ10</f>
        <v>1</v>
      </c>
      <c r="AK12" s="839"/>
      <c r="AQ12" s="152"/>
      <c r="AR12" s="152"/>
      <c r="AS12" s="152"/>
      <c r="AT12" s="912"/>
      <c r="AU12" s="913"/>
      <c r="AV12" s="850"/>
      <c r="AW12" s="850"/>
      <c r="AX12" s="850"/>
      <c r="AY12" s="852"/>
      <c r="AZ12" s="489">
        <f>ROUND(ROUND(ROUND(Q8*AJ12,0)*$AT$16,0)*AV14,0)</f>
        <v>256</v>
      </c>
      <c r="BA12" s="393"/>
    </row>
    <row r="13" spans="1:53" ht="16.5" customHeight="1" x14ac:dyDescent="0.15">
      <c r="A13" s="287">
        <v>12</v>
      </c>
      <c r="B13" s="287">
        <v>8171</v>
      </c>
      <c r="C13" s="394" t="s">
        <v>17176</v>
      </c>
      <c r="D13" s="403"/>
      <c r="E13" s="404" t="s">
        <v>15636</v>
      </c>
      <c r="F13" s="840">
        <f>'2重度訪問 (入院入所中)'!$F$13</f>
        <v>1.1499999999999999</v>
      </c>
      <c r="G13" s="841"/>
      <c r="H13" s="842"/>
      <c r="Q13" s="395"/>
      <c r="R13" s="151"/>
      <c r="S13" s="151"/>
      <c r="U13" s="387"/>
      <c r="V13" s="343"/>
      <c r="W13" s="343"/>
      <c r="X13" s="343"/>
      <c r="Y13" s="343"/>
      <c r="Z13" s="343"/>
      <c r="AA13" s="343"/>
      <c r="AB13" s="343"/>
      <c r="AC13" s="343"/>
      <c r="AD13" s="343"/>
      <c r="AE13" s="343"/>
      <c r="AF13" s="343"/>
      <c r="AG13" s="343"/>
      <c r="AH13" s="343"/>
      <c r="AI13" s="343"/>
      <c r="AJ13" s="343"/>
      <c r="AK13" s="343"/>
      <c r="AL13" s="114" t="s">
        <v>15628</v>
      </c>
      <c r="AM13" s="396"/>
      <c r="AN13" s="396"/>
      <c r="AO13" s="396"/>
      <c r="AP13" s="396"/>
      <c r="AQ13" s="396"/>
      <c r="AR13" s="396"/>
      <c r="AS13" s="396"/>
      <c r="AT13" s="912"/>
      <c r="AU13" s="913"/>
      <c r="AV13" s="902" t="s">
        <v>15636</v>
      </c>
      <c r="AW13" s="902"/>
      <c r="AX13" s="902"/>
      <c r="AY13" s="903"/>
      <c r="AZ13" s="489">
        <f>ROUND(ROUND(ROUND(Q8*AR14,0)*$AT$16,0)*AV14,0)</f>
        <v>218</v>
      </c>
      <c r="BA13" s="393"/>
    </row>
    <row r="14" spans="1:53" ht="16.5" customHeight="1" x14ac:dyDescent="0.15">
      <c r="A14" s="287">
        <v>12</v>
      </c>
      <c r="B14" s="287">
        <v>8172</v>
      </c>
      <c r="C14" s="394" t="s">
        <v>17177</v>
      </c>
      <c r="D14" s="403"/>
      <c r="E14" s="404"/>
      <c r="F14" s="404"/>
      <c r="G14" s="404"/>
      <c r="H14" s="406"/>
      <c r="Q14" s="395"/>
      <c r="R14" s="151"/>
      <c r="S14" s="151"/>
      <c r="U14" s="387"/>
      <c r="V14" s="343" t="s">
        <v>15625</v>
      </c>
      <c r="W14" s="325"/>
      <c r="X14" s="325"/>
      <c r="Y14" s="325"/>
      <c r="Z14" s="325"/>
      <c r="AA14" s="325"/>
      <c r="AB14" s="325"/>
      <c r="AC14" s="325"/>
      <c r="AD14" s="325"/>
      <c r="AE14" s="325"/>
      <c r="AF14" s="325"/>
      <c r="AG14" s="325"/>
      <c r="AH14" s="325"/>
      <c r="AI14" s="391" t="s">
        <v>15626</v>
      </c>
      <c r="AJ14" s="838">
        <f>AJ12</f>
        <v>1</v>
      </c>
      <c r="AK14" s="843"/>
      <c r="AL14" s="324" t="s">
        <v>15630</v>
      </c>
      <c r="AM14" s="325"/>
      <c r="AN14" s="325"/>
      <c r="AO14" s="325"/>
      <c r="AP14" s="325"/>
      <c r="AQ14" s="190" t="s">
        <v>398</v>
      </c>
      <c r="AR14" s="844">
        <f>AR10</f>
        <v>0.85</v>
      </c>
      <c r="AS14" s="844"/>
      <c r="AT14" s="912"/>
      <c r="AU14" s="913"/>
      <c r="AV14" s="844">
        <v>0.8</v>
      </c>
      <c r="AW14" s="844"/>
      <c r="AX14" s="844"/>
      <c r="AY14" s="845"/>
      <c r="AZ14" s="489">
        <f>ROUND(ROUND(ROUND(ROUND(Q8*AJ14,0)*AR14,0)*$AT$16,0)*AV14,0)</f>
        <v>218</v>
      </c>
      <c r="BA14" s="393"/>
    </row>
    <row r="15" spans="1:53" ht="16.5" customHeight="1" x14ac:dyDescent="0.15">
      <c r="A15" s="340">
        <v>12</v>
      </c>
      <c r="B15" s="341">
        <v>8173</v>
      </c>
      <c r="C15" s="390" t="s">
        <v>17178</v>
      </c>
      <c r="D15" s="494"/>
      <c r="E15" s="151"/>
      <c r="F15" s="151"/>
      <c r="G15" s="151"/>
      <c r="H15" s="495"/>
      <c r="I15" s="908" t="s">
        <v>15633</v>
      </c>
      <c r="J15" s="909"/>
      <c r="K15" s="909"/>
      <c r="L15" s="909"/>
      <c r="M15" s="909"/>
      <c r="N15" s="909"/>
      <c r="O15" s="909"/>
      <c r="P15" s="909"/>
      <c r="Q15" s="909"/>
      <c r="R15" s="909"/>
      <c r="S15" s="909"/>
      <c r="T15" s="909"/>
      <c r="U15" s="910"/>
      <c r="V15" s="343"/>
      <c r="W15" s="325"/>
      <c r="X15" s="325"/>
      <c r="Y15" s="325"/>
      <c r="Z15" s="325"/>
      <c r="AA15" s="325"/>
      <c r="AB15" s="325"/>
      <c r="AC15" s="325"/>
      <c r="AD15" s="325"/>
      <c r="AE15" s="325"/>
      <c r="AF15" s="325"/>
      <c r="AG15" s="325"/>
      <c r="AH15" s="325"/>
      <c r="AI15" s="391"/>
      <c r="AJ15" s="401"/>
      <c r="AK15" s="402"/>
      <c r="AQ15" s="152"/>
      <c r="AR15" s="152"/>
      <c r="AS15" s="152"/>
      <c r="AT15" s="918" t="s">
        <v>15636</v>
      </c>
      <c r="AU15" s="913"/>
      <c r="AV15" s="400"/>
      <c r="AW15" s="400"/>
      <c r="AX15" s="396"/>
      <c r="AY15" s="397"/>
      <c r="AZ15" s="489">
        <f>ROUND(Q16*$AT$16,0)</f>
        <v>156</v>
      </c>
      <c r="BA15" s="393"/>
    </row>
    <row r="16" spans="1:53" ht="16.5" customHeight="1" x14ac:dyDescent="0.15">
      <c r="A16" s="340">
        <v>12</v>
      </c>
      <c r="B16" s="341">
        <v>8174</v>
      </c>
      <c r="C16" s="390" t="s">
        <v>17179</v>
      </c>
      <c r="D16" s="494"/>
      <c r="E16" s="151"/>
      <c r="F16" s="151"/>
      <c r="G16" s="151"/>
      <c r="H16" s="495"/>
      <c r="Q16" s="836">
        <f>ROUND(Q208*$F$13,0)</f>
        <v>104</v>
      </c>
      <c r="R16" s="911"/>
      <c r="S16" s="911"/>
      <c r="T16" s="152" t="s">
        <v>15624</v>
      </c>
      <c r="U16" s="387"/>
      <c r="V16" s="343" t="s">
        <v>15625</v>
      </c>
      <c r="W16" s="325"/>
      <c r="X16" s="325"/>
      <c r="Y16" s="325"/>
      <c r="Z16" s="325"/>
      <c r="AA16" s="325"/>
      <c r="AB16" s="325"/>
      <c r="AC16" s="325"/>
      <c r="AD16" s="325"/>
      <c r="AE16" s="325"/>
      <c r="AF16" s="325"/>
      <c r="AG16" s="325"/>
      <c r="AH16" s="325"/>
      <c r="AI16" s="391" t="s">
        <v>15626</v>
      </c>
      <c r="AJ16" s="838">
        <f>AJ14</f>
        <v>1</v>
      </c>
      <c r="AK16" s="839"/>
      <c r="AQ16" s="152"/>
      <c r="AR16" s="152"/>
      <c r="AS16" s="152"/>
      <c r="AT16" s="919">
        <f>'2重度訪問（深夜）'!AU10</f>
        <v>1.5</v>
      </c>
      <c r="AU16" s="915"/>
      <c r="AY16" s="387"/>
      <c r="AZ16" s="489">
        <f>ROUND(ROUND(Q16*AJ16,0)*$AT$16,0)</f>
        <v>156</v>
      </c>
      <c r="BA16" s="393"/>
    </row>
    <row r="17" spans="1:53" ht="16.5" customHeight="1" x14ac:dyDescent="0.15">
      <c r="A17" s="287">
        <v>12</v>
      </c>
      <c r="B17" s="287">
        <v>8175</v>
      </c>
      <c r="C17" s="394" t="s">
        <v>17180</v>
      </c>
      <c r="D17" s="494"/>
      <c r="E17" s="151"/>
      <c r="F17" s="151"/>
      <c r="G17" s="151"/>
      <c r="H17" s="495"/>
      <c r="Q17" s="395"/>
      <c r="R17" s="151"/>
      <c r="S17" s="151"/>
      <c r="U17" s="387"/>
      <c r="V17" s="343"/>
      <c r="W17" s="343"/>
      <c r="X17" s="343"/>
      <c r="Y17" s="343"/>
      <c r="Z17" s="343"/>
      <c r="AA17" s="343"/>
      <c r="AB17" s="343"/>
      <c r="AC17" s="343"/>
      <c r="AD17" s="343"/>
      <c r="AE17" s="343"/>
      <c r="AF17" s="343"/>
      <c r="AG17" s="343"/>
      <c r="AH17" s="343"/>
      <c r="AI17" s="343"/>
      <c r="AJ17" s="343"/>
      <c r="AK17" s="343"/>
      <c r="AL17" s="114" t="s">
        <v>15628</v>
      </c>
      <c r="AM17" s="396"/>
      <c r="AN17" s="396"/>
      <c r="AO17" s="396"/>
      <c r="AP17" s="396"/>
      <c r="AQ17" s="396"/>
      <c r="AR17" s="396"/>
      <c r="AS17" s="396"/>
      <c r="AT17" s="499"/>
      <c r="AU17" s="500"/>
      <c r="AY17" s="387"/>
      <c r="AZ17" s="489">
        <f>ROUND(ROUND(Q16*AR18,0)*$AT$16,0)</f>
        <v>132</v>
      </c>
      <c r="BA17" s="393"/>
    </row>
    <row r="18" spans="1:53" ht="16.5" customHeight="1" x14ac:dyDescent="0.15">
      <c r="A18" s="287">
        <v>12</v>
      </c>
      <c r="B18" s="287">
        <v>8176</v>
      </c>
      <c r="C18" s="394" t="s">
        <v>17181</v>
      </c>
      <c r="D18" s="403"/>
      <c r="E18" s="404"/>
      <c r="F18" s="404"/>
      <c r="G18" s="404"/>
      <c r="H18" s="406"/>
      <c r="Q18" s="395"/>
      <c r="R18" s="151"/>
      <c r="S18" s="151"/>
      <c r="U18" s="387"/>
      <c r="V18" s="343" t="s">
        <v>15625</v>
      </c>
      <c r="W18" s="325"/>
      <c r="X18" s="325"/>
      <c r="Y18" s="325"/>
      <c r="Z18" s="325"/>
      <c r="AA18" s="325"/>
      <c r="AB18" s="325"/>
      <c r="AC18" s="325"/>
      <c r="AD18" s="325"/>
      <c r="AE18" s="325"/>
      <c r="AF18" s="325"/>
      <c r="AG18" s="325"/>
      <c r="AH18" s="325"/>
      <c r="AI18" s="391" t="s">
        <v>15626</v>
      </c>
      <c r="AJ18" s="838">
        <f>AJ16</f>
        <v>1</v>
      </c>
      <c r="AK18" s="843"/>
      <c r="AL18" s="324" t="s">
        <v>15630</v>
      </c>
      <c r="AM18" s="325"/>
      <c r="AN18" s="325"/>
      <c r="AO18" s="325"/>
      <c r="AP18" s="325"/>
      <c r="AQ18" s="190" t="s">
        <v>398</v>
      </c>
      <c r="AR18" s="844">
        <f>AR14</f>
        <v>0.85</v>
      </c>
      <c r="AS18" s="844"/>
      <c r="AT18" s="499"/>
      <c r="AU18" s="500"/>
      <c r="AY18" s="387"/>
      <c r="AZ18" s="489">
        <f>ROUND(ROUND(ROUND(Q16*AJ18,0)*AR18,0)*$AT$16,0)</f>
        <v>132</v>
      </c>
      <c r="BA18" s="393"/>
    </row>
    <row r="19" spans="1:53" ht="16.5" customHeight="1" x14ac:dyDescent="0.15">
      <c r="A19" s="340">
        <v>12</v>
      </c>
      <c r="B19" s="341">
        <v>8177</v>
      </c>
      <c r="C19" s="390" t="s">
        <v>17182</v>
      </c>
      <c r="D19" s="494"/>
      <c r="E19" s="151"/>
      <c r="F19" s="151"/>
      <c r="G19" s="151"/>
      <c r="H19" s="495"/>
      <c r="I19" s="254"/>
      <c r="Q19" s="395"/>
      <c r="R19" s="151"/>
      <c r="S19" s="151"/>
      <c r="U19" s="387"/>
      <c r="V19" s="343"/>
      <c r="W19" s="325"/>
      <c r="X19" s="325"/>
      <c r="Y19" s="325"/>
      <c r="Z19" s="325"/>
      <c r="AA19" s="325"/>
      <c r="AB19" s="325"/>
      <c r="AC19" s="325"/>
      <c r="AD19" s="325"/>
      <c r="AE19" s="325"/>
      <c r="AF19" s="325"/>
      <c r="AG19" s="325"/>
      <c r="AH19" s="325"/>
      <c r="AI19" s="391"/>
      <c r="AJ19" s="401"/>
      <c r="AK19" s="402"/>
      <c r="AQ19" s="152"/>
      <c r="AR19" s="152"/>
      <c r="AS19" s="152"/>
      <c r="AT19" s="490"/>
      <c r="AU19" s="387"/>
      <c r="AV19" s="858" t="s">
        <v>16296</v>
      </c>
      <c r="AW19" s="858"/>
      <c r="AX19" s="858"/>
      <c r="AY19" s="860"/>
      <c r="AZ19" s="489">
        <f>ROUND(ROUND(Q16*$AT$16,0)*AV22,0)</f>
        <v>125</v>
      </c>
      <c r="BA19" s="393"/>
    </row>
    <row r="20" spans="1:53" ht="16.5" customHeight="1" x14ac:dyDescent="0.15">
      <c r="A20" s="340">
        <v>12</v>
      </c>
      <c r="B20" s="341">
        <v>8178</v>
      </c>
      <c r="C20" s="390" t="s">
        <v>17183</v>
      </c>
      <c r="D20" s="494"/>
      <c r="E20" s="151"/>
      <c r="F20" s="151"/>
      <c r="G20" s="151"/>
      <c r="H20" s="495"/>
      <c r="Q20" s="899"/>
      <c r="R20" s="899"/>
      <c r="S20" s="899"/>
      <c r="U20" s="387"/>
      <c r="V20" s="343" t="s">
        <v>15625</v>
      </c>
      <c r="W20" s="325"/>
      <c r="X20" s="325"/>
      <c r="Y20" s="325"/>
      <c r="Z20" s="325"/>
      <c r="AA20" s="325"/>
      <c r="AB20" s="325"/>
      <c r="AC20" s="325"/>
      <c r="AD20" s="325"/>
      <c r="AE20" s="325"/>
      <c r="AF20" s="325"/>
      <c r="AG20" s="325"/>
      <c r="AH20" s="325"/>
      <c r="AI20" s="391" t="s">
        <v>15626</v>
      </c>
      <c r="AJ20" s="838">
        <f>AJ18</f>
        <v>1</v>
      </c>
      <c r="AK20" s="839"/>
      <c r="AQ20" s="152"/>
      <c r="AR20" s="152"/>
      <c r="AS20" s="152"/>
      <c r="AT20" s="490"/>
      <c r="AU20" s="387"/>
      <c r="AV20" s="850"/>
      <c r="AW20" s="850"/>
      <c r="AX20" s="850"/>
      <c r="AY20" s="852"/>
      <c r="AZ20" s="489">
        <f>ROUND(ROUND(ROUND(Q16*AJ20,0)*$AT$16,0)*AV22,0)</f>
        <v>125</v>
      </c>
      <c r="BA20" s="393"/>
    </row>
    <row r="21" spans="1:53" ht="16.5" customHeight="1" x14ac:dyDescent="0.15">
      <c r="A21" s="287">
        <v>12</v>
      </c>
      <c r="B21" s="287">
        <v>8179</v>
      </c>
      <c r="C21" s="394" t="s">
        <v>17184</v>
      </c>
      <c r="D21" s="494"/>
      <c r="E21" s="151"/>
      <c r="F21" s="151"/>
      <c r="G21" s="151"/>
      <c r="H21" s="495"/>
      <c r="Q21" s="395"/>
      <c r="R21" s="151"/>
      <c r="S21" s="151"/>
      <c r="U21" s="387"/>
      <c r="V21" s="343"/>
      <c r="W21" s="343"/>
      <c r="X21" s="343"/>
      <c r="Y21" s="343"/>
      <c r="Z21" s="343"/>
      <c r="AA21" s="343"/>
      <c r="AB21" s="343"/>
      <c r="AC21" s="343"/>
      <c r="AD21" s="343"/>
      <c r="AE21" s="343"/>
      <c r="AF21" s="343"/>
      <c r="AG21" s="343"/>
      <c r="AH21" s="343"/>
      <c r="AI21" s="343"/>
      <c r="AJ21" s="343"/>
      <c r="AK21" s="343"/>
      <c r="AL21" s="114" t="s">
        <v>15628</v>
      </c>
      <c r="AM21" s="396"/>
      <c r="AN21" s="396"/>
      <c r="AO21" s="396"/>
      <c r="AP21" s="396"/>
      <c r="AQ21" s="396"/>
      <c r="AR21" s="396"/>
      <c r="AS21" s="396"/>
      <c r="AT21" s="490"/>
      <c r="AU21" s="387"/>
      <c r="AV21" s="902" t="s">
        <v>15636</v>
      </c>
      <c r="AW21" s="902"/>
      <c r="AX21" s="902"/>
      <c r="AY21" s="903"/>
      <c r="AZ21" s="489">
        <f>ROUND(ROUND(ROUND(Q16*AR22,0)*$AT$16,0)*AV22,0)</f>
        <v>106</v>
      </c>
      <c r="BA21" s="393"/>
    </row>
    <row r="22" spans="1:53" ht="16.5" customHeight="1" x14ac:dyDescent="0.15">
      <c r="A22" s="287">
        <v>12</v>
      </c>
      <c r="B22" s="287">
        <v>8180</v>
      </c>
      <c r="C22" s="394" t="s">
        <v>17185</v>
      </c>
      <c r="D22" s="403"/>
      <c r="E22" s="404"/>
      <c r="F22" s="404"/>
      <c r="G22" s="404"/>
      <c r="H22" s="406"/>
      <c r="Q22" s="395"/>
      <c r="R22" s="151"/>
      <c r="S22" s="151"/>
      <c r="U22" s="387"/>
      <c r="V22" s="343" t="s">
        <v>15625</v>
      </c>
      <c r="W22" s="325"/>
      <c r="X22" s="325"/>
      <c r="Y22" s="325"/>
      <c r="Z22" s="325"/>
      <c r="AA22" s="325"/>
      <c r="AB22" s="325"/>
      <c r="AC22" s="325"/>
      <c r="AD22" s="325"/>
      <c r="AE22" s="325"/>
      <c r="AF22" s="325"/>
      <c r="AG22" s="325"/>
      <c r="AH22" s="325"/>
      <c r="AI22" s="391" t="s">
        <v>15626</v>
      </c>
      <c r="AJ22" s="838">
        <f>AJ20</f>
        <v>1</v>
      </c>
      <c r="AK22" s="843"/>
      <c r="AL22" s="324" t="s">
        <v>15630</v>
      </c>
      <c r="AM22" s="325"/>
      <c r="AN22" s="325"/>
      <c r="AO22" s="325"/>
      <c r="AP22" s="325"/>
      <c r="AQ22" s="190" t="s">
        <v>398</v>
      </c>
      <c r="AR22" s="844">
        <f>AR18</f>
        <v>0.85</v>
      </c>
      <c r="AS22" s="844"/>
      <c r="AT22" s="501"/>
      <c r="AU22" s="502"/>
      <c r="AV22" s="844">
        <f>AV14</f>
        <v>0.8</v>
      </c>
      <c r="AW22" s="844"/>
      <c r="AX22" s="844"/>
      <c r="AY22" s="845"/>
      <c r="AZ22" s="489">
        <f>ROUND(ROUND(ROUND(ROUND(Q16*AJ22,0)*AR22,0)*$AT$16,0)*AV22,0)</f>
        <v>106</v>
      </c>
      <c r="BA22" s="393"/>
    </row>
    <row r="23" spans="1:53" ht="16.5" customHeight="1" x14ac:dyDescent="0.15">
      <c r="A23" s="340">
        <v>12</v>
      </c>
      <c r="B23" s="341">
        <v>8181</v>
      </c>
      <c r="C23" s="390" t="s">
        <v>17186</v>
      </c>
      <c r="D23" s="403"/>
      <c r="E23" s="404"/>
      <c r="F23" s="404"/>
      <c r="G23" s="404"/>
      <c r="H23" s="406"/>
      <c r="I23" s="908" t="s">
        <v>16309</v>
      </c>
      <c r="J23" s="909"/>
      <c r="K23" s="909"/>
      <c r="L23" s="909"/>
      <c r="M23" s="909"/>
      <c r="N23" s="909"/>
      <c r="O23" s="909"/>
      <c r="P23" s="909"/>
      <c r="Q23" s="909"/>
      <c r="R23" s="909"/>
      <c r="S23" s="909"/>
      <c r="T23" s="909"/>
      <c r="U23" s="910"/>
      <c r="V23" s="343"/>
      <c r="W23" s="325"/>
      <c r="X23" s="325"/>
      <c r="Y23" s="325"/>
      <c r="Z23" s="325"/>
      <c r="AA23" s="325"/>
      <c r="AB23" s="325"/>
      <c r="AC23" s="325"/>
      <c r="AD23" s="325"/>
      <c r="AE23" s="325"/>
      <c r="AF23" s="325"/>
      <c r="AG23" s="325"/>
      <c r="AH23" s="325"/>
      <c r="AI23" s="391"/>
      <c r="AJ23" s="401"/>
      <c r="AK23" s="402"/>
      <c r="AL23" s="396"/>
      <c r="AM23" s="396"/>
      <c r="AN23" s="396"/>
      <c r="AO23" s="396"/>
      <c r="AP23" s="396"/>
      <c r="AQ23" s="396"/>
      <c r="AR23" s="396"/>
      <c r="AS23" s="396"/>
      <c r="AT23" s="490"/>
      <c r="AU23" s="387"/>
      <c r="AV23" s="400"/>
      <c r="AW23" s="400"/>
      <c r="AX23" s="396"/>
      <c r="AY23" s="397"/>
      <c r="AZ23" s="489">
        <f>ROUND(Q24*$AT$16,0)</f>
        <v>159</v>
      </c>
      <c r="BA23" s="393"/>
    </row>
    <row r="24" spans="1:53" ht="16.5" customHeight="1" x14ac:dyDescent="0.15">
      <c r="A24" s="340">
        <v>12</v>
      </c>
      <c r="B24" s="341">
        <v>8182</v>
      </c>
      <c r="C24" s="390" t="s">
        <v>17187</v>
      </c>
      <c r="D24" s="403"/>
      <c r="E24" s="404"/>
      <c r="F24" s="404"/>
      <c r="G24" s="404"/>
      <c r="H24" s="406"/>
      <c r="Q24" s="836">
        <f>ROUND(Q216*$F$13,0)</f>
        <v>106</v>
      </c>
      <c r="R24" s="911"/>
      <c r="S24" s="911"/>
      <c r="T24" s="152" t="s">
        <v>15624</v>
      </c>
      <c r="U24" s="387"/>
      <c r="V24" s="343" t="s">
        <v>15625</v>
      </c>
      <c r="W24" s="325"/>
      <c r="X24" s="325"/>
      <c r="Y24" s="325"/>
      <c r="Z24" s="325"/>
      <c r="AA24" s="325"/>
      <c r="AB24" s="325"/>
      <c r="AC24" s="325"/>
      <c r="AD24" s="325"/>
      <c r="AE24" s="325"/>
      <c r="AF24" s="325"/>
      <c r="AG24" s="325"/>
      <c r="AH24" s="325"/>
      <c r="AI24" s="391" t="s">
        <v>15626</v>
      </c>
      <c r="AJ24" s="838">
        <f>AJ22</f>
        <v>1</v>
      </c>
      <c r="AK24" s="839"/>
      <c r="AL24" s="325"/>
      <c r="AM24" s="325"/>
      <c r="AN24" s="325"/>
      <c r="AO24" s="325"/>
      <c r="AP24" s="325"/>
      <c r="AQ24" s="325"/>
      <c r="AR24" s="325"/>
      <c r="AS24" s="325"/>
      <c r="AT24" s="490"/>
      <c r="AU24" s="387"/>
      <c r="AY24" s="387"/>
      <c r="AZ24" s="489">
        <f>ROUND(ROUND(Q24*AJ24,0)*$AT$16,0)</f>
        <v>159</v>
      </c>
      <c r="BA24" s="393"/>
    </row>
    <row r="25" spans="1:53" ht="16.5" customHeight="1" x14ac:dyDescent="0.15">
      <c r="A25" s="287">
        <v>12</v>
      </c>
      <c r="B25" s="287">
        <v>8183</v>
      </c>
      <c r="C25" s="394" t="s">
        <v>17188</v>
      </c>
      <c r="D25" s="403"/>
      <c r="E25" s="404"/>
      <c r="F25" s="404"/>
      <c r="G25" s="404"/>
      <c r="H25" s="406"/>
      <c r="Q25" s="395"/>
      <c r="R25" s="151"/>
      <c r="S25" s="151"/>
      <c r="U25" s="387"/>
      <c r="V25" s="343"/>
      <c r="W25" s="343"/>
      <c r="X25" s="343"/>
      <c r="Y25" s="343"/>
      <c r="Z25" s="343"/>
      <c r="AA25" s="343"/>
      <c r="AB25" s="343"/>
      <c r="AC25" s="343"/>
      <c r="AD25" s="343"/>
      <c r="AE25" s="343"/>
      <c r="AF25" s="343"/>
      <c r="AG25" s="343"/>
      <c r="AH25" s="343"/>
      <c r="AI25" s="343"/>
      <c r="AJ25" s="343"/>
      <c r="AK25" s="343"/>
      <c r="AL25" s="114" t="s">
        <v>15628</v>
      </c>
      <c r="AM25" s="396"/>
      <c r="AN25" s="396"/>
      <c r="AO25" s="396"/>
      <c r="AP25" s="396"/>
      <c r="AQ25" s="396"/>
      <c r="AR25" s="396"/>
      <c r="AS25" s="396"/>
      <c r="AT25" s="490"/>
      <c r="AU25" s="387"/>
      <c r="AY25" s="387"/>
      <c r="AZ25" s="489">
        <f>ROUND(ROUND(Q24*AR26,0)*$AT$16,0)</f>
        <v>135</v>
      </c>
      <c r="BA25" s="393"/>
    </row>
    <row r="26" spans="1:53" ht="16.5" customHeight="1" x14ac:dyDescent="0.15">
      <c r="A26" s="287">
        <v>12</v>
      </c>
      <c r="B26" s="287">
        <v>8184</v>
      </c>
      <c r="C26" s="394" t="s">
        <v>17189</v>
      </c>
      <c r="D26" s="403"/>
      <c r="E26" s="404"/>
      <c r="F26" s="404"/>
      <c r="G26" s="404"/>
      <c r="H26" s="406"/>
      <c r="Q26" s="395"/>
      <c r="R26" s="151"/>
      <c r="S26" s="151"/>
      <c r="U26" s="387"/>
      <c r="V26" s="343" t="s">
        <v>15625</v>
      </c>
      <c r="W26" s="325"/>
      <c r="X26" s="325"/>
      <c r="Y26" s="325"/>
      <c r="Z26" s="325"/>
      <c r="AA26" s="325"/>
      <c r="AB26" s="325"/>
      <c r="AC26" s="325"/>
      <c r="AD26" s="325"/>
      <c r="AE26" s="325"/>
      <c r="AF26" s="325"/>
      <c r="AG26" s="325"/>
      <c r="AH26" s="325"/>
      <c r="AI26" s="391" t="s">
        <v>15626</v>
      </c>
      <c r="AJ26" s="838">
        <f>AJ24</f>
        <v>1</v>
      </c>
      <c r="AK26" s="843"/>
      <c r="AL26" s="324" t="s">
        <v>15630</v>
      </c>
      <c r="AM26" s="325"/>
      <c r="AN26" s="325"/>
      <c r="AO26" s="325"/>
      <c r="AP26" s="325"/>
      <c r="AQ26" s="190" t="s">
        <v>398</v>
      </c>
      <c r="AR26" s="844">
        <f>AR22</f>
        <v>0.85</v>
      </c>
      <c r="AS26" s="844"/>
      <c r="AT26" s="501"/>
      <c r="AU26" s="502"/>
      <c r="AY26" s="387"/>
      <c r="AZ26" s="489">
        <f>ROUND(ROUND(ROUND(Q24*AJ26,0)*AR26,0)*$AT$16,0)</f>
        <v>135</v>
      </c>
      <c r="BA26" s="393"/>
    </row>
    <row r="27" spans="1:53" ht="16.5" customHeight="1" x14ac:dyDescent="0.15">
      <c r="A27" s="340">
        <v>12</v>
      </c>
      <c r="B27" s="341">
        <v>8185</v>
      </c>
      <c r="C27" s="390" t="s">
        <v>17190</v>
      </c>
      <c r="D27" s="403"/>
      <c r="E27" s="404"/>
      <c r="F27" s="404"/>
      <c r="G27" s="404"/>
      <c r="H27" s="406"/>
      <c r="I27" s="10"/>
      <c r="Q27" s="395"/>
      <c r="R27" s="151"/>
      <c r="S27" s="151"/>
      <c r="U27" s="387"/>
      <c r="V27" s="343"/>
      <c r="W27" s="325"/>
      <c r="X27" s="325"/>
      <c r="Y27" s="325"/>
      <c r="Z27" s="325"/>
      <c r="AA27" s="325"/>
      <c r="AB27" s="325"/>
      <c r="AC27" s="325"/>
      <c r="AD27" s="325"/>
      <c r="AE27" s="325"/>
      <c r="AF27" s="325"/>
      <c r="AG27" s="325"/>
      <c r="AH27" s="325"/>
      <c r="AI27" s="391"/>
      <c r="AJ27" s="401"/>
      <c r="AK27" s="402"/>
      <c r="AL27" s="396"/>
      <c r="AM27" s="396"/>
      <c r="AN27" s="396"/>
      <c r="AO27" s="396"/>
      <c r="AP27" s="396"/>
      <c r="AQ27" s="396"/>
      <c r="AR27" s="396"/>
      <c r="AS27" s="396"/>
      <c r="AT27" s="490"/>
      <c r="AU27" s="387"/>
      <c r="AV27" s="858" t="s">
        <v>16296</v>
      </c>
      <c r="AW27" s="858"/>
      <c r="AX27" s="858"/>
      <c r="AY27" s="860"/>
      <c r="AZ27" s="489">
        <f>ROUND(ROUND(Q24*$AT$16,0)*AV30,0)</f>
        <v>127</v>
      </c>
      <c r="BA27" s="393"/>
    </row>
    <row r="28" spans="1:53" ht="16.5" customHeight="1" x14ac:dyDescent="0.15">
      <c r="A28" s="340">
        <v>12</v>
      </c>
      <c r="B28" s="341">
        <v>8186</v>
      </c>
      <c r="C28" s="390" t="s">
        <v>17191</v>
      </c>
      <c r="D28" s="403"/>
      <c r="E28" s="404"/>
      <c r="F28" s="404"/>
      <c r="G28" s="404"/>
      <c r="H28" s="406"/>
      <c r="Q28" s="899"/>
      <c r="R28" s="899"/>
      <c r="S28" s="899"/>
      <c r="U28" s="387"/>
      <c r="V28" s="343" t="s">
        <v>15625</v>
      </c>
      <c r="W28" s="325"/>
      <c r="X28" s="325"/>
      <c r="Y28" s="325"/>
      <c r="Z28" s="325"/>
      <c r="AA28" s="325"/>
      <c r="AB28" s="325"/>
      <c r="AC28" s="325"/>
      <c r="AD28" s="325"/>
      <c r="AE28" s="325"/>
      <c r="AF28" s="325"/>
      <c r="AG28" s="325"/>
      <c r="AH28" s="325"/>
      <c r="AI28" s="391" t="s">
        <v>15626</v>
      </c>
      <c r="AJ28" s="838">
        <f>AJ26</f>
        <v>1</v>
      </c>
      <c r="AK28" s="839"/>
      <c r="AL28" s="325"/>
      <c r="AM28" s="325"/>
      <c r="AN28" s="325"/>
      <c r="AO28" s="325"/>
      <c r="AP28" s="325"/>
      <c r="AQ28" s="325"/>
      <c r="AR28" s="325"/>
      <c r="AS28" s="325"/>
      <c r="AT28" s="490"/>
      <c r="AU28" s="387"/>
      <c r="AV28" s="850"/>
      <c r="AW28" s="850"/>
      <c r="AX28" s="850"/>
      <c r="AY28" s="852"/>
      <c r="AZ28" s="489">
        <f>ROUND(ROUND(ROUND(Q24*AJ28,0)*$AT$16,0)*AV30,0)</f>
        <v>127</v>
      </c>
      <c r="BA28" s="393"/>
    </row>
    <row r="29" spans="1:53" ht="16.5" customHeight="1" x14ac:dyDescent="0.15">
      <c r="A29" s="287">
        <v>12</v>
      </c>
      <c r="B29" s="287">
        <v>8187</v>
      </c>
      <c r="C29" s="394" t="s">
        <v>17192</v>
      </c>
      <c r="D29" s="403"/>
      <c r="E29" s="404"/>
      <c r="F29" s="404"/>
      <c r="G29" s="404"/>
      <c r="H29" s="406"/>
      <c r="Q29" s="395"/>
      <c r="R29" s="151"/>
      <c r="S29" s="151"/>
      <c r="U29" s="387"/>
      <c r="V29" s="343"/>
      <c r="W29" s="343"/>
      <c r="X29" s="343"/>
      <c r="Y29" s="343"/>
      <c r="Z29" s="343"/>
      <c r="AA29" s="343"/>
      <c r="AB29" s="343"/>
      <c r="AC29" s="343"/>
      <c r="AD29" s="343"/>
      <c r="AE29" s="343"/>
      <c r="AF29" s="343"/>
      <c r="AG29" s="343"/>
      <c r="AH29" s="343"/>
      <c r="AI29" s="343"/>
      <c r="AJ29" s="343"/>
      <c r="AK29" s="343"/>
      <c r="AL29" s="114" t="s">
        <v>15628</v>
      </c>
      <c r="AM29" s="396"/>
      <c r="AN29" s="396"/>
      <c r="AO29" s="396"/>
      <c r="AP29" s="396"/>
      <c r="AQ29" s="396"/>
      <c r="AR29" s="396"/>
      <c r="AS29" s="396"/>
      <c r="AT29" s="490"/>
      <c r="AU29" s="387"/>
      <c r="AV29" s="902" t="s">
        <v>15636</v>
      </c>
      <c r="AW29" s="902"/>
      <c r="AX29" s="902"/>
      <c r="AY29" s="903"/>
      <c r="AZ29" s="489">
        <f>ROUND(ROUND(ROUND(Q24*AR30,0)*$AT$16,0)*AV30,0)</f>
        <v>108</v>
      </c>
      <c r="BA29" s="393"/>
    </row>
    <row r="30" spans="1:53" ht="16.5" customHeight="1" x14ac:dyDescent="0.15">
      <c r="A30" s="287">
        <v>12</v>
      </c>
      <c r="B30" s="287">
        <v>8188</v>
      </c>
      <c r="C30" s="394" t="s">
        <v>17193</v>
      </c>
      <c r="D30" s="403"/>
      <c r="E30" s="404"/>
      <c r="F30" s="404"/>
      <c r="G30" s="404"/>
      <c r="H30" s="406"/>
      <c r="Q30" s="395"/>
      <c r="R30" s="151"/>
      <c r="S30" s="151"/>
      <c r="U30" s="387"/>
      <c r="V30" s="343" t="s">
        <v>15625</v>
      </c>
      <c r="W30" s="325"/>
      <c r="X30" s="325"/>
      <c r="Y30" s="325"/>
      <c r="Z30" s="325"/>
      <c r="AA30" s="325"/>
      <c r="AB30" s="325"/>
      <c r="AC30" s="325"/>
      <c r="AD30" s="325"/>
      <c r="AE30" s="325"/>
      <c r="AF30" s="325"/>
      <c r="AG30" s="325"/>
      <c r="AH30" s="325"/>
      <c r="AI30" s="391" t="s">
        <v>15626</v>
      </c>
      <c r="AJ30" s="838">
        <f>AJ28</f>
        <v>1</v>
      </c>
      <c r="AK30" s="843"/>
      <c r="AL30" s="324" t="s">
        <v>15630</v>
      </c>
      <c r="AM30" s="325"/>
      <c r="AN30" s="325"/>
      <c r="AO30" s="325"/>
      <c r="AP30" s="325"/>
      <c r="AQ30" s="190" t="s">
        <v>398</v>
      </c>
      <c r="AR30" s="844">
        <f>AR26</f>
        <v>0.85</v>
      </c>
      <c r="AS30" s="844"/>
      <c r="AT30" s="501"/>
      <c r="AU30" s="502"/>
      <c r="AV30" s="844">
        <f>AV22</f>
        <v>0.8</v>
      </c>
      <c r="AW30" s="844"/>
      <c r="AX30" s="844"/>
      <c r="AY30" s="845"/>
      <c r="AZ30" s="489">
        <f>ROUND(ROUND(ROUND(ROUND(Q24*AJ30,0)*AR30,0)*$AT$16,0)*AV30,0)</f>
        <v>108</v>
      </c>
      <c r="BA30" s="393"/>
    </row>
    <row r="31" spans="1:53" ht="16.5" customHeight="1" x14ac:dyDescent="0.15">
      <c r="A31" s="340">
        <v>12</v>
      </c>
      <c r="B31" s="341">
        <v>8189</v>
      </c>
      <c r="C31" s="390" t="s">
        <v>17194</v>
      </c>
      <c r="D31" s="403"/>
      <c r="E31" s="404"/>
      <c r="F31" s="404"/>
      <c r="G31" s="404"/>
      <c r="H31" s="406"/>
      <c r="I31" s="908" t="s">
        <v>16318</v>
      </c>
      <c r="J31" s="909"/>
      <c r="K31" s="909"/>
      <c r="L31" s="909"/>
      <c r="M31" s="909"/>
      <c r="N31" s="909"/>
      <c r="O31" s="909"/>
      <c r="P31" s="909"/>
      <c r="Q31" s="909"/>
      <c r="R31" s="909"/>
      <c r="S31" s="909"/>
      <c r="T31" s="909"/>
      <c r="U31" s="910"/>
      <c r="V31" s="343"/>
      <c r="W31" s="325"/>
      <c r="X31" s="325"/>
      <c r="Y31" s="325"/>
      <c r="Z31" s="325"/>
      <c r="AA31" s="325"/>
      <c r="AB31" s="325"/>
      <c r="AC31" s="325"/>
      <c r="AD31" s="325"/>
      <c r="AE31" s="325"/>
      <c r="AF31" s="325"/>
      <c r="AG31" s="325"/>
      <c r="AH31" s="325"/>
      <c r="AI31" s="391"/>
      <c r="AJ31" s="401"/>
      <c r="AK31" s="402"/>
      <c r="AL31" s="396"/>
      <c r="AM31" s="396"/>
      <c r="AN31" s="396"/>
      <c r="AO31" s="396"/>
      <c r="AP31" s="396"/>
      <c r="AQ31" s="396"/>
      <c r="AR31" s="396"/>
      <c r="AS31" s="396"/>
      <c r="AT31" s="490"/>
      <c r="AU31" s="387"/>
      <c r="AV31" s="400"/>
      <c r="AW31" s="400"/>
      <c r="AX31" s="396"/>
      <c r="AY31" s="397"/>
      <c r="AZ31" s="489">
        <f>ROUND(Q32*$AT$16,0)</f>
        <v>158</v>
      </c>
      <c r="BA31" s="393"/>
    </row>
    <row r="32" spans="1:53" ht="16.5" customHeight="1" x14ac:dyDescent="0.15">
      <c r="A32" s="340">
        <v>12</v>
      </c>
      <c r="B32" s="341">
        <v>8190</v>
      </c>
      <c r="C32" s="390" t="s">
        <v>17195</v>
      </c>
      <c r="D32" s="403"/>
      <c r="E32" s="404"/>
      <c r="F32" s="404"/>
      <c r="G32" s="404"/>
      <c r="H32" s="406"/>
      <c r="Q32" s="836">
        <f>ROUND(Q224*$F$13,0)</f>
        <v>105</v>
      </c>
      <c r="R32" s="911"/>
      <c r="S32" s="911"/>
      <c r="T32" s="152" t="s">
        <v>15624</v>
      </c>
      <c r="U32" s="387"/>
      <c r="V32" s="343" t="s">
        <v>15625</v>
      </c>
      <c r="W32" s="325"/>
      <c r="X32" s="325"/>
      <c r="Y32" s="325"/>
      <c r="Z32" s="325"/>
      <c r="AA32" s="325"/>
      <c r="AB32" s="325"/>
      <c r="AC32" s="325"/>
      <c r="AD32" s="325"/>
      <c r="AE32" s="325"/>
      <c r="AF32" s="325"/>
      <c r="AG32" s="325"/>
      <c r="AH32" s="325"/>
      <c r="AI32" s="391" t="s">
        <v>15626</v>
      </c>
      <c r="AJ32" s="838">
        <f>AJ30</f>
        <v>1</v>
      </c>
      <c r="AK32" s="839"/>
      <c r="AL32" s="325"/>
      <c r="AM32" s="325"/>
      <c r="AN32" s="325"/>
      <c r="AO32" s="325"/>
      <c r="AP32" s="325"/>
      <c r="AQ32" s="325"/>
      <c r="AR32" s="325"/>
      <c r="AS32" s="325"/>
      <c r="AT32" s="490"/>
      <c r="AU32" s="387"/>
      <c r="AY32" s="387"/>
      <c r="AZ32" s="489">
        <f>ROUND(ROUND(Q32*AJ32,0)*$AT$16,0)</f>
        <v>158</v>
      </c>
      <c r="BA32" s="393"/>
    </row>
    <row r="33" spans="1:53" ht="16.5" customHeight="1" x14ac:dyDescent="0.15">
      <c r="A33" s="287">
        <v>12</v>
      </c>
      <c r="B33" s="287">
        <v>8191</v>
      </c>
      <c r="C33" s="394" t="s">
        <v>17196</v>
      </c>
      <c r="D33" s="403"/>
      <c r="E33" s="404"/>
      <c r="F33" s="404"/>
      <c r="G33" s="404"/>
      <c r="H33" s="406"/>
      <c r="Q33" s="395"/>
      <c r="R33" s="151"/>
      <c r="S33" s="151"/>
      <c r="U33" s="387"/>
      <c r="V33" s="343"/>
      <c r="W33" s="343"/>
      <c r="X33" s="343"/>
      <c r="Y33" s="343"/>
      <c r="Z33" s="343"/>
      <c r="AA33" s="343"/>
      <c r="AB33" s="343"/>
      <c r="AC33" s="343"/>
      <c r="AD33" s="343"/>
      <c r="AE33" s="343"/>
      <c r="AF33" s="343"/>
      <c r="AG33" s="343"/>
      <c r="AH33" s="343"/>
      <c r="AI33" s="343"/>
      <c r="AJ33" s="343"/>
      <c r="AK33" s="343"/>
      <c r="AL33" s="114" t="s">
        <v>15628</v>
      </c>
      <c r="AM33" s="396"/>
      <c r="AN33" s="396"/>
      <c r="AO33" s="396"/>
      <c r="AP33" s="396"/>
      <c r="AQ33" s="396"/>
      <c r="AR33" s="396"/>
      <c r="AS33" s="396"/>
      <c r="AT33" s="490"/>
      <c r="AU33" s="387"/>
      <c r="AY33" s="387"/>
      <c r="AZ33" s="489">
        <f>ROUND(ROUND(Q32*AR34,0)*$AT$16,0)</f>
        <v>134</v>
      </c>
      <c r="BA33" s="393"/>
    </row>
    <row r="34" spans="1:53" ht="16.5" customHeight="1" x14ac:dyDescent="0.15">
      <c r="A34" s="287">
        <v>12</v>
      </c>
      <c r="B34" s="287">
        <v>8192</v>
      </c>
      <c r="C34" s="394" t="s">
        <v>17197</v>
      </c>
      <c r="D34" s="403"/>
      <c r="E34" s="404"/>
      <c r="F34" s="404"/>
      <c r="G34" s="404"/>
      <c r="H34" s="406"/>
      <c r="Q34" s="395"/>
      <c r="R34" s="151"/>
      <c r="S34" s="151"/>
      <c r="U34" s="387"/>
      <c r="V34" s="343" t="s">
        <v>15625</v>
      </c>
      <c r="W34" s="325"/>
      <c r="X34" s="325"/>
      <c r="Y34" s="325"/>
      <c r="Z34" s="325"/>
      <c r="AA34" s="325"/>
      <c r="AB34" s="325"/>
      <c r="AC34" s="325"/>
      <c r="AD34" s="325"/>
      <c r="AE34" s="325"/>
      <c r="AF34" s="325"/>
      <c r="AG34" s="325"/>
      <c r="AH34" s="325"/>
      <c r="AI34" s="391" t="s">
        <v>15626</v>
      </c>
      <c r="AJ34" s="838">
        <f>AJ32</f>
        <v>1</v>
      </c>
      <c r="AK34" s="843"/>
      <c r="AL34" s="324" t="s">
        <v>15630</v>
      </c>
      <c r="AM34" s="325"/>
      <c r="AN34" s="325"/>
      <c r="AO34" s="325"/>
      <c r="AP34" s="325"/>
      <c r="AQ34" s="190" t="s">
        <v>398</v>
      </c>
      <c r="AR34" s="844">
        <f>AR30</f>
        <v>0.85</v>
      </c>
      <c r="AS34" s="844"/>
      <c r="AT34" s="501"/>
      <c r="AU34" s="502"/>
      <c r="AY34" s="387"/>
      <c r="AZ34" s="489">
        <f>ROUND(ROUND(ROUND(Q32*AJ34,0)*AR34,0)*$AT$16,0)</f>
        <v>134</v>
      </c>
      <c r="BA34" s="393"/>
    </row>
    <row r="35" spans="1:53" ht="16.5" customHeight="1" x14ac:dyDescent="0.15">
      <c r="A35" s="340">
        <v>12</v>
      </c>
      <c r="B35" s="341">
        <v>8193</v>
      </c>
      <c r="C35" s="390" t="s">
        <v>17198</v>
      </c>
      <c r="D35" s="403"/>
      <c r="E35" s="404"/>
      <c r="F35" s="404"/>
      <c r="G35" s="404"/>
      <c r="H35" s="406"/>
      <c r="I35" s="10"/>
      <c r="Q35" s="395"/>
      <c r="R35" s="151"/>
      <c r="S35" s="151"/>
      <c r="U35" s="387"/>
      <c r="V35" s="343"/>
      <c r="W35" s="325"/>
      <c r="X35" s="325"/>
      <c r="Y35" s="325"/>
      <c r="Z35" s="325"/>
      <c r="AA35" s="325"/>
      <c r="AB35" s="325"/>
      <c r="AC35" s="325"/>
      <c r="AD35" s="325"/>
      <c r="AE35" s="325"/>
      <c r="AF35" s="325"/>
      <c r="AG35" s="325"/>
      <c r="AH35" s="325"/>
      <c r="AI35" s="391"/>
      <c r="AJ35" s="401"/>
      <c r="AK35" s="402"/>
      <c r="AL35" s="396"/>
      <c r="AM35" s="396"/>
      <c r="AN35" s="396"/>
      <c r="AO35" s="396"/>
      <c r="AP35" s="396"/>
      <c r="AQ35" s="396"/>
      <c r="AR35" s="396"/>
      <c r="AS35" s="396"/>
      <c r="AT35" s="490"/>
      <c r="AU35" s="387"/>
      <c r="AV35" s="858" t="s">
        <v>16296</v>
      </c>
      <c r="AW35" s="858"/>
      <c r="AX35" s="858"/>
      <c r="AY35" s="860"/>
      <c r="AZ35" s="489">
        <f>ROUND(ROUND(Q32*$AT$16,0)*AV38,0)</f>
        <v>126</v>
      </c>
      <c r="BA35" s="393"/>
    </row>
    <row r="36" spans="1:53" ht="16.5" customHeight="1" x14ac:dyDescent="0.15">
      <c r="A36" s="340">
        <v>12</v>
      </c>
      <c r="B36" s="341">
        <v>8194</v>
      </c>
      <c r="C36" s="390" t="s">
        <v>17199</v>
      </c>
      <c r="D36" s="403"/>
      <c r="E36" s="404"/>
      <c r="F36" s="404"/>
      <c r="G36" s="404"/>
      <c r="H36" s="406"/>
      <c r="Q36" s="899"/>
      <c r="R36" s="899"/>
      <c r="S36" s="899"/>
      <c r="U36" s="387"/>
      <c r="V36" s="343" t="s">
        <v>15625</v>
      </c>
      <c r="W36" s="325"/>
      <c r="X36" s="325"/>
      <c r="Y36" s="325"/>
      <c r="Z36" s="325"/>
      <c r="AA36" s="325"/>
      <c r="AB36" s="325"/>
      <c r="AC36" s="325"/>
      <c r="AD36" s="325"/>
      <c r="AE36" s="325"/>
      <c r="AF36" s="325"/>
      <c r="AG36" s="325"/>
      <c r="AH36" s="325"/>
      <c r="AI36" s="391" t="s">
        <v>15626</v>
      </c>
      <c r="AJ36" s="838">
        <f>AJ34</f>
        <v>1</v>
      </c>
      <c r="AK36" s="839"/>
      <c r="AL36" s="325"/>
      <c r="AM36" s="325"/>
      <c r="AN36" s="325"/>
      <c r="AO36" s="325"/>
      <c r="AP36" s="325"/>
      <c r="AQ36" s="325"/>
      <c r="AR36" s="325"/>
      <c r="AS36" s="325"/>
      <c r="AT36" s="490"/>
      <c r="AU36" s="387"/>
      <c r="AV36" s="850"/>
      <c r="AW36" s="850"/>
      <c r="AX36" s="850"/>
      <c r="AY36" s="852"/>
      <c r="AZ36" s="489">
        <f>ROUND(ROUND(ROUND(Q32*AJ36,0)*$AT$16,0)*AV38,0)</f>
        <v>126</v>
      </c>
      <c r="BA36" s="393"/>
    </row>
    <row r="37" spans="1:53" ht="16.5" customHeight="1" x14ac:dyDescent="0.15">
      <c r="A37" s="287">
        <v>12</v>
      </c>
      <c r="B37" s="287">
        <v>8195</v>
      </c>
      <c r="C37" s="394" t="s">
        <v>17200</v>
      </c>
      <c r="D37" s="403"/>
      <c r="E37" s="404"/>
      <c r="F37" s="404"/>
      <c r="G37" s="404"/>
      <c r="H37" s="406"/>
      <c r="Q37" s="395"/>
      <c r="R37" s="151"/>
      <c r="S37" s="151"/>
      <c r="U37" s="387"/>
      <c r="V37" s="343"/>
      <c r="W37" s="343"/>
      <c r="X37" s="343"/>
      <c r="Y37" s="343"/>
      <c r="Z37" s="343"/>
      <c r="AA37" s="343"/>
      <c r="AB37" s="343"/>
      <c r="AC37" s="343"/>
      <c r="AD37" s="343"/>
      <c r="AE37" s="343"/>
      <c r="AF37" s="343"/>
      <c r="AG37" s="343"/>
      <c r="AH37" s="343"/>
      <c r="AI37" s="343"/>
      <c r="AJ37" s="343"/>
      <c r="AK37" s="343"/>
      <c r="AL37" s="114" t="s">
        <v>15628</v>
      </c>
      <c r="AM37" s="396"/>
      <c r="AN37" s="396"/>
      <c r="AO37" s="396"/>
      <c r="AP37" s="396"/>
      <c r="AQ37" s="396"/>
      <c r="AR37" s="396"/>
      <c r="AS37" s="396"/>
      <c r="AT37" s="490"/>
      <c r="AU37" s="387"/>
      <c r="AV37" s="902" t="s">
        <v>15636</v>
      </c>
      <c r="AW37" s="902"/>
      <c r="AX37" s="902"/>
      <c r="AY37" s="903"/>
      <c r="AZ37" s="489">
        <f>ROUND(ROUND(ROUND(Q32*AR38,0)*$AT$16,0)*AV38,0)</f>
        <v>107</v>
      </c>
      <c r="BA37" s="393"/>
    </row>
    <row r="38" spans="1:53" ht="16.5" customHeight="1" x14ac:dyDescent="0.15">
      <c r="A38" s="287">
        <v>12</v>
      </c>
      <c r="B38" s="287">
        <v>8196</v>
      </c>
      <c r="C38" s="394" t="s">
        <v>17201</v>
      </c>
      <c r="D38" s="403"/>
      <c r="E38" s="404"/>
      <c r="F38" s="404"/>
      <c r="G38" s="404"/>
      <c r="H38" s="406"/>
      <c r="Q38" s="395"/>
      <c r="R38" s="151"/>
      <c r="S38" s="151"/>
      <c r="U38" s="387"/>
      <c r="V38" s="343" t="s">
        <v>15625</v>
      </c>
      <c r="W38" s="325"/>
      <c r="X38" s="325"/>
      <c r="Y38" s="325"/>
      <c r="Z38" s="325"/>
      <c r="AA38" s="325"/>
      <c r="AB38" s="325"/>
      <c r="AC38" s="325"/>
      <c r="AD38" s="325"/>
      <c r="AE38" s="325"/>
      <c r="AF38" s="325"/>
      <c r="AG38" s="325"/>
      <c r="AH38" s="325"/>
      <c r="AI38" s="391" t="s">
        <v>15626</v>
      </c>
      <c r="AJ38" s="838">
        <f>AJ36</f>
        <v>1</v>
      </c>
      <c r="AK38" s="843"/>
      <c r="AL38" s="324" t="s">
        <v>15630</v>
      </c>
      <c r="AM38" s="325"/>
      <c r="AN38" s="325"/>
      <c r="AO38" s="325"/>
      <c r="AP38" s="325"/>
      <c r="AQ38" s="190" t="s">
        <v>398</v>
      </c>
      <c r="AR38" s="844">
        <f>AR34</f>
        <v>0.85</v>
      </c>
      <c r="AS38" s="844"/>
      <c r="AT38" s="501"/>
      <c r="AU38" s="502"/>
      <c r="AV38" s="844">
        <f>AV30</f>
        <v>0.8</v>
      </c>
      <c r="AW38" s="844"/>
      <c r="AX38" s="844"/>
      <c r="AY38" s="845"/>
      <c r="AZ38" s="489">
        <f>ROUND(ROUND(ROUND(ROUND(Q32*AJ38,0)*AR38,0)*$AT$16,0)*AV38,0)</f>
        <v>107</v>
      </c>
      <c r="BA38" s="393"/>
    </row>
    <row r="39" spans="1:53" ht="16.5" customHeight="1" x14ac:dyDescent="0.15">
      <c r="A39" s="340">
        <v>12</v>
      </c>
      <c r="B39" s="341">
        <v>8197</v>
      </c>
      <c r="C39" s="390" t="s">
        <v>17202</v>
      </c>
      <c r="D39" s="403"/>
      <c r="E39" s="404"/>
      <c r="F39" s="404"/>
      <c r="G39" s="404"/>
      <c r="H39" s="406"/>
      <c r="I39" s="908" t="s">
        <v>16327</v>
      </c>
      <c r="J39" s="909"/>
      <c r="K39" s="909"/>
      <c r="L39" s="909"/>
      <c r="M39" s="909"/>
      <c r="N39" s="909"/>
      <c r="O39" s="909"/>
      <c r="P39" s="909"/>
      <c r="Q39" s="909"/>
      <c r="R39" s="909"/>
      <c r="S39" s="909"/>
      <c r="T39" s="909"/>
      <c r="U39" s="910"/>
      <c r="V39" s="343"/>
      <c r="W39" s="325"/>
      <c r="X39" s="325"/>
      <c r="Y39" s="325"/>
      <c r="Z39" s="325"/>
      <c r="AA39" s="325"/>
      <c r="AB39" s="325"/>
      <c r="AC39" s="325"/>
      <c r="AD39" s="325"/>
      <c r="AE39" s="325"/>
      <c r="AF39" s="325"/>
      <c r="AG39" s="325"/>
      <c r="AH39" s="325"/>
      <c r="AI39" s="391"/>
      <c r="AJ39" s="401"/>
      <c r="AK39" s="402"/>
      <c r="AL39" s="396"/>
      <c r="AM39" s="396"/>
      <c r="AN39" s="396"/>
      <c r="AO39" s="396"/>
      <c r="AP39" s="396"/>
      <c r="AQ39" s="396"/>
      <c r="AR39" s="396"/>
      <c r="AS39" s="396"/>
      <c r="AT39" s="490"/>
      <c r="AU39" s="387"/>
      <c r="AV39" s="400"/>
      <c r="AW39" s="400"/>
      <c r="AX39" s="396"/>
      <c r="AY39" s="397"/>
      <c r="AZ39" s="489">
        <f>ROUND(Q40*$AT$16,0)</f>
        <v>159</v>
      </c>
      <c r="BA39" s="393"/>
    </row>
    <row r="40" spans="1:53" ht="16.5" customHeight="1" x14ac:dyDescent="0.15">
      <c r="A40" s="340">
        <v>12</v>
      </c>
      <c r="B40" s="341">
        <v>8198</v>
      </c>
      <c r="C40" s="390" t="s">
        <v>17203</v>
      </c>
      <c r="D40" s="403"/>
      <c r="E40" s="404"/>
      <c r="F40" s="404"/>
      <c r="G40" s="404"/>
      <c r="H40" s="406"/>
      <c r="Q40" s="836">
        <f>ROUND(Q232*$F$13,0)</f>
        <v>106</v>
      </c>
      <c r="R40" s="911"/>
      <c r="S40" s="911"/>
      <c r="T40" s="152" t="s">
        <v>15624</v>
      </c>
      <c r="U40" s="387"/>
      <c r="V40" s="343" t="s">
        <v>15625</v>
      </c>
      <c r="W40" s="325"/>
      <c r="X40" s="325"/>
      <c r="Y40" s="325"/>
      <c r="Z40" s="325"/>
      <c r="AA40" s="325"/>
      <c r="AB40" s="325"/>
      <c r="AC40" s="325"/>
      <c r="AD40" s="325"/>
      <c r="AE40" s="325"/>
      <c r="AF40" s="325"/>
      <c r="AG40" s="325"/>
      <c r="AH40" s="325"/>
      <c r="AI40" s="391" t="s">
        <v>15626</v>
      </c>
      <c r="AJ40" s="838">
        <f>AJ38</f>
        <v>1</v>
      </c>
      <c r="AK40" s="839"/>
      <c r="AL40" s="325"/>
      <c r="AM40" s="325"/>
      <c r="AN40" s="325"/>
      <c r="AO40" s="325"/>
      <c r="AP40" s="325"/>
      <c r="AQ40" s="325"/>
      <c r="AR40" s="325"/>
      <c r="AS40" s="325"/>
      <c r="AT40" s="490"/>
      <c r="AU40" s="387"/>
      <c r="AY40" s="387"/>
      <c r="AZ40" s="489">
        <f>ROUND(ROUND(Q40*AJ40,0)*$AT$16,0)</f>
        <v>159</v>
      </c>
      <c r="BA40" s="393"/>
    </row>
    <row r="41" spans="1:53" ht="16.5" customHeight="1" x14ac:dyDescent="0.15">
      <c r="A41" s="340">
        <v>12</v>
      </c>
      <c r="B41" s="341">
        <v>8199</v>
      </c>
      <c r="C41" s="390" t="s">
        <v>17204</v>
      </c>
      <c r="D41" s="403"/>
      <c r="E41" s="404"/>
      <c r="F41" s="404"/>
      <c r="G41" s="404"/>
      <c r="H41" s="406"/>
      <c r="Q41" s="395"/>
      <c r="R41" s="151"/>
      <c r="S41" s="151"/>
      <c r="U41" s="387"/>
      <c r="V41" s="343"/>
      <c r="W41" s="343"/>
      <c r="X41" s="343"/>
      <c r="Y41" s="343"/>
      <c r="Z41" s="343"/>
      <c r="AA41" s="343"/>
      <c r="AB41" s="343"/>
      <c r="AC41" s="343"/>
      <c r="AD41" s="343"/>
      <c r="AE41" s="343"/>
      <c r="AF41" s="343"/>
      <c r="AG41" s="343"/>
      <c r="AH41" s="343"/>
      <c r="AI41" s="343"/>
      <c r="AJ41" s="343"/>
      <c r="AK41" s="343"/>
      <c r="AL41" s="114" t="s">
        <v>15628</v>
      </c>
      <c r="AM41" s="396"/>
      <c r="AN41" s="396"/>
      <c r="AO41" s="396"/>
      <c r="AP41" s="396"/>
      <c r="AQ41" s="396"/>
      <c r="AR41" s="396"/>
      <c r="AS41" s="396"/>
      <c r="AT41" s="490"/>
      <c r="AU41" s="387"/>
      <c r="AY41" s="387"/>
      <c r="AZ41" s="489">
        <f>ROUND(ROUND(Q40*AR42,0)*$AT$16,0)</f>
        <v>135</v>
      </c>
      <c r="BA41" s="393"/>
    </row>
    <row r="42" spans="1:53" ht="16.5" customHeight="1" x14ac:dyDescent="0.15">
      <c r="A42" s="340">
        <v>12</v>
      </c>
      <c r="B42" s="341">
        <v>8200</v>
      </c>
      <c r="C42" s="390" t="s">
        <v>17205</v>
      </c>
      <c r="D42" s="403"/>
      <c r="E42" s="404"/>
      <c r="F42" s="404"/>
      <c r="G42" s="404"/>
      <c r="H42" s="406"/>
      <c r="Q42" s="395"/>
      <c r="R42" s="151"/>
      <c r="S42" s="151"/>
      <c r="U42" s="387"/>
      <c r="V42" s="343" t="s">
        <v>15625</v>
      </c>
      <c r="W42" s="325"/>
      <c r="X42" s="325"/>
      <c r="Y42" s="325"/>
      <c r="Z42" s="325"/>
      <c r="AA42" s="325"/>
      <c r="AB42" s="325"/>
      <c r="AC42" s="325"/>
      <c r="AD42" s="325"/>
      <c r="AE42" s="325"/>
      <c r="AF42" s="325"/>
      <c r="AG42" s="325"/>
      <c r="AH42" s="325"/>
      <c r="AI42" s="391" t="s">
        <v>15626</v>
      </c>
      <c r="AJ42" s="838">
        <f>AJ40</f>
        <v>1</v>
      </c>
      <c r="AK42" s="843"/>
      <c r="AL42" s="324" t="s">
        <v>15630</v>
      </c>
      <c r="AM42" s="325"/>
      <c r="AN42" s="325"/>
      <c r="AO42" s="325"/>
      <c r="AP42" s="325"/>
      <c r="AQ42" s="190" t="s">
        <v>398</v>
      </c>
      <c r="AR42" s="844">
        <f>AR38</f>
        <v>0.85</v>
      </c>
      <c r="AS42" s="844"/>
      <c r="AT42" s="501"/>
      <c r="AU42" s="502"/>
      <c r="AY42" s="387"/>
      <c r="AZ42" s="489">
        <f>ROUND(ROUND(ROUND(Q40*AJ42,0)*AR42,0)*$AT$16,0)</f>
        <v>135</v>
      </c>
      <c r="BA42" s="393"/>
    </row>
    <row r="43" spans="1:53" ht="16.5" customHeight="1" x14ac:dyDescent="0.15">
      <c r="A43" s="340">
        <v>12</v>
      </c>
      <c r="B43" s="341">
        <v>8201</v>
      </c>
      <c r="C43" s="390" t="s">
        <v>17206</v>
      </c>
      <c r="D43" s="403"/>
      <c r="E43" s="404"/>
      <c r="F43" s="404"/>
      <c r="G43" s="404"/>
      <c r="H43" s="406"/>
      <c r="I43" s="10"/>
      <c r="Q43" s="395"/>
      <c r="R43" s="151"/>
      <c r="S43" s="151"/>
      <c r="U43" s="387"/>
      <c r="V43" s="343"/>
      <c r="W43" s="325"/>
      <c r="X43" s="325"/>
      <c r="Y43" s="325"/>
      <c r="Z43" s="325"/>
      <c r="AA43" s="325"/>
      <c r="AB43" s="325"/>
      <c r="AC43" s="325"/>
      <c r="AD43" s="325"/>
      <c r="AE43" s="325"/>
      <c r="AF43" s="325"/>
      <c r="AG43" s="325"/>
      <c r="AH43" s="325"/>
      <c r="AI43" s="391"/>
      <c r="AJ43" s="401"/>
      <c r="AK43" s="402"/>
      <c r="AL43" s="396"/>
      <c r="AM43" s="396"/>
      <c r="AN43" s="396"/>
      <c r="AO43" s="396"/>
      <c r="AP43" s="396"/>
      <c r="AQ43" s="396"/>
      <c r="AR43" s="396"/>
      <c r="AS43" s="396"/>
      <c r="AT43" s="490"/>
      <c r="AU43" s="387"/>
      <c r="AV43" s="858" t="s">
        <v>16296</v>
      </c>
      <c r="AW43" s="858"/>
      <c r="AX43" s="858"/>
      <c r="AY43" s="860"/>
      <c r="AZ43" s="489">
        <f>ROUND(ROUND(Q40*$AT$16,0)*AV46,0)</f>
        <v>127</v>
      </c>
      <c r="BA43" s="393"/>
    </row>
    <row r="44" spans="1:53" ht="16.5" customHeight="1" x14ac:dyDescent="0.15">
      <c r="A44" s="340">
        <v>12</v>
      </c>
      <c r="B44" s="341">
        <v>8202</v>
      </c>
      <c r="C44" s="390" t="s">
        <v>17207</v>
      </c>
      <c r="D44" s="403"/>
      <c r="E44" s="404"/>
      <c r="F44" s="404"/>
      <c r="G44" s="404"/>
      <c r="H44" s="406"/>
      <c r="Q44" s="899"/>
      <c r="R44" s="899"/>
      <c r="S44" s="899"/>
      <c r="U44" s="387"/>
      <c r="V44" s="343" t="s">
        <v>15625</v>
      </c>
      <c r="W44" s="325"/>
      <c r="X44" s="325"/>
      <c r="Y44" s="325"/>
      <c r="Z44" s="325"/>
      <c r="AA44" s="325"/>
      <c r="AB44" s="325"/>
      <c r="AC44" s="325"/>
      <c r="AD44" s="325"/>
      <c r="AE44" s="325"/>
      <c r="AF44" s="325"/>
      <c r="AG44" s="325"/>
      <c r="AH44" s="325"/>
      <c r="AI44" s="391" t="s">
        <v>15626</v>
      </c>
      <c r="AJ44" s="838">
        <f>AJ42</f>
        <v>1</v>
      </c>
      <c r="AK44" s="839"/>
      <c r="AL44" s="325"/>
      <c r="AM44" s="325"/>
      <c r="AN44" s="325"/>
      <c r="AO44" s="325"/>
      <c r="AP44" s="325"/>
      <c r="AQ44" s="325"/>
      <c r="AR44" s="325"/>
      <c r="AS44" s="325"/>
      <c r="AT44" s="490"/>
      <c r="AU44" s="387"/>
      <c r="AV44" s="850"/>
      <c r="AW44" s="850"/>
      <c r="AX44" s="850"/>
      <c r="AY44" s="852"/>
      <c r="AZ44" s="489">
        <f>ROUND(ROUND(ROUND(Q40*AJ44,0)*$AT$16,0)*AV46,0)</f>
        <v>127</v>
      </c>
      <c r="BA44" s="393"/>
    </row>
    <row r="45" spans="1:53" ht="16.5" customHeight="1" x14ac:dyDescent="0.15">
      <c r="A45" s="340">
        <v>12</v>
      </c>
      <c r="B45" s="341">
        <v>8203</v>
      </c>
      <c r="C45" s="390" t="s">
        <v>17208</v>
      </c>
      <c r="D45" s="403"/>
      <c r="E45" s="404"/>
      <c r="F45" s="404"/>
      <c r="G45" s="404"/>
      <c r="H45" s="406"/>
      <c r="Q45" s="395"/>
      <c r="R45" s="151"/>
      <c r="S45" s="151"/>
      <c r="U45" s="387"/>
      <c r="V45" s="343"/>
      <c r="W45" s="343"/>
      <c r="X45" s="343"/>
      <c r="Y45" s="343"/>
      <c r="Z45" s="343"/>
      <c r="AA45" s="343"/>
      <c r="AB45" s="343"/>
      <c r="AC45" s="343"/>
      <c r="AD45" s="343"/>
      <c r="AE45" s="343"/>
      <c r="AF45" s="343"/>
      <c r="AG45" s="343"/>
      <c r="AH45" s="343"/>
      <c r="AI45" s="343"/>
      <c r="AJ45" s="343"/>
      <c r="AK45" s="343"/>
      <c r="AL45" s="114" t="s">
        <v>15628</v>
      </c>
      <c r="AM45" s="396"/>
      <c r="AN45" s="396"/>
      <c r="AO45" s="396"/>
      <c r="AP45" s="396"/>
      <c r="AQ45" s="396"/>
      <c r="AR45" s="396"/>
      <c r="AS45" s="396"/>
      <c r="AT45" s="490"/>
      <c r="AU45" s="387"/>
      <c r="AV45" s="902" t="s">
        <v>15636</v>
      </c>
      <c r="AW45" s="902"/>
      <c r="AX45" s="902"/>
      <c r="AY45" s="903"/>
      <c r="AZ45" s="489">
        <f>ROUND(ROUND(ROUND(Q40*AR46,0)*$AT$16,0)*AV46,0)</f>
        <v>108</v>
      </c>
      <c r="BA45" s="393"/>
    </row>
    <row r="46" spans="1:53" ht="16.5" customHeight="1" x14ac:dyDescent="0.15">
      <c r="A46" s="340">
        <v>12</v>
      </c>
      <c r="B46" s="341">
        <v>8204</v>
      </c>
      <c r="C46" s="390" t="s">
        <v>17209</v>
      </c>
      <c r="D46" s="403"/>
      <c r="E46" s="404"/>
      <c r="F46" s="404"/>
      <c r="G46" s="404"/>
      <c r="H46" s="406"/>
      <c r="Q46" s="395"/>
      <c r="R46" s="151"/>
      <c r="S46" s="151"/>
      <c r="U46" s="387"/>
      <c r="V46" s="343" t="s">
        <v>15625</v>
      </c>
      <c r="W46" s="325"/>
      <c r="X46" s="325"/>
      <c r="Y46" s="325"/>
      <c r="Z46" s="325"/>
      <c r="AA46" s="325"/>
      <c r="AB46" s="325"/>
      <c r="AC46" s="325"/>
      <c r="AD46" s="325"/>
      <c r="AE46" s="325"/>
      <c r="AF46" s="325"/>
      <c r="AG46" s="325"/>
      <c r="AH46" s="325"/>
      <c r="AI46" s="391" t="s">
        <v>15626</v>
      </c>
      <c r="AJ46" s="838">
        <f>AJ44</f>
        <v>1</v>
      </c>
      <c r="AK46" s="843"/>
      <c r="AL46" s="324" t="s">
        <v>15630</v>
      </c>
      <c r="AM46" s="325"/>
      <c r="AN46" s="325"/>
      <c r="AO46" s="325"/>
      <c r="AP46" s="325"/>
      <c r="AQ46" s="190" t="s">
        <v>398</v>
      </c>
      <c r="AR46" s="844">
        <f>AR42</f>
        <v>0.85</v>
      </c>
      <c r="AS46" s="844"/>
      <c r="AT46" s="501"/>
      <c r="AU46" s="502"/>
      <c r="AV46" s="844">
        <f>AV38</f>
        <v>0.8</v>
      </c>
      <c r="AW46" s="844"/>
      <c r="AX46" s="844"/>
      <c r="AY46" s="845"/>
      <c r="AZ46" s="489">
        <f>ROUND(ROUND(ROUND(ROUND(Q40*AJ46,0)*AR46,0)*$AT$16,0)*AV46,0)</f>
        <v>108</v>
      </c>
      <c r="BA46" s="393"/>
    </row>
    <row r="47" spans="1:53" ht="16.5" customHeight="1" x14ac:dyDescent="0.15">
      <c r="A47" s="340">
        <v>12</v>
      </c>
      <c r="B47" s="341">
        <v>8205</v>
      </c>
      <c r="C47" s="390" t="s">
        <v>17210</v>
      </c>
      <c r="D47" s="403"/>
      <c r="E47" s="404"/>
      <c r="F47" s="404"/>
      <c r="G47" s="404"/>
      <c r="H47" s="406"/>
      <c r="I47" s="908" t="s">
        <v>16336</v>
      </c>
      <c r="J47" s="909"/>
      <c r="K47" s="909"/>
      <c r="L47" s="909"/>
      <c r="M47" s="909"/>
      <c r="N47" s="909"/>
      <c r="O47" s="909"/>
      <c r="P47" s="909"/>
      <c r="Q47" s="909"/>
      <c r="R47" s="909"/>
      <c r="S47" s="909"/>
      <c r="T47" s="909"/>
      <c r="U47" s="910"/>
      <c r="V47" s="343"/>
      <c r="W47" s="325"/>
      <c r="X47" s="325"/>
      <c r="Y47" s="325"/>
      <c r="Z47" s="325"/>
      <c r="AA47" s="325"/>
      <c r="AB47" s="325"/>
      <c r="AC47" s="325"/>
      <c r="AD47" s="325"/>
      <c r="AE47" s="325"/>
      <c r="AF47" s="325"/>
      <c r="AG47" s="325"/>
      <c r="AH47" s="325"/>
      <c r="AI47" s="391"/>
      <c r="AJ47" s="401"/>
      <c r="AK47" s="402"/>
      <c r="AL47" s="396"/>
      <c r="AM47" s="396"/>
      <c r="AN47" s="396"/>
      <c r="AO47" s="396"/>
      <c r="AP47" s="396"/>
      <c r="AQ47" s="396"/>
      <c r="AR47" s="396"/>
      <c r="AS47" s="396"/>
      <c r="AT47" s="490"/>
      <c r="AU47" s="387"/>
      <c r="AV47" s="400"/>
      <c r="AW47" s="400"/>
      <c r="AX47" s="396"/>
      <c r="AY47" s="397"/>
      <c r="AZ47" s="489">
        <f>ROUND(Q48*$AT$16,0)</f>
        <v>156</v>
      </c>
      <c r="BA47" s="393"/>
    </row>
    <row r="48" spans="1:53" ht="16.5" customHeight="1" x14ac:dyDescent="0.15">
      <c r="A48" s="340">
        <v>12</v>
      </c>
      <c r="B48" s="341">
        <v>8206</v>
      </c>
      <c r="C48" s="390" t="s">
        <v>17211</v>
      </c>
      <c r="D48" s="403"/>
      <c r="E48" s="404"/>
      <c r="F48" s="404"/>
      <c r="G48" s="404"/>
      <c r="H48" s="406"/>
      <c r="Q48" s="836">
        <f>ROUND(Q240*$F$13,0)</f>
        <v>104</v>
      </c>
      <c r="R48" s="911"/>
      <c r="S48" s="911"/>
      <c r="T48" s="152" t="s">
        <v>15624</v>
      </c>
      <c r="U48" s="387"/>
      <c r="V48" s="343" t="s">
        <v>15625</v>
      </c>
      <c r="W48" s="325"/>
      <c r="X48" s="325"/>
      <c r="Y48" s="325"/>
      <c r="Z48" s="325"/>
      <c r="AA48" s="325"/>
      <c r="AB48" s="325"/>
      <c r="AC48" s="325"/>
      <c r="AD48" s="325"/>
      <c r="AE48" s="325"/>
      <c r="AF48" s="325"/>
      <c r="AG48" s="325"/>
      <c r="AH48" s="325"/>
      <c r="AI48" s="391" t="s">
        <v>15626</v>
      </c>
      <c r="AJ48" s="838">
        <f>AJ46</f>
        <v>1</v>
      </c>
      <c r="AK48" s="839"/>
      <c r="AL48" s="325"/>
      <c r="AM48" s="325"/>
      <c r="AN48" s="325"/>
      <c r="AO48" s="325"/>
      <c r="AP48" s="325"/>
      <c r="AQ48" s="325"/>
      <c r="AR48" s="325"/>
      <c r="AS48" s="325"/>
      <c r="AT48" s="490"/>
      <c r="AU48" s="387"/>
      <c r="AY48" s="387"/>
      <c r="AZ48" s="489">
        <f>ROUND(ROUND(Q48*AJ48,0)*$AT$16,0)</f>
        <v>156</v>
      </c>
      <c r="BA48" s="393"/>
    </row>
    <row r="49" spans="1:53" ht="16.5" customHeight="1" x14ac:dyDescent="0.15">
      <c r="A49" s="340">
        <v>12</v>
      </c>
      <c r="B49" s="341">
        <v>8207</v>
      </c>
      <c r="C49" s="390" t="s">
        <v>17212</v>
      </c>
      <c r="D49" s="403"/>
      <c r="E49" s="404"/>
      <c r="F49" s="404"/>
      <c r="G49" s="404"/>
      <c r="H49" s="406"/>
      <c r="Q49" s="395"/>
      <c r="R49" s="151"/>
      <c r="S49" s="151"/>
      <c r="U49" s="387"/>
      <c r="V49" s="343"/>
      <c r="W49" s="343"/>
      <c r="X49" s="343"/>
      <c r="Y49" s="343"/>
      <c r="Z49" s="343"/>
      <c r="AA49" s="343"/>
      <c r="AB49" s="343"/>
      <c r="AC49" s="343"/>
      <c r="AD49" s="343"/>
      <c r="AE49" s="343"/>
      <c r="AF49" s="343"/>
      <c r="AG49" s="343"/>
      <c r="AH49" s="343"/>
      <c r="AI49" s="343"/>
      <c r="AJ49" s="343"/>
      <c r="AK49" s="343"/>
      <c r="AL49" s="114" t="s">
        <v>15628</v>
      </c>
      <c r="AM49" s="396"/>
      <c r="AN49" s="396"/>
      <c r="AO49" s="396"/>
      <c r="AP49" s="396"/>
      <c r="AQ49" s="396"/>
      <c r="AR49" s="396"/>
      <c r="AS49" s="396"/>
      <c r="AT49" s="490"/>
      <c r="AU49" s="387"/>
      <c r="AY49" s="387"/>
      <c r="AZ49" s="489">
        <f>ROUND(ROUND(Q48*AR50,0)*$AT$16,0)</f>
        <v>132</v>
      </c>
      <c r="BA49" s="393"/>
    </row>
    <row r="50" spans="1:53" ht="16.5" customHeight="1" x14ac:dyDescent="0.15">
      <c r="A50" s="340">
        <v>12</v>
      </c>
      <c r="B50" s="341">
        <v>8208</v>
      </c>
      <c r="C50" s="390" t="s">
        <v>17213</v>
      </c>
      <c r="D50" s="403"/>
      <c r="E50" s="404"/>
      <c r="F50" s="404"/>
      <c r="G50" s="404"/>
      <c r="H50" s="406"/>
      <c r="Q50" s="395"/>
      <c r="R50" s="151"/>
      <c r="S50" s="151"/>
      <c r="U50" s="387"/>
      <c r="V50" s="343" t="s">
        <v>15625</v>
      </c>
      <c r="W50" s="325"/>
      <c r="X50" s="325"/>
      <c r="Y50" s="325"/>
      <c r="Z50" s="325"/>
      <c r="AA50" s="325"/>
      <c r="AB50" s="325"/>
      <c r="AC50" s="325"/>
      <c r="AD50" s="325"/>
      <c r="AE50" s="325"/>
      <c r="AF50" s="325"/>
      <c r="AG50" s="325"/>
      <c r="AH50" s="325"/>
      <c r="AI50" s="391" t="s">
        <v>15626</v>
      </c>
      <c r="AJ50" s="838">
        <f>AJ48</f>
        <v>1</v>
      </c>
      <c r="AK50" s="843"/>
      <c r="AL50" s="324" t="s">
        <v>15630</v>
      </c>
      <c r="AM50" s="325"/>
      <c r="AN50" s="325"/>
      <c r="AO50" s="325"/>
      <c r="AP50" s="325"/>
      <c r="AQ50" s="190" t="s">
        <v>398</v>
      </c>
      <c r="AR50" s="844">
        <f>AR46</f>
        <v>0.85</v>
      </c>
      <c r="AS50" s="844"/>
      <c r="AT50" s="501"/>
      <c r="AU50" s="502"/>
      <c r="AY50" s="387"/>
      <c r="AZ50" s="489">
        <f>ROUND(ROUND(ROUND(Q48*AJ50,0)*AR50,0)*$AT$16,0)</f>
        <v>132</v>
      </c>
      <c r="BA50" s="393"/>
    </row>
    <row r="51" spans="1:53" ht="16.5" customHeight="1" x14ac:dyDescent="0.15">
      <c r="A51" s="340">
        <v>12</v>
      </c>
      <c r="B51" s="341">
        <v>8209</v>
      </c>
      <c r="C51" s="390" t="s">
        <v>17214</v>
      </c>
      <c r="D51" s="403"/>
      <c r="E51" s="404"/>
      <c r="F51" s="404"/>
      <c r="G51" s="404"/>
      <c r="H51" s="406"/>
      <c r="I51" s="10"/>
      <c r="Q51" s="395"/>
      <c r="R51" s="151"/>
      <c r="S51" s="151"/>
      <c r="U51" s="387"/>
      <c r="V51" s="343"/>
      <c r="W51" s="325"/>
      <c r="X51" s="325"/>
      <c r="Y51" s="325"/>
      <c r="Z51" s="325"/>
      <c r="AA51" s="325"/>
      <c r="AB51" s="325"/>
      <c r="AC51" s="325"/>
      <c r="AD51" s="325"/>
      <c r="AE51" s="325"/>
      <c r="AF51" s="325"/>
      <c r="AG51" s="325"/>
      <c r="AH51" s="325"/>
      <c r="AI51" s="391"/>
      <c r="AJ51" s="401"/>
      <c r="AK51" s="402"/>
      <c r="AL51" s="396"/>
      <c r="AM51" s="396"/>
      <c r="AN51" s="396"/>
      <c r="AO51" s="396"/>
      <c r="AP51" s="396"/>
      <c r="AQ51" s="396"/>
      <c r="AR51" s="396"/>
      <c r="AS51" s="396"/>
      <c r="AT51" s="490"/>
      <c r="AU51" s="387"/>
      <c r="AV51" s="858" t="s">
        <v>16296</v>
      </c>
      <c r="AW51" s="858"/>
      <c r="AX51" s="858"/>
      <c r="AY51" s="860"/>
      <c r="AZ51" s="489">
        <f>ROUND(ROUND(Q48*$AT$16,0)*AV54,0)</f>
        <v>125</v>
      </c>
      <c r="BA51" s="393"/>
    </row>
    <row r="52" spans="1:53" ht="16.5" customHeight="1" x14ac:dyDescent="0.15">
      <c r="A52" s="340">
        <v>12</v>
      </c>
      <c r="B52" s="341">
        <v>8210</v>
      </c>
      <c r="C52" s="390" t="s">
        <v>17215</v>
      </c>
      <c r="D52" s="403"/>
      <c r="E52" s="404"/>
      <c r="F52" s="404"/>
      <c r="G52" s="404"/>
      <c r="H52" s="406"/>
      <c r="Q52" s="899"/>
      <c r="R52" s="899"/>
      <c r="S52" s="899"/>
      <c r="U52" s="387"/>
      <c r="V52" s="343" t="s">
        <v>15625</v>
      </c>
      <c r="W52" s="325"/>
      <c r="X52" s="325"/>
      <c r="Y52" s="325"/>
      <c r="Z52" s="325"/>
      <c r="AA52" s="325"/>
      <c r="AB52" s="325"/>
      <c r="AC52" s="325"/>
      <c r="AD52" s="325"/>
      <c r="AE52" s="325"/>
      <c r="AF52" s="325"/>
      <c r="AG52" s="325"/>
      <c r="AH52" s="325"/>
      <c r="AI52" s="391" t="s">
        <v>15626</v>
      </c>
      <c r="AJ52" s="838">
        <f>AJ50</f>
        <v>1</v>
      </c>
      <c r="AK52" s="839"/>
      <c r="AL52" s="325"/>
      <c r="AM52" s="325"/>
      <c r="AN52" s="325"/>
      <c r="AO52" s="325"/>
      <c r="AP52" s="325"/>
      <c r="AQ52" s="325"/>
      <c r="AR52" s="325"/>
      <c r="AS52" s="325"/>
      <c r="AT52" s="490"/>
      <c r="AU52" s="387"/>
      <c r="AV52" s="850"/>
      <c r="AW52" s="850"/>
      <c r="AX52" s="850"/>
      <c r="AY52" s="852"/>
      <c r="AZ52" s="489">
        <f>ROUND(ROUND(ROUND(Q48*AJ52,0)*$AT$16,0)*AV54,0)</f>
        <v>125</v>
      </c>
      <c r="BA52" s="393"/>
    </row>
    <row r="53" spans="1:53" ht="16.5" customHeight="1" x14ac:dyDescent="0.15">
      <c r="A53" s="340">
        <v>12</v>
      </c>
      <c r="B53" s="341">
        <v>8211</v>
      </c>
      <c r="C53" s="390" t="s">
        <v>17216</v>
      </c>
      <c r="D53" s="403"/>
      <c r="E53" s="404"/>
      <c r="F53" s="404"/>
      <c r="G53" s="404"/>
      <c r="H53" s="406"/>
      <c r="Q53" s="395"/>
      <c r="R53" s="151"/>
      <c r="S53" s="151"/>
      <c r="U53" s="387"/>
      <c r="V53" s="343"/>
      <c r="W53" s="343"/>
      <c r="X53" s="343"/>
      <c r="Y53" s="343"/>
      <c r="Z53" s="343"/>
      <c r="AA53" s="343"/>
      <c r="AB53" s="343"/>
      <c r="AC53" s="343"/>
      <c r="AD53" s="343"/>
      <c r="AE53" s="343"/>
      <c r="AF53" s="343"/>
      <c r="AG53" s="343"/>
      <c r="AH53" s="343"/>
      <c r="AI53" s="343"/>
      <c r="AJ53" s="343"/>
      <c r="AK53" s="343"/>
      <c r="AL53" s="114" t="s">
        <v>15628</v>
      </c>
      <c r="AM53" s="396"/>
      <c r="AN53" s="396"/>
      <c r="AO53" s="396"/>
      <c r="AP53" s="396"/>
      <c r="AQ53" s="396"/>
      <c r="AR53" s="396"/>
      <c r="AS53" s="396"/>
      <c r="AT53" s="490"/>
      <c r="AU53" s="387"/>
      <c r="AV53" s="902" t="s">
        <v>15636</v>
      </c>
      <c r="AW53" s="902"/>
      <c r="AX53" s="902"/>
      <c r="AY53" s="903"/>
      <c r="AZ53" s="489">
        <f>ROUND(ROUND(ROUND(Q48*AR54,0)*$AT$16,0)*AV54,0)</f>
        <v>106</v>
      </c>
      <c r="BA53" s="393"/>
    </row>
    <row r="54" spans="1:53" ht="16.5" customHeight="1" x14ac:dyDescent="0.15">
      <c r="A54" s="340">
        <v>12</v>
      </c>
      <c r="B54" s="341">
        <v>8212</v>
      </c>
      <c r="C54" s="390" t="s">
        <v>17217</v>
      </c>
      <c r="D54" s="403"/>
      <c r="E54" s="404"/>
      <c r="F54" s="404"/>
      <c r="G54" s="404"/>
      <c r="H54" s="406"/>
      <c r="Q54" s="395"/>
      <c r="R54" s="151"/>
      <c r="S54" s="151"/>
      <c r="U54" s="387"/>
      <c r="V54" s="343" t="s">
        <v>15625</v>
      </c>
      <c r="W54" s="325"/>
      <c r="X54" s="325"/>
      <c r="Y54" s="325"/>
      <c r="Z54" s="325"/>
      <c r="AA54" s="325"/>
      <c r="AB54" s="325"/>
      <c r="AC54" s="325"/>
      <c r="AD54" s="325"/>
      <c r="AE54" s="325"/>
      <c r="AF54" s="325"/>
      <c r="AG54" s="325"/>
      <c r="AH54" s="325"/>
      <c r="AI54" s="391" t="s">
        <v>15626</v>
      </c>
      <c r="AJ54" s="838">
        <f>AJ52</f>
        <v>1</v>
      </c>
      <c r="AK54" s="843"/>
      <c r="AL54" s="324" t="s">
        <v>15630</v>
      </c>
      <c r="AM54" s="325"/>
      <c r="AN54" s="325"/>
      <c r="AO54" s="325"/>
      <c r="AP54" s="325"/>
      <c r="AQ54" s="190" t="s">
        <v>398</v>
      </c>
      <c r="AR54" s="844">
        <f>AR50</f>
        <v>0.85</v>
      </c>
      <c r="AS54" s="844"/>
      <c r="AT54" s="501"/>
      <c r="AU54" s="502"/>
      <c r="AV54" s="844">
        <f>AV46</f>
        <v>0.8</v>
      </c>
      <c r="AW54" s="844"/>
      <c r="AX54" s="844"/>
      <c r="AY54" s="845"/>
      <c r="AZ54" s="489">
        <f>ROUND(ROUND(ROUND(ROUND(Q48*AJ54,0)*AR54,0)*$AT$16,0)*AV54,0)</f>
        <v>106</v>
      </c>
      <c r="BA54" s="393"/>
    </row>
    <row r="55" spans="1:53" ht="16.5" customHeight="1" x14ac:dyDescent="0.15">
      <c r="A55" s="340">
        <v>12</v>
      </c>
      <c r="B55" s="341">
        <v>8213</v>
      </c>
      <c r="C55" s="390" t="s">
        <v>17218</v>
      </c>
      <c r="D55" s="403"/>
      <c r="E55" s="404"/>
      <c r="F55" s="404"/>
      <c r="G55" s="404"/>
      <c r="H55" s="406"/>
      <c r="I55" s="908" t="s">
        <v>16345</v>
      </c>
      <c r="J55" s="909"/>
      <c r="K55" s="909"/>
      <c r="L55" s="909"/>
      <c r="M55" s="909"/>
      <c r="N55" s="909"/>
      <c r="O55" s="909"/>
      <c r="P55" s="909"/>
      <c r="Q55" s="909"/>
      <c r="R55" s="909"/>
      <c r="S55" s="909"/>
      <c r="T55" s="909"/>
      <c r="U55" s="910"/>
      <c r="V55" s="343"/>
      <c r="W55" s="325"/>
      <c r="X55" s="325"/>
      <c r="Y55" s="325"/>
      <c r="Z55" s="325"/>
      <c r="AA55" s="325"/>
      <c r="AB55" s="325"/>
      <c r="AC55" s="325"/>
      <c r="AD55" s="325"/>
      <c r="AE55" s="325"/>
      <c r="AF55" s="325"/>
      <c r="AG55" s="325"/>
      <c r="AH55" s="325"/>
      <c r="AI55" s="391"/>
      <c r="AJ55" s="401"/>
      <c r="AK55" s="402"/>
      <c r="AL55" s="396"/>
      <c r="AM55" s="396"/>
      <c r="AN55" s="396"/>
      <c r="AO55" s="396"/>
      <c r="AP55" s="396"/>
      <c r="AQ55" s="396"/>
      <c r="AR55" s="396"/>
      <c r="AS55" s="396"/>
      <c r="AT55" s="490"/>
      <c r="AU55" s="387"/>
      <c r="AV55" s="400"/>
      <c r="AW55" s="400"/>
      <c r="AX55" s="396"/>
      <c r="AY55" s="397"/>
      <c r="AZ55" s="489">
        <f>ROUND(Q56*$AT$16,0)</f>
        <v>159</v>
      </c>
      <c r="BA55" s="393"/>
    </row>
    <row r="56" spans="1:53" ht="16.5" customHeight="1" x14ac:dyDescent="0.15">
      <c r="A56" s="340">
        <v>12</v>
      </c>
      <c r="B56" s="341">
        <v>8214</v>
      </c>
      <c r="C56" s="390" t="s">
        <v>17219</v>
      </c>
      <c r="D56" s="403"/>
      <c r="E56" s="404"/>
      <c r="F56" s="404"/>
      <c r="G56" s="404"/>
      <c r="H56" s="406"/>
      <c r="Q56" s="836">
        <f>ROUND(Q248*$F$13,0)</f>
        <v>106</v>
      </c>
      <c r="R56" s="911"/>
      <c r="S56" s="911"/>
      <c r="T56" s="152" t="s">
        <v>15624</v>
      </c>
      <c r="U56" s="387"/>
      <c r="V56" s="343" t="s">
        <v>15625</v>
      </c>
      <c r="W56" s="325"/>
      <c r="X56" s="325"/>
      <c r="Y56" s="325"/>
      <c r="Z56" s="325"/>
      <c r="AA56" s="325"/>
      <c r="AB56" s="325"/>
      <c r="AC56" s="325"/>
      <c r="AD56" s="325"/>
      <c r="AE56" s="325"/>
      <c r="AF56" s="325"/>
      <c r="AG56" s="325"/>
      <c r="AH56" s="325"/>
      <c r="AI56" s="391" t="s">
        <v>15626</v>
      </c>
      <c r="AJ56" s="838">
        <f>AJ54</f>
        <v>1</v>
      </c>
      <c r="AK56" s="839"/>
      <c r="AL56" s="325"/>
      <c r="AM56" s="325"/>
      <c r="AN56" s="325"/>
      <c r="AO56" s="325"/>
      <c r="AP56" s="325"/>
      <c r="AQ56" s="325"/>
      <c r="AR56" s="325"/>
      <c r="AS56" s="325"/>
      <c r="AT56" s="490"/>
      <c r="AU56" s="387"/>
      <c r="AY56" s="387"/>
      <c r="AZ56" s="489">
        <f>ROUND(ROUND(Q56*AJ56,0)*$AT$16,0)</f>
        <v>159</v>
      </c>
      <c r="BA56" s="393"/>
    </row>
    <row r="57" spans="1:53" ht="16.5" customHeight="1" x14ac:dyDescent="0.15">
      <c r="A57" s="340">
        <v>12</v>
      </c>
      <c r="B57" s="341">
        <v>8215</v>
      </c>
      <c r="C57" s="390" t="s">
        <v>17220</v>
      </c>
      <c r="D57" s="403"/>
      <c r="E57" s="404"/>
      <c r="F57" s="404"/>
      <c r="G57" s="404"/>
      <c r="H57" s="406"/>
      <c r="Q57" s="395"/>
      <c r="R57" s="151"/>
      <c r="S57" s="151"/>
      <c r="U57" s="387"/>
      <c r="V57" s="343"/>
      <c r="W57" s="343"/>
      <c r="X57" s="343"/>
      <c r="Y57" s="343"/>
      <c r="Z57" s="343"/>
      <c r="AA57" s="343"/>
      <c r="AB57" s="343"/>
      <c r="AC57" s="343"/>
      <c r="AD57" s="343"/>
      <c r="AE57" s="343"/>
      <c r="AF57" s="343"/>
      <c r="AG57" s="343"/>
      <c r="AH57" s="343"/>
      <c r="AI57" s="343"/>
      <c r="AJ57" s="343"/>
      <c r="AK57" s="343"/>
      <c r="AL57" s="114" t="s">
        <v>15628</v>
      </c>
      <c r="AM57" s="396"/>
      <c r="AN57" s="396"/>
      <c r="AO57" s="396"/>
      <c r="AP57" s="396"/>
      <c r="AQ57" s="396"/>
      <c r="AR57" s="396"/>
      <c r="AS57" s="396"/>
      <c r="AT57" s="490"/>
      <c r="AU57" s="387"/>
      <c r="AY57" s="387"/>
      <c r="AZ57" s="489">
        <f>ROUND(ROUND(Q56*AR58,0)*$AT$16,0)</f>
        <v>135</v>
      </c>
      <c r="BA57" s="393"/>
    </row>
    <row r="58" spans="1:53" ht="16.5" customHeight="1" x14ac:dyDescent="0.15">
      <c r="A58" s="340">
        <v>12</v>
      </c>
      <c r="B58" s="341">
        <v>8216</v>
      </c>
      <c r="C58" s="390" t="s">
        <v>17221</v>
      </c>
      <c r="D58" s="403"/>
      <c r="E58" s="404"/>
      <c r="F58" s="404"/>
      <c r="G58" s="404"/>
      <c r="H58" s="406"/>
      <c r="Q58" s="395"/>
      <c r="R58" s="151"/>
      <c r="S58" s="151"/>
      <c r="U58" s="387"/>
      <c r="V58" s="343" t="s">
        <v>15625</v>
      </c>
      <c r="W58" s="325"/>
      <c r="X58" s="325"/>
      <c r="Y58" s="325"/>
      <c r="Z58" s="325"/>
      <c r="AA58" s="325"/>
      <c r="AB58" s="325"/>
      <c r="AC58" s="325"/>
      <c r="AD58" s="325"/>
      <c r="AE58" s="325"/>
      <c r="AF58" s="325"/>
      <c r="AG58" s="325"/>
      <c r="AH58" s="325"/>
      <c r="AI58" s="391" t="s">
        <v>15626</v>
      </c>
      <c r="AJ58" s="838">
        <f>AJ56</f>
        <v>1</v>
      </c>
      <c r="AK58" s="843"/>
      <c r="AL58" s="324" t="s">
        <v>15630</v>
      </c>
      <c r="AM58" s="325"/>
      <c r="AN58" s="325"/>
      <c r="AO58" s="325"/>
      <c r="AP58" s="325"/>
      <c r="AQ58" s="190" t="s">
        <v>398</v>
      </c>
      <c r="AR58" s="844">
        <f>AR54</f>
        <v>0.85</v>
      </c>
      <c r="AS58" s="844"/>
      <c r="AT58" s="501"/>
      <c r="AU58" s="502"/>
      <c r="AY58" s="387"/>
      <c r="AZ58" s="489">
        <f>ROUND(ROUND(ROUND(Q56*AJ58,0)*AR58,0)*$AT$16,0)</f>
        <v>135</v>
      </c>
      <c r="BA58" s="393"/>
    </row>
    <row r="59" spans="1:53" ht="16.5" customHeight="1" x14ac:dyDescent="0.15">
      <c r="A59" s="340">
        <v>12</v>
      </c>
      <c r="B59" s="341">
        <v>8217</v>
      </c>
      <c r="C59" s="390" t="s">
        <v>17222</v>
      </c>
      <c r="D59" s="403"/>
      <c r="E59" s="404"/>
      <c r="F59" s="404"/>
      <c r="G59" s="404"/>
      <c r="H59" s="406"/>
      <c r="I59" s="10"/>
      <c r="Q59" s="395"/>
      <c r="R59" s="151"/>
      <c r="S59" s="151"/>
      <c r="U59" s="387"/>
      <c r="V59" s="343"/>
      <c r="W59" s="325"/>
      <c r="X59" s="325"/>
      <c r="Y59" s="325"/>
      <c r="Z59" s="325"/>
      <c r="AA59" s="325"/>
      <c r="AB59" s="325"/>
      <c r="AC59" s="325"/>
      <c r="AD59" s="325"/>
      <c r="AE59" s="325"/>
      <c r="AF59" s="325"/>
      <c r="AG59" s="325"/>
      <c r="AH59" s="325"/>
      <c r="AI59" s="391"/>
      <c r="AJ59" s="401"/>
      <c r="AK59" s="402"/>
      <c r="AL59" s="396"/>
      <c r="AM59" s="396"/>
      <c r="AN59" s="396"/>
      <c r="AO59" s="396"/>
      <c r="AP59" s="396"/>
      <c r="AQ59" s="396"/>
      <c r="AR59" s="396"/>
      <c r="AS59" s="396"/>
      <c r="AT59" s="490"/>
      <c r="AU59" s="387"/>
      <c r="AV59" s="858" t="s">
        <v>16296</v>
      </c>
      <c r="AW59" s="858"/>
      <c r="AX59" s="858"/>
      <c r="AY59" s="860"/>
      <c r="AZ59" s="489">
        <f>ROUND(ROUND(Q56*$AT$16,0)*AV62,0)</f>
        <v>127</v>
      </c>
      <c r="BA59" s="393"/>
    </row>
    <row r="60" spans="1:53" ht="16.5" customHeight="1" x14ac:dyDescent="0.15">
      <c r="A60" s="340">
        <v>12</v>
      </c>
      <c r="B60" s="341">
        <v>8218</v>
      </c>
      <c r="C60" s="390" t="s">
        <v>17223</v>
      </c>
      <c r="D60" s="403"/>
      <c r="E60" s="404"/>
      <c r="F60" s="404"/>
      <c r="G60" s="404"/>
      <c r="H60" s="406"/>
      <c r="Q60" s="899"/>
      <c r="R60" s="899"/>
      <c r="S60" s="899"/>
      <c r="U60" s="387"/>
      <c r="V60" s="343" t="s">
        <v>15625</v>
      </c>
      <c r="W60" s="325"/>
      <c r="X60" s="325"/>
      <c r="Y60" s="325"/>
      <c r="Z60" s="325"/>
      <c r="AA60" s="325"/>
      <c r="AB60" s="325"/>
      <c r="AC60" s="325"/>
      <c r="AD60" s="325"/>
      <c r="AE60" s="325"/>
      <c r="AF60" s="325"/>
      <c r="AG60" s="325"/>
      <c r="AH60" s="325"/>
      <c r="AI60" s="391" t="s">
        <v>15626</v>
      </c>
      <c r="AJ60" s="838">
        <f>AJ58</f>
        <v>1</v>
      </c>
      <c r="AK60" s="839"/>
      <c r="AL60" s="325"/>
      <c r="AM60" s="325"/>
      <c r="AN60" s="325"/>
      <c r="AO60" s="325"/>
      <c r="AP60" s="325"/>
      <c r="AQ60" s="325"/>
      <c r="AR60" s="325"/>
      <c r="AS60" s="325"/>
      <c r="AT60" s="490"/>
      <c r="AU60" s="387"/>
      <c r="AV60" s="850"/>
      <c r="AW60" s="850"/>
      <c r="AX60" s="850"/>
      <c r="AY60" s="852"/>
      <c r="AZ60" s="489">
        <f>ROUND(ROUND(ROUND(Q56*AJ60,0)*$AT$16,0)*AV62,0)</f>
        <v>127</v>
      </c>
      <c r="BA60" s="393"/>
    </row>
    <row r="61" spans="1:53" ht="16.5" customHeight="1" x14ac:dyDescent="0.15">
      <c r="A61" s="340">
        <v>12</v>
      </c>
      <c r="B61" s="341">
        <v>8219</v>
      </c>
      <c r="C61" s="390" t="s">
        <v>17224</v>
      </c>
      <c r="D61" s="403"/>
      <c r="E61" s="404"/>
      <c r="F61" s="404"/>
      <c r="G61" s="404"/>
      <c r="H61" s="406"/>
      <c r="Q61" s="395"/>
      <c r="R61" s="151"/>
      <c r="S61" s="151"/>
      <c r="U61" s="387"/>
      <c r="V61" s="343"/>
      <c r="W61" s="343"/>
      <c r="X61" s="343"/>
      <c r="Y61" s="343"/>
      <c r="Z61" s="343"/>
      <c r="AA61" s="343"/>
      <c r="AB61" s="343"/>
      <c r="AC61" s="343"/>
      <c r="AD61" s="343"/>
      <c r="AE61" s="343"/>
      <c r="AF61" s="343"/>
      <c r="AG61" s="343"/>
      <c r="AH61" s="343"/>
      <c r="AI61" s="343"/>
      <c r="AJ61" s="343"/>
      <c r="AK61" s="343"/>
      <c r="AL61" s="114" t="s">
        <v>15628</v>
      </c>
      <c r="AM61" s="396"/>
      <c r="AN61" s="396"/>
      <c r="AO61" s="396"/>
      <c r="AP61" s="396"/>
      <c r="AQ61" s="396"/>
      <c r="AR61" s="396"/>
      <c r="AS61" s="396"/>
      <c r="AT61" s="490"/>
      <c r="AU61" s="387"/>
      <c r="AV61" s="902" t="s">
        <v>15636</v>
      </c>
      <c r="AW61" s="902"/>
      <c r="AX61" s="902"/>
      <c r="AY61" s="903"/>
      <c r="AZ61" s="489">
        <f>ROUND(ROUND(ROUND(Q56*AR62,0)*$AT$16,0)*AV62,0)</f>
        <v>108</v>
      </c>
      <c r="BA61" s="393"/>
    </row>
    <row r="62" spans="1:53" ht="16.5" customHeight="1" x14ac:dyDescent="0.15">
      <c r="A62" s="340">
        <v>12</v>
      </c>
      <c r="B62" s="341">
        <v>8220</v>
      </c>
      <c r="C62" s="390" t="s">
        <v>17225</v>
      </c>
      <c r="D62" s="403"/>
      <c r="E62" s="404"/>
      <c r="F62" s="404"/>
      <c r="G62" s="404"/>
      <c r="H62" s="406"/>
      <c r="Q62" s="395"/>
      <c r="R62" s="151"/>
      <c r="S62" s="151"/>
      <c r="U62" s="387"/>
      <c r="V62" s="343" t="s">
        <v>15625</v>
      </c>
      <c r="W62" s="325"/>
      <c r="X62" s="325"/>
      <c r="Y62" s="325"/>
      <c r="Z62" s="325"/>
      <c r="AA62" s="325"/>
      <c r="AB62" s="325"/>
      <c r="AC62" s="325"/>
      <c r="AD62" s="325"/>
      <c r="AE62" s="325"/>
      <c r="AF62" s="325"/>
      <c r="AG62" s="325"/>
      <c r="AH62" s="325"/>
      <c r="AI62" s="391" t="s">
        <v>15626</v>
      </c>
      <c r="AJ62" s="838">
        <f>AJ60</f>
        <v>1</v>
      </c>
      <c r="AK62" s="843"/>
      <c r="AL62" s="324" t="s">
        <v>15630</v>
      </c>
      <c r="AM62" s="325"/>
      <c r="AN62" s="325"/>
      <c r="AO62" s="325"/>
      <c r="AP62" s="325"/>
      <c r="AQ62" s="190" t="s">
        <v>398</v>
      </c>
      <c r="AR62" s="844">
        <f>AR58</f>
        <v>0.85</v>
      </c>
      <c r="AS62" s="844"/>
      <c r="AT62" s="501"/>
      <c r="AU62" s="502"/>
      <c r="AV62" s="844">
        <f>AV54</f>
        <v>0.8</v>
      </c>
      <c r="AW62" s="844"/>
      <c r="AX62" s="844"/>
      <c r="AY62" s="845"/>
      <c r="AZ62" s="489">
        <f>ROUND(ROUND(ROUND(ROUND(Q56*AJ62,0)*AR62,0)*$AT$16,0)*AV62,0)</f>
        <v>108</v>
      </c>
      <c r="BA62" s="393"/>
    </row>
    <row r="63" spans="1:53" ht="17.100000000000001" customHeight="1" x14ac:dyDescent="0.15">
      <c r="A63" s="340">
        <v>12</v>
      </c>
      <c r="B63" s="341">
        <v>8221</v>
      </c>
      <c r="C63" s="390" t="s">
        <v>17226</v>
      </c>
      <c r="D63" s="403"/>
      <c r="E63" s="404"/>
      <c r="F63" s="404"/>
      <c r="G63" s="404"/>
      <c r="H63" s="406"/>
      <c r="I63" s="908" t="s">
        <v>16354</v>
      </c>
      <c r="J63" s="909"/>
      <c r="K63" s="909"/>
      <c r="L63" s="909"/>
      <c r="M63" s="909"/>
      <c r="N63" s="909"/>
      <c r="O63" s="909"/>
      <c r="P63" s="909"/>
      <c r="Q63" s="909"/>
      <c r="R63" s="909"/>
      <c r="S63" s="909"/>
      <c r="T63" s="909"/>
      <c r="U63" s="910"/>
      <c r="V63" s="343"/>
      <c r="W63" s="343"/>
      <c r="X63" s="343"/>
      <c r="Y63" s="343"/>
      <c r="Z63" s="343"/>
      <c r="AA63" s="343"/>
      <c r="AB63" s="343"/>
      <c r="AC63" s="343"/>
      <c r="AD63" s="343"/>
      <c r="AE63" s="343"/>
      <c r="AF63" s="343"/>
      <c r="AG63" s="343"/>
      <c r="AH63" s="343"/>
      <c r="AI63" s="343"/>
      <c r="AJ63" s="401"/>
      <c r="AK63" s="402"/>
      <c r="AL63" s="396"/>
      <c r="AM63" s="396"/>
      <c r="AN63" s="396"/>
      <c r="AO63" s="396"/>
      <c r="AP63" s="396"/>
      <c r="AQ63" s="396"/>
      <c r="AR63" s="396"/>
      <c r="AS63" s="396"/>
      <c r="AT63" s="490"/>
      <c r="AU63" s="387"/>
      <c r="AV63" s="400"/>
      <c r="AW63" s="400"/>
      <c r="AX63" s="396"/>
      <c r="AY63" s="397"/>
      <c r="AZ63" s="489">
        <f>ROUND(Q64*$AT$16,0)</f>
        <v>147</v>
      </c>
      <c r="BA63" s="393"/>
    </row>
    <row r="64" spans="1:53" ht="16.5" customHeight="1" x14ac:dyDescent="0.15">
      <c r="A64" s="340">
        <v>12</v>
      </c>
      <c r="B64" s="341">
        <v>8222</v>
      </c>
      <c r="C64" s="390" t="s">
        <v>17227</v>
      </c>
      <c r="D64" s="403"/>
      <c r="E64" s="404"/>
      <c r="F64" s="404"/>
      <c r="G64" s="404"/>
      <c r="H64" s="406"/>
      <c r="Q64" s="836">
        <f>ROUND(Q256*$F$13,0)</f>
        <v>98</v>
      </c>
      <c r="R64" s="911"/>
      <c r="S64" s="911"/>
      <c r="T64" s="152" t="s">
        <v>15624</v>
      </c>
      <c r="U64" s="387"/>
      <c r="V64" s="343" t="s">
        <v>15625</v>
      </c>
      <c r="W64" s="325"/>
      <c r="X64" s="325"/>
      <c r="Y64" s="325"/>
      <c r="Z64" s="325"/>
      <c r="AA64" s="325"/>
      <c r="AB64" s="325"/>
      <c r="AC64" s="325"/>
      <c r="AD64" s="325"/>
      <c r="AE64" s="325"/>
      <c r="AF64" s="325"/>
      <c r="AG64" s="325"/>
      <c r="AH64" s="325"/>
      <c r="AI64" s="391" t="s">
        <v>15626</v>
      </c>
      <c r="AJ64" s="838">
        <f>AJ62</f>
        <v>1</v>
      </c>
      <c r="AK64" s="839"/>
      <c r="AL64" s="325"/>
      <c r="AM64" s="325"/>
      <c r="AN64" s="325"/>
      <c r="AO64" s="325"/>
      <c r="AP64" s="325"/>
      <c r="AQ64" s="325"/>
      <c r="AR64" s="325"/>
      <c r="AS64" s="391"/>
      <c r="AT64" s="503"/>
      <c r="AU64" s="504"/>
      <c r="AY64" s="387"/>
      <c r="AZ64" s="489">
        <f>ROUND(ROUND(Q64*AJ64,0)*$AT$16,0)</f>
        <v>147</v>
      </c>
      <c r="BA64" s="393"/>
    </row>
    <row r="65" spans="1:53" ht="16.5" customHeight="1" x14ac:dyDescent="0.15">
      <c r="A65" s="340">
        <v>12</v>
      </c>
      <c r="B65" s="341">
        <v>8223</v>
      </c>
      <c r="C65" s="390" t="s">
        <v>17228</v>
      </c>
      <c r="D65" s="403"/>
      <c r="E65" s="404"/>
      <c r="F65" s="404"/>
      <c r="G65" s="404"/>
      <c r="H65" s="406"/>
      <c r="Q65" s="395"/>
      <c r="R65" s="151"/>
      <c r="S65" s="151"/>
      <c r="U65" s="387"/>
      <c r="V65" s="343"/>
      <c r="W65" s="343"/>
      <c r="X65" s="343"/>
      <c r="Y65" s="343"/>
      <c r="Z65" s="343"/>
      <c r="AA65" s="343"/>
      <c r="AB65" s="343"/>
      <c r="AC65" s="343"/>
      <c r="AD65" s="343"/>
      <c r="AE65" s="343"/>
      <c r="AF65" s="343"/>
      <c r="AG65" s="343"/>
      <c r="AH65" s="343"/>
      <c r="AI65" s="343"/>
      <c r="AJ65" s="343"/>
      <c r="AK65" s="343"/>
      <c r="AL65" s="114" t="s">
        <v>15628</v>
      </c>
      <c r="AM65" s="396"/>
      <c r="AN65" s="396"/>
      <c r="AO65" s="396"/>
      <c r="AP65" s="396"/>
      <c r="AQ65" s="396"/>
      <c r="AR65" s="396"/>
      <c r="AS65" s="396"/>
      <c r="AT65" s="490"/>
      <c r="AU65" s="387"/>
      <c r="AY65" s="387"/>
      <c r="AZ65" s="489">
        <f>ROUND(ROUND(Q64*AR66,0)*$AT$16,0)</f>
        <v>125</v>
      </c>
      <c r="BA65" s="393"/>
    </row>
    <row r="66" spans="1:53" ht="16.5" customHeight="1" x14ac:dyDescent="0.15">
      <c r="A66" s="340">
        <v>12</v>
      </c>
      <c r="B66" s="341">
        <v>8224</v>
      </c>
      <c r="C66" s="390" t="s">
        <v>17229</v>
      </c>
      <c r="D66" s="403"/>
      <c r="E66" s="404"/>
      <c r="F66" s="404"/>
      <c r="G66" s="404"/>
      <c r="H66" s="406"/>
      <c r="Q66" s="395"/>
      <c r="R66" s="151"/>
      <c r="S66" s="151"/>
      <c r="U66" s="387"/>
      <c r="V66" s="343" t="s">
        <v>15625</v>
      </c>
      <c r="W66" s="325"/>
      <c r="X66" s="325"/>
      <c r="Y66" s="325"/>
      <c r="Z66" s="325"/>
      <c r="AA66" s="325"/>
      <c r="AB66" s="325"/>
      <c r="AC66" s="325"/>
      <c r="AD66" s="325"/>
      <c r="AE66" s="325"/>
      <c r="AF66" s="325"/>
      <c r="AG66" s="325"/>
      <c r="AH66" s="325"/>
      <c r="AI66" s="391" t="s">
        <v>15626</v>
      </c>
      <c r="AJ66" s="838">
        <f>AJ64</f>
        <v>1</v>
      </c>
      <c r="AK66" s="843"/>
      <c r="AL66" s="324" t="s">
        <v>15630</v>
      </c>
      <c r="AM66" s="325"/>
      <c r="AN66" s="325"/>
      <c r="AO66" s="325"/>
      <c r="AP66" s="325"/>
      <c r="AQ66" s="190" t="s">
        <v>398</v>
      </c>
      <c r="AR66" s="844">
        <f>AR62</f>
        <v>0.85</v>
      </c>
      <c r="AS66" s="844"/>
      <c r="AT66" s="501"/>
      <c r="AU66" s="502"/>
      <c r="AY66" s="387"/>
      <c r="AZ66" s="489">
        <f>ROUND(ROUND(ROUND(Q64*AJ66,0)*AR66,0)*$AT$16,0)</f>
        <v>125</v>
      </c>
      <c r="BA66" s="393"/>
    </row>
    <row r="67" spans="1:53" ht="17.100000000000001" customHeight="1" x14ac:dyDescent="0.15">
      <c r="A67" s="340">
        <v>12</v>
      </c>
      <c r="B67" s="341">
        <v>8225</v>
      </c>
      <c r="C67" s="390" t="s">
        <v>17230</v>
      </c>
      <c r="D67" s="403"/>
      <c r="E67" s="404"/>
      <c r="F67" s="404"/>
      <c r="G67" s="404"/>
      <c r="H67" s="406"/>
      <c r="I67" s="10"/>
      <c r="L67" s="151"/>
      <c r="M67" s="151"/>
      <c r="N67" s="151"/>
      <c r="U67" s="387"/>
      <c r="V67" s="343"/>
      <c r="W67" s="343"/>
      <c r="X67" s="343"/>
      <c r="Y67" s="343"/>
      <c r="Z67" s="343"/>
      <c r="AA67" s="343"/>
      <c r="AB67" s="343"/>
      <c r="AC67" s="343"/>
      <c r="AD67" s="343"/>
      <c r="AE67" s="343"/>
      <c r="AF67" s="343"/>
      <c r="AG67" s="343"/>
      <c r="AH67" s="343"/>
      <c r="AI67" s="343"/>
      <c r="AJ67" s="401"/>
      <c r="AK67" s="402"/>
      <c r="AL67" s="396"/>
      <c r="AM67" s="396"/>
      <c r="AN67" s="396"/>
      <c r="AO67" s="396"/>
      <c r="AP67" s="396"/>
      <c r="AQ67" s="396"/>
      <c r="AR67" s="396"/>
      <c r="AS67" s="396"/>
      <c r="AT67" s="490"/>
      <c r="AU67" s="387"/>
      <c r="AV67" s="858" t="s">
        <v>16296</v>
      </c>
      <c r="AW67" s="858"/>
      <c r="AX67" s="858"/>
      <c r="AY67" s="860"/>
      <c r="AZ67" s="489">
        <f>ROUND(ROUND(Q64*$AT$16,0)*AV70,0)</f>
        <v>118</v>
      </c>
      <c r="BA67" s="393"/>
    </row>
    <row r="68" spans="1:53" ht="16.5" customHeight="1" x14ac:dyDescent="0.15">
      <c r="A68" s="340">
        <v>12</v>
      </c>
      <c r="B68" s="341">
        <v>8226</v>
      </c>
      <c r="C68" s="390" t="s">
        <v>17231</v>
      </c>
      <c r="D68" s="403"/>
      <c r="E68" s="404"/>
      <c r="F68" s="404"/>
      <c r="G68" s="404"/>
      <c r="H68" s="406"/>
      <c r="Q68" s="899"/>
      <c r="R68" s="899"/>
      <c r="S68" s="899"/>
      <c r="U68" s="387"/>
      <c r="V68" s="343" t="s">
        <v>15625</v>
      </c>
      <c r="W68" s="325"/>
      <c r="X68" s="325"/>
      <c r="Y68" s="325"/>
      <c r="Z68" s="325"/>
      <c r="AA68" s="325"/>
      <c r="AB68" s="325"/>
      <c r="AC68" s="325"/>
      <c r="AD68" s="325"/>
      <c r="AE68" s="325"/>
      <c r="AF68" s="325"/>
      <c r="AG68" s="325"/>
      <c r="AH68" s="325"/>
      <c r="AI68" s="391" t="s">
        <v>15626</v>
      </c>
      <c r="AJ68" s="838">
        <f>AJ66</f>
        <v>1</v>
      </c>
      <c r="AK68" s="839"/>
      <c r="AL68" s="325"/>
      <c r="AM68" s="325"/>
      <c r="AN68" s="325"/>
      <c r="AO68" s="325"/>
      <c r="AP68" s="325"/>
      <c r="AQ68" s="325"/>
      <c r="AR68" s="325"/>
      <c r="AS68" s="391"/>
      <c r="AT68" s="503"/>
      <c r="AU68" s="504"/>
      <c r="AV68" s="850"/>
      <c r="AW68" s="850"/>
      <c r="AX68" s="850"/>
      <c r="AY68" s="852"/>
      <c r="AZ68" s="489">
        <f>ROUND(ROUND(ROUND(Q64*AJ68,0)*$AT$16,0)*AV70,0)</f>
        <v>118</v>
      </c>
      <c r="BA68" s="393"/>
    </row>
    <row r="69" spans="1:53" ht="16.5" customHeight="1" x14ac:dyDescent="0.15">
      <c r="A69" s="340">
        <v>12</v>
      </c>
      <c r="B69" s="341">
        <v>8227</v>
      </c>
      <c r="C69" s="390" t="s">
        <v>17232</v>
      </c>
      <c r="D69" s="403"/>
      <c r="E69" s="404"/>
      <c r="F69" s="404"/>
      <c r="G69" s="404"/>
      <c r="H69" s="406"/>
      <c r="Q69" s="395"/>
      <c r="R69" s="151"/>
      <c r="S69" s="151"/>
      <c r="U69" s="387"/>
      <c r="V69" s="343"/>
      <c r="W69" s="343"/>
      <c r="X69" s="343"/>
      <c r="Y69" s="343"/>
      <c r="Z69" s="343"/>
      <c r="AA69" s="343"/>
      <c r="AB69" s="343"/>
      <c r="AC69" s="343"/>
      <c r="AD69" s="343"/>
      <c r="AE69" s="343"/>
      <c r="AF69" s="343"/>
      <c r="AG69" s="343"/>
      <c r="AH69" s="343"/>
      <c r="AI69" s="343"/>
      <c r="AJ69" s="343"/>
      <c r="AK69" s="343"/>
      <c r="AL69" s="114" t="s">
        <v>15628</v>
      </c>
      <c r="AM69" s="396"/>
      <c r="AN69" s="396"/>
      <c r="AO69" s="396"/>
      <c r="AP69" s="396"/>
      <c r="AQ69" s="396"/>
      <c r="AR69" s="396"/>
      <c r="AS69" s="396"/>
      <c r="AT69" s="490"/>
      <c r="AU69" s="387"/>
      <c r="AV69" s="902" t="s">
        <v>15636</v>
      </c>
      <c r="AW69" s="902"/>
      <c r="AX69" s="902"/>
      <c r="AY69" s="903"/>
      <c r="AZ69" s="489">
        <f>ROUND(ROUND(ROUND(Q64*AR70,0)*$AT$16,0)*AV70,0)</f>
        <v>100</v>
      </c>
      <c r="BA69" s="393"/>
    </row>
    <row r="70" spans="1:53" ht="16.5" customHeight="1" x14ac:dyDescent="0.15">
      <c r="A70" s="340">
        <v>12</v>
      </c>
      <c r="B70" s="341">
        <v>8228</v>
      </c>
      <c r="C70" s="390" t="s">
        <v>17233</v>
      </c>
      <c r="D70" s="403"/>
      <c r="E70" s="404"/>
      <c r="F70" s="404"/>
      <c r="G70" s="404"/>
      <c r="H70" s="406"/>
      <c r="Q70" s="395"/>
      <c r="R70" s="151"/>
      <c r="S70" s="151"/>
      <c r="U70" s="387"/>
      <c r="V70" s="343" t="s">
        <v>15625</v>
      </c>
      <c r="W70" s="325"/>
      <c r="X70" s="325"/>
      <c r="Y70" s="325"/>
      <c r="Z70" s="325"/>
      <c r="AA70" s="325"/>
      <c r="AB70" s="325"/>
      <c r="AC70" s="325"/>
      <c r="AD70" s="325"/>
      <c r="AE70" s="325"/>
      <c r="AF70" s="325"/>
      <c r="AG70" s="325"/>
      <c r="AH70" s="325"/>
      <c r="AI70" s="391" t="s">
        <v>15626</v>
      </c>
      <c r="AJ70" s="838">
        <f>AJ68</f>
        <v>1</v>
      </c>
      <c r="AK70" s="843"/>
      <c r="AL70" s="324" t="s">
        <v>15630</v>
      </c>
      <c r="AM70" s="325"/>
      <c r="AN70" s="325"/>
      <c r="AO70" s="325"/>
      <c r="AP70" s="325"/>
      <c r="AQ70" s="190" t="s">
        <v>398</v>
      </c>
      <c r="AR70" s="844">
        <f>AR66</f>
        <v>0.85</v>
      </c>
      <c r="AS70" s="844"/>
      <c r="AT70" s="501"/>
      <c r="AU70" s="502"/>
      <c r="AV70" s="844">
        <f>AV62</f>
        <v>0.8</v>
      </c>
      <c r="AW70" s="844"/>
      <c r="AX70" s="844"/>
      <c r="AY70" s="845"/>
      <c r="AZ70" s="489">
        <f>ROUND(ROUND(ROUND(ROUND(Q64*AJ70,0)*AR70,0)*$AT$16,0)*AV70,0)</f>
        <v>100</v>
      </c>
      <c r="BA70" s="393"/>
    </row>
    <row r="71" spans="1:53" ht="17.100000000000001" customHeight="1" x14ac:dyDescent="0.15">
      <c r="A71" s="340">
        <v>12</v>
      </c>
      <c r="B71" s="341">
        <v>8229</v>
      </c>
      <c r="C71" s="390" t="s">
        <v>17234</v>
      </c>
      <c r="D71" s="403"/>
      <c r="E71" s="404"/>
      <c r="F71" s="404"/>
      <c r="G71" s="404"/>
      <c r="H71" s="406"/>
      <c r="I71" s="908" t="s">
        <v>16363</v>
      </c>
      <c r="J71" s="909"/>
      <c r="K71" s="909"/>
      <c r="L71" s="909"/>
      <c r="M71" s="909"/>
      <c r="N71" s="909"/>
      <c r="O71" s="909"/>
      <c r="P71" s="909"/>
      <c r="Q71" s="909"/>
      <c r="R71" s="909"/>
      <c r="S71" s="909"/>
      <c r="T71" s="909"/>
      <c r="U71" s="910"/>
      <c r="V71" s="343"/>
      <c r="W71" s="343"/>
      <c r="X71" s="343"/>
      <c r="Y71" s="343"/>
      <c r="Z71" s="343"/>
      <c r="AA71" s="343"/>
      <c r="AB71" s="343"/>
      <c r="AC71" s="343"/>
      <c r="AD71" s="343"/>
      <c r="AE71" s="343"/>
      <c r="AF71" s="343"/>
      <c r="AG71" s="343"/>
      <c r="AH71" s="343"/>
      <c r="AI71" s="343"/>
      <c r="AJ71" s="401"/>
      <c r="AK71" s="402"/>
      <c r="AL71" s="396"/>
      <c r="AM71" s="396"/>
      <c r="AN71" s="396"/>
      <c r="AO71" s="396"/>
      <c r="AP71" s="396"/>
      <c r="AQ71" s="396"/>
      <c r="AR71" s="396"/>
      <c r="AS71" s="396"/>
      <c r="AT71" s="490"/>
      <c r="AU71" s="387"/>
      <c r="AV71" s="400"/>
      <c r="AW71" s="400"/>
      <c r="AX71" s="396"/>
      <c r="AY71" s="397"/>
      <c r="AZ71" s="489">
        <f>ROUND(Q72*$AT$16,0)</f>
        <v>147</v>
      </c>
      <c r="BA71" s="393"/>
    </row>
    <row r="72" spans="1:53" ht="16.5" customHeight="1" x14ac:dyDescent="0.15">
      <c r="A72" s="340">
        <v>12</v>
      </c>
      <c r="B72" s="341">
        <v>8230</v>
      </c>
      <c r="C72" s="390" t="s">
        <v>17235</v>
      </c>
      <c r="D72" s="403"/>
      <c r="E72" s="404"/>
      <c r="F72" s="404"/>
      <c r="G72" s="404"/>
      <c r="H72" s="406"/>
      <c r="Q72" s="836">
        <f>ROUND(Q264*$F$13,0)</f>
        <v>98</v>
      </c>
      <c r="R72" s="911"/>
      <c r="S72" s="911"/>
      <c r="T72" s="152" t="s">
        <v>15624</v>
      </c>
      <c r="U72" s="387"/>
      <c r="V72" s="343" t="s">
        <v>15625</v>
      </c>
      <c r="W72" s="325"/>
      <c r="X72" s="325"/>
      <c r="Y72" s="325"/>
      <c r="Z72" s="325"/>
      <c r="AA72" s="325"/>
      <c r="AB72" s="325"/>
      <c r="AC72" s="325"/>
      <c r="AD72" s="325"/>
      <c r="AE72" s="325"/>
      <c r="AF72" s="325"/>
      <c r="AG72" s="325"/>
      <c r="AH72" s="325"/>
      <c r="AI72" s="391" t="s">
        <v>15626</v>
      </c>
      <c r="AJ72" s="838">
        <f>AJ70</f>
        <v>1</v>
      </c>
      <c r="AK72" s="839"/>
      <c r="AL72" s="325"/>
      <c r="AM72" s="325"/>
      <c r="AN72" s="325"/>
      <c r="AO72" s="325"/>
      <c r="AP72" s="325"/>
      <c r="AQ72" s="325"/>
      <c r="AR72" s="325"/>
      <c r="AS72" s="391"/>
      <c r="AT72" s="503"/>
      <c r="AU72" s="504"/>
      <c r="AY72" s="387"/>
      <c r="AZ72" s="489">
        <f>ROUND(ROUND(Q72*AJ72,0)*$AT$16,0)</f>
        <v>147</v>
      </c>
      <c r="BA72" s="393"/>
    </row>
    <row r="73" spans="1:53" ht="16.5" customHeight="1" x14ac:dyDescent="0.15">
      <c r="A73" s="340">
        <v>12</v>
      </c>
      <c r="B73" s="341">
        <v>8231</v>
      </c>
      <c r="C73" s="390" t="s">
        <v>17236</v>
      </c>
      <c r="D73" s="403"/>
      <c r="E73" s="404"/>
      <c r="F73" s="404"/>
      <c r="G73" s="404"/>
      <c r="H73" s="406"/>
      <c r="Q73" s="395"/>
      <c r="R73" s="151"/>
      <c r="S73" s="151"/>
      <c r="U73" s="387"/>
      <c r="V73" s="343"/>
      <c r="W73" s="343"/>
      <c r="X73" s="343"/>
      <c r="Y73" s="343"/>
      <c r="Z73" s="343"/>
      <c r="AA73" s="343"/>
      <c r="AB73" s="343"/>
      <c r="AC73" s="343"/>
      <c r="AD73" s="343"/>
      <c r="AE73" s="343"/>
      <c r="AF73" s="343"/>
      <c r="AG73" s="343"/>
      <c r="AH73" s="343"/>
      <c r="AI73" s="343"/>
      <c r="AJ73" s="343"/>
      <c r="AK73" s="343"/>
      <c r="AL73" s="114" t="s">
        <v>15628</v>
      </c>
      <c r="AM73" s="396"/>
      <c r="AN73" s="396"/>
      <c r="AO73" s="396"/>
      <c r="AP73" s="396"/>
      <c r="AQ73" s="396"/>
      <c r="AR73" s="396"/>
      <c r="AS73" s="396"/>
      <c r="AT73" s="490"/>
      <c r="AU73" s="387"/>
      <c r="AY73" s="387"/>
      <c r="AZ73" s="489">
        <f>ROUND(ROUND(Q72*AR74,0)*$AT$16,0)</f>
        <v>125</v>
      </c>
      <c r="BA73" s="393"/>
    </row>
    <row r="74" spans="1:53" ht="16.5" customHeight="1" x14ac:dyDescent="0.15">
      <c r="A74" s="340">
        <v>12</v>
      </c>
      <c r="B74" s="341">
        <v>8232</v>
      </c>
      <c r="C74" s="390" t="s">
        <v>17237</v>
      </c>
      <c r="D74" s="403"/>
      <c r="E74" s="404"/>
      <c r="F74" s="404"/>
      <c r="G74" s="404"/>
      <c r="H74" s="406"/>
      <c r="Q74" s="395"/>
      <c r="R74" s="151"/>
      <c r="S74" s="151"/>
      <c r="U74" s="387"/>
      <c r="V74" s="343" t="s">
        <v>15625</v>
      </c>
      <c r="W74" s="325"/>
      <c r="X74" s="325"/>
      <c r="Y74" s="325"/>
      <c r="Z74" s="325"/>
      <c r="AA74" s="325"/>
      <c r="AB74" s="325"/>
      <c r="AC74" s="325"/>
      <c r="AD74" s="325"/>
      <c r="AE74" s="325"/>
      <c r="AF74" s="325"/>
      <c r="AG74" s="325"/>
      <c r="AH74" s="325"/>
      <c r="AI74" s="391" t="s">
        <v>15626</v>
      </c>
      <c r="AJ74" s="838">
        <f>AJ72</f>
        <v>1</v>
      </c>
      <c r="AK74" s="843"/>
      <c r="AL74" s="324" t="s">
        <v>15630</v>
      </c>
      <c r="AM74" s="325"/>
      <c r="AN74" s="325"/>
      <c r="AO74" s="325"/>
      <c r="AP74" s="325"/>
      <c r="AQ74" s="190" t="s">
        <v>398</v>
      </c>
      <c r="AR74" s="844">
        <f>AR70</f>
        <v>0.85</v>
      </c>
      <c r="AS74" s="844"/>
      <c r="AT74" s="501"/>
      <c r="AU74" s="502"/>
      <c r="AY74" s="387"/>
      <c r="AZ74" s="489">
        <f>ROUND(ROUND(ROUND(Q72*AJ74,0)*AR74,0)*$AT$16,0)</f>
        <v>125</v>
      </c>
      <c r="BA74" s="393"/>
    </row>
    <row r="75" spans="1:53" ht="17.100000000000001" customHeight="1" x14ac:dyDescent="0.15">
      <c r="A75" s="340">
        <v>12</v>
      </c>
      <c r="B75" s="341">
        <v>8233</v>
      </c>
      <c r="C75" s="390" t="s">
        <v>17238</v>
      </c>
      <c r="D75" s="403"/>
      <c r="E75" s="404"/>
      <c r="F75" s="404"/>
      <c r="G75" s="404"/>
      <c r="H75" s="406"/>
      <c r="I75" s="10"/>
      <c r="L75" s="151"/>
      <c r="M75" s="151"/>
      <c r="N75" s="151"/>
      <c r="U75" s="387"/>
      <c r="V75" s="343"/>
      <c r="W75" s="343"/>
      <c r="X75" s="343"/>
      <c r="Y75" s="343"/>
      <c r="Z75" s="343"/>
      <c r="AA75" s="343"/>
      <c r="AB75" s="343"/>
      <c r="AC75" s="343"/>
      <c r="AD75" s="343"/>
      <c r="AE75" s="343"/>
      <c r="AF75" s="343"/>
      <c r="AG75" s="343"/>
      <c r="AH75" s="343"/>
      <c r="AI75" s="343"/>
      <c r="AJ75" s="401"/>
      <c r="AK75" s="402"/>
      <c r="AL75" s="396"/>
      <c r="AM75" s="396"/>
      <c r="AN75" s="396"/>
      <c r="AO75" s="396"/>
      <c r="AP75" s="396"/>
      <c r="AQ75" s="396"/>
      <c r="AR75" s="396"/>
      <c r="AS75" s="396"/>
      <c r="AT75" s="490"/>
      <c r="AU75" s="387"/>
      <c r="AV75" s="858" t="s">
        <v>16296</v>
      </c>
      <c r="AW75" s="858"/>
      <c r="AX75" s="858"/>
      <c r="AY75" s="860"/>
      <c r="AZ75" s="489">
        <f>ROUND(ROUND(Q72*$AT$16,0)*AV78,0)</f>
        <v>118</v>
      </c>
      <c r="BA75" s="393"/>
    </row>
    <row r="76" spans="1:53" ht="16.5" customHeight="1" x14ac:dyDescent="0.15">
      <c r="A76" s="340">
        <v>12</v>
      </c>
      <c r="B76" s="341">
        <v>8234</v>
      </c>
      <c r="C76" s="390" t="s">
        <v>17239</v>
      </c>
      <c r="D76" s="403"/>
      <c r="E76" s="404"/>
      <c r="F76" s="404"/>
      <c r="G76" s="404"/>
      <c r="H76" s="406"/>
      <c r="Q76" s="899"/>
      <c r="R76" s="899"/>
      <c r="S76" s="899"/>
      <c r="U76" s="387"/>
      <c r="V76" s="343" t="s">
        <v>15625</v>
      </c>
      <c r="W76" s="325"/>
      <c r="X76" s="325"/>
      <c r="Y76" s="325"/>
      <c r="Z76" s="325"/>
      <c r="AA76" s="325"/>
      <c r="AB76" s="325"/>
      <c r="AC76" s="325"/>
      <c r="AD76" s="325"/>
      <c r="AE76" s="325"/>
      <c r="AF76" s="325"/>
      <c r="AG76" s="325"/>
      <c r="AH76" s="325"/>
      <c r="AI76" s="391" t="s">
        <v>15626</v>
      </c>
      <c r="AJ76" s="838">
        <f>AJ74</f>
        <v>1</v>
      </c>
      <c r="AK76" s="839"/>
      <c r="AL76" s="325"/>
      <c r="AM76" s="325"/>
      <c r="AN76" s="325"/>
      <c r="AO76" s="325"/>
      <c r="AP76" s="325"/>
      <c r="AQ76" s="325"/>
      <c r="AR76" s="325"/>
      <c r="AS76" s="391"/>
      <c r="AT76" s="503"/>
      <c r="AU76" s="504"/>
      <c r="AV76" s="850"/>
      <c r="AW76" s="850"/>
      <c r="AX76" s="850"/>
      <c r="AY76" s="852"/>
      <c r="AZ76" s="489">
        <f>ROUND(ROUND(ROUND(Q72*AJ76,0)*$AT$16,0)*AV78,0)</f>
        <v>118</v>
      </c>
      <c r="BA76" s="393"/>
    </row>
    <row r="77" spans="1:53" ht="16.5" customHeight="1" x14ac:dyDescent="0.15">
      <c r="A77" s="340">
        <v>12</v>
      </c>
      <c r="B77" s="341">
        <v>8235</v>
      </c>
      <c r="C77" s="390" t="s">
        <v>17240</v>
      </c>
      <c r="D77" s="403"/>
      <c r="E77" s="404"/>
      <c r="F77" s="404"/>
      <c r="G77" s="404"/>
      <c r="H77" s="406"/>
      <c r="Q77" s="395"/>
      <c r="R77" s="151"/>
      <c r="S77" s="151"/>
      <c r="U77" s="387"/>
      <c r="V77" s="343"/>
      <c r="W77" s="343"/>
      <c r="X77" s="343"/>
      <c r="Y77" s="343"/>
      <c r="Z77" s="343"/>
      <c r="AA77" s="343"/>
      <c r="AB77" s="343"/>
      <c r="AC77" s="343"/>
      <c r="AD77" s="343"/>
      <c r="AE77" s="343"/>
      <c r="AF77" s="343"/>
      <c r="AG77" s="343"/>
      <c r="AH77" s="343"/>
      <c r="AI77" s="343"/>
      <c r="AJ77" s="343"/>
      <c r="AK77" s="343"/>
      <c r="AL77" s="114" t="s">
        <v>15628</v>
      </c>
      <c r="AM77" s="396"/>
      <c r="AN77" s="396"/>
      <c r="AO77" s="396"/>
      <c r="AP77" s="396"/>
      <c r="AQ77" s="396"/>
      <c r="AR77" s="396"/>
      <c r="AS77" s="396"/>
      <c r="AT77" s="490"/>
      <c r="AU77" s="387"/>
      <c r="AV77" s="902" t="s">
        <v>15636</v>
      </c>
      <c r="AW77" s="902"/>
      <c r="AX77" s="902"/>
      <c r="AY77" s="903"/>
      <c r="AZ77" s="489">
        <f>ROUND(ROUND(ROUND(Q72*AR78,0)*$AT$16,0)*AV78,0)</f>
        <v>100</v>
      </c>
      <c r="BA77" s="393"/>
    </row>
    <row r="78" spans="1:53" ht="16.5" customHeight="1" x14ac:dyDescent="0.15">
      <c r="A78" s="340">
        <v>12</v>
      </c>
      <c r="B78" s="341">
        <v>8236</v>
      </c>
      <c r="C78" s="390" t="s">
        <v>17241</v>
      </c>
      <c r="D78" s="403"/>
      <c r="E78" s="404"/>
      <c r="F78" s="404"/>
      <c r="G78" s="404"/>
      <c r="H78" s="406"/>
      <c r="Q78" s="395"/>
      <c r="R78" s="151"/>
      <c r="S78" s="151"/>
      <c r="U78" s="387"/>
      <c r="V78" s="343" t="s">
        <v>15625</v>
      </c>
      <c r="W78" s="325"/>
      <c r="X78" s="325"/>
      <c r="Y78" s="325"/>
      <c r="Z78" s="325"/>
      <c r="AA78" s="325"/>
      <c r="AB78" s="325"/>
      <c r="AC78" s="325"/>
      <c r="AD78" s="325"/>
      <c r="AE78" s="325"/>
      <c r="AF78" s="325"/>
      <c r="AG78" s="325"/>
      <c r="AH78" s="325"/>
      <c r="AI78" s="391" t="s">
        <v>15626</v>
      </c>
      <c r="AJ78" s="838">
        <f>AJ76</f>
        <v>1</v>
      </c>
      <c r="AK78" s="843"/>
      <c r="AL78" s="324" t="s">
        <v>15630</v>
      </c>
      <c r="AM78" s="325"/>
      <c r="AN78" s="325"/>
      <c r="AO78" s="325"/>
      <c r="AP78" s="325"/>
      <c r="AQ78" s="190" t="s">
        <v>398</v>
      </c>
      <c r="AR78" s="844">
        <f>AR74</f>
        <v>0.85</v>
      </c>
      <c r="AS78" s="844"/>
      <c r="AT78" s="501"/>
      <c r="AU78" s="502"/>
      <c r="AV78" s="844">
        <f>AV70</f>
        <v>0.8</v>
      </c>
      <c r="AW78" s="844"/>
      <c r="AX78" s="844"/>
      <c r="AY78" s="845"/>
      <c r="AZ78" s="489">
        <f>ROUND(ROUND(ROUND(ROUND(Q72*AJ78,0)*AR78,0)*$AT$16,0)*AV78,0)</f>
        <v>100</v>
      </c>
      <c r="BA78" s="393"/>
    </row>
    <row r="79" spans="1:53" ht="17.100000000000001" customHeight="1" x14ac:dyDescent="0.15">
      <c r="A79" s="340">
        <v>12</v>
      </c>
      <c r="B79" s="341">
        <v>8237</v>
      </c>
      <c r="C79" s="390" t="s">
        <v>17242</v>
      </c>
      <c r="D79" s="403"/>
      <c r="E79" s="404"/>
      <c r="F79" s="404"/>
      <c r="G79" s="404"/>
      <c r="H79" s="406"/>
      <c r="I79" s="908" t="s">
        <v>16372</v>
      </c>
      <c r="J79" s="909"/>
      <c r="K79" s="909"/>
      <c r="L79" s="909"/>
      <c r="M79" s="909"/>
      <c r="N79" s="909"/>
      <c r="O79" s="909"/>
      <c r="P79" s="909"/>
      <c r="Q79" s="909"/>
      <c r="R79" s="909"/>
      <c r="S79" s="909"/>
      <c r="T79" s="909"/>
      <c r="U79" s="910"/>
      <c r="V79" s="343"/>
      <c r="W79" s="343"/>
      <c r="X79" s="343"/>
      <c r="Y79" s="343"/>
      <c r="Z79" s="343"/>
      <c r="AA79" s="343"/>
      <c r="AB79" s="343"/>
      <c r="AC79" s="343"/>
      <c r="AD79" s="343"/>
      <c r="AE79" s="343"/>
      <c r="AF79" s="343"/>
      <c r="AG79" s="343"/>
      <c r="AH79" s="343"/>
      <c r="AI79" s="343"/>
      <c r="AJ79" s="401"/>
      <c r="AK79" s="402"/>
      <c r="AL79" s="396"/>
      <c r="AM79" s="396"/>
      <c r="AN79" s="396"/>
      <c r="AO79" s="396"/>
      <c r="AP79" s="396"/>
      <c r="AQ79" s="396"/>
      <c r="AR79" s="396"/>
      <c r="AS79" s="396"/>
      <c r="AT79" s="490"/>
      <c r="AU79" s="387"/>
      <c r="AV79" s="400"/>
      <c r="AW79" s="400"/>
      <c r="AX79" s="396"/>
      <c r="AY79" s="397"/>
      <c r="AZ79" s="489">
        <f>ROUND(Q80*$AT$16,0)</f>
        <v>138</v>
      </c>
      <c r="BA79" s="393"/>
    </row>
    <row r="80" spans="1:53" ht="16.5" customHeight="1" x14ac:dyDescent="0.15">
      <c r="A80" s="340">
        <v>12</v>
      </c>
      <c r="B80" s="341">
        <v>8238</v>
      </c>
      <c r="C80" s="390" t="s">
        <v>17243</v>
      </c>
      <c r="D80" s="403"/>
      <c r="E80" s="404"/>
      <c r="F80" s="404"/>
      <c r="G80" s="404"/>
      <c r="H80" s="406"/>
      <c r="Q80" s="836">
        <f>ROUND(Q272*$F$13,0)</f>
        <v>92</v>
      </c>
      <c r="R80" s="911"/>
      <c r="S80" s="911"/>
      <c r="T80" s="152" t="s">
        <v>15624</v>
      </c>
      <c r="U80" s="387"/>
      <c r="V80" s="343" t="s">
        <v>15625</v>
      </c>
      <c r="W80" s="325"/>
      <c r="X80" s="325"/>
      <c r="Y80" s="325"/>
      <c r="Z80" s="325"/>
      <c r="AA80" s="325"/>
      <c r="AB80" s="325"/>
      <c r="AC80" s="325"/>
      <c r="AD80" s="325"/>
      <c r="AE80" s="325"/>
      <c r="AF80" s="325"/>
      <c r="AG80" s="325"/>
      <c r="AH80" s="325"/>
      <c r="AI80" s="391" t="s">
        <v>15626</v>
      </c>
      <c r="AJ80" s="838">
        <f>AJ78</f>
        <v>1</v>
      </c>
      <c r="AK80" s="839"/>
      <c r="AL80" s="325"/>
      <c r="AM80" s="325"/>
      <c r="AN80" s="325"/>
      <c r="AO80" s="325"/>
      <c r="AP80" s="325"/>
      <c r="AQ80" s="325"/>
      <c r="AR80" s="325"/>
      <c r="AS80" s="391"/>
      <c r="AT80" s="503"/>
      <c r="AU80" s="504"/>
      <c r="AY80" s="387"/>
      <c r="AZ80" s="489">
        <f>ROUND(ROUND(Q80*AJ80,0)*$AT$16,0)</f>
        <v>138</v>
      </c>
      <c r="BA80" s="393"/>
    </row>
    <row r="81" spans="1:53" ht="16.5" customHeight="1" x14ac:dyDescent="0.15">
      <c r="A81" s="340">
        <v>12</v>
      </c>
      <c r="B81" s="341">
        <v>8239</v>
      </c>
      <c r="C81" s="390" t="s">
        <v>17244</v>
      </c>
      <c r="D81" s="403"/>
      <c r="E81" s="404"/>
      <c r="F81" s="404"/>
      <c r="G81" s="404"/>
      <c r="H81" s="406"/>
      <c r="Q81" s="395"/>
      <c r="R81" s="151"/>
      <c r="S81" s="151"/>
      <c r="U81" s="387"/>
      <c r="V81" s="343"/>
      <c r="W81" s="343"/>
      <c r="X81" s="343"/>
      <c r="Y81" s="343"/>
      <c r="Z81" s="343"/>
      <c r="AA81" s="343"/>
      <c r="AB81" s="343"/>
      <c r="AC81" s="343"/>
      <c r="AD81" s="343"/>
      <c r="AE81" s="343"/>
      <c r="AF81" s="343"/>
      <c r="AG81" s="343"/>
      <c r="AH81" s="343"/>
      <c r="AI81" s="343"/>
      <c r="AJ81" s="343"/>
      <c r="AK81" s="343"/>
      <c r="AL81" s="114" t="s">
        <v>15628</v>
      </c>
      <c r="AM81" s="396"/>
      <c r="AN81" s="396"/>
      <c r="AO81" s="396"/>
      <c r="AP81" s="396"/>
      <c r="AQ81" s="396"/>
      <c r="AR81" s="396"/>
      <c r="AS81" s="396"/>
      <c r="AT81" s="490"/>
      <c r="AU81" s="387"/>
      <c r="AY81" s="387"/>
      <c r="AZ81" s="489">
        <f>ROUND(ROUND(Q80*AR82,0)*$AT$16,0)</f>
        <v>117</v>
      </c>
      <c r="BA81" s="393"/>
    </row>
    <row r="82" spans="1:53" ht="16.5" customHeight="1" x14ac:dyDescent="0.15">
      <c r="A82" s="340">
        <v>12</v>
      </c>
      <c r="B82" s="341">
        <v>8240</v>
      </c>
      <c r="C82" s="390" t="s">
        <v>17245</v>
      </c>
      <c r="D82" s="403"/>
      <c r="E82" s="404"/>
      <c r="F82" s="404"/>
      <c r="G82" s="404"/>
      <c r="H82" s="406"/>
      <c r="Q82" s="395"/>
      <c r="R82" s="151"/>
      <c r="S82" s="151"/>
      <c r="U82" s="387"/>
      <c r="V82" s="343" t="s">
        <v>15625</v>
      </c>
      <c r="W82" s="325"/>
      <c r="X82" s="325"/>
      <c r="Y82" s="325"/>
      <c r="Z82" s="325"/>
      <c r="AA82" s="325"/>
      <c r="AB82" s="325"/>
      <c r="AC82" s="325"/>
      <c r="AD82" s="325"/>
      <c r="AE82" s="325"/>
      <c r="AF82" s="325"/>
      <c r="AG82" s="325"/>
      <c r="AH82" s="325"/>
      <c r="AI82" s="391" t="s">
        <v>15626</v>
      </c>
      <c r="AJ82" s="838">
        <f>AJ80</f>
        <v>1</v>
      </c>
      <c r="AK82" s="843"/>
      <c r="AL82" s="324" t="s">
        <v>15630</v>
      </c>
      <c r="AM82" s="325"/>
      <c r="AN82" s="325"/>
      <c r="AO82" s="325"/>
      <c r="AP82" s="325"/>
      <c r="AQ82" s="190" t="s">
        <v>398</v>
      </c>
      <c r="AR82" s="844">
        <f>AR78</f>
        <v>0.85</v>
      </c>
      <c r="AS82" s="844"/>
      <c r="AT82" s="501"/>
      <c r="AU82" s="502"/>
      <c r="AY82" s="387"/>
      <c r="AZ82" s="489">
        <f>ROUND(ROUND(ROUND(Q80*AJ82,0)*AR82,0)*$AT$16,0)</f>
        <v>117</v>
      </c>
      <c r="BA82" s="393"/>
    </row>
    <row r="83" spans="1:53" ht="17.100000000000001" customHeight="1" x14ac:dyDescent="0.15">
      <c r="A83" s="340">
        <v>12</v>
      </c>
      <c r="B83" s="341">
        <v>8241</v>
      </c>
      <c r="C83" s="390" t="s">
        <v>17246</v>
      </c>
      <c r="D83" s="403"/>
      <c r="E83" s="404"/>
      <c r="F83" s="404"/>
      <c r="G83" s="404"/>
      <c r="H83" s="406"/>
      <c r="I83" s="10"/>
      <c r="L83" s="151"/>
      <c r="M83" s="151"/>
      <c r="N83" s="151"/>
      <c r="U83" s="387"/>
      <c r="V83" s="343"/>
      <c r="W83" s="343"/>
      <c r="X83" s="343"/>
      <c r="Y83" s="343"/>
      <c r="Z83" s="343"/>
      <c r="AA83" s="343"/>
      <c r="AB83" s="343"/>
      <c r="AC83" s="343"/>
      <c r="AD83" s="343"/>
      <c r="AE83" s="343"/>
      <c r="AF83" s="343"/>
      <c r="AG83" s="343"/>
      <c r="AH83" s="343"/>
      <c r="AI83" s="343"/>
      <c r="AJ83" s="401"/>
      <c r="AK83" s="402"/>
      <c r="AL83" s="396"/>
      <c r="AM83" s="396"/>
      <c r="AN83" s="396"/>
      <c r="AO83" s="396"/>
      <c r="AP83" s="396"/>
      <c r="AQ83" s="396"/>
      <c r="AR83" s="396"/>
      <c r="AS83" s="396"/>
      <c r="AT83" s="490"/>
      <c r="AU83" s="387"/>
      <c r="AV83" s="858" t="s">
        <v>16296</v>
      </c>
      <c r="AW83" s="858"/>
      <c r="AX83" s="858"/>
      <c r="AY83" s="860"/>
      <c r="AZ83" s="489">
        <f>ROUND(ROUND(Q80*$AT$16,0)*AV86,0)</f>
        <v>110</v>
      </c>
      <c r="BA83" s="393"/>
    </row>
    <row r="84" spans="1:53" ht="16.5" customHeight="1" x14ac:dyDescent="0.15">
      <c r="A84" s="340">
        <v>12</v>
      </c>
      <c r="B84" s="341">
        <v>8242</v>
      </c>
      <c r="C84" s="390" t="s">
        <v>17247</v>
      </c>
      <c r="D84" s="403"/>
      <c r="E84" s="404"/>
      <c r="F84" s="404"/>
      <c r="G84" s="404"/>
      <c r="H84" s="406"/>
      <c r="Q84" s="899"/>
      <c r="R84" s="899"/>
      <c r="S84" s="899"/>
      <c r="U84" s="387"/>
      <c r="V84" s="343" t="s">
        <v>15625</v>
      </c>
      <c r="W84" s="325"/>
      <c r="X84" s="325"/>
      <c r="Y84" s="325"/>
      <c r="Z84" s="325"/>
      <c r="AA84" s="325"/>
      <c r="AB84" s="325"/>
      <c r="AC84" s="325"/>
      <c r="AD84" s="325"/>
      <c r="AE84" s="325"/>
      <c r="AF84" s="325"/>
      <c r="AG84" s="325"/>
      <c r="AH84" s="325"/>
      <c r="AI84" s="391" t="s">
        <v>15626</v>
      </c>
      <c r="AJ84" s="838">
        <f>AJ82</f>
        <v>1</v>
      </c>
      <c r="AK84" s="839"/>
      <c r="AL84" s="325"/>
      <c r="AM84" s="325"/>
      <c r="AN84" s="325"/>
      <c r="AO84" s="325"/>
      <c r="AP84" s="325"/>
      <c r="AQ84" s="325"/>
      <c r="AR84" s="325"/>
      <c r="AS84" s="391"/>
      <c r="AT84" s="503"/>
      <c r="AU84" s="504"/>
      <c r="AV84" s="850"/>
      <c r="AW84" s="850"/>
      <c r="AX84" s="850"/>
      <c r="AY84" s="852"/>
      <c r="AZ84" s="489">
        <f>ROUND(ROUND(ROUND(Q80*AJ84,0)*$AT$16,0)*AV86,0)</f>
        <v>110</v>
      </c>
      <c r="BA84" s="393"/>
    </row>
    <row r="85" spans="1:53" ht="16.5" customHeight="1" x14ac:dyDescent="0.15">
      <c r="A85" s="340">
        <v>12</v>
      </c>
      <c r="B85" s="341">
        <v>8243</v>
      </c>
      <c r="C85" s="390" t="s">
        <v>17248</v>
      </c>
      <c r="D85" s="403"/>
      <c r="E85" s="404"/>
      <c r="F85" s="404"/>
      <c r="G85" s="404"/>
      <c r="H85" s="406"/>
      <c r="Q85" s="395"/>
      <c r="R85" s="151"/>
      <c r="S85" s="151"/>
      <c r="U85" s="387"/>
      <c r="V85" s="343"/>
      <c r="W85" s="343"/>
      <c r="X85" s="343"/>
      <c r="Y85" s="343"/>
      <c r="Z85" s="343"/>
      <c r="AA85" s="343"/>
      <c r="AB85" s="343"/>
      <c r="AC85" s="343"/>
      <c r="AD85" s="343"/>
      <c r="AE85" s="343"/>
      <c r="AF85" s="343"/>
      <c r="AG85" s="343"/>
      <c r="AH85" s="343"/>
      <c r="AI85" s="343"/>
      <c r="AJ85" s="343"/>
      <c r="AK85" s="343"/>
      <c r="AL85" s="114" t="s">
        <v>15628</v>
      </c>
      <c r="AM85" s="396"/>
      <c r="AN85" s="396"/>
      <c r="AO85" s="396"/>
      <c r="AP85" s="396"/>
      <c r="AQ85" s="396"/>
      <c r="AR85" s="396"/>
      <c r="AS85" s="396"/>
      <c r="AT85" s="490"/>
      <c r="AU85" s="387"/>
      <c r="AV85" s="902" t="s">
        <v>15636</v>
      </c>
      <c r="AW85" s="902"/>
      <c r="AX85" s="902"/>
      <c r="AY85" s="903"/>
      <c r="AZ85" s="489">
        <f>ROUND(ROUND(ROUND(Q80*AR86,0)*$AT$16,0)*AV86,0)</f>
        <v>94</v>
      </c>
      <c r="BA85" s="393"/>
    </row>
    <row r="86" spans="1:53" ht="16.5" customHeight="1" x14ac:dyDescent="0.15">
      <c r="A86" s="340">
        <v>12</v>
      </c>
      <c r="B86" s="341">
        <v>8244</v>
      </c>
      <c r="C86" s="390" t="s">
        <v>17249</v>
      </c>
      <c r="D86" s="419"/>
      <c r="E86" s="420"/>
      <c r="F86" s="420"/>
      <c r="G86" s="420"/>
      <c r="H86" s="422"/>
      <c r="I86" s="325"/>
      <c r="J86" s="325"/>
      <c r="K86" s="325"/>
      <c r="L86" s="325"/>
      <c r="M86" s="325"/>
      <c r="N86" s="325"/>
      <c r="O86" s="325"/>
      <c r="P86" s="325"/>
      <c r="Q86" s="416"/>
      <c r="R86" s="417"/>
      <c r="S86" s="417"/>
      <c r="T86" s="325"/>
      <c r="U86" s="388"/>
      <c r="V86" s="343" t="s">
        <v>15625</v>
      </c>
      <c r="W86" s="325"/>
      <c r="X86" s="325"/>
      <c r="Y86" s="325"/>
      <c r="Z86" s="325"/>
      <c r="AA86" s="325"/>
      <c r="AB86" s="325"/>
      <c r="AC86" s="325"/>
      <c r="AD86" s="325"/>
      <c r="AE86" s="325"/>
      <c r="AF86" s="325"/>
      <c r="AG86" s="325"/>
      <c r="AH86" s="325"/>
      <c r="AI86" s="391" t="s">
        <v>15626</v>
      </c>
      <c r="AJ86" s="838">
        <f>AJ84</f>
        <v>1</v>
      </c>
      <c r="AK86" s="843"/>
      <c r="AL86" s="324" t="s">
        <v>15630</v>
      </c>
      <c r="AM86" s="325"/>
      <c r="AN86" s="325"/>
      <c r="AO86" s="325"/>
      <c r="AP86" s="325"/>
      <c r="AQ86" s="190" t="s">
        <v>398</v>
      </c>
      <c r="AR86" s="844">
        <f>AR82</f>
        <v>0.85</v>
      </c>
      <c r="AS86" s="844"/>
      <c r="AT86" s="505"/>
      <c r="AU86" s="506"/>
      <c r="AV86" s="844">
        <f>AV78</f>
        <v>0.8</v>
      </c>
      <c r="AW86" s="844"/>
      <c r="AX86" s="844"/>
      <c r="AY86" s="845"/>
      <c r="AZ86" s="491">
        <f>ROUND(ROUND(ROUND(ROUND(Q80*AJ86,0)*AR86,0)*$AT$16,0)*AV86,0)</f>
        <v>94</v>
      </c>
      <c r="BA86" s="418"/>
    </row>
    <row r="87" spans="1:53" ht="17.100000000000001" customHeight="1" x14ac:dyDescent="0.15">
      <c r="A87" s="340">
        <v>12</v>
      </c>
      <c r="B87" s="341">
        <v>8245</v>
      </c>
      <c r="C87" s="390" t="s">
        <v>17250</v>
      </c>
      <c r="D87" s="857" t="s">
        <v>15620</v>
      </c>
      <c r="E87" s="858"/>
      <c r="F87" s="858"/>
      <c r="G87" s="858"/>
      <c r="H87" s="860"/>
      <c r="I87" s="908" t="s">
        <v>16381</v>
      </c>
      <c r="J87" s="909"/>
      <c r="K87" s="909"/>
      <c r="L87" s="909"/>
      <c r="M87" s="909"/>
      <c r="N87" s="909"/>
      <c r="O87" s="909"/>
      <c r="P87" s="909"/>
      <c r="Q87" s="909"/>
      <c r="R87" s="909"/>
      <c r="S87" s="909"/>
      <c r="T87" s="909"/>
      <c r="U87" s="910"/>
      <c r="V87" s="343"/>
      <c r="W87" s="343"/>
      <c r="X87" s="343"/>
      <c r="Y87" s="343"/>
      <c r="Z87" s="343"/>
      <c r="AA87" s="343"/>
      <c r="AB87" s="343"/>
      <c r="AC87" s="343"/>
      <c r="AD87" s="343"/>
      <c r="AE87" s="343"/>
      <c r="AF87" s="343"/>
      <c r="AG87" s="343"/>
      <c r="AH87" s="343"/>
      <c r="AI87" s="343"/>
      <c r="AJ87" s="401"/>
      <c r="AK87" s="402"/>
      <c r="AL87" s="396"/>
      <c r="AM87" s="396"/>
      <c r="AN87" s="396"/>
      <c r="AO87" s="396"/>
      <c r="AP87" s="396"/>
      <c r="AQ87" s="396"/>
      <c r="AR87" s="396"/>
      <c r="AS87" s="396"/>
      <c r="AT87" s="920" t="s">
        <v>862</v>
      </c>
      <c r="AU87" s="917"/>
      <c r="AV87" s="400"/>
      <c r="AW87" s="400"/>
      <c r="AX87" s="396"/>
      <c r="AY87" s="397"/>
      <c r="AZ87" s="489">
        <f>ROUND(Q88*$AT$96,0)</f>
        <v>149</v>
      </c>
      <c r="BA87" s="329" t="s">
        <v>15622</v>
      </c>
    </row>
    <row r="88" spans="1:53" ht="16.5" customHeight="1" x14ac:dyDescent="0.15">
      <c r="A88" s="340">
        <v>12</v>
      </c>
      <c r="B88" s="341">
        <v>8246</v>
      </c>
      <c r="C88" s="390" t="s">
        <v>17251</v>
      </c>
      <c r="D88" s="849"/>
      <c r="E88" s="850"/>
      <c r="F88" s="850"/>
      <c r="G88" s="850"/>
      <c r="H88" s="852"/>
      <c r="Q88" s="836">
        <f>ROUND(Q280*$F$93,0)</f>
        <v>99</v>
      </c>
      <c r="R88" s="911"/>
      <c r="S88" s="911"/>
      <c r="T88" s="152" t="s">
        <v>15624</v>
      </c>
      <c r="U88" s="387"/>
      <c r="V88" s="343" t="s">
        <v>15625</v>
      </c>
      <c r="W88" s="325"/>
      <c r="X88" s="325"/>
      <c r="Y88" s="325"/>
      <c r="Z88" s="325"/>
      <c r="AA88" s="325"/>
      <c r="AB88" s="325"/>
      <c r="AC88" s="325"/>
      <c r="AD88" s="325"/>
      <c r="AE88" s="325"/>
      <c r="AF88" s="325"/>
      <c r="AG88" s="325"/>
      <c r="AH88" s="325"/>
      <c r="AI88" s="391" t="s">
        <v>15626</v>
      </c>
      <c r="AJ88" s="838">
        <f>AJ86</f>
        <v>1</v>
      </c>
      <c r="AK88" s="839"/>
      <c r="AL88" s="325"/>
      <c r="AM88" s="325"/>
      <c r="AN88" s="325"/>
      <c r="AO88" s="325"/>
      <c r="AP88" s="325"/>
      <c r="AQ88" s="325"/>
      <c r="AR88" s="325"/>
      <c r="AS88" s="391"/>
      <c r="AT88" s="912"/>
      <c r="AU88" s="913"/>
      <c r="AY88" s="387"/>
      <c r="AZ88" s="489">
        <f>ROUND(ROUND(Q88*AJ88,0)*$AT$96,0)</f>
        <v>149</v>
      </c>
      <c r="BA88" s="393"/>
    </row>
    <row r="89" spans="1:53" ht="16.5" customHeight="1" x14ac:dyDescent="0.15">
      <c r="A89" s="340">
        <v>12</v>
      </c>
      <c r="B89" s="341">
        <v>8247</v>
      </c>
      <c r="C89" s="390" t="s">
        <v>17252</v>
      </c>
      <c r="D89" s="849"/>
      <c r="E89" s="850"/>
      <c r="F89" s="850"/>
      <c r="G89" s="850"/>
      <c r="H89" s="852"/>
      <c r="Q89" s="395"/>
      <c r="R89" s="151"/>
      <c r="S89" s="151"/>
      <c r="U89" s="387"/>
      <c r="V89" s="343"/>
      <c r="W89" s="343"/>
      <c r="X89" s="343"/>
      <c r="Y89" s="343"/>
      <c r="Z89" s="343"/>
      <c r="AA89" s="343"/>
      <c r="AB89" s="343"/>
      <c r="AC89" s="343"/>
      <c r="AD89" s="343"/>
      <c r="AE89" s="343"/>
      <c r="AF89" s="343"/>
      <c r="AG89" s="343"/>
      <c r="AH89" s="343"/>
      <c r="AI89" s="343"/>
      <c r="AJ89" s="343"/>
      <c r="AK89" s="343"/>
      <c r="AL89" s="114" t="s">
        <v>15628</v>
      </c>
      <c r="AM89" s="396"/>
      <c r="AN89" s="396"/>
      <c r="AO89" s="396"/>
      <c r="AP89" s="396"/>
      <c r="AQ89" s="396"/>
      <c r="AR89" s="396"/>
      <c r="AS89" s="396"/>
      <c r="AT89" s="912"/>
      <c r="AU89" s="913"/>
      <c r="AY89" s="387"/>
      <c r="AZ89" s="489">
        <f>ROUND(ROUND(Q88*AR90,0)*$AT$96,0)</f>
        <v>126</v>
      </c>
      <c r="BA89" s="393"/>
    </row>
    <row r="90" spans="1:53" ht="16.5" customHeight="1" x14ac:dyDescent="0.15">
      <c r="A90" s="340">
        <v>12</v>
      </c>
      <c r="B90" s="341">
        <v>8248</v>
      </c>
      <c r="C90" s="390" t="s">
        <v>17253</v>
      </c>
      <c r="D90" s="849"/>
      <c r="E90" s="850"/>
      <c r="F90" s="850"/>
      <c r="G90" s="850"/>
      <c r="H90" s="852"/>
      <c r="Q90" s="395"/>
      <c r="R90" s="151"/>
      <c r="S90" s="151"/>
      <c r="U90" s="387"/>
      <c r="V90" s="343" t="s">
        <v>15625</v>
      </c>
      <c r="W90" s="325"/>
      <c r="X90" s="325"/>
      <c r="Y90" s="325"/>
      <c r="Z90" s="325"/>
      <c r="AA90" s="325"/>
      <c r="AB90" s="325"/>
      <c r="AC90" s="325"/>
      <c r="AD90" s="325"/>
      <c r="AE90" s="325"/>
      <c r="AF90" s="325"/>
      <c r="AG90" s="325"/>
      <c r="AH90" s="325"/>
      <c r="AI90" s="391" t="s">
        <v>15626</v>
      </c>
      <c r="AJ90" s="838">
        <f>AJ88</f>
        <v>1</v>
      </c>
      <c r="AK90" s="843"/>
      <c r="AL90" s="324" t="s">
        <v>15630</v>
      </c>
      <c r="AM90" s="325"/>
      <c r="AN90" s="325"/>
      <c r="AO90" s="325"/>
      <c r="AP90" s="325"/>
      <c r="AQ90" s="190" t="s">
        <v>398</v>
      </c>
      <c r="AR90" s="844">
        <f>AR86</f>
        <v>0.85</v>
      </c>
      <c r="AS90" s="844"/>
      <c r="AT90" s="912"/>
      <c r="AU90" s="913"/>
      <c r="AY90" s="387"/>
      <c r="AZ90" s="489">
        <f>ROUND(ROUND(ROUND(Q88*AJ90,0)*AR90,0)*$AT$96,0)</f>
        <v>126</v>
      </c>
      <c r="BA90" s="393"/>
    </row>
    <row r="91" spans="1:53" ht="17.100000000000001" customHeight="1" x14ac:dyDescent="0.15">
      <c r="A91" s="340">
        <v>12</v>
      </c>
      <c r="B91" s="341">
        <v>8249</v>
      </c>
      <c r="C91" s="390" t="s">
        <v>17254</v>
      </c>
      <c r="D91" s="832" t="s">
        <v>15632</v>
      </c>
      <c r="E91" s="833"/>
      <c r="F91" s="833"/>
      <c r="G91" s="833"/>
      <c r="H91" s="835"/>
      <c r="I91" s="10"/>
      <c r="L91" s="151"/>
      <c r="M91" s="151"/>
      <c r="N91" s="151"/>
      <c r="U91" s="387"/>
      <c r="V91" s="343"/>
      <c r="W91" s="343"/>
      <c r="X91" s="343"/>
      <c r="Y91" s="343"/>
      <c r="Z91" s="343"/>
      <c r="AA91" s="343"/>
      <c r="AB91" s="343"/>
      <c r="AC91" s="343"/>
      <c r="AD91" s="343"/>
      <c r="AE91" s="343"/>
      <c r="AF91" s="343"/>
      <c r="AG91" s="343"/>
      <c r="AH91" s="343"/>
      <c r="AI91" s="343"/>
      <c r="AJ91" s="401"/>
      <c r="AK91" s="402"/>
      <c r="AL91" s="396"/>
      <c r="AM91" s="396"/>
      <c r="AN91" s="396"/>
      <c r="AO91" s="396"/>
      <c r="AP91" s="396"/>
      <c r="AQ91" s="396"/>
      <c r="AR91" s="396"/>
      <c r="AS91" s="396"/>
      <c r="AT91" s="912"/>
      <c r="AU91" s="913"/>
      <c r="AV91" s="858" t="s">
        <v>16296</v>
      </c>
      <c r="AW91" s="858"/>
      <c r="AX91" s="858"/>
      <c r="AY91" s="860"/>
      <c r="AZ91" s="489">
        <f>ROUND(ROUND(Q88*$AT$96,0)*AV94,0)</f>
        <v>119</v>
      </c>
      <c r="BA91" s="393"/>
    </row>
    <row r="92" spans="1:53" ht="16.5" customHeight="1" x14ac:dyDescent="0.15">
      <c r="A92" s="340">
        <v>12</v>
      </c>
      <c r="B92" s="341">
        <v>8250</v>
      </c>
      <c r="C92" s="390" t="s">
        <v>17255</v>
      </c>
      <c r="D92" s="832"/>
      <c r="E92" s="833"/>
      <c r="F92" s="833"/>
      <c r="G92" s="833"/>
      <c r="H92" s="835"/>
      <c r="Q92" s="899"/>
      <c r="R92" s="899"/>
      <c r="S92" s="899"/>
      <c r="U92" s="387"/>
      <c r="V92" s="343" t="s">
        <v>15625</v>
      </c>
      <c r="W92" s="325"/>
      <c r="X92" s="325"/>
      <c r="Y92" s="325"/>
      <c r="Z92" s="325"/>
      <c r="AA92" s="325"/>
      <c r="AB92" s="325"/>
      <c r="AC92" s="325"/>
      <c r="AD92" s="325"/>
      <c r="AE92" s="325"/>
      <c r="AF92" s="325"/>
      <c r="AG92" s="325"/>
      <c r="AH92" s="325"/>
      <c r="AI92" s="391" t="s">
        <v>15626</v>
      </c>
      <c r="AJ92" s="838">
        <f>AJ90</f>
        <v>1</v>
      </c>
      <c r="AK92" s="839"/>
      <c r="AL92" s="325"/>
      <c r="AM92" s="325"/>
      <c r="AN92" s="325"/>
      <c r="AO92" s="325"/>
      <c r="AP92" s="325"/>
      <c r="AQ92" s="325"/>
      <c r="AR92" s="325"/>
      <c r="AS92" s="391"/>
      <c r="AT92" s="912"/>
      <c r="AU92" s="913"/>
      <c r="AV92" s="850"/>
      <c r="AW92" s="850"/>
      <c r="AX92" s="850"/>
      <c r="AY92" s="852"/>
      <c r="AZ92" s="489">
        <f>ROUND(ROUND(ROUND(Q88*AJ92,0)*$AT$96,0)*AV94,0)</f>
        <v>119</v>
      </c>
      <c r="BA92" s="393"/>
    </row>
    <row r="93" spans="1:53" ht="16.5" customHeight="1" x14ac:dyDescent="0.15">
      <c r="A93" s="340">
        <v>12</v>
      </c>
      <c r="B93" s="341">
        <v>8251</v>
      </c>
      <c r="C93" s="390" t="s">
        <v>17256</v>
      </c>
      <c r="D93" s="403"/>
      <c r="E93" s="404" t="s">
        <v>15636</v>
      </c>
      <c r="F93" s="840">
        <f>F13</f>
        <v>1.1499999999999999</v>
      </c>
      <c r="G93" s="841"/>
      <c r="H93" s="842"/>
      <c r="Q93" s="395"/>
      <c r="R93" s="151"/>
      <c r="S93" s="151"/>
      <c r="U93" s="387"/>
      <c r="V93" s="343"/>
      <c r="W93" s="343"/>
      <c r="X93" s="343"/>
      <c r="Y93" s="343"/>
      <c r="Z93" s="343"/>
      <c r="AA93" s="343"/>
      <c r="AB93" s="343"/>
      <c r="AC93" s="343"/>
      <c r="AD93" s="343"/>
      <c r="AE93" s="343"/>
      <c r="AF93" s="343"/>
      <c r="AG93" s="343"/>
      <c r="AH93" s="343"/>
      <c r="AI93" s="343"/>
      <c r="AJ93" s="343"/>
      <c r="AK93" s="343"/>
      <c r="AL93" s="114" t="s">
        <v>15628</v>
      </c>
      <c r="AM93" s="396"/>
      <c r="AN93" s="396"/>
      <c r="AO93" s="396"/>
      <c r="AP93" s="396"/>
      <c r="AQ93" s="396"/>
      <c r="AR93" s="396"/>
      <c r="AS93" s="396"/>
      <c r="AT93" s="912"/>
      <c r="AU93" s="913"/>
      <c r="AV93" s="902" t="s">
        <v>15636</v>
      </c>
      <c r="AW93" s="902"/>
      <c r="AX93" s="902"/>
      <c r="AY93" s="903"/>
      <c r="AZ93" s="489">
        <f>ROUND(ROUND(ROUND(Q88*AR94,0)*$AT$96,0)*AV94,0)</f>
        <v>101</v>
      </c>
      <c r="BA93" s="393"/>
    </row>
    <row r="94" spans="1:53" ht="16.5" customHeight="1" x14ac:dyDescent="0.15">
      <c r="A94" s="340">
        <v>12</v>
      </c>
      <c r="B94" s="341">
        <v>8252</v>
      </c>
      <c r="C94" s="390" t="s">
        <v>17257</v>
      </c>
      <c r="D94" s="403"/>
      <c r="E94" s="404"/>
      <c r="F94" s="404"/>
      <c r="G94" s="404"/>
      <c r="H94" s="406"/>
      <c r="Q94" s="395"/>
      <c r="R94" s="151"/>
      <c r="S94" s="151"/>
      <c r="U94" s="387"/>
      <c r="V94" s="343" t="s">
        <v>15625</v>
      </c>
      <c r="W94" s="325"/>
      <c r="X94" s="325"/>
      <c r="Y94" s="325"/>
      <c r="Z94" s="325"/>
      <c r="AA94" s="325"/>
      <c r="AB94" s="325"/>
      <c r="AC94" s="325"/>
      <c r="AD94" s="325"/>
      <c r="AE94" s="325"/>
      <c r="AF94" s="325"/>
      <c r="AG94" s="325"/>
      <c r="AH94" s="325"/>
      <c r="AI94" s="391" t="s">
        <v>15626</v>
      </c>
      <c r="AJ94" s="838">
        <f>AJ92</f>
        <v>1</v>
      </c>
      <c r="AK94" s="843"/>
      <c r="AL94" s="324" t="s">
        <v>15630</v>
      </c>
      <c r="AM94" s="325"/>
      <c r="AN94" s="325"/>
      <c r="AO94" s="325"/>
      <c r="AP94" s="325"/>
      <c r="AQ94" s="190" t="s">
        <v>398</v>
      </c>
      <c r="AR94" s="844">
        <f>AR90</f>
        <v>0.85</v>
      </c>
      <c r="AS94" s="844"/>
      <c r="AT94" s="912"/>
      <c r="AU94" s="913"/>
      <c r="AV94" s="844">
        <f>AV86</f>
        <v>0.8</v>
      </c>
      <c r="AW94" s="844"/>
      <c r="AX94" s="844"/>
      <c r="AY94" s="845"/>
      <c r="AZ94" s="489">
        <f>ROUND(ROUND(ROUND(ROUND(Q88*AJ94,0)*AR94,0)*$AT$96,0)*AV94,0)</f>
        <v>101</v>
      </c>
      <c r="BA94" s="393"/>
    </row>
    <row r="95" spans="1:53" ht="17.100000000000001" customHeight="1" x14ac:dyDescent="0.15">
      <c r="A95" s="340">
        <v>12</v>
      </c>
      <c r="B95" s="341">
        <v>8253</v>
      </c>
      <c r="C95" s="390" t="s">
        <v>17258</v>
      </c>
      <c r="D95" s="403"/>
      <c r="E95" s="404"/>
      <c r="F95" s="404"/>
      <c r="G95" s="404"/>
      <c r="H95" s="406"/>
      <c r="I95" s="908" t="s">
        <v>16390</v>
      </c>
      <c r="J95" s="909"/>
      <c r="K95" s="909"/>
      <c r="L95" s="909"/>
      <c r="M95" s="909"/>
      <c r="N95" s="909"/>
      <c r="O95" s="909"/>
      <c r="P95" s="909"/>
      <c r="Q95" s="909"/>
      <c r="R95" s="909"/>
      <c r="S95" s="909"/>
      <c r="T95" s="909"/>
      <c r="U95" s="910"/>
      <c r="V95" s="343"/>
      <c r="W95" s="343"/>
      <c r="X95" s="343"/>
      <c r="Y95" s="343"/>
      <c r="Z95" s="343"/>
      <c r="AA95" s="343"/>
      <c r="AB95" s="343"/>
      <c r="AC95" s="343"/>
      <c r="AD95" s="343"/>
      <c r="AE95" s="343"/>
      <c r="AF95" s="343"/>
      <c r="AG95" s="343"/>
      <c r="AH95" s="343"/>
      <c r="AI95" s="343"/>
      <c r="AJ95" s="401"/>
      <c r="AK95" s="402"/>
      <c r="AL95" s="396"/>
      <c r="AM95" s="396"/>
      <c r="AN95" s="396"/>
      <c r="AO95" s="396"/>
      <c r="AP95" s="396"/>
      <c r="AQ95" s="396"/>
      <c r="AR95" s="396"/>
      <c r="AS95" s="396"/>
      <c r="AT95" s="918" t="s">
        <v>15636</v>
      </c>
      <c r="AU95" s="913"/>
      <c r="AV95" s="400"/>
      <c r="AW95" s="400"/>
      <c r="AX95" s="396"/>
      <c r="AY95" s="397"/>
      <c r="AZ95" s="489">
        <f>ROUND(Q96*$AT$96,0)</f>
        <v>138</v>
      </c>
      <c r="BA95" s="393"/>
    </row>
    <row r="96" spans="1:53" ht="16.5" customHeight="1" x14ac:dyDescent="0.15">
      <c r="A96" s="340">
        <v>12</v>
      </c>
      <c r="B96" s="341">
        <v>8254</v>
      </c>
      <c r="C96" s="390" t="s">
        <v>17259</v>
      </c>
      <c r="D96" s="403"/>
      <c r="E96" s="404"/>
      <c r="F96" s="404"/>
      <c r="G96" s="404"/>
      <c r="H96" s="406"/>
      <c r="Q96" s="836">
        <f>ROUND(Q288*$F$93,0)</f>
        <v>92</v>
      </c>
      <c r="R96" s="911"/>
      <c r="S96" s="911"/>
      <c r="T96" s="152" t="s">
        <v>15624</v>
      </c>
      <c r="U96" s="387"/>
      <c r="V96" s="343" t="s">
        <v>15625</v>
      </c>
      <c r="W96" s="325"/>
      <c r="X96" s="325"/>
      <c r="Y96" s="325"/>
      <c r="Z96" s="325"/>
      <c r="AA96" s="325"/>
      <c r="AB96" s="325"/>
      <c r="AC96" s="325"/>
      <c r="AD96" s="325"/>
      <c r="AE96" s="325"/>
      <c r="AF96" s="325"/>
      <c r="AG96" s="325"/>
      <c r="AH96" s="325"/>
      <c r="AI96" s="391" t="s">
        <v>15626</v>
      </c>
      <c r="AJ96" s="838">
        <f>AJ94</f>
        <v>1</v>
      </c>
      <c r="AK96" s="839"/>
      <c r="AL96" s="325"/>
      <c r="AM96" s="325"/>
      <c r="AN96" s="325"/>
      <c r="AO96" s="325"/>
      <c r="AP96" s="325"/>
      <c r="AQ96" s="325"/>
      <c r="AR96" s="325"/>
      <c r="AS96" s="391"/>
      <c r="AT96" s="919">
        <f>AT16</f>
        <v>1.5</v>
      </c>
      <c r="AU96" s="915"/>
      <c r="AY96" s="387"/>
      <c r="AZ96" s="489">
        <f>ROUND(ROUND(Q96*AJ96,0)*$AT$96,0)</f>
        <v>138</v>
      </c>
      <c r="BA96" s="393"/>
    </row>
    <row r="97" spans="1:53" ht="16.5" customHeight="1" x14ac:dyDescent="0.15">
      <c r="A97" s="340">
        <v>12</v>
      </c>
      <c r="B97" s="341">
        <v>8255</v>
      </c>
      <c r="C97" s="390" t="s">
        <v>17260</v>
      </c>
      <c r="D97" s="408"/>
      <c r="E97" s="409"/>
      <c r="F97" s="409"/>
      <c r="G97" s="409"/>
      <c r="H97" s="411"/>
      <c r="Q97" s="395"/>
      <c r="R97" s="151"/>
      <c r="S97" s="151"/>
      <c r="U97" s="387"/>
      <c r="V97" s="343"/>
      <c r="W97" s="343"/>
      <c r="X97" s="343"/>
      <c r="Y97" s="343"/>
      <c r="Z97" s="343"/>
      <c r="AA97" s="343"/>
      <c r="AB97" s="343"/>
      <c r="AC97" s="343"/>
      <c r="AD97" s="343"/>
      <c r="AE97" s="343"/>
      <c r="AF97" s="343"/>
      <c r="AG97" s="343"/>
      <c r="AH97" s="343"/>
      <c r="AI97" s="343"/>
      <c r="AJ97" s="343"/>
      <c r="AK97" s="343"/>
      <c r="AL97" s="114" t="s">
        <v>15628</v>
      </c>
      <c r="AM97" s="396"/>
      <c r="AN97" s="396"/>
      <c r="AO97" s="396"/>
      <c r="AP97" s="396"/>
      <c r="AQ97" s="396"/>
      <c r="AR97" s="396"/>
      <c r="AS97" s="396"/>
      <c r="AT97" s="490"/>
      <c r="AU97" s="387"/>
      <c r="AY97" s="387"/>
      <c r="AZ97" s="489">
        <f>ROUND(ROUND(Q96*AR98,0)*$AT$96,0)</f>
        <v>117</v>
      </c>
      <c r="BA97" s="393"/>
    </row>
    <row r="98" spans="1:53" ht="16.5" customHeight="1" x14ac:dyDescent="0.15">
      <c r="A98" s="340">
        <v>12</v>
      </c>
      <c r="B98" s="341">
        <v>8256</v>
      </c>
      <c r="C98" s="390" t="s">
        <v>17261</v>
      </c>
      <c r="D98" s="408"/>
      <c r="E98" s="409"/>
      <c r="F98" s="409"/>
      <c r="G98" s="409"/>
      <c r="H98" s="411"/>
      <c r="Q98" s="395"/>
      <c r="R98" s="151"/>
      <c r="S98" s="151"/>
      <c r="U98" s="387"/>
      <c r="V98" s="343" t="s">
        <v>15625</v>
      </c>
      <c r="W98" s="325"/>
      <c r="X98" s="325"/>
      <c r="Y98" s="325"/>
      <c r="Z98" s="325"/>
      <c r="AA98" s="325"/>
      <c r="AB98" s="325"/>
      <c r="AC98" s="325"/>
      <c r="AD98" s="325"/>
      <c r="AE98" s="325"/>
      <c r="AF98" s="325"/>
      <c r="AG98" s="325"/>
      <c r="AH98" s="325"/>
      <c r="AI98" s="391" t="s">
        <v>15626</v>
      </c>
      <c r="AJ98" s="838">
        <f>AJ96</f>
        <v>1</v>
      </c>
      <c r="AK98" s="843"/>
      <c r="AL98" s="324" t="s">
        <v>15630</v>
      </c>
      <c r="AM98" s="325"/>
      <c r="AN98" s="325"/>
      <c r="AO98" s="325"/>
      <c r="AP98" s="325"/>
      <c r="AQ98" s="190" t="s">
        <v>398</v>
      </c>
      <c r="AR98" s="844">
        <f>AR94</f>
        <v>0.85</v>
      </c>
      <c r="AS98" s="844"/>
      <c r="AT98" s="501"/>
      <c r="AU98" s="502"/>
      <c r="AY98" s="387"/>
      <c r="AZ98" s="489">
        <f>ROUND(ROUND(ROUND(Q96*AJ98,0)*AR98,0)*$AT$96,0)</f>
        <v>117</v>
      </c>
      <c r="BA98" s="393"/>
    </row>
    <row r="99" spans="1:53" ht="17.100000000000001" customHeight="1" x14ac:dyDescent="0.15">
      <c r="A99" s="340">
        <v>12</v>
      </c>
      <c r="B99" s="341">
        <v>8257</v>
      </c>
      <c r="C99" s="390" t="s">
        <v>17262</v>
      </c>
      <c r="D99" s="403"/>
      <c r="E99" s="404"/>
      <c r="F99" s="404"/>
      <c r="G99" s="404"/>
      <c r="H99" s="406"/>
      <c r="I99" s="10"/>
      <c r="L99" s="151"/>
      <c r="M99" s="151"/>
      <c r="N99" s="151"/>
      <c r="U99" s="387"/>
      <c r="V99" s="343"/>
      <c r="W99" s="343"/>
      <c r="X99" s="343"/>
      <c r="Y99" s="343"/>
      <c r="Z99" s="343"/>
      <c r="AA99" s="343"/>
      <c r="AB99" s="343"/>
      <c r="AC99" s="343"/>
      <c r="AD99" s="343"/>
      <c r="AE99" s="343"/>
      <c r="AF99" s="343"/>
      <c r="AG99" s="343"/>
      <c r="AH99" s="343"/>
      <c r="AI99" s="343"/>
      <c r="AJ99" s="401"/>
      <c r="AK99" s="402"/>
      <c r="AL99" s="396"/>
      <c r="AM99" s="396"/>
      <c r="AN99" s="396"/>
      <c r="AO99" s="396"/>
      <c r="AP99" s="396"/>
      <c r="AQ99" s="396"/>
      <c r="AR99" s="396"/>
      <c r="AS99" s="396"/>
      <c r="AT99" s="490"/>
      <c r="AU99" s="387"/>
      <c r="AV99" s="858" t="s">
        <v>16296</v>
      </c>
      <c r="AW99" s="858"/>
      <c r="AX99" s="858"/>
      <c r="AY99" s="860"/>
      <c r="AZ99" s="489">
        <f>ROUND(ROUND(Q96*$AT$96,0)*AV102,0)</f>
        <v>110</v>
      </c>
      <c r="BA99" s="393"/>
    </row>
    <row r="100" spans="1:53" ht="16.5" customHeight="1" x14ac:dyDescent="0.15">
      <c r="A100" s="340">
        <v>12</v>
      </c>
      <c r="B100" s="341">
        <v>8258</v>
      </c>
      <c r="C100" s="390" t="s">
        <v>17263</v>
      </c>
      <c r="D100" s="403"/>
      <c r="E100" s="404"/>
      <c r="F100" s="404"/>
      <c r="G100" s="404"/>
      <c r="H100" s="406"/>
      <c r="Q100" s="899"/>
      <c r="R100" s="899"/>
      <c r="S100" s="899"/>
      <c r="U100" s="387"/>
      <c r="V100" s="343" t="s">
        <v>15625</v>
      </c>
      <c r="W100" s="325"/>
      <c r="X100" s="325"/>
      <c r="Y100" s="325"/>
      <c r="Z100" s="325"/>
      <c r="AA100" s="325"/>
      <c r="AB100" s="325"/>
      <c r="AC100" s="325"/>
      <c r="AD100" s="325"/>
      <c r="AE100" s="325"/>
      <c r="AF100" s="325"/>
      <c r="AG100" s="325"/>
      <c r="AH100" s="325"/>
      <c r="AI100" s="391" t="s">
        <v>15626</v>
      </c>
      <c r="AJ100" s="838">
        <f>AJ98</f>
        <v>1</v>
      </c>
      <c r="AK100" s="839"/>
      <c r="AL100" s="325"/>
      <c r="AM100" s="325"/>
      <c r="AN100" s="325"/>
      <c r="AO100" s="325"/>
      <c r="AP100" s="325"/>
      <c r="AQ100" s="325"/>
      <c r="AR100" s="325"/>
      <c r="AS100" s="391"/>
      <c r="AT100" s="503"/>
      <c r="AU100" s="504"/>
      <c r="AV100" s="850"/>
      <c r="AW100" s="850"/>
      <c r="AX100" s="850"/>
      <c r="AY100" s="852"/>
      <c r="AZ100" s="489">
        <f>ROUND(ROUND(ROUND(Q96*AJ100,0)*$AT$96,0)*AV102,0)</f>
        <v>110</v>
      </c>
      <c r="BA100" s="393"/>
    </row>
    <row r="101" spans="1:53" ht="16.5" customHeight="1" x14ac:dyDescent="0.15">
      <c r="A101" s="340">
        <v>12</v>
      </c>
      <c r="B101" s="341">
        <v>8259</v>
      </c>
      <c r="C101" s="390" t="s">
        <v>17264</v>
      </c>
      <c r="D101" s="408"/>
      <c r="E101" s="409"/>
      <c r="F101" s="409"/>
      <c r="G101" s="409"/>
      <c r="H101" s="411"/>
      <c r="Q101" s="395"/>
      <c r="R101" s="151"/>
      <c r="S101" s="151"/>
      <c r="U101" s="387"/>
      <c r="V101" s="343"/>
      <c r="W101" s="343"/>
      <c r="X101" s="343"/>
      <c r="Y101" s="343"/>
      <c r="Z101" s="343"/>
      <c r="AA101" s="343"/>
      <c r="AB101" s="343"/>
      <c r="AC101" s="343"/>
      <c r="AD101" s="343"/>
      <c r="AE101" s="343"/>
      <c r="AF101" s="343"/>
      <c r="AG101" s="343"/>
      <c r="AH101" s="343"/>
      <c r="AI101" s="343"/>
      <c r="AJ101" s="343"/>
      <c r="AK101" s="343"/>
      <c r="AL101" s="114" t="s">
        <v>15628</v>
      </c>
      <c r="AM101" s="396"/>
      <c r="AN101" s="396"/>
      <c r="AO101" s="396"/>
      <c r="AP101" s="396"/>
      <c r="AQ101" s="396"/>
      <c r="AR101" s="396"/>
      <c r="AS101" s="396"/>
      <c r="AT101" s="490"/>
      <c r="AU101" s="387"/>
      <c r="AV101" s="902" t="s">
        <v>15636</v>
      </c>
      <c r="AW101" s="902"/>
      <c r="AX101" s="902"/>
      <c r="AY101" s="903"/>
      <c r="AZ101" s="489">
        <f>ROUND(ROUND(ROUND(Q96*AR102,0)*$AT$96,0)*AV102,0)</f>
        <v>94</v>
      </c>
      <c r="BA101" s="393"/>
    </row>
    <row r="102" spans="1:53" ht="16.5" customHeight="1" x14ac:dyDescent="0.15">
      <c r="A102" s="340">
        <v>12</v>
      </c>
      <c r="B102" s="341">
        <v>8260</v>
      </c>
      <c r="C102" s="390" t="s">
        <v>17265</v>
      </c>
      <c r="D102" s="412"/>
      <c r="E102" s="413"/>
      <c r="F102" s="413"/>
      <c r="G102" s="413"/>
      <c r="H102" s="415"/>
      <c r="I102" s="325"/>
      <c r="J102" s="325"/>
      <c r="K102" s="325"/>
      <c r="L102" s="325"/>
      <c r="M102" s="325"/>
      <c r="N102" s="325"/>
      <c r="O102" s="325"/>
      <c r="P102" s="325"/>
      <c r="Q102" s="416"/>
      <c r="R102" s="417"/>
      <c r="S102" s="417"/>
      <c r="T102" s="325"/>
      <c r="U102" s="388"/>
      <c r="V102" s="343" t="s">
        <v>15625</v>
      </c>
      <c r="W102" s="325"/>
      <c r="X102" s="325"/>
      <c r="Y102" s="325"/>
      <c r="Z102" s="325"/>
      <c r="AA102" s="325"/>
      <c r="AB102" s="325"/>
      <c r="AC102" s="325"/>
      <c r="AD102" s="325"/>
      <c r="AE102" s="325"/>
      <c r="AF102" s="325"/>
      <c r="AG102" s="325"/>
      <c r="AH102" s="325"/>
      <c r="AI102" s="391" t="s">
        <v>15626</v>
      </c>
      <c r="AJ102" s="838">
        <f>AJ100</f>
        <v>1</v>
      </c>
      <c r="AK102" s="843"/>
      <c r="AL102" s="324" t="s">
        <v>15630</v>
      </c>
      <c r="AM102" s="325"/>
      <c r="AN102" s="325"/>
      <c r="AO102" s="325"/>
      <c r="AP102" s="325"/>
      <c r="AQ102" s="190" t="s">
        <v>398</v>
      </c>
      <c r="AR102" s="844">
        <f>AR98</f>
        <v>0.85</v>
      </c>
      <c r="AS102" s="844"/>
      <c r="AT102" s="505"/>
      <c r="AU102" s="506"/>
      <c r="AV102" s="844">
        <f>AV94</f>
        <v>0.8</v>
      </c>
      <c r="AW102" s="844"/>
      <c r="AX102" s="844"/>
      <c r="AY102" s="845"/>
      <c r="AZ102" s="491">
        <f>ROUND(ROUND(ROUND(ROUND(Q96*AJ102,0)*AR102,0)*$AT$96,0)*AV102,0)</f>
        <v>94</v>
      </c>
      <c r="BA102" s="418"/>
    </row>
    <row r="103" spans="1:53" ht="17.100000000000001" customHeight="1" x14ac:dyDescent="0.15">
      <c r="A103" s="340">
        <v>12</v>
      </c>
      <c r="B103" s="341">
        <v>8261</v>
      </c>
      <c r="C103" s="390" t="s">
        <v>17266</v>
      </c>
      <c r="D103" s="849" t="s">
        <v>15689</v>
      </c>
      <c r="E103" s="850"/>
      <c r="F103" s="850"/>
      <c r="G103" s="850"/>
      <c r="H103" s="852"/>
      <c r="I103" s="908" t="s">
        <v>15621</v>
      </c>
      <c r="J103" s="909"/>
      <c r="K103" s="909"/>
      <c r="L103" s="909"/>
      <c r="M103" s="909"/>
      <c r="N103" s="909"/>
      <c r="O103" s="909"/>
      <c r="P103" s="909"/>
      <c r="Q103" s="909"/>
      <c r="R103" s="909"/>
      <c r="S103" s="909"/>
      <c r="T103" s="909"/>
      <c r="U103" s="910"/>
      <c r="V103" s="343"/>
      <c r="W103" s="343"/>
      <c r="X103" s="343"/>
      <c r="Y103" s="343"/>
      <c r="Z103" s="343"/>
      <c r="AA103" s="343"/>
      <c r="AB103" s="343"/>
      <c r="AC103" s="343"/>
      <c r="AD103" s="343"/>
      <c r="AE103" s="343"/>
      <c r="AF103" s="343"/>
      <c r="AG103" s="343"/>
      <c r="AH103" s="343"/>
      <c r="AI103" s="343"/>
      <c r="AJ103" s="343"/>
      <c r="AK103" s="407"/>
      <c r="AL103" s="396"/>
      <c r="AM103" s="396"/>
      <c r="AN103" s="396"/>
      <c r="AO103" s="396"/>
      <c r="AP103" s="396"/>
      <c r="AQ103" s="396"/>
      <c r="AR103" s="396"/>
      <c r="AS103" s="396"/>
      <c r="AT103" s="920" t="s">
        <v>862</v>
      </c>
      <c r="AU103" s="917"/>
      <c r="AV103" s="400"/>
      <c r="AW103" s="400"/>
      <c r="AX103" s="396"/>
      <c r="AY103" s="397"/>
      <c r="AZ103" s="489">
        <f>ROUND(Q104*$AT$112,0)</f>
        <v>302</v>
      </c>
      <c r="BA103" s="329" t="s">
        <v>15622</v>
      </c>
    </row>
    <row r="104" spans="1:53" ht="16.5" customHeight="1" x14ac:dyDescent="0.15">
      <c r="A104" s="340">
        <v>12</v>
      </c>
      <c r="B104" s="341">
        <v>8262</v>
      </c>
      <c r="C104" s="390" t="s">
        <v>17267</v>
      </c>
      <c r="D104" s="849"/>
      <c r="E104" s="850"/>
      <c r="F104" s="850"/>
      <c r="G104" s="850"/>
      <c r="H104" s="852"/>
      <c r="Q104" s="836">
        <f>ROUND(Q200*$F$109,0)</f>
        <v>201</v>
      </c>
      <c r="R104" s="911"/>
      <c r="S104" s="911"/>
      <c r="T104" s="152" t="s">
        <v>15624</v>
      </c>
      <c r="U104" s="387"/>
      <c r="V104" s="343" t="s">
        <v>15625</v>
      </c>
      <c r="W104" s="325"/>
      <c r="X104" s="325"/>
      <c r="Y104" s="325"/>
      <c r="Z104" s="325"/>
      <c r="AA104" s="325"/>
      <c r="AB104" s="325"/>
      <c r="AC104" s="325"/>
      <c r="AD104" s="325"/>
      <c r="AE104" s="325"/>
      <c r="AF104" s="325"/>
      <c r="AG104" s="325"/>
      <c r="AH104" s="325"/>
      <c r="AI104" s="391" t="s">
        <v>15626</v>
      </c>
      <c r="AJ104" s="838">
        <f>'2重度訪問'!AN104</f>
        <v>1</v>
      </c>
      <c r="AK104" s="839"/>
      <c r="AQ104" s="152"/>
      <c r="AR104" s="152"/>
      <c r="AS104" s="152"/>
      <c r="AT104" s="912"/>
      <c r="AU104" s="913"/>
      <c r="AY104" s="387"/>
      <c r="AZ104" s="489">
        <f>ROUND(ROUND(Q104*AJ104,0)*$AT$112,0)</f>
        <v>302</v>
      </c>
      <c r="BA104" s="393"/>
    </row>
    <row r="105" spans="1:53" ht="16.5" customHeight="1" x14ac:dyDescent="0.15">
      <c r="A105" s="287">
        <v>12</v>
      </c>
      <c r="B105" s="287">
        <v>8263</v>
      </c>
      <c r="C105" s="394" t="s">
        <v>17268</v>
      </c>
      <c r="D105" s="849"/>
      <c r="E105" s="850"/>
      <c r="F105" s="850"/>
      <c r="G105" s="850"/>
      <c r="H105" s="852"/>
      <c r="Q105" s="395"/>
      <c r="R105" s="151"/>
      <c r="S105" s="151"/>
      <c r="U105" s="387"/>
      <c r="V105" s="343"/>
      <c r="W105" s="343"/>
      <c r="X105" s="343"/>
      <c r="Y105" s="343"/>
      <c r="Z105" s="343"/>
      <c r="AA105" s="343"/>
      <c r="AB105" s="343"/>
      <c r="AC105" s="343"/>
      <c r="AD105" s="343"/>
      <c r="AE105" s="343"/>
      <c r="AF105" s="343"/>
      <c r="AG105" s="343"/>
      <c r="AH105" s="343"/>
      <c r="AI105" s="343"/>
      <c r="AJ105" s="343"/>
      <c r="AK105" s="343"/>
      <c r="AL105" s="114" t="s">
        <v>15628</v>
      </c>
      <c r="AM105" s="396"/>
      <c r="AN105" s="396"/>
      <c r="AO105" s="396"/>
      <c r="AP105" s="396"/>
      <c r="AQ105" s="396"/>
      <c r="AR105" s="396"/>
      <c r="AS105" s="396"/>
      <c r="AT105" s="912"/>
      <c r="AU105" s="913"/>
      <c r="AY105" s="387"/>
      <c r="AZ105" s="489">
        <f>ROUND(ROUND(Q104*AR106,0)*$AT$112,0)</f>
        <v>257</v>
      </c>
      <c r="BA105" s="393"/>
    </row>
    <row r="106" spans="1:53" ht="16.5" customHeight="1" x14ac:dyDescent="0.15">
      <c r="A106" s="287">
        <v>12</v>
      </c>
      <c r="B106" s="287">
        <v>8264</v>
      </c>
      <c r="C106" s="394" t="s">
        <v>17269</v>
      </c>
      <c r="D106" s="849"/>
      <c r="E106" s="850"/>
      <c r="F106" s="850"/>
      <c r="G106" s="850"/>
      <c r="H106" s="852"/>
      <c r="Q106" s="395"/>
      <c r="R106" s="151"/>
      <c r="S106" s="151"/>
      <c r="U106" s="387"/>
      <c r="V106" s="343" t="s">
        <v>15625</v>
      </c>
      <c r="W106" s="325"/>
      <c r="X106" s="325"/>
      <c r="Y106" s="325"/>
      <c r="Z106" s="325"/>
      <c r="AA106" s="325"/>
      <c r="AB106" s="325"/>
      <c r="AC106" s="325"/>
      <c r="AD106" s="325"/>
      <c r="AE106" s="325"/>
      <c r="AF106" s="325"/>
      <c r="AG106" s="325"/>
      <c r="AH106" s="325"/>
      <c r="AI106" s="391" t="s">
        <v>15626</v>
      </c>
      <c r="AJ106" s="838">
        <f>AJ104</f>
        <v>1</v>
      </c>
      <c r="AK106" s="843"/>
      <c r="AL106" s="324" t="s">
        <v>15630</v>
      </c>
      <c r="AM106" s="325"/>
      <c r="AN106" s="325"/>
      <c r="AO106" s="325"/>
      <c r="AP106" s="325"/>
      <c r="AQ106" s="190" t="s">
        <v>398</v>
      </c>
      <c r="AR106" s="844">
        <f>'2重度訪問'!AV106</f>
        <v>0.85</v>
      </c>
      <c r="AS106" s="844"/>
      <c r="AT106" s="912"/>
      <c r="AU106" s="913"/>
      <c r="AY106" s="387"/>
      <c r="AZ106" s="489">
        <f>ROUND(ROUND(ROUND(Q104*AJ106,0)*AR106,0)*$AT$112,0)</f>
        <v>257</v>
      </c>
      <c r="BA106" s="393"/>
    </row>
    <row r="107" spans="1:53" ht="17.100000000000001" customHeight="1" x14ac:dyDescent="0.15">
      <c r="A107" s="340">
        <v>12</v>
      </c>
      <c r="B107" s="341">
        <v>8265</v>
      </c>
      <c r="C107" s="390" t="s">
        <v>17270</v>
      </c>
      <c r="D107" s="832" t="s">
        <v>15632</v>
      </c>
      <c r="E107" s="833"/>
      <c r="F107" s="833"/>
      <c r="G107" s="833"/>
      <c r="H107" s="835"/>
      <c r="L107" s="151"/>
      <c r="M107" s="151"/>
      <c r="N107" s="151"/>
      <c r="U107" s="387"/>
      <c r="V107" s="343"/>
      <c r="W107" s="343"/>
      <c r="X107" s="343"/>
      <c r="Y107" s="343"/>
      <c r="Z107" s="343"/>
      <c r="AA107" s="343"/>
      <c r="AB107" s="343"/>
      <c r="AC107" s="343"/>
      <c r="AD107" s="343"/>
      <c r="AE107" s="343"/>
      <c r="AF107" s="343"/>
      <c r="AG107" s="343"/>
      <c r="AH107" s="343"/>
      <c r="AI107" s="343"/>
      <c r="AJ107" s="343"/>
      <c r="AK107" s="407"/>
      <c r="AL107" s="396"/>
      <c r="AM107" s="396"/>
      <c r="AN107" s="396"/>
      <c r="AO107" s="396"/>
      <c r="AP107" s="396"/>
      <c r="AQ107" s="396"/>
      <c r="AR107" s="396"/>
      <c r="AS107" s="396"/>
      <c r="AT107" s="912"/>
      <c r="AU107" s="913"/>
      <c r="AV107" s="858" t="s">
        <v>16296</v>
      </c>
      <c r="AW107" s="858"/>
      <c r="AX107" s="858"/>
      <c r="AY107" s="860"/>
      <c r="AZ107" s="489">
        <f>ROUND(ROUND(Q104*$AT$112,0)*AV110,0)</f>
        <v>242</v>
      </c>
      <c r="BA107" s="339"/>
    </row>
    <row r="108" spans="1:53" ht="16.5" customHeight="1" x14ac:dyDescent="0.15">
      <c r="A108" s="340">
        <v>12</v>
      </c>
      <c r="B108" s="341">
        <v>8266</v>
      </c>
      <c r="C108" s="390" t="s">
        <v>17271</v>
      </c>
      <c r="D108" s="832"/>
      <c r="E108" s="833"/>
      <c r="F108" s="833"/>
      <c r="G108" s="833"/>
      <c r="H108" s="835"/>
      <c r="Q108" s="899"/>
      <c r="R108" s="899"/>
      <c r="S108" s="899"/>
      <c r="U108" s="387"/>
      <c r="V108" s="343" t="s">
        <v>15625</v>
      </c>
      <c r="W108" s="325"/>
      <c r="X108" s="325"/>
      <c r="Y108" s="325"/>
      <c r="Z108" s="325"/>
      <c r="AA108" s="325"/>
      <c r="AB108" s="325"/>
      <c r="AC108" s="325"/>
      <c r="AD108" s="325"/>
      <c r="AE108" s="325"/>
      <c r="AF108" s="325"/>
      <c r="AG108" s="325"/>
      <c r="AH108" s="325"/>
      <c r="AI108" s="391" t="s">
        <v>15626</v>
      </c>
      <c r="AJ108" s="838">
        <f>AJ106</f>
        <v>1</v>
      </c>
      <c r="AK108" s="839"/>
      <c r="AQ108" s="152"/>
      <c r="AR108" s="152"/>
      <c r="AS108" s="152"/>
      <c r="AT108" s="912"/>
      <c r="AU108" s="913"/>
      <c r="AV108" s="850"/>
      <c r="AW108" s="850"/>
      <c r="AX108" s="850"/>
      <c r="AY108" s="852"/>
      <c r="AZ108" s="489">
        <f>ROUND(ROUND(ROUND(Q104*AJ108,0)*$AT$112,0)*AV110,0)</f>
        <v>242</v>
      </c>
      <c r="BA108" s="393"/>
    </row>
    <row r="109" spans="1:53" ht="16.5" customHeight="1" x14ac:dyDescent="0.15">
      <c r="A109" s="287">
        <v>12</v>
      </c>
      <c r="B109" s="287">
        <v>8267</v>
      </c>
      <c r="C109" s="394" t="s">
        <v>17272</v>
      </c>
      <c r="D109" s="403"/>
      <c r="E109" s="404" t="s">
        <v>15636</v>
      </c>
      <c r="F109" s="854">
        <f>'2重度訪問 (入院入所中)'!F109</f>
        <v>1.085</v>
      </c>
      <c r="G109" s="855"/>
      <c r="H109" s="856"/>
      <c r="Q109" s="395"/>
      <c r="R109" s="151"/>
      <c r="S109" s="151"/>
      <c r="U109" s="387"/>
      <c r="V109" s="343"/>
      <c r="W109" s="343"/>
      <c r="X109" s="343"/>
      <c r="Y109" s="343"/>
      <c r="Z109" s="343"/>
      <c r="AA109" s="343"/>
      <c r="AB109" s="343"/>
      <c r="AC109" s="343"/>
      <c r="AD109" s="343"/>
      <c r="AE109" s="343"/>
      <c r="AF109" s="343"/>
      <c r="AG109" s="343"/>
      <c r="AH109" s="343"/>
      <c r="AI109" s="343"/>
      <c r="AJ109" s="343"/>
      <c r="AK109" s="343"/>
      <c r="AL109" s="114" t="s">
        <v>15628</v>
      </c>
      <c r="AM109" s="396"/>
      <c r="AN109" s="396"/>
      <c r="AO109" s="396"/>
      <c r="AP109" s="396"/>
      <c r="AQ109" s="396"/>
      <c r="AR109" s="396"/>
      <c r="AS109" s="396"/>
      <c r="AT109" s="912"/>
      <c r="AU109" s="913"/>
      <c r="AV109" s="902" t="s">
        <v>15636</v>
      </c>
      <c r="AW109" s="902"/>
      <c r="AX109" s="902"/>
      <c r="AY109" s="903"/>
      <c r="AZ109" s="489">
        <f>ROUND(ROUND(ROUND(Q104*AR110,0)*$AT$112,0)*AV110,0)</f>
        <v>206</v>
      </c>
      <c r="BA109" s="393"/>
    </row>
    <row r="110" spans="1:53" ht="16.5" customHeight="1" x14ac:dyDescent="0.15">
      <c r="A110" s="287">
        <v>12</v>
      </c>
      <c r="B110" s="287">
        <v>8268</v>
      </c>
      <c r="C110" s="394" t="s">
        <v>17273</v>
      </c>
      <c r="D110" s="403"/>
      <c r="E110" s="404"/>
      <c r="F110" s="404"/>
      <c r="G110" s="404"/>
      <c r="H110" s="406"/>
      <c r="Q110" s="395"/>
      <c r="R110" s="151"/>
      <c r="S110" s="151"/>
      <c r="U110" s="387"/>
      <c r="V110" s="343" t="s">
        <v>15625</v>
      </c>
      <c r="W110" s="325"/>
      <c r="X110" s="325"/>
      <c r="Y110" s="325"/>
      <c r="Z110" s="325"/>
      <c r="AA110" s="325"/>
      <c r="AB110" s="325"/>
      <c r="AC110" s="325"/>
      <c r="AD110" s="325"/>
      <c r="AE110" s="325"/>
      <c r="AF110" s="325"/>
      <c r="AG110" s="325"/>
      <c r="AH110" s="325"/>
      <c r="AI110" s="391" t="s">
        <v>15626</v>
      </c>
      <c r="AJ110" s="838">
        <f>AJ108</f>
        <v>1</v>
      </c>
      <c r="AK110" s="843"/>
      <c r="AL110" s="324" t="s">
        <v>15630</v>
      </c>
      <c r="AM110" s="325"/>
      <c r="AN110" s="325"/>
      <c r="AO110" s="325"/>
      <c r="AP110" s="325"/>
      <c r="AQ110" s="190" t="s">
        <v>398</v>
      </c>
      <c r="AR110" s="844">
        <f>AR106</f>
        <v>0.85</v>
      </c>
      <c r="AS110" s="844"/>
      <c r="AT110" s="912"/>
      <c r="AU110" s="913"/>
      <c r="AV110" s="844">
        <f>AV102</f>
        <v>0.8</v>
      </c>
      <c r="AW110" s="844"/>
      <c r="AX110" s="844"/>
      <c r="AY110" s="845"/>
      <c r="AZ110" s="489">
        <f>ROUND(ROUND(ROUND(ROUND(Q104*AJ110,0)*AR110,0)*$AT$112,0)*AV110,0)</f>
        <v>206</v>
      </c>
      <c r="BA110" s="393"/>
    </row>
    <row r="111" spans="1:53" ht="16.5" customHeight="1" x14ac:dyDescent="0.15">
      <c r="A111" s="340">
        <v>12</v>
      </c>
      <c r="B111" s="341">
        <v>8269</v>
      </c>
      <c r="C111" s="390" t="s">
        <v>17274</v>
      </c>
      <c r="D111" s="494"/>
      <c r="E111" s="151"/>
      <c r="F111" s="151"/>
      <c r="G111" s="151"/>
      <c r="H111" s="495"/>
      <c r="I111" s="908" t="s">
        <v>15633</v>
      </c>
      <c r="J111" s="909"/>
      <c r="K111" s="909"/>
      <c r="L111" s="909"/>
      <c r="M111" s="909"/>
      <c r="N111" s="909"/>
      <c r="O111" s="909"/>
      <c r="P111" s="909"/>
      <c r="Q111" s="909"/>
      <c r="R111" s="909"/>
      <c r="S111" s="909"/>
      <c r="T111" s="909"/>
      <c r="U111" s="910"/>
      <c r="V111" s="343"/>
      <c r="W111" s="325"/>
      <c r="X111" s="325"/>
      <c r="Y111" s="325"/>
      <c r="Z111" s="325"/>
      <c r="AA111" s="325"/>
      <c r="AB111" s="325"/>
      <c r="AC111" s="325"/>
      <c r="AD111" s="325"/>
      <c r="AE111" s="325"/>
      <c r="AF111" s="325"/>
      <c r="AG111" s="325"/>
      <c r="AH111" s="325"/>
      <c r="AI111" s="391"/>
      <c r="AJ111" s="401"/>
      <c r="AK111" s="402"/>
      <c r="AQ111" s="152"/>
      <c r="AR111" s="152"/>
      <c r="AS111" s="152"/>
      <c r="AT111" s="918" t="s">
        <v>15636</v>
      </c>
      <c r="AU111" s="913"/>
      <c r="AV111" s="400"/>
      <c r="AW111" s="400"/>
      <c r="AX111" s="396"/>
      <c r="AY111" s="397"/>
      <c r="AZ111" s="489">
        <f>ROUND(Q112*$AT$112,0)</f>
        <v>147</v>
      </c>
      <c r="BA111" s="393"/>
    </row>
    <row r="112" spans="1:53" ht="16.5" customHeight="1" x14ac:dyDescent="0.15">
      <c r="A112" s="340">
        <v>12</v>
      </c>
      <c r="B112" s="341">
        <v>8270</v>
      </c>
      <c r="C112" s="390" t="s">
        <v>17275</v>
      </c>
      <c r="D112" s="494"/>
      <c r="E112" s="151"/>
      <c r="F112" s="151"/>
      <c r="G112" s="151"/>
      <c r="H112" s="495"/>
      <c r="Q112" s="836">
        <f>ROUND(Q208*$F$109,0)</f>
        <v>98</v>
      </c>
      <c r="R112" s="911"/>
      <c r="S112" s="911"/>
      <c r="T112" s="152" t="s">
        <v>15624</v>
      </c>
      <c r="U112" s="387"/>
      <c r="V112" s="343" t="s">
        <v>15625</v>
      </c>
      <c r="W112" s="325"/>
      <c r="X112" s="325"/>
      <c r="Y112" s="325"/>
      <c r="Z112" s="325"/>
      <c r="AA112" s="325"/>
      <c r="AB112" s="325"/>
      <c r="AC112" s="325"/>
      <c r="AD112" s="325"/>
      <c r="AE112" s="325"/>
      <c r="AF112" s="325"/>
      <c r="AG112" s="325"/>
      <c r="AH112" s="325"/>
      <c r="AI112" s="391" t="s">
        <v>15626</v>
      </c>
      <c r="AJ112" s="838">
        <f>AJ110</f>
        <v>1</v>
      </c>
      <c r="AK112" s="839"/>
      <c r="AQ112" s="152"/>
      <c r="AR112" s="152"/>
      <c r="AS112" s="152"/>
      <c r="AT112" s="919">
        <f>AT96</f>
        <v>1.5</v>
      </c>
      <c r="AU112" s="915"/>
      <c r="AY112" s="387"/>
      <c r="AZ112" s="489">
        <f>ROUND(ROUND(Q112*AJ112,0)*$AT$112,0)</f>
        <v>147</v>
      </c>
      <c r="BA112" s="393"/>
    </row>
    <row r="113" spans="1:53" ht="16.5" customHeight="1" x14ac:dyDescent="0.15">
      <c r="A113" s="287">
        <v>12</v>
      </c>
      <c r="B113" s="287">
        <v>8271</v>
      </c>
      <c r="C113" s="394" t="s">
        <v>17276</v>
      </c>
      <c r="D113" s="494"/>
      <c r="E113" s="151"/>
      <c r="F113" s="151"/>
      <c r="G113" s="151"/>
      <c r="H113" s="495"/>
      <c r="Q113" s="395"/>
      <c r="R113" s="151"/>
      <c r="S113" s="151"/>
      <c r="U113" s="387"/>
      <c r="V113" s="343"/>
      <c r="W113" s="343"/>
      <c r="X113" s="343"/>
      <c r="Y113" s="343"/>
      <c r="Z113" s="343"/>
      <c r="AA113" s="343"/>
      <c r="AB113" s="343"/>
      <c r="AC113" s="343"/>
      <c r="AD113" s="343"/>
      <c r="AE113" s="343"/>
      <c r="AF113" s="343"/>
      <c r="AG113" s="343"/>
      <c r="AH113" s="343"/>
      <c r="AI113" s="343"/>
      <c r="AJ113" s="343"/>
      <c r="AK113" s="343"/>
      <c r="AL113" s="114" t="s">
        <v>15628</v>
      </c>
      <c r="AM113" s="396"/>
      <c r="AN113" s="396"/>
      <c r="AO113" s="396"/>
      <c r="AP113" s="396"/>
      <c r="AQ113" s="396"/>
      <c r="AR113" s="396"/>
      <c r="AS113" s="396"/>
      <c r="AT113" s="490"/>
      <c r="AU113" s="387"/>
      <c r="AY113" s="387"/>
      <c r="AZ113" s="489">
        <f>ROUND(ROUND(Q112*AR114,0)*$AT$112,0)</f>
        <v>125</v>
      </c>
      <c r="BA113" s="393"/>
    </row>
    <row r="114" spans="1:53" ht="16.5" customHeight="1" x14ac:dyDescent="0.15">
      <c r="A114" s="287">
        <v>12</v>
      </c>
      <c r="B114" s="287">
        <v>8272</v>
      </c>
      <c r="C114" s="394" t="s">
        <v>17277</v>
      </c>
      <c r="D114" s="403"/>
      <c r="E114" s="404"/>
      <c r="F114" s="404"/>
      <c r="G114" s="404"/>
      <c r="H114" s="406"/>
      <c r="Q114" s="395"/>
      <c r="R114" s="151"/>
      <c r="S114" s="151"/>
      <c r="U114" s="387"/>
      <c r="V114" s="343" t="s">
        <v>15625</v>
      </c>
      <c r="W114" s="325"/>
      <c r="X114" s="325"/>
      <c r="Y114" s="325"/>
      <c r="Z114" s="325"/>
      <c r="AA114" s="325"/>
      <c r="AB114" s="325"/>
      <c r="AC114" s="325"/>
      <c r="AD114" s="325"/>
      <c r="AE114" s="325"/>
      <c r="AF114" s="325"/>
      <c r="AG114" s="325"/>
      <c r="AH114" s="325"/>
      <c r="AI114" s="391" t="s">
        <v>15626</v>
      </c>
      <c r="AJ114" s="838">
        <f>AJ112</f>
        <v>1</v>
      </c>
      <c r="AK114" s="843"/>
      <c r="AL114" s="324" t="s">
        <v>15630</v>
      </c>
      <c r="AM114" s="325"/>
      <c r="AN114" s="325"/>
      <c r="AO114" s="325"/>
      <c r="AP114" s="325"/>
      <c r="AQ114" s="190" t="s">
        <v>398</v>
      </c>
      <c r="AR114" s="844">
        <f>AR110</f>
        <v>0.85</v>
      </c>
      <c r="AS114" s="844"/>
      <c r="AT114" s="501"/>
      <c r="AU114" s="502"/>
      <c r="AY114" s="387"/>
      <c r="AZ114" s="489">
        <f>ROUND(ROUND(ROUND(Q112*AJ114,0)*AR114,0)*$AT$112,0)</f>
        <v>125</v>
      </c>
      <c r="BA114" s="393"/>
    </row>
    <row r="115" spans="1:53" ht="16.5" customHeight="1" x14ac:dyDescent="0.15">
      <c r="A115" s="340">
        <v>12</v>
      </c>
      <c r="B115" s="341">
        <v>8273</v>
      </c>
      <c r="C115" s="390" t="s">
        <v>17278</v>
      </c>
      <c r="D115" s="494"/>
      <c r="E115" s="151"/>
      <c r="F115" s="151"/>
      <c r="G115" s="151"/>
      <c r="H115" s="495"/>
      <c r="I115" s="254"/>
      <c r="Q115" s="395"/>
      <c r="R115" s="151"/>
      <c r="S115" s="151"/>
      <c r="U115" s="387"/>
      <c r="V115" s="343"/>
      <c r="W115" s="325"/>
      <c r="X115" s="325"/>
      <c r="Y115" s="325"/>
      <c r="Z115" s="325"/>
      <c r="AA115" s="325"/>
      <c r="AB115" s="325"/>
      <c r="AC115" s="325"/>
      <c r="AD115" s="325"/>
      <c r="AE115" s="325"/>
      <c r="AF115" s="325"/>
      <c r="AG115" s="325"/>
      <c r="AH115" s="325"/>
      <c r="AI115" s="391"/>
      <c r="AJ115" s="401"/>
      <c r="AK115" s="402"/>
      <c r="AQ115" s="152"/>
      <c r="AR115" s="152"/>
      <c r="AS115" s="152"/>
      <c r="AT115" s="490"/>
      <c r="AU115" s="387"/>
      <c r="AV115" s="858" t="s">
        <v>16296</v>
      </c>
      <c r="AW115" s="858"/>
      <c r="AX115" s="858"/>
      <c r="AY115" s="860"/>
      <c r="AZ115" s="489">
        <f>ROUND(ROUND(Q112*$AT$112,0)*AV118,0)</f>
        <v>118</v>
      </c>
      <c r="BA115" s="393"/>
    </row>
    <row r="116" spans="1:53" ht="16.5" customHeight="1" x14ac:dyDescent="0.15">
      <c r="A116" s="340">
        <v>12</v>
      </c>
      <c r="B116" s="341">
        <v>8274</v>
      </c>
      <c r="C116" s="390" t="s">
        <v>17279</v>
      </c>
      <c r="D116" s="494"/>
      <c r="E116" s="151"/>
      <c r="F116" s="151"/>
      <c r="G116" s="151"/>
      <c r="H116" s="495"/>
      <c r="Q116" s="899"/>
      <c r="R116" s="899"/>
      <c r="S116" s="899"/>
      <c r="U116" s="387"/>
      <c r="V116" s="343" t="s">
        <v>15625</v>
      </c>
      <c r="W116" s="325"/>
      <c r="X116" s="325"/>
      <c r="Y116" s="325"/>
      <c r="Z116" s="325"/>
      <c r="AA116" s="325"/>
      <c r="AB116" s="325"/>
      <c r="AC116" s="325"/>
      <c r="AD116" s="325"/>
      <c r="AE116" s="325"/>
      <c r="AF116" s="325"/>
      <c r="AG116" s="325"/>
      <c r="AH116" s="325"/>
      <c r="AI116" s="391" t="s">
        <v>15626</v>
      </c>
      <c r="AJ116" s="838">
        <f>AJ114</f>
        <v>1</v>
      </c>
      <c r="AK116" s="839"/>
      <c r="AQ116" s="152"/>
      <c r="AR116" s="152"/>
      <c r="AS116" s="152"/>
      <c r="AT116" s="490"/>
      <c r="AU116" s="387"/>
      <c r="AV116" s="850"/>
      <c r="AW116" s="850"/>
      <c r="AX116" s="850"/>
      <c r="AY116" s="852"/>
      <c r="AZ116" s="489">
        <f>ROUND(ROUND(ROUND(Q112*AJ116,0)*$AT$112,0)*AV118,0)</f>
        <v>118</v>
      </c>
      <c r="BA116" s="393"/>
    </row>
    <row r="117" spans="1:53" ht="16.5" customHeight="1" x14ac:dyDescent="0.15">
      <c r="A117" s="287">
        <v>12</v>
      </c>
      <c r="B117" s="287">
        <v>8275</v>
      </c>
      <c r="C117" s="394" t="s">
        <v>17280</v>
      </c>
      <c r="D117" s="494"/>
      <c r="E117" s="151"/>
      <c r="F117" s="151"/>
      <c r="G117" s="151"/>
      <c r="H117" s="495"/>
      <c r="Q117" s="395"/>
      <c r="R117" s="151"/>
      <c r="S117" s="151"/>
      <c r="U117" s="387"/>
      <c r="V117" s="343"/>
      <c r="W117" s="343"/>
      <c r="X117" s="343"/>
      <c r="Y117" s="343"/>
      <c r="Z117" s="343"/>
      <c r="AA117" s="343"/>
      <c r="AB117" s="343"/>
      <c r="AC117" s="343"/>
      <c r="AD117" s="343"/>
      <c r="AE117" s="343"/>
      <c r="AF117" s="343"/>
      <c r="AG117" s="343"/>
      <c r="AH117" s="343"/>
      <c r="AI117" s="343"/>
      <c r="AJ117" s="343"/>
      <c r="AK117" s="343"/>
      <c r="AL117" s="114" t="s">
        <v>15628</v>
      </c>
      <c r="AM117" s="396"/>
      <c r="AN117" s="396"/>
      <c r="AO117" s="396"/>
      <c r="AP117" s="396"/>
      <c r="AQ117" s="396"/>
      <c r="AR117" s="396"/>
      <c r="AS117" s="396"/>
      <c r="AT117" s="490"/>
      <c r="AU117" s="387"/>
      <c r="AV117" s="902" t="s">
        <v>15636</v>
      </c>
      <c r="AW117" s="902"/>
      <c r="AX117" s="902"/>
      <c r="AY117" s="903"/>
      <c r="AZ117" s="489">
        <f>ROUND(ROUND(ROUND(Q112*AR118,0)*$AT$112,0)*AV118,0)</f>
        <v>100</v>
      </c>
      <c r="BA117" s="393"/>
    </row>
    <row r="118" spans="1:53" ht="16.5" customHeight="1" x14ac:dyDescent="0.15">
      <c r="A118" s="287">
        <v>12</v>
      </c>
      <c r="B118" s="287">
        <v>8276</v>
      </c>
      <c r="C118" s="394" t="s">
        <v>17281</v>
      </c>
      <c r="D118" s="403"/>
      <c r="E118" s="404"/>
      <c r="F118" s="404"/>
      <c r="G118" s="404"/>
      <c r="H118" s="406"/>
      <c r="Q118" s="395"/>
      <c r="R118" s="151"/>
      <c r="S118" s="151"/>
      <c r="U118" s="387"/>
      <c r="V118" s="343" t="s">
        <v>15625</v>
      </c>
      <c r="W118" s="325"/>
      <c r="X118" s="325"/>
      <c r="Y118" s="325"/>
      <c r="Z118" s="325"/>
      <c r="AA118" s="325"/>
      <c r="AB118" s="325"/>
      <c r="AC118" s="325"/>
      <c r="AD118" s="325"/>
      <c r="AE118" s="325"/>
      <c r="AF118" s="325"/>
      <c r="AG118" s="325"/>
      <c r="AH118" s="325"/>
      <c r="AI118" s="391" t="s">
        <v>15626</v>
      </c>
      <c r="AJ118" s="838">
        <f>AJ116</f>
        <v>1</v>
      </c>
      <c r="AK118" s="843"/>
      <c r="AL118" s="324" t="s">
        <v>15630</v>
      </c>
      <c r="AM118" s="325"/>
      <c r="AN118" s="325"/>
      <c r="AO118" s="325"/>
      <c r="AP118" s="325"/>
      <c r="AQ118" s="190" t="s">
        <v>398</v>
      </c>
      <c r="AR118" s="844">
        <f>AR114</f>
        <v>0.85</v>
      </c>
      <c r="AS118" s="844"/>
      <c r="AT118" s="501"/>
      <c r="AU118" s="502"/>
      <c r="AV118" s="844">
        <f>AV110</f>
        <v>0.8</v>
      </c>
      <c r="AW118" s="844"/>
      <c r="AX118" s="844"/>
      <c r="AY118" s="845"/>
      <c r="AZ118" s="489">
        <f>ROUND(ROUND(ROUND(ROUND(Q112*AJ118,0)*AR118,0)*$AT$112,0)*AV118,0)</f>
        <v>100</v>
      </c>
      <c r="BA118" s="393"/>
    </row>
    <row r="119" spans="1:53" ht="16.5" customHeight="1" x14ac:dyDescent="0.15">
      <c r="A119" s="340">
        <v>12</v>
      </c>
      <c r="B119" s="341">
        <v>8277</v>
      </c>
      <c r="C119" s="390" t="s">
        <v>17282</v>
      </c>
      <c r="D119" s="403"/>
      <c r="E119" s="404"/>
      <c r="F119" s="404"/>
      <c r="G119" s="404"/>
      <c r="H119" s="406"/>
      <c r="I119" s="908" t="s">
        <v>16309</v>
      </c>
      <c r="J119" s="909"/>
      <c r="K119" s="909"/>
      <c r="L119" s="909"/>
      <c r="M119" s="909"/>
      <c r="N119" s="909"/>
      <c r="O119" s="909"/>
      <c r="P119" s="909"/>
      <c r="Q119" s="909"/>
      <c r="R119" s="909"/>
      <c r="S119" s="909"/>
      <c r="T119" s="909"/>
      <c r="U119" s="910"/>
      <c r="V119" s="343"/>
      <c r="W119" s="325"/>
      <c r="X119" s="325"/>
      <c r="Y119" s="325"/>
      <c r="Z119" s="325"/>
      <c r="AA119" s="325"/>
      <c r="AB119" s="325"/>
      <c r="AC119" s="325"/>
      <c r="AD119" s="325"/>
      <c r="AE119" s="325"/>
      <c r="AF119" s="325"/>
      <c r="AG119" s="325"/>
      <c r="AH119" s="325"/>
      <c r="AI119" s="391"/>
      <c r="AJ119" s="401"/>
      <c r="AK119" s="402"/>
      <c r="AL119" s="396"/>
      <c r="AM119" s="396"/>
      <c r="AN119" s="396"/>
      <c r="AO119" s="396"/>
      <c r="AP119" s="396"/>
      <c r="AQ119" s="396"/>
      <c r="AR119" s="396"/>
      <c r="AS119" s="396"/>
      <c r="AT119" s="490"/>
      <c r="AU119" s="387"/>
      <c r="AV119" s="400"/>
      <c r="AW119" s="400"/>
      <c r="AX119" s="396"/>
      <c r="AY119" s="397"/>
      <c r="AZ119" s="489">
        <f>ROUND(Q120*$AT$112,0)</f>
        <v>150</v>
      </c>
      <c r="BA119" s="393"/>
    </row>
    <row r="120" spans="1:53" ht="16.5" customHeight="1" x14ac:dyDescent="0.15">
      <c r="A120" s="340">
        <v>12</v>
      </c>
      <c r="B120" s="341">
        <v>8278</v>
      </c>
      <c r="C120" s="390" t="s">
        <v>17283</v>
      </c>
      <c r="D120" s="403"/>
      <c r="E120" s="404"/>
      <c r="F120" s="404"/>
      <c r="G120" s="404"/>
      <c r="H120" s="406"/>
      <c r="Q120" s="836">
        <f>ROUND(Q216*$F$109,0)</f>
        <v>100</v>
      </c>
      <c r="R120" s="911"/>
      <c r="S120" s="911"/>
      <c r="T120" s="152" t="s">
        <v>15624</v>
      </c>
      <c r="U120" s="387"/>
      <c r="V120" s="343" t="s">
        <v>15625</v>
      </c>
      <c r="W120" s="325"/>
      <c r="X120" s="325"/>
      <c r="Y120" s="325"/>
      <c r="Z120" s="325"/>
      <c r="AA120" s="325"/>
      <c r="AB120" s="325"/>
      <c r="AC120" s="325"/>
      <c r="AD120" s="325"/>
      <c r="AE120" s="325"/>
      <c r="AF120" s="325"/>
      <c r="AG120" s="325"/>
      <c r="AH120" s="325"/>
      <c r="AI120" s="391" t="s">
        <v>15626</v>
      </c>
      <c r="AJ120" s="838">
        <f>AJ118</f>
        <v>1</v>
      </c>
      <c r="AK120" s="839"/>
      <c r="AL120" s="325"/>
      <c r="AM120" s="325"/>
      <c r="AN120" s="325"/>
      <c r="AO120" s="325"/>
      <c r="AP120" s="325"/>
      <c r="AQ120" s="325"/>
      <c r="AR120" s="325"/>
      <c r="AS120" s="325"/>
      <c r="AT120" s="490"/>
      <c r="AU120" s="387"/>
      <c r="AY120" s="387"/>
      <c r="AZ120" s="489">
        <f>ROUND(ROUND(Q120*AJ120,0)*$AT$112,0)</f>
        <v>150</v>
      </c>
      <c r="BA120" s="393"/>
    </row>
    <row r="121" spans="1:53" ht="16.5" customHeight="1" x14ac:dyDescent="0.15">
      <c r="A121" s="287">
        <v>12</v>
      </c>
      <c r="B121" s="287">
        <v>8279</v>
      </c>
      <c r="C121" s="394" t="s">
        <v>17284</v>
      </c>
      <c r="D121" s="403"/>
      <c r="E121" s="404"/>
      <c r="F121" s="404"/>
      <c r="G121" s="404"/>
      <c r="H121" s="406"/>
      <c r="Q121" s="395"/>
      <c r="R121" s="151"/>
      <c r="S121" s="151"/>
      <c r="U121" s="387"/>
      <c r="V121" s="343"/>
      <c r="W121" s="343"/>
      <c r="X121" s="343"/>
      <c r="Y121" s="343"/>
      <c r="Z121" s="343"/>
      <c r="AA121" s="343"/>
      <c r="AB121" s="343"/>
      <c r="AC121" s="343"/>
      <c r="AD121" s="343"/>
      <c r="AE121" s="343"/>
      <c r="AF121" s="343"/>
      <c r="AG121" s="343"/>
      <c r="AH121" s="343"/>
      <c r="AI121" s="343"/>
      <c r="AJ121" s="343"/>
      <c r="AK121" s="343"/>
      <c r="AL121" s="114" t="s">
        <v>15628</v>
      </c>
      <c r="AM121" s="396"/>
      <c r="AN121" s="396"/>
      <c r="AO121" s="396"/>
      <c r="AP121" s="396"/>
      <c r="AQ121" s="396"/>
      <c r="AR121" s="396"/>
      <c r="AS121" s="396"/>
      <c r="AT121" s="490"/>
      <c r="AU121" s="387"/>
      <c r="AY121" s="387"/>
      <c r="AZ121" s="489">
        <f>ROUND(ROUND(Q120*AR122,0)*$AT$112,0)</f>
        <v>128</v>
      </c>
      <c r="BA121" s="393"/>
    </row>
    <row r="122" spans="1:53" ht="16.5" customHeight="1" x14ac:dyDescent="0.15">
      <c r="A122" s="287">
        <v>12</v>
      </c>
      <c r="B122" s="287">
        <v>8280</v>
      </c>
      <c r="C122" s="394" t="s">
        <v>17285</v>
      </c>
      <c r="D122" s="403"/>
      <c r="E122" s="404"/>
      <c r="F122" s="404"/>
      <c r="G122" s="404"/>
      <c r="H122" s="406"/>
      <c r="Q122" s="395"/>
      <c r="R122" s="151"/>
      <c r="S122" s="151"/>
      <c r="U122" s="387"/>
      <c r="V122" s="343" t="s">
        <v>15625</v>
      </c>
      <c r="W122" s="325"/>
      <c r="X122" s="325"/>
      <c r="Y122" s="325"/>
      <c r="Z122" s="325"/>
      <c r="AA122" s="325"/>
      <c r="AB122" s="325"/>
      <c r="AC122" s="325"/>
      <c r="AD122" s="325"/>
      <c r="AE122" s="325"/>
      <c r="AF122" s="325"/>
      <c r="AG122" s="325"/>
      <c r="AH122" s="325"/>
      <c r="AI122" s="391" t="s">
        <v>15626</v>
      </c>
      <c r="AJ122" s="838">
        <f>AJ120</f>
        <v>1</v>
      </c>
      <c r="AK122" s="843"/>
      <c r="AL122" s="324" t="s">
        <v>15630</v>
      </c>
      <c r="AM122" s="325"/>
      <c r="AN122" s="325"/>
      <c r="AO122" s="325"/>
      <c r="AP122" s="325"/>
      <c r="AQ122" s="190" t="s">
        <v>398</v>
      </c>
      <c r="AR122" s="844">
        <f>AR118</f>
        <v>0.85</v>
      </c>
      <c r="AS122" s="844"/>
      <c r="AT122" s="501"/>
      <c r="AU122" s="502"/>
      <c r="AY122" s="387"/>
      <c r="AZ122" s="489">
        <f>ROUND(ROUND(ROUND(Q120*AJ122,0)*AR122,0)*$AT$112,0)</f>
        <v>128</v>
      </c>
      <c r="BA122" s="393"/>
    </row>
    <row r="123" spans="1:53" ht="16.5" customHeight="1" x14ac:dyDescent="0.15">
      <c r="A123" s="340">
        <v>12</v>
      </c>
      <c r="B123" s="341">
        <v>8281</v>
      </c>
      <c r="C123" s="390" t="s">
        <v>17286</v>
      </c>
      <c r="D123" s="403"/>
      <c r="E123" s="404"/>
      <c r="F123" s="404"/>
      <c r="G123" s="404"/>
      <c r="H123" s="406"/>
      <c r="I123" s="10"/>
      <c r="Q123" s="395"/>
      <c r="R123" s="151"/>
      <c r="S123" s="151"/>
      <c r="U123" s="387"/>
      <c r="V123" s="343"/>
      <c r="W123" s="325"/>
      <c r="X123" s="325"/>
      <c r="Y123" s="325"/>
      <c r="Z123" s="325"/>
      <c r="AA123" s="325"/>
      <c r="AB123" s="325"/>
      <c r="AC123" s="325"/>
      <c r="AD123" s="325"/>
      <c r="AE123" s="325"/>
      <c r="AF123" s="325"/>
      <c r="AG123" s="325"/>
      <c r="AH123" s="325"/>
      <c r="AI123" s="391"/>
      <c r="AJ123" s="401"/>
      <c r="AK123" s="402"/>
      <c r="AL123" s="396"/>
      <c r="AM123" s="396"/>
      <c r="AN123" s="396"/>
      <c r="AO123" s="396"/>
      <c r="AP123" s="396"/>
      <c r="AQ123" s="396"/>
      <c r="AR123" s="396"/>
      <c r="AS123" s="396"/>
      <c r="AT123" s="490"/>
      <c r="AU123" s="387"/>
      <c r="AV123" s="858" t="s">
        <v>16296</v>
      </c>
      <c r="AW123" s="858"/>
      <c r="AX123" s="858"/>
      <c r="AY123" s="860"/>
      <c r="AZ123" s="489">
        <f>ROUND(ROUND(Q120*$AT$112,0)*AV126,0)</f>
        <v>120</v>
      </c>
      <c r="BA123" s="393"/>
    </row>
    <row r="124" spans="1:53" ht="16.5" customHeight="1" x14ac:dyDescent="0.15">
      <c r="A124" s="340">
        <v>12</v>
      </c>
      <c r="B124" s="341">
        <v>8282</v>
      </c>
      <c r="C124" s="390" t="s">
        <v>17287</v>
      </c>
      <c r="D124" s="403"/>
      <c r="E124" s="404"/>
      <c r="F124" s="404"/>
      <c r="G124" s="404"/>
      <c r="H124" s="406"/>
      <c r="Q124" s="899"/>
      <c r="R124" s="899"/>
      <c r="S124" s="899"/>
      <c r="U124" s="387"/>
      <c r="V124" s="343" t="s">
        <v>15625</v>
      </c>
      <c r="W124" s="325"/>
      <c r="X124" s="325"/>
      <c r="Y124" s="325"/>
      <c r="Z124" s="325"/>
      <c r="AA124" s="325"/>
      <c r="AB124" s="325"/>
      <c r="AC124" s="325"/>
      <c r="AD124" s="325"/>
      <c r="AE124" s="325"/>
      <c r="AF124" s="325"/>
      <c r="AG124" s="325"/>
      <c r="AH124" s="325"/>
      <c r="AI124" s="391" t="s">
        <v>15626</v>
      </c>
      <c r="AJ124" s="838">
        <f>AJ122</f>
        <v>1</v>
      </c>
      <c r="AK124" s="839"/>
      <c r="AL124" s="325"/>
      <c r="AM124" s="325"/>
      <c r="AN124" s="325"/>
      <c r="AO124" s="325"/>
      <c r="AP124" s="325"/>
      <c r="AQ124" s="325"/>
      <c r="AR124" s="325"/>
      <c r="AS124" s="325"/>
      <c r="AT124" s="490"/>
      <c r="AU124" s="387"/>
      <c r="AV124" s="850"/>
      <c r="AW124" s="850"/>
      <c r="AX124" s="850"/>
      <c r="AY124" s="852"/>
      <c r="AZ124" s="489">
        <f>ROUND(ROUND(ROUND(Q120*AJ124,0)*$AT$112,0)*AV126,0)</f>
        <v>120</v>
      </c>
      <c r="BA124" s="393"/>
    </row>
    <row r="125" spans="1:53" ht="16.5" customHeight="1" x14ac:dyDescent="0.15">
      <c r="A125" s="287">
        <v>12</v>
      </c>
      <c r="B125" s="287">
        <v>8283</v>
      </c>
      <c r="C125" s="394" t="s">
        <v>17288</v>
      </c>
      <c r="D125" s="403"/>
      <c r="E125" s="404"/>
      <c r="F125" s="404"/>
      <c r="G125" s="404"/>
      <c r="H125" s="406"/>
      <c r="Q125" s="395"/>
      <c r="R125" s="151"/>
      <c r="S125" s="151"/>
      <c r="U125" s="387"/>
      <c r="V125" s="343"/>
      <c r="W125" s="343"/>
      <c r="X125" s="343"/>
      <c r="Y125" s="343"/>
      <c r="Z125" s="343"/>
      <c r="AA125" s="343"/>
      <c r="AB125" s="343"/>
      <c r="AC125" s="343"/>
      <c r="AD125" s="343"/>
      <c r="AE125" s="343"/>
      <c r="AF125" s="343"/>
      <c r="AG125" s="343"/>
      <c r="AH125" s="343"/>
      <c r="AI125" s="343"/>
      <c r="AJ125" s="343"/>
      <c r="AK125" s="343"/>
      <c r="AL125" s="114" t="s">
        <v>15628</v>
      </c>
      <c r="AM125" s="396"/>
      <c r="AN125" s="396"/>
      <c r="AO125" s="396"/>
      <c r="AP125" s="396"/>
      <c r="AQ125" s="396"/>
      <c r="AR125" s="396"/>
      <c r="AS125" s="396"/>
      <c r="AT125" s="490"/>
      <c r="AU125" s="387"/>
      <c r="AV125" s="902" t="s">
        <v>15636</v>
      </c>
      <c r="AW125" s="902"/>
      <c r="AX125" s="902"/>
      <c r="AY125" s="903"/>
      <c r="AZ125" s="489">
        <f>ROUND(ROUND(ROUND(Q120*AR126,0)*$AT$112,0)*AV126,0)</f>
        <v>102</v>
      </c>
      <c r="BA125" s="393"/>
    </row>
    <row r="126" spans="1:53" ht="16.5" customHeight="1" x14ac:dyDescent="0.15">
      <c r="A126" s="287">
        <v>12</v>
      </c>
      <c r="B126" s="287">
        <v>8284</v>
      </c>
      <c r="C126" s="394" t="s">
        <v>17289</v>
      </c>
      <c r="D126" s="403"/>
      <c r="E126" s="404"/>
      <c r="F126" s="404"/>
      <c r="G126" s="404"/>
      <c r="H126" s="406"/>
      <c r="Q126" s="395"/>
      <c r="R126" s="151"/>
      <c r="S126" s="151"/>
      <c r="U126" s="387"/>
      <c r="V126" s="343" t="s">
        <v>15625</v>
      </c>
      <c r="W126" s="325"/>
      <c r="X126" s="325"/>
      <c r="Y126" s="325"/>
      <c r="Z126" s="325"/>
      <c r="AA126" s="325"/>
      <c r="AB126" s="325"/>
      <c r="AC126" s="325"/>
      <c r="AD126" s="325"/>
      <c r="AE126" s="325"/>
      <c r="AF126" s="325"/>
      <c r="AG126" s="325"/>
      <c r="AH126" s="325"/>
      <c r="AI126" s="391" t="s">
        <v>15626</v>
      </c>
      <c r="AJ126" s="838">
        <f>AJ124</f>
        <v>1</v>
      </c>
      <c r="AK126" s="843"/>
      <c r="AL126" s="324" t="s">
        <v>15630</v>
      </c>
      <c r="AM126" s="325"/>
      <c r="AN126" s="325"/>
      <c r="AO126" s="325"/>
      <c r="AP126" s="325"/>
      <c r="AQ126" s="190" t="s">
        <v>398</v>
      </c>
      <c r="AR126" s="844">
        <f>AR122</f>
        <v>0.85</v>
      </c>
      <c r="AS126" s="844"/>
      <c r="AT126" s="501"/>
      <c r="AU126" s="502"/>
      <c r="AV126" s="844">
        <f>AV118</f>
        <v>0.8</v>
      </c>
      <c r="AW126" s="844"/>
      <c r="AX126" s="844"/>
      <c r="AY126" s="845"/>
      <c r="AZ126" s="489">
        <f>ROUND(ROUND(ROUND(ROUND(Q120*AJ126,0)*AR126,0)*$AT$112,0)*AV126,0)</f>
        <v>102</v>
      </c>
      <c r="BA126" s="393"/>
    </row>
    <row r="127" spans="1:53" ht="16.5" customHeight="1" x14ac:dyDescent="0.15">
      <c r="A127" s="340">
        <v>12</v>
      </c>
      <c r="B127" s="341">
        <v>8285</v>
      </c>
      <c r="C127" s="390" t="s">
        <v>17290</v>
      </c>
      <c r="D127" s="403"/>
      <c r="E127" s="404"/>
      <c r="F127" s="404"/>
      <c r="G127" s="404"/>
      <c r="H127" s="406"/>
      <c r="I127" s="908" t="s">
        <v>16318</v>
      </c>
      <c r="J127" s="909"/>
      <c r="K127" s="909"/>
      <c r="L127" s="909"/>
      <c r="M127" s="909"/>
      <c r="N127" s="909"/>
      <c r="O127" s="909"/>
      <c r="P127" s="909"/>
      <c r="Q127" s="909"/>
      <c r="R127" s="909"/>
      <c r="S127" s="909"/>
      <c r="T127" s="909"/>
      <c r="U127" s="910"/>
      <c r="V127" s="343"/>
      <c r="W127" s="325"/>
      <c r="X127" s="325"/>
      <c r="Y127" s="325"/>
      <c r="Z127" s="325"/>
      <c r="AA127" s="325"/>
      <c r="AB127" s="325"/>
      <c r="AC127" s="325"/>
      <c r="AD127" s="325"/>
      <c r="AE127" s="325"/>
      <c r="AF127" s="325"/>
      <c r="AG127" s="325"/>
      <c r="AH127" s="325"/>
      <c r="AI127" s="391"/>
      <c r="AJ127" s="401"/>
      <c r="AK127" s="402"/>
      <c r="AL127" s="396"/>
      <c r="AM127" s="396"/>
      <c r="AN127" s="396"/>
      <c r="AO127" s="396"/>
      <c r="AP127" s="396"/>
      <c r="AQ127" s="396"/>
      <c r="AR127" s="396"/>
      <c r="AS127" s="396"/>
      <c r="AT127" s="490"/>
      <c r="AU127" s="387"/>
      <c r="AV127" s="400"/>
      <c r="AW127" s="400"/>
      <c r="AX127" s="396"/>
      <c r="AY127" s="397"/>
      <c r="AZ127" s="489">
        <f>ROUND(Q128*$AT$112,0)</f>
        <v>149</v>
      </c>
      <c r="BA127" s="393"/>
    </row>
    <row r="128" spans="1:53" ht="16.5" customHeight="1" x14ac:dyDescent="0.15">
      <c r="A128" s="340">
        <v>12</v>
      </c>
      <c r="B128" s="341">
        <v>8286</v>
      </c>
      <c r="C128" s="390" t="s">
        <v>17291</v>
      </c>
      <c r="D128" s="403"/>
      <c r="E128" s="404"/>
      <c r="F128" s="404"/>
      <c r="G128" s="404"/>
      <c r="H128" s="406"/>
      <c r="Q128" s="836">
        <f>ROUND(Q224*$F$109,0)</f>
        <v>99</v>
      </c>
      <c r="R128" s="911"/>
      <c r="S128" s="911"/>
      <c r="T128" s="152" t="s">
        <v>15624</v>
      </c>
      <c r="U128" s="387"/>
      <c r="V128" s="343" t="s">
        <v>15625</v>
      </c>
      <c r="W128" s="325"/>
      <c r="X128" s="325"/>
      <c r="Y128" s="325"/>
      <c r="Z128" s="325"/>
      <c r="AA128" s="325"/>
      <c r="AB128" s="325"/>
      <c r="AC128" s="325"/>
      <c r="AD128" s="325"/>
      <c r="AE128" s="325"/>
      <c r="AF128" s="325"/>
      <c r="AG128" s="325"/>
      <c r="AH128" s="325"/>
      <c r="AI128" s="391" t="s">
        <v>15626</v>
      </c>
      <c r="AJ128" s="838">
        <f>AJ126</f>
        <v>1</v>
      </c>
      <c r="AK128" s="839"/>
      <c r="AL128" s="325"/>
      <c r="AM128" s="325"/>
      <c r="AN128" s="325"/>
      <c r="AO128" s="325"/>
      <c r="AP128" s="325"/>
      <c r="AQ128" s="325"/>
      <c r="AR128" s="325"/>
      <c r="AS128" s="325"/>
      <c r="AT128" s="490"/>
      <c r="AU128" s="387"/>
      <c r="AY128" s="387"/>
      <c r="AZ128" s="489">
        <f>ROUND(ROUND(Q128*AJ128,0)*$AT$112,0)</f>
        <v>149</v>
      </c>
      <c r="BA128" s="393"/>
    </row>
    <row r="129" spans="1:53" ht="16.5" customHeight="1" x14ac:dyDescent="0.15">
      <c r="A129" s="287">
        <v>12</v>
      </c>
      <c r="B129" s="287">
        <v>8287</v>
      </c>
      <c r="C129" s="394" t="s">
        <v>17292</v>
      </c>
      <c r="D129" s="403"/>
      <c r="E129" s="404"/>
      <c r="F129" s="404"/>
      <c r="G129" s="404"/>
      <c r="H129" s="406"/>
      <c r="Q129" s="395"/>
      <c r="R129" s="151"/>
      <c r="S129" s="151"/>
      <c r="U129" s="387"/>
      <c r="V129" s="343"/>
      <c r="W129" s="343"/>
      <c r="X129" s="343"/>
      <c r="Y129" s="343"/>
      <c r="Z129" s="343"/>
      <c r="AA129" s="343"/>
      <c r="AB129" s="343"/>
      <c r="AC129" s="343"/>
      <c r="AD129" s="343"/>
      <c r="AE129" s="343"/>
      <c r="AF129" s="343"/>
      <c r="AG129" s="343"/>
      <c r="AH129" s="343"/>
      <c r="AI129" s="343"/>
      <c r="AJ129" s="343"/>
      <c r="AK129" s="343"/>
      <c r="AL129" s="114" t="s">
        <v>15628</v>
      </c>
      <c r="AM129" s="396"/>
      <c r="AN129" s="396"/>
      <c r="AO129" s="396"/>
      <c r="AP129" s="396"/>
      <c r="AQ129" s="396"/>
      <c r="AR129" s="396"/>
      <c r="AS129" s="396"/>
      <c r="AT129" s="490"/>
      <c r="AU129" s="387"/>
      <c r="AY129" s="387"/>
      <c r="AZ129" s="489">
        <f>ROUND(ROUND(Q128*AR130,0)*$AT$112,0)</f>
        <v>126</v>
      </c>
      <c r="BA129" s="393"/>
    </row>
    <row r="130" spans="1:53" ht="16.5" customHeight="1" x14ac:dyDescent="0.15">
      <c r="A130" s="287">
        <v>12</v>
      </c>
      <c r="B130" s="287">
        <v>8288</v>
      </c>
      <c r="C130" s="394" t="s">
        <v>17293</v>
      </c>
      <c r="D130" s="403"/>
      <c r="E130" s="404"/>
      <c r="F130" s="404"/>
      <c r="G130" s="404"/>
      <c r="H130" s="406"/>
      <c r="Q130" s="395"/>
      <c r="R130" s="151"/>
      <c r="S130" s="151"/>
      <c r="U130" s="387"/>
      <c r="V130" s="343" t="s">
        <v>15625</v>
      </c>
      <c r="W130" s="325"/>
      <c r="X130" s="325"/>
      <c r="Y130" s="325"/>
      <c r="Z130" s="325"/>
      <c r="AA130" s="325"/>
      <c r="AB130" s="325"/>
      <c r="AC130" s="325"/>
      <c r="AD130" s="325"/>
      <c r="AE130" s="325"/>
      <c r="AF130" s="325"/>
      <c r="AG130" s="325"/>
      <c r="AH130" s="325"/>
      <c r="AI130" s="391" t="s">
        <v>15626</v>
      </c>
      <c r="AJ130" s="838">
        <f>AJ128</f>
        <v>1</v>
      </c>
      <c r="AK130" s="843"/>
      <c r="AL130" s="324" t="s">
        <v>15630</v>
      </c>
      <c r="AM130" s="325"/>
      <c r="AN130" s="325"/>
      <c r="AO130" s="325"/>
      <c r="AP130" s="325"/>
      <c r="AQ130" s="190" t="s">
        <v>398</v>
      </c>
      <c r="AR130" s="844">
        <f>AR126</f>
        <v>0.85</v>
      </c>
      <c r="AS130" s="844"/>
      <c r="AT130" s="501"/>
      <c r="AU130" s="502"/>
      <c r="AY130" s="387"/>
      <c r="AZ130" s="489">
        <f>ROUND(ROUND(ROUND(Q128*AJ130,0)*AR130,0)*$AT$112,0)</f>
        <v>126</v>
      </c>
      <c r="BA130" s="393"/>
    </row>
    <row r="131" spans="1:53" ht="16.5" customHeight="1" x14ac:dyDescent="0.15">
      <c r="A131" s="340">
        <v>12</v>
      </c>
      <c r="B131" s="341">
        <v>8289</v>
      </c>
      <c r="C131" s="390" t="s">
        <v>17294</v>
      </c>
      <c r="D131" s="403"/>
      <c r="E131" s="404"/>
      <c r="F131" s="404"/>
      <c r="G131" s="404"/>
      <c r="H131" s="406"/>
      <c r="I131" s="10"/>
      <c r="Q131" s="395"/>
      <c r="R131" s="151"/>
      <c r="S131" s="151"/>
      <c r="U131" s="387"/>
      <c r="V131" s="343"/>
      <c r="W131" s="325"/>
      <c r="X131" s="325"/>
      <c r="Y131" s="325"/>
      <c r="Z131" s="325"/>
      <c r="AA131" s="325"/>
      <c r="AB131" s="325"/>
      <c r="AC131" s="325"/>
      <c r="AD131" s="325"/>
      <c r="AE131" s="325"/>
      <c r="AF131" s="325"/>
      <c r="AG131" s="325"/>
      <c r="AH131" s="325"/>
      <c r="AI131" s="391"/>
      <c r="AJ131" s="401"/>
      <c r="AK131" s="402"/>
      <c r="AL131" s="396"/>
      <c r="AM131" s="396"/>
      <c r="AN131" s="396"/>
      <c r="AO131" s="396"/>
      <c r="AP131" s="396"/>
      <c r="AQ131" s="396"/>
      <c r="AR131" s="396"/>
      <c r="AS131" s="396"/>
      <c r="AT131" s="490"/>
      <c r="AU131" s="387"/>
      <c r="AV131" s="858" t="s">
        <v>16296</v>
      </c>
      <c r="AW131" s="858"/>
      <c r="AX131" s="858"/>
      <c r="AY131" s="860"/>
      <c r="AZ131" s="489">
        <f>ROUND(ROUND(Q128*$AT$112,0)*AV134,0)</f>
        <v>119</v>
      </c>
      <c r="BA131" s="393"/>
    </row>
    <row r="132" spans="1:53" ht="16.5" customHeight="1" x14ac:dyDescent="0.15">
      <c r="A132" s="340">
        <v>12</v>
      </c>
      <c r="B132" s="341">
        <v>8290</v>
      </c>
      <c r="C132" s="390" t="s">
        <v>17295</v>
      </c>
      <c r="D132" s="403"/>
      <c r="E132" s="404"/>
      <c r="F132" s="404"/>
      <c r="G132" s="404"/>
      <c r="H132" s="406"/>
      <c r="Q132" s="899"/>
      <c r="R132" s="899"/>
      <c r="S132" s="899"/>
      <c r="U132" s="387"/>
      <c r="V132" s="343" t="s">
        <v>15625</v>
      </c>
      <c r="W132" s="325"/>
      <c r="X132" s="325"/>
      <c r="Y132" s="325"/>
      <c r="Z132" s="325"/>
      <c r="AA132" s="325"/>
      <c r="AB132" s="325"/>
      <c r="AC132" s="325"/>
      <c r="AD132" s="325"/>
      <c r="AE132" s="325"/>
      <c r="AF132" s="325"/>
      <c r="AG132" s="325"/>
      <c r="AH132" s="325"/>
      <c r="AI132" s="391" t="s">
        <v>15626</v>
      </c>
      <c r="AJ132" s="838">
        <f>AJ130</f>
        <v>1</v>
      </c>
      <c r="AK132" s="839"/>
      <c r="AL132" s="325"/>
      <c r="AM132" s="325"/>
      <c r="AN132" s="325"/>
      <c r="AO132" s="325"/>
      <c r="AP132" s="325"/>
      <c r="AQ132" s="325"/>
      <c r="AR132" s="325"/>
      <c r="AS132" s="325"/>
      <c r="AT132" s="490"/>
      <c r="AU132" s="387"/>
      <c r="AV132" s="850"/>
      <c r="AW132" s="850"/>
      <c r="AX132" s="850"/>
      <c r="AY132" s="852"/>
      <c r="AZ132" s="489">
        <f>ROUND(ROUND(ROUND(Q128*AJ132,0)*$AT$112,0)*AV134,0)</f>
        <v>119</v>
      </c>
      <c r="BA132" s="393"/>
    </row>
    <row r="133" spans="1:53" ht="16.5" customHeight="1" x14ac:dyDescent="0.15">
      <c r="A133" s="287">
        <v>12</v>
      </c>
      <c r="B133" s="287">
        <v>8291</v>
      </c>
      <c r="C133" s="394" t="s">
        <v>17296</v>
      </c>
      <c r="D133" s="403"/>
      <c r="E133" s="404"/>
      <c r="F133" s="404"/>
      <c r="G133" s="404"/>
      <c r="H133" s="406"/>
      <c r="Q133" s="395"/>
      <c r="R133" s="151"/>
      <c r="S133" s="151"/>
      <c r="U133" s="387"/>
      <c r="V133" s="343"/>
      <c r="W133" s="343"/>
      <c r="X133" s="343"/>
      <c r="Y133" s="343"/>
      <c r="Z133" s="343"/>
      <c r="AA133" s="343"/>
      <c r="AB133" s="343"/>
      <c r="AC133" s="343"/>
      <c r="AD133" s="343"/>
      <c r="AE133" s="343"/>
      <c r="AF133" s="343"/>
      <c r="AG133" s="343"/>
      <c r="AH133" s="343"/>
      <c r="AI133" s="343"/>
      <c r="AJ133" s="343"/>
      <c r="AK133" s="343"/>
      <c r="AL133" s="114" t="s">
        <v>15628</v>
      </c>
      <c r="AM133" s="396"/>
      <c r="AN133" s="396"/>
      <c r="AO133" s="396"/>
      <c r="AP133" s="396"/>
      <c r="AQ133" s="396"/>
      <c r="AR133" s="396"/>
      <c r="AS133" s="396"/>
      <c r="AT133" s="490"/>
      <c r="AU133" s="387"/>
      <c r="AV133" s="902" t="s">
        <v>15636</v>
      </c>
      <c r="AW133" s="902"/>
      <c r="AX133" s="902"/>
      <c r="AY133" s="903"/>
      <c r="AZ133" s="489">
        <f>ROUND(ROUND(ROUND(Q128*AR134,0)*$AT$112,0)*AV134,0)</f>
        <v>101</v>
      </c>
      <c r="BA133" s="393"/>
    </row>
    <row r="134" spans="1:53" ht="16.5" customHeight="1" x14ac:dyDescent="0.15">
      <c r="A134" s="287">
        <v>12</v>
      </c>
      <c r="B134" s="287">
        <v>8292</v>
      </c>
      <c r="C134" s="394" t="s">
        <v>17297</v>
      </c>
      <c r="D134" s="403"/>
      <c r="E134" s="404"/>
      <c r="F134" s="404"/>
      <c r="G134" s="404"/>
      <c r="H134" s="406"/>
      <c r="Q134" s="395"/>
      <c r="R134" s="151"/>
      <c r="S134" s="151"/>
      <c r="U134" s="387"/>
      <c r="V134" s="343" t="s">
        <v>15625</v>
      </c>
      <c r="W134" s="325"/>
      <c r="X134" s="325"/>
      <c r="Y134" s="325"/>
      <c r="Z134" s="325"/>
      <c r="AA134" s="325"/>
      <c r="AB134" s="325"/>
      <c r="AC134" s="325"/>
      <c r="AD134" s="325"/>
      <c r="AE134" s="325"/>
      <c r="AF134" s="325"/>
      <c r="AG134" s="325"/>
      <c r="AH134" s="325"/>
      <c r="AI134" s="391" t="s">
        <v>15626</v>
      </c>
      <c r="AJ134" s="838">
        <f>AJ132</f>
        <v>1</v>
      </c>
      <c r="AK134" s="843"/>
      <c r="AL134" s="324" t="s">
        <v>15630</v>
      </c>
      <c r="AM134" s="325"/>
      <c r="AN134" s="325"/>
      <c r="AO134" s="325"/>
      <c r="AP134" s="325"/>
      <c r="AQ134" s="190" t="s">
        <v>398</v>
      </c>
      <c r="AR134" s="844">
        <f>AR130</f>
        <v>0.85</v>
      </c>
      <c r="AS134" s="844"/>
      <c r="AT134" s="501"/>
      <c r="AU134" s="502"/>
      <c r="AV134" s="844">
        <f>AV126</f>
        <v>0.8</v>
      </c>
      <c r="AW134" s="844"/>
      <c r="AX134" s="844"/>
      <c r="AY134" s="845"/>
      <c r="AZ134" s="489">
        <f>ROUND(ROUND(ROUND(ROUND(Q128*AJ134,0)*AR134,0)*$AT$112,0)*AV134,0)</f>
        <v>101</v>
      </c>
      <c r="BA134" s="393"/>
    </row>
    <row r="135" spans="1:53" ht="16.5" customHeight="1" x14ac:dyDescent="0.15">
      <c r="A135" s="340">
        <v>12</v>
      </c>
      <c r="B135" s="341">
        <v>8293</v>
      </c>
      <c r="C135" s="390" t="s">
        <v>17298</v>
      </c>
      <c r="D135" s="403"/>
      <c r="E135" s="404"/>
      <c r="F135" s="404"/>
      <c r="G135" s="404"/>
      <c r="H135" s="406"/>
      <c r="I135" s="908" t="s">
        <v>16327</v>
      </c>
      <c r="J135" s="909"/>
      <c r="K135" s="909"/>
      <c r="L135" s="909"/>
      <c r="M135" s="909"/>
      <c r="N135" s="909"/>
      <c r="O135" s="909"/>
      <c r="P135" s="909"/>
      <c r="Q135" s="909"/>
      <c r="R135" s="909"/>
      <c r="S135" s="909"/>
      <c r="T135" s="909"/>
      <c r="U135" s="910"/>
      <c r="V135" s="343"/>
      <c r="W135" s="325"/>
      <c r="X135" s="325"/>
      <c r="Y135" s="325"/>
      <c r="Z135" s="325"/>
      <c r="AA135" s="325"/>
      <c r="AB135" s="325"/>
      <c r="AC135" s="325"/>
      <c r="AD135" s="325"/>
      <c r="AE135" s="325"/>
      <c r="AF135" s="325"/>
      <c r="AG135" s="325"/>
      <c r="AH135" s="325"/>
      <c r="AI135" s="391"/>
      <c r="AJ135" s="401"/>
      <c r="AK135" s="402"/>
      <c r="AL135" s="396"/>
      <c r="AM135" s="396"/>
      <c r="AN135" s="396"/>
      <c r="AO135" s="396"/>
      <c r="AP135" s="396"/>
      <c r="AQ135" s="396"/>
      <c r="AR135" s="396"/>
      <c r="AS135" s="396"/>
      <c r="AT135" s="490"/>
      <c r="AU135" s="387"/>
      <c r="AV135" s="400"/>
      <c r="AW135" s="400"/>
      <c r="AX135" s="396"/>
      <c r="AY135" s="397"/>
      <c r="AZ135" s="489">
        <f>ROUND(Q136*$AT$112,0)</f>
        <v>150</v>
      </c>
      <c r="BA135" s="393"/>
    </row>
    <row r="136" spans="1:53" ht="16.5" customHeight="1" x14ac:dyDescent="0.15">
      <c r="A136" s="340">
        <v>12</v>
      </c>
      <c r="B136" s="341">
        <v>8294</v>
      </c>
      <c r="C136" s="390" t="s">
        <v>17299</v>
      </c>
      <c r="D136" s="403"/>
      <c r="E136" s="404"/>
      <c r="F136" s="404"/>
      <c r="G136" s="404"/>
      <c r="H136" s="406"/>
      <c r="Q136" s="836">
        <f>ROUND(Q232*$F$109,0)</f>
        <v>100</v>
      </c>
      <c r="R136" s="911"/>
      <c r="S136" s="911"/>
      <c r="T136" s="152" t="s">
        <v>15624</v>
      </c>
      <c r="U136" s="387"/>
      <c r="V136" s="343" t="s">
        <v>15625</v>
      </c>
      <c r="W136" s="325"/>
      <c r="X136" s="325"/>
      <c r="Y136" s="325"/>
      <c r="Z136" s="325"/>
      <c r="AA136" s="325"/>
      <c r="AB136" s="325"/>
      <c r="AC136" s="325"/>
      <c r="AD136" s="325"/>
      <c r="AE136" s="325"/>
      <c r="AF136" s="325"/>
      <c r="AG136" s="325"/>
      <c r="AH136" s="325"/>
      <c r="AI136" s="391" t="s">
        <v>15626</v>
      </c>
      <c r="AJ136" s="838">
        <f>AJ134</f>
        <v>1</v>
      </c>
      <c r="AK136" s="839"/>
      <c r="AL136" s="325"/>
      <c r="AM136" s="325"/>
      <c r="AN136" s="325"/>
      <c r="AO136" s="325"/>
      <c r="AP136" s="325"/>
      <c r="AQ136" s="325"/>
      <c r="AR136" s="325"/>
      <c r="AS136" s="325"/>
      <c r="AT136" s="490"/>
      <c r="AU136" s="387"/>
      <c r="AY136" s="387"/>
      <c r="AZ136" s="489">
        <f>ROUND(ROUND(Q136*AJ136,0)*$AT$112,0)</f>
        <v>150</v>
      </c>
      <c r="BA136" s="393"/>
    </row>
    <row r="137" spans="1:53" ht="16.5" customHeight="1" x14ac:dyDescent="0.15">
      <c r="A137" s="340">
        <v>12</v>
      </c>
      <c r="B137" s="341">
        <v>8295</v>
      </c>
      <c r="C137" s="390" t="s">
        <v>17300</v>
      </c>
      <c r="D137" s="403"/>
      <c r="E137" s="404"/>
      <c r="F137" s="404"/>
      <c r="G137" s="404"/>
      <c r="H137" s="406"/>
      <c r="Q137" s="395"/>
      <c r="R137" s="151"/>
      <c r="S137" s="151"/>
      <c r="U137" s="387"/>
      <c r="V137" s="343"/>
      <c r="W137" s="343"/>
      <c r="X137" s="343"/>
      <c r="Y137" s="343"/>
      <c r="Z137" s="343"/>
      <c r="AA137" s="343"/>
      <c r="AB137" s="343"/>
      <c r="AC137" s="343"/>
      <c r="AD137" s="343"/>
      <c r="AE137" s="343"/>
      <c r="AF137" s="343"/>
      <c r="AG137" s="343"/>
      <c r="AH137" s="343"/>
      <c r="AI137" s="343"/>
      <c r="AJ137" s="343"/>
      <c r="AK137" s="343"/>
      <c r="AL137" s="114" t="s">
        <v>15628</v>
      </c>
      <c r="AM137" s="396"/>
      <c r="AN137" s="396"/>
      <c r="AO137" s="396"/>
      <c r="AP137" s="396"/>
      <c r="AQ137" s="396"/>
      <c r="AR137" s="396"/>
      <c r="AS137" s="396"/>
      <c r="AT137" s="490"/>
      <c r="AU137" s="387"/>
      <c r="AY137" s="387"/>
      <c r="AZ137" s="489">
        <f>ROUND(ROUND(Q136*AR138,0)*$AT$112,0)</f>
        <v>128</v>
      </c>
      <c r="BA137" s="393"/>
    </row>
    <row r="138" spans="1:53" ht="16.5" customHeight="1" x14ac:dyDescent="0.15">
      <c r="A138" s="340">
        <v>12</v>
      </c>
      <c r="B138" s="341">
        <v>8296</v>
      </c>
      <c r="C138" s="390" t="s">
        <v>17301</v>
      </c>
      <c r="D138" s="403"/>
      <c r="E138" s="404"/>
      <c r="F138" s="404"/>
      <c r="G138" s="404"/>
      <c r="H138" s="406"/>
      <c r="Q138" s="395"/>
      <c r="R138" s="151"/>
      <c r="S138" s="151"/>
      <c r="U138" s="387"/>
      <c r="V138" s="343" t="s">
        <v>15625</v>
      </c>
      <c r="W138" s="325"/>
      <c r="X138" s="325"/>
      <c r="Y138" s="325"/>
      <c r="Z138" s="325"/>
      <c r="AA138" s="325"/>
      <c r="AB138" s="325"/>
      <c r="AC138" s="325"/>
      <c r="AD138" s="325"/>
      <c r="AE138" s="325"/>
      <c r="AF138" s="325"/>
      <c r="AG138" s="325"/>
      <c r="AH138" s="325"/>
      <c r="AI138" s="391" t="s">
        <v>15626</v>
      </c>
      <c r="AJ138" s="838">
        <f>AJ136</f>
        <v>1</v>
      </c>
      <c r="AK138" s="843"/>
      <c r="AL138" s="324" t="s">
        <v>15630</v>
      </c>
      <c r="AM138" s="325"/>
      <c r="AN138" s="325"/>
      <c r="AO138" s="325"/>
      <c r="AP138" s="325"/>
      <c r="AQ138" s="190" t="s">
        <v>398</v>
      </c>
      <c r="AR138" s="844">
        <f>AR134</f>
        <v>0.85</v>
      </c>
      <c r="AS138" s="844"/>
      <c r="AT138" s="501"/>
      <c r="AU138" s="502"/>
      <c r="AY138" s="387"/>
      <c r="AZ138" s="489">
        <f>ROUND(ROUND(ROUND(Q136*AJ138,0)*AR138,0)*$AT$112,0)</f>
        <v>128</v>
      </c>
      <c r="BA138" s="393"/>
    </row>
    <row r="139" spans="1:53" ht="16.5" customHeight="1" x14ac:dyDescent="0.15">
      <c r="A139" s="340">
        <v>12</v>
      </c>
      <c r="B139" s="341">
        <v>8297</v>
      </c>
      <c r="C139" s="390" t="s">
        <v>17302</v>
      </c>
      <c r="D139" s="403"/>
      <c r="E139" s="404"/>
      <c r="F139" s="404"/>
      <c r="G139" s="404"/>
      <c r="H139" s="406"/>
      <c r="I139" s="10"/>
      <c r="Q139" s="395"/>
      <c r="R139" s="151"/>
      <c r="S139" s="151"/>
      <c r="U139" s="387"/>
      <c r="V139" s="343"/>
      <c r="W139" s="325"/>
      <c r="X139" s="325"/>
      <c r="Y139" s="325"/>
      <c r="Z139" s="325"/>
      <c r="AA139" s="325"/>
      <c r="AB139" s="325"/>
      <c r="AC139" s="325"/>
      <c r="AD139" s="325"/>
      <c r="AE139" s="325"/>
      <c r="AF139" s="325"/>
      <c r="AG139" s="325"/>
      <c r="AH139" s="325"/>
      <c r="AI139" s="391"/>
      <c r="AJ139" s="401"/>
      <c r="AK139" s="402"/>
      <c r="AL139" s="396"/>
      <c r="AM139" s="396"/>
      <c r="AN139" s="396"/>
      <c r="AO139" s="396"/>
      <c r="AP139" s="396"/>
      <c r="AQ139" s="396"/>
      <c r="AR139" s="396"/>
      <c r="AS139" s="396"/>
      <c r="AT139" s="490"/>
      <c r="AU139" s="387"/>
      <c r="AV139" s="858" t="s">
        <v>16296</v>
      </c>
      <c r="AW139" s="858"/>
      <c r="AX139" s="858"/>
      <c r="AY139" s="860"/>
      <c r="AZ139" s="489">
        <f>ROUND(ROUND(Q136*$AT$112,0)*AV142,0)</f>
        <v>120</v>
      </c>
      <c r="BA139" s="393"/>
    </row>
    <row r="140" spans="1:53" ht="16.5" customHeight="1" x14ac:dyDescent="0.15">
      <c r="A140" s="340">
        <v>12</v>
      </c>
      <c r="B140" s="341">
        <v>8298</v>
      </c>
      <c r="C140" s="390" t="s">
        <v>17303</v>
      </c>
      <c r="D140" s="403"/>
      <c r="E140" s="404"/>
      <c r="F140" s="404"/>
      <c r="G140" s="404"/>
      <c r="H140" s="406"/>
      <c r="Q140" s="899"/>
      <c r="R140" s="899"/>
      <c r="S140" s="899"/>
      <c r="U140" s="387"/>
      <c r="V140" s="343" t="s">
        <v>15625</v>
      </c>
      <c r="W140" s="325"/>
      <c r="X140" s="325"/>
      <c r="Y140" s="325"/>
      <c r="Z140" s="325"/>
      <c r="AA140" s="325"/>
      <c r="AB140" s="325"/>
      <c r="AC140" s="325"/>
      <c r="AD140" s="325"/>
      <c r="AE140" s="325"/>
      <c r="AF140" s="325"/>
      <c r="AG140" s="325"/>
      <c r="AH140" s="325"/>
      <c r="AI140" s="391" t="s">
        <v>15626</v>
      </c>
      <c r="AJ140" s="838">
        <f>AJ138</f>
        <v>1</v>
      </c>
      <c r="AK140" s="839"/>
      <c r="AL140" s="325"/>
      <c r="AM140" s="325"/>
      <c r="AN140" s="325"/>
      <c r="AO140" s="325"/>
      <c r="AP140" s="325"/>
      <c r="AQ140" s="325"/>
      <c r="AR140" s="325"/>
      <c r="AS140" s="325"/>
      <c r="AT140" s="490"/>
      <c r="AU140" s="387"/>
      <c r="AV140" s="850"/>
      <c r="AW140" s="850"/>
      <c r="AX140" s="850"/>
      <c r="AY140" s="852"/>
      <c r="AZ140" s="489">
        <f>ROUND(ROUND(ROUND(Q136*AJ140,0)*$AT$112,0)*AV142,0)</f>
        <v>120</v>
      </c>
      <c r="BA140" s="393"/>
    </row>
    <row r="141" spans="1:53" ht="16.5" customHeight="1" x14ac:dyDescent="0.15">
      <c r="A141" s="340">
        <v>12</v>
      </c>
      <c r="B141" s="341">
        <v>8299</v>
      </c>
      <c r="C141" s="390" t="s">
        <v>17304</v>
      </c>
      <c r="D141" s="403"/>
      <c r="E141" s="404"/>
      <c r="F141" s="404"/>
      <c r="G141" s="404"/>
      <c r="H141" s="406"/>
      <c r="Q141" s="395"/>
      <c r="R141" s="151"/>
      <c r="S141" s="151"/>
      <c r="U141" s="387"/>
      <c r="V141" s="343"/>
      <c r="W141" s="343"/>
      <c r="X141" s="343"/>
      <c r="Y141" s="343"/>
      <c r="Z141" s="343"/>
      <c r="AA141" s="343"/>
      <c r="AB141" s="343"/>
      <c r="AC141" s="343"/>
      <c r="AD141" s="343"/>
      <c r="AE141" s="343"/>
      <c r="AF141" s="343"/>
      <c r="AG141" s="343"/>
      <c r="AH141" s="343"/>
      <c r="AI141" s="343"/>
      <c r="AJ141" s="343"/>
      <c r="AK141" s="343"/>
      <c r="AL141" s="114" t="s">
        <v>15628</v>
      </c>
      <c r="AM141" s="396"/>
      <c r="AN141" s="396"/>
      <c r="AO141" s="396"/>
      <c r="AP141" s="396"/>
      <c r="AQ141" s="396"/>
      <c r="AR141" s="396"/>
      <c r="AS141" s="396"/>
      <c r="AT141" s="490"/>
      <c r="AU141" s="387"/>
      <c r="AV141" s="902" t="s">
        <v>15636</v>
      </c>
      <c r="AW141" s="902"/>
      <c r="AX141" s="902"/>
      <c r="AY141" s="903"/>
      <c r="AZ141" s="489">
        <f>ROUND(ROUND(ROUND(Q136*AR142,0)*$AT$112,0)*AV142,0)</f>
        <v>102</v>
      </c>
      <c r="BA141" s="393"/>
    </row>
    <row r="142" spans="1:53" ht="16.5" customHeight="1" x14ac:dyDescent="0.15">
      <c r="A142" s="340">
        <v>12</v>
      </c>
      <c r="B142" s="341">
        <v>8300</v>
      </c>
      <c r="C142" s="390" t="s">
        <v>17305</v>
      </c>
      <c r="D142" s="403"/>
      <c r="E142" s="404"/>
      <c r="F142" s="404"/>
      <c r="G142" s="404"/>
      <c r="H142" s="406"/>
      <c r="Q142" s="395"/>
      <c r="R142" s="151"/>
      <c r="S142" s="151"/>
      <c r="U142" s="387"/>
      <c r="V142" s="343" t="s">
        <v>15625</v>
      </c>
      <c r="W142" s="325"/>
      <c r="X142" s="325"/>
      <c r="Y142" s="325"/>
      <c r="Z142" s="325"/>
      <c r="AA142" s="325"/>
      <c r="AB142" s="325"/>
      <c r="AC142" s="325"/>
      <c r="AD142" s="325"/>
      <c r="AE142" s="325"/>
      <c r="AF142" s="325"/>
      <c r="AG142" s="325"/>
      <c r="AH142" s="325"/>
      <c r="AI142" s="391" t="s">
        <v>15626</v>
      </c>
      <c r="AJ142" s="838">
        <f>AJ140</f>
        <v>1</v>
      </c>
      <c r="AK142" s="843"/>
      <c r="AL142" s="324" t="s">
        <v>15630</v>
      </c>
      <c r="AM142" s="325"/>
      <c r="AN142" s="325"/>
      <c r="AO142" s="325"/>
      <c r="AP142" s="325"/>
      <c r="AQ142" s="190" t="s">
        <v>398</v>
      </c>
      <c r="AR142" s="844">
        <f>AR138</f>
        <v>0.85</v>
      </c>
      <c r="AS142" s="844"/>
      <c r="AT142" s="501"/>
      <c r="AU142" s="502"/>
      <c r="AV142" s="844">
        <f>AV134</f>
        <v>0.8</v>
      </c>
      <c r="AW142" s="844"/>
      <c r="AX142" s="844"/>
      <c r="AY142" s="845"/>
      <c r="AZ142" s="489">
        <f>ROUND(ROUND(ROUND(ROUND(Q136*AJ142,0)*AR142,0)*$AT$112,0)*AV142,0)</f>
        <v>102</v>
      </c>
      <c r="BA142" s="393"/>
    </row>
    <row r="143" spans="1:53" ht="16.5" customHeight="1" x14ac:dyDescent="0.15">
      <c r="A143" s="340">
        <v>12</v>
      </c>
      <c r="B143" s="341">
        <v>8301</v>
      </c>
      <c r="C143" s="390" t="s">
        <v>17306</v>
      </c>
      <c r="D143" s="403"/>
      <c r="E143" s="404"/>
      <c r="F143" s="404"/>
      <c r="G143" s="404"/>
      <c r="H143" s="406"/>
      <c r="I143" s="908" t="s">
        <v>16336</v>
      </c>
      <c r="J143" s="909"/>
      <c r="K143" s="909"/>
      <c r="L143" s="909"/>
      <c r="M143" s="909"/>
      <c r="N143" s="909"/>
      <c r="O143" s="909"/>
      <c r="P143" s="909"/>
      <c r="Q143" s="909"/>
      <c r="R143" s="909"/>
      <c r="S143" s="909"/>
      <c r="T143" s="909"/>
      <c r="U143" s="910"/>
      <c r="V143" s="343"/>
      <c r="W143" s="325"/>
      <c r="X143" s="325"/>
      <c r="Y143" s="325"/>
      <c r="Z143" s="325"/>
      <c r="AA143" s="325"/>
      <c r="AB143" s="325"/>
      <c r="AC143" s="325"/>
      <c r="AD143" s="325"/>
      <c r="AE143" s="325"/>
      <c r="AF143" s="325"/>
      <c r="AG143" s="325"/>
      <c r="AH143" s="325"/>
      <c r="AI143" s="391"/>
      <c r="AJ143" s="401"/>
      <c r="AK143" s="402"/>
      <c r="AL143" s="396"/>
      <c r="AM143" s="396"/>
      <c r="AN143" s="396"/>
      <c r="AO143" s="396"/>
      <c r="AP143" s="396"/>
      <c r="AQ143" s="396"/>
      <c r="AR143" s="396"/>
      <c r="AS143" s="396"/>
      <c r="AT143" s="490"/>
      <c r="AU143" s="387"/>
      <c r="AV143" s="400"/>
      <c r="AW143" s="400"/>
      <c r="AX143" s="396"/>
      <c r="AY143" s="397"/>
      <c r="AZ143" s="489">
        <f>ROUND(Q144*$AT$112,0)</f>
        <v>147</v>
      </c>
      <c r="BA143" s="393"/>
    </row>
    <row r="144" spans="1:53" ht="16.5" customHeight="1" x14ac:dyDescent="0.15">
      <c r="A144" s="340">
        <v>12</v>
      </c>
      <c r="B144" s="341">
        <v>8302</v>
      </c>
      <c r="C144" s="390" t="s">
        <v>17307</v>
      </c>
      <c r="D144" s="403"/>
      <c r="E144" s="404"/>
      <c r="F144" s="404"/>
      <c r="G144" s="404"/>
      <c r="H144" s="406"/>
      <c r="Q144" s="836">
        <f>ROUND(Q240*$F$109,0)</f>
        <v>98</v>
      </c>
      <c r="R144" s="911"/>
      <c r="S144" s="911"/>
      <c r="T144" s="152" t="s">
        <v>15624</v>
      </c>
      <c r="U144" s="387"/>
      <c r="V144" s="343" t="s">
        <v>15625</v>
      </c>
      <c r="W144" s="325"/>
      <c r="X144" s="325"/>
      <c r="Y144" s="325"/>
      <c r="Z144" s="325"/>
      <c r="AA144" s="325"/>
      <c r="AB144" s="325"/>
      <c r="AC144" s="325"/>
      <c r="AD144" s="325"/>
      <c r="AE144" s="325"/>
      <c r="AF144" s="325"/>
      <c r="AG144" s="325"/>
      <c r="AH144" s="325"/>
      <c r="AI144" s="391" t="s">
        <v>15626</v>
      </c>
      <c r="AJ144" s="838">
        <f>AJ142</f>
        <v>1</v>
      </c>
      <c r="AK144" s="839"/>
      <c r="AL144" s="325"/>
      <c r="AM144" s="325"/>
      <c r="AN144" s="325"/>
      <c r="AO144" s="325"/>
      <c r="AP144" s="325"/>
      <c r="AQ144" s="325"/>
      <c r="AR144" s="325"/>
      <c r="AS144" s="325"/>
      <c r="AT144" s="490"/>
      <c r="AU144" s="387"/>
      <c r="AY144" s="387"/>
      <c r="AZ144" s="489">
        <f>ROUND(ROUND(Q144*AJ144,0)*$AT$112,0)</f>
        <v>147</v>
      </c>
      <c r="BA144" s="393"/>
    </row>
    <row r="145" spans="1:53" ht="16.5" customHeight="1" x14ac:dyDescent="0.15">
      <c r="A145" s="340">
        <v>12</v>
      </c>
      <c r="B145" s="341">
        <v>8303</v>
      </c>
      <c r="C145" s="390" t="s">
        <v>17308</v>
      </c>
      <c r="D145" s="403"/>
      <c r="E145" s="404"/>
      <c r="F145" s="404"/>
      <c r="G145" s="404"/>
      <c r="H145" s="406"/>
      <c r="Q145" s="395"/>
      <c r="R145" s="151"/>
      <c r="S145" s="151"/>
      <c r="U145" s="387"/>
      <c r="V145" s="343"/>
      <c r="W145" s="343"/>
      <c r="X145" s="343"/>
      <c r="Y145" s="343"/>
      <c r="Z145" s="343"/>
      <c r="AA145" s="343"/>
      <c r="AB145" s="343"/>
      <c r="AC145" s="343"/>
      <c r="AD145" s="343"/>
      <c r="AE145" s="343"/>
      <c r="AF145" s="343"/>
      <c r="AG145" s="343"/>
      <c r="AH145" s="343"/>
      <c r="AI145" s="343"/>
      <c r="AJ145" s="343"/>
      <c r="AK145" s="343"/>
      <c r="AL145" s="114" t="s">
        <v>15628</v>
      </c>
      <c r="AM145" s="396"/>
      <c r="AN145" s="396"/>
      <c r="AO145" s="396"/>
      <c r="AP145" s="396"/>
      <c r="AQ145" s="396"/>
      <c r="AR145" s="396"/>
      <c r="AS145" s="396"/>
      <c r="AT145" s="490"/>
      <c r="AU145" s="387"/>
      <c r="AY145" s="387"/>
      <c r="AZ145" s="489">
        <f>ROUND(ROUND(Q144*AR146,0)*$AT$112,0)</f>
        <v>125</v>
      </c>
      <c r="BA145" s="393"/>
    </row>
    <row r="146" spans="1:53" ht="16.5" customHeight="1" x14ac:dyDescent="0.15">
      <c r="A146" s="340">
        <v>12</v>
      </c>
      <c r="B146" s="341">
        <v>8304</v>
      </c>
      <c r="C146" s="390" t="s">
        <v>17309</v>
      </c>
      <c r="D146" s="403"/>
      <c r="E146" s="404"/>
      <c r="F146" s="404"/>
      <c r="G146" s="404"/>
      <c r="H146" s="406"/>
      <c r="Q146" s="395"/>
      <c r="R146" s="151"/>
      <c r="S146" s="151"/>
      <c r="U146" s="387"/>
      <c r="V146" s="343" t="s">
        <v>15625</v>
      </c>
      <c r="W146" s="325"/>
      <c r="X146" s="325"/>
      <c r="Y146" s="325"/>
      <c r="Z146" s="325"/>
      <c r="AA146" s="325"/>
      <c r="AB146" s="325"/>
      <c r="AC146" s="325"/>
      <c r="AD146" s="325"/>
      <c r="AE146" s="325"/>
      <c r="AF146" s="325"/>
      <c r="AG146" s="325"/>
      <c r="AH146" s="325"/>
      <c r="AI146" s="391" t="s">
        <v>15626</v>
      </c>
      <c r="AJ146" s="838">
        <f>AJ144</f>
        <v>1</v>
      </c>
      <c r="AK146" s="843"/>
      <c r="AL146" s="324" t="s">
        <v>15630</v>
      </c>
      <c r="AM146" s="325"/>
      <c r="AN146" s="325"/>
      <c r="AO146" s="325"/>
      <c r="AP146" s="325"/>
      <c r="AQ146" s="190" t="s">
        <v>398</v>
      </c>
      <c r="AR146" s="844">
        <f>AR142</f>
        <v>0.85</v>
      </c>
      <c r="AS146" s="844"/>
      <c r="AT146" s="501"/>
      <c r="AU146" s="502"/>
      <c r="AY146" s="387"/>
      <c r="AZ146" s="489">
        <f>ROUND(ROUND(ROUND(Q144*AJ146,0)*AR146,0)*$AT$112,0)</f>
        <v>125</v>
      </c>
      <c r="BA146" s="393"/>
    </row>
    <row r="147" spans="1:53" ht="16.5" customHeight="1" x14ac:dyDescent="0.15">
      <c r="A147" s="340">
        <v>12</v>
      </c>
      <c r="B147" s="341">
        <v>8305</v>
      </c>
      <c r="C147" s="390" t="s">
        <v>17310</v>
      </c>
      <c r="D147" s="403"/>
      <c r="E147" s="404"/>
      <c r="F147" s="404"/>
      <c r="G147" s="404"/>
      <c r="H147" s="406"/>
      <c r="I147" s="10"/>
      <c r="Q147" s="395"/>
      <c r="R147" s="151"/>
      <c r="S147" s="151"/>
      <c r="U147" s="387"/>
      <c r="V147" s="343"/>
      <c r="W147" s="325"/>
      <c r="X147" s="325"/>
      <c r="Y147" s="325"/>
      <c r="Z147" s="325"/>
      <c r="AA147" s="325"/>
      <c r="AB147" s="325"/>
      <c r="AC147" s="325"/>
      <c r="AD147" s="325"/>
      <c r="AE147" s="325"/>
      <c r="AF147" s="325"/>
      <c r="AG147" s="325"/>
      <c r="AH147" s="325"/>
      <c r="AI147" s="391"/>
      <c r="AJ147" s="401"/>
      <c r="AK147" s="402"/>
      <c r="AL147" s="396"/>
      <c r="AM147" s="396"/>
      <c r="AN147" s="396"/>
      <c r="AO147" s="396"/>
      <c r="AP147" s="396"/>
      <c r="AQ147" s="396"/>
      <c r="AR147" s="396"/>
      <c r="AS147" s="396"/>
      <c r="AT147" s="490"/>
      <c r="AU147" s="387"/>
      <c r="AV147" s="858" t="s">
        <v>16296</v>
      </c>
      <c r="AW147" s="858"/>
      <c r="AX147" s="858"/>
      <c r="AY147" s="860"/>
      <c r="AZ147" s="489">
        <f>ROUND(ROUND(Q144*$AT$112,0)*AV150,0)</f>
        <v>118</v>
      </c>
      <c r="BA147" s="393"/>
    </row>
    <row r="148" spans="1:53" ht="16.5" customHeight="1" x14ac:dyDescent="0.15">
      <c r="A148" s="340">
        <v>12</v>
      </c>
      <c r="B148" s="341">
        <v>8306</v>
      </c>
      <c r="C148" s="390" t="s">
        <v>17311</v>
      </c>
      <c r="D148" s="403"/>
      <c r="E148" s="404"/>
      <c r="F148" s="404"/>
      <c r="G148" s="404"/>
      <c r="H148" s="406"/>
      <c r="Q148" s="899"/>
      <c r="R148" s="899"/>
      <c r="S148" s="899"/>
      <c r="U148" s="387"/>
      <c r="V148" s="343" t="s">
        <v>15625</v>
      </c>
      <c r="W148" s="325"/>
      <c r="X148" s="325"/>
      <c r="Y148" s="325"/>
      <c r="Z148" s="325"/>
      <c r="AA148" s="325"/>
      <c r="AB148" s="325"/>
      <c r="AC148" s="325"/>
      <c r="AD148" s="325"/>
      <c r="AE148" s="325"/>
      <c r="AF148" s="325"/>
      <c r="AG148" s="325"/>
      <c r="AH148" s="325"/>
      <c r="AI148" s="391" t="s">
        <v>15626</v>
      </c>
      <c r="AJ148" s="838">
        <f>AJ146</f>
        <v>1</v>
      </c>
      <c r="AK148" s="839"/>
      <c r="AL148" s="325"/>
      <c r="AM148" s="325"/>
      <c r="AN148" s="325"/>
      <c r="AO148" s="325"/>
      <c r="AP148" s="325"/>
      <c r="AQ148" s="325"/>
      <c r="AR148" s="325"/>
      <c r="AS148" s="325"/>
      <c r="AT148" s="490"/>
      <c r="AU148" s="387"/>
      <c r="AV148" s="850"/>
      <c r="AW148" s="850"/>
      <c r="AX148" s="850"/>
      <c r="AY148" s="852"/>
      <c r="AZ148" s="489">
        <f>ROUND(ROUND(ROUND(Q144*AJ148,0)*$AT$112,0)*AV150,0)</f>
        <v>118</v>
      </c>
      <c r="BA148" s="393"/>
    </row>
    <row r="149" spans="1:53" ht="16.5" customHeight="1" x14ac:dyDescent="0.15">
      <c r="A149" s="340">
        <v>12</v>
      </c>
      <c r="B149" s="341">
        <v>8307</v>
      </c>
      <c r="C149" s="390" t="s">
        <v>17312</v>
      </c>
      <c r="D149" s="403"/>
      <c r="E149" s="404"/>
      <c r="F149" s="404"/>
      <c r="G149" s="404"/>
      <c r="H149" s="406"/>
      <c r="Q149" s="395"/>
      <c r="R149" s="151"/>
      <c r="S149" s="151"/>
      <c r="U149" s="387"/>
      <c r="V149" s="343"/>
      <c r="W149" s="343"/>
      <c r="X149" s="343"/>
      <c r="Y149" s="343"/>
      <c r="Z149" s="343"/>
      <c r="AA149" s="343"/>
      <c r="AB149" s="343"/>
      <c r="AC149" s="343"/>
      <c r="AD149" s="343"/>
      <c r="AE149" s="343"/>
      <c r="AF149" s="343"/>
      <c r="AG149" s="343"/>
      <c r="AH149" s="343"/>
      <c r="AI149" s="343"/>
      <c r="AJ149" s="343"/>
      <c r="AK149" s="343"/>
      <c r="AL149" s="114" t="s">
        <v>15628</v>
      </c>
      <c r="AM149" s="396"/>
      <c r="AN149" s="396"/>
      <c r="AO149" s="396"/>
      <c r="AP149" s="396"/>
      <c r="AQ149" s="396"/>
      <c r="AR149" s="396"/>
      <c r="AS149" s="396"/>
      <c r="AT149" s="490"/>
      <c r="AU149" s="387"/>
      <c r="AV149" s="902" t="s">
        <v>15636</v>
      </c>
      <c r="AW149" s="902"/>
      <c r="AX149" s="902"/>
      <c r="AY149" s="903"/>
      <c r="AZ149" s="489">
        <f>ROUND(ROUND(ROUND(Q144*AR150,0)*$AT$112,0)*AV150,0)</f>
        <v>100</v>
      </c>
      <c r="BA149" s="393"/>
    </row>
    <row r="150" spans="1:53" ht="16.5" customHeight="1" x14ac:dyDescent="0.15">
      <c r="A150" s="340">
        <v>12</v>
      </c>
      <c r="B150" s="341">
        <v>8308</v>
      </c>
      <c r="C150" s="390" t="s">
        <v>17313</v>
      </c>
      <c r="D150" s="403"/>
      <c r="E150" s="404"/>
      <c r="F150" s="404"/>
      <c r="G150" s="404"/>
      <c r="H150" s="406"/>
      <c r="Q150" s="395"/>
      <c r="R150" s="151"/>
      <c r="S150" s="151"/>
      <c r="U150" s="387"/>
      <c r="V150" s="343" t="s">
        <v>15625</v>
      </c>
      <c r="W150" s="325"/>
      <c r="X150" s="325"/>
      <c r="Y150" s="325"/>
      <c r="Z150" s="325"/>
      <c r="AA150" s="325"/>
      <c r="AB150" s="325"/>
      <c r="AC150" s="325"/>
      <c r="AD150" s="325"/>
      <c r="AE150" s="325"/>
      <c r="AF150" s="325"/>
      <c r="AG150" s="325"/>
      <c r="AH150" s="325"/>
      <c r="AI150" s="391" t="s">
        <v>15626</v>
      </c>
      <c r="AJ150" s="838">
        <f>AJ148</f>
        <v>1</v>
      </c>
      <c r="AK150" s="843"/>
      <c r="AL150" s="324" t="s">
        <v>15630</v>
      </c>
      <c r="AM150" s="325"/>
      <c r="AN150" s="325"/>
      <c r="AO150" s="325"/>
      <c r="AP150" s="325"/>
      <c r="AQ150" s="190" t="s">
        <v>398</v>
      </c>
      <c r="AR150" s="844">
        <f>AR146</f>
        <v>0.85</v>
      </c>
      <c r="AS150" s="844"/>
      <c r="AT150" s="501"/>
      <c r="AU150" s="502"/>
      <c r="AV150" s="844">
        <f>AV142</f>
        <v>0.8</v>
      </c>
      <c r="AW150" s="844"/>
      <c r="AX150" s="844"/>
      <c r="AY150" s="845"/>
      <c r="AZ150" s="489">
        <f>ROUND(ROUND(ROUND(ROUND(Q144*AJ150,0)*AR150,0)*$AT$112,0)*AV150,0)</f>
        <v>100</v>
      </c>
      <c r="BA150" s="393"/>
    </row>
    <row r="151" spans="1:53" ht="16.5" customHeight="1" x14ac:dyDescent="0.15">
      <c r="A151" s="340">
        <v>12</v>
      </c>
      <c r="B151" s="341">
        <v>8309</v>
      </c>
      <c r="C151" s="390" t="s">
        <v>17314</v>
      </c>
      <c r="D151" s="403"/>
      <c r="E151" s="404"/>
      <c r="F151" s="404"/>
      <c r="G151" s="404"/>
      <c r="H151" s="406"/>
      <c r="I151" s="908" t="s">
        <v>16345</v>
      </c>
      <c r="J151" s="909"/>
      <c r="K151" s="909"/>
      <c r="L151" s="909"/>
      <c r="M151" s="909"/>
      <c r="N151" s="909"/>
      <c r="O151" s="909"/>
      <c r="P151" s="909"/>
      <c r="Q151" s="909"/>
      <c r="R151" s="909"/>
      <c r="S151" s="909"/>
      <c r="T151" s="909"/>
      <c r="U151" s="910"/>
      <c r="V151" s="343"/>
      <c r="W151" s="325"/>
      <c r="X151" s="325"/>
      <c r="Y151" s="325"/>
      <c r="Z151" s="325"/>
      <c r="AA151" s="325"/>
      <c r="AB151" s="325"/>
      <c r="AC151" s="325"/>
      <c r="AD151" s="325"/>
      <c r="AE151" s="325"/>
      <c r="AF151" s="325"/>
      <c r="AG151" s="325"/>
      <c r="AH151" s="325"/>
      <c r="AI151" s="391"/>
      <c r="AJ151" s="401"/>
      <c r="AK151" s="402"/>
      <c r="AL151" s="396"/>
      <c r="AM151" s="396"/>
      <c r="AN151" s="396"/>
      <c r="AO151" s="396"/>
      <c r="AP151" s="396"/>
      <c r="AQ151" s="396"/>
      <c r="AR151" s="396"/>
      <c r="AS151" s="396"/>
      <c r="AT151" s="490"/>
      <c r="AU151" s="387"/>
      <c r="AV151" s="400"/>
      <c r="AW151" s="400"/>
      <c r="AX151" s="396"/>
      <c r="AY151" s="397"/>
      <c r="AZ151" s="489">
        <f>ROUND(Q152*$AT$112,0)</f>
        <v>150</v>
      </c>
      <c r="BA151" s="393"/>
    </row>
    <row r="152" spans="1:53" ht="16.5" customHeight="1" x14ac:dyDescent="0.15">
      <c r="A152" s="340">
        <v>12</v>
      </c>
      <c r="B152" s="341">
        <v>8310</v>
      </c>
      <c r="C152" s="390" t="s">
        <v>17315</v>
      </c>
      <c r="D152" s="403"/>
      <c r="E152" s="404"/>
      <c r="F152" s="404"/>
      <c r="G152" s="404"/>
      <c r="H152" s="406"/>
      <c r="Q152" s="836">
        <f>ROUND(Q248*$F$109,0)</f>
        <v>100</v>
      </c>
      <c r="R152" s="911"/>
      <c r="S152" s="911"/>
      <c r="T152" s="152" t="s">
        <v>15624</v>
      </c>
      <c r="U152" s="387"/>
      <c r="V152" s="343" t="s">
        <v>15625</v>
      </c>
      <c r="W152" s="325"/>
      <c r="X152" s="325"/>
      <c r="Y152" s="325"/>
      <c r="Z152" s="325"/>
      <c r="AA152" s="325"/>
      <c r="AB152" s="325"/>
      <c r="AC152" s="325"/>
      <c r="AD152" s="325"/>
      <c r="AE152" s="325"/>
      <c r="AF152" s="325"/>
      <c r="AG152" s="325"/>
      <c r="AH152" s="325"/>
      <c r="AI152" s="391" t="s">
        <v>15626</v>
      </c>
      <c r="AJ152" s="838">
        <f>AJ150</f>
        <v>1</v>
      </c>
      <c r="AK152" s="839"/>
      <c r="AL152" s="325"/>
      <c r="AM152" s="325"/>
      <c r="AN152" s="325"/>
      <c r="AO152" s="325"/>
      <c r="AP152" s="325"/>
      <c r="AQ152" s="325"/>
      <c r="AR152" s="325"/>
      <c r="AS152" s="325"/>
      <c r="AT152" s="490"/>
      <c r="AU152" s="387"/>
      <c r="AY152" s="387"/>
      <c r="AZ152" s="489">
        <f>ROUND(ROUND(Q152*AJ152,0)*$AT$112,0)</f>
        <v>150</v>
      </c>
      <c r="BA152" s="393"/>
    </row>
    <row r="153" spans="1:53" ht="16.5" customHeight="1" x14ac:dyDescent="0.15">
      <c r="A153" s="340">
        <v>12</v>
      </c>
      <c r="B153" s="341">
        <v>8311</v>
      </c>
      <c r="C153" s="390" t="s">
        <v>17316</v>
      </c>
      <c r="D153" s="403"/>
      <c r="E153" s="404"/>
      <c r="F153" s="404"/>
      <c r="G153" s="404"/>
      <c r="H153" s="406"/>
      <c r="Q153" s="395"/>
      <c r="R153" s="151"/>
      <c r="S153" s="151"/>
      <c r="U153" s="387"/>
      <c r="V153" s="343"/>
      <c r="W153" s="343"/>
      <c r="X153" s="343"/>
      <c r="Y153" s="343"/>
      <c r="Z153" s="343"/>
      <c r="AA153" s="343"/>
      <c r="AB153" s="343"/>
      <c r="AC153" s="343"/>
      <c r="AD153" s="343"/>
      <c r="AE153" s="343"/>
      <c r="AF153" s="343"/>
      <c r="AG153" s="343"/>
      <c r="AH153" s="343"/>
      <c r="AI153" s="343"/>
      <c r="AJ153" s="343"/>
      <c r="AK153" s="343"/>
      <c r="AL153" s="114" t="s">
        <v>15628</v>
      </c>
      <c r="AM153" s="396"/>
      <c r="AN153" s="396"/>
      <c r="AO153" s="396"/>
      <c r="AP153" s="396"/>
      <c r="AQ153" s="396"/>
      <c r="AR153" s="396"/>
      <c r="AS153" s="396"/>
      <c r="AT153" s="490"/>
      <c r="AU153" s="387"/>
      <c r="AY153" s="387"/>
      <c r="AZ153" s="489">
        <f>ROUND(ROUND(Q152*AR154,0)*$AT$112,0)</f>
        <v>128</v>
      </c>
      <c r="BA153" s="393"/>
    </row>
    <row r="154" spans="1:53" ht="16.5" customHeight="1" x14ac:dyDescent="0.15">
      <c r="A154" s="340">
        <v>12</v>
      </c>
      <c r="B154" s="341">
        <v>8312</v>
      </c>
      <c r="C154" s="390" t="s">
        <v>17317</v>
      </c>
      <c r="D154" s="403"/>
      <c r="E154" s="404"/>
      <c r="F154" s="404"/>
      <c r="G154" s="404"/>
      <c r="H154" s="406"/>
      <c r="Q154" s="395"/>
      <c r="R154" s="151"/>
      <c r="S154" s="151"/>
      <c r="U154" s="387"/>
      <c r="V154" s="343" t="s">
        <v>15625</v>
      </c>
      <c r="W154" s="325"/>
      <c r="X154" s="325"/>
      <c r="Y154" s="325"/>
      <c r="Z154" s="325"/>
      <c r="AA154" s="325"/>
      <c r="AB154" s="325"/>
      <c r="AC154" s="325"/>
      <c r="AD154" s="325"/>
      <c r="AE154" s="325"/>
      <c r="AF154" s="325"/>
      <c r="AG154" s="325"/>
      <c r="AH154" s="325"/>
      <c r="AI154" s="391" t="s">
        <v>15626</v>
      </c>
      <c r="AJ154" s="838">
        <f>AJ152</f>
        <v>1</v>
      </c>
      <c r="AK154" s="843"/>
      <c r="AL154" s="324" t="s">
        <v>15630</v>
      </c>
      <c r="AM154" s="325"/>
      <c r="AN154" s="325"/>
      <c r="AO154" s="325"/>
      <c r="AP154" s="325"/>
      <c r="AQ154" s="190" t="s">
        <v>398</v>
      </c>
      <c r="AR154" s="844">
        <f>AR150</f>
        <v>0.85</v>
      </c>
      <c r="AS154" s="844"/>
      <c r="AT154" s="501"/>
      <c r="AU154" s="502"/>
      <c r="AY154" s="387"/>
      <c r="AZ154" s="489">
        <f>ROUND(ROUND(ROUND(Q152*AJ154,0)*AR154,0)*$AT$112,0)</f>
        <v>128</v>
      </c>
      <c r="BA154" s="393"/>
    </row>
    <row r="155" spans="1:53" ht="16.5" customHeight="1" x14ac:dyDescent="0.15">
      <c r="A155" s="340">
        <v>12</v>
      </c>
      <c r="B155" s="341">
        <v>8313</v>
      </c>
      <c r="C155" s="390" t="s">
        <v>17318</v>
      </c>
      <c r="D155" s="403"/>
      <c r="E155" s="404"/>
      <c r="F155" s="404"/>
      <c r="G155" s="404"/>
      <c r="H155" s="406"/>
      <c r="I155" s="10"/>
      <c r="Q155" s="395"/>
      <c r="R155" s="151"/>
      <c r="S155" s="151"/>
      <c r="U155" s="387"/>
      <c r="V155" s="343"/>
      <c r="W155" s="325"/>
      <c r="X155" s="325"/>
      <c r="Y155" s="325"/>
      <c r="Z155" s="325"/>
      <c r="AA155" s="325"/>
      <c r="AB155" s="325"/>
      <c r="AC155" s="325"/>
      <c r="AD155" s="325"/>
      <c r="AE155" s="325"/>
      <c r="AF155" s="325"/>
      <c r="AG155" s="325"/>
      <c r="AH155" s="325"/>
      <c r="AI155" s="391"/>
      <c r="AJ155" s="401"/>
      <c r="AK155" s="402"/>
      <c r="AL155" s="396"/>
      <c r="AM155" s="396"/>
      <c r="AN155" s="396"/>
      <c r="AO155" s="396"/>
      <c r="AP155" s="396"/>
      <c r="AQ155" s="396"/>
      <c r="AR155" s="396"/>
      <c r="AS155" s="396"/>
      <c r="AT155" s="490"/>
      <c r="AU155" s="387"/>
      <c r="AV155" s="858" t="s">
        <v>16296</v>
      </c>
      <c r="AW155" s="858"/>
      <c r="AX155" s="858"/>
      <c r="AY155" s="860"/>
      <c r="AZ155" s="489">
        <f>ROUND(ROUND(Q152*$AT$112,0)*AV158,0)</f>
        <v>120</v>
      </c>
      <c r="BA155" s="393"/>
    </row>
    <row r="156" spans="1:53" ht="16.5" customHeight="1" x14ac:dyDescent="0.15">
      <c r="A156" s="340">
        <v>12</v>
      </c>
      <c r="B156" s="341">
        <v>8314</v>
      </c>
      <c r="C156" s="390" t="s">
        <v>17319</v>
      </c>
      <c r="D156" s="403"/>
      <c r="E156" s="404"/>
      <c r="F156" s="404"/>
      <c r="G156" s="404"/>
      <c r="H156" s="406"/>
      <c r="Q156" s="899"/>
      <c r="R156" s="899"/>
      <c r="S156" s="899"/>
      <c r="U156" s="387"/>
      <c r="V156" s="343" t="s">
        <v>15625</v>
      </c>
      <c r="W156" s="325"/>
      <c r="X156" s="325"/>
      <c r="Y156" s="325"/>
      <c r="Z156" s="325"/>
      <c r="AA156" s="325"/>
      <c r="AB156" s="325"/>
      <c r="AC156" s="325"/>
      <c r="AD156" s="325"/>
      <c r="AE156" s="325"/>
      <c r="AF156" s="325"/>
      <c r="AG156" s="325"/>
      <c r="AH156" s="325"/>
      <c r="AI156" s="391" t="s">
        <v>15626</v>
      </c>
      <c r="AJ156" s="838">
        <f>AJ154</f>
        <v>1</v>
      </c>
      <c r="AK156" s="839"/>
      <c r="AL156" s="325"/>
      <c r="AM156" s="325"/>
      <c r="AN156" s="325"/>
      <c r="AO156" s="325"/>
      <c r="AP156" s="325"/>
      <c r="AQ156" s="325"/>
      <c r="AR156" s="325"/>
      <c r="AS156" s="325"/>
      <c r="AT156" s="490"/>
      <c r="AU156" s="387"/>
      <c r="AV156" s="850"/>
      <c r="AW156" s="850"/>
      <c r="AX156" s="850"/>
      <c r="AY156" s="852"/>
      <c r="AZ156" s="489">
        <f>ROUND(ROUND(ROUND(Q152*AJ156,0)*$AT$112,0)*AV158,0)</f>
        <v>120</v>
      </c>
      <c r="BA156" s="393"/>
    </row>
    <row r="157" spans="1:53" ht="16.5" customHeight="1" x14ac:dyDescent="0.15">
      <c r="A157" s="340">
        <v>12</v>
      </c>
      <c r="B157" s="341">
        <v>8315</v>
      </c>
      <c r="C157" s="390" t="s">
        <v>17320</v>
      </c>
      <c r="D157" s="403"/>
      <c r="E157" s="404"/>
      <c r="F157" s="404"/>
      <c r="G157" s="404"/>
      <c r="H157" s="406"/>
      <c r="Q157" s="395"/>
      <c r="R157" s="151"/>
      <c r="S157" s="151"/>
      <c r="U157" s="387"/>
      <c r="V157" s="343"/>
      <c r="W157" s="343"/>
      <c r="X157" s="343"/>
      <c r="Y157" s="343"/>
      <c r="Z157" s="343"/>
      <c r="AA157" s="343"/>
      <c r="AB157" s="343"/>
      <c r="AC157" s="343"/>
      <c r="AD157" s="343"/>
      <c r="AE157" s="343"/>
      <c r="AF157" s="343"/>
      <c r="AG157" s="343"/>
      <c r="AH157" s="343"/>
      <c r="AI157" s="343"/>
      <c r="AJ157" s="343"/>
      <c r="AK157" s="343"/>
      <c r="AL157" s="114" t="s">
        <v>15628</v>
      </c>
      <c r="AM157" s="396"/>
      <c r="AN157" s="396"/>
      <c r="AO157" s="396"/>
      <c r="AP157" s="396"/>
      <c r="AQ157" s="396"/>
      <c r="AR157" s="396"/>
      <c r="AS157" s="396"/>
      <c r="AT157" s="490"/>
      <c r="AU157" s="387"/>
      <c r="AV157" s="902" t="s">
        <v>15636</v>
      </c>
      <c r="AW157" s="902"/>
      <c r="AX157" s="902"/>
      <c r="AY157" s="903"/>
      <c r="AZ157" s="489">
        <f>ROUND(ROUND(ROUND(Q152*AR158,0)*$AT$112,0)*AV158,0)</f>
        <v>102</v>
      </c>
      <c r="BA157" s="393"/>
    </row>
    <row r="158" spans="1:53" ht="16.5" customHeight="1" x14ac:dyDescent="0.15">
      <c r="A158" s="340">
        <v>12</v>
      </c>
      <c r="B158" s="341">
        <v>8316</v>
      </c>
      <c r="C158" s="390" t="s">
        <v>17321</v>
      </c>
      <c r="D158" s="403"/>
      <c r="E158" s="404"/>
      <c r="F158" s="404"/>
      <c r="G158" s="404"/>
      <c r="H158" s="406"/>
      <c r="Q158" s="395"/>
      <c r="R158" s="151"/>
      <c r="S158" s="151"/>
      <c r="U158" s="387"/>
      <c r="V158" s="343" t="s">
        <v>15625</v>
      </c>
      <c r="W158" s="325"/>
      <c r="X158" s="325"/>
      <c r="Y158" s="325"/>
      <c r="Z158" s="325"/>
      <c r="AA158" s="325"/>
      <c r="AB158" s="325"/>
      <c r="AC158" s="325"/>
      <c r="AD158" s="325"/>
      <c r="AE158" s="325"/>
      <c r="AF158" s="325"/>
      <c r="AG158" s="325"/>
      <c r="AH158" s="325"/>
      <c r="AI158" s="391" t="s">
        <v>15626</v>
      </c>
      <c r="AJ158" s="838">
        <f>AJ156</f>
        <v>1</v>
      </c>
      <c r="AK158" s="843"/>
      <c r="AL158" s="324" t="s">
        <v>15630</v>
      </c>
      <c r="AM158" s="325"/>
      <c r="AN158" s="325"/>
      <c r="AO158" s="325"/>
      <c r="AP158" s="325"/>
      <c r="AQ158" s="190" t="s">
        <v>398</v>
      </c>
      <c r="AR158" s="844">
        <f>AR154</f>
        <v>0.85</v>
      </c>
      <c r="AS158" s="844"/>
      <c r="AT158" s="501"/>
      <c r="AU158" s="502"/>
      <c r="AV158" s="844">
        <f>AV150</f>
        <v>0.8</v>
      </c>
      <c r="AW158" s="844"/>
      <c r="AX158" s="844"/>
      <c r="AY158" s="845"/>
      <c r="AZ158" s="489">
        <f>ROUND(ROUND(ROUND(ROUND(Q152*AJ158,0)*AR158,0)*$AT$112,0)*AV158,0)</f>
        <v>102</v>
      </c>
      <c r="BA158" s="393"/>
    </row>
    <row r="159" spans="1:53" ht="17.100000000000001" customHeight="1" x14ac:dyDescent="0.15">
      <c r="A159" s="340">
        <v>12</v>
      </c>
      <c r="B159" s="341">
        <v>8317</v>
      </c>
      <c r="C159" s="390" t="s">
        <v>17322</v>
      </c>
      <c r="D159" s="403"/>
      <c r="E159" s="404"/>
      <c r="F159" s="404"/>
      <c r="G159" s="404"/>
      <c r="H159" s="406"/>
      <c r="I159" s="908" t="s">
        <v>16354</v>
      </c>
      <c r="J159" s="909"/>
      <c r="K159" s="909"/>
      <c r="L159" s="909"/>
      <c r="M159" s="909"/>
      <c r="N159" s="909"/>
      <c r="O159" s="909"/>
      <c r="P159" s="909"/>
      <c r="Q159" s="909"/>
      <c r="R159" s="909"/>
      <c r="S159" s="909"/>
      <c r="T159" s="909"/>
      <c r="U159" s="910"/>
      <c r="V159" s="343"/>
      <c r="W159" s="343"/>
      <c r="X159" s="343"/>
      <c r="Y159" s="343"/>
      <c r="Z159" s="343"/>
      <c r="AA159" s="343"/>
      <c r="AB159" s="343"/>
      <c r="AC159" s="343"/>
      <c r="AD159" s="343"/>
      <c r="AE159" s="343"/>
      <c r="AF159" s="343"/>
      <c r="AG159" s="343"/>
      <c r="AH159" s="343"/>
      <c r="AI159" s="343"/>
      <c r="AJ159" s="401"/>
      <c r="AK159" s="402"/>
      <c r="AL159" s="396"/>
      <c r="AM159" s="396"/>
      <c r="AN159" s="396"/>
      <c r="AO159" s="396"/>
      <c r="AP159" s="396"/>
      <c r="AQ159" s="396"/>
      <c r="AR159" s="396"/>
      <c r="AS159" s="396"/>
      <c r="AT159" s="490"/>
      <c r="AU159" s="387"/>
      <c r="AV159" s="400"/>
      <c r="AW159" s="400"/>
      <c r="AX159" s="396"/>
      <c r="AY159" s="397"/>
      <c r="AZ159" s="489">
        <f>ROUND(Q160*$AT$112,0)</f>
        <v>138</v>
      </c>
      <c r="BA159" s="393"/>
    </row>
    <row r="160" spans="1:53" ht="16.5" customHeight="1" x14ac:dyDescent="0.15">
      <c r="A160" s="340">
        <v>12</v>
      </c>
      <c r="B160" s="341">
        <v>8318</v>
      </c>
      <c r="C160" s="390" t="s">
        <v>17323</v>
      </c>
      <c r="D160" s="403"/>
      <c r="E160" s="404"/>
      <c r="F160" s="404"/>
      <c r="G160" s="404"/>
      <c r="H160" s="406"/>
      <c r="Q160" s="836">
        <f>ROUND(Q256*$F$109,0)</f>
        <v>92</v>
      </c>
      <c r="R160" s="911"/>
      <c r="S160" s="911"/>
      <c r="T160" s="152" t="s">
        <v>15624</v>
      </c>
      <c r="U160" s="387"/>
      <c r="V160" s="343" t="s">
        <v>15625</v>
      </c>
      <c r="W160" s="325"/>
      <c r="X160" s="325"/>
      <c r="Y160" s="325"/>
      <c r="Z160" s="325"/>
      <c r="AA160" s="325"/>
      <c r="AB160" s="325"/>
      <c r="AC160" s="325"/>
      <c r="AD160" s="325"/>
      <c r="AE160" s="325"/>
      <c r="AF160" s="325"/>
      <c r="AG160" s="325"/>
      <c r="AH160" s="325"/>
      <c r="AI160" s="391" t="s">
        <v>15626</v>
      </c>
      <c r="AJ160" s="838">
        <f>AJ158</f>
        <v>1</v>
      </c>
      <c r="AK160" s="839"/>
      <c r="AL160" s="325"/>
      <c r="AM160" s="325"/>
      <c r="AN160" s="325"/>
      <c r="AO160" s="325"/>
      <c r="AP160" s="325"/>
      <c r="AQ160" s="325"/>
      <c r="AR160" s="325"/>
      <c r="AS160" s="391"/>
      <c r="AT160" s="503"/>
      <c r="AU160" s="504"/>
      <c r="AY160" s="387"/>
      <c r="AZ160" s="489">
        <f>ROUND(ROUND(Q160*AJ160,0)*$AT$112,0)</f>
        <v>138</v>
      </c>
      <c r="BA160" s="393"/>
    </row>
    <row r="161" spans="1:53" ht="16.5" customHeight="1" x14ac:dyDescent="0.15">
      <c r="A161" s="340">
        <v>12</v>
      </c>
      <c r="B161" s="341">
        <v>8319</v>
      </c>
      <c r="C161" s="390" t="s">
        <v>17324</v>
      </c>
      <c r="D161" s="403"/>
      <c r="E161" s="404"/>
      <c r="F161" s="404"/>
      <c r="G161" s="404"/>
      <c r="H161" s="406"/>
      <c r="Q161" s="395"/>
      <c r="R161" s="151"/>
      <c r="S161" s="151"/>
      <c r="U161" s="387"/>
      <c r="V161" s="343"/>
      <c r="W161" s="343"/>
      <c r="X161" s="343"/>
      <c r="Y161" s="343"/>
      <c r="Z161" s="343"/>
      <c r="AA161" s="343"/>
      <c r="AB161" s="343"/>
      <c r="AC161" s="343"/>
      <c r="AD161" s="343"/>
      <c r="AE161" s="343"/>
      <c r="AF161" s="343"/>
      <c r="AG161" s="343"/>
      <c r="AH161" s="343"/>
      <c r="AI161" s="343"/>
      <c r="AJ161" s="343"/>
      <c r="AK161" s="343"/>
      <c r="AL161" s="114" t="s">
        <v>15628</v>
      </c>
      <c r="AM161" s="396"/>
      <c r="AN161" s="396"/>
      <c r="AO161" s="396"/>
      <c r="AP161" s="396"/>
      <c r="AQ161" s="396"/>
      <c r="AR161" s="396"/>
      <c r="AS161" s="396"/>
      <c r="AT161" s="490"/>
      <c r="AU161" s="387"/>
      <c r="AY161" s="387"/>
      <c r="AZ161" s="489">
        <f>ROUND(ROUND(Q160*AR162,0)*$AT$112,0)</f>
        <v>117</v>
      </c>
      <c r="BA161" s="393"/>
    </row>
    <row r="162" spans="1:53" ht="16.5" customHeight="1" x14ac:dyDescent="0.15">
      <c r="A162" s="340">
        <v>12</v>
      </c>
      <c r="B162" s="341">
        <v>8320</v>
      </c>
      <c r="C162" s="390" t="s">
        <v>17325</v>
      </c>
      <c r="D162" s="403"/>
      <c r="E162" s="404"/>
      <c r="F162" s="404"/>
      <c r="G162" s="404"/>
      <c r="H162" s="406"/>
      <c r="Q162" s="395"/>
      <c r="R162" s="151"/>
      <c r="S162" s="151"/>
      <c r="U162" s="387"/>
      <c r="V162" s="343" t="s">
        <v>15625</v>
      </c>
      <c r="W162" s="325"/>
      <c r="X162" s="325"/>
      <c r="Y162" s="325"/>
      <c r="Z162" s="325"/>
      <c r="AA162" s="325"/>
      <c r="AB162" s="325"/>
      <c r="AC162" s="325"/>
      <c r="AD162" s="325"/>
      <c r="AE162" s="325"/>
      <c r="AF162" s="325"/>
      <c r="AG162" s="325"/>
      <c r="AH162" s="325"/>
      <c r="AI162" s="391" t="s">
        <v>15626</v>
      </c>
      <c r="AJ162" s="838">
        <f>AJ160</f>
        <v>1</v>
      </c>
      <c r="AK162" s="843"/>
      <c r="AL162" s="324" t="s">
        <v>15630</v>
      </c>
      <c r="AM162" s="325"/>
      <c r="AN162" s="325"/>
      <c r="AO162" s="325"/>
      <c r="AP162" s="325"/>
      <c r="AQ162" s="190" t="s">
        <v>398</v>
      </c>
      <c r="AR162" s="844">
        <f>AR158</f>
        <v>0.85</v>
      </c>
      <c r="AS162" s="844"/>
      <c r="AT162" s="501"/>
      <c r="AU162" s="502"/>
      <c r="AY162" s="387"/>
      <c r="AZ162" s="489">
        <f>ROUND(ROUND(ROUND(Q160*AJ162,0)*AR162,0)*$AT$112,0)</f>
        <v>117</v>
      </c>
      <c r="BA162" s="393"/>
    </row>
    <row r="163" spans="1:53" ht="17.100000000000001" customHeight="1" x14ac:dyDescent="0.15">
      <c r="A163" s="340">
        <v>12</v>
      </c>
      <c r="B163" s="341">
        <v>8321</v>
      </c>
      <c r="C163" s="390" t="s">
        <v>17326</v>
      </c>
      <c r="D163" s="403"/>
      <c r="E163" s="404"/>
      <c r="F163" s="404"/>
      <c r="G163" s="404"/>
      <c r="H163" s="406"/>
      <c r="I163" s="10"/>
      <c r="L163" s="151"/>
      <c r="M163" s="151"/>
      <c r="N163" s="151"/>
      <c r="U163" s="387"/>
      <c r="V163" s="343"/>
      <c r="W163" s="343"/>
      <c r="X163" s="343"/>
      <c r="Y163" s="343"/>
      <c r="Z163" s="343"/>
      <c r="AA163" s="343"/>
      <c r="AB163" s="343"/>
      <c r="AC163" s="343"/>
      <c r="AD163" s="343"/>
      <c r="AE163" s="343"/>
      <c r="AF163" s="343"/>
      <c r="AG163" s="343"/>
      <c r="AH163" s="343"/>
      <c r="AI163" s="343"/>
      <c r="AJ163" s="401"/>
      <c r="AK163" s="402"/>
      <c r="AL163" s="396"/>
      <c r="AM163" s="396"/>
      <c r="AN163" s="396"/>
      <c r="AO163" s="396"/>
      <c r="AP163" s="396"/>
      <c r="AQ163" s="396"/>
      <c r="AR163" s="396"/>
      <c r="AS163" s="396"/>
      <c r="AT163" s="490"/>
      <c r="AU163" s="387"/>
      <c r="AV163" s="858" t="s">
        <v>16296</v>
      </c>
      <c r="AW163" s="858"/>
      <c r="AX163" s="858"/>
      <c r="AY163" s="860"/>
      <c r="AZ163" s="489">
        <f>ROUND(ROUND(Q160*$AT$112,0)*AV166,0)</f>
        <v>110</v>
      </c>
      <c r="BA163" s="393"/>
    </row>
    <row r="164" spans="1:53" ht="16.5" customHeight="1" x14ac:dyDescent="0.15">
      <c r="A164" s="340">
        <v>12</v>
      </c>
      <c r="B164" s="341">
        <v>8322</v>
      </c>
      <c r="C164" s="390" t="s">
        <v>17327</v>
      </c>
      <c r="D164" s="403"/>
      <c r="E164" s="404"/>
      <c r="F164" s="404"/>
      <c r="G164" s="404"/>
      <c r="H164" s="406"/>
      <c r="Q164" s="899"/>
      <c r="R164" s="899"/>
      <c r="S164" s="899"/>
      <c r="U164" s="387"/>
      <c r="V164" s="343" t="s">
        <v>15625</v>
      </c>
      <c r="W164" s="325"/>
      <c r="X164" s="325"/>
      <c r="Y164" s="325"/>
      <c r="Z164" s="325"/>
      <c r="AA164" s="325"/>
      <c r="AB164" s="325"/>
      <c r="AC164" s="325"/>
      <c r="AD164" s="325"/>
      <c r="AE164" s="325"/>
      <c r="AF164" s="325"/>
      <c r="AG164" s="325"/>
      <c r="AH164" s="325"/>
      <c r="AI164" s="391" t="s">
        <v>15626</v>
      </c>
      <c r="AJ164" s="838">
        <f>AJ162</f>
        <v>1</v>
      </c>
      <c r="AK164" s="839"/>
      <c r="AL164" s="325"/>
      <c r="AM164" s="325"/>
      <c r="AN164" s="325"/>
      <c r="AO164" s="325"/>
      <c r="AP164" s="325"/>
      <c r="AQ164" s="325"/>
      <c r="AR164" s="325"/>
      <c r="AS164" s="391"/>
      <c r="AT164" s="503"/>
      <c r="AU164" s="504"/>
      <c r="AV164" s="850"/>
      <c r="AW164" s="850"/>
      <c r="AX164" s="850"/>
      <c r="AY164" s="852"/>
      <c r="AZ164" s="489">
        <f>ROUND(ROUND(ROUND(Q160*AJ164,0)*$AT$112,0)*AV166,0)</f>
        <v>110</v>
      </c>
      <c r="BA164" s="393"/>
    </row>
    <row r="165" spans="1:53" ht="16.5" customHeight="1" x14ac:dyDescent="0.15">
      <c r="A165" s="340">
        <v>12</v>
      </c>
      <c r="B165" s="341">
        <v>8323</v>
      </c>
      <c r="C165" s="390" t="s">
        <v>17328</v>
      </c>
      <c r="D165" s="403"/>
      <c r="E165" s="404"/>
      <c r="F165" s="404"/>
      <c r="G165" s="404"/>
      <c r="H165" s="406"/>
      <c r="Q165" s="395"/>
      <c r="R165" s="151"/>
      <c r="S165" s="151"/>
      <c r="U165" s="387"/>
      <c r="V165" s="343"/>
      <c r="W165" s="343"/>
      <c r="X165" s="343"/>
      <c r="Y165" s="343"/>
      <c r="Z165" s="343"/>
      <c r="AA165" s="343"/>
      <c r="AB165" s="343"/>
      <c r="AC165" s="343"/>
      <c r="AD165" s="343"/>
      <c r="AE165" s="343"/>
      <c r="AF165" s="343"/>
      <c r="AG165" s="343"/>
      <c r="AH165" s="343"/>
      <c r="AI165" s="343"/>
      <c r="AJ165" s="343"/>
      <c r="AK165" s="343"/>
      <c r="AL165" s="114" t="s">
        <v>15628</v>
      </c>
      <c r="AM165" s="396"/>
      <c r="AN165" s="396"/>
      <c r="AO165" s="396"/>
      <c r="AP165" s="396"/>
      <c r="AQ165" s="396"/>
      <c r="AR165" s="396"/>
      <c r="AS165" s="396"/>
      <c r="AT165" s="490"/>
      <c r="AU165" s="387"/>
      <c r="AV165" s="902" t="s">
        <v>15636</v>
      </c>
      <c r="AW165" s="902"/>
      <c r="AX165" s="902"/>
      <c r="AY165" s="903"/>
      <c r="AZ165" s="489">
        <f>ROUND(ROUND(ROUND(Q160*AR166,0)*$AT$112,0)*AV166,0)</f>
        <v>94</v>
      </c>
      <c r="BA165" s="393"/>
    </row>
    <row r="166" spans="1:53" ht="16.5" customHeight="1" x14ac:dyDescent="0.15">
      <c r="A166" s="340">
        <v>12</v>
      </c>
      <c r="B166" s="341">
        <v>8324</v>
      </c>
      <c r="C166" s="390" t="s">
        <v>17329</v>
      </c>
      <c r="D166" s="403"/>
      <c r="E166" s="404"/>
      <c r="F166" s="404"/>
      <c r="G166" s="404"/>
      <c r="H166" s="406"/>
      <c r="Q166" s="395"/>
      <c r="R166" s="151"/>
      <c r="S166" s="151"/>
      <c r="U166" s="387"/>
      <c r="V166" s="343" t="s">
        <v>15625</v>
      </c>
      <c r="W166" s="325"/>
      <c r="X166" s="325"/>
      <c r="Y166" s="325"/>
      <c r="Z166" s="325"/>
      <c r="AA166" s="325"/>
      <c r="AB166" s="325"/>
      <c r="AC166" s="325"/>
      <c r="AD166" s="325"/>
      <c r="AE166" s="325"/>
      <c r="AF166" s="325"/>
      <c r="AG166" s="325"/>
      <c r="AH166" s="325"/>
      <c r="AI166" s="391" t="s">
        <v>15626</v>
      </c>
      <c r="AJ166" s="838">
        <f>AJ164</f>
        <v>1</v>
      </c>
      <c r="AK166" s="843"/>
      <c r="AL166" s="324" t="s">
        <v>15630</v>
      </c>
      <c r="AM166" s="325"/>
      <c r="AN166" s="325"/>
      <c r="AO166" s="325"/>
      <c r="AP166" s="325"/>
      <c r="AQ166" s="190" t="s">
        <v>398</v>
      </c>
      <c r="AR166" s="844">
        <f>AR162</f>
        <v>0.85</v>
      </c>
      <c r="AS166" s="844"/>
      <c r="AT166" s="501"/>
      <c r="AU166" s="502"/>
      <c r="AV166" s="844">
        <f>AV158</f>
        <v>0.8</v>
      </c>
      <c r="AW166" s="844"/>
      <c r="AX166" s="844"/>
      <c r="AY166" s="845"/>
      <c r="AZ166" s="489">
        <f>ROUND(ROUND(ROUND(ROUND(Q160*AJ166,0)*AR166,0)*$AT$112,0)*AV166,0)</f>
        <v>94</v>
      </c>
      <c r="BA166" s="393"/>
    </row>
    <row r="167" spans="1:53" ht="17.100000000000001" customHeight="1" x14ac:dyDescent="0.15">
      <c r="A167" s="340">
        <v>12</v>
      </c>
      <c r="B167" s="341">
        <v>8325</v>
      </c>
      <c r="C167" s="390" t="s">
        <v>17330</v>
      </c>
      <c r="D167" s="403"/>
      <c r="E167" s="404"/>
      <c r="F167" s="404"/>
      <c r="G167" s="404"/>
      <c r="H167" s="406"/>
      <c r="I167" s="908" t="s">
        <v>16363</v>
      </c>
      <c r="J167" s="909"/>
      <c r="K167" s="909"/>
      <c r="L167" s="909"/>
      <c r="M167" s="909"/>
      <c r="N167" s="909"/>
      <c r="O167" s="909"/>
      <c r="P167" s="909"/>
      <c r="Q167" s="909"/>
      <c r="R167" s="909"/>
      <c r="S167" s="909"/>
      <c r="T167" s="909"/>
      <c r="U167" s="910"/>
      <c r="V167" s="343"/>
      <c r="W167" s="343"/>
      <c r="X167" s="343"/>
      <c r="Y167" s="343"/>
      <c r="Z167" s="343"/>
      <c r="AA167" s="343"/>
      <c r="AB167" s="343"/>
      <c r="AC167" s="343"/>
      <c r="AD167" s="343"/>
      <c r="AE167" s="343"/>
      <c r="AF167" s="343"/>
      <c r="AG167" s="343"/>
      <c r="AH167" s="343"/>
      <c r="AI167" s="343"/>
      <c r="AJ167" s="401"/>
      <c r="AK167" s="402"/>
      <c r="AL167" s="396"/>
      <c r="AM167" s="396"/>
      <c r="AN167" s="396"/>
      <c r="AO167" s="396"/>
      <c r="AP167" s="396"/>
      <c r="AQ167" s="396"/>
      <c r="AR167" s="396"/>
      <c r="AS167" s="396"/>
      <c r="AT167" s="490"/>
      <c r="AU167" s="387"/>
      <c r="AV167" s="400"/>
      <c r="AW167" s="400"/>
      <c r="AX167" s="396"/>
      <c r="AY167" s="397"/>
      <c r="AZ167" s="489">
        <f>ROUND(Q168*$AT$112,0)</f>
        <v>138</v>
      </c>
      <c r="BA167" s="393"/>
    </row>
    <row r="168" spans="1:53" ht="16.5" customHeight="1" x14ac:dyDescent="0.15">
      <c r="A168" s="340">
        <v>12</v>
      </c>
      <c r="B168" s="341">
        <v>8326</v>
      </c>
      <c r="C168" s="390" t="s">
        <v>17331</v>
      </c>
      <c r="D168" s="403"/>
      <c r="E168" s="404"/>
      <c r="F168" s="404"/>
      <c r="G168" s="404"/>
      <c r="H168" s="406"/>
      <c r="Q168" s="836">
        <f>ROUND(Q264*$F$109,0)</f>
        <v>92</v>
      </c>
      <c r="R168" s="911"/>
      <c r="S168" s="911"/>
      <c r="T168" s="152" t="s">
        <v>15624</v>
      </c>
      <c r="U168" s="387"/>
      <c r="V168" s="343" t="s">
        <v>15625</v>
      </c>
      <c r="W168" s="325"/>
      <c r="X168" s="325"/>
      <c r="Y168" s="325"/>
      <c r="Z168" s="325"/>
      <c r="AA168" s="325"/>
      <c r="AB168" s="325"/>
      <c r="AC168" s="325"/>
      <c r="AD168" s="325"/>
      <c r="AE168" s="325"/>
      <c r="AF168" s="325"/>
      <c r="AG168" s="325"/>
      <c r="AH168" s="325"/>
      <c r="AI168" s="391" t="s">
        <v>15626</v>
      </c>
      <c r="AJ168" s="838">
        <f>AJ166</f>
        <v>1</v>
      </c>
      <c r="AK168" s="839"/>
      <c r="AL168" s="325"/>
      <c r="AM168" s="325"/>
      <c r="AN168" s="325"/>
      <c r="AO168" s="325"/>
      <c r="AP168" s="325"/>
      <c r="AQ168" s="325"/>
      <c r="AR168" s="325"/>
      <c r="AS168" s="391"/>
      <c r="AT168" s="503"/>
      <c r="AU168" s="504"/>
      <c r="AY168" s="387"/>
      <c r="AZ168" s="489">
        <f>ROUND(ROUND(Q168*AJ168,0)*$AT$112,0)</f>
        <v>138</v>
      </c>
      <c r="BA168" s="393"/>
    </row>
    <row r="169" spans="1:53" ht="16.5" customHeight="1" x14ac:dyDescent="0.15">
      <c r="A169" s="340">
        <v>12</v>
      </c>
      <c r="B169" s="341">
        <v>8327</v>
      </c>
      <c r="C169" s="390" t="s">
        <v>17332</v>
      </c>
      <c r="D169" s="403"/>
      <c r="E169" s="404"/>
      <c r="F169" s="404"/>
      <c r="G169" s="404"/>
      <c r="H169" s="406"/>
      <c r="Q169" s="395"/>
      <c r="R169" s="151"/>
      <c r="S169" s="151"/>
      <c r="U169" s="387"/>
      <c r="V169" s="343"/>
      <c r="W169" s="343"/>
      <c r="X169" s="343"/>
      <c r="Y169" s="343"/>
      <c r="Z169" s="343"/>
      <c r="AA169" s="343"/>
      <c r="AB169" s="343"/>
      <c r="AC169" s="343"/>
      <c r="AD169" s="343"/>
      <c r="AE169" s="343"/>
      <c r="AF169" s="343"/>
      <c r="AG169" s="343"/>
      <c r="AH169" s="343"/>
      <c r="AI169" s="343"/>
      <c r="AJ169" s="343"/>
      <c r="AK169" s="343"/>
      <c r="AL169" s="114" t="s">
        <v>15628</v>
      </c>
      <c r="AM169" s="396"/>
      <c r="AN169" s="396"/>
      <c r="AO169" s="396"/>
      <c r="AP169" s="396"/>
      <c r="AQ169" s="396"/>
      <c r="AR169" s="396"/>
      <c r="AS169" s="396"/>
      <c r="AT169" s="490"/>
      <c r="AU169" s="387"/>
      <c r="AY169" s="387"/>
      <c r="AZ169" s="489">
        <f>ROUND(ROUND(Q168*AR170,0)*$AT$112,0)</f>
        <v>117</v>
      </c>
      <c r="BA169" s="393"/>
    </row>
    <row r="170" spans="1:53" ht="16.5" customHeight="1" x14ac:dyDescent="0.15">
      <c r="A170" s="340">
        <v>12</v>
      </c>
      <c r="B170" s="341">
        <v>8328</v>
      </c>
      <c r="C170" s="390" t="s">
        <v>17333</v>
      </c>
      <c r="D170" s="403"/>
      <c r="E170" s="404"/>
      <c r="F170" s="404"/>
      <c r="G170" s="404"/>
      <c r="H170" s="406"/>
      <c r="Q170" s="395"/>
      <c r="R170" s="151"/>
      <c r="S170" s="151"/>
      <c r="U170" s="387"/>
      <c r="V170" s="343" t="s">
        <v>15625</v>
      </c>
      <c r="W170" s="325"/>
      <c r="X170" s="325"/>
      <c r="Y170" s="325"/>
      <c r="Z170" s="325"/>
      <c r="AA170" s="325"/>
      <c r="AB170" s="325"/>
      <c r="AC170" s="325"/>
      <c r="AD170" s="325"/>
      <c r="AE170" s="325"/>
      <c r="AF170" s="325"/>
      <c r="AG170" s="325"/>
      <c r="AH170" s="325"/>
      <c r="AI170" s="391" t="s">
        <v>15626</v>
      </c>
      <c r="AJ170" s="838">
        <f>AJ168</f>
        <v>1</v>
      </c>
      <c r="AK170" s="843"/>
      <c r="AL170" s="324" t="s">
        <v>15630</v>
      </c>
      <c r="AM170" s="325"/>
      <c r="AN170" s="325"/>
      <c r="AO170" s="325"/>
      <c r="AP170" s="325"/>
      <c r="AQ170" s="190" t="s">
        <v>398</v>
      </c>
      <c r="AR170" s="844">
        <f>AR166</f>
        <v>0.85</v>
      </c>
      <c r="AS170" s="844"/>
      <c r="AT170" s="501"/>
      <c r="AU170" s="502"/>
      <c r="AY170" s="387"/>
      <c r="AZ170" s="489">
        <f>ROUND(ROUND(ROUND(Q168*AJ170,0)*AR170,0)*$AT$112,0)</f>
        <v>117</v>
      </c>
      <c r="BA170" s="393"/>
    </row>
    <row r="171" spans="1:53" ht="17.100000000000001" customHeight="1" x14ac:dyDescent="0.15">
      <c r="A171" s="340">
        <v>12</v>
      </c>
      <c r="B171" s="341">
        <v>8329</v>
      </c>
      <c r="C171" s="390" t="s">
        <v>17334</v>
      </c>
      <c r="D171" s="403"/>
      <c r="E171" s="404"/>
      <c r="F171" s="404"/>
      <c r="G171" s="404"/>
      <c r="H171" s="406"/>
      <c r="I171" s="10"/>
      <c r="L171" s="151"/>
      <c r="M171" s="151"/>
      <c r="N171" s="151"/>
      <c r="U171" s="387"/>
      <c r="V171" s="343"/>
      <c r="W171" s="343"/>
      <c r="X171" s="343"/>
      <c r="Y171" s="343"/>
      <c r="Z171" s="343"/>
      <c r="AA171" s="343"/>
      <c r="AB171" s="343"/>
      <c r="AC171" s="343"/>
      <c r="AD171" s="343"/>
      <c r="AE171" s="343"/>
      <c r="AF171" s="343"/>
      <c r="AG171" s="343"/>
      <c r="AH171" s="343"/>
      <c r="AI171" s="343"/>
      <c r="AJ171" s="401"/>
      <c r="AK171" s="402"/>
      <c r="AL171" s="396"/>
      <c r="AM171" s="396"/>
      <c r="AN171" s="396"/>
      <c r="AO171" s="396"/>
      <c r="AP171" s="396"/>
      <c r="AQ171" s="396"/>
      <c r="AR171" s="396"/>
      <c r="AS171" s="396"/>
      <c r="AT171" s="490"/>
      <c r="AU171" s="387"/>
      <c r="AV171" s="858" t="s">
        <v>16296</v>
      </c>
      <c r="AW171" s="858"/>
      <c r="AX171" s="858"/>
      <c r="AY171" s="860"/>
      <c r="AZ171" s="489">
        <f>ROUND(ROUND(Q168*$AT$112,0)*AV174,0)</f>
        <v>110</v>
      </c>
      <c r="BA171" s="393"/>
    </row>
    <row r="172" spans="1:53" ht="16.5" customHeight="1" x14ac:dyDescent="0.15">
      <c r="A172" s="340">
        <v>12</v>
      </c>
      <c r="B172" s="341">
        <v>8330</v>
      </c>
      <c r="C172" s="390" t="s">
        <v>17335</v>
      </c>
      <c r="D172" s="403"/>
      <c r="E172" s="404"/>
      <c r="F172" s="404"/>
      <c r="G172" s="404"/>
      <c r="H172" s="406"/>
      <c r="Q172" s="899"/>
      <c r="R172" s="899"/>
      <c r="S172" s="899"/>
      <c r="U172" s="387"/>
      <c r="V172" s="343" t="s">
        <v>15625</v>
      </c>
      <c r="W172" s="325"/>
      <c r="X172" s="325"/>
      <c r="Y172" s="325"/>
      <c r="Z172" s="325"/>
      <c r="AA172" s="325"/>
      <c r="AB172" s="325"/>
      <c r="AC172" s="325"/>
      <c r="AD172" s="325"/>
      <c r="AE172" s="325"/>
      <c r="AF172" s="325"/>
      <c r="AG172" s="325"/>
      <c r="AH172" s="325"/>
      <c r="AI172" s="391" t="s">
        <v>15626</v>
      </c>
      <c r="AJ172" s="838">
        <f>AJ170</f>
        <v>1</v>
      </c>
      <c r="AK172" s="839"/>
      <c r="AL172" s="325"/>
      <c r="AM172" s="325"/>
      <c r="AN172" s="325"/>
      <c r="AO172" s="325"/>
      <c r="AP172" s="325"/>
      <c r="AQ172" s="325"/>
      <c r="AR172" s="325"/>
      <c r="AS172" s="391"/>
      <c r="AT172" s="503"/>
      <c r="AU172" s="504"/>
      <c r="AV172" s="850"/>
      <c r="AW172" s="850"/>
      <c r="AX172" s="850"/>
      <c r="AY172" s="852"/>
      <c r="AZ172" s="489">
        <f>ROUND(ROUND(ROUND(Q168*AJ172,0)*$AT$112,0)*AV174,0)</f>
        <v>110</v>
      </c>
      <c r="BA172" s="393"/>
    </row>
    <row r="173" spans="1:53" ht="16.5" customHeight="1" x14ac:dyDescent="0.15">
      <c r="A173" s="340">
        <v>12</v>
      </c>
      <c r="B173" s="341">
        <v>8331</v>
      </c>
      <c r="C173" s="390" t="s">
        <v>17336</v>
      </c>
      <c r="D173" s="403"/>
      <c r="E173" s="404"/>
      <c r="F173" s="404"/>
      <c r="G173" s="404"/>
      <c r="H173" s="406"/>
      <c r="Q173" s="395"/>
      <c r="R173" s="151"/>
      <c r="S173" s="151"/>
      <c r="U173" s="387"/>
      <c r="V173" s="343"/>
      <c r="W173" s="343"/>
      <c r="X173" s="343"/>
      <c r="Y173" s="343"/>
      <c r="Z173" s="343"/>
      <c r="AA173" s="343"/>
      <c r="AB173" s="343"/>
      <c r="AC173" s="343"/>
      <c r="AD173" s="343"/>
      <c r="AE173" s="343"/>
      <c r="AF173" s="343"/>
      <c r="AG173" s="343"/>
      <c r="AH173" s="343"/>
      <c r="AI173" s="343"/>
      <c r="AJ173" s="343"/>
      <c r="AK173" s="343"/>
      <c r="AL173" s="114" t="s">
        <v>15628</v>
      </c>
      <c r="AM173" s="396"/>
      <c r="AN173" s="396"/>
      <c r="AO173" s="396"/>
      <c r="AP173" s="396"/>
      <c r="AQ173" s="396"/>
      <c r="AR173" s="396"/>
      <c r="AS173" s="396"/>
      <c r="AT173" s="490"/>
      <c r="AU173" s="387"/>
      <c r="AV173" s="902" t="s">
        <v>15636</v>
      </c>
      <c r="AW173" s="902"/>
      <c r="AX173" s="902"/>
      <c r="AY173" s="903"/>
      <c r="AZ173" s="489">
        <f>ROUND(ROUND(ROUND(Q168*AR174,0)*$AT$112,0)*AV174,0)</f>
        <v>94</v>
      </c>
      <c r="BA173" s="393"/>
    </row>
    <row r="174" spans="1:53" ht="16.5" customHeight="1" x14ac:dyDescent="0.15">
      <c r="A174" s="340">
        <v>12</v>
      </c>
      <c r="B174" s="341">
        <v>8332</v>
      </c>
      <c r="C174" s="390" t="s">
        <v>17337</v>
      </c>
      <c r="D174" s="403"/>
      <c r="E174" s="404"/>
      <c r="F174" s="404"/>
      <c r="G174" s="404"/>
      <c r="H174" s="406"/>
      <c r="Q174" s="395"/>
      <c r="R174" s="151"/>
      <c r="S174" s="151"/>
      <c r="U174" s="387"/>
      <c r="V174" s="343" t="s">
        <v>15625</v>
      </c>
      <c r="W174" s="325"/>
      <c r="X174" s="325"/>
      <c r="Y174" s="325"/>
      <c r="Z174" s="325"/>
      <c r="AA174" s="325"/>
      <c r="AB174" s="325"/>
      <c r="AC174" s="325"/>
      <c r="AD174" s="325"/>
      <c r="AE174" s="325"/>
      <c r="AF174" s="325"/>
      <c r="AG174" s="325"/>
      <c r="AH174" s="325"/>
      <c r="AI174" s="391" t="s">
        <v>15626</v>
      </c>
      <c r="AJ174" s="838">
        <f>AJ172</f>
        <v>1</v>
      </c>
      <c r="AK174" s="843"/>
      <c r="AL174" s="324" t="s">
        <v>15630</v>
      </c>
      <c r="AM174" s="325"/>
      <c r="AN174" s="325"/>
      <c r="AO174" s="325"/>
      <c r="AP174" s="325"/>
      <c r="AQ174" s="190" t="s">
        <v>398</v>
      </c>
      <c r="AR174" s="844">
        <f>AR170</f>
        <v>0.85</v>
      </c>
      <c r="AS174" s="844"/>
      <c r="AT174" s="501"/>
      <c r="AU174" s="502"/>
      <c r="AV174" s="844">
        <f>AV166</f>
        <v>0.8</v>
      </c>
      <c r="AW174" s="844"/>
      <c r="AX174" s="844"/>
      <c r="AY174" s="845"/>
      <c r="AZ174" s="489">
        <f>ROUND(ROUND(ROUND(ROUND(Q168*AJ174,0)*AR174,0)*$AT$112,0)*AV174,0)</f>
        <v>94</v>
      </c>
      <c r="BA174" s="393"/>
    </row>
    <row r="175" spans="1:53" ht="17.100000000000001" customHeight="1" x14ac:dyDescent="0.15">
      <c r="A175" s="340">
        <v>12</v>
      </c>
      <c r="B175" s="341">
        <v>8333</v>
      </c>
      <c r="C175" s="390" t="s">
        <v>17338</v>
      </c>
      <c r="D175" s="403"/>
      <c r="E175" s="404"/>
      <c r="F175" s="404"/>
      <c r="G175" s="404"/>
      <c r="H175" s="406"/>
      <c r="I175" s="908" t="s">
        <v>16372</v>
      </c>
      <c r="J175" s="909"/>
      <c r="K175" s="909"/>
      <c r="L175" s="909"/>
      <c r="M175" s="909"/>
      <c r="N175" s="909"/>
      <c r="O175" s="909"/>
      <c r="P175" s="909"/>
      <c r="Q175" s="909"/>
      <c r="R175" s="909"/>
      <c r="S175" s="909"/>
      <c r="T175" s="909"/>
      <c r="U175" s="910"/>
      <c r="V175" s="343"/>
      <c r="W175" s="343"/>
      <c r="X175" s="343"/>
      <c r="Y175" s="343"/>
      <c r="Z175" s="343"/>
      <c r="AA175" s="343"/>
      <c r="AB175" s="343"/>
      <c r="AC175" s="343"/>
      <c r="AD175" s="343"/>
      <c r="AE175" s="343"/>
      <c r="AF175" s="343"/>
      <c r="AG175" s="343"/>
      <c r="AH175" s="343"/>
      <c r="AI175" s="343"/>
      <c r="AJ175" s="401"/>
      <c r="AK175" s="402"/>
      <c r="AL175" s="396"/>
      <c r="AM175" s="396"/>
      <c r="AN175" s="396"/>
      <c r="AO175" s="396"/>
      <c r="AP175" s="396"/>
      <c r="AQ175" s="396"/>
      <c r="AR175" s="396"/>
      <c r="AS175" s="396"/>
      <c r="AT175" s="490"/>
      <c r="AU175" s="387"/>
      <c r="AV175" s="400"/>
      <c r="AW175" s="400"/>
      <c r="AX175" s="396"/>
      <c r="AY175" s="397"/>
      <c r="AZ175" s="489">
        <f>ROUND(Q176*$AT$112,0)</f>
        <v>131</v>
      </c>
      <c r="BA175" s="393"/>
    </row>
    <row r="176" spans="1:53" ht="16.5" customHeight="1" x14ac:dyDescent="0.15">
      <c r="A176" s="340">
        <v>12</v>
      </c>
      <c r="B176" s="341">
        <v>8334</v>
      </c>
      <c r="C176" s="390" t="s">
        <v>17339</v>
      </c>
      <c r="D176" s="403"/>
      <c r="E176" s="404"/>
      <c r="F176" s="404"/>
      <c r="G176" s="404"/>
      <c r="H176" s="406"/>
      <c r="Q176" s="836">
        <f>ROUND(Q272*$F$109,0)</f>
        <v>87</v>
      </c>
      <c r="R176" s="911"/>
      <c r="S176" s="911"/>
      <c r="T176" s="152" t="s">
        <v>15624</v>
      </c>
      <c r="U176" s="387"/>
      <c r="V176" s="343" t="s">
        <v>15625</v>
      </c>
      <c r="W176" s="325"/>
      <c r="X176" s="325"/>
      <c r="Y176" s="325"/>
      <c r="Z176" s="325"/>
      <c r="AA176" s="325"/>
      <c r="AB176" s="325"/>
      <c r="AC176" s="325"/>
      <c r="AD176" s="325"/>
      <c r="AE176" s="325"/>
      <c r="AF176" s="325"/>
      <c r="AG176" s="325"/>
      <c r="AH176" s="325"/>
      <c r="AI176" s="391" t="s">
        <v>15626</v>
      </c>
      <c r="AJ176" s="838">
        <f>AJ174</f>
        <v>1</v>
      </c>
      <c r="AK176" s="839"/>
      <c r="AL176" s="325"/>
      <c r="AM176" s="325"/>
      <c r="AN176" s="325"/>
      <c r="AO176" s="325"/>
      <c r="AP176" s="325"/>
      <c r="AQ176" s="325"/>
      <c r="AR176" s="325"/>
      <c r="AS176" s="391"/>
      <c r="AT176" s="503"/>
      <c r="AU176" s="504"/>
      <c r="AY176" s="387"/>
      <c r="AZ176" s="489">
        <f>ROUND(ROUND(Q176*AJ176,0)*$AT$112,0)</f>
        <v>131</v>
      </c>
      <c r="BA176" s="393"/>
    </row>
    <row r="177" spans="1:53" ht="16.5" customHeight="1" x14ac:dyDescent="0.15">
      <c r="A177" s="340">
        <v>12</v>
      </c>
      <c r="B177" s="341">
        <v>8335</v>
      </c>
      <c r="C177" s="390" t="s">
        <v>17340</v>
      </c>
      <c r="D177" s="403"/>
      <c r="E177" s="404"/>
      <c r="F177" s="404"/>
      <c r="G177" s="404"/>
      <c r="H177" s="406"/>
      <c r="Q177" s="395"/>
      <c r="R177" s="151"/>
      <c r="S177" s="151"/>
      <c r="U177" s="387"/>
      <c r="V177" s="343"/>
      <c r="W177" s="343"/>
      <c r="X177" s="343"/>
      <c r="Y177" s="343"/>
      <c r="Z177" s="343"/>
      <c r="AA177" s="343"/>
      <c r="AB177" s="343"/>
      <c r="AC177" s="343"/>
      <c r="AD177" s="343"/>
      <c r="AE177" s="343"/>
      <c r="AF177" s="343"/>
      <c r="AG177" s="343"/>
      <c r="AH177" s="343"/>
      <c r="AI177" s="343"/>
      <c r="AJ177" s="343"/>
      <c r="AK177" s="343"/>
      <c r="AL177" s="114" t="s">
        <v>15628</v>
      </c>
      <c r="AM177" s="396"/>
      <c r="AN177" s="396"/>
      <c r="AO177" s="396"/>
      <c r="AP177" s="396"/>
      <c r="AQ177" s="396"/>
      <c r="AR177" s="396"/>
      <c r="AS177" s="396"/>
      <c r="AT177" s="490"/>
      <c r="AU177" s="387"/>
      <c r="AY177" s="387"/>
      <c r="AZ177" s="489">
        <f>ROUND(ROUND(Q176*AR178,0)*$AT$112,0)</f>
        <v>111</v>
      </c>
      <c r="BA177" s="393"/>
    </row>
    <row r="178" spans="1:53" ht="16.5" customHeight="1" x14ac:dyDescent="0.15">
      <c r="A178" s="340">
        <v>12</v>
      </c>
      <c r="B178" s="341">
        <v>8336</v>
      </c>
      <c r="C178" s="390" t="s">
        <v>17341</v>
      </c>
      <c r="D178" s="403"/>
      <c r="E178" s="404"/>
      <c r="F178" s="404"/>
      <c r="G178" s="404"/>
      <c r="H178" s="406"/>
      <c r="Q178" s="395"/>
      <c r="R178" s="151"/>
      <c r="S178" s="151"/>
      <c r="U178" s="387"/>
      <c r="V178" s="343" t="s">
        <v>15625</v>
      </c>
      <c r="W178" s="325"/>
      <c r="X178" s="325"/>
      <c r="Y178" s="325"/>
      <c r="Z178" s="325"/>
      <c r="AA178" s="325"/>
      <c r="AB178" s="325"/>
      <c r="AC178" s="325"/>
      <c r="AD178" s="325"/>
      <c r="AE178" s="325"/>
      <c r="AF178" s="325"/>
      <c r="AG178" s="325"/>
      <c r="AH178" s="325"/>
      <c r="AI178" s="391" t="s">
        <v>15626</v>
      </c>
      <c r="AJ178" s="838">
        <f>AJ176</f>
        <v>1</v>
      </c>
      <c r="AK178" s="843"/>
      <c r="AL178" s="324" t="s">
        <v>15630</v>
      </c>
      <c r="AM178" s="325"/>
      <c r="AN178" s="325"/>
      <c r="AO178" s="325"/>
      <c r="AP178" s="325"/>
      <c r="AQ178" s="190" t="s">
        <v>398</v>
      </c>
      <c r="AR178" s="844">
        <f>AR174</f>
        <v>0.85</v>
      </c>
      <c r="AS178" s="844"/>
      <c r="AT178" s="501"/>
      <c r="AU178" s="502"/>
      <c r="AY178" s="387"/>
      <c r="AZ178" s="489">
        <f>ROUND(ROUND(ROUND(Q176*AJ178,0)*AR178,0)*$AT$112,0)</f>
        <v>111</v>
      </c>
      <c r="BA178" s="393"/>
    </row>
    <row r="179" spans="1:53" ht="17.100000000000001" customHeight="1" x14ac:dyDescent="0.15">
      <c r="A179" s="340">
        <v>12</v>
      </c>
      <c r="B179" s="341">
        <v>8337</v>
      </c>
      <c r="C179" s="390" t="s">
        <v>17342</v>
      </c>
      <c r="D179" s="403"/>
      <c r="E179" s="404"/>
      <c r="F179" s="404"/>
      <c r="G179" s="404"/>
      <c r="H179" s="406"/>
      <c r="I179" s="10"/>
      <c r="L179" s="151"/>
      <c r="M179" s="151"/>
      <c r="N179" s="151"/>
      <c r="U179" s="387"/>
      <c r="V179" s="343"/>
      <c r="W179" s="343"/>
      <c r="X179" s="343"/>
      <c r="Y179" s="343"/>
      <c r="Z179" s="343"/>
      <c r="AA179" s="343"/>
      <c r="AB179" s="343"/>
      <c r="AC179" s="343"/>
      <c r="AD179" s="343"/>
      <c r="AE179" s="343"/>
      <c r="AF179" s="343"/>
      <c r="AG179" s="343"/>
      <c r="AH179" s="343"/>
      <c r="AI179" s="343"/>
      <c r="AJ179" s="401"/>
      <c r="AK179" s="402"/>
      <c r="AL179" s="396"/>
      <c r="AM179" s="396"/>
      <c r="AN179" s="396"/>
      <c r="AO179" s="396"/>
      <c r="AP179" s="396"/>
      <c r="AQ179" s="396"/>
      <c r="AR179" s="396"/>
      <c r="AS179" s="396"/>
      <c r="AT179" s="490"/>
      <c r="AU179" s="387"/>
      <c r="AV179" s="858" t="s">
        <v>16296</v>
      </c>
      <c r="AW179" s="858"/>
      <c r="AX179" s="858"/>
      <c r="AY179" s="860"/>
      <c r="AZ179" s="489">
        <f>ROUND(ROUND(Q176*$AT$112,0)*AV182,0)</f>
        <v>105</v>
      </c>
      <c r="BA179" s="393"/>
    </row>
    <row r="180" spans="1:53" ht="16.5" customHeight="1" x14ac:dyDescent="0.15">
      <c r="A180" s="340">
        <v>12</v>
      </c>
      <c r="B180" s="341">
        <v>8338</v>
      </c>
      <c r="C180" s="390" t="s">
        <v>17343</v>
      </c>
      <c r="D180" s="403"/>
      <c r="E180" s="404"/>
      <c r="F180" s="404"/>
      <c r="G180" s="404"/>
      <c r="H180" s="406"/>
      <c r="Q180" s="899"/>
      <c r="R180" s="899"/>
      <c r="S180" s="899"/>
      <c r="U180" s="387"/>
      <c r="V180" s="343" t="s">
        <v>15625</v>
      </c>
      <c r="W180" s="325"/>
      <c r="X180" s="325"/>
      <c r="Y180" s="325"/>
      <c r="Z180" s="325"/>
      <c r="AA180" s="325"/>
      <c r="AB180" s="325"/>
      <c r="AC180" s="325"/>
      <c r="AD180" s="325"/>
      <c r="AE180" s="325"/>
      <c r="AF180" s="325"/>
      <c r="AG180" s="325"/>
      <c r="AH180" s="325"/>
      <c r="AI180" s="391" t="s">
        <v>15626</v>
      </c>
      <c r="AJ180" s="838">
        <f>AJ178</f>
        <v>1</v>
      </c>
      <c r="AK180" s="839"/>
      <c r="AL180" s="325"/>
      <c r="AM180" s="325"/>
      <c r="AN180" s="325"/>
      <c r="AO180" s="325"/>
      <c r="AP180" s="325"/>
      <c r="AQ180" s="325"/>
      <c r="AR180" s="325"/>
      <c r="AS180" s="391"/>
      <c r="AT180" s="503"/>
      <c r="AU180" s="504"/>
      <c r="AV180" s="850"/>
      <c r="AW180" s="850"/>
      <c r="AX180" s="850"/>
      <c r="AY180" s="852"/>
      <c r="AZ180" s="489">
        <f>ROUND(ROUND(ROUND(Q176*AJ180,0)*$AT$112,0)*AV182,0)</f>
        <v>105</v>
      </c>
      <c r="BA180" s="393"/>
    </row>
    <row r="181" spans="1:53" ht="16.5" customHeight="1" x14ac:dyDescent="0.15">
      <c r="A181" s="340">
        <v>12</v>
      </c>
      <c r="B181" s="341">
        <v>8339</v>
      </c>
      <c r="C181" s="390" t="s">
        <v>17344</v>
      </c>
      <c r="D181" s="403"/>
      <c r="E181" s="404"/>
      <c r="F181" s="404"/>
      <c r="G181" s="404"/>
      <c r="H181" s="406"/>
      <c r="Q181" s="395"/>
      <c r="R181" s="151"/>
      <c r="S181" s="151"/>
      <c r="U181" s="387"/>
      <c r="V181" s="343"/>
      <c r="W181" s="343"/>
      <c r="X181" s="343"/>
      <c r="Y181" s="343"/>
      <c r="Z181" s="343"/>
      <c r="AA181" s="343"/>
      <c r="AB181" s="343"/>
      <c r="AC181" s="343"/>
      <c r="AD181" s="343"/>
      <c r="AE181" s="343"/>
      <c r="AF181" s="343"/>
      <c r="AG181" s="343"/>
      <c r="AH181" s="343"/>
      <c r="AI181" s="343"/>
      <c r="AJ181" s="343"/>
      <c r="AK181" s="343"/>
      <c r="AL181" s="114" t="s">
        <v>15628</v>
      </c>
      <c r="AM181" s="396"/>
      <c r="AN181" s="396"/>
      <c r="AO181" s="396"/>
      <c r="AP181" s="396"/>
      <c r="AQ181" s="396"/>
      <c r="AR181" s="396"/>
      <c r="AS181" s="396"/>
      <c r="AT181" s="490"/>
      <c r="AU181" s="387"/>
      <c r="AV181" s="902" t="s">
        <v>15636</v>
      </c>
      <c r="AW181" s="902"/>
      <c r="AX181" s="902"/>
      <c r="AY181" s="903"/>
      <c r="AZ181" s="489">
        <f>ROUND(ROUND(ROUND(Q176*AR182,0)*$AT$112,0)*AV182,0)</f>
        <v>89</v>
      </c>
      <c r="BA181" s="393"/>
    </row>
    <row r="182" spans="1:53" ht="16.5" customHeight="1" x14ac:dyDescent="0.15">
      <c r="A182" s="340">
        <v>12</v>
      </c>
      <c r="B182" s="341">
        <v>8340</v>
      </c>
      <c r="C182" s="390" t="s">
        <v>17345</v>
      </c>
      <c r="D182" s="419"/>
      <c r="E182" s="420"/>
      <c r="F182" s="420"/>
      <c r="G182" s="420"/>
      <c r="H182" s="422"/>
      <c r="I182" s="325"/>
      <c r="J182" s="325"/>
      <c r="K182" s="325"/>
      <c r="L182" s="325"/>
      <c r="M182" s="325"/>
      <c r="N182" s="325"/>
      <c r="O182" s="325"/>
      <c r="P182" s="325"/>
      <c r="Q182" s="416"/>
      <c r="R182" s="417"/>
      <c r="S182" s="417"/>
      <c r="T182" s="325"/>
      <c r="U182" s="388"/>
      <c r="V182" s="343" t="s">
        <v>15625</v>
      </c>
      <c r="W182" s="325"/>
      <c r="X182" s="325"/>
      <c r="Y182" s="325"/>
      <c r="Z182" s="325"/>
      <c r="AA182" s="325"/>
      <c r="AB182" s="325"/>
      <c r="AC182" s="325"/>
      <c r="AD182" s="325"/>
      <c r="AE182" s="325"/>
      <c r="AF182" s="325"/>
      <c r="AG182" s="325"/>
      <c r="AH182" s="325"/>
      <c r="AI182" s="391" t="s">
        <v>15626</v>
      </c>
      <c r="AJ182" s="838">
        <f>AJ180</f>
        <v>1</v>
      </c>
      <c r="AK182" s="843"/>
      <c r="AL182" s="324" t="s">
        <v>15630</v>
      </c>
      <c r="AM182" s="325"/>
      <c r="AN182" s="325"/>
      <c r="AO182" s="325"/>
      <c r="AP182" s="325"/>
      <c r="AQ182" s="190" t="s">
        <v>398</v>
      </c>
      <c r="AR182" s="844">
        <f>AR178</f>
        <v>0.85</v>
      </c>
      <c r="AS182" s="844"/>
      <c r="AT182" s="505"/>
      <c r="AU182" s="506"/>
      <c r="AV182" s="844">
        <f>AV174</f>
        <v>0.8</v>
      </c>
      <c r="AW182" s="844"/>
      <c r="AX182" s="844"/>
      <c r="AY182" s="845"/>
      <c r="AZ182" s="491">
        <f>ROUND(ROUND(ROUND(ROUND(Q176*AJ182,0)*AR182,0)*$AT$112,0)*AV182,0)</f>
        <v>89</v>
      </c>
      <c r="BA182" s="418"/>
    </row>
    <row r="183" spans="1:53" ht="17.100000000000001" customHeight="1" x14ac:dyDescent="0.15">
      <c r="A183" s="321">
        <v>12</v>
      </c>
      <c r="B183" s="322">
        <v>8341</v>
      </c>
      <c r="C183" s="386" t="s">
        <v>17346</v>
      </c>
      <c r="D183" s="849" t="s">
        <v>15689</v>
      </c>
      <c r="E183" s="850"/>
      <c r="F183" s="850"/>
      <c r="G183" s="850"/>
      <c r="H183" s="852"/>
      <c r="I183" s="908" t="s">
        <v>16381</v>
      </c>
      <c r="J183" s="909"/>
      <c r="K183" s="909"/>
      <c r="L183" s="909"/>
      <c r="M183" s="909"/>
      <c r="N183" s="909"/>
      <c r="O183" s="909"/>
      <c r="P183" s="909"/>
      <c r="Q183" s="909"/>
      <c r="R183" s="909"/>
      <c r="S183" s="909"/>
      <c r="T183" s="909"/>
      <c r="U183" s="910"/>
      <c r="V183" s="325"/>
      <c r="W183" s="325"/>
      <c r="X183" s="325"/>
      <c r="Y183" s="325"/>
      <c r="Z183" s="325"/>
      <c r="AA183" s="325"/>
      <c r="AB183" s="325"/>
      <c r="AC183" s="325"/>
      <c r="AD183" s="325"/>
      <c r="AE183" s="325"/>
      <c r="AF183" s="325"/>
      <c r="AG183" s="325"/>
      <c r="AH183" s="325"/>
      <c r="AI183" s="325"/>
      <c r="AJ183" s="401"/>
      <c r="AK183" s="402"/>
      <c r="AQ183" s="152"/>
      <c r="AR183" s="152"/>
      <c r="AS183" s="152"/>
      <c r="AT183" s="920" t="s">
        <v>862</v>
      </c>
      <c r="AU183" s="917"/>
      <c r="AV183" s="151"/>
      <c r="AW183" s="151"/>
      <c r="AY183" s="387"/>
      <c r="AZ183" s="489">
        <f>ROUND(Q184*$AT$192,0)</f>
        <v>140</v>
      </c>
      <c r="BA183" s="339" t="s">
        <v>15622</v>
      </c>
    </row>
    <row r="184" spans="1:53" ht="16.5" customHeight="1" x14ac:dyDescent="0.15">
      <c r="A184" s="340">
        <v>12</v>
      </c>
      <c r="B184" s="341">
        <v>8342</v>
      </c>
      <c r="C184" s="390" t="s">
        <v>17347</v>
      </c>
      <c r="D184" s="849"/>
      <c r="E184" s="850"/>
      <c r="F184" s="850"/>
      <c r="G184" s="850"/>
      <c r="H184" s="852"/>
      <c r="Q184" s="836">
        <f>ROUND(Q280*$F$189,0)</f>
        <v>93</v>
      </c>
      <c r="R184" s="911"/>
      <c r="S184" s="911"/>
      <c r="T184" s="152" t="s">
        <v>15624</v>
      </c>
      <c r="U184" s="387"/>
      <c r="V184" s="343" t="s">
        <v>15625</v>
      </c>
      <c r="W184" s="325"/>
      <c r="X184" s="325"/>
      <c r="Y184" s="325"/>
      <c r="Z184" s="325"/>
      <c r="AA184" s="325"/>
      <c r="AB184" s="325"/>
      <c r="AC184" s="325"/>
      <c r="AD184" s="325"/>
      <c r="AE184" s="325"/>
      <c r="AF184" s="325"/>
      <c r="AG184" s="325"/>
      <c r="AH184" s="325"/>
      <c r="AI184" s="391" t="s">
        <v>15626</v>
      </c>
      <c r="AJ184" s="838">
        <f>AJ182</f>
        <v>1</v>
      </c>
      <c r="AK184" s="839"/>
      <c r="AL184" s="325"/>
      <c r="AM184" s="325"/>
      <c r="AN184" s="325"/>
      <c r="AO184" s="325"/>
      <c r="AP184" s="325"/>
      <c r="AQ184" s="325"/>
      <c r="AR184" s="325"/>
      <c r="AS184" s="391"/>
      <c r="AT184" s="912"/>
      <c r="AU184" s="913"/>
      <c r="AY184" s="387"/>
      <c r="AZ184" s="489">
        <f>ROUND(ROUND(Q184*AJ184,0)*$AT$192,0)</f>
        <v>140</v>
      </c>
      <c r="BA184" s="393"/>
    </row>
    <row r="185" spans="1:53" ht="16.5" customHeight="1" x14ac:dyDescent="0.15">
      <c r="A185" s="340">
        <v>12</v>
      </c>
      <c r="B185" s="341">
        <v>8343</v>
      </c>
      <c r="C185" s="390" t="s">
        <v>17348</v>
      </c>
      <c r="D185" s="849"/>
      <c r="E185" s="850"/>
      <c r="F185" s="850"/>
      <c r="G185" s="850"/>
      <c r="H185" s="852"/>
      <c r="Q185" s="395"/>
      <c r="R185" s="151"/>
      <c r="S185" s="151"/>
      <c r="U185" s="387"/>
      <c r="V185" s="343"/>
      <c r="W185" s="343"/>
      <c r="X185" s="343"/>
      <c r="Y185" s="343"/>
      <c r="Z185" s="343"/>
      <c r="AA185" s="343"/>
      <c r="AB185" s="343"/>
      <c r="AC185" s="343"/>
      <c r="AD185" s="343"/>
      <c r="AE185" s="343"/>
      <c r="AF185" s="343"/>
      <c r="AG185" s="343"/>
      <c r="AH185" s="343"/>
      <c r="AI185" s="343"/>
      <c r="AJ185" s="343"/>
      <c r="AK185" s="343"/>
      <c r="AL185" s="114" t="s">
        <v>15628</v>
      </c>
      <c r="AM185" s="396"/>
      <c r="AN185" s="396"/>
      <c r="AO185" s="396"/>
      <c r="AP185" s="396"/>
      <c r="AQ185" s="396"/>
      <c r="AR185" s="396"/>
      <c r="AS185" s="396"/>
      <c r="AT185" s="912"/>
      <c r="AU185" s="913"/>
      <c r="AY185" s="387"/>
      <c r="AZ185" s="489">
        <f>ROUND(ROUND(Q184*AR186,0)*$AT$192,0)</f>
        <v>119</v>
      </c>
      <c r="BA185" s="393"/>
    </row>
    <row r="186" spans="1:53" ht="16.5" customHeight="1" x14ac:dyDescent="0.15">
      <c r="A186" s="340">
        <v>12</v>
      </c>
      <c r="B186" s="341">
        <v>8344</v>
      </c>
      <c r="C186" s="390" t="s">
        <v>17349</v>
      </c>
      <c r="D186" s="849"/>
      <c r="E186" s="850"/>
      <c r="F186" s="850"/>
      <c r="G186" s="850"/>
      <c r="H186" s="852"/>
      <c r="Q186" s="395"/>
      <c r="R186" s="151"/>
      <c r="S186" s="151"/>
      <c r="U186" s="387"/>
      <c r="V186" s="343" t="s">
        <v>15625</v>
      </c>
      <c r="W186" s="325"/>
      <c r="X186" s="325"/>
      <c r="Y186" s="325"/>
      <c r="Z186" s="325"/>
      <c r="AA186" s="325"/>
      <c r="AB186" s="325"/>
      <c r="AC186" s="325"/>
      <c r="AD186" s="325"/>
      <c r="AE186" s="325"/>
      <c r="AF186" s="325"/>
      <c r="AG186" s="325"/>
      <c r="AH186" s="325"/>
      <c r="AI186" s="391" t="s">
        <v>15626</v>
      </c>
      <c r="AJ186" s="838">
        <f>AJ184</f>
        <v>1</v>
      </c>
      <c r="AK186" s="843"/>
      <c r="AL186" s="324" t="s">
        <v>15630</v>
      </c>
      <c r="AM186" s="325"/>
      <c r="AN186" s="325"/>
      <c r="AO186" s="325"/>
      <c r="AP186" s="325"/>
      <c r="AQ186" s="190" t="s">
        <v>398</v>
      </c>
      <c r="AR186" s="844">
        <f>AR182</f>
        <v>0.85</v>
      </c>
      <c r="AS186" s="844"/>
      <c r="AT186" s="912"/>
      <c r="AU186" s="913"/>
      <c r="AY186" s="387"/>
      <c r="AZ186" s="489">
        <f>ROUND(ROUND(ROUND(Q184*AJ186,0)*AR186,0)*$AT$192,0)</f>
        <v>119</v>
      </c>
      <c r="BA186" s="393"/>
    </row>
    <row r="187" spans="1:53" ht="17.100000000000001" customHeight="1" x14ac:dyDescent="0.15">
      <c r="A187" s="340">
        <v>12</v>
      </c>
      <c r="B187" s="341">
        <v>8345</v>
      </c>
      <c r="C187" s="390" t="s">
        <v>17350</v>
      </c>
      <c r="D187" s="832" t="s">
        <v>15632</v>
      </c>
      <c r="E187" s="833"/>
      <c r="F187" s="833"/>
      <c r="G187" s="833"/>
      <c r="H187" s="835"/>
      <c r="I187" s="10"/>
      <c r="L187" s="151"/>
      <c r="M187" s="151"/>
      <c r="N187" s="151"/>
      <c r="U187" s="387"/>
      <c r="V187" s="343"/>
      <c r="W187" s="343"/>
      <c r="X187" s="343"/>
      <c r="Y187" s="343"/>
      <c r="Z187" s="343"/>
      <c r="AA187" s="343"/>
      <c r="AB187" s="343"/>
      <c r="AC187" s="343"/>
      <c r="AD187" s="343"/>
      <c r="AE187" s="343"/>
      <c r="AF187" s="343"/>
      <c r="AG187" s="343"/>
      <c r="AH187" s="343"/>
      <c r="AI187" s="343"/>
      <c r="AJ187" s="401"/>
      <c r="AK187" s="402"/>
      <c r="AL187" s="396"/>
      <c r="AM187" s="396"/>
      <c r="AN187" s="396"/>
      <c r="AO187" s="396"/>
      <c r="AP187" s="396"/>
      <c r="AQ187" s="396"/>
      <c r="AR187" s="396"/>
      <c r="AS187" s="396"/>
      <c r="AT187" s="912"/>
      <c r="AU187" s="913"/>
      <c r="AV187" s="858" t="s">
        <v>16296</v>
      </c>
      <c r="AW187" s="858"/>
      <c r="AX187" s="858"/>
      <c r="AY187" s="860"/>
      <c r="AZ187" s="489">
        <f>ROUND(ROUND(Q184*$AT$192,0)*AV190,0)</f>
        <v>112</v>
      </c>
      <c r="BA187" s="393"/>
    </row>
    <row r="188" spans="1:53" ht="16.5" customHeight="1" x14ac:dyDescent="0.15">
      <c r="A188" s="340">
        <v>12</v>
      </c>
      <c r="B188" s="341">
        <v>8346</v>
      </c>
      <c r="C188" s="390" t="s">
        <v>17351</v>
      </c>
      <c r="D188" s="832"/>
      <c r="E188" s="833"/>
      <c r="F188" s="833"/>
      <c r="G188" s="833"/>
      <c r="H188" s="835"/>
      <c r="Q188" s="899"/>
      <c r="R188" s="899"/>
      <c r="S188" s="899"/>
      <c r="U188" s="387"/>
      <c r="V188" s="343" t="s">
        <v>15625</v>
      </c>
      <c r="W188" s="325"/>
      <c r="X188" s="325"/>
      <c r="Y188" s="325"/>
      <c r="Z188" s="325"/>
      <c r="AA188" s="325"/>
      <c r="AB188" s="325"/>
      <c r="AC188" s="325"/>
      <c r="AD188" s="325"/>
      <c r="AE188" s="325"/>
      <c r="AF188" s="325"/>
      <c r="AG188" s="325"/>
      <c r="AH188" s="325"/>
      <c r="AI188" s="391" t="s">
        <v>15626</v>
      </c>
      <c r="AJ188" s="838">
        <f>AJ186</f>
        <v>1</v>
      </c>
      <c r="AK188" s="839"/>
      <c r="AL188" s="325"/>
      <c r="AM188" s="325"/>
      <c r="AN188" s="325"/>
      <c r="AO188" s="325"/>
      <c r="AP188" s="325"/>
      <c r="AQ188" s="325"/>
      <c r="AR188" s="325"/>
      <c r="AS188" s="391"/>
      <c r="AT188" s="912"/>
      <c r="AU188" s="913"/>
      <c r="AV188" s="850"/>
      <c r="AW188" s="850"/>
      <c r="AX188" s="850"/>
      <c r="AY188" s="852"/>
      <c r="AZ188" s="489">
        <f>ROUND(ROUND(ROUND(Q184*AJ188,0)*$AT$192,0)*AV190,0)</f>
        <v>112</v>
      </c>
      <c r="BA188" s="393"/>
    </row>
    <row r="189" spans="1:53" ht="16.5" customHeight="1" x14ac:dyDescent="0.15">
      <c r="A189" s="340">
        <v>12</v>
      </c>
      <c r="B189" s="341">
        <v>8347</v>
      </c>
      <c r="C189" s="390" t="s">
        <v>17352</v>
      </c>
      <c r="D189" s="403"/>
      <c r="E189" s="404" t="s">
        <v>15636</v>
      </c>
      <c r="F189" s="854">
        <f>F109</f>
        <v>1.085</v>
      </c>
      <c r="G189" s="855"/>
      <c r="H189" s="856"/>
      <c r="Q189" s="395"/>
      <c r="R189" s="151"/>
      <c r="S189" s="151"/>
      <c r="U189" s="387"/>
      <c r="V189" s="343"/>
      <c r="W189" s="343"/>
      <c r="X189" s="343"/>
      <c r="Y189" s="343"/>
      <c r="Z189" s="343"/>
      <c r="AA189" s="343"/>
      <c r="AB189" s="343"/>
      <c r="AC189" s="343"/>
      <c r="AD189" s="343"/>
      <c r="AE189" s="343"/>
      <c r="AF189" s="343"/>
      <c r="AG189" s="343"/>
      <c r="AH189" s="343"/>
      <c r="AI189" s="343"/>
      <c r="AJ189" s="343"/>
      <c r="AK189" s="343"/>
      <c r="AL189" s="114" t="s">
        <v>15628</v>
      </c>
      <c r="AM189" s="396"/>
      <c r="AN189" s="396"/>
      <c r="AO189" s="396"/>
      <c r="AP189" s="396"/>
      <c r="AQ189" s="396"/>
      <c r="AR189" s="396"/>
      <c r="AS189" s="396"/>
      <c r="AT189" s="912"/>
      <c r="AU189" s="913"/>
      <c r="AV189" s="902" t="s">
        <v>15636</v>
      </c>
      <c r="AW189" s="902"/>
      <c r="AX189" s="902"/>
      <c r="AY189" s="903"/>
      <c r="AZ189" s="489">
        <f>ROUND(ROUND(ROUND(Q184*AR190,0)*$AT$192,0)*AV190,0)</f>
        <v>95</v>
      </c>
      <c r="BA189" s="393"/>
    </row>
    <row r="190" spans="1:53" ht="16.5" customHeight="1" x14ac:dyDescent="0.15">
      <c r="A190" s="340">
        <v>12</v>
      </c>
      <c r="B190" s="341">
        <v>8348</v>
      </c>
      <c r="C190" s="390" t="s">
        <v>17353</v>
      </c>
      <c r="D190" s="403"/>
      <c r="E190" s="404"/>
      <c r="F190" s="404"/>
      <c r="G190" s="404"/>
      <c r="H190" s="406"/>
      <c r="Q190" s="395"/>
      <c r="R190" s="151"/>
      <c r="S190" s="151"/>
      <c r="U190" s="387"/>
      <c r="V190" s="343" t="s">
        <v>15625</v>
      </c>
      <c r="W190" s="325"/>
      <c r="X190" s="325"/>
      <c r="Y190" s="325"/>
      <c r="Z190" s="325"/>
      <c r="AA190" s="325"/>
      <c r="AB190" s="325"/>
      <c r="AC190" s="325"/>
      <c r="AD190" s="325"/>
      <c r="AE190" s="325"/>
      <c r="AF190" s="325"/>
      <c r="AG190" s="325"/>
      <c r="AH190" s="325"/>
      <c r="AI190" s="391" t="s">
        <v>15626</v>
      </c>
      <c r="AJ190" s="838">
        <f>AJ188</f>
        <v>1</v>
      </c>
      <c r="AK190" s="843"/>
      <c r="AL190" s="324" t="s">
        <v>15630</v>
      </c>
      <c r="AM190" s="325"/>
      <c r="AN190" s="325"/>
      <c r="AO190" s="325"/>
      <c r="AP190" s="325"/>
      <c r="AQ190" s="190" t="s">
        <v>398</v>
      </c>
      <c r="AR190" s="844">
        <f>AR186</f>
        <v>0.85</v>
      </c>
      <c r="AS190" s="844"/>
      <c r="AT190" s="912"/>
      <c r="AU190" s="913"/>
      <c r="AV190" s="844">
        <f>AV182</f>
        <v>0.8</v>
      </c>
      <c r="AW190" s="844"/>
      <c r="AX190" s="844"/>
      <c r="AY190" s="845"/>
      <c r="AZ190" s="489">
        <f>ROUND(ROUND(ROUND(ROUND(Q184*AJ190,0)*AR190,0)*$AT$192,0)*AV190,0)</f>
        <v>95</v>
      </c>
      <c r="BA190" s="393"/>
    </row>
    <row r="191" spans="1:53" ht="17.100000000000001" customHeight="1" x14ac:dyDescent="0.15">
      <c r="A191" s="340">
        <v>12</v>
      </c>
      <c r="B191" s="341">
        <v>8349</v>
      </c>
      <c r="C191" s="390" t="s">
        <v>17354</v>
      </c>
      <c r="D191" s="403"/>
      <c r="E191" s="404"/>
      <c r="F191" s="404"/>
      <c r="G191" s="404"/>
      <c r="H191" s="406"/>
      <c r="I191" s="908" t="s">
        <v>16390</v>
      </c>
      <c r="J191" s="909"/>
      <c r="K191" s="909"/>
      <c r="L191" s="909"/>
      <c r="M191" s="909"/>
      <c r="N191" s="909"/>
      <c r="O191" s="909"/>
      <c r="P191" s="909"/>
      <c r="Q191" s="909"/>
      <c r="R191" s="909"/>
      <c r="S191" s="909"/>
      <c r="T191" s="909"/>
      <c r="U191" s="910"/>
      <c r="V191" s="343"/>
      <c r="W191" s="343"/>
      <c r="X191" s="343"/>
      <c r="Y191" s="343"/>
      <c r="Z191" s="343"/>
      <c r="AA191" s="343"/>
      <c r="AB191" s="343"/>
      <c r="AC191" s="343"/>
      <c r="AD191" s="343"/>
      <c r="AE191" s="343"/>
      <c r="AF191" s="343"/>
      <c r="AG191" s="343"/>
      <c r="AH191" s="343"/>
      <c r="AI191" s="343"/>
      <c r="AJ191" s="401"/>
      <c r="AK191" s="402"/>
      <c r="AL191" s="396"/>
      <c r="AM191" s="396"/>
      <c r="AN191" s="396"/>
      <c r="AO191" s="396"/>
      <c r="AP191" s="396"/>
      <c r="AQ191" s="396"/>
      <c r="AR191" s="396"/>
      <c r="AS191" s="396"/>
      <c r="AT191" s="918" t="s">
        <v>15636</v>
      </c>
      <c r="AU191" s="913"/>
      <c r="AV191" s="400"/>
      <c r="AW191" s="400"/>
      <c r="AX191" s="396"/>
      <c r="AY191" s="397"/>
      <c r="AZ191" s="489">
        <f>ROUND(Q192*$AT$192,0)</f>
        <v>131</v>
      </c>
      <c r="BA191" s="393"/>
    </row>
    <row r="192" spans="1:53" ht="16.5" customHeight="1" x14ac:dyDescent="0.15">
      <c r="A192" s="340">
        <v>12</v>
      </c>
      <c r="B192" s="341">
        <v>8350</v>
      </c>
      <c r="C192" s="390" t="s">
        <v>17355</v>
      </c>
      <c r="D192" s="403"/>
      <c r="E192" s="404"/>
      <c r="F192" s="404"/>
      <c r="G192" s="404"/>
      <c r="H192" s="406"/>
      <c r="Q192" s="836">
        <f>ROUND(Q288*$F$189,0)</f>
        <v>87</v>
      </c>
      <c r="R192" s="911"/>
      <c r="S192" s="911"/>
      <c r="T192" s="152" t="s">
        <v>15624</v>
      </c>
      <c r="U192" s="387"/>
      <c r="V192" s="343" t="s">
        <v>15625</v>
      </c>
      <c r="W192" s="325"/>
      <c r="X192" s="325"/>
      <c r="Y192" s="325"/>
      <c r="Z192" s="325"/>
      <c r="AA192" s="325"/>
      <c r="AB192" s="325"/>
      <c r="AC192" s="325"/>
      <c r="AD192" s="325"/>
      <c r="AE192" s="325"/>
      <c r="AF192" s="325"/>
      <c r="AG192" s="325"/>
      <c r="AH192" s="325"/>
      <c r="AI192" s="391" t="s">
        <v>15626</v>
      </c>
      <c r="AJ192" s="838">
        <f>AJ190</f>
        <v>1</v>
      </c>
      <c r="AK192" s="839"/>
      <c r="AL192" s="325"/>
      <c r="AM192" s="325"/>
      <c r="AN192" s="325"/>
      <c r="AO192" s="325"/>
      <c r="AP192" s="325"/>
      <c r="AQ192" s="325"/>
      <c r="AR192" s="325"/>
      <c r="AS192" s="391"/>
      <c r="AT192" s="919">
        <f>AT112</f>
        <v>1.5</v>
      </c>
      <c r="AU192" s="915"/>
      <c r="AY192" s="387"/>
      <c r="AZ192" s="489">
        <f>ROUND(ROUND(Q192*AJ192,0)*$AT$192,0)</f>
        <v>131</v>
      </c>
      <c r="BA192" s="393"/>
    </row>
    <row r="193" spans="1:53" ht="16.5" customHeight="1" x14ac:dyDescent="0.15">
      <c r="A193" s="340">
        <v>12</v>
      </c>
      <c r="B193" s="341">
        <v>8351</v>
      </c>
      <c r="C193" s="390" t="s">
        <v>17356</v>
      </c>
      <c r="D193" s="408"/>
      <c r="E193" s="409"/>
      <c r="F193" s="409"/>
      <c r="G193" s="409"/>
      <c r="H193" s="411"/>
      <c r="Q193" s="395"/>
      <c r="R193" s="151"/>
      <c r="S193" s="151"/>
      <c r="U193" s="387"/>
      <c r="V193" s="343"/>
      <c r="W193" s="343"/>
      <c r="X193" s="343"/>
      <c r="Y193" s="343"/>
      <c r="Z193" s="343"/>
      <c r="AA193" s="343"/>
      <c r="AB193" s="343"/>
      <c r="AC193" s="343"/>
      <c r="AD193" s="343"/>
      <c r="AE193" s="343"/>
      <c r="AF193" s="343"/>
      <c r="AG193" s="343"/>
      <c r="AH193" s="343"/>
      <c r="AI193" s="343"/>
      <c r="AJ193" s="343"/>
      <c r="AK193" s="343"/>
      <c r="AL193" s="114" t="s">
        <v>15628</v>
      </c>
      <c r="AM193" s="396"/>
      <c r="AN193" s="396"/>
      <c r="AO193" s="396"/>
      <c r="AP193" s="396"/>
      <c r="AQ193" s="396"/>
      <c r="AR193" s="396"/>
      <c r="AS193" s="396"/>
      <c r="AT193" s="490"/>
      <c r="AU193" s="387"/>
      <c r="AY193" s="387"/>
      <c r="AZ193" s="489">
        <f>ROUND(ROUND(Q192*AR194,0)*$AT$192,0)</f>
        <v>111</v>
      </c>
      <c r="BA193" s="393"/>
    </row>
    <row r="194" spans="1:53" ht="16.5" customHeight="1" x14ac:dyDescent="0.15">
      <c r="A194" s="340">
        <v>12</v>
      </c>
      <c r="B194" s="341">
        <v>8352</v>
      </c>
      <c r="C194" s="390" t="s">
        <v>17357</v>
      </c>
      <c r="D194" s="408"/>
      <c r="E194" s="409"/>
      <c r="F194" s="409"/>
      <c r="G194" s="409"/>
      <c r="H194" s="411"/>
      <c r="Q194" s="395"/>
      <c r="R194" s="151"/>
      <c r="S194" s="151"/>
      <c r="U194" s="387"/>
      <c r="V194" s="343" t="s">
        <v>15625</v>
      </c>
      <c r="W194" s="325"/>
      <c r="X194" s="325"/>
      <c r="Y194" s="325"/>
      <c r="Z194" s="325"/>
      <c r="AA194" s="325"/>
      <c r="AB194" s="325"/>
      <c r="AC194" s="325"/>
      <c r="AD194" s="325"/>
      <c r="AE194" s="325"/>
      <c r="AF194" s="325"/>
      <c r="AG194" s="325"/>
      <c r="AH194" s="325"/>
      <c r="AI194" s="391" t="s">
        <v>15626</v>
      </c>
      <c r="AJ194" s="838">
        <f>AJ192</f>
        <v>1</v>
      </c>
      <c r="AK194" s="843"/>
      <c r="AL194" s="324" t="s">
        <v>15630</v>
      </c>
      <c r="AM194" s="325"/>
      <c r="AN194" s="325"/>
      <c r="AO194" s="325"/>
      <c r="AP194" s="325"/>
      <c r="AQ194" s="190" t="s">
        <v>398</v>
      </c>
      <c r="AR194" s="844">
        <f>AR190</f>
        <v>0.85</v>
      </c>
      <c r="AS194" s="844"/>
      <c r="AT194" s="501"/>
      <c r="AU194" s="502"/>
      <c r="AY194" s="387"/>
      <c r="AZ194" s="489">
        <f>ROUND(ROUND(ROUND(Q192*AJ194,0)*AR194,0)*$AT$192,0)</f>
        <v>111</v>
      </c>
      <c r="BA194" s="393"/>
    </row>
    <row r="195" spans="1:53" ht="17.100000000000001" customHeight="1" x14ac:dyDescent="0.15">
      <c r="A195" s="340">
        <v>12</v>
      </c>
      <c r="B195" s="341">
        <v>8353</v>
      </c>
      <c r="C195" s="390" t="s">
        <v>17358</v>
      </c>
      <c r="D195" s="403"/>
      <c r="E195" s="404"/>
      <c r="F195" s="404"/>
      <c r="G195" s="404"/>
      <c r="H195" s="406"/>
      <c r="I195" s="10"/>
      <c r="L195" s="151"/>
      <c r="M195" s="151"/>
      <c r="N195" s="151"/>
      <c r="U195" s="387"/>
      <c r="V195" s="343"/>
      <c r="W195" s="343"/>
      <c r="X195" s="343"/>
      <c r="Y195" s="343"/>
      <c r="Z195" s="343"/>
      <c r="AA195" s="343"/>
      <c r="AB195" s="343"/>
      <c r="AC195" s="343"/>
      <c r="AD195" s="343"/>
      <c r="AE195" s="343"/>
      <c r="AF195" s="343"/>
      <c r="AG195" s="343"/>
      <c r="AH195" s="343"/>
      <c r="AI195" s="343"/>
      <c r="AJ195" s="401"/>
      <c r="AK195" s="402"/>
      <c r="AL195" s="396"/>
      <c r="AM195" s="396"/>
      <c r="AN195" s="396"/>
      <c r="AO195" s="396"/>
      <c r="AP195" s="396"/>
      <c r="AQ195" s="396"/>
      <c r="AR195" s="396"/>
      <c r="AS195" s="396"/>
      <c r="AT195" s="490"/>
      <c r="AU195" s="387"/>
      <c r="AV195" s="858" t="s">
        <v>16296</v>
      </c>
      <c r="AW195" s="858"/>
      <c r="AX195" s="858"/>
      <c r="AY195" s="860"/>
      <c r="AZ195" s="489">
        <f>ROUND(ROUND(Q192*$AT$192,0)*AV198,0)</f>
        <v>105</v>
      </c>
      <c r="BA195" s="393"/>
    </row>
    <row r="196" spans="1:53" ht="16.5" customHeight="1" x14ac:dyDescent="0.15">
      <c r="A196" s="340">
        <v>12</v>
      </c>
      <c r="B196" s="341">
        <v>8354</v>
      </c>
      <c r="C196" s="390" t="s">
        <v>17359</v>
      </c>
      <c r="D196" s="403"/>
      <c r="E196" s="404"/>
      <c r="F196" s="404"/>
      <c r="G196" s="404"/>
      <c r="H196" s="406"/>
      <c r="Q196" s="899"/>
      <c r="R196" s="899"/>
      <c r="S196" s="899"/>
      <c r="U196" s="387"/>
      <c r="V196" s="343" t="s">
        <v>15625</v>
      </c>
      <c r="W196" s="325"/>
      <c r="X196" s="325"/>
      <c r="Y196" s="325"/>
      <c r="Z196" s="325"/>
      <c r="AA196" s="325"/>
      <c r="AB196" s="325"/>
      <c r="AC196" s="325"/>
      <c r="AD196" s="325"/>
      <c r="AE196" s="325"/>
      <c r="AF196" s="325"/>
      <c r="AG196" s="325"/>
      <c r="AH196" s="325"/>
      <c r="AI196" s="391" t="s">
        <v>15626</v>
      </c>
      <c r="AJ196" s="838">
        <f>AJ194</f>
        <v>1</v>
      </c>
      <c r="AK196" s="839"/>
      <c r="AL196" s="325"/>
      <c r="AM196" s="325"/>
      <c r="AN196" s="325"/>
      <c r="AO196" s="325"/>
      <c r="AP196" s="325"/>
      <c r="AQ196" s="325"/>
      <c r="AR196" s="325"/>
      <c r="AS196" s="391"/>
      <c r="AT196" s="503"/>
      <c r="AU196" s="504"/>
      <c r="AV196" s="850"/>
      <c r="AW196" s="850"/>
      <c r="AX196" s="850"/>
      <c r="AY196" s="852"/>
      <c r="AZ196" s="489">
        <f>ROUND(ROUND(ROUND(Q192*AJ196,0)*$AT$192,0)*AV198,0)</f>
        <v>105</v>
      </c>
      <c r="BA196" s="393"/>
    </row>
    <row r="197" spans="1:53" ht="16.5" customHeight="1" x14ac:dyDescent="0.15">
      <c r="A197" s="340">
        <v>12</v>
      </c>
      <c r="B197" s="341">
        <v>8355</v>
      </c>
      <c r="C197" s="390" t="s">
        <v>17360</v>
      </c>
      <c r="D197" s="408"/>
      <c r="E197" s="409"/>
      <c r="F197" s="409"/>
      <c r="G197" s="409"/>
      <c r="H197" s="411"/>
      <c r="Q197" s="395"/>
      <c r="R197" s="151"/>
      <c r="S197" s="151"/>
      <c r="U197" s="387"/>
      <c r="V197" s="343"/>
      <c r="W197" s="343"/>
      <c r="X197" s="343"/>
      <c r="Y197" s="343"/>
      <c r="Z197" s="343"/>
      <c r="AA197" s="343"/>
      <c r="AB197" s="343"/>
      <c r="AC197" s="343"/>
      <c r="AD197" s="343"/>
      <c r="AE197" s="343"/>
      <c r="AF197" s="343"/>
      <c r="AG197" s="343"/>
      <c r="AH197" s="343"/>
      <c r="AI197" s="343"/>
      <c r="AJ197" s="343"/>
      <c r="AK197" s="343"/>
      <c r="AL197" s="114" t="s">
        <v>15628</v>
      </c>
      <c r="AM197" s="396"/>
      <c r="AN197" s="396"/>
      <c r="AO197" s="396"/>
      <c r="AP197" s="396"/>
      <c r="AQ197" s="396"/>
      <c r="AR197" s="396"/>
      <c r="AS197" s="396"/>
      <c r="AT197" s="490"/>
      <c r="AU197" s="387"/>
      <c r="AV197" s="902" t="s">
        <v>15636</v>
      </c>
      <c r="AW197" s="902"/>
      <c r="AX197" s="902"/>
      <c r="AY197" s="903"/>
      <c r="AZ197" s="489">
        <f>ROUND(ROUND(ROUND(Q192*AR198,0)*$AT$192,0)*AV198,0)</f>
        <v>89</v>
      </c>
      <c r="BA197" s="393"/>
    </row>
    <row r="198" spans="1:53" ht="16.5" customHeight="1" x14ac:dyDescent="0.15">
      <c r="A198" s="340">
        <v>12</v>
      </c>
      <c r="B198" s="341">
        <v>8356</v>
      </c>
      <c r="C198" s="390" t="s">
        <v>17361</v>
      </c>
      <c r="D198" s="412"/>
      <c r="E198" s="413"/>
      <c r="F198" s="413"/>
      <c r="G198" s="413"/>
      <c r="H198" s="415"/>
      <c r="I198" s="325"/>
      <c r="J198" s="325"/>
      <c r="K198" s="325"/>
      <c r="L198" s="325"/>
      <c r="M198" s="325"/>
      <c r="N198" s="325"/>
      <c r="O198" s="325"/>
      <c r="P198" s="325"/>
      <c r="Q198" s="416"/>
      <c r="R198" s="417"/>
      <c r="S198" s="417"/>
      <c r="T198" s="325"/>
      <c r="U198" s="388"/>
      <c r="V198" s="343" t="s">
        <v>15625</v>
      </c>
      <c r="W198" s="325"/>
      <c r="X198" s="325"/>
      <c r="Y198" s="325"/>
      <c r="Z198" s="325"/>
      <c r="AA198" s="325"/>
      <c r="AB198" s="325"/>
      <c r="AC198" s="325"/>
      <c r="AD198" s="325"/>
      <c r="AE198" s="325"/>
      <c r="AF198" s="325"/>
      <c r="AG198" s="325"/>
      <c r="AH198" s="325"/>
      <c r="AI198" s="391" t="s">
        <v>15626</v>
      </c>
      <c r="AJ198" s="838">
        <f>AJ196</f>
        <v>1</v>
      </c>
      <c r="AK198" s="843"/>
      <c r="AL198" s="324" t="s">
        <v>15630</v>
      </c>
      <c r="AM198" s="325"/>
      <c r="AN198" s="325"/>
      <c r="AO198" s="325"/>
      <c r="AP198" s="325"/>
      <c r="AQ198" s="190" t="s">
        <v>398</v>
      </c>
      <c r="AR198" s="844">
        <f>AR194</f>
        <v>0.85</v>
      </c>
      <c r="AS198" s="844"/>
      <c r="AT198" s="505"/>
      <c r="AU198" s="506"/>
      <c r="AV198" s="844">
        <f>AV190</f>
        <v>0.8</v>
      </c>
      <c r="AW198" s="844"/>
      <c r="AX198" s="844"/>
      <c r="AY198" s="845"/>
      <c r="AZ198" s="491">
        <f>ROUND(ROUND(ROUND(ROUND(Q192*AJ198,0)*AR198,0)*$AT$192,0)*AV198,0)</f>
        <v>89</v>
      </c>
      <c r="BA198" s="418"/>
    </row>
    <row r="199" spans="1:53" ht="17.100000000000001" customHeight="1" x14ac:dyDescent="0.15">
      <c r="A199" s="340">
        <v>12</v>
      </c>
      <c r="B199" s="341">
        <v>8357</v>
      </c>
      <c r="C199" s="390" t="s">
        <v>17362</v>
      </c>
      <c r="D199" s="857" t="s">
        <v>15740</v>
      </c>
      <c r="E199" s="858"/>
      <c r="F199" s="858"/>
      <c r="G199" s="858"/>
      <c r="H199" s="860"/>
      <c r="I199" s="908" t="s">
        <v>15621</v>
      </c>
      <c r="J199" s="909"/>
      <c r="K199" s="909"/>
      <c r="L199" s="909"/>
      <c r="M199" s="909"/>
      <c r="N199" s="909"/>
      <c r="O199" s="909"/>
      <c r="P199" s="909"/>
      <c r="Q199" s="909"/>
      <c r="R199" s="909"/>
      <c r="S199" s="909"/>
      <c r="T199" s="909"/>
      <c r="U199" s="910"/>
      <c r="V199" s="343"/>
      <c r="W199" s="343"/>
      <c r="X199" s="343"/>
      <c r="Y199" s="343"/>
      <c r="Z199" s="343"/>
      <c r="AA199" s="343"/>
      <c r="AB199" s="343"/>
      <c r="AC199" s="343"/>
      <c r="AD199" s="343"/>
      <c r="AE199" s="343"/>
      <c r="AF199" s="343"/>
      <c r="AG199" s="343"/>
      <c r="AH199" s="343"/>
      <c r="AI199" s="343"/>
      <c r="AJ199" s="343"/>
      <c r="AK199" s="407"/>
      <c r="AL199" s="396"/>
      <c r="AM199" s="396"/>
      <c r="AN199" s="396"/>
      <c r="AO199" s="396"/>
      <c r="AP199" s="396"/>
      <c r="AQ199" s="396"/>
      <c r="AR199" s="396"/>
      <c r="AS199" s="396"/>
      <c r="AT199" s="920" t="s">
        <v>862</v>
      </c>
      <c r="AU199" s="917"/>
      <c r="AV199" s="400"/>
      <c r="AW199" s="400"/>
      <c r="AX199" s="396"/>
      <c r="AY199" s="397"/>
      <c r="AZ199" s="489">
        <f>ROUND(Q200*$AT$208,0)</f>
        <v>278</v>
      </c>
      <c r="BA199" s="329" t="s">
        <v>15622</v>
      </c>
    </row>
    <row r="200" spans="1:53" ht="16.5" customHeight="1" x14ac:dyDescent="0.15">
      <c r="A200" s="340">
        <v>12</v>
      </c>
      <c r="B200" s="341">
        <v>8358</v>
      </c>
      <c r="C200" s="390" t="s">
        <v>17363</v>
      </c>
      <c r="D200" s="849"/>
      <c r="E200" s="850"/>
      <c r="F200" s="850"/>
      <c r="G200" s="850"/>
      <c r="H200" s="852"/>
      <c r="Q200" s="836">
        <f>'2重度訪問'!U104</f>
        <v>185</v>
      </c>
      <c r="R200" s="911"/>
      <c r="S200" s="911"/>
      <c r="T200" s="152" t="s">
        <v>15624</v>
      </c>
      <c r="U200" s="387"/>
      <c r="V200" s="343" t="s">
        <v>15625</v>
      </c>
      <c r="W200" s="325"/>
      <c r="X200" s="325"/>
      <c r="Y200" s="325"/>
      <c r="Z200" s="325"/>
      <c r="AA200" s="325"/>
      <c r="AB200" s="325"/>
      <c r="AC200" s="325"/>
      <c r="AD200" s="325"/>
      <c r="AE200" s="325"/>
      <c r="AF200" s="325"/>
      <c r="AG200" s="325"/>
      <c r="AH200" s="325"/>
      <c r="AI200" s="391" t="s">
        <v>15626</v>
      </c>
      <c r="AJ200" s="838">
        <f>AJ182</f>
        <v>1</v>
      </c>
      <c r="AK200" s="839"/>
      <c r="AQ200" s="152"/>
      <c r="AR200" s="152"/>
      <c r="AS200" s="152"/>
      <c r="AT200" s="912"/>
      <c r="AU200" s="913"/>
      <c r="AY200" s="387"/>
      <c r="AZ200" s="489">
        <f>ROUND(ROUND(Q200*AJ200,0)*$AT$208,0)</f>
        <v>278</v>
      </c>
      <c r="BA200" s="393"/>
    </row>
    <row r="201" spans="1:53" ht="16.5" customHeight="1" x14ac:dyDescent="0.15">
      <c r="A201" s="287">
        <v>12</v>
      </c>
      <c r="B201" s="287">
        <v>8359</v>
      </c>
      <c r="C201" s="394" t="s">
        <v>17364</v>
      </c>
      <c r="D201" s="849"/>
      <c r="E201" s="850"/>
      <c r="F201" s="850"/>
      <c r="G201" s="850"/>
      <c r="H201" s="852"/>
      <c r="Q201" s="395"/>
      <c r="R201" s="151"/>
      <c r="S201" s="151"/>
      <c r="U201" s="387"/>
      <c r="V201" s="343"/>
      <c r="W201" s="343"/>
      <c r="X201" s="343"/>
      <c r="Y201" s="343"/>
      <c r="Z201" s="343"/>
      <c r="AA201" s="343"/>
      <c r="AB201" s="343"/>
      <c r="AC201" s="343"/>
      <c r="AD201" s="343"/>
      <c r="AE201" s="343"/>
      <c r="AF201" s="343"/>
      <c r="AG201" s="343"/>
      <c r="AH201" s="343"/>
      <c r="AI201" s="343"/>
      <c r="AJ201" s="343"/>
      <c r="AK201" s="343"/>
      <c r="AL201" s="114" t="s">
        <v>15628</v>
      </c>
      <c r="AM201" s="396"/>
      <c r="AN201" s="396"/>
      <c r="AO201" s="396"/>
      <c r="AP201" s="396"/>
      <c r="AQ201" s="396"/>
      <c r="AR201" s="396"/>
      <c r="AS201" s="396"/>
      <c r="AT201" s="912"/>
      <c r="AU201" s="913"/>
      <c r="AY201" s="387"/>
      <c r="AZ201" s="489">
        <f>ROUND(ROUND(Q200*AR202,0)*$AT$208,0)</f>
        <v>236</v>
      </c>
      <c r="BA201" s="393"/>
    </row>
    <row r="202" spans="1:53" ht="16.5" customHeight="1" x14ac:dyDescent="0.15">
      <c r="A202" s="287">
        <v>12</v>
      </c>
      <c r="B202" s="287">
        <v>8360</v>
      </c>
      <c r="C202" s="394" t="s">
        <v>17365</v>
      </c>
      <c r="D202" s="849"/>
      <c r="E202" s="850"/>
      <c r="F202" s="850"/>
      <c r="G202" s="850"/>
      <c r="H202" s="852"/>
      <c r="Q202" s="395"/>
      <c r="R202" s="151"/>
      <c r="S202" s="151"/>
      <c r="U202" s="387"/>
      <c r="V202" s="343" t="s">
        <v>15625</v>
      </c>
      <c r="W202" s="325"/>
      <c r="X202" s="325"/>
      <c r="Y202" s="325"/>
      <c r="Z202" s="325"/>
      <c r="AA202" s="325"/>
      <c r="AB202" s="325"/>
      <c r="AC202" s="325"/>
      <c r="AD202" s="325"/>
      <c r="AE202" s="325"/>
      <c r="AF202" s="325"/>
      <c r="AG202" s="325"/>
      <c r="AH202" s="325"/>
      <c r="AI202" s="391" t="s">
        <v>15626</v>
      </c>
      <c r="AJ202" s="838">
        <f>AJ200</f>
        <v>1</v>
      </c>
      <c r="AK202" s="843"/>
      <c r="AL202" s="324" t="s">
        <v>15630</v>
      </c>
      <c r="AM202" s="325"/>
      <c r="AN202" s="325"/>
      <c r="AO202" s="325"/>
      <c r="AP202" s="325"/>
      <c r="AQ202" s="190" t="s">
        <v>398</v>
      </c>
      <c r="AR202" s="844">
        <f>AR182</f>
        <v>0.85</v>
      </c>
      <c r="AS202" s="844"/>
      <c r="AT202" s="912"/>
      <c r="AU202" s="913"/>
      <c r="AY202" s="387"/>
      <c r="AZ202" s="489">
        <f>ROUND(ROUND(ROUND(Q200*AJ202,0)*AR202,0)*$AT$208,0)</f>
        <v>236</v>
      </c>
      <c r="BA202" s="393"/>
    </row>
    <row r="203" spans="1:53" ht="17.100000000000001" customHeight="1" x14ac:dyDescent="0.15">
      <c r="A203" s="340">
        <v>12</v>
      </c>
      <c r="B203" s="341">
        <v>8361</v>
      </c>
      <c r="C203" s="390" t="s">
        <v>17366</v>
      </c>
      <c r="D203" s="403"/>
      <c r="E203" s="404"/>
      <c r="F203" s="404"/>
      <c r="G203" s="404"/>
      <c r="H203" s="406"/>
      <c r="L203" s="151"/>
      <c r="M203" s="151"/>
      <c r="N203" s="151"/>
      <c r="U203" s="387"/>
      <c r="V203" s="343"/>
      <c r="W203" s="343"/>
      <c r="X203" s="343"/>
      <c r="Y203" s="343"/>
      <c r="Z203" s="343"/>
      <c r="AA203" s="343"/>
      <c r="AB203" s="343"/>
      <c r="AC203" s="343"/>
      <c r="AD203" s="343"/>
      <c r="AE203" s="343"/>
      <c r="AF203" s="343"/>
      <c r="AG203" s="343"/>
      <c r="AH203" s="343"/>
      <c r="AI203" s="343"/>
      <c r="AJ203" s="343"/>
      <c r="AK203" s="407"/>
      <c r="AL203" s="396"/>
      <c r="AM203" s="396"/>
      <c r="AN203" s="396"/>
      <c r="AO203" s="396"/>
      <c r="AP203" s="396"/>
      <c r="AQ203" s="396"/>
      <c r="AR203" s="396"/>
      <c r="AS203" s="396"/>
      <c r="AT203" s="912"/>
      <c r="AU203" s="913"/>
      <c r="AV203" s="858" t="s">
        <v>16296</v>
      </c>
      <c r="AW203" s="858"/>
      <c r="AX203" s="858"/>
      <c r="AY203" s="860"/>
      <c r="AZ203" s="489">
        <f>ROUND(ROUND(Q200*$AT$208,0)*AV206,0)</f>
        <v>222</v>
      </c>
      <c r="BA203" s="339"/>
    </row>
    <row r="204" spans="1:53" ht="16.5" customHeight="1" x14ac:dyDescent="0.15">
      <c r="A204" s="340">
        <v>12</v>
      </c>
      <c r="B204" s="341">
        <v>8362</v>
      </c>
      <c r="C204" s="390" t="s">
        <v>17367</v>
      </c>
      <c r="D204" s="403"/>
      <c r="E204" s="404"/>
      <c r="F204" s="404"/>
      <c r="G204" s="404"/>
      <c r="H204" s="406"/>
      <c r="Q204" s="899"/>
      <c r="R204" s="899"/>
      <c r="S204" s="899"/>
      <c r="U204" s="387"/>
      <c r="V204" s="343" t="s">
        <v>15625</v>
      </c>
      <c r="W204" s="325"/>
      <c r="X204" s="325"/>
      <c r="Y204" s="325"/>
      <c r="Z204" s="325"/>
      <c r="AA204" s="325"/>
      <c r="AB204" s="325"/>
      <c r="AC204" s="325"/>
      <c r="AD204" s="325"/>
      <c r="AE204" s="325"/>
      <c r="AF204" s="325"/>
      <c r="AG204" s="325"/>
      <c r="AH204" s="325"/>
      <c r="AI204" s="391" t="s">
        <v>15626</v>
      </c>
      <c r="AJ204" s="838">
        <f>AJ202</f>
        <v>1</v>
      </c>
      <c r="AK204" s="839"/>
      <c r="AQ204" s="152"/>
      <c r="AR204" s="152"/>
      <c r="AS204" s="152"/>
      <c r="AT204" s="912"/>
      <c r="AU204" s="913"/>
      <c r="AV204" s="850"/>
      <c r="AW204" s="850"/>
      <c r="AX204" s="850"/>
      <c r="AY204" s="852"/>
      <c r="AZ204" s="489">
        <f>ROUND(ROUND(ROUND(Q200*AJ204,0)*$AT$208,0)*AV206,0)</f>
        <v>222</v>
      </c>
      <c r="BA204" s="393"/>
    </row>
    <row r="205" spans="1:53" ht="16.5" customHeight="1" x14ac:dyDescent="0.15">
      <c r="A205" s="287">
        <v>12</v>
      </c>
      <c r="B205" s="287">
        <v>8363</v>
      </c>
      <c r="C205" s="394" t="s">
        <v>17368</v>
      </c>
      <c r="D205" s="403"/>
      <c r="E205" s="404"/>
      <c r="F205" s="497"/>
      <c r="G205" s="497"/>
      <c r="H205" s="498"/>
      <c r="Q205" s="395"/>
      <c r="R205" s="151"/>
      <c r="S205" s="151"/>
      <c r="U205" s="387"/>
      <c r="V205" s="343"/>
      <c r="W205" s="343"/>
      <c r="X205" s="343"/>
      <c r="Y205" s="343"/>
      <c r="Z205" s="343"/>
      <c r="AA205" s="343"/>
      <c r="AB205" s="343"/>
      <c r="AC205" s="343"/>
      <c r="AD205" s="343"/>
      <c r="AE205" s="343"/>
      <c r="AF205" s="343"/>
      <c r="AG205" s="343"/>
      <c r="AH205" s="343"/>
      <c r="AI205" s="343"/>
      <c r="AJ205" s="343"/>
      <c r="AK205" s="343"/>
      <c r="AL205" s="114" t="s">
        <v>15628</v>
      </c>
      <c r="AM205" s="396"/>
      <c r="AN205" s="396"/>
      <c r="AO205" s="396"/>
      <c r="AP205" s="396"/>
      <c r="AQ205" s="396"/>
      <c r="AR205" s="396"/>
      <c r="AS205" s="396"/>
      <c r="AT205" s="912"/>
      <c r="AU205" s="913"/>
      <c r="AV205" s="902" t="s">
        <v>15636</v>
      </c>
      <c r="AW205" s="902"/>
      <c r="AX205" s="902"/>
      <c r="AY205" s="903"/>
      <c r="AZ205" s="489">
        <f>ROUND(ROUND(ROUND(Q200*AR206,0)*$AT$208,0)*AV206,0)</f>
        <v>189</v>
      </c>
      <c r="BA205" s="393"/>
    </row>
    <row r="206" spans="1:53" ht="16.5" customHeight="1" x14ac:dyDescent="0.15">
      <c r="A206" s="287">
        <v>12</v>
      </c>
      <c r="B206" s="287">
        <v>8364</v>
      </c>
      <c r="C206" s="394" t="s">
        <v>17369</v>
      </c>
      <c r="D206" s="403"/>
      <c r="E206" s="404"/>
      <c r="F206" s="404"/>
      <c r="G206" s="404"/>
      <c r="H206" s="406"/>
      <c r="Q206" s="395"/>
      <c r="R206" s="151"/>
      <c r="S206" s="151"/>
      <c r="U206" s="387"/>
      <c r="V206" s="343" t="s">
        <v>15625</v>
      </c>
      <c r="W206" s="325"/>
      <c r="X206" s="325"/>
      <c r="Y206" s="325"/>
      <c r="Z206" s="325"/>
      <c r="AA206" s="325"/>
      <c r="AB206" s="325"/>
      <c r="AC206" s="325"/>
      <c r="AD206" s="325"/>
      <c r="AE206" s="325"/>
      <c r="AF206" s="325"/>
      <c r="AG206" s="325"/>
      <c r="AH206" s="325"/>
      <c r="AI206" s="391" t="s">
        <v>15626</v>
      </c>
      <c r="AJ206" s="838">
        <f>AJ204</f>
        <v>1</v>
      </c>
      <c r="AK206" s="843"/>
      <c r="AL206" s="324" t="s">
        <v>15630</v>
      </c>
      <c r="AM206" s="325"/>
      <c r="AN206" s="325"/>
      <c r="AO206" s="325"/>
      <c r="AP206" s="325"/>
      <c r="AQ206" s="190" t="s">
        <v>398</v>
      </c>
      <c r="AR206" s="844">
        <f>AR202</f>
        <v>0.85</v>
      </c>
      <c r="AS206" s="844"/>
      <c r="AT206" s="912"/>
      <c r="AU206" s="913"/>
      <c r="AV206" s="844">
        <f>AV182</f>
        <v>0.8</v>
      </c>
      <c r="AW206" s="844"/>
      <c r="AX206" s="844"/>
      <c r="AY206" s="845"/>
      <c r="AZ206" s="489">
        <f>ROUND(ROUND(ROUND(ROUND(Q200*AJ206,0)*AR206,0)*$AT$208,0)*AV206,0)</f>
        <v>189</v>
      </c>
      <c r="BA206" s="393"/>
    </row>
    <row r="207" spans="1:53" ht="16.5" customHeight="1" x14ac:dyDescent="0.15">
      <c r="A207" s="340">
        <v>12</v>
      </c>
      <c r="B207" s="341">
        <v>8365</v>
      </c>
      <c r="C207" s="390" t="s">
        <v>17370</v>
      </c>
      <c r="D207" s="494"/>
      <c r="E207" s="151"/>
      <c r="F207" s="151"/>
      <c r="G207" s="151"/>
      <c r="H207" s="495"/>
      <c r="I207" s="908" t="s">
        <v>15633</v>
      </c>
      <c r="J207" s="909"/>
      <c r="K207" s="909"/>
      <c r="L207" s="909"/>
      <c r="M207" s="909"/>
      <c r="N207" s="909"/>
      <c r="O207" s="909"/>
      <c r="P207" s="909"/>
      <c r="Q207" s="909"/>
      <c r="R207" s="909"/>
      <c r="S207" s="909"/>
      <c r="T207" s="909"/>
      <c r="U207" s="910"/>
      <c r="V207" s="343"/>
      <c r="W207" s="325"/>
      <c r="X207" s="325"/>
      <c r="Y207" s="325"/>
      <c r="Z207" s="325"/>
      <c r="AA207" s="325"/>
      <c r="AB207" s="325"/>
      <c r="AC207" s="325"/>
      <c r="AD207" s="325"/>
      <c r="AE207" s="325"/>
      <c r="AF207" s="325"/>
      <c r="AG207" s="325"/>
      <c r="AH207" s="325"/>
      <c r="AI207" s="391"/>
      <c r="AJ207" s="401"/>
      <c r="AK207" s="402"/>
      <c r="AQ207" s="152"/>
      <c r="AR207" s="152"/>
      <c r="AS207" s="152"/>
      <c r="AT207" s="918" t="s">
        <v>15636</v>
      </c>
      <c r="AU207" s="913"/>
      <c r="AV207" s="400"/>
      <c r="AW207" s="400"/>
      <c r="AX207" s="396"/>
      <c r="AY207" s="397"/>
      <c r="AZ207" s="489">
        <f>ROUND(Q208*$AT$208,0)</f>
        <v>135</v>
      </c>
      <c r="BA207" s="393"/>
    </row>
    <row r="208" spans="1:53" ht="16.5" customHeight="1" x14ac:dyDescent="0.15">
      <c r="A208" s="340">
        <v>12</v>
      </c>
      <c r="B208" s="341">
        <v>8366</v>
      </c>
      <c r="C208" s="390" t="s">
        <v>17371</v>
      </c>
      <c r="D208" s="494"/>
      <c r="E208" s="151"/>
      <c r="F208" s="151"/>
      <c r="G208" s="151"/>
      <c r="H208" s="495"/>
      <c r="Q208" s="836">
        <f>'2重度訪問'!U108</f>
        <v>90</v>
      </c>
      <c r="R208" s="911"/>
      <c r="S208" s="911"/>
      <c r="T208" s="152" t="s">
        <v>15624</v>
      </c>
      <c r="U208" s="387"/>
      <c r="V208" s="343" t="s">
        <v>15625</v>
      </c>
      <c r="W208" s="325"/>
      <c r="X208" s="325"/>
      <c r="Y208" s="325"/>
      <c r="Z208" s="325"/>
      <c r="AA208" s="325"/>
      <c r="AB208" s="325"/>
      <c r="AC208" s="325"/>
      <c r="AD208" s="325"/>
      <c r="AE208" s="325"/>
      <c r="AF208" s="325"/>
      <c r="AG208" s="325"/>
      <c r="AH208" s="325"/>
      <c r="AI208" s="391" t="s">
        <v>15626</v>
      </c>
      <c r="AJ208" s="838">
        <f>AJ206</f>
        <v>1</v>
      </c>
      <c r="AK208" s="839"/>
      <c r="AQ208" s="152"/>
      <c r="AR208" s="152"/>
      <c r="AS208" s="152"/>
      <c r="AT208" s="919">
        <f>AT192</f>
        <v>1.5</v>
      </c>
      <c r="AU208" s="915"/>
      <c r="AY208" s="387"/>
      <c r="AZ208" s="489">
        <f>ROUND(ROUND(Q208*AJ208,0)*$AT$208,0)</f>
        <v>135</v>
      </c>
      <c r="BA208" s="393"/>
    </row>
    <row r="209" spans="1:53" ht="16.5" customHeight="1" x14ac:dyDescent="0.15">
      <c r="A209" s="287">
        <v>12</v>
      </c>
      <c r="B209" s="287">
        <v>8367</v>
      </c>
      <c r="C209" s="394" t="s">
        <v>17372</v>
      </c>
      <c r="D209" s="494"/>
      <c r="E209" s="151"/>
      <c r="F209" s="151"/>
      <c r="G209" s="151"/>
      <c r="H209" s="495"/>
      <c r="Q209" s="395"/>
      <c r="R209" s="151"/>
      <c r="S209" s="151"/>
      <c r="U209" s="387"/>
      <c r="V209" s="343"/>
      <c r="W209" s="343"/>
      <c r="X209" s="343"/>
      <c r="Y209" s="343"/>
      <c r="Z209" s="343"/>
      <c r="AA209" s="343"/>
      <c r="AB209" s="343"/>
      <c r="AC209" s="343"/>
      <c r="AD209" s="343"/>
      <c r="AE209" s="343"/>
      <c r="AF209" s="343"/>
      <c r="AG209" s="343"/>
      <c r="AH209" s="343"/>
      <c r="AI209" s="343"/>
      <c r="AJ209" s="343"/>
      <c r="AK209" s="343"/>
      <c r="AL209" s="114" t="s">
        <v>15628</v>
      </c>
      <c r="AM209" s="396"/>
      <c r="AN209" s="396"/>
      <c r="AO209" s="396"/>
      <c r="AP209" s="396"/>
      <c r="AQ209" s="396"/>
      <c r="AR209" s="396"/>
      <c r="AS209" s="396"/>
      <c r="AT209" s="490"/>
      <c r="AU209" s="387"/>
      <c r="AY209" s="387"/>
      <c r="AZ209" s="489">
        <f>ROUND(ROUND(Q208*AR210,0)*$AT$208,0)</f>
        <v>116</v>
      </c>
      <c r="BA209" s="393"/>
    </row>
    <row r="210" spans="1:53" ht="16.5" customHeight="1" x14ac:dyDescent="0.15">
      <c r="A210" s="287">
        <v>12</v>
      </c>
      <c r="B210" s="287">
        <v>8368</v>
      </c>
      <c r="C210" s="394" t="s">
        <v>17373</v>
      </c>
      <c r="D210" s="403"/>
      <c r="E210" s="404"/>
      <c r="F210" s="404"/>
      <c r="G210" s="404"/>
      <c r="H210" s="406"/>
      <c r="Q210" s="395"/>
      <c r="R210" s="151"/>
      <c r="S210" s="151"/>
      <c r="U210" s="387"/>
      <c r="V210" s="343" t="s">
        <v>15625</v>
      </c>
      <c r="W210" s="325"/>
      <c r="X210" s="325"/>
      <c r="Y210" s="325"/>
      <c r="Z210" s="325"/>
      <c r="AA210" s="325"/>
      <c r="AB210" s="325"/>
      <c r="AC210" s="325"/>
      <c r="AD210" s="325"/>
      <c r="AE210" s="325"/>
      <c r="AF210" s="325"/>
      <c r="AG210" s="325"/>
      <c r="AH210" s="325"/>
      <c r="AI210" s="391" t="s">
        <v>15626</v>
      </c>
      <c r="AJ210" s="838">
        <f>AJ208</f>
        <v>1</v>
      </c>
      <c r="AK210" s="843"/>
      <c r="AL210" s="324" t="s">
        <v>15630</v>
      </c>
      <c r="AM210" s="325"/>
      <c r="AN210" s="325"/>
      <c r="AO210" s="325"/>
      <c r="AP210" s="325"/>
      <c r="AQ210" s="190" t="s">
        <v>398</v>
      </c>
      <c r="AR210" s="844">
        <f>AR206</f>
        <v>0.85</v>
      </c>
      <c r="AS210" s="844"/>
      <c r="AT210" s="501"/>
      <c r="AU210" s="502"/>
      <c r="AY210" s="387"/>
      <c r="AZ210" s="489">
        <f>ROUND(ROUND(ROUND(Q208*AJ210,0)*AR210,0)*$AT$208,0)</f>
        <v>116</v>
      </c>
      <c r="BA210" s="393"/>
    </row>
    <row r="211" spans="1:53" ht="16.5" customHeight="1" x14ac:dyDescent="0.15">
      <c r="A211" s="340">
        <v>12</v>
      </c>
      <c r="B211" s="341">
        <v>8369</v>
      </c>
      <c r="C211" s="390" t="s">
        <v>17374</v>
      </c>
      <c r="D211" s="494"/>
      <c r="E211" s="151"/>
      <c r="F211" s="151"/>
      <c r="G211" s="151"/>
      <c r="H211" s="495"/>
      <c r="I211" s="254"/>
      <c r="Q211" s="395"/>
      <c r="R211" s="151"/>
      <c r="S211" s="151"/>
      <c r="U211" s="387"/>
      <c r="V211" s="343"/>
      <c r="W211" s="325"/>
      <c r="X211" s="325"/>
      <c r="Y211" s="325"/>
      <c r="Z211" s="325"/>
      <c r="AA211" s="325"/>
      <c r="AB211" s="325"/>
      <c r="AC211" s="325"/>
      <c r="AD211" s="325"/>
      <c r="AE211" s="325"/>
      <c r="AF211" s="325"/>
      <c r="AG211" s="325"/>
      <c r="AH211" s="325"/>
      <c r="AI211" s="391"/>
      <c r="AJ211" s="401"/>
      <c r="AK211" s="402"/>
      <c r="AQ211" s="152"/>
      <c r="AR211" s="152"/>
      <c r="AS211" s="152"/>
      <c r="AT211" s="490"/>
      <c r="AU211" s="387"/>
      <c r="AV211" s="858" t="s">
        <v>16296</v>
      </c>
      <c r="AW211" s="858"/>
      <c r="AX211" s="858"/>
      <c r="AY211" s="860"/>
      <c r="AZ211" s="489">
        <f>ROUND(ROUND(Q208*$AT$208,0)*AV214,0)</f>
        <v>108</v>
      </c>
      <c r="BA211" s="393"/>
    </row>
    <row r="212" spans="1:53" ht="16.5" customHeight="1" x14ac:dyDescent="0.15">
      <c r="A212" s="340">
        <v>12</v>
      </c>
      <c r="B212" s="341">
        <v>8370</v>
      </c>
      <c r="C212" s="390" t="s">
        <v>17375</v>
      </c>
      <c r="D212" s="494"/>
      <c r="E212" s="151"/>
      <c r="F212" s="151"/>
      <c r="G212" s="151"/>
      <c r="H212" s="495"/>
      <c r="Q212" s="899"/>
      <c r="R212" s="899"/>
      <c r="S212" s="899"/>
      <c r="U212" s="387"/>
      <c r="V212" s="343" t="s">
        <v>15625</v>
      </c>
      <c r="W212" s="325"/>
      <c r="X212" s="325"/>
      <c r="Y212" s="325"/>
      <c r="Z212" s="325"/>
      <c r="AA212" s="325"/>
      <c r="AB212" s="325"/>
      <c r="AC212" s="325"/>
      <c r="AD212" s="325"/>
      <c r="AE212" s="325"/>
      <c r="AF212" s="325"/>
      <c r="AG212" s="325"/>
      <c r="AH212" s="325"/>
      <c r="AI212" s="391" t="s">
        <v>15626</v>
      </c>
      <c r="AJ212" s="838">
        <f>AJ210</f>
        <v>1</v>
      </c>
      <c r="AK212" s="839"/>
      <c r="AQ212" s="152"/>
      <c r="AR212" s="152"/>
      <c r="AS212" s="152"/>
      <c r="AT212" s="490"/>
      <c r="AU212" s="387"/>
      <c r="AV212" s="850"/>
      <c r="AW212" s="850"/>
      <c r="AX212" s="850"/>
      <c r="AY212" s="852"/>
      <c r="AZ212" s="489">
        <f>ROUND(ROUND(ROUND(Q208*AJ212,0)*$AT$208,0)*AV214,0)</f>
        <v>108</v>
      </c>
      <c r="BA212" s="393"/>
    </row>
    <row r="213" spans="1:53" ht="16.5" customHeight="1" x14ac:dyDescent="0.15">
      <c r="A213" s="287">
        <v>12</v>
      </c>
      <c r="B213" s="287">
        <v>8371</v>
      </c>
      <c r="C213" s="394" t="s">
        <v>17376</v>
      </c>
      <c r="D213" s="494"/>
      <c r="E213" s="151"/>
      <c r="F213" s="151"/>
      <c r="G213" s="151"/>
      <c r="H213" s="495"/>
      <c r="Q213" s="395"/>
      <c r="R213" s="151"/>
      <c r="S213" s="151"/>
      <c r="U213" s="387"/>
      <c r="V213" s="343"/>
      <c r="W213" s="343"/>
      <c r="X213" s="343"/>
      <c r="Y213" s="343"/>
      <c r="Z213" s="343"/>
      <c r="AA213" s="343"/>
      <c r="AB213" s="343"/>
      <c r="AC213" s="343"/>
      <c r="AD213" s="343"/>
      <c r="AE213" s="343"/>
      <c r="AF213" s="343"/>
      <c r="AG213" s="343"/>
      <c r="AH213" s="343"/>
      <c r="AI213" s="343"/>
      <c r="AJ213" s="343"/>
      <c r="AK213" s="343"/>
      <c r="AL213" s="114" t="s">
        <v>15628</v>
      </c>
      <c r="AM213" s="396"/>
      <c r="AN213" s="396"/>
      <c r="AO213" s="396"/>
      <c r="AP213" s="396"/>
      <c r="AQ213" s="396"/>
      <c r="AR213" s="396"/>
      <c r="AS213" s="396"/>
      <c r="AT213" s="490"/>
      <c r="AU213" s="387"/>
      <c r="AV213" s="902" t="s">
        <v>15636</v>
      </c>
      <c r="AW213" s="902"/>
      <c r="AX213" s="902"/>
      <c r="AY213" s="903"/>
      <c r="AZ213" s="489">
        <f>ROUND(ROUND(ROUND(Q208*AR214,0)*$AT$208,0)*AV214,0)</f>
        <v>93</v>
      </c>
      <c r="BA213" s="393"/>
    </row>
    <row r="214" spans="1:53" ht="16.5" customHeight="1" x14ac:dyDescent="0.15">
      <c r="A214" s="287">
        <v>12</v>
      </c>
      <c r="B214" s="287">
        <v>8372</v>
      </c>
      <c r="C214" s="394" t="s">
        <v>17377</v>
      </c>
      <c r="D214" s="403"/>
      <c r="E214" s="404"/>
      <c r="F214" s="404"/>
      <c r="G214" s="404"/>
      <c r="H214" s="406"/>
      <c r="Q214" s="395"/>
      <c r="R214" s="151"/>
      <c r="S214" s="151"/>
      <c r="U214" s="387"/>
      <c r="V214" s="343" t="s">
        <v>15625</v>
      </c>
      <c r="W214" s="325"/>
      <c r="X214" s="325"/>
      <c r="Y214" s="325"/>
      <c r="Z214" s="325"/>
      <c r="AA214" s="325"/>
      <c r="AB214" s="325"/>
      <c r="AC214" s="325"/>
      <c r="AD214" s="325"/>
      <c r="AE214" s="325"/>
      <c r="AF214" s="325"/>
      <c r="AG214" s="325"/>
      <c r="AH214" s="325"/>
      <c r="AI214" s="391" t="s">
        <v>15626</v>
      </c>
      <c r="AJ214" s="838">
        <f>AJ212</f>
        <v>1</v>
      </c>
      <c r="AK214" s="843"/>
      <c r="AL214" s="324" t="s">
        <v>15630</v>
      </c>
      <c r="AM214" s="325"/>
      <c r="AN214" s="325"/>
      <c r="AO214" s="325"/>
      <c r="AP214" s="325"/>
      <c r="AQ214" s="190" t="s">
        <v>398</v>
      </c>
      <c r="AR214" s="844">
        <f>AR210</f>
        <v>0.85</v>
      </c>
      <c r="AS214" s="844"/>
      <c r="AT214" s="501"/>
      <c r="AU214" s="502"/>
      <c r="AV214" s="844">
        <f>AV206</f>
        <v>0.8</v>
      </c>
      <c r="AW214" s="844"/>
      <c r="AX214" s="844"/>
      <c r="AY214" s="845"/>
      <c r="AZ214" s="489">
        <f>ROUND(ROUND(ROUND(ROUND(Q208*AJ214,0)*AR214,0)*$AT$208,0)*AV214,0)</f>
        <v>93</v>
      </c>
      <c r="BA214" s="393"/>
    </row>
    <row r="215" spans="1:53" ht="16.5" customHeight="1" x14ac:dyDescent="0.15">
      <c r="A215" s="340">
        <v>12</v>
      </c>
      <c r="B215" s="341">
        <v>8373</v>
      </c>
      <c r="C215" s="390" t="s">
        <v>17378</v>
      </c>
      <c r="D215" s="403"/>
      <c r="E215" s="404"/>
      <c r="F215" s="404"/>
      <c r="G215" s="404"/>
      <c r="H215" s="406"/>
      <c r="I215" s="908" t="s">
        <v>16309</v>
      </c>
      <c r="J215" s="909"/>
      <c r="K215" s="909"/>
      <c r="L215" s="909"/>
      <c r="M215" s="909"/>
      <c r="N215" s="909"/>
      <c r="O215" s="909"/>
      <c r="P215" s="909"/>
      <c r="Q215" s="909"/>
      <c r="R215" s="909"/>
      <c r="S215" s="909"/>
      <c r="T215" s="909"/>
      <c r="U215" s="910"/>
      <c r="V215" s="343"/>
      <c r="W215" s="325"/>
      <c r="X215" s="325"/>
      <c r="Y215" s="325"/>
      <c r="Z215" s="325"/>
      <c r="AA215" s="325"/>
      <c r="AB215" s="325"/>
      <c r="AC215" s="325"/>
      <c r="AD215" s="325"/>
      <c r="AE215" s="325"/>
      <c r="AF215" s="325"/>
      <c r="AG215" s="325"/>
      <c r="AH215" s="325"/>
      <c r="AI215" s="391"/>
      <c r="AJ215" s="401"/>
      <c r="AK215" s="402"/>
      <c r="AL215" s="396"/>
      <c r="AM215" s="396"/>
      <c r="AN215" s="396"/>
      <c r="AO215" s="396"/>
      <c r="AP215" s="396"/>
      <c r="AQ215" s="396"/>
      <c r="AR215" s="396"/>
      <c r="AS215" s="396"/>
      <c r="AT215" s="490"/>
      <c r="AU215" s="387"/>
      <c r="AV215" s="400"/>
      <c r="AW215" s="400"/>
      <c r="AX215" s="396"/>
      <c r="AY215" s="397"/>
      <c r="AZ215" s="489">
        <f>ROUND(Q216*$AT$208,0)</f>
        <v>138</v>
      </c>
      <c r="BA215" s="393"/>
    </row>
    <row r="216" spans="1:53" ht="16.5" customHeight="1" x14ac:dyDescent="0.15">
      <c r="A216" s="340">
        <v>12</v>
      </c>
      <c r="B216" s="341">
        <v>8374</v>
      </c>
      <c r="C216" s="390" t="s">
        <v>17379</v>
      </c>
      <c r="D216" s="403"/>
      <c r="E216" s="404"/>
      <c r="F216" s="404"/>
      <c r="G216" s="404"/>
      <c r="H216" s="406"/>
      <c r="Q216" s="836">
        <f>'2重度訪問'!U112</f>
        <v>92</v>
      </c>
      <c r="R216" s="911"/>
      <c r="S216" s="911"/>
      <c r="T216" s="152" t="s">
        <v>15624</v>
      </c>
      <c r="U216" s="387"/>
      <c r="V216" s="343" t="s">
        <v>15625</v>
      </c>
      <c r="W216" s="325"/>
      <c r="X216" s="325"/>
      <c r="Y216" s="325"/>
      <c r="Z216" s="325"/>
      <c r="AA216" s="325"/>
      <c r="AB216" s="325"/>
      <c r="AC216" s="325"/>
      <c r="AD216" s="325"/>
      <c r="AE216" s="325"/>
      <c r="AF216" s="325"/>
      <c r="AG216" s="325"/>
      <c r="AH216" s="325"/>
      <c r="AI216" s="391" t="s">
        <v>15626</v>
      </c>
      <c r="AJ216" s="838">
        <f>AJ214</f>
        <v>1</v>
      </c>
      <c r="AK216" s="839"/>
      <c r="AL216" s="325"/>
      <c r="AM216" s="325"/>
      <c r="AN216" s="325"/>
      <c r="AO216" s="325"/>
      <c r="AP216" s="325"/>
      <c r="AQ216" s="325"/>
      <c r="AR216" s="325"/>
      <c r="AS216" s="325"/>
      <c r="AT216" s="490"/>
      <c r="AU216" s="387"/>
      <c r="AY216" s="387"/>
      <c r="AZ216" s="489">
        <f>ROUND(ROUND(Q216*AJ216,0)*$AT$208,0)</f>
        <v>138</v>
      </c>
      <c r="BA216" s="393"/>
    </row>
    <row r="217" spans="1:53" ht="16.5" customHeight="1" x14ac:dyDescent="0.15">
      <c r="A217" s="287">
        <v>12</v>
      </c>
      <c r="B217" s="287">
        <v>8375</v>
      </c>
      <c r="C217" s="394" t="s">
        <v>17380</v>
      </c>
      <c r="D217" s="403"/>
      <c r="E217" s="404"/>
      <c r="F217" s="404"/>
      <c r="G217" s="404"/>
      <c r="H217" s="406"/>
      <c r="Q217" s="395"/>
      <c r="R217" s="151"/>
      <c r="S217" s="151"/>
      <c r="U217" s="387"/>
      <c r="V217" s="343"/>
      <c r="W217" s="343"/>
      <c r="X217" s="343"/>
      <c r="Y217" s="343"/>
      <c r="Z217" s="343"/>
      <c r="AA217" s="343"/>
      <c r="AB217" s="343"/>
      <c r="AC217" s="343"/>
      <c r="AD217" s="343"/>
      <c r="AE217" s="343"/>
      <c r="AF217" s="343"/>
      <c r="AG217" s="343"/>
      <c r="AH217" s="343"/>
      <c r="AI217" s="343"/>
      <c r="AJ217" s="343"/>
      <c r="AK217" s="343"/>
      <c r="AL217" s="114" t="s">
        <v>15628</v>
      </c>
      <c r="AM217" s="396"/>
      <c r="AN217" s="396"/>
      <c r="AO217" s="396"/>
      <c r="AP217" s="396"/>
      <c r="AQ217" s="396"/>
      <c r="AR217" s="396"/>
      <c r="AS217" s="396"/>
      <c r="AT217" s="490"/>
      <c r="AU217" s="387"/>
      <c r="AY217" s="387"/>
      <c r="AZ217" s="489">
        <f>ROUND(ROUND(Q216*AR218,0)*$AT$208,0)</f>
        <v>117</v>
      </c>
      <c r="BA217" s="393"/>
    </row>
    <row r="218" spans="1:53" ht="16.5" customHeight="1" x14ac:dyDescent="0.15">
      <c r="A218" s="287">
        <v>12</v>
      </c>
      <c r="B218" s="287">
        <v>8376</v>
      </c>
      <c r="C218" s="394" t="s">
        <v>17381</v>
      </c>
      <c r="D218" s="403"/>
      <c r="E218" s="404"/>
      <c r="F218" s="404"/>
      <c r="G218" s="404"/>
      <c r="H218" s="406"/>
      <c r="Q218" s="395"/>
      <c r="R218" s="151"/>
      <c r="S218" s="151"/>
      <c r="U218" s="387"/>
      <c r="V218" s="343" t="s">
        <v>15625</v>
      </c>
      <c r="W218" s="325"/>
      <c r="X218" s="325"/>
      <c r="Y218" s="325"/>
      <c r="Z218" s="325"/>
      <c r="AA218" s="325"/>
      <c r="AB218" s="325"/>
      <c r="AC218" s="325"/>
      <c r="AD218" s="325"/>
      <c r="AE218" s="325"/>
      <c r="AF218" s="325"/>
      <c r="AG218" s="325"/>
      <c r="AH218" s="325"/>
      <c r="AI218" s="391" t="s">
        <v>15626</v>
      </c>
      <c r="AJ218" s="838">
        <f>AJ216</f>
        <v>1</v>
      </c>
      <c r="AK218" s="843"/>
      <c r="AL218" s="324" t="s">
        <v>15630</v>
      </c>
      <c r="AM218" s="325"/>
      <c r="AN218" s="325"/>
      <c r="AO218" s="325"/>
      <c r="AP218" s="325"/>
      <c r="AQ218" s="190" t="s">
        <v>398</v>
      </c>
      <c r="AR218" s="844">
        <f>AR214</f>
        <v>0.85</v>
      </c>
      <c r="AS218" s="844"/>
      <c r="AT218" s="501"/>
      <c r="AU218" s="502"/>
      <c r="AY218" s="387"/>
      <c r="AZ218" s="489">
        <f>ROUND(ROUND(ROUND(Q216*AJ218,0)*AR218,0)*$AT$208,0)</f>
        <v>117</v>
      </c>
      <c r="BA218" s="393"/>
    </row>
    <row r="219" spans="1:53" ht="16.5" customHeight="1" x14ac:dyDescent="0.15">
      <c r="A219" s="340">
        <v>12</v>
      </c>
      <c r="B219" s="341">
        <v>8377</v>
      </c>
      <c r="C219" s="390" t="s">
        <v>17382</v>
      </c>
      <c r="D219" s="403"/>
      <c r="E219" s="404"/>
      <c r="F219" s="404"/>
      <c r="G219" s="404"/>
      <c r="H219" s="406"/>
      <c r="I219" s="10"/>
      <c r="Q219" s="395"/>
      <c r="R219" s="151"/>
      <c r="S219" s="151"/>
      <c r="U219" s="387"/>
      <c r="V219" s="343"/>
      <c r="W219" s="325"/>
      <c r="X219" s="325"/>
      <c r="Y219" s="325"/>
      <c r="Z219" s="325"/>
      <c r="AA219" s="325"/>
      <c r="AB219" s="325"/>
      <c r="AC219" s="325"/>
      <c r="AD219" s="325"/>
      <c r="AE219" s="325"/>
      <c r="AF219" s="325"/>
      <c r="AG219" s="325"/>
      <c r="AH219" s="325"/>
      <c r="AI219" s="391"/>
      <c r="AJ219" s="401"/>
      <c r="AK219" s="402"/>
      <c r="AL219" s="396"/>
      <c r="AM219" s="396"/>
      <c r="AN219" s="396"/>
      <c r="AO219" s="396"/>
      <c r="AP219" s="396"/>
      <c r="AQ219" s="396"/>
      <c r="AR219" s="396"/>
      <c r="AS219" s="396"/>
      <c r="AT219" s="490"/>
      <c r="AU219" s="387"/>
      <c r="AV219" s="858" t="s">
        <v>16296</v>
      </c>
      <c r="AW219" s="858"/>
      <c r="AX219" s="858"/>
      <c r="AY219" s="860"/>
      <c r="AZ219" s="489">
        <f>ROUND(ROUND(Q216*$AT$208,0)*AV222,0)</f>
        <v>110</v>
      </c>
      <c r="BA219" s="393"/>
    </row>
    <row r="220" spans="1:53" ht="16.5" customHeight="1" x14ac:dyDescent="0.15">
      <c r="A220" s="340">
        <v>12</v>
      </c>
      <c r="B220" s="341">
        <v>8378</v>
      </c>
      <c r="C220" s="390" t="s">
        <v>17383</v>
      </c>
      <c r="D220" s="403"/>
      <c r="E220" s="404"/>
      <c r="F220" s="404"/>
      <c r="G220" s="404"/>
      <c r="H220" s="406"/>
      <c r="Q220" s="899"/>
      <c r="R220" s="899"/>
      <c r="S220" s="899"/>
      <c r="U220" s="387"/>
      <c r="V220" s="343" t="s">
        <v>15625</v>
      </c>
      <c r="W220" s="325"/>
      <c r="X220" s="325"/>
      <c r="Y220" s="325"/>
      <c r="Z220" s="325"/>
      <c r="AA220" s="325"/>
      <c r="AB220" s="325"/>
      <c r="AC220" s="325"/>
      <c r="AD220" s="325"/>
      <c r="AE220" s="325"/>
      <c r="AF220" s="325"/>
      <c r="AG220" s="325"/>
      <c r="AH220" s="325"/>
      <c r="AI220" s="391" t="s">
        <v>15626</v>
      </c>
      <c r="AJ220" s="838">
        <f>AJ218</f>
        <v>1</v>
      </c>
      <c r="AK220" s="839"/>
      <c r="AL220" s="325"/>
      <c r="AM220" s="325"/>
      <c r="AN220" s="325"/>
      <c r="AO220" s="325"/>
      <c r="AP220" s="325"/>
      <c r="AQ220" s="325"/>
      <c r="AR220" s="325"/>
      <c r="AS220" s="325"/>
      <c r="AT220" s="490"/>
      <c r="AU220" s="387"/>
      <c r="AV220" s="850"/>
      <c r="AW220" s="850"/>
      <c r="AX220" s="850"/>
      <c r="AY220" s="852"/>
      <c r="AZ220" s="489">
        <f>ROUND(ROUND(ROUND(Q216*AJ220,0)*$AT$208,0)*AV222,0)</f>
        <v>110</v>
      </c>
      <c r="BA220" s="393"/>
    </row>
    <row r="221" spans="1:53" ht="16.5" customHeight="1" x14ac:dyDescent="0.15">
      <c r="A221" s="287">
        <v>12</v>
      </c>
      <c r="B221" s="287">
        <v>8379</v>
      </c>
      <c r="C221" s="394" t="s">
        <v>17384</v>
      </c>
      <c r="D221" s="403"/>
      <c r="E221" s="404"/>
      <c r="F221" s="404"/>
      <c r="G221" s="404"/>
      <c r="H221" s="406"/>
      <c r="Q221" s="395"/>
      <c r="R221" s="151"/>
      <c r="S221" s="151"/>
      <c r="U221" s="387"/>
      <c r="V221" s="343"/>
      <c r="W221" s="343"/>
      <c r="X221" s="343"/>
      <c r="Y221" s="343"/>
      <c r="Z221" s="343"/>
      <c r="AA221" s="343"/>
      <c r="AB221" s="343"/>
      <c r="AC221" s="343"/>
      <c r="AD221" s="343"/>
      <c r="AE221" s="343"/>
      <c r="AF221" s="343"/>
      <c r="AG221" s="343"/>
      <c r="AH221" s="343"/>
      <c r="AI221" s="343"/>
      <c r="AJ221" s="343"/>
      <c r="AK221" s="343"/>
      <c r="AL221" s="114" t="s">
        <v>15628</v>
      </c>
      <c r="AM221" s="396"/>
      <c r="AN221" s="396"/>
      <c r="AO221" s="396"/>
      <c r="AP221" s="396"/>
      <c r="AQ221" s="396"/>
      <c r="AR221" s="396"/>
      <c r="AS221" s="396"/>
      <c r="AT221" s="490"/>
      <c r="AU221" s="387"/>
      <c r="AV221" s="902" t="s">
        <v>15636</v>
      </c>
      <c r="AW221" s="902"/>
      <c r="AX221" s="902"/>
      <c r="AY221" s="903"/>
      <c r="AZ221" s="489">
        <f>ROUND(ROUND(ROUND(Q216*AR222,0)*$AT$208,0)*AV222,0)</f>
        <v>94</v>
      </c>
      <c r="BA221" s="393"/>
    </row>
    <row r="222" spans="1:53" ht="16.5" customHeight="1" x14ac:dyDescent="0.15">
      <c r="A222" s="287">
        <v>12</v>
      </c>
      <c r="B222" s="287">
        <v>8380</v>
      </c>
      <c r="C222" s="394" t="s">
        <v>17385</v>
      </c>
      <c r="D222" s="403"/>
      <c r="E222" s="404"/>
      <c r="F222" s="404"/>
      <c r="G222" s="404"/>
      <c r="H222" s="406"/>
      <c r="Q222" s="395"/>
      <c r="R222" s="151"/>
      <c r="S222" s="151"/>
      <c r="U222" s="387"/>
      <c r="V222" s="343" t="s">
        <v>15625</v>
      </c>
      <c r="W222" s="325"/>
      <c r="X222" s="325"/>
      <c r="Y222" s="325"/>
      <c r="Z222" s="325"/>
      <c r="AA222" s="325"/>
      <c r="AB222" s="325"/>
      <c r="AC222" s="325"/>
      <c r="AD222" s="325"/>
      <c r="AE222" s="325"/>
      <c r="AF222" s="325"/>
      <c r="AG222" s="325"/>
      <c r="AH222" s="325"/>
      <c r="AI222" s="391" t="s">
        <v>15626</v>
      </c>
      <c r="AJ222" s="838">
        <f>AJ220</f>
        <v>1</v>
      </c>
      <c r="AK222" s="843"/>
      <c r="AL222" s="324" t="s">
        <v>15630</v>
      </c>
      <c r="AM222" s="325"/>
      <c r="AN222" s="325"/>
      <c r="AO222" s="325"/>
      <c r="AP222" s="325"/>
      <c r="AQ222" s="190" t="s">
        <v>398</v>
      </c>
      <c r="AR222" s="844">
        <f>AR218</f>
        <v>0.85</v>
      </c>
      <c r="AS222" s="844"/>
      <c r="AT222" s="501"/>
      <c r="AU222" s="502"/>
      <c r="AV222" s="844">
        <f>AV214</f>
        <v>0.8</v>
      </c>
      <c r="AW222" s="844"/>
      <c r="AX222" s="844"/>
      <c r="AY222" s="845"/>
      <c r="AZ222" s="489">
        <f>ROUND(ROUND(ROUND(ROUND(Q216*AJ222,0)*AR222,0)*$AT$208,0)*AV222,0)</f>
        <v>94</v>
      </c>
      <c r="BA222" s="393"/>
    </row>
    <row r="223" spans="1:53" ht="16.5" customHeight="1" x14ac:dyDescent="0.15">
      <c r="A223" s="340">
        <v>12</v>
      </c>
      <c r="B223" s="341">
        <v>8381</v>
      </c>
      <c r="C223" s="390" t="s">
        <v>17386</v>
      </c>
      <c r="D223" s="403"/>
      <c r="E223" s="404"/>
      <c r="F223" s="404"/>
      <c r="G223" s="404"/>
      <c r="H223" s="406"/>
      <c r="I223" s="908" t="s">
        <v>16318</v>
      </c>
      <c r="J223" s="909"/>
      <c r="K223" s="909"/>
      <c r="L223" s="909"/>
      <c r="M223" s="909"/>
      <c r="N223" s="909"/>
      <c r="O223" s="909"/>
      <c r="P223" s="909"/>
      <c r="Q223" s="909"/>
      <c r="R223" s="909"/>
      <c r="S223" s="909"/>
      <c r="T223" s="909"/>
      <c r="U223" s="910"/>
      <c r="V223" s="343"/>
      <c r="W223" s="325"/>
      <c r="X223" s="325"/>
      <c r="Y223" s="325"/>
      <c r="Z223" s="325"/>
      <c r="AA223" s="325"/>
      <c r="AB223" s="325"/>
      <c r="AC223" s="325"/>
      <c r="AD223" s="325"/>
      <c r="AE223" s="325"/>
      <c r="AF223" s="325"/>
      <c r="AG223" s="325"/>
      <c r="AH223" s="325"/>
      <c r="AI223" s="391"/>
      <c r="AJ223" s="401"/>
      <c r="AK223" s="402"/>
      <c r="AL223" s="396"/>
      <c r="AM223" s="396"/>
      <c r="AN223" s="396"/>
      <c r="AO223" s="396"/>
      <c r="AP223" s="396"/>
      <c r="AQ223" s="396"/>
      <c r="AR223" s="396"/>
      <c r="AS223" s="396"/>
      <c r="AT223" s="490"/>
      <c r="AU223" s="387"/>
      <c r="AV223" s="400"/>
      <c r="AW223" s="400"/>
      <c r="AX223" s="396"/>
      <c r="AY223" s="397"/>
      <c r="AZ223" s="489">
        <f>ROUND(Q224*$AT$208,0)</f>
        <v>137</v>
      </c>
      <c r="BA223" s="393"/>
    </row>
    <row r="224" spans="1:53" ht="16.5" customHeight="1" x14ac:dyDescent="0.15">
      <c r="A224" s="340">
        <v>12</v>
      </c>
      <c r="B224" s="341">
        <v>8382</v>
      </c>
      <c r="C224" s="390" t="s">
        <v>17387</v>
      </c>
      <c r="D224" s="403"/>
      <c r="E224" s="404"/>
      <c r="F224" s="404"/>
      <c r="G224" s="404"/>
      <c r="H224" s="406"/>
      <c r="Q224" s="836">
        <f>'2重度訪問'!U116</f>
        <v>91</v>
      </c>
      <c r="R224" s="911"/>
      <c r="S224" s="911"/>
      <c r="T224" s="152" t="s">
        <v>15624</v>
      </c>
      <c r="U224" s="387"/>
      <c r="V224" s="343" t="s">
        <v>15625</v>
      </c>
      <c r="W224" s="325"/>
      <c r="X224" s="325"/>
      <c r="Y224" s="325"/>
      <c r="Z224" s="325"/>
      <c r="AA224" s="325"/>
      <c r="AB224" s="325"/>
      <c r="AC224" s="325"/>
      <c r="AD224" s="325"/>
      <c r="AE224" s="325"/>
      <c r="AF224" s="325"/>
      <c r="AG224" s="325"/>
      <c r="AH224" s="325"/>
      <c r="AI224" s="391" t="s">
        <v>15626</v>
      </c>
      <c r="AJ224" s="838">
        <f>AJ222</f>
        <v>1</v>
      </c>
      <c r="AK224" s="839"/>
      <c r="AL224" s="325"/>
      <c r="AM224" s="325"/>
      <c r="AN224" s="325"/>
      <c r="AO224" s="325"/>
      <c r="AP224" s="325"/>
      <c r="AQ224" s="325"/>
      <c r="AR224" s="325"/>
      <c r="AS224" s="325"/>
      <c r="AT224" s="490"/>
      <c r="AU224" s="387"/>
      <c r="AY224" s="387"/>
      <c r="AZ224" s="489">
        <f>ROUND(ROUND(Q224*AJ224,0)*$AT$208,0)</f>
        <v>137</v>
      </c>
      <c r="BA224" s="393"/>
    </row>
    <row r="225" spans="1:53" ht="16.5" customHeight="1" x14ac:dyDescent="0.15">
      <c r="A225" s="287">
        <v>12</v>
      </c>
      <c r="B225" s="287">
        <v>8383</v>
      </c>
      <c r="C225" s="394" t="s">
        <v>17388</v>
      </c>
      <c r="D225" s="403"/>
      <c r="E225" s="404"/>
      <c r="F225" s="404"/>
      <c r="G225" s="404"/>
      <c r="H225" s="406"/>
      <c r="Q225" s="395"/>
      <c r="R225" s="151"/>
      <c r="S225" s="151"/>
      <c r="U225" s="387"/>
      <c r="V225" s="343"/>
      <c r="W225" s="343"/>
      <c r="X225" s="343"/>
      <c r="Y225" s="343"/>
      <c r="Z225" s="343"/>
      <c r="AA225" s="343"/>
      <c r="AB225" s="343"/>
      <c r="AC225" s="343"/>
      <c r="AD225" s="343"/>
      <c r="AE225" s="343"/>
      <c r="AF225" s="343"/>
      <c r="AG225" s="343"/>
      <c r="AH225" s="343"/>
      <c r="AI225" s="343"/>
      <c r="AJ225" s="343"/>
      <c r="AK225" s="343"/>
      <c r="AL225" s="114" t="s">
        <v>15628</v>
      </c>
      <c r="AM225" s="396"/>
      <c r="AN225" s="396"/>
      <c r="AO225" s="396"/>
      <c r="AP225" s="396"/>
      <c r="AQ225" s="396"/>
      <c r="AR225" s="396"/>
      <c r="AS225" s="396"/>
      <c r="AT225" s="490"/>
      <c r="AU225" s="387"/>
      <c r="AY225" s="387"/>
      <c r="AZ225" s="489">
        <f>ROUND(ROUND(Q224*AR226,0)*$AT$208,0)</f>
        <v>116</v>
      </c>
      <c r="BA225" s="393"/>
    </row>
    <row r="226" spans="1:53" ht="16.5" customHeight="1" x14ac:dyDescent="0.15">
      <c r="A226" s="287">
        <v>12</v>
      </c>
      <c r="B226" s="287">
        <v>8384</v>
      </c>
      <c r="C226" s="394" t="s">
        <v>17389</v>
      </c>
      <c r="D226" s="403"/>
      <c r="E226" s="404"/>
      <c r="F226" s="404"/>
      <c r="G226" s="404"/>
      <c r="H226" s="406"/>
      <c r="Q226" s="395"/>
      <c r="R226" s="151"/>
      <c r="S226" s="151"/>
      <c r="U226" s="387"/>
      <c r="V226" s="343" t="s">
        <v>15625</v>
      </c>
      <c r="W226" s="325"/>
      <c r="X226" s="325"/>
      <c r="Y226" s="325"/>
      <c r="Z226" s="325"/>
      <c r="AA226" s="325"/>
      <c r="AB226" s="325"/>
      <c r="AC226" s="325"/>
      <c r="AD226" s="325"/>
      <c r="AE226" s="325"/>
      <c r="AF226" s="325"/>
      <c r="AG226" s="325"/>
      <c r="AH226" s="325"/>
      <c r="AI226" s="391" t="s">
        <v>15626</v>
      </c>
      <c r="AJ226" s="838">
        <f>AJ224</f>
        <v>1</v>
      </c>
      <c r="AK226" s="843"/>
      <c r="AL226" s="324" t="s">
        <v>15630</v>
      </c>
      <c r="AM226" s="325"/>
      <c r="AN226" s="325"/>
      <c r="AO226" s="325"/>
      <c r="AP226" s="325"/>
      <c r="AQ226" s="190" t="s">
        <v>398</v>
      </c>
      <c r="AR226" s="844">
        <f>AR222</f>
        <v>0.85</v>
      </c>
      <c r="AS226" s="844"/>
      <c r="AT226" s="501"/>
      <c r="AU226" s="502"/>
      <c r="AY226" s="387"/>
      <c r="AZ226" s="489">
        <f>ROUND(ROUND(ROUND(Q224*AJ226,0)*AR226,0)*$AT$208,0)</f>
        <v>116</v>
      </c>
      <c r="BA226" s="393"/>
    </row>
    <row r="227" spans="1:53" ht="16.5" customHeight="1" x14ac:dyDescent="0.15">
      <c r="A227" s="340">
        <v>12</v>
      </c>
      <c r="B227" s="341">
        <v>8385</v>
      </c>
      <c r="C227" s="390" t="s">
        <v>17390</v>
      </c>
      <c r="D227" s="403"/>
      <c r="E227" s="404"/>
      <c r="F227" s="404"/>
      <c r="G227" s="404"/>
      <c r="H227" s="406"/>
      <c r="I227" s="10"/>
      <c r="Q227" s="395"/>
      <c r="R227" s="151"/>
      <c r="S227" s="151"/>
      <c r="U227" s="387"/>
      <c r="V227" s="343"/>
      <c r="W227" s="325"/>
      <c r="X227" s="325"/>
      <c r="Y227" s="325"/>
      <c r="Z227" s="325"/>
      <c r="AA227" s="325"/>
      <c r="AB227" s="325"/>
      <c r="AC227" s="325"/>
      <c r="AD227" s="325"/>
      <c r="AE227" s="325"/>
      <c r="AF227" s="325"/>
      <c r="AG227" s="325"/>
      <c r="AH227" s="325"/>
      <c r="AI227" s="391"/>
      <c r="AJ227" s="401"/>
      <c r="AK227" s="402"/>
      <c r="AL227" s="396"/>
      <c r="AM227" s="396"/>
      <c r="AN227" s="396"/>
      <c r="AO227" s="396"/>
      <c r="AP227" s="396"/>
      <c r="AQ227" s="396"/>
      <c r="AR227" s="396"/>
      <c r="AS227" s="396"/>
      <c r="AT227" s="490"/>
      <c r="AU227" s="387"/>
      <c r="AV227" s="858" t="s">
        <v>16296</v>
      </c>
      <c r="AW227" s="858"/>
      <c r="AX227" s="858"/>
      <c r="AY227" s="860"/>
      <c r="AZ227" s="489">
        <f>ROUND(ROUND(Q224*$AT$208,0)*AV230,0)</f>
        <v>110</v>
      </c>
      <c r="BA227" s="393"/>
    </row>
    <row r="228" spans="1:53" ht="16.5" customHeight="1" x14ac:dyDescent="0.15">
      <c r="A228" s="340">
        <v>12</v>
      </c>
      <c r="B228" s="341">
        <v>8386</v>
      </c>
      <c r="C228" s="390" t="s">
        <v>17391</v>
      </c>
      <c r="D228" s="403"/>
      <c r="E228" s="404"/>
      <c r="F228" s="404"/>
      <c r="G228" s="404"/>
      <c r="H228" s="406"/>
      <c r="Q228" s="899"/>
      <c r="R228" s="899"/>
      <c r="S228" s="899"/>
      <c r="U228" s="387"/>
      <c r="V228" s="343" t="s">
        <v>15625</v>
      </c>
      <c r="W228" s="325"/>
      <c r="X228" s="325"/>
      <c r="Y228" s="325"/>
      <c r="Z228" s="325"/>
      <c r="AA228" s="325"/>
      <c r="AB228" s="325"/>
      <c r="AC228" s="325"/>
      <c r="AD228" s="325"/>
      <c r="AE228" s="325"/>
      <c r="AF228" s="325"/>
      <c r="AG228" s="325"/>
      <c r="AH228" s="325"/>
      <c r="AI228" s="391" t="s">
        <v>15626</v>
      </c>
      <c r="AJ228" s="838">
        <f>AJ226</f>
        <v>1</v>
      </c>
      <c r="AK228" s="839"/>
      <c r="AL228" s="325"/>
      <c r="AM228" s="325"/>
      <c r="AN228" s="325"/>
      <c r="AO228" s="325"/>
      <c r="AP228" s="325"/>
      <c r="AQ228" s="325"/>
      <c r="AR228" s="325"/>
      <c r="AS228" s="325"/>
      <c r="AT228" s="490"/>
      <c r="AU228" s="387"/>
      <c r="AV228" s="850"/>
      <c r="AW228" s="850"/>
      <c r="AX228" s="850"/>
      <c r="AY228" s="852"/>
      <c r="AZ228" s="489">
        <f>ROUND(ROUND(ROUND(Q224*AJ228,0)*$AT$208,0)*AV230,0)</f>
        <v>110</v>
      </c>
      <c r="BA228" s="393"/>
    </row>
    <row r="229" spans="1:53" ht="16.5" customHeight="1" x14ac:dyDescent="0.15">
      <c r="A229" s="287">
        <v>12</v>
      </c>
      <c r="B229" s="287">
        <v>8387</v>
      </c>
      <c r="C229" s="394" t="s">
        <v>17392</v>
      </c>
      <c r="D229" s="403"/>
      <c r="E229" s="404"/>
      <c r="F229" s="404"/>
      <c r="G229" s="404"/>
      <c r="H229" s="406"/>
      <c r="Q229" s="395"/>
      <c r="R229" s="151"/>
      <c r="S229" s="151"/>
      <c r="U229" s="387"/>
      <c r="V229" s="343"/>
      <c r="W229" s="343"/>
      <c r="X229" s="343"/>
      <c r="Y229" s="343"/>
      <c r="Z229" s="343"/>
      <c r="AA229" s="343"/>
      <c r="AB229" s="343"/>
      <c r="AC229" s="343"/>
      <c r="AD229" s="343"/>
      <c r="AE229" s="343"/>
      <c r="AF229" s="343"/>
      <c r="AG229" s="343"/>
      <c r="AH229" s="343"/>
      <c r="AI229" s="343"/>
      <c r="AJ229" s="343"/>
      <c r="AK229" s="343"/>
      <c r="AL229" s="114" t="s">
        <v>15628</v>
      </c>
      <c r="AM229" s="396"/>
      <c r="AN229" s="396"/>
      <c r="AO229" s="396"/>
      <c r="AP229" s="396"/>
      <c r="AQ229" s="396"/>
      <c r="AR229" s="396"/>
      <c r="AS229" s="396"/>
      <c r="AT229" s="490"/>
      <c r="AU229" s="387"/>
      <c r="AV229" s="902" t="s">
        <v>15636</v>
      </c>
      <c r="AW229" s="902"/>
      <c r="AX229" s="902"/>
      <c r="AY229" s="903"/>
      <c r="AZ229" s="489">
        <f>ROUND(ROUND(ROUND(Q224*AR230,0)*$AT$208,0)*AV230,0)</f>
        <v>93</v>
      </c>
      <c r="BA229" s="393"/>
    </row>
    <row r="230" spans="1:53" ht="16.5" customHeight="1" x14ac:dyDescent="0.15">
      <c r="A230" s="287">
        <v>12</v>
      </c>
      <c r="B230" s="287">
        <v>8388</v>
      </c>
      <c r="C230" s="394" t="s">
        <v>17393</v>
      </c>
      <c r="D230" s="403"/>
      <c r="E230" s="404"/>
      <c r="F230" s="404"/>
      <c r="G230" s="404"/>
      <c r="H230" s="406"/>
      <c r="Q230" s="395"/>
      <c r="R230" s="151"/>
      <c r="S230" s="151"/>
      <c r="U230" s="387"/>
      <c r="V230" s="343" t="s">
        <v>15625</v>
      </c>
      <c r="W230" s="325"/>
      <c r="X230" s="325"/>
      <c r="Y230" s="325"/>
      <c r="Z230" s="325"/>
      <c r="AA230" s="325"/>
      <c r="AB230" s="325"/>
      <c r="AC230" s="325"/>
      <c r="AD230" s="325"/>
      <c r="AE230" s="325"/>
      <c r="AF230" s="325"/>
      <c r="AG230" s="325"/>
      <c r="AH230" s="325"/>
      <c r="AI230" s="391" t="s">
        <v>15626</v>
      </c>
      <c r="AJ230" s="838">
        <f>AJ228</f>
        <v>1</v>
      </c>
      <c r="AK230" s="843"/>
      <c r="AL230" s="324" t="s">
        <v>15630</v>
      </c>
      <c r="AM230" s="325"/>
      <c r="AN230" s="325"/>
      <c r="AO230" s="325"/>
      <c r="AP230" s="325"/>
      <c r="AQ230" s="190" t="s">
        <v>398</v>
      </c>
      <c r="AR230" s="844">
        <f>AR226</f>
        <v>0.85</v>
      </c>
      <c r="AS230" s="844"/>
      <c r="AT230" s="501"/>
      <c r="AU230" s="502"/>
      <c r="AV230" s="844">
        <f>AV222</f>
        <v>0.8</v>
      </c>
      <c r="AW230" s="844"/>
      <c r="AX230" s="844"/>
      <c r="AY230" s="845"/>
      <c r="AZ230" s="489">
        <f>ROUND(ROUND(ROUND(ROUND(Q224*AJ230,0)*AR230,0)*$AT$208,0)*AV230,0)</f>
        <v>93</v>
      </c>
      <c r="BA230" s="393"/>
    </row>
    <row r="231" spans="1:53" ht="16.5" customHeight="1" x14ac:dyDescent="0.15">
      <c r="A231" s="340">
        <v>12</v>
      </c>
      <c r="B231" s="341">
        <v>8389</v>
      </c>
      <c r="C231" s="390" t="s">
        <v>17394</v>
      </c>
      <c r="D231" s="403"/>
      <c r="E231" s="404"/>
      <c r="F231" s="404"/>
      <c r="G231" s="404"/>
      <c r="H231" s="406"/>
      <c r="I231" s="908" t="s">
        <v>16327</v>
      </c>
      <c r="J231" s="909"/>
      <c r="K231" s="909"/>
      <c r="L231" s="909"/>
      <c r="M231" s="909"/>
      <c r="N231" s="909"/>
      <c r="O231" s="909"/>
      <c r="P231" s="909"/>
      <c r="Q231" s="909"/>
      <c r="R231" s="909"/>
      <c r="S231" s="909"/>
      <c r="T231" s="909"/>
      <c r="U231" s="910"/>
      <c r="V231" s="343"/>
      <c r="W231" s="325"/>
      <c r="X231" s="325"/>
      <c r="Y231" s="325"/>
      <c r="Z231" s="325"/>
      <c r="AA231" s="325"/>
      <c r="AB231" s="325"/>
      <c r="AC231" s="325"/>
      <c r="AD231" s="325"/>
      <c r="AE231" s="325"/>
      <c r="AF231" s="325"/>
      <c r="AG231" s="325"/>
      <c r="AH231" s="325"/>
      <c r="AI231" s="391"/>
      <c r="AJ231" s="401"/>
      <c r="AK231" s="402"/>
      <c r="AL231" s="396"/>
      <c r="AM231" s="396"/>
      <c r="AN231" s="396"/>
      <c r="AO231" s="396"/>
      <c r="AP231" s="396"/>
      <c r="AQ231" s="396"/>
      <c r="AR231" s="396"/>
      <c r="AS231" s="396"/>
      <c r="AT231" s="490"/>
      <c r="AU231" s="387"/>
      <c r="AV231" s="400"/>
      <c r="AW231" s="400"/>
      <c r="AX231" s="396"/>
      <c r="AY231" s="397"/>
      <c r="AZ231" s="489">
        <f>ROUND(Q232*$AT$208,0)</f>
        <v>138</v>
      </c>
      <c r="BA231" s="393"/>
    </row>
    <row r="232" spans="1:53" ht="16.5" customHeight="1" x14ac:dyDescent="0.15">
      <c r="A232" s="340">
        <v>12</v>
      </c>
      <c r="B232" s="341">
        <v>8390</v>
      </c>
      <c r="C232" s="390" t="s">
        <v>17395</v>
      </c>
      <c r="D232" s="403"/>
      <c r="E232" s="404"/>
      <c r="F232" s="404"/>
      <c r="G232" s="404"/>
      <c r="H232" s="406"/>
      <c r="Q232" s="836">
        <f>'2重度訪問'!U120</f>
        <v>92</v>
      </c>
      <c r="R232" s="911"/>
      <c r="S232" s="911"/>
      <c r="T232" s="152" t="s">
        <v>15624</v>
      </c>
      <c r="U232" s="387"/>
      <c r="V232" s="343" t="s">
        <v>15625</v>
      </c>
      <c r="W232" s="325"/>
      <c r="X232" s="325"/>
      <c r="Y232" s="325"/>
      <c r="Z232" s="325"/>
      <c r="AA232" s="325"/>
      <c r="AB232" s="325"/>
      <c r="AC232" s="325"/>
      <c r="AD232" s="325"/>
      <c r="AE232" s="325"/>
      <c r="AF232" s="325"/>
      <c r="AG232" s="325"/>
      <c r="AH232" s="325"/>
      <c r="AI232" s="391" t="s">
        <v>15626</v>
      </c>
      <c r="AJ232" s="838">
        <f>AJ230</f>
        <v>1</v>
      </c>
      <c r="AK232" s="839"/>
      <c r="AL232" s="325"/>
      <c r="AM232" s="325"/>
      <c r="AN232" s="325"/>
      <c r="AO232" s="325"/>
      <c r="AP232" s="325"/>
      <c r="AQ232" s="325"/>
      <c r="AR232" s="325"/>
      <c r="AS232" s="325"/>
      <c r="AT232" s="490"/>
      <c r="AU232" s="387"/>
      <c r="AY232" s="387"/>
      <c r="AZ232" s="489">
        <f>ROUND(ROUND(Q232*AJ232,0)*$AT$208,0)</f>
        <v>138</v>
      </c>
      <c r="BA232" s="393"/>
    </row>
    <row r="233" spans="1:53" ht="16.5" customHeight="1" x14ac:dyDescent="0.15">
      <c r="A233" s="340">
        <v>12</v>
      </c>
      <c r="B233" s="341">
        <v>8391</v>
      </c>
      <c r="C233" s="390" t="s">
        <v>17396</v>
      </c>
      <c r="D233" s="403"/>
      <c r="E233" s="404"/>
      <c r="F233" s="404"/>
      <c r="G233" s="404"/>
      <c r="H233" s="406"/>
      <c r="Q233" s="395"/>
      <c r="R233" s="151"/>
      <c r="S233" s="151"/>
      <c r="U233" s="387"/>
      <c r="V233" s="343"/>
      <c r="W233" s="343"/>
      <c r="X233" s="343"/>
      <c r="Y233" s="343"/>
      <c r="Z233" s="343"/>
      <c r="AA233" s="343"/>
      <c r="AB233" s="343"/>
      <c r="AC233" s="343"/>
      <c r="AD233" s="343"/>
      <c r="AE233" s="343"/>
      <c r="AF233" s="343"/>
      <c r="AG233" s="343"/>
      <c r="AH233" s="343"/>
      <c r="AI233" s="343"/>
      <c r="AJ233" s="343"/>
      <c r="AK233" s="343"/>
      <c r="AL233" s="114" t="s">
        <v>15628</v>
      </c>
      <c r="AM233" s="396"/>
      <c r="AN233" s="396"/>
      <c r="AO233" s="396"/>
      <c r="AP233" s="396"/>
      <c r="AQ233" s="396"/>
      <c r="AR233" s="396"/>
      <c r="AS233" s="396"/>
      <c r="AT233" s="490"/>
      <c r="AU233" s="387"/>
      <c r="AY233" s="387"/>
      <c r="AZ233" s="489">
        <f>ROUND(ROUND(Q232*AR234,0)*$AT$208,0)</f>
        <v>117</v>
      </c>
      <c r="BA233" s="393"/>
    </row>
    <row r="234" spans="1:53" ht="16.5" customHeight="1" x14ac:dyDescent="0.15">
      <c r="A234" s="340">
        <v>12</v>
      </c>
      <c r="B234" s="341">
        <v>8392</v>
      </c>
      <c r="C234" s="390" t="s">
        <v>17397</v>
      </c>
      <c r="D234" s="403"/>
      <c r="E234" s="404"/>
      <c r="F234" s="404"/>
      <c r="G234" s="404"/>
      <c r="H234" s="406"/>
      <c r="Q234" s="395"/>
      <c r="R234" s="151"/>
      <c r="S234" s="151"/>
      <c r="U234" s="387"/>
      <c r="V234" s="343" t="s">
        <v>15625</v>
      </c>
      <c r="W234" s="325"/>
      <c r="X234" s="325"/>
      <c r="Y234" s="325"/>
      <c r="Z234" s="325"/>
      <c r="AA234" s="325"/>
      <c r="AB234" s="325"/>
      <c r="AC234" s="325"/>
      <c r="AD234" s="325"/>
      <c r="AE234" s="325"/>
      <c r="AF234" s="325"/>
      <c r="AG234" s="325"/>
      <c r="AH234" s="325"/>
      <c r="AI234" s="391" t="s">
        <v>15626</v>
      </c>
      <c r="AJ234" s="838">
        <f>AJ232</f>
        <v>1</v>
      </c>
      <c r="AK234" s="843"/>
      <c r="AL234" s="324" t="s">
        <v>15630</v>
      </c>
      <c r="AM234" s="325"/>
      <c r="AN234" s="325"/>
      <c r="AO234" s="325"/>
      <c r="AP234" s="325"/>
      <c r="AQ234" s="190" t="s">
        <v>398</v>
      </c>
      <c r="AR234" s="844">
        <f>AR230</f>
        <v>0.85</v>
      </c>
      <c r="AS234" s="844"/>
      <c r="AT234" s="501"/>
      <c r="AU234" s="502"/>
      <c r="AY234" s="387"/>
      <c r="AZ234" s="489">
        <f>ROUND(ROUND(ROUND(Q232*AJ234,0)*AR234,0)*$AT$208,0)</f>
        <v>117</v>
      </c>
      <c r="BA234" s="393"/>
    </row>
    <row r="235" spans="1:53" ht="16.5" customHeight="1" x14ac:dyDescent="0.15">
      <c r="A235" s="340">
        <v>12</v>
      </c>
      <c r="B235" s="341">
        <v>8393</v>
      </c>
      <c r="C235" s="390" t="s">
        <v>17398</v>
      </c>
      <c r="D235" s="403"/>
      <c r="E235" s="404"/>
      <c r="F235" s="404"/>
      <c r="G235" s="404"/>
      <c r="H235" s="406"/>
      <c r="I235" s="10"/>
      <c r="Q235" s="395"/>
      <c r="R235" s="151"/>
      <c r="S235" s="151"/>
      <c r="U235" s="387"/>
      <c r="V235" s="343"/>
      <c r="W235" s="325"/>
      <c r="X235" s="325"/>
      <c r="Y235" s="325"/>
      <c r="Z235" s="325"/>
      <c r="AA235" s="325"/>
      <c r="AB235" s="325"/>
      <c r="AC235" s="325"/>
      <c r="AD235" s="325"/>
      <c r="AE235" s="325"/>
      <c r="AF235" s="325"/>
      <c r="AG235" s="325"/>
      <c r="AH235" s="325"/>
      <c r="AI235" s="391"/>
      <c r="AJ235" s="401"/>
      <c r="AK235" s="402"/>
      <c r="AL235" s="396"/>
      <c r="AM235" s="396"/>
      <c r="AN235" s="396"/>
      <c r="AO235" s="396"/>
      <c r="AP235" s="396"/>
      <c r="AQ235" s="396"/>
      <c r="AR235" s="396"/>
      <c r="AS235" s="396"/>
      <c r="AT235" s="490"/>
      <c r="AU235" s="387"/>
      <c r="AV235" s="858" t="s">
        <v>16296</v>
      </c>
      <c r="AW235" s="858"/>
      <c r="AX235" s="858"/>
      <c r="AY235" s="860"/>
      <c r="AZ235" s="489">
        <f>ROUND(ROUND(Q232*$AT$208,0)*AV238,0)</f>
        <v>110</v>
      </c>
      <c r="BA235" s="393"/>
    </row>
    <row r="236" spans="1:53" ht="16.5" customHeight="1" x14ac:dyDescent="0.15">
      <c r="A236" s="340">
        <v>12</v>
      </c>
      <c r="B236" s="341">
        <v>8394</v>
      </c>
      <c r="C236" s="390" t="s">
        <v>17399</v>
      </c>
      <c r="D236" s="403"/>
      <c r="E236" s="404"/>
      <c r="F236" s="404"/>
      <c r="G236" s="404"/>
      <c r="H236" s="406"/>
      <c r="Q236" s="899"/>
      <c r="R236" s="899"/>
      <c r="S236" s="899"/>
      <c r="U236" s="387"/>
      <c r="V236" s="343" t="s">
        <v>15625</v>
      </c>
      <c r="W236" s="325"/>
      <c r="X236" s="325"/>
      <c r="Y236" s="325"/>
      <c r="Z236" s="325"/>
      <c r="AA236" s="325"/>
      <c r="AB236" s="325"/>
      <c r="AC236" s="325"/>
      <c r="AD236" s="325"/>
      <c r="AE236" s="325"/>
      <c r="AF236" s="325"/>
      <c r="AG236" s="325"/>
      <c r="AH236" s="325"/>
      <c r="AI236" s="391" t="s">
        <v>15626</v>
      </c>
      <c r="AJ236" s="838">
        <f>AJ234</f>
        <v>1</v>
      </c>
      <c r="AK236" s="839"/>
      <c r="AL236" s="325"/>
      <c r="AM236" s="325"/>
      <c r="AN236" s="325"/>
      <c r="AO236" s="325"/>
      <c r="AP236" s="325"/>
      <c r="AQ236" s="325"/>
      <c r="AR236" s="325"/>
      <c r="AS236" s="325"/>
      <c r="AT236" s="490"/>
      <c r="AU236" s="387"/>
      <c r="AV236" s="850"/>
      <c r="AW236" s="850"/>
      <c r="AX236" s="850"/>
      <c r="AY236" s="852"/>
      <c r="AZ236" s="489">
        <f>ROUND(ROUND(ROUND(Q232*AJ236,0)*$AT$208,0)*AV238,0)</f>
        <v>110</v>
      </c>
      <c r="BA236" s="393"/>
    </row>
    <row r="237" spans="1:53" ht="16.5" customHeight="1" x14ac:dyDescent="0.15">
      <c r="A237" s="340">
        <v>12</v>
      </c>
      <c r="B237" s="341">
        <v>8395</v>
      </c>
      <c r="C237" s="390" t="s">
        <v>17400</v>
      </c>
      <c r="D237" s="403"/>
      <c r="E237" s="404"/>
      <c r="F237" s="404"/>
      <c r="G237" s="404"/>
      <c r="H237" s="406"/>
      <c r="Q237" s="395"/>
      <c r="R237" s="151"/>
      <c r="S237" s="151"/>
      <c r="U237" s="387"/>
      <c r="V237" s="343"/>
      <c r="W237" s="343"/>
      <c r="X237" s="343"/>
      <c r="Y237" s="343"/>
      <c r="Z237" s="343"/>
      <c r="AA237" s="343"/>
      <c r="AB237" s="343"/>
      <c r="AC237" s="343"/>
      <c r="AD237" s="343"/>
      <c r="AE237" s="343"/>
      <c r="AF237" s="343"/>
      <c r="AG237" s="343"/>
      <c r="AH237" s="343"/>
      <c r="AI237" s="343"/>
      <c r="AJ237" s="343"/>
      <c r="AK237" s="343"/>
      <c r="AL237" s="114" t="s">
        <v>15628</v>
      </c>
      <c r="AM237" s="396"/>
      <c r="AN237" s="396"/>
      <c r="AO237" s="396"/>
      <c r="AP237" s="396"/>
      <c r="AQ237" s="396"/>
      <c r="AR237" s="396"/>
      <c r="AS237" s="396"/>
      <c r="AT237" s="490"/>
      <c r="AU237" s="387"/>
      <c r="AV237" s="902" t="s">
        <v>15636</v>
      </c>
      <c r="AW237" s="902"/>
      <c r="AX237" s="902"/>
      <c r="AY237" s="903"/>
      <c r="AZ237" s="489">
        <f>ROUND(ROUND(ROUND(Q232*AR238,0)*$AT$208,0)*AV238,0)</f>
        <v>94</v>
      </c>
      <c r="BA237" s="393"/>
    </row>
    <row r="238" spans="1:53" ht="16.5" customHeight="1" x14ac:dyDescent="0.15">
      <c r="A238" s="340">
        <v>12</v>
      </c>
      <c r="B238" s="341">
        <v>8396</v>
      </c>
      <c r="C238" s="390" t="s">
        <v>17401</v>
      </c>
      <c r="D238" s="403"/>
      <c r="E238" s="404"/>
      <c r="F238" s="404"/>
      <c r="G238" s="404"/>
      <c r="H238" s="406"/>
      <c r="Q238" s="395"/>
      <c r="R238" s="151"/>
      <c r="S238" s="151"/>
      <c r="U238" s="387"/>
      <c r="V238" s="343" t="s">
        <v>15625</v>
      </c>
      <c r="W238" s="325"/>
      <c r="X238" s="325"/>
      <c r="Y238" s="325"/>
      <c r="Z238" s="325"/>
      <c r="AA238" s="325"/>
      <c r="AB238" s="325"/>
      <c r="AC238" s="325"/>
      <c r="AD238" s="325"/>
      <c r="AE238" s="325"/>
      <c r="AF238" s="325"/>
      <c r="AG238" s="325"/>
      <c r="AH238" s="325"/>
      <c r="AI238" s="391" t="s">
        <v>15626</v>
      </c>
      <c r="AJ238" s="838">
        <f>AJ236</f>
        <v>1</v>
      </c>
      <c r="AK238" s="843"/>
      <c r="AL238" s="324" t="s">
        <v>15630</v>
      </c>
      <c r="AM238" s="325"/>
      <c r="AN238" s="325"/>
      <c r="AO238" s="325"/>
      <c r="AP238" s="325"/>
      <c r="AQ238" s="190" t="s">
        <v>398</v>
      </c>
      <c r="AR238" s="844">
        <f>AR234</f>
        <v>0.85</v>
      </c>
      <c r="AS238" s="844"/>
      <c r="AT238" s="501"/>
      <c r="AU238" s="502"/>
      <c r="AV238" s="844">
        <f>AV230</f>
        <v>0.8</v>
      </c>
      <c r="AW238" s="844"/>
      <c r="AX238" s="844"/>
      <c r="AY238" s="845"/>
      <c r="AZ238" s="489">
        <f>ROUND(ROUND(ROUND(ROUND(Q232*AJ238,0)*AR238,0)*$AT$208,0)*AV238,0)</f>
        <v>94</v>
      </c>
      <c r="BA238" s="393"/>
    </row>
    <row r="239" spans="1:53" ht="16.5" customHeight="1" x14ac:dyDescent="0.15">
      <c r="A239" s="340">
        <v>12</v>
      </c>
      <c r="B239" s="341">
        <v>8397</v>
      </c>
      <c r="C239" s="390" t="s">
        <v>17402</v>
      </c>
      <c r="D239" s="403"/>
      <c r="E239" s="404"/>
      <c r="F239" s="404"/>
      <c r="G239" s="404"/>
      <c r="H239" s="406"/>
      <c r="I239" s="908" t="s">
        <v>16336</v>
      </c>
      <c r="J239" s="909"/>
      <c r="K239" s="909"/>
      <c r="L239" s="909"/>
      <c r="M239" s="909"/>
      <c r="N239" s="909"/>
      <c r="O239" s="909"/>
      <c r="P239" s="909"/>
      <c r="Q239" s="909"/>
      <c r="R239" s="909"/>
      <c r="S239" s="909"/>
      <c r="T239" s="909"/>
      <c r="U239" s="910"/>
      <c r="V239" s="343"/>
      <c r="W239" s="325"/>
      <c r="X239" s="325"/>
      <c r="Y239" s="325"/>
      <c r="Z239" s="325"/>
      <c r="AA239" s="325"/>
      <c r="AB239" s="325"/>
      <c r="AC239" s="325"/>
      <c r="AD239" s="325"/>
      <c r="AE239" s="325"/>
      <c r="AF239" s="325"/>
      <c r="AG239" s="325"/>
      <c r="AH239" s="325"/>
      <c r="AI239" s="391"/>
      <c r="AJ239" s="401"/>
      <c r="AK239" s="402"/>
      <c r="AL239" s="396"/>
      <c r="AM239" s="396"/>
      <c r="AN239" s="396"/>
      <c r="AO239" s="396"/>
      <c r="AP239" s="396"/>
      <c r="AQ239" s="396"/>
      <c r="AR239" s="396"/>
      <c r="AS239" s="396"/>
      <c r="AT239" s="490"/>
      <c r="AU239" s="387"/>
      <c r="AV239" s="400"/>
      <c r="AW239" s="400"/>
      <c r="AX239" s="396"/>
      <c r="AY239" s="397"/>
      <c r="AZ239" s="489">
        <f>ROUND(Q240*$AT$208,0)</f>
        <v>135</v>
      </c>
      <c r="BA239" s="393"/>
    </row>
    <row r="240" spans="1:53" ht="16.5" customHeight="1" x14ac:dyDescent="0.15">
      <c r="A240" s="340">
        <v>12</v>
      </c>
      <c r="B240" s="341">
        <v>8398</v>
      </c>
      <c r="C240" s="390" t="s">
        <v>17403</v>
      </c>
      <c r="D240" s="403"/>
      <c r="E240" s="404"/>
      <c r="F240" s="404"/>
      <c r="G240" s="404"/>
      <c r="H240" s="406"/>
      <c r="Q240" s="836">
        <f>'2重度訪問'!U124</f>
        <v>90</v>
      </c>
      <c r="R240" s="911"/>
      <c r="S240" s="911"/>
      <c r="T240" s="152" t="s">
        <v>15624</v>
      </c>
      <c r="U240" s="387"/>
      <c r="V240" s="343" t="s">
        <v>15625</v>
      </c>
      <c r="W240" s="325"/>
      <c r="X240" s="325"/>
      <c r="Y240" s="325"/>
      <c r="Z240" s="325"/>
      <c r="AA240" s="325"/>
      <c r="AB240" s="325"/>
      <c r="AC240" s="325"/>
      <c r="AD240" s="325"/>
      <c r="AE240" s="325"/>
      <c r="AF240" s="325"/>
      <c r="AG240" s="325"/>
      <c r="AH240" s="325"/>
      <c r="AI240" s="391" t="s">
        <v>15626</v>
      </c>
      <c r="AJ240" s="838">
        <f>AJ238</f>
        <v>1</v>
      </c>
      <c r="AK240" s="839"/>
      <c r="AL240" s="325"/>
      <c r="AM240" s="325"/>
      <c r="AN240" s="325"/>
      <c r="AO240" s="325"/>
      <c r="AP240" s="325"/>
      <c r="AQ240" s="325"/>
      <c r="AR240" s="325"/>
      <c r="AS240" s="325"/>
      <c r="AT240" s="490"/>
      <c r="AU240" s="387"/>
      <c r="AY240" s="387"/>
      <c r="AZ240" s="489">
        <f>ROUND(ROUND(Q240*AJ240,0)*$AT$208,0)</f>
        <v>135</v>
      </c>
      <c r="BA240" s="393"/>
    </row>
    <row r="241" spans="1:53" ht="16.5" customHeight="1" x14ac:dyDescent="0.15">
      <c r="A241" s="340">
        <v>12</v>
      </c>
      <c r="B241" s="341">
        <v>8399</v>
      </c>
      <c r="C241" s="390" t="s">
        <v>17404</v>
      </c>
      <c r="D241" s="403"/>
      <c r="E241" s="404"/>
      <c r="F241" s="404"/>
      <c r="G241" s="404"/>
      <c r="H241" s="406"/>
      <c r="Q241" s="395"/>
      <c r="R241" s="151"/>
      <c r="S241" s="151"/>
      <c r="U241" s="387"/>
      <c r="V241" s="343"/>
      <c r="W241" s="343"/>
      <c r="X241" s="343"/>
      <c r="Y241" s="343"/>
      <c r="Z241" s="343"/>
      <c r="AA241" s="343"/>
      <c r="AB241" s="343"/>
      <c r="AC241" s="343"/>
      <c r="AD241" s="343"/>
      <c r="AE241" s="343"/>
      <c r="AF241" s="343"/>
      <c r="AG241" s="343"/>
      <c r="AH241" s="343"/>
      <c r="AI241" s="343"/>
      <c r="AJ241" s="343"/>
      <c r="AK241" s="343"/>
      <c r="AL241" s="114" t="s">
        <v>15628</v>
      </c>
      <c r="AM241" s="396"/>
      <c r="AN241" s="396"/>
      <c r="AO241" s="396"/>
      <c r="AP241" s="396"/>
      <c r="AQ241" s="396"/>
      <c r="AR241" s="396"/>
      <c r="AS241" s="396"/>
      <c r="AT241" s="490"/>
      <c r="AU241" s="387"/>
      <c r="AY241" s="387"/>
      <c r="AZ241" s="489">
        <f>ROUND(ROUND(Q240*AR242,0)*$AT$208,0)</f>
        <v>116</v>
      </c>
      <c r="BA241" s="393"/>
    </row>
    <row r="242" spans="1:53" ht="16.5" customHeight="1" x14ac:dyDescent="0.15">
      <c r="A242" s="340">
        <v>12</v>
      </c>
      <c r="B242" s="341">
        <v>8400</v>
      </c>
      <c r="C242" s="390" t="s">
        <v>17405</v>
      </c>
      <c r="D242" s="403"/>
      <c r="E242" s="404"/>
      <c r="F242" s="404"/>
      <c r="G242" s="404"/>
      <c r="H242" s="406"/>
      <c r="Q242" s="395"/>
      <c r="R242" s="151"/>
      <c r="S242" s="151"/>
      <c r="U242" s="387"/>
      <c r="V242" s="343" t="s">
        <v>15625</v>
      </c>
      <c r="W242" s="325"/>
      <c r="X242" s="325"/>
      <c r="Y242" s="325"/>
      <c r="Z242" s="325"/>
      <c r="AA242" s="325"/>
      <c r="AB242" s="325"/>
      <c r="AC242" s="325"/>
      <c r="AD242" s="325"/>
      <c r="AE242" s="325"/>
      <c r="AF242" s="325"/>
      <c r="AG242" s="325"/>
      <c r="AH242" s="325"/>
      <c r="AI242" s="391" t="s">
        <v>15626</v>
      </c>
      <c r="AJ242" s="838">
        <f>AJ240</f>
        <v>1</v>
      </c>
      <c r="AK242" s="843"/>
      <c r="AL242" s="324" t="s">
        <v>15630</v>
      </c>
      <c r="AM242" s="325"/>
      <c r="AN242" s="325"/>
      <c r="AO242" s="325"/>
      <c r="AP242" s="325"/>
      <c r="AQ242" s="190" t="s">
        <v>398</v>
      </c>
      <c r="AR242" s="844">
        <f>AR238</f>
        <v>0.85</v>
      </c>
      <c r="AS242" s="844"/>
      <c r="AT242" s="501"/>
      <c r="AU242" s="502"/>
      <c r="AY242" s="387"/>
      <c r="AZ242" s="489">
        <f>ROUND(ROUND(ROUND(Q240*AJ242,0)*AR242,0)*$AT$208,0)</f>
        <v>116</v>
      </c>
      <c r="BA242" s="393"/>
    </row>
    <row r="243" spans="1:53" ht="16.5" customHeight="1" x14ac:dyDescent="0.15">
      <c r="A243" s="340">
        <v>12</v>
      </c>
      <c r="B243" s="341">
        <v>8401</v>
      </c>
      <c r="C243" s="390" t="s">
        <v>17406</v>
      </c>
      <c r="D243" s="403"/>
      <c r="E243" s="404"/>
      <c r="F243" s="404"/>
      <c r="G243" s="404"/>
      <c r="H243" s="406"/>
      <c r="I243" s="10"/>
      <c r="Q243" s="395"/>
      <c r="R243" s="151"/>
      <c r="S243" s="151"/>
      <c r="U243" s="387"/>
      <c r="V243" s="343"/>
      <c r="W243" s="325"/>
      <c r="X243" s="325"/>
      <c r="Y243" s="325"/>
      <c r="Z243" s="325"/>
      <c r="AA243" s="325"/>
      <c r="AB243" s="325"/>
      <c r="AC243" s="325"/>
      <c r="AD243" s="325"/>
      <c r="AE243" s="325"/>
      <c r="AF243" s="325"/>
      <c r="AG243" s="325"/>
      <c r="AH243" s="325"/>
      <c r="AI243" s="391"/>
      <c r="AJ243" s="401"/>
      <c r="AK243" s="402"/>
      <c r="AL243" s="396"/>
      <c r="AM243" s="396"/>
      <c r="AN243" s="396"/>
      <c r="AO243" s="396"/>
      <c r="AP243" s="396"/>
      <c r="AQ243" s="396"/>
      <c r="AR243" s="396"/>
      <c r="AS243" s="396"/>
      <c r="AT243" s="490"/>
      <c r="AU243" s="387"/>
      <c r="AV243" s="858" t="s">
        <v>16296</v>
      </c>
      <c r="AW243" s="858"/>
      <c r="AX243" s="858"/>
      <c r="AY243" s="860"/>
      <c r="AZ243" s="489">
        <f>ROUND(ROUND(Q240*$AT$208,0)*AV246,0)</f>
        <v>108</v>
      </c>
      <c r="BA243" s="393"/>
    </row>
    <row r="244" spans="1:53" ht="16.5" customHeight="1" x14ac:dyDescent="0.15">
      <c r="A244" s="340">
        <v>12</v>
      </c>
      <c r="B244" s="341">
        <v>8402</v>
      </c>
      <c r="C244" s="390" t="s">
        <v>17407</v>
      </c>
      <c r="D244" s="403"/>
      <c r="E244" s="404"/>
      <c r="F244" s="404"/>
      <c r="G244" s="404"/>
      <c r="H244" s="406"/>
      <c r="Q244" s="899"/>
      <c r="R244" s="899"/>
      <c r="S244" s="899"/>
      <c r="U244" s="387"/>
      <c r="V244" s="343" t="s">
        <v>15625</v>
      </c>
      <c r="W244" s="325"/>
      <c r="X244" s="325"/>
      <c r="Y244" s="325"/>
      <c r="Z244" s="325"/>
      <c r="AA244" s="325"/>
      <c r="AB244" s="325"/>
      <c r="AC244" s="325"/>
      <c r="AD244" s="325"/>
      <c r="AE244" s="325"/>
      <c r="AF244" s="325"/>
      <c r="AG244" s="325"/>
      <c r="AH244" s="325"/>
      <c r="AI244" s="391" t="s">
        <v>15626</v>
      </c>
      <c r="AJ244" s="838">
        <f>AJ242</f>
        <v>1</v>
      </c>
      <c r="AK244" s="839"/>
      <c r="AL244" s="325"/>
      <c r="AM244" s="325"/>
      <c r="AN244" s="325"/>
      <c r="AO244" s="325"/>
      <c r="AP244" s="325"/>
      <c r="AQ244" s="325"/>
      <c r="AR244" s="325"/>
      <c r="AS244" s="325"/>
      <c r="AT244" s="490"/>
      <c r="AU244" s="387"/>
      <c r="AV244" s="850"/>
      <c r="AW244" s="850"/>
      <c r="AX244" s="850"/>
      <c r="AY244" s="852"/>
      <c r="AZ244" s="489">
        <f>ROUND(ROUND(ROUND(Q240*AJ244,0)*$AT$208,0)*AV246,0)</f>
        <v>108</v>
      </c>
      <c r="BA244" s="393"/>
    </row>
    <row r="245" spans="1:53" ht="16.5" customHeight="1" x14ac:dyDescent="0.15">
      <c r="A245" s="340">
        <v>12</v>
      </c>
      <c r="B245" s="341">
        <v>8403</v>
      </c>
      <c r="C245" s="390" t="s">
        <v>17408</v>
      </c>
      <c r="D245" s="403"/>
      <c r="E245" s="404"/>
      <c r="F245" s="404"/>
      <c r="G245" s="404"/>
      <c r="H245" s="406"/>
      <c r="Q245" s="395"/>
      <c r="R245" s="151"/>
      <c r="S245" s="151"/>
      <c r="U245" s="387"/>
      <c r="V245" s="343"/>
      <c r="W245" s="343"/>
      <c r="X245" s="343"/>
      <c r="Y245" s="343"/>
      <c r="Z245" s="343"/>
      <c r="AA245" s="343"/>
      <c r="AB245" s="343"/>
      <c r="AC245" s="343"/>
      <c r="AD245" s="343"/>
      <c r="AE245" s="343"/>
      <c r="AF245" s="343"/>
      <c r="AG245" s="343"/>
      <c r="AH245" s="343"/>
      <c r="AI245" s="343"/>
      <c r="AJ245" s="343"/>
      <c r="AK245" s="343"/>
      <c r="AL245" s="114" t="s">
        <v>15628</v>
      </c>
      <c r="AM245" s="396"/>
      <c r="AN245" s="396"/>
      <c r="AO245" s="396"/>
      <c r="AP245" s="396"/>
      <c r="AQ245" s="396"/>
      <c r="AR245" s="396"/>
      <c r="AS245" s="396"/>
      <c r="AT245" s="490"/>
      <c r="AU245" s="387"/>
      <c r="AV245" s="902" t="s">
        <v>15636</v>
      </c>
      <c r="AW245" s="902"/>
      <c r="AX245" s="902"/>
      <c r="AY245" s="903"/>
      <c r="AZ245" s="489">
        <f>ROUND(ROUND(ROUND(Q240*AR246,0)*$AT$208,0)*AV246,0)</f>
        <v>93</v>
      </c>
      <c r="BA245" s="393"/>
    </row>
    <row r="246" spans="1:53" ht="16.5" customHeight="1" x14ac:dyDescent="0.15">
      <c r="A246" s="340">
        <v>12</v>
      </c>
      <c r="B246" s="341">
        <v>8404</v>
      </c>
      <c r="C246" s="390" t="s">
        <v>17409</v>
      </c>
      <c r="D246" s="403"/>
      <c r="E246" s="404"/>
      <c r="F246" s="404"/>
      <c r="G246" s="404"/>
      <c r="H246" s="406"/>
      <c r="Q246" s="395"/>
      <c r="R246" s="151"/>
      <c r="S246" s="151"/>
      <c r="U246" s="387"/>
      <c r="V246" s="343" t="s">
        <v>15625</v>
      </c>
      <c r="W246" s="325"/>
      <c r="X246" s="325"/>
      <c r="Y246" s="325"/>
      <c r="Z246" s="325"/>
      <c r="AA246" s="325"/>
      <c r="AB246" s="325"/>
      <c r="AC246" s="325"/>
      <c r="AD246" s="325"/>
      <c r="AE246" s="325"/>
      <c r="AF246" s="325"/>
      <c r="AG246" s="325"/>
      <c r="AH246" s="325"/>
      <c r="AI246" s="391" t="s">
        <v>15626</v>
      </c>
      <c r="AJ246" s="838">
        <f>AJ244</f>
        <v>1</v>
      </c>
      <c r="AK246" s="843"/>
      <c r="AL246" s="324" t="s">
        <v>15630</v>
      </c>
      <c r="AM246" s="325"/>
      <c r="AN246" s="325"/>
      <c r="AO246" s="325"/>
      <c r="AP246" s="325"/>
      <c r="AQ246" s="190" t="s">
        <v>398</v>
      </c>
      <c r="AR246" s="844">
        <f>AR242</f>
        <v>0.85</v>
      </c>
      <c r="AS246" s="844"/>
      <c r="AT246" s="501"/>
      <c r="AU246" s="502"/>
      <c r="AV246" s="844">
        <f>AV238</f>
        <v>0.8</v>
      </c>
      <c r="AW246" s="844"/>
      <c r="AX246" s="844"/>
      <c r="AY246" s="845"/>
      <c r="AZ246" s="489">
        <f>ROUND(ROUND(ROUND(ROUND(Q240*AJ246,0)*AR246,0)*$AT$208,0)*AV246,0)</f>
        <v>93</v>
      </c>
      <c r="BA246" s="393"/>
    </row>
    <row r="247" spans="1:53" ht="16.5" customHeight="1" x14ac:dyDescent="0.15">
      <c r="A247" s="340">
        <v>12</v>
      </c>
      <c r="B247" s="341">
        <v>8405</v>
      </c>
      <c r="C247" s="390" t="s">
        <v>17410</v>
      </c>
      <c r="D247" s="403"/>
      <c r="E247" s="404"/>
      <c r="F247" s="404"/>
      <c r="G247" s="404"/>
      <c r="H247" s="406"/>
      <c r="I247" s="908" t="s">
        <v>16345</v>
      </c>
      <c r="J247" s="909"/>
      <c r="K247" s="909"/>
      <c r="L247" s="909"/>
      <c r="M247" s="909"/>
      <c r="N247" s="909"/>
      <c r="O247" s="909"/>
      <c r="P247" s="909"/>
      <c r="Q247" s="909"/>
      <c r="R247" s="909"/>
      <c r="S247" s="909"/>
      <c r="T247" s="909"/>
      <c r="U247" s="910"/>
      <c r="V247" s="343"/>
      <c r="W247" s="325"/>
      <c r="X247" s="325"/>
      <c r="Y247" s="325"/>
      <c r="Z247" s="325"/>
      <c r="AA247" s="325"/>
      <c r="AB247" s="325"/>
      <c r="AC247" s="325"/>
      <c r="AD247" s="325"/>
      <c r="AE247" s="325"/>
      <c r="AF247" s="325"/>
      <c r="AG247" s="325"/>
      <c r="AH247" s="325"/>
      <c r="AI247" s="391"/>
      <c r="AJ247" s="401"/>
      <c r="AK247" s="402"/>
      <c r="AL247" s="396"/>
      <c r="AM247" s="396"/>
      <c r="AN247" s="396"/>
      <c r="AO247" s="396"/>
      <c r="AP247" s="396"/>
      <c r="AQ247" s="396"/>
      <c r="AR247" s="396"/>
      <c r="AS247" s="396"/>
      <c r="AT247" s="490"/>
      <c r="AU247" s="387"/>
      <c r="AV247" s="400"/>
      <c r="AW247" s="400"/>
      <c r="AX247" s="396"/>
      <c r="AY247" s="397"/>
      <c r="AZ247" s="489">
        <f>ROUND(Q248*$AT$208,0)</f>
        <v>138</v>
      </c>
      <c r="BA247" s="393"/>
    </row>
    <row r="248" spans="1:53" ht="16.5" customHeight="1" x14ac:dyDescent="0.15">
      <c r="A248" s="340">
        <v>12</v>
      </c>
      <c r="B248" s="341">
        <v>8406</v>
      </c>
      <c r="C248" s="390" t="s">
        <v>17411</v>
      </c>
      <c r="D248" s="403"/>
      <c r="E248" s="404"/>
      <c r="F248" s="404"/>
      <c r="G248" s="404"/>
      <c r="H248" s="406"/>
      <c r="Q248" s="836">
        <f>'2重度訪問'!U128</f>
        <v>92</v>
      </c>
      <c r="R248" s="911"/>
      <c r="S248" s="911"/>
      <c r="T248" s="152" t="s">
        <v>15624</v>
      </c>
      <c r="U248" s="387"/>
      <c r="V248" s="343" t="s">
        <v>15625</v>
      </c>
      <c r="W248" s="325"/>
      <c r="X248" s="325"/>
      <c r="Y248" s="325"/>
      <c r="Z248" s="325"/>
      <c r="AA248" s="325"/>
      <c r="AB248" s="325"/>
      <c r="AC248" s="325"/>
      <c r="AD248" s="325"/>
      <c r="AE248" s="325"/>
      <c r="AF248" s="325"/>
      <c r="AG248" s="325"/>
      <c r="AH248" s="325"/>
      <c r="AI248" s="391" t="s">
        <v>15626</v>
      </c>
      <c r="AJ248" s="838">
        <f>AJ246</f>
        <v>1</v>
      </c>
      <c r="AK248" s="839"/>
      <c r="AL248" s="325"/>
      <c r="AM248" s="325"/>
      <c r="AN248" s="325"/>
      <c r="AO248" s="325"/>
      <c r="AP248" s="325"/>
      <c r="AQ248" s="325"/>
      <c r="AR248" s="325"/>
      <c r="AS248" s="325"/>
      <c r="AT248" s="490"/>
      <c r="AU248" s="387"/>
      <c r="AY248" s="387"/>
      <c r="AZ248" s="489">
        <f>ROUND(ROUND(Q248*AJ248,0)*$AT$208,0)</f>
        <v>138</v>
      </c>
      <c r="BA248" s="393"/>
    </row>
    <row r="249" spans="1:53" ht="16.5" customHeight="1" x14ac:dyDescent="0.15">
      <c r="A249" s="340">
        <v>12</v>
      </c>
      <c r="B249" s="341">
        <v>8407</v>
      </c>
      <c r="C249" s="390" t="s">
        <v>17412</v>
      </c>
      <c r="D249" s="403"/>
      <c r="E249" s="404"/>
      <c r="F249" s="404"/>
      <c r="G249" s="404"/>
      <c r="H249" s="406"/>
      <c r="Q249" s="395"/>
      <c r="R249" s="151"/>
      <c r="S249" s="151"/>
      <c r="U249" s="387"/>
      <c r="V249" s="343"/>
      <c r="W249" s="343"/>
      <c r="X249" s="343"/>
      <c r="Y249" s="343"/>
      <c r="Z249" s="343"/>
      <c r="AA249" s="343"/>
      <c r="AB249" s="343"/>
      <c r="AC249" s="343"/>
      <c r="AD249" s="343"/>
      <c r="AE249" s="343"/>
      <c r="AF249" s="343"/>
      <c r="AG249" s="343"/>
      <c r="AH249" s="343"/>
      <c r="AI249" s="343"/>
      <c r="AJ249" s="343"/>
      <c r="AK249" s="343"/>
      <c r="AL249" s="114" t="s">
        <v>15628</v>
      </c>
      <c r="AM249" s="396"/>
      <c r="AN249" s="396"/>
      <c r="AO249" s="396"/>
      <c r="AP249" s="396"/>
      <c r="AQ249" s="396"/>
      <c r="AR249" s="396"/>
      <c r="AS249" s="396"/>
      <c r="AT249" s="490"/>
      <c r="AU249" s="387"/>
      <c r="AY249" s="387"/>
      <c r="AZ249" s="489">
        <f>ROUND(ROUND(Q248*AR250,0)*$AT$208,0)</f>
        <v>117</v>
      </c>
      <c r="BA249" s="393"/>
    </row>
    <row r="250" spans="1:53" ht="16.5" customHeight="1" x14ac:dyDescent="0.15">
      <c r="A250" s="340">
        <v>12</v>
      </c>
      <c r="B250" s="341">
        <v>8408</v>
      </c>
      <c r="C250" s="390" t="s">
        <v>17413</v>
      </c>
      <c r="D250" s="403"/>
      <c r="E250" s="404"/>
      <c r="F250" s="404"/>
      <c r="G250" s="404"/>
      <c r="H250" s="406"/>
      <c r="Q250" s="395"/>
      <c r="R250" s="151"/>
      <c r="S250" s="151"/>
      <c r="U250" s="387"/>
      <c r="V250" s="343" t="s">
        <v>15625</v>
      </c>
      <c r="W250" s="325"/>
      <c r="X250" s="325"/>
      <c r="Y250" s="325"/>
      <c r="Z250" s="325"/>
      <c r="AA250" s="325"/>
      <c r="AB250" s="325"/>
      <c r="AC250" s="325"/>
      <c r="AD250" s="325"/>
      <c r="AE250" s="325"/>
      <c r="AF250" s="325"/>
      <c r="AG250" s="325"/>
      <c r="AH250" s="325"/>
      <c r="AI250" s="391" t="s">
        <v>15626</v>
      </c>
      <c r="AJ250" s="838">
        <f>AJ248</f>
        <v>1</v>
      </c>
      <c r="AK250" s="843"/>
      <c r="AL250" s="324" t="s">
        <v>15630</v>
      </c>
      <c r="AM250" s="325"/>
      <c r="AN250" s="325"/>
      <c r="AO250" s="325"/>
      <c r="AP250" s="325"/>
      <c r="AQ250" s="190" t="s">
        <v>398</v>
      </c>
      <c r="AR250" s="844">
        <f>AR246</f>
        <v>0.85</v>
      </c>
      <c r="AS250" s="844"/>
      <c r="AT250" s="501"/>
      <c r="AU250" s="502"/>
      <c r="AY250" s="387"/>
      <c r="AZ250" s="489">
        <f>ROUND(ROUND(ROUND(Q248*AJ250,0)*AR250,0)*$AT$208,0)</f>
        <v>117</v>
      </c>
      <c r="BA250" s="393"/>
    </row>
    <row r="251" spans="1:53" ht="16.5" customHeight="1" x14ac:dyDescent="0.15">
      <c r="A251" s="340">
        <v>12</v>
      </c>
      <c r="B251" s="341">
        <v>8409</v>
      </c>
      <c r="C251" s="390" t="s">
        <v>17414</v>
      </c>
      <c r="D251" s="403"/>
      <c r="E251" s="404"/>
      <c r="F251" s="404"/>
      <c r="G251" s="404"/>
      <c r="H251" s="406"/>
      <c r="I251" s="10"/>
      <c r="Q251" s="395"/>
      <c r="R251" s="151"/>
      <c r="S251" s="151"/>
      <c r="U251" s="387"/>
      <c r="V251" s="343"/>
      <c r="W251" s="325"/>
      <c r="X251" s="325"/>
      <c r="Y251" s="325"/>
      <c r="Z251" s="325"/>
      <c r="AA251" s="325"/>
      <c r="AB251" s="325"/>
      <c r="AC251" s="325"/>
      <c r="AD251" s="325"/>
      <c r="AE251" s="325"/>
      <c r="AF251" s="325"/>
      <c r="AG251" s="325"/>
      <c r="AH251" s="325"/>
      <c r="AI251" s="391"/>
      <c r="AJ251" s="401"/>
      <c r="AK251" s="402"/>
      <c r="AL251" s="396"/>
      <c r="AM251" s="396"/>
      <c r="AN251" s="396"/>
      <c r="AO251" s="396"/>
      <c r="AP251" s="396"/>
      <c r="AQ251" s="396"/>
      <c r="AR251" s="396"/>
      <c r="AS251" s="396"/>
      <c r="AT251" s="490"/>
      <c r="AU251" s="387"/>
      <c r="AV251" s="858" t="s">
        <v>16296</v>
      </c>
      <c r="AW251" s="858"/>
      <c r="AX251" s="858"/>
      <c r="AY251" s="860"/>
      <c r="AZ251" s="489">
        <f>ROUND(ROUND(Q248*$AT$208,0)*AV254,0)</f>
        <v>110</v>
      </c>
      <c r="BA251" s="393"/>
    </row>
    <row r="252" spans="1:53" ht="16.5" customHeight="1" x14ac:dyDescent="0.15">
      <c r="A252" s="340">
        <v>12</v>
      </c>
      <c r="B252" s="341">
        <v>8410</v>
      </c>
      <c r="C252" s="390" t="s">
        <v>17415</v>
      </c>
      <c r="D252" s="403"/>
      <c r="E252" s="404"/>
      <c r="F252" s="404"/>
      <c r="G252" s="404"/>
      <c r="H252" s="406"/>
      <c r="Q252" s="899"/>
      <c r="R252" s="899"/>
      <c r="S252" s="899"/>
      <c r="U252" s="387"/>
      <c r="V252" s="343" t="s">
        <v>15625</v>
      </c>
      <c r="W252" s="325"/>
      <c r="X252" s="325"/>
      <c r="Y252" s="325"/>
      <c r="Z252" s="325"/>
      <c r="AA252" s="325"/>
      <c r="AB252" s="325"/>
      <c r="AC252" s="325"/>
      <c r="AD252" s="325"/>
      <c r="AE252" s="325"/>
      <c r="AF252" s="325"/>
      <c r="AG252" s="325"/>
      <c r="AH252" s="325"/>
      <c r="AI252" s="391" t="s">
        <v>15626</v>
      </c>
      <c r="AJ252" s="838">
        <f>AJ250</f>
        <v>1</v>
      </c>
      <c r="AK252" s="839"/>
      <c r="AL252" s="325"/>
      <c r="AM252" s="325"/>
      <c r="AN252" s="325"/>
      <c r="AO252" s="325"/>
      <c r="AP252" s="325"/>
      <c r="AQ252" s="325"/>
      <c r="AR252" s="325"/>
      <c r="AS252" s="325"/>
      <c r="AT252" s="490"/>
      <c r="AU252" s="387"/>
      <c r="AV252" s="850"/>
      <c r="AW252" s="850"/>
      <c r="AX252" s="850"/>
      <c r="AY252" s="852"/>
      <c r="AZ252" s="489">
        <f>ROUND(ROUND(ROUND(Q248*AJ252,0)*$AT$208,0)*AV254,0)</f>
        <v>110</v>
      </c>
      <c r="BA252" s="393"/>
    </row>
    <row r="253" spans="1:53" ht="16.5" customHeight="1" x14ac:dyDescent="0.15">
      <c r="A253" s="340">
        <v>12</v>
      </c>
      <c r="B253" s="341">
        <v>8411</v>
      </c>
      <c r="C253" s="390" t="s">
        <v>17416</v>
      </c>
      <c r="D253" s="403"/>
      <c r="E253" s="404"/>
      <c r="F253" s="404"/>
      <c r="G253" s="404"/>
      <c r="H253" s="406"/>
      <c r="Q253" s="395"/>
      <c r="R253" s="151"/>
      <c r="S253" s="151"/>
      <c r="U253" s="387"/>
      <c r="V253" s="343"/>
      <c r="W253" s="343"/>
      <c r="X253" s="343"/>
      <c r="Y253" s="343"/>
      <c r="Z253" s="343"/>
      <c r="AA253" s="343"/>
      <c r="AB253" s="343"/>
      <c r="AC253" s="343"/>
      <c r="AD253" s="343"/>
      <c r="AE253" s="343"/>
      <c r="AF253" s="343"/>
      <c r="AG253" s="343"/>
      <c r="AH253" s="343"/>
      <c r="AI253" s="343"/>
      <c r="AJ253" s="343"/>
      <c r="AK253" s="343"/>
      <c r="AL253" s="114" t="s">
        <v>15628</v>
      </c>
      <c r="AM253" s="396"/>
      <c r="AN253" s="396"/>
      <c r="AO253" s="396"/>
      <c r="AP253" s="396"/>
      <c r="AQ253" s="396"/>
      <c r="AR253" s="396"/>
      <c r="AS253" s="396"/>
      <c r="AT253" s="490"/>
      <c r="AU253" s="387"/>
      <c r="AV253" s="902" t="s">
        <v>15636</v>
      </c>
      <c r="AW253" s="902"/>
      <c r="AX253" s="902"/>
      <c r="AY253" s="903"/>
      <c r="AZ253" s="489">
        <f>ROUND(ROUND(ROUND(Q248*AR254,0)*$AT$208,0)*AV254,0)</f>
        <v>94</v>
      </c>
      <c r="BA253" s="393"/>
    </row>
    <row r="254" spans="1:53" ht="16.5" customHeight="1" x14ac:dyDescent="0.15">
      <c r="A254" s="340">
        <v>12</v>
      </c>
      <c r="B254" s="341">
        <v>8412</v>
      </c>
      <c r="C254" s="390" t="s">
        <v>17417</v>
      </c>
      <c r="D254" s="403"/>
      <c r="E254" s="404"/>
      <c r="F254" s="404"/>
      <c r="G254" s="404"/>
      <c r="H254" s="406"/>
      <c r="Q254" s="395"/>
      <c r="R254" s="151"/>
      <c r="S254" s="151"/>
      <c r="U254" s="387"/>
      <c r="V254" s="343" t="s">
        <v>15625</v>
      </c>
      <c r="W254" s="325"/>
      <c r="X254" s="325"/>
      <c r="Y254" s="325"/>
      <c r="Z254" s="325"/>
      <c r="AA254" s="325"/>
      <c r="AB254" s="325"/>
      <c r="AC254" s="325"/>
      <c r="AD254" s="325"/>
      <c r="AE254" s="325"/>
      <c r="AF254" s="325"/>
      <c r="AG254" s="325"/>
      <c r="AH254" s="325"/>
      <c r="AI254" s="391" t="s">
        <v>15626</v>
      </c>
      <c r="AJ254" s="838">
        <f>AJ252</f>
        <v>1</v>
      </c>
      <c r="AK254" s="843"/>
      <c r="AL254" s="324" t="s">
        <v>15630</v>
      </c>
      <c r="AM254" s="325"/>
      <c r="AN254" s="325"/>
      <c r="AO254" s="325"/>
      <c r="AP254" s="325"/>
      <c r="AQ254" s="190" t="s">
        <v>398</v>
      </c>
      <c r="AR254" s="844">
        <f>AR250</f>
        <v>0.85</v>
      </c>
      <c r="AS254" s="844"/>
      <c r="AT254" s="501"/>
      <c r="AU254" s="502"/>
      <c r="AV254" s="844">
        <f>AV246</f>
        <v>0.8</v>
      </c>
      <c r="AW254" s="844"/>
      <c r="AX254" s="844"/>
      <c r="AY254" s="845"/>
      <c r="AZ254" s="489">
        <f>ROUND(ROUND(ROUND(ROUND(Q248*AJ254,0)*AR254,0)*$AT$208,0)*AV254,0)</f>
        <v>94</v>
      </c>
      <c r="BA254" s="393"/>
    </row>
    <row r="255" spans="1:53" ht="17.100000000000001" customHeight="1" x14ac:dyDescent="0.15">
      <c r="A255" s="340">
        <v>12</v>
      </c>
      <c r="B255" s="341">
        <v>8413</v>
      </c>
      <c r="C255" s="390" t="s">
        <v>17418</v>
      </c>
      <c r="D255" s="403"/>
      <c r="E255" s="404"/>
      <c r="F255" s="404"/>
      <c r="G255" s="404"/>
      <c r="H255" s="406"/>
      <c r="I255" s="908" t="s">
        <v>16354</v>
      </c>
      <c r="J255" s="909"/>
      <c r="K255" s="909"/>
      <c r="L255" s="909"/>
      <c r="M255" s="909"/>
      <c r="N255" s="909"/>
      <c r="O255" s="909"/>
      <c r="P255" s="909"/>
      <c r="Q255" s="909"/>
      <c r="R255" s="909"/>
      <c r="S255" s="909"/>
      <c r="T255" s="909"/>
      <c r="U255" s="910"/>
      <c r="V255" s="343"/>
      <c r="W255" s="343"/>
      <c r="X255" s="343"/>
      <c r="Y255" s="343"/>
      <c r="Z255" s="343"/>
      <c r="AA255" s="343"/>
      <c r="AB255" s="343"/>
      <c r="AC255" s="343"/>
      <c r="AD255" s="343"/>
      <c r="AE255" s="343"/>
      <c r="AF255" s="343"/>
      <c r="AG255" s="343"/>
      <c r="AH255" s="343"/>
      <c r="AI255" s="343"/>
      <c r="AJ255" s="401"/>
      <c r="AK255" s="402"/>
      <c r="AL255" s="396"/>
      <c r="AM255" s="396"/>
      <c r="AN255" s="396"/>
      <c r="AO255" s="396"/>
      <c r="AP255" s="396"/>
      <c r="AQ255" s="396"/>
      <c r="AR255" s="396"/>
      <c r="AS255" s="396"/>
      <c r="AT255" s="490"/>
      <c r="AU255" s="387"/>
      <c r="AV255" s="400"/>
      <c r="AW255" s="400"/>
      <c r="AX255" s="396"/>
      <c r="AY255" s="397"/>
      <c r="AZ255" s="489">
        <f>ROUND(Q256*$AT$208,0)</f>
        <v>128</v>
      </c>
      <c r="BA255" s="393"/>
    </row>
    <row r="256" spans="1:53" ht="16.5" customHeight="1" x14ac:dyDescent="0.15">
      <c r="A256" s="340">
        <v>12</v>
      </c>
      <c r="B256" s="341">
        <v>8414</v>
      </c>
      <c r="C256" s="390" t="s">
        <v>17419</v>
      </c>
      <c r="D256" s="403"/>
      <c r="E256" s="404"/>
      <c r="F256" s="404"/>
      <c r="G256" s="404"/>
      <c r="H256" s="406"/>
      <c r="Q256" s="836">
        <f>'2重度訪問'!U132</f>
        <v>85</v>
      </c>
      <c r="R256" s="911"/>
      <c r="S256" s="911"/>
      <c r="T256" s="152" t="s">
        <v>15624</v>
      </c>
      <c r="U256" s="387"/>
      <c r="V256" s="343" t="s">
        <v>15625</v>
      </c>
      <c r="W256" s="325"/>
      <c r="X256" s="325"/>
      <c r="Y256" s="325"/>
      <c r="Z256" s="325"/>
      <c r="AA256" s="325"/>
      <c r="AB256" s="325"/>
      <c r="AC256" s="325"/>
      <c r="AD256" s="325"/>
      <c r="AE256" s="325"/>
      <c r="AF256" s="325"/>
      <c r="AG256" s="325"/>
      <c r="AH256" s="325"/>
      <c r="AI256" s="391" t="s">
        <v>15626</v>
      </c>
      <c r="AJ256" s="838">
        <f>AJ254</f>
        <v>1</v>
      </c>
      <c r="AK256" s="839"/>
      <c r="AL256" s="325"/>
      <c r="AM256" s="325"/>
      <c r="AN256" s="325"/>
      <c r="AO256" s="325"/>
      <c r="AP256" s="325"/>
      <c r="AQ256" s="325"/>
      <c r="AR256" s="325"/>
      <c r="AS256" s="391"/>
      <c r="AT256" s="503"/>
      <c r="AU256" s="504"/>
      <c r="AY256" s="387"/>
      <c r="AZ256" s="489">
        <f>ROUND(ROUND(Q256*AJ256,0)*$AT$208,0)</f>
        <v>128</v>
      </c>
      <c r="BA256" s="393"/>
    </row>
    <row r="257" spans="1:53" ht="16.5" customHeight="1" x14ac:dyDescent="0.15">
      <c r="A257" s="340">
        <v>12</v>
      </c>
      <c r="B257" s="341">
        <v>8415</v>
      </c>
      <c r="C257" s="390" t="s">
        <v>17420</v>
      </c>
      <c r="D257" s="403"/>
      <c r="E257" s="404"/>
      <c r="F257" s="404"/>
      <c r="G257" s="404"/>
      <c r="H257" s="406"/>
      <c r="Q257" s="395"/>
      <c r="R257" s="151"/>
      <c r="S257" s="151"/>
      <c r="U257" s="387"/>
      <c r="V257" s="343"/>
      <c r="W257" s="343"/>
      <c r="X257" s="343"/>
      <c r="Y257" s="343"/>
      <c r="Z257" s="343"/>
      <c r="AA257" s="343"/>
      <c r="AB257" s="343"/>
      <c r="AC257" s="343"/>
      <c r="AD257" s="343"/>
      <c r="AE257" s="343"/>
      <c r="AF257" s="343"/>
      <c r="AG257" s="343"/>
      <c r="AH257" s="343"/>
      <c r="AI257" s="343"/>
      <c r="AJ257" s="343"/>
      <c r="AK257" s="343"/>
      <c r="AL257" s="114" t="s">
        <v>15628</v>
      </c>
      <c r="AM257" s="396"/>
      <c r="AN257" s="396"/>
      <c r="AO257" s="396"/>
      <c r="AP257" s="396"/>
      <c r="AQ257" s="396"/>
      <c r="AR257" s="396"/>
      <c r="AS257" s="396"/>
      <c r="AT257" s="490"/>
      <c r="AU257" s="387"/>
      <c r="AY257" s="387"/>
      <c r="AZ257" s="489">
        <f>ROUND(ROUND(Q256*AR258,0)*$AT$208,0)</f>
        <v>108</v>
      </c>
      <c r="BA257" s="393"/>
    </row>
    <row r="258" spans="1:53" ht="16.5" customHeight="1" x14ac:dyDescent="0.15">
      <c r="A258" s="340">
        <v>12</v>
      </c>
      <c r="B258" s="341">
        <v>8416</v>
      </c>
      <c r="C258" s="390" t="s">
        <v>17421</v>
      </c>
      <c r="D258" s="403"/>
      <c r="E258" s="404"/>
      <c r="F258" s="404"/>
      <c r="G258" s="404"/>
      <c r="H258" s="406"/>
      <c r="Q258" s="395"/>
      <c r="R258" s="151"/>
      <c r="S258" s="151"/>
      <c r="U258" s="387"/>
      <c r="V258" s="343" t="s">
        <v>15625</v>
      </c>
      <c r="W258" s="325"/>
      <c r="X258" s="325"/>
      <c r="Y258" s="325"/>
      <c r="Z258" s="325"/>
      <c r="AA258" s="325"/>
      <c r="AB258" s="325"/>
      <c r="AC258" s="325"/>
      <c r="AD258" s="325"/>
      <c r="AE258" s="325"/>
      <c r="AF258" s="325"/>
      <c r="AG258" s="325"/>
      <c r="AH258" s="325"/>
      <c r="AI258" s="391" t="s">
        <v>15626</v>
      </c>
      <c r="AJ258" s="838">
        <f>AJ256</f>
        <v>1</v>
      </c>
      <c r="AK258" s="843"/>
      <c r="AL258" s="324" t="s">
        <v>15630</v>
      </c>
      <c r="AM258" s="325"/>
      <c r="AN258" s="325"/>
      <c r="AO258" s="325"/>
      <c r="AP258" s="325"/>
      <c r="AQ258" s="190" t="s">
        <v>398</v>
      </c>
      <c r="AR258" s="844">
        <f>AR254</f>
        <v>0.85</v>
      </c>
      <c r="AS258" s="844"/>
      <c r="AT258" s="501"/>
      <c r="AU258" s="502"/>
      <c r="AY258" s="387"/>
      <c r="AZ258" s="489">
        <f>ROUND(ROUND(ROUND(Q256*AJ258,0)*AR258,0)*$AT$208,0)</f>
        <v>108</v>
      </c>
      <c r="BA258" s="393"/>
    </row>
    <row r="259" spans="1:53" ht="17.100000000000001" customHeight="1" x14ac:dyDescent="0.15">
      <c r="A259" s="340">
        <v>12</v>
      </c>
      <c r="B259" s="341">
        <v>8417</v>
      </c>
      <c r="C259" s="390" t="s">
        <v>17422</v>
      </c>
      <c r="D259" s="403"/>
      <c r="E259" s="404"/>
      <c r="F259" s="404"/>
      <c r="G259" s="404"/>
      <c r="H259" s="406"/>
      <c r="I259" s="10"/>
      <c r="L259" s="151"/>
      <c r="M259" s="151"/>
      <c r="N259" s="151"/>
      <c r="U259" s="387"/>
      <c r="V259" s="343"/>
      <c r="W259" s="343"/>
      <c r="X259" s="343"/>
      <c r="Y259" s="343"/>
      <c r="Z259" s="343"/>
      <c r="AA259" s="343"/>
      <c r="AB259" s="343"/>
      <c r="AC259" s="343"/>
      <c r="AD259" s="343"/>
      <c r="AE259" s="343"/>
      <c r="AF259" s="343"/>
      <c r="AG259" s="343"/>
      <c r="AH259" s="343"/>
      <c r="AI259" s="343"/>
      <c r="AJ259" s="401"/>
      <c r="AK259" s="402"/>
      <c r="AL259" s="396"/>
      <c r="AM259" s="396"/>
      <c r="AN259" s="396"/>
      <c r="AO259" s="396"/>
      <c r="AP259" s="396"/>
      <c r="AQ259" s="396"/>
      <c r="AR259" s="396"/>
      <c r="AS259" s="396"/>
      <c r="AT259" s="490"/>
      <c r="AU259" s="387"/>
      <c r="AV259" s="858" t="s">
        <v>16296</v>
      </c>
      <c r="AW259" s="858"/>
      <c r="AX259" s="858"/>
      <c r="AY259" s="860"/>
      <c r="AZ259" s="489">
        <f>ROUND(ROUND(Q256*$AT$208,0)*AV262,0)</f>
        <v>102</v>
      </c>
      <c r="BA259" s="393"/>
    </row>
    <row r="260" spans="1:53" ht="16.5" customHeight="1" x14ac:dyDescent="0.15">
      <c r="A260" s="340">
        <v>12</v>
      </c>
      <c r="B260" s="341">
        <v>8418</v>
      </c>
      <c r="C260" s="390" t="s">
        <v>17423</v>
      </c>
      <c r="D260" s="403"/>
      <c r="E260" s="404"/>
      <c r="F260" s="404"/>
      <c r="G260" s="404"/>
      <c r="H260" s="406"/>
      <c r="Q260" s="899"/>
      <c r="R260" s="899"/>
      <c r="S260" s="899"/>
      <c r="U260" s="387"/>
      <c r="V260" s="343" t="s">
        <v>15625</v>
      </c>
      <c r="W260" s="325"/>
      <c r="X260" s="325"/>
      <c r="Y260" s="325"/>
      <c r="Z260" s="325"/>
      <c r="AA260" s="325"/>
      <c r="AB260" s="325"/>
      <c r="AC260" s="325"/>
      <c r="AD260" s="325"/>
      <c r="AE260" s="325"/>
      <c r="AF260" s="325"/>
      <c r="AG260" s="325"/>
      <c r="AH260" s="325"/>
      <c r="AI260" s="391" t="s">
        <v>15626</v>
      </c>
      <c r="AJ260" s="838">
        <f>AJ258</f>
        <v>1</v>
      </c>
      <c r="AK260" s="839"/>
      <c r="AL260" s="325"/>
      <c r="AM260" s="325"/>
      <c r="AN260" s="325"/>
      <c r="AO260" s="325"/>
      <c r="AP260" s="325"/>
      <c r="AQ260" s="325"/>
      <c r="AR260" s="325"/>
      <c r="AS260" s="391"/>
      <c r="AT260" s="503"/>
      <c r="AU260" s="504"/>
      <c r="AV260" s="850"/>
      <c r="AW260" s="850"/>
      <c r="AX260" s="850"/>
      <c r="AY260" s="852"/>
      <c r="AZ260" s="489">
        <f>ROUND(ROUND(ROUND(Q256*AJ260,0)*$AT$208,0)*AV262,0)</f>
        <v>102</v>
      </c>
      <c r="BA260" s="393"/>
    </row>
    <row r="261" spans="1:53" ht="16.5" customHeight="1" x14ac:dyDescent="0.15">
      <c r="A261" s="340">
        <v>12</v>
      </c>
      <c r="B261" s="341">
        <v>8419</v>
      </c>
      <c r="C261" s="390" t="s">
        <v>17424</v>
      </c>
      <c r="D261" s="403"/>
      <c r="E261" s="404"/>
      <c r="F261" s="404"/>
      <c r="G261" s="404"/>
      <c r="H261" s="406"/>
      <c r="Q261" s="395"/>
      <c r="R261" s="151"/>
      <c r="S261" s="151"/>
      <c r="U261" s="387"/>
      <c r="V261" s="343"/>
      <c r="W261" s="343"/>
      <c r="X261" s="343"/>
      <c r="Y261" s="343"/>
      <c r="Z261" s="343"/>
      <c r="AA261" s="343"/>
      <c r="AB261" s="343"/>
      <c r="AC261" s="343"/>
      <c r="AD261" s="343"/>
      <c r="AE261" s="343"/>
      <c r="AF261" s="343"/>
      <c r="AG261" s="343"/>
      <c r="AH261" s="343"/>
      <c r="AI261" s="343"/>
      <c r="AJ261" s="343"/>
      <c r="AK261" s="343"/>
      <c r="AL261" s="114" t="s">
        <v>15628</v>
      </c>
      <c r="AM261" s="396"/>
      <c r="AN261" s="396"/>
      <c r="AO261" s="396"/>
      <c r="AP261" s="396"/>
      <c r="AQ261" s="396"/>
      <c r="AR261" s="396"/>
      <c r="AS261" s="396"/>
      <c r="AT261" s="490"/>
      <c r="AU261" s="387"/>
      <c r="AV261" s="902" t="s">
        <v>15636</v>
      </c>
      <c r="AW261" s="902"/>
      <c r="AX261" s="902"/>
      <c r="AY261" s="903"/>
      <c r="AZ261" s="489">
        <f>ROUND(ROUND(ROUND(Q256*AR262,0)*$AT$208,0)*AV262,0)</f>
        <v>86</v>
      </c>
      <c r="BA261" s="393"/>
    </row>
    <row r="262" spans="1:53" ht="16.5" customHeight="1" x14ac:dyDescent="0.15">
      <c r="A262" s="340">
        <v>12</v>
      </c>
      <c r="B262" s="341">
        <v>8420</v>
      </c>
      <c r="C262" s="390" t="s">
        <v>17425</v>
      </c>
      <c r="D262" s="403"/>
      <c r="E262" s="404"/>
      <c r="F262" s="404"/>
      <c r="G262" s="404"/>
      <c r="H262" s="406"/>
      <c r="Q262" s="395"/>
      <c r="R262" s="151"/>
      <c r="S262" s="151"/>
      <c r="U262" s="387"/>
      <c r="V262" s="343" t="s">
        <v>15625</v>
      </c>
      <c r="W262" s="325"/>
      <c r="X262" s="325"/>
      <c r="Y262" s="325"/>
      <c r="Z262" s="325"/>
      <c r="AA262" s="325"/>
      <c r="AB262" s="325"/>
      <c r="AC262" s="325"/>
      <c r="AD262" s="325"/>
      <c r="AE262" s="325"/>
      <c r="AF262" s="325"/>
      <c r="AG262" s="325"/>
      <c r="AH262" s="325"/>
      <c r="AI262" s="391" t="s">
        <v>15626</v>
      </c>
      <c r="AJ262" s="838">
        <f>AJ260</f>
        <v>1</v>
      </c>
      <c r="AK262" s="843"/>
      <c r="AL262" s="324" t="s">
        <v>15630</v>
      </c>
      <c r="AM262" s="325"/>
      <c r="AN262" s="325"/>
      <c r="AO262" s="325"/>
      <c r="AP262" s="325"/>
      <c r="AQ262" s="190" t="s">
        <v>398</v>
      </c>
      <c r="AR262" s="844">
        <f>AR258</f>
        <v>0.85</v>
      </c>
      <c r="AS262" s="844"/>
      <c r="AT262" s="501"/>
      <c r="AU262" s="502"/>
      <c r="AV262" s="844">
        <f>AV254</f>
        <v>0.8</v>
      </c>
      <c r="AW262" s="844"/>
      <c r="AX262" s="844"/>
      <c r="AY262" s="845"/>
      <c r="AZ262" s="489">
        <f>ROUND(ROUND(ROUND(ROUND(Q256*AJ262,0)*AR262,0)*$AT$208,0)*AV262,0)</f>
        <v>86</v>
      </c>
      <c r="BA262" s="393"/>
    </row>
    <row r="263" spans="1:53" ht="17.100000000000001" customHeight="1" x14ac:dyDescent="0.15">
      <c r="A263" s="340">
        <v>12</v>
      </c>
      <c r="B263" s="341">
        <v>8421</v>
      </c>
      <c r="C263" s="390" t="s">
        <v>17426</v>
      </c>
      <c r="D263" s="403"/>
      <c r="E263" s="404"/>
      <c r="F263" s="404"/>
      <c r="G263" s="404"/>
      <c r="H263" s="406"/>
      <c r="I263" s="908" t="s">
        <v>16363</v>
      </c>
      <c r="J263" s="909"/>
      <c r="K263" s="909"/>
      <c r="L263" s="909"/>
      <c r="M263" s="909"/>
      <c r="N263" s="909"/>
      <c r="O263" s="909"/>
      <c r="P263" s="909"/>
      <c r="Q263" s="909"/>
      <c r="R263" s="909"/>
      <c r="S263" s="909"/>
      <c r="T263" s="909"/>
      <c r="U263" s="910"/>
      <c r="V263" s="343"/>
      <c r="W263" s="343"/>
      <c r="X263" s="343"/>
      <c r="Y263" s="343"/>
      <c r="Z263" s="343"/>
      <c r="AA263" s="343"/>
      <c r="AB263" s="343"/>
      <c r="AC263" s="343"/>
      <c r="AD263" s="343"/>
      <c r="AE263" s="343"/>
      <c r="AF263" s="343"/>
      <c r="AG263" s="343"/>
      <c r="AH263" s="343"/>
      <c r="AI263" s="343"/>
      <c r="AJ263" s="401"/>
      <c r="AK263" s="402"/>
      <c r="AL263" s="396"/>
      <c r="AM263" s="396"/>
      <c r="AN263" s="396"/>
      <c r="AO263" s="396"/>
      <c r="AP263" s="396"/>
      <c r="AQ263" s="396"/>
      <c r="AR263" s="396"/>
      <c r="AS263" s="396"/>
      <c r="AT263" s="490"/>
      <c r="AU263" s="387"/>
      <c r="AV263" s="400"/>
      <c r="AW263" s="400"/>
      <c r="AX263" s="396"/>
      <c r="AY263" s="397"/>
      <c r="AZ263" s="489">
        <f>ROUND(Q264*$AT$208,0)</f>
        <v>128</v>
      </c>
      <c r="BA263" s="393"/>
    </row>
    <row r="264" spans="1:53" ht="16.5" customHeight="1" x14ac:dyDescent="0.15">
      <c r="A264" s="340">
        <v>12</v>
      </c>
      <c r="B264" s="341">
        <v>8422</v>
      </c>
      <c r="C264" s="390" t="s">
        <v>17427</v>
      </c>
      <c r="D264" s="403"/>
      <c r="E264" s="404"/>
      <c r="F264" s="404"/>
      <c r="G264" s="404"/>
      <c r="H264" s="406"/>
      <c r="Q264" s="836">
        <f>'2重度訪問'!U136</f>
        <v>85</v>
      </c>
      <c r="R264" s="911"/>
      <c r="S264" s="911"/>
      <c r="T264" s="152" t="s">
        <v>15624</v>
      </c>
      <c r="U264" s="387"/>
      <c r="V264" s="343" t="s">
        <v>15625</v>
      </c>
      <c r="W264" s="325"/>
      <c r="X264" s="325"/>
      <c r="Y264" s="325"/>
      <c r="Z264" s="325"/>
      <c r="AA264" s="325"/>
      <c r="AB264" s="325"/>
      <c r="AC264" s="325"/>
      <c r="AD264" s="325"/>
      <c r="AE264" s="325"/>
      <c r="AF264" s="325"/>
      <c r="AG264" s="325"/>
      <c r="AH264" s="325"/>
      <c r="AI264" s="391" t="s">
        <v>15626</v>
      </c>
      <c r="AJ264" s="838">
        <f>AJ262</f>
        <v>1</v>
      </c>
      <c r="AK264" s="839"/>
      <c r="AL264" s="325"/>
      <c r="AM264" s="325"/>
      <c r="AN264" s="325"/>
      <c r="AO264" s="325"/>
      <c r="AP264" s="325"/>
      <c r="AQ264" s="325"/>
      <c r="AR264" s="325"/>
      <c r="AS264" s="391"/>
      <c r="AT264" s="503"/>
      <c r="AU264" s="504"/>
      <c r="AY264" s="387"/>
      <c r="AZ264" s="489">
        <f>ROUND(ROUND(Q264*AJ264,0)*$AT$208,0)</f>
        <v>128</v>
      </c>
      <c r="BA264" s="393"/>
    </row>
    <row r="265" spans="1:53" ht="16.5" customHeight="1" x14ac:dyDescent="0.15">
      <c r="A265" s="340">
        <v>12</v>
      </c>
      <c r="B265" s="341">
        <v>8423</v>
      </c>
      <c r="C265" s="390" t="s">
        <v>17428</v>
      </c>
      <c r="D265" s="403"/>
      <c r="E265" s="404"/>
      <c r="F265" s="404"/>
      <c r="G265" s="404"/>
      <c r="H265" s="406"/>
      <c r="Q265" s="395"/>
      <c r="R265" s="151"/>
      <c r="S265" s="151"/>
      <c r="U265" s="387"/>
      <c r="V265" s="343"/>
      <c r="W265" s="343"/>
      <c r="X265" s="343"/>
      <c r="Y265" s="343"/>
      <c r="Z265" s="343"/>
      <c r="AA265" s="343"/>
      <c r="AB265" s="343"/>
      <c r="AC265" s="343"/>
      <c r="AD265" s="343"/>
      <c r="AE265" s="343"/>
      <c r="AF265" s="343"/>
      <c r="AG265" s="343"/>
      <c r="AH265" s="343"/>
      <c r="AI265" s="343"/>
      <c r="AJ265" s="343"/>
      <c r="AK265" s="343"/>
      <c r="AL265" s="114" t="s">
        <v>15628</v>
      </c>
      <c r="AM265" s="396"/>
      <c r="AN265" s="396"/>
      <c r="AO265" s="396"/>
      <c r="AP265" s="396"/>
      <c r="AQ265" s="396"/>
      <c r="AR265" s="396"/>
      <c r="AS265" s="396"/>
      <c r="AT265" s="490"/>
      <c r="AU265" s="387"/>
      <c r="AY265" s="387"/>
      <c r="AZ265" s="489">
        <f>ROUND(ROUND(Q264*AR266,0)*$AT$208,0)</f>
        <v>108</v>
      </c>
      <c r="BA265" s="393"/>
    </row>
    <row r="266" spans="1:53" ht="16.5" customHeight="1" x14ac:dyDescent="0.15">
      <c r="A266" s="340">
        <v>12</v>
      </c>
      <c r="B266" s="341">
        <v>8424</v>
      </c>
      <c r="C266" s="390" t="s">
        <v>17429</v>
      </c>
      <c r="D266" s="403"/>
      <c r="E266" s="404"/>
      <c r="F266" s="404"/>
      <c r="G266" s="404"/>
      <c r="H266" s="406"/>
      <c r="Q266" s="395"/>
      <c r="R266" s="151"/>
      <c r="S266" s="151"/>
      <c r="U266" s="387"/>
      <c r="V266" s="343" t="s">
        <v>15625</v>
      </c>
      <c r="W266" s="325"/>
      <c r="X266" s="325"/>
      <c r="Y266" s="325"/>
      <c r="Z266" s="325"/>
      <c r="AA266" s="325"/>
      <c r="AB266" s="325"/>
      <c r="AC266" s="325"/>
      <c r="AD266" s="325"/>
      <c r="AE266" s="325"/>
      <c r="AF266" s="325"/>
      <c r="AG266" s="325"/>
      <c r="AH266" s="325"/>
      <c r="AI266" s="391" t="s">
        <v>15626</v>
      </c>
      <c r="AJ266" s="838">
        <f>AJ264</f>
        <v>1</v>
      </c>
      <c r="AK266" s="843"/>
      <c r="AL266" s="324" t="s">
        <v>15630</v>
      </c>
      <c r="AM266" s="325"/>
      <c r="AN266" s="325"/>
      <c r="AO266" s="325"/>
      <c r="AP266" s="325"/>
      <c r="AQ266" s="190" t="s">
        <v>398</v>
      </c>
      <c r="AR266" s="844">
        <f>AR262</f>
        <v>0.85</v>
      </c>
      <c r="AS266" s="844"/>
      <c r="AT266" s="501"/>
      <c r="AU266" s="502"/>
      <c r="AY266" s="387"/>
      <c r="AZ266" s="489">
        <f>ROUND(ROUND(ROUND(Q264*AJ266,0)*AR266,0)*$AT$208,0)</f>
        <v>108</v>
      </c>
      <c r="BA266" s="393"/>
    </row>
    <row r="267" spans="1:53" ht="17.100000000000001" customHeight="1" x14ac:dyDescent="0.15">
      <c r="A267" s="340">
        <v>12</v>
      </c>
      <c r="B267" s="341">
        <v>8425</v>
      </c>
      <c r="C267" s="390" t="s">
        <v>17430</v>
      </c>
      <c r="D267" s="403"/>
      <c r="E267" s="404"/>
      <c r="F267" s="404"/>
      <c r="G267" s="404"/>
      <c r="H267" s="406"/>
      <c r="I267" s="10"/>
      <c r="L267" s="151"/>
      <c r="M267" s="151"/>
      <c r="N267" s="151"/>
      <c r="U267" s="387"/>
      <c r="V267" s="343"/>
      <c r="W267" s="343"/>
      <c r="X267" s="343"/>
      <c r="Y267" s="343"/>
      <c r="Z267" s="343"/>
      <c r="AA267" s="343"/>
      <c r="AB267" s="343"/>
      <c r="AC267" s="343"/>
      <c r="AD267" s="343"/>
      <c r="AE267" s="343"/>
      <c r="AF267" s="343"/>
      <c r="AG267" s="343"/>
      <c r="AH267" s="343"/>
      <c r="AI267" s="343"/>
      <c r="AJ267" s="401"/>
      <c r="AK267" s="402"/>
      <c r="AL267" s="396"/>
      <c r="AM267" s="396"/>
      <c r="AN267" s="396"/>
      <c r="AO267" s="396"/>
      <c r="AP267" s="396"/>
      <c r="AQ267" s="396"/>
      <c r="AR267" s="396"/>
      <c r="AS267" s="396"/>
      <c r="AT267" s="490"/>
      <c r="AU267" s="387"/>
      <c r="AV267" s="858" t="s">
        <v>16296</v>
      </c>
      <c r="AW267" s="858"/>
      <c r="AX267" s="858"/>
      <c r="AY267" s="860"/>
      <c r="AZ267" s="489">
        <f>ROUND(ROUND(Q264*$AT$208,0)*AV270,0)</f>
        <v>102</v>
      </c>
      <c r="BA267" s="393"/>
    </row>
    <row r="268" spans="1:53" ht="16.5" customHeight="1" x14ac:dyDescent="0.15">
      <c r="A268" s="340">
        <v>12</v>
      </c>
      <c r="B268" s="341">
        <v>8426</v>
      </c>
      <c r="C268" s="390" t="s">
        <v>17431</v>
      </c>
      <c r="D268" s="403"/>
      <c r="E268" s="404"/>
      <c r="F268" s="404"/>
      <c r="G268" s="404"/>
      <c r="H268" s="406"/>
      <c r="Q268" s="899"/>
      <c r="R268" s="899"/>
      <c r="S268" s="899"/>
      <c r="U268" s="387"/>
      <c r="V268" s="343" t="s">
        <v>15625</v>
      </c>
      <c r="W268" s="325"/>
      <c r="X268" s="325"/>
      <c r="Y268" s="325"/>
      <c r="Z268" s="325"/>
      <c r="AA268" s="325"/>
      <c r="AB268" s="325"/>
      <c r="AC268" s="325"/>
      <c r="AD268" s="325"/>
      <c r="AE268" s="325"/>
      <c r="AF268" s="325"/>
      <c r="AG268" s="325"/>
      <c r="AH268" s="325"/>
      <c r="AI268" s="391" t="s">
        <v>15626</v>
      </c>
      <c r="AJ268" s="838">
        <f>AJ266</f>
        <v>1</v>
      </c>
      <c r="AK268" s="839"/>
      <c r="AL268" s="325"/>
      <c r="AM268" s="325"/>
      <c r="AN268" s="325"/>
      <c r="AO268" s="325"/>
      <c r="AP268" s="325"/>
      <c r="AQ268" s="325"/>
      <c r="AR268" s="325"/>
      <c r="AS268" s="391"/>
      <c r="AT268" s="503"/>
      <c r="AU268" s="504"/>
      <c r="AV268" s="850"/>
      <c r="AW268" s="850"/>
      <c r="AX268" s="850"/>
      <c r="AY268" s="852"/>
      <c r="AZ268" s="489">
        <f>ROUND(ROUND(ROUND(Q264*AJ268,0)*$AT$208,0)*AV270,0)</f>
        <v>102</v>
      </c>
      <c r="BA268" s="393"/>
    </row>
    <row r="269" spans="1:53" ht="16.5" customHeight="1" x14ac:dyDescent="0.15">
      <c r="A269" s="340">
        <v>12</v>
      </c>
      <c r="B269" s="341">
        <v>8427</v>
      </c>
      <c r="C269" s="390" t="s">
        <v>17432</v>
      </c>
      <c r="D269" s="403"/>
      <c r="E269" s="404"/>
      <c r="F269" s="404"/>
      <c r="G269" s="404"/>
      <c r="H269" s="406"/>
      <c r="Q269" s="395"/>
      <c r="R269" s="151"/>
      <c r="S269" s="151"/>
      <c r="U269" s="387"/>
      <c r="V269" s="343"/>
      <c r="W269" s="343"/>
      <c r="X269" s="343"/>
      <c r="Y269" s="343"/>
      <c r="Z269" s="343"/>
      <c r="AA269" s="343"/>
      <c r="AB269" s="343"/>
      <c r="AC269" s="343"/>
      <c r="AD269" s="343"/>
      <c r="AE269" s="343"/>
      <c r="AF269" s="343"/>
      <c r="AG269" s="343"/>
      <c r="AH269" s="343"/>
      <c r="AI269" s="343"/>
      <c r="AJ269" s="343"/>
      <c r="AK269" s="343"/>
      <c r="AL269" s="114" t="s">
        <v>15628</v>
      </c>
      <c r="AM269" s="396"/>
      <c r="AN269" s="396"/>
      <c r="AO269" s="396"/>
      <c r="AP269" s="396"/>
      <c r="AQ269" s="396"/>
      <c r="AR269" s="396"/>
      <c r="AS269" s="396"/>
      <c r="AT269" s="490"/>
      <c r="AU269" s="387"/>
      <c r="AV269" s="902" t="s">
        <v>15636</v>
      </c>
      <c r="AW269" s="902"/>
      <c r="AX269" s="902"/>
      <c r="AY269" s="903"/>
      <c r="AZ269" s="489">
        <f>ROUND(ROUND(ROUND(Q264*AR270,0)*$AT$208,0)*AV270,0)</f>
        <v>86</v>
      </c>
      <c r="BA269" s="393"/>
    </row>
    <row r="270" spans="1:53" ht="16.5" customHeight="1" x14ac:dyDescent="0.15">
      <c r="A270" s="340">
        <v>12</v>
      </c>
      <c r="B270" s="341">
        <v>8428</v>
      </c>
      <c r="C270" s="390" t="s">
        <v>17433</v>
      </c>
      <c r="D270" s="403"/>
      <c r="E270" s="404"/>
      <c r="F270" s="404"/>
      <c r="G270" s="404"/>
      <c r="H270" s="406"/>
      <c r="Q270" s="395"/>
      <c r="R270" s="151"/>
      <c r="S270" s="151"/>
      <c r="U270" s="387"/>
      <c r="V270" s="343" t="s">
        <v>15625</v>
      </c>
      <c r="W270" s="325"/>
      <c r="X270" s="325"/>
      <c r="Y270" s="325"/>
      <c r="Z270" s="325"/>
      <c r="AA270" s="325"/>
      <c r="AB270" s="325"/>
      <c r="AC270" s="325"/>
      <c r="AD270" s="325"/>
      <c r="AE270" s="325"/>
      <c r="AF270" s="325"/>
      <c r="AG270" s="325"/>
      <c r="AH270" s="325"/>
      <c r="AI270" s="391" t="s">
        <v>15626</v>
      </c>
      <c r="AJ270" s="838">
        <f>AJ268</f>
        <v>1</v>
      </c>
      <c r="AK270" s="843"/>
      <c r="AL270" s="324" t="s">
        <v>15630</v>
      </c>
      <c r="AM270" s="325"/>
      <c r="AN270" s="325"/>
      <c r="AO270" s="325"/>
      <c r="AP270" s="325"/>
      <c r="AQ270" s="190" t="s">
        <v>398</v>
      </c>
      <c r="AR270" s="844">
        <f>AR266</f>
        <v>0.85</v>
      </c>
      <c r="AS270" s="844"/>
      <c r="AT270" s="501"/>
      <c r="AU270" s="502"/>
      <c r="AV270" s="844">
        <f>AV262</f>
        <v>0.8</v>
      </c>
      <c r="AW270" s="844"/>
      <c r="AX270" s="844"/>
      <c r="AY270" s="845"/>
      <c r="AZ270" s="489">
        <f>ROUND(ROUND(ROUND(ROUND(Q264*AJ270,0)*AR270,0)*$AT$208,0)*AV270,0)</f>
        <v>86</v>
      </c>
      <c r="BA270" s="393"/>
    </row>
    <row r="271" spans="1:53" ht="17.100000000000001" customHeight="1" x14ac:dyDescent="0.15">
      <c r="A271" s="340">
        <v>12</v>
      </c>
      <c r="B271" s="341">
        <v>8429</v>
      </c>
      <c r="C271" s="390" t="s">
        <v>17434</v>
      </c>
      <c r="D271" s="403"/>
      <c r="E271" s="404"/>
      <c r="F271" s="404"/>
      <c r="G271" s="404"/>
      <c r="H271" s="406"/>
      <c r="I271" s="908" t="s">
        <v>16372</v>
      </c>
      <c r="J271" s="909"/>
      <c r="K271" s="909"/>
      <c r="L271" s="909"/>
      <c r="M271" s="909"/>
      <c r="N271" s="909"/>
      <c r="O271" s="909"/>
      <c r="P271" s="909"/>
      <c r="Q271" s="909"/>
      <c r="R271" s="909"/>
      <c r="S271" s="909"/>
      <c r="T271" s="909"/>
      <c r="U271" s="910"/>
      <c r="V271" s="343"/>
      <c r="W271" s="343"/>
      <c r="X271" s="343"/>
      <c r="Y271" s="343"/>
      <c r="Z271" s="343"/>
      <c r="AA271" s="343"/>
      <c r="AB271" s="343"/>
      <c r="AC271" s="343"/>
      <c r="AD271" s="343"/>
      <c r="AE271" s="343"/>
      <c r="AF271" s="343"/>
      <c r="AG271" s="343"/>
      <c r="AH271" s="343"/>
      <c r="AI271" s="343"/>
      <c r="AJ271" s="401"/>
      <c r="AK271" s="402"/>
      <c r="AL271" s="396"/>
      <c r="AM271" s="396"/>
      <c r="AN271" s="396"/>
      <c r="AO271" s="396"/>
      <c r="AP271" s="396"/>
      <c r="AQ271" s="396"/>
      <c r="AR271" s="396"/>
      <c r="AS271" s="396"/>
      <c r="AT271" s="490"/>
      <c r="AU271" s="387"/>
      <c r="AV271" s="400"/>
      <c r="AW271" s="400"/>
      <c r="AX271" s="396"/>
      <c r="AY271" s="397"/>
      <c r="AZ271" s="489">
        <f>ROUND(Q272*$AT$208,0)</f>
        <v>120</v>
      </c>
      <c r="BA271" s="393"/>
    </row>
    <row r="272" spans="1:53" ht="16.5" customHeight="1" x14ac:dyDescent="0.15">
      <c r="A272" s="340">
        <v>12</v>
      </c>
      <c r="B272" s="341">
        <v>8430</v>
      </c>
      <c r="C272" s="390" t="s">
        <v>17435</v>
      </c>
      <c r="D272" s="403"/>
      <c r="E272" s="404"/>
      <c r="F272" s="404"/>
      <c r="G272" s="404"/>
      <c r="H272" s="406"/>
      <c r="Q272" s="836">
        <f>'2重度訪問'!U140</f>
        <v>80</v>
      </c>
      <c r="R272" s="911"/>
      <c r="S272" s="911"/>
      <c r="T272" s="152" t="s">
        <v>15624</v>
      </c>
      <c r="U272" s="387"/>
      <c r="V272" s="343" t="s">
        <v>15625</v>
      </c>
      <c r="W272" s="325"/>
      <c r="X272" s="325"/>
      <c r="Y272" s="325"/>
      <c r="Z272" s="325"/>
      <c r="AA272" s="325"/>
      <c r="AB272" s="325"/>
      <c r="AC272" s="325"/>
      <c r="AD272" s="325"/>
      <c r="AE272" s="325"/>
      <c r="AF272" s="325"/>
      <c r="AG272" s="325"/>
      <c r="AH272" s="325"/>
      <c r="AI272" s="391" t="s">
        <v>15626</v>
      </c>
      <c r="AJ272" s="838">
        <f>AJ270</f>
        <v>1</v>
      </c>
      <c r="AK272" s="839"/>
      <c r="AL272" s="325"/>
      <c r="AM272" s="325"/>
      <c r="AN272" s="325"/>
      <c r="AO272" s="325"/>
      <c r="AP272" s="325"/>
      <c r="AQ272" s="325"/>
      <c r="AR272" s="325"/>
      <c r="AS272" s="391"/>
      <c r="AT272" s="503"/>
      <c r="AU272" s="504"/>
      <c r="AY272" s="387"/>
      <c r="AZ272" s="489">
        <f>ROUND(ROUND(Q272*AJ272,0)*$AT$208,0)</f>
        <v>120</v>
      </c>
      <c r="BA272" s="393"/>
    </row>
    <row r="273" spans="1:53" ht="16.5" customHeight="1" x14ac:dyDescent="0.15">
      <c r="A273" s="340">
        <v>12</v>
      </c>
      <c r="B273" s="341">
        <v>8431</v>
      </c>
      <c r="C273" s="390" t="s">
        <v>17436</v>
      </c>
      <c r="D273" s="403"/>
      <c r="E273" s="404"/>
      <c r="F273" s="404"/>
      <c r="G273" s="404"/>
      <c r="H273" s="406"/>
      <c r="Q273" s="395"/>
      <c r="R273" s="151"/>
      <c r="S273" s="151"/>
      <c r="U273" s="387"/>
      <c r="V273" s="343"/>
      <c r="W273" s="343"/>
      <c r="X273" s="343"/>
      <c r="Y273" s="343"/>
      <c r="Z273" s="343"/>
      <c r="AA273" s="343"/>
      <c r="AB273" s="343"/>
      <c r="AC273" s="343"/>
      <c r="AD273" s="343"/>
      <c r="AE273" s="343"/>
      <c r="AF273" s="343"/>
      <c r="AG273" s="343"/>
      <c r="AH273" s="343"/>
      <c r="AI273" s="343"/>
      <c r="AJ273" s="343"/>
      <c r="AK273" s="343"/>
      <c r="AL273" s="114" t="s">
        <v>15628</v>
      </c>
      <c r="AM273" s="396"/>
      <c r="AN273" s="396"/>
      <c r="AO273" s="396"/>
      <c r="AP273" s="396"/>
      <c r="AQ273" s="396"/>
      <c r="AR273" s="396"/>
      <c r="AS273" s="396"/>
      <c r="AT273" s="490"/>
      <c r="AU273" s="387"/>
      <c r="AY273" s="387"/>
      <c r="AZ273" s="489">
        <f>ROUND(ROUND(Q272*AR274,0)*$AT$208,0)</f>
        <v>102</v>
      </c>
      <c r="BA273" s="393"/>
    </row>
    <row r="274" spans="1:53" ht="16.5" customHeight="1" x14ac:dyDescent="0.15">
      <c r="A274" s="340">
        <v>12</v>
      </c>
      <c r="B274" s="341">
        <v>8432</v>
      </c>
      <c r="C274" s="390" t="s">
        <v>17437</v>
      </c>
      <c r="D274" s="403"/>
      <c r="E274" s="404"/>
      <c r="F274" s="404"/>
      <c r="G274" s="404"/>
      <c r="H274" s="406"/>
      <c r="Q274" s="395"/>
      <c r="R274" s="151"/>
      <c r="S274" s="151"/>
      <c r="U274" s="387"/>
      <c r="V274" s="343" t="s">
        <v>15625</v>
      </c>
      <c r="W274" s="325"/>
      <c r="X274" s="325"/>
      <c r="Y274" s="325"/>
      <c r="Z274" s="325"/>
      <c r="AA274" s="325"/>
      <c r="AB274" s="325"/>
      <c r="AC274" s="325"/>
      <c r="AD274" s="325"/>
      <c r="AE274" s="325"/>
      <c r="AF274" s="325"/>
      <c r="AG274" s="325"/>
      <c r="AH274" s="325"/>
      <c r="AI274" s="391" t="s">
        <v>15626</v>
      </c>
      <c r="AJ274" s="838">
        <f>AJ272</f>
        <v>1</v>
      </c>
      <c r="AK274" s="843"/>
      <c r="AL274" s="324" t="s">
        <v>15630</v>
      </c>
      <c r="AM274" s="325"/>
      <c r="AN274" s="325"/>
      <c r="AO274" s="325"/>
      <c r="AP274" s="325"/>
      <c r="AQ274" s="190" t="s">
        <v>398</v>
      </c>
      <c r="AR274" s="844">
        <f>AR270</f>
        <v>0.85</v>
      </c>
      <c r="AS274" s="844"/>
      <c r="AT274" s="501"/>
      <c r="AU274" s="502"/>
      <c r="AY274" s="387"/>
      <c r="AZ274" s="489">
        <f>ROUND(ROUND(ROUND(Q272*AJ274,0)*AR274,0)*$AT$208,0)</f>
        <v>102</v>
      </c>
      <c r="BA274" s="393"/>
    </row>
    <row r="275" spans="1:53" ht="17.100000000000001" customHeight="1" x14ac:dyDescent="0.15">
      <c r="A275" s="340">
        <v>12</v>
      </c>
      <c r="B275" s="341">
        <v>8433</v>
      </c>
      <c r="C275" s="390" t="s">
        <v>17438</v>
      </c>
      <c r="D275" s="403"/>
      <c r="E275" s="404"/>
      <c r="F275" s="404"/>
      <c r="G275" s="404"/>
      <c r="H275" s="406"/>
      <c r="I275" s="10"/>
      <c r="L275" s="151"/>
      <c r="M275" s="151"/>
      <c r="N275" s="151"/>
      <c r="U275" s="387"/>
      <c r="V275" s="343"/>
      <c r="W275" s="343"/>
      <c r="X275" s="343"/>
      <c r="Y275" s="343"/>
      <c r="Z275" s="343"/>
      <c r="AA275" s="343"/>
      <c r="AB275" s="343"/>
      <c r="AC275" s="343"/>
      <c r="AD275" s="343"/>
      <c r="AE275" s="343"/>
      <c r="AF275" s="343"/>
      <c r="AG275" s="343"/>
      <c r="AH275" s="343"/>
      <c r="AI275" s="343"/>
      <c r="AJ275" s="401"/>
      <c r="AK275" s="402"/>
      <c r="AL275" s="396"/>
      <c r="AM275" s="396"/>
      <c r="AN275" s="396"/>
      <c r="AO275" s="396"/>
      <c r="AP275" s="396"/>
      <c r="AQ275" s="396"/>
      <c r="AR275" s="396"/>
      <c r="AS275" s="396"/>
      <c r="AT275" s="490"/>
      <c r="AU275" s="387"/>
      <c r="AV275" s="858" t="s">
        <v>16296</v>
      </c>
      <c r="AW275" s="858"/>
      <c r="AX275" s="858"/>
      <c r="AY275" s="860"/>
      <c r="AZ275" s="489">
        <f>ROUND(ROUND(Q272*$AT$208,0)*AV278,0)</f>
        <v>96</v>
      </c>
      <c r="BA275" s="393"/>
    </row>
    <row r="276" spans="1:53" ht="16.5" customHeight="1" x14ac:dyDescent="0.15">
      <c r="A276" s="340">
        <v>12</v>
      </c>
      <c r="B276" s="341">
        <v>8434</v>
      </c>
      <c r="C276" s="390" t="s">
        <v>17439</v>
      </c>
      <c r="D276" s="403"/>
      <c r="E276" s="404"/>
      <c r="F276" s="404"/>
      <c r="G276" s="404"/>
      <c r="H276" s="406"/>
      <c r="Q276" s="899"/>
      <c r="R276" s="899"/>
      <c r="S276" s="899"/>
      <c r="U276" s="387"/>
      <c r="V276" s="343" t="s">
        <v>15625</v>
      </c>
      <c r="W276" s="325"/>
      <c r="X276" s="325"/>
      <c r="Y276" s="325"/>
      <c r="Z276" s="325"/>
      <c r="AA276" s="325"/>
      <c r="AB276" s="325"/>
      <c r="AC276" s="325"/>
      <c r="AD276" s="325"/>
      <c r="AE276" s="325"/>
      <c r="AF276" s="325"/>
      <c r="AG276" s="325"/>
      <c r="AH276" s="325"/>
      <c r="AI276" s="391" t="s">
        <v>15626</v>
      </c>
      <c r="AJ276" s="838">
        <f>AJ274</f>
        <v>1</v>
      </c>
      <c r="AK276" s="839"/>
      <c r="AL276" s="325"/>
      <c r="AM276" s="325"/>
      <c r="AN276" s="325"/>
      <c r="AO276" s="325"/>
      <c r="AP276" s="325"/>
      <c r="AQ276" s="325"/>
      <c r="AR276" s="325"/>
      <c r="AS276" s="391"/>
      <c r="AT276" s="503"/>
      <c r="AU276" s="504"/>
      <c r="AV276" s="850"/>
      <c r="AW276" s="850"/>
      <c r="AX276" s="850"/>
      <c r="AY276" s="852"/>
      <c r="AZ276" s="489">
        <f>ROUND(ROUND(ROUND(Q272*AJ276,0)*$AT$208,0)*AV278,0)</f>
        <v>96</v>
      </c>
      <c r="BA276" s="393"/>
    </row>
    <row r="277" spans="1:53" ht="16.5" customHeight="1" x14ac:dyDescent="0.15">
      <c r="A277" s="340">
        <v>12</v>
      </c>
      <c r="B277" s="341">
        <v>8435</v>
      </c>
      <c r="C277" s="390" t="s">
        <v>17440</v>
      </c>
      <c r="D277" s="403"/>
      <c r="E277" s="404"/>
      <c r="F277" s="404"/>
      <c r="G277" s="404"/>
      <c r="H277" s="406"/>
      <c r="Q277" s="395"/>
      <c r="R277" s="151"/>
      <c r="S277" s="151"/>
      <c r="U277" s="387"/>
      <c r="V277" s="343"/>
      <c r="W277" s="343"/>
      <c r="X277" s="343"/>
      <c r="Y277" s="343"/>
      <c r="Z277" s="343"/>
      <c r="AA277" s="343"/>
      <c r="AB277" s="343"/>
      <c r="AC277" s="343"/>
      <c r="AD277" s="343"/>
      <c r="AE277" s="343"/>
      <c r="AF277" s="343"/>
      <c r="AG277" s="343"/>
      <c r="AH277" s="343"/>
      <c r="AI277" s="343"/>
      <c r="AJ277" s="343"/>
      <c r="AK277" s="343"/>
      <c r="AL277" s="114" t="s">
        <v>15628</v>
      </c>
      <c r="AM277" s="396"/>
      <c r="AN277" s="396"/>
      <c r="AO277" s="396"/>
      <c r="AP277" s="396"/>
      <c r="AQ277" s="396"/>
      <c r="AR277" s="396"/>
      <c r="AS277" s="396"/>
      <c r="AT277" s="490"/>
      <c r="AU277" s="387"/>
      <c r="AV277" s="902" t="s">
        <v>15636</v>
      </c>
      <c r="AW277" s="902"/>
      <c r="AX277" s="902"/>
      <c r="AY277" s="903"/>
      <c r="AZ277" s="489">
        <f>ROUND(ROUND(ROUND(Q272*AR278,0)*$AT$208,0)*AV278,0)</f>
        <v>82</v>
      </c>
      <c r="BA277" s="393"/>
    </row>
    <row r="278" spans="1:53" ht="16.5" customHeight="1" x14ac:dyDescent="0.15">
      <c r="A278" s="340">
        <v>12</v>
      </c>
      <c r="B278" s="341">
        <v>8436</v>
      </c>
      <c r="C278" s="390" t="s">
        <v>17441</v>
      </c>
      <c r="D278" s="419"/>
      <c r="E278" s="420"/>
      <c r="F278" s="420"/>
      <c r="G278" s="420"/>
      <c r="H278" s="422"/>
      <c r="I278" s="325"/>
      <c r="J278" s="325"/>
      <c r="K278" s="325"/>
      <c r="L278" s="325"/>
      <c r="M278" s="325"/>
      <c r="N278" s="325"/>
      <c r="O278" s="325"/>
      <c r="P278" s="325"/>
      <c r="Q278" s="416"/>
      <c r="R278" s="417"/>
      <c r="S278" s="417"/>
      <c r="T278" s="325"/>
      <c r="U278" s="388"/>
      <c r="V278" s="343" t="s">
        <v>15625</v>
      </c>
      <c r="W278" s="325"/>
      <c r="X278" s="325"/>
      <c r="Y278" s="325"/>
      <c r="Z278" s="325"/>
      <c r="AA278" s="325"/>
      <c r="AB278" s="325"/>
      <c r="AC278" s="325"/>
      <c r="AD278" s="325"/>
      <c r="AE278" s="325"/>
      <c r="AF278" s="325"/>
      <c r="AG278" s="325"/>
      <c r="AH278" s="325"/>
      <c r="AI278" s="391" t="s">
        <v>15626</v>
      </c>
      <c r="AJ278" s="838">
        <f>AJ276</f>
        <v>1</v>
      </c>
      <c r="AK278" s="843"/>
      <c r="AL278" s="324" t="s">
        <v>15630</v>
      </c>
      <c r="AM278" s="325"/>
      <c r="AN278" s="325"/>
      <c r="AO278" s="325"/>
      <c r="AP278" s="325"/>
      <c r="AQ278" s="190" t="s">
        <v>398</v>
      </c>
      <c r="AR278" s="844">
        <f>AR274</f>
        <v>0.85</v>
      </c>
      <c r="AS278" s="844"/>
      <c r="AT278" s="505"/>
      <c r="AU278" s="506"/>
      <c r="AV278" s="844">
        <f>AV270</f>
        <v>0.8</v>
      </c>
      <c r="AW278" s="844"/>
      <c r="AX278" s="844"/>
      <c r="AY278" s="845"/>
      <c r="AZ278" s="491">
        <f>ROUND(ROUND(ROUND(ROUND(Q272*AJ278,0)*AR278,0)*$AT$208,0)*AV278,0)</f>
        <v>82</v>
      </c>
      <c r="BA278" s="418"/>
    </row>
    <row r="279" spans="1:53" ht="17.100000000000001" customHeight="1" x14ac:dyDescent="0.15">
      <c r="A279" s="321">
        <v>12</v>
      </c>
      <c r="B279" s="322">
        <v>8437</v>
      </c>
      <c r="C279" s="386" t="s">
        <v>17442</v>
      </c>
      <c r="D279" s="849" t="s">
        <v>15740</v>
      </c>
      <c r="E279" s="850"/>
      <c r="F279" s="850"/>
      <c r="G279" s="850"/>
      <c r="H279" s="852"/>
      <c r="I279" s="908" t="s">
        <v>16381</v>
      </c>
      <c r="J279" s="909"/>
      <c r="K279" s="909"/>
      <c r="L279" s="909"/>
      <c r="M279" s="909"/>
      <c r="N279" s="909"/>
      <c r="O279" s="909"/>
      <c r="P279" s="909"/>
      <c r="Q279" s="909"/>
      <c r="R279" s="909"/>
      <c r="S279" s="909"/>
      <c r="T279" s="909"/>
      <c r="U279" s="910"/>
      <c r="V279" s="325"/>
      <c r="W279" s="325"/>
      <c r="X279" s="325"/>
      <c r="Y279" s="325"/>
      <c r="Z279" s="325"/>
      <c r="AA279" s="325"/>
      <c r="AB279" s="325"/>
      <c r="AC279" s="325"/>
      <c r="AD279" s="325"/>
      <c r="AE279" s="325"/>
      <c r="AF279" s="325"/>
      <c r="AG279" s="325"/>
      <c r="AH279" s="325"/>
      <c r="AI279" s="325"/>
      <c r="AJ279" s="401"/>
      <c r="AK279" s="402"/>
      <c r="AQ279" s="152"/>
      <c r="AR279" s="152"/>
      <c r="AS279" s="152"/>
      <c r="AT279" s="920" t="s">
        <v>862</v>
      </c>
      <c r="AU279" s="917"/>
      <c r="AV279" s="151"/>
      <c r="AW279" s="151"/>
      <c r="AY279" s="387"/>
      <c r="AZ279" s="489">
        <f>ROUND(Q280*$AT$288,0)</f>
        <v>129</v>
      </c>
      <c r="BA279" s="329" t="s">
        <v>15622</v>
      </c>
    </row>
    <row r="280" spans="1:53" ht="16.5" customHeight="1" x14ac:dyDescent="0.15">
      <c r="A280" s="340">
        <v>12</v>
      </c>
      <c r="B280" s="341">
        <v>8438</v>
      </c>
      <c r="C280" s="390" t="s">
        <v>17443</v>
      </c>
      <c r="D280" s="849"/>
      <c r="E280" s="850"/>
      <c r="F280" s="850"/>
      <c r="G280" s="850"/>
      <c r="H280" s="852"/>
      <c r="Q280" s="836">
        <f>'2重度訪問'!U144</f>
        <v>86</v>
      </c>
      <c r="R280" s="911"/>
      <c r="S280" s="911"/>
      <c r="T280" s="152" t="s">
        <v>15624</v>
      </c>
      <c r="U280" s="387"/>
      <c r="V280" s="343" t="s">
        <v>15625</v>
      </c>
      <c r="W280" s="325"/>
      <c r="X280" s="325"/>
      <c r="Y280" s="325"/>
      <c r="Z280" s="325"/>
      <c r="AA280" s="325"/>
      <c r="AB280" s="325"/>
      <c r="AC280" s="325"/>
      <c r="AD280" s="325"/>
      <c r="AE280" s="325"/>
      <c r="AF280" s="325"/>
      <c r="AG280" s="325"/>
      <c r="AH280" s="325"/>
      <c r="AI280" s="391" t="s">
        <v>15626</v>
      </c>
      <c r="AJ280" s="838">
        <f>AJ182</f>
        <v>1</v>
      </c>
      <c r="AK280" s="839"/>
      <c r="AL280" s="325"/>
      <c r="AM280" s="325"/>
      <c r="AN280" s="325"/>
      <c r="AO280" s="325"/>
      <c r="AP280" s="325"/>
      <c r="AQ280" s="325"/>
      <c r="AR280" s="325"/>
      <c r="AS280" s="391"/>
      <c r="AT280" s="912"/>
      <c r="AU280" s="913"/>
      <c r="AY280" s="387"/>
      <c r="AZ280" s="489">
        <f>ROUND(ROUND(Q280*AJ280,0)*$AT$288,0)</f>
        <v>129</v>
      </c>
      <c r="BA280" s="393"/>
    </row>
    <row r="281" spans="1:53" ht="16.5" customHeight="1" x14ac:dyDescent="0.15">
      <c r="A281" s="340">
        <v>12</v>
      </c>
      <c r="B281" s="341">
        <v>8439</v>
      </c>
      <c r="C281" s="390" t="s">
        <v>17444</v>
      </c>
      <c r="D281" s="849"/>
      <c r="E281" s="850"/>
      <c r="F281" s="850"/>
      <c r="G281" s="850"/>
      <c r="H281" s="852"/>
      <c r="Q281" s="395"/>
      <c r="R281" s="151"/>
      <c r="S281" s="151"/>
      <c r="U281" s="387"/>
      <c r="V281" s="343"/>
      <c r="W281" s="343"/>
      <c r="X281" s="343"/>
      <c r="Y281" s="343"/>
      <c r="Z281" s="343"/>
      <c r="AA281" s="343"/>
      <c r="AB281" s="343"/>
      <c r="AC281" s="343"/>
      <c r="AD281" s="343"/>
      <c r="AE281" s="343"/>
      <c r="AF281" s="343"/>
      <c r="AG281" s="343"/>
      <c r="AH281" s="343"/>
      <c r="AI281" s="343"/>
      <c r="AJ281" s="343"/>
      <c r="AK281" s="343"/>
      <c r="AL281" s="114" t="s">
        <v>15628</v>
      </c>
      <c r="AM281" s="396"/>
      <c r="AN281" s="396"/>
      <c r="AO281" s="396"/>
      <c r="AP281" s="396"/>
      <c r="AQ281" s="396"/>
      <c r="AR281" s="396"/>
      <c r="AS281" s="396"/>
      <c r="AT281" s="912"/>
      <c r="AU281" s="913"/>
      <c r="AY281" s="387"/>
      <c r="AZ281" s="489">
        <f>ROUND(ROUND(Q280*AR282,0)*$AT$288,0)</f>
        <v>110</v>
      </c>
      <c r="BA281" s="393"/>
    </row>
    <row r="282" spans="1:53" ht="16.5" customHeight="1" x14ac:dyDescent="0.15">
      <c r="A282" s="340">
        <v>12</v>
      </c>
      <c r="B282" s="341">
        <v>8440</v>
      </c>
      <c r="C282" s="390" t="s">
        <v>17445</v>
      </c>
      <c r="D282" s="849"/>
      <c r="E282" s="850"/>
      <c r="F282" s="850"/>
      <c r="G282" s="850"/>
      <c r="H282" s="852"/>
      <c r="Q282" s="395"/>
      <c r="R282" s="151"/>
      <c r="S282" s="151"/>
      <c r="U282" s="387"/>
      <c r="V282" s="343" t="s">
        <v>15625</v>
      </c>
      <c r="W282" s="325"/>
      <c r="X282" s="325"/>
      <c r="Y282" s="325"/>
      <c r="Z282" s="325"/>
      <c r="AA282" s="325"/>
      <c r="AB282" s="325"/>
      <c r="AC282" s="325"/>
      <c r="AD282" s="325"/>
      <c r="AE282" s="325"/>
      <c r="AF282" s="325"/>
      <c r="AG282" s="325"/>
      <c r="AH282" s="325"/>
      <c r="AI282" s="391" t="s">
        <v>15626</v>
      </c>
      <c r="AJ282" s="838">
        <f>AJ280</f>
        <v>1</v>
      </c>
      <c r="AK282" s="843"/>
      <c r="AL282" s="324" t="s">
        <v>15630</v>
      </c>
      <c r="AM282" s="325"/>
      <c r="AN282" s="325"/>
      <c r="AO282" s="325"/>
      <c r="AP282" s="325"/>
      <c r="AQ282" s="190" t="s">
        <v>398</v>
      </c>
      <c r="AR282" s="844">
        <f>AR182</f>
        <v>0.85</v>
      </c>
      <c r="AS282" s="844"/>
      <c r="AT282" s="912"/>
      <c r="AU282" s="913"/>
      <c r="AY282" s="387"/>
      <c r="AZ282" s="489">
        <f>ROUND(ROUND(ROUND(Q280*AJ282,0)*AR282,0)*$AT$288,0)</f>
        <v>110</v>
      </c>
      <c r="BA282" s="393"/>
    </row>
    <row r="283" spans="1:53" ht="17.100000000000001" customHeight="1" x14ac:dyDescent="0.15">
      <c r="A283" s="340">
        <v>12</v>
      </c>
      <c r="B283" s="341">
        <v>8441</v>
      </c>
      <c r="C283" s="390" t="s">
        <v>17446</v>
      </c>
      <c r="D283" s="403"/>
      <c r="E283" s="404"/>
      <c r="F283" s="404"/>
      <c r="G283" s="404"/>
      <c r="H283" s="406"/>
      <c r="I283" s="10"/>
      <c r="L283" s="151"/>
      <c r="M283" s="151"/>
      <c r="N283" s="151"/>
      <c r="U283" s="387"/>
      <c r="V283" s="343"/>
      <c r="W283" s="343"/>
      <c r="X283" s="343"/>
      <c r="Y283" s="343"/>
      <c r="Z283" s="343"/>
      <c r="AA283" s="343"/>
      <c r="AB283" s="343"/>
      <c r="AC283" s="343"/>
      <c r="AD283" s="343"/>
      <c r="AE283" s="343"/>
      <c r="AF283" s="343"/>
      <c r="AG283" s="343"/>
      <c r="AH283" s="343"/>
      <c r="AI283" s="343"/>
      <c r="AJ283" s="401"/>
      <c r="AK283" s="402"/>
      <c r="AL283" s="396"/>
      <c r="AM283" s="396"/>
      <c r="AN283" s="396"/>
      <c r="AO283" s="396"/>
      <c r="AP283" s="396"/>
      <c r="AQ283" s="396"/>
      <c r="AR283" s="396"/>
      <c r="AS283" s="396"/>
      <c r="AT283" s="912"/>
      <c r="AU283" s="913"/>
      <c r="AV283" s="858" t="s">
        <v>16296</v>
      </c>
      <c r="AW283" s="858"/>
      <c r="AX283" s="858"/>
      <c r="AY283" s="860"/>
      <c r="AZ283" s="489">
        <f>ROUND(ROUND(Q280*$AT$288,0)*AV286,0)</f>
        <v>103</v>
      </c>
      <c r="BA283" s="393"/>
    </row>
    <row r="284" spans="1:53" ht="16.5" customHeight="1" x14ac:dyDescent="0.15">
      <c r="A284" s="340">
        <v>12</v>
      </c>
      <c r="B284" s="341">
        <v>8442</v>
      </c>
      <c r="C284" s="390" t="s">
        <v>17447</v>
      </c>
      <c r="D284" s="403"/>
      <c r="E284" s="404"/>
      <c r="F284" s="404"/>
      <c r="G284" s="404"/>
      <c r="H284" s="406"/>
      <c r="Q284" s="899"/>
      <c r="R284" s="899"/>
      <c r="S284" s="899"/>
      <c r="U284" s="387"/>
      <c r="V284" s="343" t="s">
        <v>15625</v>
      </c>
      <c r="W284" s="325"/>
      <c r="X284" s="325"/>
      <c r="Y284" s="325"/>
      <c r="Z284" s="325"/>
      <c r="AA284" s="325"/>
      <c r="AB284" s="325"/>
      <c r="AC284" s="325"/>
      <c r="AD284" s="325"/>
      <c r="AE284" s="325"/>
      <c r="AF284" s="325"/>
      <c r="AG284" s="325"/>
      <c r="AH284" s="325"/>
      <c r="AI284" s="391" t="s">
        <v>15626</v>
      </c>
      <c r="AJ284" s="838">
        <f>AJ282</f>
        <v>1</v>
      </c>
      <c r="AK284" s="839"/>
      <c r="AL284" s="325"/>
      <c r="AM284" s="325"/>
      <c r="AN284" s="325"/>
      <c r="AO284" s="325"/>
      <c r="AP284" s="325"/>
      <c r="AQ284" s="325"/>
      <c r="AR284" s="325"/>
      <c r="AS284" s="391"/>
      <c r="AT284" s="912"/>
      <c r="AU284" s="913"/>
      <c r="AV284" s="850"/>
      <c r="AW284" s="850"/>
      <c r="AX284" s="850"/>
      <c r="AY284" s="852"/>
      <c r="AZ284" s="489">
        <f>ROUND(ROUND(ROUND(Q280*AJ284,0)*$AT$288,0)*AV286,0)</f>
        <v>103</v>
      </c>
      <c r="BA284" s="393"/>
    </row>
    <row r="285" spans="1:53" ht="16.5" customHeight="1" x14ac:dyDescent="0.15">
      <c r="A285" s="340">
        <v>12</v>
      </c>
      <c r="B285" s="341">
        <v>8443</v>
      </c>
      <c r="C285" s="390" t="s">
        <v>17448</v>
      </c>
      <c r="D285" s="403"/>
      <c r="E285" s="404"/>
      <c r="F285" s="497"/>
      <c r="G285" s="497"/>
      <c r="H285" s="498"/>
      <c r="Q285" s="395"/>
      <c r="R285" s="151"/>
      <c r="S285" s="151"/>
      <c r="U285" s="387"/>
      <c r="V285" s="343"/>
      <c r="W285" s="343"/>
      <c r="X285" s="343"/>
      <c r="Y285" s="343"/>
      <c r="Z285" s="343"/>
      <c r="AA285" s="343"/>
      <c r="AB285" s="343"/>
      <c r="AC285" s="343"/>
      <c r="AD285" s="343"/>
      <c r="AE285" s="343"/>
      <c r="AF285" s="343"/>
      <c r="AG285" s="343"/>
      <c r="AH285" s="343"/>
      <c r="AI285" s="343"/>
      <c r="AJ285" s="343"/>
      <c r="AK285" s="343"/>
      <c r="AL285" s="114" t="s">
        <v>15628</v>
      </c>
      <c r="AM285" s="396"/>
      <c r="AN285" s="396"/>
      <c r="AO285" s="396"/>
      <c r="AP285" s="396"/>
      <c r="AQ285" s="396"/>
      <c r="AR285" s="396"/>
      <c r="AS285" s="396"/>
      <c r="AT285" s="912"/>
      <c r="AU285" s="913"/>
      <c r="AV285" s="902" t="s">
        <v>15636</v>
      </c>
      <c r="AW285" s="902"/>
      <c r="AX285" s="902"/>
      <c r="AY285" s="903"/>
      <c r="AZ285" s="489">
        <f>ROUND(ROUND(ROUND(Q280*AR286,0)*$AT$288,0)*AV286,0)</f>
        <v>88</v>
      </c>
      <c r="BA285" s="393"/>
    </row>
    <row r="286" spans="1:53" ht="16.5" customHeight="1" x14ac:dyDescent="0.15">
      <c r="A286" s="340">
        <v>12</v>
      </c>
      <c r="B286" s="341">
        <v>8444</v>
      </c>
      <c r="C286" s="390" t="s">
        <v>17449</v>
      </c>
      <c r="D286" s="403"/>
      <c r="E286" s="404"/>
      <c r="F286" s="404"/>
      <c r="G286" s="404"/>
      <c r="H286" s="406"/>
      <c r="Q286" s="395"/>
      <c r="R286" s="151"/>
      <c r="S286" s="151"/>
      <c r="U286" s="387"/>
      <c r="V286" s="343" t="s">
        <v>15625</v>
      </c>
      <c r="W286" s="325"/>
      <c r="X286" s="325"/>
      <c r="Y286" s="325"/>
      <c r="Z286" s="325"/>
      <c r="AA286" s="325"/>
      <c r="AB286" s="325"/>
      <c r="AC286" s="325"/>
      <c r="AD286" s="325"/>
      <c r="AE286" s="325"/>
      <c r="AF286" s="325"/>
      <c r="AG286" s="325"/>
      <c r="AH286" s="325"/>
      <c r="AI286" s="391" t="s">
        <v>15626</v>
      </c>
      <c r="AJ286" s="838">
        <f>AJ284</f>
        <v>1</v>
      </c>
      <c r="AK286" s="843"/>
      <c r="AL286" s="324" t="s">
        <v>15630</v>
      </c>
      <c r="AM286" s="325"/>
      <c r="AN286" s="325"/>
      <c r="AO286" s="325"/>
      <c r="AP286" s="325"/>
      <c r="AQ286" s="190" t="s">
        <v>398</v>
      </c>
      <c r="AR286" s="844">
        <f>AR282</f>
        <v>0.85</v>
      </c>
      <c r="AS286" s="844"/>
      <c r="AT286" s="912"/>
      <c r="AU286" s="913"/>
      <c r="AV286" s="844">
        <f>AV278</f>
        <v>0.8</v>
      </c>
      <c r="AW286" s="844"/>
      <c r="AX286" s="844"/>
      <c r="AY286" s="845"/>
      <c r="AZ286" s="489">
        <f>ROUND(ROUND(ROUND(ROUND(Q280*AJ286,0)*AR286,0)*$AT$288,0)*AV286,0)</f>
        <v>88</v>
      </c>
      <c r="BA286" s="393"/>
    </row>
    <row r="287" spans="1:53" ht="17.100000000000001" customHeight="1" x14ac:dyDescent="0.15">
      <c r="A287" s="340">
        <v>12</v>
      </c>
      <c r="B287" s="341">
        <v>8445</v>
      </c>
      <c r="C287" s="390" t="s">
        <v>17450</v>
      </c>
      <c r="D287" s="403"/>
      <c r="E287" s="404"/>
      <c r="F287" s="404"/>
      <c r="G287" s="404"/>
      <c r="H287" s="406"/>
      <c r="I287" s="908" t="s">
        <v>16390</v>
      </c>
      <c r="J287" s="909"/>
      <c r="K287" s="909"/>
      <c r="L287" s="909"/>
      <c r="M287" s="909"/>
      <c r="N287" s="909"/>
      <c r="O287" s="909"/>
      <c r="P287" s="909"/>
      <c r="Q287" s="909"/>
      <c r="R287" s="909"/>
      <c r="S287" s="909"/>
      <c r="T287" s="909"/>
      <c r="U287" s="910"/>
      <c r="V287" s="343"/>
      <c r="W287" s="343"/>
      <c r="X287" s="343"/>
      <c r="Y287" s="343"/>
      <c r="Z287" s="343"/>
      <c r="AA287" s="343"/>
      <c r="AB287" s="343"/>
      <c r="AC287" s="343"/>
      <c r="AD287" s="343"/>
      <c r="AE287" s="343"/>
      <c r="AF287" s="343"/>
      <c r="AG287" s="343"/>
      <c r="AH287" s="343"/>
      <c r="AI287" s="343"/>
      <c r="AJ287" s="401"/>
      <c r="AK287" s="402"/>
      <c r="AL287" s="396"/>
      <c r="AM287" s="396"/>
      <c r="AN287" s="396"/>
      <c r="AO287" s="396"/>
      <c r="AP287" s="396"/>
      <c r="AQ287" s="396"/>
      <c r="AR287" s="396"/>
      <c r="AS287" s="396"/>
      <c r="AT287" s="918" t="s">
        <v>15636</v>
      </c>
      <c r="AU287" s="913"/>
      <c r="AV287" s="400"/>
      <c r="AW287" s="400"/>
      <c r="AX287" s="396"/>
      <c r="AY287" s="397"/>
      <c r="AZ287" s="489">
        <f>ROUND(Q288*$AT$288,0)</f>
        <v>120</v>
      </c>
      <c r="BA287" s="393"/>
    </row>
    <row r="288" spans="1:53" ht="16.5" customHeight="1" x14ac:dyDescent="0.15">
      <c r="A288" s="340">
        <v>12</v>
      </c>
      <c r="B288" s="341">
        <v>8446</v>
      </c>
      <c r="C288" s="390" t="s">
        <v>17451</v>
      </c>
      <c r="D288" s="403"/>
      <c r="E288" s="404"/>
      <c r="F288" s="404"/>
      <c r="G288" s="404"/>
      <c r="H288" s="406"/>
      <c r="Q288" s="836">
        <f>'2重度訪問'!U148</f>
        <v>80</v>
      </c>
      <c r="R288" s="911"/>
      <c r="S288" s="911"/>
      <c r="T288" s="152" t="s">
        <v>15624</v>
      </c>
      <c r="U288" s="387"/>
      <c r="V288" s="343" t="s">
        <v>15625</v>
      </c>
      <c r="W288" s="325"/>
      <c r="X288" s="325"/>
      <c r="Y288" s="325"/>
      <c r="Z288" s="325"/>
      <c r="AA288" s="325"/>
      <c r="AB288" s="325"/>
      <c r="AC288" s="325"/>
      <c r="AD288" s="325"/>
      <c r="AE288" s="325"/>
      <c r="AF288" s="325"/>
      <c r="AG288" s="325"/>
      <c r="AH288" s="325"/>
      <c r="AI288" s="391" t="s">
        <v>15626</v>
      </c>
      <c r="AJ288" s="838">
        <f>AJ286</f>
        <v>1</v>
      </c>
      <c r="AK288" s="839"/>
      <c r="AL288" s="325"/>
      <c r="AM288" s="325"/>
      <c r="AN288" s="325"/>
      <c r="AO288" s="325"/>
      <c r="AP288" s="325"/>
      <c r="AQ288" s="325"/>
      <c r="AR288" s="325"/>
      <c r="AS288" s="391"/>
      <c r="AT288" s="919">
        <f>AT208</f>
        <v>1.5</v>
      </c>
      <c r="AU288" s="915"/>
      <c r="AY288" s="387"/>
      <c r="AZ288" s="489">
        <f>ROUND(ROUND(Q288*AJ288,0)*$AT$288,0)</f>
        <v>120</v>
      </c>
      <c r="BA288" s="393"/>
    </row>
    <row r="289" spans="1:53" ht="16.5" customHeight="1" x14ac:dyDescent="0.15">
      <c r="A289" s="340">
        <v>12</v>
      </c>
      <c r="B289" s="341">
        <v>8447</v>
      </c>
      <c r="C289" s="390" t="s">
        <v>17452</v>
      </c>
      <c r="D289" s="408"/>
      <c r="E289" s="409"/>
      <c r="F289" s="409"/>
      <c r="G289" s="409"/>
      <c r="H289" s="411"/>
      <c r="Q289" s="395"/>
      <c r="R289" s="151"/>
      <c r="S289" s="151"/>
      <c r="U289" s="387"/>
      <c r="V289" s="343"/>
      <c r="W289" s="343"/>
      <c r="X289" s="343"/>
      <c r="Y289" s="343"/>
      <c r="Z289" s="343"/>
      <c r="AA289" s="343"/>
      <c r="AB289" s="343"/>
      <c r="AC289" s="343"/>
      <c r="AD289" s="343"/>
      <c r="AE289" s="343"/>
      <c r="AF289" s="343"/>
      <c r="AG289" s="343"/>
      <c r="AH289" s="343"/>
      <c r="AI289" s="343"/>
      <c r="AJ289" s="343"/>
      <c r="AK289" s="343"/>
      <c r="AL289" s="114" t="s">
        <v>15628</v>
      </c>
      <c r="AM289" s="396"/>
      <c r="AN289" s="396"/>
      <c r="AO289" s="396"/>
      <c r="AP289" s="396"/>
      <c r="AQ289" s="396"/>
      <c r="AR289" s="396"/>
      <c r="AS289" s="396"/>
      <c r="AT289" s="490"/>
      <c r="AU289" s="387"/>
      <c r="AY289" s="387"/>
      <c r="AZ289" s="489">
        <f>ROUND(ROUND(Q288*AR290,0)*$AT$288,0)</f>
        <v>102</v>
      </c>
      <c r="BA289" s="393"/>
    </row>
    <row r="290" spans="1:53" ht="16.5" customHeight="1" x14ac:dyDescent="0.15">
      <c r="A290" s="340">
        <v>12</v>
      </c>
      <c r="B290" s="341">
        <v>8448</v>
      </c>
      <c r="C290" s="390" t="s">
        <v>17453</v>
      </c>
      <c r="D290" s="408"/>
      <c r="E290" s="409"/>
      <c r="F290" s="409"/>
      <c r="G290" s="409"/>
      <c r="H290" s="411"/>
      <c r="Q290" s="395"/>
      <c r="R290" s="151"/>
      <c r="S290" s="151"/>
      <c r="U290" s="387"/>
      <c r="V290" s="343" t="s">
        <v>15625</v>
      </c>
      <c r="W290" s="325"/>
      <c r="X290" s="325"/>
      <c r="Y290" s="325"/>
      <c r="Z290" s="325"/>
      <c r="AA290" s="325"/>
      <c r="AB290" s="325"/>
      <c r="AC290" s="325"/>
      <c r="AD290" s="325"/>
      <c r="AE290" s="325"/>
      <c r="AF290" s="325"/>
      <c r="AG290" s="325"/>
      <c r="AH290" s="325"/>
      <c r="AI290" s="391" t="s">
        <v>15626</v>
      </c>
      <c r="AJ290" s="838">
        <f>AJ288</f>
        <v>1</v>
      </c>
      <c r="AK290" s="843"/>
      <c r="AL290" s="324" t="s">
        <v>15630</v>
      </c>
      <c r="AM290" s="325"/>
      <c r="AN290" s="325"/>
      <c r="AO290" s="325"/>
      <c r="AP290" s="325"/>
      <c r="AQ290" s="190" t="s">
        <v>398</v>
      </c>
      <c r="AR290" s="844">
        <f>AR286</f>
        <v>0.85</v>
      </c>
      <c r="AS290" s="844"/>
      <c r="AT290" s="501"/>
      <c r="AU290" s="502"/>
      <c r="AY290" s="387"/>
      <c r="AZ290" s="489">
        <f>ROUND(ROUND(ROUND(Q288*AJ290,0)*AR290,0)*$AT$288,0)</f>
        <v>102</v>
      </c>
      <c r="BA290" s="393"/>
    </row>
    <row r="291" spans="1:53" ht="17.100000000000001" customHeight="1" x14ac:dyDescent="0.15">
      <c r="A291" s="340">
        <v>12</v>
      </c>
      <c r="B291" s="341">
        <v>8449</v>
      </c>
      <c r="C291" s="390" t="s">
        <v>17454</v>
      </c>
      <c r="D291" s="403"/>
      <c r="E291" s="404"/>
      <c r="F291" s="404"/>
      <c r="G291" s="404"/>
      <c r="H291" s="406"/>
      <c r="I291" s="10"/>
      <c r="L291" s="151"/>
      <c r="M291" s="151"/>
      <c r="N291" s="151"/>
      <c r="U291" s="387"/>
      <c r="V291" s="343"/>
      <c r="W291" s="343"/>
      <c r="X291" s="343"/>
      <c r="Y291" s="343"/>
      <c r="Z291" s="343"/>
      <c r="AA291" s="343"/>
      <c r="AB291" s="343"/>
      <c r="AC291" s="343"/>
      <c r="AD291" s="343"/>
      <c r="AE291" s="343"/>
      <c r="AF291" s="343"/>
      <c r="AG291" s="343"/>
      <c r="AH291" s="343"/>
      <c r="AI291" s="343"/>
      <c r="AJ291" s="401"/>
      <c r="AK291" s="402"/>
      <c r="AL291" s="396"/>
      <c r="AM291" s="396"/>
      <c r="AN291" s="396"/>
      <c r="AO291" s="396"/>
      <c r="AP291" s="396"/>
      <c r="AQ291" s="396"/>
      <c r="AR291" s="396"/>
      <c r="AS291" s="396"/>
      <c r="AT291" s="490"/>
      <c r="AU291" s="387"/>
      <c r="AV291" s="858" t="s">
        <v>16296</v>
      </c>
      <c r="AW291" s="858"/>
      <c r="AX291" s="858"/>
      <c r="AY291" s="860"/>
      <c r="AZ291" s="489">
        <f>ROUND(ROUND(Q288*$AT$288,0)*AV294,0)</f>
        <v>96</v>
      </c>
      <c r="BA291" s="393"/>
    </row>
    <row r="292" spans="1:53" ht="16.5" customHeight="1" x14ac:dyDescent="0.15">
      <c r="A292" s="340">
        <v>12</v>
      </c>
      <c r="B292" s="341">
        <v>8450</v>
      </c>
      <c r="C292" s="390" t="s">
        <v>17455</v>
      </c>
      <c r="D292" s="403"/>
      <c r="E292" s="404"/>
      <c r="F292" s="404"/>
      <c r="G292" s="404"/>
      <c r="H292" s="406"/>
      <c r="Q292" s="899"/>
      <c r="R292" s="899"/>
      <c r="S292" s="899"/>
      <c r="U292" s="387"/>
      <c r="V292" s="343" t="s">
        <v>15625</v>
      </c>
      <c r="W292" s="325"/>
      <c r="X292" s="325"/>
      <c r="Y292" s="325"/>
      <c r="Z292" s="325"/>
      <c r="AA292" s="325"/>
      <c r="AB292" s="325"/>
      <c r="AC292" s="325"/>
      <c r="AD292" s="325"/>
      <c r="AE292" s="325"/>
      <c r="AF292" s="325"/>
      <c r="AG292" s="325"/>
      <c r="AH292" s="325"/>
      <c r="AI292" s="391" t="s">
        <v>15626</v>
      </c>
      <c r="AJ292" s="838">
        <f>AJ290</f>
        <v>1</v>
      </c>
      <c r="AK292" s="839"/>
      <c r="AL292" s="325"/>
      <c r="AM292" s="325"/>
      <c r="AN292" s="325"/>
      <c r="AO292" s="325"/>
      <c r="AP292" s="325"/>
      <c r="AQ292" s="325"/>
      <c r="AR292" s="325"/>
      <c r="AS292" s="391"/>
      <c r="AT292" s="503"/>
      <c r="AU292" s="504"/>
      <c r="AV292" s="850"/>
      <c r="AW292" s="850"/>
      <c r="AX292" s="850"/>
      <c r="AY292" s="852"/>
      <c r="AZ292" s="489">
        <f>ROUND(ROUND(ROUND(Q288*AJ292,0)*$AT$288,0)*AV294,0)</f>
        <v>96</v>
      </c>
      <c r="BA292" s="393"/>
    </row>
    <row r="293" spans="1:53" ht="16.5" customHeight="1" x14ac:dyDescent="0.15">
      <c r="A293" s="340">
        <v>12</v>
      </c>
      <c r="B293" s="341">
        <v>8451</v>
      </c>
      <c r="C293" s="390" t="s">
        <v>17456</v>
      </c>
      <c r="D293" s="408"/>
      <c r="E293" s="409"/>
      <c r="F293" s="409"/>
      <c r="G293" s="409"/>
      <c r="H293" s="411"/>
      <c r="Q293" s="395"/>
      <c r="R293" s="151"/>
      <c r="S293" s="151"/>
      <c r="U293" s="387"/>
      <c r="V293" s="343"/>
      <c r="W293" s="343"/>
      <c r="X293" s="343"/>
      <c r="Y293" s="343"/>
      <c r="Z293" s="343"/>
      <c r="AA293" s="343"/>
      <c r="AB293" s="343"/>
      <c r="AC293" s="343"/>
      <c r="AD293" s="343"/>
      <c r="AE293" s="343"/>
      <c r="AF293" s="343"/>
      <c r="AG293" s="343"/>
      <c r="AH293" s="343"/>
      <c r="AI293" s="343"/>
      <c r="AJ293" s="343"/>
      <c r="AK293" s="343"/>
      <c r="AL293" s="114" t="s">
        <v>15628</v>
      </c>
      <c r="AM293" s="396"/>
      <c r="AN293" s="396"/>
      <c r="AO293" s="396"/>
      <c r="AP293" s="396"/>
      <c r="AQ293" s="396"/>
      <c r="AR293" s="396"/>
      <c r="AS293" s="396"/>
      <c r="AT293" s="490"/>
      <c r="AU293" s="387"/>
      <c r="AV293" s="902" t="s">
        <v>15636</v>
      </c>
      <c r="AW293" s="902"/>
      <c r="AX293" s="902"/>
      <c r="AY293" s="903"/>
      <c r="AZ293" s="489">
        <f>ROUND(ROUND(ROUND(Q288*AR294,0)*$AT$288,0)*AV294,0)</f>
        <v>82</v>
      </c>
      <c r="BA293" s="393"/>
    </row>
    <row r="294" spans="1:53" ht="16.5" customHeight="1" x14ac:dyDescent="0.15">
      <c r="A294" s="340">
        <v>12</v>
      </c>
      <c r="B294" s="341">
        <v>8452</v>
      </c>
      <c r="C294" s="390" t="s">
        <v>17457</v>
      </c>
      <c r="D294" s="412"/>
      <c r="E294" s="413"/>
      <c r="F294" s="413"/>
      <c r="G294" s="413"/>
      <c r="H294" s="415"/>
      <c r="I294" s="325"/>
      <c r="J294" s="325"/>
      <c r="K294" s="325"/>
      <c r="L294" s="325"/>
      <c r="M294" s="325"/>
      <c r="N294" s="325"/>
      <c r="O294" s="325"/>
      <c r="P294" s="325"/>
      <c r="Q294" s="416"/>
      <c r="R294" s="417"/>
      <c r="S294" s="417"/>
      <c r="T294" s="325"/>
      <c r="U294" s="388"/>
      <c r="V294" s="343" t="s">
        <v>15625</v>
      </c>
      <c r="W294" s="325"/>
      <c r="X294" s="325"/>
      <c r="Y294" s="325"/>
      <c r="Z294" s="325"/>
      <c r="AA294" s="325"/>
      <c r="AB294" s="325"/>
      <c r="AC294" s="325"/>
      <c r="AD294" s="325"/>
      <c r="AE294" s="325"/>
      <c r="AF294" s="325"/>
      <c r="AG294" s="325"/>
      <c r="AH294" s="325"/>
      <c r="AI294" s="391" t="s">
        <v>15626</v>
      </c>
      <c r="AJ294" s="838">
        <f>AJ292</f>
        <v>1</v>
      </c>
      <c r="AK294" s="843"/>
      <c r="AL294" s="324" t="s">
        <v>15630</v>
      </c>
      <c r="AM294" s="325"/>
      <c r="AN294" s="325"/>
      <c r="AO294" s="325"/>
      <c r="AP294" s="325"/>
      <c r="AQ294" s="190" t="s">
        <v>398</v>
      </c>
      <c r="AR294" s="844">
        <f>AR290</f>
        <v>0.85</v>
      </c>
      <c r="AS294" s="844"/>
      <c r="AT294" s="505"/>
      <c r="AU294" s="506"/>
      <c r="AV294" s="844">
        <f>AV286</f>
        <v>0.8</v>
      </c>
      <c r="AW294" s="844"/>
      <c r="AX294" s="844"/>
      <c r="AY294" s="845"/>
      <c r="AZ294" s="353">
        <f>ROUND(ROUND(ROUND(ROUND(Q288*AJ294,0)*AR294,0)*$AT$288,0)*AV294,0)</f>
        <v>82</v>
      </c>
      <c r="BA294" s="418"/>
    </row>
    <row r="298" spans="1:53" ht="17.100000000000001" customHeight="1" x14ac:dyDescent="0.15">
      <c r="AN298" s="151"/>
      <c r="AO298" s="377"/>
      <c r="AP298" s="151"/>
      <c r="AR298" s="151"/>
    </row>
  </sheetData>
  <mergeCells count="464">
    <mergeCell ref="AV291:AY292"/>
    <mergeCell ref="Q292:S292"/>
    <mergeCell ref="AJ292:AK292"/>
    <mergeCell ref="AV293:AY293"/>
    <mergeCell ref="AJ294:AK294"/>
    <mergeCell ref="AR294:AS294"/>
    <mergeCell ref="AV294:AY294"/>
    <mergeCell ref="I287:U287"/>
    <mergeCell ref="AT287:AU287"/>
    <mergeCell ref="Q288:S288"/>
    <mergeCell ref="AJ288:AK288"/>
    <mergeCell ref="AT288:AU288"/>
    <mergeCell ref="AJ290:AK290"/>
    <mergeCell ref="AR290:AS290"/>
    <mergeCell ref="AV283:AY284"/>
    <mergeCell ref="Q284:S284"/>
    <mergeCell ref="AJ284:AK284"/>
    <mergeCell ref="AV285:AY285"/>
    <mergeCell ref="AJ286:AK286"/>
    <mergeCell ref="AR286:AS286"/>
    <mergeCell ref="AV286:AY286"/>
    <mergeCell ref="AJ278:AK278"/>
    <mergeCell ref="AR278:AS278"/>
    <mergeCell ref="AV278:AY278"/>
    <mergeCell ref="D279:H282"/>
    <mergeCell ref="I279:U279"/>
    <mergeCell ref="AT279:AU286"/>
    <mergeCell ref="Q280:S280"/>
    <mergeCell ref="AJ280:AK280"/>
    <mergeCell ref="AJ282:AK282"/>
    <mergeCell ref="AR282:AS282"/>
    <mergeCell ref="AJ274:AK274"/>
    <mergeCell ref="AR274:AS274"/>
    <mergeCell ref="AV275:AY276"/>
    <mergeCell ref="Q276:S276"/>
    <mergeCell ref="AJ276:AK276"/>
    <mergeCell ref="AV277:AY277"/>
    <mergeCell ref="AJ270:AK270"/>
    <mergeCell ref="AR270:AS270"/>
    <mergeCell ref="AV270:AY270"/>
    <mergeCell ref="I271:U271"/>
    <mergeCell ref="Q272:S272"/>
    <mergeCell ref="AJ272:AK272"/>
    <mergeCell ref="AJ266:AK266"/>
    <mergeCell ref="AR266:AS266"/>
    <mergeCell ref="AV267:AY268"/>
    <mergeCell ref="Q268:S268"/>
    <mergeCell ref="AJ268:AK268"/>
    <mergeCell ref="AV269:AY269"/>
    <mergeCell ref="AJ262:AK262"/>
    <mergeCell ref="AR262:AS262"/>
    <mergeCell ref="AV262:AY262"/>
    <mergeCell ref="I263:U263"/>
    <mergeCell ref="Q264:S264"/>
    <mergeCell ref="AJ264:AK264"/>
    <mergeCell ref="AJ258:AK258"/>
    <mergeCell ref="AR258:AS258"/>
    <mergeCell ref="AV259:AY260"/>
    <mergeCell ref="Q260:S260"/>
    <mergeCell ref="AJ260:AK260"/>
    <mergeCell ref="AV261:AY261"/>
    <mergeCell ref="AJ254:AK254"/>
    <mergeCell ref="AR254:AS254"/>
    <mergeCell ref="AV254:AY254"/>
    <mergeCell ref="I255:U255"/>
    <mergeCell ref="Q256:S256"/>
    <mergeCell ref="AJ256:AK256"/>
    <mergeCell ref="AJ250:AK250"/>
    <mergeCell ref="AR250:AS250"/>
    <mergeCell ref="AV251:AY252"/>
    <mergeCell ref="Q252:S252"/>
    <mergeCell ref="AJ252:AK252"/>
    <mergeCell ref="AV253:AY253"/>
    <mergeCell ref="AJ246:AK246"/>
    <mergeCell ref="AR246:AS246"/>
    <mergeCell ref="AV246:AY246"/>
    <mergeCell ref="I247:U247"/>
    <mergeCell ref="Q248:S248"/>
    <mergeCell ref="AJ248:AK248"/>
    <mergeCell ref="AJ242:AK242"/>
    <mergeCell ref="AR242:AS242"/>
    <mergeCell ref="AV243:AY244"/>
    <mergeCell ref="Q244:S244"/>
    <mergeCell ref="AJ244:AK244"/>
    <mergeCell ref="AV245:AY245"/>
    <mergeCell ref="AJ238:AK238"/>
    <mergeCell ref="AR238:AS238"/>
    <mergeCell ref="AV238:AY238"/>
    <mergeCell ref="I239:U239"/>
    <mergeCell ref="Q240:S240"/>
    <mergeCell ref="AJ240:AK240"/>
    <mergeCell ref="AJ234:AK234"/>
    <mergeCell ref="AR234:AS234"/>
    <mergeCell ref="AV235:AY236"/>
    <mergeCell ref="Q236:S236"/>
    <mergeCell ref="AJ236:AK236"/>
    <mergeCell ref="AV237:AY237"/>
    <mergeCell ref="AJ230:AK230"/>
    <mergeCell ref="AR230:AS230"/>
    <mergeCell ref="AV230:AY230"/>
    <mergeCell ref="I231:U231"/>
    <mergeCell ref="Q232:S232"/>
    <mergeCell ref="AJ232:AK232"/>
    <mergeCell ref="AJ226:AK226"/>
    <mergeCell ref="AR226:AS226"/>
    <mergeCell ref="AV227:AY228"/>
    <mergeCell ref="Q228:S228"/>
    <mergeCell ref="AJ228:AK228"/>
    <mergeCell ref="AV229:AY229"/>
    <mergeCell ref="AV221:AY221"/>
    <mergeCell ref="AJ222:AK222"/>
    <mergeCell ref="AR222:AS222"/>
    <mergeCell ref="AV222:AY222"/>
    <mergeCell ref="I223:U223"/>
    <mergeCell ref="Q224:S224"/>
    <mergeCell ref="AJ224:AK224"/>
    <mergeCell ref="I215:U215"/>
    <mergeCell ref="Q216:S216"/>
    <mergeCell ref="AJ216:AK216"/>
    <mergeCell ref="AJ218:AK218"/>
    <mergeCell ref="AR218:AS218"/>
    <mergeCell ref="AV219:AY220"/>
    <mergeCell ref="Q220:S220"/>
    <mergeCell ref="AJ220:AK220"/>
    <mergeCell ref="AV211:AY212"/>
    <mergeCell ref="Q212:S212"/>
    <mergeCell ref="AJ212:AK212"/>
    <mergeCell ref="AV213:AY213"/>
    <mergeCell ref="AJ214:AK214"/>
    <mergeCell ref="AR214:AS214"/>
    <mergeCell ref="AV214:AY214"/>
    <mergeCell ref="I207:U207"/>
    <mergeCell ref="AT207:AU207"/>
    <mergeCell ref="Q208:S208"/>
    <mergeCell ref="AJ208:AK208"/>
    <mergeCell ref="AT208:AU208"/>
    <mergeCell ref="AJ210:AK210"/>
    <mergeCell ref="AR210:AS210"/>
    <mergeCell ref="AV203:AY204"/>
    <mergeCell ref="Q204:S204"/>
    <mergeCell ref="AJ204:AK204"/>
    <mergeCell ref="AV205:AY205"/>
    <mergeCell ref="AJ206:AK206"/>
    <mergeCell ref="AR206:AS206"/>
    <mergeCell ref="AV206:AY206"/>
    <mergeCell ref="AJ198:AK198"/>
    <mergeCell ref="AR198:AS198"/>
    <mergeCell ref="AV198:AY198"/>
    <mergeCell ref="D199:H202"/>
    <mergeCell ref="I199:U199"/>
    <mergeCell ref="AT199:AU206"/>
    <mergeCell ref="Q200:S200"/>
    <mergeCell ref="AJ200:AK200"/>
    <mergeCell ref="AJ202:AK202"/>
    <mergeCell ref="AR202:AS202"/>
    <mergeCell ref="AJ194:AK194"/>
    <mergeCell ref="AR194:AS194"/>
    <mergeCell ref="AV195:AY196"/>
    <mergeCell ref="Q196:S196"/>
    <mergeCell ref="AJ196:AK196"/>
    <mergeCell ref="AV197:AY197"/>
    <mergeCell ref="AJ190:AK190"/>
    <mergeCell ref="AR190:AS190"/>
    <mergeCell ref="AV190:AY190"/>
    <mergeCell ref="I191:U191"/>
    <mergeCell ref="AT191:AU191"/>
    <mergeCell ref="Q192:S192"/>
    <mergeCell ref="AJ192:AK192"/>
    <mergeCell ref="AT192:AU192"/>
    <mergeCell ref="D187:H188"/>
    <mergeCell ref="AV187:AY188"/>
    <mergeCell ref="Q188:S188"/>
    <mergeCell ref="AJ188:AK188"/>
    <mergeCell ref="F189:H189"/>
    <mergeCell ref="AV189:AY189"/>
    <mergeCell ref="AJ182:AK182"/>
    <mergeCell ref="AR182:AS182"/>
    <mergeCell ref="AV182:AY182"/>
    <mergeCell ref="D183:H186"/>
    <mergeCell ref="I183:U183"/>
    <mergeCell ref="AT183:AU190"/>
    <mergeCell ref="Q184:S184"/>
    <mergeCell ref="AJ184:AK184"/>
    <mergeCell ref="AJ186:AK186"/>
    <mergeCell ref="AR186:AS186"/>
    <mergeCell ref="AJ178:AK178"/>
    <mergeCell ref="AR178:AS178"/>
    <mergeCell ref="AV179:AY180"/>
    <mergeCell ref="Q180:S180"/>
    <mergeCell ref="AJ180:AK180"/>
    <mergeCell ref="AV181:AY181"/>
    <mergeCell ref="AJ174:AK174"/>
    <mergeCell ref="AR174:AS174"/>
    <mergeCell ref="AV174:AY174"/>
    <mergeCell ref="I175:U175"/>
    <mergeCell ref="Q176:S176"/>
    <mergeCell ref="AJ176:AK176"/>
    <mergeCell ref="AJ170:AK170"/>
    <mergeCell ref="AR170:AS170"/>
    <mergeCell ref="AV171:AY172"/>
    <mergeCell ref="Q172:S172"/>
    <mergeCell ref="AJ172:AK172"/>
    <mergeCell ref="AV173:AY173"/>
    <mergeCell ref="AJ166:AK166"/>
    <mergeCell ref="AR166:AS166"/>
    <mergeCell ref="AV166:AY166"/>
    <mergeCell ref="I167:U167"/>
    <mergeCell ref="Q168:S168"/>
    <mergeCell ref="AJ168:AK168"/>
    <mergeCell ref="AJ162:AK162"/>
    <mergeCell ref="AR162:AS162"/>
    <mergeCell ref="AV163:AY164"/>
    <mergeCell ref="Q164:S164"/>
    <mergeCell ref="AJ164:AK164"/>
    <mergeCell ref="AV165:AY165"/>
    <mergeCell ref="AJ158:AK158"/>
    <mergeCell ref="AR158:AS158"/>
    <mergeCell ref="AV158:AY158"/>
    <mergeCell ref="I159:U159"/>
    <mergeCell ref="Q160:S160"/>
    <mergeCell ref="AJ160:AK160"/>
    <mergeCell ref="AJ154:AK154"/>
    <mergeCell ref="AR154:AS154"/>
    <mergeCell ref="AV155:AY156"/>
    <mergeCell ref="Q156:S156"/>
    <mergeCell ref="AJ156:AK156"/>
    <mergeCell ref="AV157:AY157"/>
    <mergeCell ref="AJ150:AK150"/>
    <mergeCell ref="AR150:AS150"/>
    <mergeCell ref="AV150:AY150"/>
    <mergeCell ref="I151:U151"/>
    <mergeCell ref="Q152:S152"/>
    <mergeCell ref="AJ152:AK152"/>
    <mergeCell ref="AJ146:AK146"/>
    <mergeCell ref="AR146:AS146"/>
    <mergeCell ref="AV147:AY148"/>
    <mergeCell ref="Q148:S148"/>
    <mergeCell ref="AJ148:AK148"/>
    <mergeCell ref="AV149:AY149"/>
    <mergeCell ref="AJ142:AK142"/>
    <mergeCell ref="AR142:AS142"/>
    <mergeCell ref="AV142:AY142"/>
    <mergeCell ref="I143:U143"/>
    <mergeCell ref="Q144:S144"/>
    <mergeCell ref="AJ144:AK144"/>
    <mergeCell ref="AJ138:AK138"/>
    <mergeCell ref="AR138:AS138"/>
    <mergeCell ref="AV139:AY140"/>
    <mergeCell ref="Q140:S140"/>
    <mergeCell ref="AJ140:AK140"/>
    <mergeCell ref="AV141:AY141"/>
    <mergeCell ref="AJ134:AK134"/>
    <mergeCell ref="AR134:AS134"/>
    <mergeCell ref="AV134:AY134"/>
    <mergeCell ref="I135:U135"/>
    <mergeCell ref="Q136:S136"/>
    <mergeCell ref="AJ136:AK136"/>
    <mergeCell ref="AJ130:AK130"/>
    <mergeCell ref="AR130:AS130"/>
    <mergeCell ref="AV131:AY132"/>
    <mergeCell ref="Q132:S132"/>
    <mergeCell ref="AJ132:AK132"/>
    <mergeCell ref="AV133:AY133"/>
    <mergeCell ref="AJ126:AK126"/>
    <mergeCell ref="AR126:AS126"/>
    <mergeCell ref="AV126:AY126"/>
    <mergeCell ref="I127:U127"/>
    <mergeCell ref="Q128:S128"/>
    <mergeCell ref="AJ128:AK128"/>
    <mergeCell ref="AJ122:AK122"/>
    <mergeCell ref="AR122:AS122"/>
    <mergeCell ref="AV123:AY124"/>
    <mergeCell ref="Q124:S124"/>
    <mergeCell ref="AJ124:AK124"/>
    <mergeCell ref="AV125:AY125"/>
    <mergeCell ref="AJ118:AK118"/>
    <mergeCell ref="AR118:AS118"/>
    <mergeCell ref="AV118:AY118"/>
    <mergeCell ref="I119:U119"/>
    <mergeCell ref="Q120:S120"/>
    <mergeCell ref="AJ120:AK120"/>
    <mergeCell ref="AJ114:AK114"/>
    <mergeCell ref="AR114:AS114"/>
    <mergeCell ref="AV115:AY116"/>
    <mergeCell ref="Q116:S116"/>
    <mergeCell ref="AJ116:AK116"/>
    <mergeCell ref="AV117:AY117"/>
    <mergeCell ref="AJ110:AK110"/>
    <mergeCell ref="AR110:AS110"/>
    <mergeCell ref="AV110:AY110"/>
    <mergeCell ref="I111:U111"/>
    <mergeCell ref="AT111:AU111"/>
    <mergeCell ref="Q112:S112"/>
    <mergeCell ref="AJ112:AK112"/>
    <mergeCell ref="AT112:AU112"/>
    <mergeCell ref="D107:H108"/>
    <mergeCell ref="AV107:AY108"/>
    <mergeCell ref="Q108:S108"/>
    <mergeCell ref="AJ108:AK108"/>
    <mergeCell ref="F109:H109"/>
    <mergeCell ref="AV109:AY109"/>
    <mergeCell ref="AJ102:AK102"/>
    <mergeCell ref="AR102:AS102"/>
    <mergeCell ref="AV102:AY102"/>
    <mergeCell ref="D103:H106"/>
    <mergeCell ref="I103:U103"/>
    <mergeCell ref="AT103:AU110"/>
    <mergeCell ref="Q104:S104"/>
    <mergeCell ref="AJ104:AK104"/>
    <mergeCell ref="AJ106:AK106"/>
    <mergeCell ref="AR106:AS106"/>
    <mergeCell ref="AJ98:AK98"/>
    <mergeCell ref="AR98:AS98"/>
    <mergeCell ref="AV99:AY100"/>
    <mergeCell ref="Q100:S100"/>
    <mergeCell ref="AJ100:AK100"/>
    <mergeCell ref="AV101:AY101"/>
    <mergeCell ref="AJ94:AK94"/>
    <mergeCell ref="AR94:AS94"/>
    <mergeCell ref="AV94:AY94"/>
    <mergeCell ref="I95:U95"/>
    <mergeCell ref="AT95:AU95"/>
    <mergeCell ref="Q96:S96"/>
    <mergeCell ref="AJ96:AK96"/>
    <mergeCell ref="AT96:AU96"/>
    <mergeCell ref="D91:H92"/>
    <mergeCell ref="AV91:AY92"/>
    <mergeCell ref="Q92:S92"/>
    <mergeCell ref="AJ92:AK92"/>
    <mergeCell ref="F93:H93"/>
    <mergeCell ref="AV93:AY93"/>
    <mergeCell ref="AJ86:AK86"/>
    <mergeCell ref="AR86:AS86"/>
    <mergeCell ref="AV86:AY86"/>
    <mergeCell ref="D87:H90"/>
    <mergeCell ref="I87:U87"/>
    <mergeCell ref="AT87:AU94"/>
    <mergeCell ref="Q88:S88"/>
    <mergeCell ref="AJ88:AK88"/>
    <mergeCell ref="AJ90:AK90"/>
    <mergeCell ref="AR90:AS90"/>
    <mergeCell ref="AJ82:AK82"/>
    <mergeCell ref="AR82:AS82"/>
    <mergeCell ref="AV83:AY84"/>
    <mergeCell ref="Q84:S84"/>
    <mergeCell ref="AJ84:AK84"/>
    <mergeCell ref="AV85:AY85"/>
    <mergeCell ref="AJ78:AK78"/>
    <mergeCell ref="AR78:AS78"/>
    <mergeCell ref="AV78:AY78"/>
    <mergeCell ref="I79:U79"/>
    <mergeCell ref="Q80:S80"/>
    <mergeCell ref="AJ80:AK80"/>
    <mergeCell ref="AJ74:AK74"/>
    <mergeCell ref="AR74:AS74"/>
    <mergeCell ref="AV75:AY76"/>
    <mergeCell ref="Q76:S76"/>
    <mergeCell ref="AJ76:AK76"/>
    <mergeCell ref="AV77:AY77"/>
    <mergeCell ref="AJ70:AK70"/>
    <mergeCell ref="AR70:AS70"/>
    <mergeCell ref="AV70:AY70"/>
    <mergeCell ref="I71:U71"/>
    <mergeCell ref="Q72:S72"/>
    <mergeCell ref="AJ72:AK72"/>
    <mergeCell ref="AJ66:AK66"/>
    <mergeCell ref="AR66:AS66"/>
    <mergeCell ref="AV67:AY68"/>
    <mergeCell ref="Q68:S68"/>
    <mergeCell ref="AJ68:AK68"/>
    <mergeCell ref="AV69:AY69"/>
    <mergeCell ref="AJ62:AK62"/>
    <mergeCell ref="AR62:AS62"/>
    <mergeCell ref="AV62:AY62"/>
    <mergeCell ref="I63:U63"/>
    <mergeCell ref="Q64:S64"/>
    <mergeCell ref="AJ64:AK64"/>
    <mergeCell ref="AJ58:AK58"/>
    <mergeCell ref="AR58:AS58"/>
    <mergeCell ref="AV59:AY60"/>
    <mergeCell ref="Q60:S60"/>
    <mergeCell ref="AJ60:AK60"/>
    <mergeCell ref="AV61:AY61"/>
    <mergeCell ref="AJ54:AK54"/>
    <mergeCell ref="AR54:AS54"/>
    <mergeCell ref="AV54:AY54"/>
    <mergeCell ref="I55:U55"/>
    <mergeCell ref="Q56:S56"/>
    <mergeCell ref="AJ56:AK56"/>
    <mergeCell ref="AJ50:AK50"/>
    <mergeCell ref="AR50:AS50"/>
    <mergeCell ref="AV51:AY52"/>
    <mergeCell ref="Q52:S52"/>
    <mergeCell ref="AJ52:AK52"/>
    <mergeCell ref="AV53:AY53"/>
    <mergeCell ref="AJ46:AK46"/>
    <mergeCell ref="AR46:AS46"/>
    <mergeCell ref="AV46:AY46"/>
    <mergeCell ref="I47:U47"/>
    <mergeCell ref="Q48:S48"/>
    <mergeCell ref="AJ48:AK48"/>
    <mergeCell ref="AJ42:AK42"/>
    <mergeCell ref="AR42:AS42"/>
    <mergeCell ref="AV43:AY44"/>
    <mergeCell ref="Q44:S44"/>
    <mergeCell ref="AJ44:AK44"/>
    <mergeCell ref="AV45:AY45"/>
    <mergeCell ref="AJ38:AK38"/>
    <mergeCell ref="AR38:AS38"/>
    <mergeCell ref="AV38:AY38"/>
    <mergeCell ref="I39:U39"/>
    <mergeCell ref="Q40:S40"/>
    <mergeCell ref="AJ40:AK40"/>
    <mergeCell ref="AJ34:AK34"/>
    <mergeCell ref="AR34:AS34"/>
    <mergeCell ref="AV35:AY36"/>
    <mergeCell ref="Q36:S36"/>
    <mergeCell ref="AJ36:AK36"/>
    <mergeCell ref="AV37:AY37"/>
    <mergeCell ref="AV29:AY29"/>
    <mergeCell ref="AJ30:AK30"/>
    <mergeCell ref="AR30:AS30"/>
    <mergeCell ref="AV30:AY30"/>
    <mergeCell ref="I31:U31"/>
    <mergeCell ref="Q32:S32"/>
    <mergeCell ref="AJ32:AK32"/>
    <mergeCell ref="I23:U23"/>
    <mergeCell ref="Q24:S24"/>
    <mergeCell ref="AJ24:AK24"/>
    <mergeCell ref="AJ26:AK26"/>
    <mergeCell ref="AR26:AS26"/>
    <mergeCell ref="AV27:AY28"/>
    <mergeCell ref="Q28:S28"/>
    <mergeCell ref="AJ28:AK28"/>
    <mergeCell ref="AV19:AY20"/>
    <mergeCell ref="Q20:S20"/>
    <mergeCell ref="AJ20:AK20"/>
    <mergeCell ref="AV21:AY21"/>
    <mergeCell ref="AJ22:AK22"/>
    <mergeCell ref="AR22:AS22"/>
    <mergeCell ref="AV22:AY22"/>
    <mergeCell ref="I15:U15"/>
    <mergeCell ref="AT15:AU15"/>
    <mergeCell ref="Q16:S16"/>
    <mergeCell ref="AJ16:AK16"/>
    <mergeCell ref="AT16:AU16"/>
    <mergeCell ref="AJ18:AK18"/>
    <mergeCell ref="AR18:AS18"/>
    <mergeCell ref="AV11:AY12"/>
    <mergeCell ref="Q12:S12"/>
    <mergeCell ref="AJ12:AK12"/>
    <mergeCell ref="F13:H13"/>
    <mergeCell ref="AV13:AY13"/>
    <mergeCell ref="AJ14:AK14"/>
    <mergeCell ref="AR14:AS14"/>
    <mergeCell ref="AV14:AY14"/>
    <mergeCell ref="D7:H10"/>
    <mergeCell ref="I7:U7"/>
    <mergeCell ref="AT7:AU14"/>
    <mergeCell ref="Q8:S8"/>
    <mergeCell ref="AJ8:AK8"/>
    <mergeCell ref="AJ10:AK10"/>
    <mergeCell ref="AR10:AS10"/>
    <mergeCell ref="D11:H12"/>
  </mergeCells>
  <phoneticPr fontId="1"/>
  <printOptions horizontalCentered="1"/>
  <pageMargins left="0.39370078740157483" right="0.19685039370078741" top="0.78740157480314965" bottom="0.59055118110236227" header="0.51181102362204722" footer="0.31496062992125984"/>
  <pageSetup paperSize="9" scale="55" orientation="portrait" r:id="rId1"/>
  <headerFooter>
    <oddHeader>&amp;R&amp;9重度訪問介護</oddHeader>
    <oddFooter>&amp;C&amp;14&amp;P</oddFooter>
  </headerFooter>
  <rowBreaks count="5" manualBreakCount="5">
    <brk id="86" max="50" man="1"/>
    <brk id="102" max="50" man="1"/>
    <brk id="182" max="50" man="1"/>
    <brk id="198" max="50" man="1"/>
    <brk id="278" max="50"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10">
    <pageSetUpPr fitToPage="1"/>
  </sheetPr>
  <dimension ref="A1:C94"/>
  <sheetViews>
    <sheetView zoomScale="85" zoomScaleNormal="85" workbookViewId="0"/>
  </sheetViews>
  <sheetFormatPr defaultColWidth="9" defaultRowHeight="13.5" x14ac:dyDescent="0.15"/>
  <cols>
    <col min="1" max="1" width="9" style="1"/>
    <col min="2" max="2" width="52.5" style="1" customWidth="1"/>
    <col min="3" max="3" width="8.5" style="1" customWidth="1"/>
    <col min="4" max="16384" width="9" style="1"/>
  </cols>
  <sheetData>
    <row r="1" spans="1:3" x14ac:dyDescent="0.15">
      <c r="B1" s="1" t="s">
        <v>17458</v>
      </c>
    </row>
    <row r="3" spans="1:3" x14ac:dyDescent="0.15">
      <c r="A3" s="2" t="s">
        <v>1</v>
      </c>
      <c r="B3" s="2" t="s">
        <v>2</v>
      </c>
      <c r="C3" s="3" t="s">
        <v>3</v>
      </c>
    </row>
    <row r="4" spans="1:3" x14ac:dyDescent="0.15">
      <c r="A4" s="2">
        <v>1</v>
      </c>
      <c r="B4" s="2" t="s">
        <v>17459</v>
      </c>
      <c r="C4" s="509">
        <v>190</v>
      </c>
    </row>
    <row r="5" spans="1:3" x14ac:dyDescent="0.15">
      <c r="A5" s="2">
        <v>2</v>
      </c>
      <c r="B5" s="2" t="s">
        <v>17460</v>
      </c>
      <c r="C5" s="509">
        <v>300</v>
      </c>
    </row>
    <row r="6" spans="1:3" x14ac:dyDescent="0.15">
      <c r="A6" s="2">
        <v>3</v>
      </c>
      <c r="B6" s="2" t="s">
        <v>17461</v>
      </c>
      <c r="C6" s="509">
        <v>433</v>
      </c>
    </row>
    <row r="7" spans="1:3" x14ac:dyDescent="0.15">
      <c r="A7" s="2">
        <v>4</v>
      </c>
      <c r="B7" s="2" t="s">
        <v>17462</v>
      </c>
      <c r="C7" s="509">
        <v>498</v>
      </c>
    </row>
    <row r="8" spans="1:3" x14ac:dyDescent="0.15">
      <c r="A8" s="2">
        <v>5</v>
      </c>
      <c r="B8" s="2" t="s">
        <v>17463</v>
      </c>
      <c r="C8" s="509">
        <v>563</v>
      </c>
    </row>
    <row r="9" spans="1:3" x14ac:dyDescent="0.15">
      <c r="A9" s="2">
        <v>6</v>
      </c>
      <c r="B9" s="2" t="s">
        <v>17464</v>
      </c>
      <c r="C9" s="509">
        <v>628</v>
      </c>
    </row>
    <row r="10" spans="1:3" x14ac:dyDescent="0.15">
      <c r="A10" s="2">
        <v>7</v>
      </c>
      <c r="B10" s="2" t="s">
        <v>17465</v>
      </c>
      <c r="C10" s="509">
        <v>693</v>
      </c>
    </row>
    <row r="11" spans="1:3" x14ac:dyDescent="0.15">
      <c r="A11" s="2">
        <v>8</v>
      </c>
      <c r="B11" s="2" t="s">
        <v>17466</v>
      </c>
      <c r="C11" s="509">
        <v>758</v>
      </c>
    </row>
    <row r="12" spans="1:3" x14ac:dyDescent="0.15">
      <c r="A12" s="2">
        <v>9</v>
      </c>
      <c r="B12" s="2" t="s">
        <v>17467</v>
      </c>
      <c r="C12" s="509">
        <v>823</v>
      </c>
    </row>
    <row r="13" spans="1:3" x14ac:dyDescent="0.15">
      <c r="A13" s="2">
        <v>10</v>
      </c>
      <c r="B13" s="2" t="s">
        <v>17468</v>
      </c>
      <c r="C13" s="509">
        <v>888</v>
      </c>
    </row>
    <row r="14" spans="1:3" x14ac:dyDescent="0.15">
      <c r="A14" s="2">
        <v>11</v>
      </c>
      <c r="B14" s="2" t="s">
        <v>17469</v>
      </c>
      <c r="C14" s="509">
        <v>953</v>
      </c>
    </row>
    <row r="15" spans="1:3" x14ac:dyDescent="0.15">
      <c r="A15" s="2">
        <v>12</v>
      </c>
      <c r="B15" s="2" t="s">
        <v>17470</v>
      </c>
      <c r="C15" s="509">
        <v>1018</v>
      </c>
    </row>
    <row r="16" spans="1:3" x14ac:dyDescent="0.15">
      <c r="A16" s="2">
        <v>13</v>
      </c>
      <c r="B16" s="2" t="s">
        <v>17471</v>
      </c>
      <c r="C16" s="509">
        <v>1083</v>
      </c>
    </row>
    <row r="17" spans="1:3" x14ac:dyDescent="0.15">
      <c r="A17" s="2">
        <v>14</v>
      </c>
      <c r="B17" s="2" t="s">
        <v>17472</v>
      </c>
      <c r="C17" s="509">
        <v>1148</v>
      </c>
    </row>
    <row r="18" spans="1:3" x14ac:dyDescent="0.15">
      <c r="A18" s="2">
        <v>15</v>
      </c>
      <c r="B18" s="2" t="s">
        <v>17473</v>
      </c>
      <c r="C18" s="509">
        <v>1213</v>
      </c>
    </row>
    <row r="19" spans="1:3" x14ac:dyDescent="0.15">
      <c r="A19" s="2">
        <v>16</v>
      </c>
      <c r="B19" s="2" t="s">
        <v>17474</v>
      </c>
      <c r="C19" s="509">
        <v>1278</v>
      </c>
    </row>
    <row r="20" spans="1:3" x14ac:dyDescent="0.15">
      <c r="A20" s="2">
        <v>17</v>
      </c>
      <c r="B20" s="2" t="s">
        <v>17475</v>
      </c>
      <c r="C20" s="509">
        <v>1343</v>
      </c>
    </row>
    <row r="21" spans="1:3" x14ac:dyDescent="0.15">
      <c r="A21" s="2">
        <v>18</v>
      </c>
      <c r="B21" s="2" t="s">
        <v>17476</v>
      </c>
      <c r="C21" s="509">
        <v>1408</v>
      </c>
    </row>
    <row r="22" spans="1:3" x14ac:dyDescent="0.15">
      <c r="A22" s="2">
        <v>19</v>
      </c>
      <c r="B22" s="2" t="s">
        <v>17477</v>
      </c>
      <c r="C22" s="509">
        <v>1473</v>
      </c>
    </row>
    <row r="23" spans="1:3" x14ac:dyDescent="0.15">
      <c r="A23" s="2">
        <v>20</v>
      </c>
      <c r="B23" s="2" t="s">
        <v>17478</v>
      </c>
      <c r="C23" s="509">
        <v>1538</v>
      </c>
    </row>
    <row r="24" spans="1:3" x14ac:dyDescent="0.15">
      <c r="A24" s="2">
        <v>21</v>
      </c>
      <c r="B24" s="2" t="s">
        <v>17479</v>
      </c>
      <c r="C24" s="509">
        <v>1603</v>
      </c>
    </row>
    <row r="25" spans="1:3" x14ac:dyDescent="0.15">
      <c r="A25" s="2">
        <v>22</v>
      </c>
      <c r="B25" s="2" t="s">
        <v>17480</v>
      </c>
      <c r="C25" s="509">
        <v>65</v>
      </c>
    </row>
    <row r="26" spans="1:3" x14ac:dyDescent="0.15">
      <c r="A26" s="2">
        <v>23</v>
      </c>
      <c r="B26" s="2" t="s">
        <v>17481</v>
      </c>
      <c r="C26" s="509">
        <v>130</v>
      </c>
    </row>
    <row r="27" spans="1:3" x14ac:dyDescent="0.15">
      <c r="A27" s="2">
        <v>24</v>
      </c>
      <c r="B27" s="2" t="s">
        <v>17482</v>
      </c>
      <c r="C27" s="509">
        <v>195</v>
      </c>
    </row>
    <row r="28" spans="1:3" x14ac:dyDescent="0.15">
      <c r="A28" s="2">
        <v>25</v>
      </c>
      <c r="B28" s="2" t="s">
        <v>17483</v>
      </c>
      <c r="C28" s="509">
        <v>260</v>
      </c>
    </row>
    <row r="29" spans="1:3" x14ac:dyDescent="0.15">
      <c r="A29" s="2">
        <v>26</v>
      </c>
      <c r="B29" s="2" t="s">
        <v>17484</v>
      </c>
      <c r="C29" s="509">
        <v>325</v>
      </c>
    </row>
    <row r="30" spans="1:3" x14ac:dyDescent="0.15">
      <c r="A30" s="2">
        <v>27</v>
      </c>
      <c r="B30" s="2" t="s">
        <v>17485</v>
      </c>
      <c r="C30" s="509">
        <v>390</v>
      </c>
    </row>
    <row r="31" spans="1:3" x14ac:dyDescent="0.15">
      <c r="A31" s="2">
        <v>28</v>
      </c>
      <c r="B31" s="2" t="s">
        <v>17486</v>
      </c>
      <c r="C31" s="509">
        <v>455</v>
      </c>
    </row>
    <row r="32" spans="1:3" x14ac:dyDescent="0.15">
      <c r="A32" s="2">
        <v>29</v>
      </c>
      <c r="B32" s="2" t="s">
        <v>17487</v>
      </c>
      <c r="C32" s="509">
        <v>520</v>
      </c>
    </row>
    <row r="33" spans="1:3" x14ac:dyDescent="0.15">
      <c r="A33" s="2">
        <v>30</v>
      </c>
      <c r="B33" s="2" t="s">
        <v>17488</v>
      </c>
      <c r="C33" s="509">
        <v>585</v>
      </c>
    </row>
    <row r="34" spans="1:3" x14ac:dyDescent="0.15">
      <c r="A34" s="2">
        <v>31</v>
      </c>
      <c r="B34" s="2" t="s">
        <v>17489</v>
      </c>
      <c r="C34" s="509">
        <v>650</v>
      </c>
    </row>
    <row r="35" spans="1:3" x14ac:dyDescent="0.15">
      <c r="A35" s="2">
        <v>32</v>
      </c>
      <c r="B35" s="2" t="s">
        <v>17490</v>
      </c>
      <c r="C35" s="509">
        <v>715</v>
      </c>
    </row>
    <row r="36" spans="1:3" x14ac:dyDescent="0.15">
      <c r="A36" s="2">
        <v>33</v>
      </c>
      <c r="B36" s="2" t="s">
        <v>17491</v>
      </c>
      <c r="C36" s="509">
        <v>780</v>
      </c>
    </row>
    <row r="37" spans="1:3" x14ac:dyDescent="0.15">
      <c r="A37" s="2">
        <v>34</v>
      </c>
      <c r="B37" s="2" t="s">
        <v>17492</v>
      </c>
      <c r="C37" s="509">
        <v>845</v>
      </c>
    </row>
    <row r="38" spans="1:3" x14ac:dyDescent="0.15">
      <c r="A38" s="2">
        <v>35</v>
      </c>
      <c r="B38" s="2" t="s">
        <v>17493</v>
      </c>
      <c r="C38" s="509">
        <v>910</v>
      </c>
    </row>
    <row r="39" spans="1:3" x14ac:dyDescent="0.15">
      <c r="A39" s="2">
        <v>36</v>
      </c>
      <c r="B39" s="2" t="s">
        <v>17494</v>
      </c>
      <c r="C39" s="509">
        <v>975</v>
      </c>
    </row>
    <row r="40" spans="1:3" x14ac:dyDescent="0.15">
      <c r="A40" s="2">
        <v>37</v>
      </c>
      <c r="B40" s="2" t="s">
        <v>17495</v>
      </c>
      <c r="C40" s="509">
        <v>1040</v>
      </c>
    </row>
    <row r="41" spans="1:3" x14ac:dyDescent="0.15">
      <c r="A41" s="2">
        <v>38</v>
      </c>
      <c r="B41" s="2" t="s">
        <v>17496</v>
      </c>
      <c r="C41" s="509">
        <v>1105</v>
      </c>
    </row>
    <row r="42" spans="1:3" x14ac:dyDescent="0.15">
      <c r="A42" s="2">
        <v>39</v>
      </c>
      <c r="B42" s="2" t="s">
        <v>17497</v>
      </c>
      <c r="C42" s="509">
        <v>1170</v>
      </c>
    </row>
    <row r="43" spans="1:3" x14ac:dyDescent="0.15">
      <c r="A43" s="2">
        <v>40</v>
      </c>
      <c r="B43" s="2" t="s">
        <v>17498</v>
      </c>
      <c r="C43" s="509">
        <v>1235</v>
      </c>
    </row>
    <row r="44" spans="1:3" x14ac:dyDescent="0.15">
      <c r="A44" s="2">
        <v>41</v>
      </c>
      <c r="B44" s="2" t="s">
        <v>17499</v>
      </c>
      <c r="C44" s="509">
        <v>1300</v>
      </c>
    </row>
    <row r="45" spans="1:3" x14ac:dyDescent="0.15">
      <c r="A45" s="2">
        <v>42</v>
      </c>
      <c r="B45" s="2" t="s">
        <v>17500</v>
      </c>
      <c r="C45" s="509">
        <v>1365</v>
      </c>
    </row>
    <row r="46" spans="1:3" x14ac:dyDescent="0.15">
      <c r="A46" s="2">
        <v>43</v>
      </c>
      <c r="B46" s="2" t="s">
        <v>17501</v>
      </c>
      <c r="C46" s="509">
        <v>110</v>
      </c>
    </row>
    <row r="47" spans="1:3" x14ac:dyDescent="0.15">
      <c r="A47" s="2">
        <v>44</v>
      </c>
      <c r="B47" s="2" t="s">
        <v>17502</v>
      </c>
      <c r="C47" s="509">
        <v>243</v>
      </c>
    </row>
    <row r="48" spans="1:3" x14ac:dyDescent="0.15">
      <c r="A48" s="2">
        <v>45</v>
      </c>
      <c r="B48" s="2" t="s">
        <v>17503</v>
      </c>
      <c r="C48" s="509">
        <v>308</v>
      </c>
    </row>
    <row r="49" spans="1:3" x14ac:dyDescent="0.15">
      <c r="A49" s="2">
        <v>46</v>
      </c>
      <c r="B49" s="2" t="s">
        <v>17504</v>
      </c>
      <c r="C49" s="509">
        <v>373</v>
      </c>
    </row>
    <row r="50" spans="1:3" x14ac:dyDescent="0.15">
      <c r="A50" s="2">
        <v>47</v>
      </c>
      <c r="B50" s="2" t="s">
        <v>17505</v>
      </c>
      <c r="C50" s="509">
        <v>438</v>
      </c>
    </row>
    <row r="51" spans="1:3" x14ac:dyDescent="0.15">
      <c r="A51" s="2">
        <v>48</v>
      </c>
      <c r="B51" s="2" t="s">
        <v>17506</v>
      </c>
      <c r="C51" s="509">
        <v>133</v>
      </c>
    </row>
    <row r="52" spans="1:3" x14ac:dyDescent="0.15">
      <c r="A52" s="2">
        <v>49</v>
      </c>
      <c r="B52" s="2" t="s">
        <v>17507</v>
      </c>
      <c r="C52" s="509">
        <v>198</v>
      </c>
    </row>
    <row r="53" spans="1:3" x14ac:dyDescent="0.15">
      <c r="A53" s="2">
        <v>50</v>
      </c>
      <c r="B53" s="2" t="s">
        <v>17508</v>
      </c>
      <c r="C53" s="509">
        <v>263</v>
      </c>
    </row>
    <row r="54" spans="1:3" x14ac:dyDescent="0.15">
      <c r="A54" s="2">
        <v>51</v>
      </c>
      <c r="B54" s="2" t="s">
        <v>17509</v>
      </c>
      <c r="C54" s="509">
        <v>328</v>
      </c>
    </row>
    <row r="55" spans="1:3" x14ac:dyDescent="0.15">
      <c r="A55" s="2">
        <v>52</v>
      </c>
      <c r="B55" s="2" t="s">
        <v>17510</v>
      </c>
      <c r="C55" s="509">
        <v>65</v>
      </c>
    </row>
    <row r="56" spans="1:3" x14ac:dyDescent="0.15">
      <c r="A56" s="2">
        <v>53</v>
      </c>
      <c r="B56" s="2" t="s">
        <v>17511</v>
      </c>
      <c r="C56" s="509">
        <v>130</v>
      </c>
    </row>
    <row r="57" spans="1:3" x14ac:dyDescent="0.15">
      <c r="A57" s="2">
        <v>54</v>
      </c>
      <c r="B57" s="2" t="s">
        <v>17512</v>
      </c>
      <c r="C57" s="509">
        <v>195</v>
      </c>
    </row>
    <row r="58" spans="1:3" x14ac:dyDescent="0.15">
      <c r="A58" s="2">
        <v>55</v>
      </c>
      <c r="B58" s="2" t="s">
        <v>17513</v>
      </c>
      <c r="C58" s="509">
        <v>65</v>
      </c>
    </row>
    <row r="59" spans="1:3" x14ac:dyDescent="0.15">
      <c r="A59" s="2">
        <v>56</v>
      </c>
      <c r="B59" s="2" t="s">
        <v>17514</v>
      </c>
      <c r="C59" s="509">
        <v>130</v>
      </c>
    </row>
    <row r="60" spans="1:3" x14ac:dyDescent="0.15">
      <c r="A60" s="2">
        <v>57</v>
      </c>
      <c r="B60" s="2" t="s">
        <v>17515</v>
      </c>
      <c r="C60" s="509">
        <v>65</v>
      </c>
    </row>
    <row r="61" spans="1:3" x14ac:dyDescent="0.15">
      <c r="A61" s="2">
        <v>58</v>
      </c>
      <c r="B61" s="2" t="s">
        <v>17516</v>
      </c>
      <c r="C61" s="509">
        <v>133</v>
      </c>
    </row>
    <row r="62" spans="1:3" x14ac:dyDescent="0.15">
      <c r="A62" s="2">
        <v>59</v>
      </c>
      <c r="B62" s="2" t="s">
        <v>17517</v>
      </c>
      <c r="C62" s="509">
        <v>198</v>
      </c>
    </row>
    <row r="63" spans="1:3" x14ac:dyDescent="0.15">
      <c r="A63" s="2">
        <v>60</v>
      </c>
      <c r="B63" s="2" t="s">
        <v>17518</v>
      </c>
      <c r="C63" s="509">
        <v>263</v>
      </c>
    </row>
    <row r="64" spans="1:3" x14ac:dyDescent="0.15">
      <c r="A64" s="2">
        <v>61</v>
      </c>
      <c r="B64" s="2" t="s">
        <v>17519</v>
      </c>
      <c r="C64" s="509">
        <v>328</v>
      </c>
    </row>
    <row r="65" spans="1:3" x14ac:dyDescent="0.15">
      <c r="A65" s="2">
        <v>62</v>
      </c>
      <c r="B65" s="2" t="s">
        <v>17520</v>
      </c>
      <c r="C65" s="509">
        <v>65</v>
      </c>
    </row>
    <row r="66" spans="1:3" x14ac:dyDescent="0.15">
      <c r="A66" s="2">
        <v>63</v>
      </c>
      <c r="B66" s="2" t="s">
        <v>17521</v>
      </c>
      <c r="C66" s="509">
        <v>130</v>
      </c>
    </row>
    <row r="67" spans="1:3" x14ac:dyDescent="0.15">
      <c r="A67" s="2">
        <v>64</v>
      </c>
      <c r="B67" s="2" t="s">
        <v>17522</v>
      </c>
      <c r="C67" s="509">
        <v>195</v>
      </c>
    </row>
    <row r="68" spans="1:3" x14ac:dyDescent="0.15">
      <c r="A68" s="2">
        <v>65</v>
      </c>
      <c r="B68" s="2" t="s">
        <v>17523</v>
      </c>
      <c r="C68" s="509">
        <v>65</v>
      </c>
    </row>
    <row r="69" spans="1:3" x14ac:dyDescent="0.15">
      <c r="A69" s="2">
        <v>66</v>
      </c>
      <c r="B69" s="2" t="s">
        <v>17524</v>
      </c>
      <c r="C69" s="509">
        <v>130</v>
      </c>
    </row>
    <row r="70" spans="1:3" x14ac:dyDescent="0.15">
      <c r="A70" s="2">
        <v>67</v>
      </c>
      <c r="B70" s="2" t="s">
        <v>17525</v>
      </c>
      <c r="C70" s="509">
        <v>65</v>
      </c>
    </row>
    <row r="71" spans="1:3" x14ac:dyDescent="0.15">
      <c r="A71" s="2">
        <v>68</v>
      </c>
      <c r="B71" s="2" t="s">
        <v>17526</v>
      </c>
      <c r="C71" s="509">
        <v>65</v>
      </c>
    </row>
    <row r="72" spans="1:3" x14ac:dyDescent="0.15">
      <c r="A72" s="2">
        <v>69</v>
      </c>
      <c r="B72" s="2" t="s">
        <v>17527</v>
      </c>
      <c r="C72" s="509">
        <v>130</v>
      </c>
    </row>
    <row r="73" spans="1:3" x14ac:dyDescent="0.15">
      <c r="A73" s="2">
        <v>70</v>
      </c>
      <c r="B73" s="2" t="s">
        <v>17528</v>
      </c>
      <c r="C73" s="509">
        <v>195</v>
      </c>
    </row>
    <row r="74" spans="1:3" x14ac:dyDescent="0.15">
      <c r="A74" s="2">
        <v>71</v>
      </c>
      <c r="B74" s="2" t="s">
        <v>17529</v>
      </c>
      <c r="C74" s="509">
        <v>65</v>
      </c>
    </row>
    <row r="75" spans="1:3" x14ac:dyDescent="0.15">
      <c r="A75" s="2">
        <v>72</v>
      </c>
      <c r="B75" s="2" t="s">
        <v>17530</v>
      </c>
      <c r="C75" s="509">
        <v>130</v>
      </c>
    </row>
    <row r="76" spans="1:3" x14ac:dyDescent="0.15">
      <c r="A76" s="2">
        <v>73</v>
      </c>
      <c r="B76" s="2" t="s">
        <v>17531</v>
      </c>
      <c r="C76" s="509">
        <v>65</v>
      </c>
    </row>
    <row r="77" spans="1:3" x14ac:dyDescent="0.15">
      <c r="A77" s="2">
        <v>74</v>
      </c>
      <c r="B77" s="2" t="s">
        <v>17532</v>
      </c>
      <c r="C77" s="509">
        <v>65</v>
      </c>
    </row>
    <row r="78" spans="1:3" x14ac:dyDescent="0.15">
      <c r="A78" s="2">
        <v>75</v>
      </c>
      <c r="B78" s="2" t="s">
        <v>17533</v>
      </c>
      <c r="C78" s="509">
        <v>130</v>
      </c>
    </row>
    <row r="79" spans="1:3" x14ac:dyDescent="0.15">
      <c r="A79" s="2">
        <v>76</v>
      </c>
      <c r="B79" s="2" t="s">
        <v>17534</v>
      </c>
      <c r="C79" s="509">
        <v>65</v>
      </c>
    </row>
    <row r="80" spans="1:3" x14ac:dyDescent="0.15">
      <c r="A80" s="2">
        <v>77</v>
      </c>
      <c r="B80" s="2" t="s">
        <v>17535</v>
      </c>
      <c r="C80" s="509">
        <v>65</v>
      </c>
    </row>
    <row r="81" spans="1:3" x14ac:dyDescent="0.15">
      <c r="A81" s="2">
        <v>78</v>
      </c>
      <c r="B81" s="2" t="s">
        <v>17536</v>
      </c>
      <c r="C81" s="510">
        <v>0.9</v>
      </c>
    </row>
    <row r="82" spans="1:3" x14ac:dyDescent="0.15">
      <c r="A82" s="2">
        <v>79</v>
      </c>
      <c r="B82" s="2" t="s">
        <v>17537</v>
      </c>
      <c r="C82" s="510">
        <v>0.9</v>
      </c>
    </row>
    <row r="83" spans="1:3" x14ac:dyDescent="0.15">
      <c r="A83" s="2">
        <v>80</v>
      </c>
      <c r="B83" s="2" t="s">
        <v>17538</v>
      </c>
      <c r="C83" s="510">
        <v>1</v>
      </c>
    </row>
    <row r="84" spans="1:3" x14ac:dyDescent="0.15">
      <c r="A84" s="2">
        <v>81</v>
      </c>
      <c r="B84" s="2" t="s">
        <v>17539</v>
      </c>
      <c r="C84" s="510">
        <v>0.5</v>
      </c>
    </row>
    <row r="85" spans="1:3" x14ac:dyDescent="0.15">
      <c r="A85" s="2">
        <v>82</v>
      </c>
      <c r="B85" s="2" t="s">
        <v>17540</v>
      </c>
      <c r="C85" s="510">
        <v>0.25</v>
      </c>
    </row>
    <row r="86" spans="1:3" x14ac:dyDescent="0.15">
      <c r="A86" s="2">
        <v>83</v>
      </c>
      <c r="B86" s="2" t="s">
        <v>17541</v>
      </c>
      <c r="C86" s="510">
        <v>0.25</v>
      </c>
    </row>
    <row r="87" spans="1:3" x14ac:dyDescent="0.15">
      <c r="A87" s="2">
        <v>84</v>
      </c>
      <c r="B87" s="2" t="s">
        <v>17542</v>
      </c>
      <c r="C87" s="510">
        <v>0.5</v>
      </c>
    </row>
    <row r="88" spans="1:3" x14ac:dyDescent="0.15">
      <c r="A88" s="2">
        <v>85</v>
      </c>
      <c r="B88" s="2" t="s">
        <v>17543</v>
      </c>
      <c r="C88" s="510">
        <v>0.25</v>
      </c>
    </row>
    <row r="89" spans="1:3" x14ac:dyDescent="0.15">
      <c r="A89" s="2">
        <v>86</v>
      </c>
      <c r="B89" s="2" t="s">
        <v>17544</v>
      </c>
      <c r="C89" s="510">
        <v>0.25</v>
      </c>
    </row>
    <row r="90" spans="1:3" x14ac:dyDescent="0.15">
      <c r="A90" s="2">
        <v>87</v>
      </c>
      <c r="B90" s="2" t="s">
        <v>17545</v>
      </c>
      <c r="C90" s="510">
        <v>0.5</v>
      </c>
    </row>
    <row r="91" spans="1:3" x14ac:dyDescent="0.15">
      <c r="A91" s="2">
        <v>88</v>
      </c>
      <c r="B91" s="2" t="s">
        <v>17546</v>
      </c>
      <c r="C91" s="510">
        <v>0.25</v>
      </c>
    </row>
    <row r="92" spans="1:3" x14ac:dyDescent="0.15">
      <c r="A92" s="2">
        <v>89</v>
      </c>
      <c r="B92" s="2" t="s">
        <v>17547</v>
      </c>
      <c r="C92" s="510">
        <v>0.25</v>
      </c>
    </row>
    <row r="93" spans="1:3" x14ac:dyDescent="0.15">
      <c r="A93" s="2">
        <v>90</v>
      </c>
      <c r="B93" s="2" t="s">
        <v>17548</v>
      </c>
      <c r="C93" s="510">
        <v>0.2</v>
      </c>
    </row>
    <row r="94" spans="1:3" x14ac:dyDescent="0.15">
      <c r="A94" s="2">
        <v>91</v>
      </c>
      <c r="B94" s="2" t="s">
        <v>17549</v>
      </c>
      <c r="C94" s="510">
        <v>0.4</v>
      </c>
    </row>
  </sheetData>
  <autoFilter ref="A3:B94" xr:uid="{00000000-0009-0000-0000-00006C000000}"/>
  <phoneticPr fontId="1"/>
  <pageMargins left="0.7" right="0.7" top="0.75" bottom="0.75" header="0.3" footer="0.3"/>
  <pageSetup paperSize="9"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1">
    <pageSetUpPr fitToPage="1"/>
  </sheetPr>
  <dimension ref="A1:V512"/>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15.5" style="10" customWidth="1"/>
    <col min="5" max="5" width="5.5" style="12" bestFit="1" customWidth="1"/>
    <col min="6" max="6" width="4.875" style="12" bestFit="1" customWidth="1"/>
    <col min="7" max="7" width="18.5" style="12" customWidth="1"/>
    <col min="8" max="8" width="3.125" style="12" bestFit="1" customWidth="1"/>
    <col min="9" max="9" width="4.125" style="13" bestFit="1" customWidth="1"/>
    <col min="10" max="10" width="30.5" style="12" customWidth="1"/>
    <col min="11" max="11" width="3.125" style="12" bestFit="1" customWidth="1"/>
    <col min="12" max="12" width="5" style="13" bestFit="1" customWidth="1"/>
    <col min="13" max="13" width="15.5" style="12" customWidth="1"/>
    <col min="14" max="14" width="3.125" style="12" bestFit="1" customWidth="1"/>
    <col min="15" max="15" width="4.125" style="13" bestFit="1" customWidth="1"/>
    <col min="16" max="16" width="4.875" style="12" bestFit="1" customWidth="1"/>
    <col min="17" max="17" width="12.5" style="12" customWidth="1"/>
    <col min="18" max="18" width="3.125" style="12" bestFit="1" customWidth="1"/>
    <col min="19" max="19" width="4.125" style="13" bestFit="1" customWidth="1"/>
    <col min="20" max="20" width="4.875" style="12" bestFit="1" customWidth="1"/>
    <col min="21" max="21" width="7.125" style="206" customWidth="1"/>
    <col min="22" max="22" width="8.5" style="16" customWidth="1"/>
    <col min="23" max="16384" width="9" style="12"/>
  </cols>
  <sheetData>
    <row r="1" spans="1:22" ht="17.100000000000001" customHeight="1" x14ac:dyDescent="0.15"/>
    <row r="2" spans="1:22" ht="17.100000000000001" customHeight="1" x14ac:dyDescent="0.15">
      <c r="A2" s="511" t="s">
        <v>17550</v>
      </c>
    </row>
    <row r="3" spans="1:22" ht="17.100000000000001" customHeight="1" x14ac:dyDescent="0.15"/>
    <row r="4" spans="1:22" ht="17.100000000000001" customHeight="1" x14ac:dyDescent="0.15">
      <c r="B4" s="17" t="s">
        <v>17551</v>
      </c>
      <c r="D4" s="71"/>
    </row>
    <row r="5" spans="1:22" ht="16.5" customHeight="1" x14ac:dyDescent="0.15">
      <c r="A5" s="19" t="s">
        <v>384</v>
      </c>
      <c r="B5" s="20"/>
      <c r="C5" s="21" t="s">
        <v>385</v>
      </c>
      <c r="D5" s="23" t="s">
        <v>386</v>
      </c>
      <c r="E5" s="23"/>
      <c r="F5" s="23"/>
      <c r="G5" s="23"/>
      <c r="H5" s="23"/>
      <c r="I5" s="24"/>
      <c r="J5" s="23"/>
      <c r="K5" s="23"/>
      <c r="L5" s="24"/>
      <c r="M5" s="23"/>
      <c r="N5" s="23"/>
      <c r="O5" s="24"/>
      <c r="P5" s="23"/>
      <c r="Q5" s="23"/>
      <c r="R5" s="23"/>
      <c r="S5" s="24"/>
      <c r="T5" s="23"/>
      <c r="U5" s="21" t="s">
        <v>387</v>
      </c>
      <c r="V5" s="21" t="s">
        <v>388</v>
      </c>
    </row>
    <row r="6" spans="1:22" ht="16.5" customHeight="1" x14ac:dyDescent="0.15">
      <c r="A6" s="26" t="s">
        <v>389</v>
      </c>
      <c r="B6" s="26" t="s">
        <v>390</v>
      </c>
      <c r="C6" s="27"/>
      <c r="D6" s="29"/>
      <c r="E6" s="29"/>
      <c r="F6" s="29"/>
      <c r="G6" s="29"/>
      <c r="H6" s="29"/>
      <c r="I6" s="30"/>
      <c r="J6" s="29"/>
      <c r="K6" s="29"/>
      <c r="L6" s="30"/>
      <c r="M6" s="29"/>
      <c r="N6" s="29"/>
      <c r="O6" s="30"/>
      <c r="P6" s="29"/>
      <c r="Q6" s="29"/>
      <c r="R6" s="29"/>
      <c r="S6" s="30"/>
      <c r="T6" s="29"/>
      <c r="U6" s="32" t="s">
        <v>391</v>
      </c>
      <c r="V6" s="32" t="s">
        <v>392</v>
      </c>
    </row>
    <row r="7" spans="1:22" ht="16.5" customHeight="1" x14ac:dyDescent="0.15">
      <c r="A7" s="33">
        <v>15</v>
      </c>
      <c r="B7" s="33">
        <v>7687</v>
      </c>
      <c r="C7" s="34" t="s">
        <v>17552</v>
      </c>
      <c r="D7" s="72" t="s">
        <v>17553</v>
      </c>
      <c r="F7" s="57"/>
      <c r="G7" s="35"/>
      <c r="J7" s="43"/>
      <c r="K7" s="37"/>
      <c r="L7" s="38"/>
      <c r="M7" s="35"/>
      <c r="P7" s="57"/>
      <c r="Q7" s="35"/>
      <c r="T7" s="57"/>
      <c r="U7" s="207">
        <f>_15_同援日０．５</f>
        <v>190</v>
      </c>
      <c r="V7" s="40" t="s">
        <v>395</v>
      </c>
    </row>
    <row r="8" spans="1:22" ht="16.5" customHeight="1" x14ac:dyDescent="0.15">
      <c r="A8" s="41">
        <v>15</v>
      </c>
      <c r="B8" s="41">
        <v>7688</v>
      </c>
      <c r="C8" s="74" t="s">
        <v>17554</v>
      </c>
      <c r="D8" s="72" t="s">
        <v>17555</v>
      </c>
      <c r="F8" s="57"/>
      <c r="G8" s="43"/>
      <c r="H8" s="37"/>
      <c r="I8" s="38"/>
      <c r="J8" s="163" t="s">
        <v>17556</v>
      </c>
      <c r="K8" s="45" t="s">
        <v>398</v>
      </c>
      <c r="L8" s="46">
        <v>1</v>
      </c>
      <c r="M8" s="35"/>
      <c r="P8" s="57"/>
      <c r="Q8" s="35"/>
      <c r="T8" s="57"/>
      <c r="U8" s="208">
        <f>ROUND((_15_同援日０．５*_15・２人),0)</f>
        <v>190</v>
      </c>
      <c r="V8" s="48"/>
    </row>
    <row r="9" spans="1:22" ht="16.5" customHeight="1" x14ac:dyDescent="0.15">
      <c r="A9" s="41">
        <v>15</v>
      </c>
      <c r="B9" s="41">
        <v>7689</v>
      </c>
      <c r="C9" s="74" t="s">
        <v>17557</v>
      </c>
      <c r="D9" s="72"/>
      <c r="F9" s="57"/>
      <c r="G9" s="53" t="s">
        <v>17558</v>
      </c>
      <c r="H9" s="49"/>
      <c r="I9" s="50"/>
      <c r="J9" s="163"/>
      <c r="K9" s="45"/>
      <c r="L9" s="46"/>
      <c r="M9" s="35"/>
      <c r="P9" s="57"/>
      <c r="Q9" s="35"/>
      <c r="T9" s="57"/>
      <c r="U9" s="208">
        <f>ROUND((_15_同援日０．５*_15・基礎２),0)</f>
        <v>171</v>
      </c>
      <c r="V9" s="48"/>
    </row>
    <row r="10" spans="1:22" ht="16.5" customHeight="1" x14ac:dyDescent="0.15">
      <c r="A10" s="41">
        <v>15</v>
      </c>
      <c r="B10" s="41">
        <v>7690</v>
      </c>
      <c r="C10" s="74" t="s">
        <v>17559</v>
      </c>
      <c r="D10" s="72"/>
      <c r="E10" s="168">
        <f>_15_同援日０．５</f>
        <v>190</v>
      </c>
      <c r="F10" s="57" t="s">
        <v>392</v>
      </c>
      <c r="G10" s="43" t="s">
        <v>17560</v>
      </c>
      <c r="H10" s="37" t="s">
        <v>398</v>
      </c>
      <c r="I10" s="38">
        <v>0.9</v>
      </c>
      <c r="J10" s="163" t="s">
        <v>17556</v>
      </c>
      <c r="K10" s="45" t="s">
        <v>398</v>
      </c>
      <c r="L10" s="46">
        <v>1</v>
      </c>
      <c r="M10" s="43"/>
      <c r="N10" s="37"/>
      <c r="O10" s="38"/>
      <c r="P10" s="79"/>
      <c r="Q10" s="35"/>
      <c r="T10" s="57"/>
      <c r="U10" s="208">
        <f>ROUND((ROUND((_15_同援日０．５*_15・基礎２),0)*_15・２人),0)</f>
        <v>171</v>
      </c>
      <c r="V10" s="48"/>
    </row>
    <row r="11" spans="1:22" ht="16.5" customHeight="1" x14ac:dyDescent="0.15">
      <c r="A11" s="41">
        <v>15</v>
      </c>
      <c r="B11" s="41">
        <v>7691</v>
      </c>
      <c r="C11" s="74" t="s">
        <v>17561</v>
      </c>
      <c r="D11" s="72"/>
      <c r="F11" s="57"/>
      <c r="G11" s="53"/>
      <c r="H11" s="49"/>
      <c r="I11" s="50"/>
      <c r="J11" s="163"/>
      <c r="K11" s="45"/>
      <c r="L11" s="46"/>
      <c r="M11" s="53" t="s">
        <v>17562</v>
      </c>
      <c r="N11" s="49"/>
      <c r="O11" s="50"/>
      <c r="P11" s="115"/>
      <c r="Q11" s="35"/>
      <c r="T11" s="57"/>
      <c r="U11" s="208">
        <f>ROUND((_15_同援日０．５*(1+_15・盲ろう)),0)</f>
        <v>238</v>
      </c>
      <c r="V11" s="48"/>
    </row>
    <row r="12" spans="1:22" ht="16.5" customHeight="1" x14ac:dyDescent="0.15">
      <c r="A12" s="41">
        <v>15</v>
      </c>
      <c r="B12" s="41">
        <v>7692</v>
      </c>
      <c r="C12" s="74" t="s">
        <v>17563</v>
      </c>
      <c r="D12" s="72"/>
      <c r="F12" s="57"/>
      <c r="G12" s="43"/>
      <c r="H12" s="37"/>
      <c r="I12" s="38"/>
      <c r="J12" s="163" t="s">
        <v>17556</v>
      </c>
      <c r="K12" s="45" t="s">
        <v>398</v>
      </c>
      <c r="L12" s="46">
        <v>1</v>
      </c>
      <c r="M12" s="35" t="s">
        <v>17564</v>
      </c>
      <c r="P12" s="57"/>
      <c r="Q12" s="35"/>
      <c r="T12" s="57"/>
      <c r="U12" s="208">
        <f>ROUND((ROUND((_15_同援日０．５*_15・２人),0)*(1+_15・盲ろう)),0)</f>
        <v>238</v>
      </c>
      <c r="V12" s="48"/>
    </row>
    <row r="13" spans="1:22" ht="16.5" customHeight="1" x14ac:dyDescent="0.15">
      <c r="A13" s="41">
        <v>15</v>
      </c>
      <c r="B13" s="41">
        <v>7693</v>
      </c>
      <c r="C13" s="74" t="s">
        <v>17565</v>
      </c>
      <c r="D13" s="72"/>
      <c r="F13" s="57"/>
      <c r="G13" s="53" t="s">
        <v>17558</v>
      </c>
      <c r="H13" s="49"/>
      <c r="I13" s="50"/>
      <c r="J13" s="163"/>
      <c r="K13" s="45"/>
      <c r="L13" s="46"/>
      <c r="M13" s="35"/>
      <c r="N13" s="12" t="s">
        <v>398</v>
      </c>
      <c r="O13" s="13">
        <v>0.25</v>
      </c>
      <c r="P13" s="57" t="s">
        <v>3575</v>
      </c>
      <c r="Q13" s="35"/>
      <c r="T13" s="57"/>
      <c r="U13" s="208">
        <f>ROUND((ROUND((_15_同援日０．５*_15・基礎２),0)*(1+_15・盲ろう)),0)</f>
        <v>214</v>
      </c>
      <c r="V13" s="48"/>
    </row>
    <row r="14" spans="1:22" ht="16.5" customHeight="1" x14ac:dyDescent="0.15">
      <c r="A14" s="41">
        <v>15</v>
      </c>
      <c r="B14" s="41">
        <v>7694</v>
      </c>
      <c r="C14" s="74" t="s">
        <v>17566</v>
      </c>
      <c r="D14" s="72"/>
      <c r="F14" s="57"/>
      <c r="G14" s="43" t="s">
        <v>17560</v>
      </c>
      <c r="H14" s="37" t="s">
        <v>398</v>
      </c>
      <c r="I14" s="38">
        <v>0.9</v>
      </c>
      <c r="J14" s="163" t="s">
        <v>17556</v>
      </c>
      <c r="K14" s="45" t="s">
        <v>398</v>
      </c>
      <c r="L14" s="46">
        <v>1</v>
      </c>
      <c r="M14" s="43"/>
      <c r="N14" s="37"/>
      <c r="O14" s="38"/>
      <c r="P14" s="79"/>
      <c r="Q14" s="43"/>
      <c r="R14" s="37"/>
      <c r="S14" s="38"/>
      <c r="T14" s="79"/>
      <c r="U14" s="208">
        <f>ROUND((ROUND((ROUND((_15_同援日０．５*_15・基礎２),0)*_15・２人),0)*(1+_15・盲ろう)),0)</f>
        <v>214</v>
      </c>
      <c r="V14" s="48"/>
    </row>
    <row r="15" spans="1:22" ht="16.5" customHeight="1" x14ac:dyDescent="0.15">
      <c r="A15" s="41">
        <v>15</v>
      </c>
      <c r="B15" s="41">
        <v>7695</v>
      </c>
      <c r="C15" s="74" t="s">
        <v>17567</v>
      </c>
      <c r="D15" s="72"/>
      <c r="F15" s="57"/>
      <c r="G15" s="53"/>
      <c r="H15" s="49"/>
      <c r="I15" s="50"/>
      <c r="J15" s="163"/>
      <c r="K15" s="45"/>
      <c r="L15" s="46"/>
      <c r="M15" s="53"/>
      <c r="N15" s="49"/>
      <c r="O15" s="50"/>
      <c r="P15" s="115"/>
      <c r="Q15" s="53"/>
      <c r="R15" s="49"/>
      <c r="S15" s="50"/>
      <c r="T15" s="115"/>
      <c r="U15" s="208">
        <f>ROUND((_15_同援日０．５*(1+_15・区３)),0)</f>
        <v>228</v>
      </c>
      <c r="V15" s="48"/>
    </row>
    <row r="16" spans="1:22" ht="16.5" customHeight="1" x14ac:dyDescent="0.15">
      <c r="A16" s="41">
        <v>15</v>
      </c>
      <c r="B16" s="41">
        <v>7696</v>
      </c>
      <c r="C16" s="74" t="s">
        <v>17568</v>
      </c>
      <c r="D16" s="72"/>
      <c r="F16" s="57"/>
      <c r="G16" s="43"/>
      <c r="H16" s="37"/>
      <c r="I16" s="38"/>
      <c r="J16" s="163" t="s">
        <v>17556</v>
      </c>
      <c r="K16" s="45" t="s">
        <v>398</v>
      </c>
      <c r="L16" s="46">
        <v>1</v>
      </c>
      <c r="M16" s="35"/>
      <c r="P16" s="57"/>
      <c r="Q16" s="35"/>
      <c r="T16" s="57"/>
      <c r="U16" s="208">
        <f>ROUND((ROUND((_15_同援日０．５*_15・２人),0)*(1+_15・区３)),0)</f>
        <v>228</v>
      </c>
      <c r="V16" s="48"/>
    </row>
    <row r="17" spans="1:22" ht="16.5" customHeight="1" x14ac:dyDescent="0.15">
      <c r="A17" s="41">
        <v>15</v>
      </c>
      <c r="B17" s="41">
        <v>7697</v>
      </c>
      <c r="C17" s="74" t="s">
        <v>17569</v>
      </c>
      <c r="D17" s="72"/>
      <c r="F17" s="57"/>
      <c r="G17" s="53" t="s">
        <v>17558</v>
      </c>
      <c r="H17" s="49"/>
      <c r="I17" s="50"/>
      <c r="J17" s="163"/>
      <c r="K17" s="45"/>
      <c r="L17" s="46"/>
      <c r="M17" s="35"/>
      <c r="P17" s="57"/>
      <c r="Q17" s="35" t="s">
        <v>17570</v>
      </c>
      <c r="T17" s="57"/>
      <c r="U17" s="208">
        <f>ROUND((ROUND((_15_同援日０．５*_15・基礎２),0)*(1+_15・区３)),0)</f>
        <v>205</v>
      </c>
      <c r="V17" s="48"/>
    </row>
    <row r="18" spans="1:22" ht="16.5" customHeight="1" x14ac:dyDescent="0.15">
      <c r="A18" s="41">
        <v>15</v>
      </c>
      <c r="B18" s="41">
        <v>7698</v>
      </c>
      <c r="C18" s="74" t="s">
        <v>17571</v>
      </c>
      <c r="D18" s="72"/>
      <c r="F18" s="57"/>
      <c r="G18" s="43" t="s">
        <v>17560</v>
      </c>
      <c r="H18" s="37" t="s">
        <v>398</v>
      </c>
      <c r="I18" s="38">
        <v>0.9</v>
      </c>
      <c r="J18" s="163" t="s">
        <v>17556</v>
      </c>
      <c r="K18" s="45" t="s">
        <v>398</v>
      </c>
      <c r="L18" s="46">
        <v>1</v>
      </c>
      <c r="M18" s="43"/>
      <c r="N18" s="37"/>
      <c r="O18" s="38"/>
      <c r="P18" s="79"/>
      <c r="Q18" s="35" t="s">
        <v>17572</v>
      </c>
      <c r="T18" s="57"/>
      <c r="U18" s="208">
        <f>ROUND((ROUND((ROUND((_15_同援日０．５*_15・基礎２),0)*_15・２人),0)*(1+_15・区３)),0)</f>
        <v>205</v>
      </c>
      <c r="V18" s="48"/>
    </row>
    <row r="19" spans="1:22" ht="16.5" customHeight="1" x14ac:dyDescent="0.15">
      <c r="A19" s="41">
        <v>15</v>
      </c>
      <c r="B19" s="41">
        <v>7699</v>
      </c>
      <c r="C19" s="74" t="s">
        <v>17573</v>
      </c>
      <c r="D19" s="72"/>
      <c r="F19" s="57"/>
      <c r="G19" s="53"/>
      <c r="H19" s="49"/>
      <c r="I19" s="50"/>
      <c r="J19" s="163"/>
      <c r="K19" s="45"/>
      <c r="L19" s="46"/>
      <c r="M19" s="53" t="s">
        <v>17562</v>
      </c>
      <c r="N19" s="49"/>
      <c r="O19" s="50"/>
      <c r="P19" s="115"/>
      <c r="Q19" s="35"/>
      <c r="R19" s="12" t="s">
        <v>398</v>
      </c>
      <c r="S19" s="13">
        <v>0.2</v>
      </c>
      <c r="T19" s="57" t="s">
        <v>3575</v>
      </c>
      <c r="U19" s="208">
        <f>ROUND((ROUND((_15_同援日０．５*(1+_15・盲ろう)),0)*(1+_15・区３)),0)</f>
        <v>286</v>
      </c>
      <c r="V19" s="48"/>
    </row>
    <row r="20" spans="1:22" ht="16.5" customHeight="1" x14ac:dyDescent="0.15">
      <c r="A20" s="41">
        <v>15</v>
      </c>
      <c r="B20" s="41">
        <v>7700</v>
      </c>
      <c r="C20" s="74" t="s">
        <v>17574</v>
      </c>
      <c r="D20" s="72"/>
      <c r="F20" s="57"/>
      <c r="G20" s="43"/>
      <c r="H20" s="37"/>
      <c r="I20" s="38"/>
      <c r="J20" s="163" t="s">
        <v>17556</v>
      </c>
      <c r="K20" s="45" t="s">
        <v>398</v>
      </c>
      <c r="L20" s="46">
        <v>1</v>
      </c>
      <c r="M20" s="35" t="s">
        <v>17564</v>
      </c>
      <c r="P20" s="57"/>
      <c r="Q20" s="35"/>
      <c r="T20" s="57"/>
      <c r="U20" s="208">
        <f>ROUND((ROUND((ROUND((_15_同援日０．５*_15・２人),0)*(1+_15・盲ろう)),0)*(1+_15・区３)),0)</f>
        <v>286</v>
      </c>
      <c r="V20" s="48"/>
    </row>
    <row r="21" spans="1:22" ht="16.5" customHeight="1" x14ac:dyDescent="0.15">
      <c r="A21" s="41">
        <v>15</v>
      </c>
      <c r="B21" s="41">
        <v>7701</v>
      </c>
      <c r="C21" s="74" t="s">
        <v>17575</v>
      </c>
      <c r="D21" s="72"/>
      <c r="F21" s="57"/>
      <c r="G21" s="53" t="s">
        <v>17558</v>
      </c>
      <c r="H21" s="49"/>
      <c r="I21" s="50"/>
      <c r="J21" s="163"/>
      <c r="K21" s="45"/>
      <c r="L21" s="46"/>
      <c r="M21" s="35"/>
      <c r="N21" s="12" t="s">
        <v>398</v>
      </c>
      <c r="O21" s="13">
        <v>0.25</v>
      </c>
      <c r="P21" s="57" t="s">
        <v>3575</v>
      </c>
      <c r="Q21" s="35"/>
      <c r="T21" s="57"/>
      <c r="U21" s="208">
        <f>ROUND((ROUND((ROUND((_15_同援日０．５*_15・基礎２),0)*(1+_15・盲ろう)),0)*(1+_15・区３)),0)</f>
        <v>257</v>
      </c>
      <c r="V21" s="48"/>
    </row>
    <row r="22" spans="1:22" ht="16.5" customHeight="1" x14ac:dyDescent="0.15">
      <c r="A22" s="41">
        <v>15</v>
      </c>
      <c r="B22" s="41">
        <v>7702</v>
      </c>
      <c r="C22" s="74" t="s">
        <v>17576</v>
      </c>
      <c r="D22" s="72"/>
      <c r="F22" s="57"/>
      <c r="G22" s="43" t="s">
        <v>17560</v>
      </c>
      <c r="H22" s="37" t="s">
        <v>398</v>
      </c>
      <c r="I22" s="38">
        <v>0.9</v>
      </c>
      <c r="J22" s="163" t="s">
        <v>17556</v>
      </c>
      <c r="K22" s="45" t="s">
        <v>398</v>
      </c>
      <c r="L22" s="46">
        <v>1</v>
      </c>
      <c r="M22" s="43"/>
      <c r="N22" s="37"/>
      <c r="O22" s="38"/>
      <c r="P22" s="79"/>
      <c r="Q22" s="43"/>
      <c r="R22" s="37"/>
      <c r="S22" s="38"/>
      <c r="T22" s="79"/>
      <c r="U22" s="208">
        <f>ROUND((ROUND((ROUND((ROUND((_15_同援日０．５*_15・基礎２),0)*_15・２人),0)*(1+_15・盲ろう)),0)*(1+_15・区３)),0)</f>
        <v>257</v>
      </c>
      <c r="V22" s="48"/>
    </row>
    <row r="23" spans="1:22" ht="16.5" customHeight="1" x14ac:dyDescent="0.15">
      <c r="A23" s="41">
        <v>15</v>
      </c>
      <c r="B23" s="41">
        <v>7703</v>
      </c>
      <c r="C23" s="74" t="s">
        <v>17577</v>
      </c>
      <c r="D23" s="72"/>
      <c r="F23" s="57"/>
      <c r="G23" s="53"/>
      <c r="H23" s="49"/>
      <c r="I23" s="50"/>
      <c r="J23" s="163"/>
      <c r="K23" s="45"/>
      <c r="L23" s="46"/>
      <c r="M23" s="53"/>
      <c r="N23" s="49"/>
      <c r="O23" s="50"/>
      <c r="P23" s="115"/>
      <c r="Q23" s="53"/>
      <c r="R23" s="49"/>
      <c r="S23" s="50"/>
      <c r="T23" s="115"/>
      <c r="U23" s="208">
        <f>ROUND((_15_同援日０．５*(1+_15・区４)),0)</f>
        <v>266</v>
      </c>
      <c r="V23" s="48"/>
    </row>
    <row r="24" spans="1:22" ht="16.5" customHeight="1" x14ac:dyDescent="0.15">
      <c r="A24" s="41">
        <v>15</v>
      </c>
      <c r="B24" s="41">
        <v>7704</v>
      </c>
      <c r="C24" s="74" t="s">
        <v>17578</v>
      </c>
      <c r="D24" s="72"/>
      <c r="F24" s="57"/>
      <c r="G24" s="43"/>
      <c r="H24" s="37"/>
      <c r="I24" s="38"/>
      <c r="J24" s="163" t="s">
        <v>17556</v>
      </c>
      <c r="K24" s="45" t="s">
        <v>398</v>
      </c>
      <c r="L24" s="46">
        <v>1</v>
      </c>
      <c r="M24" s="35"/>
      <c r="P24" s="57"/>
      <c r="Q24" s="35"/>
      <c r="T24" s="57"/>
      <c r="U24" s="208">
        <f>ROUND((ROUND((_15_同援日０．５*_15・２人),0)*(1+_15・区４)),0)</f>
        <v>266</v>
      </c>
      <c r="V24" s="48"/>
    </row>
    <row r="25" spans="1:22" ht="16.5" customHeight="1" x14ac:dyDescent="0.15">
      <c r="A25" s="41">
        <v>15</v>
      </c>
      <c r="B25" s="41">
        <v>7705</v>
      </c>
      <c r="C25" s="74" t="s">
        <v>17579</v>
      </c>
      <c r="D25" s="72"/>
      <c r="F25" s="57"/>
      <c r="G25" s="53" t="s">
        <v>17558</v>
      </c>
      <c r="H25" s="49"/>
      <c r="I25" s="50"/>
      <c r="J25" s="163"/>
      <c r="K25" s="45"/>
      <c r="L25" s="46"/>
      <c r="M25" s="35"/>
      <c r="P25" s="57"/>
      <c r="Q25" s="35" t="s">
        <v>17580</v>
      </c>
      <c r="T25" s="57"/>
      <c r="U25" s="208">
        <f>ROUND((ROUND((_15_同援日０．５*_15・基礎２),0)*(1+_15・区４)),0)</f>
        <v>239</v>
      </c>
      <c r="V25" s="48"/>
    </row>
    <row r="26" spans="1:22" ht="16.5" customHeight="1" x14ac:dyDescent="0.15">
      <c r="A26" s="41">
        <v>15</v>
      </c>
      <c r="B26" s="41">
        <v>7706</v>
      </c>
      <c r="C26" s="74" t="s">
        <v>17581</v>
      </c>
      <c r="D26" s="72"/>
      <c r="F26" s="57"/>
      <c r="G26" s="43" t="s">
        <v>17560</v>
      </c>
      <c r="H26" s="37" t="s">
        <v>398</v>
      </c>
      <c r="I26" s="38">
        <v>0.9</v>
      </c>
      <c r="J26" s="163" t="s">
        <v>17556</v>
      </c>
      <c r="K26" s="45" t="s">
        <v>398</v>
      </c>
      <c r="L26" s="46">
        <v>1</v>
      </c>
      <c r="M26" s="43"/>
      <c r="N26" s="37"/>
      <c r="O26" s="38"/>
      <c r="P26" s="79"/>
      <c r="Q26" s="35" t="s">
        <v>17572</v>
      </c>
      <c r="T26" s="57"/>
      <c r="U26" s="208">
        <f>ROUND((ROUND((ROUND((_15_同援日０．５*_15・基礎２),0)*_15・２人),0)*(1+_15・区４)),0)</f>
        <v>239</v>
      </c>
      <c r="V26" s="48"/>
    </row>
    <row r="27" spans="1:22" ht="16.5" customHeight="1" x14ac:dyDescent="0.15">
      <c r="A27" s="41">
        <v>15</v>
      </c>
      <c r="B27" s="41">
        <v>7707</v>
      </c>
      <c r="C27" s="74" t="s">
        <v>17582</v>
      </c>
      <c r="D27" s="72"/>
      <c r="F27" s="57"/>
      <c r="G27" s="53"/>
      <c r="H27" s="49"/>
      <c r="I27" s="50"/>
      <c r="J27" s="163"/>
      <c r="K27" s="45"/>
      <c r="L27" s="46"/>
      <c r="M27" s="53" t="s">
        <v>17562</v>
      </c>
      <c r="N27" s="49"/>
      <c r="O27" s="50"/>
      <c r="P27" s="115"/>
      <c r="Q27" s="35"/>
      <c r="R27" s="12" t="s">
        <v>398</v>
      </c>
      <c r="S27" s="13">
        <v>0.4</v>
      </c>
      <c r="T27" s="57" t="s">
        <v>3575</v>
      </c>
      <c r="U27" s="208">
        <f>ROUND((ROUND((_15_同援日０．５*(1+_15・盲ろう)),0)*(1+_15・区４)),0)</f>
        <v>333</v>
      </c>
      <c r="V27" s="48"/>
    </row>
    <row r="28" spans="1:22" ht="16.5" customHeight="1" x14ac:dyDescent="0.15">
      <c r="A28" s="41">
        <v>15</v>
      </c>
      <c r="B28" s="41">
        <v>7708</v>
      </c>
      <c r="C28" s="74" t="s">
        <v>17583</v>
      </c>
      <c r="D28" s="72"/>
      <c r="F28" s="57"/>
      <c r="G28" s="43"/>
      <c r="H28" s="37"/>
      <c r="I28" s="38"/>
      <c r="J28" s="163" t="s">
        <v>17556</v>
      </c>
      <c r="K28" s="45" t="s">
        <v>398</v>
      </c>
      <c r="L28" s="46">
        <v>1</v>
      </c>
      <c r="M28" s="35" t="s">
        <v>17564</v>
      </c>
      <c r="P28" s="57"/>
      <c r="Q28" s="35"/>
      <c r="T28" s="57"/>
      <c r="U28" s="208">
        <f>ROUND((ROUND((ROUND((_15_同援日０．５*_15・２人),0)*(1+_15・盲ろう)),0)*(1+_15・区４)),0)</f>
        <v>333</v>
      </c>
      <c r="V28" s="48"/>
    </row>
    <row r="29" spans="1:22" ht="16.5" customHeight="1" x14ac:dyDescent="0.15">
      <c r="A29" s="41">
        <v>15</v>
      </c>
      <c r="B29" s="41">
        <v>7709</v>
      </c>
      <c r="C29" s="74" t="s">
        <v>17584</v>
      </c>
      <c r="D29" s="72"/>
      <c r="F29" s="57"/>
      <c r="G29" s="53" t="s">
        <v>17558</v>
      </c>
      <c r="H29" s="49"/>
      <c r="I29" s="50"/>
      <c r="J29" s="163"/>
      <c r="K29" s="45"/>
      <c r="L29" s="46"/>
      <c r="M29" s="35"/>
      <c r="N29" s="12" t="s">
        <v>398</v>
      </c>
      <c r="O29" s="13">
        <v>0.25</v>
      </c>
      <c r="P29" s="57" t="s">
        <v>3575</v>
      </c>
      <c r="Q29" s="35"/>
      <c r="T29" s="57"/>
      <c r="U29" s="208">
        <f>ROUND((ROUND((ROUND((_15_同援日０．５*_15・基礎２),0)*(1+_15・盲ろう)),0)*(1+_15・区４)),0)</f>
        <v>300</v>
      </c>
      <c r="V29" s="48"/>
    </row>
    <row r="30" spans="1:22" ht="16.5" customHeight="1" x14ac:dyDescent="0.15">
      <c r="A30" s="41">
        <v>15</v>
      </c>
      <c r="B30" s="41">
        <v>7710</v>
      </c>
      <c r="C30" s="74" t="s">
        <v>17585</v>
      </c>
      <c r="D30" s="122"/>
      <c r="E30" s="37"/>
      <c r="F30" s="79"/>
      <c r="G30" s="43" t="s">
        <v>17560</v>
      </c>
      <c r="H30" s="37" t="s">
        <v>398</v>
      </c>
      <c r="I30" s="38">
        <v>0.9</v>
      </c>
      <c r="J30" s="163" t="s">
        <v>17556</v>
      </c>
      <c r="K30" s="45" t="s">
        <v>398</v>
      </c>
      <c r="L30" s="46">
        <v>1</v>
      </c>
      <c r="M30" s="43"/>
      <c r="N30" s="37"/>
      <c r="O30" s="38"/>
      <c r="P30" s="79"/>
      <c r="Q30" s="43"/>
      <c r="R30" s="37"/>
      <c r="S30" s="38"/>
      <c r="T30" s="79"/>
      <c r="U30" s="208">
        <f>ROUND((ROUND((ROUND((ROUND((_15_同援日０．５*_15・基礎２),0)*_15・２人),0)*(1+_15・盲ろう)),0)*(1+_15・区４)),0)</f>
        <v>300</v>
      </c>
      <c r="V30" s="48"/>
    </row>
    <row r="31" spans="1:22" ht="16.5" customHeight="1" x14ac:dyDescent="0.15">
      <c r="A31" s="41">
        <v>15</v>
      </c>
      <c r="B31" s="41">
        <v>7711</v>
      </c>
      <c r="C31" s="74" t="s">
        <v>17586</v>
      </c>
      <c r="D31" s="114" t="s">
        <v>17587</v>
      </c>
      <c r="E31" s="49"/>
      <c r="F31" s="115"/>
      <c r="G31" s="53"/>
      <c r="H31" s="49"/>
      <c r="I31" s="50"/>
      <c r="J31" s="163"/>
      <c r="K31" s="45"/>
      <c r="L31" s="46"/>
      <c r="M31" s="53"/>
      <c r="N31" s="49"/>
      <c r="O31" s="50"/>
      <c r="P31" s="115"/>
      <c r="Q31" s="53"/>
      <c r="R31" s="49"/>
      <c r="S31" s="50"/>
      <c r="T31" s="115"/>
      <c r="U31" s="208">
        <f>_15_同援日１．０</f>
        <v>300</v>
      </c>
      <c r="V31" s="48"/>
    </row>
    <row r="32" spans="1:22" ht="16.5" customHeight="1" x14ac:dyDescent="0.15">
      <c r="A32" s="41">
        <v>15</v>
      </c>
      <c r="B32" s="41">
        <v>7712</v>
      </c>
      <c r="C32" s="74" t="s">
        <v>17588</v>
      </c>
      <c r="D32" s="72" t="s">
        <v>17589</v>
      </c>
      <c r="F32" s="57"/>
      <c r="G32" s="43"/>
      <c r="H32" s="37"/>
      <c r="I32" s="38"/>
      <c r="J32" s="163" t="s">
        <v>17556</v>
      </c>
      <c r="K32" s="45" t="s">
        <v>398</v>
      </c>
      <c r="L32" s="46">
        <v>1</v>
      </c>
      <c r="M32" s="35"/>
      <c r="P32" s="57"/>
      <c r="Q32" s="35"/>
      <c r="T32" s="57"/>
      <c r="U32" s="208">
        <f>ROUND((_15_同援日１．０*_15・２人),0)</f>
        <v>300</v>
      </c>
      <c r="V32" s="48"/>
    </row>
    <row r="33" spans="1:22" ht="16.5" customHeight="1" x14ac:dyDescent="0.15">
      <c r="A33" s="41">
        <v>15</v>
      </c>
      <c r="B33" s="41">
        <v>7713</v>
      </c>
      <c r="C33" s="74" t="s">
        <v>17590</v>
      </c>
      <c r="D33" s="72" t="s">
        <v>17591</v>
      </c>
      <c r="F33" s="57"/>
      <c r="G33" s="53" t="s">
        <v>17558</v>
      </c>
      <c r="H33" s="49"/>
      <c r="I33" s="50"/>
      <c r="J33" s="163"/>
      <c r="K33" s="45"/>
      <c r="L33" s="46"/>
      <c r="M33" s="35"/>
      <c r="P33" s="57"/>
      <c r="Q33" s="35"/>
      <c r="T33" s="57"/>
      <c r="U33" s="208">
        <f>ROUND((_15_同援日１．０*_15・基礎２),0)</f>
        <v>270</v>
      </c>
      <c r="V33" s="48"/>
    </row>
    <row r="34" spans="1:22" ht="16.5" customHeight="1" x14ac:dyDescent="0.15">
      <c r="A34" s="41">
        <v>15</v>
      </c>
      <c r="B34" s="41">
        <v>7714</v>
      </c>
      <c r="C34" s="74" t="s">
        <v>17592</v>
      </c>
      <c r="D34" s="72"/>
      <c r="E34" s="168">
        <f>_15_同援日１．０</f>
        <v>300</v>
      </c>
      <c r="F34" s="57" t="s">
        <v>392</v>
      </c>
      <c r="G34" s="43" t="s">
        <v>17560</v>
      </c>
      <c r="H34" s="37" t="s">
        <v>398</v>
      </c>
      <c r="I34" s="38">
        <v>0.9</v>
      </c>
      <c r="J34" s="163" t="s">
        <v>17556</v>
      </c>
      <c r="K34" s="45" t="s">
        <v>398</v>
      </c>
      <c r="L34" s="46">
        <v>1</v>
      </c>
      <c r="M34" s="43"/>
      <c r="N34" s="37"/>
      <c r="O34" s="38"/>
      <c r="P34" s="79"/>
      <c r="Q34" s="35"/>
      <c r="T34" s="57"/>
      <c r="U34" s="208">
        <f>ROUND((ROUND((_15_同援日１．０*_15・基礎２),0)*_15・２人),0)</f>
        <v>270</v>
      </c>
      <c r="V34" s="48"/>
    </row>
    <row r="35" spans="1:22" ht="16.5" customHeight="1" x14ac:dyDescent="0.15">
      <c r="A35" s="41">
        <v>15</v>
      </c>
      <c r="B35" s="41">
        <v>7715</v>
      </c>
      <c r="C35" s="74" t="s">
        <v>17593</v>
      </c>
      <c r="D35" s="72"/>
      <c r="F35" s="57"/>
      <c r="G35" s="53"/>
      <c r="H35" s="49"/>
      <c r="I35" s="50"/>
      <c r="J35" s="163"/>
      <c r="K35" s="45"/>
      <c r="L35" s="46"/>
      <c r="M35" s="53" t="s">
        <v>17562</v>
      </c>
      <c r="N35" s="49"/>
      <c r="O35" s="50"/>
      <c r="P35" s="115"/>
      <c r="Q35" s="35"/>
      <c r="T35" s="57"/>
      <c r="U35" s="208">
        <f>ROUND((_15_同援日１．０*(1+_15・盲ろう)),0)</f>
        <v>375</v>
      </c>
      <c r="V35" s="48"/>
    </row>
    <row r="36" spans="1:22" ht="16.5" customHeight="1" x14ac:dyDescent="0.15">
      <c r="A36" s="41">
        <v>15</v>
      </c>
      <c r="B36" s="41">
        <v>7716</v>
      </c>
      <c r="C36" s="74" t="s">
        <v>17594</v>
      </c>
      <c r="D36" s="72"/>
      <c r="F36" s="57"/>
      <c r="G36" s="43"/>
      <c r="H36" s="37"/>
      <c r="I36" s="38"/>
      <c r="J36" s="163" t="s">
        <v>17556</v>
      </c>
      <c r="K36" s="45" t="s">
        <v>398</v>
      </c>
      <c r="L36" s="46">
        <v>1</v>
      </c>
      <c r="M36" s="35" t="s">
        <v>17564</v>
      </c>
      <c r="P36" s="57"/>
      <c r="Q36" s="35"/>
      <c r="T36" s="57"/>
      <c r="U36" s="208">
        <f>ROUND((ROUND((_15_同援日１．０*_15・２人),0)*(1+_15・盲ろう)),0)</f>
        <v>375</v>
      </c>
      <c r="V36" s="48"/>
    </row>
    <row r="37" spans="1:22" ht="16.5" customHeight="1" x14ac:dyDescent="0.15">
      <c r="A37" s="41">
        <v>15</v>
      </c>
      <c r="B37" s="41">
        <v>7717</v>
      </c>
      <c r="C37" s="74" t="s">
        <v>17595</v>
      </c>
      <c r="D37" s="72"/>
      <c r="F37" s="57"/>
      <c r="G37" s="53" t="s">
        <v>17558</v>
      </c>
      <c r="H37" s="49"/>
      <c r="I37" s="50"/>
      <c r="J37" s="163"/>
      <c r="K37" s="45"/>
      <c r="L37" s="46"/>
      <c r="M37" s="35"/>
      <c r="N37" s="12" t="s">
        <v>398</v>
      </c>
      <c r="O37" s="13">
        <v>0.25</v>
      </c>
      <c r="P37" s="57" t="s">
        <v>3575</v>
      </c>
      <c r="Q37" s="35"/>
      <c r="T37" s="57"/>
      <c r="U37" s="208">
        <f>ROUND((ROUND((_15_同援日１．０*_15・基礎２),0)*(1+_15・盲ろう)),0)</f>
        <v>338</v>
      </c>
      <c r="V37" s="48"/>
    </row>
    <row r="38" spans="1:22" ht="16.5" customHeight="1" x14ac:dyDescent="0.15">
      <c r="A38" s="41">
        <v>15</v>
      </c>
      <c r="B38" s="41">
        <v>7718</v>
      </c>
      <c r="C38" s="74" t="s">
        <v>17596</v>
      </c>
      <c r="D38" s="72"/>
      <c r="F38" s="57"/>
      <c r="G38" s="43" t="s">
        <v>17560</v>
      </c>
      <c r="H38" s="37" t="s">
        <v>398</v>
      </c>
      <c r="I38" s="38">
        <v>0.9</v>
      </c>
      <c r="J38" s="163" t="s">
        <v>17556</v>
      </c>
      <c r="K38" s="45" t="s">
        <v>398</v>
      </c>
      <c r="L38" s="46">
        <v>1</v>
      </c>
      <c r="M38" s="43"/>
      <c r="N38" s="37"/>
      <c r="O38" s="38"/>
      <c r="P38" s="79"/>
      <c r="Q38" s="43"/>
      <c r="R38" s="37"/>
      <c r="S38" s="38"/>
      <c r="T38" s="79"/>
      <c r="U38" s="208">
        <f>ROUND((ROUND((ROUND((_15_同援日１．０*_15・基礎２),0)*_15・２人),0)*(1+_15・盲ろう)),0)</f>
        <v>338</v>
      </c>
      <c r="V38" s="48"/>
    </row>
    <row r="39" spans="1:22" ht="16.5" customHeight="1" x14ac:dyDescent="0.15">
      <c r="A39" s="41">
        <v>15</v>
      </c>
      <c r="B39" s="41">
        <v>7719</v>
      </c>
      <c r="C39" s="74" t="s">
        <v>17597</v>
      </c>
      <c r="D39" s="72"/>
      <c r="F39" s="57"/>
      <c r="G39" s="53"/>
      <c r="H39" s="49"/>
      <c r="I39" s="50"/>
      <c r="J39" s="163"/>
      <c r="K39" s="45"/>
      <c r="L39" s="46"/>
      <c r="M39" s="53"/>
      <c r="N39" s="49"/>
      <c r="O39" s="50"/>
      <c r="P39" s="115"/>
      <c r="Q39" s="53"/>
      <c r="R39" s="49"/>
      <c r="S39" s="50"/>
      <c r="T39" s="115"/>
      <c r="U39" s="208">
        <f>ROUND((_15_同援日１．０*(1+_15・区３)),0)</f>
        <v>360</v>
      </c>
      <c r="V39" s="48"/>
    </row>
    <row r="40" spans="1:22" ht="16.5" customHeight="1" x14ac:dyDescent="0.15">
      <c r="A40" s="41">
        <v>15</v>
      </c>
      <c r="B40" s="41">
        <v>7720</v>
      </c>
      <c r="C40" s="74" t="s">
        <v>17598</v>
      </c>
      <c r="D40" s="72"/>
      <c r="F40" s="57"/>
      <c r="G40" s="43"/>
      <c r="H40" s="37"/>
      <c r="I40" s="38"/>
      <c r="J40" s="163" t="s">
        <v>17556</v>
      </c>
      <c r="K40" s="45" t="s">
        <v>398</v>
      </c>
      <c r="L40" s="46">
        <v>1</v>
      </c>
      <c r="M40" s="35"/>
      <c r="P40" s="57"/>
      <c r="Q40" s="35"/>
      <c r="T40" s="57"/>
      <c r="U40" s="208">
        <f>ROUND((ROUND((_15_同援日１．０*_15・２人),0)*(1+_15・区３)),0)</f>
        <v>360</v>
      </c>
      <c r="V40" s="48"/>
    </row>
    <row r="41" spans="1:22" ht="16.5" customHeight="1" x14ac:dyDescent="0.15">
      <c r="A41" s="41">
        <v>15</v>
      </c>
      <c r="B41" s="41">
        <v>7721</v>
      </c>
      <c r="C41" s="74" t="s">
        <v>17599</v>
      </c>
      <c r="D41" s="72"/>
      <c r="F41" s="57"/>
      <c r="G41" s="53" t="s">
        <v>17558</v>
      </c>
      <c r="H41" s="49"/>
      <c r="I41" s="50"/>
      <c r="J41" s="163"/>
      <c r="K41" s="45"/>
      <c r="L41" s="46"/>
      <c r="M41" s="35"/>
      <c r="P41" s="57"/>
      <c r="Q41" s="35" t="s">
        <v>17570</v>
      </c>
      <c r="T41" s="57"/>
      <c r="U41" s="208">
        <f>ROUND((ROUND((_15_同援日１．０*_15・基礎２),0)*(1+_15・区３)),0)</f>
        <v>324</v>
      </c>
      <c r="V41" s="48"/>
    </row>
    <row r="42" spans="1:22" ht="16.5" customHeight="1" x14ac:dyDescent="0.15">
      <c r="A42" s="41">
        <v>15</v>
      </c>
      <c r="B42" s="41">
        <v>7722</v>
      </c>
      <c r="C42" s="74" t="s">
        <v>17600</v>
      </c>
      <c r="D42" s="72"/>
      <c r="F42" s="57"/>
      <c r="G42" s="43" t="s">
        <v>17560</v>
      </c>
      <c r="H42" s="37" t="s">
        <v>398</v>
      </c>
      <c r="I42" s="38">
        <v>0.9</v>
      </c>
      <c r="J42" s="163" t="s">
        <v>17556</v>
      </c>
      <c r="K42" s="45" t="s">
        <v>398</v>
      </c>
      <c r="L42" s="46">
        <v>1</v>
      </c>
      <c r="M42" s="43"/>
      <c r="N42" s="37"/>
      <c r="O42" s="38"/>
      <c r="P42" s="79"/>
      <c r="Q42" s="35" t="s">
        <v>17572</v>
      </c>
      <c r="T42" s="57"/>
      <c r="U42" s="208">
        <f>ROUND((ROUND((ROUND((_15_同援日１．０*_15・基礎２),0)*_15・２人),0)*(1+_15・区３)),0)</f>
        <v>324</v>
      </c>
      <c r="V42" s="48"/>
    </row>
    <row r="43" spans="1:22" ht="16.5" customHeight="1" x14ac:dyDescent="0.15">
      <c r="A43" s="41">
        <v>15</v>
      </c>
      <c r="B43" s="41">
        <v>7723</v>
      </c>
      <c r="C43" s="74" t="s">
        <v>17601</v>
      </c>
      <c r="D43" s="72"/>
      <c r="F43" s="57"/>
      <c r="G43" s="53"/>
      <c r="H43" s="49"/>
      <c r="I43" s="50"/>
      <c r="J43" s="163"/>
      <c r="K43" s="45"/>
      <c r="L43" s="46"/>
      <c r="M43" s="53" t="s">
        <v>17562</v>
      </c>
      <c r="N43" s="49"/>
      <c r="O43" s="50"/>
      <c r="P43" s="115"/>
      <c r="Q43" s="35"/>
      <c r="R43" s="12" t="s">
        <v>398</v>
      </c>
      <c r="S43" s="13">
        <v>0.2</v>
      </c>
      <c r="T43" s="57" t="s">
        <v>3575</v>
      </c>
      <c r="U43" s="208">
        <f>ROUND((ROUND((_15_同援日１．０*(1+_15・盲ろう)),0)*(1+_15・区３)),0)</f>
        <v>450</v>
      </c>
      <c r="V43" s="48"/>
    </row>
    <row r="44" spans="1:22" ht="16.5" customHeight="1" x14ac:dyDescent="0.15">
      <c r="A44" s="41">
        <v>15</v>
      </c>
      <c r="B44" s="41">
        <v>7724</v>
      </c>
      <c r="C44" s="74" t="s">
        <v>17602</v>
      </c>
      <c r="D44" s="72"/>
      <c r="F44" s="57"/>
      <c r="G44" s="43"/>
      <c r="H44" s="37"/>
      <c r="I44" s="38"/>
      <c r="J44" s="163" t="s">
        <v>17556</v>
      </c>
      <c r="K44" s="45" t="s">
        <v>398</v>
      </c>
      <c r="L44" s="46">
        <v>1</v>
      </c>
      <c r="M44" s="35" t="s">
        <v>17564</v>
      </c>
      <c r="P44" s="57"/>
      <c r="Q44" s="35"/>
      <c r="T44" s="57"/>
      <c r="U44" s="208">
        <f>ROUND((ROUND((ROUND((_15_同援日１．０*_15・２人),0)*(1+_15・盲ろう)),0)*(1+_15・区３)),0)</f>
        <v>450</v>
      </c>
      <c r="V44" s="48"/>
    </row>
    <row r="45" spans="1:22" ht="16.5" customHeight="1" x14ac:dyDescent="0.15">
      <c r="A45" s="41">
        <v>15</v>
      </c>
      <c r="B45" s="41">
        <v>7725</v>
      </c>
      <c r="C45" s="74" t="s">
        <v>17603</v>
      </c>
      <c r="D45" s="72"/>
      <c r="F45" s="57"/>
      <c r="G45" s="53" t="s">
        <v>17558</v>
      </c>
      <c r="H45" s="49"/>
      <c r="I45" s="50"/>
      <c r="J45" s="163"/>
      <c r="K45" s="45"/>
      <c r="L45" s="46"/>
      <c r="M45" s="35"/>
      <c r="N45" s="12" t="s">
        <v>398</v>
      </c>
      <c r="O45" s="13">
        <v>0.25</v>
      </c>
      <c r="P45" s="57" t="s">
        <v>3575</v>
      </c>
      <c r="Q45" s="35"/>
      <c r="T45" s="57"/>
      <c r="U45" s="208">
        <f>ROUND((ROUND((ROUND((_15_同援日１．０*_15・基礎２),0)*(1+_15・盲ろう)),0)*(1+_15・区３)),0)</f>
        <v>406</v>
      </c>
      <c r="V45" s="48"/>
    </row>
    <row r="46" spans="1:22" ht="16.5" customHeight="1" x14ac:dyDescent="0.15">
      <c r="A46" s="41">
        <v>15</v>
      </c>
      <c r="B46" s="41">
        <v>7726</v>
      </c>
      <c r="C46" s="74" t="s">
        <v>17604</v>
      </c>
      <c r="D46" s="72"/>
      <c r="F46" s="57"/>
      <c r="G46" s="43" t="s">
        <v>17560</v>
      </c>
      <c r="H46" s="37" t="s">
        <v>398</v>
      </c>
      <c r="I46" s="38">
        <v>0.9</v>
      </c>
      <c r="J46" s="163" t="s">
        <v>17556</v>
      </c>
      <c r="K46" s="45" t="s">
        <v>398</v>
      </c>
      <c r="L46" s="46">
        <v>1</v>
      </c>
      <c r="M46" s="43"/>
      <c r="N46" s="37"/>
      <c r="O46" s="38"/>
      <c r="P46" s="79"/>
      <c r="Q46" s="43"/>
      <c r="R46" s="37"/>
      <c r="S46" s="38"/>
      <c r="T46" s="79"/>
      <c r="U46" s="208">
        <f>ROUND((ROUND((ROUND((ROUND((_15_同援日１．０*_15・基礎２),0)*_15・２人),0)*(1+_15・盲ろう)),0)*(1+_15・区３)),0)</f>
        <v>406</v>
      </c>
      <c r="V46" s="48"/>
    </row>
    <row r="47" spans="1:22" ht="16.5" customHeight="1" x14ac:dyDescent="0.15">
      <c r="A47" s="41">
        <v>15</v>
      </c>
      <c r="B47" s="41">
        <v>7727</v>
      </c>
      <c r="C47" s="74" t="s">
        <v>17605</v>
      </c>
      <c r="D47" s="72"/>
      <c r="F47" s="57"/>
      <c r="G47" s="53"/>
      <c r="H47" s="49"/>
      <c r="I47" s="50"/>
      <c r="J47" s="163"/>
      <c r="K47" s="45"/>
      <c r="L47" s="46"/>
      <c r="M47" s="53"/>
      <c r="N47" s="49"/>
      <c r="O47" s="50"/>
      <c r="P47" s="115"/>
      <c r="Q47" s="53"/>
      <c r="R47" s="49"/>
      <c r="S47" s="50"/>
      <c r="T47" s="115"/>
      <c r="U47" s="208">
        <f>ROUND((_15_同援日１．０*(1+_15・区４)),0)</f>
        <v>420</v>
      </c>
      <c r="V47" s="48"/>
    </row>
    <row r="48" spans="1:22" ht="16.5" customHeight="1" x14ac:dyDescent="0.15">
      <c r="A48" s="41">
        <v>15</v>
      </c>
      <c r="B48" s="41">
        <v>7728</v>
      </c>
      <c r="C48" s="74" t="s">
        <v>17606</v>
      </c>
      <c r="D48" s="72"/>
      <c r="F48" s="57"/>
      <c r="G48" s="43"/>
      <c r="H48" s="37"/>
      <c r="I48" s="38"/>
      <c r="J48" s="163" t="s">
        <v>17556</v>
      </c>
      <c r="K48" s="45" t="s">
        <v>398</v>
      </c>
      <c r="L48" s="46">
        <v>1</v>
      </c>
      <c r="M48" s="35"/>
      <c r="P48" s="57"/>
      <c r="Q48" s="35"/>
      <c r="T48" s="57"/>
      <c r="U48" s="208">
        <f>ROUND((ROUND((_15_同援日１．０*_15・２人),0)*(1+_15・区４)),0)</f>
        <v>420</v>
      </c>
      <c r="V48" s="48"/>
    </row>
    <row r="49" spans="1:22" ht="16.5" customHeight="1" x14ac:dyDescent="0.15">
      <c r="A49" s="41">
        <v>15</v>
      </c>
      <c r="B49" s="41">
        <v>7729</v>
      </c>
      <c r="C49" s="74" t="s">
        <v>17607</v>
      </c>
      <c r="D49" s="72"/>
      <c r="F49" s="57"/>
      <c r="G49" s="53" t="s">
        <v>17558</v>
      </c>
      <c r="H49" s="49"/>
      <c r="I49" s="50"/>
      <c r="J49" s="163"/>
      <c r="K49" s="45"/>
      <c r="L49" s="46"/>
      <c r="M49" s="35"/>
      <c r="P49" s="57"/>
      <c r="Q49" s="35" t="s">
        <v>17580</v>
      </c>
      <c r="T49" s="57"/>
      <c r="U49" s="208">
        <f>ROUND((ROUND((_15_同援日１．０*_15・基礎２),0)*(1+_15・区４)),0)</f>
        <v>378</v>
      </c>
      <c r="V49" s="48"/>
    </row>
    <row r="50" spans="1:22" ht="16.5" customHeight="1" x14ac:dyDescent="0.15">
      <c r="A50" s="41">
        <v>15</v>
      </c>
      <c r="B50" s="41">
        <v>7730</v>
      </c>
      <c r="C50" s="74" t="s">
        <v>17608</v>
      </c>
      <c r="D50" s="72"/>
      <c r="F50" s="57"/>
      <c r="G50" s="43" t="s">
        <v>17560</v>
      </c>
      <c r="H50" s="37" t="s">
        <v>398</v>
      </c>
      <c r="I50" s="38">
        <v>0.9</v>
      </c>
      <c r="J50" s="163" t="s">
        <v>17556</v>
      </c>
      <c r="K50" s="45" t="s">
        <v>398</v>
      </c>
      <c r="L50" s="46">
        <v>1</v>
      </c>
      <c r="M50" s="43"/>
      <c r="N50" s="37"/>
      <c r="O50" s="38"/>
      <c r="P50" s="79"/>
      <c r="Q50" s="35" t="s">
        <v>17572</v>
      </c>
      <c r="T50" s="57"/>
      <c r="U50" s="208">
        <f>ROUND((ROUND((ROUND((_15_同援日１．０*_15・基礎２),0)*_15・２人),0)*(1+_15・区４)),0)</f>
        <v>378</v>
      </c>
      <c r="V50" s="48"/>
    </row>
    <row r="51" spans="1:22" ht="16.5" customHeight="1" x14ac:dyDescent="0.15">
      <c r="A51" s="41">
        <v>15</v>
      </c>
      <c r="B51" s="41">
        <v>7731</v>
      </c>
      <c r="C51" s="74" t="s">
        <v>17609</v>
      </c>
      <c r="D51" s="72"/>
      <c r="F51" s="57"/>
      <c r="G51" s="53"/>
      <c r="H51" s="49"/>
      <c r="I51" s="50"/>
      <c r="J51" s="163"/>
      <c r="K51" s="45"/>
      <c r="L51" s="46"/>
      <c r="M51" s="53" t="s">
        <v>17562</v>
      </c>
      <c r="N51" s="49"/>
      <c r="O51" s="50"/>
      <c r="P51" s="115"/>
      <c r="Q51" s="35"/>
      <c r="R51" s="12" t="s">
        <v>398</v>
      </c>
      <c r="S51" s="13">
        <v>0.4</v>
      </c>
      <c r="T51" s="57" t="s">
        <v>3575</v>
      </c>
      <c r="U51" s="208">
        <f>ROUND((ROUND((_15_同援日１．０*(1+_15・盲ろう)),0)*(1+_15・区４)),0)</f>
        <v>525</v>
      </c>
      <c r="V51" s="48"/>
    </row>
    <row r="52" spans="1:22" ht="16.5" customHeight="1" x14ac:dyDescent="0.15">
      <c r="A52" s="41">
        <v>15</v>
      </c>
      <c r="B52" s="41">
        <v>7732</v>
      </c>
      <c r="C52" s="74" t="s">
        <v>17610</v>
      </c>
      <c r="D52" s="72"/>
      <c r="F52" s="57"/>
      <c r="G52" s="43"/>
      <c r="H52" s="37"/>
      <c r="I52" s="38"/>
      <c r="J52" s="163" t="s">
        <v>17556</v>
      </c>
      <c r="K52" s="45" t="s">
        <v>398</v>
      </c>
      <c r="L52" s="46">
        <v>1</v>
      </c>
      <c r="M52" s="35" t="s">
        <v>17564</v>
      </c>
      <c r="P52" s="57"/>
      <c r="Q52" s="35"/>
      <c r="T52" s="57"/>
      <c r="U52" s="208">
        <f>ROUND((ROUND((ROUND((_15_同援日１．０*_15・２人),0)*(1+_15・盲ろう)),0)*(1+_15・区４)),0)</f>
        <v>525</v>
      </c>
      <c r="V52" s="48"/>
    </row>
    <row r="53" spans="1:22" ht="16.5" customHeight="1" x14ac:dyDescent="0.15">
      <c r="A53" s="41">
        <v>15</v>
      </c>
      <c r="B53" s="41">
        <v>7733</v>
      </c>
      <c r="C53" s="74" t="s">
        <v>17611</v>
      </c>
      <c r="D53" s="72"/>
      <c r="F53" s="57"/>
      <c r="G53" s="53" t="s">
        <v>17558</v>
      </c>
      <c r="H53" s="49"/>
      <c r="I53" s="50"/>
      <c r="J53" s="163"/>
      <c r="K53" s="45"/>
      <c r="L53" s="46"/>
      <c r="M53" s="35"/>
      <c r="N53" s="12" t="s">
        <v>398</v>
      </c>
      <c r="O53" s="13">
        <v>0.25</v>
      </c>
      <c r="P53" s="57" t="s">
        <v>3575</v>
      </c>
      <c r="Q53" s="35"/>
      <c r="T53" s="57"/>
      <c r="U53" s="208">
        <f>ROUND((ROUND((ROUND((_15_同援日１．０*_15・基礎２),0)*(1+_15・盲ろう)),0)*(1+_15・区４)),0)</f>
        <v>473</v>
      </c>
      <c r="V53" s="48"/>
    </row>
    <row r="54" spans="1:22" ht="16.5" customHeight="1" x14ac:dyDescent="0.15">
      <c r="A54" s="41">
        <v>15</v>
      </c>
      <c r="B54" s="41">
        <v>7734</v>
      </c>
      <c r="C54" s="74" t="s">
        <v>17612</v>
      </c>
      <c r="D54" s="122"/>
      <c r="E54" s="37"/>
      <c r="F54" s="79"/>
      <c r="G54" s="43" t="s">
        <v>17560</v>
      </c>
      <c r="H54" s="37" t="s">
        <v>398</v>
      </c>
      <c r="I54" s="38">
        <v>0.9</v>
      </c>
      <c r="J54" s="163" t="s">
        <v>17556</v>
      </c>
      <c r="K54" s="45" t="s">
        <v>398</v>
      </c>
      <c r="L54" s="46">
        <v>1</v>
      </c>
      <c r="M54" s="43"/>
      <c r="N54" s="37"/>
      <c r="O54" s="38"/>
      <c r="P54" s="79"/>
      <c r="Q54" s="43"/>
      <c r="R54" s="37"/>
      <c r="S54" s="38"/>
      <c r="T54" s="79"/>
      <c r="U54" s="208">
        <f>ROUND((ROUND((ROUND((ROUND((_15_同援日１．０*_15・基礎２),0)*_15・２人),0)*(1+_15・盲ろう)),0)*(1+_15・区４)),0)</f>
        <v>473</v>
      </c>
      <c r="V54" s="48"/>
    </row>
    <row r="55" spans="1:22" ht="16.5" customHeight="1" x14ac:dyDescent="0.15">
      <c r="A55" s="41">
        <v>15</v>
      </c>
      <c r="B55" s="41">
        <v>7735</v>
      </c>
      <c r="C55" s="74" t="s">
        <v>17613</v>
      </c>
      <c r="D55" s="114" t="s">
        <v>17614</v>
      </c>
      <c r="E55" s="49"/>
      <c r="F55" s="115"/>
      <c r="G55" s="53"/>
      <c r="H55" s="49"/>
      <c r="I55" s="50"/>
      <c r="J55" s="163"/>
      <c r="K55" s="45"/>
      <c r="L55" s="46"/>
      <c r="M55" s="53"/>
      <c r="N55" s="49"/>
      <c r="O55" s="50"/>
      <c r="P55" s="115"/>
      <c r="Q55" s="53"/>
      <c r="R55" s="49"/>
      <c r="S55" s="50"/>
      <c r="T55" s="115"/>
      <c r="U55" s="208">
        <f>_15_同援日１．５</f>
        <v>433</v>
      </c>
      <c r="V55" s="48"/>
    </row>
    <row r="56" spans="1:22" ht="16.5" customHeight="1" x14ac:dyDescent="0.15">
      <c r="A56" s="41">
        <v>15</v>
      </c>
      <c r="B56" s="41">
        <v>7736</v>
      </c>
      <c r="C56" s="74" t="s">
        <v>17615</v>
      </c>
      <c r="D56" s="72" t="s">
        <v>17616</v>
      </c>
      <c r="F56" s="57"/>
      <c r="G56" s="43"/>
      <c r="H56" s="37"/>
      <c r="I56" s="38"/>
      <c r="J56" s="163" t="s">
        <v>17556</v>
      </c>
      <c r="K56" s="45" t="s">
        <v>398</v>
      </c>
      <c r="L56" s="46">
        <v>1</v>
      </c>
      <c r="M56" s="35"/>
      <c r="P56" s="57"/>
      <c r="Q56" s="35"/>
      <c r="T56" s="57"/>
      <c r="U56" s="208">
        <f>ROUND((_15_同援日１．５*_15・２人),0)</f>
        <v>433</v>
      </c>
      <c r="V56" s="48"/>
    </row>
    <row r="57" spans="1:22" ht="16.5" customHeight="1" x14ac:dyDescent="0.15">
      <c r="A57" s="41">
        <v>15</v>
      </c>
      <c r="B57" s="41">
        <v>7737</v>
      </c>
      <c r="C57" s="74" t="s">
        <v>17617</v>
      </c>
      <c r="D57" s="72" t="s">
        <v>17618</v>
      </c>
      <c r="F57" s="57"/>
      <c r="G57" s="53" t="s">
        <v>17558</v>
      </c>
      <c r="H57" s="49"/>
      <c r="I57" s="50"/>
      <c r="J57" s="163"/>
      <c r="K57" s="45"/>
      <c r="L57" s="46"/>
      <c r="M57" s="35"/>
      <c r="P57" s="57"/>
      <c r="Q57" s="35"/>
      <c r="T57" s="57"/>
      <c r="U57" s="208">
        <f>ROUND((_15_同援日１．５*_15・基礎２),0)</f>
        <v>390</v>
      </c>
      <c r="V57" s="48"/>
    </row>
    <row r="58" spans="1:22" ht="16.5" customHeight="1" x14ac:dyDescent="0.15">
      <c r="A58" s="41">
        <v>15</v>
      </c>
      <c r="B58" s="41">
        <v>7738</v>
      </c>
      <c r="C58" s="74" t="s">
        <v>17619</v>
      </c>
      <c r="D58" s="72"/>
      <c r="E58" s="168">
        <f>_15_同援日１．５</f>
        <v>433</v>
      </c>
      <c r="F58" s="57" t="s">
        <v>392</v>
      </c>
      <c r="G58" s="43" t="s">
        <v>17560</v>
      </c>
      <c r="H58" s="37" t="s">
        <v>398</v>
      </c>
      <c r="I58" s="38">
        <v>0.9</v>
      </c>
      <c r="J58" s="163" t="s">
        <v>17556</v>
      </c>
      <c r="K58" s="45" t="s">
        <v>398</v>
      </c>
      <c r="L58" s="46">
        <v>1</v>
      </c>
      <c r="M58" s="43"/>
      <c r="N58" s="37"/>
      <c r="O58" s="38"/>
      <c r="P58" s="79"/>
      <c r="Q58" s="35"/>
      <c r="T58" s="57"/>
      <c r="U58" s="208">
        <f>ROUND((ROUND((_15_同援日１．５*_15・基礎２),0)*_15・２人),0)</f>
        <v>390</v>
      </c>
      <c r="V58" s="48"/>
    </row>
    <row r="59" spans="1:22" ht="16.5" customHeight="1" x14ac:dyDescent="0.15">
      <c r="A59" s="41">
        <v>15</v>
      </c>
      <c r="B59" s="41">
        <v>7739</v>
      </c>
      <c r="C59" s="74" t="s">
        <v>17620</v>
      </c>
      <c r="D59" s="72"/>
      <c r="F59" s="57"/>
      <c r="G59" s="53"/>
      <c r="H59" s="49"/>
      <c r="I59" s="50"/>
      <c r="J59" s="163"/>
      <c r="K59" s="45"/>
      <c r="L59" s="46"/>
      <c r="M59" s="53" t="s">
        <v>17562</v>
      </c>
      <c r="N59" s="49"/>
      <c r="O59" s="50"/>
      <c r="P59" s="115"/>
      <c r="Q59" s="35"/>
      <c r="T59" s="57"/>
      <c r="U59" s="208">
        <f>ROUND((_15_同援日１．５*(1+_15・盲ろう)),0)</f>
        <v>541</v>
      </c>
      <c r="V59" s="48"/>
    </row>
    <row r="60" spans="1:22" ht="16.5" customHeight="1" x14ac:dyDescent="0.15">
      <c r="A60" s="41">
        <v>15</v>
      </c>
      <c r="B60" s="41">
        <v>7740</v>
      </c>
      <c r="C60" s="74" t="s">
        <v>17621</v>
      </c>
      <c r="D60" s="72"/>
      <c r="F60" s="57"/>
      <c r="G60" s="43"/>
      <c r="H60" s="37"/>
      <c r="I60" s="38"/>
      <c r="J60" s="163" t="s">
        <v>17556</v>
      </c>
      <c r="K60" s="45" t="s">
        <v>398</v>
      </c>
      <c r="L60" s="46">
        <v>1</v>
      </c>
      <c r="M60" s="35" t="s">
        <v>17564</v>
      </c>
      <c r="P60" s="57"/>
      <c r="Q60" s="35"/>
      <c r="T60" s="57"/>
      <c r="U60" s="208">
        <f>ROUND((ROUND((_15_同援日１．５*_15・２人),0)*(1+_15・盲ろう)),0)</f>
        <v>541</v>
      </c>
      <c r="V60" s="48"/>
    </row>
    <row r="61" spans="1:22" ht="16.5" customHeight="1" x14ac:dyDescent="0.15">
      <c r="A61" s="41">
        <v>15</v>
      </c>
      <c r="B61" s="41">
        <v>7741</v>
      </c>
      <c r="C61" s="74" t="s">
        <v>17622</v>
      </c>
      <c r="D61" s="72"/>
      <c r="F61" s="57"/>
      <c r="G61" s="53" t="s">
        <v>17558</v>
      </c>
      <c r="H61" s="49"/>
      <c r="I61" s="50"/>
      <c r="J61" s="163"/>
      <c r="K61" s="45"/>
      <c r="L61" s="46"/>
      <c r="M61" s="35"/>
      <c r="N61" s="12" t="s">
        <v>398</v>
      </c>
      <c r="O61" s="13">
        <v>0.25</v>
      </c>
      <c r="P61" s="57" t="s">
        <v>3575</v>
      </c>
      <c r="Q61" s="35"/>
      <c r="T61" s="57"/>
      <c r="U61" s="208">
        <f>ROUND((ROUND((_15_同援日１．５*_15・基礎２),0)*(1+_15・盲ろう)),0)</f>
        <v>488</v>
      </c>
      <c r="V61" s="48"/>
    </row>
    <row r="62" spans="1:22" ht="16.5" customHeight="1" x14ac:dyDescent="0.15">
      <c r="A62" s="41">
        <v>15</v>
      </c>
      <c r="B62" s="41">
        <v>7742</v>
      </c>
      <c r="C62" s="74" t="s">
        <v>17623</v>
      </c>
      <c r="D62" s="72"/>
      <c r="F62" s="57"/>
      <c r="G62" s="43" t="s">
        <v>17560</v>
      </c>
      <c r="H62" s="37" t="s">
        <v>398</v>
      </c>
      <c r="I62" s="38">
        <v>0.9</v>
      </c>
      <c r="J62" s="163" t="s">
        <v>17556</v>
      </c>
      <c r="K62" s="45" t="s">
        <v>398</v>
      </c>
      <c r="L62" s="46">
        <v>1</v>
      </c>
      <c r="M62" s="43"/>
      <c r="N62" s="37"/>
      <c r="O62" s="38"/>
      <c r="P62" s="79"/>
      <c r="Q62" s="43"/>
      <c r="R62" s="37"/>
      <c r="S62" s="38"/>
      <c r="T62" s="79"/>
      <c r="U62" s="208">
        <f>ROUND((ROUND((ROUND((_15_同援日１．５*_15・基礎２),0)*_15・２人),0)*(1+_15・盲ろう)),0)</f>
        <v>488</v>
      </c>
      <c r="V62" s="48"/>
    </row>
    <row r="63" spans="1:22" ht="16.5" customHeight="1" x14ac:dyDescent="0.15">
      <c r="A63" s="41">
        <v>15</v>
      </c>
      <c r="B63" s="41">
        <v>7743</v>
      </c>
      <c r="C63" s="74" t="s">
        <v>17624</v>
      </c>
      <c r="D63" s="72"/>
      <c r="F63" s="57"/>
      <c r="G63" s="53"/>
      <c r="H63" s="49"/>
      <c r="I63" s="50"/>
      <c r="J63" s="163"/>
      <c r="K63" s="45"/>
      <c r="L63" s="46"/>
      <c r="M63" s="53"/>
      <c r="N63" s="49"/>
      <c r="O63" s="50"/>
      <c r="P63" s="115"/>
      <c r="Q63" s="53"/>
      <c r="R63" s="49"/>
      <c r="S63" s="50"/>
      <c r="T63" s="115"/>
      <c r="U63" s="208">
        <f>ROUND((_15_同援日１．５*(1+_15・区３)),0)</f>
        <v>520</v>
      </c>
      <c r="V63" s="48"/>
    </row>
    <row r="64" spans="1:22" ht="16.5" customHeight="1" x14ac:dyDescent="0.15">
      <c r="A64" s="41">
        <v>15</v>
      </c>
      <c r="B64" s="41">
        <v>7744</v>
      </c>
      <c r="C64" s="74" t="s">
        <v>17625</v>
      </c>
      <c r="D64" s="72"/>
      <c r="F64" s="57"/>
      <c r="G64" s="43"/>
      <c r="H64" s="37"/>
      <c r="I64" s="38"/>
      <c r="J64" s="163" t="s">
        <v>17556</v>
      </c>
      <c r="K64" s="45" t="s">
        <v>398</v>
      </c>
      <c r="L64" s="46">
        <v>1</v>
      </c>
      <c r="M64" s="35"/>
      <c r="P64" s="57"/>
      <c r="Q64" s="35"/>
      <c r="T64" s="57"/>
      <c r="U64" s="208">
        <f>ROUND((ROUND((_15_同援日１．５*_15・２人),0)*(1+_15・区３)),0)</f>
        <v>520</v>
      </c>
      <c r="V64" s="48"/>
    </row>
    <row r="65" spans="1:22" ht="16.5" customHeight="1" x14ac:dyDescent="0.15">
      <c r="A65" s="41">
        <v>15</v>
      </c>
      <c r="B65" s="41">
        <v>7745</v>
      </c>
      <c r="C65" s="74" t="s">
        <v>17626</v>
      </c>
      <c r="D65" s="72"/>
      <c r="F65" s="57"/>
      <c r="G65" s="53" t="s">
        <v>17558</v>
      </c>
      <c r="H65" s="49"/>
      <c r="I65" s="50"/>
      <c r="J65" s="163"/>
      <c r="K65" s="45"/>
      <c r="L65" s="46"/>
      <c r="M65" s="35"/>
      <c r="P65" s="57"/>
      <c r="Q65" s="35" t="s">
        <v>17570</v>
      </c>
      <c r="T65" s="57"/>
      <c r="U65" s="208">
        <f>ROUND((ROUND((_15_同援日１．５*_15・基礎２),0)*(1+_15・区３)),0)</f>
        <v>468</v>
      </c>
      <c r="V65" s="48"/>
    </row>
    <row r="66" spans="1:22" ht="16.5" customHeight="1" x14ac:dyDescent="0.15">
      <c r="A66" s="41">
        <v>15</v>
      </c>
      <c r="B66" s="41">
        <v>7746</v>
      </c>
      <c r="C66" s="74" t="s">
        <v>17627</v>
      </c>
      <c r="D66" s="72"/>
      <c r="F66" s="57"/>
      <c r="G66" s="43" t="s">
        <v>17560</v>
      </c>
      <c r="H66" s="37" t="s">
        <v>398</v>
      </c>
      <c r="I66" s="38">
        <v>0.9</v>
      </c>
      <c r="J66" s="163" t="s">
        <v>17556</v>
      </c>
      <c r="K66" s="45" t="s">
        <v>398</v>
      </c>
      <c r="L66" s="46">
        <v>1</v>
      </c>
      <c r="M66" s="43"/>
      <c r="N66" s="37"/>
      <c r="O66" s="38"/>
      <c r="P66" s="79"/>
      <c r="Q66" s="35" t="s">
        <v>17572</v>
      </c>
      <c r="T66" s="57"/>
      <c r="U66" s="208">
        <f>ROUND((ROUND((ROUND((_15_同援日１．５*_15・基礎２),0)*_15・２人),0)*(1+_15・区３)),0)</f>
        <v>468</v>
      </c>
      <c r="V66" s="48"/>
    </row>
    <row r="67" spans="1:22" ht="16.5" customHeight="1" x14ac:dyDescent="0.15">
      <c r="A67" s="41">
        <v>15</v>
      </c>
      <c r="B67" s="41">
        <v>7747</v>
      </c>
      <c r="C67" s="74" t="s">
        <v>17628</v>
      </c>
      <c r="D67" s="72"/>
      <c r="F67" s="57"/>
      <c r="G67" s="53"/>
      <c r="H67" s="49"/>
      <c r="I67" s="50"/>
      <c r="J67" s="163"/>
      <c r="K67" s="45"/>
      <c r="L67" s="46"/>
      <c r="M67" s="53" t="s">
        <v>17562</v>
      </c>
      <c r="N67" s="49"/>
      <c r="O67" s="50"/>
      <c r="P67" s="115"/>
      <c r="Q67" s="35"/>
      <c r="R67" s="12" t="s">
        <v>398</v>
      </c>
      <c r="S67" s="13">
        <v>0.2</v>
      </c>
      <c r="T67" s="57" t="s">
        <v>3575</v>
      </c>
      <c r="U67" s="208">
        <f>ROUND((ROUND((_15_同援日１．５*(1+_15・盲ろう)),0)*(1+_15・区３)),0)</f>
        <v>649</v>
      </c>
      <c r="V67" s="48"/>
    </row>
    <row r="68" spans="1:22" ht="16.5" customHeight="1" x14ac:dyDescent="0.15">
      <c r="A68" s="41">
        <v>15</v>
      </c>
      <c r="B68" s="41">
        <v>7748</v>
      </c>
      <c r="C68" s="74" t="s">
        <v>17629</v>
      </c>
      <c r="D68" s="72"/>
      <c r="F68" s="57"/>
      <c r="G68" s="43"/>
      <c r="H68" s="37"/>
      <c r="I68" s="38"/>
      <c r="J68" s="163" t="s">
        <v>17556</v>
      </c>
      <c r="K68" s="45" t="s">
        <v>398</v>
      </c>
      <c r="L68" s="46">
        <v>1</v>
      </c>
      <c r="M68" s="35" t="s">
        <v>17564</v>
      </c>
      <c r="P68" s="57"/>
      <c r="Q68" s="35"/>
      <c r="T68" s="57"/>
      <c r="U68" s="208">
        <f>ROUND((ROUND((ROUND((_15_同援日１．５*_15・２人),0)*(1+_15・盲ろう)),0)*(1+_15・区３)),0)</f>
        <v>649</v>
      </c>
      <c r="V68" s="48"/>
    </row>
    <row r="69" spans="1:22" ht="16.5" customHeight="1" x14ac:dyDescent="0.15">
      <c r="A69" s="41">
        <v>15</v>
      </c>
      <c r="B69" s="41">
        <v>7749</v>
      </c>
      <c r="C69" s="74" t="s">
        <v>17630</v>
      </c>
      <c r="D69" s="72"/>
      <c r="F69" s="57"/>
      <c r="G69" s="53" t="s">
        <v>17558</v>
      </c>
      <c r="H69" s="49"/>
      <c r="I69" s="50"/>
      <c r="J69" s="163"/>
      <c r="K69" s="45"/>
      <c r="L69" s="46"/>
      <c r="M69" s="35"/>
      <c r="N69" s="12" t="s">
        <v>398</v>
      </c>
      <c r="O69" s="13">
        <v>0.25</v>
      </c>
      <c r="P69" s="57" t="s">
        <v>3575</v>
      </c>
      <c r="Q69" s="35"/>
      <c r="T69" s="57"/>
      <c r="U69" s="208">
        <f>ROUND((ROUND((ROUND((_15_同援日１．５*_15・基礎２),0)*(1+_15・盲ろう)),0)*(1+_15・区３)),0)</f>
        <v>586</v>
      </c>
      <c r="V69" s="48"/>
    </row>
    <row r="70" spans="1:22" ht="16.5" customHeight="1" x14ac:dyDescent="0.15">
      <c r="A70" s="41">
        <v>15</v>
      </c>
      <c r="B70" s="41">
        <v>7750</v>
      </c>
      <c r="C70" s="74" t="s">
        <v>17631</v>
      </c>
      <c r="D70" s="72"/>
      <c r="F70" s="57"/>
      <c r="G70" s="43" t="s">
        <v>17560</v>
      </c>
      <c r="H70" s="37" t="s">
        <v>398</v>
      </c>
      <c r="I70" s="38">
        <v>0.9</v>
      </c>
      <c r="J70" s="163" t="s">
        <v>17556</v>
      </c>
      <c r="K70" s="45" t="s">
        <v>398</v>
      </c>
      <c r="L70" s="46">
        <v>1</v>
      </c>
      <c r="M70" s="43"/>
      <c r="N70" s="37"/>
      <c r="O70" s="38"/>
      <c r="P70" s="79"/>
      <c r="Q70" s="43"/>
      <c r="R70" s="37"/>
      <c r="S70" s="38"/>
      <c r="T70" s="79"/>
      <c r="U70" s="208">
        <f>ROUND((ROUND((ROUND((ROUND((_15_同援日１．５*_15・基礎２),0)*_15・２人),0)*(1+_15・盲ろう)),0)*(1+_15・区３)),0)</f>
        <v>586</v>
      </c>
      <c r="V70" s="48"/>
    </row>
    <row r="71" spans="1:22" ht="16.5" customHeight="1" x14ac:dyDescent="0.15">
      <c r="A71" s="41">
        <v>15</v>
      </c>
      <c r="B71" s="41">
        <v>7751</v>
      </c>
      <c r="C71" s="74" t="s">
        <v>17632</v>
      </c>
      <c r="D71" s="72"/>
      <c r="F71" s="57"/>
      <c r="G71" s="53"/>
      <c r="H71" s="49"/>
      <c r="I71" s="50"/>
      <c r="J71" s="163"/>
      <c r="K71" s="45"/>
      <c r="L71" s="46"/>
      <c r="M71" s="53"/>
      <c r="N71" s="49"/>
      <c r="O71" s="50"/>
      <c r="P71" s="115"/>
      <c r="Q71" s="53"/>
      <c r="R71" s="49"/>
      <c r="S71" s="50"/>
      <c r="T71" s="115"/>
      <c r="U71" s="208">
        <f>ROUND((_15_同援日１．５*(1+_15・区４)),0)</f>
        <v>606</v>
      </c>
      <c r="V71" s="48"/>
    </row>
    <row r="72" spans="1:22" ht="16.5" customHeight="1" x14ac:dyDescent="0.15">
      <c r="A72" s="41">
        <v>15</v>
      </c>
      <c r="B72" s="41">
        <v>7752</v>
      </c>
      <c r="C72" s="74" t="s">
        <v>17633</v>
      </c>
      <c r="D72" s="72"/>
      <c r="F72" s="57"/>
      <c r="G72" s="43"/>
      <c r="H72" s="37"/>
      <c r="I72" s="38"/>
      <c r="J72" s="163" t="s">
        <v>17556</v>
      </c>
      <c r="K72" s="45" t="s">
        <v>398</v>
      </c>
      <c r="L72" s="46">
        <v>1</v>
      </c>
      <c r="M72" s="35"/>
      <c r="P72" s="57"/>
      <c r="Q72" s="35"/>
      <c r="T72" s="57"/>
      <c r="U72" s="208">
        <f>ROUND((ROUND((_15_同援日１．５*_15・２人),0)*(1+_15・区４)),0)</f>
        <v>606</v>
      </c>
      <c r="V72" s="48"/>
    </row>
    <row r="73" spans="1:22" ht="16.5" customHeight="1" x14ac:dyDescent="0.15">
      <c r="A73" s="41">
        <v>15</v>
      </c>
      <c r="B73" s="41">
        <v>7753</v>
      </c>
      <c r="C73" s="74" t="s">
        <v>17634</v>
      </c>
      <c r="D73" s="72"/>
      <c r="F73" s="57"/>
      <c r="G73" s="53" t="s">
        <v>17558</v>
      </c>
      <c r="H73" s="49"/>
      <c r="I73" s="50"/>
      <c r="J73" s="163"/>
      <c r="K73" s="45"/>
      <c r="L73" s="46"/>
      <c r="M73" s="35"/>
      <c r="P73" s="57"/>
      <c r="Q73" s="35" t="s">
        <v>17580</v>
      </c>
      <c r="T73" s="57"/>
      <c r="U73" s="208">
        <f>ROUND((ROUND((_15_同援日１．５*_15・基礎２),0)*(1+_15・区４)),0)</f>
        <v>546</v>
      </c>
      <c r="V73" s="48"/>
    </row>
    <row r="74" spans="1:22" ht="16.5" customHeight="1" x14ac:dyDescent="0.15">
      <c r="A74" s="41">
        <v>15</v>
      </c>
      <c r="B74" s="41">
        <v>7754</v>
      </c>
      <c r="C74" s="74" t="s">
        <v>17635</v>
      </c>
      <c r="D74" s="72"/>
      <c r="F74" s="57"/>
      <c r="G74" s="43" t="s">
        <v>17560</v>
      </c>
      <c r="H74" s="37" t="s">
        <v>398</v>
      </c>
      <c r="I74" s="38">
        <v>0.9</v>
      </c>
      <c r="J74" s="163" t="s">
        <v>17556</v>
      </c>
      <c r="K74" s="45" t="s">
        <v>398</v>
      </c>
      <c r="L74" s="46">
        <v>1</v>
      </c>
      <c r="M74" s="43"/>
      <c r="N74" s="37"/>
      <c r="O74" s="38"/>
      <c r="P74" s="79"/>
      <c r="Q74" s="35" t="s">
        <v>17572</v>
      </c>
      <c r="T74" s="57"/>
      <c r="U74" s="208">
        <f>ROUND((ROUND((ROUND((_15_同援日１．５*_15・基礎２),0)*_15・２人),0)*(1+_15・区４)),0)</f>
        <v>546</v>
      </c>
      <c r="V74" s="48"/>
    </row>
    <row r="75" spans="1:22" ht="16.5" customHeight="1" x14ac:dyDescent="0.15">
      <c r="A75" s="41">
        <v>15</v>
      </c>
      <c r="B75" s="41">
        <v>7755</v>
      </c>
      <c r="C75" s="74" t="s">
        <v>17636</v>
      </c>
      <c r="D75" s="72"/>
      <c r="F75" s="57"/>
      <c r="G75" s="53"/>
      <c r="H75" s="49"/>
      <c r="I75" s="50"/>
      <c r="J75" s="163"/>
      <c r="K75" s="45"/>
      <c r="L75" s="46"/>
      <c r="M75" s="53" t="s">
        <v>17562</v>
      </c>
      <c r="N75" s="49"/>
      <c r="O75" s="50"/>
      <c r="P75" s="115"/>
      <c r="Q75" s="35"/>
      <c r="R75" s="12" t="s">
        <v>398</v>
      </c>
      <c r="S75" s="13">
        <v>0.4</v>
      </c>
      <c r="T75" s="57" t="s">
        <v>3575</v>
      </c>
      <c r="U75" s="208">
        <f>ROUND((ROUND((_15_同援日１．５*(1+_15・盲ろう)),0)*(1+_15・区４)),0)</f>
        <v>757</v>
      </c>
      <c r="V75" s="48"/>
    </row>
    <row r="76" spans="1:22" ht="16.5" customHeight="1" x14ac:dyDescent="0.15">
      <c r="A76" s="41">
        <v>15</v>
      </c>
      <c r="B76" s="41">
        <v>7756</v>
      </c>
      <c r="C76" s="74" t="s">
        <v>17637</v>
      </c>
      <c r="D76" s="72"/>
      <c r="F76" s="57"/>
      <c r="G76" s="43"/>
      <c r="H76" s="37"/>
      <c r="I76" s="38"/>
      <c r="J76" s="163" t="s">
        <v>17556</v>
      </c>
      <c r="K76" s="45" t="s">
        <v>398</v>
      </c>
      <c r="L76" s="46">
        <v>1</v>
      </c>
      <c r="M76" s="35" t="s">
        <v>17564</v>
      </c>
      <c r="P76" s="57"/>
      <c r="Q76" s="35"/>
      <c r="T76" s="57"/>
      <c r="U76" s="208">
        <f>ROUND((ROUND((ROUND((_15_同援日１．５*_15・２人),0)*(1+_15・盲ろう)),0)*(1+_15・区４)),0)</f>
        <v>757</v>
      </c>
      <c r="V76" s="48"/>
    </row>
    <row r="77" spans="1:22" ht="16.5" customHeight="1" x14ac:dyDescent="0.15">
      <c r="A77" s="41">
        <v>15</v>
      </c>
      <c r="B77" s="41">
        <v>7757</v>
      </c>
      <c r="C77" s="74" t="s">
        <v>17638</v>
      </c>
      <c r="D77" s="72"/>
      <c r="F77" s="57"/>
      <c r="G77" s="53" t="s">
        <v>17558</v>
      </c>
      <c r="H77" s="49"/>
      <c r="I77" s="50"/>
      <c r="J77" s="163"/>
      <c r="K77" s="45"/>
      <c r="L77" s="46"/>
      <c r="M77" s="35"/>
      <c r="N77" s="12" t="s">
        <v>398</v>
      </c>
      <c r="O77" s="13">
        <v>0.25</v>
      </c>
      <c r="P77" s="57" t="s">
        <v>3575</v>
      </c>
      <c r="Q77" s="35"/>
      <c r="T77" s="57"/>
      <c r="U77" s="208">
        <f>ROUND((ROUND((ROUND((_15_同援日１．５*_15・基礎２),0)*(1+_15・盲ろう)),0)*(1+_15・区４)),0)</f>
        <v>683</v>
      </c>
      <c r="V77" s="48"/>
    </row>
    <row r="78" spans="1:22" ht="16.5" customHeight="1" x14ac:dyDescent="0.15">
      <c r="A78" s="41">
        <v>15</v>
      </c>
      <c r="B78" s="41">
        <v>7758</v>
      </c>
      <c r="C78" s="74" t="s">
        <v>17639</v>
      </c>
      <c r="D78" s="122"/>
      <c r="E78" s="37"/>
      <c r="F78" s="79"/>
      <c r="G78" s="43" t="s">
        <v>17560</v>
      </c>
      <c r="H78" s="37" t="s">
        <v>398</v>
      </c>
      <c r="I78" s="38">
        <v>0.9</v>
      </c>
      <c r="J78" s="163" t="s">
        <v>17556</v>
      </c>
      <c r="K78" s="45" t="s">
        <v>398</v>
      </c>
      <c r="L78" s="46">
        <v>1</v>
      </c>
      <c r="M78" s="43"/>
      <c r="N78" s="37"/>
      <c r="O78" s="38"/>
      <c r="P78" s="79"/>
      <c r="Q78" s="43"/>
      <c r="R78" s="37"/>
      <c r="S78" s="38"/>
      <c r="T78" s="79"/>
      <c r="U78" s="208">
        <f>ROUND((ROUND((ROUND((ROUND((_15_同援日１．５*_15・基礎２),0)*_15・２人),0)*(1+_15・盲ろう)),0)*(1+_15・区４)),0)</f>
        <v>683</v>
      </c>
      <c r="V78" s="48"/>
    </row>
    <row r="79" spans="1:22" ht="16.5" customHeight="1" x14ac:dyDescent="0.15">
      <c r="A79" s="41">
        <v>15</v>
      </c>
      <c r="B79" s="41">
        <v>7759</v>
      </c>
      <c r="C79" s="74" t="s">
        <v>17640</v>
      </c>
      <c r="D79" s="114" t="s">
        <v>17641</v>
      </c>
      <c r="E79" s="49"/>
      <c r="F79" s="115"/>
      <c r="G79" s="53"/>
      <c r="H79" s="49"/>
      <c r="I79" s="50"/>
      <c r="J79" s="163"/>
      <c r="K79" s="45"/>
      <c r="L79" s="46"/>
      <c r="M79" s="53"/>
      <c r="N79" s="49"/>
      <c r="O79" s="50"/>
      <c r="P79" s="115"/>
      <c r="Q79" s="53"/>
      <c r="R79" s="49"/>
      <c r="S79" s="50"/>
      <c r="T79" s="115"/>
      <c r="U79" s="208">
        <f>_15_同援日２．０</f>
        <v>498</v>
      </c>
      <c r="V79" s="48"/>
    </row>
    <row r="80" spans="1:22" ht="16.5" customHeight="1" x14ac:dyDescent="0.15">
      <c r="A80" s="41">
        <v>15</v>
      </c>
      <c r="B80" s="41">
        <v>7760</v>
      </c>
      <c r="C80" s="74" t="s">
        <v>17642</v>
      </c>
      <c r="D80" s="72" t="s">
        <v>17643</v>
      </c>
      <c r="F80" s="57"/>
      <c r="G80" s="43"/>
      <c r="H80" s="37"/>
      <c r="I80" s="38"/>
      <c r="J80" s="163" t="s">
        <v>17556</v>
      </c>
      <c r="K80" s="45" t="s">
        <v>398</v>
      </c>
      <c r="L80" s="46">
        <v>1</v>
      </c>
      <c r="M80" s="35"/>
      <c r="P80" s="57"/>
      <c r="Q80" s="35"/>
      <c r="T80" s="57"/>
      <c r="U80" s="208">
        <f>ROUND((_15_同援日２．０*_15・２人),0)</f>
        <v>498</v>
      </c>
      <c r="V80" s="48"/>
    </row>
    <row r="81" spans="1:22" ht="16.5" customHeight="1" x14ac:dyDescent="0.15">
      <c r="A81" s="41">
        <v>15</v>
      </c>
      <c r="B81" s="41">
        <v>7761</v>
      </c>
      <c r="C81" s="74" t="s">
        <v>17644</v>
      </c>
      <c r="D81" s="72" t="s">
        <v>17645</v>
      </c>
      <c r="F81" s="57"/>
      <c r="G81" s="53" t="s">
        <v>17558</v>
      </c>
      <c r="H81" s="49"/>
      <c r="I81" s="50"/>
      <c r="J81" s="163"/>
      <c r="K81" s="45"/>
      <c r="L81" s="46"/>
      <c r="M81" s="35"/>
      <c r="P81" s="57"/>
      <c r="Q81" s="35"/>
      <c r="T81" s="57"/>
      <c r="U81" s="208">
        <f>ROUND((_15_同援日２．０*_15・基礎２),0)</f>
        <v>448</v>
      </c>
      <c r="V81" s="48"/>
    </row>
    <row r="82" spans="1:22" ht="16.5" customHeight="1" x14ac:dyDescent="0.15">
      <c r="A82" s="41">
        <v>15</v>
      </c>
      <c r="B82" s="41">
        <v>7762</v>
      </c>
      <c r="C82" s="74" t="s">
        <v>17646</v>
      </c>
      <c r="D82" s="72"/>
      <c r="E82" s="168">
        <f>_15_同援日２．０</f>
        <v>498</v>
      </c>
      <c r="F82" s="57" t="s">
        <v>392</v>
      </c>
      <c r="G82" s="43" t="s">
        <v>17560</v>
      </c>
      <c r="H82" s="37" t="s">
        <v>398</v>
      </c>
      <c r="I82" s="38">
        <v>0.9</v>
      </c>
      <c r="J82" s="163" t="s">
        <v>17556</v>
      </c>
      <c r="K82" s="45" t="s">
        <v>398</v>
      </c>
      <c r="L82" s="46">
        <v>1</v>
      </c>
      <c r="M82" s="43"/>
      <c r="N82" s="37"/>
      <c r="O82" s="38"/>
      <c r="P82" s="79"/>
      <c r="Q82" s="35"/>
      <c r="T82" s="57"/>
      <c r="U82" s="208">
        <f>ROUND((ROUND((_15_同援日２．０*_15・基礎２),0)*_15・２人),0)</f>
        <v>448</v>
      </c>
      <c r="V82" s="48"/>
    </row>
    <row r="83" spans="1:22" ht="16.5" customHeight="1" x14ac:dyDescent="0.15">
      <c r="A83" s="41">
        <v>15</v>
      </c>
      <c r="B83" s="41">
        <v>7763</v>
      </c>
      <c r="C83" s="74" t="s">
        <v>17647</v>
      </c>
      <c r="D83" s="72"/>
      <c r="F83" s="57"/>
      <c r="G83" s="53"/>
      <c r="H83" s="49"/>
      <c r="I83" s="50"/>
      <c r="J83" s="163"/>
      <c r="K83" s="45"/>
      <c r="L83" s="46"/>
      <c r="M83" s="53" t="s">
        <v>17562</v>
      </c>
      <c r="N83" s="49"/>
      <c r="O83" s="50"/>
      <c r="P83" s="115"/>
      <c r="Q83" s="35"/>
      <c r="T83" s="57"/>
      <c r="U83" s="208">
        <f>ROUND((_15_同援日２．０*(1+_15・盲ろう)),0)</f>
        <v>623</v>
      </c>
      <c r="V83" s="48"/>
    </row>
    <row r="84" spans="1:22" ht="16.5" customHeight="1" x14ac:dyDescent="0.15">
      <c r="A84" s="41">
        <v>15</v>
      </c>
      <c r="B84" s="41">
        <v>7764</v>
      </c>
      <c r="C84" s="74" t="s">
        <v>17648</v>
      </c>
      <c r="D84" s="72"/>
      <c r="F84" s="57"/>
      <c r="G84" s="43"/>
      <c r="H84" s="37"/>
      <c r="I84" s="38"/>
      <c r="J84" s="163" t="s">
        <v>17556</v>
      </c>
      <c r="K84" s="45" t="s">
        <v>398</v>
      </c>
      <c r="L84" s="46">
        <v>1</v>
      </c>
      <c r="M84" s="35" t="s">
        <v>17564</v>
      </c>
      <c r="P84" s="57"/>
      <c r="Q84" s="35"/>
      <c r="T84" s="57"/>
      <c r="U84" s="208">
        <f>ROUND((ROUND((_15_同援日２．０*_15・２人),0)*(1+_15・盲ろう)),0)</f>
        <v>623</v>
      </c>
      <c r="V84" s="48"/>
    </row>
    <row r="85" spans="1:22" ht="16.5" customHeight="1" x14ac:dyDescent="0.15">
      <c r="A85" s="41">
        <v>15</v>
      </c>
      <c r="B85" s="41">
        <v>7765</v>
      </c>
      <c r="C85" s="74" t="s">
        <v>17649</v>
      </c>
      <c r="D85" s="72"/>
      <c r="F85" s="57"/>
      <c r="G85" s="53" t="s">
        <v>17558</v>
      </c>
      <c r="H85" s="49"/>
      <c r="I85" s="50"/>
      <c r="J85" s="163"/>
      <c r="K85" s="45"/>
      <c r="L85" s="46"/>
      <c r="M85" s="35"/>
      <c r="N85" s="12" t="s">
        <v>398</v>
      </c>
      <c r="O85" s="13">
        <v>0.25</v>
      </c>
      <c r="P85" s="57" t="s">
        <v>3575</v>
      </c>
      <c r="Q85" s="35"/>
      <c r="T85" s="57"/>
      <c r="U85" s="208">
        <f>ROUND((ROUND((_15_同援日２．０*_15・基礎２),0)*(1+_15・盲ろう)),0)</f>
        <v>560</v>
      </c>
      <c r="V85" s="48"/>
    </row>
    <row r="86" spans="1:22" ht="16.5" customHeight="1" x14ac:dyDescent="0.15">
      <c r="A86" s="41">
        <v>15</v>
      </c>
      <c r="B86" s="41">
        <v>7766</v>
      </c>
      <c r="C86" s="74" t="s">
        <v>17650</v>
      </c>
      <c r="D86" s="72"/>
      <c r="F86" s="57"/>
      <c r="G86" s="43" t="s">
        <v>17560</v>
      </c>
      <c r="H86" s="37" t="s">
        <v>398</v>
      </c>
      <c r="I86" s="38">
        <v>0.9</v>
      </c>
      <c r="J86" s="163" t="s">
        <v>17556</v>
      </c>
      <c r="K86" s="45" t="s">
        <v>398</v>
      </c>
      <c r="L86" s="46">
        <v>1</v>
      </c>
      <c r="M86" s="43"/>
      <c r="N86" s="37"/>
      <c r="O86" s="38"/>
      <c r="P86" s="79"/>
      <c r="Q86" s="43"/>
      <c r="R86" s="37"/>
      <c r="S86" s="38"/>
      <c r="T86" s="79"/>
      <c r="U86" s="208">
        <f>ROUND((ROUND((ROUND((_15_同援日２．０*_15・基礎２),0)*_15・２人),0)*(1+_15・盲ろう)),0)</f>
        <v>560</v>
      </c>
      <c r="V86" s="48"/>
    </row>
    <row r="87" spans="1:22" ht="16.5" customHeight="1" x14ac:dyDescent="0.15">
      <c r="A87" s="41">
        <v>15</v>
      </c>
      <c r="B87" s="41">
        <v>7767</v>
      </c>
      <c r="C87" s="74" t="s">
        <v>17651</v>
      </c>
      <c r="D87" s="72"/>
      <c r="F87" s="57"/>
      <c r="G87" s="53"/>
      <c r="H87" s="49"/>
      <c r="I87" s="50"/>
      <c r="J87" s="163"/>
      <c r="K87" s="45"/>
      <c r="L87" s="46"/>
      <c r="M87" s="53"/>
      <c r="N87" s="49"/>
      <c r="O87" s="50"/>
      <c r="P87" s="115"/>
      <c r="Q87" s="53"/>
      <c r="R87" s="49"/>
      <c r="S87" s="50"/>
      <c r="T87" s="115"/>
      <c r="U87" s="208">
        <f>ROUND((_15_同援日２．０*(1+_15・区３)),0)</f>
        <v>598</v>
      </c>
      <c r="V87" s="48"/>
    </row>
    <row r="88" spans="1:22" ht="16.5" customHeight="1" x14ac:dyDescent="0.15">
      <c r="A88" s="41">
        <v>15</v>
      </c>
      <c r="B88" s="41">
        <v>7768</v>
      </c>
      <c r="C88" s="74" t="s">
        <v>17652</v>
      </c>
      <c r="D88" s="72"/>
      <c r="F88" s="57"/>
      <c r="G88" s="43"/>
      <c r="H88" s="37"/>
      <c r="I88" s="38"/>
      <c r="J88" s="163" t="s">
        <v>17556</v>
      </c>
      <c r="K88" s="45" t="s">
        <v>398</v>
      </c>
      <c r="L88" s="46">
        <v>1</v>
      </c>
      <c r="M88" s="35"/>
      <c r="P88" s="57"/>
      <c r="Q88" s="35"/>
      <c r="T88" s="57"/>
      <c r="U88" s="208">
        <f>ROUND((ROUND((_15_同援日２．０*_15・２人),0)*(1+_15・区３)),0)</f>
        <v>598</v>
      </c>
      <c r="V88" s="48"/>
    </row>
    <row r="89" spans="1:22" ht="16.5" customHeight="1" x14ac:dyDescent="0.15">
      <c r="A89" s="41">
        <v>15</v>
      </c>
      <c r="B89" s="41">
        <v>7769</v>
      </c>
      <c r="C89" s="74" t="s">
        <v>17653</v>
      </c>
      <c r="D89" s="72"/>
      <c r="F89" s="57"/>
      <c r="G89" s="53" t="s">
        <v>17558</v>
      </c>
      <c r="H89" s="49"/>
      <c r="I89" s="50"/>
      <c r="J89" s="163"/>
      <c r="K89" s="45"/>
      <c r="L89" s="46"/>
      <c r="M89" s="35"/>
      <c r="P89" s="57"/>
      <c r="Q89" s="35" t="s">
        <v>17570</v>
      </c>
      <c r="T89" s="57"/>
      <c r="U89" s="208">
        <f>ROUND((ROUND((_15_同援日２．０*_15・基礎２),0)*(1+_15・区３)),0)</f>
        <v>538</v>
      </c>
      <c r="V89" s="48"/>
    </row>
    <row r="90" spans="1:22" ht="16.5" customHeight="1" x14ac:dyDescent="0.15">
      <c r="A90" s="41">
        <v>15</v>
      </c>
      <c r="B90" s="41">
        <v>7770</v>
      </c>
      <c r="C90" s="74" t="s">
        <v>17654</v>
      </c>
      <c r="D90" s="72"/>
      <c r="F90" s="57"/>
      <c r="G90" s="43" t="s">
        <v>17560</v>
      </c>
      <c r="H90" s="37" t="s">
        <v>398</v>
      </c>
      <c r="I90" s="38">
        <v>0.9</v>
      </c>
      <c r="J90" s="163" t="s">
        <v>17556</v>
      </c>
      <c r="K90" s="45" t="s">
        <v>398</v>
      </c>
      <c r="L90" s="46">
        <v>1</v>
      </c>
      <c r="M90" s="43"/>
      <c r="N90" s="37"/>
      <c r="O90" s="38"/>
      <c r="P90" s="79"/>
      <c r="Q90" s="35" t="s">
        <v>17572</v>
      </c>
      <c r="T90" s="57"/>
      <c r="U90" s="208">
        <f>ROUND((ROUND((ROUND((_15_同援日２．０*_15・基礎２),0)*_15・２人),0)*(1+_15・区３)),0)</f>
        <v>538</v>
      </c>
      <c r="V90" s="48"/>
    </row>
    <row r="91" spans="1:22" ht="16.5" customHeight="1" x14ac:dyDescent="0.15">
      <c r="A91" s="41">
        <v>15</v>
      </c>
      <c r="B91" s="41">
        <v>7771</v>
      </c>
      <c r="C91" s="74" t="s">
        <v>17655</v>
      </c>
      <c r="D91" s="72"/>
      <c r="F91" s="57"/>
      <c r="G91" s="53"/>
      <c r="H91" s="49"/>
      <c r="I91" s="50"/>
      <c r="J91" s="163"/>
      <c r="K91" s="45"/>
      <c r="L91" s="46"/>
      <c r="M91" s="53" t="s">
        <v>17562</v>
      </c>
      <c r="N91" s="49"/>
      <c r="O91" s="50"/>
      <c r="P91" s="115"/>
      <c r="Q91" s="35"/>
      <c r="R91" s="12" t="s">
        <v>398</v>
      </c>
      <c r="S91" s="13">
        <v>0.2</v>
      </c>
      <c r="T91" s="57" t="s">
        <v>3575</v>
      </c>
      <c r="U91" s="208">
        <f>ROUND((ROUND((_15_同援日２．０*(1+_15・盲ろう)),0)*(1+_15・区３)),0)</f>
        <v>748</v>
      </c>
      <c r="V91" s="48"/>
    </row>
    <row r="92" spans="1:22" ht="16.5" customHeight="1" x14ac:dyDescent="0.15">
      <c r="A92" s="41">
        <v>15</v>
      </c>
      <c r="B92" s="41">
        <v>7772</v>
      </c>
      <c r="C92" s="74" t="s">
        <v>17656</v>
      </c>
      <c r="D92" s="72"/>
      <c r="F92" s="57"/>
      <c r="G92" s="43"/>
      <c r="H92" s="37"/>
      <c r="I92" s="38"/>
      <c r="J92" s="163" t="s">
        <v>17556</v>
      </c>
      <c r="K92" s="45" t="s">
        <v>398</v>
      </c>
      <c r="L92" s="46">
        <v>1</v>
      </c>
      <c r="M92" s="35" t="s">
        <v>17564</v>
      </c>
      <c r="P92" s="57"/>
      <c r="Q92" s="35"/>
      <c r="T92" s="57"/>
      <c r="U92" s="208">
        <f>ROUND((ROUND((ROUND((_15_同援日２．０*_15・２人),0)*(1+_15・盲ろう)),0)*(1+_15・区３)),0)</f>
        <v>748</v>
      </c>
      <c r="V92" s="48"/>
    </row>
    <row r="93" spans="1:22" ht="16.5" customHeight="1" x14ac:dyDescent="0.15">
      <c r="A93" s="41">
        <v>15</v>
      </c>
      <c r="B93" s="41">
        <v>7773</v>
      </c>
      <c r="C93" s="74" t="s">
        <v>17657</v>
      </c>
      <c r="D93" s="72"/>
      <c r="F93" s="57"/>
      <c r="G93" s="53" t="s">
        <v>17558</v>
      </c>
      <c r="H93" s="49"/>
      <c r="I93" s="50"/>
      <c r="J93" s="163"/>
      <c r="K93" s="45"/>
      <c r="L93" s="46"/>
      <c r="M93" s="35"/>
      <c r="N93" s="12" t="s">
        <v>398</v>
      </c>
      <c r="O93" s="13">
        <v>0.25</v>
      </c>
      <c r="P93" s="57" t="s">
        <v>3575</v>
      </c>
      <c r="Q93" s="35"/>
      <c r="T93" s="57"/>
      <c r="U93" s="208">
        <f>ROUND((ROUND((ROUND((_15_同援日２．０*_15・基礎２),0)*(1+_15・盲ろう)),0)*(1+_15・区３)),0)</f>
        <v>672</v>
      </c>
      <c r="V93" s="48"/>
    </row>
    <row r="94" spans="1:22" ht="16.5" customHeight="1" x14ac:dyDescent="0.15">
      <c r="A94" s="41">
        <v>15</v>
      </c>
      <c r="B94" s="41">
        <v>7774</v>
      </c>
      <c r="C94" s="74" t="s">
        <v>17658</v>
      </c>
      <c r="D94" s="72"/>
      <c r="F94" s="57"/>
      <c r="G94" s="43" t="s">
        <v>17560</v>
      </c>
      <c r="H94" s="37" t="s">
        <v>398</v>
      </c>
      <c r="I94" s="38">
        <v>0.9</v>
      </c>
      <c r="J94" s="163" t="s">
        <v>17556</v>
      </c>
      <c r="K94" s="45" t="s">
        <v>398</v>
      </c>
      <c r="L94" s="46">
        <v>1</v>
      </c>
      <c r="M94" s="43"/>
      <c r="N94" s="37"/>
      <c r="O94" s="38"/>
      <c r="P94" s="79"/>
      <c r="Q94" s="43"/>
      <c r="R94" s="37"/>
      <c r="S94" s="38"/>
      <c r="T94" s="79"/>
      <c r="U94" s="208">
        <f>ROUND((ROUND((ROUND((ROUND((_15_同援日２．０*_15・基礎２),0)*_15・２人),0)*(1+_15・盲ろう)),0)*(1+_15・区３)),0)</f>
        <v>672</v>
      </c>
      <c r="V94" s="48"/>
    </row>
    <row r="95" spans="1:22" ht="16.5" customHeight="1" x14ac:dyDescent="0.15">
      <c r="A95" s="41">
        <v>15</v>
      </c>
      <c r="B95" s="41">
        <v>7775</v>
      </c>
      <c r="C95" s="74" t="s">
        <v>17659</v>
      </c>
      <c r="D95" s="72"/>
      <c r="F95" s="57"/>
      <c r="G95" s="53"/>
      <c r="H95" s="49"/>
      <c r="I95" s="50"/>
      <c r="J95" s="163"/>
      <c r="K95" s="45"/>
      <c r="L95" s="46"/>
      <c r="M95" s="53"/>
      <c r="N95" s="49"/>
      <c r="O95" s="50"/>
      <c r="P95" s="115"/>
      <c r="Q95" s="53"/>
      <c r="R95" s="49"/>
      <c r="S95" s="50"/>
      <c r="T95" s="115"/>
      <c r="U95" s="208">
        <f>ROUND((_15_同援日２．０*(1+_15・区４)),0)</f>
        <v>697</v>
      </c>
      <c r="V95" s="48"/>
    </row>
    <row r="96" spans="1:22" ht="16.5" customHeight="1" x14ac:dyDescent="0.15">
      <c r="A96" s="41">
        <v>15</v>
      </c>
      <c r="B96" s="41">
        <v>7776</v>
      </c>
      <c r="C96" s="74" t="s">
        <v>17660</v>
      </c>
      <c r="D96" s="72"/>
      <c r="F96" s="57"/>
      <c r="G96" s="43"/>
      <c r="H96" s="37"/>
      <c r="I96" s="38"/>
      <c r="J96" s="163" t="s">
        <v>17556</v>
      </c>
      <c r="K96" s="45" t="s">
        <v>398</v>
      </c>
      <c r="L96" s="46">
        <v>1</v>
      </c>
      <c r="M96" s="35"/>
      <c r="P96" s="57"/>
      <c r="Q96" s="35"/>
      <c r="T96" s="57"/>
      <c r="U96" s="208">
        <f>ROUND((ROUND((_15_同援日２．０*_15・２人),0)*(1+_15・区４)),0)</f>
        <v>697</v>
      </c>
      <c r="V96" s="48"/>
    </row>
    <row r="97" spans="1:22" ht="16.5" customHeight="1" x14ac:dyDescent="0.15">
      <c r="A97" s="41">
        <v>15</v>
      </c>
      <c r="B97" s="41">
        <v>7777</v>
      </c>
      <c r="C97" s="74" t="s">
        <v>17661</v>
      </c>
      <c r="D97" s="72"/>
      <c r="F97" s="57"/>
      <c r="G97" s="53" t="s">
        <v>17558</v>
      </c>
      <c r="H97" s="49"/>
      <c r="I97" s="50"/>
      <c r="J97" s="163"/>
      <c r="K97" s="45"/>
      <c r="L97" s="46"/>
      <c r="M97" s="35"/>
      <c r="P97" s="57"/>
      <c r="Q97" s="35" t="s">
        <v>17580</v>
      </c>
      <c r="T97" s="57"/>
      <c r="U97" s="208">
        <f>ROUND((ROUND((_15_同援日２．０*_15・基礎２),0)*(1+_15・区４)),0)</f>
        <v>627</v>
      </c>
      <c r="V97" s="48"/>
    </row>
    <row r="98" spans="1:22" ht="16.5" customHeight="1" x14ac:dyDescent="0.15">
      <c r="A98" s="41">
        <v>15</v>
      </c>
      <c r="B98" s="41">
        <v>7778</v>
      </c>
      <c r="C98" s="74" t="s">
        <v>17662</v>
      </c>
      <c r="D98" s="72"/>
      <c r="F98" s="57"/>
      <c r="G98" s="43" t="s">
        <v>17560</v>
      </c>
      <c r="H98" s="37" t="s">
        <v>398</v>
      </c>
      <c r="I98" s="38">
        <v>0.9</v>
      </c>
      <c r="J98" s="163" t="s">
        <v>17556</v>
      </c>
      <c r="K98" s="45" t="s">
        <v>398</v>
      </c>
      <c r="L98" s="46">
        <v>1</v>
      </c>
      <c r="M98" s="43"/>
      <c r="N98" s="37"/>
      <c r="O98" s="38"/>
      <c r="P98" s="79"/>
      <c r="Q98" s="35" t="s">
        <v>17572</v>
      </c>
      <c r="T98" s="57"/>
      <c r="U98" s="208">
        <f>ROUND((ROUND((ROUND((_15_同援日２．０*_15・基礎２),0)*_15・２人),0)*(1+_15・区４)),0)</f>
        <v>627</v>
      </c>
      <c r="V98" s="48"/>
    </row>
    <row r="99" spans="1:22" ht="16.5" customHeight="1" x14ac:dyDescent="0.15">
      <c r="A99" s="41">
        <v>15</v>
      </c>
      <c r="B99" s="41">
        <v>7779</v>
      </c>
      <c r="C99" s="74" t="s">
        <v>17663</v>
      </c>
      <c r="D99" s="72"/>
      <c r="F99" s="57"/>
      <c r="G99" s="53"/>
      <c r="H99" s="49"/>
      <c r="I99" s="50"/>
      <c r="J99" s="163"/>
      <c r="K99" s="45"/>
      <c r="L99" s="46"/>
      <c r="M99" s="53" t="s">
        <v>17562</v>
      </c>
      <c r="N99" s="49"/>
      <c r="O99" s="50"/>
      <c r="P99" s="115"/>
      <c r="Q99" s="35"/>
      <c r="R99" s="12" t="s">
        <v>398</v>
      </c>
      <c r="S99" s="13">
        <v>0.4</v>
      </c>
      <c r="T99" s="57" t="s">
        <v>3575</v>
      </c>
      <c r="U99" s="208">
        <f>ROUND((ROUND((_15_同援日２．０*(1+_15・盲ろう)),0)*(1+_15・区４)),0)</f>
        <v>872</v>
      </c>
      <c r="V99" s="48"/>
    </row>
    <row r="100" spans="1:22" ht="16.5" customHeight="1" x14ac:dyDescent="0.15">
      <c r="A100" s="41">
        <v>15</v>
      </c>
      <c r="B100" s="41">
        <v>7780</v>
      </c>
      <c r="C100" s="74" t="s">
        <v>17664</v>
      </c>
      <c r="D100" s="72"/>
      <c r="F100" s="57"/>
      <c r="G100" s="43"/>
      <c r="H100" s="37"/>
      <c r="I100" s="38"/>
      <c r="J100" s="163" t="s">
        <v>17556</v>
      </c>
      <c r="K100" s="45" t="s">
        <v>398</v>
      </c>
      <c r="L100" s="46">
        <v>1</v>
      </c>
      <c r="M100" s="35" t="s">
        <v>17564</v>
      </c>
      <c r="P100" s="57"/>
      <c r="Q100" s="35"/>
      <c r="T100" s="57"/>
      <c r="U100" s="208">
        <f>ROUND((ROUND((ROUND((_15_同援日２．０*_15・２人),0)*(1+_15・盲ろう)),0)*(1+_15・区４)),0)</f>
        <v>872</v>
      </c>
      <c r="V100" s="48"/>
    </row>
    <row r="101" spans="1:22" ht="16.5" customHeight="1" x14ac:dyDescent="0.15">
      <c r="A101" s="41">
        <v>15</v>
      </c>
      <c r="B101" s="41">
        <v>7781</v>
      </c>
      <c r="C101" s="74" t="s">
        <v>17665</v>
      </c>
      <c r="D101" s="72"/>
      <c r="F101" s="57"/>
      <c r="G101" s="53" t="s">
        <v>17558</v>
      </c>
      <c r="H101" s="49"/>
      <c r="I101" s="50"/>
      <c r="J101" s="163"/>
      <c r="K101" s="45"/>
      <c r="L101" s="46"/>
      <c r="M101" s="35"/>
      <c r="N101" s="12" t="s">
        <v>398</v>
      </c>
      <c r="O101" s="13">
        <v>0.25</v>
      </c>
      <c r="P101" s="57" t="s">
        <v>3575</v>
      </c>
      <c r="Q101" s="35"/>
      <c r="T101" s="57"/>
      <c r="U101" s="208">
        <f>ROUND((ROUND((ROUND((_15_同援日２．０*_15・基礎２),0)*(1+_15・盲ろう)),0)*(1+_15・区４)),0)</f>
        <v>784</v>
      </c>
      <c r="V101" s="48"/>
    </row>
    <row r="102" spans="1:22" ht="16.5" customHeight="1" x14ac:dyDescent="0.15">
      <c r="A102" s="41">
        <v>15</v>
      </c>
      <c r="B102" s="41">
        <v>7782</v>
      </c>
      <c r="C102" s="74" t="s">
        <v>17666</v>
      </c>
      <c r="D102" s="122"/>
      <c r="E102" s="37"/>
      <c r="F102" s="79"/>
      <c r="G102" s="43" t="s">
        <v>17560</v>
      </c>
      <c r="H102" s="37" t="s">
        <v>398</v>
      </c>
      <c r="I102" s="38">
        <v>0.9</v>
      </c>
      <c r="J102" s="163" t="s">
        <v>17556</v>
      </c>
      <c r="K102" s="45" t="s">
        <v>398</v>
      </c>
      <c r="L102" s="46">
        <v>1</v>
      </c>
      <c r="M102" s="43"/>
      <c r="N102" s="37"/>
      <c r="O102" s="38"/>
      <c r="P102" s="79"/>
      <c r="Q102" s="43"/>
      <c r="R102" s="37"/>
      <c r="S102" s="38"/>
      <c r="T102" s="79"/>
      <c r="U102" s="208">
        <f>ROUND((ROUND((ROUND((ROUND((_15_同援日２．０*_15・基礎２),0)*_15・２人),0)*(1+_15・盲ろう)),0)*(1+_15・区４)),0)</f>
        <v>784</v>
      </c>
      <c r="V102" s="63"/>
    </row>
    <row r="103" spans="1:22" ht="16.5" customHeight="1" x14ac:dyDescent="0.15">
      <c r="A103" s="41">
        <v>15</v>
      </c>
      <c r="B103" s="41">
        <v>7783</v>
      </c>
      <c r="C103" s="74" t="s">
        <v>17667</v>
      </c>
      <c r="D103" s="114" t="s">
        <v>17668</v>
      </c>
      <c r="E103" s="49"/>
      <c r="F103" s="115"/>
      <c r="G103" s="53"/>
      <c r="H103" s="49"/>
      <c r="I103" s="50"/>
      <c r="J103" s="163"/>
      <c r="K103" s="45"/>
      <c r="L103" s="46"/>
      <c r="M103" s="53"/>
      <c r="N103" s="49"/>
      <c r="O103" s="50"/>
      <c r="P103" s="115"/>
      <c r="Q103" s="53"/>
      <c r="R103" s="49"/>
      <c r="S103" s="50"/>
      <c r="T103" s="115"/>
      <c r="U103" s="208">
        <f>_15_同援日２．５</f>
        <v>563</v>
      </c>
      <c r="V103" s="64"/>
    </row>
    <row r="104" spans="1:22" ht="16.5" customHeight="1" x14ac:dyDescent="0.15">
      <c r="A104" s="41">
        <v>15</v>
      </c>
      <c r="B104" s="41">
        <v>7784</v>
      </c>
      <c r="C104" s="74" t="s">
        <v>17669</v>
      </c>
      <c r="D104" s="72" t="s">
        <v>17670</v>
      </c>
      <c r="F104" s="57"/>
      <c r="G104" s="43"/>
      <c r="H104" s="37"/>
      <c r="I104" s="38"/>
      <c r="J104" s="163" t="s">
        <v>17556</v>
      </c>
      <c r="K104" s="45" t="s">
        <v>398</v>
      </c>
      <c r="L104" s="46">
        <v>1</v>
      </c>
      <c r="M104" s="35"/>
      <c r="P104" s="57"/>
      <c r="Q104" s="35"/>
      <c r="T104" s="57"/>
      <c r="U104" s="208">
        <f>ROUND((_15_同援日２．５*_15・２人),0)</f>
        <v>563</v>
      </c>
      <c r="V104" s="48"/>
    </row>
    <row r="105" spans="1:22" ht="16.5" customHeight="1" x14ac:dyDescent="0.15">
      <c r="A105" s="41">
        <v>15</v>
      </c>
      <c r="B105" s="41">
        <v>7785</v>
      </c>
      <c r="C105" s="74" t="s">
        <v>17671</v>
      </c>
      <c r="D105" s="72" t="s">
        <v>17672</v>
      </c>
      <c r="F105" s="57"/>
      <c r="G105" s="53" t="s">
        <v>17558</v>
      </c>
      <c r="H105" s="49"/>
      <c r="I105" s="50"/>
      <c r="J105" s="163"/>
      <c r="K105" s="45"/>
      <c r="L105" s="46"/>
      <c r="M105" s="35"/>
      <c r="P105" s="57"/>
      <c r="Q105" s="35"/>
      <c r="T105" s="57"/>
      <c r="U105" s="208">
        <f>ROUND((_15_同援日２．５*_15・基礎２),0)</f>
        <v>507</v>
      </c>
      <c r="V105" s="48"/>
    </row>
    <row r="106" spans="1:22" ht="16.5" customHeight="1" x14ac:dyDescent="0.15">
      <c r="A106" s="41">
        <v>15</v>
      </c>
      <c r="B106" s="41">
        <v>7786</v>
      </c>
      <c r="C106" s="74" t="s">
        <v>17673</v>
      </c>
      <c r="D106" s="72"/>
      <c r="E106" s="168">
        <f>_15_同援日２．５</f>
        <v>563</v>
      </c>
      <c r="F106" s="57" t="s">
        <v>392</v>
      </c>
      <c r="G106" s="43" t="s">
        <v>17560</v>
      </c>
      <c r="H106" s="37" t="s">
        <v>398</v>
      </c>
      <c r="I106" s="38">
        <v>0.9</v>
      </c>
      <c r="J106" s="163" t="s">
        <v>17556</v>
      </c>
      <c r="K106" s="45" t="s">
        <v>398</v>
      </c>
      <c r="L106" s="46">
        <v>1</v>
      </c>
      <c r="M106" s="43"/>
      <c r="N106" s="37"/>
      <c r="O106" s="38"/>
      <c r="P106" s="79"/>
      <c r="Q106" s="35"/>
      <c r="T106" s="57"/>
      <c r="U106" s="208">
        <f>ROUND((ROUND((_15_同援日２．５*_15・基礎２),0)*_15・２人),0)</f>
        <v>507</v>
      </c>
      <c r="V106" s="48"/>
    </row>
    <row r="107" spans="1:22" ht="16.5" customHeight="1" x14ac:dyDescent="0.15">
      <c r="A107" s="41">
        <v>15</v>
      </c>
      <c r="B107" s="41">
        <v>7787</v>
      </c>
      <c r="C107" s="74" t="s">
        <v>17674</v>
      </c>
      <c r="D107" s="72"/>
      <c r="F107" s="57"/>
      <c r="G107" s="53"/>
      <c r="H107" s="49"/>
      <c r="I107" s="50"/>
      <c r="J107" s="163"/>
      <c r="K107" s="45"/>
      <c r="L107" s="46"/>
      <c r="M107" s="53" t="s">
        <v>17562</v>
      </c>
      <c r="N107" s="49"/>
      <c r="O107" s="50"/>
      <c r="P107" s="115"/>
      <c r="Q107" s="35"/>
      <c r="T107" s="57"/>
      <c r="U107" s="208">
        <f>ROUND((_15_同援日２．５*(1+_15・盲ろう)),0)</f>
        <v>704</v>
      </c>
      <c r="V107" s="48"/>
    </row>
    <row r="108" spans="1:22" ht="16.5" customHeight="1" x14ac:dyDescent="0.15">
      <c r="A108" s="41">
        <v>15</v>
      </c>
      <c r="B108" s="41">
        <v>7788</v>
      </c>
      <c r="C108" s="74" t="s">
        <v>17675</v>
      </c>
      <c r="D108" s="72"/>
      <c r="F108" s="57"/>
      <c r="G108" s="43"/>
      <c r="H108" s="37"/>
      <c r="I108" s="38"/>
      <c r="J108" s="163" t="s">
        <v>17556</v>
      </c>
      <c r="K108" s="45" t="s">
        <v>398</v>
      </c>
      <c r="L108" s="46">
        <v>1</v>
      </c>
      <c r="M108" s="35" t="s">
        <v>17564</v>
      </c>
      <c r="P108" s="57"/>
      <c r="Q108" s="35"/>
      <c r="T108" s="57"/>
      <c r="U108" s="208">
        <f>ROUND((ROUND((_15_同援日２．５*_15・２人),0)*(1+_15・盲ろう)),0)</f>
        <v>704</v>
      </c>
      <c r="V108" s="48"/>
    </row>
    <row r="109" spans="1:22" ht="16.5" customHeight="1" x14ac:dyDescent="0.15">
      <c r="A109" s="41">
        <v>15</v>
      </c>
      <c r="B109" s="41">
        <v>7789</v>
      </c>
      <c r="C109" s="74" t="s">
        <v>17676</v>
      </c>
      <c r="D109" s="72"/>
      <c r="F109" s="57"/>
      <c r="G109" s="53" t="s">
        <v>17558</v>
      </c>
      <c r="H109" s="49"/>
      <c r="I109" s="50"/>
      <c r="J109" s="163"/>
      <c r="K109" s="45"/>
      <c r="L109" s="46"/>
      <c r="M109" s="35"/>
      <c r="N109" s="12" t="s">
        <v>398</v>
      </c>
      <c r="O109" s="13">
        <v>0.25</v>
      </c>
      <c r="P109" s="57" t="s">
        <v>3575</v>
      </c>
      <c r="Q109" s="35"/>
      <c r="T109" s="57"/>
      <c r="U109" s="208">
        <f>ROUND((ROUND((_15_同援日２．５*_15・基礎２),0)*(1+_15・盲ろう)),0)</f>
        <v>634</v>
      </c>
      <c r="V109" s="48"/>
    </row>
    <row r="110" spans="1:22" ht="16.5" customHeight="1" x14ac:dyDescent="0.15">
      <c r="A110" s="41">
        <v>15</v>
      </c>
      <c r="B110" s="41">
        <v>7790</v>
      </c>
      <c r="C110" s="74" t="s">
        <v>17677</v>
      </c>
      <c r="D110" s="72"/>
      <c r="F110" s="57"/>
      <c r="G110" s="43" t="s">
        <v>17560</v>
      </c>
      <c r="H110" s="37" t="s">
        <v>398</v>
      </c>
      <c r="I110" s="38">
        <v>0.9</v>
      </c>
      <c r="J110" s="163" t="s">
        <v>17556</v>
      </c>
      <c r="K110" s="45" t="s">
        <v>398</v>
      </c>
      <c r="L110" s="46">
        <v>1</v>
      </c>
      <c r="M110" s="43"/>
      <c r="N110" s="37"/>
      <c r="O110" s="38"/>
      <c r="P110" s="79"/>
      <c r="Q110" s="43"/>
      <c r="R110" s="37"/>
      <c r="S110" s="38"/>
      <c r="T110" s="79"/>
      <c r="U110" s="208">
        <f>ROUND((ROUND((ROUND((_15_同援日２．５*_15・基礎２),0)*_15・２人),0)*(1+_15・盲ろう)),0)</f>
        <v>634</v>
      </c>
      <c r="V110" s="48"/>
    </row>
    <row r="111" spans="1:22" ht="16.5" customHeight="1" x14ac:dyDescent="0.15">
      <c r="A111" s="41">
        <v>15</v>
      </c>
      <c r="B111" s="41">
        <v>7791</v>
      </c>
      <c r="C111" s="74" t="s">
        <v>17678</v>
      </c>
      <c r="D111" s="72"/>
      <c r="F111" s="57"/>
      <c r="G111" s="53"/>
      <c r="H111" s="49"/>
      <c r="I111" s="50"/>
      <c r="J111" s="163"/>
      <c r="K111" s="45"/>
      <c r="L111" s="46"/>
      <c r="M111" s="53"/>
      <c r="N111" s="49"/>
      <c r="O111" s="50"/>
      <c r="P111" s="115"/>
      <c r="Q111" s="53"/>
      <c r="R111" s="49"/>
      <c r="S111" s="50"/>
      <c r="T111" s="115"/>
      <c r="U111" s="208">
        <f>ROUND((_15_同援日２．５*(1+_15・区３)),0)</f>
        <v>676</v>
      </c>
      <c r="V111" s="48"/>
    </row>
    <row r="112" spans="1:22" ht="16.5" customHeight="1" x14ac:dyDescent="0.15">
      <c r="A112" s="41">
        <v>15</v>
      </c>
      <c r="B112" s="41">
        <v>7792</v>
      </c>
      <c r="C112" s="74" t="s">
        <v>17679</v>
      </c>
      <c r="D112" s="72"/>
      <c r="F112" s="57"/>
      <c r="G112" s="43"/>
      <c r="H112" s="37"/>
      <c r="I112" s="38"/>
      <c r="J112" s="163" t="s">
        <v>17556</v>
      </c>
      <c r="K112" s="45" t="s">
        <v>398</v>
      </c>
      <c r="L112" s="46">
        <v>1</v>
      </c>
      <c r="M112" s="35"/>
      <c r="P112" s="57"/>
      <c r="Q112" s="35"/>
      <c r="T112" s="57"/>
      <c r="U112" s="208">
        <f>ROUND((ROUND((_15_同援日２．５*_15・２人),0)*(1+_15・区３)),0)</f>
        <v>676</v>
      </c>
      <c r="V112" s="48"/>
    </row>
    <row r="113" spans="1:22" ht="16.5" customHeight="1" x14ac:dyDescent="0.15">
      <c r="A113" s="41">
        <v>15</v>
      </c>
      <c r="B113" s="41">
        <v>7793</v>
      </c>
      <c r="C113" s="74" t="s">
        <v>17680</v>
      </c>
      <c r="D113" s="72"/>
      <c r="F113" s="57"/>
      <c r="G113" s="53" t="s">
        <v>17558</v>
      </c>
      <c r="H113" s="49"/>
      <c r="I113" s="50"/>
      <c r="J113" s="163"/>
      <c r="K113" s="45"/>
      <c r="L113" s="46"/>
      <c r="M113" s="35"/>
      <c r="P113" s="57"/>
      <c r="Q113" s="35" t="s">
        <v>17570</v>
      </c>
      <c r="T113" s="57"/>
      <c r="U113" s="208">
        <f>ROUND((ROUND((_15_同援日２．５*_15・基礎２),0)*(1+_15・区３)),0)</f>
        <v>608</v>
      </c>
      <c r="V113" s="48"/>
    </row>
    <row r="114" spans="1:22" ht="16.5" customHeight="1" x14ac:dyDescent="0.15">
      <c r="A114" s="41">
        <v>15</v>
      </c>
      <c r="B114" s="41">
        <v>7794</v>
      </c>
      <c r="C114" s="74" t="s">
        <v>17681</v>
      </c>
      <c r="D114" s="72"/>
      <c r="F114" s="57"/>
      <c r="G114" s="43" t="s">
        <v>17560</v>
      </c>
      <c r="H114" s="37" t="s">
        <v>398</v>
      </c>
      <c r="I114" s="38">
        <v>0.9</v>
      </c>
      <c r="J114" s="163" t="s">
        <v>17556</v>
      </c>
      <c r="K114" s="45" t="s">
        <v>398</v>
      </c>
      <c r="L114" s="46">
        <v>1</v>
      </c>
      <c r="M114" s="43"/>
      <c r="N114" s="37"/>
      <c r="O114" s="38"/>
      <c r="P114" s="79"/>
      <c r="Q114" s="35" t="s">
        <v>17572</v>
      </c>
      <c r="T114" s="57"/>
      <c r="U114" s="208">
        <f>ROUND((ROUND((ROUND((_15_同援日２．５*_15・基礎２),0)*_15・２人),0)*(1+_15・区３)),0)</f>
        <v>608</v>
      </c>
      <c r="V114" s="48"/>
    </row>
    <row r="115" spans="1:22" ht="16.5" customHeight="1" x14ac:dyDescent="0.15">
      <c r="A115" s="41">
        <v>15</v>
      </c>
      <c r="B115" s="41">
        <v>7795</v>
      </c>
      <c r="C115" s="74" t="s">
        <v>17682</v>
      </c>
      <c r="D115" s="72"/>
      <c r="F115" s="57"/>
      <c r="G115" s="53"/>
      <c r="H115" s="49"/>
      <c r="I115" s="50"/>
      <c r="J115" s="163"/>
      <c r="K115" s="45"/>
      <c r="L115" s="46"/>
      <c r="M115" s="53" t="s">
        <v>17562</v>
      </c>
      <c r="N115" s="49"/>
      <c r="O115" s="50"/>
      <c r="P115" s="115"/>
      <c r="Q115" s="35"/>
      <c r="R115" s="12" t="s">
        <v>398</v>
      </c>
      <c r="S115" s="13">
        <v>0.2</v>
      </c>
      <c r="T115" s="57" t="s">
        <v>3575</v>
      </c>
      <c r="U115" s="208">
        <f>ROUND((ROUND((_15_同援日２．５*(1+_15・盲ろう)),0)*(1+_15・区３)),0)</f>
        <v>845</v>
      </c>
      <c r="V115" s="48"/>
    </row>
    <row r="116" spans="1:22" ht="16.5" customHeight="1" x14ac:dyDescent="0.15">
      <c r="A116" s="41">
        <v>15</v>
      </c>
      <c r="B116" s="41">
        <v>7796</v>
      </c>
      <c r="C116" s="74" t="s">
        <v>17683</v>
      </c>
      <c r="D116" s="72"/>
      <c r="F116" s="57"/>
      <c r="G116" s="43"/>
      <c r="H116" s="37"/>
      <c r="I116" s="38"/>
      <c r="J116" s="163" t="s">
        <v>17556</v>
      </c>
      <c r="K116" s="45" t="s">
        <v>398</v>
      </c>
      <c r="L116" s="46">
        <v>1</v>
      </c>
      <c r="M116" s="35" t="s">
        <v>17564</v>
      </c>
      <c r="P116" s="57"/>
      <c r="Q116" s="35"/>
      <c r="T116" s="57"/>
      <c r="U116" s="208">
        <f>ROUND((ROUND((ROUND((_15_同援日２．５*_15・２人),0)*(1+_15・盲ろう)),0)*(1+_15・区３)),0)</f>
        <v>845</v>
      </c>
      <c r="V116" s="48"/>
    </row>
    <row r="117" spans="1:22" ht="16.5" customHeight="1" x14ac:dyDescent="0.15">
      <c r="A117" s="41">
        <v>15</v>
      </c>
      <c r="B117" s="41">
        <v>7797</v>
      </c>
      <c r="C117" s="74" t="s">
        <v>17684</v>
      </c>
      <c r="D117" s="72"/>
      <c r="F117" s="57"/>
      <c r="G117" s="53" t="s">
        <v>17558</v>
      </c>
      <c r="H117" s="49"/>
      <c r="I117" s="50"/>
      <c r="J117" s="163"/>
      <c r="K117" s="45"/>
      <c r="L117" s="46"/>
      <c r="M117" s="35"/>
      <c r="N117" s="12" t="s">
        <v>398</v>
      </c>
      <c r="O117" s="13">
        <v>0.25</v>
      </c>
      <c r="P117" s="57" t="s">
        <v>3575</v>
      </c>
      <c r="Q117" s="35"/>
      <c r="T117" s="57"/>
      <c r="U117" s="208">
        <f>ROUND((ROUND((ROUND((_15_同援日２．５*_15・基礎２),0)*(1+_15・盲ろう)),0)*(1+_15・区３)),0)</f>
        <v>761</v>
      </c>
      <c r="V117" s="48"/>
    </row>
    <row r="118" spans="1:22" ht="16.5" customHeight="1" x14ac:dyDescent="0.15">
      <c r="A118" s="41">
        <v>15</v>
      </c>
      <c r="B118" s="41">
        <v>7798</v>
      </c>
      <c r="C118" s="74" t="s">
        <v>17685</v>
      </c>
      <c r="D118" s="72"/>
      <c r="F118" s="57"/>
      <c r="G118" s="43" t="s">
        <v>17560</v>
      </c>
      <c r="H118" s="37" t="s">
        <v>398</v>
      </c>
      <c r="I118" s="38">
        <v>0.9</v>
      </c>
      <c r="J118" s="163" t="s">
        <v>17556</v>
      </c>
      <c r="K118" s="45" t="s">
        <v>398</v>
      </c>
      <c r="L118" s="46">
        <v>1</v>
      </c>
      <c r="M118" s="43"/>
      <c r="N118" s="37"/>
      <c r="O118" s="38"/>
      <c r="P118" s="79"/>
      <c r="Q118" s="43"/>
      <c r="R118" s="37"/>
      <c r="S118" s="38"/>
      <c r="T118" s="79"/>
      <c r="U118" s="208">
        <f>ROUND((ROUND((ROUND((ROUND((_15_同援日２．５*_15・基礎２),0)*_15・２人),0)*(1+_15・盲ろう)),0)*(1+_15・区３)),0)</f>
        <v>761</v>
      </c>
      <c r="V118" s="48"/>
    </row>
    <row r="119" spans="1:22" ht="16.5" customHeight="1" x14ac:dyDescent="0.15">
      <c r="A119" s="41">
        <v>15</v>
      </c>
      <c r="B119" s="41">
        <v>7799</v>
      </c>
      <c r="C119" s="74" t="s">
        <v>17686</v>
      </c>
      <c r="D119" s="72"/>
      <c r="F119" s="57"/>
      <c r="G119" s="53"/>
      <c r="H119" s="49"/>
      <c r="I119" s="50"/>
      <c r="J119" s="163"/>
      <c r="K119" s="45"/>
      <c r="L119" s="46"/>
      <c r="M119" s="53"/>
      <c r="N119" s="49"/>
      <c r="O119" s="50"/>
      <c r="P119" s="115"/>
      <c r="Q119" s="53"/>
      <c r="R119" s="49"/>
      <c r="S119" s="50"/>
      <c r="T119" s="115"/>
      <c r="U119" s="208">
        <f>ROUND((_15_同援日２．５*(1+_15・区４)),0)</f>
        <v>788</v>
      </c>
      <c r="V119" s="48"/>
    </row>
    <row r="120" spans="1:22" ht="16.5" customHeight="1" x14ac:dyDescent="0.15">
      <c r="A120" s="41">
        <v>15</v>
      </c>
      <c r="B120" s="41">
        <v>7800</v>
      </c>
      <c r="C120" s="74" t="s">
        <v>17687</v>
      </c>
      <c r="D120" s="72"/>
      <c r="F120" s="57"/>
      <c r="G120" s="43"/>
      <c r="H120" s="37"/>
      <c r="I120" s="38"/>
      <c r="J120" s="163" t="s">
        <v>17556</v>
      </c>
      <c r="K120" s="45" t="s">
        <v>398</v>
      </c>
      <c r="L120" s="46">
        <v>1</v>
      </c>
      <c r="M120" s="35"/>
      <c r="P120" s="57"/>
      <c r="Q120" s="35"/>
      <c r="T120" s="57"/>
      <c r="U120" s="208">
        <f>ROUND((ROUND((_15_同援日２．５*_15・２人),0)*(1+_15・区４)),0)</f>
        <v>788</v>
      </c>
      <c r="V120" s="48"/>
    </row>
    <row r="121" spans="1:22" ht="16.5" customHeight="1" x14ac:dyDescent="0.15">
      <c r="A121" s="41">
        <v>15</v>
      </c>
      <c r="B121" s="41">
        <v>7801</v>
      </c>
      <c r="C121" s="74" t="s">
        <v>17688</v>
      </c>
      <c r="D121" s="72"/>
      <c r="F121" s="57"/>
      <c r="G121" s="53" t="s">
        <v>17558</v>
      </c>
      <c r="H121" s="49"/>
      <c r="I121" s="50"/>
      <c r="J121" s="163"/>
      <c r="K121" s="45"/>
      <c r="L121" s="46"/>
      <c r="M121" s="35"/>
      <c r="P121" s="57"/>
      <c r="Q121" s="35" t="s">
        <v>17580</v>
      </c>
      <c r="T121" s="57"/>
      <c r="U121" s="208">
        <f>ROUND((ROUND((_15_同援日２．５*_15・基礎２),0)*(1+_15・区４)),0)</f>
        <v>710</v>
      </c>
      <c r="V121" s="48"/>
    </row>
    <row r="122" spans="1:22" ht="16.5" customHeight="1" x14ac:dyDescent="0.15">
      <c r="A122" s="41">
        <v>15</v>
      </c>
      <c r="B122" s="41">
        <v>7802</v>
      </c>
      <c r="C122" s="74" t="s">
        <v>17689</v>
      </c>
      <c r="D122" s="72"/>
      <c r="F122" s="57"/>
      <c r="G122" s="43" t="s">
        <v>17560</v>
      </c>
      <c r="H122" s="37" t="s">
        <v>398</v>
      </c>
      <c r="I122" s="38">
        <v>0.9</v>
      </c>
      <c r="J122" s="163" t="s">
        <v>17556</v>
      </c>
      <c r="K122" s="45" t="s">
        <v>398</v>
      </c>
      <c r="L122" s="46">
        <v>1</v>
      </c>
      <c r="M122" s="43"/>
      <c r="N122" s="37"/>
      <c r="O122" s="38"/>
      <c r="P122" s="79"/>
      <c r="Q122" s="35" t="s">
        <v>17572</v>
      </c>
      <c r="T122" s="57"/>
      <c r="U122" s="208">
        <f>ROUND((ROUND((ROUND((_15_同援日２．５*_15・基礎２),0)*_15・２人),0)*(1+_15・区４)),0)</f>
        <v>710</v>
      </c>
      <c r="V122" s="48"/>
    </row>
    <row r="123" spans="1:22" ht="16.5" customHeight="1" x14ac:dyDescent="0.15">
      <c r="A123" s="41">
        <v>15</v>
      </c>
      <c r="B123" s="41">
        <v>7803</v>
      </c>
      <c r="C123" s="74" t="s">
        <v>17690</v>
      </c>
      <c r="D123" s="72"/>
      <c r="F123" s="57"/>
      <c r="G123" s="53"/>
      <c r="H123" s="49"/>
      <c r="I123" s="50"/>
      <c r="J123" s="163"/>
      <c r="K123" s="45"/>
      <c r="L123" s="46"/>
      <c r="M123" s="53" t="s">
        <v>17562</v>
      </c>
      <c r="N123" s="49"/>
      <c r="O123" s="50"/>
      <c r="P123" s="115"/>
      <c r="Q123" s="35"/>
      <c r="R123" s="12" t="s">
        <v>398</v>
      </c>
      <c r="S123" s="13">
        <v>0.4</v>
      </c>
      <c r="T123" s="57" t="s">
        <v>3575</v>
      </c>
      <c r="U123" s="208">
        <f>ROUND((ROUND((_15_同援日２．５*(1+_15・盲ろう)),0)*(1+_15・区４)),0)</f>
        <v>986</v>
      </c>
      <c r="V123" s="48"/>
    </row>
    <row r="124" spans="1:22" ht="16.5" customHeight="1" x14ac:dyDescent="0.15">
      <c r="A124" s="41">
        <v>15</v>
      </c>
      <c r="B124" s="41">
        <v>7804</v>
      </c>
      <c r="C124" s="74" t="s">
        <v>17691</v>
      </c>
      <c r="D124" s="72"/>
      <c r="F124" s="57"/>
      <c r="G124" s="43"/>
      <c r="H124" s="37"/>
      <c r="I124" s="38"/>
      <c r="J124" s="163" t="s">
        <v>17556</v>
      </c>
      <c r="K124" s="45" t="s">
        <v>398</v>
      </c>
      <c r="L124" s="46">
        <v>1</v>
      </c>
      <c r="M124" s="35" t="s">
        <v>17564</v>
      </c>
      <c r="P124" s="57"/>
      <c r="Q124" s="35"/>
      <c r="T124" s="57"/>
      <c r="U124" s="208">
        <f>ROUND((ROUND((ROUND((_15_同援日２．５*_15・２人),0)*(1+_15・盲ろう)),0)*(1+_15・区４)),0)</f>
        <v>986</v>
      </c>
      <c r="V124" s="48"/>
    </row>
    <row r="125" spans="1:22" ht="16.5" customHeight="1" x14ac:dyDescent="0.15">
      <c r="A125" s="41">
        <v>15</v>
      </c>
      <c r="B125" s="41">
        <v>7805</v>
      </c>
      <c r="C125" s="74" t="s">
        <v>17692</v>
      </c>
      <c r="D125" s="72"/>
      <c r="F125" s="57"/>
      <c r="G125" s="53" t="s">
        <v>17558</v>
      </c>
      <c r="H125" s="49"/>
      <c r="I125" s="50"/>
      <c r="J125" s="163"/>
      <c r="K125" s="45"/>
      <c r="L125" s="46"/>
      <c r="M125" s="35"/>
      <c r="N125" s="12" t="s">
        <v>398</v>
      </c>
      <c r="O125" s="13">
        <v>0.25</v>
      </c>
      <c r="P125" s="57" t="s">
        <v>3575</v>
      </c>
      <c r="Q125" s="35"/>
      <c r="T125" s="57"/>
      <c r="U125" s="208">
        <f>ROUND((ROUND((ROUND((_15_同援日２．５*_15・基礎２),0)*(1+_15・盲ろう)),0)*(1+_15・区４)),0)</f>
        <v>888</v>
      </c>
      <c r="V125" s="48"/>
    </row>
    <row r="126" spans="1:22" ht="16.5" customHeight="1" x14ac:dyDescent="0.15">
      <c r="A126" s="41">
        <v>15</v>
      </c>
      <c r="B126" s="41">
        <v>7806</v>
      </c>
      <c r="C126" s="74" t="s">
        <v>17693</v>
      </c>
      <c r="D126" s="122"/>
      <c r="E126" s="37"/>
      <c r="F126" s="79"/>
      <c r="G126" s="43" t="s">
        <v>17560</v>
      </c>
      <c r="H126" s="37" t="s">
        <v>398</v>
      </c>
      <c r="I126" s="38">
        <v>0.9</v>
      </c>
      <c r="J126" s="163" t="s">
        <v>17556</v>
      </c>
      <c r="K126" s="45" t="s">
        <v>398</v>
      </c>
      <c r="L126" s="46">
        <v>1</v>
      </c>
      <c r="M126" s="43"/>
      <c r="N126" s="37"/>
      <c r="O126" s="38"/>
      <c r="P126" s="79"/>
      <c r="Q126" s="43"/>
      <c r="R126" s="37"/>
      <c r="S126" s="38"/>
      <c r="T126" s="79"/>
      <c r="U126" s="208">
        <f>ROUND((ROUND((ROUND((ROUND((_15_同援日２．５*_15・基礎２),0)*_15・２人),0)*(1+_15・盲ろう)),0)*(1+_15・区４)),0)</f>
        <v>888</v>
      </c>
      <c r="V126" s="48"/>
    </row>
    <row r="127" spans="1:22" ht="16.5" customHeight="1" x14ac:dyDescent="0.15">
      <c r="A127" s="41">
        <v>15</v>
      </c>
      <c r="B127" s="41">
        <v>7807</v>
      </c>
      <c r="C127" s="74" t="s">
        <v>17694</v>
      </c>
      <c r="D127" s="114" t="s">
        <v>17695</v>
      </c>
      <c r="E127" s="49"/>
      <c r="F127" s="115"/>
      <c r="G127" s="53"/>
      <c r="H127" s="49"/>
      <c r="I127" s="50"/>
      <c r="J127" s="163"/>
      <c r="K127" s="45"/>
      <c r="L127" s="46"/>
      <c r="M127" s="53"/>
      <c r="N127" s="49"/>
      <c r="O127" s="50"/>
      <c r="P127" s="115"/>
      <c r="Q127" s="53"/>
      <c r="R127" s="49"/>
      <c r="S127" s="50"/>
      <c r="T127" s="115"/>
      <c r="U127" s="208">
        <f>_15_同援日３．０</f>
        <v>628</v>
      </c>
      <c r="V127" s="48"/>
    </row>
    <row r="128" spans="1:22" ht="16.5" customHeight="1" x14ac:dyDescent="0.15">
      <c r="A128" s="41">
        <v>15</v>
      </c>
      <c r="B128" s="41">
        <v>7808</v>
      </c>
      <c r="C128" s="74" t="s">
        <v>17696</v>
      </c>
      <c r="D128" s="72" t="s">
        <v>17697</v>
      </c>
      <c r="F128" s="57"/>
      <c r="G128" s="43"/>
      <c r="H128" s="37"/>
      <c r="I128" s="38"/>
      <c r="J128" s="163" t="s">
        <v>17556</v>
      </c>
      <c r="K128" s="45" t="s">
        <v>398</v>
      </c>
      <c r="L128" s="46">
        <v>1</v>
      </c>
      <c r="M128" s="35"/>
      <c r="P128" s="57"/>
      <c r="Q128" s="35"/>
      <c r="T128" s="57"/>
      <c r="U128" s="208">
        <f>ROUND((_15_同援日３．０*_15・２人),0)</f>
        <v>628</v>
      </c>
      <c r="V128" s="48"/>
    </row>
    <row r="129" spans="1:22" ht="16.5" customHeight="1" x14ac:dyDescent="0.15">
      <c r="A129" s="41">
        <v>15</v>
      </c>
      <c r="B129" s="41">
        <v>7809</v>
      </c>
      <c r="C129" s="74" t="s">
        <v>17698</v>
      </c>
      <c r="D129" s="72" t="s">
        <v>17699</v>
      </c>
      <c r="F129" s="57"/>
      <c r="G129" s="53" t="s">
        <v>17558</v>
      </c>
      <c r="H129" s="49"/>
      <c r="I129" s="50"/>
      <c r="J129" s="163"/>
      <c r="K129" s="45"/>
      <c r="L129" s="46"/>
      <c r="M129" s="35"/>
      <c r="P129" s="57"/>
      <c r="Q129" s="35"/>
      <c r="T129" s="57"/>
      <c r="U129" s="208">
        <f>ROUND((_15_同援日３．０*_15・基礎２),0)</f>
        <v>565</v>
      </c>
      <c r="V129" s="48"/>
    </row>
    <row r="130" spans="1:22" ht="16.5" customHeight="1" x14ac:dyDescent="0.15">
      <c r="A130" s="41">
        <v>15</v>
      </c>
      <c r="B130" s="41">
        <v>7810</v>
      </c>
      <c r="C130" s="74" t="s">
        <v>17700</v>
      </c>
      <c r="D130" s="72"/>
      <c r="E130" s="168">
        <f>_15_同援日３．０</f>
        <v>628</v>
      </c>
      <c r="F130" s="57" t="s">
        <v>392</v>
      </c>
      <c r="G130" s="43" t="s">
        <v>17560</v>
      </c>
      <c r="H130" s="37" t="s">
        <v>398</v>
      </c>
      <c r="I130" s="38">
        <v>0.9</v>
      </c>
      <c r="J130" s="163" t="s">
        <v>17556</v>
      </c>
      <c r="K130" s="45" t="s">
        <v>398</v>
      </c>
      <c r="L130" s="46">
        <v>1</v>
      </c>
      <c r="M130" s="43"/>
      <c r="N130" s="37"/>
      <c r="O130" s="38"/>
      <c r="P130" s="79"/>
      <c r="Q130" s="35"/>
      <c r="T130" s="57"/>
      <c r="U130" s="208">
        <f>ROUND((ROUND((_15_同援日３．０*_15・基礎２),0)*_15・２人),0)</f>
        <v>565</v>
      </c>
      <c r="V130" s="48"/>
    </row>
    <row r="131" spans="1:22" ht="16.5" customHeight="1" x14ac:dyDescent="0.15">
      <c r="A131" s="41">
        <v>15</v>
      </c>
      <c r="B131" s="41">
        <v>7811</v>
      </c>
      <c r="C131" s="74" t="s">
        <v>17701</v>
      </c>
      <c r="D131" s="72"/>
      <c r="F131" s="57"/>
      <c r="G131" s="53"/>
      <c r="H131" s="49"/>
      <c r="I131" s="50"/>
      <c r="J131" s="163"/>
      <c r="K131" s="45"/>
      <c r="L131" s="46"/>
      <c r="M131" s="53" t="s">
        <v>17562</v>
      </c>
      <c r="N131" s="49"/>
      <c r="O131" s="50"/>
      <c r="P131" s="115"/>
      <c r="Q131" s="35"/>
      <c r="T131" s="57"/>
      <c r="U131" s="208">
        <f>ROUND((_15_同援日３．０*(1+_15・盲ろう)),0)</f>
        <v>785</v>
      </c>
      <c r="V131" s="48"/>
    </row>
    <row r="132" spans="1:22" ht="16.5" customHeight="1" x14ac:dyDescent="0.15">
      <c r="A132" s="41">
        <v>15</v>
      </c>
      <c r="B132" s="41">
        <v>7812</v>
      </c>
      <c r="C132" s="74" t="s">
        <v>17702</v>
      </c>
      <c r="D132" s="72"/>
      <c r="F132" s="57"/>
      <c r="G132" s="43"/>
      <c r="H132" s="37"/>
      <c r="I132" s="38"/>
      <c r="J132" s="163" t="s">
        <v>17556</v>
      </c>
      <c r="K132" s="45" t="s">
        <v>398</v>
      </c>
      <c r="L132" s="46">
        <v>1</v>
      </c>
      <c r="M132" s="35" t="s">
        <v>17564</v>
      </c>
      <c r="P132" s="57"/>
      <c r="Q132" s="35"/>
      <c r="T132" s="57"/>
      <c r="U132" s="208">
        <f>ROUND((ROUND((_15_同援日３．０*_15・２人),0)*(1+_15・盲ろう)),0)</f>
        <v>785</v>
      </c>
      <c r="V132" s="48"/>
    </row>
    <row r="133" spans="1:22" ht="16.5" customHeight="1" x14ac:dyDescent="0.15">
      <c r="A133" s="41">
        <v>15</v>
      </c>
      <c r="B133" s="41">
        <v>7813</v>
      </c>
      <c r="C133" s="74" t="s">
        <v>17703</v>
      </c>
      <c r="D133" s="72"/>
      <c r="F133" s="57"/>
      <c r="G133" s="53" t="s">
        <v>17558</v>
      </c>
      <c r="H133" s="49"/>
      <c r="I133" s="50"/>
      <c r="J133" s="163"/>
      <c r="K133" s="45"/>
      <c r="L133" s="46"/>
      <c r="M133" s="35"/>
      <c r="N133" s="12" t="s">
        <v>398</v>
      </c>
      <c r="O133" s="13">
        <v>0.25</v>
      </c>
      <c r="P133" s="57" t="s">
        <v>3575</v>
      </c>
      <c r="Q133" s="35"/>
      <c r="T133" s="57"/>
      <c r="U133" s="208">
        <f>ROUND((ROUND((_15_同援日３．０*_15・基礎２),0)*(1+_15・盲ろう)),0)</f>
        <v>706</v>
      </c>
      <c r="V133" s="48"/>
    </row>
    <row r="134" spans="1:22" ht="16.5" customHeight="1" x14ac:dyDescent="0.15">
      <c r="A134" s="41">
        <v>15</v>
      </c>
      <c r="B134" s="41">
        <v>7814</v>
      </c>
      <c r="C134" s="74" t="s">
        <v>17704</v>
      </c>
      <c r="D134" s="72"/>
      <c r="F134" s="57"/>
      <c r="G134" s="43" t="s">
        <v>17560</v>
      </c>
      <c r="H134" s="37" t="s">
        <v>398</v>
      </c>
      <c r="I134" s="38">
        <v>0.9</v>
      </c>
      <c r="J134" s="163" t="s">
        <v>17556</v>
      </c>
      <c r="K134" s="45" t="s">
        <v>398</v>
      </c>
      <c r="L134" s="46">
        <v>1</v>
      </c>
      <c r="M134" s="43"/>
      <c r="N134" s="37"/>
      <c r="O134" s="38"/>
      <c r="P134" s="79"/>
      <c r="Q134" s="43"/>
      <c r="R134" s="37"/>
      <c r="S134" s="38"/>
      <c r="T134" s="79"/>
      <c r="U134" s="208">
        <f>ROUND((ROUND((ROUND((_15_同援日３．０*_15・基礎２),0)*_15・２人),0)*(1+_15・盲ろう)),0)</f>
        <v>706</v>
      </c>
      <c r="V134" s="48"/>
    </row>
    <row r="135" spans="1:22" ht="16.5" customHeight="1" x14ac:dyDescent="0.15">
      <c r="A135" s="41">
        <v>15</v>
      </c>
      <c r="B135" s="41">
        <v>7815</v>
      </c>
      <c r="C135" s="74" t="s">
        <v>17705</v>
      </c>
      <c r="D135" s="72"/>
      <c r="F135" s="57"/>
      <c r="G135" s="53"/>
      <c r="H135" s="49"/>
      <c r="I135" s="50"/>
      <c r="J135" s="163"/>
      <c r="K135" s="45"/>
      <c r="L135" s="46"/>
      <c r="M135" s="53"/>
      <c r="N135" s="49"/>
      <c r="O135" s="50"/>
      <c r="P135" s="115"/>
      <c r="Q135" s="53"/>
      <c r="R135" s="49"/>
      <c r="S135" s="50"/>
      <c r="T135" s="115"/>
      <c r="U135" s="208">
        <f>ROUND((_15_同援日３．０*(1+_15・区３)),0)</f>
        <v>754</v>
      </c>
      <c r="V135" s="48"/>
    </row>
    <row r="136" spans="1:22" ht="16.5" customHeight="1" x14ac:dyDescent="0.15">
      <c r="A136" s="41">
        <v>15</v>
      </c>
      <c r="B136" s="41">
        <v>7816</v>
      </c>
      <c r="C136" s="74" t="s">
        <v>17706</v>
      </c>
      <c r="D136" s="72"/>
      <c r="F136" s="57"/>
      <c r="G136" s="43"/>
      <c r="H136" s="37"/>
      <c r="I136" s="38"/>
      <c r="J136" s="163" t="s">
        <v>17556</v>
      </c>
      <c r="K136" s="45" t="s">
        <v>398</v>
      </c>
      <c r="L136" s="46">
        <v>1</v>
      </c>
      <c r="M136" s="35"/>
      <c r="P136" s="57"/>
      <c r="Q136" s="35"/>
      <c r="T136" s="57"/>
      <c r="U136" s="208">
        <f>ROUND((ROUND((_15_同援日３．０*_15・２人),0)*(1+_15・区３)),0)</f>
        <v>754</v>
      </c>
      <c r="V136" s="48"/>
    </row>
    <row r="137" spans="1:22" ht="16.5" customHeight="1" x14ac:dyDescent="0.15">
      <c r="A137" s="41">
        <v>15</v>
      </c>
      <c r="B137" s="41">
        <v>7817</v>
      </c>
      <c r="C137" s="74" t="s">
        <v>17707</v>
      </c>
      <c r="D137" s="72"/>
      <c r="F137" s="57"/>
      <c r="G137" s="53" t="s">
        <v>17558</v>
      </c>
      <c r="H137" s="49"/>
      <c r="I137" s="50"/>
      <c r="J137" s="163"/>
      <c r="K137" s="45"/>
      <c r="L137" s="46"/>
      <c r="M137" s="35"/>
      <c r="P137" s="57"/>
      <c r="Q137" s="35" t="s">
        <v>17570</v>
      </c>
      <c r="T137" s="57"/>
      <c r="U137" s="208">
        <f>ROUND((ROUND((_15_同援日３．０*_15・基礎２),0)*(1+_15・区３)),0)</f>
        <v>678</v>
      </c>
      <c r="V137" s="48"/>
    </row>
    <row r="138" spans="1:22" ht="16.5" customHeight="1" x14ac:dyDescent="0.15">
      <c r="A138" s="41">
        <v>15</v>
      </c>
      <c r="B138" s="41">
        <v>7818</v>
      </c>
      <c r="C138" s="74" t="s">
        <v>17708</v>
      </c>
      <c r="D138" s="72"/>
      <c r="F138" s="57"/>
      <c r="G138" s="43" t="s">
        <v>17560</v>
      </c>
      <c r="H138" s="37" t="s">
        <v>398</v>
      </c>
      <c r="I138" s="38">
        <v>0.9</v>
      </c>
      <c r="J138" s="163" t="s">
        <v>17556</v>
      </c>
      <c r="K138" s="45" t="s">
        <v>398</v>
      </c>
      <c r="L138" s="46">
        <v>1</v>
      </c>
      <c r="M138" s="43"/>
      <c r="N138" s="37"/>
      <c r="O138" s="38"/>
      <c r="P138" s="79"/>
      <c r="Q138" s="35" t="s">
        <v>17572</v>
      </c>
      <c r="T138" s="57"/>
      <c r="U138" s="208">
        <f>ROUND((ROUND((ROUND((_15_同援日３．０*_15・基礎２),0)*_15・２人),0)*(1+_15・区３)),0)</f>
        <v>678</v>
      </c>
      <c r="V138" s="48"/>
    </row>
    <row r="139" spans="1:22" ht="16.5" customHeight="1" x14ac:dyDescent="0.15">
      <c r="A139" s="41">
        <v>15</v>
      </c>
      <c r="B139" s="41">
        <v>7819</v>
      </c>
      <c r="C139" s="74" t="s">
        <v>17709</v>
      </c>
      <c r="D139" s="72"/>
      <c r="F139" s="57"/>
      <c r="G139" s="53"/>
      <c r="H139" s="49"/>
      <c r="I139" s="50"/>
      <c r="J139" s="163"/>
      <c r="K139" s="45"/>
      <c r="L139" s="46"/>
      <c r="M139" s="53" t="s">
        <v>17562</v>
      </c>
      <c r="N139" s="49"/>
      <c r="O139" s="50"/>
      <c r="P139" s="115"/>
      <c r="Q139" s="35"/>
      <c r="R139" s="12" t="s">
        <v>398</v>
      </c>
      <c r="S139" s="13">
        <v>0.2</v>
      </c>
      <c r="T139" s="57" t="s">
        <v>3575</v>
      </c>
      <c r="U139" s="208">
        <f>ROUND((ROUND((_15_同援日３．０*(1+_15・盲ろう)),0)*(1+_15・区３)),0)</f>
        <v>942</v>
      </c>
      <c r="V139" s="48"/>
    </row>
    <row r="140" spans="1:22" ht="16.5" customHeight="1" x14ac:dyDescent="0.15">
      <c r="A140" s="41">
        <v>15</v>
      </c>
      <c r="B140" s="41">
        <v>7820</v>
      </c>
      <c r="C140" s="74" t="s">
        <v>17710</v>
      </c>
      <c r="D140" s="72"/>
      <c r="F140" s="57"/>
      <c r="G140" s="43"/>
      <c r="H140" s="37"/>
      <c r="I140" s="38"/>
      <c r="J140" s="163" t="s">
        <v>17556</v>
      </c>
      <c r="K140" s="45" t="s">
        <v>398</v>
      </c>
      <c r="L140" s="46">
        <v>1</v>
      </c>
      <c r="M140" s="35" t="s">
        <v>17564</v>
      </c>
      <c r="P140" s="57"/>
      <c r="Q140" s="35"/>
      <c r="T140" s="57"/>
      <c r="U140" s="208">
        <f>ROUND((ROUND((ROUND((_15_同援日３．０*_15・２人),0)*(1+_15・盲ろう)),0)*(1+_15・区３)),0)</f>
        <v>942</v>
      </c>
      <c r="V140" s="48"/>
    </row>
    <row r="141" spans="1:22" ht="16.5" customHeight="1" x14ac:dyDescent="0.15">
      <c r="A141" s="41">
        <v>15</v>
      </c>
      <c r="B141" s="41">
        <v>7821</v>
      </c>
      <c r="C141" s="74" t="s">
        <v>17711</v>
      </c>
      <c r="D141" s="72"/>
      <c r="F141" s="57"/>
      <c r="G141" s="53" t="s">
        <v>17558</v>
      </c>
      <c r="H141" s="49"/>
      <c r="I141" s="50"/>
      <c r="J141" s="163"/>
      <c r="K141" s="45"/>
      <c r="L141" s="46"/>
      <c r="M141" s="35"/>
      <c r="N141" s="12" t="s">
        <v>398</v>
      </c>
      <c r="O141" s="13">
        <v>0.25</v>
      </c>
      <c r="P141" s="57" t="s">
        <v>3575</v>
      </c>
      <c r="Q141" s="35"/>
      <c r="T141" s="57"/>
      <c r="U141" s="208">
        <f>ROUND((ROUND((ROUND((_15_同援日３．０*_15・基礎２),0)*(1+_15・盲ろう)),0)*(1+_15・区３)),0)</f>
        <v>847</v>
      </c>
      <c r="V141" s="48"/>
    </row>
    <row r="142" spans="1:22" ht="16.5" customHeight="1" x14ac:dyDescent="0.15">
      <c r="A142" s="41">
        <v>15</v>
      </c>
      <c r="B142" s="41">
        <v>7822</v>
      </c>
      <c r="C142" s="74" t="s">
        <v>17712</v>
      </c>
      <c r="D142" s="72"/>
      <c r="F142" s="57"/>
      <c r="G142" s="43" t="s">
        <v>17560</v>
      </c>
      <c r="H142" s="37" t="s">
        <v>398</v>
      </c>
      <c r="I142" s="38">
        <v>0.9</v>
      </c>
      <c r="J142" s="163" t="s">
        <v>17556</v>
      </c>
      <c r="K142" s="45" t="s">
        <v>398</v>
      </c>
      <c r="L142" s="46">
        <v>1</v>
      </c>
      <c r="M142" s="43"/>
      <c r="N142" s="37"/>
      <c r="O142" s="38"/>
      <c r="P142" s="79"/>
      <c r="Q142" s="43"/>
      <c r="R142" s="37"/>
      <c r="S142" s="38"/>
      <c r="T142" s="79"/>
      <c r="U142" s="208">
        <f>ROUND((ROUND((ROUND((ROUND((_15_同援日３．０*_15・基礎２),0)*_15・２人),0)*(1+_15・盲ろう)),0)*(1+_15・区３)),0)</f>
        <v>847</v>
      </c>
      <c r="V142" s="48"/>
    </row>
    <row r="143" spans="1:22" ht="16.5" customHeight="1" x14ac:dyDescent="0.15">
      <c r="A143" s="41">
        <v>15</v>
      </c>
      <c r="B143" s="41">
        <v>7823</v>
      </c>
      <c r="C143" s="74" t="s">
        <v>17713</v>
      </c>
      <c r="D143" s="72"/>
      <c r="F143" s="57"/>
      <c r="G143" s="53"/>
      <c r="H143" s="49"/>
      <c r="I143" s="50"/>
      <c r="J143" s="163"/>
      <c r="K143" s="45"/>
      <c r="L143" s="46"/>
      <c r="M143" s="53"/>
      <c r="N143" s="49"/>
      <c r="O143" s="50"/>
      <c r="P143" s="115"/>
      <c r="Q143" s="53"/>
      <c r="R143" s="49"/>
      <c r="S143" s="50"/>
      <c r="T143" s="115"/>
      <c r="U143" s="208">
        <f>ROUND((_15_同援日３．０*(1+_15・区４)),0)</f>
        <v>879</v>
      </c>
      <c r="V143" s="48"/>
    </row>
    <row r="144" spans="1:22" ht="16.5" customHeight="1" x14ac:dyDescent="0.15">
      <c r="A144" s="41">
        <v>15</v>
      </c>
      <c r="B144" s="41">
        <v>7824</v>
      </c>
      <c r="C144" s="74" t="s">
        <v>17714</v>
      </c>
      <c r="D144" s="72"/>
      <c r="F144" s="57"/>
      <c r="G144" s="43"/>
      <c r="H144" s="37"/>
      <c r="I144" s="38"/>
      <c r="J144" s="163" t="s">
        <v>17556</v>
      </c>
      <c r="K144" s="45" t="s">
        <v>398</v>
      </c>
      <c r="L144" s="46">
        <v>1</v>
      </c>
      <c r="M144" s="35"/>
      <c r="P144" s="57"/>
      <c r="Q144" s="35"/>
      <c r="T144" s="57"/>
      <c r="U144" s="208">
        <f>ROUND((ROUND((_15_同援日３．０*_15・２人),0)*(1+_15・区４)),0)</f>
        <v>879</v>
      </c>
      <c r="V144" s="48"/>
    </row>
    <row r="145" spans="1:22" ht="16.5" customHeight="1" x14ac:dyDescent="0.15">
      <c r="A145" s="41">
        <v>15</v>
      </c>
      <c r="B145" s="41">
        <v>7825</v>
      </c>
      <c r="C145" s="74" t="s">
        <v>17715</v>
      </c>
      <c r="D145" s="72"/>
      <c r="F145" s="57"/>
      <c r="G145" s="53" t="s">
        <v>17558</v>
      </c>
      <c r="H145" s="49"/>
      <c r="I145" s="50"/>
      <c r="J145" s="163"/>
      <c r="K145" s="45"/>
      <c r="L145" s="46"/>
      <c r="M145" s="35"/>
      <c r="P145" s="57"/>
      <c r="Q145" s="35" t="s">
        <v>17580</v>
      </c>
      <c r="T145" s="57"/>
      <c r="U145" s="208">
        <f>ROUND((ROUND((_15_同援日３．０*_15・基礎２),0)*(1+_15・区４)),0)</f>
        <v>791</v>
      </c>
      <c r="V145" s="48"/>
    </row>
    <row r="146" spans="1:22" ht="16.5" customHeight="1" x14ac:dyDescent="0.15">
      <c r="A146" s="41">
        <v>15</v>
      </c>
      <c r="B146" s="41">
        <v>7826</v>
      </c>
      <c r="C146" s="74" t="s">
        <v>17716</v>
      </c>
      <c r="D146" s="72"/>
      <c r="F146" s="57"/>
      <c r="G146" s="43" t="s">
        <v>17560</v>
      </c>
      <c r="H146" s="37" t="s">
        <v>398</v>
      </c>
      <c r="I146" s="38">
        <v>0.9</v>
      </c>
      <c r="J146" s="163" t="s">
        <v>17556</v>
      </c>
      <c r="K146" s="45" t="s">
        <v>398</v>
      </c>
      <c r="L146" s="46">
        <v>1</v>
      </c>
      <c r="M146" s="43"/>
      <c r="N146" s="37"/>
      <c r="O146" s="38"/>
      <c r="P146" s="79"/>
      <c r="Q146" s="35" t="s">
        <v>17572</v>
      </c>
      <c r="T146" s="57"/>
      <c r="U146" s="208">
        <f>ROUND((ROUND((ROUND((_15_同援日３．０*_15・基礎２),0)*_15・２人),0)*(1+_15・区４)),0)</f>
        <v>791</v>
      </c>
      <c r="V146" s="48"/>
    </row>
    <row r="147" spans="1:22" ht="16.5" customHeight="1" x14ac:dyDescent="0.15">
      <c r="A147" s="41">
        <v>15</v>
      </c>
      <c r="B147" s="41">
        <v>7827</v>
      </c>
      <c r="C147" s="74" t="s">
        <v>17717</v>
      </c>
      <c r="D147" s="72"/>
      <c r="F147" s="57"/>
      <c r="G147" s="53"/>
      <c r="H147" s="49"/>
      <c r="I147" s="50"/>
      <c r="J147" s="163"/>
      <c r="K147" s="45"/>
      <c r="L147" s="46"/>
      <c r="M147" s="53" t="s">
        <v>17562</v>
      </c>
      <c r="N147" s="49"/>
      <c r="O147" s="50"/>
      <c r="P147" s="115"/>
      <c r="Q147" s="35"/>
      <c r="R147" s="12" t="s">
        <v>398</v>
      </c>
      <c r="S147" s="13">
        <v>0.4</v>
      </c>
      <c r="T147" s="57" t="s">
        <v>3575</v>
      </c>
      <c r="U147" s="208">
        <f>ROUND((ROUND((_15_同援日３．０*(1+_15・盲ろう)),0)*(1+_15・区４)),0)</f>
        <v>1099</v>
      </c>
      <c r="V147" s="48"/>
    </row>
    <row r="148" spans="1:22" ht="16.5" customHeight="1" x14ac:dyDescent="0.15">
      <c r="A148" s="41">
        <v>15</v>
      </c>
      <c r="B148" s="41">
        <v>7828</v>
      </c>
      <c r="C148" s="74" t="s">
        <v>17718</v>
      </c>
      <c r="D148" s="72"/>
      <c r="F148" s="57"/>
      <c r="G148" s="43"/>
      <c r="H148" s="37"/>
      <c r="I148" s="38"/>
      <c r="J148" s="163" t="s">
        <v>17556</v>
      </c>
      <c r="K148" s="45" t="s">
        <v>398</v>
      </c>
      <c r="L148" s="46">
        <v>1</v>
      </c>
      <c r="M148" s="35" t="s">
        <v>17564</v>
      </c>
      <c r="P148" s="57"/>
      <c r="Q148" s="35"/>
      <c r="T148" s="57"/>
      <c r="U148" s="208">
        <f>ROUND((ROUND((ROUND((_15_同援日３．０*_15・２人),0)*(1+_15・盲ろう)),0)*(1+_15・区４)),0)</f>
        <v>1099</v>
      </c>
      <c r="V148" s="48"/>
    </row>
    <row r="149" spans="1:22" ht="16.5" customHeight="1" x14ac:dyDescent="0.15">
      <c r="A149" s="41">
        <v>15</v>
      </c>
      <c r="B149" s="41">
        <v>7829</v>
      </c>
      <c r="C149" s="74" t="s">
        <v>17719</v>
      </c>
      <c r="D149" s="72"/>
      <c r="F149" s="57"/>
      <c r="G149" s="53" t="s">
        <v>17558</v>
      </c>
      <c r="H149" s="49"/>
      <c r="I149" s="50"/>
      <c r="J149" s="163"/>
      <c r="K149" s="45"/>
      <c r="L149" s="46"/>
      <c r="M149" s="35"/>
      <c r="N149" s="12" t="s">
        <v>398</v>
      </c>
      <c r="O149" s="13">
        <v>0.25</v>
      </c>
      <c r="P149" s="57" t="s">
        <v>3575</v>
      </c>
      <c r="Q149" s="35"/>
      <c r="T149" s="57"/>
      <c r="U149" s="208">
        <f>ROUND((ROUND((ROUND((_15_同援日３．０*_15・基礎２),0)*(1+_15・盲ろう)),0)*(1+_15・区４)),0)</f>
        <v>988</v>
      </c>
      <c r="V149" s="48"/>
    </row>
    <row r="150" spans="1:22" ht="16.5" customHeight="1" x14ac:dyDescent="0.15">
      <c r="A150" s="41">
        <v>15</v>
      </c>
      <c r="B150" s="41">
        <v>7830</v>
      </c>
      <c r="C150" s="74" t="s">
        <v>17720</v>
      </c>
      <c r="D150" s="122"/>
      <c r="E150" s="37"/>
      <c r="F150" s="79"/>
      <c r="G150" s="43" t="s">
        <v>17560</v>
      </c>
      <c r="H150" s="37" t="s">
        <v>398</v>
      </c>
      <c r="I150" s="38">
        <v>0.9</v>
      </c>
      <c r="J150" s="163" t="s">
        <v>17556</v>
      </c>
      <c r="K150" s="45" t="s">
        <v>398</v>
      </c>
      <c r="L150" s="46">
        <v>1</v>
      </c>
      <c r="M150" s="43"/>
      <c r="N150" s="37"/>
      <c r="O150" s="38"/>
      <c r="P150" s="79"/>
      <c r="Q150" s="43"/>
      <c r="R150" s="37"/>
      <c r="S150" s="38"/>
      <c r="T150" s="79"/>
      <c r="U150" s="208">
        <f>ROUND((ROUND((ROUND((ROUND((_15_同援日３．０*_15・基礎２),0)*_15・２人),0)*(1+_15・盲ろう)),0)*(1+_15・区４)),0)</f>
        <v>988</v>
      </c>
      <c r="V150" s="48"/>
    </row>
    <row r="151" spans="1:22" ht="16.5" customHeight="1" x14ac:dyDescent="0.15">
      <c r="A151" s="41">
        <v>15</v>
      </c>
      <c r="B151" s="41">
        <v>7831</v>
      </c>
      <c r="C151" s="74" t="s">
        <v>17721</v>
      </c>
      <c r="D151" s="114" t="s">
        <v>17722</v>
      </c>
      <c r="E151" s="49"/>
      <c r="F151" s="115"/>
      <c r="G151" s="53"/>
      <c r="H151" s="49"/>
      <c r="I151" s="50"/>
      <c r="J151" s="163"/>
      <c r="K151" s="45"/>
      <c r="L151" s="46"/>
      <c r="M151" s="53"/>
      <c r="N151" s="49"/>
      <c r="O151" s="50"/>
      <c r="P151" s="115"/>
      <c r="Q151" s="53"/>
      <c r="R151" s="49"/>
      <c r="S151" s="50"/>
      <c r="T151" s="115"/>
      <c r="U151" s="208">
        <f>_15_同援日３．５</f>
        <v>693</v>
      </c>
      <c r="V151" s="48"/>
    </row>
    <row r="152" spans="1:22" ht="16.5" customHeight="1" x14ac:dyDescent="0.15">
      <c r="A152" s="41">
        <v>15</v>
      </c>
      <c r="B152" s="41">
        <v>7832</v>
      </c>
      <c r="C152" s="74" t="s">
        <v>17723</v>
      </c>
      <c r="D152" s="72" t="s">
        <v>17724</v>
      </c>
      <c r="F152" s="57"/>
      <c r="G152" s="43"/>
      <c r="H152" s="37"/>
      <c r="I152" s="38"/>
      <c r="J152" s="163" t="s">
        <v>17556</v>
      </c>
      <c r="K152" s="45" t="s">
        <v>398</v>
      </c>
      <c r="L152" s="46">
        <v>1</v>
      </c>
      <c r="M152" s="35"/>
      <c r="P152" s="57"/>
      <c r="Q152" s="35"/>
      <c r="T152" s="57"/>
      <c r="U152" s="208">
        <f>ROUND((_15_同援日３．５*_15・２人),0)</f>
        <v>693</v>
      </c>
      <c r="V152" s="48"/>
    </row>
    <row r="153" spans="1:22" ht="16.5" customHeight="1" x14ac:dyDescent="0.15">
      <c r="A153" s="41">
        <v>15</v>
      </c>
      <c r="B153" s="41">
        <v>7833</v>
      </c>
      <c r="C153" s="74" t="s">
        <v>17725</v>
      </c>
      <c r="D153" s="72" t="s">
        <v>17726</v>
      </c>
      <c r="F153" s="57"/>
      <c r="G153" s="53" t="s">
        <v>17558</v>
      </c>
      <c r="H153" s="49"/>
      <c r="I153" s="50"/>
      <c r="J153" s="163"/>
      <c r="K153" s="45"/>
      <c r="L153" s="46"/>
      <c r="M153" s="35"/>
      <c r="P153" s="57"/>
      <c r="Q153" s="35"/>
      <c r="T153" s="57"/>
      <c r="U153" s="208">
        <f>ROUND((_15_同援日３．５*_15・基礎２),0)</f>
        <v>624</v>
      </c>
      <c r="V153" s="48"/>
    </row>
    <row r="154" spans="1:22" ht="16.5" customHeight="1" x14ac:dyDescent="0.15">
      <c r="A154" s="41">
        <v>15</v>
      </c>
      <c r="B154" s="41">
        <v>7834</v>
      </c>
      <c r="C154" s="74" t="s">
        <v>17727</v>
      </c>
      <c r="D154" s="72"/>
      <c r="E154" s="168">
        <f>_15_同援日３．５</f>
        <v>693</v>
      </c>
      <c r="F154" s="57" t="s">
        <v>392</v>
      </c>
      <c r="G154" s="43" t="s">
        <v>17560</v>
      </c>
      <c r="H154" s="37" t="s">
        <v>398</v>
      </c>
      <c r="I154" s="38">
        <v>0.9</v>
      </c>
      <c r="J154" s="163" t="s">
        <v>17556</v>
      </c>
      <c r="K154" s="45" t="s">
        <v>398</v>
      </c>
      <c r="L154" s="46">
        <v>1</v>
      </c>
      <c r="M154" s="43"/>
      <c r="N154" s="37"/>
      <c r="O154" s="38"/>
      <c r="P154" s="79"/>
      <c r="Q154" s="35"/>
      <c r="T154" s="57"/>
      <c r="U154" s="208">
        <f>ROUND((ROUND((_15_同援日３．５*_15・基礎２),0)*_15・２人),0)</f>
        <v>624</v>
      </c>
      <c r="V154" s="48"/>
    </row>
    <row r="155" spans="1:22" ht="16.5" customHeight="1" x14ac:dyDescent="0.15">
      <c r="A155" s="41">
        <v>15</v>
      </c>
      <c r="B155" s="41">
        <v>7835</v>
      </c>
      <c r="C155" s="74" t="s">
        <v>17728</v>
      </c>
      <c r="D155" s="72"/>
      <c r="F155" s="57"/>
      <c r="G155" s="53"/>
      <c r="H155" s="49"/>
      <c r="I155" s="50"/>
      <c r="J155" s="163"/>
      <c r="K155" s="45"/>
      <c r="L155" s="46"/>
      <c r="M155" s="53" t="s">
        <v>17562</v>
      </c>
      <c r="N155" s="49"/>
      <c r="O155" s="50"/>
      <c r="P155" s="115"/>
      <c r="Q155" s="35"/>
      <c r="T155" s="57"/>
      <c r="U155" s="208">
        <f>ROUND((_15_同援日３．５*(1+_15・盲ろう)),0)</f>
        <v>866</v>
      </c>
      <c r="V155" s="48"/>
    </row>
    <row r="156" spans="1:22" ht="16.5" customHeight="1" x14ac:dyDescent="0.15">
      <c r="A156" s="41">
        <v>15</v>
      </c>
      <c r="B156" s="41">
        <v>7836</v>
      </c>
      <c r="C156" s="74" t="s">
        <v>17729</v>
      </c>
      <c r="D156" s="72"/>
      <c r="F156" s="57"/>
      <c r="G156" s="43"/>
      <c r="H156" s="37"/>
      <c r="I156" s="38"/>
      <c r="J156" s="163" t="s">
        <v>17556</v>
      </c>
      <c r="K156" s="45" t="s">
        <v>398</v>
      </c>
      <c r="L156" s="46">
        <v>1</v>
      </c>
      <c r="M156" s="35" t="s">
        <v>17564</v>
      </c>
      <c r="P156" s="57"/>
      <c r="Q156" s="35"/>
      <c r="T156" s="57"/>
      <c r="U156" s="208">
        <f>ROUND((ROUND((_15_同援日３．５*_15・２人),0)*(1+_15・盲ろう)),0)</f>
        <v>866</v>
      </c>
      <c r="V156" s="48"/>
    </row>
    <row r="157" spans="1:22" ht="16.5" customHeight="1" x14ac:dyDescent="0.15">
      <c r="A157" s="41">
        <v>15</v>
      </c>
      <c r="B157" s="41">
        <v>7837</v>
      </c>
      <c r="C157" s="74" t="s">
        <v>17730</v>
      </c>
      <c r="D157" s="72"/>
      <c r="F157" s="57"/>
      <c r="G157" s="53" t="s">
        <v>17558</v>
      </c>
      <c r="H157" s="49"/>
      <c r="I157" s="50"/>
      <c r="J157" s="163"/>
      <c r="K157" s="45"/>
      <c r="L157" s="46"/>
      <c r="M157" s="35"/>
      <c r="N157" s="12" t="s">
        <v>398</v>
      </c>
      <c r="O157" s="13">
        <v>0.25</v>
      </c>
      <c r="P157" s="57" t="s">
        <v>3575</v>
      </c>
      <c r="Q157" s="35"/>
      <c r="T157" s="57"/>
      <c r="U157" s="208">
        <f>ROUND((ROUND((_15_同援日３．５*_15・基礎２),0)*(1+_15・盲ろう)),0)</f>
        <v>780</v>
      </c>
      <c r="V157" s="48"/>
    </row>
    <row r="158" spans="1:22" ht="16.5" customHeight="1" x14ac:dyDescent="0.15">
      <c r="A158" s="41">
        <v>15</v>
      </c>
      <c r="B158" s="41">
        <v>7838</v>
      </c>
      <c r="C158" s="74" t="s">
        <v>17731</v>
      </c>
      <c r="D158" s="72"/>
      <c r="F158" s="57"/>
      <c r="G158" s="43" t="s">
        <v>17560</v>
      </c>
      <c r="H158" s="37" t="s">
        <v>398</v>
      </c>
      <c r="I158" s="38">
        <v>0.9</v>
      </c>
      <c r="J158" s="163" t="s">
        <v>17556</v>
      </c>
      <c r="K158" s="45" t="s">
        <v>398</v>
      </c>
      <c r="L158" s="46">
        <v>1</v>
      </c>
      <c r="M158" s="43"/>
      <c r="N158" s="37"/>
      <c r="O158" s="38"/>
      <c r="P158" s="79"/>
      <c r="Q158" s="43"/>
      <c r="R158" s="37"/>
      <c r="S158" s="38"/>
      <c r="T158" s="79"/>
      <c r="U158" s="208">
        <f>ROUND((ROUND((ROUND((_15_同援日３．５*_15・基礎２),0)*_15・２人),0)*(1+_15・盲ろう)),0)</f>
        <v>780</v>
      </c>
      <c r="V158" s="48"/>
    </row>
    <row r="159" spans="1:22" ht="16.5" customHeight="1" x14ac:dyDescent="0.15">
      <c r="A159" s="41">
        <v>15</v>
      </c>
      <c r="B159" s="41">
        <v>7839</v>
      </c>
      <c r="C159" s="74" t="s">
        <v>17732</v>
      </c>
      <c r="D159" s="72"/>
      <c r="F159" s="57"/>
      <c r="G159" s="53"/>
      <c r="H159" s="49"/>
      <c r="I159" s="50"/>
      <c r="J159" s="163"/>
      <c r="K159" s="45"/>
      <c r="L159" s="46"/>
      <c r="M159" s="53"/>
      <c r="N159" s="49"/>
      <c r="O159" s="50"/>
      <c r="P159" s="115"/>
      <c r="Q159" s="53"/>
      <c r="R159" s="49"/>
      <c r="S159" s="50"/>
      <c r="T159" s="115"/>
      <c r="U159" s="208">
        <f>ROUND((_15_同援日３．５*(1+_15・区３)),0)</f>
        <v>832</v>
      </c>
      <c r="V159" s="48"/>
    </row>
    <row r="160" spans="1:22" ht="16.5" customHeight="1" x14ac:dyDescent="0.15">
      <c r="A160" s="41">
        <v>15</v>
      </c>
      <c r="B160" s="41">
        <v>7840</v>
      </c>
      <c r="C160" s="74" t="s">
        <v>17733</v>
      </c>
      <c r="D160" s="72"/>
      <c r="F160" s="57"/>
      <c r="G160" s="43"/>
      <c r="H160" s="37"/>
      <c r="I160" s="38"/>
      <c r="J160" s="163" t="s">
        <v>17556</v>
      </c>
      <c r="K160" s="45" t="s">
        <v>398</v>
      </c>
      <c r="L160" s="46">
        <v>1</v>
      </c>
      <c r="M160" s="35"/>
      <c r="P160" s="57"/>
      <c r="Q160" s="35"/>
      <c r="T160" s="57"/>
      <c r="U160" s="208">
        <f>ROUND((ROUND((_15_同援日３．５*_15・２人),0)*(1+_15・区３)),0)</f>
        <v>832</v>
      </c>
      <c r="V160" s="48"/>
    </row>
    <row r="161" spans="1:22" ht="16.5" customHeight="1" x14ac:dyDescent="0.15">
      <c r="A161" s="41">
        <v>15</v>
      </c>
      <c r="B161" s="41">
        <v>7841</v>
      </c>
      <c r="C161" s="74" t="s">
        <v>17734</v>
      </c>
      <c r="D161" s="72"/>
      <c r="F161" s="57"/>
      <c r="G161" s="53" t="s">
        <v>17558</v>
      </c>
      <c r="H161" s="49"/>
      <c r="I161" s="50"/>
      <c r="J161" s="163"/>
      <c r="K161" s="45"/>
      <c r="L161" s="46"/>
      <c r="M161" s="35"/>
      <c r="P161" s="57"/>
      <c r="Q161" s="35" t="s">
        <v>17570</v>
      </c>
      <c r="T161" s="57"/>
      <c r="U161" s="208">
        <f>ROUND((ROUND((_15_同援日３．５*_15・基礎２),0)*(1+_15・区３)),0)</f>
        <v>749</v>
      </c>
      <c r="V161" s="48"/>
    </row>
    <row r="162" spans="1:22" ht="16.5" customHeight="1" x14ac:dyDescent="0.15">
      <c r="A162" s="41">
        <v>15</v>
      </c>
      <c r="B162" s="41">
        <v>7842</v>
      </c>
      <c r="C162" s="74" t="s">
        <v>17735</v>
      </c>
      <c r="D162" s="72"/>
      <c r="F162" s="57"/>
      <c r="G162" s="43" t="s">
        <v>17560</v>
      </c>
      <c r="H162" s="37" t="s">
        <v>398</v>
      </c>
      <c r="I162" s="38">
        <v>0.9</v>
      </c>
      <c r="J162" s="163" t="s">
        <v>17556</v>
      </c>
      <c r="K162" s="45" t="s">
        <v>398</v>
      </c>
      <c r="L162" s="46">
        <v>1</v>
      </c>
      <c r="M162" s="43"/>
      <c r="N162" s="37"/>
      <c r="O162" s="38"/>
      <c r="P162" s="79"/>
      <c r="Q162" s="35" t="s">
        <v>17572</v>
      </c>
      <c r="T162" s="57"/>
      <c r="U162" s="208">
        <f>ROUND((ROUND((ROUND((_15_同援日３．５*_15・基礎２),0)*_15・２人),0)*(1+_15・区３)),0)</f>
        <v>749</v>
      </c>
      <c r="V162" s="48"/>
    </row>
    <row r="163" spans="1:22" ht="16.5" customHeight="1" x14ac:dyDescent="0.15">
      <c r="A163" s="41">
        <v>15</v>
      </c>
      <c r="B163" s="41">
        <v>7843</v>
      </c>
      <c r="C163" s="74" t="s">
        <v>17736</v>
      </c>
      <c r="D163" s="72"/>
      <c r="F163" s="57"/>
      <c r="G163" s="53"/>
      <c r="H163" s="49"/>
      <c r="I163" s="50"/>
      <c r="J163" s="163"/>
      <c r="K163" s="45"/>
      <c r="L163" s="46"/>
      <c r="M163" s="53" t="s">
        <v>17562</v>
      </c>
      <c r="N163" s="49"/>
      <c r="O163" s="50"/>
      <c r="P163" s="115"/>
      <c r="Q163" s="35"/>
      <c r="R163" s="12" t="s">
        <v>398</v>
      </c>
      <c r="S163" s="13">
        <v>0.2</v>
      </c>
      <c r="T163" s="57" t="s">
        <v>3575</v>
      </c>
      <c r="U163" s="208">
        <f>ROUND((ROUND((_15_同援日３．５*(1+_15・盲ろう)),0)*(1+_15・区３)),0)</f>
        <v>1039</v>
      </c>
      <c r="V163" s="48"/>
    </row>
    <row r="164" spans="1:22" ht="16.5" customHeight="1" x14ac:dyDescent="0.15">
      <c r="A164" s="41">
        <v>15</v>
      </c>
      <c r="B164" s="41">
        <v>7844</v>
      </c>
      <c r="C164" s="74" t="s">
        <v>17737</v>
      </c>
      <c r="D164" s="72"/>
      <c r="F164" s="57"/>
      <c r="G164" s="43"/>
      <c r="H164" s="37"/>
      <c r="I164" s="38"/>
      <c r="J164" s="163" t="s">
        <v>17556</v>
      </c>
      <c r="K164" s="45" t="s">
        <v>398</v>
      </c>
      <c r="L164" s="46">
        <v>1</v>
      </c>
      <c r="M164" s="35" t="s">
        <v>17564</v>
      </c>
      <c r="P164" s="57"/>
      <c r="Q164" s="35"/>
      <c r="T164" s="57"/>
      <c r="U164" s="208">
        <f>ROUND((ROUND((ROUND((_15_同援日３．５*_15・２人),0)*(1+_15・盲ろう)),0)*(1+_15・区３)),0)</f>
        <v>1039</v>
      </c>
      <c r="V164" s="48"/>
    </row>
    <row r="165" spans="1:22" ht="16.5" customHeight="1" x14ac:dyDescent="0.15">
      <c r="A165" s="41">
        <v>15</v>
      </c>
      <c r="B165" s="41">
        <v>7845</v>
      </c>
      <c r="C165" s="74" t="s">
        <v>17738</v>
      </c>
      <c r="D165" s="72"/>
      <c r="F165" s="57"/>
      <c r="G165" s="53" t="s">
        <v>17558</v>
      </c>
      <c r="H165" s="49"/>
      <c r="I165" s="50"/>
      <c r="J165" s="163"/>
      <c r="K165" s="45"/>
      <c r="L165" s="46"/>
      <c r="M165" s="35"/>
      <c r="N165" s="12" t="s">
        <v>398</v>
      </c>
      <c r="O165" s="13">
        <v>0.25</v>
      </c>
      <c r="P165" s="57" t="s">
        <v>3575</v>
      </c>
      <c r="Q165" s="35"/>
      <c r="T165" s="57"/>
      <c r="U165" s="208">
        <f>ROUND((ROUND((ROUND((_15_同援日３．５*_15・基礎２),0)*(1+_15・盲ろう)),0)*(1+_15・区３)),0)</f>
        <v>936</v>
      </c>
      <c r="V165" s="48"/>
    </row>
    <row r="166" spans="1:22" ht="16.5" customHeight="1" x14ac:dyDescent="0.15">
      <c r="A166" s="41">
        <v>15</v>
      </c>
      <c r="B166" s="41">
        <v>7846</v>
      </c>
      <c r="C166" s="74" t="s">
        <v>17739</v>
      </c>
      <c r="D166" s="72"/>
      <c r="F166" s="57"/>
      <c r="G166" s="43" t="s">
        <v>17560</v>
      </c>
      <c r="H166" s="37" t="s">
        <v>398</v>
      </c>
      <c r="I166" s="38">
        <v>0.9</v>
      </c>
      <c r="J166" s="163" t="s">
        <v>17556</v>
      </c>
      <c r="K166" s="45" t="s">
        <v>398</v>
      </c>
      <c r="L166" s="46">
        <v>1</v>
      </c>
      <c r="M166" s="43"/>
      <c r="N166" s="37"/>
      <c r="O166" s="38"/>
      <c r="P166" s="79"/>
      <c r="Q166" s="43"/>
      <c r="R166" s="37"/>
      <c r="S166" s="38"/>
      <c r="T166" s="79"/>
      <c r="U166" s="208">
        <f>ROUND((ROUND((ROUND((ROUND((_15_同援日３．５*_15・基礎２),0)*_15・２人),0)*(1+_15・盲ろう)),0)*(1+_15・区３)),0)</f>
        <v>936</v>
      </c>
      <c r="V166" s="48"/>
    </row>
    <row r="167" spans="1:22" ht="16.5" customHeight="1" x14ac:dyDescent="0.15">
      <c r="A167" s="41">
        <v>15</v>
      </c>
      <c r="B167" s="41">
        <v>7847</v>
      </c>
      <c r="C167" s="74" t="s">
        <v>17740</v>
      </c>
      <c r="D167" s="72"/>
      <c r="F167" s="57"/>
      <c r="G167" s="53"/>
      <c r="H167" s="49"/>
      <c r="I167" s="50"/>
      <c r="J167" s="163"/>
      <c r="K167" s="45"/>
      <c r="L167" s="46"/>
      <c r="M167" s="53"/>
      <c r="N167" s="49"/>
      <c r="O167" s="50"/>
      <c r="P167" s="115"/>
      <c r="Q167" s="53"/>
      <c r="R167" s="49"/>
      <c r="S167" s="50"/>
      <c r="T167" s="115"/>
      <c r="U167" s="208">
        <f>ROUND((_15_同援日３．５*(1+_15・区４)),0)</f>
        <v>970</v>
      </c>
      <c r="V167" s="48"/>
    </row>
    <row r="168" spans="1:22" ht="16.5" customHeight="1" x14ac:dyDescent="0.15">
      <c r="A168" s="41">
        <v>15</v>
      </c>
      <c r="B168" s="41">
        <v>7848</v>
      </c>
      <c r="C168" s="74" t="s">
        <v>17741</v>
      </c>
      <c r="D168" s="72"/>
      <c r="F168" s="57"/>
      <c r="G168" s="43"/>
      <c r="H168" s="37"/>
      <c r="I168" s="38"/>
      <c r="J168" s="163" t="s">
        <v>17556</v>
      </c>
      <c r="K168" s="45" t="s">
        <v>398</v>
      </c>
      <c r="L168" s="46">
        <v>1</v>
      </c>
      <c r="M168" s="35"/>
      <c r="P168" s="57"/>
      <c r="Q168" s="35"/>
      <c r="T168" s="57"/>
      <c r="U168" s="208">
        <f>ROUND((ROUND((_15_同援日３．５*_15・２人),0)*(1+_15・区４)),0)</f>
        <v>970</v>
      </c>
      <c r="V168" s="48"/>
    </row>
    <row r="169" spans="1:22" ht="16.5" customHeight="1" x14ac:dyDescent="0.15">
      <c r="A169" s="41">
        <v>15</v>
      </c>
      <c r="B169" s="41">
        <v>7849</v>
      </c>
      <c r="C169" s="74" t="s">
        <v>17742</v>
      </c>
      <c r="D169" s="72"/>
      <c r="F169" s="57"/>
      <c r="G169" s="53" t="s">
        <v>17558</v>
      </c>
      <c r="H169" s="49"/>
      <c r="I169" s="50"/>
      <c r="J169" s="163"/>
      <c r="K169" s="45"/>
      <c r="L169" s="46"/>
      <c r="M169" s="35"/>
      <c r="P169" s="57"/>
      <c r="Q169" s="35" t="s">
        <v>17580</v>
      </c>
      <c r="T169" s="57"/>
      <c r="U169" s="208">
        <f>ROUND((ROUND((_15_同援日３．５*_15・基礎２),0)*(1+_15・区４)),0)</f>
        <v>874</v>
      </c>
      <c r="V169" s="48"/>
    </row>
    <row r="170" spans="1:22" ht="16.5" customHeight="1" x14ac:dyDescent="0.15">
      <c r="A170" s="41">
        <v>15</v>
      </c>
      <c r="B170" s="41">
        <v>7850</v>
      </c>
      <c r="C170" s="74" t="s">
        <v>17743</v>
      </c>
      <c r="D170" s="72"/>
      <c r="F170" s="57"/>
      <c r="G170" s="43" t="s">
        <v>17560</v>
      </c>
      <c r="H170" s="37" t="s">
        <v>398</v>
      </c>
      <c r="I170" s="38">
        <v>0.9</v>
      </c>
      <c r="J170" s="163" t="s">
        <v>17556</v>
      </c>
      <c r="K170" s="45" t="s">
        <v>398</v>
      </c>
      <c r="L170" s="46">
        <v>1</v>
      </c>
      <c r="M170" s="43"/>
      <c r="N170" s="37"/>
      <c r="O170" s="38"/>
      <c r="P170" s="79"/>
      <c r="Q170" s="35" t="s">
        <v>17572</v>
      </c>
      <c r="T170" s="57"/>
      <c r="U170" s="208">
        <f>ROUND((ROUND((ROUND((_15_同援日３．５*_15・基礎２),0)*_15・２人),0)*(1+_15・区４)),0)</f>
        <v>874</v>
      </c>
      <c r="V170" s="48"/>
    </row>
    <row r="171" spans="1:22" ht="16.5" customHeight="1" x14ac:dyDescent="0.15">
      <c r="A171" s="41">
        <v>15</v>
      </c>
      <c r="B171" s="41">
        <v>7851</v>
      </c>
      <c r="C171" s="74" t="s">
        <v>17744</v>
      </c>
      <c r="D171" s="72"/>
      <c r="F171" s="57"/>
      <c r="G171" s="53"/>
      <c r="H171" s="49"/>
      <c r="I171" s="50"/>
      <c r="J171" s="163"/>
      <c r="K171" s="45"/>
      <c r="L171" s="46"/>
      <c r="M171" s="53" t="s">
        <v>17562</v>
      </c>
      <c r="N171" s="49"/>
      <c r="O171" s="50"/>
      <c r="P171" s="115"/>
      <c r="Q171" s="35"/>
      <c r="R171" s="12" t="s">
        <v>398</v>
      </c>
      <c r="S171" s="13">
        <v>0.4</v>
      </c>
      <c r="T171" s="57" t="s">
        <v>3575</v>
      </c>
      <c r="U171" s="208">
        <f>ROUND((ROUND((_15_同援日３．５*(1+_15・盲ろう)),0)*(1+_15・区４)),0)</f>
        <v>1212</v>
      </c>
      <c r="V171" s="48"/>
    </row>
    <row r="172" spans="1:22" ht="16.5" customHeight="1" x14ac:dyDescent="0.15">
      <c r="A172" s="41">
        <v>15</v>
      </c>
      <c r="B172" s="41">
        <v>7852</v>
      </c>
      <c r="C172" s="74" t="s">
        <v>17745</v>
      </c>
      <c r="D172" s="72"/>
      <c r="F172" s="57"/>
      <c r="G172" s="43"/>
      <c r="H172" s="37"/>
      <c r="I172" s="38"/>
      <c r="J172" s="163" t="s">
        <v>17556</v>
      </c>
      <c r="K172" s="45" t="s">
        <v>398</v>
      </c>
      <c r="L172" s="46">
        <v>1</v>
      </c>
      <c r="M172" s="35" t="s">
        <v>17564</v>
      </c>
      <c r="P172" s="57"/>
      <c r="Q172" s="35"/>
      <c r="T172" s="57"/>
      <c r="U172" s="208">
        <f>ROUND((ROUND((ROUND((_15_同援日３．５*_15・２人),0)*(1+_15・盲ろう)),0)*(1+_15・区４)),0)</f>
        <v>1212</v>
      </c>
      <c r="V172" s="48"/>
    </row>
    <row r="173" spans="1:22" ht="16.5" customHeight="1" x14ac:dyDescent="0.15">
      <c r="A173" s="41">
        <v>15</v>
      </c>
      <c r="B173" s="41">
        <v>7853</v>
      </c>
      <c r="C173" s="74" t="s">
        <v>17746</v>
      </c>
      <c r="D173" s="72"/>
      <c r="F173" s="57"/>
      <c r="G173" s="53" t="s">
        <v>17558</v>
      </c>
      <c r="H173" s="49"/>
      <c r="I173" s="50"/>
      <c r="J173" s="163"/>
      <c r="K173" s="45"/>
      <c r="L173" s="46"/>
      <c r="M173" s="35"/>
      <c r="N173" s="12" t="s">
        <v>398</v>
      </c>
      <c r="O173" s="13">
        <v>0.25</v>
      </c>
      <c r="P173" s="57" t="s">
        <v>3575</v>
      </c>
      <c r="Q173" s="35"/>
      <c r="T173" s="57"/>
      <c r="U173" s="208">
        <f>ROUND((ROUND((ROUND((_15_同援日３．５*_15・基礎２),0)*(1+_15・盲ろう)),0)*(1+_15・区４)),0)</f>
        <v>1092</v>
      </c>
      <c r="V173" s="48"/>
    </row>
    <row r="174" spans="1:22" ht="16.5" customHeight="1" x14ac:dyDescent="0.15">
      <c r="A174" s="41">
        <v>15</v>
      </c>
      <c r="B174" s="41">
        <v>7854</v>
      </c>
      <c r="C174" s="74" t="s">
        <v>17747</v>
      </c>
      <c r="D174" s="122"/>
      <c r="E174" s="37"/>
      <c r="F174" s="79"/>
      <c r="G174" s="43" t="s">
        <v>17560</v>
      </c>
      <c r="H174" s="37" t="s">
        <v>398</v>
      </c>
      <c r="I174" s="38">
        <v>0.9</v>
      </c>
      <c r="J174" s="163" t="s">
        <v>17556</v>
      </c>
      <c r="K174" s="45" t="s">
        <v>398</v>
      </c>
      <c r="L174" s="46">
        <v>1</v>
      </c>
      <c r="M174" s="43"/>
      <c r="N174" s="37"/>
      <c r="O174" s="38"/>
      <c r="P174" s="79"/>
      <c r="Q174" s="43"/>
      <c r="R174" s="37"/>
      <c r="S174" s="38"/>
      <c r="T174" s="79"/>
      <c r="U174" s="208">
        <f>ROUND((ROUND((ROUND((ROUND((_15_同援日３．５*_15・基礎２),0)*_15・２人),0)*(1+_15・盲ろう)),0)*(1+_15・区４)),0)</f>
        <v>1092</v>
      </c>
      <c r="V174" s="48"/>
    </row>
    <row r="175" spans="1:22" ht="16.5" customHeight="1" x14ac:dyDescent="0.15">
      <c r="A175" s="41">
        <v>15</v>
      </c>
      <c r="B175" s="41">
        <v>7855</v>
      </c>
      <c r="C175" s="74" t="s">
        <v>17748</v>
      </c>
      <c r="D175" s="114" t="s">
        <v>17749</v>
      </c>
      <c r="E175" s="49"/>
      <c r="F175" s="115"/>
      <c r="G175" s="53"/>
      <c r="H175" s="49"/>
      <c r="I175" s="50"/>
      <c r="J175" s="163"/>
      <c r="K175" s="45"/>
      <c r="L175" s="46"/>
      <c r="M175" s="53"/>
      <c r="N175" s="49"/>
      <c r="O175" s="50"/>
      <c r="P175" s="115"/>
      <c r="Q175" s="53"/>
      <c r="R175" s="49"/>
      <c r="S175" s="50"/>
      <c r="T175" s="115"/>
      <c r="U175" s="208">
        <f>_15_同援日４．０</f>
        <v>758</v>
      </c>
      <c r="V175" s="48"/>
    </row>
    <row r="176" spans="1:22" ht="16.5" customHeight="1" x14ac:dyDescent="0.15">
      <c r="A176" s="41">
        <v>15</v>
      </c>
      <c r="B176" s="41">
        <v>7856</v>
      </c>
      <c r="C176" s="74" t="s">
        <v>17750</v>
      </c>
      <c r="D176" s="72" t="s">
        <v>17751</v>
      </c>
      <c r="F176" s="57"/>
      <c r="G176" s="43"/>
      <c r="H176" s="37"/>
      <c r="I176" s="38"/>
      <c r="J176" s="163" t="s">
        <v>17556</v>
      </c>
      <c r="K176" s="45" t="s">
        <v>398</v>
      </c>
      <c r="L176" s="46">
        <v>1</v>
      </c>
      <c r="M176" s="35"/>
      <c r="P176" s="57"/>
      <c r="Q176" s="35"/>
      <c r="T176" s="57"/>
      <c r="U176" s="208">
        <f>ROUND((_15_同援日４．０*_15・２人),0)</f>
        <v>758</v>
      </c>
      <c r="V176" s="48"/>
    </row>
    <row r="177" spans="1:22" ht="16.5" customHeight="1" x14ac:dyDescent="0.15">
      <c r="A177" s="41">
        <v>15</v>
      </c>
      <c r="B177" s="41">
        <v>7857</v>
      </c>
      <c r="C177" s="74" t="s">
        <v>17752</v>
      </c>
      <c r="D177" s="72" t="s">
        <v>17753</v>
      </c>
      <c r="F177" s="57"/>
      <c r="G177" s="53" t="s">
        <v>17558</v>
      </c>
      <c r="H177" s="49"/>
      <c r="I177" s="50"/>
      <c r="J177" s="163"/>
      <c r="K177" s="45"/>
      <c r="L177" s="46"/>
      <c r="M177" s="35"/>
      <c r="P177" s="57"/>
      <c r="Q177" s="35"/>
      <c r="T177" s="57"/>
      <c r="U177" s="208">
        <f>ROUND((_15_同援日４．０*_15・基礎２),0)</f>
        <v>682</v>
      </c>
      <c r="V177" s="48"/>
    </row>
    <row r="178" spans="1:22" ht="16.5" customHeight="1" x14ac:dyDescent="0.15">
      <c r="A178" s="41">
        <v>15</v>
      </c>
      <c r="B178" s="41">
        <v>7858</v>
      </c>
      <c r="C178" s="74" t="s">
        <v>17754</v>
      </c>
      <c r="D178" s="72"/>
      <c r="E178" s="168">
        <f>_15_同援日４．０</f>
        <v>758</v>
      </c>
      <c r="F178" s="57" t="s">
        <v>392</v>
      </c>
      <c r="G178" s="43" t="s">
        <v>17560</v>
      </c>
      <c r="H178" s="37" t="s">
        <v>398</v>
      </c>
      <c r="I178" s="38">
        <v>0.9</v>
      </c>
      <c r="J178" s="163" t="s">
        <v>17556</v>
      </c>
      <c r="K178" s="45" t="s">
        <v>398</v>
      </c>
      <c r="L178" s="46">
        <v>1</v>
      </c>
      <c r="M178" s="43"/>
      <c r="N178" s="37"/>
      <c r="O178" s="38"/>
      <c r="P178" s="79"/>
      <c r="Q178" s="35"/>
      <c r="T178" s="57"/>
      <c r="U178" s="208">
        <f>ROUND((ROUND((_15_同援日４．０*_15・基礎２),0)*_15・２人),0)</f>
        <v>682</v>
      </c>
      <c r="V178" s="48"/>
    </row>
    <row r="179" spans="1:22" ht="16.5" customHeight="1" x14ac:dyDescent="0.15">
      <c r="A179" s="41">
        <v>15</v>
      </c>
      <c r="B179" s="41">
        <v>7859</v>
      </c>
      <c r="C179" s="74" t="s">
        <v>17755</v>
      </c>
      <c r="D179" s="72"/>
      <c r="F179" s="57"/>
      <c r="G179" s="53"/>
      <c r="H179" s="49"/>
      <c r="I179" s="50"/>
      <c r="J179" s="163"/>
      <c r="K179" s="45"/>
      <c r="L179" s="46"/>
      <c r="M179" s="53" t="s">
        <v>17562</v>
      </c>
      <c r="N179" s="49"/>
      <c r="O179" s="50"/>
      <c r="P179" s="115"/>
      <c r="Q179" s="35"/>
      <c r="T179" s="57"/>
      <c r="U179" s="208">
        <f>ROUND((_15_同援日４．０*(1+_15・盲ろう)),0)</f>
        <v>948</v>
      </c>
      <c r="V179" s="48"/>
    </row>
    <row r="180" spans="1:22" ht="16.5" customHeight="1" x14ac:dyDescent="0.15">
      <c r="A180" s="41">
        <v>15</v>
      </c>
      <c r="B180" s="41">
        <v>7860</v>
      </c>
      <c r="C180" s="74" t="s">
        <v>17756</v>
      </c>
      <c r="D180" s="72"/>
      <c r="F180" s="57"/>
      <c r="G180" s="43"/>
      <c r="H180" s="37"/>
      <c r="I180" s="38"/>
      <c r="J180" s="163" t="s">
        <v>17556</v>
      </c>
      <c r="K180" s="45" t="s">
        <v>398</v>
      </c>
      <c r="L180" s="46">
        <v>1</v>
      </c>
      <c r="M180" s="35" t="s">
        <v>17564</v>
      </c>
      <c r="P180" s="57"/>
      <c r="Q180" s="35"/>
      <c r="T180" s="57"/>
      <c r="U180" s="208">
        <f>ROUND((ROUND((_15_同援日４．０*_15・２人),0)*(1+_15・盲ろう)),0)</f>
        <v>948</v>
      </c>
      <c r="V180" s="48"/>
    </row>
    <row r="181" spans="1:22" ht="16.5" customHeight="1" x14ac:dyDescent="0.15">
      <c r="A181" s="41">
        <v>15</v>
      </c>
      <c r="B181" s="41">
        <v>7861</v>
      </c>
      <c r="C181" s="74" t="s">
        <v>17757</v>
      </c>
      <c r="D181" s="72"/>
      <c r="F181" s="57"/>
      <c r="G181" s="53" t="s">
        <v>17558</v>
      </c>
      <c r="H181" s="49"/>
      <c r="I181" s="50"/>
      <c r="J181" s="163"/>
      <c r="K181" s="45"/>
      <c r="L181" s="46"/>
      <c r="M181" s="35"/>
      <c r="N181" s="12" t="s">
        <v>398</v>
      </c>
      <c r="O181" s="13">
        <v>0.25</v>
      </c>
      <c r="P181" s="57" t="s">
        <v>3575</v>
      </c>
      <c r="Q181" s="35"/>
      <c r="T181" s="57"/>
      <c r="U181" s="208">
        <f>ROUND((ROUND((_15_同援日４．０*_15・基礎２),0)*(1+_15・盲ろう)),0)</f>
        <v>853</v>
      </c>
      <c r="V181" s="48"/>
    </row>
    <row r="182" spans="1:22" ht="16.5" customHeight="1" x14ac:dyDescent="0.15">
      <c r="A182" s="41">
        <v>15</v>
      </c>
      <c r="B182" s="41">
        <v>7862</v>
      </c>
      <c r="C182" s="74" t="s">
        <v>17758</v>
      </c>
      <c r="D182" s="72"/>
      <c r="F182" s="57"/>
      <c r="G182" s="43" t="s">
        <v>17560</v>
      </c>
      <c r="H182" s="37" t="s">
        <v>398</v>
      </c>
      <c r="I182" s="38">
        <v>0.9</v>
      </c>
      <c r="J182" s="163" t="s">
        <v>17556</v>
      </c>
      <c r="K182" s="45" t="s">
        <v>398</v>
      </c>
      <c r="L182" s="46">
        <v>1</v>
      </c>
      <c r="M182" s="43"/>
      <c r="N182" s="37"/>
      <c r="O182" s="38"/>
      <c r="P182" s="79"/>
      <c r="Q182" s="43"/>
      <c r="R182" s="37"/>
      <c r="S182" s="38"/>
      <c r="T182" s="79"/>
      <c r="U182" s="208">
        <f>ROUND((ROUND((ROUND((_15_同援日４．０*_15・基礎２),0)*_15・２人),0)*(1+_15・盲ろう)),0)</f>
        <v>853</v>
      </c>
      <c r="V182" s="48"/>
    </row>
    <row r="183" spans="1:22" ht="16.5" customHeight="1" x14ac:dyDescent="0.15">
      <c r="A183" s="41">
        <v>15</v>
      </c>
      <c r="B183" s="41">
        <v>7863</v>
      </c>
      <c r="C183" s="74" t="s">
        <v>17759</v>
      </c>
      <c r="D183" s="72"/>
      <c r="F183" s="57"/>
      <c r="G183" s="53"/>
      <c r="H183" s="49"/>
      <c r="I183" s="50"/>
      <c r="J183" s="163"/>
      <c r="K183" s="45"/>
      <c r="L183" s="46"/>
      <c r="M183" s="53"/>
      <c r="N183" s="49"/>
      <c r="O183" s="50"/>
      <c r="P183" s="115"/>
      <c r="Q183" s="53"/>
      <c r="R183" s="49"/>
      <c r="S183" s="50"/>
      <c r="T183" s="115"/>
      <c r="U183" s="208">
        <f>ROUND((_15_同援日４．０*(1+_15・区３)),0)</f>
        <v>910</v>
      </c>
      <c r="V183" s="48"/>
    </row>
    <row r="184" spans="1:22" ht="16.5" customHeight="1" x14ac:dyDescent="0.15">
      <c r="A184" s="41">
        <v>15</v>
      </c>
      <c r="B184" s="41">
        <v>7864</v>
      </c>
      <c r="C184" s="74" t="s">
        <v>17760</v>
      </c>
      <c r="D184" s="72"/>
      <c r="F184" s="57"/>
      <c r="G184" s="43"/>
      <c r="H184" s="37"/>
      <c r="I184" s="38"/>
      <c r="J184" s="163" t="s">
        <v>17556</v>
      </c>
      <c r="K184" s="45" t="s">
        <v>398</v>
      </c>
      <c r="L184" s="46">
        <v>1</v>
      </c>
      <c r="M184" s="35"/>
      <c r="P184" s="57"/>
      <c r="Q184" s="35"/>
      <c r="T184" s="57"/>
      <c r="U184" s="208">
        <f>ROUND((ROUND((_15_同援日４．０*_15・２人),0)*(1+_15・区３)),0)</f>
        <v>910</v>
      </c>
      <c r="V184" s="48"/>
    </row>
    <row r="185" spans="1:22" ht="16.5" customHeight="1" x14ac:dyDescent="0.15">
      <c r="A185" s="41">
        <v>15</v>
      </c>
      <c r="B185" s="41">
        <v>7865</v>
      </c>
      <c r="C185" s="74" t="s">
        <v>17761</v>
      </c>
      <c r="D185" s="72"/>
      <c r="F185" s="57"/>
      <c r="G185" s="53" t="s">
        <v>17558</v>
      </c>
      <c r="H185" s="49"/>
      <c r="I185" s="50"/>
      <c r="J185" s="163"/>
      <c r="K185" s="45"/>
      <c r="L185" s="46"/>
      <c r="M185" s="35"/>
      <c r="P185" s="57"/>
      <c r="Q185" s="35" t="s">
        <v>17570</v>
      </c>
      <c r="T185" s="57"/>
      <c r="U185" s="208">
        <f>ROUND((ROUND((_15_同援日４．０*_15・基礎２),0)*(1+_15・区３)),0)</f>
        <v>818</v>
      </c>
      <c r="V185" s="48"/>
    </row>
    <row r="186" spans="1:22" ht="16.5" customHeight="1" x14ac:dyDescent="0.15">
      <c r="A186" s="41">
        <v>15</v>
      </c>
      <c r="B186" s="41">
        <v>7866</v>
      </c>
      <c r="C186" s="74" t="s">
        <v>17762</v>
      </c>
      <c r="D186" s="72"/>
      <c r="F186" s="57"/>
      <c r="G186" s="43" t="s">
        <v>17560</v>
      </c>
      <c r="H186" s="37" t="s">
        <v>398</v>
      </c>
      <c r="I186" s="38">
        <v>0.9</v>
      </c>
      <c r="J186" s="163" t="s">
        <v>17556</v>
      </c>
      <c r="K186" s="45" t="s">
        <v>398</v>
      </c>
      <c r="L186" s="46">
        <v>1</v>
      </c>
      <c r="M186" s="43"/>
      <c r="N186" s="37"/>
      <c r="O186" s="38"/>
      <c r="P186" s="79"/>
      <c r="Q186" s="35" t="s">
        <v>17572</v>
      </c>
      <c r="T186" s="57"/>
      <c r="U186" s="208">
        <f>ROUND((ROUND((ROUND((_15_同援日４．０*_15・基礎２),0)*_15・２人),0)*(1+_15・区３)),0)</f>
        <v>818</v>
      </c>
      <c r="V186" s="48"/>
    </row>
    <row r="187" spans="1:22" ht="16.5" customHeight="1" x14ac:dyDescent="0.15">
      <c r="A187" s="41">
        <v>15</v>
      </c>
      <c r="B187" s="41">
        <v>7867</v>
      </c>
      <c r="C187" s="74" t="s">
        <v>17763</v>
      </c>
      <c r="D187" s="72"/>
      <c r="F187" s="57"/>
      <c r="G187" s="53"/>
      <c r="H187" s="49"/>
      <c r="I187" s="50"/>
      <c r="J187" s="163"/>
      <c r="K187" s="45"/>
      <c r="L187" s="46"/>
      <c r="M187" s="53" t="s">
        <v>17562</v>
      </c>
      <c r="N187" s="49"/>
      <c r="O187" s="50"/>
      <c r="P187" s="115"/>
      <c r="Q187" s="35"/>
      <c r="R187" s="12" t="s">
        <v>398</v>
      </c>
      <c r="S187" s="13">
        <v>0.2</v>
      </c>
      <c r="T187" s="57" t="s">
        <v>3575</v>
      </c>
      <c r="U187" s="208">
        <f>ROUND((ROUND((_15_同援日４．０*(1+_15・盲ろう)),0)*(1+_15・区３)),0)</f>
        <v>1138</v>
      </c>
      <c r="V187" s="48"/>
    </row>
    <row r="188" spans="1:22" ht="16.5" customHeight="1" x14ac:dyDescent="0.15">
      <c r="A188" s="41">
        <v>15</v>
      </c>
      <c r="B188" s="41">
        <v>7868</v>
      </c>
      <c r="C188" s="74" t="s">
        <v>17764</v>
      </c>
      <c r="D188" s="72"/>
      <c r="F188" s="57"/>
      <c r="G188" s="43"/>
      <c r="H188" s="37"/>
      <c r="I188" s="38"/>
      <c r="J188" s="163" t="s">
        <v>17556</v>
      </c>
      <c r="K188" s="45" t="s">
        <v>398</v>
      </c>
      <c r="L188" s="46">
        <v>1</v>
      </c>
      <c r="M188" s="35" t="s">
        <v>17564</v>
      </c>
      <c r="P188" s="57"/>
      <c r="Q188" s="35"/>
      <c r="T188" s="57"/>
      <c r="U188" s="208">
        <f>ROUND((ROUND((ROUND((_15_同援日４．０*_15・２人),0)*(1+_15・盲ろう)),0)*(1+_15・区３)),0)</f>
        <v>1138</v>
      </c>
      <c r="V188" s="48"/>
    </row>
    <row r="189" spans="1:22" ht="16.5" customHeight="1" x14ac:dyDescent="0.15">
      <c r="A189" s="41">
        <v>15</v>
      </c>
      <c r="B189" s="41">
        <v>7869</v>
      </c>
      <c r="C189" s="74" t="s">
        <v>17765</v>
      </c>
      <c r="D189" s="72"/>
      <c r="F189" s="57"/>
      <c r="G189" s="53" t="s">
        <v>17558</v>
      </c>
      <c r="H189" s="49"/>
      <c r="I189" s="50"/>
      <c r="J189" s="163"/>
      <c r="K189" s="45"/>
      <c r="L189" s="46"/>
      <c r="M189" s="35"/>
      <c r="N189" s="12" t="s">
        <v>398</v>
      </c>
      <c r="O189" s="13">
        <v>0.25</v>
      </c>
      <c r="P189" s="57" t="s">
        <v>3575</v>
      </c>
      <c r="Q189" s="35"/>
      <c r="T189" s="57"/>
      <c r="U189" s="208">
        <f>ROUND((ROUND((ROUND((_15_同援日４．０*_15・基礎２),0)*(1+_15・盲ろう)),0)*(1+_15・区３)),0)</f>
        <v>1024</v>
      </c>
      <c r="V189" s="48"/>
    </row>
    <row r="190" spans="1:22" ht="16.5" customHeight="1" x14ac:dyDescent="0.15">
      <c r="A190" s="41">
        <v>15</v>
      </c>
      <c r="B190" s="41">
        <v>7870</v>
      </c>
      <c r="C190" s="74" t="s">
        <v>17766</v>
      </c>
      <c r="D190" s="72"/>
      <c r="F190" s="57"/>
      <c r="G190" s="43" t="s">
        <v>17560</v>
      </c>
      <c r="H190" s="37" t="s">
        <v>398</v>
      </c>
      <c r="I190" s="38">
        <v>0.9</v>
      </c>
      <c r="J190" s="163" t="s">
        <v>17556</v>
      </c>
      <c r="K190" s="45" t="s">
        <v>398</v>
      </c>
      <c r="L190" s="46">
        <v>1</v>
      </c>
      <c r="M190" s="43"/>
      <c r="N190" s="37"/>
      <c r="O190" s="38"/>
      <c r="P190" s="79"/>
      <c r="Q190" s="43"/>
      <c r="R190" s="37"/>
      <c r="S190" s="38"/>
      <c r="T190" s="79"/>
      <c r="U190" s="208">
        <f>ROUND((ROUND((ROUND((ROUND((_15_同援日４．０*_15・基礎２),0)*_15・２人),0)*(1+_15・盲ろう)),0)*(1+_15・区３)),0)</f>
        <v>1024</v>
      </c>
      <c r="V190" s="48"/>
    </row>
    <row r="191" spans="1:22" ht="16.5" customHeight="1" x14ac:dyDescent="0.15">
      <c r="A191" s="41">
        <v>15</v>
      </c>
      <c r="B191" s="41">
        <v>7871</v>
      </c>
      <c r="C191" s="74" t="s">
        <v>17767</v>
      </c>
      <c r="D191" s="72"/>
      <c r="F191" s="57"/>
      <c r="G191" s="53"/>
      <c r="H191" s="49"/>
      <c r="I191" s="50"/>
      <c r="J191" s="163"/>
      <c r="K191" s="45"/>
      <c r="L191" s="46"/>
      <c r="M191" s="53"/>
      <c r="N191" s="49"/>
      <c r="O191" s="50"/>
      <c r="P191" s="115"/>
      <c r="Q191" s="53"/>
      <c r="R191" s="49"/>
      <c r="S191" s="50"/>
      <c r="T191" s="115"/>
      <c r="U191" s="208">
        <f>ROUND((_15_同援日４．０*(1+_15・区４)),0)</f>
        <v>1061</v>
      </c>
      <c r="V191" s="48"/>
    </row>
    <row r="192" spans="1:22" ht="16.5" customHeight="1" x14ac:dyDescent="0.15">
      <c r="A192" s="41">
        <v>15</v>
      </c>
      <c r="B192" s="41">
        <v>7872</v>
      </c>
      <c r="C192" s="74" t="s">
        <v>17768</v>
      </c>
      <c r="D192" s="72"/>
      <c r="F192" s="57"/>
      <c r="G192" s="43"/>
      <c r="H192" s="37"/>
      <c r="I192" s="38"/>
      <c r="J192" s="163" t="s">
        <v>17556</v>
      </c>
      <c r="K192" s="45" t="s">
        <v>398</v>
      </c>
      <c r="L192" s="46">
        <v>1</v>
      </c>
      <c r="M192" s="35"/>
      <c r="P192" s="57"/>
      <c r="Q192" s="35"/>
      <c r="T192" s="57"/>
      <c r="U192" s="208">
        <f>ROUND((ROUND((_15_同援日４．０*_15・２人),0)*(1+_15・区４)),0)</f>
        <v>1061</v>
      </c>
      <c r="V192" s="48"/>
    </row>
    <row r="193" spans="1:22" ht="16.5" customHeight="1" x14ac:dyDescent="0.15">
      <c r="A193" s="41">
        <v>15</v>
      </c>
      <c r="B193" s="41">
        <v>7873</v>
      </c>
      <c r="C193" s="74" t="s">
        <v>17769</v>
      </c>
      <c r="D193" s="72"/>
      <c r="F193" s="57"/>
      <c r="G193" s="53" t="s">
        <v>17558</v>
      </c>
      <c r="H193" s="49"/>
      <c r="I193" s="50"/>
      <c r="J193" s="163"/>
      <c r="K193" s="45"/>
      <c r="L193" s="46"/>
      <c r="M193" s="35"/>
      <c r="P193" s="57"/>
      <c r="Q193" s="35" t="s">
        <v>17580</v>
      </c>
      <c r="T193" s="57"/>
      <c r="U193" s="208">
        <f>ROUND((ROUND((_15_同援日４．０*_15・基礎２),0)*(1+_15・区４)),0)</f>
        <v>955</v>
      </c>
      <c r="V193" s="48"/>
    </row>
    <row r="194" spans="1:22" ht="16.5" customHeight="1" x14ac:dyDescent="0.15">
      <c r="A194" s="41">
        <v>15</v>
      </c>
      <c r="B194" s="41">
        <v>7874</v>
      </c>
      <c r="C194" s="74" t="s">
        <v>17770</v>
      </c>
      <c r="D194" s="72"/>
      <c r="F194" s="57"/>
      <c r="G194" s="43" t="s">
        <v>17560</v>
      </c>
      <c r="H194" s="37" t="s">
        <v>398</v>
      </c>
      <c r="I194" s="38">
        <v>0.9</v>
      </c>
      <c r="J194" s="163" t="s">
        <v>17556</v>
      </c>
      <c r="K194" s="45" t="s">
        <v>398</v>
      </c>
      <c r="L194" s="46">
        <v>1</v>
      </c>
      <c r="M194" s="43"/>
      <c r="N194" s="37"/>
      <c r="O194" s="38"/>
      <c r="P194" s="79"/>
      <c r="Q194" s="35" t="s">
        <v>17572</v>
      </c>
      <c r="T194" s="57"/>
      <c r="U194" s="208">
        <f>ROUND((ROUND((ROUND((_15_同援日４．０*_15・基礎２),0)*_15・２人),0)*(1+_15・区４)),0)</f>
        <v>955</v>
      </c>
      <c r="V194" s="48"/>
    </row>
    <row r="195" spans="1:22" ht="16.5" customHeight="1" x14ac:dyDescent="0.15">
      <c r="A195" s="41">
        <v>15</v>
      </c>
      <c r="B195" s="41">
        <v>7875</v>
      </c>
      <c r="C195" s="74" t="s">
        <v>17771</v>
      </c>
      <c r="D195" s="72"/>
      <c r="F195" s="57"/>
      <c r="G195" s="53"/>
      <c r="H195" s="49"/>
      <c r="I195" s="50"/>
      <c r="J195" s="163"/>
      <c r="K195" s="45"/>
      <c r="L195" s="46"/>
      <c r="M195" s="53" t="s">
        <v>17562</v>
      </c>
      <c r="N195" s="49"/>
      <c r="O195" s="50"/>
      <c r="P195" s="115"/>
      <c r="Q195" s="35"/>
      <c r="R195" s="12" t="s">
        <v>398</v>
      </c>
      <c r="S195" s="13">
        <v>0.4</v>
      </c>
      <c r="T195" s="57" t="s">
        <v>3575</v>
      </c>
      <c r="U195" s="208">
        <f>ROUND((ROUND((_15_同援日４．０*(1+_15・盲ろう)),0)*(1+_15・区４)),0)</f>
        <v>1327</v>
      </c>
      <c r="V195" s="48"/>
    </row>
    <row r="196" spans="1:22" ht="16.5" customHeight="1" x14ac:dyDescent="0.15">
      <c r="A196" s="41">
        <v>15</v>
      </c>
      <c r="B196" s="41">
        <v>7876</v>
      </c>
      <c r="C196" s="74" t="s">
        <v>17772</v>
      </c>
      <c r="D196" s="72"/>
      <c r="F196" s="57"/>
      <c r="G196" s="43"/>
      <c r="H196" s="37"/>
      <c r="I196" s="38"/>
      <c r="J196" s="163" t="s">
        <v>17556</v>
      </c>
      <c r="K196" s="45" t="s">
        <v>398</v>
      </c>
      <c r="L196" s="46">
        <v>1</v>
      </c>
      <c r="M196" s="35" t="s">
        <v>17564</v>
      </c>
      <c r="P196" s="57"/>
      <c r="Q196" s="35"/>
      <c r="T196" s="57"/>
      <c r="U196" s="208">
        <f>ROUND((ROUND((ROUND((_15_同援日４．０*_15・２人),0)*(1+_15・盲ろう)),0)*(1+_15・区４)),0)</f>
        <v>1327</v>
      </c>
      <c r="V196" s="48"/>
    </row>
    <row r="197" spans="1:22" ht="16.5" customHeight="1" x14ac:dyDescent="0.15">
      <c r="A197" s="41">
        <v>15</v>
      </c>
      <c r="B197" s="41">
        <v>7877</v>
      </c>
      <c r="C197" s="74" t="s">
        <v>17773</v>
      </c>
      <c r="D197" s="72"/>
      <c r="F197" s="57"/>
      <c r="G197" s="53" t="s">
        <v>17558</v>
      </c>
      <c r="H197" s="49"/>
      <c r="I197" s="50"/>
      <c r="J197" s="163"/>
      <c r="K197" s="45"/>
      <c r="L197" s="46"/>
      <c r="M197" s="35"/>
      <c r="N197" s="12" t="s">
        <v>398</v>
      </c>
      <c r="O197" s="13">
        <v>0.25</v>
      </c>
      <c r="P197" s="57" t="s">
        <v>3575</v>
      </c>
      <c r="Q197" s="35"/>
      <c r="T197" s="57"/>
      <c r="U197" s="208">
        <f>ROUND((ROUND((ROUND((_15_同援日４．０*_15・基礎２),0)*(1+_15・盲ろう)),0)*(1+_15・区４)),0)</f>
        <v>1194</v>
      </c>
      <c r="V197" s="48"/>
    </row>
    <row r="198" spans="1:22" ht="16.5" customHeight="1" x14ac:dyDescent="0.15">
      <c r="A198" s="41">
        <v>15</v>
      </c>
      <c r="B198" s="41">
        <v>7878</v>
      </c>
      <c r="C198" s="74" t="s">
        <v>17774</v>
      </c>
      <c r="D198" s="122"/>
      <c r="E198" s="37"/>
      <c r="F198" s="79"/>
      <c r="G198" s="43" t="s">
        <v>17560</v>
      </c>
      <c r="H198" s="37" t="s">
        <v>398</v>
      </c>
      <c r="I198" s="38">
        <v>0.9</v>
      </c>
      <c r="J198" s="163" t="s">
        <v>17556</v>
      </c>
      <c r="K198" s="45" t="s">
        <v>398</v>
      </c>
      <c r="L198" s="46">
        <v>1</v>
      </c>
      <c r="M198" s="43"/>
      <c r="N198" s="37"/>
      <c r="O198" s="38"/>
      <c r="P198" s="79"/>
      <c r="Q198" s="43"/>
      <c r="R198" s="37"/>
      <c r="S198" s="38"/>
      <c r="T198" s="79"/>
      <c r="U198" s="208">
        <f>ROUND((ROUND((ROUND((ROUND((_15_同援日４．０*_15・基礎２),0)*_15・２人),0)*(1+_15・盲ろう)),0)*(1+_15・区４)),0)</f>
        <v>1194</v>
      </c>
      <c r="V198" s="63"/>
    </row>
    <row r="199" spans="1:22" ht="16.5" customHeight="1" x14ac:dyDescent="0.15">
      <c r="A199" s="41">
        <v>15</v>
      </c>
      <c r="B199" s="41">
        <v>7879</v>
      </c>
      <c r="C199" s="74" t="s">
        <v>17775</v>
      </c>
      <c r="D199" s="114" t="s">
        <v>17776</v>
      </c>
      <c r="E199" s="49"/>
      <c r="F199" s="115"/>
      <c r="G199" s="53"/>
      <c r="H199" s="49"/>
      <c r="I199" s="50"/>
      <c r="J199" s="163"/>
      <c r="K199" s="45"/>
      <c r="L199" s="46"/>
      <c r="M199" s="53"/>
      <c r="N199" s="49"/>
      <c r="O199" s="50"/>
      <c r="P199" s="115"/>
      <c r="Q199" s="53"/>
      <c r="R199" s="49"/>
      <c r="S199" s="50"/>
      <c r="T199" s="115"/>
      <c r="U199" s="208">
        <f>_15_同援日４．５</f>
        <v>823</v>
      </c>
      <c r="V199" s="64"/>
    </row>
    <row r="200" spans="1:22" ht="16.5" customHeight="1" x14ac:dyDescent="0.15">
      <c r="A200" s="41">
        <v>15</v>
      </c>
      <c r="B200" s="41">
        <v>7880</v>
      </c>
      <c r="C200" s="74" t="s">
        <v>17777</v>
      </c>
      <c r="D200" s="72" t="s">
        <v>17778</v>
      </c>
      <c r="F200" s="57"/>
      <c r="G200" s="43"/>
      <c r="H200" s="37"/>
      <c r="I200" s="38"/>
      <c r="J200" s="163" t="s">
        <v>17556</v>
      </c>
      <c r="K200" s="45" t="s">
        <v>398</v>
      </c>
      <c r="L200" s="46">
        <v>1</v>
      </c>
      <c r="M200" s="35"/>
      <c r="P200" s="57"/>
      <c r="Q200" s="35"/>
      <c r="T200" s="57"/>
      <c r="U200" s="208">
        <f>ROUND((_15_同援日４．５*_15・２人),0)</f>
        <v>823</v>
      </c>
      <c r="V200" s="48"/>
    </row>
    <row r="201" spans="1:22" ht="16.5" customHeight="1" x14ac:dyDescent="0.15">
      <c r="A201" s="41">
        <v>15</v>
      </c>
      <c r="B201" s="41">
        <v>7881</v>
      </c>
      <c r="C201" s="74" t="s">
        <v>17779</v>
      </c>
      <c r="D201" s="72" t="s">
        <v>17780</v>
      </c>
      <c r="F201" s="57"/>
      <c r="G201" s="53" t="s">
        <v>17558</v>
      </c>
      <c r="H201" s="49"/>
      <c r="I201" s="50"/>
      <c r="J201" s="163"/>
      <c r="K201" s="45"/>
      <c r="L201" s="46"/>
      <c r="M201" s="35"/>
      <c r="P201" s="57"/>
      <c r="Q201" s="35"/>
      <c r="T201" s="57"/>
      <c r="U201" s="208">
        <f>ROUND((_15_同援日４．５*_15・基礎２),0)</f>
        <v>741</v>
      </c>
      <c r="V201" s="48"/>
    </row>
    <row r="202" spans="1:22" ht="16.5" customHeight="1" x14ac:dyDescent="0.15">
      <c r="A202" s="41">
        <v>15</v>
      </c>
      <c r="B202" s="41">
        <v>7882</v>
      </c>
      <c r="C202" s="74" t="s">
        <v>17781</v>
      </c>
      <c r="D202" s="72"/>
      <c r="E202" s="168">
        <f>_15_同援日４．５</f>
        <v>823</v>
      </c>
      <c r="F202" s="57" t="s">
        <v>392</v>
      </c>
      <c r="G202" s="43" t="s">
        <v>17560</v>
      </c>
      <c r="H202" s="37" t="s">
        <v>398</v>
      </c>
      <c r="I202" s="38">
        <v>0.9</v>
      </c>
      <c r="J202" s="163" t="s">
        <v>17556</v>
      </c>
      <c r="K202" s="45" t="s">
        <v>398</v>
      </c>
      <c r="L202" s="46">
        <v>1</v>
      </c>
      <c r="M202" s="43"/>
      <c r="N202" s="37"/>
      <c r="O202" s="38"/>
      <c r="P202" s="79"/>
      <c r="Q202" s="35"/>
      <c r="T202" s="57"/>
      <c r="U202" s="208">
        <f>ROUND((ROUND((_15_同援日４．５*_15・基礎２),0)*_15・２人),0)</f>
        <v>741</v>
      </c>
      <c r="V202" s="48"/>
    </row>
    <row r="203" spans="1:22" ht="16.5" customHeight="1" x14ac:dyDescent="0.15">
      <c r="A203" s="41">
        <v>15</v>
      </c>
      <c r="B203" s="41">
        <v>7883</v>
      </c>
      <c r="C203" s="74" t="s">
        <v>17782</v>
      </c>
      <c r="D203" s="72"/>
      <c r="F203" s="57"/>
      <c r="G203" s="53"/>
      <c r="H203" s="49"/>
      <c r="I203" s="50"/>
      <c r="J203" s="163"/>
      <c r="K203" s="45"/>
      <c r="L203" s="46"/>
      <c r="M203" s="53" t="s">
        <v>17562</v>
      </c>
      <c r="N203" s="49"/>
      <c r="O203" s="50"/>
      <c r="P203" s="115"/>
      <c r="Q203" s="35"/>
      <c r="T203" s="57"/>
      <c r="U203" s="208">
        <f>ROUND((_15_同援日４．５*(1+_15・盲ろう)),0)</f>
        <v>1029</v>
      </c>
      <c r="V203" s="48"/>
    </row>
    <row r="204" spans="1:22" ht="16.5" customHeight="1" x14ac:dyDescent="0.15">
      <c r="A204" s="41">
        <v>15</v>
      </c>
      <c r="B204" s="41">
        <v>7884</v>
      </c>
      <c r="C204" s="74" t="s">
        <v>17783</v>
      </c>
      <c r="D204" s="72"/>
      <c r="F204" s="57"/>
      <c r="G204" s="43"/>
      <c r="H204" s="37"/>
      <c r="I204" s="38"/>
      <c r="J204" s="163" t="s">
        <v>17556</v>
      </c>
      <c r="K204" s="45" t="s">
        <v>398</v>
      </c>
      <c r="L204" s="46">
        <v>1</v>
      </c>
      <c r="M204" s="35" t="s">
        <v>17564</v>
      </c>
      <c r="P204" s="57"/>
      <c r="Q204" s="35"/>
      <c r="T204" s="57"/>
      <c r="U204" s="208">
        <f>ROUND((ROUND((_15_同援日４．５*_15・２人),0)*(1+_15・盲ろう)),0)</f>
        <v>1029</v>
      </c>
      <c r="V204" s="48"/>
    </row>
    <row r="205" spans="1:22" ht="16.5" customHeight="1" x14ac:dyDescent="0.15">
      <c r="A205" s="41">
        <v>15</v>
      </c>
      <c r="B205" s="41">
        <v>7885</v>
      </c>
      <c r="C205" s="74" t="s">
        <v>17784</v>
      </c>
      <c r="D205" s="72"/>
      <c r="F205" s="57"/>
      <c r="G205" s="53" t="s">
        <v>17558</v>
      </c>
      <c r="H205" s="49"/>
      <c r="I205" s="50"/>
      <c r="J205" s="163"/>
      <c r="K205" s="45"/>
      <c r="L205" s="46"/>
      <c r="M205" s="35"/>
      <c r="N205" s="12" t="s">
        <v>398</v>
      </c>
      <c r="O205" s="13">
        <v>0.25</v>
      </c>
      <c r="P205" s="57" t="s">
        <v>3575</v>
      </c>
      <c r="Q205" s="35"/>
      <c r="T205" s="57"/>
      <c r="U205" s="208">
        <f>ROUND((ROUND((_15_同援日４．５*_15・基礎２),0)*(1+_15・盲ろう)),0)</f>
        <v>926</v>
      </c>
      <c r="V205" s="48"/>
    </row>
    <row r="206" spans="1:22" ht="16.5" customHeight="1" x14ac:dyDescent="0.15">
      <c r="A206" s="41">
        <v>15</v>
      </c>
      <c r="B206" s="41">
        <v>7886</v>
      </c>
      <c r="C206" s="74" t="s">
        <v>17785</v>
      </c>
      <c r="D206" s="72"/>
      <c r="F206" s="57"/>
      <c r="G206" s="43" t="s">
        <v>17560</v>
      </c>
      <c r="H206" s="37" t="s">
        <v>398</v>
      </c>
      <c r="I206" s="38">
        <v>0.9</v>
      </c>
      <c r="J206" s="163" t="s">
        <v>17556</v>
      </c>
      <c r="K206" s="45" t="s">
        <v>398</v>
      </c>
      <c r="L206" s="46">
        <v>1</v>
      </c>
      <c r="M206" s="43"/>
      <c r="N206" s="37"/>
      <c r="O206" s="38"/>
      <c r="P206" s="79"/>
      <c r="Q206" s="43"/>
      <c r="R206" s="37"/>
      <c r="S206" s="38"/>
      <c r="T206" s="79"/>
      <c r="U206" s="208">
        <f>ROUND((ROUND((ROUND((_15_同援日４．５*_15・基礎２),0)*_15・２人),0)*(1+_15・盲ろう)),0)</f>
        <v>926</v>
      </c>
      <c r="V206" s="48"/>
    </row>
    <row r="207" spans="1:22" ht="16.5" customHeight="1" x14ac:dyDescent="0.15">
      <c r="A207" s="41">
        <v>15</v>
      </c>
      <c r="B207" s="41">
        <v>7887</v>
      </c>
      <c r="C207" s="74" t="s">
        <v>17786</v>
      </c>
      <c r="D207" s="72"/>
      <c r="F207" s="57"/>
      <c r="G207" s="53"/>
      <c r="H207" s="49"/>
      <c r="I207" s="50"/>
      <c r="J207" s="163"/>
      <c r="K207" s="45"/>
      <c r="L207" s="46"/>
      <c r="M207" s="53"/>
      <c r="N207" s="49"/>
      <c r="O207" s="50"/>
      <c r="P207" s="115"/>
      <c r="Q207" s="53"/>
      <c r="R207" s="49"/>
      <c r="S207" s="50"/>
      <c r="T207" s="115"/>
      <c r="U207" s="208">
        <f>ROUND((_15_同援日４．５*(1+_15・区３)),0)</f>
        <v>988</v>
      </c>
      <c r="V207" s="48"/>
    </row>
    <row r="208" spans="1:22" ht="16.5" customHeight="1" x14ac:dyDescent="0.15">
      <c r="A208" s="41">
        <v>15</v>
      </c>
      <c r="B208" s="41">
        <v>7888</v>
      </c>
      <c r="C208" s="74" t="s">
        <v>17787</v>
      </c>
      <c r="D208" s="72"/>
      <c r="F208" s="57"/>
      <c r="G208" s="43"/>
      <c r="H208" s="37"/>
      <c r="I208" s="38"/>
      <c r="J208" s="163" t="s">
        <v>17556</v>
      </c>
      <c r="K208" s="45" t="s">
        <v>398</v>
      </c>
      <c r="L208" s="46">
        <v>1</v>
      </c>
      <c r="M208" s="35"/>
      <c r="P208" s="57"/>
      <c r="Q208" s="35"/>
      <c r="T208" s="57"/>
      <c r="U208" s="208">
        <f>ROUND((ROUND((_15_同援日４．５*_15・２人),0)*(1+_15・区３)),0)</f>
        <v>988</v>
      </c>
      <c r="V208" s="48"/>
    </row>
    <row r="209" spans="1:22" ht="16.5" customHeight="1" x14ac:dyDescent="0.15">
      <c r="A209" s="41">
        <v>15</v>
      </c>
      <c r="B209" s="41">
        <v>7889</v>
      </c>
      <c r="C209" s="74" t="s">
        <v>17788</v>
      </c>
      <c r="D209" s="72"/>
      <c r="F209" s="57"/>
      <c r="G209" s="53" t="s">
        <v>17558</v>
      </c>
      <c r="H209" s="49"/>
      <c r="I209" s="50"/>
      <c r="J209" s="163"/>
      <c r="K209" s="45"/>
      <c r="L209" s="46"/>
      <c r="M209" s="35"/>
      <c r="P209" s="57"/>
      <c r="Q209" s="35" t="s">
        <v>17570</v>
      </c>
      <c r="T209" s="57"/>
      <c r="U209" s="208">
        <f>ROUND((ROUND((_15_同援日４．５*_15・基礎２),0)*(1+_15・区３)),0)</f>
        <v>889</v>
      </c>
      <c r="V209" s="48"/>
    </row>
    <row r="210" spans="1:22" ht="16.5" customHeight="1" x14ac:dyDescent="0.15">
      <c r="A210" s="41">
        <v>15</v>
      </c>
      <c r="B210" s="41">
        <v>7890</v>
      </c>
      <c r="C210" s="74" t="s">
        <v>17789</v>
      </c>
      <c r="D210" s="72"/>
      <c r="F210" s="57"/>
      <c r="G210" s="43" t="s">
        <v>17560</v>
      </c>
      <c r="H210" s="37" t="s">
        <v>398</v>
      </c>
      <c r="I210" s="38">
        <v>0.9</v>
      </c>
      <c r="J210" s="163" t="s">
        <v>17556</v>
      </c>
      <c r="K210" s="45" t="s">
        <v>398</v>
      </c>
      <c r="L210" s="46">
        <v>1</v>
      </c>
      <c r="M210" s="43"/>
      <c r="N210" s="37"/>
      <c r="O210" s="38"/>
      <c r="P210" s="79"/>
      <c r="Q210" s="35" t="s">
        <v>17572</v>
      </c>
      <c r="T210" s="57"/>
      <c r="U210" s="208">
        <f>ROUND((ROUND((ROUND((_15_同援日４．５*_15・基礎２),0)*_15・２人),0)*(1+_15・区３)),0)</f>
        <v>889</v>
      </c>
      <c r="V210" s="48"/>
    </row>
    <row r="211" spans="1:22" ht="16.5" customHeight="1" x14ac:dyDescent="0.15">
      <c r="A211" s="41">
        <v>15</v>
      </c>
      <c r="B211" s="41">
        <v>7891</v>
      </c>
      <c r="C211" s="74" t="s">
        <v>17790</v>
      </c>
      <c r="D211" s="72"/>
      <c r="F211" s="57"/>
      <c r="G211" s="53"/>
      <c r="H211" s="49"/>
      <c r="I211" s="50"/>
      <c r="J211" s="163"/>
      <c r="K211" s="45"/>
      <c r="L211" s="46"/>
      <c r="M211" s="53" t="s">
        <v>17562</v>
      </c>
      <c r="N211" s="49"/>
      <c r="O211" s="50"/>
      <c r="P211" s="115"/>
      <c r="Q211" s="35"/>
      <c r="R211" s="12" t="s">
        <v>398</v>
      </c>
      <c r="S211" s="13">
        <v>0.2</v>
      </c>
      <c r="T211" s="57" t="s">
        <v>3575</v>
      </c>
      <c r="U211" s="208">
        <f>ROUND((ROUND((_15_同援日４．５*(1+_15・盲ろう)),0)*(1+_15・区３)),0)</f>
        <v>1235</v>
      </c>
      <c r="V211" s="48"/>
    </row>
    <row r="212" spans="1:22" ht="16.5" customHeight="1" x14ac:dyDescent="0.15">
      <c r="A212" s="41">
        <v>15</v>
      </c>
      <c r="B212" s="41">
        <v>7892</v>
      </c>
      <c r="C212" s="74" t="s">
        <v>17791</v>
      </c>
      <c r="D212" s="72"/>
      <c r="F212" s="57"/>
      <c r="G212" s="43"/>
      <c r="H212" s="37"/>
      <c r="I212" s="38"/>
      <c r="J212" s="163" t="s">
        <v>17556</v>
      </c>
      <c r="K212" s="45" t="s">
        <v>398</v>
      </c>
      <c r="L212" s="46">
        <v>1</v>
      </c>
      <c r="M212" s="35" t="s">
        <v>17564</v>
      </c>
      <c r="P212" s="57"/>
      <c r="Q212" s="35"/>
      <c r="T212" s="57"/>
      <c r="U212" s="208">
        <f>ROUND((ROUND((ROUND((_15_同援日４．５*_15・２人),0)*(1+_15・盲ろう)),0)*(1+_15・区３)),0)</f>
        <v>1235</v>
      </c>
      <c r="V212" s="48"/>
    </row>
    <row r="213" spans="1:22" ht="16.5" customHeight="1" x14ac:dyDescent="0.15">
      <c r="A213" s="41">
        <v>15</v>
      </c>
      <c r="B213" s="41">
        <v>7893</v>
      </c>
      <c r="C213" s="74" t="s">
        <v>17792</v>
      </c>
      <c r="D213" s="72"/>
      <c r="F213" s="57"/>
      <c r="G213" s="53" t="s">
        <v>17558</v>
      </c>
      <c r="H213" s="49"/>
      <c r="I213" s="50"/>
      <c r="J213" s="163"/>
      <c r="K213" s="45"/>
      <c r="L213" s="46"/>
      <c r="M213" s="35"/>
      <c r="N213" s="12" t="s">
        <v>398</v>
      </c>
      <c r="O213" s="13">
        <v>0.25</v>
      </c>
      <c r="P213" s="57" t="s">
        <v>3575</v>
      </c>
      <c r="Q213" s="35"/>
      <c r="T213" s="57"/>
      <c r="U213" s="208">
        <f>ROUND((ROUND((ROUND((_15_同援日４．５*_15・基礎２),0)*(1+_15・盲ろう)),0)*(1+_15・区３)),0)</f>
        <v>1111</v>
      </c>
      <c r="V213" s="48"/>
    </row>
    <row r="214" spans="1:22" ht="16.5" customHeight="1" x14ac:dyDescent="0.15">
      <c r="A214" s="41">
        <v>15</v>
      </c>
      <c r="B214" s="41">
        <v>7894</v>
      </c>
      <c r="C214" s="74" t="s">
        <v>17793</v>
      </c>
      <c r="D214" s="72"/>
      <c r="F214" s="57"/>
      <c r="G214" s="43" t="s">
        <v>17560</v>
      </c>
      <c r="H214" s="37" t="s">
        <v>398</v>
      </c>
      <c r="I214" s="38">
        <v>0.9</v>
      </c>
      <c r="J214" s="163" t="s">
        <v>17556</v>
      </c>
      <c r="K214" s="45" t="s">
        <v>398</v>
      </c>
      <c r="L214" s="46">
        <v>1</v>
      </c>
      <c r="M214" s="43"/>
      <c r="N214" s="37"/>
      <c r="O214" s="38"/>
      <c r="P214" s="79"/>
      <c r="Q214" s="43"/>
      <c r="R214" s="37"/>
      <c r="S214" s="38"/>
      <c r="T214" s="79"/>
      <c r="U214" s="208">
        <f>ROUND((ROUND((ROUND((ROUND((_15_同援日４．５*_15・基礎２),0)*_15・２人),0)*(1+_15・盲ろう)),0)*(1+_15・区３)),0)</f>
        <v>1111</v>
      </c>
      <c r="V214" s="48"/>
    </row>
    <row r="215" spans="1:22" ht="16.5" customHeight="1" x14ac:dyDescent="0.15">
      <c r="A215" s="41">
        <v>15</v>
      </c>
      <c r="B215" s="41">
        <v>7895</v>
      </c>
      <c r="C215" s="74" t="s">
        <v>17794</v>
      </c>
      <c r="D215" s="72"/>
      <c r="F215" s="57"/>
      <c r="G215" s="53"/>
      <c r="H215" s="49"/>
      <c r="I215" s="50"/>
      <c r="J215" s="163"/>
      <c r="K215" s="45"/>
      <c r="L215" s="46"/>
      <c r="M215" s="53"/>
      <c r="N215" s="49"/>
      <c r="O215" s="50"/>
      <c r="P215" s="115"/>
      <c r="Q215" s="53"/>
      <c r="R215" s="49"/>
      <c r="S215" s="50"/>
      <c r="T215" s="115"/>
      <c r="U215" s="208">
        <f>ROUND((_15_同援日４．５*(1+_15・区４)),0)</f>
        <v>1152</v>
      </c>
      <c r="V215" s="48"/>
    </row>
    <row r="216" spans="1:22" ht="16.5" customHeight="1" x14ac:dyDescent="0.15">
      <c r="A216" s="41">
        <v>15</v>
      </c>
      <c r="B216" s="41">
        <v>7896</v>
      </c>
      <c r="C216" s="74" t="s">
        <v>17795</v>
      </c>
      <c r="D216" s="72"/>
      <c r="F216" s="57"/>
      <c r="G216" s="43"/>
      <c r="H216" s="37"/>
      <c r="I216" s="38"/>
      <c r="J216" s="163" t="s">
        <v>17556</v>
      </c>
      <c r="K216" s="45" t="s">
        <v>398</v>
      </c>
      <c r="L216" s="46">
        <v>1</v>
      </c>
      <c r="M216" s="35"/>
      <c r="P216" s="57"/>
      <c r="Q216" s="35"/>
      <c r="T216" s="57"/>
      <c r="U216" s="208">
        <f>ROUND((ROUND((_15_同援日４．５*_15・２人),0)*(1+_15・区４)),0)</f>
        <v>1152</v>
      </c>
      <c r="V216" s="48"/>
    </row>
    <row r="217" spans="1:22" ht="16.5" customHeight="1" x14ac:dyDescent="0.15">
      <c r="A217" s="41">
        <v>15</v>
      </c>
      <c r="B217" s="41">
        <v>7897</v>
      </c>
      <c r="C217" s="74" t="s">
        <v>17796</v>
      </c>
      <c r="D217" s="72"/>
      <c r="F217" s="57"/>
      <c r="G217" s="53" t="s">
        <v>17558</v>
      </c>
      <c r="H217" s="49"/>
      <c r="I217" s="50"/>
      <c r="J217" s="163"/>
      <c r="K217" s="45"/>
      <c r="L217" s="46"/>
      <c r="M217" s="35"/>
      <c r="P217" s="57"/>
      <c r="Q217" s="35" t="s">
        <v>17580</v>
      </c>
      <c r="T217" s="57"/>
      <c r="U217" s="208">
        <f>ROUND((ROUND((_15_同援日４．５*_15・基礎２),0)*(1+_15・区４)),0)</f>
        <v>1037</v>
      </c>
      <c r="V217" s="48"/>
    </row>
    <row r="218" spans="1:22" ht="16.5" customHeight="1" x14ac:dyDescent="0.15">
      <c r="A218" s="41">
        <v>15</v>
      </c>
      <c r="B218" s="41">
        <v>7898</v>
      </c>
      <c r="C218" s="74" t="s">
        <v>17797</v>
      </c>
      <c r="D218" s="72"/>
      <c r="F218" s="57"/>
      <c r="G218" s="43" t="s">
        <v>17560</v>
      </c>
      <c r="H218" s="37" t="s">
        <v>398</v>
      </c>
      <c r="I218" s="38">
        <v>0.9</v>
      </c>
      <c r="J218" s="163" t="s">
        <v>17556</v>
      </c>
      <c r="K218" s="45" t="s">
        <v>398</v>
      </c>
      <c r="L218" s="46">
        <v>1</v>
      </c>
      <c r="M218" s="43"/>
      <c r="N218" s="37"/>
      <c r="O218" s="38"/>
      <c r="P218" s="79"/>
      <c r="Q218" s="35" t="s">
        <v>17572</v>
      </c>
      <c r="T218" s="57"/>
      <c r="U218" s="208">
        <f>ROUND((ROUND((ROUND((_15_同援日４．５*_15・基礎２),0)*_15・２人),0)*(1+_15・区４)),0)</f>
        <v>1037</v>
      </c>
      <c r="V218" s="48"/>
    </row>
    <row r="219" spans="1:22" ht="16.5" customHeight="1" x14ac:dyDescent="0.15">
      <c r="A219" s="41">
        <v>15</v>
      </c>
      <c r="B219" s="41">
        <v>7899</v>
      </c>
      <c r="C219" s="74" t="s">
        <v>17798</v>
      </c>
      <c r="D219" s="72"/>
      <c r="F219" s="57"/>
      <c r="G219" s="53"/>
      <c r="H219" s="49"/>
      <c r="I219" s="50"/>
      <c r="J219" s="163"/>
      <c r="K219" s="45"/>
      <c r="L219" s="46"/>
      <c r="M219" s="53" t="s">
        <v>17562</v>
      </c>
      <c r="N219" s="49"/>
      <c r="O219" s="50"/>
      <c r="P219" s="115"/>
      <c r="Q219" s="35"/>
      <c r="R219" s="12" t="s">
        <v>398</v>
      </c>
      <c r="S219" s="13">
        <v>0.4</v>
      </c>
      <c r="T219" s="57" t="s">
        <v>3575</v>
      </c>
      <c r="U219" s="208">
        <f>ROUND((ROUND((_15_同援日４．５*(1+_15・盲ろう)),0)*(1+_15・区４)),0)</f>
        <v>1441</v>
      </c>
      <c r="V219" s="48"/>
    </row>
    <row r="220" spans="1:22" ht="16.5" customHeight="1" x14ac:dyDescent="0.15">
      <c r="A220" s="41">
        <v>15</v>
      </c>
      <c r="B220" s="41">
        <v>7900</v>
      </c>
      <c r="C220" s="74" t="s">
        <v>17799</v>
      </c>
      <c r="D220" s="72"/>
      <c r="F220" s="57"/>
      <c r="G220" s="43"/>
      <c r="H220" s="37"/>
      <c r="I220" s="38"/>
      <c r="J220" s="163" t="s">
        <v>17556</v>
      </c>
      <c r="K220" s="45" t="s">
        <v>398</v>
      </c>
      <c r="L220" s="46">
        <v>1</v>
      </c>
      <c r="M220" s="35" t="s">
        <v>17564</v>
      </c>
      <c r="P220" s="57"/>
      <c r="Q220" s="35"/>
      <c r="T220" s="57"/>
      <c r="U220" s="208">
        <f>ROUND((ROUND((ROUND((_15_同援日４．５*_15・２人),0)*(1+_15・盲ろう)),0)*(1+_15・区４)),0)</f>
        <v>1441</v>
      </c>
      <c r="V220" s="48"/>
    </row>
    <row r="221" spans="1:22" ht="16.5" customHeight="1" x14ac:dyDescent="0.15">
      <c r="A221" s="41">
        <v>15</v>
      </c>
      <c r="B221" s="41">
        <v>7901</v>
      </c>
      <c r="C221" s="74" t="s">
        <v>17800</v>
      </c>
      <c r="D221" s="72"/>
      <c r="F221" s="57"/>
      <c r="G221" s="53" t="s">
        <v>17558</v>
      </c>
      <c r="H221" s="49"/>
      <c r="I221" s="50"/>
      <c r="J221" s="163"/>
      <c r="K221" s="45"/>
      <c r="L221" s="46"/>
      <c r="M221" s="35"/>
      <c r="N221" s="12" t="s">
        <v>398</v>
      </c>
      <c r="O221" s="13">
        <v>0.25</v>
      </c>
      <c r="P221" s="57" t="s">
        <v>3575</v>
      </c>
      <c r="Q221" s="35"/>
      <c r="T221" s="57"/>
      <c r="U221" s="208">
        <f>ROUND((ROUND((ROUND((_15_同援日４．５*_15・基礎２),0)*(1+_15・盲ろう)),0)*(1+_15・区４)),0)</f>
        <v>1296</v>
      </c>
      <c r="V221" s="48"/>
    </row>
    <row r="222" spans="1:22" ht="16.5" customHeight="1" x14ac:dyDescent="0.15">
      <c r="A222" s="41">
        <v>15</v>
      </c>
      <c r="B222" s="41">
        <v>7902</v>
      </c>
      <c r="C222" s="74" t="s">
        <v>17801</v>
      </c>
      <c r="D222" s="122"/>
      <c r="E222" s="37"/>
      <c r="F222" s="79"/>
      <c r="G222" s="43" t="s">
        <v>17560</v>
      </c>
      <c r="H222" s="37" t="s">
        <v>398</v>
      </c>
      <c r="I222" s="38">
        <v>0.9</v>
      </c>
      <c r="J222" s="163" t="s">
        <v>17556</v>
      </c>
      <c r="K222" s="45" t="s">
        <v>398</v>
      </c>
      <c r="L222" s="46">
        <v>1</v>
      </c>
      <c r="M222" s="43"/>
      <c r="N222" s="37"/>
      <c r="O222" s="38"/>
      <c r="P222" s="79"/>
      <c r="Q222" s="43"/>
      <c r="R222" s="37"/>
      <c r="S222" s="38"/>
      <c r="T222" s="79"/>
      <c r="U222" s="208">
        <f>ROUND((ROUND((ROUND((ROUND((_15_同援日４．５*_15・基礎２),0)*_15・２人),0)*(1+_15・盲ろう)),0)*(1+_15・区４)),0)</f>
        <v>1296</v>
      </c>
      <c r="V222" s="48"/>
    </row>
    <row r="223" spans="1:22" ht="16.5" customHeight="1" x14ac:dyDescent="0.15">
      <c r="A223" s="41">
        <v>15</v>
      </c>
      <c r="B223" s="41">
        <v>7903</v>
      </c>
      <c r="C223" s="74" t="s">
        <v>17802</v>
      </c>
      <c r="D223" s="114" t="s">
        <v>17803</v>
      </c>
      <c r="E223" s="49"/>
      <c r="F223" s="115"/>
      <c r="G223" s="53"/>
      <c r="H223" s="49"/>
      <c r="I223" s="50"/>
      <c r="J223" s="163"/>
      <c r="K223" s="45"/>
      <c r="L223" s="46"/>
      <c r="M223" s="53"/>
      <c r="N223" s="49"/>
      <c r="O223" s="50"/>
      <c r="P223" s="115"/>
      <c r="Q223" s="53"/>
      <c r="R223" s="49"/>
      <c r="S223" s="50"/>
      <c r="T223" s="115"/>
      <c r="U223" s="208">
        <f>_15_同援日５．０</f>
        <v>888</v>
      </c>
      <c r="V223" s="48"/>
    </row>
    <row r="224" spans="1:22" ht="16.5" customHeight="1" x14ac:dyDescent="0.15">
      <c r="A224" s="41">
        <v>15</v>
      </c>
      <c r="B224" s="41">
        <v>7904</v>
      </c>
      <c r="C224" s="74" t="s">
        <v>17804</v>
      </c>
      <c r="D224" s="72" t="s">
        <v>17805</v>
      </c>
      <c r="F224" s="57"/>
      <c r="G224" s="43"/>
      <c r="H224" s="37"/>
      <c r="I224" s="38"/>
      <c r="J224" s="163" t="s">
        <v>17556</v>
      </c>
      <c r="K224" s="45" t="s">
        <v>398</v>
      </c>
      <c r="L224" s="46">
        <v>1</v>
      </c>
      <c r="M224" s="35"/>
      <c r="P224" s="57"/>
      <c r="Q224" s="35"/>
      <c r="T224" s="57"/>
      <c r="U224" s="208">
        <f>ROUND((_15_同援日５．０*_15・２人),0)</f>
        <v>888</v>
      </c>
      <c r="V224" s="48"/>
    </row>
    <row r="225" spans="1:22" ht="16.5" customHeight="1" x14ac:dyDescent="0.15">
      <c r="A225" s="41">
        <v>15</v>
      </c>
      <c r="B225" s="41">
        <v>7905</v>
      </c>
      <c r="C225" s="74" t="s">
        <v>17806</v>
      </c>
      <c r="D225" s="72" t="s">
        <v>17807</v>
      </c>
      <c r="F225" s="57"/>
      <c r="G225" s="53" t="s">
        <v>17558</v>
      </c>
      <c r="H225" s="49"/>
      <c r="I225" s="50"/>
      <c r="J225" s="163"/>
      <c r="K225" s="45"/>
      <c r="L225" s="46"/>
      <c r="M225" s="35"/>
      <c r="P225" s="57"/>
      <c r="Q225" s="35"/>
      <c r="T225" s="57"/>
      <c r="U225" s="208">
        <f>ROUND((_15_同援日５．０*_15・基礎２),0)</f>
        <v>799</v>
      </c>
      <c r="V225" s="48"/>
    </row>
    <row r="226" spans="1:22" ht="16.5" customHeight="1" x14ac:dyDescent="0.15">
      <c r="A226" s="41">
        <v>15</v>
      </c>
      <c r="B226" s="41">
        <v>7906</v>
      </c>
      <c r="C226" s="74" t="s">
        <v>17808</v>
      </c>
      <c r="D226" s="72"/>
      <c r="E226" s="168">
        <f>_15_同援日５．０</f>
        <v>888</v>
      </c>
      <c r="F226" s="57" t="s">
        <v>392</v>
      </c>
      <c r="G226" s="43" t="s">
        <v>17560</v>
      </c>
      <c r="H226" s="37" t="s">
        <v>398</v>
      </c>
      <c r="I226" s="38">
        <v>0.9</v>
      </c>
      <c r="J226" s="163" t="s">
        <v>17556</v>
      </c>
      <c r="K226" s="45" t="s">
        <v>398</v>
      </c>
      <c r="L226" s="46">
        <v>1</v>
      </c>
      <c r="M226" s="43"/>
      <c r="N226" s="37"/>
      <c r="O226" s="38"/>
      <c r="P226" s="79"/>
      <c r="Q226" s="35"/>
      <c r="T226" s="57"/>
      <c r="U226" s="208">
        <f>ROUND((ROUND((_15_同援日５．０*_15・基礎２),0)*_15・２人),0)</f>
        <v>799</v>
      </c>
      <c r="V226" s="48"/>
    </row>
    <row r="227" spans="1:22" ht="16.5" customHeight="1" x14ac:dyDescent="0.15">
      <c r="A227" s="41">
        <v>15</v>
      </c>
      <c r="B227" s="41">
        <v>7907</v>
      </c>
      <c r="C227" s="74" t="s">
        <v>17809</v>
      </c>
      <c r="D227" s="72"/>
      <c r="F227" s="57"/>
      <c r="G227" s="53"/>
      <c r="H227" s="49"/>
      <c r="I227" s="50"/>
      <c r="J227" s="163"/>
      <c r="K227" s="45"/>
      <c r="L227" s="46"/>
      <c r="M227" s="53" t="s">
        <v>17562</v>
      </c>
      <c r="N227" s="49"/>
      <c r="O227" s="50"/>
      <c r="P227" s="115"/>
      <c r="Q227" s="35"/>
      <c r="T227" s="57"/>
      <c r="U227" s="208">
        <f>ROUND((_15_同援日５．０*(1+_15・盲ろう)),0)</f>
        <v>1110</v>
      </c>
      <c r="V227" s="48"/>
    </row>
    <row r="228" spans="1:22" ht="16.5" customHeight="1" x14ac:dyDescent="0.15">
      <c r="A228" s="41">
        <v>15</v>
      </c>
      <c r="B228" s="41">
        <v>7908</v>
      </c>
      <c r="C228" s="74" t="s">
        <v>17810</v>
      </c>
      <c r="D228" s="72"/>
      <c r="F228" s="57"/>
      <c r="G228" s="43"/>
      <c r="H228" s="37"/>
      <c r="I228" s="38"/>
      <c r="J228" s="163" t="s">
        <v>17556</v>
      </c>
      <c r="K228" s="45" t="s">
        <v>398</v>
      </c>
      <c r="L228" s="46">
        <v>1</v>
      </c>
      <c r="M228" s="35" t="s">
        <v>17564</v>
      </c>
      <c r="P228" s="57"/>
      <c r="Q228" s="35"/>
      <c r="T228" s="57"/>
      <c r="U228" s="208">
        <f>ROUND((ROUND((_15_同援日５．０*_15・２人),0)*(1+_15・盲ろう)),0)</f>
        <v>1110</v>
      </c>
      <c r="V228" s="48"/>
    </row>
    <row r="229" spans="1:22" ht="16.5" customHeight="1" x14ac:dyDescent="0.15">
      <c r="A229" s="41">
        <v>15</v>
      </c>
      <c r="B229" s="41">
        <v>7909</v>
      </c>
      <c r="C229" s="74" t="s">
        <v>17811</v>
      </c>
      <c r="D229" s="72"/>
      <c r="F229" s="57"/>
      <c r="G229" s="53" t="s">
        <v>17558</v>
      </c>
      <c r="H229" s="49"/>
      <c r="I229" s="50"/>
      <c r="J229" s="163"/>
      <c r="K229" s="45"/>
      <c r="L229" s="46"/>
      <c r="M229" s="35"/>
      <c r="N229" s="12" t="s">
        <v>398</v>
      </c>
      <c r="O229" s="13">
        <v>0.25</v>
      </c>
      <c r="P229" s="57" t="s">
        <v>3575</v>
      </c>
      <c r="Q229" s="35"/>
      <c r="T229" s="57"/>
      <c r="U229" s="208">
        <f>ROUND((ROUND((_15_同援日５．０*_15・基礎２),0)*(1+_15・盲ろう)),0)</f>
        <v>999</v>
      </c>
      <c r="V229" s="48"/>
    </row>
    <row r="230" spans="1:22" ht="16.5" customHeight="1" x14ac:dyDescent="0.15">
      <c r="A230" s="41">
        <v>15</v>
      </c>
      <c r="B230" s="41">
        <v>7910</v>
      </c>
      <c r="C230" s="74" t="s">
        <v>17812</v>
      </c>
      <c r="D230" s="72"/>
      <c r="F230" s="57"/>
      <c r="G230" s="43" t="s">
        <v>17560</v>
      </c>
      <c r="H230" s="37" t="s">
        <v>398</v>
      </c>
      <c r="I230" s="38">
        <v>0.9</v>
      </c>
      <c r="J230" s="163" t="s">
        <v>17556</v>
      </c>
      <c r="K230" s="45" t="s">
        <v>398</v>
      </c>
      <c r="L230" s="46">
        <v>1</v>
      </c>
      <c r="M230" s="43"/>
      <c r="N230" s="37"/>
      <c r="O230" s="38"/>
      <c r="P230" s="79"/>
      <c r="Q230" s="43"/>
      <c r="R230" s="37"/>
      <c r="S230" s="38"/>
      <c r="T230" s="79"/>
      <c r="U230" s="208">
        <f>ROUND((ROUND((ROUND((_15_同援日５．０*_15・基礎２),0)*_15・２人),0)*(1+_15・盲ろう)),0)</f>
        <v>999</v>
      </c>
      <c r="V230" s="48"/>
    </row>
    <row r="231" spans="1:22" ht="16.5" customHeight="1" x14ac:dyDescent="0.15">
      <c r="A231" s="41">
        <v>15</v>
      </c>
      <c r="B231" s="41">
        <v>7911</v>
      </c>
      <c r="C231" s="74" t="s">
        <v>17813</v>
      </c>
      <c r="D231" s="72"/>
      <c r="F231" s="57"/>
      <c r="G231" s="53"/>
      <c r="H231" s="49"/>
      <c r="I231" s="50"/>
      <c r="J231" s="163"/>
      <c r="K231" s="45"/>
      <c r="L231" s="46"/>
      <c r="M231" s="53"/>
      <c r="N231" s="49"/>
      <c r="O231" s="50"/>
      <c r="P231" s="115"/>
      <c r="Q231" s="53"/>
      <c r="R231" s="49"/>
      <c r="S231" s="50"/>
      <c r="T231" s="115"/>
      <c r="U231" s="208">
        <f>ROUND((_15_同援日５．０*(1+_15・区３)),0)</f>
        <v>1066</v>
      </c>
      <c r="V231" s="48"/>
    </row>
    <row r="232" spans="1:22" ht="16.5" customHeight="1" x14ac:dyDescent="0.15">
      <c r="A232" s="41">
        <v>15</v>
      </c>
      <c r="B232" s="41">
        <v>7912</v>
      </c>
      <c r="C232" s="74" t="s">
        <v>17814</v>
      </c>
      <c r="D232" s="72"/>
      <c r="F232" s="57"/>
      <c r="G232" s="43"/>
      <c r="H232" s="37"/>
      <c r="I232" s="38"/>
      <c r="J232" s="163" t="s">
        <v>17556</v>
      </c>
      <c r="K232" s="45" t="s">
        <v>398</v>
      </c>
      <c r="L232" s="46">
        <v>1</v>
      </c>
      <c r="M232" s="35"/>
      <c r="P232" s="57"/>
      <c r="Q232" s="35"/>
      <c r="T232" s="57"/>
      <c r="U232" s="208">
        <f>ROUND((ROUND((_15_同援日５．０*_15・２人),0)*(1+_15・区３)),0)</f>
        <v>1066</v>
      </c>
      <c r="V232" s="48"/>
    </row>
    <row r="233" spans="1:22" ht="16.5" customHeight="1" x14ac:dyDescent="0.15">
      <c r="A233" s="41">
        <v>15</v>
      </c>
      <c r="B233" s="41">
        <v>7913</v>
      </c>
      <c r="C233" s="74" t="s">
        <v>17815</v>
      </c>
      <c r="D233" s="72"/>
      <c r="F233" s="57"/>
      <c r="G233" s="53" t="s">
        <v>17558</v>
      </c>
      <c r="H233" s="49"/>
      <c r="I233" s="50"/>
      <c r="J233" s="163"/>
      <c r="K233" s="45"/>
      <c r="L233" s="46"/>
      <c r="M233" s="35"/>
      <c r="P233" s="57"/>
      <c r="Q233" s="35" t="s">
        <v>17570</v>
      </c>
      <c r="T233" s="57"/>
      <c r="U233" s="208">
        <f>ROUND((ROUND((_15_同援日５．０*_15・基礎２),0)*(1+_15・区３)),0)</f>
        <v>959</v>
      </c>
      <c r="V233" s="48"/>
    </row>
    <row r="234" spans="1:22" ht="16.5" customHeight="1" x14ac:dyDescent="0.15">
      <c r="A234" s="41">
        <v>15</v>
      </c>
      <c r="B234" s="41">
        <v>7914</v>
      </c>
      <c r="C234" s="74" t="s">
        <v>17816</v>
      </c>
      <c r="D234" s="72"/>
      <c r="F234" s="57"/>
      <c r="G234" s="43" t="s">
        <v>17560</v>
      </c>
      <c r="H234" s="37" t="s">
        <v>398</v>
      </c>
      <c r="I234" s="38">
        <v>0.9</v>
      </c>
      <c r="J234" s="163" t="s">
        <v>17556</v>
      </c>
      <c r="K234" s="45" t="s">
        <v>398</v>
      </c>
      <c r="L234" s="46">
        <v>1</v>
      </c>
      <c r="M234" s="43"/>
      <c r="N234" s="37"/>
      <c r="O234" s="38"/>
      <c r="P234" s="79"/>
      <c r="Q234" s="35" t="s">
        <v>17572</v>
      </c>
      <c r="T234" s="57"/>
      <c r="U234" s="208">
        <f>ROUND((ROUND((ROUND((_15_同援日５．０*_15・基礎２),0)*_15・２人),0)*(1+_15・区３)),0)</f>
        <v>959</v>
      </c>
      <c r="V234" s="48"/>
    </row>
    <row r="235" spans="1:22" ht="16.5" customHeight="1" x14ac:dyDescent="0.15">
      <c r="A235" s="41">
        <v>15</v>
      </c>
      <c r="B235" s="41">
        <v>7915</v>
      </c>
      <c r="C235" s="74" t="s">
        <v>17817</v>
      </c>
      <c r="D235" s="72"/>
      <c r="F235" s="57"/>
      <c r="G235" s="53"/>
      <c r="H235" s="49"/>
      <c r="I235" s="50"/>
      <c r="J235" s="163"/>
      <c r="K235" s="45"/>
      <c r="L235" s="46"/>
      <c r="M235" s="53" t="s">
        <v>17562</v>
      </c>
      <c r="N235" s="49"/>
      <c r="O235" s="50"/>
      <c r="P235" s="115"/>
      <c r="Q235" s="35"/>
      <c r="R235" s="12" t="s">
        <v>398</v>
      </c>
      <c r="S235" s="13">
        <v>0.2</v>
      </c>
      <c r="T235" s="57" t="s">
        <v>3575</v>
      </c>
      <c r="U235" s="208">
        <f>ROUND((ROUND((_15_同援日５．０*(1+_15・盲ろう)),0)*(1+_15・区３)),0)</f>
        <v>1332</v>
      </c>
      <c r="V235" s="48"/>
    </row>
    <row r="236" spans="1:22" ht="16.5" customHeight="1" x14ac:dyDescent="0.15">
      <c r="A236" s="41">
        <v>15</v>
      </c>
      <c r="B236" s="41">
        <v>7916</v>
      </c>
      <c r="C236" s="74" t="s">
        <v>17818</v>
      </c>
      <c r="D236" s="72"/>
      <c r="F236" s="57"/>
      <c r="G236" s="43"/>
      <c r="H236" s="37"/>
      <c r="I236" s="38"/>
      <c r="J236" s="163" t="s">
        <v>17556</v>
      </c>
      <c r="K236" s="45" t="s">
        <v>398</v>
      </c>
      <c r="L236" s="46">
        <v>1</v>
      </c>
      <c r="M236" s="35" t="s">
        <v>17564</v>
      </c>
      <c r="P236" s="57"/>
      <c r="Q236" s="35"/>
      <c r="T236" s="57"/>
      <c r="U236" s="208">
        <f>ROUND((ROUND((ROUND((_15_同援日５．０*_15・２人),0)*(1+_15・盲ろう)),0)*(1+_15・区３)),0)</f>
        <v>1332</v>
      </c>
      <c r="V236" s="48"/>
    </row>
    <row r="237" spans="1:22" ht="16.5" customHeight="1" x14ac:dyDescent="0.15">
      <c r="A237" s="41">
        <v>15</v>
      </c>
      <c r="B237" s="41">
        <v>7917</v>
      </c>
      <c r="C237" s="74" t="s">
        <v>17819</v>
      </c>
      <c r="D237" s="72"/>
      <c r="F237" s="57"/>
      <c r="G237" s="53" t="s">
        <v>17558</v>
      </c>
      <c r="H237" s="49"/>
      <c r="I237" s="50"/>
      <c r="J237" s="163"/>
      <c r="K237" s="45"/>
      <c r="L237" s="46"/>
      <c r="M237" s="35"/>
      <c r="N237" s="12" t="s">
        <v>398</v>
      </c>
      <c r="O237" s="13">
        <v>0.25</v>
      </c>
      <c r="P237" s="57" t="s">
        <v>3575</v>
      </c>
      <c r="Q237" s="35"/>
      <c r="T237" s="57"/>
      <c r="U237" s="208">
        <f>ROUND((ROUND((ROUND((_15_同援日５．０*_15・基礎２),0)*(1+_15・盲ろう)),0)*(1+_15・区３)),0)</f>
        <v>1199</v>
      </c>
      <c r="V237" s="48"/>
    </row>
    <row r="238" spans="1:22" ht="16.5" customHeight="1" x14ac:dyDescent="0.15">
      <c r="A238" s="41">
        <v>15</v>
      </c>
      <c r="B238" s="41">
        <v>7918</v>
      </c>
      <c r="C238" s="74" t="s">
        <v>17820</v>
      </c>
      <c r="D238" s="72"/>
      <c r="F238" s="57"/>
      <c r="G238" s="43" t="s">
        <v>17560</v>
      </c>
      <c r="H238" s="37" t="s">
        <v>398</v>
      </c>
      <c r="I238" s="38">
        <v>0.9</v>
      </c>
      <c r="J238" s="163" t="s">
        <v>17556</v>
      </c>
      <c r="K238" s="45" t="s">
        <v>398</v>
      </c>
      <c r="L238" s="46">
        <v>1</v>
      </c>
      <c r="M238" s="43"/>
      <c r="N238" s="37"/>
      <c r="O238" s="38"/>
      <c r="P238" s="79"/>
      <c r="Q238" s="43"/>
      <c r="R238" s="37"/>
      <c r="S238" s="38"/>
      <c r="T238" s="79"/>
      <c r="U238" s="208">
        <f>ROUND((ROUND((ROUND((ROUND((_15_同援日５．０*_15・基礎２),0)*_15・２人),0)*(1+_15・盲ろう)),0)*(1+_15・区３)),0)</f>
        <v>1199</v>
      </c>
      <c r="V238" s="48"/>
    </row>
    <row r="239" spans="1:22" ht="16.5" customHeight="1" x14ac:dyDescent="0.15">
      <c r="A239" s="41">
        <v>15</v>
      </c>
      <c r="B239" s="41">
        <v>7919</v>
      </c>
      <c r="C239" s="74" t="s">
        <v>17821</v>
      </c>
      <c r="D239" s="72"/>
      <c r="F239" s="57"/>
      <c r="G239" s="53"/>
      <c r="H239" s="49"/>
      <c r="I239" s="50"/>
      <c r="J239" s="163"/>
      <c r="K239" s="45"/>
      <c r="L239" s="46"/>
      <c r="M239" s="53"/>
      <c r="N239" s="49"/>
      <c r="O239" s="50"/>
      <c r="P239" s="115"/>
      <c r="Q239" s="53"/>
      <c r="R239" s="49"/>
      <c r="S239" s="50"/>
      <c r="T239" s="115"/>
      <c r="U239" s="208">
        <f>ROUND((_15_同援日５．０*(1+_15・区４)),0)</f>
        <v>1243</v>
      </c>
      <c r="V239" s="48"/>
    </row>
    <row r="240" spans="1:22" ht="16.5" customHeight="1" x14ac:dyDescent="0.15">
      <c r="A240" s="41">
        <v>15</v>
      </c>
      <c r="B240" s="41">
        <v>7920</v>
      </c>
      <c r="C240" s="74" t="s">
        <v>17822</v>
      </c>
      <c r="D240" s="72"/>
      <c r="F240" s="57"/>
      <c r="G240" s="43"/>
      <c r="H240" s="37"/>
      <c r="I240" s="38"/>
      <c r="J240" s="163" t="s">
        <v>17556</v>
      </c>
      <c r="K240" s="45" t="s">
        <v>398</v>
      </c>
      <c r="L240" s="46">
        <v>1</v>
      </c>
      <c r="M240" s="35"/>
      <c r="P240" s="57"/>
      <c r="Q240" s="35"/>
      <c r="T240" s="57"/>
      <c r="U240" s="208">
        <f>ROUND((ROUND((_15_同援日５．０*_15・２人),0)*(1+_15・区４)),0)</f>
        <v>1243</v>
      </c>
      <c r="V240" s="48"/>
    </row>
    <row r="241" spans="1:22" ht="16.5" customHeight="1" x14ac:dyDescent="0.15">
      <c r="A241" s="41">
        <v>15</v>
      </c>
      <c r="B241" s="41">
        <v>7921</v>
      </c>
      <c r="C241" s="74" t="s">
        <v>17823</v>
      </c>
      <c r="D241" s="72"/>
      <c r="F241" s="57"/>
      <c r="G241" s="53" t="s">
        <v>17558</v>
      </c>
      <c r="H241" s="49"/>
      <c r="I241" s="50"/>
      <c r="J241" s="163"/>
      <c r="K241" s="45"/>
      <c r="L241" s="46"/>
      <c r="M241" s="35"/>
      <c r="P241" s="57"/>
      <c r="Q241" s="35" t="s">
        <v>17580</v>
      </c>
      <c r="T241" s="57"/>
      <c r="U241" s="208">
        <f>ROUND((ROUND((_15_同援日５．０*_15・基礎２),0)*(1+_15・区４)),0)</f>
        <v>1119</v>
      </c>
      <c r="V241" s="48"/>
    </row>
    <row r="242" spans="1:22" ht="16.5" customHeight="1" x14ac:dyDescent="0.15">
      <c r="A242" s="41">
        <v>15</v>
      </c>
      <c r="B242" s="41">
        <v>7922</v>
      </c>
      <c r="C242" s="74" t="s">
        <v>17824</v>
      </c>
      <c r="D242" s="72"/>
      <c r="F242" s="57"/>
      <c r="G242" s="43" t="s">
        <v>17560</v>
      </c>
      <c r="H242" s="37" t="s">
        <v>398</v>
      </c>
      <c r="I242" s="38">
        <v>0.9</v>
      </c>
      <c r="J242" s="163" t="s">
        <v>17556</v>
      </c>
      <c r="K242" s="45" t="s">
        <v>398</v>
      </c>
      <c r="L242" s="46">
        <v>1</v>
      </c>
      <c r="M242" s="43"/>
      <c r="N242" s="37"/>
      <c r="O242" s="38"/>
      <c r="P242" s="79"/>
      <c r="Q242" s="35" t="s">
        <v>17572</v>
      </c>
      <c r="T242" s="57"/>
      <c r="U242" s="208">
        <f>ROUND((ROUND((ROUND((_15_同援日５．０*_15・基礎２),0)*_15・２人),0)*(1+_15・区４)),0)</f>
        <v>1119</v>
      </c>
      <c r="V242" s="48"/>
    </row>
    <row r="243" spans="1:22" ht="16.5" customHeight="1" x14ac:dyDescent="0.15">
      <c r="A243" s="41">
        <v>15</v>
      </c>
      <c r="B243" s="41">
        <v>7923</v>
      </c>
      <c r="C243" s="74" t="s">
        <v>17825</v>
      </c>
      <c r="D243" s="72"/>
      <c r="F243" s="57"/>
      <c r="G243" s="53"/>
      <c r="H243" s="49"/>
      <c r="I243" s="50"/>
      <c r="J243" s="163"/>
      <c r="K243" s="45"/>
      <c r="L243" s="46"/>
      <c r="M243" s="53" t="s">
        <v>17562</v>
      </c>
      <c r="N243" s="49"/>
      <c r="O243" s="50"/>
      <c r="P243" s="115"/>
      <c r="Q243" s="35"/>
      <c r="R243" s="12" t="s">
        <v>398</v>
      </c>
      <c r="S243" s="13">
        <v>0.4</v>
      </c>
      <c r="T243" s="57" t="s">
        <v>3575</v>
      </c>
      <c r="U243" s="208">
        <f>ROUND((ROUND((_15_同援日５．０*(1+_15・盲ろう)),0)*(1+_15・区４)),0)</f>
        <v>1554</v>
      </c>
      <c r="V243" s="48"/>
    </row>
    <row r="244" spans="1:22" ht="16.5" customHeight="1" x14ac:dyDescent="0.15">
      <c r="A244" s="41">
        <v>15</v>
      </c>
      <c r="B244" s="41">
        <v>7924</v>
      </c>
      <c r="C244" s="74" t="s">
        <v>17826</v>
      </c>
      <c r="D244" s="72"/>
      <c r="F244" s="57"/>
      <c r="G244" s="43"/>
      <c r="H244" s="37"/>
      <c r="I244" s="38"/>
      <c r="J244" s="163" t="s">
        <v>17556</v>
      </c>
      <c r="K244" s="45" t="s">
        <v>398</v>
      </c>
      <c r="L244" s="46">
        <v>1</v>
      </c>
      <c r="M244" s="35" t="s">
        <v>17564</v>
      </c>
      <c r="P244" s="57"/>
      <c r="Q244" s="35"/>
      <c r="T244" s="57"/>
      <c r="U244" s="208">
        <f>ROUND((ROUND((ROUND((_15_同援日５．０*_15・２人),0)*(1+_15・盲ろう)),0)*(1+_15・区４)),0)</f>
        <v>1554</v>
      </c>
      <c r="V244" s="48"/>
    </row>
    <row r="245" spans="1:22" ht="16.5" customHeight="1" x14ac:dyDescent="0.15">
      <c r="A245" s="41">
        <v>15</v>
      </c>
      <c r="B245" s="41">
        <v>7925</v>
      </c>
      <c r="C245" s="74" t="s">
        <v>17827</v>
      </c>
      <c r="D245" s="72"/>
      <c r="F245" s="57"/>
      <c r="G245" s="53" t="s">
        <v>17558</v>
      </c>
      <c r="H245" s="49"/>
      <c r="I245" s="50"/>
      <c r="J245" s="163"/>
      <c r="K245" s="45"/>
      <c r="L245" s="46"/>
      <c r="M245" s="35"/>
      <c r="N245" s="12" t="s">
        <v>398</v>
      </c>
      <c r="O245" s="13">
        <v>0.25</v>
      </c>
      <c r="P245" s="57" t="s">
        <v>3575</v>
      </c>
      <c r="Q245" s="35"/>
      <c r="T245" s="57"/>
      <c r="U245" s="208">
        <f>ROUND((ROUND((ROUND((_15_同援日５．０*_15・基礎２),0)*(1+_15・盲ろう)),0)*(1+_15・区４)),0)</f>
        <v>1399</v>
      </c>
      <c r="V245" s="48"/>
    </row>
    <row r="246" spans="1:22" ht="16.5" customHeight="1" x14ac:dyDescent="0.15">
      <c r="A246" s="41">
        <v>15</v>
      </c>
      <c r="B246" s="41">
        <v>7926</v>
      </c>
      <c r="C246" s="74" t="s">
        <v>17828</v>
      </c>
      <c r="D246" s="122"/>
      <c r="E246" s="37"/>
      <c r="F246" s="79"/>
      <c r="G246" s="43" t="s">
        <v>17560</v>
      </c>
      <c r="H246" s="37" t="s">
        <v>398</v>
      </c>
      <c r="I246" s="38">
        <v>0.9</v>
      </c>
      <c r="J246" s="163" t="s">
        <v>17556</v>
      </c>
      <c r="K246" s="45" t="s">
        <v>398</v>
      </c>
      <c r="L246" s="46">
        <v>1</v>
      </c>
      <c r="M246" s="43"/>
      <c r="N246" s="37"/>
      <c r="O246" s="38"/>
      <c r="P246" s="79"/>
      <c r="Q246" s="43"/>
      <c r="R246" s="37"/>
      <c r="S246" s="38"/>
      <c r="T246" s="79"/>
      <c r="U246" s="208">
        <f>ROUND((ROUND((ROUND((ROUND((_15_同援日５．０*_15・基礎２),0)*_15・２人),0)*(1+_15・盲ろう)),0)*(1+_15・区４)),0)</f>
        <v>1399</v>
      </c>
      <c r="V246" s="48"/>
    </row>
    <row r="247" spans="1:22" ht="16.5" customHeight="1" x14ac:dyDescent="0.15">
      <c r="A247" s="41">
        <v>15</v>
      </c>
      <c r="B247" s="41">
        <v>7927</v>
      </c>
      <c r="C247" s="74" t="s">
        <v>17829</v>
      </c>
      <c r="D247" s="114" t="s">
        <v>17830</v>
      </c>
      <c r="E247" s="49"/>
      <c r="F247" s="115"/>
      <c r="G247" s="53"/>
      <c r="H247" s="49"/>
      <c r="I247" s="50"/>
      <c r="J247" s="163"/>
      <c r="K247" s="45"/>
      <c r="L247" s="46"/>
      <c r="M247" s="53"/>
      <c r="N247" s="49"/>
      <c r="O247" s="50"/>
      <c r="P247" s="115"/>
      <c r="Q247" s="53"/>
      <c r="R247" s="49"/>
      <c r="S247" s="50"/>
      <c r="T247" s="115"/>
      <c r="U247" s="208">
        <f>_15_同援日５．５</f>
        <v>953</v>
      </c>
      <c r="V247" s="48"/>
    </row>
    <row r="248" spans="1:22" ht="16.5" customHeight="1" x14ac:dyDescent="0.15">
      <c r="A248" s="41">
        <v>15</v>
      </c>
      <c r="B248" s="41">
        <v>7928</v>
      </c>
      <c r="C248" s="74" t="s">
        <v>17831</v>
      </c>
      <c r="D248" s="72" t="s">
        <v>17832</v>
      </c>
      <c r="F248" s="57"/>
      <c r="G248" s="43"/>
      <c r="H248" s="37"/>
      <c r="I248" s="38"/>
      <c r="J248" s="163" t="s">
        <v>17556</v>
      </c>
      <c r="K248" s="45" t="s">
        <v>398</v>
      </c>
      <c r="L248" s="46">
        <v>1</v>
      </c>
      <c r="M248" s="35"/>
      <c r="P248" s="57"/>
      <c r="Q248" s="35"/>
      <c r="T248" s="57"/>
      <c r="U248" s="208">
        <f>ROUND((_15_同援日５．５*_15・２人),0)</f>
        <v>953</v>
      </c>
      <c r="V248" s="48"/>
    </row>
    <row r="249" spans="1:22" ht="16.5" customHeight="1" x14ac:dyDescent="0.15">
      <c r="A249" s="41">
        <v>15</v>
      </c>
      <c r="B249" s="41">
        <v>7929</v>
      </c>
      <c r="C249" s="74" t="s">
        <v>17833</v>
      </c>
      <c r="D249" s="72" t="s">
        <v>17834</v>
      </c>
      <c r="F249" s="57"/>
      <c r="G249" s="53" t="s">
        <v>17558</v>
      </c>
      <c r="H249" s="49"/>
      <c r="I249" s="50"/>
      <c r="J249" s="163"/>
      <c r="K249" s="45"/>
      <c r="L249" s="46"/>
      <c r="M249" s="35"/>
      <c r="P249" s="57"/>
      <c r="Q249" s="35"/>
      <c r="T249" s="57"/>
      <c r="U249" s="208">
        <f>ROUND((_15_同援日５．５*_15・基礎２),0)</f>
        <v>858</v>
      </c>
      <c r="V249" s="48"/>
    </row>
    <row r="250" spans="1:22" ht="16.5" customHeight="1" x14ac:dyDescent="0.15">
      <c r="A250" s="41">
        <v>15</v>
      </c>
      <c r="B250" s="41">
        <v>7930</v>
      </c>
      <c r="C250" s="74" t="s">
        <v>17835</v>
      </c>
      <c r="D250" s="72"/>
      <c r="E250" s="168">
        <f>_15_同援日５．５</f>
        <v>953</v>
      </c>
      <c r="F250" s="57" t="s">
        <v>392</v>
      </c>
      <c r="G250" s="43" t="s">
        <v>17560</v>
      </c>
      <c r="H250" s="37" t="s">
        <v>398</v>
      </c>
      <c r="I250" s="38">
        <v>0.9</v>
      </c>
      <c r="J250" s="163" t="s">
        <v>17556</v>
      </c>
      <c r="K250" s="45" t="s">
        <v>398</v>
      </c>
      <c r="L250" s="46">
        <v>1</v>
      </c>
      <c r="M250" s="43"/>
      <c r="N250" s="37"/>
      <c r="O250" s="38"/>
      <c r="P250" s="79"/>
      <c r="Q250" s="35"/>
      <c r="T250" s="57"/>
      <c r="U250" s="208">
        <f>ROUND((ROUND((_15_同援日５．５*_15・基礎２),0)*_15・２人),0)</f>
        <v>858</v>
      </c>
      <c r="V250" s="48"/>
    </row>
    <row r="251" spans="1:22" ht="16.5" customHeight="1" x14ac:dyDescent="0.15">
      <c r="A251" s="41">
        <v>15</v>
      </c>
      <c r="B251" s="41">
        <v>7931</v>
      </c>
      <c r="C251" s="74" t="s">
        <v>17836</v>
      </c>
      <c r="D251" s="72"/>
      <c r="F251" s="57"/>
      <c r="G251" s="53"/>
      <c r="H251" s="49"/>
      <c r="I251" s="50"/>
      <c r="J251" s="163"/>
      <c r="K251" s="45"/>
      <c r="L251" s="46"/>
      <c r="M251" s="53" t="s">
        <v>17562</v>
      </c>
      <c r="N251" s="49"/>
      <c r="O251" s="50"/>
      <c r="P251" s="115"/>
      <c r="Q251" s="35"/>
      <c r="T251" s="57"/>
      <c r="U251" s="208">
        <f>ROUND((_15_同援日５．５*(1+_15・盲ろう)),0)</f>
        <v>1191</v>
      </c>
      <c r="V251" s="48"/>
    </row>
    <row r="252" spans="1:22" ht="16.5" customHeight="1" x14ac:dyDescent="0.15">
      <c r="A252" s="41">
        <v>15</v>
      </c>
      <c r="B252" s="41">
        <v>7932</v>
      </c>
      <c r="C252" s="74" t="s">
        <v>17837</v>
      </c>
      <c r="D252" s="72"/>
      <c r="F252" s="57"/>
      <c r="G252" s="43"/>
      <c r="H252" s="37"/>
      <c r="I252" s="38"/>
      <c r="J252" s="163" t="s">
        <v>17556</v>
      </c>
      <c r="K252" s="45" t="s">
        <v>398</v>
      </c>
      <c r="L252" s="46">
        <v>1</v>
      </c>
      <c r="M252" s="35" t="s">
        <v>17564</v>
      </c>
      <c r="P252" s="57"/>
      <c r="Q252" s="35"/>
      <c r="T252" s="57"/>
      <c r="U252" s="208">
        <f>ROUND((ROUND((_15_同援日５．５*_15・２人),0)*(1+_15・盲ろう)),0)</f>
        <v>1191</v>
      </c>
      <c r="V252" s="48"/>
    </row>
    <row r="253" spans="1:22" ht="16.5" customHeight="1" x14ac:dyDescent="0.15">
      <c r="A253" s="41">
        <v>15</v>
      </c>
      <c r="B253" s="41">
        <v>7933</v>
      </c>
      <c r="C253" s="74" t="s">
        <v>17838</v>
      </c>
      <c r="D253" s="72"/>
      <c r="F253" s="57"/>
      <c r="G253" s="53" t="s">
        <v>17558</v>
      </c>
      <c r="H253" s="49"/>
      <c r="I253" s="50"/>
      <c r="J253" s="163"/>
      <c r="K253" s="45"/>
      <c r="L253" s="46"/>
      <c r="M253" s="35"/>
      <c r="N253" s="12" t="s">
        <v>398</v>
      </c>
      <c r="O253" s="13">
        <v>0.25</v>
      </c>
      <c r="P253" s="57" t="s">
        <v>3575</v>
      </c>
      <c r="Q253" s="35"/>
      <c r="T253" s="57"/>
      <c r="U253" s="208">
        <f>ROUND((ROUND((_15_同援日５．５*_15・基礎２),0)*(1+_15・盲ろう)),0)</f>
        <v>1073</v>
      </c>
      <c r="V253" s="48"/>
    </row>
    <row r="254" spans="1:22" ht="16.5" customHeight="1" x14ac:dyDescent="0.15">
      <c r="A254" s="41">
        <v>15</v>
      </c>
      <c r="B254" s="41">
        <v>7934</v>
      </c>
      <c r="C254" s="74" t="s">
        <v>17839</v>
      </c>
      <c r="D254" s="72"/>
      <c r="F254" s="57"/>
      <c r="G254" s="43" t="s">
        <v>17560</v>
      </c>
      <c r="H254" s="37" t="s">
        <v>398</v>
      </c>
      <c r="I254" s="38">
        <v>0.9</v>
      </c>
      <c r="J254" s="163" t="s">
        <v>17556</v>
      </c>
      <c r="K254" s="45" t="s">
        <v>398</v>
      </c>
      <c r="L254" s="46">
        <v>1</v>
      </c>
      <c r="M254" s="43"/>
      <c r="N254" s="37"/>
      <c r="O254" s="38"/>
      <c r="P254" s="79"/>
      <c r="Q254" s="43"/>
      <c r="R254" s="37"/>
      <c r="S254" s="38"/>
      <c r="T254" s="79"/>
      <c r="U254" s="208">
        <f>ROUND((ROUND((ROUND((_15_同援日５．５*_15・基礎２),0)*_15・２人),0)*(1+_15・盲ろう)),0)</f>
        <v>1073</v>
      </c>
      <c r="V254" s="48"/>
    </row>
    <row r="255" spans="1:22" ht="16.5" customHeight="1" x14ac:dyDescent="0.15">
      <c r="A255" s="41">
        <v>15</v>
      </c>
      <c r="B255" s="41">
        <v>7935</v>
      </c>
      <c r="C255" s="74" t="s">
        <v>17840</v>
      </c>
      <c r="D255" s="72"/>
      <c r="F255" s="57"/>
      <c r="G255" s="53"/>
      <c r="H255" s="49"/>
      <c r="I255" s="50"/>
      <c r="J255" s="163"/>
      <c r="K255" s="45"/>
      <c r="L255" s="46"/>
      <c r="M255" s="53"/>
      <c r="N255" s="49"/>
      <c r="O255" s="50"/>
      <c r="P255" s="115"/>
      <c r="Q255" s="53"/>
      <c r="R255" s="49"/>
      <c r="S255" s="50"/>
      <c r="T255" s="115"/>
      <c r="U255" s="208">
        <f>ROUND((_15_同援日５．５*(1+_15・区３)),0)</f>
        <v>1144</v>
      </c>
      <c r="V255" s="48"/>
    </row>
    <row r="256" spans="1:22" ht="16.5" customHeight="1" x14ac:dyDescent="0.15">
      <c r="A256" s="41">
        <v>15</v>
      </c>
      <c r="B256" s="41">
        <v>7936</v>
      </c>
      <c r="C256" s="74" t="s">
        <v>17841</v>
      </c>
      <c r="D256" s="72"/>
      <c r="F256" s="57"/>
      <c r="G256" s="43"/>
      <c r="H256" s="37"/>
      <c r="I256" s="38"/>
      <c r="J256" s="163" t="s">
        <v>17556</v>
      </c>
      <c r="K256" s="45" t="s">
        <v>398</v>
      </c>
      <c r="L256" s="46">
        <v>1</v>
      </c>
      <c r="M256" s="35"/>
      <c r="P256" s="57"/>
      <c r="Q256" s="35"/>
      <c r="T256" s="57"/>
      <c r="U256" s="208">
        <f>ROUND((ROUND((_15_同援日５．５*_15・２人),0)*(1+_15・区３)),0)</f>
        <v>1144</v>
      </c>
      <c r="V256" s="48"/>
    </row>
    <row r="257" spans="1:22" ht="16.5" customHeight="1" x14ac:dyDescent="0.15">
      <c r="A257" s="41">
        <v>15</v>
      </c>
      <c r="B257" s="41">
        <v>7937</v>
      </c>
      <c r="C257" s="74" t="s">
        <v>17842</v>
      </c>
      <c r="D257" s="72"/>
      <c r="F257" s="57"/>
      <c r="G257" s="53" t="s">
        <v>17558</v>
      </c>
      <c r="H257" s="49"/>
      <c r="I257" s="50"/>
      <c r="J257" s="163"/>
      <c r="K257" s="45"/>
      <c r="L257" s="46"/>
      <c r="M257" s="35"/>
      <c r="P257" s="57"/>
      <c r="Q257" s="35" t="s">
        <v>17570</v>
      </c>
      <c r="T257" s="57"/>
      <c r="U257" s="208">
        <f>ROUND((ROUND((_15_同援日５．５*_15・基礎２),0)*(1+_15・区３)),0)</f>
        <v>1030</v>
      </c>
      <c r="V257" s="48"/>
    </row>
    <row r="258" spans="1:22" ht="16.5" customHeight="1" x14ac:dyDescent="0.15">
      <c r="A258" s="41">
        <v>15</v>
      </c>
      <c r="B258" s="41">
        <v>7938</v>
      </c>
      <c r="C258" s="74" t="s">
        <v>17843</v>
      </c>
      <c r="D258" s="72"/>
      <c r="F258" s="57"/>
      <c r="G258" s="43" t="s">
        <v>17560</v>
      </c>
      <c r="H258" s="37" t="s">
        <v>398</v>
      </c>
      <c r="I258" s="38">
        <v>0.9</v>
      </c>
      <c r="J258" s="163" t="s">
        <v>17556</v>
      </c>
      <c r="K258" s="45" t="s">
        <v>398</v>
      </c>
      <c r="L258" s="46">
        <v>1</v>
      </c>
      <c r="M258" s="43"/>
      <c r="N258" s="37"/>
      <c r="O258" s="38"/>
      <c r="P258" s="79"/>
      <c r="Q258" s="35" t="s">
        <v>17572</v>
      </c>
      <c r="T258" s="57"/>
      <c r="U258" s="208">
        <f>ROUND((ROUND((ROUND((_15_同援日５．５*_15・基礎２),0)*_15・２人),0)*(1+_15・区３)),0)</f>
        <v>1030</v>
      </c>
      <c r="V258" s="48"/>
    </row>
    <row r="259" spans="1:22" ht="16.5" customHeight="1" x14ac:dyDescent="0.15">
      <c r="A259" s="41">
        <v>15</v>
      </c>
      <c r="B259" s="41">
        <v>7939</v>
      </c>
      <c r="C259" s="74" t="s">
        <v>17844</v>
      </c>
      <c r="D259" s="72"/>
      <c r="F259" s="57"/>
      <c r="G259" s="53"/>
      <c r="H259" s="49"/>
      <c r="I259" s="50"/>
      <c r="J259" s="163"/>
      <c r="K259" s="45"/>
      <c r="L259" s="46"/>
      <c r="M259" s="53" t="s">
        <v>17562</v>
      </c>
      <c r="N259" s="49"/>
      <c r="O259" s="50"/>
      <c r="P259" s="115"/>
      <c r="Q259" s="35"/>
      <c r="R259" s="12" t="s">
        <v>398</v>
      </c>
      <c r="S259" s="13">
        <v>0.2</v>
      </c>
      <c r="T259" s="57" t="s">
        <v>3575</v>
      </c>
      <c r="U259" s="208">
        <f>ROUND((ROUND((_15_同援日５．５*(1+_15・盲ろう)),0)*(1+_15・区３)),0)</f>
        <v>1429</v>
      </c>
      <c r="V259" s="48"/>
    </row>
    <row r="260" spans="1:22" ht="16.5" customHeight="1" x14ac:dyDescent="0.15">
      <c r="A260" s="41">
        <v>15</v>
      </c>
      <c r="B260" s="41">
        <v>7940</v>
      </c>
      <c r="C260" s="74" t="s">
        <v>17845</v>
      </c>
      <c r="D260" s="72"/>
      <c r="F260" s="57"/>
      <c r="G260" s="43"/>
      <c r="H260" s="37"/>
      <c r="I260" s="38"/>
      <c r="J260" s="163" t="s">
        <v>17556</v>
      </c>
      <c r="K260" s="45" t="s">
        <v>398</v>
      </c>
      <c r="L260" s="46">
        <v>1</v>
      </c>
      <c r="M260" s="35" t="s">
        <v>17564</v>
      </c>
      <c r="P260" s="57"/>
      <c r="Q260" s="35"/>
      <c r="T260" s="57"/>
      <c r="U260" s="208">
        <f>ROUND((ROUND((ROUND((_15_同援日５．５*_15・２人),0)*(1+_15・盲ろう)),0)*(1+_15・区３)),0)</f>
        <v>1429</v>
      </c>
      <c r="V260" s="48"/>
    </row>
    <row r="261" spans="1:22" ht="16.5" customHeight="1" x14ac:dyDescent="0.15">
      <c r="A261" s="41">
        <v>15</v>
      </c>
      <c r="B261" s="41">
        <v>7941</v>
      </c>
      <c r="C261" s="74" t="s">
        <v>17846</v>
      </c>
      <c r="D261" s="72"/>
      <c r="F261" s="57"/>
      <c r="G261" s="53" t="s">
        <v>17558</v>
      </c>
      <c r="H261" s="49"/>
      <c r="I261" s="50"/>
      <c r="J261" s="163"/>
      <c r="K261" s="45"/>
      <c r="L261" s="46"/>
      <c r="M261" s="35"/>
      <c r="N261" s="12" t="s">
        <v>398</v>
      </c>
      <c r="O261" s="13">
        <v>0.25</v>
      </c>
      <c r="P261" s="57" t="s">
        <v>3575</v>
      </c>
      <c r="Q261" s="35"/>
      <c r="T261" s="57"/>
      <c r="U261" s="208">
        <f>ROUND((ROUND((ROUND((_15_同援日５．５*_15・基礎２),0)*(1+_15・盲ろう)),0)*(1+_15・区３)),0)</f>
        <v>1288</v>
      </c>
      <c r="V261" s="48"/>
    </row>
    <row r="262" spans="1:22" ht="16.5" customHeight="1" x14ac:dyDescent="0.15">
      <c r="A262" s="41">
        <v>15</v>
      </c>
      <c r="B262" s="41">
        <v>7942</v>
      </c>
      <c r="C262" s="74" t="s">
        <v>17847</v>
      </c>
      <c r="D262" s="72"/>
      <c r="F262" s="57"/>
      <c r="G262" s="43" t="s">
        <v>17560</v>
      </c>
      <c r="H262" s="37" t="s">
        <v>398</v>
      </c>
      <c r="I262" s="38">
        <v>0.9</v>
      </c>
      <c r="J262" s="163" t="s">
        <v>17556</v>
      </c>
      <c r="K262" s="45" t="s">
        <v>398</v>
      </c>
      <c r="L262" s="46">
        <v>1</v>
      </c>
      <c r="M262" s="43"/>
      <c r="N262" s="37"/>
      <c r="O262" s="38"/>
      <c r="P262" s="79"/>
      <c r="Q262" s="43"/>
      <c r="R262" s="37"/>
      <c r="S262" s="38"/>
      <c r="T262" s="79"/>
      <c r="U262" s="208">
        <f>ROUND((ROUND((ROUND((ROUND((_15_同援日５．５*_15・基礎２),0)*_15・２人),0)*(1+_15・盲ろう)),0)*(1+_15・区３)),0)</f>
        <v>1288</v>
      </c>
      <c r="V262" s="48"/>
    </row>
    <row r="263" spans="1:22" ht="16.5" customHeight="1" x14ac:dyDescent="0.15">
      <c r="A263" s="41">
        <v>15</v>
      </c>
      <c r="B263" s="41">
        <v>7943</v>
      </c>
      <c r="C263" s="74" t="s">
        <v>17848</v>
      </c>
      <c r="D263" s="72"/>
      <c r="F263" s="57"/>
      <c r="G263" s="53"/>
      <c r="H263" s="49"/>
      <c r="I263" s="50"/>
      <c r="J263" s="163"/>
      <c r="K263" s="45"/>
      <c r="L263" s="46"/>
      <c r="M263" s="53"/>
      <c r="N263" s="49"/>
      <c r="O263" s="50"/>
      <c r="P263" s="115"/>
      <c r="Q263" s="53"/>
      <c r="R263" s="49"/>
      <c r="S263" s="50"/>
      <c r="T263" s="115"/>
      <c r="U263" s="208">
        <f>ROUND((_15_同援日５．５*(1+_15・区４)),0)</f>
        <v>1334</v>
      </c>
      <c r="V263" s="48"/>
    </row>
    <row r="264" spans="1:22" ht="16.5" customHeight="1" x14ac:dyDescent="0.15">
      <c r="A264" s="41">
        <v>15</v>
      </c>
      <c r="B264" s="41">
        <v>7944</v>
      </c>
      <c r="C264" s="74" t="s">
        <v>17849</v>
      </c>
      <c r="D264" s="72"/>
      <c r="F264" s="57"/>
      <c r="G264" s="43"/>
      <c r="H264" s="37"/>
      <c r="I264" s="38"/>
      <c r="J264" s="163" t="s">
        <v>17556</v>
      </c>
      <c r="K264" s="45" t="s">
        <v>398</v>
      </c>
      <c r="L264" s="46">
        <v>1</v>
      </c>
      <c r="M264" s="35"/>
      <c r="P264" s="57"/>
      <c r="Q264" s="35"/>
      <c r="T264" s="57"/>
      <c r="U264" s="208">
        <f>ROUND((ROUND((_15_同援日５．５*_15・２人),0)*(1+_15・区４)),0)</f>
        <v>1334</v>
      </c>
      <c r="V264" s="48"/>
    </row>
    <row r="265" spans="1:22" ht="16.5" customHeight="1" x14ac:dyDescent="0.15">
      <c r="A265" s="41">
        <v>15</v>
      </c>
      <c r="B265" s="41">
        <v>7945</v>
      </c>
      <c r="C265" s="74" t="s">
        <v>17850</v>
      </c>
      <c r="D265" s="72"/>
      <c r="F265" s="57"/>
      <c r="G265" s="53" t="s">
        <v>17558</v>
      </c>
      <c r="H265" s="49"/>
      <c r="I265" s="50"/>
      <c r="J265" s="163"/>
      <c r="K265" s="45"/>
      <c r="L265" s="46"/>
      <c r="M265" s="35"/>
      <c r="P265" s="57"/>
      <c r="Q265" s="35" t="s">
        <v>17580</v>
      </c>
      <c r="T265" s="57"/>
      <c r="U265" s="208">
        <f>ROUND((ROUND((_15_同援日５．５*_15・基礎２),0)*(1+_15・区４)),0)</f>
        <v>1201</v>
      </c>
      <c r="V265" s="48"/>
    </row>
    <row r="266" spans="1:22" ht="16.5" customHeight="1" x14ac:dyDescent="0.15">
      <c r="A266" s="41">
        <v>15</v>
      </c>
      <c r="B266" s="41">
        <v>7946</v>
      </c>
      <c r="C266" s="74" t="s">
        <v>17851</v>
      </c>
      <c r="D266" s="72"/>
      <c r="F266" s="57"/>
      <c r="G266" s="43" t="s">
        <v>17560</v>
      </c>
      <c r="H266" s="37" t="s">
        <v>398</v>
      </c>
      <c r="I266" s="38">
        <v>0.9</v>
      </c>
      <c r="J266" s="163" t="s">
        <v>17556</v>
      </c>
      <c r="K266" s="45" t="s">
        <v>398</v>
      </c>
      <c r="L266" s="46">
        <v>1</v>
      </c>
      <c r="M266" s="43"/>
      <c r="N266" s="37"/>
      <c r="O266" s="38"/>
      <c r="P266" s="79"/>
      <c r="Q266" s="35" t="s">
        <v>17572</v>
      </c>
      <c r="T266" s="57"/>
      <c r="U266" s="208">
        <f>ROUND((ROUND((ROUND((_15_同援日５．５*_15・基礎２),0)*_15・２人),0)*(1+_15・区４)),0)</f>
        <v>1201</v>
      </c>
      <c r="V266" s="48"/>
    </row>
    <row r="267" spans="1:22" ht="16.5" customHeight="1" x14ac:dyDescent="0.15">
      <c r="A267" s="41">
        <v>15</v>
      </c>
      <c r="B267" s="41">
        <v>7947</v>
      </c>
      <c r="C267" s="74" t="s">
        <v>17852</v>
      </c>
      <c r="D267" s="72"/>
      <c r="F267" s="57"/>
      <c r="G267" s="53"/>
      <c r="H267" s="49"/>
      <c r="I267" s="50"/>
      <c r="J267" s="163"/>
      <c r="K267" s="45"/>
      <c r="L267" s="46"/>
      <c r="M267" s="53" t="s">
        <v>17562</v>
      </c>
      <c r="N267" s="49"/>
      <c r="O267" s="50"/>
      <c r="P267" s="115"/>
      <c r="Q267" s="35"/>
      <c r="R267" s="12" t="s">
        <v>398</v>
      </c>
      <c r="S267" s="13">
        <v>0.4</v>
      </c>
      <c r="T267" s="57" t="s">
        <v>3575</v>
      </c>
      <c r="U267" s="208">
        <f>ROUND((ROUND((_15_同援日５．５*(1+_15・盲ろう)),0)*(1+_15・区４)),0)</f>
        <v>1667</v>
      </c>
      <c r="V267" s="48"/>
    </row>
    <row r="268" spans="1:22" ht="16.5" customHeight="1" x14ac:dyDescent="0.15">
      <c r="A268" s="41">
        <v>15</v>
      </c>
      <c r="B268" s="41">
        <v>7948</v>
      </c>
      <c r="C268" s="74" t="s">
        <v>17853</v>
      </c>
      <c r="D268" s="72"/>
      <c r="F268" s="57"/>
      <c r="G268" s="43"/>
      <c r="H268" s="37"/>
      <c r="I268" s="38"/>
      <c r="J268" s="163" t="s">
        <v>17556</v>
      </c>
      <c r="K268" s="45" t="s">
        <v>398</v>
      </c>
      <c r="L268" s="46">
        <v>1</v>
      </c>
      <c r="M268" s="35" t="s">
        <v>17564</v>
      </c>
      <c r="P268" s="57"/>
      <c r="Q268" s="35"/>
      <c r="T268" s="57"/>
      <c r="U268" s="208">
        <f>ROUND((ROUND((ROUND((_15_同援日５．５*_15・２人),0)*(1+_15・盲ろう)),0)*(1+_15・区４)),0)</f>
        <v>1667</v>
      </c>
      <c r="V268" s="48"/>
    </row>
    <row r="269" spans="1:22" ht="16.5" customHeight="1" x14ac:dyDescent="0.15">
      <c r="A269" s="41">
        <v>15</v>
      </c>
      <c r="B269" s="41">
        <v>7949</v>
      </c>
      <c r="C269" s="74" t="s">
        <v>17854</v>
      </c>
      <c r="D269" s="72"/>
      <c r="F269" s="57"/>
      <c r="G269" s="53" t="s">
        <v>17558</v>
      </c>
      <c r="H269" s="49"/>
      <c r="I269" s="50"/>
      <c r="J269" s="163"/>
      <c r="K269" s="45"/>
      <c r="L269" s="46"/>
      <c r="M269" s="35"/>
      <c r="N269" s="12" t="s">
        <v>398</v>
      </c>
      <c r="O269" s="13">
        <v>0.25</v>
      </c>
      <c r="P269" s="57" t="s">
        <v>3575</v>
      </c>
      <c r="Q269" s="35"/>
      <c r="T269" s="57"/>
      <c r="U269" s="208">
        <f>ROUND((ROUND((ROUND((_15_同援日５．５*_15・基礎２),0)*(1+_15・盲ろう)),0)*(1+_15・区４)),0)</f>
        <v>1502</v>
      </c>
      <c r="V269" s="48"/>
    </row>
    <row r="270" spans="1:22" ht="16.5" customHeight="1" x14ac:dyDescent="0.15">
      <c r="A270" s="41">
        <v>15</v>
      </c>
      <c r="B270" s="41">
        <v>7950</v>
      </c>
      <c r="C270" s="74" t="s">
        <v>17855</v>
      </c>
      <c r="D270" s="122"/>
      <c r="E270" s="37"/>
      <c r="F270" s="79"/>
      <c r="G270" s="43" t="s">
        <v>17560</v>
      </c>
      <c r="H270" s="37" t="s">
        <v>398</v>
      </c>
      <c r="I270" s="38">
        <v>0.9</v>
      </c>
      <c r="J270" s="163" t="s">
        <v>17556</v>
      </c>
      <c r="K270" s="45" t="s">
        <v>398</v>
      </c>
      <c r="L270" s="46">
        <v>1</v>
      </c>
      <c r="M270" s="43"/>
      <c r="N270" s="37"/>
      <c r="O270" s="38"/>
      <c r="P270" s="79"/>
      <c r="Q270" s="43"/>
      <c r="R270" s="37"/>
      <c r="S270" s="38"/>
      <c r="T270" s="79"/>
      <c r="U270" s="208">
        <f>ROUND((ROUND((ROUND((ROUND((_15_同援日５．５*_15・基礎２),0)*_15・２人),0)*(1+_15・盲ろう)),0)*(1+_15・区４)),0)</f>
        <v>1502</v>
      </c>
      <c r="V270" s="48"/>
    </row>
    <row r="271" spans="1:22" ht="16.5" customHeight="1" x14ac:dyDescent="0.15">
      <c r="A271" s="41">
        <v>15</v>
      </c>
      <c r="B271" s="41">
        <v>7951</v>
      </c>
      <c r="C271" s="74" t="s">
        <v>17856</v>
      </c>
      <c r="D271" s="114" t="s">
        <v>17857</v>
      </c>
      <c r="E271" s="49"/>
      <c r="F271" s="115"/>
      <c r="G271" s="53"/>
      <c r="H271" s="49"/>
      <c r="I271" s="50"/>
      <c r="J271" s="163"/>
      <c r="K271" s="45"/>
      <c r="L271" s="46"/>
      <c r="M271" s="53"/>
      <c r="N271" s="49"/>
      <c r="O271" s="50"/>
      <c r="P271" s="115"/>
      <c r="Q271" s="53"/>
      <c r="R271" s="49"/>
      <c r="S271" s="50"/>
      <c r="T271" s="115"/>
      <c r="U271" s="208">
        <f>_15_同援日６．０</f>
        <v>1018</v>
      </c>
      <c r="V271" s="48"/>
    </row>
    <row r="272" spans="1:22" ht="16.5" customHeight="1" x14ac:dyDescent="0.15">
      <c r="A272" s="41">
        <v>15</v>
      </c>
      <c r="B272" s="41">
        <v>7952</v>
      </c>
      <c r="C272" s="74" t="s">
        <v>17858</v>
      </c>
      <c r="D272" s="72" t="s">
        <v>17859</v>
      </c>
      <c r="F272" s="57"/>
      <c r="G272" s="43"/>
      <c r="H272" s="37"/>
      <c r="I272" s="38"/>
      <c r="J272" s="163" t="s">
        <v>17556</v>
      </c>
      <c r="K272" s="45" t="s">
        <v>398</v>
      </c>
      <c r="L272" s="46">
        <v>1</v>
      </c>
      <c r="M272" s="35"/>
      <c r="P272" s="57"/>
      <c r="Q272" s="35"/>
      <c r="T272" s="57"/>
      <c r="U272" s="208">
        <f>ROUND((_15_同援日６．０*_15・２人),0)</f>
        <v>1018</v>
      </c>
      <c r="V272" s="48"/>
    </row>
    <row r="273" spans="1:22" ht="16.5" customHeight="1" x14ac:dyDescent="0.15">
      <c r="A273" s="41">
        <v>15</v>
      </c>
      <c r="B273" s="41">
        <v>7953</v>
      </c>
      <c r="C273" s="74" t="s">
        <v>17860</v>
      </c>
      <c r="D273" s="72" t="s">
        <v>17861</v>
      </c>
      <c r="F273" s="57"/>
      <c r="G273" s="53" t="s">
        <v>17558</v>
      </c>
      <c r="H273" s="49"/>
      <c r="I273" s="50"/>
      <c r="J273" s="163"/>
      <c r="K273" s="45"/>
      <c r="L273" s="46"/>
      <c r="M273" s="35"/>
      <c r="P273" s="57"/>
      <c r="Q273" s="35"/>
      <c r="T273" s="57"/>
      <c r="U273" s="208">
        <f>ROUND((_15_同援日６．０*_15・基礎２),0)</f>
        <v>916</v>
      </c>
      <c r="V273" s="48"/>
    </row>
    <row r="274" spans="1:22" ht="16.5" customHeight="1" x14ac:dyDescent="0.15">
      <c r="A274" s="41">
        <v>15</v>
      </c>
      <c r="B274" s="41">
        <v>7954</v>
      </c>
      <c r="C274" s="74" t="s">
        <v>17862</v>
      </c>
      <c r="D274" s="72"/>
      <c r="E274" s="168">
        <f>_15_同援日６．０</f>
        <v>1018</v>
      </c>
      <c r="F274" s="57" t="s">
        <v>392</v>
      </c>
      <c r="G274" s="43" t="s">
        <v>17560</v>
      </c>
      <c r="H274" s="37" t="s">
        <v>398</v>
      </c>
      <c r="I274" s="38">
        <v>0.9</v>
      </c>
      <c r="J274" s="163" t="s">
        <v>17556</v>
      </c>
      <c r="K274" s="45" t="s">
        <v>398</v>
      </c>
      <c r="L274" s="46">
        <v>1</v>
      </c>
      <c r="M274" s="43"/>
      <c r="N274" s="37"/>
      <c r="O274" s="38"/>
      <c r="P274" s="79"/>
      <c r="Q274" s="35"/>
      <c r="T274" s="57"/>
      <c r="U274" s="208">
        <f>ROUND((ROUND((_15_同援日６．０*_15・基礎２),0)*_15・２人),0)</f>
        <v>916</v>
      </c>
      <c r="V274" s="48"/>
    </row>
    <row r="275" spans="1:22" ht="16.5" customHeight="1" x14ac:dyDescent="0.15">
      <c r="A275" s="41">
        <v>15</v>
      </c>
      <c r="B275" s="41">
        <v>7955</v>
      </c>
      <c r="C275" s="74" t="s">
        <v>17863</v>
      </c>
      <c r="D275" s="72"/>
      <c r="F275" s="57"/>
      <c r="G275" s="53"/>
      <c r="H275" s="49"/>
      <c r="I275" s="50"/>
      <c r="J275" s="163"/>
      <c r="K275" s="45"/>
      <c r="L275" s="46"/>
      <c r="M275" s="53" t="s">
        <v>17562</v>
      </c>
      <c r="N275" s="49"/>
      <c r="O275" s="50"/>
      <c r="P275" s="115"/>
      <c r="Q275" s="35"/>
      <c r="T275" s="57"/>
      <c r="U275" s="208">
        <f>ROUND((_15_同援日６．０*(1+_15・盲ろう)),0)</f>
        <v>1273</v>
      </c>
      <c r="V275" s="48"/>
    </row>
    <row r="276" spans="1:22" ht="16.5" customHeight="1" x14ac:dyDescent="0.15">
      <c r="A276" s="41">
        <v>15</v>
      </c>
      <c r="B276" s="41">
        <v>7956</v>
      </c>
      <c r="C276" s="74" t="s">
        <v>17864</v>
      </c>
      <c r="D276" s="72"/>
      <c r="F276" s="57"/>
      <c r="G276" s="43"/>
      <c r="H276" s="37"/>
      <c r="I276" s="38"/>
      <c r="J276" s="163" t="s">
        <v>17556</v>
      </c>
      <c r="K276" s="45" t="s">
        <v>398</v>
      </c>
      <c r="L276" s="46">
        <v>1</v>
      </c>
      <c r="M276" s="35" t="s">
        <v>17564</v>
      </c>
      <c r="P276" s="57"/>
      <c r="Q276" s="35"/>
      <c r="T276" s="57"/>
      <c r="U276" s="208">
        <f>ROUND((ROUND((_15_同援日６．０*_15・２人),0)*(1+_15・盲ろう)),0)</f>
        <v>1273</v>
      </c>
      <c r="V276" s="48"/>
    </row>
    <row r="277" spans="1:22" ht="16.5" customHeight="1" x14ac:dyDescent="0.15">
      <c r="A277" s="41">
        <v>15</v>
      </c>
      <c r="B277" s="41">
        <v>7957</v>
      </c>
      <c r="C277" s="74" t="s">
        <v>17865</v>
      </c>
      <c r="D277" s="72"/>
      <c r="F277" s="57"/>
      <c r="G277" s="53" t="s">
        <v>17558</v>
      </c>
      <c r="H277" s="49"/>
      <c r="I277" s="50"/>
      <c r="J277" s="163"/>
      <c r="K277" s="45"/>
      <c r="L277" s="46"/>
      <c r="M277" s="35"/>
      <c r="N277" s="12" t="s">
        <v>398</v>
      </c>
      <c r="O277" s="13">
        <v>0.25</v>
      </c>
      <c r="P277" s="57" t="s">
        <v>3575</v>
      </c>
      <c r="Q277" s="35"/>
      <c r="T277" s="57"/>
      <c r="U277" s="208">
        <f>ROUND((ROUND((_15_同援日６．０*_15・基礎２),0)*(1+_15・盲ろう)),0)</f>
        <v>1145</v>
      </c>
      <c r="V277" s="48"/>
    </row>
    <row r="278" spans="1:22" ht="16.5" customHeight="1" x14ac:dyDescent="0.15">
      <c r="A278" s="41">
        <v>15</v>
      </c>
      <c r="B278" s="41">
        <v>7958</v>
      </c>
      <c r="C278" s="74" t="s">
        <v>17866</v>
      </c>
      <c r="D278" s="72"/>
      <c r="F278" s="57"/>
      <c r="G278" s="43" t="s">
        <v>17560</v>
      </c>
      <c r="H278" s="37" t="s">
        <v>398</v>
      </c>
      <c r="I278" s="38">
        <v>0.9</v>
      </c>
      <c r="J278" s="163" t="s">
        <v>17556</v>
      </c>
      <c r="K278" s="45" t="s">
        <v>398</v>
      </c>
      <c r="L278" s="46">
        <v>1</v>
      </c>
      <c r="M278" s="43"/>
      <c r="N278" s="37"/>
      <c r="O278" s="38"/>
      <c r="P278" s="79"/>
      <c r="Q278" s="43"/>
      <c r="R278" s="37"/>
      <c r="S278" s="38"/>
      <c r="T278" s="79"/>
      <c r="U278" s="208">
        <f>ROUND((ROUND((ROUND((_15_同援日６．０*_15・基礎２),0)*_15・２人),0)*(1+_15・盲ろう)),0)</f>
        <v>1145</v>
      </c>
      <c r="V278" s="48"/>
    </row>
    <row r="279" spans="1:22" ht="16.5" customHeight="1" x14ac:dyDescent="0.15">
      <c r="A279" s="41">
        <v>15</v>
      </c>
      <c r="B279" s="41">
        <v>7959</v>
      </c>
      <c r="C279" s="74" t="s">
        <v>17867</v>
      </c>
      <c r="D279" s="72"/>
      <c r="F279" s="57"/>
      <c r="G279" s="53"/>
      <c r="H279" s="49"/>
      <c r="I279" s="50"/>
      <c r="J279" s="163"/>
      <c r="K279" s="45"/>
      <c r="L279" s="46"/>
      <c r="M279" s="53"/>
      <c r="N279" s="49"/>
      <c r="O279" s="50"/>
      <c r="P279" s="115"/>
      <c r="Q279" s="53"/>
      <c r="R279" s="49"/>
      <c r="S279" s="50"/>
      <c r="T279" s="115"/>
      <c r="U279" s="208">
        <f>ROUND((_15_同援日６．０*(1+_15・区３)),0)</f>
        <v>1222</v>
      </c>
      <c r="V279" s="48"/>
    </row>
    <row r="280" spans="1:22" ht="16.5" customHeight="1" x14ac:dyDescent="0.15">
      <c r="A280" s="41">
        <v>15</v>
      </c>
      <c r="B280" s="41">
        <v>7960</v>
      </c>
      <c r="C280" s="74" t="s">
        <v>17868</v>
      </c>
      <c r="D280" s="72"/>
      <c r="F280" s="57"/>
      <c r="G280" s="43"/>
      <c r="H280" s="37"/>
      <c r="I280" s="38"/>
      <c r="J280" s="163" t="s">
        <v>17556</v>
      </c>
      <c r="K280" s="45" t="s">
        <v>398</v>
      </c>
      <c r="L280" s="46">
        <v>1</v>
      </c>
      <c r="M280" s="35"/>
      <c r="P280" s="57"/>
      <c r="Q280" s="35"/>
      <c r="T280" s="57"/>
      <c r="U280" s="208">
        <f>ROUND((ROUND((_15_同援日６．０*_15・２人),0)*(1+_15・区３)),0)</f>
        <v>1222</v>
      </c>
      <c r="V280" s="48"/>
    </row>
    <row r="281" spans="1:22" ht="16.5" customHeight="1" x14ac:dyDescent="0.15">
      <c r="A281" s="41">
        <v>15</v>
      </c>
      <c r="B281" s="41">
        <v>7961</v>
      </c>
      <c r="C281" s="74" t="s">
        <v>17869</v>
      </c>
      <c r="D281" s="72"/>
      <c r="F281" s="57"/>
      <c r="G281" s="53" t="s">
        <v>17558</v>
      </c>
      <c r="H281" s="49"/>
      <c r="I281" s="50"/>
      <c r="J281" s="163"/>
      <c r="K281" s="45"/>
      <c r="L281" s="46"/>
      <c r="M281" s="35"/>
      <c r="P281" s="57"/>
      <c r="Q281" s="35" t="s">
        <v>17570</v>
      </c>
      <c r="T281" s="57"/>
      <c r="U281" s="208">
        <f>ROUND((ROUND((_15_同援日６．０*_15・基礎２),0)*(1+_15・区３)),0)</f>
        <v>1099</v>
      </c>
      <c r="V281" s="48"/>
    </row>
    <row r="282" spans="1:22" ht="16.5" customHeight="1" x14ac:dyDescent="0.15">
      <c r="A282" s="41">
        <v>15</v>
      </c>
      <c r="B282" s="41">
        <v>7962</v>
      </c>
      <c r="C282" s="74" t="s">
        <v>17870</v>
      </c>
      <c r="D282" s="72"/>
      <c r="F282" s="57"/>
      <c r="G282" s="43" t="s">
        <v>17560</v>
      </c>
      <c r="H282" s="37" t="s">
        <v>398</v>
      </c>
      <c r="I282" s="38">
        <v>0.9</v>
      </c>
      <c r="J282" s="163" t="s">
        <v>17556</v>
      </c>
      <c r="K282" s="45" t="s">
        <v>398</v>
      </c>
      <c r="L282" s="46">
        <v>1</v>
      </c>
      <c r="M282" s="43"/>
      <c r="N282" s="37"/>
      <c r="O282" s="38"/>
      <c r="P282" s="79"/>
      <c r="Q282" s="35" t="s">
        <v>17572</v>
      </c>
      <c r="T282" s="57"/>
      <c r="U282" s="208">
        <f>ROUND((ROUND((ROUND((_15_同援日６．０*_15・基礎２),0)*_15・２人),0)*(1+_15・区３)),0)</f>
        <v>1099</v>
      </c>
      <c r="V282" s="48"/>
    </row>
    <row r="283" spans="1:22" ht="16.5" customHeight="1" x14ac:dyDescent="0.15">
      <c r="A283" s="41">
        <v>15</v>
      </c>
      <c r="B283" s="41">
        <v>7963</v>
      </c>
      <c r="C283" s="74" t="s">
        <v>17871</v>
      </c>
      <c r="D283" s="72"/>
      <c r="F283" s="57"/>
      <c r="G283" s="53"/>
      <c r="H283" s="49"/>
      <c r="I283" s="50"/>
      <c r="J283" s="163"/>
      <c r="K283" s="45"/>
      <c r="L283" s="46"/>
      <c r="M283" s="53" t="s">
        <v>17562</v>
      </c>
      <c r="N283" s="49"/>
      <c r="O283" s="50"/>
      <c r="P283" s="115"/>
      <c r="Q283" s="35"/>
      <c r="R283" s="12" t="s">
        <v>398</v>
      </c>
      <c r="S283" s="13">
        <v>0.2</v>
      </c>
      <c r="T283" s="57" t="s">
        <v>3575</v>
      </c>
      <c r="U283" s="208">
        <f>ROUND((ROUND((_15_同援日６．０*(1+_15・盲ろう)),0)*(1+_15・区３)),0)</f>
        <v>1528</v>
      </c>
      <c r="V283" s="48"/>
    </row>
    <row r="284" spans="1:22" ht="16.5" customHeight="1" x14ac:dyDescent="0.15">
      <c r="A284" s="41">
        <v>15</v>
      </c>
      <c r="B284" s="41">
        <v>7964</v>
      </c>
      <c r="C284" s="74" t="s">
        <v>17872</v>
      </c>
      <c r="D284" s="72"/>
      <c r="F284" s="57"/>
      <c r="G284" s="43"/>
      <c r="H284" s="37"/>
      <c r="I284" s="38"/>
      <c r="J284" s="163" t="s">
        <v>17556</v>
      </c>
      <c r="K284" s="45" t="s">
        <v>398</v>
      </c>
      <c r="L284" s="46">
        <v>1</v>
      </c>
      <c r="M284" s="35" t="s">
        <v>17564</v>
      </c>
      <c r="P284" s="57"/>
      <c r="Q284" s="35"/>
      <c r="T284" s="57"/>
      <c r="U284" s="208">
        <f>ROUND((ROUND((ROUND((_15_同援日６．０*_15・２人),0)*(1+_15・盲ろう)),0)*(1+_15・区３)),0)</f>
        <v>1528</v>
      </c>
      <c r="V284" s="48"/>
    </row>
    <row r="285" spans="1:22" ht="16.5" customHeight="1" x14ac:dyDescent="0.15">
      <c r="A285" s="41">
        <v>15</v>
      </c>
      <c r="B285" s="41">
        <v>7965</v>
      </c>
      <c r="C285" s="74" t="s">
        <v>17873</v>
      </c>
      <c r="D285" s="72"/>
      <c r="F285" s="57"/>
      <c r="G285" s="53" t="s">
        <v>17558</v>
      </c>
      <c r="H285" s="49"/>
      <c r="I285" s="50"/>
      <c r="J285" s="163"/>
      <c r="K285" s="45"/>
      <c r="L285" s="46"/>
      <c r="M285" s="35"/>
      <c r="N285" s="12" t="s">
        <v>398</v>
      </c>
      <c r="O285" s="13">
        <v>0.25</v>
      </c>
      <c r="P285" s="57" t="s">
        <v>3575</v>
      </c>
      <c r="Q285" s="35"/>
      <c r="T285" s="57"/>
      <c r="U285" s="208">
        <f>ROUND((ROUND((ROUND((_15_同援日６．０*_15・基礎２),0)*(1+_15・盲ろう)),0)*(1+_15・区３)),0)</f>
        <v>1374</v>
      </c>
      <c r="V285" s="48"/>
    </row>
    <row r="286" spans="1:22" ht="16.5" customHeight="1" x14ac:dyDescent="0.15">
      <c r="A286" s="41">
        <v>15</v>
      </c>
      <c r="B286" s="41">
        <v>7966</v>
      </c>
      <c r="C286" s="74" t="s">
        <v>17874</v>
      </c>
      <c r="D286" s="72"/>
      <c r="F286" s="57"/>
      <c r="G286" s="43" t="s">
        <v>17560</v>
      </c>
      <c r="H286" s="37" t="s">
        <v>398</v>
      </c>
      <c r="I286" s="38">
        <v>0.9</v>
      </c>
      <c r="J286" s="163" t="s">
        <v>17556</v>
      </c>
      <c r="K286" s="45" t="s">
        <v>398</v>
      </c>
      <c r="L286" s="46">
        <v>1</v>
      </c>
      <c r="M286" s="43"/>
      <c r="N286" s="37"/>
      <c r="O286" s="38"/>
      <c r="P286" s="79"/>
      <c r="Q286" s="43"/>
      <c r="R286" s="37"/>
      <c r="S286" s="38"/>
      <c r="T286" s="79"/>
      <c r="U286" s="208">
        <f>ROUND((ROUND((ROUND((ROUND((_15_同援日６．０*_15・基礎２),0)*_15・２人),0)*(1+_15・盲ろう)),0)*(1+_15・区３)),0)</f>
        <v>1374</v>
      </c>
      <c r="V286" s="48"/>
    </row>
    <row r="287" spans="1:22" ht="16.5" customHeight="1" x14ac:dyDescent="0.15">
      <c r="A287" s="41">
        <v>15</v>
      </c>
      <c r="B287" s="41">
        <v>7967</v>
      </c>
      <c r="C287" s="74" t="s">
        <v>17875</v>
      </c>
      <c r="D287" s="72"/>
      <c r="F287" s="57"/>
      <c r="G287" s="53"/>
      <c r="H287" s="49"/>
      <c r="I287" s="50"/>
      <c r="J287" s="163"/>
      <c r="K287" s="45"/>
      <c r="L287" s="46"/>
      <c r="M287" s="53"/>
      <c r="N287" s="49"/>
      <c r="O287" s="50"/>
      <c r="P287" s="115"/>
      <c r="Q287" s="53"/>
      <c r="R287" s="49"/>
      <c r="S287" s="50"/>
      <c r="T287" s="115"/>
      <c r="U287" s="208">
        <f>ROUND((_15_同援日６．０*(1+_15・区４)),0)</f>
        <v>1425</v>
      </c>
      <c r="V287" s="48"/>
    </row>
    <row r="288" spans="1:22" ht="16.5" customHeight="1" x14ac:dyDescent="0.15">
      <c r="A288" s="41">
        <v>15</v>
      </c>
      <c r="B288" s="41">
        <v>7968</v>
      </c>
      <c r="C288" s="74" t="s">
        <v>17876</v>
      </c>
      <c r="D288" s="72"/>
      <c r="F288" s="57"/>
      <c r="G288" s="43"/>
      <c r="H288" s="37"/>
      <c r="I288" s="38"/>
      <c r="J288" s="163" t="s">
        <v>17556</v>
      </c>
      <c r="K288" s="45" t="s">
        <v>398</v>
      </c>
      <c r="L288" s="46">
        <v>1</v>
      </c>
      <c r="M288" s="35"/>
      <c r="P288" s="57"/>
      <c r="Q288" s="35"/>
      <c r="T288" s="57"/>
      <c r="U288" s="208">
        <f>ROUND((ROUND((_15_同援日６．０*_15・２人),0)*(1+_15・区４)),0)</f>
        <v>1425</v>
      </c>
      <c r="V288" s="48"/>
    </row>
    <row r="289" spans="1:22" ht="16.5" customHeight="1" x14ac:dyDescent="0.15">
      <c r="A289" s="41">
        <v>15</v>
      </c>
      <c r="B289" s="41">
        <v>7969</v>
      </c>
      <c r="C289" s="74" t="s">
        <v>17877</v>
      </c>
      <c r="D289" s="72"/>
      <c r="F289" s="57"/>
      <c r="G289" s="53" t="s">
        <v>17558</v>
      </c>
      <c r="H289" s="49"/>
      <c r="I289" s="50"/>
      <c r="J289" s="163"/>
      <c r="K289" s="45"/>
      <c r="L289" s="46"/>
      <c r="M289" s="35"/>
      <c r="P289" s="57"/>
      <c r="Q289" s="35" t="s">
        <v>17580</v>
      </c>
      <c r="T289" s="57"/>
      <c r="U289" s="208">
        <f>ROUND((ROUND((_15_同援日６．０*_15・基礎２),0)*(1+_15・区４)),0)</f>
        <v>1282</v>
      </c>
      <c r="V289" s="48"/>
    </row>
    <row r="290" spans="1:22" ht="16.5" customHeight="1" x14ac:dyDescent="0.15">
      <c r="A290" s="41">
        <v>15</v>
      </c>
      <c r="B290" s="41">
        <v>7970</v>
      </c>
      <c r="C290" s="74" t="s">
        <v>17878</v>
      </c>
      <c r="D290" s="72"/>
      <c r="F290" s="57"/>
      <c r="G290" s="43" t="s">
        <v>17560</v>
      </c>
      <c r="H290" s="37" t="s">
        <v>398</v>
      </c>
      <c r="I290" s="38">
        <v>0.9</v>
      </c>
      <c r="J290" s="163" t="s">
        <v>17556</v>
      </c>
      <c r="K290" s="45" t="s">
        <v>398</v>
      </c>
      <c r="L290" s="46">
        <v>1</v>
      </c>
      <c r="M290" s="43"/>
      <c r="N290" s="37"/>
      <c r="O290" s="38"/>
      <c r="P290" s="79"/>
      <c r="Q290" s="35" t="s">
        <v>17572</v>
      </c>
      <c r="T290" s="57"/>
      <c r="U290" s="208">
        <f>ROUND((ROUND((ROUND((_15_同援日６．０*_15・基礎２),0)*_15・２人),0)*(1+_15・区４)),0)</f>
        <v>1282</v>
      </c>
      <c r="V290" s="48"/>
    </row>
    <row r="291" spans="1:22" ht="16.5" customHeight="1" x14ac:dyDescent="0.15">
      <c r="A291" s="41">
        <v>15</v>
      </c>
      <c r="B291" s="41">
        <v>7971</v>
      </c>
      <c r="C291" s="74" t="s">
        <v>17879</v>
      </c>
      <c r="D291" s="72"/>
      <c r="F291" s="57"/>
      <c r="G291" s="53"/>
      <c r="H291" s="49"/>
      <c r="I291" s="50"/>
      <c r="J291" s="163"/>
      <c r="K291" s="45"/>
      <c r="L291" s="46"/>
      <c r="M291" s="53" t="s">
        <v>17562</v>
      </c>
      <c r="N291" s="49"/>
      <c r="O291" s="50"/>
      <c r="P291" s="115"/>
      <c r="Q291" s="35"/>
      <c r="R291" s="12" t="s">
        <v>398</v>
      </c>
      <c r="S291" s="13">
        <v>0.4</v>
      </c>
      <c r="T291" s="57" t="s">
        <v>3575</v>
      </c>
      <c r="U291" s="208">
        <f>ROUND((ROUND((_15_同援日６．０*(1+_15・盲ろう)),0)*(1+_15・区４)),0)</f>
        <v>1782</v>
      </c>
      <c r="V291" s="48"/>
    </row>
    <row r="292" spans="1:22" ht="16.5" customHeight="1" x14ac:dyDescent="0.15">
      <c r="A292" s="41">
        <v>15</v>
      </c>
      <c r="B292" s="41">
        <v>7972</v>
      </c>
      <c r="C292" s="74" t="s">
        <v>17880</v>
      </c>
      <c r="D292" s="72"/>
      <c r="F292" s="57"/>
      <c r="G292" s="43"/>
      <c r="H292" s="37"/>
      <c r="I292" s="38"/>
      <c r="J292" s="163" t="s">
        <v>17556</v>
      </c>
      <c r="K292" s="45" t="s">
        <v>398</v>
      </c>
      <c r="L292" s="46">
        <v>1</v>
      </c>
      <c r="M292" s="35" t="s">
        <v>17564</v>
      </c>
      <c r="P292" s="57"/>
      <c r="Q292" s="35"/>
      <c r="T292" s="57"/>
      <c r="U292" s="208">
        <f>ROUND((ROUND((ROUND((_15_同援日６．０*_15・２人),0)*(1+_15・盲ろう)),0)*(1+_15・区４)),0)</f>
        <v>1782</v>
      </c>
      <c r="V292" s="48"/>
    </row>
    <row r="293" spans="1:22" ht="16.5" customHeight="1" x14ac:dyDescent="0.15">
      <c r="A293" s="41">
        <v>15</v>
      </c>
      <c r="B293" s="41">
        <v>7973</v>
      </c>
      <c r="C293" s="74" t="s">
        <v>17881</v>
      </c>
      <c r="D293" s="72"/>
      <c r="F293" s="57"/>
      <c r="G293" s="53" t="s">
        <v>17558</v>
      </c>
      <c r="H293" s="49"/>
      <c r="I293" s="50"/>
      <c r="J293" s="163"/>
      <c r="K293" s="45"/>
      <c r="L293" s="46"/>
      <c r="M293" s="35"/>
      <c r="N293" s="12" t="s">
        <v>398</v>
      </c>
      <c r="O293" s="13">
        <v>0.25</v>
      </c>
      <c r="P293" s="57" t="s">
        <v>3575</v>
      </c>
      <c r="Q293" s="35"/>
      <c r="T293" s="57"/>
      <c r="U293" s="208">
        <f>ROUND((ROUND((ROUND((_15_同援日６．０*_15・基礎２),0)*(1+_15・盲ろう)),0)*(1+_15・区４)),0)</f>
        <v>1603</v>
      </c>
      <c r="V293" s="48"/>
    </row>
    <row r="294" spans="1:22" ht="16.5" customHeight="1" x14ac:dyDescent="0.15">
      <c r="A294" s="41">
        <v>15</v>
      </c>
      <c r="B294" s="41">
        <v>7974</v>
      </c>
      <c r="C294" s="74" t="s">
        <v>17882</v>
      </c>
      <c r="D294" s="122"/>
      <c r="E294" s="37"/>
      <c r="F294" s="79"/>
      <c r="G294" s="43" t="s">
        <v>17560</v>
      </c>
      <c r="H294" s="37" t="s">
        <v>398</v>
      </c>
      <c r="I294" s="38">
        <v>0.9</v>
      </c>
      <c r="J294" s="163" t="s">
        <v>17556</v>
      </c>
      <c r="K294" s="45" t="s">
        <v>398</v>
      </c>
      <c r="L294" s="46">
        <v>1</v>
      </c>
      <c r="M294" s="43"/>
      <c r="N294" s="37"/>
      <c r="O294" s="38"/>
      <c r="P294" s="79"/>
      <c r="Q294" s="43"/>
      <c r="R294" s="37"/>
      <c r="S294" s="38"/>
      <c r="T294" s="79"/>
      <c r="U294" s="208">
        <f>ROUND((ROUND((ROUND((ROUND((_15_同援日６．０*_15・基礎２),0)*_15・２人),0)*(1+_15・盲ろう)),0)*(1+_15・区４)),0)</f>
        <v>1603</v>
      </c>
      <c r="V294" s="63"/>
    </row>
    <row r="295" spans="1:22" ht="16.5" customHeight="1" x14ac:dyDescent="0.15">
      <c r="A295" s="41">
        <v>15</v>
      </c>
      <c r="B295" s="41">
        <v>7975</v>
      </c>
      <c r="C295" s="74" t="s">
        <v>17883</v>
      </c>
      <c r="D295" s="114" t="s">
        <v>17884</v>
      </c>
      <c r="E295" s="49"/>
      <c r="F295" s="115"/>
      <c r="G295" s="53"/>
      <c r="H295" s="49"/>
      <c r="I295" s="50"/>
      <c r="J295" s="163"/>
      <c r="K295" s="45"/>
      <c r="L295" s="46"/>
      <c r="M295" s="53"/>
      <c r="N295" s="49"/>
      <c r="O295" s="50"/>
      <c r="P295" s="115"/>
      <c r="Q295" s="53"/>
      <c r="R295" s="49"/>
      <c r="S295" s="50"/>
      <c r="T295" s="115"/>
      <c r="U295" s="208">
        <f>_15_同援日６．５</f>
        <v>1083</v>
      </c>
      <c r="V295" s="64"/>
    </row>
    <row r="296" spans="1:22" ht="16.5" customHeight="1" x14ac:dyDescent="0.15">
      <c r="A296" s="41">
        <v>15</v>
      </c>
      <c r="B296" s="41">
        <v>7976</v>
      </c>
      <c r="C296" s="74" t="s">
        <v>17885</v>
      </c>
      <c r="D296" s="72" t="s">
        <v>17886</v>
      </c>
      <c r="F296" s="57"/>
      <c r="G296" s="43"/>
      <c r="H296" s="37"/>
      <c r="I296" s="38"/>
      <c r="J296" s="163" t="s">
        <v>17556</v>
      </c>
      <c r="K296" s="45" t="s">
        <v>398</v>
      </c>
      <c r="L296" s="46">
        <v>1</v>
      </c>
      <c r="M296" s="35"/>
      <c r="P296" s="57"/>
      <c r="Q296" s="35"/>
      <c r="T296" s="57"/>
      <c r="U296" s="208">
        <f>ROUND((_15_同援日６．５*_15・２人),0)</f>
        <v>1083</v>
      </c>
      <c r="V296" s="48"/>
    </row>
    <row r="297" spans="1:22" ht="16.5" customHeight="1" x14ac:dyDescent="0.15">
      <c r="A297" s="41">
        <v>15</v>
      </c>
      <c r="B297" s="41">
        <v>7977</v>
      </c>
      <c r="C297" s="74" t="s">
        <v>17887</v>
      </c>
      <c r="D297" s="72" t="s">
        <v>17888</v>
      </c>
      <c r="F297" s="57"/>
      <c r="G297" s="53" t="s">
        <v>17558</v>
      </c>
      <c r="H297" s="49"/>
      <c r="I297" s="50"/>
      <c r="J297" s="163"/>
      <c r="K297" s="45"/>
      <c r="L297" s="46"/>
      <c r="M297" s="35"/>
      <c r="P297" s="57"/>
      <c r="Q297" s="35"/>
      <c r="T297" s="57"/>
      <c r="U297" s="208">
        <f>ROUND((_15_同援日６．５*_15・基礎２),0)</f>
        <v>975</v>
      </c>
      <c r="V297" s="48"/>
    </row>
    <row r="298" spans="1:22" ht="16.5" customHeight="1" x14ac:dyDescent="0.15">
      <c r="A298" s="41">
        <v>15</v>
      </c>
      <c r="B298" s="41">
        <v>7978</v>
      </c>
      <c r="C298" s="74" t="s">
        <v>17889</v>
      </c>
      <c r="D298" s="72"/>
      <c r="E298" s="168">
        <f>_15_同援日６．５</f>
        <v>1083</v>
      </c>
      <c r="F298" s="57" t="s">
        <v>392</v>
      </c>
      <c r="G298" s="43" t="s">
        <v>17560</v>
      </c>
      <c r="H298" s="37" t="s">
        <v>398</v>
      </c>
      <c r="I298" s="38">
        <v>0.9</v>
      </c>
      <c r="J298" s="163" t="s">
        <v>17556</v>
      </c>
      <c r="K298" s="45" t="s">
        <v>398</v>
      </c>
      <c r="L298" s="46">
        <v>1</v>
      </c>
      <c r="M298" s="43"/>
      <c r="N298" s="37"/>
      <c r="O298" s="38"/>
      <c r="P298" s="79"/>
      <c r="Q298" s="35"/>
      <c r="T298" s="57"/>
      <c r="U298" s="208">
        <f>ROUND((ROUND((_15_同援日６．５*_15・基礎２),0)*_15・２人),0)</f>
        <v>975</v>
      </c>
      <c r="V298" s="48"/>
    </row>
    <row r="299" spans="1:22" ht="16.5" customHeight="1" x14ac:dyDescent="0.15">
      <c r="A299" s="41">
        <v>15</v>
      </c>
      <c r="B299" s="41">
        <v>7979</v>
      </c>
      <c r="C299" s="74" t="s">
        <v>17890</v>
      </c>
      <c r="D299" s="72"/>
      <c r="F299" s="57"/>
      <c r="G299" s="53"/>
      <c r="H299" s="49"/>
      <c r="I299" s="50"/>
      <c r="J299" s="163"/>
      <c r="K299" s="45"/>
      <c r="L299" s="46"/>
      <c r="M299" s="53" t="s">
        <v>17562</v>
      </c>
      <c r="N299" s="49"/>
      <c r="O299" s="50"/>
      <c r="P299" s="115"/>
      <c r="Q299" s="35"/>
      <c r="T299" s="57"/>
      <c r="U299" s="208">
        <f>ROUND((_15_同援日６．５*(1+_15・盲ろう)),0)</f>
        <v>1354</v>
      </c>
      <c r="V299" s="48"/>
    </row>
    <row r="300" spans="1:22" ht="16.5" customHeight="1" x14ac:dyDescent="0.15">
      <c r="A300" s="41">
        <v>15</v>
      </c>
      <c r="B300" s="41">
        <v>7980</v>
      </c>
      <c r="C300" s="74" t="s">
        <v>17891</v>
      </c>
      <c r="D300" s="72"/>
      <c r="F300" s="57"/>
      <c r="G300" s="43"/>
      <c r="H300" s="37"/>
      <c r="I300" s="38"/>
      <c r="J300" s="163" t="s">
        <v>17556</v>
      </c>
      <c r="K300" s="45" t="s">
        <v>398</v>
      </c>
      <c r="L300" s="46">
        <v>1</v>
      </c>
      <c r="M300" s="35" t="s">
        <v>17564</v>
      </c>
      <c r="P300" s="57"/>
      <c r="Q300" s="35"/>
      <c r="T300" s="57"/>
      <c r="U300" s="208">
        <f>ROUND((ROUND((_15_同援日６．５*_15・２人),0)*(1+_15・盲ろう)),0)</f>
        <v>1354</v>
      </c>
      <c r="V300" s="48"/>
    </row>
    <row r="301" spans="1:22" ht="16.5" customHeight="1" x14ac:dyDescent="0.15">
      <c r="A301" s="41">
        <v>15</v>
      </c>
      <c r="B301" s="41">
        <v>7981</v>
      </c>
      <c r="C301" s="74" t="s">
        <v>17892</v>
      </c>
      <c r="D301" s="72"/>
      <c r="F301" s="57"/>
      <c r="G301" s="53" t="s">
        <v>17558</v>
      </c>
      <c r="H301" s="49"/>
      <c r="I301" s="50"/>
      <c r="J301" s="163"/>
      <c r="K301" s="45"/>
      <c r="L301" s="46"/>
      <c r="M301" s="35"/>
      <c r="N301" s="12" t="s">
        <v>398</v>
      </c>
      <c r="O301" s="13">
        <v>0.25</v>
      </c>
      <c r="P301" s="57" t="s">
        <v>3575</v>
      </c>
      <c r="Q301" s="35"/>
      <c r="T301" s="57"/>
      <c r="U301" s="208">
        <f>ROUND((ROUND((_15_同援日６．５*_15・基礎２),0)*(1+_15・盲ろう)),0)</f>
        <v>1219</v>
      </c>
      <c r="V301" s="48"/>
    </row>
    <row r="302" spans="1:22" ht="16.5" customHeight="1" x14ac:dyDescent="0.15">
      <c r="A302" s="41">
        <v>15</v>
      </c>
      <c r="B302" s="41">
        <v>7982</v>
      </c>
      <c r="C302" s="74" t="s">
        <v>17893</v>
      </c>
      <c r="D302" s="72"/>
      <c r="F302" s="57"/>
      <c r="G302" s="43" t="s">
        <v>17560</v>
      </c>
      <c r="H302" s="37" t="s">
        <v>398</v>
      </c>
      <c r="I302" s="38">
        <v>0.9</v>
      </c>
      <c r="J302" s="163" t="s">
        <v>17556</v>
      </c>
      <c r="K302" s="45" t="s">
        <v>398</v>
      </c>
      <c r="L302" s="46">
        <v>1</v>
      </c>
      <c r="M302" s="43"/>
      <c r="N302" s="37"/>
      <c r="O302" s="38"/>
      <c r="P302" s="79"/>
      <c r="Q302" s="43"/>
      <c r="R302" s="37"/>
      <c r="S302" s="38"/>
      <c r="T302" s="79"/>
      <c r="U302" s="208">
        <f>ROUND((ROUND((ROUND((_15_同援日６．５*_15・基礎２),0)*_15・２人),0)*(1+_15・盲ろう)),0)</f>
        <v>1219</v>
      </c>
      <c r="V302" s="48"/>
    </row>
    <row r="303" spans="1:22" ht="16.5" customHeight="1" x14ac:dyDescent="0.15">
      <c r="A303" s="41">
        <v>15</v>
      </c>
      <c r="B303" s="41">
        <v>7983</v>
      </c>
      <c r="C303" s="74" t="s">
        <v>17894</v>
      </c>
      <c r="D303" s="72"/>
      <c r="F303" s="57"/>
      <c r="G303" s="53"/>
      <c r="H303" s="49"/>
      <c r="I303" s="50"/>
      <c r="J303" s="163"/>
      <c r="K303" s="45"/>
      <c r="L303" s="46"/>
      <c r="M303" s="53"/>
      <c r="N303" s="49"/>
      <c r="O303" s="50"/>
      <c r="P303" s="115"/>
      <c r="Q303" s="53"/>
      <c r="R303" s="49"/>
      <c r="S303" s="50"/>
      <c r="T303" s="115"/>
      <c r="U303" s="208">
        <f>ROUND((_15_同援日６．５*(1+_15・区３)),0)</f>
        <v>1300</v>
      </c>
      <c r="V303" s="48"/>
    </row>
    <row r="304" spans="1:22" ht="16.5" customHeight="1" x14ac:dyDescent="0.15">
      <c r="A304" s="41">
        <v>15</v>
      </c>
      <c r="B304" s="41">
        <v>7984</v>
      </c>
      <c r="C304" s="74" t="s">
        <v>17895</v>
      </c>
      <c r="D304" s="72"/>
      <c r="F304" s="57"/>
      <c r="G304" s="43"/>
      <c r="H304" s="37"/>
      <c r="I304" s="38"/>
      <c r="J304" s="163" t="s">
        <v>17556</v>
      </c>
      <c r="K304" s="45" t="s">
        <v>398</v>
      </c>
      <c r="L304" s="46">
        <v>1</v>
      </c>
      <c r="M304" s="35"/>
      <c r="P304" s="57"/>
      <c r="Q304" s="35"/>
      <c r="T304" s="57"/>
      <c r="U304" s="208">
        <f>ROUND((ROUND((_15_同援日６．５*_15・２人),0)*(1+_15・区３)),0)</f>
        <v>1300</v>
      </c>
      <c r="V304" s="48"/>
    </row>
    <row r="305" spans="1:22" ht="16.5" customHeight="1" x14ac:dyDescent="0.15">
      <c r="A305" s="41">
        <v>15</v>
      </c>
      <c r="B305" s="41">
        <v>7985</v>
      </c>
      <c r="C305" s="74" t="s">
        <v>17896</v>
      </c>
      <c r="D305" s="72"/>
      <c r="F305" s="57"/>
      <c r="G305" s="53" t="s">
        <v>17558</v>
      </c>
      <c r="H305" s="49"/>
      <c r="I305" s="50"/>
      <c r="J305" s="163"/>
      <c r="K305" s="45"/>
      <c r="L305" s="46"/>
      <c r="M305" s="35"/>
      <c r="P305" s="57"/>
      <c r="Q305" s="35" t="s">
        <v>17570</v>
      </c>
      <c r="T305" s="57"/>
      <c r="U305" s="208">
        <f>ROUND((ROUND((_15_同援日６．５*_15・基礎２),0)*(1+_15・区３)),0)</f>
        <v>1170</v>
      </c>
      <c r="V305" s="48"/>
    </row>
    <row r="306" spans="1:22" ht="16.5" customHeight="1" x14ac:dyDescent="0.15">
      <c r="A306" s="41">
        <v>15</v>
      </c>
      <c r="B306" s="41">
        <v>7986</v>
      </c>
      <c r="C306" s="74" t="s">
        <v>17897</v>
      </c>
      <c r="D306" s="72"/>
      <c r="F306" s="57"/>
      <c r="G306" s="43" t="s">
        <v>17560</v>
      </c>
      <c r="H306" s="37" t="s">
        <v>398</v>
      </c>
      <c r="I306" s="38">
        <v>0.9</v>
      </c>
      <c r="J306" s="163" t="s">
        <v>17556</v>
      </c>
      <c r="K306" s="45" t="s">
        <v>398</v>
      </c>
      <c r="L306" s="46">
        <v>1</v>
      </c>
      <c r="M306" s="43"/>
      <c r="N306" s="37"/>
      <c r="O306" s="38"/>
      <c r="P306" s="79"/>
      <c r="Q306" s="35" t="s">
        <v>17572</v>
      </c>
      <c r="T306" s="57"/>
      <c r="U306" s="208">
        <f>ROUND((ROUND((ROUND((_15_同援日６．５*_15・基礎２),0)*_15・２人),0)*(1+_15・区３)),0)</f>
        <v>1170</v>
      </c>
      <c r="V306" s="48"/>
    </row>
    <row r="307" spans="1:22" ht="16.5" customHeight="1" x14ac:dyDescent="0.15">
      <c r="A307" s="41">
        <v>15</v>
      </c>
      <c r="B307" s="41">
        <v>7987</v>
      </c>
      <c r="C307" s="74" t="s">
        <v>17898</v>
      </c>
      <c r="D307" s="72"/>
      <c r="F307" s="57"/>
      <c r="G307" s="53"/>
      <c r="H307" s="49"/>
      <c r="I307" s="50"/>
      <c r="J307" s="163"/>
      <c r="K307" s="45"/>
      <c r="L307" s="46"/>
      <c r="M307" s="53" t="s">
        <v>17562</v>
      </c>
      <c r="N307" s="49"/>
      <c r="O307" s="50"/>
      <c r="P307" s="115"/>
      <c r="Q307" s="35"/>
      <c r="R307" s="12" t="s">
        <v>398</v>
      </c>
      <c r="S307" s="13">
        <v>0.2</v>
      </c>
      <c r="T307" s="57" t="s">
        <v>3575</v>
      </c>
      <c r="U307" s="208">
        <f>ROUND((ROUND((_15_同援日６．５*(1+_15・盲ろう)),0)*(1+_15・区３)),0)</f>
        <v>1625</v>
      </c>
      <c r="V307" s="48"/>
    </row>
    <row r="308" spans="1:22" ht="16.5" customHeight="1" x14ac:dyDescent="0.15">
      <c r="A308" s="41">
        <v>15</v>
      </c>
      <c r="B308" s="41">
        <v>7988</v>
      </c>
      <c r="C308" s="74" t="s">
        <v>17899</v>
      </c>
      <c r="D308" s="72"/>
      <c r="F308" s="57"/>
      <c r="G308" s="43"/>
      <c r="H308" s="37"/>
      <c r="I308" s="38"/>
      <c r="J308" s="163" t="s">
        <v>17556</v>
      </c>
      <c r="K308" s="45" t="s">
        <v>398</v>
      </c>
      <c r="L308" s="46">
        <v>1</v>
      </c>
      <c r="M308" s="35" t="s">
        <v>17564</v>
      </c>
      <c r="P308" s="57"/>
      <c r="Q308" s="35"/>
      <c r="T308" s="57"/>
      <c r="U308" s="208">
        <f>ROUND((ROUND((ROUND((_15_同援日６．５*_15・２人),0)*(1+_15・盲ろう)),0)*(1+_15・区３)),0)</f>
        <v>1625</v>
      </c>
      <c r="V308" s="48"/>
    </row>
    <row r="309" spans="1:22" ht="16.5" customHeight="1" x14ac:dyDescent="0.15">
      <c r="A309" s="41">
        <v>15</v>
      </c>
      <c r="B309" s="41">
        <v>7989</v>
      </c>
      <c r="C309" s="74" t="s">
        <v>17900</v>
      </c>
      <c r="D309" s="72"/>
      <c r="F309" s="57"/>
      <c r="G309" s="53" t="s">
        <v>17558</v>
      </c>
      <c r="H309" s="49"/>
      <c r="I309" s="50"/>
      <c r="J309" s="163"/>
      <c r="K309" s="45"/>
      <c r="L309" s="46"/>
      <c r="M309" s="35"/>
      <c r="N309" s="12" t="s">
        <v>398</v>
      </c>
      <c r="O309" s="13">
        <v>0.25</v>
      </c>
      <c r="P309" s="57" t="s">
        <v>3575</v>
      </c>
      <c r="Q309" s="35"/>
      <c r="T309" s="57"/>
      <c r="U309" s="208">
        <f>ROUND((ROUND((ROUND((_15_同援日６．５*_15・基礎２),0)*(1+_15・盲ろう)),0)*(1+_15・区３)),0)</f>
        <v>1463</v>
      </c>
      <c r="V309" s="48"/>
    </row>
    <row r="310" spans="1:22" ht="16.5" customHeight="1" x14ac:dyDescent="0.15">
      <c r="A310" s="41">
        <v>15</v>
      </c>
      <c r="B310" s="41">
        <v>7990</v>
      </c>
      <c r="C310" s="74" t="s">
        <v>17901</v>
      </c>
      <c r="D310" s="72"/>
      <c r="F310" s="57"/>
      <c r="G310" s="43" t="s">
        <v>17560</v>
      </c>
      <c r="H310" s="37" t="s">
        <v>398</v>
      </c>
      <c r="I310" s="38">
        <v>0.9</v>
      </c>
      <c r="J310" s="163" t="s">
        <v>17556</v>
      </c>
      <c r="K310" s="45" t="s">
        <v>398</v>
      </c>
      <c r="L310" s="46">
        <v>1</v>
      </c>
      <c r="M310" s="43"/>
      <c r="N310" s="37"/>
      <c r="O310" s="38"/>
      <c r="P310" s="79"/>
      <c r="Q310" s="43"/>
      <c r="R310" s="37"/>
      <c r="S310" s="38"/>
      <c r="T310" s="79"/>
      <c r="U310" s="208">
        <f>ROUND((ROUND((ROUND((ROUND((_15_同援日６．５*_15・基礎２),0)*_15・２人),0)*(1+_15・盲ろう)),0)*(1+_15・区３)),0)</f>
        <v>1463</v>
      </c>
      <c r="V310" s="48"/>
    </row>
    <row r="311" spans="1:22" ht="16.5" customHeight="1" x14ac:dyDescent="0.15">
      <c r="A311" s="41">
        <v>15</v>
      </c>
      <c r="B311" s="41">
        <v>7991</v>
      </c>
      <c r="C311" s="74" t="s">
        <v>17902</v>
      </c>
      <c r="D311" s="72"/>
      <c r="F311" s="57"/>
      <c r="G311" s="53"/>
      <c r="H311" s="49"/>
      <c r="I311" s="50"/>
      <c r="J311" s="163"/>
      <c r="K311" s="45"/>
      <c r="L311" s="46"/>
      <c r="M311" s="53"/>
      <c r="N311" s="49"/>
      <c r="O311" s="50"/>
      <c r="P311" s="115"/>
      <c r="Q311" s="53"/>
      <c r="R311" s="49"/>
      <c r="S311" s="50"/>
      <c r="T311" s="115"/>
      <c r="U311" s="208">
        <f>ROUND((_15_同援日６．５*(1+_15・区４)),0)</f>
        <v>1516</v>
      </c>
      <c r="V311" s="48"/>
    </row>
    <row r="312" spans="1:22" ht="16.5" customHeight="1" x14ac:dyDescent="0.15">
      <c r="A312" s="41">
        <v>15</v>
      </c>
      <c r="B312" s="41">
        <v>7992</v>
      </c>
      <c r="C312" s="74" t="s">
        <v>17903</v>
      </c>
      <c r="D312" s="72"/>
      <c r="F312" s="57"/>
      <c r="G312" s="43"/>
      <c r="H312" s="37"/>
      <c r="I312" s="38"/>
      <c r="J312" s="163" t="s">
        <v>17556</v>
      </c>
      <c r="K312" s="45" t="s">
        <v>398</v>
      </c>
      <c r="L312" s="46">
        <v>1</v>
      </c>
      <c r="M312" s="35"/>
      <c r="P312" s="57"/>
      <c r="Q312" s="35"/>
      <c r="T312" s="57"/>
      <c r="U312" s="208">
        <f>ROUND((ROUND((_15_同援日６．５*_15・２人),0)*(1+_15・区４)),0)</f>
        <v>1516</v>
      </c>
      <c r="V312" s="48"/>
    </row>
    <row r="313" spans="1:22" ht="16.5" customHeight="1" x14ac:dyDescent="0.15">
      <c r="A313" s="41">
        <v>15</v>
      </c>
      <c r="B313" s="41">
        <v>7993</v>
      </c>
      <c r="C313" s="74" t="s">
        <v>17904</v>
      </c>
      <c r="D313" s="72"/>
      <c r="F313" s="57"/>
      <c r="G313" s="53" t="s">
        <v>17558</v>
      </c>
      <c r="H313" s="49"/>
      <c r="I313" s="50"/>
      <c r="J313" s="163"/>
      <c r="K313" s="45"/>
      <c r="L313" s="46"/>
      <c r="M313" s="35"/>
      <c r="P313" s="57"/>
      <c r="Q313" s="35" t="s">
        <v>17580</v>
      </c>
      <c r="T313" s="57"/>
      <c r="U313" s="208">
        <f>ROUND((ROUND((_15_同援日６．５*_15・基礎２),0)*(1+_15・区４)),0)</f>
        <v>1365</v>
      </c>
      <c r="V313" s="48"/>
    </row>
    <row r="314" spans="1:22" ht="16.5" customHeight="1" x14ac:dyDescent="0.15">
      <c r="A314" s="41">
        <v>15</v>
      </c>
      <c r="B314" s="41">
        <v>7994</v>
      </c>
      <c r="C314" s="74" t="s">
        <v>17905</v>
      </c>
      <c r="D314" s="72"/>
      <c r="F314" s="57"/>
      <c r="G314" s="43" t="s">
        <v>17560</v>
      </c>
      <c r="H314" s="37" t="s">
        <v>398</v>
      </c>
      <c r="I314" s="38">
        <v>0.9</v>
      </c>
      <c r="J314" s="163" t="s">
        <v>17556</v>
      </c>
      <c r="K314" s="45" t="s">
        <v>398</v>
      </c>
      <c r="L314" s="46">
        <v>1</v>
      </c>
      <c r="M314" s="43"/>
      <c r="N314" s="37"/>
      <c r="O314" s="38"/>
      <c r="P314" s="79"/>
      <c r="Q314" s="35" t="s">
        <v>17572</v>
      </c>
      <c r="T314" s="57"/>
      <c r="U314" s="208">
        <f>ROUND((ROUND((ROUND((_15_同援日６．５*_15・基礎２),0)*_15・２人),0)*(1+_15・区４)),0)</f>
        <v>1365</v>
      </c>
      <c r="V314" s="48"/>
    </row>
    <row r="315" spans="1:22" ht="16.5" customHeight="1" x14ac:dyDescent="0.15">
      <c r="A315" s="41">
        <v>15</v>
      </c>
      <c r="B315" s="41">
        <v>7995</v>
      </c>
      <c r="C315" s="74" t="s">
        <v>17906</v>
      </c>
      <c r="D315" s="72"/>
      <c r="F315" s="57"/>
      <c r="G315" s="53"/>
      <c r="H315" s="49"/>
      <c r="I315" s="50"/>
      <c r="J315" s="163"/>
      <c r="K315" s="45"/>
      <c r="L315" s="46"/>
      <c r="M315" s="53" t="s">
        <v>17562</v>
      </c>
      <c r="N315" s="49"/>
      <c r="O315" s="50"/>
      <c r="P315" s="115"/>
      <c r="Q315" s="35"/>
      <c r="R315" s="12" t="s">
        <v>398</v>
      </c>
      <c r="S315" s="13">
        <v>0.4</v>
      </c>
      <c r="T315" s="57" t="s">
        <v>3575</v>
      </c>
      <c r="U315" s="208">
        <f>ROUND((ROUND((_15_同援日６．５*(1+_15・盲ろう)),0)*(1+_15・区４)),0)</f>
        <v>1896</v>
      </c>
      <c r="V315" s="48"/>
    </row>
    <row r="316" spans="1:22" ht="16.5" customHeight="1" x14ac:dyDescent="0.15">
      <c r="A316" s="41">
        <v>15</v>
      </c>
      <c r="B316" s="41">
        <v>7996</v>
      </c>
      <c r="C316" s="74" t="s">
        <v>17907</v>
      </c>
      <c r="D316" s="72"/>
      <c r="F316" s="57"/>
      <c r="G316" s="43"/>
      <c r="H316" s="37"/>
      <c r="I316" s="38"/>
      <c r="J316" s="163" t="s">
        <v>17556</v>
      </c>
      <c r="K316" s="45" t="s">
        <v>398</v>
      </c>
      <c r="L316" s="46">
        <v>1</v>
      </c>
      <c r="M316" s="35" t="s">
        <v>17564</v>
      </c>
      <c r="P316" s="57"/>
      <c r="Q316" s="35"/>
      <c r="T316" s="57"/>
      <c r="U316" s="208">
        <f>ROUND((ROUND((ROUND((_15_同援日６．５*_15・２人),0)*(1+_15・盲ろう)),0)*(1+_15・区４)),0)</f>
        <v>1896</v>
      </c>
      <c r="V316" s="48"/>
    </row>
    <row r="317" spans="1:22" ht="16.5" customHeight="1" x14ac:dyDescent="0.15">
      <c r="A317" s="41">
        <v>15</v>
      </c>
      <c r="B317" s="41">
        <v>7997</v>
      </c>
      <c r="C317" s="74" t="s">
        <v>17908</v>
      </c>
      <c r="D317" s="72"/>
      <c r="F317" s="57"/>
      <c r="G317" s="53" t="s">
        <v>17558</v>
      </c>
      <c r="H317" s="49"/>
      <c r="I317" s="50"/>
      <c r="J317" s="163"/>
      <c r="K317" s="45"/>
      <c r="L317" s="46"/>
      <c r="M317" s="35"/>
      <c r="N317" s="12" t="s">
        <v>398</v>
      </c>
      <c r="O317" s="13">
        <v>0.25</v>
      </c>
      <c r="P317" s="57" t="s">
        <v>3575</v>
      </c>
      <c r="Q317" s="35"/>
      <c r="T317" s="57"/>
      <c r="U317" s="208">
        <f>ROUND((ROUND((ROUND((_15_同援日６．５*_15・基礎２),0)*(1+_15・盲ろう)),0)*(1+_15・区４)),0)</f>
        <v>1707</v>
      </c>
      <c r="V317" s="48"/>
    </row>
    <row r="318" spans="1:22" ht="16.5" customHeight="1" x14ac:dyDescent="0.15">
      <c r="A318" s="41">
        <v>15</v>
      </c>
      <c r="B318" s="41">
        <v>7998</v>
      </c>
      <c r="C318" s="74" t="s">
        <v>17909</v>
      </c>
      <c r="D318" s="122"/>
      <c r="E318" s="37"/>
      <c r="F318" s="79"/>
      <c r="G318" s="43" t="s">
        <v>17560</v>
      </c>
      <c r="H318" s="37" t="s">
        <v>398</v>
      </c>
      <c r="I318" s="38">
        <v>0.9</v>
      </c>
      <c r="J318" s="163" t="s">
        <v>17556</v>
      </c>
      <c r="K318" s="45" t="s">
        <v>398</v>
      </c>
      <c r="L318" s="46">
        <v>1</v>
      </c>
      <c r="M318" s="43"/>
      <c r="N318" s="37"/>
      <c r="O318" s="38"/>
      <c r="P318" s="79"/>
      <c r="Q318" s="43"/>
      <c r="R318" s="37"/>
      <c r="S318" s="38"/>
      <c r="T318" s="79"/>
      <c r="U318" s="208">
        <f>ROUND((ROUND((ROUND((ROUND((_15_同援日６．５*_15・基礎２),0)*_15・２人),0)*(1+_15・盲ろう)),0)*(1+_15・区４)),0)</f>
        <v>1707</v>
      </c>
      <c r="V318" s="48"/>
    </row>
    <row r="319" spans="1:22" ht="16.5" customHeight="1" x14ac:dyDescent="0.15">
      <c r="A319" s="41">
        <v>15</v>
      </c>
      <c r="B319" s="41">
        <v>7999</v>
      </c>
      <c r="C319" s="74" t="s">
        <v>17910</v>
      </c>
      <c r="D319" s="114" t="s">
        <v>17911</v>
      </c>
      <c r="E319" s="49"/>
      <c r="F319" s="115"/>
      <c r="G319" s="53"/>
      <c r="H319" s="49"/>
      <c r="I319" s="50"/>
      <c r="J319" s="163"/>
      <c r="K319" s="45"/>
      <c r="L319" s="46"/>
      <c r="M319" s="53"/>
      <c r="N319" s="49"/>
      <c r="O319" s="50"/>
      <c r="P319" s="115"/>
      <c r="Q319" s="53"/>
      <c r="R319" s="49"/>
      <c r="S319" s="50"/>
      <c r="T319" s="115"/>
      <c r="U319" s="208">
        <f>_15_同援日７．０</f>
        <v>1148</v>
      </c>
      <c r="V319" s="48"/>
    </row>
    <row r="320" spans="1:22" ht="16.5" customHeight="1" x14ac:dyDescent="0.15">
      <c r="A320" s="41">
        <v>15</v>
      </c>
      <c r="B320" s="41">
        <v>8000</v>
      </c>
      <c r="C320" s="74" t="s">
        <v>17912</v>
      </c>
      <c r="D320" s="72" t="s">
        <v>17913</v>
      </c>
      <c r="F320" s="57"/>
      <c r="G320" s="43"/>
      <c r="H320" s="37"/>
      <c r="I320" s="38"/>
      <c r="J320" s="163" t="s">
        <v>17556</v>
      </c>
      <c r="K320" s="45" t="s">
        <v>398</v>
      </c>
      <c r="L320" s="46">
        <v>1</v>
      </c>
      <c r="M320" s="35"/>
      <c r="P320" s="57"/>
      <c r="Q320" s="35"/>
      <c r="T320" s="57"/>
      <c r="U320" s="208">
        <f>ROUND((_15_同援日７．０*_15・２人),0)</f>
        <v>1148</v>
      </c>
      <c r="V320" s="48"/>
    </row>
    <row r="321" spans="1:22" ht="16.5" customHeight="1" x14ac:dyDescent="0.15">
      <c r="A321" s="41">
        <v>15</v>
      </c>
      <c r="B321" s="41">
        <v>8001</v>
      </c>
      <c r="C321" s="74" t="s">
        <v>17914</v>
      </c>
      <c r="D321" s="72" t="s">
        <v>17915</v>
      </c>
      <c r="F321" s="57"/>
      <c r="G321" s="53" t="s">
        <v>17558</v>
      </c>
      <c r="H321" s="49"/>
      <c r="I321" s="50"/>
      <c r="J321" s="163"/>
      <c r="K321" s="45"/>
      <c r="L321" s="46"/>
      <c r="M321" s="35"/>
      <c r="P321" s="57"/>
      <c r="Q321" s="35"/>
      <c r="T321" s="57"/>
      <c r="U321" s="208">
        <f>ROUND((_15_同援日７．０*_15・基礎２),0)</f>
        <v>1033</v>
      </c>
      <c r="V321" s="48"/>
    </row>
    <row r="322" spans="1:22" ht="16.5" customHeight="1" x14ac:dyDescent="0.15">
      <c r="A322" s="41">
        <v>15</v>
      </c>
      <c r="B322" s="41">
        <v>8002</v>
      </c>
      <c r="C322" s="74" t="s">
        <v>17916</v>
      </c>
      <c r="D322" s="72"/>
      <c r="E322" s="168">
        <f>_15_同援日７．０</f>
        <v>1148</v>
      </c>
      <c r="F322" s="57" t="s">
        <v>392</v>
      </c>
      <c r="G322" s="43" t="s">
        <v>17560</v>
      </c>
      <c r="H322" s="37" t="s">
        <v>398</v>
      </c>
      <c r="I322" s="38">
        <v>0.9</v>
      </c>
      <c r="J322" s="163" t="s">
        <v>17556</v>
      </c>
      <c r="K322" s="45" t="s">
        <v>398</v>
      </c>
      <c r="L322" s="46">
        <v>1</v>
      </c>
      <c r="M322" s="43"/>
      <c r="N322" s="37"/>
      <c r="O322" s="38"/>
      <c r="P322" s="79"/>
      <c r="Q322" s="35"/>
      <c r="T322" s="57"/>
      <c r="U322" s="208">
        <f>ROUND((ROUND((_15_同援日７．０*_15・基礎２),0)*_15・２人),0)</f>
        <v>1033</v>
      </c>
      <c r="V322" s="48"/>
    </row>
    <row r="323" spans="1:22" ht="16.5" customHeight="1" x14ac:dyDescent="0.15">
      <c r="A323" s="41">
        <v>15</v>
      </c>
      <c r="B323" s="41">
        <v>8003</v>
      </c>
      <c r="C323" s="74" t="s">
        <v>17917</v>
      </c>
      <c r="D323" s="72"/>
      <c r="F323" s="57"/>
      <c r="G323" s="53"/>
      <c r="H323" s="49"/>
      <c r="I323" s="50"/>
      <c r="J323" s="163"/>
      <c r="K323" s="45"/>
      <c r="L323" s="46"/>
      <c r="M323" s="53" t="s">
        <v>17562</v>
      </c>
      <c r="N323" s="49"/>
      <c r="O323" s="50"/>
      <c r="P323" s="115"/>
      <c r="Q323" s="35"/>
      <c r="T323" s="57"/>
      <c r="U323" s="208">
        <f>ROUND((_15_同援日７．０*(1+_15・盲ろう)),0)</f>
        <v>1435</v>
      </c>
      <c r="V323" s="48"/>
    </row>
    <row r="324" spans="1:22" ht="16.5" customHeight="1" x14ac:dyDescent="0.15">
      <c r="A324" s="41">
        <v>15</v>
      </c>
      <c r="B324" s="41">
        <v>8004</v>
      </c>
      <c r="C324" s="74" t="s">
        <v>17918</v>
      </c>
      <c r="D324" s="72"/>
      <c r="F324" s="57"/>
      <c r="G324" s="43"/>
      <c r="H324" s="37"/>
      <c r="I324" s="38"/>
      <c r="J324" s="163" t="s">
        <v>17556</v>
      </c>
      <c r="K324" s="45" t="s">
        <v>398</v>
      </c>
      <c r="L324" s="46">
        <v>1</v>
      </c>
      <c r="M324" s="35" t="s">
        <v>17564</v>
      </c>
      <c r="P324" s="57"/>
      <c r="Q324" s="35"/>
      <c r="T324" s="57"/>
      <c r="U324" s="208">
        <f>ROUND((ROUND((_15_同援日７．０*_15・２人),0)*(1+_15・盲ろう)),0)</f>
        <v>1435</v>
      </c>
      <c r="V324" s="48"/>
    </row>
    <row r="325" spans="1:22" ht="16.5" customHeight="1" x14ac:dyDescent="0.15">
      <c r="A325" s="41">
        <v>15</v>
      </c>
      <c r="B325" s="41">
        <v>8005</v>
      </c>
      <c r="C325" s="74" t="s">
        <v>17919</v>
      </c>
      <c r="D325" s="72"/>
      <c r="F325" s="57"/>
      <c r="G325" s="53" t="s">
        <v>17558</v>
      </c>
      <c r="H325" s="49"/>
      <c r="I325" s="50"/>
      <c r="J325" s="163"/>
      <c r="K325" s="45"/>
      <c r="L325" s="46"/>
      <c r="M325" s="35"/>
      <c r="N325" s="12" t="s">
        <v>398</v>
      </c>
      <c r="O325" s="13">
        <v>0.25</v>
      </c>
      <c r="P325" s="57" t="s">
        <v>3575</v>
      </c>
      <c r="Q325" s="35"/>
      <c r="T325" s="57"/>
      <c r="U325" s="208">
        <f>ROUND((ROUND((_15_同援日７．０*_15・基礎２),0)*(1+_15・盲ろう)),0)</f>
        <v>1291</v>
      </c>
      <c r="V325" s="48"/>
    </row>
    <row r="326" spans="1:22" ht="16.5" customHeight="1" x14ac:dyDescent="0.15">
      <c r="A326" s="41">
        <v>15</v>
      </c>
      <c r="B326" s="41">
        <v>8006</v>
      </c>
      <c r="C326" s="74" t="s">
        <v>17920</v>
      </c>
      <c r="D326" s="72"/>
      <c r="F326" s="57"/>
      <c r="G326" s="43" t="s">
        <v>17560</v>
      </c>
      <c r="H326" s="37" t="s">
        <v>398</v>
      </c>
      <c r="I326" s="38">
        <v>0.9</v>
      </c>
      <c r="J326" s="163" t="s">
        <v>17556</v>
      </c>
      <c r="K326" s="45" t="s">
        <v>398</v>
      </c>
      <c r="L326" s="46">
        <v>1</v>
      </c>
      <c r="M326" s="43"/>
      <c r="N326" s="37"/>
      <c r="O326" s="38"/>
      <c r="P326" s="79"/>
      <c r="Q326" s="43"/>
      <c r="R326" s="37"/>
      <c r="S326" s="38"/>
      <c r="T326" s="79"/>
      <c r="U326" s="208">
        <f>ROUND((ROUND((ROUND((_15_同援日７．０*_15・基礎２),0)*_15・２人),0)*(1+_15・盲ろう)),0)</f>
        <v>1291</v>
      </c>
      <c r="V326" s="48"/>
    </row>
    <row r="327" spans="1:22" ht="16.5" customHeight="1" x14ac:dyDescent="0.15">
      <c r="A327" s="41">
        <v>15</v>
      </c>
      <c r="B327" s="41">
        <v>8007</v>
      </c>
      <c r="C327" s="74" t="s">
        <v>17921</v>
      </c>
      <c r="D327" s="72"/>
      <c r="F327" s="57"/>
      <c r="G327" s="53"/>
      <c r="H327" s="49"/>
      <c r="I327" s="50"/>
      <c r="J327" s="163"/>
      <c r="K327" s="45"/>
      <c r="L327" s="46"/>
      <c r="M327" s="53"/>
      <c r="N327" s="49"/>
      <c r="O327" s="50"/>
      <c r="P327" s="115"/>
      <c r="Q327" s="53"/>
      <c r="R327" s="49"/>
      <c r="S327" s="50"/>
      <c r="T327" s="115"/>
      <c r="U327" s="208">
        <f>ROUND((_15_同援日７．０*(1+_15・区３)),0)</f>
        <v>1378</v>
      </c>
      <c r="V327" s="48"/>
    </row>
    <row r="328" spans="1:22" ht="16.5" customHeight="1" x14ac:dyDescent="0.15">
      <c r="A328" s="41">
        <v>15</v>
      </c>
      <c r="B328" s="41">
        <v>8008</v>
      </c>
      <c r="C328" s="74" t="s">
        <v>17922</v>
      </c>
      <c r="D328" s="72"/>
      <c r="F328" s="57"/>
      <c r="G328" s="43"/>
      <c r="H328" s="37"/>
      <c r="I328" s="38"/>
      <c r="J328" s="163" t="s">
        <v>17556</v>
      </c>
      <c r="K328" s="45" t="s">
        <v>398</v>
      </c>
      <c r="L328" s="46">
        <v>1</v>
      </c>
      <c r="M328" s="35"/>
      <c r="P328" s="57"/>
      <c r="Q328" s="35"/>
      <c r="T328" s="57"/>
      <c r="U328" s="208">
        <f>ROUND((ROUND((_15_同援日７．０*_15・２人),0)*(1+_15・区３)),0)</f>
        <v>1378</v>
      </c>
      <c r="V328" s="48"/>
    </row>
    <row r="329" spans="1:22" ht="16.5" customHeight="1" x14ac:dyDescent="0.15">
      <c r="A329" s="41">
        <v>15</v>
      </c>
      <c r="B329" s="41">
        <v>8009</v>
      </c>
      <c r="C329" s="74" t="s">
        <v>17923</v>
      </c>
      <c r="D329" s="72"/>
      <c r="F329" s="57"/>
      <c r="G329" s="53" t="s">
        <v>17558</v>
      </c>
      <c r="H329" s="49"/>
      <c r="I329" s="50"/>
      <c r="J329" s="163"/>
      <c r="K329" s="45"/>
      <c r="L329" s="46"/>
      <c r="M329" s="35"/>
      <c r="P329" s="57"/>
      <c r="Q329" s="35" t="s">
        <v>17570</v>
      </c>
      <c r="T329" s="57"/>
      <c r="U329" s="208">
        <f>ROUND((ROUND((_15_同援日７．０*_15・基礎２),0)*(1+_15・区３)),0)</f>
        <v>1240</v>
      </c>
      <c r="V329" s="48"/>
    </row>
    <row r="330" spans="1:22" ht="16.5" customHeight="1" x14ac:dyDescent="0.15">
      <c r="A330" s="41">
        <v>15</v>
      </c>
      <c r="B330" s="41">
        <v>8010</v>
      </c>
      <c r="C330" s="74" t="s">
        <v>17924</v>
      </c>
      <c r="D330" s="72"/>
      <c r="F330" s="57"/>
      <c r="G330" s="43" t="s">
        <v>17560</v>
      </c>
      <c r="H330" s="37" t="s">
        <v>398</v>
      </c>
      <c r="I330" s="38">
        <v>0.9</v>
      </c>
      <c r="J330" s="163" t="s">
        <v>17556</v>
      </c>
      <c r="K330" s="45" t="s">
        <v>398</v>
      </c>
      <c r="L330" s="46">
        <v>1</v>
      </c>
      <c r="M330" s="43"/>
      <c r="N330" s="37"/>
      <c r="O330" s="38"/>
      <c r="P330" s="79"/>
      <c r="Q330" s="35" t="s">
        <v>17572</v>
      </c>
      <c r="T330" s="57"/>
      <c r="U330" s="208">
        <f>ROUND((ROUND((ROUND((_15_同援日７．０*_15・基礎２),0)*_15・２人),0)*(1+_15・区３)),0)</f>
        <v>1240</v>
      </c>
      <c r="V330" s="48"/>
    </row>
    <row r="331" spans="1:22" ht="16.5" customHeight="1" x14ac:dyDescent="0.15">
      <c r="A331" s="41">
        <v>15</v>
      </c>
      <c r="B331" s="41">
        <v>8011</v>
      </c>
      <c r="C331" s="74" t="s">
        <v>17925</v>
      </c>
      <c r="D331" s="72"/>
      <c r="F331" s="57"/>
      <c r="G331" s="53"/>
      <c r="H331" s="49"/>
      <c r="I331" s="50"/>
      <c r="J331" s="163"/>
      <c r="K331" s="45"/>
      <c r="L331" s="46"/>
      <c r="M331" s="53" t="s">
        <v>17562</v>
      </c>
      <c r="N331" s="49"/>
      <c r="O331" s="50"/>
      <c r="P331" s="115"/>
      <c r="Q331" s="35"/>
      <c r="R331" s="12" t="s">
        <v>398</v>
      </c>
      <c r="S331" s="13">
        <v>0.2</v>
      </c>
      <c r="T331" s="57" t="s">
        <v>3575</v>
      </c>
      <c r="U331" s="208">
        <f>ROUND((ROUND((_15_同援日７．０*(1+_15・盲ろう)),0)*(1+_15・区３)),0)</f>
        <v>1722</v>
      </c>
      <c r="V331" s="48"/>
    </row>
    <row r="332" spans="1:22" ht="16.5" customHeight="1" x14ac:dyDescent="0.15">
      <c r="A332" s="41">
        <v>15</v>
      </c>
      <c r="B332" s="41">
        <v>8012</v>
      </c>
      <c r="C332" s="74" t="s">
        <v>17926</v>
      </c>
      <c r="D332" s="72"/>
      <c r="F332" s="57"/>
      <c r="G332" s="43"/>
      <c r="H332" s="37"/>
      <c r="I332" s="38"/>
      <c r="J332" s="163" t="s">
        <v>17556</v>
      </c>
      <c r="K332" s="45" t="s">
        <v>398</v>
      </c>
      <c r="L332" s="46">
        <v>1</v>
      </c>
      <c r="M332" s="35" t="s">
        <v>17564</v>
      </c>
      <c r="P332" s="57"/>
      <c r="Q332" s="35"/>
      <c r="T332" s="57"/>
      <c r="U332" s="208">
        <f>ROUND((ROUND((ROUND((_15_同援日７．０*_15・２人),0)*(1+_15・盲ろう)),0)*(1+_15・区３)),0)</f>
        <v>1722</v>
      </c>
      <c r="V332" s="48"/>
    </row>
    <row r="333" spans="1:22" ht="16.5" customHeight="1" x14ac:dyDescent="0.15">
      <c r="A333" s="41">
        <v>15</v>
      </c>
      <c r="B333" s="41">
        <v>8013</v>
      </c>
      <c r="C333" s="74" t="s">
        <v>17927</v>
      </c>
      <c r="D333" s="72"/>
      <c r="F333" s="57"/>
      <c r="G333" s="53" t="s">
        <v>17558</v>
      </c>
      <c r="H333" s="49"/>
      <c r="I333" s="50"/>
      <c r="J333" s="163"/>
      <c r="K333" s="45"/>
      <c r="L333" s="46"/>
      <c r="M333" s="35"/>
      <c r="N333" s="12" t="s">
        <v>398</v>
      </c>
      <c r="O333" s="13">
        <v>0.25</v>
      </c>
      <c r="P333" s="57" t="s">
        <v>3575</v>
      </c>
      <c r="Q333" s="35"/>
      <c r="T333" s="57"/>
      <c r="U333" s="208">
        <f>ROUND((ROUND((ROUND((_15_同援日７．０*_15・基礎２),0)*(1+_15・盲ろう)),0)*(1+_15・区３)),0)</f>
        <v>1549</v>
      </c>
      <c r="V333" s="48"/>
    </row>
    <row r="334" spans="1:22" ht="16.5" customHeight="1" x14ac:dyDescent="0.15">
      <c r="A334" s="41">
        <v>15</v>
      </c>
      <c r="B334" s="41">
        <v>8014</v>
      </c>
      <c r="C334" s="74" t="s">
        <v>17928</v>
      </c>
      <c r="D334" s="72"/>
      <c r="F334" s="57"/>
      <c r="G334" s="43" t="s">
        <v>17560</v>
      </c>
      <c r="H334" s="37" t="s">
        <v>398</v>
      </c>
      <c r="I334" s="38">
        <v>0.9</v>
      </c>
      <c r="J334" s="163" t="s">
        <v>17556</v>
      </c>
      <c r="K334" s="45" t="s">
        <v>398</v>
      </c>
      <c r="L334" s="46">
        <v>1</v>
      </c>
      <c r="M334" s="43"/>
      <c r="N334" s="37"/>
      <c r="O334" s="38"/>
      <c r="P334" s="79"/>
      <c r="Q334" s="43"/>
      <c r="R334" s="37"/>
      <c r="S334" s="38"/>
      <c r="T334" s="79"/>
      <c r="U334" s="208">
        <f>ROUND((ROUND((ROUND((ROUND((_15_同援日７．０*_15・基礎２),0)*_15・２人),0)*(1+_15・盲ろう)),0)*(1+_15・区３)),0)</f>
        <v>1549</v>
      </c>
      <c r="V334" s="48"/>
    </row>
    <row r="335" spans="1:22" ht="16.5" customHeight="1" x14ac:dyDescent="0.15">
      <c r="A335" s="41">
        <v>15</v>
      </c>
      <c r="B335" s="41">
        <v>8015</v>
      </c>
      <c r="C335" s="74" t="s">
        <v>17929</v>
      </c>
      <c r="D335" s="72"/>
      <c r="F335" s="57"/>
      <c r="G335" s="53"/>
      <c r="H335" s="49"/>
      <c r="I335" s="50"/>
      <c r="J335" s="163"/>
      <c r="K335" s="45"/>
      <c r="L335" s="46"/>
      <c r="M335" s="53"/>
      <c r="N335" s="49"/>
      <c r="O335" s="50"/>
      <c r="P335" s="115"/>
      <c r="Q335" s="53"/>
      <c r="R335" s="49"/>
      <c r="S335" s="50"/>
      <c r="T335" s="115"/>
      <c r="U335" s="208">
        <f>ROUND((_15_同援日７．０*(1+_15・区４)),0)</f>
        <v>1607</v>
      </c>
      <c r="V335" s="48"/>
    </row>
    <row r="336" spans="1:22" ht="16.5" customHeight="1" x14ac:dyDescent="0.15">
      <c r="A336" s="41">
        <v>15</v>
      </c>
      <c r="B336" s="41">
        <v>8016</v>
      </c>
      <c r="C336" s="74" t="s">
        <v>17930</v>
      </c>
      <c r="D336" s="72"/>
      <c r="F336" s="57"/>
      <c r="G336" s="43"/>
      <c r="H336" s="37"/>
      <c r="I336" s="38"/>
      <c r="J336" s="163" t="s">
        <v>17556</v>
      </c>
      <c r="K336" s="45" t="s">
        <v>398</v>
      </c>
      <c r="L336" s="46">
        <v>1</v>
      </c>
      <c r="M336" s="35"/>
      <c r="P336" s="57"/>
      <c r="Q336" s="35"/>
      <c r="T336" s="57"/>
      <c r="U336" s="208">
        <f>ROUND((ROUND((_15_同援日７．０*_15・２人),0)*(1+_15・区４)),0)</f>
        <v>1607</v>
      </c>
      <c r="V336" s="48"/>
    </row>
    <row r="337" spans="1:22" ht="16.5" customHeight="1" x14ac:dyDescent="0.15">
      <c r="A337" s="41">
        <v>15</v>
      </c>
      <c r="B337" s="41">
        <v>8017</v>
      </c>
      <c r="C337" s="74" t="s">
        <v>17931</v>
      </c>
      <c r="D337" s="72"/>
      <c r="F337" s="57"/>
      <c r="G337" s="53" t="s">
        <v>17558</v>
      </c>
      <c r="H337" s="49"/>
      <c r="I337" s="50"/>
      <c r="J337" s="163"/>
      <c r="K337" s="45"/>
      <c r="L337" s="46"/>
      <c r="M337" s="35"/>
      <c r="P337" s="57"/>
      <c r="Q337" s="35" t="s">
        <v>17580</v>
      </c>
      <c r="T337" s="57"/>
      <c r="U337" s="208">
        <f>ROUND((ROUND((_15_同援日７．０*_15・基礎２),0)*(1+_15・区４)),0)</f>
        <v>1446</v>
      </c>
      <c r="V337" s="48"/>
    </row>
    <row r="338" spans="1:22" ht="16.5" customHeight="1" x14ac:dyDescent="0.15">
      <c r="A338" s="41">
        <v>15</v>
      </c>
      <c r="B338" s="41">
        <v>8018</v>
      </c>
      <c r="C338" s="74" t="s">
        <v>17932</v>
      </c>
      <c r="D338" s="72"/>
      <c r="F338" s="57"/>
      <c r="G338" s="43" t="s">
        <v>17560</v>
      </c>
      <c r="H338" s="37" t="s">
        <v>398</v>
      </c>
      <c r="I338" s="38">
        <v>0.9</v>
      </c>
      <c r="J338" s="163" t="s">
        <v>17556</v>
      </c>
      <c r="K338" s="45" t="s">
        <v>398</v>
      </c>
      <c r="L338" s="46">
        <v>1</v>
      </c>
      <c r="M338" s="43"/>
      <c r="N338" s="37"/>
      <c r="O338" s="38"/>
      <c r="P338" s="79"/>
      <c r="Q338" s="35" t="s">
        <v>17572</v>
      </c>
      <c r="T338" s="57"/>
      <c r="U338" s="208">
        <f>ROUND((ROUND((ROUND((_15_同援日７．０*_15・基礎２),0)*_15・２人),0)*(1+_15・区４)),0)</f>
        <v>1446</v>
      </c>
      <c r="V338" s="48"/>
    </row>
    <row r="339" spans="1:22" ht="16.5" customHeight="1" x14ac:dyDescent="0.15">
      <c r="A339" s="41">
        <v>15</v>
      </c>
      <c r="B339" s="41">
        <v>8019</v>
      </c>
      <c r="C339" s="74" t="s">
        <v>17933</v>
      </c>
      <c r="D339" s="72"/>
      <c r="F339" s="57"/>
      <c r="G339" s="53"/>
      <c r="H339" s="49"/>
      <c r="I339" s="50"/>
      <c r="J339" s="163"/>
      <c r="K339" s="45"/>
      <c r="L339" s="46"/>
      <c r="M339" s="53" t="s">
        <v>17562</v>
      </c>
      <c r="N339" s="49"/>
      <c r="O339" s="50"/>
      <c r="P339" s="115"/>
      <c r="Q339" s="35"/>
      <c r="R339" s="12" t="s">
        <v>398</v>
      </c>
      <c r="S339" s="13">
        <v>0.4</v>
      </c>
      <c r="T339" s="57" t="s">
        <v>3575</v>
      </c>
      <c r="U339" s="208">
        <f>ROUND((ROUND((_15_同援日７．０*(1+_15・盲ろう)),0)*(1+_15・区４)),0)</f>
        <v>2009</v>
      </c>
      <c r="V339" s="48"/>
    </row>
    <row r="340" spans="1:22" ht="16.5" customHeight="1" x14ac:dyDescent="0.15">
      <c r="A340" s="41">
        <v>15</v>
      </c>
      <c r="B340" s="41">
        <v>8020</v>
      </c>
      <c r="C340" s="74" t="s">
        <v>17934</v>
      </c>
      <c r="D340" s="72"/>
      <c r="F340" s="57"/>
      <c r="G340" s="43"/>
      <c r="H340" s="37"/>
      <c r="I340" s="38"/>
      <c r="J340" s="163" t="s">
        <v>17556</v>
      </c>
      <c r="K340" s="45" t="s">
        <v>398</v>
      </c>
      <c r="L340" s="46">
        <v>1</v>
      </c>
      <c r="M340" s="35" t="s">
        <v>17564</v>
      </c>
      <c r="P340" s="57"/>
      <c r="Q340" s="35"/>
      <c r="T340" s="57"/>
      <c r="U340" s="208">
        <f>ROUND((ROUND((ROUND((_15_同援日７．０*_15・２人),0)*(1+_15・盲ろう)),0)*(1+_15・区４)),0)</f>
        <v>2009</v>
      </c>
      <c r="V340" s="48"/>
    </row>
    <row r="341" spans="1:22" ht="16.5" customHeight="1" x14ac:dyDescent="0.15">
      <c r="A341" s="41">
        <v>15</v>
      </c>
      <c r="B341" s="41">
        <v>8021</v>
      </c>
      <c r="C341" s="74" t="s">
        <v>17935</v>
      </c>
      <c r="D341" s="72"/>
      <c r="F341" s="57"/>
      <c r="G341" s="53" t="s">
        <v>17558</v>
      </c>
      <c r="H341" s="49"/>
      <c r="I341" s="50"/>
      <c r="J341" s="163"/>
      <c r="K341" s="45"/>
      <c r="L341" s="46"/>
      <c r="M341" s="35"/>
      <c r="N341" s="12" t="s">
        <v>398</v>
      </c>
      <c r="O341" s="13">
        <v>0.25</v>
      </c>
      <c r="P341" s="57" t="s">
        <v>3575</v>
      </c>
      <c r="Q341" s="35"/>
      <c r="T341" s="57"/>
      <c r="U341" s="208">
        <f>ROUND((ROUND((ROUND((_15_同援日７．０*_15・基礎２),0)*(1+_15・盲ろう)),0)*(1+_15・区４)),0)</f>
        <v>1807</v>
      </c>
      <c r="V341" s="48"/>
    </row>
    <row r="342" spans="1:22" ht="16.5" customHeight="1" x14ac:dyDescent="0.15">
      <c r="A342" s="41">
        <v>15</v>
      </c>
      <c r="B342" s="41">
        <v>8022</v>
      </c>
      <c r="C342" s="74" t="s">
        <v>17936</v>
      </c>
      <c r="D342" s="122"/>
      <c r="E342" s="37"/>
      <c r="F342" s="79"/>
      <c r="G342" s="43" t="s">
        <v>17560</v>
      </c>
      <c r="H342" s="37" t="s">
        <v>398</v>
      </c>
      <c r="I342" s="38">
        <v>0.9</v>
      </c>
      <c r="J342" s="163" t="s">
        <v>17556</v>
      </c>
      <c r="K342" s="45" t="s">
        <v>398</v>
      </c>
      <c r="L342" s="46">
        <v>1</v>
      </c>
      <c r="M342" s="43"/>
      <c r="N342" s="37"/>
      <c r="O342" s="38"/>
      <c r="P342" s="79"/>
      <c r="Q342" s="43"/>
      <c r="R342" s="37"/>
      <c r="S342" s="38"/>
      <c r="T342" s="79"/>
      <c r="U342" s="208">
        <f>ROUND((ROUND((ROUND((ROUND((_15_同援日７．０*_15・基礎２),0)*_15・２人),0)*(1+_15・盲ろう)),0)*(1+_15・区４)),0)</f>
        <v>1807</v>
      </c>
      <c r="V342" s="48"/>
    </row>
    <row r="343" spans="1:22" ht="16.5" customHeight="1" x14ac:dyDescent="0.15">
      <c r="A343" s="41">
        <v>15</v>
      </c>
      <c r="B343" s="41">
        <v>8023</v>
      </c>
      <c r="C343" s="74" t="s">
        <v>17937</v>
      </c>
      <c r="D343" s="114" t="s">
        <v>17938</v>
      </c>
      <c r="E343" s="49"/>
      <c r="F343" s="115"/>
      <c r="G343" s="53"/>
      <c r="H343" s="49"/>
      <c r="I343" s="50"/>
      <c r="J343" s="163"/>
      <c r="K343" s="45"/>
      <c r="L343" s="46"/>
      <c r="M343" s="53"/>
      <c r="N343" s="49"/>
      <c r="O343" s="50"/>
      <c r="P343" s="115"/>
      <c r="Q343" s="53"/>
      <c r="R343" s="49"/>
      <c r="S343" s="50"/>
      <c r="T343" s="115"/>
      <c r="U343" s="208">
        <f>_15_同援日７．５</f>
        <v>1213</v>
      </c>
      <c r="V343" s="48"/>
    </row>
    <row r="344" spans="1:22" ht="16.5" customHeight="1" x14ac:dyDescent="0.15">
      <c r="A344" s="41">
        <v>15</v>
      </c>
      <c r="B344" s="41">
        <v>8024</v>
      </c>
      <c r="C344" s="74" t="s">
        <v>17939</v>
      </c>
      <c r="D344" s="72" t="s">
        <v>17940</v>
      </c>
      <c r="F344" s="57"/>
      <c r="G344" s="43"/>
      <c r="H344" s="37"/>
      <c r="I344" s="38"/>
      <c r="J344" s="163" t="s">
        <v>17556</v>
      </c>
      <c r="K344" s="45" t="s">
        <v>398</v>
      </c>
      <c r="L344" s="46">
        <v>1</v>
      </c>
      <c r="M344" s="35"/>
      <c r="P344" s="57"/>
      <c r="Q344" s="35"/>
      <c r="T344" s="57"/>
      <c r="U344" s="208">
        <f>ROUND((_15_同援日７．５*_15・２人),0)</f>
        <v>1213</v>
      </c>
      <c r="V344" s="48"/>
    </row>
    <row r="345" spans="1:22" ht="16.5" customHeight="1" x14ac:dyDescent="0.15">
      <c r="A345" s="41">
        <v>15</v>
      </c>
      <c r="B345" s="41">
        <v>8025</v>
      </c>
      <c r="C345" s="74" t="s">
        <v>17941</v>
      </c>
      <c r="D345" s="72" t="s">
        <v>17942</v>
      </c>
      <c r="F345" s="57"/>
      <c r="G345" s="53" t="s">
        <v>17558</v>
      </c>
      <c r="H345" s="49"/>
      <c r="I345" s="50"/>
      <c r="J345" s="163"/>
      <c r="K345" s="45"/>
      <c r="L345" s="46"/>
      <c r="M345" s="35"/>
      <c r="P345" s="57"/>
      <c r="Q345" s="35"/>
      <c r="T345" s="57"/>
      <c r="U345" s="208">
        <f>ROUND((_15_同援日７．５*_15・基礎２),0)</f>
        <v>1092</v>
      </c>
      <c r="V345" s="48"/>
    </row>
    <row r="346" spans="1:22" ht="16.5" customHeight="1" x14ac:dyDescent="0.15">
      <c r="A346" s="41">
        <v>15</v>
      </c>
      <c r="B346" s="41">
        <v>8026</v>
      </c>
      <c r="C346" s="74" t="s">
        <v>17943</v>
      </c>
      <c r="D346" s="72"/>
      <c r="E346" s="168">
        <f>_15_同援日７．５</f>
        <v>1213</v>
      </c>
      <c r="F346" s="57" t="s">
        <v>392</v>
      </c>
      <c r="G346" s="43" t="s">
        <v>17560</v>
      </c>
      <c r="H346" s="37" t="s">
        <v>398</v>
      </c>
      <c r="I346" s="38">
        <v>0.9</v>
      </c>
      <c r="J346" s="163" t="s">
        <v>17556</v>
      </c>
      <c r="K346" s="45" t="s">
        <v>398</v>
      </c>
      <c r="L346" s="46">
        <v>1</v>
      </c>
      <c r="M346" s="43"/>
      <c r="N346" s="37"/>
      <c r="O346" s="38"/>
      <c r="P346" s="79"/>
      <c r="Q346" s="35"/>
      <c r="T346" s="57"/>
      <c r="U346" s="208">
        <f>ROUND((ROUND((_15_同援日７．５*_15・基礎２),0)*_15・２人),0)</f>
        <v>1092</v>
      </c>
      <c r="V346" s="48"/>
    </row>
    <row r="347" spans="1:22" ht="16.5" customHeight="1" x14ac:dyDescent="0.15">
      <c r="A347" s="41">
        <v>15</v>
      </c>
      <c r="B347" s="41">
        <v>8027</v>
      </c>
      <c r="C347" s="74" t="s">
        <v>17944</v>
      </c>
      <c r="D347" s="72"/>
      <c r="F347" s="57"/>
      <c r="G347" s="53"/>
      <c r="H347" s="49"/>
      <c r="I347" s="50"/>
      <c r="J347" s="163"/>
      <c r="K347" s="45"/>
      <c r="L347" s="46"/>
      <c r="M347" s="53" t="s">
        <v>17562</v>
      </c>
      <c r="N347" s="49"/>
      <c r="O347" s="50"/>
      <c r="P347" s="115"/>
      <c r="Q347" s="35"/>
      <c r="T347" s="57"/>
      <c r="U347" s="208">
        <f>ROUND((_15_同援日７．５*(1+_15・盲ろう)),0)</f>
        <v>1516</v>
      </c>
      <c r="V347" s="48"/>
    </row>
    <row r="348" spans="1:22" ht="16.5" customHeight="1" x14ac:dyDescent="0.15">
      <c r="A348" s="41">
        <v>15</v>
      </c>
      <c r="B348" s="41">
        <v>8028</v>
      </c>
      <c r="C348" s="74" t="s">
        <v>17945</v>
      </c>
      <c r="D348" s="72"/>
      <c r="F348" s="57"/>
      <c r="G348" s="43"/>
      <c r="H348" s="37"/>
      <c r="I348" s="38"/>
      <c r="J348" s="163" t="s">
        <v>17556</v>
      </c>
      <c r="K348" s="45" t="s">
        <v>398</v>
      </c>
      <c r="L348" s="46">
        <v>1</v>
      </c>
      <c r="M348" s="35" t="s">
        <v>17564</v>
      </c>
      <c r="P348" s="57"/>
      <c r="Q348" s="35"/>
      <c r="T348" s="57"/>
      <c r="U348" s="208">
        <f>ROUND((ROUND((_15_同援日７．５*_15・２人),0)*(1+_15・盲ろう)),0)</f>
        <v>1516</v>
      </c>
      <c r="V348" s="48"/>
    </row>
    <row r="349" spans="1:22" ht="16.5" customHeight="1" x14ac:dyDescent="0.15">
      <c r="A349" s="41">
        <v>15</v>
      </c>
      <c r="B349" s="41">
        <v>8029</v>
      </c>
      <c r="C349" s="74" t="s">
        <v>17946</v>
      </c>
      <c r="D349" s="72"/>
      <c r="F349" s="57"/>
      <c r="G349" s="53" t="s">
        <v>17558</v>
      </c>
      <c r="H349" s="49"/>
      <c r="I349" s="50"/>
      <c r="J349" s="163"/>
      <c r="K349" s="45"/>
      <c r="L349" s="46"/>
      <c r="M349" s="35"/>
      <c r="N349" s="12" t="s">
        <v>398</v>
      </c>
      <c r="O349" s="13">
        <v>0.25</v>
      </c>
      <c r="P349" s="57" t="s">
        <v>3575</v>
      </c>
      <c r="Q349" s="35"/>
      <c r="T349" s="57"/>
      <c r="U349" s="208">
        <f>ROUND((ROUND((_15_同援日７．５*_15・基礎２),0)*(1+_15・盲ろう)),0)</f>
        <v>1365</v>
      </c>
      <c r="V349" s="48"/>
    </row>
    <row r="350" spans="1:22" ht="16.5" customHeight="1" x14ac:dyDescent="0.15">
      <c r="A350" s="41">
        <v>15</v>
      </c>
      <c r="B350" s="41">
        <v>8030</v>
      </c>
      <c r="C350" s="74" t="s">
        <v>17947</v>
      </c>
      <c r="D350" s="72"/>
      <c r="F350" s="57"/>
      <c r="G350" s="43" t="s">
        <v>17560</v>
      </c>
      <c r="H350" s="37" t="s">
        <v>398</v>
      </c>
      <c r="I350" s="38">
        <v>0.9</v>
      </c>
      <c r="J350" s="163" t="s">
        <v>17556</v>
      </c>
      <c r="K350" s="45" t="s">
        <v>398</v>
      </c>
      <c r="L350" s="46">
        <v>1</v>
      </c>
      <c r="M350" s="43"/>
      <c r="N350" s="37"/>
      <c r="O350" s="38"/>
      <c r="P350" s="79"/>
      <c r="Q350" s="43"/>
      <c r="R350" s="37"/>
      <c r="S350" s="38"/>
      <c r="T350" s="79"/>
      <c r="U350" s="208">
        <f>ROUND((ROUND((ROUND((_15_同援日７．５*_15・基礎２),0)*_15・２人),0)*(1+_15・盲ろう)),0)</f>
        <v>1365</v>
      </c>
      <c r="V350" s="48"/>
    </row>
    <row r="351" spans="1:22" ht="16.5" customHeight="1" x14ac:dyDescent="0.15">
      <c r="A351" s="41">
        <v>15</v>
      </c>
      <c r="B351" s="41">
        <v>8031</v>
      </c>
      <c r="C351" s="74" t="s">
        <v>17948</v>
      </c>
      <c r="D351" s="72"/>
      <c r="F351" s="57"/>
      <c r="G351" s="53"/>
      <c r="H351" s="49"/>
      <c r="I351" s="50"/>
      <c r="J351" s="163"/>
      <c r="K351" s="45"/>
      <c r="L351" s="46"/>
      <c r="M351" s="53"/>
      <c r="N351" s="49"/>
      <c r="O351" s="50"/>
      <c r="P351" s="115"/>
      <c r="Q351" s="53"/>
      <c r="R351" s="49"/>
      <c r="S351" s="50"/>
      <c r="T351" s="115"/>
      <c r="U351" s="208">
        <f>ROUND((_15_同援日７．５*(1+_15・区３)),0)</f>
        <v>1456</v>
      </c>
      <c r="V351" s="48"/>
    </row>
    <row r="352" spans="1:22" ht="16.5" customHeight="1" x14ac:dyDescent="0.15">
      <c r="A352" s="41">
        <v>15</v>
      </c>
      <c r="B352" s="41">
        <v>8032</v>
      </c>
      <c r="C352" s="74" t="s">
        <v>17949</v>
      </c>
      <c r="D352" s="72"/>
      <c r="F352" s="57"/>
      <c r="G352" s="43"/>
      <c r="H352" s="37"/>
      <c r="I352" s="38"/>
      <c r="J352" s="163" t="s">
        <v>17556</v>
      </c>
      <c r="K352" s="45" t="s">
        <v>398</v>
      </c>
      <c r="L352" s="46">
        <v>1</v>
      </c>
      <c r="M352" s="35"/>
      <c r="P352" s="57"/>
      <c r="Q352" s="35"/>
      <c r="T352" s="57"/>
      <c r="U352" s="208">
        <f>ROUND((ROUND((_15_同援日７．５*_15・２人),0)*(1+_15・区３)),0)</f>
        <v>1456</v>
      </c>
      <c r="V352" s="48"/>
    </row>
    <row r="353" spans="1:22" ht="16.5" customHeight="1" x14ac:dyDescent="0.15">
      <c r="A353" s="41">
        <v>15</v>
      </c>
      <c r="B353" s="41">
        <v>8033</v>
      </c>
      <c r="C353" s="74" t="s">
        <v>17950</v>
      </c>
      <c r="D353" s="72"/>
      <c r="F353" s="57"/>
      <c r="G353" s="53" t="s">
        <v>17558</v>
      </c>
      <c r="H353" s="49"/>
      <c r="I353" s="50"/>
      <c r="J353" s="163"/>
      <c r="K353" s="45"/>
      <c r="L353" s="46"/>
      <c r="M353" s="35"/>
      <c r="P353" s="57"/>
      <c r="Q353" s="35" t="s">
        <v>17570</v>
      </c>
      <c r="T353" s="57"/>
      <c r="U353" s="208">
        <f>ROUND((ROUND((_15_同援日７．５*_15・基礎２),0)*(1+_15・区３)),0)</f>
        <v>1310</v>
      </c>
      <c r="V353" s="48"/>
    </row>
    <row r="354" spans="1:22" ht="16.5" customHeight="1" x14ac:dyDescent="0.15">
      <c r="A354" s="41">
        <v>15</v>
      </c>
      <c r="B354" s="41">
        <v>8034</v>
      </c>
      <c r="C354" s="74" t="s">
        <v>17951</v>
      </c>
      <c r="D354" s="72"/>
      <c r="F354" s="57"/>
      <c r="G354" s="43" t="s">
        <v>17560</v>
      </c>
      <c r="H354" s="37" t="s">
        <v>398</v>
      </c>
      <c r="I354" s="38">
        <v>0.9</v>
      </c>
      <c r="J354" s="163" t="s">
        <v>17556</v>
      </c>
      <c r="K354" s="45" t="s">
        <v>398</v>
      </c>
      <c r="L354" s="46">
        <v>1</v>
      </c>
      <c r="M354" s="43"/>
      <c r="N354" s="37"/>
      <c r="O354" s="38"/>
      <c r="P354" s="79"/>
      <c r="Q354" s="35" t="s">
        <v>17572</v>
      </c>
      <c r="T354" s="57"/>
      <c r="U354" s="208">
        <f>ROUND((ROUND((ROUND((_15_同援日７．５*_15・基礎２),0)*_15・２人),0)*(1+_15・区３)),0)</f>
        <v>1310</v>
      </c>
      <c r="V354" s="48"/>
    </row>
    <row r="355" spans="1:22" ht="16.5" customHeight="1" x14ac:dyDescent="0.15">
      <c r="A355" s="41">
        <v>15</v>
      </c>
      <c r="B355" s="41">
        <v>8035</v>
      </c>
      <c r="C355" s="74" t="s">
        <v>17952</v>
      </c>
      <c r="D355" s="72"/>
      <c r="F355" s="57"/>
      <c r="G355" s="53"/>
      <c r="H355" s="49"/>
      <c r="I355" s="50"/>
      <c r="J355" s="163"/>
      <c r="K355" s="45"/>
      <c r="L355" s="46"/>
      <c r="M355" s="53" t="s">
        <v>17562</v>
      </c>
      <c r="N355" s="49"/>
      <c r="O355" s="50"/>
      <c r="P355" s="115"/>
      <c r="Q355" s="35"/>
      <c r="R355" s="12" t="s">
        <v>398</v>
      </c>
      <c r="S355" s="13">
        <v>0.2</v>
      </c>
      <c r="T355" s="57" t="s">
        <v>3575</v>
      </c>
      <c r="U355" s="208">
        <f>ROUND((ROUND((_15_同援日７．５*(1+_15・盲ろう)),0)*(1+_15・区３)),0)</f>
        <v>1819</v>
      </c>
      <c r="V355" s="48"/>
    </row>
    <row r="356" spans="1:22" ht="16.5" customHeight="1" x14ac:dyDescent="0.15">
      <c r="A356" s="41">
        <v>15</v>
      </c>
      <c r="B356" s="41">
        <v>8036</v>
      </c>
      <c r="C356" s="74" t="s">
        <v>17953</v>
      </c>
      <c r="D356" s="72"/>
      <c r="F356" s="57"/>
      <c r="G356" s="43"/>
      <c r="H356" s="37"/>
      <c r="I356" s="38"/>
      <c r="J356" s="163" t="s">
        <v>17556</v>
      </c>
      <c r="K356" s="45" t="s">
        <v>398</v>
      </c>
      <c r="L356" s="46">
        <v>1</v>
      </c>
      <c r="M356" s="35" t="s">
        <v>17564</v>
      </c>
      <c r="P356" s="57"/>
      <c r="Q356" s="35"/>
      <c r="T356" s="57"/>
      <c r="U356" s="208">
        <f>ROUND((ROUND((ROUND((_15_同援日７．５*_15・２人),0)*(1+_15・盲ろう)),0)*(1+_15・区３)),0)</f>
        <v>1819</v>
      </c>
      <c r="V356" s="48"/>
    </row>
    <row r="357" spans="1:22" ht="16.5" customHeight="1" x14ac:dyDescent="0.15">
      <c r="A357" s="41">
        <v>15</v>
      </c>
      <c r="B357" s="41">
        <v>8037</v>
      </c>
      <c r="C357" s="74" t="s">
        <v>17954</v>
      </c>
      <c r="D357" s="72"/>
      <c r="F357" s="57"/>
      <c r="G357" s="53" t="s">
        <v>17558</v>
      </c>
      <c r="H357" s="49"/>
      <c r="I357" s="50"/>
      <c r="J357" s="163"/>
      <c r="K357" s="45"/>
      <c r="L357" s="46"/>
      <c r="M357" s="35"/>
      <c r="N357" s="12" t="s">
        <v>398</v>
      </c>
      <c r="O357" s="13">
        <v>0.25</v>
      </c>
      <c r="P357" s="57" t="s">
        <v>3575</v>
      </c>
      <c r="Q357" s="35"/>
      <c r="T357" s="57"/>
      <c r="U357" s="208">
        <f>ROUND((ROUND((ROUND((_15_同援日７．５*_15・基礎２),0)*(1+_15・盲ろう)),0)*(1+_15・区３)),0)</f>
        <v>1638</v>
      </c>
      <c r="V357" s="48"/>
    </row>
    <row r="358" spans="1:22" ht="16.5" customHeight="1" x14ac:dyDescent="0.15">
      <c r="A358" s="41">
        <v>15</v>
      </c>
      <c r="B358" s="41">
        <v>8038</v>
      </c>
      <c r="C358" s="74" t="s">
        <v>17955</v>
      </c>
      <c r="D358" s="72"/>
      <c r="F358" s="57"/>
      <c r="G358" s="43" t="s">
        <v>17560</v>
      </c>
      <c r="H358" s="37" t="s">
        <v>398</v>
      </c>
      <c r="I358" s="38">
        <v>0.9</v>
      </c>
      <c r="J358" s="163" t="s">
        <v>17556</v>
      </c>
      <c r="K358" s="45" t="s">
        <v>398</v>
      </c>
      <c r="L358" s="46">
        <v>1</v>
      </c>
      <c r="M358" s="43"/>
      <c r="N358" s="37"/>
      <c r="O358" s="38"/>
      <c r="P358" s="79"/>
      <c r="Q358" s="43"/>
      <c r="R358" s="37"/>
      <c r="S358" s="38"/>
      <c r="T358" s="79"/>
      <c r="U358" s="208">
        <f>ROUND((ROUND((ROUND((ROUND((_15_同援日７．５*_15・基礎２),0)*_15・２人),0)*(1+_15・盲ろう)),0)*(1+_15・区３)),0)</f>
        <v>1638</v>
      </c>
      <c r="V358" s="48"/>
    </row>
    <row r="359" spans="1:22" ht="16.5" customHeight="1" x14ac:dyDescent="0.15">
      <c r="A359" s="41">
        <v>15</v>
      </c>
      <c r="B359" s="41">
        <v>8039</v>
      </c>
      <c r="C359" s="74" t="s">
        <v>17956</v>
      </c>
      <c r="D359" s="72"/>
      <c r="F359" s="57"/>
      <c r="G359" s="53"/>
      <c r="H359" s="49"/>
      <c r="I359" s="50"/>
      <c r="J359" s="163"/>
      <c r="K359" s="45"/>
      <c r="L359" s="46"/>
      <c r="M359" s="53"/>
      <c r="N359" s="49"/>
      <c r="O359" s="50"/>
      <c r="P359" s="115"/>
      <c r="Q359" s="53"/>
      <c r="R359" s="49"/>
      <c r="S359" s="50"/>
      <c r="T359" s="115"/>
      <c r="U359" s="208">
        <f>ROUND((_15_同援日７．５*(1+_15・区４)),0)</f>
        <v>1698</v>
      </c>
      <c r="V359" s="48"/>
    </row>
    <row r="360" spans="1:22" ht="16.5" customHeight="1" x14ac:dyDescent="0.15">
      <c r="A360" s="41">
        <v>15</v>
      </c>
      <c r="B360" s="41">
        <v>8040</v>
      </c>
      <c r="C360" s="74" t="s">
        <v>17957</v>
      </c>
      <c r="D360" s="72"/>
      <c r="F360" s="57"/>
      <c r="G360" s="43"/>
      <c r="H360" s="37"/>
      <c r="I360" s="38"/>
      <c r="J360" s="163" t="s">
        <v>17556</v>
      </c>
      <c r="K360" s="45" t="s">
        <v>398</v>
      </c>
      <c r="L360" s="46">
        <v>1</v>
      </c>
      <c r="M360" s="35"/>
      <c r="P360" s="57"/>
      <c r="Q360" s="35"/>
      <c r="T360" s="57"/>
      <c r="U360" s="208">
        <f>ROUND((ROUND((_15_同援日７．５*_15・２人),0)*(1+_15・区４)),0)</f>
        <v>1698</v>
      </c>
      <c r="V360" s="48"/>
    </row>
    <row r="361" spans="1:22" ht="16.5" customHeight="1" x14ac:dyDescent="0.15">
      <c r="A361" s="41">
        <v>15</v>
      </c>
      <c r="B361" s="41">
        <v>8041</v>
      </c>
      <c r="C361" s="74" t="s">
        <v>17958</v>
      </c>
      <c r="D361" s="72"/>
      <c r="F361" s="57"/>
      <c r="G361" s="53" t="s">
        <v>17558</v>
      </c>
      <c r="H361" s="49"/>
      <c r="I361" s="50"/>
      <c r="J361" s="163"/>
      <c r="K361" s="45"/>
      <c r="L361" s="46"/>
      <c r="M361" s="35"/>
      <c r="P361" s="57"/>
      <c r="Q361" s="35" t="s">
        <v>17580</v>
      </c>
      <c r="T361" s="57"/>
      <c r="U361" s="208">
        <f>ROUND((ROUND((_15_同援日７．５*_15・基礎２),0)*(1+_15・区４)),0)</f>
        <v>1529</v>
      </c>
      <c r="V361" s="48"/>
    </row>
    <row r="362" spans="1:22" ht="16.5" customHeight="1" x14ac:dyDescent="0.15">
      <c r="A362" s="41">
        <v>15</v>
      </c>
      <c r="B362" s="41">
        <v>8042</v>
      </c>
      <c r="C362" s="74" t="s">
        <v>17959</v>
      </c>
      <c r="D362" s="72"/>
      <c r="F362" s="57"/>
      <c r="G362" s="43" t="s">
        <v>17560</v>
      </c>
      <c r="H362" s="37" t="s">
        <v>398</v>
      </c>
      <c r="I362" s="38">
        <v>0.9</v>
      </c>
      <c r="J362" s="163" t="s">
        <v>17556</v>
      </c>
      <c r="K362" s="45" t="s">
        <v>398</v>
      </c>
      <c r="L362" s="46">
        <v>1</v>
      </c>
      <c r="M362" s="43"/>
      <c r="N362" s="37"/>
      <c r="O362" s="38"/>
      <c r="P362" s="79"/>
      <c r="Q362" s="35" t="s">
        <v>17572</v>
      </c>
      <c r="T362" s="57"/>
      <c r="U362" s="208">
        <f>ROUND((ROUND((ROUND((_15_同援日７．５*_15・基礎２),0)*_15・２人),0)*(1+_15・区４)),0)</f>
        <v>1529</v>
      </c>
      <c r="V362" s="48"/>
    </row>
    <row r="363" spans="1:22" ht="16.5" customHeight="1" x14ac:dyDescent="0.15">
      <c r="A363" s="41">
        <v>15</v>
      </c>
      <c r="B363" s="41">
        <v>8043</v>
      </c>
      <c r="C363" s="74" t="s">
        <v>17960</v>
      </c>
      <c r="D363" s="72"/>
      <c r="F363" s="57"/>
      <c r="G363" s="53"/>
      <c r="H363" s="49"/>
      <c r="I363" s="50"/>
      <c r="J363" s="163"/>
      <c r="K363" s="45"/>
      <c r="L363" s="46"/>
      <c r="M363" s="53" t="s">
        <v>17562</v>
      </c>
      <c r="N363" s="49"/>
      <c r="O363" s="50"/>
      <c r="P363" s="115"/>
      <c r="Q363" s="35"/>
      <c r="R363" s="12" t="s">
        <v>398</v>
      </c>
      <c r="S363" s="13">
        <v>0.4</v>
      </c>
      <c r="T363" s="57" t="s">
        <v>3575</v>
      </c>
      <c r="U363" s="208">
        <f>ROUND((ROUND((_15_同援日７．５*(1+_15・盲ろう)),0)*(1+_15・区４)),0)</f>
        <v>2122</v>
      </c>
      <c r="V363" s="48"/>
    </row>
    <row r="364" spans="1:22" ht="16.5" customHeight="1" x14ac:dyDescent="0.15">
      <c r="A364" s="41">
        <v>15</v>
      </c>
      <c r="B364" s="41">
        <v>8044</v>
      </c>
      <c r="C364" s="74" t="s">
        <v>17961</v>
      </c>
      <c r="D364" s="72"/>
      <c r="F364" s="57"/>
      <c r="G364" s="43"/>
      <c r="H364" s="37"/>
      <c r="I364" s="38"/>
      <c r="J364" s="163" t="s">
        <v>17556</v>
      </c>
      <c r="K364" s="45" t="s">
        <v>398</v>
      </c>
      <c r="L364" s="46">
        <v>1</v>
      </c>
      <c r="M364" s="35" t="s">
        <v>17564</v>
      </c>
      <c r="P364" s="57"/>
      <c r="Q364" s="35"/>
      <c r="T364" s="57"/>
      <c r="U364" s="208">
        <f>ROUND((ROUND((ROUND((_15_同援日７．５*_15・２人),0)*(1+_15・盲ろう)),0)*(1+_15・区４)),0)</f>
        <v>2122</v>
      </c>
      <c r="V364" s="48"/>
    </row>
    <row r="365" spans="1:22" ht="16.5" customHeight="1" x14ac:dyDescent="0.15">
      <c r="A365" s="41">
        <v>15</v>
      </c>
      <c r="B365" s="41">
        <v>8045</v>
      </c>
      <c r="C365" s="74" t="s">
        <v>17962</v>
      </c>
      <c r="D365" s="72"/>
      <c r="F365" s="57"/>
      <c r="G365" s="53" t="s">
        <v>17558</v>
      </c>
      <c r="H365" s="49"/>
      <c r="I365" s="50"/>
      <c r="J365" s="163"/>
      <c r="K365" s="45"/>
      <c r="L365" s="46"/>
      <c r="M365" s="35"/>
      <c r="N365" s="12" t="s">
        <v>398</v>
      </c>
      <c r="O365" s="13">
        <v>0.25</v>
      </c>
      <c r="P365" s="57" t="s">
        <v>3575</v>
      </c>
      <c r="Q365" s="35"/>
      <c r="T365" s="57"/>
      <c r="U365" s="208">
        <f>ROUND((ROUND((ROUND((_15_同援日７．５*_15・基礎２),0)*(1+_15・盲ろう)),0)*(1+_15・区４)),0)</f>
        <v>1911</v>
      </c>
      <c r="V365" s="48"/>
    </row>
    <row r="366" spans="1:22" ht="16.5" customHeight="1" x14ac:dyDescent="0.15">
      <c r="A366" s="41">
        <v>15</v>
      </c>
      <c r="B366" s="41">
        <v>8046</v>
      </c>
      <c r="C366" s="74" t="s">
        <v>17963</v>
      </c>
      <c r="D366" s="122"/>
      <c r="E366" s="37"/>
      <c r="F366" s="79"/>
      <c r="G366" s="43" t="s">
        <v>17560</v>
      </c>
      <c r="H366" s="37" t="s">
        <v>398</v>
      </c>
      <c r="I366" s="38">
        <v>0.9</v>
      </c>
      <c r="J366" s="163" t="s">
        <v>17556</v>
      </c>
      <c r="K366" s="45" t="s">
        <v>398</v>
      </c>
      <c r="L366" s="46">
        <v>1</v>
      </c>
      <c r="M366" s="43"/>
      <c r="N366" s="37"/>
      <c r="O366" s="38"/>
      <c r="P366" s="79"/>
      <c r="Q366" s="43"/>
      <c r="R366" s="37"/>
      <c r="S366" s="38"/>
      <c r="T366" s="79"/>
      <c r="U366" s="208">
        <f>ROUND((ROUND((ROUND((ROUND((_15_同援日７．５*_15・基礎２),0)*_15・２人),0)*(1+_15・盲ろう)),0)*(1+_15・区４)),0)</f>
        <v>1911</v>
      </c>
      <c r="V366" s="48"/>
    </row>
    <row r="367" spans="1:22" ht="16.5" customHeight="1" x14ac:dyDescent="0.15">
      <c r="A367" s="41">
        <v>15</v>
      </c>
      <c r="B367" s="41">
        <v>8047</v>
      </c>
      <c r="C367" s="74" t="s">
        <v>17964</v>
      </c>
      <c r="D367" s="114" t="s">
        <v>17965</v>
      </c>
      <c r="E367" s="49"/>
      <c r="F367" s="115"/>
      <c r="G367" s="53"/>
      <c r="H367" s="49"/>
      <c r="I367" s="50"/>
      <c r="J367" s="163"/>
      <c r="K367" s="45"/>
      <c r="L367" s="46"/>
      <c r="M367" s="53"/>
      <c r="N367" s="49"/>
      <c r="O367" s="50"/>
      <c r="P367" s="115"/>
      <c r="Q367" s="53"/>
      <c r="R367" s="49"/>
      <c r="S367" s="50"/>
      <c r="T367" s="115"/>
      <c r="U367" s="208">
        <f>_15_同援日８．０</f>
        <v>1278</v>
      </c>
      <c r="V367" s="48"/>
    </row>
    <row r="368" spans="1:22" ht="16.5" customHeight="1" x14ac:dyDescent="0.15">
      <c r="A368" s="41">
        <v>15</v>
      </c>
      <c r="B368" s="41">
        <v>8048</v>
      </c>
      <c r="C368" s="74" t="s">
        <v>17966</v>
      </c>
      <c r="D368" s="72" t="s">
        <v>17967</v>
      </c>
      <c r="F368" s="57"/>
      <c r="G368" s="43"/>
      <c r="H368" s="37"/>
      <c r="I368" s="38"/>
      <c r="J368" s="163" t="s">
        <v>17556</v>
      </c>
      <c r="K368" s="45" t="s">
        <v>398</v>
      </c>
      <c r="L368" s="46">
        <v>1</v>
      </c>
      <c r="M368" s="35"/>
      <c r="P368" s="57"/>
      <c r="Q368" s="35"/>
      <c r="T368" s="57"/>
      <c r="U368" s="208">
        <f>ROUND((_15_同援日８．０*_15・２人),0)</f>
        <v>1278</v>
      </c>
      <c r="V368" s="48"/>
    </row>
    <row r="369" spans="1:22" ht="16.5" customHeight="1" x14ac:dyDescent="0.15">
      <c r="A369" s="41">
        <v>15</v>
      </c>
      <c r="B369" s="41">
        <v>8049</v>
      </c>
      <c r="C369" s="74" t="s">
        <v>17968</v>
      </c>
      <c r="D369" s="72" t="s">
        <v>17969</v>
      </c>
      <c r="F369" s="57"/>
      <c r="G369" s="53" t="s">
        <v>17558</v>
      </c>
      <c r="H369" s="49"/>
      <c r="I369" s="50"/>
      <c r="J369" s="163"/>
      <c r="K369" s="45"/>
      <c r="L369" s="46"/>
      <c r="M369" s="35"/>
      <c r="P369" s="57"/>
      <c r="Q369" s="35"/>
      <c r="T369" s="57"/>
      <c r="U369" s="208">
        <f>ROUND((_15_同援日８．０*_15・基礎２),0)</f>
        <v>1150</v>
      </c>
      <c r="V369" s="48"/>
    </row>
    <row r="370" spans="1:22" ht="16.5" customHeight="1" x14ac:dyDescent="0.15">
      <c r="A370" s="41">
        <v>15</v>
      </c>
      <c r="B370" s="41">
        <v>8050</v>
      </c>
      <c r="C370" s="74" t="s">
        <v>17970</v>
      </c>
      <c r="D370" s="72"/>
      <c r="E370" s="168">
        <f>_15_同援日８．０</f>
        <v>1278</v>
      </c>
      <c r="F370" s="57" t="s">
        <v>392</v>
      </c>
      <c r="G370" s="43" t="s">
        <v>17560</v>
      </c>
      <c r="H370" s="37" t="s">
        <v>398</v>
      </c>
      <c r="I370" s="38">
        <v>0.9</v>
      </c>
      <c r="J370" s="163" t="s">
        <v>17556</v>
      </c>
      <c r="K370" s="45" t="s">
        <v>398</v>
      </c>
      <c r="L370" s="46">
        <v>1</v>
      </c>
      <c r="M370" s="43"/>
      <c r="N370" s="37"/>
      <c r="O370" s="38"/>
      <c r="P370" s="79"/>
      <c r="Q370" s="35"/>
      <c r="T370" s="57"/>
      <c r="U370" s="208">
        <f>ROUND((ROUND((_15_同援日８．０*_15・基礎２),0)*_15・２人),0)</f>
        <v>1150</v>
      </c>
      <c r="V370" s="48"/>
    </row>
    <row r="371" spans="1:22" ht="16.5" customHeight="1" x14ac:dyDescent="0.15">
      <c r="A371" s="41">
        <v>15</v>
      </c>
      <c r="B371" s="41">
        <v>8051</v>
      </c>
      <c r="C371" s="74" t="s">
        <v>17971</v>
      </c>
      <c r="D371" s="72"/>
      <c r="F371" s="57"/>
      <c r="G371" s="53"/>
      <c r="H371" s="49"/>
      <c r="I371" s="50"/>
      <c r="J371" s="163"/>
      <c r="K371" s="45"/>
      <c r="L371" s="46"/>
      <c r="M371" s="53" t="s">
        <v>17562</v>
      </c>
      <c r="N371" s="49"/>
      <c r="O371" s="50"/>
      <c r="P371" s="115"/>
      <c r="Q371" s="35"/>
      <c r="T371" s="57"/>
      <c r="U371" s="208">
        <f>ROUND((_15_同援日８．０*(1+_15・盲ろう)),0)</f>
        <v>1598</v>
      </c>
      <c r="V371" s="48"/>
    </row>
    <row r="372" spans="1:22" ht="16.5" customHeight="1" x14ac:dyDescent="0.15">
      <c r="A372" s="41">
        <v>15</v>
      </c>
      <c r="B372" s="41">
        <v>8052</v>
      </c>
      <c r="C372" s="74" t="s">
        <v>17972</v>
      </c>
      <c r="D372" s="72"/>
      <c r="F372" s="57"/>
      <c r="G372" s="43"/>
      <c r="H372" s="37"/>
      <c r="I372" s="38"/>
      <c r="J372" s="163" t="s">
        <v>17556</v>
      </c>
      <c r="K372" s="45" t="s">
        <v>398</v>
      </c>
      <c r="L372" s="46">
        <v>1</v>
      </c>
      <c r="M372" s="35" t="s">
        <v>17564</v>
      </c>
      <c r="P372" s="57"/>
      <c r="Q372" s="35"/>
      <c r="T372" s="57"/>
      <c r="U372" s="208">
        <f>ROUND((ROUND((_15_同援日８．０*_15・２人),0)*(1+_15・盲ろう)),0)</f>
        <v>1598</v>
      </c>
      <c r="V372" s="48"/>
    </row>
    <row r="373" spans="1:22" ht="16.5" customHeight="1" x14ac:dyDescent="0.15">
      <c r="A373" s="41">
        <v>15</v>
      </c>
      <c r="B373" s="41">
        <v>8053</v>
      </c>
      <c r="C373" s="74" t="s">
        <v>17973</v>
      </c>
      <c r="D373" s="72"/>
      <c r="F373" s="57"/>
      <c r="G373" s="53" t="s">
        <v>17558</v>
      </c>
      <c r="H373" s="49"/>
      <c r="I373" s="50"/>
      <c r="J373" s="163"/>
      <c r="K373" s="45"/>
      <c r="L373" s="46"/>
      <c r="M373" s="35"/>
      <c r="N373" s="12" t="s">
        <v>398</v>
      </c>
      <c r="O373" s="13">
        <v>0.25</v>
      </c>
      <c r="P373" s="57" t="s">
        <v>3575</v>
      </c>
      <c r="Q373" s="35"/>
      <c r="T373" s="57"/>
      <c r="U373" s="208">
        <f>ROUND((ROUND((_15_同援日８．０*_15・基礎２),0)*(1+_15・盲ろう)),0)</f>
        <v>1438</v>
      </c>
      <c r="V373" s="48"/>
    </row>
    <row r="374" spans="1:22" ht="16.5" customHeight="1" x14ac:dyDescent="0.15">
      <c r="A374" s="41">
        <v>15</v>
      </c>
      <c r="B374" s="41">
        <v>8054</v>
      </c>
      <c r="C374" s="74" t="s">
        <v>17974</v>
      </c>
      <c r="D374" s="72"/>
      <c r="F374" s="57"/>
      <c r="G374" s="43" t="s">
        <v>17560</v>
      </c>
      <c r="H374" s="37" t="s">
        <v>398</v>
      </c>
      <c r="I374" s="38">
        <v>0.9</v>
      </c>
      <c r="J374" s="163" t="s">
        <v>17556</v>
      </c>
      <c r="K374" s="45" t="s">
        <v>398</v>
      </c>
      <c r="L374" s="46">
        <v>1</v>
      </c>
      <c r="M374" s="43"/>
      <c r="N374" s="37"/>
      <c r="O374" s="38"/>
      <c r="P374" s="79"/>
      <c r="Q374" s="43"/>
      <c r="R374" s="37"/>
      <c r="S374" s="38"/>
      <c r="T374" s="79"/>
      <c r="U374" s="208">
        <f>ROUND((ROUND((ROUND((_15_同援日８．０*_15・基礎２),0)*_15・２人),0)*(1+_15・盲ろう)),0)</f>
        <v>1438</v>
      </c>
      <c r="V374" s="48"/>
    </row>
    <row r="375" spans="1:22" ht="16.5" customHeight="1" x14ac:dyDescent="0.15">
      <c r="A375" s="41">
        <v>15</v>
      </c>
      <c r="B375" s="41">
        <v>8055</v>
      </c>
      <c r="C375" s="74" t="s">
        <v>17975</v>
      </c>
      <c r="D375" s="72"/>
      <c r="F375" s="57"/>
      <c r="G375" s="53"/>
      <c r="H375" s="49"/>
      <c r="I375" s="50"/>
      <c r="J375" s="163"/>
      <c r="K375" s="45"/>
      <c r="L375" s="46"/>
      <c r="M375" s="53"/>
      <c r="N375" s="49"/>
      <c r="O375" s="50"/>
      <c r="P375" s="115"/>
      <c r="Q375" s="53"/>
      <c r="R375" s="49"/>
      <c r="S375" s="50"/>
      <c r="T375" s="115"/>
      <c r="U375" s="208">
        <f>ROUND((_15_同援日８．０*(1+_15・区３)),0)</f>
        <v>1534</v>
      </c>
      <c r="V375" s="48"/>
    </row>
    <row r="376" spans="1:22" ht="16.5" customHeight="1" x14ac:dyDescent="0.15">
      <c r="A376" s="41">
        <v>15</v>
      </c>
      <c r="B376" s="41">
        <v>8056</v>
      </c>
      <c r="C376" s="74" t="s">
        <v>17976</v>
      </c>
      <c r="D376" s="72"/>
      <c r="F376" s="57"/>
      <c r="G376" s="43"/>
      <c r="H376" s="37"/>
      <c r="I376" s="38"/>
      <c r="J376" s="163" t="s">
        <v>17556</v>
      </c>
      <c r="K376" s="45" t="s">
        <v>398</v>
      </c>
      <c r="L376" s="46">
        <v>1</v>
      </c>
      <c r="M376" s="35"/>
      <c r="P376" s="57"/>
      <c r="Q376" s="35"/>
      <c r="T376" s="57"/>
      <c r="U376" s="208">
        <f>ROUND((ROUND((_15_同援日８．０*_15・２人),0)*(1+_15・区３)),0)</f>
        <v>1534</v>
      </c>
      <c r="V376" s="48"/>
    </row>
    <row r="377" spans="1:22" ht="16.5" customHeight="1" x14ac:dyDescent="0.15">
      <c r="A377" s="41">
        <v>15</v>
      </c>
      <c r="B377" s="41">
        <v>8057</v>
      </c>
      <c r="C377" s="74" t="s">
        <v>17977</v>
      </c>
      <c r="D377" s="72"/>
      <c r="F377" s="57"/>
      <c r="G377" s="53" t="s">
        <v>17558</v>
      </c>
      <c r="H377" s="49"/>
      <c r="I377" s="50"/>
      <c r="J377" s="163"/>
      <c r="K377" s="45"/>
      <c r="L377" s="46"/>
      <c r="M377" s="35"/>
      <c r="P377" s="57"/>
      <c r="Q377" s="35" t="s">
        <v>17570</v>
      </c>
      <c r="T377" s="57"/>
      <c r="U377" s="208">
        <f>ROUND((ROUND((_15_同援日８．０*_15・基礎２),0)*(1+_15・区３)),0)</f>
        <v>1380</v>
      </c>
      <c r="V377" s="48"/>
    </row>
    <row r="378" spans="1:22" ht="16.5" customHeight="1" x14ac:dyDescent="0.15">
      <c r="A378" s="41">
        <v>15</v>
      </c>
      <c r="B378" s="41">
        <v>8058</v>
      </c>
      <c r="C378" s="74" t="s">
        <v>17978</v>
      </c>
      <c r="D378" s="72"/>
      <c r="F378" s="57"/>
      <c r="G378" s="43" t="s">
        <v>17560</v>
      </c>
      <c r="H378" s="37" t="s">
        <v>398</v>
      </c>
      <c r="I378" s="38">
        <v>0.9</v>
      </c>
      <c r="J378" s="163" t="s">
        <v>17556</v>
      </c>
      <c r="K378" s="45" t="s">
        <v>398</v>
      </c>
      <c r="L378" s="46">
        <v>1</v>
      </c>
      <c r="M378" s="43"/>
      <c r="N378" s="37"/>
      <c r="O378" s="38"/>
      <c r="P378" s="79"/>
      <c r="Q378" s="35" t="s">
        <v>17572</v>
      </c>
      <c r="T378" s="57"/>
      <c r="U378" s="208">
        <f>ROUND((ROUND((ROUND((_15_同援日８．０*_15・基礎２),0)*_15・２人),0)*(1+_15・区３)),0)</f>
        <v>1380</v>
      </c>
      <c r="V378" s="48"/>
    </row>
    <row r="379" spans="1:22" ht="16.5" customHeight="1" x14ac:dyDescent="0.15">
      <c r="A379" s="41">
        <v>15</v>
      </c>
      <c r="B379" s="41">
        <v>8059</v>
      </c>
      <c r="C379" s="74" t="s">
        <v>17979</v>
      </c>
      <c r="D379" s="72"/>
      <c r="F379" s="57"/>
      <c r="G379" s="53"/>
      <c r="H379" s="49"/>
      <c r="I379" s="50"/>
      <c r="J379" s="163"/>
      <c r="K379" s="45"/>
      <c r="L379" s="46"/>
      <c r="M379" s="53" t="s">
        <v>17562</v>
      </c>
      <c r="N379" s="49"/>
      <c r="O379" s="50"/>
      <c r="P379" s="115"/>
      <c r="Q379" s="35"/>
      <c r="R379" s="12" t="s">
        <v>398</v>
      </c>
      <c r="S379" s="13">
        <v>0.2</v>
      </c>
      <c r="T379" s="57" t="s">
        <v>3575</v>
      </c>
      <c r="U379" s="208">
        <f>ROUND((ROUND((_15_同援日８．０*(1+_15・盲ろう)),0)*(1+_15・区３)),0)</f>
        <v>1918</v>
      </c>
      <c r="V379" s="48"/>
    </row>
    <row r="380" spans="1:22" ht="16.5" customHeight="1" x14ac:dyDescent="0.15">
      <c r="A380" s="41">
        <v>15</v>
      </c>
      <c r="B380" s="41">
        <v>8060</v>
      </c>
      <c r="C380" s="74" t="s">
        <v>17980</v>
      </c>
      <c r="D380" s="72"/>
      <c r="F380" s="57"/>
      <c r="G380" s="43"/>
      <c r="H380" s="37"/>
      <c r="I380" s="38"/>
      <c r="J380" s="163" t="s">
        <v>17556</v>
      </c>
      <c r="K380" s="45" t="s">
        <v>398</v>
      </c>
      <c r="L380" s="46">
        <v>1</v>
      </c>
      <c r="M380" s="35" t="s">
        <v>17564</v>
      </c>
      <c r="P380" s="57"/>
      <c r="Q380" s="35"/>
      <c r="T380" s="57"/>
      <c r="U380" s="208">
        <f>ROUND((ROUND((ROUND((_15_同援日８．０*_15・２人),0)*(1+_15・盲ろう)),0)*(1+_15・区３)),0)</f>
        <v>1918</v>
      </c>
      <c r="V380" s="48"/>
    </row>
    <row r="381" spans="1:22" ht="16.5" customHeight="1" x14ac:dyDescent="0.15">
      <c r="A381" s="41">
        <v>15</v>
      </c>
      <c r="B381" s="41">
        <v>8061</v>
      </c>
      <c r="C381" s="74" t="s">
        <v>17981</v>
      </c>
      <c r="D381" s="72"/>
      <c r="F381" s="57"/>
      <c r="G381" s="53" t="s">
        <v>17558</v>
      </c>
      <c r="H381" s="49"/>
      <c r="I381" s="50"/>
      <c r="J381" s="163"/>
      <c r="K381" s="45"/>
      <c r="L381" s="46"/>
      <c r="M381" s="35"/>
      <c r="N381" s="12" t="s">
        <v>398</v>
      </c>
      <c r="O381" s="13">
        <v>0.25</v>
      </c>
      <c r="P381" s="57" t="s">
        <v>3575</v>
      </c>
      <c r="Q381" s="35"/>
      <c r="T381" s="57"/>
      <c r="U381" s="208">
        <f>ROUND((ROUND((ROUND((_15_同援日８．０*_15・基礎２),0)*(1+_15・盲ろう)),0)*(1+_15・区３)),0)</f>
        <v>1726</v>
      </c>
      <c r="V381" s="48"/>
    </row>
    <row r="382" spans="1:22" ht="16.5" customHeight="1" x14ac:dyDescent="0.15">
      <c r="A382" s="41">
        <v>15</v>
      </c>
      <c r="B382" s="41">
        <v>8062</v>
      </c>
      <c r="C382" s="74" t="s">
        <v>17982</v>
      </c>
      <c r="D382" s="72"/>
      <c r="F382" s="57"/>
      <c r="G382" s="43" t="s">
        <v>17560</v>
      </c>
      <c r="H382" s="37" t="s">
        <v>398</v>
      </c>
      <c r="I382" s="38">
        <v>0.9</v>
      </c>
      <c r="J382" s="163" t="s">
        <v>17556</v>
      </c>
      <c r="K382" s="45" t="s">
        <v>398</v>
      </c>
      <c r="L382" s="46">
        <v>1</v>
      </c>
      <c r="M382" s="43"/>
      <c r="N382" s="37"/>
      <c r="O382" s="38"/>
      <c r="P382" s="79"/>
      <c r="Q382" s="43"/>
      <c r="R382" s="37"/>
      <c r="S382" s="38"/>
      <c r="T382" s="79"/>
      <c r="U382" s="208">
        <f>ROUND((ROUND((ROUND((ROUND((_15_同援日８．０*_15・基礎２),0)*_15・２人),0)*(1+_15・盲ろう)),0)*(1+_15・区３)),0)</f>
        <v>1726</v>
      </c>
      <c r="V382" s="48"/>
    </row>
    <row r="383" spans="1:22" ht="16.5" customHeight="1" x14ac:dyDescent="0.15">
      <c r="A383" s="41">
        <v>15</v>
      </c>
      <c r="B383" s="41">
        <v>8063</v>
      </c>
      <c r="C383" s="74" t="s">
        <v>17983</v>
      </c>
      <c r="D383" s="72"/>
      <c r="F383" s="57"/>
      <c r="G383" s="53"/>
      <c r="H383" s="49"/>
      <c r="I383" s="50"/>
      <c r="J383" s="163"/>
      <c r="K383" s="45"/>
      <c r="L383" s="46"/>
      <c r="M383" s="53"/>
      <c r="N383" s="49"/>
      <c r="O383" s="50"/>
      <c r="P383" s="115"/>
      <c r="Q383" s="53"/>
      <c r="R383" s="49"/>
      <c r="S383" s="50"/>
      <c r="T383" s="115"/>
      <c r="U383" s="208">
        <f>ROUND((_15_同援日８．０*(1+_15・区４)),0)</f>
        <v>1789</v>
      </c>
      <c r="V383" s="48"/>
    </row>
    <row r="384" spans="1:22" ht="16.5" customHeight="1" x14ac:dyDescent="0.15">
      <c r="A384" s="41">
        <v>15</v>
      </c>
      <c r="B384" s="41">
        <v>8064</v>
      </c>
      <c r="C384" s="74" t="s">
        <v>17984</v>
      </c>
      <c r="D384" s="72"/>
      <c r="F384" s="57"/>
      <c r="G384" s="43"/>
      <c r="H384" s="37"/>
      <c r="I384" s="38"/>
      <c r="J384" s="163" t="s">
        <v>17556</v>
      </c>
      <c r="K384" s="45" t="s">
        <v>398</v>
      </c>
      <c r="L384" s="46">
        <v>1</v>
      </c>
      <c r="M384" s="35"/>
      <c r="P384" s="57"/>
      <c r="Q384" s="35"/>
      <c r="T384" s="57"/>
      <c r="U384" s="208">
        <f>ROUND((ROUND((_15_同援日８．０*_15・２人),0)*(1+_15・区４)),0)</f>
        <v>1789</v>
      </c>
      <c r="V384" s="48"/>
    </row>
    <row r="385" spans="1:22" ht="16.5" customHeight="1" x14ac:dyDescent="0.15">
      <c r="A385" s="41">
        <v>15</v>
      </c>
      <c r="B385" s="41">
        <v>8065</v>
      </c>
      <c r="C385" s="74" t="s">
        <v>17985</v>
      </c>
      <c r="D385" s="72"/>
      <c r="F385" s="57"/>
      <c r="G385" s="53" t="s">
        <v>17558</v>
      </c>
      <c r="H385" s="49"/>
      <c r="I385" s="50"/>
      <c r="J385" s="163"/>
      <c r="K385" s="45"/>
      <c r="L385" s="46"/>
      <c r="M385" s="35"/>
      <c r="P385" s="57"/>
      <c r="Q385" s="35" t="s">
        <v>17580</v>
      </c>
      <c r="T385" s="57"/>
      <c r="U385" s="208">
        <f>ROUND((ROUND((_15_同援日８．０*_15・基礎２),0)*(1+_15・区４)),0)</f>
        <v>1610</v>
      </c>
      <c r="V385" s="48"/>
    </row>
    <row r="386" spans="1:22" ht="16.5" customHeight="1" x14ac:dyDescent="0.15">
      <c r="A386" s="41">
        <v>15</v>
      </c>
      <c r="B386" s="41">
        <v>8066</v>
      </c>
      <c r="C386" s="74" t="s">
        <v>17986</v>
      </c>
      <c r="D386" s="72"/>
      <c r="F386" s="57"/>
      <c r="G386" s="43" t="s">
        <v>17560</v>
      </c>
      <c r="H386" s="37" t="s">
        <v>398</v>
      </c>
      <c r="I386" s="38">
        <v>0.9</v>
      </c>
      <c r="J386" s="163" t="s">
        <v>17556</v>
      </c>
      <c r="K386" s="45" t="s">
        <v>398</v>
      </c>
      <c r="L386" s="46">
        <v>1</v>
      </c>
      <c r="M386" s="43"/>
      <c r="N386" s="37"/>
      <c r="O386" s="38"/>
      <c r="P386" s="79"/>
      <c r="Q386" s="35" t="s">
        <v>17572</v>
      </c>
      <c r="T386" s="57"/>
      <c r="U386" s="208">
        <f>ROUND((ROUND((ROUND((_15_同援日８．０*_15・基礎２),0)*_15・２人),0)*(1+_15・区４)),0)</f>
        <v>1610</v>
      </c>
      <c r="V386" s="48"/>
    </row>
    <row r="387" spans="1:22" ht="16.5" customHeight="1" x14ac:dyDescent="0.15">
      <c r="A387" s="41">
        <v>15</v>
      </c>
      <c r="B387" s="41">
        <v>8067</v>
      </c>
      <c r="C387" s="74" t="s">
        <v>17987</v>
      </c>
      <c r="D387" s="72"/>
      <c r="F387" s="57"/>
      <c r="G387" s="53"/>
      <c r="H387" s="49"/>
      <c r="I387" s="50"/>
      <c r="J387" s="163"/>
      <c r="K387" s="45"/>
      <c r="L387" s="46"/>
      <c r="M387" s="53" t="s">
        <v>17562</v>
      </c>
      <c r="N387" s="49"/>
      <c r="O387" s="50"/>
      <c r="P387" s="115"/>
      <c r="Q387" s="35"/>
      <c r="R387" s="12" t="s">
        <v>398</v>
      </c>
      <c r="S387" s="13">
        <v>0.4</v>
      </c>
      <c r="T387" s="57" t="s">
        <v>3575</v>
      </c>
      <c r="U387" s="208">
        <f>ROUND((ROUND((_15_同援日８．０*(1+_15・盲ろう)),0)*(1+_15・区４)),0)</f>
        <v>2237</v>
      </c>
      <c r="V387" s="48"/>
    </row>
    <row r="388" spans="1:22" ht="16.5" customHeight="1" x14ac:dyDescent="0.15">
      <c r="A388" s="41">
        <v>15</v>
      </c>
      <c r="B388" s="41">
        <v>8068</v>
      </c>
      <c r="C388" s="74" t="s">
        <v>17988</v>
      </c>
      <c r="D388" s="72"/>
      <c r="F388" s="57"/>
      <c r="G388" s="43"/>
      <c r="H388" s="37"/>
      <c r="I388" s="38"/>
      <c r="J388" s="163" t="s">
        <v>17556</v>
      </c>
      <c r="K388" s="45" t="s">
        <v>398</v>
      </c>
      <c r="L388" s="46">
        <v>1</v>
      </c>
      <c r="M388" s="35" t="s">
        <v>17564</v>
      </c>
      <c r="P388" s="57"/>
      <c r="Q388" s="35"/>
      <c r="T388" s="57"/>
      <c r="U388" s="208">
        <f>ROUND((ROUND((ROUND((_15_同援日８．０*_15・２人),0)*(1+_15・盲ろう)),0)*(1+_15・区４)),0)</f>
        <v>2237</v>
      </c>
      <c r="V388" s="48"/>
    </row>
    <row r="389" spans="1:22" ht="16.5" customHeight="1" x14ac:dyDescent="0.15">
      <c r="A389" s="41">
        <v>15</v>
      </c>
      <c r="B389" s="41">
        <v>8069</v>
      </c>
      <c r="C389" s="74" t="s">
        <v>17989</v>
      </c>
      <c r="D389" s="72"/>
      <c r="F389" s="57"/>
      <c r="G389" s="53" t="s">
        <v>17558</v>
      </c>
      <c r="H389" s="49"/>
      <c r="I389" s="50"/>
      <c r="J389" s="163"/>
      <c r="K389" s="45"/>
      <c r="L389" s="46"/>
      <c r="M389" s="35"/>
      <c r="N389" s="12" t="s">
        <v>398</v>
      </c>
      <c r="O389" s="13">
        <v>0.25</v>
      </c>
      <c r="P389" s="57" t="s">
        <v>3575</v>
      </c>
      <c r="Q389" s="35"/>
      <c r="T389" s="57"/>
      <c r="U389" s="208">
        <f>ROUND((ROUND((ROUND((_15_同援日８．０*_15・基礎２),0)*(1+_15・盲ろう)),0)*(1+_15・区４)),0)</f>
        <v>2013</v>
      </c>
      <c r="V389" s="48"/>
    </row>
    <row r="390" spans="1:22" ht="16.5" customHeight="1" x14ac:dyDescent="0.15">
      <c r="A390" s="41">
        <v>15</v>
      </c>
      <c r="B390" s="41">
        <v>8070</v>
      </c>
      <c r="C390" s="74" t="s">
        <v>17990</v>
      </c>
      <c r="D390" s="122"/>
      <c r="E390" s="37"/>
      <c r="F390" s="79"/>
      <c r="G390" s="43" t="s">
        <v>17560</v>
      </c>
      <c r="H390" s="37" t="s">
        <v>398</v>
      </c>
      <c r="I390" s="38">
        <v>0.9</v>
      </c>
      <c r="J390" s="163" t="s">
        <v>17556</v>
      </c>
      <c r="K390" s="45" t="s">
        <v>398</v>
      </c>
      <c r="L390" s="46">
        <v>1</v>
      </c>
      <c r="M390" s="43"/>
      <c r="N390" s="37"/>
      <c r="O390" s="38"/>
      <c r="P390" s="79"/>
      <c r="Q390" s="43"/>
      <c r="R390" s="37"/>
      <c r="S390" s="38"/>
      <c r="T390" s="79"/>
      <c r="U390" s="208">
        <f>ROUND((ROUND((ROUND((ROUND((_15_同援日８．０*_15・基礎２),0)*_15・２人),0)*(1+_15・盲ろう)),0)*(1+_15・区４)),0)</f>
        <v>2013</v>
      </c>
      <c r="V390" s="63"/>
    </row>
    <row r="391" spans="1:22" ht="16.5" customHeight="1" x14ac:dyDescent="0.15">
      <c r="A391" s="41">
        <v>15</v>
      </c>
      <c r="B391" s="41">
        <v>8071</v>
      </c>
      <c r="C391" s="74" t="s">
        <v>17991</v>
      </c>
      <c r="D391" s="114" t="s">
        <v>17992</v>
      </c>
      <c r="E391" s="49"/>
      <c r="F391" s="115"/>
      <c r="G391" s="53"/>
      <c r="H391" s="49"/>
      <c r="I391" s="50"/>
      <c r="J391" s="163"/>
      <c r="K391" s="45"/>
      <c r="L391" s="46"/>
      <c r="M391" s="53"/>
      <c r="N391" s="49"/>
      <c r="O391" s="50"/>
      <c r="P391" s="115"/>
      <c r="Q391" s="53"/>
      <c r="R391" s="49"/>
      <c r="S391" s="50"/>
      <c r="T391" s="115"/>
      <c r="U391" s="208">
        <f>_15_同援日８．５</f>
        <v>1343</v>
      </c>
      <c r="V391" s="64"/>
    </row>
    <row r="392" spans="1:22" ht="16.5" customHeight="1" x14ac:dyDescent="0.15">
      <c r="A392" s="41">
        <v>15</v>
      </c>
      <c r="B392" s="41">
        <v>8072</v>
      </c>
      <c r="C392" s="74" t="s">
        <v>17993</v>
      </c>
      <c r="D392" s="72" t="s">
        <v>17994</v>
      </c>
      <c r="F392" s="57"/>
      <c r="G392" s="43"/>
      <c r="H392" s="37"/>
      <c r="I392" s="38"/>
      <c r="J392" s="163" t="s">
        <v>17556</v>
      </c>
      <c r="K392" s="45" t="s">
        <v>398</v>
      </c>
      <c r="L392" s="46">
        <v>1</v>
      </c>
      <c r="M392" s="35"/>
      <c r="P392" s="57"/>
      <c r="Q392" s="35"/>
      <c r="T392" s="57"/>
      <c r="U392" s="208">
        <f>ROUND((_15_同援日８．５*_15・２人),0)</f>
        <v>1343</v>
      </c>
      <c r="V392" s="48"/>
    </row>
    <row r="393" spans="1:22" ht="16.5" customHeight="1" x14ac:dyDescent="0.15">
      <c r="A393" s="41">
        <v>15</v>
      </c>
      <c r="B393" s="41">
        <v>8073</v>
      </c>
      <c r="C393" s="74" t="s">
        <v>17995</v>
      </c>
      <c r="D393" s="72" t="s">
        <v>17996</v>
      </c>
      <c r="F393" s="57"/>
      <c r="G393" s="53" t="s">
        <v>17558</v>
      </c>
      <c r="H393" s="49"/>
      <c r="I393" s="50"/>
      <c r="J393" s="163"/>
      <c r="K393" s="45"/>
      <c r="L393" s="46"/>
      <c r="M393" s="35"/>
      <c r="P393" s="57"/>
      <c r="Q393" s="35"/>
      <c r="T393" s="57"/>
      <c r="U393" s="208">
        <f>ROUND((_15_同援日８．５*_15・基礎２),0)</f>
        <v>1209</v>
      </c>
      <c r="V393" s="48"/>
    </row>
    <row r="394" spans="1:22" ht="16.5" customHeight="1" x14ac:dyDescent="0.15">
      <c r="A394" s="41">
        <v>15</v>
      </c>
      <c r="B394" s="41">
        <v>8074</v>
      </c>
      <c r="C394" s="74" t="s">
        <v>17997</v>
      </c>
      <c r="D394" s="72"/>
      <c r="E394" s="168">
        <f>_15_同援日８．５</f>
        <v>1343</v>
      </c>
      <c r="F394" s="57" t="s">
        <v>392</v>
      </c>
      <c r="G394" s="43" t="s">
        <v>17560</v>
      </c>
      <c r="H394" s="37" t="s">
        <v>398</v>
      </c>
      <c r="I394" s="38">
        <v>0.9</v>
      </c>
      <c r="J394" s="163" t="s">
        <v>17556</v>
      </c>
      <c r="K394" s="45" t="s">
        <v>398</v>
      </c>
      <c r="L394" s="46">
        <v>1</v>
      </c>
      <c r="M394" s="43"/>
      <c r="N394" s="37"/>
      <c r="O394" s="38"/>
      <c r="P394" s="79"/>
      <c r="Q394" s="35"/>
      <c r="T394" s="57"/>
      <c r="U394" s="208">
        <f>ROUND((ROUND((_15_同援日８．５*_15・基礎２),0)*_15・２人),0)</f>
        <v>1209</v>
      </c>
      <c r="V394" s="48"/>
    </row>
    <row r="395" spans="1:22" ht="16.5" customHeight="1" x14ac:dyDescent="0.15">
      <c r="A395" s="41">
        <v>15</v>
      </c>
      <c r="B395" s="41">
        <v>8075</v>
      </c>
      <c r="C395" s="74" t="s">
        <v>17998</v>
      </c>
      <c r="D395" s="72"/>
      <c r="F395" s="57"/>
      <c r="G395" s="53"/>
      <c r="H395" s="49"/>
      <c r="I395" s="50"/>
      <c r="J395" s="163"/>
      <c r="K395" s="45"/>
      <c r="L395" s="46"/>
      <c r="M395" s="53" t="s">
        <v>17562</v>
      </c>
      <c r="N395" s="49"/>
      <c r="O395" s="50"/>
      <c r="P395" s="115"/>
      <c r="Q395" s="35"/>
      <c r="T395" s="57"/>
      <c r="U395" s="208">
        <f>ROUND((_15_同援日８．５*(1+_15・盲ろう)),0)</f>
        <v>1679</v>
      </c>
      <c r="V395" s="48"/>
    </row>
    <row r="396" spans="1:22" ht="16.5" customHeight="1" x14ac:dyDescent="0.15">
      <c r="A396" s="41">
        <v>15</v>
      </c>
      <c r="B396" s="41">
        <v>8076</v>
      </c>
      <c r="C396" s="74" t="s">
        <v>17999</v>
      </c>
      <c r="D396" s="72"/>
      <c r="F396" s="57"/>
      <c r="G396" s="43"/>
      <c r="H396" s="37"/>
      <c r="I396" s="38"/>
      <c r="J396" s="163" t="s">
        <v>17556</v>
      </c>
      <c r="K396" s="45" t="s">
        <v>398</v>
      </c>
      <c r="L396" s="46">
        <v>1</v>
      </c>
      <c r="M396" s="35" t="s">
        <v>17564</v>
      </c>
      <c r="P396" s="57"/>
      <c r="Q396" s="35"/>
      <c r="T396" s="57"/>
      <c r="U396" s="208">
        <f>ROUND((ROUND((_15_同援日８．５*_15・２人),0)*(1+_15・盲ろう)),0)</f>
        <v>1679</v>
      </c>
      <c r="V396" s="48"/>
    </row>
    <row r="397" spans="1:22" ht="16.5" customHeight="1" x14ac:dyDescent="0.15">
      <c r="A397" s="41">
        <v>15</v>
      </c>
      <c r="B397" s="41">
        <v>8077</v>
      </c>
      <c r="C397" s="74" t="s">
        <v>18000</v>
      </c>
      <c r="D397" s="72"/>
      <c r="F397" s="57"/>
      <c r="G397" s="53" t="s">
        <v>17558</v>
      </c>
      <c r="H397" s="49"/>
      <c r="I397" s="50"/>
      <c r="J397" s="163"/>
      <c r="K397" s="45"/>
      <c r="L397" s="46"/>
      <c r="M397" s="35"/>
      <c r="N397" s="12" t="s">
        <v>398</v>
      </c>
      <c r="O397" s="13">
        <v>0.25</v>
      </c>
      <c r="P397" s="57" t="s">
        <v>3575</v>
      </c>
      <c r="Q397" s="35"/>
      <c r="T397" s="57"/>
      <c r="U397" s="208">
        <f>ROUND((ROUND((_15_同援日８．５*_15・基礎２),0)*(1+_15・盲ろう)),0)</f>
        <v>1511</v>
      </c>
      <c r="V397" s="48"/>
    </row>
    <row r="398" spans="1:22" ht="16.5" customHeight="1" x14ac:dyDescent="0.15">
      <c r="A398" s="41">
        <v>15</v>
      </c>
      <c r="B398" s="41">
        <v>8078</v>
      </c>
      <c r="C398" s="74" t="s">
        <v>18001</v>
      </c>
      <c r="D398" s="72"/>
      <c r="F398" s="57"/>
      <c r="G398" s="43" t="s">
        <v>17560</v>
      </c>
      <c r="H398" s="37" t="s">
        <v>398</v>
      </c>
      <c r="I398" s="38">
        <v>0.9</v>
      </c>
      <c r="J398" s="163" t="s">
        <v>17556</v>
      </c>
      <c r="K398" s="45" t="s">
        <v>398</v>
      </c>
      <c r="L398" s="46">
        <v>1</v>
      </c>
      <c r="M398" s="43"/>
      <c r="N398" s="37"/>
      <c r="O398" s="38"/>
      <c r="P398" s="79"/>
      <c r="Q398" s="43"/>
      <c r="R398" s="37"/>
      <c r="S398" s="38"/>
      <c r="T398" s="79"/>
      <c r="U398" s="208">
        <f>ROUND((ROUND((ROUND((_15_同援日８．５*_15・基礎２),0)*_15・２人),0)*(1+_15・盲ろう)),0)</f>
        <v>1511</v>
      </c>
      <c r="V398" s="48"/>
    </row>
    <row r="399" spans="1:22" ht="16.5" customHeight="1" x14ac:dyDescent="0.15">
      <c r="A399" s="41">
        <v>15</v>
      </c>
      <c r="B399" s="41">
        <v>8079</v>
      </c>
      <c r="C399" s="74" t="s">
        <v>18002</v>
      </c>
      <c r="D399" s="72"/>
      <c r="F399" s="57"/>
      <c r="G399" s="53"/>
      <c r="H399" s="49"/>
      <c r="I399" s="50"/>
      <c r="J399" s="163"/>
      <c r="K399" s="45"/>
      <c r="L399" s="46"/>
      <c r="M399" s="53"/>
      <c r="N399" s="49"/>
      <c r="O399" s="50"/>
      <c r="P399" s="115"/>
      <c r="Q399" s="53"/>
      <c r="R399" s="49"/>
      <c r="S399" s="50"/>
      <c r="T399" s="115"/>
      <c r="U399" s="208">
        <f>ROUND((_15_同援日８．５*(1+_15・区３)),0)</f>
        <v>1612</v>
      </c>
      <c r="V399" s="48"/>
    </row>
    <row r="400" spans="1:22" ht="16.5" customHeight="1" x14ac:dyDescent="0.15">
      <c r="A400" s="41">
        <v>15</v>
      </c>
      <c r="B400" s="41">
        <v>8080</v>
      </c>
      <c r="C400" s="74" t="s">
        <v>18003</v>
      </c>
      <c r="D400" s="72"/>
      <c r="F400" s="57"/>
      <c r="G400" s="43"/>
      <c r="H400" s="37"/>
      <c r="I400" s="38"/>
      <c r="J400" s="163" t="s">
        <v>17556</v>
      </c>
      <c r="K400" s="45" t="s">
        <v>398</v>
      </c>
      <c r="L400" s="46">
        <v>1</v>
      </c>
      <c r="M400" s="35"/>
      <c r="P400" s="57"/>
      <c r="Q400" s="35"/>
      <c r="T400" s="57"/>
      <c r="U400" s="208">
        <f>ROUND((ROUND((_15_同援日８．５*_15・２人),0)*(1+_15・区３)),0)</f>
        <v>1612</v>
      </c>
      <c r="V400" s="48"/>
    </row>
    <row r="401" spans="1:22" ht="16.5" customHeight="1" x14ac:dyDescent="0.15">
      <c r="A401" s="41">
        <v>15</v>
      </c>
      <c r="B401" s="41">
        <v>8081</v>
      </c>
      <c r="C401" s="74" t="s">
        <v>18004</v>
      </c>
      <c r="D401" s="72"/>
      <c r="F401" s="57"/>
      <c r="G401" s="53" t="s">
        <v>17558</v>
      </c>
      <c r="H401" s="49"/>
      <c r="I401" s="50"/>
      <c r="J401" s="163"/>
      <c r="K401" s="45"/>
      <c r="L401" s="46"/>
      <c r="M401" s="35"/>
      <c r="P401" s="57"/>
      <c r="Q401" s="35" t="s">
        <v>17570</v>
      </c>
      <c r="T401" s="57"/>
      <c r="U401" s="208">
        <f>ROUND((ROUND((_15_同援日８．５*_15・基礎２),0)*(1+_15・区３)),0)</f>
        <v>1451</v>
      </c>
      <c r="V401" s="48"/>
    </row>
    <row r="402" spans="1:22" ht="16.5" customHeight="1" x14ac:dyDescent="0.15">
      <c r="A402" s="41">
        <v>15</v>
      </c>
      <c r="B402" s="41">
        <v>8082</v>
      </c>
      <c r="C402" s="74" t="s">
        <v>18005</v>
      </c>
      <c r="D402" s="72"/>
      <c r="F402" s="57"/>
      <c r="G402" s="43" t="s">
        <v>17560</v>
      </c>
      <c r="H402" s="37" t="s">
        <v>398</v>
      </c>
      <c r="I402" s="38">
        <v>0.9</v>
      </c>
      <c r="J402" s="163" t="s">
        <v>17556</v>
      </c>
      <c r="K402" s="45" t="s">
        <v>398</v>
      </c>
      <c r="L402" s="46">
        <v>1</v>
      </c>
      <c r="M402" s="43"/>
      <c r="N402" s="37"/>
      <c r="O402" s="38"/>
      <c r="P402" s="79"/>
      <c r="Q402" s="35" t="s">
        <v>17572</v>
      </c>
      <c r="T402" s="57"/>
      <c r="U402" s="208">
        <f>ROUND((ROUND((ROUND((_15_同援日８．５*_15・基礎２),0)*_15・２人),0)*(1+_15・区３)),0)</f>
        <v>1451</v>
      </c>
      <c r="V402" s="48"/>
    </row>
    <row r="403" spans="1:22" ht="16.5" customHeight="1" x14ac:dyDescent="0.15">
      <c r="A403" s="41">
        <v>15</v>
      </c>
      <c r="B403" s="41">
        <v>8083</v>
      </c>
      <c r="C403" s="74" t="s">
        <v>18006</v>
      </c>
      <c r="D403" s="72"/>
      <c r="F403" s="57"/>
      <c r="G403" s="53"/>
      <c r="H403" s="49"/>
      <c r="I403" s="50"/>
      <c r="J403" s="163"/>
      <c r="K403" s="45"/>
      <c r="L403" s="46"/>
      <c r="M403" s="53" t="s">
        <v>17562</v>
      </c>
      <c r="N403" s="49"/>
      <c r="O403" s="50"/>
      <c r="P403" s="115"/>
      <c r="Q403" s="35"/>
      <c r="R403" s="12" t="s">
        <v>398</v>
      </c>
      <c r="S403" s="13">
        <v>0.2</v>
      </c>
      <c r="T403" s="57" t="s">
        <v>3575</v>
      </c>
      <c r="U403" s="208">
        <f>ROUND((ROUND((_15_同援日８．５*(1+_15・盲ろう)),0)*(1+_15・区３)),0)</f>
        <v>2015</v>
      </c>
      <c r="V403" s="48"/>
    </row>
    <row r="404" spans="1:22" ht="16.5" customHeight="1" x14ac:dyDescent="0.15">
      <c r="A404" s="41">
        <v>15</v>
      </c>
      <c r="B404" s="41">
        <v>8084</v>
      </c>
      <c r="C404" s="74" t="s">
        <v>18007</v>
      </c>
      <c r="D404" s="72"/>
      <c r="F404" s="57"/>
      <c r="G404" s="43"/>
      <c r="H404" s="37"/>
      <c r="I404" s="38"/>
      <c r="J404" s="163" t="s">
        <v>17556</v>
      </c>
      <c r="K404" s="45" t="s">
        <v>398</v>
      </c>
      <c r="L404" s="46">
        <v>1</v>
      </c>
      <c r="M404" s="35" t="s">
        <v>17564</v>
      </c>
      <c r="P404" s="57"/>
      <c r="Q404" s="35"/>
      <c r="T404" s="57"/>
      <c r="U404" s="208">
        <f>ROUND((ROUND((ROUND((_15_同援日８．５*_15・２人),0)*(1+_15・盲ろう)),0)*(1+_15・区３)),0)</f>
        <v>2015</v>
      </c>
      <c r="V404" s="48"/>
    </row>
    <row r="405" spans="1:22" ht="16.5" customHeight="1" x14ac:dyDescent="0.15">
      <c r="A405" s="41">
        <v>15</v>
      </c>
      <c r="B405" s="41">
        <v>8085</v>
      </c>
      <c r="C405" s="74" t="s">
        <v>18008</v>
      </c>
      <c r="D405" s="72"/>
      <c r="F405" s="57"/>
      <c r="G405" s="53" t="s">
        <v>17558</v>
      </c>
      <c r="H405" s="49"/>
      <c r="I405" s="50"/>
      <c r="J405" s="163"/>
      <c r="K405" s="45"/>
      <c r="L405" s="46"/>
      <c r="M405" s="35"/>
      <c r="N405" s="12" t="s">
        <v>398</v>
      </c>
      <c r="O405" s="13">
        <v>0.25</v>
      </c>
      <c r="P405" s="57" t="s">
        <v>3575</v>
      </c>
      <c r="Q405" s="35"/>
      <c r="T405" s="57"/>
      <c r="U405" s="208">
        <f>ROUND((ROUND((ROUND((_15_同援日８．５*_15・基礎２),0)*(1+_15・盲ろう)),0)*(1+_15・区３)),0)</f>
        <v>1813</v>
      </c>
      <c r="V405" s="48"/>
    </row>
    <row r="406" spans="1:22" ht="16.5" customHeight="1" x14ac:dyDescent="0.15">
      <c r="A406" s="41">
        <v>15</v>
      </c>
      <c r="B406" s="41">
        <v>8086</v>
      </c>
      <c r="C406" s="74" t="s">
        <v>18009</v>
      </c>
      <c r="D406" s="72"/>
      <c r="F406" s="57"/>
      <c r="G406" s="43" t="s">
        <v>17560</v>
      </c>
      <c r="H406" s="37" t="s">
        <v>398</v>
      </c>
      <c r="I406" s="38">
        <v>0.9</v>
      </c>
      <c r="J406" s="163" t="s">
        <v>17556</v>
      </c>
      <c r="K406" s="45" t="s">
        <v>398</v>
      </c>
      <c r="L406" s="46">
        <v>1</v>
      </c>
      <c r="M406" s="43"/>
      <c r="N406" s="37"/>
      <c r="O406" s="38"/>
      <c r="P406" s="79"/>
      <c r="Q406" s="43"/>
      <c r="R406" s="37"/>
      <c r="S406" s="38"/>
      <c r="T406" s="79"/>
      <c r="U406" s="208">
        <f>ROUND((ROUND((ROUND((ROUND((_15_同援日８．５*_15・基礎２),0)*_15・２人),0)*(1+_15・盲ろう)),0)*(1+_15・区３)),0)</f>
        <v>1813</v>
      </c>
      <c r="V406" s="48"/>
    </row>
    <row r="407" spans="1:22" ht="16.5" customHeight="1" x14ac:dyDescent="0.15">
      <c r="A407" s="41">
        <v>15</v>
      </c>
      <c r="B407" s="41">
        <v>8087</v>
      </c>
      <c r="C407" s="74" t="s">
        <v>18010</v>
      </c>
      <c r="D407" s="72"/>
      <c r="F407" s="57"/>
      <c r="G407" s="53"/>
      <c r="H407" s="49"/>
      <c r="I407" s="50"/>
      <c r="J407" s="163"/>
      <c r="K407" s="45"/>
      <c r="L407" s="46"/>
      <c r="M407" s="53"/>
      <c r="N407" s="49"/>
      <c r="O407" s="50"/>
      <c r="P407" s="115"/>
      <c r="Q407" s="53"/>
      <c r="R407" s="49"/>
      <c r="S407" s="50"/>
      <c r="T407" s="115"/>
      <c r="U407" s="208">
        <f>ROUND((_15_同援日８．５*(1+_15・区４)),0)</f>
        <v>1880</v>
      </c>
      <c r="V407" s="48"/>
    </row>
    <row r="408" spans="1:22" ht="16.5" customHeight="1" x14ac:dyDescent="0.15">
      <c r="A408" s="41">
        <v>15</v>
      </c>
      <c r="B408" s="41">
        <v>8088</v>
      </c>
      <c r="C408" s="74" t="s">
        <v>18011</v>
      </c>
      <c r="D408" s="72"/>
      <c r="F408" s="57"/>
      <c r="G408" s="43"/>
      <c r="H408" s="37"/>
      <c r="I408" s="38"/>
      <c r="J408" s="163" t="s">
        <v>17556</v>
      </c>
      <c r="K408" s="45" t="s">
        <v>398</v>
      </c>
      <c r="L408" s="46">
        <v>1</v>
      </c>
      <c r="M408" s="35"/>
      <c r="P408" s="57"/>
      <c r="Q408" s="35"/>
      <c r="T408" s="57"/>
      <c r="U408" s="208">
        <f>ROUND((ROUND((_15_同援日８．５*_15・２人),0)*(1+_15・区４)),0)</f>
        <v>1880</v>
      </c>
      <c r="V408" s="48"/>
    </row>
    <row r="409" spans="1:22" ht="16.5" customHeight="1" x14ac:dyDescent="0.15">
      <c r="A409" s="41">
        <v>15</v>
      </c>
      <c r="B409" s="41">
        <v>8089</v>
      </c>
      <c r="C409" s="74" t="s">
        <v>18012</v>
      </c>
      <c r="D409" s="72"/>
      <c r="F409" s="57"/>
      <c r="G409" s="53" t="s">
        <v>17558</v>
      </c>
      <c r="H409" s="49"/>
      <c r="I409" s="50"/>
      <c r="J409" s="163"/>
      <c r="K409" s="45"/>
      <c r="L409" s="46"/>
      <c r="M409" s="35"/>
      <c r="P409" s="57"/>
      <c r="Q409" s="35" t="s">
        <v>17580</v>
      </c>
      <c r="T409" s="57"/>
      <c r="U409" s="208">
        <f>ROUND((ROUND((_15_同援日８．５*_15・基礎２),0)*(1+_15・区４)),0)</f>
        <v>1693</v>
      </c>
      <c r="V409" s="48"/>
    </row>
    <row r="410" spans="1:22" ht="16.5" customHeight="1" x14ac:dyDescent="0.15">
      <c r="A410" s="41">
        <v>15</v>
      </c>
      <c r="B410" s="41">
        <v>8090</v>
      </c>
      <c r="C410" s="74" t="s">
        <v>18013</v>
      </c>
      <c r="D410" s="72"/>
      <c r="F410" s="57"/>
      <c r="G410" s="43" t="s">
        <v>17560</v>
      </c>
      <c r="H410" s="37" t="s">
        <v>398</v>
      </c>
      <c r="I410" s="38">
        <v>0.9</v>
      </c>
      <c r="J410" s="163" t="s">
        <v>17556</v>
      </c>
      <c r="K410" s="45" t="s">
        <v>398</v>
      </c>
      <c r="L410" s="46">
        <v>1</v>
      </c>
      <c r="M410" s="43"/>
      <c r="N410" s="37"/>
      <c r="O410" s="38"/>
      <c r="P410" s="79"/>
      <c r="Q410" s="35" t="s">
        <v>17572</v>
      </c>
      <c r="T410" s="57"/>
      <c r="U410" s="208">
        <f>ROUND((ROUND((ROUND((_15_同援日８．５*_15・基礎２),0)*_15・２人),0)*(1+_15・区４)),0)</f>
        <v>1693</v>
      </c>
      <c r="V410" s="48"/>
    </row>
    <row r="411" spans="1:22" ht="16.5" customHeight="1" x14ac:dyDescent="0.15">
      <c r="A411" s="41">
        <v>15</v>
      </c>
      <c r="B411" s="41">
        <v>8091</v>
      </c>
      <c r="C411" s="74" t="s">
        <v>18014</v>
      </c>
      <c r="D411" s="72"/>
      <c r="F411" s="57"/>
      <c r="G411" s="53"/>
      <c r="H411" s="49"/>
      <c r="I411" s="50"/>
      <c r="J411" s="163"/>
      <c r="K411" s="45"/>
      <c r="L411" s="46"/>
      <c r="M411" s="53" t="s">
        <v>17562</v>
      </c>
      <c r="N411" s="49"/>
      <c r="O411" s="50"/>
      <c r="P411" s="115"/>
      <c r="Q411" s="35"/>
      <c r="R411" s="12" t="s">
        <v>398</v>
      </c>
      <c r="S411" s="13">
        <v>0.4</v>
      </c>
      <c r="T411" s="57" t="s">
        <v>3575</v>
      </c>
      <c r="U411" s="208">
        <f>ROUND((ROUND((_15_同援日８．５*(1+_15・盲ろう)),0)*(1+_15・区４)),0)</f>
        <v>2351</v>
      </c>
      <c r="V411" s="48"/>
    </row>
    <row r="412" spans="1:22" ht="16.5" customHeight="1" x14ac:dyDescent="0.15">
      <c r="A412" s="41">
        <v>15</v>
      </c>
      <c r="B412" s="41">
        <v>8092</v>
      </c>
      <c r="C412" s="74" t="s">
        <v>18015</v>
      </c>
      <c r="D412" s="72"/>
      <c r="F412" s="57"/>
      <c r="G412" s="43"/>
      <c r="H412" s="37"/>
      <c r="I412" s="38"/>
      <c r="J412" s="163" t="s">
        <v>17556</v>
      </c>
      <c r="K412" s="45" t="s">
        <v>398</v>
      </c>
      <c r="L412" s="46">
        <v>1</v>
      </c>
      <c r="M412" s="35" t="s">
        <v>17564</v>
      </c>
      <c r="P412" s="57"/>
      <c r="Q412" s="35"/>
      <c r="T412" s="57"/>
      <c r="U412" s="208">
        <f>ROUND((ROUND((ROUND((_15_同援日８．５*_15・２人),0)*(1+_15・盲ろう)),0)*(1+_15・区４)),0)</f>
        <v>2351</v>
      </c>
      <c r="V412" s="48"/>
    </row>
    <row r="413" spans="1:22" ht="16.5" customHeight="1" x14ac:dyDescent="0.15">
      <c r="A413" s="41">
        <v>15</v>
      </c>
      <c r="B413" s="41">
        <v>8093</v>
      </c>
      <c r="C413" s="74" t="s">
        <v>18016</v>
      </c>
      <c r="D413" s="72"/>
      <c r="F413" s="57"/>
      <c r="G413" s="53" t="s">
        <v>17558</v>
      </c>
      <c r="H413" s="49"/>
      <c r="I413" s="50"/>
      <c r="J413" s="163"/>
      <c r="K413" s="45"/>
      <c r="L413" s="46"/>
      <c r="M413" s="35"/>
      <c r="N413" s="12" t="s">
        <v>398</v>
      </c>
      <c r="O413" s="13">
        <v>0.25</v>
      </c>
      <c r="P413" s="57" t="s">
        <v>3575</v>
      </c>
      <c r="Q413" s="35"/>
      <c r="T413" s="57"/>
      <c r="U413" s="208">
        <f>ROUND((ROUND((ROUND((_15_同援日８．５*_15・基礎２),0)*(1+_15・盲ろう)),0)*(1+_15・区４)),0)</f>
        <v>2115</v>
      </c>
      <c r="V413" s="48"/>
    </row>
    <row r="414" spans="1:22" ht="16.5" customHeight="1" x14ac:dyDescent="0.15">
      <c r="A414" s="41">
        <v>15</v>
      </c>
      <c r="B414" s="41">
        <v>8094</v>
      </c>
      <c r="C414" s="74" t="s">
        <v>18017</v>
      </c>
      <c r="D414" s="122"/>
      <c r="E414" s="37"/>
      <c r="F414" s="79"/>
      <c r="G414" s="43" t="s">
        <v>17560</v>
      </c>
      <c r="H414" s="37" t="s">
        <v>398</v>
      </c>
      <c r="I414" s="38">
        <v>0.9</v>
      </c>
      <c r="J414" s="163" t="s">
        <v>17556</v>
      </c>
      <c r="K414" s="45" t="s">
        <v>398</v>
      </c>
      <c r="L414" s="46">
        <v>1</v>
      </c>
      <c r="M414" s="43"/>
      <c r="N414" s="37"/>
      <c r="O414" s="38"/>
      <c r="P414" s="79"/>
      <c r="Q414" s="43"/>
      <c r="R414" s="37"/>
      <c r="S414" s="38"/>
      <c r="T414" s="79"/>
      <c r="U414" s="208">
        <f>ROUND((ROUND((ROUND((ROUND((_15_同援日８．５*_15・基礎２),0)*_15・２人),0)*(1+_15・盲ろう)),0)*(1+_15・区４)),0)</f>
        <v>2115</v>
      </c>
      <c r="V414" s="48"/>
    </row>
    <row r="415" spans="1:22" ht="16.5" customHeight="1" x14ac:dyDescent="0.15">
      <c r="A415" s="41">
        <v>15</v>
      </c>
      <c r="B415" s="41">
        <v>8095</v>
      </c>
      <c r="C415" s="74" t="s">
        <v>18018</v>
      </c>
      <c r="D415" s="114" t="s">
        <v>18019</v>
      </c>
      <c r="E415" s="49"/>
      <c r="F415" s="115"/>
      <c r="G415" s="53"/>
      <c r="H415" s="49"/>
      <c r="I415" s="50"/>
      <c r="J415" s="163"/>
      <c r="K415" s="45"/>
      <c r="L415" s="46"/>
      <c r="M415" s="53"/>
      <c r="N415" s="49"/>
      <c r="O415" s="50"/>
      <c r="P415" s="115"/>
      <c r="Q415" s="53"/>
      <c r="R415" s="49"/>
      <c r="S415" s="50"/>
      <c r="T415" s="115"/>
      <c r="U415" s="208">
        <f>_15_同援日９．０</f>
        <v>1408</v>
      </c>
      <c r="V415" s="48"/>
    </row>
    <row r="416" spans="1:22" ht="16.5" customHeight="1" x14ac:dyDescent="0.15">
      <c r="A416" s="41">
        <v>15</v>
      </c>
      <c r="B416" s="41">
        <v>8096</v>
      </c>
      <c r="C416" s="74" t="s">
        <v>18020</v>
      </c>
      <c r="D416" s="72" t="s">
        <v>18021</v>
      </c>
      <c r="F416" s="57"/>
      <c r="G416" s="43"/>
      <c r="H416" s="37"/>
      <c r="I416" s="38"/>
      <c r="J416" s="163" t="s">
        <v>17556</v>
      </c>
      <c r="K416" s="45" t="s">
        <v>398</v>
      </c>
      <c r="L416" s="46">
        <v>1</v>
      </c>
      <c r="M416" s="35"/>
      <c r="P416" s="57"/>
      <c r="Q416" s="35"/>
      <c r="T416" s="57"/>
      <c r="U416" s="208">
        <f>ROUND((_15_同援日９．０*_15・２人),0)</f>
        <v>1408</v>
      </c>
      <c r="V416" s="48"/>
    </row>
    <row r="417" spans="1:22" ht="16.5" customHeight="1" x14ac:dyDescent="0.15">
      <c r="A417" s="41">
        <v>15</v>
      </c>
      <c r="B417" s="41">
        <v>8097</v>
      </c>
      <c r="C417" s="74" t="s">
        <v>18022</v>
      </c>
      <c r="D417" s="72" t="s">
        <v>18023</v>
      </c>
      <c r="F417" s="57"/>
      <c r="G417" s="53" t="s">
        <v>17558</v>
      </c>
      <c r="H417" s="49"/>
      <c r="I417" s="50"/>
      <c r="J417" s="163"/>
      <c r="K417" s="45"/>
      <c r="L417" s="46"/>
      <c r="M417" s="35"/>
      <c r="P417" s="57"/>
      <c r="Q417" s="35"/>
      <c r="T417" s="57"/>
      <c r="U417" s="208">
        <f>ROUND((_15_同援日９．０*_15・基礎２),0)</f>
        <v>1267</v>
      </c>
      <c r="V417" s="48"/>
    </row>
    <row r="418" spans="1:22" ht="16.5" customHeight="1" x14ac:dyDescent="0.15">
      <c r="A418" s="41">
        <v>15</v>
      </c>
      <c r="B418" s="41">
        <v>8098</v>
      </c>
      <c r="C418" s="74" t="s">
        <v>18024</v>
      </c>
      <c r="D418" s="72"/>
      <c r="E418" s="168">
        <f>_15_同援日９．０</f>
        <v>1408</v>
      </c>
      <c r="F418" s="57" t="s">
        <v>392</v>
      </c>
      <c r="G418" s="43" t="s">
        <v>17560</v>
      </c>
      <c r="H418" s="37" t="s">
        <v>398</v>
      </c>
      <c r="I418" s="38">
        <v>0.9</v>
      </c>
      <c r="J418" s="163" t="s">
        <v>17556</v>
      </c>
      <c r="K418" s="45" t="s">
        <v>398</v>
      </c>
      <c r="L418" s="46">
        <v>1</v>
      </c>
      <c r="M418" s="43"/>
      <c r="N418" s="37"/>
      <c r="O418" s="38"/>
      <c r="P418" s="79"/>
      <c r="Q418" s="35"/>
      <c r="T418" s="57"/>
      <c r="U418" s="208">
        <f>ROUND((ROUND((_15_同援日９．０*_15・基礎２),0)*_15・２人),0)</f>
        <v>1267</v>
      </c>
      <c r="V418" s="48"/>
    </row>
    <row r="419" spans="1:22" ht="16.5" customHeight="1" x14ac:dyDescent="0.15">
      <c r="A419" s="41">
        <v>15</v>
      </c>
      <c r="B419" s="41">
        <v>8099</v>
      </c>
      <c r="C419" s="74" t="s">
        <v>18025</v>
      </c>
      <c r="D419" s="72"/>
      <c r="F419" s="57"/>
      <c r="G419" s="53"/>
      <c r="H419" s="49"/>
      <c r="I419" s="50"/>
      <c r="J419" s="163"/>
      <c r="K419" s="45"/>
      <c r="L419" s="46"/>
      <c r="M419" s="53" t="s">
        <v>17562</v>
      </c>
      <c r="N419" s="49"/>
      <c r="O419" s="50"/>
      <c r="P419" s="115"/>
      <c r="Q419" s="35"/>
      <c r="T419" s="57"/>
      <c r="U419" s="208">
        <f>ROUND((_15_同援日９．０*(1+_15・盲ろう)),0)</f>
        <v>1760</v>
      </c>
      <c r="V419" s="48"/>
    </row>
    <row r="420" spans="1:22" ht="16.5" customHeight="1" x14ac:dyDescent="0.15">
      <c r="A420" s="41">
        <v>15</v>
      </c>
      <c r="B420" s="41">
        <v>8100</v>
      </c>
      <c r="C420" s="74" t="s">
        <v>18026</v>
      </c>
      <c r="D420" s="72"/>
      <c r="F420" s="57"/>
      <c r="G420" s="43"/>
      <c r="H420" s="37"/>
      <c r="I420" s="38"/>
      <c r="J420" s="163" t="s">
        <v>17556</v>
      </c>
      <c r="K420" s="45" t="s">
        <v>398</v>
      </c>
      <c r="L420" s="46">
        <v>1</v>
      </c>
      <c r="M420" s="35" t="s">
        <v>17564</v>
      </c>
      <c r="P420" s="57"/>
      <c r="Q420" s="35"/>
      <c r="T420" s="57"/>
      <c r="U420" s="208">
        <f>ROUND((ROUND((_15_同援日９．０*_15・２人),0)*(1+_15・盲ろう)),0)</f>
        <v>1760</v>
      </c>
      <c r="V420" s="48"/>
    </row>
    <row r="421" spans="1:22" ht="16.5" customHeight="1" x14ac:dyDescent="0.15">
      <c r="A421" s="41">
        <v>15</v>
      </c>
      <c r="B421" s="41">
        <v>8101</v>
      </c>
      <c r="C421" s="74" t="s">
        <v>18027</v>
      </c>
      <c r="D421" s="72"/>
      <c r="F421" s="57"/>
      <c r="G421" s="53" t="s">
        <v>17558</v>
      </c>
      <c r="H421" s="49"/>
      <c r="I421" s="50"/>
      <c r="J421" s="163"/>
      <c r="K421" s="45"/>
      <c r="L421" s="46"/>
      <c r="M421" s="35"/>
      <c r="N421" s="12" t="s">
        <v>398</v>
      </c>
      <c r="O421" s="13">
        <v>0.25</v>
      </c>
      <c r="P421" s="57" t="s">
        <v>3575</v>
      </c>
      <c r="Q421" s="35"/>
      <c r="T421" s="57"/>
      <c r="U421" s="208">
        <f>ROUND((ROUND((_15_同援日９．０*_15・基礎２),0)*(1+_15・盲ろう)),0)</f>
        <v>1584</v>
      </c>
      <c r="V421" s="48"/>
    </row>
    <row r="422" spans="1:22" ht="16.5" customHeight="1" x14ac:dyDescent="0.15">
      <c r="A422" s="41">
        <v>15</v>
      </c>
      <c r="B422" s="41">
        <v>8102</v>
      </c>
      <c r="C422" s="74" t="s">
        <v>18028</v>
      </c>
      <c r="D422" s="72"/>
      <c r="F422" s="57"/>
      <c r="G422" s="43" t="s">
        <v>17560</v>
      </c>
      <c r="H422" s="37" t="s">
        <v>398</v>
      </c>
      <c r="I422" s="38">
        <v>0.9</v>
      </c>
      <c r="J422" s="163" t="s">
        <v>17556</v>
      </c>
      <c r="K422" s="45" t="s">
        <v>398</v>
      </c>
      <c r="L422" s="46">
        <v>1</v>
      </c>
      <c r="M422" s="43"/>
      <c r="N422" s="37"/>
      <c r="O422" s="38"/>
      <c r="P422" s="79"/>
      <c r="Q422" s="43"/>
      <c r="R422" s="37"/>
      <c r="S422" s="38"/>
      <c r="T422" s="79"/>
      <c r="U422" s="208">
        <f>ROUND((ROUND((ROUND((_15_同援日９．０*_15・基礎２),0)*_15・２人),0)*(1+_15・盲ろう)),0)</f>
        <v>1584</v>
      </c>
      <c r="V422" s="48"/>
    </row>
    <row r="423" spans="1:22" ht="16.5" customHeight="1" x14ac:dyDescent="0.15">
      <c r="A423" s="41">
        <v>15</v>
      </c>
      <c r="B423" s="41">
        <v>8103</v>
      </c>
      <c r="C423" s="74" t="s">
        <v>18029</v>
      </c>
      <c r="D423" s="72"/>
      <c r="F423" s="57"/>
      <c r="G423" s="53"/>
      <c r="H423" s="49"/>
      <c r="I423" s="50"/>
      <c r="J423" s="163"/>
      <c r="K423" s="45"/>
      <c r="L423" s="46"/>
      <c r="M423" s="53"/>
      <c r="N423" s="49"/>
      <c r="O423" s="50"/>
      <c r="P423" s="115"/>
      <c r="Q423" s="53"/>
      <c r="R423" s="49"/>
      <c r="S423" s="50"/>
      <c r="T423" s="115"/>
      <c r="U423" s="208">
        <f>ROUND((_15_同援日９．０*(1+_15・区３)),0)</f>
        <v>1690</v>
      </c>
      <c r="V423" s="48"/>
    </row>
    <row r="424" spans="1:22" ht="16.5" customHeight="1" x14ac:dyDescent="0.15">
      <c r="A424" s="41">
        <v>15</v>
      </c>
      <c r="B424" s="41">
        <v>8104</v>
      </c>
      <c r="C424" s="74" t="s">
        <v>18030</v>
      </c>
      <c r="D424" s="72"/>
      <c r="F424" s="57"/>
      <c r="G424" s="43"/>
      <c r="H424" s="37"/>
      <c r="I424" s="38"/>
      <c r="J424" s="163" t="s">
        <v>17556</v>
      </c>
      <c r="K424" s="45" t="s">
        <v>398</v>
      </c>
      <c r="L424" s="46">
        <v>1</v>
      </c>
      <c r="M424" s="35"/>
      <c r="P424" s="57"/>
      <c r="Q424" s="35"/>
      <c r="T424" s="57"/>
      <c r="U424" s="208">
        <f>ROUND((ROUND((_15_同援日９．０*_15・２人),0)*(1+_15・区３)),0)</f>
        <v>1690</v>
      </c>
      <c r="V424" s="48"/>
    </row>
    <row r="425" spans="1:22" ht="16.5" customHeight="1" x14ac:dyDescent="0.15">
      <c r="A425" s="41">
        <v>15</v>
      </c>
      <c r="B425" s="41">
        <v>8105</v>
      </c>
      <c r="C425" s="74" t="s">
        <v>18031</v>
      </c>
      <c r="D425" s="72"/>
      <c r="F425" s="57"/>
      <c r="G425" s="53" t="s">
        <v>17558</v>
      </c>
      <c r="H425" s="49"/>
      <c r="I425" s="50"/>
      <c r="J425" s="163"/>
      <c r="K425" s="45"/>
      <c r="L425" s="46"/>
      <c r="M425" s="35"/>
      <c r="P425" s="57"/>
      <c r="Q425" s="35" t="s">
        <v>17570</v>
      </c>
      <c r="T425" s="57"/>
      <c r="U425" s="208">
        <f>ROUND((ROUND((_15_同援日９．０*_15・基礎２),0)*(1+_15・区３)),0)</f>
        <v>1520</v>
      </c>
      <c r="V425" s="48"/>
    </row>
    <row r="426" spans="1:22" ht="16.5" customHeight="1" x14ac:dyDescent="0.15">
      <c r="A426" s="41">
        <v>15</v>
      </c>
      <c r="B426" s="41">
        <v>8106</v>
      </c>
      <c r="C426" s="74" t="s">
        <v>18032</v>
      </c>
      <c r="D426" s="72"/>
      <c r="F426" s="57"/>
      <c r="G426" s="43" t="s">
        <v>17560</v>
      </c>
      <c r="H426" s="37" t="s">
        <v>398</v>
      </c>
      <c r="I426" s="38">
        <v>0.9</v>
      </c>
      <c r="J426" s="163" t="s">
        <v>17556</v>
      </c>
      <c r="K426" s="45" t="s">
        <v>398</v>
      </c>
      <c r="L426" s="46">
        <v>1</v>
      </c>
      <c r="M426" s="43"/>
      <c r="N426" s="37"/>
      <c r="O426" s="38"/>
      <c r="P426" s="79"/>
      <c r="Q426" s="35" t="s">
        <v>17572</v>
      </c>
      <c r="T426" s="57"/>
      <c r="U426" s="208">
        <f>ROUND((ROUND((ROUND((_15_同援日９．０*_15・基礎２),0)*_15・２人),0)*(1+_15・区３)),0)</f>
        <v>1520</v>
      </c>
      <c r="V426" s="48"/>
    </row>
    <row r="427" spans="1:22" ht="16.5" customHeight="1" x14ac:dyDescent="0.15">
      <c r="A427" s="41">
        <v>15</v>
      </c>
      <c r="B427" s="41">
        <v>8107</v>
      </c>
      <c r="C427" s="74" t="s">
        <v>18033</v>
      </c>
      <c r="D427" s="72"/>
      <c r="F427" s="57"/>
      <c r="G427" s="53"/>
      <c r="H427" s="49"/>
      <c r="I427" s="50"/>
      <c r="J427" s="163"/>
      <c r="K427" s="45"/>
      <c r="L427" s="46"/>
      <c r="M427" s="53" t="s">
        <v>17562</v>
      </c>
      <c r="N427" s="49"/>
      <c r="O427" s="50"/>
      <c r="P427" s="115"/>
      <c r="Q427" s="35"/>
      <c r="R427" s="12" t="s">
        <v>398</v>
      </c>
      <c r="S427" s="13">
        <v>0.2</v>
      </c>
      <c r="T427" s="57" t="s">
        <v>3575</v>
      </c>
      <c r="U427" s="208">
        <f>ROUND((ROUND((_15_同援日９．０*(1+_15・盲ろう)),0)*(1+_15・区３)),0)</f>
        <v>2112</v>
      </c>
      <c r="V427" s="48"/>
    </row>
    <row r="428" spans="1:22" ht="16.5" customHeight="1" x14ac:dyDescent="0.15">
      <c r="A428" s="41">
        <v>15</v>
      </c>
      <c r="B428" s="41">
        <v>8108</v>
      </c>
      <c r="C428" s="74" t="s">
        <v>18034</v>
      </c>
      <c r="D428" s="72"/>
      <c r="F428" s="57"/>
      <c r="G428" s="43"/>
      <c r="H428" s="37"/>
      <c r="I428" s="38"/>
      <c r="J428" s="163" t="s">
        <v>17556</v>
      </c>
      <c r="K428" s="45" t="s">
        <v>398</v>
      </c>
      <c r="L428" s="46">
        <v>1</v>
      </c>
      <c r="M428" s="35" t="s">
        <v>17564</v>
      </c>
      <c r="P428" s="57"/>
      <c r="Q428" s="35"/>
      <c r="T428" s="57"/>
      <c r="U428" s="208">
        <f>ROUND((ROUND((ROUND((_15_同援日９．０*_15・２人),0)*(1+_15・盲ろう)),0)*(1+_15・区３)),0)</f>
        <v>2112</v>
      </c>
      <c r="V428" s="48"/>
    </row>
    <row r="429" spans="1:22" ht="16.5" customHeight="1" x14ac:dyDescent="0.15">
      <c r="A429" s="41">
        <v>15</v>
      </c>
      <c r="B429" s="41">
        <v>8109</v>
      </c>
      <c r="C429" s="74" t="s">
        <v>18035</v>
      </c>
      <c r="D429" s="72"/>
      <c r="F429" s="57"/>
      <c r="G429" s="53" t="s">
        <v>17558</v>
      </c>
      <c r="H429" s="49"/>
      <c r="I429" s="50"/>
      <c r="J429" s="163"/>
      <c r="K429" s="45"/>
      <c r="L429" s="46"/>
      <c r="M429" s="35"/>
      <c r="N429" s="12" t="s">
        <v>398</v>
      </c>
      <c r="O429" s="13">
        <v>0.25</v>
      </c>
      <c r="P429" s="57" t="s">
        <v>3575</v>
      </c>
      <c r="Q429" s="35"/>
      <c r="T429" s="57"/>
      <c r="U429" s="208">
        <f>ROUND((ROUND((ROUND((_15_同援日９．０*_15・基礎２),0)*(1+_15・盲ろう)),0)*(1+_15・区３)),0)</f>
        <v>1901</v>
      </c>
      <c r="V429" s="48"/>
    </row>
    <row r="430" spans="1:22" ht="16.5" customHeight="1" x14ac:dyDescent="0.15">
      <c r="A430" s="41">
        <v>15</v>
      </c>
      <c r="B430" s="41">
        <v>8110</v>
      </c>
      <c r="C430" s="74" t="s">
        <v>18036</v>
      </c>
      <c r="D430" s="72"/>
      <c r="F430" s="57"/>
      <c r="G430" s="43" t="s">
        <v>17560</v>
      </c>
      <c r="H430" s="37" t="s">
        <v>398</v>
      </c>
      <c r="I430" s="38">
        <v>0.9</v>
      </c>
      <c r="J430" s="163" t="s">
        <v>17556</v>
      </c>
      <c r="K430" s="45" t="s">
        <v>398</v>
      </c>
      <c r="L430" s="46">
        <v>1</v>
      </c>
      <c r="M430" s="43"/>
      <c r="N430" s="37"/>
      <c r="O430" s="38"/>
      <c r="P430" s="79"/>
      <c r="Q430" s="43"/>
      <c r="R430" s="37"/>
      <c r="S430" s="38"/>
      <c r="T430" s="79"/>
      <c r="U430" s="208">
        <f>ROUND((ROUND((ROUND((ROUND((_15_同援日９．０*_15・基礎２),0)*_15・２人),0)*(1+_15・盲ろう)),0)*(1+_15・区３)),0)</f>
        <v>1901</v>
      </c>
      <c r="V430" s="48"/>
    </row>
    <row r="431" spans="1:22" ht="16.5" customHeight="1" x14ac:dyDescent="0.15">
      <c r="A431" s="41">
        <v>15</v>
      </c>
      <c r="B431" s="41">
        <v>8111</v>
      </c>
      <c r="C431" s="74" t="s">
        <v>18037</v>
      </c>
      <c r="D431" s="72"/>
      <c r="F431" s="57"/>
      <c r="G431" s="53"/>
      <c r="H431" s="49"/>
      <c r="I431" s="50"/>
      <c r="J431" s="163"/>
      <c r="K431" s="45"/>
      <c r="L431" s="46"/>
      <c r="M431" s="53"/>
      <c r="N431" s="49"/>
      <c r="O431" s="50"/>
      <c r="P431" s="115"/>
      <c r="Q431" s="53"/>
      <c r="R431" s="49"/>
      <c r="S431" s="50"/>
      <c r="T431" s="115"/>
      <c r="U431" s="208">
        <f>ROUND((_15_同援日９．０*(1+_15・区４)),0)</f>
        <v>1971</v>
      </c>
      <c r="V431" s="48"/>
    </row>
    <row r="432" spans="1:22" ht="16.5" customHeight="1" x14ac:dyDescent="0.15">
      <c r="A432" s="41">
        <v>15</v>
      </c>
      <c r="B432" s="41">
        <v>8112</v>
      </c>
      <c r="C432" s="74" t="s">
        <v>18038</v>
      </c>
      <c r="D432" s="72"/>
      <c r="F432" s="57"/>
      <c r="G432" s="43"/>
      <c r="H432" s="37"/>
      <c r="I432" s="38"/>
      <c r="J432" s="163" t="s">
        <v>17556</v>
      </c>
      <c r="K432" s="45" t="s">
        <v>398</v>
      </c>
      <c r="L432" s="46">
        <v>1</v>
      </c>
      <c r="M432" s="35"/>
      <c r="P432" s="57"/>
      <c r="Q432" s="35"/>
      <c r="T432" s="57"/>
      <c r="U432" s="208">
        <f>ROUND((ROUND((_15_同援日９．０*_15・２人),0)*(1+_15・区４)),0)</f>
        <v>1971</v>
      </c>
      <c r="V432" s="48"/>
    </row>
    <row r="433" spans="1:22" ht="16.5" customHeight="1" x14ac:dyDescent="0.15">
      <c r="A433" s="41">
        <v>15</v>
      </c>
      <c r="B433" s="41">
        <v>8113</v>
      </c>
      <c r="C433" s="74" t="s">
        <v>18039</v>
      </c>
      <c r="D433" s="72"/>
      <c r="F433" s="57"/>
      <c r="G433" s="53" t="s">
        <v>17558</v>
      </c>
      <c r="H433" s="49"/>
      <c r="I433" s="50"/>
      <c r="J433" s="163"/>
      <c r="K433" s="45"/>
      <c r="L433" s="46"/>
      <c r="M433" s="35"/>
      <c r="P433" s="57"/>
      <c r="Q433" s="35" t="s">
        <v>17580</v>
      </c>
      <c r="T433" s="57"/>
      <c r="U433" s="208">
        <f>ROUND((ROUND((_15_同援日９．０*_15・基礎２),0)*(1+_15・区４)),0)</f>
        <v>1774</v>
      </c>
      <c r="V433" s="48"/>
    </row>
    <row r="434" spans="1:22" ht="16.5" customHeight="1" x14ac:dyDescent="0.15">
      <c r="A434" s="41">
        <v>15</v>
      </c>
      <c r="B434" s="41">
        <v>8114</v>
      </c>
      <c r="C434" s="74" t="s">
        <v>18040</v>
      </c>
      <c r="D434" s="72"/>
      <c r="F434" s="57"/>
      <c r="G434" s="43" t="s">
        <v>17560</v>
      </c>
      <c r="H434" s="37" t="s">
        <v>398</v>
      </c>
      <c r="I434" s="38">
        <v>0.9</v>
      </c>
      <c r="J434" s="163" t="s">
        <v>17556</v>
      </c>
      <c r="K434" s="45" t="s">
        <v>398</v>
      </c>
      <c r="L434" s="46">
        <v>1</v>
      </c>
      <c r="M434" s="43"/>
      <c r="N434" s="37"/>
      <c r="O434" s="38"/>
      <c r="P434" s="79"/>
      <c r="Q434" s="35" t="s">
        <v>17572</v>
      </c>
      <c r="T434" s="57"/>
      <c r="U434" s="208">
        <f>ROUND((ROUND((ROUND((_15_同援日９．０*_15・基礎２),0)*_15・２人),0)*(1+_15・区４)),0)</f>
        <v>1774</v>
      </c>
      <c r="V434" s="48"/>
    </row>
    <row r="435" spans="1:22" ht="16.5" customHeight="1" x14ac:dyDescent="0.15">
      <c r="A435" s="41">
        <v>15</v>
      </c>
      <c r="B435" s="41">
        <v>8115</v>
      </c>
      <c r="C435" s="74" t="s">
        <v>18041</v>
      </c>
      <c r="D435" s="72"/>
      <c r="F435" s="57"/>
      <c r="G435" s="53"/>
      <c r="H435" s="49"/>
      <c r="I435" s="50"/>
      <c r="J435" s="163"/>
      <c r="K435" s="45"/>
      <c r="L435" s="46"/>
      <c r="M435" s="53" t="s">
        <v>17562</v>
      </c>
      <c r="N435" s="49"/>
      <c r="O435" s="50"/>
      <c r="P435" s="115"/>
      <c r="Q435" s="35"/>
      <c r="R435" s="12" t="s">
        <v>398</v>
      </c>
      <c r="S435" s="13">
        <v>0.4</v>
      </c>
      <c r="T435" s="57" t="s">
        <v>3575</v>
      </c>
      <c r="U435" s="208">
        <f>ROUND((ROUND((_15_同援日９．０*(1+_15・盲ろう)),0)*(1+_15・区４)),0)</f>
        <v>2464</v>
      </c>
      <c r="V435" s="48"/>
    </row>
    <row r="436" spans="1:22" ht="16.5" customHeight="1" x14ac:dyDescent="0.15">
      <c r="A436" s="41">
        <v>15</v>
      </c>
      <c r="B436" s="41">
        <v>8116</v>
      </c>
      <c r="C436" s="74" t="s">
        <v>18042</v>
      </c>
      <c r="D436" s="72"/>
      <c r="F436" s="57"/>
      <c r="G436" s="43"/>
      <c r="H436" s="37"/>
      <c r="I436" s="38"/>
      <c r="J436" s="163" t="s">
        <v>17556</v>
      </c>
      <c r="K436" s="45" t="s">
        <v>398</v>
      </c>
      <c r="L436" s="46">
        <v>1</v>
      </c>
      <c r="M436" s="35" t="s">
        <v>17564</v>
      </c>
      <c r="P436" s="57"/>
      <c r="Q436" s="35"/>
      <c r="T436" s="57"/>
      <c r="U436" s="208">
        <f>ROUND((ROUND((ROUND((_15_同援日９．０*_15・２人),0)*(1+_15・盲ろう)),0)*(1+_15・区４)),0)</f>
        <v>2464</v>
      </c>
      <c r="V436" s="48"/>
    </row>
    <row r="437" spans="1:22" ht="16.5" customHeight="1" x14ac:dyDescent="0.15">
      <c r="A437" s="41">
        <v>15</v>
      </c>
      <c r="B437" s="41">
        <v>8117</v>
      </c>
      <c r="C437" s="74" t="s">
        <v>18043</v>
      </c>
      <c r="D437" s="72"/>
      <c r="F437" s="57"/>
      <c r="G437" s="53" t="s">
        <v>17558</v>
      </c>
      <c r="H437" s="49"/>
      <c r="I437" s="50"/>
      <c r="J437" s="163"/>
      <c r="K437" s="45"/>
      <c r="L437" s="46"/>
      <c r="M437" s="35"/>
      <c r="N437" s="12" t="s">
        <v>398</v>
      </c>
      <c r="O437" s="13">
        <v>0.25</v>
      </c>
      <c r="P437" s="57" t="s">
        <v>3575</v>
      </c>
      <c r="Q437" s="35"/>
      <c r="T437" s="57"/>
      <c r="U437" s="208">
        <f>ROUND((ROUND((ROUND((_15_同援日９．０*_15・基礎２),0)*(1+_15・盲ろう)),0)*(1+_15・区４)),0)</f>
        <v>2218</v>
      </c>
      <c r="V437" s="48"/>
    </row>
    <row r="438" spans="1:22" ht="16.5" customHeight="1" x14ac:dyDescent="0.15">
      <c r="A438" s="41">
        <v>15</v>
      </c>
      <c r="B438" s="41">
        <v>8118</v>
      </c>
      <c r="C438" s="74" t="s">
        <v>18044</v>
      </c>
      <c r="D438" s="122"/>
      <c r="E438" s="37"/>
      <c r="F438" s="79"/>
      <c r="G438" s="43" t="s">
        <v>17560</v>
      </c>
      <c r="H438" s="37" t="s">
        <v>398</v>
      </c>
      <c r="I438" s="38">
        <v>0.9</v>
      </c>
      <c r="J438" s="163" t="s">
        <v>17556</v>
      </c>
      <c r="K438" s="45" t="s">
        <v>398</v>
      </c>
      <c r="L438" s="46">
        <v>1</v>
      </c>
      <c r="M438" s="43"/>
      <c r="N438" s="37"/>
      <c r="O438" s="38"/>
      <c r="P438" s="79"/>
      <c r="Q438" s="43"/>
      <c r="R438" s="37"/>
      <c r="S438" s="38"/>
      <c r="T438" s="79"/>
      <c r="U438" s="208">
        <f>ROUND((ROUND((ROUND((ROUND((_15_同援日９．０*_15・基礎２),0)*_15・２人),0)*(1+_15・盲ろう)),0)*(1+_15・区４)),0)</f>
        <v>2218</v>
      </c>
      <c r="V438" s="48"/>
    </row>
    <row r="439" spans="1:22" ht="16.5" customHeight="1" x14ac:dyDescent="0.15">
      <c r="A439" s="41">
        <v>15</v>
      </c>
      <c r="B439" s="41">
        <v>8119</v>
      </c>
      <c r="C439" s="74" t="s">
        <v>18045</v>
      </c>
      <c r="D439" s="114" t="s">
        <v>18046</v>
      </c>
      <c r="E439" s="49"/>
      <c r="F439" s="115"/>
      <c r="G439" s="53"/>
      <c r="H439" s="49"/>
      <c r="I439" s="50"/>
      <c r="J439" s="163"/>
      <c r="K439" s="45"/>
      <c r="L439" s="46"/>
      <c r="M439" s="53"/>
      <c r="N439" s="49"/>
      <c r="O439" s="50"/>
      <c r="P439" s="115"/>
      <c r="Q439" s="53"/>
      <c r="R439" s="49"/>
      <c r="S439" s="50"/>
      <c r="T439" s="115"/>
      <c r="U439" s="208">
        <f>_15_同援日９．５</f>
        <v>1473</v>
      </c>
      <c r="V439" s="48"/>
    </row>
    <row r="440" spans="1:22" ht="16.5" customHeight="1" x14ac:dyDescent="0.15">
      <c r="A440" s="41">
        <v>15</v>
      </c>
      <c r="B440" s="41">
        <v>8120</v>
      </c>
      <c r="C440" s="74" t="s">
        <v>18047</v>
      </c>
      <c r="D440" s="72" t="s">
        <v>18048</v>
      </c>
      <c r="F440" s="57"/>
      <c r="G440" s="43"/>
      <c r="H440" s="37"/>
      <c r="I440" s="38"/>
      <c r="J440" s="163" t="s">
        <v>17556</v>
      </c>
      <c r="K440" s="45" t="s">
        <v>398</v>
      </c>
      <c r="L440" s="46">
        <v>1</v>
      </c>
      <c r="M440" s="35"/>
      <c r="P440" s="57"/>
      <c r="Q440" s="35"/>
      <c r="T440" s="57"/>
      <c r="U440" s="208">
        <f>ROUND((_15_同援日９．５*_15・２人),0)</f>
        <v>1473</v>
      </c>
      <c r="V440" s="48"/>
    </row>
    <row r="441" spans="1:22" ht="16.5" customHeight="1" x14ac:dyDescent="0.15">
      <c r="A441" s="41">
        <v>15</v>
      </c>
      <c r="B441" s="41">
        <v>8121</v>
      </c>
      <c r="C441" s="74" t="s">
        <v>18049</v>
      </c>
      <c r="D441" s="72" t="s">
        <v>18050</v>
      </c>
      <c r="F441" s="57"/>
      <c r="G441" s="53" t="s">
        <v>17558</v>
      </c>
      <c r="H441" s="49"/>
      <c r="I441" s="50"/>
      <c r="J441" s="163"/>
      <c r="K441" s="45"/>
      <c r="L441" s="46"/>
      <c r="M441" s="35"/>
      <c r="P441" s="57"/>
      <c r="Q441" s="35"/>
      <c r="T441" s="57"/>
      <c r="U441" s="208">
        <f>ROUND((_15_同援日９．５*_15・基礎２),0)</f>
        <v>1326</v>
      </c>
      <c r="V441" s="48"/>
    </row>
    <row r="442" spans="1:22" ht="16.5" customHeight="1" x14ac:dyDescent="0.15">
      <c r="A442" s="41">
        <v>15</v>
      </c>
      <c r="B442" s="41">
        <v>8122</v>
      </c>
      <c r="C442" s="74" t="s">
        <v>18051</v>
      </c>
      <c r="D442" s="72"/>
      <c r="E442" s="168">
        <f>_15_同援日９．５</f>
        <v>1473</v>
      </c>
      <c r="F442" s="57" t="s">
        <v>392</v>
      </c>
      <c r="G442" s="43" t="s">
        <v>17560</v>
      </c>
      <c r="H442" s="37" t="s">
        <v>398</v>
      </c>
      <c r="I442" s="38">
        <v>0.9</v>
      </c>
      <c r="J442" s="163" t="s">
        <v>17556</v>
      </c>
      <c r="K442" s="45" t="s">
        <v>398</v>
      </c>
      <c r="L442" s="46">
        <v>1</v>
      </c>
      <c r="M442" s="43"/>
      <c r="N442" s="37"/>
      <c r="O442" s="38"/>
      <c r="P442" s="79"/>
      <c r="Q442" s="35"/>
      <c r="T442" s="57"/>
      <c r="U442" s="208">
        <f>ROUND((ROUND((_15_同援日９．５*_15・基礎２),0)*_15・２人),0)</f>
        <v>1326</v>
      </c>
      <c r="V442" s="48"/>
    </row>
    <row r="443" spans="1:22" ht="16.5" customHeight="1" x14ac:dyDescent="0.15">
      <c r="A443" s="41">
        <v>15</v>
      </c>
      <c r="B443" s="41">
        <v>8123</v>
      </c>
      <c r="C443" s="74" t="s">
        <v>18052</v>
      </c>
      <c r="D443" s="72"/>
      <c r="F443" s="57"/>
      <c r="G443" s="53"/>
      <c r="H443" s="49"/>
      <c r="I443" s="50"/>
      <c r="J443" s="163"/>
      <c r="K443" s="45"/>
      <c r="L443" s="46"/>
      <c r="M443" s="53" t="s">
        <v>17562</v>
      </c>
      <c r="N443" s="49"/>
      <c r="O443" s="50"/>
      <c r="P443" s="115"/>
      <c r="Q443" s="35"/>
      <c r="T443" s="57"/>
      <c r="U443" s="208">
        <f>ROUND((_15_同援日９．５*(1+_15・盲ろう)),0)</f>
        <v>1841</v>
      </c>
      <c r="V443" s="48"/>
    </row>
    <row r="444" spans="1:22" ht="16.5" customHeight="1" x14ac:dyDescent="0.15">
      <c r="A444" s="41">
        <v>15</v>
      </c>
      <c r="B444" s="41">
        <v>8124</v>
      </c>
      <c r="C444" s="74" t="s">
        <v>18053</v>
      </c>
      <c r="D444" s="72"/>
      <c r="F444" s="57"/>
      <c r="G444" s="43"/>
      <c r="H444" s="37"/>
      <c r="I444" s="38"/>
      <c r="J444" s="163" t="s">
        <v>17556</v>
      </c>
      <c r="K444" s="45" t="s">
        <v>398</v>
      </c>
      <c r="L444" s="46">
        <v>1</v>
      </c>
      <c r="M444" s="35" t="s">
        <v>17564</v>
      </c>
      <c r="P444" s="57"/>
      <c r="Q444" s="35"/>
      <c r="T444" s="57"/>
      <c r="U444" s="208">
        <f>ROUND((ROUND((_15_同援日９．５*_15・２人),0)*(1+_15・盲ろう)),0)</f>
        <v>1841</v>
      </c>
      <c r="V444" s="48"/>
    </row>
    <row r="445" spans="1:22" ht="16.5" customHeight="1" x14ac:dyDescent="0.15">
      <c r="A445" s="41">
        <v>15</v>
      </c>
      <c r="B445" s="41">
        <v>8125</v>
      </c>
      <c r="C445" s="74" t="s">
        <v>18054</v>
      </c>
      <c r="D445" s="72"/>
      <c r="F445" s="57"/>
      <c r="G445" s="53" t="s">
        <v>17558</v>
      </c>
      <c r="H445" s="49"/>
      <c r="I445" s="50"/>
      <c r="J445" s="163"/>
      <c r="K445" s="45"/>
      <c r="L445" s="46"/>
      <c r="M445" s="35"/>
      <c r="N445" s="12" t="s">
        <v>398</v>
      </c>
      <c r="O445" s="13">
        <v>0.25</v>
      </c>
      <c r="P445" s="57" t="s">
        <v>3575</v>
      </c>
      <c r="Q445" s="35"/>
      <c r="T445" s="57"/>
      <c r="U445" s="208">
        <f>ROUND((ROUND((_15_同援日９．５*_15・基礎２),0)*(1+_15・盲ろう)),0)</f>
        <v>1658</v>
      </c>
      <c r="V445" s="48"/>
    </row>
    <row r="446" spans="1:22" ht="16.5" customHeight="1" x14ac:dyDescent="0.15">
      <c r="A446" s="41">
        <v>15</v>
      </c>
      <c r="B446" s="41">
        <v>8126</v>
      </c>
      <c r="C446" s="74" t="s">
        <v>18055</v>
      </c>
      <c r="D446" s="72"/>
      <c r="F446" s="57"/>
      <c r="G446" s="43" t="s">
        <v>17560</v>
      </c>
      <c r="H446" s="37" t="s">
        <v>398</v>
      </c>
      <c r="I446" s="38">
        <v>0.9</v>
      </c>
      <c r="J446" s="163" t="s">
        <v>17556</v>
      </c>
      <c r="K446" s="45" t="s">
        <v>398</v>
      </c>
      <c r="L446" s="46">
        <v>1</v>
      </c>
      <c r="M446" s="43"/>
      <c r="N446" s="37"/>
      <c r="O446" s="38"/>
      <c r="P446" s="79"/>
      <c r="Q446" s="43"/>
      <c r="R446" s="37"/>
      <c r="S446" s="38"/>
      <c r="T446" s="79"/>
      <c r="U446" s="208">
        <f>ROUND((ROUND((ROUND((_15_同援日９．５*_15・基礎２),0)*_15・２人),0)*(1+_15・盲ろう)),0)</f>
        <v>1658</v>
      </c>
      <c r="V446" s="48"/>
    </row>
    <row r="447" spans="1:22" ht="16.5" customHeight="1" x14ac:dyDescent="0.15">
      <c r="A447" s="41">
        <v>15</v>
      </c>
      <c r="B447" s="41">
        <v>8127</v>
      </c>
      <c r="C447" s="74" t="s">
        <v>18056</v>
      </c>
      <c r="D447" s="72"/>
      <c r="F447" s="57"/>
      <c r="G447" s="53"/>
      <c r="H447" s="49"/>
      <c r="I447" s="50"/>
      <c r="J447" s="163"/>
      <c r="K447" s="45"/>
      <c r="L447" s="46"/>
      <c r="M447" s="53"/>
      <c r="N447" s="49"/>
      <c r="O447" s="50"/>
      <c r="P447" s="115"/>
      <c r="Q447" s="53"/>
      <c r="R447" s="49"/>
      <c r="S447" s="50"/>
      <c r="T447" s="115"/>
      <c r="U447" s="208">
        <f>ROUND((_15_同援日９．５*(1+_15・区３)),0)</f>
        <v>1768</v>
      </c>
      <c r="V447" s="48"/>
    </row>
    <row r="448" spans="1:22" ht="16.5" customHeight="1" x14ac:dyDescent="0.15">
      <c r="A448" s="41">
        <v>15</v>
      </c>
      <c r="B448" s="41">
        <v>8128</v>
      </c>
      <c r="C448" s="74" t="s">
        <v>18057</v>
      </c>
      <c r="D448" s="72"/>
      <c r="F448" s="57"/>
      <c r="G448" s="43"/>
      <c r="H448" s="37"/>
      <c r="I448" s="38"/>
      <c r="J448" s="163" t="s">
        <v>17556</v>
      </c>
      <c r="K448" s="45" t="s">
        <v>398</v>
      </c>
      <c r="L448" s="46">
        <v>1</v>
      </c>
      <c r="M448" s="35"/>
      <c r="P448" s="57"/>
      <c r="Q448" s="35"/>
      <c r="T448" s="57"/>
      <c r="U448" s="208">
        <f>ROUND((ROUND((_15_同援日９．５*_15・２人),0)*(1+_15・区３)),0)</f>
        <v>1768</v>
      </c>
      <c r="V448" s="48"/>
    </row>
    <row r="449" spans="1:22" ht="16.5" customHeight="1" x14ac:dyDescent="0.15">
      <c r="A449" s="41">
        <v>15</v>
      </c>
      <c r="B449" s="41">
        <v>8129</v>
      </c>
      <c r="C449" s="74" t="s">
        <v>18058</v>
      </c>
      <c r="D449" s="72"/>
      <c r="F449" s="57"/>
      <c r="G449" s="53" t="s">
        <v>17558</v>
      </c>
      <c r="H449" s="49"/>
      <c r="I449" s="50"/>
      <c r="J449" s="163"/>
      <c r="K449" s="45"/>
      <c r="L449" s="46"/>
      <c r="M449" s="35"/>
      <c r="P449" s="57"/>
      <c r="Q449" s="35" t="s">
        <v>17570</v>
      </c>
      <c r="T449" s="57"/>
      <c r="U449" s="208">
        <f>ROUND((ROUND((_15_同援日９．５*_15・基礎２),0)*(1+_15・区３)),0)</f>
        <v>1591</v>
      </c>
      <c r="V449" s="48"/>
    </row>
    <row r="450" spans="1:22" ht="16.5" customHeight="1" x14ac:dyDescent="0.15">
      <c r="A450" s="41">
        <v>15</v>
      </c>
      <c r="B450" s="41">
        <v>8130</v>
      </c>
      <c r="C450" s="74" t="s">
        <v>18059</v>
      </c>
      <c r="D450" s="72"/>
      <c r="F450" s="57"/>
      <c r="G450" s="43" t="s">
        <v>17560</v>
      </c>
      <c r="H450" s="37" t="s">
        <v>398</v>
      </c>
      <c r="I450" s="38">
        <v>0.9</v>
      </c>
      <c r="J450" s="163" t="s">
        <v>17556</v>
      </c>
      <c r="K450" s="45" t="s">
        <v>398</v>
      </c>
      <c r="L450" s="46">
        <v>1</v>
      </c>
      <c r="M450" s="43"/>
      <c r="N450" s="37"/>
      <c r="O450" s="38"/>
      <c r="P450" s="79"/>
      <c r="Q450" s="35" t="s">
        <v>17572</v>
      </c>
      <c r="T450" s="57"/>
      <c r="U450" s="208">
        <f>ROUND((ROUND((ROUND((_15_同援日９．５*_15・基礎２),0)*_15・２人),0)*(1+_15・区３)),0)</f>
        <v>1591</v>
      </c>
      <c r="V450" s="48"/>
    </row>
    <row r="451" spans="1:22" ht="16.5" customHeight="1" x14ac:dyDescent="0.15">
      <c r="A451" s="41">
        <v>15</v>
      </c>
      <c r="B451" s="41">
        <v>8131</v>
      </c>
      <c r="C451" s="74" t="s">
        <v>18060</v>
      </c>
      <c r="D451" s="72"/>
      <c r="F451" s="57"/>
      <c r="G451" s="53"/>
      <c r="H451" s="49"/>
      <c r="I451" s="50"/>
      <c r="J451" s="163"/>
      <c r="K451" s="45"/>
      <c r="L451" s="46"/>
      <c r="M451" s="53" t="s">
        <v>17562</v>
      </c>
      <c r="N451" s="49"/>
      <c r="O451" s="50"/>
      <c r="P451" s="115"/>
      <c r="Q451" s="35"/>
      <c r="R451" s="12" t="s">
        <v>398</v>
      </c>
      <c r="S451" s="13">
        <v>0.2</v>
      </c>
      <c r="T451" s="57" t="s">
        <v>3575</v>
      </c>
      <c r="U451" s="208">
        <f>ROUND((ROUND((_15_同援日９．５*(1+_15・盲ろう)),0)*(1+_15・区３)),0)</f>
        <v>2209</v>
      </c>
      <c r="V451" s="48"/>
    </row>
    <row r="452" spans="1:22" ht="16.5" customHeight="1" x14ac:dyDescent="0.15">
      <c r="A452" s="41">
        <v>15</v>
      </c>
      <c r="B452" s="41">
        <v>8132</v>
      </c>
      <c r="C452" s="74" t="s">
        <v>18061</v>
      </c>
      <c r="D452" s="72"/>
      <c r="F452" s="57"/>
      <c r="G452" s="43"/>
      <c r="H452" s="37"/>
      <c r="I452" s="38"/>
      <c r="J452" s="163" t="s">
        <v>17556</v>
      </c>
      <c r="K452" s="45" t="s">
        <v>398</v>
      </c>
      <c r="L452" s="46">
        <v>1</v>
      </c>
      <c r="M452" s="35" t="s">
        <v>17564</v>
      </c>
      <c r="P452" s="57"/>
      <c r="Q452" s="35"/>
      <c r="T452" s="57"/>
      <c r="U452" s="208">
        <f>ROUND((ROUND((ROUND((_15_同援日９．５*_15・２人),0)*(1+_15・盲ろう)),0)*(1+_15・区３)),0)</f>
        <v>2209</v>
      </c>
      <c r="V452" s="48"/>
    </row>
    <row r="453" spans="1:22" ht="16.5" customHeight="1" x14ac:dyDescent="0.15">
      <c r="A453" s="41">
        <v>15</v>
      </c>
      <c r="B453" s="41">
        <v>8133</v>
      </c>
      <c r="C453" s="74" t="s">
        <v>18062</v>
      </c>
      <c r="D453" s="72"/>
      <c r="F453" s="57"/>
      <c r="G453" s="53" t="s">
        <v>17558</v>
      </c>
      <c r="H453" s="49"/>
      <c r="I453" s="50"/>
      <c r="J453" s="163"/>
      <c r="K453" s="45"/>
      <c r="L453" s="46"/>
      <c r="M453" s="35"/>
      <c r="N453" s="12" t="s">
        <v>398</v>
      </c>
      <c r="O453" s="13">
        <v>0.25</v>
      </c>
      <c r="P453" s="57" t="s">
        <v>3575</v>
      </c>
      <c r="Q453" s="35"/>
      <c r="T453" s="57"/>
      <c r="U453" s="208">
        <f>ROUND((ROUND((ROUND((_15_同援日９．５*_15・基礎２),0)*(1+_15・盲ろう)),0)*(1+_15・区３)),0)</f>
        <v>1990</v>
      </c>
      <c r="V453" s="48"/>
    </row>
    <row r="454" spans="1:22" ht="16.5" customHeight="1" x14ac:dyDescent="0.15">
      <c r="A454" s="41">
        <v>15</v>
      </c>
      <c r="B454" s="41">
        <v>8134</v>
      </c>
      <c r="C454" s="74" t="s">
        <v>18063</v>
      </c>
      <c r="D454" s="72"/>
      <c r="F454" s="57"/>
      <c r="G454" s="43" t="s">
        <v>17560</v>
      </c>
      <c r="H454" s="37" t="s">
        <v>398</v>
      </c>
      <c r="I454" s="38">
        <v>0.9</v>
      </c>
      <c r="J454" s="163" t="s">
        <v>17556</v>
      </c>
      <c r="K454" s="45" t="s">
        <v>398</v>
      </c>
      <c r="L454" s="46">
        <v>1</v>
      </c>
      <c r="M454" s="43"/>
      <c r="N454" s="37"/>
      <c r="O454" s="38"/>
      <c r="P454" s="79"/>
      <c r="Q454" s="43"/>
      <c r="R454" s="37"/>
      <c r="S454" s="38"/>
      <c r="T454" s="79"/>
      <c r="U454" s="208">
        <f>ROUND((ROUND((ROUND((ROUND((_15_同援日９．５*_15・基礎２),0)*_15・２人),0)*(1+_15・盲ろう)),0)*(1+_15・区３)),0)</f>
        <v>1990</v>
      </c>
      <c r="V454" s="48"/>
    </row>
    <row r="455" spans="1:22" ht="16.5" customHeight="1" x14ac:dyDescent="0.15">
      <c r="A455" s="41">
        <v>15</v>
      </c>
      <c r="B455" s="41">
        <v>8135</v>
      </c>
      <c r="C455" s="74" t="s">
        <v>18064</v>
      </c>
      <c r="D455" s="72"/>
      <c r="F455" s="57"/>
      <c r="G455" s="53"/>
      <c r="H455" s="49"/>
      <c r="I455" s="50"/>
      <c r="J455" s="163"/>
      <c r="K455" s="45"/>
      <c r="L455" s="46"/>
      <c r="M455" s="53"/>
      <c r="N455" s="49"/>
      <c r="O455" s="50"/>
      <c r="P455" s="115"/>
      <c r="Q455" s="53"/>
      <c r="R455" s="49"/>
      <c r="S455" s="50"/>
      <c r="T455" s="115"/>
      <c r="U455" s="208">
        <f>ROUND((_15_同援日９．５*(1+_15・区４)),0)</f>
        <v>2062</v>
      </c>
      <c r="V455" s="48"/>
    </row>
    <row r="456" spans="1:22" ht="16.5" customHeight="1" x14ac:dyDescent="0.15">
      <c r="A456" s="41">
        <v>15</v>
      </c>
      <c r="B456" s="41">
        <v>8136</v>
      </c>
      <c r="C456" s="74" t="s">
        <v>18065</v>
      </c>
      <c r="D456" s="72"/>
      <c r="F456" s="57"/>
      <c r="G456" s="43"/>
      <c r="H456" s="37"/>
      <c r="I456" s="38"/>
      <c r="J456" s="163" t="s">
        <v>17556</v>
      </c>
      <c r="K456" s="45" t="s">
        <v>398</v>
      </c>
      <c r="L456" s="46">
        <v>1</v>
      </c>
      <c r="M456" s="35"/>
      <c r="P456" s="57"/>
      <c r="Q456" s="35"/>
      <c r="T456" s="57"/>
      <c r="U456" s="208">
        <f>ROUND((ROUND((_15_同援日９．５*_15・２人),0)*(1+_15・区４)),0)</f>
        <v>2062</v>
      </c>
      <c r="V456" s="48"/>
    </row>
    <row r="457" spans="1:22" ht="16.5" customHeight="1" x14ac:dyDescent="0.15">
      <c r="A457" s="41">
        <v>15</v>
      </c>
      <c r="B457" s="41">
        <v>8137</v>
      </c>
      <c r="C457" s="74" t="s">
        <v>18066</v>
      </c>
      <c r="D457" s="72"/>
      <c r="F457" s="57"/>
      <c r="G457" s="53" t="s">
        <v>17558</v>
      </c>
      <c r="H457" s="49"/>
      <c r="I457" s="50"/>
      <c r="J457" s="163"/>
      <c r="K457" s="45"/>
      <c r="L457" s="46"/>
      <c r="M457" s="35"/>
      <c r="P457" s="57"/>
      <c r="Q457" s="35" t="s">
        <v>17580</v>
      </c>
      <c r="T457" s="57"/>
      <c r="U457" s="208">
        <f>ROUND((ROUND((_15_同援日９．５*_15・基礎２),0)*(1+_15・区４)),0)</f>
        <v>1856</v>
      </c>
      <c r="V457" s="48"/>
    </row>
    <row r="458" spans="1:22" ht="16.5" customHeight="1" x14ac:dyDescent="0.15">
      <c r="A458" s="41">
        <v>15</v>
      </c>
      <c r="B458" s="41">
        <v>8138</v>
      </c>
      <c r="C458" s="74" t="s">
        <v>18067</v>
      </c>
      <c r="D458" s="72"/>
      <c r="F458" s="57"/>
      <c r="G458" s="43" t="s">
        <v>17560</v>
      </c>
      <c r="H458" s="37" t="s">
        <v>398</v>
      </c>
      <c r="I458" s="38">
        <v>0.9</v>
      </c>
      <c r="J458" s="163" t="s">
        <v>17556</v>
      </c>
      <c r="K458" s="45" t="s">
        <v>398</v>
      </c>
      <c r="L458" s="46">
        <v>1</v>
      </c>
      <c r="M458" s="43"/>
      <c r="N458" s="37"/>
      <c r="O458" s="38"/>
      <c r="P458" s="79"/>
      <c r="Q458" s="35" t="s">
        <v>17572</v>
      </c>
      <c r="T458" s="57"/>
      <c r="U458" s="208">
        <f>ROUND((ROUND((ROUND((_15_同援日９．５*_15・基礎２),0)*_15・２人),0)*(1+_15・区４)),0)</f>
        <v>1856</v>
      </c>
      <c r="V458" s="48"/>
    </row>
    <row r="459" spans="1:22" ht="16.5" customHeight="1" x14ac:dyDescent="0.15">
      <c r="A459" s="41">
        <v>15</v>
      </c>
      <c r="B459" s="41">
        <v>8139</v>
      </c>
      <c r="C459" s="74" t="s">
        <v>18068</v>
      </c>
      <c r="D459" s="72"/>
      <c r="F459" s="57"/>
      <c r="G459" s="53"/>
      <c r="H459" s="49"/>
      <c r="I459" s="50"/>
      <c r="J459" s="163"/>
      <c r="K459" s="45"/>
      <c r="L459" s="46"/>
      <c r="M459" s="53" t="s">
        <v>17562</v>
      </c>
      <c r="N459" s="49"/>
      <c r="O459" s="50"/>
      <c r="P459" s="115"/>
      <c r="Q459" s="35"/>
      <c r="R459" s="12" t="s">
        <v>398</v>
      </c>
      <c r="S459" s="13">
        <v>0.4</v>
      </c>
      <c r="T459" s="57" t="s">
        <v>3575</v>
      </c>
      <c r="U459" s="208">
        <f>ROUND((ROUND((_15_同援日９．５*(1+_15・盲ろう)),0)*(1+_15・区４)),0)</f>
        <v>2577</v>
      </c>
      <c r="V459" s="48"/>
    </row>
    <row r="460" spans="1:22" ht="16.5" customHeight="1" x14ac:dyDescent="0.15">
      <c r="A460" s="41">
        <v>15</v>
      </c>
      <c r="B460" s="41">
        <v>8140</v>
      </c>
      <c r="C460" s="74" t="s">
        <v>18069</v>
      </c>
      <c r="D460" s="72"/>
      <c r="F460" s="57"/>
      <c r="G460" s="43"/>
      <c r="H460" s="37"/>
      <c r="I460" s="38"/>
      <c r="J460" s="163" t="s">
        <v>17556</v>
      </c>
      <c r="K460" s="45" t="s">
        <v>398</v>
      </c>
      <c r="L460" s="46">
        <v>1</v>
      </c>
      <c r="M460" s="35" t="s">
        <v>17564</v>
      </c>
      <c r="P460" s="57"/>
      <c r="Q460" s="35"/>
      <c r="T460" s="57"/>
      <c r="U460" s="208">
        <f>ROUND((ROUND((ROUND((_15_同援日９．５*_15・２人),0)*(1+_15・盲ろう)),0)*(1+_15・区４)),0)</f>
        <v>2577</v>
      </c>
      <c r="V460" s="48"/>
    </row>
    <row r="461" spans="1:22" ht="16.5" customHeight="1" x14ac:dyDescent="0.15">
      <c r="A461" s="41">
        <v>15</v>
      </c>
      <c r="B461" s="41">
        <v>8141</v>
      </c>
      <c r="C461" s="74" t="s">
        <v>18070</v>
      </c>
      <c r="D461" s="72"/>
      <c r="F461" s="57"/>
      <c r="G461" s="53" t="s">
        <v>17558</v>
      </c>
      <c r="H461" s="49"/>
      <c r="I461" s="50"/>
      <c r="J461" s="163"/>
      <c r="K461" s="45"/>
      <c r="L461" s="46"/>
      <c r="M461" s="35"/>
      <c r="N461" s="12" t="s">
        <v>398</v>
      </c>
      <c r="O461" s="13">
        <v>0.25</v>
      </c>
      <c r="P461" s="57" t="s">
        <v>3575</v>
      </c>
      <c r="Q461" s="35"/>
      <c r="T461" s="57"/>
      <c r="U461" s="208">
        <f>ROUND((ROUND((ROUND((_15_同援日９．５*_15・基礎２),0)*(1+_15・盲ろう)),0)*(1+_15・区４)),0)</f>
        <v>2321</v>
      </c>
      <c r="V461" s="48"/>
    </row>
    <row r="462" spans="1:22" ht="16.5" customHeight="1" x14ac:dyDescent="0.15">
      <c r="A462" s="41">
        <v>15</v>
      </c>
      <c r="B462" s="41">
        <v>8142</v>
      </c>
      <c r="C462" s="74" t="s">
        <v>18071</v>
      </c>
      <c r="D462" s="122"/>
      <c r="E462" s="37"/>
      <c r="F462" s="79"/>
      <c r="G462" s="43" t="s">
        <v>17560</v>
      </c>
      <c r="H462" s="37" t="s">
        <v>398</v>
      </c>
      <c r="I462" s="38">
        <v>0.9</v>
      </c>
      <c r="J462" s="163" t="s">
        <v>17556</v>
      </c>
      <c r="K462" s="45" t="s">
        <v>398</v>
      </c>
      <c r="L462" s="46">
        <v>1</v>
      </c>
      <c r="M462" s="43"/>
      <c r="N462" s="37"/>
      <c r="O462" s="38"/>
      <c r="P462" s="79"/>
      <c r="Q462" s="43"/>
      <c r="R462" s="37"/>
      <c r="S462" s="38"/>
      <c r="T462" s="79"/>
      <c r="U462" s="208">
        <f>ROUND((ROUND((ROUND((ROUND((_15_同援日９．５*_15・基礎２),0)*_15・２人),0)*(1+_15・盲ろう)),0)*(1+_15・区４)),0)</f>
        <v>2321</v>
      </c>
      <c r="V462" s="48"/>
    </row>
    <row r="463" spans="1:22" ht="16.5" customHeight="1" x14ac:dyDescent="0.15">
      <c r="A463" s="41">
        <v>15</v>
      </c>
      <c r="B463" s="41">
        <v>8143</v>
      </c>
      <c r="C463" s="74" t="s">
        <v>18072</v>
      </c>
      <c r="D463" s="114" t="s">
        <v>18073</v>
      </c>
      <c r="E463" s="49"/>
      <c r="F463" s="115"/>
      <c r="G463" s="53"/>
      <c r="H463" s="49"/>
      <c r="I463" s="50"/>
      <c r="J463" s="163"/>
      <c r="K463" s="45"/>
      <c r="L463" s="46"/>
      <c r="M463" s="53"/>
      <c r="N463" s="49"/>
      <c r="O463" s="50"/>
      <c r="P463" s="115"/>
      <c r="Q463" s="53"/>
      <c r="R463" s="49"/>
      <c r="S463" s="50"/>
      <c r="T463" s="115"/>
      <c r="U463" s="208">
        <f>_15_同援日１０．０</f>
        <v>1538</v>
      </c>
      <c r="V463" s="48"/>
    </row>
    <row r="464" spans="1:22" ht="16.5" customHeight="1" x14ac:dyDescent="0.15">
      <c r="A464" s="41">
        <v>15</v>
      </c>
      <c r="B464" s="41">
        <v>8144</v>
      </c>
      <c r="C464" s="74" t="s">
        <v>18074</v>
      </c>
      <c r="D464" s="72" t="s">
        <v>18075</v>
      </c>
      <c r="F464" s="57"/>
      <c r="G464" s="43"/>
      <c r="H464" s="37"/>
      <c r="I464" s="38"/>
      <c r="J464" s="163" t="s">
        <v>17556</v>
      </c>
      <c r="K464" s="45" t="s">
        <v>398</v>
      </c>
      <c r="L464" s="46">
        <v>1</v>
      </c>
      <c r="M464" s="35"/>
      <c r="P464" s="57"/>
      <c r="Q464" s="35"/>
      <c r="T464" s="57"/>
      <c r="U464" s="208">
        <f>ROUND((_15_同援日１０．０*_15・２人),0)</f>
        <v>1538</v>
      </c>
      <c r="V464" s="48"/>
    </row>
    <row r="465" spans="1:22" ht="16.5" customHeight="1" x14ac:dyDescent="0.15">
      <c r="A465" s="41">
        <v>15</v>
      </c>
      <c r="B465" s="41">
        <v>8145</v>
      </c>
      <c r="C465" s="74" t="s">
        <v>18076</v>
      </c>
      <c r="D465" s="72" t="s">
        <v>18077</v>
      </c>
      <c r="F465" s="57"/>
      <c r="G465" s="53" t="s">
        <v>17558</v>
      </c>
      <c r="H465" s="49"/>
      <c r="I465" s="50"/>
      <c r="J465" s="163"/>
      <c r="K465" s="45"/>
      <c r="L465" s="46"/>
      <c r="M465" s="35"/>
      <c r="P465" s="57"/>
      <c r="Q465" s="35"/>
      <c r="T465" s="57"/>
      <c r="U465" s="208">
        <f>ROUND((_15_同援日１０．０*_15・基礎２),0)</f>
        <v>1384</v>
      </c>
      <c r="V465" s="48"/>
    </row>
    <row r="466" spans="1:22" ht="16.5" customHeight="1" x14ac:dyDescent="0.15">
      <c r="A466" s="41">
        <v>15</v>
      </c>
      <c r="B466" s="41">
        <v>8146</v>
      </c>
      <c r="C466" s="74" t="s">
        <v>18078</v>
      </c>
      <c r="D466" s="72"/>
      <c r="E466" s="168">
        <f>_15_同援日１０．０</f>
        <v>1538</v>
      </c>
      <c r="F466" s="57" t="s">
        <v>392</v>
      </c>
      <c r="G466" s="43" t="s">
        <v>17560</v>
      </c>
      <c r="H466" s="37" t="s">
        <v>398</v>
      </c>
      <c r="I466" s="38">
        <v>0.9</v>
      </c>
      <c r="J466" s="163" t="s">
        <v>17556</v>
      </c>
      <c r="K466" s="45" t="s">
        <v>398</v>
      </c>
      <c r="L466" s="46">
        <v>1</v>
      </c>
      <c r="M466" s="43"/>
      <c r="N466" s="37"/>
      <c r="O466" s="38"/>
      <c r="P466" s="79"/>
      <c r="Q466" s="35"/>
      <c r="T466" s="57"/>
      <c r="U466" s="208">
        <f>ROUND((ROUND((_15_同援日１０．０*_15・基礎２),0)*_15・２人),0)</f>
        <v>1384</v>
      </c>
      <c r="V466" s="48"/>
    </row>
    <row r="467" spans="1:22" ht="16.5" customHeight="1" x14ac:dyDescent="0.15">
      <c r="A467" s="41">
        <v>15</v>
      </c>
      <c r="B467" s="41">
        <v>8147</v>
      </c>
      <c r="C467" s="74" t="s">
        <v>18079</v>
      </c>
      <c r="D467" s="72"/>
      <c r="F467" s="57"/>
      <c r="G467" s="53"/>
      <c r="H467" s="49"/>
      <c r="I467" s="50"/>
      <c r="J467" s="163"/>
      <c r="K467" s="45"/>
      <c r="L467" s="46"/>
      <c r="M467" s="53" t="s">
        <v>17562</v>
      </c>
      <c r="N467" s="49"/>
      <c r="O467" s="50"/>
      <c r="P467" s="115"/>
      <c r="Q467" s="35"/>
      <c r="T467" s="57"/>
      <c r="U467" s="208">
        <f>ROUND((_15_同援日１０．０*(1+_15・盲ろう)),0)</f>
        <v>1923</v>
      </c>
      <c r="V467" s="48"/>
    </row>
    <row r="468" spans="1:22" ht="16.5" customHeight="1" x14ac:dyDescent="0.15">
      <c r="A468" s="41">
        <v>15</v>
      </c>
      <c r="B468" s="41">
        <v>8148</v>
      </c>
      <c r="C468" s="74" t="s">
        <v>18080</v>
      </c>
      <c r="D468" s="72"/>
      <c r="F468" s="57"/>
      <c r="G468" s="43"/>
      <c r="H468" s="37"/>
      <c r="I468" s="38"/>
      <c r="J468" s="163" t="s">
        <v>17556</v>
      </c>
      <c r="K468" s="45" t="s">
        <v>398</v>
      </c>
      <c r="L468" s="46">
        <v>1</v>
      </c>
      <c r="M468" s="35" t="s">
        <v>17564</v>
      </c>
      <c r="P468" s="57"/>
      <c r="Q468" s="35"/>
      <c r="T468" s="57"/>
      <c r="U468" s="208">
        <f>ROUND((ROUND((_15_同援日１０．０*_15・２人),0)*(1+_15・盲ろう)),0)</f>
        <v>1923</v>
      </c>
      <c r="V468" s="48"/>
    </row>
    <row r="469" spans="1:22" ht="16.5" customHeight="1" x14ac:dyDescent="0.15">
      <c r="A469" s="41">
        <v>15</v>
      </c>
      <c r="B469" s="41">
        <v>8149</v>
      </c>
      <c r="C469" s="74" t="s">
        <v>18081</v>
      </c>
      <c r="D469" s="72"/>
      <c r="F469" s="57"/>
      <c r="G469" s="53" t="s">
        <v>17558</v>
      </c>
      <c r="H469" s="49"/>
      <c r="I469" s="50"/>
      <c r="J469" s="163"/>
      <c r="K469" s="45"/>
      <c r="L469" s="46"/>
      <c r="M469" s="35"/>
      <c r="N469" s="12" t="s">
        <v>398</v>
      </c>
      <c r="O469" s="13">
        <v>0.25</v>
      </c>
      <c r="P469" s="57" t="s">
        <v>3575</v>
      </c>
      <c r="Q469" s="35"/>
      <c r="T469" s="57"/>
      <c r="U469" s="208">
        <f>ROUND((ROUND((_15_同援日１０．０*_15・基礎２),0)*(1+_15・盲ろう)),0)</f>
        <v>1730</v>
      </c>
      <c r="V469" s="48"/>
    </row>
    <row r="470" spans="1:22" ht="16.5" customHeight="1" x14ac:dyDescent="0.15">
      <c r="A470" s="41">
        <v>15</v>
      </c>
      <c r="B470" s="41">
        <v>8150</v>
      </c>
      <c r="C470" s="74" t="s">
        <v>18082</v>
      </c>
      <c r="D470" s="72"/>
      <c r="F470" s="57"/>
      <c r="G470" s="43" t="s">
        <v>17560</v>
      </c>
      <c r="H470" s="37" t="s">
        <v>398</v>
      </c>
      <c r="I470" s="38">
        <v>0.9</v>
      </c>
      <c r="J470" s="163" t="s">
        <v>17556</v>
      </c>
      <c r="K470" s="45" t="s">
        <v>398</v>
      </c>
      <c r="L470" s="46">
        <v>1</v>
      </c>
      <c r="M470" s="43"/>
      <c r="N470" s="37"/>
      <c r="O470" s="38"/>
      <c r="P470" s="79"/>
      <c r="Q470" s="43"/>
      <c r="R470" s="37"/>
      <c r="S470" s="38"/>
      <c r="T470" s="79"/>
      <c r="U470" s="208">
        <f>ROUND((ROUND((ROUND((_15_同援日１０．０*_15・基礎２),0)*_15・２人),0)*(1+_15・盲ろう)),0)</f>
        <v>1730</v>
      </c>
      <c r="V470" s="48"/>
    </row>
    <row r="471" spans="1:22" ht="16.5" customHeight="1" x14ac:dyDescent="0.15">
      <c r="A471" s="41">
        <v>15</v>
      </c>
      <c r="B471" s="41">
        <v>8151</v>
      </c>
      <c r="C471" s="74" t="s">
        <v>18083</v>
      </c>
      <c r="D471" s="72"/>
      <c r="F471" s="57"/>
      <c r="G471" s="53"/>
      <c r="H471" s="49"/>
      <c r="I471" s="50"/>
      <c r="J471" s="163"/>
      <c r="K471" s="45"/>
      <c r="L471" s="46"/>
      <c r="M471" s="53"/>
      <c r="N471" s="49"/>
      <c r="O471" s="50"/>
      <c r="P471" s="115"/>
      <c r="Q471" s="53"/>
      <c r="R471" s="49"/>
      <c r="S471" s="50"/>
      <c r="T471" s="115"/>
      <c r="U471" s="208">
        <f>ROUND((_15_同援日１０．０*(1+_15・区３)),0)</f>
        <v>1846</v>
      </c>
      <c r="V471" s="48"/>
    </row>
    <row r="472" spans="1:22" ht="16.5" customHeight="1" x14ac:dyDescent="0.15">
      <c r="A472" s="41">
        <v>15</v>
      </c>
      <c r="B472" s="41">
        <v>8152</v>
      </c>
      <c r="C472" s="74" t="s">
        <v>18084</v>
      </c>
      <c r="D472" s="72"/>
      <c r="F472" s="57"/>
      <c r="G472" s="43"/>
      <c r="H472" s="37"/>
      <c r="I472" s="38"/>
      <c r="J472" s="163" t="s">
        <v>17556</v>
      </c>
      <c r="K472" s="45" t="s">
        <v>398</v>
      </c>
      <c r="L472" s="46">
        <v>1</v>
      </c>
      <c r="M472" s="35"/>
      <c r="P472" s="57"/>
      <c r="Q472" s="35"/>
      <c r="T472" s="57"/>
      <c r="U472" s="208">
        <f>ROUND((ROUND((_15_同援日１０．０*_15・２人),0)*(1+_15・区３)),0)</f>
        <v>1846</v>
      </c>
      <c r="V472" s="48"/>
    </row>
    <row r="473" spans="1:22" ht="16.5" customHeight="1" x14ac:dyDescent="0.15">
      <c r="A473" s="41">
        <v>15</v>
      </c>
      <c r="B473" s="41">
        <v>8153</v>
      </c>
      <c r="C473" s="74" t="s">
        <v>18085</v>
      </c>
      <c r="D473" s="72"/>
      <c r="F473" s="57"/>
      <c r="G473" s="53" t="s">
        <v>17558</v>
      </c>
      <c r="H473" s="49"/>
      <c r="I473" s="50"/>
      <c r="J473" s="163"/>
      <c r="K473" s="45"/>
      <c r="L473" s="46"/>
      <c r="M473" s="35"/>
      <c r="P473" s="57"/>
      <c r="Q473" s="35" t="s">
        <v>17570</v>
      </c>
      <c r="T473" s="57"/>
      <c r="U473" s="208">
        <f>ROUND((ROUND((_15_同援日１０．０*_15・基礎２),0)*(1+_15・区３)),0)</f>
        <v>1661</v>
      </c>
      <c r="V473" s="48"/>
    </row>
    <row r="474" spans="1:22" ht="16.5" customHeight="1" x14ac:dyDescent="0.15">
      <c r="A474" s="41">
        <v>15</v>
      </c>
      <c r="B474" s="41">
        <v>8154</v>
      </c>
      <c r="C474" s="74" t="s">
        <v>18086</v>
      </c>
      <c r="D474" s="72"/>
      <c r="F474" s="57"/>
      <c r="G474" s="43" t="s">
        <v>17560</v>
      </c>
      <c r="H474" s="37" t="s">
        <v>398</v>
      </c>
      <c r="I474" s="38">
        <v>0.9</v>
      </c>
      <c r="J474" s="163" t="s">
        <v>17556</v>
      </c>
      <c r="K474" s="45" t="s">
        <v>398</v>
      </c>
      <c r="L474" s="46">
        <v>1</v>
      </c>
      <c r="M474" s="43"/>
      <c r="N474" s="37"/>
      <c r="O474" s="38"/>
      <c r="P474" s="79"/>
      <c r="Q474" s="35" t="s">
        <v>17572</v>
      </c>
      <c r="T474" s="57"/>
      <c r="U474" s="208">
        <f>ROUND((ROUND((ROUND((_15_同援日１０．０*_15・基礎２),0)*_15・２人),0)*(1+_15・区３)),0)</f>
        <v>1661</v>
      </c>
      <c r="V474" s="48"/>
    </row>
    <row r="475" spans="1:22" ht="16.5" customHeight="1" x14ac:dyDescent="0.15">
      <c r="A475" s="41">
        <v>15</v>
      </c>
      <c r="B475" s="41">
        <v>8155</v>
      </c>
      <c r="C475" s="74" t="s">
        <v>18087</v>
      </c>
      <c r="D475" s="72"/>
      <c r="F475" s="57"/>
      <c r="G475" s="53"/>
      <c r="H475" s="49"/>
      <c r="I475" s="50"/>
      <c r="J475" s="163"/>
      <c r="K475" s="45"/>
      <c r="L475" s="46"/>
      <c r="M475" s="53" t="s">
        <v>17562</v>
      </c>
      <c r="N475" s="49"/>
      <c r="O475" s="50"/>
      <c r="P475" s="115"/>
      <c r="Q475" s="35"/>
      <c r="R475" s="12" t="s">
        <v>398</v>
      </c>
      <c r="S475" s="13">
        <v>0.2</v>
      </c>
      <c r="T475" s="57" t="s">
        <v>3575</v>
      </c>
      <c r="U475" s="208">
        <f>ROUND((ROUND((_15_同援日１０．０*(1+_15・盲ろう)),0)*(1+_15・区３)),0)</f>
        <v>2308</v>
      </c>
      <c r="V475" s="48"/>
    </row>
    <row r="476" spans="1:22" ht="16.5" customHeight="1" x14ac:dyDescent="0.15">
      <c r="A476" s="41">
        <v>15</v>
      </c>
      <c r="B476" s="41">
        <v>8156</v>
      </c>
      <c r="C476" s="74" t="s">
        <v>18088</v>
      </c>
      <c r="D476" s="72"/>
      <c r="F476" s="57"/>
      <c r="G476" s="43"/>
      <c r="H476" s="37"/>
      <c r="I476" s="38"/>
      <c r="J476" s="163" t="s">
        <v>17556</v>
      </c>
      <c r="K476" s="45" t="s">
        <v>398</v>
      </c>
      <c r="L476" s="46">
        <v>1</v>
      </c>
      <c r="M476" s="35" t="s">
        <v>17564</v>
      </c>
      <c r="P476" s="57"/>
      <c r="Q476" s="35"/>
      <c r="T476" s="57"/>
      <c r="U476" s="208">
        <f>ROUND((ROUND((ROUND((_15_同援日１０．０*_15・２人),0)*(1+_15・盲ろう)),0)*(1+_15・区３)),0)</f>
        <v>2308</v>
      </c>
      <c r="V476" s="48"/>
    </row>
    <row r="477" spans="1:22" ht="16.5" customHeight="1" x14ac:dyDescent="0.15">
      <c r="A477" s="41">
        <v>15</v>
      </c>
      <c r="B477" s="41">
        <v>8157</v>
      </c>
      <c r="C477" s="74" t="s">
        <v>18089</v>
      </c>
      <c r="D477" s="72"/>
      <c r="F477" s="57"/>
      <c r="G477" s="53" t="s">
        <v>17558</v>
      </c>
      <c r="H477" s="49"/>
      <c r="I477" s="50"/>
      <c r="J477" s="163"/>
      <c r="K477" s="45"/>
      <c r="L477" s="46"/>
      <c r="M477" s="35"/>
      <c r="N477" s="12" t="s">
        <v>398</v>
      </c>
      <c r="O477" s="13">
        <v>0.25</v>
      </c>
      <c r="P477" s="57" t="s">
        <v>3575</v>
      </c>
      <c r="Q477" s="35"/>
      <c r="T477" s="57"/>
      <c r="U477" s="208">
        <f>ROUND((ROUND((ROUND((_15_同援日１０．０*_15・基礎２),0)*(1+_15・盲ろう)),0)*(1+_15・区３)),0)</f>
        <v>2076</v>
      </c>
      <c r="V477" s="48"/>
    </row>
    <row r="478" spans="1:22" ht="16.5" customHeight="1" x14ac:dyDescent="0.15">
      <c r="A478" s="41">
        <v>15</v>
      </c>
      <c r="B478" s="41">
        <v>8158</v>
      </c>
      <c r="C478" s="74" t="s">
        <v>18090</v>
      </c>
      <c r="D478" s="72"/>
      <c r="F478" s="57"/>
      <c r="G478" s="43" t="s">
        <v>17560</v>
      </c>
      <c r="H478" s="37" t="s">
        <v>398</v>
      </c>
      <c r="I478" s="38">
        <v>0.9</v>
      </c>
      <c r="J478" s="163" t="s">
        <v>17556</v>
      </c>
      <c r="K478" s="45" t="s">
        <v>398</v>
      </c>
      <c r="L478" s="46">
        <v>1</v>
      </c>
      <c r="M478" s="43"/>
      <c r="N478" s="37"/>
      <c r="O478" s="38"/>
      <c r="P478" s="79"/>
      <c r="Q478" s="43"/>
      <c r="R478" s="37"/>
      <c r="S478" s="38"/>
      <c r="T478" s="79"/>
      <c r="U478" s="208">
        <f>ROUND((ROUND((ROUND((ROUND((_15_同援日１０．０*_15・基礎２),0)*_15・２人),0)*(1+_15・盲ろう)),0)*(1+_15・区３)),0)</f>
        <v>2076</v>
      </c>
      <c r="V478" s="48"/>
    </row>
    <row r="479" spans="1:22" ht="16.5" customHeight="1" x14ac:dyDescent="0.15">
      <c r="A479" s="41">
        <v>15</v>
      </c>
      <c r="B479" s="41">
        <v>8159</v>
      </c>
      <c r="C479" s="74" t="s">
        <v>18091</v>
      </c>
      <c r="D479" s="72"/>
      <c r="F479" s="57"/>
      <c r="G479" s="53"/>
      <c r="H479" s="49"/>
      <c r="I479" s="50"/>
      <c r="J479" s="163"/>
      <c r="K479" s="45"/>
      <c r="L479" s="46"/>
      <c r="M479" s="53"/>
      <c r="N479" s="49"/>
      <c r="O479" s="50"/>
      <c r="P479" s="115"/>
      <c r="Q479" s="53"/>
      <c r="R479" s="49"/>
      <c r="S479" s="50"/>
      <c r="T479" s="115"/>
      <c r="U479" s="208">
        <f>ROUND((_15_同援日１０．０*(1+_15・区４)),0)</f>
        <v>2153</v>
      </c>
      <c r="V479" s="48"/>
    </row>
    <row r="480" spans="1:22" ht="16.5" customHeight="1" x14ac:dyDescent="0.15">
      <c r="A480" s="41">
        <v>15</v>
      </c>
      <c r="B480" s="41">
        <v>8160</v>
      </c>
      <c r="C480" s="74" t="s">
        <v>18092</v>
      </c>
      <c r="D480" s="72"/>
      <c r="F480" s="57"/>
      <c r="G480" s="43"/>
      <c r="H480" s="37"/>
      <c r="I480" s="38"/>
      <c r="J480" s="163" t="s">
        <v>17556</v>
      </c>
      <c r="K480" s="45" t="s">
        <v>398</v>
      </c>
      <c r="L480" s="46">
        <v>1</v>
      </c>
      <c r="M480" s="35"/>
      <c r="P480" s="57"/>
      <c r="Q480" s="35"/>
      <c r="T480" s="57"/>
      <c r="U480" s="208">
        <f>ROUND((ROUND((_15_同援日１０．０*_15・２人),0)*(1+_15・区４)),0)</f>
        <v>2153</v>
      </c>
      <c r="V480" s="48"/>
    </row>
    <row r="481" spans="1:22" ht="16.5" customHeight="1" x14ac:dyDescent="0.15">
      <c r="A481" s="41">
        <v>15</v>
      </c>
      <c r="B481" s="41">
        <v>8161</v>
      </c>
      <c r="C481" s="74" t="s">
        <v>18093</v>
      </c>
      <c r="D481" s="72"/>
      <c r="F481" s="57"/>
      <c r="G481" s="53" t="s">
        <v>17558</v>
      </c>
      <c r="H481" s="49"/>
      <c r="I481" s="50"/>
      <c r="J481" s="163"/>
      <c r="K481" s="45"/>
      <c r="L481" s="46"/>
      <c r="M481" s="35"/>
      <c r="P481" s="57"/>
      <c r="Q481" s="35" t="s">
        <v>17580</v>
      </c>
      <c r="T481" s="57"/>
      <c r="U481" s="208">
        <f>ROUND((ROUND((_15_同援日１０．０*_15・基礎２),0)*(1+_15・区４)),0)</f>
        <v>1938</v>
      </c>
      <c r="V481" s="48"/>
    </row>
    <row r="482" spans="1:22" ht="16.5" customHeight="1" x14ac:dyDescent="0.15">
      <c r="A482" s="41">
        <v>15</v>
      </c>
      <c r="B482" s="41">
        <v>8162</v>
      </c>
      <c r="C482" s="74" t="s">
        <v>18094</v>
      </c>
      <c r="D482" s="72"/>
      <c r="F482" s="57"/>
      <c r="G482" s="43" t="s">
        <v>17560</v>
      </c>
      <c r="H482" s="37" t="s">
        <v>398</v>
      </c>
      <c r="I482" s="38">
        <v>0.9</v>
      </c>
      <c r="J482" s="163" t="s">
        <v>17556</v>
      </c>
      <c r="K482" s="45" t="s">
        <v>398</v>
      </c>
      <c r="L482" s="46">
        <v>1</v>
      </c>
      <c r="M482" s="43"/>
      <c r="N482" s="37"/>
      <c r="O482" s="38"/>
      <c r="P482" s="79"/>
      <c r="Q482" s="35" t="s">
        <v>17572</v>
      </c>
      <c r="T482" s="57"/>
      <c r="U482" s="208">
        <f>ROUND((ROUND((ROUND((_15_同援日１０．０*_15・基礎２),0)*_15・２人),0)*(1+_15・区４)),0)</f>
        <v>1938</v>
      </c>
      <c r="V482" s="48"/>
    </row>
    <row r="483" spans="1:22" ht="16.5" customHeight="1" x14ac:dyDescent="0.15">
      <c r="A483" s="41">
        <v>15</v>
      </c>
      <c r="B483" s="41">
        <v>8163</v>
      </c>
      <c r="C483" s="74" t="s">
        <v>18095</v>
      </c>
      <c r="D483" s="72"/>
      <c r="F483" s="57"/>
      <c r="G483" s="53"/>
      <c r="H483" s="49"/>
      <c r="I483" s="50"/>
      <c r="J483" s="163"/>
      <c r="K483" s="45"/>
      <c r="L483" s="46"/>
      <c r="M483" s="53" t="s">
        <v>17562</v>
      </c>
      <c r="N483" s="49"/>
      <c r="O483" s="50"/>
      <c r="P483" s="115"/>
      <c r="Q483" s="35"/>
      <c r="R483" s="12" t="s">
        <v>398</v>
      </c>
      <c r="S483" s="13">
        <v>0.4</v>
      </c>
      <c r="T483" s="57" t="s">
        <v>3575</v>
      </c>
      <c r="U483" s="208">
        <f>ROUND((ROUND((_15_同援日１０．０*(1+_15・盲ろう)),0)*(1+_15・区４)),0)</f>
        <v>2692</v>
      </c>
      <c r="V483" s="48"/>
    </row>
    <row r="484" spans="1:22" ht="16.5" customHeight="1" x14ac:dyDescent="0.15">
      <c r="A484" s="41">
        <v>15</v>
      </c>
      <c r="B484" s="41">
        <v>8164</v>
      </c>
      <c r="C484" s="74" t="s">
        <v>18096</v>
      </c>
      <c r="D484" s="72"/>
      <c r="F484" s="57"/>
      <c r="G484" s="43"/>
      <c r="H484" s="37"/>
      <c r="I484" s="38"/>
      <c r="J484" s="163" t="s">
        <v>17556</v>
      </c>
      <c r="K484" s="45" t="s">
        <v>398</v>
      </c>
      <c r="L484" s="46">
        <v>1</v>
      </c>
      <c r="M484" s="35" t="s">
        <v>17564</v>
      </c>
      <c r="P484" s="57"/>
      <c r="Q484" s="35"/>
      <c r="T484" s="57"/>
      <c r="U484" s="208">
        <f>ROUND((ROUND((ROUND((_15_同援日１０．０*_15・２人),0)*(1+_15・盲ろう)),0)*(1+_15・区４)),0)</f>
        <v>2692</v>
      </c>
      <c r="V484" s="48"/>
    </row>
    <row r="485" spans="1:22" ht="16.5" customHeight="1" x14ac:dyDescent="0.15">
      <c r="A485" s="41">
        <v>15</v>
      </c>
      <c r="B485" s="41">
        <v>8165</v>
      </c>
      <c r="C485" s="74" t="s">
        <v>18097</v>
      </c>
      <c r="D485" s="72"/>
      <c r="F485" s="57"/>
      <c r="G485" s="53" t="s">
        <v>17558</v>
      </c>
      <c r="H485" s="49"/>
      <c r="I485" s="50"/>
      <c r="J485" s="163"/>
      <c r="K485" s="45"/>
      <c r="L485" s="46"/>
      <c r="M485" s="35"/>
      <c r="N485" s="12" t="s">
        <v>398</v>
      </c>
      <c r="O485" s="13">
        <v>0.25</v>
      </c>
      <c r="P485" s="57" t="s">
        <v>3575</v>
      </c>
      <c r="Q485" s="35"/>
      <c r="T485" s="57"/>
      <c r="U485" s="208">
        <f>ROUND((ROUND((ROUND((_15_同援日１０．０*_15・基礎２),0)*(1+_15・盲ろう)),0)*(1+_15・区４)),0)</f>
        <v>2422</v>
      </c>
      <c r="V485" s="48"/>
    </row>
    <row r="486" spans="1:22" ht="16.5" customHeight="1" x14ac:dyDescent="0.15">
      <c r="A486" s="41">
        <v>15</v>
      </c>
      <c r="B486" s="41">
        <v>8166</v>
      </c>
      <c r="C486" s="74" t="s">
        <v>18098</v>
      </c>
      <c r="D486" s="122"/>
      <c r="E486" s="37"/>
      <c r="F486" s="79"/>
      <c r="G486" s="43" t="s">
        <v>17560</v>
      </c>
      <c r="H486" s="37" t="s">
        <v>398</v>
      </c>
      <c r="I486" s="38">
        <v>0.9</v>
      </c>
      <c r="J486" s="163" t="s">
        <v>17556</v>
      </c>
      <c r="K486" s="45" t="s">
        <v>398</v>
      </c>
      <c r="L486" s="46">
        <v>1</v>
      </c>
      <c r="M486" s="43"/>
      <c r="N486" s="37"/>
      <c r="O486" s="38"/>
      <c r="P486" s="79"/>
      <c r="Q486" s="43"/>
      <c r="R486" s="37"/>
      <c r="S486" s="38"/>
      <c r="T486" s="79"/>
      <c r="U486" s="208">
        <f>ROUND((ROUND((ROUND((ROUND((_15_同援日１０．０*_15・基礎２),0)*_15・２人),0)*(1+_15・盲ろう)),0)*(1+_15・区４)),0)</f>
        <v>2422</v>
      </c>
      <c r="V486" s="63"/>
    </row>
    <row r="487" spans="1:22" ht="16.5" customHeight="1" x14ac:dyDescent="0.15">
      <c r="A487" s="41">
        <v>15</v>
      </c>
      <c r="B487" s="41">
        <v>8167</v>
      </c>
      <c r="C487" s="74" t="s">
        <v>18099</v>
      </c>
      <c r="D487" s="114" t="s">
        <v>18100</v>
      </c>
      <c r="E487" s="49"/>
      <c r="F487" s="115"/>
      <c r="G487" s="53"/>
      <c r="H487" s="49"/>
      <c r="I487" s="50"/>
      <c r="J487" s="163"/>
      <c r="K487" s="45"/>
      <c r="L487" s="46"/>
      <c r="M487" s="53"/>
      <c r="N487" s="49"/>
      <c r="O487" s="50"/>
      <c r="P487" s="115"/>
      <c r="Q487" s="53"/>
      <c r="R487" s="49"/>
      <c r="S487" s="50"/>
      <c r="T487" s="115"/>
      <c r="U487" s="208">
        <f>_15_同援日１０．５</f>
        <v>1603</v>
      </c>
      <c r="V487" s="64"/>
    </row>
    <row r="488" spans="1:22" ht="16.5" customHeight="1" x14ac:dyDescent="0.15">
      <c r="A488" s="41">
        <v>15</v>
      </c>
      <c r="B488" s="41">
        <v>8168</v>
      </c>
      <c r="C488" s="74" t="s">
        <v>18101</v>
      </c>
      <c r="D488" s="72" t="s">
        <v>18102</v>
      </c>
      <c r="F488" s="57"/>
      <c r="G488" s="43"/>
      <c r="H488" s="37"/>
      <c r="I488" s="38"/>
      <c r="J488" s="163" t="s">
        <v>17556</v>
      </c>
      <c r="K488" s="45" t="s">
        <v>398</v>
      </c>
      <c r="L488" s="46">
        <v>1</v>
      </c>
      <c r="M488" s="35"/>
      <c r="P488" s="57"/>
      <c r="Q488" s="35"/>
      <c r="T488" s="57"/>
      <c r="U488" s="208">
        <f>ROUND((_15_同援日１０．５*_15・２人),0)</f>
        <v>1603</v>
      </c>
      <c r="V488" s="48"/>
    </row>
    <row r="489" spans="1:22" ht="16.5" customHeight="1" x14ac:dyDescent="0.15">
      <c r="A489" s="41">
        <v>15</v>
      </c>
      <c r="B489" s="41">
        <v>8169</v>
      </c>
      <c r="C489" s="74" t="s">
        <v>18103</v>
      </c>
      <c r="D489" s="72" t="s">
        <v>18104</v>
      </c>
      <c r="F489" s="57"/>
      <c r="G489" s="53" t="s">
        <v>17558</v>
      </c>
      <c r="H489" s="49"/>
      <c r="I489" s="50"/>
      <c r="J489" s="163"/>
      <c r="K489" s="45"/>
      <c r="L489" s="46"/>
      <c r="M489" s="35"/>
      <c r="P489" s="57"/>
      <c r="Q489" s="35"/>
      <c r="T489" s="57"/>
      <c r="U489" s="208">
        <f>ROUND((_15_同援日１０．５*_15・基礎２),0)</f>
        <v>1443</v>
      </c>
      <c r="V489" s="48"/>
    </row>
    <row r="490" spans="1:22" ht="16.5" customHeight="1" x14ac:dyDescent="0.15">
      <c r="A490" s="41">
        <v>15</v>
      </c>
      <c r="B490" s="41">
        <v>8170</v>
      </c>
      <c r="C490" s="74" t="s">
        <v>18105</v>
      </c>
      <c r="D490" s="72"/>
      <c r="E490" s="168">
        <f>_15_同援日１０．５</f>
        <v>1603</v>
      </c>
      <c r="F490" s="57" t="s">
        <v>392</v>
      </c>
      <c r="G490" s="43" t="s">
        <v>17560</v>
      </c>
      <c r="H490" s="37" t="s">
        <v>398</v>
      </c>
      <c r="I490" s="38">
        <v>0.9</v>
      </c>
      <c r="J490" s="163" t="s">
        <v>17556</v>
      </c>
      <c r="K490" s="45" t="s">
        <v>398</v>
      </c>
      <c r="L490" s="46">
        <v>1</v>
      </c>
      <c r="M490" s="43"/>
      <c r="N490" s="37"/>
      <c r="O490" s="38"/>
      <c r="P490" s="79"/>
      <c r="Q490" s="35"/>
      <c r="T490" s="57"/>
      <c r="U490" s="208">
        <f>ROUND((ROUND((_15_同援日１０．５*_15・基礎２),0)*_15・２人),0)</f>
        <v>1443</v>
      </c>
      <c r="V490" s="48"/>
    </row>
    <row r="491" spans="1:22" ht="16.5" customHeight="1" x14ac:dyDescent="0.15">
      <c r="A491" s="41">
        <v>15</v>
      </c>
      <c r="B491" s="41">
        <v>8171</v>
      </c>
      <c r="C491" s="74" t="s">
        <v>18106</v>
      </c>
      <c r="D491" s="72"/>
      <c r="F491" s="57"/>
      <c r="G491" s="53"/>
      <c r="H491" s="49"/>
      <c r="I491" s="50"/>
      <c r="J491" s="163"/>
      <c r="K491" s="45"/>
      <c r="L491" s="46"/>
      <c r="M491" s="53" t="s">
        <v>17562</v>
      </c>
      <c r="N491" s="49"/>
      <c r="O491" s="50"/>
      <c r="P491" s="115"/>
      <c r="Q491" s="35"/>
      <c r="T491" s="57"/>
      <c r="U491" s="208">
        <f>ROUND((_15_同援日１０．５*(1+_15・盲ろう)),0)</f>
        <v>2004</v>
      </c>
      <c r="V491" s="48"/>
    </row>
    <row r="492" spans="1:22" ht="16.5" customHeight="1" x14ac:dyDescent="0.15">
      <c r="A492" s="41">
        <v>15</v>
      </c>
      <c r="B492" s="41">
        <v>8172</v>
      </c>
      <c r="C492" s="74" t="s">
        <v>18107</v>
      </c>
      <c r="D492" s="72"/>
      <c r="F492" s="57"/>
      <c r="G492" s="43"/>
      <c r="H492" s="37"/>
      <c r="I492" s="38"/>
      <c r="J492" s="163" t="s">
        <v>17556</v>
      </c>
      <c r="K492" s="45" t="s">
        <v>398</v>
      </c>
      <c r="L492" s="46">
        <v>1</v>
      </c>
      <c r="M492" s="35" t="s">
        <v>17564</v>
      </c>
      <c r="P492" s="57"/>
      <c r="Q492" s="35"/>
      <c r="T492" s="57"/>
      <c r="U492" s="208">
        <f>ROUND((ROUND((_15_同援日１０．５*_15・２人),0)*(1+_15・盲ろう)),0)</f>
        <v>2004</v>
      </c>
      <c r="V492" s="48"/>
    </row>
    <row r="493" spans="1:22" ht="16.5" customHeight="1" x14ac:dyDescent="0.15">
      <c r="A493" s="41">
        <v>15</v>
      </c>
      <c r="B493" s="41">
        <v>8173</v>
      </c>
      <c r="C493" s="74" t="s">
        <v>18108</v>
      </c>
      <c r="D493" s="72"/>
      <c r="F493" s="57"/>
      <c r="G493" s="53" t="s">
        <v>17558</v>
      </c>
      <c r="H493" s="49"/>
      <c r="I493" s="50"/>
      <c r="J493" s="163"/>
      <c r="K493" s="45"/>
      <c r="L493" s="46"/>
      <c r="M493" s="35"/>
      <c r="N493" s="12" t="s">
        <v>398</v>
      </c>
      <c r="O493" s="13">
        <v>0.25</v>
      </c>
      <c r="P493" s="57" t="s">
        <v>3575</v>
      </c>
      <c r="Q493" s="35"/>
      <c r="T493" s="57"/>
      <c r="U493" s="208">
        <f>ROUND((ROUND((_15_同援日１０．５*_15・基礎２),0)*(1+_15・盲ろう)),0)</f>
        <v>1804</v>
      </c>
      <c r="V493" s="48"/>
    </row>
    <row r="494" spans="1:22" ht="16.5" customHeight="1" x14ac:dyDescent="0.15">
      <c r="A494" s="41">
        <v>15</v>
      </c>
      <c r="B494" s="41">
        <v>8174</v>
      </c>
      <c r="C494" s="74" t="s">
        <v>18109</v>
      </c>
      <c r="D494" s="72"/>
      <c r="F494" s="57"/>
      <c r="G494" s="43" t="s">
        <v>17560</v>
      </c>
      <c r="H494" s="37" t="s">
        <v>398</v>
      </c>
      <c r="I494" s="38">
        <v>0.9</v>
      </c>
      <c r="J494" s="163" t="s">
        <v>17556</v>
      </c>
      <c r="K494" s="45" t="s">
        <v>398</v>
      </c>
      <c r="L494" s="46">
        <v>1</v>
      </c>
      <c r="M494" s="43"/>
      <c r="N494" s="37"/>
      <c r="O494" s="38"/>
      <c r="P494" s="79"/>
      <c r="Q494" s="43"/>
      <c r="R494" s="37"/>
      <c r="S494" s="38"/>
      <c r="T494" s="79"/>
      <c r="U494" s="208">
        <f>ROUND((ROUND((ROUND((_15_同援日１０．５*_15・基礎２),0)*_15・２人),0)*(1+_15・盲ろう)),0)</f>
        <v>1804</v>
      </c>
      <c r="V494" s="48"/>
    </row>
    <row r="495" spans="1:22" ht="16.5" customHeight="1" x14ac:dyDescent="0.15">
      <c r="A495" s="41">
        <v>15</v>
      </c>
      <c r="B495" s="41">
        <v>8175</v>
      </c>
      <c r="C495" s="74" t="s">
        <v>18110</v>
      </c>
      <c r="D495" s="72"/>
      <c r="F495" s="57"/>
      <c r="G495" s="53"/>
      <c r="H495" s="49"/>
      <c r="I495" s="50"/>
      <c r="J495" s="163"/>
      <c r="K495" s="45"/>
      <c r="L495" s="46"/>
      <c r="M495" s="53"/>
      <c r="N495" s="49"/>
      <c r="O495" s="50"/>
      <c r="P495" s="115"/>
      <c r="Q495" s="53"/>
      <c r="R495" s="49"/>
      <c r="S495" s="50"/>
      <c r="T495" s="115"/>
      <c r="U495" s="208">
        <f>ROUND((_15_同援日１０．５*(1+_15・区３)),0)</f>
        <v>1924</v>
      </c>
      <c r="V495" s="48"/>
    </row>
    <row r="496" spans="1:22" ht="16.5" customHeight="1" x14ac:dyDescent="0.15">
      <c r="A496" s="41">
        <v>15</v>
      </c>
      <c r="B496" s="41">
        <v>8176</v>
      </c>
      <c r="C496" s="74" t="s">
        <v>18111</v>
      </c>
      <c r="D496" s="72"/>
      <c r="F496" s="57"/>
      <c r="G496" s="43"/>
      <c r="H496" s="37"/>
      <c r="I496" s="38"/>
      <c r="J496" s="163" t="s">
        <v>17556</v>
      </c>
      <c r="K496" s="45" t="s">
        <v>398</v>
      </c>
      <c r="L496" s="46">
        <v>1</v>
      </c>
      <c r="M496" s="35"/>
      <c r="P496" s="57"/>
      <c r="Q496" s="35"/>
      <c r="T496" s="57"/>
      <c r="U496" s="208">
        <f>ROUND((ROUND((_15_同援日１０．５*_15・２人),0)*(1+_15・区３)),0)</f>
        <v>1924</v>
      </c>
      <c r="V496" s="48"/>
    </row>
    <row r="497" spans="1:22" ht="16.5" customHeight="1" x14ac:dyDescent="0.15">
      <c r="A497" s="41">
        <v>15</v>
      </c>
      <c r="B497" s="41">
        <v>8177</v>
      </c>
      <c r="C497" s="74" t="s">
        <v>18112</v>
      </c>
      <c r="D497" s="72"/>
      <c r="F497" s="57"/>
      <c r="G497" s="53" t="s">
        <v>17558</v>
      </c>
      <c r="H497" s="49"/>
      <c r="I497" s="50"/>
      <c r="J497" s="163"/>
      <c r="K497" s="45"/>
      <c r="L497" s="46"/>
      <c r="M497" s="35"/>
      <c r="P497" s="57"/>
      <c r="Q497" s="35" t="s">
        <v>17570</v>
      </c>
      <c r="T497" s="57"/>
      <c r="U497" s="208">
        <f>ROUND((ROUND((_15_同援日１０．５*_15・基礎２),0)*(1+_15・区３)),0)</f>
        <v>1732</v>
      </c>
      <c r="V497" s="48"/>
    </row>
    <row r="498" spans="1:22" ht="16.5" customHeight="1" x14ac:dyDescent="0.15">
      <c r="A498" s="41">
        <v>15</v>
      </c>
      <c r="B498" s="41">
        <v>8178</v>
      </c>
      <c r="C498" s="74" t="s">
        <v>18113</v>
      </c>
      <c r="D498" s="72"/>
      <c r="F498" s="57"/>
      <c r="G498" s="43" t="s">
        <v>17560</v>
      </c>
      <c r="H498" s="37" t="s">
        <v>398</v>
      </c>
      <c r="I498" s="38">
        <v>0.9</v>
      </c>
      <c r="J498" s="163" t="s">
        <v>17556</v>
      </c>
      <c r="K498" s="45" t="s">
        <v>398</v>
      </c>
      <c r="L498" s="46">
        <v>1</v>
      </c>
      <c r="M498" s="43"/>
      <c r="N498" s="37"/>
      <c r="O498" s="38"/>
      <c r="P498" s="79"/>
      <c r="Q498" s="35" t="s">
        <v>17572</v>
      </c>
      <c r="T498" s="57"/>
      <c r="U498" s="208">
        <f>ROUND((ROUND((ROUND((_15_同援日１０．５*_15・基礎２),0)*_15・２人),0)*(1+_15・区３)),0)</f>
        <v>1732</v>
      </c>
      <c r="V498" s="48"/>
    </row>
    <row r="499" spans="1:22" ht="16.5" customHeight="1" x14ac:dyDescent="0.15">
      <c r="A499" s="41">
        <v>15</v>
      </c>
      <c r="B499" s="41">
        <v>8179</v>
      </c>
      <c r="C499" s="74" t="s">
        <v>18114</v>
      </c>
      <c r="D499" s="72"/>
      <c r="F499" s="57"/>
      <c r="G499" s="53"/>
      <c r="H499" s="49"/>
      <c r="I499" s="50"/>
      <c r="J499" s="163"/>
      <c r="K499" s="45"/>
      <c r="L499" s="46"/>
      <c r="M499" s="53" t="s">
        <v>17562</v>
      </c>
      <c r="N499" s="49"/>
      <c r="O499" s="50"/>
      <c r="P499" s="115"/>
      <c r="Q499" s="35"/>
      <c r="R499" s="12" t="s">
        <v>398</v>
      </c>
      <c r="S499" s="13">
        <v>0.2</v>
      </c>
      <c r="T499" s="57" t="s">
        <v>3575</v>
      </c>
      <c r="U499" s="208">
        <f>ROUND((ROUND((_15_同援日１０．５*(1+_15・盲ろう)),0)*(1+_15・区３)),0)</f>
        <v>2405</v>
      </c>
      <c r="V499" s="48"/>
    </row>
    <row r="500" spans="1:22" ht="16.5" customHeight="1" x14ac:dyDescent="0.15">
      <c r="A500" s="41">
        <v>15</v>
      </c>
      <c r="B500" s="41">
        <v>8180</v>
      </c>
      <c r="C500" s="74" t="s">
        <v>18115</v>
      </c>
      <c r="D500" s="72"/>
      <c r="F500" s="57"/>
      <c r="G500" s="43"/>
      <c r="H500" s="37"/>
      <c r="I500" s="38"/>
      <c r="J500" s="163" t="s">
        <v>17556</v>
      </c>
      <c r="K500" s="45" t="s">
        <v>398</v>
      </c>
      <c r="L500" s="46">
        <v>1</v>
      </c>
      <c r="M500" s="35" t="s">
        <v>17564</v>
      </c>
      <c r="P500" s="57"/>
      <c r="Q500" s="35"/>
      <c r="T500" s="57"/>
      <c r="U500" s="208">
        <f>ROUND((ROUND((ROUND((_15_同援日１０．５*_15・２人),0)*(1+_15・盲ろう)),0)*(1+_15・区３)),0)</f>
        <v>2405</v>
      </c>
      <c r="V500" s="48"/>
    </row>
    <row r="501" spans="1:22" ht="16.5" customHeight="1" x14ac:dyDescent="0.15">
      <c r="A501" s="41">
        <v>15</v>
      </c>
      <c r="B501" s="41">
        <v>8181</v>
      </c>
      <c r="C501" s="74" t="s">
        <v>18116</v>
      </c>
      <c r="D501" s="72"/>
      <c r="F501" s="57"/>
      <c r="G501" s="53" t="s">
        <v>17558</v>
      </c>
      <c r="H501" s="49"/>
      <c r="I501" s="50"/>
      <c r="J501" s="163"/>
      <c r="K501" s="45"/>
      <c r="L501" s="46"/>
      <c r="M501" s="35"/>
      <c r="N501" s="12" t="s">
        <v>398</v>
      </c>
      <c r="O501" s="13">
        <v>0.25</v>
      </c>
      <c r="P501" s="57" t="s">
        <v>3575</v>
      </c>
      <c r="Q501" s="35"/>
      <c r="T501" s="57"/>
      <c r="U501" s="208">
        <f>ROUND((ROUND((ROUND((_15_同援日１０．５*_15・基礎２),0)*(1+_15・盲ろう)),0)*(1+_15・区３)),0)</f>
        <v>2165</v>
      </c>
      <c r="V501" s="48"/>
    </row>
    <row r="502" spans="1:22" ht="16.5" customHeight="1" x14ac:dyDescent="0.15">
      <c r="A502" s="41">
        <v>15</v>
      </c>
      <c r="B502" s="41">
        <v>8182</v>
      </c>
      <c r="C502" s="74" t="s">
        <v>18117</v>
      </c>
      <c r="D502" s="72"/>
      <c r="F502" s="57"/>
      <c r="G502" s="43" t="s">
        <v>17560</v>
      </c>
      <c r="H502" s="37" t="s">
        <v>398</v>
      </c>
      <c r="I502" s="38">
        <v>0.9</v>
      </c>
      <c r="J502" s="163" t="s">
        <v>17556</v>
      </c>
      <c r="K502" s="45" t="s">
        <v>398</v>
      </c>
      <c r="L502" s="46">
        <v>1</v>
      </c>
      <c r="M502" s="43"/>
      <c r="N502" s="37"/>
      <c r="O502" s="38"/>
      <c r="P502" s="79"/>
      <c r="Q502" s="43"/>
      <c r="R502" s="37"/>
      <c r="S502" s="38"/>
      <c r="T502" s="79"/>
      <c r="U502" s="208">
        <f>ROUND((ROUND((ROUND((ROUND((_15_同援日１０．５*_15・基礎２),0)*_15・２人),0)*(1+_15・盲ろう)),0)*(1+_15・区３)),0)</f>
        <v>2165</v>
      </c>
      <c r="V502" s="48"/>
    </row>
    <row r="503" spans="1:22" ht="16.5" customHeight="1" x14ac:dyDescent="0.15">
      <c r="A503" s="41">
        <v>15</v>
      </c>
      <c r="B503" s="41">
        <v>8183</v>
      </c>
      <c r="C503" s="74" t="s">
        <v>18118</v>
      </c>
      <c r="D503" s="72"/>
      <c r="F503" s="57"/>
      <c r="G503" s="53"/>
      <c r="H503" s="49"/>
      <c r="I503" s="50"/>
      <c r="J503" s="163"/>
      <c r="K503" s="45"/>
      <c r="L503" s="46"/>
      <c r="M503" s="53"/>
      <c r="N503" s="49"/>
      <c r="O503" s="50"/>
      <c r="P503" s="115"/>
      <c r="Q503" s="53"/>
      <c r="R503" s="49"/>
      <c r="S503" s="50"/>
      <c r="T503" s="115"/>
      <c r="U503" s="208">
        <f>ROUND((_15_同援日１０．５*(1+_15・区４)),0)</f>
        <v>2244</v>
      </c>
      <c r="V503" s="48"/>
    </row>
    <row r="504" spans="1:22" ht="16.5" customHeight="1" x14ac:dyDescent="0.15">
      <c r="A504" s="41">
        <v>15</v>
      </c>
      <c r="B504" s="41">
        <v>8184</v>
      </c>
      <c r="C504" s="74" t="s">
        <v>18119</v>
      </c>
      <c r="D504" s="72"/>
      <c r="F504" s="57"/>
      <c r="G504" s="43"/>
      <c r="H504" s="37"/>
      <c r="I504" s="38"/>
      <c r="J504" s="163" t="s">
        <v>17556</v>
      </c>
      <c r="K504" s="45" t="s">
        <v>398</v>
      </c>
      <c r="L504" s="46">
        <v>1</v>
      </c>
      <c r="M504" s="35"/>
      <c r="P504" s="57"/>
      <c r="Q504" s="35"/>
      <c r="T504" s="57"/>
      <c r="U504" s="208">
        <f>ROUND((ROUND((_15_同援日１０．５*_15・２人),0)*(1+_15・区４)),0)</f>
        <v>2244</v>
      </c>
      <c r="V504" s="48"/>
    </row>
    <row r="505" spans="1:22" ht="16.5" customHeight="1" x14ac:dyDescent="0.15">
      <c r="A505" s="41">
        <v>15</v>
      </c>
      <c r="B505" s="41">
        <v>8185</v>
      </c>
      <c r="C505" s="74" t="s">
        <v>18120</v>
      </c>
      <c r="D505" s="72"/>
      <c r="F505" s="57"/>
      <c r="G505" s="53" t="s">
        <v>17558</v>
      </c>
      <c r="H505" s="49"/>
      <c r="I505" s="50"/>
      <c r="J505" s="163"/>
      <c r="K505" s="45"/>
      <c r="L505" s="46"/>
      <c r="M505" s="35"/>
      <c r="P505" s="57"/>
      <c r="Q505" s="35" t="s">
        <v>17580</v>
      </c>
      <c r="T505" s="57"/>
      <c r="U505" s="208">
        <f>ROUND((ROUND((_15_同援日１０．５*_15・基礎２),0)*(1+_15・区４)),0)</f>
        <v>2020</v>
      </c>
      <c r="V505" s="48"/>
    </row>
    <row r="506" spans="1:22" ht="16.5" customHeight="1" x14ac:dyDescent="0.15">
      <c r="A506" s="41">
        <v>15</v>
      </c>
      <c r="B506" s="41">
        <v>8186</v>
      </c>
      <c r="C506" s="74" t="s">
        <v>18121</v>
      </c>
      <c r="D506" s="72"/>
      <c r="F506" s="57"/>
      <c r="G506" s="43" t="s">
        <v>17560</v>
      </c>
      <c r="H506" s="37" t="s">
        <v>398</v>
      </c>
      <c r="I506" s="38">
        <v>0.9</v>
      </c>
      <c r="J506" s="163" t="s">
        <v>17556</v>
      </c>
      <c r="K506" s="45" t="s">
        <v>398</v>
      </c>
      <c r="L506" s="46">
        <v>1</v>
      </c>
      <c r="M506" s="43"/>
      <c r="N506" s="37"/>
      <c r="O506" s="38"/>
      <c r="P506" s="79"/>
      <c r="Q506" s="35" t="s">
        <v>17572</v>
      </c>
      <c r="T506" s="57"/>
      <c r="U506" s="208">
        <f>ROUND((ROUND((ROUND((_15_同援日１０．５*_15・基礎２),0)*_15・２人),0)*(1+_15・区４)),0)</f>
        <v>2020</v>
      </c>
      <c r="V506" s="48"/>
    </row>
    <row r="507" spans="1:22" ht="16.5" customHeight="1" x14ac:dyDescent="0.15">
      <c r="A507" s="41">
        <v>15</v>
      </c>
      <c r="B507" s="41">
        <v>8187</v>
      </c>
      <c r="C507" s="74" t="s">
        <v>18122</v>
      </c>
      <c r="D507" s="72"/>
      <c r="F507" s="57"/>
      <c r="G507" s="53"/>
      <c r="H507" s="49"/>
      <c r="I507" s="50"/>
      <c r="J507" s="163"/>
      <c r="K507" s="45"/>
      <c r="L507" s="46"/>
      <c r="M507" s="53" t="s">
        <v>17562</v>
      </c>
      <c r="N507" s="49"/>
      <c r="O507" s="50"/>
      <c r="P507" s="115"/>
      <c r="Q507" s="35"/>
      <c r="R507" s="12" t="s">
        <v>398</v>
      </c>
      <c r="S507" s="13">
        <v>0.4</v>
      </c>
      <c r="T507" s="57" t="s">
        <v>3575</v>
      </c>
      <c r="U507" s="208">
        <f>ROUND((ROUND((_15_同援日１０．５*(1+_15・盲ろう)),0)*(1+_15・区４)),0)</f>
        <v>2806</v>
      </c>
      <c r="V507" s="48"/>
    </row>
    <row r="508" spans="1:22" ht="16.5" customHeight="1" x14ac:dyDescent="0.15">
      <c r="A508" s="41">
        <v>15</v>
      </c>
      <c r="B508" s="41">
        <v>8188</v>
      </c>
      <c r="C508" s="74" t="s">
        <v>18123</v>
      </c>
      <c r="D508" s="72"/>
      <c r="F508" s="57"/>
      <c r="G508" s="43"/>
      <c r="H508" s="37"/>
      <c r="I508" s="38"/>
      <c r="J508" s="163" t="s">
        <v>17556</v>
      </c>
      <c r="K508" s="45" t="s">
        <v>398</v>
      </c>
      <c r="L508" s="46">
        <v>1</v>
      </c>
      <c r="M508" s="35" t="s">
        <v>17564</v>
      </c>
      <c r="P508" s="57"/>
      <c r="Q508" s="35"/>
      <c r="T508" s="57"/>
      <c r="U508" s="208">
        <f>ROUND((ROUND((ROUND((_15_同援日１０．５*_15・２人),0)*(1+_15・盲ろう)),0)*(1+_15・区４)),0)</f>
        <v>2806</v>
      </c>
      <c r="V508" s="48"/>
    </row>
    <row r="509" spans="1:22" ht="16.5" customHeight="1" x14ac:dyDescent="0.15">
      <c r="A509" s="41">
        <v>15</v>
      </c>
      <c r="B509" s="41">
        <v>8189</v>
      </c>
      <c r="C509" s="74" t="s">
        <v>18124</v>
      </c>
      <c r="D509" s="72"/>
      <c r="F509" s="57"/>
      <c r="G509" s="53" t="s">
        <v>17558</v>
      </c>
      <c r="H509" s="49"/>
      <c r="I509" s="50"/>
      <c r="J509" s="163"/>
      <c r="K509" s="45"/>
      <c r="L509" s="46"/>
      <c r="M509" s="35"/>
      <c r="N509" s="12" t="s">
        <v>398</v>
      </c>
      <c r="O509" s="13">
        <v>0.25</v>
      </c>
      <c r="P509" s="57" t="s">
        <v>3575</v>
      </c>
      <c r="Q509" s="35"/>
      <c r="T509" s="57"/>
      <c r="U509" s="208">
        <f>ROUND((ROUND((ROUND((_15_同援日１０．５*_15・基礎２),0)*(1+_15・盲ろう)),0)*(1+_15・区４)),0)</f>
        <v>2526</v>
      </c>
      <c r="V509" s="48"/>
    </row>
    <row r="510" spans="1:22" ht="16.5" customHeight="1" x14ac:dyDescent="0.15">
      <c r="A510" s="41">
        <v>15</v>
      </c>
      <c r="B510" s="41">
        <v>8190</v>
      </c>
      <c r="C510" s="74" t="s">
        <v>18125</v>
      </c>
      <c r="D510" s="122"/>
      <c r="E510" s="37"/>
      <c r="F510" s="79"/>
      <c r="G510" s="43" t="s">
        <v>17560</v>
      </c>
      <c r="H510" s="37" t="s">
        <v>398</v>
      </c>
      <c r="I510" s="38">
        <v>0.9</v>
      </c>
      <c r="J510" s="163" t="s">
        <v>17556</v>
      </c>
      <c r="K510" s="45" t="s">
        <v>398</v>
      </c>
      <c r="L510" s="46">
        <v>1</v>
      </c>
      <c r="M510" s="43"/>
      <c r="N510" s="37"/>
      <c r="O510" s="38"/>
      <c r="P510" s="79"/>
      <c r="Q510" s="43"/>
      <c r="R510" s="37"/>
      <c r="S510" s="38"/>
      <c r="T510" s="79"/>
      <c r="U510" s="208">
        <f>ROUND((ROUND((ROUND((ROUND((_15_同援日１０．５*_15・基礎２),0)*_15・２人),0)*(1+_15・盲ろう)),0)*(1+_15・区４)),0)</f>
        <v>2526</v>
      </c>
      <c r="V510" s="63"/>
    </row>
    <row r="511" spans="1:22" ht="16.5" customHeight="1" x14ac:dyDescent="0.15"/>
    <row r="512" spans="1:22"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44" fitToHeight="0" orientation="portrait" r:id="rId1"/>
  <headerFooter>
    <oddHeader>&amp;R&amp;"ＭＳ Ｐゴシック"&amp;9同行援護</oddHeader>
    <oddFooter>&amp;C&amp;"ＭＳ Ｐゴシック"&amp;14&amp;P</oddFooter>
  </headerFooter>
  <rowBreaks count="5" manualBreakCount="5">
    <brk id="102" max="16383" man="1"/>
    <brk id="198" max="16383" man="1"/>
    <brk id="294" max="16383" man="1"/>
    <brk id="390" max="16383" man="1"/>
    <brk id="486"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2">
    <pageSetUpPr fitToPage="1"/>
  </sheetPr>
  <dimension ref="A1:X349"/>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12.875" style="10" bestFit="1" customWidth="1"/>
    <col min="5" max="5" width="4.125" style="12" bestFit="1" customWidth="1"/>
    <col min="6" max="6" width="4.875" style="12" bestFit="1" customWidth="1"/>
    <col min="7" max="7" width="16.5" style="12" customWidth="1"/>
    <col min="8" max="8" width="3.125" style="12" bestFit="1" customWidth="1"/>
    <col min="9" max="9" width="4.125" style="13" bestFit="1" customWidth="1"/>
    <col min="10" max="10" width="26.125" style="12" customWidth="1"/>
    <col min="11" max="11" width="3.125" style="12" bestFit="1" customWidth="1"/>
    <col min="12" max="12" width="5" style="13" bestFit="1" customWidth="1"/>
    <col min="13" max="13" width="4.125" style="13" bestFit="1" customWidth="1"/>
    <col min="14" max="14" width="4.875" style="12" bestFit="1" customWidth="1"/>
    <col min="15" max="15" width="16.5" style="12" customWidth="1"/>
    <col min="16" max="16" width="3.125" style="12" bestFit="1" customWidth="1"/>
    <col min="17" max="17" width="4.125" style="13" bestFit="1" customWidth="1"/>
    <col min="18" max="18" width="4.875" style="12" bestFit="1" customWidth="1"/>
    <col min="19" max="19" width="8.5" style="12" customWidth="1"/>
    <col min="20" max="20" width="3.125" style="12" bestFit="1" customWidth="1"/>
    <col min="21" max="21" width="4.125" style="13" bestFit="1" customWidth="1"/>
    <col min="22" max="22" width="4.875" style="12" bestFit="1" customWidth="1"/>
    <col min="23" max="23" width="7.125" style="206" customWidth="1"/>
    <col min="24" max="24" width="8.5" style="16" customWidth="1"/>
    <col min="25" max="16384" width="9" style="12"/>
  </cols>
  <sheetData>
    <row r="1" spans="1:24" ht="17.100000000000001" customHeight="1" x14ac:dyDescent="0.15"/>
    <row r="2" spans="1:24" ht="17.100000000000001" customHeight="1" x14ac:dyDescent="0.15"/>
    <row r="3" spans="1:24" ht="17.100000000000001" customHeight="1" x14ac:dyDescent="0.15"/>
    <row r="4" spans="1:24" ht="17.100000000000001" customHeight="1" x14ac:dyDescent="0.15">
      <c r="B4" s="17" t="s">
        <v>18126</v>
      </c>
      <c r="D4" s="71"/>
    </row>
    <row r="5" spans="1:24" ht="16.5" customHeight="1" x14ac:dyDescent="0.15">
      <c r="A5" s="19" t="s">
        <v>384</v>
      </c>
      <c r="B5" s="20"/>
      <c r="C5" s="21" t="s">
        <v>385</v>
      </c>
      <c r="D5" s="23" t="s">
        <v>386</v>
      </c>
      <c r="E5" s="23"/>
      <c r="F5" s="23"/>
      <c r="G5" s="23"/>
      <c r="H5" s="23"/>
      <c r="I5" s="24"/>
      <c r="J5" s="23"/>
      <c r="K5" s="23"/>
      <c r="L5" s="24"/>
      <c r="M5" s="24"/>
      <c r="N5" s="23"/>
      <c r="O5" s="23"/>
      <c r="P5" s="23"/>
      <c r="Q5" s="24"/>
      <c r="R5" s="23"/>
      <c r="S5" s="23"/>
      <c r="T5" s="23"/>
      <c r="U5" s="24"/>
      <c r="V5" s="23"/>
      <c r="W5" s="21" t="s">
        <v>387</v>
      </c>
      <c r="X5" s="21" t="s">
        <v>388</v>
      </c>
    </row>
    <row r="6" spans="1:24" ht="16.5" customHeight="1" x14ac:dyDescent="0.15">
      <c r="A6" s="26" t="s">
        <v>389</v>
      </c>
      <c r="B6" s="26" t="s">
        <v>390</v>
      </c>
      <c r="C6" s="27"/>
      <c r="D6" s="29"/>
      <c r="E6" s="29"/>
      <c r="F6" s="29"/>
      <c r="G6" s="29"/>
      <c r="H6" s="29"/>
      <c r="I6" s="30"/>
      <c r="J6" s="29"/>
      <c r="K6" s="29"/>
      <c r="L6" s="30"/>
      <c r="M6" s="30"/>
      <c r="N6" s="29"/>
      <c r="O6" s="29"/>
      <c r="P6" s="29"/>
      <c r="Q6" s="30"/>
      <c r="R6" s="29"/>
      <c r="S6" s="29"/>
      <c r="T6" s="29"/>
      <c r="U6" s="30"/>
      <c r="V6" s="29"/>
      <c r="W6" s="32" t="s">
        <v>391</v>
      </c>
      <c r="X6" s="32" t="s">
        <v>392</v>
      </c>
    </row>
    <row r="7" spans="1:24" ht="16.5" customHeight="1" x14ac:dyDescent="0.15">
      <c r="A7" s="33">
        <v>15</v>
      </c>
      <c r="B7" s="33">
        <v>8191</v>
      </c>
      <c r="C7" s="34" t="s">
        <v>18127</v>
      </c>
      <c r="D7" s="72" t="s">
        <v>18128</v>
      </c>
      <c r="F7" s="57"/>
      <c r="G7" s="35"/>
      <c r="J7" s="43"/>
      <c r="K7" s="37"/>
      <c r="L7" s="38"/>
      <c r="M7" s="512"/>
      <c r="N7" s="57"/>
      <c r="O7" s="35"/>
      <c r="R7" s="57"/>
      <c r="S7" s="35"/>
      <c r="V7" s="57"/>
      <c r="W7" s="207">
        <f>ROUND((_15_同援日０．５*(1+_15・A早朝)),0)</f>
        <v>238</v>
      </c>
      <c r="X7" s="40" t="s">
        <v>395</v>
      </c>
    </row>
    <row r="8" spans="1:24" ht="16.5" customHeight="1" x14ac:dyDescent="0.15">
      <c r="A8" s="41">
        <v>15</v>
      </c>
      <c r="B8" s="41">
        <v>8192</v>
      </c>
      <c r="C8" s="74" t="s">
        <v>18129</v>
      </c>
      <c r="D8" s="72" t="s">
        <v>17555</v>
      </c>
      <c r="F8" s="57"/>
      <c r="G8" s="43"/>
      <c r="H8" s="37"/>
      <c r="I8" s="38"/>
      <c r="J8" s="299" t="s">
        <v>17556</v>
      </c>
      <c r="K8" s="45" t="s">
        <v>398</v>
      </c>
      <c r="L8" s="46">
        <v>1</v>
      </c>
      <c r="M8" s="512"/>
      <c r="N8" s="57"/>
      <c r="O8" s="35"/>
      <c r="R8" s="57"/>
      <c r="S8" s="35"/>
      <c r="V8" s="57"/>
      <c r="W8" s="208">
        <f>ROUND((ROUND((_15_同援日０．５*_15・２人),0)*(1+_15・A早朝)),0)</f>
        <v>238</v>
      </c>
      <c r="X8" s="48"/>
    </row>
    <row r="9" spans="1:24" ht="16.5" customHeight="1" x14ac:dyDescent="0.15">
      <c r="A9" s="41">
        <v>15</v>
      </c>
      <c r="B9" s="41">
        <v>8193</v>
      </c>
      <c r="C9" s="74" t="s">
        <v>18130</v>
      </c>
      <c r="D9" s="72"/>
      <c r="F9" s="57"/>
      <c r="G9" s="114" t="s">
        <v>17558</v>
      </c>
      <c r="H9" s="49"/>
      <c r="I9" s="50"/>
      <c r="J9" s="163"/>
      <c r="K9" s="45"/>
      <c r="L9" s="46"/>
      <c r="M9" s="512"/>
      <c r="N9" s="57"/>
      <c r="O9" s="35"/>
      <c r="R9" s="57"/>
      <c r="S9" s="35"/>
      <c r="V9" s="57"/>
      <c r="W9" s="208">
        <f>ROUND((ROUND((_15_同援日０．５*_15・基礎２),0)*(1+_15・A早朝)),0)</f>
        <v>214</v>
      </c>
      <c r="X9" s="48"/>
    </row>
    <row r="10" spans="1:24" ht="16.5" customHeight="1" x14ac:dyDescent="0.15">
      <c r="A10" s="41">
        <v>15</v>
      </c>
      <c r="B10" s="41">
        <v>8194</v>
      </c>
      <c r="C10" s="74" t="s">
        <v>18131</v>
      </c>
      <c r="D10" s="72"/>
      <c r="E10" s="168">
        <f>_15_同援日０．５</f>
        <v>190</v>
      </c>
      <c r="F10" s="57" t="s">
        <v>392</v>
      </c>
      <c r="G10" s="269" t="s">
        <v>17560</v>
      </c>
      <c r="H10" s="37" t="s">
        <v>398</v>
      </c>
      <c r="I10" s="38">
        <v>0.9</v>
      </c>
      <c r="J10" s="299" t="s">
        <v>17556</v>
      </c>
      <c r="K10" s="45" t="s">
        <v>398</v>
      </c>
      <c r="L10" s="46">
        <v>1</v>
      </c>
      <c r="M10" s="512"/>
      <c r="N10" s="57"/>
      <c r="O10" s="43"/>
      <c r="P10" s="37"/>
      <c r="Q10" s="38"/>
      <c r="R10" s="79"/>
      <c r="S10" s="35"/>
      <c r="V10" s="57"/>
      <c r="W10" s="208">
        <f>ROUND((ROUND((ROUND((_15_同援日０．５*_15・基礎２),0)*_15・２人),0)*(1+_15・A早朝)),0)</f>
        <v>214</v>
      </c>
      <c r="X10" s="48"/>
    </row>
    <row r="11" spans="1:24" ht="16.5" customHeight="1" x14ac:dyDescent="0.15">
      <c r="A11" s="41">
        <v>15</v>
      </c>
      <c r="B11" s="41">
        <v>8195</v>
      </c>
      <c r="C11" s="74" t="s">
        <v>18132</v>
      </c>
      <c r="D11" s="72"/>
      <c r="F11" s="57"/>
      <c r="G11" s="53"/>
      <c r="H11" s="49"/>
      <c r="I11" s="50"/>
      <c r="J11" s="163"/>
      <c r="K11" s="45"/>
      <c r="L11" s="46"/>
      <c r="M11" s="512"/>
      <c r="N11" s="57"/>
      <c r="O11" s="114" t="s">
        <v>17562</v>
      </c>
      <c r="P11" s="49"/>
      <c r="Q11" s="50"/>
      <c r="R11" s="115"/>
      <c r="S11" s="35"/>
      <c r="V11" s="57"/>
      <c r="W11" s="208">
        <f>ROUND((ROUND((_15_同援日０．５*(1+_15・A早朝)),0)*(1+_15・盲ろう)),0)</f>
        <v>298</v>
      </c>
      <c r="X11" s="48"/>
    </row>
    <row r="12" spans="1:24" ht="16.5" customHeight="1" x14ac:dyDescent="0.15">
      <c r="A12" s="41">
        <v>15</v>
      </c>
      <c r="B12" s="41">
        <v>8196</v>
      </c>
      <c r="C12" s="74" t="s">
        <v>18133</v>
      </c>
      <c r="D12" s="72"/>
      <c r="F12" s="57"/>
      <c r="G12" s="43"/>
      <c r="H12" s="37"/>
      <c r="I12" s="38"/>
      <c r="J12" s="299" t="s">
        <v>17556</v>
      </c>
      <c r="K12" s="45" t="s">
        <v>398</v>
      </c>
      <c r="L12" s="46">
        <v>1</v>
      </c>
      <c r="M12" s="512" t="s">
        <v>18134</v>
      </c>
      <c r="N12" s="57"/>
      <c r="O12" s="92" t="s">
        <v>17564</v>
      </c>
      <c r="R12" s="57"/>
      <c r="S12" s="35"/>
      <c r="V12" s="57"/>
      <c r="W12" s="208">
        <f>ROUND((ROUND((ROUND((_15_同援日０．５*_15・２人),0)*(1+_15・A早朝)),0)*(1+_15・盲ろう)),0)</f>
        <v>298</v>
      </c>
      <c r="X12" s="48"/>
    </row>
    <row r="13" spans="1:24" ht="16.5" customHeight="1" x14ac:dyDescent="0.15">
      <c r="A13" s="41">
        <v>15</v>
      </c>
      <c r="B13" s="41">
        <v>8197</v>
      </c>
      <c r="C13" s="74" t="s">
        <v>18135</v>
      </c>
      <c r="D13" s="72"/>
      <c r="F13" s="57"/>
      <c r="G13" s="114" t="s">
        <v>17558</v>
      </c>
      <c r="H13" s="49"/>
      <c r="I13" s="50"/>
      <c r="J13" s="163"/>
      <c r="K13" s="45"/>
      <c r="L13" s="46"/>
      <c r="M13" s="512"/>
      <c r="N13" s="513" t="s">
        <v>18136</v>
      </c>
      <c r="O13" s="35"/>
      <c r="P13" s="12" t="s">
        <v>398</v>
      </c>
      <c r="Q13" s="13">
        <v>0.25</v>
      </c>
      <c r="R13" s="57" t="s">
        <v>3575</v>
      </c>
      <c r="S13" s="35"/>
      <c r="V13" s="57"/>
      <c r="W13" s="208">
        <f>ROUND((ROUND((ROUND((_15_同援日０．５*_15・基礎２),0)*(1+_15・A早朝)),0)*(1+_15・盲ろう)),0)</f>
        <v>268</v>
      </c>
      <c r="X13" s="48"/>
    </row>
    <row r="14" spans="1:24" ht="16.5" customHeight="1" x14ac:dyDescent="0.15">
      <c r="A14" s="41">
        <v>15</v>
      </c>
      <c r="B14" s="41">
        <v>8198</v>
      </c>
      <c r="C14" s="74" t="s">
        <v>18137</v>
      </c>
      <c r="D14" s="72"/>
      <c r="F14" s="57"/>
      <c r="G14" s="269" t="s">
        <v>17560</v>
      </c>
      <c r="H14" s="37" t="s">
        <v>398</v>
      </c>
      <c r="I14" s="38">
        <v>0.9</v>
      </c>
      <c r="J14" s="299" t="s">
        <v>17556</v>
      </c>
      <c r="K14" s="45" t="s">
        <v>398</v>
      </c>
      <c r="L14" s="46">
        <v>1</v>
      </c>
      <c r="M14" s="512"/>
      <c r="N14" s="57"/>
      <c r="O14" s="43"/>
      <c r="P14" s="37"/>
      <c r="Q14" s="38"/>
      <c r="R14" s="79"/>
      <c r="S14" s="43"/>
      <c r="T14" s="37"/>
      <c r="U14" s="38"/>
      <c r="V14" s="79"/>
      <c r="W14" s="208">
        <f>ROUND((ROUND((ROUND((ROUND((_15_同援日０．５*_15・基礎２),0)*_15・２人),0)*(1+_15・A早朝)),0)*(1+_15・盲ろう)),0)</f>
        <v>268</v>
      </c>
      <c r="X14" s="48"/>
    </row>
    <row r="15" spans="1:24" ht="16.5" customHeight="1" x14ac:dyDescent="0.15">
      <c r="A15" s="41">
        <v>15</v>
      </c>
      <c r="B15" s="41">
        <v>8199</v>
      </c>
      <c r="C15" s="74" t="s">
        <v>18138</v>
      </c>
      <c r="D15" s="72"/>
      <c r="F15" s="57"/>
      <c r="G15" s="53"/>
      <c r="H15" s="49"/>
      <c r="I15" s="50"/>
      <c r="J15" s="163"/>
      <c r="K15" s="45"/>
      <c r="L15" s="46"/>
      <c r="M15" s="35" t="s">
        <v>398</v>
      </c>
      <c r="N15" s="234">
        <v>0.25</v>
      </c>
      <c r="O15" s="53"/>
      <c r="P15" s="49"/>
      <c r="Q15" s="50"/>
      <c r="R15" s="115"/>
      <c r="S15" s="53"/>
      <c r="T15" s="49"/>
      <c r="U15" s="50"/>
      <c r="V15" s="115"/>
      <c r="W15" s="208">
        <f>ROUND((ROUND((_15_同援日０．５*(1+_15・A早朝)),0)*(1+_15・区３)),0)</f>
        <v>286</v>
      </c>
      <c r="X15" s="48"/>
    </row>
    <row r="16" spans="1:24" ht="16.5" customHeight="1" x14ac:dyDescent="0.15">
      <c r="A16" s="41">
        <v>15</v>
      </c>
      <c r="B16" s="41">
        <v>8200</v>
      </c>
      <c r="C16" s="74" t="s">
        <v>18139</v>
      </c>
      <c r="D16" s="72"/>
      <c r="F16" s="57"/>
      <c r="G16" s="43"/>
      <c r="H16" s="37"/>
      <c r="I16" s="38"/>
      <c r="J16" s="299" t="s">
        <v>17556</v>
      </c>
      <c r="K16" s="45" t="s">
        <v>398</v>
      </c>
      <c r="L16" s="46">
        <v>1</v>
      </c>
      <c r="M16" s="512"/>
      <c r="N16" s="513" t="s">
        <v>3575</v>
      </c>
      <c r="O16" s="35"/>
      <c r="R16" s="57"/>
      <c r="S16" s="35"/>
      <c r="V16" s="57"/>
      <c r="W16" s="208">
        <f>ROUND((ROUND((ROUND((_15_同援日０．５*_15・２人),0)*(1+_15・A早朝)),0)*(1+_15・区３)),0)</f>
        <v>286</v>
      </c>
      <c r="X16" s="48"/>
    </row>
    <row r="17" spans="1:24" ht="16.5" customHeight="1" x14ac:dyDescent="0.15">
      <c r="A17" s="41">
        <v>15</v>
      </c>
      <c r="B17" s="41">
        <v>8201</v>
      </c>
      <c r="C17" s="74" t="s">
        <v>18140</v>
      </c>
      <c r="D17" s="72"/>
      <c r="F17" s="57"/>
      <c r="G17" s="114" t="s">
        <v>17558</v>
      </c>
      <c r="H17" s="49"/>
      <c r="I17" s="50"/>
      <c r="J17" s="163"/>
      <c r="K17" s="45"/>
      <c r="L17" s="46"/>
      <c r="M17" s="512"/>
      <c r="N17" s="57"/>
      <c r="O17" s="35"/>
      <c r="R17" s="57"/>
      <c r="S17" s="72" t="s">
        <v>17570</v>
      </c>
      <c r="V17" s="57"/>
      <c r="W17" s="208">
        <f>ROUND((ROUND((ROUND((_15_同援日０．５*_15・基礎２),0)*(1+_15・A早朝)),0)*(1+_15・区３)),0)</f>
        <v>257</v>
      </c>
      <c r="X17" s="48"/>
    </row>
    <row r="18" spans="1:24" ht="16.5" customHeight="1" x14ac:dyDescent="0.15">
      <c r="A18" s="41">
        <v>15</v>
      </c>
      <c r="B18" s="41">
        <v>8202</v>
      </c>
      <c r="C18" s="74" t="s">
        <v>18141</v>
      </c>
      <c r="D18" s="72"/>
      <c r="F18" s="57"/>
      <c r="G18" s="269" t="s">
        <v>17560</v>
      </c>
      <c r="H18" s="37" t="s">
        <v>398</v>
      </c>
      <c r="I18" s="38">
        <v>0.9</v>
      </c>
      <c r="J18" s="299" t="s">
        <v>17556</v>
      </c>
      <c r="K18" s="45" t="s">
        <v>398</v>
      </c>
      <c r="L18" s="46">
        <v>1</v>
      </c>
      <c r="M18" s="512"/>
      <c r="N18" s="57"/>
      <c r="O18" s="43"/>
      <c r="P18" s="37"/>
      <c r="Q18" s="38"/>
      <c r="R18" s="79"/>
      <c r="S18" s="72" t="s">
        <v>17572</v>
      </c>
      <c r="V18" s="57"/>
      <c r="W18" s="208">
        <f>ROUND((ROUND((ROUND((ROUND((_15_同援日０．５*_15・基礎２),0)*_15・２人),0)*(1+_15・A早朝)),0)*(1+_15・区３)),0)</f>
        <v>257</v>
      </c>
      <c r="X18" s="48"/>
    </row>
    <row r="19" spans="1:24" ht="16.5" customHeight="1" x14ac:dyDescent="0.15">
      <c r="A19" s="41">
        <v>15</v>
      </c>
      <c r="B19" s="41">
        <v>8203</v>
      </c>
      <c r="C19" s="74" t="s">
        <v>18142</v>
      </c>
      <c r="D19" s="72"/>
      <c r="F19" s="57"/>
      <c r="G19" s="53"/>
      <c r="H19" s="49"/>
      <c r="I19" s="50"/>
      <c r="J19" s="163"/>
      <c r="K19" s="45"/>
      <c r="L19" s="46"/>
      <c r="M19" s="512"/>
      <c r="N19" s="57"/>
      <c r="O19" s="114" t="s">
        <v>17562</v>
      </c>
      <c r="P19" s="49"/>
      <c r="Q19" s="50"/>
      <c r="R19" s="115"/>
      <c r="S19" s="35"/>
      <c r="T19" s="12" t="s">
        <v>398</v>
      </c>
      <c r="U19" s="13">
        <v>0.2</v>
      </c>
      <c r="V19" s="57" t="s">
        <v>3575</v>
      </c>
      <c r="W19" s="208">
        <f>ROUND((ROUND((ROUND((_15_同援日０．５*(1+_15・A早朝)),0)*(1+_15・盲ろう)),0)*(1+_15・区３)),0)</f>
        <v>358</v>
      </c>
      <c r="X19" s="48"/>
    </row>
    <row r="20" spans="1:24" ht="16.5" customHeight="1" x14ac:dyDescent="0.15">
      <c r="A20" s="41">
        <v>15</v>
      </c>
      <c r="B20" s="41">
        <v>8204</v>
      </c>
      <c r="C20" s="74" t="s">
        <v>18143</v>
      </c>
      <c r="D20" s="72"/>
      <c r="F20" s="57"/>
      <c r="G20" s="43"/>
      <c r="H20" s="37"/>
      <c r="I20" s="38"/>
      <c r="J20" s="299" t="s">
        <v>17556</v>
      </c>
      <c r="K20" s="45" t="s">
        <v>398</v>
      </c>
      <c r="L20" s="46">
        <v>1</v>
      </c>
      <c r="M20" s="512"/>
      <c r="N20" s="57"/>
      <c r="O20" s="92" t="s">
        <v>17564</v>
      </c>
      <c r="R20" s="57"/>
      <c r="S20" s="35"/>
      <c r="V20" s="57"/>
      <c r="W20" s="208">
        <f>ROUND((ROUND((ROUND((ROUND((_15_同援日０．５*_15・２人),0)*(1+_15・A早朝)),0)*(1+_15・盲ろう)),0)*(1+_15・区３)),0)</f>
        <v>358</v>
      </c>
      <c r="X20" s="48"/>
    </row>
    <row r="21" spans="1:24" ht="16.5" customHeight="1" x14ac:dyDescent="0.15">
      <c r="A21" s="41">
        <v>15</v>
      </c>
      <c r="B21" s="41">
        <v>8205</v>
      </c>
      <c r="C21" s="74" t="s">
        <v>18144</v>
      </c>
      <c r="D21" s="72"/>
      <c r="F21" s="57"/>
      <c r="G21" s="114" t="s">
        <v>17558</v>
      </c>
      <c r="H21" s="49"/>
      <c r="I21" s="50"/>
      <c r="J21" s="163"/>
      <c r="K21" s="45"/>
      <c r="L21" s="46"/>
      <c r="M21" s="512"/>
      <c r="N21" s="57"/>
      <c r="O21" s="35"/>
      <c r="P21" s="12" t="s">
        <v>398</v>
      </c>
      <c r="Q21" s="13">
        <v>0.25</v>
      </c>
      <c r="R21" s="57" t="s">
        <v>3575</v>
      </c>
      <c r="S21" s="35"/>
      <c r="V21" s="57"/>
      <c r="W21" s="208">
        <f>ROUND((ROUND((ROUND((ROUND((_15_同援日０．５*_15・基礎２),0)*(1+_15・A早朝)),0)*(1+_15・盲ろう)),0)*(1+_15・区３)),0)</f>
        <v>322</v>
      </c>
      <c r="X21" s="48"/>
    </row>
    <row r="22" spans="1:24" ht="16.5" customHeight="1" x14ac:dyDescent="0.15">
      <c r="A22" s="41">
        <v>15</v>
      </c>
      <c r="B22" s="41">
        <v>8206</v>
      </c>
      <c r="C22" s="74" t="s">
        <v>18145</v>
      </c>
      <c r="D22" s="72"/>
      <c r="F22" s="57"/>
      <c r="G22" s="269" t="s">
        <v>17560</v>
      </c>
      <c r="H22" s="37" t="s">
        <v>398</v>
      </c>
      <c r="I22" s="38">
        <v>0.9</v>
      </c>
      <c r="J22" s="299" t="s">
        <v>17556</v>
      </c>
      <c r="K22" s="45" t="s">
        <v>398</v>
      </c>
      <c r="L22" s="46">
        <v>1</v>
      </c>
      <c r="M22" s="512"/>
      <c r="N22" s="57"/>
      <c r="O22" s="43"/>
      <c r="P22" s="37"/>
      <c r="Q22" s="38"/>
      <c r="R22" s="79"/>
      <c r="S22" s="43"/>
      <c r="T22" s="37"/>
      <c r="U22" s="38"/>
      <c r="V22" s="79"/>
      <c r="W22" s="208">
        <f>ROUND((ROUND((ROUND((ROUND((ROUND((_15_同援日０．５*_15・基礎２),0)*_15・２人),0)*(1+_15・A早朝)),0)*(1+_15・盲ろう)),0)*(1+_15・区３)),0)</f>
        <v>322</v>
      </c>
      <c r="X22" s="48"/>
    </row>
    <row r="23" spans="1:24" ht="16.5" customHeight="1" x14ac:dyDescent="0.15">
      <c r="A23" s="41">
        <v>15</v>
      </c>
      <c r="B23" s="41">
        <v>8207</v>
      </c>
      <c r="C23" s="74" t="s">
        <v>18146</v>
      </c>
      <c r="D23" s="72"/>
      <c r="F23" s="57"/>
      <c r="G23" s="53"/>
      <c r="H23" s="49"/>
      <c r="I23" s="50"/>
      <c r="J23" s="163"/>
      <c r="K23" s="45"/>
      <c r="L23" s="46"/>
      <c r="M23" s="512"/>
      <c r="N23" s="57"/>
      <c r="O23" s="53"/>
      <c r="P23" s="49"/>
      <c r="Q23" s="50"/>
      <c r="R23" s="115"/>
      <c r="S23" s="53"/>
      <c r="T23" s="49"/>
      <c r="U23" s="50"/>
      <c r="V23" s="115"/>
      <c r="W23" s="208">
        <f>ROUND((ROUND((_15_同援日０．５*(1+_15・A早朝)),0)*(1+_15・区４)),0)</f>
        <v>333</v>
      </c>
      <c r="X23" s="48"/>
    </row>
    <row r="24" spans="1:24" ht="16.5" customHeight="1" x14ac:dyDescent="0.15">
      <c r="A24" s="41">
        <v>15</v>
      </c>
      <c r="B24" s="41">
        <v>8208</v>
      </c>
      <c r="C24" s="74" t="s">
        <v>18147</v>
      </c>
      <c r="D24" s="72"/>
      <c r="F24" s="57"/>
      <c r="G24" s="43"/>
      <c r="H24" s="37"/>
      <c r="I24" s="38"/>
      <c r="J24" s="299" t="s">
        <v>17556</v>
      </c>
      <c r="K24" s="45" t="s">
        <v>398</v>
      </c>
      <c r="L24" s="46">
        <v>1</v>
      </c>
      <c r="M24" s="512"/>
      <c r="N24" s="57"/>
      <c r="O24" s="35"/>
      <c r="R24" s="57"/>
      <c r="S24" s="35"/>
      <c r="V24" s="57"/>
      <c r="W24" s="208">
        <f>ROUND((ROUND((ROUND((_15_同援日０．５*_15・２人),0)*(1+_15・A早朝)),0)*(1+_15・区４)),0)</f>
        <v>333</v>
      </c>
      <c r="X24" s="48"/>
    </row>
    <row r="25" spans="1:24" ht="16.5" customHeight="1" x14ac:dyDescent="0.15">
      <c r="A25" s="41">
        <v>15</v>
      </c>
      <c r="B25" s="41">
        <v>8209</v>
      </c>
      <c r="C25" s="74" t="s">
        <v>18148</v>
      </c>
      <c r="D25" s="72"/>
      <c r="F25" s="57"/>
      <c r="G25" s="114" t="s">
        <v>17558</v>
      </c>
      <c r="H25" s="49"/>
      <c r="I25" s="50"/>
      <c r="J25" s="163"/>
      <c r="K25" s="45"/>
      <c r="L25" s="46"/>
      <c r="M25" s="512"/>
      <c r="N25" s="57"/>
      <c r="O25" s="35"/>
      <c r="R25" s="57"/>
      <c r="S25" s="72" t="s">
        <v>17580</v>
      </c>
      <c r="V25" s="57"/>
      <c r="W25" s="208">
        <f>ROUND((ROUND((ROUND((_15_同援日０．５*_15・基礎２),0)*(1+_15・A早朝)),0)*(1+_15・区４)),0)</f>
        <v>300</v>
      </c>
      <c r="X25" s="48"/>
    </row>
    <row r="26" spans="1:24" ht="16.5" customHeight="1" x14ac:dyDescent="0.15">
      <c r="A26" s="41">
        <v>15</v>
      </c>
      <c r="B26" s="41">
        <v>8210</v>
      </c>
      <c r="C26" s="74" t="s">
        <v>18149</v>
      </c>
      <c r="D26" s="72"/>
      <c r="F26" s="57"/>
      <c r="G26" s="269" t="s">
        <v>17560</v>
      </c>
      <c r="H26" s="37" t="s">
        <v>398</v>
      </c>
      <c r="I26" s="38">
        <v>0.9</v>
      </c>
      <c r="J26" s="299" t="s">
        <v>17556</v>
      </c>
      <c r="K26" s="45" t="s">
        <v>398</v>
      </c>
      <c r="L26" s="46">
        <v>1</v>
      </c>
      <c r="M26" s="512"/>
      <c r="N26" s="57"/>
      <c r="O26" s="43"/>
      <c r="P26" s="37"/>
      <c r="Q26" s="38"/>
      <c r="R26" s="79"/>
      <c r="S26" s="72" t="s">
        <v>17572</v>
      </c>
      <c r="V26" s="57"/>
      <c r="W26" s="208">
        <f>ROUND((ROUND((ROUND((ROUND((_15_同援日０．５*_15・基礎２),0)*_15・２人),0)*(1+_15・A早朝)),0)*(1+_15・区４)),0)</f>
        <v>300</v>
      </c>
      <c r="X26" s="48"/>
    </row>
    <row r="27" spans="1:24" ht="16.5" customHeight="1" x14ac:dyDescent="0.15">
      <c r="A27" s="41">
        <v>15</v>
      </c>
      <c r="B27" s="41">
        <v>8211</v>
      </c>
      <c r="C27" s="74" t="s">
        <v>18150</v>
      </c>
      <c r="D27" s="72"/>
      <c r="F27" s="57"/>
      <c r="G27" s="53"/>
      <c r="H27" s="49"/>
      <c r="I27" s="50"/>
      <c r="J27" s="163"/>
      <c r="K27" s="45"/>
      <c r="L27" s="46"/>
      <c r="M27" s="512"/>
      <c r="N27" s="57"/>
      <c r="O27" s="114" t="s">
        <v>17562</v>
      </c>
      <c r="P27" s="49"/>
      <c r="Q27" s="50"/>
      <c r="R27" s="115"/>
      <c r="S27" s="35"/>
      <c r="T27" s="12" t="s">
        <v>398</v>
      </c>
      <c r="U27" s="13">
        <v>0.4</v>
      </c>
      <c r="V27" s="57" t="s">
        <v>3575</v>
      </c>
      <c r="W27" s="208">
        <f>ROUND((ROUND((ROUND((_15_同援日０．５*(1+_15・A早朝)),0)*(1+_15・盲ろう)),0)*(1+_15・区４)),0)</f>
        <v>417</v>
      </c>
      <c r="X27" s="48"/>
    </row>
    <row r="28" spans="1:24" ht="16.5" customHeight="1" x14ac:dyDescent="0.15">
      <c r="A28" s="41">
        <v>15</v>
      </c>
      <c r="B28" s="41">
        <v>8212</v>
      </c>
      <c r="C28" s="74" t="s">
        <v>18151</v>
      </c>
      <c r="D28" s="72"/>
      <c r="F28" s="57"/>
      <c r="G28" s="43"/>
      <c r="H28" s="37"/>
      <c r="I28" s="38"/>
      <c r="J28" s="299" t="s">
        <v>17556</v>
      </c>
      <c r="K28" s="45" t="s">
        <v>398</v>
      </c>
      <c r="L28" s="46">
        <v>1</v>
      </c>
      <c r="M28" s="512"/>
      <c r="N28" s="57"/>
      <c r="O28" s="92" t="s">
        <v>17564</v>
      </c>
      <c r="R28" s="57"/>
      <c r="S28" s="35"/>
      <c r="V28" s="57"/>
      <c r="W28" s="208">
        <f>ROUND((ROUND((ROUND((ROUND((_15_同援日０．５*_15・２人),0)*(1+_15・A早朝)),0)*(1+_15・盲ろう)),0)*(1+_15・区４)),0)</f>
        <v>417</v>
      </c>
      <c r="X28" s="48"/>
    </row>
    <row r="29" spans="1:24" ht="16.5" customHeight="1" x14ac:dyDescent="0.15">
      <c r="A29" s="41">
        <v>15</v>
      </c>
      <c r="B29" s="41">
        <v>8213</v>
      </c>
      <c r="C29" s="74" t="s">
        <v>18152</v>
      </c>
      <c r="D29" s="72"/>
      <c r="F29" s="57"/>
      <c r="G29" s="114" t="s">
        <v>17558</v>
      </c>
      <c r="H29" s="49"/>
      <c r="I29" s="50"/>
      <c r="J29" s="163"/>
      <c r="K29" s="45"/>
      <c r="L29" s="46"/>
      <c r="M29" s="512"/>
      <c r="N29" s="57"/>
      <c r="O29" s="35"/>
      <c r="P29" s="12" t="s">
        <v>398</v>
      </c>
      <c r="Q29" s="13">
        <v>0.25</v>
      </c>
      <c r="R29" s="57" t="s">
        <v>3575</v>
      </c>
      <c r="S29" s="35"/>
      <c r="V29" s="57"/>
      <c r="W29" s="208">
        <f>ROUND((ROUND((ROUND((ROUND((_15_同援日０．５*_15・基礎２),0)*(1+_15・A早朝)),0)*(1+_15・盲ろう)),0)*(1+_15・区４)),0)</f>
        <v>375</v>
      </c>
      <c r="X29" s="48"/>
    </row>
    <row r="30" spans="1:24" ht="16.5" customHeight="1" x14ac:dyDescent="0.15">
      <c r="A30" s="41">
        <v>15</v>
      </c>
      <c r="B30" s="41">
        <v>8214</v>
      </c>
      <c r="C30" s="74" t="s">
        <v>18153</v>
      </c>
      <c r="D30" s="122"/>
      <c r="E30" s="37"/>
      <c r="F30" s="79"/>
      <c r="G30" s="269" t="s">
        <v>17560</v>
      </c>
      <c r="H30" s="37" t="s">
        <v>398</v>
      </c>
      <c r="I30" s="38">
        <v>0.9</v>
      </c>
      <c r="J30" s="299" t="s">
        <v>17556</v>
      </c>
      <c r="K30" s="45" t="s">
        <v>398</v>
      </c>
      <c r="L30" s="46">
        <v>1</v>
      </c>
      <c r="M30" s="512"/>
      <c r="N30" s="57"/>
      <c r="O30" s="43"/>
      <c r="P30" s="37"/>
      <c r="Q30" s="38"/>
      <c r="R30" s="79"/>
      <c r="S30" s="43"/>
      <c r="T30" s="37"/>
      <c r="U30" s="38"/>
      <c r="V30" s="79"/>
      <c r="W30" s="208">
        <f>ROUND((ROUND((ROUND((ROUND((ROUND((_15_同援日０．５*_15・基礎２),0)*_15・２人),0)*(1+_15・A早朝)),0)*(1+_15・盲ろう)),0)*(1+_15・区４)),0)</f>
        <v>375</v>
      </c>
      <c r="X30" s="48"/>
    </row>
    <row r="31" spans="1:24" ht="16.5" customHeight="1" x14ac:dyDescent="0.15">
      <c r="A31" s="41">
        <v>15</v>
      </c>
      <c r="B31" s="41">
        <v>8215</v>
      </c>
      <c r="C31" s="74" t="s">
        <v>18154</v>
      </c>
      <c r="D31" s="114" t="s">
        <v>18155</v>
      </c>
      <c r="E31" s="49"/>
      <c r="F31" s="115"/>
      <c r="G31" s="53"/>
      <c r="H31" s="49"/>
      <c r="I31" s="50"/>
      <c r="J31" s="163"/>
      <c r="K31" s="45"/>
      <c r="L31" s="46"/>
      <c r="M31" s="512"/>
      <c r="N31" s="57"/>
      <c r="O31" s="53"/>
      <c r="P31" s="49"/>
      <c r="Q31" s="50"/>
      <c r="R31" s="115"/>
      <c r="S31" s="53"/>
      <c r="T31" s="49"/>
      <c r="U31" s="50"/>
      <c r="V31" s="115"/>
      <c r="W31" s="208">
        <f>ROUND((_15_同援日１．０*(1+_15・A早朝)),0)</f>
        <v>375</v>
      </c>
      <c r="X31" s="48"/>
    </row>
    <row r="32" spans="1:24" ht="16.5" customHeight="1" x14ac:dyDescent="0.15">
      <c r="A32" s="41">
        <v>15</v>
      </c>
      <c r="B32" s="41">
        <v>8216</v>
      </c>
      <c r="C32" s="74" t="s">
        <v>18156</v>
      </c>
      <c r="D32" s="72" t="s">
        <v>17589</v>
      </c>
      <c r="F32" s="57"/>
      <c r="G32" s="43"/>
      <c r="H32" s="37"/>
      <c r="I32" s="38"/>
      <c r="J32" s="299" t="s">
        <v>17556</v>
      </c>
      <c r="K32" s="45" t="s">
        <v>398</v>
      </c>
      <c r="L32" s="46">
        <v>1</v>
      </c>
      <c r="M32" s="512"/>
      <c r="N32" s="57"/>
      <c r="O32" s="35"/>
      <c r="R32" s="57"/>
      <c r="S32" s="35"/>
      <c r="V32" s="57"/>
      <c r="W32" s="208">
        <f>ROUND((ROUND((_15_同援日１．０*_15・２人),0)*(1+_15・A早朝)),0)</f>
        <v>375</v>
      </c>
      <c r="X32" s="48"/>
    </row>
    <row r="33" spans="1:24" ht="16.5" customHeight="1" x14ac:dyDescent="0.15">
      <c r="A33" s="41">
        <v>15</v>
      </c>
      <c r="B33" s="41">
        <v>8217</v>
      </c>
      <c r="C33" s="74" t="s">
        <v>18157</v>
      </c>
      <c r="D33" s="72" t="s">
        <v>17591</v>
      </c>
      <c r="F33" s="57"/>
      <c r="G33" s="114" t="s">
        <v>17558</v>
      </c>
      <c r="H33" s="49"/>
      <c r="I33" s="50"/>
      <c r="J33" s="163"/>
      <c r="K33" s="45"/>
      <c r="L33" s="46"/>
      <c r="M33" s="512"/>
      <c r="N33" s="57"/>
      <c r="O33" s="35"/>
      <c r="R33" s="57"/>
      <c r="S33" s="35"/>
      <c r="V33" s="57"/>
      <c r="W33" s="208">
        <f>ROUND((ROUND((_15_同援日１．０*_15・基礎２),0)*(1+_15・A早朝)),0)</f>
        <v>338</v>
      </c>
      <c r="X33" s="48"/>
    </row>
    <row r="34" spans="1:24" ht="16.5" customHeight="1" x14ac:dyDescent="0.15">
      <c r="A34" s="41">
        <v>15</v>
      </c>
      <c r="B34" s="41">
        <v>8218</v>
      </c>
      <c r="C34" s="74" t="s">
        <v>18158</v>
      </c>
      <c r="D34" s="72"/>
      <c r="E34" s="168">
        <f>_15_同援日１．０</f>
        <v>300</v>
      </c>
      <c r="F34" s="57" t="s">
        <v>392</v>
      </c>
      <c r="G34" s="269" t="s">
        <v>17560</v>
      </c>
      <c r="H34" s="37" t="s">
        <v>398</v>
      </c>
      <c r="I34" s="38">
        <v>0.9</v>
      </c>
      <c r="J34" s="299" t="s">
        <v>17556</v>
      </c>
      <c r="K34" s="45" t="s">
        <v>398</v>
      </c>
      <c r="L34" s="46">
        <v>1</v>
      </c>
      <c r="M34" s="512"/>
      <c r="N34" s="57"/>
      <c r="O34" s="43"/>
      <c r="P34" s="37"/>
      <c r="Q34" s="38"/>
      <c r="R34" s="79"/>
      <c r="S34" s="35"/>
      <c r="V34" s="57"/>
      <c r="W34" s="208">
        <f>ROUND((ROUND((ROUND((_15_同援日１．０*_15・基礎２),0)*_15・２人),0)*(1+_15・A早朝)),0)</f>
        <v>338</v>
      </c>
      <c r="X34" s="48"/>
    </row>
    <row r="35" spans="1:24" ht="16.5" customHeight="1" x14ac:dyDescent="0.15">
      <c r="A35" s="41">
        <v>15</v>
      </c>
      <c r="B35" s="41">
        <v>8219</v>
      </c>
      <c r="C35" s="74" t="s">
        <v>18159</v>
      </c>
      <c r="D35" s="72"/>
      <c r="F35" s="57"/>
      <c r="G35" s="53"/>
      <c r="H35" s="49"/>
      <c r="I35" s="50"/>
      <c r="J35" s="163"/>
      <c r="K35" s="45"/>
      <c r="L35" s="46"/>
      <c r="M35" s="512"/>
      <c r="N35" s="57"/>
      <c r="O35" s="114" t="s">
        <v>17562</v>
      </c>
      <c r="P35" s="49"/>
      <c r="Q35" s="50"/>
      <c r="R35" s="115"/>
      <c r="S35" s="35"/>
      <c r="V35" s="57"/>
      <c r="W35" s="208">
        <f>ROUND((ROUND((_15_同援日１．０*(1+_15・A早朝)),0)*(1+_15・盲ろう)),0)</f>
        <v>469</v>
      </c>
      <c r="X35" s="48"/>
    </row>
    <row r="36" spans="1:24" ht="16.5" customHeight="1" x14ac:dyDescent="0.15">
      <c r="A36" s="41">
        <v>15</v>
      </c>
      <c r="B36" s="41">
        <v>8220</v>
      </c>
      <c r="C36" s="74" t="s">
        <v>18160</v>
      </c>
      <c r="D36" s="72"/>
      <c r="F36" s="57"/>
      <c r="G36" s="43"/>
      <c r="H36" s="37"/>
      <c r="I36" s="38"/>
      <c r="J36" s="299" t="s">
        <v>17556</v>
      </c>
      <c r="K36" s="45" t="s">
        <v>398</v>
      </c>
      <c r="L36" s="46">
        <v>1</v>
      </c>
      <c r="M36" s="512"/>
      <c r="N36" s="57"/>
      <c r="O36" s="92" t="s">
        <v>17564</v>
      </c>
      <c r="R36" s="57"/>
      <c r="S36" s="35"/>
      <c r="V36" s="57"/>
      <c r="W36" s="208">
        <f>ROUND((ROUND((ROUND((_15_同援日１．０*_15・２人),0)*(1+_15・A早朝)),0)*(1+_15・盲ろう)),0)</f>
        <v>469</v>
      </c>
      <c r="X36" s="48"/>
    </row>
    <row r="37" spans="1:24" ht="16.5" customHeight="1" x14ac:dyDescent="0.15">
      <c r="A37" s="41">
        <v>15</v>
      </c>
      <c r="B37" s="41">
        <v>8221</v>
      </c>
      <c r="C37" s="74" t="s">
        <v>18161</v>
      </c>
      <c r="D37" s="72"/>
      <c r="F37" s="57"/>
      <c r="G37" s="114" t="s">
        <v>17558</v>
      </c>
      <c r="H37" s="49"/>
      <c r="I37" s="50"/>
      <c r="J37" s="163"/>
      <c r="K37" s="45"/>
      <c r="L37" s="46"/>
      <c r="M37" s="512"/>
      <c r="N37" s="57"/>
      <c r="O37" s="35"/>
      <c r="P37" s="12" t="s">
        <v>398</v>
      </c>
      <c r="Q37" s="13">
        <v>0.25</v>
      </c>
      <c r="R37" s="57" t="s">
        <v>3575</v>
      </c>
      <c r="S37" s="35"/>
      <c r="V37" s="57"/>
      <c r="W37" s="208">
        <f>ROUND((ROUND((ROUND((_15_同援日１．０*_15・基礎２),0)*(1+_15・A早朝)),0)*(1+_15・盲ろう)),0)</f>
        <v>423</v>
      </c>
      <c r="X37" s="48"/>
    </row>
    <row r="38" spans="1:24" ht="16.5" customHeight="1" x14ac:dyDescent="0.15">
      <c r="A38" s="41">
        <v>15</v>
      </c>
      <c r="B38" s="41">
        <v>8222</v>
      </c>
      <c r="C38" s="74" t="s">
        <v>18162</v>
      </c>
      <c r="D38" s="72"/>
      <c r="F38" s="57"/>
      <c r="G38" s="269" t="s">
        <v>17560</v>
      </c>
      <c r="H38" s="37" t="s">
        <v>398</v>
      </c>
      <c r="I38" s="38">
        <v>0.9</v>
      </c>
      <c r="J38" s="299" t="s">
        <v>17556</v>
      </c>
      <c r="K38" s="45" t="s">
        <v>398</v>
      </c>
      <c r="L38" s="46">
        <v>1</v>
      </c>
      <c r="M38" s="512"/>
      <c r="N38" s="57"/>
      <c r="O38" s="43"/>
      <c r="P38" s="37"/>
      <c r="Q38" s="38"/>
      <c r="R38" s="79"/>
      <c r="S38" s="43"/>
      <c r="T38" s="37"/>
      <c r="U38" s="38"/>
      <c r="V38" s="79"/>
      <c r="W38" s="208">
        <f>ROUND((ROUND((ROUND((ROUND((_15_同援日１．０*_15・基礎２),0)*_15・２人),0)*(1+_15・A早朝)),0)*(1+_15・盲ろう)),0)</f>
        <v>423</v>
      </c>
      <c r="X38" s="48"/>
    </row>
    <row r="39" spans="1:24" ht="16.5" customHeight="1" x14ac:dyDescent="0.15">
      <c r="A39" s="41">
        <v>15</v>
      </c>
      <c r="B39" s="41">
        <v>8223</v>
      </c>
      <c r="C39" s="74" t="s">
        <v>18163</v>
      </c>
      <c r="D39" s="72"/>
      <c r="F39" s="57"/>
      <c r="G39" s="53"/>
      <c r="H39" s="49"/>
      <c r="I39" s="50"/>
      <c r="J39" s="163"/>
      <c r="K39" s="45"/>
      <c r="L39" s="46"/>
      <c r="M39" s="512"/>
      <c r="N39" s="57"/>
      <c r="O39" s="53"/>
      <c r="P39" s="49"/>
      <c r="Q39" s="50"/>
      <c r="R39" s="115"/>
      <c r="S39" s="53"/>
      <c r="T39" s="49"/>
      <c r="U39" s="50"/>
      <c r="V39" s="115"/>
      <c r="W39" s="208">
        <f>ROUND((ROUND((_15_同援日１．０*(1+_15・A早朝)),0)*(1+_15・区３)),0)</f>
        <v>450</v>
      </c>
      <c r="X39" s="48"/>
    </row>
    <row r="40" spans="1:24" ht="16.5" customHeight="1" x14ac:dyDescent="0.15">
      <c r="A40" s="41">
        <v>15</v>
      </c>
      <c r="B40" s="41">
        <v>8224</v>
      </c>
      <c r="C40" s="74" t="s">
        <v>18164</v>
      </c>
      <c r="D40" s="72"/>
      <c r="F40" s="57"/>
      <c r="G40" s="43"/>
      <c r="H40" s="37"/>
      <c r="I40" s="38"/>
      <c r="J40" s="299" t="s">
        <v>17556</v>
      </c>
      <c r="K40" s="45" t="s">
        <v>398</v>
      </c>
      <c r="L40" s="46">
        <v>1</v>
      </c>
      <c r="M40" s="512"/>
      <c r="N40" s="57"/>
      <c r="O40" s="35"/>
      <c r="R40" s="57"/>
      <c r="S40" s="35"/>
      <c r="V40" s="57"/>
      <c r="W40" s="208">
        <f>ROUND((ROUND((ROUND((_15_同援日１．０*_15・２人),0)*(1+_15・A早朝)),0)*(1+_15・区３)),0)</f>
        <v>450</v>
      </c>
      <c r="X40" s="48"/>
    </row>
    <row r="41" spans="1:24" ht="16.5" customHeight="1" x14ac:dyDescent="0.15">
      <c r="A41" s="41">
        <v>15</v>
      </c>
      <c r="B41" s="41">
        <v>8225</v>
      </c>
      <c r="C41" s="74" t="s">
        <v>18165</v>
      </c>
      <c r="D41" s="72"/>
      <c r="F41" s="57"/>
      <c r="G41" s="114" t="s">
        <v>17558</v>
      </c>
      <c r="H41" s="49"/>
      <c r="I41" s="50"/>
      <c r="J41" s="163"/>
      <c r="K41" s="45"/>
      <c r="L41" s="46"/>
      <c r="M41" s="512"/>
      <c r="N41" s="57"/>
      <c r="O41" s="35"/>
      <c r="R41" s="57"/>
      <c r="S41" s="72" t="s">
        <v>17570</v>
      </c>
      <c r="V41" s="57"/>
      <c r="W41" s="208">
        <f>ROUND((ROUND((ROUND((_15_同援日１．０*_15・基礎２),0)*(1+_15・A早朝)),0)*(1+_15・区３)),0)</f>
        <v>406</v>
      </c>
      <c r="X41" s="48"/>
    </row>
    <row r="42" spans="1:24" ht="16.5" customHeight="1" x14ac:dyDescent="0.15">
      <c r="A42" s="41">
        <v>15</v>
      </c>
      <c r="B42" s="41">
        <v>8226</v>
      </c>
      <c r="C42" s="74" t="s">
        <v>18166</v>
      </c>
      <c r="D42" s="72"/>
      <c r="F42" s="57"/>
      <c r="G42" s="269" t="s">
        <v>17560</v>
      </c>
      <c r="H42" s="37" t="s">
        <v>398</v>
      </c>
      <c r="I42" s="38">
        <v>0.9</v>
      </c>
      <c r="J42" s="299" t="s">
        <v>17556</v>
      </c>
      <c r="K42" s="45" t="s">
        <v>398</v>
      </c>
      <c r="L42" s="46">
        <v>1</v>
      </c>
      <c r="M42" s="512"/>
      <c r="N42" s="57"/>
      <c r="O42" s="43"/>
      <c r="P42" s="37"/>
      <c r="Q42" s="38"/>
      <c r="R42" s="79"/>
      <c r="S42" s="72" t="s">
        <v>17572</v>
      </c>
      <c r="V42" s="57"/>
      <c r="W42" s="208">
        <f>ROUND((ROUND((ROUND((ROUND((_15_同援日１．０*_15・基礎２),0)*_15・２人),0)*(1+_15・A早朝)),0)*(1+_15・区３)),0)</f>
        <v>406</v>
      </c>
      <c r="X42" s="48"/>
    </row>
    <row r="43" spans="1:24" ht="16.5" customHeight="1" x14ac:dyDescent="0.15">
      <c r="A43" s="41">
        <v>15</v>
      </c>
      <c r="B43" s="41">
        <v>8227</v>
      </c>
      <c r="C43" s="74" t="s">
        <v>18167</v>
      </c>
      <c r="D43" s="72"/>
      <c r="F43" s="57"/>
      <c r="G43" s="53"/>
      <c r="H43" s="49"/>
      <c r="I43" s="50"/>
      <c r="J43" s="163"/>
      <c r="K43" s="45"/>
      <c r="L43" s="46"/>
      <c r="M43" s="512"/>
      <c r="N43" s="57"/>
      <c r="O43" s="114" t="s">
        <v>17562</v>
      </c>
      <c r="P43" s="49"/>
      <c r="Q43" s="50"/>
      <c r="R43" s="115"/>
      <c r="S43" s="35"/>
      <c r="T43" s="12" t="s">
        <v>398</v>
      </c>
      <c r="U43" s="13">
        <v>0.2</v>
      </c>
      <c r="V43" s="57" t="s">
        <v>3575</v>
      </c>
      <c r="W43" s="208">
        <f>ROUND((ROUND((ROUND((_15_同援日１．０*(1+_15・A早朝)),0)*(1+_15・盲ろう)),0)*(1+_15・区３)),0)</f>
        <v>563</v>
      </c>
      <c r="X43" s="48"/>
    </row>
    <row r="44" spans="1:24" ht="16.5" customHeight="1" x14ac:dyDescent="0.15">
      <c r="A44" s="41">
        <v>15</v>
      </c>
      <c r="B44" s="41">
        <v>8228</v>
      </c>
      <c r="C44" s="74" t="s">
        <v>18168</v>
      </c>
      <c r="D44" s="72"/>
      <c r="F44" s="57"/>
      <c r="G44" s="43"/>
      <c r="H44" s="37"/>
      <c r="I44" s="38"/>
      <c r="J44" s="299" t="s">
        <v>17556</v>
      </c>
      <c r="K44" s="45" t="s">
        <v>398</v>
      </c>
      <c r="L44" s="46">
        <v>1</v>
      </c>
      <c r="M44" s="512"/>
      <c r="N44" s="57"/>
      <c r="O44" s="92" t="s">
        <v>17564</v>
      </c>
      <c r="R44" s="57"/>
      <c r="S44" s="35"/>
      <c r="V44" s="57"/>
      <c r="W44" s="208">
        <f>ROUND((ROUND((ROUND((ROUND((_15_同援日１．０*_15・２人),0)*(1+_15・A早朝)),0)*(1+_15・盲ろう)),0)*(1+_15・区３)),0)</f>
        <v>563</v>
      </c>
      <c r="X44" s="48"/>
    </row>
    <row r="45" spans="1:24" ht="16.5" customHeight="1" x14ac:dyDescent="0.15">
      <c r="A45" s="41">
        <v>15</v>
      </c>
      <c r="B45" s="41">
        <v>8229</v>
      </c>
      <c r="C45" s="74" t="s">
        <v>18169</v>
      </c>
      <c r="D45" s="72"/>
      <c r="F45" s="57"/>
      <c r="G45" s="114" t="s">
        <v>17558</v>
      </c>
      <c r="H45" s="49"/>
      <c r="I45" s="50"/>
      <c r="J45" s="163"/>
      <c r="K45" s="45"/>
      <c r="L45" s="46"/>
      <c r="M45" s="512"/>
      <c r="N45" s="57"/>
      <c r="O45" s="35"/>
      <c r="P45" s="12" t="s">
        <v>398</v>
      </c>
      <c r="Q45" s="13">
        <v>0.25</v>
      </c>
      <c r="R45" s="57" t="s">
        <v>3575</v>
      </c>
      <c r="S45" s="35"/>
      <c r="V45" s="57"/>
      <c r="W45" s="208">
        <f>ROUND((ROUND((ROUND((ROUND((_15_同援日１．０*_15・基礎２),0)*(1+_15・A早朝)),0)*(1+_15・盲ろう)),0)*(1+_15・区３)),0)</f>
        <v>508</v>
      </c>
      <c r="X45" s="48"/>
    </row>
    <row r="46" spans="1:24" ht="16.5" customHeight="1" x14ac:dyDescent="0.15">
      <c r="A46" s="41">
        <v>15</v>
      </c>
      <c r="B46" s="41">
        <v>8230</v>
      </c>
      <c r="C46" s="74" t="s">
        <v>18170</v>
      </c>
      <c r="D46" s="72"/>
      <c r="F46" s="57"/>
      <c r="G46" s="269" t="s">
        <v>17560</v>
      </c>
      <c r="H46" s="37" t="s">
        <v>398</v>
      </c>
      <c r="I46" s="38">
        <v>0.9</v>
      </c>
      <c r="J46" s="299" t="s">
        <v>17556</v>
      </c>
      <c r="K46" s="45" t="s">
        <v>398</v>
      </c>
      <c r="L46" s="46">
        <v>1</v>
      </c>
      <c r="M46" s="512"/>
      <c r="N46" s="57"/>
      <c r="O46" s="43"/>
      <c r="P46" s="37"/>
      <c r="Q46" s="38"/>
      <c r="R46" s="79"/>
      <c r="S46" s="43"/>
      <c r="T46" s="37"/>
      <c r="U46" s="38"/>
      <c r="V46" s="79"/>
      <c r="W46" s="208">
        <f>ROUND((ROUND((ROUND((ROUND((ROUND((_15_同援日１．０*_15・基礎２),0)*_15・２人),0)*(1+_15・A早朝)),0)*(1+_15・盲ろう)),0)*(1+_15・区３)),0)</f>
        <v>508</v>
      </c>
      <c r="X46" s="48"/>
    </row>
    <row r="47" spans="1:24" ht="16.5" customHeight="1" x14ac:dyDescent="0.15">
      <c r="A47" s="41">
        <v>15</v>
      </c>
      <c r="B47" s="41">
        <v>8231</v>
      </c>
      <c r="C47" s="74" t="s">
        <v>18171</v>
      </c>
      <c r="D47" s="72"/>
      <c r="F47" s="57"/>
      <c r="G47" s="53"/>
      <c r="H47" s="49"/>
      <c r="I47" s="50"/>
      <c r="J47" s="163"/>
      <c r="K47" s="45"/>
      <c r="L47" s="46"/>
      <c r="M47" s="512"/>
      <c r="N47" s="57"/>
      <c r="O47" s="53"/>
      <c r="P47" s="49"/>
      <c r="Q47" s="50"/>
      <c r="R47" s="115"/>
      <c r="S47" s="53"/>
      <c r="T47" s="49"/>
      <c r="U47" s="50"/>
      <c r="V47" s="115"/>
      <c r="W47" s="208">
        <f>ROUND((ROUND((_15_同援日１．０*(1+_15・A早朝)),0)*(1+_15・区４)),0)</f>
        <v>525</v>
      </c>
      <c r="X47" s="48"/>
    </row>
    <row r="48" spans="1:24" ht="16.5" customHeight="1" x14ac:dyDescent="0.15">
      <c r="A48" s="41">
        <v>15</v>
      </c>
      <c r="B48" s="41">
        <v>8232</v>
      </c>
      <c r="C48" s="74" t="s">
        <v>18172</v>
      </c>
      <c r="D48" s="72"/>
      <c r="F48" s="57"/>
      <c r="G48" s="43"/>
      <c r="H48" s="37"/>
      <c r="I48" s="38"/>
      <c r="J48" s="299" t="s">
        <v>17556</v>
      </c>
      <c r="K48" s="45" t="s">
        <v>398</v>
      </c>
      <c r="L48" s="46">
        <v>1</v>
      </c>
      <c r="M48" s="512"/>
      <c r="N48" s="57"/>
      <c r="O48" s="35"/>
      <c r="R48" s="57"/>
      <c r="S48" s="35"/>
      <c r="V48" s="57"/>
      <c r="W48" s="208">
        <f>ROUND((ROUND((ROUND((_15_同援日１．０*_15・２人),0)*(1+_15・A早朝)),0)*(1+_15・区４)),0)</f>
        <v>525</v>
      </c>
      <c r="X48" s="48"/>
    </row>
    <row r="49" spans="1:24" ht="16.5" customHeight="1" x14ac:dyDescent="0.15">
      <c r="A49" s="41">
        <v>15</v>
      </c>
      <c r="B49" s="41">
        <v>8233</v>
      </c>
      <c r="C49" s="74" t="s">
        <v>18173</v>
      </c>
      <c r="D49" s="72"/>
      <c r="F49" s="57"/>
      <c r="G49" s="114" t="s">
        <v>17558</v>
      </c>
      <c r="H49" s="49"/>
      <c r="I49" s="50"/>
      <c r="J49" s="163"/>
      <c r="K49" s="45"/>
      <c r="L49" s="46"/>
      <c r="M49" s="512"/>
      <c r="N49" s="57"/>
      <c r="O49" s="35"/>
      <c r="R49" s="57"/>
      <c r="S49" s="72" t="s">
        <v>17580</v>
      </c>
      <c r="V49" s="57"/>
      <c r="W49" s="208">
        <f>ROUND((ROUND((ROUND((_15_同援日１．０*_15・基礎２),0)*(1+_15・A早朝)),0)*(1+_15・区４)),0)</f>
        <v>473</v>
      </c>
      <c r="X49" s="48"/>
    </row>
    <row r="50" spans="1:24" ht="16.5" customHeight="1" x14ac:dyDescent="0.15">
      <c r="A50" s="41">
        <v>15</v>
      </c>
      <c r="B50" s="41">
        <v>8234</v>
      </c>
      <c r="C50" s="74" t="s">
        <v>18174</v>
      </c>
      <c r="D50" s="72"/>
      <c r="F50" s="57"/>
      <c r="G50" s="269" t="s">
        <v>17560</v>
      </c>
      <c r="H50" s="37" t="s">
        <v>398</v>
      </c>
      <c r="I50" s="38">
        <v>0.9</v>
      </c>
      <c r="J50" s="299" t="s">
        <v>17556</v>
      </c>
      <c r="K50" s="45" t="s">
        <v>398</v>
      </c>
      <c r="L50" s="46">
        <v>1</v>
      </c>
      <c r="M50" s="512"/>
      <c r="N50" s="57"/>
      <c r="O50" s="43"/>
      <c r="P50" s="37"/>
      <c r="Q50" s="38"/>
      <c r="R50" s="79"/>
      <c r="S50" s="72" t="s">
        <v>17572</v>
      </c>
      <c r="V50" s="57"/>
      <c r="W50" s="208">
        <f>ROUND((ROUND((ROUND((ROUND((_15_同援日１．０*_15・基礎２),0)*_15・２人),0)*(1+_15・A早朝)),0)*(1+_15・区４)),0)</f>
        <v>473</v>
      </c>
      <c r="X50" s="48"/>
    </row>
    <row r="51" spans="1:24" ht="16.5" customHeight="1" x14ac:dyDescent="0.15">
      <c r="A51" s="41">
        <v>15</v>
      </c>
      <c r="B51" s="41">
        <v>8235</v>
      </c>
      <c r="C51" s="74" t="s">
        <v>18175</v>
      </c>
      <c r="D51" s="72"/>
      <c r="F51" s="57"/>
      <c r="G51" s="53"/>
      <c r="H51" s="49"/>
      <c r="I51" s="50"/>
      <c r="J51" s="163"/>
      <c r="K51" s="45"/>
      <c r="L51" s="46"/>
      <c r="M51" s="512"/>
      <c r="N51" s="57"/>
      <c r="O51" s="114" t="s">
        <v>17562</v>
      </c>
      <c r="P51" s="49"/>
      <c r="Q51" s="50"/>
      <c r="R51" s="115"/>
      <c r="S51" s="35"/>
      <c r="T51" s="12" t="s">
        <v>398</v>
      </c>
      <c r="U51" s="13">
        <v>0.4</v>
      </c>
      <c r="V51" s="57" t="s">
        <v>3575</v>
      </c>
      <c r="W51" s="208">
        <f>ROUND((ROUND((ROUND((_15_同援日１．０*(1+_15・A早朝)),0)*(1+_15・盲ろう)),0)*(1+_15・区４)),0)</f>
        <v>657</v>
      </c>
      <c r="X51" s="48"/>
    </row>
    <row r="52" spans="1:24" ht="16.5" customHeight="1" x14ac:dyDescent="0.15">
      <c r="A52" s="41">
        <v>15</v>
      </c>
      <c r="B52" s="41">
        <v>8236</v>
      </c>
      <c r="C52" s="74" t="s">
        <v>18176</v>
      </c>
      <c r="D52" s="72"/>
      <c r="F52" s="57"/>
      <c r="G52" s="43"/>
      <c r="H52" s="37"/>
      <c r="I52" s="38"/>
      <c r="J52" s="299" t="s">
        <v>17556</v>
      </c>
      <c r="K52" s="45" t="s">
        <v>398</v>
      </c>
      <c r="L52" s="46">
        <v>1</v>
      </c>
      <c r="M52" s="512"/>
      <c r="N52" s="57"/>
      <c r="O52" s="92" t="s">
        <v>17564</v>
      </c>
      <c r="R52" s="57"/>
      <c r="S52" s="35"/>
      <c r="V52" s="57"/>
      <c r="W52" s="208">
        <f>ROUND((ROUND((ROUND((ROUND((_15_同援日１．０*_15・２人),0)*(1+_15・A早朝)),0)*(1+_15・盲ろう)),0)*(1+_15・区４)),0)</f>
        <v>657</v>
      </c>
      <c r="X52" s="48"/>
    </row>
    <row r="53" spans="1:24" ht="16.5" customHeight="1" x14ac:dyDescent="0.15">
      <c r="A53" s="41">
        <v>15</v>
      </c>
      <c r="B53" s="41">
        <v>8237</v>
      </c>
      <c r="C53" s="74" t="s">
        <v>18177</v>
      </c>
      <c r="D53" s="72"/>
      <c r="F53" s="57"/>
      <c r="G53" s="114" t="s">
        <v>17558</v>
      </c>
      <c r="H53" s="49"/>
      <c r="I53" s="50"/>
      <c r="J53" s="163"/>
      <c r="K53" s="45"/>
      <c r="L53" s="46"/>
      <c r="M53" s="512"/>
      <c r="N53" s="57"/>
      <c r="O53" s="35"/>
      <c r="P53" s="12" t="s">
        <v>398</v>
      </c>
      <c r="Q53" s="13">
        <v>0.25</v>
      </c>
      <c r="R53" s="57" t="s">
        <v>3575</v>
      </c>
      <c r="S53" s="35"/>
      <c r="V53" s="57"/>
      <c r="W53" s="208">
        <f>ROUND((ROUND((ROUND((ROUND((_15_同援日１．０*_15・基礎２),0)*(1+_15・A早朝)),0)*(1+_15・盲ろう)),0)*(1+_15・区４)),0)</f>
        <v>592</v>
      </c>
      <c r="X53" s="48"/>
    </row>
    <row r="54" spans="1:24" ht="16.5" customHeight="1" x14ac:dyDescent="0.15">
      <c r="A54" s="41">
        <v>15</v>
      </c>
      <c r="B54" s="41">
        <v>8238</v>
      </c>
      <c r="C54" s="74" t="s">
        <v>18178</v>
      </c>
      <c r="D54" s="122"/>
      <c r="E54" s="37"/>
      <c r="F54" s="79"/>
      <c r="G54" s="269" t="s">
        <v>17560</v>
      </c>
      <c r="H54" s="37" t="s">
        <v>398</v>
      </c>
      <c r="I54" s="38">
        <v>0.9</v>
      </c>
      <c r="J54" s="299" t="s">
        <v>17556</v>
      </c>
      <c r="K54" s="45" t="s">
        <v>398</v>
      </c>
      <c r="L54" s="46">
        <v>1</v>
      </c>
      <c r="M54" s="512"/>
      <c r="N54" s="57"/>
      <c r="O54" s="43"/>
      <c r="P54" s="37"/>
      <c r="Q54" s="38"/>
      <c r="R54" s="79"/>
      <c r="S54" s="43"/>
      <c r="T54" s="37"/>
      <c r="U54" s="38"/>
      <c r="V54" s="79"/>
      <c r="W54" s="208">
        <f>ROUND((ROUND((ROUND((ROUND((ROUND((_15_同援日１．０*_15・基礎２),0)*_15・２人),0)*(1+_15・A早朝)),0)*(1+_15・盲ろう)),0)*(1+_15・区４)),0)</f>
        <v>592</v>
      </c>
      <c r="X54" s="48"/>
    </row>
    <row r="55" spans="1:24" ht="16.5" customHeight="1" x14ac:dyDescent="0.15">
      <c r="A55" s="41">
        <v>15</v>
      </c>
      <c r="B55" s="41">
        <v>8239</v>
      </c>
      <c r="C55" s="74" t="s">
        <v>18179</v>
      </c>
      <c r="D55" s="114" t="s">
        <v>18180</v>
      </c>
      <c r="E55" s="49"/>
      <c r="F55" s="115"/>
      <c r="G55" s="53"/>
      <c r="H55" s="49"/>
      <c r="I55" s="50"/>
      <c r="J55" s="163"/>
      <c r="K55" s="45"/>
      <c r="L55" s="46"/>
      <c r="M55" s="512"/>
      <c r="N55" s="57"/>
      <c r="O55" s="53"/>
      <c r="P55" s="49"/>
      <c r="Q55" s="50"/>
      <c r="R55" s="115"/>
      <c r="S55" s="53"/>
      <c r="T55" s="49"/>
      <c r="U55" s="50"/>
      <c r="V55" s="115"/>
      <c r="W55" s="208">
        <f>ROUND((_15_同援日１．５*(1+_15・A早朝)),0)</f>
        <v>541</v>
      </c>
      <c r="X55" s="48"/>
    </row>
    <row r="56" spans="1:24" ht="16.5" customHeight="1" x14ac:dyDescent="0.15">
      <c r="A56" s="41">
        <v>15</v>
      </c>
      <c r="B56" s="41">
        <v>8240</v>
      </c>
      <c r="C56" s="74" t="s">
        <v>18181</v>
      </c>
      <c r="D56" s="72" t="s">
        <v>17616</v>
      </c>
      <c r="F56" s="57"/>
      <c r="G56" s="43"/>
      <c r="H56" s="37"/>
      <c r="I56" s="38"/>
      <c r="J56" s="299" t="s">
        <v>17556</v>
      </c>
      <c r="K56" s="45" t="s">
        <v>398</v>
      </c>
      <c r="L56" s="46">
        <v>1</v>
      </c>
      <c r="M56" s="512"/>
      <c r="N56" s="57"/>
      <c r="O56" s="35"/>
      <c r="R56" s="57"/>
      <c r="S56" s="35"/>
      <c r="V56" s="57"/>
      <c r="W56" s="208">
        <f>ROUND((ROUND((_15_同援日１．５*_15・２人),0)*(1+_15・A早朝)),0)</f>
        <v>541</v>
      </c>
      <c r="X56" s="48"/>
    </row>
    <row r="57" spans="1:24" ht="16.5" customHeight="1" x14ac:dyDescent="0.15">
      <c r="A57" s="41">
        <v>15</v>
      </c>
      <c r="B57" s="41">
        <v>8241</v>
      </c>
      <c r="C57" s="74" t="s">
        <v>18182</v>
      </c>
      <c r="D57" s="72" t="s">
        <v>18183</v>
      </c>
      <c r="F57" s="57"/>
      <c r="G57" s="114" t="s">
        <v>17558</v>
      </c>
      <c r="H57" s="49"/>
      <c r="I57" s="50"/>
      <c r="J57" s="163"/>
      <c r="K57" s="45"/>
      <c r="L57" s="46"/>
      <c r="M57" s="512"/>
      <c r="N57" s="57"/>
      <c r="O57" s="35"/>
      <c r="R57" s="57"/>
      <c r="S57" s="35"/>
      <c r="V57" s="57"/>
      <c r="W57" s="208">
        <f>ROUND((ROUND((_15_同援日１．５*_15・基礎２),0)*(1+_15・A早朝)),0)</f>
        <v>488</v>
      </c>
      <c r="X57" s="48"/>
    </row>
    <row r="58" spans="1:24" ht="16.5" customHeight="1" x14ac:dyDescent="0.15">
      <c r="A58" s="41">
        <v>15</v>
      </c>
      <c r="B58" s="41">
        <v>8242</v>
      </c>
      <c r="C58" s="74" t="s">
        <v>18184</v>
      </c>
      <c r="D58" s="72"/>
      <c r="E58" s="168">
        <f>_15_同援日１．５</f>
        <v>433</v>
      </c>
      <c r="F58" s="57" t="s">
        <v>392</v>
      </c>
      <c r="G58" s="269" t="s">
        <v>17560</v>
      </c>
      <c r="H58" s="37" t="s">
        <v>398</v>
      </c>
      <c r="I58" s="38">
        <v>0.9</v>
      </c>
      <c r="J58" s="299" t="s">
        <v>17556</v>
      </c>
      <c r="K58" s="45" t="s">
        <v>398</v>
      </c>
      <c r="L58" s="46">
        <v>1</v>
      </c>
      <c r="M58" s="512"/>
      <c r="N58" s="57"/>
      <c r="O58" s="43"/>
      <c r="P58" s="37"/>
      <c r="Q58" s="38"/>
      <c r="R58" s="79"/>
      <c r="S58" s="35"/>
      <c r="V58" s="57"/>
      <c r="W58" s="208">
        <f>ROUND((ROUND((ROUND((_15_同援日１．５*_15・基礎２),0)*_15・２人),0)*(1+_15・A早朝)),0)</f>
        <v>488</v>
      </c>
      <c r="X58" s="48"/>
    </row>
    <row r="59" spans="1:24" ht="16.5" customHeight="1" x14ac:dyDescent="0.15">
      <c r="A59" s="41">
        <v>15</v>
      </c>
      <c r="B59" s="41">
        <v>8243</v>
      </c>
      <c r="C59" s="74" t="s">
        <v>18185</v>
      </c>
      <c r="D59" s="72"/>
      <c r="F59" s="57"/>
      <c r="G59" s="53"/>
      <c r="H59" s="49"/>
      <c r="I59" s="50"/>
      <c r="J59" s="163"/>
      <c r="K59" s="45"/>
      <c r="L59" s="46"/>
      <c r="M59" s="512"/>
      <c r="N59" s="57"/>
      <c r="O59" s="114" t="s">
        <v>17562</v>
      </c>
      <c r="P59" s="49"/>
      <c r="Q59" s="50"/>
      <c r="R59" s="115"/>
      <c r="S59" s="35"/>
      <c r="V59" s="57"/>
      <c r="W59" s="208">
        <f>ROUND((ROUND((_15_同援日１．５*(1+_15・A早朝)),0)*(1+_15・盲ろう)),0)</f>
        <v>676</v>
      </c>
      <c r="X59" s="48"/>
    </row>
    <row r="60" spans="1:24" ht="16.5" customHeight="1" x14ac:dyDescent="0.15">
      <c r="A60" s="41">
        <v>15</v>
      </c>
      <c r="B60" s="41">
        <v>8244</v>
      </c>
      <c r="C60" s="74" t="s">
        <v>18186</v>
      </c>
      <c r="D60" s="72"/>
      <c r="F60" s="57"/>
      <c r="G60" s="43"/>
      <c r="H60" s="37"/>
      <c r="I60" s="38"/>
      <c r="J60" s="299" t="s">
        <v>17556</v>
      </c>
      <c r="K60" s="45" t="s">
        <v>398</v>
      </c>
      <c r="L60" s="46">
        <v>1</v>
      </c>
      <c r="M60" s="512"/>
      <c r="N60" s="57"/>
      <c r="O60" s="92" t="s">
        <v>17564</v>
      </c>
      <c r="R60" s="57"/>
      <c r="S60" s="35"/>
      <c r="V60" s="57"/>
      <c r="W60" s="208">
        <f>ROUND((ROUND((ROUND((_15_同援日１．５*_15・２人),0)*(1+_15・A早朝)),0)*(1+_15・盲ろう)),0)</f>
        <v>676</v>
      </c>
      <c r="X60" s="48"/>
    </row>
    <row r="61" spans="1:24" ht="16.5" customHeight="1" x14ac:dyDescent="0.15">
      <c r="A61" s="41">
        <v>15</v>
      </c>
      <c r="B61" s="41">
        <v>8245</v>
      </c>
      <c r="C61" s="74" t="s">
        <v>18187</v>
      </c>
      <c r="D61" s="72"/>
      <c r="F61" s="57"/>
      <c r="G61" s="114" t="s">
        <v>17558</v>
      </c>
      <c r="H61" s="49"/>
      <c r="I61" s="50"/>
      <c r="J61" s="163"/>
      <c r="K61" s="45"/>
      <c r="L61" s="46"/>
      <c r="M61" s="512"/>
      <c r="N61" s="57"/>
      <c r="O61" s="35"/>
      <c r="P61" s="12" t="s">
        <v>398</v>
      </c>
      <c r="Q61" s="13">
        <v>0.25</v>
      </c>
      <c r="R61" s="57" t="s">
        <v>3575</v>
      </c>
      <c r="S61" s="35"/>
      <c r="V61" s="57"/>
      <c r="W61" s="208">
        <f>ROUND((ROUND((ROUND((_15_同援日１．５*_15・基礎２),0)*(1+_15・A早朝)),0)*(1+_15・盲ろう)),0)</f>
        <v>610</v>
      </c>
      <c r="X61" s="48"/>
    </row>
    <row r="62" spans="1:24" ht="16.5" customHeight="1" x14ac:dyDescent="0.15">
      <c r="A62" s="41">
        <v>15</v>
      </c>
      <c r="B62" s="41">
        <v>8246</v>
      </c>
      <c r="C62" s="74" t="s">
        <v>18188</v>
      </c>
      <c r="D62" s="72"/>
      <c r="F62" s="57"/>
      <c r="G62" s="269" t="s">
        <v>17560</v>
      </c>
      <c r="H62" s="37" t="s">
        <v>398</v>
      </c>
      <c r="I62" s="38">
        <v>0.9</v>
      </c>
      <c r="J62" s="299" t="s">
        <v>17556</v>
      </c>
      <c r="K62" s="45" t="s">
        <v>398</v>
      </c>
      <c r="L62" s="46">
        <v>1</v>
      </c>
      <c r="M62" s="512"/>
      <c r="N62" s="57"/>
      <c r="O62" s="43"/>
      <c r="P62" s="37"/>
      <c r="Q62" s="38"/>
      <c r="R62" s="79"/>
      <c r="S62" s="43"/>
      <c r="T62" s="37"/>
      <c r="U62" s="38"/>
      <c r="V62" s="79"/>
      <c r="W62" s="208">
        <f>ROUND((ROUND((ROUND((ROUND((_15_同援日１．５*_15・基礎２),0)*_15・２人),0)*(1+_15・A早朝)),0)*(1+_15・盲ろう)),0)</f>
        <v>610</v>
      </c>
      <c r="X62" s="48"/>
    </row>
    <row r="63" spans="1:24" ht="16.5" customHeight="1" x14ac:dyDescent="0.15">
      <c r="A63" s="41">
        <v>15</v>
      </c>
      <c r="B63" s="41">
        <v>8247</v>
      </c>
      <c r="C63" s="74" t="s">
        <v>18189</v>
      </c>
      <c r="D63" s="72"/>
      <c r="F63" s="57"/>
      <c r="G63" s="53"/>
      <c r="H63" s="49"/>
      <c r="I63" s="50"/>
      <c r="J63" s="163"/>
      <c r="K63" s="45"/>
      <c r="L63" s="46"/>
      <c r="M63" s="512"/>
      <c r="N63" s="57"/>
      <c r="O63" s="53"/>
      <c r="P63" s="49"/>
      <c r="Q63" s="50"/>
      <c r="R63" s="115"/>
      <c r="S63" s="53"/>
      <c r="T63" s="49"/>
      <c r="U63" s="50"/>
      <c r="V63" s="115"/>
      <c r="W63" s="208">
        <f>ROUND((ROUND((_15_同援日１．５*(1+_15・A早朝)),0)*(1+_15・区３)),0)</f>
        <v>649</v>
      </c>
      <c r="X63" s="48"/>
    </row>
    <row r="64" spans="1:24" ht="16.5" customHeight="1" x14ac:dyDescent="0.15">
      <c r="A64" s="41">
        <v>15</v>
      </c>
      <c r="B64" s="41">
        <v>8248</v>
      </c>
      <c r="C64" s="74" t="s">
        <v>18190</v>
      </c>
      <c r="D64" s="72"/>
      <c r="F64" s="57"/>
      <c r="G64" s="43"/>
      <c r="H64" s="37"/>
      <c r="I64" s="38"/>
      <c r="J64" s="299" t="s">
        <v>17556</v>
      </c>
      <c r="K64" s="45" t="s">
        <v>398</v>
      </c>
      <c r="L64" s="46">
        <v>1</v>
      </c>
      <c r="M64" s="512"/>
      <c r="N64" s="57"/>
      <c r="O64" s="35"/>
      <c r="R64" s="57"/>
      <c r="S64" s="35"/>
      <c r="V64" s="57"/>
      <c r="W64" s="208">
        <f>ROUND((ROUND((ROUND((_15_同援日１．５*_15・２人),0)*(1+_15・A早朝)),0)*(1+_15・区３)),0)</f>
        <v>649</v>
      </c>
      <c r="X64" s="48"/>
    </row>
    <row r="65" spans="1:24" ht="16.5" customHeight="1" x14ac:dyDescent="0.15">
      <c r="A65" s="41">
        <v>15</v>
      </c>
      <c r="B65" s="41">
        <v>8249</v>
      </c>
      <c r="C65" s="74" t="s">
        <v>18191</v>
      </c>
      <c r="D65" s="72"/>
      <c r="F65" s="57"/>
      <c r="G65" s="114" t="s">
        <v>17558</v>
      </c>
      <c r="H65" s="49"/>
      <c r="I65" s="50"/>
      <c r="J65" s="163"/>
      <c r="K65" s="45"/>
      <c r="L65" s="46"/>
      <c r="M65" s="512"/>
      <c r="N65" s="57"/>
      <c r="O65" s="35"/>
      <c r="R65" s="57"/>
      <c r="S65" s="72" t="s">
        <v>17570</v>
      </c>
      <c r="V65" s="57"/>
      <c r="W65" s="208">
        <f>ROUND((ROUND((ROUND((_15_同援日１．５*_15・基礎２),0)*(1+_15・A早朝)),0)*(1+_15・区３)),0)</f>
        <v>586</v>
      </c>
      <c r="X65" s="48"/>
    </row>
    <row r="66" spans="1:24" ht="16.5" customHeight="1" x14ac:dyDescent="0.15">
      <c r="A66" s="41">
        <v>15</v>
      </c>
      <c r="B66" s="41">
        <v>8250</v>
      </c>
      <c r="C66" s="74" t="s">
        <v>18192</v>
      </c>
      <c r="D66" s="72"/>
      <c r="F66" s="57"/>
      <c r="G66" s="269" t="s">
        <v>17560</v>
      </c>
      <c r="H66" s="37" t="s">
        <v>398</v>
      </c>
      <c r="I66" s="38">
        <v>0.9</v>
      </c>
      <c r="J66" s="299" t="s">
        <v>17556</v>
      </c>
      <c r="K66" s="45" t="s">
        <v>398</v>
      </c>
      <c r="L66" s="46">
        <v>1</v>
      </c>
      <c r="M66" s="512"/>
      <c r="N66" s="57"/>
      <c r="O66" s="43"/>
      <c r="P66" s="37"/>
      <c r="Q66" s="38"/>
      <c r="R66" s="79"/>
      <c r="S66" s="72" t="s">
        <v>17572</v>
      </c>
      <c r="V66" s="57"/>
      <c r="W66" s="208">
        <f>ROUND((ROUND((ROUND((ROUND((_15_同援日１．５*_15・基礎２),0)*_15・２人),0)*(1+_15・A早朝)),0)*(1+_15・区３)),0)</f>
        <v>586</v>
      </c>
      <c r="X66" s="48"/>
    </row>
    <row r="67" spans="1:24" ht="16.5" customHeight="1" x14ac:dyDescent="0.15">
      <c r="A67" s="41">
        <v>15</v>
      </c>
      <c r="B67" s="41">
        <v>8251</v>
      </c>
      <c r="C67" s="74" t="s">
        <v>18193</v>
      </c>
      <c r="D67" s="72"/>
      <c r="F67" s="57"/>
      <c r="G67" s="53"/>
      <c r="H67" s="49"/>
      <c r="I67" s="50"/>
      <c r="J67" s="163"/>
      <c r="K67" s="45"/>
      <c r="L67" s="46"/>
      <c r="M67" s="512"/>
      <c r="N67" s="57"/>
      <c r="O67" s="114" t="s">
        <v>17562</v>
      </c>
      <c r="P67" s="49"/>
      <c r="Q67" s="50"/>
      <c r="R67" s="115"/>
      <c r="S67" s="35"/>
      <c r="T67" s="12" t="s">
        <v>398</v>
      </c>
      <c r="U67" s="13">
        <v>0.2</v>
      </c>
      <c r="V67" s="57" t="s">
        <v>3575</v>
      </c>
      <c r="W67" s="208">
        <f>ROUND((ROUND((ROUND((_15_同援日１．５*(1+_15・A早朝)),0)*(1+_15・盲ろう)),0)*(1+_15・区３)),0)</f>
        <v>811</v>
      </c>
      <c r="X67" s="48"/>
    </row>
    <row r="68" spans="1:24" ht="16.5" customHeight="1" x14ac:dyDescent="0.15">
      <c r="A68" s="41">
        <v>15</v>
      </c>
      <c r="B68" s="41">
        <v>8252</v>
      </c>
      <c r="C68" s="74" t="s">
        <v>18194</v>
      </c>
      <c r="D68" s="72"/>
      <c r="F68" s="57"/>
      <c r="G68" s="43"/>
      <c r="H68" s="37"/>
      <c r="I68" s="38"/>
      <c r="J68" s="299" t="s">
        <v>17556</v>
      </c>
      <c r="K68" s="45" t="s">
        <v>398</v>
      </c>
      <c r="L68" s="46">
        <v>1</v>
      </c>
      <c r="M68" s="512"/>
      <c r="N68" s="57"/>
      <c r="O68" s="92" t="s">
        <v>17564</v>
      </c>
      <c r="R68" s="57"/>
      <c r="S68" s="35"/>
      <c r="V68" s="57"/>
      <c r="W68" s="208">
        <f>ROUND((ROUND((ROUND((ROUND((_15_同援日１．５*_15・２人),0)*(1+_15・A早朝)),0)*(1+_15・盲ろう)),0)*(1+_15・区３)),0)</f>
        <v>811</v>
      </c>
      <c r="X68" s="48"/>
    </row>
    <row r="69" spans="1:24" ht="16.5" customHeight="1" x14ac:dyDescent="0.15">
      <c r="A69" s="41">
        <v>15</v>
      </c>
      <c r="B69" s="41">
        <v>8253</v>
      </c>
      <c r="C69" s="74" t="s">
        <v>18195</v>
      </c>
      <c r="D69" s="72"/>
      <c r="F69" s="57"/>
      <c r="G69" s="114" t="s">
        <v>17558</v>
      </c>
      <c r="H69" s="49"/>
      <c r="I69" s="50"/>
      <c r="J69" s="163"/>
      <c r="K69" s="45"/>
      <c r="L69" s="46"/>
      <c r="M69" s="512"/>
      <c r="N69" s="57"/>
      <c r="O69" s="35"/>
      <c r="P69" s="12" t="s">
        <v>398</v>
      </c>
      <c r="Q69" s="13">
        <v>0.25</v>
      </c>
      <c r="R69" s="57" t="s">
        <v>3575</v>
      </c>
      <c r="S69" s="35"/>
      <c r="V69" s="57"/>
      <c r="W69" s="208">
        <f>ROUND((ROUND((ROUND((ROUND((_15_同援日１．５*_15・基礎２),0)*(1+_15・A早朝)),0)*(1+_15・盲ろう)),0)*(1+_15・区３)),0)</f>
        <v>732</v>
      </c>
      <c r="X69" s="48"/>
    </row>
    <row r="70" spans="1:24" ht="16.5" customHeight="1" x14ac:dyDescent="0.15">
      <c r="A70" s="41">
        <v>15</v>
      </c>
      <c r="B70" s="41">
        <v>8254</v>
      </c>
      <c r="C70" s="74" t="s">
        <v>18196</v>
      </c>
      <c r="D70" s="72"/>
      <c r="F70" s="57"/>
      <c r="G70" s="269" t="s">
        <v>17560</v>
      </c>
      <c r="H70" s="37" t="s">
        <v>398</v>
      </c>
      <c r="I70" s="38">
        <v>0.9</v>
      </c>
      <c r="J70" s="299" t="s">
        <v>17556</v>
      </c>
      <c r="K70" s="45" t="s">
        <v>398</v>
      </c>
      <c r="L70" s="46">
        <v>1</v>
      </c>
      <c r="M70" s="512"/>
      <c r="N70" s="57"/>
      <c r="O70" s="43"/>
      <c r="P70" s="37"/>
      <c r="Q70" s="38"/>
      <c r="R70" s="79"/>
      <c r="S70" s="43"/>
      <c r="T70" s="37"/>
      <c r="U70" s="38"/>
      <c r="V70" s="79"/>
      <c r="W70" s="208">
        <f>ROUND((ROUND((ROUND((ROUND((ROUND((_15_同援日１．５*_15・基礎２),0)*_15・２人),0)*(1+_15・A早朝)),0)*(1+_15・盲ろう)),0)*(1+_15・区３)),0)</f>
        <v>732</v>
      </c>
      <c r="X70" s="48"/>
    </row>
    <row r="71" spans="1:24" ht="16.5" customHeight="1" x14ac:dyDescent="0.15">
      <c r="A71" s="41">
        <v>15</v>
      </c>
      <c r="B71" s="41">
        <v>8255</v>
      </c>
      <c r="C71" s="74" t="s">
        <v>18197</v>
      </c>
      <c r="D71" s="72"/>
      <c r="F71" s="57"/>
      <c r="G71" s="53"/>
      <c r="H71" s="49"/>
      <c r="I71" s="50"/>
      <c r="J71" s="163"/>
      <c r="K71" s="45"/>
      <c r="L71" s="46"/>
      <c r="M71" s="512"/>
      <c r="N71" s="57"/>
      <c r="O71" s="53"/>
      <c r="P71" s="49"/>
      <c r="Q71" s="50"/>
      <c r="R71" s="115"/>
      <c r="S71" s="53"/>
      <c r="T71" s="49"/>
      <c r="U71" s="50"/>
      <c r="V71" s="115"/>
      <c r="W71" s="208">
        <f>ROUND((ROUND((_15_同援日１．５*(1+_15・A早朝)),0)*(1+_15・区４)),0)</f>
        <v>757</v>
      </c>
      <c r="X71" s="48"/>
    </row>
    <row r="72" spans="1:24" ht="16.5" customHeight="1" x14ac:dyDescent="0.15">
      <c r="A72" s="41">
        <v>15</v>
      </c>
      <c r="B72" s="41">
        <v>8256</v>
      </c>
      <c r="C72" s="74" t="s">
        <v>18198</v>
      </c>
      <c r="D72" s="72"/>
      <c r="F72" s="57"/>
      <c r="G72" s="43"/>
      <c r="H72" s="37"/>
      <c r="I72" s="38"/>
      <c r="J72" s="299" t="s">
        <v>17556</v>
      </c>
      <c r="K72" s="45" t="s">
        <v>398</v>
      </c>
      <c r="L72" s="46">
        <v>1</v>
      </c>
      <c r="M72" s="512"/>
      <c r="N72" s="57"/>
      <c r="O72" s="35"/>
      <c r="R72" s="57"/>
      <c r="S72" s="35"/>
      <c r="V72" s="57"/>
      <c r="W72" s="208">
        <f>ROUND((ROUND((ROUND((_15_同援日１．５*_15・２人),0)*(1+_15・A早朝)),0)*(1+_15・区４)),0)</f>
        <v>757</v>
      </c>
      <c r="X72" s="48"/>
    </row>
    <row r="73" spans="1:24" ht="16.5" customHeight="1" x14ac:dyDescent="0.15">
      <c r="A73" s="41">
        <v>15</v>
      </c>
      <c r="B73" s="41">
        <v>8257</v>
      </c>
      <c r="C73" s="74" t="s">
        <v>18199</v>
      </c>
      <c r="D73" s="72"/>
      <c r="F73" s="57"/>
      <c r="G73" s="114" t="s">
        <v>17558</v>
      </c>
      <c r="H73" s="49"/>
      <c r="I73" s="50"/>
      <c r="J73" s="163"/>
      <c r="K73" s="45"/>
      <c r="L73" s="46"/>
      <c r="M73" s="512"/>
      <c r="N73" s="57"/>
      <c r="O73" s="35"/>
      <c r="R73" s="57"/>
      <c r="S73" s="72" t="s">
        <v>17580</v>
      </c>
      <c r="V73" s="57"/>
      <c r="W73" s="208">
        <f>ROUND((ROUND((ROUND((_15_同援日１．５*_15・基礎２),0)*(1+_15・A早朝)),0)*(1+_15・区４)),0)</f>
        <v>683</v>
      </c>
      <c r="X73" s="48"/>
    </row>
    <row r="74" spans="1:24" ht="16.5" customHeight="1" x14ac:dyDescent="0.15">
      <c r="A74" s="41">
        <v>15</v>
      </c>
      <c r="B74" s="41">
        <v>8258</v>
      </c>
      <c r="C74" s="74" t="s">
        <v>18200</v>
      </c>
      <c r="D74" s="72"/>
      <c r="F74" s="57"/>
      <c r="G74" s="269" t="s">
        <v>17560</v>
      </c>
      <c r="H74" s="37" t="s">
        <v>398</v>
      </c>
      <c r="I74" s="38">
        <v>0.9</v>
      </c>
      <c r="J74" s="299" t="s">
        <v>17556</v>
      </c>
      <c r="K74" s="45" t="s">
        <v>398</v>
      </c>
      <c r="L74" s="46">
        <v>1</v>
      </c>
      <c r="M74" s="512"/>
      <c r="N74" s="57"/>
      <c r="O74" s="43"/>
      <c r="P74" s="37"/>
      <c r="Q74" s="38"/>
      <c r="R74" s="79"/>
      <c r="S74" s="72" t="s">
        <v>17572</v>
      </c>
      <c r="V74" s="57"/>
      <c r="W74" s="208">
        <f>ROUND((ROUND((ROUND((ROUND((_15_同援日１．５*_15・基礎２),0)*_15・２人),0)*(1+_15・A早朝)),0)*(1+_15・区４)),0)</f>
        <v>683</v>
      </c>
      <c r="X74" s="48"/>
    </row>
    <row r="75" spans="1:24" ht="16.5" customHeight="1" x14ac:dyDescent="0.15">
      <c r="A75" s="41">
        <v>15</v>
      </c>
      <c r="B75" s="41">
        <v>8259</v>
      </c>
      <c r="C75" s="74" t="s">
        <v>18201</v>
      </c>
      <c r="D75" s="72"/>
      <c r="F75" s="57"/>
      <c r="G75" s="53"/>
      <c r="H75" s="49"/>
      <c r="I75" s="50"/>
      <c r="J75" s="163"/>
      <c r="K75" s="45"/>
      <c r="L75" s="46"/>
      <c r="M75" s="512"/>
      <c r="N75" s="57"/>
      <c r="O75" s="114" t="s">
        <v>17562</v>
      </c>
      <c r="P75" s="49"/>
      <c r="Q75" s="50"/>
      <c r="R75" s="115"/>
      <c r="S75" s="35"/>
      <c r="T75" s="12" t="s">
        <v>398</v>
      </c>
      <c r="U75" s="13">
        <v>0.4</v>
      </c>
      <c r="V75" s="57" t="s">
        <v>3575</v>
      </c>
      <c r="W75" s="208">
        <f>ROUND((ROUND((ROUND((_15_同援日１．５*(1+_15・A早朝)),0)*(1+_15・盲ろう)),0)*(1+_15・区４)),0)</f>
        <v>946</v>
      </c>
      <c r="X75" s="48"/>
    </row>
    <row r="76" spans="1:24" ht="16.5" customHeight="1" x14ac:dyDescent="0.15">
      <c r="A76" s="41">
        <v>15</v>
      </c>
      <c r="B76" s="41">
        <v>8260</v>
      </c>
      <c r="C76" s="74" t="s">
        <v>18202</v>
      </c>
      <c r="D76" s="72"/>
      <c r="F76" s="57"/>
      <c r="G76" s="43"/>
      <c r="H76" s="37"/>
      <c r="I76" s="38"/>
      <c r="J76" s="299" t="s">
        <v>17556</v>
      </c>
      <c r="K76" s="45" t="s">
        <v>398</v>
      </c>
      <c r="L76" s="46">
        <v>1</v>
      </c>
      <c r="M76" s="512"/>
      <c r="N76" s="57"/>
      <c r="O76" s="92" t="s">
        <v>17564</v>
      </c>
      <c r="R76" s="57"/>
      <c r="S76" s="35"/>
      <c r="V76" s="57"/>
      <c r="W76" s="208">
        <f>ROUND((ROUND((ROUND((ROUND((_15_同援日１．５*_15・２人),0)*(1+_15・A早朝)),0)*(1+_15・盲ろう)),0)*(1+_15・区４)),0)</f>
        <v>946</v>
      </c>
      <c r="X76" s="48"/>
    </row>
    <row r="77" spans="1:24" ht="16.5" customHeight="1" x14ac:dyDescent="0.15">
      <c r="A77" s="41">
        <v>15</v>
      </c>
      <c r="B77" s="41">
        <v>8261</v>
      </c>
      <c r="C77" s="74" t="s">
        <v>18203</v>
      </c>
      <c r="D77" s="72"/>
      <c r="F77" s="57"/>
      <c r="G77" s="114" t="s">
        <v>17558</v>
      </c>
      <c r="H77" s="49"/>
      <c r="I77" s="50"/>
      <c r="J77" s="163"/>
      <c r="K77" s="45"/>
      <c r="L77" s="46"/>
      <c r="M77" s="512"/>
      <c r="N77" s="57"/>
      <c r="O77" s="35"/>
      <c r="P77" s="12" t="s">
        <v>398</v>
      </c>
      <c r="Q77" s="13">
        <v>0.25</v>
      </c>
      <c r="R77" s="57" t="s">
        <v>3575</v>
      </c>
      <c r="S77" s="35"/>
      <c r="V77" s="57"/>
      <c r="W77" s="208">
        <f>ROUND((ROUND((ROUND((ROUND((_15_同援日１．５*_15・基礎２),0)*(1+_15・A早朝)),0)*(1+_15・盲ろう)),0)*(1+_15・区４)),0)</f>
        <v>854</v>
      </c>
      <c r="X77" s="48"/>
    </row>
    <row r="78" spans="1:24" ht="16.5" customHeight="1" x14ac:dyDescent="0.15">
      <c r="A78" s="41">
        <v>15</v>
      </c>
      <c r="B78" s="41">
        <v>8262</v>
      </c>
      <c r="C78" s="74" t="s">
        <v>18204</v>
      </c>
      <c r="D78" s="122"/>
      <c r="E78" s="37"/>
      <c r="F78" s="79"/>
      <c r="G78" s="269" t="s">
        <v>17560</v>
      </c>
      <c r="H78" s="37" t="s">
        <v>398</v>
      </c>
      <c r="I78" s="38">
        <v>0.9</v>
      </c>
      <c r="J78" s="299" t="s">
        <v>17556</v>
      </c>
      <c r="K78" s="45" t="s">
        <v>398</v>
      </c>
      <c r="L78" s="46">
        <v>1</v>
      </c>
      <c r="M78" s="512"/>
      <c r="N78" s="57"/>
      <c r="O78" s="43"/>
      <c r="P78" s="37"/>
      <c r="Q78" s="38"/>
      <c r="R78" s="79"/>
      <c r="S78" s="43"/>
      <c r="T78" s="37"/>
      <c r="U78" s="38"/>
      <c r="V78" s="79"/>
      <c r="W78" s="208">
        <f>ROUND((ROUND((ROUND((ROUND((ROUND((_15_同援日１．５*_15・基礎２),0)*_15・２人),0)*(1+_15・A早朝)),0)*(1+_15・盲ろう)),0)*(1+_15・区４)),0)</f>
        <v>854</v>
      </c>
      <c r="X78" s="48"/>
    </row>
    <row r="79" spans="1:24" ht="16.5" customHeight="1" x14ac:dyDescent="0.15">
      <c r="A79" s="41">
        <v>15</v>
      </c>
      <c r="B79" s="41">
        <v>8263</v>
      </c>
      <c r="C79" s="74" t="s">
        <v>18205</v>
      </c>
      <c r="D79" s="114" t="s">
        <v>18206</v>
      </c>
      <c r="E79" s="49"/>
      <c r="F79" s="115"/>
      <c r="G79" s="53"/>
      <c r="H79" s="49"/>
      <c r="I79" s="50"/>
      <c r="J79" s="163"/>
      <c r="K79" s="45"/>
      <c r="L79" s="46"/>
      <c r="M79" s="512"/>
      <c r="N79" s="57"/>
      <c r="O79" s="53"/>
      <c r="P79" s="49"/>
      <c r="Q79" s="50"/>
      <c r="R79" s="115"/>
      <c r="S79" s="53"/>
      <c r="T79" s="49"/>
      <c r="U79" s="50"/>
      <c r="V79" s="115"/>
      <c r="W79" s="208">
        <f>ROUND((_15_同援日２．０*(1+_15・A早朝)),0)</f>
        <v>623</v>
      </c>
      <c r="X79" s="48"/>
    </row>
    <row r="80" spans="1:24" ht="16.5" customHeight="1" x14ac:dyDescent="0.15">
      <c r="A80" s="41">
        <v>15</v>
      </c>
      <c r="B80" s="41">
        <v>8264</v>
      </c>
      <c r="C80" s="74" t="s">
        <v>18207</v>
      </c>
      <c r="D80" s="72" t="s">
        <v>17643</v>
      </c>
      <c r="F80" s="57"/>
      <c r="G80" s="43"/>
      <c r="H80" s="37"/>
      <c r="I80" s="38"/>
      <c r="J80" s="299" t="s">
        <v>17556</v>
      </c>
      <c r="K80" s="45" t="s">
        <v>398</v>
      </c>
      <c r="L80" s="46">
        <v>1</v>
      </c>
      <c r="M80" s="512"/>
      <c r="N80" s="57"/>
      <c r="O80" s="35"/>
      <c r="R80" s="57"/>
      <c r="S80" s="35"/>
      <c r="V80" s="57"/>
      <c r="W80" s="208">
        <f>ROUND((ROUND((_15_同援日２．０*_15・２人),0)*(1+_15・A早朝)),0)</f>
        <v>623</v>
      </c>
      <c r="X80" s="48"/>
    </row>
    <row r="81" spans="1:24" ht="16.5" customHeight="1" x14ac:dyDescent="0.15">
      <c r="A81" s="41">
        <v>15</v>
      </c>
      <c r="B81" s="41">
        <v>8265</v>
      </c>
      <c r="C81" s="74" t="s">
        <v>18208</v>
      </c>
      <c r="D81" s="72" t="s">
        <v>17645</v>
      </c>
      <c r="F81" s="57"/>
      <c r="G81" s="114" t="s">
        <v>17558</v>
      </c>
      <c r="H81" s="49"/>
      <c r="I81" s="50"/>
      <c r="J81" s="163"/>
      <c r="K81" s="45"/>
      <c r="L81" s="46"/>
      <c r="M81" s="512"/>
      <c r="N81" s="57"/>
      <c r="O81" s="35"/>
      <c r="R81" s="57"/>
      <c r="S81" s="35"/>
      <c r="V81" s="57"/>
      <c r="W81" s="208">
        <f>ROUND((ROUND((_15_同援日２．０*_15・基礎２),0)*(1+_15・A早朝)),0)</f>
        <v>560</v>
      </c>
      <c r="X81" s="48"/>
    </row>
    <row r="82" spans="1:24" ht="16.5" customHeight="1" x14ac:dyDescent="0.15">
      <c r="A82" s="41">
        <v>15</v>
      </c>
      <c r="B82" s="41">
        <v>8266</v>
      </c>
      <c r="C82" s="74" t="s">
        <v>18209</v>
      </c>
      <c r="D82" s="72"/>
      <c r="E82" s="168">
        <f>_15_同援日２．０</f>
        <v>498</v>
      </c>
      <c r="F82" s="57" t="s">
        <v>392</v>
      </c>
      <c r="G82" s="269" t="s">
        <v>17560</v>
      </c>
      <c r="H82" s="37" t="s">
        <v>398</v>
      </c>
      <c r="I82" s="38">
        <v>0.9</v>
      </c>
      <c r="J82" s="299" t="s">
        <v>17556</v>
      </c>
      <c r="K82" s="45" t="s">
        <v>398</v>
      </c>
      <c r="L82" s="46">
        <v>1</v>
      </c>
      <c r="M82" s="512"/>
      <c r="N82" s="57"/>
      <c r="O82" s="43"/>
      <c r="P82" s="37"/>
      <c r="Q82" s="38"/>
      <c r="R82" s="79"/>
      <c r="S82" s="35"/>
      <c r="V82" s="57"/>
      <c r="W82" s="208">
        <f>ROUND((ROUND((ROUND((_15_同援日２．０*_15・基礎２),0)*_15・２人),0)*(1+_15・A早朝)),0)</f>
        <v>560</v>
      </c>
      <c r="X82" s="48"/>
    </row>
    <row r="83" spans="1:24" ht="16.5" customHeight="1" x14ac:dyDescent="0.15">
      <c r="A83" s="41">
        <v>15</v>
      </c>
      <c r="B83" s="41">
        <v>8267</v>
      </c>
      <c r="C83" s="74" t="s">
        <v>18210</v>
      </c>
      <c r="D83" s="72"/>
      <c r="F83" s="57"/>
      <c r="G83" s="53"/>
      <c r="H83" s="49"/>
      <c r="I83" s="50"/>
      <c r="J83" s="163"/>
      <c r="K83" s="45"/>
      <c r="L83" s="46"/>
      <c r="M83" s="512"/>
      <c r="N83" s="57"/>
      <c r="O83" s="114" t="s">
        <v>17562</v>
      </c>
      <c r="P83" s="49"/>
      <c r="Q83" s="50"/>
      <c r="R83" s="115"/>
      <c r="S83" s="35"/>
      <c r="V83" s="57"/>
      <c r="W83" s="208">
        <f>ROUND((ROUND((_15_同援日２．０*(1+_15・A早朝)),0)*(1+_15・盲ろう)),0)</f>
        <v>779</v>
      </c>
      <c r="X83" s="48"/>
    </row>
    <row r="84" spans="1:24" ht="16.5" customHeight="1" x14ac:dyDescent="0.15">
      <c r="A84" s="41">
        <v>15</v>
      </c>
      <c r="B84" s="41">
        <v>8268</v>
      </c>
      <c r="C84" s="74" t="s">
        <v>18211</v>
      </c>
      <c r="D84" s="72"/>
      <c r="F84" s="57"/>
      <c r="G84" s="43"/>
      <c r="H84" s="37"/>
      <c r="I84" s="38"/>
      <c r="J84" s="299" t="s">
        <v>17556</v>
      </c>
      <c r="K84" s="45" t="s">
        <v>398</v>
      </c>
      <c r="L84" s="46">
        <v>1</v>
      </c>
      <c r="M84" s="512"/>
      <c r="N84" s="57"/>
      <c r="O84" s="92" t="s">
        <v>17564</v>
      </c>
      <c r="R84" s="57"/>
      <c r="S84" s="35"/>
      <c r="V84" s="57"/>
      <c r="W84" s="208">
        <f>ROUND((ROUND((ROUND((_15_同援日２．０*_15・２人),0)*(1+_15・A早朝)),0)*(1+_15・盲ろう)),0)</f>
        <v>779</v>
      </c>
      <c r="X84" s="48"/>
    </row>
    <row r="85" spans="1:24" ht="16.5" customHeight="1" x14ac:dyDescent="0.15">
      <c r="A85" s="41">
        <v>15</v>
      </c>
      <c r="B85" s="41">
        <v>8269</v>
      </c>
      <c r="C85" s="74" t="s">
        <v>18212</v>
      </c>
      <c r="D85" s="72"/>
      <c r="F85" s="57"/>
      <c r="G85" s="114" t="s">
        <v>17558</v>
      </c>
      <c r="H85" s="49"/>
      <c r="I85" s="50"/>
      <c r="J85" s="163"/>
      <c r="K85" s="45"/>
      <c r="L85" s="46"/>
      <c r="M85" s="512"/>
      <c r="N85" s="57"/>
      <c r="O85" s="35"/>
      <c r="P85" s="12" t="s">
        <v>398</v>
      </c>
      <c r="Q85" s="13">
        <v>0.25</v>
      </c>
      <c r="R85" s="57" t="s">
        <v>3575</v>
      </c>
      <c r="S85" s="35"/>
      <c r="V85" s="57"/>
      <c r="W85" s="208">
        <f>ROUND((ROUND((ROUND((_15_同援日２．０*_15・基礎２),0)*(1+_15・A早朝)),0)*(1+_15・盲ろう)),0)</f>
        <v>700</v>
      </c>
      <c r="X85" s="48"/>
    </row>
    <row r="86" spans="1:24" ht="16.5" customHeight="1" x14ac:dyDescent="0.15">
      <c r="A86" s="41">
        <v>15</v>
      </c>
      <c r="B86" s="41">
        <v>8270</v>
      </c>
      <c r="C86" s="74" t="s">
        <v>18213</v>
      </c>
      <c r="D86" s="72"/>
      <c r="F86" s="57"/>
      <c r="G86" s="269" t="s">
        <v>17560</v>
      </c>
      <c r="H86" s="37" t="s">
        <v>398</v>
      </c>
      <c r="I86" s="38">
        <v>0.9</v>
      </c>
      <c r="J86" s="299" t="s">
        <v>17556</v>
      </c>
      <c r="K86" s="45" t="s">
        <v>398</v>
      </c>
      <c r="L86" s="46">
        <v>1</v>
      </c>
      <c r="M86" s="512"/>
      <c r="N86" s="57"/>
      <c r="O86" s="43"/>
      <c r="P86" s="37"/>
      <c r="Q86" s="38"/>
      <c r="R86" s="79"/>
      <c r="S86" s="43"/>
      <c r="T86" s="37"/>
      <c r="U86" s="38"/>
      <c r="V86" s="79"/>
      <c r="W86" s="208">
        <f>ROUND((ROUND((ROUND((ROUND((_15_同援日２．０*_15・基礎２),0)*_15・２人),0)*(1+_15・A早朝)),0)*(1+_15・盲ろう)),0)</f>
        <v>700</v>
      </c>
      <c r="X86" s="48"/>
    </row>
    <row r="87" spans="1:24" ht="16.5" customHeight="1" x14ac:dyDescent="0.15">
      <c r="A87" s="41">
        <v>15</v>
      </c>
      <c r="B87" s="41">
        <v>8271</v>
      </c>
      <c r="C87" s="74" t="s">
        <v>18214</v>
      </c>
      <c r="D87" s="72"/>
      <c r="F87" s="57"/>
      <c r="G87" s="53"/>
      <c r="H87" s="49"/>
      <c r="I87" s="50"/>
      <c r="J87" s="163"/>
      <c r="K87" s="45"/>
      <c r="L87" s="46"/>
      <c r="M87" s="512"/>
      <c r="N87" s="57"/>
      <c r="O87" s="53"/>
      <c r="P87" s="49"/>
      <c r="Q87" s="50"/>
      <c r="R87" s="115"/>
      <c r="S87" s="53"/>
      <c r="T87" s="49"/>
      <c r="U87" s="50"/>
      <c r="V87" s="115"/>
      <c r="W87" s="208">
        <f>ROUND((ROUND((_15_同援日２．０*(1+_15・A早朝)),0)*(1+_15・区３)),0)</f>
        <v>748</v>
      </c>
      <c r="X87" s="48"/>
    </row>
    <row r="88" spans="1:24" ht="16.5" customHeight="1" x14ac:dyDescent="0.15">
      <c r="A88" s="41">
        <v>15</v>
      </c>
      <c r="B88" s="41">
        <v>8272</v>
      </c>
      <c r="C88" s="74" t="s">
        <v>18215</v>
      </c>
      <c r="D88" s="72"/>
      <c r="F88" s="57"/>
      <c r="G88" s="43"/>
      <c r="H88" s="37"/>
      <c r="I88" s="38"/>
      <c r="J88" s="299" t="s">
        <v>17556</v>
      </c>
      <c r="K88" s="45" t="s">
        <v>398</v>
      </c>
      <c r="L88" s="46">
        <v>1</v>
      </c>
      <c r="M88" s="512"/>
      <c r="N88" s="57"/>
      <c r="O88" s="35"/>
      <c r="R88" s="57"/>
      <c r="S88" s="35"/>
      <c r="V88" s="57"/>
      <c r="W88" s="208">
        <f>ROUND((ROUND((ROUND((_15_同援日２．０*_15・２人),0)*(1+_15・A早朝)),0)*(1+_15・区３)),0)</f>
        <v>748</v>
      </c>
      <c r="X88" s="48"/>
    </row>
    <row r="89" spans="1:24" ht="16.5" customHeight="1" x14ac:dyDescent="0.15">
      <c r="A89" s="41">
        <v>15</v>
      </c>
      <c r="B89" s="41">
        <v>8273</v>
      </c>
      <c r="C89" s="74" t="s">
        <v>18216</v>
      </c>
      <c r="D89" s="72"/>
      <c r="F89" s="57"/>
      <c r="G89" s="114" t="s">
        <v>17558</v>
      </c>
      <c r="H89" s="49"/>
      <c r="I89" s="50"/>
      <c r="J89" s="163"/>
      <c r="K89" s="45"/>
      <c r="L89" s="46"/>
      <c r="M89" s="512"/>
      <c r="N89" s="57"/>
      <c r="O89" s="35"/>
      <c r="R89" s="57"/>
      <c r="S89" s="72" t="s">
        <v>17570</v>
      </c>
      <c r="V89" s="57"/>
      <c r="W89" s="208">
        <f>ROUND((ROUND((ROUND((_15_同援日２．０*_15・基礎２),0)*(1+_15・A早朝)),0)*(1+_15・区３)),0)</f>
        <v>672</v>
      </c>
      <c r="X89" s="48"/>
    </row>
    <row r="90" spans="1:24" ht="16.5" customHeight="1" x14ac:dyDescent="0.15">
      <c r="A90" s="41">
        <v>15</v>
      </c>
      <c r="B90" s="41">
        <v>8274</v>
      </c>
      <c r="C90" s="74" t="s">
        <v>18217</v>
      </c>
      <c r="D90" s="72"/>
      <c r="F90" s="57"/>
      <c r="G90" s="269" t="s">
        <v>17560</v>
      </c>
      <c r="H90" s="37" t="s">
        <v>398</v>
      </c>
      <c r="I90" s="38">
        <v>0.9</v>
      </c>
      <c r="J90" s="299" t="s">
        <v>17556</v>
      </c>
      <c r="K90" s="45" t="s">
        <v>398</v>
      </c>
      <c r="L90" s="46">
        <v>1</v>
      </c>
      <c r="M90" s="512"/>
      <c r="N90" s="57"/>
      <c r="O90" s="43"/>
      <c r="P90" s="37"/>
      <c r="Q90" s="38"/>
      <c r="R90" s="79"/>
      <c r="S90" s="72" t="s">
        <v>17572</v>
      </c>
      <c r="V90" s="57"/>
      <c r="W90" s="208">
        <f>ROUND((ROUND((ROUND((ROUND((_15_同援日２．０*_15・基礎２),0)*_15・２人),0)*(1+_15・A早朝)),0)*(1+_15・区３)),0)</f>
        <v>672</v>
      </c>
      <c r="X90" s="48"/>
    </row>
    <row r="91" spans="1:24" ht="16.5" customHeight="1" x14ac:dyDescent="0.15">
      <c r="A91" s="41">
        <v>15</v>
      </c>
      <c r="B91" s="41">
        <v>8275</v>
      </c>
      <c r="C91" s="74" t="s">
        <v>18218</v>
      </c>
      <c r="D91" s="72"/>
      <c r="F91" s="57"/>
      <c r="G91" s="53"/>
      <c r="H91" s="49"/>
      <c r="I91" s="50"/>
      <c r="J91" s="163"/>
      <c r="K91" s="45"/>
      <c r="L91" s="46"/>
      <c r="M91" s="512"/>
      <c r="N91" s="57"/>
      <c r="O91" s="114" t="s">
        <v>17562</v>
      </c>
      <c r="P91" s="49"/>
      <c r="Q91" s="50"/>
      <c r="R91" s="115"/>
      <c r="S91" s="35"/>
      <c r="T91" s="12" t="s">
        <v>398</v>
      </c>
      <c r="U91" s="13">
        <v>0.2</v>
      </c>
      <c r="V91" s="57" t="s">
        <v>3575</v>
      </c>
      <c r="W91" s="208">
        <f>ROUND((ROUND((ROUND((_15_同援日２．０*(1+_15・A早朝)),0)*(1+_15・盲ろう)),0)*(1+_15・区３)),0)</f>
        <v>935</v>
      </c>
      <c r="X91" s="48"/>
    </row>
    <row r="92" spans="1:24" ht="16.5" customHeight="1" x14ac:dyDescent="0.15">
      <c r="A92" s="41">
        <v>15</v>
      </c>
      <c r="B92" s="41">
        <v>8276</v>
      </c>
      <c r="C92" s="74" t="s">
        <v>18219</v>
      </c>
      <c r="D92" s="72"/>
      <c r="F92" s="57"/>
      <c r="G92" s="43"/>
      <c r="H92" s="37"/>
      <c r="I92" s="38"/>
      <c r="J92" s="299" t="s">
        <v>17556</v>
      </c>
      <c r="K92" s="45" t="s">
        <v>398</v>
      </c>
      <c r="L92" s="46">
        <v>1</v>
      </c>
      <c r="M92" s="512"/>
      <c r="N92" s="57"/>
      <c r="O92" s="92" t="s">
        <v>17564</v>
      </c>
      <c r="R92" s="57"/>
      <c r="S92" s="35"/>
      <c r="V92" s="57"/>
      <c r="W92" s="208">
        <f>ROUND((ROUND((ROUND((ROUND((_15_同援日２．０*_15・２人),0)*(1+_15・A早朝)),0)*(1+_15・盲ろう)),0)*(1+_15・区３)),0)</f>
        <v>935</v>
      </c>
      <c r="X92" s="48"/>
    </row>
    <row r="93" spans="1:24" ht="16.5" customHeight="1" x14ac:dyDescent="0.15">
      <c r="A93" s="41">
        <v>15</v>
      </c>
      <c r="B93" s="41">
        <v>8277</v>
      </c>
      <c r="C93" s="74" t="s">
        <v>18220</v>
      </c>
      <c r="D93" s="72"/>
      <c r="F93" s="57"/>
      <c r="G93" s="114" t="s">
        <v>17558</v>
      </c>
      <c r="H93" s="49"/>
      <c r="I93" s="50"/>
      <c r="J93" s="163"/>
      <c r="K93" s="45"/>
      <c r="L93" s="46"/>
      <c r="M93" s="512"/>
      <c r="N93" s="57"/>
      <c r="O93" s="35"/>
      <c r="P93" s="12" t="s">
        <v>398</v>
      </c>
      <c r="Q93" s="13">
        <v>0.25</v>
      </c>
      <c r="R93" s="57" t="s">
        <v>3575</v>
      </c>
      <c r="S93" s="35"/>
      <c r="V93" s="57"/>
      <c r="W93" s="208">
        <f>ROUND((ROUND((ROUND((ROUND((_15_同援日２．０*_15・基礎２),0)*(1+_15・A早朝)),0)*(1+_15・盲ろう)),0)*(1+_15・区３)),0)</f>
        <v>840</v>
      </c>
      <c r="X93" s="48"/>
    </row>
    <row r="94" spans="1:24" ht="16.5" customHeight="1" x14ac:dyDescent="0.15">
      <c r="A94" s="41">
        <v>15</v>
      </c>
      <c r="B94" s="41">
        <v>8278</v>
      </c>
      <c r="C94" s="74" t="s">
        <v>18221</v>
      </c>
      <c r="D94" s="72"/>
      <c r="F94" s="57"/>
      <c r="G94" s="269" t="s">
        <v>17560</v>
      </c>
      <c r="H94" s="37" t="s">
        <v>398</v>
      </c>
      <c r="I94" s="38">
        <v>0.9</v>
      </c>
      <c r="J94" s="299" t="s">
        <v>17556</v>
      </c>
      <c r="K94" s="45" t="s">
        <v>398</v>
      </c>
      <c r="L94" s="46">
        <v>1</v>
      </c>
      <c r="M94" s="512"/>
      <c r="N94" s="57"/>
      <c r="O94" s="43"/>
      <c r="P94" s="37"/>
      <c r="Q94" s="38"/>
      <c r="R94" s="79"/>
      <c r="S94" s="43"/>
      <c r="T94" s="37"/>
      <c r="U94" s="38"/>
      <c r="V94" s="79"/>
      <c r="W94" s="208">
        <f>ROUND((ROUND((ROUND((ROUND((ROUND((_15_同援日２．０*_15・基礎２),0)*_15・２人),0)*(1+_15・A早朝)),0)*(1+_15・盲ろう)),0)*(1+_15・区３)),0)</f>
        <v>840</v>
      </c>
      <c r="X94" s="48"/>
    </row>
    <row r="95" spans="1:24" ht="16.5" customHeight="1" x14ac:dyDescent="0.15">
      <c r="A95" s="41">
        <v>15</v>
      </c>
      <c r="B95" s="41">
        <v>8279</v>
      </c>
      <c r="C95" s="74" t="s">
        <v>18222</v>
      </c>
      <c r="D95" s="72"/>
      <c r="F95" s="57"/>
      <c r="G95" s="53"/>
      <c r="H95" s="49"/>
      <c r="I95" s="50"/>
      <c r="J95" s="163"/>
      <c r="K95" s="45"/>
      <c r="L95" s="46"/>
      <c r="M95" s="512"/>
      <c r="N95" s="57"/>
      <c r="O95" s="53"/>
      <c r="P95" s="49"/>
      <c r="Q95" s="50"/>
      <c r="R95" s="115"/>
      <c r="S95" s="53"/>
      <c r="T95" s="49"/>
      <c r="U95" s="50"/>
      <c r="V95" s="115"/>
      <c r="W95" s="208">
        <f>ROUND((ROUND((_15_同援日２．０*(1+_15・A早朝)),0)*(1+_15・区４)),0)</f>
        <v>872</v>
      </c>
      <c r="X95" s="48"/>
    </row>
    <row r="96" spans="1:24" ht="16.5" customHeight="1" x14ac:dyDescent="0.15">
      <c r="A96" s="41">
        <v>15</v>
      </c>
      <c r="B96" s="41">
        <v>8280</v>
      </c>
      <c r="C96" s="74" t="s">
        <v>18223</v>
      </c>
      <c r="D96" s="72"/>
      <c r="F96" s="57"/>
      <c r="G96" s="43"/>
      <c r="H96" s="37"/>
      <c r="I96" s="38"/>
      <c r="J96" s="299" t="s">
        <v>17556</v>
      </c>
      <c r="K96" s="45" t="s">
        <v>398</v>
      </c>
      <c r="L96" s="46">
        <v>1</v>
      </c>
      <c r="M96" s="512"/>
      <c r="N96" s="57"/>
      <c r="O96" s="35"/>
      <c r="R96" s="57"/>
      <c r="S96" s="35"/>
      <c r="V96" s="57"/>
      <c r="W96" s="208">
        <f>ROUND((ROUND((ROUND((_15_同援日２．０*_15・２人),0)*(1+_15・A早朝)),0)*(1+_15・区４)),0)</f>
        <v>872</v>
      </c>
      <c r="X96" s="48"/>
    </row>
    <row r="97" spans="1:24" ht="16.5" customHeight="1" x14ac:dyDescent="0.15">
      <c r="A97" s="41">
        <v>15</v>
      </c>
      <c r="B97" s="41">
        <v>8281</v>
      </c>
      <c r="C97" s="74" t="s">
        <v>18224</v>
      </c>
      <c r="D97" s="72"/>
      <c r="F97" s="57"/>
      <c r="G97" s="114" t="s">
        <v>17558</v>
      </c>
      <c r="H97" s="49"/>
      <c r="I97" s="50"/>
      <c r="J97" s="163"/>
      <c r="K97" s="45"/>
      <c r="L97" s="46"/>
      <c r="M97" s="512"/>
      <c r="N97" s="57"/>
      <c r="O97" s="35"/>
      <c r="R97" s="57"/>
      <c r="S97" s="72" t="s">
        <v>17580</v>
      </c>
      <c r="V97" s="57"/>
      <c r="W97" s="208">
        <f>ROUND((ROUND((ROUND((_15_同援日２．０*_15・基礎２),0)*(1+_15・A早朝)),0)*(1+_15・区４)),0)</f>
        <v>784</v>
      </c>
      <c r="X97" s="48"/>
    </row>
    <row r="98" spans="1:24" ht="16.5" customHeight="1" x14ac:dyDescent="0.15">
      <c r="A98" s="41">
        <v>15</v>
      </c>
      <c r="B98" s="41">
        <v>8282</v>
      </c>
      <c r="C98" s="74" t="s">
        <v>18225</v>
      </c>
      <c r="D98" s="72"/>
      <c r="F98" s="57"/>
      <c r="G98" s="269" t="s">
        <v>17560</v>
      </c>
      <c r="H98" s="37" t="s">
        <v>398</v>
      </c>
      <c r="I98" s="38">
        <v>0.9</v>
      </c>
      <c r="J98" s="299" t="s">
        <v>17556</v>
      </c>
      <c r="K98" s="45" t="s">
        <v>398</v>
      </c>
      <c r="L98" s="46">
        <v>1</v>
      </c>
      <c r="M98" s="512"/>
      <c r="N98" s="57"/>
      <c r="O98" s="43"/>
      <c r="P98" s="37"/>
      <c r="Q98" s="38"/>
      <c r="R98" s="79"/>
      <c r="S98" s="72" t="s">
        <v>17572</v>
      </c>
      <c r="V98" s="57"/>
      <c r="W98" s="208">
        <f>ROUND((ROUND((ROUND((ROUND((_15_同援日２．０*_15・基礎２),0)*_15・２人),0)*(1+_15・A早朝)),0)*(1+_15・区４)),0)</f>
        <v>784</v>
      </c>
      <c r="X98" s="48"/>
    </row>
    <row r="99" spans="1:24" ht="16.5" customHeight="1" x14ac:dyDescent="0.15">
      <c r="A99" s="41">
        <v>15</v>
      </c>
      <c r="B99" s="41">
        <v>8283</v>
      </c>
      <c r="C99" s="74" t="s">
        <v>18226</v>
      </c>
      <c r="D99" s="72"/>
      <c r="F99" s="57"/>
      <c r="G99" s="53"/>
      <c r="H99" s="49"/>
      <c r="I99" s="50"/>
      <c r="J99" s="163"/>
      <c r="K99" s="45"/>
      <c r="L99" s="46"/>
      <c r="M99" s="512"/>
      <c r="N99" s="57"/>
      <c r="O99" s="114" t="s">
        <v>17562</v>
      </c>
      <c r="P99" s="49"/>
      <c r="Q99" s="50"/>
      <c r="R99" s="115"/>
      <c r="S99" s="35"/>
      <c r="T99" s="12" t="s">
        <v>398</v>
      </c>
      <c r="U99" s="13">
        <v>0.4</v>
      </c>
      <c r="V99" s="57" t="s">
        <v>3575</v>
      </c>
      <c r="W99" s="208">
        <f>ROUND((ROUND((ROUND((_15_同援日２．０*(1+_15・A早朝)),0)*(1+_15・盲ろう)),0)*(1+_15・区４)),0)</f>
        <v>1091</v>
      </c>
      <c r="X99" s="48"/>
    </row>
    <row r="100" spans="1:24" ht="16.5" customHeight="1" x14ac:dyDescent="0.15">
      <c r="A100" s="41">
        <v>15</v>
      </c>
      <c r="B100" s="41">
        <v>8284</v>
      </c>
      <c r="C100" s="74" t="s">
        <v>18227</v>
      </c>
      <c r="D100" s="72"/>
      <c r="F100" s="57"/>
      <c r="G100" s="43"/>
      <c r="H100" s="37"/>
      <c r="I100" s="38"/>
      <c r="J100" s="299" t="s">
        <v>17556</v>
      </c>
      <c r="K100" s="45" t="s">
        <v>398</v>
      </c>
      <c r="L100" s="46">
        <v>1</v>
      </c>
      <c r="M100" s="512"/>
      <c r="N100" s="57"/>
      <c r="O100" s="92" t="s">
        <v>17564</v>
      </c>
      <c r="R100" s="57"/>
      <c r="S100" s="35"/>
      <c r="V100" s="57"/>
      <c r="W100" s="208">
        <f>ROUND((ROUND((ROUND((ROUND((_15_同援日２．０*_15・２人),0)*(1+_15・A早朝)),0)*(1+_15・盲ろう)),0)*(1+_15・区４)),0)</f>
        <v>1091</v>
      </c>
      <c r="X100" s="48"/>
    </row>
    <row r="101" spans="1:24" ht="16.5" customHeight="1" x14ac:dyDescent="0.15">
      <c r="A101" s="41">
        <v>15</v>
      </c>
      <c r="B101" s="41">
        <v>8285</v>
      </c>
      <c r="C101" s="74" t="s">
        <v>18228</v>
      </c>
      <c r="D101" s="72"/>
      <c r="F101" s="57"/>
      <c r="G101" s="114" t="s">
        <v>17558</v>
      </c>
      <c r="H101" s="49"/>
      <c r="I101" s="50"/>
      <c r="J101" s="163"/>
      <c r="K101" s="45"/>
      <c r="L101" s="46"/>
      <c r="M101" s="512"/>
      <c r="N101" s="57"/>
      <c r="O101" s="35"/>
      <c r="P101" s="12" t="s">
        <v>398</v>
      </c>
      <c r="Q101" s="13">
        <v>0.25</v>
      </c>
      <c r="R101" s="57" t="s">
        <v>3575</v>
      </c>
      <c r="S101" s="35"/>
      <c r="V101" s="57"/>
      <c r="W101" s="208">
        <f>ROUND((ROUND((ROUND((ROUND((_15_同援日２．０*_15・基礎２),0)*(1+_15・A早朝)),0)*(1+_15・盲ろう)),0)*(1+_15・区４)),0)</f>
        <v>980</v>
      </c>
      <c r="X101" s="48"/>
    </row>
    <row r="102" spans="1:24" ht="16.5" customHeight="1" x14ac:dyDescent="0.15">
      <c r="A102" s="41">
        <v>15</v>
      </c>
      <c r="B102" s="41">
        <v>8286</v>
      </c>
      <c r="C102" s="74" t="s">
        <v>18229</v>
      </c>
      <c r="D102" s="122"/>
      <c r="E102" s="37"/>
      <c r="F102" s="79"/>
      <c r="G102" s="269" t="s">
        <v>17560</v>
      </c>
      <c r="H102" s="37" t="s">
        <v>398</v>
      </c>
      <c r="I102" s="38">
        <v>0.9</v>
      </c>
      <c r="J102" s="299" t="s">
        <v>17556</v>
      </c>
      <c r="K102" s="45" t="s">
        <v>398</v>
      </c>
      <c r="L102" s="46">
        <v>1</v>
      </c>
      <c r="M102" s="514"/>
      <c r="N102" s="79"/>
      <c r="O102" s="43"/>
      <c r="P102" s="37"/>
      <c r="Q102" s="38"/>
      <c r="R102" s="79"/>
      <c r="S102" s="43"/>
      <c r="T102" s="37"/>
      <c r="U102" s="38"/>
      <c r="V102" s="79"/>
      <c r="W102" s="208">
        <f>ROUND((ROUND((ROUND((ROUND((ROUND((_15_同援日２．０*_15・基礎２),0)*_15・２人),0)*(1+_15・A早朝)),0)*(1+_15・盲ろう)),0)*(1+_15・区４)),0)</f>
        <v>980</v>
      </c>
      <c r="X102" s="63"/>
    </row>
    <row r="103" spans="1:24" ht="16.5" customHeight="1" x14ac:dyDescent="0.15">
      <c r="A103" s="41">
        <v>15</v>
      </c>
      <c r="B103" s="41">
        <v>8287</v>
      </c>
      <c r="C103" s="74" t="s">
        <v>18230</v>
      </c>
      <c r="D103" s="114" t="s">
        <v>18231</v>
      </c>
      <c r="E103" s="49"/>
      <c r="F103" s="115"/>
      <c r="G103" s="53"/>
      <c r="H103" s="49"/>
      <c r="I103" s="50"/>
      <c r="J103" s="163"/>
      <c r="K103" s="45"/>
      <c r="L103" s="46"/>
      <c r="M103" s="515"/>
      <c r="N103" s="115"/>
      <c r="O103" s="53"/>
      <c r="P103" s="49"/>
      <c r="Q103" s="50"/>
      <c r="R103" s="115"/>
      <c r="S103" s="53"/>
      <c r="T103" s="49"/>
      <c r="U103" s="50"/>
      <c r="V103" s="115"/>
      <c r="W103" s="208">
        <f>ROUND((_15_同援日２．５*(1+_15・A早朝)),0)</f>
        <v>704</v>
      </c>
      <c r="X103" s="64"/>
    </row>
    <row r="104" spans="1:24" ht="16.5" customHeight="1" x14ac:dyDescent="0.15">
      <c r="A104" s="41">
        <v>15</v>
      </c>
      <c r="B104" s="41">
        <v>8288</v>
      </c>
      <c r="C104" s="74" t="s">
        <v>18232</v>
      </c>
      <c r="D104" s="72" t="s">
        <v>17670</v>
      </c>
      <c r="F104" s="57"/>
      <c r="G104" s="43"/>
      <c r="H104" s="37"/>
      <c r="I104" s="38"/>
      <c r="J104" s="299" t="s">
        <v>17556</v>
      </c>
      <c r="K104" s="45" t="s">
        <v>398</v>
      </c>
      <c r="L104" s="46">
        <v>1</v>
      </c>
      <c r="M104" s="512"/>
      <c r="N104" s="57"/>
      <c r="O104" s="35"/>
      <c r="R104" s="57"/>
      <c r="S104" s="35"/>
      <c r="V104" s="57"/>
      <c r="W104" s="208">
        <f>ROUND((ROUND((_15_同援日２．５*_15・２人),0)*(1+_15・A早朝)),0)</f>
        <v>704</v>
      </c>
      <c r="X104" s="48"/>
    </row>
    <row r="105" spans="1:24" ht="16.5" customHeight="1" x14ac:dyDescent="0.15">
      <c r="A105" s="41">
        <v>15</v>
      </c>
      <c r="B105" s="41">
        <v>8289</v>
      </c>
      <c r="C105" s="74" t="s">
        <v>18233</v>
      </c>
      <c r="D105" s="72" t="s">
        <v>17672</v>
      </c>
      <c r="F105" s="57"/>
      <c r="G105" s="114" t="s">
        <v>17558</v>
      </c>
      <c r="H105" s="49"/>
      <c r="I105" s="50"/>
      <c r="J105" s="163"/>
      <c r="K105" s="45"/>
      <c r="L105" s="46"/>
      <c r="M105" s="512"/>
      <c r="N105" s="57"/>
      <c r="O105" s="35"/>
      <c r="R105" s="57"/>
      <c r="S105" s="35"/>
      <c r="V105" s="57"/>
      <c r="W105" s="208">
        <f>ROUND((ROUND((_15_同援日２．５*_15・基礎２),0)*(1+_15・A早朝)),0)</f>
        <v>634</v>
      </c>
      <c r="X105" s="48"/>
    </row>
    <row r="106" spans="1:24" ht="16.5" customHeight="1" x14ac:dyDescent="0.15">
      <c r="A106" s="41">
        <v>15</v>
      </c>
      <c r="B106" s="41">
        <v>8290</v>
      </c>
      <c r="C106" s="74" t="s">
        <v>18234</v>
      </c>
      <c r="D106" s="72"/>
      <c r="E106" s="168">
        <f>_15_同援日２．５</f>
        <v>563</v>
      </c>
      <c r="F106" s="57" t="s">
        <v>392</v>
      </c>
      <c r="G106" s="269" t="s">
        <v>17560</v>
      </c>
      <c r="H106" s="37" t="s">
        <v>398</v>
      </c>
      <c r="I106" s="38">
        <v>0.9</v>
      </c>
      <c r="J106" s="299" t="s">
        <v>17556</v>
      </c>
      <c r="K106" s="45" t="s">
        <v>398</v>
      </c>
      <c r="L106" s="46">
        <v>1</v>
      </c>
      <c r="M106" s="512"/>
      <c r="N106" s="57"/>
      <c r="O106" s="43"/>
      <c r="P106" s="37"/>
      <c r="Q106" s="38"/>
      <c r="R106" s="79"/>
      <c r="S106" s="35"/>
      <c r="V106" s="57"/>
      <c r="W106" s="208">
        <f>ROUND((ROUND((ROUND((_15_同援日２．５*_15・基礎２),0)*_15・２人),0)*(1+_15・A早朝)),0)</f>
        <v>634</v>
      </c>
      <c r="X106" s="48"/>
    </row>
    <row r="107" spans="1:24" ht="16.5" customHeight="1" x14ac:dyDescent="0.15">
      <c r="A107" s="41">
        <v>15</v>
      </c>
      <c r="B107" s="41">
        <v>8291</v>
      </c>
      <c r="C107" s="74" t="s">
        <v>18235</v>
      </c>
      <c r="D107" s="72"/>
      <c r="F107" s="57"/>
      <c r="G107" s="53"/>
      <c r="H107" s="49"/>
      <c r="I107" s="50"/>
      <c r="J107" s="163"/>
      <c r="K107" s="45"/>
      <c r="L107" s="46"/>
      <c r="M107" s="512"/>
      <c r="N107" s="57"/>
      <c r="O107" s="114" t="s">
        <v>17562</v>
      </c>
      <c r="P107" s="49"/>
      <c r="Q107" s="50"/>
      <c r="R107" s="115"/>
      <c r="S107" s="35"/>
      <c r="V107" s="57"/>
      <c r="W107" s="208">
        <f>ROUND((ROUND((_15_同援日２．５*(1+_15・A早朝)),0)*(1+_15・盲ろう)),0)</f>
        <v>880</v>
      </c>
      <c r="X107" s="48"/>
    </row>
    <row r="108" spans="1:24" ht="16.5" customHeight="1" x14ac:dyDescent="0.15">
      <c r="A108" s="41">
        <v>15</v>
      </c>
      <c r="B108" s="41">
        <v>8292</v>
      </c>
      <c r="C108" s="74" t="s">
        <v>18236</v>
      </c>
      <c r="D108" s="72"/>
      <c r="F108" s="57"/>
      <c r="G108" s="43"/>
      <c r="H108" s="37"/>
      <c r="I108" s="38"/>
      <c r="J108" s="299" t="s">
        <v>17556</v>
      </c>
      <c r="K108" s="45" t="s">
        <v>398</v>
      </c>
      <c r="L108" s="46">
        <v>1</v>
      </c>
      <c r="M108" s="512"/>
      <c r="N108" s="57"/>
      <c r="O108" s="92" t="s">
        <v>17564</v>
      </c>
      <c r="R108" s="57"/>
      <c r="S108" s="35"/>
      <c r="V108" s="57"/>
      <c r="W108" s="208">
        <f>ROUND((ROUND((ROUND((_15_同援日２．５*_15・２人),0)*(1+_15・A早朝)),0)*(1+_15・盲ろう)),0)</f>
        <v>880</v>
      </c>
      <c r="X108" s="48"/>
    </row>
    <row r="109" spans="1:24" ht="16.5" customHeight="1" x14ac:dyDescent="0.15">
      <c r="A109" s="41">
        <v>15</v>
      </c>
      <c r="B109" s="41">
        <v>8293</v>
      </c>
      <c r="C109" s="74" t="s">
        <v>18237</v>
      </c>
      <c r="D109" s="72"/>
      <c r="F109" s="57"/>
      <c r="G109" s="114" t="s">
        <v>17558</v>
      </c>
      <c r="H109" s="49"/>
      <c r="I109" s="50"/>
      <c r="J109" s="163"/>
      <c r="K109" s="45"/>
      <c r="L109" s="46"/>
      <c r="M109" s="512"/>
      <c r="N109" s="57"/>
      <c r="O109" s="35"/>
      <c r="P109" s="12" t="s">
        <v>398</v>
      </c>
      <c r="Q109" s="13">
        <v>0.25</v>
      </c>
      <c r="R109" s="57" t="s">
        <v>3575</v>
      </c>
      <c r="S109" s="35"/>
      <c r="V109" s="57"/>
      <c r="W109" s="208">
        <f>ROUND((ROUND((ROUND((_15_同援日２．５*_15・基礎２),0)*(1+_15・A早朝)),0)*(1+_15・盲ろう)),0)</f>
        <v>793</v>
      </c>
      <c r="X109" s="48"/>
    </row>
    <row r="110" spans="1:24" ht="16.5" customHeight="1" x14ac:dyDescent="0.15">
      <c r="A110" s="41">
        <v>15</v>
      </c>
      <c r="B110" s="41">
        <v>8294</v>
      </c>
      <c r="C110" s="74" t="s">
        <v>18238</v>
      </c>
      <c r="D110" s="72"/>
      <c r="F110" s="57"/>
      <c r="G110" s="269" t="s">
        <v>17560</v>
      </c>
      <c r="H110" s="37" t="s">
        <v>398</v>
      </c>
      <c r="I110" s="38">
        <v>0.9</v>
      </c>
      <c r="J110" s="299" t="s">
        <v>17556</v>
      </c>
      <c r="K110" s="45" t="s">
        <v>398</v>
      </c>
      <c r="L110" s="46">
        <v>1</v>
      </c>
      <c r="M110" s="512"/>
      <c r="N110" s="57"/>
      <c r="O110" s="43"/>
      <c r="P110" s="37"/>
      <c r="Q110" s="38"/>
      <c r="R110" s="79"/>
      <c r="S110" s="43"/>
      <c r="T110" s="37"/>
      <c r="U110" s="38"/>
      <c r="V110" s="79"/>
      <c r="W110" s="208">
        <f>ROUND((ROUND((ROUND((ROUND((_15_同援日２．５*_15・基礎２),0)*_15・２人),0)*(1+_15・A早朝)),0)*(1+_15・盲ろう)),0)</f>
        <v>793</v>
      </c>
      <c r="X110" s="48"/>
    </row>
    <row r="111" spans="1:24" ht="16.5" customHeight="1" x14ac:dyDescent="0.15">
      <c r="A111" s="41">
        <v>15</v>
      </c>
      <c r="B111" s="41">
        <v>8295</v>
      </c>
      <c r="C111" s="74" t="s">
        <v>18239</v>
      </c>
      <c r="D111" s="72"/>
      <c r="F111" s="57"/>
      <c r="G111" s="53"/>
      <c r="H111" s="49"/>
      <c r="I111" s="50"/>
      <c r="J111" s="163"/>
      <c r="K111" s="45"/>
      <c r="L111" s="46"/>
      <c r="M111" s="512"/>
      <c r="N111" s="57"/>
      <c r="O111" s="53"/>
      <c r="P111" s="49"/>
      <c r="Q111" s="50"/>
      <c r="R111" s="115"/>
      <c r="S111" s="53"/>
      <c r="T111" s="49"/>
      <c r="U111" s="50"/>
      <c r="V111" s="115"/>
      <c r="W111" s="208">
        <f>ROUND((ROUND((_15_同援日２．５*(1+_15・A早朝)),0)*(1+_15・区３)),0)</f>
        <v>845</v>
      </c>
      <c r="X111" s="48"/>
    </row>
    <row r="112" spans="1:24" ht="16.5" customHeight="1" x14ac:dyDescent="0.15">
      <c r="A112" s="41">
        <v>15</v>
      </c>
      <c r="B112" s="41">
        <v>8296</v>
      </c>
      <c r="C112" s="74" t="s">
        <v>18240</v>
      </c>
      <c r="D112" s="72"/>
      <c r="F112" s="57"/>
      <c r="G112" s="43"/>
      <c r="H112" s="37"/>
      <c r="I112" s="38"/>
      <c r="J112" s="299" t="s">
        <v>17556</v>
      </c>
      <c r="K112" s="45" t="s">
        <v>398</v>
      </c>
      <c r="L112" s="46">
        <v>1</v>
      </c>
      <c r="M112" s="512"/>
      <c r="N112" s="57"/>
      <c r="O112" s="35"/>
      <c r="R112" s="57"/>
      <c r="S112" s="35"/>
      <c r="V112" s="57"/>
      <c r="W112" s="208">
        <f>ROUND((ROUND((ROUND((_15_同援日２．５*_15・２人),0)*(1+_15・A早朝)),0)*(1+_15・区３)),0)</f>
        <v>845</v>
      </c>
      <c r="X112" s="48"/>
    </row>
    <row r="113" spans="1:24" ht="16.5" customHeight="1" x14ac:dyDescent="0.15">
      <c r="A113" s="41">
        <v>15</v>
      </c>
      <c r="B113" s="41">
        <v>8297</v>
      </c>
      <c r="C113" s="74" t="s">
        <v>18241</v>
      </c>
      <c r="D113" s="72"/>
      <c r="F113" s="57"/>
      <c r="G113" s="114" t="s">
        <v>17558</v>
      </c>
      <c r="H113" s="49"/>
      <c r="I113" s="50"/>
      <c r="J113" s="163"/>
      <c r="K113" s="45"/>
      <c r="L113" s="46"/>
      <c r="M113" s="512"/>
      <c r="N113" s="57"/>
      <c r="O113" s="35"/>
      <c r="R113" s="57"/>
      <c r="S113" s="72" t="s">
        <v>17570</v>
      </c>
      <c r="V113" s="57"/>
      <c r="W113" s="208">
        <f>ROUND((ROUND((ROUND((_15_同援日２．５*_15・基礎２),0)*(1+_15・A早朝)),0)*(1+_15・区３)),0)</f>
        <v>761</v>
      </c>
      <c r="X113" s="48"/>
    </row>
    <row r="114" spans="1:24" ht="16.5" customHeight="1" x14ac:dyDescent="0.15">
      <c r="A114" s="41">
        <v>15</v>
      </c>
      <c r="B114" s="41">
        <v>8298</v>
      </c>
      <c r="C114" s="74" t="s">
        <v>18242</v>
      </c>
      <c r="D114" s="72"/>
      <c r="F114" s="57"/>
      <c r="G114" s="269" t="s">
        <v>17560</v>
      </c>
      <c r="H114" s="37" t="s">
        <v>398</v>
      </c>
      <c r="I114" s="38">
        <v>0.9</v>
      </c>
      <c r="J114" s="299" t="s">
        <v>17556</v>
      </c>
      <c r="K114" s="45" t="s">
        <v>398</v>
      </c>
      <c r="L114" s="46">
        <v>1</v>
      </c>
      <c r="M114" s="512"/>
      <c r="N114" s="57"/>
      <c r="O114" s="43"/>
      <c r="P114" s="37"/>
      <c r="Q114" s="38"/>
      <c r="R114" s="79"/>
      <c r="S114" s="72" t="s">
        <v>17572</v>
      </c>
      <c r="V114" s="57"/>
      <c r="W114" s="208">
        <f>ROUND((ROUND((ROUND((ROUND((_15_同援日２．５*_15・基礎２),0)*_15・２人),0)*(1+_15・A早朝)),0)*(1+_15・区３)),0)</f>
        <v>761</v>
      </c>
      <c r="X114" s="48"/>
    </row>
    <row r="115" spans="1:24" ht="16.5" customHeight="1" x14ac:dyDescent="0.15">
      <c r="A115" s="41">
        <v>15</v>
      </c>
      <c r="B115" s="41">
        <v>8299</v>
      </c>
      <c r="C115" s="74" t="s">
        <v>18243</v>
      </c>
      <c r="D115" s="72"/>
      <c r="F115" s="57"/>
      <c r="G115" s="53"/>
      <c r="H115" s="49"/>
      <c r="I115" s="50"/>
      <c r="J115" s="163"/>
      <c r="K115" s="45"/>
      <c r="L115" s="46"/>
      <c r="M115" s="512"/>
      <c r="N115" s="57"/>
      <c r="O115" s="114" t="s">
        <v>17562</v>
      </c>
      <c r="P115" s="49"/>
      <c r="Q115" s="50"/>
      <c r="R115" s="115"/>
      <c r="S115" s="35"/>
      <c r="T115" s="12" t="s">
        <v>398</v>
      </c>
      <c r="U115" s="13">
        <v>0.2</v>
      </c>
      <c r="V115" s="57" t="s">
        <v>3575</v>
      </c>
      <c r="W115" s="208">
        <f>ROUND((ROUND((ROUND((_15_同援日２．５*(1+_15・A早朝)),0)*(1+_15・盲ろう)),0)*(1+_15・区３)),0)</f>
        <v>1056</v>
      </c>
      <c r="X115" s="48"/>
    </row>
    <row r="116" spans="1:24" ht="16.5" customHeight="1" x14ac:dyDescent="0.15">
      <c r="A116" s="41">
        <v>15</v>
      </c>
      <c r="B116" s="41">
        <v>8300</v>
      </c>
      <c r="C116" s="74" t="s">
        <v>18244</v>
      </c>
      <c r="D116" s="72"/>
      <c r="F116" s="57"/>
      <c r="G116" s="43"/>
      <c r="H116" s="37"/>
      <c r="I116" s="38"/>
      <c r="J116" s="299" t="s">
        <v>17556</v>
      </c>
      <c r="K116" s="45" t="s">
        <v>398</v>
      </c>
      <c r="L116" s="46">
        <v>1</v>
      </c>
      <c r="M116" s="512"/>
      <c r="N116" s="57"/>
      <c r="O116" s="92" t="s">
        <v>17564</v>
      </c>
      <c r="R116" s="57"/>
      <c r="S116" s="35"/>
      <c r="V116" s="57"/>
      <c r="W116" s="208">
        <f>ROUND((ROUND((ROUND((ROUND((_15_同援日２．５*_15・２人),0)*(1+_15・A早朝)),0)*(1+_15・盲ろう)),0)*(1+_15・区３)),0)</f>
        <v>1056</v>
      </c>
      <c r="X116" s="48"/>
    </row>
    <row r="117" spans="1:24" ht="16.5" customHeight="1" x14ac:dyDescent="0.15">
      <c r="A117" s="41">
        <v>15</v>
      </c>
      <c r="B117" s="41">
        <v>8301</v>
      </c>
      <c r="C117" s="74" t="s">
        <v>18245</v>
      </c>
      <c r="D117" s="72"/>
      <c r="F117" s="57"/>
      <c r="G117" s="114" t="s">
        <v>17558</v>
      </c>
      <c r="H117" s="49"/>
      <c r="I117" s="50"/>
      <c r="J117" s="163"/>
      <c r="K117" s="45"/>
      <c r="L117" s="46"/>
      <c r="M117" s="512"/>
      <c r="N117" s="57"/>
      <c r="O117" s="35"/>
      <c r="P117" s="12" t="s">
        <v>398</v>
      </c>
      <c r="Q117" s="13">
        <v>0.25</v>
      </c>
      <c r="R117" s="57" t="s">
        <v>3575</v>
      </c>
      <c r="S117" s="35"/>
      <c r="V117" s="57"/>
      <c r="W117" s="208">
        <f>ROUND((ROUND((ROUND((ROUND((_15_同援日２．５*_15・基礎２),0)*(1+_15・A早朝)),0)*(1+_15・盲ろう)),0)*(1+_15・区３)),0)</f>
        <v>952</v>
      </c>
      <c r="X117" s="48"/>
    </row>
    <row r="118" spans="1:24" ht="16.5" customHeight="1" x14ac:dyDescent="0.15">
      <c r="A118" s="41">
        <v>15</v>
      </c>
      <c r="B118" s="41">
        <v>8302</v>
      </c>
      <c r="C118" s="74" t="s">
        <v>18246</v>
      </c>
      <c r="D118" s="72"/>
      <c r="F118" s="57"/>
      <c r="G118" s="269" t="s">
        <v>17560</v>
      </c>
      <c r="H118" s="37" t="s">
        <v>398</v>
      </c>
      <c r="I118" s="38">
        <v>0.9</v>
      </c>
      <c r="J118" s="299" t="s">
        <v>17556</v>
      </c>
      <c r="K118" s="45" t="s">
        <v>398</v>
      </c>
      <c r="L118" s="46">
        <v>1</v>
      </c>
      <c r="M118" s="512"/>
      <c r="N118" s="57"/>
      <c r="O118" s="43"/>
      <c r="P118" s="37"/>
      <c r="Q118" s="38"/>
      <c r="R118" s="79"/>
      <c r="S118" s="43"/>
      <c r="T118" s="37"/>
      <c r="U118" s="38"/>
      <c r="V118" s="79"/>
      <c r="W118" s="208">
        <f>ROUND((ROUND((ROUND((ROUND((ROUND((_15_同援日２．５*_15・基礎２),0)*_15・２人),0)*(1+_15・A早朝)),0)*(1+_15・盲ろう)),0)*(1+_15・区３)),0)</f>
        <v>952</v>
      </c>
      <c r="X118" s="48"/>
    </row>
    <row r="119" spans="1:24" ht="16.5" customHeight="1" x14ac:dyDescent="0.15">
      <c r="A119" s="41">
        <v>15</v>
      </c>
      <c r="B119" s="41">
        <v>8303</v>
      </c>
      <c r="C119" s="74" t="s">
        <v>18247</v>
      </c>
      <c r="D119" s="72"/>
      <c r="F119" s="57"/>
      <c r="G119" s="53"/>
      <c r="H119" s="49"/>
      <c r="I119" s="50"/>
      <c r="J119" s="163"/>
      <c r="K119" s="45"/>
      <c r="L119" s="46"/>
      <c r="M119" s="512"/>
      <c r="N119" s="57"/>
      <c r="O119" s="53"/>
      <c r="P119" s="49"/>
      <c r="Q119" s="50"/>
      <c r="R119" s="115"/>
      <c r="S119" s="53"/>
      <c r="T119" s="49"/>
      <c r="U119" s="50"/>
      <c r="V119" s="115"/>
      <c r="W119" s="208">
        <f>ROUND((ROUND((_15_同援日２．５*(1+_15・A早朝)),0)*(1+_15・区４)),0)</f>
        <v>986</v>
      </c>
      <c r="X119" s="48"/>
    </row>
    <row r="120" spans="1:24" ht="16.5" customHeight="1" x14ac:dyDescent="0.15">
      <c r="A120" s="41">
        <v>15</v>
      </c>
      <c r="B120" s="41">
        <v>8304</v>
      </c>
      <c r="C120" s="74" t="s">
        <v>18248</v>
      </c>
      <c r="D120" s="72"/>
      <c r="F120" s="57"/>
      <c r="G120" s="43"/>
      <c r="H120" s="37"/>
      <c r="I120" s="38"/>
      <c r="J120" s="299" t="s">
        <v>17556</v>
      </c>
      <c r="K120" s="45" t="s">
        <v>398</v>
      </c>
      <c r="L120" s="46">
        <v>1</v>
      </c>
      <c r="M120" s="512"/>
      <c r="N120" s="57"/>
      <c r="O120" s="35"/>
      <c r="R120" s="57"/>
      <c r="S120" s="35"/>
      <c r="V120" s="57"/>
      <c r="W120" s="208">
        <f>ROUND((ROUND((ROUND((_15_同援日２．５*_15・２人),0)*(1+_15・A早朝)),0)*(1+_15・区４)),0)</f>
        <v>986</v>
      </c>
      <c r="X120" s="48"/>
    </row>
    <row r="121" spans="1:24" ht="16.5" customHeight="1" x14ac:dyDescent="0.15">
      <c r="A121" s="41">
        <v>15</v>
      </c>
      <c r="B121" s="41">
        <v>8305</v>
      </c>
      <c r="C121" s="74" t="s">
        <v>18249</v>
      </c>
      <c r="D121" s="72"/>
      <c r="F121" s="57"/>
      <c r="G121" s="114" t="s">
        <v>17558</v>
      </c>
      <c r="H121" s="49"/>
      <c r="I121" s="50"/>
      <c r="J121" s="163"/>
      <c r="K121" s="45"/>
      <c r="L121" s="46"/>
      <c r="M121" s="512"/>
      <c r="N121" s="57"/>
      <c r="O121" s="35"/>
      <c r="R121" s="57"/>
      <c r="S121" s="72" t="s">
        <v>17580</v>
      </c>
      <c r="V121" s="57"/>
      <c r="W121" s="208">
        <f>ROUND((ROUND((ROUND((_15_同援日２．５*_15・基礎２),0)*(1+_15・A早朝)),0)*(1+_15・区４)),0)</f>
        <v>888</v>
      </c>
      <c r="X121" s="48"/>
    </row>
    <row r="122" spans="1:24" ht="16.5" customHeight="1" x14ac:dyDescent="0.15">
      <c r="A122" s="41">
        <v>15</v>
      </c>
      <c r="B122" s="41">
        <v>8306</v>
      </c>
      <c r="C122" s="74" t="s">
        <v>18250</v>
      </c>
      <c r="D122" s="72"/>
      <c r="F122" s="57"/>
      <c r="G122" s="269" t="s">
        <v>17560</v>
      </c>
      <c r="H122" s="37" t="s">
        <v>398</v>
      </c>
      <c r="I122" s="38">
        <v>0.9</v>
      </c>
      <c r="J122" s="299" t="s">
        <v>17556</v>
      </c>
      <c r="K122" s="45" t="s">
        <v>398</v>
      </c>
      <c r="L122" s="46">
        <v>1</v>
      </c>
      <c r="M122" s="512"/>
      <c r="N122" s="57"/>
      <c r="O122" s="43"/>
      <c r="P122" s="37"/>
      <c r="Q122" s="38"/>
      <c r="R122" s="79"/>
      <c r="S122" s="72" t="s">
        <v>17572</v>
      </c>
      <c r="V122" s="57"/>
      <c r="W122" s="208">
        <f>ROUND((ROUND((ROUND((ROUND((_15_同援日２．５*_15・基礎２),0)*_15・２人),0)*(1+_15・A早朝)),0)*(1+_15・区４)),0)</f>
        <v>888</v>
      </c>
      <c r="X122" s="48"/>
    </row>
    <row r="123" spans="1:24" ht="16.5" customHeight="1" x14ac:dyDescent="0.15">
      <c r="A123" s="41">
        <v>15</v>
      </c>
      <c r="B123" s="41">
        <v>8307</v>
      </c>
      <c r="C123" s="74" t="s">
        <v>18251</v>
      </c>
      <c r="D123" s="72"/>
      <c r="F123" s="57"/>
      <c r="G123" s="53"/>
      <c r="H123" s="49"/>
      <c r="I123" s="50"/>
      <c r="J123" s="163"/>
      <c r="K123" s="45"/>
      <c r="L123" s="46"/>
      <c r="M123" s="512"/>
      <c r="N123" s="57"/>
      <c r="O123" s="114" t="s">
        <v>17562</v>
      </c>
      <c r="P123" s="49"/>
      <c r="Q123" s="50"/>
      <c r="R123" s="115"/>
      <c r="S123" s="35"/>
      <c r="T123" s="12" t="s">
        <v>398</v>
      </c>
      <c r="U123" s="13">
        <v>0.4</v>
      </c>
      <c r="V123" s="57" t="s">
        <v>3575</v>
      </c>
      <c r="W123" s="208">
        <f>ROUND((ROUND((ROUND((_15_同援日２．５*(1+_15・A早朝)),0)*(1+_15・盲ろう)),0)*(1+_15・区４)),0)</f>
        <v>1232</v>
      </c>
      <c r="X123" s="48"/>
    </row>
    <row r="124" spans="1:24" ht="16.5" customHeight="1" x14ac:dyDescent="0.15">
      <c r="A124" s="41">
        <v>15</v>
      </c>
      <c r="B124" s="41">
        <v>8308</v>
      </c>
      <c r="C124" s="74" t="s">
        <v>18252</v>
      </c>
      <c r="D124" s="72"/>
      <c r="F124" s="57"/>
      <c r="G124" s="43"/>
      <c r="H124" s="37"/>
      <c r="I124" s="38"/>
      <c r="J124" s="299" t="s">
        <v>17556</v>
      </c>
      <c r="K124" s="45" t="s">
        <v>398</v>
      </c>
      <c r="L124" s="46">
        <v>1</v>
      </c>
      <c r="M124" s="512"/>
      <c r="N124" s="57"/>
      <c r="O124" s="92" t="s">
        <v>17564</v>
      </c>
      <c r="R124" s="57"/>
      <c r="S124" s="35"/>
      <c r="V124" s="57"/>
      <c r="W124" s="208">
        <f>ROUND((ROUND((ROUND((ROUND((_15_同援日２．５*_15・２人),0)*(1+_15・A早朝)),0)*(1+_15・盲ろう)),0)*(1+_15・区４)),0)</f>
        <v>1232</v>
      </c>
      <c r="X124" s="48"/>
    </row>
    <row r="125" spans="1:24" ht="16.5" customHeight="1" x14ac:dyDescent="0.15">
      <c r="A125" s="41">
        <v>15</v>
      </c>
      <c r="B125" s="41">
        <v>8309</v>
      </c>
      <c r="C125" s="74" t="s">
        <v>18253</v>
      </c>
      <c r="D125" s="72"/>
      <c r="F125" s="57"/>
      <c r="G125" s="114" t="s">
        <v>17558</v>
      </c>
      <c r="H125" s="49"/>
      <c r="I125" s="50"/>
      <c r="J125" s="163"/>
      <c r="K125" s="45"/>
      <c r="L125" s="46"/>
      <c r="M125" s="512"/>
      <c r="N125" s="57"/>
      <c r="O125" s="35"/>
      <c r="P125" s="12" t="s">
        <v>398</v>
      </c>
      <c r="Q125" s="13">
        <v>0.25</v>
      </c>
      <c r="R125" s="57" t="s">
        <v>3575</v>
      </c>
      <c r="S125" s="35"/>
      <c r="V125" s="57"/>
      <c r="W125" s="208">
        <f>ROUND((ROUND((ROUND((ROUND((_15_同援日２．５*_15・基礎２),0)*(1+_15・A早朝)),0)*(1+_15・盲ろう)),0)*(1+_15・区４)),0)</f>
        <v>1110</v>
      </c>
      <c r="X125" s="48"/>
    </row>
    <row r="126" spans="1:24" ht="16.5" customHeight="1" x14ac:dyDescent="0.15">
      <c r="A126" s="41">
        <v>15</v>
      </c>
      <c r="B126" s="41">
        <v>8310</v>
      </c>
      <c r="C126" s="74" t="s">
        <v>18254</v>
      </c>
      <c r="D126" s="122"/>
      <c r="E126" s="37"/>
      <c r="F126" s="79"/>
      <c r="G126" s="269" t="s">
        <v>17560</v>
      </c>
      <c r="H126" s="37" t="s">
        <v>398</v>
      </c>
      <c r="I126" s="38">
        <v>0.9</v>
      </c>
      <c r="J126" s="299" t="s">
        <v>17556</v>
      </c>
      <c r="K126" s="45" t="s">
        <v>398</v>
      </c>
      <c r="L126" s="46">
        <v>1</v>
      </c>
      <c r="M126" s="514"/>
      <c r="N126" s="79"/>
      <c r="O126" s="43"/>
      <c r="P126" s="37"/>
      <c r="Q126" s="38"/>
      <c r="R126" s="79"/>
      <c r="S126" s="43"/>
      <c r="T126" s="37"/>
      <c r="U126" s="38"/>
      <c r="V126" s="79"/>
      <c r="W126" s="208">
        <f>ROUND((ROUND((ROUND((ROUND((ROUND((_15_同援日２．５*_15・基礎２),0)*_15・２人),0)*(1+_15・A早朝)),0)*(1+_15・盲ろう)),0)*(1+_15・区４)),0)</f>
        <v>1110</v>
      </c>
      <c r="X126" s="63"/>
    </row>
    <row r="127" spans="1:24" ht="16.5" customHeight="1" x14ac:dyDescent="0.15">
      <c r="A127" s="516"/>
      <c r="B127" s="516"/>
      <c r="C127" s="81"/>
      <c r="W127" s="209"/>
      <c r="X127" s="85"/>
    </row>
    <row r="128" spans="1:24" ht="16.5" customHeight="1" x14ac:dyDescent="0.15">
      <c r="A128" s="516"/>
      <c r="B128" s="516"/>
      <c r="C128" s="81"/>
      <c r="W128" s="209"/>
      <c r="X128" s="85"/>
    </row>
    <row r="129" spans="1:24" ht="16.5" customHeight="1" x14ac:dyDescent="0.15">
      <c r="A129" s="516"/>
      <c r="B129" s="209" t="s">
        <v>18255</v>
      </c>
      <c r="C129" s="81"/>
      <c r="D129" s="71"/>
      <c r="W129" s="209"/>
      <c r="X129" s="85"/>
    </row>
    <row r="130" spans="1:24" ht="16.5" customHeight="1" x14ac:dyDescent="0.15">
      <c r="A130" s="87" t="s">
        <v>384</v>
      </c>
      <c r="B130" s="20"/>
      <c r="C130" s="88" t="s">
        <v>385</v>
      </c>
      <c r="D130" s="23" t="s">
        <v>386</v>
      </c>
      <c r="E130" s="23"/>
      <c r="F130" s="23"/>
      <c r="G130" s="23"/>
      <c r="H130" s="23"/>
      <c r="I130" s="24"/>
      <c r="J130" s="23"/>
      <c r="K130" s="23"/>
      <c r="L130" s="24"/>
      <c r="M130" s="24"/>
      <c r="N130" s="23"/>
      <c r="O130" s="23"/>
      <c r="P130" s="23"/>
      <c r="Q130" s="24"/>
      <c r="R130" s="23"/>
      <c r="S130" s="23"/>
      <c r="T130" s="23"/>
      <c r="U130" s="24"/>
      <c r="V130" s="23"/>
      <c r="W130" s="21" t="s">
        <v>387</v>
      </c>
      <c r="X130" s="21" t="s">
        <v>388</v>
      </c>
    </row>
    <row r="131" spans="1:24" ht="16.5" customHeight="1" x14ac:dyDescent="0.15">
      <c r="A131" s="26" t="s">
        <v>389</v>
      </c>
      <c r="B131" s="26" t="s">
        <v>390</v>
      </c>
      <c r="C131" s="89"/>
      <c r="D131" s="29"/>
      <c r="E131" s="29"/>
      <c r="F131" s="29"/>
      <c r="G131" s="29"/>
      <c r="H131" s="29"/>
      <c r="I131" s="30"/>
      <c r="J131" s="29"/>
      <c r="K131" s="29"/>
      <c r="L131" s="30"/>
      <c r="M131" s="30"/>
      <c r="N131" s="29"/>
      <c r="O131" s="29"/>
      <c r="P131" s="29"/>
      <c r="Q131" s="30"/>
      <c r="R131" s="29"/>
      <c r="S131" s="29"/>
      <c r="T131" s="29"/>
      <c r="U131" s="30"/>
      <c r="V131" s="29"/>
      <c r="W131" s="32" t="s">
        <v>391</v>
      </c>
      <c r="X131" s="32" t="s">
        <v>392</v>
      </c>
    </row>
    <row r="132" spans="1:24" ht="16.5" customHeight="1" x14ac:dyDescent="0.15">
      <c r="A132" s="33">
        <v>15</v>
      </c>
      <c r="B132" s="33">
        <v>8311</v>
      </c>
      <c r="C132" s="34" t="s">
        <v>18256</v>
      </c>
      <c r="D132" s="72" t="s">
        <v>18257</v>
      </c>
      <c r="F132" s="57"/>
      <c r="G132" s="35"/>
      <c r="J132" s="43"/>
      <c r="K132" s="37"/>
      <c r="L132" s="38"/>
      <c r="M132" s="512"/>
      <c r="N132" s="57"/>
      <c r="O132" s="35"/>
      <c r="R132" s="57"/>
      <c r="S132" s="35"/>
      <c r="V132" s="57"/>
      <c r="W132" s="207">
        <f>ROUND((_15_同援日０．５*(1+_15・A夜間)),0)</f>
        <v>238</v>
      </c>
      <c r="X132" s="40" t="s">
        <v>395</v>
      </c>
    </row>
    <row r="133" spans="1:24" ht="16.5" customHeight="1" x14ac:dyDescent="0.15">
      <c r="A133" s="41">
        <v>15</v>
      </c>
      <c r="B133" s="41">
        <v>8312</v>
      </c>
      <c r="C133" s="74" t="s">
        <v>18258</v>
      </c>
      <c r="D133" s="72" t="s">
        <v>18259</v>
      </c>
      <c r="F133" s="57"/>
      <c r="G133" s="43"/>
      <c r="H133" s="37"/>
      <c r="I133" s="38"/>
      <c r="J133" s="299" t="s">
        <v>17556</v>
      </c>
      <c r="K133" s="45" t="s">
        <v>398</v>
      </c>
      <c r="L133" s="46">
        <v>1</v>
      </c>
      <c r="M133" s="512"/>
      <c r="N133" s="57"/>
      <c r="O133" s="35"/>
      <c r="R133" s="57"/>
      <c r="S133" s="35"/>
      <c r="V133" s="57"/>
      <c r="W133" s="208">
        <f>ROUND((ROUND((_15_同援日０．５*_15・２人),0)*(1+_15・A夜間)),0)</f>
        <v>238</v>
      </c>
      <c r="X133" s="48"/>
    </row>
    <row r="134" spans="1:24" ht="16.5" customHeight="1" x14ac:dyDescent="0.15">
      <c r="A134" s="41">
        <v>15</v>
      </c>
      <c r="B134" s="41">
        <v>8313</v>
      </c>
      <c r="C134" s="74" t="s">
        <v>18260</v>
      </c>
      <c r="D134" s="72"/>
      <c r="F134" s="57"/>
      <c r="G134" s="114" t="s">
        <v>17558</v>
      </c>
      <c r="H134" s="49"/>
      <c r="I134" s="50"/>
      <c r="J134" s="163"/>
      <c r="K134" s="45"/>
      <c r="L134" s="46"/>
      <c r="M134" s="512"/>
      <c r="N134" s="57"/>
      <c r="O134" s="35"/>
      <c r="R134" s="57"/>
      <c r="S134" s="35"/>
      <c r="V134" s="57"/>
      <c r="W134" s="208">
        <f>ROUND((ROUND((_15_同援日０．５*_15・基礎２),0)*(1+_15・A夜間)),0)</f>
        <v>214</v>
      </c>
      <c r="X134" s="48"/>
    </row>
    <row r="135" spans="1:24" ht="16.5" customHeight="1" x14ac:dyDescent="0.15">
      <c r="A135" s="41">
        <v>15</v>
      </c>
      <c r="B135" s="41">
        <v>8314</v>
      </c>
      <c r="C135" s="74" t="s">
        <v>18261</v>
      </c>
      <c r="D135" s="72"/>
      <c r="E135" s="168">
        <f>_15_同援日０．５</f>
        <v>190</v>
      </c>
      <c r="F135" s="57" t="s">
        <v>392</v>
      </c>
      <c r="G135" s="269" t="s">
        <v>17560</v>
      </c>
      <c r="H135" s="37" t="s">
        <v>398</v>
      </c>
      <c r="I135" s="38">
        <v>0.9</v>
      </c>
      <c r="J135" s="299" t="s">
        <v>17556</v>
      </c>
      <c r="K135" s="45" t="s">
        <v>398</v>
      </c>
      <c r="L135" s="46">
        <v>1</v>
      </c>
      <c r="M135" s="512"/>
      <c r="N135" s="57"/>
      <c r="O135" s="43"/>
      <c r="P135" s="37"/>
      <c r="Q135" s="38"/>
      <c r="R135" s="79"/>
      <c r="S135" s="35"/>
      <c r="V135" s="57"/>
      <c r="W135" s="208">
        <f>ROUND((ROUND((ROUND((_15_同援日０．５*_15・基礎２),0)*_15・２人),0)*(1+_15・A夜間)),0)</f>
        <v>214</v>
      </c>
      <c r="X135" s="48"/>
    </row>
    <row r="136" spans="1:24" ht="16.5" customHeight="1" x14ac:dyDescent="0.15">
      <c r="A136" s="41">
        <v>15</v>
      </c>
      <c r="B136" s="41">
        <v>8315</v>
      </c>
      <c r="C136" s="74" t="s">
        <v>18262</v>
      </c>
      <c r="D136" s="72"/>
      <c r="F136" s="57"/>
      <c r="G136" s="53"/>
      <c r="H136" s="49"/>
      <c r="I136" s="50"/>
      <c r="J136" s="163"/>
      <c r="K136" s="45"/>
      <c r="L136" s="46"/>
      <c r="M136" s="512"/>
      <c r="N136" s="57"/>
      <c r="O136" s="114" t="s">
        <v>17562</v>
      </c>
      <c r="P136" s="49"/>
      <c r="Q136" s="50"/>
      <c r="R136" s="115"/>
      <c r="S136" s="35"/>
      <c r="V136" s="57"/>
      <c r="W136" s="208">
        <f>ROUND((ROUND((_15_同援日０．５*(1+_15・A夜間)),0)*(1+_15・盲ろう)),0)</f>
        <v>298</v>
      </c>
      <c r="X136" s="48"/>
    </row>
    <row r="137" spans="1:24" ht="16.5" customHeight="1" x14ac:dyDescent="0.15">
      <c r="A137" s="41">
        <v>15</v>
      </c>
      <c r="B137" s="41">
        <v>8316</v>
      </c>
      <c r="C137" s="74" t="s">
        <v>18263</v>
      </c>
      <c r="D137" s="72"/>
      <c r="F137" s="57"/>
      <c r="G137" s="43"/>
      <c r="H137" s="37"/>
      <c r="I137" s="38"/>
      <c r="J137" s="299" t="s">
        <v>17556</v>
      </c>
      <c r="K137" s="45" t="s">
        <v>398</v>
      </c>
      <c r="L137" s="46">
        <v>1</v>
      </c>
      <c r="M137" s="512" t="s">
        <v>18264</v>
      </c>
      <c r="N137" s="57"/>
      <c r="O137" s="92" t="s">
        <v>17564</v>
      </c>
      <c r="R137" s="57"/>
      <c r="S137" s="35"/>
      <c r="V137" s="57"/>
      <c r="W137" s="208">
        <f>ROUND((ROUND((ROUND((_15_同援日０．５*_15・２人),0)*(1+_15・A夜間)),0)*(1+_15・盲ろう)),0)</f>
        <v>298</v>
      </c>
      <c r="X137" s="48"/>
    </row>
    <row r="138" spans="1:24" ht="16.5" customHeight="1" x14ac:dyDescent="0.15">
      <c r="A138" s="41">
        <v>15</v>
      </c>
      <c r="B138" s="41">
        <v>8317</v>
      </c>
      <c r="C138" s="74" t="s">
        <v>18265</v>
      </c>
      <c r="D138" s="72"/>
      <c r="F138" s="57"/>
      <c r="G138" s="114" t="s">
        <v>17558</v>
      </c>
      <c r="H138" s="49"/>
      <c r="I138" s="50"/>
      <c r="J138" s="163"/>
      <c r="K138" s="45"/>
      <c r="L138" s="46"/>
      <c r="M138" s="512"/>
      <c r="N138" s="513" t="s">
        <v>18136</v>
      </c>
      <c r="O138" s="35"/>
      <c r="P138" s="12" t="s">
        <v>398</v>
      </c>
      <c r="Q138" s="13">
        <v>0.25</v>
      </c>
      <c r="R138" s="57" t="s">
        <v>3575</v>
      </c>
      <c r="S138" s="35"/>
      <c r="V138" s="57"/>
      <c r="W138" s="208">
        <f>ROUND((ROUND((ROUND((_15_同援日０．５*_15・基礎２),0)*(1+_15・A夜間)),0)*(1+_15・盲ろう)),0)</f>
        <v>268</v>
      </c>
      <c r="X138" s="48"/>
    </row>
    <row r="139" spans="1:24" ht="16.5" customHeight="1" x14ac:dyDescent="0.15">
      <c r="A139" s="41">
        <v>15</v>
      </c>
      <c r="B139" s="41">
        <v>8318</v>
      </c>
      <c r="C139" s="74" t="s">
        <v>18266</v>
      </c>
      <c r="D139" s="72"/>
      <c r="F139" s="57"/>
      <c r="G139" s="269" t="s">
        <v>17560</v>
      </c>
      <c r="H139" s="37" t="s">
        <v>398</v>
      </c>
      <c r="I139" s="38">
        <v>0.9</v>
      </c>
      <c r="J139" s="299" t="s">
        <v>17556</v>
      </c>
      <c r="K139" s="45" t="s">
        <v>398</v>
      </c>
      <c r="L139" s="46">
        <v>1</v>
      </c>
      <c r="M139" s="512"/>
      <c r="N139" s="57"/>
      <c r="O139" s="43"/>
      <c r="P139" s="37"/>
      <c r="Q139" s="38"/>
      <c r="R139" s="79"/>
      <c r="S139" s="43"/>
      <c r="T139" s="37"/>
      <c r="U139" s="38"/>
      <c r="V139" s="79"/>
      <c r="W139" s="208">
        <f>ROUND((ROUND((ROUND((ROUND((_15_同援日０．５*_15・基礎２),0)*_15・２人),0)*(1+_15・A夜間)),0)*(1+_15・盲ろう)),0)</f>
        <v>268</v>
      </c>
      <c r="X139" s="48"/>
    </row>
    <row r="140" spans="1:24" ht="16.5" customHeight="1" x14ac:dyDescent="0.15">
      <c r="A140" s="41">
        <v>15</v>
      </c>
      <c r="B140" s="41">
        <v>8319</v>
      </c>
      <c r="C140" s="74" t="s">
        <v>18267</v>
      </c>
      <c r="D140" s="72"/>
      <c r="F140" s="57"/>
      <c r="G140" s="53"/>
      <c r="H140" s="49"/>
      <c r="I140" s="50"/>
      <c r="J140" s="163"/>
      <c r="K140" s="45"/>
      <c r="L140" s="46"/>
      <c r="M140" s="35" t="s">
        <v>398</v>
      </c>
      <c r="N140" s="234">
        <v>0.25</v>
      </c>
      <c r="O140" s="53"/>
      <c r="P140" s="49"/>
      <c r="Q140" s="50"/>
      <c r="R140" s="115"/>
      <c r="S140" s="53"/>
      <c r="T140" s="49"/>
      <c r="U140" s="50"/>
      <c r="V140" s="115"/>
      <c r="W140" s="208">
        <f>ROUND((ROUND((_15_同援日０．５*(1+_15・A夜間)),0)*(1+_15・区３)),0)</f>
        <v>286</v>
      </c>
      <c r="X140" s="48"/>
    </row>
    <row r="141" spans="1:24" ht="16.5" customHeight="1" x14ac:dyDescent="0.15">
      <c r="A141" s="41">
        <v>15</v>
      </c>
      <c r="B141" s="41">
        <v>8320</v>
      </c>
      <c r="C141" s="74" t="s">
        <v>18268</v>
      </c>
      <c r="D141" s="72"/>
      <c r="F141" s="57"/>
      <c r="G141" s="43"/>
      <c r="H141" s="37"/>
      <c r="I141" s="38"/>
      <c r="J141" s="299" t="s">
        <v>17556</v>
      </c>
      <c r="K141" s="45" t="s">
        <v>398</v>
      </c>
      <c r="L141" s="46">
        <v>1</v>
      </c>
      <c r="M141" s="512"/>
      <c r="N141" s="513" t="s">
        <v>3575</v>
      </c>
      <c r="O141" s="35"/>
      <c r="R141" s="57"/>
      <c r="S141" s="35"/>
      <c r="V141" s="57"/>
      <c r="W141" s="208">
        <f>ROUND((ROUND((ROUND((_15_同援日０．５*_15・２人),0)*(1+_15・A夜間)),0)*(1+_15・区３)),0)</f>
        <v>286</v>
      </c>
      <c r="X141" s="48"/>
    </row>
    <row r="142" spans="1:24" ht="16.5" customHeight="1" x14ac:dyDescent="0.15">
      <c r="A142" s="41">
        <v>15</v>
      </c>
      <c r="B142" s="41">
        <v>8321</v>
      </c>
      <c r="C142" s="74" t="s">
        <v>18269</v>
      </c>
      <c r="D142" s="72"/>
      <c r="F142" s="57"/>
      <c r="G142" s="114" t="s">
        <v>17558</v>
      </c>
      <c r="H142" s="49"/>
      <c r="I142" s="50"/>
      <c r="J142" s="163"/>
      <c r="K142" s="45"/>
      <c r="L142" s="46"/>
      <c r="M142" s="512"/>
      <c r="N142" s="57"/>
      <c r="O142" s="35"/>
      <c r="R142" s="57"/>
      <c r="S142" s="72" t="s">
        <v>17570</v>
      </c>
      <c r="V142" s="57"/>
      <c r="W142" s="208">
        <f>ROUND((ROUND((ROUND((_15_同援日０．５*_15・基礎２),0)*(1+_15・A夜間)),0)*(1+_15・区３)),0)</f>
        <v>257</v>
      </c>
      <c r="X142" s="48"/>
    </row>
    <row r="143" spans="1:24" ht="16.5" customHeight="1" x14ac:dyDescent="0.15">
      <c r="A143" s="41">
        <v>15</v>
      </c>
      <c r="B143" s="41">
        <v>8322</v>
      </c>
      <c r="C143" s="74" t="s">
        <v>18270</v>
      </c>
      <c r="D143" s="72"/>
      <c r="F143" s="57"/>
      <c r="G143" s="269" t="s">
        <v>17560</v>
      </c>
      <c r="H143" s="37" t="s">
        <v>398</v>
      </c>
      <c r="I143" s="38">
        <v>0.9</v>
      </c>
      <c r="J143" s="299" t="s">
        <v>17556</v>
      </c>
      <c r="K143" s="45" t="s">
        <v>398</v>
      </c>
      <c r="L143" s="46">
        <v>1</v>
      </c>
      <c r="M143" s="512"/>
      <c r="N143" s="57"/>
      <c r="O143" s="43"/>
      <c r="P143" s="37"/>
      <c r="Q143" s="38"/>
      <c r="R143" s="79"/>
      <c r="S143" s="72" t="s">
        <v>17572</v>
      </c>
      <c r="V143" s="57"/>
      <c r="W143" s="208">
        <f>ROUND((ROUND((ROUND((ROUND((_15_同援日０．５*_15・基礎２),0)*_15・２人),0)*(1+_15・A夜間)),0)*(1+_15・区３)),0)</f>
        <v>257</v>
      </c>
      <c r="X143" s="48"/>
    </row>
    <row r="144" spans="1:24" ht="16.5" customHeight="1" x14ac:dyDescent="0.15">
      <c r="A144" s="41">
        <v>15</v>
      </c>
      <c r="B144" s="41">
        <v>8323</v>
      </c>
      <c r="C144" s="74" t="s">
        <v>18271</v>
      </c>
      <c r="D144" s="72"/>
      <c r="F144" s="57"/>
      <c r="G144" s="53"/>
      <c r="H144" s="49"/>
      <c r="I144" s="50"/>
      <c r="J144" s="163"/>
      <c r="K144" s="45"/>
      <c r="L144" s="46"/>
      <c r="M144" s="512"/>
      <c r="N144" s="57"/>
      <c r="O144" s="114" t="s">
        <v>17562</v>
      </c>
      <c r="P144" s="49"/>
      <c r="Q144" s="50"/>
      <c r="R144" s="115"/>
      <c r="S144" s="35"/>
      <c r="T144" s="12" t="s">
        <v>398</v>
      </c>
      <c r="U144" s="13">
        <v>0.2</v>
      </c>
      <c r="V144" s="57" t="s">
        <v>3575</v>
      </c>
      <c r="W144" s="208">
        <f>ROUND((ROUND((ROUND((_15_同援日０．５*(1+_15・A夜間)),0)*(1+_15・盲ろう)),0)*(1+_15・区３)),0)</f>
        <v>358</v>
      </c>
      <c r="X144" s="48"/>
    </row>
    <row r="145" spans="1:24" ht="16.5" customHeight="1" x14ac:dyDescent="0.15">
      <c r="A145" s="41">
        <v>15</v>
      </c>
      <c r="B145" s="41">
        <v>8324</v>
      </c>
      <c r="C145" s="74" t="s">
        <v>18272</v>
      </c>
      <c r="D145" s="72"/>
      <c r="F145" s="57"/>
      <c r="G145" s="43"/>
      <c r="H145" s="37"/>
      <c r="I145" s="38"/>
      <c r="J145" s="299" t="s">
        <v>17556</v>
      </c>
      <c r="K145" s="45" t="s">
        <v>398</v>
      </c>
      <c r="L145" s="46">
        <v>1</v>
      </c>
      <c r="M145" s="512"/>
      <c r="N145" s="57"/>
      <c r="O145" s="92" t="s">
        <v>17564</v>
      </c>
      <c r="R145" s="57"/>
      <c r="S145" s="35"/>
      <c r="V145" s="57"/>
      <c r="W145" s="208">
        <f>ROUND((ROUND((ROUND((ROUND((_15_同援日０．５*_15・２人),0)*(1+_15・A夜間)),0)*(1+_15・盲ろう)),0)*(1+_15・区３)),0)</f>
        <v>358</v>
      </c>
      <c r="X145" s="48"/>
    </row>
    <row r="146" spans="1:24" ht="16.5" customHeight="1" x14ac:dyDescent="0.15">
      <c r="A146" s="41">
        <v>15</v>
      </c>
      <c r="B146" s="41">
        <v>8325</v>
      </c>
      <c r="C146" s="74" t="s">
        <v>18273</v>
      </c>
      <c r="D146" s="72"/>
      <c r="F146" s="57"/>
      <c r="G146" s="114" t="s">
        <v>17558</v>
      </c>
      <c r="H146" s="49"/>
      <c r="I146" s="50"/>
      <c r="J146" s="163"/>
      <c r="K146" s="45"/>
      <c r="L146" s="46"/>
      <c r="M146" s="512"/>
      <c r="N146" s="57"/>
      <c r="O146" s="35"/>
      <c r="P146" s="12" t="s">
        <v>398</v>
      </c>
      <c r="Q146" s="13">
        <v>0.25</v>
      </c>
      <c r="R146" s="57" t="s">
        <v>3575</v>
      </c>
      <c r="S146" s="35"/>
      <c r="V146" s="57"/>
      <c r="W146" s="208">
        <f>ROUND((ROUND((ROUND((ROUND((_15_同援日０．５*_15・基礎２),0)*(1+_15・A夜間)),0)*(1+_15・盲ろう)),0)*(1+_15・区３)),0)</f>
        <v>322</v>
      </c>
      <c r="X146" s="48"/>
    </row>
    <row r="147" spans="1:24" ht="16.5" customHeight="1" x14ac:dyDescent="0.15">
      <c r="A147" s="41">
        <v>15</v>
      </c>
      <c r="B147" s="41">
        <v>8326</v>
      </c>
      <c r="C147" s="74" t="s">
        <v>18274</v>
      </c>
      <c r="D147" s="72"/>
      <c r="F147" s="57"/>
      <c r="G147" s="269" t="s">
        <v>17560</v>
      </c>
      <c r="H147" s="37" t="s">
        <v>398</v>
      </c>
      <c r="I147" s="38">
        <v>0.9</v>
      </c>
      <c r="J147" s="299" t="s">
        <v>17556</v>
      </c>
      <c r="K147" s="45" t="s">
        <v>398</v>
      </c>
      <c r="L147" s="46">
        <v>1</v>
      </c>
      <c r="M147" s="512"/>
      <c r="N147" s="57"/>
      <c r="O147" s="43"/>
      <c r="P147" s="37"/>
      <c r="Q147" s="38"/>
      <c r="R147" s="79"/>
      <c r="S147" s="43"/>
      <c r="T147" s="37"/>
      <c r="U147" s="38"/>
      <c r="V147" s="79"/>
      <c r="W147" s="208">
        <f>ROUND((ROUND((ROUND((ROUND((ROUND((_15_同援日０．５*_15・基礎２),0)*_15・２人),0)*(1+_15・A夜間)),0)*(1+_15・盲ろう)),0)*(1+_15・区３)),0)</f>
        <v>322</v>
      </c>
      <c r="X147" s="48"/>
    </row>
    <row r="148" spans="1:24" ht="16.5" customHeight="1" x14ac:dyDescent="0.15">
      <c r="A148" s="41">
        <v>15</v>
      </c>
      <c r="B148" s="41">
        <v>8327</v>
      </c>
      <c r="C148" s="74" t="s">
        <v>18275</v>
      </c>
      <c r="D148" s="72"/>
      <c r="F148" s="57"/>
      <c r="G148" s="53"/>
      <c r="H148" s="49"/>
      <c r="I148" s="50"/>
      <c r="J148" s="163"/>
      <c r="K148" s="45"/>
      <c r="L148" s="46"/>
      <c r="M148" s="512"/>
      <c r="N148" s="57"/>
      <c r="O148" s="53"/>
      <c r="P148" s="49"/>
      <c r="Q148" s="50"/>
      <c r="R148" s="115"/>
      <c r="S148" s="53"/>
      <c r="T148" s="49"/>
      <c r="U148" s="50"/>
      <c r="V148" s="115"/>
      <c r="W148" s="208">
        <f>ROUND((ROUND((_15_同援日０．５*(1+_15・A夜間)),0)*(1+_15・区４)),0)</f>
        <v>333</v>
      </c>
      <c r="X148" s="48"/>
    </row>
    <row r="149" spans="1:24" ht="16.5" customHeight="1" x14ac:dyDescent="0.15">
      <c r="A149" s="41">
        <v>15</v>
      </c>
      <c r="B149" s="41">
        <v>8328</v>
      </c>
      <c r="C149" s="74" t="s">
        <v>18276</v>
      </c>
      <c r="D149" s="72"/>
      <c r="F149" s="57"/>
      <c r="G149" s="43"/>
      <c r="H149" s="37"/>
      <c r="I149" s="38"/>
      <c r="J149" s="299" t="s">
        <v>17556</v>
      </c>
      <c r="K149" s="45" t="s">
        <v>398</v>
      </c>
      <c r="L149" s="46">
        <v>1</v>
      </c>
      <c r="M149" s="512"/>
      <c r="N149" s="57"/>
      <c r="O149" s="35"/>
      <c r="R149" s="57"/>
      <c r="S149" s="35"/>
      <c r="V149" s="57"/>
      <c r="W149" s="208">
        <f>ROUND((ROUND((ROUND((_15_同援日０．５*_15・２人),0)*(1+_15・A夜間)),0)*(1+_15・区４)),0)</f>
        <v>333</v>
      </c>
      <c r="X149" s="48"/>
    </row>
    <row r="150" spans="1:24" ht="16.5" customHeight="1" x14ac:dyDescent="0.15">
      <c r="A150" s="41">
        <v>15</v>
      </c>
      <c r="B150" s="41">
        <v>8329</v>
      </c>
      <c r="C150" s="74" t="s">
        <v>18277</v>
      </c>
      <c r="D150" s="72"/>
      <c r="F150" s="57"/>
      <c r="G150" s="114" t="s">
        <v>17558</v>
      </c>
      <c r="H150" s="49"/>
      <c r="I150" s="50"/>
      <c r="J150" s="163"/>
      <c r="K150" s="45"/>
      <c r="L150" s="46"/>
      <c r="M150" s="512"/>
      <c r="N150" s="57"/>
      <c r="O150" s="35"/>
      <c r="R150" s="57"/>
      <c r="S150" s="72" t="s">
        <v>17580</v>
      </c>
      <c r="V150" s="57"/>
      <c r="W150" s="208">
        <f>ROUND((ROUND((ROUND((_15_同援日０．５*_15・基礎２),0)*(1+_15・A夜間)),0)*(1+_15・区４)),0)</f>
        <v>300</v>
      </c>
      <c r="X150" s="48"/>
    </row>
    <row r="151" spans="1:24" ht="16.5" customHeight="1" x14ac:dyDescent="0.15">
      <c r="A151" s="41">
        <v>15</v>
      </c>
      <c r="B151" s="41">
        <v>8330</v>
      </c>
      <c r="C151" s="74" t="s">
        <v>18278</v>
      </c>
      <c r="D151" s="72"/>
      <c r="F151" s="57"/>
      <c r="G151" s="269" t="s">
        <v>17560</v>
      </c>
      <c r="H151" s="37" t="s">
        <v>398</v>
      </c>
      <c r="I151" s="38">
        <v>0.9</v>
      </c>
      <c r="J151" s="299" t="s">
        <v>17556</v>
      </c>
      <c r="K151" s="45" t="s">
        <v>398</v>
      </c>
      <c r="L151" s="46">
        <v>1</v>
      </c>
      <c r="M151" s="512"/>
      <c r="N151" s="57"/>
      <c r="O151" s="43"/>
      <c r="P151" s="37"/>
      <c r="Q151" s="38"/>
      <c r="R151" s="79"/>
      <c r="S151" s="72" t="s">
        <v>17572</v>
      </c>
      <c r="V151" s="57"/>
      <c r="W151" s="208">
        <f>ROUND((ROUND((ROUND((ROUND((_15_同援日０．５*_15・基礎２),0)*_15・２人),0)*(1+_15・A夜間)),0)*(1+_15・区４)),0)</f>
        <v>300</v>
      </c>
      <c r="X151" s="48"/>
    </row>
    <row r="152" spans="1:24" ht="16.5" customHeight="1" x14ac:dyDescent="0.15">
      <c r="A152" s="41">
        <v>15</v>
      </c>
      <c r="B152" s="41">
        <v>8331</v>
      </c>
      <c r="C152" s="74" t="s">
        <v>18279</v>
      </c>
      <c r="D152" s="72"/>
      <c r="F152" s="57"/>
      <c r="G152" s="53"/>
      <c r="H152" s="49"/>
      <c r="I152" s="50"/>
      <c r="J152" s="163"/>
      <c r="K152" s="45"/>
      <c r="L152" s="46"/>
      <c r="M152" s="512"/>
      <c r="N152" s="57"/>
      <c r="O152" s="114" t="s">
        <v>17562</v>
      </c>
      <c r="P152" s="49"/>
      <c r="Q152" s="50"/>
      <c r="R152" s="115"/>
      <c r="S152" s="35"/>
      <c r="T152" s="12" t="s">
        <v>398</v>
      </c>
      <c r="U152" s="13">
        <v>0.4</v>
      </c>
      <c r="V152" s="57" t="s">
        <v>3575</v>
      </c>
      <c r="W152" s="208">
        <f>ROUND((ROUND((ROUND((_15_同援日０．５*(1+_15・A夜間)),0)*(1+_15・盲ろう)),0)*(1+_15・区４)),0)</f>
        <v>417</v>
      </c>
      <c r="X152" s="48"/>
    </row>
    <row r="153" spans="1:24" ht="16.5" customHeight="1" x14ac:dyDescent="0.15">
      <c r="A153" s="41">
        <v>15</v>
      </c>
      <c r="B153" s="41">
        <v>8332</v>
      </c>
      <c r="C153" s="74" t="s">
        <v>18280</v>
      </c>
      <c r="D153" s="72"/>
      <c r="F153" s="57"/>
      <c r="G153" s="43"/>
      <c r="H153" s="37"/>
      <c r="I153" s="38"/>
      <c r="J153" s="299" t="s">
        <v>17556</v>
      </c>
      <c r="K153" s="45" t="s">
        <v>398</v>
      </c>
      <c r="L153" s="46">
        <v>1</v>
      </c>
      <c r="M153" s="512"/>
      <c r="N153" s="57"/>
      <c r="O153" s="92" t="s">
        <v>17564</v>
      </c>
      <c r="R153" s="57"/>
      <c r="S153" s="35"/>
      <c r="V153" s="57"/>
      <c r="W153" s="208">
        <f>ROUND((ROUND((ROUND((ROUND((_15_同援日０．５*_15・２人),0)*(1+_15・A夜間)),0)*(1+_15・盲ろう)),0)*(1+_15・区４)),0)</f>
        <v>417</v>
      </c>
      <c r="X153" s="48"/>
    </row>
    <row r="154" spans="1:24" ht="16.5" customHeight="1" x14ac:dyDescent="0.15">
      <c r="A154" s="41">
        <v>15</v>
      </c>
      <c r="B154" s="41">
        <v>8333</v>
      </c>
      <c r="C154" s="74" t="s">
        <v>18281</v>
      </c>
      <c r="D154" s="72"/>
      <c r="F154" s="57"/>
      <c r="G154" s="114" t="s">
        <v>17558</v>
      </c>
      <c r="H154" s="49"/>
      <c r="I154" s="50"/>
      <c r="J154" s="163"/>
      <c r="K154" s="45"/>
      <c r="L154" s="46"/>
      <c r="M154" s="512"/>
      <c r="N154" s="57"/>
      <c r="O154" s="35"/>
      <c r="P154" s="12" t="s">
        <v>398</v>
      </c>
      <c r="Q154" s="13">
        <v>0.25</v>
      </c>
      <c r="R154" s="57" t="s">
        <v>3575</v>
      </c>
      <c r="S154" s="35"/>
      <c r="V154" s="57"/>
      <c r="W154" s="208">
        <f>ROUND((ROUND((ROUND((ROUND((_15_同援日０．５*_15・基礎２),0)*(1+_15・A夜間)),0)*(1+_15・盲ろう)),0)*(1+_15・区４)),0)</f>
        <v>375</v>
      </c>
      <c r="X154" s="48"/>
    </row>
    <row r="155" spans="1:24" ht="16.5" customHeight="1" x14ac:dyDescent="0.15">
      <c r="A155" s="41">
        <v>15</v>
      </c>
      <c r="B155" s="41">
        <v>8334</v>
      </c>
      <c r="C155" s="74" t="s">
        <v>18282</v>
      </c>
      <c r="D155" s="122"/>
      <c r="E155" s="37"/>
      <c r="F155" s="79"/>
      <c r="G155" s="269" t="s">
        <v>17560</v>
      </c>
      <c r="H155" s="37" t="s">
        <v>398</v>
      </c>
      <c r="I155" s="38">
        <v>0.9</v>
      </c>
      <c r="J155" s="299" t="s">
        <v>17556</v>
      </c>
      <c r="K155" s="45" t="s">
        <v>398</v>
      </c>
      <c r="L155" s="46">
        <v>1</v>
      </c>
      <c r="M155" s="512"/>
      <c r="N155" s="57"/>
      <c r="O155" s="43"/>
      <c r="P155" s="37"/>
      <c r="Q155" s="38"/>
      <c r="R155" s="79"/>
      <c r="S155" s="43"/>
      <c r="T155" s="37"/>
      <c r="U155" s="38"/>
      <c r="V155" s="79"/>
      <c r="W155" s="208">
        <f>ROUND((ROUND((ROUND((ROUND((ROUND((_15_同援日０．５*_15・基礎２),0)*_15・２人),0)*(1+_15・A夜間)),0)*(1+_15・盲ろう)),0)*(1+_15・区４)),0)</f>
        <v>375</v>
      </c>
      <c r="X155" s="48"/>
    </row>
    <row r="156" spans="1:24" ht="16.5" customHeight="1" x14ac:dyDescent="0.15">
      <c r="A156" s="41">
        <v>15</v>
      </c>
      <c r="B156" s="41">
        <v>8335</v>
      </c>
      <c r="C156" s="74" t="s">
        <v>18283</v>
      </c>
      <c r="D156" s="114" t="s">
        <v>18284</v>
      </c>
      <c r="E156" s="49"/>
      <c r="F156" s="115"/>
      <c r="G156" s="53"/>
      <c r="H156" s="49"/>
      <c r="I156" s="50"/>
      <c r="J156" s="163"/>
      <c r="K156" s="45"/>
      <c r="L156" s="46"/>
      <c r="M156" s="512"/>
      <c r="N156" s="57"/>
      <c r="O156" s="53"/>
      <c r="P156" s="49"/>
      <c r="Q156" s="50"/>
      <c r="R156" s="115"/>
      <c r="S156" s="53"/>
      <c r="T156" s="49"/>
      <c r="U156" s="50"/>
      <c r="V156" s="115"/>
      <c r="W156" s="208">
        <f>ROUND((_15_同援日１．０*(1+_15・A夜間)),0)</f>
        <v>375</v>
      </c>
      <c r="X156" s="48"/>
    </row>
    <row r="157" spans="1:24" ht="16.5" customHeight="1" x14ac:dyDescent="0.15">
      <c r="A157" s="41">
        <v>15</v>
      </c>
      <c r="B157" s="41">
        <v>8336</v>
      </c>
      <c r="C157" s="74" t="s">
        <v>18285</v>
      </c>
      <c r="D157" s="72" t="s">
        <v>17589</v>
      </c>
      <c r="F157" s="57"/>
      <c r="G157" s="43"/>
      <c r="H157" s="37"/>
      <c r="I157" s="38"/>
      <c r="J157" s="299" t="s">
        <v>17556</v>
      </c>
      <c r="K157" s="45" t="s">
        <v>398</v>
      </c>
      <c r="L157" s="46">
        <v>1</v>
      </c>
      <c r="M157" s="512"/>
      <c r="N157" s="57"/>
      <c r="O157" s="35"/>
      <c r="R157" s="57"/>
      <c r="S157" s="35"/>
      <c r="V157" s="57"/>
      <c r="W157" s="208">
        <f>ROUND((ROUND((_15_同援日１．０*_15・２人),0)*(1+_15・A夜間)),0)</f>
        <v>375</v>
      </c>
      <c r="X157" s="48"/>
    </row>
    <row r="158" spans="1:24" ht="16.5" customHeight="1" x14ac:dyDescent="0.15">
      <c r="A158" s="41">
        <v>15</v>
      </c>
      <c r="B158" s="41">
        <v>8337</v>
      </c>
      <c r="C158" s="74" t="s">
        <v>18286</v>
      </c>
      <c r="D158" s="72" t="s">
        <v>17591</v>
      </c>
      <c r="F158" s="57"/>
      <c r="G158" s="114" t="s">
        <v>17558</v>
      </c>
      <c r="H158" s="49"/>
      <c r="I158" s="50"/>
      <c r="J158" s="163"/>
      <c r="K158" s="45"/>
      <c r="L158" s="46"/>
      <c r="M158" s="512"/>
      <c r="N158" s="57"/>
      <c r="O158" s="35"/>
      <c r="R158" s="57"/>
      <c r="S158" s="35"/>
      <c r="V158" s="57"/>
      <c r="W158" s="208">
        <f>ROUND((ROUND((_15_同援日１．０*_15・基礎２),0)*(1+_15・A夜間)),0)</f>
        <v>338</v>
      </c>
      <c r="X158" s="48"/>
    </row>
    <row r="159" spans="1:24" ht="16.5" customHeight="1" x14ac:dyDescent="0.15">
      <c r="A159" s="41">
        <v>15</v>
      </c>
      <c r="B159" s="41">
        <v>8338</v>
      </c>
      <c r="C159" s="74" t="s">
        <v>18287</v>
      </c>
      <c r="D159" s="72"/>
      <c r="E159" s="168">
        <f>_15_同援日１．０</f>
        <v>300</v>
      </c>
      <c r="F159" s="57" t="s">
        <v>392</v>
      </c>
      <c r="G159" s="269" t="s">
        <v>17560</v>
      </c>
      <c r="H159" s="37" t="s">
        <v>398</v>
      </c>
      <c r="I159" s="38">
        <v>0.9</v>
      </c>
      <c r="J159" s="299" t="s">
        <v>17556</v>
      </c>
      <c r="K159" s="45" t="s">
        <v>398</v>
      </c>
      <c r="L159" s="46">
        <v>1</v>
      </c>
      <c r="M159" s="512"/>
      <c r="N159" s="57"/>
      <c r="O159" s="43"/>
      <c r="P159" s="37"/>
      <c r="Q159" s="38"/>
      <c r="R159" s="79"/>
      <c r="S159" s="35"/>
      <c r="V159" s="57"/>
      <c r="W159" s="208">
        <f>ROUND((ROUND((ROUND((_15_同援日１．０*_15・基礎２),0)*_15・２人),0)*(1+_15・A夜間)),0)</f>
        <v>338</v>
      </c>
      <c r="X159" s="48"/>
    </row>
    <row r="160" spans="1:24" ht="16.5" customHeight="1" x14ac:dyDescent="0.15">
      <c r="A160" s="41">
        <v>15</v>
      </c>
      <c r="B160" s="41">
        <v>8339</v>
      </c>
      <c r="C160" s="74" t="s">
        <v>18288</v>
      </c>
      <c r="D160" s="72"/>
      <c r="F160" s="57"/>
      <c r="G160" s="53"/>
      <c r="H160" s="49"/>
      <c r="I160" s="50"/>
      <c r="J160" s="163"/>
      <c r="K160" s="45"/>
      <c r="L160" s="46"/>
      <c r="M160" s="512"/>
      <c r="N160" s="57"/>
      <c r="O160" s="114" t="s">
        <v>17562</v>
      </c>
      <c r="P160" s="49"/>
      <c r="Q160" s="50"/>
      <c r="R160" s="115"/>
      <c r="S160" s="35"/>
      <c r="V160" s="57"/>
      <c r="W160" s="208">
        <f>ROUND((ROUND((_15_同援日１．０*(1+_15・A夜間)),0)*(1+_15・盲ろう)),0)</f>
        <v>469</v>
      </c>
      <c r="X160" s="48"/>
    </row>
    <row r="161" spans="1:24" ht="16.5" customHeight="1" x14ac:dyDescent="0.15">
      <c r="A161" s="41">
        <v>15</v>
      </c>
      <c r="B161" s="41">
        <v>8340</v>
      </c>
      <c r="C161" s="74" t="s">
        <v>18289</v>
      </c>
      <c r="D161" s="72"/>
      <c r="F161" s="57"/>
      <c r="G161" s="43"/>
      <c r="H161" s="37"/>
      <c r="I161" s="38"/>
      <c r="J161" s="299" t="s">
        <v>17556</v>
      </c>
      <c r="K161" s="45" t="s">
        <v>398</v>
      </c>
      <c r="L161" s="46">
        <v>1</v>
      </c>
      <c r="M161" s="512"/>
      <c r="N161" s="57"/>
      <c r="O161" s="92" t="s">
        <v>17564</v>
      </c>
      <c r="R161" s="57"/>
      <c r="S161" s="35"/>
      <c r="V161" s="57"/>
      <c r="W161" s="208">
        <f>ROUND((ROUND((ROUND((_15_同援日１．０*_15・２人),0)*(1+_15・A夜間)),0)*(1+_15・盲ろう)),0)</f>
        <v>469</v>
      </c>
      <c r="X161" s="48"/>
    </row>
    <row r="162" spans="1:24" ht="16.5" customHeight="1" x14ac:dyDescent="0.15">
      <c r="A162" s="41">
        <v>15</v>
      </c>
      <c r="B162" s="41">
        <v>8341</v>
      </c>
      <c r="C162" s="74" t="s">
        <v>18290</v>
      </c>
      <c r="D162" s="72"/>
      <c r="F162" s="57"/>
      <c r="G162" s="114" t="s">
        <v>17558</v>
      </c>
      <c r="H162" s="49"/>
      <c r="I162" s="50"/>
      <c r="J162" s="163"/>
      <c r="K162" s="45"/>
      <c r="L162" s="46"/>
      <c r="M162" s="512"/>
      <c r="N162" s="57"/>
      <c r="O162" s="35"/>
      <c r="P162" s="12" t="s">
        <v>398</v>
      </c>
      <c r="Q162" s="13">
        <v>0.25</v>
      </c>
      <c r="R162" s="57" t="s">
        <v>3575</v>
      </c>
      <c r="S162" s="35"/>
      <c r="V162" s="57"/>
      <c r="W162" s="208">
        <f>ROUND((ROUND((ROUND((_15_同援日１．０*_15・基礎２),0)*(1+_15・A夜間)),0)*(1+_15・盲ろう)),0)</f>
        <v>423</v>
      </c>
      <c r="X162" s="48"/>
    </row>
    <row r="163" spans="1:24" ht="16.5" customHeight="1" x14ac:dyDescent="0.15">
      <c r="A163" s="41">
        <v>15</v>
      </c>
      <c r="B163" s="41">
        <v>8342</v>
      </c>
      <c r="C163" s="74" t="s">
        <v>18291</v>
      </c>
      <c r="D163" s="72"/>
      <c r="F163" s="57"/>
      <c r="G163" s="269" t="s">
        <v>17560</v>
      </c>
      <c r="H163" s="37" t="s">
        <v>398</v>
      </c>
      <c r="I163" s="38">
        <v>0.9</v>
      </c>
      <c r="J163" s="299" t="s">
        <v>17556</v>
      </c>
      <c r="K163" s="45" t="s">
        <v>398</v>
      </c>
      <c r="L163" s="46">
        <v>1</v>
      </c>
      <c r="M163" s="512"/>
      <c r="N163" s="57"/>
      <c r="O163" s="43"/>
      <c r="P163" s="37"/>
      <c r="Q163" s="38"/>
      <c r="R163" s="79"/>
      <c r="S163" s="43"/>
      <c r="T163" s="37"/>
      <c r="U163" s="38"/>
      <c r="V163" s="79"/>
      <c r="W163" s="208">
        <f>ROUND((ROUND((ROUND((ROUND((_15_同援日１．０*_15・基礎２),0)*_15・２人),0)*(1+_15・A夜間)),0)*(1+_15・盲ろう)),0)</f>
        <v>423</v>
      </c>
      <c r="X163" s="48"/>
    </row>
    <row r="164" spans="1:24" ht="16.5" customHeight="1" x14ac:dyDescent="0.15">
      <c r="A164" s="41">
        <v>15</v>
      </c>
      <c r="B164" s="41">
        <v>8343</v>
      </c>
      <c r="C164" s="74" t="s">
        <v>18292</v>
      </c>
      <c r="D164" s="72"/>
      <c r="F164" s="57"/>
      <c r="G164" s="53"/>
      <c r="H164" s="49"/>
      <c r="I164" s="50"/>
      <c r="J164" s="163"/>
      <c r="K164" s="45"/>
      <c r="L164" s="46"/>
      <c r="M164" s="512"/>
      <c r="N164" s="57"/>
      <c r="O164" s="53"/>
      <c r="P164" s="49"/>
      <c r="Q164" s="50"/>
      <c r="R164" s="115"/>
      <c r="S164" s="53"/>
      <c r="T164" s="49"/>
      <c r="U164" s="50"/>
      <c r="V164" s="115"/>
      <c r="W164" s="208">
        <f>ROUND((ROUND((_15_同援日１．０*(1+_15・A夜間)),0)*(1+_15・区３)),0)</f>
        <v>450</v>
      </c>
      <c r="X164" s="48"/>
    </row>
    <row r="165" spans="1:24" ht="16.5" customHeight="1" x14ac:dyDescent="0.15">
      <c r="A165" s="41">
        <v>15</v>
      </c>
      <c r="B165" s="41">
        <v>8344</v>
      </c>
      <c r="C165" s="74" t="s">
        <v>18293</v>
      </c>
      <c r="D165" s="72"/>
      <c r="F165" s="57"/>
      <c r="G165" s="43"/>
      <c r="H165" s="37"/>
      <c r="I165" s="38"/>
      <c r="J165" s="299" t="s">
        <v>17556</v>
      </c>
      <c r="K165" s="45" t="s">
        <v>398</v>
      </c>
      <c r="L165" s="46">
        <v>1</v>
      </c>
      <c r="M165" s="512"/>
      <c r="N165" s="57"/>
      <c r="O165" s="35"/>
      <c r="R165" s="57"/>
      <c r="S165" s="35"/>
      <c r="V165" s="57"/>
      <c r="W165" s="208">
        <f>ROUND((ROUND((ROUND((_15_同援日１．０*_15・２人),0)*(1+_15・A夜間)),0)*(1+_15・区３)),0)</f>
        <v>450</v>
      </c>
      <c r="X165" s="48"/>
    </row>
    <row r="166" spans="1:24" ht="16.5" customHeight="1" x14ac:dyDescent="0.15">
      <c r="A166" s="41">
        <v>15</v>
      </c>
      <c r="B166" s="41">
        <v>8345</v>
      </c>
      <c r="C166" s="74" t="s">
        <v>18294</v>
      </c>
      <c r="D166" s="72"/>
      <c r="F166" s="57"/>
      <c r="G166" s="114" t="s">
        <v>17558</v>
      </c>
      <c r="H166" s="49"/>
      <c r="I166" s="50"/>
      <c r="J166" s="163"/>
      <c r="K166" s="45"/>
      <c r="L166" s="46"/>
      <c r="M166" s="512"/>
      <c r="N166" s="57"/>
      <c r="O166" s="35"/>
      <c r="R166" s="57"/>
      <c r="S166" s="72" t="s">
        <v>17570</v>
      </c>
      <c r="V166" s="57"/>
      <c r="W166" s="208">
        <f>ROUND((ROUND((ROUND((_15_同援日１．０*_15・基礎２),0)*(1+_15・A夜間)),0)*(1+_15・区３)),0)</f>
        <v>406</v>
      </c>
      <c r="X166" s="48"/>
    </row>
    <row r="167" spans="1:24" ht="16.5" customHeight="1" x14ac:dyDescent="0.15">
      <c r="A167" s="41">
        <v>15</v>
      </c>
      <c r="B167" s="41">
        <v>8346</v>
      </c>
      <c r="C167" s="74" t="s">
        <v>18295</v>
      </c>
      <c r="D167" s="72"/>
      <c r="F167" s="57"/>
      <c r="G167" s="269" t="s">
        <v>17560</v>
      </c>
      <c r="H167" s="37" t="s">
        <v>398</v>
      </c>
      <c r="I167" s="38">
        <v>0.9</v>
      </c>
      <c r="J167" s="299" t="s">
        <v>17556</v>
      </c>
      <c r="K167" s="45" t="s">
        <v>398</v>
      </c>
      <c r="L167" s="46">
        <v>1</v>
      </c>
      <c r="M167" s="512"/>
      <c r="N167" s="57"/>
      <c r="O167" s="43"/>
      <c r="P167" s="37"/>
      <c r="Q167" s="38"/>
      <c r="R167" s="79"/>
      <c r="S167" s="72" t="s">
        <v>17572</v>
      </c>
      <c r="V167" s="57"/>
      <c r="W167" s="208">
        <f>ROUND((ROUND((ROUND((ROUND((_15_同援日１．０*_15・基礎２),0)*_15・２人),0)*(1+_15・A夜間)),0)*(1+_15・区３)),0)</f>
        <v>406</v>
      </c>
      <c r="X167" s="48"/>
    </row>
    <row r="168" spans="1:24" ht="16.5" customHeight="1" x14ac:dyDescent="0.15">
      <c r="A168" s="41">
        <v>15</v>
      </c>
      <c r="B168" s="41">
        <v>8347</v>
      </c>
      <c r="C168" s="74" t="s">
        <v>18296</v>
      </c>
      <c r="D168" s="72"/>
      <c r="F168" s="57"/>
      <c r="G168" s="53"/>
      <c r="H168" s="49"/>
      <c r="I168" s="50"/>
      <c r="J168" s="163"/>
      <c r="K168" s="45"/>
      <c r="L168" s="46"/>
      <c r="M168" s="512"/>
      <c r="N168" s="57"/>
      <c r="O168" s="114" t="s">
        <v>17562</v>
      </c>
      <c r="P168" s="49"/>
      <c r="Q168" s="50"/>
      <c r="R168" s="115"/>
      <c r="S168" s="35"/>
      <c r="T168" s="12" t="s">
        <v>398</v>
      </c>
      <c r="U168" s="13">
        <v>0.2</v>
      </c>
      <c r="V168" s="57" t="s">
        <v>3575</v>
      </c>
      <c r="W168" s="208">
        <f>ROUND((ROUND((ROUND((_15_同援日１．０*(1+_15・A夜間)),0)*(1+_15・盲ろう)),0)*(1+_15・区３)),0)</f>
        <v>563</v>
      </c>
      <c r="X168" s="48"/>
    </row>
    <row r="169" spans="1:24" ht="16.5" customHeight="1" x14ac:dyDescent="0.15">
      <c r="A169" s="41">
        <v>15</v>
      </c>
      <c r="B169" s="41">
        <v>8348</v>
      </c>
      <c r="C169" s="74" t="s">
        <v>18297</v>
      </c>
      <c r="D169" s="72"/>
      <c r="F169" s="57"/>
      <c r="G169" s="43"/>
      <c r="H169" s="37"/>
      <c r="I169" s="38"/>
      <c r="J169" s="299" t="s">
        <v>17556</v>
      </c>
      <c r="K169" s="45" t="s">
        <v>398</v>
      </c>
      <c r="L169" s="46">
        <v>1</v>
      </c>
      <c r="M169" s="512"/>
      <c r="N169" s="57"/>
      <c r="O169" s="92" t="s">
        <v>17564</v>
      </c>
      <c r="R169" s="57"/>
      <c r="S169" s="35"/>
      <c r="V169" s="57"/>
      <c r="W169" s="208">
        <f>ROUND((ROUND((ROUND((ROUND((_15_同援日１．０*_15・２人),0)*(1+_15・A夜間)),0)*(1+_15・盲ろう)),0)*(1+_15・区３)),0)</f>
        <v>563</v>
      </c>
      <c r="X169" s="48"/>
    </row>
    <row r="170" spans="1:24" ht="16.5" customHeight="1" x14ac:dyDescent="0.15">
      <c r="A170" s="41">
        <v>15</v>
      </c>
      <c r="B170" s="41">
        <v>8349</v>
      </c>
      <c r="C170" s="74" t="s">
        <v>18298</v>
      </c>
      <c r="D170" s="72"/>
      <c r="F170" s="57"/>
      <c r="G170" s="114" t="s">
        <v>17558</v>
      </c>
      <c r="H170" s="49"/>
      <c r="I170" s="50"/>
      <c r="J170" s="163"/>
      <c r="K170" s="45"/>
      <c r="L170" s="46"/>
      <c r="M170" s="512"/>
      <c r="N170" s="57"/>
      <c r="O170" s="35"/>
      <c r="P170" s="12" t="s">
        <v>398</v>
      </c>
      <c r="Q170" s="13">
        <v>0.25</v>
      </c>
      <c r="R170" s="57" t="s">
        <v>3575</v>
      </c>
      <c r="S170" s="35"/>
      <c r="V170" s="57"/>
      <c r="W170" s="208">
        <f>ROUND((ROUND((ROUND((ROUND((_15_同援日１．０*_15・基礎２),0)*(1+_15・A夜間)),0)*(1+_15・盲ろう)),0)*(1+_15・区３)),0)</f>
        <v>508</v>
      </c>
      <c r="X170" s="48"/>
    </row>
    <row r="171" spans="1:24" ht="16.5" customHeight="1" x14ac:dyDescent="0.15">
      <c r="A171" s="41">
        <v>15</v>
      </c>
      <c r="B171" s="41">
        <v>8350</v>
      </c>
      <c r="C171" s="74" t="s">
        <v>18299</v>
      </c>
      <c r="D171" s="72"/>
      <c r="F171" s="57"/>
      <c r="G171" s="269" t="s">
        <v>17560</v>
      </c>
      <c r="H171" s="37" t="s">
        <v>398</v>
      </c>
      <c r="I171" s="38">
        <v>0.9</v>
      </c>
      <c r="J171" s="299" t="s">
        <v>17556</v>
      </c>
      <c r="K171" s="45" t="s">
        <v>398</v>
      </c>
      <c r="L171" s="46">
        <v>1</v>
      </c>
      <c r="M171" s="512"/>
      <c r="N171" s="57"/>
      <c r="O171" s="43"/>
      <c r="P171" s="37"/>
      <c r="Q171" s="38"/>
      <c r="R171" s="79"/>
      <c r="S171" s="43"/>
      <c r="T171" s="37"/>
      <c r="U171" s="38"/>
      <c r="V171" s="79"/>
      <c r="W171" s="208">
        <f>ROUND((ROUND((ROUND((ROUND((ROUND((_15_同援日１．０*_15・基礎２),0)*_15・２人),0)*(1+_15・A夜間)),0)*(1+_15・盲ろう)),0)*(1+_15・区３)),0)</f>
        <v>508</v>
      </c>
      <c r="X171" s="48"/>
    </row>
    <row r="172" spans="1:24" ht="16.5" customHeight="1" x14ac:dyDescent="0.15">
      <c r="A172" s="41">
        <v>15</v>
      </c>
      <c r="B172" s="41">
        <v>8351</v>
      </c>
      <c r="C172" s="74" t="s">
        <v>18300</v>
      </c>
      <c r="D172" s="72"/>
      <c r="F172" s="57"/>
      <c r="G172" s="53"/>
      <c r="H172" s="49"/>
      <c r="I172" s="50"/>
      <c r="J172" s="163"/>
      <c r="K172" s="45"/>
      <c r="L172" s="46"/>
      <c r="M172" s="512"/>
      <c r="N172" s="57"/>
      <c r="O172" s="53"/>
      <c r="P172" s="49"/>
      <c r="Q172" s="50"/>
      <c r="R172" s="115"/>
      <c r="S172" s="53"/>
      <c r="T172" s="49"/>
      <c r="U172" s="50"/>
      <c r="V172" s="115"/>
      <c r="W172" s="208">
        <f>ROUND((ROUND((_15_同援日１．０*(1+_15・A夜間)),0)*(1+_15・区４)),0)</f>
        <v>525</v>
      </c>
      <c r="X172" s="48"/>
    </row>
    <row r="173" spans="1:24" ht="16.5" customHeight="1" x14ac:dyDescent="0.15">
      <c r="A173" s="41">
        <v>15</v>
      </c>
      <c r="B173" s="41">
        <v>8352</v>
      </c>
      <c r="C173" s="74" t="s">
        <v>18301</v>
      </c>
      <c r="D173" s="72"/>
      <c r="F173" s="57"/>
      <c r="G173" s="43"/>
      <c r="H173" s="37"/>
      <c r="I173" s="38"/>
      <c r="J173" s="299" t="s">
        <v>17556</v>
      </c>
      <c r="K173" s="45" t="s">
        <v>398</v>
      </c>
      <c r="L173" s="46">
        <v>1</v>
      </c>
      <c r="M173" s="512"/>
      <c r="N173" s="57"/>
      <c r="O173" s="35"/>
      <c r="R173" s="57"/>
      <c r="S173" s="35"/>
      <c r="V173" s="57"/>
      <c r="W173" s="208">
        <f>ROUND((ROUND((ROUND((_15_同援日１．０*_15・２人),0)*(1+_15・A夜間)),0)*(1+_15・区４)),0)</f>
        <v>525</v>
      </c>
      <c r="X173" s="48"/>
    </row>
    <row r="174" spans="1:24" ht="16.5" customHeight="1" x14ac:dyDescent="0.15">
      <c r="A174" s="41">
        <v>15</v>
      </c>
      <c r="B174" s="41">
        <v>8353</v>
      </c>
      <c r="C174" s="74" t="s">
        <v>18302</v>
      </c>
      <c r="D174" s="72"/>
      <c r="F174" s="57"/>
      <c r="G174" s="114" t="s">
        <v>17558</v>
      </c>
      <c r="H174" s="49"/>
      <c r="I174" s="50"/>
      <c r="J174" s="163"/>
      <c r="K174" s="45"/>
      <c r="L174" s="46"/>
      <c r="M174" s="512"/>
      <c r="N174" s="57"/>
      <c r="O174" s="35"/>
      <c r="R174" s="57"/>
      <c r="S174" s="72" t="s">
        <v>17580</v>
      </c>
      <c r="V174" s="57"/>
      <c r="W174" s="208">
        <f>ROUND((ROUND((ROUND((_15_同援日１．０*_15・基礎２),0)*(1+_15・A夜間)),0)*(1+_15・区４)),0)</f>
        <v>473</v>
      </c>
      <c r="X174" s="48"/>
    </row>
    <row r="175" spans="1:24" ht="16.5" customHeight="1" x14ac:dyDescent="0.15">
      <c r="A175" s="41">
        <v>15</v>
      </c>
      <c r="B175" s="41">
        <v>8354</v>
      </c>
      <c r="C175" s="74" t="s">
        <v>18303</v>
      </c>
      <c r="D175" s="72"/>
      <c r="F175" s="57"/>
      <c r="G175" s="269" t="s">
        <v>17560</v>
      </c>
      <c r="H175" s="37" t="s">
        <v>398</v>
      </c>
      <c r="I175" s="38">
        <v>0.9</v>
      </c>
      <c r="J175" s="299" t="s">
        <v>17556</v>
      </c>
      <c r="K175" s="45" t="s">
        <v>398</v>
      </c>
      <c r="L175" s="46">
        <v>1</v>
      </c>
      <c r="M175" s="512"/>
      <c r="N175" s="57"/>
      <c r="O175" s="43"/>
      <c r="P175" s="37"/>
      <c r="Q175" s="38"/>
      <c r="R175" s="79"/>
      <c r="S175" s="72" t="s">
        <v>17572</v>
      </c>
      <c r="V175" s="57"/>
      <c r="W175" s="208">
        <f>ROUND((ROUND((ROUND((ROUND((_15_同援日１．０*_15・基礎２),0)*_15・２人),0)*(1+_15・A夜間)),0)*(1+_15・区４)),0)</f>
        <v>473</v>
      </c>
      <c r="X175" s="48"/>
    </row>
    <row r="176" spans="1:24" ht="16.5" customHeight="1" x14ac:dyDescent="0.15">
      <c r="A176" s="41">
        <v>15</v>
      </c>
      <c r="B176" s="41">
        <v>8355</v>
      </c>
      <c r="C176" s="74" t="s">
        <v>18304</v>
      </c>
      <c r="D176" s="72"/>
      <c r="F176" s="57"/>
      <c r="G176" s="53"/>
      <c r="H176" s="49"/>
      <c r="I176" s="50"/>
      <c r="J176" s="163"/>
      <c r="K176" s="45"/>
      <c r="L176" s="46"/>
      <c r="M176" s="512"/>
      <c r="N176" s="57"/>
      <c r="O176" s="114" t="s">
        <v>17562</v>
      </c>
      <c r="P176" s="49"/>
      <c r="Q176" s="50"/>
      <c r="R176" s="115"/>
      <c r="S176" s="35"/>
      <c r="T176" s="12" t="s">
        <v>398</v>
      </c>
      <c r="U176" s="13">
        <v>0.4</v>
      </c>
      <c r="V176" s="57" t="s">
        <v>3575</v>
      </c>
      <c r="W176" s="208">
        <f>ROUND((ROUND((ROUND((_15_同援日１．０*(1+_15・A夜間)),0)*(1+_15・盲ろう)),0)*(1+_15・区４)),0)</f>
        <v>657</v>
      </c>
      <c r="X176" s="48"/>
    </row>
    <row r="177" spans="1:24" ht="16.5" customHeight="1" x14ac:dyDescent="0.15">
      <c r="A177" s="41">
        <v>15</v>
      </c>
      <c r="B177" s="41">
        <v>8356</v>
      </c>
      <c r="C177" s="74" t="s">
        <v>18305</v>
      </c>
      <c r="D177" s="72"/>
      <c r="F177" s="57"/>
      <c r="G177" s="43"/>
      <c r="H177" s="37"/>
      <c r="I177" s="38"/>
      <c r="J177" s="299" t="s">
        <v>17556</v>
      </c>
      <c r="K177" s="45" t="s">
        <v>398</v>
      </c>
      <c r="L177" s="46">
        <v>1</v>
      </c>
      <c r="M177" s="512"/>
      <c r="N177" s="57"/>
      <c r="O177" s="92" t="s">
        <v>17564</v>
      </c>
      <c r="R177" s="57"/>
      <c r="S177" s="35"/>
      <c r="V177" s="57"/>
      <c r="W177" s="208">
        <f>ROUND((ROUND((ROUND((ROUND((_15_同援日１．０*_15・２人),0)*(1+_15・A夜間)),0)*(1+_15・盲ろう)),0)*(1+_15・区４)),0)</f>
        <v>657</v>
      </c>
      <c r="X177" s="48"/>
    </row>
    <row r="178" spans="1:24" ht="16.5" customHeight="1" x14ac:dyDescent="0.15">
      <c r="A178" s="41">
        <v>15</v>
      </c>
      <c r="B178" s="41">
        <v>8357</v>
      </c>
      <c r="C178" s="74" t="s">
        <v>18306</v>
      </c>
      <c r="D178" s="72"/>
      <c r="F178" s="57"/>
      <c r="G178" s="114" t="s">
        <v>17558</v>
      </c>
      <c r="H178" s="49"/>
      <c r="I178" s="50"/>
      <c r="J178" s="163"/>
      <c r="K178" s="45"/>
      <c r="L178" s="46"/>
      <c r="M178" s="512"/>
      <c r="N178" s="57"/>
      <c r="O178" s="35"/>
      <c r="P178" s="12" t="s">
        <v>398</v>
      </c>
      <c r="Q178" s="13">
        <v>0.25</v>
      </c>
      <c r="R178" s="57" t="s">
        <v>3575</v>
      </c>
      <c r="S178" s="35"/>
      <c r="V178" s="57"/>
      <c r="W178" s="208">
        <f>ROUND((ROUND((ROUND((ROUND((_15_同援日１．０*_15・基礎２),0)*(1+_15・A夜間)),0)*(1+_15・盲ろう)),0)*(1+_15・区４)),0)</f>
        <v>592</v>
      </c>
      <c r="X178" s="48"/>
    </row>
    <row r="179" spans="1:24" ht="16.5" customHeight="1" x14ac:dyDescent="0.15">
      <c r="A179" s="41">
        <v>15</v>
      </c>
      <c r="B179" s="41">
        <v>8358</v>
      </c>
      <c r="C179" s="74" t="s">
        <v>18307</v>
      </c>
      <c r="D179" s="122"/>
      <c r="E179" s="37"/>
      <c r="F179" s="79"/>
      <c r="G179" s="269" t="s">
        <v>17560</v>
      </c>
      <c r="H179" s="37" t="s">
        <v>398</v>
      </c>
      <c r="I179" s="38">
        <v>0.9</v>
      </c>
      <c r="J179" s="299" t="s">
        <v>17556</v>
      </c>
      <c r="K179" s="45" t="s">
        <v>398</v>
      </c>
      <c r="L179" s="46">
        <v>1</v>
      </c>
      <c r="M179" s="512"/>
      <c r="N179" s="57"/>
      <c r="O179" s="43"/>
      <c r="P179" s="37"/>
      <c r="Q179" s="38"/>
      <c r="R179" s="79"/>
      <c r="S179" s="43"/>
      <c r="T179" s="37"/>
      <c r="U179" s="38"/>
      <c r="V179" s="79"/>
      <c r="W179" s="208">
        <f>ROUND((ROUND((ROUND((ROUND((ROUND((_15_同援日１．０*_15・基礎２),0)*_15・２人),0)*(1+_15・A夜間)),0)*(1+_15・盲ろう)),0)*(1+_15・区４)),0)</f>
        <v>592</v>
      </c>
      <c r="X179" s="48"/>
    </row>
    <row r="180" spans="1:24" ht="16.5" customHeight="1" x14ac:dyDescent="0.15">
      <c r="A180" s="41">
        <v>15</v>
      </c>
      <c r="B180" s="41">
        <v>8359</v>
      </c>
      <c r="C180" s="74" t="s">
        <v>18308</v>
      </c>
      <c r="D180" s="114" t="s">
        <v>18309</v>
      </c>
      <c r="E180" s="49"/>
      <c r="F180" s="115"/>
      <c r="G180" s="53"/>
      <c r="H180" s="49"/>
      <c r="I180" s="50"/>
      <c r="J180" s="163"/>
      <c r="K180" s="45"/>
      <c r="L180" s="46"/>
      <c r="M180" s="512"/>
      <c r="N180" s="57"/>
      <c r="O180" s="53"/>
      <c r="P180" s="49"/>
      <c r="Q180" s="50"/>
      <c r="R180" s="115"/>
      <c r="S180" s="53"/>
      <c r="T180" s="49"/>
      <c r="U180" s="50"/>
      <c r="V180" s="115"/>
      <c r="W180" s="208">
        <f>ROUND((_15_同援日１．５*(1+_15・A夜間)),0)</f>
        <v>541</v>
      </c>
      <c r="X180" s="48"/>
    </row>
    <row r="181" spans="1:24" ht="16.5" customHeight="1" x14ac:dyDescent="0.15">
      <c r="A181" s="41">
        <v>15</v>
      </c>
      <c r="B181" s="41">
        <v>8360</v>
      </c>
      <c r="C181" s="74" t="s">
        <v>18310</v>
      </c>
      <c r="D181" s="72" t="s">
        <v>17616</v>
      </c>
      <c r="F181" s="57"/>
      <c r="G181" s="43"/>
      <c r="H181" s="37"/>
      <c r="I181" s="38"/>
      <c r="J181" s="299" t="s">
        <v>17556</v>
      </c>
      <c r="K181" s="45" t="s">
        <v>398</v>
      </c>
      <c r="L181" s="46">
        <v>1</v>
      </c>
      <c r="M181" s="512"/>
      <c r="N181" s="57"/>
      <c r="O181" s="35"/>
      <c r="R181" s="57"/>
      <c r="S181" s="35"/>
      <c r="V181" s="57"/>
      <c r="W181" s="208">
        <f>ROUND((ROUND((_15_同援日１．５*_15・２人),0)*(1+_15・A夜間)),0)</f>
        <v>541</v>
      </c>
      <c r="X181" s="48"/>
    </row>
    <row r="182" spans="1:24" ht="16.5" customHeight="1" x14ac:dyDescent="0.15">
      <c r="A182" s="41">
        <v>15</v>
      </c>
      <c r="B182" s="41">
        <v>8361</v>
      </c>
      <c r="C182" s="74" t="s">
        <v>18311</v>
      </c>
      <c r="D182" s="72" t="s">
        <v>18183</v>
      </c>
      <c r="F182" s="57"/>
      <c r="G182" s="114" t="s">
        <v>17558</v>
      </c>
      <c r="H182" s="49"/>
      <c r="I182" s="50"/>
      <c r="J182" s="163"/>
      <c r="K182" s="45"/>
      <c r="L182" s="46"/>
      <c r="M182" s="512"/>
      <c r="N182" s="57"/>
      <c r="O182" s="35"/>
      <c r="R182" s="57"/>
      <c r="S182" s="35"/>
      <c r="V182" s="57"/>
      <c r="W182" s="208">
        <f>ROUND((ROUND((_15_同援日１．５*_15・基礎２),0)*(1+_15・A夜間)),0)</f>
        <v>488</v>
      </c>
      <c r="X182" s="48"/>
    </row>
    <row r="183" spans="1:24" ht="16.5" customHeight="1" x14ac:dyDescent="0.15">
      <c r="A183" s="41">
        <v>15</v>
      </c>
      <c r="B183" s="41">
        <v>8362</v>
      </c>
      <c r="C183" s="74" t="s">
        <v>18312</v>
      </c>
      <c r="D183" s="72"/>
      <c r="E183" s="168">
        <f>_15_同援日１．５</f>
        <v>433</v>
      </c>
      <c r="F183" s="57" t="s">
        <v>392</v>
      </c>
      <c r="G183" s="269" t="s">
        <v>17560</v>
      </c>
      <c r="H183" s="37" t="s">
        <v>398</v>
      </c>
      <c r="I183" s="38">
        <v>0.9</v>
      </c>
      <c r="J183" s="299" t="s">
        <v>17556</v>
      </c>
      <c r="K183" s="45" t="s">
        <v>398</v>
      </c>
      <c r="L183" s="46">
        <v>1</v>
      </c>
      <c r="M183" s="512"/>
      <c r="N183" s="57"/>
      <c r="O183" s="43"/>
      <c r="P183" s="37"/>
      <c r="Q183" s="38"/>
      <c r="R183" s="79"/>
      <c r="S183" s="35"/>
      <c r="V183" s="57"/>
      <c r="W183" s="208">
        <f>ROUND((ROUND((ROUND((_15_同援日１．５*_15・基礎２),0)*_15・２人),0)*(1+_15・A夜間)),0)</f>
        <v>488</v>
      </c>
      <c r="X183" s="48"/>
    </row>
    <row r="184" spans="1:24" ht="16.5" customHeight="1" x14ac:dyDescent="0.15">
      <c r="A184" s="41">
        <v>15</v>
      </c>
      <c r="B184" s="41">
        <v>8363</v>
      </c>
      <c r="C184" s="74" t="s">
        <v>18313</v>
      </c>
      <c r="D184" s="72"/>
      <c r="F184" s="57"/>
      <c r="G184" s="53"/>
      <c r="H184" s="49"/>
      <c r="I184" s="50"/>
      <c r="J184" s="163"/>
      <c r="K184" s="45"/>
      <c r="L184" s="46"/>
      <c r="M184" s="512"/>
      <c r="N184" s="57"/>
      <c r="O184" s="114" t="s">
        <v>17562</v>
      </c>
      <c r="P184" s="49"/>
      <c r="Q184" s="50"/>
      <c r="R184" s="115"/>
      <c r="S184" s="35"/>
      <c r="V184" s="57"/>
      <c r="W184" s="208">
        <f>ROUND((ROUND((_15_同援日１．５*(1+_15・A夜間)),0)*(1+_15・盲ろう)),0)</f>
        <v>676</v>
      </c>
      <c r="X184" s="48"/>
    </row>
    <row r="185" spans="1:24" ht="16.5" customHeight="1" x14ac:dyDescent="0.15">
      <c r="A185" s="41">
        <v>15</v>
      </c>
      <c r="B185" s="41">
        <v>8364</v>
      </c>
      <c r="C185" s="74" t="s">
        <v>18314</v>
      </c>
      <c r="D185" s="72"/>
      <c r="F185" s="57"/>
      <c r="G185" s="43"/>
      <c r="H185" s="37"/>
      <c r="I185" s="38"/>
      <c r="J185" s="299" t="s">
        <v>17556</v>
      </c>
      <c r="K185" s="45" t="s">
        <v>398</v>
      </c>
      <c r="L185" s="46">
        <v>1</v>
      </c>
      <c r="M185" s="512"/>
      <c r="N185" s="57"/>
      <c r="O185" s="92" t="s">
        <v>17564</v>
      </c>
      <c r="R185" s="57"/>
      <c r="S185" s="35"/>
      <c r="V185" s="57"/>
      <c r="W185" s="208">
        <f>ROUND((ROUND((ROUND((_15_同援日１．５*_15・２人),0)*(1+_15・A夜間)),0)*(1+_15・盲ろう)),0)</f>
        <v>676</v>
      </c>
      <c r="X185" s="48"/>
    </row>
    <row r="186" spans="1:24" ht="16.5" customHeight="1" x14ac:dyDescent="0.15">
      <c r="A186" s="41">
        <v>15</v>
      </c>
      <c r="B186" s="41">
        <v>8365</v>
      </c>
      <c r="C186" s="74" t="s">
        <v>18315</v>
      </c>
      <c r="D186" s="72"/>
      <c r="F186" s="57"/>
      <c r="G186" s="114" t="s">
        <v>17558</v>
      </c>
      <c r="H186" s="49"/>
      <c r="I186" s="50"/>
      <c r="J186" s="163"/>
      <c r="K186" s="45"/>
      <c r="L186" s="46"/>
      <c r="M186" s="512"/>
      <c r="N186" s="57"/>
      <c r="O186" s="35"/>
      <c r="P186" s="12" t="s">
        <v>398</v>
      </c>
      <c r="Q186" s="13">
        <v>0.25</v>
      </c>
      <c r="R186" s="57" t="s">
        <v>3575</v>
      </c>
      <c r="S186" s="35"/>
      <c r="V186" s="57"/>
      <c r="W186" s="208">
        <f>ROUND((ROUND((ROUND((_15_同援日１．５*_15・基礎２),0)*(1+_15・A夜間)),0)*(1+_15・盲ろう)),0)</f>
        <v>610</v>
      </c>
      <c r="X186" s="48"/>
    </row>
    <row r="187" spans="1:24" ht="16.5" customHeight="1" x14ac:dyDescent="0.15">
      <c r="A187" s="41">
        <v>15</v>
      </c>
      <c r="B187" s="41">
        <v>8366</v>
      </c>
      <c r="C187" s="74" t="s">
        <v>18316</v>
      </c>
      <c r="D187" s="72"/>
      <c r="F187" s="57"/>
      <c r="G187" s="269" t="s">
        <v>17560</v>
      </c>
      <c r="H187" s="37" t="s">
        <v>398</v>
      </c>
      <c r="I187" s="38">
        <v>0.9</v>
      </c>
      <c r="J187" s="299" t="s">
        <v>17556</v>
      </c>
      <c r="K187" s="45" t="s">
        <v>398</v>
      </c>
      <c r="L187" s="46">
        <v>1</v>
      </c>
      <c r="M187" s="512"/>
      <c r="N187" s="57"/>
      <c r="O187" s="43"/>
      <c r="P187" s="37"/>
      <c r="Q187" s="38"/>
      <c r="R187" s="79"/>
      <c r="S187" s="43"/>
      <c r="T187" s="37"/>
      <c r="U187" s="38"/>
      <c r="V187" s="79"/>
      <c r="W187" s="208">
        <f>ROUND((ROUND((ROUND((ROUND((_15_同援日１．５*_15・基礎２),0)*_15・２人),0)*(1+_15・A夜間)),0)*(1+_15・盲ろう)),0)</f>
        <v>610</v>
      </c>
      <c r="X187" s="48"/>
    </row>
    <row r="188" spans="1:24" ht="16.5" customHeight="1" x14ac:dyDescent="0.15">
      <c r="A188" s="41">
        <v>15</v>
      </c>
      <c r="B188" s="41">
        <v>8367</v>
      </c>
      <c r="C188" s="74" t="s">
        <v>18317</v>
      </c>
      <c r="D188" s="72"/>
      <c r="F188" s="57"/>
      <c r="G188" s="53"/>
      <c r="H188" s="49"/>
      <c r="I188" s="50"/>
      <c r="J188" s="163"/>
      <c r="K188" s="45"/>
      <c r="L188" s="46"/>
      <c r="M188" s="512"/>
      <c r="N188" s="57"/>
      <c r="O188" s="53"/>
      <c r="P188" s="49"/>
      <c r="Q188" s="50"/>
      <c r="R188" s="115"/>
      <c r="S188" s="53"/>
      <c r="T188" s="49"/>
      <c r="U188" s="50"/>
      <c r="V188" s="115"/>
      <c r="W188" s="208">
        <f>ROUND((ROUND((_15_同援日１．５*(1+_15・A夜間)),0)*(1+_15・区３)),0)</f>
        <v>649</v>
      </c>
      <c r="X188" s="48"/>
    </row>
    <row r="189" spans="1:24" ht="16.5" customHeight="1" x14ac:dyDescent="0.15">
      <c r="A189" s="41">
        <v>15</v>
      </c>
      <c r="B189" s="41">
        <v>8368</v>
      </c>
      <c r="C189" s="74" t="s">
        <v>18318</v>
      </c>
      <c r="D189" s="72"/>
      <c r="F189" s="57"/>
      <c r="G189" s="43"/>
      <c r="H189" s="37"/>
      <c r="I189" s="38"/>
      <c r="J189" s="299" t="s">
        <v>17556</v>
      </c>
      <c r="K189" s="45" t="s">
        <v>398</v>
      </c>
      <c r="L189" s="46">
        <v>1</v>
      </c>
      <c r="M189" s="512"/>
      <c r="N189" s="57"/>
      <c r="O189" s="35"/>
      <c r="R189" s="57"/>
      <c r="S189" s="35"/>
      <c r="V189" s="57"/>
      <c r="W189" s="208">
        <f>ROUND((ROUND((ROUND((_15_同援日１．５*_15・２人),0)*(1+_15・A夜間)),0)*(1+_15・区３)),0)</f>
        <v>649</v>
      </c>
      <c r="X189" s="48"/>
    </row>
    <row r="190" spans="1:24" ht="16.5" customHeight="1" x14ac:dyDescent="0.15">
      <c r="A190" s="41">
        <v>15</v>
      </c>
      <c r="B190" s="41">
        <v>8369</v>
      </c>
      <c r="C190" s="74" t="s">
        <v>18319</v>
      </c>
      <c r="D190" s="72"/>
      <c r="F190" s="57"/>
      <c r="G190" s="114" t="s">
        <v>17558</v>
      </c>
      <c r="H190" s="49"/>
      <c r="I190" s="50"/>
      <c r="J190" s="163"/>
      <c r="K190" s="45"/>
      <c r="L190" s="46"/>
      <c r="M190" s="512"/>
      <c r="N190" s="57"/>
      <c r="O190" s="35"/>
      <c r="R190" s="57"/>
      <c r="S190" s="72" t="s">
        <v>17570</v>
      </c>
      <c r="V190" s="57"/>
      <c r="W190" s="208">
        <f>ROUND((ROUND((ROUND((_15_同援日１．５*_15・基礎２),0)*(1+_15・A夜間)),0)*(1+_15・区３)),0)</f>
        <v>586</v>
      </c>
      <c r="X190" s="48"/>
    </row>
    <row r="191" spans="1:24" ht="16.5" customHeight="1" x14ac:dyDescent="0.15">
      <c r="A191" s="41">
        <v>15</v>
      </c>
      <c r="B191" s="41">
        <v>8370</v>
      </c>
      <c r="C191" s="74" t="s">
        <v>18320</v>
      </c>
      <c r="D191" s="72"/>
      <c r="F191" s="57"/>
      <c r="G191" s="269" t="s">
        <v>17560</v>
      </c>
      <c r="H191" s="37" t="s">
        <v>398</v>
      </c>
      <c r="I191" s="38">
        <v>0.9</v>
      </c>
      <c r="J191" s="299" t="s">
        <v>17556</v>
      </c>
      <c r="K191" s="45" t="s">
        <v>398</v>
      </c>
      <c r="L191" s="46">
        <v>1</v>
      </c>
      <c r="M191" s="512"/>
      <c r="N191" s="57"/>
      <c r="O191" s="43"/>
      <c r="P191" s="37"/>
      <c r="Q191" s="38"/>
      <c r="R191" s="79"/>
      <c r="S191" s="72" t="s">
        <v>17572</v>
      </c>
      <c r="V191" s="57"/>
      <c r="W191" s="208">
        <f>ROUND((ROUND((ROUND((ROUND((_15_同援日１．５*_15・基礎２),0)*_15・２人),0)*(1+_15・A夜間)),0)*(1+_15・区３)),0)</f>
        <v>586</v>
      </c>
      <c r="X191" s="48"/>
    </row>
    <row r="192" spans="1:24" ht="16.5" customHeight="1" x14ac:dyDescent="0.15">
      <c r="A192" s="41">
        <v>15</v>
      </c>
      <c r="B192" s="41">
        <v>8371</v>
      </c>
      <c r="C192" s="74" t="s">
        <v>18321</v>
      </c>
      <c r="D192" s="72"/>
      <c r="F192" s="57"/>
      <c r="G192" s="53"/>
      <c r="H192" s="49"/>
      <c r="I192" s="50"/>
      <c r="J192" s="163"/>
      <c r="K192" s="45"/>
      <c r="L192" s="46"/>
      <c r="M192" s="512"/>
      <c r="N192" s="57"/>
      <c r="O192" s="114" t="s">
        <v>17562</v>
      </c>
      <c r="P192" s="49"/>
      <c r="Q192" s="50"/>
      <c r="R192" s="115"/>
      <c r="S192" s="35"/>
      <c r="T192" s="12" t="s">
        <v>398</v>
      </c>
      <c r="U192" s="13">
        <v>0.2</v>
      </c>
      <c r="V192" s="57" t="s">
        <v>3575</v>
      </c>
      <c r="W192" s="208">
        <f>ROUND((ROUND((ROUND((_15_同援日１．５*(1+_15・A夜間)),0)*(1+_15・盲ろう)),0)*(1+_15・区３)),0)</f>
        <v>811</v>
      </c>
      <c r="X192" s="48"/>
    </row>
    <row r="193" spans="1:24" ht="16.5" customHeight="1" x14ac:dyDescent="0.15">
      <c r="A193" s="41">
        <v>15</v>
      </c>
      <c r="B193" s="41">
        <v>8372</v>
      </c>
      <c r="C193" s="74" t="s">
        <v>18322</v>
      </c>
      <c r="D193" s="72"/>
      <c r="F193" s="57"/>
      <c r="G193" s="43"/>
      <c r="H193" s="37"/>
      <c r="I193" s="38"/>
      <c r="J193" s="299" t="s">
        <v>17556</v>
      </c>
      <c r="K193" s="45" t="s">
        <v>398</v>
      </c>
      <c r="L193" s="46">
        <v>1</v>
      </c>
      <c r="M193" s="512"/>
      <c r="N193" s="57"/>
      <c r="O193" s="92" t="s">
        <v>17564</v>
      </c>
      <c r="R193" s="57"/>
      <c r="S193" s="35"/>
      <c r="V193" s="57"/>
      <c r="W193" s="208">
        <f>ROUND((ROUND((ROUND((ROUND((_15_同援日１．５*_15・２人),0)*(1+_15・A夜間)),0)*(1+_15・盲ろう)),0)*(1+_15・区３)),0)</f>
        <v>811</v>
      </c>
      <c r="X193" s="48"/>
    </row>
    <row r="194" spans="1:24" ht="16.5" customHeight="1" x14ac:dyDescent="0.15">
      <c r="A194" s="41">
        <v>15</v>
      </c>
      <c r="B194" s="41">
        <v>8373</v>
      </c>
      <c r="C194" s="74" t="s">
        <v>18323</v>
      </c>
      <c r="D194" s="72"/>
      <c r="F194" s="57"/>
      <c r="G194" s="114" t="s">
        <v>17558</v>
      </c>
      <c r="H194" s="49"/>
      <c r="I194" s="50"/>
      <c r="J194" s="163"/>
      <c r="K194" s="45"/>
      <c r="L194" s="46"/>
      <c r="M194" s="512"/>
      <c r="N194" s="57"/>
      <c r="O194" s="35"/>
      <c r="P194" s="12" t="s">
        <v>398</v>
      </c>
      <c r="Q194" s="13">
        <v>0.25</v>
      </c>
      <c r="R194" s="57" t="s">
        <v>3575</v>
      </c>
      <c r="S194" s="35"/>
      <c r="V194" s="57"/>
      <c r="W194" s="208">
        <f>ROUND((ROUND((ROUND((ROUND((_15_同援日１．５*_15・基礎２),0)*(1+_15・A夜間)),0)*(1+_15・盲ろう)),0)*(1+_15・区３)),0)</f>
        <v>732</v>
      </c>
      <c r="X194" s="48"/>
    </row>
    <row r="195" spans="1:24" ht="16.5" customHeight="1" x14ac:dyDescent="0.15">
      <c r="A195" s="41">
        <v>15</v>
      </c>
      <c r="B195" s="41">
        <v>8374</v>
      </c>
      <c r="C195" s="74" t="s">
        <v>18324</v>
      </c>
      <c r="D195" s="72"/>
      <c r="F195" s="57"/>
      <c r="G195" s="269" t="s">
        <v>17560</v>
      </c>
      <c r="H195" s="37" t="s">
        <v>398</v>
      </c>
      <c r="I195" s="38">
        <v>0.9</v>
      </c>
      <c r="J195" s="299" t="s">
        <v>17556</v>
      </c>
      <c r="K195" s="45" t="s">
        <v>398</v>
      </c>
      <c r="L195" s="46">
        <v>1</v>
      </c>
      <c r="M195" s="512"/>
      <c r="N195" s="57"/>
      <c r="O195" s="43"/>
      <c r="P195" s="37"/>
      <c r="Q195" s="38"/>
      <c r="R195" s="79"/>
      <c r="S195" s="43"/>
      <c r="T195" s="37"/>
      <c r="U195" s="38"/>
      <c r="V195" s="79"/>
      <c r="W195" s="208">
        <f>ROUND((ROUND((ROUND((ROUND((ROUND((_15_同援日１．５*_15・基礎２),0)*_15・２人),0)*(1+_15・A夜間)),0)*(1+_15・盲ろう)),0)*(1+_15・区３)),0)</f>
        <v>732</v>
      </c>
      <c r="X195" s="48"/>
    </row>
    <row r="196" spans="1:24" ht="16.5" customHeight="1" x14ac:dyDescent="0.15">
      <c r="A196" s="41">
        <v>15</v>
      </c>
      <c r="B196" s="41">
        <v>8375</v>
      </c>
      <c r="C196" s="74" t="s">
        <v>18325</v>
      </c>
      <c r="D196" s="72"/>
      <c r="F196" s="57"/>
      <c r="G196" s="53"/>
      <c r="H196" s="49"/>
      <c r="I196" s="50"/>
      <c r="J196" s="163"/>
      <c r="K196" s="45"/>
      <c r="L196" s="46"/>
      <c r="M196" s="512"/>
      <c r="N196" s="57"/>
      <c r="O196" s="53"/>
      <c r="P196" s="49"/>
      <c r="Q196" s="50"/>
      <c r="R196" s="115"/>
      <c r="S196" s="53"/>
      <c r="T196" s="49"/>
      <c r="U196" s="50"/>
      <c r="V196" s="115"/>
      <c r="W196" s="208">
        <f>ROUND((ROUND((_15_同援日１．５*(1+_15・A夜間)),0)*(1+_15・区４)),0)</f>
        <v>757</v>
      </c>
      <c r="X196" s="48"/>
    </row>
    <row r="197" spans="1:24" ht="16.5" customHeight="1" x14ac:dyDescent="0.15">
      <c r="A197" s="41">
        <v>15</v>
      </c>
      <c r="B197" s="41">
        <v>8376</v>
      </c>
      <c r="C197" s="74" t="s">
        <v>18326</v>
      </c>
      <c r="D197" s="72"/>
      <c r="F197" s="57"/>
      <c r="G197" s="43"/>
      <c r="H197" s="37"/>
      <c r="I197" s="38"/>
      <c r="J197" s="299" t="s">
        <v>17556</v>
      </c>
      <c r="K197" s="45" t="s">
        <v>398</v>
      </c>
      <c r="L197" s="46">
        <v>1</v>
      </c>
      <c r="M197" s="512"/>
      <c r="N197" s="57"/>
      <c r="O197" s="35"/>
      <c r="R197" s="57"/>
      <c r="S197" s="35"/>
      <c r="V197" s="57"/>
      <c r="W197" s="208">
        <f>ROUND((ROUND((ROUND((_15_同援日１．５*_15・２人),0)*(1+_15・A夜間)),0)*(1+_15・区４)),0)</f>
        <v>757</v>
      </c>
      <c r="X197" s="48"/>
    </row>
    <row r="198" spans="1:24" ht="16.5" customHeight="1" x14ac:dyDescent="0.15">
      <c r="A198" s="41">
        <v>15</v>
      </c>
      <c r="B198" s="41">
        <v>8377</v>
      </c>
      <c r="C198" s="74" t="s">
        <v>18327</v>
      </c>
      <c r="D198" s="72"/>
      <c r="F198" s="57"/>
      <c r="G198" s="114" t="s">
        <v>17558</v>
      </c>
      <c r="H198" s="49"/>
      <c r="I198" s="50"/>
      <c r="J198" s="163"/>
      <c r="K198" s="45"/>
      <c r="L198" s="46"/>
      <c r="M198" s="512"/>
      <c r="N198" s="57"/>
      <c r="O198" s="35"/>
      <c r="R198" s="57"/>
      <c r="S198" s="72" t="s">
        <v>17580</v>
      </c>
      <c r="V198" s="57"/>
      <c r="W198" s="208">
        <f>ROUND((ROUND((ROUND((_15_同援日１．５*_15・基礎２),0)*(1+_15・A夜間)),0)*(1+_15・区４)),0)</f>
        <v>683</v>
      </c>
      <c r="X198" s="48"/>
    </row>
    <row r="199" spans="1:24" ht="16.5" customHeight="1" x14ac:dyDescent="0.15">
      <c r="A199" s="41">
        <v>15</v>
      </c>
      <c r="B199" s="41">
        <v>8378</v>
      </c>
      <c r="C199" s="74" t="s">
        <v>18328</v>
      </c>
      <c r="D199" s="72"/>
      <c r="F199" s="57"/>
      <c r="G199" s="269" t="s">
        <v>17560</v>
      </c>
      <c r="H199" s="37" t="s">
        <v>398</v>
      </c>
      <c r="I199" s="38">
        <v>0.9</v>
      </c>
      <c r="J199" s="299" t="s">
        <v>17556</v>
      </c>
      <c r="K199" s="45" t="s">
        <v>398</v>
      </c>
      <c r="L199" s="46">
        <v>1</v>
      </c>
      <c r="M199" s="512"/>
      <c r="N199" s="57"/>
      <c r="O199" s="43"/>
      <c r="P199" s="37"/>
      <c r="Q199" s="38"/>
      <c r="R199" s="79"/>
      <c r="S199" s="72" t="s">
        <v>17572</v>
      </c>
      <c r="V199" s="57"/>
      <c r="W199" s="208">
        <f>ROUND((ROUND((ROUND((ROUND((_15_同援日１．５*_15・基礎２),0)*_15・２人),0)*(1+_15・A夜間)),0)*(1+_15・区４)),0)</f>
        <v>683</v>
      </c>
      <c r="X199" s="48"/>
    </row>
    <row r="200" spans="1:24" ht="16.5" customHeight="1" x14ac:dyDescent="0.15">
      <c r="A200" s="41">
        <v>15</v>
      </c>
      <c r="B200" s="41">
        <v>8379</v>
      </c>
      <c r="C200" s="74" t="s">
        <v>18329</v>
      </c>
      <c r="D200" s="72"/>
      <c r="F200" s="57"/>
      <c r="G200" s="53"/>
      <c r="H200" s="49"/>
      <c r="I200" s="50"/>
      <c r="J200" s="163"/>
      <c r="K200" s="45"/>
      <c r="L200" s="46"/>
      <c r="M200" s="512"/>
      <c r="N200" s="57"/>
      <c r="O200" s="114" t="s">
        <v>17562</v>
      </c>
      <c r="P200" s="49"/>
      <c r="Q200" s="50"/>
      <c r="R200" s="115"/>
      <c r="S200" s="35"/>
      <c r="T200" s="12" t="s">
        <v>398</v>
      </c>
      <c r="U200" s="13">
        <v>0.4</v>
      </c>
      <c r="V200" s="57" t="s">
        <v>3575</v>
      </c>
      <c r="W200" s="208">
        <f>ROUND((ROUND((ROUND((_15_同援日１．５*(1+_15・A夜間)),0)*(1+_15・盲ろう)),0)*(1+_15・区４)),0)</f>
        <v>946</v>
      </c>
      <c r="X200" s="48"/>
    </row>
    <row r="201" spans="1:24" ht="16.5" customHeight="1" x14ac:dyDescent="0.15">
      <c r="A201" s="41">
        <v>15</v>
      </c>
      <c r="B201" s="41">
        <v>8380</v>
      </c>
      <c r="C201" s="74" t="s">
        <v>18330</v>
      </c>
      <c r="D201" s="72"/>
      <c r="F201" s="57"/>
      <c r="G201" s="43"/>
      <c r="H201" s="37"/>
      <c r="I201" s="38"/>
      <c r="J201" s="299" t="s">
        <v>17556</v>
      </c>
      <c r="K201" s="45" t="s">
        <v>398</v>
      </c>
      <c r="L201" s="46">
        <v>1</v>
      </c>
      <c r="M201" s="512"/>
      <c r="N201" s="57"/>
      <c r="O201" s="92" t="s">
        <v>17564</v>
      </c>
      <c r="R201" s="57"/>
      <c r="S201" s="35"/>
      <c r="V201" s="57"/>
      <c r="W201" s="208">
        <f>ROUND((ROUND((ROUND((ROUND((_15_同援日１．５*_15・２人),0)*(1+_15・A夜間)),0)*(1+_15・盲ろう)),0)*(1+_15・区４)),0)</f>
        <v>946</v>
      </c>
      <c r="X201" s="48"/>
    </row>
    <row r="202" spans="1:24" ht="16.5" customHeight="1" x14ac:dyDescent="0.15">
      <c r="A202" s="41">
        <v>15</v>
      </c>
      <c r="B202" s="41">
        <v>8381</v>
      </c>
      <c r="C202" s="74" t="s">
        <v>18331</v>
      </c>
      <c r="D202" s="72"/>
      <c r="F202" s="57"/>
      <c r="G202" s="114" t="s">
        <v>17558</v>
      </c>
      <c r="H202" s="49"/>
      <c r="I202" s="50"/>
      <c r="J202" s="163"/>
      <c r="K202" s="45"/>
      <c r="L202" s="46"/>
      <c r="M202" s="512"/>
      <c r="N202" s="57"/>
      <c r="O202" s="35"/>
      <c r="P202" s="12" t="s">
        <v>398</v>
      </c>
      <c r="Q202" s="13">
        <v>0.25</v>
      </c>
      <c r="R202" s="57" t="s">
        <v>3575</v>
      </c>
      <c r="S202" s="35"/>
      <c r="V202" s="57"/>
      <c r="W202" s="208">
        <f>ROUND((ROUND((ROUND((ROUND((_15_同援日１．５*_15・基礎２),0)*(1+_15・A夜間)),0)*(1+_15・盲ろう)),0)*(1+_15・区４)),0)</f>
        <v>854</v>
      </c>
      <c r="X202" s="48"/>
    </row>
    <row r="203" spans="1:24" ht="16.5" customHeight="1" x14ac:dyDescent="0.15">
      <c r="A203" s="41">
        <v>15</v>
      </c>
      <c r="B203" s="41">
        <v>8382</v>
      </c>
      <c r="C203" s="74" t="s">
        <v>18332</v>
      </c>
      <c r="D203" s="122"/>
      <c r="E203" s="37"/>
      <c r="F203" s="79"/>
      <c r="G203" s="269" t="s">
        <v>17560</v>
      </c>
      <c r="H203" s="37" t="s">
        <v>398</v>
      </c>
      <c r="I203" s="38">
        <v>0.9</v>
      </c>
      <c r="J203" s="299" t="s">
        <v>17556</v>
      </c>
      <c r="K203" s="45" t="s">
        <v>398</v>
      </c>
      <c r="L203" s="46">
        <v>1</v>
      </c>
      <c r="M203" s="514"/>
      <c r="N203" s="79"/>
      <c r="O203" s="43"/>
      <c r="P203" s="37"/>
      <c r="Q203" s="38"/>
      <c r="R203" s="79"/>
      <c r="S203" s="43"/>
      <c r="T203" s="37"/>
      <c r="U203" s="38"/>
      <c r="V203" s="79"/>
      <c r="W203" s="208">
        <f>ROUND((ROUND((ROUND((ROUND((ROUND((_15_同援日１．５*_15・基礎２),0)*_15・２人),0)*(1+_15・A夜間)),0)*(1+_15・盲ろう)),0)*(1+_15・区４)),0)</f>
        <v>854</v>
      </c>
      <c r="X203" s="63"/>
    </row>
    <row r="204" spans="1:24" ht="16.5" customHeight="1" x14ac:dyDescent="0.15">
      <c r="A204" s="41">
        <v>15</v>
      </c>
      <c r="B204" s="41">
        <v>8383</v>
      </c>
      <c r="C204" s="74" t="s">
        <v>18333</v>
      </c>
      <c r="D204" s="114" t="s">
        <v>18334</v>
      </c>
      <c r="E204" s="49"/>
      <c r="F204" s="115"/>
      <c r="G204" s="53"/>
      <c r="H204" s="49"/>
      <c r="I204" s="50"/>
      <c r="J204" s="163"/>
      <c r="K204" s="45"/>
      <c r="L204" s="46"/>
      <c r="M204" s="515"/>
      <c r="N204" s="115"/>
      <c r="O204" s="53"/>
      <c r="P204" s="49"/>
      <c r="Q204" s="50"/>
      <c r="R204" s="115"/>
      <c r="S204" s="53"/>
      <c r="T204" s="49"/>
      <c r="U204" s="50"/>
      <c r="V204" s="115"/>
      <c r="W204" s="208">
        <f>ROUND((_15_同援日２．０*(1+_15・A夜間)),0)</f>
        <v>623</v>
      </c>
      <c r="X204" s="64"/>
    </row>
    <row r="205" spans="1:24" ht="16.5" customHeight="1" x14ac:dyDescent="0.15">
      <c r="A205" s="41">
        <v>15</v>
      </c>
      <c r="B205" s="41">
        <v>8384</v>
      </c>
      <c r="C205" s="74" t="s">
        <v>18335</v>
      </c>
      <c r="D205" s="72" t="s">
        <v>17643</v>
      </c>
      <c r="F205" s="57"/>
      <c r="G205" s="43"/>
      <c r="H205" s="37"/>
      <c r="I205" s="38"/>
      <c r="J205" s="299" t="s">
        <v>17556</v>
      </c>
      <c r="K205" s="45" t="s">
        <v>398</v>
      </c>
      <c r="L205" s="46">
        <v>1</v>
      </c>
      <c r="M205" s="512"/>
      <c r="N205" s="57"/>
      <c r="O205" s="35"/>
      <c r="R205" s="57"/>
      <c r="S205" s="35"/>
      <c r="V205" s="57"/>
      <c r="W205" s="208">
        <f>ROUND((ROUND((_15_同援日２．０*_15・２人),0)*(1+_15・A夜間)),0)</f>
        <v>623</v>
      </c>
      <c r="X205" s="48"/>
    </row>
    <row r="206" spans="1:24" ht="16.5" customHeight="1" x14ac:dyDescent="0.15">
      <c r="A206" s="41">
        <v>15</v>
      </c>
      <c r="B206" s="41">
        <v>8385</v>
      </c>
      <c r="C206" s="74" t="s">
        <v>18336</v>
      </c>
      <c r="D206" s="72" t="s">
        <v>17645</v>
      </c>
      <c r="F206" s="57"/>
      <c r="G206" s="114" t="s">
        <v>17558</v>
      </c>
      <c r="H206" s="49"/>
      <c r="I206" s="50"/>
      <c r="J206" s="163"/>
      <c r="K206" s="45"/>
      <c r="L206" s="46"/>
      <c r="M206" s="512"/>
      <c r="N206" s="57"/>
      <c r="O206" s="35"/>
      <c r="R206" s="57"/>
      <c r="S206" s="35"/>
      <c r="V206" s="57"/>
      <c r="W206" s="208">
        <f>ROUND((ROUND((_15_同援日２．０*_15・基礎２),0)*(1+_15・A夜間)),0)</f>
        <v>560</v>
      </c>
      <c r="X206" s="48"/>
    </row>
    <row r="207" spans="1:24" ht="16.5" customHeight="1" x14ac:dyDescent="0.15">
      <c r="A207" s="41">
        <v>15</v>
      </c>
      <c r="B207" s="41">
        <v>8386</v>
      </c>
      <c r="C207" s="74" t="s">
        <v>18337</v>
      </c>
      <c r="D207" s="72"/>
      <c r="E207" s="168">
        <f>_15_同援日２．０</f>
        <v>498</v>
      </c>
      <c r="F207" s="57" t="s">
        <v>392</v>
      </c>
      <c r="G207" s="269" t="s">
        <v>17560</v>
      </c>
      <c r="H207" s="37" t="s">
        <v>398</v>
      </c>
      <c r="I207" s="38">
        <v>0.9</v>
      </c>
      <c r="J207" s="299" t="s">
        <v>17556</v>
      </c>
      <c r="K207" s="45" t="s">
        <v>398</v>
      </c>
      <c r="L207" s="46">
        <v>1</v>
      </c>
      <c r="M207" s="512"/>
      <c r="N207" s="57"/>
      <c r="O207" s="43"/>
      <c r="P207" s="37"/>
      <c r="Q207" s="38"/>
      <c r="R207" s="79"/>
      <c r="S207" s="35"/>
      <c r="V207" s="57"/>
      <c r="W207" s="208">
        <f>ROUND((ROUND((ROUND((_15_同援日２．０*_15・基礎２),0)*_15・２人),0)*(1+_15・A夜間)),0)</f>
        <v>560</v>
      </c>
      <c r="X207" s="48"/>
    </row>
    <row r="208" spans="1:24" ht="16.5" customHeight="1" x14ac:dyDescent="0.15">
      <c r="A208" s="41">
        <v>15</v>
      </c>
      <c r="B208" s="41">
        <v>8387</v>
      </c>
      <c r="C208" s="74" t="s">
        <v>18338</v>
      </c>
      <c r="D208" s="72"/>
      <c r="F208" s="57"/>
      <c r="G208" s="53"/>
      <c r="H208" s="49"/>
      <c r="I208" s="50"/>
      <c r="J208" s="163"/>
      <c r="K208" s="45"/>
      <c r="L208" s="46"/>
      <c r="M208" s="512"/>
      <c r="N208" s="57"/>
      <c r="O208" s="114" t="s">
        <v>17562</v>
      </c>
      <c r="P208" s="49"/>
      <c r="Q208" s="50"/>
      <c r="R208" s="115"/>
      <c r="S208" s="35"/>
      <c r="V208" s="57"/>
      <c r="W208" s="208">
        <f>ROUND((ROUND((_15_同援日２．０*(1+_15・A夜間)),0)*(1+_15・盲ろう)),0)</f>
        <v>779</v>
      </c>
      <c r="X208" s="48"/>
    </row>
    <row r="209" spans="1:24" ht="16.5" customHeight="1" x14ac:dyDescent="0.15">
      <c r="A209" s="41">
        <v>15</v>
      </c>
      <c r="B209" s="41">
        <v>8388</v>
      </c>
      <c r="C209" s="74" t="s">
        <v>18339</v>
      </c>
      <c r="D209" s="72"/>
      <c r="F209" s="57"/>
      <c r="G209" s="43"/>
      <c r="H209" s="37"/>
      <c r="I209" s="38"/>
      <c r="J209" s="299" t="s">
        <v>17556</v>
      </c>
      <c r="K209" s="45" t="s">
        <v>398</v>
      </c>
      <c r="L209" s="46">
        <v>1</v>
      </c>
      <c r="M209" s="512"/>
      <c r="N209" s="57"/>
      <c r="O209" s="92" t="s">
        <v>17564</v>
      </c>
      <c r="R209" s="57"/>
      <c r="S209" s="35"/>
      <c r="V209" s="57"/>
      <c r="W209" s="208">
        <f>ROUND((ROUND((ROUND((_15_同援日２．０*_15・２人),0)*(1+_15・A夜間)),0)*(1+_15・盲ろう)),0)</f>
        <v>779</v>
      </c>
      <c r="X209" s="48"/>
    </row>
    <row r="210" spans="1:24" ht="16.5" customHeight="1" x14ac:dyDescent="0.15">
      <c r="A210" s="41">
        <v>15</v>
      </c>
      <c r="B210" s="41">
        <v>8389</v>
      </c>
      <c r="C210" s="74" t="s">
        <v>18340</v>
      </c>
      <c r="D210" s="72"/>
      <c r="F210" s="57"/>
      <c r="G210" s="114" t="s">
        <v>17558</v>
      </c>
      <c r="H210" s="49"/>
      <c r="I210" s="50"/>
      <c r="J210" s="163"/>
      <c r="K210" s="45"/>
      <c r="L210" s="46"/>
      <c r="M210" s="512"/>
      <c r="N210" s="57"/>
      <c r="O210" s="35"/>
      <c r="P210" s="12" t="s">
        <v>398</v>
      </c>
      <c r="Q210" s="13">
        <v>0.25</v>
      </c>
      <c r="R210" s="57" t="s">
        <v>3575</v>
      </c>
      <c r="S210" s="35"/>
      <c r="V210" s="57"/>
      <c r="W210" s="208">
        <f>ROUND((ROUND((ROUND((_15_同援日２．０*_15・基礎２),0)*(1+_15・A夜間)),0)*(1+_15・盲ろう)),0)</f>
        <v>700</v>
      </c>
      <c r="X210" s="48"/>
    </row>
    <row r="211" spans="1:24" ht="16.5" customHeight="1" x14ac:dyDescent="0.15">
      <c r="A211" s="41">
        <v>15</v>
      </c>
      <c r="B211" s="41">
        <v>8390</v>
      </c>
      <c r="C211" s="74" t="s">
        <v>18341</v>
      </c>
      <c r="D211" s="72"/>
      <c r="F211" s="57"/>
      <c r="G211" s="269" t="s">
        <v>17560</v>
      </c>
      <c r="H211" s="37" t="s">
        <v>398</v>
      </c>
      <c r="I211" s="38">
        <v>0.9</v>
      </c>
      <c r="J211" s="299" t="s">
        <v>17556</v>
      </c>
      <c r="K211" s="45" t="s">
        <v>398</v>
      </c>
      <c r="L211" s="46">
        <v>1</v>
      </c>
      <c r="M211" s="512"/>
      <c r="N211" s="57"/>
      <c r="O211" s="43"/>
      <c r="P211" s="37"/>
      <c r="Q211" s="38"/>
      <c r="R211" s="79"/>
      <c r="S211" s="43"/>
      <c r="T211" s="37"/>
      <c r="U211" s="38"/>
      <c r="V211" s="79"/>
      <c r="W211" s="208">
        <f>ROUND((ROUND((ROUND((ROUND((_15_同援日２．０*_15・基礎２),0)*_15・２人),0)*(1+_15・A夜間)),0)*(1+_15・盲ろう)),0)</f>
        <v>700</v>
      </c>
      <c r="X211" s="48"/>
    </row>
    <row r="212" spans="1:24" ht="16.5" customHeight="1" x14ac:dyDescent="0.15">
      <c r="A212" s="41">
        <v>15</v>
      </c>
      <c r="B212" s="41">
        <v>8391</v>
      </c>
      <c r="C212" s="74" t="s">
        <v>18342</v>
      </c>
      <c r="D212" s="72"/>
      <c r="F212" s="57"/>
      <c r="G212" s="53"/>
      <c r="H212" s="49"/>
      <c r="I212" s="50"/>
      <c r="J212" s="163"/>
      <c r="K212" s="45"/>
      <c r="L212" s="46"/>
      <c r="M212" s="512"/>
      <c r="N212" s="57"/>
      <c r="O212" s="53"/>
      <c r="P212" s="49"/>
      <c r="Q212" s="50"/>
      <c r="R212" s="115"/>
      <c r="S212" s="53"/>
      <c r="T212" s="49"/>
      <c r="U212" s="50"/>
      <c r="V212" s="115"/>
      <c r="W212" s="208">
        <f>ROUND((ROUND((_15_同援日２．０*(1+_15・A夜間)),0)*(1+_15・区３)),0)</f>
        <v>748</v>
      </c>
      <c r="X212" s="48"/>
    </row>
    <row r="213" spans="1:24" ht="16.5" customHeight="1" x14ac:dyDescent="0.15">
      <c r="A213" s="41">
        <v>15</v>
      </c>
      <c r="B213" s="41">
        <v>8392</v>
      </c>
      <c r="C213" s="74" t="s">
        <v>18343</v>
      </c>
      <c r="D213" s="72"/>
      <c r="F213" s="57"/>
      <c r="G213" s="43"/>
      <c r="H213" s="37"/>
      <c r="I213" s="38"/>
      <c r="J213" s="299" t="s">
        <v>17556</v>
      </c>
      <c r="K213" s="45" t="s">
        <v>398</v>
      </c>
      <c r="L213" s="46">
        <v>1</v>
      </c>
      <c r="M213" s="512"/>
      <c r="N213" s="57"/>
      <c r="O213" s="35"/>
      <c r="R213" s="57"/>
      <c r="S213" s="35"/>
      <c r="V213" s="57"/>
      <c r="W213" s="208">
        <f>ROUND((ROUND((ROUND((_15_同援日２．０*_15・２人),0)*(1+_15・A夜間)),0)*(1+_15・区３)),0)</f>
        <v>748</v>
      </c>
      <c r="X213" s="48"/>
    </row>
    <row r="214" spans="1:24" ht="16.5" customHeight="1" x14ac:dyDescent="0.15">
      <c r="A214" s="41">
        <v>15</v>
      </c>
      <c r="B214" s="41">
        <v>8393</v>
      </c>
      <c r="C214" s="74" t="s">
        <v>18344</v>
      </c>
      <c r="D214" s="72"/>
      <c r="F214" s="57"/>
      <c r="G214" s="114" t="s">
        <v>17558</v>
      </c>
      <c r="H214" s="49"/>
      <c r="I214" s="50"/>
      <c r="J214" s="163"/>
      <c r="K214" s="45"/>
      <c r="L214" s="46"/>
      <c r="M214" s="512"/>
      <c r="N214" s="57"/>
      <c r="O214" s="35"/>
      <c r="R214" s="57"/>
      <c r="S214" s="72" t="s">
        <v>17570</v>
      </c>
      <c r="V214" s="57"/>
      <c r="W214" s="208">
        <f>ROUND((ROUND((ROUND((_15_同援日２．０*_15・基礎２),0)*(1+_15・A夜間)),0)*(1+_15・区３)),0)</f>
        <v>672</v>
      </c>
      <c r="X214" s="48"/>
    </row>
    <row r="215" spans="1:24" ht="16.5" customHeight="1" x14ac:dyDescent="0.15">
      <c r="A215" s="41">
        <v>15</v>
      </c>
      <c r="B215" s="41">
        <v>8394</v>
      </c>
      <c r="C215" s="74" t="s">
        <v>18345</v>
      </c>
      <c r="D215" s="72"/>
      <c r="F215" s="57"/>
      <c r="G215" s="269" t="s">
        <v>17560</v>
      </c>
      <c r="H215" s="37" t="s">
        <v>398</v>
      </c>
      <c r="I215" s="38">
        <v>0.9</v>
      </c>
      <c r="J215" s="299" t="s">
        <v>17556</v>
      </c>
      <c r="K215" s="45" t="s">
        <v>398</v>
      </c>
      <c r="L215" s="46">
        <v>1</v>
      </c>
      <c r="M215" s="512"/>
      <c r="N215" s="57"/>
      <c r="O215" s="43"/>
      <c r="P215" s="37"/>
      <c r="Q215" s="38"/>
      <c r="R215" s="79"/>
      <c r="S215" s="72" t="s">
        <v>17572</v>
      </c>
      <c r="V215" s="57"/>
      <c r="W215" s="208">
        <f>ROUND((ROUND((ROUND((ROUND((_15_同援日２．０*_15・基礎２),0)*_15・２人),0)*(1+_15・A夜間)),0)*(1+_15・区３)),0)</f>
        <v>672</v>
      </c>
      <c r="X215" s="48"/>
    </row>
    <row r="216" spans="1:24" ht="16.5" customHeight="1" x14ac:dyDescent="0.15">
      <c r="A216" s="41">
        <v>15</v>
      </c>
      <c r="B216" s="41">
        <v>8395</v>
      </c>
      <c r="C216" s="74" t="s">
        <v>18346</v>
      </c>
      <c r="D216" s="72"/>
      <c r="F216" s="57"/>
      <c r="G216" s="53"/>
      <c r="H216" s="49"/>
      <c r="I216" s="50"/>
      <c r="J216" s="163"/>
      <c r="K216" s="45"/>
      <c r="L216" s="46"/>
      <c r="M216" s="512"/>
      <c r="N216" s="57"/>
      <c r="O216" s="114" t="s">
        <v>17562</v>
      </c>
      <c r="P216" s="49"/>
      <c r="Q216" s="50"/>
      <c r="R216" s="115"/>
      <c r="S216" s="35"/>
      <c r="T216" s="12" t="s">
        <v>398</v>
      </c>
      <c r="U216" s="13">
        <v>0.2</v>
      </c>
      <c r="V216" s="57" t="s">
        <v>3575</v>
      </c>
      <c r="W216" s="208">
        <f>ROUND((ROUND((ROUND((_15_同援日２．０*(1+_15・A夜間)),0)*(1+_15・盲ろう)),0)*(1+_15・区３)),0)</f>
        <v>935</v>
      </c>
      <c r="X216" s="48"/>
    </row>
    <row r="217" spans="1:24" ht="16.5" customHeight="1" x14ac:dyDescent="0.15">
      <c r="A217" s="41">
        <v>15</v>
      </c>
      <c r="B217" s="41">
        <v>8396</v>
      </c>
      <c r="C217" s="74" t="s">
        <v>18347</v>
      </c>
      <c r="D217" s="72"/>
      <c r="F217" s="57"/>
      <c r="G217" s="43"/>
      <c r="H217" s="37"/>
      <c r="I217" s="38"/>
      <c r="J217" s="299" t="s">
        <v>17556</v>
      </c>
      <c r="K217" s="45" t="s">
        <v>398</v>
      </c>
      <c r="L217" s="46">
        <v>1</v>
      </c>
      <c r="M217" s="512"/>
      <c r="N217" s="57"/>
      <c r="O217" s="92" t="s">
        <v>17564</v>
      </c>
      <c r="R217" s="57"/>
      <c r="S217" s="35"/>
      <c r="V217" s="57"/>
      <c r="W217" s="208">
        <f>ROUND((ROUND((ROUND((ROUND((_15_同援日２．０*_15・２人),0)*(1+_15・A夜間)),0)*(1+_15・盲ろう)),0)*(1+_15・区３)),0)</f>
        <v>935</v>
      </c>
      <c r="X217" s="48"/>
    </row>
    <row r="218" spans="1:24" ht="16.5" customHeight="1" x14ac:dyDescent="0.15">
      <c r="A218" s="41">
        <v>15</v>
      </c>
      <c r="B218" s="41">
        <v>8397</v>
      </c>
      <c r="C218" s="74" t="s">
        <v>18348</v>
      </c>
      <c r="D218" s="72"/>
      <c r="F218" s="57"/>
      <c r="G218" s="114" t="s">
        <v>17558</v>
      </c>
      <c r="H218" s="49"/>
      <c r="I218" s="50"/>
      <c r="J218" s="163"/>
      <c r="K218" s="45"/>
      <c r="L218" s="46"/>
      <c r="M218" s="512"/>
      <c r="N218" s="57"/>
      <c r="O218" s="35"/>
      <c r="P218" s="12" t="s">
        <v>398</v>
      </c>
      <c r="Q218" s="13">
        <v>0.25</v>
      </c>
      <c r="R218" s="57" t="s">
        <v>3575</v>
      </c>
      <c r="S218" s="35"/>
      <c r="V218" s="57"/>
      <c r="W218" s="208">
        <f>ROUND((ROUND((ROUND((ROUND((_15_同援日２．０*_15・基礎２),0)*(1+_15・A夜間)),0)*(1+_15・盲ろう)),0)*(1+_15・区３)),0)</f>
        <v>840</v>
      </c>
      <c r="X218" s="48"/>
    </row>
    <row r="219" spans="1:24" ht="16.5" customHeight="1" x14ac:dyDescent="0.15">
      <c r="A219" s="41">
        <v>15</v>
      </c>
      <c r="B219" s="41">
        <v>8398</v>
      </c>
      <c r="C219" s="74" t="s">
        <v>18349</v>
      </c>
      <c r="D219" s="72"/>
      <c r="F219" s="57"/>
      <c r="G219" s="269" t="s">
        <v>17560</v>
      </c>
      <c r="H219" s="37" t="s">
        <v>398</v>
      </c>
      <c r="I219" s="38">
        <v>0.9</v>
      </c>
      <c r="J219" s="299" t="s">
        <v>17556</v>
      </c>
      <c r="K219" s="45" t="s">
        <v>398</v>
      </c>
      <c r="L219" s="46">
        <v>1</v>
      </c>
      <c r="M219" s="512"/>
      <c r="N219" s="57"/>
      <c r="O219" s="43"/>
      <c r="P219" s="37"/>
      <c r="Q219" s="38"/>
      <c r="R219" s="79"/>
      <c r="S219" s="43"/>
      <c r="T219" s="37"/>
      <c r="U219" s="38"/>
      <c r="V219" s="79"/>
      <c r="W219" s="208">
        <f>ROUND((ROUND((ROUND((ROUND((ROUND((_15_同援日２．０*_15・基礎２),0)*_15・２人),0)*(1+_15・A夜間)),0)*(1+_15・盲ろう)),0)*(1+_15・区３)),0)</f>
        <v>840</v>
      </c>
      <c r="X219" s="48"/>
    </row>
    <row r="220" spans="1:24" ht="16.5" customHeight="1" x14ac:dyDescent="0.15">
      <c r="A220" s="41">
        <v>15</v>
      </c>
      <c r="B220" s="41">
        <v>8399</v>
      </c>
      <c r="C220" s="74" t="s">
        <v>18350</v>
      </c>
      <c r="D220" s="72"/>
      <c r="F220" s="57"/>
      <c r="G220" s="53"/>
      <c r="H220" s="49"/>
      <c r="I220" s="50"/>
      <c r="J220" s="163"/>
      <c r="K220" s="45"/>
      <c r="L220" s="46"/>
      <c r="M220" s="512"/>
      <c r="N220" s="57"/>
      <c r="O220" s="53"/>
      <c r="P220" s="49"/>
      <c r="Q220" s="50"/>
      <c r="R220" s="115"/>
      <c r="S220" s="53"/>
      <c r="T220" s="49"/>
      <c r="U220" s="50"/>
      <c r="V220" s="115"/>
      <c r="W220" s="208">
        <f>ROUND((ROUND((_15_同援日２．０*(1+_15・A夜間)),0)*(1+_15・区４)),0)</f>
        <v>872</v>
      </c>
      <c r="X220" s="48"/>
    </row>
    <row r="221" spans="1:24" ht="16.5" customHeight="1" x14ac:dyDescent="0.15">
      <c r="A221" s="41">
        <v>15</v>
      </c>
      <c r="B221" s="41">
        <v>8400</v>
      </c>
      <c r="C221" s="74" t="s">
        <v>18351</v>
      </c>
      <c r="D221" s="72"/>
      <c r="F221" s="57"/>
      <c r="G221" s="43"/>
      <c r="H221" s="37"/>
      <c r="I221" s="38"/>
      <c r="J221" s="299" t="s">
        <v>17556</v>
      </c>
      <c r="K221" s="45" t="s">
        <v>398</v>
      </c>
      <c r="L221" s="46">
        <v>1</v>
      </c>
      <c r="M221" s="512"/>
      <c r="N221" s="57"/>
      <c r="O221" s="35"/>
      <c r="R221" s="57"/>
      <c r="S221" s="35"/>
      <c r="V221" s="57"/>
      <c r="W221" s="208">
        <f>ROUND((ROUND((ROUND((_15_同援日２．０*_15・２人),0)*(1+_15・A夜間)),0)*(1+_15・区４)),0)</f>
        <v>872</v>
      </c>
      <c r="X221" s="48"/>
    </row>
    <row r="222" spans="1:24" ht="16.5" customHeight="1" x14ac:dyDescent="0.15">
      <c r="A222" s="41">
        <v>15</v>
      </c>
      <c r="B222" s="41">
        <v>8401</v>
      </c>
      <c r="C222" s="74" t="s">
        <v>18352</v>
      </c>
      <c r="D222" s="72"/>
      <c r="F222" s="57"/>
      <c r="G222" s="114" t="s">
        <v>17558</v>
      </c>
      <c r="H222" s="49"/>
      <c r="I222" s="50"/>
      <c r="J222" s="163"/>
      <c r="K222" s="45"/>
      <c r="L222" s="46"/>
      <c r="M222" s="512"/>
      <c r="N222" s="57"/>
      <c r="O222" s="35"/>
      <c r="R222" s="57"/>
      <c r="S222" s="72" t="s">
        <v>17580</v>
      </c>
      <c r="V222" s="57"/>
      <c r="W222" s="208">
        <f>ROUND((ROUND((ROUND((_15_同援日２．０*_15・基礎２),0)*(1+_15・A夜間)),0)*(1+_15・区４)),0)</f>
        <v>784</v>
      </c>
      <c r="X222" s="48"/>
    </row>
    <row r="223" spans="1:24" ht="16.5" customHeight="1" x14ac:dyDescent="0.15">
      <c r="A223" s="41">
        <v>15</v>
      </c>
      <c r="B223" s="41">
        <v>8402</v>
      </c>
      <c r="C223" s="74" t="s">
        <v>18353</v>
      </c>
      <c r="D223" s="72"/>
      <c r="F223" s="57"/>
      <c r="G223" s="269" t="s">
        <v>17560</v>
      </c>
      <c r="H223" s="37" t="s">
        <v>398</v>
      </c>
      <c r="I223" s="38">
        <v>0.9</v>
      </c>
      <c r="J223" s="299" t="s">
        <v>17556</v>
      </c>
      <c r="K223" s="45" t="s">
        <v>398</v>
      </c>
      <c r="L223" s="46">
        <v>1</v>
      </c>
      <c r="M223" s="512"/>
      <c r="N223" s="57"/>
      <c r="O223" s="43"/>
      <c r="P223" s="37"/>
      <c r="Q223" s="38"/>
      <c r="R223" s="79"/>
      <c r="S223" s="72" t="s">
        <v>17572</v>
      </c>
      <c r="V223" s="57"/>
      <c r="W223" s="208">
        <f>ROUND((ROUND((ROUND((ROUND((_15_同援日２．０*_15・基礎２),0)*_15・２人),0)*(1+_15・A夜間)),0)*(1+_15・区４)),0)</f>
        <v>784</v>
      </c>
      <c r="X223" s="48"/>
    </row>
    <row r="224" spans="1:24" ht="16.5" customHeight="1" x14ac:dyDescent="0.15">
      <c r="A224" s="41">
        <v>15</v>
      </c>
      <c r="B224" s="41">
        <v>8403</v>
      </c>
      <c r="C224" s="74" t="s">
        <v>18354</v>
      </c>
      <c r="D224" s="72"/>
      <c r="F224" s="57"/>
      <c r="G224" s="53"/>
      <c r="H224" s="49"/>
      <c r="I224" s="50"/>
      <c r="J224" s="163"/>
      <c r="K224" s="45"/>
      <c r="L224" s="46"/>
      <c r="M224" s="512"/>
      <c r="N224" s="57"/>
      <c r="O224" s="114" t="s">
        <v>17562</v>
      </c>
      <c r="P224" s="49"/>
      <c r="Q224" s="50"/>
      <c r="R224" s="115"/>
      <c r="S224" s="35"/>
      <c r="T224" s="12" t="s">
        <v>398</v>
      </c>
      <c r="U224" s="13">
        <v>0.4</v>
      </c>
      <c r="V224" s="57" t="s">
        <v>3575</v>
      </c>
      <c r="W224" s="208">
        <f>ROUND((ROUND((ROUND((_15_同援日２．０*(1+_15・A夜間)),0)*(1+_15・盲ろう)),0)*(1+_15・区４)),0)</f>
        <v>1091</v>
      </c>
      <c r="X224" s="48"/>
    </row>
    <row r="225" spans="1:24" ht="16.5" customHeight="1" x14ac:dyDescent="0.15">
      <c r="A225" s="41">
        <v>15</v>
      </c>
      <c r="B225" s="41">
        <v>8404</v>
      </c>
      <c r="C225" s="74" t="s">
        <v>18355</v>
      </c>
      <c r="D225" s="72"/>
      <c r="F225" s="57"/>
      <c r="G225" s="43"/>
      <c r="H225" s="37"/>
      <c r="I225" s="38"/>
      <c r="J225" s="299" t="s">
        <v>17556</v>
      </c>
      <c r="K225" s="45" t="s">
        <v>398</v>
      </c>
      <c r="L225" s="46">
        <v>1</v>
      </c>
      <c r="M225" s="512"/>
      <c r="N225" s="57"/>
      <c r="O225" s="92" t="s">
        <v>17564</v>
      </c>
      <c r="R225" s="57"/>
      <c r="S225" s="35"/>
      <c r="V225" s="57"/>
      <c r="W225" s="208">
        <f>ROUND((ROUND((ROUND((ROUND((_15_同援日２．０*_15・２人),0)*(1+_15・A夜間)),0)*(1+_15・盲ろう)),0)*(1+_15・区４)),0)</f>
        <v>1091</v>
      </c>
      <c r="X225" s="48"/>
    </row>
    <row r="226" spans="1:24" ht="16.5" customHeight="1" x14ac:dyDescent="0.15">
      <c r="A226" s="41">
        <v>15</v>
      </c>
      <c r="B226" s="41">
        <v>8405</v>
      </c>
      <c r="C226" s="74" t="s">
        <v>18356</v>
      </c>
      <c r="D226" s="72"/>
      <c r="F226" s="57"/>
      <c r="G226" s="114" t="s">
        <v>17558</v>
      </c>
      <c r="H226" s="49"/>
      <c r="I226" s="50"/>
      <c r="J226" s="163"/>
      <c r="K226" s="45"/>
      <c r="L226" s="46"/>
      <c r="M226" s="512"/>
      <c r="N226" s="57"/>
      <c r="O226" s="35"/>
      <c r="P226" s="12" t="s">
        <v>398</v>
      </c>
      <c r="Q226" s="13">
        <v>0.25</v>
      </c>
      <c r="R226" s="57" t="s">
        <v>3575</v>
      </c>
      <c r="S226" s="35"/>
      <c r="V226" s="57"/>
      <c r="W226" s="208">
        <f>ROUND((ROUND((ROUND((ROUND((_15_同援日２．０*_15・基礎２),0)*(1+_15・A夜間)),0)*(1+_15・盲ろう)),0)*(1+_15・区４)),0)</f>
        <v>980</v>
      </c>
      <c r="X226" s="48"/>
    </row>
    <row r="227" spans="1:24" ht="16.5" customHeight="1" x14ac:dyDescent="0.15">
      <c r="A227" s="41">
        <v>15</v>
      </c>
      <c r="B227" s="41">
        <v>8406</v>
      </c>
      <c r="C227" s="74" t="s">
        <v>18357</v>
      </c>
      <c r="D227" s="122"/>
      <c r="E227" s="37"/>
      <c r="F227" s="79"/>
      <c r="G227" s="269" t="s">
        <v>17560</v>
      </c>
      <c r="H227" s="37" t="s">
        <v>398</v>
      </c>
      <c r="I227" s="38">
        <v>0.9</v>
      </c>
      <c r="J227" s="299" t="s">
        <v>17556</v>
      </c>
      <c r="K227" s="45" t="s">
        <v>398</v>
      </c>
      <c r="L227" s="46">
        <v>1</v>
      </c>
      <c r="M227" s="512"/>
      <c r="N227" s="57"/>
      <c r="O227" s="43"/>
      <c r="P227" s="37"/>
      <c r="Q227" s="38"/>
      <c r="R227" s="79"/>
      <c r="S227" s="43"/>
      <c r="T227" s="37"/>
      <c r="U227" s="38"/>
      <c r="V227" s="79"/>
      <c r="W227" s="208">
        <f>ROUND((ROUND((ROUND((ROUND((ROUND((_15_同援日２．０*_15・基礎２),0)*_15・２人),0)*(1+_15・A夜間)),0)*(1+_15・盲ろう)),0)*(1+_15・区４)),0)</f>
        <v>980</v>
      </c>
      <c r="X227" s="48"/>
    </row>
    <row r="228" spans="1:24" ht="16.5" customHeight="1" x14ac:dyDescent="0.15">
      <c r="A228" s="41">
        <v>15</v>
      </c>
      <c r="B228" s="41">
        <v>8407</v>
      </c>
      <c r="C228" s="74" t="s">
        <v>18358</v>
      </c>
      <c r="D228" s="114" t="s">
        <v>18359</v>
      </c>
      <c r="E228" s="49"/>
      <c r="F228" s="115"/>
      <c r="G228" s="53"/>
      <c r="H228" s="49"/>
      <c r="I228" s="50"/>
      <c r="J228" s="163"/>
      <c r="K228" s="45"/>
      <c r="L228" s="46"/>
      <c r="M228" s="512"/>
      <c r="N228" s="57"/>
      <c r="O228" s="53"/>
      <c r="P228" s="49"/>
      <c r="Q228" s="50"/>
      <c r="R228" s="115"/>
      <c r="S228" s="53"/>
      <c r="T228" s="49"/>
      <c r="U228" s="50"/>
      <c r="V228" s="115"/>
      <c r="W228" s="208">
        <f>ROUND((_15_同援日２．５*(1+_15・A夜間)),0)</f>
        <v>704</v>
      </c>
      <c r="X228" s="48"/>
    </row>
    <row r="229" spans="1:24" ht="16.5" customHeight="1" x14ac:dyDescent="0.15">
      <c r="A229" s="41">
        <v>15</v>
      </c>
      <c r="B229" s="41">
        <v>8408</v>
      </c>
      <c r="C229" s="74" t="s">
        <v>18360</v>
      </c>
      <c r="D229" s="72" t="s">
        <v>17670</v>
      </c>
      <c r="F229" s="57"/>
      <c r="G229" s="43"/>
      <c r="H229" s="37"/>
      <c r="I229" s="38"/>
      <c r="J229" s="299" t="s">
        <v>17556</v>
      </c>
      <c r="K229" s="45" t="s">
        <v>398</v>
      </c>
      <c r="L229" s="46">
        <v>1</v>
      </c>
      <c r="M229" s="512"/>
      <c r="N229" s="57"/>
      <c r="O229" s="35"/>
      <c r="R229" s="57"/>
      <c r="S229" s="35"/>
      <c r="V229" s="57"/>
      <c r="W229" s="208">
        <f>ROUND((ROUND((_15_同援日２．５*_15・２人),0)*(1+_15・A夜間)),0)</f>
        <v>704</v>
      </c>
      <c r="X229" s="48"/>
    </row>
    <row r="230" spans="1:24" ht="16.5" customHeight="1" x14ac:dyDescent="0.15">
      <c r="A230" s="41">
        <v>15</v>
      </c>
      <c r="B230" s="41">
        <v>8409</v>
      </c>
      <c r="C230" s="74" t="s">
        <v>18361</v>
      </c>
      <c r="D230" s="72" t="s">
        <v>17672</v>
      </c>
      <c r="F230" s="57"/>
      <c r="G230" s="114" t="s">
        <v>17558</v>
      </c>
      <c r="H230" s="49"/>
      <c r="I230" s="50"/>
      <c r="J230" s="163"/>
      <c r="K230" s="45"/>
      <c r="L230" s="46"/>
      <c r="M230" s="512"/>
      <c r="N230" s="57"/>
      <c r="O230" s="35"/>
      <c r="R230" s="57"/>
      <c r="S230" s="35"/>
      <c r="V230" s="57"/>
      <c r="W230" s="208">
        <f>ROUND((ROUND((_15_同援日２．５*_15・基礎２),0)*(1+_15・A夜間)),0)</f>
        <v>634</v>
      </c>
      <c r="X230" s="48"/>
    </row>
    <row r="231" spans="1:24" ht="16.5" customHeight="1" x14ac:dyDescent="0.15">
      <c r="A231" s="41">
        <v>15</v>
      </c>
      <c r="B231" s="41">
        <v>8410</v>
      </c>
      <c r="C231" s="74" t="s">
        <v>18362</v>
      </c>
      <c r="D231" s="72"/>
      <c r="E231" s="168">
        <f>_15_同援日２．５</f>
        <v>563</v>
      </c>
      <c r="F231" s="57" t="s">
        <v>392</v>
      </c>
      <c r="G231" s="269" t="s">
        <v>17560</v>
      </c>
      <c r="H231" s="37" t="s">
        <v>398</v>
      </c>
      <c r="I231" s="38">
        <v>0.9</v>
      </c>
      <c r="J231" s="299" t="s">
        <v>17556</v>
      </c>
      <c r="K231" s="45" t="s">
        <v>398</v>
      </c>
      <c r="L231" s="46">
        <v>1</v>
      </c>
      <c r="M231" s="512"/>
      <c r="N231" s="57"/>
      <c r="O231" s="43"/>
      <c r="P231" s="37"/>
      <c r="Q231" s="38"/>
      <c r="R231" s="79"/>
      <c r="S231" s="35"/>
      <c r="V231" s="57"/>
      <c r="W231" s="208">
        <f>ROUND((ROUND((ROUND((_15_同援日２．５*_15・基礎２),0)*_15・２人),0)*(1+_15・A夜間)),0)</f>
        <v>634</v>
      </c>
      <c r="X231" s="48"/>
    </row>
    <row r="232" spans="1:24" ht="16.5" customHeight="1" x14ac:dyDescent="0.15">
      <c r="A232" s="41">
        <v>15</v>
      </c>
      <c r="B232" s="41">
        <v>8411</v>
      </c>
      <c r="C232" s="74" t="s">
        <v>18363</v>
      </c>
      <c r="D232" s="72"/>
      <c r="F232" s="57"/>
      <c r="G232" s="53"/>
      <c r="H232" s="49"/>
      <c r="I232" s="50"/>
      <c r="J232" s="163"/>
      <c r="K232" s="45"/>
      <c r="L232" s="46"/>
      <c r="M232" s="512"/>
      <c r="N232" s="57"/>
      <c r="O232" s="114" t="s">
        <v>17562</v>
      </c>
      <c r="P232" s="49"/>
      <c r="Q232" s="50"/>
      <c r="R232" s="115"/>
      <c r="S232" s="35"/>
      <c r="V232" s="57"/>
      <c r="W232" s="208">
        <f>ROUND((ROUND((_15_同援日２．５*(1+_15・A夜間)),0)*(1+_15・盲ろう)),0)</f>
        <v>880</v>
      </c>
      <c r="X232" s="48"/>
    </row>
    <row r="233" spans="1:24" ht="16.5" customHeight="1" x14ac:dyDescent="0.15">
      <c r="A233" s="41">
        <v>15</v>
      </c>
      <c r="B233" s="41">
        <v>8412</v>
      </c>
      <c r="C233" s="74" t="s">
        <v>18364</v>
      </c>
      <c r="D233" s="72"/>
      <c r="F233" s="57"/>
      <c r="G233" s="43"/>
      <c r="H233" s="37"/>
      <c r="I233" s="38"/>
      <c r="J233" s="299" t="s">
        <v>17556</v>
      </c>
      <c r="K233" s="45" t="s">
        <v>398</v>
      </c>
      <c r="L233" s="46">
        <v>1</v>
      </c>
      <c r="M233" s="512"/>
      <c r="N233" s="57"/>
      <c r="O233" s="92" t="s">
        <v>17564</v>
      </c>
      <c r="R233" s="57"/>
      <c r="S233" s="35"/>
      <c r="V233" s="57"/>
      <c r="W233" s="208">
        <f>ROUND((ROUND((ROUND((_15_同援日２．５*_15・２人),0)*(1+_15・A夜間)),0)*(1+_15・盲ろう)),0)</f>
        <v>880</v>
      </c>
      <c r="X233" s="48"/>
    </row>
    <row r="234" spans="1:24" ht="16.5" customHeight="1" x14ac:dyDescent="0.15">
      <c r="A234" s="41">
        <v>15</v>
      </c>
      <c r="B234" s="41">
        <v>8413</v>
      </c>
      <c r="C234" s="74" t="s">
        <v>18365</v>
      </c>
      <c r="D234" s="72"/>
      <c r="F234" s="57"/>
      <c r="G234" s="114" t="s">
        <v>17558</v>
      </c>
      <c r="H234" s="49"/>
      <c r="I234" s="50"/>
      <c r="J234" s="163"/>
      <c r="K234" s="45"/>
      <c r="L234" s="46"/>
      <c r="M234" s="512"/>
      <c r="N234" s="57"/>
      <c r="O234" s="35"/>
      <c r="P234" s="12" t="s">
        <v>398</v>
      </c>
      <c r="Q234" s="13">
        <v>0.25</v>
      </c>
      <c r="R234" s="57" t="s">
        <v>3575</v>
      </c>
      <c r="S234" s="35"/>
      <c r="V234" s="57"/>
      <c r="W234" s="208">
        <f>ROUND((ROUND((ROUND((_15_同援日２．５*_15・基礎２),0)*(1+_15・A夜間)),0)*(1+_15・盲ろう)),0)</f>
        <v>793</v>
      </c>
      <c r="X234" s="48"/>
    </row>
    <row r="235" spans="1:24" ht="16.5" customHeight="1" x14ac:dyDescent="0.15">
      <c r="A235" s="41">
        <v>15</v>
      </c>
      <c r="B235" s="41">
        <v>8414</v>
      </c>
      <c r="C235" s="74" t="s">
        <v>18366</v>
      </c>
      <c r="D235" s="72"/>
      <c r="F235" s="57"/>
      <c r="G235" s="269" t="s">
        <v>17560</v>
      </c>
      <c r="H235" s="37" t="s">
        <v>398</v>
      </c>
      <c r="I235" s="38">
        <v>0.9</v>
      </c>
      <c r="J235" s="299" t="s">
        <v>17556</v>
      </c>
      <c r="K235" s="45" t="s">
        <v>398</v>
      </c>
      <c r="L235" s="46">
        <v>1</v>
      </c>
      <c r="M235" s="512"/>
      <c r="N235" s="57"/>
      <c r="O235" s="43"/>
      <c r="P235" s="37"/>
      <c r="Q235" s="38"/>
      <c r="R235" s="79"/>
      <c r="S235" s="43"/>
      <c r="T235" s="37"/>
      <c r="U235" s="38"/>
      <c r="V235" s="79"/>
      <c r="W235" s="208">
        <f>ROUND((ROUND((ROUND((ROUND((_15_同援日２．５*_15・基礎２),0)*_15・２人),0)*(1+_15・A夜間)),0)*(1+_15・盲ろう)),0)</f>
        <v>793</v>
      </c>
      <c r="X235" s="48"/>
    </row>
    <row r="236" spans="1:24" ht="16.5" customHeight="1" x14ac:dyDescent="0.15">
      <c r="A236" s="41">
        <v>15</v>
      </c>
      <c r="B236" s="41">
        <v>8415</v>
      </c>
      <c r="C236" s="74" t="s">
        <v>18367</v>
      </c>
      <c r="D236" s="72"/>
      <c r="F236" s="57"/>
      <c r="G236" s="53"/>
      <c r="H236" s="49"/>
      <c r="I236" s="50"/>
      <c r="J236" s="163"/>
      <c r="K236" s="45"/>
      <c r="L236" s="46"/>
      <c r="M236" s="512"/>
      <c r="N236" s="57"/>
      <c r="O236" s="53"/>
      <c r="P236" s="49"/>
      <c r="Q236" s="50"/>
      <c r="R236" s="115"/>
      <c r="S236" s="53"/>
      <c r="T236" s="49"/>
      <c r="U236" s="50"/>
      <c r="V236" s="115"/>
      <c r="W236" s="208">
        <f>ROUND((ROUND((_15_同援日２．５*(1+_15・A夜間)),0)*(1+_15・区３)),0)</f>
        <v>845</v>
      </c>
      <c r="X236" s="48"/>
    </row>
    <row r="237" spans="1:24" ht="16.5" customHeight="1" x14ac:dyDescent="0.15">
      <c r="A237" s="41">
        <v>15</v>
      </c>
      <c r="B237" s="41">
        <v>8416</v>
      </c>
      <c r="C237" s="74" t="s">
        <v>18368</v>
      </c>
      <c r="D237" s="72"/>
      <c r="F237" s="57"/>
      <c r="G237" s="43"/>
      <c r="H237" s="37"/>
      <c r="I237" s="38"/>
      <c r="J237" s="299" t="s">
        <v>17556</v>
      </c>
      <c r="K237" s="45" t="s">
        <v>398</v>
      </c>
      <c r="L237" s="46">
        <v>1</v>
      </c>
      <c r="M237" s="512"/>
      <c r="N237" s="57"/>
      <c r="O237" s="35"/>
      <c r="R237" s="57"/>
      <c r="S237" s="35"/>
      <c r="V237" s="57"/>
      <c r="W237" s="208">
        <f>ROUND((ROUND((ROUND((_15_同援日２．５*_15・２人),0)*(1+_15・A夜間)),0)*(1+_15・区３)),0)</f>
        <v>845</v>
      </c>
      <c r="X237" s="48"/>
    </row>
    <row r="238" spans="1:24" ht="16.5" customHeight="1" x14ac:dyDescent="0.15">
      <c r="A238" s="41">
        <v>15</v>
      </c>
      <c r="B238" s="41">
        <v>8417</v>
      </c>
      <c r="C238" s="74" t="s">
        <v>18369</v>
      </c>
      <c r="D238" s="72"/>
      <c r="F238" s="57"/>
      <c r="G238" s="114" t="s">
        <v>17558</v>
      </c>
      <c r="H238" s="49"/>
      <c r="I238" s="50"/>
      <c r="J238" s="163"/>
      <c r="K238" s="45"/>
      <c r="L238" s="46"/>
      <c r="M238" s="512"/>
      <c r="N238" s="57"/>
      <c r="O238" s="35"/>
      <c r="R238" s="57"/>
      <c r="S238" s="72" t="s">
        <v>17570</v>
      </c>
      <c r="V238" s="57"/>
      <c r="W238" s="208">
        <f>ROUND((ROUND((ROUND((_15_同援日２．５*_15・基礎２),0)*(1+_15・A夜間)),0)*(1+_15・区３)),0)</f>
        <v>761</v>
      </c>
      <c r="X238" s="48"/>
    </row>
    <row r="239" spans="1:24" ht="16.5" customHeight="1" x14ac:dyDescent="0.15">
      <c r="A239" s="41">
        <v>15</v>
      </c>
      <c r="B239" s="41">
        <v>8418</v>
      </c>
      <c r="C239" s="74" t="s">
        <v>18370</v>
      </c>
      <c r="D239" s="72"/>
      <c r="F239" s="57"/>
      <c r="G239" s="269" t="s">
        <v>17560</v>
      </c>
      <c r="H239" s="37" t="s">
        <v>398</v>
      </c>
      <c r="I239" s="38">
        <v>0.9</v>
      </c>
      <c r="J239" s="299" t="s">
        <v>17556</v>
      </c>
      <c r="K239" s="45" t="s">
        <v>398</v>
      </c>
      <c r="L239" s="46">
        <v>1</v>
      </c>
      <c r="M239" s="512"/>
      <c r="N239" s="57"/>
      <c r="O239" s="43"/>
      <c r="P239" s="37"/>
      <c r="Q239" s="38"/>
      <c r="R239" s="79"/>
      <c r="S239" s="72" t="s">
        <v>17572</v>
      </c>
      <c r="V239" s="57"/>
      <c r="W239" s="208">
        <f>ROUND((ROUND((ROUND((ROUND((_15_同援日２．５*_15・基礎２),0)*_15・２人),0)*(1+_15・A夜間)),0)*(1+_15・区３)),0)</f>
        <v>761</v>
      </c>
      <c r="X239" s="48"/>
    </row>
    <row r="240" spans="1:24" ht="16.5" customHeight="1" x14ac:dyDescent="0.15">
      <c r="A240" s="41">
        <v>15</v>
      </c>
      <c r="B240" s="41">
        <v>8419</v>
      </c>
      <c r="C240" s="74" t="s">
        <v>18371</v>
      </c>
      <c r="D240" s="72"/>
      <c r="F240" s="57"/>
      <c r="G240" s="53"/>
      <c r="H240" s="49"/>
      <c r="I240" s="50"/>
      <c r="J240" s="163"/>
      <c r="K240" s="45"/>
      <c r="L240" s="46"/>
      <c r="M240" s="512"/>
      <c r="N240" s="57"/>
      <c r="O240" s="114" t="s">
        <v>17562</v>
      </c>
      <c r="P240" s="49"/>
      <c r="Q240" s="50"/>
      <c r="R240" s="115"/>
      <c r="S240" s="35"/>
      <c r="T240" s="12" t="s">
        <v>398</v>
      </c>
      <c r="U240" s="13">
        <v>0.2</v>
      </c>
      <c r="V240" s="57" t="s">
        <v>3575</v>
      </c>
      <c r="W240" s="208">
        <f>ROUND((ROUND((ROUND((_15_同援日２．５*(1+_15・A夜間)),0)*(1+_15・盲ろう)),0)*(1+_15・区３)),0)</f>
        <v>1056</v>
      </c>
      <c r="X240" s="48"/>
    </row>
    <row r="241" spans="1:24" ht="16.5" customHeight="1" x14ac:dyDescent="0.15">
      <c r="A241" s="41">
        <v>15</v>
      </c>
      <c r="B241" s="41">
        <v>8420</v>
      </c>
      <c r="C241" s="74" t="s">
        <v>18372</v>
      </c>
      <c r="D241" s="72"/>
      <c r="F241" s="57"/>
      <c r="G241" s="43"/>
      <c r="H241" s="37"/>
      <c r="I241" s="38"/>
      <c r="J241" s="299" t="s">
        <v>17556</v>
      </c>
      <c r="K241" s="45" t="s">
        <v>398</v>
      </c>
      <c r="L241" s="46">
        <v>1</v>
      </c>
      <c r="M241" s="512"/>
      <c r="N241" s="57"/>
      <c r="O241" s="92" t="s">
        <v>17564</v>
      </c>
      <c r="R241" s="57"/>
      <c r="S241" s="35"/>
      <c r="V241" s="57"/>
      <c r="W241" s="208">
        <f>ROUND((ROUND((ROUND((ROUND((_15_同援日２．５*_15・２人),0)*(1+_15・A夜間)),0)*(1+_15・盲ろう)),0)*(1+_15・区３)),0)</f>
        <v>1056</v>
      </c>
      <c r="X241" s="48"/>
    </row>
    <row r="242" spans="1:24" ht="16.5" customHeight="1" x14ac:dyDescent="0.15">
      <c r="A242" s="41">
        <v>15</v>
      </c>
      <c r="B242" s="41">
        <v>8421</v>
      </c>
      <c r="C242" s="74" t="s">
        <v>18373</v>
      </c>
      <c r="D242" s="72"/>
      <c r="F242" s="57"/>
      <c r="G242" s="114" t="s">
        <v>17558</v>
      </c>
      <c r="H242" s="49"/>
      <c r="I242" s="50"/>
      <c r="J242" s="163"/>
      <c r="K242" s="45"/>
      <c r="L242" s="46"/>
      <c r="M242" s="512"/>
      <c r="N242" s="57"/>
      <c r="O242" s="35"/>
      <c r="P242" s="12" t="s">
        <v>398</v>
      </c>
      <c r="Q242" s="13">
        <v>0.25</v>
      </c>
      <c r="R242" s="57" t="s">
        <v>3575</v>
      </c>
      <c r="S242" s="35"/>
      <c r="V242" s="57"/>
      <c r="W242" s="208">
        <f>ROUND((ROUND((ROUND((ROUND((_15_同援日２．５*_15・基礎２),0)*(1+_15・A夜間)),0)*(1+_15・盲ろう)),0)*(1+_15・区３)),0)</f>
        <v>952</v>
      </c>
      <c r="X242" s="48"/>
    </row>
    <row r="243" spans="1:24" ht="16.5" customHeight="1" x14ac:dyDescent="0.15">
      <c r="A243" s="41">
        <v>15</v>
      </c>
      <c r="B243" s="41">
        <v>8422</v>
      </c>
      <c r="C243" s="74" t="s">
        <v>18374</v>
      </c>
      <c r="D243" s="72"/>
      <c r="F243" s="57"/>
      <c r="G243" s="269" t="s">
        <v>17560</v>
      </c>
      <c r="H243" s="37" t="s">
        <v>398</v>
      </c>
      <c r="I243" s="38">
        <v>0.9</v>
      </c>
      <c r="J243" s="299" t="s">
        <v>17556</v>
      </c>
      <c r="K243" s="45" t="s">
        <v>398</v>
      </c>
      <c r="L243" s="46">
        <v>1</v>
      </c>
      <c r="M243" s="512"/>
      <c r="N243" s="57"/>
      <c r="O243" s="43"/>
      <c r="P243" s="37"/>
      <c r="Q243" s="38"/>
      <c r="R243" s="79"/>
      <c r="S243" s="43"/>
      <c r="T243" s="37"/>
      <c r="U243" s="38"/>
      <c r="V243" s="79"/>
      <c r="W243" s="208">
        <f>ROUND((ROUND((ROUND((ROUND((ROUND((_15_同援日２．５*_15・基礎２),0)*_15・２人),0)*(1+_15・A夜間)),0)*(1+_15・盲ろう)),0)*(1+_15・区３)),0)</f>
        <v>952</v>
      </c>
      <c r="X243" s="48"/>
    </row>
    <row r="244" spans="1:24" ht="16.5" customHeight="1" x14ac:dyDescent="0.15">
      <c r="A244" s="41">
        <v>15</v>
      </c>
      <c r="B244" s="41">
        <v>8423</v>
      </c>
      <c r="C244" s="74" t="s">
        <v>18375</v>
      </c>
      <c r="D244" s="72"/>
      <c r="F244" s="57"/>
      <c r="G244" s="53"/>
      <c r="H244" s="49"/>
      <c r="I244" s="50"/>
      <c r="J244" s="163"/>
      <c r="K244" s="45"/>
      <c r="L244" s="46"/>
      <c r="M244" s="512"/>
      <c r="N244" s="57"/>
      <c r="O244" s="53"/>
      <c r="P244" s="49"/>
      <c r="Q244" s="50"/>
      <c r="R244" s="115"/>
      <c r="S244" s="53"/>
      <c r="T244" s="49"/>
      <c r="U244" s="50"/>
      <c r="V244" s="115"/>
      <c r="W244" s="208">
        <f>ROUND((ROUND((_15_同援日２．５*(1+_15・A夜間)),0)*(1+_15・区４)),0)</f>
        <v>986</v>
      </c>
      <c r="X244" s="48"/>
    </row>
    <row r="245" spans="1:24" ht="16.5" customHeight="1" x14ac:dyDescent="0.15">
      <c r="A245" s="41">
        <v>15</v>
      </c>
      <c r="B245" s="41">
        <v>8424</v>
      </c>
      <c r="C245" s="74" t="s">
        <v>18376</v>
      </c>
      <c r="D245" s="72"/>
      <c r="F245" s="57"/>
      <c r="G245" s="43"/>
      <c r="H245" s="37"/>
      <c r="I245" s="38"/>
      <c r="J245" s="299" t="s">
        <v>17556</v>
      </c>
      <c r="K245" s="45" t="s">
        <v>398</v>
      </c>
      <c r="L245" s="46">
        <v>1</v>
      </c>
      <c r="M245" s="512"/>
      <c r="N245" s="57"/>
      <c r="O245" s="35"/>
      <c r="R245" s="57"/>
      <c r="S245" s="35"/>
      <c r="V245" s="57"/>
      <c r="W245" s="208">
        <f>ROUND((ROUND((ROUND((_15_同援日２．５*_15・２人),0)*(1+_15・A夜間)),0)*(1+_15・区４)),0)</f>
        <v>986</v>
      </c>
      <c r="X245" s="48"/>
    </row>
    <row r="246" spans="1:24" ht="16.5" customHeight="1" x14ac:dyDescent="0.15">
      <c r="A246" s="41">
        <v>15</v>
      </c>
      <c r="B246" s="41">
        <v>8425</v>
      </c>
      <c r="C246" s="74" t="s">
        <v>18377</v>
      </c>
      <c r="D246" s="72"/>
      <c r="F246" s="57"/>
      <c r="G246" s="114" t="s">
        <v>17558</v>
      </c>
      <c r="H246" s="49"/>
      <c r="I246" s="50"/>
      <c r="J246" s="163"/>
      <c r="K246" s="45"/>
      <c r="L246" s="46"/>
      <c r="M246" s="512"/>
      <c r="N246" s="57"/>
      <c r="O246" s="35"/>
      <c r="R246" s="57"/>
      <c r="S246" s="72" t="s">
        <v>17580</v>
      </c>
      <c r="V246" s="57"/>
      <c r="W246" s="208">
        <f>ROUND((ROUND((ROUND((_15_同援日２．５*_15・基礎２),0)*(1+_15・A夜間)),0)*(1+_15・区４)),0)</f>
        <v>888</v>
      </c>
      <c r="X246" s="48"/>
    </row>
    <row r="247" spans="1:24" ht="16.5" customHeight="1" x14ac:dyDescent="0.15">
      <c r="A247" s="41">
        <v>15</v>
      </c>
      <c r="B247" s="41">
        <v>8426</v>
      </c>
      <c r="C247" s="74" t="s">
        <v>18378</v>
      </c>
      <c r="D247" s="72"/>
      <c r="F247" s="57"/>
      <c r="G247" s="269" t="s">
        <v>17560</v>
      </c>
      <c r="H247" s="37" t="s">
        <v>398</v>
      </c>
      <c r="I247" s="38">
        <v>0.9</v>
      </c>
      <c r="J247" s="299" t="s">
        <v>17556</v>
      </c>
      <c r="K247" s="45" t="s">
        <v>398</v>
      </c>
      <c r="L247" s="46">
        <v>1</v>
      </c>
      <c r="M247" s="512"/>
      <c r="N247" s="57"/>
      <c r="O247" s="43"/>
      <c r="P247" s="37"/>
      <c r="Q247" s="38"/>
      <c r="R247" s="79"/>
      <c r="S247" s="72" t="s">
        <v>17572</v>
      </c>
      <c r="V247" s="57"/>
      <c r="W247" s="208">
        <f>ROUND((ROUND((ROUND((ROUND((_15_同援日２．５*_15・基礎２),0)*_15・２人),0)*(1+_15・A夜間)),0)*(1+_15・区４)),0)</f>
        <v>888</v>
      </c>
      <c r="X247" s="48"/>
    </row>
    <row r="248" spans="1:24" ht="16.5" customHeight="1" x14ac:dyDescent="0.15">
      <c r="A248" s="41">
        <v>15</v>
      </c>
      <c r="B248" s="41">
        <v>8427</v>
      </c>
      <c r="C248" s="74" t="s">
        <v>18379</v>
      </c>
      <c r="D248" s="72"/>
      <c r="F248" s="57"/>
      <c r="G248" s="53"/>
      <c r="H248" s="49"/>
      <c r="I248" s="50"/>
      <c r="J248" s="163"/>
      <c r="K248" s="45"/>
      <c r="L248" s="46"/>
      <c r="M248" s="512"/>
      <c r="N248" s="57"/>
      <c r="O248" s="114" t="s">
        <v>17562</v>
      </c>
      <c r="P248" s="49"/>
      <c r="Q248" s="50"/>
      <c r="R248" s="115"/>
      <c r="S248" s="35"/>
      <c r="T248" s="12" t="s">
        <v>398</v>
      </c>
      <c r="U248" s="13">
        <v>0.4</v>
      </c>
      <c r="V248" s="57" t="s">
        <v>3575</v>
      </c>
      <c r="W248" s="208">
        <f>ROUND((ROUND((ROUND((_15_同援日２．５*(1+_15・A夜間)),0)*(1+_15・盲ろう)),0)*(1+_15・区４)),0)</f>
        <v>1232</v>
      </c>
      <c r="X248" s="48"/>
    </row>
    <row r="249" spans="1:24" ht="16.5" customHeight="1" x14ac:dyDescent="0.15">
      <c r="A249" s="41">
        <v>15</v>
      </c>
      <c r="B249" s="41">
        <v>8428</v>
      </c>
      <c r="C249" s="74" t="s">
        <v>18380</v>
      </c>
      <c r="D249" s="72"/>
      <c r="F249" s="57"/>
      <c r="G249" s="43"/>
      <c r="H249" s="37"/>
      <c r="I249" s="38"/>
      <c r="J249" s="299" t="s">
        <v>17556</v>
      </c>
      <c r="K249" s="45" t="s">
        <v>398</v>
      </c>
      <c r="L249" s="46">
        <v>1</v>
      </c>
      <c r="M249" s="512"/>
      <c r="N249" s="57"/>
      <c r="O249" s="92" t="s">
        <v>17564</v>
      </c>
      <c r="R249" s="57"/>
      <c r="S249" s="35"/>
      <c r="V249" s="57"/>
      <c r="W249" s="208">
        <f>ROUND((ROUND((ROUND((ROUND((_15_同援日２．５*_15・２人),0)*(1+_15・A夜間)),0)*(1+_15・盲ろう)),0)*(1+_15・区４)),0)</f>
        <v>1232</v>
      </c>
      <c r="X249" s="48"/>
    </row>
    <row r="250" spans="1:24" ht="16.5" customHeight="1" x14ac:dyDescent="0.15">
      <c r="A250" s="41">
        <v>15</v>
      </c>
      <c r="B250" s="41">
        <v>8429</v>
      </c>
      <c r="C250" s="74" t="s">
        <v>18381</v>
      </c>
      <c r="D250" s="72"/>
      <c r="F250" s="57"/>
      <c r="G250" s="114" t="s">
        <v>17558</v>
      </c>
      <c r="H250" s="49"/>
      <c r="I250" s="50"/>
      <c r="J250" s="163"/>
      <c r="K250" s="45"/>
      <c r="L250" s="46"/>
      <c r="M250" s="512"/>
      <c r="N250" s="57"/>
      <c r="O250" s="35"/>
      <c r="P250" s="12" t="s">
        <v>398</v>
      </c>
      <c r="Q250" s="13">
        <v>0.25</v>
      </c>
      <c r="R250" s="57" t="s">
        <v>3575</v>
      </c>
      <c r="S250" s="35"/>
      <c r="V250" s="57"/>
      <c r="W250" s="208">
        <f>ROUND((ROUND((ROUND((ROUND((_15_同援日２．５*_15・基礎２),0)*(1+_15・A夜間)),0)*(1+_15・盲ろう)),0)*(1+_15・区４)),0)</f>
        <v>1110</v>
      </c>
      <c r="X250" s="48"/>
    </row>
    <row r="251" spans="1:24" ht="16.5" customHeight="1" x14ac:dyDescent="0.15">
      <c r="A251" s="41">
        <v>15</v>
      </c>
      <c r="B251" s="41">
        <v>8430</v>
      </c>
      <c r="C251" s="74" t="s">
        <v>18382</v>
      </c>
      <c r="D251" s="122"/>
      <c r="E251" s="37"/>
      <c r="F251" s="79"/>
      <c r="G251" s="269" t="s">
        <v>17560</v>
      </c>
      <c r="H251" s="37" t="s">
        <v>398</v>
      </c>
      <c r="I251" s="38">
        <v>0.9</v>
      </c>
      <c r="J251" s="299" t="s">
        <v>17556</v>
      </c>
      <c r="K251" s="45" t="s">
        <v>398</v>
      </c>
      <c r="L251" s="46">
        <v>1</v>
      </c>
      <c r="M251" s="512"/>
      <c r="N251" s="57"/>
      <c r="O251" s="43"/>
      <c r="P251" s="37"/>
      <c r="Q251" s="38"/>
      <c r="R251" s="79"/>
      <c r="S251" s="43"/>
      <c r="T251" s="37"/>
      <c r="U251" s="38"/>
      <c r="V251" s="79"/>
      <c r="W251" s="208">
        <f>ROUND((ROUND((ROUND((ROUND((ROUND((_15_同援日２．５*_15・基礎２),0)*_15・２人),0)*(1+_15・A夜間)),0)*(1+_15・盲ろう)),0)*(1+_15・区４)),0)</f>
        <v>1110</v>
      </c>
      <c r="X251" s="48"/>
    </row>
    <row r="252" spans="1:24" ht="16.5" customHeight="1" x14ac:dyDescent="0.15">
      <c r="A252" s="41">
        <v>15</v>
      </c>
      <c r="B252" s="41">
        <v>8431</v>
      </c>
      <c r="C252" s="74" t="s">
        <v>18383</v>
      </c>
      <c r="D252" s="114" t="s">
        <v>18384</v>
      </c>
      <c r="E252" s="49"/>
      <c r="F252" s="115"/>
      <c r="G252" s="53"/>
      <c r="H252" s="49"/>
      <c r="I252" s="50"/>
      <c r="J252" s="163"/>
      <c r="K252" s="45"/>
      <c r="L252" s="46"/>
      <c r="M252" s="512"/>
      <c r="N252" s="57"/>
      <c r="O252" s="53"/>
      <c r="P252" s="49"/>
      <c r="Q252" s="50"/>
      <c r="R252" s="115"/>
      <c r="S252" s="53"/>
      <c r="T252" s="49"/>
      <c r="U252" s="50"/>
      <c r="V252" s="115"/>
      <c r="W252" s="208">
        <f>ROUND((_15_同援日３．０*(1+_15・A夜間)),0)</f>
        <v>785</v>
      </c>
      <c r="X252" s="48"/>
    </row>
    <row r="253" spans="1:24" ht="16.5" customHeight="1" x14ac:dyDescent="0.15">
      <c r="A253" s="41">
        <v>15</v>
      </c>
      <c r="B253" s="41">
        <v>8432</v>
      </c>
      <c r="C253" s="74" t="s">
        <v>18385</v>
      </c>
      <c r="D253" s="72" t="s">
        <v>17697</v>
      </c>
      <c r="F253" s="57"/>
      <c r="G253" s="43"/>
      <c r="H253" s="37"/>
      <c r="I253" s="38"/>
      <c r="J253" s="299" t="s">
        <v>17556</v>
      </c>
      <c r="K253" s="45" t="s">
        <v>398</v>
      </c>
      <c r="L253" s="46">
        <v>1</v>
      </c>
      <c r="M253" s="512"/>
      <c r="N253" s="57"/>
      <c r="O253" s="35"/>
      <c r="R253" s="57"/>
      <c r="S253" s="35"/>
      <c r="V253" s="57"/>
      <c r="W253" s="208">
        <f>ROUND((ROUND((_15_同援日３．０*_15・２人),0)*(1+_15・A夜間)),0)</f>
        <v>785</v>
      </c>
      <c r="X253" s="48"/>
    </row>
    <row r="254" spans="1:24" ht="16.5" customHeight="1" x14ac:dyDescent="0.15">
      <c r="A254" s="41">
        <v>15</v>
      </c>
      <c r="B254" s="41">
        <v>8433</v>
      </c>
      <c r="C254" s="74" t="s">
        <v>18386</v>
      </c>
      <c r="D254" s="72" t="s">
        <v>18387</v>
      </c>
      <c r="F254" s="57"/>
      <c r="G254" s="114" t="s">
        <v>17558</v>
      </c>
      <c r="H254" s="49"/>
      <c r="I254" s="50"/>
      <c r="J254" s="163"/>
      <c r="K254" s="45"/>
      <c r="L254" s="46"/>
      <c r="M254" s="512"/>
      <c r="N254" s="57"/>
      <c r="O254" s="35"/>
      <c r="R254" s="57"/>
      <c r="S254" s="35"/>
      <c r="V254" s="57"/>
      <c r="W254" s="208">
        <f>ROUND((ROUND((_15_同援日３．０*_15・基礎２),0)*(1+_15・A夜間)),0)</f>
        <v>706</v>
      </c>
      <c r="X254" s="48"/>
    </row>
    <row r="255" spans="1:24" ht="16.5" customHeight="1" x14ac:dyDescent="0.15">
      <c r="A255" s="41">
        <v>15</v>
      </c>
      <c r="B255" s="41">
        <v>8434</v>
      </c>
      <c r="C255" s="74" t="s">
        <v>18388</v>
      </c>
      <c r="D255" s="72"/>
      <c r="E255" s="168">
        <f>_15_同援日３．０</f>
        <v>628</v>
      </c>
      <c r="F255" s="57" t="s">
        <v>392</v>
      </c>
      <c r="G255" s="269" t="s">
        <v>17560</v>
      </c>
      <c r="H255" s="37" t="s">
        <v>398</v>
      </c>
      <c r="I255" s="38">
        <v>0.9</v>
      </c>
      <c r="J255" s="299" t="s">
        <v>17556</v>
      </c>
      <c r="K255" s="45" t="s">
        <v>398</v>
      </c>
      <c r="L255" s="46">
        <v>1</v>
      </c>
      <c r="M255" s="512"/>
      <c r="N255" s="57"/>
      <c r="O255" s="43"/>
      <c r="P255" s="37"/>
      <c r="Q255" s="38"/>
      <c r="R255" s="79"/>
      <c r="S255" s="35"/>
      <c r="V255" s="57"/>
      <c r="W255" s="208">
        <f>ROUND((ROUND((ROUND((_15_同援日３．０*_15・基礎２),0)*_15・２人),0)*(1+_15・A夜間)),0)</f>
        <v>706</v>
      </c>
      <c r="X255" s="48"/>
    </row>
    <row r="256" spans="1:24" ht="16.5" customHeight="1" x14ac:dyDescent="0.15">
      <c r="A256" s="41">
        <v>15</v>
      </c>
      <c r="B256" s="41">
        <v>8435</v>
      </c>
      <c r="C256" s="74" t="s">
        <v>18389</v>
      </c>
      <c r="D256" s="72"/>
      <c r="F256" s="57"/>
      <c r="G256" s="53"/>
      <c r="H256" s="49"/>
      <c r="I256" s="50"/>
      <c r="J256" s="163"/>
      <c r="K256" s="45"/>
      <c r="L256" s="46"/>
      <c r="M256" s="512"/>
      <c r="N256" s="57"/>
      <c r="O256" s="114" t="s">
        <v>17562</v>
      </c>
      <c r="P256" s="49"/>
      <c r="Q256" s="50"/>
      <c r="R256" s="115"/>
      <c r="S256" s="35"/>
      <c r="V256" s="57"/>
      <c r="W256" s="208">
        <f>ROUND((ROUND((_15_同援日３．０*(1+_15・A夜間)),0)*(1+_15・盲ろう)),0)</f>
        <v>981</v>
      </c>
      <c r="X256" s="48"/>
    </row>
    <row r="257" spans="1:24" ht="16.5" customHeight="1" x14ac:dyDescent="0.15">
      <c r="A257" s="41">
        <v>15</v>
      </c>
      <c r="B257" s="41">
        <v>8436</v>
      </c>
      <c r="C257" s="74" t="s">
        <v>18390</v>
      </c>
      <c r="D257" s="72"/>
      <c r="F257" s="57"/>
      <c r="G257" s="43"/>
      <c r="H257" s="37"/>
      <c r="I257" s="38"/>
      <c r="J257" s="299" t="s">
        <v>17556</v>
      </c>
      <c r="K257" s="45" t="s">
        <v>398</v>
      </c>
      <c r="L257" s="46">
        <v>1</v>
      </c>
      <c r="M257" s="512"/>
      <c r="N257" s="57"/>
      <c r="O257" s="92" t="s">
        <v>17564</v>
      </c>
      <c r="R257" s="57"/>
      <c r="S257" s="35"/>
      <c r="V257" s="57"/>
      <c r="W257" s="208">
        <f>ROUND((ROUND((ROUND((_15_同援日３．０*_15・２人),0)*(1+_15・A夜間)),0)*(1+_15・盲ろう)),0)</f>
        <v>981</v>
      </c>
      <c r="X257" s="48"/>
    </row>
    <row r="258" spans="1:24" ht="16.5" customHeight="1" x14ac:dyDescent="0.15">
      <c r="A258" s="41">
        <v>15</v>
      </c>
      <c r="B258" s="41">
        <v>8437</v>
      </c>
      <c r="C258" s="74" t="s">
        <v>18391</v>
      </c>
      <c r="D258" s="72"/>
      <c r="F258" s="57"/>
      <c r="G258" s="114" t="s">
        <v>17558</v>
      </c>
      <c r="H258" s="49"/>
      <c r="I258" s="50"/>
      <c r="J258" s="163"/>
      <c r="K258" s="45"/>
      <c r="L258" s="46"/>
      <c r="M258" s="512"/>
      <c r="N258" s="57"/>
      <c r="O258" s="35"/>
      <c r="P258" s="12" t="s">
        <v>398</v>
      </c>
      <c r="Q258" s="13">
        <v>0.25</v>
      </c>
      <c r="R258" s="57" t="s">
        <v>3575</v>
      </c>
      <c r="S258" s="35"/>
      <c r="V258" s="57"/>
      <c r="W258" s="208">
        <f>ROUND((ROUND((ROUND((_15_同援日３．０*_15・基礎２),0)*(1+_15・A夜間)),0)*(1+_15・盲ろう)),0)</f>
        <v>883</v>
      </c>
      <c r="X258" s="48"/>
    </row>
    <row r="259" spans="1:24" ht="16.5" customHeight="1" x14ac:dyDescent="0.15">
      <c r="A259" s="41">
        <v>15</v>
      </c>
      <c r="B259" s="41">
        <v>8438</v>
      </c>
      <c r="C259" s="74" t="s">
        <v>18392</v>
      </c>
      <c r="D259" s="72"/>
      <c r="F259" s="57"/>
      <c r="G259" s="269" t="s">
        <v>17560</v>
      </c>
      <c r="H259" s="37" t="s">
        <v>398</v>
      </c>
      <c r="I259" s="38">
        <v>0.9</v>
      </c>
      <c r="J259" s="299" t="s">
        <v>17556</v>
      </c>
      <c r="K259" s="45" t="s">
        <v>398</v>
      </c>
      <c r="L259" s="46">
        <v>1</v>
      </c>
      <c r="M259" s="512"/>
      <c r="N259" s="57"/>
      <c r="O259" s="43"/>
      <c r="P259" s="37"/>
      <c r="Q259" s="38"/>
      <c r="R259" s="79"/>
      <c r="S259" s="43"/>
      <c r="T259" s="37"/>
      <c r="U259" s="38"/>
      <c r="V259" s="79"/>
      <c r="W259" s="208">
        <f>ROUND((ROUND((ROUND((ROUND((_15_同援日３．０*_15・基礎２),0)*_15・２人),0)*(1+_15・A夜間)),0)*(1+_15・盲ろう)),0)</f>
        <v>883</v>
      </c>
      <c r="X259" s="48"/>
    </row>
    <row r="260" spans="1:24" ht="16.5" customHeight="1" x14ac:dyDescent="0.15">
      <c r="A260" s="41">
        <v>15</v>
      </c>
      <c r="B260" s="41">
        <v>8439</v>
      </c>
      <c r="C260" s="74" t="s">
        <v>18393</v>
      </c>
      <c r="D260" s="72"/>
      <c r="F260" s="57"/>
      <c r="G260" s="53"/>
      <c r="H260" s="49"/>
      <c r="I260" s="50"/>
      <c r="J260" s="163"/>
      <c r="K260" s="45"/>
      <c r="L260" s="46"/>
      <c r="M260" s="512"/>
      <c r="N260" s="57"/>
      <c r="O260" s="53"/>
      <c r="P260" s="49"/>
      <c r="Q260" s="50"/>
      <c r="R260" s="115"/>
      <c r="S260" s="53"/>
      <c r="T260" s="49"/>
      <c r="U260" s="50"/>
      <c r="V260" s="115"/>
      <c r="W260" s="208">
        <f>ROUND((ROUND((_15_同援日３．０*(1+_15・A夜間)),0)*(1+_15・区３)),0)</f>
        <v>942</v>
      </c>
      <c r="X260" s="48"/>
    </row>
    <row r="261" spans="1:24" ht="16.5" customHeight="1" x14ac:dyDescent="0.15">
      <c r="A261" s="41">
        <v>15</v>
      </c>
      <c r="B261" s="41">
        <v>8440</v>
      </c>
      <c r="C261" s="74" t="s">
        <v>18394</v>
      </c>
      <c r="D261" s="72"/>
      <c r="F261" s="57"/>
      <c r="G261" s="43"/>
      <c r="H261" s="37"/>
      <c r="I261" s="38"/>
      <c r="J261" s="299" t="s">
        <v>17556</v>
      </c>
      <c r="K261" s="45" t="s">
        <v>398</v>
      </c>
      <c r="L261" s="46">
        <v>1</v>
      </c>
      <c r="M261" s="512"/>
      <c r="N261" s="57"/>
      <c r="O261" s="35"/>
      <c r="R261" s="57"/>
      <c r="S261" s="35"/>
      <c r="V261" s="57"/>
      <c r="W261" s="208">
        <f>ROUND((ROUND((ROUND((_15_同援日３．０*_15・２人),0)*(1+_15・A夜間)),0)*(1+_15・区３)),0)</f>
        <v>942</v>
      </c>
      <c r="X261" s="48"/>
    </row>
    <row r="262" spans="1:24" ht="16.5" customHeight="1" x14ac:dyDescent="0.15">
      <c r="A262" s="41">
        <v>15</v>
      </c>
      <c r="B262" s="41">
        <v>8441</v>
      </c>
      <c r="C262" s="74" t="s">
        <v>18395</v>
      </c>
      <c r="D262" s="72"/>
      <c r="F262" s="57"/>
      <c r="G262" s="114" t="s">
        <v>17558</v>
      </c>
      <c r="H262" s="49"/>
      <c r="I262" s="50"/>
      <c r="J262" s="163"/>
      <c r="K262" s="45"/>
      <c r="L262" s="46"/>
      <c r="M262" s="512"/>
      <c r="N262" s="57"/>
      <c r="O262" s="35"/>
      <c r="R262" s="57"/>
      <c r="S262" s="72" t="s">
        <v>17570</v>
      </c>
      <c r="V262" s="57"/>
      <c r="W262" s="208">
        <f>ROUND((ROUND((ROUND((_15_同援日３．０*_15・基礎２),0)*(1+_15・A夜間)),0)*(1+_15・区３)),0)</f>
        <v>847</v>
      </c>
      <c r="X262" s="48"/>
    </row>
    <row r="263" spans="1:24" ht="16.5" customHeight="1" x14ac:dyDescent="0.15">
      <c r="A263" s="41">
        <v>15</v>
      </c>
      <c r="B263" s="41">
        <v>8442</v>
      </c>
      <c r="C263" s="74" t="s">
        <v>18396</v>
      </c>
      <c r="D263" s="72"/>
      <c r="F263" s="57"/>
      <c r="G263" s="269" t="s">
        <v>17560</v>
      </c>
      <c r="H263" s="37" t="s">
        <v>398</v>
      </c>
      <c r="I263" s="38">
        <v>0.9</v>
      </c>
      <c r="J263" s="299" t="s">
        <v>17556</v>
      </c>
      <c r="K263" s="45" t="s">
        <v>398</v>
      </c>
      <c r="L263" s="46">
        <v>1</v>
      </c>
      <c r="M263" s="512"/>
      <c r="N263" s="57"/>
      <c r="O263" s="43"/>
      <c r="P263" s="37"/>
      <c r="Q263" s="38"/>
      <c r="R263" s="79"/>
      <c r="S263" s="72" t="s">
        <v>17572</v>
      </c>
      <c r="V263" s="57"/>
      <c r="W263" s="208">
        <f>ROUND((ROUND((ROUND((ROUND((_15_同援日３．０*_15・基礎２),0)*_15・２人),0)*(1+_15・A夜間)),0)*(1+_15・区３)),0)</f>
        <v>847</v>
      </c>
      <c r="X263" s="48"/>
    </row>
    <row r="264" spans="1:24" ht="16.5" customHeight="1" x14ac:dyDescent="0.15">
      <c r="A264" s="41">
        <v>15</v>
      </c>
      <c r="B264" s="41">
        <v>8443</v>
      </c>
      <c r="C264" s="74" t="s">
        <v>18397</v>
      </c>
      <c r="D264" s="72"/>
      <c r="F264" s="57"/>
      <c r="G264" s="53"/>
      <c r="H264" s="49"/>
      <c r="I264" s="50"/>
      <c r="J264" s="163"/>
      <c r="K264" s="45"/>
      <c r="L264" s="46"/>
      <c r="M264" s="512"/>
      <c r="N264" s="57"/>
      <c r="O264" s="114" t="s">
        <v>17562</v>
      </c>
      <c r="P264" s="49"/>
      <c r="Q264" s="50"/>
      <c r="R264" s="115"/>
      <c r="S264" s="35"/>
      <c r="T264" s="12" t="s">
        <v>398</v>
      </c>
      <c r="U264" s="13">
        <v>0.2</v>
      </c>
      <c r="V264" s="57" t="s">
        <v>3575</v>
      </c>
      <c r="W264" s="208">
        <f>ROUND((ROUND((ROUND((_15_同援日３．０*(1+_15・A夜間)),0)*(1+_15・盲ろう)),0)*(1+_15・区３)),0)</f>
        <v>1177</v>
      </c>
      <c r="X264" s="48"/>
    </row>
    <row r="265" spans="1:24" ht="16.5" customHeight="1" x14ac:dyDescent="0.15">
      <c r="A265" s="41">
        <v>15</v>
      </c>
      <c r="B265" s="41">
        <v>8444</v>
      </c>
      <c r="C265" s="74" t="s">
        <v>18398</v>
      </c>
      <c r="D265" s="72"/>
      <c r="F265" s="57"/>
      <c r="G265" s="43"/>
      <c r="H265" s="37"/>
      <c r="I265" s="38"/>
      <c r="J265" s="299" t="s">
        <v>17556</v>
      </c>
      <c r="K265" s="45" t="s">
        <v>398</v>
      </c>
      <c r="L265" s="46">
        <v>1</v>
      </c>
      <c r="M265" s="512"/>
      <c r="N265" s="57"/>
      <c r="O265" s="92" t="s">
        <v>17564</v>
      </c>
      <c r="R265" s="57"/>
      <c r="S265" s="35"/>
      <c r="V265" s="57"/>
      <c r="W265" s="208">
        <f>ROUND((ROUND((ROUND((ROUND((_15_同援日３．０*_15・２人),0)*(1+_15・A夜間)),0)*(1+_15・盲ろう)),0)*(1+_15・区３)),0)</f>
        <v>1177</v>
      </c>
      <c r="X265" s="48"/>
    </row>
    <row r="266" spans="1:24" ht="16.5" customHeight="1" x14ac:dyDescent="0.15">
      <c r="A266" s="41">
        <v>15</v>
      </c>
      <c r="B266" s="41">
        <v>8445</v>
      </c>
      <c r="C266" s="74" t="s">
        <v>18399</v>
      </c>
      <c r="D266" s="72"/>
      <c r="F266" s="57"/>
      <c r="G266" s="114" t="s">
        <v>17558</v>
      </c>
      <c r="H266" s="49"/>
      <c r="I266" s="50"/>
      <c r="J266" s="163"/>
      <c r="K266" s="45"/>
      <c r="L266" s="46"/>
      <c r="M266" s="512"/>
      <c r="N266" s="57"/>
      <c r="O266" s="35"/>
      <c r="P266" s="12" t="s">
        <v>398</v>
      </c>
      <c r="Q266" s="13">
        <v>0.25</v>
      </c>
      <c r="R266" s="57" t="s">
        <v>3575</v>
      </c>
      <c r="S266" s="35"/>
      <c r="V266" s="57"/>
      <c r="W266" s="208">
        <f>ROUND((ROUND((ROUND((ROUND((_15_同援日３．０*_15・基礎２),0)*(1+_15・A夜間)),0)*(1+_15・盲ろう)),0)*(1+_15・区３)),0)</f>
        <v>1060</v>
      </c>
      <c r="X266" s="48"/>
    </row>
    <row r="267" spans="1:24" ht="16.5" customHeight="1" x14ac:dyDescent="0.15">
      <c r="A267" s="41">
        <v>15</v>
      </c>
      <c r="B267" s="41">
        <v>8446</v>
      </c>
      <c r="C267" s="74" t="s">
        <v>18400</v>
      </c>
      <c r="D267" s="72"/>
      <c r="F267" s="57"/>
      <c r="G267" s="269" t="s">
        <v>17560</v>
      </c>
      <c r="H267" s="37" t="s">
        <v>398</v>
      </c>
      <c r="I267" s="38">
        <v>0.9</v>
      </c>
      <c r="J267" s="299" t="s">
        <v>17556</v>
      </c>
      <c r="K267" s="45" t="s">
        <v>398</v>
      </c>
      <c r="L267" s="46">
        <v>1</v>
      </c>
      <c r="M267" s="512"/>
      <c r="N267" s="57"/>
      <c r="O267" s="43"/>
      <c r="P267" s="37"/>
      <c r="Q267" s="38"/>
      <c r="R267" s="79"/>
      <c r="S267" s="43"/>
      <c r="T267" s="37"/>
      <c r="U267" s="38"/>
      <c r="V267" s="79"/>
      <c r="W267" s="208">
        <f>ROUND((ROUND((ROUND((ROUND((ROUND((_15_同援日３．０*_15・基礎２),0)*_15・２人),0)*(1+_15・A夜間)),0)*(1+_15・盲ろう)),0)*(1+_15・区３)),0)</f>
        <v>1060</v>
      </c>
      <c r="X267" s="48"/>
    </row>
    <row r="268" spans="1:24" ht="16.5" customHeight="1" x14ac:dyDescent="0.15">
      <c r="A268" s="41">
        <v>15</v>
      </c>
      <c r="B268" s="41">
        <v>8447</v>
      </c>
      <c r="C268" s="74" t="s">
        <v>18401</v>
      </c>
      <c r="D268" s="72"/>
      <c r="F268" s="57"/>
      <c r="G268" s="53"/>
      <c r="H268" s="49"/>
      <c r="I268" s="50"/>
      <c r="J268" s="163"/>
      <c r="K268" s="45"/>
      <c r="L268" s="46"/>
      <c r="M268" s="512"/>
      <c r="N268" s="57"/>
      <c r="O268" s="53"/>
      <c r="P268" s="49"/>
      <c r="Q268" s="50"/>
      <c r="R268" s="115"/>
      <c r="S268" s="53"/>
      <c r="T268" s="49"/>
      <c r="U268" s="50"/>
      <c r="V268" s="115"/>
      <c r="W268" s="208">
        <f>ROUND((ROUND((_15_同援日３．０*(1+_15・A夜間)),0)*(1+_15・区４)),0)</f>
        <v>1099</v>
      </c>
      <c r="X268" s="48"/>
    </row>
    <row r="269" spans="1:24" ht="16.5" customHeight="1" x14ac:dyDescent="0.15">
      <c r="A269" s="41">
        <v>15</v>
      </c>
      <c r="B269" s="41">
        <v>8448</v>
      </c>
      <c r="C269" s="74" t="s">
        <v>18402</v>
      </c>
      <c r="D269" s="72"/>
      <c r="F269" s="57"/>
      <c r="G269" s="43"/>
      <c r="H269" s="37"/>
      <c r="I269" s="38"/>
      <c r="J269" s="299" t="s">
        <v>17556</v>
      </c>
      <c r="K269" s="45" t="s">
        <v>398</v>
      </c>
      <c r="L269" s="46">
        <v>1</v>
      </c>
      <c r="M269" s="512"/>
      <c r="N269" s="57"/>
      <c r="O269" s="35"/>
      <c r="R269" s="57"/>
      <c r="S269" s="35"/>
      <c r="V269" s="57"/>
      <c r="W269" s="208">
        <f>ROUND((ROUND((ROUND((_15_同援日３．０*_15・２人),0)*(1+_15・A夜間)),0)*(1+_15・区４)),0)</f>
        <v>1099</v>
      </c>
      <c r="X269" s="48"/>
    </row>
    <row r="270" spans="1:24" ht="16.5" customHeight="1" x14ac:dyDescent="0.15">
      <c r="A270" s="41">
        <v>15</v>
      </c>
      <c r="B270" s="41">
        <v>8449</v>
      </c>
      <c r="C270" s="74" t="s">
        <v>18403</v>
      </c>
      <c r="D270" s="72"/>
      <c r="F270" s="57"/>
      <c r="G270" s="114" t="s">
        <v>17558</v>
      </c>
      <c r="H270" s="49"/>
      <c r="I270" s="50"/>
      <c r="J270" s="163"/>
      <c r="K270" s="45"/>
      <c r="L270" s="46"/>
      <c r="M270" s="512"/>
      <c r="N270" s="57"/>
      <c r="O270" s="35"/>
      <c r="R270" s="57"/>
      <c r="S270" s="72" t="s">
        <v>17580</v>
      </c>
      <c r="V270" s="57"/>
      <c r="W270" s="208">
        <f>ROUND((ROUND((ROUND((_15_同援日３．０*_15・基礎２),0)*(1+_15・A夜間)),0)*(1+_15・区４)),0)</f>
        <v>988</v>
      </c>
      <c r="X270" s="48"/>
    </row>
    <row r="271" spans="1:24" ht="16.5" customHeight="1" x14ac:dyDescent="0.15">
      <c r="A271" s="41">
        <v>15</v>
      </c>
      <c r="B271" s="41">
        <v>8450</v>
      </c>
      <c r="C271" s="74" t="s">
        <v>18404</v>
      </c>
      <c r="D271" s="72"/>
      <c r="F271" s="57"/>
      <c r="G271" s="269" t="s">
        <v>17560</v>
      </c>
      <c r="H271" s="37" t="s">
        <v>398</v>
      </c>
      <c r="I271" s="38">
        <v>0.9</v>
      </c>
      <c r="J271" s="299" t="s">
        <v>17556</v>
      </c>
      <c r="K271" s="45" t="s">
        <v>398</v>
      </c>
      <c r="L271" s="46">
        <v>1</v>
      </c>
      <c r="M271" s="512"/>
      <c r="N271" s="57"/>
      <c r="O271" s="43"/>
      <c r="P271" s="37"/>
      <c r="Q271" s="38"/>
      <c r="R271" s="79"/>
      <c r="S271" s="72" t="s">
        <v>17572</v>
      </c>
      <c r="V271" s="57"/>
      <c r="W271" s="208">
        <f>ROUND((ROUND((ROUND((ROUND((_15_同援日３．０*_15・基礎２),0)*_15・２人),0)*(1+_15・A夜間)),0)*(1+_15・区４)),0)</f>
        <v>988</v>
      </c>
      <c r="X271" s="48"/>
    </row>
    <row r="272" spans="1:24" ht="16.5" customHeight="1" x14ac:dyDescent="0.15">
      <c r="A272" s="41">
        <v>15</v>
      </c>
      <c r="B272" s="41">
        <v>8451</v>
      </c>
      <c r="C272" s="74" t="s">
        <v>18405</v>
      </c>
      <c r="D272" s="72"/>
      <c r="F272" s="57"/>
      <c r="G272" s="53"/>
      <c r="H272" s="49"/>
      <c r="I272" s="50"/>
      <c r="J272" s="163"/>
      <c r="K272" s="45"/>
      <c r="L272" s="46"/>
      <c r="M272" s="512"/>
      <c r="N272" s="57"/>
      <c r="O272" s="114" t="s">
        <v>17562</v>
      </c>
      <c r="P272" s="49"/>
      <c r="Q272" s="50"/>
      <c r="R272" s="115"/>
      <c r="S272" s="35"/>
      <c r="T272" s="12" t="s">
        <v>398</v>
      </c>
      <c r="U272" s="13">
        <v>0.4</v>
      </c>
      <c r="V272" s="57" t="s">
        <v>3575</v>
      </c>
      <c r="W272" s="208">
        <f>ROUND((ROUND((ROUND((_15_同援日３．０*(1+_15・A夜間)),0)*(1+_15・盲ろう)),0)*(1+_15・区４)),0)</f>
        <v>1373</v>
      </c>
      <c r="X272" s="48"/>
    </row>
    <row r="273" spans="1:24" ht="16.5" customHeight="1" x14ac:dyDescent="0.15">
      <c r="A273" s="41">
        <v>15</v>
      </c>
      <c r="B273" s="41">
        <v>8452</v>
      </c>
      <c r="C273" s="74" t="s">
        <v>18406</v>
      </c>
      <c r="D273" s="72"/>
      <c r="F273" s="57"/>
      <c r="G273" s="43"/>
      <c r="H273" s="37"/>
      <c r="I273" s="38"/>
      <c r="J273" s="299" t="s">
        <v>17556</v>
      </c>
      <c r="K273" s="45" t="s">
        <v>398</v>
      </c>
      <c r="L273" s="46">
        <v>1</v>
      </c>
      <c r="M273" s="512"/>
      <c r="N273" s="57"/>
      <c r="O273" s="92" t="s">
        <v>17564</v>
      </c>
      <c r="R273" s="57"/>
      <c r="S273" s="35"/>
      <c r="V273" s="57"/>
      <c r="W273" s="208">
        <f>ROUND((ROUND((ROUND((ROUND((_15_同援日３．０*_15・２人),0)*(1+_15・A夜間)),0)*(1+_15・盲ろう)),0)*(1+_15・区４)),0)</f>
        <v>1373</v>
      </c>
      <c r="X273" s="48"/>
    </row>
    <row r="274" spans="1:24" ht="16.5" customHeight="1" x14ac:dyDescent="0.15">
      <c r="A274" s="41">
        <v>15</v>
      </c>
      <c r="B274" s="41">
        <v>8453</v>
      </c>
      <c r="C274" s="74" t="s">
        <v>18407</v>
      </c>
      <c r="D274" s="72"/>
      <c r="F274" s="57"/>
      <c r="G274" s="114" t="s">
        <v>17558</v>
      </c>
      <c r="H274" s="49"/>
      <c r="I274" s="50"/>
      <c r="J274" s="163"/>
      <c r="K274" s="45"/>
      <c r="L274" s="46"/>
      <c r="M274" s="512"/>
      <c r="N274" s="57"/>
      <c r="O274" s="35"/>
      <c r="P274" s="12" t="s">
        <v>398</v>
      </c>
      <c r="Q274" s="13">
        <v>0.25</v>
      </c>
      <c r="R274" s="57" t="s">
        <v>3575</v>
      </c>
      <c r="S274" s="35"/>
      <c r="V274" s="57"/>
      <c r="W274" s="208">
        <f>ROUND((ROUND((ROUND((ROUND((_15_同援日３．０*_15・基礎２),0)*(1+_15・A夜間)),0)*(1+_15・盲ろう)),0)*(1+_15・区４)),0)</f>
        <v>1236</v>
      </c>
      <c r="X274" s="48"/>
    </row>
    <row r="275" spans="1:24" ht="16.5" customHeight="1" x14ac:dyDescent="0.15">
      <c r="A275" s="41">
        <v>15</v>
      </c>
      <c r="B275" s="41">
        <v>8454</v>
      </c>
      <c r="C275" s="74" t="s">
        <v>18408</v>
      </c>
      <c r="D275" s="122"/>
      <c r="E275" s="37"/>
      <c r="F275" s="79"/>
      <c r="G275" s="269" t="s">
        <v>17560</v>
      </c>
      <c r="H275" s="37" t="s">
        <v>398</v>
      </c>
      <c r="I275" s="38">
        <v>0.9</v>
      </c>
      <c r="J275" s="299" t="s">
        <v>17556</v>
      </c>
      <c r="K275" s="45" t="s">
        <v>398</v>
      </c>
      <c r="L275" s="46">
        <v>1</v>
      </c>
      <c r="M275" s="512"/>
      <c r="N275" s="57"/>
      <c r="O275" s="43"/>
      <c r="P275" s="37"/>
      <c r="Q275" s="38"/>
      <c r="R275" s="79"/>
      <c r="S275" s="43"/>
      <c r="T275" s="37"/>
      <c r="U275" s="38"/>
      <c r="V275" s="79"/>
      <c r="W275" s="208">
        <f>ROUND((ROUND((ROUND((ROUND((ROUND((_15_同援日３．０*_15・基礎２),0)*_15・２人),0)*(1+_15・A夜間)),0)*(1+_15・盲ろう)),0)*(1+_15・区４)),0)</f>
        <v>1236</v>
      </c>
      <c r="X275" s="48"/>
    </row>
    <row r="276" spans="1:24" ht="16.5" customHeight="1" x14ac:dyDescent="0.15">
      <c r="A276" s="41">
        <v>15</v>
      </c>
      <c r="B276" s="41">
        <v>8455</v>
      </c>
      <c r="C276" s="74" t="s">
        <v>18409</v>
      </c>
      <c r="D276" s="114" t="s">
        <v>18410</v>
      </c>
      <c r="E276" s="49"/>
      <c r="F276" s="115"/>
      <c r="G276" s="53"/>
      <c r="H276" s="49"/>
      <c r="I276" s="50"/>
      <c r="J276" s="163"/>
      <c r="K276" s="45"/>
      <c r="L276" s="46"/>
      <c r="M276" s="512"/>
      <c r="N276" s="57"/>
      <c r="O276" s="53"/>
      <c r="P276" s="49"/>
      <c r="Q276" s="50"/>
      <c r="R276" s="115"/>
      <c r="S276" s="53"/>
      <c r="T276" s="49"/>
      <c r="U276" s="50"/>
      <c r="V276" s="115"/>
      <c r="W276" s="208">
        <f>ROUND((_15_同援日３．５*(1+_15・A夜間)),0)</f>
        <v>866</v>
      </c>
      <c r="X276" s="48"/>
    </row>
    <row r="277" spans="1:24" ht="16.5" customHeight="1" x14ac:dyDescent="0.15">
      <c r="A277" s="41">
        <v>15</v>
      </c>
      <c r="B277" s="41">
        <v>8456</v>
      </c>
      <c r="C277" s="74" t="s">
        <v>18411</v>
      </c>
      <c r="D277" s="72" t="s">
        <v>17724</v>
      </c>
      <c r="F277" s="57"/>
      <c r="G277" s="43"/>
      <c r="H277" s="37"/>
      <c r="I277" s="38"/>
      <c r="J277" s="299" t="s">
        <v>17556</v>
      </c>
      <c r="K277" s="45" t="s">
        <v>398</v>
      </c>
      <c r="L277" s="46">
        <v>1</v>
      </c>
      <c r="M277" s="512"/>
      <c r="N277" s="57"/>
      <c r="O277" s="35"/>
      <c r="R277" s="57"/>
      <c r="S277" s="35"/>
      <c r="V277" s="57"/>
      <c r="W277" s="208">
        <f>ROUND((ROUND((_15_同援日３．５*_15・２人),0)*(1+_15・A夜間)),0)</f>
        <v>866</v>
      </c>
      <c r="X277" s="48"/>
    </row>
    <row r="278" spans="1:24" ht="16.5" customHeight="1" x14ac:dyDescent="0.15">
      <c r="A278" s="41">
        <v>15</v>
      </c>
      <c r="B278" s="41">
        <v>8457</v>
      </c>
      <c r="C278" s="74" t="s">
        <v>18412</v>
      </c>
      <c r="D278" s="72" t="s">
        <v>17726</v>
      </c>
      <c r="F278" s="57"/>
      <c r="G278" s="114" t="s">
        <v>17558</v>
      </c>
      <c r="H278" s="49"/>
      <c r="I278" s="50"/>
      <c r="J278" s="163"/>
      <c r="K278" s="45"/>
      <c r="L278" s="46"/>
      <c r="M278" s="512"/>
      <c r="N278" s="57"/>
      <c r="O278" s="35"/>
      <c r="R278" s="57"/>
      <c r="S278" s="35"/>
      <c r="V278" s="57"/>
      <c r="W278" s="208">
        <f>ROUND((ROUND((_15_同援日３．５*_15・基礎２),0)*(1+_15・A夜間)),0)</f>
        <v>780</v>
      </c>
      <c r="X278" s="48"/>
    </row>
    <row r="279" spans="1:24" ht="16.5" customHeight="1" x14ac:dyDescent="0.15">
      <c r="A279" s="41">
        <v>15</v>
      </c>
      <c r="B279" s="41">
        <v>8458</v>
      </c>
      <c r="C279" s="74" t="s">
        <v>18413</v>
      </c>
      <c r="D279" s="72"/>
      <c r="E279" s="168">
        <f>_15_同援日３．５</f>
        <v>693</v>
      </c>
      <c r="F279" s="57" t="s">
        <v>392</v>
      </c>
      <c r="G279" s="269" t="s">
        <v>17560</v>
      </c>
      <c r="H279" s="37" t="s">
        <v>398</v>
      </c>
      <c r="I279" s="38">
        <v>0.9</v>
      </c>
      <c r="J279" s="299" t="s">
        <v>17556</v>
      </c>
      <c r="K279" s="45" t="s">
        <v>398</v>
      </c>
      <c r="L279" s="46">
        <v>1</v>
      </c>
      <c r="M279" s="512"/>
      <c r="N279" s="57"/>
      <c r="O279" s="43"/>
      <c r="P279" s="37"/>
      <c r="Q279" s="38"/>
      <c r="R279" s="79"/>
      <c r="S279" s="35"/>
      <c r="V279" s="57"/>
      <c r="W279" s="208">
        <f>ROUND((ROUND((ROUND((_15_同援日３．５*_15・基礎２),0)*_15・２人),0)*(1+_15・A夜間)),0)</f>
        <v>780</v>
      </c>
      <c r="X279" s="48"/>
    </row>
    <row r="280" spans="1:24" ht="16.5" customHeight="1" x14ac:dyDescent="0.15">
      <c r="A280" s="41">
        <v>15</v>
      </c>
      <c r="B280" s="41">
        <v>8459</v>
      </c>
      <c r="C280" s="74" t="s">
        <v>18414</v>
      </c>
      <c r="D280" s="72"/>
      <c r="F280" s="57"/>
      <c r="G280" s="53"/>
      <c r="H280" s="49"/>
      <c r="I280" s="50"/>
      <c r="J280" s="163"/>
      <c r="K280" s="45"/>
      <c r="L280" s="46"/>
      <c r="M280" s="512"/>
      <c r="N280" s="57"/>
      <c r="O280" s="114" t="s">
        <v>17562</v>
      </c>
      <c r="P280" s="49"/>
      <c r="Q280" s="50"/>
      <c r="R280" s="115"/>
      <c r="S280" s="35"/>
      <c r="V280" s="57"/>
      <c r="W280" s="208">
        <f>ROUND((ROUND((_15_同援日３．５*(1+_15・A夜間)),0)*(1+_15・盲ろう)),0)</f>
        <v>1083</v>
      </c>
      <c r="X280" s="48"/>
    </row>
    <row r="281" spans="1:24" ht="16.5" customHeight="1" x14ac:dyDescent="0.15">
      <c r="A281" s="41">
        <v>15</v>
      </c>
      <c r="B281" s="41">
        <v>8460</v>
      </c>
      <c r="C281" s="74" t="s">
        <v>18415</v>
      </c>
      <c r="D281" s="72"/>
      <c r="F281" s="57"/>
      <c r="G281" s="43"/>
      <c r="H281" s="37"/>
      <c r="I281" s="38"/>
      <c r="J281" s="299" t="s">
        <v>17556</v>
      </c>
      <c r="K281" s="45" t="s">
        <v>398</v>
      </c>
      <c r="L281" s="46">
        <v>1</v>
      </c>
      <c r="M281" s="512"/>
      <c r="N281" s="57"/>
      <c r="O281" s="92" t="s">
        <v>17564</v>
      </c>
      <c r="R281" s="57"/>
      <c r="S281" s="35"/>
      <c r="V281" s="57"/>
      <c r="W281" s="208">
        <f>ROUND((ROUND((ROUND((_15_同援日３．５*_15・２人),0)*(1+_15・A夜間)),0)*(1+_15・盲ろう)),0)</f>
        <v>1083</v>
      </c>
      <c r="X281" s="48"/>
    </row>
    <row r="282" spans="1:24" ht="16.5" customHeight="1" x14ac:dyDescent="0.15">
      <c r="A282" s="41">
        <v>15</v>
      </c>
      <c r="B282" s="41">
        <v>8461</v>
      </c>
      <c r="C282" s="74" t="s">
        <v>18416</v>
      </c>
      <c r="D282" s="72"/>
      <c r="F282" s="57"/>
      <c r="G282" s="114" t="s">
        <v>17558</v>
      </c>
      <c r="H282" s="49"/>
      <c r="I282" s="50"/>
      <c r="J282" s="163"/>
      <c r="K282" s="45"/>
      <c r="L282" s="46"/>
      <c r="M282" s="512"/>
      <c r="N282" s="57"/>
      <c r="O282" s="35"/>
      <c r="P282" s="12" t="s">
        <v>398</v>
      </c>
      <c r="Q282" s="13">
        <v>0.25</v>
      </c>
      <c r="R282" s="57" t="s">
        <v>3575</v>
      </c>
      <c r="S282" s="35"/>
      <c r="V282" s="57"/>
      <c r="W282" s="208">
        <f>ROUND((ROUND((ROUND((_15_同援日３．５*_15・基礎２),0)*(1+_15・A夜間)),0)*(1+_15・盲ろう)),0)</f>
        <v>975</v>
      </c>
      <c r="X282" s="48"/>
    </row>
    <row r="283" spans="1:24" ht="16.5" customHeight="1" x14ac:dyDescent="0.15">
      <c r="A283" s="41">
        <v>15</v>
      </c>
      <c r="B283" s="41">
        <v>8462</v>
      </c>
      <c r="C283" s="74" t="s">
        <v>18417</v>
      </c>
      <c r="D283" s="72"/>
      <c r="F283" s="57"/>
      <c r="G283" s="269" t="s">
        <v>17560</v>
      </c>
      <c r="H283" s="37" t="s">
        <v>398</v>
      </c>
      <c r="I283" s="38">
        <v>0.9</v>
      </c>
      <c r="J283" s="299" t="s">
        <v>17556</v>
      </c>
      <c r="K283" s="45" t="s">
        <v>398</v>
      </c>
      <c r="L283" s="46">
        <v>1</v>
      </c>
      <c r="M283" s="512"/>
      <c r="N283" s="57"/>
      <c r="O283" s="43"/>
      <c r="P283" s="37"/>
      <c r="Q283" s="38"/>
      <c r="R283" s="79"/>
      <c r="S283" s="43"/>
      <c r="T283" s="37"/>
      <c r="U283" s="38"/>
      <c r="V283" s="79"/>
      <c r="W283" s="208">
        <f>ROUND((ROUND((ROUND((ROUND((_15_同援日３．５*_15・基礎２),0)*_15・２人),0)*(1+_15・A夜間)),0)*(1+_15・盲ろう)),0)</f>
        <v>975</v>
      </c>
      <c r="X283" s="48"/>
    </row>
    <row r="284" spans="1:24" ht="16.5" customHeight="1" x14ac:dyDescent="0.15">
      <c r="A284" s="41">
        <v>15</v>
      </c>
      <c r="B284" s="41">
        <v>8463</v>
      </c>
      <c r="C284" s="74" t="s">
        <v>18418</v>
      </c>
      <c r="D284" s="72"/>
      <c r="F284" s="57"/>
      <c r="G284" s="53"/>
      <c r="H284" s="49"/>
      <c r="I284" s="50"/>
      <c r="J284" s="163"/>
      <c r="K284" s="45"/>
      <c r="L284" s="46"/>
      <c r="M284" s="512"/>
      <c r="N284" s="57"/>
      <c r="O284" s="53"/>
      <c r="P284" s="49"/>
      <c r="Q284" s="50"/>
      <c r="R284" s="115"/>
      <c r="S284" s="53"/>
      <c r="T284" s="49"/>
      <c r="U284" s="50"/>
      <c r="V284" s="115"/>
      <c r="W284" s="208">
        <f>ROUND((ROUND((_15_同援日３．５*(1+_15・A夜間)),0)*(1+_15・区３)),0)</f>
        <v>1039</v>
      </c>
      <c r="X284" s="48"/>
    </row>
    <row r="285" spans="1:24" ht="16.5" customHeight="1" x14ac:dyDescent="0.15">
      <c r="A285" s="41">
        <v>15</v>
      </c>
      <c r="B285" s="41">
        <v>8464</v>
      </c>
      <c r="C285" s="74" t="s">
        <v>18419</v>
      </c>
      <c r="D285" s="72"/>
      <c r="F285" s="57"/>
      <c r="G285" s="43"/>
      <c r="H285" s="37"/>
      <c r="I285" s="38"/>
      <c r="J285" s="299" t="s">
        <v>17556</v>
      </c>
      <c r="K285" s="45" t="s">
        <v>398</v>
      </c>
      <c r="L285" s="46">
        <v>1</v>
      </c>
      <c r="M285" s="512"/>
      <c r="N285" s="57"/>
      <c r="O285" s="35"/>
      <c r="R285" s="57"/>
      <c r="S285" s="35"/>
      <c r="V285" s="57"/>
      <c r="W285" s="208">
        <f>ROUND((ROUND((ROUND((_15_同援日３．５*_15・２人),0)*(1+_15・A夜間)),0)*(1+_15・区３)),0)</f>
        <v>1039</v>
      </c>
      <c r="X285" s="48"/>
    </row>
    <row r="286" spans="1:24" ht="16.5" customHeight="1" x14ac:dyDescent="0.15">
      <c r="A286" s="41">
        <v>15</v>
      </c>
      <c r="B286" s="41">
        <v>8465</v>
      </c>
      <c r="C286" s="74" t="s">
        <v>18420</v>
      </c>
      <c r="D286" s="72"/>
      <c r="F286" s="57"/>
      <c r="G286" s="114" t="s">
        <v>17558</v>
      </c>
      <c r="H286" s="49"/>
      <c r="I286" s="50"/>
      <c r="J286" s="163"/>
      <c r="K286" s="45"/>
      <c r="L286" s="46"/>
      <c r="M286" s="512"/>
      <c r="N286" s="57"/>
      <c r="O286" s="35"/>
      <c r="R286" s="57"/>
      <c r="S286" s="72" t="s">
        <v>17570</v>
      </c>
      <c r="V286" s="57"/>
      <c r="W286" s="208">
        <f>ROUND((ROUND((ROUND((_15_同援日３．５*_15・基礎２),0)*(1+_15・A夜間)),0)*(1+_15・区３)),0)</f>
        <v>936</v>
      </c>
      <c r="X286" s="48"/>
    </row>
    <row r="287" spans="1:24" ht="16.5" customHeight="1" x14ac:dyDescent="0.15">
      <c r="A287" s="41">
        <v>15</v>
      </c>
      <c r="B287" s="41">
        <v>8466</v>
      </c>
      <c r="C287" s="74" t="s">
        <v>18421</v>
      </c>
      <c r="D287" s="72"/>
      <c r="F287" s="57"/>
      <c r="G287" s="269" t="s">
        <v>17560</v>
      </c>
      <c r="H287" s="37" t="s">
        <v>398</v>
      </c>
      <c r="I287" s="38">
        <v>0.9</v>
      </c>
      <c r="J287" s="299" t="s">
        <v>17556</v>
      </c>
      <c r="K287" s="45" t="s">
        <v>398</v>
      </c>
      <c r="L287" s="46">
        <v>1</v>
      </c>
      <c r="M287" s="512"/>
      <c r="N287" s="57"/>
      <c r="O287" s="43"/>
      <c r="P287" s="37"/>
      <c r="Q287" s="38"/>
      <c r="R287" s="79"/>
      <c r="S287" s="72" t="s">
        <v>17572</v>
      </c>
      <c r="V287" s="57"/>
      <c r="W287" s="208">
        <f>ROUND((ROUND((ROUND((ROUND((_15_同援日３．５*_15・基礎２),0)*_15・２人),0)*(1+_15・A夜間)),0)*(1+_15・区３)),0)</f>
        <v>936</v>
      </c>
      <c r="X287" s="48"/>
    </row>
    <row r="288" spans="1:24" ht="16.5" customHeight="1" x14ac:dyDescent="0.15">
      <c r="A288" s="41">
        <v>15</v>
      </c>
      <c r="B288" s="41">
        <v>8467</v>
      </c>
      <c r="C288" s="74" t="s">
        <v>18422</v>
      </c>
      <c r="D288" s="72"/>
      <c r="F288" s="57"/>
      <c r="G288" s="53"/>
      <c r="H288" s="49"/>
      <c r="I288" s="50"/>
      <c r="J288" s="163"/>
      <c r="K288" s="45"/>
      <c r="L288" s="46"/>
      <c r="M288" s="512"/>
      <c r="N288" s="57"/>
      <c r="O288" s="114" t="s">
        <v>17562</v>
      </c>
      <c r="P288" s="49"/>
      <c r="Q288" s="50"/>
      <c r="R288" s="115"/>
      <c r="S288" s="35"/>
      <c r="T288" s="12" t="s">
        <v>398</v>
      </c>
      <c r="U288" s="13">
        <v>0.2</v>
      </c>
      <c r="V288" s="57" t="s">
        <v>3575</v>
      </c>
      <c r="W288" s="208">
        <f>ROUND((ROUND((ROUND((_15_同援日３．５*(1+_15・A夜間)),0)*(1+_15・盲ろう)),0)*(1+_15・区３)),0)</f>
        <v>1300</v>
      </c>
      <c r="X288" s="48"/>
    </row>
    <row r="289" spans="1:24" ht="16.5" customHeight="1" x14ac:dyDescent="0.15">
      <c r="A289" s="41">
        <v>15</v>
      </c>
      <c r="B289" s="41">
        <v>8468</v>
      </c>
      <c r="C289" s="74" t="s">
        <v>18423</v>
      </c>
      <c r="D289" s="72"/>
      <c r="F289" s="57"/>
      <c r="G289" s="43"/>
      <c r="H289" s="37"/>
      <c r="I289" s="38"/>
      <c r="J289" s="299" t="s">
        <v>17556</v>
      </c>
      <c r="K289" s="45" t="s">
        <v>398</v>
      </c>
      <c r="L289" s="46">
        <v>1</v>
      </c>
      <c r="M289" s="512"/>
      <c r="N289" s="57"/>
      <c r="O289" s="92" t="s">
        <v>17564</v>
      </c>
      <c r="R289" s="57"/>
      <c r="S289" s="35"/>
      <c r="V289" s="57"/>
      <c r="W289" s="208">
        <f>ROUND((ROUND((ROUND((ROUND((_15_同援日３．５*_15・２人),0)*(1+_15・A夜間)),0)*(1+_15・盲ろう)),0)*(1+_15・区３)),0)</f>
        <v>1300</v>
      </c>
      <c r="X289" s="48"/>
    </row>
    <row r="290" spans="1:24" ht="16.5" customHeight="1" x14ac:dyDescent="0.15">
      <c r="A290" s="41">
        <v>15</v>
      </c>
      <c r="B290" s="41">
        <v>8469</v>
      </c>
      <c r="C290" s="74" t="s">
        <v>18424</v>
      </c>
      <c r="D290" s="72"/>
      <c r="F290" s="57"/>
      <c r="G290" s="114" t="s">
        <v>17558</v>
      </c>
      <c r="H290" s="49"/>
      <c r="I290" s="50"/>
      <c r="J290" s="163"/>
      <c r="K290" s="45"/>
      <c r="L290" s="46"/>
      <c r="M290" s="512"/>
      <c r="N290" s="57"/>
      <c r="O290" s="35"/>
      <c r="P290" s="12" t="s">
        <v>398</v>
      </c>
      <c r="Q290" s="13">
        <v>0.25</v>
      </c>
      <c r="R290" s="57" t="s">
        <v>3575</v>
      </c>
      <c r="S290" s="35"/>
      <c r="V290" s="57"/>
      <c r="W290" s="208">
        <f>ROUND((ROUND((ROUND((ROUND((_15_同援日３．５*_15・基礎２),0)*(1+_15・A夜間)),0)*(1+_15・盲ろう)),0)*(1+_15・区３)),0)</f>
        <v>1170</v>
      </c>
      <c r="X290" s="48"/>
    </row>
    <row r="291" spans="1:24" ht="16.5" customHeight="1" x14ac:dyDescent="0.15">
      <c r="A291" s="41">
        <v>15</v>
      </c>
      <c r="B291" s="41">
        <v>8470</v>
      </c>
      <c r="C291" s="74" t="s">
        <v>18425</v>
      </c>
      <c r="D291" s="72"/>
      <c r="F291" s="57"/>
      <c r="G291" s="269" t="s">
        <v>17560</v>
      </c>
      <c r="H291" s="37" t="s">
        <v>398</v>
      </c>
      <c r="I291" s="38">
        <v>0.9</v>
      </c>
      <c r="J291" s="299" t="s">
        <v>17556</v>
      </c>
      <c r="K291" s="45" t="s">
        <v>398</v>
      </c>
      <c r="L291" s="46">
        <v>1</v>
      </c>
      <c r="M291" s="512"/>
      <c r="N291" s="57"/>
      <c r="O291" s="43"/>
      <c r="P291" s="37"/>
      <c r="Q291" s="38"/>
      <c r="R291" s="79"/>
      <c r="S291" s="43"/>
      <c r="T291" s="37"/>
      <c r="U291" s="38"/>
      <c r="V291" s="79"/>
      <c r="W291" s="208">
        <f>ROUND((ROUND((ROUND((ROUND((ROUND((_15_同援日３．５*_15・基礎２),0)*_15・２人),0)*(1+_15・A夜間)),0)*(1+_15・盲ろう)),0)*(1+_15・区３)),0)</f>
        <v>1170</v>
      </c>
      <c r="X291" s="48"/>
    </row>
    <row r="292" spans="1:24" ht="16.5" customHeight="1" x14ac:dyDescent="0.15">
      <c r="A292" s="41">
        <v>15</v>
      </c>
      <c r="B292" s="41">
        <v>8471</v>
      </c>
      <c r="C292" s="74" t="s">
        <v>18426</v>
      </c>
      <c r="D292" s="72"/>
      <c r="F292" s="57"/>
      <c r="G292" s="53"/>
      <c r="H292" s="49"/>
      <c r="I292" s="50"/>
      <c r="J292" s="163"/>
      <c r="K292" s="45"/>
      <c r="L292" s="46"/>
      <c r="M292" s="512"/>
      <c r="N292" s="57"/>
      <c r="O292" s="53"/>
      <c r="P292" s="49"/>
      <c r="Q292" s="50"/>
      <c r="R292" s="115"/>
      <c r="S292" s="53"/>
      <c r="T292" s="49"/>
      <c r="U292" s="50"/>
      <c r="V292" s="115"/>
      <c r="W292" s="208">
        <f>ROUND((ROUND((_15_同援日３．５*(1+_15・A夜間)),0)*(1+_15・区４)),0)</f>
        <v>1212</v>
      </c>
      <c r="X292" s="48"/>
    </row>
    <row r="293" spans="1:24" ht="16.5" customHeight="1" x14ac:dyDescent="0.15">
      <c r="A293" s="41">
        <v>15</v>
      </c>
      <c r="B293" s="41">
        <v>8472</v>
      </c>
      <c r="C293" s="74" t="s">
        <v>18427</v>
      </c>
      <c r="D293" s="72"/>
      <c r="F293" s="57"/>
      <c r="G293" s="43"/>
      <c r="H293" s="37"/>
      <c r="I293" s="38"/>
      <c r="J293" s="299" t="s">
        <v>17556</v>
      </c>
      <c r="K293" s="45" t="s">
        <v>398</v>
      </c>
      <c r="L293" s="46">
        <v>1</v>
      </c>
      <c r="M293" s="512"/>
      <c r="N293" s="57"/>
      <c r="O293" s="35"/>
      <c r="R293" s="57"/>
      <c r="S293" s="35"/>
      <c r="V293" s="57"/>
      <c r="W293" s="208">
        <f>ROUND((ROUND((ROUND((_15_同援日３．５*_15・２人),0)*(1+_15・A夜間)),0)*(1+_15・区４)),0)</f>
        <v>1212</v>
      </c>
      <c r="X293" s="48"/>
    </row>
    <row r="294" spans="1:24" ht="16.5" customHeight="1" x14ac:dyDescent="0.15">
      <c r="A294" s="41">
        <v>15</v>
      </c>
      <c r="B294" s="41">
        <v>8473</v>
      </c>
      <c r="C294" s="74" t="s">
        <v>18428</v>
      </c>
      <c r="D294" s="72"/>
      <c r="F294" s="57"/>
      <c r="G294" s="114" t="s">
        <v>17558</v>
      </c>
      <c r="H294" s="49"/>
      <c r="I294" s="50"/>
      <c r="J294" s="163"/>
      <c r="K294" s="45"/>
      <c r="L294" s="46"/>
      <c r="M294" s="512"/>
      <c r="N294" s="57"/>
      <c r="O294" s="35"/>
      <c r="R294" s="57"/>
      <c r="S294" s="72" t="s">
        <v>17580</v>
      </c>
      <c r="V294" s="57"/>
      <c r="W294" s="208">
        <f>ROUND((ROUND((ROUND((_15_同援日３．５*_15・基礎２),0)*(1+_15・A夜間)),0)*(1+_15・区４)),0)</f>
        <v>1092</v>
      </c>
      <c r="X294" s="48"/>
    </row>
    <row r="295" spans="1:24" ht="16.5" customHeight="1" x14ac:dyDescent="0.15">
      <c r="A295" s="41">
        <v>15</v>
      </c>
      <c r="B295" s="41">
        <v>8474</v>
      </c>
      <c r="C295" s="74" t="s">
        <v>18429</v>
      </c>
      <c r="D295" s="72"/>
      <c r="F295" s="57"/>
      <c r="G295" s="269" t="s">
        <v>17560</v>
      </c>
      <c r="H295" s="37" t="s">
        <v>398</v>
      </c>
      <c r="I295" s="38">
        <v>0.9</v>
      </c>
      <c r="J295" s="299" t="s">
        <v>17556</v>
      </c>
      <c r="K295" s="45" t="s">
        <v>398</v>
      </c>
      <c r="L295" s="46">
        <v>1</v>
      </c>
      <c r="M295" s="512"/>
      <c r="N295" s="57"/>
      <c r="O295" s="43"/>
      <c r="P295" s="37"/>
      <c r="Q295" s="38"/>
      <c r="R295" s="79"/>
      <c r="S295" s="72" t="s">
        <v>17572</v>
      </c>
      <c r="V295" s="57"/>
      <c r="W295" s="208">
        <f>ROUND((ROUND((ROUND((ROUND((_15_同援日３．５*_15・基礎２),0)*_15・２人),0)*(1+_15・A夜間)),0)*(1+_15・区４)),0)</f>
        <v>1092</v>
      </c>
      <c r="X295" s="48"/>
    </row>
    <row r="296" spans="1:24" ht="16.5" customHeight="1" x14ac:dyDescent="0.15">
      <c r="A296" s="41">
        <v>15</v>
      </c>
      <c r="B296" s="41">
        <v>8475</v>
      </c>
      <c r="C296" s="74" t="s">
        <v>18430</v>
      </c>
      <c r="D296" s="72"/>
      <c r="F296" s="57"/>
      <c r="G296" s="53"/>
      <c r="H296" s="49"/>
      <c r="I296" s="50"/>
      <c r="J296" s="163"/>
      <c r="K296" s="45"/>
      <c r="L296" s="46"/>
      <c r="M296" s="512"/>
      <c r="N296" s="57"/>
      <c r="O296" s="114" t="s">
        <v>17562</v>
      </c>
      <c r="P296" s="49"/>
      <c r="Q296" s="50"/>
      <c r="R296" s="115"/>
      <c r="S296" s="35"/>
      <c r="T296" s="12" t="s">
        <v>398</v>
      </c>
      <c r="U296" s="13">
        <v>0.4</v>
      </c>
      <c r="V296" s="57" t="s">
        <v>3575</v>
      </c>
      <c r="W296" s="208">
        <f>ROUND((ROUND((ROUND((_15_同援日３．５*(1+_15・A夜間)),0)*(1+_15・盲ろう)),0)*(1+_15・区４)),0)</f>
        <v>1516</v>
      </c>
      <c r="X296" s="48"/>
    </row>
    <row r="297" spans="1:24" ht="16.5" customHeight="1" x14ac:dyDescent="0.15">
      <c r="A297" s="41">
        <v>15</v>
      </c>
      <c r="B297" s="41">
        <v>8476</v>
      </c>
      <c r="C297" s="74" t="s">
        <v>18431</v>
      </c>
      <c r="D297" s="72"/>
      <c r="F297" s="57"/>
      <c r="G297" s="43"/>
      <c r="H297" s="37"/>
      <c r="I297" s="38"/>
      <c r="J297" s="299" t="s">
        <v>17556</v>
      </c>
      <c r="K297" s="45" t="s">
        <v>398</v>
      </c>
      <c r="L297" s="46">
        <v>1</v>
      </c>
      <c r="M297" s="512"/>
      <c r="N297" s="57"/>
      <c r="O297" s="92" t="s">
        <v>17564</v>
      </c>
      <c r="R297" s="57"/>
      <c r="S297" s="35"/>
      <c r="V297" s="57"/>
      <c r="W297" s="208">
        <f>ROUND((ROUND((ROUND((ROUND((_15_同援日３．５*_15・２人),0)*(1+_15・A夜間)),0)*(1+_15・盲ろう)),0)*(1+_15・区４)),0)</f>
        <v>1516</v>
      </c>
      <c r="X297" s="48"/>
    </row>
    <row r="298" spans="1:24" ht="16.5" customHeight="1" x14ac:dyDescent="0.15">
      <c r="A298" s="41">
        <v>15</v>
      </c>
      <c r="B298" s="41">
        <v>8477</v>
      </c>
      <c r="C298" s="74" t="s">
        <v>18432</v>
      </c>
      <c r="D298" s="72"/>
      <c r="F298" s="57"/>
      <c r="G298" s="114" t="s">
        <v>17558</v>
      </c>
      <c r="H298" s="49"/>
      <c r="I298" s="50"/>
      <c r="J298" s="163"/>
      <c r="K298" s="45"/>
      <c r="L298" s="46"/>
      <c r="M298" s="512"/>
      <c r="N298" s="57"/>
      <c r="O298" s="35"/>
      <c r="P298" s="12" t="s">
        <v>398</v>
      </c>
      <c r="Q298" s="13">
        <v>0.25</v>
      </c>
      <c r="R298" s="57" t="s">
        <v>3575</v>
      </c>
      <c r="S298" s="35"/>
      <c r="V298" s="57"/>
      <c r="W298" s="208">
        <f>ROUND((ROUND((ROUND((ROUND((_15_同援日３．５*_15・基礎２),0)*(1+_15・A夜間)),0)*(1+_15・盲ろう)),0)*(1+_15・区４)),0)</f>
        <v>1365</v>
      </c>
      <c r="X298" s="48"/>
    </row>
    <row r="299" spans="1:24" ht="16.5" customHeight="1" x14ac:dyDescent="0.15">
      <c r="A299" s="41">
        <v>15</v>
      </c>
      <c r="B299" s="41">
        <v>8478</v>
      </c>
      <c r="C299" s="74" t="s">
        <v>18433</v>
      </c>
      <c r="D299" s="122"/>
      <c r="E299" s="37"/>
      <c r="F299" s="79"/>
      <c r="G299" s="269" t="s">
        <v>17560</v>
      </c>
      <c r="H299" s="37" t="s">
        <v>398</v>
      </c>
      <c r="I299" s="38">
        <v>0.9</v>
      </c>
      <c r="J299" s="299" t="s">
        <v>17556</v>
      </c>
      <c r="K299" s="45" t="s">
        <v>398</v>
      </c>
      <c r="L299" s="46">
        <v>1</v>
      </c>
      <c r="M299" s="514"/>
      <c r="N299" s="79"/>
      <c r="O299" s="43"/>
      <c r="P299" s="37"/>
      <c r="Q299" s="38"/>
      <c r="R299" s="79"/>
      <c r="S299" s="43"/>
      <c r="T299" s="37"/>
      <c r="U299" s="38"/>
      <c r="V299" s="79"/>
      <c r="W299" s="208">
        <f>ROUND((ROUND((ROUND((ROUND((ROUND((_15_同援日３．５*_15・基礎２),0)*_15・２人),0)*(1+_15・A夜間)),0)*(1+_15・盲ろう)),0)*(1+_15・区４)),0)</f>
        <v>1365</v>
      </c>
      <c r="X299" s="63"/>
    </row>
    <row r="300" spans="1:24" ht="16.5" customHeight="1" x14ac:dyDescent="0.15">
      <c r="A300" s="41">
        <v>15</v>
      </c>
      <c r="B300" s="41">
        <v>8479</v>
      </c>
      <c r="C300" s="74" t="s">
        <v>18434</v>
      </c>
      <c r="D300" s="114" t="s">
        <v>18435</v>
      </c>
      <c r="E300" s="49"/>
      <c r="F300" s="115"/>
      <c r="G300" s="53"/>
      <c r="H300" s="49"/>
      <c r="I300" s="50"/>
      <c r="J300" s="163"/>
      <c r="K300" s="45"/>
      <c r="L300" s="46"/>
      <c r="M300" s="515"/>
      <c r="N300" s="115"/>
      <c r="O300" s="53"/>
      <c r="P300" s="49"/>
      <c r="Q300" s="50"/>
      <c r="R300" s="115"/>
      <c r="S300" s="53"/>
      <c r="T300" s="49"/>
      <c r="U300" s="50"/>
      <c r="V300" s="115"/>
      <c r="W300" s="208">
        <f>ROUND((_15_同援日４．０*(1+_15・A夜間)),0)</f>
        <v>948</v>
      </c>
      <c r="X300" s="64"/>
    </row>
    <row r="301" spans="1:24" ht="16.5" customHeight="1" x14ac:dyDescent="0.15">
      <c r="A301" s="41">
        <v>15</v>
      </c>
      <c r="B301" s="41">
        <v>8480</v>
      </c>
      <c r="C301" s="74" t="s">
        <v>18436</v>
      </c>
      <c r="D301" s="72" t="s">
        <v>17751</v>
      </c>
      <c r="F301" s="57"/>
      <c r="G301" s="43"/>
      <c r="H301" s="37"/>
      <c r="I301" s="38"/>
      <c r="J301" s="299" t="s">
        <v>17556</v>
      </c>
      <c r="K301" s="45" t="s">
        <v>398</v>
      </c>
      <c r="L301" s="46">
        <v>1</v>
      </c>
      <c r="M301" s="512"/>
      <c r="N301" s="57"/>
      <c r="O301" s="35"/>
      <c r="R301" s="57"/>
      <c r="S301" s="35"/>
      <c r="V301" s="57"/>
      <c r="W301" s="208">
        <f>ROUND((ROUND((_15_同援日４．０*_15・２人),0)*(1+_15・A夜間)),0)</f>
        <v>948</v>
      </c>
      <c r="X301" s="48"/>
    </row>
    <row r="302" spans="1:24" ht="16.5" customHeight="1" x14ac:dyDescent="0.15">
      <c r="A302" s="41">
        <v>15</v>
      </c>
      <c r="B302" s="41">
        <v>8481</v>
      </c>
      <c r="C302" s="74" t="s">
        <v>18437</v>
      </c>
      <c r="D302" s="72" t="s">
        <v>17753</v>
      </c>
      <c r="F302" s="57"/>
      <c r="G302" s="114" t="s">
        <v>17558</v>
      </c>
      <c r="H302" s="49"/>
      <c r="I302" s="50"/>
      <c r="J302" s="163"/>
      <c r="K302" s="45"/>
      <c r="L302" s="46"/>
      <c r="M302" s="512"/>
      <c r="N302" s="57"/>
      <c r="O302" s="35"/>
      <c r="R302" s="57"/>
      <c r="S302" s="35"/>
      <c r="V302" s="57"/>
      <c r="W302" s="208">
        <f>ROUND((ROUND((_15_同援日４．０*_15・基礎２),0)*(1+_15・A夜間)),0)</f>
        <v>853</v>
      </c>
      <c r="X302" s="48"/>
    </row>
    <row r="303" spans="1:24" ht="16.5" customHeight="1" x14ac:dyDescent="0.15">
      <c r="A303" s="41">
        <v>15</v>
      </c>
      <c r="B303" s="41">
        <v>8482</v>
      </c>
      <c r="C303" s="74" t="s">
        <v>18438</v>
      </c>
      <c r="D303" s="72"/>
      <c r="E303" s="168">
        <f>_15_同援日４．０</f>
        <v>758</v>
      </c>
      <c r="F303" s="57" t="s">
        <v>392</v>
      </c>
      <c r="G303" s="269" t="s">
        <v>17560</v>
      </c>
      <c r="H303" s="37" t="s">
        <v>398</v>
      </c>
      <c r="I303" s="38">
        <v>0.9</v>
      </c>
      <c r="J303" s="299" t="s">
        <v>17556</v>
      </c>
      <c r="K303" s="45" t="s">
        <v>398</v>
      </c>
      <c r="L303" s="46">
        <v>1</v>
      </c>
      <c r="M303" s="512"/>
      <c r="N303" s="57"/>
      <c r="O303" s="43"/>
      <c r="P303" s="37"/>
      <c r="Q303" s="38"/>
      <c r="R303" s="79"/>
      <c r="S303" s="35"/>
      <c r="V303" s="57"/>
      <c r="W303" s="208">
        <f>ROUND((ROUND((ROUND((_15_同援日４．０*_15・基礎２),0)*_15・２人),0)*(1+_15・A夜間)),0)</f>
        <v>853</v>
      </c>
      <c r="X303" s="48"/>
    </row>
    <row r="304" spans="1:24" ht="16.5" customHeight="1" x14ac:dyDescent="0.15">
      <c r="A304" s="41">
        <v>15</v>
      </c>
      <c r="B304" s="41">
        <v>8483</v>
      </c>
      <c r="C304" s="74" t="s">
        <v>18439</v>
      </c>
      <c r="D304" s="72"/>
      <c r="F304" s="57"/>
      <c r="G304" s="53"/>
      <c r="H304" s="49"/>
      <c r="I304" s="50"/>
      <c r="J304" s="163"/>
      <c r="K304" s="45"/>
      <c r="L304" s="46"/>
      <c r="M304" s="512"/>
      <c r="N304" s="57"/>
      <c r="O304" s="114" t="s">
        <v>17562</v>
      </c>
      <c r="P304" s="49"/>
      <c r="Q304" s="50"/>
      <c r="R304" s="115"/>
      <c r="S304" s="35"/>
      <c r="V304" s="57"/>
      <c r="W304" s="208">
        <f>ROUND((ROUND((_15_同援日４．０*(1+_15・A夜間)),0)*(1+_15・盲ろう)),0)</f>
        <v>1185</v>
      </c>
      <c r="X304" s="48"/>
    </row>
    <row r="305" spans="1:24" ht="16.5" customHeight="1" x14ac:dyDescent="0.15">
      <c r="A305" s="41">
        <v>15</v>
      </c>
      <c r="B305" s="41">
        <v>8484</v>
      </c>
      <c r="C305" s="74" t="s">
        <v>18440</v>
      </c>
      <c r="D305" s="72"/>
      <c r="F305" s="57"/>
      <c r="G305" s="43"/>
      <c r="H305" s="37"/>
      <c r="I305" s="38"/>
      <c r="J305" s="299" t="s">
        <v>17556</v>
      </c>
      <c r="K305" s="45" t="s">
        <v>398</v>
      </c>
      <c r="L305" s="46">
        <v>1</v>
      </c>
      <c r="M305" s="512"/>
      <c r="N305" s="57"/>
      <c r="O305" s="92" t="s">
        <v>17564</v>
      </c>
      <c r="R305" s="57"/>
      <c r="S305" s="35"/>
      <c r="V305" s="57"/>
      <c r="W305" s="208">
        <f>ROUND((ROUND((ROUND((_15_同援日４．０*_15・２人),0)*(1+_15・A夜間)),0)*(1+_15・盲ろう)),0)</f>
        <v>1185</v>
      </c>
      <c r="X305" s="48"/>
    </row>
    <row r="306" spans="1:24" ht="16.5" customHeight="1" x14ac:dyDescent="0.15">
      <c r="A306" s="41">
        <v>15</v>
      </c>
      <c r="B306" s="41">
        <v>8485</v>
      </c>
      <c r="C306" s="74" t="s">
        <v>18441</v>
      </c>
      <c r="D306" s="72"/>
      <c r="F306" s="57"/>
      <c r="G306" s="114" t="s">
        <v>17558</v>
      </c>
      <c r="H306" s="49"/>
      <c r="I306" s="50"/>
      <c r="J306" s="163"/>
      <c r="K306" s="45"/>
      <c r="L306" s="46"/>
      <c r="M306" s="512"/>
      <c r="N306" s="57"/>
      <c r="O306" s="35"/>
      <c r="P306" s="12" t="s">
        <v>398</v>
      </c>
      <c r="Q306" s="13">
        <v>0.25</v>
      </c>
      <c r="R306" s="57" t="s">
        <v>3575</v>
      </c>
      <c r="S306" s="35"/>
      <c r="V306" s="57"/>
      <c r="W306" s="208">
        <f>ROUND((ROUND((ROUND((_15_同援日４．０*_15・基礎２),0)*(1+_15・A夜間)),0)*(1+_15・盲ろう)),0)</f>
        <v>1066</v>
      </c>
      <c r="X306" s="48"/>
    </row>
    <row r="307" spans="1:24" ht="16.5" customHeight="1" x14ac:dyDescent="0.15">
      <c r="A307" s="41">
        <v>15</v>
      </c>
      <c r="B307" s="41">
        <v>8486</v>
      </c>
      <c r="C307" s="74" t="s">
        <v>18442</v>
      </c>
      <c r="D307" s="72"/>
      <c r="F307" s="57"/>
      <c r="G307" s="269" t="s">
        <v>17560</v>
      </c>
      <c r="H307" s="37" t="s">
        <v>398</v>
      </c>
      <c r="I307" s="38">
        <v>0.9</v>
      </c>
      <c r="J307" s="299" t="s">
        <v>17556</v>
      </c>
      <c r="K307" s="45" t="s">
        <v>398</v>
      </c>
      <c r="L307" s="46">
        <v>1</v>
      </c>
      <c r="M307" s="512"/>
      <c r="N307" s="57"/>
      <c r="O307" s="43"/>
      <c r="P307" s="37"/>
      <c r="Q307" s="38"/>
      <c r="R307" s="79"/>
      <c r="S307" s="43"/>
      <c r="T307" s="37"/>
      <c r="U307" s="38"/>
      <c r="V307" s="79"/>
      <c r="W307" s="208">
        <f>ROUND((ROUND((ROUND((ROUND((_15_同援日４．０*_15・基礎２),0)*_15・２人),0)*(1+_15・A夜間)),0)*(1+_15・盲ろう)),0)</f>
        <v>1066</v>
      </c>
      <c r="X307" s="48"/>
    </row>
    <row r="308" spans="1:24" ht="16.5" customHeight="1" x14ac:dyDescent="0.15">
      <c r="A308" s="41">
        <v>15</v>
      </c>
      <c r="B308" s="41">
        <v>8487</v>
      </c>
      <c r="C308" s="74" t="s">
        <v>18443</v>
      </c>
      <c r="D308" s="72"/>
      <c r="F308" s="57"/>
      <c r="G308" s="53"/>
      <c r="H308" s="49"/>
      <c r="I308" s="50"/>
      <c r="J308" s="163"/>
      <c r="K308" s="45"/>
      <c r="L308" s="46"/>
      <c r="M308" s="512"/>
      <c r="N308" s="57"/>
      <c r="O308" s="53"/>
      <c r="P308" s="49"/>
      <c r="Q308" s="50"/>
      <c r="R308" s="115"/>
      <c r="S308" s="53"/>
      <c r="T308" s="49"/>
      <c r="U308" s="50"/>
      <c r="V308" s="115"/>
      <c r="W308" s="208">
        <f>ROUND((ROUND((_15_同援日４．０*(1+_15・A夜間)),0)*(1+_15・区３)),0)</f>
        <v>1138</v>
      </c>
      <c r="X308" s="48"/>
    </row>
    <row r="309" spans="1:24" ht="16.5" customHeight="1" x14ac:dyDescent="0.15">
      <c r="A309" s="41">
        <v>15</v>
      </c>
      <c r="B309" s="41">
        <v>8488</v>
      </c>
      <c r="C309" s="74" t="s">
        <v>18444</v>
      </c>
      <c r="D309" s="72"/>
      <c r="F309" s="57"/>
      <c r="G309" s="43"/>
      <c r="H309" s="37"/>
      <c r="I309" s="38"/>
      <c r="J309" s="299" t="s">
        <v>17556</v>
      </c>
      <c r="K309" s="45" t="s">
        <v>398</v>
      </c>
      <c r="L309" s="46">
        <v>1</v>
      </c>
      <c r="M309" s="512"/>
      <c r="N309" s="57"/>
      <c r="O309" s="35"/>
      <c r="R309" s="57"/>
      <c r="S309" s="35"/>
      <c r="V309" s="57"/>
      <c r="W309" s="208">
        <f>ROUND((ROUND((ROUND((_15_同援日４．０*_15・２人),0)*(1+_15・A夜間)),0)*(1+_15・区３)),0)</f>
        <v>1138</v>
      </c>
      <c r="X309" s="48"/>
    </row>
    <row r="310" spans="1:24" ht="16.5" customHeight="1" x14ac:dyDescent="0.15">
      <c r="A310" s="41">
        <v>15</v>
      </c>
      <c r="B310" s="41">
        <v>8489</v>
      </c>
      <c r="C310" s="74" t="s">
        <v>18445</v>
      </c>
      <c r="D310" s="72"/>
      <c r="F310" s="57"/>
      <c r="G310" s="114" t="s">
        <v>17558</v>
      </c>
      <c r="H310" s="49"/>
      <c r="I310" s="50"/>
      <c r="J310" s="163"/>
      <c r="K310" s="45"/>
      <c r="L310" s="46"/>
      <c r="M310" s="512"/>
      <c r="N310" s="57"/>
      <c r="O310" s="35"/>
      <c r="R310" s="57"/>
      <c r="S310" s="72" t="s">
        <v>17570</v>
      </c>
      <c r="V310" s="57"/>
      <c r="W310" s="208">
        <f>ROUND((ROUND((ROUND((_15_同援日４．０*_15・基礎２),0)*(1+_15・A夜間)),0)*(1+_15・区３)),0)</f>
        <v>1024</v>
      </c>
      <c r="X310" s="48"/>
    </row>
    <row r="311" spans="1:24" ht="16.5" customHeight="1" x14ac:dyDescent="0.15">
      <c r="A311" s="41">
        <v>15</v>
      </c>
      <c r="B311" s="41">
        <v>8490</v>
      </c>
      <c r="C311" s="74" t="s">
        <v>18446</v>
      </c>
      <c r="D311" s="72"/>
      <c r="F311" s="57"/>
      <c r="G311" s="269" t="s">
        <v>17560</v>
      </c>
      <c r="H311" s="37" t="s">
        <v>398</v>
      </c>
      <c r="I311" s="38">
        <v>0.9</v>
      </c>
      <c r="J311" s="299" t="s">
        <v>17556</v>
      </c>
      <c r="K311" s="45" t="s">
        <v>398</v>
      </c>
      <c r="L311" s="46">
        <v>1</v>
      </c>
      <c r="M311" s="512"/>
      <c r="N311" s="57"/>
      <c r="O311" s="43"/>
      <c r="P311" s="37"/>
      <c r="Q311" s="38"/>
      <c r="R311" s="79"/>
      <c r="S311" s="72" t="s">
        <v>17572</v>
      </c>
      <c r="V311" s="57"/>
      <c r="W311" s="208">
        <f>ROUND((ROUND((ROUND((ROUND((_15_同援日４．０*_15・基礎２),0)*_15・２人),0)*(1+_15・A夜間)),0)*(1+_15・区３)),0)</f>
        <v>1024</v>
      </c>
      <c r="X311" s="48"/>
    </row>
    <row r="312" spans="1:24" ht="16.5" customHeight="1" x14ac:dyDescent="0.15">
      <c r="A312" s="41">
        <v>15</v>
      </c>
      <c r="B312" s="41">
        <v>8491</v>
      </c>
      <c r="C312" s="74" t="s">
        <v>18447</v>
      </c>
      <c r="D312" s="72"/>
      <c r="F312" s="57"/>
      <c r="G312" s="53"/>
      <c r="H312" s="49"/>
      <c r="I312" s="50"/>
      <c r="J312" s="163"/>
      <c r="K312" s="45"/>
      <c r="L312" s="46"/>
      <c r="M312" s="512"/>
      <c r="N312" s="57"/>
      <c r="O312" s="114" t="s">
        <v>17562</v>
      </c>
      <c r="P312" s="49"/>
      <c r="Q312" s="50"/>
      <c r="R312" s="115"/>
      <c r="S312" s="35"/>
      <c r="T312" s="12" t="s">
        <v>398</v>
      </c>
      <c r="U312" s="13">
        <v>0.2</v>
      </c>
      <c r="V312" s="57" t="s">
        <v>3575</v>
      </c>
      <c r="W312" s="208">
        <f>ROUND((ROUND((ROUND((_15_同援日４．０*(1+_15・A夜間)),0)*(1+_15・盲ろう)),0)*(1+_15・区３)),0)</f>
        <v>1422</v>
      </c>
      <c r="X312" s="48"/>
    </row>
    <row r="313" spans="1:24" ht="16.5" customHeight="1" x14ac:dyDescent="0.15">
      <c r="A313" s="41">
        <v>15</v>
      </c>
      <c r="B313" s="41">
        <v>8492</v>
      </c>
      <c r="C313" s="74" t="s">
        <v>18448</v>
      </c>
      <c r="D313" s="72"/>
      <c r="F313" s="57"/>
      <c r="G313" s="43"/>
      <c r="H313" s="37"/>
      <c r="I313" s="38"/>
      <c r="J313" s="299" t="s">
        <v>17556</v>
      </c>
      <c r="K313" s="45" t="s">
        <v>398</v>
      </c>
      <c r="L313" s="46">
        <v>1</v>
      </c>
      <c r="M313" s="512"/>
      <c r="N313" s="57"/>
      <c r="O313" s="92" t="s">
        <v>17564</v>
      </c>
      <c r="R313" s="57"/>
      <c r="S313" s="35"/>
      <c r="V313" s="57"/>
      <c r="W313" s="208">
        <f>ROUND((ROUND((ROUND((ROUND((_15_同援日４．０*_15・２人),0)*(1+_15・A夜間)),0)*(1+_15・盲ろう)),0)*(1+_15・区３)),0)</f>
        <v>1422</v>
      </c>
      <c r="X313" s="48"/>
    </row>
    <row r="314" spans="1:24" ht="16.5" customHeight="1" x14ac:dyDescent="0.15">
      <c r="A314" s="41">
        <v>15</v>
      </c>
      <c r="B314" s="41">
        <v>8493</v>
      </c>
      <c r="C314" s="74" t="s">
        <v>18449</v>
      </c>
      <c r="D314" s="72"/>
      <c r="F314" s="57"/>
      <c r="G314" s="114" t="s">
        <v>17558</v>
      </c>
      <c r="H314" s="49"/>
      <c r="I314" s="50"/>
      <c r="J314" s="163"/>
      <c r="K314" s="45"/>
      <c r="L314" s="46"/>
      <c r="M314" s="512"/>
      <c r="N314" s="57"/>
      <c r="O314" s="35"/>
      <c r="P314" s="12" t="s">
        <v>398</v>
      </c>
      <c r="Q314" s="13">
        <v>0.25</v>
      </c>
      <c r="R314" s="57" t="s">
        <v>3575</v>
      </c>
      <c r="S314" s="35"/>
      <c r="V314" s="57"/>
      <c r="W314" s="208">
        <f>ROUND((ROUND((ROUND((ROUND((_15_同援日４．０*_15・基礎２),0)*(1+_15・A夜間)),0)*(1+_15・盲ろう)),0)*(1+_15・区３)),0)</f>
        <v>1279</v>
      </c>
      <c r="X314" s="48"/>
    </row>
    <row r="315" spans="1:24" ht="16.5" customHeight="1" x14ac:dyDescent="0.15">
      <c r="A315" s="41">
        <v>15</v>
      </c>
      <c r="B315" s="41">
        <v>8494</v>
      </c>
      <c r="C315" s="74" t="s">
        <v>18450</v>
      </c>
      <c r="D315" s="72"/>
      <c r="F315" s="57"/>
      <c r="G315" s="269" t="s">
        <v>17560</v>
      </c>
      <c r="H315" s="37" t="s">
        <v>398</v>
      </c>
      <c r="I315" s="38">
        <v>0.9</v>
      </c>
      <c r="J315" s="299" t="s">
        <v>17556</v>
      </c>
      <c r="K315" s="45" t="s">
        <v>398</v>
      </c>
      <c r="L315" s="46">
        <v>1</v>
      </c>
      <c r="M315" s="512"/>
      <c r="N315" s="57"/>
      <c r="O315" s="43"/>
      <c r="P315" s="37"/>
      <c r="Q315" s="38"/>
      <c r="R315" s="79"/>
      <c r="S315" s="43"/>
      <c r="T315" s="37"/>
      <c r="U315" s="38"/>
      <c r="V315" s="79"/>
      <c r="W315" s="208">
        <f>ROUND((ROUND((ROUND((ROUND((ROUND((_15_同援日４．０*_15・基礎２),0)*_15・２人),0)*(1+_15・A夜間)),0)*(1+_15・盲ろう)),0)*(1+_15・区３)),0)</f>
        <v>1279</v>
      </c>
      <c r="X315" s="48"/>
    </row>
    <row r="316" spans="1:24" ht="16.5" customHeight="1" x14ac:dyDescent="0.15">
      <c r="A316" s="41">
        <v>15</v>
      </c>
      <c r="B316" s="41">
        <v>8495</v>
      </c>
      <c r="C316" s="74" t="s">
        <v>18451</v>
      </c>
      <c r="D316" s="72"/>
      <c r="F316" s="57"/>
      <c r="G316" s="53"/>
      <c r="H316" s="49"/>
      <c r="I316" s="50"/>
      <c r="J316" s="163"/>
      <c r="K316" s="45"/>
      <c r="L316" s="46"/>
      <c r="M316" s="512"/>
      <c r="N316" s="57"/>
      <c r="O316" s="53"/>
      <c r="P316" s="49"/>
      <c r="Q316" s="50"/>
      <c r="R316" s="115"/>
      <c r="S316" s="53"/>
      <c r="T316" s="49"/>
      <c r="U316" s="50"/>
      <c r="V316" s="115"/>
      <c r="W316" s="208">
        <f>ROUND((ROUND((_15_同援日４．０*(1+_15・A夜間)),0)*(1+_15・区４)),0)</f>
        <v>1327</v>
      </c>
      <c r="X316" s="48"/>
    </row>
    <row r="317" spans="1:24" ht="16.5" customHeight="1" x14ac:dyDescent="0.15">
      <c r="A317" s="41">
        <v>15</v>
      </c>
      <c r="B317" s="41">
        <v>8496</v>
      </c>
      <c r="C317" s="74" t="s">
        <v>18452</v>
      </c>
      <c r="D317" s="72"/>
      <c r="F317" s="57"/>
      <c r="G317" s="43"/>
      <c r="H317" s="37"/>
      <c r="I317" s="38"/>
      <c r="J317" s="299" t="s">
        <v>17556</v>
      </c>
      <c r="K317" s="45" t="s">
        <v>398</v>
      </c>
      <c r="L317" s="46">
        <v>1</v>
      </c>
      <c r="M317" s="512"/>
      <c r="N317" s="57"/>
      <c r="O317" s="35"/>
      <c r="R317" s="57"/>
      <c r="S317" s="35"/>
      <c r="V317" s="57"/>
      <c r="W317" s="208">
        <f>ROUND((ROUND((ROUND((_15_同援日４．０*_15・２人),0)*(1+_15・A夜間)),0)*(1+_15・区４)),0)</f>
        <v>1327</v>
      </c>
      <c r="X317" s="48"/>
    </row>
    <row r="318" spans="1:24" ht="16.5" customHeight="1" x14ac:dyDescent="0.15">
      <c r="A318" s="41">
        <v>15</v>
      </c>
      <c r="B318" s="41">
        <v>8497</v>
      </c>
      <c r="C318" s="74" t="s">
        <v>18453</v>
      </c>
      <c r="D318" s="72"/>
      <c r="F318" s="57"/>
      <c r="G318" s="114" t="s">
        <v>17558</v>
      </c>
      <c r="H318" s="49"/>
      <c r="I318" s="50"/>
      <c r="J318" s="163"/>
      <c r="K318" s="45"/>
      <c r="L318" s="46"/>
      <c r="M318" s="512"/>
      <c r="N318" s="57"/>
      <c r="O318" s="35"/>
      <c r="R318" s="57"/>
      <c r="S318" s="72" t="s">
        <v>17580</v>
      </c>
      <c r="V318" s="57"/>
      <c r="W318" s="208">
        <f>ROUND((ROUND((ROUND((_15_同援日４．０*_15・基礎２),0)*(1+_15・A夜間)),0)*(1+_15・区４)),0)</f>
        <v>1194</v>
      </c>
      <c r="X318" s="48"/>
    </row>
    <row r="319" spans="1:24" ht="16.5" customHeight="1" x14ac:dyDescent="0.15">
      <c r="A319" s="41">
        <v>15</v>
      </c>
      <c r="B319" s="41">
        <v>8498</v>
      </c>
      <c r="C319" s="74" t="s">
        <v>18454</v>
      </c>
      <c r="D319" s="72"/>
      <c r="F319" s="57"/>
      <c r="G319" s="269" t="s">
        <v>17560</v>
      </c>
      <c r="H319" s="37" t="s">
        <v>398</v>
      </c>
      <c r="I319" s="38">
        <v>0.9</v>
      </c>
      <c r="J319" s="299" t="s">
        <v>17556</v>
      </c>
      <c r="K319" s="45" t="s">
        <v>398</v>
      </c>
      <c r="L319" s="46">
        <v>1</v>
      </c>
      <c r="M319" s="512"/>
      <c r="N319" s="57"/>
      <c r="O319" s="43"/>
      <c r="P319" s="37"/>
      <c r="Q319" s="38"/>
      <c r="R319" s="79"/>
      <c r="S319" s="72" t="s">
        <v>17572</v>
      </c>
      <c r="V319" s="57"/>
      <c r="W319" s="208">
        <f>ROUND((ROUND((ROUND((ROUND((_15_同援日４．０*_15・基礎２),0)*_15・２人),0)*(1+_15・A夜間)),0)*(1+_15・区４)),0)</f>
        <v>1194</v>
      </c>
      <c r="X319" s="48"/>
    </row>
    <row r="320" spans="1:24" ht="16.5" customHeight="1" x14ac:dyDescent="0.15">
      <c r="A320" s="41">
        <v>15</v>
      </c>
      <c r="B320" s="41">
        <v>8499</v>
      </c>
      <c r="C320" s="74" t="s">
        <v>18455</v>
      </c>
      <c r="D320" s="72"/>
      <c r="F320" s="57"/>
      <c r="G320" s="53"/>
      <c r="H320" s="49"/>
      <c r="I320" s="50"/>
      <c r="J320" s="163"/>
      <c r="K320" s="45"/>
      <c r="L320" s="46"/>
      <c r="M320" s="512"/>
      <c r="N320" s="57"/>
      <c r="O320" s="114" t="s">
        <v>17562</v>
      </c>
      <c r="P320" s="49"/>
      <c r="Q320" s="50"/>
      <c r="R320" s="115"/>
      <c r="S320" s="35"/>
      <c r="T320" s="12" t="s">
        <v>398</v>
      </c>
      <c r="U320" s="13">
        <v>0.4</v>
      </c>
      <c r="V320" s="57" t="s">
        <v>3575</v>
      </c>
      <c r="W320" s="208">
        <f>ROUND((ROUND((ROUND((_15_同援日４．０*(1+_15・A夜間)),0)*(1+_15・盲ろう)),0)*(1+_15・区４)),0)</f>
        <v>1659</v>
      </c>
      <c r="X320" s="48"/>
    </row>
    <row r="321" spans="1:24" ht="16.5" customHeight="1" x14ac:dyDescent="0.15">
      <c r="A321" s="41">
        <v>15</v>
      </c>
      <c r="B321" s="41">
        <v>8500</v>
      </c>
      <c r="C321" s="74" t="s">
        <v>18456</v>
      </c>
      <c r="D321" s="72"/>
      <c r="F321" s="57"/>
      <c r="G321" s="43"/>
      <c r="H321" s="37"/>
      <c r="I321" s="38"/>
      <c r="J321" s="299" t="s">
        <v>17556</v>
      </c>
      <c r="K321" s="45" t="s">
        <v>398</v>
      </c>
      <c r="L321" s="46">
        <v>1</v>
      </c>
      <c r="M321" s="512"/>
      <c r="N321" s="57"/>
      <c r="O321" s="92" t="s">
        <v>17564</v>
      </c>
      <c r="R321" s="57"/>
      <c r="S321" s="35"/>
      <c r="V321" s="57"/>
      <c r="W321" s="208">
        <f>ROUND((ROUND((ROUND((ROUND((_15_同援日４．０*_15・２人),0)*(1+_15・A夜間)),0)*(1+_15・盲ろう)),0)*(1+_15・区４)),0)</f>
        <v>1659</v>
      </c>
      <c r="X321" s="48"/>
    </row>
    <row r="322" spans="1:24" ht="16.5" customHeight="1" x14ac:dyDescent="0.15">
      <c r="A322" s="41">
        <v>15</v>
      </c>
      <c r="B322" s="41">
        <v>8501</v>
      </c>
      <c r="C322" s="74" t="s">
        <v>18457</v>
      </c>
      <c r="D322" s="72"/>
      <c r="F322" s="57"/>
      <c r="G322" s="114" t="s">
        <v>17558</v>
      </c>
      <c r="H322" s="49"/>
      <c r="I322" s="50"/>
      <c r="J322" s="163"/>
      <c r="K322" s="45"/>
      <c r="L322" s="46"/>
      <c r="M322" s="512"/>
      <c r="N322" s="57"/>
      <c r="O322" s="35"/>
      <c r="P322" s="12" t="s">
        <v>398</v>
      </c>
      <c r="Q322" s="13">
        <v>0.25</v>
      </c>
      <c r="R322" s="57" t="s">
        <v>3575</v>
      </c>
      <c r="S322" s="35"/>
      <c r="V322" s="57"/>
      <c r="W322" s="208">
        <f>ROUND((ROUND((ROUND((ROUND((_15_同援日４．０*_15・基礎２),0)*(1+_15・A夜間)),0)*(1+_15・盲ろう)),0)*(1+_15・区４)),0)</f>
        <v>1492</v>
      </c>
      <c r="X322" s="48"/>
    </row>
    <row r="323" spans="1:24" ht="16.5" customHeight="1" x14ac:dyDescent="0.15">
      <c r="A323" s="41">
        <v>15</v>
      </c>
      <c r="B323" s="41">
        <v>8502</v>
      </c>
      <c r="C323" s="74" t="s">
        <v>18458</v>
      </c>
      <c r="D323" s="122"/>
      <c r="E323" s="37"/>
      <c r="F323" s="79"/>
      <c r="G323" s="269" t="s">
        <v>17560</v>
      </c>
      <c r="H323" s="37" t="s">
        <v>398</v>
      </c>
      <c r="I323" s="38">
        <v>0.9</v>
      </c>
      <c r="J323" s="299" t="s">
        <v>17556</v>
      </c>
      <c r="K323" s="45" t="s">
        <v>398</v>
      </c>
      <c r="L323" s="46">
        <v>1</v>
      </c>
      <c r="M323" s="512"/>
      <c r="N323" s="57"/>
      <c r="O323" s="43"/>
      <c r="P323" s="37"/>
      <c r="Q323" s="38"/>
      <c r="R323" s="79"/>
      <c r="S323" s="43"/>
      <c r="T323" s="37"/>
      <c r="U323" s="38"/>
      <c r="V323" s="79"/>
      <c r="W323" s="208">
        <f>ROUND((ROUND((ROUND((ROUND((ROUND((_15_同援日４．０*_15・基礎２),0)*_15・２人),0)*(1+_15・A夜間)),0)*(1+_15・盲ろう)),0)*(1+_15・区４)),0)</f>
        <v>1492</v>
      </c>
      <c r="X323" s="48"/>
    </row>
    <row r="324" spans="1:24" ht="16.5" customHeight="1" x14ac:dyDescent="0.15">
      <c r="A324" s="41">
        <v>15</v>
      </c>
      <c r="B324" s="41">
        <v>8503</v>
      </c>
      <c r="C324" s="74" t="s">
        <v>18459</v>
      </c>
      <c r="D324" s="114" t="s">
        <v>18460</v>
      </c>
      <c r="E324" s="49"/>
      <c r="F324" s="115"/>
      <c r="G324" s="53"/>
      <c r="H324" s="49"/>
      <c r="I324" s="50"/>
      <c r="J324" s="163"/>
      <c r="K324" s="45"/>
      <c r="L324" s="46"/>
      <c r="M324" s="512"/>
      <c r="N324" s="57"/>
      <c r="O324" s="53"/>
      <c r="P324" s="49"/>
      <c r="Q324" s="50"/>
      <c r="R324" s="115"/>
      <c r="S324" s="53"/>
      <c r="T324" s="49"/>
      <c r="U324" s="50"/>
      <c r="V324" s="115"/>
      <c r="W324" s="208">
        <f>ROUND((_15_同援日４．５*(1+_15・A夜間)),0)</f>
        <v>1029</v>
      </c>
      <c r="X324" s="48"/>
    </row>
    <row r="325" spans="1:24" ht="16.5" customHeight="1" x14ac:dyDescent="0.15">
      <c r="A325" s="41">
        <v>15</v>
      </c>
      <c r="B325" s="41">
        <v>8504</v>
      </c>
      <c r="C325" s="74" t="s">
        <v>18461</v>
      </c>
      <c r="D325" s="72" t="s">
        <v>17778</v>
      </c>
      <c r="F325" s="57"/>
      <c r="G325" s="43"/>
      <c r="H325" s="37"/>
      <c r="I325" s="38"/>
      <c r="J325" s="299" t="s">
        <v>17556</v>
      </c>
      <c r="K325" s="45" t="s">
        <v>398</v>
      </c>
      <c r="L325" s="46">
        <v>1</v>
      </c>
      <c r="M325" s="512"/>
      <c r="N325" s="57"/>
      <c r="O325" s="35"/>
      <c r="R325" s="57"/>
      <c r="S325" s="35"/>
      <c r="V325" s="57"/>
      <c r="W325" s="208">
        <f>ROUND((ROUND((_15_同援日４．５*_15・２人),0)*(1+_15・A夜間)),0)</f>
        <v>1029</v>
      </c>
      <c r="X325" s="48"/>
    </row>
    <row r="326" spans="1:24" ht="16.5" customHeight="1" x14ac:dyDescent="0.15">
      <c r="A326" s="41">
        <v>15</v>
      </c>
      <c r="B326" s="41">
        <v>8505</v>
      </c>
      <c r="C326" s="74" t="s">
        <v>18462</v>
      </c>
      <c r="D326" s="72" t="s">
        <v>18463</v>
      </c>
      <c r="F326" s="57"/>
      <c r="G326" s="114" t="s">
        <v>17558</v>
      </c>
      <c r="H326" s="49"/>
      <c r="I326" s="50"/>
      <c r="J326" s="163"/>
      <c r="K326" s="45"/>
      <c r="L326" s="46"/>
      <c r="M326" s="512"/>
      <c r="N326" s="57"/>
      <c r="O326" s="35"/>
      <c r="R326" s="57"/>
      <c r="S326" s="35"/>
      <c r="V326" s="57"/>
      <c r="W326" s="208">
        <f>ROUND((ROUND((_15_同援日４．５*_15・基礎２),0)*(1+_15・A夜間)),0)</f>
        <v>926</v>
      </c>
      <c r="X326" s="48"/>
    </row>
    <row r="327" spans="1:24" ht="16.5" customHeight="1" x14ac:dyDescent="0.15">
      <c r="A327" s="41">
        <v>15</v>
      </c>
      <c r="B327" s="41">
        <v>8506</v>
      </c>
      <c r="C327" s="74" t="s">
        <v>18464</v>
      </c>
      <c r="D327" s="72"/>
      <c r="E327" s="168">
        <f>_15_同援日４．５</f>
        <v>823</v>
      </c>
      <c r="F327" s="57" t="s">
        <v>392</v>
      </c>
      <c r="G327" s="269" t="s">
        <v>17560</v>
      </c>
      <c r="H327" s="37" t="s">
        <v>398</v>
      </c>
      <c r="I327" s="38">
        <v>0.9</v>
      </c>
      <c r="J327" s="299" t="s">
        <v>17556</v>
      </c>
      <c r="K327" s="45" t="s">
        <v>398</v>
      </c>
      <c r="L327" s="46">
        <v>1</v>
      </c>
      <c r="M327" s="512"/>
      <c r="N327" s="57"/>
      <c r="O327" s="43"/>
      <c r="P327" s="37"/>
      <c r="Q327" s="38"/>
      <c r="R327" s="79"/>
      <c r="S327" s="35"/>
      <c r="V327" s="57"/>
      <c r="W327" s="208">
        <f>ROUND((ROUND((ROUND((_15_同援日４．５*_15・基礎２),0)*_15・２人),0)*(1+_15・A夜間)),0)</f>
        <v>926</v>
      </c>
      <c r="X327" s="48"/>
    </row>
    <row r="328" spans="1:24" ht="16.5" customHeight="1" x14ac:dyDescent="0.15">
      <c r="A328" s="41">
        <v>15</v>
      </c>
      <c r="B328" s="41">
        <v>8507</v>
      </c>
      <c r="C328" s="74" t="s">
        <v>18465</v>
      </c>
      <c r="D328" s="72"/>
      <c r="F328" s="57"/>
      <c r="G328" s="53"/>
      <c r="H328" s="49"/>
      <c r="I328" s="50"/>
      <c r="J328" s="163"/>
      <c r="K328" s="45"/>
      <c r="L328" s="46"/>
      <c r="M328" s="512"/>
      <c r="N328" s="57"/>
      <c r="O328" s="114" t="s">
        <v>17562</v>
      </c>
      <c r="P328" s="49"/>
      <c r="Q328" s="50"/>
      <c r="R328" s="115"/>
      <c r="S328" s="35"/>
      <c r="V328" s="57"/>
      <c r="W328" s="208">
        <f>ROUND((ROUND((_15_同援日４．５*(1+_15・A夜間)),0)*(1+_15・盲ろう)),0)</f>
        <v>1286</v>
      </c>
      <c r="X328" s="48"/>
    </row>
    <row r="329" spans="1:24" ht="16.5" customHeight="1" x14ac:dyDescent="0.15">
      <c r="A329" s="41">
        <v>15</v>
      </c>
      <c r="B329" s="41">
        <v>8508</v>
      </c>
      <c r="C329" s="74" t="s">
        <v>18466</v>
      </c>
      <c r="D329" s="72"/>
      <c r="F329" s="57"/>
      <c r="G329" s="43"/>
      <c r="H329" s="37"/>
      <c r="I329" s="38"/>
      <c r="J329" s="299" t="s">
        <v>17556</v>
      </c>
      <c r="K329" s="45" t="s">
        <v>398</v>
      </c>
      <c r="L329" s="46">
        <v>1</v>
      </c>
      <c r="M329" s="512"/>
      <c r="N329" s="57"/>
      <c r="O329" s="92" t="s">
        <v>17564</v>
      </c>
      <c r="R329" s="57"/>
      <c r="S329" s="35"/>
      <c r="V329" s="57"/>
      <c r="W329" s="208">
        <f>ROUND((ROUND((ROUND((_15_同援日４．５*_15・２人),0)*(1+_15・A夜間)),0)*(1+_15・盲ろう)),0)</f>
        <v>1286</v>
      </c>
      <c r="X329" s="48"/>
    </row>
    <row r="330" spans="1:24" ht="16.5" customHeight="1" x14ac:dyDescent="0.15">
      <c r="A330" s="41">
        <v>15</v>
      </c>
      <c r="B330" s="41">
        <v>8509</v>
      </c>
      <c r="C330" s="74" t="s">
        <v>18467</v>
      </c>
      <c r="D330" s="72"/>
      <c r="F330" s="57"/>
      <c r="G330" s="114" t="s">
        <v>17558</v>
      </c>
      <c r="H330" s="49"/>
      <c r="I330" s="50"/>
      <c r="J330" s="163"/>
      <c r="K330" s="45"/>
      <c r="L330" s="46"/>
      <c r="M330" s="512"/>
      <c r="N330" s="57"/>
      <c r="O330" s="35"/>
      <c r="P330" s="12" t="s">
        <v>398</v>
      </c>
      <c r="Q330" s="13">
        <v>0.25</v>
      </c>
      <c r="R330" s="57" t="s">
        <v>3575</v>
      </c>
      <c r="S330" s="35"/>
      <c r="V330" s="57"/>
      <c r="W330" s="208">
        <f>ROUND((ROUND((ROUND((_15_同援日４．５*_15・基礎２),0)*(1+_15・A夜間)),0)*(1+_15・盲ろう)),0)</f>
        <v>1158</v>
      </c>
      <c r="X330" s="48"/>
    </row>
    <row r="331" spans="1:24" ht="16.5" customHeight="1" x14ac:dyDescent="0.15">
      <c r="A331" s="41">
        <v>15</v>
      </c>
      <c r="B331" s="41">
        <v>8510</v>
      </c>
      <c r="C331" s="74" t="s">
        <v>18468</v>
      </c>
      <c r="D331" s="72"/>
      <c r="F331" s="57"/>
      <c r="G331" s="269" t="s">
        <v>17560</v>
      </c>
      <c r="H331" s="37" t="s">
        <v>398</v>
      </c>
      <c r="I331" s="38">
        <v>0.9</v>
      </c>
      <c r="J331" s="299" t="s">
        <v>17556</v>
      </c>
      <c r="K331" s="45" t="s">
        <v>398</v>
      </c>
      <c r="L331" s="46">
        <v>1</v>
      </c>
      <c r="M331" s="512"/>
      <c r="N331" s="57"/>
      <c r="O331" s="43"/>
      <c r="P331" s="37"/>
      <c r="Q331" s="38"/>
      <c r="R331" s="79"/>
      <c r="S331" s="43"/>
      <c r="T331" s="37"/>
      <c r="U331" s="38"/>
      <c r="V331" s="79"/>
      <c r="W331" s="208">
        <f>ROUND((ROUND((ROUND((ROUND((_15_同援日４．５*_15・基礎２),0)*_15・２人),0)*(1+_15・A夜間)),0)*(1+_15・盲ろう)),0)</f>
        <v>1158</v>
      </c>
      <c r="X331" s="48"/>
    </row>
    <row r="332" spans="1:24" ht="16.5" customHeight="1" x14ac:dyDescent="0.15">
      <c r="A332" s="41">
        <v>15</v>
      </c>
      <c r="B332" s="41">
        <v>8511</v>
      </c>
      <c r="C332" s="74" t="s">
        <v>18469</v>
      </c>
      <c r="D332" s="72"/>
      <c r="F332" s="57"/>
      <c r="G332" s="53"/>
      <c r="H332" s="49"/>
      <c r="I332" s="50"/>
      <c r="J332" s="163"/>
      <c r="K332" s="45"/>
      <c r="L332" s="46"/>
      <c r="M332" s="512"/>
      <c r="N332" s="57"/>
      <c r="O332" s="53"/>
      <c r="P332" s="49"/>
      <c r="Q332" s="50"/>
      <c r="R332" s="115"/>
      <c r="S332" s="53"/>
      <c r="T332" s="49"/>
      <c r="U332" s="50"/>
      <c r="V332" s="115"/>
      <c r="W332" s="208">
        <f>ROUND((ROUND((_15_同援日４．５*(1+_15・A夜間)),0)*(1+_15・区３)),0)</f>
        <v>1235</v>
      </c>
      <c r="X332" s="48"/>
    </row>
    <row r="333" spans="1:24" ht="16.5" customHeight="1" x14ac:dyDescent="0.15">
      <c r="A333" s="41">
        <v>15</v>
      </c>
      <c r="B333" s="41">
        <v>8512</v>
      </c>
      <c r="C333" s="74" t="s">
        <v>18470</v>
      </c>
      <c r="D333" s="72"/>
      <c r="F333" s="57"/>
      <c r="G333" s="43"/>
      <c r="H333" s="37"/>
      <c r="I333" s="38"/>
      <c r="J333" s="299" t="s">
        <v>17556</v>
      </c>
      <c r="K333" s="45" t="s">
        <v>398</v>
      </c>
      <c r="L333" s="46">
        <v>1</v>
      </c>
      <c r="M333" s="512"/>
      <c r="N333" s="57"/>
      <c r="O333" s="35"/>
      <c r="R333" s="57"/>
      <c r="S333" s="35"/>
      <c r="V333" s="57"/>
      <c r="W333" s="208">
        <f>ROUND((ROUND((ROUND((_15_同援日４．５*_15・２人),0)*(1+_15・A夜間)),0)*(1+_15・区３)),0)</f>
        <v>1235</v>
      </c>
      <c r="X333" s="48"/>
    </row>
    <row r="334" spans="1:24" ht="16.5" customHeight="1" x14ac:dyDescent="0.15">
      <c r="A334" s="41">
        <v>15</v>
      </c>
      <c r="B334" s="41">
        <v>8513</v>
      </c>
      <c r="C334" s="74" t="s">
        <v>18471</v>
      </c>
      <c r="D334" s="72"/>
      <c r="F334" s="57"/>
      <c r="G334" s="114" t="s">
        <v>17558</v>
      </c>
      <c r="H334" s="49"/>
      <c r="I334" s="50"/>
      <c r="J334" s="163"/>
      <c r="K334" s="45"/>
      <c r="L334" s="46"/>
      <c r="M334" s="512"/>
      <c r="N334" s="57"/>
      <c r="O334" s="35"/>
      <c r="R334" s="57"/>
      <c r="S334" s="72" t="s">
        <v>17570</v>
      </c>
      <c r="V334" s="57"/>
      <c r="W334" s="208">
        <f>ROUND((ROUND((ROUND((_15_同援日４．５*_15・基礎２),0)*(1+_15・A夜間)),0)*(1+_15・区３)),0)</f>
        <v>1111</v>
      </c>
      <c r="X334" s="48"/>
    </row>
    <row r="335" spans="1:24" ht="16.5" customHeight="1" x14ac:dyDescent="0.15">
      <c r="A335" s="41">
        <v>15</v>
      </c>
      <c r="B335" s="41">
        <v>8514</v>
      </c>
      <c r="C335" s="74" t="s">
        <v>18472</v>
      </c>
      <c r="D335" s="72"/>
      <c r="F335" s="57"/>
      <c r="G335" s="269" t="s">
        <v>17560</v>
      </c>
      <c r="H335" s="37" t="s">
        <v>398</v>
      </c>
      <c r="I335" s="38">
        <v>0.9</v>
      </c>
      <c r="J335" s="299" t="s">
        <v>17556</v>
      </c>
      <c r="K335" s="45" t="s">
        <v>398</v>
      </c>
      <c r="L335" s="46">
        <v>1</v>
      </c>
      <c r="M335" s="512"/>
      <c r="N335" s="57"/>
      <c r="O335" s="43"/>
      <c r="P335" s="37"/>
      <c r="Q335" s="38"/>
      <c r="R335" s="79"/>
      <c r="S335" s="72" t="s">
        <v>17572</v>
      </c>
      <c r="V335" s="57"/>
      <c r="W335" s="208">
        <f>ROUND((ROUND((ROUND((ROUND((_15_同援日４．５*_15・基礎２),0)*_15・２人),0)*(1+_15・A夜間)),0)*(1+_15・区３)),0)</f>
        <v>1111</v>
      </c>
      <c r="X335" s="48"/>
    </row>
    <row r="336" spans="1:24" ht="16.5" customHeight="1" x14ac:dyDescent="0.15">
      <c r="A336" s="41">
        <v>15</v>
      </c>
      <c r="B336" s="41">
        <v>8515</v>
      </c>
      <c r="C336" s="74" t="s">
        <v>18473</v>
      </c>
      <c r="D336" s="72"/>
      <c r="F336" s="57"/>
      <c r="G336" s="53"/>
      <c r="H336" s="49"/>
      <c r="I336" s="50"/>
      <c r="J336" s="163"/>
      <c r="K336" s="45"/>
      <c r="L336" s="46"/>
      <c r="M336" s="512"/>
      <c r="N336" s="57"/>
      <c r="O336" s="114" t="s">
        <v>17562</v>
      </c>
      <c r="P336" s="49"/>
      <c r="Q336" s="50"/>
      <c r="R336" s="115"/>
      <c r="S336" s="35"/>
      <c r="T336" s="12" t="s">
        <v>398</v>
      </c>
      <c r="U336" s="13">
        <v>0.2</v>
      </c>
      <c r="V336" s="57" t="s">
        <v>3575</v>
      </c>
      <c r="W336" s="208">
        <f>ROUND((ROUND((ROUND((_15_同援日４．５*(1+_15・A夜間)),0)*(1+_15・盲ろう)),0)*(1+_15・区３)),0)</f>
        <v>1543</v>
      </c>
      <c r="X336" s="48"/>
    </row>
    <row r="337" spans="1:24" ht="16.5" customHeight="1" x14ac:dyDescent="0.15">
      <c r="A337" s="41">
        <v>15</v>
      </c>
      <c r="B337" s="41">
        <v>8516</v>
      </c>
      <c r="C337" s="74" t="s">
        <v>18474</v>
      </c>
      <c r="D337" s="72"/>
      <c r="F337" s="57"/>
      <c r="G337" s="43"/>
      <c r="H337" s="37"/>
      <c r="I337" s="38"/>
      <c r="J337" s="299" t="s">
        <v>17556</v>
      </c>
      <c r="K337" s="45" t="s">
        <v>398</v>
      </c>
      <c r="L337" s="46">
        <v>1</v>
      </c>
      <c r="M337" s="512"/>
      <c r="N337" s="57"/>
      <c r="O337" s="92" t="s">
        <v>17564</v>
      </c>
      <c r="R337" s="57"/>
      <c r="S337" s="35"/>
      <c r="V337" s="57"/>
      <c r="W337" s="208">
        <f>ROUND((ROUND((ROUND((ROUND((_15_同援日４．５*_15・２人),0)*(1+_15・A夜間)),0)*(1+_15・盲ろう)),0)*(1+_15・区３)),0)</f>
        <v>1543</v>
      </c>
      <c r="X337" s="48"/>
    </row>
    <row r="338" spans="1:24" ht="16.5" customHeight="1" x14ac:dyDescent="0.15">
      <c r="A338" s="41">
        <v>15</v>
      </c>
      <c r="B338" s="41">
        <v>8517</v>
      </c>
      <c r="C338" s="74" t="s">
        <v>18475</v>
      </c>
      <c r="D338" s="72"/>
      <c r="F338" s="57"/>
      <c r="G338" s="114" t="s">
        <v>17558</v>
      </c>
      <c r="H338" s="49"/>
      <c r="I338" s="50"/>
      <c r="J338" s="163"/>
      <c r="K338" s="45"/>
      <c r="L338" s="46"/>
      <c r="M338" s="512"/>
      <c r="N338" s="57"/>
      <c r="O338" s="35"/>
      <c r="P338" s="12" t="s">
        <v>398</v>
      </c>
      <c r="Q338" s="13">
        <v>0.25</v>
      </c>
      <c r="R338" s="57" t="s">
        <v>3575</v>
      </c>
      <c r="S338" s="35"/>
      <c r="V338" s="57"/>
      <c r="W338" s="208">
        <f>ROUND((ROUND((ROUND((ROUND((_15_同援日４．５*_15・基礎２),0)*(1+_15・A夜間)),0)*(1+_15・盲ろう)),0)*(1+_15・区３)),0)</f>
        <v>1390</v>
      </c>
      <c r="X338" s="48"/>
    </row>
    <row r="339" spans="1:24" ht="16.5" customHeight="1" x14ac:dyDescent="0.15">
      <c r="A339" s="41">
        <v>15</v>
      </c>
      <c r="B339" s="41">
        <v>8518</v>
      </c>
      <c r="C339" s="74" t="s">
        <v>18476</v>
      </c>
      <c r="D339" s="72"/>
      <c r="F339" s="57"/>
      <c r="G339" s="269" t="s">
        <v>17560</v>
      </c>
      <c r="H339" s="37" t="s">
        <v>398</v>
      </c>
      <c r="I339" s="38">
        <v>0.9</v>
      </c>
      <c r="J339" s="299" t="s">
        <v>17556</v>
      </c>
      <c r="K339" s="45" t="s">
        <v>398</v>
      </c>
      <c r="L339" s="46">
        <v>1</v>
      </c>
      <c r="M339" s="512"/>
      <c r="N339" s="57"/>
      <c r="O339" s="43"/>
      <c r="P339" s="37"/>
      <c r="Q339" s="38"/>
      <c r="R339" s="79"/>
      <c r="S339" s="43"/>
      <c r="T339" s="37"/>
      <c r="U339" s="38"/>
      <c r="V339" s="79"/>
      <c r="W339" s="208">
        <f>ROUND((ROUND((ROUND((ROUND((ROUND((_15_同援日４．５*_15・基礎２),0)*_15・２人),0)*(1+_15・A夜間)),0)*(1+_15・盲ろう)),0)*(1+_15・区３)),0)</f>
        <v>1390</v>
      </c>
      <c r="X339" s="48"/>
    </row>
    <row r="340" spans="1:24" ht="16.5" customHeight="1" x14ac:dyDescent="0.15">
      <c r="A340" s="41">
        <v>15</v>
      </c>
      <c r="B340" s="41">
        <v>8519</v>
      </c>
      <c r="C340" s="74" t="s">
        <v>18477</v>
      </c>
      <c r="D340" s="72"/>
      <c r="F340" s="57"/>
      <c r="G340" s="53"/>
      <c r="H340" s="49"/>
      <c r="I340" s="50"/>
      <c r="J340" s="163"/>
      <c r="K340" s="45"/>
      <c r="L340" s="46"/>
      <c r="M340" s="512"/>
      <c r="N340" s="57"/>
      <c r="O340" s="53"/>
      <c r="P340" s="49"/>
      <c r="Q340" s="50"/>
      <c r="R340" s="115"/>
      <c r="S340" s="53"/>
      <c r="T340" s="49"/>
      <c r="U340" s="50"/>
      <c r="V340" s="115"/>
      <c r="W340" s="208">
        <f>ROUND((ROUND((_15_同援日４．５*(1+_15・A夜間)),0)*(1+_15・区４)),0)</f>
        <v>1441</v>
      </c>
      <c r="X340" s="48"/>
    </row>
    <row r="341" spans="1:24" ht="16.5" customHeight="1" x14ac:dyDescent="0.15">
      <c r="A341" s="41">
        <v>15</v>
      </c>
      <c r="B341" s="41">
        <v>8520</v>
      </c>
      <c r="C341" s="74" t="s">
        <v>18478</v>
      </c>
      <c r="D341" s="72"/>
      <c r="F341" s="57"/>
      <c r="G341" s="43"/>
      <c r="H341" s="37"/>
      <c r="I341" s="38"/>
      <c r="J341" s="299" t="s">
        <v>17556</v>
      </c>
      <c r="K341" s="45" t="s">
        <v>398</v>
      </c>
      <c r="L341" s="46">
        <v>1</v>
      </c>
      <c r="M341" s="512"/>
      <c r="N341" s="57"/>
      <c r="O341" s="35"/>
      <c r="R341" s="57"/>
      <c r="S341" s="35"/>
      <c r="V341" s="57"/>
      <c r="W341" s="208">
        <f>ROUND((ROUND((ROUND((_15_同援日４．５*_15・２人),0)*(1+_15・A夜間)),0)*(1+_15・区４)),0)</f>
        <v>1441</v>
      </c>
      <c r="X341" s="48"/>
    </row>
    <row r="342" spans="1:24" ht="16.5" customHeight="1" x14ac:dyDescent="0.15">
      <c r="A342" s="41">
        <v>15</v>
      </c>
      <c r="B342" s="41">
        <v>8521</v>
      </c>
      <c r="C342" s="74" t="s">
        <v>18479</v>
      </c>
      <c r="D342" s="72"/>
      <c r="F342" s="57"/>
      <c r="G342" s="114" t="s">
        <v>17558</v>
      </c>
      <c r="H342" s="49"/>
      <c r="I342" s="50"/>
      <c r="J342" s="163"/>
      <c r="K342" s="45"/>
      <c r="L342" s="46"/>
      <c r="M342" s="512"/>
      <c r="N342" s="57"/>
      <c r="O342" s="35"/>
      <c r="R342" s="57"/>
      <c r="S342" s="72" t="s">
        <v>17580</v>
      </c>
      <c r="V342" s="57"/>
      <c r="W342" s="208">
        <f>ROUND((ROUND((ROUND((_15_同援日４．５*_15・基礎２),0)*(1+_15・A夜間)),0)*(1+_15・区４)),0)</f>
        <v>1296</v>
      </c>
      <c r="X342" s="48"/>
    </row>
    <row r="343" spans="1:24" ht="16.5" customHeight="1" x14ac:dyDescent="0.15">
      <c r="A343" s="41">
        <v>15</v>
      </c>
      <c r="B343" s="41">
        <v>8522</v>
      </c>
      <c r="C343" s="74" t="s">
        <v>18480</v>
      </c>
      <c r="D343" s="72"/>
      <c r="F343" s="57"/>
      <c r="G343" s="269" t="s">
        <v>17560</v>
      </c>
      <c r="H343" s="37" t="s">
        <v>398</v>
      </c>
      <c r="I343" s="38">
        <v>0.9</v>
      </c>
      <c r="J343" s="299" t="s">
        <v>17556</v>
      </c>
      <c r="K343" s="45" t="s">
        <v>398</v>
      </c>
      <c r="L343" s="46">
        <v>1</v>
      </c>
      <c r="M343" s="512"/>
      <c r="N343" s="57"/>
      <c r="O343" s="43"/>
      <c r="P343" s="37"/>
      <c r="Q343" s="38"/>
      <c r="R343" s="79"/>
      <c r="S343" s="72" t="s">
        <v>17572</v>
      </c>
      <c r="V343" s="57"/>
      <c r="W343" s="208">
        <f>ROUND((ROUND((ROUND((ROUND((_15_同援日４．５*_15・基礎２),0)*_15・２人),0)*(1+_15・A夜間)),0)*(1+_15・区４)),0)</f>
        <v>1296</v>
      </c>
      <c r="X343" s="48"/>
    </row>
    <row r="344" spans="1:24" ht="16.5" customHeight="1" x14ac:dyDescent="0.15">
      <c r="A344" s="41">
        <v>15</v>
      </c>
      <c r="B344" s="41">
        <v>8523</v>
      </c>
      <c r="C344" s="74" t="s">
        <v>18481</v>
      </c>
      <c r="D344" s="72"/>
      <c r="F344" s="57"/>
      <c r="G344" s="53"/>
      <c r="H344" s="49"/>
      <c r="I344" s="50"/>
      <c r="J344" s="163"/>
      <c r="K344" s="45"/>
      <c r="L344" s="46"/>
      <c r="M344" s="512"/>
      <c r="N344" s="57"/>
      <c r="O344" s="114" t="s">
        <v>17562</v>
      </c>
      <c r="P344" s="49"/>
      <c r="Q344" s="50"/>
      <c r="R344" s="115"/>
      <c r="S344" s="35"/>
      <c r="T344" s="12" t="s">
        <v>398</v>
      </c>
      <c r="U344" s="13">
        <v>0.4</v>
      </c>
      <c r="V344" s="57" t="s">
        <v>3575</v>
      </c>
      <c r="W344" s="208">
        <f>ROUND((ROUND((ROUND((_15_同援日４．５*(1+_15・A夜間)),0)*(1+_15・盲ろう)),0)*(1+_15・区４)),0)</f>
        <v>1800</v>
      </c>
      <c r="X344" s="48"/>
    </row>
    <row r="345" spans="1:24" ht="16.5" customHeight="1" x14ac:dyDescent="0.15">
      <c r="A345" s="41">
        <v>15</v>
      </c>
      <c r="B345" s="41">
        <v>8524</v>
      </c>
      <c r="C345" s="74" t="s">
        <v>18482</v>
      </c>
      <c r="D345" s="72"/>
      <c r="F345" s="57"/>
      <c r="G345" s="43"/>
      <c r="H345" s="37"/>
      <c r="I345" s="38"/>
      <c r="J345" s="299" t="s">
        <v>17556</v>
      </c>
      <c r="K345" s="45" t="s">
        <v>398</v>
      </c>
      <c r="L345" s="46">
        <v>1</v>
      </c>
      <c r="M345" s="512"/>
      <c r="N345" s="57"/>
      <c r="O345" s="92" t="s">
        <v>17564</v>
      </c>
      <c r="R345" s="57"/>
      <c r="S345" s="35"/>
      <c r="V345" s="57"/>
      <c r="W345" s="208">
        <f>ROUND((ROUND((ROUND((ROUND((_15_同援日４．５*_15・２人),0)*(1+_15・A夜間)),0)*(1+_15・盲ろう)),0)*(1+_15・区４)),0)</f>
        <v>1800</v>
      </c>
      <c r="X345" s="48"/>
    </row>
    <row r="346" spans="1:24" ht="16.5" customHeight="1" x14ac:dyDescent="0.15">
      <c r="A346" s="41">
        <v>15</v>
      </c>
      <c r="B346" s="41">
        <v>8525</v>
      </c>
      <c r="C346" s="74" t="s">
        <v>18483</v>
      </c>
      <c r="D346" s="72"/>
      <c r="F346" s="57"/>
      <c r="G346" s="114" t="s">
        <v>17558</v>
      </c>
      <c r="H346" s="49"/>
      <c r="I346" s="50"/>
      <c r="J346" s="163"/>
      <c r="K346" s="45"/>
      <c r="L346" s="46"/>
      <c r="M346" s="512"/>
      <c r="N346" s="57"/>
      <c r="O346" s="35"/>
      <c r="P346" s="12" t="s">
        <v>398</v>
      </c>
      <c r="Q346" s="13">
        <v>0.25</v>
      </c>
      <c r="R346" s="57" t="s">
        <v>3575</v>
      </c>
      <c r="S346" s="35"/>
      <c r="V346" s="57"/>
      <c r="W346" s="208">
        <f>ROUND((ROUND((ROUND((ROUND((_15_同援日４．５*_15・基礎２),0)*(1+_15・A夜間)),0)*(1+_15・盲ろう)),0)*(1+_15・区４)),0)</f>
        <v>1621</v>
      </c>
      <c r="X346" s="48"/>
    </row>
    <row r="347" spans="1:24" ht="16.5" customHeight="1" x14ac:dyDescent="0.15">
      <c r="A347" s="41">
        <v>15</v>
      </c>
      <c r="B347" s="41">
        <v>8526</v>
      </c>
      <c r="C347" s="74" t="s">
        <v>18484</v>
      </c>
      <c r="D347" s="122"/>
      <c r="E347" s="37"/>
      <c r="F347" s="79"/>
      <c r="G347" s="269" t="s">
        <v>17560</v>
      </c>
      <c r="H347" s="37" t="s">
        <v>398</v>
      </c>
      <c r="I347" s="38">
        <v>0.9</v>
      </c>
      <c r="J347" s="299" t="s">
        <v>17556</v>
      </c>
      <c r="K347" s="45" t="s">
        <v>398</v>
      </c>
      <c r="L347" s="46">
        <v>1</v>
      </c>
      <c r="M347" s="514"/>
      <c r="N347" s="79"/>
      <c r="O347" s="43"/>
      <c r="P347" s="37"/>
      <c r="Q347" s="38"/>
      <c r="R347" s="79"/>
      <c r="S347" s="43"/>
      <c r="T347" s="37"/>
      <c r="U347" s="38"/>
      <c r="V347" s="79"/>
      <c r="W347" s="208">
        <f>ROUND((ROUND((ROUND((ROUND((ROUND((_15_同援日４．５*_15・基礎２),0)*_15・２人),0)*(1+_15・A夜間)),0)*(1+_15・盲ろう)),0)*(1+_15・区４)),0)</f>
        <v>1621</v>
      </c>
      <c r="X347" s="63"/>
    </row>
    <row r="348" spans="1:24" ht="16.5" customHeight="1" x14ac:dyDescent="0.15"/>
    <row r="349" spans="1:24"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45" fitToHeight="0" orientation="portrait" r:id="rId1"/>
  <headerFooter>
    <oddHeader>&amp;R&amp;"ＭＳ Ｐゴシック"&amp;9同行援護</oddHeader>
    <oddFooter>&amp;C&amp;"ＭＳ Ｐゴシック"&amp;14&amp;P</oddFooter>
  </headerFooter>
  <rowBreaks count="3" manualBreakCount="3">
    <brk id="102" max="16383" man="1"/>
    <brk id="203" max="16383" man="1"/>
    <brk id="299"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3">
    <pageSetUpPr fitToPage="1"/>
  </sheetPr>
  <dimension ref="A1:X320"/>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13.125" style="10" bestFit="1" customWidth="1"/>
    <col min="5" max="5" width="5.5" style="12" bestFit="1" customWidth="1"/>
    <col min="6" max="6" width="4.875" style="12" bestFit="1" customWidth="1"/>
    <col min="7" max="7" width="16.5" style="12" customWidth="1"/>
    <col min="8" max="8" width="3.125" style="12" bestFit="1" customWidth="1"/>
    <col min="9" max="9" width="4.125" style="13" bestFit="1" customWidth="1"/>
    <col min="10" max="10" width="26.5" style="12" bestFit="1" customWidth="1"/>
    <col min="11" max="11" width="3.125" style="12" bestFit="1" customWidth="1"/>
    <col min="12" max="12" width="5" style="13" bestFit="1" customWidth="1"/>
    <col min="13" max="13" width="4.125" style="13" bestFit="1" customWidth="1"/>
    <col min="14" max="14" width="4.875" style="12" bestFit="1" customWidth="1"/>
    <col min="15" max="15" width="12.5" style="12" customWidth="1"/>
    <col min="16" max="16" width="3.125" style="12" bestFit="1" customWidth="1"/>
    <col min="17" max="17" width="4.125" style="13" bestFit="1" customWidth="1"/>
    <col min="18" max="18" width="4.875" style="12" bestFit="1" customWidth="1"/>
    <col min="19" max="19" width="10.5" style="12" customWidth="1"/>
    <col min="20" max="20" width="3.125" style="12" bestFit="1" customWidth="1"/>
    <col min="21" max="21" width="4.125" style="13" bestFit="1" customWidth="1"/>
    <col min="22" max="22" width="4.875" style="12" bestFit="1" customWidth="1"/>
    <col min="23" max="23" width="7.125" style="206" customWidth="1"/>
    <col min="24" max="24" width="8.5" style="16" customWidth="1"/>
    <col min="25" max="16384" width="9" style="12"/>
  </cols>
  <sheetData>
    <row r="1" spans="1:24" ht="17.100000000000001" customHeight="1" x14ac:dyDescent="0.15"/>
    <row r="2" spans="1:24" ht="17.100000000000001" customHeight="1" x14ac:dyDescent="0.15"/>
    <row r="3" spans="1:24" ht="17.100000000000001" customHeight="1" x14ac:dyDescent="0.15"/>
    <row r="4" spans="1:24" ht="17.100000000000001" customHeight="1" x14ac:dyDescent="0.15">
      <c r="B4" s="17" t="s">
        <v>18485</v>
      </c>
      <c r="D4" s="71"/>
    </row>
    <row r="5" spans="1:24" ht="16.5" customHeight="1" x14ac:dyDescent="0.15">
      <c r="A5" s="19" t="s">
        <v>384</v>
      </c>
      <c r="B5" s="20"/>
      <c r="C5" s="21" t="s">
        <v>385</v>
      </c>
      <c r="D5" s="23" t="s">
        <v>386</v>
      </c>
      <c r="E5" s="23"/>
      <c r="F5" s="23"/>
      <c r="G5" s="23"/>
      <c r="H5" s="23"/>
      <c r="I5" s="24"/>
      <c r="J5" s="23"/>
      <c r="K5" s="23"/>
      <c r="L5" s="24"/>
      <c r="M5" s="24"/>
      <c r="N5" s="23"/>
      <c r="O5" s="23"/>
      <c r="P5" s="23"/>
      <c r="Q5" s="24"/>
      <c r="R5" s="23"/>
      <c r="S5" s="23"/>
      <c r="T5" s="23"/>
      <c r="U5" s="24"/>
      <c r="V5" s="23"/>
      <c r="W5" s="21" t="s">
        <v>387</v>
      </c>
      <c r="X5" s="21" t="s">
        <v>388</v>
      </c>
    </row>
    <row r="6" spans="1:24" ht="16.5" customHeight="1" x14ac:dyDescent="0.15">
      <c r="A6" s="26" t="s">
        <v>389</v>
      </c>
      <c r="B6" s="26" t="s">
        <v>390</v>
      </c>
      <c r="C6" s="27"/>
      <c r="D6" s="29"/>
      <c r="E6" s="29"/>
      <c r="F6" s="29"/>
      <c r="G6" s="29"/>
      <c r="H6" s="29"/>
      <c r="I6" s="30"/>
      <c r="J6" s="29"/>
      <c r="K6" s="29"/>
      <c r="L6" s="30"/>
      <c r="M6" s="30"/>
      <c r="N6" s="29"/>
      <c r="O6" s="29"/>
      <c r="P6" s="29"/>
      <c r="Q6" s="30"/>
      <c r="R6" s="29"/>
      <c r="S6" s="29"/>
      <c r="T6" s="29"/>
      <c r="U6" s="30"/>
      <c r="V6" s="29"/>
      <c r="W6" s="32" t="s">
        <v>391</v>
      </c>
      <c r="X6" s="32" t="s">
        <v>392</v>
      </c>
    </row>
    <row r="7" spans="1:24" ht="16.5" customHeight="1" x14ac:dyDescent="0.15">
      <c r="A7" s="33">
        <v>15</v>
      </c>
      <c r="B7" s="33">
        <v>8527</v>
      </c>
      <c r="C7" s="34" t="s">
        <v>18486</v>
      </c>
      <c r="D7" s="72" t="s">
        <v>18487</v>
      </c>
      <c r="F7" s="57"/>
      <c r="G7" s="35"/>
      <c r="J7" s="43"/>
      <c r="K7" s="37"/>
      <c r="L7" s="38"/>
      <c r="M7" s="512"/>
      <c r="N7" s="57"/>
      <c r="O7" s="35"/>
      <c r="R7" s="57"/>
      <c r="S7" s="35"/>
      <c r="V7" s="57"/>
      <c r="W7" s="207">
        <f>ROUND((_15_同援日０．５*(1+_15・A深夜)),0)</f>
        <v>285</v>
      </c>
      <c r="X7" s="40" t="s">
        <v>395</v>
      </c>
    </row>
    <row r="8" spans="1:24" ht="16.5" customHeight="1" x14ac:dyDescent="0.15">
      <c r="A8" s="41">
        <v>15</v>
      </c>
      <c r="B8" s="41">
        <v>8528</v>
      </c>
      <c r="C8" s="74" t="s">
        <v>18488</v>
      </c>
      <c r="D8" s="72" t="s">
        <v>17555</v>
      </c>
      <c r="F8" s="57"/>
      <c r="G8" s="43"/>
      <c r="H8" s="37"/>
      <c r="I8" s="38"/>
      <c r="J8" s="299" t="s">
        <v>17556</v>
      </c>
      <c r="K8" s="45" t="s">
        <v>398</v>
      </c>
      <c r="L8" s="46">
        <v>1</v>
      </c>
      <c r="M8" s="512"/>
      <c r="N8" s="57"/>
      <c r="O8" s="35"/>
      <c r="R8" s="57"/>
      <c r="S8" s="35"/>
      <c r="V8" s="57"/>
      <c r="W8" s="208">
        <f>ROUND((ROUND((_15_同援日０．５*_15・２人),0)*(1+_15・A深夜)),0)</f>
        <v>285</v>
      </c>
      <c r="X8" s="48"/>
    </row>
    <row r="9" spans="1:24" ht="16.5" customHeight="1" x14ac:dyDescent="0.15">
      <c r="A9" s="41">
        <v>15</v>
      </c>
      <c r="B9" s="41">
        <v>8529</v>
      </c>
      <c r="C9" s="74" t="s">
        <v>18489</v>
      </c>
      <c r="D9" s="72"/>
      <c r="F9" s="57"/>
      <c r="G9" s="114" t="s">
        <v>17558</v>
      </c>
      <c r="H9" s="49"/>
      <c r="I9" s="50"/>
      <c r="J9" s="163"/>
      <c r="K9" s="45"/>
      <c r="L9" s="46"/>
      <c r="M9" s="512"/>
      <c r="N9" s="57"/>
      <c r="O9" s="35"/>
      <c r="R9" s="57"/>
      <c r="S9" s="35"/>
      <c r="V9" s="57"/>
      <c r="W9" s="208">
        <f>ROUND((ROUND((_15_同援日０．５*_15・基礎２),0)*(1+_15・A深夜)),0)</f>
        <v>257</v>
      </c>
      <c r="X9" s="48"/>
    </row>
    <row r="10" spans="1:24" ht="16.5" customHeight="1" x14ac:dyDescent="0.15">
      <c r="A10" s="41">
        <v>15</v>
      </c>
      <c r="B10" s="41">
        <v>8530</v>
      </c>
      <c r="C10" s="74" t="s">
        <v>18490</v>
      </c>
      <c r="D10" s="72"/>
      <c r="E10" s="168">
        <f>_15_同援日０．５</f>
        <v>190</v>
      </c>
      <c r="F10" s="57" t="s">
        <v>392</v>
      </c>
      <c r="G10" s="269" t="s">
        <v>17560</v>
      </c>
      <c r="H10" s="37" t="s">
        <v>398</v>
      </c>
      <c r="I10" s="38">
        <v>0.9</v>
      </c>
      <c r="J10" s="299" t="s">
        <v>17556</v>
      </c>
      <c r="K10" s="45" t="s">
        <v>398</v>
      </c>
      <c r="L10" s="46">
        <v>1</v>
      </c>
      <c r="M10" s="512"/>
      <c r="N10" s="57"/>
      <c r="O10" s="43"/>
      <c r="P10" s="37"/>
      <c r="Q10" s="38"/>
      <c r="R10" s="79"/>
      <c r="S10" s="35"/>
      <c r="V10" s="57"/>
      <c r="W10" s="208">
        <f>ROUND((ROUND((ROUND((_15_同援日０．５*_15・基礎２),0)*_15・２人),0)*(1+_15・A深夜)),0)</f>
        <v>257</v>
      </c>
      <c r="X10" s="48"/>
    </row>
    <row r="11" spans="1:24" ht="16.5" customHeight="1" x14ac:dyDescent="0.15">
      <c r="A11" s="41">
        <v>15</v>
      </c>
      <c r="B11" s="41">
        <v>8531</v>
      </c>
      <c r="C11" s="74" t="s">
        <v>18491</v>
      </c>
      <c r="D11" s="72"/>
      <c r="F11" s="57"/>
      <c r="G11" s="53"/>
      <c r="H11" s="49"/>
      <c r="I11" s="50"/>
      <c r="J11" s="163"/>
      <c r="K11" s="45"/>
      <c r="L11" s="46"/>
      <c r="M11" s="512"/>
      <c r="N11" s="57"/>
      <c r="O11" s="114" t="s">
        <v>17562</v>
      </c>
      <c r="P11" s="49"/>
      <c r="Q11" s="50"/>
      <c r="R11" s="115"/>
      <c r="S11" s="35"/>
      <c r="V11" s="57"/>
      <c r="W11" s="208">
        <f>ROUND((ROUND((_15_同援日０．５*(1+_15・A深夜)),0)*(1+_15・盲ろう)),0)</f>
        <v>356</v>
      </c>
      <c r="X11" s="48"/>
    </row>
    <row r="12" spans="1:24" ht="16.5" customHeight="1" x14ac:dyDescent="0.15">
      <c r="A12" s="41">
        <v>15</v>
      </c>
      <c r="B12" s="41">
        <v>8532</v>
      </c>
      <c r="C12" s="74" t="s">
        <v>18492</v>
      </c>
      <c r="D12" s="72"/>
      <c r="F12" s="57"/>
      <c r="G12" s="43"/>
      <c r="H12" s="37"/>
      <c r="I12" s="38"/>
      <c r="J12" s="299" t="s">
        <v>17556</v>
      </c>
      <c r="K12" s="45" t="s">
        <v>398</v>
      </c>
      <c r="L12" s="46">
        <v>1</v>
      </c>
      <c r="M12" s="512" t="s">
        <v>18493</v>
      </c>
      <c r="N12" s="57"/>
      <c r="O12" s="92" t="s">
        <v>17564</v>
      </c>
      <c r="R12" s="57"/>
      <c r="S12" s="35"/>
      <c r="V12" s="57"/>
      <c r="W12" s="208">
        <f>ROUND((ROUND((ROUND((_15_同援日０．５*_15・２人),0)*(1+_15・A深夜)),0)*(1+_15・盲ろう)),0)</f>
        <v>356</v>
      </c>
      <c r="X12" s="48"/>
    </row>
    <row r="13" spans="1:24" ht="16.5" customHeight="1" x14ac:dyDescent="0.15">
      <c r="A13" s="41">
        <v>15</v>
      </c>
      <c r="B13" s="41">
        <v>8533</v>
      </c>
      <c r="C13" s="74" t="s">
        <v>18494</v>
      </c>
      <c r="D13" s="72"/>
      <c r="F13" s="57"/>
      <c r="G13" s="114" t="s">
        <v>17558</v>
      </c>
      <c r="H13" s="49"/>
      <c r="I13" s="50"/>
      <c r="J13" s="163"/>
      <c r="K13" s="45"/>
      <c r="L13" s="46"/>
      <c r="M13" s="512"/>
      <c r="N13" s="513" t="s">
        <v>18136</v>
      </c>
      <c r="O13" s="35"/>
      <c r="P13" s="12" t="s">
        <v>398</v>
      </c>
      <c r="Q13" s="13">
        <v>0.25</v>
      </c>
      <c r="R13" s="57" t="s">
        <v>3575</v>
      </c>
      <c r="S13" s="35"/>
      <c r="V13" s="57"/>
      <c r="W13" s="208">
        <f>ROUND((ROUND((ROUND((_15_同援日０．５*_15・基礎２),0)*(1+_15・A深夜)),0)*(1+_15・盲ろう)),0)</f>
        <v>321</v>
      </c>
      <c r="X13" s="48"/>
    </row>
    <row r="14" spans="1:24" ht="16.5" customHeight="1" x14ac:dyDescent="0.15">
      <c r="A14" s="41">
        <v>15</v>
      </c>
      <c r="B14" s="41">
        <v>8534</v>
      </c>
      <c r="C14" s="74" t="s">
        <v>18495</v>
      </c>
      <c r="D14" s="72"/>
      <c r="F14" s="57"/>
      <c r="G14" s="269" t="s">
        <v>17560</v>
      </c>
      <c r="H14" s="37" t="s">
        <v>398</v>
      </c>
      <c r="I14" s="38">
        <v>0.9</v>
      </c>
      <c r="J14" s="299" t="s">
        <v>17556</v>
      </c>
      <c r="K14" s="45" t="s">
        <v>398</v>
      </c>
      <c r="L14" s="46">
        <v>1</v>
      </c>
      <c r="M14" s="512"/>
      <c r="N14" s="57"/>
      <c r="O14" s="43"/>
      <c r="P14" s="37"/>
      <c r="Q14" s="38"/>
      <c r="R14" s="79"/>
      <c r="S14" s="43"/>
      <c r="T14" s="37"/>
      <c r="U14" s="38"/>
      <c r="V14" s="79"/>
      <c r="W14" s="208">
        <f>ROUND((ROUND((ROUND((ROUND((_15_同援日０．５*_15・基礎２),0)*_15・２人),0)*(1+_15・A深夜)),0)*(1+_15・盲ろう)),0)</f>
        <v>321</v>
      </c>
      <c r="X14" s="48"/>
    </row>
    <row r="15" spans="1:24" ht="16.5" customHeight="1" x14ac:dyDescent="0.15">
      <c r="A15" s="41">
        <v>15</v>
      </c>
      <c r="B15" s="41">
        <v>8535</v>
      </c>
      <c r="C15" s="74" t="s">
        <v>18496</v>
      </c>
      <c r="D15" s="72"/>
      <c r="F15" s="57"/>
      <c r="G15" s="53"/>
      <c r="H15" s="49"/>
      <c r="I15" s="50"/>
      <c r="J15" s="163"/>
      <c r="K15" s="45"/>
      <c r="L15" s="46"/>
      <c r="M15" s="35" t="s">
        <v>398</v>
      </c>
      <c r="N15" s="234">
        <v>0.5</v>
      </c>
      <c r="O15" s="53"/>
      <c r="P15" s="49"/>
      <c r="Q15" s="50"/>
      <c r="R15" s="115"/>
      <c r="S15" s="53"/>
      <c r="T15" s="49"/>
      <c r="U15" s="50"/>
      <c r="V15" s="115"/>
      <c r="W15" s="208">
        <f>ROUND((ROUND((_15_同援日０．５*(1+_15・A深夜)),0)*(1+_15・区３)),0)</f>
        <v>342</v>
      </c>
      <c r="X15" s="48"/>
    </row>
    <row r="16" spans="1:24" ht="16.5" customHeight="1" x14ac:dyDescent="0.15">
      <c r="A16" s="41">
        <v>15</v>
      </c>
      <c r="B16" s="41">
        <v>8536</v>
      </c>
      <c r="C16" s="74" t="s">
        <v>18497</v>
      </c>
      <c r="D16" s="72"/>
      <c r="F16" s="57"/>
      <c r="G16" s="43"/>
      <c r="H16" s="37"/>
      <c r="I16" s="38"/>
      <c r="J16" s="299" t="s">
        <v>17556</v>
      </c>
      <c r="K16" s="45" t="s">
        <v>398</v>
      </c>
      <c r="L16" s="46">
        <v>1</v>
      </c>
      <c r="M16" s="512"/>
      <c r="N16" s="513" t="s">
        <v>3575</v>
      </c>
      <c r="O16" s="35"/>
      <c r="R16" s="57"/>
      <c r="S16" s="35"/>
      <c r="V16" s="57"/>
      <c r="W16" s="208">
        <f>ROUND((ROUND((ROUND((_15_同援日０．５*_15・２人),0)*(1+_15・A深夜)),0)*(1+_15・区３)),0)</f>
        <v>342</v>
      </c>
      <c r="X16" s="48"/>
    </row>
    <row r="17" spans="1:24" ht="16.5" customHeight="1" x14ac:dyDescent="0.15">
      <c r="A17" s="41">
        <v>15</v>
      </c>
      <c r="B17" s="41">
        <v>8537</v>
      </c>
      <c r="C17" s="74" t="s">
        <v>18498</v>
      </c>
      <c r="D17" s="72"/>
      <c r="F17" s="57"/>
      <c r="G17" s="114" t="s">
        <v>17558</v>
      </c>
      <c r="H17" s="49"/>
      <c r="I17" s="50"/>
      <c r="J17" s="163"/>
      <c r="K17" s="45"/>
      <c r="L17" s="46"/>
      <c r="M17" s="512"/>
      <c r="N17" s="57"/>
      <c r="O17" s="35"/>
      <c r="R17" s="57"/>
      <c r="S17" s="72" t="s">
        <v>17570</v>
      </c>
      <c r="V17" s="57"/>
      <c r="W17" s="208">
        <f>ROUND((ROUND((ROUND((_15_同援日０．５*_15・基礎２),0)*(1+_15・A深夜)),0)*(1+_15・区３)),0)</f>
        <v>308</v>
      </c>
      <c r="X17" s="48"/>
    </row>
    <row r="18" spans="1:24" ht="16.5" customHeight="1" x14ac:dyDescent="0.15">
      <c r="A18" s="41">
        <v>15</v>
      </c>
      <c r="B18" s="41">
        <v>8538</v>
      </c>
      <c r="C18" s="74" t="s">
        <v>18499</v>
      </c>
      <c r="D18" s="72"/>
      <c r="F18" s="57"/>
      <c r="G18" s="269" t="s">
        <v>17560</v>
      </c>
      <c r="H18" s="37" t="s">
        <v>398</v>
      </c>
      <c r="I18" s="38">
        <v>0.9</v>
      </c>
      <c r="J18" s="299" t="s">
        <v>17556</v>
      </c>
      <c r="K18" s="45" t="s">
        <v>398</v>
      </c>
      <c r="L18" s="46">
        <v>1</v>
      </c>
      <c r="M18" s="512"/>
      <c r="N18" s="57"/>
      <c r="O18" s="43"/>
      <c r="P18" s="37"/>
      <c r="Q18" s="38"/>
      <c r="R18" s="79"/>
      <c r="S18" s="72" t="s">
        <v>17572</v>
      </c>
      <c r="V18" s="57"/>
      <c r="W18" s="208">
        <f>ROUND((ROUND((ROUND((ROUND((_15_同援日０．５*_15・基礎２),0)*_15・２人),0)*(1+_15・A深夜)),0)*(1+_15・区３)),0)</f>
        <v>308</v>
      </c>
      <c r="X18" s="48"/>
    </row>
    <row r="19" spans="1:24" ht="16.5" customHeight="1" x14ac:dyDescent="0.15">
      <c r="A19" s="41">
        <v>15</v>
      </c>
      <c r="B19" s="41">
        <v>8539</v>
      </c>
      <c r="C19" s="74" t="s">
        <v>18500</v>
      </c>
      <c r="D19" s="72"/>
      <c r="F19" s="57"/>
      <c r="G19" s="53"/>
      <c r="H19" s="49"/>
      <c r="I19" s="50"/>
      <c r="J19" s="163"/>
      <c r="K19" s="45"/>
      <c r="L19" s="46"/>
      <c r="M19" s="512"/>
      <c r="N19" s="57"/>
      <c r="O19" s="114" t="s">
        <v>17562</v>
      </c>
      <c r="P19" s="49"/>
      <c r="Q19" s="50"/>
      <c r="R19" s="115"/>
      <c r="S19" s="35"/>
      <c r="T19" s="12" t="s">
        <v>398</v>
      </c>
      <c r="U19" s="13">
        <v>0.2</v>
      </c>
      <c r="V19" s="57" t="s">
        <v>3575</v>
      </c>
      <c r="W19" s="208">
        <f>ROUND((ROUND((ROUND((_15_同援日０．５*(1+_15・A深夜)),0)*(1+_15・盲ろう)),0)*(1+_15・区３)),0)</f>
        <v>427</v>
      </c>
      <c r="X19" s="48"/>
    </row>
    <row r="20" spans="1:24" ht="16.5" customHeight="1" x14ac:dyDescent="0.15">
      <c r="A20" s="41">
        <v>15</v>
      </c>
      <c r="B20" s="41">
        <v>8540</v>
      </c>
      <c r="C20" s="74" t="s">
        <v>18501</v>
      </c>
      <c r="D20" s="72"/>
      <c r="F20" s="57"/>
      <c r="G20" s="43"/>
      <c r="H20" s="37"/>
      <c r="I20" s="38"/>
      <c r="J20" s="299" t="s">
        <v>17556</v>
      </c>
      <c r="K20" s="45" t="s">
        <v>398</v>
      </c>
      <c r="L20" s="46">
        <v>1</v>
      </c>
      <c r="M20" s="512"/>
      <c r="N20" s="57"/>
      <c r="O20" s="92" t="s">
        <v>17564</v>
      </c>
      <c r="R20" s="57"/>
      <c r="S20" s="35"/>
      <c r="V20" s="57"/>
      <c r="W20" s="208">
        <f>ROUND((ROUND((ROUND((ROUND((_15_同援日０．５*_15・２人),0)*(1+_15・A深夜)),0)*(1+_15・盲ろう)),0)*(1+_15・区３)),0)</f>
        <v>427</v>
      </c>
      <c r="X20" s="48"/>
    </row>
    <row r="21" spans="1:24" ht="16.5" customHeight="1" x14ac:dyDescent="0.15">
      <c r="A21" s="41">
        <v>15</v>
      </c>
      <c r="B21" s="41">
        <v>8541</v>
      </c>
      <c r="C21" s="74" t="s">
        <v>18502</v>
      </c>
      <c r="D21" s="72"/>
      <c r="F21" s="57"/>
      <c r="G21" s="114" t="s">
        <v>17558</v>
      </c>
      <c r="H21" s="49"/>
      <c r="I21" s="50"/>
      <c r="J21" s="163"/>
      <c r="K21" s="45"/>
      <c r="L21" s="46"/>
      <c r="M21" s="512"/>
      <c r="N21" s="57"/>
      <c r="O21" s="35"/>
      <c r="P21" s="12" t="s">
        <v>398</v>
      </c>
      <c r="Q21" s="13">
        <v>0.25</v>
      </c>
      <c r="R21" s="57" t="s">
        <v>3575</v>
      </c>
      <c r="S21" s="35"/>
      <c r="V21" s="57"/>
      <c r="W21" s="208">
        <f>ROUND((ROUND((ROUND((ROUND((_15_同援日０．５*_15・基礎２),0)*(1+_15・A深夜)),0)*(1+_15・盲ろう)),0)*(1+_15・区３)),0)</f>
        <v>385</v>
      </c>
      <c r="X21" s="48"/>
    </row>
    <row r="22" spans="1:24" ht="16.5" customHeight="1" x14ac:dyDescent="0.15">
      <c r="A22" s="41">
        <v>15</v>
      </c>
      <c r="B22" s="41">
        <v>8542</v>
      </c>
      <c r="C22" s="74" t="s">
        <v>18503</v>
      </c>
      <c r="D22" s="72"/>
      <c r="F22" s="57"/>
      <c r="G22" s="269" t="s">
        <v>17560</v>
      </c>
      <c r="H22" s="37" t="s">
        <v>398</v>
      </c>
      <c r="I22" s="38">
        <v>0.9</v>
      </c>
      <c r="J22" s="299" t="s">
        <v>17556</v>
      </c>
      <c r="K22" s="45" t="s">
        <v>398</v>
      </c>
      <c r="L22" s="46">
        <v>1</v>
      </c>
      <c r="M22" s="512"/>
      <c r="N22" s="57"/>
      <c r="O22" s="43"/>
      <c r="P22" s="37"/>
      <c r="Q22" s="38"/>
      <c r="R22" s="79"/>
      <c r="S22" s="43"/>
      <c r="T22" s="37"/>
      <c r="U22" s="38"/>
      <c r="V22" s="79"/>
      <c r="W22" s="208">
        <f>ROUND((ROUND((ROUND((ROUND((ROUND((_15_同援日０．５*_15・基礎２),0)*_15・２人),0)*(1+_15・A深夜)),0)*(1+_15・盲ろう)),0)*(1+_15・区３)),0)</f>
        <v>385</v>
      </c>
      <c r="X22" s="48"/>
    </row>
    <row r="23" spans="1:24" ht="16.5" customHeight="1" x14ac:dyDescent="0.15">
      <c r="A23" s="41">
        <v>15</v>
      </c>
      <c r="B23" s="41">
        <v>8543</v>
      </c>
      <c r="C23" s="74" t="s">
        <v>18504</v>
      </c>
      <c r="D23" s="72"/>
      <c r="F23" s="57"/>
      <c r="G23" s="53"/>
      <c r="H23" s="49"/>
      <c r="I23" s="50"/>
      <c r="J23" s="163"/>
      <c r="K23" s="45"/>
      <c r="L23" s="46"/>
      <c r="M23" s="512"/>
      <c r="N23" s="57"/>
      <c r="O23" s="53"/>
      <c r="P23" s="49"/>
      <c r="Q23" s="50"/>
      <c r="R23" s="115"/>
      <c r="S23" s="53"/>
      <c r="T23" s="49"/>
      <c r="U23" s="50"/>
      <c r="V23" s="115"/>
      <c r="W23" s="208">
        <f>ROUND((ROUND((_15_同援日０．５*(1+_15・A深夜)),0)*(1+_15・区４)),0)</f>
        <v>399</v>
      </c>
      <c r="X23" s="48"/>
    </row>
    <row r="24" spans="1:24" ht="16.5" customHeight="1" x14ac:dyDescent="0.15">
      <c r="A24" s="41">
        <v>15</v>
      </c>
      <c r="B24" s="41">
        <v>8544</v>
      </c>
      <c r="C24" s="74" t="s">
        <v>18505</v>
      </c>
      <c r="D24" s="72"/>
      <c r="F24" s="57"/>
      <c r="G24" s="43"/>
      <c r="H24" s="37"/>
      <c r="I24" s="38"/>
      <c r="J24" s="299" t="s">
        <v>17556</v>
      </c>
      <c r="K24" s="45" t="s">
        <v>398</v>
      </c>
      <c r="L24" s="46">
        <v>1</v>
      </c>
      <c r="M24" s="512"/>
      <c r="N24" s="57"/>
      <c r="O24" s="35"/>
      <c r="R24" s="57"/>
      <c r="S24" s="35"/>
      <c r="V24" s="57"/>
      <c r="W24" s="208">
        <f>ROUND((ROUND((ROUND((_15_同援日０．５*_15・２人),0)*(1+_15・A深夜)),0)*(1+_15・区４)),0)</f>
        <v>399</v>
      </c>
      <c r="X24" s="48"/>
    </row>
    <row r="25" spans="1:24" ht="16.5" customHeight="1" x14ac:dyDescent="0.15">
      <c r="A25" s="41">
        <v>15</v>
      </c>
      <c r="B25" s="41">
        <v>8545</v>
      </c>
      <c r="C25" s="74" t="s">
        <v>18506</v>
      </c>
      <c r="D25" s="72"/>
      <c r="F25" s="57"/>
      <c r="G25" s="114" t="s">
        <v>17558</v>
      </c>
      <c r="H25" s="49"/>
      <c r="I25" s="50"/>
      <c r="J25" s="163"/>
      <c r="K25" s="45"/>
      <c r="L25" s="46"/>
      <c r="M25" s="512"/>
      <c r="N25" s="57"/>
      <c r="O25" s="35"/>
      <c r="R25" s="57"/>
      <c r="S25" s="72" t="s">
        <v>17580</v>
      </c>
      <c r="V25" s="57"/>
      <c r="W25" s="208">
        <f>ROUND((ROUND((ROUND((_15_同援日０．５*_15・基礎２),0)*(1+_15・A深夜)),0)*(1+_15・区４)),0)</f>
        <v>360</v>
      </c>
      <c r="X25" s="48"/>
    </row>
    <row r="26" spans="1:24" ht="16.5" customHeight="1" x14ac:dyDescent="0.15">
      <c r="A26" s="41">
        <v>15</v>
      </c>
      <c r="B26" s="41">
        <v>8546</v>
      </c>
      <c r="C26" s="74" t="s">
        <v>18507</v>
      </c>
      <c r="D26" s="72"/>
      <c r="F26" s="57"/>
      <c r="G26" s="269" t="s">
        <v>17560</v>
      </c>
      <c r="H26" s="37" t="s">
        <v>398</v>
      </c>
      <c r="I26" s="38">
        <v>0.9</v>
      </c>
      <c r="J26" s="299" t="s">
        <v>17556</v>
      </c>
      <c r="K26" s="45" t="s">
        <v>398</v>
      </c>
      <c r="L26" s="46">
        <v>1</v>
      </c>
      <c r="M26" s="512"/>
      <c r="N26" s="57"/>
      <c r="O26" s="43"/>
      <c r="P26" s="37"/>
      <c r="Q26" s="38"/>
      <c r="R26" s="79"/>
      <c r="S26" s="72" t="s">
        <v>17572</v>
      </c>
      <c r="V26" s="57"/>
      <c r="W26" s="208">
        <f>ROUND((ROUND((ROUND((ROUND((_15_同援日０．５*_15・基礎２),0)*_15・２人),0)*(1+_15・A深夜)),0)*(1+_15・区４)),0)</f>
        <v>360</v>
      </c>
      <c r="X26" s="48"/>
    </row>
    <row r="27" spans="1:24" ht="16.5" customHeight="1" x14ac:dyDescent="0.15">
      <c r="A27" s="41">
        <v>15</v>
      </c>
      <c r="B27" s="41">
        <v>8547</v>
      </c>
      <c r="C27" s="74" t="s">
        <v>18508</v>
      </c>
      <c r="D27" s="72"/>
      <c r="F27" s="57"/>
      <c r="G27" s="53"/>
      <c r="H27" s="49"/>
      <c r="I27" s="50"/>
      <c r="J27" s="163"/>
      <c r="K27" s="45"/>
      <c r="L27" s="46"/>
      <c r="M27" s="512"/>
      <c r="N27" s="57"/>
      <c r="O27" s="114" t="s">
        <v>17562</v>
      </c>
      <c r="P27" s="49"/>
      <c r="Q27" s="50"/>
      <c r="R27" s="115"/>
      <c r="S27" s="35"/>
      <c r="T27" s="12" t="s">
        <v>398</v>
      </c>
      <c r="U27" s="13">
        <v>0.4</v>
      </c>
      <c r="V27" s="57" t="s">
        <v>3575</v>
      </c>
      <c r="W27" s="208">
        <f>ROUND((ROUND((ROUND((_15_同援日０．５*(1+_15・A深夜)),0)*(1+_15・盲ろう)),0)*(1+_15・区４)),0)</f>
        <v>498</v>
      </c>
      <c r="X27" s="48"/>
    </row>
    <row r="28" spans="1:24" ht="16.5" customHeight="1" x14ac:dyDescent="0.15">
      <c r="A28" s="41">
        <v>15</v>
      </c>
      <c r="B28" s="41">
        <v>8548</v>
      </c>
      <c r="C28" s="74" t="s">
        <v>18509</v>
      </c>
      <c r="D28" s="72"/>
      <c r="F28" s="57"/>
      <c r="G28" s="43"/>
      <c r="H28" s="37"/>
      <c r="I28" s="38"/>
      <c r="J28" s="299" t="s">
        <v>17556</v>
      </c>
      <c r="K28" s="45" t="s">
        <v>398</v>
      </c>
      <c r="L28" s="46">
        <v>1</v>
      </c>
      <c r="M28" s="512"/>
      <c r="N28" s="57"/>
      <c r="O28" s="92" t="s">
        <v>17564</v>
      </c>
      <c r="R28" s="57"/>
      <c r="S28" s="35"/>
      <c r="V28" s="57"/>
      <c r="W28" s="208">
        <f>ROUND((ROUND((ROUND((ROUND((_15_同援日０．５*_15・２人),0)*(1+_15・A深夜)),0)*(1+_15・盲ろう)),0)*(1+_15・区４)),0)</f>
        <v>498</v>
      </c>
      <c r="X28" s="48"/>
    </row>
    <row r="29" spans="1:24" ht="16.5" customHeight="1" x14ac:dyDescent="0.15">
      <c r="A29" s="41">
        <v>15</v>
      </c>
      <c r="B29" s="41">
        <v>8549</v>
      </c>
      <c r="C29" s="74" t="s">
        <v>18510</v>
      </c>
      <c r="D29" s="72"/>
      <c r="F29" s="57"/>
      <c r="G29" s="114" t="s">
        <v>17558</v>
      </c>
      <c r="H29" s="49"/>
      <c r="I29" s="50"/>
      <c r="J29" s="163"/>
      <c r="K29" s="45"/>
      <c r="L29" s="46"/>
      <c r="M29" s="512"/>
      <c r="N29" s="57"/>
      <c r="O29" s="35"/>
      <c r="P29" s="12" t="s">
        <v>398</v>
      </c>
      <c r="Q29" s="13">
        <v>0.25</v>
      </c>
      <c r="R29" s="57" t="s">
        <v>3575</v>
      </c>
      <c r="S29" s="35"/>
      <c r="V29" s="57"/>
      <c r="W29" s="208">
        <f>ROUND((ROUND((ROUND((ROUND((_15_同援日０．５*_15・基礎２),0)*(1+_15・A深夜)),0)*(1+_15・盲ろう)),0)*(1+_15・区４)),0)</f>
        <v>449</v>
      </c>
      <c r="X29" s="48"/>
    </row>
    <row r="30" spans="1:24" ht="16.5" customHeight="1" x14ac:dyDescent="0.15">
      <c r="A30" s="41">
        <v>15</v>
      </c>
      <c r="B30" s="41">
        <v>8550</v>
      </c>
      <c r="C30" s="74" t="s">
        <v>18511</v>
      </c>
      <c r="D30" s="122"/>
      <c r="E30" s="37"/>
      <c r="F30" s="79"/>
      <c r="G30" s="269" t="s">
        <v>17560</v>
      </c>
      <c r="H30" s="37" t="s">
        <v>398</v>
      </c>
      <c r="I30" s="38">
        <v>0.9</v>
      </c>
      <c r="J30" s="299" t="s">
        <v>17556</v>
      </c>
      <c r="K30" s="45" t="s">
        <v>398</v>
      </c>
      <c r="L30" s="46">
        <v>1</v>
      </c>
      <c r="M30" s="512"/>
      <c r="N30" s="57"/>
      <c r="O30" s="43"/>
      <c r="P30" s="37"/>
      <c r="Q30" s="38"/>
      <c r="R30" s="79"/>
      <c r="S30" s="43"/>
      <c r="T30" s="37"/>
      <c r="U30" s="38"/>
      <c r="V30" s="79"/>
      <c r="W30" s="208">
        <f>ROUND((ROUND((ROUND((ROUND((ROUND((_15_同援日０．５*_15・基礎２),0)*_15・２人),0)*(1+_15・A深夜)),0)*(1+_15・盲ろう)),0)*(1+_15・区４)),0)</f>
        <v>449</v>
      </c>
      <c r="X30" s="48"/>
    </row>
    <row r="31" spans="1:24" ht="16.5" customHeight="1" x14ac:dyDescent="0.15">
      <c r="A31" s="41">
        <v>15</v>
      </c>
      <c r="B31" s="41">
        <v>8551</v>
      </c>
      <c r="C31" s="74" t="s">
        <v>18512</v>
      </c>
      <c r="D31" s="114" t="s">
        <v>18513</v>
      </c>
      <c r="E31" s="49"/>
      <c r="F31" s="115"/>
      <c r="G31" s="53"/>
      <c r="H31" s="49"/>
      <c r="I31" s="50"/>
      <c r="J31" s="163"/>
      <c r="K31" s="45"/>
      <c r="L31" s="46"/>
      <c r="M31" s="512"/>
      <c r="N31" s="57"/>
      <c r="O31" s="53"/>
      <c r="P31" s="49"/>
      <c r="Q31" s="50"/>
      <c r="R31" s="115"/>
      <c r="S31" s="53"/>
      <c r="T31" s="49"/>
      <c r="U31" s="50"/>
      <c r="V31" s="115"/>
      <c r="W31" s="208">
        <f>ROUND((_15_同援日１．０*(1+_15・A深夜)),0)</f>
        <v>450</v>
      </c>
      <c r="X31" s="48"/>
    </row>
    <row r="32" spans="1:24" ht="16.5" customHeight="1" x14ac:dyDescent="0.15">
      <c r="A32" s="41">
        <v>15</v>
      </c>
      <c r="B32" s="41">
        <v>8552</v>
      </c>
      <c r="C32" s="74" t="s">
        <v>18514</v>
      </c>
      <c r="D32" s="72" t="s">
        <v>17589</v>
      </c>
      <c r="F32" s="57"/>
      <c r="G32" s="43"/>
      <c r="H32" s="37"/>
      <c r="I32" s="38"/>
      <c r="J32" s="299" t="s">
        <v>17556</v>
      </c>
      <c r="K32" s="45" t="s">
        <v>398</v>
      </c>
      <c r="L32" s="46">
        <v>1</v>
      </c>
      <c r="M32" s="512"/>
      <c r="N32" s="57"/>
      <c r="O32" s="35"/>
      <c r="R32" s="57"/>
      <c r="S32" s="35"/>
      <c r="V32" s="57"/>
      <c r="W32" s="208">
        <f>ROUND((ROUND((_15_同援日１．０*_15・２人),0)*(1+_15・A深夜)),0)</f>
        <v>450</v>
      </c>
      <c r="X32" s="48"/>
    </row>
    <row r="33" spans="1:24" ht="16.5" customHeight="1" x14ac:dyDescent="0.15">
      <c r="A33" s="41">
        <v>15</v>
      </c>
      <c r="B33" s="41">
        <v>8553</v>
      </c>
      <c r="C33" s="74" t="s">
        <v>18515</v>
      </c>
      <c r="D33" s="72" t="s">
        <v>17591</v>
      </c>
      <c r="F33" s="57"/>
      <c r="G33" s="114" t="s">
        <v>17558</v>
      </c>
      <c r="H33" s="49"/>
      <c r="I33" s="50"/>
      <c r="J33" s="163"/>
      <c r="K33" s="45"/>
      <c r="L33" s="46"/>
      <c r="M33" s="512"/>
      <c r="N33" s="57"/>
      <c r="O33" s="35"/>
      <c r="R33" s="57"/>
      <c r="S33" s="35"/>
      <c r="V33" s="57"/>
      <c r="W33" s="208">
        <f>ROUND((ROUND((_15_同援日１．０*_15・基礎２),0)*(1+_15・A深夜)),0)</f>
        <v>405</v>
      </c>
      <c r="X33" s="48"/>
    </row>
    <row r="34" spans="1:24" ht="16.5" customHeight="1" x14ac:dyDescent="0.15">
      <c r="A34" s="41">
        <v>15</v>
      </c>
      <c r="B34" s="41">
        <v>8554</v>
      </c>
      <c r="C34" s="74" t="s">
        <v>18516</v>
      </c>
      <c r="D34" s="72"/>
      <c r="E34" s="168">
        <f>_15_同援日１．０</f>
        <v>300</v>
      </c>
      <c r="F34" s="57" t="s">
        <v>392</v>
      </c>
      <c r="G34" s="269" t="s">
        <v>17560</v>
      </c>
      <c r="H34" s="37" t="s">
        <v>398</v>
      </c>
      <c r="I34" s="38">
        <v>0.9</v>
      </c>
      <c r="J34" s="299" t="s">
        <v>17556</v>
      </c>
      <c r="K34" s="45" t="s">
        <v>398</v>
      </c>
      <c r="L34" s="46">
        <v>1</v>
      </c>
      <c r="M34" s="512"/>
      <c r="N34" s="57"/>
      <c r="O34" s="43"/>
      <c r="P34" s="37"/>
      <c r="Q34" s="38"/>
      <c r="R34" s="79"/>
      <c r="S34" s="35"/>
      <c r="V34" s="57"/>
      <c r="W34" s="208">
        <f>ROUND((ROUND((ROUND((_15_同援日１．０*_15・基礎２),0)*_15・２人),0)*(1+_15・A深夜)),0)</f>
        <v>405</v>
      </c>
      <c r="X34" s="48"/>
    </row>
    <row r="35" spans="1:24" ht="16.5" customHeight="1" x14ac:dyDescent="0.15">
      <c r="A35" s="41">
        <v>15</v>
      </c>
      <c r="B35" s="41">
        <v>8555</v>
      </c>
      <c r="C35" s="74" t="s">
        <v>18517</v>
      </c>
      <c r="D35" s="72"/>
      <c r="F35" s="57"/>
      <c r="G35" s="53"/>
      <c r="H35" s="49"/>
      <c r="I35" s="50"/>
      <c r="J35" s="163"/>
      <c r="K35" s="45"/>
      <c r="L35" s="46"/>
      <c r="M35" s="512"/>
      <c r="N35" s="57"/>
      <c r="O35" s="114" t="s">
        <v>17562</v>
      </c>
      <c r="P35" s="49"/>
      <c r="Q35" s="50"/>
      <c r="R35" s="115"/>
      <c r="S35" s="35"/>
      <c r="V35" s="57"/>
      <c r="W35" s="208">
        <f>ROUND((ROUND((_15_同援日１．０*(1+_15・A深夜)),0)*(1+_15・盲ろう)),0)</f>
        <v>563</v>
      </c>
      <c r="X35" s="48"/>
    </row>
    <row r="36" spans="1:24" ht="16.5" customHeight="1" x14ac:dyDescent="0.15">
      <c r="A36" s="41">
        <v>15</v>
      </c>
      <c r="B36" s="41">
        <v>8556</v>
      </c>
      <c r="C36" s="74" t="s">
        <v>18518</v>
      </c>
      <c r="D36" s="72"/>
      <c r="F36" s="57"/>
      <c r="G36" s="43"/>
      <c r="H36" s="37"/>
      <c r="I36" s="38"/>
      <c r="J36" s="299" t="s">
        <v>17556</v>
      </c>
      <c r="K36" s="45" t="s">
        <v>398</v>
      </c>
      <c r="L36" s="46">
        <v>1</v>
      </c>
      <c r="M36" s="512"/>
      <c r="N36" s="57"/>
      <c r="O36" s="92" t="s">
        <v>17564</v>
      </c>
      <c r="R36" s="57"/>
      <c r="S36" s="35"/>
      <c r="V36" s="57"/>
      <c r="W36" s="208">
        <f>ROUND((ROUND((ROUND((_15_同援日１．０*_15・２人),0)*(1+_15・A深夜)),0)*(1+_15・盲ろう)),0)</f>
        <v>563</v>
      </c>
      <c r="X36" s="48"/>
    </row>
    <row r="37" spans="1:24" ht="16.5" customHeight="1" x14ac:dyDescent="0.15">
      <c r="A37" s="41">
        <v>15</v>
      </c>
      <c r="B37" s="41">
        <v>8557</v>
      </c>
      <c r="C37" s="74" t="s">
        <v>18519</v>
      </c>
      <c r="D37" s="72"/>
      <c r="F37" s="57"/>
      <c r="G37" s="114" t="s">
        <v>17558</v>
      </c>
      <c r="H37" s="49"/>
      <c r="I37" s="50"/>
      <c r="J37" s="163"/>
      <c r="K37" s="45"/>
      <c r="L37" s="46"/>
      <c r="M37" s="512"/>
      <c r="N37" s="57"/>
      <c r="O37" s="35"/>
      <c r="P37" s="12" t="s">
        <v>398</v>
      </c>
      <c r="Q37" s="13">
        <v>0.25</v>
      </c>
      <c r="R37" s="57" t="s">
        <v>3575</v>
      </c>
      <c r="S37" s="35"/>
      <c r="V37" s="57"/>
      <c r="W37" s="208">
        <f>ROUND((ROUND((ROUND((_15_同援日１．０*_15・基礎２),0)*(1+_15・A深夜)),0)*(1+_15・盲ろう)),0)</f>
        <v>506</v>
      </c>
      <c r="X37" s="48"/>
    </row>
    <row r="38" spans="1:24" ht="16.5" customHeight="1" x14ac:dyDescent="0.15">
      <c r="A38" s="41">
        <v>15</v>
      </c>
      <c r="B38" s="41">
        <v>8558</v>
      </c>
      <c r="C38" s="74" t="s">
        <v>18520</v>
      </c>
      <c r="D38" s="72"/>
      <c r="F38" s="57"/>
      <c r="G38" s="269" t="s">
        <v>17560</v>
      </c>
      <c r="H38" s="37" t="s">
        <v>398</v>
      </c>
      <c r="I38" s="38">
        <v>0.9</v>
      </c>
      <c r="J38" s="299" t="s">
        <v>17556</v>
      </c>
      <c r="K38" s="45" t="s">
        <v>398</v>
      </c>
      <c r="L38" s="46">
        <v>1</v>
      </c>
      <c r="M38" s="512"/>
      <c r="N38" s="57"/>
      <c r="O38" s="43"/>
      <c r="P38" s="37"/>
      <c r="Q38" s="38"/>
      <c r="R38" s="79"/>
      <c r="S38" s="43"/>
      <c r="T38" s="37"/>
      <c r="U38" s="38"/>
      <c r="V38" s="79"/>
      <c r="W38" s="208">
        <f>ROUND((ROUND((ROUND((ROUND((_15_同援日１．０*_15・基礎２),0)*_15・２人),0)*(1+_15・A深夜)),0)*(1+_15・盲ろう)),0)</f>
        <v>506</v>
      </c>
      <c r="X38" s="48"/>
    </row>
    <row r="39" spans="1:24" ht="16.5" customHeight="1" x14ac:dyDescent="0.15">
      <c r="A39" s="41">
        <v>15</v>
      </c>
      <c r="B39" s="41">
        <v>8559</v>
      </c>
      <c r="C39" s="74" t="s">
        <v>18521</v>
      </c>
      <c r="D39" s="72"/>
      <c r="F39" s="57"/>
      <c r="G39" s="53"/>
      <c r="H39" s="49"/>
      <c r="I39" s="50"/>
      <c r="J39" s="163"/>
      <c r="K39" s="45"/>
      <c r="L39" s="46"/>
      <c r="M39" s="512"/>
      <c r="N39" s="57"/>
      <c r="O39" s="53"/>
      <c r="P39" s="49"/>
      <c r="Q39" s="50"/>
      <c r="R39" s="115"/>
      <c r="S39" s="53"/>
      <c r="T39" s="49"/>
      <c r="U39" s="50"/>
      <c r="V39" s="115"/>
      <c r="W39" s="208">
        <f>ROUND((ROUND((_15_同援日１．０*(1+_15・A深夜)),0)*(1+_15・区３)),0)</f>
        <v>540</v>
      </c>
      <c r="X39" s="48"/>
    </row>
    <row r="40" spans="1:24" ht="16.5" customHeight="1" x14ac:dyDescent="0.15">
      <c r="A40" s="41">
        <v>15</v>
      </c>
      <c r="B40" s="41">
        <v>8560</v>
      </c>
      <c r="C40" s="74" t="s">
        <v>18522</v>
      </c>
      <c r="D40" s="72"/>
      <c r="F40" s="57"/>
      <c r="G40" s="43"/>
      <c r="H40" s="37"/>
      <c r="I40" s="38"/>
      <c r="J40" s="299" t="s">
        <v>17556</v>
      </c>
      <c r="K40" s="45" t="s">
        <v>398</v>
      </c>
      <c r="L40" s="46">
        <v>1</v>
      </c>
      <c r="M40" s="512"/>
      <c r="N40" s="57"/>
      <c r="O40" s="35"/>
      <c r="R40" s="57"/>
      <c r="S40" s="35"/>
      <c r="V40" s="57"/>
      <c r="W40" s="208">
        <f>ROUND((ROUND((ROUND((_15_同援日１．０*_15・２人),0)*(1+_15・A深夜)),0)*(1+_15・区３)),0)</f>
        <v>540</v>
      </c>
      <c r="X40" s="48"/>
    </row>
    <row r="41" spans="1:24" ht="16.5" customHeight="1" x14ac:dyDescent="0.15">
      <c r="A41" s="41">
        <v>15</v>
      </c>
      <c r="B41" s="41">
        <v>8561</v>
      </c>
      <c r="C41" s="74" t="s">
        <v>18523</v>
      </c>
      <c r="D41" s="72"/>
      <c r="F41" s="57"/>
      <c r="G41" s="114" t="s">
        <v>17558</v>
      </c>
      <c r="H41" s="49"/>
      <c r="I41" s="50"/>
      <c r="J41" s="163"/>
      <c r="K41" s="45"/>
      <c r="L41" s="46"/>
      <c r="M41" s="512"/>
      <c r="N41" s="57"/>
      <c r="O41" s="35"/>
      <c r="R41" s="57"/>
      <c r="S41" s="72" t="s">
        <v>17570</v>
      </c>
      <c r="V41" s="57"/>
      <c r="W41" s="208">
        <f>ROUND((ROUND((ROUND((_15_同援日１．０*_15・基礎２),0)*(1+_15・A深夜)),0)*(1+_15・区３)),0)</f>
        <v>486</v>
      </c>
      <c r="X41" s="48"/>
    </row>
    <row r="42" spans="1:24" ht="16.5" customHeight="1" x14ac:dyDescent="0.15">
      <c r="A42" s="41">
        <v>15</v>
      </c>
      <c r="B42" s="41">
        <v>8562</v>
      </c>
      <c r="C42" s="74" t="s">
        <v>18524</v>
      </c>
      <c r="D42" s="72"/>
      <c r="F42" s="57"/>
      <c r="G42" s="269" t="s">
        <v>17560</v>
      </c>
      <c r="H42" s="37" t="s">
        <v>398</v>
      </c>
      <c r="I42" s="38">
        <v>0.9</v>
      </c>
      <c r="J42" s="299" t="s">
        <v>17556</v>
      </c>
      <c r="K42" s="45" t="s">
        <v>398</v>
      </c>
      <c r="L42" s="46">
        <v>1</v>
      </c>
      <c r="M42" s="512"/>
      <c r="N42" s="57"/>
      <c r="O42" s="43"/>
      <c r="P42" s="37"/>
      <c r="Q42" s="38"/>
      <c r="R42" s="79"/>
      <c r="S42" s="72" t="s">
        <v>17572</v>
      </c>
      <c r="V42" s="57"/>
      <c r="W42" s="208">
        <f>ROUND((ROUND((ROUND((ROUND((_15_同援日１．０*_15・基礎２),0)*_15・２人),0)*(1+_15・A深夜)),0)*(1+_15・区３)),0)</f>
        <v>486</v>
      </c>
      <c r="X42" s="48"/>
    </row>
    <row r="43" spans="1:24" ht="16.5" customHeight="1" x14ac:dyDescent="0.15">
      <c r="A43" s="41">
        <v>15</v>
      </c>
      <c r="B43" s="41">
        <v>8563</v>
      </c>
      <c r="C43" s="74" t="s">
        <v>18525</v>
      </c>
      <c r="D43" s="72"/>
      <c r="F43" s="57"/>
      <c r="G43" s="53"/>
      <c r="H43" s="49"/>
      <c r="I43" s="50"/>
      <c r="J43" s="163"/>
      <c r="K43" s="45"/>
      <c r="L43" s="46"/>
      <c r="M43" s="512"/>
      <c r="N43" s="57"/>
      <c r="O43" s="114" t="s">
        <v>17562</v>
      </c>
      <c r="P43" s="49"/>
      <c r="Q43" s="50"/>
      <c r="R43" s="115"/>
      <c r="S43" s="35"/>
      <c r="T43" s="12" t="s">
        <v>398</v>
      </c>
      <c r="U43" s="13">
        <v>0.2</v>
      </c>
      <c r="V43" s="57" t="s">
        <v>3575</v>
      </c>
      <c r="W43" s="208">
        <f>ROUND((ROUND((ROUND((_15_同援日１．０*(1+_15・A深夜)),0)*(1+_15・盲ろう)),0)*(1+_15・区３)),0)</f>
        <v>676</v>
      </c>
      <c r="X43" s="48"/>
    </row>
    <row r="44" spans="1:24" ht="16.5" customHeight="1" x14ac:dyDescent="0.15">
      <c r="A44" s="41">
        <v>15</v>
      </c>
      <c r="B44" s="41">
        <v>8564</v>
      </c>
      <c r="C44" s="74" t="s">
        <v>18526</v>
      </c>
      <c r="D44" s="72"/>
      <c r="F44" s="57"/>
      <c r="G44" s="43"/>
      <c r="H44" s="37"/>
      <c r="I44" s="38"/>
      <c r="J44" s="299" t="s">
        <v>17556</v>
      </c>
      <c r="K44" s="45" t="s">
        <v>398</v>
      </c>
      <c r="L44" s="46">
        <v>1</v>
      </c>
      <c r="M44" s="512"/>
      <c r="N44" s="57"/>
      <c r="O44" s="92" t="s">
        <v>17564</v>
      </c>
      <c r="R44" s="57"/>
      <c r="S44" s="35"/>
      <c r="V44" s="57"/>
      <c r="W44" s="208">
        <f>ROUND((ROUND((ROUND((ROUND((_15_同援日１．０*_15・２人),0)*(1+_15・A深夜)),0)*(1+_15・盲ろう)),0)*(1+_15・区３)),0)</f>
        <v>676</v>
      </c>
      <c r="X44" s="48"/>
    </row>
    <row r="45" spans="1:24" ht="16.5" customHeight="1" x14ac:dyDescent="0.15">
      <c r="A45" s="41">
        <v>15</v>
      </c>
      <c r="B45" s="41">
        <v>8565</v>
      </c>
      <c r="C45" s="74" t="s">
        <v>18527</v>
      </c>
      <c r="D45" s="72"/>
      <c r="F45" s="57"/>
      <c r="G45" s="114" t="s">
        <v>17558</v>
      </c>
      <c r="H45" s="49"/>
      <c r="I45" s="50"/>
      <c r="J45" s="163"/>
      <c r="K45" s="45"/>
      <c r="L45" s="46"/>
      <c r="M45" s="512"/>
      <c r="N45" s="57"/>
      <c r="O45" s="35"/>
      <c r="P45" s="12" t="s">
        <v>398</v>
      </c>
      <c r="Q45" s="13">
        <v>0.25</v>
      </c>
      <c r="R45" s="57" t="s">
        <v>3575</v>
      </c>
      <c r="S45" s="35"/>
      <c r="V45" s="57"/>
      <c r="W45" s="208">
        <f>ROUND((ROUND((ROUND((ROUND((_15_同援日１．０*_15・基礎２),0)*(1+_15・A深夜)),0)*(1+_15・盲ろう)),0)*(1+_15・区３)),0)</f>
        <v>607</v>
      </c>
      <c r="X45" s="48"/>
    </row>
    <row r="46" spans="1:24" ht="16.5" customHeight="1" x14ac:dyDescent="0.15">
      <c r="A46" s="41">
        <v>15</v>
      </c>
      <c r="B46" s="41">
        <v>8566</v>
      </c>
      <c r="C46" s="74" t="s">
        <v>18528</v>
      </c>
      <c r="D46" s="72"/>
      <c r="F46" s="57"/>
      <c r="G46" s="269" t="s">
        <v>17560</v>
      </c>
      <c r="H46" s="37" t="s">
        <v>398</v>
      </c>
      <c r="I46" s="38">
        <v>0.9</v>
      </c>
      <c r="J46" s="299" t="s">
        <v>17556</v>
      </c>
      <c r="K46" s="45" t="s">
        <v>398</v>
      </c>
      <c r="L46" s="46">
        <v>1</v>
      </c>
      <c r="M46" s="512"/>
      <c r="N46" s="57"/>
      <c r="O46" s="43"/>
      <c r="P46" s="37"/>
      <c r="Q46" s="38"/>
      <c r="R46" s="79"/>
      <c r="S46" s="43"/>
      <c r="T46" s="37"/>
      <c r="U46" s="38"/>
      <c r="V46" s="79"/>
      <c r="W46" s="208">
        <f>ROUND((ROUND((ROUND((ROUND((ROUND((_15_同援日１．０*_15・基礎２),0)*_15・２人),0)*(1+_15・A深夜)),0)*(1+_15・盲ろう)),0)*(1+_15・区３)),0)</f>
        <v>607</v>
      </c>
      <c r="X46" s="48"/>
    </row>
    <row r="47" spans="1:24" ht="16.5" customHeight="1" x14ac:dyDescent="0.15">
      <c r="A47" s="41">
        <v>15</v>
      </c>
      <c r="B47" s="41">
        <v>8567</v>
      </c>
      <c r="C47" s="74" t="s">
        <v>18529</v>
      </c>
      <c r="D47" s="72"/>
      <c r="F47" s="57"/>
      <c r="G47" s="53"/>
      <c r="H47" s="49"/>
      <c r="I47" s="50"/>
      <c r="J47" s="163"/>
      <c r="K47" s="45"/>
      <c r="L47" s="46"/>
      <c r="M47" s="512"/>
      <c r="N47" s="57"/>
      <c r="O47" s="53"/>
      <c r="P47" s="49"/>
      <c r="Q47" s="50"/>
      <c r="R47" s="115"/>
      <c r="S47" s="53"/>
      <c r="T47" s="49"/>
      <c r="U47" s="50"/>
      <c r="V47" s="115"/>
      <c r="W47" s="208">
        <f>ROUND((ROUND((_15_同援日１．０*(1+_15・A深夜)),0)*(1+_15・区４)),0)</f>
        <v>630</v>
      </c>
      <c r="X47" s="48"/>
    </row>
    <row r="48" spans="1:24" ht="16.5" customHeight="1" x14ac:dyDescent="0.15">
      <c r="A48" s="41">
        <v>15</v>
      </c>
      <c r="B48" s="41">
        <v>8568</v>
      </c>
      <c r="C48" s="74" t="s">
        <v>18530</v>
      </c>
      <c r="D48" s="72"/>
      <c r="F48" s="57"/>
      <c r="G48" s="43"/>
      <c r="H48" s="37"/>
      <c r="I48" s="38"/>
      <c r="J48" s="299" t="s">
        <v>17556</v>
      </c>
      <c r="K48" s="45" t="s">
        <v>398</v>
      </c>
      <c r="L48" s="46">
        <v>1</v>
      </c>
      <c r="M48" s="512"/>
      <c r="N48" s="57"/>
      <c r="O48" s="35"/>
      <c r="R48" s="57"/>
      <c r="S48" s="35"/>
      <c r="V48" s="57"/>
      <c r="W48" s="208">
        <f>ROUND((ROUND((ROUND((_15_同援日１．０*_15・２人),0)*(1+_15・A深夜)),0)*(1+_15・区４)),0)</f>
        <v>630</v>
      </c>
      <c r="X48" s="48"/>
    </row>
    <row r="49" spans="1:24" ht="16.5" customHeight="1" x14ac:dyDescent="0.15">
      <c r="A49" s="41">
        <v>15</v>
      </c>
      <c r="B49" s="41">
        <v>8569</v>
      </c>
      <c r="C49" s="74" t="s">
        <v>18531</v>
      </c>
      <c r="D49" s="72"/>
      <c r="F49" s="57"/>
      <c r="G49" s="114" t="s">
        <v>17558</v>
      </c>
      <c r="H49" s="49"/>
      <c r="I49" s="50"/>
      <c r="J49" s="163"/>
      <c r="K49" s="45"/>
      <c r="L49" s="46"/>
      <c r="M49" s="512"/>
      <c r="N49" s="57"/>
      <c r="O49" s="35"/>
      <c r="R49" s="57"/>
      <c r="S49" s="72" t="s">
        <v>17580</v>
      </c>
      <c r="V49" s="57"/>
      <c r="W49" s="208">
        <f>ROUND((ROUND((ROUND((_15_同援日１．０*_15・基礎２),0)*(1+_15・A深夜)),0)*(1+_15・区４)),0)</f>
        <v>567</v>
      </c>
      <c r="X49" s="48"/>
    </row>
    <row r="50" spans="1:24" ht="16.5" customHeight="1" x14ac:dyDescent="0.15">
      <c r="A50" s="41">
        <v>15</v>
      </c>
      <c r="B50" s="41">
        <v>8570</v>
      </c>
      <c r="C50" s="74" t="s">
        <v>18532</v>
      </c>
      <c r="D50" s="72"/>
      <c r="F50" s="57"/>
      <c r="G50" s="269" t="s">
        <v>17560</v>
      </c>
      <c r="H50" s="37" t="s">
        <v>398</v>
      </c>
      <c r="I50" s="38">
        <v>0.9</v>
      </c>
      <c r="J50" s="299" t="s">
        <v>17556</v>
      </c>
      <c r="K50" s="45" t="s">
        <v>398</v>
      </c>
      <c r="L50" s="46">
        <v>1</v>
      </c>
      <c r="M50" s="512"/>
      <c r="N50" s="57"/>
      <c r="O50" s="43"/>
      <c r="P50" s="37"/>
      <c r="Q50" s="38"/>
      <c r="R50" s="79"/>
      <c r="S50" s="72" t="s">
        <v>17572</v>
      </c>
      <c r="V50" s="57"/>
      <c r="W50" s="208">
        <f>ROUND((ROUND((ROUND((ROUND((_15_同援日１．０*_15・基礎２),0)*_15・２人),0)*(1+_15・A深夜)),0)*(1+_15・区４)),0)</f>
        <v>567</v>
      </c>
      <c r="X50" s="48"/>
    </row>
    <row r="51" spans="1:24" ht="16.5" customHeight="1" x14ac:dyDescent="0.15">
      <c r="A51" s="41">
        <v>15</v>
      </c>
      <c r="B51" s="41">
        <v>8571</v>
      </c>
      <c r="C51" s="74" t="s">
        <v>18533</v>
      </c>
      <c r="D51" s="72"/>
      <c r="F51" s="57"/>
      <c r="G51" s="53"/>
      <c r="H51" s="49"/>
      <c r="I51" s="50"/>
      <c r="J51" s="163"/>
      <c r="K51" s="45"/>
      <c r="L51" s="46"/>
      <c r="M51" s="512"/>
      <c r="N51" s="57"/>
      <c r="O51" s="114" t="s">
        <v>17562</v>
      </c>
      <c r="P51" s="49"/>
      <c r="Q51" s="50"/>
      <c r="R51" s="115"/>
      <c r="S51" s="35"/>
      <c r="T51" s="12" t="s">
        <v>398</v>
      </c>
      <c r="U51" s="13">
        <v>0.4</v>
      </c>
      <c r="V51" s="57" t="s">
        <v>3575</v>
      </c>
      <c r="W51" s="208">
        <f>ROUND((ROUND((ROUND((_15_同援日１．０*(1+_15・A深夜)),0)*(1+_15・盲ろう)),0)*(1+_15・区４)),0)</f>
        <v>788</v>
      </c>
      <c r="X51" s="48"/>
    </row>
    <row r="52" spans="1:24" ht="16.5" customHeight="1" x14ac:dyDescent="0.15">
      <c r="A52" s="41">
        <v>15</v>
      </c>
      <c r="B52" s="41">
        <v>8572</v>
      </c>
      <c r="C52" s="74" t="s">
        <v>18534</v>
      </c>
      <c r="D52" s="72"/>
      <c r="F52" s="57"/>
      <c r="G52" s="43"/>
      <c r="H52" s="37"/>
      <c r="I52" s="38"/>
      <c r="J52" s="299" t="s">
        <v>17556</v>
      </c>
      <c r="K52" s="45" t="s">
        <v>398</v>
      </c>
      <c r="L52" s="46">
        <v>1</v>
      </c>
      <c r="M52" s="512"/>
      <c r="N52" s="57"/>
      <c r="O52" s="92" t="s">
        <v>17564</v>
      </c>
      <c r="R52" s="57"/>
      <c r="S52" s="35"/>
      <c r="V52" s="57"/>
      <c r="W52" s="208">
        <f>ROUND((ROUND((ROUND((ROUND((_15_同援日１．０*_15・２人),0)*(1+_15・A深夜)),0)*(1+_15・盲ろう)),0)*(1+_15・区４)),0)</f>
        <v>788</v>
      </c>
      <c r="X52" s="48"/>
    </row>
    <row r="53" spans="1:24" ht="16.5" customHeight="1" x14ac:dyDescent="0.15">
      <c r="A53" s="41">
        <v>15</v>
      </c>
      <c r="B53" s="41">
        <v>8573</v>
      </c>
      <c r="C53" s="74" t="s">
        <v>18535</v>
      </c>
      <c r="D53" s="72"/>
      <c r="F53" s="57"/>
      <c r="G53" s="114" t="s">
        <v>17558</v>
      </c>
      <c r="H53" s="49"/>
      <c r="I53" s="50"/>
      <c r="J53" s="163"/>
      <c r="K53" s="45"/>
      <c r="L53" s="46"/>
      <c r="M53" s="512"/>
      <c r="N53" s="57"/>
      <c r="O53" s="35"/>
      <c r="P53" s="12" t="s">
        <v>398</v>
      </c>
      <c r="Q53" s="13">
        <v>0.25</v>
      </c>
      <c r="R53" s="57" t="s">
        <v>3575</v>
      </c>
      <c r="S53" s="35"/>
      <c r="V53" s="57"/>
      <c r="W53" s="208">
        <f>ROUND((ROUND((ROUND((ROUND((_15_同援日１．０*_15・基礎２),0)*(1+_15・A深夜)),0)*(1+_15・盲ろう)),0)*(1+_15・区４)),0)</f>
        <v>708</v>
      </c>
      <c r="X53" s="48"/>
    </row>
    <row r="54" spans="1:24" ht="16.5" customHeight="1" x14ac:dyDescent="0.15">
      <c r="A54" s="41">
        <v>15</v>
      </c>
      <c r="B54" s="41">
        <v>8574</v>
      </c>
      <c r="C54" s="74" t="s">
        <v>18536</v>
      </c>
      <c r="D54" s="122"/>
      <c r="E54" s="37"/>
      <c r="F54" s="79"/>
      <c r="G54" s="269" t="s">
        <v>17560</v>
      </c>
      <c r="H54" s="37" t="s">
        <v>398</v>
      </c>
      <c r="I54" s="38">
        <v>0.9</v>
      </c>
      <c r="J54" s="299" t="s">
        <v>17556</v>
      </c>
      <c r="K54" s="45" t="s">
        <v>398</v>
      </c>
      <c r="L54" s="46">
        <v>1</v>
      </c>
      <c r="M54" s="512"/>
      <c r="N54" s="57"/>
      <c r="O54" s="43"/>
      <c r="P54" s="37"/>
      <c r="Q54" s="38"/>
      <c r="R54" s="79"/>
      <c r="S54" s="43"/>
      <c r="T54" s="37"/>
      <c r="U54" s="38"/>
      <c r="V54" s="79"/>
      <c r="W54" s="208">
        <f>ROUND((ROUND((ROUND((ROUND((ROUND((_15_同援日１．０*_15・基礎２),0)*_15・２人),0)*(1+_15・A深夜)),0)*(1+_15・盲ろう)),0)*(1+_15・区４)),0)</f>
        <v>708</v>
      </c>
      <c r="X54" s="48"/>
    </row>
    <row r="55" spans="1:24" ht="16.5" customHeight="1" x14ac:dyDescent="0.15">
      <c r="A55" s="41">
        <v>15</v>
      </c>
      <c r="B55" s="41">
        <v>8575</v>
      </c>
      <c r="C55" s="74" t="s">
        <v>18537</v>
      </c>
      <c r="D55" s="114" t="s">
        <v>18538</v>
      </c>
      <c r="E55" s="49"/>
      <c r="F55" s="115"/>
      <c r="G55" s="53"/>
      <c r="H55" s="49"/>
      <c r="I55" s="50"/>
      <c r="J55" s="163"/>
      <c r="K55" s="45"/>
      <c r="L55" s="46"/>
      <c r="M55" s="512"/>
      <c r="N55" s="57"/>
      <c r="O55" s="53"/>
      <c r="P55" s="49"/>
      <c r="Q55" s="50"/>
      <c r="R55" s="115"/>
      <c r="S55" s="53"/>
      <c r="T55" s="49"/>
      <c r="U55" s="50"/>
      <c r="V55" s="115"/>
      <c r="W55" s="208">
        <f>ROUND((_15_同援日１．５*(1+_15・A深夜)),0)</f>
        <v>650</v>
      </c>
      <c r="X55" s="48"/>
    </row>
    <row r="56" spans="1:24" ht="16.5" customHeight="1" x14ac:dyDescent="0.15">
      <c r="A56" s="41">
        <v>15</v>
      </c>
      <c r="B56" s="41">
        <v>8576</v>
      </c>
      <c r="C56" s="74" t="s">
        <v>18539</v>
      </c>
      <c r="D56" s="72" t="s">
        <v>17616</v>
      </c>
      <c r="F56" s="57"/>
      <c r="G56" s="43"/>
      <c r="H56" s="37"/>
      <c r="I56" s="38"/>
      <c r="J56" s="299" t="s">
        <v>17556</v>
      </c>
      <c r="K56" s="45" t="s">
        <v>398</v>
      </c>
      <c r="L56" s="46">
        <v>1</v>
      </c>
      <c r="M56" s="512"/>
      <c r="N56" s="57"/>
      <c r="O56" s="35"/>
      <c r="R56" s="57"/>
      <c r="S56" s="35"/>
      <c r="V56" s="57"/>
      <c r="W56" s="208">
        <f>ROUND((ROUND((_15_同援日１．５*_15・２人),0)*(1+_15・A深夜)),0)</f>
        <v>650</v>
      </c>
      <c r="X56" s="48"/>
    </row>
    <row r="57" spans="1:24" ht="16.5" customHeight="1" x14ac:dyDescent="0.15">
      <c r="A57" s="41">
        <v>15</v>
      </c>
      <c r="B57" s="41">
        <v>8577</v>
      </c>
      <c r="C57" s="74" t="s">
        <v>18540</v>
      </c>
      <c r="D57" s="72" t="s">
        <v>18183</v>
      </c>
      <c r="F57" s="57"/>
      <c r="G57" s="114" t="s">
        <v>17558</v>
      </c>
      <c r="H57" s="49"/>
      <c r="I57" s="50"/>
      <c r="J57" s="163"/>
      <c r="K57" s="45"/>
      <c r="L57" s="46"/>
      <c r="M57" s="512"/>
      <c r="N57" s="57"/>
      <c r="O57" s="35"/>
      <c r="R57" s="57"/>
      <c r="S57" s="35"/>
      <c r="V57" s="57"/>
      <c r="W57" s="208">
        <f>ROUND((ROUND((_15_同援日１．５*_15・基礎２),0)*(1+_15・A深夜)),0)</f>
        <v>585</v>
      </c>
      <c r="X57" s="48"/>
    </row>
    <row r="58" spans="1:24" ht="16.5" customHeight="1" x14ac:dyDescent="0.15">
      <c r="A58" s="41">
        <v>15</v>
      </c>
      <c r="B58" s="41">
        <v>8578</v>
      </c>
      <c r="C58" s="74" t="s">
        <v>18541</v>
      </c>
      <c r="D58" s="72"/>
      <c r="E58" s="168">
        <f>_15_同援日１．５</f>
        <v>433</v>
      </c>
      <c r="F58" s="57" t="s">
        <v>392</v>
      </c>
      <c r="G58" s="269" t="s">
        <v>17560</v>
      </c>
      <c r="H58" s="37" t="s">
        <v>398</v>
      </c>
      <c r="I58" s="38">
        <v>0.9</v>
      </c>
      <c r="J58" s="299" t="s">
        <v>17556</v>
      </c>
      <c r="K58" s="45" t="s">
        <v>398</v>
      </c>
      <c r="L58" s="46">
        <v>1</v>
      </c>
      <c r="M58" s="512"/>
      <c r="N58" s="57"/>
      <c r="O58" s="43"/>
      <c r="P58" s="37"/>
      <c r="Q58" s="38"/>
      <c r="R58" s="79"/>
      <c r="S58" s="35"/>
      <c r="V58" s="57"/>
      <c r="W58" s="208">
        <f>ROUND((ROUND((ROUND((_15_同援日１．５*_15・基礎２),0)*_15・２人),0)*(1+_15・A深夜)),0)</f>
        <v>585</v>
      </c>
      <c r="X58" s="48"/>
    </row>
    <row r="59" spans="1:24" ht="16.5" customHeight="1" x14ac:dyDescent="0.15">
      <c r="A59" s="41">
        <v>15</v>
      </c>
      <c r="B59" s="41">
        <v>8579</v>
      </c>
      <c r="C59" s="74" t="s">
        <v>18542</v>
      </c>
      <c r="D59" s="72"/>
      <c r="F59" s="57"/>
      <c r="G59" s="53"/>
      <c r="H59" s="49"/>
      <c r="I59" s="50"/>
      <c r="J59" s="163"/>
      <c r="K59" s="45"/>
      <c r="L59" s="46"/>
      <c r="M59" s="512"/>
      <c r="N59" s="57"/>
      <c r="O59" s="114" t="s">
        <v>17562</v>
      </c>
      <c r="P59" s="49"/>
      <c r="Q59" s="50"/>
      <c r="R59" s="115"/>
      <c r="S59" s="35"/>
      <c r="V59" s="57"/>
      <c r="W59" s="208">
        <f>ROUND((ROUND((_15_同援日１．５*(1+_15・A深夜)),0)*(1+_15・盲ろう)),0)</f>
        <v>813</v>
      </c>
      <c r="X59" s="48"/>
    </row>
    <row r="60" spans="1:24" ht="16.5" customHeight="1" x14ac:dyDescent="0.15">
      <c r="A60" s="41">
        <v>15</v>
      </c>
      <c r="B60" s="41">
        <v>8580</v>
      </c>
      <c r="C60" s="74" t="s">
        <v>18543</v>
      </c>
      <c r="D60" s="72"/>
      <c r="F60" s="57"/>
      <c r="G60" s="43"/>
      <c r="H60" s="37"/>
      <c r="I60" s="38"/>
      <c r="J60" s="299" t="s">
        <v>17556</v>
      </c>
      <c r="K60" s="45" t="s">
        <v>398</v>
      </c>
      <c r="L60" s="46">
        <v>1</v>
      </c>
      <c r="M60" s="512"/>
      <c r="N60" s="57"/>
      <c r="O60" s="92" t="s">
        <v>17564</v>
      </c>
      <c r="R60" s="57"/>
      <c r="S60" s="35"/>
      <c r="V60" s="57"/>
      <c r="W60" s="208">
        <f>ROUND((ROUND((ROUND((_15_同援日１．５*_15・２人),0)*(1+_15・A深夜)),0)*(1+_15・盲ろう)),0)</f>
        <v>813</v>
      </c>
      <c r="X60" s="48"/>
    </row>
    <row r="61" spans="1:24" ht="16.5" customHeight="1" x14ac:dyDescent="0.15">
      <c r="A61" s="41">
        <v>15</v>
      </c>
      <c r="B61" s="41">
        <v>8581</v>
      </c>
      <c r="C61" s="74" t="s">
        <v>18544</v>
      </c>
      <c r="D61" s="72"/>
      <c r="F61" s="57"/>
      <c r="G61" s="114" t="s">
        <v>17558</v>
      </c>
      <c r="H61" s="49"/>
      <c r="I61" s="50"/>
      <c r="J61" s="163"/>
      <c r="K61" s="45"/>
      <c r="L61" s="46"/>
      <c r="M61" s="512"/>
      <c r="N61" s="57"/>
      <c r="O61" s="35"/>
      <c r="P61" s="12" t="s">
        <v>398</v>
      </c>
      <c r="Q61" s="13">
        <v>0.25</v>
      </c>
      <c r="R61" s="57" t="s">
        <v>3575</v>
      </c>
      <c r="S61" s="35"/>
      <c r="V61" s="57"/>
      <c r="W61" s="208">
        <f>ROUND((ROUND((ROUND((_15_同援日１．５*_15・基礎２),0)*(1+_15・A深夜)),0)*(1+_15・盲ろう)),0)</f>
        <v>731</v>
      </c>
      <c r="X61" s="48"/>
    </row>
    <row r="62" spans="1:24" ht="16.5" customHeight="1" x14ac:dyDescent="0.15">
      <c r="A62" s="41">
        <v>15</v>
      </c>
      <c r="B62" s="41">
        <v>8582</v>
      </c>
      <c r="C62" s="74" t="s">
        <v>18545</v>
      </c>
      <c r="D62" s="72"/>
      <c r="F62" s="57"/>
      <c r="G62" s="269" t="s">
        <v>17560</v>
      </c>
      <c r="H62" s="37" t="s">
        <v>398</v>
      </c>
      <c r="I62" s="38">
        <v>0.9</v>
      </c>
      <c r="J62" s="299" t="s">
        <v>17556</v>
      </c>
      <c r="K62" s="45" t="s">
        <v>398</v>
      </c>
      <c r="L62" s="46">
        <v>1</v>
      </c>
      <c r="M62" s="512"/>
      <c r="N62" s="57"/>
      <c r="O62" s="43"/>
      <c r="P62" s="37"/>
      <c r="Q62" s="38"/>
      <c r="R62" s="79"/>
      <c r="S62" s="43"/>
      <c r="T62" s="37"/>
      <c r="U62" s="38"/>
      <c r="V62" s="79"/>
      <c r="W62" s="208">
        <f>ROUND((ROUND((ROUND((ROUND((_15_同援日１．５*_15・基礎２),0)*_15・２人),0)*(1+_15・A深夜)),0)*(1+_15・盲ろう)),0)</f>
        <v>731</v>
      </c>
      <c r="X62" s="48"/>
    </row>
    <row r="63" spans="1:24" ht="16.5" customHeight="1" x14ac:dyDescent="0.15">
      <c r="A63" s="41">
        <v>15</v>
      </c>
      <c r="B63" s="41">
        <v>8583</v>
      </c>
      <c r="C63" s="74" t="s">
        <v>18546</v>
      </c>
      <c r="D63" s="72"/>
      <c r="F63" s="57"/>
      <c r="G63" s="53"/>
      <c r="H63" s="49"/>
      <c r="I63" s="50"/>
      <c r="J63" s="163"/>
      <c r="K63" s="45"/>
      <c r="L63" s="46"/>
      <c r="M63" s="512"/>
      <c r="N63" s="57"/>
      <c r="O63" s="53"/>
      <c r="P63" s="49"/>
      <c r="Q63" s="50"/>
      <c r="R63" s="115"/>
      <c r="S63" s="53"/>
      <c r="T63" s="49"/>
      <c r="U63" s="50"/>
      <c r="V63" s="115"/>
      <c r="W63" s="208">
        <f>ROUND((ROUND((_15_同援日１．５*(1+_15・A深夜)),0)*(1+_15・区３)),0)</f>
        <v>780</v>
      </c>
      <c r="X63" s="48"/>
    </row>
    <row r="64" spans="1:24" ht="16.5" customHeight="1" x14ac:dyDescent="0.15">
      <c r="A64" s="41">
        <v>15</v>
      </c>
      <c r="B64" s="41">
        <v>8584</v>
      </c>
      <c r="C64" s="74" t="s">
        <v>18547</v>
      </c>
      <c r="D64" s="72"/>
      <c r="F64" s="57"/>
      <c r="G64" s="43"/>
      <c r="H64" s="37"/>
      <c r="I64" s="38"/>
      <c r="J64" s="299" t="s">
        <v>17556</v>
      </c>
      <c r="K64" s="45" t="s">
        <v>398</v>
      </c>
      <c r="L64" s="46">
        <v>1</v>
      </c>
      <c r="M64" s="512"/>
      <c r="N64" s="57"/>
      <c r="O64" s="35"/>
      <c r="R64" s="57"/>
      <c r="S64" s="35"/>
      <c r="V64" s="57"/>
      <c r="W64" s="208">
        <f>ROUND((ROUND((ROUND((_15_同援日１．５*_15・２人),0)*(1+_15・A深夜)),0)*(1+_15・区３)),0)</f>
        <v>780</v>
      </c>
      <c r="X64" s="48"/>
    </row>
    <row r="65" spans="1:24" ht="16.5" customHeight="1" x14ac:dyDescent="0.15">
      <c r="A65" s="41">
        <v>15</v>
      </c>
      <c r="B65" s="41">
        <v>8585</v>
      </c>
      <c r="C65" s="74" t="s">
        <v>18548</v>
      </c>
      <c r="D65" s="72"/>
      <c r="F65" s="57"/>
      <c r="G65" s="114" t="s">
        <v>17558</v>
      </c>
      <c r="H65" s="49"/>
      <c r="I65" s="50"/>
      <c r="J65" s="163"/>
      <c r="K65" s="45"/>
      <c r="L65" s="46"/>
      <c r="M65" s="512"/>
      <c r="N65" s="57"/>
      <c r="O65" s="35"/>
      <c r="R65" s="57"/>
      <c r="S65" s="72" t="s">
        <v>17570</v>
      </c>
      <c r="V65" s="57"/>
      <c r="W65" s="208">
        <f>ROUND((ROUND((ROUND((_15_同援日１．５*_15・基礎２),0)*(1+_15・A深夜)),0)*(1+_15・区３)),0)</f>
        <v>702</v>
      </c>
      <c r="X65" s="48"/>
    </row>
    <row r="66" spans="1:24" ht="16.5" customHeight="1" x14ac:dyDescent="0.15">
      <c r="A66" s="41">
        <v>15</v>
      </c>
      <c r="B66" s="41">
        <v>8586</v>
      </c>
      <c r="C66" s="74" t="s">
        <v>18549</v>
      </c>
      <c r="D66" s="72"/>
      <c r="F66" s="57"/>
      <c r="G66" s="269" t="s">
        <v>17560</v>
      </c>
      <c r="H66" s="37" t="s">
        <v>398</v>
      </c>
      <c r="I66" s="38">
        <v>0.9</v>
      </c>
      <c r="J66" s="299" t="s">
        <v>17556</v>
      </c>
      <c r="K66" s="45" t="s">
        <v>398</v>
      </c>
      <c r="L66" s="46">
        <v>1</v>
      </c>
      <c r="M66" s="512"/>
      <c r="N66" s="57"/>
      <c r="O66" s="43"/>
      <c r="P66" s="37"/>
      <c r="Q66" s="38"/>
      <c r="R66" s="79"/>
      <c r="S66" s="72" t="s">
        <v>17572</v>
      </c>
      <c r="V66" s="57"/>
      <c r="W66" s="208">
        <f>ROUND((ROUND((ROUND((ROUND((_15_同援日１．５*_15・基礎２),0)*_15・２人),0)*(1+_15・A深夜)),0)*(1+_15・区３)),0)</f>
        <v>702</v>
      </c>
      <c r="X66" s="48"/>
    </row>
    <row r="67" spans="1:24" ht="16.5" customHeight="1" x14ac:dyDescent="0.15">
      <c r="A67" s="41">
        <v>15</v>
      </c>
      <c r="B67" s="41">
        <v>8587</v>
      </c>
      <c r="C67" s="74" t="s">
        <v>18550</v>
      </c>
      <c r="D67" s="72"/>
      <c r="F67" s="57"/>
      <c r="G67" s="53"/>
      <c r="H67" s="49"/>
      <c r="I67" s="50"/>
      <c r="J67" s="163"/>
      <c r="K67" s="45"/>
      <c r="L67" s="46"/>
      <c r="M67" s="512"/>
      <c r="N67" s="57"/>
      <c r="O67" s="114" t="s">
        <v>17562</v>
      </c>
      <c r="P67" s="49"/>
      <c r="Q67" s="50"/>
      <c r="R67" s="115"/>
      <c r="S67" s="35"/>
      <c r="T67" s="12" t="s">
        <v>398</v>
      </c>
      <c r="U67" s="13">
        <v>0.2</v>
      </c>
      <c r="V67" s="57" t="s">
        <v>3575</v>
      </c>
      <c r="W67" s="208">
        <f>ROUND((ROUND((ROUND((_15_同援日１．５*(1+_15・A深夜)),0)*(1+_15・盲ろう)),0)*(1+_15・区３)),0)</f>
        <v>976</v>
      </c>
      <c r="X67" s="48"/>
    </row>
    <row r="68" spans="1:24" ht="16.5" customHeight="1" x14ac:dyDescent="0.15">
      <c r="A68" s="41">
        <v>15</v>
      </c>
      <c r="B68" s="41">
        <v>8588</v>
      </c>
      <c r="C68" s="74" t="s">
        <v>18551</v>
      </c>
      <c r="D68" s="72"/>
      <c r="F68" s="57"/>
      <c r="G68" s="43"/>
      <c r="H68" s="37"/>
      <c r="I68" s="38"/>
      <c r="J68" s="299" t="s">
        <v>17556</v>
      </c>
      <c r="K68" s="45" t="s">
        <v>398</v>
      </c>
      <c r="L68" s="46">
        <v>1</v>
      </c>
      <c r="M68" s="512"/>
      <c r="N68" s="57"/>
      <c r="O68" s="92" t="s">
        <v>17564</v>
      </c>
      <c r="R68" s="57"/>
      <c r="S68" s="35"/>
      <c r="V68" s="57"/>
      <c r="W68" s="208">
        <f>ROUND((ROUND((ROUND((ROUND((_15_同援日１．５*_15・２人),0)*(1+_15・A深夜)),0)*(1+_15・盲ろう)),0)*(1+_15・区３)),0)</f>
        <v>976</v>
      </c>
      <c r="X68" s="48"/>
    </row>
    <row r="69" spans="1:24" ht="16.5" customHeight="1" x14ac:dyDescent="0.15">
      <c r="A69" s="41">
        <v>15</v>
      </c>
      <c r="B69" s="41">
        <v>8589</v>
      </c>
      <c r="C69" s="74" t="s">
        <v>18552</v>
      </c>
      <c r="D69" s="72"/>
      <c r="F69" s="57"/>
      <c r="G69" s="114" t="s">
        <v>17558</v>
      </c>
      <c r="H69" s="49"/>
      <c r="I69" s="50"/>
      <c r="J69" s="163"/>
      <c r="K69" s="45"/>
      <c r="L69" s="46"/>
      <c r="M69" s="512"/>
      <c r="N69" s="57"/>
      <c r="O69" s="35"/>
      <c r="P69" s="12" t="s">
        <v>398</v>
      </c>
      <c r="Q69" s="13">
        <v>0.25</v>
      </c>
      <c r="R69" s="57" t="s">
        <v>3575</v>
      </c>
      <c r="S69" s="35"/>
      <c r="V69" s="57"/>
      <c r="W69" s="208">
        <f>ROUND((ROUND((ROUND((ROUND((_15_同援日１．５*_15・基礎２),0)*(1+_15・A深夜)),0)*(1+_15・盲ろう)),0)*(1+_15・区３)),0)</f>
        <v>877</v>
      </c>
      <c r="X69" s="48"/>
    </row>
    <row r="70" spans="1:24" ht="16.5" customHeight="1" x14ac:dyDescent="0.15">
      <c r="A70" s="41">
        <v>15</v>
      </c>
      <c r="B70" s="41">
        <v>8590</v>
      </c>
      <c r="C70" s="74" t="s">
        <v>18553</v>
      </c>
      <c r="D70" s="72"/>
      <c r="F70" s="57"/>
      <c r="G70" s="269" t="s">
        <v>17560</v>
      </c>
      <c r="H70" s="37" t="s">
        <v>398</v>
      </c>
      <c r="I70" s="38">
        <v>0.9</v>
      </c>
      <c r="J70" s="299" t="s">
        <v>17556</v>
      </c>
      <c r="K70" s="45" t="s">
        <v>398</v>
      </c>
      <c r="L70" s="46">
        <v>1</v>
      </c>
      <c r="M70" s="512"/>
      <c r="N70" s="57"/>
      <c r="O70" s="43"/>
      <c r="P70" s="37"/>
      <c r="Q70" s="38"/>
      <c r="R70" s="79"/>
      <c r="S70" s="43"/>
      <c r="T70" s="37"/>
      <c r="U70" s="38"/>
      <c r="V70" s="79"/>
      <c r="W70" s="208">
        <f>ROUND((ROUND((ROUND((ROUND((ROUND((_15_同援日１．５*_15・基礎２),0)*_15・２人),0)*(1+_15・A深夜)),0)*(1+_15・盲ろう)),0)*(1+_15・区３)),0)</f>
        <v>877</v>
      </c>
      <c r="X70" s="48"/>
    </row>
    <row r="71" spans="1:24" ht="16.5" customHeight="1" x14ac:dyDescent="0.15">
      <c r="A71" s="41">
        <v>15</v>
      </c>
      <c r="B71" s="41">
        <v>8591</v>
      </c>
      <c r="C71" s="74" t="s">
        <v>18554</v>
      </c>
      <c r="D71" s="72"/>
      <c r="F71" s="57"/>
      <c r="G71" s="53"/>
      <c r="H71" s="49"/>
      <c r="I71" s="50"/>
      <c r="J71" s="163"/>
      <c r="K71" s="45"/>
      <c r="L71" s="46"/>
      <c r="M71" s="512"/>
      <c r="N71" s="57"/>
      <c r="O71" s="53"/>
      <c r="P71" s="49"/>
      <c r="Q71" s="50"/>
      <c r="R71" s="115"/>
      <c r="S71" s="53"/>
      <c r="T71" s="49"/>
      <c r="U71" s="50"/>
      <c r="V71" s="115"/>
      <c r="W71" s="208">
        <f>ROUND((ROUND((_15_同援日１．５*(1+_15・A深夜)),0)*(1+_15・区４)),0)</f>
        <v>910</v>
      </c>
      <c r="X71" s="48"/>
    </row>
    <row r="72" spans="1:24" ht="16.5" customHeight="1" x14ac:dyDescent="0.15">
      <c r="A72" s="41">
        <v>15</v>
      </c>
      <c r="B72" s="41">
        <v>8592</v>
      </c>
      <c r="C72" s="74" t="s">
        <v>18555</v>
      </c>
      <c r="D72" s="72"/>
      <c r="F72" s="57"/>
      <c r="G72" s="43"/>
      <c r="H72" s="37"/>
      <c r="I72" s="38"/>
      <c r="J72" s="299" t="s">
        <v>17556</v>
      </c>
      <c r="K72" s="45" t="s">
        <v>398</v>
      </c>
      <c r="L72" s="46">
        <v>1</v>
      </c>
      <c r="M72" s="512"/>
      <c r="N72" s="57"/>
      <c r="O72" s="35"/>
      <c r="R72" s="57"/>
      <c r="S72" s="35"/>
      <c r="V72" s="57"/>
      <c r="W72" s="208">
        <f>ROUND((ROUND((ROUND((_15_同援日１．５*_15・２人),0)*(1+_15・A深夜)),0)*(1+_15・区４)),0)</f>
        <v>910</v>
      </c>
      <c r="X72" s="48"/>
    </row>
    <row r="73" spans="1:24" ht="16.5" customHeight="1" x14ac:dyDescent="0.15">
      <c r="A73" s="41">
        <v>15</v>
      </c>
      <c r="B73" s="41">
        <v>8593</v>
      </c>
      <c r="C73" s="74" t="s">
        <v>18556</v>
      </c>
      <c r="D73" s="72"/>
      <c r="F73" s="57"/>
      <c r="G73" s="114" t="s">
        <v>17558</v>
      </c>
      <c r="H73" s="49"/>
      <c r="I73" s="50"/>
      <c r="J73" s="163"/>
      <c r="K73" s="45"/>
      <c r="L73" s="46"/>
      <c r="M73" s="512"/>
      <c r="N73" s="57"/>
      <c r="O73" s="35"/>
      <c r="R73" s="57"/>
      <c r="S73" s="72" t="s">
        <v>17580</v>
      </c>
      <c r="V73" s="57"/>
      <c r="W73" s="208">
        <f>ROUND((ROUND((ROUND((_15_同援日１．５*_15・基礎２),0)*(1+_15・A深夜)),0)*(1+_15・区４)),0)</f>
        <v>819</v>
      </c>
      <c r="X73" s="48"/>
    </row>
    <row r="74" spans="1:24" ht="16.5" customHeight="1" x14ac:dyDescent="0.15">
      <c r="A74" s="41">
        <v>15</v>
      </c>
      <c r="B74" s="41">
        <v>8594</v>
      </c>
      <c r="C74" s="74" t="s">
        <v>18557</v>
      </c>
      <c r="D74" s="72"/>
      <c r="F74" s="57"/>
      <c r="G74" s="269" t="s">
        <v>17560</v>
      </c>
      <c r="H74" s="37" t="s">
        <v>398</v>
      </c>
      <c r="I74" s="38">
        <v>0.9</v>
      </c>
      <c r="J74" s="299" t="s">
        <v>17556</v>
      </c>
      <c r="K74" s="45" t="s">
        <v>398</v>
      </c>
      <c r="L74" s="46">
        <v>1</v>
      </c>
      <c r="M74" s="512"/>
      <c r="N74" s="57"/>
      <c r="O74" s="43"/>
      <c r="P74" s="37"/>
      <c r="Q74" s="38"/>
      <c r="R74" s="79"/>
      <c r="S74" s="72" t="s">
        <v>17572</v>
      </c>
      <c r="V74" s="57"/>
      <c r="W74" s="208">
        <f>ROUND((ROUND((ROUND((ROUND((_15_同援日１．５*_15・基礎２),0)*_15・２人),0)*(1+_15・A深夜)),0)*(1+_15・区４)),0)</f>
        <v>819</v>
      </c>
      <c r="X74" s="48"/>
    </row>
    <row r="75" spans="1:24" ht="16.5" customHeight="1" x14ac:dyDescent="0.15">
      <c r="A75" s="41">
        <v>15</v>
      </c>
      <c r="B75" s="41">
        <v>8595</v>
      </c>
      <c r="C75" s="74" t="s">
        <v>18558</v>
      </c>
      <c r="D75" s="72"/>
      <c r="F75" s="57"/>
      <c r="G75" s="53"/>
      <c r="H75" s="49"/>
      <c r="I75" s="50"/>
      <c r="J75" s="163"/>
      <c r="K75" s="45"/>
      <c r="L75" s="46"/>
      <c r="M75" s="512"/>
      <c r="N75" s="57"/>
      <c r="O75" s="114" t="s">
        <v>17562</v>
      </c>
      <c r="P75" s="49"/>
      <c r="Q75" s="50"/>
      <c r="R75" s="115"/>
      <c r="S75" s="35"/>
      <c r="T75" s="12" t="s">
        <v>398</v>
      </c>
      <c r="U75" s="13">
        <v>0.4</v>
      </c>
      <c r="V75" s="57" t="s">
        <v>3575</v>
      </c>
      <c r="W75" s="208">
        <f>ROUND((ROUND((ROUND((_15_同援日１．５*(1+_15・A深夜)),0)*(1+_15・盲ろう)),0)*(1+_15・区４)),0)</f>
        <v>1138</v>
      </c>
      <c r="X75" s="48"/>
    </row>
    <row r="76" spans="1:24" ht="16.5" customHeight="1" x14ac:dyDescent="0.15">
      <c r="A76" s="41">
        <v>15</v>
      </c>
      <c r="B76" s="41">
        <v>8596</v>
      </c>
      <c r="C76" s="74" t="s">
        <v>18559</v>
      </c>
      <c r="D76" s="72"/>
      <c r="F76" s="57"/>
      <c r="G76" s="43"/>
      <c r="H76" s="37"/>
      <c r="I76" s="38"/>
      <c r="J76" s="299" t="s">
        <v>17556</v>
      </c>
      <c r="K76" s="45" t="s">
        <v>398</v>
      </c>
      <c r="L76" s="46">
        <v>1</v>
      </c>
      <c r="M76" s="512"/>
      <c r="N76" s="57"/>
      <c r="O76" s="92" t="s">
        <v>17564</v>
      </c>
      <c r="R76" s="57"/>
      <c r="S76" s="35"/>
      <c r="V76" s="57"/>
      <c r="W76" s="208">
        <f>ROUND((ROUND((ROUND((ROUND((_15_同援日１．５*_15・２人),0)*(1+_15・A深夜)),0)*(1+_15・盲ろう)),0)*(1+_15・区４)),0)</f>
        <v>1138</v>
      </c>
      <c r="X76" s="48"/>
    </row>
    <row r="77" spans="1:24" ht="16.5" customHeight="1" x14ac:dyDescent="0.15">
      <c r="A77" s="41">
        <v>15</v>
      </c>
      <c r="B77" s="41">
        <v>8597</v>
      </c>
      <c r="C77" s="74" t="s">
        <v>18560</v>
      </c>
      <c r="D77" s="72"/>
      <c r="F77" s="57"/>
      <c r="G77" s="114" t="s">
        <v>17558</v>
      </c>
      <c r="H77" s="49"/>
      <c r="I77" s="50"/>
      <c r="J77" s="163"/>
      <c r="K77" s="45"/>
      <c r="L77" s="46"/>
      <c r="M77" s="512"/>
      <c r="N77" s="57"/>
      <c r="O77" s="35"/>
      <c r="P77" s="12" t="s">
        <v>398</v>
      </c>
      <c r="Q77" s="13">
        <v>0.25</v>
      </c>
      <c r="R77" s="57" t="s">
        <v>3575</v>
      </c>
      <c r="S77" s="35"/>
      <c r="V77" s="57"/>
      <c r="W77" s="208">
        <f>ROUND((ROUND((ROUND((ROUND((_15_同援日１．５*_15・基礎２),0)*(1+_15・A深夜)),0)*(1+_15・盲ろう)),0)*(1+_15・区４)),0)</f>
        <v>1023</v>
      </c>
      <c r="X77" s="48"/>
    </row>
    <row r="78" spans="1:24" ht="16.5" customHeight="1" x14ac:dyDescent="0.15">
      <c r="A78" s="41">
        <v>15</v>
      </c>
      <c r="B78" s="41">
        <v>8598</v>
      </c>
      <c r="C78" s="74" t="s">
        <v>18561</v>
      </c>
      <c r="D78" s="122"/>
      <c r="E78" s="37"/>
      <c r="F78" s="79"/>
      <c r="G78" s="269" t="s">
        <v>17560</v>
      </c>
      <c r="H78" s="37" t="s">
        <v>398</v>
      </c>
      <c r="I78" s="38">
        <v>0.9</v>
      </c>
      <c r="J78" s="299" t="s">
        <v>17556</v>
      </c>
      <c r="K78" s="45" t="s">
        <v>398</v>
      </c>
      <c r="L78" s="46">
        <v>1</v>
      </c>
      <c r="M78" s="512"/>
      <c r="N78" s="57"/>
      <c r="O78" s="43"/>
      <c r="P78" s="37"/>
      <c r="Q78" s="38"/>
      <c r="R78" s="79"/>
      <c r="S78" s="43"/>
      <c r="T78" s="37"/>
      <c r="U78" s="38"/>
      <c r="V78" s="79"/>
      <c r="W78" s="208">
        <f>ROUND((ROUND((ROUND((ROUND((ROUND((_15_同援日１．５*_15・基礎２),0)*_15・２人),0)*(1+_15・A深夜)),0)*(1+_15・盲ろう)),0)*(1+_15・区４)),0)</f>
        <v>1023</v>
      </c>
      <c r="X78" s="48"/>
    </row>
    <row r="79" spans="1:24" ht="16.5" customHeight="1" x14ac:dyDescent="0.15">
      <c r="A79" s="41">
        <v>15</v>
      </c>
      <c r="B79" s="41">
        <v>8599</v>
      </c>
      <c r="C79" s="74" t="s">
        <v>18562</v>
      </c>
      <c r="D79" s="114" t="s">
        <v>18563</v>
      </c>
      <c r="E79" s="49"/>
      <c r="F79" s="115"/>
      <c r="G79" s="53"/>
      <c r="H79" s="49"/>
      <c r="I79" s="50"/>
      <c r="J79" s="163"/>
      <c r="K79" s="45"/>
      <c r="L79" s="46"/>
      <c r="M79" s="512"/>
      <c r="N79" s="57"/>
      <c r="O79" s="53"/>
      <c r="P79" s="49"/>
      <c r="Q79" s="50"/>
      <c r="R79" s="115"/>
      <c r="S79" s="53"/>
      <c r="T79" s="49"/>
      <c r="U79" s="50"/>
      <c r="V79" s="115"/>
      <c r="W79" s="208">
        <f>ROUND((_15_同援日２．０*(1+_15・A深夜)),0)</f>
        <v>747</v>
      </c>
      <c r="X79" s="48"/>
    </row>
    <row r="80" spans="1:24" ht="16.5" customHeight="1" x14ac:dyDescent="0.15">
      <c r="A80" s="41">
        <v>15</v>
      </c>
      <c r="B80" s="41">
        <v>8600</v>
      </c>
      <c r="C80" s="74" t="s">
        <v>18564</v>
      </c>
      <c r="D80" s="72" t="s">
        <v>17643</v>
      </c>
      <c r="F80" s="57"/>
      <c r="G80" s="43"/>
      <c r="H80" s="37"/>
      <c r="I80" s="38"/>
      <c r="J80" s="299" t="s">
        <v>17556</v>
      </c>
      <c r="K80" s="45" t="s">
        <v>398</v>
      </c>
      <c r="L80" s="46">
        <v>1</v>
      </c>
      <c r="M80" s="512"/>
      <c r="N80" s="57"/>
      <c r="O80" s="35"/>
      <c r="R80" s="57"/>
      <c r="S80" s="35"/>
      <c r="V80" s="57"/>
      <c r="W80" s="208">
        <f>ROUND((ROUND((_15_同援日２．０*_15・２人),0)*(1+_15・A深夜)),0)</f>
        <v>747</v>
      </c>
      <c r="X80" s="48"/>
    </row>
    <row r="81" spans="1:24" ht="16.5" customHeight="1" x14ac:dyDescent="0.15">
      <c r="A81" s="41">
        <v>15</v>
      </c>
      <c r="B81" s="41">
        <v>8601</v>
      </c>
      <c r="C81" s="74" t="s">
        <v>18565</v>
      </c>
      <c r="D81" s="72" t="s">
        <v>17645</v>
      </c>
      <c r="F81" s="57"/>
      <c r="G81" s="114" t="s">
        <v>17558</v>
      </c>
      <c r="H81" s="49"/>
      <c r="I81" s="50"/>
      <c r="J81" s="163"/>
      <c r="K81" s="45"/>
      <c r="L81" s="46"/>
      <c r="M81" s="512"/>
      <c r="N81" s="57"/>
      <c r="O81" s="35"/>
      <c r="R81" s="57"/>
      <c r="S81" s="35"/>
      <c r="V81" s="57"/>
      <c r="W81" s="208">
        <f>ROUND((ROUND((_15_同援日２．０*_15・基礎２),0)*(1+_15・A深夜)),0)</f>
        <v>672</v>
      </c>
      <c r="X81" s="48"/>
    </row>
    <row r="82" spans="1:24" ht="16.5" customHeight="1" x14ac:dyDescent="0.15">
      <c r="A82" s="41">
        <v>15</v>
      </c>
      <c r="B82" s="41">
        <v>8602</v>
      </c>
      <c r="C82" s="74" t="s">
        <v>18566</v>
      </c>
      <c r="D82" s="72"/>
      <c r="E82" s="168">
        <f>_15_同援日２．０</f>
        <v>498</v>
      </c>
      <c r="F82" s="57" t="s">
        <v>392</v>
      </c>
      <c r="G82" s="269" t="s">
        <v>17560</v>
      </c>
      <c r="H82" s="37" t="s">
        <v>398</v>
      </c>
      <c r="I82" s="38">
        <v>0.9</v>
      </c>
      <c r="J82" s="299" t="s">
        <v>17556</v>
      </c>
      <c r="K82" s="45" t="s">
        <v>398</v>
      </c>
      <c r="L82" s="46">
        <v>1</v>
      </c>
      <c r="M82" s="512"/>
      <c r="N82" s="57"/>
      <c r="O82" s="43"/>
      <c r="P82" s="37"/>
      <c r="Q82" s="38"/>
      <c r="R82" s="79"/>
      <c r="S82" s="35"/>
      <c r="V82" s="57"/>
      <c r="W82" s="208">
        <f>ROUND((ROUND((ROUND((_15_同援日２．０*_15・基礎２),0)*_15・２人),0)*(1+_15・A深夜)),0)</f>
        <v>672</v>
      </c>
      <c r="X82" s="48"/>
    </row>
    <row r="83" spans="1:24" ht="16.5" customHeight="1" x14ac:dyDescent="0.15">
      <c r="A83" s="41">
        <v>15</v>
      </c>
      <c r="B83" s="41">
        <v>8603</v>
      </c>
      <c r="C83" s="74" t="s">
        <v>18567</v>
      </c>
      <c r="D83" s="72"/>
      <c r="F83" s="57"/>
      <c r="G83" s="53"/>
      <c r="H83" s="49"/>
      <c r="I83" s="50"/>
      <c r="J83" s="163"/>
      <c r="K83" s="45"/>
      <c r="L83" s="46"/>
      <c r="M83" s="512"/>
      <c r="N83" s="57"/>
      <c r="O83" s="114" t="s">
        <v>17562</v>
      </c>
      <c r="P83" s="49"/>
      <c r="Q83" s="50"/>
      <c r="R83" s="115"/>
      <c r="S83" s="35"/>
      <c r="V83" s="57"/>
      <c r="W83" s="208">
        <f>ROUND((ROUND((_15_同援日２．０*(1+_15・A深夜)),0)*(1+_15・盲ろう)),0)</f>
        <v>934</v>
      </c>
      <c r="X83" s="48"/>
    </row>
    <row r="84" spans="1:24" ht="16.5" customHeight="1" x14ac:dyDescent="0.15">
      <c r="A84" s="41">
        <v>15</v>
      </c>
      <c r="B84" s="41">
        <v>8604</v>
      </c>
      <c r="C84" s="74" t="s">
        <v>18568</v>
      </c>
      <c r="D84" s="72"/>
      <c r="F84" s="57"/>
      <c r="G84" s="43"/>
      <c r="H84" s="37"/>
      <c r="I84" s="38"/>
      <c r="J84" s="299" t="s">
        <v>17556</v>
      </c>
      <c r="K84" s="45" t="s">
        <v>398</v>
      </c>
      <c r="L84" s="46">
        <v>1</v>
      </c>
      <c r="M84" s="512"/>
      <c r="N84" s="57"/>
      <c r="O84" s="92" t="s">
        <v>17564</v>
      </c>
      <c r="R84" s="57"/>
      <c r="S84" s="35"/>
      <c r="V84" s="57"/>
      <c r="W84" s="208">
        <f>ROUND((ROUND((ROUND((_15_同援日２．０*_15・２人),0)*(1+_15・A深夜)),0)*(1+_15・盲ろう)),0)</f>
        <v>934</v>
      </c>
      <c r="X84" s="48"/>
    </row>
    <row r="85" spans="1:24" ht="16.5" customHeight="1" x14ac:dyDescent="0.15">
      <c r="A85" s="41">
        <v>15</v>
      </c>
      <c r="B85" s="41">
        <v>8605</v>
      </c>
      <c r="C85" s="74" t="s">
        <v>18569</v>
      </c>
      <c r="D85" s="72"/>
      <c r="F85" s="57"/>
      <c r="G85" s="114" t="s">
        <v>17558</v>
      </c>
      <c r="H85" s="49"/>
      <c r="I85" s="50"/>
      <c r="J85" s="163"/>
      <c r="K85" s="45"/>
      <c r="L85" s="46"/>
      <c r="M85" s="512"/>
      <c r="N85" s="57"/>
      <c r="O85" s="35"/>
      <c r="P85" s="12" t="s">
        <v>398</v>
      </c>
      <c r="Q85" s="13">
        <v>0.25</v>
      </c>
      <c r="R85" s="57" t="s">
        <v>3575</v>
      </c>
      <c r="S85" s="35"/>
      <c r="V85" s="57"/>
      <c r="W85" s="208">
        <f>ROUND((ROUND((ROUND((_15_同援日２．０*_15・基礎２),0)*(1+_15・A深夜)),0)*(1+_15・盲ろう)),0)</f>
        <v>840</v>
      </c>
      <c r="X85" s="48"/>
    </row>
    <row r="86" spans="1:24" ht="16.5" customHeight="1" x14ac:dyDescent="0.15">
      <c r="A86" s="41">
        <v>15</v>
      </c>
      <c r="B86" s="41">
        <v>8606</v>
      </c>
      <c r="C86" s="74" t="s">
        <v>18570</v>
      </c>
      <c r="D86" s="72"/>
      <c r="F86" s="57"/>
      <c r="G86" s="269" t="s">
        <v>17560</v>
      </c>
      <c r="H86" s="37" t="s">
        <v>398</v>
      </c>
      <c r="I86" s="38">
        <v>0.9</v>
      </c>
      <c r="J86" s="299" t="s">
        <v>17556</v>
      </c>
      <c r="K86" s="45" t="s">
        <v>398</v>
      </c>
      <c r="L86" s="46">
        <v>1</v>
      </c>
      <c r="M86" s="512"/>
      <c r="N86" s="57"/>
      <c r="O86" s="43"/>
      <c r="P86" s="37"/>
      <c r="Q86" s="38"/>
      <c r="R86" s="79"/>
      <c r="S86" s="43"/>
      <c r="T86" s="37"/>
      <c r="U86" s="38"/>
      <c r="V86" s="79"/>
      <c r="W86" s="208">
        <f>ROUND((ROUND((ROUND((ROUND((_15_同援日２．０*_15・基礎２),0)*_15・２人),0)*(1+_15・A深夜)),0)*(1+_15・盲ろう)),0)</f>
        <v>840</v>
      </c>
      <c r="X86" s="48"/>
    </row>
    <row r="87" spans="1:24" ht="16.5" customHeight="1" x14ac:dyDescent="0.15">
      <c r="A87" s="41">
        <v>15</v>
      </c>
      <c r="B87" s="41">
        <v>8607</v>
      </c>
      <c r="C87" s="74" t="s">
        <v>18571</v>
      </c>
      <c r="D87" s="72"/>
      <c r="F87" s="57"/>
      <c r="G87" s="53"/>
      <c r="H87" s="49"/>
      <c r="I87" s="50"/>
      <c r="J87" s="163"/>
      <c r="K87" s="45"/>
      <c r="L87" s="46"/>
      <c r="M87" s="512"/>
      <c r="N87" s="57"/>
      <c r="O87" s="53"/>
      <c r="P87" s="49"/>
      <c r="Q87" s="50"/>
      <c r="R87" s="115"/>
      <c r="S87" s="53"/>
      <c r="T87" s="49"/>
      <c r="U87" s="50"/>
      <c r="V87" s="115"/>
      <c r="W87" s="208">
        <f>ROUND((ROUND((_15_同援日２．０*(1+_15・A深夜)),0)*(1+_15・区３)),0)</f>
        <v>896</v>
      </c>
      <c r="X87" s="48"/>
    </row>
    <row r="88" spans="1:24" ht="16.5" customHeight="1" x14ac:dyDescent="0.15">
      <c r="A88" s="41">
        <v>15</v>
      </c>
      <c r="B88" s="41">
        <v>8608</v>
      </c>
      <c r="C88" s="74" t="s">
        <v>18572</v>
      </c>
      <c r="D88" s="72"/>
      <c r="F88" s="57"/>
      <c r="G88" s="43"/>
      <c r="H88" s="37"/>
      <c r="I88" s="38"/>
      <c r="J88" s="299" t="s">
        <v>17556</v>
      </c>
      <c r="K88" s="45" t="s">
        <v>398</v>
      </c>
      <c r="L88" s="46">
        <v>1</v>
      </c>
      <c r="M88" s="512"/>
      <c r="N88" s="57"/>
      <c r="O88" s="35"/>
      <c r="R88" s="57"/>
      <c r="S88" s="35"/>
      <c r="V88" s="57"/>
      <c r="W88" s="208">
        <f>ROUND((ROUND((ROUND((_15_同援日２．０*_15・２人),0)*(1+_15・A深夜)),0)*(1+_15・区３)),0)</f>
        <v>896</v>
      </c>
      <c r="X88" s="48"/>
    </row>
    <row r="89" spans="1:24" ht="16.5" customHeight="1" x14ac:dyDescent="0.15">
      <c r="A89" s="41">
        <v>15</v>
      </c>
      <c r="B89" s="41">
        <v>8609</v>
      </c>
      <c r="C89" s="74" t="s">
        <v>18573</v>
      </c>
      <c r="D89" s="72"/>
      <c r="F89" s="57"/>
      <c r="G89" s="114" t="s">
        <v>17558</v>
      </c>
      <c r="H89" s="49"/>
      <c r="I89" s="50"/>
      <c r="J89" s="163"/>
      <c r="K89" s="45"/>
      <c r="L89" s="46"/>
      <c r="M89" s="512"/>
      <c r="N89" s="57"/>
      <c r="O89" s="35"/>
      <c r="R89" s="57"/>
      <c r="S89" s="72" t="s">
        <v>17570</v>
      </c>
      <c r="V89" s="57"/>
      <c r="W89" s="208">
        <f>ROUND((ROUND((ROUND((_15_同援日２．０*_15・基礎２),0)*(1+_15・A深夜)),0)*(1+_15・区３)),0)</f>
        <v>806</v>
      </c>
      <c r="X89" s="48"/>
    </row>
    <row r="90" spans="1:24" ht="16.5" customHeight="1" x14ac:dyDescent="0.15">
      <c r="A90" s="41">
        <v>15</v>
      </c>
      <c r="B90" s="41">
        <v>8610</v>
      </c>
      <c r="C90" s="74" t="s">
        <v>18574</v>
      </c>
      <c r="D90" s="72"/>
      <c r="F90" s="57"/>
      <c r="G90" s="269" t="s">
        <v>17560</v>
      </c>
      <c r="H90" s="37" t="s">
        <v>398</v>
      </c>
      <c r="I90" s="38">
        <v>0.9</v>
      </c>
      <c r="J90" s="299" t="s">
        <v>17556</v>
      </c>
      <c r="K90" s="45" t="s">
        <v>398</v>
      </c>
      <c r="L90" s="46">
        <v>1</v>
      </c>
      <c r="M90" s="512"/>
      <c r="N90" s="57"/>
      <c r="O90" s="43"/>
      <c r="P90" s="37"/>
      <c r="Q90" s="38"/>
      <c r="R90" s="79"/>
      <c r="S90" s="72" t="s">
        <v>17572</v>
      </c>
      <c r="V90" s="57"/>
      <c r="W90" s="208">
        <f>ROUND((ROUND((ROUND((ROUND((_15_同援日２．０*_15・基礎２),0)*_15・２人),0)*(1+_15・A深夜)),0)*(1+_15・区３)),0)</f>
        <v>806</v>
      </c>
      <c r="X90" s="48"/>
    </row>
    <row r="91" spans="1:24" ht="16.5" customHeight="1" x14ac:dyDescent="0.15">
      <c r="A91" s="41">
        <v>15</v>
      </c>
      <c r="B91" s="41">
        <v>8611</v>
      </c>
      <c r="C91" s="74" t="s">
        <v>18575</v>
      </c>
      <c r="D91" s="72"/>
      <c r="F91" s="57"/>
      <c r="G91" s="53"/>
      <c r="H91" s="49"/>
      <c r="I91" s="50"/>
      <c r="J91" s="163"/>
      <c r="K91" s="45"/>
      <c r="L91" s="46"/>
      <c r="M91" s="512"/>
      <c r="N91" s="57"/>
      <c r="O91" s="114" t="s">
        <v>17562</v>
      </c>
      <c r="P91" s="49"/>
      <c r="Q91" s="50"/>
      <c r="R91" s="115"/>
      <c r="S91" s="35"/>
      <c r="T91" s="12" t="s">
        <v>398</v>
      </c>
      <c r="U91" s="13">
        <v>0.2</v>
      </c>
      <c r="V91" s="57" t="s">
        <v>3575</v>
      </c>
      <c r="W91" s="208">
        <f>ROUND((ROUND((ROUND((_15_同援日２．０*(1+_15・A深夜)),0)*(1+_15・盲ろう)),0)*(1+_15・区３)),0)</f>
        <v>1121</v>
      </c>
      <c r="X91" s="48"/>
    </row>
    <row r="92" spans="1:24" ht="16.5" customHeight="1" x14ac:dyDescent="0.15">
      <c r="A92" s="41">
        <v>15</v>
      </c>
      <c r="B92" s="41">
        <v>8612</v>
      </c>
      <c r="C92" s="74" t="s">
        <v>18576</v>
      </c>
      <c r="D92" s="72"/>
      <c r="F92" s="57"/>
      <c r="G92" s="43"/>
      <c r="H92" s="37"/>
      <c r="I92" s="38"/>
      <c r="J92" s="299" t="s">
        <v>17556</v>
      </c>
      <c r="K92" s="45" t="s">
        <v>398</v>
      </c>
      <c r="L92" s="46">
        <v>1</v>
      </c>
      <c r="M92" s="512"/>
      <c r="N92" s="57"/>
      <c r="O92" s="92" t="s">
        <v>17564</v>
      </c>
      <c r="R92" s="57"/>
      <c r="S92" s="35"/>
      <c r="V92" s="57"/>
      <c r="W92" s="208">
        <f>ROUND((ROUND((ROUND((ROUND((_15_同援日２．０*_15・２人),0)*(1+_15・A深夜)),0)*(1+_15・盲ろう)),0)*(1+_15・区３)),0)</f>
        <v>1121</v>
      </c>
      <c r="X92" s="48"/>
    </row>
    <row r="93" spans="1:24" ht="16.5" customHeight="1" x14ac:dyDescent="0.15">
      <c r="A93" s="41">
        <v>15</v>
      </c>
      <c r="B93" s="41">
        <v>8613</v>
      </c>
      <c r="C93" s="74" t="s">
        <v>18577</v>
      </c>
      <c r="D93" s="72"/>
      <c r="F93" s="57"/>
      <c r="G93" s="114" t="s">
        <v>17558</v>
      </c>
      <c r="H93" s="49"/>
      <c r="I93" s="50"/>
      <c r="J93" s="163"/>
      <c r="K93" s="45"/>
      <c r="L93" s="46"/>
      <c r="M93" s="512"/>
      <c r="N93" s="57"/>
      <c r="O93" s="35"/>
      <c r="P93" s="12" t="s">
        <v>398</v>
      </c>
      <c r="Q93" s="13">
        <v>0.25</v>
      </c>
      <c r="R93" s="57" t="s">
        <v>3575</v>
      </c>
      <c r="S93" s="35"/>
      <c r="V93" s="57"/>
      <c r="W93" s="208">
        <f>ROUND((ROUND((ROUND((ROUND((_15_同援日２．０*_15・基礎２),0)*(1+_15・A深夜)),0)*(1+_15・盲ろう)),0)*(1+_15・区３)),0)</f>
        <v>1008</v>
      </c>
      <c r="X93" s="48"/>
    </row>
    <row r="94" spans="1:24" ht="16.5" customHeight="1" x14ac:dyDescent="0.15">
      <c r="A94" s="41">
        <v>15</v>
      </c>
      <c r="B94" s="41">
        <v>8614</v>
      </c>
      <c r="C94" s="74" t="s">
        <v>18578</v>
      </c>
      <c r="D94" s="72"/>
      <c r="F94" s="57"/>
      <c r="G94" s="269" t="s">
        <v>17560</v>
      </c>
      <c r="H94" s="37" t="s">
        <v>398</v>
      </c>
      <c r="I94" s="38">
        <v>0.9</v>
      </c>
      <c r="J94" s="299" t="s">
        <v>17556</v>
      </c>
      <c r="K94" s="45" t="s">
        <v>398</v>
      </c>
      <c r="L94" s="46">
        <v>1</v>
      </c>
      <c r="M94" s="512"/>
      <c r="N94" s="57"/>
      <c r="O94" s="43"/>
      <c r="P94" s="37"/>
      <c r="Q94" s="38"/>
      <c r="R94" s="79"/>
      <c r="S94" s="43"/>
      <c r="T94" s="37"/>
      <c r="U94" s="38"/>
      <c r="V94" s="79"/>
      <c r="W94" s="208">
        <f>ROUND((ROUND((ROUND((ROUND((ROUND((_15_同援日２．０*_15・基礎２),0)*_15・２人),0)*(1+_15・A深夜)),0)*(1+_15・盲ろう)),0)*(1+_15・区３)),0)</f>
        <v>1008</v>
      </c>
      <c r="X94" s="48"/>
    </row>
    <row r="95" spans="1:24" ht="16.5" customHeight="1" x14ac:dyDescent="0.15">
      <c r="A95" s="41">
        <v>15</v>
      </c>
      <c r="B95" s="41">
        <v>8615</v>
      </c>
      <c r="C95" s="74" t="s">
        <v>18579</v>
      </c>
      <c r="D95" s="72"/>
      <c r="F95" s="57"/>
      <c r="G95" s="53"/>
      <c r="H95" s="49"/>
      <c r="I95" s="50"/>
      <c r="J95" s="163"/>
      <c r="K95" s="45"/>
      <c r="L95" s="46"/>
      <c r="M95" s="512"/>
      <c r="N95" s="57"/>
      <c r="O95" s="53"/>
      <c r="P95" s="49"/>
      <c r="Q95" s="50"/>
      <c r="R95" s="115"/>
      <c r="S95" s="53"/>
      <c r="T95" s="49"/>
      <c r="U95" s="50"/>
      <c r="V95" s="115"/>
      <c r="W95" s="208">
        <f>ROUND((ROUND((_15_同援日２．０*(1+_15・A深夜)),0)*(1+_15・区４)),0)</f>
        <v>1046</v>
      </c>
      <c r="X95" s="48"/>
    </row>
    <row r="96" spans="1:24" ht="16.5" customHeight="1" x14ac:dyDescent="0.15">
      <c r="A96" s="41">
        <v>15</v>
      </c>
      <c r="B96" s="41">
        <v>8616</v>
      </c>
      <c r="C96" s="74" t="s">
        <v>18580</v>
      </c>
      <c r="D96" s="72"/>
      <c r="F96" s="57"/>
      <c r="G96" s="43"/>
      <c r="H96" s="37"/>
      <c r="I96" s="38"/>
      <c r="J96" s="299" t="s">
        <v>17556</v>
      </c>
      <c r="K96" s="45" t="s">
        <v>398</v>
      </c>
      <c r="L96" s="46">
        <v>1</v>
      </c>
      <c r="M96" s="512"/>
      <c r="N96" s="57"/>
      <c r="O96" s="35"/>
      <c r="R96" s="57"/>
      <c r="S96" s="35"/>
      <c r="V96" s="57"/>
      <c r="W96" s="208">
        <f>ROUND((ROUND((ROUND((_15_同援日２．０*_15・２人),0)*(1+_15・A深夜)),0)*(1+_15・区４)),0)</f>
        <v>1046</v>
      </c>
      <c r="X96" s="48"/>
    </row>
    <row r="97" spans="1:24" ht="16.5" customHeight="1" x14ac:dyDescent="0.15">
      <c r="A97" s="41">
        <v>15</v>
      </c>
      <c r="B97" s="41">
        <v>8617</v>
      </c>
      <c r="C97" s="74" t="s">
        <v>18581</v>
      </c>
      <c r="D97" s="72"/>
      <c r="F97" s="57"/>
      <c r="G97" s="114" t="s">
        <v>17558</v>
      </c>
      <c r="H97" s="49"/>
      <c r="I97" s="50"/>
      <c r="J97" s="163"/>
      <c r="K97" s="45"/>
      <c r="L97" s="46"/>
      <c r="M97" s="512"/>
      <c r="N97" s="57"/>
      <c r="O97" s="35"/>
      <c r="R97" s="57"/>
      <c r="S97" s="72" t="s">
        <v>17580</v>
      </c>
      <c r="V97" s="57"/>
      <c r="W97" s="208">
        <f>ROUND((ROUND((ROUND((_15_同援日２．０*_15・基礎２),0)*(1+_15・A深夜)),0)*(1+_15・区４)),0)</f>
        <v>941</v>
      </c>
      <c r="X97" s="48"/>
    </row>
    <row r="98" spans="1:24" ht="16.5" customHeight="1" x14ac:dyDescent="0.15">
      <c r="A98" s="41">
        <v>15</v>
      </c>
      <c r="B98" s="41">
        <v>8618</v>
      </c>
      <c r="C98" s="74" t="s">
        <v>18582</v>
      </c>
      <c r="D98" s="72"/>
      <c r="F98" s="57"/>
      <c r="G98" s="269" t="s">
        <v>17560</v>
      </c>
      <c r="H98" s="37" t="s">
        <v>398</v>
      </c>
      <c r="I98" s="38">
        <v>0.9</v>
      </c>
      <c r="J98" s="299" t="s">
        <v>17556</v>
      </c>
      <c r="K98" s="45" t="s">
        <v>398</v>
      </c>
      <c r="L98" s="46">
        <v>1</v>
      </c>
      <c r="M98" s="512"/>
      <c r="N98" s="57"/>
      <c r="O98" s="43"/>
      <c r="P98" s="37"/>
      <c r="Q98" s="38"/>
      <c r="R98" s="79"/>
      <c r="S98" s="72" t="s">
        <v>17572</v>
      </c>
      <c r="V98" s="57"/>
      <c r="W98" s="208">
        <f>ROUND((ROUND((ROUND((ROUND((_15_同援日２．０*_15・基礎２),0)*_15・２人),0)*(1+_15・A深夜)),0)*(1+_15・区４)),0)</f>
        <v>941</v>
      </c>
      <c r="X98" s="48"/>
    </row>
    <row r="99" spans="1:24" ht="16.5" customHeight="1" x14ac:dyDescent="0.15">
      <c r="A99" s="41">
        <v>15</v>
      </c>
      <c r="B99" s="41">
        <v>8619</v>
      </c>
      <c r="C99" s="74" t="s">
        <v>18583</v>
      </c>
      <c r="D99" s="72"/>
      <c r="F99" s="57"/>
      <c r="G99" s="53"/>
      <c r="H99" s="49"/>
      <c r="I99" s="50"/>
      <c r="J99" s="163"/>
      <c r="K99" s="45"/>
      <c r="L99" s="46"/>
      <c r="M99" s="512"/>
      <c r="N99" s="57"/>
      <c r="O99" s="114" t="s">
        <v>17562</v>
      </c>
      <c r="P99" s="49"/>
      <c r="Q99" s="50"/>
      <c r="R99" s="115"/>
      <c r="S99" s="35"/>
      <c r="T99" s="12" t="s">
        <v>398</v>
      </c>
      <c r="U99" s="13">
        <v>0.4</v>
      </c>
      <c r="V99" s="57" t="s">
        <v>3575</v>
      </c>
      <c r="W99" s="208">
        <f>ROUND((ROUND((ROUND((_15_同援日２．０*(1+_15・A深夜)),0)*(1+_15・盲ろう)),0)*(1+_15・区４)),0)</f>
        <v>1308</v>
      </c>
      <c r="X99" s="48"/>
    </row>
    <row r="100" spans="1:24" ht="16.5" customHeight="1" x14ac:dyDescent="0.15">
      <c r="A100" s="41">
        <v>15</v>
      </c>
      <c r="B100" s="41">
        <v>8620</v>
      </c>
      <c r="C100" s="74" t="s">
        <v>18584</v>
      </c>
      <c r="D100" s="72"/>
      <c r="F100" s="57"/>
      <c r="G100" s="43"/>
      <c r="H100" s="37"/>
      <c r="I100" s="38"/>
      <c r="J100" s="299" t="s">
        <v>17556</v>
      </c>
      <c r="K100" s="45" t="s">
        <v>398</v>
      </c>
      <c r="L100" s="46">
        <v>1</v>
      </c>
      <c r="M100" s="512"/>
      <c r="N100" s="57"/>
      <c r="O100" s="92" t="s">
        <v>17564</v>
      </c>
      <c r="R100" s="57"/>
      <c r="S100" s="35"/>
      <c r="V100" s="57"/>
      <c r="W100" s="208">
        <f>ROUND((ROUND((ROUND((ROUND((_15_同援日２．０*_15・２人),0)*(1+_15・A深夜)),0)*(1+_15・盲ろう)),0)*(1+_15・区４)),0)</f>
        <v>1308</v>
      </c>
      <c r="X100" s="48"/>
    </row>
    <row r="101" spans="1:24" ht="16.5" customHeight="1" x14ac:dyDescent="0.15">
      <c r="A101" s="41">
        <v>15</v>
      </c>
      <c r="B101" s="41">
        <v>8621</v>
      </c>
      <c r="C101" s="74" t="s">
        <v>18585</v>
      </c>
      <c r="D101" s="72"/>
      <c r="F101" s="57"/>
      <c r="G101" s="114" t="s">
        <v>17558</v>
      </c>
      <c r="H101" s="49"/>
      <c r="I101" s="50"/>
      <c r="J101" s="163"/>
      <c r="K101" s="45"/>
      <c r="L101" s="46"/>
      <c r="M101" s="512"/>
      <c r="N101" s="57"/>
      <c r="O101" s="35"/>
      <c r="P101" s="12" t="s">
        <v>398</v>
      </c>
      <c r="Q101" s="13">
        <v>0.25</v>
      </c>
      <c r="R101" s="57" t="s">
        <v>3575</v>
      </c>
      <c r="S101" s="35"/>
      <c r="V101" s="57"/>
      <c r="W101" s="208">
        <f>ROUND((ROUND((ROUND((ROUND((_15_同援日２．０*_15・基礎２),0)*(1+_15・A深夜)),0)*(1+_15・盲ろう)),0)*(1+_15・区４)),0)</f>
        <v>1176</v>
      </c>
      <c r="X101" s="48"/>
    </row>
    <row r="102" spans="1:24" ht="16.5" customHeight="1" x14ac:dyDescent="0.15">
      <c r="A102" s="41">
        <v>15</v>
      </c>
      <c r="B102" s="41">
        <v>8622</v>
      </c>
      <c r="C102" s="74" t="s">
        <v>18586</v>
      </c>
      <c r="D102" s="122"/>
      <c r="E102" s="37"/>
      <c r="F102" s="79"/>
      <c r="G102" s="269" t="s">
        <v>17560</v>
      </c>
      <c r="H102" s="37" t="s">
        <v>398</v>
      </c>
      <c r="I102" s="38">
        <v>0.9</v>
      </c>
      <c r="J102" s="299" t="s">
        <v>17556</v>
      </c>
      <c r="K102" s="45" t="s">
        <v>398</v>
      </c>
      <c r="L102" s="46">
        <v>1</v>
      </c>
      <c r="M102" s="514"/>
      <c r="N102" s="79"/>
      <c r="O102" s="43"/>
      <c r="P102" s="37"/>
      <c r="Q102" s="38"/>
      <c r="R102" s="79"/>
      <c r="S102" s="43"/>
      <c r="T102" s="37"/>
      <c r="U102" s="38"/>
      <c r="V102" s="79"/>
      <c r="W102" s="208">
        <f>ROUND((ROUND((ROUND((ROUND((ROUND((_15_同援日２．０*_15・基礎２),0)*_15・２人),0)*(1+_15・A深夜)),0)*(1+_15・盲ろう)),0)*(1+_15・区４)),0)</f>
        <v>1176</v>
      </c>
      <c r="X102" s="63"/>
    </row>
    <row r="103" spans="1:24" ht="16.5" customHeight="1" x14ac:dyDescent="0.15">
      <c r="A103" s="41">
        <v>15</v>
      </c>
      <c r="B103" s="41">
        <v>8623</v>
      </c>
      <c r="C103" s="74" t="s">
        <v>18587</v>
      </c>
      <c r="D103" s="114" t="s">
        <v>18588</v>
      </c>
      <c r="E103" s="49"/>
      <c r="F103" s="115"/>
      <c r="G103" s="53"/>
      <c r="H103" s="49"/>
      <c r="I103" s="50"/>
      <c r="J103" s="163"/>
      <c r="K103" s="45"/>
      <c r="L103" s="46"/>
      <c r="M103" s="515"/>
      <c r="N103" s="115"/>
      <c r="O103" s="53"/>
      <c r="P103" s="49"/>
      <c r="Q103" s="50"/>
      <c r="R103" s="115"/>
      <c r="S103" s="53"/>
      <c r="T103" s="49"/>
      <c r="U103" s="50"/>
      <c r="V103" s="115"/>
      <c r="W103" s="208">
        <f>ROUND((_15_同援日２．５*(1+_15・A深夜)),0)</f>
        <v>845</v>
      </c>
      <c r="X103" s="64"/>
    </row>
    <row r="104" spans="1:24" ht="16.5" customHeight="1" x14ac:dyDescent="0.15">
      <c r="A104" s="41">
        <v>15</v>
      </c>
      <c r="B104" s="41">
        <v>8624</v>
      </c>
      <c r="C104" s="74" t="s">
        <v>18589</v>
      </c>
      <c r="D104" s="72" t="s">
        <v>17670</v>
      </c>
      <c r="F104" s="57"/>
      <c r="G104" s="43"/>
      <c r="H104" s="37"/>
      <c r="I104" s="38"/>
      <c r="J104" s="299" t="s">
        <v>17556</v>
      </c>
      <c r="K104" s="45" t="s">
        <v>398</v>
      </c>
      <c r="L104" s="46">
        <v>1</v>
      </c>
      <c r="M104" s="512"/>
      <c r="N104" s="57"/>
      <c r="O104" s="35"/>
      <c r="R104" s="57"/>
      <c r="S104" s="35"/>
      <c r="V104" s="57"/>
      <c r="W104" s="208">
        <f>ROUND((ROUND((_15_同援日２．５*_15・２人),0)*(1+_15・A深夜)),0)</f>
        <v>845</v>
      </c>
      <c r="X104" s="48"/>
    </row>
    <row r="105" spans="1:24" ht="16.5" customHeight="1" x14ac:dyDescent="0.15">
      <c r="A105" s="41">
        <v>15</v>
      </c>
      <c r="B105" s="41">
        <v>8625</v>
      </c>
      <c r="C105" s="74" t="s">
        <v>18590</v>
      </c>
      <c r="D105" s="72" t="s">
        <v>17672</v>
      </c>
      <c r="F105" s="57"/>
      <c r="G105" s="114" t="s">
        <v>17558</v>
      </c>
      <c r="H105" s="49"/>
      <c r="I105" s="50"/>
      <c r="J105" s="163"/>
      <c r="K105" s="45"/>
      <c r="L105" s="46"/>
      <c r="M105" s="512"/>
      <c r="N105" s="57"/>
      <c r="O105" s="35"/>
      <c r="R105" s="57"/>
      <c r="S105" s="35"/>
      <c r="V105" s="57"/>
      <c r="W105" s="208">
        <f>ROUND((ROUND((_15_同援日２．５*_15・基礎２),0)*(1+_15・A深夜)),0)</f>
        <v>761</v>
      </c>
      <c r="X105" s="48"/>
    </row>
    <row r="106" spans="1:24" ht="16.5" customHeight="1" x14ac:dyDescent="0.15">
      <c r="A106" s="41">
        <v>15</v>
      </c>
      <c r="B106" s="41">
        <v>8626</v>
      </c>
      <c r="C106" s="74" t="s">
        <v>18591</v>
      </c>
      <c r="D106" s="72"/>
      <c r="E106" s="168">
        <f>_15_同援日２．５</f>
        <v>563</v>
      </c>
      <c r="F106" s="57" t="s">
        <v>392</v>
      </c>
      <c r="G106" s="269" t="s">
        <v>17560</v>
      </c>
      <c r="H106" s="37" t="s">
        <v>398</v>
      </c>
      <c r="I106" s="38">
        <v>0.9</v>
      </c>
      <c r="J106" s="299" t="s">
        <v>17556</v>
      </c>
      <c r="K106" s="45" t="s">
        <v>398</v>
      </c>
      <c r="L106" s="46">
        <v>1</v>
      </c>
      <c r="M106" s="512"/>
      <c r="N106" s="57"/>
      <c r="O106" s="43"/>
      <c r="P106" s="37"/>
      <c r="Q106" s="38"/>
      <c r="R106" s="79"/>
      <c r="S106" s="35"/>
      <c r="V106" s="57"/>
      <c r="W106" s="208">
        <f>ROUND((ROUND((ROUND((_15_同援日２．５*_15・基礎２),0)*_15・２人),0)*(1+_15・A深夜)),0)</f>
        <v>761</v>
      </c>
      <c r="X106" s="48"/>
    </row>
    <row r="107" spans="1:24" ht="16.5" customHeight="1" x14ac:dyDescent="0.15">
      <c r="A107" s="41">
        <v>15</v>
      </c>
      <c r="B107" s="41">
        <v>8627</v>
      </c>
      <c r="C107" s="74" t="s">
        <v>18592</v>
      </c>
      <c r="D107" s="72"/>
      <c r="F107" s="57"/>
      <c r="G107" s="53"/>
      <c r="H107" s="49"/>
      <c r="I107" s="50"/>
      <c r="J107" s="163"/>
      <c r="K107" s="45"/>
      <c r="L107" s="46"/>
      <c r="M107" s="512"/>
      <c r="N107" s="57"/>
      <c r="O107" s="114" t="s">
        <v>17562</v>
      </c>
      <c r="P107" s="49"/>
      <c r="Q107" s="50"/>
      <c r="R107" s="115"/>
      <c r="S107" s="35"/>
      <c r="V107" s="57"/>
      <c r="W107" s="208">
        <f>ROUND((ROUND((_15_同援日２．５*(1+_15・A深夜)),0)*(1+_15・盲ろう)),0)</f>
        <v>1056</v>
      </c>
      <c r="X107" s="48"/>
    </row>
    <row r="108" spans="1:24" ht="16.5" customHeight="1" x14ac:dyDescent="0.15">
      <c r="A108" s="41">
        <v>15</v>
      </c>
      <c r="B108" s="41">
        <v>8628</v>
      </c>
      <c r="C108" s="74" t="s">
        <v>18593</v>
      </c>
      <c r="D108" s="72"/>
      <c r="F108" s="57"/>
      <c r="G108" s="43"/>
      <c r="H108" s="37"/>
      <c r="I108" s="38"/>
      <c r="J108" s="299" t="s">
        <v>17556</v>
      </c>
      <c r="K108" s="45" t="s">
        <v>398</v>
      </c>
      <c r="L108" s="46">
        <v>1</v>
      </c>
      <c r="M108" s="512"/>
      <c r="N108" s="57"/>
      <c r="O108" s="92" t="s">
        <v>17564</v>
      </c>
      <c r="R108" s="57"/>
      <c r="S108" s="35"/>
      <c r="V108" s="57"/>
      <c r="W108" s="208">
        <f>ROUND((ROUND((ROUND((_15_同援日２．５*_15・２人),0)*(1+_15・A深夜)),0)*(1+_15・盲ろう)),0)</f>
        <v>1056</v>
      </c>
      <c r="X108" s="48"/>
    </row>
    <row r="109" spans="1:24" ht="16.5" customHeight="1" x14ac:dyDescent="0.15">
      <c r="A109" s="41">
        <v>15</v>
      </c>
      <c r="B109" s="41">
        <v>8629</v>
      </c>
      <c r="C109" s="74" t="s">
        <v>18594</v>
      </c>
      <c r="D109" s="72"/>
      <c r="F109" s="57"/>
      <c r="G109" s="114" t="s">
        <v>17558</v>
      </c>
      <c r="H109" s="49"/>
      <c r="I109" s="50"/>
      <c r="J109" s="163"/>
      <c r="K109" s="45"/>
      <c r="L109" s="46"/>
      <c r="M109" s="512"/>
      <c r="N109" s="57"/>
      <c r="O109" s="35"/>
      <c r="P109" s="12" t="s">
        <v>398</v>
      </c>
      <c r="Q109" s="13">
        <v>0.25</v>
      </c>
      <c r="R109" s="57" t="s">
        <v>3575</v>
      </c>
      <c r="S109" s="35"/>
      <c r="V109" s="57"/>
      <c r="W109" s="208">
        <f>ROUND((ROUND((ROUND((_15_同援日２．５*_15・基礎２),0)*(1+_15・A深夜)),0)*(1+_15・盲ろう)),0)</f>
        <v>951</v>
      </c>
      <c r="X109" s="48"/>
    </row>
    <row r="110" spans="1:24" ht="16.5" customHeight="1" x14ac:dyDescent="0.15">
      <c r="A110" s="41">
        <v>15</v>
      </c>
      <c r="B110" s="41">
        <v>8630</v>
      </c>
      <c r="C110" s="74" t="s">
        <v>18595</v>
      </c>
      <c r="D110" s="72"/>
      <c r="F110" s="57"/>
      <c r="G110" s="269" t="s">
        <v>17560</v>
      </c>
      <c r="H110" s="37" t="s">
        <v>398</v>
      </c>
      <c r="I110" s="38">
        <v>0.9</v>
      </c>
      <c r="J110" s="299" t="s">
        <v>17556</v>
      </c>
      <c r="K110" s="45" t="s">
        <v>398</v>
      </c>
      <c r="L110" s="46">
        <v>1</v>
      </c>
      <c r="M110" s="512"/>
      <c r="N110" s="57"/>
      <c r="O110" s="43"/>
      <c r="P110" s="37"/>
      <c r="Q110" s="38"/>
      <c r="R110" s="79"/>
      <c r="S110" s="43"/>
      <c r="T110" s="37"/>
      <c r="U110" s="38"/>
      <c r="V110" s="79"/>
      <c r="W110" s="208">
        <f>ROUND((ROUND((ROUND((ROUND((_15_同援日２．５*_15・基礎２),0)*_15・２人),0)*(1+_15・A深夜)),0)*(1+_15・盲ろう)),0)</f>
        <v>951</v>
      </c>
      <c r="X110" s="48"/>
    </row>
    <row r="111" spans="1:24" ht="16.5" customHeight="1" x14ac:dyDescent="0.15">
      <c r="A111" s="41">
        <v>15</v>
      </c>
      <c r="B111" s="41">
        <v>8631</v>
      </c>
      <c r="C111" s="74" t="s">
        <v>18596</v>
      </c>
      <c r="D111" s="72"/>
      <c r="F111" s="57"/>
      <c r="G111" s="53"/>
      <c r="H111" s="49"/>
      <c r="I111" s="50"/>
      <c r="J111" s="163"/>
      <c r="K111" s="45"/>
      <c r="L111" s="46"/>
      <c r="M111" s="512"/>
      <c r="N111" s="57"/>
      <c r="O111" s="53"/>
      <c r="P111" s="49"/>
      <c r="Q111" s="50"/>
      <c r="R111" s="115"/>
      <c r="S111" s="53"/>
      <c r="T111" s="49"/>
      <c r="U111" s="50"/>
      <c r="V111" s="115"/>
      <c r="W111" s="208">
        <f>ROUND((ROUND((_15_同援日２．５*(1+_15・A深夜)),0)*(1+_15・区３)),0)</f>
        <v>1014</v>
      </c>
      <c r="X111" s="48"/>
    </row>
    <row r="112" spans="1:24" ht="16.5" customHeight="1" x14ac:dyDescent="0.15">
      <c r="A112" s="41">
        <v>15</v>
      </c>
      <c r="B112" s="41">
        <v>8632</v>
      </c>
      <c r="C112" s="74" t="s">
        <v>18597</v>
      </c>
      <c r="D112" s="72"/>
      <c r="F112" s="57"/>
      <c r="G112" s="43"/>
      <c r="H112" s="37"/>
      <c r="I112" s="38"/>
      <c r="J112" s="299" t="s">
        <v>17556</v>
      </c>
      <c r="K112" s="45" t="s">
        <v>398</v>
      </c>
      <c r="L112" s="46">
        <v>1</v>
      </c>
      <c r="M112" s="512"/>
      <c r="N112" s="57"/>
      <c r="O112" s="35"/>
      <c r="R112" s="57"/>
      <c r="S112" s="35"/>
      <c r="V112" s="57"/>
      <c r="W112" s="208">
        <f>ROUND((ROUND((ROUND((_15_同援日２．５*_15・２人),0)*(1+_15・A深夜)),0)*(1+_15・区３)),0)</f>
        <v>1014</v>
      </c>
      <c r="X112" s="48"/>
    </row>
    <row r="113" spans="1:24" ht="16.5" customHeight="1" x14ac:dyDescent="0.15">
      <c r="A113" s="41">
        <v>15</v>
      </c>
      <c r="B113" s="41">
        <v>8633</v>
      </c>
      <c r="C113" s="74" t="s">
        <v>18598</v>
      </c>
      <c r="D113" s="72"/>
      <c r="F113" s="57"/>
      <c r="G113" s="114" t="s">
        <v>17558</v>
      </c>
      <c r="H113" s="49"/>
      <c r="I113" s="50"/>
      <c r="J113" s="163"/>
      <c r="K113" s="45"/>
      <c r="L113" s="46"/>
      <c r="M113" s="512"/>
      <c r="N113" s="57"/>
      <c r="O113" s="35"/>
      <c r="R113" s="57"/>
      <c r="S113" s="72" t="s">
        <v>17570</v>
      </c>
      <c r="V113" s="57"/>
      <c r="W113" s="208">
        <f>ROUND((ROUND((ROUND((_15_同援日２．５*_15・基礎２),0)*(1+_15・A深夜)),0)*(1+_15・区３)),0)</f>
        <v>913</v>
      </c>
      <c r="X113" s="48"/>
    </row>
    <row r="114" spans="1:24" ht="16.5" customHeight="1" x14ac:dyDescent="0.15">
      <c r="A114" s="41">
        <v>15</v>
      </c>
      <c r="B114" s="41">
        <v>8634</v>
      </c>
      <c r="C114" s="74" t="s">
        <v>18599</v>
      </c>
      <c r="D114" s="72"/>
      <c r="F114" s="57"/>
      <c r="G114" s="269" t="s">
        <v>17560</v>
      </c>
      <c r="H114" s="37" t="s">
        <v>398</v>
      </c>
      <c r="I114" s="38">
        <v>0.9</v>
      </c>
      <c r="J114" s="299" t="s">
        <v>17556</v>
      </c>
      <c r="K114" s="45" t="s">
        <v>398</v>
      </c>
      <c r="L114" s="46">
        <v>1</v>
      </c>
      <c r="M114" s="512"/>
      <c r="N114" s="57"/>
      <c r="O114" s="43"/>
      <c r="P114" s="37"/>
      <c r="Q114" s="38"/>
      <c r="R114" s="79"/>
      <c r="S114" s="72" t="s">
        <v>17572</v>
      </c>
      <c r="V114" s="57"/>
      <c r="W114" s="208">
        <f>ROUND((ROUND((ROUND((ROUND((_15_同援日２．５*_15・基礎２),0)*_15・２人),0)*(1+_15・A深夜)),0)*(1+_15・区３)),0)</f>
        <v>913</v>
      </c>
      <c r="X114" s="48"/>
    </row>
    <row r="115" spans="1:24" ht="16.5" customHeight="1" x14ac:dyDescent="0.15">
      <c r="A115" s="41">
        <v>15</v>
      </c>
      <c r="B115" s="41">
        <v>8635</v>
      </c>
      <c r="C115" s="74" t="s">
        <v>18600</v>
      </c>
      <c r="D115" s="72"/>
      <c r="F115" s="57"/>
      <c r="G115" s="53"/>
      <c r="H115" s="49"/>
      <c r="I115" s="50"/>
      <c r="J115" s="163"/>
      <c r="K115" s="45"/>
      <c r="L115" s="46"/>
      <c r="M115" s="512"/>
      <c r="N115" s="57"/>
      <c r="O115" s="114" t="s">
        <v>17562</v>
      </c>
      <c r="P115" s="49"/>
      <c r="Q115" s="50"/>
      <c r="R115" s="115"/>
      <c r="S115" s="35"/>
      <c r="T115" s="12" t="s">
        <v>398</v>
      </c>
      <c r="U115" s="13">
        <v>0.2</v>
      </c>
      <c r="V115" s="57" t="s">
        <v>3575</v>
      </c>
      <c r="W115" s="208">
        <f>ROUND((ROUND((ROUND((_15_同援日２．５*(1+_15・A深夜)),0)*(1+_15・盲ろう)),0)*(1+_15・区３)),0)</f>
        <v>1267</v>
      </c>
      <c r="X115" s="48"/>
    </row>
    <row r="116" spans="1:24" ht="16.5" customHeight="1" x14ac:dyDescent="0.15">
      <c r="A116" s="41">
        <v>15</v>
      </c>
      <c r="B116" s="41">
        <v>8636</v>
      </c>
      <c r="C116" s="74" t="s">
        <v>18601</v>
      </c>
      <c r="D116" s="72"/>
      <c r="F116" s="57"/>
      <c r="G116" s="43"/>
      <c r="H116" s="37"/>
      <c r="I116" s="38"/>
      <c r="J116" s="299" t="s">
        <v>17556</v>
      </c>
      <c r="K116" s="45" t="s">
        <v>398</v>
      </c>
      <c r="L116" s="46">
        <v>1</v>
      </c>
      <c r="M116" s="512"/>
      <c r="N116" s="57"/>
      <c r="O116" s="92" t="s">
        <v>17564</v>
      </c>
      <c r="R116" s="57"/>
      <c r="S116" s="35"/>
      <c r="V116" s="57"/>
      <c r="W116" s="208">
        <f>ROUND((ROUND((ROUND((ROUND((_15_同援日２．５*_15・２人),0)*(1+_15・A深夜)),0)*(1+_15・盲ろう)),0)*(1+_15・区３)),0)</f>
        <v>1267</v>
      </c>
      <c r="X116" s="48"/>
    </row>
    <row r="117" spans="1:24" ht="16.5" customHeight="1" x14ac:dyDescent="0.15">
      <c r="A117" s="41">
        <v>15</v>
      </c>
      <c r="B117" s="41">
        <v>8637</v>
      </c>
      <c r="C117" s="74" t="s">
        <v>18602</v>
      </c>
      <c r="D117" s="72"/>
      <c r="F117" s="57"/>
      <c r="G117" s="114" t="s">
        <v>17558</v>
      </c>
      <c r="H117" s="49"/>
      <c r="I117" s="50"/>
      <c r="J117" s="163"/>
      <c r="K117" s="45"/>
      <c r="L117" s="46"/>
      <c r="M117" s="512"/>
      <c r="N117" s="57"/>
      <c r="O117" s="35"/>
      <c r="P117" s="12" t="s">
        <v>398</v>
      </c>
      <c r="Q117" s="13">
        <v>0.25</v>
      </c>
      <c r="R117" s="57" t="s">
        <v>3575</v>
      </c>
      <c r="S117" s="35"/>
      <c r="V117" s="57"/>
      <c r="W117" s="208">
        <f>ROUND((ROUND((ROUND((ROUND((_15_同援日２．５*_15・基礎２),0)*(1+_15・A深夜)),0)*(1+_15・盲ろう)),0)*(1+_15・区３)),0)</f>
        <v>1141</v>
      </c>
      <c r="X117" s="48"/>
    </row>
    <row r="118" spans="1:24" ht="16.5" customHeight="1" x14ac:dyDescent="0.15">
      <c r="A118" s="41">
        <v>15</v>
      </c>
      <c r="B118" s="41">
        <v>8638</v>
      </c>
      <c r="C118" s="74" t="s">
        <v>18603</v>
      </c>
      <c r="D118" s="72"/>
      <c r="F118" s="57"/>
      <c r="G118" s="269" t="s">
        <v>17560</v>
      </c>
      <c r="H118" s="37" t="s">
        <v>398</v>
      </c>
      <c r="I118" s="38">
        <v>0.9</v>
      </c>
      <c r="J118" s="299" t="s">
        <v>17556</v>
      </c>
      <c r="K118" s="45" t="s">
        <v>398</v>
      </c>
      <c r="L118" s="46">
        <v>1</v>
      </c>
      <c r="M118" s="512"/>
      <c r="N118" s="57"/>
      <c r="O118" s="43"/>
      <c r="P118" s="37"/>
      <c r="Q118" s="38"/>
      <c r="R118" s="79"/>
      <c r="S118" s="43"/>
      <c r="T118" s="37"/>
      <c r="U118" s="38"/>
      <c r="V118" s="79"/>
      <c r="W118" s="208">
        <f>ROUND((ROUND((ROUND((ROUND((ROUND((_15_同援日２．５*_15・基礎２),0)*_15・２人),0)*(1+_15・A深夜)),0)*(1+_15・盲ろう)),0)*(1+_15・区３)),0)</f>
        <v>1141</v>
      </c>
      <c r="X118" s="48"/>
    </row>
    <row r="119" spans="1:24" ht="16.5" customHeight="1" x14ac:dyDescent="0.15">
      <c r="A119" s="41">
        <v>15</v>
      </c>
      <c r="B119" s="41">
        <v>8639</v>
      </c>
      <c r="C119" s="74" t="s">
        <v>18604</v>
      </c>
      <c r="D119" s="72"/>
      <c r="F119" s="57"/>
      <c r="G119" s="53"/>
      <c r="H119" s="49"/>
      <c r="I119" s="50"/>
      <c r="J119" s="163"/>
      <c r="K119" s="45"/>
      <c r="L119" s="46"/>
      <c r="M119" s="512"/>
      <c r="N119" s="57"/>
      <c r="O119" s="53"/>
      <c r="P119" s="49"/>
      <c r="Q119" s="50"/>
      <c r="R119" s="115"/>
      <c r="S119" s="53"/>
      <c r="T119" s="49"/>
      <c r="U119" s="50"/>
      <c r="V119" s="115"/>
      <c r="W119" s="208">
        <f>ROUND((ROUND((_15_同援日２．５*(1+_15・A深夜)),0)*(1+_15・区４)),0)</f>
        <v>1183</v>
      </c>
      <c r="X119" s="48"/>
    </row>
    <row r="120" spans="1:24" ht="16.5" customHeight="1" x14ac:dyDescent="0.15">
      <c r="A120" s="41">
        <v>15</v>
      </c>
      <c r="B120" s="41">
        <v>8640</v>
      </c>
      <c r="C120" s="74" t="s">
        <v>18605</v>
      </c>
      <c r="D120" s="72"/>
      <c r="F120" s="57"/>
      <c r="G120" s="43"/>
      <c r="H120" s="37"/>
      <c r="I120" s="38"/>
      <c r="J120" s="299" t="s">
        <v>17556</v>
      </c>
      <c r="K120" s="45" t="s">
        <v>398</v>
      </c>
      <c r="L120" s="46">
        <v>1</v>
      </c>
      <c r="M120" s="512"/>
      <c r="N120" s="57"/>
      <c r="O120" s="35"/>
      <c r="R120" s="57"/>
      <c r="S120" s="35"/>
      <c r="V120" s="57"/>
      <c r="W120" s="208">
        <f>ROUND((ROUND((ROUND((_15_同援日２．５*_15・２人),0)*(1+_15・A深夜)),0)*(1+_15・区４)),0)</f>
        <v>1183</v>
      </c>
      <c r="X120" s="48"/>
    </row>
    <row r="121" spans="1:24" ht="16.5" customHeight="1" x14ac:dyDescent="0.15">
      <c r="A121" s="41">
        <v>15</v>
      </c>
      <c r="B121" s="41">
        <v>8641</v>
      </c>
      <c r="C121" s="74" t="s">
        <v>18606</v>
      </c>
      <c r="D121" s="72"/>
      <c r="F121" s="57"/>
      <c r="G121" s="114" t="s">
        <v>17558</v>
      </c>
      <c r="H121" s="49"/>
      <c r="I121" s="50"/>
      <c r="J121" s="163"/>
      <c r="K121" s="45"/>
      <c r="L121" s="46"/>
      <c r="M121" s="512"/>
      <c r="N121" s="57"/>
      <c r="O121" s="35"/>
      <c r="R121" s="57"/>
      <c r="S121" s="72" t="s">
        <v>17580</v>
      </c>
      <c r="V121" s="57"/>
      <c r="W121" s="208">
        <f>ROUND((ROUND((ROUND((_15_同援日２．５*_15・基礎２),0)*(1+_15・A深夜)),0)*(1+_15・区４)),0)</f>
        <v>1065</v>
      </c>
      <c r="X121" s="48"/>
    </row>
    <row r="122" spans="1:24" ht="16.5" customHeight="1" x14ac:dyDescent="0.15">
      <c r="A122" s="41">
        <v>15</v>
      </c>
      <c r="B122" s="41">
        <v>8642</v>
      </c>
      <c r="C122" s="74" t="s">
        <v>18607</v>
      </c>
      <c r="D122" s="72"/>
      <c r="F122" s="57"/>
      <c r="G122" s="269" t="s">
        <v>17560</v>
      </c>
      <c r="H122" s="37" t="s">
        <v>398</v>
      </c>
      <c r="I122" s="38">
        <v>0.9</v>
      </c>
      <c r="J122" s="299" t="s">
        <v>17556</v>
      </c>
      <c r="K122" s="45" t="s">
        <v>398</v>
      </c>
      <c r="L122" s="46">
        <v>1</v>
      </c>
      <c r="M122" s="512"/>
      <c r="N122" s="57"/>
      <c r="O122" s="43"/>
      <c r="P122" s="37"/>
      <c r="Q122" s="38"/>
      <c r="R122" s="79"/>
      <c r="S122" s="72" t="s">
        <v>17572</v>
      </c>
      <c r="V122" s="57"/>
      <c r="W122" s="208">
        <f>ROUND((ROUND((ROUND((ROUND((_15_同援日２．５*_15・基礎２),0)*_15・２人),0)*(1+_15・A深夜)),0)*(1+_15・区４)),0)</f>
        <v>1065</v>
      </c>
      <c r="X122" s="48"/>
    </row>
    <row r="123" spans="1:24" ht="16.5" customHeight="1" x14ac:dyDescent="0.15">
      <c r="A123" s="41">
        <v>15</v>
      </c>
      <c r="B123" s="41">
        <v>8643</v>
      </c>
      <c r="C123" s="74" t="s">
        <v>18608</v>
      </c>
      <c r="D123" s="72"/>
      <c r="F123" s="57"/>
      <c r="G123" s="53"/>
      <c r="H123" s="49"/>
      <c r="I123" s="50"/>
      <c r="J123" s="163"/>
      <c r="K123" s="45"/>
      <c r="L123" s="46"/>
      <c r="M123" s="512"/>
      <c r="N123" s="57"/>
      <c r="O123" s="114" t="s">
        <v>17562</v>
      </c>
      <c r="P123" s="49"/>
      <c r="Q123" s="50"/>
      <c r="R123" s="115"/>
      <c r="S123" s="35"/>
      <c r="T123" s="12" t="s">
        <v>398</v>
      </c>
      <c r="U123" s="13">
        <v>0.4</v>
      </c>
      <c r="V123" s="57" t="s">
        <v>3575</v>
      </c>
      <c r="W123" s="208">
        <f>ROUND((ROUND((ROUND((_15_同援日２．５*(1+_15・A深夜)),0)*(1+_15・盲ろう)),0)*(1+_15・区４)),0)</f>
        <v>1478</v>
      </c>
      <c r="X123" s="48"/>
    </row>
    <row r="124" spans="1:24" ht="16.5" customHeight="1" x14ac:dyDescent="0.15">
      <c r="A124" s="41">
        <v>15</v>
      </c>
      <c r="B124" s="41">
        <v>8644</v>
      </c>
      <c r="C124" s="74" t="s">
        <v>18609</v>
      </c>
      <c r="D124" s="72"/>
      <c r="F124" s="57"/>
      <c r="G124" s="43"/>
      <c r="H124" s="37"/>
      <c r="I124" s="38"/>
      <c r="J124" s="299" t="s">
        <v>17556</v>
      </c>
      <c r="K124" s="45" t="s">
        <v>398</v>
      </c>
      <c r="L124" s="46">
        <v>1</v>
      </c>
      <c r="M124" s="512"/>
      <c r="N124" s="57"/>
      <c r="O124" s="92" t="s">
        <v>17564</v>
      </c>
      <c r="R124" s="57"/>
      <c r="S124" s="35"/>
      <c r="V124" s="57"/>
      <c r="W124" s="208">
        <f>ROUND((ROUND((ROUND((ROUND((_15_同援日２．５*_15・２人),0)*(1+_15・A深夜)),0)*(1+_15・盲ろう)),0)*(1+_15・区４)),0)</f>
        <v>1478</v>
      </c>
      <c r="X124" s="48"/>
    </row>
    <row r="125" spans="1:24" ht="16.5" customHeight="1" x14ac:dyDescent="0.15">
      <c r="A125" s="41">
        <v>15</v>
      </c>
      <c r="B125" s="41">
        <v>8645</v>
      </c>
      <c r="C125" s="74" t="s">
        <v>18610</v>
      </c>
      <c r="D125" s="72"/>
      <c r="F125" s="57"/>
      <c r="G125" s="114" t="s">
        <v>17558</v>
      </c>
      <c r="H125" s="49"/>
      <c r="I125" s="50"/>
      <c r="J125" s="163"/>
      <c r="K125" s="45"/>
      <c r="L125" s="46"/>
      <c r="M125" s="512"/>
      <c r="N125" s="57"/>
      <c r="O125" s="35"/>
      <c r="P125" s="12" t="s">
        <v>398</v>
      </c>
      <c r="Q125" s="13">
        <v>0.25</v>
      </c>
      <c r="R125" s="57" t="s">
        <v>3575</v>
      </c>
      <c r="S125" s="35"/>
      <c r="V125" s="57"/>
      <c r="W125" s="208">
        <f>ROUND((ROUND((ROUND((ROUND((_15_同援日２．５*_15・基礎２),0)*(1+_15・A深夜)),0)*(1+_15・盲ろう)),0)*(1+_15・区４)),0)</f>
        <v>1331</v>
      </c>
      <c r="X125" s="48"/>
    </row>
    <row r="126" spans="1:24" ht="16.5" customHeight="1" x14ac:dyDescent="0.15">
      <c r="A126" s="41">
        <v>15</v>
      </c>
      <c r="B126" s="41">
        <v>8646</v>
      </c>
      <c r="C126" s="74" t="s">
        <v>18611</v>
      </c>
      <c r="D126" s="122"/>
      <c r="E126" s="37"/>
      <c r="F126" s="79"/>
      <c r="G126" s="269" t="s">
        <v>17560</v>
      </c>
      <c r="H126" s="37" t="s">
        <v>398</v>
      </c>
      <c r="I126" s="38">
        <v>0.9</v>
      </c>
      <c r="J126" s="299" t="s">
        <v>17556</v>
      </c>
      <c r="K126" s="45" t="s">
        <v>398</v>
      </c>
      <c r="L126" s="46">
        <v>1</v>
      </c>
      <c r="M126" s="512"/>
      <c r="N126" s="57"/>
      <c r="O126" s="43"/>
      <c r="P126" s="37"/>
      <c r="Q126" s="38"/>
      <c r="R126" s="79"/>
      <c r="S126" s="43"/>
      <c r="T126" s="37"/>
      <c r="U126" s="38"/>
      <c r="V126" s="79"/>
      <c r="W126" s="208">
        <f>ROUND((ROUND((ROUND((ROUND((ROUND((_15_同援日２．５*_15・基礎２),0)*_15・２人),0)*(1+_15・A深夜)),0)*(1+_15・盲ろう)),0)*(1+_15・区４)),0)</f>
        <v>1331</v>
      </c>
      <c r="X126" s="48"/>
    </row>
    <row r="127" spans="1:24" ht="16.5" customHeight="1" x14ac:dyDescent="0.15">
      <c r="A127" s="41">
        <v>15</v>
      </c>
      <c r="B127" s="41">
        <v>8647</v>
      </c>
      <c r="C127" s="74" t="s">
        <v>18612</v>
      </c>
      <c r="D127" s="114" t="s">
        <v>18613</v>
      </c>
      <c r="E127" s="49"/>
      <c r="F127" s="115"/>
      <c r="G127" s="53"/>
      <c r="H127" s="49"/>
      <c r="I127" s="50"/>
      <c r="J127" s="163"/>
      <c r="K127" s="45"/>
      <c r="L127" s="46"/>
      <c r="M127" s="512"/>
      <c r="N127" s="57"/>
      <c r="O127" s="53"/>
      <c r="P127" s="49"/>
      <c r="Q127" s="50"/>
      <c r="R127" s="115"/>
      <c r="S127" s="53"/>
      <c r="T127" s="49"/>
      <c r="U127" s="50"/>
      <c r="V127" s="115"/>
      <c r="W127" s="208">
        <f>ROUND((_15_同援日３．０*(1+_15・A深夜)),0)</f>
        <v>942</v>
      </c>
      <c r="X127" s="48"/>
    </row>
    <row r="128" spans="1:24" ht="16.5" customHeight="1" x14ac:dyDescent="0.15">
      <c r="A128" s="41">
        <v>15</v>
      </c>
      <c r="B128" s="41">
        <v>8648</v>
      </c>
      <c r="C128" s="74" t="s">
        <v>18614</v>
      </c>
      <c r="D128" s="72" t="s">
        <v>17697</v>
      </c>
      <c r="F128" s="57"/>
      <c r="G128" s="43"/>
      <c r="H128" s="37"/>
      <c r="I128" s="38"/>
      <c r="J128" s="299" t="s">
        <v>17556</v>
      </c>
      <c r="K128" s="45" t="s">
        <v>398</v>
      </c>
      <c r="L128" s="46">
        <v>1</v>
      </c>
      <c r="M128" s="512"/>
      <c r="N128" s="57"/>
      <c r="O128" s="35"/>
      <c r="R128" s="57"/>
      <c r="S128" s="35"/>
      <c r="V128" s="57"/>
      <c r="W128" s="208">
        <f>ROUND((ROUND((_15_同援日３．０*_15・２人),0)*(1+_15・A深夜)),0)</f>
        <v>942</v>
      </c>
      <c r="X128" s="48"/>
    </row>
    <row r="129" spans="1:24" ht="16.5" customHeight="1" x14ac:dyDescent="0.15">
      <c r="A129" s="41">
        <v>15</v>
      </c>
      <c r="B129" s="41">
        <v>8649</v>
      </c>
      <c r="C129" s="74" t="s">
        <v>18615</v>
      </c>
      <c r="D129" s="72" t="s">
        <v>18387</v>
      </c>
      <c r="F129" s="57"/>
      <c r="G129" s="114" t="s">
        <v>17558</v>
      </c>
      <c r="H129" s="49"/>
      <c r="I129" s="50"/>
      <c r="J129" s="163"/>
      <c r="K129" s="45"/>
      <c r="L129" s="46"/>
      <c r="M129" s="512"/>
      <c r="N129" s="57"/>
      <c r="O129" s="35"/>
      <c r="R129" s="57"/>
      <c r="S129" s="35"/>
      <c r="V129" s="57"/>
      <c r="W129" s="208">
        <f>ROUND((ROUND((_15_同援日３．０*_15・基礎２),0)*(1+_15・A深夜)),0)</f>
        <v>848</v>
      </c>
      <c r="X129" s="48"/>
    </row>
    <row r="130" spans="1:24" ht="16.5" customHeight="1" x14ac:dyDescent="0.15">
      <c r="A130" s="41">
        <v>15</v>
      </c>
      <c r="B130" s="41">
        <v>8650</v>
      </c>
      <c r="C130" s="74" t="s">
        <v>18616</v>
      </c>
      <c r="D130" s="72"/>
      <c r="E130" s="168">
        <f>_15_同援日３．０</f>
        <v>628</v>
      </c>
      <c r="F130" s="57" t="s">
        <v>392</v>
      </c>
      <c r="G130" s="269" t="s">
        <v>17560</v>
      </c>
      <c r="H130" s="37" t="s">
        <v>398</v>
      </c>
      <c r="I130" s="38">
        <v>0.9</v>
      </c>
      <c r="J130" s="299" t="s">
        <v>17556</v>
      </c>
      <c r="K130" s="45" t="s">
        <v>398</v>
      </c>
      <c r="L130" s="46">
        <v>1</v>
      </c>
      <c r="M130" s="512"/>
      <c r="N130" s="57"/>
      <c r="O130" s="43"/>
      <c r="P130" s="37"/>
      <c r="Q130" s="38"/>
      <c r="R130" s="79"/>
      <c r="S130" s="35"/>
      <c r="V130" s="57"/>
      <c r="W130" s="208">
        <f>ROUND((ROUND((ROUND((_15_同援日３．０*_15・基礎２),0)*_15・２人),0)*(1+_15・A深夜)),0)</f>
        <v>848</v>
      </c>
      <c r="X130" s="48"/>
    </row>
    <row r="131" spans="1:24" ht="16.5" customHeight="1" x14ac:dyDescent="0.15">
      <c r="A131" s="41">
        <v>15</v>
      </c>
      <c r="B131" s="41">
        <v>8651</v>
      </c>
      <c r="C131" s="74" t="s">
        <v>18617</v>
      </c>
      <c r="D131" s="72"/>
      <c r="F131" s="57"/>
      <c r="G131" s="53"/>
      <c r="H131" s="49"/>
      <c r="I131" s="50"/>
      <c r="J131" s="163"/>
      <c r="K131" s="45"/>
      <c r="L131" s="46"/>
      <c r="M131" s="512"/>
      <c r="N131" s="57"/>
      <c r="O131" s="114" t="s">
        <v>17562</v>
      </c>
      <c r="P131" s="49"/>
      <c r="Q131" s="50"/>
      <c r="R131" s="115"/>
      <c r="S131" s="35"/>
      <c r="V131" s="57"/>
      <c r="W131" s="208">
        <f>ROUND((ROUND((_15_同援日３．０*(1+_15・A深夜)),0)*(1+_15・盲ろう)),0)</f>
        <v>1178</v>
      </c>
      <c r="X131" s="48"/>
    </row>
    <row r="132" spans="1:24" ht="16.5" customHeight="1" x14ac:dyDescent="0.15">
      <c r="A132" s="41">
        <v>15</v>
      </c>
      <c r="B132" s="41">
        <v>8652</v>
      </c>
      <c r="C132" s="74" t="s">
        <v>18618</v>
      </c>
      <c r="D132" s="72"/>
      <c r="F132" s="57"/>
      <c r="G132" s="43"/>
      <c r="H132" s="37"/>
      <c r="I132" s="38"/>
      <c r="J132" s="299" t="s">
        <v>17556</v>
      </c>
      <c r="K132" s="45" t="s">
        <v>398</v>
      </c>
      <c r="L132" s="46">
        <v>1</v>
      </c>
      <c r="M132" s="512"/>
      <c r="N132" s="57"/>
      <c r="O132" s="92" t="s">
        <v>17564</v>
      </c>
      <c r="R132" s="57"/>
      <c r="S132" s="35"/>
      <c r="V132" s="57"/>
      <c r="W132" s="208">
        <f>ROUND((ROUND((ROUND((_15_同援日３．０*_15・２人),0)*(1+_15・A深夜)),0)*(1+_15・盲ろう)),0)</f>
        <v>1178</v>
      </c>
      <c r="X132" s="48"/>
    </row>
    <row r="133" spans="1:24" ht="16.5" customHeight="1" x14ac:dyDescent="0.15">
      <c r="A133" s="41">
        <v>15</v>
      </c>
      <c r="B133" s="41">
        <v>8653</v>
      </c>
      <c r="C133" s="74" t="s">
        <v>18619</v>
      </c>
      <c r="D133" s="72"/>
      <c r="F133" s="57"/>
      <c r="G133" s="114" t="s">
        <v>17558</v>
      </c>
      <c r="H133" s="49"/>
      <c r="I133" s="50"/>
      <c r="J133" s="163"/>
      <c r="K133" s="45"/>
      <c r="L133" s="46"/>
      <c r="M133" s="512"/>
      <c r="N133" s="57"/>
      <c r="O133" s="35"/>
      <c r="P133" s="12" t="s">
        <v>398</v>
      </c>
      <c r="Q133" s="13">
        <v>0.25</v>
      </c>
      <c r="R133" s="57" t="s">
        <v>3575</v>
      </c>
      <c r="S133" s="35"/>
      <c r="V133" s="57"/>
      <c r="W133" s="208">
        <f>ROUND((ROUND((ROUND((_15_同援日３．０*_15・基礎２),0)*(1+_15・A深夜)),0)*(1+_15・盲ろう)),0)</f>
        <v>1060</v>
      </c>
      <c r="X133" s="48"/>
    </row>
    <row r="134" spans="1:24" ht="16.5" customHeight="1" x14ac:dyDescent="0.15">
      <c r="A134" s="41">
        <v>15</v>
      </c>
      <c r="B134" s="41">
        <v>8654</v>
      </c>
      <c r="C134" s="74" t="s">
        <v>18620</v>
      </c>
      <c r="D134" s="72"/>
      <c r="F134" s="57"/>
      <c r="G134" s="269" t="s">
        <v>17560</v>
      </c>
      <c r="H134" s="37" t="s">
        <v>398</v>
      </c>
      <c r="I134" s="38">
        <v>0.9</v>
      </c>
      <c r="J134" s="299" t="s">
        <v>17556</v>
      </c>
      <c r="K134" s="45" t="s">
        <v>398</v>
      </c>
      <c r="L134" s="46">
        <v>1</v>
      </c>
      <c r="M134" s="512"/>
      <c r="N134" s="57"/>
      <c r="O134" s="43"/>
      <c r="P134" s="37"/>
      <c r="Q134" s="38"/>
      <c r="R134" s="79"/>
      <c r="S134" s="43"/>
      <c r="T134" s="37"/>
      <c r="U134" s="38"/>
      <c r="V134" s="79"/>
      <c r="W134" s="208">
        <f>ROUND((ROUND((ROUND((ROUND((_15_同援日３．０*_15・基礎２),0)*_15・２人),0)*(1+_15・A深夜)),0)*(1+_15・盲ろう)),0)</f>
        <v>1060</v>
      </c>
      <c r="X134" s="48"/>
    </row>
    <row r="135" spans="1:24" ht="16.5" customHeight="1" x14ac:dyDescent="0.15">
      <c r="A135" s="41">
        <v>15</v>
      </c>
      <c r="B135" s="41">
        <v>8655</v>
      </c>
      <c r="C135" s="74" t="s">
        <v>18621</v>
      </c>
      <c r="D135" s="72"/>
      <c r="F135" s="57"/>
      <c r="G135" s="53"/>
      <c r="H135" s="49"/>
      <c r="I135" s="50"/>
      <c r="J135" s="163"/>
      <c r="K135" s="45"/>
      <c r="L135" s="46"/>
      <c r="M135" s="512"/>
      <c r="N135" s="57"/>
      <c r="O135" s="53"/>
      <c r="P135" s="49"/>
      <c r="Q135" s="50"/>
      <c r="R135" s="115"/>
      <c r="S135" s="53"/>
      <c r="T135" s="49"/>
      <c r="U135" s="50"/>
      <c r="V135" s="115"/>
      <c r="W135" s="208">
        <f>ROUND((ROUND((_15_同援日３．０*(1+_15・A深夜)),0)*(1+_15・区３)),0)</f>
        <v>1130</v>
      </c>
      <c r="X135" s="48"/>
    </row>
    <row r="136" spans="1:24" ht="16.5" customHeight="1" x14ac:dyDescent="0.15">
      <c r="A136" s="41">
        <v>15</v>
      </c>
      <c r="B136" s="41">
        <v>8656</v>
      </c>
      <c r="C136" s="74" t="s">
        <v>18622</v>
      </c>
      <c r="D136" s="72"/>
      <c r="F136" s="57"/>
      <c r="G136" s="43"/>
      <c r="H136" s="37"/>
      <c r="I136" s="38"/>
      <c r="J136" s="299" t="s">
        <v>17556</v>
      </c>
      <c r="K136" s="45" t="s">
        <v>398</v>
      </c>
      <c r="L136" s="46">
        <v>1</v>
      </c>
      <c r="M136" s="512"/>
      <c r="N136" s="57"/>
      <c r="O136" s="35"/>
      <c r="R136" s="57"/>
      <c r="S136" s="35"/>
      <c r="V136" s="57"/>
      <c r="W136" s="208">
        <f>ROUND((ROUND((ROUND((_15_同援日３．０*_15・２人),0)*(1+_15・A深夜)),0)*(1+_15・区３)),0)</f>
        <v>1130</v>
      </c>
      <c r="X136" s="48"/>
    </row>
    <row r="137" spans="1:24" ht="16.5" customHeight="1" x14ac:dyDescent="0.15">
      <c r="A137" s="41">
        <v>15</v>
      </c>
      <c r="B137" s="41">
        <v>8657</v>
      </c>
      <c r="C137" s="74" t="s">
        <v>18623</v>
      </c>
      <c r="D137" s="72"/>
      <c r="F137" s="57"/>
      <c r="G137" s="114" t="s">
        <v>17558</v>
      </c>
      <c r="H137" s="49"/>
      <c r="I137" s="50"/>
      <c r="J137" s="163"/>
      <c r="K137" s="45"/>
      <c r="L137" s="46"/>
      <c r="M137" s="512"/>
      <c r="N137" s="57"/>
      <c r="O137" s="35"/>
      <c r="R137" s="57"/>
      <c r="S137" s="72" t="s">
        <v>17570</v>
      </c>
      <c r="V137" s="57"/>
      <c r="W137" s="208">
        <f>ROUND((ROUND((ROUND((_15_同援日３．０*_15・基礎２),0)*(1+_15・A深夜)),0)*(1+_15・区３)),0)</f>
        <v>1018</v>
      </c>
      <c r="X137" s="48"/>
    </row>
    <row r="138" spans="1:24" ht="16.5" customHeight="1" x14ac:dyDescent="0.15">
      <c r="A138" s="41">
        <v>15</v>
      </c>
      <c r="B138" s="41">
        <v>8658</v>
      </c>
      <c r="C138" s="74" t="s">
        <v>18624</v>
      </c>
      <c r="D138" s="72"/>
      <c r="F138" s="57"/>
      <c r="G138" s="269" t="s">
        <v>17560</v>
      </c>
      <c r="H138" s="37" t="s">
        <v>398</v>
      </c>
      <c r="I138" s="38">
        <v>0.9</v>
      </c>
      <c r="J138" s="299" t="s">
        <v>17556</v>
      </c>
      <c r="K138" s="45" t="s">
        <v>398</v>
      </c>
      <c r="L138" s="46">
        <v>1</v>
      </c>
      <c r="M138" s="512"/>
      <c r="N138" s="57"/>
      <c r="O138" s="43"/>
      <c r="P138" s="37"/>
      <c r="Q138" s="38"/>
      <c r="R138" s="79"/>
      <c r="S138" s="72" t="s">
        <v>17572</v>
      </c>
      <c r="V138" s="57"/>
      <c r="W138" s="208">
        <f>ROUND((ROUND((ROUND((ROUND((_15_同援日３．０*_15・基礎２),0)*_15・２人),0)*(1+_15・A深夜)),0)*(1+_15・区３)),0)</f>
        <v>1018</v>
      </c>
      <c r="X138" s="48"/>
    </row>
    <row r="139" spans="1:24" ht="16.5" customHeight="1" x14ac:dyDescent="0.15">
      <c r="A139" s="41">
        <v>15</v>
      </c>
      <c r="B139" s="41">
        <v>8659</v>
      </c>
      <c r="C139" s="74" t="s">
        <v>18625</v>
      </c>
      <c r="D139" s="72"/>
      <c r="F139" s="57"/>
      <c r="G139" s="53"/>
      <c r="H139" s="49"/>
      <c r="I139" s="50"/>
      <c r="J139" s="163"/>
      <c r="K139" s="45"/>
      <c r="L139" s="46"/>
      <c r="M139" s="512"/>
      <c r="N139" s="57"/>
      <c r="O139" s="114" t="s">
        <v>17562</v>
      </c>
      <c r="P139" s="49"/>
      <c r="Q139" s="50"/>
      <c r="R139" s="115"/>
      <c r="S139" s="35"/>
      <c r="T139" s="12" t="s">
        <v>398</v>
      </c>
      <c r="U139" s="13">
        <v>0.2</v>
      </c>
      <c r="V139" s="57" t="s">
        <v>3575</v>
      </c>
      <c r="W139" s="208">
        <f>ROUND((ROUND((ROUND((_15_同援日３．０*(1+_15・A深夜)),0)*(1+_15・盲ろう)),0)*(1+_15・区３)),0)</f>
        <v>1414</v>
      </c>
      <c r="X139" s="48"/>
    </row>
    <row r="140" spans="1:24" ht="16.5" customHeight="1" x14ac:dyDescent="0.15">
      <c r="A140" s="41">
        <v>15</v>
      </c>
      <c r="B140" s="41">
        <v>8660</v>
      </c>
      <c r="C140" s="74" t="s">
        <v>18626</v>
      </c>
      <c r="D140" s="72"/>
      <c r="F140" s="57"/>
      <c r="G140" s="43"/>
      <c r="H140" s="37"/>
      <c r="I140" s="38"/>
      <c r="J140" s="299" t="s">
        <v>17556</v>
      </c>
      <c r="K140" s="45" t="s">
        <v>398</v>
      </c>
      <c r="L140" s="46">
        <v>1</v>
      </c>
      <c r="M140" s="512"/>
      <c r="N140" s="57"/>
      <c r="O140" s="92" t="s">
        <v>17564</v>
      </c>
      <c r="R140" s="57"/>
      <c r="S140" s="35"/>
      <c r="V140" s="57"/>
      <c r="W140" s="208">
        <f>ROUND((ROUND((ROUND((ROUND((_15_同援日３．０*_15・２人),0)*(1+_15・A深夜)),0)*(1+_15・盲ろう)),0)*(1+_15・区３)),0)</f>
        <v>1414</v>
      </c>
      <c r="X140" s="48"/>
    </row>
    <row r="141" spans="1:24" ht="16.5" customHeight="1" x14ac:dyDescent="0.15">
      <c r="A141" s="41">
        <v>15</v>
      </c>
      <c r="B141" s="41">
        <v>8661</v>
      </c>
      <c r="C141" s="74" t="s">
        <v>18627</v>
      </c>
      <c r="D141" s="72"/>
      <c r="F141" s="57"/>
      <c r="G141" s="114" t="s">
        <v>17558</v>
      </c>
      <c r="H141" s="49"/>
      <c r="I141" s="50"/>
      <c r="J141" s="163"/>
      <c r="K141" s="45"/>
      <c r="L141" s="46"/>
      <c r="M141" s="512"/>
      <c r="N141" s="57"/>
      <c r="O141" s="35"/>
      <c r="P141" s="12" t="s">
        <v>398</v>
      </c>
      <c r="Q141" s="13">
        <v>0.25</v>
      </c>
      <c r="R141" s="57" t="s">
        <v>3575</v>
      </c>
      <c r="S141" s="35"/>
      <c r="V141" s="57"/>
      <c r="W141" s="208">
        <f>ROUND((ROUND((ROUND((ROUND((_15_同援日３．０*_15・基礎２),0)*(1+_15・A深夜)),0)*(1+_15・盲ろう)),0)*(1+_15・区３)),0)</f>
        <v>1272</v>
      </c>
      <c r="X141" s="48"/>
    </row>
    <row r="142" spans="1:24" ht="16.5" customHeight="1" x14ac:dyDescent="0.15">
      <c r="A142" s="41">
        <v>15</v>
      </c>
      <c r="B142" s="41">
        <v>8662</v>
      </c>
      <c r="C142" s="74" t="s">
        <v>18628</v>
      </c>
      <c r="D142" s="72"/>
      <c r="F142" s="57"/>
      <c r="G142" s="269" t="s">
        <v>17560</v>
      </c>
      <c r="H142" s="37" t="s">
        <v>398</v>
      </c>
      <c r="I142" s="38">
        <v>0.9</v>
      </c>
      <c r="J142" s="299" t="s">
        <v>17556</v>
      </c>
      <c r="K142" s="45" t="s">
        <v>398</v>
      </c>
      <c r="L142" s="46">
        <v>1</v>
      </c>
      <c r="M142" s="512"/>
      <c r="N142" s="57"/>
      <c r="O142" s="43"/>
      <c r="P142" s="37"/>
      <c r="Q142" s="38"/>
      <c r="R142" s="79"/>
      <c r="S142" s="43"/>
      <c r="T142" s="37"/>
      <c r="U142" s="38"/>
      <c r="V142" s="79"/>
      <c r="W142" s="208">
        <f>ROUND((ROUND((ROUND((ROUND((ROUND((_15_同援日３．０*_15・基礎２),0)*_15・２人),0)*(1+_15・A深夜)),0)*(1+_15・盲ろう)),0)*(1+_15・区３)),0)</f>
        <v>1272</v>
      </c>
      <c r="X142" s="48"/>
    </row>
    <row r="143" spans="1:24" ht="16.5" customHeight="1" x14ac:dyDescent="0.15">
      <c r="A143" s="41">
        <v>15</v>
      </c>
      <c r="B143" s="41">
        <v>8663</v>
      </c>
      <c r="C143" s="74" t="s">
        <v>18629</v>
      </c>
      <c r="D143" s="72"/>
      <c r="F143" s="57"/>
      <c r="G143" s="53"/>
      <c r="H143" s="49"/>
      <c r="I143" s="50"/>
      <c r="J143" s="163"/>
      <c r="K143" s="45"/>
      <c r="L143" s="46"/>
      <c r="M143" s="512"/>
      <c r="N143" s="57"/>
      <c r="O143" s="53"/>
      <c r="P143" s="49"/>
      <c r="Q143" s="50"/>
      <c r="R143" s="115"/>
      <c r="S143" s="53"/>
      <c r="T143" s="49"/>
      <c r="U143" s="50"/>
      <c r="V143" s="115"/>
      <c r="W143" s="208">
        <f>ROUND((ROUND((_15_同援日３．０*(1+_15・A深夜)),0)*(1+_15・区４)),0)</f>
        <v>1319</v>
      </c>
      <c r="X143" s="48"/>
    </row>
    <row r="144" spans="1:24" ht="16.5" customHeight="1" x14ac:dyDescent="0.15">
      <c r="A144" s="41">
        <v>15</v>
      </c>
      <c r="B144" s="41">
        <v>8664</v>
      </c>
      <c r="C144" s="74" t="s">
        <v>18630</v>
      </c>
      <c r="D144" s="72"/>
      <c r="F144" s="57"/>
      <c r="G144" s="43"/>
      <c r="H144" s="37"/>
      <c r="I144" s="38"/>
      <c r="J144" s="299" t="s">
        <v>17556</v>
      </c>
      <c r="K144" s="45" t="s">
        <v>398</v>
      </c>
      <c r="L144" s="46">
        <v>1</v>
      </c>
      <c r="M144" s="512"/>
      <c r="N144" s="57"/>
      <c r="O144" s="35"/>
      <c r="R144" s="57"/>
      <c r="S144" s="35"/>
      <c r="V144" s="57"/>
      <c r="W144" s="208">
        <f>ROUND((ROUND((ROUND((_15_同援日３．０*_15・２人),0)*(1+_15・A深夜)),0)*(1+_15・区４)),0)</f>
        <v>1319</v>
      </c>
      <c r="X144" s="48"/>
    </row>
    <row r="145" spans="1:24" ht="16.5" customHeight="1" x14ac:dyDescent="0.15">
      <c r="A145" s="41">
        <v>15</v>
      </c>
      <c r="B145" s="41">
        <v>8665</v>
      </c>
      <c r="C145" s="74" t="s">
        <v>18631</v>
      </c>
      <c r="D145" s="72"/>
      <c r="F145" s="57"/>
      <c r="G145" s="114" t="s">
        <v>17558</v>
      </c>
      <c r="H145" s="49"/>
      <c r="I145" s="50"/>
      <c r="J145" s="163"/>
      <c r="K145" s="45"/>
      <c r="L145" s="46"/>
      <c r="M145" s="512"/>
      <c r="N145" s="57"/>
      <c r="O145" s="35"/>
      <c r="R145" s="57"/>
      <c r="S145" s="72" t="s">
        <v>17580</v>
      </c>
      <c r="V145" s="57"/>
      <c r="W145" s="208">
        <f>ROUND((ROUND((ROUND((_15_同援日３．０*_15・基礎２),0)*(1+_15・A深夜)),0)*(1+_15・区４)),0)</f>
        <v>1187</v>
      </c>
      <c r="X145" s="48"/>
    </row>
    <row r="146" spans="1:24" ht="16.5" customHeight="1" x14ac:dyDescent="0.15">
      <c r="A146" s="41">
        <v>15</v>
      </c>
      <c r="B146" s="41">
        <v>8666</v>
      </c>
      <c r="C146" s="74" t="s">
        <v>18632</v>
      </c>
      <c r="D146" s="72"/>
      <c r="F146" s="57"/>
      <c r="G146" s="269" t="s">
        <v>17560</v>
      </c>
      <c r="H146" s="37" t="s">
        <v>398</v>
      </c>
      <c r="I146" s="38">
        <v>0.9</v>
      </c>
      <c r="J146" s="299" t="s">
        <v>17556</v>
      </c>
      <c r="K146" s="45" t="s">
        <v>398</v>
      </c>
      <c r="L146" s="46">
        <v>1</v>
      </c>
      <c r="M146" s="512"/>
      <c r="N146" s="57"/>
      <c r="O146" s="43"/>
      <c r="P146" s="37"/>
      <c r="Q146" s="38"/>
      <c r="R146" s="79"/>
      <c r="S146" s="72" t="s">
        <v>17572</v>
      </c>
      <c r="V146" s="57"/>
      <c r="W146" s="208">
        <f>ROUND((ROUND((ROUND((ROUND((_15_同援日３．０*_15・基礎２),0)*_15・２人),0)*(1+_15・A深夜)),0)*(1+_15・区４)),0)</f>
        <v>1187</v>
      </c>
      <c r="X146" s="48"/>
    </row>
    <row r="147" spans="1:24" ht="16.5" customHeight="1" x14ac:dyDescent="0.15">
      <c r="A147" s="41">
        <v>15</v>
      </c>
      <c r="B147" s="41">
        <v>8667</v>
      </c>
      <c r="C147" s="74" t="s">
        <v>18633</v>
      </c>
      <c r="D147" s="72"/>
      <c r="F147" s="57"/>
      <c r="G147" s="53"/>
      <c r="H147" s="49"/>
      <c r="I147" s="50"/>
      <c r="J147" s="163"/>
      <c r="K147" s="45"/>
      <c r="L147" s="46"/>
      <c r="M147" s="512"/>
      <c r="N147" s="57"/>
      <c r="O147" s="114" t="s">
        <v>17562</v>
      </c>
      <c r="P147" s="49"/>
      <c r="Q147" s="50"/>
      <c r="R147" s="115"/>
      <c r="S147" s="35"/>
      <c r="T147" s="12" t="s">
        <v>398</v>
      </c>
      <c r="U147" s="13">
        <v>0.4</v>
      </c>
      <c r="V147" s="57" t="s">
        <v>3575</v>
      </c>
      <c r="W147" s="208">
        <f>ROUND((ROUND((ROUND((_15_同援日３．０*(1+_15・A深夜)),0)*(1+_15・盲ろう)),0)*(1+_15・区４)),0)</f>
        <v>1649</v>
      </c>
      <c r="X147" s="48"/>
    </row>
    <row r="148" spans="1:24" ht="16.5" customHeight="1" x14ac:dyDescent="0.15">
      <c r="A148" s="41">
        <v>15</v>
      </c>
      <c r="B148" s="41">
        <v>8668</v>
      </c>
      <c r="C148" s="74" t="s">
        <v>18634</v>
      </c>
      <c r="D148" s="72"/>
      <c r="F148" s="57"/>
      <c r="G148" s="43"/>
      <c r="H148" s="37"/>
      <c r="I148" s="38"/>
      <c r="J148" s="299" t="s">
        <v>17556</v>
      </c>
      <c r="K148" s="45" t="s">
        <v>398</v>
      </c>
      <c r="L148" s="46">
        <v>1</v>
      </c>
      <c r="M148" s="512"/>
      <c r="N148" s="57"/>
      <c r="O148" s="92" t="s">
        <v>17564</v>
      </c>
      <c r="R148" s="57"/>
      <c r="S148" s="35"/>
      <c r="V148" s="57"/>
      <c r="W148" s="208">
        <f>ROUND((ROUND((ROUND((ROUND((_15_同援日３．０*_15・２人),0)*(1+_15・A深夜)),0)*(1+_15・盲ろう)),0)*(1+_15・区４)),0)</f>
        <v>1649</v>
      </c>
      <c r="X148" s="48"/>
    </row>
    <row r="149" spans="1:24" ht="16.5" customHeight="1" x14ac:dyDescent="0.15">
      <c r="A149" s="41">
        <v>15</v>
      </c>
      <c r="B149" s="41">
        <v>8669</v>
      </c>
      <c r="C149" s="74" t="s">
        <v>18635</v>
      </c>
      <c r="D149" s="72"/>
      <c r="F149" s="57"/>
      <c r="G149" s="114" t="s">
        <v>17558</v>
      </c>
      <c r="H149" s="49"/>
      <c r="I149" s="50"/>
      <c r="J149" s="163"/>
      <c r="K149" s="45"/>
      <c r="L149" s="46"/>
      <c r="M149" s="512"/>
      <c r="N149" s="57"/>
      <c r="O149" s="35"/>
      <c r="P149" s="12" t="s">
        <v>398</v>
      </c>
      <c r="Q149" s="13">
        <v>0.25</v>
      </c>
      <c r="R149" s="57" t="s">
        <v>3575</v>
      </c>
      <c r="S149" s="35"/>
      <c r="V149" s="57"/>
      <c r="W149" s="208">
        <f>ROUND((ROUND((ROUND((ROUND((_15_同援日３．０*_15・基礎２),0)*(1+_15・A深夜)),0)*(1+_15・盲ろう)),0)*(1+_15・区４)),0)</f>
        <v>1484</v>
      </c>
      <c r="X149" s="48"/>
    </row>
    <row r="150" spans="1:24" ht="16.5" customHeight="1" x14ac:dyDescent="0.15">
      <c r="A150" s="41">
        <v>15</v>
      </c>
      <c r="B150" s="41">
        <v>8670</v>
      </c>
      <c r="C150" s="74" t="s">
        <v>18636</v>
      </c>
      <c r="D150" s="122"/>
      <c r="E150" s="37"/>
      <c r="F150" s="79"/>
      <c r="G150" s="269" t="s">
        <v>17560</v>
      </c>
      <c r="H150" s="37" t="s">
        <v>398</v>
      </c>
      <c r="I150" s="38">
        <v>0.9</v>
      </c>
      <c r="J150" s="299" t="s">
        <v>17556</v>
      </c>
      <c r="K150" s="45" t="s">
        <v>398</v>
      </c>
      <c r="L150" s="46">
        <v>1</v>
      </c>
      <c r="M150" s="512"/>
      <c r="N150" s="57"/>
      <c r="O150" s="43"/>
      <c r="P150" s="37"/>
      <c r="Q150" s="38"/>
      <c r="R150" s="79"/>
      <c r="S150" s="43"/>
      <c r="T150" s="37"/>
      <c r="U150" s="38"/>
      <c r="V150" s="79"/>
      <c r="W150" s="208">
        <f>ROUND((ROUND((ROUND((ROUND((ROUND((_15_同援日３．０*_15・基礎２),0)*_15・２人),0)*(1+_15・A深夜)),0)*(1+_15・盲ろう)),0)*(1+_15・区４)),0)</f>
        <v>1484</v>
      </c>
      <c r="X150" s="48"/>
    </row>
    <row r="151" spans="1:24" ht="16.5" customHeight="1" x14ac:dyDescent="0.15">
      <c r="A151" s="41">
        <v>15</v>
      </c>
      <c r="B151" s="41">
        <v>8671</v>
      </c>
      <c r="C151" s="74" t="s">
        <v>18637</v>
      </c>
      <c r="D151" s="114" t="s">
        <v>18638</v>
      </c>
      <c r="E151" s="49"/>
      <c r="F151" s="115"/>
      <c r="G151" s="53"/>
      <c r="H151" s="49"/>
      <c r="I151" s="50"/>
      <c r="J151" s="163"/>
      <c r="K151" s="45"/>
      <c r="L151" s="46"/>
      <c r="M151" s="512"/>
      <c r="N151" s="57"/>
      <c r="O151" s="53"/>
      <c r="P151" s="49"/>
      <c r="Q151" s="50"/>
      <c r="R151" s="115"/>
      <c r="S151" s="53"/>
      <c r="T151" s="49"/>
      <c r="U151" s="50"/>
      <c r="V151" s="115"/>
      <c r="W151" s="208">
        <f>ROUND((_15_同援日３．５*(1+_15・A深夜)),0)</f>
        <v>1040</v>
      </c>
      <c r="X151" s="48"/>
    </row>
    <row r="152" spans="1:24" ht="16.5" customHeight="1" x14ac:dyDescent="0.15">
      <c r="A152" s="41">
        <v>15</v>
      </c>
      <c r="B152" s="41">
        <v>8672</v>
      </c>
      <c r="C152" s="74" t="s">
        <v>18639</v>
      </c>
      <c r="D152" s="72" t="s">
        <v>17724</v>
      </c>
      <c r="F152" s="57"/>
      <c r="G152" s="43"/>
      <c r="H152" s="37"/>
      <c r="I152" s="38"/>
      <c r="J152" s="299" t="s">
        <v>17556</v>
      </c>
      <c r="K152" s="45" t="s">
        <v>398</v>
      </c>
      <c r="L152" s="46">
        <v>1</v>
      </c>
      <c r="M152" s="512"/>
      <c r="N152" s="57"/>
      <c r="O152" s="35"/>
      <c r="R152" s="57"/>
      <c r="S152" s="35"/>
      <c r="V152" s="57"/>
      <c r="W152" s="208">
        <f>ROUND((ROUND((_15_同援日３．５*_15・２人),0)*(1+_15・A深夜)),0)</f>
        <v>1040</v>
      </c>
      <c r="X152" s="48"/>
    </row>
    <row r="153" spans="1:24" ht="16.5" customHeight="1" x14ac:dyDescent="0.15">
      <c r="A153" s="41">
        <v>15</v>
      </c>
      <c r="B153" s="41">
        <v>8673</v>
      </c>
      <c r="C153" s="74" t="s">
        <v>18640</v>
      </c>
      <c r="D153" s="72" t="s">
        <v>17726</v>
      </c>
      <c r="F153" s="57"/>
      <c r="G153" s="114" t="s">
        <v>17558</v>
      </c>
      <c r="H153" s="49"/>
      <c r="I153" s="50"/>
      <c r="J153" s="163"/>
      <c r="K153" s="45"/>
      <c r="L153" s="46"/>
      <c r="M153" s="512"/>
      <c r="N153" s="57"/>
      <c r="O153" s="35"/>
      <c r="R153" s="57"/>
      <c r="S153" s="35"/>
      <c r="V153" s="57"/>
      <c r="W153" s="208">
        <f>ROUND((ROUND((_15_同援日３．５*_15・基礎２),0)*(1+_15・A深夜)),0)</f>
        <v>936</v>
      </c>
      <c r="X153" s="48"/>
    </row>
    <row r="154" spans="1:24" ht="16.5" customHeight="1" x14ac:dyDescent="0.15">
      <c r="A154" s="41">
        <v>15</v>
      </c>
      <c r="B154" s="41">
        <v>8674</v>
      </c>
      <c r="C154" s="74" t="s">
        <v>18641</v>
      </c>
      <c r="D154" s="72"/>
      <c r="E154" s="168">
        <f>_15_同援日３．５</f>
        <v>693</v>
      </c>
      <c r="F154" s="57" t="s">
        <v>392</v>
      </c>
      <c r="G154" s="269" t="s">
        <v>17560</v>
      </c>
      <c r="H154" s="37" t="s">
        <v>398</v>
      </c>
      <c r="I154" s="38">
        <v>0.9</v>
      </c>
      <c r="J154" s="299" t="s">
        <v>17556</v>
      </c>
      <c r="K154" s="45" t="s">
        <v>398</v>
      </c>
      <c r="L154" s="46">
        <v>1</v>
      </c>
      <c r="M154" s="512"/>
      <c r="N154" s="57"/>
      <c r="O154" s="43"/>
      <c r="P154" s="37"/>
      <c r="Q154" s="38"/>
      <c r="R154" s="79"/>
      <c r="S154" s="35"/>
      <c r="V154" s="57"/>
      <c r="W154" s="208">
        <f>ROUND((ROUND((ROUND((_15_同援日３．５*_15・基礎２),0)*_15・２人),0)*(1+_15・A深夜)),0)</f>
        <v>936</v>
      </c>
      <c r="X154" s="48"/>
    </row>
    <row r="155" spans="1:24" ht="16.5" customHeight="1" x14ac:dyDescent="0.15">
      <c r="A155" s="41">
        <v>15</v>
      </c>
      <c r="B155" s="41">
        <v>8675</v>
      </c>
      <c r="C155" s="74" t="s">
        <v>18642</v>
      </c>
      <c r="D155" s="72"/>
      <c r="F155" s="57"/>
      <c r="G155" s="53"/>
      <c r="H155" s="49"/>
      <c r="I155" s="50"/>
      <c r="J155" s="163"/>
      <c r="K155" s="45"/>
      <c r="L155" s="46"/>
      <c r="M155" s="512"/>
      <c r="N155" s="57"/>
      <c r="O155" s="114" t="s">
        <v>17562</v>
      </c>
      <c r="P155" s="49"/>
      <c r="Q155" s="50"/>
      <c r="R155" s="115"/>
      <c r="S155" s="35"/>
      <c r="V155" s="57"/>
      <c r="W155" s="208">
        <f>ROUND((ROUND((_15_同援日３．５*(1+_15・A深夜)),0)*(1+_15・盲ろう)),0)</f>
        <v>1300</v>
      </c>
      <c r="X155" s="48"/>
    </row>
    <row r="156" spans="1:24" ht="16.5" customHeight="1" x14ac:dyDescent="0.15">
      <c r="A156" s="41">
        <v>15</v>
      </c>
      <c r="B156" s="41">
        <v>8676</v>
      </c>
      <c r="C156" s="74" t="s">
        <v>18643</v>
      </c>
      <c r="D156" s="72"/>
      <c r="F156" s="57"/>
      <c r="G156" s="43"/>
      <c r="H156" s="37"/>
      <c r="I156" s="38"/>
      <c r="J156" s="299" t="s">
        <v>17556</v>
      </c>
      <c r="K156" s="45" t="s">
        <v>398</v>
      </c>
      <c r="L156" s="46">
        <v>1</v>
      </c>
      <c r="M156" s="512"/>
      <c r="N156" s="57"/>
      <c r="O156" s="92" t="s">
        <v>17564</v>
      </c>
      <c r="R156" s="57"/>
      <c r="S156" s="35"/>
      <c r="V156" s="57"/>
      <c r="W156" s="208">
        <f>ROUND((ROUND((ROUND((_15_同援日３．５*_15・２人),0)*(1+_15・A深夜)),0)*(1+_15・盲ろう)),0)</f>
        <v>1300</v>
      </c>
      <c r="X156" s="48"/>
    </row>
    <row r="157" spans="1:24" ht="16.5" customHeight="1" x14ac:dyDescent="0.15">
      <c r="A157" s="41">
        <v>15</v>
      </c>
      <c r="B157" s="41">
        <v>8677</v>
      </c>
      <c r="C157" s="74" t="s">
        <v>18644</v>
      </c>
      <c r="D157" s="72"/>
      <c r="F157" s="57"/>
      <c r="G157" s="114" t="s">
        <v>17558</v>
      </c>
      <c r="H157" s="49"/>
      <c r="I157" s="50"/>
      <c r="J157" s="163"/>
      <c r="K157" s="45"/>
      <c r="L157" s="46"/>
      <c r="M157" s="512"/>
      <c r="N157" s="57"/>
      <c r="O157" s="35"/>
      <c r="P157" s="12" t="s">
        <v>398</v>
      </c>
      <c r="Q157" s="13">
        <v>0.25</v>
      </c>
      <c r="R157" s="57" t="s">
        <v>3575</v>
      </c>
      <c r="S157" s="35"/>
      <c r="V157" s="57"/>
      <c r="W157" s="208">
        <f>ROUND((ROUND((ROUND((_15_同援日３．５*_15・基礎２),0)*(1+_15・A深夜)),0)*(1+_15・盲ろう)),0)</f>
        <v>1170</v>
      </c>
      <c r="X157" s="48"/>
    </row>
    <row r="158" spans="1:24" ht="16.5" customHeight="1" x14ac:dyDescent="0.15">
      <c r="A158" s="41">
        <v>15</v>
      </c>
      <c r="B158" s="41">
        <v>8678</v>
      </c>
      <c r="C158" s="74" t="s">
        <v>18645</v>
      </c>
      <c r="D158" s="72"/>
      <c r="F158" s="57"/>
      <c r="G158" s="269" t="s">
        <v>17560</v>
      </c>
      <c r="H158" s="37" t="s">
        <v>398</v>
      </c>
      <c r="I158" s="38">
        <v>0.9</v>
      </c>
      <c r="J158" s="299" t="s">
        <v>17556</v>
      </c>
      <c r="K158" s="45" t="s">
        <v>398</v>
      </c>
      <c r="L158" s="46">
        <v>1</v>
      </c>
      <c r="M158" s="512"/>
      <c r="N158" s="57"/>
      <c r="O158" s="43"/>
      <c r="P158" s="37"/>
      <c r="Q158" s="38"/>
      <c r="R158" s="79"/>
      <c r="S158" s="43"/>
      <c r="T158" s="37"/>
      <c r="U158" s="38"/>
      <c r="V158" s="79"/>
      <c r="W158" s="208">
        <f>ROUND((ROUND((ROUND((ROUND((_15_同援日３．５*_15・基礎２),0)*_15・２人),0)*(1+_15・A深夜)),0)*(1+_15・盲ろう)),0)</f>
        <v>1170</v>
      </c>
      <c r="X158" s="48"/>
    </row>
    <row r="159" spans="1:24" ht="16.5" customHeight="1" x14ac:dyDescent="0.15">
      <c r="A159" s="41">
        <v>15</v>
      </c>
      <c r="B159" s="41">
        <v>8679</v>
      </c>
      <c r="C159" s="74" t="s">
        <v>18646</v>
      </c>
      <c r="D159" s="72"/>
      <c r="F159" s="57"/>
      <c r="G159" s="53"/>
      <c r="H159" s="49"/>
      <c r="I159" s="50"/>
      <c r="J159" s="163"/>
      <c r="K159" s="45"/>
      <c r="L159" s="46"/>
      <c r="M159" s="512"/>
      <c r="N159" s="57"/>
      <c r="O159" s="53"/>
      <c r="P159" s="49"/>
      <c r="Q159" s="50"/>
      <c r="R159" s="115"/>
      <c r="S159" s="53"/>
      <c r="T159" s="49"/>
      <c r="U159" s="50"/>
      <c r="V159" s="115"/>
      <c r="W159" s="208">
        <f>ROUND((ROUND((_15_同援日３．５*(1+_15・A深夜)),0)*(1+_15・区３)),0)</f>
        <v>1248</v>
      </c>
      <c r="X159" s="48"/>
    </row>
    <row r="160" spans="1:24" ht="16.5" customHeight="1" x14ac:dyDescent="0.15">
      <c r="A160" s="41">
        <v>15</v>
      </c>
      <c r="B160" s="41">
        <v>8680</v>
      </c>
      <c r="C160" s="74" t="s">
        <v>18647</v>
      </c>
      <c r="D160" s="72"/>
      <c r="F160" s="57"/>
      <c r="G160" s="43"/>
      <c r="H160" s="37"/>
      <c r="I160" s="38"/>
      <c r="J160" s="299" t="s">
        <v>17556</v>
      </c>
      <c r="K160" s="45" t="s">
        <v>398</v>
      </c>
      <c r="L160" s="46">
        <v>1</v>
      </c>
      <c r="M160" s="512"/>
      <c r="N160" s="57"/>
      <c r="O160" s="35"/>
      <c r="R160" s="57"/>
      <c r="S160" s="35"/>
      <c r="V160" s="57"/>
      <c r="W160" s="208">
        <f>ROUND((ROUND((ROUND((_15_同援日３．５*_15・２人),0)*(1+_15・A深夜)),0)*(1+_15・区３)),0)</f>
        <v>1248</v>
      </c>
      <c r="X160" s="48"/>
    </row>
    <row r="161" spans="1:24" ht="16.5" customHeight="1" x14ac:dyDescent="0.15">
      <c r="A161" s="41">
        <v>15</v>
      </c>
      <c r="B161" s="41">
        <v>8681</v>
      </c>
      <c r="C161" s="74" t="s">
        <v>18648</v>
      </c>
      <c r="D161" s="72"/>
      <c r="F161" s="57"/>
      <c r="G161" s="114" t="s">
        <v>17558</v>
      </c>
      <c r="H161" s="49"/>
      <c r="I161" s="50"/>
      <c r="J161" s="163"/>
      <c r="K161" s="45"/>
      <c r="L161" s="46"/>
      <c r="M161" s="512"/>
      <c r="N161" s="57"/>
      <c r="O161" s="35"/>
      <c r="R161" s="57"/>
      <c r="S161" s="72" t="s">
        <v>17570</v>
      </c>
      <c r="V161" s="57"/>
      <c r="W161" s="208">
        <f>ROUND((ROUND((ROUND((_15_同援日３．５*_15・基礎２),0)*(1+_15・A深夜)),0)*(1+_15・区３)),0)</f>
        <v>1123</v>
      </c>
      <c r="X161" s="48"/>
    </row>
    <row r="162" spans="1:24" ht="16.5" customHeight="1" x14ac:dyDescent="0.15">
      <c r="A162" s="41">
        <v>15</v>
      </c>
      <c r="B162" s="41">
        <v>8682</v>
      </c>
      <c r="C162" s="74" t="s">
        <v>18649</v>
      </c>
      <c r="D162" s="72"/>
      <c r="F162" s="57"/>
      <c r="G162" s="269" t="s">
        <v>17560</v>
      </c>
      <c r="H162" s="37" t="s">
        <v>398</v>
      </c>
      <c r="I162" s="38">
        <v>0.9</v>
      </c>
      <c r="J162" s="299" t="s">
        <v>17556</v>
      </c>
      <c r="K162" s="45" t="s">
        <v>398</v>
      </c>
      <c r="L162" s="46">
        <v>1</v>
      </c>
      <c r="M162" s="512"/>
      <c r="N162" s="57"/>
      <c r="O162" s="43"/>
      <c r="P162" s="37"/>
      <c r="Q162" s="38"/>
      <c r="R162" s="79"/>
      <c r="S162" s="72" t="s">
        <v>17572</v>
      </c>
      <c r="V162" s="57"/>
      <c r="W162" s="208">
        <f>ROUND((ROUND((ROUND((ROUND((_15_同援日３．５*_15・基礎２),0)*_15・２人),0)*(1+_15・A深夜)),0)*(1+_15・区３)),0)</f>
        <v>1123</v>
      </c>
      <c r="X162" s="48"/>
    </row>
    <row r="163" spans="1:24" ht="16.5" customHeight="1" x14ac:dyDescent="0.15">
      <c r="A163" s="41">
        <v>15</v>
      </c>
      <c r="B163" s="41">
        <v>8683</v>
      </c>
      <c r="C163" s="74" t="s">
        <v>18650</v>
      </c>
      <c r="D163" s="72"/>
      <c r="F163" s="57"/>
      <c r="G163" s="53"/>
      <c r="H163" s="49"/>
      <c r="I163" s="50"/>
      <c r="J163" s="163"/>
      <c r="K163" s="45"/>
      <c r="L163" s="46"/>
      <c r="M163" s="512"/>
      <c r="N163" s="57"/>
      <c r="O163" s="114" t="s">
        <v>17562</v>
      </c>
      <c r="P163" s="49"/>
      <c r="Q163" s="50"/>
      <c r="R163" s="115"/>
      <c r="S163" s="35"/>
      <c r="T163" s="12" t="s">
        <v>398</v>
      </c>
      <c r="U163" s="13">
        <v>0.2</v>
      </c>
      <c r="V163" s="57" t="s">
        <v>3575</v>
      </c>
      <c r="W163" s="208">
        <f>ROUND((ROUND((ROUND((_15_同援日３．５*(1+_15・A深夜)),0)*(1+_15・盲ろう)),0)*(1+_15・区３)),0)</f>
        <v>1560</v>
      </c>
      <c r="X163" s="48"/>
    </row>
    <row r="164" spans="1:24" ht="16.5" customHeight="1" x14ac:dyDescent="0.15">
      <c r="A164" s="41">
        <v>15</v>
      </c>
      <c r="B164" s="41">
        <v>8684</v>
      </c>
      <c r="C164" s="74" t="s">
        <v>18651</v>
      </c>
      <c r="D164" s="72"/>
      <c r="F164" s="57"/>
      <c r="G164" s="43"/>
      <c r="H164" s="37"/>
      <c r="I164" s="38"/>
      <c r="J164" s="299" t="s">
        <v>17556</v>
      </c>
      <c r="K164" s="45" t="s">
        <v>398</v>
      </c>
      <c r="L164" s="46">
        <v>1</v>
      </c>
      <c r="M164" s="512"/>
      <c r="N164" s="57"/>
      <c r="O164" s="92" t="s">
        <v>17564</v>
      </c>
      <c r="R164" s="57"/>
      <c r="S164" s="35"/>
      <c r="V164" s="57"/>
      <c r="W164" s="208">
        <f>ROUND((ROUND((ROUND((ROUND((_15_同援日３．５*_15・２人),0)*(1+_15・A深夜)),0)*(1+_15・盲ろう)),0)*(1+_15・区３)),0)</f>
        <v>1560</v>
      </c>
      <c r="X164" s="48"/>
    </row>
    <row r="165" spans="1:24" ht="16.5" customHeight="1" x14ac:dyDescent="0.15">
      <c r="A165" s="41">
        <v>15</v>
      </c>
      <c r="B165" s="41">
        <v>8685</v>
      </c>
      <c r="C165" s="74" t="s">
        <v>18652</v>
      </c>
      <c r="D165" s="72"/>
      <c r="F165" s="57"/>
      <c r="G165" s="114" t="s">
        <v>17558</v>
      </c>
      <c r="H165" s="49"/>
      <c r="I165" s="50"/>
      <c r="J165" s="163"/>
      <c r="K165" s="45"/>
      <c r="L165" s="46"/>
      <c r="M165" s="512"/>
      <c r="N165" s="57"/>
      <c r="O165" s="35"/>
      <c r="P165" s="12" t="s">
        <v>398</v>
      </c>
      <c r="Q165" s="13">
        <v>0.25</v>
      </c>
      <c r="R165" s="57" t="s">
        <v>3575</v>
      </c>
      <c r="S165" s="35"/>
      <c r="V165" s="57"/>
      <c r="W165" s="208">
        <f>ROUND((ROUND((ROUND((ROUND((_15_同援日３．５*_15・基礎２),0)*(1+_15・A深夜)),0)*(1+_15・盲ろう)),0)*(1+_15・区３)),0)</f>
        <v>1404</v>
      </c>
      <c r="X165" s="48"/>
    </row>
    <row r="166" spans="1:24" ht="16.5" customHeight="1" x14ac:dyDescent="0.15">
      <c r="A166" s="41">
        <v>15</v>
      </c>
      <c r="B166" s="41">
        <v>8686</v>
      </c>
      <c r="C166" s="74" t="s">
        <v>18653</v>
      </c>
      <c r="D166" s="72"/>
      <c r="F166" s="57"/>
      <c r="G166" s="269" t="s">
        <v>17560</v>
      </c>
      <c r="H166" s="37" t="s">
        <v>398</v>
      </c>
      <c r="I166" s="38">
        <v>0.9</v>
      </c>
      <c r="J166" s="299" t="s">
        <v>17556</v>
      </c>
      <c r="K166" s="45" t="s">
        <v>398</v>
      </c>
      <c r="L166" s="46">
        <v>1</v>
      </c>
      <c r="M166" s="512"/>
      <c r="N166" s="57"/>
      <c r="O166" s="43"/>
      <c r="P166" s="37"/>
      <c r="Q166" s="38"/>
      <c r="R166" s="79"/>
      <c r="S166" s="43"/>
      <c r="T166" s="37"/>
      <c r="U166" s="38"/>
      <c r="V166" s="79"/>
      <c r="W166" s="208">
        <f>ROUND((ROUND((ROUND((ROUND((ROUND((_15_同援日３．５*_15・基礎２),0)*_15・２人),0)*(1+_15・A深夜)),0)*(1+_15・盲ろう)),0)*(1+_15・区３)),0)</f>
        <v>1404</v>
      </c>
      <c r="X166" s="48"/>
    </row>
    <row r="167" spans="1:24" ht="16.5" customHeight="1" x14ac:dyDescent="0.15">
      <c r="A167" s="41">
        <v>15</v>
      </c>
      <c r="B167" s="41">
        <v>8687</v>
      </c>
      <c r="C167" s="74" t="s">
        <v>18654</v>
      </c>
      <c r="D167" s="72"/>
      <c r="F167" s="57"/>
      <c r="G167" s="53"/>
      <c r="H167" s="49"/>
      <c r="I167" s="50"/>
      <c r="J167" s="163"/>
      <c r="K167" s="45"/>
      <c r="L167" s="46"/>
      <c r="M167" s="512"/>
      <c r="N167" s="57"/>
      <c r="O167" s="53"/>
      <c r="P167" s="49"/>
      <c r="Q167" s="50"/>
      <c r="R167" s="115"/>
      <c r="S167" s="53"/>
      <c r="T167" s="49"/>
      <c r="U167" s="50"/>
      <c r="V167" s="115"/>
      <c r="W167" s="208">
        <f>ROUND((ROUND((_15_同援日３．５*(1+_15・A深夜)),0)*(1+_15・区４)),0)</f>
        <v>1456</v>
      </c>
      <c r="X167" s="48"/>
    </row>
    <row r="168" spans="1:24" ht="16.5" customHeight="1" x14ac:dyDescent="0.15">
      <c r="A168" s="41">
        <v>15</v>
      </c>
      <c r="B168" s="41">
        <v>8688</v>
      </c>
      <c r="C168" s="74" t="s">
        <v>18655</v>
      </c>
      <c r="D168" s="72"/>
      <c r="F168" s="57"/>
      <c r="G168" s="43"/>
      <c r="H168" s="37"/>
      <c r="I168" s="38"/>
      <c r="J168" s="299" t="s">
        <v>17556</v>
      </c>
      <c r="K168" s="45" t="s">
        <v>398</v>
      </c>
      <c r="L168" s="46">
        <v>1</v>
      </c>
      <c r="M168" s="512"/>
      <c r="N168" s="57"/>
      <c r="O168" s="35"/>
      <c r="R168" s="57"/>
      <c r="S168" s="35"/>
      <c r="V168" s="57"/>
      <c r="W168" s="208">
        <f>ROUND((ROUND((ROUND((_15_同援日３．５*_15・２人),0)*(1+_15・A深夜)),0)*(1+_15・区４)),0)</f>
        <v>1456</v>
      </c>
      <c r="X168" s="48"/>
    </row>
    <row r="169" spans="1:24" ht="16.5" customHeight="1" x14ac:dyDescent="0.15">
      <c r="A169" s="41">
        <v>15</v>
      </c>
      <c r="B169" s="41">
        <v>8689</v>
      </c>
      <c r="C169" s="74" t="s">
        <v>18656</v>
      </c>
      <c r="D169" s="72"/>
      <c r="F169" s="57"/>
      <c r="G169" s="114" t="s">
        <v>17558</v>
      </c>
      <c r="H169" s="49"/>
      <c r="I169" s="50"/>
      <c r="J169" s="163"/>
      <c r="K169" s="45"/>
      <c r="L169" s="46"/>
      <c r="M169" s="512"/>
      <c r="N169" s="57"/>
      <c r="O169" s="35"/>
      <c r="R169" s="57"/>
      <c r="S169" s="72" t="s">
        <v>17580</v>
      </c>
      <c r="V169" s="57"/>
      <c r="W169" s="208">
        <f>ROUND((ROUND((ROUND((_15_同援日３．５*_15・基礎２),0)*(1+_15・A深夜)),0)*(1+_15・区４)),0)</f>
        <v>1310</v>
      </c>
      <c r="X169" s="48"/>
    </row>
    <row r="170" spans="1:24" ht="16.5" customHeight="1" x14ac:dyDescent="0.15">
      <c r="A170" s="41">
        <v>15</v>
      </c>
      <c r="B170" s="41">
        <v>8690</v>
      </c>
      <c r="C170" s="74" t="s">
        <v>18657</v>
      </c>
      <c r="D170" s="72"/>
      <c r="F170" s="57"/>
      <c r="G170" s="269" t="s">
        <v>17560</v>
      </c>
      <c r="H170" s="37" t="s">
        <v>398</v>
      </c>
      <c r="I170" s="38">
        <v>0.9</v>
      </c>
      <c r="J170" s="299" t="s">
        <v>17556</v>
      </c>
      <c r="K170" s="45" t="s">
        <v>398</v>
      </c>
      <c r="L170" s="46">
        <v>1</v>
      </c>
      <c r="M170" s="512"/>
      <c r="N170" s="57"/>
      <c r="O170" s="43"/>
      <c r="P170" s="37"/>
      <c r="Q170" s="38"/>
      <c r="R170" s="79"/>
      <c r="S170" s="72" t="s">
        <v>17572</v>
      </c>
      <c r="V170" s="57"/>
      <c r="W170" s="208">
        <f>ROUND((ROUND((ROUND((ROUND((_15_同援日３．５*_15・基礎２),0)*_15・２人),0)*(1+_15・A深夜)),0)*(1+_15・区４)),0)</f>
        <v>1310</v>
      </c>
      <c r="X170" s="48"/>
    </row>
    <row r="171" spans="1:24" ht="16.5" customHeight="1" x14ac:dyDescent="0.15">
      <c r="A171" s="41">
        <v>15</v>
      </c>
      <c r="B171" s="41">
        <v>8691</v>
      </c>
      <c r="C171" s="74" t="s">
        <v>18658</v>
      </c>
      <c r="D171" s="72"/>
      <c r="F171" s="57"/>
      <c r="G171" s="53"/>
      <c r="H171" s="49"/>
      <c r="I171" s="50"/>
      <c r="J171" s="163"/>
      <c r="K171" s="45"/>
      <c r="L171" s="46"/>
      <c r="M171" s="512"/>
      <c r="N171" s="57"/>
      <c r="O171" s="114" t="s">
        <v>17562</v>
      </c>
      <c r="P171" s="49"/>
      <c r="Q171" s="50"/>
      <c r="R171" s="115"/>
      <c r="S171" s="35"/>
      <c r="T171" s="12" t="s">
        <v>398</v>
      </c>
      <c r="U171" s="13">
        <v>0.4</v>
      </c>
      <c r="V171" s="57" t="s">
        <v>3575</v>
      </c>
      <c r="W171" s="208">
        <f>ROUND((ROUND((ROUND((_15_同援日３．５*(1+_15・A深夜)),0)*(1+_15・盲ろう)),0)*(1+_15・区４)),0)</f>
        <v>1820</v>
      </c>
      <c r="X171" s="48"/>
    </row>
    <row r="172" spans="1:24" ht="16.5" customHeight="1" x14ac:dyDescent="0.15">
      <c r="A172" s="41">
        <v>15</v>
      </c>
      <c r="B172" s="41">
        <v>8692</v>
      </c>
      <c r="C172" s="74" t="s">
        <v>18659</v>
      </c>
      <c r="D172" s="72"/>
      <c r="F172" s="57"/>
      <c r="G172" s="43"/>
      <c r="H172" s="37"/>
      <c r="I172" s="38"/>
      <c r="J172" s="299" t="s">
        <v>17556</v>
      </c>
      <c r="K172" s="45" t="s">
        <v>398</v>
      </c>
      <c r="L172" s="46">
        <v>1</v>
      </c>
      <c r="M172" s="512"/>
      <c r="N172" s="57"/>
      <c r="O172" s="92" t="s">
        <v>17564</v>
      </c>
      <c r="R172" s="57"/>
      <c r="S172" s="35"/>
      <c r="V172" s="57"/>
      <c r="W172" s="208">
        <f>ROUND((ROUND((ROUND((ROUND((_15_同援日３．５*_15・２人),0)*(1+_15・A深夜)),0)*(1+_15・盲ろう)),0)*(1+_15・区４)),0)</f>
        <v>1820</v>
      </c>
      <c r="X172" s="48"/>
    </row>
    <row r="173" spans="1:24" ht="16.5" customHeight="1" x14ac:dyDescent="0.15">
      <c r="A173" s="41">
        <v>15</v>
      </c>
      <c r="B173" s="41">
        <v>8693</v>
      </c>
      <c r="C173" s="74" t="s">
        <v>18660</v>
      </c>
      <c r="D173" s="72"/>
      <c r="F173" s="57"/>
      <c r="G173" s="114" t="s">
        <v>17558</v>
      </c>
      <c r="H173" s="49"/>
      <c r="I173" s="50"/>
      <c r="J173" s="163"/>
      <c r="K173" s="45"/>
      <c r="L173" s="46"/>
      <c r="M173" s="512"/>
      <c r="N173" s="57"/>
      <c r="O173" s="35"/>
      <c r="P173" s="12" t="s">
        <v>398</v>
      </c>
      <c r="Q173" s="13">
        <v>0.25</v>
      </c>
      <c r="R173" s="57" t="s">
        <v>3575</v>
      </c>
      <c r="S173" s="35"/>
      <c r="V173" s="57"/>
      <c r="W173" s="208">
        <f>ROUND((ROUND((ROUND((ROUND((_15_同援日３．５*_15・基礎２),0)*(1+_15・A深夜)),0)*(1+_15・盲ろう)),0)*(1+_15・区４)),0)</f>
        <v>1638</v>
      </c>
      <c r="X173" s="48"/>
    </row>
    <row r="174" spans="1:24" ht="16.5" customHeight="1" x14ac:dyDescent="0.15">
      <c r="A174" s="41">
        <v>15</v>
      </c>
      <c r="B174" s="41">
        <v>8694</v>
      </c>
      <c r="C174" s="74" t="s">
        <v>18661</v>
      </c>
      <c r="D174" s="122"/>
      <c r="E174" s="37"/>
      <c r="F174" s="79"/>
      <c r="G174" s="269" t="s">
        <v>17560</v>
      </c>
      <c r="H174" s="37" t="s">
        <v>398</v>
      </c>
      <c r="I174" s="38">
        <v>0.9</v>
      </c>
      <c r="J174" s="299" t="s">
        <v>17556</v>
      </c>
      <c r="K174" s="45" t="s">
        <v>398</v>
      </c>
      <c r="L174" s="46">
        <v>1</v>
      </c>
      <c r="M174" s="512"/>
      <c r="N174" s="57"/>
      <c r="O174" s="43"/>
      <c r="P174" s="37"/>
      <c r="Q174" s="38"/>
      <c r="R174" s="79"/>
      <c r="S174" s="43"/>
      <c r="T174" s="37"/>
      <c r="U174" s="38"/>
      <c r="V174" s="79"/>
      <c r="W174" s="208">
        <f>ROUND((ROUND((ROUND((ROUND((ROUND((_15_同援日３．５*_15・基礎２),0)*_15・２人),0)*(1+_15・A深夜)),0)*(1+_15・盲ろう)),0)*(1+_15・区４)),0)</f>
        <v>1638</v>
      </c>
      <c r="X174" s="48"/>
    </row>
    <row r="175" spans="1:24" ht="16.5" customHeight="1" x14ac:dyDescent="0.15">
      <c r="A175" s="41">
        <v>15</v>
      </c>
      <c r="B175" s="41">
        <v>8695</v>
      </c>
      <c r="C175" s="74" t="s">
        <v>18662</v>
      </c>
      <c r="D175" s="114" t="s">
        <v>18663</v>
      </c>
      <c r="E175" s="49"/>
      <c r="F175" s="115"/>
      <c r="G175" s="53"/>
      <c r="H175" s="49"/>
      <c r="I175" s="50"/>
      <c r="J175" s="163"/>
      <c r="K175" s="45"/>
      <c r="L175" s="46"/>
      <c r="M175" s="512"/>
      <c r="N175" s="57"/>
      <c r="O175" s="53"/>
      <c r="P175" s="49"/>
      <c r="Q175" s="50"/>
      <c r="R175" s="115"/>
      <c r="S175" s="53"/>
      <c r="T175" s="49"/>
      <c r="U175" s="50"/>
      <c r="V175" s="115"/>
      <c r="W175" s="208">
        <f>ROUND((_15_同援日４．０*(1+_15・A深夜)),0)</f>
        <v>1137</v>
      </c>
      <c r="X175" s="48"/>
    </row>
    <row r="176" spans="1:24" ht="16.5" customHeight="1" x14ac:dyDescent="0.15">
      <c r="A176" s="41">
        <v>15</v>
      </c>
      <c r="B176" s="41">
        <v>8696</v>
      </c>
      <c r="C176" s="74" t="s">
        <v>18664</v>
      </c>
      <c r="D176" s="72" t="s">
        <v>17751</v>
      </c>
      <c r="F176" s="57"/>
      <c r="G176" s="43"/>
      <c r="H176" s="37"/>
      <c r="I176" s="38"/>
      <c r="J176" s="299" t="s">
        <v>17556</v>
      </c>
      <c r="K176" s="45" t="s">
        <v>398</v>
      </c>
      <c r="L176" s="46">
        <v>1</v>
      </c>
      <c r="M176" s="512"/>
      <c r="N176" s="57"/>
      <c r="O176" s="35"/>
      <c r="R176" s="57"/>
      <c r="S176" s="35"/>
      <c r="V176" s="57"/>
      <c r="W176" s="208">
        <f>ROUND((ROUND((_15_同援日４．０*_15・２人),0)*(1+_15・A深夜)),0)</f>
        <v>1137</v>
      </c>
      <c r="X176" s="48"/>
    </row>
    <row r="177" spans="1:24" ht="16.5" customHeight="1" x14ac:dyDescent="0.15">
      <c r="A177" s="41">
        <v>15</v>
      </c>
      <c r="B177" s="41">
        <v>8697</v>
      </c>
      <c r="C177" s="74" t="s">
        <v>18665</v>
      </c>
      <c r="D177" s="72" t="s">
        <v>17753</v>
      </c>
      <c r="F177" s="57"/>
      <c r="G177" s="114" t="s">
        <v>17558</v>
      </c>
      <c r="H177" s="49"/>
      <c r="I177" s="50"/>
      <c r="J177" s="163"/>
      <c r="K177" s="45"/>
      <c r="L177" s="46"/>
      <c r="M177" s="512"/>
      <c r="N177" s="57"/>
      <c r="O177" s="35"/>
      <c r="R177" s="57"/>
      <c r="S177" s="35"/>
      <c r="V177" s="57"/>
      <c r="W177" s="208">
        <f>ROUND((ROUND((_15_同援日４．０*_15・基礎２),0)*(1+_15・A深夜)),0)</f>
        <v>1023</v>
      </c>
      <c r="X177" s="48"/>
    </row>
    <row r="178" spans="1:24" ht="16.5" customHeight="1" x14ac:dyDescent="0.15">
      <c r="A178" s="41">
        <v>15</v>
      </c>
      <c r="B178" s="41">
        <v>8698</v>
      </c>
      <c r="C178" s="74" t="s">
        <v>18666</v>
      </c>
      <c r="D178" s="72"/>
      <c r="E178" s="168">
        <f>_15_同援日４．０</f>
        <v>758</v>
      </c>
      <c r="F178" s="57" t="s">
        <v>392</v>
      </c>
      <c r="G178" s="269" t="s">
        <v>17560</v>
      </c>
      <c r="H178" s="37" t="s">
        <v>398</v>
      </c>
      <c r="I178" s="38">
        <v>0.9</v>
      </c>
      <c r="J178" s="299" t="s">
        <v>17556</v>
      </c>
      <c r="K178" s="45" t="s">
        <v>398</v>
      </c>
      <c r="L178" s="46">
        <v>1</v>
      </c>
      <c r="M178" s="512"/>
      <c r="N178" s="57"/>
      <c r="O178" s="43"/>
      <c r="P178" s="37"/>
      <c r="Q178" s="38"/>
      <c r="R178" s="79"/>
      <c r="S178" s="35"/>
      <c r="V178" s="57"/>
      <c r="W178" s="208">
        <f>ROUND((ROUND((ROUND((_15_同援日４．０*_15・基礎２),0)*_15・２人),0)*(1+_15・A深夜)),0)</f>
        <v>1023</v>
      </c>
      <c r="X178" s="48"/>
    </row>
    <row r="179" spans="1:24" ht="16.5" customHeight="1" x14ac:dyDescent="0.15">
      <c r="A179" s="41">
        <v>15</v>
      </c>
      <c r="B179" s="41">
        <v>8699</v>
      </c>
      <c r="C179" s="74" t="s">
        <v>18667</v>
      </c>
      <c r="D179" s="72"/>
      <c r="F179" s="57"/>
      <c r="G179" s="53"/>
      <c r="H179" s="49"/>
      <c r="I179" s="50"/>
      <c r="J179" s="163"/>
      <c r="K179" s="45"/>
      <c r="L179" s="46"/>
      <c r="M179" s="512"/>
      <c r="N179" s="57"/>
      <c r="O179" s="114" t="s">
        <v>17562</v>
      </c>
      <c r="P179" s="49"/>
      <c r="Q179" s="50"/>
      <c r="R179" s="115"/>
      <c r="S179" s="35"/>
      <c r="V179" s="57"/>
      <c r="W179" s="208">
        <f>ROUND((ROUND((_15_同援日４．０*(1+_15・A深夜)),0)*(1+_15・盲ろう)),0)</f>
        <v>1421</v>
      </c>
      <c r="X179" s="48"/>
    </row>
    <row r="180" spans="1:24" ht="16.5" customHeight="1" x14ac:dyDescent="0.15">
      <c r="A180" s="41">
        <v>15</v>
      </c>
      <c r="B180" s="41">
        <v>8700</v>
      </c>
      <c r="C180" s="74" t="s">
        <v>18668</v>
      </c>
      <c r="D180" s="72"/>
      <c r="F180" s="57"/>
      <c r="G180" s="43"/>
      <c r="H180" s="37"/>
      <c r="I180" s="38"/>
      <c r="J180" s="299" t="s">
        <v>17556</v>
      </c>
      <c r="K180" s="45" t="s">
        <v>398</v>
      </c>
      <c r="L180" s="46">
        <v>1</v>
      </c>
      <c r="M180" s="512"/>
      <c r="N180" s="57"/>
      <c r="O180" s="92" t="s">
        <v>17564</v>
      </c>
      <c r="R180" s="57"/>
      <c r="S180" s="35"/>
      <c r="V180" s="57"/>
      <c r="W180" s="208">
        <f>ROUND((ROUND((ROUND((_15_同援日４．０*_15・２人),0)*(1+_15・A深夜)),0)*(1+_15・盲ろう)),0)</f>
        <v>1421</v>
      </c>
      <c r="X180" s="48"/>
    </row>
    <row r="181" spans="1:24" ht="16.5" customHeight="1" x14ac:dyDescent="0.15">
      <c r="A181" s="41">
        <v>15</v>
      </c>
      <c r="B181" s="41">
        <v>8701</v>
      </c>
      <c r="C181" s="74" t="s">
        <v>18669</v>
      </c>
      <c r="D181" s="72"/>
      <c r="F181" s="57"/>
      <c r="G181" s="114" t="s">
        <v>17558</v>
      </c>
      <c r="H181" s="49"/>
      <c r="I181" s="50"/>
      <c r="J181" s="163"/>
      <c r="K181" s="45"/>
      <c r="L181" s="46"/>
      <c r="M181" s="512"/>
      <c r="N181" s="57"/>
      <c r="O181" s="35"/>
      <c r="P181" s="12" t="s">
        <v>398</v>
      </c>
      <c r="Q181" s="13">
        <v>0.25</v>
      </c>
      <c r="R181" s="57" t="s">
        <v>3575</v>
      </c>
      <c r="S181" s="35"/>
      <c r="V181" s="57"/>
      <c r="W181" s="208">
        <f>ROUND((ROUND((ROUND((_15_同援日４．０*_15・基礎２),0)*(1+_15・A深夜)),0)*(1+_15・盲ろう)),0)</f>
        <v>1279</v>
      </c>
      <c r="X181" s="48"/>
    </row>
    <row r="182" spans="1:24" ht="16.5" customHeight="1" x14ac:dyDescent="0.15">
      <c r="A182" s="41">
        <v>15</v>
      </c>
      <c r="B182" s="41">
        <v>8702</v>
      </c>
      <c r="C182" s="74" t="s">
        <v>18670</v>
      </c>
      <c r="D182" s="72"/>
      <c r="F182" s="57"/>
      <c r="G182" s="269" t="s">
        <v>17560</v>
      </c>
      <c r="H182" s="37" t="s">
        <v>398</v>
      </c>
      <c r="I182" s="38">
        <v>0.9</v>
      </c>
      <c r="J182" s="299" t="s">
        <v>17556</v>
      </c>
      <c r="K182" s="45" t="s">
        <v>398</v>
      </c>
      <c r="L182" s="46">
        <v>1</v>
      </c>
      <c r="M182" s="512"/>
      <c r="N182" s="57"/>
      <c r="O182" s="43"/>
      <c r="P182" s="37"/>
      <c r="Q182" s="38"/>
      <c r="R182" s="79"/>
      <c r="S182" s="43"/>
      <c r="T182" s="37"/>
      <c r="U182" s="38"/>
      <c r="V182" s="79"/>
      <c r="W182" s="208">
        <f>ROUND((ROUND((ROUND((ROUND((_15_同援日４．０*_15・基礎２),0)*_15・２人),0)*(1+_15・A深夜)),0)*(1+_15・盲ろう)),0)</f>
        <v>1279</v>
      </c>
      <c r="X182" s="48"/>
    </row>
    <row r="183" spans="1:24" ht="16.5" customHeight="1" x14ac:dyDescent="0.15">
      <c r="A183" s="41">
        <v>15</v>
      </c>
      <c r="B183" s="41">
        <v>8703</v>
      </c>
      <c r="C183" s="74" t="s">
        <v>18671</v>
      </c>
      <c r="D183" s="72"/>
      <c r="F183" s="57"/>
      <c r="G183" s="53"/>
      <c r="H183" s="49"/>
      <c r="I183" s="50"/>
      <c r="J183" s="163"/>
      <c r="K183" s="45"/>
      <c r="L183" s="46"/>
      <c r="M183" s="512"/>
      <c r="N183" s="57"/>
      <c r="O183" s="53"/>
      <c r="P183" s="49"/>
      <c r="Q183" s="50"/>
      <c r="R183" s="115"/>
      <c r="S183" s="53"/>
      <c r="T183" s="49"/>
      <c r="U183" s="50"/>
      <c r="V183" s="115"/>
      <c r="W183" s="208">
        <f>ROUND((ROUND((_15_同援日４．０*(1+_15・A深夜)),0)*(1+_15・区３)),0)</f>
        <v>1364</v>
      </c>
      <c r="X183" s="48"/>
    </row>
    <row r="184" spans="1:24" ht="16.5" customHeight="1" x14ac:dyDescent="0.15">
      <c r="A184" s="41">
        <v>15</v>
      </c>
      <c r="B184" s="41">
        <v>8704</v>
      </c>
      <c r="C184" s="74" t="s">
        <v>18672</v>
      </c>
      <c r="D184" s="72"/>
      <c r="F184" s="57"/>
      <c r="G184" s="43"/>
      <c r="H184" s="37"/>
      <c r="I184" s="38"/>
      <c r="J184" s="299" t="s">
        <v>17556</v>
      </c>
      <c r="K184" s="45" t="s">
        <v>398</v>
      </c>
      <c r="L184" s="46">
        <v>1</v>
      </c>
      <c r="M184" s="512"/>
      <c r="N184" s="57"/>
      <c r="O184" s="35"/>
      <c r="R184" s="57"/>
      <c r="S184" s="35"/>
      <c r="V184" s="57"/>
      <c r="W184" s="208">
        <f>ROUND((ROUND((ROUND((_15_同援日４．０*_15・２人),0)*(1+_15・A深夜)),0)*(1+_15・区３)),0)</f>
        <v>1364</v>
      </c>
      <c r="X184" s="48"/>
    </row>
    <row r="185" spans="1:24" ht="16.5" customHeight="1" x14ac:dyDescent="0.15">
      <c r="A185" s="41">
        <v>15</v>
      </c>
      <c r="B185" s="41">
        <v>8705</v>
      </c>
      <c r="C185" s="74" t="s">
        <v>18673</v>
      </c>
      <c r="D185" s="72"/>
      <c r="F185" s="57"/>
      <c r="G185" s="114" t="s">
        <v>17558</v>
      </c>
      <c r="H185" s="49"/>
      <c r="I185" s="50"/>
      <c r="J185" s="163"/>
      <c r="K185" s="45"/>
      <c r="L185" s="46"/>
      <c r="M185" s="512"/>
      <c r="N185" s="57"/>
      <c r="O185" s="35"/>
      <c r="R185" s="57"/>
      <c r="S185" s="72" t="s">
        <v>17570</v>
      </c>
      <c r="V185" s="57"/>
      <c r="W185" s="208">
        <f>ROUND((ROUND((ROUND((_15_同援日４．０*_15・基礎２),0)*(1+_15・A深夜)),0)*(1+_15・区３)),0)</f>
        <v>1228</v>
      </c>
      <c r="X185" s="48"/>
    </row>
    <row r="186" spans="1:24" ht="16.5" customHeight="1" x14ac:dyDescent="0.15">
      <c r="A186" s="41">
        <v>15</v>
      </c>
      <c r="B186" s="41">
        <v>8706</v>
      </c>
      <c r="C186" s="74" t="s">
        <v>18674</v>
      </c>
      <c r="D186" s="72"/>
      <c r="F186" s="57"/>
      <c r="G186" s="269" t="s">
        <v>17560</v>
      </c>
      <c r="H186" s="37" t="s">
        <v>398</v>
      </c>
      <c r="I186" s="38">
        <v>0.9</v>
      </c>
      <c r="J186" s="299" t="s">
        <v>17556</v>
      </c>
      <c r="K186" s="45" t="s">
        <v>398</v>
      </c>
      <c r="L186" s="46">
        <v>1</v>
      </c>
      <c r="M186" s="512"/>
      <c r="N186" s="57"/>
      <c r="O186" s="43"/>
      <c r="P186" s="37"/>
      <c r="Q186" s="38"/>
      <c r="R186" s="79"/>
      <c r="S186" s="72" t="s">
        <v>17572</v>
      </c>
      <c r="V186" s="57"/>
      <c r="W186" s="208">
        <f>ROUND((ROUND((ROUND((ROUND((_15_同援日４．０*_15・基礎２),0)*_15・２人),0)*(1+_15・A深夜)),0)*(1+_15・区３)),0)</f>
        <v>1228</v>
      </c>
      <c r="X186" s="48"/>
    </row>
    <row r="187" spans="1:24" ht="16.5" customHeight="1" x14ac:dyDescent="0.15">
      <c r="A187" s="41">
        <v>15</v>
      </c>
      <c r="B187" s="41">
        <v>8707</v>
      </c>
      <c r="C187" s="74" t="s">
        <v>18675</v>
      </c>
      <c r="D187" s="72"/>
      <c r="F187" s="57"/>
      <c r="G187" s="53"/>
      <c r="H187" s="49"/>
      <c r="I187" s="50"/>
      <c r="J187" s="163"/>
      <c r="K187" s="45"/>
      <c r="L187" s="46"/>
      <c r="M187" s="512"/>
      <c r="N187" s="57"/>
      <c r="O187" s="114" t="s">
        <v>17562</v>
      </c>
      <c r="P187" s="49"/>
      <c r="Q187" s="50"/>
      <c r="R187" s="115"/>
      <c r="S187" s="35"/>
      <c r="T187" s="12" t="s">
        <v>398</v>
      </c>
      <c r="U187" s="13">
        <v>0.2</v>
      </c>
      <c r="V187" s="57" t="s">
        <v>3575</v>
      </c>
      <c r="W187" s="208">
        <f>ROUND((ROUND((ROUND((_15_同援日４．０*(1+_15・A深夜)),0)*(1+_15・盲ろう)),0)*(1+_15・区３)),0)</f>
        <v>1705</v>
      </c>
      <c r="X187" s="48"/>
    </row>
    <row r="188" spans="1:24" ht="16.5" customHeight="1" x14ac:dyDescent="0.15">
      <c r="A188" s="41">
        <v>15</v>
      </c>
      <c r="B188" s="41">
        <v>8708</v>
      </c>
      <c r="C188" s="74" t="s">
        <v>18676</v>
      </c>
      <c r="D188" s="72"/>
      <c r="F188" s="57"/>
      <c r="G188" s="43"/>
      <c r="H188" s="37"/>
      <c r="I188" s="38"/>
      <c r="J188" s="299" t="s">
        <v>17556</v>
      </c>
      <c r="K188" s="45" t="s">
        <v>398</v>
      </c>
      <c r="L188" s="46">
        <v>1</v>
      </c>
      <c r="M188" s="512"/>
      <c r="N188" s="57"/>
      <c r="O188" s="92" t="s">
        <v>17564</v>
      </c>
      <c r="R188" s="57"/>
      <c r="S188" s="35"/>
      <c r="V188" s="57"/>
      <c r="W188" s="208">
        <f>ROUND((ROUND((ROUND((ROUND((_15_同援日４．０*_15・２人),0)*(1+_15・A深夜)),0)*(1+_15・盲ろう)),0)*(1+_15・区３)),0)</f>
        <v>1705</v>
      </c>
      <c r="X188" s="48"/>
    </row>
    <row r="189" spans="1:24" ht="16.5" customHeight="1" x14ac:dyDescent="0.15">
      <c r="A189" s="41">
        <v>15</v>
      </c>
      <c r="B189" s="41">
        <v>8709</v>
      </c>
      <c r="C189" s="74" t="s">
        <v>18677</v>
      </c>
      <c r="D189" s="72"/>
      <c r="F189" s="57"/>
      <c r="G189" s="114" t="s">
        <v>17558</v>
      </c>
      <c r="H189" s="49"/>
      <c r="I189" s="50"/>
      <c r="J189" s="163"/>
      <c r="K189" s="45"/>
      <c r="L189" s="46"/>
      <c r="M189" s="512"/>
      <c r="N189" s="57"/>
      <c r="O189" s="35"/>
      <c r="P189" s="12" t="s">
        <v>398</v>
      </c>
      <c r="Q189" s="13">
        <v>0.25</v>
      </c>
      <c r="R189" s="57" t="s">
        <v>3575</v>
      </c>
      <c r="S189" s="35"/>
      <c r="V189" s="57"/>
      <c r="W189" s="208">
        <f>ROUND((ROUND((ROUND((ROUND((_15_同援日４．０*_15・基礎２),0)*(1+_15・A深夜)),0)*(1+_15・盲ろう)),0)*(1+_15・区３)),0)</f>
        <v>1535</v>
      </c>
      <c r="X189" s="48"/>
    </row>
    <row r="190" spans="1:24" ht="16.5" customHeight="1" x14ac:dyDescent="0.15">
      <c r="A190" s="41">
        <v>15</v>
      </c>
      <c r="B190" s="41">
        <v>8710</v>
      </c>
      <c r="C190" s="74" t="s">
        <v>18678</v>
      </c>
      <c r="D190" s="72"/>
      <c r="F190" s="57"/>
      <c r="G190" s="269" t="s">
        <v>17560</v>
      </c>
      <c r="H190" s="37" t="s">
        <v>398</v>
      </c>
      <c r="I190" s="38">
        <v>0.9</v>
      </c>
      <c r="J190" s="299" t="s">
        <v>17556</v>
      </c>
      <c r="K190" s="45" t="s">
        <v>398</v>
      </c>
      <c r="L190" s="46">
        <v>1</v>
      </c>
      <c r="M190" s="512"/>
      <c r="N190" s="57"/>
      <c r="O190" s="43"/>
      <c r="P190" s="37"/>
      <c r="Q190" s="38"/>
      <c r="R190" s="79"/>
      <c r="S190" s="43"/>
      <c r="T190" s="37"/>
      <c r="U190" s="38"/>
      <c r="V190" s="79"/>
      <c r="W190" s="208">
        <f>ROUND((ROUND((ROUND((ROUND((ROUND((_15_同援日４．０*_15・基礎２),0)*_15・２人),0)*(1+_15・A深夜)),0)*(1+_15・盲ろう)),0)*(1+_15・区３)),0)</f>
        <v>1535</v>
      </c>
      <c r="X190" s="48"/>
    </row>
    <row r="191" spans="1:24" ht="16.5" customHeight="1" x14ac:dyDescent="0.15">
      <c r="A191" s="41">
        <v>15</v>
      </c>
      <c r="B191" s="41">
        <v>8711</v>
      </c>
      <c r="C191" s="74" t="s">
        <v>18679</v>
      </c>
      <c r="D191" s="72"/>
      <c r="F191" s="57"/>
      <c r="G191" s="53"/>
      <c r="H191" s="49"/>
      <c r="I191" s="50"/>
      <c r="J191" s="163"/>
      <c r="K191" s="45"/>
      <c r="L191" s="46"/>
      <c r="M191" s="512"/>
      <c r="N191" s="57"/>
      <c r="O191" s="53"/>
      <c r="P191" s="49"/>
      <c r="Q191" s="50"/>
      <c r="R191" s="115"/>
      <c r="S191" s="53"/>
      <c r="T191" s="49"/>
      <c r="U191" s="50"/>
      <c r="V191" s="115"/>
      <c r="W191" s="208">
        <f>ROUND((ROUND((_15_同援日４．０*(1+_15・A深夜)),0)*(1+_15・区４)),0)</f>
        <v>1592</v>
      </c>
      <c r="X191" s="48"/>
    </row>
    <row r="192" spans="1:24" ht="16.5" customHeight="1" x14ac:dyDescent="0.15">
      <c r="A192" s="41">
        <v>15</v>
      </c>
      <c r="B192" s="41">
        <v>8712</v>
      </c>
      <c r="C192" s="74" t="s">
        <v>18680</v>
      </c>
      <c r="D192" s="72"/>
      <c r="F192" s="57"/>
      <c r="G192" s="43"/>
      <c r="H192" s="37"/>
      <c r="I192" s="38"/>
      <c r="J192" s="299" t="s">
        <v>17556</v>
      </c>
      <c r="K192" s="45" t="s">
        <v>398</v>
      </c>
      <c r="L192" s="46">
        <v>1</v>
      </c>
      <c r="M192" s="512"/>
      <c r="N192" s="57"/>
      <c r="O192" s="35"/>
      <c r="R192" s="57"/>
      <c r="S192" s="35"/>
      <c r="V192" s="57"/>
      <c r="W192" s="208">
        <f>ROUND((ROUND((ROUND((_15_同援日４．０*_15・２人),0)*(1+_15・A深夜)),0)*(1+_15・区４)),0)</f>
        <v>1592</v>
      </c>
      <c r="X192" s="48"/>
    </row>
    <row r="193" spans="1:24" ht="16.5" customHeight="1" x14ac:dyDescent="0.15">
      <c r="A193" s="41">
        <v>15</v>
      </c>
      <c r="B193" s="41">
        <v>8713</v>
      </c>
      <c r="C193" s="74" t="s">
        <v>18681</v>
      </c>
      <c r="D193" s="72"/>
      <c r="F193" s="57"/>
      <c r="G193" s="114" t="s">
        <v>17558</v>
      </c>
      <c r="H193" s="49"/>
      <c r="I193" s="50"/>
      <c r="J193" s="163"/>
      <c r="K193" s="45"/>
      <c r="L193" s="46"/>
      <c r="M193" s="512"/>
      <c r="N193" s="57"/>
      <c r="O193" s="35"/>
      <c r="R193" s="57"/>
      <c r="S193" s="72" t="s">
        <v>17580</v>
      </c>
      <c r="V193" s="57"/>
      <c r="W193" s="208">
        <f>ROUND((ROUND((ROUND((_15_同援日４．０*_15・基礎２),0)*(1+_15・A深夜)),0)*(1+_15・区４)),0)</f>
        <v>1432</v>
      </c>
      <c r="X193" s="48"/>
    </row>
    <row r="194" spans="1:24" ht="16.5" customHeight="1" x14ac:dyDescent="0.15">
      <c r="A194" s="41">
        <v>15</v>
      </c>
      <c r="B194" s="41">
        <v>8714</v>
      </c>
      <c r="C194" s="74" t="s">
        <v>18682</v>
      </c>
      <c r="D194" s="72"/>
      <c r="F194" s="57"/>
      <c r="G194" s="269" t="s">
        <v>17560</v>
      </c>
      <c r="H194" s="37" t="s">
        <v>398</v>
      </c>
      <c r="I194" s="38">
        <v>0.9</v>
      </c>
      <c r="J194" s="299" t="s">
        <v>17556</v>
      </c>
      <c r="K194" s="45" t="s">
        <v>398</v>
      </c>
      <c r="L194" s="46">
        <v>1</v>
      </c>
      <c r="M194" s="512"/>
      <c r="N194" s="57"/>
      <c r="O194" s="43"/>
      <c r="P194" s="37"/>
      <c r="Q194" s="38"/>
      <c r="R194" s="79"/>
      <c r="S194" s="72" t="s">
        <v>17572</v>
      </c>
      <c r="V194" s="57"/>
      <c r="W194" s="208">
        <f>ROUND((ROUND((ROUND((ROUND((_15_同援日４．０*_15・基礎２),0)*_15・２人),0)*(1+_15・A深夜)),0)*(1+_15・区４)),0)</f>
        <v>1432</v>
      </c>
      <c r="X194" s="48"/>
    </row>
    <row r="195" spans="1:24" ht="16.5" customHeight="1" x14ac:dyDescent="0.15">
      <c r="A195" s="41">
        <v>15</v>
      </c>
      <c r="B195" s="41">
        <v>8715</v>
      </c>
      <c r="C195" s="74" t="s">
        <v>18683</v>
      </c>
      <c r="D195" s="72"/>
      <c r="F195" s="57"/>
      <c r="G195" s="53"/>
      <c r="H195" s="49"/>
      <c r="I195" s="50"/>
      <c r="J195" s="163"/>
      <c r="K195" s="45"/>
      <c r="L195" s="46"/>
      <c r="M195" s="512"/>
      <c r="N195" s="57"/>
      <c r="O195" s="114" t="s">
        <v>17562</v>
      </c>
      <c r="P195" s="49"/>
      <c r="Q195" s="50"/>
      <c r="R195" s="115"/>
      <c r="S195" s="35"/>
      <c r="T195" s="12" t="s">
        <v>398</v>
      </c>
      <c r="U195" s="13">
        <v>0.4</v>
      </c>
      <c r="V195" s="57" t="s">
        <v>3575</v>
      </c>
      <c r="W195" s="208">
        <f>ROUND((ROUND((ROUND((_15_同援日４．０*(1+_15・A深夜)),0)*(1+_15・盲ろう)),0)*(1+_15・区４)),0)</f>
        <v>1989</v>
      </c>
      <c r="X195" s="48"/>
    </row>
    <row r="196" spans="1:24" ht="16.5" customHeight="1" x14ac:dyDescent="0.15">
      <c r="A196" s="41">
        <v>15</v>
      </c>
      <c r="B196" s="41">
        <v>8716</v>
      </c>
      <c r="C196" s="74" t="s">
        <v>18684</v>
      </c>
      <c r="D196" s="72"/>
      <c r="F196" s="57"/>
      <c r="G196" s="43"/>
      <c r="H196" s="37"/>
      <c r="I196" s="38"/>
      <c r="J196" s="299" t="s">
        <v>17556</v>
      </c>
      <c r="K196" s="45" t="s">
        <v>398</v>
      </c>
      <c r="L196" s="46">
        <v>1</v>
      </c>
      <c r="M196" s="512"/>
      <c r="N196" s="57"/>
      <c r="O196" s="92" t="s">
        <v>17564</v>
      </c>
      <c r="R196" s="57"/>
      <c r="S196" s="35"/>
      <c r="V196" s="57"/>
      <c r="W196" s="208">
        <f>ROUND((ROUND((ROUND((ROUND((_15_同援日４．０*_15・２人),0)*(1+_15・A深夜)),0)*(1+_15・盲ろう)),0)*(1+_15・区４)),0)</f>
        <v>1989</v>
      </c>
      <c r="X196" s="48"/>
    </row>
    <row r="197" spans="1:24" ht="16.5" customHeight="1" x14ac:dyDescent="0.15">
      <c r="A197" s="41">
        <v>15</v>
      </c>
      <c r="B197" s="41">
        <v>8717</v>
      </c>
      <c r="C197" s="74" t="s">
        <v>18685</v>
      </c>
      <c r="D197" s="72"/>
      <c r="F197" s="57"/>
      <c r="G197" s="114" t="s">
        <v>17558</v>
      </c>
      <c r="H197" s="49"/>
      <c r="I197" s="50"/>
      <c r="J197" s="163"/>
      <c r="K197" s="45"/>
      <c r="L197" s="46"/>
      <c r="M197" s="512"/>
      <c r="N197" s="57"/>
      <c r="O197" s="35"/>
      <c r="P197" s="12" t="s">
        <v>398</v>
      </c>
      <c r="Q197" s="13">
        <v>0.25</v>
      </c>
      <c r="R197" s="57" t="s">
        <v>3575</v>
      </c>
      <c r="S197" s="35"/>
      <c r="V197" s="57"/>
      <c r="W197" s="208">
        <f>ROUND((ROUND((ROUND((ROUND((_15_同援日４．０*_15・基礎２),0)*(1+_15・A深夜)),0)*(1+_15・盲ろう)),0)*(1+_15・区４)),0)</f>
        <v>1791</v>
      </c>
      <c r="X197" s="48"/>
    </row>
    <row r="198" spans="1:24" ht="16.5" customHeight="1" x14ac:dyDescent="0.15">
      <c r="A198" s="41">
        <v>15</v>
      </c>
      <c r="B198" s="41">
        <v>8718</v>
      </c>
      <c r="C198" s="74" t="s">
        <v>18686</v>
      </c>
      <c r="D198" s="122"/>
      <c r="E198" s="37"/>
      <c r="F198" s="79"/>
      <c r="G198" s="269" t="s">
        <v>17560</v>
      </c>
      <c r="H198" s="37" t="s">
        <v>398</v>
      </c>
      <c r="I198" s="38">
        <v>0.9</v>
      </c>
      <c r="J198" s="299" t="s">
        <v>17556</v>
      </c>
      <c r="K198" s="45" t="s">
        <v>398</v>
      </c>
      <c r="L198" s="46">
        <v>1</v>
      </c>
      <c r="M198" s="514"/>
      <c r="N198" s="79"/>
      <c r="O198" s="43"/>
      <c r="P198" s="37"/>
      <c r="Q198" s="38"/>
      <c r="R198" s="79"/>
      <c r="S198" s="43"/>
      <c r="T198" s="37"/>
      <c r="U198" s="38"/>
      <c r="V198" s="79"/>
      <c r="W198" s="208">
        <f>ROUND((ROUND((ROUND((ROUND((ROUND((_15_同援日４．０*_15・基礎２),0)*_15・２人),0)*(1+_15・A深夜)),0)*(1+_15・盲ろう)),0)*(1+_15・区４)),0)</f>
        <v>1791</v>
      </c>
      <c r="X198" s="63"/>
    </row>
    <row r="199" spans="1:24" ht="16.5" customHeight="1" x14ac:dyDescent="0.15">
      <c r="A199" s="41">
        <v>15</v>
      </c>
      <c r="B199" s="41">
        <v>8719</v>
      </c>
      <c r="C199" s="74" t="s">
        <v>18687</v>
      </c>
      <c r="D199" s="114" t="s">
        <v>18688</v>
      </c>
      <c r="E199" s="49"/>
      <c r="F199" s="115"/>
      <c r="G199" s="53"/>
      <c r="H199" s="49"/>
      <c r="I199" s="50"/>
      <c r="J199" s="163"/>
      <c r="K199" s="45"/>
      <c r="L199" s="46"/>
      <c r="M199" s="515"/>
      <c r="N199" s="115"/>
      <c r="O199" s="53"/>
      <c r="P199" s="49"/>
      <c r="Q199" s="50"/>
      <c r="R199" s="115"/>
      <c r="S199" s="53"/>
      <c r="T199" s="49"/>
      <c r="U199" s="50"/>
      <c r="V199" s="115"/>
      <c r="W199" s="208">
        <f>ROUND((_15_同援日４．５*(1+_15・A深夜)),0)</f>
        <v>1235</v>
      </c>
      <c r="X199" s="64"/>
    </row>
    <row r="200" spans="1:24" ht="16.5" customHeight="1" x14ac:dyDescent="0.15">
      <c r="A200" s="41">
        <v>15</v>
      </c>
      <c r="B200" s="41">
        <v>8720</v>
      </c>
      <c r="C200" s="74" t="s">
        <v>18689</v>
      </c>
      <c r="D200" s="72" t="s">
        <v>17778</v>
      </c>
      <c r="F200" s="57"/>
      <c r="G200" s="43"/>
      <c r="H200" s="37"/>
      <c r="I200" s="38"/>
      <c r="J200" s="299" t="s">
        <v>17556</v>
      </c>
      <c r="K200" s="45" t="s">
        <v>398</v>
      </c>
      <c r="L200" s="46">
        <v>1</v>
      </c>
      <c r="M200" s="512"/>
      <c r="N200" s="57"/>
      <c r="O200" s="35"/>
      <c r="R200" s="57"/>
      <c r="S200" s="35"/>
      <c r="V200" s="57"/>
      <c r="W200" s="208">
        <f>ROUND((ROUND((_15_同援日４．５*_15・２人),0)*(1+_15・A深夜)),0)</f>
        <v>1235</v>
      </c>
      <c r="X200" s="48"/>
    </row>
    <row r="201" spans="1:24" ht="16.5" customHeight="1" x14ac:dyDescent="0.15">
      <c r="A201" s="41">
        <v>15</v>
      </c>
      <c r="B201" s="41">
        <v>8721</v>
      </c>
      <c r="C201" s="74" t="s">
        <v>18690</v>
      </c>
      <c r="D201" s="72" t="s">
        <v>18463</v>
      </c>
      <c r="F201" s="57"/>
      <c r="G201" s="114" t="s">
        <v>17558</v>
      </c>
      <c r="H201" s="49"/>
      <c r="I201" s="50"/>
      <c r="J201" s="163"/>
      <c r="K201" s="45"/>
      <c r="L201" s="46"/>
      <c r="M201" s="512"/>
      <c r="N201" s="57"/>
      <c r="O201" s="35"/>
      <c r="R201" s="57"/>
      <c r="S201" s="35"/>
      <c r="V201" s="57"/>
      <c r="W201" s="208">
        <f>ROUND((ROUND((_15_同援日４．５*_15・基礎２),0)*(1+_15・A深夜)),0)</f>
        <v>1112</v>
      </c>
      <c r="X201" s="48"/>
    </row>
    <row r="202" spans="1:24" ht="16.5" customHeight="1" x14ac:dyDescent="0.15">
      <c r="A202" s="41">
        <v>15</v>
      </c>
      <c r="B202" s="41">
        <v>8722</v>
      </c>
      <c r="C202" s="74" t="s">
        <v>18691</v>
      </c>
      <c r="D202" s="72"/>
      <c r="E202" s="168">
        <f>_15_同援日４．５</f>
        <v>823</v>
      </c>
      <c r="F202" s="57" t="s">
        <v>392</v>
      </c>
      <c r="G202" s="269" t="s">
        <v>17560</v>
      </c>
      <c r="H202" s="37" t="s">
        <v>398</v>
      </c>
      <c r="I202" s="38">
        <v>0.9</v>
      </c>
      <c r="J202" s="299" t="s">
        <v>17556</v>
      </c>
      <c r="K202" s="45" t="s">
        <v>398</v>
      </c>
      <c r="L202" s="46">
        <v>1</v>
      </c>
      <c r="M202" s="512"/>
      <c r="N202" s="57"/>
      <c r="O202" s="43"/>
      <c r="P202" s="37"/>
      <c r="Q202" s="38"/>
      <c r="R202" s="79"/>
      <c r="S202" s="35"/>
      <c r="V202" s="57"/>
      <c r="W202" s="208">
        <f>ROUND((ROUND((ROUND((_15_同援日４．５*_15・基礎２),0)*_15・２人),0)*(1+_15・A深夜)),0)</f>
        <v>1112</v>
      </c>
      <c r="X202" s="48"/>
    </row>
    <row r="203" spans="1:24" ht="16.5" customHeight="1" x14ac:dyDescent="0.15">
      <c r="A203" s="41">
        <v>15</v>
      </c>
      <c r="B203" s="41">
        <v>8723</v>
      </c>
      <c r="C203" s="74" t="s">
        <v>18692</v>
      </c>
      <c r="D203" s="72"/>
      <c r="F203" s="57"/>
      <c r="G203" s="53"/>
      <c r="H203" s="49"/>
      <c r="I203" s="50"/>
      <c r="J203" s="163"/>
      <c r="K203" s="45"/>
      <c r="L203" s="46"/>
      <c r="M203" s="512"/>
      <c r="N203" s="57"/>
      <c r="O203" s="114" t="s">
        <v>17562</v>
      </c>
      <c r="P203" s="49"/>
      <c r="Q203" s="50"/>
      <c r="R203" s="115"/>
      <c r="S203" s="35"/>
      <c r="V203" s="57"/>
      <c r="W203" s="208">
        <f>ROUND((ROUND((_15_同援日４．５*(1+_15・A深夜)),0)*(1+_15・盲ろう)),0)</f>
        <v>1544</v>
      </c>
      <c r="X203" s="48"/>
    </row>
    <row r="204" spans="1:24" ht="16.5" customHeight="1" x14ac:dyDescent="0.15">
      <c r="A204" s="41">
        <v>15</v>
      </c>
      <c r="B204" s="41">
        <v>8724</v>
      </c>
      <c r="C204" s="74" t="s">
        <v>18693</v>
      </c>
      <c r="D204" s="72"/>
      <c r="F204" s="57"/>
      <c r="G204" s="43"/>
      <c r="H204" s="37"/>
      <c r="I204" s="38"/>
      <c r="J204" s="299" t="s">
        <v>17556</v>
      </c>
      <c r="K204" s="45" t="s">
        <v>398</v>
      </c>
      <c r="L204" s="46">
        <v>1</v>
      </c>
      <c r="M204" s="512"/>
      <c r="N204" s="57"/>
      <c r="O204" s="92" t="s">
        <v>17564</v>
      </c>
      <c r="R204" s="57"/>
      <c r="S204" s="35"/>
      <c r="V204" s="57"/>
      <c r="W204" s="208">
        <f>ROUND((ROUND((ROUND((_15_同援日４．５*_15・２人),0)*(1+_15・A深夜)),0)*(1+_15・盲ろう)),0)</f>
        <v>1544</v>
      </c>
      <c r="X204" s="48"/>
    </row>
    <row r="205" spans="1:24" ht="16.5" customHeight="1" x14ac:dyDescent="0.15">
      <c r="A205" s="41">
        <v>15</v>
      </c>
      <c r="B205" s="41">
        <v>8725</v>
      </c>
      <c r="C205" s="74" t="s">
        <v>18694</v>
      </c>
      <c r="D205" s="72"/>
      <c r="F205" s="57"/>
      <c r="G205" s="114" t="s">
        <v>17558</v>
      </c>
      <c r="H205" s="49"/>
      <c r="I205" s="50"/>
      <c r="J205" s="163"/>
      <c r="K205" s="45"/>
      <c r="L205" s="46"/>
      <c r="M205" s="512"/>
      <c r="N205" s="57"/>
      <c r="O205" s="35"/>
      <c r="P205" s="12" t="s">
        <v>398</v>
      </c>
      <c r="Q205" s="13">
        <v>0.25</v>
      </c>
      <c r="R205" s="57" t="s">
        <v>3575</v>
      </c>
      <c r="S205" s="35"/>
      <c r="V205" s="57"/>
      <c r="W205" s="208">
        <f>ROUND((ROUND((ROUND((_15_同援日４．５*_15・基礎２),0)*(1+_15・A深夜)),0)*(1+_15・盲ろう)),0)</f>
        <v>1390</v>
      </c>
      <c r="X205" s="48"/>
    </row>
    <row r="206" spans="1:24" ht="16.5" customHeight="1" x14ac:dyDescent="0.15">
      <c r="A206" s="41">
        <v>15</v>
      </c>
      <c r="B206" s="41">
        <v>8726</v>
      </c>
      <c r="C206" s="74" t="s">
        <v>18695</v>
      </c>
      <c r="D206" s="72"/>
      <c r="F206" s="57"/>
      <c r="G206" s="269" t="s">
        <v>17560</v>
      </c>
      <c r="H206" s="37" t="s">
        <v>398</v>
      </c>
      <c r="I206" s="38">
        <v>0.9</v>
      </c>
      <c r="J206" s="299" t="s">
        <v>17556</v>
      </c>
      <c r="K206" s="45" t="s">
        <v>398</v>
      </c>
      <c r="L206" s="46">
        <v>1</v>
      </c>
      <c r="M206" s="512"/>
      <c r="N206" s="57"/>
      <c r="O206" s="43"/>
      <c r="P206" s="37"/>
      <c r="Q206" s="38"/>
      <c r="R206" s="79"/>
      <c r="S206" s="43"/>
      <c r="T206" s="37"/>
      <c r="U206" s="38"/>
      <c r="V206" s="79"/>
      <c r="W206" s="208">
        <f>ROUND((ROUND((ROUND((ROUND((_15_同援日４．５*_15・基礎２),0)*_15・２人),0)*(1+_15・A深夜)),0)*(1+_15・盲ろう)),0)</f>
        <v>1390</v>
      </c>
      <c r="X206" s="48"/>
    </row>
    <row r="207" spans="1:24" ht="16.5" customHeight="1" x14ac:dyDescent="0.15">
      <c r="A207" s="41">
        <v>15</v>
      </c>
      <c r="B207" s="41">
        <v>8727</v>
      </c>
      <c r="C207" s="74" t="s">
        <v>18696</v>
      </c>
      <c r="D207" s="72"/>
      <c r="F207" s="57"/>
      <c r="G207" s="53"/>
      <c r="H207" s="49"/>
      <c r="I207" s="50"/>
      <c r="J207" s="163"/>
      <c r="K207" s="45"/>
      <c r="L207" s="46"/>
      <c r="M207" s="512"/>
      <c r="N207" s="57"/>
      <c r="O207" s="53"/>
      <c r="P207" s="49"/>
      <c r="Q207" s="50"/>
      <c r="R207" s="115"/>
      <c r="S207" s="53"/>
      <c r="T207" s="49"/>
      <c r="U207" s="50"/>
      <c r="V207" s="115"/>
      <c r="W207" s="208">
        <f>ROUND((ROUND((_15_同援日４．５*(1+_15・A深夜)),0)*(1+_15・区３)),0)</f>
        <v>1482</v>
      </c>
      <c r="X207" s="48"/>
    </row>
    <row r="208" spans="1:24" ht="16.5" customHeight="1" x14ac:dyDescent="0.15">
      <c r="A208" s="41">
        <v>15</v>
      </c>
      <c r="B208" s="41">
        <v>8728</v>
      </c>
      <c r="C208" s="74" t="s">
        <v>18697</v>
      </c>
      <c r="D208" s="72"/>
      <c r="F208" s="57"/>
      <c r="G208" s="43"/>
      <c r="H208" s="37"/>
      <c r="I208" s="38"/>
      <c r="J208" s="299" t="s">
        <v>17556</v>
      </c>
      <c r="K208" s="45" t="s">
        <v>398</v>
      </c>
      <c r="L208" s="46">
        <v>1</v>
      </c>
      <c r="M208" s="512"/>
      <c r="N208" s="57"/>
      <c r="O208" s="35"/>
      <c r="R208" s="57"/>
      <c r="S208" s="35"/>
      <c r="V208" s="57"/>
      <c r="W208" s="208">
        <f>ROUND((ROUND((ROUND((_15_同援日４．５*_15・２人),0)*(1+_15・A深夜)),0)*(1+_15・区３)),0)</f>
        <v>1482</v>
      </c>
      <c r="X208" s="48"/>
    </row>
    <row r="209" spans="1:24" ht="16.5" customHeight="1" x14ac:dyDescent="0.15">
      <c r="A209" s="41">
        <v>15</v>
      </c>
      <c r="B209" s="41">
        <v>8729</v>
      </c>
      <c r="C209" s="74" t="s">
        <v>18698</v>
      </c>
      <c r="D209" s="72"/>
      <c r="F209" s="57"/>
      <c r="G209" s="114" t="s">
        <v>17558</v>
      </c>
      <c r="H209" s="49"/>
      <c r="I209" s="50"/>
      <c r="J209" s="163"/>
      <c r="K209" s="45"/>
      <c r="L209" s="46"/>
      <c r="M209" s="512"/>
      <c r="N209" s="57"/>
      <c r="O209" s="35"/>
      <c r="R209" s="57"/>
      <c r="S209" s="72" t="s">
        <v>17570</v>
      </c>
      <c r="V209" s="57"/>
      <c r="W209" s="208">
        <f>ROUND((ROUND((ROUND((_15_同援日４．５*_15・基礎２),0)*(1+_15・A深夜)),0)*(1+_15・区３)),0)</f>
        <v>1334</v>
      </c>
      <c r="X209" s="48"/>
    </row>
    <row r="210" spans="1:24" ht="16.5" customHeight="1" x14ac:dyDescent="0.15">
      <c r="A210" s="41">
        <v>15</v>
      </c>
      <c r="B210" s="41">
        <v>8730</v>
      </c>
      <c r="C210" s="74" t="s">
        <v>18699</v>
      </c>
      <c r="D210" s="72"/>
      <c r="F210" s="57"/>
      <c r="G210" s="269" t="s">
        <v>17560</v>
      </c>
      <c r="H210" s="37" t="s">
        <v>398</v>
      </c>
      <c r="I210" s="38">
        <v>0.9</v>
      </c>
      <c r="J210" s="299" t="s">
        <v>17556</v>
      </c>
      <c r="K210" s="45" t="s">
        <v>398</v>
      </c>
      <c r="L210" s="46">
        <v>1</v>
      </c>
      <c r="M210" s="512"/>
      <c r="N210" s="57"/>
      <c r="O210" s="43"/>
      <c r="P210" s="37"/>
      <c r="Q210" s="38"/>
      <c r="R210" s="79"/>
      <c r="S210" s="72" t="s">
        <v>17572</v>
      </c>
      <c r="V210" s="57"/>
      <c r="W210" s="208">
        <f>ROUND((ROUND((ROUND((ROUND((_15_同援日４．５*_15・基礎２),0)*_15・２人),0)*(1+_15・A深夜)),0)*(1+_15・区３)),0)</f>
        <v>1334</v>
      </c>
      <c r="X210" s="48"/>
    </row>
    <row r="211" spans="1:24" ht="16.5" customHeight="1" x14ac:dyDescent="0.15">
      <c r="A211" s="41">
        <v>15</v>
      </c>
      <c r="B211" s="41">
        <v>8731</v>
      </c>
      <c r="C211" s="74" t="s">
        <v>18700</v>
      </c>
      <c r="D211" s="72"/>
      <c r="F211" s="57"/>
      <c r="G211" s="53"/>
      <c r="H211" s="49"/>
      <c r="I211" s="50"/>
      <c r="J211" s="163"/>
      <c r="K211" s="45"/>
      <c r="L211" s="46"/>
      <c r="M211" s="512"/>
      <c r="N211" s="57"/>
      <c r="O211" s="114" t="s">
        <v>17562</v>
      </c>
      <c r="P211" s="49"/>
      <c r="Q211" s="50"/>
      <c r="R211" s="115"/>
      <c r="S211" s="35"/>
      <c r="T211" s="12" t="s">
        <v>398</v>
      </c>
      <c r="U211" s="13">
        <v>0.2</v>
      </c>
      <c r="V211" s="57" t="s">
        <v>3575</v>
      </c>
      <c r="W211" s="208">
        <f>ROUND((ROUND((ROUND((_15_同援日４．５*(1+_15・A深夜)),0)*(1+_15・盲ろう)),0)*(1+_15・区３)),0)</f>
        <v>1853</v>
      </c>
      <c r="X211" s="48"/>
    </row>
    <row r="212" spans="1:24" ht="16.5" customHeight="1" x14ac:dyDescent="0.15">
      <c r="A212" s="41">
        <v>15</v>
      </c>
      <c r="B212" s="41">
        <v>8732</v>
      </c>
      <c r="C212" s="74" t="s">
        <v>18701</v>
      </c>
      <c r="D212" s="72"/>
      <c r="F212" s="57"/>
      <c r="G212" s="43"/>
      <c r="H212" s="37"/>
      <c r="I212" s="38"/>
      <c r="J212" s="299" t="s">
        <v>17556</v>
      </c>
      <c r="K212" s="45" t="s">
        <v>398</v>
      </c>
      <c r="L212" s="46">
        <v>1</v>
      </c>
      <c r="M212" s="512"/>
      <c r="N212" s="57"/>
      <c r="O212" s="92" t="s">
        <v>17564</v>
      </c>
      <c r="R212" s="57"/>
      <c r="S212" s="35"/>
      <c r="V212" s="57"/>
      <c r="W212" s="208">
        <f>ROUND((ROUND((ROUND((ROUND((_15_同援日４．５*_15・２人),0)*(1+_15・A深夜)),0)*(1+_15・盲ろう)),0)*(1+_15・区３)),0)</f>
        <v>1853</v>
      </c>
      <c r="X212" s="48"/>
    </row>
    <row r="213" spans="1:24" ht="16.5" customHeight="1" x14ac:dyDescent="0.15">
      <c r="A213" s="41">
        <v>15</v>
      </c>
      <c r="B213" s="41">
        <v>8733</v>
      </c>
      <c r="C213" s="74" t="s">
        <v>18702</v>
      </c>
      <c r="D213" s="72"/>
      <c r="F213" s="57"/>
      <c r="G213" s="114" t="s">
        <v>17558</v>
      </c>
      <c r="H213" s="49"/>
      <c r="I213" s="50"/>
      <c r="J213" s="163"/>
      <c r="K213" s="45"/>
      <c r="L213" s="46"/>
      <c r="M213" s="512"/>
      <c r="N213" s="57"/>
      <c r="O213" s="35"/>
      <c r="P213" s="12" t="s">
        <v>398</v>
      </c>
      <c r="Q213" s="13">
        <v>0.25</v>
      </c>
      <c r="R213" s="57" t="s">
        <v>3575</v>
      </c>
      <c r="S213" s="35"/>
      <c r="V213" s="57"/>
      <c r="W213" s="208">
        <f>ROUND((ROUND((ROUND((ROUND((_15_同援日４．５*_15・基礎２),0)*(1+_15・A深夜)),0)*(1+_15・盲ろう)),0)*(1+_15・区３)),0)</f>
        <v>1668</v>
      </c>
      <c r="X213" s="48"/>
    </row>
    <row r="214" spans="1:24" ht="16.5" customHeight="1" x14ac:dyDescent="0.15">
      <c r="A214" s="41">
        <v>15</v>
      </c>
      <c r="B214" s="41">
        <v>8734</v>
      </c>
      <c r="C214" s="74" t="s">
        <v>18703</v>
      </c>
      <c r="D214" s="72"/>
      <c r="F214" s="57"/>
      <c r="G214" s="269" t="s">
        <v>17560</v>
      </c>
      <c r="H214" s="37" t="s">
        <v>398</v>
      </c>
      <c r="I214" s="38">
        <v>0.9</v>
      </c>
      <c r="J214" s="299" t="s">
        <v>17556</v>
      </c>
      <c r="K214" s="45" t="s">
        <v>398</v>
      </c>
      <c r="L214" s="46">
        <v>1</v>
      </c>
      <c r="M214" s="512"/>
      <c r="N214" s="57"/>
      <c r="O214" s="43"/>
      <c r="P214" s="37"/>
      <c r="Q214" s="38"/>
      <c r="R214" s="79"/>
      <c r="S214" s="43"/>
      <c r="T214" s="37"/>
      <c r="U214" s="38"/>
      <c r="V214" s="79"/>
      <c r="W214" s="208">
        <f>ROUND((ROUND((ROUND((ROUND((ROUND((_15_同援日４．５*_15・基礎２),0)*_15・２人),0)*(1+_15・A深夜)),0)*(1+_15・盲ろう)),0)*(1+_15・区３)),0)</f>
        <v>1668</v>
      </c>
      <c r="X214" s="48"/>
    </row>
    <row r="215" spans="1:24" ht="16.5" customHeight="1" x14ac:dyDescent="0.15">
      <c r="A215" s="41">
        <v>15</v>
      </c>
      <c r="B215" s="41">
        <v>8735</v>
      </c>
      <c r="C215" s="74" t="s">
        <v>18704</v>
      </c>
      <c r="D215" s="72"/>
      <c r="F215" s="57"/>
      <c r="G215" s="53"/>
      <c r="H215" s="49"/>
      <c r="I215" s="50"/>
      <c r="J215" s="163"/>
      <c r="K215" s="45"/>
      <c r="L215" s="46"/>
      <c r="M215" s="512"/>
      <c r="N215" s="57"/>
      <c r="O215" s="53"/>
      <c r="P215" s="49"/>
      <c r="Q215" s="50"/>
      <c r="R215" s="115"/>
      <c r="S215" s="53"/>
      <c r="T215" s="49"/>
      <c r="U215" s="50"/>
      <c r="V215" s="115"/>
      <c r="W215" s="208">
        <f>ROUND((ROUND((_15_同援日４．５*(1+_15・A深夜)),0)*(1+_15・区４)),0)</f>
        <v>1729</v>
      </c>
      <c r="X215" s="48"/>
    </row>
    <row r="216" spans="1:24" ht="16.5" customHeight="1" x14ac:dyDescent="0.15">
      <c r="A216" s="41">
        <v>15</v>
      </c>
      <c r="B216" s="41">
        <v>8736</v>
      </c>
      <c r="C216" s="74" t="s">
        <v>18705</v>
      </c>
      <c r="D216" s="72"/>
      <c r="F216" s="57"/>
      <c r="G216" s="43"/>
      <c r="H216" s="37"/>
      <c r="I216" s="38"/>
      <c r="J216" s="299" t="s">
        <v>17556</v>
      </c>
      <c r="K216" s="45" t="s">
        <v>398</v>
      </c>
      <c r="L216" s="46">
        <v>1</v>
      </c>
      <c r="M216" s="512"/>
      <c r="N216" s="57"/>
      <c r="O216" s="35"/>
      <c r="R216" s="57"/>
      <c r="S216" s="35"/>
      <c r="V216" s="57"/>
      <c r="W216" s="208">
        <f>ROUND((ROUND((ROUND((_15_同援日４．５*_15・２人),0)*(1+_15・A深夜)),0)*(1+_15・区４)),0)</f>
        <v>1729</v>
      </c>
      <c r="X216" s="48"/>
    </row>
    <row r="217" spans="1:24" ht="16.5" customHeight="1" x14ac:dyDescent="0.15">
      <c r="A217" s="41">
        <v>15</v>
      </c>
      <c r="B217" s="41">
        <v>8737</v>
      </c>
      <c r="C217" s="74" t="s">
        <v>18706</v>
      </c>
      <c r="D217" s="72"/>
      <c r="F217" s="57"/>
      <c r="G217" s="114" t="s">
        <v>17558</v>
      </c>
      <c r="H217" s="49"/>
      <c r="I217" s="50"/>
      <c r="J217" s="163"/>
      <c r="K217" s="45"/>
      <c r="L217" s="46"/>
      <c r="M217" s="512"/>
      <c r="N217" s="57"/>
      <c r="O217" s="35"/>
      <c r="R217" s="57"/>
      <c r="S217" s="72" t="s">
        <v>17580</v>
      </c>
      <c r="V217" s="57"/>
      <c r="W217" s="208">
        <f>ROUND((ROUND((ROUND((_15_同援日４．５*_15・基礎２),0)*(1+_15・A深夜)),0)*(1+_15・区４)),0)</f>
        <v>1557</v>
      </c>
      <c r="X217" s="48"/>
    </row>
    <row r="218" spans="1:24" ht="16.5" customHeight="1" x14ac:dyDescent="0.15">
      <c r="A218" s="41">
        <v>15</v>
      </c>
      <c r="B218" s="41">
        <v>8738</v>
      </c>
      <c r="C218" s="74" t="s">
        <v>18707</v>
      </c>
      <c r="D218" s="72"/>
      <c r="F218" s="57"/>
      <c r="G218" s="269" t="s">
        <v>17560</v>
      </c>
      <c r="H218" s="37" t="s">
        <v>398</v>
      </c>
      <c r="I218" s="38">
        <v>0.9</v>
      </c>
      <c r="J218" s="299" t="s">
        <v>17556</v>
      </c>
      <c r="K218" s="45" t="s">
        <v>398</v>
      </c>
      <c r="L218" s="46">
        <v>1</v>
      </c>
      <c r="M218" s="512"/>
      <c r="N218" s="57"/>
      <c r="O218" s="43"/>
      <c r="P218" s="37"/>
      <c r="Q218" s="38"/>
      <c r="R218" s="79"/>
      <c r="S218" s="72" t="s">
        <v>17572</v>
      </c>
      <c r="V218" s="57"/>
      <c r="W218" s="208">
        <f>ROUND((ROUND((ROUND((ROUND((_15_同援日４．５*_15・基礎２),0)*_15・２人),0)*(1+_15・A深夜)),0)*(1+_15・区４)),0)</f>
        <v>1557</v>
      </c>
      <c r="X218" s="48"/>
    </row>
    <row r="219" spans="1:24" ht="16.5" customHeight="1" x14ac:dyDescent="0.15">
      <c r="A219" s="41">
        <v>15</v>
      </c>
      <c r="B219" s="41">
        <v>8739</v>
      </c>
      <c r="C219" s="74" t="s">
        <v>18708</v>
      </c>
      <c r="D219" s="72"/>
      <c r="F219" s="57"/>
      <c r="G219" s="53"/>
      <c r="H219" s="49"/>
      <c r="I219" s="50"/>
      <c r="J219" s="163"/>
      <c r="K219" s="45"/>
      <c r="L219" s="46"/>
      <c r="M219" s="512"/>
      <c r="N219" s="57"/>
      <c r="O219" s="114" t="s">
        <v>17562</v>
      </c>
      <c r="P219" s="49"/>
      <c r="Q219" s="50"/>
      <c r="R219" s="115"/>
      <c r="S219" s="35"/>
      <c r="T219" s="12" t="s">
        <v>398</v>
      </c>
      <c r="U219" s="13">
        <v>0.4</v>
      </c>
      <c r="V219" s="57" t="s">
        <v>3575</v>
      </c>
      <c r="W219" s="208">
        <f>ROUND((ROUND((ROUND((_15_同援日４．５*(1+_15・A深夜)),0)*(1+_15・盲ろう)),0)*(1+_15・区４)),0)</f>
        <v>2162</v>
      </c>
      <c r="X219" s="48"/>
    </row>
    <row r="220" spans="1:24" ht="16.5" customHeight="1" x14ac:dyDescent="0.15">
      <c r="A220" s="41">
        <v>15</v>
      </c>
      <c r="B220" s="41">
        <v>8740</v>
      </c>
      <c r="C220" s="74" t="s">
        <v>18709</v>
      </c>
      <c r="D220" s="72"/>
      <c r="F220" s="57"/>
      <c r="G220" s="43"/>
      <c r="H220" s="37"/>
      <c r="I220" s="38"/>
      <c r="J220" s="299" t="s">
        <v>17556</v>
      </c>
      <c r="K220" s="45" t="s">
        <v>398</v>
      </c>
      <c r="L220" s="46">
        <v>1</v>
      </c>
      <c r="M220" s="512"/>
      <c r="N220" s="57"/>
      <c r="O220" s="92" t="s">
        <v>17564</v>
      </c>
      <c r="R220" s="57"/>
      <c r="S220" s="35"/>
      <c r="V220" s="57"/>
      <c r="W220" s="208">
        <f>ROUND((ROUND((ROUND((ROUND((_15_同援日４．５*_15・２人),0)*(1+_15・A深夜)),0)*(1+_15・盲ろう)),0)*(1+_15・区４)),0)</f>
        <v>2162</v>
      </c>
      <c r="X220" s="48"/>
    </row>
    <row r="221" spans="1:24" ht="16.5" customHeight="1" x14ac:dyDescent="0.15">
      <c r="A221" s="41">
        <v>15</v>
      </c>
      <c r="B221" s="41">
        <v>8741</v>
      </c>
      <c r="C221" s="74" t="s">
        <v>18710</v>
      </c>
      <c r="D221" s="72"/>
      <c r="F221" s="57"/>
      <c r="G221" s="114" t="s">
        <v>17558</v>
      </c>
      <c r="H221" s="49"/>
      <c r="I221" s="50"/>
      <c r="J221" s="163"/>
      <c r="K221" s="45"/>
      <c r="L221" s="46"/>
      <c r="M221" s="512"/>
      <c r="N221" s="57"/>
      <c r="O221" s="35"/>
      <c r="P221" s="12" t="s">
        <v>398</v>
      </c>
      <c r="Q221" s="13">
        <v>0.25</v>
      </c>
      <c r="R221" s="57" t="s">
        <v>3575</v>
      </c>
      <c r="S221" s="35"/>
      <c r="V221" s="57"/>
      <c r="W221" s="208">
        <f>ROUND((ROUND((ROUND((ROUND((_15_同援日４．５*_15・基礎２),0)*(1+_15・A深夜)),0)*(1+_15・盲ろう)),0)*(1+_15・区４)),0)</f>
        <v>1946</v>
      </c>
      <c r="X221" s="48"/>
    </row>
    <row r="222" spans="1:24" ht="16.5" customHeight="1" x14ac:dyDescent="0.15">
      <c r="A222" s="41">
        <v>15</v>
      </c>
      <c r="B222" s="41">
        <v>8742</v>
      </c>
      <c r="C222" s="74" t="s">
        <v>18711</v>
      </c>
      <c r="D222" s="122"/>
      <c r="E222" s="37"/>
      <c r="F222" s="79"/>
      <c r="G222" s="269" t="s">
        <v>17560</v>
      </c>
      <c r="H222" s="37" t="s">
        <v>398</v>
      </c>
      <c r="I222" s="38">
        <v>0.9</v>
      </c>
      <c r="J222" s="299" t="s">
        <v>17556</v>
      </c>
      <c r="K222" s="45" t="s">
        <v>398</v>
      </c>
      <c r="L222" s="46">
        <v>1</v>
      </c>
      <c r="M222" s="512"/>
      <c r="N222" s="57"/>
      <c r="O222" s="43"/>
      <c r="P222" s="37"/>
      <c r="Q222" s="38"/>
      <c r="R222" s="79"/>
      <c r="S222" s="43"/>
      <c r="T222" s="37"/>
      <c r="U222" s="38"/>
      <c r="V222" s="79"/>
      <c r="W222" s="208">
        <f>ROUND((ROUND((ROUND((ROUND((ROUND((_15_同援日４．５*_15・基礎２),0)*_15・２人),0)*(1+_15・A深夜)),0)*(1+_15・盲ろう)),0)*(1+_15・区４)),0)</f>
        <v>1946</v>
      </c>
      <c r="X222" s="48"/>
    </row>
    <row r="223" spans="1:24" ht="16.5" customHeight="1" x14ac:dyDescent="0.15">
      <c r="A223" s="41">
        <v>15</v>
      </c>
      <c r="B223" s="41">
        <v>8743</v>
      </c>
      <c r="C223" s="74" t="s">
        <v>18712</v>
      </c>
      <c r="D223" s="114" t="s">
        <v>18713</v>
      </c>
      <c r="E223" s="49"/>
      <c r="F223" s="115"/>
      <c r="G223" s="53"/>
      <c r="H223" s="49"/>
      <c r="I223" s="50"/>
      <c r="J223" s="163"/>
      <c r="K223" s="45"/>
      <c r="L223" s="46"/>
      <c r="M223" s="512"/>
      <c r="N223" s="57"/>
      <c r="O223" s="53"/>
      <c r="P223" s="49"/>
      <c r="Q223" s="50"/>
      <c r="R223" s="115"/>
      <c r="S223" s="53"/>
      <c r="T223" s="49"/>
      <c r="U223" s="50"/>
      <c r="V223" s="115"/>
      <c r="W223" s="208">
        <f>ROUND((_15_同援日５．０*(1+_15・A深夜)),0)</f>
        <v>1332</v>
      </c>
      <c r="X223" s="48"/>
    </row>
    <row r="224" spans="1:24" ht="16.5" customHeight="1" x14ac:dyDescent="0.15">
      <c r="A224" s="41">
        <v>15</v>
      </c>
      <c r="B224" s="41">
        <v>8744</v>
      </c>
      <c r="C224" s="74" t="s">
        <v>18714</v>
      </c>
      <c r="D224" s="72" t="s">
        <v>17805</v>
      </c>
      <c r="F224" s="57"/>
      <c r="G224" s="43"/>
      <c r="H224" s="37"/>
      <c r="I224" s="38"/>
      <c r="J224" s="299" t="s">
        <v>17556</v>
      </c>
      <c r="K224" s="45" t="s">
        <v>398</v>
      </c>
      <c r="L224" s="46">
        <v>1</v>
      </c>
      <c r="M224" s="512"/>
      <c r="N224" s="57"/>
      <c r="O224" s="35"/>
      <c r="R224" s="57"/>
      <c r="S224" s="35"/>
      <c r="V224" s="57"/>
      <c r="W224" s="208">
        <f>ROUND((ROUND((_15_同援日５．０*_15・２人),0)*(1+_15・A深夜)),0)</f>
        <v>1332</v>
      </c>
      <c r="X224" s="48"/>
    </row>
    <row r="225" spans="1:24" ht="16.5" customHeight="1" x14ac:dyDescent="0.15">
      <c r="A225" s="41">
        <v>15</v>
      </c>
      <c r="B225" s="41">
        <v>8745</v>
      </c>
      <c r="C225" s="74" t="s">
        <v>18715</v>
      </c>
      <c r="D225" s="72" t="s">
        <v>18716</v>
      </c>
      <c r="F225" s="57"/>
      <c r="G225" s="114" t="s">
        <v>17558</v>
      </c>
      <c r="H225" s="49"/>
      <c r="I225" s="50"/>
      <c r="J225" s="163"/>
      <c r="K225" s="45"/>
      <c r="L225" s="46"/>
      <c r="M225" s="512"/>
      <c r="N225" s="57"/>
      <c r="O225" s="35"/>
      <c r="R225" s="57"/>
      <c r="S225" s="35"/>
      <c r="V225" s="57"/>
      <c r="W225" s="208">
        <f>ROUND((ROUND((_15_同援日５．０*_15・基礎２),0)*(1+_15・A深夜)),0)</f>
        <v>1199</v>
      </c>
      <c r="X225" s="48"/>
    </row>
    <row r="226" spans="1:24" ht="16.5" customHeight="1" x14ac:dyDescent="0.15">
      <c r="A226" s="41">
        <v>15</v>
      </c>
      <c r="B226" s="41">
        <v>8746</v>
      </c>
      <c r="C226" s="74" t="s">
        <v>18717</v>
      </c>
      <c r="D226" s="72"/>
      <c r="E226" s="168">
        <f>_15_同援日５．０</f>
        <v>888</v>
      </c>
      <c r="F226" s="57" t="s">
        <v>392</v>
      </c>
      <c r="G226" s="269" t="s">
        <v>17560</v>
      </c>
      <c r="H226" s="37" t="s">
        <v>398</v>
      </c>
      <c r="I226" s="38">
        <v>0.9</v>
      </c>
      <c r="J226" s="299" t="s">
        <v>17556</v>
      </c>
      <c r="K226" s="45" t="s">
        <v>398</v>
      </c>
      <c r="L226" s="46">
        <v>1</v>
      </c>
      <c r="M226" s="512"/>
      <c r="N226" s="57"/>
      <c r="O226" s="43"/>
      <c r="P226" s="37"/>
      <c r="Q226" s="38"/>
      <c r="R226" s="79"/>
      <c r="S226" s="35"/>
      <c r="V226" s="57"/>
      <c r="W226" s="208">
        <f>ROUND((ROUND((ROUND((_15_同援日５．０*_15・基礎２),0)*_15・２人),0)*(1+_15・A深夜)),0)</f>
        <v>1199</v>
      </c>
      <c r="X226" s="48"/>
    </row>
    <row r="227" spans="1:24" ht="16.5" customHeight="1" x14ac:dyDescent="0.15">
      <c r="A227" s="41">
        <v>15</v>
      </c>
      <c r="B227" s="41">
        <v>8747</v>
      </c>
      <c r="C227" s="74" t="s">
        <v>18718</v>
      </c>
      <c r="D227" s="72"/>
      <c r="F227" s="57"/>
      <c r="G227" s="53"/>
      <c r="H227" s="49"/>
      <c r="I227" s="50"/>
      <c r="J227" s="163"/>
      <c r="K227" s="45"/>
      <c r="L227" s="46"/>
      <c r="M227" s="512"/>
      <c r="N227" s="57"/>
      <c r="O227" s="114" t="s">
        <v>17562</v>
      </c>
      <c r="P227" s="49"/>
      <c r="Q227" s="50"/>
      <c r="R227" s="115"/>
      <c r="S227" s="35"/>
      <c r="V227" s="57"/>
      <c r="W227" s="208">
        <f>ROUND((ROUND((_15_同援日５．０*(1+_15・A深夜)),0)*(1+_15・盲ろう)),0)</f>
        <v>1665</v>
      </c>
      <c r="X227" s="48"/>
    </row>
    <row r="228" spans="1:24" ht="16.5" customHeight="1" x14ac:dyDescent="0.15">
      <c r="A228" s="41">
        <v>15</v>
      </c>
      <c r="B228" s="41">
        <v>8748</v>
      </c>
      <c r="C228" s="74" t="s">
        <v>18719</v>
      </c>
      <c r="D228" s="72"/>
      <c r="F228" s="57"/>
      <c r="G228" s="43"/>
      <c r="H228" s="37"/>
      <c r="I228" s="38"/>
      <c r="J228" s="299" t="s">
        <v>17556</v>
      </c>
      <c r="K228" s="45" t="s">
        <v>398</v>
      </c>
      <c r="L228" s="46">
        <v>1</v>
      </c>
      <c r="M228" s="512"/>
      <c r="N228" s="57"/>
      <c r="O228" s="92" t="s">
        <v>17564</v>
      </c>
      <c r="R228" s="57"/>
      <c r="S228" s="35"/>
      <c r="V228" s="57"/>
      <c r="W228" s="208">
        <f>ROUND((ROUND((ROUND((_15_同援日５．０*_15・２人),0)*(1+_15・A深夜)),0)*(1+_15・盲ろう)),0)</f>
        <v>1665</v>
      </c>
      <c r="X228" s="48"/>
    </row>
    <row r="229" spans="1:24" ht="16.5" customHeight="1" x14ac:dyDescent="0.15">
      <c r="A229" s="41">
        <v>15</v>
      </c>
      <c r="B229" s="41">
        <v>8749</v>
      </c>
      <c r="C229" s="74" t="s">
        <v>18720</v>
      </c>
      <c r="D229" s="72"/>
      <c r="F229" s="57"/>
      <c r="G229" s="114" t="s">
        <v>17558</v>
      </c>
      <c r="H229" s="49"/>
      <c r="I229" s="50"/>
      <c r="J229" s="163"/>
      <c r="K229" s="45"/>
      <c r="L229" s="46"/>
      <c r="M229" s="512"/>
      <c r="N229" s="57"/>
      <c r="O229" s="35"/>
      <c r="P229" s="12" t="s">
        <v>398</v>
      </c>
      <c r="Q229" s="13">
        <v>0.25</v>
      </c>
      <c r="R229" s="57" t="s">
        <v>3575</v>
      </c>
      <c r="S229" s="35"/>
      <c r="V229" s="57"/>
      <c r="W229" s="208">
        <f>ROUND((ROUND((ROUND((_15_同援日５．０*_15・基礎２),0)*(1+_15・A深夜)),0)*(1+_15・盲ろう)),0)</f>
        <v>1499</v>
      </c>
      <c r="X229" s="48"/>
    </row>
    <row r="230" spans="1:24" ht="16.5" customHeight="1" x14ac:dyDescent="0.15">
      <c r="A230" s="41">
        <v>15</v>
      </c>
      <c r="B230" s="41">
        <v>8750</v>
      </c>
      <c r="C230" s="74" t="s">
        <v>18721</v>
      </c>
      <c r="D230" s="72"/>
      <c r="F230" s="57"/>
      <c r="G230" s="269" t="s">
        <v>17560</v>
      </c>
      <c r="H230" s="37" t="s">
        <v>398</v>
      </c>
      <c r="I230" s="38">
        <v>0.9</v>
      </c>
      <c r="J230" s="299" t="s">
        <v>17556</v>
      </c>
      <c r="K230" s="45" t="s">
        <v>398</v>
      </c>
      <c r="L230" s="46">
        <v>1</v>
      </c>
      <c r="M230" s="512"/>
      <c r="N230" s="57"/>
      <c r="O230" s="43"/>
      <c r="P230" s="37"/>
      <c r="Q230" s="38"/>
      <c r="R230" s="79"/>
      <c r="S230" s="43"/>
      <c r="T230" s="37"/>
      <c r="U230" s="38"/>
      <c r="V230" s="79"/>
      <c r="W230" s="208">
        <f>ROUND((ROUND((ROUND((ROUND((_15_同援日５．０*_15・基礎２),0)*_15・２人),0)*(1+_15・A深夜)),0)*(1+_15・盲ろう)),0)</f>
        <v>1499</v>
      </c>
      <c r="X230" s="48"/>
    </row>
    <row r="231" spans="1:24" ht="16.5" customHeight="1" x14ac:dyDescent="0.15">
      <c r="A231" s="41">
        <v>15</v>
      </c>
      <c r="B231" s="41">
        <v>8751</v>
      </c>
      <c r="C231" s="74" t="s">
        <v>18722</v>
      </c>
      <c r="D231" s="72"/>
      <c r="F231" s="57"/>
      <c r="G231" s="53"/>
      <c r="H231" s="49"/>
      <c r="I231" s="50"/>
      <c r="J231" s="163"/>
      <c r="K231" s="45"/>
      <c r="L231" s="46"/>
      <c r="M231" s="512"/>
      <c r="N231" s="57"/>
      <c r="O231" s="53"/>
      <c r="P231" s="49"/>
      <c r="Q231" s="50"/>
      <c r="R231" s="115"/>
      <c r="S231" s="53"/>
      <c r="T231" s="49"/>
      <c r="U231" s="50"/>
      <c r="V231" s="115"/>
      <c r="W231" s="208">
        <f>ROUND((ROUND((_15_同援日５．０*(1+_15・A深夜)),0)*(1+_15・区３)),0)</f>
        <v>1598</v>
      </c>
      <c r="X231" s="48"/>
    </row>
    <row r="232" spans="1:24" ht="16.5" customHeight="1" x14ac:dyDescent="0.15">
      <c r="A232" s="41">
        <v>15</v>
      </c>
      <c r="B232" s="41">
        <v>8752</v>
      </c>
      <c r="C232" s="74" t="s">
        <v>18723</v>
      </c>
      <c r="D232" s="72"/>
      <c r="F232" s="57"/>
      <c r="G232" s="43"/>
      <c r="H232" s="37"/>
      <c r="I232" s="38"/>
      <c r="J232" s="299" t="s">
        <v>17556</v>
      </c>
      <c r="K232" s="45" t="s">
        <v>398</v>
      </c>
      <c r="L232" s="46">
        <v>1</v>
      </c>
      <c r="M232" s="512"/>
      <c r="N232" s="57"/>
      <c r="O232" s="35"/>
      <c r="R232" s="57"/>
      <c r="S232" s="35"/>
      <c r="V232" s="57"/>
      <c r="W232" s="208">
        <f>ROUND((ROUND((ROUND((_15_同援日５．０*_15・２人),0)*(1+_15・A深夜)),0)*(1+_15・区３)),0)</f>
        <v>1598</v>
      </c>
      <c r="X232" s="48"/>
    </row>
    <row r="233" spans="1:24" ht="16.5" customHeight="1" x14ac:dyDescent="0.15">
      <c r="A233" s="41">
        <v>15</v>
      </c>
      <c r="B233" s="41">
        <v>8753</v>
      </c>
      <c r="C233" s="74" t="s">
        <v>18724</v>
      </c>
      <c r="D233" s="72"/>
      <c r="F233" s="57"/>
      <c r="G233" s="114" t="s">
        <v>17558</v>
      </c>
      <c r="H233" s="49"/>
      <c r="I233" s="50"/>
      <c r="J233" s="163"/>
      <c r="K233" s="45"/>
      <c r="L233" s="46"/>
      <c r="M233" s="512"/>
      <c r="N233" s="57"/>
      <c r="O233" s="35"/>
      <c r="R233" s="57"/>
      <c r="S233" s="72" t="s">
        <v>17570</v>
      </c>
      <c r="V233" s="57"/>
      <c r="W233" s="208">
        <f>ROUND((ROUND((ROUND((_15_同援日５．０*_15・基礎２),0)*(1+_15・A深夜)),0)*(1+_15・区３)),0)</f>
        <v>1439</v>
      </c>
      <c r="X233" s="48"/>
    </row>
    <row r="234" spans="1:24" ht="16.5" customHeight="1" x14ac:dyDescent="0.15">
      <c r="A234" s="41">
        <v>15</v>
      </c>
      <c r="B234" s="41">
        <v>8754</v>
      </c>
      <c r="C234" s="74" t="s">
        <v>18725</v>
      </c>
      <c r="D234" s="72"/>
      <c r="F234" s="57"/>
      <c r="G234" s="269" t="s">
        <v>17560</v>
      </c>
      <c r="H234" s="37" t="s">
        <v>398</v>
      </c>
      <c r="I234" s="38">
        <v>0.9</v>
      </c>
      <c r="J234" s="299" t="s">
        <v>17556</v>
      </c>
      <c r="K234" s="45" t="s">
        <v>398</v>
      </c>
      <c r="L234" s="46">
        <v>1</v>
      </c>
      <c r="M234" s="512"/>
      <c r="N234" s="57"/>
      <c r="O234" s="43"/>
      <c r="P234" s="37"/>
      <c r="Q234" s="38"/>
      <c r="R234" s="79"/>
      <c r="S234" s="72" t="s">
        <v>17572</v>
      </c>
      <c r="V234" s="57"/>
      <c r="W234" s="208">
        <f>ROUND((ROUND((ROUND((ROUND((_15_同援日５．０*_15・基礎２),0)*_15・２人),0)*(1+_15・A深夜)),0)*(1+_15・区３)),0)</f>
        <v>1439</v>
      </c>
      <c r="X234" s="48"/>
    </row>
    <row r="235" spans="1:24" ht="16.5" customHeight="1" x14ac:dyDescent="0.15">
      <c r="A235" s="41">
        <v>15</v>
      </c>
      <c r="B235" s="41">
        <v>8755</v>
      </c>
      <c r="C235" s="74" t="s">
        <v>18726</v>
      </c>
      <c r="D235" s="72"/>
      <c r="F235" s="57"/>
      <c r="G235" s="53"/>
      <c r="H235" s="49"/>
      <c r="I235" s="50"/>
      <c r="J235" s="163"/>
      <c r="K235" s="45"/>
      <c r="L235" s="46"/>
      <c r="M235" s="512"/>
      <c r="N235" s="57"/>
      <c r="O235" s="114" t="s">
        <v>17562</v>
      </c>
      <c r="P235" s="49"/>
      <c r="Q235" s="50"/>
      <c r="R235" s="115"/>
      <c r="S235" s="35"/>
      <c r="T235" s="12" t="s">
        <v>398</v>
      </c>
      <c r="U235" s="13">
        <v>0.2</v>
      </c>
      <c r="V235" s="57" t="s">
        <v>3575</v>
      </c>
      <c r="W235" s="208">
        <f>ROUND((ROUND((ROUND((_15_同援日５．０*(1+_15・A深夜)),0)*(1+_15・盲ろう)),0)*(1+_15・区３)),0)</f>
        <v>1998</v>
      </c>
      <c r="X235" s="48"/>
    </row>
    <row r="236" spans="1:24" ht="16.5" customHeight="1" x14ac:dyDescent="0.15">
      <c r="A236" s="41">
        <v>15</v>
      </c>
      <c r="B236" s="41">
        <v>8756</v>
      </c>
      <c r="C236" s="74" t="s">
        <v>18727</v>
      </c>
      <c r="D236" s="72"/>
      <c r="F236" s="57"/>
      <c r="G236" s="43"/>
      <c r="H236" s="37"/>
      <c r="I236" s="38"/>
      <c r="J236" s="299" t="s">
        <v>17556</v>
      </c>
      <c r="K236" s="45" t="s">
        <v>398</v>
      </c>
      <c r="L236" s="46">
        <v>1</v>
      </c>
      <c r="M236" s="512"/>
      <c r="N236" s="57"/>
      <c r="O236" s="92" t="s">
        <v>17564</v>
      </c>
      <c r="R236" s="57"/>
      <c r="S236" s="35"/>
      <c r="V236" s="57"/>
      <c r="W236" s="208">
        <f>ROUND((ROUND((ROUND((ROUND((_15_同援日５．０*_15・２人),0)*(1+_15・A深夜)),0)*(1+_15・盲ろう)),0)*(1+_15・区３)),0)</f>
        <v>1998</v>
      </c>
      <c r="X236" s="48"/>
    </row>
    <row r="237" spans="1:24" ht="16.5" customHeight="1" x14ac:dyDescent="0.15">
      <c r="A237" s="41">
        <v>15</v>
      </c>
      <c r="B237" s="41">
        <v>8757</v>
      </c>
      <c r="C237" s="74" t="s">
        <v>18728</v>
      </c>
      <c r="D237" s="72"/>
      <c r="F237" s="57"/>
      <c r="G237" s="114" t="s">
        <v>17558</v>
      </c>
      <c r="H237" s="49"/>
      <c r="I237" s="50"/>
      <c r="J237" s="163"/>
      <c r="K237" s="45"/>
      <c r="L237" s="46"/>
      <c r="M237" s="512"/>
      <c r="N237" s="57"/>
      <c r="O237" s="35"/>
      <c r="P237" s="12" t="s">
        <v>398</v>
      </c>
      <c r="Q237" s="13">
        <v>0.25</v>
      </c>
      <c r="R237" s="57" t="s">
        <v>3575</v>
      </c>
      <c r="S237" s="35"/>
      <c r="V237" s="57"/>
      <c r="W237" s="208">
        <f>ROUND((ROUND((ROUND((ROUND((_15_同援日５．０*_15・基礎２),0)*(1+_15・A深夜)),0)*(1+_15・盲ろう)),0)*(1+_15・区３)),0)</f>
        <v>1799</v>
      </c>
      <c r="X237" s="48"/>
    </row>
    <row r="238" spans="1:24" ht="16.5" customHeight="1" x14ac:dyDescent="0.15">
      <c r="A238" s="41">
        <v>15</v>
      </c>
      <c r="B238" s="41">
        <v>8758</v>
      </c>
      <c r="C238" s="74" t="s">
        <v>18729</v>
      </c>
      <c r="D238" s="72"/>
      <c r="F238" s="57"/>
      <c r="G238" s="269" t="s">
        <v>17560</v>
      </c>
      <c r="H238" s="37" t="s">
        <v>398</v>
      </c>
      <c r="I238" s="38">
        <v>0.9</v>
      </c>
      <c r="J238" s="299" t="s">
        <v>17556</v>
      </c>
      <c r="K238" s="45" t="s">
        <v>398</v>
      </c>
      <c r="L238" s="46">
        <v>1</v>
      </c>
      <c r="M238" s="512"/>
      <c r="N238" s="57"/>
      <c r="O238" s="43"/>
      <c r="P238" s="37"/>
      <c r="Q238" s="38"/>
      <c r="R238" s="79"/>
      <c r="S238" s="43"/>
      <c r="T238" s="37"/>
      <c r="U238" s="38"/>
      <c r="V238" s="79"/>
      <c r="W238" s="208">
        <f>ROUND((ROUND((ROUND((ROUND((ROUND((_15_同援日５．０*_15・基礎２),0)*_15・２人),0)*(1+_15・A深夜)),0)*(1+_15・盲ろう)),0)*(1+_15・区３)),0)</f>
        <v>1799</v>
      </c>
      <c r="X238" s="48"/>
    </row>
    <row r="239" spans="1:24" ht="16.5" customHeight="1" x14ac:dyDescent="0.15">
      <c r="A239" s="41">
        <v>15</v>
      </c>
      <c r="B239" s="41">
        <v>8759</v>
      </c>
      <c r="C239" s="74" t="s">
        <v>18730</v>
      </c>
      <c r="D239" s="72"/>
      <c r="F239" s="57"/>
      <c r="G239" s="53"/>
      <c r="H239" s="49"/>
      <c r="I239" s="50"/>
      <c r="J239" s="163"/>
      <c r="K239" s="45"/>
      <c r="L239" s="46"/>
      <c r="M239" s="512"/>
      <c r="N239" s="57"/>
      <c r="O239" s="53"/>
      <c r="P239" s="49"/>
      <c r="Q239" s="50"/>
      <c r="R239" s="115"/>
      <c r="S239" s="53"/>
      <c r="T239" s="49"/>
      <c r="U239" s="50"/>
      <c r="V239" s="115"/>
      <c r="W239" s="208">
        <f>ROUND((ROUND((_15_同援日５．０*(1+_15・A深夜)),0)*(1+_15・区４)),0)</f>
        <v>1865</v>
      </c>
      <c r="X239" s="48"/>
    </row>
    <row r="240" spans="1:24" ht="16.5" customHeight="1" x14ac:dyDescent="0.15">
      <c r="A240" s="41">
        <v>15</v>
      </c>
      <c r="B240" s="41">
        <v>8760</v>
      </c>
      <c r="C240" s="74" t="s">
        <v>18731</v>
      </c>
      <c r="D240" s="72"/>
      <c r="F240" s="57"/>
      <c r="G240" s="43"/>
      <c r="H240" s="37"/>
      <c r="I240" s="38"/>
      <c r="J240" s="299" t="s">
        <v>17556</v>
      </c>
      <c r="K240" s="45" t="s">
        <v>398</v>
      </c>
      <c r="L240" s="46">
        <v>1</v>
      </c>
      <c r="M240" s="512"/>
      <c r="N240" s="57"/>
      <c r="O240" s="35"/>
      <c r="R240" s="57"/>
      <c r="S240" s="35"/>
      <c r="V240" s="57"/>
      <c r="W240" s="208">
        <f>ROUND((ROUND((ROUND((_15_同援日５．０*_15・２人),0)*(1+_15・A深夜)),0)*(1+_15・区４)),0)</f>
        <v>1865</v>
      </c>
      <c r="X240" s="48"/>
    </row>
    <row r="241" spans="1:24" ht="16.5" customHeight="1" x14ac:dyDescent="0.15">
      <c r="A241" s="41">
        <v>15</v>
      </c>
      <c r="B241" s="41">
        <v>8761</v>
      </c>
      <c r="C241" s="74" t="s">
        <v>18732</v>
      </c>
      <c r="D241" s="72"/>
      <c r="F241" s="57"/>
      <c r="G241" s="114" t="s">
        <v>17558</v>
      </c>
      <c r="H241" s="49"/>
      <c r="I241" s="50"/>
      <c r="J241" s="163"/>
      <c r="K241" s="45"/>
      <c r="L241" s="46"/>
      <c r="M241" s="512"/>
      <c r="N241" s="57"/>
      <c r="O241" s="35"/>
      <c r="R241" s="57"/>
      <c r="S241" s="72" t="s">
        <v>17580</v>
      </c>
      <c r="V241" s="57"/>
      <c r="W241" s="208">
        <f>ROUND((ROUND((ROUND((_15_同援日５．０*_15・基礎２),0)*(1+_15・A深夜)),0)*(1+_15・区４)),0)</f>
        <v>1679</v>
      </c>
      <c r="X241" s="48"/>
    </row>
    <row r="242" spans="1:24" ht="16.5" customHeight="1" x14ac:dyDescent="0.15">
      <c r="A242" s="41">
        <v>15</v>
      </c>
      <c r="B242" s="41">
        <v>8762</v>
      </c>
      <c r="C242" s="74" t="s">
        <v>18733</v>
      </c>
      <c r="D242" s="72"/>
      <c r="F242" s="57"/>
      <c r="G242" s="269" t="s">
        <v>17560</v>
      </c>
      <c r="H242" s="37" t="s">
        <v>398</v>
      </c>
      <c r="I242" s="38">
        <v>0.9</v>
      </c>
      <c r="J242" s="299" t="s">
        <v>17556</v>
      </c>
      <c r="K242" s="45" t="s">
        <v>398</v>
      </c>
      <c r="L242" s="46">
        <v>1</v>
      </c>
      <c r="M242" s="512"/>
      <c r="N242" s="57"/>
      <c r="O242" s="43"/>
      <c r="P242" s="37"/>
      <c r="Q242" s="38"/>
      <c r="R242" s="79"/>
      <c r="S242" s="72" t="s">
        <v>17572</v>
      </c>
      <c r="V242" s="57"/>
      <c r="W242" s="208">
        <f>ROUND((ROUND((ROUND((ROUND((_15_同援日５．０*_15・基礎２),0)*_15・２人),0)*(1+_15・A深夜)),0)*(1+_15・区４)),0)</f>
        <v>1679</v>
      </c>
      <c r="X242" s="48"/>
    </row>
    <row r="243" spans="1:24" ht="16.5" customHeight="1" x14ac:dyDescent="0.15">
      <c r="A243" s="41">
        <v>15</v>
      </c>
      <c r="B243" s="41">
        <v>8763</v>
      </c>
      <c r="C243" s="74" t="s">
        <v>18734</v>
      </c>
      <c r="D243" s="72"/>
      <c r="F243" s="57"/>
      <c r="G243" s="53"/>
      <c r="H243" s="49"/>
      <c r="I243" s="50"/>
      <c r="J243" s="163"/>
      <c r="K243" s="45"/>
      <c r="L243" s="46"/>
      <c r="M243" s="512"/>
      <c r="N243" s="57"/>
      <c r="O243" s="114" t="s">
        <v>17562</v>
      </c>
      <c r="P243" s="49"/>
      <c r="Q243" s="50"/>
      <c r="R243" s="115"/>
      <c r="S243" s="35"/>
      <c r="T243" s="12" t="s">
        <v>398</v>
      </c>
      <c r="U243" s="13">
        <v>0.4</v>
      </c>
      <c r="V243" s="57" t="s">
        <v>3575</v>
      </c>
      <c r="W243" s="208">
        <f>ROUND((ROUND((ROUND((_15_同援日５．０*(1+_15・A深夜)),0)*(1+_15・盲ろう)),0)*(1+_15・区４)),0)</f>
        <v>2331</v>
      </c>
      <c r="X243" s="48"/>
    </row>
    <row r="244" spans="1:24" ht="16.5" customHeight="1" x14ac:dyDescent="0.15">
      <c r="A244" s="41">
        <v>15</v>
      </c>
      <c r="B244" s="41">
        <v>8764</v>
      </c>
      <c r="C244" s="74" t="s">
        <v>18735</v>
      </c>
      <c r="D244" s="72"/>
      <c r="F244" s="57"/>
      <c r="G244" s="43"/>
      <c r="H244" s="37"/>
      <c r="I244" s="38"/>
      <c r="J244" s="299" t="s">
        <v>17556</v>
      </c>
      <c r="K244" s="45" t="s">
        <v>398</v>
      </c>
      <c r="L244" s="46">
        <v>1</v>
      </c>
      <c r="M244" s="512"/>
      <c r="N244" s="57"/>
      <c r="O244" s="92" t="s">
        <v>17564</v>
      </c>
      <c r="R244" s="57"/>
      <c r="S244" s="35"/>
      <c r="V244" s="57"/>
      <c r="W244" s="208">
        <f>ROUND((ROUND((ROUND((ROUND((_15_同援日５．０*_15・２人),0)*(1+_15・A深夜)),0)*(1+_15・盲ろう)),0)*(1+_15・区４)),0)</f>
        <v>2331</v>
      </c>
      <c r="X244" s="48"/>
    </row>
    <row r="245" spans="1:24" ht="16.5" customHeight="1" x14ac:dyDescent="0.15">
      <c r="A245" s="41">
        <v>15</v>
      </c>
      <c r="B245" s="41">
        <v>8765</v>
      </c>
      <c r="C245" s="74" t="s">
        <v>18736</v>
      </c>
      <c r="D245" s="72"/>
      <c r="F245" s="57"/>
      <c r="G245" s="114" t="s">
        <v>17558</v>
      </c>
      <c r="H245" s="49"/>
      <c r="I245" s="50"/>
      <c r="J245" s="163"/>
      <c r="K245" s="45"/>
      <c r="L245" s="46"/>
      <c r="M245" s="512"/>
      <c r="N245" s="57"/>
      <c r="O245" s="35"/>
      <c r="P245" s="12" t="s">
        <v>398</v>
      </c>
      <c r="Q245" s="13">
        <v>0.25</v>
      </c>
      <c r="R245" s="57" t="s">
        <v>3575</v>
      </c>
      <c r="S245" s="35"/>
      <c r="V245" s="57"/>
      <c r="W245" s="208">
        <f>ROUND((ROUND((ROUND((ROUND((_15_同援日５．０*_15・基礎２),0)*(1+_15・A深夜)),0)*(1+_15・盲ろう)),0)*(1+_15・区４)),0)</f>
        <v>2099</v>
      </c>
      <c r="X245" s="48"/>
    </row>
    <row r="246" spans="1:24" ht="16.5" customHeight="1" x14ac:dyDescent="0.15">
      <c r="A246" s="41">
        <v>15</v>
      </c>
      <c r="B246" s="41">
        <v>8766</v>
      </c>
      <c r="C246" s="74" t="s">
        <v>18737</v>
      </c>
      <c r="D246" s="122"/>
      <c r="E246" s="37"/>
      <c r="F246" s="79"/>
      <c r="G246" s="269" t="s">
        <v>17560</v>
      </c>
      <c r="H246" s="37" t="s">
        <v>398</v>
      </c>
      <c r="I246" s="38">
        <v>0.9</v>
      </c>
      <c r="J246" s="299" t="s">
        <v>17556</v>
      </c>
      <c r="K246" s="45" t="s">
        <v>398</v>
      </c>
      <c r="L246" s="46">
        <v>1</v>
      </c>
      <c r="M246" s="512"/>
      <c r="N246" s="57"/>
      <c r="O246" s="43"/>
      <c r="P246" s="37"/>
      <c r="Q246" s="38"/>
      <c r="R246" s="79"/>
      <c r="S246" s="43"/>
      <c r="T246" s="37"/>
      <c r="U246" s="38"/>
      <c r="V246" s="79"/>
      <c r="W246" s="208">
        <f>ROUND((ROUND((ROUND((ROUND((ROUND((_15_同援日５．０*_15・基礎２),0)*_15・２人),0)*(1+_15・A深夜)),0)*(1+_15・盲ろう)),0)*(1+_15・区４)),0)</f>
        <v>2099</v>
      </c>
      <c r="X246" s="48"/>
    </row>
    <row r="247" spans="1:24" ht="16.5" customHeight="1" x14ac:dyDescent="0.15">
      <c r="A247" s="41">
        <v>15</v>
      </c>
      <c r="B247" s="41">
        <v>8767</v>
      </c>
      <c r="C247" s="74" t="s">
        <v>18738</v>
      </c>
      <c r="D247" s="114" t="s">
        <v>18739</v>
      </c>
      <c r="E247" s="49"/>
      <c r="F247" s="115"/>
      <c r="G247" s="53"/>
      <c r="H247" s="49"/>
      <c r="I247" s="50"/>
      <c r="J247" s="163"/>
      <c r="K247" s="45"/>
      <c r="L247" s="46"/>
      <c r="M247" s="512"/>
      <c r="N247" s="57"/>
      <c r="O247" s="53"/>
      <c r="P247" s="49"/>
      <c r="Q247" s="50"/>
      <c r="R247" s="115"/>
      <c r="S247" s="53"/>
      <c r="T247" s="49"/>
      <c r="U247" s="50"/>
      <c r="V247" s="115"/>
      <c r="W247" s="208">
        <f>ROUND((_15_同援日５．５*(1+_15・A深夜)),0)</f>
        <v>1430</v>
      </c>
      <c r="X247" s="48"/>
    </row>
    <row r="248" spans="1:24" ht="16.5" customHeight="1" x14ac:dyDescent="0.15">
      <c r="A248" s="41">
        <v>15</v>
      </c>
      <c r="B248" s="41">
        <v>8768</v>
      </c>
      <c r="C248" s="74" t="s">
        <v>18740</v>
      </c>
      <c r="D248" s="72" t="s">
        <v>17832</v>
      </c>
      <c r="F248" s="57"/>
      <c r="G248" s="43"/>
      <c r="H248" s="37"/>
      <c r="I248" s="38"/>
      <c r="J248" s="299" t="s">
        <v>17556</v>
      </c>
      <c r="K248" s="45" t="s">
        <v>398</v>
      </c>
      <c r="L248" s="46">
        <v>1</v>
      </c>
      <c r="M248" s="512"/>
      <c r="N248" s="57"/>
      <c r="O248" s="35"/>
      <c r="R248" s="57"/>
      <c r="S248" s="35"/>
      <c r="V248" s="57"/>
      <c r="W248" s="208">
        <f>ROUND((ROUND((_15_同援日５．５*_15・２人),0)*(1+_15・A深夜)),0)</f>
        <v>1430</v>
      </c>
      <c r="X248" s="48"/>
    </row>
    <row r="249" spans="1:24" ht="16.5" customHeight="1" x14ac:dyDescent="0.15">
      <c r="A249" s="41">
        <v>15</v>
      </c>
      <c r="B249" s="41">
        <v>8769</v>
      </c>
      <c r="C249" s="74" t="s">
        <v>18741</v>
      </c>
      <c r="D249" s="72" t="s">
        <v>18742</v>
      </c>
      <c r="F249" s="57"/>
      <c r="G249" s="114" t="s">
        <v>17558</v>
      </c>
      <c r="H249" s="49"/>
      <c r="I249" s="50"/>
      <c r="J249" s="163"/>
      <c r="K249" s="45"/>
      <c r="L249" s="46"/>
      <c r="M249" s="512"/>
      <c r="N249" s="57"/>
      <c r="O249" s="35"/>
      <c r="R249" s="57"/>
      <c r="S249" s="35"/>
      <c r="V249" s="57"/>
      <c r="W249" s="208">
        <f>ROUND((ROUND((_15_同援日５．５*_15・基礎２),0)*(1+_15・A深夜)),0)</f>
        <v>1287</v>
      </c>
      <c r="X249" s="48"/>
    </row>
    <row r="250" spans="1:24" ht="16.5" customHeight="1" x14ac:dyDescent="0.15">
      <c r="A250" s="41">
        <v>15</v>
      </c>
      <c r="B250" s="41">
        <v>8770</v>
      </c>
      <c r="C250" s="74" t="s">
        <v>18743</v>
      </c>
      <c r="D250" s="72"/>
      <c r="E250" s="168">
        <f>_15_同援日５．５</f>
        <v>953</v>
      </c>
      <c r="F250" s="57" t="s">
        <v>392</v>
      </c>
      <c r="G250" s="269" t="s">
        <v>17560</v>
      </c>
      <c r="H250" s="37" t="s">
        <v>398</v>
      </c>
      <c r="I250" s="38">
        <v>0.9</v>
      </c>
      <c r="J250" s="299" t="s">
        <v>17556</v>
      </c>
      <c r="K250" s="45" t="s">
        <v>398</v>
      </c>
      <c r="L250" s="46">
        <v>1</v>
      </c>
      <c r="M250" s="512"/>
      <c r="N250" s="57"/>
      <c r="O250" s="43"/>
      <c r="P250" s="37"/>
      <c r="Q250" s="38"/>
      <c r="R250" s="79"/>
      <c r="S250" s="35"/>
      <c r="V250" s="57"/>
      <c r="W250" s="208">
        <f>ROUND((ROUND((ROUND((_15_同援日５．５*_15・基礎２),0)*_15・２人),0)*(1+_15・A深夜)),0)</f>
        <v>1287</v>
      </c>
      <c r="X250" s="48"/>
    </row>
    <row r="251" spans="1:24" ht="16.5" customHeight="1" x14ac:dyDescent="0.15">
      <c r="A251" s="41">
        <v>15</v>
      </c>
      <c r="B251" s="41">
        <v>8771</v>
      </c>
      <c r="C251" s="74" t="s">
        <v>18744</v>
      </c>
      <c r="D251" s="72"/>
      <c r="F251" s="57"/>
      <c r="G251" s="53"/>
      <c r="H251" s="49"/>
      <c r="I251" s="50"/>
      <c r="J251" s="163"/>
      <c r="K251" s="45"/>
      <c r="L251" s="46"/>
      <c r="M251" s="512"/>
      <c r="N251" s="57"/>
      <c r="O251" s="114" t="s">
        <v>17562</v>
      </c>
      <c r="P251" s="49"/>
      <c r="Q251" s="50"/>
      <c r="R251" s="115"/>
      <c r="S251" s="35"/>
      <c r="V251" s="57"/>
      <c r="W251" s="208">
        <f>ROUND((ROUND((_15_同援日５．５*(1+_15・A深夜)),0)*(1+_15・盲ろう)),0)</f>
        <v>1788</v>
      </c>
      <c r="X251" s="48"/>
    </row>
    <row r="252" spans="1:24" ht="16.5" customHeight="1" x14ac:dyDescent="0.15">
      <c r="A252" s="41">
        <v>15</v>
      </c>
      <c r="B252" s="41">
        <v>8772</v>
      </c>
      <c r="C252" s="74" t="s">
        <v>18745</v>
      </c>
      <c r="D252" s="72"/>
      <c r="F252" s="57"/>
      <c r="G252" s="43"/>
      <c r="H252" s="37"/>
      <c r="I252" s="38"/>
      <c r="J252" s="299" t="s">
        <v>17556</v>
      </c>
      <c r="K252" s="45" t="s">
        <v>398</v>
      </c>
      <c r="L252" s="46">
        <v>1</v>
      </c>
      <c r="M252" s="512"/>
      <c r="N252" s="57"/>
      <c r="O252" s="92" t="s">
        <v>17564</v>
      </c>
      <c r="R252" s="57"/>
      <c r="S252" s="35"/>
      <c r="V252" s="57"/>
      <c r="W252" s="208">
        <f>ROUND((ROUND((ROUND((_15_同援日５．５*_15・２人),0)*(1+_15・A深夜)),0)*(1+_15・盲ろう)),0)</f>
        <v>1788</v>
      </c>
      <c r="X252" s="48"/>
    </row>
    <row r="253" spans="1:24" ht="16.5" customHeight="1" x14ac:dyDescent="0.15">
      <c r="A253" s="41">
        <v>15</v>
      </c>
      <c r="B253" s="41">
        <v>8773</v>
      </c>
      <c r="C253" s="74" t="s">
        <v>18746</v>
      </c>
      <c r="D253" s="72"/>
      <c r="F253" s="57"/>
      <c r="G253" s="114" t="s">
        <v>17558</v>
      </c>
      <c r="H253" s="49"/>
      <c r="I253" s="50"/>
      <c r="J253" s="163"/>
      <c r="K253" s="45"/>
      <c r="L253" s="46"/>
      <c r="M253" s="512"/>
      <c r="N253" s="57"/>
      <c r="O253" s="35"/>
      <c r="P253" s="12" t="s">
        <v>398</v>
      </c>
      <c r="Q253" s="13">
        <v>0.25</v>
      </c>
      <c r="R253" s="57" t="s">
        <v>3575</v>
      </c>
      <c r="S253" s="35"/>
      <c r="V253" s="57"/>
      <c r="W253" s="208">
        <f>ROUND((ROUND((ROUND((_15_同援日５．５*_15・基礎２),0)*(1+_15・A深夜)),0)*(1+_15・盲ろう)),0)</f>
        <v>1609</v>
      </c>
      <c r="X253" s="48"/>
    </row>
    <row r="254" spans="1:24" ht="16.5" customHeight="1" x14ac:dyDescent="0.15">
      <c r="A254" s="41">
        <v>15</v>
      </c>
      <c r="B254" s="41">
        <v>8774</v>
      </c>
      <c r="C254" s="74" t="s">
        <v>18747</v>
      </c>
      <c r="D254" s="72"/>
      <c r="F254" s="57"/>
      <c r="G254" s="269" t="s">
        <v>17560</v>
      </c>
      <c r="H254" s="37" t="s">
        <v>398</v>
      </c>
      <c r="I254" s="38">
        <v>0.9</v>
      </c>
      <c r="J254" s="299" t="s">
        <v>17556</v>
      </c>
      <c r="K254" s="45" t="s">
        <v>398</v>
      </c>
      <c r="L254" s="46">
        <v>1</v>
      </c>
      <c r="M254" s="512"/>
      <c r="N254" s="57"/>
      <c r="O254" s="43"/>
      <c r="P254" s="37"/>
      <c r="Q254" s="38"/>
      <c r="R254" s="79"/>
      <c r="S254" s="43"/>
      <c r="T254" s="37"/>
      <c r="U254" s="38"/>
      <c r="V254" s="79"/>
      <c r="W254" s="208">
        <f>ROUND((ROUND((ROUND((ROUND((_15_同援日５．５*_15・基礎２),0)*_15・２人),0)*(1+_15・A深夜)),0)*(1+_15・盲ろう)),0)</f>
        <v>1609</v>
      </c>
      <c r="X254" s="48"/>
    </row>
    <row r="255" spans="1:24" ht="16.5" customHeight="1" x14ac:dyDescent="0.15">
      <c r="A255" s="41">
        <v>15</v>
      </c>
      <c r="B255" s="41">
        <v>8775</v>
      </c>
      <c r="C255" s="74" t="s">
        <v>18748</v>
      </c>
      <c r="D255" s="72"/>
      <c r="F255" s="57"/>
      <c r="G255" s="53"/>
      <c r="H255" s="49"/>
      <c r="I255" s="50"/>
      <c r="J255" s="163"/>
      <c r="K255" s="45"/>
      <c r="L255" s="46"/>
      <c r="M255" s="512"/>
      <c r="N255" s="57"/>
      <c r="O255" s="53"/>
      <c r="P255" s="49"/>
      <c r="Q255" s="50"/>
      <c r="R255" s="115"/>
      <c r="S255" s="53"/>
      <c r="T255" s="49"/>
      <c r="U255" s="50"/>
      <c r="V255" s="115"/>
      <c r="W255" s="208">
        <f>ROUND((ROUND((_15_同援日５．５*(1+_15・A深夜)),0)*(1+_15・区３)),0)</f>
        <v>1716</v>
      </c>
      <c r="X255" s="48"/>
    </row>
    <row r="256" spans="1:24" ht="16.5" customHeight="1" x14ac:dyDescent="0.15">
      <c r="A256" s="41">
        <v>15</v>
      </c>
      <c r="B256" s="41">
        <v>8776</v>
      </c>
      <c r="C256" s="74" t="s">
        <v>18749</v>
      </c>
      <c r="D256" s="72"/>
      <c r="F256" s="57"/>
      <c r="G256" s="43"/>
      <c r="H256" s="37"/>
      <c r="I256" s="38"/>
      <c r="J256" s="299" t="s">
        <v>17556</v>
      </c>
      <c r="K256" s="45" t="s">
        <v>398</v>
      </c>
      <c r="L256" s="46">
        <v>1</v>
      </c>
      <c r="M256" s="512"/>
      <c r="N256" s="57"/>
      <c r="O256" s="35"/>
      <c r="R256" s="57"/>
      <c r="S256" s="35"/>
      <c r="V256" s="57"/>
      <c r="W256" s="208">
        <f>ROUND((ROUND((ROUND((_15_同援日５．５*_15・２人),0)*(1+_15・A深夜)),0)*(1+_15・区３)),0)</f>
        <v>1716</v>
      </c>
      <c r="X256" s="48"/>
    </row>
    <row r="257" spans="1:24" ht="16.5" customHeight="1" x14ac:dyDescent="0.15">
      <c r="A257" s="41">
        <v>15</v>
      </c>
      <c r="B257" s="41">
        <v>8777</v>
      </c>
      <c r="C257" s="74" t="s">
        <v>18750</v>
      </c>
      <c r="D257" s="72"/>
      <c r="F257" s="57"/>
      <c r="G257" s="114" t="s">
        <v>17558</v>
      </c>
      <c r="H257" s="49"/>
      <c r="I257" s="50"/>
      <c r="J257" s="163"/>
      <c r="K257" s="45"/>
      <c r="L257" s="46"/>
      <c r="M257" s="512"/>
      <c r="N257" s="57"/>
      <c r="O257" s="35"/>
      <c r="R257" s="57"/>
      <c r="S257" s="72" t="s">
        <v>17570</v>
      </c>
      <c r="V257" s="57"/>
      <c r="W257" s="208">
        <f>ROUND((ROUND((ROUND((_15_同援日５．５*_15・基礎２),0)*(1+_15・A深夜)),0)*(1+_15・区３)),0)</f>
        <v>1544</v>
      </c>
      <c r="X257" s="48"/>
    </row>
    <row r="258" spans="1:24" ht="16.5" customHeight="1" x14ac:dyDescent="0.15">
      <c r="A258" s="41">
        <v>15</v>
      </c>
      <c r="B258" s="41">
        <v>8778</v>
      </c>
      <c r="C258" s="74" t="s">
        <v>18751</v>
      </c>
      <c r="D258" s="72"/>
      <c r="F258" s="57"/>
      <c r="G258" s="269" t="s">
        <v>17560</v>
      </c>
      <c r="H258" s="37" t="s">
        <v>398</v>
      </c>
      <c r="I258" s="38">
        <v>0.9</v>
      </c>
      <c r="J258" s="299" t="s">
        <v>17556</v>
      </c>
      <c r="K258" s="45" t="s">
        <v>398</v>
      </c>
      <c r="L258" s="46">
        <v>1</v>
      </c>
      <c r="M258" s="512"/>
      <c r="N258" s="57"/>
      <c r="O258" s="43"/>
      <c r="P258" s="37"/>
      <c r="Q258" s="38"/>
      <c r="R258" s="79"/>
      <c r="S258" s="72" t="s">
        <v>17572</v>
      </c>
      <c r="V258" s="57"/>
      <c r="W258" s="208">
        <f>ROUND((ROUND((ROUND((ROUND((_15_同援日５．５*_15・基礎２),0)*_15・２人),0)*(1+_15・A深夜)),0)*(1+_15・区３)),0)</f>
        <v>1544</v>
      </c>
      <c r="X258" s="48"/>
    </row>
    <row r="259" spans="1:24" ht="16.5" customHeight="1" x14ac:dyDescent="0.15">
      <c r="A259" s="41">
        <v>15</v>
      </c>
      <c r="B259" s="41">
        <v>8779</v>
      </c>
      <c r="C259" s="74" t="s">
        <v>18752</v>
      </c>
      <c r="D259" s="72"/>
      <c r="F259" s="57"/>
      <c r="G259" s="53"/>
      <c r="H259" s="49"/>
      <c r="I259" s="50"/>
      <c r="J259" s="163"/>
      <c r="K259" s="45"/>
      <c r="L259" s="46"/>
      <c r="M259" s="512"/>
      <c r="N259" s="57"/>
      <c r="O259" s="114" t="s">
        <v>17562</v>
      </c>
      <c r="P259" s="49"/>
      <c r="Q259" s="50"/>
      <c r="R259" s="115"/>
      <c r="S259" s="35"/>
      <c r="T259" s="12" t="s">
        <v>398</v>
      </c>
      <c r="U259" s="13">
        <v>0.2</v>
      </c>
      <c r="V259" s="57" t="s">
        <v>3575</v>
      </c>
      <c r="W259" s="208">
        <f>ROUND((ROUND((ROUND((_15_同援日５．５*(1+_15・A深夜)),0)*(1+_15・盲ろう)),0)*(1+_15・区３)),0)</f>
        <v>2146</v>
      </c>
      <c r="X259" s="48"/>
    </row>
    <row r="260" spans="1:24" ht="16.5" customHeight="1" x14ac:dyDescent="0.15">
      <c r="A260" s="41">
        <v>15</v>
      </c>
      <c r="B260" s="41">
        <v>8780</v>
      </c>
      <c r="C260" s="74" t="s">
        <v>18753</v>
      </c>
      <c r="D260" s="72"/>
      <c r="F260" s="57"/>
      <c r="G260" s="43"/>
      <c r="H260" s="37"/>
      <c r="I260" s="38"/>
      <c r="J260" s="299" t="s">
        <v>17556</v>
      </c>
      <c r="K260" s="45" t="s">
        <v>398</v>
      </c>
      <c r="L260" s="46">
        <v>1</v>
      </c>
      <c r="M260" s="512"/>
      <c r="N260" s="57"/>
      <c r="O260" s="92" t="s">
        <v>17564</v>
      </c>
      <c r="R260" s="57"/>
      <c r="S260" s="35"/>
      <c r="V260" s="57"/>
      <c r="W260" s="208">
        <f>ROUND((ROUND((ROUND((ROUND((_15_同援日５．５*_15・２人),0)*(1+_15・A深夜)),0)*(1+_15・盲ろう)),0)*(1+_15・区３)),0)</f>
        <v>2146</v>
      </c>
      <c r="X260" s="48"/>
    </row>
    <row r="261" spans="1:24" ht="16.5" customHeight="1" x14ac:dyDescent="0.15">
      <c r="A261" s="41">
        <v>15</v>
      </c>
      <c r="B261" s="41">
        <v>8781</v>
      </c>
      <c r="C261" s="74" t="s">
        <v>18754</v>
      </c>
      <c r="D261" s="72"/>
      <c r="F261" s="57"/>
      <c r="G261" s="114" t="s">
        <v>17558</v>
      </c>
      <c r="H261" s="49"/>
      <c r="I261" s="50"/>
      <c r="J261" s="163"/>
      <c r="K261" s="45"/>
      <c r="L261" s="46"/>
      <c r="M261" s="512"/>
      <c r="N261" s="57"/>
      <c r="O261" s="35"/>
      <c r="P261" s="12" t="s">
        <v>398</v>
      </c>
      <c r="Q261" s="13">
        <v>0.25</v>
      </c>
      <c r="R261" s="57" t="s">
        <v>3575</v>
      </c>
      <c r="S261" s="35"/>
      <c r="V261" s="57"/>
      <c r="W261" s="208">
        <f>ROUND((ROUND((ROUND((ROUND((_15_同援日５．５*_15・基礎２),0)*(1+_15・A深夜)),0)*(1+_15・盲ろう)),0)*(1+_15・区３)),0)</f>
        <v>1931</v>
      </c>
      <c r="X261" s="48"/>
    </row>
    <row r="262" spans="1:24" ht="16.5" customHeight="1" x14ac:dyDescent="0.15">
      <c r="A262" s="41">
        <v>15</v>
      </c>
      <c r="B262" s="41">
        <v>8782</v>
      </c>
      <c r="C262" s="74" t="s">
        <v>18755</v>
      </c>
      <c r="D262" s="72"/>
      <c r="F262" s="57"/>
      <c r="G262" s="269" t="s">
        <v>17560</v>
      </c>
      <c r="H262" s="37" t="s">
        <v>398</v>
      </c>
      <c r="I262" s="38">
        <v>0.9</v>
      </c>
      <c r="J262" s="299" t="s">
        <v>17556</v>
      </c>
      <c r="K262" s="45" t="s">
        <v>398</v>
      </c>
      <c r="L262" s="46">
        <v>1</v>
      </c>
      <c r="M262" s="512"/>
      <c r="N262" s="57"/>
      <c r="O262" s="43"/>
      <c r="P262" s="37"/>
      <c r="Q262" s="38"/>
      <c r="R262" s="79"/>
      <c r="S262" s="43"/>
      <c r="T262" s="37"/>
      <c r="U262" s="38"/>
      <c r="V262" s="79"/>
      <c r="W262" s="208">
        <f>ROUND((ROUND((ROUND((ROUND((ROUND((_15_同援日５．５*_15・基礎２),0)*_15・２人),0)*(1+_15・A深夜)),0)*(1+_15・盲ろう)),0)*(1+_15・区３)),0)</f>
        <v>1931</v>
      </c>
      <c r="X262" s="48"/>
    </row>
    <row r="263" spans="1:24" ht="16.5" customHeight="1" x14ac:dyDescent="0.15">
      <c r="A263" s="41">
        <v>15</v>
      </c>
      <c r="B263" s="41">
        <v>8783</v>
      </c>
      <c r="C263" s="74" t="s">
        <v>18756</v>
      </c>
      <c r="D263" s="72"/>
      <c r="F263" s="57"/>
      <c r="G263" s="53"/>
      <c r="H263" s="49"/>
      <c r="I263" s="50"/>
      <c r="J263" s="163"/>
      <c r="K263" s="45"/>
      <c r="L263" s="46"/>
      <c r="M263" s="512"/>
      <c r="N263" s="57"/>
      <c r="O263" s="53"/>
      <c r="P263" s="49"/>
      <c r="Q263" s="50"/>
      <c r="R263" s="115"/>
      <c r="S263" s="53"/>
      <c r="T263" s="49"/>
      <c r="U263" s="50"/>
      <c r="V263" s="115"/>
      <c r="W263" s="208">
        <f>ROUND((ROUND((_15_同援日５．５*(1+_15・A深夜)),0)*(1+_15・区４)),0)</f>
        <v>2002</v>
      </c>
      <c r="X263" s="48"/>
    </row>
    <row r="264" spans="1:24" ht="16.5" customHeight="1" x14ac:dyDescent="0.15">
      <c r="A264" s="41">
        <v>15</v>
      </c>
      <c r="B264" s="41">
        <v>8784</v>
      </c>
      <c r="C264" s="74" t="s">
        <v>18757</v>
      </c>
      <c r="D264" s="72"/>
      <c r="F264" s="57"/>
      <c r="G264" s="43"/>
      <c r="H264" s="37"/>
      <c r="I264" s="38"/>
      <c r="J264" s="299" t="s">
        <v>17556</v>
      </c>
      <c r="K264" s="45" t="s">
        <v>398</v>
      </c>
      <c r="L264" s="46">
        <v>1</v>
      </c>
      <c r="M264" s="512"/>
      <c r="N264" s="57"/>
      <c r="O264" s="35"/>
      <c r="R264" s="57"/>
      <c r="S264" s="35"/>
      <c r="V264" s="57"/>
      <c r="W264" s="208">
        <f>ROUND((ROUND((ROUND((_15_同援日５．５*_15・２人),0)*(1+_15・A深夜)),0)*(1+_15・区４)),0)</f>
        <v>2002</v>
      </c>
      <c r="X264" s="48"/>
    </row>
    <row r="265" spans="1:24" ht="16.5" customHeight="1" x14ac:dyDescent="0.15">
      <c r="A265" s="41">
        <v>15</v>
      </c>
      <c r="B265" s="41">
        <v>8785</v>
      </c>
      <c r="C265" s="74" t="s">
        <v>18758</v>
      </c>
      <c r="D265" s="72"/>
      <c r="F265" s="57"/>
      <c r="G265" s="114" t="s">
        <v>17558</v>
      </c>
      <c r="H265" s="49"/>
      <c r="I265" s="50"/>
      <c r="J265" s="163"/>
      <c r="K265" s="45"/>
      <c r="L265" s="46"/>
      <c r="M265" s="512"/>
      <c r="N265" s="57"/>
      <c r="O265" s="35"/>
      <c r="R265" s="57"/>
      <c r="S265" s="72" t="s">
        <v>17580</v>
      </c>
      <c r="V265" s="57"/>
      <c r="W265" s="208">
        <f>ROUND((ROUND((ROUND((_15_同援日５．５*_15・基礎２),0)*(1+_15・A深夜)),0)*(1+_15・区４)),0)</f>
        <v>1802</v>
      </c>
      <c r="X265" s="48"/>
    </row>
    <row r="266" spans="1:24" ht="16.5" customHeight="1" x14ac:dyDescent="0.15">
      <c r="A266" s="41">
        <v>15</v>
      </c>
      <c r="B266" s="41">
        <v>8786</v>
      </c>
      <c r="C266" s="74" t="s">
        <v>18759</v>
      </c>
      <c r="D266" s="72"/>
      <c r="F266" s="57"/>
      <c r="G266" s="269" t="s">
        <v>17560</v>
      </c>
      <c r="H266" s="37" t="s">
        <v>398</v>
      </c>
      <c r="I266" s="38">
        <v>0.9</v>
      </c>
      <c r="J266" s="299" t="s">
        <v>17556</v>
      </c>
      <c r="K266" s="45" t="s">
        <v>398</v>
      </c>
      <c r="L266" s="46">
        <v>1</v>
      </c>
      <c r="M266" s="512"/>
      <c r="N266" s="57"/>
      <c r="O266" s="43"/>
      <c r="P266" s="37"/>
      <c r="Q266" s="38"/>
      <c r="R266" s="79"/>
      <c r="S266" s="72" t="s">
        <v>17572</v>
      </c>
      <c r="V266" s="57"/>
      <c r="W266" s="208">
        <f>ROUND((ROUND((ROUND((ROUND((_15_同援日５．５*_15・基礎２),0)*_15・２人),0)*(1+_15・A深夜)),0)*(1+_15・区４)),0)</f>
        <v>1802</v>
      </c>
      <c r="X266" s="48"/>
    </row>
    <row r="267" spans="1:24" ht="16.5" customHeight="1" x14ac:dyDescent="0.15">
      <c r="A267" s="41">
        <v>15</v>
      </c>
      <c r="B267" s="41">
        <v>8787</v>
      </c>
      <c r="C267" s="74" t="s">
        <v>18760</v>
      </c>
      <c r="D267" s="72"/>
      <c r="F267" s="57"/>
      <c r="G267" s="53"/>
      <c r="H267" s="49"/>
      <c r="I267" s="50"/>
      <c r="J267" s="163"/>
      <c r="K267" s="45"/>
      <c r="L267" s="46"/>
      <c r="M267" s="512"/>
      <c r="N267" s="57"/>
      <c r="O267" s="114" t="s">
        <v>17562</v>
      </c>
      <c r="P267" s="49"/>
      <c r="Q267" s="50"/>
      <c r="R267" s="115"/>
      <c r="S267" s="35"/>
      <c r="T267" s="12" t="s">
        <v>398</v>
      </c>
      <c r="U267" s="13">
        <v>0.4</v>
      </c>
      <c r="V267" s="57" t="s">
        <v>3575</v>
      </c>
      <c r="W267" s="208">
        <f>ROUND((ROUND((ROUND((_15_同援日５．５*(1+_15・A深夜)),0)*(1+_15・盲ろう)),0)*(1+_15・区４)),0)</f>
        <v>2503</v>
      </c>
      <c r="X267" s="48"/>
    </row>
    <row r="268" spans="1:24" ht="16.5" customHeight="1" x14ac:dyDescent="0.15">
      <c r="A268" s="41">
        <v>15</v>
      </c>
      <c r="B268" s="41">
        <v>8788</v>
      </c>
      <c r="C268" s="74" t="s">
        <v>18761</v>
      </c>
      <c r="D268" s="72"/>
      <c r="F268" s="57"/>
      <c r="G268" s="43"/>
      <c r="H268" s="37"/>
      <c r="I268" s="38"/>
      <c r="J268" s="299" t="s">
        <v>17556</v>
      </c>
      <c r="K268" s="45" t="s">
        <v>398</v>
      </c>
      <c r="L268" s="46">
        <v>1</v>
      </c>
      <c r="M268" s="512"/>
      <c r="N268" s="57"/>
      <c r="O268" s="92" t="s">
        <v>17564</v>
      </c>
      <c r="R268" s="57"/>
      <c r="S268" s="35"/>
      <c r="V268" s="57"/>
      <c r="W268" s="208">
        <f>ROUND((ROUND((ROUND((ROUND((_15_同援日５．５*_15・２人),0)*(1+_15・A深夜)),0)*(1+_15・盲ろう)),0)*(1+_15・区４)),0)</f>
        <v>2503</v>
      </c>
      <c r="X268" s="48"/>
    </row>
    <row r="269" spans="1:24" ht="16.5" customHeight="1" x14ac:dyDescent="0.15">
      <c r="A269" s="41">
        <v>15</v>
      </c>
      <c r="B269" s="41">
        <v>8789</v>
      </c>
      <c r="C269" s="74" t="s">
        <v>18762</v>
      </c>
      <c r="D269" s="72"/>
      <c r="F269" s="57"/>
      <c r="G269" s="114" t="s">
        <v>17558</v>
      </c>
      <c r="H269" s="49"/>
      <c r="I269" s="50"/>
      <c r="J269" s="163"/>
      <c r="K269" s="45"/>
      <c r="L269" s="46"/>
      <c r="M269" s="512"/>
      <c r="N269" s="57"/>
      <c r="O269" s="35"/>
      <c r="P269" s="12" t="s">
        <v>398</v>
      </c>
      <c r="Q269" s="13">
        <v>0.25</v>
      </c>
      <c r="R269" s="57" t="s">
        <v>3575</v>
      </c>
      <c r="S269" s="35"/>
      <c r="V269" s="57"/>
      <c r="W269" s="208">
        <f>ROUND((ROUND((ROUND((ROUND((_15_同援日５．５*_15・基礎２),0)*(1+_15・A深夜)),0)*(1+_15・盲ろう)),0)*(1+_15・区４)),0)</f>
        <v>2253</v>
      </c>
      <c r="X269" s="48"/>
    </row>
    <row r="270" spans="1:24" ht="16.5" customHeight="1" x14ac:dyDescent="0.15">
      <c r="A270" s="41">
        <v>15</v>
      </c>
      <c r="B270" s="41">
        <v>8790</v>
      </c>
      <c r="C270" s="74" t="s">
        <v>18763</v>
      </c>
      <c r="D270" s="122"/>
      <c r="E270" s="37"/>
      <c r="F270" s="79"/>
      <c r="G270" s="269" t="s">
        <v>17560</v>
      </c>
      <c r="H270" s="37" t="s">
        <v>398</v>
      </c>
      <c r="I270" s="38">
        <v>0.9</v>
      </c>
      <c r="J270" s="299" t="s">
        <v>17556</v>
      </c>
      <c r="K270" s="45" t="s">
        <v>398</v>
      </c>
      <c r="L270" s="46">
        <v>1</v>
      </c>
      <c r="M270" s="512"/>
      <c r="N270" s="57"/>
      <c r="O270" s="43"/>
      <c r="P270" s="37"/>
      <c r="Q270" s="38"/>
      <c r="R270" s="79"/>
      <c r="S270" s="43"/>
      <c r="T270" s="37"/>
      <c r="U270" s="38"/>
      <c r="V270" s="79"/>
      <c r="W270" s="208">
        <f>ROUND((ROUND((ROUND((ROUND((ROUND((_15_同援日５．５*_15・基礎２),0)*_15・２人),0)*(1+_15・A深夜)),0)*(1+_15・盲ろう)),0)*(1+_15・区４)),0)</f>
        <v>2253</v>
      </c>
      <c r="X270" s="48"/>
    </row>
    <row r="271" spans="1:24" ht="16.5" customHeight="1" x14ac:dyDescent="0.15">
      <c r="A271" s="41">
        <v>15</v>
      </c>
      <c r="B271" s="41">
        <v>8791</v>
      </c>
      <c r="C271" s="74" t="s">
        <v>18764</v>
      </c>
      <c r="D271" s="114" t="s">
        <v>18765</v>
      </c>
      <c r="E271" s="49"/>
      <c r="F271" s="115"/>
      <c r="G271" s="53"/>
      <c r="H271" s="49"/>
      <c r="I271" s="50"/>
      <c r="J271" s="163"/>
      <c r="K271" s="45"/>
      <c r="L271" s="46"/>
      <c r="M271" s="512"/>
      <c r="N271" s="57"/>
      <c r="O271" s="53"/>
      <c r="P271" s="49"/>
      <c r="Q271" s="50"/>
      <c r="R271" s="115"/>
      <c r="S271" s="53"/>
      <c r="T271" s="49"/>
      <c r="U271" s="50"/>
      <c r="V271" s="115"/>
      <c r="W271" s="208">
        <f>ROUND((_15_同援日６．０*(1+_15・A深夜)),0)</f>
        <v>1527</v>
      </c>
      <c r="X271" s="48"/>
    </row>
    <row r="272" spans="1:24" ht="16.5" customHeight="1" x14ac:dyDescent="0.15">
      <c r="A272" s="41">
        <v>15</v>
      </c>
      <c r="B272" s="41">
        <v>8792</v>
      </c>
      <c r="C272" s="74" t="s">
        <v>18766</v>
      </c>
      <c r="D272" s="72" t="s">
        <v>17859</v>
      </c>
      <c r="F272" s="57"/>
      <c r="G272" s="43"/>
      <c r="H272" s="37"/>
      <c r="I272" s="38"/>
      <c r="J272" s="299" t="s">
        <v>17556</v>
      </c>
      <c r="K272" s="45" t="s">
        <v>398</v>
      </c>
      <c r="L272" s="46">
        <v>1</v>
      </c>
      <c r="M272" s="512"/>
      <c r="N272" s="57"/>
      <c r="O272" s="35"/>
      <c r="R272" s="57"/>
      <c r="S272" s="35"/>
      <c r="V272" s="57"/>
      <c r="W272" s="208">
        <f>ROUND((ROUND((_15_同援日６．０*_15・２人),0)*(1+_15・A深夜)),0)</f>
        <v>1527</v>
      </c>
      <c r="X272" s="48"/>
    </row>
    <row r="273" spans="1:24" ht="16.5" customHeight="1" x14ac:dyDescent="0.15">
      <c r="A273" s="41">
        <v>15</v>
      </c>
      <c r="B273" s="41">
        <v>8793</v>
      </c>
      <c r="C273" s="74" t="s">
        <v>18767</v>
      </c>
      <c r="D273" s="72" t="s">
        <v>18768</v>
      </c>
      <c r="F273" s="57"/>
      <c r="G273" s="114" t="s">
        <v>17558</v>
      </c>
      <c r="H273" s="49"/>
      <c r="I273" s="50"/>
      <c r="J273" s="163"/>
      <c r="K273" s="45"/>
      <c r="L273" s="46"/>
      <c r="M273" s="512"/>
      <c r="N273" s="57"/>
      <c r="O273" s="35"/>
      <c r="R273" s="57"/>
      <c r="S273" s="35"/>
      <c r="V273" s="57"/>
      <c r="W273" s="208">
        <f>ROUND((ROUND((_15_同援日６．０*_15・基礎２),0)*(1+_15・A深夜)),0)</f>
        <v>1374</v>
      </c>
      <c r="X273" s="48"/>
    </row>
    <row r="274" spans="1:24" ht="16.5" customHeight="1" x14ac:dyDescent="0.15">
      <c r="A274" s="41">
        <v>15</v>
      </c>
      <c r="B274" s="41">
        <v>8794</v>
      </c>
      <c r="C274" s="74" t="s">
        <v>18769</v>
      </c>
      <c r="D274" s="72"/>
      <c r="E274" s="168">
        <f>_15_同援日６．０</f>
        <v>1018</v>
      </c>
      <c r="F274" s="57" t="s">
        <v>392</v>
      </c>
      <c r="G274" s="269" t="s">
        <v>17560</v>
      </c>
      <c r="H274" s="37" t="s">
        <v>398</v>
      </c>
      <c r="I274" s="38">
        <v>0.9</v>
      </c>
      <c r="J274" s="299" t="s">
        <v>17556</v>
      </c>
      <c r="K274" s="45" t="s">
        <v>398</v>
      </c>
      <c r="L274" s="46">
        <v>1</v>
      </c>
      <c r="M274" s="512"/>
      <c r="N274" s="57"/>
      <c r="O274" s="43"/>
      <c r="P274" s="37"/>
      <c r="Q274" s="38"/>
      <c r="R274" s="79"/>
      <c r="S274" s="35"/>
      <c r="V274" s="57"/>
      <c r="W274" s="208">
        <f>ROUND((ROUND((ROUND((_15_同援日６．０*_15・基礎２),0)*_15・２人),0)*(1+_15・A深夜)),0)</f>
        <v>1374</v>
      </c>
      <c r="X274" s="48"/>
    </row>
    <row r="275" spans="1:24" ht="16.5" customHeight="1" x14ac:dyDescent="0.15">
      <c r="A275" s="41">
        <v>15</v>
      </c>
      <c r="B275" s="41">
        <v>8795</v>
      </c>
      <c r="C275" s="74" t="s">
        <v>18770</v>
      </c>
      <c r="D275" s="72"/>
      <c r="F275" s="57"/>
      <c r="G275" s="53"/>
      <c r="H275" s="49"/>
      <c r="I275" s="50"/>
      <c r="J275" s="163"/>
      <c r="K275" s="45"/>
      <c r="L275" s="46"/>
      <c r="M275" s="512"/>
      <c r="N275" s="57"/>
      <c r="O275" s="114" t="s">
        <v>17562</v>
      </c>
      <c r="P275" s="49"/>
      <c r="Q275" s="50"/>
      <c r="R275" s="115"/>
      <c r="S275" s="35"/>
      <c r="V275" s="57"/>
      <c r="W275" s="208">
        <f>ROUND((ROUND((_15_同援日６．０*(1+_15・A深夜)),0)*(1+_15・盲ろう)),0)</f>
        <v>1909</v>
      </c>
      <c r="X275" s="48"/>
    </row>
    <row r="276" spans="1:24" ht="16.5" customHeight="1" x14ac:dyDescent="0.15">
      <c r="A276" s="41">
        <v>15</v>
      </c>
      <c r="B276" s="41">
        <v>8796</v>
      </c>
      <c r="C276" s="74" t="s">
        <v>18771</v>
      </c>
      <c r="D276" s="72"/>
      <c r="F276" s="57"/>
      <c r="G276" s="43"/>
      <c r="H276" s="37"/>
      <c r="I276" s="38"/>
      <c r="J276" s="299" t="s">
        <v>17556</v>
      </c>
      <c r="K276" s="45" t="s">
        <v>398</v>
      </c>
      <c r="L276" s="46">
        <v>1</v>
      </c>
      <c r="M276" s="512"/>
      <c r="N276" s="57"/>
      <c r="O276" s="92" t="s">
        <v>17564</v>
      </c>
      <c r="R276" s="57"/>
      <c r="S276" s="35"/>
      <c r="V276" s="57"/>
      <c r="W276" s="208">
        <f>ROUND((ROUND((ROUND((_15_同援日６．０*_15・２人),0)*(1+_15・A深夜)),0)*(1+_15・盲ろう)),0)</f>
        <v>1909</v>
      </c>
      <c r="X276" s="48"/>
    </row>
    <row r="277" spans="1:24" ht="16.5" customHeight="1" x14ac:dyDescent="0.15">
      <c r="A277" s="41">
        <v>15</v>
      </c>
      <c r="B277" s="41">
        <v>8797</v>
      </c>
      <c r="C277" s="74" t="s">
        <v>18772</v>
      </c>
      <c r="D277" s="72"/>
      <c r="F277" s="57"/>
      <c r="G277" s="114" t="s">
        <v>17558</v>
      </c>
      <c r="H277" s="49"/>
      <c r="I277" s="50"/>
      <c r="J277" s="163"/>
      <c r="K277" s="45"/>
      <c r="L277" s="46"/>
      <c r="M277" s="512"/>
      <c r="N277" s="57"/>
      <c r="O277" s="35"/>
      <c r="P277" s="12" t="s">
        <v>398</v>
      </c>
      <c r="Q277" s="13">
        <v>0.25</v>
      </c>
      <c r="R277" s="57" t="s">
        <v>3575</v>
      </c>
      <c r="S277" s="35"/>
      <c r="V277" s="57"/>
      <c r="W277" s="208">
        <f>ROUND((ROUND((ROUND((_15_同援日６．０*_15・基礎２),0)*(1+_15・A深夜)),0)*(1+_15・盲ろう)),0)</f>
        <v>1718</v>
      </c>
      <c r="X277" s="48"/>
    </row>
    <row r="278" spans="1:24" ht="16.5" customHeight="1" x14ac:dyDescent="0.15">
      <c r="A278" s="41">
        <v>15</v>
      </c>
      <c r="B278" s="41">
        <v>8798</v>
      </c>
      <c r="C278" s="74" t="s">
        <v>18773</v>
      </c>
      <c r="D278" s="72"/>
      <c r="F278" s="57"/>
      <c r="G278" s="269" t="s">
        <v>17560</v>
      </c>
      <c r="H278" s="37" t="s">
        <v>398</v>
      </c>
      <c r="I278" s="38">
        <v>0.9</v>
      </c>
      <c r="J278" s="299" t="s">
        <v>17556</v>
      </c>
      <c r="K278" s="45" t="s">
        <v>398</v>
      </c>
      <c r="L278" s="46">
        <v>1</v>
      </c>
      <c r="M278" s="512"/>
      <c r="N278" s="57"/>
      <c r="O278" s="43"/>
      <c r="P278" s="37"/>
      <c r="Q278" s="38"/>
      <c r="R278" s="79"/>
      <c r="S278" s="43"/>
      <c r="T278" s="37"/>
      <c r="U278" s="38"/>
      <c r="V278" s="79"/>
      <c r="W278" s="208">
        <f>ROUND((ROUND((ROUND((ROUND((_15_同援日６．０*_15・基礎２),0)*_15・２人),0)*(1+_15・A深夜)),0)*(1+_15・盲ろう)),0)</f>
        <v>1718</v>
      </c>
      <c r="X278" s="48"/>
    </row>
    <row r="279" spans="1:24" ht="16.5" customHeight="1" x14ac:dyDescent="0.15">
      <c r="A279" s="41">
        <v>15</v>
      </c>
      <c r="B279" s="41">
        <v>8799</v>
      </c>
      <c r="C279" s="74" t="s">
        <v>18774</v>
      </c>
      <c r="D279" s="72"/>
      <c r="F279" s="57"/>
      <c r="G279" s="53"/>
      <c r="H279" s="49"/>
      <c r="I279" s="50"/>
      <c r="J279" s="163"/>
      <c r="K279" s="45"/>
      <c r="L279" s="46"/>
      <c r="M279" s="512"/>
      <c r="N279" s="57"/>
      <c r="O279" s="53"/>
      <c r="P279" s="49"/>
      <c r="Q279" s="50"/>
      <c r="R279" s="115"/>
      <c r="S279" s="53"/>
      <c r="T279" s="49"/>
      <c r="U279" s="50"/>
      <c r="V279" s="115"/>
      <c r="W279" s="208">
        <f>ROUND((ROUND((_15_同援日６．０*(1+_15・A深夜)),0)*(1+_15・区３)),0)</f>
        <v>1832</v>
      </c>
      <c r="X279" s="48"/>
    </row>
    <row r="280" spans="1:24" ht="16.5" customHeight="1" x14ac:dyDescent="0.15">
      <c r="A280" s="41">
        <v>15</v>
      </c>
      <c r="B280" s="41">
        <v>8800</v>
      </c>
      <c r="C280" s="74" t="s">
        <v>18775</v>
      </c>
      <c r="D280" s="72"/>
      <c r="F280" s="57"/>
      <c r="G280" s="43"/>
      <c r="H280" s="37"/>
      <c r="I280" s="38"/>
      <c r="J280" s="299" t="s">
        <v>17556</v>
      </c>
      <c r="K280" s="45" t="s">
        <v>398</v>
      </c>
      <c r="L280" s="46">
        <v>1</v>
      </c>
      <c r="M280" s="512"/>
      <c r="N280" s="57"/>
      <c r="O280" s="35"/>
      <c r="R280" s="57"/>
      <c r="S280" s="35"/>
      <c r="V280" s="57"/>
      <c r="W280" s="208">
        <f>ROUND((ROUND((ROUND((_15_同援日６．０*_15・２人),0)*(1+_15・A深夜)),0)*(1+_15・区３)),0)</f>
        <v>1832</v>
      </c>
      <c r="X280" s="48"/>
    </row>
    <row r="281" spans="1:24" ht="16.5" customHeight="1" x14ac:dyDescent="0.15">
      <c r="A281" s="41">
        <v>15</v>
      </c>
      <c r="B281" s="41">
        <v>8801</v>
      </c>
      <c r="C281" s="74" t="s">
        <v>18776</v>
      </c>
      <c r="D281" s="72"/>
      <c r="F281" s="57"/>
      <c r="G281" s="114" t="s">
        <v>17558</v>
      </c>
      <c r="H281" s="49"/>
      <c r="I281" s="50"/>
      <c r="J281" s="163"/>
      <c r="K281" s="45"/>
      <c r="L281" s="46"/>
      <c r="M281" s="512"/>
      <c r="N281" s="57"/>
      <c r="O281" s="35"/>
      <c r="R281" s="57"/>
      <c r="S281" s="72" t="s">
        <v>17570</v>
      </c>
      <c r="V281" s="57"/>
      <c r="W281" s="208">
        <f>ROUND((ROUND((ROUND((_15_同援日６．０*_15・基礎２),0)*(1+_15・A深夜)),0)*(1+_15・区３)),0)</f>
        <v>1649</v>
      </c>
      <c r="X281" s="48"/>
    </row>
    <row r="282" spans="1:24" ht="16.5" customHeight="1" x14ac:dyDescent="0.15">
      <c r="A282" s="41">
        <v>15</v>
      </c>
      <c r="B282" s="41">
        <v>8802</v>
      </c>
      <c r="C282" s="74" t="s">
        <v>18777</v>
      </c>
      <c r="D282" s="72"/>
      <c r="F282" s="57"/>
      <c r="G282" s="269" t="s">
        <v>17560</v>
      </c>
      <c r="H282" s="37" t="s">
        <v>398</v>
      </c>
      <c r="I282" s="38">
        <v>0.9</v>
      </c>
      <c r="J282" s="299" t="s">
        <v>17556</v>
      </c>
      <c r="K282" s="45" t="s">
        <v>398</v>
      </c>
      <c r="L282" s="46">
        <v>1</v>
      </c>
      <c r="M282" s="512"/>
      <c r="N282" s="57"/>
      <c r="O282" s="43"/>
      <c r="P282" s="37"/>
      <c r="Q282" s="38"/>
      <c r="R282" s="79"/>
      <c r="S282" s="72" t="s">
        <v>17572</v>
      </c>
      <c r="V282" s="57"/>
      <c r="W282" s="208">
        <f>ROUND((ROUND((ROUND((ROUND((_15_同援日６．０*_15・基礎２),0)*_15・２人),0)*(1+_15・A深夜)),0)*(1+_15・区３)),0)</f>
        <v>1649</v>
      </c>
      <c r="X282" s="48"/>
    </row>
    <row r="283" spans="1:24" ht="16.5" customHeight="1" x14ac:dyDescent="0.15">
      <c r="A283" s="41">
        <v>15</v>
      </c>
      <c r="B283" s="41">
        <v>8803</v>
      </c>
      <c r="C283" s="74" t="s">
        <v>18778</v>
      </c>
      <c r="D283" s="72"/>
      <c r="F283" s="57"/>
      <c r="G283" s="53"/>
      <c r="H283" s="49"/>
      <c r="I283" s="50"/>
      <c r="J283" s="163"/>
      <c r="K283" s="45"/>
      <c r="L283" s="46"/>
      <c r="M283" s="512"/>
      <c r="N283" s="57"/>
      <c r="O283" s="114" t="s">
        <v>17562</v>
      </c>
      <c r="P283" s="49"/>
      <c r="Q283" s="50"/>
      <c r="R283" s="115"/>
      <c r="S283" s="35"/>
      <c r="T283" s="12" t="s">
        <v>398</v>
      </c>
      <c r="U283" s="13">
        <v>0.2</v>
      </c>
      <c r="V283" s="57" t="s">
        <v>3575</v>
      </c>
      <c r="W283" s="208">
        <f>ROUND((ROUND((ROUND((_15_同援日６．０*(1+_15・A深夜)),0)*(1+_15・盲ろう)),0)*(1+_15・区３)),0)</f>
        <v>2291</v>
      </c>
      <c r="X283" s="48"/>
    </row>
    <row r="284" spans="1:24" ht="16.5" customHeight="1" x14ac:dyDescent="0.15">
      <c r="A284" s="41">
        <v>15</v>
      </c>
      <c r="B284" s="41">
        <v>8804</v>
      </c>
      <c r="C284" s="74" t="s">
        <v>18779</v>
      </c>
      <c r="D284" s="72"/>
      <c r="F284" s="57"/>
      <c r="G284" s="43"/>
      <c r="H284" s="37"/>
      <c r="I284" s="38"/>
      <c r="J284" s="299" t="s">
        <v>17556</v>
      </c>
      <c r="K284" s="45" t="s">
        <v>398</v>
      </c>
      <c r="L284" s="46">
        <v>1</v>
      </c>
      <c r="M284" s="512"/>
      <c r="N284" s="57"/>
      <c r="O284" s="92" t="s">
        <v>17564</v>
      </c>
      <c r="R284" s="57"/>
      <c r="S284" s="35"/>
      <c r="V284" s="57"/>
      <c r="W284" s="208">
        <f>ROUND((ROUND((ROUND((ROUND((_15_同援日６．０*_15・２人),0)*(1+_15・A深夜)),0)*(1+_15・盲ろう)),0)*(1+_15・区３)),0)</f>
        <v>2291</v>
      </c>
      <c r="X284" s="48"/>
    </row>
    <row r="285" spans="1:24" ht="16.5" customHeight="1" x14ac:dyDescent="0.15">
      <c r="A285" s="41">
        <v>15</v>
      </c>
      <c r="B285" s="41">
        <v>8805</v>
      </c>
      <c r="C285" s="74" t="s">
        <v>18780</v>
      </c>
      <c r="D285" s="72"/>
      <c r="F285" s="57"/>
      <c r="G285" s="114" t="s">
        <v>17558</v>
      </c>
      <c r="H285" s="49"/>
      <c r="I285" s="50"/>
      <c r="J285" s="163"/>
      <c r="K285" s="45"/>
      <c r="L285" s="46"/>
      <c r="M285" s="512"/>
      <c r="N285" s="57"/>
      <c r="O285" s="35"/>
      <c r="P285" s="12" t="s">
        <v>398</v>
      </c>
      <c r="Q285" s="13">
        <v>0.25</v>
      </c>
      <c r="R285" s="57" t="s">
        <v>3575</v>
      </c>
      <c r="S285" s="35"/>
      <c r="V285" s="57"/>
      <c r="W285" s="208">
        <f>ROUND((ROUND((ROUND((ROUND((_15_同援日６．０*_15・基礎２),0)*(1+_15・A深夜)),0)*(1+_15・盲ろう)),0)*(1+_15・区３)),0)</f>
        <v>2062</v>
      </c>
      <c r="X285" s="48"/>
    </row>
    <row r="286" spans="1:24" ht="16.5" customHeight="1" x14ac:dyDescent="0.15">
      <c r="A286" s="41">
        <v>15</v>
      </c>
      <c r="B286" s="41">
        <v>8806</v>
      </c>
      <c r="C286" s="74" t="s">
        <v>18781</v>
      </c>
      <c r="D286" s="72"/>
      <c r="F286" s="57"/>
      <c r="G286" s="269" t="s">
        <v>17560</v>
      </c>
      <c r="H286" s="37" t="s">
        <v>398</v>
      </c>
      <c r="I286" s="38">
        <v>0.9</v>
      </c>
      <c r="J286" s="299" t="s">
        <v>17556</v>
      </c>
      <c r="K286" s="45" t="s">
        <v>398</v>
      </c>
      <c r="L286" s="46">
        <v>1</v>
      </c>
      <c r="M286" s="512"/>
      <c r="N286" s="57"/>
      <c r="O286" s="43"/>
      <c r="P286" s="37"/>
      <c r="Q286" s="38"/>
      <c r="R286" s="79"/>
      <c r="S286" s="43"/>
      <c r="T286" s="37"/>
      <c r="U286" s="38"/>
      <c r="V286" s="79"/>
      <c r="W286" s="208">
        <f>ROUND((ROUND((ROUND((ROUND((ROUND((_15_同援日６．０*_15・基礎２),0)*_15・２人),0)*(1+_15・A深夜)),0)*(1+_15・盲ろう)),0)*(1+_15・区３)),0)</f>
        <v>2062</v>
      </c>
      <c r="X286" s="48"/>
    </row>
    <row r="287" spans="1:24" ht="16.5" customHeight="1" x14ac:dyDescent="0.15">
      <c r="A287" s="41">
        <v>15</v>
      </c>
      <c r="B287" s="41">
        <v>8807</v>
      </c>
      <c r="C287" s="74" t="s">
        <v>18782</v>
      </c>
      <c r="D287" s="72"/>
      <c r="F287" s="57"/>
      <c r="G287" s="53"/>
      <c r="H287" s="49"/>
      <c r="I287" s="50"/>
      <c r="J287" s="163"/>
      <c r="K287" s="45"/>
      <c r="L287" s="46"/>
      <c r="M287" s="512"/>
      <c r="N287" s="57"/>
      <c r="O287" s="53"/>
      <c r="P287" s="49"/>
      <c r="Q287" s="50"/>
      <c r="R287" s="115"/>
      <c r="S287" s="53"/>
      <c r="T287" s="49"/>
      <c r="U287" s="50"/>
      <c r="V287" s="115"/>
      <c r="W287" s="208">
        <f>ROUND((ROUND((_15_同援日６．０*(1+_15・A深夜)),0)*(1+_15・区４)),0)</f>
        <v>2138</v>
      </c>
      <c r="X287" s="48"/>
    </row>
    <row r="288" spans="1:24" ht="16.5" customHeight="1" x14ac:dyDescent="0.15">
      <c r="A288" s="41">
        <v>15</v>
      </c>
      <c r="B288" s="41">
        <v>8808</v>
      </c>
      <c r="C288" s="74" t="s">
        <v>18783</v>
      </c>
      <c r="D288" s="72"/>
      <c r="F288" s="57"/>
      <c r="G288" s="43"/>
      <c r="H288" s="37"/>
      <c r="I288" s="38"/>
      <c r="J288" s="299" t="s">
        <v>17556</v>
      </c>
      <c r="K288" s="45" t="s">
        <v>398</v>
      </c>
      <c r="L288" s="46">
        <v>1</v>
      </c>
      <c r="M288" s="512"/>
      <c r="N288" s="57"/>
      <c r="O288" s="35"/>
      <c r="R288" s="57"/>
      <c r="S288" s="35"/>
      <c r="V288" s="57"/>
      <c r="W288" s="208">
        <f>ROUND((ROUND((ROUND((_15_同援日６．０*_15・２人),0)*(1+_15・A深夜)),0)*(1+_15・区４)),0)</f>
        <v>2138</v>
      </c>
      <c r="X288" s="48"/>
    </row>
    <row r="289" spans="1:24" ht="16.5" customHeight="1" x14ac:dyDescent="0.15">
      <c r="A289" s="41">
        <v>15</v>
      </c>
      <c r="B289" s="41">
        <v>8809</v>
      </c>
      <c r="C289" s="74" t="s">
        <v>18784</v>
      </c>
      <c r="D289" s="72"/>
      <c r="F289" s="57"/>
      <c r="G289" s="114" t="s">
        <v>17558</v>
      </c>
      <c r="H289" s="49"/>
      <c r="I289" s="50"/>
      <c r="J289" s="163"/>
      <c r="K289" s="45"/>
      <c r="L289" s="46"/>
      <c r="M289" s="512"/>
      <c r="N289" s="57"/>
      <c r="O289" s="35"/>
      <c r="R289" s="57"/>
      <c r="S289" s="72" t="s">
        <v>17580</v>
      </c>
      <c r="V289" s="57"/>
      <c r="W289" s="208">
        <f>ROUND((ROUND((ROUND((_15_同援日６．０*_15・基礎２),0)*(1+_15・A深夜)),0)*(1+_15・区４)),0)</f>
        <v>1924</v>
      </c>
      <c r="X289" s="48"/>
    </row>
    <row r="290" spans="1:24" ht="16.5" customHeight="1" x14ac:dyDescent="0.15">
      <c r="A290" s="41">
        <v>15</v>
      </c>
      <c r="B290" s="41">
        <v>8810</v>
      </c>
      <c r="C290" s="74" t="s">
        <v>18785</v>
      </c>
      <c r="D290" s="72"/>
      <c r="F290" s="57"/>
      <c r="G290" s="269" t="s">
        <v>17560</v>
      </c>
      <c r="H290" s="37" t="s">
        <v>398</v>
      </c>
      <c r="I290" s="38">
        <v>0.9</v>
      </c>
      <c r="J290" s="299" t="s">
        <v>17556</v>
      </c>
      <c r="K290" s="45" t="s">
        <v>398</v>
      </c>
      <c r="L290" s="46">
        <v>1</v>
      </c>
      <c r="M290" s="512"/>
      <c r="N290" s="57"/>
      <c r="O290" s="43"/>
      <c r="P290" s="37"/>
      <c r="Q290" s="38"/>
      <c r="R290" s="79"/>
      <c r="S290" s="72" t="s">
        <v>17572</v>
      </c>
      <c r="V290" s="57"/>
      <c r="W290" s="208">
        <f>ROUND((ROUND((ROUND((ROUND((_15_同援日６．０*_15・基礎２),0)*_15・２人),0)*(1+_15・A深夜)),0)*(1+_15・区４)),0)</f>
        <v>1924</v>
      </c>
      <c r="X290" s="48"/>
    </row>
    <row r="291" spans="1:24" ht="16.5" customHeight="1" x14ac:dyDescent="0.15">
      <c r="A291" s="41">
        <v>15</v>
      </c>
      <c r="B291" s="41">
        <v>8811</v>
      </c>
      <c r="C291" s="74" t="s">
        <v>18786</v>
      </c>
      <c r="D291" s="72"/>
      <c r="F291" s="57"/>
      <c r="G291" s="53"/>
      <c r="H291" s="49"/>
      <c r="I291" s="50"/>
      <c r="J291" s="163"/>
      <c r="K291" s="45"/>
      <c r="L291" s="46"/>
      <c r="M291" s="512"/>
      <c r="N291" s="57"/>
      <c r="O291" s="114" t="s">
        <v>17562</v>
      </c>
      <c r="P291" s="49"/>
      <c r="Q291" s="50"/>
      <c r="R291" s="115"/>
      <c r="S291" s="35"/>
      <c r="T291" s="12" t="s">
        <v>398</v>
      </c>
      <c r="U291" s="13">
        <v>0.4</v>
      </c>
      <c r="V291" s="57" t="s">
        <v>3575</v>
      </c>
      <c r="W291" s="208">
        <f>ROUND((ROUND((ROUND((_15_同援日６．０*(1+_15・A深夜)),0)*(1+_15・盲ろう)),0)*(1+_15・区４)),0)</f>
        <v>2673</v>
      </c>
      <c r="X291" s="48"/>
    </row>
    <row r="292" spans="1:24" ht="16.5" customHeight="1" x14ac:dyDescent="0.15">
      <c r="A292" s="41">
        <v>15</v>
      </c>
      <c r="B292" s="41">
        <v>8812</v>
      </c>
      <c r="C292" s="74" t="s">
        <v>18787</v>
      </c>
      <c r="D292" s="72"/>
      <c r="F292" s="57"/>
      <c r="G292" s="43"/>
      <c r="H292" s="37"/>
      <c r="I292" s="38"/>
      <c r="J292" s="299" t="s">
        <v>17556</v>
      </c>
      <c r="K292" s="45" t="s">
        <v>398</v>
      </c>
      <c r="L292" s="46">
        <v>1</v>
      </c>
      <c r="M292" s="512"/>
      <c r="N292" s="57"/>
      <c r="O292" s="92" t="s">
        <v>17564</v>
      </c>
      <c r="R292" s="57"/>
      <c r="S292" s="35"/>
      <c r="V292" s="57"/>
      <c r="W292" s="208">
        <f>ROUND((ROUND((ROUND((ROUND((_15_同援日６．０*_15・２人),0)*(1+_15・A深夜)),0)*(1+_15・盲ろう)),0)*(1+_15・区４)),0)</f>
        <v>2673</v>
      </c>
      <c r="X292" s="48"/>
    </row>
    <row r="293" spans="1:24" ht="16.5" customHeight="1" x14ac:dyDescent="0.15">
      <c r="A293" s="41">
        <v>15</v>
      </c>
      <c r="B293" s="41">
        <v>8813</v>
      </c>
      <c r="C293" s="74" t="s">
        <v>18788</v>
      </c>
      <c r="D293" s="72"/>
      <c r="F293" s="57"/>
      <c r="G293" s="114" t="s">
        <v>17558</v>
      </c>
      <c r="H293" s="49"/>
      <c r="I293" s="50"/>
      <c r="J293" s="163"/>
      <c r="K293" s="45"/>
      <c r="L293" s="46"/>
      <c r="M293" s="512"/>
      <c r="N293" s="57"/>
      <c r="O293" s="35"/>
      <c r="P293" s="12" t="s">
        <v>398</v>
      </c>
      <c r="Q293" s="13">
        <v>0.25</v>
      </c>
      <c r="R293" s="57" t="s">
        <v>3575</v>
      </c>
      <c r="S293" s="35"/>
      <c r="V293" s="57"/>
      <c r="W293" s="208">
        <f>ROUND((ROUND((ROUND((ROUND((_15_同援日６．０*_15・基礎２),0)*(1+_15・A深夜)),0)*(1+_15・盲ろう)),0)*(1+_15・区４)),0)</f>
        <v>2405</v>
      </c>
      <c r="X293" s="48"/>
    </row>
    <row r="294" spans="1:24" ht="16.5" customHeight="1" x14ac:dyDescent="0.15">
      <c r="A294" s="41">
        <v>15</v>
      </c>
      <c r="B294" s="41">
        <v>8814</v>
      </c>
      <c r="C294" s="74" t="s">
        <v>18789</v>
      </c>
      <c r="D294" s="122"/>
      <c r="E294" s="37"/>
      <c r="F294" s="79"/>
      <c r="G294" s="269" t="s">
        <v>17560</v>
      </c>
      <c r="H294" s="37" t="s">
        <v>398</v>
      </c>
      <c r="I294" s="38">
        <v>0.9</v>
      </c>
      <c r="J294" s="299" t="s">
        <v>17556</v>
      </c>
      <c r="K294" s="45" t="s">
        <v>398</v>
      </c>
      <c r="L294" s="46">
        <v>1</v>
      </c>
      <c r="M294" s="514"/>
      <c r="N294" s="79"/>
      <c r="O294" s="43"/>
      <c r="P294" s="37"/>
      <c r="Q294" s="38"/>
      <c r="R294" s="79"/>
      <c r="S294" s="43"/>
      <c r="T294" s="37"/>
      <c r="U294" s="38"/>
      <c r="V294" s="79"/>
      <c r="W294" s="208">
        <f>ROUND((ROUND((ROUND((ROUND((ROUND((_15_同援日６．０*_15・基礎２),0)*_15・２人),0)*(1+_15・A深夜)),0)*(1+_15・盲ろう)),0)*(1+_15・区４)),0)</f>
        <v>2405</v>
      </c>
      <c r="X294" s="63"/>
    </row>
    <row r="295" spans="1:24" ht="16.5" customHeight="1" x14ac:dyDescent="0.15">
      <c r="A295" s="41">
        <v>15</v>
      </c>
      <c r="B295" s="41">
        <v>8815</v>
      </c>
      <c r="C295" s="74" t="s">
        <v>18790</v>
      </c>
      <c r="D295" s="114" t="s">
        <v>18791</v>
      </c>
      <c r="E295" s="49"/>
      <c r="F295" s="115"/>
      <c r="G295" s="53"/>
      <c r="H295" s="49"/>
      <c r="I295" s="50"/>
      <c r="J295" s="163"/>
      <c r="K295" s="45"/>
      <c r="L295" s="46"/>
      <c r="M295" s="515"/>
      <c r="N295" s="115"/>
      <c r="O295" s="53"/>
      <c r="P295" s="49"/>
      <c r="Q295" s="50"/>
      <c r="R295" s="115"/>
      <c r="S295" s="53"/>
      <c r="T295" s="49"/>
      <c r="U295" s="50"/>
      <c r="V295" s="115"/>
      <c r="W295" s="208">
        <f>ROUND((_15_同援日６．５*(1+_15・A深夜)),0)</f>
        <v>1625</v>
      </c>
      <c r="X295" s="64"/>
    </row>
    <row r="296" spans="1:24" ht="16.5" customHeight="1" x14ac:dyDescent="0.15">
      <c r="A296" s="41">
        <v>15</v>
      </c>
      <c r="B296" s="41">
        <v>8816</v>
      </c>
      <c r="C296" s="74" t="s">
        <v>18792</v>
      </c>
      <c r="D296" s="72" t="s">
        <v>17886</v>
      </c>
      <c r="F296" s="57"/>
      <c r="G296" s="43"/>
      <c r="H296" s="37"/>
      <c r="I296" s="38"/>
      <c r="J296" s="299" t="s">
        <v>17556</v>
      </c>
      <c r="K296" s="45" t="s">
        <v>398</v>
      </c>
      <c r="L296" s="46">
        <v>1</v>
      </c>
      <c r="M296" s="512"/>
      <c r="N296" s="57"/>
      <c r="O296" s="35"/>
      <c r="R296" s="57"/>
      <c r="S296" s="35"/>
      <c r="V296" s="57"/>
      <c r="W296" s="208">
        <f>ROUND((ROUND((_15_同援日６．５*_15・２人),0)*(1+_15・A深夜)),0)</f>
        <v>1625</v>
      </c>
      <c r="X296" s="48"/>
    </row>
    <row r="297" spans="1:24" ht="16.5" customHeight="1" x14ac:dyDescent="0.15">
      <c r="A297" s="41">
        <v>15</v>
      </c>
      <c r="B297" s="41">
        <v>8817</v>
      </c>
      <c r="C297" s="74" t="s">
        <v>18793</v>
      </c>
      <c r="D297" s="72" t="s">
        <v>18794</v>
      </c>
      <c r="F297" s="57"/>
      <c r="G297" s="114" t="s">
        <v>17558</v>
      </c>
      <c r="H297" s="49"/>
      <c r="I297" s="50"/>
      <c r="J297" s="163"/>
      <c r="K297" s="45"/>
      <c r="L297" s="46"/>
      <c r="M297" s="512"/>
      <c r="N297" s="57"/>
      <c r="O297" s="35"/>
      <c r="R297" s="57"/>
      <c r="S297" s="35"/>
      <c r="V297" s="57"/>
      <c r="W297" s="208">
        <f>ROUND((ROUND((_15_同援日６．５*_15・基礎２),0)*(1+_15・A深夜)),0)</f>
        <v>1463</v>
      </c>
      <c r="X297" s="48"/>
    </row>
    <row r="298" spans="1:24" ht="16.5" customHeight="1" x14ac:dyDescent="0.15">
      <c r="A298" s="41">
        <v>15</v>
      </c>
      <c r="B298" s="41">
        <v>8818</v>
      </c>
      <c r="C298" s="74" t="s">
        <v>18795</v>
      </c>
      <c r="D298" s="72"/>
      <c r="E298" s="168">
        <f>_15_同援日６．５</f>
        <v>1083</v>
      </c>
      <c r="F298" s="57" t="s">
        <v>392</v>
      </c>
      <c r="G298" s="269" t="s">
        <v>17560</v>
      </c>
      <c r="H298" s="37" t="s">
        <v>398</v>
      </c>
      <c r="I298" s="38">
        <v>0.9</v>
      </c>
      <c r="J298" s="299" t="s">
        <v>17556</v>
      </c>
      <c r="K298" s="45" t="s">
        <v>398</v>
      </c>
      <c r="L298" s="46">
        <v>1</v>
      </c>
      <c r="M298" s="512"/>
      <c r="N298" s="57"/>
      <c r="O298" s="43"/>
      <c r="P298" s="37"/>
      <c r="Q298" s="38"/>
      <c r="R298" s="79"/>
      <c r="S298" s="35"/>
      <c r="V298" s="57"/>
      <c r="W298" s="208">
        <f>ROUND((ROUND((ROUND((_15_同援日６．５*_15・基礎２),0)*_15・２人),0)*(1+_15・A深夜)),0)</f>
        <v>1463</v>
      </c>
      <c r="X298" s="48"/>
    </row>
    <row r="299" spans="1:24" ht="16.5" customHeight="1" x14ac:dyDescent="0.15">
      <c r="A299" s="41">
        <v>15</v>
      </c>
      <c r="B299" s="41">
        <v>8819</v>
      </c>
      <c r="C299" s="74" t="s">
        <v>18796</v>
      </c>
      <c r="D299" s="72"/>
      <c r="F299" s="57"/>
      <c r="G299" s="53"/>
      <c r="H299" s="49"/>
      <c r="I299" s="50"/>
      <c r="J299" s="163"/>
      <c r="K299" s="45"/>
      <c r="L299" s="46"/>
      <c r="M299" s="512"/>
      <c r="N299" s="57"/>
      <c r="O299" s="114" t="s">
        <v>17562</v>
      </c>
      <c r="P299" s="49"/>
      <c r="Q299" s="50"/>
      <c r="R299" s="115"/>
      <c r="S299" s="35"/>
      <c r="V299" s="57"/>
      <c r="W299" s="208">
        <f>ROUND((ROUND((_15_同援日６．５*(1+_15・A深夜)),0)*(1+_15・盲ろう)),0)</f>
        <v>2031</v>
      </c>
      <c r="X299" s="48"/>
    </row>
    <row r="300" spans="1:24" ht="16.5" customHeight="1" x14ac:dyDescent="0.15">
      <c r="A300" s="41">
        <v>15</v>
      </c>
      <c r="B300" s="41">
        <v>8820</v>
      </c>
      <c r="C300" s="74" t="s">
        <v>18797</v>
      </c>
      <c r="D300" s="72"/>
      <c r="F300" s="57"/>
      <c r="G300" s="43"/>
      <c r="H300" s="37"/>
      <c r="I300" s="38"/>
      <c r="J300" s="299" t="s">
        <v>17556</v>
      </c>
      <c r="K300" s="45" t="s">
        <v>398</v>
      </c>
      <c r="L300" s="46">
        <v>1</v>
      </c>
      <c r="M300" s="512"/>
      <c r="N300" s="57"/>
      <c r="O300" s="92" t="s">
        <v>17564</v>
      </c>
      <c r="R300" s="57"/>
      <c r="S300" s="35"/>
      <c r="V300" s="57"/>
      <c r="W300" s="208">
        <f>ROUND((ROUND((ROUND((_15_同援日６．５*_15・２人),0)*(1+_15・A深夜)),0)*(1+_15・盲ろう)),0)</f>
        <v>2031</v>
      </c>
      <c r="X300" s="48"/>
    </row>
    <row r="301" spans="1:24" ht="16.5" customHeight="1" x14ac:dyDescent="0.15">
      <c r="A301" s="41">
        <v>15</v>
      </c>
      <c r="B301" s="41">
        <v>8821</v>
      </c>
      <c r="C301" s="74" t="s">
        <v>18798</v>
      </c>
      <c r="D301" s="72"/>
      <c r="F301" s="57"/>
      <c r="G301" s="114" t="s">
        <v>17558</v>
      </c>
      <c r="H301" s="49"/>
      <c r="I301" s="50"/>
      <c r="J301" s="163"/>
      <c r="K301" s="45"/>
      <c r="L301" s="46"/>
      <c r="M301" s="512"/>
      <c r="N301" s="57"/>
      <c r="O301" s="35"/>
      <c r="P301" s="12" t="s">
        <v>398</v>
      </c>
      <c r="Q301" s="13">
        <v>0.25</v>
      </c>
      <c r="R301" s="57" t="s">
        <v>3575</v>
      </c>
      <c r="S301" s="35"/>
      <c r="V301" s="57"/>
      <c r="W301" s="208">
        <f>ROUND((ROUND((ROUND((_15_同援日６．５*_15・基礎２),0)*(1+_15・A深夜)),0)*(1+_15・盲ろう)),0)</f>
        <v>1829</v>
      </c>
      <c r="X301" s="48"/>
    </row>
    <row r="302" spans="1:24" ht="16.5" customHeight="1" x14ac:dyDescent="0.15">
      <c r="A302" s="41">
        <v>15</v>
      </c>
      <c r="B302" s="41">
        <v>8822</v>
      </c>
      <c r="C302" s="74" t="s">
        <v>18799</v>
      </c>
      <c r="D302" s="72"/>
      <c r="F302" s="57"/>
      <c r="G302" s="269" t="s">
        <v>17560</v>
      </c>
      <c r="H302" s="37" t="s">
        <v>398</v>
      </c>
      <c r="I302" s="38">
        <v>0.9</v>
      </c>
      <c r="J302" s="299" t="s">
        <v>17556</v>
      </c>
      <c r="K302" s="45" t="s">
        <v>398</v>
      </c>
      <c r="L302" s="46">
        <v>1</v>
      </c>
      <c r="M302" s="512"/>
      <c r="N302" s="57"/>
      <c r="O302" s="43"/>
      <c r="P302" s="37"/>
      <c r="Q302" s="38"/>
      <c r="R302" s="79"/>
      <c r="S302" s="43"/>
      <c r="T302" s="37"/>
      <c r="U302" s="38"/>
      <c r="V302" s="79"/>
      <c r="W302" s="208">
        <f>ROUND((ROUND((ROUND((ROUND((_15_同援日６．５*_15・基礎２),0)*_15・２人),0)*(1+_15・A深夜)),0)*(1+_15・盲ろう)),0)</f>
        <v>1829</v>
      </c>
      <c r="X302" s="48"/>
    </row>
    <row r="303" spans="1:24" ht="16.5" customHeight="1" x14ac:dyDescent="0.15">
      <c r="A303" s="41">
        <v>15</v>
      </c>
      <c r="B303" s="41">
        <v>8823</v>
      </c>
      <c r="C303" s="74" t="s">
        <v>18800</v>
      </c>
      <c r="D303" s="72"/>
      <c r="F303" s="57"/>
      <c r="G303" s="53"/>
      <c r="H303" s="49"/>
      <c r="I303" s="50"/>
      <c r="J303" s="163"/>
      <c r="K303" s="45"/>
      <c r="L303" s="46"/>
      <c r="M303" s="512"/>
      <c r="N303" s="57"/>
      <c r="O303" s="53"/>
      <c r="P303" s="49"/>
      <c r="Q303" s="50"/>
      <c r="R303" s="115"/>
      <c r="S303" s="53"/>
      <c r="T303" s="49"/>
      <c r="U303" s="50"/>
      <c r="V303" s="115"/>
      <c r="W303" s="208">
        <f>ROUND((ROUND((_15_同援日６．５*(1+_15・A深夜)),0)*(1+_15・区３)),0)</f>
        <v>1950</v>
      </c>
      <c r="X303" s="48"/>
    </row>
    <row r="304" spans="1:24" ht="16.5" customHeight="1" x14ac:dyDescent="0.15">
      <c r="A304" s="41">
        <v>15</v>
      </c>
      <c r="B304" s="41">
        <v>8824</v>
      </c>
      <c r="C304" s="74" t="s">
        <v>18801</v>
      </c>
      <c r="D304" s="72"/>
      <c r="F304" s="57"/>
      <c r="G304" s="43"/>
      <c r="H304" s="37"/>
      <c r="I304" s="38"/>
      <c r="J304" s="299" t="s">
        <v>17556</v>
      </c>
      <c r="K304" s="45" t="s">
        <v>398</v>
      </c>
      <c r="L304" s="46">
        <v>1</v>
      </c>
      <c r="M304" s="512"/>
      <c r="N304" s="57"/>
      <c r="O304" s="35"/>
      <c r="R304" s="57"/>
      <c r="S304" s="35"/>
      <c r="V304" s="57"/>
      <c r="W304" s="208">
        <f>ROUND((ROUND((ROUND((_15_同援日６．５*_15・２人),0)*(1+_15・A深夜)),0)*(1+_15・区３)),0)</f>
        <v>1950</v>
      </c>
      <c r="X304" s="48"/>
    </row>
    <row r="305" spans="1:24" ht="16.5" customHeight="1" x14ac:dyDescent="0.15">
      <c r="A305" s="41">
        <v>15</v>
      </c>
      <c r="B305" s="41">
        <v>8825</v>
      </c>
      <c r="C305" s="74" t="s">
        <v>18802</v>
      </c>
      <c r="D305" s="72"/>
      <c r="F305" s="57"/>
      <c r="G305" s="114" t="s">
        <v>17558</v>
      </c>
      <c r="H305" s="49"/>
      <c r="I305" s="50"/>
      <c r="J305" s="163"/>
      <c r="K305" s="45"/>
      <c r="L305" s="46"/>
      <c r="M305" s="512"/>
      <c r="N305" s="57"/>
      <c r="O305" s="35"/>
      <c r="R305" s="57"/>
      <c r="S305" s="72" t="s">
        <v>17570</v>
      </c>
      <c r="V305" s="57"/>
      <c r="W305" s="208">
        <f>ROUND((ROUND((ROUND((_15_同援日６．５*_15・基礎２),0)*(1+_15・A深夜)),0)*(1+_15・区３)),0)</f>
        <v>1756</v>
      </c>
      <c r="X305" s="48"/>
    </row>
    <row r="306" spans="1:24" ht="16.5" customHeight="1" x14ac:dyDescent="0.15">
      <c r="A306" s="41">
        <v>15</v>
      </c>
      <c r="B306" s="41">
        <v>8826</v>
      </c>
      <c r="C306" s="74" t="s">
        <v>18803</v>
      </c>
      <c r="D306" s="72"/>
      <c r="F306" s="57"/>
      <c r="G306" s="269" t="s">
        <v>17560</v>
      </c>
      <c r="H306" s="37" t="s">
        <v>398</v>
      </c>
      <c r="I306" s="38">
        <v>0.9</v>
      </c>
      <c r="J306" s="299" t="s">
        <v>17556</v>
      </c>
      <c r="K306" s="45" t="s">
        <v>398</v>
      </c>
      <c r="L306" s="46">
        <v>1</v>
      </c>
      <c r="M306" s="512"/>
      <c r="N306" s="57"/>
      <c r="O306" s="43"/>
      <c r="P306" s="37"/>
      <c r="Q306" s="38"/>
      <c r="R306" s="79"/>
      <c r="S306" s="72" t="s">
        <v>17572</v>
      </c>
      <c r="V306" s="57"/>
      <c r="W306" s="208">
        <f>ROUND((ROUND((ROUND((ROUND((_15_同援日６．５*_15・基礎２),0)*_15・２人),0)*(1+_15・A深夜)),0)*(1+_15・区３)),0)</f>
        <v>1756</v>
      </c>
      <c r="X306" s="48"/>
    </row>
    <row r="307" spans="1:24" ht="16.5" customHeight="1" x14ac:dyDescent="0.15">
      <c r="A307" s="41">
        <v>15</v>
      </c>
      <c r="B307" s="41">
        <v>8827</v>
      </c>
      <c r="C307" s="74" t="s">
        <v>18804</v>
      </c>
      <c r="D307" s="72"/>
      <c r="F307" s="57"/>
      <c r="G307" s="53"/>
      <c r="H307" s="49"/>
      <c r="I307" s="50"/>
      <c r="J307" s="163"/>
      <c r="K307" s="45"/>
      <c r="L307" s="46"/>
      <c r="M307" s="512"/>
      <c r="N307" s="57"/>
      <c r="O307" s="114" t="s">
        <v>17562</v>
      </c>
      <c r="P307" s="49"/>
      <c r="Q307" s="50"/>
      <c r="R307" s="115"/>
      <c r="S307" s="35"/>
      <c r="T307" s="12" t="s">
        <v>398</v>
      </c>
      <c r="U307" s="13">
        <v>0.2</v>
      </c>
      <c r="V307" s="57" t="s">
        <v>3575</v>
      </c>
      <c r="W307" s="208">
        <f>ROUND((ROUND((ROUND((_15_同援日６．５*(1+_15・A深夜)),0)*(1+_15・盲ろう)),0)*(1+_15・区３)),0)</f>
        <v>2437</v>
      </c>
      <c r="X307" s="48"/>
    </row>
    <row r="308" spans="1:24" ht="16.5" customHeight="1" x14ac:dyDescent="0.15">
      <c r="A308" s="41">
        <v>15</v>
      </c>
      <c r="B308" s="41">
        <v>8828</v>
      </c>
      <c r="C308" s="74" t="s">
        <v>18805</v>
      </c>
      <c r="D308" s="72"/>
      <c r="F308" s="57"/>
      <c r="G308" s="43"/>
      <c r="H308" s="37"/>
      <c r="I308" s="38"/>
      <c r="J308" s="299" t="s">
        <v>17556</v>
      </c>
      <c r="K308" s="45" t="s">
        <v>398</v>
      </c>
      <c r="L308" s="46">
        <v>1</v>
      </c>
      <c r="M308" s="512"/>
      <c r="N308" s="57"/>
      <c r="O308" s="92" t="s">
        <v>17564</v>
      </c>
      <c r="R308" s="57"/>
      <c r="S308" s="35"/>
      <c r="V308" s="57"/>
      <c r="W308" s="208">
        <f>ROUND((ROUND((ROUND((ROUND((_15_同援日６．５*_15・２人),0)*(1+_15・A深夜)),0)*(1+_15・盲ろう)),0)*(1+_15・区３)),0)</f>
        <v>2437</v>
      </c>
      <c r="X308" s="48"/>
    </row>
    <row r="309" spans="1:24" ht="16.5" customHeight="1" x14ac:dyDescent="0.15">
      <c r="A309" s="41">
        <v>15</v>
      </c>
      <c r="B309" s="41">
        <v>8829</v>
      </c>
      <c r="C309" s="74" t="s">
        <v>18806</v>
      </c>
      <c r="D309" s="72"/>
      <c r="F309" s="57"/>
      <c r="G309" s="114" t="s">
        <v>17558</v>
      </c>
      <c r="H309" s="49"/>
      <c r="I309" s="50"/>
      <c r="J309" s="163"/>
      <c r="K309" s="45"/>
      <c r="L309" s="46"/>
      <c r="M309" s="512"/>
      <c r="N309" s="57"/>
      <c r="O309" s="35"/>
      <c r="P309" s="12" t="s">
        <v>398</v>
      </c>
      <c r="Q309" s="13">
        <v>0.25</v>
      </c>
      <c r="R309" s="57" t="s">
        <v>3575</v>
      </c>
      <c r="S309" s="35"/>
      <c r="V309" s="57"/>
      <c r="W309" s="208">
        <f>ROUND((ROUND((ROUND((ROUND((_15_同援日６．５*_15・基礎２),0)*(1+_15・A深夜)),0)*(1+_15・盲ろう)),0)*(1+_15・区３)),0)</f>
        <v>2195</v>
      </c>
      <c r="X309" s="48"/>
    </row>
    <row r="310" spans="1:24" ht="16.5" customHeight="1" x14ac:dyDescent="0.15">
      <c r="A310" s="41">
        <v>15</v>
      </c>
      <c r="B310" s="41">
        <v>8830</v>
      </c>
      <c r="C310" s="74" t="s">
        <v>18807</v>
      </c>
      <c r="D310" s="72"/>
      <c r="F310" s="57"/>
      <c r="G310" s="269" t="s">
        <v>17560</v>
      </c>
      <c r="H310" s="37" t="s">
        <v>398</v>
      </c>
      <c r="I310" s="38">
        <v>0.9</v>
      </c>
      <c r="J310" s="299" t="s">
        <v>17556</v>
      </c>
      <c r="K310" s="45" t="s">
        <v>398</v>
      </c>
      <c r="L310" s="46">
        <v>1</v>
      </c>
      <c r="M310" s="512"/>
      <c r="N310" s="57"/>
      <c r="O310" s="43"/>
      <c r="P310" s="37"/>
      <c r="Q310" s="38"/>
      <c r="R310" s="79"/>
      <c r="S310" s="43"/>
      <c r="T310" s="37"/>
      <c r="U310" s="38"/>
      <c r="V310" s="79"/>
      <c r="W310" s="208">
        <f>ROUND((ROUND((ROUND((ROUND((ROUND((_15_同援日６．５*_15・基礎２),0)*_15・２人),0)*(1+_15・A深夜)),0)*(1+_15・盲ろう)),0)*(1+_15・区３)),0)</f>
        <v>2195</v>
      </c>
      <c r="X310" s="48"/>
    </row>
    <row r="311" spans="1:24" ht="16.5" customHeight="1" x14ac:dyDescent="0.15">
      <c r="A311" s="41">
        <v>15</v>
      </c>
      <c r="B311" s="41">
        <v>8831</v>
      </c>
      <c r="C311" s="74" t="s">
        <v>18808</v>
      </c>
      <c r="D311" s="72"/>
      <c r="F311" s="57"/>
      <c r="G311" s="53"/>
      <c r="H311" s="49"/>
      <c r="I311" s="50"/>
      <c r="J311" s="163"/>
      <c r="K311" s="45"/>
      <c r="L311" s="46"/>
      <c r="M311" s="512"/>
      <c r="N311" s="57"/>
      <c r="O311" s="53"/>
      <c r="P311" s="49"/>
      <c r="Q311" s="50"/>
      <c r="R311" s="115"/>
      <c r="S311" s="53"/>
      <c r="T311" s="49"/>
      <c r="U311" s="50"/>
      <c r="V311" s="115"/>
      <c r="W311" s="208">
        <f>ROUND((ROUND((_15_同援日６．５*(1+_15・A深夜)),0)*(1+_15・区４)),0)</f>
        <v>2275</v>
      </c>
      <c r="X311" s="48"/>
    </row>
    <row r="312" spans="1:24" ht="16.5" customHeight="1" x14ac:dyDescent="0.15">
      <c r="A312" s="41">
        <v>15</v>
      </c>
      <c r="B312" s="41">
        <v>8832</v>
      </c>
      <c r="C312" s="74" t="s">
        <v>18809</v>
      </c>
      <c r="D312" s="72"/>
      <c r="F312" s="57"/>
      <c r="G312" s="43"/>
      <c r="H312" s="37"/>
      <c r="I312" s="38"/>
      <c r="J312" s="299" t="s">
        <v>17556</v>
      </c>
      <c r="K312" s="45" t="s">
        <v>398</v>
      </c>
      <c r="L312" s="46">
        <v>1</v>
      </c>
      <c r="M312" s="512"/>
      <c r="N312" s="57"/>
      <c r="O312" s="35"/>
      <c r="R312" s="57"/>
      <c r="S312" s="35"/>
      <c r="V312" s="57"/>
      <c r="W312" s="208">
        <f>ROUND((ROUND((ROUND((_15_同援日６．５*_15・２人),0)*(1+_15・A深夜)),0)*(1+_15・区４)),0)</f>
        <v>2275</v>
      </c>
      <c r="X312" s="48"/>
    </row>
    <row r="313" spans="1:24" ht="16.5" customHeight="1" x14ac:dyDescent="0.15">
      <c r="A313" s="41">
        <v>15</v>
      </c>
      <c r="B313" s="41">
        <v>8833</v>
      </c>
      <c r="C313" s="74" t="s">
        <v>18810</v>
      </c>
      <c r="D313" s="72"/>
      <c r="F313" s="57"/>
      <c r="G313" s="114" t="s">
        <v>17558</v>
      </c>
      <c r="H313" s="49"/>
      <c r="I313" s="50"/>
      <c r="J313" s="163"/>
      <c r="K313" s="45"/>
      <c r="L313" s="46"/>
      <c r="M313" s="512"/>
      <c r="N313" s="57"/>
      <c r="O313" s="35"/>
      <c r="R313" s="57"/>
      <c r="S313" s="72" t="s">
        <v>17580</v>
      </c>
      <c r="V313" s="57"/>
      <c r="W313" s="208">
        <f>ROUND((ROUND((ROUND((_15_同援日６．５*_15・基礎２),0)*(1+_15・A深夜)),0)*(1+_15・区４)),0)</f>
        <v>2048</v>
      </c>
      <c r="X313" s="48"/>
    </row>
    <row r="314" spans="1:24" ht="16.5" customHeight="1" x14ac:dyDescent="0.15">
      <c r="A314" s="41">
        <v>15</v>
      </c>
      <c r="B314" s="41">
        <v>8834</v>
      </c>
      <c r="C314" s="74" t="s">
        <v>18811</v>
      </c>
      <c r="D314" s="72"/>
      <c r="F314" s="57"/>
      <c r="G314" s="269" t="s">
        <v>17560</v>
      </c>
      <c r="H314" s="37" t="s">
        <v>398</v>
      </c>
      <c r="I314" s="38">
        <v>0.9</v>
      </c>
      <c r="J314" s="299" t="s">
        <v>17556</v>
      </c>
      <c r="K314" s="45" t="s">
        <v>398</v>
      </c>
      <c r="L314" s="46">
        <v>1</v>
      </c>
      <c r="M314" s="512"/>
      <c r="N314" s="57"/>
      <c r="O314" s="43"/>
      <c r="P314" s="37"/>
      <c r="Q314" s="38"/>
      <c r="R314" s="79"/>
      <c r="S314" s="72" t="s">
        <v>17572</v>
      </c>
      <c r="V314" s="57"/>
      <c r="W314" s="208">
        <f>ROUND((ROUND((ROUND((ROUND((_15_同援日６．５*_15・基礎２),0)*_15・２人),0)*(1+_15・A深夜)),0)*(1+_15・区４)),0)</f>
        <v>2048</v>
      </c>
      <c r="X314" s="48"/>
    </row>
    <row r="315" spans="1:24" ht="16.5" customHeight="1" x14ac:dyDescent="0.15">
      <c r="A315" s="41">
        <v>15</v>
      </c>
      <c r="B315" s="41">
        <v>8835</v>
      </c>
      <c r="C315" s="74" t="s">
        <v>18812</v>
      </c>
      <c r="D315" s="72"/>
      <c r="F315" s="57"/>
      <c r="G315" s="53"/>
      <c r="H315" s="49"/>
      <c r="I315" s="50"/>
      <c r="J315" s="163"/>
      <c r="K315" s="45"/>
      <c r="L315" s="46"/>
      <c r="M315" s="512"/>
      <c r="N315" s="57"/>
      <c r="O315" s="114" t="s">
        <v>17562</v>
      </c>
      <c r="P315" s="49"/>
      <c r="Q315" s="50"/>
      <c r="R315" s="115"/>
      <c r="S315" s="35"/>
      <c r="T315" s="12" t="s">
        <v>398</v>
      </c>
      <c r="U315" s="13">
        <v>0.4</v>
      </c>
      <c r="V315" s="57" t="s">
        <v>3575</v>
      </c>
      <c r="W315" s="208">
        <f>ROUND((ROUND((ROUND((_15_同援日６．５*(1+_15・A深夜)),0)*(1+_15・盲ろう)),0)*(1+_15・区４)),0)</f>
        <v>2843</v>
      </c>
      <c r="X315" s="48"/>
    </row>
    <row r="316" spans="1:24" ht="16.5" customHeight="1" x14ac:dyDescent="0.15">
      <c r="A316" s="41">
        <v>15</v>
      </c>
      <c r="B316" s="41">
        <v>8836</v>
      </c>
      <c r="C316" s="74" t="s">
        <v>18813</v>
      </c>
      <c r="D316" s="72"/>
      <c r="F316" s="57"/>
      <c r="G316" s="43"/>
      <c r="H316" s="37"/>
      <c r="I316" s="38"/>
      <c r="J316" s="299" t="s">
        <v>17556</v>
      </c>
      <c r="K316" s="45" t="s">
        <v>398</v>
      </c>
      <c r="L316" s="46">
        <v>1</v>
      </c>
      <c r="M316" s="512"/>
      <c r="N316" s="57"/>
      <c r="O316" s="92" t="s">
        <v>17564</v>
      </c>
      <c r="R316" s="57"/>
      <c r="S316" s="35"/>
      <c r="V316" s="57"/>
      <c r="W316" s="208">
        <f>ROUND((ROUND((ROUND((ROUND((_15_同援日６．５*_15・２人),0)*(1+_15・A深夜)),0)*(1+_15・盲ろう)),0)*(1+_15・区４)),0)</f>
        <v>2843</v>
      </c>
      <c r="X316" s="48"/>
    </row>
    <row r="317" spans="1:24" ht="16.5" customHeight="1" x14ac:dyDescent="0.15">
      <c r="A317" s="41">
        <v>15</v>
      </c>
      <c r="B317" s="41">
        <v>8837</v>
      </c>
      <c r="C317" s="74" t="s">
        <v>18814</v>
      </c>
      <c r="D317" s="72"/>
      <c r="F317" s="57"/>
      <c r="G317" s="114" t="s">
        <v>17558</v>
      </c>
      <c r="H317" s="49"/>
      <c r="I317" s="50"/>
      <c r="J317" s="163"/>
      <c r="K317" s="45"/>
      <c r="L317" s="46"/>
      <c r="M317" s="512"/>
      <c r="N317" s="57"/>
      <c r="O317" s="35"/>
      <c r="P317" s="12" t="s">
        <v>398</v>
      </c>
      <c r="Q317" s="13">
        <v>0.25</v>
      </c>
      <c r="R317" s="57" t="s">
        <v>3575</v>
      </c>
      <c r="S317" s="35"/>
      <c r="V317" s="57"/>
      <c r="W317" s="208">
        <f>ROUND((ROUND((ROUND((ROUND((_15_同援日６．５*_15・基礎２),0)*(1+_15・A深夜)),0)*(1+_15・盲ろう)),0)*(1+_15・区４)),0)</f>
        <v>2561</v>
      </c>
      <c r="X317" s="48"/>
    </row>
    <row r="318" spans="1:24" ht="16.5" customHeight="1" x14ac:dyDescent="0.15">
      <c r="A318" s="41">
        <v>15</v>
      </c>
      <c r="B318" s="41">
        <v>8838</v>
      </c>
      <c r="C318" s="74" t="s">
        <v>18815</v>
      </c>
      <c r="D318" s="122"/>
      <c r="E318" s="37"/>
      <c r="F318" s="79"/>
      <c r="G318" s="269" t="s">
        <v>17560</v>
      </c>
      <c r="H318" s="37" t="s">
        <v>398</v>
      </c>
      <c r="I318" s="38">
        <v>0.9</v>
      </c>
      <c r="J318" s="299" t="s">
        <v>17556</v>
      </c>
      <c r="K318" s="45" t="s">
        <v>398</v>
      </c>
      <c r="L318" s="46">
        <v>1</v>
      </c>
      <c r="M318" s="514"/>
      <c r="N318" s="79"/>
      <c r="O318" s="43"/>
      <c r="P318" s="37"/>
      <c r="Q318" s="38"/>
      <c r="R318" s="79"/>
      <c r="S318" s="43"/>
      <c r="T318" s="37"/>
      <c r="U318" s="38"/>
      <c r="V318" s="79"/>
      <c r="W318" s="208">
        <f>ROUND((ROUND((ROUND((ROUND((ROUND((_15_同援日６．５*_15・基礎２),0)*_15・２人),0)*(1+_15・A深夜)),0)*(1+_15・盲ろう)),0)*(1+_15・区４)),0)</f>
        <v>2561</v>
      </c>
      <c r="X318" s="63"/>
    </row>
    <row r="319" spans="1:24" ht="16.5" customHeight="1" x14ac:dyDescent="0.15"/>
    <row r="320" spans="1:24"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45" fitToHeight="0" orientation="portrait" r:id="rId1"/>
  <headerFooter>
    <oddHeader>&amp;R&amp;"ＭＳ Ｐゴシック"&amp;9同行援護</oddHeader>
    <oddFooter>&amp;C&amp;"ＭＳ Ｐゴシック"&amp;14&amp;P</oddFooter>
  </headerFooter>
  <rowBreaks count="3" manualBreakCount="3">
    <brk id="102" max="16383" man="1"/>
    <brk id="198" max="16383" man="1"/>
    <brk id="294"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4">
    <pageSetUpPr fitToPage="1"/>
  </sheetPr>
  <dimension ref="A1:AC368"/>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5.5" style="10" customWidth="1"/>
    <col min="5" max="5" width="4.125" style="12" bestFit="1" customWidth="1"/>
    <col min="6" max="6" width="4.875" style="12" bestFit="1" customWidth="1"/>
    <col min="7" max="7" width="5.5" style="10" customWidth="1"/>
    <col min="8" max="8" width="4.125" style="12" bestFit="1" customWidth="1"/>
    <col min="9" max="9" width="4.875" style="12" bestFit="1" customWidth="1"/>
    <col min="10" max="10" width="14.5" style="12" customWidth="1"/>
    <col min="11" max="11" width="3.125" style="12" bestFit="1" customWidth="1"/>
    <col min="12" max="12" width="4.125" style="13" bestFit="1" customWidth="1"/>
    <col min="13" max="13" width="26.5" style="12" customWidth="1"/>
    <col min="14" max="14" width="3.125" style="12" bestFit="1" customWidth="1"/>
    <col min="15" max="15" width="5" style="13" bestFit="1" customWidth="1"/>
    <col min="16" max="16" width="4.125" style="13" bestFit="1" customWidth="1"/>
    <col min="17" max="17" width="4.875" style="12" bestFit="1" customWidth="1"/>
    <col min="18" max="18" width="4.125" style="13" bestFit="1" customWidth="1"/>
    <col min="19" max="19" width="4.875" style="12" bestFit="1" customWidth="1"/>
    <col min="20" max="20" width="10.5" style="12" customWidth="1"/>
    <col min="21" max="21" width="3.125" style="12" bestFit="1" customWidth="1"/>
    <col min="22" max="22" width="4.125" style="13" bestFit="1" customWidth="1"/>
    <col min="23" max="23" width="4.875" style="12" customWidth="1"/>
    <col min="24" max="24" width="8.5" style="12" customWidth="1"/>
    <col min="25" max="25" width="3.125" style="12" bestFit="1" customWidth="1"/>
    <col min="26" max="26" width="4.125" style="13" bestFit="1" customWidth="1"/>
    <col min="27" max="27" width="4.875" style="12" bestFit="1" customWidth="1"/>
    <col min="28" max="28" width="7.125" style="206" customWidth="1"/>
    <col min="29" max="29" width="8.5" style="16" customWidth="1"/>
    <col min="30" max="16384" width="9" style="12"/>
  </cols>
  <sheetData>
    <row r="1" spans="1:29" ht="17.100000000000001" customHeight="1" x14ac:dyDescent="0.15"/>
    <row r="2" spans="1:29" ht="17.100000000000001" customHeight="1" x14ac:dyDescent="0.15"/>
    <row r="3" spans="1:29" ht="17.100000000000001" customHeight="1" x14ac:dyDescent="0.15"/>
    <row r="4" spans="1:29" ht="17.100000000000001" customHeight="1" x14ac:dyDescent="0.15">
      <c r="B4" s="17" t="s">
        <v>18816</v>
      </c>
      <c r="D4" s="71"/>
    </row>
    <row r="5" spans="1:29" ht="16.5" customHeight="1" x14ac:dyDescent="0.15">
      <c r="A5" s="19" t="s">
        <v>384</v>
      </c>
      <c r="B5" s="20"/>
      <c r="C5" s="21" t="s">
        <v>385</v>
      </c>
      <c r="D5" s="23" t="s">
        <v>386</v>
      </c>
      <c r="E5" s="23"/>
      <c r="F5" s="23"/>
      <c r="G5" s="23"/>
      <c r="H5" s="23"/>
      <c r="I5" s="23"/>
      <c r="J5" s="23"/>
      <c r="K5" s="23"/>
      <c r="L5" s="24"/>
      <c r="M5" s="23"/>
      <c r="N5" s="23"/>
      <c r="O5" s="24"/>
      <c r="P5" s="24"/>
      <c r="Q5" s="23"/>
      <c r="R5" s="24"/>
      <c r="S5" s="23"/>
      <c r="T5" s="23"/>
      <c r="U5" s="23"/>
      <c r="V5" s="24"/>
      <c r="W5" s="23"/>
      <c r="X5" s="23"/>
      <c r="Y5" s="23"/>
      <c r="Z5" s="24"/>
      <c r="AA5" s="23"/>
      <c r="AB5" s="21" t="s">
        <v>387</v>
      </c>
      <c r="AC5" s="21" t="s">
        <v>388</v>
      </c>
    </row>
    <row r="6" spans="1:29" ht="16.5" customHeight="1" x14ac:dyDescent="0.15">
      <c r="A6" s="26" t="s">
        <v>389</v>
      </c>
      <c r="B6" s="26" t="s">
        <v>390</v>
      </c>
      <c r="C6" s="27"/>
      <c r="D6" s="87" t="s">
        <v>1032</v>
      </c>
      <c r="E6" s="187"/>
      <c r="F6" s="20"/>
      <c r="G6" s="87" t="s">
        <v>18817</v>
      </c>
      <c r="H6" s="187"/>
      <c r="I6" s="20"/>
      <c r="J6" s="29"/>
      <c r="K6" s="29"/>
      <c r="L6" s="30"/>
      <c r="M6" s="29"/>
      <c r="N6" s="29"/>
      <c r="O6" s="30"/>
      <c r="P6" s="30"/>
      <c r="Q6" s="29"/>
      <c r="R6" s="30"/>
      <c r="S6" s="29"/>
      <c r="T6" s="29"/>
      <c r="U6" s="29"/>
      <c r="V6" s="30"/>
      <c r="W6" s="29"/>
      <c r="X6" s="29"/>
      <c r="Y6" s="29"/>
      <c r="Z6" s="30"/>
      <c r="AA6" s="29"/>
      <c r="AB6" s="32" t="s">
        <v>391</v>
      </c>
      <c r="AC6" s="32" t="s">
        <v>392</v>
      </c>
    </row>
    <row r="7" spans="1:29" ht="16.5" customHeight="1" x14ac:dyDescent="0.15">
      <c r="A7" s="33">
        <v>15</v>
      </c>
      <c r="B7" s="33">
        <v>8839</v>
      </c>
      <c r="C7" s="34" t="s">
        <v>18818</v>
      </c>
      <c r="D7" s="72" t="s">
        <v>18487</v>
      </c>
      <c r="F7" s="57"/>
      <c r="G7" s="72" t="s">
        <v>18819</v>
      </c>
      <c r="I7" s="57"/>
      <c r="J7" s="35"/>
      <c r="M7" s="43"/>
      <c r="N7" s="37"/>
      <c r="O7" s="38"/>
      <c r="P7" s="512"/>
      <c r="Q7" s="57"/>
      <c r="R7" s="512"/>
      <c r="S7" s="57"/>
      <c r="T7" s="35"/>
      <c r="W7" s="57"/>
      <c r="X7" s="35"/>
      <c r="AA7" s="57"/>
      <c r="AB7" s="207">
        <f>ROUND((_15_同援日０．５*(1+_15・A深夜)),0)+ROUND((_15_同援日０．５＿０．５*(1+_15・B早朝)),0)</f>
        <v>423</v>
      </c>
      <c r="AC7" s="40" t="s">
        <v>395</v>
      </c>
    </row>
    <row r="8" spans="1:29" ht="16.5" customHeight="1" x14ac:dyDescent="0.15">
      <c r="A8" s="41">
        <v>15</v>
      </c>
      <c r="B8" s="41">
        <v>8840</v>
      </c>
      <c r="C8" s="74" t="s">
        <v>18820</v>
      </c>
      <c r="D8" s="72" t="s">
        <v>18259</v>
      </c>
      <c r="F8" s="57"/>
      <c r="G8" s="72" t="s">
        <v>18259</v>
      </c>
      <c r="I8" s="57"/>
      <c r="J8" s="43"/>
      <c r="K8" s="37"/>
      <c r="L8" s="38"/>
      <c r="M8" s="299" t="s">
        <v>17556</v>
      </c>
      <c r="N8" s="45" t="s">
        <v>398</v>
      </c>
      <c r="O8" s="46">
        <v>1</v>
      </c>
      <c r="P8" s="512"/>
      <c r="Q8" s="57"/>
      <c r="R8" s="512"/>
      <c r="S8" s="57"/>
      <c r="T8" s="35"/>
      <c r="W8" s="57"/>
      <c r="X8" s="35"/>
      <c r="AA8" s="57"/>
      <c r="AB8" s="208">
        <f>ROUND((ROUND((_15_同援日０．５*_15・２人),0)*(1+_15・A深夜)),0)+ROUND((ROUND((_15_同援日０．５＿０．５*_15・２人),0)*(1+_15・B早朝)),0)</f>
        <v>423</v>
      </c>
      <c r="AC8" s="48"/>
    </row>
    <row r="9" spans="1:29" ht="16.5" customHeight="1" x14ac:dyDescent="0.15">
      <c r="A9" s="41">
        <v>15</v>
      </c>
      <c r="B9" s="41">
        <v>8841</v>
      </c>
      <c r="C9" s="74" t="s">
        <v>18821</v>
      </c>
      <c r="D9" s="72"/>
      <c r="F9" s="57"/>
      <c r="G9" s="72"/>
      <c r="I9" s="57"/>
      <c r="J9" s="114" t="s">
        <v>17558</v>
      </c>
      <c r="K9" s="49"/>
      <c r="L9" s="50"/>
      <c r="M9" s="163"/>
      <c r="N9" s="45"/>
      <c r="O9" s="46"/>
      <c r="P9" s="512"/>
      <c r="Q9" s="57"/>
      <c r="R9" s="512"/>
      <c r="S9" s="57"/>
      <c r="T9" s="35"/>
      <c r="W9" s="57"/>
      <c r="X9" s="35"/>
      <c r="AA9" s="57"/>
      <c r="AB9" s="208">
        <f>ROUND((ROUND((_15_同援日０．５*_15・基礎２),0)*(1+_15・A深夜)),0)+ROUND((ROUND((_15_同援日０．５＿０．５*_15・基礎２),0)*(1+_15・B早朝)),0)</f>
        <v>381</v>
      </c>
      <c r="AC9" s="48"/>
    </row>
    <row r="10" spans="1:29" ht="16.5" customHeight="1" x14ac:dyDescent="0.15">
      <c r="A10" s="41">
        <v>15</v>
      </c>
      <c r="B10" s="41">
        <v>8842</v>
      </c>
      <c r="C10" s="74" t="s">
        <v>18822</v>
      </c>
      <c r="D10" s="72"/>
      <c r="E10" s="168">
        <f>_15_同援日０．５</f>
        <v>190</v>
      </c>
      <c r="F10" s="57" t="s">
        <v>392</v>
      </c>
      <c r="G10" s="72"/>
      <c r="H10" s="168">
        <f>_15_同援日０．５＿０．５</f>
        <v>110</v>
      </c>
      <c r="I10" s="57" t="s">
        <v>392</v>
      </c>
      <c r="J10" s="269" t="s">
        <v>17560</v>
      </c>
      <c r="K10" s="37" t="s">
        <v>398</v>
      </c>
      <c r="L10" s="38">
        <v>0.9</v>
      </c>
      <c r="M10" s="299" t="s">
        <v>17556</v>
      </c>
      <c r="N10" s="45" t="s">
        <v>398</v>
      </c>
      <c r="O10" s="46">
        <v>1</v>
      </c>
      <c r="P10" s="512"/>
      <c r="Q10" s="57"/>
      <c r="R10" s="512"/>
      <c r="S10" s="57"/>
      <c r="T10" s="43"/>
      <c r="U10" s="37"/>
      <c r="V10" s="38"/>
      <c r="W10" s="79"/>
      <c r="X10" s="35"/>
      <c r="AA10" s="57"/>
      <c r="AB10" s="208">
        <f>ROUND((ROUND((ROUND((_15_同援日０．５*_15・基礎２),0)*_15・２人),0)*(1+_15・A深夜)),0)+ROUND((ROUND((ROUND((_15_同援日０．５＿０．５*_15・基礎２),0)*_15・２人),0)*(1+_15・B早朝)),0)</f>
        <v>381</v>
      </c>
      <c r="AC10" s="48"/>
    </row>
    <row r="11" spans="1:29" ht="16.5" customHeight="1" x14ac:dyDescent="0.15">
      <c r="A11" s="41">
        <v>15</v>
      </c>
      <c r="B11" s="41">
        <v>8843</v>
      </c>
      <c r="C11" s="74" t="s">
        <v>18823</v>
      </c>
      <c r="D11" s="72"/>
      <c r="F11" s="57"/>
      <c r="G11" s="72"/>
      <c r="I11" s="57"/>
      <c r="J11" s="53"/>
      <c r="K11" s="49"/>
      <c r="L11" s="50"/>
      <c r="M11" s="163"/>
      <c r="N11" s="45"/>
      <c r="O11" s="46"/>
      <c r="P11" s="512"/>
      <c r="Q11" s="57"/>
      <c r="R11" s="512"/>
      <c r="S11" s="57"/>
      <c r="T11" s="114" t="s">
        <v>17562</v>
      </c>
      <c r="U11" s="49"/>
      <c r="V11" s="50"/>
      <c r="W11" s="115"/>
      <c r="X11" s="35"/>
      <c r="AA11" s="57"/>
      <c r="AB11" s="208">
        <f>ROUND((ROUND((_15_同援日０．５*(1+_15・A深夜)),0)*(1+_15・盲ろう)),0)+ROUND((ROUND((_15_同援日０．５＿０．５*(1+_15・B早朝)),0)*(1+_15・盲ろう)),0)</f>
        <v>529</v>
      </c>
      <c r="AC11" s="48"/>
    </row>
    <row r="12" spans="1:29" ht="16.5" customHeight="1" x14ac:dyDescent="0.15">
      <c r="A12" s="41">
        <v>15</v>
      </c>
      <c r="B12" s="41">
        <v>8844</v>
      </c>
      <c r="C12" s="74" t="s">
        <v>18824</v>
      </c>
      <c r="D12" s="72"/>
      <c r="F12" s="57"/>
      <c r="G12" s="72"/>
      <c r="I12" s="57"/>
      <c r="J12" s="43"/>
      <c r="K12" s="37"/>
      <c r="L12" s="38"/>
      <c r="M12" s="299" t="s">
        <v>17556</v>
      </c>
      <c r="N12" s="45" t="s">
        <v>398</v>
      </c>
      <c r="O12" s="46">
        <v>1</v>
      </c>
      <c r="P12" s="517" t="s">
        <v>18493</v>
      </c>
      <c r="Q12" s="57"/>
      <c r="R12" s="517" t="s">
        <v>18134</v>
      </c>
      <c r="S12" s="57"/>
      <c r="T12" s="92" t="s">
        <v>17564</v>
      </c>
      <c r="W12" s="57"/>
      <c r="X12" s="35"/>
      <c r="AA12" s="57"/>
      <c r="AB12" s="208">
        <f>ROUND((ROUND((ROUND((_15_同援日０．５*_15・２人),0)*(1+_15・A深夜)),0)*(1+_15・盲ろう)),0)+ROUND((ROUND((ROUND((_15_同援日０．５＿０．５*_15・２人),0)*(1+_15・B早朝)),0)*(1+_15・盲ろう)),0)</f>
        <v>529</v>
      </c>
      <c r="AC12" s="48"/>
    </row>
    <row r="13" spans="1:29" ht="16.5" customHeight="1" x14ac:dyDescent="0.15">
      <c r="A13" s="41">
        <v>15</v>
      </c>
      <c r="B13" s="41">
        <v>8845</v>
      </c>
      <c r="C13" s="74" t="s">
        <v>18825</v>
      </c>
      <c r="D13" s="72"/>
      <c r="F13" s="57"/>
      <c r="G13" s="72"/>
      <c r="I13" s="57"/>
      <c r="J13" s="114" t="s">
        <v>17558</v>
      </c>
      <c r="K13" s="49"/>
      <c r="L13" s="50"/>
      <c r="M13" s="163"/>
      <c r="N13" s="45"/>
      <c r="O13" s="46"/>
      <c r="P13" s="512"/>
      <c r="Q13" s="518" t="s">
        <v>18826</v>
      </c>
      <c r="R13" s="512"/>
      <c r="S13" s="518" t="s">
        <v>18827</v>
      </c>
      <c r="T13" s="35"/>
      <c r="U13" s="12" t="s">
        <v>398</v>
      </c>
      <c r="V13" s="13">
        <v>0.25</v>
      </c>
      <c r="W13" s="57" t="s">
        <v>3575</v>
      </c>
      <c r="X13" s="35"/>
      <c r="AA13" s="57"/>
      <c r="AB13" s="208">
        <f>ROUND((ROUND((ROUND((_15_同援日０．５*_15・基礎２),0)*(1+_15・A深夜)),0)*(1+_15・盲ろう)),0)+ROUND((ROUND((ROUND((_15_同援日０．５＿０．５*_15・基礎２),0)*(1+_15・B早朝)),0)*(1+_15・盲ろう)),0)</f>
        <v>476</v>
      </c>
      <c r="AC13" s="48"/>
    </row>
    <row r="14" spans="1:29" ht="16.5" customHeight="1" x14ac:dyDescent="0.15">
      <c r="A14" s="41">
        <v>15</v>
      </c>
      <c r="B14" s="41">
        <v>8846</v>
      </c>
      <c r="C14" s="74" t="s">
        <v>18828</v>
      </c>
      <c r="D14" s="72"/>
      <c r="F14" s="57"/>
      <c r="G14" s="72"/>
      <c r="I14" s="57"/>
      <c r="J14" s="269" t="s">
        <v>17560</v>
      </c>
      <c r="K14" s="37" t="s">
        <v>398</v>
      </c>
      <c r="L14" s="38">
        <v>0.9</v>
      </c>
      <c r="M14" s="299" t="s">
        <v>17556</v>
      </c>
      <c r="N14" s="45" t="s">
        <v>398</v>
      </c>
      <c r="O14" s="46">
        <v>1</v>
      </c>
      <c r="P14" s="512"/>
      <c r="Q14" s="57"/>
      <c r="R14" s="512"/>
      <c r="S14" s="57"/>
      <c r="T14" s="43"/>
      <c r="U14" s="37"/>
      <c r="V14" s="38"/>
      <c r="W14" s="79"/>
      <c r="X14" s="43"/>
      <c r="Y14" s="37"/>
      <c r="Z14" s="38"/>
      <c r="AA14" s="79"/>
      <c r="AB14" s="208">
        <f>ROUND((ROUND((ROUND((ROUND((_15_同援日０．５*_15・基礎２),0)*_15・２人),0)*(1+_15・A深夜)),0)*(1+_15・盲ろう)),0)+ROUND((ROUND((ROUND((ROUND((_15_同援日０．５＿０．５*_15・基礎２),0)*_15・２人),0)*(1+_15・B早朝)),0)*(1+_15・盲ろう)),0)</f>
        <v>476</v>
      </c>
      <c r="AC14" s="48"/>
    </row>
    <row r="15" spans="1:29" ht="16.5" customHeight="1" x14ac:dyDescent="0.15">
      <c r="A15" s="41">
        <v>15</v>
      </c>
      <c r="B15" s="41">
        <v>8847</v>
      </c>
      <c r="C15" s="74" t="s">
        <v>18829</v>
      </c>
      <c r="D15" s="72"/>
      <c r="F15" s="57"/>
      <c r="G15" s="72"/>
      <c r="I15" s="57"/>
      <c r="J15" s="53"/>
      <c r="K15" s="49"/>
      <c r="L15" s="50"/>
      <c r="M15" s="163"/>
      <c r="N15" s="45"/>
      <c r="O15" s="46"/>
      <c r="P15" s="35" t="s">
        <v>398</v>
      </c>
      <c r="Q15" s="234">
        <v>0.5</v>
      </c>
      <c r="R15" s="35" t="s">
        <v>398</v>
      </c>
      <c r="S15" s="234">
        <v>0.25</v>
      </c>
      <c r="T15" s="53"/>
      <c r="U15" s="49"/>
      <c r="V15" s="50"/>
      <c r="W15" s="115"/>
      <c r="X15" s="53"/>
      <c r="Y15" s="49"/>
      <c r="Z15" s="50"/>
      <c r="AA15" s="115"/>
      <c r="AB15" s="208">
        <f>ROUND((ROUND((_15_同援日０．５*(1+_15・A深夜)),0)*(1+_15・区３)),0)+ROUND((ROUND((_15_同援日０．５＿０．５*(1+_15・B早朝)),0)*(1+_15・区３)),0)</f>
        <v>508</v>
      </c>
      <c r="AC15" s="48"/>
    </row>
    <row r="16" spans="1:29" ht="16.5" customHeight="1" x14ac:dyDescent="0.15">
      <c r="A16" s="41">
        <v>15</v>
      </c>
      <c r="B16" s="41">
        <v>8848</v>
      </c>
      <c r="C16" s="74" t="s">
        <v>18830</v>
      </c>
      <c r="D16" s="72"/>
      <c r="F16" s="57"/>
      <c r="G16" s="72"/>
      <c r="I16" s="57"/>
      <c r="J16" s="43"/>
      <c r="K16" s="37"/>
      <c r="L16" s="38"/>
      <c r="M16" s="299" t="s">
        <v>17556</v>
      </c>
      <c r="N16" s="45" t="s">
        <v>398</v>
      </c>
      <c r="O16" s="46">
        <v>1</v>
      </c>
      <c r="P16" s="512"/>
      <c r="Q16" s="513" t="s">
        <v>3575</v>
      </c>
      <c r="R16" s="512"/>
      <c r="S16" s="513" t="s">
        <v>3575</v>
      </c>
      <c r="T16" s="35"/>
      <c r="W16" s="57"/>
      <c r="X16" s="35"/>
      <c r="AA16" s="57"/>
      <c r="AB16" s="208">
        <f>ROUND((ROUND((ROUND((_15_同援日０．５*_15・２人),0)*(1+_15・A深夜)),0)*(1+_15・区３)),0)+ROUND((ROUND((ROUND((_15_同援日０．５＿０．５*_15・２人),0)*(1+_15・B早朝)),0)*(1+_15・区３)),0)</f>
        <v>508</v>
      </c>
      <c r="AC16" s="48"/>
    </row>
    <row r="17" spans="1:29" ht="16.5" customHeight="1" x14ac:dyDescent="0.15">
      <c r="A17" s="41">
        <v>15</v>
      </c>
      <c r="B17" s="41">
        <v>8849</v>
      </c>
      <c r="C17" s="74" t="s">
        <v>18831</v>
      </c>
      <c r="D17" s="72"/>
      <c r="F17" s="57"/>
      <c r="G17" s="72"/>
      <c r="I17" s="57"/>
      <c r="J17" s="114" t="s">
        <v>17558</v>
      </c>
      <c r="K17" s="49"/>
      <c r="L17" s="50"/>
      <c r="M17" s="163"/>
      <c r="N17" s="45"/>
      <c r="O17" s="46"/>
      <c r="P17" s="512"/>
      <c r="Q17" s="57"/>
      <c r="R17" s="512"/>
      <c r="S17" s="57"/>
      <c r="T17" s="35"/>
      <c r="W17" s="57"/>
      <c r="X17" s="72" t="s">
        <v>17570</v>
      </c>
      <c r="AA17" s="57"/>
      <c r="AB17" s="208">
        <f>ROUND((ROUND((ROUND((_15_同援日０．５*_15・基礎２),0)*(1+_15・A深夜)),0)*(1+_15・区３)),0)+ROUND((ROUND((ROUND((_15_同援日０．５＿０．５*_15・基礎２),0)*(1+_15・B早朝)),0)*(1+_15・区３)),0)</f>
        <v>457</v>
      </c>
      <c r="AC17" s="48"/>
    </row>
    <row r="18" spans="1:29" ht="16.5" customHeight="1" x14ac:dyDescent="0.15">
      <c r="A18" s="41">
        <v>15</v>
      </c>
      <c r="B18" s="41">
        <v>8850</v>
      </c>
      <c r="C18" s="74" t="s">
        <v>18832</v>
      </c>
      <c r="D18" s="72"/>
      <c r="F18" s="57"/>
      <c r="G18" s="72"/>
      <c r="I18" s="57"/>
      <c r="J18" s="269" t="s">
        <v>17560</v>
      </c>
      <c r="K18" s="37" t="s">
        <v>398</v>
      </c>
      <c r="L18" s="38">
        <v>0.9</v>
      </c>
      <c r="M18" s="299" t="s">
        <v>17556</v>
      </c>
      <c r="N18" s="45" t="s">
        <v>398</v>
      </c>
      <c r="O18" s="46">
        <v>1</v>
      </c>
      <c r="P18" s="512"/>
      <c r="Q18" s="57"/>
      <c r="R18" s="512"/>
      <c r="S18" s="57"/>
      <c r="T18" s="43"/>
      <c r="U18" s="37"/>
      <c r="V18" s="38"/>
      <c r="W18" s="79"/>
      <c r="X18" s="72" t="s">
        <v>17572</v>
      </c>
      <c r="AA18" s="57"/>
      <c r="AB18" s="208">
        <f>ROUND((ROUND((ROUND((ROUND((_15_同援日０．５*_15・基礎２),0)*_15・２人),0)*(1+_15・A深夜)),0)*(1+_15・区３)),0)+ROUND((ROUND((ROUND((ROUND((_15_同援日０．５＿０．５*_15・基礎２),0)*_15・２人),0)*(1+_15・B早朝)),0)*(1+_15・区３)),0)</f>
        <v>457</v>
      </c>
      <c r="AC18" s="48"/>
    </row>
    <row r="19" spans="1:29" ht="16.5" customHeight="1" x14ac:dyDescent="0.15">
      <c r="A19" s="41">
        <v>15</v>
      </c>
      <c r="B19" s="41">
        <v>8851</v>
      </c>
      <c r="C19" s="74" t="s">
        <v>18833</v>
      </c>
      <c r="D19" s="72"/>
      <c r="F19" s="57"/>
      <c r="G19" s="72"/>
      <c r="I19" s="57"/>
      <c r="J19" s="53"/>
      <c r="K19" s="49"/>
      <c r="L19" s="50"/>
      <c r="M19" s="163"/>
      <c r="N19" s="45"/>
      <c r="O19" s="46"/>
      <c r="P19" s="512"/>
      <c r="Q19" s="57"/>
      <c r="R19" s="512"/>
      <c r="S19" s="57"/>
      <c r="T19" s="114" t="s">
        <v>17562</v>
      </c>
      <c r="U19" s="49"/>
      <c r="V19" s="50"/>
      <c r="W19" s="115"/>
      <c r="X19" s="35"/>
      <c r="Y19" s="12" t="s">
        <v>398</v>
      </c>
      <c r="Z19" s="13">
        <v>0.2</v>
      </c>
      <c r="AA19" s="57" t="s">
        <v>3575</v>
      </c>
      <c r="AB19" s="208">
        <f>ROUND((ROUND((ROUND((_15_同援日０．５*(1+_15・A深夜)),0)*(1+_15・盲ろう)),0)*(1+_15・区３)),0)+ROUND((ROUND((ROUND((_15_同援日０．５＿０．５*(1+_15・B早朝)),0)*(1+_15・盲ろう)),0)*(1+_15・区３)),0)</f>
        <v>635</v>
      </c>
      <c r="AC19" s="48"/>
    </row>
    <row r="20" spans="1:29" ht="16.5" customHeight="1" x14ac:dyDescent="0.15">
      <c r="A20" s="41">
        <v>15</v>
      </c>
      <c r="B20" s="41">
        <v>8852</v>
      </c>
      <c r="C20" s="74" t="s">
        <v>18834</v>
      </c>
      <c r="D20" s="72"/>
      <c r="F20" s="57"/>
      <c r="G20" s="72"/>
      <c r="I20" s="57"/>
      <c r="J20" s="43"/>
      <c r="K20" s="37"/>
      <c r="L20" s="38"/>
      <c r="M20" s="299" t="s">
        <v>17556</v>
      </c>
      <c r="N20" s="45" t="s">
        <v>398</v>
      </c>
      <c r="O20" s="46">
        <v>1</v>
      </c>
      <c r="P20" s="512"/>
      <c r="Q20" s="57"/>
      <c r="R20" s="512"/>
      <c r="S20" s="57"/>
      <c r="T20" s="92" t="s">
        <v>17564</v>
      </c>
      <c r="W20" s="57"/>
      <c r="X20" s="35"/>
      <c r="AA20" s="57"/>
      <c r="AB20" s="208">
        <f>ROUND((ROUND((ROUND((ROUND((_15_同援日０．５*_15・２人),0)*(1+_15・A深夜)),0)*(1+_15・盲ろう)),0)*(1+_15・区３)),0)+ROUND((ROUND((ROUND((ROUND((_15_同援日０．５＿０．５*_15・２人),0)*(1+_15・B早朝)),0)*(1+_15・盲ろう)),0)*(1+_15・区３)),0)</f>
        <v>635</v>
      </c>
      <c r="AC20" s="48"/>
    </row>
    <row r="21" spans="1:29" ht="16.5" customHeight="1" x14ac:dyDescent="0.15">
      <c r="A21" s="41">
        <v>15</v>
      </c>
      <c r="B21" s="41">
        <v>8853</v>
      </c>
      <c r="C21" s="74" t="s">
        <v>18835</v>
      </c>
      <c r="D21" s="72"/>
      <c r="F21" s="57"/>
      <c r="G21" s="72"/>
      <c r="I21" s="57"/>
      <c r="J21" s="114" t="s">
        <v>17558</v>
      </c>
      <c r="K21" s="49"/>
      <c r="L21" s="50"/>
      <c r="M21" s="163"/>
      <c r="N21" s="45"/>
      <c r="O21" s="46"/>
      <c r="P21" s="512"/>
      <c r="Q21" s="57"/>
      <c r="R21" s="512"/>
      <c r="S21" s="57"/>
      <c r="T21" s="35"/>
      <c r="U21" s="12" t="s">
        <v>398</v>
      </c>
      <c r="V21" s="13">
        <v>0.25</v>
      </c>
      <c r="W21" s="57" t="s">
        <v>3575</v>
      </c>
      <c r="X21" s="35"/>
      <c r="AA21" s="57"/>
      <c r="AB21" s="208">
        <f>ROUND((ROUND((ROUND((ROUND((_15_同援日０．５*_15・基礎２),0)*(1+_15・A深夜)),0)*(1+_15・盲ろう)),0)*(1+_15・区３)),0)+ROUND((ROUND((ROUND((ROUND((_15_同援日０．５＿０．５*_15・基礎２),0)*(1+_15・B早朝)),0)*(1+_15・盲ろう)),0)*(1+_15・区３)),0)</f>
        <v>571</v>
      </c>
      <c r="AC21" s="48"/>
    </row>
    <row r="22" spans="1:29" ht="16.5" customHeight="1" x14ac:dyDescent="0.15">
      <c r="A22" s="41">
        <v>15</v>
      </c>
      <c r="B22" s="41">
        <v>8854</v>
      </c>
      <c r="C22" s="74" t="s">
        <v>18836</v>
      </c>
      <c r="D22" s="72"/>
      <c r="F22" s="57"/>
      <c r="G22" s="72"/>
      <c r="I22" s="57"/>
      <c r="J22" s="269" t="s">
        <v>17560</v>
      </c>
      <c r="K22" s="37" t="s">
        <v>398</v>
      </c>
      <c r="L22" s="38">
        <v>0.9</v>
      </c>
      <c r="M22" s="299" t="s">
        <v>17556</v>
      </c>
      <c r="N22" s="45" t="s">
        <v>398</v>
      </c>
      <c r="O22" s="46">
        <v>1</v>
      </c>
      <c r="P22" s="512"/>
      <c r="Q22" s="57"/>
      <c r="R22" s="512"/>
      <c r="S22" s="57"/>
      <c r="T22" s="43"/>
      <c r="U22" s="37"/>
      <c r="V22" s="38"/>
      <c r="W22" s="79"/>
      <c r="X22" s="43"/>
      <c r="Y22" s="37"/>
      <c r="Z22" s="38"/>
      <c r="AA22" s="79"/>
      <c r="AB22" s="208">
        <f>ROUND((ROUND((ROUND((ROUND((ROUND((_15_同援日０．５*_15・基礎２),0)*_15・２人),0)*(1+_15・A深夜)),0)*(1+_15・盲ろう)),0)*(1+_15・区３)),0)+ROUND((ROUND((ROUND((ROUND((ROUND((_15_同援日０．５＿０．５*_15・基礎２),0)*_15・２人),0)*(1+_15・B早朝)),0)*(1+_15・盲ろう)),0)*(1+_15・区３)),0)</f>
        <v>571</v>
      </c>
      <c r="AC22" s="48"/>
    </row>
    <row r="23" spans="1:29" ht="16.5" customHeight="1" x14ac:dyDescent="0.15">
      <c r="A23" s="41">
        <v>15</v>
      </c>
      <c r="B23" s="41">
        <v>8855</v>
      </c>
      <c r="C23" s="74" t="s">
        <v>18837</v>
      </c>
      <c r="D23" s="72"/>
      <c r="F23" s="57"/>
      <c r="G23" s="72"/>
      <c r="I23" s="57"/>
      <c r="J23" s="53"/>
      <c r="K23" s="49"/>
      <c r="L23" s="50"/>
      <c r="M23" s="163"/>
      <c r="N23" s="45"/>
      <c r="O23" s="46"/>
      <c r="P23" s="512"/>
      <c r="Q23" s="57"/>
      <c r="R23" s="512"/>
      <c r="S23" s="57"/>
      <c r="T23" s="53"/>
      <c r="U23" s="49"/>
      <c r="V23" s="50"/>
      <c r="W23" s="115"/>
      <c r="X23" s="53"/>
      <c r="Y23" s="49"/>
      <c r="Z23" s="50"/>
      <c r="AA23" s="115"/>
      <c r="AB23" s="208">
        <f>ROUND((ROUND((_15_同援日０．５*(1+_15・A深夜)),0)*(1+_15・区４)),0)+ROUND((ROUND((_15_同援日０．５＿０．５*(1+_15・B早朝)),0)*(1+_15・区４)),0)</f>
        <v>592</v>
      </c>
      <c r="AC23" s="48"/>
    </row>
    <row r="24" spans="1:29" ht="16.5" customHeight="1" x14ac:dyDescent="0.15">
      <c r="A24" s="41">
        <v>15</v>
      </c>
      <c r="B24" s="41">
        <v>8856</v>
      </c>
      <c r="C24" s="74" t="s">
        <v>18838</v>
      </c>
      <c r="D24" s="72"/>
      <c r="F24" s="57"/>
      <c r="G24" s="72"/>
      <c r="I24" s="57"/>
      <c r="J24" s="43"/>
      <c r="K24" s="37"/>
      <c r="L24" s="38"/>
      <c r="M24" s="299" t="s">
        <v>17556</v>
      </c>
      <c r="N24" s="45" t="s">
        <v>398</v>
      </c>
      <c r="O24" s="46">
        <v>1</v>
      </c>
      <c r="P24" s="512"/>
      <c r="Q24" s="57"/>
      <c r="R24" s="512"/>
      <c r="S24" s="57"/>
      <c r="T24" s="35"/>
      <c r="W24" s="57"/>
      <c r="X24" s="35"/>
      <c r="AA24" s="57"/>
      <c r="AB24" s="208">
        <f>ROUND((ROUND((ROUND((_15_同援日０．５*_15・２人),0)*(1+_15・A深夜)),0)*(1+_15・区４)),0)+ROUND((ROUND((ROUND((_15_同援日０．５＿０．５*_15・２人),0)*(1+_15・B早朝)),0)*(1+_15・区４)),0)</f>
        <v>592</v>
      </c>
      <c r="AC24" s="48"/>
    </row>
    <row r="25" spans="1:29" ht="16.5" customHeight="1" x14ac:dyDescent="0.15">
      <c r="A25" s="41">
        <v>15</v>
      </c>
      <c r="B25" s="41">
        <v>8857</v>
      </c>
      <c r="C25" s="74" t="s">
        <v>18839</v>
      </c>
      <c r="D25" s="72"/>
      <c r="F25" s="57"/>
      <c r="G25" s="72"/>
      <c r="I25" s="57"/>
      <c r="J25" s="114" t="s">
        <v>17558</v>
      </c>
      <c r="K25" s="49"/>
      <c r="L25" s="50"/>
      <c r="M25" s="163"/>
      <c r="N25" s="45"/>
      <c r="O25" s="46"/>
      <c r="P25" s="512"/>
      <c r="Q25" s="57"/>
      <c r="R25" s="512"/>
      <c r="S25" s="57"/>
      <c r="T25" s="35"/>
      <c r="W25" s="57"/>
      <c r="X25" s="72" t="s">
        <v>17580</v>
      </c>
      <c r="AA25" s="57"/>
      <c r="AB25" s="208">
        <f>ROUND((ROUND((ROUND((_15_同援日０．５*_15・基礎２),0)*(1+_15・A深夜)),0)*(1+_15・区４)),0)+ROUND((ROUND((ROUND((_15_同援日０．５＿０．５*_15・基礎２),0)*(1+_15・B早朝)),0)*(1+_15・区４)),0)</f>
        <v>534</v>
      </c>
      <c r="AC25" s="48"/>
    </row>
    <row r="26" spans="1:29" ht="16.5" customHeight="1" x14ac:dyDescent="0.15">
      <c r="A26" s="41">
        <v>15</v>
      </c>
      <c r="B26" s="41">
        <v>8858</v>
      </c>
      <c r="C26" s="74" t="s">
        <v>18840</v>
      </c>
      <c r="D26" s="72"/>
      <c r="F26" s="57"/>
      <c r="G26" s="72"/>
      <c r="I26" s="57"/>
      <c r="J26" s="269" t="s">
        <v>17560</v>
      </c>
      <c r="K26" s="37" t="s">
        <v>398</v>
      </c>
      <c r="L26" s="38">
        <v>0.9</v>
      </c>
      <c r="M26" s="299" t="s">
        <v>17556</v>
      </c>
      <c r="N26" s="45" t="s">
        <v>398</v>
      </c>
      <c r="O26" s="46">
        <v>1</v>
      </c>
      <c r="P26" s="512"/>
      <c r="Q26" s="57"/>
      <c r="R26" s="512"/>
      <c r="S26" s="57"/>
      <c r="T26" s="43"/>
      <c r="U26" s="37"/>
      <c r="V26" s="38"/>
      <c r="W26" s="79"/>
      <c r="X26" s="72" t="s">
        <v>17572</v>
      </c>
      <c r="AA26" s="57"/>
      <c r="AB26" s="208">
        <f>ROUND((ROUND((ROUND((ROUND((_15_同援日０．５*_15・基礎２),0)*_15・２人),0)*(1+_15・A深夜)),0)*(1+_15・区４)),0)+ROUND((ROUND((ROUND((ROUND((_15_同援日０．５＿０．５*_15・基礎２),0)*_15・２人),0)*(1+_15・B早朝)),0)*(1+_15・区４)),0)</f>
        <v>534</v>
      </c>
      <c r="AC26" s="48"/>
    </row>
    <row r="27" spans="1:29" ht="16.5" customHeight="1" x14ac:dyDescent="0.15">
      <c r="A27" s="41">
        <v>15</v>
      </c>
      <c r="B27" s="41">
        <v>8859</v>
      </c>
      <c r="C27" s="74" t="s">
        <v>18841</v>
      </c>
      <c r="D27" s="72"/>
      <c r="F27" s="57"/>
      <c r="G27" s="72"/>
      <c r="I27" s="57"/>
      <c r="J27" s="53"/>
      <c r="K27" s="49"/>
      <c r="L27" s="50"/>
      <c r="M27" s="163"/>
      <c r="N27" s="45"/>
      <c r="O27" s="46"/>
      <c r="P27" s="512"/>
      <c r="Q27" s="57"/>
      <c r="R27" s="512"/>
      <c r="S27" s="57"/>
      <c r="T27" s="114" t="s">
        <v>17562</v>
      </c>
      <c r="U27" s="49"/>
      <c r="V27" s="50"/>
      <c r="W27" s="115"/>
      <c r="X27" s="35"/>
      <c r="Y27" s="12" t="s">
        <v>398</v>
      </c>
      <c r="Z27" s="13">
        <v>0.4</v>
      </c>
      <c r="AA27" s="57" t="s">
        <v>3575</v>
      </c>
      <c r="AB27" s="208">
        <f>ROUND((ROUND((ROUND((_15_同援日０．５*(1+_15・A深夜)),0)*(1+_15・盲ろう)),0)*(1+_15・区４)),0)+ROUND((ROUND((ROUND((_15_同援日０．５＿０．５*(1+_15・B早朝)),0)*(1+_15・盲ろう)),0)*(1+_15・区４)),0)</f>
        <v>740</v>
      </c>
      <c r="AC27" s="48"/>
    </row>
    <row r="28" spans="1:29" ht="16.5" customHeight="1" x14ac:dyDescent="0.15">
      <c r="A28" s="41">
        <v>15</v>
      </c>
      <c r="B28" s="41">
        <v>8860</v>
      </c>
      <c r="C28" s="74" t="s">
        <v>18842</v>
      </c>
      <c r="D28" s="72"/>
      <c r="F28" s="57"/>
      <c r="G28" s="72"/>
      <c r="I28" s="57"/>
      <c r="J28" s="43"/>
      <c r="K28" s="37"/>
      <c r="L28" s="38"/>
      <c r="M28" s="299" t="s">
        <v>17556</v>
      </c>
      <c r="N28" s="45" t="s">
        <v>398</v>
      </c>
      <c r="O28" s="46">
        <v>1</v>
      </c>
      <c r="P28" s="512"/>
      <c r="Q28" s="57"/>
      <c r="R28" s="512"/>
      <c r="S28" s="57"/>
      <c r="T28" s="92" t="s">
        <v>17564</v>
      </c>
      <c r="W28" s="57"/>
      <c r="X28" s="35"/>
      <c r="AA28" s="57"/>
      <c r="AB28" s="208">
        <f>ROUND((ROUND((ROUND((ROUND((_15_同援日０．５*_15・２人),0)*(1+_15・A深夜)),0)*(1+_15・盲ろう)),0)*(1+_15・区４)),0)+ROUND((ROUND((ROUND((ROUND((_15_同援日０．５＿０．５*_15・２人),0)*(1+_15・B早朝)),0)*(1+_15・盲ろう)),0)*(1+_15・区４)),0)</f>
        <v>740</v>
      </c>
      <c r="AC28" s="48"/>
    </row>
    <row r="29" spans="1:29" ht="16.5" customHeight="1" x14ac:dyDescent="0.15">
      <c r="A29" s="41">
        <v>15</v>
      </c>
      <c r="B29" s="41">
        <v>8861</v>
      </c>
      <c r="C29" s="74" t="s">
        <v>18843</v>
      </c>
      <c r="D29" s="72"/>
      <c r="F29" s="57"/>
      <c r="G29" s="72"/>
      <c r="I29" s="57"/>
      <c r="J29" s="114" t="s">
        <v>17558</v>
      </c>
      <c r="K29" s="49"/>
      <c r="L29" s="50"/>
      <c r="M29" s="163"/>
      <c r="N29" s="45"/>
      <c r="O29" s="46"/>
      <c r="P29" s="512"/>
      <c r="Q29" s="57"/>
      <c r="R29" s="512"/>
      <c r="S29" s="57"/>
      <c r="T29" s="35"/>
      <c r="U29" s="12" t="s">
        <v>398</v>
      </c>
      <c r="V29" s="13">
        <v>0.25</v>
      </c>
      <c r="W29" s="57" t="s">
        <v>3575</v>
      </c>
      <c r="X29" s="35"/>
      <c r="AA29" s="57"/>
      <c r="AB29" s="208">
        <f>ROUND((ROUND((ROUND((ROUND((_15_同援日０．５*_15・基礎２),0)*(1+_15・A深夜)),0)*(1+_15・盲ろう)),0)*(1+_15・区４)),0)+ROUND((ROUND((ROUND((ROUND((_15_同援日０．５＿０．５*_15・基礎２),0)*(1+_15・B早朝)),0)*(1+_15・盲ろう)),0)*(1+_15・区４)),0)</f>
        <v>666</v>
      </c>
      <c r="AC29" s="48"/>
    </row>
    <row r="30" spans="1:29" ht="16.5" customHeight="1" x14ac:dyDescent="0.15">
      <c r="A30" s="41">
        <v>15</v>
      </c>
      <c r="B30" s="41">
        <v>8862</v>
      </c>
      <c r="C30" s="74" t="s">
        <v>18844</v>
      </c>
      <c r="D30" s="72"/>
      <c r="F30" s="57"/>
      <c r="G30" s="122"/>
      <c r="H30" s="37"/>
      <c r="I30" s="79"/>
      <c r="J30" s="269" t="s">
        <v>17560</v>
      </c>
      <c r="K30" s="37" t="s">
        <v>398</v>
      </c>
      <c r="L30" s="38">
        <v>0.9</v>
      </c>
      <c r="M30" s="299" t="s">
        <v>17556</v>
      </c>
      <c r="N30" s="45" t="s">
        <v>398</v>
      </c>
      <c r="O30" s="46">
        <v>1</v>
      </c>
      <c r="P30" s="512"/>
      <c r="Q30" s="57"/>
      <c r="R30" s="512"/>
      <c r="S30" s="57"/>
      <c r="T30" s="43"/>
      <c r="U30" s="37"/>
      <c r="V30" s="38"/>
      <c r="W30" s="79"/>
      <c r="X30" s="43"/>
      <c r="Y30" s="37"/>
      <c r="Z30" s="38"/>
      <c r="AA30" s="79"/>
      <c r="AB30" s="208">
        <f>ROUND((ROUND((ROUND((ROUND((ROUND((_15_同援日０．５*_15・基礎２),0)*_15・２人),0)*(1+_15・A深夜)),0)*(1+_15・盲ろう)),0)*(1+_15・区４)),0)+ROUND((ROUND((ROUND((ROUND((ROUND((_15_同援日０．５＿０．５*_15・基礎２),0)*_15・２人),0)*(1+_15・B早朝)),0)*(1+_15・盲ろう)),0)*(1+_15・区４)),0)</f>
        <v>666</v>
      </c>
      <c r="AC30" s="48"/>
    </row>
    <row r="31" spans="1:29" ht="16.5" customHeight="1" x14ac:dyDescent="0.15">
      <c r="A31" s="41">
        <v>15</v>
      </c>
      <c r="B31" s="41">
        <v>8863</v>
      </c>
      <c r="C31" s="74" t="s">
        <v>18845</v>
      </c>
      <c r="D31" s="72"/>
      <c r="F31" s="57"/>
      <c r="G31" s="114" t="s">
        <v>18846</v>
      </c>
      <c r="H31" s="49"/>
      <c r="I31" s="115"/>
      <c r="J31" s="53"/>
      <c r="K31" s="49"/>
      <c r="L31" s="50"/>
      <c r="M31" s="163"/>
      <c r="N31" s="45"/>
      <c r="O31" s="46"/>
      <c r="P31" s="512"/>
      <c r="Q31" s="57"/>
      <c r="R31" s="512"/>
      <c r="S31" s="57"/>
      <c r="T31" s="53"/>
      <c r="U31" s="49"/>
      <c r="V31" s="50"/>
      <c r="W31" s="115"/>
      <c r="X31" s="53"/>
      <c r="Y31" s="49"/>
      <c r="Z31" s="50"/>
      <c r="AA31" s="115"/>
      <c r="AB31" s="208">
        <f>ROUND((_15_同援日０．５*(1+_15・A深夜)),0)+ROUND((_15_同援日０．５＿１．０*(1+_15・B早朝)),0)</f>
        <v>589</v>
      </c>
      <c r="AC31" s="48"/>
    </row>
    <row r="32" spans="1:29" ht="16.5" customHeight="1" x14ac:dyDescent="0.15">
      <c r="A32" s="41">
        <v>15</v>
      </c>
      <c r="B32" s="41">
        <v>8864</v>
      </c>
      <c r="C32" s="74" t="s">
        <v>18847</v>
      </c>
      <c r="D32" s="72"/>
      <c r="F32" s="57"/>
      <c r="G32" s="72" t="s">
        <v>17589</v>
      </c>
      <c r="I32" s="57"/>
      <c r="J32" s="43"/>
      <c r="K32" s="37"/>
      <c r="L32" s="38"/>
      <c r="M32" s="299" t="s">
        <v>17556</v>
      </c>
      <c r="N32" s="45" t="s">
        <v>398</v>
      </c>
      <c r="O32" s="46">
        <v>1</v>
      </c>
      <c r="P32" s="512"/>
      <c r="Q32" s="57"/>
      <c r="R32" s="512"/>
      <c r="S32" s="57"/>
      <c r="T32" s="35"/>
      <c r="W32" s="57"/>
      <c r="X32" s="35"/>
      <c r="AA32" s="57"/>
      <c r="AB32" s="208">
        <f>ROUND((ROUND((_15_同援日０．５*_15・２人),0)*(1+_15・A深夜)),0)+ROUND((ROUND((_15_同援日０．５＿１．０*_15・２人),0)*(1+_15・B早朝)),0)</f>
        <v>589</v>
      </c>
      <c r="AC32" s="48"/>
    </row>
    <row r="33" spans="1:29" ht="16.5" customHeight="1" x14ac:dyDescent="0.15">
      <c r="A33" s="41">
        <v>15</v>
      </c>
      <c r="B33" s="41">
        <v>8865</v>
      </c>
      <c r="C33" s="74" t="s">
        <v>18848</v>
      </c>
      <c r="D33" s="72"/>
      <c r="F33" s="57"/>
      <c r="G33" s="72" t="s">
        <v>17591</v>
      </c>
      <c r="I33" s="57"/>
      <c r="J33" s="114" t="s">
        <v>17558</v>
      </c>
      <c r="K33" s="49"/>
      <c r="L33" s="50"/>
      <c r="M33" s="163"/>
      <c r="N33" s="45"/>
      <c r="O33" s="46"/>
      <c r="P33" s="512"/>
      <c r="Q33" s="57"/>
      <c r="R33" s="512"/>
      <c r="S33" s="57"/>
      <c r="T33" s="35"/>
      <c r="W33" s="57"/>
      <c r="X33" s="35"/>
      <c r="AA33" s="57"/>
      <c r="AB33" s="208">
        <f>ROUND((ROUND((_15_同援日０．５*_15・基礎２),0)*(1+_15・A深夜)),0)+ROUND((ROUND((_15_同援日０．５＿１．０*_15・基礎２),0)*(1+_15・B早朝)),0)</f>
        <v>531</v>
      </c>
      <c r="AC33" s="48"/>
    </row>
    <row r="34" spans="1:29" ht="16.5" customHeight="1" x14ac:dyDescent="0.15">
      <c r="A34" s="41">
        <v>15</v>
      </c>
      <c r="B34" s="41">
        <v>8866</v>
      </c>
      <c r="C34" s="74" t="s">
        <v>18849</v>
      </c>
      <c r="D34" s="72"/>
      <c r="F34" s="57"/>
      <c r="G34" s="72"/>
      <c r="H34" s="168">
        <f>_15_同援日０．５＿１．０</f>
        <v>243</v>
      </c>
      <c r="I34" s="57" t="s">
        <v>392</v>
      </c>
      <c r="J34" s="269" t="s">
        <v>17560</v>
      </c>
      <c r="K34" s="37" t="s">
        <v>398</v>
      </c>
      <c r="L34" s="38">
        <v>0.9</v>
      </c>
      <c r="M34" s="299" t="s">
        <v>17556</v>
      </c>
      <c r="N34" s="45" t="s">
        <v>398</v>
      </c>
      <c r="O34" s="46">
        <v>1</v>
      </c>
      <c r="P34" s="512"/>
      <c r="Q34" s="57"/>
      <c r="R34" s="512"/>
      <c r="S34" s="57"/>
      <c r="T34" s="43"/>
      <c r="U34" s="37"/>
      <c r="V34" s="38"/>
      <c r="W34" s="79"/>
      <c r="X34" s="35"/>
      <c r="AA34" s="57"/>
      <c r="AB34" s="208">
        <f>ROUND((ROUND((ROUND((_15_同援日０．５*_15・基礎２),0)*_15・２人),0)*(1+_15・A深夜)),0)+ROUND((ROUND((ROUND((_15_同援日０．５＿１．０*_15・基礎２),0)*_15・２人),0)*(1+_15・B早朝)),0)</f>
        <v>531</v>
      </c>
      <c r="AC34" s="48"/>
    </row>
    <row r="35" spans="1:29" ht="16.5" customHeight="1" x14ac:dyDescent="0.15">
      <c r="A35" s="41">
        <v>15</v>
      </c>
      <c r="B35" s="41">
        <v>8867</v>
      </c>
      <c r="C35" s="74" t="s">
        <v>18850</v>
      </c>
      <c r="D35" s="72"/>
      <c r="F35" s="57"/>
      <c r="G35" s="72"/>
      <c r="I35" s="57"/>
      <c r="J35" s="53"/>
      <c r="K35" s="49"/>
      <c r="L35" s="50"/>
      <c r="M35" s="163"/>
      <c r="N35" s="45"/>
      <c r="O35" s="46"/>
      <c r="P35" s="512"/>
      <c r="Q35" s="57"/>
      <c r="R35" s="512"/>
      <c r="S35" s="57"/>
      <c r="T35" s="114" t="s">
        <v>17562</v>
      </c>
      <c r="U35" s="49"/>
      <c r="V35" s="50"/>
      <c r="W35" s="115"/>
      <c r="X35" s="35"/>
      <c r="AA35" s="57"/>
      <c r="AB35" s="208">
        <f>ROUND((ROUND((_15_同援日０．５*(1+_15・A深夜)),0)*(1+_15・盲ろう)),0)+ROUND((ROUND((_15_同援日０．５＿１．０*(1+_15・B早朝)),0)*(1+_15・盲ろう)),0)</f>
        <v>736</v>
      </c>
      <c r="AC35" s="48"/>
    </row>
    <row r="36" spans="1:29" ht="16.5" customHeight="1" x14ac:dyDescent="0.15">
      <c r="A36" s="41">
        <v>15</v>
      </c>
      <c r="B36" s="41">
        <v>8868</v>
      </c>
      <c r="C36" s="74" t="s">
        <v>18851</v>
      </c>
      <c r="D36" s="72"/>
      <c r="F36" s="57"/>
      <c r="G36" s="72"/>
      <c r="I36" s="57"/>
      <c r="J36" s="43"/>
      <c r="K36" s="37"/>
      <c r="L36" s="38"/>
      <c r="M36" s="299" t="s">
        <v>17556</v>
      </c>
      <c r="N36" s="45" t="s">
        <v>398</v>
      </c>
      <c r="O36" s="46">
        <v>1</v>
      </c>
      <c r="P36" s="512"/>
      <c r="Q36" s="57"/>
      <c r="R36" s="512"/>
      <c r="S36" s="57"/>
      <c r="T36" s="92" t="s">
        <v>17564</v>
      </c>
      <c r="W36" s="57"/>
      <c r="X36" s="35"/>
      <c r="AA36" s="57"/>
      <c r="AB36" s="208">
        <f>ROUND((ROUND((ROUND((_15_同援日０．５*_15・２人),0)*(1+_15・A深夜)),0)*(1+_15・盲ろう)),0)+ROUND((ROUND((ROUND((_15_同援日０．５＿１．０*_15・２人),0)*(1+_15・B早朝)),0)*(1+_15・盲ろう)),0)</f>
        <v>736</v>
      </c>
      <c r="AC36" s="48"/>
    </row>
    <row r="37" spans="1:29" ht="16.5" customHeight="1" x14ac:dyDescent="0.15">
      <c r="A37" s="41">
        <v>15</v>
      </c>
      <c r="B37" s="41">
        <v>8869</v>
      </c>
      <c r="C37" s="74" t="s">
        <v>18852</v>
      </c>
      <c r="D37" s="72"/>
      <c r="F37" s="57"/>
      <c r="G37" s="72"/>
      <c r="I37" s="57"/>
      <c r="J37" s="114" t="s">
        <v>17558</v>
      </c>
      <c r="K37" s="49"/>
      <c r="L37" s="50"/>
      <c r="M37" s="163"/>
      <c r="N37" s="45"/>
      <c r="O37" s="46"/>
      <c r="P37" s="512"/>
      <c r="Q37" s="57"/>
      <c r="R37" s="512"/>
      <c r="S37" s="57"/>
      <c r="T37" s="35"/>
      <c r="U37" s="12" t="s">
        <v>398</v>
      </c>
      <c r="V37" s="13">
        <v>0.25</v>
      </c>
      <c r="W37" s="57" t="s">
        <v>3575</v>
      </c>
      <c r="X37" s="35"/>
      <c r="AA37" s="57"/>
      <c r="AB37" s="208">
        <f>ROUND((ROUND((ROUND((_15_同援日０．５*_15・基礎２),0)*(1+_15・A深夜)),0)*(1+_15・盲ろう)),0)+ROUND((ROUND((ROUND((_15_同援日０．５＿１．０*_15・基礎２),0)*(1+_15・B早朝)),0)*(1+_15・盲ろう)),0)</f>
        <v>664</v>
      </c>
      <c r="AC37" s="48"/>
    </row>
    <row r="38" spans="1:29" ht="16.5" customHeight="1" x14ac:dyDescent="0.15">
      <c r="A38" s="41">
        <v>15</v>
      </c>
      <c r="B38" s="41">
        <v>8870</v>
      </c>
      <c r="C38" s="74" t="s">
        <v>18853</v>
      </c>
      <c r="D38" s="72"/>
      <c r="F38" s="57"/>
      <c r="G38" s="72"/>
      <c r="I38" s="57"/>
      <c r="J38" s="269" t="s">
        <v>17560</v>
      </c>
      <c r="K38" s="37" t="s">
        <v>398</v>
      </c>
      <c r="L38" s="38">
        <v>0.9</v>
      </c>
      <c r="M38" s="299" t="s">
        <v>17556</v>
      </c>
      <c r="N38" s="45" t="s">
        <v>398</v>
      </c>
      <c r="O38" s="46">
        <v>1</v>
      </c>
      <c r="P38" s="512"/>
      <c r="Q38" s="57"/>
      <c r="R38" s="512"/>
      <c r="S38" s="57"/>
      <c r="T38" s="43"/>
      <c r="U38" s="37"/>
      <c r="V38" s="38"/>
      <c r="W38" s="79"/>
      <c r="X38" s="43"/>
      <c r="Y38" s="37"/>
      <c r="Z38" s="38"/>
      <c r="AA38" s="79"/>
      <c r="AB38" s="208">
        <f>ROUND((ROUND((ROUND((ROUND((_15_同援日０．５*_15・基礎２),0)*_15・２人),0)*(1+_15・A深夜)),0)*(1+_15・盲ろう)),0)+ROUND((ROUND((ROUND((ROUND((_15_同援日０．５＿１．０*_15・基礎２),0)*_15・２人),0)*(1+_15・B早朝)),0)*(1+_15・盲ろう)),0)</f>
        <v>664</v>
      </c>
      <c r="AC38" s="48"/>
    </row>
    <row r="39" spans="1:29" ht="16.5" customHeight="1" x14ac:dyDescent="0.15">
      <c r="A39" s="41">
        <v>15</v>
      </c>
      <c r="B39" s="41">
        <v>8871</v>
      </c>
      <c r="C39" s="74" t="s">
        <v>18854</v>
      </c>
      <c r="D39" s="72"/>
      <c r="F39" s="57"/>
      <c r="G39" s="72"/>
      <c r="I39" s="57"/>
      <c r="J39" s="53"/>
      <c r="K39" s="49"/>
      <c r="L39" s="50"/>
      <c r="M39" s="163"/>
      <c r="N39" s="45"/>
      <c r="O39" s="46"/>
      <c r="P39" s="512"/>
      <c r="Q39" s="57"/>
      <c r="R39" s="512"/>
      <c r="S39" s="57"/>
      <c r="T39" s="53"/>
      <c r="U39" s="49"/>
      <c r="V39" s="50"/>
      <c r="W39" s="115"/>
      <c r="X39" s="53"/>
      <c r="Y39" s="49"/>
      <c r="Z39" s="50"/>
      <c r="AA39" s="115"/>
      <c r="AB39" s="208">
        <f>ROUND((ROUND((_15_同援日０．５*(1+_15・A深夜)),0)*(1+_15・区３)),0)+ROUND((ROUND((_15_同援日０．５＿１．０*(1+_15・B早朝)),0)*(1+_15・区３)),0)</f>
        <v>707</v>
      </c>
      <c r="AC39" s="48"/>
    </row>
    <row r="40" spans="1:29" ht="16.5" customHeight="1" x14ac:dyDescent="0.15">
      <c r="A40" s="41">
        <v>15</v>
      </c>
      <c r="B40" s="41">
        <v>8872</v>
      </c>
      <c r="C40" s="74" t="s">
        <v>18855</v>
      </c>
      <c r="D40" s="72"/>
      <c r="F40" s="57"/>
      <c r="G40" s="72"/>
      <c r="I40" s="57"/>
      <c r="J40" s="43"/>
      <c r="K40" s="37"/>
      <c r="L40" s="38"/>
      <c r="M40" s="299" t="s">
        <v>17556</v>
      </c>
      <c r="N40" s="45" t="s">
        <v>398</v>
      </c>
      <c r="O40" s="46">
        <v>1</v>
      </c>
      <c r="P40" s="512"/>
      <c r="Q40" s="57"/>
      <c r="R40" s="512"/>
      <c r="S40" s="57"/>
      <c r="T40" s="35"/>
      <c r="W40" s="57"/>
      <c r="X40" s="35"/>
      <c r="AA40" s="57"/>
      <c r="AB40" s="208">
        <f>ROUND((ROUND((ROUND((_15_同援日０．５*_15・２人),0)*(1+_15・A深夜)),0)*(1+_15・区３)),0)+ROUND((ROUND((ROUND((_15_同援日０．５＿１．０*_15・２人),0)*(1+_15・B早朝)),0)*(1+_15・区３)),0)</f>
        <v>707</v>
      </c>
      <c r="AC40" s="48"/>
    </row>
    <row r="41" spans="1:29" ht="16.5" customHeight="1" x14ac:dyDescent="0.15">
      <c r="A41" s="41">
        <v>15</v>
      </c>
      <c r="B41" s="41">
        <v>8873</v>
      </c>
      <c r="C41" s="74" t="s">
        <v>18856</v>
      </c>
      <c r="D41" s="72"/>
      <c r="F41" s="57"/>
      <c r="G41" s="72"/>
      <c r="I41" s="57"/>
      <c r="J41" s="114" t="s">
        <v>17558</v>
      </c>
      <c r="K41" s="49"/>
      <c r="L41" s="50"/>
      <c r="M41" s="163"/>
      <c r="N41" s="45"/>
      <c r="O41" s="46"/>
      <c r="P41" s="512"/>
      <c r="Q41" s="57"/>
      <c r="R41" s="512"/>
      <c r="S41" s="57"/>
      <c r="T41" s="35"/>
      <c r="W41" s="57"/>
      <c r="X41" s="72" t="s">
        <v>17570</v>
      </c>
      <c r="AA41" s="57"/>
      <c r="AB41" s="208">
        <f>ROUND((ROUND((ROUND((_15_同援日０．５*_15・基礎２),0)*(1+_15・A深夜)),0)*(1+_15・区３)),0)+ROUND((ROUND((ROUND((_15_同援日０．５＿１．０*_15・基礎２),0)*(1+_15・B早朝)),0)*(1+_15・区３)),0)</f>
        <v>637</v>
      </c>
      <c r="AC41" s="48"/>
    </row>
    <row r="42" spans="1:29" ht="16.5" customHeight="1" x14ac:dyDescent="0.15">
      <c r="A42" s="41">
        <v>15</v>
      </c>
      <c r="B42" s="41">
        <v>8874</v>
      </c>
      <c r="C42" s="74" t="s">
        <v>18857</v>
      </c>
      <c r="D42" s="72"/>
      <c r="F42" s="57"/>
      <c r="G42" s="72"/>
      <c r="I42" s="57"/>
      <c r="J42" s="269" t="s">
        <v>17560</v>
      </c>
      <c r="K42" s="37" t="s">
        <v>398</v>
      </c>
      <c r="L42" s="38">
        <v>0.9</v>
      </c>
      <c r="M42" s="299" t="s">
        <v>17556</v>
      </c>
      <c r="N42" s="45" t="s">
        <v>398</v>
      </c>
      <c r="O42" s="46">
        <v>1</v>
      </c>
      <c r="P42" s="512"/>
      <c r="Q42" s="57"/>
      <c r="R42" s="512"/>
      <c r="S42" s="57"/>
      <c r="T42" s="43"/>
      <c r="U42" s="37"/>
      <c r="V42" s="38"/>
      <c r="W42" s="79"/>
      <c r="X42" s="72" t="s">
        <v>17572</v>
      </c>
      <c r="AA42" s="57"/>
      <c r="AB42" s="208">
        <f>ROUND((ROUND((ROUND((ROUND((_15_同援日０．５*_15・基礎２),0)*_15・２人),0)*(1+_15・A深夜)),0)*(1+_15・区３)),0)+ROUND((ROUND((ROUND((ROUND((_15_同援日０．５＿１．０*_15・基礎２),0)*_15・２人),0)*(1+_15・B早朝)),0)*(1+_15・区３)),0)</f>
        <v>637</v>
      </c>
      <c r="AC42" s="48"/>
    </row>
    <row r="43" spans="1:29" ht="16.5" customHeight="1" x14ac:dyDescent="0.15">
      <c r="A43" s="41">
        <v>15</v>
      </c>
      <c r="B43" s="41">
        <v>8875</v>
      </c>
      <c r="C43" s="74" t="s">
        <v>18858</v>
      </c>
      <c r="D43" s="72"/>
      <c r="F43" s="57"/>
      <c r="G43" s="72"/>
      <c r="I43" s="57"/>
      <c r="J43" s="53"/>
      <c r="K43" s="49"/>
      <c r="L43" s="50"/>
      <c r="M43" s="163"/>
      <c r="N43" s="45"/>
      <c r="O43" s="46"/>
      <c r="P43" s="512"/>
      <c r="Q43" s="57"/>
      <c r="R43" s="512"/>
      <c r="S43" s="57"/>
      <c r="T43" s="114" t="s">
        <v>17562</v>
      </c>
      <c r="U43" s="49"/>
      <c r="V43" s="50"/>
      <c r="W43" s="115"/>
      <c r="X43" s="35"/>
      <c r="Y43" s="12" t="s">
        <v>398</v>
      </c>
      <c r="Z43" s="13">
        <v>0.2</v>
      </c>
      <c r="AA43" s="57" t="s">
        <v>3575</v>
      </c>
      <c r="AB43" s="208">
        <f>ROUND((ROUND((ROUND((_15_同援日０．５*(1+_15・A深夜)),0)*(1+_15・盲ろう)),0)*(1+_15・区３)),0)+ROUND((ROUND((ROUND((_15_同援日０．５＿１．０*(1+_15・B早朝)),0)*(1+_15・盲ろう)),0)*(1+_15・区３)),0)</f>
        <v>883</v>
      </c>
      <c r="AC43" s="48"/>
    </row>
    <row r="44" spans="1:29" ht="16.5" customHeight="1" x14ac:dyDescent="0.15">
      <c r="A44" s="41">
        <v>15</v>
      </c>
      <c r="B44" s="41">
        <v>8876</v>
      </c>
      <c r="C44" s="74" t="s">
        <v>18859</v>
      </c>
      <c r="D44" s="72"/>
      <c r="F44" s="57"/>
      <c r="G44" s="72"/>
      <c r="I44" s="57"/>
      <c r="J44" s="43"/>
      <c r="K44" s="37"/>
      <c r="L44" s="38"/>
      <c r="M44" s="299" t="s">
        <v>17556</v>
      </c>
      <c r="N44" s="45" t="s">
        <v>398</v>
      </c>
      <c r="O44" s="46">
        <v>1</v>
      </c>
      <c r="P44" s="512"/>
      <c r="Q44" s="57"/>
      <c r="R44" s="512"/>
      <c r="S44" s="57"/>
      <c r="T44" s="92" t="s">
        <v>17564</v>
      </c>
      <c r="W44" s="57"/>
      <c r="X44" s="35"/>
      <c r="AA44" s="57"/>
      <c r="AB44" s="208">
        <f>ROUND((ROUND((ROUND((ROUND((_15_同援日０．５*_15・２人),0)*(1+_15・A深夜)),0)*(1+_15・盲ろう)),0)*(1+_15・区３)),0)+ROUND((ROUND((ROUND((ROUND((_15_同援日０．５＿１．０*_15・２人),0)*(1+_15・B早朝)),0)*(1+_15・盲ろう)),0)*(1+_15・区３)),0)</f>
        <v>883</v>
      </c>
      <c r="AC44" s="48"/>
    </row>
    <row r="45" spans="1:29" ht="16.5" customHeight="1" x14ac:dyDescent="0.15">
      <c r="A45" s="41">
        <v>15</v>
      </c>
      <c r="B45" s="41">
        <v>8877</v>
      </c>
      <c r="C45" s="74" t="s">
        <v>18860</v>
      </c>
      <c r="D45" s="72"/>
      <c r="F45" s="57"/>
      <c r="G45" s="72"/>
      <c r="I45" s="57"/>
      <c r="J45" s="114" t="s">
        <v>17558</v>
      </c>
      <c r="K45" s="49"/>
      <c r="L45" s="50"/>
      <c r="M45" s="163"/>
      <c r="N45" s="45"/>
      <c r="O45" s="46"/>
      <c r="P45" s="512"/>
      <c r="Q45" s="57"/>
      <c r="R45" s="512"/>
      <c r="S45" s="57"/>
      <c r="T45" s="35"/>
      <c r="U45" s="12" t="s">
        <v>398</v>
      </c>
      <c r="V45" s="13">
        <v>0.25</v>
      </c>
      <c r="W45" s="57" t="s">
        <v>3575</v>
      </c>
      <c r="X45" s="35"/>
      <c r="AA45" s="57"/>
      <c r="AB45" s="208">
        <f>ROUND((ROUND((ROUND((ROUND((_15_同援日０．５*_15・基礎２),0)*(1+_15・A深夜)),0)*(1+_15・盲ろう)),0)*(1+_15・区３)),0)+ROUND((ROUND((ROUND((ROUND((_15_同援日０．５＿１．０*_15・基礎２),0)*(1+_15・B早朝)),0)*(1+_15・盲ろう)),0)*(1+_15・区３)),0)</f>
        <v>797</v>
      </c>
      <c r="AC45" s="48"/>
    </row>
    <row r="46" spans="1:29" ht="16.5" customHeight="1" x14ac:dyDescent="0.15">
      <c r="A46" s="41">
        <v>15</v>
      </c>
      <c r="B46" s="41">
        <v>8878</v>
      </c>
      <c r="C46" s="74" t="s">
        <v>18861</v>
      </c>
      <c r="D46" s="72"/>
      <c r="F46" s="57"/>
      <c r="G46" s="72"/>
      <c r="I46" s="57"/>
      <c r="J46" s="269" t="s">
        <v>17560</v>
      </c>
      <c r="K46" s="37" t="s">
        <v>398</v>
      </c>
      <c r="L46" s="38">
        <v>0.9</v>
      </c>
      <c r="M46" s="299" t="s">
        <v>17556</v>
      </c>
      <c r="N46" s="45" t="s">
        <v>398</v>
      </c>
      <c r="O46" s="46">
        <v>1</v>
      </c>
      <c r="P46" s="512"/>
      <c r="Q46" s="57"/>
      <c r="R46" s="512"/>
      <c r="S46" s="57"/>
      <c r="T46" s="43"/>
      <c r="U46" s="37"/>
      <c r="V46" s="38"/>
      <c r="W46" s="79"/>
      <c r="X46" s="43"/>
      <c r="Y46" s="37"/>
      <c r="Z46" s="38"/>
      <c r="AA46" s="79"/>
      <c r="AB46" s="208">
        <f>ROUND((ROUND((ROUND((ROUND((ROUND((_15_同援日０．５*_15・基礎２),0)*_15・２人),0)*(1+_15・A深夜)),0)*(1+_15・盲ろう)),0)*(1+_15・区３)),0)+ROUND((ROUND((ROUND((ROUND((ROUND((_15_同援日０．５＿１．０*_15・基礎２),0)*_15・２人),0)*(1+_15・B早朝)),0)*(1+_15・盲ろう)),0)*(1+_15・区３)),0)</f>
        <v>797</v>
      </c>
      <c r="AC46" s="48"/>
    </row>
    <row r="47" spans="1:29" ht="16.5" customHeight="1" x14ac:dyDescent="0.15">
      <c r="A47" s="41">
        <v>15</v>
      </c>
      <c r="B47" s="41">
        <v>8879</v>
      </c>
      <c r="C47" s="74" t="s">
        <v>18862</v>
      </c>
      <c r="D47" s="72"/>
      <c r="F47" s="57"/>
      <c r="G47" s="72"/>
      <c r="I47" s="57"/>
      <c r="J47" s="53"/>
      <c r="K47" s="49"/>
      <c r="L47" s="50"/>
      <c r="M47" s="163"/>
      <c r="N47" s="45"/>
      <c r="O47" s="46"/>
      <c r="P47" s="512"/>
      <c r="Q47" s="57"/>
      <c r="R47" s="512"/>
      <c r="S47" s="57"/>
      <c r="T47" s="53"/>
      <c r="U47" s="49"/>
      <c r="V47" s="50"/>
      <c r="W47" s="115"/>
      <c r="X47" s="53"/>
      <c r="Y47" s="49"/>
      <c r="Z47" s="50"/>
      <c r="AA47" s="115"/>
      <c r="AB47" s="208">
        <f>ROUND((ROUND((_15_同援日０．５*(1+_15・A深夜)),0)*(1+_15・区４)),0)+ROUND((ROUND((_15_同援日０．５＿１．０*(1+_15・B早朝)),0)*(1+_15・区４)),0)</f>
        <v>825</v>
      </c>
      <c r="AC47" s="48"/>
    </row>
    <row r="48" spans="1:29" ht="16.5" customHeight="1" x14ac:dyDescent="0.15">
      <c r="A48" s="41">
        <v>15</v>
      </c>
      <c r="B48" s="41">
        <v>8880</v>
      </c>
      <c r="C48" s="74" t="s">
        <v>18863</v>
      </c>
      <c r="D48" s="72"/>
      <c r="F48" s="57"/>
      <c r="G48" s="72"/>
      <c r="I48" s="57"/>
      <c r="J48" s="43"/>
      <c r="K48" s="37"/>
      <c r="L48" s="38"/>
      <c r="M48" s="299" t="s">
        <v>17556</v>
      </c>
      <c r="N48" s="45" t="s">
        <v>398</v>
      </c>
      <c r="O48" s="46">
        <v>1</v>
      </c>
      <c r="P48" s="512"/>
      <c r="Q48" s="57"/>
      <c r="R48" s="512"/>
      <c r="S48" s="57"/>
      <c r="T48" s="35"/>
      <c r="W48" s="57"/>
      <c r="X48" s="35"/>
      <c r="AA48" s="57"/>
      <c r="AB48" s="208">
        <f>ROUND((ROUND((ROUND((_15_同援日０．５*_15・２人),0)*(1+_15・A深夜)),0)*(1+_15・区４)),0)+ROUND((ROUND((ROUND((_15_同援日０．５＿１．０*_15・２人),0)*(1+_15・B早朝)),0)*(1+_15・区４)),0)</f>
        <v>825</v>
      </c>
      <c r="AC48" s="48"/>
    </row>
    <row r="49" spans="1:29" ht="16.5" customHeight="1" x14ac:dyDescent="0.15">
      <c r="A49" s="41">
        <v>15</v>
      </c>
      <c r="B49" s="41">
        <v>8881</v>
      </c>
      <c r="C49" s="74" t="s">
        <v>18864</v>
      </c>
      <c r="D49" s="72"/>
      <c r="F49" s="57"/>
      <c r="G49" s="72"/>
      <c r="I49" s="57"/>
      <c r="J49" s="114" t="s">
        <v>17558</v>
      </c>
      <c r="K49" s="49"/>
      <c r="L49" s="50"/>
      <c r="M49" s="163"/>
      <c r="N49" s="45"/>
      <c r="O49" s="46"/>
      <c r="P49" s="512"/>
      <c r="Q49" s="57"/>
      <c r="R49" s="512"/>
      <c r="S49" s="57"/>
      <c r="T49" s="35"/>
      <c r="W49" s="57"/>
      <c r="X49" s="72" t="s">
        <v>17580</v>
      </c>
      <c r="AA49" s="57"/>
      <c r="AB49" s="208">
        <f>ROUND((ROUND((ROUND((_15_同援日０．５*_15・基礎２),0)*(1+_15・A深夜)),0)*(1+_15・区４)),0)+ROUND((ROUND((ROUND((_15_同援日０．５＿１．０*_15・基礎２),0)*(1+_15・B早朝)),0)*(1+_15・区４)),0)</f>
        <v>744</v>
      </c>
      <c r="AC49" s="48"/>
    </row>
    <row r="50" spans="1:29" ht="16.5" customHeight="1" x14ac:dyDescent="0.15">
      <c r="A50" s="41">
        <v>15</v>
      </c>
      <c r="B50" s="41">
        <v>8882</v>
      </c>
      <c r="C50" s="74" t="s">
        <v>18865</v>
      </c>
      <c r="D50" s="72"/>
      <c r="F50" s="57"/>
      <c r="G50" s="72"/>
      <c r="I50" s="57"/>
      <c r="J50" s="269" t="s">
        <v>17560</v>
      </c>
      <c r="K50" s="37" t="s">
        <v>398</v>
      </c>
      <c r="L50" s="38">
        <v>0.9</v>
      </c>
      <c r="M50" s="299" t="s">
        <v>17556</v>
      </c>
      <c r="N50" s="45" t="s">
        <v>398</v>
      </c>
      <c r="O50" s="46">
        <v>1</v>
      </c>
      <c r="P50" s="512"/>
      <c r="Q50" s="57"/>
      <c r="R50" s="512"/>
      <c r="S50" s="57"/>
      <c r="T50" s="43"/>
      <c r="U50" s="37"/>
      <c r="V50" s="38"/>
      <c r="W50" s="79"/>
      <c r="X50" s="72" t="s">
        <v>17572</v>
      </c>
      <c r="AA50" s="57"/>
      <c r="AB50" s="208">
        <f>ROUND((ROUND((ROUND((ROUND((_15_同援日０．５*_15・基礎２),0)*_15・２人),0)*(1+_15・A深夜)),0)*(1+_15・区４)),0)+ROUND((ROUND((ROUND((ROUND((_15_同援日０．５＿１．０*_15・基礎２),0)*_15・２人),0)*(1+_15・B早朝)),0)*(1+_15・区４)),0)</f>
        <v>744</v>
      </c>
      <c r="AC50" s="48"/>
    </row>
    <row r="51" spans="1:29" ht="16.5" customHeight="1" x14ac:dyDescent="0.15">
      <c r="A51" s="41">
        <v>15</v>
      </c>
      <c r="B51" s="41">
        <v>8883</v>
      </c>
      <c r="C51" s="74" t="s">
        <v>18866</v>
      </c>
      <c r="D51" s="72"/>
      <c r="F51" s="57"/>
      <c r="G51" s="72"/>
      <c r="I51" s="57"/>
      <c r="J51" s="53"/>
      <c r="K51" s="49"/>
      <c r="L51" s="50"/>
      <c r="M51" s="163"/>
      <c r="N51" s="45"/>
      <c r="O51" s="46"/>
      <c r="P51" s="512"/>
      <c r="Q51" s="57"/>
      <c r="R51" s="512"/>
      <c r="S51" s="57"/>
      <c r="T51" s="114" t="s">
        <v>17562</v>
      </c>
      <c r="U51" s="49"/>
      <c r="V51" s="50"/>
      <c r="W51" s="115"/>
      <c r="X51" s="35"/>
      <c r="Y51" s="12" t="s">
        <v>398</v>
      </c>
      <c r="Z51" s="13">
        <v>0.4</v>
      </c>
      <c r="AA51" s="57" t="s">
        <v>3575</v>
      </c>
      <c r="AB51" s="208">
        <f>ROUND((ROUND((ROUND((_15_同援日０．５*(1+_15・A深夜)),0)*(1+_15・盲ろう)),0)*(1+_15・区４)),0)+ROUND((ROUND((ROUND((_15_同援日０．５＿１．０*(1+_15・B早朝)),0)*(1+_15・盲ろう)),0)*(1+_15・区４)),0)</f>
        <v>1030</v>
      </c>
      <c r="AC51" s="48"/>
    </row>
    <row r="52" spans="1:29" ht="16.5" customHeight="1" x14ac:dyDescent="0.15">
      <c r="A52" s="41">
        <v>15</v>
      </c>
      <c r="B52" s="41">
        <v>8884</v>
      </c>
      <c r="C52" s="74" t="s">
        <v>18867</v>
      </c>
      <c r="D52" s="72"/>
      <c r="F52" s="57"/>
      <c r="G52" s="72"/>
      <c r="I52" s="57"/>
      <c r="J52" s="43"/>
      <c r="K52" s="37"/>
      <c r="L52" s="38"/>
      <c r="M52" s="299" t="s">
        <v>17556</v>
      </c>
      <c r="N52" s="45" t="s">
        <v>398</v>
      </c>
      <c r="O52" s="46">
        <v>1</v>
      </c>
      <c r="P52" s="512"/>
      <c r="Q52" s="57"/>
      <c r="R52" s="512"/>
      <c r="S52" s="57"/>
      <c r="T52" s="92" t="s">
        <v>17564</v>
      </c>
      <c r="W52" s="57"/>
      <c r="X52" s="35"/>
      <c r="AA52" s="57"/>
      <c r="AB52" s="208">
        <f>ROUND((ROUND((ROUND((ROUND((_15_同援日０．５*_15・２人),0)*(1+_15・A深夜)),0)*(1+_15・盲ろう)),0)*(1+_15・区４)),0)+ROUND((ROUND((ROUND((ROUND((_15_同援日０．５＿１．０*_15・２人),0)*(1+_15・B早朝)),0)*(1+_15・盲ろう)),0)*(1+_15・区４)),0)</f>
        <v>1030</v>
      </c>
      <c r="AC52" s="48"/>
    </row>
    <row r="53" spans="1:29" ht="16.5" customHeight="1" x14ac:dyDescent="0.15">
      <c r="A53" s="41">
        <v>15</v>
      </c>
      <c r="B53" s="41">
        <v>8885</v>
      </c>
      <c r="C53" s="74" t="s">
        <v>18868</v>
      </c>
      <c r="D53" s="72"/>
      <c r="F53" s="57"/>
      <c r="G53" s="72"/>
      <c r="I53" s="57"/>
      <c r="J53" s="114" t="s">
        <v>17558</v>
      </c>
      <c r="K53" s="49"/>
      <c r="L53" s="50"/>
      <c r="M53" s="163"/>
      <c r="N53" s="45"/>
      <c r="O53" s="46"/>
      <c r="P53" s="512"/>
      <c r="Q53" s="57"/>
      <c r="R53" s="512"/>
      <c r="S53" s="57"/>
      <c r="T53" s="35"/>
      <c r="U53" s="12" t="s">
        <v>398</v>
      </c>
      <c r="V53" s="13">
        <v>0.25</v>
      </c>
      <c r="W53" s="57" t="s">
        <v>3575</v>
      </c>
      <c r="X53" s="35"/>
      <c r="AA53" s="57"/>
      <c r="AB53" s="208">
        <f>ROUND((ROUND((ROUND((ROUND((_15_同援日０．５*_15・基礎２),0)*(1+_15・A深夜)),0)*(1+_15・盲ろう)),0)*(1+_15・区４)),0)+ROUND((ROUND((ROUND((ROUND((_15_同援日０．５＿１．０*_15・基礎２),0)*(1+_15・B早朝)),0)*(1+_15・盲ろう)),0)*(1+_15・区４)),0)</f>
        <v>929</v>
      </c>
      <c r="AC53" s="48"/>
    </row>
    <row r="54" spans="1:29" ht="16.5" customHeight="1" x14ac:dyDescent="0.15">
      <c r="A54" s="41">
        <v>15</v>
      </c>
      <c r="B54" s="41">
        <v>8886</v>
      </c>
      <c r="C54" s="74" t="s">
        <v>18869</v>
      </c>
      <c r="D54" s="72"/>
      <c r="F54" s="57"/>
      <c r="G54" s="122"/>
      <c r="H54" s="37"/>
      <c r="I54" s="79"/>
      <c r="J54" s="269" t="s">
        <v>17560</v>
      </c>
      <c r="K54" s="37" t="s">
        <v>398</v>
      </c>
      <c r="L54" s="38">
        <v>0.9</v>
      </c>
      <c r="M54" s="299" t="s">
        <v>17556</v>
      </c>
      <c r="N54" s="45" t="s">
        <v>398</v>
      </c>
      <c r="O54" s="46">
        <v>1</v>
      </c>
      <c r="P54" s="512"/>
      <c r="Q54" s="57"/>
      <c r="R54" s="512"/>
      <c r="S54" s="57"/>
      <c r="T54" s="43"/>
      <c r="U54" s="37"/>
      <c r="V54" s="38"/>
      <c r="W54" s="79"/>
      <c r="X54" s="43"/>
      <c r="Y54" s="37"/>
      <c r="Z54" s="38"/>
      <c r="AA54" s="79"/>
      <c r="AB54" s="208">
        <f>ROUND((ROUND((ROUND((ROUND((ROUND((_15_同援日０．５*_15・基礎２),0)*_15・２人),0)*(1+_15・A深夜)),0)*(1+_15・盲ろう)),0)*(1+_15・区４)),0)+ROUND((ROUND((ROUND((ROUND((ROUND((_15_同援日０．５＿１．０*_15・基礎２),0)*_15・２人),0)*(1+_15・B早朝)),0)*(1+_15・盲ろう)),0)*(1+_15・区４)),0)</f>
        <v>929</v>
      </c>
      <c r="AC54" s="48"/>
    </row>
    <row r="55" spans="1:29" ht="16.5" customHeight="1" x14ac:dyDescent="0.15">
      <c r="A55" s="41">
        <v>15</v>
      </c>
      <c r="B55" s="41">
        <v>8887</v>
      </c>
      <c r="C55" s="74" t="s">
        <v>18870</v>
      </c>
      <c r="D55" s="72"/>
      <c r="F55" s="57"/>
      <c r="G55" s="114" t="s">
        <v>18871</v>
      </c>
      <c r="H55" s="49"/>
      <c r="I55" s="115"/>
      <c r="J55" s="53"/>
      <c r="K55" s="49"/>
      <c r="L55" s="50"/>
      <c r="M55" s="163"/>
      <c r="N55" s="45"/>
      <c r="O55" s="46"/>
      <c r="P55" s="512"/>
      <c r="Q55" s="57"/>
      <c r="R55" s="512"/>
      <c r="S55" s="57"/>
      <c r="T55" s="53"/>
      <c r="U55" s="49"/>
      <c r="V55" s="50"/>
      <c r="W55" s="115"/>
      <c r="X55" s="53"/>
      <c r="Y55" s="49"/>
      <c r="Z55" s="50"/>
      <c r="AA55" s="115"/>
      <c r="AB55" s="208">
        <f>ROUND((_15_同援日０．５*(1+_15・A深夜)),0)+ROUND((_15_同援日０．５＿１．５*(1+_15・B早朝)),0)</f>
        <v>670</v>
      </c>
      <c r="AC55" s="48"/>
    </row>
    <row r="56" spans="1:29" ht="16.5" customHeight="1" x14ac:dyDescent="0.15">
      <c r="A56" s="41">
        <v>15</v>
      </c>
      <c r="B56" s="41">
        <v>8888</v>
      </c>
      <c r="C56" s="74" t="s">
        <v>18872</v>
      </c>
      <c r="D56" s="72"/>
      <c r="F56" s="57"/>
      <c r="G56" s="72" t="s">
        <v>17616</v>
      </c>
      <c r="I56" s="57"/>
      <c r="J56" s="43"/>
      <c r="K56" s="37"/>
      <c r="L56" s="38"/>
      <c r="M56" s="299" t="s">
        <v>17556</v>
      </c>
      <c r="N56" s="45" t="s">
        <v>398</v>
      </c>
      <c r="O56" s="46">
        <v>1</v>
      </c>
      <c r="P56" s="512"/>
      <c r="Q56" s="57"/>
      <c r="R56" s="512"/>
      <c r="S56" s="57"/>
      <c r="T56" s="35"/>
      <c r="W56" s="57"/>
      <c r="X56" s="35"/>
      <c r="AA56" s="57"/>
      <c r="AB56" s="208">
        <f>ROUND((ROUND((_15_同援日０．５*_15・２人),0)*(1+_15・A深夜)),0)+ROUND((ROUND((_15_同援日０．５＿１．５*_15・２人),0)*(1+_15・B早朝)),0)</f>
        <v>670</v>
      </c>
      <c r="AC56" s="48"/>
    </row>
    <row r="57" spans="1:29" ht="16.5" customHeight="1" x14ac:dyDescent="0.15">
      <c r="A57" s="41">
        <v>15</v>
      </c>
      <c r="B57" s="41">
        <v>8889</v>
      </c>
      <c r="C57" s="74" t="s">
        <v>18873</v>
      </c>
      <c r="D57" s="72"/>
      <c r="F57" s="57"/>
      <c r="G57" s="72" t="s">
        <v>18183</v>
      </c>
      <c r="I57" s="57"/>
      <c r="J57" s="114" t="s">
        <v>17558</v>
      </c>
      <c r="K57" s="49"/>
      <c r="L57" s="50"/>
      <c r="M57" s="163"/>
      <c r="N57" s="45"/>
      <c r="O57" s="46"/>
      <c r="P57" s="512"/>
      <c r="Q57" s="57"/>
      <c r="R57" s="512"/>
      <c r="S57" s="57"/>
      <c r="T57" s="35"/>
      <c r="W57" s="57"/>
      <c r="X57" s="35"/>
      <c r="AA57" s="57"/>
      <c r="AB57" s="208">
        <f>ROUND((ROUND((_15_同援日０．５*_15・基礎２),0)*(1+_15・A深夜)),0)+ROUND((ROUND((_15_同援日０．５＿１．５*_15・基礎２),0)*(1+_15・B早朝)),0)</f>
        <v>603</v>
      </c>
      <c r="AC57" s="48"/>
    </row>
    <row r="58" spans="1:29" ht="16.5" customHeight="1" x14ac:dyDescent="0.15">
      <c r="A58" s="41">
        <v>15</v>
      </c>
      <c r="B58" s="41">
        <v>8890</v>
      </c>
      <c r="C58" s="74" t="s">
        <v>18874</v>
      </c>
      <c r="D58" s="72"/>
      <c r="F58" s="57"/>
      <c r="G58" s="72"/>
      <c r="H58" s="168">
        <f>_15_同援日０．５＿１．５</f>
        <v>308</v>
      </c>
      <c r="I58" s="57" t="s">
        <v>392</v>
      </c>
      <c r="J58" s="269" t="s">
        <v>17560</v>
      </c>
      <c r="K58" s="37" t="s">
        <v>398</v>
      </c>
      <c r="L58" s="38">
        <v>0.9</v>
      </c>
      <c r="M58" s="299" t="s">
        <v>17556</v>
      </c>
      <c r="N58" s="45" t="s">
        <v>398</v>
      </c>
      <c r="O58" s="46">
        <v>1</v>
      </c>
      <c r="P58" s="512"/>
      <c r="Q58" s="57"/>
      <c r="R58" s="512"/>
      <c r="S58" s="57"/>
      <c r="T58" s="43"/>
      <c r="U58" s="37"/>
      <c r="V58" s="38"/>
      <c r="W58" s="79"/>
      <c r="X58" s="35"/>
      <c r="AA58" s="57"/>
      <c r="AB58" s="208">
        <f>ROUND((ROUND((ROUND((_15_同援日０．５*_15・基礎２),0)*_15・２人),0)*(1+_15・A深夜)),0)+ROUND((ROUND((ROUND((_15_同援日０．５＿１．５*_15・基礎２),0)*_15・２人),0)*(1+_15・B早朝)),0)</f>
        <v>603</v>
      </c>
      <c r="AC58" s="48"/>
    </row>
    <row r="59" spans="1:29" ht="16.5" customHeight="1" x14ac:dyDescent="0.15">
      <c r="A59" s="41">
        <v>15</v>
      </c>
      <c r="B59" s="41">
        <v>8891</v>
      </c>
      <c r="C59" s="74" t="s">
        <v>18875</v>
      </c>
      <c r="D59" s="72"/>
      <c r="F59" s="57"/>
      <c r="G59" s="72"/>
      <c r="I59" s="57"/>
      <c r="J59" s="53"/>
      <c r="K59" s="49"/>
      <c r="L59" s="50"/>
      <c r="M59" s="163"/>
      <c r="N59" s="45"/>
      <c r="O59" s="46"/>
      <c r="P59" s="512"/>
      <c r="Q59" s="57"/>
      <c r="R59" s="512"/>
      <c r="S59" s="57"/>
      <c r="T59" s="114" t="s">
        <v>17562</v>
      </c>
      <c r="U59" s="49"/>
      <c r="V59" s="50"/>
      <c r="W59" s="115"/>
      <c r="X59" s="35"/>
      <c r="AA59" s="57"/>
      <c r="AB59" s="208">
        <f>ROUND((ROUND((_15_同援日０．５*(1+_15・A深夜)),0)*(1+_15・盲ろう)),0)+ROUND((ROUND((_15_同援日０．５＿１．５*(1+_15・B早朝)),0)*(1+_15・盲ろう)),0)</f>
        <v>837</v>
      </c>
      <c r="AC59" s="48"/>
    </row>
    <row r="60" spans="1:29" ht="16.5" customHeight="1" x14ac:dyDescent="0.15">
      <c r="A60" s="41">
        <v>15</v>
      </c>
      <c r="B60" s="41">
        <v>8892</v>
      </c>
      <c r="C60" s="74" t="s">
        <v>18876</v>
      </c>
      <c r="D60" s="72"/>
      <c r="F60" s="57"/>
      <c r="G60" s="72"/>
      <c r="I60" s="57"/>
      <c r="J60" s="43"/>
      <c r="K60" s="37"/>
      <c r="L60" s="38"/>
      <c r="M60" s="299" t="s">
        <v>17556</v>
      </c>
      <c r="N60" s="45" t="s">
        <v>398</v>
      </c>
      <c r="O60" s="46">
        <v>1</v>
      </c>
      <c r="P60" s="512"/>
      <c r="Q60" s="57"/>
      <c r="R60" s="512"/>
      <c r="S60" s="57"/>
      <c r="T60" s="92" t="s">
        <v>17564</v>
      </c>
      <c r="W60" s="57"/>
      <c r="X60" s="35"/>
      <c r="AA60" s="57"/>
      <c r="AB60" s="208">
        <f>ROUND((ROUND((ROUND((_15_同援日０．５*_15・２人),0)*(1+_15・A深夜)),0)*(1+_15・盲ろう)),0)+ROUND((ROUND((ROUND((_15_同援日０．５＿１．５*_15・２人),0)*(1+_15・B早朝)),0)*(1+_15・盲ろう)),0)</f>
        <v>837</v>
      </c>
      <c r="AC60" s="48"/>
    </row>
    <row r="61" spans="1:29" ht="16.5" customHeight="1" x14ac:dyDescent="0.15">
      <c r="A61" s="41">
        <v>15</v>
      </c>
      <c r="B61" s="41">
        <v>8893</v>
      </c>
      <c r="C61" s="74" t="s">
        <v>18877</v>
      </c>
      <c r="D61" s="72"/>
      <c r="F61" s="57"/>
      <c r="G61" s="72"/>
      <c r="I61" s="57"/>
      <c r="J61" s="114" t="s">
        <v>17558</v>
      </c>
      <c r="K61" s="49"/>
      <c r="L61" s="50"/>
      <c r="M61" s="163"/>
      <c r="N61" s="45"/>
      <c r="O61" s="46"/>
      <c r="P61" s="512"/>
      <c r="Q61" s="57"/>
      <c r="R61" s="512"/>
      <c r="S61" s="57"/>
      <c r="T61" s="35"/>
      <c r="U61" s="12" t="s">
        <v>398</v>
      </c>
      <c r="V61" s="13">
        <v>0.25</v>
      </c>
      <c r="W61" s="57" t="s">
        <v>3575</v>
      </c>
      <c r="X61" s="35"/>
      <c r="AA61" s="57"/>
      <c r="AB61" s="208">
        <f>ROUND((ROUND((ROUND((_15_同援日０．５*_15・基礎２),0)*(1+_15・A深夜)),0)*(1+_15・盲ろう)),0)+ROUND((ROUND((ROUND((_15_同援日０．５＿１．５*_15・基礎２),0)*(1+_15・B早朝)),0)*(1+_15・盲ろう)),0)</f>
        <v>754</v>
      </c>
      <c r="AC61" s="48"/>
    </row>
    <row r="62" spans="1:29" ht="16.5" customHeight="1" x14ac:dyDescent="0.15">
      <c r="A62" s="41">
        <v>15</v>
      </c>
      <c r="B62" s="41">
        <v>8894</v>
      </c>
      <c r="C62" s="74" t="s">
        <v>18878</v>
      </c>
      <c r="D62" s="72"/>
      <c r="F62" s="57"/>
      <c r="G62" s="72"/>
      <c r="I62" s="57"/>
      <c r="J62" s="269" t="s">
        <v>17560</v>
      </c>
      <c r="K62" s="37" t="s">
        <v>398</v>
      </c>
      <c r="L62" s="38">
        <v>0.9</v>
      </c>
      <c r="M62" s="299" t="s">
        <v>17556</v>
      </c>
      <c r="N62" s="45" t="s">
        <v>398</v>
      </c>
      <c r="O62" s="46">
        <v>1</v>
      </c>
      <c r="P62" s="512"/>
      <c r="Q62" s="57"/>
      <c r="R62" s="512"/>
      <c r="S62" s="57"/>
      <c r="T62" s="43"/>
      <c r="U62" s="37"/>
      <c r="V62" s="38"/>
      <c r="W62" s="79"/>
      <c r="X62" s="43"/>
      <c r="Y62" s="37"/>
      <c r="Z62" s="38"/>
      <c r="AA62" s="79"/>
      <c r="AB62" s="208">
        <f>ROUND((ROUND((ROUND((ROUND((_15_同援日０．５*_15・基礎２),0)*_15・２人),0)*(1+_15・A深夜)),0)*(1+_15・盲ろう)),0)+ROUND((ROUND((ROUND((ROUND((_15_同援日０．５＿１．５*_15・基礎２),0)*_15・２人),0)*(1+_15・B早朝)),0)*(1+_15・盲ろう)),0)</f>
        <v>754</v>
      </c>
      <c r="AC62" s="48"/>
    </row>
    <row r="63" spans="1:29" ht="16.5" customHeight="1" x14ac:dyDescent="0.15">
      <c r="A63" s="41">
        <v>15</v>
      </c>
      <c r="B63" s="41">
        <v>8895</v>
      </c>
      <c r="C63" s="74" t="s">
        <v>18879</v>
      </c>
      <c r="D63" s="72"/>
      <c r="F63" s="57"/>
      <c r="G63" s="72"/>
      <c r="I63" s="57"/>
      <c r="J63" s="53"/>
      <c r="K63" s="49"/>
      <c r="L63" s="50"/>
      <c r="M63" s="163"/>
      <c r="N63" s="45"/>
      <c r="O63" s="46"/>
      <c r="P63" s="512"/>
      <c r="Q63" s="57"/>
      <c r="R63" s="512"/>
      <c r="S63" s="57"/>
      <c r="T63" s="53"/>
      <c r="U63" s="49"/>
      <c r="V63" s="50"/>
      <c r="W63" s="115"/>
      <c r="X63" s="53"/>
      <c r="Y63" s="49"/>
      <c r="Z63" s="50"/>
      <c r="AA63" s="115"/>
      <c r="AB63" s="208">
        <f>ROUND((ROUND((_15_同援日０．５*(1+_15・A深夜)),0)*(1+_15・区３)),0)+ROUND((ROUND((_15_同援日０．５＿１．５*(1+_15・B早朝)),0)*(1+_15・区３)),0)</f>
        <v>804</v>
      </c>
      <c r="AC63" s="48"/>
    </row>
    <row r="64" spans="1:29" ht="16.5" customHeight="1" x14ac:dyDescent="0.15">
      <c r="A64" s="41">
        <v>15</v>
      </c>
      <c r="B64" s="41">
        <v>8896</v>
      </c>
      <c r="C64" s="74" t="s">
        <v>18880</v>
      </c>
      <c r="D64" s="72"/>
      <c r="F64" s="57"/>
      <c r="G64" s="72"/>
      <c r="I64" s="57"/>
      <c r="J64" s="43"/>
      <c r="K64" s="37"/>
      <c r="L64" s="38"/>
      <c r="M64" s="299" t="s">
        <v>17556</v>
      </c>
      <c r="N64" s="45" t="s">
        <v>398</v>
      </c>
      <c r="O64" s="46">
        <v>1</v>
      </c>
      <c r="P64" s="512"/>
      <c r="Q64" s="57"/>
      <c r="R64" s="512"/>
      <c r="S64" s="57"/>
      <c r="T64" s="35"/>
      <c r="W64" s="57"/>
      <c r="X64" s="35"/>
      <c r="AA64" s="57"/>
      <c r="AB64" s="208">
        <f>ROUND((ROUND((ROUND((_15_同援日０．５*_15・２人),0)*(1+_15・A深夜)),0)*(1+_15・区３)),0)+ROUND((ROUND((ROUND((_15_同援日０．５＿１．５*_15・２人),0)*(1+_15・B早朝)),0)*(1+_15・区３)),0)</f>
        <v>804</v>
      </c>
      <c r="AC64" s="48"/>
    </row>
    <row r="65" spans="1:29" ht="16.5" customHeight="1" x14ac:dyDescent="0.15">
      <c r="A65" s="41">
        <v>15</v>
      </c>
      <c r="B65" s="41">
        <v>8897</v>
      </c>
      <c r="C65" s="74" t="s">
        <v>18881</v>
      </c>
      <c r="D65" s="72"/>
      <c r="F65" s="57"/>
      <c r="G65" s="72"/>
      <c r="I65" s="57"/>
      <c r="J65" s="114" t="s">
        <v>17558</v>
      </c>
      <c r="K65" s="49"/>
      <c r="L65" s="50"/>
      <c r="M65" s="163"/>
      <c r="N65" s="45"/>
      <c r="O65" s="46"/>
      <c r="P65" s="512"/>
      <c r="Q65" s="57"/>
      <c r="R65" s="512"/>
      <c r="S65" s="57"/>
      <c r="T65" s="35"/>
      <c r="W65" s="57"/>
      <c r="X65" s="72" t="s">
        <v>17570</v>
      </c>
      <c r="AA65" s="57"/>
      <c r="AB65" s="208">
        <f>ROUND((ROUND((ROUND((_15_同援日０．５*_15・基礎２),0)*(1+_15・A深夜)),0)*(1+_15・区３)),0)+ROUND((ROUND((ROUND((_15_同援日０．５＿１．５*_15・基礎２),0)*(1+_15・B早朝)),0)*(1+_15・区３)),0)</f>
        <v>723</v>
      </c>
      <c r="AC65" s="48"/>
    </row>
    <row r="66" spans="1:29" ht="16.5" customHeight="1" x14ac:dyDescent="0.15">
      <c r="A66" s="41">
        <v>15</v>
      </c>
      <c r="B66" s="41">
        <v>8898</v>
      </c>
      <c r="C66" s="74" t="s">
        <v>18882</v>
      </c>
      <c r="D66" s="72"/>
      <c r="F66" s="57"/>
      <c r="G66" s="72"/>
      <c r="I66" s="57"/>
      <c r="J66" s="269" t="s">
        <v>17560</v>
      </c>
      <c r="K66" s="37" t="s">
        <v>398</v>
      </c>
      <c r="L66" s="38">
        <v>0.9</v>
      </c>
      <c r="M66" s="299" t="s">
        <v>17556</v>
      </c>
      <c r="N66" s="45" t="s">
        <v>398</v>
      </c>
      <c r="O66" s="46">
        <v>1</v>
      </c>
      <c r="P66" s="512"/>
      <c r="Q66" s="57"/>
      <c r="R66" s="512"/>
      <c r="S66" s="57"/>
      <c r="T66" s="43"/>
      <c r="U66" s="37"/>
      <c r="V66" s="38"/>
      <c r="W66" s="79"/>
      <c r="X66" s="72" t="s">
        <v>17572</v>
      </c>
      <c r="AA66" s="57"/>
      <c r="AB66" s="208">
        <f>ROUND((ROUND((ROUND((ROUND((_15_同援日０．５*_15・基礎２),0)*_15・２人),0)*(1+_15・A深夜)),0)*(1+_15・区３)),0)+ROUND((ROUND((ROUND((ROUND((_15_同援日０．５＿１．５*_15・基礎２),0)*_15・２人),0)*(1+_15・B早朝)),0)*(1+_15・区３)),0)</f>
        <v>723</v>
      </c>
      <c r="AC66" s="48"/>
    </row>
    <row r="67" spans="1:29" ht="16.5" customHeight="1" x14ac:dyDescent="0.15">
      <c r="A67" s="41">
        <v>15</v>
      </c>
      <c r="B67" s="41">
        <v>8899</v>
      </c>
      <c r="C67" s="74" t="s">
        <v>18883</v>
      </c>
      <c r="D67" s="72"/>
      <c r="F67" s="57"/>
      <c r="G67" s="72"/>
      <c r="I67" s="57"/>
      <c r="J67" s="53"/>
      <c r="K67" s="49"/>
      <c r="L67" s="50"/>
      <c r="M67" s="163"/>
      <c r="N67" s="45"/>
      <c r="O67" s="46"/>
      <c r="P67" s="512"/>
      <c r="Q67" s="57"/>
      <c r="R67" s="512"/>
      <c r="S67" s="57"/>
      <c r="T67" s="114" t="s">
        <v>17562</v>
      </c>
      <c r="U67" s="49"/>
      <c r="V67" s="50"/>
      <c r="W67" s="115"/>
      <c r="X67" s="35"/>
      <c r="Y67" s="12" t="s">
        <v>398</v>
      </c>
      <c r="Z67" s="13">
        <v>0.2</v>
      </c>
      <c r="AA67" s="57" t="s">
        <v>3575</v>
      </c>
      <c r="AB67" s="208">
        <f>ROUND((ROUND((ROUND((_15_同援日０．５*(1+_15・A深夜)),0)*(1+_15・盲ろう)),0)*(1+_15・区３)),0)+ROUND((ROUND((ROUND((_15_同援日０．５＿１．５*(1+_15・B早朝)),0)*(1+_15・盲ろう)),0)*(1+_15・区３)),0)</f>
        <v>1004</v>
      </c>
      <c r="AC67" s="48"/>
    </row>
    <row r="68" spans="1:29" ht="16.5" customHeight="1" x14ac:dyDescent="0.15">
      <c r="A68" s="41">
        <v>15</v>
      </c>
      <c r="B68" s="41">
        <v>8900</v>
      </c>
      <c r="C68" s="74" t="s">
        <v>18884</v>
      </c>
      <c r="D68" s="72"/>
      <c r="F68" s="57"/>
      <c r="G68" s="72"/>
      <c r="I68" s="57"/>
      <c r="J68" s="43"/>
      <c r="K68" s="37"/>
      <c r="L68" s="38"/>
      <c r="M68" s="299" t="s">
        <v>17556</v>
      </c>
      <c r="N68" s="45" t="s">
        <v>398</v>
      </c>
      <c r="O68" s="46">
        <v>1</v>
      </c>
      <c r="P68" s="512"/>
      <c r="Q68" s="57"/>
      <c r="R68" s="512"/>
      <c r="S68" s="57"/>
      <c r="T68" s="92" t="s">
        <v>17564</v>
      </c>
      <c r="W68" s="57"/>
      <c r="X68" s="35"/>
      <c r="AA68" s="57"/>
      <c r="AB68" s="208">
        <f>ROUND((ROUND((ROUND((ROUND((_15_同援日０．５*_15・２人),0)*(1+_15・A深夜)),0)*(1+_15・盲ろう)),0)*(1+_15・区３)),0)+ROUND((ROUND((ROUND((ROUND((_15_同援日０．５＿１．５*_15・２人),0)*(1+_15・B早朝)),0)*(1+_15・盲ろう)),0)*(1+_15・区３)),0)</f>
        <v>1004</v>
      </c>
      <c r="AC68" s="48"/>
    </row>
    <row r="69" spans="1:29" ht="16.5" customHeight="1" x14ac:dyDescent="0.15">
      <c r="A69" s="41">
        <v>15</v>
      </c>
      <c r="B69" s="41">
        <v>8901</v>
      </c>
      <c r="C69" s="74" t="s">
        <v>18885</v>
      </c>
      <c r="D69" s="72"/>
      <c r="F69" s="57"/>
      <c r="G69" s="72"/>
      <c r="I69" s="57"/>
      <c r="J69" s="114" t="s">
        <v>17558</v>
      </c>
      <c r="K69" s="49"/>
      <c r="L69" s="50"/>
      <c r="M69" s="163"/>
      <c r="N69" s="45"/>
      <c r="O69" s="46"/>
      <c r="P69" s="512"/>
      <c r="Q69" s="57"/>
      <c r="R69" s="512"/>
      <c r="S69" s="57"/>
      <c r="T69" s="35"/>
      <c r="U69" s="12" t="s">
        <v>398</v>
      </c>
      <c r="V69" s="13">
        <v>0.25</v>
      </c>
      <c r="W69" s="57" t="s">
        <v>3575</v>
      </c>
      <c r="X69" s="35"/>
      <c r="AA69" s="57"/>
      <c r="AB69" s="208">
        <f>ROUND((ROUND((ROUND((ROUND((_15_同援日０．５*_15・基礎２),0)*(1+_15・A深夜)),0)*(1+_15・盲ろう)),0)*(1+_15・区３)),0)+ROUND((ROUND((ROUND((ROUND((_15_同援日０．５＿１．５*_15・基礎２),0)*(1+_15・B早朝)),0)*(1+_15・盲ろう)),0)*(1+_15・区３)),0)</f>
        <v>905</v>
      </c>
      <c r="AC69" s="48"/>
    </row>
    <row r="70" spans="1:29" ht="16.5" customHeight="1" x14ac:dyDescent="0.15">
      <c r="A70" s="41">
        <v>15</v>
      </c>
      <c r="B70" s="41">
        <v>8902</v>
      </c>
      <c r="C70" s="74" t="s">
        <v>18886</v>
      </c>
      <c r="D70" s="72"/>
      <c r="F70" s="57"/>
      <c r="G70" s="72"/>
      <c r="I70" s="57"/>
      <c r="J70" s="269" t="s">
        <v>17560</v>
      </c>
      <c r="K70" s="37" t="s">
        <v>398</v>
      </c>
      <c r="L70" s="38">
        <v>0.9</v>
      </c>
      <c r="M70" s="299" t="s">
        <v>17556</v>
      </c>
      <c r="N70" s="45" t="s">
        <v>398</v>
      </c>
      <c r="O70" s="46">
        <v>1</v>
      </c>
      <c r="P70" s="512"/>
      <c r="Q70" s="57"/>
      <c r="R70" s="512"/>
      <c r="S70" s="57"/>
      <c r="T70" s="43"/>
      <c r="U70" s="37"/>
      <c r="V70" s="38"/>
      <c r="W70" s="79"/>
      <c r="X70" s="43"/>
      <c r="Y70" s="37"/>
      <c r="Z70" s="38"/>
      <c r="AA70" s="79"/>
      <c r="AB70" s="208">
        <f>ROUND((ROUND((ROUND((ROUND((ROUND((_15_同援日０．５*_15・基礎２),0)*_15・２人),0)*(1+_15・A深夜)),0)*(1+_15・盲ろう)),0)*(1+_15・区３)),0)+ROUND((ROUND((ROUND((ROUND((ROUND((_15_同援日０．５＿１．５*_15・基礎２),0)*_15・２人),0)*(1+_15・B早朝)),0)*(1+_15・盲ろう)),0)*(1+_15・区３)),0)</f>
        <v>905</v>
      </c>
      <c r="AC70" s="48"/>
    </row>
    <row r="71" spans="1:29" ht="16.5" customHeight="1" x14ac:dyDescent="0.15">
      <c r="A71" s="41">
        <v>15</v>
      </c>
      <c r="B71" s="41">
        <v>8903</v>
      </c>
      <c r="C71" s="74" t="s">
        <v>18887</v>
      </c>
      <c r="D71" s="72"/>
      <c r="F71" s="57"/>
      <c r="G71" s="72"/>
      <c r="I71" s="57"/>
      <c r="J71" s="53"/>
      <c r="K71" s="49"/>
      <c r="L71" s="50"/>
      <c r="M71" s="163"/>
      <c r="N71" s="45"/>
      <c r="O71" s="46"/>
      <c r="P71" s="512"/>
      <c r="Q71" s="57"/>
      <c r="R71" s="512"/>
      <c r="S71" s="57"/>
      <c r="T71" s="53"/>
      <c r="U71" s="49"/>
      <c r="V71" s="50"/>
      <c r="W71" s="115"/>
      <c r="X71" s="53"/>
      <c r="Y71" s="49"/>
      <c r="Z71" s="50"/>
      <c r="AA71" s="115"/>
      <c r="AB71" s="208">
        <f>ROUND((ROUND((_15_同援日０．５*(1+_15・A深夜)),0)*(1+_15・区４)),0)+ROUND((ROUND((_15_同援日０．５＿１．５*(1+_15・B早朝)),0)*(1+_15・区４)),0)</f>
        <v>938</v>
      </c>
      <c r="AC71" s="48"/>
    </row>
    <row r="72" spans="1:29" ht="16.5" customHeight="1" x14ac:dyDescent="0.15">
      <c r="A72" s="41">
        <v>15</v>
      </c>
      <c r="B72" s="41">
        <v>8904</v>
      </c>
      <c r="C72" s="74" t="s">
        <v>18888</v>
      </c>
      <c r="D72" s="72"/>
      <c r="F72" s="57"/>
      <c r="G72" s="72"/>
      <c r="I72" s="57"/>
      <c r="J72" s="43"/>
      <c r="K72" s="37"/>
      <c r="L72" s="38"/>
      <c r="M72" s="299" t="s">
        <v>17556</v>
      </c>
      <c r="N72" s="45" t="s">
        <v>398</v>
      </c>
      <c r="O72" s="46">
        <v>1</v>
      </c>
      <c r="P72" s="512"/>
      <c r="Q72" s="57"/>
      <c r="R72" s="512"/>
      <c r="S72" s="57"/>
      <c r="T72" s="35"/>
      <c r="W72" s="57"/>
      <c r="X72" s="35"/>
      <c r="AA72" s="57"/>
      <c r="AB72" s="208">
        <f>ROUND((ROUND((ROUND((_15_同援日０．５*_15・２人),0)*(1+_15・A深夜)),0)*(1+_15・区４)),0)+ROUND((ROUND((ROUND((_15_同援日０．５＿１．５*_15・２人),0)*(1+_15・B早朝)),0)*(1+_15・区４)),0)</f>
        <v>938</v>
      </c>
      <c r="AC72" s="48"/>
    </row>
    <row r="73" spans="1:29" ht="16.5" customHeight="1" x14ac:dyDescent="0.15">
      <c r="A73" s="41">
        <v>15</v>
      </c>
      <c r="B73" s="41">
        <v>8905</v>
      </c>
      <c r="C73" s="74" t="s">
        <v>18889</v>
      </c>
      <c r="D73" s="72"/>
      <c r="F73" s="57"/>
      <c r="G73" s="72"/>
      <c r="I73" s="57"/>
      <c r="J73" s="114" t="s">
        <v>17558</v>
      </c>
      <c r="K73" s="49"/>
      <c r="L73" s="50"/>
      <c r="M73" s="163"/>
      <c r="N73" s="45"/>
      <c r="O73" s="46"/>
      <c r="P73" s="512"/>
      <c r="Q73" s="57"/>
      <c r="R73" s="512"/>
      <c r="S73" s="57"/>
      <c r="T73" s="35"/>
      <c r="W73" s="57"/>
      <c r="X73" s="72" t="s">
        <v>17580</v>
      </c>
      <c r="AA73" s="57"/>
      <c r="AB73" s="208">
        <f>ROUND((ROUND((ROUND((_15_同援日０．５*_15・基礎２),0)*(1+_15・A深夜)),0)*(1+_15・区４)),0)+ROUND((ROUND((ROUND((_15_同援日０．５＿１．５*_15・基礎２),0)*(1+_15・B早朝)),0)*(1+_15・区４)),0)</f>
        <v>844</v>
      </c>
      <c r="AC73" s="48"/>
    </row>
    <row r="74" spans="1:29" ht="16.5" customHeight="1" x14ac:dyDescent="0.15">
      <c r="A74" s="41">
        <v>15</v>
      </c>
      <c r="B74" s="41">
        <v>8906</v>
      </c>
      <c r="C74" s="74" t="s">
        <v>18890</v>
      </c>
      <c r="D74" s="72"/>
      <c r="F74" s="57"/>
      <c r="G74" s="72"/>
      <c r="I74" s="57"/>
      <c r="J74" s="269" t="s">
        <v>17560</v>
      </c>
      <c r="K74" s="37" t="s">
        <v>398</v>
      </c>
      <c r="L74" s="38">
        <v>0.9</v>
      </c>
      <c r="M74" s="299" t="s">
        <v>17556</v>
      </c>
      <c r="N74" s="45" t="s">
        <v>398</v>
      </c>
      <c r="O74" s="46">
        <v>1</v>
      </c>
      <c r="P74" s="512"/>
      <c r="Q74" s="57"/>
      <c r="R74" s="512"/>
      <c r="S74" s="57"/>
      <c r="T74" s="43"/>
      <c r="U74" s="37"/>
      <c r="V74" s="38"/>
      <c r="W74" s="79"/>
      <c r="X74" s="72" t="s">
        <v>17572</v>
      </c>
      <c r="AA74" s="57"/>
      <c r="AB74" s="208">
        <f>ROUND((ROUND((ROUND((ROUND((_15_同援日０．５*_15・基礎２),0)*_15・２人),0)*(1+_15・A深夜)),0)*(1+_15・区４)),0)+ROUND((ROUND((ROUND((ROUND((_15_同援日０．５＿１．５*_15・基礎２),0)*_15・２人),0)*(1+_15・B早朝)),0)*(1+_15・区４)),0)</f>
        <v>844</v>
      </c>
      <c r="AC74" s="48"/>
    </row>
    <row r="75" spans="1:29" ht="16.5" customHeight="1" x14ac:dyDescent="0.15">
      <c r="A75" s="41">
        <v>15</v>
      </c>
      <c r="B75" s="41">
        <v>8907</v>
      </c>
      <c r="C75" s="74" t="s">
        <v>18891</v>
      </c>
      <c r="D75" s="72"/>
      <c r="F75" s="57"/>
      <c r="G75" s="72"/>
      <c r="I75" s="57"/>
      <c r="J75" s="53"/>
      <c r="K75" s="49"/>
      <c r="L75" s="50"/>
      <c r="M75" s="163"/>
      <c r="N75" s="45"/>
      <c r="O75" s="46"/>
      <c r="P75" s="512"/>
      <c r="Q75" s="57"/>
      <c r="R75" s="512"/>
      <c r="S75" s="57"/>
      <c r="T75" s="114" t="s">
        <v>17562</v>
      </c>
      <c r="U75" s="49"/>
      <c r="V75" s="50"/>
      <c r="W75" s="115"/>
      <c r="X75" s="35"/>
      <c r="Y75" s="12" t="s">
        <v>398</v>
      </c>
      <c r="Z75" s="13">
        <v>0.4</v>
      </c>
      <c r="AA75" s="57" t="s">
        <v>3575</v>
      </c>
      <c r="AB75" s="208">
        <f>ROUND((ROUND((ROUND((_15_同援日０．５*(1+_15・A深夜)),0)*(1+_15・盲ろう)),0)*(1+_15・区４)),0)+ROUND((ROUND((ROUND((_15_同援日０．５＿１．５*(1+_15・B早朝)),0)*(1+_15・盲ろう)),0)*(1+_15・区４)),0)</f>
        <v>1171</v>
      </c>
      <c r="AC75" s="48"/>
    </row>
    <row r="76" spans="1:29" ht="16.5" customHeight="1" x14ac:dyDescent="0.15">
      <c r="A76" s="41">
        <v>15</v>
      </c>
      <c r="B76" s="41">
        <v>8908</v>
      </c>
      <c r="C76" s="74" t="s">
        <v>18892</v>
      </c>
      <c r="D76" s="72"/>
      <c r="F76" s="57"/>
      <c r="G76" s="72"/>
      <c r="I76" s="57"/>
      <c r="J76" s="43"/>
      <c r="K76" s="37"/>
      <c r="L76" s="38"/>
      <c r="M76" s="299" t="s">
        <v>17556</v>
      </c>
      <c r="N76" s="45" t="s">
        <v>398</v>
      </c>
      <c r="O76" s="46">
        <v>1</v>
      </c>
      <c r="P76" s="512"/>
      <c r="Q76" s="57"/>
      <c r="R76" s="512"/>
      <c r="S76" s="57"/>
      <c r="T76" s="92" t="s">
        <v>17564</v>
      </c>
      <c r="W76" s="57"/>
      <c r="X76" s="35"/>
      <c r="AA76" s="57"/>
      <c r="AB76" s="208">
        <f>ROUND((ROUND((ROUND((ROUND((_15_同援日０．５*_15・２人),0)*(1+_15・A深夜)),0)*(1+_15・盲ろう)),0)*(1+_15・区４)),0)+ROUND((ROUND((ROUND((ROUND((_15_同援日０．５＿１．５*_15・２人),0)*(1+_15・B早朝)),0)*(1+_15・盲ろう)),0)*(1+_15・区４)),0)</f>
        <v>1171</v>
      </c>
      <c r="AC76" s="48"/>
    </row>
    <row r="77" spans="1:29" ht="16.5" customHeight="1" x14ac:dyDescent="0.15">
      <c r="A77" s="41">
        <v>15</v>
      </c>
      <c r="B77" s="41">
        <v>8909</v>
      </c>
      <c r="C77" s="74" t="s">
        <v>18893</v>
      </c>
      <c r="D77" s="72"/>
      <c r="F77" s="57"/>
      <c r="G77" s="72"/>
      <c r="I77" s="57"/>
      <c r="J77" s="114" t="s">
        <v>17558</v>
      </c>
      <c r="K77" s="49"/>
      <c r="L77" s="50"/>
      <c r="M77" s="163"/>
      <c r="N77" s="45"/>
      <c r="O77" s="46"/>
      <c r="P77" s="512"/>
      <c r="Q77" s="57"/>
      <c r="R77" s="512"/>
      <c r="S77" s="57"/>
      <c r="T77" s="35"/>
      <c r="U77" s="12" t="s">
        <v>398</v>
      </c>
      <c r="V77" s="13">
        <v>0.25</v>
      </c>
      <c r="W77" s="57" t="s">
        <v>3575</v>
      </c>
      <c r="X77" s="35"/>
      <c r="AA77" s="57"/>
      <c r="AB77" s="208">
        <f>ROUND((ROUND((ROUND((ROUND((_15_同援日０．５*_15・基礎２),0)*(1+_15・A深夜)),0)*(1+_15・盲ろう)),0)*(1+_15・区４)),0)+ROUND((ROUND((ROUND((ROUND((_15_同援日０．５＿１．５*_15・基礎２),0)*(1+_15・B早朝)),0)*(1+_15・盲ろう)),0)*(1+_15・区４)),0)</f>
        <v>1055</v>
      </c>
      <c r="AC77" s="48"/>
    </row>
    <row r="78" spans="1:29" ht="16.5" customHeight="1" x14ac:dyDescent="0.15">
      <c r="A78" s="41">
        <v>15</v>
      </c>
      <c r="B78" s="41">
        <v>8910</v>
      </c>
      <c r="C78" s="74" t="s">
        <v>18894</v>
      </c>
      <c r="D78" s="72"/>
      <c r="F78" s="57"/>
      <c r="G78" s="122"/>
      <c r="H78" s="37"/>
      <c r="I78" s="79"/>
      <c r="J78" s="269" t="s">
        <v>17560</v>
      </c>
      <c r="K78" s="37" t="s">
        <v>398</v>
      </c>
      <c r="L78" s="38">
        <v>0.9</v>
      </c>
      <c r="M78" s="299" t="s">
        <v>17556</v>
      </c>
      <c r="N78" s="45" t="s">
        <v>398</v>
      </c>
      <c r="O78" s="46">
        <v>1</v>
      </c>
      <c r="P78" s="512"/>
      <c r="Q78" s="57"/>
      <c r="R78" s="512"/>
      <c r="S78" s="57"/>
      <c r="T78" s="43"/>
      <c r="U78" s="37"/>
      <c r="V78" s="38"/>
      <c r="W78" s="79"/>
      <c r="X78" s="43"/>
      <c r="Y78" s="37"/>
      <c r="Z78" s="38"/>
      <c r="AA78" s="79"/>
      <c r="AB78" s="208">
        <f>ROUND((ROUND((ROUND((ROUND((ROUND((_15_同援日０．５*_15・基礎２),0)*_15・２人),0)*(1+_15・A深夜)),0)*(1+_15・盲ろう)),0)*(1+_15・区４)),0)+ROUND((ROUND((ROUND((ROUND((ROUND((_15_同援日０．５＿１．５*_15・基礎２),0)*_15・２人),0)*(1+_15・B早朝)),0)*(1+_15・盲ろう)),0)*(1+_15・区４)),0)</f>
        <v>1055</v>
      </c>
      <c r="AC78" s="48"/>
    </row>
    <row r="79" spans="1:29" ht="16.5" customHeight="1" x14ac:dyDescent="0.15">
      <c r="A79" s="41">
        <v>15</v>
      </c>
      <c r="B79" s="41">
        <v>8911</v>
      </c>
      <c r="C79" s="74" t="s">
        <v>18895</v>
      </c>
      <c r="D79" s="72"/>
      <c r="F79" s="57"/>
      <c r="G79" s="114" t="s">
        <v>18896</v>
      </c>
      <c r="H79" s="49"/>
      <c r="I79" s="115"/>
      <c r="J79" s="53"/>
      <c r="K79" s="49"/>
      <c r="L79" s="50"/>
      <c r="M79" s="163"/>
      <c r="N79" s="45"/>
      <c r="O79" s="46"/>
      <c r="P79" s="512"/>
      <c r="Q79" s="57"/>
      <c r="R79" s="512"/>
      <c r="S79" s="57"/>
      <c r="T79" s="53"/>
      <c r="U79" s="49"/>
      <c r="V79" s="50"/>
      <c r="W79" s="115"/>
      <c r="X79" s="53"/>
      <c r="Y79" s="49"/>
      <c r="Z79" s="50"/>
      <c r="AA79" s="115"/>
      <c r="AB79" s="208">
        <f>ROUND((_15_同援日０．５*(1+_15・A深夜)),0)+ROUND((_15_同援日０．５＿２．０*(1+_15・B早朝)),0)</f>
        <v>751</v>
      </c>
      <c r="AC79" s="48"/>
    </row>
    <row r="80" spans="1:29" ht="16.5" customHeight="1" x14ac:dyDescent="0.15">
      <c r="A80" s="41">
        <v>15</v>
      </c>
      <c r="B80" s="41">
        <v>8912</v>
      </c>
      <c r="C80" s="74" t="s">
        <v>18897</v>
      </c>
      <c r="D80" s="72"/>
      <c r="F80" s="57"/>
      <c r="G80" s="72" t="s">
        <v>17643</v>
      </c>
      <c r="I80" s="57"/>
      <c r="J80" s="43"/>
      <c r="K80" s="37"/>
      <c r="L80" s="38"/>
      <c r="M80" s="299" t="s">
        <v>17556</v>
      </c>
      <c r="N80" s="45" t="s">
        <v>398</v>
      </c>
      <c r="O80" s="46">
        <v>1</v>
      </c>
      <c r="P80" s="512"/>
      <c r="Q80" s="57"/>
      <c r="R80" s="512"/>
      <c r="S80" s="57"/>
      <c r="T80" s="35"/>
      <c r="W80" s="57"/>
      <c r="X80" s="35"/>
      <c r="AA80" s="57"/>
      <c r="AB80" s="208">
        <f>ROUND((ROUND((_15_同援日０．５*_15・２人),0)*(1+_15・A深夜)),0)+ROUND((ROUND((_15_同援日０．５＿２．０*_15・２人),0)*(1+_15・B早朝)),0)</f>
        <v>751</v>
      </c>
      <c r="AC80" s="48"/>
    </row>
    <row r="81" spans="1:29" ht="16.5" customHeight="1" x14ac:dyDescent="0.15">
      <c r="A81" s="41">
        <v>15</v>
      </c>
      <c r="B81" s="41">
        <v>8913</v>
      </c>
      <c r="C81" s="74" t="s">
        <v>18898</v>
      </c>
      <c r="D81" s="72"/>
      <c r="F81" s="57"/>
      <c r="G81" s="72" t="s">
        <v>17645</v>
      </c>
      <c r="I81" s="57"/>
      <c r="J81" s="114" t="s">
        <v>17558</v>
      </c>
      <c r="K81" s="49"/>
      <c r="L81" s="50"/>
      <c r="M81" s="163"/>
      <c r="N81" s="45"/>
      <c r="O81" s="46"/>
      <c r="P81" s="512"/>
      <c r="Q81" s="57"/>
      <c r="R81" s="512"/>
      <c r="S81" s="57"/>
      <c r="T81" s="35"/>
      <c r="W81" s="57"/>
      <c r="X81" s="35"/>
      <c r="AA81" s="57"/>
      <c r="AB81" s="208">
        <f>ROUND((ROUND((_15_同援日０．５*_15・基礎２),0)*(1+_15・A深夜)),0)+ROUND((ROUND((_15_同援日０．５＿２．０*_15・基礎２),0)*(1+_15・B早朝)),0)</f>
        <v>677</v>
      </c>
      <c r="AC81" s="48"/>
    </row>
    <row r="82" spans="1:29" ht="16.5" customHeight="1" x14ac:dyDescent="0.15">
      <c r="A82" s="41">
        <v>15</v>
      </c>
      <c r="B82" s="41">
        <v>8914</v>
      </c>
      <c r="C82" s="74" t="s">
        <v>18899</v>
      </c>
      <c r="D82" s="72"/>
      <c r="F82" s="57"/>
      <c r="G82" s="72"/>
      <c r="H82" s="168">
        <f>_15_同援日０．５＿２．０</f>
        <v>373</v>
      </c>
      <c r="I82" s="57" t="s">
        <v>392</v>
      </c>
      <c r="J82" s="269" t="s">
        <v>17560</v>
      </c>
      <c r="K82" s="37" t="s">
        <v>398</v>
      </c>
      <c r="L82" s="38">
        <v>0.9</v>
      </c>
      <c r="M82" s="299" t="s">
        <v>17556</v>
      </c>
      <c r="N82" s="45" t="s">
        <v>398</v>
      </c>
      <c r="O82" s="46">
        <v>1</v>
      </c>
      <c r="P82" s="512"/>
      <c r="Q82" s="57"/>
      <c r="R82" s="512"/>
      <c r="S82" s="57"/>
      <c r="T82" s="43"/>
      <c r="U82" s="37"/>
      <c r="V82" s="38"/>
      <c r="W82" s="79"/>
      <c r="X82" s="35"/>
      <c r="AA82" s="57"/>
      <c r="AB82" s="208">
        <f>ROUND((ROUND((ROUND((_15_同援日０．５*_15・基礎２),0)*_15・２人),0)*(1+_15・A深夜)),0)+ROUND((ROUND((ROUND((_15_同援日０．５＿２．０*_15・基礎２),0)*_15・２人),0)*(1+_15・B早朝)),0)</f>
        <v>677</v>
      </c>
      <c r="AC82" s="48"/>
    </row>
    <row r="83" spans="1:29" ht="16.5" customHeight="1" x14ac:dyDescent="0.15">
      <c r="A83" s="41">
        <v>15</v>
      </c>
      <c r="B83" s="41">
        <v>8915</v>
      </c>
      <c r="C83" s="74" t="s">
        <v>18900</v>
      </c>
      <c r="D83" s="72"/>
      <c r="F83" s="57"/>
      <c r="G83" s="72"/>
      <c r="I83" s="57"/>
      <c r="J83" s="53"/>
      <c r="K83" s="49"/>
      <c r="L83" s="50"/>
      <c r="M83" s="163"/>
      <c r="N83" s="45"/>
      <c r="O83" s="46"/>
      <c r="P83" s="512"/>
      <c r="Q83" s="57"/>
      <c r="R83" s="512"/>
      <c r="S83" s="57"/>
      <c r="T83" s="114" t="s">
        <v>17562</v>
      </c>
      <c r="U83" s="49"/>
      <c r="V83" s="50"/>
      <c r="W83" s="115"/>
      <c r="X83" s="35"/>
      <c r="AA83" s="57"/>
      <c r="AB83" s="208">
        <f>ROUND((ROUND((_15_同援日０．５*(1+_15・A深夜)),0)*(1+_15・盲ろう)),0)+ROUND((ROUND((_15_同援日０．５＿２．０*(1+_15・B早朝)),0)*(1+_15・盲ろう)),0)</f>
        <v>939</v>
      </c>
      <c r="AC83" s="48"/>
    </row>
    <row r="84" spans="1:29" ht="16.5" customHeight="1" x14ac:dyDescent="0.15">
      <c r="A84" s="41">
        <v>15</v>
      </c>
      <c r="B84" s="41">
        <v>8916</v>
      </c>
      <c r="C84" s="74" t="s">
        <v>18901</v>
      </c>
      <c r="D84" s="72"/>
      <c r="F84" s="57"/>
      <c r="G84" s="72"/>
      <c r="I84" s="57"/>
      <c r="J84" s="43"/>
      <c r="K84" s="37"/>
      <c r="L84" s="38"/>
      <c r="M84" s="299" t="s">
        <v>17556</v>
      </c>
      <c r="N84" s="45" t="s">
        <v>398</v>
      </c>
      <c r="O84" s="46">
        <v>1</v>
      </c>
      <c r="P84" s="512"/>
      <c r="Q84" s="57"/>
      <c r="R84" s="512"/>
      <c r="S84" s="57"/>
      <c r="T84" s="92" t="s">
        <v>17564</v>
      </c>
      <c r="W84" s="57"/>
      <c r="X84" s="35"/>
      <c r="AA84" s="57"/>
      <c r="AB84" s="208">
        <f>ROUND((ROUND((ROUND((_15_同援日０．５*_15・２人),0)*(1+_15・A深夜)),0)*(1+_15・盲ろう)),0)+ROUND((ROUND((ROUND((_15_同援日０．５＿２．０*_15・２人),0)*(1+_15・B早朝)),0)*(1+_15・盲ろう)),0)</f>
        <v>939</v>
      </c>
      <c r="AC84" s="48"/>
    </row>
    <row r="85" spans="1:29" ht="16.5" customHeight="1" x14ac:dyDescent="0.15">
      <c r="A85" s="41">
        <v>15</v>
      </c>
      <c r="B85" s="41">
        <v>8917</v>
      </c>
      <c r="C85" s="74" t="s">
        <v>18902</v>
      </c>
      <c r="D85" s="72"/>
      <c r="F85" s="57"/>
      <c r="G85" s="72"/>
      <c r="I85" s="57"/>
      <c r="J85" s="114" t="s">
        <v>17558</v>
      </c>
      <c r="K85" s="49"/>
      <c r="L85" s="50"/>
      <c r="M85" s="163"/>
      <c r="N85" s="45"/>
      <c r="O85" s="46"/>
      <c r="P85" s="512"/>
      <c r="Q85" s="57"/>
      <c r="R85" s="512"/>
      <c r="S85" s="57"/>
      <c r="T85" s="35"/>
      <c r="U85" s="12" t="s">
        <v>398</v>
      </c>
      <c r="V85" s="13">
        <v>0.25</v>
      </c>
      <c r="W85" s="57" t="s">
        <v>3575</v>
      </c>
      <c r="X85" s="35"/>
      <c r="AA85" s="57"/>
      <c r="AB85" s="208">
        <f>ROUND((ROUND((ROUND((_15_同援日０．５*_15・基礎２),0)*(1+_15・A深夜)),0)*(1+_15・盲ろう)),0)+ROUND((ROUND((ROUND((_15_同援日０．５＿２．０*_15・基礎２),0)*(1+_15・B早朝)),0)*(1+_15・盲ろう)),0)</f>
        <v>846</v>
      </c>
      <c r="AC85" s="48"/>
    </row>
    <row r="86" spans="1:29" ht="16.5" customHeight="1" x14ac:dyDescent="0.15">
      <c r="A86" s="41">
        <v>15</v>
      </c>
      <c r="B86" s="41">
        <v>8918</v>
      </c>
      <c r="C86" s="74" t="s">
        <v>18903</v>
      </c>
      <c r="D86" s="72"/>
      <c r="F86" s="57"/>
      <c r="G86" s="72"/>
      <c r="I86" s="57"/>
      <c r="J86" s="269" t="s">
        <v>17560</v>
      </c>
      <c r="K86" s="37" t="s">
        <v>398</v>
      </c>
      <c r="L86" s="38">
        <v>0.9</v>
      </c>
      <c r="M86" s="299" t="s">
        <v>17556</v>
      </c>
      <c r="N86" s="45" t="s">
        <v>398</v>
      </c>
      <c r="O86" s="46">
        <v>1</v>
      </c>
      <c r="P86" s="512"/>
      <c r="Q86" s="57"/>
      <c r="R86" s="512"/>
      <c r="S86" s="57"/>
      <c r="T86" s="43"/>
      <c r="U86" s="37"/>
      <c r="V86" s="38"/>
      <c r="W86" s="79"/>
      <c r="X86" s="43"/>
      <c r="Y86" s="37"/>
      <c r="Z86" s="38"/>
      <c r="AA86" s="79"/>
      <c r="AB86" s="208">
        <f>ROUND((ROUND((ROUND((ROUND((_15_同援日０．５*_15・基礎２),0)*_15・２人),0)*(1+_15・A深夜)),0)*(1+_15・盲ろう)),0)+ROUND((ROUND((ROUND((ROUND((_15_同援日０．５＿２．０*_15・基礎２),0)*_15・２人),0)*(1+_15・B早朝)),0)*(1+_15・盲ろう)),0)</f>
        <v>846</v>
      </c>
      <c r="AC86" s="48"/>
    </row>
    <row r="87" spans="1:29" ht="16.5" customHeight="1" x14ac:dyDescent="0.15">
      <c r="A87" s="41">
        <v>15</v>
      </c>
      <c r="B87" s="41">
        <v>8919</v>
      </c>
      <c r="C87" s="74" t="s">
        <v>18904</v>
      </c>
      <c r="D87" s="72"/>
      <c r="F87" s="57"/>
      <c r="G87" s="72"/>
      <c r="I87" s="57"/>
      <c r="J87" s="53"/>
      <c r="K87" s="49"/>
      <c r="L87" s="50"/>
      <c r="M87" s="163"/>
      <c r="N87" s="45"/>
      <c r="O87" s="46"/>
      <c r="P87" s="512"/>
      <c r="Q87" s="57"/>
      <c r="R87" s="512"/>
      <c r="S87" s="57"/>
      <c r="T87" s="53"/>
      <c r="U87" s="49"/>
      <c r="V87" s="50"/>
      <c r="W87" s="115"/>
      <c r="X87" s="53"/>
      <c r="Y87" s="49"/>
      <c r="Z87" s="50"/>
      <c r="AA87" s="115"/>
      <c r="AB87" s="208">
        <f>ROUND((ROUND((_15_同援日０．５*(1+_15・A深夜)),0)*(1+_15・区３)),0)+ROUND((ROUND((_15_同援日０．５＿２．０*(1+_15・B早朝)),0)*(1+_15・区３)),0)</f>
        <v>901</v>
      </c>
      <c r="AC87" s="48"/>
    </row>
    <row r="88" spans="1:29" ht="16.5" customHeight="1" x14ac:dyDescent="0.15">
      <c r="A88" s="41">
        <v>15</v>
      </c>
      <c r="B88" s="41">
        <v>8920</v>
      </c>
      <c r="C88" s="74" t="s">
        <v>18905</v>
      </c>
      <c r="D88" s="72"/>
      <c r="F88" s="57"/>
      <c r="G88" s="72"/>
      <c r="I88" s="57"/>
      <c r="J88" s="43"/>
      <c r="K88" s="37"/>
      <c r="L88" s="38"/>
      <c r="M88" s="299" t="s">
        <v>17556</v>
      </c>
      <c r="N88" s="45" t="s">
        <v>398</v>
      </c>
      <c r="O88" s="46">
        <v>1</v>
      </c>
      <c r="P88" s="512"/>
      <c r="Q88" s="57"/>
      <c r="R88" s="512"/>
      <c r="S88" s="57"/>
      <c r="T88" s="35"/>
      <c r="W88" s="57"/>
      <c r="X88" s="35"/>
      <c r="AA88" s="57"/>
      <c r="AB88" s="208">
        <f>ROUND((ROUND((ROUND((_15_同援日０．５*_15・２人),0)*(1+_15・A深夜)),0)*(1+_15・区３)),0)+ROUND((ROUND((ROUND((_15_同援日０．５＿２．０*_15・２人),0)*(1+_15・B早朝)),0)*(1+_15・区３)),0)</f>
        <v>901</v>
      </c>
      <c r="AC88" s="48"/>
    </row>
    <row r="89" spans="1:29" ht="16.5" customHeight="1" x14ac:dyDescent="0.15">
      <c r="A89" s="41">
        <v>15</v>
      </c>
      <c r="B89" s="41">
        <v>8921</v>
      </c>
      <c r="C89" s="74" t="s">
        <v>18906</v>
      </c>
      <c r="D89" s="72"/>
      <c r="F89" s="57"/>
      <c r="G89" s="72"/>
      <c r="I89" s="57"/>
      <c r="J89" s="114" t="s">
        <v>17558</v>
      </c>
      <c r="K89" s="49"/>
      <c r="L89" s="50"/>
      <c r="M89" s="163"/>
      <c r="N89" s="45"/>
      <c r="O89" s="46"/>
      <c r="P89" s="512"/>
      <c r="Q89" s="57"/>
      <c r="R89" s="512"/>
      <c r="S89" s="57"/>
      <c r="T89" s="35"/>
      <c r="W89" s="57"/>
      <c r="X89" s="72" t="s">
        <v>17570</v>
      </c>
      <c r="AA89" s="57"/>
      <c r="AB89" s="208">
        <f>ROUND((ROUND((ROUND((_15_同援日０．５*_15・基礎２),0)*(1+_15・A深夜)),0)*(1+_15・区３)),0)+ROUND((ROUND((ROUND((_15_同援日０．５＿２．０*_15・基礎２),0)*(1+_15・B早朝)),0)*(1+_15・区３)),0)</f>
        <v>812</v>
      </c>
      <c r="AC89" s="48"/>
    </row>
    <row r="90" spans="1:29" ht="16.5" customHeight="1" x14ac:dyDescent="0.15">
      <c r="A90" s="41">
        <v>15</v>
      </c>
      <c r="B90" s="41">
        <v>8922</v>
      </c>
      <c r="C90" s="74" t="s">
        <v>18907</v>
      </c>
      <c r="D90" s="72"/>
      <c r="F90" s="57"/>
      <c r="G90" s="72"/>
      <c r="I90" s="57"/>
      <c r="J90" s="269" t="s">
        <v>17560</v>
      </c>
      <c r="K90" s="37" t="s">
        <v>398</v>
      </c>
      <c r="L90" s="38">
        <v>0.9</v>
      </c>
      <c r="M90" s="299" t="s">
        <v>17556</v>
      </c>
      <c r="N90" s="45" t="s">
        <v>398</v>
      </c>
      <c r="O90" s="46">
        <v>1</v>
      </c>
      <c r="P90" s="512"/>
      <c r="Q90" s="57"/>
      <c r="R90" s="512"/>
      <c r="S90" s="57"/>
      <c r="T90" s="43"/>
      <c r="U90" s="37"/>
      <c r="V90" s="38"/>
      <c r="W90" s="79"/>
      <c r="X90" s="72" t="s">
        <v>17572</v>
      </c>
      <c r="AA90" s="57"/>
      <c r="AB90" s="208">
        <f>ROUND((ROUND((ROUND((ROUND((_15_同援日０．５*_15・基礎２),0)*_15・２人),0)*(1+_15・A深夜)),0)*(1+_15・区３)),0)+ROUND((ROUND((ROUND((ROUND((_15_同援日０．５＿２．０*_15・基礎２),0)*_15・２人),0)*(1+_15・B早朝)),0)*(1+_15・区３)),0)</f>
        <v>812</v>
      </c>
      <c r="AC90" s="48"/>
    </row>
    <row r="91" spans="1:29" ht="16.5" customHeight="1" x14ac:dyDescent="0.15">
      <c r="A91" s="41">
        <v>15</v>
      </c>
      <c r="B91" s="41">
        <v>8923</v>
      </c>
      <c r="C91" s="74" t="s">
        <v>18908</v>
      </c>
      <c r="D91" s="72"/>
      <c r="F91" s="57"/>
      <c r="G91" s="72"/>
      <c r="I91" s="57"/>
      <c r="J91" s="53"/>
      <c r="K91" s="49"/>
      <c r="L91" s="50"/>
      <c r="M91" s="163"/>
      <c r="N91" s="45"/>
      <c r="O91" s="46"/>
      <c r="P91" s="512"/>
      <c r="Q91" s="57"/>
      <c r="R91" s="512"/>
      <c r="S91" s="57"/>
      <c r="T91" s="114" t="s">
        <v>17562</v>
      </c>
      <c r="U91" s="49"/>
      <c r="V91" s="50"/>
      <c r="W91" s="115"/>
      <c r="X91" s="35"/>
      <c r="Y91" s="12" t="s">
        <v>398</v>
      </c>
      <c r="Z91" s="13">
        <v>0.2</v>
      </c>
      <c r="AA91" s="57" t="s">
        <v>3575</v>
      </c>
      <c r="AB91" s="208">
        <f>ROUND((ROUND((ROUND((_15_同援日０．５*(1+_15・A深夜)),0)*(1+_15・盲ろう)),0)*(1+_15・区３)),0)+ROUND((ROUND((ROUND((_15_同援日０．５＿２．０*(1+_15・B早朝)),0)*(1+_15・盲ろう)),0)*(1+_15・区３)),0)</f>
        <v>1127</v>
      </c>
      <c r="AC91" s="48"/>
    </row>
    <row r="92" spans="1:29" ht="16.5" customHeight="1" x14ac:dyDescent="0.15">
      <c r="A92" s="41">
        <v>15</v>
      </c>
      <c r="B92" s="41">
        <v>8924</v>
      </c>
      <c r="C92" s="74" t="s">
        <v>18909</v>
      </c>
      <c r="D92" s="72"/>
      <c r="F92" s="57"/>
      <c r="G92" s="72"/>
      <c r="I92" s="57"/>
      <c r="J92" s="43"/>
      <c r="K92" s="37"/>
      <c r="L92" s="38"/>
      <c r="M92" s="299" t="s">
        <v>17556</v>
      </c>
      <c r="N92" s="45" t="s">
        <v>398</v>
      </c>
      <c r="O92" s="46">
        <v>1</v>
      </c>
      <c r="P92" s="512"/>
      <c r="Q92" s="57"/>
      <c r="R92" s="512"/>
      <c r="S92" s="57"/>
      <c r="T92" s="92" t="s">
        <v>17564</v>
      </c>
      <c r="W92" s="57"/>
      <c r="X92" s="35"/>
      <c r="AA92" s="57"/>
      <c r="AB92" s="208">
        <f>ROUND((ROUND((ROUND((ROUND((_15_同援日０．５*_15・２人),0)*(1+_15・A深夜)),0)*(1+_15・盲ろう)),0)*(1+_15・区３)),0)+ROUND((ROUND((ROUND((ROUND((_15_同援日０．５＿２．０*_15・２人),0)*(1+_15・B早朝)),0)*(1+_15・盲ろう)),0)*(1+_15・区３)),0)</f>
        <v>1127</v>
      </c>
      <c r="AC92" s="48"/>
    </row>
    <row r="93" spans="1:29" ht="16.5" customHeight="1" x14ac:dyDescent="0.15">
      <c r="A93" s="41">
        <v>15</v>
      </c>
      <c r="B93" s="41">
        <v>8925</v>
      </c>
      <c r="C93" s="74" t="s">
        <v>18910</v>
      </c>
      <c r="D93" s="72"/>
      <c r="F93" s="57"/>
      <c r="G93" s="72"/>
      <c r="I93" s="57"/>
      <c r="J93" s="114" t="s">
        <v>17558</v>
      </c>
      <c r="K93" s="49"/>
      <c r="L93" s="50"/>
      <c r="M93" s="163"/>
      <c r="N93" s="45"/>
      <c r="O93" s="46"/>
      <c r="P93" s="512"/>
      <c r="Q93" s="57"/>
      <c r="R93" s="512"/>
      <c r="S93" s="57"/>
      <c r="T93" s="35"/>
      <c r="U93" s="12" t="s">
        <v>398</v>
      </c>
      <c r="V93" s="13">
        <v>0.25</v>
      </c>
      <c r="W93" s="57" t="s">
        <v>3575</v>
      </c>
      <c r="X93" s="35"/>
      <c r="AA93" s="57"/>
      <c r="AB93" s="208">
        <f>ROUND((ROUND((ROUND((ROUND((_15_同援日０．５*_15・基礎２),0)*(1+_15・A深夜)),0)*(1+_15・盲ろう)),0)*(1+_15・区３)),0)+ROUND((ROUND((ROUND((ROUND((_15_同援日０．５＿２．０*_15・基礎２),0)*(1+_15・B早朝)),0)*(1+_15・盲ろう)),0)*(1+_15・区３)),0)</f>
        <v>1015</v>
      </c>
      <c r="AC93" s="48"/>
    </row>
    <row r="94" spans="1:29" ht="16.5" customHeight="1" x14ac:dyDescent="0.15">
      <c r="A94" s="41">
        <v>15</v>
      </c>
      <c r="B94" s="41">
        <v>8926</v>
      </c>
      <c r="C94" s="74" t="s">
        <v>18911</v>
      </c>
      <c r="D94" s="72"/>
      <c r="F94" s="57"/>
      <c r="G94" s="72"/>
      <c r="I94" s="57"/>
      <c r="J94" s="269" t="s">
        <v>17560</v>
      </c>
      <c r="K94" s="37" t="s">
        <v>398</v>
      </c>
      <c r="L94" s="38">
        <v>0.9</v>
      </c>
      <c r="M94" s="299" t="s">
        <v>17556</v>
      </c>
      <c r="N94" s="45" t="s">
        <v>398</v>
      </c>
      <c r="O94" s="46">
        <v>1</v>
      </c>
      <c r="P94" s="512"/>
      <c r="Q94" s="57"/>
      <c r="R94" s="512"/>
      <c r="S94" s="57"/>
      <c r="T94" s="43"/>
      <c r="U94" s="37"/>
      <c r="V94" s="38"/>
      <c r="W94" s="79"/>
      <c r="X94" s="43"/>
      <c r="Y94" s="37"/>
      <c r="Z94" s="38"/>
      <c r="AA94" s="79"/>
      <c r="AB94" s="208">
        <f>ROUND((ROUND((ROUND((ROUND((ROUND((_15_同援日０．５*_15・基礎２),0)*_15・２人),0)*(1+_15・A深夜)),0)*(1+_15・盲ろう)),0)*(1+_15・区３)),0)+ROUND((ROUND((ROUND((ROUND((ROUND((_15_同援日０．５＿２．０*_15・基礎２),0)*_15・２人),0)*(1+_15・B早朝)),0)*(1+_15・盲ろう)),0)*(1+_15・区３)),0)</f>
        <v>1015</v>
      </c>
      <c r="AC94" s="48"/>
    </row>
    <row r="95" spans="1:29" ht="16.5" customHeight="1" x14ac:dyDescent="0.15">
      <c r="A95" s="41">
        <v>15</v>
      </c>
      <c r="B95" s="41">
        <v>8927</v>
      </c>
      <c r="C95" s="74" t="s">
        <v>18912</v>
      </c>
      <c r="D95" s="72"/>
      <c r="F95" s="57"/>
      <c r="G95" s="72"/>
      <c r="I95" s="57"/>
      <c r="J95" s="53"/>
      <c r="K95" s="49"/>
      <c r="L95" s="50"/>
      <c r="M95" s="163"/>
      <c r="N95" s="45"/>
      <c r="O95" s="46"/>
      <c r="P95" s="512"/>
      <c r="Q95" s="57"/>
      <c r="R95" s="512"/>
      <c r="S95" s="57"/>
      <c r="T95" s="53"/>
      <c r="U95" s="49"/>
      <c r="V95" s="50"/>
      <c r="W95" s="115"/>
      <c r="X95" s="53"/>
      <c r="Y95" s="49"/>
      <c r="Z95" s="50"/>
      <c r="AA95" s="115"/>
      <c r="AB95" s="208">
        <f>ROUND((ROUND((_15_同援日０．５*(1+_15・A深夜)),0)*(1+_15・区４)),0)+ROUND((ROUND((_15_同援日０．５＿２．０*(1+_15・B早朝)),0)*(1+_15・区４)),0)</f>
        <v>1051</v>
      </c>
      <c r="AC95" s="48"/>
    </row>
    <row r="96" spans="1:29" ht="16.5" customHeight="1" x14ac:dyDescent="0.15">
      <c r="A96" s="41">
        <v>15</v>
      </c>
      <c r="B96" s="41">
        <v>8928</v>
      </c>
      <c r="C96" s="74" t="s">
        <v>18913</v>
      </c>
      <c r="D96" s="72"/>
      <c r="F96" s="57"/>
      <c r="G96" s="72"/>
      <c r="I96" s="57"/>
      <c r="J96" s="43"/>
      <c r="K96" s="37"/>
      <c r="L96" s="38"/>
      <c r="M96" s="299" t="s">
        <v>17556</v>
      </c>
      <c r="N96" s="45" t="s">
        <v>398</v>
      </c>
      <c r="O96" s="46">
        <v>1</v>
      </c>
      <c r="P96" s="512"/>
      <c r="Q96" s="57"/>
      <c r="R96" s="512"/>
      <c r="S96" s="57"/>
      <c r="T96" s="35"/>
      <c r="W96" s="57"/>
      <c r="X96" s="35"/>
      <c r="AA96" s="57"/>
      <c r="AB96" s="208">
        <f>ROUND((ROUND((ROUND((_15_同援日０．５*_15・２人),0)*(1+_15・A深夜)),0)*(1+_15・区４)),0)+ROUND((ROUND((ROUND((_15_同援日０．５＿２．０*_15・２人),0)*(1+_15・B早朝)),0)*(1+_15・区４)),0)</f>
        <v>1051</v>
      </c>
      <c r="AC96" s="48"/>
    </row>
    <row r="97" spans="1:29" ht="16.5" customHeight="1" x14ac:dyDescent="0.15">
      <c r="A97" s="41">
        <v>15</v>
      </c>
      <c r="B97" s="41">
        <v>8929</v>
      </c>
      <c r="C97" s="74" t="s">
        <v>18914</v>
      </c>
      <c r="D97" s="72"/>
      <c r="F97" s="57"/>
      <c r="G97" s="72"/>
      <c r="I97" s="57"/>
      <c r="J97" s="114" t="s">
        <v>17558</v>
      </c>
      <c r="K97" s="49"/>
      <c r="L97" s="50"/>
      <c r="M97" s="163"/>
      <c r="N97" s="45"/>
      <c r="O97" s="46"/>
      <c r="P97" s="512"/>
      <c r="Q97" s="57"/>
      <c r="R97" s="512"/>
      <c r="S97" s="57"/>
      <c r="T97" s="35"/>
      <c r="W97" s="57"/>
      <c r="X97" s="72" t="s">
        <v>17580</v>
      </c>
      <c r="AA97" s="57"/>
      <c r="AB97" s="208">
        <f>ROUND((ROUND((ROUND((_15_同援日０．５*_15・基礎２),0)*(1+_15・A深夜)),0)*(1+_15・区４)),0)+ROUND((ROUND((ROUND((_15_同援日０．５＿２．０*_15・基礎２),0)*(1+_15・B早朝)),0)*(1+_15・区４)),0)</f>
        <v>948</v>
      </c>
      <c r="AC97" s="48"/>
    </row>
    <row r="98" spans="1:29" ht="16.5" customHeight="1" x14ac:dyDescent="0.15">
      <c r="A98" s="41">
        <v>15</v>
      </c>
      <c r="B98" s="41">
        <v>8930</v>
      </c>
      <c r="C98" s="74" t="s">
        <v>18915</v>
      </c>
      <c r="D98" s="72"/>
      <c r="F98" s="57"/>
      <c r="G98" s="72"/>
      <c r="I98" s="57"/>
      <c r="J98" s="269" t="s">
        <v>17560</v>
      </c>
      <c r="K98" s="37" t="s">
        <v>398</v>
      </c>
      <c r="L98" s="38">
        <v>0.9</v>
      </c>
      <c r="M98" s="299" t="s">
        <v>17556</v>
      </c>
      <c r="N98" s="45" t="s">
        <v>398</v>
      </c>
      <c r="O98" s="46">
        <v>1</v>
      </c>
      <c r="P98" s="512"/>
      <c r="Q98" s="57"/>
      <c r="R98" s="512"/>
      <c r="S98" s="57"/>
      <c r="T98" s="43"/>
      <c r="U98" s="37"/>
      <c r="V98" s="38"/>
      <c r="W98" s="79"/>
      <c r="X98" s="72" t="s">
        <v>17572</v>
      </c>
      <c r="AA98" s="57"/>
      <c r="AB98" s="208">
        <f>ROUND((ROUND((ROUND((ROUND((_15_同援日０．５*_15・基礎２),0)*_15・２人),0)*(1+_15・A深夜)),0)*(1+_15・区４)),0)+ROUND((ROUND((ROUND((ROUND((_15_同援日０．５＿２．０*_15・基礎２),0)*_15・２人),0)*(1+_15・B早朝)),0)*(1+_15・区４)),0)</f>
        <v>948</v>
      </c>
      <c r="AC98" s="48"/>
    </row>
    <row r="99" spans="1:29" ht="16.5" customHeight="1" x14ac:dyDescent="0.15">
      <c r="A99" s="41">
        <v>15</v>
      </c>
      <c r="B99" s="41">
        <v>8931</v>
      </c>
      <c r="C99" s="74" t="s">
        <v>18916</v>
      </c>
      <c r="D99" s="72"/>
      <c r="F99" s="57"/>
      <c r="G99" s="72"/>
      <c r="I99" s="57"/>
      <c r="J99" s="53"/>
      <c r="K99" s="49"/>
      <c r="L99" s="50"/>
      <c r="M99" s="163"/>
      <c r="N99" s="45"/>
      <c r="O99" s="46"/>
      <c r="P99" s="512"/>
      <c r="Q99" s="57"/>
      <c r="R99" s="512"/>
      <c r="S99" s="57"/>
      <c r="T99" s="114" t="s">
        <v>17562</v>
      </c>
      <c r="U99" s="49"/>
      <c r="V99" s="50"/>
      <c r="W99" s="115"/>
      <c r="X99" s="35"/>
      <c r="Y99" s="12" t="s">
        <v>398</v>
      </c>
      <c r="Z99" s="13">
        <v>0.4</v>
      </c>
      <c r="AA99" s="57" t="s">
        <v>3575</v>
      </c>
      <c r="AB99" s="208">
        <f>ROUND((ROUND((ROUND((_15_同援日０．５*(1+_15・A深夜)),0)*(1+_15・盲ろう)),0)*(1+_15・区４)),0)+ROUND((ROUND((ROUND((_15_同援日０．５＿２．０*(1+_15・B早朝)),0)*(1+_15・盲ろう)),0)*(1+_15・区４)),0)</f>
        <v>1314</v>
      </c>
      <c r="AC99" s="48"/>
    </row>
    <row r="100" spans="1:29" ht="16.5" customHeight="1" x14ac:dyDescent="0.15">
      <c r="A100" s="41">
        <v>15</v>
      </c>
      <c r="B100" s="41">
        <v>8932</v>
      </c>
      <c r="C100" s="74" t="s">
        <v>18917</v>
      </c>
      <c r="D100" s="72"/>
      <c r="F100" s="57"/>
      <c r="G100" s="72"/>
      <c r="I100" s="57"/>
      <c r="J100" s="43"/>
      <c r="K100" s="37"/>
      <c r="L100" s="38"/>
      <c r="M100" s="299" t="s">
        <v>17556</v>
      </c>
      <c r="N100" s="45" t="s">
        <v>398</v>
      </c>
      <c r="O100" s="46">
        <v>1</v>
      </c>
      <c r="P100" s="512"/>
      <c r="Q100" s="57"/>
      <c r="R100" s="512"/>
      <c r="S100" s="57"/>
      <c r="T100" s="92" t="s">
        <v>17564</v>
      </c>
      <c r="W100" s="57"/>
      <c r="X100" s="35"/>
      <c r="AA100" s="57"/>
      <c r="AB100" s="208">
        <f>ROUND((ROUND((ROUND((ROUND((_15_同援日０．５*_15・２人),0)*(1+_15・A深夜)),0)*(1+_15・盲ろう)),0)*(1+_15・区４)),0)+ROUND((ROUND((ROUND((ROUND((_15_同援日０．５＿２．０*_15・２人),0)*(1+_15・B早朝)),0)*(1+_15・盲ろう)),0)*(1+_15・区４)),0)</f>
        <v>1314</v>
      </c>
      <c r="AC100" s="48"/>
    </row>
    <row r="101" spans="1:29" ht="16.5" customHeight="1" x14ac:dyDescent="0.15">
      <c r="A101" s="41">
        <v>15</v>
      </c>
      <c r="B101" s="41">
        <v>8933</v>
      </c>
      <c r="C101" s="74" t="s">
        <v>18918</v>
      </c>
      <c r="D101" s="72"/>
      <c r="F101" s="57"/>
      <c r="G101" s="72"/>
      <c r="I101" s="57"/>
      <c r="J101" s="114" t="s">
        <v>17558</v>
      </c>
      <c r="K101" s="49"/>
      <c r="L101" s="50"/>
      <c r="M101" s="163"/>
      <c r="N101" s="45"/>
      <c r="O101" s="46"/>
      <c r="P101" s="512"/>
      <c r="Q101" s="57"/>
      <c r="R101" s="512"/>
      <c r="S101" s="57"/>
      <c r="T101" s="35"/>
      <c r="U101" s="12" t="s">
        <v>398</v>
      </c>
      <c r="V101" s="13">
        <v>0.25</v>
      </c>
      <c r="W101" s="57" t="s">
        <v>3575</v>
      </c>
      <c r="X101" s="35"/>
      <c r="AA101" s="57"/>
      <c r="AB101" s="208">
        <f>ROUND((ROUND((ROUND((ROUND((_15_同援日０．５*_15・基礎２),0)*(1+_15・A深夜)),0)*(1+_15・盲ろう)),0)*(1+_15・区４)),0)+ROUND((ROUND((ROUND((ROUND((_15_同援日０．５＿２．０*_15・基礎２),0)*(1+_15・B早朝)),0)*(1+_15・盲ろう)),0)*(1+_15・区４)),0)</f>
        <v>1184</v>
      </c>
      <c r="AC101" s="48"/>
    </row>
    <row r="102" spans="1:29" ht="16.5" customHeight="1" x14ac:dyDescent="0.15">
      <c r="A102" s="41">
        <v>15</v>
      </c>
      <c r="B102" s="41">
        <v>8934</v>
      </c>
      <c r="C102" s="74" t="s">
        <v>18919</v>
      </c>
      <c r="D102" s="122"/>
      <c r="E102" s="37"/>
      <c r="F102" s="79"/>
      <c r="G102" s="122"/>
      <c r="H102" s="37"/>
      <c r="I102" s="79"/>
      <c r="J102" s="269" t="s">
        <v>17560</v>
      </c>
      <c r="K102" s="37" t="s">
        <v>398</v>
      </c>
      <c r="L102" s="38">
        <v>0.9</v>
      </c>
      <c r="M102" s="299" t="s">
        <v>17556</v>
      </c>
      <c r="N102" s="45" t="s">
        <v>398</v>
      </c>
      <c r="O102" s="46">
        <v>1</v>
      </c>
      <c r="P102" s="514"/>
      <c r="Q102" s="79"/>
      <c r="R102" s="514"/>
      <c r="S102" s="79"/>
      <c r="T102" s="43"/>
      <c r="U102" s="37"/>
      <c r="V102" s="38"/>
      <c r="W102" s="79"/>
      <c r="X102" s="43"/>
      <c r="Y102" s="37"/>
      <c r="Z102" s="38"/>
      <c r="AA102" s="79"/>
      <c r="AB102" s="208">
        <f>ROUND((ROUND((ROUND((ROUND((ROUND((_15_同援日０．５*_15・基礎２),0)*_15・２人),0)*(1+_15・A深夜)),0)*(1+_15・盲ろう)),0)*(1+_15・区４)),0)+ROUND((ROUND((ROUND((ROUND((ROUND((_15_同援日０．５＿２．０*_15・基礎２),0)*_15・２人),0)*(1+_15・B早朝)),0)*(1+_15・盲ろう)),0)*(1+_15・区４)),0)</f>
        <v>1184</v>
      </c>
      <c r="AC102" s="63"/>
    </row>
    <row r="103" spans="1:29" ht="16.5" customHeight="1" x14ac:dyDescent="0.15">
      <c r="A103" s="41">
        <v>15</v>
      </c>
      <c r="B103" s="41">
        <v>8935</v>
      </c>
      <c r="C103" s="74" t="s">
        <v>18920</v>
      </c>
      <c r="D103" s="114"/>
      <c r="E103" s="49"/>
      <c r="F103" s="115"/>
      <c r="G103" s="114" t="s">
        <v>18921</v>
      </c>
      <c r="H103" s="49"/>
      <c r="I103" s="115"/>
      <c r="J103" s="53"/>
      <c r="K103" s="49"/>
      <c r="L103" s="50"/>
      <c r="M103" s="163"/>
      <c r="N103" s="45"/>
      <c r="O103" s="46"/>
      <c r="P103" s="515"/>
      <c r="Q103" s="115"/>
      <c r="R103" s="515"/>
      <c r="S103" s="115"/>
      <c r="T103" s="53"/>
      <c r="U103" s="49"/>
      <c r="V103" s="50"/>
      <c r="W103" s="115"/>
      <c r="X103" s="53"/>
      <c r="Y103" s="49"/>
      <c r="Z103" s="50"/>
      <c r="AA103" s="115"/>
      <c r="AB103" s="208">
        <f>ROUND((_15_同援日０．５*(1+_15・A深夜)),0)+ROUND((_15_同援日０．５＿２．５*(1+_15・B早朝)),0)</f>
        <v>833</v>
      </c>
      <c r="AC103" s="64"/>
    </row>
    <row r="104" spans="1:29" ht="16.5" customHeight="1" x14ac:dyDescent="0.15">
      <c r="A104" s="41">
        <v>15</v>
      </c>
      <c r="B104" s="41">
        <v>8936</v>
      </c>
      <c r="C104" s="74" t="s">
        <v>18922</v>
      </c>
      <c r="D104" s="72"/>
      <c r="F104" s="57"/>
      <c r="G104" s="72" t="s">
        <v>17670</v>
      </c>
      <c r="I104" s="57"/>
      <c r="J104" s="43"/>
      <c r="K104" s="37"/>
      <c r="L104" s="38"/>
      <c r="M104" s="299" t="s">
        <v>17556</v>
      </c>
      <c r="N104" s="45" t="s">
        <v>398</v>
      </c>
      <c r="O104" s="46">
        <v>1</v>
      </c>
      <c r="P104" s="512"/>
      <c r="Q104" s="57"/>
      <c r="R104" s="512"/>
      <c r="S104" s="57"/>
      <c r="T104" s="35"/>
      <c r="W104" s="57"/>
      <c r="X104" s="35"/>
      <c r="AA104" s="57"/>
      <c r="AB104" s="208">
        <f>ROUND((ROUND((_15_同援日０．５*_15・２人),0)*(1+_15・A深夜)),0)+ROUND((ROUND((_15_同援日０．５＿２．５*_15・２人),0)*(1+_15・B早朝)),0)</f>
        <v>833</v>
      </c>
      <c r="AC104" s="48"/>
    </row>
    <row r="105" spans="1:29" ht="16.5" customHeight="1" x14ac:dyDescent="0.15">
      <c r="A105" s="41">
        <v>15</v>
      </c>
      <c r="B105" s="41">
        <v>8937</v>
      </c>
      <c r="C105" s="74" t="s">
        <v>18923</v>
      </c>
      <c r="D105" s="72"/>
      <c r="F105" s="57"/>
      <c r="G105" s="72" t="s">
        <v>17672</v>
      </c>
      <c r="I105" s="57"/>
      <c r="J105" s="114" t="s">
        <v>17558</v>
      </c>
      <c r="K105" s="49"/>
      <c r="L105" s="50"/>
      <c r="M105" s="163"/>
      <c r="N105" s="45"/>
      <c r="O105" s="46"/>
      <c r="P105" s="512"/>
      <c r="Q105" s="57"/>
      <c r="R105" s="512"/>
      <c r="S105" s="57"/>
      <c r="T105" s="35"/>
      <c r="W105" s="57"/>
      <c r="X105" s="35"/>
      <c r="AA105" s="57"/>
      <c r="AB105" s="208">
        <f>ROUND((ROUND((_15_同援日０．５*_15・基礎２),0)*(1+_15・A深夜)),0)+ROUND((ROUND((_15_同援日０．５＿２．５*_15・基礎２),0)*(1+_15・B早朝)),0)</f>
        <v>750</v>
      </c>
      <c r="AC105" s="48"/>
    </row>
    <row r="106" spans="1:29" ht="16.5" customHeight="1" x14ac:dyDescent="0.15">
      <c r="A106" s="41">
        <v>15</v>
      </c>
      <c r="B106" s="41">
        <v>8938</v>
      </c>
      <c r="C106" s="74" t="s">
        <v>18924</v>
      </c>
      <c r="D106" s="72"/>
      <c r="F106" s="57"/>
      <c r="G106" s="72"/>
      <c r="H106" s="168">
        <f>_15_同援日０．５＿２．５</f>
        <v>438</v>
      </c>
      <c r="I106" s="57" t="s">
        <v>392</v>
      </c>
      <c r="J106" s="269" t="s">
        <v>17560</v>
      </c>
      <c r="K106" s="37" t="s">
        <v>398</v>
      </c>
      <c r="L106" s="38">
        <v>0.9</v>
      </c>
      <c r="M106" s="299" t="s">
        <v>17556</v>
      </c>
      <c r="N106" s="45" t="s">
        <v>398</v>
      </c>
      <c r="O106" s="46">
        <v>1</v>
      </c>
      <c r="P106" s="512"/>
      <c r="Q106" s="57"/>
      <c r="R106" s="512"/>
      <c r="S106" s="57"/>
      <c r="T106" s="43"/>
      <c r="U106" s="37"/>
      <c r="V106" s="38"/>
      <c r="W106" s="79"/>
      <c r="X106" s="35"/>
      <c r="AA106" s="57"/>
      <c r="AB106" s="208">
        <f>ROUND((ROUND((ROUND((_15_同援日０．５*_15・基礎２),0)*_15・２人),0)*(1+_15・A深夜)),0)+ROUND((ROUND((ROUND((_15_同援日０．５＿２．５*_15・基礎２),0)*_15・２人),0)*(1+_15・B早朝)),0)</f>
        <v>750</v>
      </c>
      <c r="AC106" s="48"/>
    </row>
    <row r="107" spans="1:29" ht="16.5" customHeight="1" x14ac:dyDescent="0.15">
      <c r="A107" s="41">
        <v>15</v>
      </c>
      <c r="B107" s="41">
        <v>8939</v>
      </c>
      <c r="C107" s="74" t="s">
        <v>18925</v>
      </c>
      <c r="D107" s="72"/>
      <c r="F107" s="57"/>
      <c r="G107" s="72"/>
      <c r="I107" s="57"/>
      <c r="J107" s="53"/>
      <c r="K107" s="49"/>
      <c r="L107" s="50"/>
      <c r="M107" s="163"/>
      <c r="N107" s="45"/>
      <c r="O107" s="46"/>
      <c r="P107" s="512"/>
      <c r="Q107" s="57"/>
      <c r="R107" s="512"/>
      <c r="S107" s="57"/>
      <c r="T107" s="114" t="s">
        <v>17562</v>
      </c>
      <c r="U107" s="49"/>
      <c r="V107" s="50"/>
      <c r="W107" s="115"/>
      <c r="X107" s="35"/>
      <c r="AA107" s="57"/>
      <c r="AB107" s="208">
        <f>ROUND((ROUND((_15_同援日０．５*(1+_15・A深夜)),0)*(1+_15・盲ろう)),0)+ROUND((ROUND((_15_同援日０．５＿２．５*(1+_15・B早朝)),0)*(1+_15・盲ろう)),0)</f>
        <v>1041</v>
      </c>
      <c r="AC107" s="48"/>
    </row>
    <row r="108" spans="1:29" ht="16.5" customHeight="1" x14ac:dyDescent="0.15">
      <c r="A108" s="41">
        <v>15</v>
      </c>
      <c r="B108" s="41">
        <v>8940</v>
      </c>
      <c r="C108" s="74" t="s">
        <v>18926</v>
      </c>
      <c r="D108" s="72"/>
      <c r="F108" s="57"/>
      <c r="G108" s="72"/>
      <c r="I108" s="57"/>
      <c r="J108" s="43"/>
      <c r="K108" s="37"/>
      <c r="L108" s="38"/>
      <c r="M108" s="299" t="s">
        <v>17556</v>
      </c>
      <c r="N108" s="45" t="s">
        <v>398</v>
      </c>
      <c r="O108" s="46">
        <v>1</v>
      </c>
      <c r="P108" s="512"/>
      <c r="Q108" s="57"/>
      <c r="R108" s="512"/>
      <c r="S108" s="57"/>
      <c r="T108" s="92" t="s">
        <v>17564</v>
      </c>
      <c r="W108" s="57"/>
      <c r="X108" s="35"/>
      <c r="AA108" s="57"/>
      <c r="AB108" s="208">
        <f>ROUND((ROUND((ROUND((_15_同援日０．５*_15・２人),0)*(1+_15・A深夜)),0)*(1+_15・盲ろう)),0)+ROUND((ROUND((ROUND((_15_同援日０．５＿２．５*_15・２人),0)*(1+_15・B早朝)),0)*(1+_15・盲ろう)),0)</f>
        <v>1041</v>
      </c>
      <c r="AC108" s="48"/>
    </row>
    <row r="109" spans="1:29" ht="16.5" customHeight="1" x14ac:dyDescent="0.15">
      <c r="A109" s="41">
        <v>15</v>
      </c>
      <c r="B109" s="41">
        <v>8941</v>
      </c>
      <c r="C109" s="74" t="s">
        <v>18927</v>
      </c>
      <c r="D109" s="72"/>
      <c r="F109" s="57"/>
      <c r="G109" s="72"/>
      <c r="I109" s="57"/>
      <c r="J109" s="114" t="s">
        <v>17558</v>
      </c>
      <c r="K109" s="49"/>
      <c r="L109" s="50"/>
      <c r="M109" s="163"/>
      <c r="N109" s="45"/>
      <c r="O109" s="46"/>
      <c r="P109" s="512"/>
      <c r="Q109" s="57"/>
      <c r="R109" s="512"/>
      <c r="S109" s="57"/>
      <c r="T109" s="35"/>
      <c r="U109" s="12" t="s">
        <v>398</v>
      </c>
      <c r="V109" s="13">
        <v>0.25</v>
      </c>
      <c r="W109" s="57" t="s">
        <v>3575</v>
      </c>
      <c r="X109" s="35"/>
      <c r="AA109" s="57"/>
      <c r="AB109" s="208">
        <f>ROUND((ROUND((ROUND((_15_同援日０．５*_15・基礎２),0)*(1+_15・A深夜)),0)*(1+_15・盲ろう)),0)+ROUND((ROUND((ROUND((_15_同援日０．５＿２．５*_15・基礎２),0)*(1+_15・B早朝)),0)*(1+_15・盲ろう)),0)</f>
        <v>937</v>
      </c>
      <c r="AC109" s="48"/>
    </row>
    <row r="110" spans="1:29" ht="16.5" customHeight="1" x14ac:dyDescent="0.15">
      <c r="A110" s="41">
        <v>15</v>
      </c>
      <c r="B110" s="41">
        <v>8942</v>
      </c>
      <c r="C110" s="74" t="s">
        <v>18928</v>
      </c>
      <c r="D110" s="72"/>
      <c r="F110" s="57"/>
      <c r="G110" s="72"/>
      <c r="I110" s="57"/>
      <c r="J110" s="269" t="s">
        <v>17560</v>
      </c>
      <c r="K110" s="37" t="s">
        <v>398</v>
      </c>
      <c r="L110" s="38">
        <v>0.9</v>
      </c>
      <c r="M110" s="299" t="s">
        <v>17556</v>
      </c>
      <c r="N110" s="45" t="s">
        <v>398</v>
      </c>
      <c r="O110" s="46">
        <v>1</v>
      </c>
      <c r="P110" s="512"/>
      <c r="Q110" s="57"/>
      <c r="R110" s="512"/>
      <c r="S110" s="57"/>
      <c r="T110" s="43"/>
      <c r="U110" s="37"/>
      <c r="V110" s="38"/>
      <c r="W110" s="79"/>
      <c r="X110" s="43"/>
      <c r="Y110" s="37"/>
      <c r="Z110" s="38"/>
      <c r="AA110" s="79"/>
      <c r="AB110" s="208">
        <f>ROUND((ROUND((ROUND((ROUND((_15_同援日０．５*_15・基礎２),0)*_15・２人),0)*(1+_15・A深夜)),0)*(1+_15・盲ろう)),0)+ROUND((ROUND((ROUND((ROUND((_15_同援日０．５＿２．５*_15・基礎２),0)*_15・２人),0)*(1+_15・B早朝)),0)*(1+_15・盲ろう)),0)</f>
        <v>937</v>
      </c>
      <c r="AC110" s="48"/>
    </row>
    <row r="111" spans="1:29" ht="16.5" customHeight="1" x14ac:dyDescent="0.15">
      <c r="A111" s="41">
        <v>15</v>
      </c>
      <c r="B111" s="41">
        <v>8943</v>
      </c>
      <c r="C111" s="74" t="s">
        <v>18929</v>
      </c>
      <c r="D111" s="72"/>
      <c r="F111" s="57"/>
      <c r="G111" s="72"/>
      <c r="I111" s="57"/>
      <c r="J111" s="53"/>
      <c r="K111" s="49"/>
      <c r="L111" s="50"/>
      <c r="M111" s="163"/>
      <c r="N111" s="45"/>
      <c r="O111" s="46"/>
      <c r="P111" s="512"/>
      <c r="Q111" s="57"/>
      <c r="R111" s="512"/>
      <c r="S111" s="57"/>
      <c r="T111" s="53"/>
      <c r="U111" s="49"/>
      <c r="V111" s="50"/>
      <c r="W111" s="115"/>
      <c r="X111" s="53"/>
      <c r="Y111" s="49"/>
      <c r="Z111" s="50"/>
      <c r="AA111" s="115"/>
      <c r="AB111" s="208">
        <f>ROUND((ROUND((_15_同援日０．５*(1+_15・A深夜)),0)*(1+_15・区３)),0)+ROUND((ROUND((_15_同援日０．５＿２．５*(1+_15・B早朝)),0)*(1+_15・区３)),0)</f>
        <v>1000</v>
      </c>
      <c r="AC111" s="48"/>
    </row>
    <row r="112" spans="1:29" ht="16.5" customHeight="1" x14ac:dyDescent="0.15">
      <c r="A112" s="41">
        <v>15</v>
      </c>
      <c r="B112" s="41">
        <v>8944</v>
      </c>
      <c r="C112" s="74" t="s">
        <v>18930</v>
      </c>
      <c r="D112" s="72"/>
      <c r="F112" s="57"/>
      <c r="G112" s="72"/>
      <c r="I112" s="57"/>
      <c r="J112" s="43"/>
      <c r="K112" s="37"/>
      <c r="L112" s="38"/>
      <c r="M112" s="299" t="s">
        <v>17556</v>
      </c>
      <c r="N112" s="45" t="s">
        <v>398</v>
      </c>
      <c r="O112" s="46">
        <v>1</v>
      </c>
      <c r="P112" s="512"/>
      <c r="Q112" s="57"/>
      <c r="R112" s="512"/>
      <c r="S112" s="57"/>
      <c r="T112" s="35"/>
      <c r="W112" s="57"/>
      <c r="X112" s="35"/>
      <c r="AA112" s="57"/>
      <c r="AB112" s="208">
        <f>ROUND((ROUND((ROUND((_15_同援日０．５*_15・２人),0)*(1+_15・A深夜)),0)*(1+_15・区３)),0)+ROUND((ROUND((ROUND((_15_同援日０．５＿２．５*_15・２人),0)*(1+_15・B早朝)),0)*(1+_15・区３)),0)</f>
        <v>1000</v>
      </c>
      <c r="AC112" s="48"/>
    </row>
    <row r="113" spans="1:29" ht="16.5" customHeight="1" x14ac:dyDescent="0.15">
      <c r="A113" s="41">
        <v>15</v>
      </c>
      <c r="B113" s="41">
        <v>8945</v>
      </c>
      <c r="C113" s="74" t="s">
        <v>18931</v>
      </c>
      <c r="D113" s="72"/>
      <c r="F113" s="57"/>
      <c r="G113" s="72"/>
      <c r="I113" s="57"/>
      <c r="J113" s="114" t="s">
        <v>17558</v>
      </c>
      <c r="K113" s="49"/>
      <c r="L113" s="50"/>
      <c r="M113" s="163"/>
      <c r="N113" s="45"/>
      <c r="O113" s="46"/>
      <c r="P113" s="512"/>
      <c r="Q113" s="57"/>
      <c r="R113" s="512"/>
      <c r="S113" s="57"/>
      <c r="T113" s="35"/>
      <c r="W113" s="57"/>
      <c r="X113" s="72" t="s">
        <v>17570</v>
      </c>
      <c r="AA113" s="57"/>
      <c r="AB113" s="208">
        <f>ROUND((ROUND((ROUND((_15_同援日０．５*_15・基礎２),0)*(1+_15・A深夜)),0)*(1+_15・区３)),0)+ROUND((ROUND((ROUND((_15_同援日０．５＿２．５*_15・基礎２),0)*(1+_15・B早朝)),0)*(1+_15・区３)),0)</f>
        <v>900</v>
      </c>
      <c r="AC113" s="48"/>
    </row>
    <row r="114" spans="1:29" ht="16.5" customHeight="1" x14ac:dyDescent="0.15">
      <c r="A114" s="41">
        <v>15</v>
      </c>
      <c r="B114" s="41">
        <v>8946</v>
      </c>
      <c r="C114" s="74" t="s">
        <v>18932</v>
      </c>
      <c r="D114" s="72"/>
      <c r="F114" s="57"/>
      <c r="G114" s="72"/>
      <c r="I114" s="57"/>
      <c r="J114" s="269" t="s">
        <v>17560</v>
      </c>
      <c r="K114" s="37" t="s">
        <v>398</v>
      </c>
      <c r="L114" s="38">
        <v>0.9</v>
      </c>
      <c r="M114" s="299" t="s">
        <v>17556</v>
      </c>
      <c r="N114" s="45" t="s">
        <v>398</v>
      </c>
      <c r="O114" s="46">
        <v>1</v>
      </c>
      <c r="P114" s="512"/>
      <c r="Q114" s="57"/>
      <c r="R114" s="512"/>
      <c r="S114" s="57"/>
      <c r="T114" s="43"/>
      <c r="U114" s="37"/>
      <c r="V114" s="38"/>
      <c r="W114" s="79"/>
      <c r="X114" s="72" t="s">
        <v>17572</v>
      </c>
      <c r="AA114" s="57"/>
      <c r="AB114" s="208">
        <f>ROUND((ROUND((ROUND((ROUND((_15_同援日０．５*_15・基礎２),0)*_15・２人),0)*(1+_15・A深夜)),0)*(1+_15・区３)),0)+ROUND((ROUND((ROUND((ROUND((_15_同援日０．５＿２．５*_15・基礎２),0)*_15・２人),0)*(1+_15・B早朝)),0)*(1+_15・区３)),0)</f>
        <v>900</v>
      </c>
      <c r="AC114" s="48"/>
    </row>
    <row r="115" spans="1:29" ht="16.5" customHeight="1" x14ac:dyDescent="0.15">
      <c r="A115" s="41">
        <v>15</v>
      </c>
      <c r="B115" s="41">
        <v>8947</v>
      </c>
      <c r="C115" s="74" t="s">
        <v>18933</v>
      </c>
      <c r="D115" s="72"/>
      <c r="F115" s="57"/>
      <c r="G115" s="72"/>
      <c r="I115" s="57"/>
      <c r="J115" s="53"/>
      <c r="K115" s="49"/>
      <c r="L115" s="50"/>
      <c r="M115" s="163"/>
      <c r="N115" s="45"/>
      <c r="O115" s="46"/>
      <c r="P115" s="512"/>
      <c r="Q115" s="57"/>
      <c r="R115" s="512"/>
      <c r="S115" s="57"/>
      <c r="T115" s="114" t="s">
        <v>17562</v>
      </c>
      <c r="U115" s="49"/>
      <c r="V115" s="50"/>
      <c r="W115" s="115"/>
      <c r="X115" s="35"/>
      <c r="Y115" s="12" t="s">
        <v>398</v>
      </c>
      <c r="Z115" s="13">
        <v>0.2</v>
      </c>
      <c r="AA115" s="57" t="s">
        <v>3575</v>
      </c>
      <c r="AB115" s="208">
        <f>ROUND((ROUND((ROUND((_15_同援日０．５*(1+_15・A深夜)),0)*(1+_15・盲ろう)),0)*(1+_15・区３)),0)+ROUND((ROUND((ROUND((_15_同援日０．５＿２．５*(1+_15・B早朝)),0)*(1+_15・盲ろう)),0)*(1+_15・区３)),0)</f>
        <v>1249</v>
      </c>
      <c r="AC115" s="48"/>
    </row>
    <row r="116" spans="1:29" ht="16.5" customHeight="1" x14ac:dyDescent="0.15">
      <c r="A116" s="41">
        <v>15</v>
      </c>
      <c r="B116" s="41">
        <v>8948</v>
      </c>
      <c r="C116" s="74" t="s">
        <v>18934</v>
      </c>
      <c r="D116" s="72"/>
      <c r="F116" s="57"/>
      <c r="G116" s="72"/>
      <c r="I116" s="57"/>
      <c r="J116" s="43"/>
      <c r="K116" s="37"/>
      <c r="L116" s="38"/>
      <c r="M116" s="299" t="s">
        <v>17556</v>
      </c>
      <c r="N116" s="45" t="s">
        <v>398</v>
      </c>
      <c r="O116" s="46">
        <v>1</v>
      </c>
      <c r="P116" s="512"/>
      <c r="Q116" s="57"/>
      <c r="R116" s="512"/>
      <c r="S116" s="57"/>
      <c r="T116" s="92" t="s">
        <v>17564</v>
      </c>
      <c r="W116" s="57"/>
      <c r="X116" s="35"/>
      <c r="AA116" s="57"/>
      <c r="AB116" s="208">
        <f>ROUND((ROUND((ROUND((ROUND((_15_同援日０．５*_15・２人),0)*(1+_15・A深夜)),0)*(1+_15・盲ろう)),0)*(1+_15・区３)),0)+ROUND((ROUND((ROUND((ROUND((_15_同援日０．５＿２．５*_15・２人),0)*(1+_15・B早朝)),0)*(1+_15・盲ろう)),0)*(1+_15・区３)),0)</f>
        <v>1249</v>
      </c>
      <c r="AC116" s="48"/>
    </row>
    <row r="117" spans="1:29" ht="16.5" customHeight="1" x14ac:dyDescent="0.15">
      <c r="A117" s="41">
        <v>15</v>
      </c>
      <c r="B117" s="41">
        <v>8949</v>
      </c>
      <c r="C117" s="74" t="s">
        <v>18935</v>
      </c>
      <c r="D117" s="72"/>
      <c r="F117" s="57"/>
      <c r="G117" s="72"/>
      <c r="I117" s="57"/>
      <c r="J117" s="114" t="s">
        <v>17558</v>
      </c>
      <c r="K117" s="49"/>
      <c r="L117" s="50"/>
      <c r="M117" s="163"/>
      <c r="N117" s="45"/>
      <c r="O117" s="46"/>
      <c r="P117" s="512"/>
      <c r="Q117" s="57"/>
      <c r="R117" s="512"/>
      <c r="S117" s="57"/>
      <c r="T117" s="35"/>
      <c r="U117" s="12" t="s">
        <v>398</v>
      </c>
      <c r="V117" s="13">
        <v>0.25</v>
      </c>
      <c r="W117" s="57" t="s">
        <v>3575</v>
      </c>
      <c r="X117" s="35"/>
      <c r="AA117" s="57"/>
      <c r="AB117" s="208">
        <f>ROUND((ROUND((ROUND((ROUND((_15_同援日０．５*_15・基礎２),0)*(1+_15・A深夜)),0)*(1+_15・盲ろう)),0)*(1+_15・区３)),0)+ROUND((ROUND((ROUND((ROUND((_15_同援日０．５＿２．５*_15・基礎２),0)*(1+_15・B早朝)),0)*(1+_15・盲ろう)),0)*(1+_15・区３)),0)</f>
        <v>1124</v>
      </c>
      <c r="AC117" s="48"/>
    </row>
    <row r="118" spans="1:29" ht="16.5" customHeight="1" x14ac:dyDescent="0.15">
      <c r="A118" s="41">
        <v>15</v>
      </c>
      <c r="B118" s="41">
        <v>8950</v>
      </c>
      <c r="C118" s="74" t="s">
        <v>18936</v>
      </c>
      <c r="D118" s="72"/>
      <c r="F118" s="57"/>
      <c r="G118" s="72"/>
      <c r="I118" s="57"/>
      <c r="J118" s="269" t="s">
        <v>17560</v>
      </c>
      <c r="K118" s="37" t="s">
        <v>398</v>
      </c>
      <c r="L118" s="38">
        <v>0.9</v>
      </c>
      <c r="M118" s="299" t="s">
        <v>17556</v>
      </c>
      <c r="N118" s="45" t="s">
        <v>398</v>
      </c>
      <c r="O118" s="46">
        <v>1</v>
      </c>
      <c r="P118" s="512"/>
      <c r="Q118" s="57"/>
      <c r="R118" s="512"/>
      <c r="S118" s="57"/>
      <c r="T118" s="43"/>
      <c r="U118" s="37"/>
      <c r="V118" s="38"/>
      <c r="W118" s="79"/>
      <c r="X118" s="43"/>
      <c r="Y118" s="37"/>
      <c r="Z118" s="38"/>
      <c r="AA118" s="79"/>
      <c r="AB118" s="208">
        <f>ROUND((ROUND((ROUND((ROUND((ROUND((_15_同援日０．５*_15・基礎２),0)*_15・２人),0)*(1+_15・A深夜)),0)*(1+_15・盲ろう)),0)*(1+_15・区３)),0)+ROUND((ROUND((ROUND((ROUND((ROUND((_15_同援日０．５＿２．５*_15・基礎２),0)*_15・２人),0)*(1+_15・B早朝)),0)*(1+_15・盲ろう)),0)*(1+_15・区３)),0)</f>
        <v>1124</v>
      </c>
      <c r="AC118" s="48"/>
    </row>
    <row r="119" spans="1:29" ht="16.5" customHeight="1" x14ac:dyDescent="0.15">
      <c r="A119" s="41">
        <v>15</v>
      </c>
      <c r="B119" s="41">
        <v>8951</v>
      </c>
      <c r="C119" s="74" t="s">
        <v>18937</v>
      </c>
      <c r="D119" s="72"/>
      <c r="F119" s="57"/>
      <c r="G119" s="72"/>
      <c r="I119" s="57"/>
      <c r="J119" s="53"/>
      <c r="K119" s="49"/>
      <c r="L119" s="50"/>
      <c r="M119" s="163"/>
      <c r="N119" s="45"/>
      <c r="O119" s="46"/>
      <c r="P119" s="512"/>
      <c r="Q119" s="57"/>
      <c r="R119" s="512"/>
      <c r="S119" s="57"/>
      <c r="T119" s="53"/>
      <c r="U119" s="49"/>
      <c r="V119" s="50"/>
      <c r="W119" s="115"/>
      <c r="X119" s="53"/>
      <c r="Y119" s="49"/>
      <c r="Z119" s="50"/>
      <c r="AA119" s="115"/>
      <c r="AB119" s="208">
        <f>ROUND((ROUND((_15_同援日０．５*(1+_15・A深夜)),0)*(1+_15・区４)),0)+ROUND((ROUND((_15_同援日０．５＿２．５*(1+_15・B早朝)),0)*(1+_15・区４)),0)</f>
        <v>1166</v>
      </c>
      <c r="AC119" s="48"/>
    </row>
    <row r="120" spans="1:29" ht="16.5" customHeight="1" x14ac:dyDescent="0.15">
      <c r="A120" s="41">
        <v>15</v>
      </c>
      <c r="B120" s="41">
        <v>8952</v>
      </c>
      <c r="C120" s="74" t="s">
        <v>18938</v>
      </c>
      <c r="D120" s="72"/>
      <c r="F120" s="57"/>
      <c r="G120" s="72"/>
      <c r="I120" s="57"/>
      <c r="J120" s="43"/>
      <c r="K120" s="37"/>
      <c r="L120" s="38"/>
      <c r="M120" s="299" t="s">
        <v>17556</v>
      </c>
      <c r="N120" s="45" t="s">
        <v>398</v>
      </c>
      <c r="O120" s="46">
        <v>1</v>
      </c>
      <c r="P120" s="512"/>
      <c r="Q120" s="57"/>
      <c r="R120" s="512"/>
      <c r="S120" s="57"/>
      <c r="T120" s="35"/>
      <c r="W120" s="57"/>
      <c r="X120" s="35"/>
      <c r="AA120" s="57"/>
      <c r="AB120" s="208">
        <f>ROUND((ROUND((ROUND((_15_同援日０．５*_15・２人),0)*(1+_15・A深夜)),0)*(1+_15・区４)),0)+ROUND((ROUND((ROUND((_15_同援日０．５＿２．５*_15・２人),0)*(1+_15・B早朝)),0)*(1+_15・区４)),0)</f>
        <v>1166</v>
      </c>
      <c r="AC120" s="48"/>
    </row>
    <row r="121" spans="1:29" ht="16.5" customHeight="1" x14ac:dyDescent="0.15">
      <c r="A121" s="41">
        <v>15</v>
      </c>
      <c r="B121" s="41">
        <v>8953</v>
      </c>
      <c r="C121" s="74" t="s">
        <v>18939</v>
      </c>
      <c r="D121" s="72"/>
      <c r="F121" s="57"/>
      <c r="G121" s="72"/>
      <c r="I121" s="57"/>
      <c r="J121" s="114" t="s">
        <v>17558</v>
      </c>
      <c r="K121" s="49"/>
      <c r="L121" s="50"/>
      <c r="M121" s="163"/>
      <c r="N121" s="45"/>
      <c r="O121" s="46"/>
      <c r="P121" s="512"/>
      <c r="Q121" s="57"/>
      <c r="R121" s="512"/>
      <c r="S121" s="57"/>
      <c r="T121" s="35"/>
      <c r="W121" s="57"/>
      <c r="X121" s="72" t="s">
        <v>17580</v>
      </c>
      <c r="AA121" s="57"/>
      <c r="AB121" s="208">
        <f>ROUND((ROUND((ROUND((_15_同援日０．５*_15・基礎２),0)*(1+_15・A深夜)),0)*(1+_15・区４)),0)+ROUND((ROUND((ROUND((_15_同援日０．５＿２．５*_15・基礎２),0)*(1+_15・B早朝)),0)*(1+_15・区４)),0)</f>
        <v>1050</v>
      </c>
      <c r="AC121" s="48"/>
    </row>
    <row r="122" spans="1:29" ht="16.5" customHeight="1" x14ac:dyDescent="0.15">
      <c r="A122" s="41">
        <v>15</v>
      </c>
      <c r="B122" s="41">
        <v>8954</v>
      </c>
      <c r="C122" s="74" t="s">
        <v>18940</v>
      </c>
      <c r="D122" s="72"/>
      <c r="F122" s="57"/>
      <c r="G122" s="72"/>
      <c r="I122" s="57"/>
      <c r="J122" s="269" t="s">
        <v>17560</v>
      </c>
      <c r="K122" s="37" t="s">
        <v>398</v>
      </c>
      <c r="L122" s="38">
        <v>0.9</v>
      </c>
      <c r="M122" s="299" t="s">
        <v>17556</v>
      </c>
      <c r="N122" s="45" t="s">
        <v>398</v>
      </c>
      <c r="O122" s="46">
        <v>1</v>
      </c>
      <c r="P122" s="512"/>
      <c r="Q122" s="57"/>
      <c r="R122" s="512"/>
      <c r="S122" s="57"/>
      <c r="T122" s="43"/>
      <c r="U122" s="37"/>
      <c r="V122" s="38"/>
      <c r="W122" s="79"/>
      <c r="X122" s="72" t="s">
        <v>17572</v>
      </c>
      <c r="AA122" s="57"/>
      <c r="AB122" s="208">
        <f>ROUND((ROUND((ROUND((ROUND((_15_同援日０．５*_15・基礎２),0)*_15・２人),0)*(1+_15・A深夜)),0)*(1+_15・区４)),0)+ROUND((ROUND((ROUND((ROUND((_15_同援日０．５＿２．５*_15・基礎２),0)*_15・２人),0)*(1+_15・B早朝)),0)*(1+_15・区４)),0)</f>
        <v>1050</v>
      </c>
      <c r="AC122" s="48"/>
    </row>
    <row r="123" spans="1:29" ht="16.5" customHeight="1" x14ac:dyDescent="0.15">
      <c r="A123" s="41">
        <v>15</v>
      </c>
      <c r="B123" s="41">
        <v>8955</v>
      </c>
      <c r="C123" s="74" t="s">
        <v>18941</v>
      </c>
      <c r="D123" s="72"/>
      <c r="F123" s="57"/>
      <c r="G123" s="72"/>
      <c r="I123" s="57"/>
      <c r="J123" s="53"/>
      <c r="K123" s="49"/>
      <c r="L123" s="50"/>
      <c r="M123" s="163"/>
      <c r="N123" s="45"/>
      <c r="O123" s="46"/>
      <c r="P123" s="512"/>
      <c r="Q123" s="57"/>
      <c r="R123" s="512"/>
      <c r="S123" s="57"/>
      <c r="T123" s="114" t="s">
        <v>17562</v>
      </c>
      <c r="U123" s="49"/>
      <c r="V123" s="50"/>
      <c r="W123" s="115"/>
      <c r="X123" s="35"/>
      <c r="Y123" s="12" t="s">
        <v>398</v>
      </c>
      <c r="Z123" s="13">
        <v>0.4</v>
      </c>
      <c r="AA123" s="57" t="s">
        <v>3575</v>
      </c>
      <c r="AB123" s="208">
        <f>ROUND((ROUND((ROUND((_15_同援日０．５*(1+_15・A深夜)),0)*(1+_15・盲ろう)),0)*(1+_15・区４)),0)+ROUND((ROUND((ROUND((_15_同援日０．５＿２．５*(1+_15・B早朝)),0)*(1+_15・盲ろう)),0)*(1+_15・区４)),0)</f>
        <v>1457</v>
      </c>
      <c r="AC123" s="48"/>
    </row>
    <row r="124" spans="1:29" ht="16.5" customHeight="1" x14ac:dyDescent="0.15">
      <c r="A124" s="41">
        <v>15</v>
      </c>
      <c r="B124" s="41">
        <v>8956</v>
      </c>
      <c r="C124" s="74" t="s">
        <v>18942</v>
      </c>
      <c r="D124" s="72"/>
      <c r="F124" s="57"/>
      <c r="G124" s="72"/>
      <c r="I124" s="57"/>
      <c r="J124" s="43"/>
      <c r="K124" s="37"/>
      <c r="L124" s="38"/>
      <c r="M124" s="299" t="s">
        <v>17556</v>
      </c>
      <c r="N124" s="45" t="s">
        <v>398</v>
      </c>
      <c r="O124" s="46">
        <v>1</v>
      </c>
      <c r="P124" s="512"/>
      <c r="Q124" s="57"/>
      <c r="R124" s="512"/>
      <c r="S124" s="57"/>
      <c r="T124" s="92" t="s">
        <v>17564</v>
      </c>
      <c r="W124" s="57"/>
      <c r="X124" s="35"/>
      <c r="AA124" s="57"/>
      <c r="AB124" s="208">
        <f>ROUND((ROUND((ROUND((ROUND((_15_同援日０．５*_15・２人),0)*(1+_15・A深夜)),0)*(1+_15・盲ろう)),0)*(1+_15・区４)),0)+ROUND((ROUND((ROUND((ROUND((_15_同援日０．５＿２．５*_15・２人),0)*(1+_15・B早朝)),0)*(1+_15・盲ろう)),0)*(1+_15・区４)),0)</f>
        <v>1457</v>
      </c>
      <c r="AC124" s="48"/>
    </row>
    <row r="125" spans="1:29" ht="16.5" customHeight="1" x14ac:dyDescent="0.15">
      <c r="A125" s="41">
        <v>15</v>
      </c>
      <c r="B125" s="41">
        <v>8957</v>
      </c>
      <c r="C125" s="74" t="s">
        <v>18943</v>
      </c>
      <c r="D125" s="72"/>
      <c r="F125" s="57"/>
      <c r="G125" s="72"/>
      <c r="I125" s="57"/>
      <c r="J125" s="114" t="s">
        <v>17558</v>
      </c>
      <c r="K125" s="49"/>
      <c r="L125" s="50"/>
      <c r="M125" s="163"/>
      <c r="N125" s="45"/>
      <c r="O125" s="46"/>
      <c r="P125" s="512"/>
      <c r="Q125" s="57"/>
      <c r="R125" s="512"/>
      <c r="S125" s="57"/>
      <c r="T125" s="35"/>
      <c r="U125" s="12" t="s">
        <v>398</v>
      </c>
      <c r="V125" s="13">
        <v>0.25</v>
      </c>
      <c r="W125" s="57" t="s">
        <v>3575</v>
      </c>
      <c r="X125" s="35"/>
      <c r="AA125" s="57"/>
      <c r="AB125" s="208">
        <f>ROUND((ROUND((ROUND((ROUND((_15_同援日０．５*_15・基礎２),0)*(1+_15・A深夜)),0)*(1+_15・盲ろう)),0)*(1+_15・区４)),0)+ROUND((ROUND((ROUND((ROUND((_15_同援日０．５＿２．５*_15・基礎２),0)*(1+_15・B早朝)),0)*(1+_15・盲ろう)),0)*(1+_15・区４)),0)</f>
        <v>1311</v>
      </c>
      <c r="AC125" s="48"/>
    </row>
    <row r="126" spans="1:29" ht="16.5" customHeight="1" x14ac:dyDescent="0.15">
      <c r="A126" s="41">
        <v>15</v>
      </c>
      <c r="B126" s="41">
        <v>8958</v>
      </c>
      <c r="C126" s="74" t="s">
        <v>18944</v>
      </c>
      <c r="D126" s="122"/>
      <c r="E126" s="37"/>
      <c r="F126" s="79"/>
      <c r="G126" s="122"/>
      <c r="H126" s="37"/>
      <c r="I126" s="79"/>
      <c r="J126" s="269" t="s">
        <v>17560</v>
      </c>
      <c r="K126" s="37" t="s">
        <v>398</v>
      </c>
      <c r="L126" s="38">
        <v>0.9</v>
      </c>
      <c r="M126" s="299" t="s">
        <v>17556</v>
      </c>
      <c r="N126" s="45" t="s">
        <v>398</v>
      </c>
      <c r="O126" s="46">
        <v>1</v>
      </c>
      <c r="P126" s="512"/>
      <c r="Q126" s="57"/>
      <c r="R126" s="512"/>
      <c r="S126" s="57"/>
      <c r="T126" s="43"/>
      <c r="U126" s="37"/>
      <c r="V126" s="38"/>
      <c r="W126" s="79"/>
      <c r="X126" s="43"/>
      <c r="Y126" s="37"/>
      <c r="Z126" s="38"/>
      <c r="AA126" s="79"/>
      <c r="AB126" s="208">
        <f>ROUND((ROUND((ROUND((ROUND((ROUND((_15_同援日０．５*_15・基礎２),0)*_15・２人),0)*(1+_15・A深夜)),0)*(1+_15・盲ろう)),0)*(1+_15・区４)),0)+ROUND((ROUND((ROUND((ROUND((ROUND((_15_同援日０．５＿２．５*_15・基礎２),0)*_15・２人),0)*(1+_15・B早朝)),0)*(1+_15・盲ろう)),0)*(1+_15・区４)),0)</f>
        <v>1311</v>
      </c>
      <c r="AC126" s="48"/>
    </row>
    <row r="127" spans="1:29" ht="16.5" customHeight="1" x14ac:dyDescent="0.15">
      <c r="A127" s="41">
        <v>15</v>
      </c>
      <c r="B127" s="41">
        <v>8959</v>
      </c>
      <c r="C127" s="74" t="s">
        <v>18945</v>
      </c>
      <c r="D127" s="114" t="s">
        <v>18513</v>
      </c>
      <c r="E127" s="49"/>
      <c r="F127" s="115"/>
      <c r="G127" s="114" t="s">
        <v>18819</v>
      </c>
      <c r="H127" s="49"/>
      <c r="I127" s="115"/>
      <c r="J127" s="53"/>
      <c r="K127" s="49"/>
      <c r="L127" s="50"/>
      <c r="M127" s="163"/>
      <c r="N127" s="45"/>
      <c r="O127" s="46"/>
      <c r="P127" s="512"/>
      <c r="Q127" s="57"/>
      <c r="R127" s="512"/>
      <c r="S127" s="57"/>
      <c r="T127" s="53"/>
      <c r="U127" s="49"/>
      <c r="V127" s="50"/>
      <c r="W127" s="115"/>
      <c r="X127" s="53"/>
      <c r="Y127" s="49"/>
      <c r="Z127" s="50"/>
      <c r="AA127" s="115"/>
      <c r="AB127" s="208">
        <f>ROUND((_15_同援日１．０*(1+_15・A深夜)),0)+ROUND((_15_同援日１．０＿０．５*(1+_15・B早朝)),0)</f>
        <v>616</v>
      </c>
      <c r="AC127" s="48"/>
    </row>
    <row r="128" spans="1:29" ht="16.5" customHeight="1" x14ac:dyDescent="0.15">
      <c r="A128" s="41">
        <v>15</v>
      </c>
      <c r="B128" s="41">
        <v>8960</v>
      </c>
      <c r="C128" s="74" t="s">
        <v>18946</v>
      </c>
      <c r="D128" s="72" t="s">
        <v>17589</v>
      </c>
      <c r="F128" s="57"/>
      <c r="G128" s="72" t="s">
        <v>18259</v>
      </c>
      <c r="I128" s="57"/>
      <c r="J128" s="43"/>
      <c r="K128" s="37"/>
      <c r="L128" s="38"/>
      <c r="M128" s="299" t="s">
        <v>17556</v>
      </c>
      <c r="N128" s="45" t="s">
        <v>398</v>
      </c>
      <c r="O128" s="46">
        <v>1</v>
      </c>
      <c r="P128" s="512"/>
      <c r="Q128" s="57"/>
      <c r="R128" s="512"/>
      <c r="S128" s="57"/>
      <c r="T128" s="35"/>
      <c r="W128" s="57"/>
      <c r="X128" s="35"/>
      <c r="AA128" s="57"/>
      <c r="AB128" s="208">
        <f>ROUND((ROUND((_15_同援日１．０*_15・２人),0)*(1+_15・A深夜)),0)+ROUND((ROUND((_15_同援日１．０＿０．５*_15・２人),0)*(1+_15・B早朝)),0)</f>
        <v>616</v>
      </c>
      <c r="AC128" s="48"/>
    </row>
    <row r="129" spans="1:29" ht="16.5" customHeight="1" x14ac:dyDescent="0.15">
      <c r="A129" s="41">
        <v>15</v>
      </c>
      <c r="B129" s="41">
        <v>8961</v>
      </c>
      <c r="C129" s="74" t="s">
        <v>18947</v>
      </c>
      <c r="D129" s="72" t="s">
        <v>17591</v>
      </c>
      <c r="F129" s="57"/>
      <c r="G129" s="72"/>
      <c r="I129" s="57"/>
      <c r="J129" s="114" t="s">
        <v>17558</v>
      </c>
      <c r="K129" s="49"/>
      <c r="L129" s="50"/>
      <c r="M129" s="163"/>
      <c r="N129" s="45"/>
      <c r="O129" s="46"/>
      <c r="P129" s="512"/>
      <c r="Q129" s="57"/>
      <c r="R129" s="512"/>
      <c r="S129" s="57"/>
      <c r="T129" s="35"/>
      <c r="W129" s="57"/>
      <c r="X129" s="35"/>
      <c r="AA129" s="57"/>
      <c r="AB129" s="208">
        <f>ROUND((ROUND((_15_同援日１．０*_15・基礎２),0)*(1+_15・A深夜)),0)+ROUND((ROUND((_15_同援日１．０＿０．５*_15・基礎２),0)*(1+_15・B早朝)),0)</f>
        <v>555</v>
      </c>
      <c r="AC129" s="48"/>
    </row>
    <row r="130" spans="1:29" ht="16.5" customHeight="1" x14ac:dyDescent="0.15">
      <c r="A130" s="41">
        <v>15</v>
      </c>
      <c r="B130" s="41">
        <v>8962</v>
      </c>
      <c r="C130" s="74" t="s">
        <v>18948</v>
      </c>
      <c r="D130" s="72"/>
      <c r="E130" s="168">
        <f>_15_同援日１．０</f>
        <v>300</v>
      </c>
      <c r="F130" s="57" t="s">
        <v>392</v>
      </c>
      <c r="G130" s="72"/>
      <c r="H130" s="168">
        <f>_15_同援日１．０＿０．５</f>
        <v>133</v>
      </c>
      <c r="I130" s="57" t="s">
        <v>392</v>
      </c>
      <c r="J130" s="269" t="s">
        <v>17560</v>
      </c>
      <c r="K130" s="37" t="s">
        <v>398</v>
      </c>
      <c r="L130" s="38">
        <v>0.9</v>
      </c>
      <c r="M130" s="299" t="s">
        <v>17556</v>
      </c>
      <c r="N130" s="45" t="s">
        <v>398</v>
      </c>
      <c r="O130" s="46">
        <v>1</v>
      </c>
      <c r="P130" s="512"/>
      <c r="Q130" s="57"/>
      <c r="R130" s="512"/>
      <c r="S130" s="57"/>
      <c r="T130" s="43"/>
      <c r="U130" s="37"/>
      <c r="V130" s="38"/>
      <c r="W130" s="79"/>
      <c r="X130" s="35"/>
      <c r="AA130" s="57"/>
      <c r="AB130" s="208">
        <f>ROUND((ROUND((ROUND((_15_同援日１．０*_15・基礎２),0)*_15・２人),0)*(1+_15・A深夜)),0)+ROUND((ROUND((ROUND((_15_同援日１．０＿０．５*_15・基礎２),0)*_15・２人),0)*(1+_15・B早朝)),0)</f>
        <v>555</v>
      </c>
      <c r="AC130" s="48"/>
    </row>
    <row r="131" spans="1:29" ht="16.5" customHeight="1" x14ac:dyDescent="0.15">
      <c r="A131" s="41">
        <v>15</v>
      </c>
      <c r="B131" s="41">
        <v>8963</v>
      </c>
      <c r="C131" s="74" t="s">
        <v>18949</v>
      </c>
      <c r="D131" s="72"/>
      <c r="F131" s="57"/>
      <c r="G131" s="72"/>
      <c r="I131" s="57"/>
      <c r="J131" s="53"/>
      <c r="K131" s="49"/>
      <c r="L131" s="50"/>
      <c r="M131" s="163"/>
      <c r="N131" s="45"/>
      <c r="O131" s="46"/>
      <c r="P131" s="512"/>
      <c r="Q131" s="57"/>
      <c r="R131" s="512"/>
      <c r="S131" s="57"/>
      <c r="T131" s="114" t="s">
        <v>17562</v>
      </c>
      <c r="U131" s="49"/>
      <c r="V131" s="50"/>
      <c r="W131" s="115"/>
      <c r="X131" s="35"/>
      <c r="AA131" s="57"/>
      <c r="AB131" s="208">
        <f>ROUND((ROUND((_15_同援日１．０*(1+_15・A深夜)),0)*(1+_15・盲ろう)),0)+ROUND((ROUND((_15_同援日１．０＿０．５*(1+_15・B早朝)),0)*(1+_15・盲ろう)),0)</f>
        <v>771</v>
      </c>
      <c r="AC131" s="48"/>
    </row>
    <row r="132" spans="1:29" ht="16.5" customHeight="1" x14ac:dyDescent="0.15">
      <c r="A132" s="41">
        <v>15</v>
      </c>
      <c r="B132" s="41">
        <v>8964</v>
      </c>
      <c r="C132" s="74" t="s">
        <v>18950</v>
      </c>
      <c r="D132" s="72"/>
      <c r="F132" s="57"/>
      <c r="G132" s="72"/>
      <c r="I132" s="57"/>
      <c r="J132" s="43"/>
      <c r="K132" s="37"/>
      <c r="L132" s="38"/>
      <c r="M132" s="299" t="s">
        <v>17556</v>
      </c>
      <c r="N132" s="45" t="s">
        <v>398</v>
      </c>
      <c r="O132" s="46">
        <v>1</v>
      </c>
      <c r="P132" s="512"/>
      <c r="Q132" s="57"/>
      <c r="R132" s="512"/>
      <c r="S132" s="57"/>
      <c r="T132" s="92" t="s">
        <v>17564</v>
      </c>
      <c r="W132" s="57"/>
      <c r="X132" s="35"/>
      <c r="AA132" s="57"/>
      <c r="AB132" s="208">
        <f>ROUND((ROUND((ROUND((_15_同援日１．０*_15・２人),0)*(1+_15・A深夜)),0)*(1+_15・盲ろう)),0)+ROUND((ROUND((ROUND((_15_同援日１．０＿０．５*_15・２人),0)*(1+_15・B早朝)),0)*(1+_15・盲ろう)),0)</f>
        <v>771</v>
      </c>
      <c r="AC132" s="48"/>
    </row>
    <row r="133" spans="1:29" ht="16.5" customHeight="1" x14ac:dyDescent="0.15">
      <c r="A133" s="41">
        <v>15</v>
      </c>
      <c r="B133" s="41">
        <v>8965</v>
      </c>
      <c r="C133" s="74" t="s">
        <v>18951</v>
      </c>
      <c r="D133" s="72"/>
      <c r="F133" s="57"/>
      <c r="G133" s="72"/>
      <c r="I133" s="57"/>
      <c r="J133" s="114" t="s">
        <v>17558</v>
      </c>
      <c r="K133" s="49"/>
      <c r="L133" s="50"/>
      <c r="M133" s="163"/>
      <c r="N133" s="45"/>
      <c r="O133" s="46"/>
      <c r="P133" s="512"/>
      <c r="Q133" s="57"/>
      <c r="R133" s="512"/>
      <c r="S133" s="57"/>
      <c r="T133" s="35"/>
      <c r="U133" s="12" t="s">
        <v>398</v>
      </c>
      <c r="V133" s="13">
        <v>0.25</v>
      </c>
      <c r="W133" s="57" t="s">
        <v>3575</v>
      </c>
      <c r="X133" s="35"/>
      <c r="AA133" s="57"/>
      <c r="AB133" s="208">
        <f>ROUND((ROUND((ROUND((_15_同援日１．０*_15・基礎２),0)*(1+_15・A深夜)),0)*(1+_15・盲ろう)),0)+ROUND((ROUND((ROUND((_15_同援日１．０＿０．５*_15・基礎２),0)*(1+_15・B早朝)),0)*(1+_15・盲ろう)),0)</f>
        <v>694</v>
      </c>
      <c r="AC133" s="48"/>
    </row>
    <row r="134" spans="1:29" ht="16.5" customHeight="1" x14ac:dyDescent="0.15">
      <c r="A134" s="41">
        <v>15</v>
      </c>
      <c r="B134" s="41">
        <v>8966</v>
      </c>
      <c r="C134" s="74" t="s">
        <v>18952</v>
      </c>
      <c r="D134" s="72"/>
      <c r="F134" s="57"/>
      <c r="G134" s="72"/>
      <c r="I134" s="57"/>
      <c r="J134" s="269" t="s">
        <v>17560</v>
      </c>
      <c r="K134" s="37" t="s">
        <v>398</v>
      </c>
      <c r="L134" s="38">
        <v>0.9</v>
      </c>
      <c r="M134" s="299" t="s">
        <v>17556</v>
      </c>
      <c r="N134" s="45" t="s">
        <v>398</v>
      </c>
      <c r="O134" s="46">
        <v>1</v>
      </c>
      <c r="P134" s="512"/>
      <c r="Q134" s="57"/>
      <c r="R134" s="512"/>
      <c r="S134" s="57"/>
      <c r="T134" s="43"/>
      <c r="U134" s="37"/>
      <c r="V134" s="38"/>
      <c r="W134" s="79"/>
      <c r="X134" s="43"/>
      <c r="Y134" s="37"/>
      <c r="Z134" s="38"/>
      <c r="AA134" s="79"/>
      <c r="AB134" s="208">
        <f>ROUND((ROUND((ROUND((ROUND((_15_同援日１．０*_15・基礎２),0)*_15・２人),0)*(1+_15・A深夜)),0)*(1+_15・盲ろう)),0)+ROUND((ROUND((ROUND((ROUND((_15_同援日１．０＿０．５*_15・基礎２),0)*_15・２人),0)*(1+_15・B早朝)),0)*(1+_15・盲ろう)),0)</f>
        <v>694</v>
      </c>
      <c r="AC134" s="48"/>
    </row>
    <row r="135" spans="1:29" ht="16.5" customHeight="1" x14ac:dyDescent="0.15">
      <c r="A135" s="41">
        <v>15</v>
      </c>
      <c r="B135" s="41">
        <v>8967</v>
      </c>
      <c r="C135" s="74" t="s">
        <v>18953</v>
      </c>
      <c r="D135" s="72"/>
      <c r="F135" s="57"/>
      <c r="G135" s="72"/>
      <c r="I135" s="57"/>
      <c r="J135" s="53"/>
      <c r="K135" s="49"/>
      <c r="L135" s="50"/>
      <c r="M135" s="163"/>
      <c r="N135" s="45"/>
      <c r="O135" s="46"/>
      <c r="P135" s="512"/>
      <c r="Q135" s="57"/>
      <c r="R135" s="512"/>
      <c r="S135" s="57"/>
      <c r="T135" s="53"/>
      <c r="U135" s="49"/>
      <c r="V135" s="50"/>
      <c r="W135" s="115"/>
      <c r="X135" s="53"/>
      <c r="Y135" s="49"/>
      <c r="Z135" s="50"/>
      <c r="AA135" s="115"/>
      <c r="AB135" s="208">
        <f>ROUND((ROUND((_15_同援日１．０*(1+_15・A深夜)),0)*(1+_15・区３)),0)+ROUND((ROUND((_15_同援日１．０＿０．５*(1+_15・B早朝)),0)*(1+_15・区３)),0)</f>
        <v>739</v>
      </c>
      <c r="AC135" s="48"/>
    </row>
    <row r="136" spans="1:29" ht="16.5" customHeight="1" x14ac:dyDescent="0.15">
      <c r="A136" s="41">
        <v>15</v>
      </c>
      <c r="B136" s="41">
        <v>8968</v>
      </c>
      <c r="C136" s="74" t="s">
        <v>18954</v>
      </c>
      <c r="D136" s="72"/>
      <c r="F136" s="57"/>
      <c r="G136" s="72"/>
      <c r="I136" s="57"/>
      <c r="J136" s="43"/>
      <c r="K136" s="37"/>
      <c r="L136" s="38"/>
      <c r="M136" s="299" t="s">
        <v>17556</v>
      </c>
      <c r="N136" s="45" t="s">
        <v>398</v>
      </c>
      <c r="O136" s="46">
        <v>1</v>
      </c>
      <c r="P136" s="512"/>
      <c r="Q136" s="57"/>
      <c r="R136" s="512"/>
      <c r="S136" s="57"/>
      <c r="T136" s="35"/>
      <c r="W136" s="57"/>
      <c r="X136" s="35"/>
      <c r="AA136" s="57"/>
      <c r="AB136" s="208">
        <f>ROUND((ROUND((ROUND((_15_同援日１．０*_15・２人),0)*(1+_15・A深夜)),0)*(1+_15・区３)),0)+ROUND((ROUND((ROUND((_15_同援日１．０＿０．５*_15・２人),0)*(1+_15・B早朝)),0)*(1+_15・区３)),0)</f>
        <v>739</v>
      </c>
      <c r="AC136" s="48"/>
    </row>
    <row r="137" spans="1:29" ht="16.5" customHeight="1" x14ac:dyDescent="0.15">
      <c r="A137" s="41">
        <v>15</v>
      </c>
      <c r="B137" s="41">
        <v>8969</v>
      </c>
      <c r="C137" s="74" t="s">
        <v>18955</v>
      </c>
      <c r="D137" s="72"/>
      <c r="F137" s="57"/>
      <c r="G137" s="72"/>
      <c r="I137" s="57"/>
      <c r="J137" s="114" t="s">
        <v>17558</v>
      </c>
      <c r="K137" s="49"/>
      <c r="L137" s="50"/>
      <c r="M137" s="163"/>
      <c r="N137" s="45"/>
      <c r="O137" s="46"/>
      <c r="P137" s="512"/>
      <c r="Q137" s="57"/>
      <c r="R137" s="512"/>
      <c r="S137" s="57"/>
      <c r="T137" s="35"/>
      <c r="W137" s="57"/>
      <c r="X137" s="72" t="s">
        <v>17570</v>
      </c>
      <c r="AA137" s="57"/>
      <c r="AB137" s="208">
        <f>ROUND((ROUND((ROUND((_15_同援日１．０*_15・基礎２),0)*(1+_15・A深夜)),0)*(1+_15・区３)),0)+ROUND((ROUND((ROUND((_15_同援日１．０＿０．５*_15・基礎２),0)*(1+_15・B早朝)),0)*(1+_15・区３)),0)</f>
        <v>666</v>
      </c>
      <c r="AC137" s="48"/>
    </row>
    <row r="138" spans="1:29" ht="16.5" customHeight="1" x14ac:dyDescent="0.15">
      <c r="A138" s="41">
        <v>15</v>
      </c>
      <c r="B138" s="41">
        <v>8970</v>
      </c>
      <c r="C138" s="74" t="s">
        <v>18956</v>
      </c>
      <c r="D138" s="72"/>
      <c r="F138" s="57"/>
      <c r="G138" s="72"/>
      <c r="I138" s="57"/>
      <c r="J138" s="269" t="s">
        <v>17560</v>
      </c>
      <c r="K138" s="37" t="s">
        <v>398</v>
      </c>
      <c r="L138" s="38">
        <v>0.9</v>
      </c>
      <c r="M138" s="299" t="s">
        <v>17556</v>
      </c>
      <c r="N138" s="45" t="s">
        <v>398</v>
      </c>
      <c r="O138" s="46">
        <v>1</v>
      </c>
      <c r="P138" s="512"/>
      <c r="Q138" s="57"/>
      <c r="R138" s="512"/>
      <c r="S138" s="57"/>
      <c r="T138" s="43"/>
      <c r="U138" s="37"/>
      <c r="V138" s="38"/>
      <c r="W138" s="79"/>
      <c r="X138" s="72" t="s">
        <v>17572</v>
      </c>
      <c r="AA138" s="57"/>
      <c r="AB138" s="208">
        <f>ROUND((ROUND((ROUND((ROUND((_15_同援日１．０*_15・基礎２),0)*_15・２人),0)*(1+_15・A深夜)),0)*(1+_15・区３)),0)+ROUND((ROUND((ROUND((ROUND((_15_同援日１．０＿０．５*_15・基礎２),0)*_15・２人),0)*(1+_15・B早朝)),0)*(1+_15・区３)),0)</f>
        <v>666</v>
      </c>
      <c r="AC138" s="48"/>
    </row>
    <row r="139" spans="1:29" ht="16.5" customHeight="1" x14ac:dyDescent="0.15">
      <c r="A139" s="41">
        <v>15</v>
      </c>
      <c r="B139" s="41">
        <v>8971</v>
      </c>
      <c r="C139" s="74" t="s">
        <v>18957</v>
      </c>
      <c r="D139" s="72"/>
      <c r="F139" s="57"/>
      <c r="G139" s="72"/>
      <c r="I139" s="57"/>
      <c r="J139" s="53"/>
      <c r="K139" s="49"/>
      <c r="L139" s="50"/>
      <c r="M139" s="163"/>
      <c r="N139" s="45"/>
      <c r="O139" s="46"/>
      <c r="P139" s="512"/>
      <c r="Q139" s="57"/>
      <c r="R139" s="512"/>
      <c r="S139" s="57"/>
      <c r="T139" s="114" t="s">
        <v>17562</v>
      </c>
      <c r="U139" s="49"/>
      <c r="V139" s="50"/>
      <c r="W139" s="115"/>
      <c r="X139" s="35"/>
      <c r="Y139" s="12" t="s">
        <v>398</v>
      </c>
      <c r="Z139" s="13">
        <v>0.2</v>
      </c>
      <c r="AA139" s="57" t="s">
        <v>3575</v>
      </c>
      <c r="AB139" s="208">
        <f>ROUND((ROUND((ROUND((_15_同援日１．０*(1+_15・A深夜)),0)*(1+_15・盲ろう)),0)*(1+_15・区３)),0)+ROUND((ROUND((ROUND((_15_同援日１．０＿０．５*(1+_15・B早朝)),0)*(1+_15・盲ろう)),0)*(1+_15・区３)),0)</f>
        <v>926</v>
      </c>
      <c r="AC139" s="48"/>
    </row>
    <row r="140" spans="1:29" ht="16.5" customHeight="1" x14ac:dyDescent="0.15">
      <c r="A140" s="41">
        <v>15</v>
      </c>
      <c r="B140" s="41">
        <v>8972</v>
      </c>
      <c r="C140" s="74" t="s">
        <v>18958</v>
      </c>
      <c r="D140" s="72"/>
      <c r="F140" s="57"/>
      <c r="G140" s="72"/>
      <c r="I140" s="57"/>
      <c r="J140" s="43"/>
      <c r="K140" s="37"/>
      <c r="L140" s="38"/>
      <c r="M140" s="299" t="s">
        <v>17556</v>
      </c>
      <c r="N140" s="45" t="s">
        <v>398</v>
      </c>
      <c r="O140" s="46">
        <v>1</v>
      </c>
      <c r="P140" s="512"/>
      <c r="Q140" s="57"/>
      <c r="R140" s="512"/>
      <c r="S140" s="57"/>
      <c r="T140" s="92" t="s">
        <v>17564</v>
      </c>
      <c r="W140" s="57"/>
      <c r="X140" s="35"/>
      <c r="AA140" s="57"/>
      <c r="AB140" s="208">
        <f>ROUND((ROUND((ROUND((ROUND((_15_同援日１．０*_15・２人),0)*(1+_15・A深夜)),0)*(1+_15・盲ろう)),0)*(1+_15・区３)),0)+ROUND((ROUND((ROUND((ROUND((_15_同援日１．０＿０．５*_15・２人),0)*(1+_15・B早朝)),0)*(1+_15・盲ろう)),0)*(1+_15・区３)),0)</f>
        <v>926</v>
      </c>
      <c r="AC140" s="48"/>
    </row>
    <row r="141" spans="1:29" ht="16.5" customHeight="1" x14ac:dyDescent="0.15">
      <c r="A141" s="41">
        <v>15</v>
      </c>
      <c r="B141" s="41">
        <v>8973</v>
      </c>
      <c r="C141" s="74" t="s">
        <v>18959</v>
      </c>
      <c r="D141" s="72"/>
      <c r="F141" s="57"/>
      <c r="G141" s="72"/>
      <c r="I141" s="57"/>
      <c r="J141" s="114" t="s">
        <v>17558</v>
      </c>
      <c r="K141" s="49"/>
      <c r="L141" s="50"/>
      <c r="M141" s="163"/>
      <c r="N141" s="45"/>
      <c r="O141" s="46"/>
      <c r="P141" s="512"/>
      <c r="Q141" s="57"/>
      <c r="R141" s="512"/>
      <c r="S141" s="57"/>
      <c r="T141" s="35"/>
      <c r="U141" s="12" t="s">
        <v>398</v>
      </c>
      <c r="V141" s="13">
        <v>0.25</v>
      </c>
      <c r="W141" s="57" t="s">
        <v>3575</v>
      </c>
      <c r="X141" s="35"/>
      <c r="AA141" s="57"/>
      <c r="AB141" s="208">
        <f>ROUND((ROUND((ROUND((ROUND((_15_同援日１．０*_15・基礎２),0)*(1+_15・A深夜)),0)*(1+_15・盲ろう)),0)*(1+_15・区３)),0)+ROUND((ROUND((ROUND((ROUND((_15_同援日１．０＿０．５*_15・基礎２),0)*(1+_15・B早朝)),0)*(1+_15・盲ろう)),0)*(1+_15・区３)),0)</f>
        <v>833</v>
      </c>
      <c r="AC141" s="48"/>
    </row>
    <row r="142" spans="1:29" ht="16.5" customHeight="1" x14ac:dyDescent="0.15">
      <c r="A142" s="41">
        <v>15</v>
      </c>
      <c r="B142" s="41">
        <v>8974</v>
      </c>
      <c r="C142" s="74" t="s">
        <v>18960</v>
      </c>
      <c r="D142" s="72"/>
      <c r="F142" s="57"/>
      <c r="G142" s="72"/>
      <c r="I142" s="57"/>
      <c r="J142" s="269" t="s">
        <v>17560</v>
      </c>
      <c r="K142" s="37" t="s">
        <v>398</v>
      </c>
      <c r="L142" s="38">
        <v>0.9</v>
      </c>
      <c r="M142" s="299" t="s">
        <v>17556</v>
      </c>
      <c r="N142" s="45" t="s">
        <v>398</v>
      </c>
      <c r="O142" s="46">
        <v>1</v>
      </c>
      <c r="P142" s="512"/>
      <c r="Q142" s="57"/>
      <c r="R142" s="512"/>
      <c r="S142" s="57"/>
      <c r="T142" s="43"/>
      <c r="U142" s="37"/>
      <c r="V142" s="38"/>
      <c r="W142" s="79"/>
      <c r="X142" s="43"/>
      <c r="Y142" s="37"/>
      <c r="Z142" s="38"/>
      <c r="AA142" s="79"/>
      <c r="AB142" s="208">
        <f>ROUND((ROUND((ROUND((ROUND((ROUND((_15_同援日１．０*_15・基礎２),0)*_15・２人),0)*(1+_15・A深夜)),0)*(1+_15・盲ろう)),0)*(1+_15・区３)),0)+ROUND((ROUND((ROUND((ROUND((ROUND((_15_同援日１．０＿０．５*_15・基礎２),0)*_15・２人),0)*(1+_15・B早朝)),0)*(1+_15・盲ろう)),0)*(1+_15・区３)),0)</f>
        <v>833</v>
      </c>
      <c r="AC142" s="48"/>
    </row>
    <row r="143" spans="1:29" ht="16.5" customHeight="1" x14ac:dyDescent="0.15">
      <c r="A143" s="41">
        <v>15</v>
      </c>
      <c r="B143" s="41">
        <v>8975</v>
      </c>
      <c r="C143" s="74" t="s">
        <v>18961</v>
      </c>
      <c r="D143" s="72"/>
      <c r="F143" s="57"/>
      <c r="G143" s="72"/>
      <c r="I143" s="57"/>
      <c r="J143" s="53"/>
      <c r="K143" s="49"/>
      <c r="L143" s="50"/>
      <c r="M143" s="163"/>
      <c r="N143" s="45"/>
      <c r="O143" s="46"/>
      <c r="P143" s="512"/>
      <c r="Q143" s="57"/>
      <c r="R143" s="512"/>
      <c r="S143" s="57"/>
      <c r="T143" s="53"/>
      <c r="U143" s="49"/>
      <c r="V143" s="50"/>
      <c r="W143" s="115"/>
      <c r="X143" s="53"/>
      <c r="Y143" s="49"/>
      <c r="Z143" s="50"/>
      <c r="AA143" s="115"/>
      <c r="AB143" s="208">
        <f>ROUND((ROUND((_15_同援日１．０*(1+_15・A深夜)),0)*(1+_15・区４)),0)+ROUND((ROUND((_15_同援日１．０＿０．５*(1+_15・B早朝)),0)*(1+_15・区４)),0)</f>
        <v>862</v>
      </c>
      <c r="AC143" s="48"/>
    </row>
    <row r="144" spans="1:29" ht="16.5" customHeight="1" x14ac:dyDescent="0.15">
      <c r="A144" s="41">
        <v>15</v>
      </c>
      <c r="B144" s="41">
        <v>8976</v>
      </c>
      <c r="C144" s="74" t="s">
        <v>18962</v>
      </c>
      <c r="D144" s="72"/>
      <c r="F144" s="57"/>
      <c r="G144" s="72"/>
      <c r="I144" s="57"/>
      <c r="J144" s="43"/>
      <c r="K144" s="37"/>
      <c r="L144" s="38"/>
      <c r="M144" s="299" t="s">
        <v>17556</v>
      </c>
      <c r="N144" s="45" t="s">
        <v>398</v>
      </c>
      <c r="O144" s="46">
        <v>1</v>
      </c>
      <c r="P144" s="512"/>
      <c r="Q144" s="57"/>
      <c r="R144" s="512"/>
      <c r="S144" s="57"/>
      <c r="T144" s="35"/>
      <c r="W144" s="57"/>
      <c r="X144" s="35"/>
      <c r="AA144" s="57"/>
      <c r="AB144" s="208">
        <f>ROUND((ROUND((ROUND((_15_同援日１．０*_15・２人),0)*(1+_15・A深夜)),0)*(1+_15・区４)),0)+ROUND((ROUND((ROUND((_15_同援日１．０＿０．５*_15・２人),0)*(1+_15・B早朝)),0)*(1+_15・区４)),0)</f>
        <v>862</v>
      </c>
      <c r="AC144" s="48"/>
    </row>
    <row r="145" spans="1:29" ht="16.5" customHeight="1" x14ac:dyDescent="0.15">
      <c r="A145" s="41">
        <v>15</v>
      </c>
      <c r="B145" s="41">
        <v>8977</v>
      </c>
      <c r="C145" s="74" t="s">
        <v>18963</v>
      </c>
      <c r="D145" s="72"/>
      <c r="F145" s="57"/>
      <c r="G145" s="72"/>
      <c r="I145" s="57"/>
      <c r="J145" s="114" t="s">
        <v>17558</v>
      </c>
      <c r="K145" s="49"/>
      <c r="L145" s="50"/>
      <c r="M145" s="163"/>
      <c r="N145" s="45"/>
      <c r="O145" s="46"/>
      <c r="P145" s="512"/>
      <c r="Q145" s="57"/>
      <c r="R145" s="512"/>
      <c r="S145" s="57"/>
      <c r="T145" s="35"/>
      <c r="W145" s="57"/>
      <c r="X145" s="72" t="s">
        <v>17580</v>
      </c>
      <c r="AA145" s="57"/>
      <c r="AB145" s="208">
        <f>ROUND((ROUND((ROUND((_15_同援日１．０*_15・基礎２),0)*(1+_15・A深夜)),0)*(1+_15・区４)),0)+ROUND((ROUND((ROUND((_15_同援日１．０＿０．５*_15・基礎２),0)*(1+_15・B早朝)),0)*(1+_15・区４)),0)</f>
        <v>777</v>
      </c>
      <c r="AC145" s="48"/>
    </row>
    <row r="146" spans="1:29" ht="16.5" customHeight="1" x14ac:dyDescent="0.15">
      <c r="A146" s="41">
        <v>15</v>
      </c>
      <c r="B146" s="41">
        <v>8978</v>
      </c>
      <c r="C146" s="74" t="s">
        <v>18964</v>
      </c>
      <c r="D146" s="72"/>
      <c r="F146" s="57"/>
      <c r="G146" s="72"/>
      <c r="I146" s="57"/>
      <c r="J146" s="269" t="s">
        <v>17560</v>
      </c>
      <c r="K146" s="37" t="s">
        <v>398</v>
      </c>
      <c r="L146" s="38">
        <v>0.9</v>
      </c>
      <c r="M146" s="299" t="s">
        <v>17556</v>
      </c>
      <c r="N146" s="45" t="s">
        <v>398</v>
      </c>
      <c r="O146" s="46">
        <v>1</v>
      </c>
      <c r="P146" s="512"/>
      <c r="Q146" s="57"/>
      <c r="R146" s="512"/>
      <c r="S146" s="57"/>
      <c r="T146" s="43"/>
      <c r="U146" s="37"/>
      <c r="V146" s="38"/>
      <c r="W146" s="79"/>
      <c r="X146" s="72" t="s">
        <v>17572</v>
      </c>
      <c r="AA146" s="57"/>
      <c r="AB146" s="208">
        <f>ROUND((ROUND((ROUND((ROUND((_15_同援日１．０*_15・基礎２),0)*_15・２人),0)*(1+_15・A深夜)),0)*(1+_15・区４)),0)+ROUND((ROUND((ROUND((ROUND((_15_同援日１．０＿０．５*_15・基礎２),0)*_15・２人),0)*(1+_15・B早朝)),0)*(1+_15・区４)),0)</f>
        <v>777</v>
      </c>
      <c r="AC146" s="48"/>
    </row>
    <row r="147" spans="1:29" ht="16.5" customHeight="1" x14ac:dyDescent="0.15">
      <c r="A147" s="41">
        <v>15</v>
      </c>
      <c r="B147" s="41">
        <v>8979</v>
      </c>
      <c r="C147" s="74" t="s">
        <v>18965</v>
      </c>
      <c r="D147" s="72"/>
      <c r="F147" s="57"/>
      <c r="G147" s="72"/>
      <c r="I147" s="57"/>
      <c r="J147" s="53"/>
      <c r="K147" s="49"/>
      <c r="L147" s="50"/>
      <c r="M147" s="163"/>
      <c r="N147" s="45"/>
      <c r="O147" s="46"/>
      <c r="P147" s="512"/>
      <c r="Q147" s="57"/>
      <c r="R147" s="512"/>
      <c r="S147" s="57"/>
      <c r="T147" s="114" t="s">
        <v>17562</v>
      </c>
      <c r="U147" s="49"/>
      <c r="V147" s="50"/>
      <c r="W147" s="115"/>
      <c r="X147" s="35"/>
      <c r="Y147" s="12" t="s">
        <v>398</v>
      </c>
      <c r="Z147" s="13">
        <v>0.4</v>
      </c>
      <c r="AA147" s="57" t="s">
        <v>3575</v>
      </c>
      <c r="AB147" s="208">
        <f>ROUND((ROUND((ROUND((_15_同援日１．０*(1+_15・A深夜)),0)*(1+_15・盲ろう)),0)*(1+_15・区４)),0)+ROUND((ROUND((ROUND((_15_同援日１．０＿０．５*(1+_15・B早朝)),0)*(1+_15・盲ろう)),0)*(1+_15・区４)),0)</f>
        <v>1079</v>
      </c>
      <c r="AC147" s="48"/>
    </row>
    <row r="148" spans="1:29" ht="16.5" customHeight="1" x14ac:dyDescent="0.15">
      <c r="A148" s="41">
        <v>15</v>
      </c>
      <c r="B148" s="41">
        <v>8980</v>
      </c>
      <c r="C148" s="74" t="s">
        <v>18966</v>
      </c>
      <c r="D148" s="72"/>
      <c r="F148" s="57"/>
      <c r="G148" s="72"/>
      <c r="I148" s="57"/>
      <c r="J148" s="43"/>
      <c r="K148" s="37"/>
      <c r="L148" s="38"/>
      <c r="M148" s="299" t="s">
        <v>17556</v>
      </c>
      <c r="N148" s="45" t="s">
        <v>398</v>
      </c>
      <c r="O148" s="46">
        <v>1</v>
      </c>
      <c r="P148" s="512"/>
      <c r="Q148" s="57"/>
      <c r="R148" s="512"/>
      <c r="S148" s="57"/>
      <c r="T148" s="92" t="s">
        <v>17564</v>
      </c>
      <c r="W148" s="57"/>
      <c r="X148" s="35"/>
      <c r="AA148" s="57"/>
      <c r="AB148" s="208">
        <f>ROUND((ROUND((ROUND((ROUND((_15_同援日１．０*_15・２人),0)*(1+_15・A深夜)),0)*(1+_15・盲ろう)),0)*(1+_15・区４)),0)+ROUND((ROUND((ROUND((ROUND((_15_同援日１．０＿０．５*_15・２人),0)*(1+_15・B早朝)),0)*(1+_15・盲ろう)),0)*(1+_15・区４)),0)</f>
        <v>1079</v>
      </c>
      <c r="AC148" s="48"/>
    </row>
    <row r="149" spans="1:29" ht="16.5" customHeight="1" x14ac:dyDescent="0.15">
      <c r="A149" s="41">
        <v>15</v>
      </c>
      <c r="B149" s="41">
        <v>8981</v>
      </c>
      <c r="C149" s="74" t="s">
        <v>18967</v>
      </c>
      <c r="D149" s="72"/>
      <c r="F149" s="57"/>
      <c r="G149" s="72"/>
      <c r="I149" s="57"/>
      <c r="J149" s="114" t="s">
        <v>17558</v>
      </c>
      <c r="K149" s="49"/>
      <c r="L149" s="50"/>
      <c r="M149" s="163"/>
      <c r="N149" s="45"/>
      <c r="O149" s="46"/>
      <c r="P149" s="512"/>
      <c r="Q149" s="57"/>
      <c r="R149" s="512"/>
      <c r="S149" s="57"/>
      <c r="T149" s="35"/>
      <c r="U149" s="12" t="s">
        <v>398</v>
      </c>
      <c r="V149" s="13">
        <v>0.25</v>
      </c>
      <c r="W149" s="57" t="s">
        <v>3575</v>
      </c>
      <c r="X149" s="35"/>
      <c r="AA149" s="57"/>
      <c r="AB149" s="208">
        <f>ROUND((ROUND((ROUND((ROUND((_15_同援日１．０*_15・基礎２),0)*(1+_15・A深夜)),0)*(1+_15・盲ろう)),0)*(1+_15・区４)),0)+ROUND((ROUND((ROUND((ROUND((_15_同援日１．０＿０．５*_15・基礎２),0)*(1+_15・B早朝)),0)*(1+_15・盲ろう)),0)*(1+_15・区４)),0)</f>
        <v>971</v>
      </c>
      <c r="AC149" s="48"/>
    </row>
    <row r="150" spans="1:29" ht="16.5" customHeight="1" x14ac:dyDescent="0.15">
      <c r="A150" s="41">
        <v>15</v>
      </c>
      <c r="B150" s="41">
        <v>8982</v>
      </c>
      <c r="C150" s="74" t="s">
        <v>18968</v>
      </c>
      <c r="D150" s="72"/>
      <c r="F150" s="57"/>
      <c r="G150" s="122"/>
      <c r="H150" s="37"/>
      <c r="I150" s="79"/>
      <c r="J150" s="269" t="s">
        <v>17560</v>
      </c>
      <c r="K150" s="37" t="s">
        <v>398</v>
      </c>
      <c r="L150" s="38">
        <v>0.9</v>
      </c>
      <c r="M150" s="299" t="s">
        <v>17556</v>
      </c>
      <c r="N150" s="45" t="s">
        <v>398</v>
      </c>
      <c r="O150" s="46">
        <v>1</v>
      </c>
      <c r="P150" s="512"/>
      <c r="Q150" s="57"/>
      <c r="R150" s="512"/>
      <c r="S150" s="57"/>
      <c r="T150" s="43"/>
      <c r="U150" s="37"/>
      <c r="V150" s="38"/>
      <c r="W150" s="79"/>
      <c r="X150" s="43"/>
      <c r="Y150" s="37"/>
      <c r="Z150" s="38"/>
      <c r="AA150" s="79"/>
      <c r="AB150" s="208">
        <f>ROUND((ROUND((ROUND((ROUND((ROUND((_15_同援日１．０*_15・基礎２),0)*_15・２人),0)*(1+_15・A深夜)),0)*(1+_15・盲ろう)),0)*(1+_15・区４)),0)+ROUND((ROUND((ROUND((ROUND((ROUND((_15_同援日１．０＿０．５*_15・基礎２),0)*_15・２人),0)*(1+_15・B早朝)),0)*(1+_15・盲ろう)),0)*(1+_15・区４)),0)</f>
        <v>971</v>
      </c>
      <c r="AC150" s="48"/>
    </row>
    <row r="151" spans="1:29" ht="16.5" customHeight="1" x14ac:dyDescent="0.15">
      <c r="A151" s="41">
        <v>15</v>
      </c>
      <c r="B151" s="41">
        <v>8983</v>
      </c>
      <c r="C151" s="74" t="s">
        <v>18969</v>
      </c>
      <c r="D151" s="72"/>
      <c r="F151" s="57"/>
      <c r="G151" s="114" t="s">
        <v>18846</v>
      </c>
      <c r="H151" s="49"/>
      <c r="I151" s="115"/>
      <c r="J151" s="53"/>
      <c r="K151" s="49"/>
      <c r="L151" s="50"/>
      <c r="M151" s="163"/>
      <c r="N151" s="45"/>
      <c r="O151" s="46"/>
      <c r="P151" s="512"/>
      <c r="Q151" s="57"/>
      <c r="R151" s="512"/>
      <c r="S151" s="57"/>
      <c r="T151" s="53"/>
      <c r="U151" s="49"/>
      <c r="V151" s="50"/>
      <c r="W151" s="115"/>
      <c r="X151" s="53"/>
      <c r="Y151" s="49"/>
      <c r="Z151" s="50"/>
      <c r="AA151" s="115"/>
      <c r="AB151" s="208">
        <f>ROUND((_15_同援日１．０*(1+_15・A深夜)),0)+ROUND((_15_同援日１．０＿１．０*(1+_15・B早朝)),0)</f>
        <v>698</v>
      </c>
      <c r="AC151" s="48"/>
    </row>
    <row r="152" spans="1:29" ht="16.5" customHeight="1" x14ac:dyDescent="0.15">
      <c r="A152" s="41">
        <v>15</v>
      </c>
      <c r="B152" s="41">
        <v>8984</v>
      </c>
      <c r="C152" s="74" t="s">
        <v>18970</v>
      </c>
      <c r="D152" s="72"/>
      <c r="F152" s="57"/>
      <c r="G152" s="72" t="s">
        <v>17589</v>
      </c>
      <c r="I152" s="57"/>
      <c r="J152" s="43"/>
      <c r="K152" s="37"/>
      <c r="L152" s="38"/>
      <c r="M152" s="299" t="s">
        <v>17556</v>
      </c>
      <c r="N152" s="45" t="s">
        <v>398</v>
      </c>
      <c r="O152" s="46">
        <v>1</v>
      </c>
      <c r="P152" s="512"/>
      <c r="Q152" s="57"/>
      <c r="R152" s="512"/>
      <c r="S152" s="57"/>
      <c r="T152" s="35"/>
      <c r="W152" s="57"/>
      <c r="X152" s="35"/>
      <c r="AA152" s="57"/>
      <c r="AB152" s="208">
        <f>ROUND((ROUND((_15_同援日１．０*_15・２人),0)*(1+_15・A深夜)),0)+ROUND((ROUND((_15_同援日１．０＿１．０*_15・２人),0)*(1+_15・B早朝)),0)</f>
        <v>698</v>
      </c>
      <c r="AC152" s="48"/>
    </row>
    <row r="153" spans="1:29" ht="16.5" customHeight="1" x14ac:dyDescent="0.15">
      <c r="A153" s="41">
        <v>15</v>
      </c>
      <c r="B153" s="41">
        <v>8985</v>
      </c>
      <c r="C153" s="74" t="s">
        <v>18971</v>
      </c>
      <c r="D153" s="72"/>
      <c r="F153" s="57"/>
      <c r="G153" s="72" t="s">
        <v>17591</v>
      </c>
      <c r="I153" s="57"/>
      <c r="J153" s="114" t="s">
        <v>17558</v>
      </c>
      <c r="K153" s="49"/>
      <c r="L153" s="50"/>
      <c r="M153" s="163"/>
      <c r="N153" s="45"/>
      <c r="O153" s="46"/>
      <c r="P153" s="512"/>
      <c r="Q153" s="57"/>
      <c r="R153" s="512"/>
      <c r="S153" s="57"/>
      <c r="T153" s="35"/>
      <c r="W153" s="57"/>
      <c r="X153" s="35"/>
      <c r="AA153" s="57"/>
      <c r="AB153" s="208">
        <f>ROUND((ROUND((_15_同援日１．０*_15・基礎２),0)*(1+_15・A深夜)),0)+ROUND((ROUND((_15_同援日１．０＿１．０*_15・基礎２),0)*(1+_15・B早朝)),0)</f>
        <v>628</v>
      </c>
      <c r="AC153" s="48"/>
    </row>
    <row r="154" spans="1:29" ht="16.5" customHeight="1" x14ac:dyDescent="0.15">
      <c r="A154" s="41">
        <v>15</v>
      </c>
      <c r="B154" s="41">
        <v>8986</v>
      </c>
      <c r="C154" s="74" t="s">
        <v>18972</v>
      </c>
      <c r="D154" s="72"/>
      <c r="F154" s="57"/>
      <c r="G154" s="72"/>
      <c r="H154" s="168">
        <f>_15_同援日１．０＿１．０</f>
        <v>198</v>
      </c>
      <c r="I154" s="57" t="s">
        <v>392</v>
      </c>
      <c r="J154" s="269" t="s">
        <v>17560</v>
      </c>
      <c r="K154" s="37" t="s">
        <v>398</v>
      </c>
      <c r="L154" s="38">
        <v>0.9</v>
      </c>
      <c r="M154" s="299" t="s">
        <v>17556</v>
      </c>
      <c r="N154" s="45" t="s">
        <v>398</v>
      </c>
      <c r="O154" s="46">
        <v>1</v>
      </c>
      <c r="P154" s="512"/>
      <c r="Q154" s="57"/>
      <c r="R154" s="512"/>
      <c r="S154" s="57"/>
      <c r="T154" s="43"/>
      <c r="U154" s="37"/>
      <c r="V154" s="38"/>
      <c r="W154" s="79"/>
      <c r="X154" s="35"/>
      <c r="AA154" s="57"/>
      <c r="AB154" s="208">
        <f>ROUND((ROUND((ROUND((_15_同援日１．０*_15・基礎２),0)*_15・２人),0)*(1+_15・A深夜)),0)+ROUND((ROUND((ROUND((_15_同援日１．０＿１．０*_15・基礎２),0)*_15・２人),0)*(1+_15・B早朝)),0)</f>
        <v>628</v>
      </c>
      <c r="AC154" s="48"/>
    </row>
    <row r="155" spans="1:29" ht="16.5" customHeight="1" x14ac:dyDescent="0.15">
      <c r="A155" s="41">
        <v>15</v>
      </c>
      <c r="B155" s="41">
        <v>8987</v>
      </c>
      <c r="C155" s="74" t="s">
        <v>18973</v>
      </c>
      <c r="D155" s="72"/>
      <c r="F155" s="57"/>
      <c r="G155" s="72"/>
      <c r="I155" s="57"/>
      <c r="J155" s="53"/>
      <c r="K155" s="49"/>
      <c r="L155" s="50"/>
      <c r="M155" s="163"/>
      <c r="N155" s="45"/>
      <c r="O155" s="46"/>
      <c r="P155" s="512"/>
      <c r="Q155" s="57"/>
      <c r="R155" s="512"/>
      <c r="S155" s="57"/>
      <c r="T155" s="114" t="s">
        <v>17562</v>
      </c>
      <c r="U155" s="49"/>
      <c r="V155" s="50"/>
      <c r="W155" s="115"/>
      <c r="X155" s="35"/>
      <c r="AA155" s="57"/>
      <c r="AB155" s="208">
        <f>ROUND((ROUND((_15_同援日１．０*(1+_15・A深夜)),0)*(1+_15・盲ろう)),0)+ROUND((ROUND((_15_同援日１．０＿１．０*(1+_15・B早朝)),0)*(1+_15・盲ろう)),0)</f>
        <v>873</v>
      </c>
      <c r="AC155" s="48"/>
    </row>
    <row r="156" spans="1:29" ht="16.5" customHeight="1" x14ac:dyDescent="0.15">
      <c r="A156" s="41">
        <v>15</v>
      </c>
      <c r="B156" s="41">
        <v>8988</v>
      </c>
      <c r="C156" s="74" t="s">
        <v>18974</v>
      </c>
      <c r="D156" s="72"/>
      <c r="F156" s="57"/>
      <c r="G156" s="72"/>
      <c r="I156" s="57"/>
      <c r="J156" s="43"/>
      <c r="K156" s="37"/>
      <c r="L156" s="38"/>
      <c r="M156" s="299" t="s">
        <v>17556</v>
      </c>
      <c r="N156" s="45" t="s">
        <v>398</v>
      </c>
      <c r="O156" s="46">
        <v>1</v>
      </c>
      <c r="P156" s="512"/>
      <c r="Q156" s="57"/>
      <c r="R156" s="512"/>
      <c r="S156" s="57"/>
      <c r="T156" s="92" t="s">
        <v>17564</v>
      </c>
      <c r="W156" s="57"/>
      <c r="X156" s="35"/>
      <c r="AA156" s="57"/>
      <c r="AB156" s="208">
        <f>ROUND((ROUND((ROUND((_15_同援日１．０*_15・２人),0)*(1+_15・A深夜)),0)*(1+_15・盲ろう)),0)+ROUND((ROUND((ROUND((_15_同援日１．０＿１．０*_15・２人),0)*(1+_15・B早朝)),0)*(1+_15・盲ろう)),0)</f>
        <v>873</v>
      </c>
      <c r="AC156" s="48"/>
    </row>
    <row r="157" spans="1:29" ht="16.5" customHeight="1" x14ac:dyDescent="0.15">
      <c r="A157" s="41">
        <v>15</v>
      </c>
      <c r="B157" s="41">
        <v>8989</v>
      </c>
      <c r="C157" s="74" t="s">
        <v>18975</v>
      </c>
      <c r="D157" s="72"/>
      <c r="F157" s="57"/>
      <c r="G157" s="72"/>
      <c r="I157" s="57"/>
      <c r="J157" s="114" t="s">
        <v>17558</v>
      </c>
      <c r="K157" s="49"/>
      <c r="L157" s="50"/>
      <c r="M157" s="163"/>
      <c r="N157" s="45"/>
      <c r="O157" s="46"/>
      <c r="P157" s="512"/>
      <c r="Q157" s="57"/>
      <c r="R157" s="512"/>
      <c r="S157" s="57"/>
      <c r="T157" s="35"/>
      <c r="U157" s="12" t="s">
        <v>398</v>
      </c>
      <c r="V157" s="13">
        <v>0.25</v>
      </c>
      <c r="W157" s="57" t="s">
        <v>3575</v>
      </c>
      <c r="X157" s="35"/>
      <c r="AA157" s="57"/>
      <c r="AB157" s="208">
        <f>ROUND((ROUND((ROUND((_15_同援日１．０*_15・基礎２),0)*(1+_15・A深夜)),0)*(1+_15・盲ろう)),0)+ROUND((ROUND((ROUND((_15_同援日１．０＿１．０*_15・基礎２),0)*(1+_15・B早朝)),0)*(1+_15・盲ろう)),0)</f>
        <v>785</v>
      </c>
      <c r="AC157" s="48"/>
    </row>
    <row r="158" spans="1:29" ht="16.5" customHeight="1" x14ac:dyDescent="0.15">
      <c r="A158" s="41">
        <v>15</v>
      </c>
      <c r="B158" s="41">
        <v>8990</v>
      </c>
      <c r="C158" s="74" t="s">
        <v>18976</v>
      </c>
      <c r="D158" s="72"/>
      <c r="F158" s="57"/>
      <c r="G158" s="72"/>
      <c r="I158" s="57"/>
      <c r="J158" s="269" t="s">
        <v>17560</v>
      </c>
      <c r="K158" s="37" t="s">
        <v>398</v>
      </c>
      <c r="L158" s="38">
        <v>0.9</v>
      </c>
      <c r="M158" s="299" t="s">
        <v>17556</v>
      </c>
      <c r="N158" s="45" t="s">
        <v>398</v>
      </c>
      <c r="O158" s="46">
        <v>1</v>
      </c>
      <c r="P158" s="512"/>
      <c r="Q158" s="57"/>
      <c r="R158" s="512"/>
      <c r="S158" s="57"/>
      <c r="T158" s="43"/>
      <c r="U158" s="37"/>
      <c r="V158" s="38"/>
      <c r="W158" s="79"/>
      <c r="X158" s="43"/>
      <c r="Y158" s="37"/>
      <c r="Z158" s="38"/>
      <c r="AA158" s="79"/>
      <c r="AB158" s="208">
        <f>ROUND((ROUND((ROUND((ROUND((_15_同援日１．０*_15・基礎２),0)*_15・２人),0)*(1+_15・A深夜)),0)*(1+_15・盲ろう)),0)+ROUND((ROUND((ROUND((ROUND((_15_同援日１．０＿１．０*_15・基礎２),0)*_15・２人),0)*(1+_15・B早朝)),0)*(1+_15・盲ろう)),0)</f>
        <v>785</v>
      </c>
      <c r="AC158" s="48"/>
    </row>
    <row r="159" spans="1:29" ht="16.5" customHeight="1" x14ac:dyDescent="0.15">
      <c r="A159" s="41">
        <v>15</v>
      </c>
      <c r="B159" s="41">
        <v>8991</v>
      </c>
      <c r="C159" s="74" t="s">
        <v>18977</v>
      </c>
      <c r="D159" s="72"/>
      <c r="F159" s="57"/>
      <c r="G159" s="72"/>
      <c r="I159" s="57"/>
      <c r="J159" s="53"/>
      <c r="K159" s="49"/>
      <c r="L159" s="50"/>
      <c r="M159" s="163"/>
      <c r="N159" s="45"/>
      <c r="O159" s="46"/>
      <c r="P159" s="512"/>
      <c r="Q159" s="57"/>
      <c r="R159" s="512"/>
      <c r="S159" s="57"/>
      <c r="T159" s="53"/>
      <c r="U159" s="49"/>
      <c r="V159" s="50"/>
      <c r="W159" s="115"/>
      <c r="X159" s="53"/>
      <c r="Y159" s="49"/>
      <c r="Z159" s="50"/>
      <c r="AA159" s="115"/>
      <c r="AB159" s="208">
        <f>ROUND((ROUND((_15_同援日１．０*(1+_15・A深夜)),0)*(1+_15・区３)),0)+ROUND((ROUND((_15_同援日１．０＿１．０*(1+_15・B早朝)),0)*(1+_15・区３)),0)</f>
        <v>838</v>
      </c>
      <c r="AC159" s="48"/>
    </row>
    <row r="160" spans="1:29" ht="16.5" customHeight="1" x14ac:dyDescent="0.15">
      <c r="A160" s="41">
        <v>15</v>
      </c>
      <c r="B160" s="41">
        <v>8992</v>
      </c>
      <c r="C160" s="74" t="s">
        <v>18978</v>
      </c>
      <c r="D160" s="72"/>
      <c r="F160" s="57"/>
      <c r="G160" s="72"/>
      <c r="I160" s="57"/>
      <c r="J160" s="43"/>
      <c r="K160" s="37"/>
      <c r="L160" s="38"/>
      <c r="M160" s="299" t="s">
        <v>17556</v>
      </c>
      <c r="N160" s="45" t="s">
        <v>398</v>
      </c>
      <c r="O160" s="46">
        <v>1</v>
      </c>
      <c r="P160" s="512"/>
      <c r="Q160" s="57"/>
      <c r="R160" s="512"/>
      <c r="S160" s="57"/>
      <c r="T160" s="35"/>
      <c r="W160" s="57"/>
      <c r="X160" s="35"/>
      <c r="AA160" s="57"/>
      <c r="AB160" s="208">
        <f>ROUND((ROUND((ROUND((_15_同援日１．０*_15・２人),0)*(1+_15・A深夜)),0)*(1+_15・区３)),0)+ROUND((ROUND((ROUND((_15_同援日１．０＿１．０*_15・２人),0)*(1+_15・B早朝)),0)*(1+_15・区３)),0)</f>
        <v>838</v>
      </c>
      <c r="AC160" s="48"/>
    </row>
    <row r="161" spans="1:29" ht="16.5" customHeight="1" x14ac:dyDescent="0.15">
      <c r="A161" s="41">
        <v>15</v>
      </c>
      <c r="B161" s="41">
        <v>8993</v>
      </c>
      <c r="C161" s="74" t="s">
        <v>18979</v>
      </c>
      <c r="D161" s="72"/>
      <c r="F161" s="57"/>
      <c r="G161" s="72"/>
      <c r="I161" s="57"/>
      <c r="J161" s="114" t="s">
        <v>17558</v>
      </c>
      <c r="K161" s="49"/>
      <c r="L161" s="50"/>
      <c r="M161" s="163"/>
      <c r="N161" s="45"/>
      <c r="O161" s="46"/>
      <c r="P161" s="512"/>
      <c r="Q161" s="57"/>
      <c r="R161" s="512"/>
      <c r="S161" s="57"/>
      <c r="T161" s="35"/>
      <c r="W161" s="57"/>
      <c r="X161" s="72" t="s">
        <v>17570</v>
      </c>
      <c r="AA161" s="57"/>
      <c r="AB161" s="208">
        <f>ROUND((ROUND((ROUND((_15_同援日１．０*_15・基礎２),0)*(1+_15・A深夜)),0)*(1+_15・区３)),0)+ROUND((ROUND((ROUND((_15_同援日１．０＿１．０*_15・基礎２),0)*(1+_15・B早朝)),0)*(1+_15・区３)),0)</f>
        <v>754</v>
      </c>
      <c r="AC161" s="48"/>
    </row>
    <row r="162" spans="1:29" ht="16.5" customHeight="1" x14ac:dyDescent="0.15">
      <c r="A162" s="41">
        <v>15</v>
      </c>
      <c r="B162" s="41">
        <v>8994</v>
      </c>
      <c r="C162" s="74" t="s">
        <v>18980</v>
      </c>
      <c r="D162" s="72"/>
      <c r="F162" s="57"/>
      <c r="G162" s="72"/>
      <c r="I162" s="57"/>
      <c r="J162" s="269" t="s">
        <v>17560</v>
      </c>
      <c r="K162" s="37" t="s">
        <v>398</v>
      </c>
      <c r="L162" s="38">
        <v>0.9</v>
      </c>
      <c r="M162" s="299" t="s">
        <v>17556</v>
      </c>
      <c r="N162" s="45" t="s">
        <v>398</v>
      </c>
      <c r="O162" s="46">
        <v>1</v>
      </c>
      <c r="P162" s="512"/>
      <c r="Q162" s="57"/>
      <c r="R162" s="512"/>
      <c r="S162" s="57"/>
      <c r="T162" s="43"/>
      <c r="U162" s="37"/>
      <c r="V162" s="38"/>
      <c r="W162" s="79"/>
      <c r="X162" s="72" t="s">
        <v>17572</v>
      </c>
      <c r="AA162" s="57"/>
      <c r="AB162" s="208">
        <f>ROUND((ROUND((ROUND((ROUND((_15_同援日１．０*_15・基礎２),0)*_15・２人),0)*(1+_15・A深夜)),0)*(1+_15・区３)),0)+ROUND((ROUND((ROUND((ROUND((_15_同援日１．０＿１．０*_15・基礎２),0)*_15・２人),0)*(1+_15・B早朝)),0)*(1+_15・区３)),0)</f>
        <v>754</v>
      </c>
      <c r="AC162" s="48"/>
    </row>
    <row r="163" spans="1:29" ht="16.5" customHeight="1" x14ac:dyDescent="0.15">
      <c r="A163" s="41">
        <v>15</v>
      </c>
      <c r="B163" s="41">
        <v>8995</v>
      </c>
      <c r="C163" s="74" t="s">
        <v>18981</v>
      </c>
      <c r="D163" s="72"/>
      <c r="F163" s="57"/>
      <c r="G163" s="72"/>
      <c r="I163" s="57"/>
      <c r="J163" s="53"/>
      <c r="K163" s="49"/>
      <c r="L163" s="50"/>
      <c r="M163" s="163"/>
      <c r="N163" s="45"/>
      <c r="O163" s="46"/>
      <c r="P163" s="512"/>
      <c r="Q163" s="57"/>
      <c r="R163" s="512"/>
      <c r="S163" s="57"/>
      <c r="T163" s="114" t="s">
        <v>17562</v>
      </c>
      <c r="U163" s="49"/>
      <c r="V163" s="50"/>
      <c r="W163" s="115"/>
      <c r="X163" s="35"/>
      <c r="Y163" s="12" t="s">
        <v>398</v>
      </c>
      <c r="Z163" s="13">
        <v>0.2</v>
      </c>
      <c r="AA163" s="57" t="s">
        <v>3575</v>
      </c>
      <c r="AB163" s="208">
        <f>ROUND((ROUND((ROUND((_15_同援日１．０*(1+_15・A深夜)),0)*(1+_15・盲ろう)),0)*(1+_15・区３)),0)+ROUND((ROUND((ROUND((_15_同援日１．０＿１．０*(1+_15・B早朝)),0)*(1+_15・盲ろう)),0)*(1+_15・区３)),0)</f>
        <v>1048</v>
      </c>
      <c r="AC163" s="48"/>
    </row>
    <row r="164" spans="1:29" ht="16.5" customHeight="1" x14ac:dyDescent="0.15">
      <c r="A164" s="41">
        <v>15</v>
      </c>
      <c r="B164" s="41">
        <v>8996</v>
      </c>
      <c r="C164" s="74" t="s">
        <v>18982</v>
      </c>
      <c r="D164" s="72"/>
      <c r="F164" s="57"/>
      <c r="G164" s="72"/>
      <c r="I164" s="57"/>
      <c r="J164" s="43"/>
      <c r="K164" s="37"/>
      <c r="L164" s="38"/>
      <c r="M164" s="299" t="s">
        <v>17556</v>
      </c>
      <c r="N164" s="45" t="s">
        <v>398</v>
      </c>
      <c r="O164" s="46">
        <v>1</v>
      </c>
      <c r="P164" s="512"/>
      <c r="Q164" s="57"/>
      <c r="R164" s="512"/>
      <c r="S164" s="57"/>
      <c r="T164" s="92" t="s">
        <v>17564</v>
      </c>
      <c r="W164" s="57"/>
      <c r="X164" s="35"/>
      <c r="AA164" s="57"/>
      <c r="AB164" s="208">
        <f>ROUND((ROUND((ROUND((ROUND((_15_同援日１．０*_15・２人),0)*(1+_15・A深夜)),0)*(1+_15・盲ろう)),0)*(1+_15・区３)),0)+ROUND((ROUND((ROUND((ROUND((_15_同援日１．０＿１．０*_15・２人),0)*(1+_15・B早朝)),0)*(1+_15・盲ろう)),0)*(1+_15・区３)),0)</f>
        <v>1048</v>
      </c>
      <c r="AC164" s="48"/>
    </row>
    <row r="165" spans="1:29" ht="16.5" customHeight="1" x14ac:dyDescent="0.15">
      <c r="A165" s="41">
        <v>15</v>
      </c>
      <c r="B165" s="41">
        <v>8997</v>
      </c>
      <c r="C165" s="74" t="s">
        <v>18983</v>
      </c>
      <c r="D165" s="72"/>
      <c r="F165" s="57"/>
      <c r="G165" s="72"/>
      <c r="I165" s="57"/>
      <c r="J165" s="114" t="s">
        <v>17558</v>
      </c>
      <c r="K165" s="49"/>
      <c r="L165" s="50"/>
      <c r="M165" s="163"/>
      <c r="N165" s="45"/>
      <c r="O165" s="46"/>
      <c r="P165" s="512"/>
      <c r="Q165" s="57"/>
      <c r="R165" s="512"/>
      <c r="S165" s="57"/>
      <c r="T165" s="35"/>
      <c r="U165" s="12" t="s">
        <v>398</v>
      </c>
      <c r="V165" s="13">
        <v>0.25</v>
      </c>
      <c r="W165" s="57" t="s">
        <v>3575</v>
      </c>
      <c r="X165" s="35"/>
      <c r="AA165" s="57"/>
      <c r="AB165" s="208">
        <f>ROUND((ROUND((ROUND((ROUND((_15_同援日１．０*_15・基礎２),0)*(1+_15・A深夜)),0)*(1+_15・盲ろう)),0)*(1+_15・区３)),0)+ROUND((ROUND((ROUND((ROUND((_15_同援日１．０＿１．０*_15・基礎２),0)*(1+_15・B早朝)),0)*(1+_15・盲ろう)),0)*(1+_15・区３)),0)</f>
        <v>942</v>
      </c>
      <c r="AC165" s="48"/>
    </row>
    <row r="166" spans="1:29" ht="16.5" customHeight="1" x14ac:dyDescent="0.15">
      <c r="A166" s="41">
        <v>15</v>
      </c>
      <c r="B166" s="41">
        <v>8998</v>
      </c>
      <c r="C166" s="74" t="s">
        <v>18984</v>
      </c>
      <c r="D166" s="72"/>
      <c r="F166" s="57"/>
      <c r="G166" s="72"/>
      <c r="I166" s="57"/>
      <c r="J166" s="269" t="s">
        <v>17560</v>
      </c>
      <c r="K166" s="37" t="s">
        <v>398</v>
      </c>
      <c r="L166" s="38">
        <v>0.9</v>
      </c>
      <c r="M166" s="299" t="s">
        <v>17556</v>
      </c>
      <c r="N166" s="45" t="s">
        <v>398</v>
      </c>
      <c r="O166" s="46">
        <v>1</v>
      </c>
      <c r="P166" s="512"/>
      <c r="Q166" s="57"/>
      <c r="R166" s="512"/>
      <c r="S166" s="57"/>
      <c r="T166" s="43"/>
      <c r="U166" s="37"/>
      <c r="V166" s="38"/>
      <c r="W166" s="79"/>
      <c r="X166" s="43"/>
      <c r="Y166" s="37"/>
      <c r="Z166" s="38"/>
      <c r="AA166" s="79"/>
      <c r="AB166" s="208">
        <f>ROUND((ROUND((ROUND((ROUND((ROUND((_15_同援日１．０*_15・基礎２),0)*_15・２人),0)*(1+_15・A深夜)),0)*(1+_15・盲ろう)),0)*(1+_15・区３)),0)+ROUND((ROUND((ROUND((ROUND((ROUND((_15_同援日１．０＿１．０*_15・基礎２),0)*_15・２人),0)*(1+_15・B早朝)),0)*(1+_15・盲ろう)),0)*(1+_15・区３)),0)</f>
        <v>942</v>
      </c>
      <c r="AC166" s="48"/>
    </row>
    <row r="167" spans="1:29" ht="16.5" customHeight="1" x14ac:dyDescent="0.15">
      <c r="A167" s="41">
        <v>15</v>
      </c>
      <c r="B167" s="41">
        <v>8999</v>
      </c>
      <c r="C167" s="74" t="s">
        <v>18985</v>
      </c>
      <c r="D167" s="72"/>
      <c r="F167" s="57"/>
      <c r="G167" s="72"/>
      <c r="I167" s="57"/>
      <c r="J167" s="53"/>
      <c r="K167" s="49"/>
      <c r="L167" s="50"/>
      <c r="M167" s="163"/>
      <c r="N167" s="45"/>
      <c r="O167" s="46"/>
      <c r="P167" s="512"/>
      <c r="Q167" s="57"/>
      <c r="R167" s="512"/>
      <c r="S167" s="57"/>
      <c r="T167" s="53"/>
      <c r="U167" s="49"/>
      <c r="V167" s="50"/>
      <c r="W167" s="115"/>
      <c r="X167" s="53"/>
      <c r="Y167" s="49"/>
      <c r="Z167" s="50"/>
      <c r="AA167" s="115"/>
      <c r="AB167" s="208">
        <f>ROUND((ROUND((_15_同援日１．０*(1+_15・A深夜)),0)*(1+_15・区４)),0)+ROUND((ROUND((_15_同援日１．０＿１．０*(1+_15・B早朝)),0)*(1+_15・区４)),0)</f>
        <v>977</v>
      </c>
      <c r="AC167" s="48"/>
    </row>
    <row r="168" spans="1:29" ht="16.5" customHeight="1" x14ac:dyDescent="0.15">
      <c r="A168" s="41">
        <v>15</v>
      </c>
      <c r="B168" s="41">
        <v>9000</v>
      </c>
      <c r="C168" s="74" t="s">
        <v>18986</v>
      </c>
      <c r="D168" s="72"/>
      <c r="F168" s="57"/>
      <c r="G168" s="72"/>
      <c r="I168" s="57"/>
      <c r="J168" s="43"/>
      <c r="K168" s="37"/>
      <c r="L168" s="38"/>
      <c r="M168" s="299" t="s">
        <v>17556</v>
      </c>
      <c r="N168" s="45" t="s">
        <v>398</v>
      </c>
      <c r="O168" s="46">
        <v>1</v>
      </c>
      <c r="P168" s="512"/>
      <c r="Q168" s="57"/>
      <c r="R168" s="512"/>
      <c r="S168" s="57"/>
      <c r="T168" s="35"/>
      <c r="W168" s="57"/>
      <c r="X168" s="35"/>
      <c r="AA168" s="57"/>
      <c r="AB168" s="208">
        <f>ROUND((ROUND((ROUND((_15_同援日１．０*_15・２人),0)*(1+_15・A深夜)),0)*(1+_15・区４)),0)+ROUND((ROUND((ROUND((_15_同援日１．０＿１．０*_15・２人),0)*(1+_15・B早朝)),0)*(1+_15・区４)),0)</f>
        <v>977</v>
      </c>
      <c r="AC168" s="48"/>
    </row>
    <row r="169" spans="1:29" ht="16.5" customHeight="1" x14ac:dyDescent="0.15">
      <c r="A169" s="41">
        <v>15</v>
      </c>
      <c r="B169" s="41">
        <v>9001</v>
      </c>
      <c r="C169" s="74" t="s">
        <v>18987</v>
      </c>
      <c r="D169" s="72"/>
      <c r="F169" s="57"/>
      <c r="G169" s="72"/>
      <c r="I169" s="57"/>
      <c r="J169" s="114" t="s">
        <v>17558</v>
      </c>
      <c r="K169" s="49"/>
      <c r="L169" s="50"/>
      <c r="M169" s="163"/>
      <c r="N169" s="45"/>
      <c r="O169" s="46"/>
      <c r="P169" s="512"/>
      <c r="Q169" s="57"/>
      <c r="R169" s="512"/>
      <c r="S169" s="57"/>
      <c r="T169" s="35"/>
      <c r="W169" s="57"/>
      <c r="X169" s="72" t="s">
        <v>17580</v>
      </c>
      <c r="AA169" s="57"/>
      <c r="AB169" s="208">
        <f>ROUND((ROUND((ROUND((_15_同援日１．０*_15・基礎２),0)*(1+_15・A深夜)),0)*(1+_15・区４)),0)+ROUND((ROUND((ROUND((_15_同援日１．０＿１．０*_15・基礎２),0)*(1+_15・B早朝)),0)*(1+_15・区４)),0)</f>
        <v>879</v>
      </c>
      <c r="AC169" s="48"/>
    </row>
    <row r="170" spans="1:29" ht="16.5" customHeight="1" x14ac:dyDescent="0.15">
      <c r="A170" s="41">
        <v>15</v>
      </c>
      <c r="B170" s="41">
        <v>9002</v>
      </c>
      <c r="C170" s="74" t="s">
        <v>18988</v>
      </c>
      <c r="D170" s="72"/>
      <c r="F170" s="57"/>
      <c r="G170" s="72"/>
      <c r="I170" s="57"/>
      <c r="J170" s="269" t="s">
        <v>17560</v>
      </c>
      <c r="K170" s="37" t="s">
        <v>398</v>
      </c>
      <c r="L170" s="38">
        <v>0.9</v>
      </c>
      <c r="M170" s="299" t="s">
        <v>17556</v>
      </c>
      <c r="N170" s="45" t="s">
        <v>398</v>
      </c>
      <c r="O170" s="46">
        <v>1</v>
      </c>
      <c r="P170" s="512"/>
      <c r="Q170" s="57"/>
      <c r="R170" s="512"/>
      <c r="S170" s="57"/>
      <c r="T170" s="43"/>
      <c r="U170" s="37"/>
      <c r="V170" s="38"/>
      <c r="W170" s="79"/>
      <c r="X170" s="72" t="s">
        <v>17572</v>
      </c>
      <c r="AA170" s="57"/>
      <c r="AB170" s="208">
        <f>ROUND((ROUND((ROUND((ROUND((_15_同援日１．０*_15・基礎２),0)*_15・２人),0)*(1+_15・A深夜)),0)*(1+_15・区４)),0)+ROUND((ROUND((ROUND((ROUND((_15_同援日１．０＿１．０*_15・基礎２),0)*_15・２人),0)*(1+_15・B早朝)),0)*(1+_15・区４)),0)</f>
        <v>879</v>
      </c>
      <c r="AC170" s="48"/>
    </row>
    <row r="171" spans="1:29" ht="16.5" customHeight="1" x14ac:dyDescent="0.15">
      <c r="A171" s="41">
        <v>15</v>
      </c>
      <c r="B171" s="41">
        <v>9003</v>
      </c>
      <c r="C171" s="74" t="s">
        <v>18989</v>
      </c>
      <c r="D171" s="72"/>
      <c r="F171" s="57"/>
      <c r="G171" s="72"/>
      <c r="I171" s="57"/>
      <c r="J171" s="53"/>
      <c r="K171" s="49"/>
      <c r="L171" s="50"/>
      <c r="M171" s="163"/>
      <c r="N171" s="45"/>
      <c r="O171" s="46"/>
      <c r="P171" s="512"/>
      <c r="Q171" s="57"/>
      <c r="R171" s="512"/>
      <c r="S171" s="57"/>
      <c r="T171" s="114" t="s">
        <v>17562</v>
      </c>
      <c r="U171" s="49"/>
      <c r="V171" s="50"/>
      <c r="W171" s="115"/>
      <c r="X171" s="35"/>
      <c r="Y171" s="12" t="s">
        <v>398</v>
      </c>
      <c r="Z171" s="13">
        <v>0.4</v>
      </c>
      <c r="AA171" s="57" t="s">
        <v>3575</v>
      </c>
      <c r="AB171" s="208">
        <f>ROUND((ROUND((ROUND((_15_同援日１．０*(1+_15・A深夜)),0)*(1+_15・盲ろう)),0)*(1+_15・区４)),0)+ROUND((ROUND((ROUND((_15_同援日１．０＿１．０*(1+_15・B早朝)),0)*(1+_15・盲ろう)),0)*(1+_15・区４)),0)</f>
        <v>1222</v>
      </c>
      <c r="AC171" s="48"/>
    </row>
    <row r="172" spans="1:29" ht="16.5" customHeight="1" x14ac:dyDescent="0.15">
      <c r="A172" s="41">
        <v>15</v>
      </c>
      <c r="B172" s="41">
        <v>9004</v>
      </c>
      <c r="C172" s="74" t="s">
        <v>18990</v>
      </c>
      <c r="D172" s="72"/>
      <c r="F172" s="57"/>
      <c r="G172" s="72"/>
      <c r="I172" s="57"/>
      <c r="J172" s="43"/>
      <c r="K172" s="37"/>
      <c r="L172" s="38"/>
      <c r="M172" s="299" t="s">
        <v>17556</v>
      </c>
      <c r="N172" s="45" t="s">
        <v>398</v>
      </c>
      <c r="O172" s="46">
        <v>1</v>
      </c>
      <c r="P172" s="512"/>
      <c r="Q172" s="57"/>
      <c r="R172" s="512"/>
      <c r="S172" s="57"/>
      <c r="T172" s="92" t="s">
        <v>17564</v>
      </c>
      <c r="W172" s="57"/>
      <c r="X172" s="35"/>
      <c r="AA172" s="57"/>
      <c r="AB172" s="208">
        <f>ROUND((ROUND((ROUND((ROUND((_15_同援日１．０*_15・２人),0)*(1+_15・A深夜)),0)*(1+_15・盲ろう)),0)*(1+_15・区４)),0)+ROUND((ROUND((ROUND((ROUND((_15_同援日１．０＿１．０*_15・２人),0)*(1+_15・B早朝)),0)*(1+_15・盲ろう)),0)*(1+_15・区４)),0)</f>
        <v>1222</v>
      </c>
      <c r="AC172" s="48"/>
    </row>
    <row r="173" spans="1:29" ht="16.5" customHeight="1" x14ac:dyDescent="0.15">
      <c r="A173" s="41">
        <v>15</v>
      </c>
      <c r="B173" s="41">
        <v>9005</v>
      </c>
      <c r="C173" s="74" t="s">
        <v>18991</v>
      </c>
      <c r="D173" s="72"/>
      <c r="F173" s="57"/>
      <c r="G173" s="72"/>
      <c r="I173" s="57"/>
      <c r="J173" s="114" t="s">
        <v>17558</v>
      </c>
      <c r="K173" s="49"/>
      <c r="L173" s="50"/>
      <c r="M173" s="163"/>
      <c r="N173" s="45"/>
      <c r="O173" s="46"/>
      <c r="P173" s="512"/>
      <c r="Q173" s="57"/>
      <c r="R173" s="512"/>
      <c r="S173" s="57"/>
      <c r="T173" s="35"/>
      <c r="U173" s="12" t="s">
        <v>398</v>
      </c>
      <c r="V173" s="13">
        <v>0.25</v>
      </c>
      <c r="W173" s="57" t="s">
        <v>3575</v>
      </c>
      <c r="X173" s="35"/>
      <c r="AA173" s="57"/>
      <c r="AB173" s="208">
        <f>ROUND((ROUND((ROUND((ROUND((_15_同援日１．０*_15・基礎２),0)*(1+_15・A深夜)),0)*(1+_15・盲ろう)),0)*(1+_15・区４)),0)+ROUND((ROUND((ROUND((ROUND((_15_同援日１．０＿１．０*_15・基礎２),0)*(1+_15・B早朝)),0)*(1+_15・盲ろう)),0)*(1+_15・区４)),0)</f>
        <v>1099</v>
      </c>
      <c r="AC173" s="48"/>
    </row>
    <row r="174" spans="1:29" ht="16.5" customHeight="1" x14ac:dyDescent="0.15">
      <c r="A174" s="41">
        <v>15</v>
      </c>
      <c r="B174" s="41">
        <v>9006</v>
      </c>
      <c r="C174" s="74" t="s">
        <v>18992</v>
      </c>
      <c r="D174" s="72"/>
      <c r="F174" s="57"/>
      <c r="G174" s="122"/>
      <c r="H174" s="37"/>
      <c r="I174" s="79"/>
      <c r="J174" s="269" t="s">
        <v>17560</v>
      </c>
      <c r="K174" s="37" t="s">
        <v>398</v>
      </c>
      <c r="L174" s="38">
        <v>0.9</v>
      </c>
      <c r="M174" s="299" t="s">
        <v>17556</v>
      </c>
      <c r="N174" s="45" t="s">
        <v>398</v>
      </c>
      <c r="O174" s="46">
        <v>1</v>
      </c>
      <c r="P174" s="512"/>
      <c r="Q174" s="57"/>
      <c r="R174" s="512"/>
      <c r="S174" s="57"/>
      <c r="T174" s="43"/>
      <c r="U174" s="37"/>
      <c r="V174" s="38"/>
      <c r="W174" s="79"/>
      <c r="X174" s="43"/>
      <c r="Y174" s="37"/>
      <c r="Z174" s="38"/>
      <c r="AA174" s="79"/>
      <c r="AB174" s="208">
        <f>ROUND((ROUND((ROUND((ROUND((ROUND((_15_同援日１．０*_15・基礎２),0)*_15・２人),0)*(1+_15・A深夜)),0)*(1+_15・盲ろう)),0)*(1+_15・区４)),0)+ROUND((ROUND((ROUND((ROUND((ROUND((_15_同援日１．０＿１．０*_15・基礎２),0)*_15・２人),0)*(1+_15・B早朝)),0)*(1+_15・盲ろう)),0)*(1+_15・区４)),0)</f>
        <v>1099</v>
      </c>
      <c r="AC174" s="48"/>
    </row>
    <row r="175" spans="1:29" ht="16.5" customHeight="1" x14ac:dyDescent="0.15">
      <c r="A175" s="41">
        <v>15</v>
      </c>
      <c r="B175" s="41">
        <v>9007</v>
      </c>
      <c r="C175" s="74" t="s">
        <v>18993</v>
      </c>
      <c r="D175" s="72"/>
      <c r="F175" s="57"/>
      <c r="G175" s="114" t="s">
        <v>18871</v>
      </c>
      <c r="H175" s="49"/>
      <c r="I175" s="115"/>
      <c r="J175" s="53"/>
      <c r="K175" s="49"/>
      <c r="L175" s="50"/>
      <c r="M175" s="163"/>
      <c r="N175" s="45"/>
      <c r="O175" s="46"/>
      <c r="P175" s="512"/>
      <c r="Q175" s="57"/>
      <c r="R175" s="512"/>
      <c r="S175" s="57"/>
      <c r="T175" s="53"/>
      <c r="U175" s="49"/>
      <c r="V175" s="50"/>
      <c r="W175" s="115"/>
      <c r="X175" s="53"/>
      <c r="Y175" s="49"/>
      <c r="Z175" s="50"/>
      <c r="AA175" s="115"/>
      <c r="AB175" s="208">
        <f>ROUND((_15_同援日１．０*(1+_15・A深夜)),0)+ROUND((_15_同援日１．０＿１．５*(1+_15・B早朝)),0)</f>
        <v>779</v>
      </c>
      <c r="AC175" s="48"/>
    </row>
    <row r="176" spans="1:29" ht="16.5" customHeight="1" x14ac:dyDescent="0.15">
      <c r="A176" s="41">
        <v>15</v>
      </c>
      <c r="B176" s="41">
        <v>9008</v>
      </c>
      <c r="C176" s="74" t="s">
        <v>18994</v>
      </c>
      <c r="D176" s="72"/>
      <c r="F176" s="57"/>
      <c r="G176" s="72" t="s">
        <v>17616</v>
      </c>
      <c r="I176" s="57"/>
      <c r="J176" s="43"/>
      <c r="K176" s="37"/>
      <c r="L176" s="38"/>
      <c r="M176" s="299" t="s">
        <v>17556</v>
      </c>
      <c r="N176" s="45" t="s">
        <v>398</v>
      </c>
      <c r="O176" s="46">
        <v>1</v>
      </c>
      <c r="P176" s="512"/>
      <c r="Q176" s="57"/>
      <c r="R176" s="512"/>
      <c r="S176" s="57"/>
      <c r="T176" s="35"/>
      <c r="W176" s="57"/>
      <c r="X176" s="35"/>
      <c r="AA176" s="57"/>
      <c r="AB176" s="208">
        <f>ROUND((ROUND((_15_同援日１．０*_15・２人),0)*(1+_15・A深夜)),0)+ROUND((ROUND((_15_同援日１．０＿１．５*_15・２人),0)*(1+_15・B早朝)),0)</f>
        <v>779</v>
      </c>
      <c r="AC176" s="48"/>
    </row>
    <row r="177" spans="1:29" ht="16.5" customHeight="1" x14ac:dyDescent="0.15">
      <c r="A177" s="41">
        <v>15</v>
      </c>
      <c r="B177" s="41">
        <v>9009</v>
      </c>
      <c r="C177" s="74" t="s">
        <v>18995</v>
      </c>
      <c r="D177" s="72"/>
      <c r="F177" s="57"/>
      <c r="G177" s="72" t="s">
        <v>18183</v>
      </c>
      <c r="I177" s="57"/>
      <c r="J177" s="114" t="s">
        <v>17558</v>
      </c>
      <c r="K177" s="49"/>
      <c r="L177" s="50"/>
      <c r="M177" s="163"/>
      <c r="N177" s="45"/>
      <c r="O177" s="46"/>
      <c r="P177" s="512"/>
      <c r="Q177" s="57"/>
      <c r="R177" s="512"/>
      <c r="S177" s="57"/>
      <c r="T177" s="35"/>
      <c r="W177" s="57"/>
      <c r="X177" s="35"/>
      <c r="AA177" s="57"/>
      <c r="AB177" s="208">
        <f>ROUND((ROUND((_15_同援日１．０*_15・基礎２),0)*(1+_15・A深夜)),0)+ROUND((ROUND((_15_同援日１．０＿１．５*_15・基礎２),0)*(1+_15・B早朝)),0)</f>
        <v>701</v>
      </c>
      <c r="AC177" s="48"/>
    </row>
    <row r="178" spans="1:29" ht="16.5" customHeight="1" x14ac:dyDescent="0.15">
      <c r="A178" s="41">
        <v>15</v>
      </c>
      <c r="B178" s="41">
        <v>9010</v>
      </c>
      <c r="C178" s="74" t="s">
        <v>18996</v>
      </c>
      <c r="D178" s="72"/>
      <c r="F178" s="57"/>
      <c r="G178" s="72"/>
      <c r="H178" s="168">
        <f>_15_同援日１．０＿１．５</f>
        <v>263</v>
      </c>
      <c r="I178" s="57" t="s">
        <v>392</v>
      </c>
      <c r="J178" s="269" t="s">
        <v>17560</v>
      </c>
      <c r="K178" s="37" t="s">
        <v>398</v>
      </c>
      <c r="L178" s="38">
        <v>0.9</v>
      </c>
      <c r="M178" s="299" t="s">
        <v>17556</v>
      </c>
      <c r="N178" s="45" t="s">
        <v>398</v>
      </c>
      <c r="O178" s="46">
        <v>1</v>
      </c>
      <c r="P178" s="512"/>
      <c r="Q178" s="57"/>
      <c r="R178" s="512"/>
      <c r="S178" s="57"/>
      <c r="T178" s="43"/>
      <c r="U178" s="37"/>
      <c r="V178" s="38"/>
      <c r="W178" s="79"/>
      <c r="X178" s="35"/>
      <c r="AA178" s="57"/>
      <c r="AB178" s="208">
        <f>ROUND((ROUND((ROUND((_15_同援日１．０*_15・基礎２),0)*_15・２人),0)*(1+_15・A深夜)),0)+ROUND((ROUND((ROUND((_15_同援日１．０＿１．５*_15・基礎２),0)*_15・２人),0)*(1+_15・B早朝)),0)</f>
        <v>701</v>
      </c>
      <c r="AC178" s="48"/>
    </row>
    <row r="179" spans="1:29" ht="16.5" customHeight="1" x14ac:dyDescent="0.15">
      <c r="A179" s="41">
        <v>15</v>
      </c>
      <c r="B179" s="41">
        <v>9011</v>
      </c>
      <c r="C179" s="74" t="s">
        <v>18997</v>
      </c>
      <c r="D179" s="72"/>
      <c r="F179" s="57"/>
      <c r="G179" s="72"/>
      <c r="I179" s="57"/>
      <c r="J179" s="53"/>
      <c r="K179" s="49"/>
      <c r="L179" s="50"/>
      <c r="M179" s="163"/>
      <c r="N179" s="45"/>
      <c r="O179" s="46"/>
      <c r="P179" s="512"/>
      <c r="Q179" s="57"/>
      <c r="R179" s="512"/>
      <c r="S179" s="57"/>
      <c r="T179" s="114" t="s">
        <v>17562</v>
      </c>
      <c r="U179" s="49"/>
      <c r="V179" s="50"/>
      <c r="W179" s="115"/>
      <c r="X179" s="35"/>
      <c r="AA179" s="57"/>
      <c r="AB179" s="208">
        <f>ROUND((ROUND((_15_同援日１．０*(1+_15・A深夜)),0)*(1+_15・盲ろう)),0)+ROUND((ROUND((_15_同援日１．０＿１．５*(1+_15・B早朝)),0)*(1+_15・盲ろう)),0)</f>
        <v>974</v>
      </c>
      <c r="AC179" s="48"/>
    </row>
    <row r="180" spans="1:29" ht="16.5" customHeight="1" x14ac:dyDescent="0.15">
      <c r="A180" s="41">
        <v>15</v>
      </c>
      <c r="B180" s="41">
        <v>9012</v>
      </c>
      <c r="C180" s="74" t="s">
        <v>18998</v>
      </c>
      <c r="D180" s="72"/>
      <c r="F180" s="57"/>
      <c r="G180" s="72"/>
      <c r="I180" s="57"/>
      <c r="J180" s="43"/>
      <c r="K180" s="37"/>
      <c r="L180" s="38"/>
      <c r="M180" s="299" t="s">
        <v>17556</v>
      </c>
      <c r="N180" s="45" t="s">
        <v>398</v>
      </c>
      <c r="O180" s="46">
        <v>1</v>
      </c>
      <c r="P180" s="512"/>
      <c r="Q180" s="57"/>
      <c r="R180" s="512"/>
      <c r="S180" s="57"/>
      <c r="T180" s="92" t="s">
        <v>17564</v>
      </c>
      <c r="W180" s="57"/>
      <c r="X180" s="35"/>
      <c r="AA180" s="57"/>
      <c r="AB180" s="208">
        <f>ROUND((ROUND((ROUND((_15_同援日１．０*_15・２人),0)*(1+_15・A深夜)),0)*(1+_15・盲ろう)),0)+ROUND((ROUND((ROUND((_15_同援日１．０＿１．５*_15・２人),0)*(1+_15・B早朝)),0)*(1+_15・盲ろう)),0)</f>
        <v>974</v>
      </c>
      <c r="AC180" s="48"/>
    </row>
    <row r="181" spans="1:29" ht="16.5" customHeight="1" x14ac:dyDescent="0.15">
      <c r="A181" s="41">
        <v>15</v>
      </c>
      <c r="B181" s="41">
        <v>9013</v>
      </c>
      <c r="C181" s="74" t="s">
        <v>18999</v>
      </c>
      <c r="D181" s="72"/>
      <c r="F181" s="57"/>
      <c r="G181" s="72"/>
      <c r="I181" s="57"/>
      <c r="J181" s="114" t="s">
        <v>17558</v>
      </c>
      <c r="K181" s="49"/>
      <c r="L181" s="50"/>
      <c r="M181" s="163"/>
      <c r="N181" s="45"/>
      <c r="O181" s="46"/>
      <c r="P181" s="512"/>
      <c r="Q181" s="57"/>
      <c r="R181" s="512"/>
      <c r="S181" s="57"/>
      <c r="T181" s="35"/>
      <c r="U181" s="12" t="s">
        <v>398</v>
      </c>
      <c r="V181" s="13">
        <v>0.25</v>
      </c>
      <c r="W181" s="57" t="s">
        <v>3575</v>
      </c>
      <c r="X181" s="35"/>
      <c r="AA181" s="57"/>
      <c r="AB181" s="208">
        <f>ROUND((ROUND((ROUND((_15_同援日１．０*_15・基礎２),0)*(1+_15・A深夜)),0)*(1+_15・盲ろう)),0)+ROUND((ROUND((ROUND((_15_同援日１．０＿１．５*_15・基礎２),0)*(1+_15・B早朝)),0)*(1+_15・盲ろう)),0)</f>
        <v>876</v>
      </c>
      <c r="AC181" s="48"/>
    </row>
    <row r="182" spans="1:29" ht="16.5" customHeight="1" x14ac:dyDescent="0.15">
      <c r="A182" s="41">
        <v>15</v>
      </c>
      <c r="B182" s="41">
        <v>9014</v>
      </c>
      <c r="C182" s="74" t="s">
        <v>19000</v>
      </c>
      <c r="D182" s="72"/>
      <c r="F182" s="57"/>
      <c r="G182" s="72"/>
      <c r="I182" s="57"/>
      <c r="J182" s="269" t="s">
        <v>17560</v>
      </c>
      <c r="K182" s="37" t="s">
        <v>398</v>
      </c>
      <c r="L182" s="38">
        <v>0.9</v>
      </c>
      <c r="M182" s="299" t="s">
        <v>17556</v>
      </c>
      <c r="N182" s="45" t="s">
        <v>398</v>
      </c>
      <c r="O182" s="46">
        <v>1</v>
      </c>
      <c r="P182" s="512"/>
      <c r="Q182" s="57"/>
      <c r="R182" s="512"/>
      <c r="S182" s="57"/>
      <c r="T182" s="43"/>
      <c r="U182" s="37"/>
      <c r="V182" s="38"/>
      <c r="W182" s="79"/>
      <c r="X182" s="43"/>
      <c r="Y182" s="37"/>
      <c r="Z182" s="38"/>
      <c r="AA182" s="79"/>
      <c r="AB182" s="208">
        <f>ROUND((ROUND((ROUND((ROUND((_15_同援日１．０*_15・基礎２),0)*_15・２人),0)*(1+_15・A深夜)),0)*(1+_15・盲ろう)),0)+ROUND((ROUND((ROUND((ROUND((_15_同援日１．０＿１．５*_15・基礎２),0)*_15・２人),0)*(1+_15・B早朝)),0)*(1+_15・盲ろう)),0)</f>
        <v>876</v>
      </c>
      <c r="AC182" s="48"/>
    </row>
    <row r="183" spans="1:29" ht="16.5" customHeight="1" x14ac:dyDescent="0.15">
      <c r="A183" s="41">
        <v>15</v>
      </c>
      <c r="B183" s="41">
        <v>9015</v>
      </c>
      <c r="C183" s="74" t="s">
        <v>19001</v>
      </c>
      <c r="D183" s="72"/>
      <c r="F183" s="57"/>
      <c r="G183" s="72"/>
      <c r="I183" s="57"/>
      <c r="J183" s="53"/>
      <c r="K183" s="49"/>
      <c r="L183" s="50"/>
      <c r="M183" s="163"/>
      <c r="N183" s="45"/>
      <c r="O183" s="46"/>
      <c r="P183" s="512"/>
      <c r="Q183" s="57"/>
      <c r="R183" s="512"/>
      <c r="S183" s="57"/>
      <c r="T183" s="53"/>
      <c r="U183" s="49"/>
      <c r="V183" s="50"/>
      <c r="W183" s="115"/>
      <c r="X183" s="53"/>
      <c r="Y183" s="49"/>
      <c r="Z183" s="50"/>
      <c r="AA183" s="115"/>
      <c r="AB183" s="208">
        <f>ROUND((ROUND((_15_同援日１．０*(1+_15・A深夜)),0)*(1+_15・区３)),0)+ROUND((ROUND((_15_同援日１．０＿１．５*(1+_15・B早朝)),0)*(1+_15・区３)),0)</f>
        <v>935</v>
      </c>
      <c r="AC183" s="48"/>
    </row>
    <row r="184" spans="1:29" ht="16.5" customHeight="1" x14ac:dyDescent="0.15">
      <c r="A184" s="41">
        <v>15</v>
      </c>
      <c r="B184" s="41">
        <v>9016</v>
      </c>
      <c r="C184" s="74" t="s">
        <v>19002</v>
      </c>
      <c r="D184" s="72"/>
      <c r="F184" s="57"/>
      <c r="G184" s="72"/>
      <c r="I184" s="57"/>
      <c r="J184" s="43"/>
      <c r="K184" s="37"/>
      <c r="L184" s="38"/>
      <c r="M184" s="299" t="s">
        <v>17556</v>
      </c>
      <c r="N184" s="45" t="s">
        <v>398</v>
      </c>
      <c r="O184" s="46">
        <v>1</v>
      </c>
      <c r="P184" s="512"/>
      <c r="Q184" s="57"/>
      <c r="R184" s="512"/>
      <c r="S184" s="57"/>
      <c r="T184" s="35"/>
      <c r="W184" s="57"/>
      <c r="X184" s="35"/>
      <c r="AA184" s="57"/>
      <c r="AB184" s="208">
        <f>ROUND((ROUND((ROUND((_15_同援日１．０*_15・２人),0)*(1+_15・A深夜)),0)*(1+_15・区３)),0)+ROUND((ROUND((ROUND((_15_同援日１．０＿１．５*_15・２人),0)*(1+_15・B早朝)),0)*(1+_15・区３)),0)</f>
        <v>935</v>
      </c>
      <c r="AC184" s="48"/>
    </row>
    <row r="185" spans="1:29" ht="16.5" customHeight="1" x14ac:dyDescent="0.15">
      <c r="A185" s="41">
        <v>15</v>
      </c>
      <c r="B185" s="41">
        <v>9017</v>
      </c>
      <c r="C185" s="74" t="s">
        <v>19003</v>
      </c>
      <c r="D185" s="72"/>
      <c r="F185" s="57"/>
      <c r="G185" s="72"/>
      <c r="I185" s="57"/>
      <c r="J185" s="114" t="s">
        <v>17558</v>
      </c>
      <c r="K185" s="49"/>
      <c r="L185" s="50"/>
      <c r="M185" s="163"/>
      <c r="N185" s="45"/>
      <c r="O185" s="46"/>
      <c r="P185" s="512"/>
      <c r="Q185" s="57"/>
      <c r="R185" s="512"/>
      <c r="S185" s="57"/>
      <c r="T185" s="35"/>
      <c r="W185" s="57"/>
      <c r="X185" s="72" t="s">
        <v>17570</v>
      </c>
      <c r="AA185" s="57"/>
      <c r="AB185" s="208">
        <f>ROUND((ROUND((ROUND((_15_同援日１．０*_15・基礎２),0)*(1+_15・A深夜)),0)*(1+_15・区３)),0)+ROUND((ROUND((ROUND((_15_同援日１．０＿１．５*_15・基礎２),0)*(1+_15・B早朝)),0)*(1+_15・区３)),0)</f>
        <v>841</v>
      </c>
      <c r="AC185" s="48"/>
    </row>
    <row r="186" spans="1:29" ht="16.5" customHeight="1" x14ac:dyDescent="0.15">
      <c r="A186" s="41">
        <v>15</v>
      </c>
      <c r="B186" s="41">
        <v>9018</v>
      </c>
      <c r="C186" s="74" t="s">
        <v>19004</v>
      </c>
      <c r="D186" s="72"/>
      <c r="F186" s="57"/>
      <c r="G186" s="72"/>
      <c r="I186" s="57"/>
      <c r="J186" s="269" t="s">
        <v>17560</v>
      </c>
      <c r="K186" s="37" t="s">
        <v>398</v>
      </c>
      <c r="L186" s="38">
        <v>0.9</v>
      </c>
      <c r="M186" s="299" t="s">
        <v>17556</v>
      </c>
      <c r="N186" s="45" t="s">
        <v>398</v>
      </c>
      <c r="O186" s="46">
        <v>1</v>
      </c>
      <c r="P186" s="512"/>
      <c r="Q186" s="57"/>
      <c r="R186" s="512"/>
      <c r="S186" s="57"/>
      <c r="T186" s="43"/>
      <c r="U186" s="37"/>
      <c r="V186" s="38"/>
      <c r="W186" s="79"/>
      <c r="X186" s="72" t="s">
        <v>17572</v>
      </c>
      <c r="AA186" s="57"/>
      <c r="AB186" s="208">
        <f>ROUND((ROUND((ROUND((ROUND((_15_同援日１．０*_15・基礎２),0)*_15・２人),0)*(1+_15・A深夜)),0)*(1+_15・区３)),0)+ROUND((ROUND((ROUND((ROUND((_15_同援日１．０＿１．５*_15・基礎２),0)*_15・２人),0)*(1+_15・B早朝)),0)*(1+_15・区３)),0)</f>
        <v>841</v>
      </c>
      <c r="AC186" s="48"/>
    </row>
    <row r="187" spans="1:29" ht="16.5" customHeight="1" x14ac:dyDescent="0.15">
      <c r="A187" s="41">
        <v>15</v>
      </c>
      <c r="B187" s="41">
        <v>9019</v>
      </c>
      <c r="C187" s="74" t="s">
        <v>19005</v>
      </c>
      <c r="D187" s="72"/>
      <c r="F187" s="57"/>
      <c r="G187" s="72"/>
      <c r="I187" s="57"/>
      <c r="J187" s="53"/>
      <c r="K187" s="49"/>
      <c r="L187" s="50"/>
      <c r="M187" s="163"/>
      <c r="N187" s="45"/>
      <c r="O187" s="46"/>
      <c r="P187" s="512"/>
      <c r="Q187" s="57"/>
      <c r="R187" s="512"/>
      <c r="S187" s="57"/>
      <c r="T187" s="114" t="s">
        <v>17562</v>
      </c>
      <c r="U187" s="49"/>
      <c r="V187" s="50"/>
      <c r="W187" s="115"/>
      <c r="X187" s="35"/>
      <c r="Y187" s="12" t="s">
        <v>398</v>
      </c>
      <c r="Z187" s="13">
        <v>0.2</v>
      </c>
      <c r="AA187" s="57" t="s">
        <v>3575</v>
      </c>
      <c r="AB187" s="208">
        <f>ROUND((ROUND((ROUND((_15_同援日１．０*(1+_15・A深夜)),0)*(1+_15・盲ろう)),0)*(1+_15・区３)),0)+ROUND((ROUND((ROUND((_15_同援日１．０＿１．５*(1+_15・B早朝)),0)*(1+_15・盲ろう)),0)*(1+_15・区３)),0)</f>
        <v>1169</v>
      </c>
      <c r="AC187" s="48"/>
    </row>
    <row r="188" spans="1:29" ht="16.5" customHeight="1" x14ac:dyDescent="0.15">
      <c r="A188" s="41">
        <v>15</v>
      </c>
      <c r="B188" s="41">
        <v>9020</v>
      </c>
      <c r="C188" s="74" t="s">
        <v>19006</v>
      </c>
      <c r="D188" s="72"/>
      <c r="F188" s="57"/>
      <c r="G188" s="72"/>
      <c r="I188" s="57"/>
      <c r="J188" s="43"/>
      <c r="K188" s="37"/>
      <c r="L188" s="38"/>
      <c r="M188" s="299" t="s">
        <v>17556</v>
      </c>
      <c r="N188" s="45" t="s">
        <v>398</v>
      </c>
      <c r="O188" s="46">
        <v>1</v>
      </c>
      <c r="P188" s="512"/>
      <c r="Q188" s="57"/>
      <c r="R188" s="512"/>
      <c r="S188" s="57"/>
      <c r="T188" s="92" t="s">
        <v>17564</v>
      </c>
      <c r="W188" s="57"/>
      <c r="X188" s="35"/>
      <c r="AA188" s="57"/>
      <c r="AB188" s="208">
        <f>ROUND((ROUND((ROUND((ROUND((_15_同援日１．０*_15・２人),0)*(1+_15・A深夜)),0)*(1+_15・盲ろう)),0)*(1+_15・区３)),0)+ROUND((ROUND((ROUND((ROUND((_15_同援日１．０＿１．５*_15・２人),0)*(1+_15・B早朝)),0)*(1+_15・盲ろう)),0)*(1+_15・区３)),0)</f>
        <v>1169</v>
      </c>
      <c r="AC188" s="48"/>
    </row>
    <row r="189" spans="1:29" ht="16.5" customHeight="1" x14ac:dyDescent="0.15">
      <c r="A189" s="41">
        <v>15</v>
      </c>
      <c r="B189" s="41">
        <v>9021</v>
      </c>
      <c r="C189" s="74" t="s">
        <v>19007</v>
      </c>
      <c r="D189" s="72"/>
      <c r="F189" s="57"/>
      <c r="G189" s="72"/>
      <c r="I189" s="57"/>
      <c r="J189" s="114" t="s">
        <v>17558</v>
      </c>
      <c r="K189" s="49"/>
      <c r="L189" s="50"/>
      <c r="M189" s="163"/>
      <c r="N189" s="45"/>
      <c r="O189" s="46"/>
      <c r="P189" s="512"/>
      <c r="Q189" s="57"/>
      <c r="R189" s="512"/>
      <c r="S189" s="57"/>
      <c r="T189" s="35"/>
      <c r="U189" s="12" t="s">
        <v>398</v>
      </c>
      <c r="V189" s="13">
        <v>0.25</v>
      </c>
      <c r="W189" s="57" t="s">
        <v>3575</v>
      </c>
      <c r="X189" s="35"/>
      <c r="AA189" s="57"/>
      <c r="AB189" s="208">
        <f>ROUND((ROUND((ROUND((ROUND((_15_同援日１．０*_15・基礎２),0)*(1+_15・A深夜)),0)*(1+_15・盲ろう)),0)*(1+_15・区３)),0)+ROUND((ROUND((ROUND((ROUND((_15_同援日１．０＿１．５*_15・基礎２),0)*(1+_15・B早朝)),0)*(1+_15・盲ろう)),0)*(1+_15・区３)),0)</f>
        <v>1051</v>
      </c>
      <c r="AC189" s="48"/>
    </row>
    <row r="190" spans="1:29" ht="16.5" customHeight="1" x14ac:dyDescent="0.15">
      <c r="A190" s="41">
        <v>15</v>
      </c>
      <c r="B190" s="41">
        <v>9022</v>
      </c>
      <c r="C190" s="74" t="s">
        <v>19008</v>
      </c>
      <c r="D190" s="72"/>
      <c r="F190" s="57"/>
      <c r="G190" s="72"/>
      <c r="I190" s="57"/>
      <c r="J190" s="269" t="s">
        <v>17560</v>
      </c>
      <c r="K190" s="37" t="s">
        <v>398</v>
      </c>
      <c r="L190" s="38">
        <v>0.9</v>
      </c>
      <c r="M190" s="299" t="s">
        <v>17556</v>
      </c>
      <c r="N190" s="45" t="s">
        <v>398</v>
      </c>
      <c r="O190" s="46">
        <v>1</v>
      </c>
      <c r="P190" s="512"/>
      <c r="Q190" s="57"/>
      <c r="R190" s="512"/>
      <c r="S190" s="57"/>
      <c r="T190" s="43"/>
      <c r="U190" s="37"/>
      <c r="V190" s="38"/>
      <c r="W190" s="79"/>
      <c r="X190" s="43"/>
      <c r="Y190" s="37"/>
      <c r="Z190" s="38"/>
      <c r="AA190" s="79"/>
      <c r="AB190" s="208">
        <f>ROUND((ROUND((ROUND((ROUND((ROUND((_15_同援日１．０*_15・基礎２),0)*_15・２人),0)*(1+_15・A深夜)),0)*(1+_15・盲ろう)),0)*(1+_15・区３)),0)+ROUND((ROUND((ROUND((ROUND((ROUND((_15_同援日１．０＿１．５*_15・基礎２),0)*_15・２人),0)*(1+_15・B早朝)),0)*(1+_15・盲ろう)),0)*(1+_15・区３)),0)</f>
        <v>1051</v>
      </c>
      <c r="AC190" s="48"/>
    </row>
    <row r="191" spans="1:29" ht="16.5" customHeight="1" x14ac:dyDescent="0.15">
      <c r="A191" s="41">
        <v>15</v>
      </c>
      <c r="B191" s="41">
        <v>9023</v>
      </c>
      <c r="C191" s="74" t="s">
        <v>19009</v>
      </c>
      <c r="D191" s="72"/>
      <c r="F191" s="57"/>
      <c r="G191" s="72"/>
      <c r="I191" s="57"/>
      <c r="J191" s="53"/>
      <c r="K191" s="49"/>
      <c r="L191" s="50"/>
      <c r="M191" s="163"/>
      <c r="N191" s="45"/>
      <c r="O191" s="46"/>
      <c r="P191" s="512"/>
      <c r="Q191" s="57"/>
      <c r="R191" s="512"/>
      <c r="S191" s="57"/>
      <c r="T191" s="53"/>
      <c r="U191" s="49"/>
      <c r="V191" s="50"/>
      <c r="W191" s="115"/>
      <c r="X191" s="53"/>
      <c r="Y191" s="49"/>
      <c r="Z191" s="50"/>
      <c r="AA191" s="115"/>
      <c r="AB191" s="208">
        <f>ROUND((ROUND((_15_同援日１．０*(1+_15・A深夜)),0)*(1+_15・区４)),0)+ROUND((ROUND((_15_同援日１．０＿１．５*(1+_15・B早朝)),0)*(1+_15・区４)),0)</f>
        <v>1091</v>
      </c>
      <c r="AC191" s="48"/>
    </row>
    <row r="192" spans="1:29" ht="16.5" customHeight="1" x14ac:dyDescent="0.15">
      <c r="A192" s="41">
        <v>15</v>
      </c>
      <c r="B192" s="41">
        <v>9024</v>
      </c>
      <c r="C192" s="74" t="s">
        <v>19010</v>
      </c>
      <c r="D192" s="72"/>
      <c r="F192" s="57"/>
      <c r="G192" s="72"/>
      <c r="I192" s="57"/>
      <c r="J192" s="43"/>
      <c r="K192" s="37"/>
      <c r="L192" s="38"/>
      <c r="M192" s="299" t="s">
        <v>17556</v>
      </c>
      <c r="N192" s="45" t="s">
        <v>398</v>
      </c>
      <c r="O192" s="46">
        <v>1</v>
      </c>
      <c r="P192" s="512"/>
      <c r="Q192" s="57"/>
      <c r="R192" s="512"/>
      <c r="S192" s="57"/>
      <c r="T192" s="35"/>
      <c r="W192" s="57"/>
      <c r="X192" s="35"/>
      <c r="AA192" s="57"/>
      <c r="AB192" s="208">
        <f>ROUND((ROUND((ROUND((_15_同援日１．０*_15・２人),0)*(1+_15・A深夜)),0)*(1+_15・区４)),0)+ROUND((ROUND((ROUND((_15_同援日１．０＿１．５*_15・２人),0)*(1+_15・B早朝)),0)*(1+_15・区４)),0)</f>
        <v>1091</v>
      </c>
      <c r="AC192" s="48"/>
    </row>
    <row r="193" spans="1:29" ht="16.5" customHeight="1" x14ac:dyDescent="0.15">
      <c r="A193" s="41">
        <v>15</v>
      </c>
      <c r="B193" s="41">
        <v>9025</v>
      </c>
      <c r="C193" s="74" t="s">
        <v>19011</v>
      </c>
      <c r="D193" s="72"/>
      <c r="F193" s="57"/>
      <c r="G193" s="72"/>
      <c r="I193" s="57"/>
      <c r="J193" s="114" t="s">
        <v>17558</v>
      </c>
      <c r="K193" s="49"/>
      <c r="L193" s="50"/>
      <c r="M193" s="163"/>
      <c r="N193" s="45"/>
      <c r="O193" s="46"/>
      <c r="P193" s="512"/>
      <c r="Q193" s="57"/>
      <c r="R193" s="512"/>
      <c r="S193" s="57"/>
      <c r="T193" s="35"/>
      <c r="W193" s="57"/>
      <c r="X193" s="72" t="s">
        <v>17580</v>
      </c>
      <c r="AA193" s="57"/>
      <c r="AB193" s="208">
        <f>ROUND((ROUND((ROUND((_15_同援日１．０*_15・基礎２),0)*(1+_15・A深夜)),0)*(1+_15・区４)),0)+ROUND((ROUND((ROUND((_15_同援日１．０＿１．５*_15・基礎２),0)*(1+_15・B早朝)),0)*(1+_15・区４)),0)</f>
        <v>981</v>
      </c>
      <c r="AC193" s="48"/>
    </row>
    <row r="194" spans="1:29" ht="16.5" customHeight="1" x14ac:dyDescent="0.15">
      <c r="A194" s="41">
        <v>15</v>
      </c>
      <c r="B194" s="41">
        <v>9026</v>
      </c>
      <c r="C194" s="74" t="s">
        <v>19012</v>
      </c>
      <c r="D194" s="72"/>
      <c r="F194" s="57"/>
      <c r="G194" s="72"/>
      <c r="I194" s="57"/>
      <c r="J194" s="269" t="s">
        <v>17560</v>
      </c>
      <c r="K194" s="37" t="s">
        <v>398</v>
      </c>
      <c r="L194" s="38">
        <v>0.9</v>
      </c>
      <c r="M194" s="299" t="s">
        <v>17556</v>
      </c>
      <c r="N194" s="45" t="s">
        <v>398</v>
      </c>
      <c r="O194" s="46">
        <v>1</v>
      </c>
      <c r="P194" s="512"/>
      <c r="Q194" s="57"/>
      <c r="R194" s="512"/>
      <c r="S194" s="57"/>
      <c r="T194" s="43"/>
      <c r="U194" s="37"/>
      <c r="V194" s="38"/>
      <c r="W194" s="79"/>
      <c r="X194" s="72" t="s">
        <v>17572</v>
      </c>
      <c r="AA194" s="57"/>
      <c r="AB194" s="208">
        <f>ROUND((ROUND((ROUND((ROUND((_15_同援日１．０*_15・基礎２),0)*_15・２人),0)*(1+_15・A深夜)),0)*(1+_15・区４)),0)+ROUND((ROUND((ROUND((ROUND((_15_同援日１．０＿１．５*_15・基礎２),0)*_15・２人),0)*(1+_15・B早朝)),0)*(1+_15・区４)),0)</f>
        <v>981</v>
      </c>
      <c r="AC194" s="48"/>
    </row>
    <row r="195" spans="1:29" ht="16.5" customHeight="1" x14ac:dyDescent="0.15">
      <c r="A195" s="41">
        <v>15</v>
      </c>
      <c r="B195" s="41">
        <v>9027</v>
      </c>
      <c r="C195" s="74" t="s">
        <v>19013</v>
      </c>
      <c r="D195" s="72"/>
      <c r="F195" s="57"/>
      <c r="G195" s="72"/>
      <c r="I195" s="57"/>
      <c r="J195" s="53"/>
      <c r="K195" s="49"/>
      <c r="L195" s="50"/>
      <c r="M195" s="163"/>
      <c r="N195" s="45"/>
      <c r="O195" s="46"/>
      <c r="P195" s="512"/>
      <c r="Q195" s="57"/>
      <c r="R195" s="512"/>
      <c r="S195" s="57"/>
      <c r="T195" s="114" t="s">
        <v>17562</v>
      </c>
      <c r="U195" s="49"/>
      <c r="V195" s="50"/>
      <c r="W195" s="115"/>
      <c r="X195" s="35"/>
      <c r="Y195" s="12" t="s">
        <v>398</v>
      </c>
      <c r="Z195" s="13">
        <v>0.4</v>
      </c>
      <c r="AA195" s="57" t="s">
        <v>3575</v>
      </c>
      <c r="AB195" s="208">
        <f>ROUND((ROUND((ROUND((_15_同援日１．０*(1+_15・A深夜)),0)*(1+_15・盲ろう)),0)*(1+_15・区４)),0)+ROUND((ROUND((ROUND((_15_同援日１．０＿１．５*(1+_15・B早朝)),0)*(1+_15・盲ろう)),0)*(1+_15・区４)),0)</f>
        <v>1363</v>
      </c>
      <c r="AC195" s="48"/>
    </row>
    <row r="196" spans="1:29" ht="16.5" customHeight="1" x14ac:dyDescent="0.15">
      <c r="A196" s="41">
        <v>15</v>
      </c>
      <c r="B196" s="41">
        <v>9028</v>
      </c>
      <c r="C196" s="74" t="s">
        <v>19014</v>
      </c>
      <c r="D196" s="72"/>
      <c r="F196" s="57"/>
      <c r="G196" s="72"/>
      <c r="I196" s="57"/>
      <c r="J196" s="43"/>
      <c r="K196" s="37"/>
      <c r="L196" s="38"/>
      <c r="M196" s="299" t="s">
        <v>17556</v>
      </c>
      <c r="N196" s="45" t="s">
        <v>398</v>
      </c>
      <c r="O196" s="46">
        <v>1</v>
      </c>
      <c r="P196" s="512"/>
      <c r="Q196" s="57"/>
      <c r="R196" s="512"/>
      <c r="S196" s="57"/>
      <c r="T196" s="92" t="s">
        <v>17564</v>
      </c>
      <c r="W196" s="57"/>
      <c r="X196" s="35"/>
      <c r="AA196" s="57"/>
      <c r="AB196" s="208">
        <f>ROUND((ROUND((ROUND((ROUND((_15_同援日１．０*_15・２人),0)*(1+_15・A深夜)),0)*(1+_15・盲ろう)),0)*(1+_15・区４)),0)+ROUND((ROUND((ROUND((ROUND((_15_同援日１．０＿１．５*_15・２人),0)*(1+_15・B早朝)),0)*(1+_15・盲ろう)),0)*(1+_15・区４)),0)</f>
        <v>1363</v>
      </c>
      <c r="AC196" s="48"/>
    </row>
    <row r="197" spans="1:29" ht="16.5" customHeight="1" x14ac:dyDescent="0.15">
      <c r="A197" s="41">
        <v>15</v>
      </c>
      <c r="B197" s="41">
        <v>9029</v>
      </c>
      <c r="C197" s="74" t="s">
        <v>19015</v>
      </c>
      <c r="D197" s="72"/>
      <c r="F197" s="57"/>
      <c r="G197" s="72"/>
      <c r="I197" s="57"/>
      <c r="J197" s="114" t="s">
        <v>17558</v>
      </c>
      <c r="K197" s="49"/>
      <c r="L197" s="50"/>
      <c r="M197" s="163"/>
      <c r="N197" s="45"/>
      <c r="O197" s="46"/>
      <c r="P197" s="512"/>
      <c r="Q197" s="57"/>
      <c r="R197" s="512"/>
      <c r="S197" s="57"/>
      <c r="T197" s="35"/>
      <c r="U197" s="12" t="s">
        <v>398</v>
      </c>
      <c r="V197" s="13">
        <v>0.25</v>
      </c>
      <c r="W197" s="57" t="s">
        <v>3575</v>
      </c>
      <c r="X197" s="35"/>
      <c r="AA197" s="57"/>
      <c r="AB197" s="208">
        <f>ROUND((ROUND((ROUND((ROUND((_15_同援日１．０*_15・基礎２),0)*(1+_15・A深夜)),0)*(1+_15・盲ろう)),0)*(1+_15・区４)),0)+ROUND((ROUND((ROUND((ROUND((_15_同援日１．０＿１．５*_15・基礎２),0)*(1+_15・B早朝)),0)*(1+_15・盲ろう)),0)*(1+_15・区４)),0)</f>
        <v>1226</v>
      </c>
      <c r="AC197" s="48"/>
    </row>
    <row r="198" spans="1:29" ht="16.5" customHeight="1" x14ac:dyDescent="0.15">
      <c r="A198" s="41">
        <v>15</v>
      </c>
      <c r="B198" s="41">
        <v>9030</v>
      </c>
      <c r="C198" s="74" t="s">
        <v>19016</v>
      </c>
      <c r="D198" s="122"/>
      <c r="E198" s="37"/>
      <c r="F198" s="79"/>
      <c r="G198" s="122"/>
      <c r="H198" s="37"/>
      <c r="I198" s="79"/>
      <c r="J198" s="269" t="s">
        <v>17560</v>
      </c>
      <c r="K198" s="37" t="s">
        <v>398</v>
      </c>
      <c r="L198" s="38">
        <v>0.9</v>
      </c>
      <c r="M198" s="299" t="s">
        <v>17556</v>
      </c>
      <c r="N198" s="45" t="s">
        <v>398</v>
      </c>
      <c r="O198" s="46">
        <v>1</v>
      </c>
      <c r="P198" s="514"/>
      <c r="Q198" s="79"/>
      <c r="R198" s="514"/>
      <c r="S198" s="79"/>
      <c r="T198" s="43"/>
      <c r="U198" s="37"/>
      <c r="V198" s="38"/>
      <c r="W198" s="79"/>
      <c r="X198" s="43"/>
      <c r="Y198" s="37"/>
      <c r="Z198" s="38"/>
      <c r="AA198" s="79"/>
      <c r="AB198" s="208">
        <f>ROUND((ROUND((ROUND((ROUND((ROUND((_15_同援日１．０*_15・基礎２),0)*_15・２人),0)*(1+_15・A深夜)),0)*(1+_15・盲ろう)),0)*(1+_15・区４)),0)+ROUND((ROUND((ROUND((ROUND((ROUND((_15_同援日１．０＿１．５*_15・基礎２),0)*_15・２人),0)*(1+_15・B早朝)),0)*(1+_15・盲ろう)),0)*(1+_15・区４)),0)</f>
        <v>1226</v>
      </c>
      <c r="AC198" s="63"/>
    </row>
    <row r="199" spans="1:29" ht="16.5" customHeight="1" x14ac:dyDescent="0.15">
      <c r="A199" s="41">
        <v>15</v>
      </c>
      <c r="B199" s="41">
        <v>9031</v>
      </c>
      <c r="C199" s="74" t="s">
        <v>19017</v>
      </c>
      <c r="D199" s="114"/>
      <c r="E199" s="49"/>
      <c r="F199" s="115"/>
      <c r="G199" s="114" t="s">
        <v>18896</v>
      </c>
      <c r="H199" s="49"/>
      <c r="I199" s="115"/>
      <c r="J199" s="53"/>
      <c r="K199" s="49"/>
      <c r="L199" s="50"/>
      <c r="M199" s="163"/>
      <c r="N199" s="45"/>
      <c r="O199" s="46"/>
      <c r="P199" s="515"/>
      <c r="Q199" s="115"/>
      <c r="R199" s="515"/>
      <c r="S199" s="115"/>
      <c r="T199" s="53"/>
      <c r="U199" s="49"/>
      <c r="V199" s="50"/>
      <c r="W199" s="115"/>
      <c r="X199" s="53"/>
      <c r="Y199" s="49"/>
      <c r="Z199" s="50"/>
      <c r="AA199" s="115"/>
      <c r="AB199" s="208">
        <f>ROUND((_15_同援日１．０*(1+_15・A深夜)),0)+ROUND((_15_同援日１．０＿２．０*(1+_15・B早朝)),0)</f>
        <v>860</v>
      </c>
      <c r="AC199" s="64"/>
    </row>
    <row r="200" spans="1:29" ht="16.5" customHeight="1" x14ac:dyDescent="0.15">
      <c r="A200" s="41">
        <v>15</v>
      </c>
      <c r="B200" s="41">
        <v>9032</v>
      </c>
      <c r="C200" s="74" t="s">
        <v>19018</v>
      </c>
      <c r="D200" s="72"/>
      <c r="F200" s="57"/>
      <c r="G200" s="72" t="s">
        <v>17643</v>
      </c>
      <c r="I200" s="57"/>
      <c r="J200" s="43"/>
      <c r="K200" s="37"/>
      <c r="L200" s="38"/>
      <c r="M200" s="299" t="s">
        <v>17556</v>
      </c>
      <c r="N200" s="45" t="s">
        <v>398</v>
      </c>
      <c r="O200" s="46">
        <v>1</v>
      </c>
      <c r="P200" s="512"/>
      <c r="Q200" s="57"/>
      <c r="R200" s="512"/>
      <c r="S200" s="57"/>
      <c r="T200" s="35"/>
      <c r="W200" s="57"/>
      <c r="X200" s="35"/>
      <c r="AA200" s="57"/>
      <c r="AB200" s="208">
        <f>ROUND((ROUND((_15_同援日１．０*_15・２人),0)*(1+_15・A深夜)),0)+ROUND((ROUND((_15_同援日１．０＿２．０*_15・２人),0)*(1+_15・B早朝)),0)</f>
        <v>860</v>
      </c>
      <c r="AC200" s="48"/>
    </row>
    <row r="201" spans="1:29" ht="16.5" customHeight="1" x14ac:dyDescent="0.15">
      <c r="A201" s="41">
        <v>15</v>
      </c>
      <c r="B201" s="41">
        <v>9033</v>
      </c>
      <c r="C201" s="74" t="s">
        <v>19019</v>
      </c>
      <c r="D201" s="72"/>
      <c r="F201" s="57"/>
      <c r="G201" s="72" t="s">
        <v>17645</v>
      </c>
      <c r="I201" s="57"/>
      <c r="J201" s="114" t="s">
        <v>17558</v>
      </c>
      <c r="K201" s="49"/>
      <c r="L201" s="50"/>
      <c r="M201" s="163"/>
      <c r="N201" s="45"/>
      <c r="O201" s="46"/>
      <c r="P201" s="512"/>
      <c r="Q201" s="57"/>
      <c r="R201" s="512"/>
      <c r="S201" s="57"/>
      <c r="T201" s="35"/>
      <c r="W201" s="57"/>
      <c r="X201" s="35"/>
      <c r="AA201" s="57"/>
      <c r="AB201" s="208">
        <f>ROUND((ROUND((_15_同援日１．０*_15・基礎２),0)*(1+_15・A深夜)),0)+ROUND((ROUND((_15_同援日１．０＿２．０*_15・基礎２),0)*(1+_15・B早朝)),0)</f>
        <v>774</v>
      </c>
      <c r="AC201" s="48"/>
    </row>
    <row r="202" spans="1:29" ht="16.5" customHeight="1" x14ac:dyDescent="0.15">
      <c r="A202" s="41">
        <v>15</v>
      </c>
      <c r="B202" s="41">
        <v>9034</v>
      </c>
      <c r="C202" s="74" t="s">
        <v>19020</v>
      </c>
      <c r="D202" s="72"/>
      <c r="F202" s="57"/>
      <c r="G202" s="72"/>
      <c r="H202" s="168">
        <f>_15_同援日１．０＿２．０</f>
        <v>328</v>
      </c>
      <c r="I202" s="57" t="s">
        <v>392</v>
      </c>
      <c r="J202" s="269" t="s">
        <v>17560</v>
      </c>
      <c r="K202" s="37" t="s">
        <v>398</v>
      </c>
      <c r="L202" s="38">
        <v>0.9</v>
      </c>
      <c r="M202" s="299" t="s">
        <v>17556</v>
      </c>
      <c r="N202" s="45" t="s">
        <v>398</v>
      </c>
      <c r="O202" s="46">
        <v>1</v>
      </c>
      <c r="P202" s="512"/>
      <c r="Q202" s="57"/>
      <c r="R202" s="512"/>
      <c r="S202" s="57"/>
      <c r="T202" s="43"/>
      <c r="U202" s="37"/>
      <c r="V202" s="38"/>
      <c r="W202" s="79"/>
      <c r="X202" s="35"/>
      <c r="AA202" s="57"/>
      <c r="AB202" s="208">
        <f>ROUND((ROUND((ROUND((_15_同援日１．０*_15・基礎２),0)*_15・２人),0)*(1+_15・A深夜)),0)+ROUND((ROUND((ROUND((_15_同援日１．０＿２．０*_15・基礎２),0)*_15・２人),0)*(1+_15・B早朝)),0)</f>
        <v>774</v>
      </c>
      <c r="AC202" s="48"/>
    </row>
    <row r="203" spans="1:29" ht="16.5" customHeight="1" x14ac:dyDescent="0.15">
      <c r="A203" s="41">
        <v>15</v>
      </c>
      <c r="B203" s="41">
        <v>9035</v>
      </c>
      <c r="C203" s="74" t="s">
        <v>19021</v>
      </c>
      <c r="D203" s="72"/>
      <c r="F203" s="57"/>
      <c r="G203" s="72"/>
      <c r="I203" s="57"/>
      <c r="J203" s="53"/>
      <c r="K203" s="49"/>
      <c r="L203" s="50"/>
      <c r="M203" s="163"/>
      <c r="N203" s="45"/>
      <c r="O203" s="46"/>
      <c r="P203" s="512"/>
      <c r="Q203" s="57"/>
      <c r="R203" s="512"/>
      <c r="S203" s="57"/>
      <c r="T203" s="114" t="s">
        <v>17562</v>
      </c>
      <c r="U203" s="49"/>
      <c r="V203" s="50"/>
      <c r="W203" s="115"/>
      <c r="X203" s="35"/>
      <c r="AA203" s="57"/>
      <c r="AB203" s="208">
        <f>ROUND((ROUND((_15_同援日１．０*(1+_15・A深夜)),0)*(1+_15・盲ろう)),0)+ROUND((ROUND((_15_同援日１．０＿２．０*(1+_15・B早朝)),0)*(1+_15・盲ろう)),0)</f>
        <v>1076</v>
      </c>
      <c r="AC203" s="48"/>
    </row>
    <row r="204" spans="1:29" ht="16.5" customHeight="1" x14ac:dyDescent="0.15">
      <c r="A204" s="41">
        <v>15</v>
      </c>
      <c r="B204" s="41">
        <v>9036</v>
      </c>
      <c r="C204" s="74" t="s">
        <v>19022</v>
      </c>
      <c r="D204" s="72"/>
      <c r="F204" s="57"/>
      <c r="G204" s="72"/>
      <c r="I204" s="57"/>
      <c r="J204" s="43"/>
      <c r="K204" s="37"/>
      <c r="L204" s="38"/>
      <c r="M204" s="299" t="s">
        <v>17556</v>
      </c>
      <c r="N204" s="45" t="s">
        <v>398</v>
      </c>
      <c r="O204" s="46">
        <v>1</v>
      </c>
      <c r="P204" s="512"/>
      <c r="Q204" s="57"/>
      <c r="R204" s="512"/>
      <c r="S204" s="57"/>
      <c r="T204" s="92" t="s">
        <v>17564</v>
      </c>
      <c r="W204" s="57"/>
      <c r="X204" s="35"/>
      <c r="AA204" s="57"/>
      <c r="AB204" s="208">
        <f>ROUND((ROUND((ROUND((_15_同援日１．０*_15・２人),0)*(1+_15・A深夜)),0)*(1+_15・盲ろう)),0)+ROUND((ROUND((ROUND((_15_同援日１．０＿２．０*_15・２人),0)*(1+_15・B早朝)),0)*(1+_15・盲ろう)),0)</f>
        <v>1076</v>
      </c>
      <c r="AC204" s="48"/>
    </row>
    <row r="205" spans="1:29" ht="16.5" customHeight="1" x14ac:dyDescent="0.15">
      <c r="A205" s="41">
        <v>15</v>
      </c>
      <c r="B205" s="41">
        <v>9037</v>
      </c>
      <c r="C205" s="74" t="s">
        <v>19023</v>
      </c>
      <c r="D205" s="72"/>
      <c r="F205" s="57"/>
      <c r="G205" s="72"/>
      <c r="I205" s="57"/>
      <c r="J205" s="114" t="s">
        <v>17558</v>
      </c>
      <c r="K205" s="49"/>
      <c r="L205" s="50"/>
      <c r="M205" s="163"/>
      <c r="N205" s="45"/>
      <c r="O205" s="46"/>
      <c r="P205" s="512"/>
      <c r="Q205" s="57"/>
      <c r="R205" s="512"/>
      <c r="S205" s="57"/>
      <c r="T205" s="35"/>
      <c r="U205" s="12" t="s">
        <v>398</v>
      </c>
      <c r="V205" s="13">
        <v>0.25</v>
      </c>
      <c r="W205" s="57" t="s">
        <v>3575</v>
      </c>
      <c r="X205" s="35"/>
      <c r="AA205" s="57"/>
      <c r="AB205" s="208">
        <f>ROUND((ROUND((ROUND((_15_同援日１．０*_15・基礎２),0)*(1+_15・A深夜)),0)*(1+_15・盲ろう)),0)+ROUND((ROUND((ROUND((_15_同援日１．０＿２．０*_15・基礎２),0)*(1+_15・B早朝)),0)*(1+_15・盲ろう)),0)</f>
        <v>967</v>
      </c>
      <c r="AC205" s="48"/>
    </row>
    <row r="206" spans="1:29" ht="16.5" customHeight="1" x14ac:dyDescent="0.15">
      <c r="A206" s="41">
        <v>15</v>
      </c>
      <c r="B206" s="41">
        <v>9038</v>
      </c>
      <c r="C206" s="74" t="s">
        <v>19024</v>
      </c>
      <c r="D206" s="72"/>
      <c r="F206" s="57"/>
      <c r="G206" s="72"/>
      <c r="I206" s="57"/>
      <c r="J206" s="269" t="s">
        <v>17560</v>
      </c>
      <c r="K206" s="37" t="s">
        <v>398</v>
      </c>
      <c r="L206" s="38">
        <v>0.9</v>
      </c>
      <c r="M206" s="299" t="s">
        <v>17556</v>
      </c>
      <c r="N206" s="45" t="s">
        <v>398</v>
      </c>
      <c r="O206" s="46">
        <v>1</v>
      </c>
      <c r="P206" s="512"/>
      <c r="Q206" s="57"/>
      <c r="R206" s="512"/>
      <c r="S206" s="57"/>
      <c r="T206" s="43"/>
      <c r="U206" s="37"/>
      <c r="V206" s="38"/>
      <c r="W206" s="79"/>
      <c r="X206" s="43"/>
      <c r="Y206" s="37"/>
      <c r="Z206" s="38"/>
      <c r="AA206" s="79"/>
      <c r="AB206" s="208">
        <f>ROUND((ROUND((ROUND((ROUND((_15_同援日１．０*_15・基礎２),0)*_15・２人),0)*(1+_15・A深夜)),0)*(1+_15・盲ろう)),0)+ROUND((ROUND((ROUND((ROUND((_15_同援日１．０＿２．０*_15・基礎２),0)*_15・２人),0)*(1+_15・B早朝)),0)*(1+_15・盲ろう)),0)</f>
        <v>967</v>
      </c>
      <c r="AC206" s="48"/>
    </row>
    <row r="207" spans="1:29" ht="16.5" customHeight="1" x14ac:dyDescent="0.15">
      <c r="A207" s="41">
        <v>15</v>
      </c>
      <c r="B207" s="41">
        <v>9039</v>
      </c>
      <c r="C207" s="74" t="s">
        <v>19025</v>
      </c>
      <c r="D207" s="72"/>
      <c r="F207" s="57"/>
      <c r="G207" s="72"/>
      <c r="I207" s="57"/>
      <c r="J207" s="53"/>
      <c r="K207" s="49"/>
      <c r="L207" s="50"/>
      <c r="M207" s="163"/>
      <c r="N207" s="45"/>
      <c r="O207" s="46"/>
      <c r="P207" s="512"/>
      <c r="Q207" s="57"/>
      <c r="R207" s="512"/>
      <c r="S207" s="57"/>
      <c r="T207" s="53"/>
      <c r="U207" s="49"/>
      <c r="V207" s="50"/>
      <c r="W207" s="115"/>
      <c r="X207" s="53"/>
      <c r="Y207" s="49"/>
      <c r="Z207" s="50"/>
      <c r="AA207" s="115"/>
      <c r="AB207" s="208">
        <f>ROUND((ROUND((_15_同援日１．０*(1+_15・A深夜)),0)*(1+_15・区３)),0)+ROUND((ROUND((_15_同援日１．０＿２．０*(1+_15・B早朝)),0)*(1+_15・区３)),0)</f>
        <v>1032</v>
      </c>
      <c r="AC207" s="48"/>
    </row>
    <row r="208" spans="1:29" ht="16.5" customHeight="1" x14ac:dyDescent="0.15">
      <c r="A208" s="41">
        <v>15</v>
      </c>
      <c r="B208" s="41">
        <v>9040</v>
      </c>
      <c r="C208" s="74" t="s">
        <v>19026</v>
      </c>
      <c r="D208" s="72"/>
      <c r="F208" s="57"/>
      <c r="G208" s="72"/>
      <c r="I208" s="57"/>
      <c r="J208" s="43"/>
      <c r="K208" s="37"/>
      <c r="L208" s="38"/>
      <c r="M208" s="299" t="s">
        <v>17556</v>
      </c>
      <c r="N208" s="45" t="s">
        <v>398</v>
      </c>
      <c r="O208" s="46">
        <v>1</v>
      </c>
      <c r="P208" s="512"/>
      <c r="Q208" s="57"/>
      <c r="R208" s="512"/>
      <c r="S208" s="57"/>
      <c r="T208" s="35"/>
      <c r="W208" s="57"/>
      <c r="X208" s="35"/>
      <c r="AA208" s="57"/>
      <c r="AB208" s="208">
        <f>ROUND((ROUND((ROUND((_15_同援日１．０*_15・２人),0)*(1+_15・A深夜)),0)*(1+_15・区３)),0)+ROUND((ROUND((ROUND((_15_同援日１．０＿２．０*_15・２人),0)*(1+_15・B早朝)),0)*(1+_15・区３)),0)</f>
        <v>1032</v>
      </c>
      <c r="AC208" s="48"/>
    </row>
    <row r="209" spans="1:29" ht="16.5" customHeight="1" x14ac:dyDescent="0.15">
      <c r="A209" s="41">
        <v>15</v>
      </c>
      <c r="B209" s="41">
        <v>9041</v>
      </c>
      <c r="C209" s="74" t="s">
        <v>19027</v>
      </c>
      <c r="D209" s="72"/>
      <c r="F209" s="57"/>
      <c r="G209" s="72"/>
      <c r="I209" s="57"/>
      <c r="J209" s="114" t="s">
        <v>17558</v>
      </c>
      <c r="K209" s="49"/>
      <c r="L209" s="50"/>
      <c r="M209" s="163"/>
      <c r="N209" s="45"/>
      <c r="O209" s="46"/>
      <c r="P209" s="512"/>
      <c r="Q209" s="57"/>
      <c r="R209" s="512"/>
      <c r="S209" s="57"/>
      <c r="T209" s="35"/>
      <c r="W209" s="57"/>
      <c r="X209" s="72" t="s">
        <v>17570</v>
      </c>
      <c r="AA209" s="57"/>
      <c r="AB209" s="208">
        <f>ROUND((ROUND((ROUND((_15_同援日１．０*_15・基礎２),0)*(1+_15・A深夜)),0)*(1+_15・区３)),0)+ROUND((ROUND((ROUND((_15_同援日１．０＿２．０*_15・基礎２),0)*(1+_15・B早朝)),0)*(1+_15・区３)),0)</f>
        <v>929</v>
      </c>
      <c r="AC209" s="48"/>
    </row>
    <row r="210" spans="1:29" ht="16.5" customHeight="1" x14ac:dyDescent="0.15">
      <c r="A210" s="41">
        <v>15</v>
      </c>
      <c r="B210" s="41">
        <v>9042</v>
      </c>
      <c r="C210" s="74" t="s">
        <v>19028</v>
      </c>
      <c r="D210" s="72"/>
      <c r="F210" s="57"/>
      <c r="G210" s="72"/>
      <c r="I210" s="57"/>
      <c r="J210" s="269" t="s">
        <v>17560</v>
      </c>
      <c r="K210" s="37" t="s">
        <v>398</v>
      </c>
      <c r="L210" s="38">
        <v>0.9</v>
      </c>
      <c r="M210" s="299" t="s">
        <v>17556</v>
      </c>
      <c r="N210" s="45" t="s">
        <v>398</v>
      </c>
      <c r="O210" s="46">
        <v>1</v>
      </c>
      <c r="P210" s="512"/>
      <c r="Q210" s="57"/>
      <c r="R210" s="512"/>
      <c r="S210" s="57"/>
      <c r="T210" s="43"/>
      <c r="U210" s="37"/>
      <c r="V210" s="38"/>
      <c r="W210" s="79"/>
      <c r="X210" s="72" t="s">
        <v>17572</v>
      </c>
      <c r="AA210" s="57"/>
      <c r="AB210" s="208">
        <f>ROUND((ROUND((ROUND((ROUND((_15_同援日１．０*_15・基礎２),0)*_15・２人),0)*(1+_15・A深夜)),0)*(1+_15・区３)),0)+ROUND((ROUND((ROUND((ROUND((_15_同援日１．０＿２．０*_15・基礎２),0)*_15・２人),0)*(1+_15・B早朝)),0)*(1+_15・区３)),0)</f>
        <v>929</v>
      </c>
      <c r="AC210" s="48"/>
    </row>
    <row r="211" spans="1:29" ht="16.5" customHeight="1" x14ac:dyDescent="0.15">
      <c r="A211" s="41">
        <v>15</v>
      </c>
      <c r="B211" s="41">
        <v>9043</v>
      </c>
      <c r="C211" s="74" t="s">
        <v>19029</v>
      </c>
      <c r="D211" s="72"/>
      <c r="F211" s="57"/>
      <c r="G211" s="72"/>
      <c r="I211" s="57"/>
      <c r="J211" s="53"/>
      <c r="K211" s="49"/>
      <c r="L211" s="50"/>
      <c r="M211" s="163"/>
      <c r="N211" s="45"/>
      <c r="O211" s="46"/>
      <c r="P211" s="512"/>
      <c r="Q211" s="57"/>
      <c r="R211" s="512"/>
      <c r="S211" s="57"/>
      <c r="T211" s="114" t="s">
        <v>17562</v>
      </c>
      <c r="U211" s="49"/>
      <c r="V211" s="50"/>
      <c r="W211" s="115"/>
      <c r="X211" s="35"/>
      <c r="Y211" s="12" t="s">
        <v>398</v>
      </c>
      <c r="Z211" s="13">
        <v>0.2</v>
      </c>
      <c r="AA211" s="57" t="s">
        <v>3575</v>
      </c>
      <c r="AB211" s="208">
        <f>ROUND((ROUND((ROUND((_15_同援日１．０*(1+_15・A深夜)),0)*(1+_15・盲ろう)),0)*(1+_15・区３)),0)+ROUND((ROUND((ROUND((_15_同援日１．０＿２．０*(1+_15・B早朝)),0)*(1+_15・盲ろう)),0)*(1+_15・区３)),0)</f>
        <v>1292</v>
      </c>
      <c r="AC211" s="48"/>
    </row>
    <row r="212" spans="1:29" ht="16.5" customHeight="1" x14ac:dyDescent="0.15">
      <c r="A212" s="41">
        <v>15</v>
      </c>
      <c r="B212" s="41">
        <v>9044</v>
      </c>
      <c r="C212" s="74" t="s">
        <v>19030</v>
      </c>
      <c r="D212" s="72"/>
      <c r="F212" s="57"/>
      <c r="G212" s="72"/>
      <c r="I212" s="57"/>
      <c r="J212" s="43"/>
      <c r="K212" s="37"/>
      <c r="L212" s="38"/>
      <c r="M212" s="299" t="s">
        <v>17556</v>
      </c>
      <c r="N212" s="45" t="s">
        <v>398</v>
      </c>
      <c r="O212" s="46">
        <v>1</v>
      </c>
      <c r="P212" s="512"/>
      <c r="Q212" s="57"/>
      <c r="R212" s="512"/>
      <c r="S212" s="57"/>
      <c r="T212" s="92" t="s">
        <v>17564</v>
      </c>
      <c r="W212" s="57"/>
      <c r="X212" s="35"/>
      <c r="AA212" s="57"/>
      <c r="AB212" s="208">
        <f>ROUND((ROUND((ROUND((ROUND((_15_同援日１．０*_15・２人),0)*(1+_15・A深夜)),0)*(1+_15・盲ろう)),0)*(1+_15・区３)),0)+ROUND((ROUND((ROUND((ROUND((_15_同援日１．０＿２．０*_15・２人),0)*(1+_15・B早朝)),0)*(1+_15・盲ろう)),0)*(1+_15・区３)),0)</f>
        <v>1292</v>
      </c>
      <c r="AC212" s="48"/>
    </row>
    <row r="213" spans="1:29" ht="16.5" customHeight="1" x14ac:dyDescent="0.15">
      <c r="A213" s="41">
        <v>15</v>
      </c>
      <c r="B213" s="41">
        <v>9045</v>
      </c>
      <c r="C213" s="74" t="s">
        <v>19031</v>
      </c>
      <c r="D213" s="72"/>
      <c r="F213" s="57"/>
      <c r="G213" s="72"/>
      <c r="I213" s="57"/>
      <c r="J213" s="114" t="s">
        <v>17558</v>
      </c>
      <c r="K213" s="49"/>
      <c r="L213" s="50"/>
      <c r="M213" s="163"/>
      <c r="N213" s="45"/>
      <c r="O213" s="46"/>
      <c r="P213" s="512"/>
      <c r="Q213" s="57"/>
      <c r="R213" s="512"/>
      <c r="S213" s="57"/>
      <c r="T213" s="35"/>
      <c r="U213" s="12" t="s">
        <v>398</v>
      </c>
      <c r="V213" s="13">
        <v>0.25</v>
      </c>
      <c r="W213" s="57" t="s">
        <v>3575</v>
      </c>
      <c r="X213" s="35"/>
      <c r="AA213" s="57"/>
      <c r="AB213" s="208">
        <f>ROUND((ROUND((ROUND((ROUND((_15_同援日１．０*_15・基礎２),0)*(1+_15・A深夜)),0)*(1+_15・盲ろう)),0)*(1+_15・区３)),0)+ROUND((ROUND((ROUND((ROUND((_15_同援日１．０＿２．０*_15・基礎２),0)*(1+_15・B早朝)),0)*(1+_15・盲ろう)),0)*(1+_15・区３)),0)</f>
        <v>1160</v>
      </c>
      <c r="AC213" s="48"/>
    </row>
    <row r="214" spans="1:29" ht="16.5" customHeight="1" x14ac:dyDescent="0.15">
      <c r="A214" s="41">
        <v>15</v>
      </c>
      <c r="B214" s="41">
        <v>9046</v>
      </c>
      <c r="C214" s="74" t="s">
        <v>19032</v>
      </c>
      <c r="D214" s="72"/>
      <c r="F214" s="57"/>
      <c r="G214" s="72"/>
      <c r="I214" s="57"/>
      <c r="J214" s="269" t="s">
        <v>17560</v>
      </c>
      <c r="K214" s="37" t="s">
        <v>398</v>
      </c>
      <c r="L214" s="38">
        <v>0.9</v>
      </c>
      <c r="M214" s="299" t="s">
        <v>17556</v>
      </c>
      <c r="N214" s="45" t="s">
        <v>398</v>
      </c>
      <c r="O214" s="46">
        <v>1</v>
      </c>
      <c r="P214" s="512"/>
      <c r="Q214" s="57"/>
      <c r="R214" s="512"/>
      <c r="S214" s="57"/>
      <c r="T214" s="43"/>
      <c r="U214" s="37"/>
      <c r="V214" s="38"/>
      <c r="W214" s="79"/>
      <c r="X214" s="43"/>
      <c r="Y214" s="37"/>
      <c r="Z214" s="38"/>
      <c r="AA214" s="79"/>
      <c r="AB214" s="208">
        <f>ROUND((ROUND((ROUND((ROUND((ROUND((_15_同援日１．０*_15・基礎２),0)*_15・２人),0)*(1+_15・A深夜)),0)*(1+_15・盲ろう)),0)*(1+_15・区３)),0)+ROUND((ROUND((ROUND((ROUND((ROUND((_15_同援日１．０＿２．０*_15・基礎２),0)*_15・２人),0)*(1+_15・B早朝)),0)*(1+_15・盲ろう)),0)*(1+_15・区３)),0)</f>
        <v>1160</v>
      </c>
      <c r="AC214" s="48"/>
    </row>
    <row r="215" spans="1:29" ht="16.5" customHeight="1" x14ac:dyDescent="0.15">
      <c r="A215" s="41">
        <v>15</v>
      </c>
      <c r="B215" s="41">
        <v>9047</v>
      </c>
      <c r="C215" s="74" t="s">
        <v>19033</v>
      </c>
      <c r="D215" s="72"/>
      <c r="F215" s="57"/>
      <c r="G215" s="72"/>
      <c r="I215" s="57"/>
      <c r="J215" s="53"/>
      <c r="K215" s="49"/>
      <c r="L215" s="50"/>
      <c r="M215" s="163"/>
      <c r="N215" s="45"/>
      <c r="O215" s="46"/>
      <c r="P215" s="512"/>
      <c r="Q215" s="57"/>
      <c r="R215" s="512"/>
      <c r="S215" s="57"/>
      <c r="T215" s="53"/>
      <c r="U215" s="49"/>
      <c r="V215" s="50"/>
      <c r="W215" s="115"/>
      <c r="X215" s="53"/>
      <c r="Y215" s="49"/>
      <c r="Z215" s="50"/>
      <c r="AA215" s="115"/>
      <c r="AB215" s="208">
        <f>ROUND((ROUND((_15_同援日１．０*(1+_15・A深夜)),0)*(1+_15・区４)),0)+ROUND((ROUND((_15_同援日１．０＿２．０*(1+_15・B早朝)),0)*(1+_15・区４)),0)</f>
        <v>1204</v>
      </c>
      <c r="AC215" s="48"/>
    </row>
    <row r="216" spans="1:29" ht="16.5" customHeight="1" x14ac:dyDescent="0.15">
      <c r="A216" s="41">
        <v>15</v>
      </c>
      <c r="B216" s="41">
        <v>9048</v>
      </c>
      <c r="C216" s="74" t="s">
        <v>19034</v>
      </c>
      <c r="D216" s="72"/>
      <c r="F216" s="57"/>
      <c r="G216" s="72"/>
      <c r="I216" s="57"/>
      <c r="J216" s="43"/>
      <c r="K216" s="37"/>
      <c r="L216" s="38"/>
      <c r="M216" s="299" t="s">
        <v>17556</v>
      </c>
      <c r="N216" s="45" t="s">
        <v>398</v>
      </c>
      <c r="O216" s="46">
        <v>1</v>
      </c>
      <c r="P216" s="512"/>
      <c r="Q216" s="57"/>
      <c r="R216" s="512"/>
      <c r="S216" s="57"/>
      <c r="T216" s="35"/>
      <c r="W216" s="57"/>
      <c r="X216" s="35"/>
      <c r="AA216" s="57"/>
      <c r="AB216" s="208">
        <f>ROUND((ROUND((ROUND((_15_同援日１．０*_15・２人),0)*(1+_15・A深夜)),0)*(1+_15・区４)),0)+ROUND((ROUND((ROUND((_15_同援日１．０＿２．０*_15・２人),0)*(1+_15・B早朝)),0)*(1+_15・区４)),0)</f>
        <v>1204</v>
      </c>
      <c r="AC216" s="48"/>
    </row>
    <row r="217" spans="1:29" ht="16.5" customHeight="1" x14ac:dyDescent="0.15">
      <c r="A217" s="41">
        <v>15</v>
      </c>
      <c r="B217" s="41">
        <v>9049</v>
      </c>
      <c r="C217" s="74" t="s">
        <v>19035</v>
      </c>
      <c r="D217" s="72"/>
      <c r="F217" s="57"/>
      <c r="G217" s="72"/>
      <c r="I217" s="57"/>
      <c r="J217" s="114" t="s">
        <v>17558</v>
      </c>
      <c r="K217" s="49"/>
      <c r="L217" s="50"/>
      <c r="M217" s="163"/>
      <c r="N217" s="45"/>
      <c r="O217" s="46"/>
      <c r="P217" s="512"/>
      <c r="Q217" s="57"/>
      <c r="R217" s="512"/>
      <c r="S217" s="57"/>
      <c r="T217" s="35"/>
      <c r="W217" s="57"/>
      <c r="X217" s="72" t="s">
        <v>17580</v>
      </c>
      <c r="AA217" s="57"/>
      <c r="AB217" s="208">
        <f>ROUND((ROUND((ROUND((_15_同援日１．０*_15・基礎２),0)*(1+_15・A深夜)),0)*(1+_15・区４)),0)+ROUND((ROUND((ROUND((_15_同援日１．０＿２．０*_15・基礎２),0)*(1+_15・B早朝)),0)*(1+_15・区４)),0)</f>
        <v>1084</v>
      </c>
      <c r="AC217" s="48"/>
    </row>
    <row r="218" spans="1:29" ht="16.5" customHeight="1" x14ac:dyDescent="0.15">
      <c r="A218" s="41">
        <v>15</v>
      </c>
      <c r="B218" s="41">
        <v>9050</v>
      </c>
      <c r="C218" s="74" t="s">
        <v>19036</v>
      </c>
      <c r="D218" s="72"/>
      <c r="F218" s="57"/>
      <c r="G218" s="72"/>
      <c r="I218" s="57"/>
      <c r="J218" s="269" t="s">
        <v>17560</v>
      </c>
      <c r="K218" s="37" t="s">
        <v>398</v>
      </c>
      <c r="L218" s="38">
        <v>0.9</v>
      </c>
      <c r="M218" s="299" t="s">
        <v>17556</v>
      </c>
      <c r="N218" s="45" t="s">
        <v>398</v>
      </c>
      <c r="O218" s="46">
        <v>1</v>
      </c>
      <c r="P218" s="512"/>
      <c r="Q218" s="57"/>
      <c r="R218" s="512"/>
      <c r="S218" s="57"/>
      <c r="T218" s="43"/>
      <c r="U218" s="37"/>
      <c r="V218" s="38"/>
      <c r="W218" s="79"/>
      <c r="X218" s="72" t="s">
        <v>17572</v>
      </c>
      <c r="AA218" s="57"/>
      <c r="AB218" s="208">
        <f>ROUND((ROUND((ROUND((ROUND((_15_同援日１．０*_15・基礎２),0)*_15・２人),0)*(1+_15・A深夜)),0)*(1+_15・区４)),0)+ROUND((ROUND((ROUND((ROUND((_15_同援日１．０＿２．０*_15・基礎２),0)*_15・２人),0)*(1+_15・B早朝)),0)*(1+_15・区４)),0)</f>
        <v>1084</v>
      </c>
      <c r="AC218" s="48"/>
    </row>
    <row r="219" spans="1:29" ht="16.5" customHeight="1" x14ac:dyDescent="0.15">
      <c r="A219" s="41">
        <v>15</v>
      </c>
      <c r="B219" s="41">
        <v>9051</v>
      </c>
      <c r="C219" s="74" t="s">
        <v>19037</v>
      </c>
      <c r="D219" s="72"/>
      <c r="F219" s="57"/>
      <c r="G219" s="72"/>
      <c r="I219" s="57"/>
      <c r="J219" s="53"/>
      <c r="K219" s="49"/>
      <c r="L219" s="50"/>
      <c r="M219" s="163"/>
      <c r="N219" s="45"/>
      <c r="O219" s="46"/>
      <c r="P219" s="512"/>
      <c r="Q219" s="57"/>
      <c r="R219" s="512"/>
      <c r="S219" s="57"/>
      <c r="T219" s="114" t="s">
        <v>17562</v>
      </c>
      <c r="U219" s="49"/>
      <c r="V219" s="50"/>
      <c r="W219" s="115"/>
      <c r="X219" s="35"/>
      <c r="Y219" s="12" t="s">
        <v>398</v>
      </c>
      <c r="Z219" s="13">
        <v>0.4</v>
      </c>
      <c r="AA219" s="57" t="s">
        <v>3575</v>
      </c>
      <c r="AB219" s="208">
        <f>ROUND((ROUND((ROUND((_15_同援日１．０*(1+_15・A深夜)),0)*(1+_15・盲ろう)),0)*(1+_15・区４)),0)+ROUND((ROUND((ROUND((_15_同援日１．０＿２．０*(1+_15・B早朝)),0)*(1+_15・盲ろう)),0)*(1+_15・区４)),0)</f>
        <v>1506</v>
      </c>
      <c r="AC219" s="48"/>
    </row>
    <row r="220" spans="1:29" ht="16.5" customHeight="1" x14ac:dyDescent="0.15">
      <c r="A220" s="41">
        <v>15</v>
      </c>
      <c r="B220" s="41">
        <v>9052</v>
      </c>
      <c r="C220" s="74" t="s">
        <v>19038</v>
      </c>
      <c r="D220" s="72"/>
      <c r="F220" s="57"/>
      <c r="G220" s="72"/>
      <c r="I220" s="57"/>
      <c r="J220" s="43"/>
      <c r="K220" s="37"/>
      <c r="L220" s="38"/>
      <c r="M220" s="299" t="s">
        <v>17556</v>
      </c>
      <c r="N220" s="45" t="s">
        <v>398</v>
      </c>
      <c r="O220" s="46">
        <v>1</v>
      </c>
      <c r="P220" s="512"/>
      <c r="Q220" s="57"/>
      <c r="R220" s="512"/>
      <c r="S220" s="57"/>
      <c r="T220" s="92" t="s">
        <v>17564</v>
      </c>
      <c r="W220" s="57"/>
      <c r="X220" s="35"/>
      <c r="AA220" s="57"/>
      <c r="AB220" s="208">
        <f>ROUND((ROUND((ROUND((ROUND((_15_同援日１．０*_15・２人),0)*(1+_15・A深夜)),0)*(1+_15・盲ろう)),0)*(1+_15・区４)),0)+ROUND((ROUND((ROUND((ROUND((_15_同援日１．０＿２．０*_15・２人),0)*(1+_15・B早朝)),0)*(1+_15・盲ろう)),0)*(1+_15・区４)),0)</f>
        <v>1506</v>
      </c>
      <c r="AC220" s="48"/>
    </row>
    <row r="221" spans="1:29" ht="16.5" customHeight="1" x14ac:dyDescent="0.15">
      <c r="A221" s="41">
        <v>15</v>
      </c>
      <c r="B221" s="41">
        <v>9053</v>
      </c>
      <c r="C221" s="74" t="s">
        <v>19039</v>
      </c>
      <c r="D221" s="72"/>
      <c r="F221" s="57"/>
      <c r="G221" s="72"/>
      <c r="I221" s="57"/>
      <c r="J221" s="114" t="s">
        <v>17558</v>
      </c>
      <c r="K221" s="49"/>
      <c r="L221" s="50"/>
      <c r="M221" s="163"/>
      <c r="N221" s="45"/>
      <c r="O221" s="46"/>
      <c r="P221" s="512"/>
      <c r="Q221" s="57"/>
      <c r="R221" s="512"/>
      <c r="S221" s="57"/>
      <c r="T221" s="35"/>
      <c r="U221" s="12" t="s">
        <v>398</v>
      </c>
      <c r="V221" s="13">
        <v>0.25</v>
      </c>
      <c r="W221" s="57" t="s">
        <v>3575</v>
      </c>
      <c r="X221" s="35"/>
      <c r="AA221" s="57"/>
      <c r="AB221" s="208">
        <f>ROUND((ROUND((ROUND((ROUND((_15_同援日１．０*_15・基礎２),0)*(1+_15・A深夜)),0)*(1+_15・盲ろう)),0)*(1+_15・区４)),0)+ROUND((ROUND((ROUND((ROUND((_15_同援日１．０＿２．０*_15・基礎２),0)*(1+_15・B早朝)),0)*(1+_15・盲ろう)),0)*(1+_15・区４)),0)</f>
        <v>1353</v>
      </c>
      <c r="AC221" s="48"/>
    </row>
    <row r="222" spans="1:29" ht="16.5" customHeight="1" x14ac:dyDescent="0.15">
      <c r="A222" s="41">
        <v>15</v>
      </c>
      <c r="B222" s="41">
        <v>9054</v>
      </c>
      <c r="C222" s="74" t="s">
        <v>19040</v>
      </c>
      <c r="D222" s="122"/>
      <c r="E222" s="37"/>
      <c r="F222" s="79"/>
      <c r="G222" s="122"/>
      <c r="H222" s="37"/>
      <c r="I222" s="79"/>
      <c r="J222" s="269" t="s">
        <v>17560</v>
      </c>
      <c r="K222" s="37" t="s">
        <v>398</v>
      </c>
      <c r="L222" s="38">
        <v>0.9</v>
      </c>
      <c r="M222" s="299" t="s">
        <v>17556</v>
      </c>
      <c r="N222" s="45" t="s">
        <v>398</v>
      </c>
      <c r="O222" s="46">
        <v>1</v>
      </c>
      <c r="P222" s="512"/>
      <c r="Q222" s="57"/>
      <c r="R222" s="512"/>
      <c r="S222" s="57"/>
      <c r="T222" s="43"/>
      <c r="U222" s="37"/>
      <c r="V222" s="38"/>
      <c r="W222" s="79"/>
      <c r="X222" s="43"/>
      <c r="Y222" s="37"/>
      <c r="Z222" s="38"/>
      <c r="AA222" s="79"/>
      <c r="AB222" s="208">
        <f>ROUND((ROUND((ROUND((ROUND((ROUND((_15_同援日１．０*_15・基礎２),0)*_15・２人),0)*(1+_15・A深夜)),0)*(1+_15・盲ろう)),0)*(1+_15・区４)),0)+ROUND((ROUND((ROUND((ROUND((ROUND((_15_同援日１．０＿２．０*_15・基礎２),0)*_15・２人),0)*(1+_15・B早朝)),0)*(1+_15・盲ろう)),0)*(1+_15・区４)),0)</f>
        <v>1353</v>
      </c>
      <c r="AC222" s="48"/>
    </row>
    <row r="223" spans="1:29" ht="16.5" customHeight="1" x14ac:dyDescent="0.15">
      <c r="A223" s="41">
        <v>15</v>
      </c>
      <c r="B223" s="41">
        <v>9055</v>
      </c>
      <c r="C223" s="74" t="s">
        <v>19041</v>
      </c>
      <c r="D223" s="114" t="s">
        <v>18538</v>
      </c>
      <c r="E223" s="49"/>
      <c r="F223" s="115"/>
      <c r="G223" s="114" t="s">
        <v>18819</v>
      </c>
      <c r="H223" s="49"/>
      <c r="I223" s="115"/>
      <c r="J223" s="53"/>
      <c r="K223" s="49"/>
      <c r="L223" s="50"/>
      <c r="M223" s="163"/>
      <c r="N223" s="45"/>
      <c r="O223" s="46"/>
      <c r="P223" s="512"/>
      <c r="Q223" s="57"/>
      <c r="R223" s="512"/>
      <c r="S223" s="57"/>
      <c r="T223" s="53"/>
      <c r="U223" s="49"/>
      <c r="V223" s="50"/>
      <c r="W223" s="115"/>
      <c r="X223" s="53"/>
      <c r="Y223" s="49"/>
      <c r="Z223" s="50"/>
      <c r="AA223" s="115"/>
      <c r="AB223" s="208">
        <f>ROUND((_15_同援日１．５*(1+_15・A深夜)),0)+ROUND((_15_同援日１．５＿０．５*(1+_15・B早朝)),0)</f>
        <v>731</v>
      </c>
      <c r="AC223" s="48"/>
    </row>
    <row r="224" spans="1:29" ht="16.5" customHeight="1" x14ac:dyDescent="0.15">
      <c r="A224" s="41">
        <v>15</v>
      </c>
      <c r="B224" s="41">
        <v>9056</v>
      </c>
      <c r="C224" s="74" t="s">
        <v>19042</v>
      </c>
      <c r="D224" s="72" t="s">
        <v>17616</v>
      </c>
      <c r="F224" s="57"/>
      <c r="G224" s="72" t="s">
        <v>18259</v>
      </c>
      <c r="I224" s="57"/>
      <c r="J224" s="43"/>
      <c r="K224" s="37"/>
      <c r="L224" s="38"/>
      <c r="M224" s="299" t="s">
        <v>17556</v>
      </c>
      <c r="N224" s="45" t="s">
        <v>398</v>
      </c>
      <c r="O224" s="46">
        <v>1</v>
      </c>
      <c r="P224" s="512"/>
      <c r="Q224" s="57"/>
      <c r="R224" s="512"/>
      <c r="S224" s="57"/>
      <c r="T224" s="35"/>
      <c r="W224" s="57"/>
      <c r="X224" s="35"/>
      <c r="AA224" s="57"/>
      <c r="AB224" s="208">
        <f>ROUND((ROUND((_15_同援日１．５*_15・２人),0)*(1+_15・A深夜)),0)+ROUND((ROUND((_15_同援日１．５＿０．５*_15・２人),0)*(1+_15・B早朝)),0)</f>
        <v>731</v>
      </c>
      <c r="AC224" s="48"/>
    </row>
    <row r="225" spans="1:29" ht="16.5" customHeight="1" x14ac:dyDescent="0.15">
      <c r="A225" s="41">
        <v>15</v>
      </c>
      <c r="B225" s="41">
        <v>9057</v>
      </c>
      <c r="C225" s="74" t="s">
        <v>19043</v>
      </c>
      <c r="D225" s="72" t="s">
        <v>18183</v>
      </c>
      <c r="F225" s="57"/>
      <c r="G225" s="72"/>
      <c r="I225" s="57"/>
      <c r="J225" s="114" t="s">
        <v>17558</v>
      </c>
      <c r="K225" s="49"/>
      <c r="L225" s="50"/>
      <c r="M225" s="163"/>
      <c r="N225" s="45"/>
      <c r="O225" s="46"/>
      <c r="P225" s="512"/>
      <c r="Q225" s="57"/>
      <c r="R225" s="512"/>
      <c r="S225" s="57"/>
      <c r="T225" s="35"/>
      <c r="W225" s="57"/>
      <c r="X225" s="35"/>
      <c r="AA225" s="57"/>
      <c r="AB225" s="208">
        <f>ROUND((ROUND((_15_同援日１．５*_15・基礎２),0)*(1+_15・A深夜)),0)+ROUND((ROUND((_15_同援日１．５＿０．５*_15・基礎２),0)*(1+_15・B早朝)),0)</f>
        <v>659</v>
      </c>
      <c r="AC225" s="48"/>
    </row>
    <row r="226" spans="1:29" ht="16.5" customHeight="1" x14ac:dyDescent="0.15">
      <c r="A226" s="41">
        <v>15</v>
      </c>
      <c r="B226" s="41">
        <v>9058</v>
      </c>
      <c r="C226" s="74" t="s">
        <v>19044</v>
      </c>
      <c r="D226" s="72"/>
      <c r="E226" s="168">
        <f>_15_同援日１．５</f>
        <v>433</v>
      </c>
      <c r="F226" s="57" t="s">
        <v>392</v>
      </c>
      <c r="G226" s="72"/>
      <c r="H226" s="168">
        <f>_15_同援日１．５＿０．５</f>
        <v>65</v>
      </c>
      <c r="I226" s="57" t="s">
        <v>392</v>
      </c>
      <c r="J226" s="269" t="s">
        <v>17560</v>
      </c>
      <c r="K226" s="37" t="s">
        <v>398</v>
      </c>
      <c r="L226" s="38">
        <v>0.9</v>
      </c>
      <c r="M226" s="299" t="s">
        <v>17556</v>
      </c>
      <c r="N226" s="45" t="s">
        <v>398</v>
      </c>
      <c r="O226" s="46">
        <v>1</v>
      </c>
      <c r="P226" s="512"/>
      <c r="Q226" s="57"/>
      <c r="R226" s="512"/>
      <c r="S226" s="57"/>
      <c r="T226" s="43"/>
      <c r="U226" s="37"/>
      <c r="V226" s="38"/>
      <c r="W226" s="79"/>
      <c r="X226" s="35"/>
      <c r="AA226" s="57"/>
      <c r="AB226" s="208">
        <f>ROUND((ROUND((ROUND((_15_同援日１．５*_15・基礎２),0)*_15・２人),0)*(1+_15・A深夜)),0)+ROUND((ROUND((ROUND((_15_同援日１．５＿０．５*_15・基礎２),0)*_15・２人),0)*(1+_15・B早朝)),0)</f>
        <v>659</v>
      </c>
      <c r="AC226" s="48"/>
    </row>
    <row r="227" spans="1:29" ht="16.5" customHeight="1" x14ac:dyDescent="0.15">
      <c r="A227" s="41">
        <v>15</v>
      </c>
      <c r="B227" s="41">
        <v>9059</v>
      </c>
      <c r="C227" s="74" t="s">
        <v>19045</v>
      </c>
      <c r="D227" s="72"/>
      <c r="F227" s="57"/>
      <c r="G227" s="72"/>
      <c r="I227" s="57"/>
      <c r="J227" s="53"/>
      <c r="K227" s="49"/>
      <c r="L227" s="50"/>
      <c r="M227" s="163"/>
      <c r="N227" s="45"/>
      <c r="O227" s="46"/>
      <c r="P227" s="512"/>
      <c r="Q227" s="57"/>
      <c r="R227" s="512"/>
      <c r="S227" s="57"/>
      <c r="T227" s="114" t="s">
        <v>17562</v>
      </c>
      <c r="U227" s="49"/>
      <c r="V227" s="50"/>
      <c r="W227" s="115"/>
      <c r="X227" s="35"/>
      <c r="AA227" s="57"/>
      <c r="AB227" s="208">
        <f>ROUND((ROUND((_15_同援日１．５*(1+_15・A深夜)),0)*(1+_15・盲ろう)),0)+ROUND((ROUND((_15_同援日１．５＿０．５*(1+_15・B早朝)),0)*(1+_15・盲ろう)),0)</f>
        <v>914</v>
      </c>
      <c r="AC227" s="48"/>
    </row>
    <row r="228" spans="1:29" ht="16.5" customHeight="1" x14ac:dyDescent="0.15">
      <c r="A228" s="41">
        <v>15</v>
      </c>
      <c r="B228" s="41">
        <v>9060</v>
      </c>
      <c r="C228" s="74" t="s">
        <v>19046</v>
      </c>
      <c r="D228" s="72"/>
      <c r="F228" s="57"/>
      <c r="G228" s="72"/>
      <c r="I228" s="57"/>
      <c r="J228" s="43"/>
      <c r="K228" s="37"/>
      <c r="L228" s="38"/>
      <c r="M228" s="299" t="s">
        <v>17556</v>
      </c>
      <c r="N228" s="45" t="s">
        <v>398</v>
      </c>
      <c r="O228" s="46">
        <v>1</v>
      </c>
      <c r="P228" s="512"/>
      <c r="Q228" s="57"/>
      <c r="R228" s="512"/>
      <c r="S228" s="57"/>
      <c r="T228" s="92" t="s">
        <v>17564</v>
      </c>
      <c r="W228" s="57"/>
      <c r="X228" s="35"/>
      <c r="AA228" s="57"/>
      <c r="AB228" s="208">
        <f>ROUND((ROUND((ROUND((_15_同援日１．５*_15・２人),0)*(1+_15・A深夜)),0)*(1+_15・盲ろう)),0)+ROUND((ROUND((ROUND((_15_同援日１．５＿０．５*_15・２人),0)*(1+_15・B早朝)),0)*(1+_15・盲ろう)),0)</f>
        <v>914</v>
      </c>
      <c r="AC228" s="48"/>
    </row>
    <row r="229" spans="1:29" ht="16.5" customHeight="1" x14ac:dyDescent="0.15">
      <c r="A229" s="41">
        <v>15</v>
      </c>
      <c r="B229" s="41">
        <v>9061</v>
      </c>
      <c r="C229" s="74" t="s">
        <v>19047</v>
      </c>
      <c r="D229" s="72"/>
      <c r="F229" s="57"/>
      <c r="G229" s="72"/>
      <c r="I229" s="57"/>
      <c r="J229" s="114" t="s">
        <v>17558</v>
      </c>
      <c r="K229" s="49"/>
      <c r="L229" s="50"/>
      <c r="M229" s="163"/>
      <c r="N229" s="45"/>
      <c r="O229" s="46"/>
      <c r="P229" s="512"/>
      <c r="Q229" s="57"/>
      <c r="R229" s="512"/>
      <c r="S229" s="57"/>
      <c r="T229" s="35"/>
      <c r="U229" s="12" t="s">
        <v>398</v>
      </c>
      <c r="V229" s="13">
        <v>0.25</v>
      </c>
      <c r="W229" s="57" t="s">
        <v>3575</v>
      </c>
      <c r="X229" s="35"/>
      <c r="AA229" s="57"/>
      <c r="AB229" s="208">
        <f>ROUND((ROUND((ROUND((_15_同援日１．５*_15・基礎２),0)*(1+_15・A深夜)),0)*(1+_15・盲ろう)),0)+ROUND((ROUND((ROUND((_15_同援日１．５＿０．５*_15・基礎２),0)*(1+_15・B早朝)),0)*(1+_15・盲ろう)),0)</f>
        <v>824</v>
      </c>
      <c r="AC229" s="48"/>
    </row>
    <row r="230" spans="1:29" ht="16.5" customHeight="1" x14ac:dyDescent="0.15">
      <c r="A230" s="41">
        <v>15</v>
      </c>
      <c r="B230" s="41">
        <v>9062</v>
      </c>
      <c r="C230" s="74" t="s">
        <v>19048</v>
      </c>
      <c r="D230" s="72"/>
      <c r="F230" s="57"/>
      <c r="G230" s="72"/>
      <c r="I230" s="57"/>
      <c r="J230" s="269" t="s">
        <v>17560</v>
      </c>
      <c r="K230" s="37" t="s">
        <v>398</v>
      </c>
      <c r="L230" s="38">
        <v>0.9</v>
      </c>
      <c r="M230" s="299" t="s">
        <v>17556</v>
      </c>
      <c r="N230" s="45" t="s">
        <v>398</v>
      </c>
      <c r="O230" s="46">
        <v>1</v>
      </c>
      <c r="P230" s="512"/>
      <c r="Q230" s="57"/>
      <c r="R230" s="512"/>
      <c r="S230" s="57"/>
      <c r="T230" s="43"/>
      <c r="U230" s="37"/>
      <c r="V230" s="38"/>
      <c r="W230" s="79"/>
      <c r="X230" s="43"/>
      <c r="Y230" s="37"/>
      <c r="Z230" s="38"/>
      <c r="AA230" s="79"/>
      <c r="AB230" s="208">
        <f>ROUND((ROUND((ROUND((ROUND((_15_同援日１．５*_15・基礎２),0)*_15・２人),0)*(1+_15・A深夜)),0)*(1+_15・盲ろう)),0)+ROUND((ROUND((ROUND((ROUND((_15_同援日１．５＿０．５*_15・基礎２),0)*_15・２人),0)*(1+_15・B早朝)),0)*(1+_15・盲ろう)),0)</f>
        <v>824</v>
      </c>
      <c r="AC230" s="48"/>
    </row>
    <row r="231" spans="1:29" ht="16.5" customHeight="1" x14ac:dyDescent="0.15">
      <c r="A231" s="41">
        <v>15</v>
      </c>
      <c r="B231" s="41">
        <v>9063</v>
      </c>
      <c r="C231" s="74" t="s">
        <v>19049</v>
      </c>
      <c r="D231" s="72"/>
      <c r="F231" s="57"/>
      <c r="G231" s="72"/>
      <c r="I231" s="57"/>
      <c r="J231" s="53"/>
      <c r="K231" s="49"/>
      <c r="L231" s="50"/>
      <c r="M231" s="163"/>
      <c r="N231" s="45"/>
      <c r="O231" s="46"/>
      <c r="P231" s="512"/>
      <c r="Q231" s="57"/>
      <c r="R231" s="512"/>
      <c r="S231" s="57"/>
      <c r="T231" s="53"/>
      <c r="U231" s="49"/>
      <c r="V231" s="50"/>
      <c r="W231" s="115"/>
      <c r="X231" s="53"/>
      <c r="Y231" s="49"/>
      <c r="Z231" s="50"/>
      <c r="AA231" s="115"/>
      <c r="AB231" s="208">
        <f>ROUND((ROUND((_15_同援日１．５*(1+_15・A深夜)),0)*(1+_15・区３)),0)+ROUND((ROUND((_15_同援日１．５＿０．５*(1+_15・B早朝)),0)*(1+_15・区３)),0)</f>
        <v>877</v>
      </c>
      <c r="AC231" s="48"/>
    </row>
    <row r="232" spans="1:29" ht="16.5" customHeight="1" x14ac:dyDescent="0.15">
      <c r="A232" s="41">
        <v>15</v>
      </c>
      <c r="B232" s="41">
        <v>9064</v>
      </c>
      <c r="C232" s="74" t="s">
        <v>19050</v>
      </c>
      <c r="D232" s="72"/>
      <c r="F232" s="57"/>
      <c r="G232" s="72"/>
      <c r="I232" s="57"/>
      <c r="J232" s="43"/>
      <c r="K232" s="37"/>
      <c r="L232" s="38"/>
      <c r="M232" s="299" t="s">
        <v>17556</v>
      </c>
      <c r="N232" s="45" t="s">
        <v>398</v>
      </c>
      <c r="O232" s="46">
        <v>1</v>
      </c>
      <c r="P232" s="512"/>
      <c r="Q232" s="57"/>
      <c r="R232" s="512"/>
      <c r="S232" s="57"/>
      <c r="T232" s="35"/>
      <c r="W232" s="57"/>
      <c r="X232" s="35"/>
      <c r="AA232" s="57"/>
      <c r="AB232" s="208">
        <f>ROUND((ROUND((ROUND((_15_同援日１．５*_15・２人),0)*(1+_15・A深夜)),0)*(1+_15・区３)),0)+ROUND((ROUND((ROUND((_15_同援日１．５＿０．５*_15・２人),0)*(1+_15・B早朝)),0)*(1+_15・区３)),0)</f>
        <v>877</v>
      </c>
      <c r="AC232" s="48"/>
    </row>
    <row r="233" spans="1:29" ht="16.5" customHeight="1" x14ac:dyDescent="0.15">
      <c r="A233" s="41">
        <v>15</v>
      </c>
      <c r="B233" s="41">
        <v>9065</v>
      </c>
      <c r="C233" s="74" t="s">
        <v>19051</v>
      </c>
      <c r="D233" s="72"/>
      <c r="F233" s="57"/>
      <c r="G233" s="72"/>
      <c r="I233" s="57"/>
      <c r="J233" s="114" t="s">
        <v>17558</v>
      </c>
      <c r="K233" s="49"/>
      <c r="L233" s="50"/>
      <c r="M233" s="163"/>
      <c r="N233" s="45"/>
      <c r="O233" s="46"/>
      <c r="P233" s="512"/>
      <c r="Q233" s="57"/>
      <c r="R233" s="512"/>
      <c r="S233" s="57"/>
      <c r="T233" s="35"/>
      <c r="W233" s="57"/>
      <c r="X233" s="72" t="s">
        <v>17570</v>
      </c>
      <c r="AA233" s="57"/>
      <c r="AB233" s="208">
        <f>ROUND((ROUND((ROUND((_15_同援日１．５*_15・基礎２),0)*(1+_15・A深夜)),0)*(1+_15・区３)),0)+ROUND((ROUND((ROUND((_15_同援日１．５＿０．５*_15・基礎２),0)*(1+_15・B早朝)),0)*(1+_15・区３)),0)</f>
        <v>791</v>
      </c>
      <c r="AC233" s="48"/>
    </row>
    <row r="234" spans="1:29" ht="16.5" customHeight="1" x14ac:dyDescent="0.15">
      <c r="A234" s="41">
        <v>15</v>
      </c>
      <c r="B234" s="41">
        <v>9066</v>
      </c>
      <c r="C234" s="74" t="s">
        <v>19052</v>
      </c>
      <c r="D234" s="72"/>
      <c r="F234" s="57"/>
      <c r="G234" s="72"/>
      <c r="I234" s="57"/>
      <c r="J234" s="269" t="s">
        <v>17560</v>
      </c>
      <c r="K234" s="37" t="s">
        <v>398</v>
      </c>
      <c r="L234" s="38">
        <v>0.9</v>
      </c>
      <c r="M234" s="299" t="s">
        <v>17556</v>
      </c>
      <c r="N234" s="45" t="s">
        <v>398</v>
      </c>
      <c r="O234" s="46">
        <v>1</v>
      </c>
      <c r="P234" s="512"/>
      <c r="Q234" s="57"/>
      <c r="R234" s="512"/>
      <c r="S234" s="57"/>
      <c r="T234" s="43"/>
      <c r="U234" s="37"/>
      <c r="V234" s="38"/>
      <c r="W234" s="79"/>
      <c r="X234" s="72" t="s">
        <v>17572</v>
      </c>
      <c r="AA234" s="57"/>
      <c r="AB234" s="208">
        <f>ROUND((ROUND((ROUND((ROUND((_15_同援日１．５*_15・基礎２),0)*_15・２人),0)*(1+_15・A深夜)),0)*(1+_15・区３)),0)+ROUND((ROUND((ROUND((ROUND((_15_同援日１．５＿０．５*_15・基礎２),0)*_15・２人),0)*(1+_15・B早朝)),0)*(1+_15・区３)),0)</f>
        <v>791</v>
      </c>
      <c r="AC234" s="48"/>
    </row>
    <row r="235" spans="1:29" ht="16.5" customHeight="1" x14ac:dyDescent="0.15">
      <c r="A235" s="41">
        <v>15</v>
      </c>
      <c r="B235" s="41">
        <v>9067</v>
      </c>
      <c r="C235" s="74" t="s">
        <v>19053</v>
      </c>
      <c r="D235" s="72"/>
      <c r="F235" s="57"/>
      <c r="G235" s="72"/>
      <c r="I235" s="57"/>
      <c r="J235" s="53"/>
      <c r="K235" s="49"/>
      <c r="L235" s="50"/>
      <c r="M235" s="163"/>
      <c r="N235" s="45"/>
      <c r="O235" s="46"/>
      <c r="P235" s="512"/>
      <c r="Q235" s="57"/>
      <c r="R235" s="512"/>
      <c r="S235" s="57"/>
      <c r="T235" s="114" t="s">
        <v>17562</v>
      </c>
      <c r="U235" s="49"/>
      <c r="V235" s="50"/>
      <c r="W235" s="115"/>
      <c r="X235" s="35"/>
      <c r="Y235" s="12" t="s">
        <v>398</v>
      </c>
      <c r="Z235" s="13">
        <v>0.2</v>
      </c>
      <c r="AA235" s="57" t="s">
        <v>3575</v>
      </c>
      <c r="AB235" s="208">
        <f>ROUND((ROUND((ROUND((_15_同援日１．５*(1+_15・A深夜)),0)*(1+_15・盲ろう)),0)*(1+_15・区３)),0)+ROUND((ROUND((ROUND((_15_同援日１．５＿０．５*(1+_15・B早朝)),0)*(1+_15・盲ろう)),0)*(1+_15・区３)),0)</f>
        <v>1097</v>
      </c>
      <c r="AC235" s="48"/>
    </row>
    <row r="236" spans="1:29" ht="16.5" customHeight="1" x14ac:dyDescent="0.15">
      <c r="A236" s="41">
        <v>15</v>
      </c>
      <c r="B236" s="41">
        <v>9068</v>
      </c>
      <c r="C236" s="74" t="s">
        <v>19054</v>
      </c>
      <c r="D236" s="72"/>
      <c r="F236" s="57"/>
      <c r="G236" s="72"/>
      <c r="I236" s="57"/>
      <c r="J236" s="43"/>
      <c r="K236" s="37"/>
      <c r="L236" s="38"/>
      <c r="M236" s="299" t="s">
        <v>17556</v>
      </c>
      <c r="N236" s="45" t="s">
        <v>398</v>
      </c>
      <c r="O236" s="46">
        <v>1</v>
      </c>
      <c r="P236" s="512"/>
      <c r="Q236" s="57"/>
      <c r="R236" s="512"/>
      <c r="S236" s="57"/>
      <c r="T236" s="92" t="s">
        <v>17564</v>
      </c>
      <c r="W236" s="57"/>
      <c r="X236" s="35"/>
      <c r="AA236" s="57"/>
      <c r="AB236" s="208">
        <f>ROUND((ROUND((ROUND((ROUND((_15_同援日１．５*_15・２人),0)*(1+_15・A深夜)),0)*(1+_15・盲ろう)),0)*(1+_15・区３)),0)+ROUND((ROUND((ROUND((ROUND((_15_同援日１．５＿０．５*_15・２人),0)*(1+_15・B早朝)),0)*(1+_15・盲ろう)),0)*(1+_15・区３)),0)</f>
        <v>1097</v>
      </c>
      <c r="AC236" s="48"/>
    </row>
    <row r="237" spans="1:29" ht="16.5" customHeight="1" x14ac:dyDescent="0.15">
      <c r="A237" s="41">
        <v>15</v>
      </c>
      <c r="B237" s="41">
        <v>9069</v>
      </c>
      <c r="C237" s="74" t="s">
        <v>19055</v>
      </c>
      <c r="D237" s="72"/>
      <c r="F237" s="57"/>
      <c r="G237" s="72"/>
      <c r="I237" s="57"/>
      <c r="J237" s="114" t="s">
        <v>17558</v>
      </c>
      <c r="K237" s="49"/>
      <c r="L237" s="50"/>
      <c r="M237" s="163"/>
      <c r="N237" s="45"/>
      <c r="O237" s="46"/>
      <c r="P237" s="512"/>
      <c r="Q237" s="57"/>
      <c r="R237" s="512"/>
      <c r="S237" s="57"/>
      <c r="T237" s="35"/>
      <c r="U237" s="12" t="s">
        <v>398</v>
      </c>
      <c r="V237" s="13">
        <v>0.25</v>
      </c>
      <c r="W237" s="57" t="s">
        <v>3575</v>
      </c>
      <c r="X237" s="35"/>
      <c r="AA237" s="57"/>
      <c r="AB237" s="208">
        <f>ROUND((ROUND((ROUND((ROUND((_15_同援日１．５*_15・基礎２),0)*(1+_15・A深夜)),0)*(1+_15・盲ろう)),0)*(1+_15・区３)),0)+ROUND((ROUND((ROUND((ROUND((_15_同援日１．５＿０．５*_15・基礎２),0)*(1+_15・B早朝)),0)*(1+_15・盲ろう)),0)*(1+_15・区３)),0)</f>
        <v>989</v>
      </c>
      <c r="AC237" s="48"/>
    </row>
    <row r="238" spans="1:29" ht="16.5" customHeight="1" x14ac:dyDescent="0.15">
      <c r="A238" s="41">
        <v>15</v>
      </c>
      <c r="B238" s="41">
        <v>9070</v>
      </c>
      <c r="C238" s="74" t="s">
        <v>19056</v>
      </c>
      <c r="D238" s="72"/>
      <c r="F238" s="57"/>
      <c r="G238" s="72"/>
      <c r="I238" s="57"/>
      <c r="J238" s="269" t="s">
        <v>17560</v>
      </c>
      <c r="K238" s="37" t="s">
        <v>398</v>
      </c>
      <c r="L238" s="38">
        <v>0.9</v>
      </c>
      <c r="M238" s="299" t="s">
        <v>17556</v>
      </c>
      <c r="N238" s="45" t="s">
        <v>398</v>
      </c>
      <c r="O238" s="46">
        <v>1</v>
      </c>
      <c r="P238" s="512"/>
      <c r="Q238" s="57"/>
      <c r="R238" s="512"/>
      <c r="S238" s="57"/>
      <c r="T238" s="43"/>
      <c r="U238" s="37"/>
      <c r="V238" s="38"/>
      <c r="W238" s="79"/>
      <c r="X238" s="43"/>
      <c r="Y238" s="37"/>
      <c r="Z238" s="38"/>
      <c r="AA238" s="79"/>
      <c r="AB238" s="208">
        <f>ROUND((ROUND((ROUND((ROUND((ROUND((_15_同援日１．５*_15・基礎２),0)*_15・２人),0)*(1+_15・A深夜)),0)*(1+_15・盲ろう)),0)*(1+_15・区３)),0)+ROUND((ROUND((ROUND((ROUND((ROUND((_15_同援日１．５＿０．５*_15・基礎２),0)*_15・２人),0)*(1+_15・B早朝)),0)*(1+_15・盲ろう)),0)*(1+_15・区３)),0)</f>
        <v>989</v>
      </c>
      <c r="AC238" s="48"/>
    </row>
    <row r="239" spans="1:29" ht="16.5" customHeight="1" x14ac:dyDescent="0.15">
      <c r="A239" s="41">
        <v>15</v>
      </c>
      <c r="B239" s="41">
        <v>9071</v>
      </c>
      <c r="C239" s="74" t="s">
        <v>19057</v>
      </c>
      <c r="D239" s="72"/>
      <c r="F239" s="57"/>
      <c r="G239" s="72"/>
      <c r="I239" s="57"/>
      <c r="J239" s="53"/>
      <c r="K239" s="49"/>
      <c r="L239" s="50"/>
      <c r="M239" s="163"/>
      <c r="N239" s="45"/>
      <c r="O239" s="46"/>
      <c r="P239" s="512"/>
      <c r="Q239" s="57"/>
      <c r="R239" s="512"/>
      <c r="S239" s="57"/>
      <c r="T239" s="53"/>
      <c r="U239" s="49"/>
      <c r="V239" s="50"/>
      <c r="W239" s="115"/>
      <c r="X239" s="53"/>
      <c r="Y239" s="49"/>
      <c r="Z239" s="50"/>
      <c r="AA239" s="115"/>
      <c r="AB239" s="208">
        <f>ROUND((ROUND((_15_同援日１．５*(1+_15・A深夜)),0)*(1+_15・区４)),0)+ROUND((ROUND((_15_同援日１．５＿０．５*(1+_15・B早朝)),0)*(1+_15・区４)),0)</f>
        <v>1023</v>
      </c>
      <c r="AC239" s="48"/>
    </row>
    <row r="240" spans="1:29" ht="16.5" customHeight="1" x14ac:dyDescent="0.15">
      <c r="A240" s="41">
        <v>15</v>
      </c>
      <c r="B240" s="41">
        <v>9072</v>
      </c>
      <c r="C240" s="74" t="s">
        <v>19058</v>
      </c>
      <c r="D240" s="72"/>
      <c r="F240" s="57"/>
      <c r="G240" s="72"/>
      <c r="I240" s="57"/>
      <c r="J240" s="43"/>
      <c r="K240" s="37"/>
      <c r="L240" s="38"/>
      <c r="M240" s="299" t="s">
        <v>17556</v>
      </c>
      <c r="N240" s="45" t="s">
        <v>398</v>
      </c>
      <c r="O240" s="46">
        <v>1</v>
      </c>
      <c r="P240" s="512"/>
      <c r="Q240" s="57"/>
      <c r="R240" s="512"/>
      <c r="S240" s="57"/>
      <c r="T240" s="35"/>
      <c r="W240" s="57"/>
      <c r="X240" s="35"/>
      <c r="AA240" s="57"/>
      <c r="AB240" s="208">
        <f>ROUND((ROUND((ROUND((_15_同援日１．５*_15・２人),0)*(1+_15・A深夜)),0)*(1+_15・区４)),0)+ROUND((ROUND((ROUND((_15_同援日１．５＿０．５*_15・２人),0)*(1+_15・B早朝)),0)*(1+_15・区４)),0)</f>
        <v>1023</v>
      </c>
      <c r="AC240" s="48"/>
    </row>
    <row r="241" spans="1:29" ht="16.5" customHeight="1" x14ac:dyDescent="0.15">
      <c r="A241" s="41">
        <v>15</v>
      </c>
      <c r="B241" s="41">
        <v>9073</v>
      </c>
      <c r="C241" s="74" t="s">
        <v>19059</v>
      </c>
      <c r="D241" s="72"/>
      <c r="F241" s="57"/>
      <c r="G241" s="72"/>
      <c r="I241" s="57"/>
      <c r="J241" s="114" t="s">
        <v>17558</v>
      </c>
      <c r="K241" s="49"/>
      <c r="L241" s="50"/>
      <c r="M241" s="163"/>
      <c r="N241" s="45"/>
      <c r="O241" s="46"/>
      <c r="P241" s="512"/>
      <c r="Q241" s="57"/>
      <c r="R241" s="512"/>
      <c r="S241" s="57"/>
      <c r="T241" s="35"/>
      <c r="W241" s="57"/>
      <c r="X241" s="72" t="s">
        <v>17580</v>
      </c>
      <c r="AA241" s="57"/>
      <c r="AB241" s="208">
        <f>ROUND((ROUND((ROUND((_15_同援日１．５*_15・基礎２),0)*(1+_15・A深夜)),0)*(1+_15・区４)),0)+ROUND((ROUND((ROUND((_15_同援日１．５＿０．５*_15・基礎２),0)*(1+_15・B早朝)),0)*(1+_15・区４)),0)</f>
        <v>923</v>
      </c>
      <c r="AC241" s="48"/>
    </row>
    <row r="242" spans="1:29" ht="16.5" customHeight="1" x14ac:dyDescent="0.15">
      <c r="A242" s="41">
        <v>15</v>
      </c>
      <c r="B242" s="41">
        <v>9074</v>
      </c>
      <c r="C242" s="74" t="s">
        <v>19060</v>
      </c>
      <c r="D242" s="72"/>
      <c r="F242" s="57"/>
      <c r="G242" s="72"/>
      <c r="I242" s="57"/>
      <c r="J242" s="269" t="s">
        <v>17560</v>
      </c>
      <c r="K242" s="37" t="s">
        <v>398</v>
      </c>
      <c r="L242" s="38">
        <v>0.9</v>
      </c>
      <c r="M242" s="299" t="s">
        <v>17556</v>
      </c>
      <c r="N242" s="45" t="s">
        <v>398</v>
      </c>
      <c r="O242" s="46">
        <v>1</v>
      </c>
      <c r="P242" s="512"/>
      <c r="Q242" s="57"/>
      <c r="R242" s="512"/>
      <c r="S242" s="57"/>
      <c r="T242" s="43"/>
      <c r="U242" s="37"/>
      <c r="V242" s="38"/>
      <c r="W242" s="79"/>
      <c r="X242" s="72" t="s">
        <v>17572</v>
      </c>
      <c r="AA242" s="57"/>
      <c r="AB242" s="208">
        <f>ROUND((ROUND((ROUND((ROUND((_15_同援日１．５*_15・基礎２),0)*_15・２人),0)*(1+_15・A深夜)),0)*(1+_15・区４)),0)+ROUND((ROUND((ROUND((ROUND((_15_同援日１．５＿０．５*_15・基礎２),0)*_15・２人),0)*(1+_15・B早朝)),0)*(1+_15・区４)),0)</f>
        <v>923</v>
      </c>
      <c r="AC242" s="48"/>
    </row>
    <row r="243" spans="1:29" ht="16.5" customHeight="1" x14ac:dyDescent="0.15">
      <c r="A243" s="41">
        <v>15</v>
      </c>
      <c r="B243" s="41">
        <v>9075</v>
      </c>
      <c r="C243" s="74" t="s">
        <v>19061</v>
      </c>
      <c r="D243" s="72"/>
      <c r="F243" s="57"/>
      <c r="G243" s="72"/>
      <c r="I243" s="57"/>
      <c r="J243" s="53"/>
      <c r="K243" s="49"/>
      <c r="L243" s="50"/>
      <c r="M243" s="163"/>
      <c r="N243" s="45"/>
      <c r="O243" s="46"/>
      <c r="P243" s="512"/>
      <c r="Q243" s="57"/>
      <c r="R243" s="512"/>
      <c r="S243" s="57"/>
      <c r="T243" s="114" t="s">
        <v>17562</v>
      </c>
      <c r="U243" s="49"/>
      <c r="V243" s="50"/>
      <c r="W243" s="115"/>
      <c r="X243" s="35"/>
      <c r="Y243" s="12" t="s">
        <v>398</v>
      </c>
      <c r="Z243" s="13">
        <v>0.4</v>
      </c>
      <c r="AA243" s="57" t="s">
        <v>3575</v>
      </c>
      <c r="AB243" s="208">
        <f>ROUND((ROUND((ROUND((_15_同援日１．５*(1+_15・A深夜)),0)*(1+_15・盲ろう)),0)*(1+_15・区４)),0)+ROUND((ROUND((ROUND((_15_同援日１．５＿０．５*(1+_15・B早朝)),0)*(1+_15・盲ろう)),0)*(1+_15・区４)),0)</f>
        <v>1279</v>
      </c>
      <c r="AC243" s="48"/>
    </row>
    <row r="244" spans="1:29" ht="16.5" customHeight="1" x14ac:dyDescent="0.15">
      <c r="A244" s="41">
        <v>15</v>
      </c>
      <c r="B244" s="41">
        <v>9076</v>
      </c>
      <c r="C244" s="74" t="s">
        <v>19062</v>
      </c>
      <c r="D244" s="72"/>
      <c r="F244" s="57"/>
      <c r="G244" s="72"/>
      <c r="I244" s="57"/>
      <c r="J244" s="43"/>
      <c r="K244" s="37"/>
      <c r="L244" s="38"/>
      <c r="M244" s="299" t="s">
        <v>17556</v>
      </c>
      <c r="N244" s="45" t="s">
        <v>398</v>
      </c>
      <c r="O244" s="46">
        <v>1</v>
      </c>
      <c r="P244" s="512"/>
      <c r="Q244" s="57"/>
      <c r="R244" s="512"/>
      <c r="S244" s="57"/>
      <c r="T244" s="92" t="s">
        <v>17564</v>
      </c>
      <c r="W244" s="57"/>
      <c r="X244" s="35"/>
      <c r="AA244" s="57"/>
      <c r="AB244" s="208">
        <f>ROUND((ROUND((ROUND((ROUND((_15_同援日１．５*_15・２人),0)*(1+_15・A深夜)),0)*(1+_15・盲ろう)),0)*(1+_15・区４)),0)+ROUND((ROUND((ROUND((ROUND((_15_同援日１．５＿０．５*_15・２人),0)*(1+_15・B早朝)),0)*(1+_15・盲ろう)),0)*(1+_15・区４)),0)</f>
        <v>1279</v>
      </c>
      <c r="AC244" s="48"/>
    </row>
    <row r="245" spans="1:29" ht="16.5" customHeight="1" x14ac:dyDescent="0.15">
      <c r="A245" s="41">
        <v>15</v>
      </c>
      <c r="B245" s="41">
        <v>9077</v>
      </c>
      <c r="C245" s="74" t="s">
        <v>19063</v>
      </c>
      <c r="D245" s="72"/>
      <c r="F245" s="57"/>
      <c r="G245" s="72"/>
      <c r="I245" s="57"/>
      <c r="J245" s="114" t="s">
        <v>17558</v>
      </c>
      <c r="K245" s="49"/>
      <c r="L245" s="50"/>
      <c r="M245" s="163"/>
      <c r="N245" s="45"/>
      <c r="O245" s="46"/>
      <c r="P245" s="512"/>
      <c r="Q245" s="57"/>
      <c r="R245" s="512"/>
      <c r="S245" s="57"/>
      <c r="T245" s="35"/>
      <c r="U245" s="12" t="s">
        <v>398</v>
      </c>
      <c r="V245" s="13">
        <v>0.25</v>
      </c>
      <c r="W245" s="57" t="s">
        <v>3575</v>
      </c>
      <c r="X245" s="35"/>
      <c r="AA245" s="57"/>
      <c r="AB245" s="208">
        <f>ROUND((ROUND((ROUND((ROUND((_15_同援日１．５*_15・基礎２),0)*(1+_15・A深夜)),0)*(1+_15・盲ろう)),0)*(1+_15・区４)),0)+ROUND((ROUND((ROUND((ROUND((_15_同援日１．５＿０．５*_15・基礎２),0)*(1+_15・B早朝)),0)*(1+_15・盲ろう)),0)*(1+_15・区４)),0)</f>
        <v>1153</v>
      </c>
      <c r="AC245" s="48"/>
    </row>
    <row r="246" spans="1:29" ht="16.5" customHeight="1" x14ac:dyDescent="0.15">
      <c r="A246" s="41">
        <v>15</v>
      </c>
      <c r="B246" s="41">
        <v>9078</v>
      </c>
      <c r="C246" s="74" t="s">
        <v>19064</v>
      </c>
      <c r="D246" s="72"/>
      <c r="F246" s="57"/>
      <c r="G246" s="122"/>
      <c r="H246" s="37"/>
      <c r="I246" s="79"/>
      <c r="J246" s="269" t="s">
        <v>17560</v>
      </c>
      <c r="K246" s="37" t="s">
        <v>398</v>
      </c>
      <c r="L246" s="38">
        <v>0.9</v>
      </c>
      <c r="M246" s="299" t="s">
        <v>17556</v>
      </c>
      <c r="N246" s="45" t="s">
        <v>398</v>
      </c>
      <c r="O246" s="46">
        <v>1</v>
      </c>
      <c r="P246" s="512"/>
      <c r="Q246" s="57"/>
      <c r="R246" s="512"/>
      <c r="S246" s="57"/>
      <c r="T246" s="43"/>
      <c r="U246" s="37"/>
      <c r="V246" s="38"/>
      <c r="W246" s="79"/>
      <c r="X246" s="43"/>
      <c r="Y246" s="37"/>
      <c r="Z246" s="38"/>
      <c r="AA246" s="79"/>
      <c r="AB246" s="208">
        <f>ROUND((ROUND((ROUND((ROUND((ROUND((_15_同援日１．５*_15・基礎２),0)*_15・２人),0)*(1+_15・A深夜)),0)*(1+_15・盲ろう)),0)*(1+_15・区４)),0)+ROUND((ROUND((ROUND((ROUND((ROUND((_15_同援日１．５＿０．５*_15・基礎２),0)*_15・２人),0)*(1+_15・B早朝)),0)*(1+_15・盲ろう)),0)*(1+_15・区４)),0)</f>
        <v>1153</v>
      </c>
      <c r="AC246" s="48"/>
    </row>
    <row r="247" spans="1:29" ht="16.5" customHeight="1" x14ac:dyDescent="0.15">
      <c r="A247" s="41">
        <v>15</v>
      </c>
      <c r="B247" s="41">
        <v>9079</v>
      </c>
      <c r="C247" s="74" t="s">
        <v>19065</v>
      </c>
      <c r="D247" s="72"/>
      <c r="F247" s="57"/>
      <c r="G247" s="114" t="s">
        <v>18846</v>
      </c>
      <c r="H247" s="49"/>
      <c r="I247" s="115"/>
      <c r="J247" s="53"/>
      <c r="K247" s="49"/>
      <c r="L247" s="50"/>
      <c r="M247" s="163"/>
      <c r="N247" s="45"/>
      <c r="O247" s="46"/>
      <c r="P247" s="512"/>
      <c r="Q247" s="57"/>
      <c r="R247" s="512"/>
      <c r="S247" s="57"/>
      <c r="T247" s="53"/>
      <c r="U247" s="49"/>
      <c r="V247" s="50"/>
      <c r="W247" s="115"/>
      <c r="X247" s="53"/>
      <c r="Y247" s="49"/>
      <c r="Z247" s="50"/>
      <c r="AA247" s="115"/>
      <c r="AB247" s="208">
        <f>ROUND((_15_同援日１．５*(1+_15・A深夜)),0)+ROUND((_15_同援日１．５＿１．０*(1+_15・B早朝)),0)</f>
        <v>813</v>
      </c>
      <c r="AC247" s="48"/>
    </row>
    <row r="248" spans="1:29" ht="16.5" customHeight="1" x14ac:dyDescent="0.15">
      <c r="A248" s="41">
        <v>15</v>
      </c>
      <c r="B248" s="41">
        <v>9080</v>
      </c>
      <c r="C248" s="74" t="s">
        <v>19066</v>
      </c>
      <c r="D248" s="72"/>
      <c r="F248" s="57"/>
      <c r="G248" s="72" t="s">
        <v>17589</v>
      </c>
      <c r="I248" s="57"/>
      <c r="J248" s="43"/>
      <c r="K248" s="37"/>
      <c r="L248" s="38"/>
      <c r="M248" s="299" t="s">
        <v>17556</v>
      </c>
      <c r="N248" s="45" t="s">
        <v>398</v>
      </c>
      <c r="O248" s="46">
        <v>1</v>
      </c>
      <c r="P248" s="512"/>
      <c r="Q248" s="57"/>
      <c r="R248" s="512"/>
      <c r="S248" s="57"/>
      <c r="T248" s="35"/>
      <c r="W248" s="57"/>
      <c r="X248" s="35"/>
      <c r="AA248" s="57"/>
      <c r="AB248" s="208">
        <f>ROUND((ROUND((_15_同援日１．５*_15・２人),0)*(1+_15・A深夜)),0)+ROUND((ROUND((_15_同援日１．５＿１．０*_15・２人),0)*(1+_15・B早朝)),0)</f>
        <v>813</v>
      </c>
      <c r="AC248" s="48"/>
    </row>
    <row r="249" spans="1:29" ht="16.5" customHeight="1" x14ac:dyDescent="0.15">
      <c r="A249" s="41">
        <v>15</v>
      </c>
      <c r="B249" s="41">
        <v>9081</v>
      </c>
      <c r="C249" s="74" t="s">
        <v>19067</v>
      </c>
      <c r="D249" s="72"/>
      <c r="F249" s="57"/>
      <c r="G249" s="72" t="s">
        <v>17591</v>
      </c>
      <c r="I249" s="57"/>
      <c r="J249" s="114" t="s">
        <v>17558</v>
      </c>
      <c r="K249" s="49"/>
      <c r="L249" s="50"/>
      <c r="M249" s="163"/>
      <c r="N249" s="45"/>
      <c r="O249" s="46"/>
      <c r="P249" s="512"/>
      <c r="Q249" s="57"/>
      <c r="R249" s="512"/>
      <c r="S249" s="57"/>
      <c r="T249" s="35"/>
      <c r="W249" s="57"/>
      <c r="X249" s="35"/>
      <c r="AA249" s="57"/>
      <c r="AB249" s="208">
        <f>ROUND((ROUND((_15_同援日１．５*_15・基礎２),0)*(1+_15・A深夜)),0)+ROUND((ROUND((_15_同援日１．５＿１．０*_15・基礎２),0)*(1+_15・B早朝)),0)</f>
        <v>731</v>
      </c>
      <c r="AC249" s="48"/>
    </row>
    <row r="250" spans="1:29" ht="16.5" customHeight="1" x14ac:dyDescent="0.15">
      <c r="A250" s="41">
        <v>15</v>
      </c>
      <c r="B250" s="41">
        <v>9082</v>
      </c>
      <c r="C250" s="74" t="s">
        <v>19068</v>
      </c>
      <c r="D250" s="72"/>
      <c r="F250" s="57"/>
      <c r="G250" s="72"/>
      <c r="H250" s="168">
        <f>_15_同援日１．５＿１．０</f>
        <v>130</v>
      </c>
      <c r="I250" s="57" t="s">
        <v>392</v>
      </c>
      <c r="J250" s="269" t="s">
        <v>17560</v>
      </c>
      <c r="K250" s="37" t="s">
        <v>398</v>
      </c>
      <c r="L250" s="38">
        <v>0.9</v>
      </c>
      <c r="M250" s="299" t="s">
        <v>17556</v>
      </c>
      <c r="N250" s="45" t="s">
        <v>398</v>
      </c>
      <c r="O250" s="46">
        <v>1</v>
      </c>
      <c r="P250" s="512"/>
      <c r="Q250" s="57"/>
      <c r="R250" s="512"/>
      <c r="S250" s="57"/>
      <c r="T250" s="43"/>
      <c r="U250" s="37"/>
      <c r="V250" s="38"/>
      <c r="W250" s="79"/>
      <c r="X250" s="35"/>
      <c r="AA250" s="57"/>
      <c r="AB250" s="208">
        <f>ROUND((ROUND((ROUND((_15_同援日１．５*_15・基礎２),0)*_15・２人),0)*(1+_15・A深夜)),0)+ROUND((ROUND((ROUND((_15_同援日１．５＿１．０*_15・基礎２),0)*_15・２人),0)*(1+_15・B早朝)),0)</f>
        <v>731</v>
      </c>
      <c r="AC250" s="48"/>
    </row>
    <row r="251" spans="1:29" ht="16.5" customHeight="1" x14ac:dyDescent="0.15">
      <c r="A251" s="41">
        <v>15</v>
      </c>
      <c r="B251" s="41">
        <v>9083</v>
      </c>
      <c r="C251" s="74" t="s">
        <v>19069</v>
      </c>
      <c r="D251" s="72"/>
      <c r="F251" s="57"/>
      <c r="G251" s="72"/>
      <c r="I251" s="57"/>
      <c r="J251" s="53"/>
      <c r="K251" s="49"/>
      <c r="L251" s="50"/>
      <c r="M251" s="163"/>
      <c r="N251" s="45"/>
      <c r="O251" s="46"/>
      <c r="P251" s="512"/>
      <c r="Q251" s="57"/>
      <c r="R251" s="512"/>
      <c r="S251" s="57"/>
      <c r="T251" s="114" t="s">
        <v>17562</v>
      </c>
      <c r="U251" s="49"/>
      <c r="V251" s="50"/>
      <c r="W251" s="115"/>
      <c r="X251" s="35"/>
      <c r="AA251" s="57"/>
      <c r="AB251" s="208">
        <f>ROUND((ROUND((_15_同援日１．５*(1+_15・A深夜)),0)*(1+_15・盲ろう)),0)+ROUND((ROUND((_15_同援日１．５＿１．０*(1+_15・B早朝)),0)*(1+_15・盲ろう)),0)</f>
        <v>1017</v>
      </c>
      <c r="AC251" s="48"/>
    </row>
    <row r="252" spans="1:29" ht="16.5" customHeight="1" x14ac:dyDescent="0.15">
      <c r="A252" s="41">
        <v>15</v>
      </c>
      <c r="B252" s="41">
        <v>9084</v>
      </c>
      <c r="C252" s="74" t="s">
        <v>19070</v>
      </c>
      <c r="D252" s="72"/>
      <c r="F252" s="57"/>
      <c r="G252" s="72"/>
      <c r="I252" s="57"/>
      <c r="J252" s="43"/>
      <c r="K252" s="37"/>
      <c r="L252" s="38"/>
      <c r="M252" s="299" t="s">
        <v>17556</v>
      </c>
      <c r="N252" s="45" t="s">
        <v>398</v>
      </c>
      <c r="O252" s="46">
        <v>1</v>
      </c>
      <c r="P252" s="512"/>
      <c r="Q252" s="57"/>
      <c r="R252" s="512"/>
      <c r="S252" s="57"/>
      <c r="T252" s="92" t="s">
        <v>17564</v>
      </c>
      <c r="W252" s="57"/>
      <c r="X252" s="35"/>
      <c r="AA252" s="57"/>
      <c r="AB252" s="208">
        <f>ROUND((ROUND((ROUND((_15_同援日１．５*_15・２人),0)*(1+_15・A深夜)),0)*(1+_15・盲ろう)),0)+ROUND((ROUND((ROUND((_15_同援日１．５＿１．０*_15・２人),0)*(1+_15・B早朝)),0)*(1+_15・盲ろう)),0)</f>
        <v>1017</v>
      </c>
      <c r="AC252" s="48"/>
    </row>
    <row r="253" spans="1:29" ht="16.5" customHeight="1" x14ac:dyDescent="0.15">
      <c r="A253" s="41">
        <v>15</v>
      </c>
      <c r="B253" s="41">
        <v>9085</v>
      </c>
      <c r="C253" s="74" t="s">
        <v>19071</v>
      </c>
      <c r="D253" s="72"/>
      <c r="F253" s="57"/>
      <c r="G253" s="72"/>
      <c r="I253" s="57"/>
      <c r="J253" s="114" t="s">
        <v>17558</v>
      </c>
      <c r="K253" s="49"/>
      <c r="L253" s="50"/>
      <c r="M253" s="163"/>
      <c r="N253" s="45"/>
      <c r="O253" s="46"/>
      <c r="P253" s="512"/>
      <c r="Q253" s="57"/>
      <c r="R253" s="512"/>
      <c r="S253" s="57"/>
      <c r="T253" s="35"/>
      <c r="U253" s="12" t="s">
        <v>398</v>
      </c>
      <c r="V253" s="13">
        <v>0.25</v>
      </c>
      <c r="W253" s="57" t="s">
        <v>3575</v>
      </c>
      <c r="X253" s="35"/>
      <c r="AA253" s="57"/>
      <c r="AB253" s="208">
        <f>ROUND((ROUND((ROUND((_15_同援日１．５*_15・基礎２),0)*(1+_15・A深夜)),0)*(1+_15・盲ろう)),0)+ROUND((ROUND((ROUND((_15_同援日１．５＿１．０*_15・基礎２),0)*(1+_15・B早朝)),0)*(1+_15・盲ろう)),0)</f>
        <v>914</v>
      </c>
      <c r="AC253" s="48"/>
    </row>
    <row r="254" spans="1:29" ht="16.5" customHeight="1" x14ac:dyDescent="0.15">
      <c r="A254" s="41">
        <v>15</v>
      </c>
      <c r="B254" s="41">
        <v>9086</v>
      </c>
      <c r="C254" s="74" t="s">
        <v>19072</v>
      </c>
      <c r="D254" s="72"/>
      <c r="F254" s="57"/>
      <c r="G254" s="72"/>
      <c r="I254" s="57"/>
      <c r="J254" s="269" t="s">
        <v>17560</v>
      </c>
      <c r="K254" s="37" t="s">
        <v>398</v>
      </c>
      <c r="L254" s="38">
        <v>0.9</v>
      </c>
      <c r="M254" s="299" t="s">
        <v>17556</v>
      </c>
      <c r="N254" s="45" t="s">
        <v>398</v>
      </c>
      <c r="O254" s="46">
        <v>1</v>
      </c>
      <c r="P254" s="512"/>
      <c r="Q254" s="57"/>
      <c r="R254" s="512"/>
      <c r="S254" s="57"/>
      <c r="T254" s="43"/>
      <c r="U254" s="37"/>
      <c r="V254" s="38"/>
      <c r="W254" s="79"/>
      <c r="X254" s="43"/>
      <c r="Y254" s="37"/>
      <c r="Z254" s="38"/>
      <c r="AA254" s="79"/>
      <c r="AB254" s="208">
        <f>ROUND((ROUND((ROUND((ROUND((_15_同援日１．５*_15・基礎２),0)*_15・２人),0)*(1+_15・A深夜)),0)*(1+_15・盲ろう)),0)+ROUND((ROUND((ROUND((ROUND((_15_同援日１．５＿１．０*_15・基礎２),0)*_15・２人),0)*(1+_15・B早朝)),0)*(1+_15・盲ろう)),0)</f>
        <v>914</v>
      </c>
      <c r="AC254" s="48"/>
    </row>
    <row r="255" spans="1:29" ht="16.5" customHeight="1" x14ac:dyDescent="0.15">
      <c r="A255" s="41">
        <v>15</v>
      </c>
      <c r="B255" s="41">
        <v>9087</v>
      </c>
      <c r="C255" s="74" t="s">
        <v>19073</v>
      </c>
      <c r="D255" s="72"/>
      <c r="F255" s="57"/>
      <c r="G255" s="72"/>
      <c r="I255" s="57"/>
      <c r="J255" s="53"/>
      <c r="K255" s="49"/>
      <c r="L255" s="50"/>
      <c r="M255" s="163"/>
      <c r="N255" s="45"/>
      <c r="O255" s="46"/>
      <c r="P255" s="512"/>
      <c r="Q255" s="57"/>
      <c r="R255" s="512"/>
      <c r="S255" s="57"/>
      <c r="T255" s="53"/>
      <c r="U255" s="49"/>
      <c r="V255" s="50"/>
      <c r="W255" s="115"/>
      <c r="X255" s="53"/>
      <c r="Y255" s="49"/>
      <c r="Z255" s="50"/>
      <c r="AA255" s="115"/>
      <c r="AB255" s="208">
        <f>ROUND((ROUND((_15_同援日１．５*(1+_15・A深夜)),0)*(1+_15・区３)),0)+ROUND((ROUND((_15_同援日１．５＿１．０*(1+_15・B早朝)),0)*(1+_15・区３)),0)</f>
        <v>976</v>
      </c>
      <c r="AC255" s="48"/>
    </row>
    <row r="256" spans="1:29" ht="16.5" customHeight="1" x14ac:dyDescent="0.15">
      <c r="A256" s="41">
        <v>15</v>
      </c>
      <c r="B256" s="41">
        <v>9088</v>
      </c>
      <c r="C256" s="74" t="s">
        <v>19074</v>
      </c>
      <c r="D256" s="72"/>
      <c r="F256" s="57"/>
      <c r="G256" s="72"/>
      <c r="I256" s="57"/>
      <c r="J256" s="43"/>
      <c r="K256" s="37"/>
      <c r="L256" s="38"/>
      <c r="M256" s="299" t="s">
        <v>17556</v>
      </c>
      <c r="N256" s="45" t="s">
        <v>398</v>
      </c>
      <c r="O256" s="46">
        <v>1</v>
      </c>
      <c r="P256" s="512"/>
      <c r="Q256" s="57"/>
      <c r="R256" s="512"/>
      <c r="S256" s="57"/>
      <c r="T256" s="35"/>
      <c r="W256" s="57"/>
      <c r="X256" s="35"/>
      <c r="AA256" s="57"/>
      <c r="AB256" s="208">
        <f>ROUND((ROUND((ROUND((_15_同援日１．５*_15・２人),0)*(1+_15・A深夜)),0)*(1+_15・区３)),0)+ROUND((ROUND((ROUND((_15_同援日１．５＿１．０*_15・２人),0)*(1+_15・B早朝)),0)*(1+_15・区３)),0)</f>
        <v>976</v>
      </c>
      <c r="AC256" s="48"/>
    </row>
    <row r="257" spans="1:29" ht="16.5" customHeight="1" x14ac:dyDescent="0.15">
      <c r="A257" s="41">
        <v>15</v>
      </c>
      <c r="B257" s="41">
        <v>9089</v>
      </c>
      <c r="C257" s="74" t="s">
        <v>19075</v>
      </c>
      <c r="D257" s="72"/>
      <c r="F257" s="57"/>
      <c r="G257" s="72"/>
      <c r="I257" s="57"/>
      <c r="J257" s="114" t="s">
        <v>17558</v>
      </c>
      <c r="K257" s="49"/>
      <c r="L257" s="50"/>
      <c r="M257" s="163"/>
      <c r="N257" s="45"/>
      <c r="O257" s="46"/>
      <c r="P257" s="512"/>
      <c r="Q257" s="57"/>
      <c r="R257" s="512"/>
      <c r="S257" s="57"/>
      <c r="T257" s="35"/>
      <c r="W257" s="57"/>
      <c r="X257" s="72" t="s">
        <v>17570</v>
      </c>
      <c r="AA257" s="57"/>
      <c r="AB257" s="208">
        <f>ROUND((ROUND((ROUND((_15_同援日１．５*_15・基礎２),0)*(1+_15・A深夜)),0)*(1+_15・区３)),0)+ROUND((ROUND((ROUND((_15_同援日１．５＿１．０*_15・基礎２),0)*(1+_15・B早朝)),0)*(1+_15・区３)),0)</f>
        <v>877</v>
      </c>
      <c r="AC257" s="48"/>
    </row>
    <row r="258" spans="1:29" ht="16.5" customHeight="1" x14ac:dyDescent="0.15">
      <c r="A258" s="41">
        <v>15</v>
      </c>
      <c r="B258" s="41">
        <v>9090</v>
      </c>
      <c r="C258" s="74" t="s">
        <v>19076</v>
      </c>
      <c r="D258" s="72"/>
      <c r="F258" s="57"/>
      <c r="G258" s="72"/>
      <c r="I258" s="57"/>
      <c r="J258" s="269" t="s">
        <v>17560</v>
      </c>
      <c r="K258" s="37" t="s">
        <v>398</v>
      </c>
      <c r="L258" s="38">
        <v>0.9</v>
      </c>
      <c r="M258" s="299" t="s">
        <v>17556</v>
      </c>
      <c r="N258" s="45" t="s">
        <v>398</v>
      </c>
      <c r="O258" s="46">
        <v>1</v>
      </c>
      <c r="P258" s="512"/>
      <c r="Q258" s="57"/>
      <c r="R258" s="512"/>
      <c r="S258" s="57"/>
      <c r="T258" s="43"/>
      <c r="U258" s="37"/>
      <c r="V258" s="38"/>
      <c r="W258" s="79"/>
      <c r="X258" s="72" t="s">
        <v>17572</v>
      </c>
      <c r="AA258" s="57"/>
      <c r="AB258" s="208">
        <f>ROUND((ROUND((ROUND((ROUND((_15_同援日１．５*_15・基礎２),0)*_15・２人),0)*(1+_15・A深夜)),0)*(1+_15・区３)),0)+ROUND((ROUND((ROUND((ROUND((_15_同援日１．５＿１．０*_15・基礎２),0)*_15・２人),0)*(1+_15・B早朝)),0)*(1+_15・区３)),0)</f>
        <v>877</v>
      </c>
      <c r="AC258" s="48"/>
    </row>
    <row r="259" spans="1:29" ht="16.5" customHeight="1" x14ac:dyDescent="0.15">
      <c r="A259" s="41">
        <v>15</v>
      </c>
      <c r="B259" s="41">
        <v>9091</v>
      </c>
      <c r="C259" s="74" t="s">
        <v>19077</v>
      </c>
      <c r="D259" s="72"/>
      <c r="F259" s="57"/>
      <c r="G259" s="72"/>
      <c r="I259" s="57"/>
      <c r="J259" s="53"/>
      <c r="K259" s="49"/>
      <c r="L259" s="50"/>
      <c r="M259" s="163"/>
      <c r="N259" s="45"/>
      <c r="O259" s="46"/>
      <c r="P259" s="512"/>
      <c r="Q259" s="57"/>
      <c r="R259" s="512"/>
      <c r="S259" s="57"/>
      <c r="T259" s="114" t="s">
        <v>17562</v>
      </c>
      <c r="U259" s="49"/>
      <c r="V259" s="50"/>
      <c r="W259" s="115"/>
      <c r="X259" s="35"/>
      <c r="Y259" s="12" t="s">
        <v>398</v>
      </c>
      <c r="Z259" s="13">
        <v>0.2</v>
      </c>
      <c r="AA259" s="57" t="s">
        <v>3575</v>
      </c>
      <c r="AB259" s="208">
        <f>ROUND((ROUND((ROUND((_15_同援日１．５*(1+_15・A深夜)),0)*(1+_15・盲ろう)),0)*(1+_15・区３)),0)+ROUND((ROUND((ROUND((_15_同援日１．５＿１．０*(1+_15・B早朝)),0)*(1+_15・盲ろう)),0)*(1+_15・区３)),0)</f>
        <v>1221</v>
      </c>
      <c r="AC259" s="48"/>
    </row>
    <row r="260" spans="1:29" ht="16.5" customHeight="1" x14ac:dyDescent="0.15">
      <c r="A260" s="41">
        <v>15</v>
      </c>
      <c r="B260" s="41">
        <v>9092</v>
      </c>
      <c r="C260" s="74" t="s">
        <v>19078</v>
      </c>
      <c r="D260" s="72"/>
      <c r="F260" s="57"/>
      <c r="G260" s="72"/>
      <c r="I260" s="57"/>
      <c r="J260" s="43"/>
      <c r="K260" s="37"/>
      <c r="L260" s="38"/>
      <c r="M260" s="299" t="s">
        <v>17556</v>
      </c>
      <c r="N260" s="45" t="s">
        <v>398</v>
      </c>
      <c r="O260" s="46">
        <v>1</v>
      </c>
      <c r="P260" s="512"/>
      <c r="Q260" s="57"/>
      <c r="R260" s="512"/>
      <c r="S260" s="57"/>
      <c r="T260" s="92" t="s">
        <v>17564</v>
      </c>
      <c r="W260" s="57"/>
      <c r="X260" s="35"/>
      <c r="AA260" s="57"/>
      <c r="AB260" s="208">
        <f>ROUND((ROUND((ROUND((ROUND((_15_同援日１．５*_15・２人),0)*(1+_15・A深夜)),0)*(1+_15・盲ろう)),0)*(1+_15・区３)),0)+ROUND((ROUND((ROUND((ROUND((_15_同援日１．５＿１．０*_15・２人),0)*(1+_15・B早朝)),0)*(1+_15・盲ろう)),0)*(1+_15・区３)),0)</f>
        <v>1221</v>
      </c>
      <c r="AC260" s="48"/>
    </row>
    <row r="261" spans="1:29" ht="16.5" customHeight="1" x14ac:dyDescent="0.15">
      <c r="A261" s="41">
        <v>15</v>
      </c>
      <c r="B261" s="41">
        <v>9093</v>
      </c>
      <c r="C261" s="74" t="s">
        <v>19079</v>
      </c>
      <c r="D261" s="72"/>
      <c r="F261" s="57"/>
      <c r="G261" s="72"/>
      <c r="I261" s="57"/>
      <c r="J261" s="114" t="s">
        <v>17558</v>
      </c>
      <c r="K261" s="49"/>
      <c r="L261" s="50"/>
      <c r="M261" s="163"/>
      <c r="N261" s="45"/>
      <c r="O261" s="46"/>
      <c r="P261" s="512"/>
      <c r="Q261" s="57"/>
      <c r="R261" s="512"/>
      <c r="S261" s="57"/>
      <c r="T261" s="35"/>
      <c r="U261" s="12" t="s">
        <v>398</v>
      </c>
      <c r="V261" s="13">
        <v>0.25</v>
      </c>
      <c r="W261" s="57" t="s">
        <v>3575</v>
      </c>
      <c r="X261" s="35"/>
      <c r="AA261" s="57"/>
      <c r="AB261" s="208">
        <f>ROUND((ROUND((ROUND((ROUND((_15_同援日１．５*_15・基礎２),0)*(1+_15・A深夜)),0)*(1+_15・盲ろう)),0)*(1+_15・区３)),0)+ROUND((ROUND((ROUND((ROUND((_15_同援日１．５＿１．０*_15・基礎２),0)*(1+_15・B早朝)),0)*(1+_15・盲ろう)),0)*(1+_15・区３)),0)</f>
        <v>1097</v>
      </c>
      <c r="AC261" s="48"/>
    </row>
    <row r="262" spans="1:29" ht="16.5" customHeight="1" x14ac:dyDescent="0.15">
      <c r="A262" s="41">
        <v>15</v>
      </c>
      <c r="B262" s="41">
        <v>9094</v>
      </c>
      <c r="C262" s="74" t="s">
        <v>19080</v>
      </c>
      <c r="D262" s="72"/>
      <c r="F262" s="57"/>
      <c r="G262" s="72"/>
      <c r="I262" s="57"/>
      <c r="J262" s="269" t="s">
        <v>17560</v>
      </c>
      <c r="K262" s="37" t="s">
        <v>398</v>
      </c>
      <c r="L262" s="38">
        <v>0.9</v>
      </c>
      <c r="M262" s="299" t="s">
        <v>17556</v>
      </c>
      <c r="N262" s="45" t="s">
        <v>398</v>
      </c>
      <c r="O262" s="46">
        <v>1</v>
      </c>
      <c r="P262" s="512"/>
      <c r="Q262" s="57"/>
      <c r="R262" s="512"/>
      <c r="S262" s="57"/>
      <c r="T262" s="43"/>
      <c r="U262" s="37"/>
      <c r="V262" s="38"/>
      <c r="W262" s="79"/>
      <c r="X262" s="43"/>
      <c r="Y262" s="37"/>
      <c r="Z262" s="38"/>
      <c r="AA262" s="79"/>
      <c r="AB262" s="208">
        <f>ROUND((ROUND((ROUND((ROUND((ROUND((_15_同援日１．５*_15・基礎２),0)*_15・２人),0)*(1+_15・A深夜)),0)*(1+_15・盲ろう)),0)*(1+_15・区３)),0)+ROUND((ROUND((ROUND((ROUND((ROUND((_15_同援日１．５＿１．０*_15・基礎２),0)*_15・２人),0)*(1+_15・B早朝)),0)*(1+_15・盲ろう)),0)*(1+_15・区３)),0)</f>
        <v>1097</v>
      </c>
      <c r="AC262" s="48"/>
    </row>
    <row r="263" spans="1:29" ht="16.5" customHeight="1" x14ac:dyDescent="0.15">
      <c r="A263" s="41">
        <v>15</v>
      </c>
      <c r="B263" s="41">
        <v>9095</v>
      </c>
      <c r="C263" s="74" t="s">
        <v>19081</v>
      </c>
      <c r="D263" s="72"/>
      <c r="F263" s="57"/>
      <c r="G263" s="72"/>
      <c r="I263" s="57"/>
      <c r="J263" s="53"/>
      <c r="K263" s="49"/>
      <c r="L263" s="50"/>
      <c r="M263" s="163"/>
      <c r="N263" s="45"/>
      <c r="O263" s="46"/>
      <c r="P263" s="512"/>
      <c r="Q263" s="57"/>
      <c r="R263" s="512"/>
      <c r="S263" s="57"/>
      <c r="T263" s="53"/>
      <c r="U263" s="49"/>
      <c r="V263" s="50"/>
      <c r="W263" s="115"/>
      <c r="X263" s="53"/>
      <c r="Y263" s="49"/>
      <c r="Z263" s="50"/>
      <c r="AA263" s="115"/>
      <c r="AB263" s="208">
        <f>ROUND((ROUND((_15_同援日１．５*(1+_15・A深夜)),0)*(1+_15・区４)),0)+ROUND((ROUND((_15_同援日１．５＿１．０*(1+_15・B早朝)),0)*(1+_15・区４)),0)</f>
        <v>1138</v>
      </c>
      <c r="AC263" s="48"/>
    </row>
    <row r="264" spans="1:29" ht="16.5" customHeight="1" x14ac:dyDescent="0.15">
      <c r="A264" s="41">
        <v>15</v>
      </c>
      <c r="B264" s="41">
        <v>9096</v>
      </c>
      <c r="C264" s="74" t="s">
        <v>19082</v>
      </c>
      <c r="D264" s="72"/>
      <c r="F264" s="57"/>
      <c r="G264" s="72"/>
      <c r="I264" s="57"/>
      <c r="J264" s="43"/>
      <c r="K264" s="37"/>
      <c r="L264" s="38"/>
      <c r="M264" s="299" t="s">
        <v>17556</v>
      </c>
      <c r="N264" s="45" t="s">
        <v>398</v>
      </c>
      <c r="O264" s="46">
        <v>1</v>
      </c>
      <c r="P264" s="512"/>
      <c r="Q264" s="57"/>
      <c r="R264" s="512"/>
      <c r="S264" s="57"/>
      <c r="T264" s="35"/>
      <c r="W264" s="57"/>
      <c r="X264" s="35"/>
      <c r="AA264" s="57"/>
      <c r="AB264" s="208">
        <f>ROUND((ROUND((ROUND((_15_同援日１．５*_15・２人),0)*(1+_15・A深夜)),0)*(1+_15・区４)),0)+ROUND((ROUND((ROUND((_15_同援日１．５＿１．０*_15・２人),0)*(1+_15・B早朝)),0)*(1+_15・区４)),0)</f>
        <v>1138</v>
      </c>
      <c r="AC264" s="48"/>
    </row>
    <row r="265" spans="1:29" ht="16.5" customHeight="1" x14ac:dyDescent="0.15">
      <c r="A265" s="41">
        <v>15</v>
      </c>
      <c r="B265" s="41">
        <v>9097</v>
      </c>
      <c r="C265" s="74" t="s">
        <v>19083</v>
      </c>
      <c r="D265" s="72"/>
      <c r="F265" s="57"/>
      <c r="G265" s="72"/>
      <c r="I265" s="57"/>
      <c r="J265" s="114" t="s">
        <v>17558</v>
      </c>
      <c r="K265" s="49"/>
      <c r="L265" s="50"/>
      <c r="M265" s="163"/>
      <c r="N265" s="45"/>
      <c r="O265" s="46"/>
      <c r="P265" s="512"/>
      <c r="Q265" s="57"/>
      <c r="R265" s="512"/>
      <c r="S265" s="57"/>
      <c r="T265" s="35"/>
      <c r="W265" s="57"/>
      <c r="X265" s="72" t="s">
        <v>17580</v>
      </c>
      <c r="AA265" s="57"/>
      <c r="AB265" s="208">
        <f>ROUND((ROUND((ROUND((_15_同援日１．５*_15・基礎２),0)*(1+_15・A深夜)),0)*(1+_15・区４)),0)+ROUND((ROUND((ROUND((_15_同援日１．５＿１．０*_15・基礎２),0)*(1+_15・B早朝)),0)*(1+_15・区４)),0)</f>
        <v>1023</v>
      </c>
      <c r="AC265" s="48"/>
    </row>
    <row r="266" spans="1:29" ht="16.5" customHeight="1" x14ac:dyDescent="0.15">
      <c r="A266" s="41">
        <v>15</v>
      </c>
      <c r="B266" s="41">
        <v>9098</v>
      </c>
      <c r="C266" s="74" t="s">
        <v>19084</v>
      </c>
      <c r="D266" s="72"/>
      <c r="F266" s="57"/>
      <c r="G266" s="72"/>
      <c r="I266" s="57"/>
      <c r="J266" s="269" t="s">
        <v>17560</v>
      </c>
      <c r="K266" s="37" t="s">
        <v>398</v>
      </c>
      <c r="L266" s="38">
        <v>0.9</v>
      </c>
      <c r="M266" s="299" t="s">
        <v>17556</v>
      </c>
      <c r="N266" s="45" t="s">
        <v>398</v>
      </c>
      <c r="O266" s="46">
        <v>1</v>
      </c>
      <c r="P266" s="512"/>
      <c r="Q266" s="57"/>
      <c r="R266" s="512"/>
      <c r="S266" s="57"/>
      <c r="T266" s="43"/>
      <c r="U266" s="37"/>
      <c r="V266" s="38"/>
      <c r="W266" s="79"/>
      <c r="X266" s="72" t="s">
        <v>17572</v>
      </c>
      <c r="AA266" s="57"/>
      <c r="AB266" s="208">
        <f>ROUND((ROUND((ROUND((ROUND((_15_同援日１．５*_15・基礎２),0)*_15・２人),0)*(1+_15・A深夜)),0)*(1+_15・区４)),0)+ROUND((ROUND((ROUND((ROUND((_15_同援日１．５＿１．０*_15・基礎２),0)*_15・２人),0)*(1+_15・B早朝)),0)*(1+_15・区４)),0)</f>
        <v>1023</v>
      </c>
      <c r="AC266" s="48"/>
    </row>
    <row r="267" spans="1:29" ht="16.5" customHeight="1" x14ac:dyDescent="0.15">
      <c r="A267" s="41">
        <v>15</v>
      </c>
      <c r="B267" s="41">
        <v>9099</v>
      </c>
      <c r="C267" s="74" t="s">
        <v>19085</v>
      </c>
      <c r="D267" s="72"/>
      <c r="F267" s="57"/>
      <c r="G267" s="72"/>
      <c r="I267" s="57"/>
      <c r="J267" s="53"/>
      <c r="K267" s="49"/>
      <c r="L267" s="50"/>
      <c r="M267" s="163"/>
      <c r="N267" s="45"/>
      <c r="O267" s="46"/>
      <c r="P267" s="512"/>
      <c r="Q267" s="57"/>
      <c r="R267" s="512"/>
      <c r="S267" s="57"/>
      <c r="T267" s="114" t="s">
        <v>17562</v>
      </c>
      <c r="U267" s="49"/>
      <c r="V267" s="50"/>
      <c r="W267" s="115"/>
      <c r="X267" s="35"/>
      <c r="Y267" s="12" t="s">
        <v>398</v>
      </c>
      <c r="Z267" s="13">
        <v>0.4</v>
      </c>
      <c r="AA267" s="57" t="s">
        <v>3575</v>
      </c>
      <c r="AB267" s="208">
        <f>ROUND((ROUND((ROUND((_15_同援日１．５*(1+_15・A深夜)),0)*(1+_15・盲ろう)),0)*(1+_15・区４)),0)+ROUND((ROUND((ROUND((_15_同援日１．５＿１．０*(1+_15・B早朝)),0)*(1+_15・盲ろう)),0)*(1+_15・区４)),0)</f>
        <v>1424</v>
      </c>
      <c r="AC267" s="48"/>
    </row>
    <row r="268" spans="1:29" ht="16.5" customHeight="1" x14ac:dyDescent="0.15">
      <c r="A268" s="41">
        <v>15</v>
      </c>
      <c r="B268" s="41">
        <v>9100</v>
      </c>
      <c r="C268" s="74" t="s">
        <v>19086</v>
      </c>
      <c r="D268" s="72"/>
      <c r="F268" s="57"/>
      <c r="G268" s="72"/>
      <c r="I268" s="57"/>
      <c r="J268" s="43"/>
      <c r="K268" s="37"/>
      <c r="L268" s="38"/>
      <c r="M268" s="299" t="s">
        <v>17556</v>
      </c>
      <c r="N268" s="45" t="s">
        <v>398</v>
      </c>
      <c r="O268" s="46">
        <v>1</v>
      </c>
      <c r="P268" s="512"/>
      <c r="Q268" s="57"/>
      <c r="R268" s="512"/>
      <c r="S268" s="57"/>
      <c r="T268" s="92" t="s">
        <v>17564</v>
      </c>
      <c r="W268" s="57"/>
      <c r="X268" s="35"/>
      <c r="AA268" s="57"/>
      <c r="AB268" s="208">
        <f>ROUND((ROUND((ROUND((ROUND((_15_同援日１．５*_15・２人),0)*(1+_15・A深夜)),0)*(1+_15・盲ろう)),0)*(1+_15・区４)),0)+ROUND((ROUND((ROUND((ROUND((_15_同援日１．５＿１．０*_15・２人),0)*(1+_15・B早朝)),0)*(1+_15・盲ろう)),0)*(1+_15・区４)),0)</f>
        <v>1424</v>
      </c>
      <c r="AC268" s="48"/>
    </row>
    <row r="269" spans="1:29" ht="16.5" customHeight="1" x14ac:dyDescent="0.15">
      <c r="A269" s="41">
        <v>15</v>
      </c>
      <c r="B269" s="41">
        <v>9101</v>
      </c>
      <c r="C269" s="74" t="s">
        <v>19087</v>
      </c>
      <c r="D269" s="72"/>
      <c r="F269" s="57"/>
      <c r="G269" s="72"/>
      <c r="I269" s="57"/>
      <c r="J269" s="114" t="s">
        <v>17558</v>
      </c>
      <c r="K269" s="49"/>
      <c r="L269" s="50"/>
      <c r="M269" s="163"/>
      <c r="N269" s="45"/>
      <c r="O269" s="46"/>
      <c r="P269" s="512"/>
      <c r="Q269" s="57"/>
      <c r="R269" s="512"/>
      <c r="S269" s="57"/>
      <c r="T269" s="35"/>
      <c r="U269" s="12" t="s">
        <v>398</v>
      </c>
      <c r="V269" s="13">
        <v>0.25</v>
      </c>
      <c r="W269" s="57" t="s">
        <v>3575</v>
      </c>
      <c r="X269" s="35"/>
      <c r="AA269" s="57"/>
      <c r="AB269" s="208">
        <f>ROUND((ROUND((ROUND((ROUND((_15_同援日１．５*_15・基礎２),0)*(1+_15・A深夜)),0)*(1+_15・盲ろう)),0)*(1+_15・区４)),0)+ROUND((ROUND((ROUND((ROUND((_15_同援日１．５＿１．０*_15・基礎２),0)*(1+_15・B早朝)),0)*(1+_15・盲ろう)),0)*(1+_15・区４)),0)</f>
        <v>1279</v>
      </c>
      <c r="AC269" s="48"/>
    </row>
    <row r="270" spans="1:29" ht="16.5" customHeight="1" x14ac:dyDescent="0.15">
      <c r="A270" s="41">
        <v>15</v>
      </c>
      <c r="B270" s="41">
        <v>9102</v>
      </c>
      <c r="C270" s="74" t="s">
        <v>19088</v>
      </c>
      <c r="D270" s="72"/>
      <c r="F270" s="57"/>
      <c r="G270" s="122"/>
      <c r="H270" s="37"/>
      <c r="I270" s="79"/>
      <c r="J270" s="269" t="s">
        <v>17560</v>
      </c>
      <c r="K270" s="37" t="s">
        <v>398</v>
      </c>
      <c r="L270" s="38">
        <v>0.9</v>
      </c>
      <c r="M270" s="299" t="s">
        <v>17556</v>
      </c>
      <c r="N270" s="45" t="s">
        <v>398</v>
      </c>
      <c r="O270" s="46">
        <v>1</v>
      </c>
      <c r="P270" s="512"/>
      <c r="Q270" s="57"/>
      <c r="R270" s="512"/>
      <c r="S270" s="57"/>
      <c r="T270" s="43"/>
      <c r="U270" s="37"/>
      <c r="V270" s="38"/>
      <c r="W270" s="79"/>
      <c r="X270" s="43"/>
      <c r="Y270" s="37"/>
      <c r="Z270" s="38"/>
      <c r="AA270" s="79"/>
      <c r="AB270" s="208">
        <f>ROUND((ROUND((ROUND((ROUND((ROUND((_15_同援日１．５*_15・基礎２),0)*_15・２人),0)*(1+_15・A深夜)),0)*(1+_15・盲ろう)),0)*(1+_15・区４)),0)+ROUND((ROUND((ROUND((ROUND((ROUND((_15_同援日１．５＿１．０*_15・基礎２),0)*_15・２人),0)*(1+_15・B早朝)),0)*(1+_15・盲ろう)),0)*(1+_15・区４)),0)</f>
        <v>1279</v>
      </c>
      <c r="AC270" s="48"/>
    </row>
    <row r="271" spans="1:29" ht="16.5" customHeight="1" x14ac:dyDescent="0.15">
      <c r="A271" s="41">
        <v>15</v>
      </c>
      <c r="B271" s="41">
        <v>9103</v>
      </c>
      <c r="C271" s="74" t="s">
        <v>19089</v>
      </c>
      <c r="D271" s="72"/>
      <c r="F271" s="57"/>
      <c r="G271" s="114" t="s">
        <v>18871</v>
      </c>
      <c r="H271" s="49"/>
      <c r="I271" s="115"/>
      <c r="J271" s="53"/>
      <c r="K271" s="49"/>
      <c r="L271" s="50"/>
      <c r="M271" s="163"/>
      <c r="N271" s="45"/>
      <c r="O271" s="46"/>
      <c r="P271" s="512"/>
      <c r="Q271" s="57"/>
      <c r="R271" s="512"/>
      <c r="S271" s="57"/>
      <c r="T271" s="53"/>
      <c r="U271" s="49"/>
      <c r="V271" s="50"/>
      <c r="W271" s="115"/>
      <c r="X271" s="53"/>
      <c r="Y271" s="49"/>
      <c r="Z271" s="50"/>
      <c r="AA271" s="115"/>
      <c r="AB271" s="208">
        <f>ROUND((_15_同援日１．５*(1+_15・A深夜)),0)+ROUND((_15_同援日１．５＿１．５*(1+_15・B早朝)),0)</f>
        <v>894</v>
      </c>
      <c r="AC271" s="48"/>
    </row>
    <row r="272" spans="1:29" ht="16.5" customHeight="1" x14ac:dyDescent="0.15">
      <c r="A272" s="41">
        <v>15</v>
      </c>
      <c r="B272" s="41">
        <v>9104</v>
      </c>
      <c r="C272" s="74" t="s">
        <v>19090</v>
      </c>
      <c r="D272" s="72"/>
      <c r="F272" s="57"/>
      <c r="G272" s="72" t="s">
        <v>17616</v>
      </c>
      <c r="I272" s="57"/>
      <c r="J272" s="43"/>
      <c r="K272" s="37"/>
      <c r="L272" s="38"/>
      <c r="M272" s="299" t="s">
        <v>17556</v>
      </c>
      <c r="N272" s="45" t="s">
        <v>398</v>
      </c>
      <c r="O272" s="46">
        <v>1</v>
      </c>
      <c r="P272" s="512"/>
      <c r="Q272" s="57"/>
      <c r="R272" s="512"/>
      <c r="S272" s="57"/>
      <c r="T272" s="35"/>
      <c r="W272" s="57"/>
      <c r="X272" s="35"/>
      <c r="AA272" s="57"/>
      <c r="AB272" s="208">
        <f>ROUND((ROUND((_15_同援日１．５*_15・２人),0)*(1+_15・A深夜)),0)+ROUND((ROUND((_15_同援日１．５＿１．５*_15・２人),0)*(1+_15・B早朝)),0)</f>
        <v>894</v>
      </c>
      <c r="AC272" s="48"/>
    </row>
    <row r="273" spans="1:29" ht="16.5" customHeight="1" x14ac:dyDescent="0.15">
      <c r="A273" s="41">
        <v>15</v>
      </c>
      <c r="B273" s="41">
        <v>9105</v>
      </c>
      <c r="C273" s="74" t="s">
        <v>19091</v>
      </c>
      <c r="D273" s="72"/>
      <c r="F273" s="57"/>
      <c r="G273" s="72" t="s">
        <v>18183</v>
      </c>
      <c r="I273" s="57"/>
      <c r="J273" s="114" t="s">
        <v>17558</v>
      </c>
      <c r="K273" s="49"/>
      <c r="L273" s="50"/>
      <c r="M273" s="163"/>
      <c r="N273" s="45"/>
      <c r="O273" s="46"/>
      <c r="P273" s="512"/>
      <c r="Q273" s="57"/>
      <c r="R273" s="512"/>
      <c r="S273" s="57"/>
      <c r="T273" s="35"/>
      <c r="W273" s="57"/>
      <c r="X273" s="35"/>
      <c r="AA273" s="57"/>
      <c r="AB273" s="208">
        <f>ROUND((ROUND((_15_同援日１．５*_15・基礎２),0)*(1+_15・A深夜)),0)+ROUND((ROUND((_15_同援日１．５＿１．５*_15・基礎２),0)*(1+_15・B早朝)),0)</f>
        <v>805</v>
      </c>
      <c r="AC273" s="48"/>
    </row>
    <row r="274" spans="1:29" ht="16.5" customHeight="1" x14ac:dyDescent="0.15">
      <c r="A274" s="41">
        <v>15</v>
      </c>
      <c r="B274" s="41">
        <v>9106</v>
      </c>
      <c r="C274" s="74" t="s">
        <v>19092</v>
      </c>
      <c r="D274" s="72"/>
      <c r="F274" s="57"/>
      <c r="G274" s="72"/>
      <c r="H274" s="168">
        <f>_15_同援日１．５＿１．５</f>
        <v>195</v>
      </c>
      <c r="I274" s="57" t="s">
        <v>392</v>
      </c>
      <c r="J274" s="269" t="s">
        <v>17560</v>
      </c>
      <c r="K274" s="37" t="s">
        <v>398</v>
      </c>
      <c r="L274" s="38">
        <v>0.9</v>
      </c>
      <c r="M274" s="299" t="s">
        <v>17556</v>
      </c>
      <c r="N274" s="45" t="s">
        <v>398</v>
      </c>
      <c r="O274" s="46">
        <v>1</v>
      </c>
      <c r="P274" s="512"/>
      <c r="Q274" s="57"/>
      <c r="R274" s="512"/>
      <c r="S274" s="57"/>
      <c r="T274" s="43"/>
      <c r="U274" s="37"/>
      <c r="V274" s="38"/>
      <c r="W274" s="79"/>
      <c r="X274" s="35"/>
      <c r="AA274" s="57"/>
      <c r="AB274" s="208">
        <f>ROUND((ROUND((ROUND((_15_同援日１．５*_15・基礎２),0)*_15・２人),0)*(1+_15・A深夜)),0)+ROUND((ROUND((ROUND((_15_同援日１．５＿１．５*_15・基礎２),0)*_15・２人),0)*(1+_15・B早朝)),0)</f>
        <v>805</v>
      </c>
      <c r="AC274" s="48"/>
    </row>
    <row r="275" spans="1:29" ht="16.5" customHeight="1" x14ac:dyDescent="0.15">
      <c r="A275" s="41">
        <v>15</v>
      </c>
      <c r="B275" s="41">
        <v>9107</v>
      </c>
      <c r="C275" s="74" t="s">
        <v>19093</v>
      </c>
      <c r="D275" s="72"/>
      <c r="F275" s="57"/>
      <c r="G275" s="72"/>
      <c r="I275" s="57"/>
      <c r="J275" s="53"/>
      <c r="K275" s="49"/>
      <c r="L275" s="50"/>
      <c r="M275" s="163"/>
      <c r="N275" s="45"/>
      <c r="O275" s="46"/>
      <c r="P275" s="512"/>
      <c r="Q275" s="57"/>
      <c r="R275" s="512"/>
      <c r="S275" s="57"/>
      <c r="T275" s="114" t="s">
        <v>17562</v>
      </c>
      <c r="U275" s="49"/>
      <c r="V275" s="50"/>
      <c r="W275" s="115"/>
      <c r="X275" s="35"/>
      <c r="AA275" s="57"/>
      <c r="AB275" s="208">
        <f>ROUND((ROUND((_15_同援日１．５*(1+_15・A深夜)),0)*(1+_15・盲ろう)),0)+ROUND((ROUND((_15_同援日１．５＿１．５*(1+_15・B早朝)),0)*(1+_15・盲ろう)),0)</f>
        <v>1118</v>
      </c>
      <c r="AC275" s="48"/>
    </row>
    <row r="276" spans="1:29" ht="16.5" customHeight="1" x14ac:dyDescent="0.15">
      <c r="A276" s="41">
        <v>15</v>
      </c>
      <c r="B276" s="41">
        <v>9108</v>
      </c>
      <c r="C276" s="74" t="s">
        <v>19094</v>
      </c>
      <c r="D276" s="72"/>
      <c r="F276" s="57"/>
      <c r="G276" s="72"/>
      <c r="I276" s="57"/>
      <c r="J276" s="43"/>
      <c r="K276" s="37"/>
      <c r="L276" s="38"/>
      <c r="M276" s="299" t="s">
        <v>17556</v>
      </c>
      <c r="N276" s="45" t="s">
        <v>398</v>
      </c>
      <c r="O276" s="46">
        <v>1</v>
      </c>
      <c r="P276" s="512"/>
      <c r="Q276" s="57"/>
      <c r="R276" s="512"/>
      <c r="S276" s="57"/>
      <c r="T276" s="92" t="s">
        <v>17564</v>
      </c>
      <c r="W276" s="57"/>
      <c r="X276" s="35"/>
      <c r="AA276" s="57"/>
      <c r="AB276" s="208">
        <f>ROUND((ROUND((ROUND((_15_同援日１．５*_15・２人),0)*(1+_15・A深夜)),0)*(1+_15・盲ろう)),0)+ROUND((ROUND((ROUND((_15_同援日１．５＿１．５*_15・２人),0)*(1+_15・B早朝)),0)*(1+_15・盲ろう)),0)</f>
        <v>1118</v>
      </c>
      <c r="AC276" s="48"/>
    </row>
    <row r="277" spans="1:29" ht="16.5" customHeight="1" x14ac:dyDescent="0.15">
      <c r="A277" s="41">
        <v>15</v>
      </c>
      <c r="B277" s="41">
        <v>9109</v>
      </c>
      <c r="C277" s="74" t="s">
        <v>19095</v>
      </c>
      <c r="D277" s="72"/>
      <c r="F277" s="57"/>
      <c r="G277" s="72"/>
      <c r="I277" s="57"/>
      <c r="J277" s="114" t="s">
        <v>17558</v>
      </c>
      <c r="K277" s="49"/>
      <c r="L277" s="50"/>
      <c r="M277" s="163"/>
      <c r="N277" s="45"/>
      <c r="O277" s="46"/>
      <c r="P277" s="512"/>
      <c r="Q277" s="57"/>
      <c r="R277" s="512"/>
      <c r="S277" s="57"/>
      <c r="T277" s="35"/>
      <c r="U277" s="12" t="s">
        <v>398</v>
      </c>
      <c r="V277" s="13">
        <v>0.25</v>
      </c>
      <c r="W277" s="57" t="s">
        <v>3575</v>
      </c>
      <c r="X277" s="35"/>
      <c r="AA277" s="57"/>
      <c r="AB277" s="208">
        <f>ROUND((ROUND((ROUND((_15_同援日１．５*_15・基礎２),0)*(1+_15・A深夜)),0)*(1+_15・盲ろう)),0)+ROUND((ROUND((ROUND((_15_同援日１．５＿１．５*_15・基礎２),0)*(1+_15・B早朝)),0)*(1+_15・盲ろう)),0)</f>
        <v>1006</v>
      </c>
      <c r="AC277" s="48"/>
    </row>
    <row r="278" spans="1:29" ht="16.5" customHeight="1" x14ac:dyDescent="0.15">
      <c r="A278" s="41">
        <v>15</v>
      </c>
      <c r="B278" s="41">
        <v>9110</v>
      </c>
      <c r="C278" s="74" t="s">
        <v>19096</v>
      </c>
      <c r="D278" s="72"/>
      <c r="F278" s="57"/>
      <c r="G278" s="72"/>
      <c r="I278" s="57"/>
      <c r="J278" s="269" t="s">
        <v>17560</v>
      </c>
      <c r="K278" s="37" t="s">
        <v>398</v>
      </c>
      <c r="L278" s="38">
        <v>0.9</v>
      </c>
      <c r="M278" s="299" t="s">
        <v>17556</v>
      </c>
      <c r="N278" s="45" t="s">
        <v>398</v>
      </c>
      <c r="O278" s="46">
        <v>1</v>
      </c>
      <c r="P278" s="512"/>
      <c r="Q278" s="57"/>
      <c r="R278" s="512"/>
      <c r="S278" s="57"/>
      <c r="T278" s="43"/>
      <c r="U278" s="37"/>
      <c r="V278" s="38"/>
      <c r="W278" s="79"/>
      <c r="X278" s="43"/>
      <c r="Y278" s="37"/>
      <c r="Z278" s="38"/>
      <c r="AA278" s="79"/>
      <c r="AB278" s="208">
        <f>ROUND((ROUND((ROUND((ROUND((_15_同援日１．５*_15・基礎２),0)*_15・２人),0)*(1+_15・A深夜)),0)*(1+_15・盲ろう)),0)+ROUND((ROUND((ROUND((ROUND((_15_同援日１．５＿１．５*_15・基礎２),0)*_15・２人),0)*(1+_15・B早朝)),0)*(1+_15・盲ろう)),0)</f>
        <v>1006</v>
      </c>
      <c r="AC278" s="48"/>
    </row>
    <row r="279" spans="1:29" ht="16.5" customHeight="1" x14ac:dyDescent="0.15">
      <c r="A279" s="41">
        <v>15</v>
      </c>
      <c r="B279" s="41">
        <v>9111</v>
      </c>
      <c r="C279" s="74" t="s">
        <v>19097</v>
      </c>
      <c r="D279" s="72"/>
      <c r="F279" s="57"/>
      <c r="G279" s="72"/>
      <c r="I279" s="57"/>
      <c r="J279" s="53"/>
      <c r="K279" s="49"/>
      <c r="L279" s="50"/>
      <c r="M279" s="163"/>
      <c r="N279" s="45"/>
      <c r="O279" s="46"/>
      <c r="P279" s="512"/>
      <c r="Q279" s="57"/>
      <c r="R279" s="512"/>
      <c r="S279" s="57"/>
      <c r="T279" s="53"/>
      <c r="U279" s="49"/>
      <c r="V279" s="50"/>
      <c r="W279" s="115"/>
      <c r="X279" s="53"/>
      <c r="Y279" s="49"/>
      <c r="Z279" s="50"/>
      <c r="AA279" s="115"/>
      <c r="AB279" s="208">
        <f>ROUND((ROUND((_15_同援日１．５*(1+_15・A深夜)),0)*(1+_15・区３)),0)+ROUND((ROUND((_15_同援日１．５＿１．５*(1+_15・B早朝)),0)*(1+_15・区３)),0)</f>
        <v>1073</v>
      </c>
      <c r="AC279" s="48"/>
    </row>
    <row r="280" spans="1:29" ht="16.5" customHeight="1" x14ac:dyDescent="0.15">
      <c r="A280" s="41">
        <v>15</v>
      </c>
      <c r="B280" s="41">
        <v>9112</v>
      </c>
      <c r="C280" s="74" t="s">
        <v>19098</v>
      </c>
      <c r="D280" s="72"/>
      <c r="F280" s="57"/>
      <c r="G280" s="72"/>
      <c r="I280" s="57"/>
      <c r="J280" s="43"/>
      <c r="K280" s="37"/>
      <c r="L280" s="38"/>
      <c r="M280" s="299" t="s">
        <v>17556</v>
      </c>
      <c r="N280" s="45" t="s">
        <v>398</v>
      </c>
      <c r="O280" s="46">
        <v>1</v>
      </c>
      <c r="P280" s="512"/>
      <c r="Q280" s="57"/>
      <c r="R280" s="512"/>
      <c r="S280" s="57"/>
      <c r="T280" s="35"/>
      <c r="W280" s="57"/>
      <c r="X280" s="35"/>
      <c r="AA280" s="57"/>
      <c r="AB280" s="208">
        <f>ROUND((ROUND((ROUND((_15_同援日１．５*_15・２人),0)*(1+_15・A深夜)),0)*(1+_15・区３)),0)+ROUND((ROUND((ROUND((_15_同援日１．５＿１．５*_15・２人),0)*(1+_15・B早朝)),0)*(1+_15・区３)),0)</f>
        <v>1073</v>
      </c>
      <c r="AC280" s="48"/>
    </row>
    <row r="281" spans="1:29" ht="16.5" customHeight="1" x14ac:dyDescent="0.15">
      <c r="A281" s="41">
        <v>15</v>
      </c>
      <c r="B281" s="41">
        <v>9113</v>
      </c>
      <c r="C281" s="74" t="s">
        <v>19099</v>
      </c>
      <c r="D281" s="72"/>
      <c r="F281" s="57"/>
      <c r="G281" s="72"/>
      <c r="I281" s="57"/>
      <c r="J281" s="114" t="s">
        <v>17558</v>
      </c>
      <c r="K281" s="49"/>
      <c r="L281" s="50"/>
      <c r="M281" s="163"/>
      <c r="N281" s="45"/>
      <c r="O281" s="46"/>
      <c r="P281" s="512"/>
      <c r="Q281" s="57"/>
      <c r="R281" s="512"/>
      <c r="S281" s="57"/>
      <c r="T281" s="35"/>
      <c r="W281" s="57"/>
      <c r="X281" s="72" t="s">
        <v>17570</v>
      </c>
      <c r="AA281" s="57"/>
      <c r="AB281" s="208">
        <f>ROUND((ROUND((ROUND((_15_同援日１．５*_15・基礎２),0)*(1+_15・A深夜)),0)*(1+_15・区３)),0)+ROUND((ROUND((ROUND((_15_同援日１．５＿１．５*_15・基礎２),0)*(1+_15・B早朝)),0)*(1+_15・区３)),0)</f>
        <v>966</v>
      </c>
      <c r="AC281" s="48"/>
    </row>
    <row r="282" spans="1:29" ht="16.5" customHeight="1" x14ac:dyDescent="0.15">
      <c r="A282" s="41">
        <v>15</v>
      </c>
      <c r="B282" s="41">
        <v>9114</v>
      </c>
      <c r="C282" s="74" t="s">
        <v>19100</v>
      </c>
      <c r="D282" s="72"/>
      <c r="F282" s="57"/>
      <c r="G282" s="72"/>
      <c r="I282" s="57"/>
      <c r="J282" s="269" t="s">
        <v>17560</v>
      </c>
      <c r="K282" s="37" t="s">
        <v>398</v>
      </c>
      <c r="L282" s="38">
        <v>0.9</v>
      </c>
      <c r="M282" s="299" t="s">
        <v>17556</v>
      </c>
      <c r="N282" s="45" t="s">
        <v>398</v>
      </c>
      <c r="O282" s="46">
        <v>1</v>
      </c>
      <c r="P282" s="512"/>
      <c r="Q282" s="57"/>
      <c r="R282" s="512"/>
      <c r="S282" s="57"/>
      <c r="T282" s="43"/>
      <c r="U282" s="37"/>
      <c r="V282" s="38"/>
      <c r="W282" s="79"/>
      <c r="X282" s="72" t="s">
        <v>17572</v>
      </c>
      <c r="AA282" s="57"/>
      <c r="AB282" s="208">
        <f>ROUND((ROUND((ROUND((ROUND((_15_同援日１．５*_15・基礎２),0)*_15・２人),0)*(1+_15・A深夜)),0)*(1+_15・区３)),0)+ROUND((ROUND((ROUND((ROUND((_15_同援日１．５＿１．５*_15・基礎２),0)*_15・２人),0)*(1+_15・B早朝)),0)*(1+_15・区３)),0)</f>
        <v>966</v>
      </c>
      <c r="AC282" s="48"/>
    </row>
    <row r="283" spans="1:29" ht="16.5" customHeight="1" x14ac:dyDescent="0.15">
      <c r="A283" s="41">
        <v>15</v>
      </c>
      <c r="B283" s="41">
        <v>9115</v>
      </c>
      <c r="C283" s="74" t="s">
        <v>19101</v>
      </c>
      <c r="D283" s="72"/>
      <c r="F283" s="57"/>
      <c r="G283" s="72"/>
      <c r="I283" s="57"/>
      <c r="J283" s="53"/>
      <c r="K283" s="49"/>
      <c r="L283" s="50"/>
      <c r="M283" s="163"/>
      <c r="N283" s="45"/>
      <c r="O283" s="46"/>
      <c r="P283" s="512"/>
      <c r="Q283" s="57"/>
      <c r="R283" s="512"/>
      <c r="S283" s="57"/>
      <c r="T283" s="114" t="s">
        <v>17562</v>
      </c>
      <c r="U283" s="49"/>
      <c r="V283" s="50"/>
      <c r="W283" s="115"/>
      <c r="X283" s="35"/>
      <c r="Y283" s="12" t="s">
        <v>398</v>
      </c>
      <c r="Z283" s="13">
        <v>0.2</v>
      </c>
      <c r="AA283" s="57" t="s">
        <v>3575</v>
      </c>
      <c r="AB283" s="208">
        <f>ROUND((ROUND((ROUND((_15_同援日１．５*(1+_15・A深夜)),0)*(1+_15・盲ろう)),0)*(1+_15・区３)),0)+ROUND((ROUND((ROUND((_15_同援日１．５＿１．５*(1+_15・B早朝)),0)*(1+_15・盲ろう)),0)*(1+_15・区３)),0)</f>
        <v>1342</v>
      </c>
      <c r="AC283" s="48"/>
    </row>
    <row r="284" spans="1:29" ht="16.5" customHeight="1" x14ac:dyDescent="0.15">
      <c r="A284" s="41">
        <v>15</v>
      </c>
      <c r="B284" s="41">
        <v>9116</v>
      </c>
      <c r="C284" s="74" t="s">
        <v>19102</v>
      </c>
      <c r="D284" s="72"/>
      <c r="F284" s="57"/>
      <c r="G284" s="72"/>
      <c r="I284" s="57"/>
      <c r="J284" s="43"/>
      <c r="K284" s="37"/>
      <c r="L284" s="38"/>
      <c r="M284" s="299" t="s">
        <v>17556</v>
      </c>
      <c r="N284" s="45" t="s">
        <v>398</v>
      </c>
      <c r="O284" s="46">
        <v>1</v>
      </c>
      <c r="P284" s="512"/>
      <c r="Q284" s="57"/>
      <c r="R284" s="512"/>
      <c r="S284" s="57"/>
      <c r="T284" s="92" t="s">
        <v>17564</v>
      </c>
      <c r="W284" s="57"/>
      <c r="X284" s="35"/>
      <c r="AA284" s="57"/>
      <c r="AB284" s="208">
        <f>ROUND((ROUND((ROUND((ROUND((_15_同援日１．５*_15・２人),0)*(1+_15・A深夜)),0)*(1+_15・盲ろう)),0)*(1+_15・区３)),0)+ROUND((ROUND((ROUND((ROUND((_15_同援日１．５＿１．５*_15・２人),0)*(1+_15・B早朝)),0)*(1+_15・盲ろう)),0)*(1+_15・区３)),0)</f>
        <v>1342</v>
      </c>
      <c r="AC284" s="48"/>
    </row>
    <row r="285" spans="1:29" ht="16.5" customHeight="1" x14ac:dyDescent="0.15">
      <c r="A285" s="41">
        <v>15</v>
      </c>
      <c r="B285" s="41">
        <v>9117</v>
      </c>
      <c r="C285" s="74" t="s">
        <v>19103</v>
      </c>
      <c r="D285" s="72"/>
      <c r="F285" s="57"/>
      <c r="G285" s="72"/>
      <c r="I285" s="57"/>
      <c r="J285" s="114" t="s">
        <v>17558</v>
      </c>
      <c r="K285" s="49"/>
      <c r="L285" s="50"/>
      <c r="M285" s="163"/>
      <c r="N285" s="45"/>
      <c r="O285" s="46"/>
      <c r="P285" s="512"/>
      <c r="Q285" s="57"/>
      <c r="R285" s="512"/>
      <c r="S285" s="57"/>
      <c r="T285" s="35"/>
      <c r="U285" s="12" t="s">
        <v>398</v>
      </c>
      <c r="V285" s="13">
        <v>0.25</v>
      </c>
      <c r="W285" s="57" t="s">
        <v>3575</v>
      </c>
      <c r="X285" s="35"/>
      <c r="AA285" s="57"/>
      <c r="AB285" s="208">
        <f>ROUND((ROUND((ROUND((ROUND((_15_同援日１．５*_15・基礎２),0)*(1+_15・A深夜)),0)*(1+_15・盲ろう)),0)*(1+_15・区３)),0)+ROUND((ROUND((ROUND((ROUND((_15_同援日１．５＿１．５*_15・基礎２),0)*(1+_15・B早朝)),0)*(1+_15・盲ろう)),0)*(1+_15・区３)),0)</f>
        <v>1207</v>
      </c>
      <c r="AC285" s="48"/>
    </row>
    <row r="286" spans="1:29" ht="16.5" customHeight="1" x14ac:dyDescent="0.15">
      <c r="A286" s="41">
        <v>15</v>
      </c>
      <c r="B286" s="41">
        <v>9118</v>
      </c>
      <c r="C286" s="74" t="s">
        <v>19104</v>
      </c>
      <c r="D286" s="72"/>
      <c r="F286" s="57"/>
      <c r="G286" s="72"/>
      <c r="I286" s="57"/>
      <c r="J286" s="269" t="s">
        <v>17560</v>
      </c>
      <c r="K286" s="37" t="s">
        <v>398</v>
      </c>
      <c r="L286" s="38">
        <v>0.9</v>
      </c>
      <c r="M286" s="299" t="s">
        <v>17556</v>
      </c>
      <c r="N286" s="45" t="s">
        <v>398</v>
      </c>
      <c r="O286" s="46">
        <v>1</v>
      </c>
      <c r="P286" s="512"/>
      <c r="Q286" s="57"/>
      <c r="R286" s="512"/>
      <c r="S286" s="57"/>
      <c r="T286" s="43"/>
      <c r="U286" s="37"/>
      <c r="V286" s="38"/>
      <c r="W286" s="79"/>
      <c r="X286" s="43"/>
      <c r="Y286" s="37"/>
      <c r="Z286" s="38"/>
      <c r="AA286" s="79"/>
      <c r="AB286" s="208">
        <f>ROUND((ROUND((ROUND((ROUND((ROUND((_15_同援日１．５*_15・基礎２),0)*_15・２人),0)*(1+_15・A深夜)),0)*(1+_15・盲ろう)),0)*(1+_15・区３)),0)+ROUND((ROUND((ROUND((ROUND((ROUND((_15_同援日１．５＿１．５*_15・基礎２),0)*_15・２人),0)*(1+_15・B早朝)),0)*(1+_15・盲ろう)),0)*(1+_15・区３)),0)</f>
        <v>1207</v>
      </c>
      <c r="AC286" s="48"/>
    </row>
    <row r="287" spans="1:29" ht="16.5" customHeight="1" x14ac:dyDescent="0.15">
      <c r="A287" s="41">
        <v>15</v>
      </c>
      <c r="B287" s="41">
        <v>9119</v>
      </c>
      <c r="C287" s="74" t="s">
        <v>19105</v>
      </c>
      <c r="D287" s="72"/>
      <c r="F287" s="57"/>
      <c r="G287" s="72"/>
      <c r="I287" s="57"/>
      <c r="J287" s="53"/>
      <c r="K287" s="49"/>
      <c r="L287" s="50"/>
      <c r="M287" s="163"/>
      <c r="N287" s="45"/>
      <c r="O287" s="46"/>
      <c r="P287" s="512"/>
      <c r="Q287" s="57"/>
      <c r="R287" s="512"/>
      <c r="S287" s="57"/>
      <c r="T287" s="53"/>
      <c r="U287" s="49"/>
      <c r="V287" s="50"/>
      <c r="W287" s="115"/>
      <c r="X287" s="53"/>
      <c r="Y287" s="49"/>
      <c r="Z287" s="50"/>
      <c r="AA287" s="115"/>
      <c r="AB287" s="208">
        <f>ROUND((ROUND((_15_同援日１．５*(1+_15・A深夜)),0)*(1+_15・区４)),0)+ROUND((ROUND((_15_同援日１．５＿１．５*(1+_15・B早朝)),0)*(1+_15・区４)),0)</f>
        <v>1252</v>
      </c>
      <c r="AC287" s="48"/>
    </row>
    <row r="288" spans="1:29" ht="16.5" customHeight="1" x14ac:dyDescent="0.15">
      <c r="A288" s="41">
        <v>15</v>
      </c>
      <c r="B288" s="41">
        <v>9120</v>
      </c>
      <c r="C288" s="74" t="s">
        <v>19106</v>
      </c>
      <c r="D288" s="72"/>
      <c r="F288" s="57"/>
      <c r="G288" s="72"/>
      <c r="I288" s="57"/>
      <c r="J288" s="43"/>
      <c r="K288" s="37"/>
      <c r="L288" s="38"/>
      <c r="M288" s="299" t="s">
        <v>17556</v>
      </c>
      <c r="N288" s="45" t="s">
        <v>398</v>
      </c>
      <c r="O288" s="46">
        <v>1</v>
      </c>
      <c r="P288" s="512"/>
      <c r="Q288" s="57"/>
      <c r="R288" s="512"/>
      <c r="S288" s="57"/>
      <c r="T288" s="35"/>
      <c r="W288" s="57"/>
      <c r="X288" s="35"/>
      <c r="AA288" s="57"/>
      <c r="AB288" s="208">
        <f>ROUND((ROUND((ROUND((_15_同援日１．５*_15・２人),0)*(1+_15・A深夜)),0)*(1+_15・区４)),0)+ROUND((ROUND((ROUND((_15_同援日１．５＿１．５*_15・２人),0)*(1+_15・B早朝)),0)*(1+_15・区４)),0)</f>
        <v>1252</v>
      </c>
      <c r="AC288" s="48"/>
    </row>
    <row r="289" spans="1:29" ht="16.5" customHeight="1" x14ac:dyDescent="0.15">
      <c r="A289" s="41">
        <v>15</v>
      </c>
      <c r="B289" s="41">
        <v>9121</v>
      </c>
      <c r="C289" s="74" t="s">
        <v>19107</v>
      </c>
      <c r="D289" s="72"/>
      <c r="F289" s="57"/>
      <c r="G289" s="72"/>
      <c r="I289" s="57"/>
      <c r="J289" s="114" t="s">
        <v>17558</v>
      </c>
      <c r="K289" s="49"/>
      <c r="L289" s="50"/>
      <c r="M289" s="163"/>
      <c r="N289" s="45"/>
      <c r="O289" s="46"/>
      <c r="P289" s="512"/>
      <c r="Q289" s="57"/>
      <c r="R289" s="512"/>
      <c r="S289" s="57"/>
      <c r="T289" s="35"/>
      <c r="W289" s="57"/>
      <c r="X289" s="72" t="s">
        <v>17580</v>
      </c>
      <c r="AA289" s="57"/>
      <c r="AB289" s="208">
        <f>ROUND((ROUND((ROUND((_15_同援日１．５*_15・基礎２),0)*(1+_15・A深夜)),0)*(1+_15・区４)),0)+ROUND((ROUND((ROUND((_15_同援日１．５＿１．５*_15・基礎２),0)*(1+_15・B早朝)),0)*(1+_15・区４)),0)</f>
        <v>1127</v>
      </c>
      <c r="AC289" s="48"/>
    </row>
    <row r="290" spans="1:29" ht="16.5" customHeight="1" x14ac:dyDescent="0.15">
      <c r="A290" s="41">
        <v>15</v>
      </c>
      <c r="B290" s="41">
        <v>9122</v>
      </c>
      <c r="C290" s="74" t="s">
        <v>19108</v>
      </c>
      <c r="D290" s="72"/>
      <c r="F290" s="57"/>
      <c r="G290" s="72"/>
      <c r="I290" s="57"/>
      <c r="J290" s="269" t="s">
        <v>17560</v>
      </c>
      <c r="K290" s="37" t="s">
        <v>398</v>
      </c>
      <c r="L290" s="38">
        <v>0.9</v>
      </c>
      <c r="M290" s="299" t="s">
        <v>17556</v>
      </c>
      <c r="N290" s="45" t="s">
        <v>398</v>
      </c>
      <c r="O290" s="46">
        <v>1</v>
      </c>
      <c r="P290" s="512"/>
      <c r="Q290" s="57"/>
      <c r="R290" s="512"/>
      <c r="S290" s="57"/>
      <c r="T290" s="43"/>
      <c r="U290" s="37"/>
      <c r="V290" s="38"/>
      <c r="W290" s="79"/>
      <c r="X290" s="72" t="s">
        <v>17572</v>
      </c>
      <c r="AA290" s="57"/>
      <c r="AB290" s="208">
        <f>ROUND((ROUND((ROUND((ROUND((_15_同援日１．５*_15・基礎２),0)*_15・２人),0)*(1+_15・A深夜)),0)*(1+_15・区４)),0)+ROUND((ROUND((ROUND((ROUND((_15_同援日１．５＿１．５*_15・基礎２),0)*_15・２人),0)*(1+_15・B早朝)),0)*(1+_15・区４)),0)</f>
        <v>1127</v>
      </c>
      <c r="AC290" s="48"/>
    </row>
    <row r="291" spans="1:29" ht="16.5" customHeight="1" x14ac:dyDescent="0.15">
      <c r="A291" s="41">
        <v>15</v>
      </c>
      <c r="B291" s="41">
        <v>9123</v>
      </c>
      <c r="C291" s="74" t="s">
        <v>19109</v>
      </c>
      <c r="D291" s="72"/>
      <c r="F291" s="57"/>
      <c r="G291" s="72"/>
      <c r="I291" s="57"/>
      <c r="J291" s="53"/>
      <c r="K291" s="49"/>
      <c r="L291" s="50"/>
      <c r="M291" s="163"/>
      <c r="N291" s="45"/>
      <c r="O291" s="46"/>
      <c r="P291" s="512"/>
      <c r="Q291" s="57"/>
      <c r="R291" s="512"/>
      <c r="S291" s="57"/>
      <c r="T291" s="114" t="s">
        <v>17562</v>
      </c>
      <c r="U291" s="49"/>
      <c r="V291" s="50"/>
      <c r="W291" s="115"/>
      <c r="X291" s="35"/>
      <c r="Y291" s="12" t="s">
        <v>398</v>
      </c>
      <c r="Z291" s="13">
        <v>0.4</v>
      </c>
      <c r="AA291" s="57" t="s">
        <v>3575</v>
      </c>
      <c r="AB291" s="208">
        <f>ROUND((ROUND((ROUND((_15_同援日１．５*(1+_15・A深夜)),0)*(1+_15・盲ろう)),0)*(1+_15・区４)),0)+ROUND((ROUND((ROUND((_15_同援日１．５＿１．５*(1+_15・B早朝)),0)*(1+_15・盲ろう)),0)*(1+_15・区４)),0)</f>
        <v>1565</v>
      </c>
      <c r="AC291" s="48"/>
    </row>
    <row r="292" spans="1:29" ht="16.5" customHeight="1" x14ac:dyDescent="0.15">
      <c r="A292" s="41">
        <v>15</v>
      </c>
      <c r="B292" s="41">
        <v>9124</v>
      </c>
      <c r="C292" s="74" t="s">
        <v>19110</v>
      </c>
      <c r="D292" s="72"/>
      <c r="F292" s="57"/>
      <c r="G292" s="72"/>
      <c r="I292" s="57"/>
      <c r="J292" s="43"/>
      <c r="K292" s="37"/>
      <c r="L292" s="38"/>
      <c r="M292" s="299" t="s">
        <v>17556</v>
      </c>
      <c r="N292" s="45" t="s">
        <v>398</v>
      </c>
      <c r="O292" s="46">
        <v>1</v>
      </c>
      <c r="P292" s="512"/>
      <c r="Q292" s="57"/>
      <c r="R292" s="512"/>
      <c r="S292" s="57"/>
      <c r="T292" s="92" t="s">
        <v>17564</v>
      </c>
      <c r="W292" s="57"/>
      <c r="X292" s="35"/>
      <c r="AA292" s="57"/>
      <c r="AB292" s="208">
        <f>ROUND((ROUND((ROUND((ROUND((_15_同援日１．５*_15・２人),0)*(1+_15・A深夜)),0)*(1+_15・盲ろう)),0)*(1+_15・区４)),0)+ROUND((ROUND((ROUND((ROUND((_15_同援日１．５＿１．５*_15・２人),0)*(1+_15・B早朝)),0)*(1+_15・盲ろう)),0)*(1+_15・区４)),0)</f>
        <v>1565</v>
      </c>
      <c r="AC292" s="48"/>
    </row>
    <row r="293" spans="1:29" ht="16.5" customHeight="1" x14ac:dyDescent="0.15">
      <c r="A293" s="41">
        <v>15</v>
      </c>
      <c r="B293" s="41">
        <v>9125</v>
      </c>
      <c r="C293" s="74" t="s">
        <v>19111</v>
      </c>
      <c r="D293" s="72"/>
      <c r="F293" s="57"/>
      <c r="G293" s="72"/>
      <c r="I293" s="57"/>
      <c r="J293" s="114" t="s">
        <v>17558</v>
      </c>
      <c r="K293" s="49"/>
      <c r="L293" s="50"/>
      <c r="M293" s="163"/>
      <c r="N293" s="45"/>
      <c r="O293" s="46"/>
      <c r="P293" s="512"/>
      <c r="Q293" s="57"/>
      <c r="R293" s="512"/>
      <c r="S293" s="57"/>
      <c r="T293" s="35"/>
      <c r="U293" s="12" t="s">
        <v>398</v>
      </c>
      <c r="V293" s="13">
        <v>0.25</v>
      </c>
      <c r="W293" s="57" t="s">
        <v>3575</v>
      </c>
      <c r="X293" s="35"/>
      <c r="AA293" s="57"/>
      <c r="AB293" s="208">
        <f>ROUND((ROUND((ROUND((ROUND((_15_同援日１．５*_15・基礎２),0)*(1+_15・A深夜)),0)*(1+_15・盲ろう)),0)*(1+_15・区４)),0)+ROUND((ROUND((ROUND((ROUND((_15_同援日１．５＿１．５*_15・基礎２),0)*(1+_15・B早朝)),0)*(1+_15・盲ろう)),0)*(1+_15・区４)),0)</f>
        <v>1408</v>
      </c>
      <c r="AC293" s="48"/>
    </row>
    <row r="294" spans="1:29" ht="16.5" customHeight="1" x14ac:dyDescent="0.15">
      <c r="A294" s="41">
        <v>15</v>
      </c>
      <c r="B294" s="41">
        <v>9126</v>
      </c>
      <c r="C294" s="74" t="s">
        <v>19112</v>
      </c>
      <c r="D294" s="122"/>
      <c r="E294" s="37"/>
      <c r="F294" s="79"/>
      <c r="G294" s="122"/>
      <c r="H294" s="37"/>
      <c r="I294" s="79"/>
      <c r="J294" s="269" t="s">
        <v>17560</v>
      </c>
      <c r="K294" s="37" t="s">
        <v>398</v>
      </c>
      <c r="L294" s="38">
        <v>0.9</v>
      </c>
      <c r="M294" s="299" t="s">
        <v>17556</v>
      </c>
      <c r="N294" s="45" t="s">
        <v>398</v>
      </c>
      <c r="O294" s="46">
        <v>1</v>
      </c>
      <c r="P294" s="514"/>
      <c r="Q294" s="79"/>
      <c r="R294" s="514"/>
      <c r="S294" s="79"/>
      <c r="T294" s="43"/>
      <c r="U294" s="37"/>
      <c r="V294" s="38"/>
      <c r="W294" s="79"/>
      <c r="X294" s="43"/>
      <c r="Y294" s="37"/>
      <c r="Z294" s="38"/>
      <c r="AA294" s="79"/>
      <c r="AB294" s="208">
        <f>ROUND((ROUND((ROUND((ROUND((ROUND((_15_同援日１．５*_15・基礎２),0)*_15・２人),0)*(1+_15・A深夜)),0)*(1+_15・盲ろう)),0)*(1+_15・区４)),0)+ROUND((ROUND((ROUND((ROUND((ROUND((_15_同援日１．５＿１．５*_15・基礎２),0)*_15・２人),0)*(1+_15・B早朝)),0)*(1+_15・盲ろう)),0)*(1+_15・区４)),0)</f>
        <v>1408</v>
      </c>
      <c r="AC294" s="63"/>
    </row>
    <row r="295" spans="1:29" ht="16.5" customHeight="1" x14ac:dyDescent="0.15">
      <c r="A295" s="41">
        <v>15</v>
      </c>
      <c r="B295" s="41">
        <v>9127</v>
      </c>
      <c r="C295" s="74" t="s">
        <v>19113</v>
      </c>
      <c r="D295" s="114" t="s">
        <v>18563</v>
      </c>
      <c r="E295" s="49"/>
      <c r="F295" s="115"/>
      <c r="G295" s="114" t="s">
        <v>18819</v>
      </c>
      <c r="H295" s="49"/>
      <c r="I295" s="115"/>
      <c r="J295" s="53"/>
      <c r="K295" s="49"/>
      <c r="L295" s="50"/>
      <c r="M295" s="163"/>
      <c r="N295" s="45"/>
      <c r="O295" s="46"/>
      <c r="P295" s="515"/>
      <c r="Q295" s="115"/>
      <c r="R295" s="515"/>
      <c r="S295" s="115"/>
      <c r="T295" s="53"/>
      <c r="U295" s="49"/>
      <c r="V295" s="50"/>
      <c r="W295" s="115"/>
      <c r="X295" s="53"/>
      <c r="Y295" s="49"/>
      <c r="Z295" s="50"/>
      <c r="AA295" s="115"/>
      <c r="AB295" s="208">
        <f>ROUND((_15_同援日２．０*(1+_15・A深夜)),0)+ROUND((_15_同援日２．０＿０．５*(1+_15・B早朝)),0)</f>
        <v>828</v>
      </c>
      <c r="AC295" s="64"/>
    </row>
    <row r="296" spans="1:29" ht="16.5" customHeight="1" x14ac:dyDescent="0.15">
      <c r="A296" s="41">
        <v>15</v>
      </c>
      <c r="B296" s="41">
        <v>9128</v>
      </c>
      <c r="C296" s="74" t="s">
        <v>19114</v>
      </c>
      <c r="D296" s="72" t="s">
        <v>17643</v>
      </c>
      <c r="F296" s="57"/>
      <c r="G296" s="72" t="s">
        <v>18259</v>
      </c>
      <c r="I296" s="57"/>
      <c r="J296" s="43"/>
      <c r="K296" s="37"/>
      <c r="L296" s="38"/>
      <c r="M296" s="299" t="s">
        <v>17556</v>
      </c>
      <c r="N296" s="45" t="s">
        <v>398</v>
      </c>
      <c r="O296" s="46">
        <v>1</v>
      </c>
      <c r="P296" s="512"/>
      <c r="Q296" s="57"/>
      <c r="R296" s="512"/>
      <c r="S296" s="57"/>
      <c r="T296" s="35"/>
      <c r="W296" s="57"/>
      <c r="X296" s="35"/>
      <c r="AA296" s="57"/>
      <c r="AB296" s="208">
        <f>ROUND((ROUND((_15_同援日２．０*_15・２人),0)*(1+_15・A深夜)),0)+ROUND((ROUND((_15_同援日２．０＿０．５*_15・２人),0)*(1+_15・B早朝)),0)</f>
        <v>828</v>
      </c>
      <c r="AC296" s="48"/>
    </row>
    <row r="297" spans="1:29" ht="16.5" customHeight="1" x14ac:dyDescent="0.15">
      <c r="A297" s="41">
        <v>15</v>
      </c>
      <c r="B297" s="41">
        <v>9129</v>
      </c>
      <c r="C297" s="74" t="s">
        <v>19115</v>
      </c>
      <c r="D297" s="72" t="s">
        <v>17645</v>
      </c>
      <c r="F297" s="57"/>
      <c r="G297" s="72"/>
      <c r="I297" s="57"/>
      <c r="J297" s="114" t="s">
        <v>17558</v>
      </c>
      <c r="K297" s="49"/>
      <c r="L297" s="50"/>
      <c r="M297" s="163"/>
      <c r="N297" s="45"/>
      <c r="O297" s="46"/>
      <c r="P297" s="512"/>
      <c r="Q297" s="57"/>
      <c r="R297" s="512"/>
      <c r="S297" s="57"/>
      <c r="T297" s="35"/>
      <c r="W297" s="57"/>
      <c r="X297" s="35"/>
      <c r="AA297" s="57"/>
      <c r="AB297" s="208">
        <f>ROUND((ROUND((_15_同援日２．０*_15・基礎２),0)*(1+_15・A深夜)),0)+ROUND((ROUND((_15_同援日２．０＿０．５*_15・基礎２),0)*(1+_15・B早朝)),0)</f>
        <v>746</v>
      </c>
      <c r="AC297" s="48"/>
    </row>
    <row r="298" spans="1:29" ht="16.5" customHeight="1" x14ac:dyDescent="0.15">
      <c r="A298" s="41">
        <v>15</v>
      </c>
      <c r="B298" s="41">
        <v>9130</v>
      </c>
      <c r="C298" s="74" t="s">
        <v>19116</v>
      </c>
      <c r="D298" s="72"/>
      <c r="E298" s="168">
        <f>_15_同援日２．０</f>
        <v>498</v>
      </c>
      <c r="F298" s="57" t="s">
        <v>392</v>
      </c>
      <c r="G298" s="72"/>
      <c r="H298" s="168">
        <f>_15_同援日２．０＿０．５</f>
        <v>65</v>
      </c>
      <c r="I298" s="57" t="s">
        <v>392</v>
      </c>
      <c r="J298" s="269" t="s">
        <v>17560</v>
      </c>
      <c r="K298" s="37" t="s">
        <v>398</v>
      </c>
      <c r="L298" s="38">
        <v>0.9</v>
      </c>
      <c r="M298" s="299" t="s">
        <v>17556</v>
      </c>
      <c r="N298" s="45" t="s">
        <v>398</v>
      </c>
      <c r="O298" s="46">
        <v>1</v>
      </c>
      <c r="P298" s="512"/>
      <c r="Q298" s="57"/>
      <c r="R298" s="512"/>
      <c r="S298" s="57"/>
      <c r="T298" s="43"/>
      <c r="U298" s="37"/>
      <c r="V298" s="38"/>
      <c r="W298" s="79"/>
      <c r="X298" s="35"/>
      <c r="AA298" s="57"/>
      <c r="AB298" s="208">
        <f>ROUND((ROUND((ROUND((_15_同援日２．０*_15・基礎２),0)*_15・２人),0)*(1+_15・A深夜)),0)+ROUND((ROUND((ROUND((_15_同援日２．０＿０．５*_15・基礎２),0)*_15・２人),0)*(1+_15・B早朝)),0)</f>
        <v>746</v>
      </c>
      <c r="AC298" s="48"/>
    </row>
    <row r="299" spans="1:29" ht="16.5" customHeight="1" x14ac:dyDescent="0.15">
      <c r="A299" s="41">
        <v>15</v>
      </c>
      <c r="B299" s="41">
        <v>9131</v>
      </c>
      <c r="C299" s="74" t="s">
        <v>19117</v>
      </c>
      <c r="D299" s="72"/>
      <c r="F299" s="57"/>
      <c r="G299" s="72"/>
      <c r="I299" s="57"/>
      <c r="J299" s="53"/>
      <c r="K299" s="49"/>
      <c r="L299" s="50"/>
      <c r="M299" s="163"/>
      <c r="N299" s="45"/>
      <c r="O299" s="46"/>
      <c r="P299" s="512"/>
      <c r="Q299" s="57"/>
      <c r="R299" s="512"/>
      <c r="S299" s="57"/>
      <c r="T299" s="114" t="s">
        <v>17562</v>
      </c>
      <c r="U299" s="49"/>
      <c r="V299" s="50"/>
      <c r="W299" s="115"/>
      <c r="X299" s="35"/>
      <c r="AA299" s="57"/>
      <c r="AB299" s="208">
        <f>ROUND((ROUND((_15_同援日２．０*(1+_15・A深夜)),0)*(1+_15・盲ろう)),0)+ROUND((ROUND((_15_同援日２．０＿０．５*(1+_15・B早朝)),0)*(1+_15・盲ろう)),0)</f>
        <v>1035</v>
      </c>
      <c r="AC299" s="48"/>
    </row>
    <row r="300" spans="1:29" ht="16.5" customHeight="1" x14ac:dyDescent="0.15">
      <c r="A300" s="41">
        <v>15</v>
      </c>
      <c r="B300" s="41">
        <v>9132</v>
      </c>
      <c r="C300" s="74" t="s">
        <v>19118</v>
      </c>
      <c r="D300" s="72"/>
      <c r="F300" s="57"/>
      <c r="G300" s="72"/>
      <c r="I300" s="57"/>
      <c r="J300" s="43"/>
      <c r="K300" s="37"/>
      <c r="L300" s="38"/>
      <c r="M300" s="299" t="s">
        <v>17556</v>
      </c>
      <c r="N300" s="45" t="s">
        <v>398</v>
      </c>
      <c r="O300" s="46">
        <v>1</v>
      </c>
      <c r="P300" s="512"/>
      <c r="Q300" s="57"/>
      <c r="R300" s="512"/>
      <c r="S300" s="57"/>
      <c r="T300" s="92" t="s">
        <v>17564</v>
      </c>
      <c r="W300" s="57"/>
      <c r="X300" s="35"/>
      <c r="AA300" s="57"/>
      <c r="AB300" s="208">
        <f>ROUND((ROUND((ROUND((_15_同援日２．０*_15・２人),0)*(1+_15・A深夜)),0)*(1+_15・盲ろう)),0)+ROUND((ROUND((ROUND((_15_同援日２．０＿０．５*_15・２人),0)*(1+_15・B早朝)),0)*(1+_15・盲ろう)),0)</f>
        <v>1035</v>
      </c>
      <c r="AC300" s="48"/>
    </row>
    <row r="301" spans="1:29" ht="16.5" customHeight="1" x14ac:dyDescent="0.15">
      <c r="A301" s="41">
        <v>15</v>
      </c>
      <c r="B301" s="41">
        <v>9133</v>
      </c>
      <c r="C301" s="74" t="s">
        <v>19119</v>
      </c>
      <c r="D301" s="72"/>
      <c r="F301" s="57"/>
      <c r="G301" s="72"/>
      <c r="I301" s="57"/>
      <c r="J301" s="114" t="s">
        <v>17558</v>
      </c>
      <c r="K301" s="49"/>
      <c r="L301" s="50"/>
      <c r="M301" s="163"/>
      <c r="N301" s="45"/>
      <c r="O301" s="46"/>
      <c r="P301" s="512"/>
      <c r="Q301" s="57"/>
      <c r="R301" s="512"/>
      <c r="S301" s="57"/>
      <c r="T301" s="35"/>
      <c r="U301" s="12" t="s">
        <v>398</v>
      </c>
      <c r="V301" s="13">
        <v>0.25</v>
      </c>
      <c r="W301" s="57" t="s">
        <v>3575</v>
      </c>
      <c r="X301" s="35"/>
      <c r="AA301" s="57"/>
      <c r="AB301" s="208">
        <f>ROUND((ROUND((ROUND((_15_同援日２．０*_15・基礎２),0)*(1+_15・A深夜)),0)*(1+_15・盲ろう)),0)+ROUND((ROUND((ROUND((_15_同援日２．０＿０．５*_15・基礎２),0)*(1+_15・B早朝)),0)*(1+_15・盲ろう)),0)</f>
        <v>933</v>
      </c>
      <c r="AC301" s="48"/>
    </row>
    <row r="302" spans="1:29" ht="16.5" customHeight="1" x14ac:dyDescent="0.15">
      <c r="A302" s="41">
        <v>15</v>
      </c>
      <c r="B302" s="41">
        <v>9134</v>
      </c>
      <c r="C302" s="74" t="s">
        <v>19120</v>
      </c>
      <c r="D302" s="72"/>
      <c r="F302" s="57"/>
      <c r="G302" s="72"/>
      <c r="I302" s="57"/>
      <c r="J302" s="269" t="s">
        <v>17560</v>
      </c>
      <c r="K302" s="37" t="s">
        <v>398</v>
      </c>
      <c r="L302" s="38">
        <v>0.9</v>
      </c>
      <c r="M302" s="299" t="s">
        <v>17556</v>
      </c>
      <c r="N302" s="45" t="s">
        <v>398</v>
      </c>
      <c r="O302" s="46">
        <v>1</v>
      </c>
      <c r="P302" s="512"/>
      <c r="Q302" s="57"/>
      <c r="R302" s="512"/>
      <c r="S302" s="57"/>
      <c r="T302" s="43"/>
      <c r="U302" s="37"/>
      <c r="V302" s="38"/>
      <c r="W302" s="79"/>
      <c r="X302" s="43"/>
      <c r="Y302" s="37"/>
      <c r="Z302" s="38"/>
      <c r="AA302" s="79"/>
      <c r="AB302" s="208">
        <f>ROUND((ROUND((ROUND((ROUND((_15_同援日２．０*_15・基礎２),0)*_15・２人),0)*(1+_15・A深夜)),0)*(1+_15・盲ろう)),0)+ROUND((ROUND((ROUND((ROUND((_15_同援日２．０＿０．５*_15・基礎２),0)*_15・２人),0)*(1+_15・B早朝)),0)*(1+_15・盲ろう)),0)</f>
        <v>933</v>
      </c>
      <c r="AC302" s="48"/>
    </row>
    <row r="303" spans="1:29" ht="16.5" customHeight="1" x14ac:dyDescent="0.15">
      <c r="A303" s="41">
        <v>15</v>
      </c>
      <c r="B303" s="41">
        <v>9135</v>
      </c>
      <c r="C303" s="74" t="s">
        <v>19121</v>
      </c>
      <c r="D303" s="72"/>
      <c r="F303" s="57"/>
      <c r="G303" s="72"/>
      <c r="I303" s="57"/>
      <c r="J303" s="53"/>
      <c r="K303" s="49"/>
      <c r="L303" s="50"/>
      <c r="M303" s="163"/>
      <c r="N303" s="45"/>
      <c r="O303" s="46"/>
      <c r="P303" s="512"/>
      <c r="Q303" s="57"/>
      <c r="R303" s="512"/>
      <c r="S303" s="57"/>
      <c r="T303" s="53"/>
      <c r="U303" s="49"/>
      <c r="V303" s="50"/>
      <c r="W303" s="115"/>
      <c r="X303" s="53"/>
      <c r="Y303" s="49"/>
      <c r="Z303" s="50"/>
      <c r="AA303" s="115"/>
      <c r="AB303" s="208">
        <f>ROUND((ROUND((_15_同援日２．０*(1+_15・A深夜)),0)*(1+_15・区３)),0)+ROUND((ROUND((_15_同援日２．０＿０．５*(1+_15・B早朝)),0)*(1+_15・区３)),0)</f>
        <v>993</v>
      </c>
      <c r="AC303" s="48"/>
    </row>
    <row r="304" spans="1:29" ht="16.5" customHeight="1" x14ac:dyDescent="0.15">
      <c r="A304" s="41">
        <v>15</v>
      </c>
      <c r="B304" s="41">
        <v>9136</v>
      </c>
      <c r="C304" s="74" t="s">
        <v>19122</v>
      </c>
      <c r="D304" s="72"/>
      <c r="F304" s="57"/>
      <c r="G304" s="72"/>
      <c r="I304" s="57"/>
      <c r="J304" s="43"/>
      <c r="K304" s="37"/>
      <c r="L304" s="38"/>
      <c r="M304" s="299" t="s">
        <v>17556</v>
      </c>
      <c r="N304" s="45" t="s">
        <v>398</v>
      </c>
      <c r="O304" s="46">
        <v>1</v>
      </c>
      <c r="P304" s="512"/>
      <c r="Q304" s="57"/>
      <c r="R304" s="512"/>
      <c r="S304" s="57"/>
      <c r="T304" s="35"/>
      <c r="W304" s="57"/>
      <c r="X304" s="35"/>
      <c r="AA304" s="57"/>
      <c r="AB304" s="208">
        <f>ROUND((ROUND((ROUND((_15_同援日２．０*_15・２人),0)*(1+_15・A深夜)),0)*(1+_15・区３)),0)+ROUND((ROUND((ROUND((_15_同援日２．０＿０．５*_15・２人),0)*(1+_15・B早朝)),0)*(1+_15・区３)),0)</f>
        <v>993</v>
      </c>
      <c r="AC304" s="48"/>
    </row>
    <row r="305" spans="1:29" ht="16.5" customHeight="1" x14ac:dyDescent="0.15">
      <c r="A305" s="41">
        <v>15</v>
      </c>
      <c r="B305" s="41">
        <v>9137</v>
      </c>
      <c r="C305" s="74" t="s">
        <v>19123</v>
      </c>
      <c r="D305" s="72"/>
      <c r="F305" s="57"/>
      <c r="G305" s="72"/>
      <c r="I305" s="57"/>
      <c r="J305" s="114" t="s">
        <v>17558</v>
      </c>
      <c r="K305" s="49"/>
      <c r="L305" s="50"/>
      <c r="M305" s="163"/>
      <c r="N305" s="45"/>
      <c r="O305" s="46"/>
      <c r="P305" s="512"/>
      <c r="Q305" s="57"/>
      <c r="R305" s="512"/>
      <c r="S305" s="57"/>
      <c r="T305" s="35"/>
      <c r="W305" s="57"/>
      <c r="X305" s="72" t="s">
        <v>17570</v>
      </c>
      <c r="AA305" s="57"/>
      <c r="AB305" s="208">
        <f>ROUND((ROUND((ROUND((_15_同援日２．０*_15・基礎２),0)*(1+_15・A深夜)),0)*(1+_15・区３)),0)+ROUND((ROUND((ROUND((_15_同援日２．０＿０．５*_15・基礎２),0)*(1+_15・B早朝)),0)*(1+_15・区３)),0)</f>
        <v>895</v>
      </c>
      <c r="AC305" s="48"/>
    </row>
    <row r="306" spans="1:29" ht="16.5" customHeight="1" x14ac:dyDescent="0.15">
      <c r="A306" s="41">
        <v>15</v>
      </c>
      <c r="B306" s="41">
        <v>9138</v>
      </c>
      <c r="C306" s="74" t="s">
        <v>19124</v>
      </c>
      <c r="D306" s="72"/>
      <c r="F306" s="57"/>
      <c r="G306" s="72"/>
      <c r="I306" s="57"/>
      <c r="J306" s="269" t="s">
        <v>17560</v>
      </c>
      <c r="K306" s="37" t="s">
        <v>398</v>
      </c>
      <c r="L306" s="38">
        <v>0.9</v>
      </c>
      <c r="M306" s="299" t="s">
        <v>17556</v>
      </c>
      <c r="N306" s="45" t="s">
        <v>398</v>
      </c>
      <c r="O306" s="46">
        <v>1</v>
      </c>
      <c r="P306" s="512"/>
      <c r="Q306" s="57"/>
      <c r="R306" s="512"/>
      <c r="S306" s="57"/>
      <c r="T306" s="43"/>
      <c r="U306" s="37"/>
      <c r="V306" s="38"/>
      <c r="W306" s="79"/>
      <c r="X306" s="72" t="s">
        <v>17572</v>
      </c>
      <c r="AA306" s="57"/>
      <c r="AB306" s="208">
        <f>ROUND((ROUND((ROUND((ROUND((_15_同援日２．０*_15・基礎２),0)*_15・２人),0)*(1+_15・A深夜)),0)*(1+_15・区３)),0)+ROUND((ROUND((ROUND((ROUND((_15_同援日２．０＿０．５*_15・基礎２),0)*_15・２人),0)*(1+_15・B早朝)),0)*(1+_15・区３)),0)</f>
        <v>895</v>
      </c>
      <c r="AC306" s="48"/>
    </row>
    <row r="307" spans="1:29" ht="16.5" customHeight="1" x14ac:dyDescent="0.15">
      <c r="A307" s="41">
        <v>15</v>
      </c>
      <c r="B307" s="41">
        <v>9139</v>
      </c>
      <c r="C307" s="74" t="s">
        <v>19125</v>
      </c>
      <c r="D307" s="72"/>
      <c r="F307" s="57"/>
      <c r="G307" s="72"/>
      <c r="I307" s="57"/>
      <c r="J307" s="53"/>
      <c r="K307" s="49"/>
      <c r="L307" s="50"/>
      <c r="M307" s="163"/>
      <c r="N307" s="45"/>
      <c r="O307" s="46"/>
      <c r="P307" s="512"/>
      <c r="Q307" s="57"/>
      <c r="R307" s="512"/>
      <c r="S307" s="57"/>
      <c r="T307" s="114" t="s">
        <v>17562</v>
      </c>
      <c r="U307" s="49"/>
      <c r="V307" s="50"/>
      <c r="W307" s="115"/>
      <c r="X307" s="35"/>
      <c r="Y307" s="12" t="s">
        <v>398</v>
      </c>
      <c r="Z307" s="13">
        <v>0.2</v>
      </c>
      <c r="AA307" s="57" t="s">
        <v>3575</v>
      </c>
      <c r="AB307" s="208">
        <f>ROUND((ROUND((ROUND((_15_同援日２．０*(1+_15・A深夜)),0)*(1+_15・盲ろう)),0)*(1+_15・区３)),0)+ROUND((ROUND((ROUND((_15_同援日２．０＿０．５*(1+_15・B早朝)),0)*(1+_15・盲ろう)),0)*(1+_15・区３)),0)</f>
        <v>1242</v>
      </c>
      <c r="AC307" s="48"/>
    </row>
    <row r="308" spans="1:29" ht="16.5" customHeight="1" x14ac:dyDescent="0.15">
      <c r="A308" s="41">
        <v>15</v>
      </c>
      <c r="B308" s="41">
        <v>9140</v>
      </c>
      <c r="C308" s="74" t="s">
        <v>19126</v>
      </c>
      <c r="D308" s="72"/>
      <c r="F308" s="57"/>
      <c r="G308" s="72"/>
      <c r="I308" s="57"/>
      <c r="J308" s="43"/>
      <c r="K308" s="37"/>
      <c r="L308" s="38"/>
      <c r="M308" s="299" t="s">
        <v>17556</v>
      </c>
      <c r="N308" s="45" t="s">
        <v>398</v>
      </c>
      <c r="O308" s="46">
        <v>1</v>
      </c>
      <c r="P308" s="512"/>
      <c r="Q308" s="57"/>
      <c r="R308" s="512"/>
      <c r="S308" s="57"/>
      <c r="T308" s="92" t="s">
        <v>17564</v>
      </c>
      <c r="W308" s="57"/>
      <c r="X308" s="35"/>
      <c r="AA308" s="57"/>
      <c r="AB308" s="208">
        <f>ROUND((ROUND((ROUND((ROUND((_15_同援日２．０*_15・２人),0)*(1+_15・A深夜)),0)*(1+_15・盲ろう)),0)*(1+_15・区３)),0)+ROUND((ROUND((ROUND((ROUND((_15_同援日２．０＿０．５*_15・２人),0)*(1+_15・B早朝)),0)*(1+_15・盲ろう)),0)*(1+_15・区３)),0)</f>
        <v>1242</v>
      </c>
      <c r="AC308" s="48"/>
    </row>
    <row r="309" spans="1:29" ht="16.5" customHeight="1" x14ac:dyDescent="0.15">
      <c r="A309" s="41">
        <v>15</v>
      </c>
      <c r="B309" s="41">
        <v>9141</v>
      </c>
      <c r="C309" s="74" t="s">
        <v>19127</v>
      </c>
      <c r="D309" s="72"/>
      <c r="F309" s="57"/>
      <c r="G309" s="72"/>
      <c r="I309" s="57"/>
      <c r="J309" s="114" t="s">
        <v>17558</v>
      </c>
      <c r="K309" s="49"/>
      <c r="L309" s="50"/>
      <c r="M309" s="163"/>
      <c r="N309" s="45"/>
      <c r="O309" s="46"/>
      <c r="P309" s="512"/>
      <c r="Q309" s="57"/>
      <c r="R309" s="512"/>
      <c r="S309" s="57"/>
      <c r="T309" s="35"/>
      <c r="U309" s="12" t="s">
        <v>398</v>
      </c>
      <c r="V309" s="13">
        <v>0.25</v>
      </c>
      <c r="W309" s="57" t="s">
        <v>3575</v>
      </c>
      <c r="X309" s="35"/>
      <c r="AA309" s="57"/>
      <c r="AB309" s="208">
        <f>ROUND((ROUND((ROUND((ROUND((_15_同援日２．０*_15・基礎２),0)*(1+_15・A深夜)),0)*(1+_15・盲ろう)),0)*(1+_15・区３)),0)+ROUND((ROUND((ROUND((ROUND((_15_同援日２．０＿０．５*_15・基礎２),0)*(1+_15・B早朝)),0)*(1+_15・盲ろう)),0)*(1+_15・区３)),0)</f>
        <v>1120</v>
      </c>
      <c r="AC309" s="48"/>
    </row>
    <row r="310" spans="1:29" ht="16.5" customHeight="1" x14ac:dyDescent="0.15">
      <c r="A310" s="41">
        <v>15</v>
      </c>
      <c r="B310" s="41">
        <v>9142</v>
      </c>
      <c r="C310" s="74" t="s">
        <v>19128</v>
      </c>
      <c r="D310" s="72"/>
      <c r="F310" s="57"/>
      <c r="G310" s="72"/>
      <c r="I310" s="57"/>
      <c r="J310" s="269" t="s">
        <v>17560</v>
      </c>
      <c r="K310" s="37" t="s">
        <v>398</v>
      </c>
      <c r="L310" s="38">
        <v>0.9</v>
      </c>
      <c r="M310" s="299" t="s">
        <v>17556</v>
      </c>
      <c r="N310" s="45" t="s">
        <v>398</v>
      </c>
      <c r="O310" s="46">
        <v>1</v>
      </c>
      <c r="P310" s="512"/>
      <c r="Q310" s="57"/>
      <c r="R310" s="512"/>
      <c r="S310" s="57"/>
      <c r="T310" s="43"/>
      <c r="U310" s="37"/>
      <c r="V310" s="38"/>
      <c r="W310" s="79"/>
      <c r="X310" s="43"/>
      <c r="Y310" s="37"/>
      <c r="Z310" s="38"/>
      <c r="AA310" s="79"/>
      <c r="AB310" s="208">
        <f>ROUND((ROUND((ROUND((ROUND((ROUND((_15_同援日２．０*_15・基礎２),0)*_15・２人),0)*(1+_15・A深夜)),0)*(1+_15・盲ろう)),0)*(1+_15・区３)),0)+ROUND((ROUND((ROUND((ROUND((ROUND((_15_同援日２．０＿０．５*_15・基礎２),0)*_15・２人),0)*(1+_15・B早朝)),0)*(1+_15・盲ろう)),0)*(1+_15・区３)),0)</f>
        <v>1120</v>
      </c>
      <c r="AC310" s="48"/>
    </row>
    <row r="311" spans="1:29" ht="16.5" customHeight="1" x14ac:dyDescent="0.15">
      <c r="A311" s="41">
        <v>15</v>
      </c>
      <c r="B311" s="41">
        <v>9143</v>
      </c>
      <c r="C311" s="74" t="s">
        <v>19129</v>
      </c>
      <c r="D311" s="72"/>
      <c r="F311" s="57"/>
      <c r="G311" s="72"/>
      <c r="I311" s="57"/>
      <c r="J311" s="53"/>
      <c r="K311" s="49"/>
      <c r="L311" s="50"/>
      <c r="M311" s="163"/>
      <c r="N311" s="45"/>
      <c r="O311" s="46"/>
      <c r="P311" s="512"/>
      <c r="Q311" s="57"/>
      <c r="R311" s="512"/>
      <c r="S311" s="57"/>
      <c r="T311" s="53"/>
      <c r="U311" s="49"/>
      <c r="V311" s="50"/>
      <c r="W311" s="115"/>
      <c r="X311" s="53"/>
      <c r="Y311" s="49"/>
      <c r="Z311" s="50"/>
      <c r="AA311" s="115"/>
      <c r="AB311" s="208">
        <f>ROUND((ROUND((_15_同援日２．０*(1+_15・A深夜)),0)*(1+_15・区４)),0)+ROUND((ROUND((_15_同援日２．０＿０．５*(1+_15・B早朝)),0)*(1+_15・区４)),0)</f>
        <v>1159</v>
      </c>
      <c r="AC311" s="48"/>
    </row>
    <row r="312" spans="1:29" ht="16.5" customHeight="1" x14ac:dyDescent="0.15">
      <c r="A312" s="41">
        <v>15</v>
      </c>
      <c r="B312" s="41">
        <v>9144</v>
      </c>
      <c r="C312" s="74" t="s">
        <v>19130</v>
      </c>
      <c r="D312" s="72"/>
      <c r="F312" s="57"/>
      <c r="G312" s="72"/>
      <c r="I312" s="57"/>
      <c r="J312" s="43"/>
      <c r="K312" s="37"/>
      <c r="L312" s="38"/>
      <c r="M312" s="299" t="s">
        <v>17556</v>
      </c>
      <c r="N312" s="45" t="s">
        <v>398</v>
      </c>
      <c r="O312" s="46">
        <v>1</v>
      </c>
      <c r="P312" s="512"/>
      <c r="Q312" s="57"/>
      <c r="R312" s="512"/>
      <c r="S312" s="57"/>
      <c r="T312" s="35"/>
      <c r="W312" s="57"/>
      <c r="X312" s="35"/>
      <c r="AA312" s="57"/>
      <c r="AB312" s="208">
        <f>ROUND((ROUND((ROUND((_15_同援日２．０*_15・２人),0)*(1+_15・A深夜)),0)*(1+_15・区４)),0)+ROUND((ROUND((ROUND((_15_同援日２．０＿０．５*_15・２人),0)*(1+_15・B早朝)),0)*(1+_15・区４)),0)</f>
        <v>1159</v>
      </c>
      <c r="AC312" s="48"/>
    </row>
    <row r="313" spans="1:29" ht="16.5" customHeight="1" x14ac:dyDescent="0.15">
      <c r="A313" s="41">
        <v>15</v>
      </c>
      <c r="B313" s="41">
        <v>9145</v>
      </c>
      <c r="C313" s="74" t="s">
        <v>19131</v>
      </c>
      <c r="D313" s="72"/>
      <c r="F313" s="57"/>
      <c r="G313" s="72"/>
      <c r="I313" s="57"/>
      <c r="J313" s="114" t="s">
        <v>17558</v>
      </c>
      <c r="K313" s="49"/>
      <c r="L313" s="50"/>
      <c r="M313" s="163"/>
      <c r="N313" s="45"/>
      <c r="O313" s="46"/>
      <c r="P313" s="512"/>
      <c r="Q313" s="57"/>
      <c r="R313" s="512"/>
      <c r="S313" s="57"/>
      <c r="T313" s="35"/>
      <c r="W313" s="57"/>
      <c r="X313" s="72" t="s">
        <v>17580</v>
      </c>
      <c r="AA313" s="57"/>
      <c r="AB313" s="208">
        <f>ROUND((ROUND((ROUND((_15_同援日２．０*_15・基礎２),0)*(1+_15・A深夜)),0)*(1+_15・区４)),0)+ROUND((ROUND((ROUND((_15_同援日２．０＿０．５*_15・基礎２),0)*(1+_15・B早朝)),0)*(1+_15・区４)),0)</f>
        <v>1045</v>
      </c>
      <c r="AC313" s="48"/>
    </row>
    <row r="314" spans="1:29" ht="16.5" customHeight="1" x14ac:dyDescent="0.15">
      <c r="A314" s="41">
        <v>15</v>
      </c>
      <c r="B314" s="41">
        <v>9146</v>
      </c>
      <c r="C314" s="74" t="s">
        <v>19132</v>
      </c>
      <c r="D314" s="72"/>
      <c r="F314" s="57"/>
      <c r="G314" s="72"/>
      <c r="I314" s="57"/>
      <c r="J314" s="269" t="s">
        <v>17560</v>
      </c>
      <c r="K314" s="37" t="s">
        <v>398</v>
      </c>
      <c r="L314" s="38">
        <v>0.9</v>
      </c>
      <c r="M314" s="299" t="s">
        <v>17556</v>
      </c>
      <c r="N314" s="45" t="s">
        <v>398</v>
      </c>
      <c r="O314" s="46">
        <v>1</v>
      </c>
      <c r="P314" s="512"/>
      <c r="Q314" s="57"/>
      <c r="R314" s="512"/>
      <c r="S314" s="57"/>
      <c r="T314" s="43"/>
      <c r="U314" s="37"/>
      <c r="V314" s="38"/>
      <c r="W314" s="79"/>
      <c r="X314" s="72" t="s">
        <v>17572</v>
      </c>
      <c r="AA314" s="57"/>
      <c r="AB314" s="208">
        <f>ROUND((ROUND((ROUND((ROUND((_15_同援日２．０*_15・基礎２),0)*_15・２人),0)*(1+_15・A深夜)),0)*(1+_15・区４)),0)+ROUND((ROUND((ROUND((ROUND((_15_同援日２．０＿０．５*_15・基礎２),0)*_15・２人),0)*(1+_15・B早朝)),0)*(1+_15・区４)),0)</f>
        <v>1045</v>
      </c>
      <c r="AC314" s="48"/>
    </row>
    <row r="315" spans="1:29" ht="16.5" customHeight="1" x14ac:dyDescent="0.15">
      <c r="A315" s="41">
        <v>15</v>
      </c>
      <c r="B315" s="41">
        <v>9147</v>
      </c>
      <c r="C315" s="74" t="s">
        <v>19133</v>
      </c>
      <c r="D315" s="72"/>
      <c r="F315" s="57"/>
      <c r="G315" s="72"/>
      <c r="I315" s="57"/>
      <c r="J315" s="53"/>
      <c r="K315" s="49"/>
      <c r="L315" s="50"/>
      <c r="M315" s="163"/>
      <c r="N315" s="45"/>
      <c r="O315" s="46"/>
      <c r="P315" s="512"/>
      <c r="Q315" s="57"/>
      <c r="R315" s="512"/>
      <c r="S315" s="57"/>
      <c r="T315" s="114" t="s">
        <v>17562</v>
      </c>
      <c r="U315" s="49"/>
      <c r="V315" s="50"/>
      <c r="W315" s="115"/>
      <c r="X315" s="35"/>
      <c r="Y315" s="12" t="s">
        <v>398</v>
      </c>
      <c r="Z315" s="13">
        <v>0.4</v>
      </c>
      <c r="AA315" s="57" t="s">
        <v>3575</v>
      </c>
      <c r="AB315" s="208">
        <f>ROUND((ROUND((ROUND((_15_同援日２．０*(1+_15・A深夜)),0)*(1+_15・盲ろう)),0)*(1+_15・区４)),0)+ROUND((ROUND((ROUND((_15_同援日２．０＿０．５*(1+_15・B早朝)),0)*(1+_15・盲ろう)),0)*(1+_15・区４)),0)</f>
        <v>1449</v>
      </c>
      <c r="AC315" s="48"/>
    </row>
    <row r="316" spans="1:29" ht="16.5" customHeight="1" x14ac:dyDescent="0.15">
      <c r="A316" s="41">
        <v>15</v>
      </c>
      <c r="B316" s="41">
        <v>9148</v>
      </c>
      <c r="C316" s="74" t="s">
        <v>19134</v>
      </c>
      <c r="D316" s="72"/>
      <c r="F316" s="57"/>
      <c r="G316" s="72"/>
      <c r="I316" s="57"/>
      <c r="J316" s="43"/>
      <c r="K316" s="37"/>
      <c r="L316" s="38"/>
      <c r="M316" s="299" t="s">
        <v>17556</v>
      </c>
      <c r="N316" s="45" t="s">
        <v>398</v>
      </c>
      <c r="O316" s="46">
        <v>1</v>
      </c>
      <c r="P316" s="512"/>
      <c r="Q316" s="57"/>
      <c r="R316" s="512"/>
      <c r="S316" s="57"/>
      <c r="T316" s="92" t="s">
        <v>17564</v>
      </c>
      <c r="W316" s="57"/>
      <c r="X316" s="35"/>
      <c r="AA316" s="57"/>
      <c r="AB316" s="208">
        <f>ROUND((ROUND((ROUND((ROUND((_15_同援日２．０*_15・２人),0)*(1+_15・A深夜)),0)*(1+_15・盲ろう)),0)*(1+_15・区４)),0)+ROUND((ROUND((ROUND((ROUND((_15_同援日２．０＿０．５*_15・２人),0)*(1+_15・B早朝)),0)*(1+_15・盲ろう)),0)*(1+_15・区４)),0)</f>
        <v>1449</v>
      </c>
      <c r="AC316" s="48"/>
    </row>
    <row r="317" spans="1:29" ht="16.5" customHeight="1" x14ac:dyDescent="0.15">
      <c r="A317" s="41">
        <v>15</v>
      </c>
      <c r="B317" s="41">
        <v>9149</v>
      </c>
      <c r="C317" s="74" t="s">
        <v>19135</v>
      </c>
      <c r="D317" s="72"/>
      <c r="F317" s="57"/>
      <c r="G317" s="72"/>
      <c r="I317" s="57"/>
      <c r="J317" s="114" t="s">
        <v>17558</v>
      </c>
      <c r="K317" s="49"/>
      <c r="L317" s="50"/>
      <c r="M317" s="163"/>
      <c r="N317" s="45"/>
      <c r="O317" s="46"/>
      <c r="P317" s="512"/>
      <c r="Q317" s="57"/>
      <c r="R317" s="512"/>
      <c r="S317" s="57"/>
      <c r="T317" s="35"/>
      <c r="U317" s="12" t="s">
        <v>398</v>
      </c>
      <c r="V317" s="13">
        <v>0.25</v>
      </c>
      <c r="W317" s="57" t="s">
        <v>3575</v>
      </c>
      <c r="X317" s="35"/>
      <c r="AA317" s="57"/>
      <c r="AB317" s="208">
        <f>ROUND((ROUND((ROUND((ROUND((_15_同援日２．０*_15・基礎２),0)*(1+_15・A深夜)),0)*(1+_15・盲ろう)),0)*(1+_15・区４)),0)+ROUND((ROUND((ROUND((ROUND((_15_同援日２．０＿０．５*_15・基礎２),0)*(1+_15・B早朝)),0)*(1+_15・盲ろう)),0)*(1+_15・区４)),0)</f>
        <v>1306</v>
      </c>
      <c r="AC317" s="48"/>
    </row>
    <row r="318" spans="1:29" ht="16.5" customHeight="1" x14ac:dyDescent="0.15">
      <c r="A318" s="41">
        <v>15</v>
      </c>
      <c r="B318" s="41">
        <v>9150</v>
      </c>
      <c r="C318" s="74" t="s">
        <v>19136</v>
      </c>
      <c r="D318" s="72"/>
      <c r="F318" s="57"/>
      <c r="G318" s="122"/>
      <c r="H318" s="37"/>
      <c r="I318" s="79"/>
      <c r="J318" s="269" t="s">
        <v>17560</v>
      </c>
      <c r="K318" s="37" t="s">
        <v>398</v>
      </c>
      <c r="L318" s="38">
        <v>0.9</v>
      </c>
      <c r="M318" s="299" t="s">
        <v>17556</v>
      </c>
      <c r="N318" s="45" t="s">
        <v>398</v>
      </c>
      <c r="O318" s="46">
        <v>1</v>
      </c>
      <c r="P318" s="512"/>
      <c r="Q318" s="57"/>
      <c r="R318" s="512"/>
      <c r="S318" s="57"/>
      <c r="T318" s="43"/>
      <c r="U318" s="37"/>
      <c r="V318" s="38"/>
      <c r="W318" s="79"/>
      <c r="X318" s="43"/>
      <c r="Y318" s="37"/>
      <c r="Z318" s="38"/>
      <c r="AA318" s="79"/>
      <c r="AB318" s="208">
        <f>ROUND((ROUND((ROUND((ROUND((ROUND((_15_同援日２．０*_15・基礎２),0)*_15・２人),0)*(1+_15・A深夜)),0)*(1+_15・盲ろう)),0)*(1+_15・区４)),0)+ROUND((ROUND((ROUND((ROUND((ROUND((_15_同援日２．０＿０．５*_15・基礎２),0)*_15・２人),0)*(1+_15・B早朝)),0)*(1+_15・盲ろう)),0)*(1+_15・区４)),0)</f>
        <v>1306</v>
      </c>
      <c r="AC318" s="48"/>
    </row>
    <row r="319" spans="1:29" ht="16.5" customHeight="1" x14ac:dyDescent="0.15">
      <c r="A319" s="41">
        <v>15</v>
      </c>
      <c r="B319" s="41">
        <v>9151</v>
      </c>
      <c r="C319" s="74" t="s">
        <v>19137</v>
      </c>
      <c r="D319" s="72"/>
      <c r="F319" s="57"/>
      <c r="G319" s="114" t="s">
        <v>18846</v>
      </c>
      <c r="H319" s="49"/>
      <c r="I319" s="115"/>
      <c r="J319" s="53"/>
      <c r="K319" s="49"/>
      <c r="L319" s="50"/>
      <c r="M319" s="163"/>
      <c r="N319" s="45"/>
      <c r="O319" s="46"/>
      <c r="P319" s="512"/>
      <c r="Q319" s="57"/>
      <c r="R319" s="512"/>
      <c r="S319" s="57"/>
      <c r="T319" s="53"/>
      <c r="U319" s="49"/>
      <c r="V319" s="50"/>
      <c r="W319" s="115"/>
      <c r="X319" s="53"/>
      <c r="Y319" s="49"/>
      <c r="Z319" s="50"/>
      <c r="AA319" s="115"/>
      <c r="AB319" s="208">
        <f>ROUND((_15_同援日２．０*(1+_15・A深夜)),0)+ROUND((_15_同援日２．０＿１．０*(1+_15・B早朝)),0)</f>
        <v>910</v>
      </c>
      <c r="AC319" s="48"/>
    </row>
    <row r="320" spans="1:29" ht="16.5" customHeight="1" x14ac:dyDescent="0.15">
      <c r="A320" s="41">
        <v>15</v>
      </c>
      <c r="B320" s="41">
        <v>9152</v>
      </c>
      <c r="C320" s="74" t="s">
        <v>19138</v>
      </c>
      <c r="D320" s="72"/>
      <c r="F320" s="57"/>
      <c r="G320" s="72" t="s">
        <v>17589</v>
      </c>
      <c r="I320" s="57"/>
      <c r="J320" s="43"/>
      <c r="K320" s="37"/>
      <c r="L320" s="38"/>
      <c r="M320" s="299" t="s">
        <v>17556</v>
      </c>
      <c r="N320" s="45" t="s">
        <v>398</v>
      </c>
      <c r="O320" s="46">
        <v>1</v>
      </c>
      <c r="P320" s="512"/>
      <c r="Q320" s="57"/>
      <c r="R320" s="512"/>
      <c r="S320" s="57"/>
      <c r="T320" s="35"/>
      <c r="W320" s="57"/>
      <c r="X320" s="35"/>
      <c r="AA320" s="57"/>
      <c r="AB320" s="208">
        <f>ROUND((ROUND((_15_同援日２．０*_15・２人),0)*(1+_15・A深夜)),0)+ROUND((ROUND((_15_同援日２．０＿１．０*_15・２人),0)*(1+_15・B早朝)),0)</f>
        <v>910</v>
      </c>
      <c r="AC320" s="48"/>
    </row>
    <row r="321" spans="1:29" ht="16.5" customHeight="1" x14ac:dyDescent="0.15">
      <c r="A321" s="41">
        <v>15</v>
      </c>
      <c r="B321" s="41">
        <v>9153</v>
      </c>
      <c r="C321" s="74" t="s">
        <v>19139</v>
      </c>
      <c r="D321" s="72"/>
      <c r="F321" s="57"/>
      <c r="G321" s="72" t="s">
        <v>17591</v>
      </c>
      <c r="I321" s="57"/>
      <c r="J321" s="114" t="s">
        <v>17558</v>
      </c>
      <c r="K321" s="49"/>
      <c r="L321" s="50"/>
      <c r="M321" s="163"/>
      <c r="N321" s="45"/>
      <c r="O321" s="46"/>
      <c r="P321" s="512"/>
      <c r="Q321" s="57"/>
      <c r="R321" s="512"/>
      <c r="S321" s="57"/>
      <c r="T321" s="35"/>
      <c r="W321" s="57"/>
      <c r="X321" s="35"/>
      <c r="AA321" s="57"/>
      <c r="AB321" s="208">
        <f>ROUND((ROUND((_15_同援日２．０*_15・基礎２),0)*(1+_15・A深夜)),0)+ROUND((ROUND((_15_同援日２．０＿１．０*_15・基礎２),0)*(1+_15・B早朝)),0)</f>
        <v>818</v>
      </c>
      <c r="AC321" s="48"/>
    </row>
    <row r="322" spans="1:29" ht="16.5" customHeight="1" x14ac:dyDescent="0.15">
      <c r="A322" s="41">
        <v>15</v>
      </c>
      <c r="B322" s="41">
        <v>9154</v>
      </c>
      <c r="C322" s="74" t="s">
        <v>19140</v>
      </c>
      <c r="D322" s="72"/>
      <c r="F322" s="57"/>
      <c r="G322" s="72"/>
      <c r="H322" s="168">
        <f>_15_同援日２．０＿１．０</f>
        <v>130</v>
      </c>
      <c r="I322" s="57" t="s">
        <v>392</v>
      </c>
      <c r="J322" s="269" t="s">
        <v>17560</v>
      </c>
      <c r="K322" s="37" t="s">
        <v>398</v>
      </c>
      <c r="L322" s="38">
        <v>0.9</v>
      </c>
      <c r="M322" s="299" t="s">
        <v>17556</v>
      </c>
      <c r="N322" s="45" t="s">
        <v>398</v>
      </c>
      <c r="O322" s="46">
        <v>1</v>
      </c>
      <c r="P322" s="512"/>
      <c r="Q322" s="57"/>
      <c r="R322" s="512"/>
      <c r="S322" s="57"/>
      <c r="T322" s="43"/>
      <c r="U322" s="37"/>
      <c r="V322" s="38"/>
      <c r="W322" s="79"/>
      <c r="X322" s="35"/>
      <c r="AA322" s="57"/>
      <c r="AB322" s="208">
        <f>ROUND((ROUND((ROUND((_15_同援日２．０*_15・基礎２),0)*_15・２人),0)*(1+_15・A深夜)),0)+ROUND((ROUND((ROUND((_15_同援日２．０＿１．０*_15・基礎２),0)*_15・２人),0)*(1+_15・B早朝)),0)</f>
        <v>818</v>
      </c>
      <c r="AC322" s="48"/>
    </row>
    <row r="323" spans="1:29" ht="16.5" customHeight="1" x14ac:dyDescent="0.15">
      <c r="A323" s="41">
        <v>15</v>
      </c>
      <c r="B323" s="41">
        <v>9155</v>
      </c>
      <c r="C323" s="74" t="s">
        <v>19141</v>
      </c>
      <c r="D323" s="72"/>
      <c r="F323" s="57"/>
      <c r="G323" s="72"/>
      <c r="I323" s="57"/>
      <c r="J323" s="53"/>
      <c r="K323" s="49"/>
      <c r="L323" s="50"/>
      <c r="M323" s="163"/>
      <c r="N323" s="45"/>
      <c r="O323" s="46"/>
      <c r="P323" s="512"/>
      <c r="Q323" s="57"/>
      <c r="R323" s="512"/>
      <c r="S323" s="57"/>
      <c r="T323" s="114" t="s">
        <v>17562</v>
      </c>
      <c r="U323" s="49"/>
      <c r="V323" s="50"/>
      <c r="W323" s="115"/>
      <c r="X323" s="35"/>
      <c r="AA323" s="57"/>
      <c r="AB323" s="208">
        <f>ROUND((ROUND((_15_同援日２．０*(1+_15・A深夜)),0)*(1+_15・盲ろう)),0)+ROUND((ROUND((_15_同援日２．０＿１．０*(1+_15・B早朝)),0)*(1+_15・盲ろう)),0)</f>
        <v>1138</v>
      </c>
      <c r="AC323" s="48"/>
    </row>
    <row r="324" spans="1:29" ht="16.5" customHeight="1" x14ac:dyDescent="0.15">
      <c r="A324" s="41">
        <v>15</v>
      </c>
      <c r="B324" s="41">
        <v>9156</v>
      </c>
      <c r="C324" s="74" t="s">
        <v>19142</v>
      </c>
      <c r="D324" s="72"/>
      <c r="F324" s="57"/>
      <c r="G324" s="72"/>
      <c r="I324" s="57"/>
      <c r="J324" s="43"/>
      <c r="K324" s="37"/>
      <c r="L324" s="38"/>
      <c r="M324" s="299" t="s">
        <v>17556</v>
      </c>
      <c r="N324" s="45" t="s">
        <v>398</v>
      </c>
      <c r="O324" s="46">
        <v>1</v>
      </c>
      <c r="P324" s="512"/>
      <c r="Q324" s="57"/>
      <c r="R324" s="512"/>
      <c r="S324" s="57"/>
      <c r="T324" s="92" t="s">
        <v>17564</v>
      </c>
      <c r="W324" s="57"/>
      <c r="X324" s="35"/>
      <c r="AA324" s="57"/>
      <c r="AB324" s="208">
        <f>ROUND((ROUND((ROUND((_15_同援日２．０*_15・２人),0)*(1+_15・A深夜)),0)*(1+_15・盲ろう)),0)+ROUND((ROUND((ROUND((_15_同援日２．０＿１．０*_15・２人),0)*(1+_15・B早朝)),0)*(1+_15・盲ろう)),0)</f>
        <v>1138</v>
      </c>
      <c r="AC324" s="48"/>
    </row>
    <row r="325" spans="1:29" ht="16.5" customHeight="1" x14ac:dyDescent="0.15">
      <c r="A325" s="41">
        <v>15</v>
      </c>
      <c r="B325" s="41">
        <v>9157</v>
      </c>
      <c r="C325" s="74" t="s">
        <v>19143</v>
      </c>
      <c r="D325" s="72"/>
      <c r="F325" s="57"/>
      <c r="G325" s="72"/>
      <c r="I325" s="57"/>
      <c r="J325" s="114" t="s">
        <v>17558</v>
      </c>
      <c r="K325" s="49"/>
      <c r="L325" s="50"/>
      <c r="M325" s="163"/>
      <c r="N325" s="45"/>
      <c r="O325" s="46"/>
      <c r="P325" s="512"/>
      <c r="Q325" s="57"/>
      <c r="R325" s="512"/>
      <c r="S325" s="57"/>
      <c r="T325" s="35"/>
      <c r="U325" s="12" t="s">
        <v>398</v>
      </c>
      <c r="V325" s="13">
        <v>0.25</v>
      </c>
      <c r="W325" s="57" t="s">
        <v>3575</v>
      </c>
      <c r="X325" s="35"/>
      <c r="AA325" s="57"/>
      <c r="AB325" s="208">
        <f>ROUND((ROUND((ROUND((_15_同援日２．０*_15・基礎２),0)*(1+_15・A深夜)),0)*(1+_15・盲ろう)),0)+ROUND((ROUND((ROUND((_15_同援日２．０＿１．０*_15・基礎２),0)*(1+_15・B早朝)),0)*(1+_15・盲ろう)),0)</f>
        <v>1023</v>
      </c>
      <c r="AC325" s="48"/>
    </row>
    <row r="326" spans="1:29" ht="16.5" customHeight="1" x14ac:dyDescent="0.15">
      <c r="A326" s="41">
        <v>15</v>
      </c>
      <c r="B326" s="41">
        <v>9158</v>
      </c>
      <c r="C326" s="74" t="s">
        <v>19144</v>
      </c>
      <c r="D326" s="72"/>
      <c r="F326" s="57"/>
      <c r="G326" s="72"/>
      <c r="I326" s="57"/>
      <c r="J326" s="269" t="s">
        <v>17560</v>
      </c>
      <c r="K326" s="37" t="s">
        <v>398</v>
      </c>
      <c r="L326" s="38">
        <v>0.9</v>
      </c>
      <c r="M326" s="299" t="s">
        <v>17556</v>
      </c>
      <c r="N326" s="45" t="s">
        <v>398</v>
      </c>
      <c r="O326" s="46">
        <v>1</v>
      </c>
      <c r="P326" s="512"/>
      <c r="Q326" s="57"/>
      <c r="R326" s="512"/>
      <c r="S326" s="57"/>
      <c r="T326" s="43"/>
      <c r="U326" s="37"/>
      <c r="V326" s="38"/>
      <c r="W326" s="79"/>
      <c r="X326" s="43"/>
      <c r="Y326" s="37"/>
      <c r="Z326" s="38"/>
      <c r="AA326" s="79"/>
      <c r="AB326" s="208">
        <f>ROUND((ROUND((ROUND((ROUND((_15_同援日２．０*_15・基礎２),0)*_15・２人),0)*(1+_15・A深夜)),0)*(1+_15・盲ろう)),0)+ROUND((ROUND((ROUND((ROUND((_15_同援日２．０＿１．０*_15・基礎２),0)*_15・２人),0)*(1+_15・B早朝)),0)*(1+_15・盲ろう)),0)</f>
        <v>1023</v>
      </c>
      <c r="AC326" s="48"/>
    </row>
    <row r="327" spans="1:29" ht="16.5" customHeight="1" x14ac:dyDescent="0.15">
      <c r="A327" s="41">
        <v>15</v>
      </c>
      <c r="B327" s="41">
        <v>9159</v>
      </c>
      <c r="C327" s="74" t="s">
        <v>19145</v>
      </c>
      <c r="D327" s="72"/>
      <c r="F327" s="57"/>
      <c r="G327" s="72"/>
      <c r="I327" s="57"/>
      <c r="J327" s="53"/>
      <c r="K327" s="49"/>
      <c r="L327" s="50"/>
      <c r="M327" s="163"/>
      <c r="N327" s="45"/>
      <c r="O327" s="46"/>
      <c r="P327" s="512"/>
      <c r="Q327" s="57"/>
      <c r="R327" s="512"/>
      <c r="S327" s="57"/>
      <c r="T327" s="53"/>
      <c r="U327" s="49"/>
      <c r="V327" s="50"/>
      <c r="W327" s="115"/>
      <c r="X327" s="53"/>
      <c r="Y327" s="49"/>
      <c r="Z327" s="50"/>
      <c r="AA327" s="115"/>
      <c r="AB327" s="208">
        <f>ROUND((ROUND((_15_同援日２．０*(1+_15・A深夜)),0)*(1+_15・区３)),0)+ROUND((ROUND((_15_同援日２．０＿１．０*(1+_15・B早朝)),0)*(1+_15・区３)),0)</f>
        <v>1092</v>
      </c>
      <c r="AC327" s="48"/>
    </row>
    <row r="328" spans="1:29" ht="16.5" customHeight="1" x14ac:dyDescent="0.15">
      <c r="A328" s="41">
        <v>15</v>
      </c>
      <c r="B328" s="41">
        <v>9160</v>
      </c>
      <c r="C328" s="74" t="s">
        <v>19146</v>
      </c>
      <c r="D328" s="72"/>
      <c r="F328" s="57"/>
      <c r="G328" s="72"/>
      <c r="I328" s="57"/>
      <c r="J328" s="43"/>
      <c r="K328" s="37"/>
      <c r="L328" s="38"/>
      <c r="M328" s="299" t="s">
        <v>17556</v>
      </c>
      <c r="N328" s="45" t="s">
        <v>398</v>
      </c>
      <c r="O328" s="46">
        <v>1</v>
      </c>
      <c r="P328" s="512"/>
      <c r="Q328" s="57"/>
      <c r="R328" s="512"/>
      <c r="S328" s="57"/>
      <c r="T328" s="35"/>
      <c r="W328" s="57"/>
      <c r="X328" s="35"/>
      <c r="AA328" s="57"/>
      <c r="AB328" s="208">
        <f>ROUND((ROUND((ROUND((_15_同援日２．０*_15・２人),0)*(1+_15・A深夜)),0)*(1+_15・区３)),0)+ROUND((ROUND((ROUND((_15_同援日２．０＿１．０*_15・２人),0)*(1+_15・B早朝)),0)*(1+_15・区３)),0)</f>
        <v>1092</v>
      </c>
      <c r="AC328" s="48"/>
    </row>
    <row r="329" spans="1:29" ht="16.5" customHeight="1" x14ac:dyDescent="0.15">
      <c r="A329" s="41">
        <v>15</v>
      </c>
      <c r="B329" s="41">
        <v>9161</v>
      </c>
      <c r="C329" s="74" t="s">
        <v>19147</v>
      </c>
      <c r="D329" s="72"/>
      <c r="F329" s="57"/>
      <c r="G329" s="72"/>
      <c r="I329" s="57"/>
      <c r="J329" s="114" t="s">
        <v>17558</v>
      </c>
      <c r="K329" s="49"/>
      <c r="L329" s="50"/>
      <c r="M329" s="163"/>
      <c r="N329" s="45"/>
      <c r="O329" s="46"/>
      <c r="P329" s="512"/>
      <c r="Q329" s="57"/>
      <c r="R329" s="512"/>
      <c r="S329" s="57"/>
      <c r="T329" s="35"/>
      <c r="W329" s="57"/>
      <c r="X329" s="72" t="s">
        <v>17570</v>
      </c>
      <c r="AA329" s="57"/>
      <c r="AB329" s="208">
        <f>ROUND((ROUND((ROUND((_15_同援日２．０*_15・基礎２),0)*(1+_15・A深夜)),0)*(1+_15・区３)),0)+ROUND((ROUND((ROUND((_15_同援日２．０＿１．０*_15・基礎２),0)*(1+_15・B早朝)),0)*(1+_15・区３)),0)</f>
        <v>981</v>
      </c>
      <c r="AC329" s="48"/>
    </row>
    <row r="330" spans="1:29" ht="16.5" customHeight="1" x14ac:dyDescent="0.15">
      <c r="A330" s="41">
        <v>15</v>
      </c>
      <c r="B330" s="41">
        <v>9162</v>
      </c>
      <c r="C330" s="74" t="s">
        <v>19148</v>
      </c>
      <c r="D330" s="72"/>
      <c r="F330" s="57"/>
      <c r="G330" s="72"/>
      <c r="I330" s="57"/>
      <c r="J330" s="269" t="s">
        <v>17560</v>
      </c>
      <c r="K330" s="37" t="s">
        <v>398</v>
      </c>
      <c r="L330" s="38">
        <v>0.9</v>
      </c>
      <c r="M330" s="299" t="s">
        <v>17556</v>
      </c>
      <c r="N330" s="45" t="s">
        <v>398</v>
      </c>
      <c r="O330" s="46">
        <v>1</v>
      </c>
      <c r="P330" s="512"/>
      <c r="Q330" s="57"/>
      <c r="R330" s="512"/>
      <c r="S330" s="57"/>
      <c r="T330" s="43"/>
      <c r="U330" s="37"/>
      <c r="V330" s="38"/>
      <c r="W330" s="79"/>
      <c r="X330" s="72" t="s">
        <v>17572</v>
      </c>
      <c r="AA330" s="57"/>
      <c r="AB330" s="208">
        <f>ROUND((ROUND((ROUND((ROUND((_15_同援日２．０*_15・基礎２),0)*_15・２人),0)*(1+_15・A深夜)),0)*(1+_15・区３)),0)+ROUND((ROUND((ROUND((ROUND((_15_同援日２．０＿１．０*_15・基礎２),0)*_15・２人),0)*(1+_15・B早朝)),0)*(1+_15・区３)),0)</f>
        <v>981</v>
      </c>
      <c r="AC330" s="48"/>
    </row>
    <row r="331" spans="1:29" ht="16.5" customHeight="1" x14ac:dyDescent="0.15">
      <c r="A331" s="41">
        <v>15</v>
      </c>
      <c r="B331" s="41">
        <v>9163</v>
      </c>
      <c r="C331" s="74" t="s">
        <v>19149</v>
      </c>
      <c r="D331" s="72"/>
      <c r="F331" s="57"/>
      <c r="G331" s="72"/>
      <c r="I331" s="57"/>
      <c r="J331" s="53"/>
      <c r="K331" s="49"/>
      <c r="L331" s="50"/>
      <c r="M331" s="163"/>
      <c r="N331" s="45"/>
      <c r="O331" s="46"/>
      <c r="P331" s="512"/>
      <c r="Q331" s="57"/>
      <c r="R331" s="512"/>
      <c r="S331" s="57"/>
      <c r="T331" s="114" t="s">
        <v>17562</v>
      </c>
      <c r="U331" s="49"/>
      <c r="V331" s="50"/>
      <c r="W331" s="115"/>
      <c r="X331" s="35"/>
      <c r="Y331" s="12" t="s">
        <v>398</v>
      </c>
      <c r="Z331" s="13">
        <v>0.2</v>
      </c>
      <c r="AA331" s="57" t="s">
        <v>3575</v>
      </c>
      <c r="AB331" s="208">
        <f>ROUND((ROUND((ROUND((_15_同援日２．０*(1+_15・A深夜)),0)*(1+_15・盲ろう)),0)*(1+_15・区３)),0)+ROUND((ROUND((ROUND((_15_同援日２．０＿１．０*(1+_15・B早朝)),0)*(1+_15・盲ろう)),0)*(1+_15・区３)),0)</f>
        <v>1366</v>
      </c>
      <c r="AC331" s="48"/>
    </row>
    <row r="332" spans="1:29" ht="16.5" customHeight="1" x14ac:dyDescent="0.15">
      <c r="A332" s="41">
        <v>15</v>
      </c>
      <c r="B332" s="41">
        <v>9164</v>
      </c>
      <c r="C332" s="74" t="s">
        <v>19150</v>
      </c>
      <c r="D332" s="72"/>
      <c r="F332" s="57"/>
      <c r="G332" s="72"/>
      <c r="I332" s="57"/>
      <c r="J332" s="43"/>
      <c r="K332" s="37"/>
      <c r="L332" s="38"/>
      <c r="M332" s="299" t="s">
        <v>17556</v>
      </c>
      <c r="N332" s="45" t="s">
        <v>398</v>
      </c>
      <c r="O332" s="46">
        <v>1</v>
      </c>
      <c r="P332" s="512"/>
      <c r="Q332" s="57"/>
      <c r="R332" s="512"/>
      <c r="S332" s="57"/>
      <c r="T332" s="92" t="s">
        <v>17564</v>
      </c>
      <c r="W332" s="57"/>
      <c r="X332" s="35"/>
      <c r="AA332" s="57"/>
      <c r="AB332" s="208">
        <f>ROUND((ROUND((ROUND((ROUND((_15_同援日２．０*_15・２人),0)*(1+_15・A深夜)),0)*(1+_15・盲ろう)),0)*(1+_15・区３)),0)+ROUND((ROUND((ROUND((ROUND((_15_同援日２．０＿１．０*_15・２人),0)*(1+_15・B早朝)),0)*(1+_15・盲ろう)),0)*(1+_15・区３)),0)</f>
        <v>1366</v>
      </c>
      <c r="AC332" s="48"/>
    </row>
    <row r="333" spans="1:29" ht="16.5" customHeight="1" x14ac:dyDescent="0.15">
      <c r="A333" s="41">
        <v>15</v>
      </c>
      <c r="B333" s="41">
        <v>9165</v>
      </c>
      <c r="C333" s="74" t="s">
        <v>19151</v>
      </c>
      <c r="D333" s="72"/>
      <c r="F333" s="57"/>
      <c r="G333" s="72"/>
      <c r="I333" s="57"/>
      <c r="J333" s="114" t="s">
        <v>17558</v>
      </c>
      <c r="K333" s="49"/>
      <c r="L333" s="50"/>
      <c r="M333" s="163"/>
      <c r="N333" s="45"/>
      <c r="O333" s="46"/>
      <c r="P333" s="512"/>
      <c r="Q333" s="57"/>
      <c r="R333" s="512"/>
      <c r="S333" s="57"/>
      <c r="T333" s="35"/>
      <c r="U333" s="12" t="s">
        <v>398</v>
      </c>
      <c r="V333" s="13">
        <v>0.25</v>
      </c>
      <c r="W333" s="57" t="s">
        <v>3575</v>
      </c>
      <c r="X333" s="35"/>
      <c r="AA333" s="57"/>
      <c r="AB333" s="208">
        <f>ROUND((ROUND((ROUND((ROUND((_15_同援日２．０*_15・基礎２),0)*(1+_15・A深夜)),0)*(1+_15・盲ろう)),0)*(1+_15・区３)),0)+ROUND((ROUND((ROUND((ROUND((_15_同援日２．０＿１．０*_15・基礎２),0)*(1+_15・B早朝)),0)*(1+_15・盲ろう)),0)*(1+_15・区３)),0)</f>
        <v>1228</v>
      </c>
      <c r="AC333" s="48"/>
    </row>
    <row r="334" spans="1:29" ht="16.5" customHeight="1" x14ac:dyDescent="0.15">
      <c r="A334" s="41">
        <v>15</v>
      </c>
      <c r="B334" s="41">
        <v>9166</v>
      </c>
      <c r="C334" s="74" t="s">
        <v>19152</v>
      </c>
      <c r="D334" s="72"/>
      <c r="F334" s="57"/>
      <c r="G334" s="72"/>
      <c r="I334" s="57"/>
      <c r="J334" s="269" t="s">
        <v>17560</v>
      </c>
      <c r="K334" s="37" t="s">
        <v>398</v>
      </c>
      <c r="L334" s="38">
        <v>0.9</v>
      </c>
      <c r="M334" s="299" t="s">
        <v>17556</v>
      </c>
      <c r="N334" s="45" t="s">
        <v>398</v>
      </c>
      <c r="O334" s="46">
        <v>1</v>
      </c>
      <c r="P334" s="512"/>
      <c r="Q334" s="57"/>
      <c r="R334" s="512"/>
      <c r="S334" s="57"/>
      <c r="T334" s="43"/>
      <c r="U334" s="37"/>
      <c r="V334" s="38"/>
      <c r="W334" s="79"/>
      <c r="X334" s="43"/>
      <c r="Y334" s="37"/>
      <c r="Z334" s="38"/>
      <c r="AA334" s="79"/>
      <c r="AB334" s="208">
        <f>ROUND((ROUND((ROUND((ROUND((ROUND((_15_同援日２．０*_15・基礎２),0)*_15・２人),0)*(1+_15・A深夜)),0)*(1+_15・盲ろう)),0)*(1+_15・区３)),0)+ROUND((ROUND((ROUND((ROUND((ROUND((_15_同援日２．０＿１．０*_15・基礎２),0)*_15・２人),0)*(1+_15・B早朝)),0)*(1+_15・盲ろう)),0)*(1+_15・区３)),0)</f>
        <v>1228</v>
      </c>
      <c r="AC334" s="48"/>
    </row>
    <row r="335" spans="1:29" ht="16.5" customHeight="1" x14ac:dyDescent="0.15">
      <c r="A335" s="41">
        <v>15</v>
      </c>
      <c r="B335" s="41">
        <v>9167</v>
      </c>
      <c r="C335" s="74" t="s">
        <v>19153</v>
      </c>
      <c r="D335" s="72"/>
      <c r="F335" s="57"/>
      <c r="G335" s="72"/>
      <c r="I335" s="57"/>
      <c r="J335" s="53"/>
      <c r="K335" s="49"/>
      <c r="L335" s="50"/>
      <c r="M335" s="163"/>
      <c r="N335" s="45"/>
      <c r="O335" s="46"/>
      <c r="P335" s="512"/>
      <c r="Q335" s="57"/>
      <c r="R335" s="512"/>
      <c r="S335" s="57"/>
      <c r="T335" s="53"/>
      <c r="U335" s="49"/>
      <c r="V335" s="50"/>
      <c r="W335" s="115"/>
      <c r="X335" s="53"/>
      <c r="Y335" s="49"/>
      <c r="Z335" s="50"/>
      <c r="AA335" s="115"/>
      <c r="AB335" s="208">
        <f>ROUND((ROUND((_15_同援日２．０*(1+_15・A深夜)),0)*(1+_15・区４)),0)+ROUND((ROUND((_15_同援日２．０＿１．０*(1+_15・B早朝)),0)*(1+_15・区４)),0)</f>
        <v>1274</v>
      </c>
      <c r="AC335" s="48"/>
    </row>
    <row r="336" spans="1:29" ht="16.5" customHeight="1" x14ac:dyDescent="0.15">
      <c r="A336" s="41">
        <v>15</v>
      </c>
      <c r="B336" s="41">
        <v>9168</v>
      </c>
      <c r="C336" s="74" t="s">
        <v>19154</v>
      </c>
      <c r="D336" s="72"/>
      <c r="F336" s="57"/>
      <c r="G336" s="72"/>
      <c r="I336" s="57"/>
      <c r="J336" s="43"/>
      <c r="K336" s="37"/>
      <c r="L336" s="38"/>
      <c r="M336" s="299" t="s">
        <v>17556</v>
      </c>
      <c r="N336" s="45" t="s">
        <v>398</v>
      </c>
      <c r="O336" s="46">
        <v>1</v>
      </c>
      <c r="P336" s="512"/>
      <c r="Q336" s="57"/>
      <c r="R336" s="512"/>
      <c r="S336" s="57"/>
      <c r="T336" s="35"/>
      <c r="W336" s="57"/>
      <c r="X336" s="35"/>
      <c r="AA336" s="57"/>
      <c r="AB336" s="208">
        <f>ROUND((ROUND((ROUND((_15_同援日２．０*_15・２人),0)*(1+_15・A深夜)),0)*(1+_15・区４)),0)+ROUND((ROUND((ROUND((_15_同援日２．０＿１．０*_15・２人),0)*(1+_15・B早朝)),0)*(1+_15・区４)),0)</f>
        <v>1274</v>
      </c>
      <c r="AC336" s="48"/>
    </row>
    <row r="337" spans="1:29" ht="16.5" customHeight="1" x14ac:dyDescent="0.15">
      <c r="A337" s="41">
        <v>15</v>
      </c>
      <c r="B337" s="41">
        <v>9169</v>
      </c>
      <c r="C337" s="74" t="s">
        <v>19155</v>
      </c>
      <c r="D337" s="72"/>
      <c r="F337" s="57"/>
      <c r="G337" s="72"/>
      <c r="I337" s="57"/>
      <c r="J337" s="114" t="s">
        <v>17558</v>
      </c>
      <c r="K337" s="49"/>
      <c r="L337" s="50"/>
      <c r="M337" s="163"/>
      <c r="N337" s="45"/>
      <c r="O337" s="46"/>
      <c r="P337" s="512"/>
      <c r="Q337" s="57"/>
      <c r="R337" s="512"/>
      <c r="S337" s="57"/>
      <c r="T337" s="35"/>
      <c r="W337" s="57"/>
      <c r="X337" s="72" t="s">
        <v>17580</v>
      </c>
      <c r="AA337" s="57"/>
      <c r="AB337" s="208">
        <f>ROUND((ROUND((ROUND((_15_同援日２．０*_15・基礎２),0)*(1+_15・A深夜)),0)*(1+_15・区４)),0)+ROUND((ROUND((ROUND((_15_同援日２．０＿１．０*_15・基礎２),0)*(1+_15・B早朝)),0)*(1+_15・区４)),0)</f>
        <v>1145</v>
      </c>
      <c r="AC337" s="48"/>
    </row>
    <row r="338" spans="1:29" ht="16.5" customHeight="1" x14ac:dyDescent="0.15">
      <c r="A338" s="41">
        <v>15</v>
      </c>
      <c r="B338" s="41">
        <v>9170</v>
      </c>
      <c r="C338" s="74" t="s">
        <v>19156</v>
      </c>
      <c r="D338" s="72"/>
      <c r="F338" s="57"/>
      <c r="G338" s="72"/>
      <c r="I338" s="57"/>
      <c r="J338" s="269" t="s">
        <v>17560</v>
      </c>
      <c r="K338" s="37" t="s">
        <v>398</v>
      </c>
      <c r="L338" s="38">
        <v>0.9</v>
      </c>
      <c r="M338" s="299" t="s">
        <v>17556</v>
      </c>
      <c r="N338" s="45" t="s">
        <v>398</v>
      </c>
      <c r="O338" s="46">
        <v>1</v>
      </c>
      <c r="P338" s="512"/>
      <c r="Q338" s="57"/>
      <c r="R338" s="512"/>
      <c r="S338" s="57"/>
      <c r="T338" s="43"/>
      <c r="U338" s="37"/>
      <c r="V338" s="38"/>
      <c r="W338" s="79"/>
      <c r="X338" s="72" t="s">
        <v>17572</v>
      </c>
      <c r="AA338" s="57"/>
      <c r="AB338" s="208">
        <f>ROUND((ROUND((ROUND((ROUND((_15_同援日２．０*_15・基礎２),0)*_15・２人),0)*(1+_15・A深夜)),0)*(1+_15・区４)),0)+ROUND((ROUND((ROUND((ROUND((_15_同援日２．０＿１．０*_15・基礎２),0)*_15・２人),0)*(1+_15・B早朝)),0)*(1+_15・区４)),0)</f>
        <v>1145</v>
      </c>
      <c r="AC338" s="48"/>
    </row>
    <row r="339" spans="1:29" ht="16.5" customHeight="1" x14ac:dyDescent="0.15">
      <c r="A339" s="41">
        <v>15</v>
      </c>
      <c r="B339" s="41">
        <v>9171</v>
      </c>
      <c r="C339" s="74" t="s">
        <v>19157</v>
      </c>
      <c r="D339" s="72"/>
      <c r="F339" s="57"/>
      <c r="G339" s="72"/>
      <c r="I339" s="57"/>
      <c r="J339" s="53"/>
      <c r="K339" s="49"/>
      <c r="L339" s="50"/>
      <c r="M339" s="163"/>
      <c r="N339" s="45"/>
      <c r="O339" s="46"/>
      <c r="P339" s="512"/>
      <c r="Q339" s="57"/>
      <c r="R339" s="512"/>
      <c r="S339" s="57"/>
      <c r="T339" s="114" t="s">
        <v>17562</v>
      </c>
      <c r="U339" s="49"/>
      <c r="V339" s="50"/>
      <c r="W339" s="115"/>
      <c r="X339" s="35"/>
      <c r="Y339" s="12" t="s">
        <v>398</v>
      </c>
      <c r="Z339" s="13">
        <v>0.4</v>
      </c>
      <c r="AA339" s="57" t="s">
        <v>3575</v>
      </c>
      <c r="AB339" s="208">
        <f>ROUND((ROUND((ROUND((_15_同援日２．０*(1+_15・A深夜)),0)*(1+_15・盲ろう)),0)*(1+_15・区４)),0)+ROUND((ROUND((ROUND((_15_同援日２．０＿１．０*(1+_15・B早朝)),0)*(1+_15・盲ろう)),0)*(1+_15・区４)),0)</f>
        <v>1594</v>
      </c>
      <c r="AC339" s="48"/>
    </row>
    <row r="340" spans="1:29" ht="16.5" customHeight="1" x14ac:dyDescent="0.15">
      <c r="A340" s="41">
        <v>15</v>
      </c>
      <c r="B340" s="41">
        <v>9172</v>
      </c>
      <c r="C340" s="74" t="s">
        <v>19158</v>
      </c>
      <c r="D340" s="72"/>
      <c r="F340" s="57"/>
      <c r="G340" s="72"/>
      <c r="I340" s="57"/>
      <c r="J340" s="43"/>
      <c r="K340" s="37"/>
      <c r="L340" s="38"/>
      <c r="M340" s="299" t="s">
        <v>17556</v>
      </c>
      <c r="N340" s="45" t="s">
        <v>398</v>
      </c>
      <c r="O340" s="46">
        <v>1</v>
      </c>
      <c r="P340" s="512"/>
      <c r="Q340" s="57"/>
      <c r="R340" s="512"/>
      <c r="S340" s="57"/>
      <c r="T340" s="92" t="s">
        <v>17564</v>
      </c>
      <c r="W340" s="57"/>
      <c r="X340" s="35"/>
      <c r="AA340" s="57"/>
      <c r="AB340" s="208">
        <f>ROUND((ROUND((ROUND((ROUND((_15_同援日２．０*_15・２人),0)*(1+_15・A深夜)),0)*(1+_15・盲ろう)),0)*(1+_15・区４)),0)+ROUND((ROUND((ROUND((ROUND((_15_同援日２．０＿１．０*_15・２人),0)*(1+_15・B早朝)),0)*(1+_15・盲ろう)),0)*(1+_15・区４)),0)</f>
        <v>1594</v>
      </c>
      <c r="AC340" s="48"/>
    </row>
    <row r="341" spans="1:29" ht="16.5" customHeight="1" x14ac:dyDescent="0.15">
      <c r="A341" s="41">
        <v>15</v>
      </c>
      <c r="B341" s="41">
        <v>9173</v>
      </c>
      <c r="C341" s="74" t="s">
        <v>19159</v>
      </c>
      <c r="D341" s="72"/>
      <c r="F341" s="57"/>
      <c r="G341" s="72"/>
      <c r="I341" s="57"/>
      <c r="J341" s="114" t="s">
        <v>17558</v>
      </c>
      <c r="K341" s="49"/>
      <c r="L341" s="50"/>
      <c r="M341" s="163"/>
      <c r="N341" s="45"/>
      <c r="O341" s="46"/>
      <c r="P341" s="512"/>
      <c r="Q341" s="57"/>
      <c r="R341" s="512"/>
      <c r="S341" s="57"/>
      <c r="T341" s="35"/>
      <c r="U341" s="12" t="s">
        <v>398</v>
      </c>
      <c r="V341" s="13">
        <v>0.25</v>
      </c>
      <c r="W341" s="57" t="s">
        <v>3575</v>
      </c>
      <c r="X341" s="35"/>
      <c r="AA341" s="57"/>
      <c r="AB341" s="208">
        <f>ROUND((ROUND((ROUND((ROUND((_15_同援日２．０*_15・基礎２),0)*(1+_15・A深夜)),0)*(1+_15・盲ろう)),0)*(1+_15・区４)),0)+ROUND((ROUND((ROUND((ROUND((_15_同援日２．０＿１．０*_15・基礎２),0)*(1+_15・B早朝)),0)*(1+_15・盲ろう)),0)*(1+_15・区４)),0)</f>
        <v>1432</v>
      </c>
      <c r="AC341" s="48"/>
    </row>
    <row r="342" spans="1:29" ht="16.5" customHeight="1" x14ac:dyDescent="0.15">
      <c r="A342" s="41">
        <v>15</v>
      </c>
      <c r="B342" s="41">
        <v>9174</v>
      </c>
      <c r="C342" s="74" t="s">
        <v>19160</v>
      </c>
      <c r="D342" s="122"/>
      <c r="E342" s="37"/>
      <c r="F342" s="79"/>
      <c r="G342" s="122"/>
      <c r="H342" s="37"/>
      <c r="I342" s="79"/>
      <c r="J342" s="269" t="s">
        <v>17560</v>
      </c>
      <c r="K342" s="37" t="s">
        <v>398</v>
      </c>
      <c r="L342" s="38">
        <v>0.9</v>
      </c>
      <c r="M342" s="299" t="s">
        <v>17556</v>
      </c>
      <c r="N342" s="45" t="s">
        <v>398</v>
      </c>
      <c r="O342" s="46">
        <v>1</v>
      </c>
      <c r="P342" s="512"/>
      <c r="Q342" s="57"/>
      <c r="R342" s="512"/>
      <c r="S342" s="57"/>
      <c r="T342" s="43"/>
      <c r="U342" s="37"/>
      <c r="V342" s="38"/>
      <c r="W342" s="79"/>
      <c r="X342" s="43"/>
      <c r="Y342" s="37"/>
      <c r="Z342" s="38"/>
      <c r="AA342" s="79"/>
      <c r="AB342" s="208">
        <f>ROUND((ROUND((ROUND((ROUND((ROUND((_15_同援日２．０*_15・基礎２),0)*_15・２人),0)*(1+_15・A深夜)),0)*(1+_15・盲ろう)),0)*(1+_15・区４)),0)+ROUND((ROUND((ROUND((ROUND((ROUND((_15_同援日２．０＿１．０*_15・基礎２),0)*_15・２人),0)*(1+_15・B早朝)),0)*(1+_15・盲ろう)),0)*(1+_15・区４)),0)</f>
        <v>1432</v>
      </c>
      <c r="AC342" s="48"/>
    </row>
    <row r="343" spans="1:29" ht="16.5" customHeight="1" x14ac:dyDescent="0.15">
      <c r="A343" s="41">
        <v>15</v>
      </c>
      <c r="B343" s="41">
        <v>9175</v>
      </c>
      <c r="C343" s="74" t="s">
        <v>19161</v>
      </c>
      <c r="D343" s="114" t="s">
        <v>18588</v>
      </c>
      <c r="E343" s="49"/>
      <c r="F343" s="115"/>
      <c r="G343" s="114" t="s">
        <v>18819</v>
      </c>
      <c r="H343" s="49"/>
      <c r="I343" s="115"/>
      <c r="J343" s="53"/>
      <c r="K343" s="49"/>
      <c r="L343" s="50"/>
      <c r="M343" s="163"/>
      <c r="N343" s="45"/>
      <c r="O343" s="46"/>
      <c r="P343" s="512"/>
      <c r="Q343" s="57"/>
      <c r="R343" s="512"/>
      <c r="S343" s="57"/>
      <c r="T343" s="53"/>
      <c r="U343" s="49"/>
      <c r="V343" s="50"/>
      <c r="W343" s="115"/>
      <c r="X343" s="53"/>
      <c r="Y343" s="49"/>
      <c r="Z343" s="50"/>
      <c r="AA343" s="115"/>
      <c r="AB343" s="208">
        <f>ROUND((_15_同援日２．５*(1+_15・A深夜)),0)+ROUND((_15_同援日２．５＿０．５*(1+_15・B早朝)),0)</f>
        <v>926</v>
      </c>
      <c r="AC343" s="48"/>
    </row>
    <row r="344" spans="1:29" ht="16.5" customHeight="1" x14ac:dyDescent="0.15">
      <c r="A344" s="41">
        <v>15</v>
      </c>
      <c r="B344" s="41">
        <v>9176</v>
      </c>
      <c r="C344" s="74" t="s">
        <v>19162</v>
      </c>
      <c r="D344" s="72" t="s">
        <v>17670</v>
      </c>
      <c r="F344" s="57"/>
      <c r="G344" s="72" t="s">
        <v>18259</v>
      </c>
      <c r="I344" s="57"/>
      <c r="J344" s="43"/>
      <c r="K344" s="37"/>
      <c r="L344" s="38"/>
      <c r="M344" s="299" t="s">
        <v>17556</v>
      </c>
      <c r="N344" s="45" t="s">
        <v>398</v>
      </c>
      <c r="O344" s="46">
        <v>1</v>
      </c>
      <c r="P344" s="512"/>
      <c r="Q344" s="57"/>
      <c r="R344" s="512"/>
      <c r="S344" s="57"/>
      <c r="T344" s="35"/>
      <c r="W344" s="57"/>
      <c r="X344" s="35"/>
      <c r="AA344" s="57"/>
      <c r="AB344" s="208">
        <f>ROUND((ROUND((_15_同援日２．５*_15・２人),0)*(1+_15・A深夜)),0)+ROUND((ROUND((_15_同援日２．５＿０．５*_15・２人),0)*(1+_15・B早朝)),0)</f>
        <v>926</v>
      </c>
      <c r="AC344" s="48"/>
    </row>
    <row r="345" spans="1:29" ht="16.5" customHeight="1" x14ac:dyDescent="0.15">
      <c r="A345" s="41">
        <v>15</v>
      </c>
      <c r="B345" s="41">
        <v>9177</v>
      </c>
      <c r="C345" s="74" t="s">
        <v>19163</v>
      </c>
      <c r="D345" s="72" t="s">
        <v>17672</v>
      </c>
      <c r="F345" s="57"/>
      <c r="G345" s="72"/>
      <c r="I345" s="57"/>
      <c r="J345" s="114" t="s">
        <v>17558</v>
      </c>
      <c r="K345" s="49"/>
      <c r="L345" s="50"/>
      <c r="M345" s="163"/>
      <c r="N345" s="45"/>
      <c r="O345" s="46"/>
      <c r="P345" s="512"/>
      <c r="Q345" s="57"/>
      <c r="R345" s="512"/>
      <c r="S345" s="57"/>
      <c r="T345" s="35"/>
      <c r="W345" s="57"/>
      <c r="X345" s="35"/>
      <c r="AA345" s="57"/>
      <c r="AB345" s="208">
        <f>ROUND((ROUND((_15_同援日２．５*_15・基礎２),0)*(1+_15・A深夜)),0)+ROUND((ROUND((_15_同援日２．５＿０．５*_15・基礎２),0)*(1+_15・B早朝)),0)</f>
        <v>835</v>
      </c>
      <c r="AC345" s="48"/>
    </row>
    <row r="346" spans="1:29" ht="16.5" customHeight="1" x14ac:dyDescent="0.15">
      <c r="A346" s="41">
        <v>15</v>
      </c>
      <c r="B346" s="41">
        <v>9178</v>
      </c>
      <c r="C346" s="74" t="s">
        <v>19164</v>
      </c>
      <c r="D346" s="72"/>
      <c r="E346" s="168">
        <f>_15_同援日２．５</f>
        <v>563</v>
      </c>
      <c r="F346" s="57" t="s">
        <v>392</v>
      </c>
      <c r="G346" s="72"/>
      <c r="H346" s="168">
        <f>_15_同援日２．５＿０．５</f>
        <v>65</v>
      </c>
      <c r="I346" s="57" t="s">
        <v>392</v>
      </c>
      <c r="J346" s="269" t="s">
        <v>17560</v>
      </c>
      <c r="K346" s="37" t="s">
        <v>398</v>
      </c>
      <c r="L346" s="38">
        <v>0.9</v>
      </c>
      <c r="M346" s="299" t="s">
        <v>17556</v>
      </c>
      <c r="N346" s="45" t="s">
        <v>398</v>
      </c>
      <c r="O346" s="46">
        <v>1</v>
      </c>
      <c r="P346" s="512"/>
      <c r="Q346" s="57"/>
      <c r="R346" s="512"/>
      <c r="S346" s="57"/>
      <c r="T346" s="43"/>
      <c r="U346" s="37"/>
      <c r="V346" s="38"/>
      <c r="W346" s="79"/>
      <c r="X346" s="35"/>
      <c r="AA346" s="57"/>
      <c r="AB346" s="208">
        <f>ROUND((ROUND((ROUND((_15_同援日２．５*_15・基礎２),0)*_15・２人),0)*(1+_15・A深夜)),0)+ROUND((ROUND((ROUND((_15_同援日２．５＿０．５*_15・基礎２),0)*_15・２人),0)*(1+_15・B早朝)),0)</f>
        <v>835</v>
      </c>
      <c r="AC346" s="48"/>
    </row>
    <row r="347" spans="1:29" ht="16.5" customHeight="1" x14ac:dyDescent="0.15">
      <c r="A347" s="41">
        <v>15</v>
      </c>
      <c r="B347" s="41">
        <v>9179</v>
      </c>
      <c r="C347" s="74" t="s">
        <v>19165</v>
      </c>
      <c r="D347" s="72"/>
      <c r="F347" s="57"/>
      <c r="G347" s="72"/>
      <c r="I347" s="57"/>
      <c r="J347" s="53"/>
      <c r="K347" s="49"/>
      <c r="L347" s="50"/>
      <c r="M347" s="163"/>
      <c r="N347" s="45"/>
      <c r="O347" s="46"/>
      <c r="P347" s="512"/>
      <c r="Q347" s="57"/>
      <c r="R347" s="512"/>
      <c r="S347" s="57"/>
      <c r="T347" s="114" t="s">
        <v>17562</v>
      </c>
      <c r="U347" s="49"/>
      <c r="V347" s="50"/>
      <c r="W347" s="115"/>
      <c r="X347" s="35"/>
      <c r="AA347" s="57"/>
      <c r="AB347" s="208">
        <f>ROUND((ROUND((_15_同援日２．５*(1+_15・A深夜)),0)*(1+_15・盲ろう)),0)+ROUND((ROUND((_15_同援日２．５＿０．５*(1+_15・B早朝)),0)*(1+_15・盲ろう)),0)</f>
        <v>1157</v>
      </c>
      <c r="AC347" s="48"/>
    </row>
    <row r="348" spans="1:29" ht="16.5" customHeight="1" x14ac:dyDescent="0.15">
      <c r="A348" s="41">
        <v>15</v>
      </c>
      <c r="B348" s="41">
        <v>9180</v>
      </c>
      <c r="C348" s="74" t="s">
        <v>19166</v>
      </c>
      <c r="D348" s="72"/>
      <c r="F348" s="57"/>
      <c r="G348" s="72"/>
      <c r="I348" s="57"/>
      <c r="J348" s="43"/>
      <c r="K348" s="37"/>
      <c r="L348" s="38"/>
      <c r="M348" s="299" t="s">
        <v>17556</v>
      </c>
      <c r="N348" s="45" t="s">
        <v>398</v>
      </c>
      <c r="O348" s="46">
        <v>1</v>
      </c>
      <c r="P348" s="512"/>
      <c r="Q348" s="57"/>
      <c r="R348" s="512"/>
      <c r="S348" s="57"/>
      <c r="T348" s="92" t="s">
        <v>17564</v>
      </c>
      <c r="W348" s="57"/>
      <c r="X348" s="35"/>
      <c r="AA348" s="57"/>
      <c r="AB348" s="208">
        <f>ROUND((ROUND((ROUND((_15_同援日２．５*_15・２人),0)*(1+_15・A深夜)),0)*(1+_15・盲ろう)),0)+ROUND((ROUND((ROUND((_15_同援日２．５＿０．５*_15・２人),0)*(1+_15・B早朝)),0)*(1+_15・盲ろう)),0)</f>
        <v>1157</v>
      </c>
      <c r="AC348" s="48"/>
    </row>
    <row r="349" spans="1:29" ht="16.5" customHeight="1" x14ac:dyDescent="0.15">
      <c r="A349" s="41">
        <v>15</v>
      </c>
      <c r="B349" s="41">
        <v>9181</v>
      </c>
      <c r="C349" s="74" t="s">
        <v>19167</v>
      </c>
      <c r="D349" s="72"/>
      <c r="F349" s="57"/>
      <c r="G349" s="72"/>
      <c r="I349" s="57"/>
      <c r="J349" s="114" t="s">
        <v>17558</v>
      </c>
      <c r="K349" s="49"/>
      <c r="L349" s="50"/>
      <c r="M349" s="163"/>
      <c r="N349" s="45"/>
      <c r="O349" s="46"/>
      <c r="P349" s="512"/>
      <c r="Q349" s="57"/>
      <c r="R349" s="512"/>
      <c r="S349" s="57"/>
      <c r="T349" s="35"/>
      <c r="U349" s="12" t="s">
        <v>398</v>
      </c>
      <c r="V349" s="13">
        <v>0.25</v>
      </c>
      <c r="W349" s="57" t="s">
        <v>3575</v>
      </c>
      <c r="X349" s="35"/>
      <c r="AA349" s="57"/>
      <c r="AB349" s="208">
        <f>ROUND((ROUND((ROUND((_15_同援日２．５*_15・基礎２),0)*(1+_15・A深夜)),0)*(1+_15・盲ろう)),0)+ROUND((ROUND((ROUND((_15_同援日２．５＿０．５*_15・基礎２),0)*(1+_15・B早朝)),0)*(1+_15・盲ろう)),0)</f>
        <v>1044</v>
      </c>
      <c r="AC349" s="48"/>
    </row>
    <row r="350" spans="1:29" ht="16.5" customHeight="1" x14ac:dyDescent="0.15">
      <c r="A350" s="41">
        <v>15</v>
      </c>
      <c r="B350" s="41">
        <v>9182</v>
      </c>
      <c r="C350" s="74" t="s">
        <v>19168</v>
      </c>
      <c r="D350" s="72"/>
      <c r="F350" s="57"/>
      <c r="G350" s="72"/>
      <c r="I350" s="57"/>
      <c r="J350" s="269" t="s">
        <v>17560</v>
      </c>
      <c r="K350" s="37" t="s">
        <v>398</v>
      </c>
      <c r="L350" s="38">
        <v>0.9</v>
      </c>
      <c r="M350" s="299" t="s">
        <v>17556</v>
      </c>
      <c r="N350" s="45" t="s">
        <v>398</v>
      </c>
      <c r="O350" s="46">
        <v>1</v>
      </c>
      <c r="P350" s="512"/>
      <c r="Q350" s="57"/>
      <c r="R350" s="512"/>
      <c r="S350" s="57"/>
      <c r="T350" s="43"/>
      <c r="U350" s="37"/>
      <c r="V350" s="38"/>
      <c r="W350" s="79"/>
      <c r="X350" s="43"/>
      <c r="Y350" s="37"/>
      <c r="Z350" s="38"/>
      <c r="AA350" s="79"/>
      <c r="AB350" s="208">
        <f>ROUND((ROUND((ROUND((ROUND((_15_同援日２．５*_15・基礎２),0)*_15・２人),0)*(1+_15・A深夜)),0)*(1+_15・盲ろう)),0)+ROUND((ROUND((ROUND((ROUND((_15_同援日２．５＿０．５*_15・基礎２),0)*_15・２人),0)*(1+_15・B早朝)),0)*(1+_15・盲ろう)),0)</f>
        <v>1044</v>
      </c>
      <c r="AC350" s="48"/>
    </row>
    <row r="351" spans="1:29" ht="16.5" customHeight="1" x14ac:dyDescent="0.15">
      <c r="A351" s="41">
        <v>15</v>
      </c>
      <c r="B351" s="41">
        <v>9183</v>
      </c>
      <c r="C351" s="74" t="s">
        <v>19169</v>
      </c>
      <c r="D351" s="72"/>
      <c r="F351" s="57"/>
      <c r="G351" s="72"/>
      <c r="I351" s="57"/>
      <c r="J351" s="53"/>
      <c r="K351" s="49"/>
      <c r="L351" s="50"/>
      <c r="M351" s="163"/>
      <c r="N351" s="45"/>
      <c r="O351" s="46"/>
      <c r="P351" s="512"/>
      <c r="Q351" s="57"/>
      <c r="R351" s="512"/>
      <c r="S351" s="57"/>
      <c r="T351" s="53"/>
      <c r="U351" s="49"/>
      <c r="V351" s="50"/>
      <c r="W351" s="115"/>
      <c r="X351" s="53"/>
      <c r="Y351" s="49"/>
      <c r="Z351" s="50"/>
      <c r="AA351" s="115"/>
      <c r="AB351" s="208">
        <f>ROUND((ROUND((_15_同援日２．５*(1+_15・A深夜)),0)*(1+_15・区３)),0)+ROUND((ROUND((_15_同援日２．５＿０．５*(1+_15・B早朝)),0)*(1+_15・区３)),0)</f>
        <v>1111</v>
      </c>
      <c r="AC351" s="48"/>
    </row>
    <row r="352" spans="1:29" ht="16.5" customHeight="1" x14ac:dyDescent="0.15">
      <c r="A352" s="41">
        <v>15</v>
      </c>
      <c r="B352" s="41">
        <v>9184</v>
      </c>
      <c r="C352" s="74" t="s">
        <v>19170</v>
      </c>
      <c r="D352" s="72"/>
      <c r="F352" s="57"/>
      <c r="G352" s="72"/>
      <c r="I352" s="57"/>
      <c r="J352" s="43"/>
      <c r="K352" s="37"/>
      <c r="L352" s="38"/>
      <c r="M352" s="299" t="s">
        <v>17556</v>
      </c>
      <c r="N352" s="45" t="s">
        <v>398</v>
      </c>
      <c r="O352" s="46">
        <v>1</v>
      </c>
      <c r="P352" s="512"/>
      <c r="Q352" s="57"/>
      <c r="R352" s="512"/>
      <c r="S352" s="57"/>
      <c r="T352" s="35"/>
      <c r="W352" s="57"/>
      <c r="X352" s="35"/>
      <c r="AA352" s="57"/>
      <c r="AB352" s="208">
        <f>ROUND((ROUND((ROUND((_15_同援日２．５*_15・２人),0)*(1+_15・A深夜)),0)*(1+_15・区３)),0)+ROUND((ROUND((ROUND((_15_同援日２．５＿０．５*_15・２人),0)*(1+_15・B早朝)),0)*(1+_15・区３)),0)</f>
        <v>1111</v>
      </c>
      <c r="AC352" s="48"/>
    </row>
    <row r="353" spans="1:29" ht="16.5" customHeight="1" x14ac:dyDescent="0.15">
      <c r="A353" s="41">
        <v>15</v>
      </c>
      <c r="B353" s="41">
        <v>9185</v>
      </c>
      <c r="C353" s="74" t="s">
        <v>19171</v>
      </c>
      <c r="D353" s="72"/>
      <c r="F353" s="57"/>
      <c r="G353" s="72"/>
      <c r="I353" s="57"/>
      <c r="J353" s="114" t="s">
        <v>17558</v>
      </c>
      <c r="K353" s="49"/>
      <c r="L353" s="50"/>
      <c r="M353" s="163"/>
      <c r="N353" s="45"/>
      <c r="O353" s="46"/>
      <c r="P353" s="512"/>
      <c r="Q353" s="57"/>
      <c r="R353" s="512"/>
      <c r="S353" s="57"/>
      <c r="T353" s="35"/>
      <c r="W353" s="57"/>
      <c r="X353" s="72" t="s">
        <v>17570</v>
      </c>
      <c r="AA353" s="57"/>
      <c r="AB353" s="208">
        <f>ROUND((ROUND((ROUND((_15_同援日２．５*_15・基礎２),0)*(1+_15・A深夜)),0)*(1+_15・区３)),0)+ROUND((ROUND((ROUND((_15_同援日２．５＿０．５*_15・基礎２),0)*(1+_15・B早朝)),0)*(1+_15・区３)),0)</f>
        <v>1002</v>
      </c>
      <c r="AC353" s="48"/>
    </row>
    <row r="354" spans="1:29" ht="16.5" customHeight="1" x14ac:dyDescent="0.15">
      <c r="A354" s="41">
        <v>15</v>
      </c>
      <c r="B354" s="41">
        <v>9186</v>
      </c>
      <c r="C354" s="74" t="s">
        <v>19172</v>
      </c>
      <c r="D354" s="72"/>
      <c r="F354" s="57"/>
      <c r="G354" s="72"/>
      <c r="I354" s="57"/>
      <c r="J354" s="269" t="s">
        <v>17560</v>
      </c>
      <c r="K354" s="37" t="s">
        <v>398</v>
      </c>
      <c r="L354" s="38">
        <v>0.9</v>
      </c>
      <c r="M354" s="299" t="s">
        <v>17556</v>
      </c>
      <c r="N354" s="45" t="s">
        <v>398</v>
      </c>
      <c r="O354" s="46">
        <v>1</v>
      </c>
      <c r="P354" s="512"/>
      <c r="Q354" s="57"/>
      <c r="R354" s="512"/>
      <c r="S354" s="57"/>
      <c r="T354" s="43"/>
      <c r="U354" s="37"/>
      <c r="V354" s="38"/>
      <c r="W354" s="79"/>
      <c r="X354" s="72" t="s">
        <v>17572</v>
      </c>
      <c r="AA354" s="57"/>
      <c r="AB354" s="208">
        <f>ROUND((ROUND((ROUND((ROUND((_15_同援日２．５*_15・基礎２),0)*_15・２人),0)*(1+_15・A深夜)),0)*(1+_15・区３)),0)+ROUND((ROUND((ROUND((ROUND((_15_同援日２．５＿０．５*_15・基礎２),0)*_15・２人),0)*(1+_15・B早朝)),0)*(1+_15・区３)),0)</f>
        <v>1002</v>
      </c>
      <c r="AC354" s="48"/>
    </row>
    <row r="355" spans="1:29" ht="16.5" customHeight="1" x14ac:dyDescent="0.15">
      <c r="A355" s="41">
        <v>15</v>
      </c>
      <c r="B355" s="41">
        <v>9187</v>
      </c>
      <c r="C355" s="74" t="s">
        <v>19173</v>
      </c>
      <c r="D355" s="72"/>
      <c r="F355" s="57"/>
      <c r="G355" s="72"/>
      <c r="I355" s="57"/>
      <c r="J355" s="53"/>
      <c r="K355" s="49"/>
      <c r="L355" s="50"/>
      <c r="M355" s="163"/>
      <c r="N355" s="45"/>
      <c r="O355" s="46"/>
      <c r="P355" s="512"/>
      <c r="Q355" s="57"/>
      <c r="R355" s="512"/>
      <c r="S355" s="57"/>
      <c r="T355" s="114" t="s">
        <v>17562</v>
      </c>
      <c r="U355" s="49"/>
      <c r="V355" s="50"/>
      <c r="W355" s="115"/>
      <c r="X355" s="35"/>
      <c r="Y355" s="12" t="s">
        <v>398</v>
      </c>
      <c r="Z355" s="13">
        <v>0.2</v>
      </c>
      <c r="AA355" s="57" t="s">
        <v>3575</v>
      </c>
      <c r="AB355" s="208">
        <f>ROUND((ROUND((ROUND((_15_同援日２．５*(1+_15・A深夜)),0)*(1+_15・盲ろう)),0)*(1+_15・区３)),0)+ROUND((ROUND((ROUND((_15_同援日２．５＿０．５*(1+_15・B早朝)),0)*(1+_15・盲ろう)),0)*(1+_15・区３)),0)</f>
        <v>1388</v>
      </c>
      <c r="AC355" s="48"/>
    </row>
    <row r="356" spans="1:29" ht="16.5" customHeight="1" x14ac:dyDescent="0.15">
      <c r="A356" s="41">
        <v>15</v>
      </c>
      <c r="B356" s="41">
        <v>9188</v>
      </c>
      <c r="C356" s="74" t="s">
        <v>19174</v>
      </c>
      <c r="D356" s="72"/>
      <c r="F356" s="57"/>
      <c r="G356" s="72"/>
      <c r="I356" s="57"/>
      <c r="J356" s="43"/>
      <c r="K356" s="37"/>
      <c r="L356" s="38"/>
      <c r="M356" s="299" t="s">
        <v>17556</v>
      </c>
      <c r="N356" s="45" t="s">
        <v>398</v>
      </c>
      <c r="O356" s="46">
        <v>1</v>
      </c>
      <c r="P356" s="512"/>
      <c r="Q356" s="57"/>
      <c r="R356" s="512"/>
      <c r="S356" s="57"/>
      <c r="T356" s="92" t="s">
        <v>17564</v>
      </c>
      <c r="W356" s="57"/>
      <c r="X356" s="35"/>
      <c r="AA356" s="57"/>
      <c r="AB356" s="208">
        <f>ROUND((ROUND((ROUND((ROUND((_15_同援日２．５*_15・２人),0)*(1+_15・A深夜)),0)*(1+_15・盲ろう)),0)*(1+_15・区３)),0)+ROUND((ROUND((ROUND((ROUND((_15_同援日２．５＿０．５*_15・２人),0)*(1+_15・B早朝)),0)*(1+_15・盲ろう)),0)*(1+_15・区３)),0)</f>
        <v>1388</v>
      </c>
      <c r="AC356" s="48"/>
    </row>
    <row r="357" spans="1:29" ht="16.5" customHeight="1" x14ac:dyDescent="0.15">
      <c r="A357" s="41">
        <v>15</v>
      </c>
      <c r="B357" s="41">
        <v>9189</v>
      </c>
      <c r="C357" s="74" t="s">
        <v>19175</v>
      </c>
      <c r="D357" s="72"/>
      <c r="F357" s="57"/>
      <c r="G357" s="72"/>
      <c r="I357" s="57"/>
      <c r="J357" s="114" t="s">
        <v>17558</v>
      </c>
      <c r="K357" s="49"/>
      <c r="L357" s="50"/>
      <c r="M357" s="163"/>
      <c r="N357" s="45"/>
      <c r="O357" s="46"/>
      <c r="P357" s="512"/>
      <c r="Q357" s="57"/>
      <c r="R357" s="512"/>
      <c r="S357" s="57"/>
      <c r="T357" s="35"/>
      <c r="U357" s="12" t="s">
        <v>398</v>
      </c>
      <c r="V357" s="13">
        <v>0.25</v>
      </c>
      <c r="W357" s="57" t="s">
        <v>3575</v>
      </c>
      <c r="X357" s="35"/>
      <c r="AA357" s="57"/>
      <c r="AB357" s="208">
        <f>ROUND((ROUND((ROUND((ROUND((_15_同援日２．５*_15・基礎２),0)*(1+_15・A深夜)),0)*(1+_15・盲ろう)),0)*(1+_15・区３)),0)+ROUND((ROUND((ROUND((ROUND((_15_同援日２．５＿０．５*_15・基礎２),0)*(1+_15・B早朝)),0)*(1+_15・盲ろう)),0)*(1+_15・区３)),0)</f>
        <v>1253</v>
      </c>
      <c r="AC357" s="48"/>
    </row>
    <row r="358" spans="1:29" ht="16.5" customHeight="1" x14ac:dyDescent="0.15">
      <c r="A358" s="41">
        <v>15</v>
      </c>
      <c r="B358" s="41">
        <v>9190</v>
      </c>
      <c r="C358" s="74" t="s">
        <v>19176</v>
      </c>
      <c r="D358" s="72"/>
      <c r="F358" s="57"/>
      <c r="G358" s="72"/>
      <c r="I358" s="57"/>
      <c r="J358" s="269" t="s">
        <v>17560</v>
      </c>
      <c r="K358" s="37" t="s">
        <v>398</v>
      </c>
      <c r="L358" s="38">
        <v>0.9</v>
      </c>
      <c r="M358" s="299" t="s">
        <v>17556</v>
      </c>
      <c r="N358" s="45" t="s">
        <v>398</v>
      </c>
      <c r="O358" s="46">
        <v>1</v>
      </c>
      <c r="P358" s="512"/>
      <c r="Q358" s="57"/>
      <c r="R358" s="512"/>
      <c r="S358" s="57"/>
      <c r="T358" s="43"/>
      <c r="U358" s="37"/>
      <c r="V358" s="38"/>
      <c r="W358" s="79"/>
      <c r="X358" s="43"/>
      <c r="Y358" s="37"/>
      <c r="Z358" s="38"/>
      <c r="AA358" s="79"/>
      <c r="AB358" s="208">
        <f>ROUND((ROUND((ROUND((ROUND((ROUND((_15_同援日２．５*_15・基礎２),0)*_15・２人),0)*(1+_15・A深夜)),0)*(1+_15・盲ろう)),0)*(1+_15・区３)),0)+ROUND((ROUND((ROUND((ROUND((ROUND((_15_同援日２．５＿０．５*_15・基礎２),0)*_15・２人),0)*(1+_15・B早朝)),0)*(1+_15・盲ろう)),0)*(1+_15・区３)),0)</f>
        <v>1253</v>
      </c>
      <c r="AC358" s="48"/>
    </row>
    <row r="359" spans="1:29" ht="16.5" customHeight="1" x14ac:dyDescent="0.15">
      <c r="A359" s="41">
        <v>15</v>
      </c>
      <c r="B359" s="41">
        <v>9191</v>
      </c>
      <c r="C359" s="74" t="s">
        <v>19177</v>
      </c>
      <c r="D359" s="72"/>
      <c r="F359" s="57"/>
      <c r="G359" s="72"/>
      <c r="I359" s="57"/>
      <c r="J359" s="53"/>
      <c r="K359" s="49"/>
      <c r="L359" s="50"/>
      <c r="M359" s="163"/>
      <c r="N359" s="45"/>
      <c r="O359" s="46"/>
      <c r="P359" s="512"/>
      <c r="Q359" s="57"/>
      <c r="R359" s="512"/>
      <c r="S359" s="57"/>
      <c r="T359" s="53"/>
      <c r="U359" s="49"/>
      <c r="V359" s="50"/>
      <c r="W359" s="115"/>
      <c r="X359" s="53"/>
      <c r="Y359" s="49"/>
      <c r="Z359" s="50"/>
      <c r="AA359" s="115"/>
      <c r="AB359" s="208">
        <f>ROUND((ROUND((_15_同援日２．５*(1+_15・A深夜)),0)*(1+_15・区４)),0)+ROUND((ROUND((_15_同援日２．５＿０．５*(1+_15・B早朝)),0)*(1+_15・区４)),0)</f>
        <v>1296</v>
      </c>
      <c r="AC359" s="48"/>
    </row>
    <row r="360" spans="1:29" ht="16.5" customHeight="1" x14ac:dyDescent="0.15">
      <c r="A360" s="41">
        <v>15</v>
      </c>
      <c r="B360" s="41">
        <v>9192</v>
      </c>
      <c r="C360" s="74" t="s">
        <v>19178</v>
      </c>
      <c r="D360" s="72"/>
      <c r="F360" s="57"/>
      <c r="G360" s="72"/>
      <c r="I360" s="57"/>
      <c r="J360" s="43"/>
      <c r="K360" s="37"/>
      <c r="L360" s="38"/>
      <c r="M360" s="299" t="s">
        <v>17556</v>
      </c>
      <c r="N360" s="45" t="s">
        <v>398</v>
      </c>
      <c r="O360" s="46">
        <v>1</v>
      </c>
      <c r="P360" s="512"/>
      <c r="Q360" s="57"/>
      <c r="R360" s="512"/>
      <c r="S360" s="57"/>
      <c r="T360" s="35"/>
      <c r="W360" s="57"/>
      <c r="X360" s="35"/>
      <c r="AA360" s="57"/>
      <c r="AB360" s="208">
        <f>ROUND((ROUND((ROUND((_15_同援日２．５*_15・２人),0)*(1+_15・A深夜)),0)*(1+_15・区４)),0)+ROUND((ROUND((ROUND((_15_同援日２．５＿０．５*_15・２人),0)*(1+_15・B早朝)),0)*(1+_15・区４)),0)</f>
        <v>1296</v>
      </c>
      <c r="AC360" s="48"/>
    </row>
    <row r="361" spans="1:29" ht="16.5" customHeight="1" x14ac:dyDescent="0.15">
      <c r="A361" s="41">
        <v>15</v>
      </c>
      <c r="B361" s="41">
        <v>9193</v>
      </c>
      <c r="C361" s="74" t="s">
        <v>19179</v>
      </c>
      <c r="D361" s="72"/>
      <c r="F361" s="57"/>
      <c r="G361" s="72"/>
      <c r="I361" s="57"/>
      <c r="J361" s="114" t="s">
        <v>17558</v>
      </c>
      <c r="K361" s="49"/>
      <c r="L361" s="50"/>
      <c r="M361" s="163"/>
      <c r="N361" s="45"/>
      <c r="O361" s="46"/>
      <c r="P361" s="512"/>
      <c r="Q361" s="57"/>
      <c r="R361" s="512"/>
      <c r="S361" s="57"/>
      <c r="T361" s="35"/>
      <c r="W361" s="57"/>
      <c r="X361" s="72" t="s">
        <v>17580</v>
      </c>
      <c r="AA361" s="57"/>
      <c r="AB361" s="208">
        <f>ROUND((ROUND((ROUND((_15_同援日２．５*_15・基礎２),0)*(1+_15・A深夜)),0)*(1+_15・区４)),0)+ROUND((ROUND((ROUND((_15_同援日２．５＿０．５*_15・基礎２),0)*(1+_15・B早朝)),0)*(1+_15・区４)),0)</f>
        <v>1169</v>
      </c>
      <c r="AC361" s="48"/>
    </row>
    <row r="362" spans="1:29" ht="16.5" customHeight="1" x14ac:dyDescent="0.15">
      <c r="A362" s="41">
        <v>15</v>
      </c>
      <c r="B362" s="41">
        <v>9194</v>
      </c>
      <c r="C362" s="74" t="s">
        <v>19180</v>
      </c>
      <c r="D362" s="72"/>
      <c r="F362" s="57"/>
      <c r="G362" s="72"/>
      <c r="I362" s="57"/>
      <c r="J362" s="269" t="s">
        <v>17560</v>
      </c>
      <c r="K362" s="37" t="s">
        <v>398</v>
      </c>
      <c r="L362" s="38">
        <v>0.9</v>
      </c>
      <c r="M362" s="299" t="s">
        <v>17556</v>
      </c>
      <c r="N362" s="45" t="s">
        <v>398</v>
      </c>
      <c r="O362" s="46">
        <v>1</v>
      </c>
      <c r="P362" s="512"/>
      <c r="Q362" s="57"/>
      <c r="R362" s="512"/>
      <c r="S362" s="57"/>
      <c r="T362" s="43"/>
      <c r="U362" s="37"/>
      <c r="V362" s="38"/>
      <c r="W362" s="79"/>
      <c r="X362" s="72" t="s">
        <v>17572</v>
      </c>
      <c r="AA362" s="57"/>
      <c r="AB362" s="208">
        <f>ROUND((ROUND((ROUND((ROUND((_15_同援日２．５*_15・基礎２),0)*_15・２人),0)*(1+_15・A深夜)),0)*(1+_15・区４)),0)+ROUND((ROUND((ROUND((ROUND((_15_同援日２．５＿０．５*_15・基礎２),0)*_15・２人),0)*(1+_15・B早朝)),0)*(1+_15・区４)),0)</f>
        <v>1169</v>
      </c>
      <c r="AC362" s="48"/>
    </row>
    <row r="363" spans="1:29" ht="16.5" customHeight="1" x14ac:dyDescent="0.15">
      <c r="A363" s="41">
        <v>15</v>
      </c>
      <c r="B363" s="41">
        <v>9195</v>
      </c>
      <c r="C363" s="74" t="s">
        <v>19181</v>
      </c>
      <c r="D363" s="72"/>
      <c r="F363" s="57"/>
      <c r="G363" s="72"/>
      <c r="I363" s="57"/>
      <c r="J363" s="53"/>
      <c r="K363" s="49"/>
      <c r="L363" s="50"/>
      <c r="M363" s="163"/>
      <c r="N363" s="45"/>
      <c r="O363" s="46"/>
      <c r="P363" s="512"/>
      <c r="Q363" s="57"/>
      <c r="R363" s="512"/>
      <c r="S363" s="57"/>
      <c r="T363" s="114" t="s">
        <v>17562</v>
      </c>
      <c r="U363" s="49"/>
      <c r="V363" s="50"/>
      <c r="W363" s="115"/>
      <c r="X363" s="35"/>
      <c r="Y363" s="12" t="s">
        <v>398</v>
      </c>
      <c r="Z363" s="13">
        <v>0.4</v>
      </c>
      <c r="AA363" s="57" t="s">
        <v>3575</v>
      </c>
      <c r="AB363" s="208">
        <f>ROUND((ROUND((ROUND((_15_同援日２．５*(1+_15・A深夜)),0)*(1+_15・盲ろう)),0)*(1+_15・区４)),0)+ROUND((ROUND((ROUND((_15_同援日２．５＿０．５*(1+_15・B早朝)),0)*(1+_15・盲ろう)),0)*(1+_15・区４)),0)</f>
        <v>1619</v>
      </c>
      <c r="AC363" s="48"/>
    </row>
    <row r="364" spans="1:29" ht="16.5" customHeight="1" x14ac:dyDescent="0.15">
      <c r="A364" s="41">
        <v>15</v>
      </c>
      <c r="B364" s="41">
        <v>9196</v>
      </c>
      <c r="C364" s="74" t="s">
        <v>19182</v>
      </c>
      <c r="D364" s="72"/>
      <c r="F364" s="57"/>
      <c r="G364" s="72"/>
      <c r="I364" s="57"/>
      <c r="J364" s="43"/>
      <c r="K364" s="37"/>
      <c r="L364" s="38"/>
      <c r="M364" s="299" t="s">
        <v>17556</v>
      </c>
      <c r="N364" s="45" t="s">
        <v>398</v>
      </c>
      <c r="O364" s="46">
        <v>1</v>
      </c>
      <c r="P364" s="512"/>
      <c r="Q364" s="57"/>
      <c r="R364" s="512"/>
      <c r="S364" s="57"/>
      <c r="T364" s="92" t="s">
        <v>17564</v>
      </c>
      <c r="W364" s="57"/>
      <c r="X364" s="35"/>
      <c r="AA364" s="57"/>
      <c r="AB364" s="208">
        <f>ROUND((ROUND((ROUND((ROUND((_15_同援日２．５*_15・２人),0)*(1+_15・A深夜)),0)*(1+_15・盲ろう)),0)*(1+_15・区４)),0)+ROUND((ROUND((ROUND((ROUND((_15_同援日２．５＿０．５*_15・２人),0)*(1+_15・B早朝)),0)*(1+_15・盲ろう)),0)*(1+_15・区４)),0)</f>
        <v>1619</v>
      </c>
      <c r="AC364" s="48"/>
    </row>
    <row r="365" spans="1:29" ht="16.5" customHeight="1" x14ac:dyDescent="0.15">
      <c r="A365" s="41">
        <v>15</v>
      </c>
      <c r="B365" s="41">
        <v>9197</v>
      </c>
      <c r="C365" s="74" t="s">
        <v>19183</v>
      </c>
      <c r="D365" s="72"/>
      <c r="F365" s="57"/>
      <c r="G365" s="72"/>
      <c r="I365" s="57"/>
      <c r="J365" s="114" t="s">
        <v>17558</v>
      </c>
      <c r="K365" s="49"/>
      <c r="L365" s="50"/>
      <c r="M365" s="163"/>
      <c r="N365" s="45"/>
      <c r="O365" s="46"/>
      <c r="P365" s="512"/>
      <c r="Q365" s="57"/>
      <c r="R365" s="512"/>
      <c r="S365" s="57"/>
      <c r="T365" s="35"/>
      <c r="U365" s="12" t="s">
        <v>398</v>
      </c>
      <c r="V365" s="13">
        <v>0.25</v>
      </c>
      <c r="W365" s="57" t="s">
        <v>3575</v>
      </c>
      <c r="X365" s="35"/>
      <c r="AA365" s="57"/>
      <c r="AB365" s="208">
        <f>ROUND((ROUND((ROUND((ROUND((_15_同援日２．５*_15・基礎２),0)*(1+_15・A深夜)),0)*(1+_15・盲ろう)),0)*(1+_15・区４)),0)+ROUND((ROUND((ROUND((ROUND((_15_同援日２．５＿０．５*_15・基礎２),0)*(1+_15・B早朝)),0)*(1+_15・盲ろう)),0)*(1+_15・区４)),0)</f>
        <v>1461</v>
      </c>
      <c r="AC365" s="48"/>
    </row>
    <row r="366" spans="1:29" ht="16.5" customHeight="1" x14ac:dyDescent="0.15">
      <c r="A366" s="41">
        <v>15</v>
      </c>
      <c r="B366" s="41">
        <v>9198</v>
      </c>
      <c r="C366" s="74" t="s">
        <v>19184</v>
      </c>
      <c r="D366" s="122"/>
      <c r="E366" s="37"/>
      <c r="F366" s="79"/>
      <c r="G366" s="122"/>
      <c r="H366" s="37"/>
      <c r="I366" s="79"/>
      <c r="J366" s="269" t="s">
        <v>17560</v>
      </c>
      <c r="K366" s="37" t="s">
        <v>398</v>
      </c>
      <c r="L366" s="38">
        <v>0.9</v>
      </c>
      <c r="M366" s="299" t="s">
        <v>17556</v>
      </c>
      <c r="N366" s="45" t="s">
        <v>398</v>
      </c>
      <c r="O366" s="46">
        <v>1</v>
      </c>
      <c r="P366" s="514"/>
      <c r="Q366" s="79"/>
      <c r="R366" s="514"/>
      <c r="S366" s="79"/>
      <c r="T366" s="43"/>
      <c r="U366" s="37"/>
      <c r="V366" s="38"/>
      <c r="W366" s="79"/>
      <c r="X366" s="43"/>
      <c r="Y366" s="37"/>
      <c r="Z366" s="38"/>
      <c r="AA366" s="79"/>
      <c r="AB366" s="208">
        <f>ROUND((ROUND((ROUND((ROUND((ROUND((_15_同援日２．５*_15・基礎２),0)*_15・２人),0)*(1+_15・A深夜)),0)*(1+_15・盲ろう)),0)*(1+_15・区４)),0)+ROUND((ROUND((ROUND((ROUND((ROUND((_15_同援日２．５＿０．５*_15・基礎２),0)*_15・２人),0)*(1+_15・B早朝)),0)*(1+_15・盲ろう)),0)*(1+_15・区４)),0)</f>
        <v>1461</v>
      </c>
      <c r="AC366" s="63"/>
    </row>
    <row r="367" spans="1:29" ht="16.5" customHeight="1" x14ac:dyDescent="0.15"/>
    <row r="368" spans="1:29"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43" fitToHeight="0" orientation="portrait" r:id="rId1"/>
  <headerFooter>
    <oddHeader>&amp;R&amp;"ＭＳ Ｐゴシック"&amp;9同行援護</oddHeader>
    <oddFooter>&amp;C&amp;"ＭＳ Ｐゴシック"&amp;14&amp;P</oddFooter>
  </headerFooter>
  <rowBreaks count="3" manualBreakCount="3">
    <brk id="102" max="16383" man="1"/>
    <brk id="198" max="16383" man="1"/>
    <brk id="294"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5">
    <pageSetUpPr fitToPage="1"/>
  </sheetPr>
  <dimension ref="A1:AA368"/>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5.5" style="10" customWidth="1"/>
    <col min="5" max="5" width="4.125" style="12" bestFit="1" customWidth="1"/>
    <col min="6" max="6" width="4.875" style="12" bestFit="1" customWidth="1"/>
    <col min="7" max="7" width="5.5" style="10" customWidth="1"/>
    <col min="8" max="8" width="4.125" style="12" bestFit="1" customWidth="1"/>
    <col min="9" max="9" width="4.875" style="12" bestFit="1" customWidth="1"/>
    <col min="10" max="10" width="14.5" style="12" customWidth="1"/>
    <col min="11" max="11" width="3.125" style="12" bestFit="1" customWidth="1"/>
    <col min="12" max="12" width="4.125" style="13" bestFit="1" customWidth="1"/>
    <col min="13" max="13" width="26.5" style="12" bestFit="1" customWidth="1"/>
    <col min="14" max="14" width="3.125" style="12" bestFit="1" customWidth="1"/>
    <col min="15" max="15" width="5" style="13" bestFit="1" customWidth="1"/>
    <col min="16" max="16" width="4.125" style="13" customWidth="1"/>
    <col min="17" max="17" width="4.875" style="12" bestFit="1" customWidth="1"/>
    <col min="18" max="18" width="10.5" style="12" customWidth="1"/>
    <col min="19" max="19" width="3.125" style="12" bestFit="1" customWidth="1"/>
    <col min="20" max="20" width="4.125" style="13" bestFit="1" customWidth="1"/>
    <col min="21" max="21" width="4.875" style="12" bestFit="1" customWidth="1"/>
    <col min="22" max="22" width="8.5" style="12" customWidth="1"/>
    <col min="23" max="23" width="3.125" style="12" bestFit="1" customWidth="1"/>
    <col min="24" max="24" width="4.125" style="13" bestFit="1" customWidth="1"/>
    <col min="25" max="25" width="4.875" style="12" bestFit="1" customWidth="1"/>
    <col min="26" max="26" width="7.125" style="206" customWidth="1"/>
    <col min="27" max="27" width="8.5" style="16" customWidth="1"/>
    <col min="28" max="16384" width="9" style="12"/>
  </cols>
  <sheetData>
    <row r="1" spans="1:27" ht="17.100000000000001" customHeight="1" x14ac:dyDescent="0.15"/>
    <row r="2" spans="1:27" ht="17.100000000000001" customHeight="1" x14ac:dyDescent="0.15"/>
    <row r="3" spans="1:27" ht="17.100000000000001" customHeight="1" x14ac:dyDescent="0.15"/>
    <row r="4" spans="1:27" ht="17.100000000000001" customHeight="1" x14ac:dyDescent="0.15">
      <c r="B4" s="17" t="s">
        <v>19185</v>
      </c>
      <c r="D4" s="71"/>
    </row>
    <row r="5" spans="1:27" ht="16.5" customHeight="1" x14ac:dyDescent="0.15">
      <c r="A5" s="19" t="s">
        <v>384</v>
      </c>
      <c r="B5" s="20"/>
      <c r="C5" s="21" t="s">
        <v>385</v>
      </c>
      <c r="D5" s="23" t="s">
        <v>386</v>
      </c>
      <c r="E5" s="23"/>
      <c r="F5" s="23"/>
      <c r="G5" s="23"/>
      <c r="H5" s="23"/>
      <c r="I5" s="23"/>
      <c r="J5" s="23"/>
      <c r="K5" s="23"/>
      <c r="L5" s="24"/>
      <c r="M5" s="23"/>
      <c r="N5" s="23"/>
      <c r="O5" s="24"/>
      <c r="P5" s="24"/>
      <c r="Q5" s="23"/>
      <c r="R5" s="23"/>
      <c r="S5" s="23"/>
      <c r="T5" s="24"/>
      <c r="U5" s="23"/>
      <c r="V5" s="23"/>
      <c r="W5" s="23"/>
      <c r="X5" s="24"/>
      <c r="Y5" s="23"/>
      <c r="Z5" s="21" t="s">
        <v>387</v>
      </c>
      <c r="AA5" s="21" t="s">
        <v>388</v>
      </c>
    </row>
    <row r="6" spans="1:27" ht="16.5" customHeight="1" x14ac:dyDescent="0.15">
      <c r="A6" s="26" t="s">
        <v>389</v>
      </c>
      <c r="B6" s="26" t="s">
        <v>390</v>
      </c>
      <c r="C6" s="27"/>
      <c r="D6" s="87" t="s">
        <v>1032</v>
      </c>
      <c r="E6" s="187"/>
      <c r="F6" s="20"/>
      <c r="G6" s="29"/>
      <c r="H6" s="29"/>
      <c r="I6" s="29"/>
      <c r="J6" s="29"/>
      <c r="K6" s="29"/>
      <c r="L6" s="30"/>
      <c r="M6" s="29"/>
      <c r="N6" s="29"/>
      <c r="O6" s="30"/>
      <c r="P6" s="30"/>
      <c r="Q6" s="29"/>
      <c r="R6" s="29"/>
      <c r="S6" s="29"/>
      <c r="T6" s="30"/>
      <c r="U6" s="29"/>
      <c r="V6" s="29"/>
      <c r="W6" s="29"/>
      <c r="X6" s="30"/>
      <c r="Y6" s="29"/>
      <c r="Z6" s="32" t="s">
        <v>391</v>
      </c>
      <c r="AA6" s="32" t="s">
        <v>392</v>
      </c>
    </row>
    <row r="7" spans="1:27" ht="16.5" customHeight="1" x14ac:dyDescent="0.15">
      <c r="A7" s="33">
        <v>15</v>
      </c>
      <c r="B7" s="33">
        <v>9199</v>
      </c>
      <c r="C7" s="34" t="s">
        <v>19186</v>
      </c>
      <c r="D7" s="72" t="s">
        <v>18128</v>
      </c>
      <c r="F7" s="57"/>
      <c r="G7" s="72" t="s">
        <v>19187</v>
      </c>
      <c r="I7" s="57"/>
      <c r="J7" s="35"/>
      <c r="M7" s="43"/>
      <c r="N7" s="37"/>
      <c r="O7" s="38"/>
      <c r="P7" s="512"/>
      <c r="Q7" s="57"/>
      <c r="R7" s="35"/>
      <c r="U7" s="57"/>
      <c r="V7" s="35"/>
      <c r="Y7" s="57"/>
      <c r="Z7" s="207">
        <f>ROUND((_15_同援日０．５*(1+_15・A早朝)),0)+_15_同援日０．５＿０．５</f>
        <v>348</v>
      </c>
      <c r="AA7" s="40" t="s">
        <v>395</v>
      </c>
    </row>
    <row r="8" spans="1:27" ht="16.5" customHeight="1" x14ac:dyDescent="0.15">
      <c r="A8" s="41">
        <v>15</v>
      </c>
      <c r="B8" s="41">
        <v>9200</v>
      </c>
      <c r="C8" s="74" t="s">
        <v>19188</v>
      </c>
      <c r="D8" s="72" t="s">
        <v>18259</v>
      </c>
      <c r="F8" s="57"/>
      <c r="G8" s="72" t="s">
        <v>18259</v>
      </c>
      <c r="I8" s="57"/>
      <c r="J8" s="43"/>
      <c r="K8" s="37"/>
      <c r="L8" s="38"/>
      <c r="M8" s="299" t="s">
        <v>17556</v>
      </c>
      <c r="N8" s="45" t="s">
        <v>398</v>
      </c>
      <c r="O8" s="46">
        <v>1</v>
      </c>
      <c r="P8" s="512"/>
      <c r="Q8" s="57"/>
      <c r="R8" s="35"/>
      <c r="U8" s="57"/>
      <c r="V8" s="35"/>
      <c r="Y8" s="57"/>
      <c r="Z8" s="208">
        <f>ROUND((ROUND((_15_同援日０．５*_15・２人),0)*(1+_15・A早朝)),0)+ROUND((_15_同援日０．５＿０．５*_15・２人),0)</f>
        <v>348</v>
      </c>
      <c r="AA8" s="48"/>
    </row>
    <row r="9" spans="1:27" ht="16.5" customHeight="1" x14ac:dyDescent="0.15">
      <c r="A9" s="41">
        <v>15</v>
      </c>
      <c r="B9" s="41">
        <v>9201</v>
      </c>
      <c r="C9" s="74" t="s">
        <v>19189</v>
      </c>
      <c r="D9" s="72"/>
      <c r="F9" s="57"/>
      <c r="G9" s="72"/>
      <c r="I9" s="57"/>
      <c r="J9" s="114" t="s">
        <v>17558</v>
      </c>
      <c r="K9" s="49"/>
      <c r="L9" s="50"/>
      <c r="M9" s="163"/>
      <c r="N9" s="45"/>
      <c r="O9" s="46"/>
      <c r="P9" s="512"/>
      <c r="Q9" s="57"/>
      <c r="R9" s="35"/>
      <c r="U9" s="57"/>
      <c r="V9" s="35"/>
      <c r="Y9" s="57"/>
      <c r="Z9" s="208">
        <f>ROUND((ROUND((_15_同援日０．５*_15・基礎２),0)*(1+_15・A早朝)),0)+ROUND((_15_同援日０．５＿０．５*_15・基礎２),0)</f>
        <v>313</v>
      </c>
      <c r="AA9" s="48"/>
    </row>
    <row r="10" spans="1:27" ht="16.5" customHeight="1" x14ac:dyDescent="0.15">
      <c r="A10" s="41">
        <v>15</v>
      </c>
      <c r="B10" s="41">
        <v>9202</v>
      </c>
      <c r="C10" s="74" t="s">
        <v>19190</v>
      </c>
      <c r="D10" s="72"/>
      <c r="E10" s="168">
        <f>_15_同援日０．５</f>
        <v>190</v>
      </c>
      <c r="F10" s="57" t="s">
        <v>392</v>
      </c>
      <c r="G10" s="72"/>
      <c r="H10" s="168">
        <f>_15_同援日０．５＿０．５</f>
        <v>110</v>
      </c>
      <c r="I10" s="57" t="s">
        <v>392</v>
      </c>
      <c r="J10" s="269" t="s">
        <v>17560</v>
      </c>
      <c r="K10" s="37" t="s">
        <v>398</v>
      </c>
      <c r="L10" s="38">
        <v>0.9</v>
      </c>
      <c r="M10" s="299" t="s">
        <v>17556</v>
      </c>
      <c r="N10" s="45" t="s">
        <v>398</v>
      </c>
      <c r="O10" s="46">
        <v>1</v>
      </c>
      <c r="P10" s="512"/>
      <c r="Q10" s="57"/>
      <c r="R10" s="43"/>
      <c r="S10" s="37"/>
      <c r="T10" s="38"/>
      <c r="U10" s="79"/>
      <c r="V10" s="35"/>
      <c r="Y10" s="57"/>
      <c r="Z10" s="208">
        <f>ROUND((ROUND((ROUND((_15_同援日０．５*_15・基礎２),0)*_15・２人),0)*(1+_15・A早朝)),0)+ROUND((ROUND((_15_同援日０．５＿０．５*_15・基礎２),0)*_15・２人),0)</f>
        <v>313</v>
      </c>
      <c r="AA10" s="48"/>
    </row>
    <row r="11" spans="1:27" ht="16.5" customHeight="1" x14ac:dyDescent="0.15">
      <c r="A11" s="41">
        <v>15</v>
      </c>
      <c r="B11" s="41">
        <v>9203</v>
      </c>
      <c r="C11" s="74" t="s">
        <v>19191</v>
      </c>
      <c r="D11" s="72"/>
      <c r="F11" s="57"/>
      <c r="G11" s="72"/>
      <c r="I11" s="57"/>
      <c r="J11" s="53"/>
      <c r="K11" s="49"/>
      <c r="L11" s="50"/>
      <c r="M11" s="163"/>
      <c r="N11" s="45"/>
      <c r="O11" s="46"/>
      <c r="P11" s="512"/>
      <c r="Q11" s="57"/>
      <c r="R11" s="114" t="s">
        <v>17562</v>
      </c>
      <c r="S11" s="49"/>
      <c r="T11" s="50"/>
      <c r="U11" s="115"/>
      <c r="V11" s="35"/>
      <c r="Y11" s="57"/>
      <c r="Z11" s="208">
        <f>ROUND((ROUND((_15_同援日０．５*(1+_15・A早朝)),0)*(1+_15・盲ろう)),0)+ROUND((_15_同援日０．５＿０．５*(1+_15・盲ろう)),0)</f>
        <v>436</v>
      </c>
      <c r="AA11" s="48"/>
    </row>
    <row r="12" spans="1:27" ht="16.5" customHeight="1" x14ac:dyDescent="0.15">
      <c r="A12" s="41">
        <v>15</v>
      </c>
      <c r="B12" s="41">
        <v>9204</v>
      </c>
      <c r="C12" s="74" t="s">
        <v>19192</v>
      </c>
      <c r="D12" s="72"/>
      <c r="F12" s="57"/>
      <c r="G12" s="72"/>
      <c r="I12" s="57"/>
      <c r="J12" s="43"/>
      <c r="K12" s="37"/>
      <c r="L12" s="38"/>
      <c r="M12" s="299" t="s">
        <v>17556</v>
      </c>
      <c r="N12" s="45" t="s">
        <v>398</v>
      </c>
      <c r="O12" s="46">
        <v>1</v>
      </c>
      <c r="P12" s="517" t="s">
        <v>18134</v>
      </c>
      <c r="Q12" s="57"/>
      <c r="R12" s="92" t="s">
        <v>17564</v>
      </c>
      <c r="U12" s="57"/>
      <c r="V12" s="35"/>
      <c r="Y12" s="57"/>
      <c r="Z12" s="208">
        <f>ROUND((ROUND((ROUND((_15_同援日０．５*_15・２人),0)*(1+_15・A早朝)),0)*(1+_15・盲ろう)),0)+ROUND((ROUND((_15_同援日０．５＿０．５*_15・２人),0)*(1+_15・盲ろう)),0)</f>
        <v>436</v>
      </c>
      <c r="AA12" s="48"/>
    </row>
    <row r="13" spans="1:27" ht="16.5" customHeight="1" x14ac:dyDescent="0.15">
      <c r="A13" s="41">
        <v>15</v>
      </c>
      <c r="B13" s="41">
        <v>9205</v>
      </c>
      <c r="C13" s="74" t="s">
        <v>19193</v>
      </c>
      <c r="D13" s="72"/>
      <c r="F13" s="57"/>
      <c r="G13" s="72"/>
      <c r="I13" s="57"/>
      <c r="J13" s="114" t="s">
        <v>17558</v>
      </c>
      <c r="K13" s="49"/>
      <c r="L13" s="50"/>
      <c r="M13" s="163"/>
      <c r="N13" s="45"/>
      <c r="O13" s="46"/>
      <c r="P13" s="512"/>
      <c r="Q13" s="519" t="s">
        <v>18826</v>
      </c>
      <c r="R13" s="35"/>
      <c r="S13" s="12" t="s">
        <v>398</v>
      </c>
      <c r="T13" s="13">
        <v>0.25</v>
      </c>
      <c r="U13" s="57" t="s">
        <v>3575</v>
      </c>
      <c r="V13" s="35"/>
      <c r="Y13" s="57"/>
      <c r="Z13" s="208">
        <f>ROUND((ROUND((ROUND((_15_同援日０．５*_15・基礎２),0)*(1+_15・A早朝)),0)*(1+_15・盲ろう)),0)+ROUND((ROUND((_15_同援日０．５＿０．５*_15・基礎２),0)*(1+_15・盲ろう)),0)</f>
        <v>392</v>
      </c>
      <c r="AA13" s="48"/>
    </row>
    <row r="14" spans="1:27" ht="16.5" customHeight="1" x14ac:dyDescent="0.15">
      <c r="A14" s="41">
        <v>15</v>
      </c>
      <c r="B14" s="41">
        <v>9206</v>
      </c>
      <c r="C14" s="74" t="s">
        <v>19194</v>
      </c>
      <c r="D14" s="72"/>
      <c r="F14" s="57"/>
      <c r="G14" s="72"/>
      <c r="I14" s="57"/>
      <c r="J14" s="269" t="s">
        <v>17560</v>
      </c>
      <c r="K14" s="37" t="s">
        <v>398</v>
      </c>
      <c r="L14" s="38">
        <v>0.9</v>
      </c>
      <c r="M14" s="299" t="s">
        <v>17556</v>
      </c>
      <c r="N14" s="45" t="s">
        <v>398</v>
      </c>
      <c r="O14" s="46">
        <v>1</v>
      </c>
      <c r="P14" s="512"/>
      <c r="Q14" s="57"/>
      <c r="R14" s="43"/>
      <c r="S14" s="37"/>
      <c r="T14" s="38"/>
      <c r="U14" s="79"/>
      <c r="V14" s="43"/>
      <c r="W14" s="37"/>
      <c r="X14" s="38"/>
      <c r="Y14" s="79"/>
      <c r="Z14" s="208">
        <f>ROUND((ROUND((ROUND((ROUND((_15_同援日０．５*_15・基礎２),0)*_15・２人),0)*(1+_15・A早朝)),0)*(1+_15・盲ろう)),0)+ROUND((ROUND((ROUND((_15_同援日０．５＿０．５*_15・基礎２),0)*_15・２人),0)*(1+_15・盲ろう)),0)</f>
        <v>392</v>
      </c>
      <c r="AA14" s="48"/>
    </row>
    <row r="15" spans="1:27" ht="16.5" customHeight="1" x14ac:dyDescent="0.15">
      <c r="A15" s="41">
        <v>15</v>
      </c>
      <c r="B15" s="41">
        <v>9207</v>
      </c>
      <c r="C15" s="74" t="s">
        <v>19195</v>
      </c>
      <c r="D15" s="72"/>
      <c r="F15" s="57"/>
      <c r="G15" s="72"/>
      <c r="I15" s="57"/>
      <c r="J15" s="53"/>
      <c r="K15" s="49"/>
      <c r="L15" s="50"/>
      <c r="M15" s="163"/>
      <c r="N15" s="45"/>
      <c r="O15" s="46"/>
      <c r="P15" s="35" t="s">
        <v>398</v>
      </c>
      <c r="Q15" s="234">
        <v>0.25</v>
      </c>
      <c r="R15" s="53"/>
      <c r="S15" s="49"/>
      <c r="T15" s="50"/>
      <c r="U15" s="115"/>
      <c r="V15" s="53"/>
      <c r="W15" s="49"/>
      <c r="X15" s="50"/>
      <c r="Y15" s="115"/>
      <c r="Z15" s="208">
        <f>ROUND((ROUND((_15_同援日０．５*(1+_15・A早朝)),0)*(1+_15・区３)),0)+ROUND((_15_同援日０．５＿０．５*(1+_15・区３)),0)</f>
        <v>418</v>
      </c>
      <c r="AA15" s="48"/>
    </row>
    <row r="16" spans="1:27" ht="16.5" customHeight="1" x14ac:dyDescent="0.15">
      <c r="A16" s="41">
        <v>15</v>
      </c>
      <c r="B16" s="41">
        <v>9208</v>
      </c>
      <c r="C16" s="74" t="s">
        <v>19196</v>
      </c>
      <c r="D16" s="72"/>
      <c r="F16" s="57"/>
      <c r="G16" s="72"/>
      <c r="I16" s="57"/>
      <c r="J16" s="43"/>
      <c r="K16" s="37"/>
      <c r="L16" s="38"/>
      <c r="M16" s="299" t="s">
        <v>17556</v>
      </c>
      <c r="N16" s="45" t="s">
        <v>398</v>
      </c>
      <c r="O16" s="46">
        <v>1</v>
      </c>
      <c r="P16" s="512"/>
      <c r="Q16" s="513" t="s">
        <v>3575</v>
      </c>
      <c r="R16" s="35"/>
      <c r="U16" s="57"/>
      <c r="V16" s="35"/>
      <c r="Y16" s="57"/>
      <c r="Z16" s="208">
        <f>ROUND((ROUND((ROUND((_15_同援日０．５*_15・２人),0)*(1+_15・A早朝)),0)*(1+_15・区３)),0)+ROUND((ROUND((_15_同援日０．５＿０．５*_15・２人),0)*(1+_15・区３)),0)</f>
        <v>418</v>
      </c>
      <c r="AA16" s="48"/>
    </row>
    <row r="17" spans="1:27" ht="16.5" customHeight="1" x14ac:dyDescent="0.15">
      <c r="A17" s="41">
        <v>15</v>
      </c>
      <c r="B17" s="41">
        <v>9209</v>
      </c>
      <c r="C17" s="74" t="s">
        <v>19197</v>
      </c>
      <c r="D17" s="72"/>
      <c r="F17" s="57"/>
      <c r="G17" s="72"/>
      <c r="I17" s="57"/>
      <c r="J17" s="114" t="s">
        <v>17558</v>
      </c>
      <c r="K17" s="49"/>
      <c r="L17" s="50"/>
      <c r="M17" s="163"/>
      <c r="N17" s="45"/>
      <c r="O17" s="46"/>
      <c r="P17" s="512"/>
      <c r="Q17" s="57"/>
      <c r="R17" s="35"/>
      <c r="U17" s="57"/>
      <c r="V17" s="72" t="s">
        <v>17570</v>
      </c>
      <c r="Y17" s="57"/>
      <c r="Z17" s="208">
        <f>ROUND((ROUND((ROUND((_15_同援日０．５*_15・基礎２),0)*(1+_15・A早朝)),0)*(1+_15・区３)),0)+ROUND((ROUND((_15_同援日０．５＿０．５*_15・基礎２),0)*(1+_15・区３)),0)</f>
        <v>376</v>
      </c>
      <c r="AA17" s="48"/>
    </row>
    <row r="18" spans="1:27" ht="16.5" customHeight="1" x14ac:dyDescent="0.15">
      <c r="A18" s="41">
        <v>15</v>
      </c>
      <c r="B18" s="41">
        <v>9210</v>
      </c>
      <c r="C18" s="74" t="s">
        <v>19198</v>
      </c>
      <c r="D18" s="72"/>
      <c r="F18" s="57"/>
      <c r="G18" s="72"/>
      <c r="I18" s="57"/>
      <c r="J18" s="269" t="s">
        <v>17560</v>
      </c>
      <c r="K18" s="37" t="s">
        <v>398</v>
      </c>
      <c r="L18" s="38">
        <v>0.9</v>
      </c>
      <c r="M18" s="299" t="s">
        <v>17556</v>
      </c>
      <c r="N18" s="45" t="s">
        <v>398</v>
      </c>
      <c r="O18" s="46">
        <v>1</v>
      </c>
      <c r="P18" s="512"/>
      <c r="Q18" s="57"/>
      <c r="R18" s="43"/>
      <c r="S18" s="37"/>
      <c r="T18" s="38"/>
      <c r="U18" s="79"/>
      <c r="V18" s="72" t="s">
        <v>17572</v>
      </c>
      <c r="Y18" s="57"/>
      <c r="Z18" s="208">
        <f>ROUND((ROUND((ROUND((ROUND((_15_同援日０．５*_15・基礎２),0)*_15・２人),0)*(1+_15・A早朝)),0)*(1+_15・区３)),0)+ROUND((ROUND((ROUND((_15_同援日０．５＿０．５*_15・基礎２),0)*_15・２人),0)*(1+_15・区３)),0)</f>
        <v>376</v>
      </c>
      <c r="AA18" s="48"/>
    </row>
    <row r="19" spans="1:27" ht="16.5" customHeight="1" x14ac:dyDescent="0.15">
      <c r="A19" s="41">
        <v>15</v>
      </c>
      <c r="B19" s="41">
        <v>9211</v>
      </c>
      <c r="C19" s="74" t="s">
        <v>19199</v>
      </c>
      <c r="D19" s="72"/>
      <c r="F19" s="57"/>
      <c r="G19" s="72"/>
      <c r="I19" s="57"/>
      <c r="J19" s="53"/>
      <c r="K19" s="49"/>
      <c r="L19" s="50"/>
      <c r="M19" s="163"/>
      <c r="N19" s="45"/>
      <c r="O19" s="46"/>
      <c r="P19" s="512"/>
      <c r="Q19" s="57"/>
      <c r="R19" s="114" t="s">
        <v>17562</v>
      </c>
      <c r="S19" s="49"/>
      <c r="T19" s="50"/>
      <c r="U19" s="115"/>
      <c r="V19" s="35"/>
      <c r="W19" s="12" t="s">
        <v>398</v>
      </c>
      <c r="X19" s="13">
        <v>0.2</v>
      </c>
      <c r="Y19" s="57" t="s">
        <v>3575</v>
      </c>
      <c r="Z19" s="208">
        <f>ROUND((ROUND((ROUND((_15_同援日０．５*(1+_15・A早朝)),0)*(1+_15・盲ろう)),0)*(1+_15・区３)),0)+ROUND((ROUND((_15_同援日０．５＿０．５*(1+_15・盲ろう)),0)*(1+_15・区３)),0)</f>
        <v>524</v>
      </c>
      <c r="AA19" s="48"/>
    </row>
    <row r="20" spans="1:27" ht="16.5" customHeight="1" x14ac:dyDescent="0.15">
      <c r="A20" s="41">
        <v>15</v>
      </c>
      <c r="B20" s="41">
        <v>9212</v>
      </c>
      <c r="C20" s="74" t="s">
        <v>19200</v>
      </c>
      <c r="D20" s="72"/>
      <c r="F20" s="57"/>
      <c r="G20" s="72"/>
      <c r="I20" s="57"/>
      <c r="J20" s="43"/>
      <c r="K20" s="37"/>
      <c r="L20" s="38"/>
      <c r="M20" s="299" t="s">
        <v>17556</v>
      </c>
      <c r="N20" s="45" t="s">
        <v>398</v>
      </c>
      <c r="O20" s="46">
        <v>1</v>
      </c>
      <c r="P20" s="512"/>
      <c r="Q20" s="57"/>
      <c r="R20" s="92" t="s">
        <v>17564</v>
      </c>
      <c r="U20" s="57"/>
      <c r="V20" s="35"/>
      <c r="Y20" s="57"/>
      <c r="Z20" s="208">
        <f>ROUND((ROUND((ROUND((ROUND((_15_同援日０．５*_15・２人),0)*(1+_15・A早朝)),0)*(1+_15・盲ろう)),0)*(1+_15・区３)),0)+ROUND((ROUND((ROUND((_15_同援日０．５＿０．５*_15・２人),0)*(1+_15・盲ろう)),0)*(1+_15・区３)),0)</f>
        <v>524</v>
      </c>
      <c r="AA20" s="48"/>
    </row>
    <row r="21" spans="1:27" ht="16.5" customHeight="1" x14ac:dyDescent="0.15">
      <c r="A21" s="41">
        <v>15</v>
      </c>
      <c r="B21" s="41">
        <v>9213</v>
      </c>
      <c r="C21" s="74" t="s">
        <v>19201</v>
      </c>
      <c r="D21" s="72"/>
      <c r="F21" s="57"/>
      <c r="G21" s="72"/>
      <c r="I21" s="57"/>
      <c r="J21" s="114" t="s">
        <v>17558</v>
      </c>
      <c r="K21" s="49"/>
      <c r="L21" s="50"/>
      <c r="M21" s="163"/>
      <c r="N21" s="45"/>
      <c r="O21" s="46"/>
      <c r="P21" s="512"/>
      <c r="Q21" s="57"/>
      <c r="R21" s="35"/>
      <c r="S21" s="12" t="s">
        <v>398</v>
      </c>
      <c r="T21" s="13">
        <v>0.25</v>
      </c>
      <c r="U21" s="57" t="s">
        <v>3575</v>
      </c>
      <c r="V21" s="35"/>
      <c r="Y21" s="57"/>
      <c r="Z21" s="208">
        <f>ROUND((ROUND((ROUND((ROUND((_15_同援日０．５*_15・基礎２),0)*(1+_15・A早朝)),0)*(1+_15・盲ろう)),0)*(1+_15・区３)),0)+ROUND((ROUND((ROUND((_15_同援日０．５＿０．５*_15・基礎２),0)*(1+_15・盲ろう)),0)*(1+_15・区３)),0)</f>
        <v>471</v>
      </c>
      <c r="AA21" s="48"/>
    </row>
    <row r="22" spans="1:27" ht="16.5" customHeight="1" x14ac:dyDescent="0.15">
      <c r="A22" s="41">
        <v>15</v>
      </c>
      <c r="B22" s="41">
        <v>9214</v>
      </c>
      <c r="C22" s="74" t="s">
        <v>19202</v>
      </c>
      <c r="D22" s="72"/>
      <c r="F22" s="57"/>
      <c r="G22" s="72"/>
      <c r="I22" s="57"/>
      <c r="J22" s="269" t="s">
        <v>17560</v>
      </c>
      <c r="K22" s="37" t="s">
        <v>398</v>
      </c>
      <c r="L22" s="38">
        <v>0.9</v>
      </c>
      <c r="M22" s="299" t="s">
        <v>17556</v>
      </c>
      <c r="N22" s="45" t="s">
        <v>398</v>
      </c>
      <c r="O22" s="46">
        <v>1</v>
      </c>
      <c r="P22" s="512"/>
      <c r="Q22" s="57"/>
      <c r="R22" s="43"/>
      <c r="S22" s="37"/>
      <c r="T22" s="38"/>
      <c r="U22" s="79"/>
      <c r="V22" s="43"/>
      <c r="W22" s="37"/>
      <c r="X22" s="38"/>
      <c r="Y22" s="79"/>
      <c r="Z22" s="208">
        <f>ROUND((ROUND((ROUND((ROUND((ROUND((_15_同援日０．５*_15・基礎２),0)*_15・２人),0)*(1+_15・A早朝)),0)*(1+_15・盲ろう)),0)*(1+_15・区３)),0)+ROUND((ROUND((ROUND((ROUND((_15_同援日０．５＿０．５*_15・基礎２),0)*_15・２人),0)*(1+_15・盲ろう)),0)*(1+_15・区３)),0)</f>
        <v>471</v>
      </c>
      <c r="AA22" s="48"/>
    </row>
    <row r="23" spans="1:27" ht="16.5" customHeight="1" x14ac:dyDescent="0.15">
      <c r="A23" s="41">
        <v>15</v>
      </c>
      <c r="B23" s="41">
        <v>9215</v>
      </c>
      <c r="C23" s="74" t="s">
        <v>19203</v>
      </c>
      <c r="D23" s="72"/>
      <c r="F23" s="57"/>
      <c r="G23" s="72"/>
      <c r="I23" s="57"/>
      <c r="J23" s="53"/>
      <c r="K23" s="49"/>
      <c r="L23" s="50"/>
      <c r="M23" s="163"/>
      <c r="N23" s="45"/>
      <c r="O23" s="46"/>
      <c r="P23" s="512"/>
      <c r="Q23" s="57"/>
      <c r="R23" s="53"/>
      <c r="S23" s="49"/>
      <c r="T23" s="50"/>
      <c r="U23" s="115"/>
      <c r="V23" s="53"/>
      <c r="W23" s="49"/>
      <c r="X23" s="50"/>
      <c r="Y23" s="115"/>
      <c r="Z23" s="208">
        <f>ROUND((ROUND((_15_同援日０．５*(1+_15・A早朝)),0)*(1+_15・区４)),0)+ROUND((_15_同援日０．５＿０．５*(1+_15・区４)),0)</f>
        <v>487</v>
      </c>
      <c r="AA23" s="48"/>
    </row>
    <row r="24" spans="1:27" ht="16.5" customHeight="1" x14ac:dyDescent="0.15">
      <c r="A24" s="41">
        <v>15</v>
      </c>
      <c r="B24" s="41">
        <v>9216</v>
      </c>
      <c r="C24" s="74" t="s">
        <v>19204</v>
      </c>
      <c r="D24" s="72"/>
      <c r="F24" s="57"/>
      <c r="G24" s="72"/>
      <c r="I24" s="57"/>
      <c r="J24" s="43"/>
      <c r="K24" s="37"/>
      <c r="L24" s="38"/>
      <c r="M24" s="299" t="s">
        <v>17556</v>
      </c>
      <c r="N24" s="45" t="s">
        <v>398</v>
      </c>
      <c r="O24" s="46">
        <v>1</v>
      </c>
      <c r="P24" s="512"/>
      <c r="Q24" s="57"/>
      <c r="R24" s="35"/>
      <c r="U24" s="57"/>
      <c r="V24" s="35"/>
      <c r="Y24" s="57"/>
      <c r="Z24" s="208">
        <f>ROUND((ROUND((ROUND((_15_同援日０．５*_15・２人),0)*(1+_15・A早朝)),0)*(1+_15・区４)),0)+ROUND((ROUND((_15_同援日０．５＿０．５*_15・２人),0)*(1+_15・区４)),0)</f>
        <v>487</v>
      </c>
      <c r="AA24" s="48"/>
    </row>
    <row r="25" spans="1:27" ht="16.5" customHeight="1" x14ac:dyDescent="0.15">
      <c r="A25" s="41">
        <v>15</v>
      </c>
      <c r="B25" s="41">
        <v>9217</v>
      </c>
      <c r="C25" s="74" t="s">
        <v>19205</v>
      </c>
      <c r="D25" s="72"/>
      <c r="F25" s="57"/>
      <c r="G25" s="72"/>
      <c r="I25" s="57"/>
      <c r="J25" s="114" t="s">
        <v>17558</v>
      </c>
      <c r="K25" s="49"/>
      <c r="L25" s="50"/>
      <c r="M25" s="163"/>
      <c r="N25" s="45"/>
      <c r="O25" s="46"/>
      <c r="P25" s="512"/>
      <c r="Q25" s="57"/>
      <c r="R25" s="35"/>
      <c r="U25" s="57"/>
      <c r="V25" s="72" t="s">
        <v>17580</v>
      </c>
      <c r="Y25" s="57"/>
      <c r="Z25" s="208">
        <f>ROUND((ROUND((ROUND((_15_同援日０．５*_15・基礎２),0)*(1+_15・A早朝)),0)*(1+_15・区４)),0)+ROUND((ROUND((_15_同援日０．５＿０．５*_15・基礎２),0)*(1+_15・区４)),0)</f>
        <v>439</v>
      </c>
      <c r="AA25" s="48"/>
    </row>
    <row r="26" spans="1:27" ht="16.5" customHeight="1" x14ac:dyDescent="0.15">
      <c r="A26" s="41">
        <v>15</v>
      </c>
      <c r="B26" s="41">
        <v>9218</v>
      </c>
      <c r="C26" s="74" t="s">
        <v>19206</v>
      </c>
      <c r="D26" s="72"/>
      <c r="F26" s="57"/>
      <c r="G26" s="72"/>
      <c r="I26" s="57"/>
      <c r="J26" s="269" t="s">
        <v>17560</v>
      </c>
      <c r="K26" s="37" t="s">
        <v>398</v>
      </c>
      <c r="L26" s="38">
        <v>0.9</v>
      </c>
      <c r="M26" s="299" t="s">
        <v>17556</v>
      </c>
      <c r="N26" s="45" t="s">
        <v>398</v>
      </c>
      <c r="O26" s="46">
        <v>1</v>
      </c>
      <c r="P26" s="512"/>
      <c r="Q26" s="57"/>
      <c r="R26" s="43"/>
      <c r="S26" s="37"/>
      <c r="T26" s="38"/>
      <c r="U26" s="79"/>
      <c r="V26" s="72" t="s">
        <v>17572</v>
      </c>
      <c r="Y26" s="57"/>
      <c r="Z26" s="208">
        <f>ROUND((ROUND((ROUND((ROUND((_15_同援日０．５*_15・基礎２),0)*_15・２人),0)*(1+_15・A早朝)),0)*(1+_15・区４)),0)+ROUND((ROUND((ROUND((_15_同援日０．５＿０．５*_15・基礎２),0)*_15・２人),0)*(1+_15・区４)),0)</f>
        <v>439</v>
      </c>
      <c r="AA26" s="48"/>
    </row>
    <row r="27" spans="1:27" ht="16.5" customHeight="1" x14ac:dyDescent="0.15">
      <c r="A27" s="41">
        <v>15</v>
      </c>
      <c r="B27" s="41">
        <v>9219</v>
      </c>
      <c r="C27" s="74" t="s">
        <v>19207</v>
      </c>
      <c r="D27" s="72"/>
      <c r="F27" s="57"/>
      <c r="G27" s="72"/>
      <c r="I27" s="57"/>
      <c r="J27" s="53"/>
      <c r="K27" s="49"/>
      <c r="L27" s="50"/>
      <c r="M27" s="163"/>
      <c r="N27" s="45"/>
      <c r="O27" s="46"/>
      <c r="P27" s="512"/>
      <c r="Q27" s="57"/>
      <c r="R27" s="114" t="s">
        <v>17562</v>
      </c>
      <c r="S27" s="49"/>
      <c r="T27" s="50"/>
      <c r="U27" s="115"/>
      <c r="V27" s="35"/>
      <c r="W27" s="12" t="s">
        <v>398</v>
      </c>
      <c r="X27" s="13">
        <v>0.4</v>
      </c>
      <c r="Y27" s="57" t="s">
        <v>3575</v>
      </c>
      <c r="Z27" s="208">
        <f>ROUND((ROUND((ROUND((_15_同援日０．５*(1+_15・A早朝)),0)*(1+_15・盲ろう)),0)*(1+_15・区４)),0)+ROUND((ROUND((_15_同援日０．５＿０．５*(1+_15・盲ろう)),0)*(1+_15・区４)),0)</f>
        <v>610</v>
      </c>
      <c r="AA27" s="48"/>
    </row>
    <row r="28" spans="1:27" ht="16.5" customHeight="1" x14ac:dyDescent="0.15">
      <c r="A28" s="41">
        <v>15</v>
      </c>
      <c r="B28" s="41">
        <v>9220</v>
      </c>
      <c r="C28" s="74" t="s">
        <v>19208</v>
      </c>
      <c r="D28" s="72"/>
      <c r="F28" s="57"/>
      <c r="G28" s="72"/>
      <c r="I28" s="57"/>
      <c r="J28" s="43"/>
      <c r="K28" s="37"/>
      <c r="L28" s="38"/>
      <c r="M28" s="299" t="s">
        <v>17556</v>
      </c>
      <c r="N28" s="45" t="s">
        <v>398</v>
      </c>
      <c r="O28" s="46">
        <v>1</v>
      </c>
      <c r="P28" s="512"/>
      <c r="Q28" s="57"/>
      <c r="R28" s="92" t="s">
        <v>17564</v>
      </c>
      <c r="U28" s="57"/>
      <c r="V28" s="35"/>
      <c r="Y28" s="57"/>
      <c r="Z28" s="208">
        <f>ROUND((ROUND((ROUND((ROUND((_15_同援日０．５*_15・２人),0)*(1+_15・A早朝)),0)*(1+_15・盲ろう)),0)*(1+_15・区４)),0)+ROUND((ROUND((ROUND((_15_同援日０．５＿０．５*_15・２人),0)*(1+_15・盲ろう)),0)*(1+_15・区４)),0)</f>
        <v>610</v>
      </c>
      <c r="AA28" s="48"/>
    </row>
    <row r="29" spans="1:27" ht="16.5" customHeight="1" x14ac:dyDescent="0.15">
      <c r="A29" s="41">
        <v>15</v>
      </c>
      <c r="B29" s="41">
        <v>9221</v>
      </c>
      <c r="C29" s="74" t="s">
        <v>19209</v>
      </c>
      <c r="D29" s="72"/>
      <c r="F29" s="57"/>
      <c r="G29" s="72"/>
      <c r="I29" s="57"/>
      <c r="J29" s="114" t="s">
        <v>17558</v>
      </c>
      <c r="K29" s="49"/>
      <c r="L29" s="50"/>
      <c r="M29" s="163"/>
      <c r="N29" s="45"/>
      <c r="O29" s="46"/>
      <c r="P29" s="512"/>
      <c r="Q29" s="57"/>
      <c r="R29" s="35"/>
      <c r="S29" s="12" t="s">
        <v>398</v>
      </c>
      <c r="T29" s="13">
        <v>0.25</v>
      </c>
      <c r="U29" s="57" t="s">
        <v>3575</v>
      </c>
      <c r="V29" s="35"/>
      <c r="Y29" s="57"/>
      <c r="Z29" s="208">
        <f>ROUND((ROUND((ROUND((ROUND((_15_同援日０．５*_15・基礎２),0)*(1+_15・A早朝)),0)*(1+_15・盲ろう)),0)*(1+_15・区４)),0)+ROUND((ROUND((ROUND((_15_同援日０．５＿０．５*_15・基礎２),0)*(1+_15・盲ろう)),0)*(1+_15・区４)),0)</f>
        <v>549</v>
      </c>
      <c r="AA29" s="48"/>
    </row>
    <row r="30" spans="1:27" ht="16.5" customHeight="1" x14ac:dyDescent="0.15">
      <c r="A30" s="41">
        <v>15</v>
      </c>
      <c r="B30" s="41">
        <v>9222</v>
      </c>
      <c r="C30" s="74" t="s">
        <v>19210</v>
      </c>
      <c r="D30" s="72"/>
      <c r="F30" s="57"/>
      <c r="G30" s="122"/>
      <c r="H30" s="37"/>
      <c r="I30" s="79"/>
      <c r="J30" s="269" t="s">
        <v>17560</v>
      </c>
      <c r="K30" s="37" t="s">
        <v>398</v>
      </c>
      <c r="L30" s="38">
        <v>0.9</v>
      </c>
      <c r="M30" s="299" t="s">
        <v>17556</v>
      </c>
      <c r="N30" s="45" t="s">
        <v>398</v>
      </c>
      <c r="O30" s="46">
        <v>1</v>
      </c>
      <c r="P30" s="512"/>
      <c r="Q30" s="57"/>
      <c r="R30" s="43"/>
      <c r="S30" s="37"/>
      <c r="T30" s="38"/>
      <c r="U30" s="79"/>
      <c r="V30" s="43"/>
      <c r="W30" s="37"/>
      <c r="X30" s="38"/>
      <c r="Y30" s="79"/>
      <c r="Z30" s="208">
        <f>ROUND((ROUND((ROUND((ROUND((ROUND((_15_同援日０．５*_15・基礎２),0)*_15・２人),0)*(1+_15・A早朝)),0)*(1+_15・盲ろう)),0)*(1+_15・区４)),0)+ROUND((ROUND((ROUND((ROUND((_15_同援日０．５＿０．５*_15・基礎２),0)*_15・２人),0)*(1+_15・盲ろう)),0)*(1+_15・区４)),0)</f>
        <v>549</v>
      </c>
      <c r="AA30" s="48"/>
    </row>
    <row r="31" spans="1:27" ht="16.5" customHeight="1" x14ac:dyDescent="0.15">
      <c r="A31" s="41">
        <v>15</v>
      </c>
      <c r="B31" s="41">
        <v>9223</v>
      </c>
      <c r="C31" s="74" t="s">
        <v>19211</v>
      </c>
      <c r="D31" s="72"/>
      <c r="F31" s="57"/>
      <c r="G31" s="114" t="s">
        <v>19212</v>
      </c>
      <c r="H31" s="49"/>
      <c r="I31" s="115"/>
      <c r="J31" s="53"/>
      <c r="K31" s="49"/>
      <c r="L31" s="50"/>
      <c r="M31" s="163"/>
      <c r="N31" s="45"/>
      <c r="O31" s="46"/>
      <c r="P31" s="512"/>
      <c r="Q31" s="57"/>
      <c r="R31" s="53"/>
      <c r="S31" s="49"/>
      <c r="T31" s="50"/>
      <c r="U31" s="115"/>
      <c r="V31" s="53"/>
      <c r="W31" s="49"/>
      <c r="X31" s="50"/>
      <c r="Y31" s="115"/>
      <c r="Z31" s="208">
        <f>ROUND((_15_同援日０．５*(1+_15・A早朝)),0)+_15_同援日０．５＿１．０</f>
        <v>481</v>
      </c>
      <c r="AA31" s="48"/>
    </row>
    <row r="32" spans="1:27" ht="16.5" customHeight="1" x14ac:dyDescent="0.15">
      <c r="A32" s="41">
        <v>15</v>
      </c>
      <c r="B32" s="41">
        <v>9224</v>
      </c>
      <c r="C32" s="74" t="s">
        <v>19213</v>
      </c>
      <c r="D32" s="72"/>
      <c r="F32" s="57"/>
      <c r="G32" s="72" t="s">
        <v>17589</v>
      </c>
      <c r="I32" s="57"/>
      <c r="J32" s="43"/>
      <c r="K32" s="37"/>
      <c r="L32" s="38"/>
      <c r="M32" s="299" t="s">
        <v>17556</v>
      </c>
      <c r="N32" s="45" t="s">
        <v>398</v>
      </c>
      <c r="O32" s="46">
        <v>1</v>
      </c>
      <c r="P32" s="512"/>
      <c r="Q32" s="57"/>
      <c r="R32" s="35"/>
      <c r="U32" s="57"/>
      <c r="V32" s="35"/>
      <c r="Y32" s="57"/>
      <c r="Z32" s="208">
        <f>ROUND((ROUND((_15_同援日０．５*_15・２人),0)*(1+_15・A早朝)),0)+ROUND((_15_同援日０．５＿１．０*_15・２人),0)</f>
        <v>481</v>
      </c>
      <c r="AA32" s="48"/>
    </row>
    <row r="33" spans="1:27" ht="16.5" customHeight="1" x14ac:dyDescent="0.15">
      <c r="A33" s="41">
        <v>15</v>
      </c>
      <c r="B33" s="41">
        <v>9225</v>
      </c>
      <c r="C33" s="74" t="s">
        <v>19214</v>
      </c>
      <c r="D33" s="72"/>
      <c r="F33" s="57"/>
      <c r="G33" s="72" t="s">
        <v>17591</v>
      </c>
      <c r="I33" s="57"/>
      <c r="J33" s="114" t="s">
        <v>17558</v>
      </c>
      <c r="K33" s="49"/>
      <c r="L33" s="50"/>
      <c r="M33" s="163"/>
      <c r="N33" s="45"/>
      <c r="O33" s="46"/>
      <c r="P33" s="512"/>
      <c r="Q33" s="57"/>
      <c r="R33" s="35"/>
      <c r="U33" s="57"/>
      <c r="V33" s="35"/>
      <c r="Y33" s="57"/>
      <c r="Z33" s="208">
        <f>ROUND((ROUND((_15_同援日０．５*_15・基礎２),0)*(1+_15・A早朝)),0)+ROUND((_15_同援日０．５＿１．０*_15・基礎２),0)</f>
        <v>433</v>
      </c>
      <c r="AA33" s="48"/>
    </row>
    <row r="34" spans="1:27" ht="16.5" customHeight="1" x14ac:dyDescent="0.15">
      <c r="A34" s="41">
        <v>15</v>
      </c>
      <c r="B34" s="41">
        <v>9226</v>
      </c>
      <c r="C34" s="74" t="s">
        <v>19215</v>
      </c>
      <c r="D34" s="72"/>
      <c r="F34" s="57"/>
      <c r="G34" s="72"/>
      <c r="H34" s="168">
        <f>_15_同援日０．５＿１．０</f>
        <v>243</v>
      </c>
      <c r="I34" s="57" t="s">
        <v>392</v>
      </c>
      <c r="J34" s="269" t="s">
        <v>17560</v>
      </c>
      <c r="K34" s="37" t="s">
        <v>398</v>
      </c>
      <c r="L34" s="38">
        <v>0.9</v>
      </c>
      <c r="M34" s="299" t="s">
        <v>17556</v>
      </c>
      <c r="N34" s="45" t="s">
        <v>398</v>
      </c>
      <c r="O34" s="46">
        <v>1</v>
      </c>
      <c r="P34" s="512"/>
      <c r="Q34" s="57"/>
      <c r="R34" s="43"/>
      <c r="S34" s="37"/>
      <c r="T34" s="38"/>
      <c r="U34" s="79"/>
      <c r="V34" s="35"/>
      <c r="Y34" s="57"/>
      <c r="Z34" s="208">
        <f>ROUND((ROUND((ROUND((_15_同援日０．５*_15・基礎２),0)*_15・２人),0)*(1+_15・A早朝)),0)+ROUND((ROUND((_15_同援日０．５＿１．０*_15・基礎２),0)*_15・２人),0)</f>
        <v>433</v>
      </c>
      <c r="AA34" s="48"/>
    </row>
    <row r="35" spans="1:27" ht="16.5" customHeight="1" x14ac:dyDescent="0.15">
      <c r="A35" s="41">
        <v>15</v>
      </c>
      <c r="B35" s="41">
        <v>9227</v>
      </c>
      <c r="C35" s="74" t="s">
        <v>19216</v>
      </c>
      <c r="D35" s="72"/>
      <c r="F35" s="57"/>
      <c r="G35" s="72"/>
      <c r="I35" s="57"/>
      <c r="J35" s="53"/>
      <c r="K35" s="49"/>
      <c r="L35" s="50"/>
      <c r="M35" s="163"/>
      <c r="N35" s="45"/>
      <c r="O35" s="46"/>
      <c r="P35" s="512"/>
      <c r="Q35" s="57"/>
      <c r="R35" s="114" t="s">
        <v>17562</v>
      </c>
      <c r="S35" s="49"/>
      <c r="T35" s="50"/>
      <c r="U35" s="115"/>
      <c r="V35" s="35"/>
      <c r="Y35" s="57"/>
      <c r="Z35" s="208">
        <f>ROUND((ROUND((_15_同援日０．５*(1+_15・A早朝)),0)*(1+_15・盲ろう)),0)+ROUND((_15_同援日０．５＿１．０*(1+_15・盲ろう)),0)</f>
        <v>602</v>
      </c>
      <c r="AA35" s="48"/>
    </row>
    <row r="36" spans="1:27" ht="16.5" customHeight="1" x14ac:dyDescent="0.15">
      <c r="A36" s="41">
        <v>15</v>
      </c>
      <c r="B36" s="41">
        <v>9228</v>
      </c>
      <c r="C36" s="74" t="s">
        <v>19217</v>
      </c>
      <c r="D36" s="72"/>
      <c r="F36" s="57"/>
      <c r="G36" s="72"/>
      <c r="I36" s="57"/>
      <c r="J36" s="43"/>
      <c r="K36" s="37"/>
      <c r="L36" s="38"/>
      <c r="M36" s="299" t="s">
        <v>17556</v>
      </c>
      <c r="N36" s="45" t="s">
        <v>398</v>
      </c>
      <c r="O36" s="46">
        <v>1</v>
      </c>
      <c r="P36" s="512"/>
      <c r="Q36" s="57"/>
      <c r="R36" s="92" t="s">
        <v>17564</v>
      </c>
      <c r="U36" s="57"/>
      <c r="V36" s="35"/>
      <c r="Y36" s="57"/>
      <c r="Z36" s="208">
        <f>ROUND((ROUND((ROUND((_15_同援日０．５*_15・２人),0)*(1+_15・A早朝)),0)*(1+_15・盲ろう)),0)+ROUND((ROUND((_15_同援日０．５＿１．０*_15・２人),0)*(1+_15・盲ろう)),0)</f>
        <v>602</v>
      </c>
      <c r="AA36" s="48"/>
    </row>
    <row r="37" spans="1:27" ht="16.5" customHeight="1" x14ac:dyDescent="0.15">
      <c r="A37" s="41">
        <v>15</v>
      </c>
      <c r="B37" s="41">
        <v>9229</v>
      </c>
      <c r="C37" s="74" t="s">
        <v>19218</v>
      </c>
      <c r="D37" s="72"/>
      <c r="F37" s="57"/>
      <c r="G37" s="72"/>
      <c r="I37" s="57"/>
      <c r="J37" s="114" t="s">
        <v>17558</v>
      </c>
      <c r="K37" s="49"/>
      <c r="L37" s="50"/>
      <c r="M37" s="163"/>
      <c r="N37" s="45"/>
      <c r="O37" s="46"/>
      <c r="P37" s="512"/>
      <c r="Q37" s="57"/>
      <c r="R37" s="35"/>
      <c r="S37" s="12" t="s">
        <v>398</v>
      </c>
      <c r="T37" s="13">
        <v>0.25</v>
      </c>
      <c r="U37" s="57" t="s">
        <v>3575</v>
      </c>
      <c r="V37" s="35"/>
      <c r="Y37" s="57"/>
      <c r="Z37" s="208">
        <f>ROUND((ROUND((ROUND((_15_同援日０．５*_15・基礎２),0)*(1+_15・A早朝)),0)*(1+_15・盲ろう)),0)+ROUND((ROUND((_15_同援日０．５＿１．０*_15・基礎２),0)*(1+_15・盲ろう)),0)</f>
        <v>542</v>
      </c>
      <c r="AA37" s="48"/>
    </row>
    <row r="38" spans="1:27" ht="16.5" customHeight="1" x14ac:dyDescent="0.15">
      <c r="A38" s="41">
        <v>15</v>
      </c>
      <c r="B38" s="41">
        <v>9230</v>
      </c>
      <c r="C38" s="74" t="s">
        <v>19219</v>
      </c>
      <c r="D38" s="72"/>
      <c r="F38" s="57"/>
      <c r="G38" s="72"/>
      <c r="I38" s="57"/>
      <c r="J38" s="269" t="s">
        <v>17560</v>
      </c>
      <c r="K38" s="37" t="s">
        <v>398</v>
      </c>
      <c r="L38" s="38">
        <v>0.9</v>
      </c>
      <c r="M38" s="299" t="s">
        <v>17556</v>
      </c>
      <c r="N38" s="45" t="s">
        <v>398</v>
      </c>
      <c r="O38" s="46">
        <v>1</v>
      </c>
      <c r="P38" s="512"/>
      <c r="Q38" s="57"/>
      <c r="R38" s="43"/>
      <c r="S38" s="37"/>
      <c r="T38" s="38"/>
      <c r="U38" s="79"/>
      <c r="V38" s="43"/>
      <c r="W38" s="37"/>
      <c r="X38" s="38"/>
      <c r="Y38" s="79"/>
      <c r="Z38" s="208">
        <f>ROUND((ROUND((ROUND((ROUND((_15_同援日０．５*_15・基礎２),0)*_15・２人),0)*(1+_15・A早朝)),0)*(1+_15・盲ろう)),0)+ROUND((ROUND((ROUND((_15_同援日０．５＿１．０*_15・基礎２),0)*_15・２人),0)*(1+_15・盲ろう)),0)</f>
        <v>542</v>
      </c>
      <c r="AA38" s="48"/>
    </row>
    <row r="39" spans="1:27" ht="16.5" customHeight="1" x14ac:dyDescent="0.15">
      <c r="A39" s="41">
        <v>15</v>
      </c>
      <c r="B39" s="41">
        <v>9231</v>
      </c>
      <c r="C39" s="74" t="s">
        <v>19220</v>
      </c>
      <c r="D39" s="72"/>
      <c r="F39" s="57"/>
      <c r="G39" s="72"/>
      <c r="I39" s="57"/>
      <c r="J39" s="53"/>
      <c r="K39" s="49"/>
      <c r="L39" s="50"/>
      <c r="M39" s="163"/>
      <c r="N39" s="45"/>
      <c r="O39" s="46"/>
      <c r="P39" s="512"/>
      <c r="Q39" s="57"/>
      <c r="R39" s="53"/>
      <c r="S39" s="49"/>
      <c r="T39" s="50"/>
      <c r="U39" s="115"/>
      <c r="V39" s="53"/>
      <c r="W39" s="49"/>
      <c r="X39" s="50"/>
      <c r="Y39" s="115"/>
      <c r="Z39" s="208">
        <f>ROUND((ROUND((_15_同援日０．５*(1+_15・A早朝)),0)*(1+_15・区３)),0)+ROUND((_15_同援日０．５＿１．０*(1+_15・区３)),0)</f>
        <v>578</v>
      </c>
      <c r="AA39" s="48"/>
    </row>
    <row r="40" spans="1:27" ht="16.5" customHeight="1" x14ac:dyDescent="0.15">
      <c r="A40" s="41">
        <v>15</v>
      </c>
      <c r="B40" s="41">
        <v>9232</v>
      </c>
      <c r="C40" s="74" t="s">
        <v>19221</v>
      </c>
      <c r="D40" s="72"/>
      <c r="F40" s="57"/>
      <c r="G40" s="72"/>
      <c r="I40" s="57"/>
      <c r="J40" s="43"/>
      <c r="K40" s="37"/>
      <c r="L40" s="38"/>
      <c r="M40" s="299" t="s">
        <v>17556</v>
      </c>
      <c r="N40" s="45" t="s">
        <v>398</v>
      </c>
      <c r="O40" s="46">
        <v>1</v>
      </c>
      <c r="P40" s="512"/>
      <c r="Q40" s="57"/>
      <c r="R40" s="35"/>
      <c r="U40" s="57"/>
      <c r="V40" s="35"/>
      <c r="Y40" s="57"/>
      <c r="Z40" s="208">
        <f>ROUND((ROUND((ROUND((_15_同援日０．５*_15・２人),0)*(1+_15・A早朝)),0)*(1+_15・区３)),0)+ROUND((ROUND((_15_同援日０．５＿１．０*_15・２人),0)*(1+_15・区３)),0)</f>
        <v>578</v>
      </c>
      <c r="AA40" s="48"/>
    </row>
    <row r="41" spans="1:27" ht="16.5" customHeight="1" x14ac:dyDescent="0.15">
      <c r="A41" s="41">
        <v>15</v>
      </c>
      <c r="B41" s="41">
        <v>9233</v>
      </c>
      <c r="C41" s="74" t="s">
        <v>19222</v>
      </c>
      <c r="D41" s="72"/>
      <c r="F41" s="57"/>
      <c r="G41" s="72"/>
      <c r="I41" s="57"/>
      <c r="J41" s="114" t="s">
        <v>17558</v>
      </c>
      <c r="K41" s="49"/>
      <c r="L41" s="50"/>
      <c r="M41" s="163"/>
      <c r="N41" s="45"/>
      <c r="O41" s="46"/>
      <c r="P41" s="512"/>
      <c r="Q41" s="57"/>
      <c r="R41" s="35"/>
      <c r="U41" s="57"/>
      <c r="V41" s="72" t="s">
        <v>17570</v>
      </c>
      <c r="Y41" s="57"/>
      <c r="Z41" s="208">
        <f>ROUND((ROUND((ROUND((_15_同援日０．５*_15・基礎２),0)*(1+_15・A早朝)),0)*(1+_15・区３)),0)+ROUND((ROUND((_15_同援日０．５＿１．０*_15・基礎２),0)*(1+_15・区３)),0)</f>
        <v>520</v>
      </c>
      <c r="AA41" s="48"/>
    </row>
    <row r="42" spans="1:27" ht="16.5" customHeight="1" x14ac:dyDescent="0.15">
      <c r="A42" s="41">
        <v>15</v>
      </c>
      <c r="B42" s="41">
        <v>9234</v>
      </c>
      <c r="C42" s="74" t="s">
        <v>19223</v>
      </c>
      <c r="D42" s="72"/>
      <c r="F42" s="57"/>
      <c r="G42" s="72"/>
      <c r="I42" s="57"/>
      <c r="J42" s="269" t="s">
        <v>17560</v>
      </c>
      <c r="K42" s="37" t="s">
        <v>398</v>
      </c>
      <c r="L42" s="38">
        <v>0.9</v>
      </c>
      <c r="M42" s="299" t="s">
        <v>17556</v>
      </c>
      <c r="N42" s="45" t="s">
        <v>398</v>
      </c>
      <c r="O42" s="46">
        <v>1</v>
      </c>
      <c r="P42" s="512"/>
      <c r="Q42" s="57"/>
      <c r="R42" s="43"/>
      <c r="S42" s="37"/>
      <c r="T42" s="38"/>
      <c r="U42" s="79"/>
      <c r="V42" s="72" t="s">
        <v>17572</v>
      </c>
      <c r="Y42" s="57"/>
      <c r="Z42" s="208">
        <f>ROUND((ROUND((ROUND((ROUND((_15_同援日０．５*_15・基礎２),0)*_15・２人),0)*(1+_15・A早朝)),0)*(1+_15・区３)),0)+ROUND((ROUND((ROUND((_15_同援日０．５＿１．０*_15・基礎２),0)*_15・２人),0)*(1+_15・区３)),0)</f>
        <v>520</v>
      </c>
      <c r="AA42" s="48"/>
    </row>
    <row r="43" spans="1:27" ht="16.5" customHeight="1" x14ac:dyDescent="0.15">
      <c r="A43" s="41">
        <v>15</v>
      </c>
      <c r="B43" s="41">
        <v>9235</v>
      </c>
      <c r="C43" s="74" t="s">
        <v>19224</v>
      </c>
      <c r="D43" s="72"/>
      <c r="F43" s="57"/>
      <c r="G43" s="72"/>
      <c r="I43" s="57"/>
      <c r="J43" s="53"/>
      <c r="K43" s="49"/>
      <c r="L43" s="50"/>
      <c r="M43" s="163"/>
      <c r="N43" s="45"/>
      <c r="O43" s="46"/>
      <c r="P43" s="512"/>
      <c r="Q43" s="57"/>
      <c r="R43" s="114" t="s">
        <v>17562</v>
      </c>
      <c r="S43" s="49"/>
      <c r="T43" s="50"/>
      <c r="U43" s="115"/>
      <c r="V43" s="35"/>
      <c r="W43" s="12" t="s">
        <v>398</v>
      </c>
      <c r="X43" s="13">
        <v>0.2</v>
      </c>
      <c r="Y43" s="57" t="s">
        <v>3575</v>
      </c>
      <c r="Z43" s="208">
        <f>ROUND((ROUND((ROUND((_15_同援日０．５*(1+_15・A早朝)),0)*(1+_15・盲ろう)),0)*(1+_15・区３)),0)+ROUND((ROUND((_15_同援日０．５＿１．０*(1+_15・盲ろう)),0)*(1+_15・区３)),0)</f>
        <v>723</v>
      </c>
      <c r="AA43" s="48"/>
    </row>
    <row r="44" spans="1:27" ht="16.5" customHeight="1" x14ac:dyDescent="0.15">
      <c r="A44" s="41">
        <v>15</v>
      </c>
      <c r="B44" s="41">
        <v>9236</v>
      </c>
      <c r="C44" s="74" t="s">
        <v>19225</v>
      </c>
      <c r="D44" s="72"/>
      <c r="F44" s="57"/>
      <c r="G44" s="72"/>
      <c r="I44" s="57"/>
      <c r="J44" s="43"/>
      <c r="K44" s="37"/>
      <c r="L44" s="38"/>
      <c r="M44" s="299" t="s">
        <v>17556</v>
      </c>
      <c r="N44" s="45" t="s">
        <v>398</v>
      </c>
      <c r="O44" s="46">
        <v>1</v>
      </c>
      <c r="P44" s="512"/>
      <c r="Q44" s="57"/>
      <c r="R44" s="92" t="s">
        <v>17564</v>
      </c>
      <c r="U44" s="57"/>
      <c r="V44" s="35"/>
      <c r="Y44" s="57"/>
      <c r="Z44" s="208">
        <f>ROUND((ROUND((ROUND((ROUND((_15_同援日０．５*_15・２人),0)*(1+_15・A早朝)),0)*(1+_15・盲ろう)),0)*(1+_15・区３)),0)+ROUND((ROUND((ROUND((_15_同援日０．５＿１．０*_15・２人),0)*(1+_15・盲ろう)),0)*(1+_15・区３)),0)</f>
        <v>723</v>
      </c>
      <c r="AA44" s="48"/>
    </row>
    <row r="45" spans="1:27" ht="16.5" customHeight="1" x14ac:dyDescent="0.15">
      <c r="A45" s="41">
        <v>15</v>
      </c>
      <c r="B45" s="41">
        <v>9237</v>
      </c>
      <c r="C45" s="74" t="s">
        <v>19226</v>
      </c>
      <c r="D45" s="72"/>
      <c r="F45" s="57"/>
      <c r="G45" s="72"/>
      <c r="I45" s="57"/>
      <c r="J45" s="114" t="s">
        <v>17558</v>
      </c>
      <c r="K45" s="49"/>
      <c r="L45" s="50"/>
      <c r="M45" s="163"/>
      <c r="N45" s="45"/>
      <c r="O45" s="46"/>
      <c r="P45" s="512"/>
      <c r="Q45" s="57"/>
      <c r="R45" s="35"/>
      <c r="S45" s="12" t="s">
        <v>398</v>
      </c>
      <c r="T45" s="13">
        <v>0.25</v>
      </c>
      <c r="U45" s="57" t="s">
        <v>3575</v>
      </c>
      <c r="V45" s="35"/>
      <c r="Y45" s="57"/>
      <c r="Z45" s="208">
        <f>ROUND((ROUND((ROUND((ROUND((_15_同援日０．５*_15・基礎２),0)*(1+_15・A早朝)),0)*(1+_15・盲ろう)),0)*(1+_15・区３)),0)+ROUND((ROUND((ROUND((_15_同援日０．５＿１．０*_15・基礎２),0)*(1+_15・盲ろう)),0)*(1+_15・区３)),0)</f>
        <v>651</v>
      </c>
      <c r="AA45" s="48"/>
    </row>
    <row r="46" spans="1:27" ht="16.5" customHeight="1" x14ac:dyDescent="0.15">
      <c r="A46" s="41">
        <v>15</v>
      </c>
      <c r="B46" s="41">
        <v>9238</v>
      </c>
      <c r="C46" s="74" t="s">
        <v>19227</v>
      </c>
      <c r="D46" s="72"/>
      <c r="F46" s="57"/>
      <c r="G46" s="72"/>
      <c r="I46" s="57"/>
      <c r="J46" s="269" t="s">
        <v>17560</v>
      </c>
      <c r="K46" s="37" t="s">
        <v>398</v>
      </c>
      <c r="L46" s="38">
        <v>0.9</v>
      </c>
      <c r="M46" s="299" t="s">
        <v>17556</v>
      </c>
      <c r="N46" s="45" t="s">
        <v>398</v>
      </c>
      <c r="O46" s="46">
        <v>1</v>
      </c>
      <c r="P46" s="512"/>
      <c r="Q46" s="57"/>
      <c r="R46" s="43"/>
      <c r="S46" s="37"/>
      <c r="T46" s="38"/>
      <c r="U46" s="79"/>
      <c r="V46" s="43"/>
      <c r="W46" s="37"/>
      <c r="X46" s="38"/>
      <c r="Y46" s="79"/>
      <c r="Z46" s="208">
        <f>ROUND((ROUND((ROUND((ROUND((ROUND((_15_同援日０．５*_15・基礎２),0)*_15・２人),0)*(1+_15・A早朝)),0)*(1+_15・盲ろう)),0)*(1+_15・区３)),0)+ROUND((ROUND((ROUND((ROUND((_15_同援日０．５＿１．０*_15・基礎２),0)*_15・２人),0)*(1+_15・盲ろう)),0)*(1+_15・区３)),0)</f>
        <v>651</v>
      </c>
      <c r="AA46" s="48"/>
    </row>
    <row r="47" spans="1:27" ht="16.5" customHeight="1" x14ac:dyDescent="0.15">
      <c r="A47" s="41">
        <v>15</v>
      </c>
      <c r="B47" s="41">
        <v>9239</v>
      </c>
      <c r="C47" s="74" t="s">
        <v>19228</v>
      </c>
      <c r="D47" s="72"/>
      <c r="F47" s="57"/>
      <c r="G47" s="72"/>
      <c r="I47" s="57"/>
      <c r="J47" s="53"/>
      <c r="K47" s="49"/>
      <c r="L47" s="50"/>
      <c r="M47" s="163"/>
      <c r="N47" s="45"/>
      <c r="O47" s="46"/>
      <c r="P47" s="512"/>
      <c r="Q47" s="57"/>
      <c r="R47" s="53"/>
      <c r="S47" s="49"/>
      <c r="T47" s="50"/>
      <c r="U47" s="115"/>
      <c r="V47" s="53"/>
      <c r="W47" s="49"/>
      <c r="X47" s="50"/>
      <c r="Y47" s="115"/>
      <c r="Z47" s="208">
        <f>ROUND((ROUND((_15_同援日０．５*(1+_15・A早朝)),0)*(1+_15・区４)),0)+ROUND((_15_同援日０．５＿１．０*(1+_15・区４)),0)</f>
        <v>673</v>
      </c>
      <c r="AA47" s="48"/>
    </row>
    <row r="48" spans="1:27" ht="16.5" customHeight="1" x14ac:dyDescent="0.15">
      <c r="A48" s="41">
        <v>15</v>
      </c>
      <c r="B48" s="41">
        <v>9240</v>
      </c>
      <c r="C48" s="74" t="s">
        <v>19229</v>
      </c>
      <c r="D48" s="72"/>
      <c r="F48" s="57"/>
      <c r="G48" s="72"/>
      <c r="I48" s="57"/>
      <c r="J48" s="43"/>
      <c r="K48" s="37"/>
      <c r="L48" s="38"/>
      <c r="M48" s="299" t="s">
        <v>17556</v>
      </c>
      <c r="N48" s="45" t="s">
        <v>398</v>
      </c>
      <c r="O48" s="46">
        <v>1</v>
      </c>
      <c r="P48" s="512"/>
      <c r="Q48" s="57"/>
      <c r="R48" s="35"/>
      <c r="U48" s="57"/>
      <c r="V48" s="35"/>
      <c r="Y48" s="57"/>
      <c r="Z48" s="208">
        <f>ROUND((ROUND((ROUND((_15_同援日０．５*_15・２人),0)*(1+_15・A早朝)),0)*(1+_15・区４)),0)+ROUND((ROUND((_15_同援日０．５＿１．０*_15・２人),0)*(1+_15・区４)),0)</f>
        <v>673</v>
      </c>
      <c r="AA48" s="48"/>
    </row>
    <row r="49" spans="1:27" ht="16.5" customHeight="1" x14ac:dyDescent="0.15">
      <c r="A49" s="41">
        <v>15</v>
      </c>
      <c r="B49" s="41">
        <v>9241</v>
      </c>
      <c r="C49" s="74" t="s">
        <v>19230</v>
      </c>
      <c r="D49" s="72"/>
      <c r="F49" s="57"/>
      <c r="G49" s="72"/>
      <c r="I49" s="57"/>
      <c r="J49" s="114" t="s">
        <v>17558</v>
      </c>
      <c r="K49" s="49"/>
      <c r="L49" s="50"/>
      <c r="M49" s="163"/>
      <c r="N49" s="45"/>
      <c r="O49" s="46"/>
      <c r="P49" s="512"/>
      <c r="Q49" s="57"/>
      <c r="R49" s="35"/>
      <c r="U49" s="57"/>
      <c r="V49" s="72" t="s">
        <v>17580</v>
      </c>
      <c r="Y49" s="57"/>
      <c r="Z49" s="208">
        <f>ROUND((ROUND((ROUND((_15_同援日０．５*_15・基礎２),0)*(1+_15・A早朝)),0)*(1+_15・区４)),0)+ROUND((ROUND((_15_同援日０．５＿１．０*_15・基礎２),0)*(1+_15・区４)),0)</f>
        <v>607</v>
      </c>
      <c r="AA49" s="48"/>
    </row>
    <row r="50" spans="1:27" ht="16.5" customHeight="1" x14ac:dyDescent="0.15">
      <c r="A50" s="41">
        <v>15</v>
      </c>
      <c r="B50" s="41">
        <v>9242</v>
      </c>
      <c r="C50" s="74" t="s">
        <v>19231</v>
      </c>
      <c r="D50" s="72"/>
      <c r="F50" s="57"/>
      <c r="G50" s="72"/>
      <c r="I50" s="57"/>
      <c r="J50" s="269" t="s">
        <v>17560</v>
      </c>
      <c r="K50" s="37" t="s">
        <v>398</v>
      </c>
      <c r="L50" s="38">
        <v>0.9</v>
      </c>
      <c r="M50" s="299" t="s">
        <v>17556</v>
      </c>
      <c r="N50" s="45" t="s">
        <v>398</v>
      </c>
      <c r="O50" s="46">
        <v>1</v>
      </c>
      <c r="P50" s="512"/>
      <c r="Q50" s="57"/>
      <c r="R50" s="43"/>
      <c r="S50" s="37"/>
      <c r="T50" s="38"/>
      <c r="U50" s="79"/>
      <c r="V50" s="72" t="s">
        <v>17572</v>
      </c>
      <c r="Y50" s="57"/>
      <c r="Z50" s="208">
        <f>ROUND((ROUND((ROUND((ROUND((_15_同援日０．５*_15・基礎２),0)*_15・２人),0)*(1+_15・A早朝)),0)*(1+_15・区４)),0)+ROUND((ROUND((ROUND((_15_同援日０．５＿１．０*_15・基礎２),0)*_15・２人),0)*(1+_15・区４)),0)</f>
        <v>607</v>
      </c>
      <c r="AA50" s="48"/>
    </row>
    <row r="51" spans="1:27" ht="16.5" customHeight="1" x14ac:dyDescent="0.15">
      <c r="A51" s="41">
        <v>15</v>
      </c>
      <c r="B51" s="41">
        <v>9243</v>
      </c>
      <c r="C51" s="74" t="s">
        <v>19232</v>
      </c>
      <c r="D51" s="72"/>
      <c r="F51" s="57"/>
      <c r="G51" s="72"/>
      <c r="I51" s="57"/>
      <c r="J51" s="53"/>
      <c r="K51" s="49"/>
      <c r="L51" s="50"/>
      <c r="M51" s="163"/>
      <c r="N51" s="45"/>
      <c r="O51" s="46"/>
      <c r="P51" s="512"/>
      <c r="Q51" s="57"/>
      <c r="R51" s="114" t="s">
        <v>17562</v>
      </c>
      <c r="S51" s="49"/>
      <c r="T51" s="50"/>
      <c r="U51" s="115"/>
      <c r="V51" s="35"/>
      <c r="W51" s="12" t="s">
        <v>398</v>
      </c>
      <c r="X51" s="13">
        <v>0.4</v>
      </c>
      <c r="Y51" s="57" t="s">
        <v>3575</v>
      </c>
      <c r="Z51" s="208">
        <f>ROUND((ROUND((ROUND((_15_同援日０．５*(1+_15・A早朝)),0)*(1+_15・盲ろう)),0)*(1+_15・区４)),0)+ROUND((ROUND((_15_同援日０．５＿１．０*(1+_15・盲ろう)),0)*(1+_15・区４)),0)</f>
        <v>843</v>
      </c>
      <c r="AA51" s="48"/>
    </row>
    <row r="52" spans="1:27" ht="16.5" customHeight="1" x14ac:dyDescent="0.15">
      <c r="A52" s="41">
        <v>15</v>
      </c>
      <c r="B52" s="41">
        <v>9244</v>
      </c>
      <c r="C52" s="74" t="s">
        <v>19233</v>
      </c>
      <c r="D52" s="72"/>
      <c r="F52" s="57"/>
      <c r="G52" s="72"/>
      <c r="I52" s="57"/>
      <c r="J52" s="43"/>
      <c r="K52" s="37"/>
      <c r="L52" s="38"/>
      <c r="M52" s="299" t="s">
        <v>17556</v>
      </c>
      <c r="N52" s="45" t="s">
        <v>398</v>
      </c>
      <c r="O52" s="46">
        <v>1</v>
      </c>
      <c r="P52" s="512"/>
      <c r="Q52" s="57"/>
      <c r="R52" s="92" t="s">
        <v>17564</v>
      </c>
      <c r="U52" s="57"/>
      <c r="V52" s="35"/>
      <c r="Y52" s="57"/>
      <c r="Z52" s="208">
        <f>ROUND((ROUND((ROUND((ROUND((_15_同援日０．５*_15・２人),0)*(1+_15・A早朝)),0)*(1+_15・盲ろう)),0)*(1+_15・区４)),0)+ROUND((ROUND((ROUND((_15_同援日０．５＿１．０*_15・２人),0)*(1+_15・盲ろう)),0)*(1+_15・区４)),0)</f>
        <v>843</v>
      </c>
      <c r="AA52" s="48"/>
    </row>
    <row r="53" spans="1:27" ht="16.5" customHeight="1" x14ac:dyDescent="0.15">
      <c r="A53" s="41">
        <v>15</v>
      </c>
      <c r="B53" s="41">
        <v>9245</v>
      </c>
      <c r="C53" s="74" t="s">
        <v>19234</v>
      </c>
      <c r="D53" s="72"/>
      <c r="F53" s="57"/>
      <c r="G53" s="72"/>
      <c r="I53" s="57"/>
      <c r="J53" s="114" t="s">
        <v>17558</v>
      </c>
      <c r="K53" s="49"/>
      <c r="L53" s="50"/>
      <c r="M53" s="163"/>
      <c r="N53" s="45"/>
      <c r="O53" s="46"/>
      <c r="P53" s="512"/>
      <c r="Q53" s="57"/>
      <c r="R53" s="35"/>
      <c r="S53" s="12" t="s">
        <v>398</v>
      </c>
      <c r="T53" s="13">
        <v>0.25</v>
      </c>
      <c r="U53" s="57" t="s">
        <v>3575</v>
      </c>
      <c r="V53" s="35"/>
      <c r="Y53" s="57"/>
      <c r="Z53" s="208">
        <f>ROUND((ROUND((ROUND((ROUND((_15_同援日０．５*_15・基礎２),0)*(1+_15・A早朝)),0)*(1+_15・盲ろう)),0)*(1+_15・区４)),0)+ROUND((ROUND((ROUND((_15_同援日０．５＿１．０*_15・基礎２),0)*(1+_15・盲ろう)),0)*(1+_15・区４)),0)</f>
        <v>759</v>
      </c>
      <c r="AA53" s="48"/>
    </row>
    <row r="54" spans="1:27" ht="16.5" customHeight="1" x14ac:dyDescent="0.15">
      <c r="A54" s="41">
        <v>15</v>
      </c>
      <c r="B54" s="41">
        <v>9246</v>
      </c>
      <c r="C54" s="74" t="s">
        <v>19235</v>
      </c>
      <c r="D54" s="72"/>
      <c r="F54" s="57"/>
      <c r="G54" s="122"/>
      <c r="H54" s="37"/>
      <c r="I54" s="79"/>
      <c r="J54" s="269" t="s">
        <v>17560</v>
      </c>
      <c r="K54" s="37" t="s">
        <v>398</v>
      </c>
      <c r="L54" s="38">
        <v>0.9</v>
      </c>
      <c r="M54" s="299" t="s">
        <v>17556</v>
      </c>
      <c r="N54" s="45" t="s">
        <v>398</v>
      </c>
      <c r="O54" s="46">
        <v>1</v>
      </c>
      <c r="P54" s="512"/>
      <c r="Q54" s="57"/>
      <c r="R54" s="43"/>
      <c r="S54" s="37"/>
      <c r="T54" s="38"/>
      <c r="U54" s="79"/>
      <c r="V54" s="43"/>
      <c r="W54" s="37"/>
      <c r="X54" s="38"/>
      <c r="Y54" s="79"/>
      <c r="Z54" s="208">
        <f>ROUND((ROUND((ROUND((ROUND((ROUND((_15_同援日０．５*_15・基礎２),0)*_15・２人),0)*(1+_15・A早朝)),0)*(1+_15・盲ろう)),0)*(1+_15・区４)),0)+ROUND((ROUND((ROUND((ROUND((_15_同援日０．５＿１．０*_15・基礎２),0)*_15・２人),0)*(1+_15・盲ろう)),0)*(1+_15・区４)),0)</f>
        <v>759</v>
      </c>
      <c r="AA54" s="48"/>
    </row>
    <row r="55" spans="1:27" ht="16.5" customHeight="1" x14ac:dyDescent="0.15">
      <c r="A55" s="41">
        <v>15</v>
      </c>
      <c r="B55" s="41">
        <v>9247</v>
      </c>
      <c r="C55" s="74" t="s">
        <v>19236</v>
      </c>
      <c r="D55" s="72"/>
      <c r="F55" s="57"/>
      <c r="G55" s="114" t="s">
        <v>19237</v>
      </c>
      <c r="H55" s="49"/>
      <c r="I55" s="115"/>
      <c r="J55" s="53"/>
      <c r="K55" s="49"/>
      <c r="L55" s="50"/>
      <c r="M55" s="163"/>
      <c r="N55" s="45"/>
      <c r="O55" s="46"/>
      <c r="P55" s="512"/>
      <c r="Q55" s="57"/>
      <c r="R55" s="53"/>
      <c r="S55" s="49"/>
      <c r="T55" s="50"/>
      <c r="U55" s="115"/>
      <c r="V55" s="53"/>
      <c r="W55" s="49"/>
      <c r="X55" s="50"/>
      <c r="Y55" s="115"/>
      <c r="Z55" s="208">
        <f>ROUND((_15_同援日０．５*(1+_15・A早朝)),0)+_15_同援日０．５＿１．５</f>
        <v>546</v>
      </c>
      <c r="AA55" s="48"/>
    </row>
    <row r="56" spans="1:27" ht="16.5" customHeight="1" x14ac:dyDescent="0.15">
      <c r="A56" s="41">
        <v>15</v>
      </c>
      <c r="B56" s="41">
        <v>9248</v>
      </c>
      <c r="C56" s="74" t="s">
        <v>19238</v>
      </c>
      <c r="D56" s="72"/>
      <c r="F56" s="57"/>
      <c r="G56" s="72" t="s">
        <v>17616</v>
      </c>
      <c r="I56" s="57"/>
      <c r="J56" s="43"/>
      <c r="K56" s="37"/>
      <c r="L56" s="38"/>
      <c r="M56" s="299" t="s">
        <v>17556</v>
      </c>
      <c r="N56" s="45" t="s">
        <v>398</v>
      </c>
      <c r="O56" s="46">
        <v>1</v>
      </c>
      <c r="P56" s="512"/>
      <c r="Q56" s="57"/>
      <c r="R56" s="35"/>
      <c r="U56" s="57"/>
      <c r="V56" s="35"/>
      <c r="Y56" s="57"/>
      <c r="Z56" s="208">
        <f>ROUND((ROUND((_15_同援日０．５*_15・２人),0)*(1+_15・A早朝)),0)+ROUND((_15_同援日０．５＿１．５*_15・２人),0)</f>
        <v>546</v>
      </c>
      <c r="AA56" s="48"/>
    </row>
    <row r="57" spans="1:27" ht="16.5" customHeight="1" x14ac:dyDescent="0.15">
      <c r="A57" s="41">
        <v>15</v>
      </c>
      <c r="B57" s="41">
        <v>9249</v>
      </c>
      <c r="C57" s="74" t="s">
        <v>19239</v>
      </c>
      <c r="D57" s="72"/>
      <c r="F57" s="57"/>
      <c r="G57" s="72" t="s">
        <v>18183</v>
      </c>
      <c r="I57" s="57"/>
      <c r="J57" s="114" t="s">
        <v>17558</v>
      </c>
      <c r="K57" s="49"/>
      <c r="L57" s="50"/>
      <c r="M57" s="163"/>
      <c r="N57" s="45"/>
      <c r="O57" s="46"/>
      <c r="P57" s="512"/>
      <c r="Q57" s="57"/>
      <c r="R57" s="35"/>
      <c r="U57" s="57"/>
      <c r="V57" s="35"/>
      <c r="Y57" s="57"/>
      <c r="Z57" s="208">
        <f>ROUND((ROUND((_15_同援日０．５*_15・基礎２),0)*(1+_15・A早朝)),0)+ROUND((_15_同援日０．５＿１．５*_15・基礎２),0)</f>
        <v>491</v>
      </c>
      <c r="AA57" s="48"/>
    </row>
    <row r="58" spans="1:27" ht="16.5" customHeight="1" x14ac:dyDescent="0.15">
      <c r="A58" s="41">
        <v>15</v>
      </c>
      <c r="B58" s="41">
        <v>9250</v>
      </c>
      <c r="C58" s="74" t="s">
        <v>19240</v>
      </c>
      <c r="D58" s="72"/>
      <c r="F58" s="57"/>
      <c r="G58" s="72"/>
      <c r="H58" s="168">
        <f>_15_同援日０．５＿１．５</f>
        <v>308</v>
      </c>
      <c r="I58" s="57" t="s">
        <v>392</v>
      </c>
      <c r="J58" s="269" t="s">
        <v>17560</v>
      </c>
      <c r="K58" s="37" t="s">
        <v>398</v>
      </c>
      <c r="L58" s="38">
        <v>0.9</v>
      </c>
      <c r="M58" s="299" t="s">
        <v>17556</v>
      </c>
      <c r="N58" s="45" t="s">
        <v>398</v>
      </c>
      <c r="O58" s="46">
        <v>1</v>
      </c>
      <c r="P58" s="512"/>
      <c r="Q58" s="57"/>
      <c r="R58" s="43"/>
      <c r="S58" s="37"/>
      <c r="T58" s="38"/>
      <c r="U58" s="79"/>
      <c r="V58" s="35"/>
      <c r="Y58" s="57"/>
      <c r="Z58" s="208">
        <f>ROUND((ROUND((ROUND((_15_同援日０．５*_15・基礎２),0)*_15・２人),0)*(1+_15・A早朝)),0)+ROUND((ROUND((_15_同援日０．５＿１．５*_15・基礎２),0)*_15・２人),0)</f>
        <v>491</v>
      </c>
      <c r="AA58" s="48"/>
    </row>
    <row r="59" spans="1:27" ht="16.5" customHeight="1" x14ac:dyDescent="0.15">
      <c r="A59" s="41">
        <v>15</v>
      </c>
      <c r="B59" s="41">
        <v>9251</v>
      </c>
      <c r="C59" s="74" t="s">
        <v>19241</v>
      </c>
      <c r="D59" s="72"/>
      <c r="F59" s="57"/>
      <c r="G59" s="72"/>
      <c r="I59" s="57"/>
      <c r="J59" s="53"/>
      <c r="K59" s="49"/>
      <c r="L59" s="50"/>
      <c r="M59" s="163"/>
      <c r="N59" s="45"/>
      <c r="O59" s="46"/>
      <c r="P59" s="512"/>
      <c r="Q59" s="57"/>
      <c r="R59" s="114" t="s">
        <v>17562</v>
      </c>
      <c r="S59" s="49"/>
      <c r="T59" s="50"/>
      <c r="U59" s="115"/>
      <c r="V59" s="35"/>
      <c r="Y59" s="57"/>
      <c r="Z59" s="208">
        <f>ROUND((ROUND((_15_同援日０．５*(1+_15・A早朝)),0)*(1+_15・盲ろう)),0)+ROUND((_15_同援日０．５＿１．５*(1+_15・盲ろう)),0)</f>
        <v>683</v>
      </c>
      <c r="AA59" s="48"/>
    </row>
    <row r="60" spans="1:27" ht="16.5" customHeight="1" x14ac:dyDescent="0.15">
      <c r="A60" s="41">
        <v>15</v>
      </c>
      <c r="B60" s="41">
        <v>9252</v>
      </c>
      <c r="C60" s="74" t="s">
        <v>19242</v>
      </c>
      <c r="D60" s="72"/>
      <c r="F60" s="57"/>
      <c r="G60" s="72"/>
      <c r="I60" s="57"/>
      <c r="J60" s="43"/>
      <c r="K60" s="37"/>
      <c r="L60" s="38"/>
      <c r="M60" s="299" t="s">
        <v>17556</v>
      </c>
      <c r="N60" s="45" t="s">
        <v>398</v>
      </c>
      <c r="O60" s="46">
        <v>1</v>
      </c>
      <c r="P60" s="512"/>
      <c r="Q60" s="57"/>
      <c r="R60" s="92" t="s">
        <v>17564</v>
      </c>
      <c r="U60" s="57"/>
      <c r="V60" s="35"/>
      <c r="Y60" s="57"/>
      <c r="Z60" s="208">
        <f>ROUND((ROUND((ROUND((_15_同援日０．５*_15・２人),0)*(1+_15・A早朝)),0)*(1+_15・盲ろう)),0)+ROUND((ROUND((_15_同援日０．５＿１．５*_15・２人),0)*(1+_15・盲ろう)),0)</f>
        <v>683</v>
      </c>
      <c r="AA60" s="48"/>
    </row>
    <row r="61" spans="1:27" ht="16.5" customHeight="1" x14ac:dyDescent="0.15">
      <c r="A61" s="41">
        <v>15</v>
      </c>
      <c r="B61" s="41">
        <v>9253</v>
      </c>
      <c r="C61" s="74" t="s">
        <v>19243</v>
      </c>
      <c r="D61" s="72"/>
      <c r="F61" s="57"/>
      <c r="G61" s="72"/>
      <c r="I61" s="57"/>
      <c r="J61" s="114" t="s">
        <v>17558</v>
      </c>
      <c r="K61" s="49"/>
      <c r="L61" s="50"/>
      <c r="M61" s="163"/>
      <c r="N61" s="45"/>
      <c r="O61" s="46"/>
      <c r="P61" s="512"/>
      <c r="Q61" s="57"/>
      <c r="R61" s="35"/>
      <c r="S61" s="12" t="s">
        <v>398</v>
      </c>
      <c r="T61" s="13">
        <v>0.25</v>
      </c>
      <c r="U61" s="57" t="s">
        <v>3575</v>
      </c>
      <c r="V61" s="35"/>
      <c r="Y61" s="57"/>
      <c r="Z61" s="208">
        <f>ROUND((ROUND((ROUND((_15_同援日０．５*_15・基礎２),0)*(1+_15・A早朝)),0)*(1+_15・盲ろう)),0)+ROUND((ROUND((_15_同援日０．５＿１．５*_15・基礎２),0)*(1+_15・盲ろう)),0)</f>
        <v>614</v>
      </c>
      <c r="AA61" s="48"/>
    </row>
    <row r="62" spans="1:27" ht="16.5" customHeight="1" x14ac:dyDescent="0.15">
      <c r="A62" s="41">
        <v>15</v>
      </c>
      <c r="B62" s="41">
        <v>9254</v>
      </c>
      <c r="C62" s="74" t="s">
        <v>19244</v>
      </c>
      <c r="D62" s="72"/>
      <c r="F62" s="57"/>
      <c r="G62" s="72"/>
      <c r="I62" s="57"/>
      <c r="J62" s="269" t="s">
        <v>17560</v>
      </c>
      <c r="K62" s="37" t="s">
        <v>398</v>
      </c>
      <c r="L62" s="38">
        <v>0.9</v>
      </c>
      <c r="M62" s="299" t="s">
        <v>17556</v>
      </c>
      <c r="N62" s="45" t="s">
        <v>398</v>
      </c>
      <c r="O62" s="46">
        <v>1</v>
      </c>
      <c r="P62" s="512"/>
      <c r="Q62" s="57"/>
      <c r="R62" s="43"/>
      <c r="S62" s="37"/>
      <c r="T62" s="38"/>
      <c r="U62" s="79"/>
      <c r="V62" s="43"/>
      <c r="W62" s="37"/>
      <c r="X62" s="38"/>
      <c r="Y62" s="79"/>
      <c r="Z62" s="208">
        <f>ROUND((ROUND((ROUND((ROUND((_15_同援日０．５*_15・基礎２),0)*_15・２人),0)*(1+_15・A早朝)),0)*(1+_15・盲ろう)),0)+ROUND((ROUND((ROUND((_15_同援日０．５＿１．５*_15・基礎２),0)*_15・２人),0)*(1+_15・盲ろう)),0)</f>
        <v>614</v>
      </c>
      <c r="AA62" s="48"/>
    </row>
    <row r="63" spans="1:27" ht="16.5" customHeight="1" x14ac:dyDescent="0.15">
      <c r="A63" s="41">
        <v>15</v>
      </c>
      <c r="B63" s="41">
        <v>9255</v>
      </c>
      <c r="C63" s="74" t="s">
        <v>19245</v>
      </c>
      <c r="D63" s="72"/>
      <c r="F63" s="57"/>
      <c r="G63" s="72"/>
      <c r="I63" s="57"/>
      <c r="J63" s="53"/>
      <c r="K63" s="49"/>
      <c r="L63" s="50"/>
      <c r="M63" s="163"/>
      <c r="N63" s="45"/>
      <c r="O63" s="46"/>
      <c r="P63" s="512"/>
      <c r="Q63" s="57"/>
      <c r="R63" s="53"/>
      <c r="S63" s="49"/>
      <c r="T63" s="50"/>
      <c r="U63" s="115"/>
      <c r="V63" s="53"/>
      <c r="W63" s="49"/>
      <c r="X63" s="50"/>
      <c r="Y63" s="115"/>
      <c r="Z63" s="208">
        <f>ROUND((ROUND((_15_同援日０．５*(1+_15・A早朝)),0)*(1+_15・区３)),0)+ROUND((_15_同援日０．５＿１．５*(1+_15・区３)),0)</f>
        <v>656</v>
      </c>
      <c r="AA63" s="48"/>
    </row>
    <row r="64" spans="1:27" ht="16.5" customHeight="1" x14ac:dyDescent="0.15">
      <c r="A64" s="41">
        <v>15</v>
      </c>
      <c r="B64" s="41">
        <v>9256</v>
      </c>
      <c r="C64" s="74" t="s">
        <v>19246</v>
      </c>
      <c r="D64" s="72"/>
      <c r="F64" s="57"/>
      <c r="G64" s="72"/>
      <c r="I64" s="57"/>
      <c r="J64" s="43"/>
      <c r="K64" s="37"/>
      <c r="L64" s="38"/>
      <c r="M64" s="299" t="s">
        <v>17556</v>
      </c>
      <c r="N64" s="45" t="s">
        <v>398</v>
      </c>
      <c r="O64" s="46">
        <v>1</v>
      </c>
      <c r="P64" s="512"/>
      <c r="Q64" s="57"/>
      <c r="R64" s="35"/>
      <c r="U64" s="57"/>
      <c r="V64" s="35"/>
      <c r="Y64" s="57"/>
      <c r="Z64" s="208">
        <f>ROUND((ROUND((ROUND((_15_同援日０．５*_15・２人),0)*(1+_15・A早朝)),0)*(1+_15・区３)),0)+ROUND((ROUND((_15_同援日０．５＿１．５*_15・２人),0)*(1+_15・区３)),0)</f>
        <v>656</v>
      </c>
      <c r="AA64" s="48"/>
    </row>
    <row r="65" spans="1:27" ht="16.5" customHeight="1" x14ac:dyDescent="0.15">
      <c r="A65" s="41">
        <v>15</v>
      </c>
      <c r="B65" s="41">
        <v>9257</v>
      </c>
      <c r="C65" s="74" t="s">
        <v>19247</v>
      </c>
      <c r="D65" s="72"/>
      <c r="F65" s="57"/>
      <c r="G65" s="72"/>
      <c r="I65" s="57"/>
      <c r="J65" s="114" t="s">
        <v>17558</v>
      </c>
      <c r="K65" s="49"/>
      <c r="L65" s="50"/>
      <c r="M65" s="163"/>
      <c r="N65" s="45"/>
      <c r="O65" s="46"/>
      <c r="P65" s="512"/>
      <c r="Q65" s="57"/>
      <c r="R65" s="35"/>
      <c r="U65" s="57"/>
      <c r="V65" s="72" t="s">
        <v>17570</v>
      </c>
      <c r="Y65" s="57"/>
      <c r="Z65" s="208">
        <f>ROUND((ROUND((ROUND((_15_同援日０．５*_15・基礎２),0)*(1+_15・A早朝)),0)*(1+_15・区３)),0)+ROUND((ROUND((_15_同援日０．５＿１．５*_15・基礎２),0)*(1+_15・区３)),0)</f>
        <v>589</v>
      </c>
      <c r="AA65" s="48"/>
    </row>
    <row r="66" spans="1:27" ht="16.5" customHeight="1" x14ac:dyDescent="0.15">
      <c r="A66" s="41">
        <v>15</v>
      </c>
      <c r="B66" s="41">
        <v>9258</v>
      </c>
      <c r="C66" s="74" t="s">
        <v>19248</v>
      </c>
      <c r="D66" s="72"/>
      <c r="F66" s="57"/>
      <c r="G66" s="72"/>
      <c r="I66" s="57"/>
      <c r="J66" s="269" t="s">
        <v>17560</v>
      </c>
      <c r="K66" s="37" t="s">
        <v>398</v>
      </c>
      <c r="L66" s="38">
        <v>0.9</v>
      </c>
      <c r="M66" s="299" t="s">
        <v>17556</v>
      </c>
      <c r="N66" s="45" t="s">
        <v>398</v>
      </c>
      <c r="O66" s="46">
        <v>1</v>
      </c>
      <c r="P66" s="512"/>
      <c r="Q66" s="57"/>
      <c r="R66" s="43"/>
      <c r="S66" s="37"/>
      <c r="T66" s="38"/>
      <c r="U66" s="79"/>
      <c r="V66" s="72" t="s">
        <v>17572</v>
      </c>
      <c r="Y66" s="57"/>
      <c r="Z66" s="208">
        <f>ROUND((ROUND((ROUND((ROUND((_15_同援日０．５*_15・基礎２),0)*_15・２人),0)*(1+_15・A早朝)),0)*(1+_15・区３)),0)+ROUND((ROUND((ROUND((_15_同援日０．５＿１．５*_15・基礎２),0)*_15・２人),0)*(1+_15・区３)),0)</f>
        <v>589</v>
      </c>
      <c r="AA66" s="48"/>
    </row>
    <row r="67" spans="1:27" ht="16.5" customHeight="1" x14ac:dyDescent="0.15">
      <c r="A67" s="41">
        <v>15</v>
      </c>
      <c r="B67" s="41">
        <v>9259</v>
      </c>
      <c r="C67" s="74" t="s">
        <v>19249</v>
      </c>
      <c r="D67" s="72"/>
      <c r="F67" s="57"/>
      <c r="G67" s="72"/>
      <c r="I67" s="57"/>
      <c r="J67" s="53"/>
      <c r="K67" s="49"/>
      <c r="L67" s="50"/>
      <c r="M67" s="163"/>
      <c r="N67" s="45"/>
      <c r="O67" s="46"/>
      <c r="P67" s="512"/>
      <c r="Q67" s="57"/>
      <c r="R67" s="114" t="s">
        <v>17562</v>
      </c>
      <c r="S67" s="49"/>
      <c r="T67" s="50"/>
      <c r="U67" s="115"/>
      <c r="V67" s="35"/>
      <c r="W67" s="12" t="s">
        <v>398</v>
      </c>
      <c r="X67" s="13">
        <v>0.2</v>
      </c>
      <c r="Y67" s="57" t="s">
        <v>3575</v>
      </c>
      <c r="Z67" s="208">
        <f>ROUND((ROUND((ROUND((_15_同援日０．５*(1+_15・A早朝)),0)*(1+_15・盲ろう)),0)*(1+_15・区３)),0)+ROUND((ROUND((_15_同援日０．５＿１．５*(1+_15・盲ろう)),0)*(1+_15・区３)),0)</f>
        <v>820</v>
      </c>
      <c r="AA67" s="48"/>
    </row>
    <row r="68" spans="1:27" ht="16.5" customHeight="1" x14ac:dyDescent="0.15">
      <c r="A68" s="41">
        <v>15</v>
      </c>
      <c r="B68" s="41">
        <v>9260</v>
      </c>
      <c r="C68" s="74" t="s">
        <v>19250</v>
      </c>
      <c r="D68" s="72"/>
      <c r="F68" s="57"/>
      <c r="G68" s="72"/>
      <c r="I68" s="57"/>
      <c r="J68" s="43"/>
      <c r="K68" s="37"/>
      <c r="L68" s="38"/>
      <c r="M68" s="299" t="s">
        <v>17556</v>
      </c>
      <c r="N68" s="45" t="s">
        <v>398</v>
      </c>
      <c r="O68" s="46">
        <v>1</v>
      </c>
      <c r="P68" s="512"/>
      <c r="Q68" s="57"/>
      <c r="R68" s="92" t="s">
        <v>17564</v>
      </c>
      <c r="U68" s="57"/>
      <c r="V68" s="35"/>
      <c r="Y68" s="57"/>
      <c r="Z68" s="208">
        <f>ROUND((ROUND((ROUND((ROUND((_15_同援日０．５*_15・２人),0)*(1+_15・A早朝)),0)*(1+_15・盲ろう)),0)*(1+_15・区３)),0)+ROUND((ROUND((ROUND((_15_同援日０．５＿１．５*_15・２人),0)*(1+_15・盲ろう)),0)*(1+_15・区３)),0)</f>
        <v>820</v>
      </c>
      <c r="AA68" s="48"/>
    </row>
    <row r="69" spans="1:27" ht="16.5" customHeight="1" x14ac:dyDescent="0.15">
      <c r="A69" s="41">
        <v>15</v>
      </c>
      <c r="B69" s="41">
        <v>9261</v>
      </c>
      <c r="C69" s="74" t="s">
        <v>19251</v>
      </c>
      <c r="D69" s="72"/>
      <c r="F69" s="57"/>
      <c r="G69" s="72"/>
      <c r="I69" s="57"/>
      <c r="J69" s="114" t="s">
        <v>17558</v>
      </c>
      <c r="K69" s="49"/>
      <c r="L69" s="50"/>
      <c r="M69" s="163"/>
      <c r="N69" s="45"/>
      <c r="O69" s="46"/>
      <c r="P69" s="512"/>
      <c r="Q69" s="57"/>
      <c r="R69" s="35"/>
      <c r="S69" s="12" t="s">
        <v>398</v>
      </c>
      <c r="T69" s="13">
        <v>0.25</v>
      </c>
      <c r="U69" s="57" t="s">
        <v>3575</v>
      </c>
      <c r="V69" s="35"/>
      <c r="Y69" s="57"/>
      <c r="Z69" s="208">
        <f>ROUND((ROUND((ROUND((ROUND((_15_同援日０．５*_15・基礎２),0)*(1+_15・A早朝)),0)*(1+_15・盲ろう)),0)*(1+_15・区３)),0)+ROUND((ROUND((ROUND((_15_同援日０．５＿１．５*_15・基礎２),0)*(1+_15・盲ろう)),0)*(1+_15・区３)),0)</f>
        <v>737</v>
      </c>
      <c r="AA69" s="48"/>
    </row>
    <row r="70" spans="1:27" ht="16.5" customHeight="1" x14ac:dyDescent="0.15">
      <c r="A70" s="41">
        <v>15</v>
      </c>
      <c r="B70" s="41">
        <v>9262</v>
      </c>
      <c r="C70" s="74" t="s">
        <v>19252</v>
      </c>
      <c r="D70" s="72"/>
      <c r="F70" s="57"/>
      <c r="G70" s="72"/>
      <c r="I70" s="57"/>
      <c r="J70" s="269" t="s">
        <v>17560</v>
      </c>
      <c r="K70" s="37" t="s">
        <v>398</v>
      </c>
      <c r="L70" s="38">
        <v>0.9</v>
      </c>
      <c r="M70" s="299" t="s">
        <v>17556</v>
      </c>
      <c r="N70" s="45" t="s">
        <v>398</v>
      </c>
      <c r="O70" s="46">
        <v>1</v>
      </c>
      <c r="P70" s="512"/>
      <c r="Q70" s="57"/>
      <c r="R70" s="43"/>
      <c r="S70" s="37"/>
      <c r="T70" s="38"/>
      <c r="U70" s="79"/>
      <c r="V70" s="43"/>
      <c r="W70" s="37"/>
      <c r="X70" s="38"/>
      <c r="Y70" s="79"/>
      <c r="Z70" s="208">
        <f>ROUND((ROUND((ROUND((ROUND((ROUND((_15_同援日０．５*_15・基礎２),0)*_15・２人),0)*(1+_15・A早朝)),0)*(1+_15・盲ろう)),0)*(1+_15・区３)),0)+ROUND((ROUND((ROUND((ROUND((_15_同援日０．５＿１．５*_15・基礎２),0)*_15・２人),0)*(1+_15・盲ろう)),0)*(1+_15・区３)),0)</f>
        <v>737</v>
      </c>
      <c r="AA70" s="48"/>
    </row>
    <row r="71" spans="1:27" ht="16.5" customHeight="1" x14ac:dyDescent="0.15">
      <c r="A71" s="41">
        <v>15</v>
      </c>
      <c r="B71" s="41">
        <v>9263</v>
      </c>
      <c r="C71" s="74" t="s">
        <v>19253</v>
      </c>
      <c r="D71" s="72"/>
      <c r="F71" s="57"/>
      <c r="G71" s="72"/>
      <c r="I71" s="57"/>
      <c r="J71" s="53"/>
      <c r="K71" s="49"/>
      <c r="L71" s="50"/>
      <c r="M71" s="163"/>
      <c r="N71" s="45"/>
      <c r="O71" s="46"/>
      <c r="P71" s="512"/>
      <c r="Q71" s="57"/>
      <c r="R71" s="53"/>
      <c r="S71" s="49"/>
      <c r="T71" s="50"/>
      <c r="U71" s="115"/>
      <c r="V71" s="53"/>
      <c r="W71" s="49"/>
      <c r="X71" s="50"/>
      <c r="Y71" s="115"/>
      <c r="Z71" s="208">
        <f>ROUND((ROUND((_15_同援日０．５*(1+_15・A早朝)),0)*(1+_15・区４)),0)+ROUND((_15_同援日０．５＿１．５*(1+_15・区４)),0)</f>
        <v>764</v>
      </c>
      <c r="AA71" s="48"/>
    </row>
    <row r="72" spans="1:27" ht="16.5" customHeight="1" x14ac:dyDescent="0.15">
      <c r="A72" s="41">
        <v>15</v>
      </c>
      <c r="B72" s="41">
        <v>9264</v>
      </c>
      <c r="C72" s="74" t="s">
        <v>19254</v>
      </c>
      <c r="D72" s="72"/>
      <c r="F72" s="57"/>
      <c r="G72" s="72"/>
      <c r="I72" s="57"/>
      <c r="J72" s="43"/>
      <c r="K72" s="37"/>
      <c r="L72" s="38"/>
      <c r="M72" s="299" t="s">
        <v>17556</v>
      </c>
      <c r="N72" s="45" t="s">
        <v>398</v>
      </c>
      <c r="O72" s="46">
        <v>1</v>
      </c>
      <c r="P72" s="512"/>
      <c r="Q72" s="57"/>
      <c r="R72" s="35"/>
      <c r="U72" s="57"/>
      <c r="V72" s="35"/>
      <c r="Y72" s="57"/>
      <c r="Z72" s="208">
        <f>ROUND((ROUND((ROUND((_15_同援日０．５*_15・２人),0)*(1+_15・A早朝)),0)*(1+_15・区４)),0)+ROUND((ROUND((_15_同援日０．５＿１．５*_15・２人),0)*(1+_15・区４)),0)</f>
        <v>764</v>
      </c>
      <c r="AA72" s="48"/>
    </row>
    <row r="73" spans="1:27" ht="16.5" customHeight="1" x14ac:dyDescent="0.15">
      <c r="A73" s="41">
        <v>15</v>
      </c>
      <c r="B73" s="41">
        <v>9265</v>
      </c>
      <c r="C73" s="74" t="s">
        <v>19255</v>
      </c>
      <c r="D73" s="72"/>
      <c r="F73" s="57"/>
      <c r="G73" s="72"/>
      <c r="I73" s="57"/>
      <c r="J73" s="114" t="s">
        <v>17558</v>
      </c>
      <c r="K73" s="49"/>
      <c r="L73" s="50"/>
      <c r="M73" s="163"/>
      <c r="N73" s="45"/>
      <c r="O73" s="46"/>
      <c r="P73" s="512"/>
      <c r="Q73" s="57"/>
      <c r="R73" s="35"/>
      <c r="U73" s="57"/>
      <c r="V73" s="72" t="s">
        <v>17580</v>
      </c>
      <c r="Y73" s="57"/>
      <c r="Z73" s="208">
        <f>ROUND((ROUND((ROUND((_15_同援日０．５*_15・基礎２),0)*(1+_15・A早朝)),0)*(1+_15・区４)),0)+ROUND((ROUND((_15_同援日０．５＿１．５*_15・基礎２),0)*(1+_15・区４)),0)</f>
        <v>688</v>
      </c>
      <c r="AA73" s="48"/>
    </row>
    <row r="74" spans="1:27" ht="16.5" customHeight="1" x14ac:dyDescent="0.15">
      <c r="A74" s="41">
        <v>15</v>
      </c>
      <c r="B74" s="41">
        <v>9266</v>
      </c>
      <c r="C74" s="74" t="s">
        <v>19256</v>
      </c>
      <c r="D74" s="72"/>
      <c r="F74" s="57"/>
      <c r="G74" s="72"/>
      <c r="I74" s="57"/>
      <c r="J74" s="269" t="s">
        <v>17560</v>
      </c>
      <c r="K74" s="37" t="s">
        <v>398</v>
      </c>
      <c r="L74" s="38">
        <v>0.9</v>
      </c>
      <c r="M74" s="299" t="s">
        <v>17556</v>
      </c>
      <c r="N74" s="45" t="s">
        <v>398</v>
      </c>
      <c r="O74" s="46">
        <v>1</v>
      </c>
      <c r="P74" s="512"/>
      <c r="Q74" s="57"/>
      <c r="R74" s="43"/>
      <c r="S74" s="37"/>
      <c r="T74" s="38"/>
      <c r="U74" s="79"/>
      <c r="V74" s="72" t="s">
        <v>17572</v>
      </c>
      <c r="Y74" s="57"/>
      <c r="Z74" s="208">
        <f>ROUND((ROUND((ROUND((ROUND((_15_同援日０．５*_15・基礎２),0)*_15・２人),0)*(1+_15・A早朝)),0)*(1+_15・区４)),0)+ROUND((ROUND((ROUND((_15_同援日０．５＿１．５*_15・基礎２),0)*_15・２人),0)*(1+_15・区４)),0)</f>
        <v>688</v>
      </c>
      <c r="AA74" s="48"/>
    </row>
    <row r="75" spans="1:27" ht="16.5" customHeight="1" x14ac:dyDescent="0.15">
      <c r="A75" s="41">
        <v>15</v>
      </c>
      <c r="B75" s="41">
        <v>9267</v>
      </c>
      <c r="C75" s="74" t="s">
        <v>19257</v>
      </c>
      <c r="D75" s="72"/>
      <c r="F75" s="57"/>
      <c r="G75" s="72"/>
      <c r="I75" s="57"/>
      <c r="J75" s="53"/>
      <c r="K75" s="49"/>
      <c r="L75" s="50"/>
      <c r="M75" s="163"/>
      <c r="N75" s="45"/>
      <c r="O75" s="46"/>
      <c r="P75" s="512"/>
      <c r="Q75" s="57"/>
      <c r="R75" s="114" t="s">
        <v>17562</v>
      </c>
      <c r="S75" s="49"/>
      <c r="T75" s="50"/>
      <c r="U75" s="115"/>
      <c r="V75" s="35"/>
      <c r="W75" s="12" t="s">
        <v>398</v>
      </c>
      <c r="X75" s="13">
        <v>0.4</v>
      </c>
      <c r="Y75" s="57" t="s">
        <v>3575</v>
      </c>
      <c r="Z75" s="208">
        <f>ROUND((ROUND((ROUND((_15_同援日０．５*(1+_15・A早朝)),0)*(1+_15・盲ろう)),0)*(1+_15・区４)),0)+ROUND((ROUND((_15_同援日０．５＿１．５*(1+_15・盲ろう)),0)*(1+_15・区４)),0)</f>
        <v>956</v>
      </c>
      <c r="AA75" s="48"/>
    </row>
    <row r="76" spans="1:27" ht="16.5" customHeight="1" x14ac:dyDescent="0.15">
      <c r="A76" s="41">
        <v>15</v>
      </c>
      <c r="B76" s="41">
        <v>9268</v>
      </c>
      <c r="C76" s="74" t="s">
        <v>19258</v>
      </c>
      <c r="D76" s="72"/>
      <c r="F76" s="57"/>
      <c r="G76" s="72"/>
      <c r="I76" s="57"/>
      <c r="J76" s="43"/>
      <c r="K76" s="37"/>
      <c r="L76" s="38"/>
      <c r="M76" s="299" t="s">
        <v>17556</v>
      </c>
      <c r="N76" s="45" t="s">
        <v>398</v>
      </c>
      <c r="O76" s="46">
        <v>1</v>
      </c>
      <c r="P76" s="512"/>
      <c r="Q76" s="57"/>
      <c r="R76" s="92" t="s">
        <v>17564</v>
      </c>
      <c r="U76" s="57"/>
      <c r="V76" s="35"/>
      <c r="Y76" s="57"/>
      <c r="Z76" s="208">
        <f>ROUND((ROUND((ROUND((ROUND((_15_同援日０．５*_15・２人),0)*(1+_15・A早朝)),0)*(1+_15・盲ろう)),0)*(1+_15・区４)),0)+ROUND((ROUND((ROUND((_15_同援日０．５＿１．５*_15・２人),0)*(1+_15・盲ろう)),0)*(1+_15・区４)),0)</f>
        <v>956</v>
      </c>
      <c r="AA76" s="48"/>
    </row>
    <row r="77" spans="1:27" ht="16.5" customHeight="1" x14ac:dyDescent="0.15">
      <c r="A77" s="41">
        <v>15</v>
      </c>
      <c r="B77" s="41">
        <v>9269</v>
      </c>
      <c r="C77" s="74" t="s">
        <v>19259</v>
      </c>
      <c r="D77" s="72"/>
      <c r="F77" s="57"/>
      <c r="G77" s="72"/>
      <c r="I77" s="57"/>
      <c r="J77" s="114" t="s">
        <v>17558</v>
      </c>
      <c r="K77" s="49"/>
      <c r="L77" s="50"/>
      <c r="M77" s="163"/>
      <c r="N77" s="45"/>
      <c r="O77" s="46"/>
      <c r="P77" s="512"/>
      <c r="Q77" s="57"/>
      <c r="R77" s="35"/>
      <c r="S77" s="12" t="s">
        <v>398</v>
      </c>
      <c r="T77" s="13">
        <v>0.25</v>
      </c>
      <c r="U77" s="57" t="s">
        <v>3575</v>
      </c>
      <c r="V77" s="35"/>
      <c r="Y77" s="57"/>
      <c r="Z77" s="208">
        <f>ROUND((ROUND((ROUND((ROUND((_15_同援日０．５*_15・基礎２),0)*(1+_15・A早朝)),0)*(1+_15・盲ろう)),0)*(1+_15・区４)),0)+ROUND((ROUND((ROUND((_15_同援日０．５＿１．５*_15・基礎２),0)*(1+_15・盲ろう)),0)*(1+_15・区４)),0)</f>
        <v>859</v>
      </c>
      <c r="AA77" s="48"/>
    </row>
    <row r="78" spans="1:27" ht="16.5" customHeight="1" x14ac:dyDescent="0.15">
      <c r="A78" s="41">
        <v>15</v>
      </c>
      <c r="B78" s="41">
        <v>9270</v>
      </c>
      <c r="C78" s="74" t="s">
        <v>19260</v>
      </c>
      <c r="D78" s="72"/>
      <c r="F78" s="57"/>
      <c r="G78" s="122"/>
      <c r="H78" s="37"/>
      <c r="I78" s="79"/>
      <c r="J78" s="269" t="s">
        <v>17560</v>
      </c>
      <c r="K78" s="37" t="s">
        <v>398</v>
      </c>
      <c r="L78" s="38">
        <v>0.9</v>
      </c>
      <c r="M78" s="299" t="s">
        <v>17556</v>
      </c>
      <c r="N78" s="45" t="s">
        <v>398</v>
      </c>
      <c r="O78" s="46">
        <v>1</v>
      </c>
      <c r="P78" s="512"/>
      <c r="Q78" s="57"/>
      <c r="R78" s="43"/>
      <c r="S78" s="37"/>
      <c r="T78" s="38"/>
      <c r="U78" s="79"/>
      <c r="V78" s="43"/>
      <c r="W78" s="37"/>
      <c r="X78" s="38"/>
      <c r="Y78" s="79"/>
      <c r="Z78" s="208">
        <f>ROUND((ROUND((ROUND((ROUND((ROUND((_15_同援日０．５*_15・基礎２),0)*_15・２人),0)*(1+_15・A早朝)),0)*(1+_15・盲ろう)),0)*(1+_15・区４)),0)+ROUND((ROUND((ROUND((ROUND((_15_同援日０．５＿１．５*_15・基礎２),0)*_15・２人),0)*(1+_15・盲ろう)),0)*(1+_15・区４)),0)</f>
        <v>859</v>
      </c>
      <c r="AA78" s="48"/>
    </row>
    <row r="79" spans="1:27" ht="16.5" customHeight="1" x14ac:dyDescent="0.15">
      <c r="A79" s="41">
        <v>15</v>
      </c>
      <c r="B79" s="41">
        <v>9271</v>
      </c>
      <c r="C79" s="74" t="s">
        <v>19261</v>
      </c>
      <c r="D79" s="72"/>
      <c r="F79" s="57"/>
      <c r="G79" s="114" t="s">
        <v>19262</v>
      </c>
      <c r="H79" s="49"/>
      <c r="I79" s="115"/>
      <c r="J79" s="53"/>
      <c r="K79" s="49"/>
      <c r="L79" s="50"/>
      <c r="M79" s="163"/>
      <c r="N79" s="45"/>
      <c r="O79" s="46"/>
      <c r="P79" s="512"/>
      <c r="Q79" s="57"/>
      <c r="R79" s="53"/>
      <c r="S79" s="49"/>
      <c r="T79" s="50"/>
      <c r="U79" s="115"/>
      <c r="V79" s="53"/>
      <c r="W79" s="49"/>
      <c r="X79" s="50"/>
      <c r="Y79" s="115"/>
      <c r="Z79" s="208">
        <f>ROUND((_15_同援日０．５*(1+_15・A早朝)),0)+_15_同援日０．５＿２．０</f>
        <v>611</v>
      </c>
      <c r="AA79" s="48"/>
    </row>
    <row r="80" spans="1:27" ht="16.5" customHeight="1" x14ac:dyDescent="0.15">
      <c r="A80" s="41">
        <v>15</v>
      </c>
      <c r="B80" s="41">
        <v>9272</v>
      </c>
      <c r="C80" s="74" t="s">
        <v>19263</v>
      </c>
      <c r="D80" s="72"/>
      <c r="F80" s="57"/>
      <c r="G80" s="72" t="s">
        <v>17643</v>
      </c>
      <c r="I80" s="57"/>
      <c r="J80" s="43"/>
      <c r="K80" s="37"/>
      <c r="L80" s="38"/>
      <c r="M80" s="299" t="s">
        <v>17556</v>
      </c>
      <c r="N80" s="45" t="s">
        <v>398</v>
      </c>
      <c r="O80" s="46">
        <v>1</v>
      </c>
      <c r="P80" s="512"/>
      <c r="Q80" s="57"/>
      <c r="R80" s="35"/>
      <c r="U80" s="57"/>
      <c r="V80" s="35"/>
      <c r="Y80" s="57"/>
      <c r="Z80" s="208">
        <f>ROUND((ROUND((_15_同援日０．５*_15・２人),0)*(1+_15・A早朝)),0)+ROUND((_15_同援日０．５＿２．０*_15・２人),0)</f>
        <v>611</v>
      </c>
      <c r="AA80" s="48"/>
    </row>
    <row r="81" spans="1:27" ht="16.5" customHeight="1" x14ac:dyDescent="0.15">
      <c r="A81" s="41">
        <v>15</v>
      </c>
      <c r="B81" s="41">
        <v>9273</v>
      </c>
      <c r="C81" s="74" t="s">
        <v>19264</v>
      </c>
      <c r="D81" s="72"/>
      <c r="F81" s="57"/>
      <c r="G81" s="72" t="s">
        <v>17645</v>
      </c>
      <c r="I81" s="57"/>
      <c r="J81" s="114" t="s">
        <v>17558</v>
      </c>
      <c r="K81" s="49"/>
      <c r="L81" s="50"/>
      <c r="M81" s="163"/>
      <c r="N81" s="45"/>
      <c r="O81" s="46"/>
      <c r="P81" s="512"/>
      <c r="Q81" s="57"/>
      <c r="R81" s="35"/>
      <c r="U81" s="57"/>
      <c r="V81" s="35"/>
      <c r="Y81" s="57"/>
      <c r="Z81" s="208">
        <f>ROUND((ROUND((_15_同援日０．５*_15・基礎２),0)*(1+_15・A早朝)),0)+ROUND((_15_同援日０．５＿２．０*_15・基礎２),0)</f>
        <v>550</v>
      </c>
      <c r="AA81" s="48"/>
    </row>
    <row r="82" spans="1:27" ht="16.5" customHeight="1" x14ac:dyDescent="0.15">
      <c r="A82" s="41">
        <v>15</v>
      </c>
      <c r="B82" s="41">
        <v>9274</v>
      </c>
      <c r="C82" s="74" t="s">
        <v>19265</v>
      </c>
      <c r="D82" s="72"/>
      <c r="F82" s="57"/>
      <c r="G82" s="72"/>
      <c r="H82" s="168">
        <f>_15_同援日０．５＿２．０</f>
        <v>373</v>
      </c>
      <c r="I82" s="57" t="s">
        <v>392</v>
      </c>
      <c r="J82" s="269" t="s">
        <v>17560</v>
      </c>
      <c r="K82" s="37" t="s">
        <v>398</v>
      </c>
      <c r="L82" s="38">
        <v>0.9</v>
      </c>
      <c r="M82" s="299" t="s">
        <v>17556</v>
      </c>
      <c r="N82" s="45" t="s">
        <v>398</v>
      </c>
      <c r="O82" s="46">
        <v>1</v>
      </c>
      <c r="P82" s="512"/>
      <c r="Q82" s="57"/>
      <c r="R82" s="43"/>
      <c r="S82" s="37"/>
      <c r="T82" s="38"/>
      <c r="U82" s="79"/>
      <c r="V82" s="35"/>
      <c r="Y82" s="57"/>
      <c r="Z82" s="208">
        <f>ROUND((ROUND((ROUND((_15_同援日０．５*_15・基礎２),0)*_15・２人),0)*(1+_15・A早朝)),0)+ROUND((ROUND((_15_同援日０．５＿２．０*_15・基礎２),0)*_15・２人),0)</f>
        <v>550</v>
      </c>
      <c r="AA82" s="48"/>
    </row>
    <row r="83" spans="1:27" ht="16.5" customHeight="1" x14ac:dyDescent="0.15">
      <c r="A83" s="41">
        <v>15</v>
      </c>
      <c r="B83" s="41">
        <v>9275</v>
      </c>
      <c r="C83" s="74" t="s">
        <v>19266</v>
      </c>
      <c r="D83" s="72"/>
      <c r="F83" s="57"/>
      <c r="G83" s="72"/>
      <c r="I83" s="57"/>
      <c r="J83" s="53"/>
      <c r="K83" s="49"/>
      <c r="L83" s="50"/>
      <c r="M83" s="163"/>
      <c r="N83" s="45"/>
      <c r="O83" s="46"/>
      <c r="P83" s="512"/>
      <c r="Q83" s="57"/>
      <c r="R83" s="114" t="s">
        <v>17562</v>
      </c>
      <c r="S83" s="49"/>
      <c r="T83" s="50"/>
      <c r="U83" s="115"/>
      <c r="V83" s="35"/>
      <c r="Y83" s="57"/>
      <c r="Z83" s="208">
        <f>ROUND((ROUND((_15_同援日０．５*(1+_15・A早朝)),0)*(1+_15・盲ろう)),0)+ROUND((_15_同援日０．５＿２．０*(1+_15・盲ろう)),0)</f>
        <v>764</v>
      </c>
      <c r="AA83" s="48"/>
    </row>
    <row r="84" spans="1:27" ht="16.5" customHeight="1" x14ac:dyDescent="0.15">
      <c r="A84" s="41">
        <v>15</v>
      </c>
      <c r="B84" s="41">
        <v>9276</v>
      </c>
      <c r="C84" s="74" t="s">
        <v>19267</v>
      </c>
      <c r="D84" s="72"/>
      <c r="F84" s="57"/>
      <c r="G84" s="72"/>
      <c r="I84" s="57"/>
      <c r="J84" s="43"/>
      <c r="K84" s="37"/>
      <c r="L84" s="38"/>
      <c r="M84" s="299" t="s">
        <v>17556</v>
      </c>
      <c r="N84" s="45" t="s">
        <v>398</v>
      </c>
      <c r="O84" s="46">
        <v>1</v>
      </c>
      <c r="P84" s="512"/>
      <c r="Q84" s="57"/>
      <c r="R84" s="92" t="s">
        <v>17564</v>
      </c>
      <c r="U84" s="57"/>
      <c r="V84" s="35"/>
      <c r="Y84" s="57"/>
      <c r="Z84" s="208">
        <f>ROUND((ROUND((ROUND((_15_同援日０．５*_15・２人),0)*(1+_15・A早朝)),0)*(1+_15・盲ろう)),0)+ROUND((ROUND((_15_同援日０．５＿２．０*_15・２人),0)*(1+_15・盲ろう)),0)</f>
        <v>764</v>
      </c>
      <c r="AA84" s="48"/>
    </row>
    <row r="85" spans="1:27" ht="16.5" customHeight="1" x14ac:dyDescent="0.15">
      <c r="A85" s="41">
        <v>15</v>
      </c>
      <c r="B85" s="41">
        <v>9277</v>
      </c>
      <c r="C85" s="74" t="s">
        <v>19268</v>
      </c>
      <c r="D85" s="72"/>
      <c r="F85" s="57"/>
      <c r="G85" s="72"/>
      <c r="I85" s="57"/>
      <c r="J85" s="114" t="s">
        <v>17558</v>
      </c>
      <c r="K85" s="49"/>
      <c r="L85" s="50"/>
      <c r="M85" s="163"/>
      <c r="N85" s="45"/>
      <c r="O85" s="46"/>
      <c r="P85" s="512"/>
      <c r="Q85" s="57"/>
      <c r="R85" s="35"/>
      <c r="S85" s="12" t="s">
        <v>398</v>
      </c>
      <c r="T85" s="13">
        <v>0.25</v>
      </c>
      <c r="U85" s="57" t="s">
        <v>3575</v>
      </c>
      <c r="V85" s="35"/>
      <c r="Y85" s="57"/>
      <c r="Z85" s="208">
        <f>ROUND((ROUND((ROUND((_15_同援日０．５*_15・基礎２),0)*(1+_15・A早朝)),0)*(1+_15・盲ろう)),0)+ROUND((ROUND((_15_同援日０．５＿２．０*_15・基礎２),0)*(1+_15・盲ろう)),0)</f>
        <v>688</v>
      </c>
      <c r="AA85" s="48"/>
    </row>
    <row r="86" spans="1:27" ht="16.5" customHeight="1" x14ac:dyDescent="0.15">
      <c r="A86" s="41">
        <v>15</v>
      </c>
      <c r="B86" s="41">
        <v>9278</v>
      </c>
      <c r="C86" s="74" t="s">
        <v>19269</v>
      </c>
      <c r="D86" s="72"/>
      <c r="F86" s="57"/>
      <c r="G86" s="72"/>
      <c r="I86" s="57"/>
      <c r="J86" s="269" t="s">
        <v>17560</v>
      </c>
      <c r="K86" s="37" t="s">
        <v>398</v>
      </c>
      <c r="L86" s="38">
        <v>0.9</v>
      </c>
      <c r="M86" s="299" t="s">
        <v>17556</v>
      </c>
      <c r="N86" s="45" t="s">
        <v>398</v>
      </c>
      <c r="O86" s="46">
        <v>1</v>
      </c>
      <c r="P86" s="512"/>
      <c r="Q86" s="57"/>
      <c r="R86" s="43"/>
      <c r="S86" s="37"/>
      <c r="T86" s="38"/>
      <c r="U86" s="79"/>
      <c r="V86" s="43"/>
      <c r="W86" s="37"/>
      <c r="X86" s="38"/>
      <c r="Y86" s="79"/>
      <c r="Z86" s="208">
        <f>ROUND((ROUND((ROUND((ROUND((_15_同援日０．５*_15・基礎２),0)*_15・２人),0)*(1+_15・A早朝)),0)*(1+_15・盲ろう)),0)+ROUND((ROUND((ROUND((_15_同援日０．５＿２．０*_15・基礎２),0)*_15・２人),0)*(1+_15・盲ろう)),0)</f>
        <v>688</v>
      </c>
      <c r="AA86" s="48"/>
    </row>
    <row r="87" spans="1:27" ht="16.5" customHeight="1" x14ac:dyDescent="0.15">
      <c r="A87" s="41">
        <v>15</v>
      </c>
      <c r="B87" s="41">
        <v>9279</v>
      </c>
      <c r="C87" s="74" t="s">
        <v>19270</v>
      </c>
      <c r="D87" s="72"/>
      <c r="F87" s="57"/>
      <c r="G87" s="72"/>
      <c r="I87" s="57"/>
      <c r="J87" s="53"/>
      <c r="K87" s="49"/>
      <c r="L87" s="50"/>
      <c r="M87" s="163"/>
      <c r="N87" s="45"/>
      <c r="O87" s="46"/>
      <c r="P87" s="512"/>
      <c r="Q87" s="57"/>
      <c r="R87" s="53"/>
      <c r="S87" s="49"/>
      <c r="T87" s="50"/>
      <c r="U87" s="115"/>
      <c r="V87" s="53"/>
      <c r="W87" s="49"/>
      <c r="X87" s="50"/>
      <c r="Y87" s="115"/>
      <c r="Z87" s="208">
        <f>ROUND((ROUND((_15_同援日０．５*(1+_15・A早朝)),0)*(1+_15・区３)),0)+ROUND((_15_同援日０．５＿２．０*(1+_15・区３)),0)</f>
        <v>734</v>
      </c>
      <c r="AA87" s="48"/>
    </row>
    <row r="88" spans="1:27" ht="16.5" customHeight="1" x14ac:dyDescent="0.15">
      <c r="A88" s="41">
        <v>15</v>
      </c>
      <c r="B88" s="41">
        <v>9280</v>
      </c>
      <c r="C88" s="74" t="s">
        <v>19271</v>
      </c>
      <c r="D88" s="72"/>
      <c r="F88" s="57"/>
      <c r="G88" s="72"/>
      <c r="I88" s="57"/>
      <c r="J88" s="43"/>
      <c r="K88" s="37"/>
      <c r="L88" s="38"/>
      <c r="M88" s="299" t="s">
        <v>17556</v>
      </c>
      <c r="N88" s="45" t="s">
        <v>398</v>
      </c>
      <c r="O88" s="46">
        <v>1</v>
      </c>
      <c r="P88" s="512"/>
      <c r="Q88" s="57"/>
      <c r="R88" s="35"/>
      <c r="U88" s="57"/>
      <c r="V88" s="35"/>
      <c r="Y88" s="57"/>
      <c r="Z88" s="208">
        <f>ROUND((ROUND((ROUND((_15_同援日０．５*_15・２人),0)*(1+_15・A早朝)),0)*(1+_15・区３)),0)+ROUND((ROUND((_15_同援日０．５＿２．０*_15・２人),0)*(1+_15・区３)),0)</f>
        <v>734</v>
      </c>
      <c r="AA88" s="48"/>
    </row>
    <row r="89" spans="1:27" ht="16.5" customHeight="1" x14ac:dyDescent="0.15">
      <c r="A89" s="41">
        <v>15</v>
      </c>
      <c r="B89" s="41">
        <v>9281</v>
      </c>
      <c r="C89" s="74" t="s">
        <v>19272</v>
      </c>
      <c r="D89" s="72"/>
      <c r="F89" s="57"/>
      <c r="G89" s="72"/>
      <c r="I89" s="57"/>
      <c r="J89" s="114" t="s">
        <v>17558</v>
      </c>
      <c r="K89" s="49"/>
      <c r="L89" s="50"/>
      <c r="M89" s="163"/>
      <c r="N89" s="45"/>
      <c r="O89" s="46"/>
      <c r="P89" s="512"/>
      <c r="Q89" s="57"/>
      <c r="R89" s="35"/>
      <c r="U89" s="57"/>
      <c r="V89" s="72" t="s">
        <v>17570</v>
      </c>
      <c r="Y89" s="57"/>
      <c r="Z89" s="208">
        <f>ROUND((ROUND((ROUND((_15_同援日０．５*_15・基礎２),0)*(1+_15・A早朝)),0)*(1+_15・区３)),0)+ROUND((ROUND((_15_同援日０．５＿２．０*_15・基礎２),0)*(1+_15・区３)),0)</f>
        <v>660</v>
      </c>
      <c r="AA89" s="48"/>
    </row>
    <row r="90" spans="1:27" ht="16.5" customHeight="1" x14ac:dyDescent="0.15">
      <c r="A90" s="41">
        <v>15</v>
      </c>
      <c r="B90" s="41">
        <v>9282</v>
      </c>
      <c r="C90" s="74" t="s">
        <v>19273</v>
      </c>
      <c r="D90" s="72"/>
      <c r="F90" s="57"/>
      <c r="G90" s="72"/>
      <c r="I90" s="57"/>
      <c r="J90" s="269" t="s">
        <v>17560</v>
      </c>
      <c r="K90" s="37" t="s">
        <v>398</v>
      </c>
      <c r="L90" s="38">
        <v>0.9</v>
      </c>
      <c r="M90" s="299" t="s">
        <v>17556</v>
      </c>
      <c r="N90" s="45" t="s">
        <v>398</v>
      </c>
      <c r="O90" s="46">
        <v>1</v>
      </c>
      <c r="P90" s="512"/>
      <c r="Q90" s="57"/>
      <c r="R90" s="43"/>
      <c r="S90" s="37"/>
      <c r="T90" s="38"/>
      <c r="U90" s="79"/>
      <c r="V90" s="72" t="s">
        <v>17572</v>
      </c>
      <c r="Y90" s="57"/>
      <c r="Z90" s="208">
        <f>ROUND((ROUND((ROUND((ROUND((_15_同援日０．５*_15・基礎２),0)*_15・２人),0)*(1+_15・A早朝)),0)*(1+_15・区３)),0)+ROUND((ROUND((ROUND((_15_同援日０．５＿２．０*_15・基礎２),0)*_15・２人),0)*(1+_15・区３)),0)</f>
        <v>660</v>
      </c>
      <c r="AA90" s="48"/>
    </row>
    <row r="91" spans="1:27" ht="16.5" customHeight="1" x14ac:dyDescent="0.15">
      <c r="A91" s="41">
        <v>15</v>
      </c>
      <c r="B91" s="41">
        <v>9283</v>
      </c>
      <c r="C91" s="74" t="s">
        <v>19274</v>
      </c>
      <c r="D91" s="72"/>
      <c r="F91" s="57"/>
      <c r="G91" s="72"/>
      <c r="I91" s="57"/>
      <c r="J91" s="53"/>
      <c r="K91" s="49"/>
      <c r="L91" s="50"/>
      <c r="M91" s="163"/>
      <c r="N91" s="45"/>
      <c r="O91" s="46"/>
      <c r="P91" s="512"/>
      <c r="Q91" s="57"/>
      <c r="R91" s="114" t="s">
        <v>17562</v>
      </c>
      <c r="S91" s="49"/>
      <c r="T91" s="50"/>
      <c r="U91" s="115"/>
      <c r="V91" s="35"/>
      <c r="W91" s="12" t="s">
        <v>398</v>
      </c>
      <c r="X91" s="13">
        <v>0.2</v>
      </c>
      <c r="Y91" s="57" t="s">
        <v>3575</v>
      </c>
      <c r="Z91" s="208">
        <f>ROUND((ROUND((ROUND((_15_同援日０．５*(1+_15・A早朝)),0)*(1+_15・盲ろう)),0)*(1+_15・区３)),0)+ROUND((ROUND((_15_同援日０．５＿２．０*(1+_15・盲ろう)),0)*(1+_15・区３)),0)</f>
        <v>917</v>
      </c>
      <c r="AA91" s="48"/>
    </row>
    <row r="92" spans="1:27" ht="16.5" customHeight="1" x14ac:dyDescent="0.15">
      <c r="A92" s="41">
        <v>15</v>
      </c>
      <c r="B92" s="41">
        <v>9284</v>
      </c>
      <c r="C92" s="74" t="s">
        <v>19275</v>
      </c>
      <c r="D92" s="72"/>
      <c r="F92" s="57"/>
      <c r="G92" s="72"/>
      <c r="I92" s="57"/>
      <c r="J92" s="43"/>
      <c r="K92" s="37"/>
      <c r="L92" s="38"/>
      <c r="M92" s="299" t="s">
        <v>17556</v>
      </c>
      <c r="N92" s="45" t="s">
        <v>398</v>
      </c>
      <c r="O92" s="46">
        <v>1</v>
      </c>
      <c r="P92" s="512"/>
      <c r="Q92" s="57"/>
      <c r="R92" s="92" t="s">
        <v>17564</v>
      </c>
      <c r="U92" s="57"/>
      <c r="V92" s="35"/>
      <c r="Y92" s="57"/>
      <c r="Z92" s="208">
        <f>ROUND((ROUND((ROUND((ROUND((_15_同援日０．５*_15・２人),0)*(1+_15・A早朝)),0)*(1+_15・盲ろう)),0)*(1+_15・区３)),0)+ROUND((ROUND((ROUND((_15_同援日０．５＿２．０*_15・２人),0)*(1+_15・盲ろう)),0)*(1+_15・区３)),0)</f>
        <v>917</v>
      </c>
      <c r="AA92" s="48"/>
    </row>
    <row r="93" spans="1:27" ht="16.5" customHeight="1" x14ac:dyDescent="0.15">
      <c r="A93" s="41">
        <v>15</v>
      </c>
      <c r="B93" s="41">
        <v>9285</v>
      </c>
      <c r="C93" s="74" t="s">
        <v>19276</v>
      </c>
      <c r="D93" s="72"/>
      <c r="F93" s="57"/>
      <c r="G93" s="72"/>
      <c r="I93" s="57"/>
      <c r="J93" s="114" t="s">
        <v>17558</v>
      </c>
      <c r="K93" s="49"/>
      <c r="L93" s="50"/>
      <c r="M93" s="163"/>
      <c r="N93" s="45"/>
      <c r="O93" s="46"/>
      <c r="P93" s="512"/>
      <c r="Q93" s="57"/>
      <c r="R93" s="35"/>
      <c r="S93" s="12" t="s">
        <v>398</v>
      </c>
      <c r="T93" s="13">
        <v>0.25</v>
      </c>
      <c r="U93" s="57" t="s">
        <v>3575</v>
      </c>
      <c r="V93" s="35"/>
      <c r="Y93" s="57"/>
      <c r="Z93" s="208">
        <f>ROUND((ROUND((ROUND((ROUND((_15_同援日０．５*_15・基礎２),0)*(1+_15・A早朝)),0)*(1+_15・盲ろう)),0)*(1+_15・区３)),0)+ROUND((ROUND((ROUND((_15_同援日０．５＿２．０*_15・基礎２),0)*(1+_15・盲ろう)),0)*(1+_15・区３)),0)</f>
        <v>826</v>
      </c>
      <c r="AA93" s="48"/>
    </row>
    <row r="94" spans="1:27" ht="16.5" customHeight="1" x14ac:dyDescent="0.15">
      <c r="A94" s="41">
        <v>15</v>
      </c>
      <c r="B94" s="41">
        <v>9286</v>
      </c>
      <c r="C94" s="74" t="s">
        <v>19277</v>
      </c>
      <c r="D94" s="72"/>
      <c r="F94" s="57"/>
      <c r="G94" s="72"/>
      <c r="I94" s="57"/>
      <c r="J94" s="269" t="s">
        <v>17560</v>
      </c>
      <c r="K94" s="37" t="s">
        <v>398</v>
      </c>
      <c r="L94" s="38">
        <v>0.9</v>
      </c>
      <c r="M94" s="299" t="s">
        <v>17556</v>
      </c>
      <c r="N94" s="45" t="s">
        <v>398</v>
      </c>
      <c r="O94" s="46">
        <v>1</v>
      </c>
      <c r="P94" s="512"/>
      <c r="Q94" s="57"/>
      <c r="R94" s="43"/>
      <c r="S94" s="37"/>
      <c r="T94" s="38"/>
      <c r="U94" s="79"/>
      <c r="V94" s="43"/>
      <c r="W94" s="37"/>
      <c r="X94" s="38"/>
      <c r="Y94" s="79"/>
      <c r="Z94" s="208">
        <f>ROUND((ROUND((ROUND((ROUND((ROUND((_15_同援日０．５*_15・基礎２),0)*_15・２人),0)*(1+_15・A早朝)),0)*(1+_15・盲ろう)),0)*(1+_15・区３)),0)+ROUND((ROUND((ROUND((ROUND((_15_同援日０．５＿２．０*_15・基礎２),0)*_15・２人),0)*(1+_15・盲ろう)),0)*(1+_15・区３)),0)</f>
        <v>826</v>
      </c>
      <c r="AA94" s="48"/>
    </row>
    <row r="95" spans="1:27" ht="16.5" customHeight="1" x14ac:dyDescent="0.15">
      <c r="A95" s="41">
        <v>15</v>
      </c>
      <c r="B95" s="41">
        <v>9287</v>
      </c>
      <c r="C95" s="74" t="s">
        <v>19278</v>
      </c>
      <c r="D95" s="72"/>
      <c r="F95" s="57"/>
      <c r="G95" s="72"/>
      <c r="I95" s="57"/>
      <c r="J95" s="53"/>
      <c r="K95" s="49"/>
      <c r="L95" s="50"/>
      <c r="M95" s="163"/>
      <c r="N95" s="45"/>
      <c r="O95" s="46"/>
      <c r="P95" s="512"/>
      <c r="Q95" s="57"/>
      <c r="R95" s="53"/>
      <c r="S95" s="49"/>
      <c r="T95" s="50"/>
      <c r="U95" s="115"/>
      <c r="V95" s="53"/>
      <c r="W95" s="49"/>
      <c r="X95" s="50"/>
      <c r="Y95" s="115"/>
      <c r="Z95" s="208">
        <f>ROUND((ROUND((_15_同援日０．５*(1+_15・A早朝)),0)*(1+_15・区４)),0)+ROUND((_15_同援日０．５＿２．０*(1+_15・区４)),0)</f>
        <v>855</v>
      </c>
      <c r="AA95" s="48"/>
    </row>
    <row r="96" spans="1:27" ht="16.5" customHeight="1" x14ac:dyDescent="0.15">
      <c r="A96" s="41">
        <v>15</v>
      </c>
      <c r="B96" s="41">
        <v>9288</v>
      </c>
      <c r="C96" s="74" t="s">
        <v>19279</v>
      </c>
      <c r="D96" s="72"/>
      <c r="F96" s="57"/>
      <c r="G96" s="72"/>
      <c r="I96" s="57"/>
      <c r="J96" s="43"/>
      <c r="K96" s="37"/>
      <c r="L96" s="38"/>
      <c r="M96" s="299" t="s">
        <v>17556</v>
      </c>
      <c r="N96" s="45" t="s">
        <v>398</v>
      </c>
      <c r="O96" s="46">
        <v>1</v>
      </c>
      <c r="P96" s="512"/>
      <c r="Q96" s="57"/>
      <c r="R96" s="35"/>
      <c r="U96" s="57"/>
      <c r="V96" s="35"/>
      <c r="Y96" s="57"/>
      <c r="Z96" s="208">
        <f>ROUND((ROUND((ROUND((_15_同援日０．５*_15・２人),0)*(1+_15・A早朝)),0)*(1+_15・区４)),0)+ROUND((ROUND((_15_同援日０．５＿２．０*_15・２人),0)*(1+_15・区４)),0)</f>
        <v>855</v>
      </c>
      <c r="AA96" s="48"/>
    </row>
    <row r="97" spans="1:27" ht="16.5" customHeight="1" x14ac:dyDescent="0.15">
      <c r="A97" s="41">
        <v>15</v>
      </c>
      <c r="B97" s="41">
        <v>9289</v>
      </c>
      <c r="C97" s="74" t="s">
        <v>19280</v>
      </c>
      <c r="D97" s="72"/>
      <c r="F97" s="57"/>
      <c r="G97" s="72"/>
      <c r="I97" s="57"/>
      <c r="J97" s="114" t="s">
        <v>17558</v>
      </c>
      <c r="K97" s="49"/>
      <c r="L97" s="50"/>
      <c r="M97" s="163"/>
      <c r="N97" s="45"/>
      <c r="O97" s="46"/>
      <c r="P97" s="512"/>
      <c r="Q97" s="57"/>
      <c r="R97" s="35"/>
      <c r="U97" s="57"/>
      <c r="V97" s="72" t="s">
        <v>17580</v>
      </c>
      <c r="Y97" s="57"/>
      <c r="Z97" s="208">
        <f>ROUND((ROUND((ROUND((_15_同援日０．５*_15・基礎２),0)*(1+_15・A早朝)),0)*(1+_15・区４)),0)+ROUND((ROUND((_15_同援日０．５＿２．０*_15・基礎２),0)*(1+_15・区４)),0)</f>
        <v>770</v>
      </c>
      <c r="AA97" s="48"/>
    </row>
    <row r="98" spans="1:27" ht="16.5" customHeight="1" x14ac:dyDescent="0.15">
      <c r="A98" s="41">
        <v>15</v>
      </c>
      <c r="B98" s="41">
        <v>9290</v>
      </c>
      <c r="C98" s="74" t="s">
        <v>19281</v>
      </c>
      <c r="D98" s="72"/>
      <c r="F98" s="57"/>
      <c r="G98" s="72"/>
      <c r="I98" s="57"/>
      <c r="J98" s="269" t="s">
        <v>17560</v>
      </c>
      <c r="K98" s="37" t="s">
        <v>398</v>
      </c>
      <c r="L98" s="38">
        <v>0.9</v>
      </c>
      <c r="M98" s="299" t="s">
        <v>17556</v>
      </c>
      <c r="N98" s="45" t="s">
        <v>398</v>
      </c>
      <c r="O98" s="46">
        <v>1</v>
      </c>
      <c r="P98" s="512"/>
      <c r="Q98" s="57"/>
      <c r="R98" s="43"/>
      <c r="S98" s="37"/>
      <c r="T98" s="38"/>
      <c r="U98" s="79"/>
      <c r="V98" s="72" t="s">
        <v>17572</v>
      </c>
      <c r="Y98" s="57"/>
      <c r="Z98" s="208">
        <f>ROUND((ROUND((ROUND((ROUND((_15_同援日０．５*_15・基礎２),0)*_15・２人),0)*(1+_15・A早朝)),0)*(1+_15・区４)),0)+ROUND((ROUND((ROUND((_15_同援日０．５＿２．０*_15・基礎２),0)*_15・２人),0)*(1+_15・区４)),0)</f>
        <v>770</v>
      </c>
      <c r="AA98" s="48"/>
    </row>
    <row r="99" spans="1:27" ht="16.5" customHeight="1" x14ac:dyDescent="0.15">
      <c r="A99" s="41">
        <v>15</v>
      </c>
      <c r="B99" s="41">
        <v>9291</v>
      </c>
      <c r="C99" s="74" t="s">
        <v>19282</v>
      </c>
      <c r="D99" s="72"/>
      <c r="F99" s="57"/>
      <c r="G99" s="72"/>
      <c r="I99" s="57"/>
      <c r="J99" s="53"/>
      <c r="K99" s="49"/>
      <c r="L99" s="50"/>
      <c r="M99" s="163"/>
      <c r="N99" s="45"/>
      <c r="O99" s="46"/>
      <c r="P99" s="512"/>
      <c r="Q99" s="57"/>
      <c r="R99" s="114" t="s">
        <v>17562</v>
      </c>
      <c r="S99" s="49"/>
      <c r="T99" s="50"/>
      <c r="U99" s="115"/>
      <c r="V99" s="35"/>
      <c r="W99" s="12" t="s">
        <v>398</v>
      </c>
      <c r="X99" s="13">
        <v>0.4</v>
      </c>
      <c r="Y99" s="57" t="s">
        <v>3575</v>
      </c>
      <c r="Z99" s="208">
        <f>ROUND((ROUND((ROUND((_15_同援日０．５*(1+_15・A早朝)),0)*(1+_15・盲ろう)),0)*(1+_15・区４)),0)+ROUND((ROUND((_15_同援日０．５＿２．０*(1+_15・盲ろう)),0)*(1+_15・区４)),0)</f>
        <v>1069</v>
      </c>
      <c r="AA99" s="48"/>
    </row>
    <row r="100" spans="1:27" ht="16.5" customHeight="1" x14ac:dyDescent="0.15">
      <c r="A100" s="41">
        <v>15</v>
      </c>
      <c r="B100" s="41">
        <v>9292</v>
      </c>
      <c r="C100" s="74" t="s">
        <v>19283</v>
      </c>
      <c r="D100" s="72"/>
      <c r="F100" s="57"/>
      <c r="G100" s="72"/>
      <c r="I100" s="57"/>
      <c r="J100" s="43"/>
      <c r="K100" s="37"/>
      <c r="L100" s="38"/>
      <c r="M100" s="299" t="s">
        <v>17556</v>
      </c>
      <c r="N100" s="45" t="s">
        <v>398</v>
      </c>
      <c r="O100" s="46">
        <v>1</v>
      </c>
      <c r="P100" s="512"/>
      <c r="Q100" s="57"/>
      <c r="R100" s="92" t="s">
        <v>17564</v>
      </c>
      <c r="U100" s="57"/>
      <c r="V100" s="35"/>
      <c r="Y100" s="57"/>
      <c r="Z100" s="208">
        <f>ROUND((ROUND((ROUND((ROUND((_15_同援日０．５*_15・２人),0)*(1+_15・A早朝)),0)*(1+_15・盲ろう)),0)*(1+_15・区４)),0)+ROUND((ROUND((ROUND((_15_同援日０．５＿２．０*_15・２人),0)*(1+_15・盲ろう)),0)*(1+_15・区４)),0)</f>
        <v>1069</v>
      </c>
      <c r="AA100" s="48"/>
    </row>
    <row r="101" spans="1:27" ht="16.5" customHeight="1" x14ac:dyDescent="0.15">
      <c r="A101" s="41">
        <v>15</v>
      </c>
      <c r="B101" s="41">
        <v>9293</v>
      </c>
      <c r="C101" s="74" t="s">
        <v>19284</v>
      </c>
      <c r="D101" s="72"/>
      <c r="F101" s="57"/>
      <c r="G101" s="72"/>
      <c r="I101" s="57"/>
      <c r="J101" s="114" t="s">
        <v>17558</v>
      </c>
      <c r="K101" s="49"/>
      <c r="L101" s="50"/>
      <c r="M101" s="163"/>
      <c r="N101" s="45"/>
      <c r="O101" s="46"/>
      <c r="P101" s="512"/>
      <c r="Q101" s="57"/>
      <c r="R101" s="35"/>
      <c r="S101" s="12" t="s">
        <v>398</v>
      </c>
      <c r="T101" s="13">
        <v>0.25</v>
      </c>
      <c r="U101" s="57" t="s">
        <v>3575</v>
      </c>
      <c r="V101" s="35"/>
      <c r="Y101" s="57"/>
      <c r="Z101" s="208">
        <f>ROUND((ROUND((ROUND((ROUND((_15_同援日０．５*_15・基礎２),0)*(1+_15・A早朝)),0)*(1+_15・盲ろう)),0)*(1+_15・区４)),0)+ROUND((ROUND((ROUND((_15_同援日０．５＿２．０*_15・基礎２),0)*(1+_15・盲ろう)),0)*(1+_15・区４)),0)</f>
        <v>963</v>
      </c>
      <c r="AA101" s="48"/>
    </row>
    <row r="102" spans="1:27" ht="16.5" customHeight="1" x14ac:dyDescent="0.15">
      <c r="A102" s="41">
        <v>15</v>
      </c>
      <c r="B102" s="41">
        <v>9294</v>
      </c>
      <c r="C102" s="74" t="s">
        <v>19285</v>
      </c>
      <c r="D102" s="122"/>
      <c r="E102" s="37"/>
      <c r="F102" s="79"/>
      <c r="G102" s="122"/>
      <c r="H102" s="37"/>
      <c r="I102" s="79"/>
      <c r="J102" s="269" t="s">
        <v>17560</v>
      </c>
      <c r="K102" s="37" t="s">
        <v>398</v>
      </c>
      <c r="L102" s="38">
        <v>0.9</v>
      </c>
      <c r="M102" s="299" t="s">
        <v>17556</v>
      </c>
      <c r="N102" s="45" t="s">
        <v>398</v>
      </c>
      <c r="O102" s="46">
        <v>1</v>
      </c>
      <c r="P102" s="514"/>
      <c r="Q102" s="79"/>
      <c r="R102" s="43"/>
      <c r="S102" s="37"/>
      <c r="T102" s="38"/>
      <c r="U102" s="79"/>
      <c r="V102" s="43"/>
      <c r="W102" s="37"/>
      <c r="X102" s="38"/>
      <c r="Y102" s="79"/>
      <c r="Z102" s="208">
        <f>ROUND((ROUND((ROUND((ROUND((ROUND((_15_同援日０．５*_15・基礎２),0)*_15・２人),0)*(1+_15・A早朝)),0)*(1+_15・盲ろう)),0)*(1+_15・区４)),0)+ROUND((ROUND((ROUND((ROUND((_15_同援日０．５＿２．０*_15・基礎２),0)*_15・２人),0)*(1+_15・盲ろう)),0)*(1+_15・区４)),0)</f>
        <v>963</v>
      </c>
      <c r="AA102" s="63"/>
    </row>
    <row r="103" spans="1:27" ht="16.5" customHeight="1" x14ac:dyDescent="0.15">
      <c r="A103" s="41">
        <v>15</v>
      </c>
      <c r="B103" s="41">
        <v>9295</v>
      </c>
      <c r="C103" s="74" t="s">
        <v>19286</v>
      </c>
      <c r="D103" s="114"/>
      <c r="E103" s="49"/>
      <c r="F103" s="115"/>
      <c r="G103" s="114" t="s">
        <v>19287</v>
      </c>
      <c r="H103" s="49"/>
      <c r="I103" s="115"/>
      <c r="J103" s="53"/>
      <c r="K103" s="49"/>
      <c r="L103" s="50"/>
      <c r="M103" s="163"/>
      <c r="N103" s="45"/>
      <c r="O103" s="46"/>
      <c r="P103" s="515"/>
      <c r="Q103" s="115"/>
      <c r="R103" s="53"/>
      <c r="S103" s="49"/>
      <c r="T103" s="50"/>
      <c r="U103" s="115"/>
      <c r="V103" s="53"/>
      <c r="W103" s="49"/>
      <c r="X103" s="50"/>
      <c r="Y103" s="115"/>
      <c r="Z103" s="208">
        <f>ROUND((_15_同援日０．５*(1+_15・A早朝)),0)+_15_同援日０．５＿２．５</f>
        <v>676</v>
      </c>
      <c r="AA103" s="64"/>
    </row>
    <row r="104" spans="1:27" ht="16.5" customHeight="1" x14ac:dyDescent="0.15">
      <c r="A104" s="41">
        <v>15</v>
      </c>
      <c r="B104" s="41">
        <v>9296</v>
      </c>
      <c r="C104" s="74" t="s">
        <v>19288</v>
      </c>
      <c r="D104" s="72"/>
      <c r="F104" s="57"/>
      <c r="G104" s="72" t="s">
        <v>17670</v>
      </c>
      <c r="I104" s="57"/>
      <c r="J104" s="43"/>
      <c r="K104" s="37"/>
      <c r="L104" s="38"/>
      <c r="M104" s="299" t="s">
        <v>17556</v>
      </c>
      <c r="N104" s="45" t="s">
        <v>398</v>
      </c>
      <c r="O104" s="46">
        <v>1</v>
      </c>
      <c r="P104" s="512"/>
      <c r="Q104" s="57"/>
      <c r="R104" s="35"/>
      <c r="U104" s="57"/>
      <c r="V104" s="35"/>
      <c r="Y104" s="57"/>
      <c r="Z104" s="208">
        <f>ROUND((ROUND((_15_同援日０．５*_15・２人),0)*(1+_15・A早朝)),0)+ROUND((_15_同援日０．５＿２．５*_15・２人),0)</f>
        <v>676</v>
      </c>
      <c r="AA104" s="48"/>
    </row>
    <row r="105" spans="1:27" ht="16.5" customHeight="1" x14ac:dyDescent="0.15">
      <c r="A105" s="41">
        <v>15</v>
      </c>
      <c r="B105" s="41">
        <v>9297</v>
      </c>
      <c r="C105" s="74" t="s">
        <v>19289</v>
      </c>
      <c r="D105" s="72"/>
      <c r="F105" s="57"/>
      <c r="G105" s="72" t="s">
        <v>17672</v>
      </c>
      <c r="I105" s="57"/>
      <c r="J105" s="114" t="s">
        <v>17558</v>
      </c>
      <c r="K105" s="49"/>
      <c r="L105" s="50"/>
      <c r="M105" s="163"/>
      <c r="N105" s="45"/>
      <c r="O105" s="46"/>
      <c r="P105" s="512"/>
      <c r="Q105" s="57"/>
      <c r="R105" s="35"/>
      <c r="U105" s="57"/>
      <c r="V105" s="35"/>
      <c r="Y105" s="57"/>
      <c r="Z105" s="208">
        <f>ROUND((ROUND((_15_同援日０．５*_15・基礎２),0)*(1+_15・A早朝)),0)+ROUND((_15_同援日０．５＿２．５*_15・基礎２),0)</f>
        <v>608</v>
      </c>
      <c r="AA105" s="48"/>
    </row>
    <row r="106" spans="1:27" ht="16.5" customHeight="1" x14ac:dyDescent="0.15">
      <c r="A106" s="41">
        <v>15</v>
      </c>
      <c r="B106" s="41">
        <v>9298</v>
      </c>
      <c r="C106" s="74" t="s">
        <v>19290</v>
      </c>
      <c r="D106" s="72"/>
      <c r="F106" s="57"/>
      <c r="G106" s="72"/>
      <c r="H106" s="168">
        <f>_15_同援日０．５＿２．５</f>
        <v>438</v>
      </c>
      <c r="I106" s="57" t="s">
        <v>392</v>
      </c>
      <c r="J106" s="269" t="s">
        <v>17560</v>
      </c>
      <c r="K106" s="37" t="s">
        <v>398</v>
      </c>
      <c r="L106" s="38">
        <v>0.9</v>
      </c>
      <c r="M106" s="299" t="s">
        <v>17556</v>
      </c>
      <c r="N106" s="45" t="s">
        <v>398</v>
      </c>
      <c r="O106" s="46">
        <v>1</v>
      </c>
      <c r="P106" s="512"/>
      <c r="Q106" s="57"/>
      <c r="R106" s="43"/>
      <c r="S106" s="37"/>
      <c r="T106" s="38"/>
      <c r="U106" s="79"/>
      <c r="V106" s="35"/>
      <c r="Y106" s="57"/>
      <c r="Z106" s="208">
        <f>ROUND((ROUND((ROUND((_15_同援日０．５*_15・基礎２),0)*_15・２人),0)*(1+_15・A早朝)),0)+ROUND((ROUND((_15_同援日０．５＿２．５*_15・基礎２),0)*_15・２人),0)</f>
        <v>608</v>
      </c>
      <c r="AA106" s="48"/>
    </row>
    <row r="107" spans="1:27" ht="16.5" customHeight="1" x14ac:dyDescent="0.15">
      <c r="A107" s="41">
        <v>15</v>
      </c>
      <c r="B107" s="41">
        <v>9299</v>
      </c>
      <c r="C107" s="74" t="s">
        <v>19291</v>
      </c>
      <c r="D107" s="72"/>
      <c r="F107" s="57"/>
      <c r="G107" s="72"/>
      <c r="I107" s="57"/>
      <c r="J107" s="53"/>
      <c r="K107" s="49"/>
      <c r="L107" s="50"/>
      <c r="M107" s="163"/>
      <c r="N107" s="45"/>
      <c r="O107" s="46"/>
      <c r="P107" s="512"/>
      <c r="Q107" s="57"/>
      <c r="R107" s="114" t="s">
        <v>17562</v>
      </c>
      <c r="S107" s="49"/>
      <c r="T107" s="50"/>
      <c r="U107" s="115"/>
      <c r="V107" s="35"/>
      <c r="Y107" s="57"/>
      <c r="Z107" s="208">
        <f>ROUND((ROUND((_15_同援日０．５*(1+_15・A早朝)),0)*(1+_15・盲ろう)),0)+ROUND((_15_同援日０．５＿２．５*(1+_15・盲ろう)),0)</f>
        <v>846</v>
      </c>
      <c r="AA107" s="48"/>
    </row>
    <row r="108" spans="1:27" ht="16.5" customHeight="1" x14ac:dyDescent="0.15">
      <c r="A108" s="41">
        <v>15</v>
      </c>
      <c r="B108" s="41">
        <v>9300</v>
      </c>
      <c r="C108" s="74" t="s">
        <v>19292</v>
      </c>
      <c r="D108" s="72"/>
      <c r="F108" s="57"/>
      <c r="G108" s="72"/>
      <c r="I108" s="57"/>
      <c r="J108" s="43"/>
      <c r="K108" s="37"/>
      <c r="L108" s="38"/>
      <c r="M108" s="299" t="s">
        <v>17556</v>
      </c>
      <c r="N108" s="45" t="s">
        <v>398</v>
      </c>
      <c r="O108" s="46">
        <v>1</v>
      </c>
      <c r="P108" s="512"/>
      <c r="Q108" s="57"/>
      <c r="R108" s="92" t="s">
        <v>17564</v>
      </c>
      <c r="U108" s="57"/>
      <c r="V108" s="35"/>
      <c r="Y108" s="57"/>
      <c r="Z108" s="208">
        <f>ROUND((ROUND((ROUND((_15_同援日０．５*_15・２人),0)*(1+_15・A早朝)),0)*(1+_15・盲ろう)),0)+ROUND((ROUND((_15_同援日０．５＿２．５*_15・２人),0)*(1+_15・盲ろう)),0)</f>
        <v>846</v>
      </c>
      <c r="AA108" s="48"/>
    </row>
    <row r="109" spans="1:27" ht="16.5" customHeight="1" x14ac:dyDescent="0.15">
      <c r="A109" s="41">
        <v>15</v>
      </c>
      <c r="B109" s="41">
        <v>9301</v>
      </c>
      <c r="C109" s="74" t="s">
        <v>19293</v>
      </c>
      <c r="D109" s="72"/>
      <c r="F109" s="57"/>
      <c r="G109" s="72"/>
      <c r="I109" s="57"/>
      <c r="J109" s="114" t="s">
        <v>17558</v>
      </c>
      <c r="K109" s="49"/>
      <c r="L109" s="50"/>
      <c r="M109" s="163"/>
      <c r="N109" s="45"/>
      <c r="O109" s="46"/>
      <c r="P109" s="512"/>
      <c r="Q109" s="57"/>
      <c r="R109" s="35"/>
      <c r="S109" s="12" t="s">
        <v>398</v>
      </c>
      <c r="T109" s="13">
        <v>0.25</v>
      </c>
      <c r="U109" s="57" t="s">
        <v>3575</v>
      </c>
      <c r="V109" s="35"/>
      <c r="Y109" s="57"/>
      <c r="Z109" s="208">
        <f>ROUND((ROUND((ROUND((_15_同援日０．５*_15・基礎２),0)*(1+_15・A早朝)),0)*(1+_15・盲ろう)),0)+ROUND((ROUND((_15_同援日０．５＿２．５*_15・基礎２),0)*(1+_15・盲ろう)),0)</f>
        <v>761</v>
      </c>
      <c r="AA109" s="48"/>
    </row>
    <row r="110" spans="1:27" ht="16.5" customHeight="1" x14ac:dyDescent="0.15">
      <c r="A110" s="41">
        <v>15</v>
      </c>
      <c r="B110" s="41">
        <v>9302</v>
      </c>
      <c r="C110" s="74" t="s">
        <v>19294</v>
      </c>
      <c r="D110" s="72"/>
      <c r="F110" s="57"/>
      <c r="G110" s="72"/>
      <c r="I110" s="57"/>
      <c r="J110" s="269" t="s">
        <v>17560</v>
      </c>
      <c r="K110" s="37" t="s">
        <v>398</v>
      </c>
      <c r="L110" s="38">
        <v>0.9</v>
      </c>
      <c r="M110" s="299" t="s">
        <v>17556</v>
      </c>
      <c r="N110" s="45" t="s">
        <v>398</v>
      </c>
      <c r="O110" s="46">
        <v>1</v>
      </c>
      <c r="P110" s="512"/>
      <c r="Q110" s="57"/>
      <c r="R110" s="43"/>
      <c r="S110" s="37"/>
      <c r="T110" s="38"/>
      <c r="U110" s="79"/>
      <c r="V110" s="43"/>
      <c r="W110" s="37"/>
      <c r="X110" s="38"/>
      <c r="Y110" s="79"/>
      <c r="Z110" s="208">
        <f>ROUND((ROUND((ROUND((ROUND((_15_同援日０．５*_15・基礎２),0)*_15・２人),0)*(1+_15・A早朝)),0)*(1+_15・盲ろう)),0)+ROUND((ROUND((ROUND((_15_同援日０．５＿２．５*_15・基礎２),0)*_15・２人),0)*(1+_15・盲ろう)),0)</f>
        <v>761</v>
      </c>
      <c r="AA110" s="48"/>
    </row>
    <row r="111" spans="1:27" ht="16.5" customHeight="1" x14ac:dyDescent="0.15">
      <c r="A111" s="41">
        <v>15</v>
      </c>
      <c r="B111" s="41">
        <v>9303</v>
      </c>
      <c r="C111" s="74" t="s">
        <v>19295</v>
      </c>
      <c r="D111" s="72"/>
      <c r="F111" s="57"/>
      <c r="G111" s="72"/>
      <c r="I111" s="57"/>
      <c r="J111" s="53"/>
      <c r="K111" s="49"/>
      <c r="L111" s="50"/>
      <c r="M111" s="163"/>
      <c r="N111" s="45"/>
      <c r="O111" s="46"/>
      <c r="P111" s="512"/>
      <c r="Q111" s="57"/>
      <c r="R111" s="53"/>
      <c r="S111" s="49"/>
      <c r="T111" s="50"/>
      <c r="U111" s="115"/>
      <c r="V111" s="53"/>
      <c r="W111" s="49"/>
      <c r="X111" s="50"/>
      <c r="Y111" s="115"/>
      <c r="Z111" s="208">
        <f>ROUND((ROUND((_15_同援日０．５*(1+_15・A早朝)),0)*(1+_15・区３)),0)+ROUND((_15_同援日０．５＿２．５*(1+_15・区３)),0)</f>
        <v>812</v>
      </c>
      <c r="AA111" s="48"/>
    </row>
    <row r="112" spans="1:27" ht="16.5" customHeight="1" x14ac:dyDescent="0.15">
      <c r="A112" s="41">
        <v>15</v>
      </c>
      <c r="B112" s="41">
        <v>9304</v>
      </c>
      <c r="C112" s="74" t="s">
        <v>19296</v>
      </c>
      <c r="D112" s="72"/>
      <c r="F112" s="57"/>
      <c r="G112" s="72"/>
      <c r="I112" s="57"/>
      <c r="J112" s="43"/>
      <c r="K112" s="37"/>
      <c r="L112" s="38"/>
      <c r="M112" s="299" t="s">
        <v>17556</v>
      </c>
      <c r="N112" s="45" t="s">
        <v>398</v>
      </c>
      <c r="O112" s="46">
        <v>1</v>
      </c>
      <c r="P112" s="512"/>
      <c r="Q112" s="57"/>
      <c r="R112" s="35"/>
      <c r="U112" s="57"/>
      <c r="V112" s="35"/>
      <c r="Y112" s="57"/>
      <c r="Z112" s="208">
        <f>ROUND((ROUND((ROUND((_15_同援日０．５*_15・２人),0)*(1+_15・A早朝)),0)*(1+_15・区３)),0)+ROUND((ROUND((_15_同援日０．５＿２．５*_15・２人),0)*(1+_15・区３)),0)</f>
        <v>812</v>
      </c>
      <c r="AA112" s="48"/>
    </row>
    <row r="113" spans="1:27" ht="16.5" customHeight="1" x14ac:dyDescent="0.15">
      <c r="A113" s="41">
        <v>15</v>
      </c>
      <c r="B113" s="41">
        <v>9305</v>
      </c>
      <c r="C113" s="74" t="s">
        <v>19297</v>
      </c>
      <c r="D113" s="72"/>
      <c r="F113" s="57"/>
      <c r="G113" s="72"/>
      <c r="I113" s="57"/>
      <c r="J113" s="114" t="s">
        <v>17558</v>
      </c>
      <c r="K113" s="49"/>
      <c r="L113" s="50"/>
      <c r="M113" s="163"/>
      <c r="N113" s="45"/>
      <c r="O113" s="46"/>
      <c r="P113" s="512"/>
      <c r="Q113" s="57"/>
      <c r="R113" s="35"/>
      <c r="U113" s="57"/>
      <c r="V113" s="72" t="s">
        <v>17570</v>
      </c>
      <c r="Y113" s="57"/>
      <c r="Z113" s="208">
        <f>ROUND((ROUND((ROUND((_15_同援日０．５*_15・基礎２),0)*(1+_15・A早朝)),0)*(1+_15・区３)),0)+ROUND((ROUND((_15_同援日０．５＿２．５*_15・基礎２),0)*(1+_15・区３)),0)</f>
        <v>730</v>
      </c>
      <c r="AA113" s="48"/>
    </row>
    <row r="114" spans="1:27" ht="16.5" customHeight="1" x14ac:dyDescent="0.15">
      <c r="A114" s="41">
        <v>15</v>
      </c>
      <c r="B114" s="41">
        <v>9306</v>
      </c>
      <c r="C114" s="74" t="s">
        <v>19298</v>
      </c>
      <c r="D114" s="72"/>
      <c r="F114" s="57"/>
      <c r="G114" s="72"/>
      <c r="I114" s="57"/>
      <c r="J114" s="269" t="s">
        <v>17560</v>
      </c>
      <c r="K114" s="37" t="s">
        <v>398</v>
      </c>
      <c r="L114" s="38">
        <v>0.9</v>
      </c>
      <c r="M114" s="299" t="s">
        <v>17556</v>
      </c>
      <c r="N114" s="45" t="s">
        <v>398</v>
      </c>
      <c r="O114" s="46">
        <v>1</v>
      </c>
      <c r="P114" s="512"/>
      <c r="Q114" s="57"/>
      <c r="R114" s="43"/>
      <c r="S114" s="37"/>
      <c r="T114" s="38"/>
      <c r="U114" s="79"/>
      <c r="V114" s="72" t="s">
        <v>17572</v>
      </c>
      <c r="Y114" s="57"/>
      <c r="Z114" s="208">
        <f>ROUND((ROUND((ROUND((ROUND((_15_同援日０．５*_15・基礎２),0)*_15・２人),0)*(1+_15・A早朝)),0)*(1+_15・区３)),0)+ROUND((ROUND((ROUND((_15_同援日０．５＿２．５*_15・基礎２),0)*_15・２人),0)*(1+_15・区３)),0)</f>
        <v>730</v>
      </c>
      <c r="AA114" s="48"/>
    </row>
    <row r="115" spans="1:27" ht="16.5" customHeight="1" x14ac:dyDescent="0.15">
      <c r="A115" s="41">
        <v>15</v>
      </c>
      <c r="B115" s="41">
        <v>9307</v>
      </c>
      <c r="C115" s="74" t="s">
        <v>19299</v>
      </c>
      <c r="D115" s="72"/>
      <c r="F115" s="57"/>
      <c r="G115" s="72"/>
      <c r="I115" s="57"/>
      <c r="J115" s="53"/>
      <c r="K115" s="49"/>
      <c r="L115" s="50"/>
      <c r="M115" s="163"/>
      <c r="N115" s="45"/>
      <c r="O115" s="46"/>
      <c r="P115" s="512"/>
      <c r="Q115" s="57"/>
      <c r="R115" s="114" t="s">
        <v>17562</v>
      </c>
      <c r="S115" s="49"/>
      <c r="T115" s="50"/>
      <c r="U115" s="115"/>
      <c r="V115" s="35"/>
      <c r="W115" s="12" t="s">
        <v>398</v>
      </c>
      <c r="X115" s="13">
        <v>0.2</v>
      </c>
      <c r="Y115" s="57" t="s">
        <v>3575</v>
      </c>
      <c r="Z115" s="208">
        <f>ROUND((ROUND((ROUND((_15_同援日０．５*(1+_15・A早朝)),0)*(1+_15・盲ろう)),0)*(1+_15・区３)),0)+ROUND((ROUND((_15_同援日０．５＿２．５*(1+_15・盲ろう)),0)*(1+_15・区３)),0)</f>
        <v>1016</v>
      </c>
      <c r="AA115" s="48"/>
    </row>
    <row r="116" spans="1:27" ht="16.5" customHeight="1" x14ac:dyDescent="0.15">
      <c r="A116" s="41">
        <v>15</v>
      </c>
      <c r="B116" s="41">
        <v>9308</v>
      </c>
      <c r="C116" s="74" t="s">
        <v>19300</v>
      </c>
      <c r="D116" s="72"/>
      <c r="F116" s="57"/>
      <c r="G116" s="72"/>
      <c r="I116" s="57"/>
      <c r="J116" s="43"/>
      <c r="K116" s="37"/>
      <c r="L116" s="38"/>
      <c r="M116" s="299" t="s">
        <v>17556</v>
      </c>
      <c r="N116" s="45" t="s">
        <v>398</v>
      </c>
      <c r="O116" s="46">
        <v>1</v>
      </c>
      <c r="P116" s="512"/>
      <c r="Q116" s="57"/>
      <c r="R116" s="92" t="s">
        <v>17564</v>
      </c>
      <c r="U116" s="57"/>
      <c r="V116" s="35"/>
      <c r="Y116" s="57"/>
      <c r="Z116" s="208">
        <f>ROUND((ROUND((ROUND((ROUND((_15_同援日０．５*_15・２人),0)*(1+_15・A早朝)),0)*(1+_15・盲ろう)),0)*(1+_15・区３)),0)+ROUND((ROUND((ROUND((_15_同援日０．５＿２．５*_15・２人),0)*(1+_15・盲ろう)),0)*(1+_15・区３)),0)</f>
        <v>1016</v>
      </c>
      <c r="AA116" s="48"/>
    </row>
    <row r="117" spans="1:27" ht="16.5" customHeight="1" x14ac:dyDescent="0.15">
      <c r="A117" s="41">
        <v>15</v>
      </c>
      <c r="B117" s="41">
        <v>9309</v>
      </c>
      <c r="C117" s="74" t="s">
        <v>19301</v>
      </c>
      <c r="D117" s="72"/>
      <c r="F117" s="57"/>
      <c r="G117" s="72"/>
      <c r="I117" s="57"/>
      <c r="J117" s="114" t="s">
        <v>17558</v>
      </c>
      <c r="K117" s="49"/>
      <c r="L117" s="50"/>
      <c r="M117" s="163"/>
      <c r="N117" s="45"/>
      <c r="O117" s="46"/>
      <c r="P117" s="512"/>
      <c r="Q117" s="57"/>
      <c r="R117" s="35"/>
      <c r="S117" s="12" t="s">
        <v>398</v>
      </c>
      <c r="T117" s="13">
        <v>0.25</v>
      </c>
      <c r="U117" s="57" t="s">
        <v>3575</v>
      </c>
      <c r="V117" s="35"/>
      <c r="Y117" s="57"/>
      <c r="Z117" s="208">
        <f>ROUND((ROUND((ROUND((ROUND((_15_同援日０．５*_15・基礎２),0)*(1+_15・A早朝)),0)*(1+_15・盲ろう)),0)*(1+_15・区３)),0)+ROUND((ROUND((ROUND((_15_同援日０．５＿２．５*_15・基礎２),0)*(1+_15・盲ろう)),0)*(1+_15・区３)),0)</f>
        <v>914</v>
      </c>
      <c r="AA117" s="48"/>
    </row>
    <row r="118" spans="1:27" ht="16.5" customHeight="1" x14ac:dyDescent="0.15">
      <c r="A118" s="41">
        <v>15</v>
      </c>
      <c r="B118" s="41">
        <v>9310</v>
      </c>
      <c r="C118" s="74" t="s">
        <v>19302</v>
      </c>
      <c r="D118" s="72"/>
      <c r="F118" s="57"/>
      <c r="G118" s="72"/>
      <c r="I118" s="57"/>
      <c r="J118" s="269" t="s">
        <v>17560</v>
      </c>
      <c r="K118" s="37" t="s">
        <v>398</v>
      </c>
      <c r="L118" s="38">
        <v>0.9</v>
      </c>
      <c r="M118" s="299" t="s">
        <v>17556</v>
      </c>
      <c r="N118" s="45" t="s">
        <v>398</v>
      </c>
      <c r="O118" s="46">
        <v>1</v>
      </c>
      <c r="P118" s="512"/>
      <c r="Q118" s="57"/>
      <c r="R118" s="43"/>
      <c r="S118" s="37"/>
      <c r="T118" s="38"/>
      <c r="U118" s="79"/>
      <c r="V118" s="43"/>
      <c r="W118" s="37"/>
      <c r="X118" s="38"/>
      <c r="Y118" s="79"/>
      <c r="Z118" s="208">
        <f>ROUND((ROUND((ROUND((ROUND((ROUND((_15_同援日０．５*_15・基礎２),0)*_15・２人),0)*(1+_15・A早朝)),0)*(1+_15・盲ろう)),0)*(1+_15・区３)),0)+ROUND((ROUND((ROUND((ROUND((_15_同援日０．５＿２．５*_15・基礎２),0)*_15・２人),0)*(1+_15・盲ろう)),0)*(1+_15・区３)),0)</f>
        <v>914</v>
      </c>
      <c r="AA118" s="48"/>
    </row>
    <row r="119" spans="1:27" ht="16.5" customHeight="1" x14ac:dyDescent="0.15">
      <c r="A119" s="41">
        <v>15</v>
      </c>
      <c r="B119" s="41">
        <v>9311</v>
      </c>
      <c r="C119" s="74" t="s">
        <v>19303</v>
      </c>
      <c r="D119" s="72"/>
      <c r="F119" s="57"/>
      <c r="G119" s="72"/>
      <c r="I119" s="57"/>
      <c r="J119" s="53"/>
      <c r="K119" s="49"/>
      <c r="L119" s="50"/>
      <c r="M119" s="163"/>
      <c r="N119" s="45"/>
      <c r="O119" s="46"/>
      <c r="P119" s="512"/>
      <c r="Q119" s="57"/>
      <c r="R119" s="53"/>
      <c r="S119" s="49"/>
      <c r="T119" s="50"/>
      <c r="U119" s="115"/>
      <c r="V119" s="53"/>
      <c r="W119" s="49"/>
      <c r="X119" s="50"/>
      <c r="Y119" s="115"/>
      <c r="Z119" s="208">
        <f>ROUND((ROUND((_15_同援日０．５*(1+_15・A早朝)),0)*(1+_15・区４)),0)+ROUND((_15_同援日０．５＿２．５*(1+_15・区４)),0)</f>
        <v>946</v>
      </c>
      <c r="AA119" s="48"/>
    </row>
    <row r="120" spans="1:27" ht="16.5" customHeight="1" x14ac:dyDescent="0.15">
      <c r="A120" s="41">
        <v>15</v>
      </c>
      <c r="B120" s="41">
        <v>9312</v>
      </c>
      <c r="C120" s="74" t="s">
        <v>19304</v>
      </c>
      <c r="D120" s="72"/>
      <c r="F120" s="57"/>
      <c r="G120" s="72"/>
      <c r="I120" s="57"/>
      <c r="J120" s="43"/>
      <c r="K120" s="37"/>
      <c r="L120" s="38"/>
      <c r="M120" s="299" t="s">
        <v>17556</v>
      </c>
      <c r="N120" s="45" t="s">
        <v>398</v>
      </c>
      <c r="O120" s="46">
        <v>1</v>
      </c>
      <c r="P120" s="512"/>
      <c r="Q120" s="57"/>
      <c r="R120" s="35"/>
      <c r="U120" s="57"/>
      <c r="V120" s="35"/>
      <c r="Y120" s="57"/>
      <c r="Z120" s="208">
        <f>ROUND((ROUND((ROUND((_15_同援日０．５*_15・２人),0)*(1+_15・A早朝)),0)*(1+_15・区４)),0)+ROUND((ROUND((_15_同援日０．５＿２．５*_15・２人),0)*(1+_15・区４)),0)</f>
        <v>946</v>
      </c>
      <c r="AA120" s="48"/>
    </row>
    <row r="121" spans="1:27" ht="16.5" customHeight="1" x14ac:dyDescent="0.15">
      <c r="A121" s="41">
        <v>15</v>
      </c>
      <c r="B121" s="41">
        <v>9313</v>
      </c>
      <c r="C121" s="74" t="s">
        <v>19305</v>
      </c>
      <c r="D121" s="72"/>
      <c r="F121" s="57"/>
      <c r="G121" s="72"/>
      <c r="I121" s="57"/>
      <c r="J121" s="114" t="s">
        <v>17558</v>
      </c>
      <c r="K121" s="49"/>
      <c r="L121" s="50"/>
      <c r="M121" s="163"/>
      <c r="N121" s="45"/>
      <c r="O121" s="46"/>
      <c r="P121" s="512"/>
      <c r="Q121" s="57"/>
      <c r="R121" s="35"/>
      <c r="U121" s="57"/>
      <c r="V121" s="72" t="s">
        <v>17580</v>
      </c>
      <c r="Y121" s="57"/>
      <c r="Z121" s="208">
        <f>ROUND((ROUND((ROUND((_15_同援日０．５*_15・基礎２),0)*(1+_15・A早朝)),0)*(1+_15・区４)),0)+ROUND((ROUND((_15_同援日０．５＿２．５*_15・基礎２),0)*(1+_15・区４)),0)</f>
        <v>852</v>
      </c>
      <c r="AA121" s="48"/>
    </row>
    <row r="122" spans="1:27" ht="16.5" customHeight="1" x14ac:dyDescent="0.15">
      <c r="A122" s="41">
        <v>15</v>
      </c>
      <c r="B122" s="41">
        <v>9314</v>
      </c>
      <c r="C122" s="74" t="s">
        <v>19306</v>
      </c>
      <c r="D122" s="72"/>
      <c r="F122" s="57"/>
      <c r="G122" s="72"/>
      <c r="I122" s="57"/>
      <c r="J122" s="269" t="s">
        <v>17560</v>
      </c>
      <c r="K122" s="37" t="s">
        <v>398</v>
      </c>
      <c r="L122" s="38">
        <v>0.9</v>
      </c>
      <c r="M122" s="299" t="s">
        <v>17556</v>
      </c>
      <c r="N122" s="45" t="s">
        <v>398</v>
      </c>
      <c r="O122" s="46">
        <v>1</v>
      </c>
      <c r="P122" s="512"/>
      <c r="Q122" s="57"/>
      <c r="R122" s="43"/>
      <c r="S122" s="37"/>
      <c r="T122" s="38"/>
      <c r="U122" s="79"/>
      <c r="V122" s="72" t="s">
        <v>17572</v>
      </c>
      <c r="Y122" s="57"/>
      <c r="Z122" s="208">
        <f>ROUND((ROUND((ROUND((ROUND((_15_同援日０．５*_15・基礎２),0)*_15・２人),0)*(1+_15・A早朝)),0)*(1+_15・区４)),0)+ROUND((ROUND((ROUND((_15_同援日０．５＿２．５*_15・基礎２),0)*_15・２人),0)*(1+_15・区４)),0)</f>
        <v>852</v>
      </c>
      <c r="AA122" s="48"/>
    </row>
    <row r="123" spans="1:27" ht="16.5" customHeight="1" x14ac:dyDescent="0.15">
      <c r="A123" s="41">
        <v>15</v>
      </c>
      <c r="B123" s="41">
        <v>9315</v>
      </c>
      <c r="C123" s="74" t="s">
        <v>19307</v>
      </c>
      <c r="D123" s="72"/>
      <c r="F123" s="57"/>
      <c r="G123" s="72"/>
      <c r="I123" s="57"/>
      <c r="J123" s="53"/>
      <c r="K123" s="49"/>
      <c r="L123" s="50"/>
      <c r="M123" s="163"/>
      <c r="N123" s="45"/>
      <c r="O123" s="46"/>
      <c r="P123" s="512"/>
      <c r="Q123" s="57"/>
      <c r="R123" s="114" t="s">
        <v>17562</v>
      </c>
      <c r="S123" s="49"/>
      <c r="T123" s="50"/>
      <c r="U123" s="115"/>
      <c r="V123" s="35"/>
      <c r="W123" s="12" t="s">
        <v>398</v>
      </c>
      <c r="X123" s="13">
        <v>0.4</v>
      </c>
      <c r="Y123" s="57" t="s">
        <v>3575</v>
      </c>
      <c r="Z123" s="208">
        <f>ROUND((ROUND((ROUND((_15_同援日０．５*(1+_15・A早朝)),0)*(1+_15・盲ろう)),0)*(1+_15・区４)),0)+ROUND((ROUND((_15_同援日０．５＿２．５*(1+_15・盲ろう)),0)*(1+_15・区４)),0)</f>
        <v>1184</v>
      </c>
      <c r="AA123" s="48"/>
    </row>
    <row r="124" spans="1:27" ht="16.5" customHeight="1" x14ac:dyDescent="0.15">
      <c r="A124" s="41">
        <v>15</v>
      </c>
      <c r="B124" s="41">
        <v>9316</v>
      </c>
      <c r="C124" s="74" t="s">
        <v>19308</v>
      </c>
      <c r="D124" s="72"/>
      <c r="F124" s="57"/>
      <c r="G124" s="72"/>
      <c r="I124" s="57"/>
      <c r="J124" s="43"/>
      <c r="K124" s="37"/>
      <c r="L124" s="38"/>
      <c r="M124" s="299" t="s">
        <v>17556</v>
      </c>
      <c r="N124" s="45" t="s">
        <v>398</v>
      </c>
      <c r="O124" s="46">
        <v>1</v>
      </c>
      <c r="P124" s="512"/>
      <c r="Q124" s="57"/>
      <c r="R124" s="92" t="s">
        <v>17564</v>
      </c>
      <c r="U124" s="57"/>
      <c r="V124" s="35"/>
      <c r="Y124" s="57"/>
      <c r="Z124" s="208">
        <f>ROUND((ROUND((ROUND((ROUND((_15_同援日０．５*_15・２人),0)*(1+_15・A早朝)),0)*(1+_15・盲ろう)),0)*(1+_15・区４)),0)+ROUND((ROUND((ROUND((_15_同援日０．５＿２．５*_15・２人),0)*(1+_15・盲ろう)),0)*(1+_15・区４)),0)</f>
        <v>1184</v>
      </c>
      <c r="AA124" s="48"/>
    </row>
    <row r="125" spans="1:27" ht="16.5" customHeight="1" x14ac:dyDescent="0.15">
      <c r="A125" s="41">
        <v>15</v>
      </c>
      <c r="B125" s="41">
        <v>9317</v>
      </c>
      <c r="C125" s="74" t="s">
        <v>19309</v>
      </c>
      <c r="D125" s="72"/>
      <c r="F125" s="57"/>
      <c r="G125" s="72"/>
      <c r="I125" s="57"/>
      <c r="J125" s="114" t="s">
        <v>17558</v>
      </c>
      <c r="K125" s="49"/>
      <c r="L125" s="50"/>
      <c r="M125" s="163"/>
      <c r="N125" s="45"/>
      <c r="O125" s="46"/>
      <c r="P125" s="512"/>
      <c r="Q125" s="57"/>
      <c r="R125" s="35"/>
      <c r="S125" s="12" t="s">
        <v>398</v>
      </c>
      <c r="T125" s="13">
        <v>0.25</v>
      </c>
      <c r="U125" s="57" t="s">
        <v>3575</v>
      </c>
      <c r="V125" s="35"/>
      <c r="Y125" s="57"/>
      <c r="Z125" s="208">
        <f>ROUND((ROUND((ROUND((ROUND((_15_同援日０．５*_15・基礎２),0)*(1+_15・A早朝)),0)*(1+_15・盲ろう)),0)*(1+_15・区４)),0)+ROUND((ROUND((ROUND((_15_同援日０．５＿２．５*_15・基礎２),0)*(1+_15・盲ろう)),0)*(1+_15・区４)),0)</f>
        <v>1065</v>
      </c>
      <c r="AA125" s="48"/>
    </row>
    <row r="126" spans="1:27" ht="16.5" customHeight="1" x14ac:dyDescent="0.15">
      <c r="A126" s="41">
        <v>15</v>
      </c>
      <c r="B126" s="41">
        <v>9318</v>
      </c>
      <c r="C126" s="74" t="s">
        <v>19310</v>
      </c>
      <c r="D126" s="122"/>
      <c r="E126" s="37"/>
      <c r="F126" s="79"/>
      <c r="G126" s="122"/>
      <c r="H126" s="37"/>
      <c r="I126" s="79"/>
      <c r="J126" s="269" t="s">
        <v>17560</v>
      </c>
      <c r="K126" s="37" t="s">
        <v>398</v>
      </c>
      <c r="L126" s="38">
        <v>0.9</v>
      </c>
      <c r="M126" s="299" t="s">
        <v>17556</v>
      </c>
      <c r="N126" s="45" t="s">
        <v>398</v>
      </c>
      <c r="O126" s="46">
        <v>1</v>
      </c>
      <c r="P126" s="512"/>
      <c r="Q126" s="57"/>
      <c r="R126" s="43"/>
      <c r="S126" s="37"/>
      <c r="T126" s="38"/>
      <c r="U126" s="79"/>
      <c r="V126" s="43"/>
      <c r="W126" s="37"/>
      <c r="X126" s="38"/>
      <c r="Y126" s="79"/>
      <c r="Z126" s="208">
        <f>ROUND((ROUND((ROUND((ROUND((ROUND((_15_同援日０．５*_15・基礎２),0)*_15・２人),0)*(1+_15・A早朝)),0)*(1+_15・盲ろう)),0)*(1+_15・区４)),0)+ROUND((ROUND((ROUND((ROUND((_15_同援日０．５＿２．５*_15・基礎２),0)*_15・２人),0)*(1+_15・盲ろう)),0)*(1+_15・区４)),0)</f>
        <v>1065</v>
      </c>
      <c r="AA126" s="48"/>
    </row>
    <row r="127" spans="1:27" ht="16.5" customHeight="1" x14ac:dyDescent="0.15">
      <c r="A127" s="41">
        <v>15</v>
      </c>
      <c r="B127" s="41">
        <v>9319</v>
      </c>
      <c r="C127" s="74" t="s">
        <v>19311</v>
      </c>
      <c r="D127" s="114" t="s">
        <v>18155</v>
      </c>
      <c r="E127" s="49"/>
      <c r="F127" s="115"/>
      <c r="G127" s="114" t="s">
        <v>19187</v>
      </c>
      <c r="H127" s="49"/>
      <c r="I127" s="115"/>
      <c r="J127" s="53"/>
      <c r="K127" s="49"/>
      <c r="L127" s="50"/>
      <c r="M127" s="163"/>
      <c r="N127" s="45"/>
      <c r="O127" s="46"/>
      <c r="P127" s="512"/>
      <c r="Q127" s="57"/>
      <c r="R127" s="53"/>
      <c r="S127" s="49"/>
      <c r="T127" s="50"/>
      <c r="U127" s="115"/>
      <c r="V127" s="53"/>
      <c r="W127" s="49"/>
      <c r="X127" s="50"/>
      <c r="Y127" s="115"/>
      <c r="Z127" s="208">
        <f>ROUND((_15_同援日１．０*(1+_15・A早朝)),0)+_15_同援日１．０＿０．５</f>
        <v>508</v>
      </c>
      <c r="AA127" s="48"/>
    </row>
    <row r="128" spans="1:27" ht="16.5" customHeight="1" x14ac:dyDescent="0.15">
      <c r="A128" s="41">
        <v>15</v>
      </c>
      <c r="B128" s="41">
        <v>9320</v>
      </c>
      <c r="C128" s="74" t="s">
        <v>19312</v>
      </c>
      <c r="D128" s="72" t="s">
        <v>17589</v>
      </c>
      <c r="F128" s="57"/>
      <c r="G128" s="72" t="s">
        <v>18259</v>
      </c>
      <c r="I128" s="57"/>
      <c r="J128" s="43"/>
      <c r="K128" s="37"/>
      <c r="L128" s="38"/>
      <c r="M128" s="299" t="s">
        <v>17556</v>
      </c>
      <c r="N128" s="45" t="s">
        <v>398</v>
      </c>
      <c r="O128" s="46">
        <v>1</v>
      </c>
      <c r="P128" s="512"/>
      <c r="Q128" s="57"/>
      <c r="R128" s="35"/>
      <c r="U128" s="57"/>
      <c r="V128" s="35"/>
      <c r="Y128" s="57"/>
      <c r="Z128" s="208">
        <f>ROUND((ROUND((_15_同援日１．０*_15・２人),0)*(1+_15・A早朝)),0)+ROUND((_15_同援日１．０＿０．５*_15・２人),0)</f>
        <v>508</v>
      </c>
      <c r="AA128" s="48"/>
    </row>
    <row r="129" spans="1:27" ht="16.5" customHeight="1" x14ac:dyDescent="0.15">
      <c r="A129" s="41">
        <v>15</v>
      </c>
      <c r="B129" s="41">
        <v>9321</v>
      </c>
      <c r="C129" s="74" t="s">
        <v>19313</v>
      </c>
      <c r="D129" s="72" t="s">
        <v>17591</v>
      </c>
      <c r="F129" s="57"/>
      <c r="G129" s="72"/>
      <c r="I129" s="57"/>
      <c r="J129" s="114" t="s">
        <v>17558</v>
      </c>
      <c r="K129" s="49"/>
      <c r="L129" s="50"/>
      <c r="M129" s="163"/>
      <c r="N129" s="45"/>
      <c r="O129" s="46"/>
      <c r="P129" s="512"/>
      <c r="Q129" s="57"/>
      <c r="R129" s="35"/>
      <c r="U129" s="57"/>
      <c r="V129" s="35"/>
      <c r="Y129" s="57"/>
      <c r="Z129" s="208">
        <f>ROUND((ROUND((_15_同援日１．０*_15・基礎２),0)*(1+_15・A早朝)),0)+ROUND((_15_同援日１．０＿０．５*_15・基礎２),0)</f>
        <v>458</v>
      </c>
      <c r="AA129" s="48"/>
    </row>
    <row r="130" spans="1:27" ht="16.5" customHeight="1" x14ac:dyDescent="0.15">
      <c r="A130" s="41">
        <v>15</v>
      </c>
      <c r="B130" s="41">
        <v>9322</v>
      </c>
      <c r="C130" s="74" t="s">
        <v>19314</v>
      </c>
      <c r="D130" s="72"/>
      <c r="E130" s="168">
        <f>_15_同援日１．０</f>
        <v>300</v>
      </c>
      <c r="F130" s="57" t="s">
        <v>392</v>
      </c>
      <c r="G130" s="72"/>
      <c r="H130" s="168">
        <f>_15_同援日１．０＿０．５</f>
        <v>133</v>
      </c>
      <c r="I130" s="57" t="s">
        <v>392</v>
      </c>
      <c r="J130" s="269" t="s">
        <v>17560</v>
      </c>
      <c r="K130" s="37" t="s">
        <v>398</v>
      </c>
      <c r="L130" s="38">
        <v>0.9</v>
      </c>
      <c r="M130" s="299" t="s">
        <v>17556</v>
      </c>
      <c r="N130" s="45" t="s">
        <v>398</v>
      </c>
      <c r="O130" s="46">
        <v>1</v>
      </c>
      <c r="P130" s="512"/>
      <c r="Q130" s="57"/>
      <c r="R130" s="43"/>
      <c r="S130" s="37"/>
      <c r="T130" s="38"/>
      <c r="U130" s="79"/>
      <c r="V130" s="35"/>
      <c r="Y130" s="57"/>
      <c r="Z130" s="208">
        <f>ROUND((ROUND((ROUND((_15_同援日１．０*_15・基礎２),0)*_15・２人),0)*(1+_15・A早朝)),0)+ROUND((ROUND((_15_同援日１．０＿０．５*_15・基礎２),0)*_15・２人),0)</f>
        <v>458</v>
      </c>
      <c r="AA130" s="48"/>
    </row>
    <row r="131" spans="1:27" ht="16.5" customHeight="1" x14ac:dyDescent="0.15">
      <c r="A131" s="41">
        <v>15</v>
      </c>
      <c r="B131" s="41">
        <v>9323</v>
      </c>
      <c r="C131" s="74" t="s">
        <v>19315</v>
      </c>
      <c r="D131" s="72"/>
      <c r="F131" s="57"/>
      <c r="G131" s="72"/>
      <c r="I131" s="57"/>
      <c r="J131" s="53"/>
      <c r="K131" s="49"/>
      <c r="L131" s="50"/>
      <c r="M131" s="163"/>
      <c r="N131" s="45"/>
      <c r="O131" s="46"/>
      <c r="P131" s="512"/>
      <c r="Q131" s="57"/>
      <c r="R131" s="114" t="s">
        <v>17562</v>
      </c>
      <c r="S131" s="49"/>
      <c r="T131" s="50"/>
      <c r="U131" s="115"/>
      <c r="V131" s="35"/>
      <c r="Y131" s="57"/>
      <c r="Z131" s="208">
        <f>ROUND((ROUND((_15_同援日１．０*(1+_15・A早朝)),0)*(1+_15・盲ろう)),0)+ROUND((_15_同援日１．０＿０．５*(1+_15・盲ろう)),0)</f>
        <v>635</v>
      </c>
      <c r="AA131" s="48"/>
    </row>
    <row r="132" spans="1:27" ht="16.5" customHeight="1" x14ac:dyDescent="0.15">
      <c r="A132" s="41">
        <v>15</v>
      </c>
      <c r="B132" s="41">
        <v>9324</v>
      </c>
      <c r="C132" s="74" t="s">
        <v>19316</v>
      </c>
      <c r="D132" s="72"/>
      <c r="F132" s="57"/>
      <c r="G132" s="72"/>
      <c r="I132" s="57"/>
      <c r="J132" s="43"/>
      <c r="K132" s="37"/>
      <c r="L132" s="38"/>
      <c r="M132" s="299" t="s">
        <v>17556</v>
      </c>
      <c r="N132" s="45" t="s">
        <v>398</v>
      </c>
      <c r="O132" s="46">
        <v>1</v>
      </c>
      <c r="P132" s="512"/>
      <c r="Q132" s="57"/>
      <c r="R132" s="92" t="s">
        <v>17564</v>
      </c>
      <c r="U132" s="57"/>
      <c r="V132" s="35"/>
      <c r="Y132" s="57"/>
      <c r="Z132" s="208">
        <f>ROUND((ROUND((ROUND((_15_同援日１．０*_15・２人),0)*(1+_15・A早朝)),0)*(1+_15・盲ろう)),0)+ROUND((ROUND((_15_同援日１．０＿０．５*_15・２人),0)*(1+_15・盲ろう)),0)</f>
        <v>635</v>
      </c>
      <c r="AA132" s="48"/>
    </row>
    <row r="133" spans="1:27" ht="16.5" customHeight="1" x14ac:dyDescent="0.15">
      <c r="A133" s="41">
        <v>15</v>
      </c>
      <c r="B133" s="41">
        <v>9325</v>
      </c>
      <c r="C133" s="74" t="s">
        <v>19317</v>
      </c>
      <c r="D133" s="72"/>
      <c r="F133" s="57"/>
      <c r="G133" s="72"/>
      <c r="I133" s="57"/>
      <c r="J133" s="114" t="s">
        <v>17558</v>
      </c>
      <c r="K133" s="49"/>
      <c r="L133" s="50"/>
      <c r="M133" s="163"/>
      <c r="N133" s="45"/>
      <c r="O133" s="46"/>
      <c r="P133" s="512"/>
      <c r="Q133" s="57"/>
      <c r="R133" s="35"/>
      <c r="S133" s="12" t="s">
        <v>398</v>
      </c>
      <c r="T133" s="13">
        <v>0.25</v>
      </c>
      <c r="U133" s="57" t="s">
        <v>3575</v>
      </c>
      <c r="V133" s="35"/>
      <c r="Y133" s="57"/>
      <c r="Z133" s="208">
        <f>ROUND((ROUND((ROUND((_15_同援日１．０*_15・基礎２),0)*(1+_15・A早朝)),0)*(1+_15・盲ろう)),0)+ROUND((ROUND((_15_同援日１．０＿０．５*_15・基礎２),0)*(1+_15・盲ろう)),0)</f>
        <v>573</v>
      </c>
      <c r="AA133" s="48"/>
    </row>
    <row r="134" spans="1:27" ht="16.5" customHeight="1" x14ac:dyDescent="0.15">
      <c r="A134" s="41">
        <v>15</v>
      </c>
      <c r="B134" s="41">
        <v>9326</v>
      </c>
      <c r="C134" s="74" t="s">
        <v>19318</v>
      </c>
      <c r="D134" s="72"/>
      <c r="F134" s="57"/>
      <c r="G134" s="72"/>
      <c r="I134" s="57"/>
      <c r="J134" s="269" t="s">
        <v>17560</v>
      </c>
      <c r="K134" s="37" t="s">
        <v>398</v>
      </c>
      <c r="L134" s="38">
        <v>0.9</v>
      </c>
      <c r="M134" s="299" t="s">
        <v>17556</v>
      </c>
      <c r="N134" s="45" t="s">
        <v>398</v>
      </c>
      <c r="O134" s="46">
        <v>1</v>
      </c>
      <c r="P134" s="512"/>
      <c r="Q134" s="57"/>
      <c r="R134" s="43"/>
      <c r="S134" s="37"/>
      <c r="T134" s="38"/>
      <c r="U134" s="79"/>
      <c r="V134" s="43"/>
      <c r="W134" s="37"/>
      <c r="X134" s="38"/>
      <c r="Y134" s="79"/>
      <c r="Z134" s="208">
        <f>ROUND((ROUND((ROUND((ROUND((_15_同援日１．０*_15・基礎２),0)*_15・２人),0)*(1+_15・A早朝)),0)*(1+_15・盲ろう)),0)+ROUND((ROUND((ROUND((_15_同援日１．０＿０．５*_15・基礎２),0)*_15・２人),0)*(1+_15・盲ろう)),0)</f>
        <v>573</v>
      </c>
      <c r="AA134" s="48"/>
    </row>
    <row r="135" spans="1:27" ht="16.5" customHeight="1" x14ac:dyDescent="0.15">
      <c r="A135" s="41">
        <v>15</v>
      </c>
      <c r="B135" s="41">
        <v>9327</v>
      </c>
      <c r="C135" s="74" t="s">
        <v>19319</v>
      </c>
      <c r="D135" s="72"/>
      <c r="F135" s="57"/>
      <c r="G135" s="72"/>
      <c r="I135" s="57"/>
      <c r="J135" s="53"/>
      <c r="K135" s="49"/>
      <c r="L135" s="50"/>
      <c r="M135" s="163"/>
      <c r="N135" s="45"/>
      <c r="O135" s="46"/>
      <c r="P135" s="512"/>
      <c r="Q135" s="57"/>
      <c r="R135" s="53"/>
      <c r="S135" s="49"/>
      <c r="T135" s="50"/>
      <c r="U135" s="115"/>
      <c r="V135" s="53"/>
      <c r="W135" s="49"/>
      <c r="X135" s="50"/>
      <c r="Y135" s="115"/>
      <c r="Z135" s="208">
        <f>ROUND((ROUND((_15_同援日１．０*(1+_15・A早朝)),0)*(1+_15・区３)),0)+ROUND((_15_同援日１．０＿０．５*(1+_15・区３)),0)</f>
        <v>610</v>
      </c>
      <c r="AA135" s="48"/>
    </row>
    <row r="136" spans="1:27" ht="16.5" customHeight="1" x14ac:dyDescent="0.15">
      <c r="A136" s="41">
        <v>15</v>
      </c>
      <c r="B136" s="41">
        <v>9328</v>
      </c>
      <c r="C136" s="74" t="s">
        <v>19320</v>
      </c>
      <c r="D136" s="72"/>
      <c r="F136" s="57"/>
      <c r="G136" s="72"/>
      <c r="I136" s="57"/>
      <c r="J136" s="43"/>
      <c r="K136" s="37"/>
      <c r="L136" s="38"/>
      <c r="M136" s="299" t="s">
        <v>17556</v>
      </c>
      <c r="N136" s="45" t="s">
        <v>398</v>
      </c>
      <c r="O136" s="46">
        <v>1</v>
      </c>
      <c r="P136" s="512"/>
      <c r="Q136" s="57"/>
      <c r="R136" s="35"/>
      <c r="U136" s="57"/>
      <c r="V136" s="35"/>
      <c r="Y136" s="57"/>
      <c r="Z136" s="208">
        <f>ROUND((ROUND((ROUND((_15_同援日１．０*_15・２人),0)*(1+_15・A早朝)),0)*(1+_15・区３)),0)+ROUND((ROUND((_15_同援日１．０＿０．５*_15・２人),0)*(1+_15・区３)),0)</f>
        <v>610</v>
      </c>
      <c r="AA136" s="48"/>
    </row>
    <row r="137" spans="1:27" ht="16.5" customHeight="1" x14ac:dyDescent="0.15">
      <c r="A137" s="41">
        <v>15</v>
      </c>
      <c r="B137" s="41">
        <v>9329</v>
      </c>
      <c r="C137" s="74" t="s">
        <v>19321</v>
      </c>
      <c r="D137" s="72"/>
      <c r="F137" s="57"/>
      <c r="G137" s="72"/>
      <c r="I137" s="57"/>
      <c r="J137" s="114" t="s">
        <v>17558</v>
      </c>
      <c r="K137" s="49"/>
      <c r="L137" s="50"/>
      <c r="M137" s="163"/>
      <c r="N137" s="45"/>
      <c r="O137" s="46"/>
      <c r="P137" s="512"/>
      <c r="Q137" s="57"/>
      <c r="R137" s="35"/>
      <c r="U137" s="57"/>
      <c r="V137" s="72" t="s">
        <v>17570</v>
      </c>
      <c r="Y137" s="57"/>
      <c r="Z137" s="208">
        <f>ROUND((ROUND((ROUND((_15_同援日１．０*_15・基礎２),0)*(1+_15・A早朝)),0)*(1+_15・区３)),0)+ROUND((ROUND((_15_同援日１．０＿０．５*_15・基礎２),0)*(1+_15・区３)),0)</f>
        <v>550</v>
      </c>
      <c r="AA137" s="48"/>
    </row>
    <row r="138" spans="1:27" ht="16.5" customHeight="1" x14ac:dyDescent="0.15">
      <c r="A138" s="41">
        <v>15</v>
      </c>
      <c r="B138" s="41">
        <v>9330</v>
      </c>
      <c r="C138" s="74" t="s">
        <v>19322</v>
      </c>
      <c r="D138" s="72"/>
      <c r="F138" s="57"/>
      <c r="G138" s="72"/>
      <c r="I138" s="57"/>
      <c r="J138" s="269" t="s">
        <v>17560</v>
      </c>
      <c r="K138" s="37" t="s">
        <v>398</v>
      </c>
      <c r="L138" s="38">
        <v>0.9</v>
      </c>
      <c r="M138" s="299" t="s">
        <v>17556</v>
      </c>
      <c r="N138" s="45" t="s">
        <v>398</v>
      </c>
      <c r="O138" s="46">
        <v>1</v>
      </c>
      <c r="P138" s="512"/>
      <c r="Q138" s="57"/>
      <c r="R138" s="43"/>
      <c r="S138" s="37"/>
      <c r="T138" s="38"/>
      <c r="U138" s="79"/>
      <c r="V138" s="72" t="s">
        <v>17572</v>
      </c>
      <c r="Y138" s="57"/>
      <c r="Z138" s="208">
        <f>ROUND((ROUND((ROUND((ROUND((_15_同援日１．０*_15・基礎２),0)*_15・２人),0)*(1+_15・A早朝)),0)*(1+_15・区３)),0)+ROUND((ROUND((ROUND((_15_同援日１．０＿０．５*_15・基礎２),0)*_15・２人),0)*(1+_15・区３)),0)</f>
        <v>550</v>
      </c>
      <c r="AA138" s="48"/>
    </row>
    <row r="139" spans="1:27" ht="16.5" customHeight="1" x14ac:dyDescent="0.15">
      <c r="A139" s="41">
        <v>15</v>
      </c>
      <c r="B139" s="41">
        <v>9331</v>
      </c>
      <c r="C139" s="74" t="s">
        <v>19323</v>
      </c>
      <c r="D139" s="72"/>
      <c r="F139" s="57"/>
      <c r="G139" s="72"/>
      <c r="I139" s="57"/>
      <c r="J139" s="53"/>
      <c r="K139" s="49"/>
      <c r="L139" s="50"/>
      <c r="M139" s="163"/>
      <c r="N139" s="45"/>
      <c r="O139" s="46"/>
      <c r="P139" s="512"/>
      <c r="Q139" s="57"/>
      <c r="R139" s="114" t="s">
        <v>17562</v>
      </c>
      <c r="S139" s="49"/>
      <c r="T139" s="50"/>
      <c r="U139" s="115"/>
      <c r="V139" s="35"/>
      <c r="W139" s="12" t="s">
        <v>398</v>
      </c>
      <c r="X139" s="13">
        <v>0.2</v>
      </c>
      <c r="Y139" s="57" t="s">
        <v>3575</v>
      </c>
      <c r="Z139" s="208">
        <f>ROUND((ROUND((ROUND((_15_同援日１．０*(1+_15・A早朝)),0)*(1+_15・盲ろう)),0)*(1+_15・区３)),0)+ROUND((ROUND((_15_同援日１．０＿０．５*(1+_15・盲ろう)),0)*(1+_15・区３)),0)</f>
        <v>762</v>
      </c>
      <c r="AA139" s="48"/>
    </row>
    <row r="140" spans="1:27" ht="16.5" customHeight="1" x14ac:dyDescent="0.15">
      <c r="A140" s="41">
        <v>15</v>
      </c>
      <c r="B140" s="41">
        <v>9332</v>
      </c>
      <c r="C140" s="74" t="s">
        <v>19324</v>
      </c>
      <c r="D140" s="72"/>
      <c r="F140" s="57"/>
      <c r="G140" s="72"/>
      <c r="I140" s="57"/>
      <c r="J140" s="43"/>
      <c r="K140" s="37"/>
      <c r="L140" s="38"/>
      <c r="M140" s="299" t="s">
        <v>17556</v>
      </c>
      <c r="N140" s="45" t="s">
        <v>398</v>
      </c>
      <c r="O140" s="46">
        <v>1</v>
      </c>
      <c r="P140" s="512"/>
      <c r="Q140" s="57"/>
      <c r="R140" s="92" t="s">
        <v>17564</v>
      </c>
      <c r="U140" s="57"/>
      <c r="V140" s="35"/>
      <c r="Y140" s="57"/>
      <c r="Z140" s="208">
        <f>ROUND((ROUND((ROUND((ROUND((_15_同援日１．０*_15・２人),0)*(1+_15・A早朝)),0)*(1+_15・盲ろう)),0)*(1+_15・区３)),0)+ROUND((ROUND((ROUND((_15_同援日１．０＿０．５*_15・２人),0)*(1+_15・盲ろう)),0)*(1+_15・区３)),0)</f>
        <v>762</v>
      </c>
      <c r="AA140" s="48"/>
    </row>
    <row r="141" spans="1:27" ht="16.5" customHeight="1" x14ac:dyDescent="0.15">
      <c r="A141" s="41">
        <v>15</v>
      </c>
      <c r="B141" s="41">
        <v>9333</v>
      </c>
      <c r="C141" s="74" t="s">
        <v>19325</v>
      </c>
      <c r="D141" s="72"/>
      <c r="F141" s="57"/>
      <c r="G141" s="72"/>
      <c r="I141" s="57"/>
      <c r="J141" s="114" t="s">
        <v>17558</v>
      </c>
      <c r="K141" s="49"/>
      <c r="L141" s="50"/>
      <c r="M141" s="163"/>
      <c r="N141" s="45"/>
      <c r="O141" s="46"/>
      <c r="P141" s="512"/>
      <c r="Q141" s="57"/>
      <c r="R141" s="35"/>
      <c r="S141" s="12" t="s">
        <v>398</v>
      </c>
      <c r="T141" s="13">
        <v>0.25</v>
      </c>
      <c r="U141" s="57" t="s">
        <v>3575</v>
      </c>
      <c r="V141" s="35"/>
      <c r="Y141" s="57"/>
      <c r="Z141" s="208">
        <f>ROUND((ROUND((ROUND((ROUND((_15_同援日１．０*_15・基礎２),0)*(1+_15・A早朝)),0)*(1+_15・盲ろう)),0)*(1+_15・区３)),0)+ROUND((ROUND((ROUND((_15_同援日１．０＿０．５*_15・基礎２),0)*(1+_15・盲ろう)),0)*(1+_15・区３)),0)</f>
        <v>688</v>
      </c>
      <c r="AA141" s="48"/>
    </row>
    <row r="142" spans="1:27" ht="16.5" customHeight="1" x14ac:dyDescent="0.15">
      <c r="A142" s="41">
        <v>15</v>
      </c>
      <c r="B142" s="41">
        <v>9334</v>
      </c>
      <c r="C142" s="74" t="s">
        <v>19326</v>
      </c>
      <c r="D142" s="72"/>
      <c r="F142" s="57"/>
      <c r="G142" s="72"/>
      <c r="I142" s="57"/>
      <c r="J142" s="269" t="s">
        <v>17560</v>
      </c>
      <c r="K142" s="37" t="s">
        <v>398</v>
      </c>
      <c r="L142" s="38">
        <v>0.9</v>
      </c>
      <c r="M142" s="299" t="s">
        <v>17556</v>
      </c>
      <c r="N142" s="45" t="s">
        <v>398</v>
      </c>
      <c r="O142" s="46">
        <v>1</v>
      </c>
      <c r="P142" s="512"/>
      <c r="Q142" s="57"/>
      <c r="R142" s="43"/>
      <c r="S142" s="37"/>
      <c r="T142" s="38"/>
      <c r="U142" s="79"/>
      <c r="V142" s="43"/>
      <c r="W142" s="37"/>
      <c r="X142" s="38"/>
      <c r="Y142" s="79"/>
      <c r="Z142" s="208">
        <f>ROUND((ROUND((ROUND((ROUND((ROUND((_15_同援日１．０*_15・基礎２),0)*_15・２人),0)*(1+_15・A早朝)),0)*(1+_15・盲ろう)),0)*(1+_15・区３)),0)+ROUND((ROUND((ROUND((ROUND((_15_同援日１．０＿０．５*_15・基礎２),0)*_15・２人),0)*(1+_15・盲ろう)),0)*(1+_15・区３)),0)</f>
        <v>688</v>
      </c>
      <c r="AA142" s="48"/>
    </row>
    <row r="143" spans="1:27" ht="16.5" customHeight="1" x14ac:dyDescent="0.15">
      <c r="A143" s="41">
        <v>15</v>
      </c>
      <c r="B143" s="41">
        <v>9335</v>
      </c>
      <c r="C143" s="74" t="s">
        <v>19327</v>
      </c>
      <c r="D143" s="72"/>
      <c r="F143" s="57"/>
      <c r="G143" s="72"/>
      <c r="I143" s="57"/>
      <c r="J143" s="53"/>
      <c r="K143" s="49"/>
      <c r="L143" s="50"/>
      <c r="M143" s="163"/>
      <c r="N143" s="45"/>
      <c r="O143" s="46"/>
      <c r="P143" s="512"/>
      <c r="Q143" s="57"/>
      <c r="R143" s="53"/>
      <c r="S143" s="49"/>
      <c r="T143" s="50"/>
      <c r="U143" s="115"/>
      <c r="V143" s="53"/>
      <c r="W143" s="49"/>
      <c r="X143" s="50"/>
      <c r="Y143" s="115"/>
      <c r="Z143" s="208">
        <f>ROUND((ROUND((_15_同援日１．０*(1+_15・A早朝)),0)*(1+_15・区４)),0)+ROUND((_15_同援日１．０＿０．５*(1+_15・区４)),0)</f>
        <v>711</v>
      </c>
      <c r="AA143" s="48"/>
    </row>
    <row r="144" spans="1:27" ht="16.5" customHeight="1" x14ac:dyDescent="0.15">
      <c r="A144" s="41">
        <v>15</v>
      </c>
      <c r="B144" s="41">
        <v>9336</v>
      </c>
      <c r="C144" s="74" t="s">
        <v>19328</v>
      </c>
      <c r="D144" s="72"/>
      <c r="F144" s="57"/>
      <c r="G144" s="72"/>
      <c r="I144" s="57"/>
      <c r="J144" s="43"/>
      <c r="K144" s="37"/>
      <c r="L144" s="38"/>
      <c r="M144" s="299" t="s">
        <v>17556</v>
      </c>
      <c r="N144" s="45" t="s">
        <v>398</v>
      </c>
      <c r="O144" s="46">
        <v>1</v>
      </c>
      <c r="P144" s="512"/>
      <c r="Q144" s="57"/>
      <c r="R144" s="35"/>
      <c r="U144" s="57"/>
      <c r="V144" s="35"/>
      <c r="Y144" s="57"/>
      <c r="Z144" s="208">
        <f>ROUND((ROUND((ROUND((_15_同援日１．０*_15・２人),0)*(1+_15・A早朝)),0)*(1+_15・区４)),0)+ROUND((ROUND((_15_同援日１．０＿０．５*_15・２人),0)*(1+_15・区４)),0)</f>
        <v>711</v>
      </c>
      <c r="AA144" s="48"/>
    </row>
    <row r="145" spans="1:27" ht="16.5" customHeight="1" x14ac:dyDescent="0.15">
      <c r="A145" s="41">
        <v>15</v>
      </c>
      <c r="B145" s="41">
        <v>9337</v>
      </c>
      <c r="C145" s="74" t="s">
        <v>19329</v>
      </c>
      <c r="D145" s="72"/>
      <c r="F145" s="57"/>
      <c r="G145" s="72"/>
      <c r="I145" s="57"/>
      <c r="J145" s="114" t="s">
        <v>17558</v>
      </c>
      <c r="K145" s="49"/>
      <c r="L145" s="50"/>
      <c r="M145" s="163"/>
      <c r="N145" s="45"/>
      <c r="O145" s="46"/>
      <c r="P145" s="512"/>
      <c r="Q145" s="57"/>
      <c r="R145" s="35"/>
      <c r="U145" s="57"/>
      <c r="V145" s="72" t="s">
        <v>17580</v>
      </c>
      <c r="Y145" s="57"/>
      <c r="Z145" s="208">
        <f>ROUND((ROUND((ROUND((_15_同援日１．０*_15・基礎２),0)*(1+_15・A早朝)),0)*(1+_15・区４)),0)+ROUND((ROUND((_15_同援日１．０＿０．５*_15・基礎２),0)*(1+_15・区４)),0)</f>
        <v>641</v>
      </c>
      <c r="AA145" s="48"/>
    </row>
    <row r="146" spans="1:27" ht="16.5" customHeight="1" x14ac:dyDescent="0.15">
      <c r="A146" s="41">
        <v>15</v>
      </c>
      <c r="B146" s="41">
        <v>9338</v>
      </c>
      <c r="C146" s="74" t="s">
        <v>19330</v>
      </c>
      <c r="D146" s="72"/>
      <c r="F146" s="57"/>
      <c r="G146" s="72"/>
      <c r="I146" s="57"/>
      <c r="J146" s="269" t="s">
        <v>17560</v>
      </c>
      <c r="K146" s="37" t="s">
        <v>398</v>
      </c>
      <c r="L146" s="38">
        <v>0.9</v>
      </c>
      <c r="M146" s="299" t="s">
        <v>17556</v>
      </c>
      <c r="N146" s="45" t="s">
        <v>398</v>
      </c>
      <c r="O146" s="46">
        <v>1</v>
      </c>
      <c r="P146" s="512"/>
      <c r="Q146" s="57"/>
      <c r="R146" s="43"/>
      <c r="S146" s="37"/>
      <c r="T146" s="38"/>
      <c r="U146" s="79"/>
      <c r="V146" s="72" t="s">
        <v>17572</v>
      </c>
      <c r="Y146" s="57"/>
      <c r="Z146" s="208">
        <f>ROUND((ROUND((ROUND((ROUND((_15_同援日１．０*_15・基礎２),0)*_15・２人),0)*(1+_15・A早朝)),0)*(1+_15・区４)),0)+ROUND((ROUND((ROUND((_15_同援日１．０＿０．５*_15・基礎２),0)*_15・２人),0)*(1+_15・区４)),0)</f>
        <v>641</v>
      </c>
      <c r="AA146" s="48"/>
    </row>
    <row r="147" spans="1:27" ht="16.5" customHeight="1" x14ac:dyDescent="0.15">
      <c r="A147" s="41">
        <v>15</v>
      </c>
      <c r="B147" s="41">
        <v>9339</v>
      </c>
      <c r="C147" s="74" t="s">
        <v>19331</v>
      </c>
      <c r="D147" s="72"/>
      <c r="F147" s="57"/>
      <c r="G147" s="72"/>
      <c r="I147" s="57"/>
      <c r="J147" s="53"/>
      <c r="K147" s="49"/>
      <c r="L147" s="50"/>
      <c r="M147" s="163"/>
      <c r="N147" s="45"/>
      <c r="O147" s="46"/>
      <c r="P147" s="512"/>
      <c r="Q147" s="57"/>
      <c r="R147" s="114" t="s">
        <v>17562</v>
      </c>
      <c r="S147" s="49"/>
      <c r="T147" s="50"/>
      <c r="U147" s="115"/>
      <c r="V147" s="35"/>
      <c r="W147" s="12" t="s">
        <v>398</v>
      </c>
      <c r="X147" s="13">
        <v>0.4</v>
      </c>
      <c r="Y147" s="57" t="s">
        <v>3575</v>
      </c>
      <c r="Z147" s="208">
        <f>ROUND((ROUND((ROUND((_15_同援日１．０*(1+_15・A早朝)),0)*(1+_15・盲ろう)),0)*(1+_15・区４)),0)+ROUND((ROUND((_15_同援日１．０＿０．５*(1+_15・盲ろう)),0)*(1+_15・区４)),0)</f>
        <v>889</v>
      </c>
      <c r="AA147" s="48"/>
    </row>
    <row r="148" spans="1:27" ht="16.5" customHeight="1" x14ac:dyDescent="0.15">
      <c r="A148" s="41">
        <v>15</v>
      </c>
      <c r="B148" s="41">
        <v>9340</v>
      </c>
      <c r="C148" s="74" t="s">
        <v>19332</v>
      </c>
      <c r="D148" s="72"/>
      <c r="F148" s="57"/>
      <c r="G148" s="72"/>
      <c r="I148" s="57"/>
      <c r="J148" s="43"/>
      <c r="K148" s="37"/>
      <c r="L148" s="38"/>
      <c r="M148" s="299" t="s">
        <v>17556</v>
      </c>
      <c r="N148" s="45" t="s">
        <v>398</v>
      </c>
      <c r="O148" s="46">
        <v>1</v>
      </c>
      <c r="P148" s="512"/>
      <c r="Q148" s="57"/>
      <c r="R148" s="92" t="s">
        <v>17564</v>
      </c>
      <c r="U148" s="57"/>
      <c r="V148" s="35"/>
      <c r="Y148" s="57"/>
      <c r="Z148" s="208">
        <f>ROUND((ROUND((ROUND((ROUND((_15_同援日１．０*_15・２人),0)*(1+_15・A早朝)),0)*(1+_15・盲ろう)),0)*(1+_15・区４)),0)+ROUND((ROUND((ROUND((_15_同援日１．０＿０．５*_15・２人),0)*(1+_15・盲ろう)),0)*(1+_15・区４)),0)</f>
        <v>889</v>
      </c>
      <c r="AA148" s="48"/>
    </row>
    <row r="149" spans="1:27" ht="16.5" customHeight="1" x14ac:dyDescent="0.15">
      <c r="A149" s="41">
        <v>15</v>
      </c>
      <c r="B149" s="41">
        <v>9341</v>
      </c>
      <c r="C149" s="74" t="s">
        <v>19333</v>
      </c>
      <c r="D149" s="72"/>
      <c r="F149" s="57"/>
      <c r="G149" s="72"/>
      <c r="I149" s="57"/>
      <c r="J149" s="114" t="s">
        <v>17558</v>
      </c>
      <c r="K149" s="49"/>
      <c r="L149" s="50"/>
      <c r="M149" s="163"/>
      <c r="N149" s="45"/>
      <c r="O149" s="46"/>
      <c r="P149" s="512"/>
      <c r="Q149" s="57"/>
      <c r="R149" s="35"/>
      <c r="S149" s="12" t="s">
        <v>398</v>
      </c>
      <c r="T149" s="13">
        <v>0.25</v>
      </c>
      <c r="U149" s="57" t="s">
        <v>3575</v>
      </c>
      <c r="V149" s="35"/>
      <c r="Y149" s="57"/>
      <c r="Z149" s="208">
        <f>ROUND((ROUND((ROUND((ROUND((_15_同援日１．０*_15・基礎２),0)*(1+_15・A早朝)),0)*(1+_15・盲ろう)),0)*(1+_15・区４)),0)+ROUND((ROUND((ROUND((_15_同援日１．０＿０．５*_15・基礎２),0)*(1+_15・盲ろう)),0)*(1+_15・区４)),0)</f>
        <v>802</v>
      </c>
      <c r="AA149" s="48"/>
    </row>
    <row r="150" spans="1:27" ht="16.5" customHeight="1" x14ac:dyDescent="0.15">
      <c r="A150" s="41">
        <v>15</v>
      </c>
      <c r="B150" s="41">
        <v>9342</v>
      </c>
      <c r="C150" s="74" t="s">
        <v>19334</v>
      </c>
      <c r="D150" s="72"/>
      <c r="F150" s="57"/>
      <c r="G150" s="122"/>
      <c r="H150" s="37"/>
      <c r="I150" s="79"/>
      <c r="J150" s="269" t="s">
        <v>17560</v>
      </c>
      <c r="K150" s="37" t="s">
        <v>398</v>
      </c>
      <c r="L150" s="38">
        <v>0.9</v>
      </c>
      <c r="M150" s="299" t="s">
        <v>17556</v>
      </c>
      <c r="N150" s="45" t="s">
        <v>398</v>
      </c>
      <c r="O150" s="46">
        <v>1</v>
      </c>
      <c r="P150" s="512"/>
      <c r="Q150" s="57"/>
      <c r="R150" s="43"/>
      <c r="S150" s="37"/>
      <c r="T150" s="38"/>
      <c r="U150" s="79"/>
      <c r="V150" s="43"/>
      <c r="W150" s="37"/>
      <c r="X150" s="38"/>
      <c r="Y150" s="79"/>
      <c r="Z150" s="208">
        <f>ROUND((ROUND((ROUND((ROUND((ROUND((_15_同援日１．０*_15・基礎２),0)*_15・２人),0)*(1+_15・A早朝)),0)*(1+_15・盲ろう)),0)*(1+_15・区４)),0)+ROUND((ROUND((ROUND((ROUND((_15_同援日１．０＿０．５*_15・基礎２),0)*_15・２人),0)*(1+_15・盲ろう)),0)*(1+_15・区４)),0)</f>
        <v>802</v>
      </c>
      <c r="AA150" s="48"/>
    </row>
    <row r="151" spans="1:27" ht="16.5" customHeight="1" x14ac:dyDescent="0.15">
      <c r="A151" s="41">
        <v>15</v>
      </c>
      <c r="B151" s="41">
        <v>9343</v>
      </c>
      <c r="C151" s="74" t="s">
        <v>19335</v>
      </c>
      <c r="D151" s="72"/>
      <c r="F151" s="57"/>
      <c r="G151" s="114" t="s">
        <v>19212</v>
      </c>
      <c r="H151" s="49"/>
      <c r="I151" s="115"/>
      <c r="J151" s="53"/>
      <c r="K151" s="49"/>
      <c r="L151" s="50"/>
      <c r="M151" s="163"/>
      <c r="N151" s="45"/>
      <c r="O151" s="46"/>
      <c r="P151" s="512"/>
      <c r="Q151" s="57"/>
      <c r="R151" s="53"/>
      <c r="S151" s="49"/>
      <c r="T151" s="50"/>
      <c r="U151" s="115"/>
      <c r="V151" s="53"/>
      <c r="W151" s="49"/>
      <c r="X151" s="50"/>
      <c r="Y151" s="115"/>
      <c r="Z151" s="208">
        <f>ROUND((_15_同援日１．０*(1+_15・A早朝)),0)+_15_同援日１．０＿１．０</f>
        <v>573</v>
      </c>
      <c r="AA151" s="48"/>
    </row>
    <row r="152" spans="1:27" ht="16.5" customHeight="1" x14ac:dyDescent="0.15">
      <c r="A152" s="41">
        <v>15</v>
      </c>
      <c r="B152" s="41">
        <v>9344</v>
      </c>
      <c r="C152" s="74" t="s">
        <v>19336</v>
      </c>
      <c r="D152" s="72"/>
      <c r="F152" s="57"/>
      <c r="G152" s="72" t="s">
        <v>17589</v>
      </c>
      <c r="I152" s="57"/>
      <c r="J152" s="43"/>
      <c r="K152" s="37"/>
      <c r="L152" s="38"/>
      <c r="M152" s="299" t="s">
        <v>17556</v>
      </c>
      <c r="N152" s="45" t="s">
        <v>398</v>
      </c>
      <c r="O152" s="46">
        <v>1</v>
      </c>
      <c r="P152" s="512"/>
      <c r="Q152" s="57"/>
      <c r="R152" s="35"/>
      <c r="U152" s="57"/>
      <c r="V152" s="35"/>
      <c r="Y152" s="57"/>
      <c r="Z152" s="208">
        <f>ROUND((ROUND((_15_同援日１．０*_15・２人),0)*(1+_15・A早朝)),0)+ROUND((_15_同援日１．０＿１．０*_15・２人),0)</f>
        <v>573</v>
      </c>
      <c r="AA152" s="48"/>
    </row>
    <row r="153" spans="1:27" ht="16.5" customHeight="1" x14ac:dyDescent="0.15">
      <c r="A153" s="41">
        <v>15</v>
      </c>
      <c r="B153" s="41">
        <v>9345</v>
      </c>
      <c r="C153" s="74" t="s">
        <v>19337</v>
      </c>
      <c r="D153" s="72"/>
      <c r="F153" s="57"/>
      <c r="G153" s="72" t="s">
        <v>17591</v>
      </c>
      <c r="I153" s="57"/>
      <c r="J153" s="114" t="s">
        <v>17558</v>
      </c>
      <c r="K153" s="49"/>
      <c r="L153" s="50"/>
      <c r="M153" s="163"/>
      <c r="N153" s="45"/>
      <c r="O153" s="46"/>
      <c r="P153" s="512"/>
      <c r="Q153" s="57"/>
      <c r="R153" s="35"/>
      <c r="U153" s="57"/>
      <c r="V153" s="35"/>
      <c r="Y153" s="57"/>
      <c r="Z153" s="208">
        <f>ROUND((ROUND((_15_同援日１．０*_15・基礎２),0)*(1+_15・A早朝)),0)+ROUND((_15_同援日１．０＿１．０*_15・基礎２),0)</f>
        <v>516</v>
      </c>
      <c r="AA153" s="48"/>
    </row>
    <row r="154" spans="1:27" ht="16.5" customHeight="1" x14ac:dyDescent="0.15">
      <c r="A154" s="41">
        <v>15</v>
      </c>
      <c r="B154" s="41">
        <v>9346</v>
      </c>
      <c r="C154" s="74" t="s">
        <v>19338</v>
      </c>
      <c r="D154" s="72"/>
      <c r="F154" s="57"/>
      <c r="G154" s="72"/>
      <c r="H154" s="168">
        <f>_15_同援日１．０＿１．０</f>
        <v>198</v>
      </c>
      <c r="I154" s="57" t="s">
        <v>392</v>
      </c>
      <c r="J154" s="269" t="s">
        <v>17560</v>
      </c>
      <c r="K154" s="37" t="s">
        <v>398</v>
      </c>
      <c r="L154" s="38">
        <v>0.9</v>
      </c>
      <c r="M154" s="299" t="s">
        <v>17556</v>
      </c>
      <c r="N154" s="45" t="s">
        <v>398</v>
      </c>
      <c r="O154" s="46">
        <v>1</v>
      </c>
      <c r="P154" s="512"/>
      <c r="Q154" s="57"/>
      <c r="R154" s="43"/>
      <c r="S154" s="37"/>
      <c r="T154" s="38"/>
      <c r="U154" s="79"/>
      <c r="V154" s="35"/>
      <c r="Y154" s="57"/>
      <c r="Z154" s="208">
        <f>ROUND((ROUND((ROUND((_15_同援日１．０*_15・基礎２),0)*_15・２人),0)*(1+_15・A早朝)),0)+ROUND((ROUND((_15_同援日１．０＿１．０*_15・基礎２),0)*_15・２人),0)</f>
        <v>516</v>
      </c>
      <c r="AA154" s="48"/>
    </row>
    <row r="155" spans="1:27" ht="16.5" customHeight="1" x14ac:dyDescent="0.15">
      <c r="A155" s="41">
        <v>15</v>
      </c>
      <c r="B155" s="41">
        <v>9347</v>
      </c>
      <c r="C155" s="74" t="s">
        <v>19339</v>
      </c>
      <c r="D155" s="72"/>
      <c r="F155" s="57"/>
      <c r="G155" s="72"/>
      <c r="I155" s="57"/>
      <c r="J155" s="53"/>
      <c r="K155" s="49"/>
      <c r="L155" s="50"/>
      <c r="M155" s="163"/>
      <c r="N155" s="45"/>
      <c r="O155" s="46"/>
      <c r="P155" s="512"/>
      <c r="Q155" s="57"/>
      <c r="R155" s="114" t="s">
        <v>17562</v>
      </c>
      <c r="S155" s="49"/>
      <c r="T155" s="50"/>
      <c r="U155" s="115"/>
      <c r="V155" s="35"/>
      <c r="Y155" s="57"/>
      <c r="Z155" s="208">
        <f>ROUND((ROUND((_15_同援日１．０*(1+_15・A早朝)),0)*(1+_15・盲ろう)),0)+ROUND((_15_同援日１．０＿１．０*(1+_15・盲ろう)),0)</f>
        <v>717</v>
      </c>
      <c r="AA155" s="48"/>
    </row>
    <row r="156" spans="1:27" ht="16.5" customHeight="1" x14ac:dyDescent="0.15">
      <c r="A156" s="41">
        <v>15</v>
      </c>
      <c r="B156" s="41">
        <v>9348</v>
      </c>
      <c r="C156" s="74" t="s">
        <v>19340</v>
      </c>
      <c r="D156" s="72"/>
      <c r="F156" s="57"/>
      <c r="G156" s="72"/>
      <c r="I156" s="57"/>
      <c r="J156" s="43"/>
      <c r="K156" s="37"/>
      <c r="L156" s="38"/>
      <c r="M156" s="299" t="s">
        <v>17556</v>
      </c>
      <c r="N156" s="45" t="s">
        <v>398</v>
      </c>
      <c r="O156" s="46">
        <v>1</v>
      </c>
      <c r="P156" s="512"/>
      <c r="Q156" s="57"/>
      <c r="R156" s="92" t="s">
        <v>17564</v>
      </c>
      <c r="U156" s="57"/>
      <c r="V156" s="35"/>
      <c r="Y156" s="57"/>
      <c r="Z156" s="208">
        <f>ROUND((ROUND((ROUND((_15_同援日１．０*_15・２人),0)*(1+_15・A早朝)),0)*(1+_15・盲ろう)),0)+ROUND((ROUND((_15_同援日１．０＿１．０*_15・２人),0)*(1+_15・盲ろう)),0)</f>
        <v>717</v>
      </c>
      <c r="AA156" s="48"/>
    </row>
    <row r="157" spans="1:27" ht="16.5" customHeight="1" x14ac:dyDescent="0.15">
      <c r="A157" s="41">
        <v>15</v>
      </c>
      <c r="B157" s="41">
        <v>9349</v>
      </c>
      <c r="C157" s="74" t="s">
        <v>19341</v>
      </c>
      <c r="D157" s="72"/>
      <c r="F157" s="57"/>
      <c r="G157" s="72"/>
      <c r="I157" s="57"/>
      <c r="J157" s="114" t="s">
        <v>17558</v>
      </c>
      <c r="K157" s="49"/>
      <c r="L157" s="50"/>
      <c r="M157" s="163"/>
      <c r="N157" s="45"/>
      <c r="O157" s="46"/>
      <c r="P157" s="512"/>
      <c r="Q157" s="57"/>
      <c r="R157" s="35"/>
      <c r="S157" s="12" t="s">
        <v>398</v>
      </c>
      <c r="T157" s="13">
        <v>0.25</v>
      </c>
      <c r="U157" s="57" t="s">
        <v>3575</v>
      </c>
      <c r="V157" s="35"/>
      <c r="Y157" s="57"/>
      <c r="Z157" s="208">
        <f>ROUND((ROUND((ROUND((_15_同援日１．０*_15・基礎２),0)*(1+_15・A早朝)),0)*(1+_15・盲ろう)),0)+ROUND((ROUND((_15_同援日１．０＿１．０*_15・基礎２),0)*(1+_15・盲ろう)),0)</f>
        <v>646</v>
      </c>
      <c r="AA157" s="48"/>
    </row>
    <row r="158" spans="1:27" ht="16.5" customHeight="1" x14ac:dyDescent="0.15">
      <c r="A158" s="41">
        <v>15</v>
      </c>
      <c r="B158" s="41">
        <v>9350</v>
      </c>
      <c r="C158" s="74" t="s">
        <v>19342</v>
      </c>
      <c r="D158" s="72"/>
      <c r="F158" s="57"/>
      <c r="G158" s="72"/>
      <c r="I158" s="57"/>
      <c r="J158" s="269" t="s">
        <v>17560</v>
      </c>
      <c r="K158" s="37" t="s">
        <v>398</v>
      </c>
      <c r="L158" s="38">
        <v>0.9</v>
      </c>
      <c r="M158" s="299" t="s">
        <v>17556</v>
      </c>
      <c r="N158" s="45" t="s">
        <v>398</v>
      </c>
      <c r="O158" s="46">
        <v>1</v>
      </c>
      <c r="P158" s="512"/>
      <c r="Q158" s="57"/>
      <c r="R158" s="43"/>
      <c r="S158" s="37"/>
      <c r="T158" s="38"/>
      <c r="U158" s="79"/>
      <c r="V158" s="43"/>
      <c r="W158" s="37"/>
      <c r="X158" s="38"/>
      <c r="Y158" s="79"/>
      <c r="Z158" s="208">
        <f>ROUND((ROUND((ROUND((ROUND((_15_同援日１．０*_15・基礎２),0)*_15・２人),0)*(1+_15・A早朝)),0)*(1+_15・盲ろう)),0)+ROUND((ROUND((ROUND((_15_同援日１．０＿１．０*_15・基礎２),0)*_15・２人),0)*(1+_15・盲ろう)),0)</f>
        <v>646</v>
      </c>
      <c r="AA158" s="48"/>
    </row>
    <row r="159" spans="1:27" ht="16.5" customHeight="1" x14ac:dyDescent="0.15">
      <c r="A159" s="41">
        <v>15</v>
      </c>
      <c r="B159" s="41">
        <v>9351</v>
      </c>
      <c r="C159" s="74" t="s">
        <v>19343</v>
      </c>
      <c r="D159" s="72"/>
      <c r="F159" s="57"/>
      <c r="G159" s="72"/>
      <c r="I159" s="57"/>
      <c r="J159" s="53"/>
      <c r="K159" s="49"/>
      <c r="L159" s="50"/>
      <c r="M159" s="163"/>
      <c r="N159" s="45"/>
      <c r="O159" s="46"/>
      <c r="P159" s="512"/>
      <c r="Q159" s="57"/>
      <c r="R159" s="53"/>
      <c r="S159" s="49"/>
      <c r="T159" s="50"/>
      <c r="U159" s="115"/>
      <c r="V159" s="53"/>
      <c r="W159" s="49"/>
      <c r="X159" s="50"/>
      <c r="Y159" s="115"/>
      <c r="Z159" s="208">
        <f>ROUND((ROUND((_15_同援日１．０*(1+_15・A早朝)),0)*(1+_15・区３)),0)+ROUND((_15_同援日１．０＿１．０*(1+_15・区３)),0)</f>
        <v>688</v>
      </c>
      <c r="AA159" s="48"/>
    </row>
    <row r="160" spans="1:27" ht="16.5" customHeight="1" x14ac:dyDescent="0.15">
      <c r="A160" s="41">
        <v>15</v>
      </c>
      <c r="B160" s="41">
        <v>9352</v>
      </c>
      <c r="C160" s="74" t="s">
        <v>19344</v>
      </c>
      <c r="D160" s="72"/>
      <c r="F160" s="57"/>
      <c r="G160" s="72"/>
      <c r="I160" s="57"/>
      <c r="J160" s="43"/>
      <c r="K160" s="37"/>
      <c r="L160" s="38"/>
      <c r="M160" s="299" t="s">
        <v>17556</v>
      </c>
      <c r="N160" s="45" t="s">
        <v>398</v>
      </c>
      <c r="O160" s="46">
        <v>1</v>
      </c>
      <c r="P160" s="512"/>
      <c r="Q160" s="57"/>
      <c r="R160" s="35"/>
      <c r="U160" s="57"/>
      <c r="V160" s="35"/>
      <c r="Y160" s="57"/>
      <c r="Z160" s="208">
        <f>ROUND((ROUND((ROUND((_15_同援日１．０*_15・２人),0)*(1+_15・A早朝)),0)*(1+_15・区３)),0)+ROUND((ROUND((_15_同援日１．０＿１．０*_15・２人),0)*(1+_15・区３)),0)</f>
        <v>688</v>
      </c>
      <c r="AA160" s="48"/>
    </row>
    <row r="161" spans="1:27" ht="16.5" customHeight="1" x14ac:dyDescent="0.15">
      <c r="A161" s="41">
        <v>15</v>
      </c>
      <c r="B161" s="41">
        <v>9353</v>
      </c>
      <c r="C161" s="74" t="s">
        <v>19345</v>
      </c>
      <c r="D161" s="72"/>
      <c r="F161" s="57"/>
      <c r="G161" s="72"/>
      <c r="I161" s="57"/>
      <c r="J161" s="114" t="s">
        <v>17558</v>
      </c>
      <c r="K161" s="49"/>
      <c r="L161" s="50"/>
      <c r="M161" s="163"/>
      <c r="N161" s="45"/>
      <c r="O161" s="46"/>
      <c r="P161" s="512"/>
      <c r="Q161" s="57"/>
      <c r="R161" s="35"/>
      <c r="U161" s="57"/>
      <c r="V161" s="72" t="s">
        <v>17570</v>
      </c>
      <c r="Y161" s="57"/>
      <c r="Z161" s="208">
        <f>ROUND((ROUND((ROUND((_15_同援日１．０*_15・基礎２),0)*(1+_15・A早朝)),0)*(1+_15・区３)),0)+ROUND((ROUND((_15_同援日１．０＿１．０*_15・基礎２),0)*(1+_15・区３)),0)</f>
        <v>620</v>
      </c>
      <c r="AA161" s="48"/>
    </row>
    <row r="162" spans="1:27" ht="16.5" customHeight="1" x14ac:dyDescent="0.15">
      <c r="A162" s="41">
        <v>15</v>
      </c>
      <c r="B162" s="41">
        <v>9354</v>
      </c>
      <c r="C162" s="74" t="s">
        <v>19346</v>
      </c>
      <c r="D162" s="72"/>
      <c r="F162" s="57"/>
      <c r="G162" s="72"/>
      <c r="I162" s="57"/>
      <c r="J162" s="269" t="s">
        <v>17560</v>
      </c>
      <c r="K162" s="37" t="s">
        <v>398</v>
      </c>
      <c r="L162" s="38">
        <v>0.9</v>
      </c>
      <c r="M162" s="299" t="s">
        <v>17556</v>
      </c>
      <c r="N162" s="45" t="s">
        <v>398</v>
      </c>
      <c r="O162" s="46">
        <v>1</v>
      </c>
      <c r="P162" s="512"/>
      <c r="Q162" s="57"/>
      <c r="R162" s="43"/>
      <c r="S162" s="37"/>
      <c r="T162" s="38"/>
      <c r="U162" s="79"/>
      <c r="V162" s="72" t="s">
        <v>17572</v>
      </c>
      <c r="Y162" s="57"/>
      <c r="Z162" s="208">
        <f>ROUND((ROUND((ROUND((ROUND((_15_同援日１．０*_15・基礎２),0)*_15・２人),0)*(1+_15・A早朝)),0)*(1+_15・区３)),0)+ROUND((ROUND((ROUND((_15_同援日１．０＿１．０*_15・基礎２),0)*_15・２人),0)*(1+_15・区３)),0)</f>
        <v>620</v>
      </c>
      <c r="AA162" s="48"/>
    </row>
    <row r="163" spans="1:27" ht="16.5" customHeight="1" x14ac:dyDescent="0.15">
      <c r="A163" s="41">
        <v>15</v>
      </c>
      <c r="B163" s="41">
        <v>9355</v>
      </c>
      <c r="C163" s="74" t="s">
        <v>19347</v>
      </c>
      <c r="D163" s="72"/>
      <c r="F163" s="57"/>
      <c r="G163" s="72"/>
      <c r="I163" s="57"/>
      <c r="J163" s="53"/>
      <c r="K163" s="49"/>
      <c r="L163" s="50"/>
      <c r="M163" s="163"/>
      <c r="N163" s="45"/>
      <c r="O163" s="46"/>
      <c r="P163" s="512"/>
      <c r="Q163" s="57"/>
      <c r="R163" s="114" t="s">
        <v>17562</v>
      </c>
      <c r="S163" s="49"/>
      <c r="T163" s="50"/>
      <c r="U163" s="115"/>
      <c r="V163" s="35"/>
      <c r="W163" s="12" t="s">
        <v>398</v>
      </c>
      <c r="X163" s="13">
        <v>0.2</v>
      </c>
      <c r="Y163" s="57" t="s">
        <v>3575</v>
      </c>
      <c r="Z163" s="208">
        <f>ROUND((ROUND((ROUND((_15_同援日１．０*(1+_15・A早朝)),0)*(1+_15・盲ろう)),0)*(1+_15・区３)),0)+ROUND((ROUND((_15_同援日１．０＿１．０*(1+_15・盲ろう)),0)*(1+_15・区３)),0)</f>
        <v>861</v>
      </c>
      <c r="AA163" s="48"/>
    </row>
    <row r="164" spans="1:27" ht="16.5" customHeight="1" x14ac:dyDescent="0.15">
      <c r="A164" s="41">
        <v>15</v>
      </c>
      <c r="B164" s="41">
        <v>9356</v>
      </c>
      <c r="C164" s="74" t="s">
        <v>19348</v>
      </c>
      <c r="D164" s="72"/>
      <c r="F164" s="57"/>
      <c r="G164" s="72"/>
      <c r="I164" s="57"/>
      <c r="J164" s="43"/>
      <c r="K164" s="37"/>
      <c r="L164" s="38"/>
      <c r="M164" s="299" t="s">
        <v>17556</v>
      </c>
      <c r="N164" s="45" t="s">
        <v>398</v>
      </c>
      <c r="O164" s="46">
        <v>1</v>
      </c>
      <c r="P164" s="512"/>
      <c r="Q164" s="57"/>
      <c r="R164" s="92" t="s">
        <v>17564</v>
      </c>
      <c r="U164" s="57"/>
      <c r="V164" s="35"/>
      <c r="Y164" s="57"/>
      <c r="Z164" s="208">
        <f>ROUND((ROUND((ROUND((ROUND((_15_同援日１．０*_15・２人),0)*(1+_15・A早朝)),0)*(1+_15・盲ろう)),0)*(1+_15・区３)),0)+ROUND((ROUND((ROUND((_15_同援日１．０＿１．０*_15・２人),0)*(1+_15・盲ろう)),0)*(1+_15・区３)),0)</f>
        <v>861</v>
      </c>
      <c r="AA164" s="48"/>
    </row>
    <row r="165" spans="1:27" ht="16.5" customHeight="1" x14ac:dyDescent="0.15">
      <c r="A165" s="41">
        <v>15</v>
      </c>
      <c r="B165" s="41">
        <v>9357</v>
      </c>
      <c r="C165" s="74" t="s">
        <v>19349</v>
      </c>
      <c r="D165" s="72"/>
      <c r="F165" s="57"/>
      <c r="G165" s="72"/>
      <c r="I165" s="57"/>
      <c r="J165" s="114" t="s">
        <v>17558</v>
      </c>
      <c r="K165" s="49"/>
      <c r="L165" s="50"/>
      <c r="M165" s="163"/>
      <c r="N165" s="45"/>
      <c r="O165" s="46"/>
      <c r="P165" s="512"/>
      <c r="Q165" s="57"/>
      <c r="R165" s="35"/>
      <c r="S165" s="12" t="s">
        <v>398</v>
      </c>
      <c r="T165" s="13">
        <v>0.25</v>
      </c>
      <c r="U165" s="57" t="s">
        <v>3575</v>
      </c>
      <c r="V165" s="35"/>
      <c r="Y165" s="57"/>
      <c r="Z165" s="208">
        <f>ROUND((ROUND((ROUND((ROUND((_15_同援日１．０*_15・基礎２),0)*(1+_15・A早朝)),0)*(1+_15・盲ろう)),0)*(1+_15・区３)),0)+ROUND((ROUND((ROUND((_15_同援日１．０＿１．０*_15・基礎２),0)*(1+_15・盲ろう)),0)*(1+_15・区３)),0)</f>
        <v>776</v>
      </c>
      <c r="AA165" s="48"/>
    </row>
    <row r="166" spans="1:27" ht="16.5" customHeight="1" x14ac:dyDescent="0.15">
      <c r="A166" s="41">
        <v>15</v>
      </c>
      <c r="B166" s="41">
        <v>9358</v>
      </c>
      <c r="C166" s="74" t="s">
        <v>19350</v>
      </c>
      <c r="D166" s="72"/>
      <c r="F166" s="57"/>
      <c r="G166" s="72"/>
      <c r="I166" s="57"/>
      <c r="J166" s="269" t="s">
        <v>17560</v>
      </c>
      <c r="K166" s="37" t="s">
        <v>398</v>
      </c>
      <c r="L166" s="38">
        <v>0.9</v>
      </c>
      <c r="M166" s="299" t="s">
        <v>17556</v>
      </c>
      <c r="N166" s="45" t="s">
        <v>398</v>
      </c>
      <c r="O166" s="46">
        <v>1</v>
      </c>
      <c r="P166" s="512"/>
      <c r="Q166" s="57"/>
      <c r="R166" s="43"/>
      <c r="S166" s="37"/>
      <c r="T166" s="38"/>
      <c r="U166" s="79"/>
      <c r="V166" s="43"/>
      <c r="W166" s="37"/>
      <c r="X166" s="38"/>
      <c r="Y166" s="79"/>
      <c r="Z166" s="208">
        <f>ROUND((ROUND((ROUND((ROUND((ROUND((_15_同援日１．０*_15・基礎２),0)*_15・２人),0)*(1+_15・A早朝)),0)*(1+_15・盲ろう)),0)*(1+_15・区３)),0)+ROUND((ROUND((ROUND((ROUND((_15_同援日１．０＿１．０*_15・基礎２),0)*_15・２人),0)*(1+_15・盲ろう)),0)*(1+_15・区３)),0)</f>
        <v>776</v>
      </c>
      <c r="AA166" s="48"/>
    </row>
    <row r="167" spans="1:27" ht="16.5" customHeight="1" x14ac:dyDescent="0.15">
      <c r="A167" s="41">
        <v>15</v>
      </c>
      <c r="B167" s="41">
        <v>9359</v>
      </c>
      <c r="C167" s="74" t="s">
        <v>19351</v>
      </c>
      <c r="D167" s="72"/>
      <c r="F167" s="57"/>
      <c r="G167" s="72"/>
      <c r="I167" s="57"/>
      <c r="J167" s="53"/>
      <c r="K167" s="49"/>
      <c r="L167" s="50"/>
      <c r="M167" s="163"/>
      <c r="N167" s="45"/>
      <c r="O167" s="46"/>
      <c r="P167" s="512"/>
      <c r="Q167" s="57"/>
      <c r="R167" s="53"/>
      <c r="S167" s="49"/>
      <c r="T167" s="50"/>
      <c r="U167" s="115"/>
      <c r="V167" s="53"/>
      <c r="W167" s="49"/>
      <c r="X167" s="50"/>
      <c r="Y167" s="115"/>
      <c r="Z167" s="208">
        <f>ROUND((ROUND((_15_同援日１．０*(1+_15・A早朝)),0)*(1+_15・区４)),0)+ROUND((_15_同援日１．０＿１．０*(1+_15・区４)),0)</f>
        <v>802</v>
      </c>
      <c r="AA167" s="48"/>
    </row>
    <row r="168" spans="1:27" ht="16.5" customHeight="1" x14ac:dyDescent="0.15">
      <c r="A168" s="41">
        <v>15</v>
      </c>
      <c r="B168" s="41">
        <v>9360</v>
      </c>
      <c r="C168" s="74" t="s">
        <v>19352</v>
      </c>
      <c r="D168" s="72"/>
      <c r="F168" s="57"/>
      <c r="G168" s="72"/>
      <c r="I168" s="57"/>
      <c r="J168" s="43"/>
      <c r="K168" s="37"/>
      <c r="L168" s="38"/>
      <c r="M168" s="299" t="s">
        <v>17556</v>
      </c>
      <c r="N168" s="45" t="s">
        <v>398</v>
      </c>
      <c r="O168" s="46">
        <v>1</v>
      </c>
      <c r="P168" s="512"/>
      <c r="Q168" s="57"/>
      <c r="R168" s="35"/>
      <c r="U168" s="57"/>
      <c r="V168" s="35"/>
      <c r="Y168" s="57"/>
      <c r="Z168" s="208">
        <f>ROUND((ROUND((ROUND((_15_同援日１．０*_15・２人),0)*(1+_15・A早朝)),0)*(1+_15・区４)),0)+ROUND((ROUND((_15_同援日１．０＿１．０*_15・２人),0)*(1+_15・区４)),0)</f>
        <v>802</v>
      </c>
      <c r="AA168" s="48"/>
    </row>
    <row r="169" spans="1:27" ht="16.5" customHeight="1" x14ac:dyDescent="0.15">
      <c r="A169" s="41">
        <v>15</v>
      </c>
      <c r="B169" s="41">
        <v>9361</v>
      </c>
      <c r="C169" s="74" t="s">
        <v>19353</v>
      </c>
      <c r="D169" s="72"/>
      <c r="F169" s="57"/>
      <c r="G169" s="72"/>
      <c r="I169" s="57"/>
      <c r="J169" s="114" t="s">
        <v>17558</v>
      </c>
      <c r="K169" s="49"/>
      <c r="L169" s="50"/>
      <c r="M169" s="163"/>
      <c r="N169" s="45"/>
      <c r="O169" s="46"/>
      <c r="P169" s="512"/>
      <c r="Q169" s="57"/>
      <c r="R169" s="35"/>
      <c r="U169" s="57"/>
      <c r="V169" s="72" t="s">
        <v>17580</v>
      </c>
      <c r="Y169" s="57"/>
      <c r="Z169" s="208">
        <f>ROUND((ROUND((ROUND((_15_同援日１．０*_15・基礎２),0)*(1+_15・A早朝)),0)*(1+_15・区４)),0)+ROUND((ROUND((_15_同援日１．０＿１．０*_15・基礎２),0)*(1+_15・区４)),0)</f>
        <v>722</v>
      </c>
      <c r="AA169" s="48"/>
    </row>
    <row r="170" spans="1:27" ht="16.5" customHeight="1" x14ac:dyDescent="0.15">
      <c r="A170" s="41">
        <v>15</v>
      </c>
      <c r="B170" s="41">
        <v>9362</v>
      </c>
      <c r="C170" s="74" t="s">
        <v>19354</v>
      </c>
      <c r="D170" s="72"/>
      <c r="F170" s="57"/>
      <c r="G170" s="72"/>
      <c r="I170" s="57"/>
      <c r="J170" s="269" t="s">
        <v>17560</v>
      </c>
      <c r="K170" s="37" t="s">
        <v>398</v>
      </c>
      <c r="L170" s="38">
        <v>0.9</v>
      </c>
      <c r="M170" s="299" t="s">
        <v>17556</v>
      </c>
      <c r="N170" s="45" t="s">
        <v>398</v>
      </c>
      <c r="O170" s="46">
        <v>1</v>
      </c>
      <c r="P170" s="512"/>
      <c r="Q170" s="57"/>
      <c r="R170" s="43"/>
      <c r="S170" s="37"/>
      <c r="T170" s="38"/>
      <c r="U170" s="79"/>
      <c r="V170" s="72" t="s">
        <v>17572</v>
      </c>
      <c r="Y170" s="57"/>
      <c r="Z170" s="208">
        <f>ROUND((ROUND((ROUND((ROUND((_15_同援日１．０*_15・基礎２),0)*_15・２人),0)*(1+_15・A早朝)),0)*(1+_15・区４)),0)+ROUND((ROUND((ROUND((_15_同援日１．０＿１．０*_15・基礎２),0)*_15・２人),0)*(1+_15・区４)),0)</f>
        <v>722</v>
      </c>
      <c r="AA170" s="48"/>
    </row>
    <row r="171" spans="1:27" ht="16.5" customHeight="1" x14ac:dyDescent="0.15">
      <c r="A171" s="41">
        <v>15</v>
      </c>
      <c r="B171" s="41">
        <v>9363</v>
      </c>
      <c r="C171" s="74" t="s">
        <v>19355</v>
      </c>
      <c r="D171" s="72"/>
      <c r="F171" s="57"/>
      <c r="G171" s="72"/>
      <c r="I171" s="57"/>
      <c r="J171" s="53"/>
      <c r="K171" s="49"/>
      <c r="L171" s="50"/>
      <c r="M171" s="163"/>
      <c r="N171" s="45"/>
      <c r="O171" s="46"/>
      <c r="P171" s="512"/>
      <c r="Q171" s="57"/>
      <c r="R171" s="114" t="s">
        <v>17562</v>
      </c>
      <c r="S171" s="49"/>
      <c r="T171" s="50"/>
      <c r="U171" s="115"/>
      <c r="V171" s="35"/>
      <c r="W171" s="12" t="s">
        <v>398</v>
      </c>
      <c r="X171" s="13">
        <v>0.4</v>
      </c>
      <c r="Y171" s="57" t="s">
        <v>3575</v>
      </c>
      <c r="Z171" s="208">
        <f>ROUND((ROUND((ROUND((_15_同援日１．０*(1+_15・A早朝)),0)*(1+_15・盲ろう)),0)*(1+_15・区４)),0)+ROUND((ROUND((_15_同援日１．０＿１．０*(1+_15・盲ろう)),0)*(1+_15・区４)),0)</f>
        <v>1004</v>
      </c>
      <c r="AA171" s="48"/>
    </row>
    <row r="172" spans="1:27" ht="16.5" customHeight="1" x14ac:dyDescent="0.15">
      <c r="A172" s="41">
        <v>15</v>
      </c>
      <c r="B172" s="41">
        <v>9364</v>
      </c>
      <c r="C172" s="74" t="s">
        <v>19356</v>
      </c>
      <c r="D172" s="72"/>
      <c r="F172" s="57"/>
      <c r="G172" s="72"/>
      <c r="I172" s="57"/>
      <c r="J172" s="43"/>
      <c r="K172" s="37"/>
      <c r="L172" s="38"/>
      <c r="M172" s="299" t="s">
        <v>17556</v>
      </c>
      <c r="N172" s="45" t="s">
        <v>398</v>
      </c>
      <c r="O172" s="46">
        <v>1</v>
      </c>
      <c r="P172" s="512"/>
      <c r="Q172" s="57"/>
      <c r="R172" s="92" t="s">
        <v>17564</v>
      </c>
      <c r="U172" s="57"/>
      <c r="V172" s="35"/>
      <c r="Y172" s="57"/>
      <c r="Z172" s="208">
        <f>ROUND((ROUND((ROUND((ROUND((_15_同援日１．０*_15・２人),0)*(1+_15・A早朝)),0)*(1+_15・盲ろう)),0)*(1+_15・区４)),0)+ROUND((ROUND((ROUND((_15_同援日１．０＿１．０*_15・２人),0)*(1+_15・盲ろう)),0)*(1+_15・区４)),0)</f>
        <v>1004</v>
      </c>
      <c r="AA172" s="48"/>
    </row>
    <row r="173" spans="1:27" ht="16.5" customHeight="1" x14ac:dyDescent="0.15">
      <c r="A173" s="41">
        <v>15</v>
      </c>
      <c r="B173" s="41">
        <v>9365</v>
      </c>
      <c r="C173" s="74" t="s">
        <v>19357</v>
      </c>
      <c r="D173" s="72"/>
      <c r="F173" s="57"/>
      <c r="G173" s="72"/>
      <c r="I173" s="57"/>
      <c r="J173" s="114" t="s">
        <v>17558</v>
      </c>
      <c r="K173" s="49"/>
      <c r="L173" s="50"/>
      <c r="M173" s="163"/>
      <c r="N173" s="45"/>
      <c r="O173" s="46"/>
      <c r="P173" s="512"/>
      <c r="Q173" s="57"/>
      <c r="R173" s="35"/>
      <c r="S173" s="12" t="s">
        <v>398</v>
      </c>
      <c r="T173" s="13">
        <v>0.25</v>
      </c>
      <c r="U173" s="57" t="s">
        <v>3575</v>
      </c>
      <c r="V173" s="35"/>
      <c r="Y173" s="57"/>
      <c r="Z173" s="208">
        <f>ROUND((ROUND((ROUND((ROUND((_15_同援日１．０*_15・基礎２),0)*(1+_15・A早朝)),0)*(1+_15・盲ろう)),0)*(1+_15・区４)),0)+ROUND((ROUND((ROUND((_15_同援日１．０＿１．０*_15・基礎２),0)*(1+_15・盲ろう)),0)*(1+_15・区４)),0)</f>
        <v>904</v>
      </c>
      <c r="AA173" s="48"/>
    </row>
    <row r="174" spans="1:27" ht="16.5" customHeight="1" x14ac:dyDescent="0.15">
      <c r="A174" s="41">
        <v>15</v>
      </c>
      <c r="B174" s="41">
        <v>9366</v>
      </c>
      <c r="C174" s="74" t="s">
        <v>19358</v>
      </c>
      <c r="D174" s="72"/>
      <c r="F174" s="57"/>
      <c r="G174" s="122"/>
      <c r="H174" s="37"/>
      <c r="I174" s="79"/>
      <c r="J174" s="269" t="s">
        <v>17560</v>
      </c>
      <c r="K174" s="37" t="s">
        <v>398</v>
      </c>
      <c r="L174" s="38">
        <v>0.9</v>
      </c>
      <c r="M174" s="299" t="s">
        <v>17556</v>
      </c>
      <c r="N174" s="45" t="s">
        <v>398</v>
      </c>
      <c r="O174" s="46">
        <v>1</v>
      </c>
      <c r="P174" s="512"/>
      <c r="Q174" s="57"/>
      <c r="R174" s="43"/>
      <c r="S174" s="37"/>
      <c r="T174" s="38"/>
      <c r="U174" s="79"/>
      <c r="V174" s="43"/>
      <c r="W174" s="37"/>
      <c r="X174" s="38"/>
      <c r="Y174" s="79"/>
      <c r="Z174" s="208">
        <f>ROUND((ROUND((ROUND((ROUND((ROUND((_15_同援日１．０*_15・基礎２),0)*_15・２人),0)*(1+_15・A早朝)),0)*(1+_15・盲ろう)),0)*(1+_15・区４)),0)+ROUND((ROUND((ROUND((ROUND((_15_同援日１．０＿１．０*_15・基礎２),0)*_15・２人),0)*(1+_15・盲ろう)),0)*(1+_15・区４)),0)</f>
        <v>904</v>
      </c>
      <c r="AA174" s="48"/>
    </row>
    <row r="175" spans="1:27" ht="16.5" customHeight="1" x14ac:dyDescent="0.15">
      <c r="A175" s="41">
        <v>15</v>
      </c>
      <c r="B175" s="41">
        <v>9367</v>
      </c>
      <c r="C175" s="74" t="s">
        <v>19359</v>
      </c>
      <c r="D175" s="72"/>
      <c r="F175" s="57"/>
      <c r="G175" s="114" t="s">
        <v>19237</v>
      </c>
      <c r="H175" s="49"/>
      <c r="I175" s="115"/>
      <c r="J175" s="53"/>
      <c r="K175" s="49"/>
      <c r="L175" s="50"/>
      <c r="M175" s="163"/>
      <c r="N175" s="45"/>
      <c r="O175" s="46"/>
      <c r="P175" s="512"/>
      <c r="Q175" s="57"/>
      <c r="R175" s="53"/>
      <c r="S175" s="49"/>
      <c r="T175" s="50"/>
      <c r="U175" s="115"/>
      <c r="V175" s="53"/>
      <c r="W175" s="49"/>
      <c r="X175" s="50"/>
      <c r="Y175" s="115"/>
      <c r="Z175" s="208">
        <f>ROUND((_15_同援日１．０*(1+_15・A早朝)),0)+_15_同援日１．０＿１．５</f>
        <v>638</v>
      </c>
      <c r="AA175" s="48"/>
    </row>
    <row r="176" spans="1:27" ht="16.5" customHeight="1" x14ac:dyDescent="0.15">
      <c r="A176" s="41">
        <v>15</v>
      </c>
      <c r="B176" s="41">
        <v>9368</v>
      </c>
      <c r="C176" s="74" t="s">
        <v>19360</v>
      </c>
      <c r="D176" s="72"/>
      <c r="F176" s="57"/>
      <c r="G176" s="72" t="s">
        <v>17616</v>
      </c>
      <c r="I176" s="57"/>
      <c r="J176" s="43"/>
      <c r="K176" s="37"/>
      <c r="L176" s="38"/>
      <c r="M176" s="299" t="s">
        <v>17556</v>
      </c>
      <c r="N176" s="45" t="s">
        <v>398</v>
      </c>
      <c r="O176" s="46">
        <v>1</v>
      </c>
      <c r="P176" s="512"/>
      <c r="Q176" s="57"/>
      <c r="R176" s="35"/>
      <c r="U176" s="57"/>
      <c r="V176" s="35"/>
      <c r="Y176" s="57"/>
      <c r="Z176" s="208">
        <f>ROUND((ROUND((_15_同援日１．０*_15・２人),0)*(1+_15・A早朝)),0)+ROUND((_15_同援日１．０＿１．５*_15・２人),0)</f>
        <v>638</v>
      </c>
      <c r="AA176" s="48"/>
    </row>
    <row r="177" spans="1:27" ht="16.5" customHeight="1" x14ac:dyDescent="0.15">
      <c r="A177" s="41">
        <v>15</v>
      </c>
      <c r="B177" s="41">
        <v>9369</v>
      </c>
      <c r="C177" s="74" t="s">
        <v>19361</v>
      </c>
      <c r="D177" s="72"/>
      <c r="F177" s="57"/>
      <c r="G177" s="72" t="s">
        <v>18183</v>
      </c>
      <c r="I177" s="57"/>
      <c r="J177" s="114" t="s">
        <v>17558</v>
      </c>
      <c r="K177" s="49"/>
      <c r="L177" s="50"/>
      <c r="M177" s="163"/>
      <c r="N177" s="45"/>
      <c r="O177" s="46"/>
      <c r="P177" s="512"/>
      <c r="Q177" s="57"/>
      <c r="R177" s="35"/>
      <c r="U177" s="57"/>
      <c r="V177" s="35"/>
      <c r="Y177" s="57"/>
      <c r="Z177" s="208">
        <f>ROUND((ROUND((_15_同援日１．０*_15・基礎２),0)*(1+_15・A早朝)),0)+ROUND((_15_同援日１．０＿１．５*_15・基礎２),0)</f>
        <v>575</v>
      </c>
      <c r="AA177" s="48"/>
    </row>
    <row r="178" spans="1:27" ht="16.5" customHeight="1" x14ac:dyDescent="0.15">
      <c r="A178" s="41">
        <v>15</v>
      </c>
      <c r="B178" s="41">
        <v>9370</v>
      </c>
      <c r="C178" s="74" t="s">
        <v>19362</v>
      </c>
      <c r="D178" s="72"/>
      <c r="F178" s="57"/>
      <c r="G178" s="72"/>
      <c r="H178" s="168">
        <f>_15_同援日１．０＿１．５</f>
        <v>263</v>
      </c>
      <c r="I178" s="57" t="s">
        <v>392</v>
      </c>
      <c r="J178" s="269" t="s">
        <v>17560</v>
      </c>
      <c r="K178" s="37" t="s">
        <v>398</v>
      </c>
      <c r="L178" s="38">
        <v>0.9</v>
      </c>
      <c r="M178" s="299" t="s">
        <v>17556</v>
      </c>
      <c r="N178" s="45" t="s">
        <v>398</v>
      </c>
      <c r="O178" s="46">
        <v>1</v>
      </c>
      <c r="P178" s="512"/>
      <c r="Q178" s="57"/>
      <c r="R178" s="43"/>
      <c r="S178" s="37"/>
      <c r="T178" s="38"/>
      <c r="U178" s="79"/>
      <c r="V178" s="35"/>
      <c r="Y178" s="57"/>
      <c r="Z178" s="208">
        <f>ROUND((ROUND((ROUND((_15_同援日１．０*_15・基礎２),0)*_15・２人),0)*(1+_15・A早朝)),0)+ROUND((ROUND((_15_同援日１．０＿１．５*_15・基礎２),0)*_15・２人),0)</f>
        <v>575</v>
      </c>
      <c r="AA178" s="48"/>
    </row>
    <row r="179" spans="1:27" ht="16.5" customHeight="1" x14ac:dyDescent="0.15">
      <c r="A179" s="41">
        <v>15</v>
      </c>
      <c r="B179" s="41">
        <v>9371</v>
      </c>
      <c r="C179" s="74" t="s">
        <v>19363</v>
      </c>
      <c r="D179" s="72"/>
      <c r="F179" s="57"/>
      <c r="G179" s="72"/>
      <c r="I179" s="57"/>
      <c r="J179" s="53"/>
      <c r="K179" s="49"/>
      <c r="L179" s="50"/>
      <c r="M179" s="163"/>
      <c r="N179" s="45"/>
      <c r="O179" s="46"/>
      <c r="P179" s="512"/>
      <c r="Q179" s="57"/>
      <c r="R179" s="114" t="s">
        <v>17562</v>
      </c>
      <c r="S179" s="49"/>
      <c r="T179" s="50"/>
      <c r="U179" s="115"/>
      <c r="V179" s="35"/>
      <c r="Y179" s="57"/>
      <c r="Z179" s="208">
        <f>ROUND((ROUND((_15_同援日１．０*(1+_15・A早朝)),0)*(1+_15・盲ろう)),0)+ROUND((_15_同援日１．０＿１．５*(1+_15・盲ろう)),0)</f>
        <v>798</v>
      </c>
      <c r="AA179" s="48"/>
    </row>
    <row r="180" spans="1:27" ht="16.5" customHeight="1" x14ac:dyDescent="0.15">
      <c r="A180" s="41">
        <v>15</v>
      </c>
      <c r="B180" s="41">
        <v>9372</v>
      </c>
      <c r="C180" s="74" t="s">
        <v>19364</v>
      </c>
      <c r="D180" s="72"/>
      <c r="F180" s="57"/>
      <c r="G180" s="72"/>
      <c r="I180" s="57"/>
      <c r="J180" s="43"/>
      <c r="K180" s="37"/>
      <c r="L180" s="38"/>
      <c r="M180" s="299" t="s">
        <v>17556</v>
      </c>
      <c r="N180" s="45" t="s">
        <v>398</v>
      </c>
      <c r="O180" s="46">
        <v>1</v>
      </c>
      <c r="P180" s="512"/>
      <c r="Q180" s="57"/>
      <c r="R180" s="92" t="s">
        <v>17564</v>
      </c>
      <c r="U180" s="57"/>
      <c r="V180" s="35"/>
      <c r="Y180" s="57"/>
      <c r="Z180" s="208">
        <f>ROUND((ROUND((ROUND((_15_同援日１．０*_15・２人),0)*(1+_15・A早朝)),0)*(1+_15・盲ろう)),0)+ROUND((ROUND((_15_同援日１．０＿１．５*_15・２人),0)*(1+_15・盲ろう)),0)</f>
        <v>798</v>
      </c>
      <c r="AA180" s="48"/>
    </row>
    <row r="181" spans="1:27" ht="16.5" customHeight="1" x14ac:dyDescent="0.15">
      <c r="A181" s="41">
        <v>15</v>
      </c>
      <c r="B181" s="41">
        <v>9373</v>
      </c>
      <c r="C181" s="74" t="s">
        <v>19365</v>
      </c>
      <c r="D181" s="72"/>
      <c r="F181" s="57"/>
      <c r="G181" s="72"/>
      <c r="I181" s="57"/>
      <c r="J181" s="114" t="s">
        <v>17558</v>
      </c>
      <c r="K181" s="49"/>
      <c r="L181" s="50"/>
      <c r="M181" s="163"/>
      <c r="N181" s="45"/>
      <c r="O181" s="46"/>
      <c r="P181" s="512"/>
      <c r="Q181" s="57"/>
      <c r="R181" s="35"/>
      <c r="S181" s="12" t="s">
        <v>398</v>
      </c>
      <c r="T181" s="13">
        <v>0.25</v>
      </c>
      <c r="U181" s="57" t="s">
        <v>3575</v>
      </c>
      <c r="V181" s="35"/>
      <c r="Y181" s="57"/>
      <c r="Z181" s="208">
        <f>ROUND((ROUND((ROUND((_15_同援日１．０*_15・基礎２),0)*(1+_15・A早朝)),0)*(1+_15・盲ろう)),0)+ROUND((ROUND((_15_同援日１．０＿１．５*_15・基礎２),0)*(1+_15・盲ろう)),0)</f>
        <v>719</v>
      </c>
      <c r="AA181" s="48"/>
    </row>
    <row r="182" spans="1:27" ht="16.5" customHeight="1" x14ac:dyDescent="0.15">
      <c r="A182" s="41">
        <v>15</v>
      </c>
      <c r="B182" s="41">
        <v>9374</v>
      </c>
      <c r="C182" s="74" t="s">
        <v>19366</v>
      </c>
      <c r="D182" s="72"/>
      <c r="F182" s="57"/>
      <c r="G182" s="72"/>
      <c r="I182" s="57"/>
      <c r="J182" s="269" t="s">
        <v>17560</v>
      </c>
      <c r="K182" s="37" t="s">
        <v>398</v>
      </c>
      <c r="L182" s="38">
        <v>0.9</v>
      </c>
      <c r="M182" s="299" t="s">
        <v>17556</v>
      </c>
      <c r="N182" s="45" t="s">
        <v>398</v>
      </c>
      <c r="O182" s="46">
        <v>1</v>
      </c>
      <c r="P182" s="512"/>
      <c r="Q182" s="57"/>
      <c r="R182" s="43"/>
      <c r="S182" s="37"/>
      <c r="T182" s="38"/>
      <c r="U182" s="79"/>
      <c r="V182" s="43"/>
      <c r="W182" s="37"/>
      <c r="X182" s="38"/>
      <c r="Y182" s="79"/>
      <c r="Z182" s="208">
        <f>ROUND((ROUND((ROUND((ROUND((_15_同援日１．０*_15・基礎２),0)*_15・２人),0)*(1+_15・A早朝)),0)*(1+_15・盲ろう)),0)+ROUND((ROUND((ROUND((_15_同援日１．０＿１．５*_15・基礎２),0)*_15・２人),0)*(1+_15・盲ろう)),0)</f>
        <v>719</v>
      </c>
      <c r="AA182" s="48"/>
    </row>
    <row r="183" spans="1:27" ht="16.5" customHeight="1" x14ac:dyDescent="0.15">
      <c r="A183" s="41">
        <v>15</v>
      </c>
      <c r="B183" s="41">
        <v>9375</v>
      </c>
      <c r="C183" s="74" t="s">
        <v>19367</v>
      </c>
      <c r="D183" s="72"/>
      <c r="F183" s="57"/>
      <c r="G183" s="72"/>
      <c r="I183" s="57"/>
      <c r="J183" s="53"/>
      <c r="K183" s="49"/>
      <c r="L183" s="50"/>
      <c r="M183" s="163"/>
      <c r="N183" s="45"/>
      <c r="O183" s="46"/>
      <c r="P183" s="512"/>
      <c r="Q183" s="57"/>
      <c r="R183" s="53"/>
      <c r="S183" s="49"/>
      <c r="T183" s="50"/>
      <c r="U183" s="115"/>
      <c r="V183" s="53"/>
      <c r="W183" s="49"/>
      <c r="X183" s="50"/>
      <c r="Y183" s="115"/>
      <c r="Z183" s="208">
        <f>ROUND((ROUND((_15_同援日１．０*(1+_15・A早朝)),0)*(1+_15・区３)),0)+ROUND((_15_同援日１．０＿１．５*(1+_15・区３)),0)</f>
        <v>766</v>
      </c>
      <c r="AA183" s="48"/>
    </row>
    <row r="184" spans="1:27" ht="16.5" customHeight="1" x14ac:dyDescent="0.15">
      <c r="A184" s="41">
        <v>15</v>
      </c>
      <c r="B184" s="41">
        <v>9376</v>
      </c>
      <c r="C184" s="74" t="s">
        <v>19368</v>
      </c>
      <c r="D184" s="72"/>
      <c r="F184" s="57"/>
      <c r="G184" s="72"/>
      <c r="I184" s="57"/>
      <c r="J184" s="43"/>
      <c r="K184" s="37"/>
      <c r="L184" s="38"/>
      <c r="M184" s="299" t="s">
        <v>17556</v>
      </c>
      <c r="N184" s="45" t="s">
        <v>398</v>
      </c>
      <c r="O184" s="46">
        <v>1</v>
      </c>
      <c r="P184" s="512"/>
      <c r="Q184" s="57"/>
      <c r="R184" s="35"/>
      <c r="U184" s="57"/>
      <c r="V184" s="35"/>
      <c r="Y184" s="57"/>
      <c r="Z184" s="208">
        <f>ROUND((ROUND((ROUND((_15_同援日１．０*_15・２人),0)*(1+_15・A早朝)),0)*(1+_15・区３)),0)+ROUND((ROUND((_15_同援日１．０＿１．５*_15・２人),0)*(1+_15・区３)),0)</f>
        <v>766</v>
      </c>
      <c r="AA184" s="48"/>
    </row>
    <row r="185" spans="1:27" ht="16.5" customHeight="1" x14ac:dyDescent="0.15">
      <c r="A185" s="41">
        <v>15</v>
      </c>
      <c r="B185" s="41">
        <v>9377</v>
      </c>
      <c r="C185" s="74" t="s">
        <v>19369</v>
      </c>
      <c r="D185" s="72"/>
      <c r="F185" s="57"/>
      <c r="G185" s="72"/>
      <c r="I185" s="57"/>
      <c r="J185" s="114" t="s">
        <v>17558</v>
      </c>
      <c r="K185" s="49"/>
      <c r="L185" s="50"/>
      <c r="M185" s="163"/>
      <c r="N185" s="45"/>
      <c r="O185" s="46"/>
      <c r="P185" s="512"/>
      <c r="Q185" s="57"/>
      <c r="R185" s="35"/>
      <c r="U185" s="57"/>
      <c r="V185" s="72" t="s">
        <v>17570</v>
      </c>
      <c r="Y185" s="57"/>
      <c r="Z185" s="208">
        <f>ROUND((ROUND((ROUND((_15_同援日１．０*_15・基礎２),0)*(1+_15・A早朝)),0)*(1+_15・区３)),0)+ROUND((ROUND((_15_同援日１．０＿１．５*_15・基礎２),0)*(1+_15・区３)),0)</f>
        <v>690</v>
      </c>
      <c r="AA185" s="48"/>
    </row>
    <row r="186" spans="1:27" ht="16.5" customHeight="1" x14ac:dyDescent="0.15">
      <c r="A186" s="41">
        <v>15</v>
      </c>
      <c r="B186" s="41">
        <v>9378</v>
      </c>
      <c r="C186" s="74" t="s">
        <v>19370</v>
      </c>
      <c r="D186" s="72"/>
      <c r="F186" s="57"/>
      <c r="G186" s="72"/>
      <c r="I186" s="57"/>
      <c r="J186" s="269" t="s">
        <v>17560</v>
      </c>
      <c r="K186" s="37" t="s">
        <v>398</v>
      </c>
      <c r="L186" s="38">
        <v>0.9</v>
      </c>
      <c r="M186" s="299" t="s">
        <v>17556</v>
      </c>
      <c r="N186" s="45" t="s">
        <v>398</v>
      </c>
      <c r="O186" s="46">
        <v>1</v>
      </c>
      <c r="P186" s="512"/>
      <c r="Q186" s="57"/>
      <c r="R186" s="43"/>
      <c r="S186" s="37"/>
      <c r="T186" s="38"/>
      <c r="U186" s="79"/>
      <c r="V186" s="72" t="s">
        <v>17572</v>
      </c>
      <c r="Y186" s="57"/>
      <c r="Z186" s="208">
        <f>ROUND((ROUND((ROUND((ROUND((_15_同援日１．０*_15・基礎２),0)*_15・２人),0)*(1+_15・A早朝)),0)*(1+_15・区３)),0)+ROUND((ROUND((ROUND((_15_同援日１．０＿１．５*_15・基礎２),0)*_15・２人),0)*(1+_15・区３)),0)</f>
        <v>690</v>
      </c>
      <c r="AA186" s="48"/>
    </row>
    <row r="187" spans="1:27" ht="16.5" customHeight="1" x14ac:dyDescent="0.15">
      <c r="A187" s="41">
        <v>15</v>
      </c>
      <c r="B187" s="41">
        <v>9379</v>
      </c>
      <c r="C187" s="74" t="s">
        <v>19371</v>
      </c>
      <c r="D187" s="72"/>
      <c r="F187" s="57"/>
      <c r="G187" s="72"/>
      <c r="I187" s="57"/>
      <c r="J187" s="53"/>
      <c r="K187" s="49"/>
      <c r="L187" s="50"/>
      <c r="M187" s="163"/>
      <c r="N187" s="45"/>
      <c r="O187" s="46"/>
      <c r="P187" s="512"/>
      <c r="Q187" s="57"/>
      <c r="R187" s="114" t="s">
        <v>17562</v>
      </c>
      <c r="S187" s="49"/>
      <c r="T187" s="50"/>
      <c r="U187" s="115"/>
      <c r="V187" s="35"/>
      <c r="W187" s="12" t="s">
        <v>398</v>
      </c>
      <c r="X187" s="13">
        <v>0.2</v>
      </c>
      <c r="Y187" s="57" t="s">
        <v>3575</v>
      </c>
      <c r="Z187" s="208">
        <f>ROUND((ROUND((ROUND((_15_同援日１．０*(1+_15・A早朝)),0)*(1+_15・盲ろう)),0)*(1+_15・区３)),0)+ROUND((ROUND((_15_同援日１．０＿１．５*(1+_15・盲ろう)),0)*(1+_15・区３)),0)</f>
        <v>958</v>
      </c>
      <c r="AA187" s="48"/>
    </row>
    <row r="188" spans="1:27" ht="16.5" customHeight="1" x14ac:dyDescent="0.15">
      <c r="A188" s="41">
        <v>15</v>
      </c>
      <c r="B188" s="41">
        <v>9380</v>
      </c>
      <c r="C188" s="74" t="s">
        <v>19372</v>
      </c>
      <c r="D188" s="72"/>
      <c r="F188" s="57"/>
      <c r="G188" s="72"/>
      <c r="I188" s="57"/>
      <c r="J188" s="43"/>
      <c r="K188" s="37"/>
      <c r="L188" s="38"/>
      <c r="M188" s="299" t="s">
        <v>17556</v>
      </c>
      <c r="N188" s="45" t="s">
        <v>398</v>
      </c>
      <c r="O188" s="46">
        <v>1</v>
      </c>
      <c r="P188" s="512"/>
      <c r="Q188" s="57"/>
      <c r="R188" s="92" t="s">
        <v>17564</v>
      </c>
      <c r="U188" s="57"/>
      <c r="V188" s="35"/>
      <c r="Y188" s="57"/>
      <c r="Z188" s="208">
        <f>ROUND((ROUND((ROUND((ROUND((_15_同援日１．０*_15・２人),0)*(1+_15・A早朝)),0)*(1+_15・盲ろう)),0)*(1+_15・区３)),0)+ROUND((ROUND((ROUND((_15_同援日１．０＿１．５*_15・２人),0)*(1+_15・盲ろう)),0)*(1+_15・区３)),0)</f>
        <v>958</v>
      </c>
      <c r="AA188" s="48"/>
    </row>
    <row r="189" spans="1:27" ht="16.5" customHeight="1" x14ac:dyDescent="0.15">
      <c r="A189" s="41">
        <v>15</v>
      </c>
      <c r="B189" s="41">
        <v>9381</v>
      </c>
      <c r="C189" s="74" t="s">
        <v>19373</v>
      </c>
      <c r="D189" s="72"/>
      <c r="F189" s="57"/>
      <c r="G189" s="72"/>
      <c r="I189" s="57"/>
      <c r="J189" s="114" t="s">
        <v>17558</v>
      </c>
      <c r="K189" s="49"/>
      <c r="L189" s="50"/>
      <c r="M189" s="163"/>
      <c r="N189" s="45"/>
      <c r="O189" s="46"/>
      <c r="P189" s="512"/>
      <c r="Q189" s="57"/>
      <c r="R189" s="35"/>
      <c r="S189" s="12" t="s">
        <v>398</v>
      </c>
      <c r="T189" s="13">
        <v>0.25</v>
      </c>
      <c r="U189" s="57" t="s">
        <v>3575</v>
      </c>
      <c r="V189" s="35"/>
      <c r="Y189" s="57"/>
      <c r="Z189" s="208">
        <f>ROUND((ROUND((ROUND((ROUND((_15_同援日１．０*_15・基礎２),0)*(1+_15・A早朝)),0)*(1+_15・盲ろう)),0)*(1+_15・区３)),0)+ROUND((ROUND((ROUND((_15_同援日１．０＿１．５*_15・基礎２),0)*(1+_15・盲ろう)),0)*(1+_15・区３)),0)</f>
        <v>863</v>
      </c>
      <c r="AA189" s="48"/>
    </row>
    <row r="190" spans="1:27" ht="16.5" customHeight="1" x14ac:dyDescent="0.15">
      <c r="A190" s="41">
        <v>15</v>
      </c>
      <c r="B190" s="41">
        <v>9382</v>
      </c>
      <c r="C190" s="74" t="s">
        <v>19374</v>
      </c>
      <c r="D190" s="72"/>
      <c r="F190" s="57"/>
      <c r="G190" s="72"/>
      <c r="I190" s="57"/>
      <c r="J190" s="269" t="s">
        <v>17560</v>
      </c>
      <c r="K190" s="37" t="s">
        <v>398</v>
      </c>
      <c r="L190" s="38">
        <v>0.9</v>
      </c>
      <c r="M190" s="299" t="s">
        <v>17556</v>
      </c>
      <c r="N190" s="45" t="s">
        <v>398</v>
      </c>
      <c r="O190" s="46">
        <v>1</v>
      </c>
      <c r="P190" s="512"/>
      <c r="Q190" s="57"/>
      <c r="R190" s="43"/>
      <c r="S190" s="37"/>
      <c r="T190" s="38"/>
      <c r="U190" s="79"/>
      <c r="V190" s="43"/>
      <c r="W190" s="37"/>
      <c r="X190" s="38"/>
      <c r="Y190" s="79"/>
      <c r="Z190" s="208">
        <f>ROUND((ROUND((ROUND((ROUND((ROUND((_15_同援日１．０*_15・基礎２),0)*_15・２人),0)*(1+_15・A早朝)),0)*(1+_15・盲ろう)),0)*(1+_15・区３)),0)+ROUND((ROUND((ROUND((ROUND((_15_同援日１．０＿１．５*_15・基礎２),0)*_15・２人),0)*(1+_15・盲ろう)),0)*(1+_15・区３)),0)</f>
        <v>863</v>
      </c>
      <c r="AA190" s="48"/>
    </row>
    <row r="191" spans="1:27" ht="16.5" customHeight="1" x14ac:dyDescent="0.15">
      <c r="A191" s="41">
        <v>15</v>
      </c>
      <c r="B191" s="41">
        <v>9383</v>
      </c>
      <c r="C191" s="74" t="s">
        <v>19375</v>
      </c>
      <c r="D191" s="72"/>
      <c r="F191" s="57"/>
      <c r="G191" s="72"/>
      <c r="I191" s="57"/>
      <c r="J191" s="53"/>
      <c r="K191" s="49"/>
      <c r="L191" s="50"/>
      <c r="M191" s="163"/>
      <c r="N191" s="45"/>
      <c r="O191" s="46"/>
      <c r="P191" s="512"/>
      <c r="Q191" s="57"/>
      <c r="R191" s="53"/>
      <c r="S191" s="49"/>
      <c r="T191" s="50"/>
      <c r="U191" s="115"/>
      <c r="V191" s="53"/>
      <c r="W191" s="49"/>
      <c r="X191" s="50"/>
      <c r="Y191" s="115"/>
      <c r="Z191" s="208">
        <f>ROUND((ROUND((_15_同援日１．０*(1+_15・A早朝)),0)*(1+_15・区４)),0)+ROUND((_15_同援日１．０＿１．５*(1+_15・区４)),0)</f>
        <v>893</v>
      </c>
      <c r="AA191" s="48"/>
    </row>
    <row r="192" spans="1:27" ht="16.5" customHeight="1" x14ac:dyDescent="0.15">
      <c r="A192" s="41">
        <v>15</v>
      </c>
      <c r="B192" s="41">
        <v>9384</v>
      </c>
      <c r="C192" s="74" t="s">
        <v>19376</v>
      </c>
      <c r="D192" s="72"/>
      <c r="F192" s="57"/>
      <c r="G192" s="72"/>
      <c r="I192" s="57"/>
      <c r="J192" s="43"/>
      <c r="K192" s="37"/>
      <c r="L192" s="38"/>
      <c r="M192" s="299" t="s">
        <v>17556</v>
      </c>
      <c r="N192" s="45" t="s">
        <v>398</v>
      </c>
      <c r="O192" s="46">
        <v>1</v>
      </c>
      <c r="P192" s="512"/>
      <c r="Q192" s="57"/>
      <c r="R192" s="35"/>
      <c r="U192" s="57"/>
      <c r="V192" s="35"/>
      <c r="Y192" s="57"/>
      <c r="Z192" s="208">
        <f>ROUND((ROUND((ROUND((_15_同援日１．０*_15・２人),0)*(1+_15・A早朝)),0)*(1+_15・区４)),0)+ROUND((ROUND((_15_同援日１．０＿１．５*_15・２人),0)*(1+_15・区４)),0)</f>
        <v>893</v>
      </c>
      <c r="AA192" s="48"/>
    </row>
    <row r="193" spans="1:27" ht="16.5" customHeight="1" x14ac:dyDescent="0.15">
      <c r="A193" s="41">
        <v>15</v>
      </c>
      <c r="B193" s="41">
        <v>9385</v>
      </c>
      <c r="C193" s="74" t="s">
        <v>19377</v>
      </c>
      <c r="D193" s="72"/>
      <c r="F193" s="57"/>
      <c r="G193" s="72"/>
      <c r="I193" s="57"/>
      <c r="J193" s="114" t="s">
        <v>17558</v>
      </c>
      <c r="K193" s="49"/>
      <c r="L193" s="50"/>
      <c r="M193" s="163"/>
      <c r="N193" s="45"/>
      <c r="O193" s="46"/>
      <c r="P193" s="512"/>
      <c r="Q193" s="57"/>
      <c r="R193" s="35"/>
      <c r="U193" s="57"/>
      <c r="V193" s="72" t="s">
        <v>17580</v>
      </c>
      <c r="Y193" s="57"/>
      <c r="Z193" s="208">
        <f>ROUND((ROUND((ROUND((_15_同援日１．０*_15・基礎２),0)*(1+_15・A早朝)),0)*(1+_15・区４)),0)+ROUND((ROUND((_15_同援日１．０＿１．５*_15・基礎２),0)*(1+_15・区４)),0)</f>
        <v>805</v>
      </c>
      <c r="AA193" s="48"/>
    </row>
    <row r="194" spans="1:27" ht="16.5" customHeight="1" x14ac:dyDescent="0.15">
      <c r="A194" s="41">
        <v>15</v>
      </c>
      <c r="B194" s="41">
        <v>9386</v>
      </c>
      <c r="C194" s="74" t="s">
        <v>19378</v>
      </c>
      <c r="D194" s="72"/>
      <c r="F194" s="57"/>
      <c r="G194" s="72"/>
      <c r="I194" s="57"/>
      <c r="J194" s="269" t="s">
        <v>17560</v>
      </c>
      <c r="K194" s="37" t="s">
        <v>398</v>
      </c>
      <c r="L194" s="38">
        <v>0.9</v>
      </c>
      <c r="M194" s="299" t="s">
        <v>17556</v>
      </c>
      <c r="N194" s="45" t="s">
        <v>398</v>
      </c>
      <c r="O194" s="46">
        <v>1</v>
      </c>
      <c r="P194" s="512"/>
      <c r="Q194" s="57"/>
      <c r="R194" s="43"/>
      <c r="S194" s="37"/>
      <c r="T194" s="38"/>
      <c r="U194" s="79"/>
      <c r="V194" s="72" t="s">
        <v>17572</v>
      </c>
      <c r="Y194" s="57"/>
      <c r="Z194" s="208">
        <f>ROUND((ROUND((ROUND((ROUND((_15_同援日１．０*_15・基礎２),0)*_15・２人),0)*(1+_15・A早朝)),0)*(1+_15・区４)),0)+ROUND((ROUND((ROUND((_15_同援日１．０＿１．５*_15・基礎２),0)*_15・２人),0)*(1+_15・区４)),0)</f>
        <v>805</v>
      </c>
      <c r="AA194" s="48"/>
    </row>
    <row r="195" spans="1:27" ht="16.5" customHeight="1" x14ac:dyDescent="0.15">
      <c r="A195" s="41">
        <v>15</v>
      </c>
      <c r="B195" s="41">
        <v>9387</v>
      </c>
      <c r="C195" s="74" t="s">
        <v>19379</v>
      </c>
      <c r="D195" s="72"/>
      <c r="F195" s="57"/>
      <c r="G195" s="72"/>
      <c r="I195" s="57"/>
      <c r="J195" s="53"/>
      <c r="K195" s="49"/>
      <c r="L195" s="50"/>
      <c r="M195" s="163"/>
      <c r="N195" s="45"/>
      <c r="O195" s="46"/>
      <c r="P195" s="512"/>
      <c r="Q195" s="57"/>
      <c r="R195" s="114" t="s">
        <v>17562</v>
      </c>
      <c r="S195" s="49"/>
      <c r="T195" s="50"/>
      <c r="U195" s="115"/>
      <c r="V195" s="35"/>
      <c r="W195" s="12" t="s">
        <v>398</v>
      </c>
      <c r="X195" s="13">
        <v>0.4</v>
      </c>
      <c r="Y195" s="57" t="s">
        <v>3575</v>
      </c>
      <c r="Z195" s="208">
        <f>ROUND((ROUND((ROUND((_15_同援日１．０*(1+_15・A早朝)),0)*(1+_15・盲ろう)),0)*(1+_15・区４)),0)+ROUND((ROUND((_15_同援日１．０＿１．５*(1+_15・盲ろう)),0)*(1+_15・区４)),0)</f>
        <v>1118</v>
      </c>
      <c r="AA195" s="48"/>
    </row>
    <row r="196" spans="1:27" ht="16.5" customHeight="1" x14ac:dyDescent="0.15">
      <c r="A196" s="41">
        <v>15</v>
      </c>
      <c r="B196" s="41">
        <v>9388</v>
      </c>
      <c r="C196" s="74" t="s">
        <v>19380</v>
      </c>
      <c r="D196" s="72"/>
      <c r="F196" s="57"/>
      <c r="G196" s="72"/>
      <c r="I196" s="57"/>
      <c r="J196" s="43"/>
      <c r="K196" s="37"/>
      <c r="L196" s="38"/>
      <c r="M196" s="299" t="s">
        <v>17556</v>
      </c>
      <c r="N196" s="45" t="s">
        <v>398</v>
      </c>
      <c r="O196" s="46">
        <v>1</v>
      </c>
      <c r="P196" s="512"/>
      <c r="Q196" s="57"/>
      <c r="R196" s="92" t="s">
        <v>17564</v>
      </c>
      <c r="U196" s="57"/>
      <c r="V196" s="35"/>
      <c r="Y196" s="57"/>
      <c r="Z196" s="208">
        <f>ROUND((ROUND((ROUND((ROUND((_15_同援日１．０*_15・２人),0)*(1+_15・A早朝)),0)*(1+_15・盲ろう)),0)*(1+_15・区４)),0)+ROUND((ROUND((ROUND((_15_同援日１．０＿１．５*_15・２人),0)*(1+_15・盲ろう)),0)*(1+_15・区４)),0)</f>
        <v>1118</v>
      </c>
      <c r="AA196" s="48"/>
    </row>
    <row r="197" spans="1:27" ht="16.5" customHeight="1" x14ac:dyDescent="0.15">
      <c r="A197" s="41">
        <v>15</v>
      </c>
      <c r="B197" s="41">
        <v>9389</v>
      </c>
      <c r="C197" s="74" t="s">
        <v>19381</v>
      </c>
      <c r="D197" s="72"/>
      <c r="F197" s="57"/>
      <c r="G197" s="72"/>
      <c r="I197" s="57"/>
      <c r="J197" s="114" t="s">
        <v>17558</v>
      </c>
      <c r="K197" s="49"/>
      <c r="L197" s="50"/>
      <c r="M197" s="163"/>
      <c r="N197" s="45"/>
      <c r="O197" s="46"/>
      <c r="P197" s="512"/>
      <c r="Q197" s="57"/>
      <c r="R197" s="35"/>
      <c r="S197" s="12" t="s">
        <v>398</v>
      </c>
      <c r="T197" s="13">
        <v>0.25</v>
      </c>
      <c r="U197" s="57" t="s">
        <v>3575</v>
      </c>
      <c r="V197" s="35"/>
      <c r="Y197" s="57"/>
      <c r="Z197" s="208">
        <f>ROUND((ROUND((ROUND((ROUND((_15_同援日１．０*_15・基礎２),0)*(1+_15・A早朝)),0)*(1+_15・盲ろう)),0)*(1+_15・区４)),0)+ROUND((ROUND((ROUND((_15_同援日１．０＿１．５*_15・基礎２),0)*(1+_15・盲ろう)),0)*(1+_15・区４)),0)</f>
        <v>1006</v>
      </c>
      <c r="AA197" s="48"/>
    </row>
    <row r="198" spans="1:27" ht="16.5" customHeight="1" x14ac:dyDescent="0.15">
      <c r="A198" s="41">
        <v>15</v>
      </c>
      <c r="B198" s="41">
        <v>9390</v>
      </c>
      <c r="C198" s="74" t="s">
        <v>19382</v>
      </c>
      <c r="D198" s="122"/>
      <c r="E198" s="37"/>
      <c r="F198" s="79"/>
      <c r="G198" s="122"/>
      <c r="H198" s="37"/>
      <c r="I198" s="79"/>
      <c r="J198" s="269" t="s">
        <v>17560</v>
      </c>
      <c r="K198" s="37" t="s">
        <v>398</v>
      </c>
      <c r="L198" s="38">
        <v>0.9</v>
      </c>
      <c r="M198" s="299" t="s">
        <v>17556</v>
      </c>
      <c r="N198" s="45" t="s">
        <v>398</v>
      </c>
      <c r="O198" s="46">
        <v>1</v>
      </c>
      <c r="P198" s="514"/>
      <c r="Q198" s="79"/>
      <c r="R198" s="43"/>
      <c r="S198" s="37"/>
      <c r="T198" s="38"/>
      <c r="U198" s="79"/>
      <c r="V198" s="43"/>
      <c r="W198" s="37"/>
      <c r="X198" s="38"/>
      <c r="Y198" s="79"/>
      <c r="Z198" s="208">
        <f>ROUND((ROUND((ROUND((ROUND((ROUND((_15_同援日１．０*_15・基礎２),0)*_15・２人),0)*(1+_15・A早朝)),0)*(1+_15・盲ろう)),0)*(1+_15・区４)),0)+ROUND((ROUND((ROUND((ROUND((_15_同援日１．０＿１．５*_15・基礎２),0)*_15・２人),0)*(1+_15・盲ろう)),0)*(1+_15・区４)),0)</f>
        <v>1006</v>
      </c>
      <c r="AA198" s="63"/>
    </row>
    <row r="199" spans="1:27" ht="16.5" customHeight="1" x14ac:dyDescent="0.15">
      <c r="A199" s="41">
        <v>15</v>
      </c>
      <c r="B199" s="41">
        <v>9391</v>
      </c>
      <c r="C199" s="74" t="s">
        <v>19383</v>
      </c>
      <c r="D199" s="114"/>
      <c r="E199" s="49"/>
      <c r="F199" s="115"/>
      <c r="G199" s="114" t="s">
        <v>19262</v>
      </c>
      <c r="H199" s="49"/>
      <c r="I199" s="115"/>
      <c r="J199" s="53"/>
      <c r="K199" s="49"/>
      <c r="L199" s="50"/>
      <c r="M199" s="163"/>
      <c r="N199" s="45"/>
      <c r="O199" s="46"/>
      <c r="P199" s="515"/>
      <c r="Q199" s="115"/>
      <c r="R199" s="53"/>
      <c r="S199" s="49"/>
      <c r="T199" s="50"/>
      <c r="U199" s="115"/>
      <c r="V199" s="53"/>
      <c r="W199" s="49"/>
      <c r="X199" s="50"/>
      <c r="Y199" s="115"/>
      <c r="Z199" s="208">
        <f>ROUND((_15_同援日１．０*(1+_15・A早朝)),0)+_15_同援日１．０＿２．０</f>
        <v>703</v>
      </c>
      <c r="AA199" s="64"/>
    </row>
    <row r="200" spans="1:27" ht="16.5" customHeight="1" x14ac:dyDescent="0.15">
      <c r="A200" s="41">
        <v>15</v>
      </c>
      <c r="B200" s="41">
        <v>9392</v>
      </c>
      <c r="C200" s="74" t="s">
        <v>19384</v>
      </c>
      <c r="D200" s="72"/>
      <c r="F200" s="57"/>
      <c r="G200" s="72" t="s">
        <v>17643</v>
      </c>
      <c r="I200" s="57"/>
      <c r="J200" s="43"/>
      <c r="K200" s="37"/>
      <c r="L200" s="38"/>
      <c r="M200" s="299" t="s">
        <v>17556</v>
      </c>
      <c r="N200" s="45" t="s">
        <v>398</v>
      </c>
      <c r="O200" s="46">
        <v>1</v>
      </c>
      <c r="P200" s="512"/>
      <c r="Q200" s="57"/>
      <c r="R200" s="35"/>
      <c r="U200" s="57"/>
      <c r="V200" s="35"/>
      <c r="Y200" s="57"/>
      <c r="Z200" s="208">
        <f>ROUND((ROUND((_15_同援日１．０*_15・２人),0)*(1+_15・A早朝)),0)+ROUND((_15_同援日１．０＿２．０*_15・２人),0)</f>
        <v>703</v>
      </c>
      <c r="AA200" s="48"/>
    </row>
    <row r="201" spans="1:27" ht="16.5" customHeight="1" x14ac:dyDescent="0.15">
      <c r="A201" s="41">
        <v>15</v>
      </c>
      <c r="B201" s="41">
        <v>9393</v>
      </c>
      <c r="C201" s="74" t="s">
        <v>19385</v>
      </c>
      <c r="D201" s="72"/>
      <c r="F201" s="57"/>
      <c r="G201" s="72" t="s">
        <v>17645</v>
      </c>
      <c r="I201" s="57"/>
      <c r="J201" s="114" t="s">
        <v>17558</v>
      </c>
      <c r="K201" s="49"/>
      <c r="L201" s="50"/>
      <c r="M201" s="163"/>
      <c r="N201" s="45"/>
      <c r="O201" s="46"/>
      <c r="P201" s="512"/>
      <c r="Q201" s="57"/>
      <c r="R201" s="35"/>
      <c r="U201" s="57"/>
      <c r="V201" s="35"/>
      <c r="Y201" s="57"/>
      <c r="Z201" s="208">
        <f>ROUND((ROUND((_15_同援日１．０*_15・基礎２),0)*(1+_15・A早朝)),0)+ROUND((_15_同援日１．０＿２．０*_15・基礎２),0)</f>
        <v>633</v>
      </c>
      <c r="AA201" s="48"/>
    </row>
    <row r="202" spans="1:27" ht="16.5" customHeight="1" x14ac:dyDescent="0.15">
      <c r="A202" s="41">
        <v>15</v>
      </c>
      <c r="B202" s="41">
        <v>9394</v>
      </c>
      <c r="C202" s="74" t="s">
        <v>19386</v>
      </c>
      <c r="D202" s="72"/>
      <c r="F202" s="57"/>
      <c r="G202" s="72"/>
      <c r="H202" s="168">
        <f>_15_同援日１．０＿２．０</f>
        <v>328</v>
      </c>
      <c r="I202" s="57" t="s">
        <v>392</v>
      </c>
      <c r="J202" s="269" t="s">
        <v>17560</v>
      </c>
      <c r="K202" s="37" t="s">
        <v>398</v>
      </c>
      <c r="L202" s="38">
        <v>0.9</v>
      </c>
      <c r="M202" s="299" t="s">
        <v>17556</v>
      </c>
      <c r="N202" s="45" t="s">
        <v>398</v>
      </c>
      <c r="O202" s="46">
        <v>1</v>
      </c>
      <c r="P202" s="512"/>
      <c r="Q202" s="57"/>
      <c r="R202" s="43"/>
      <c r="S202" s="37"/>
      <c r="T202" s="38"/>
      <c r="U202" s="79"/>
      <c r="V202" s="35"/>
      <c r="Y202" s="57"/>
      <c r="Z202" s="208">
        <f>ROUND((ROUND((ROUND((_15_同援日１．０*_15・基礎２),0)*_15・２人),0)*(1+_15・A早朝)),0)+ROUND((ROUND((_15_同援日１．０＿２．０*_15・基礎２),0)*_15・２人),0)</f>
        <v>633</v>
      </c>
      <c r="AA202" s="48"/>
    </row>
    <row r="203" spans="1:27" ht="16.5" customHeight="1" x14ac:dyDescent="0.15">
      <c r="A203" s="41">
        <v>15</v>
      </c>
      <c r="B203" s="41">
        <v>9395</v>
      </c>
      <c r="C203" s="74" t="s">
        <v>19387</v>
      </c>
      <c r="D203" s="72"/>
      <c r="F203" s="57"/>
      <c r="G203" s="72"/>
      <c r="I203" s="57"/>
      <c r="J203" s="53"/>
      <c r="K203" s="49"/>
      <c r="L203" s="50"/>
      <c r="M203" s="163"/>
      <c r="N203" s="45"/>
      <c r="O203" s="46"/>
      <c r="P203" s="512"/>
      <c r="Q203" s="57"/>
      <c r="R203" s="114" t="s">
        <v>17562</v>
      </c>
      <c r="S203" s="49"/>
      <c r="T203" s="50"/>
      <c r="U203" s="115"/>
      <c r="V203" s="35"/>
      <c r="Y203" s="57"/>
      <c r="Z203" s="208">
        <f>ROUND((ROUND((_15_同援日１．０*(1+_15・A早朝)),0)*(1+_15・盲ろう)),0)+ROUND((_15_同援日１．０＿２．０*(1+_15・盲ろう)),0)</f>
        <v>879</v>
      </c>
      <c r="AA203" s="48"/>
    </row>
    <row r="204" spans="1:27" ht="16.5" customHeight="1" x14ac:dyDescent="0.15">
      <c r="A204" s="41">
        <v>15</v>
      </c>
      <c r="B204" s="41">
        <v>9396</v>
      </c>
      <c r="C204" s="74" t="s">
        <v>19388</v>
      </c>
      <c r="D204" s="72"/>
      <c r="F204" s="57"/>
      <c r="G204" s="72"/>
      <c r="I204" s="57"/>
      <c r="J204" s="43"/>
      <c r="K204" s="37"/>
      <c r="L204" s="38"/>
      <c r="M204" s="299" t="s">
        <v>17556</v>
      </c>
      <c r="N204" s="45" t="s">
        <v>398</v>
      </c>
      <c r="O204" s="46">
        <v>1</v>
      </c>
      <c r="P204" s="512"/>
      <c r="Q204" s="57"/>
      <c r="R204" s="92" t="s">
        <v>17564</v>
      </c>
      <c r="U204" s="57"/>
      <c r="V204" s="35"/>
      <c r="Y204" s="57"/>
      <c r="Z204" s="208">
        <f>ROUND((ROUND((ROUND((_15_同援日１．０*_15・２人),0)*(1+_15・A早朝)),0)*(1+_15・盲ろう)),0)+ROUND((ROUND((_15_同援日１．０＿２．０*_15・２人),0)*(1+_15・盲ろう)),0)</f>
        <v>879</v>
      </c>
      <c r="AA204" s="48"/>
    </row>
    <row r="205" spans="1:27" ht="16.5" customHeight="1" x14ac:dyDescent="0.15">
      <c r="A205" s="41">
        <v>15</v>
      </c>
      <c r="B205" s="41">
        <v>9397</v>
      </c>
      <c r="C205" s="74" t="s">
        <v>19389</v>
      </c>
      <c r="D205" s="72"/>
      <c r="F205" s="57"/>
      <c r="G205" s="72"/>
      <c r="I205" s="57"/>
      <c r="J205" s="114" t="s">
        <v>17558</v>
      </c>
      <c r="K205" s="49"/>
      <c r="L205" s="50"/>
      <c r="M205" s="163"/>
      <c r="N205" s="45"/>
      <c r="O205" s="46"/>
      <c r="P205" s="512"/>
      <c r="Q205" s="57"/>
      <c r="R205" s="35"/>
      <c r="S205" s="12" t="s">
        <v>398</v>
      </c>
      <c r="T205" s="13">
        <v>0.25</v>
      </c>
      <c r="U205" s="57" t="s">
        <v>3575</v>
      </c>
      <c r="V205" s="35"/>
      <c r="Y205" s="57"/>
      <c r="Z205" s="208">
        <f>ROUND((ROUND((ROUND((_15_同援日１．０*_15・基礎２),0)*(1+_15・A早朝)),0)*(1+_15・盲ろう)),0)+ROUND((ROUND((_15_同援日１．０＿２．０*_15・基礎２),0)*(1+_15・盲ろう)),0)</f>
        <v>792</v>
      </c>
      <c r="AA205" s="48"/>
    </row>
    <row r="206" spans="1:27" ht="16.5" customHeight="1" x14ac:dyDescent="0.15">
      <c r="A206" s="41">
        <v>15</v>
      </c>
      <c r="B206" s="41">
        <v>9398</v>
      </c>
      <c r="C206" s="74" t="s">
        <v>19390</v>
      </c>
      <c r="D206" s="72"/>
      <c r="F206" s="57"/>
      <c r="G206" s="72"/>
      <c r="I206" s="57"/>
      <c r="J206" s="269" t="s">
        <v>17560</v>
      </c>
      <c r="K206" s="37" t="s">
        <v>398</v>
      </c>
      <c r="L206" s="38">
        <v>0.9</v>
      </c>
      <c r="M206" s="299" t="s">
        <v>17556</v>
      </c>
      <c r="N206" s="45" t="s">
        <v>398</v>
      </c>
      <c r="O206" s="46">
        <v>1</v>
      </c>
      <c r="P206" s="512"/>
      <c r="Q206" s="57"/>
      <c r="R206" s="43"/>
      <c r="S206" s="37"/>
      <c r="T206" s="38"/>
      <c r="U206" s="79"/>
      <c r="V206" s="43"/>
      <c r="W206" s="37"/>
      <c r="X206" s="38"/>
      <c r="Y206" s="79"/>
      <c r="Z206" s="208">
        <f>ROUND((ROUND((ROUND((ROUND((_15_同援日１．０*_15・基礎２),0)*_15・２人),0)*(1+_15・A早朝)),0)*(1+_15・盲ろう)),0)+ROUND((ROUND((ROUND((_15_同援日１．０＿２．０*_15・基礎２),0)*_15・２人),0)*(1+_15・盲ろう)),0)</f>
        <v>792</v>
      </c>
      <c r="AA206" s="48"/>
    </row>
    <row r="207" spans="1:27" ht="16.5" customHeight="1" x14ac:dyDescent="0.15">
      <c r="A207" s="41">
        <v>15</v>
      </c>
      <c r="B207" s="41">
        <v>9399</v>
      </c>
      <c r="C207" s="74" t="s">
        <v>19391</v>
      </c>
      <c r="D207" s="72"/>
      <c r="F207" s="57"/>
      <c r="G207" s="72"/>
      <c r="I207" s="57"/>
      <c r="J207" s="53"/>
      <c r="K207" s="49"/>
      <c r="L207" s="50"/>
      <c r="M207" s="163"/>
      <c r="N207" s="45"/>
      <c r="O207" s="46"/>
      <c r="P207" s="512"/>
      <c r="Q207" s="57"/>
      <c r="R207" s="53"/>
      <c r="S207" s="49"/>
      <c r="T207" s="50"/>
      <c r="U207" s="115"/>
      <c r="V207" s="53"/>
      <c r="W207" s="49"/>
      <c r="X207" s="50"/>
      <c r="Y207" s="115"/>
      <c r="Z207" s="208">
        <f>ROUND((ROUND((_15_同援日１．０*(1+_15・A早朝)),0)*(1+_15・区３)),0)+ROUND((_15_同援日１．０＿２．０*(1+_15・区３)),0)</f>
        <v>844</v>
      </c>
      <c r="AA207" s="48"/>
    </row>
    <row r="208" spans="1:27" ht="16.5" customHeight="1" x14ac:dyDescent="0.15">
      <c r="A208" s="41">
        <v>15</v>
      </c>
      <c r="B208" s="41">
        <v>9400</v>
      </c>
      <c r="C208" s="74" t="s">
        <v>19392</v>
      </c>
      <c r="D208" s="72"/>
      <c r="F208" s="57"/>
      <c r="G208" s="72"/>
      <c r="I208" s="57"/>
      <c r="J208" s="43"/>
      <c r="K208" s="37"/>
      <c r="L208" s="38"/>
      <c r="M208" s="299" t="s">
        <v>17556</v>
      </c>
      <c r="N208" s="45" t="s">
        <v>398</v>
      </c>
      <c r="O208" s="46">
        <v>1</v>
      </c>
      <c r="P208" s="512"/>
      <c r="Q208" s="57"/>
      <c r="R208" s="35"/>
      <c r="U208" s="57"/>
      <c r="V208" s="35"/>
      <c r="Y208" s="57"/>
      <c r="Z208" s="208">
        <f>ROUND((ROUND((ROUND((_15_同援日１．０*_15・２人),0)*(1+_15・A早朝)),0)*(1+_15・区３)),0)+ROUND((ROUND((_15_同援日１．０＿２．０*_15・２人),0)*(1+_15・区３)),0)</f>
        <v>844</v>
      </c>
      <c r="AA208" s="48"/>
    </row>
    <row r="209" spans="1:27" ht="16.5" customHeight="1" x14ac:dyDescent="0.15">
      <c r="A209" s="41">
        <v>15</v>
      </c>
      <c r="B209" s="41">
        <v>9401</v>
      </c>
      <c r="C209" s="74" t="s">
        <v>19393</v>
      </c>
      <c r="D209" s="72"/>
      <c r="F209" s="57"/>
      <c r="G209" s="72"/>
      <c r="I209" s="57"/>
      <c r="J209" s="114" t="s">
        <v>17558</v>
      </c>
      <c r="K209" s="49"/>
      <c r="L209" s="50"/>
      <c r="M209" s="163"/>
      <c r="N209" s="45"/>
      <c r="O209" s="46"/>
      <c r="P209" s="512"/>
      <c r="Q209" s="57"/>
      <c r="R209" s="35"/>
      <c r="U209" s="57"/>
      <c r="V209" s="72" t="s">
        <v>17570</v>
      </c>
      <c r="Y209" s="57"/>
      <c r="Z209" s="208">
        <f>ROUND((ROUND((ROUND((_15_同援日１．０*_15・基礎２),0)*(1+_15・A早朝)),0)*(1+_15・区３)),0)+ROUND((ROUND((_15_同援日１．０＿２．０*_15・基礎２),0)*(1+_15・区３)),0)</f>
        <v>760</v>
      </c>
      <c r="AA209" s="48"/>
    </row>
    <row r="210" spans="1:27" ht="16.5" customHeight="1" x14ac:dyDescent="0.15">
      <c r="A210" s="41">
        <v>15</v>
      </c>
      <c r="B210" s="41">
        <v>9402</v>
      </c>
      <c r="C210" s="74" t="s">
        <v>19394</v>
      </c>
      <c r="D210" s="72"/>
      <c r="F210" s="57"/>
      <c r="G210" s="72"/>
      <c r="I210" s="57"/>
      <c r="J210" s="269" t="s">
        <v>17560</v>
      </c>
      <c r="K210" s="37" t="s">
        <v>398</v>
      </c>
      <c r="L210" s="38">
        <v>0.9</v>
      </c>
      <c r="M210" s="299" t="s">
        <v>17556</v>
      </c>
      <c r="N210" s="45" t="s">
        <v>398</v>
      </c>
      <c r="O210" s="46">
        <v>1</v>
      </c>
      <c r="P210" s="512"/>
      <c r="Q210" s="57"/>
      <c r="R210" s="43"/>
      <c r="S210" s="37"/>
      <c r="T210" s="38"/>
      <c r="U210" s="79"/>
      <c r="V210" s="72" t="s">
        <v>17572</v>
      </c>
      <c r="Y210" s="57"/>
      <c r="Z210" s="208">
        <f>ROUND((ROUND((ROUND((ROUND((_15_同援日１．０*_15・基礎２),0)*_15・２人),0)*(1+_15・A早朝)),0)*(1+_15・区３)),0)+ROUND((ROUND((ROUND((_15_同援日１．０＿２．０*_15・基礎２),0)*_15・２人),0)*(1+_15・区３)),0)</f>
        <v>760</v>
      </c>
      <c r="AA210" s="48"/>
    </row>
    <row r="211" spans="1:27" ht="16.5" customHeight="1" x14ac:dyDescent="0.15">
      <c r="A211" s="41">
        <v>15</v>
      </c>
      <c r="B211" s="41">
        <v>9403</v>
      </c>
      <c r="C211" s="74" t="s">
        <v>19395</v>
      </c>
      <c r="D211" s="72"/>
      <c r="F211" s="57"/>
      <c r="G211" s="72"/>
      <c r="I211" s="57"/>
      <c r="J211" s="53"/>
      <c r="K211" s="49"/>
      <c r="L211" s="50"/>
      <c r="M211" s="163"/>
      <c r="N211" s="45"/>
      <c r="O211" s="46"/>
      <c r="P211" s="512"/>
      <c r="Q211" s="57"/>
      <c r="R211" s="114" t="s">
        <v>17562</v>
      </c>
      <c r="S211" s="49"/>
      <c r="T211" s="50"/>
      <c r="U211" s="115"/>
      <c r="V211" s="35"/>
      <c r="W211" s="12" t="s">
        <v>398</v>
      </c>
      <c r="X211" s="13">
        <v>0.2</v>
      </c>
      <c r="Y211" s="57" t="s">
        <v>3575</v>
      </c>
      <c r="Z211" s="208">
        <f>ROUND((ROUND((ROUND((_15_同援日１．０*(1+_15・A早朝)),0)*(1+_15・盲ろう)),0)*(1+_15・区３)),0)+ROUND((ROUND((_15_同援日１．０＿２．０*(1+_15・盲ろう)),0)*(1+_15・区３)),0)</f>
        <v>1055</v>
      </c>
      <c r="AA211" s="48"/>
    </row>
    <row r="212" spans="1:27" ht="16.5" customHeight="1" x14ac:dyDescent="0.15">
      <c r="A212" s="41">
        <v>15</v>
      </c>
      <c r="B212" s="41">
        <v>9404</v>
      </c>
      <c r="C212" s="74" t="s">
        <v>19396</v>
      </c>
      <c r="D212" s="72"/>
      <c r="F212" s="57"/>
      <c r="G212" s="72"/>
      <c r="I212" s="57"/>
      <c r="J212" s="43"/>
      <c r="K212" s="37"/>
      <c r="L212" s="38"/>
      <c r="M212" s="299" t="s">
        <v>17556</v>
      </c>
      <c r="N212" s="45" t="s">
        <v>398</v>
      </c>
      <c r="O212" s="46">
        <v>1</v>
      </c>
      <c r="P212" s="512"/>
      <c r="Q212" s="57"/>
      <c r="R212" s="92" t="s">
        <v>17564</v>
      </c>
      <c r="U212" s="57"/>
      <c r="V212" s="35"/>
      <c r="Y212" s="57"/>
      <c r="Z212" s="208">
        <f>ROUND((ROUND((ROUND((ROUND((_15_同援日１．０*_15・２人),0)*(1+_15・A早朝)),0)*(1+_15・盲ろう)),0)*(1+_15・区３)),0)+ROUND((ROUND((ROUND((_15_同援日１．０＿２．０*_15・２人),0)*(1+_15・盲ろう)),0)*(1+_15・区３)),0)</f>
        <v>1055</v>
      </c>
      <c r="AA212" s="48"/>
    </row>
    <row r="213" spans="1:27" ht="16.5" customHeight="1" x14ac:dyDescent="0.15">
      <c r="A213" s="41">
        <v>15</v>
      </c>
      <c r="B213" s="41">
        <v>9405</v>
      </c>
      <c r="C213" s="74" t="s">
        <v>19397</v>
      </c>
      <c r="D213" s="72"/>
      <c r="F213" s="57"/>
      <c r="G213" s="72"/>
      <c r="I213" s="57"/>
      <c r="J213" s="114" t="s">
        <v>17558</v>
      </c>
      <c r="K213" s="49"/>
      <c r="L213" s="50"/>
      <c r="M213" s="163"/>
      <c r="N213" s="45"/>
      <c r="O213" s="46"/>
      <c r="P213" s="512"/>
      <c r="Q213" s="57"/>
      <c r="R213" s="35"/>
      <c r="S213" s="12" t="s">
        <v>398</v>
      </c>
      <c r="T213" s="13">
        <v>0.25</v>
      </c>
      <c r="U213" s="57" t="s">
        <v>3575</v>
      </c>
      <c r="V213" s="35"/>
      <c r="Y213" s="57"/>
      <c r="Z213" s="208">
        <f>ROUND((ROUND((ROUND((ROUND((_15_同援日１．０*_15・基礎２),0)*(1+_15・A早朝)),0)*(1+_15・盲ろう)),0)*(1+_15・区３)),0)+ROUND((ROUND((ROUND((_15_同援日１．０＿２．０*_15・基礎２),0)*(1+_15・盲ろう)),0)*(1+_15・区３)),0)</f>
        <v>951</v>
      </c>
      <c r="AA213" s="48"/>
    </row>
    <row r="214" spans="1:27" ht="16.5" customHeight="1" x14ac:dyDescent="0.15">
      <c r="A214" s="41">
        <v>15</v>
      </c>
      <c r="B214" s="41">
        <v>9406</v>
      </c>
      <c r="C214" s="74" t="s">
        <v>19398</v>
      </c>
      <c r="D214" s="72"/>
      <c r="F214" s="57"/>
      <c r="G214" s="72"/>
      <c r="I214" s="57"/>
      <c r="J214" s="269" t="s">
        <v>17560</v>
      </c>
      <c r="K214" s="37" t="s">
        <v>398</v>
      </c>
      <c r="L214" s="38">
        <v>0.9</v>
      </c>
      <c r="M214" s="299" t="s">
        <v>17556</v>
      </c>
      <c r="N214" s="45" t="s">
        <v>398</v>
      </c>
      <c r="O214" s="46">
        <v>1</v>
      </c>
      <c r="P214" s="512"/>
      <c r="Q214" s="57"/>
      <c r="R214" s="43"/>
      <c r="S214" s="37"/>
      <c r="T214" s="38"/>
      <c r="U214" s="79"/>
      <c r="V214" s="43"/>
      <c r="W214" s="37"/>
      <c r="X214" s="38"/>
      <c r="Y214" s="79"/>
      <c r="Z214" s="208">
        <f>ROUND((ROUND((ROUND((ROUND((ROUND((_15_同援日１．０*_15・基礎２),0)*_15・２人),0)*(1+_15・A早朝)),0)*(1+_15・盲ろう)),0)*(1+_15・区３)),0)+ROUND((ROUND((ROUND((ROUND((_15_同援日１．０＿２．０*_15・基礎２),0)*_15・２人),0)*(1+_15・盲ろう)),0)*(1+_15・区３)),0)</f>
        <v>951</v>
      </c>
      <c r="AA214" s="48"/>
    </row>
    <row r="215" spans="1:27" ht="16.5" customHeight="1" x14ac:dyDescent="0.15">
      <c r="A215" s="41">
        <v>15</v>
      </c>
      <c r="B215" s="41">
        <v>9407</v>
      </c>
      <c r="C215" s="74" t="s">
        <v>19399</v>
      </c>
      <c r="D215" s="72"/>
      <c r="F215" s="57"/>
      <c r="G215" s="72"/>
      <c r="I215" s="57"/>
      <c r="J215" s="53"/>
      <c r="K215" s="49"/>
      <c r="L215" s="50"/>
      <c r="M215" s="163"/>
      <c r="N215" s="45"/>
      <c r="O215" s="46"/>
      <c r="P215" s="512"/>
      <c r="Q215" s="57"/>
      <c r="R215" s="53"/>
      <c r="S215" s="49"/>
      <c r="T215" s="50"/>
      <c r="U215" s="115"/>
      <c r="V215" s="53"/>
      <c r="W215" s="49"/>
      <c r="X215" s="50"/>
      <c r="Y215" s="115"/>
      <c r="Z215" s="208">
        <f>ROUND((ROUND((_15_同援日１．０*(1+_15・A早朝)),0)*(1+_15・区４)),0)+ROUND((_15_同援日１．０＿２．０*(1+_15・区４)),0)</f>
        <v>984</v>
      </c>
      <c r="AA215" s="48"/>
    </row>
    <row r="216" spans="1:27" ht="16.5" customHeight="1" x14ac:dyDescent="0.15">
      <c r="A216" s="41">
        <v>15</v>
      </c>
      <c r="B216" s="41">
        <v>9408</v>
      </c>
      <c r="C216" s="74" t="s">
        <v>19400</v>
      </c>
      <c r="D216" s="72"/>
      <c r="F216" s="57"/>
      <c r="G216" s="72"/>
      <c r="I216" s="57"/>
      <c r="J216" s="43"/>
      <c r="K216" s="37"/>
      <c r="L216" s="38"/>
      <c r="M216" s="299" t="s">
        <v>17556</v>
      </c>
      <c r="N216" s="45" t="s">
        <v>398</v>
      </c>
      <c r="O216" s="46">
        <v>1</v>
      </c>
      <c r="P216" s="512"/>
      <c r="Q216" s="57"/>
      <c r="R216" s="35"/>
      <c r="U216" s="57"/>
      <c r="V216" s="35"/>
      <c r="Y216" s="57"/>
      <c r="Z216" s="208">
        <f>ROUND((ROUND((ROUND((_15_同援日１．０*_15・２人),0)*(1+_15・A早朝)),0)*(1+_15・区４)),0)+ROUND((ROUND((_15_同援日１．０＿２．０*_15・２人),0)*(1+_15・区４)),0)</f>
        <v>984</v>
      </c>
      <c r="AA216" s="48"/>
    </row>
    <row r="217" spans="1:27" ht="16.5" customHeight="1" x14ac:dyDescent="0.15">
      <c r="A217" s="41">
        <v>15</v>
      </c>
      <c r="B217" s="41">
        <v>9409</v>
      </c>
      <c r="C217" s="74" t="s">
        <v>19401</v>
      </c>
      <c r="D217" s="72"/>
      <c r="F217" s="57"/>
      <c r="G217" s="72"/>
      <c r="I217" s="57"/>
      <c r="J217" s="114" t="s">
        <v>17558</v>
      </c>
      <c r="K217" s="49"/>
      <c r="L217" s="50"/>
      <c r="M217" s="163"/>
      <c r="N217" s="45"/>
      <c r="O217" s="46"/>
      <c r="P217" s="512"/>
      <c r="Q217" s="57"/>
      <c r="R217" s="35"/>
      <c r="U217" s="57"/>
      <c r="V217" s="72" t="s">
        <v>17580</v>
      </c>
      <c r="Y217" s="57"/>
      <c r="Z217" s="208">
        <f>ROUND((ROUND((ROUND((_15_同援日１．０*_15・基礎２),0)*(1+_15・A早朝)),0)*(1+_15・区４)),0)+ROUND((ROUND((_15_同援日１．０＿２．０*_15・基礎２),0)*(1+_15・区４)),0)</f>
        <v>886</v>
      </c>
      <c r="AA217" s="48"/>
    </row>
    <row r="218" spans="1:27" ht="16.5" customHeight="1" x14ac:dyDescent="0.15">
      <c r="A218" s="41">
        <v>15</v>
      </c>
      <c r="B218" s="41">
        <v>9410</v>
      </c>
      <c r="C218" s="74" t="s">
        <v>19402</v>
      </c>
      <c r="D218" s="72"/>
      <c r="F218" s="57"/>
      <c r="G218" s="72"/>
      <c r="I218" s="57"/>
      <c r="J218" s="269" t="s">
        <v>17560</v>
      </c>
      <c r="K218" s="37" t="s">
        <v>398</v>
      </c>
      <c r="L218" s="38">
        <v>0.9</v>
      </c>
      <c r="M218" s="299" t="s">
        <v>17556</v>
      </c>
      <c r="N218" s="45" t="s">
        <v>398</v>
      </c>
      <c r="O218" s="46">
        <v>1</v>
      </c>
      <c r="P218" s="512"/>
      <c r="Q218" s="57"/>
      <c r="R218" s="43"/>
      <c r="S218" s="37"/>
      <c r="T218" s="38"/>
      <c r="U218" s="79"/>
      <c r="V218" s="72" t="s">
        <v>17572</v>
      </c>
      <c r="Y218" s="57"/>
      <c r="Z218" s="208">
        <f>ROUND((ROUND((ROUND((ROUND((_15_同援日１．０*_15・基礎２),0)*_15・２人),0)*(1+_15・A早朝)),0)*(1+_15・区４)),0)+ROUND((ROUND((ROUND((_15_同援日１．０＿２．０*_15・基礎２),0)*_15・２人),0)*(1+_15・区４)),0)</f>
        <v>886</v>
      </c>
      <c r="AA218" s="48"/>
    </row>
    <row r="219" spans="1:27" ht="16.5" customHeight="1" x14ac:dyDescent="0.15">
      <c r="A219" s="41">
        <v>15</v>
      </c>
      <c r="B219" s="41">
        <v>9411</v>
      </c>
      <c r="C219" s="74" t="s">
        <v>19403</v>
      </c>
      <c r="D219" s="72"/>
      <c r="F219" s="57"/>
      <c r="G219" s="72"/>
      <c r="I219" s="57"/>
      <c r="J219" s="53"/>
      <c r="K219" s="49"/>
      <c r="L219" s="50"/>
      <c r="M219" s="163"/>
      <c r="N219" s="45"/>
      <c r="O219" s="46"/>
      <c r="P219" s="512"/>
      <c r="Q219" s="57"/>
      <c r="R219" s="114" t="s">
        <v>17562</v>
      </c>
      <c r="S219" s="49"/>
      <c r="T219" s="50"/>
      <c r="U219" s="115"/>
      <c r="V219" s="35"/>
      <c r="W219" s="12" t="s">
        <v>398</v>
      </c>
      <c r="X219" s="13">
        <v>0.4</v>
      </c>
      <c r="Y219" s="57" t="s">
        <v>3575</v>
      </c>
      <c r="Z219" s="208">
        <f>ROUND((ROUND((ROUND((_15_同援日１．０*(1+_15・A早朝)),0)*(1+_15・盲ろう)),0)*(1+_15・区４)),0)+ROUND((ROUND((_15_同援日１．０＿２．０*(1+_15・盲ろう)),0)*(1+_15・区４)),0)</f>
        <v>1231</v>
      </c>
      <c r="AA219" s="48"/>
    </row>
    <row r="220" spans="1:27" ht="16.5" customHeight="1" x14ac:dyDescent="0.15">
      <c r="A220" s="41">
        <v>15</v>
      </c>
      <c r="B220" s="41">
        <v>9412</v>
      </c>
      <c r="C220" s="74" t="s">
        <v>19404</v>
      </c>
      <c r="D220" s="72"/>
      <c r="F220" s="57"/>
      <c r="G220" s="72"/>
      <c r="I220" s="57"/>
      <c r="J220" s="43"/>
      <c r="K220" s="37"/>
      <c r="L220" s="38"/>
      <c r="M220" s="299" t="s">
        <v>17556</v>
      </c>
      <c r="N220" s="45" t="s">
        <v>398</v>
      </c>
      <c r="O220" s="46">
        <v>1</v>
      </c>
      <c r="P220" s="512"/>
      <c r="Q220" s="57"/>
      <c r="R220" s="92" t="s">
        <v>17564</v>
      </c>
      <c r="U220" s="57"/>
      <c r="V220" s="35"/>
      <c r="Y220" s="57"/>
      <c r="Z220" s="208">
        <f>ROUND((ROUND((ROUND((ROUND((_15_同援日１．０*_15・２人),0)*(1+_15・A早朝)),0)*(1+_15・盲ろう)),0)*(1+_15・区４)),0)+ROUND((ROUND((ROUND((_15_同援日１．０＿２．０*_15・２人),0)*(1+_15・盲ろう)),0)*(1+_15・区４)),0)</f>
        <v>1231</v>
      </c>
      <c r="AA220" s="48"/>
    </row>
    <row r="221" spans="1:27" ht="16.5" customHeight="1" x14ac:dyDescent="0.15">
      <c r="A221" s="41">
        <v>15</v>
      </c>
      <c r="B221" s="41">
        <v>9413</v>
      </c>
      <c r="C221" s="74" t="s">
        <v>19405</v>
      </c>
      <c r="D221" s="72"/>
      <c r="F221" s="57"/>
      <c r="G221" s="72"/>
      <c r="I221" s="57"/>
      <c r="J221" s="114" t="s">
        <v>17558</v>
      </c>
      <c r="K221" s="49"/>
      <c r="L221" s="50"/>
      <c r="M221" s="163"/>
      <c r="N221" s="45"/>
      <c r="O221" s="46"/>
      <c r="P221" s="512"/>
      <c r="Q221" s="57"/>
      <c r="R221" s="35"/>
      <c r="S221" s="12" t="s">
        <v>398</v>
      </c>
      <c r="T221" s="13">
        <v>0.25</v>
      </c>
      <c r="U221" s="57" t="s">
        <v>3575</v>
      </c>
      <c r="V221" s="35"/>
      <c r="Y221" s="57"/>
      <c r="Z221" s="208">
        <f>ROUND((ROUND((ROUND((ROUND((_15_同援日１．０*_15・基礎２),0)*(1+_15・A早朝)),0)*(1+_15・盲ろう)),0)*(1+_15・区４)),0)+ROUND((ROUND((ROUND((_15_同援日１．０＿２．０*_15・基礎２),0)*(1+_15・盲ろう)),0)*(1+_15・区４)),0)</f>
        <v>1109</v>
      </c>
      <c r="AA221" s="48"/>
    </row>
    <row r="222" spans="1:27" ht="16.5" customHeight="1" x14ac:dyDescent="0.15">
      <c r="A222" s="41">
        <v>15</v>
      </c>
      <c r="B222" s="41">
        <v>9414</v>
      </c>
      <c r="C222" s="74" t="s">
        <v>19406</v>
      </c>
      <c r="D222" s="122"/>
      <c r="E222" s="37"/>
      <c r="F222" s="79"/>
      <c r="G222" s="122"/>
      <c r="H222" s="37"/>
      <c r="I222" s="79"/>
      <c r="J222" s="269" t="s">
        <v>17560</v>
      </c>
      <c r="K222" s="37" t="s">
        <v>398</v>
      </c>
      <c r="L222" s="38">
        <v>0.9</v>
      </c>
      <c r="M222" s="299" t="s">
        <v>17556</v>
      </c>
      <c r="N222" s="45" t="s">
        <v>398</v>
      </c>
      <c r="O222" s="46">
        <v>1</v>
      </c>
      <c r="P222" s="512"/>
      <c r="Q222" s="57"/>
      <c r="R222" s="43"/>
      <c r="S222" s="37"/>
      <c r="T222" s="38"/>
      <c r="U222" s="79"/>
      <c r="V222" s="43"/>
      <c r="W222" s="37"/>
      <c r="X222" s="38"/>
      <c r="Y222" s="79"/>
      <c r="Z222" s="208">
        <f>ROUND((ROUND((ROUND((ROUND((ROUND((_15_同援日１．０*_15・基礎２),0)*_15・２人),0)*(1+_15・A早朝)),0)*(1+_15・盲ろう)),0)*(1+_15・区４)),0)+ROUND((ROUND((ROUND((ROUND((_15_同援日１．０＿２．０*_15・基礎２),0)*_15・２人),0)*(1+_15・盲ろう)),0)*(1+_15・区４)),0)</f>
        <v>1109</v>
      </c>
      <c r="AA222" s="48"/>
    </row>
    <row r="223" spans="1:27" ht="16.5" customHeight="1" x14ac:dyDescent="0.15">
      <c r="A223" s="41">
        <v>15</v>
      </c>
      <c r="B223" s="41">
        <v>9415</v>
      </c>
      <c r="C223" s="74" t="s">
        <v>19407</v>
      </c>
      <c r="D223" s="114" t="s">
        <v>18180</v>
      </c>
      <c r="E223" s="49"/>
      <c r="F223" s="115"/>
      <c r="G223" s="114" t="s">
        <v>19187</v>
      </c>
      <c r="H223" s="49"/>
      <c r="I223" s="115"/>
      <c r="J223" s="53"/>
      <c r="K223" s="49"/>
      <c r="L223" s="50"/>
      <c r="M223" s="163"/>
      <c r="N223" s="45"/>
      <c r="O223" s="46"/>
      <c r="P223" s="512"/>
      <c r="Q223" s="57"/>
      <c r="R223" s="53"/>
      <c r="S223" s="49"/>
      <c r="T223" s="50"/>
      <c r="U223" s="115"/>
      <c r="V223" s="53"/>
      <c r="W223" s="49"/>
      <c r="X223" s="50"/>
      <c r="Y223" s="115"/>
      <c r="Z223" s="208">
        <f>ROUND((_15_同援日１．５*(1+_15・A早朝)),0)+_15_同援日１．５＿０．５</f>
        <v>606</v>
      </c>
      <c r="AA223" s="48"/>
    </row>
    <row r="224" spans="1:27" ht="16.5" customHeight="1" x14ac:dyDescent="0.15">
      <c r="A224" s="41">
        <v>15</v>
      </c>
      <c r="B224" s="41">
        <v>9416</v>
      </c>
      <c r="C224" s="74" t="s">
        <v>19408</v>
      </c>
      <c r="D224" s="72" t="s">
        <v>17616</v>
      </c>
      <c r="F224" s="57"/>
      <c r="G224" s="72" t="s">
        <v>17555</v>
      </c>
      <c r="I224" s="57"/>
      <c r="J224" s="43"/>
      <c r="K224" s="37"/>
      <c r="L224" s="38"/>
      <c r="M224" s="299" t="s">
        <v>17556</v>
      </c>
      <c r="N224" s="45" t="s">
        <v>398</v>
      </c>
      <c r="O224" s="46">
        <v>1</v>
      </c>
      <c r="P224" s="512"/>
      <c r="Q224" s="57"/>
      <c r="R224" s="35"/>
      <c r="U224" s="57"/>
      <c r="V224" s="35"/>
      <c r="Y224" s="57"/>
      <c r="Z224" s="208">
        <f>ROUND((ROUND((_15_同援日１．５*_15・２人),0)*(1+_15・A早朝)),0)+ROUND((_15_同援日１．５＿０．５*_15・２人),0)</f>
        <v>606</v>
      </c>
      <c r="AA224" s="48"/>
    </row>
    <row r="225" spans="1:27" ht="16.5" customHeight="1" x14ac:dyDescent="0.15">
      <c r="A225" s="41">
        <v>15</v>
      </c>
      <c r="B225" s="41">
        <v>9417</v>
      </c>
      <c r="C225" s="74" t="s">
        <v>19409</v>
      </c>
      <c r="D225" s="72" t="s">
        <v>18183</v>
      </c>
      <c r="F225" s="57"/>
      <c r="G225" s="72"/>
      <c r="I225" s="57"/>
      <c r="J225" s="114" t="s">
        <v>17558</v>
      </c>
      <c r="K225" s="49"/>
      <c r="L225" s="50"/>
      <c r="M225" s="163"/>
      <c r="N225" s="45"/>
      <c r="O225" s="46"/>
      <c r="P225" s="512"/>
      <c r="Q225" s="57"/>
      <c r="R225" s="35"/>
      <c r="U225" s="57"/>
      <c r="V225" s="35"/>
      <c r="Y225" s="57"/>
      <c r="Z225" s="208">
        <f>ROUND((ROUND((_15_同援日１．５*_15・基礎２),0)*(1+_15・A早朝)),0)+ROUND((_15_同援日１．５＿０．５*_15・基礎２),0)</f>
        <v>547</v>
      </c>
      <c r="AA225" s="48"/>
    </row>
    <row r="226" spans="1:27" ht="16.5" customHeight="1" x14ac:dyDescent="0.15">
      <c r="A226" s="41">
        <v>15</v>
      </c>
      <c r="B226" s="41">
        <v>9418</v>
      </c>
      <c r="C226" s="74" t="s">
        <v>19410</v>
      </c>
      <c r="D226" s="72"/>
      <c r="E226" s="168">
        <f>_15_同援日１．５</f>
        <v>433</v>
      </c>
      <c r="F226" s="57" t="s">
        <v>392</v>
      </c>
      <c r="G226" s="72"/>
      <c r="H226" s="168">
        <f>_15_同援日１．５＿０．５</f>
        <v>65</v>
      </c>
      <c r="I226" s="57" t="s">
        <v>392</v>
      </c>
      <c r="J226" s="269" t="s">
        <v>17560</v>
      </c>
      <c r="K226" s="37" t="s">
        <v>398</v>
      </c>
      <c r="L226" s="38">
        <v>0.9</v>
      </c>
      <c r="M226" s="299" t="s">
        <v>17556</v>
      </c>
      <c r="N226" s="45" t="s">
        <v>398</v>
      </c>
      <c r="O226" s="46">
        <v>1</v>
      </c>
      <c r="P226" s="512"/>
      <c r="Q226" s="57"/>
      <c r="R226" s="43"/>
      <c r="S226" s="37"/>
      <c r="T226" s="38"/>
      <c r="U226" s="79"/>
      <c r="V226" s="35"/>
      <c r="Y226" s="57"/>
      <c r="Z226" s="208">
        <f>ROUND((ROUND((ROUND((_15_同援日１．５*_15・基礎２),0)*_15・２人),0)*(1+_15・A早朝)),0)+ROUND((ROUND((_15_同援日１．５＿０．５*_15・基礎２),0)*_15・２人),0)</f>
        <v>547</v>
      </c>
      <c r="AA226" s="48"/>
    </row>
    <row r="227" spans="1:27" ht="16.5" customHeight="1" x14ac:dyDescent="0.15">
      <c r="A227" s="41">
        <v>15</v>
      </c>
      <c r="B227" s="41">
        <v>9419</v>
      </c>
      <c r="C227" s="74" t="s">
        <v>19411</v>
      </c>
      <c r="D227" s="72"/>
      <c r="F227" s="57"/>
      <c r="G227" s="72"/>
      <c r="I227" s="57"/>
      <c r="J227" s="53"/>
      <c r="K227" s="49"/>
      <c r="L227" s="50"/>
      <c r="M227" s="163"/>
      <c r="N227" s="45"/>
      <c r="O227" s="46"/>
      <c r="P227" s="512"/>
      <c r="Q227" s="57"/>
      <c r="R227" s="114" t="s">
        <v>17562</v>
      </c>
      <c r="S227" s="49"/>
      <c r="T227" s="50"/>
      <c r="U227" s="115"/>
      <c r="V227" s="35"/>
      <c r="Y227" s="57"/>
      <c r="Z227" s="208">
        <f>ROUND((ROUND((_15_同援日１．５*(1+_15・A早朝)),0)*(1+_15・盲ろう)),0)+ROUND((_15_同援日１．５＿０．５*(1+_15・盲ろう)),0)</f>
        <v>757</v>
      </c>
      <c r="AA227" s="48"/>
    </row>
    <row r="228" spans="1:27" ht="16.5" customHeight="1" x14ac:dyDescent="0.15">
      <c r="A228" s="41">
        <v>15</v>
      </c>
      <c r="B228" s="41">
        <v>9420</v>
      </c>
      <c r="C228" s="74" t="s">
        <v>19412</v>
      </c>
      <c r="D228" s="72"/>
      <c r="F228" s="57"/>
      <c r="G228" s="72"/>
      <c r="I228" s="57"/>
      <c r="J228" s="43"/>
      <c r="K228" s="37"/>
      <c r="L228" s="38"/>
      <c r="M228" s="299" t="s">
        <v>17556</v>
      </c>
      <c r="N228" s="45" t="s">
        <v>398</v>
      </c>
      <c r="O228" s="46">
        <v>1</v>
      </c>
      <c r="P228" s="512"/>
      <c r="Q228" s="57"/>
      <c r="R228" s="92" t="s">
        <v>17564</v>
      </c>
      <c r="U228" s="57"/>
      <c r="V228" s="35"/>
      <c r="Y228" s="57"/>
      <c r="Z228" s="208">
        <f>ROUND((ROUND((ROUND((_15_同援日１．５*_15・２人),0)*(1+_15・A早朝)),0)*(1+_15・盲ろう)),0)+ROUND((ROUND((_15_同援日１．５＿０．５*_15・２人),0)*(1+_15・盲ろう)),0)</f>
        <v>757</v>
      </c>
      <c r="AA228" s="48"/>
    </row>
    <row r="229" spans="1:27" ht="16.5" customHeight="1" x14ac:dyDescent="0.15">
      <c r="A229" s="41">
        <v>15</v>
      </c>
      <c r="B229" s="41">
        <v>9421</v>
      </c>
      <c r="C229" s="74" t="s">
        <v>19413</v>
      </c>
      <c r="D229" s="72"/>
      <c r="F229" s="57"/>
      <c r="G229" s="72"/>
      <c r="I229" s="57"/>
      <c r="J229" s="114" t="s">
        <v>17558</v>
      </c>
      <c r="K229" s="49"/>
      <c r="L229" s="50"/>
      <c r="M229" s="163"/>
      <c r="N229" s="45"/>
      <c r="O229" s="46"/>
      <c r="P229" s="512"/>
      <c r="Q229" s="57"/>
      <c r="R229" s="35"/>
      <c r="S229" s="12" t="s">
        <v>398</v>
      </c>
      <c r="T229" s="13">
        <v>0.25</v>
      </c>
      <c r="U229" s="57" t="s">
        <v>3575</v>
      </c>
      <c r="V229" s="35"/>
      <c r="Y229" s="57"/>
      <c r="Z229" s="208">
        <f>ROUND((ROUND((ROUND((_15_同援日１．５*_15・基礎２),0)*(1+_15・A早朝)),0)*(1+_15・盲ろう)),0)+ROUND((ROUND((_15_同援日１．５＿０．５*_15・基礎２),0)*(1+_15・盲ろう)),0)</f>
        <v>684</v>
      </c>
      <c r="AA229" s="48"/>
    </row>
    <row r="230" spans="1:27" ht="16.5" customHeight="1" x14ac:dyDescent="0.15">
      <c r="A230" s="41">
        <v>15</v>
      </c>
      <c r="B230" s="41">
        <v>9422</v>
      </c>
      <c r="C230" s="74" t="s">
        <v>19414</v>
      </c>
      <c r="D230" s="72"/>
      <c r="F230" s="57"/>
      <c r="G230" s="72"/>
      <c r="I230" s="57"/>
      <c r="J230" s="269" t="s">
        <v>17560</v>
      </c>
      <c r="K230" s="37" t="s">
        <v>398</v>
      </c>
      <c r="L230" s="38">
        <v>0.9</v>
      </c>
      <c r="M230" s="299" t="s">
        <v>17556</v>
      </c>
      <c r="N230" s="45" t="s">
        <v>398</v>
      </c>
      <c r="O230" s="46">
        <v>1</v>
      </c>
      <c r="P230" s="512"/>
      <c r="Q230" s="57"/>
      <c r="R230" s="43"/>
      <c r="S230" s="37"/>
      <c r="T230" s="38"/>
      <c r="U230" s="79"/>
      <c r="V230" s="43"/>
      <c r="W230" s="37"/>
      <c r="X230" s="38"/>
      <c r="Y230" s="79"/>
      <c r="Z230" s="208">
        <f>ROUND((ROUND((ROUND((ROUND((_15_同援日１．５*_15・基礎２),0)*_15・２人),0)*(1+_15・A早朝)),0)*(1+_15・盲ろう)),0)+ROUND((ROUND((ROUND((_15_同援日１．５＿０．５*_15・基礎２),0)*_15・２人),0)*(1+_15・盲ろう)),0)</f>
        <v>684</v>
      </c>
      <c r="AA230" s="48"/>
    </row>
    <row r="231" spans="1:27" ht="16.5" customHeight="1" x14ac:dyDescent="0.15">
      <c r="A231" s="41">
        <v>15</v>
      </c>
      <c r="B231" s="41">
        <v>9423</v>
      </c>
      <c r="C231" s="74" t="s">
        <v>19415</v>
      </c>
      <c r="D231" s="72"/>
      <c r="F231" s="57"/>
      <c r="G231" s="72"/>
      <c r="I231" s="57"/>
      <c r="J231" s="53"/>
      <c r="K231" s="49"/>
      <c r="L231" s="50"/>
      <c r="M231" s="163"/>
      <c r="N231" s="45"/>
      <c r="O231" s="46"/>
      <c r="P231" s="512"/>
      <c r="Q231" s="57"/>
      <c r="R231" s="53"/>
      <c r="S231" s="49"/>
      <c r="T231" s="50"/>
      <c r="U231" s="115"/>
      <c r="V231" s="53"/>
      <c r="W231" s="49"/>
      <c r="X231" s="50"/>
      <c r="Y231" s="115"/>
      <c r="Z231" s="208">
        <f>ROUND((ROUND((_15_同援日１．５*(1+_15・A早朝)),0)*(1+_15・区３)),0)+ROUND((_15_同援日１．５＿０．５*(1+_15・区３)),0)</f>
        <v>727</v>
      </c>
      <c r="AA231" s="48"/>
    </row>
    <row r="232" spans="1:27" ht="16.5" customHeight="1" x14ac:dyDescent="0.15">
      <c r="A232" s="41">
        <v>15</v>
      </c>
      <c r="B232" s="41">
        <v>9424</v>
      </c>
      <c r="C232" s="74" t="s">
        <v>19416</v>
      </c>
      <c r="D232" s="72"/>
      <c r="F232" s="57"/>
      <c r="G232" s="72"/>
      <c r="I232" s="57"/>
      <c r="J232" s="43"/>
      <c r="K232" s="37"/>
      <c r="L232" s="38"/>
      <c r="M232" s="299" t="s">
        <v>17556</v>
      </c>
      <c r="N232" s="45" t="s">
        <v>398</v>
      </c>
      <c r="O232" s="46">
        <v>1</v>
      </c>
      <c r="P232" s="512"/>
      <c r="Q232" s="57"/>
      <c r="R232" s="35"/>
      <c r="U232" s="57"/>
      <c r="V232" s="35"/>
      <c r="Y232" s="57"/>
      <c r="Z232" s="208">
        <f>ROUND((ROUND((ROUND((_15_同援日１．５*_15・２人),0)*(1+_15・A早朝)),0)*(1+_15・区３)),0)+ROUND((ROUND((_15_同援日１．５＿０．５*_15・２人),0)*(1+_15・区３)),0)</f>
        <v>727</v>
      </c>
      <c r="AA232" s="48"/>
    </row>
    <row r="233" spans="1:27" ht="16.5" customHeight="1" x14ac:dyDescent="0.15">
      <c r="A233" s="41">
        <v>15</v>
      </c>
      <c r="B233" s="41">
        <v>9425</v>
      </c>
      <c r="C233" s="74" t="s">
        <v>19417</v>
      </c>
      <c r="D233" s="72"/>
      <c r="F233" s="57"/>
      <c r="G233" s="72"/>
      <c r="I233" s="57"/>
      <c r="J233" s="114" t="s">
        <v>17558</v>
      </c>
      <c r="K233" s="49"/>
      <c r="L233" s="50"/>
      <c r="M233" s="163"/>
      <c r="N233" s="45"/>
      <c r="O233" s="46"/>
      <c r="P233" s="512"/>
      <c r="Q233" s="57"/>
      <c r="R233" s="35"/>
      <c r="U233" s="57"/>
      <c r="V233" s="72" t="s">
        <v>17570</v>
      </c>
      <c r="Y233" s="57"/>
      <c r="Z233" s="208">
        <f>ROUND((ROUND((ROUND((_15_同援日１．５*_15・基礎２),0)*(1+_15・A早朝)),0)*(1+_15・区３)),0)+ROUND((ROUND((_15_同援日１．５＿０．５*_15・基礎２),0)*(1+_15・区３)),0)</f>
        <v>657</v>
      </c>
      <c r="AA233" s="48"/>
    </row>
    <row r="234" spans="1:27" ht="16.5" customHeight="1" x14ac:dyDescent="0.15">
      <c r="A234" s="41">
        <v>15</v>
      </c>
      <c r="B234" s="41">
        <v>9426</v>
      </c>
      <c r="C234" s="74" t="s">
        <v>19418</v>
      </c>
      <c r="D234" s="72"/>
      <c r="F234" s="57"/>
      <c r="G234" s="72"/>
      <c r="I234" s="57"/>
      <c r="J234" s="269" t="s">
        <v>17560</v>
      </c>
      <c r="K234" s="37" t="s">
        <v>398</v>
      </c>
      <c r="L234" s="38">
        <v>0.9</v>
      </c>
      <c r="M234" s="299" t="s">
        <v>17556</v>
      </c>
      <c r="N234" s="45" t="s">
        <v>398</v>
      </c>
      <c r="O234" s="46">
        <v>1</v>
      </c>
      <c r="P234" s="512"/>
      <c r="Q234" s="57"/>
      <c r="R234" s="43"/>
      <c r="S234" s="37"/>
      <c r="T234" s="38"/>
      <c r="U234" s="79"/>
      <c r="V234" s="72" t="s">
        <v>17572</v>
      </c>
      <c r="Y234" s="57"/>
      <c r="Z234" s="208">
        <f>ROUND((ROUND((ROUND((ROUND((_15_同援日１．５*_15・基礎２),0)*_15・２人),0)*(1+_15・A早朝)),0)*(1+_15・区３)),0)+ROUND((ROUND((ROUND((_15_同援日１．５＿０．５*_15・基礎２),0)*_15・２人),0)*(1+_15・区３)),0)</f>
        <v>657</v>
      </c>
      <c r="AA234" s="48"/>
    </row>
    <row r="235" spans="1:27" ht="16.5" customHeight="1" x14ac:dyDescent="0.15">
      <c r="A235" s="41">
        <v>15</v>
      </c>
      <c r="B235" s="41">
        <v>9427</v>
      </c>
      <c r="C235" s="74" t="s">
        <v>19419</v>
      </c>
      <c r="D235" s="72"/>
      <c r="F235" s="57"/>
      <c r="G235" s="72"/>
      <c r="I235" s="57"/>
      <c r="J235" s="53"/>
      <c r="K235" s="49"/>
      <c r="L235" s="50"/>
      <c r="M235" s="163"/>
      <c r="N235" s="45"/>
      <c r="O235" s="46"/>
      <c r="P235" s="512"/>
      <c r="Q235" s="57"/>
      <c r="R235" s="114" t="s">
        <v>17562</v>
      </c>
      <c r="S235" s="49"/>
      <c r="T235" s="50"/>
      <c r="U235" s="115"/>
      <c r="V235" s="35"/>
      <c r="W235" s="12" t="s">
        <v>398</v>
      </c>
      <c r="X235" s="13">
        <v>0.2</v>
      </c>
      <c r="Y235" s="57" t="s">
        <v>3575</v>
      </c>
      <c r="Z235" s="208">
        <f>ROUND((ROUND((ROUND((_15_同援日１．５*(1+_15・A早朝)),0)*(1+_15・盲ろう)),0)*(1+_15・区３)),0)+ROUND((ROUND((_15_同援日１．５＿０．５*(1+_15・盲ろう)),0)*(1+_15・区３)),0)</f>
        <v>908</v>
      </c>
      <c r="AA235" s="48"/>
    </row>
    <row r="236" spans="1:27" ht="16.5" customHeight="1" x14ac:dyDescent="0.15">
      <c r="A236" s="41">
        <v>15</v>
      </c>
      <c r="B236" s="41">
        <v>9428</v>
      </c>
      <c r="C236" s="74" t="s">
        <v>19420</v>
      </c>
      <c r="D236" s="72"/>
      <c r="F236" s="57"/>
      <c r="G236" s="72"/>
      <c r="I236" s="57"/>
      <c r="J236" s="43"/>
      <c r="K236" s="37"/>
      <c r="L236" s="38"/>
      <c r="M236" s="299" t="s">
        <v>17556</v>
      </c>
      <c r="N236" s="45" t="s">
        <v>398</v>
      </c>
      <c r="O236" s="46">
        <v>1</v>
      </c>
      <c r="P236" s="512"/>
      <c r="Q236" s="57"/>
      <c r="R236" s="92" t="s">
        <v>17564</v>
      </c>
      <c r="U236" s="57"/>
      <c r="V236" s="35"/>
      <c r="Y236" s="57"/>
      <c r="Z236" s="208">
        <f>ROUND((ROUND((ROUND((ROUND((_15_同援日１．５*_15・２人),0)*(1+_15・A早朝)),0)*(1+_15・盲ろう)),0)*(1+_15・区３)),0)+ROUND((ROUND((ROUND((_15_同援日１．５＿０．５*_15・２人),0)*(1+_15・盲ろう)),0)*(1+_15・区３)),0)</f>
        <v>908</v>
      </c>
      <c r="AA236" s="48"/>
    </row>
    <row r="237" spans="1:27" ht="16.5" customHeight="1" x14ac:dyDescent="0.15">
      <c r="A237" s="41">
        <v>15</v>
      </c>
      <c r="B237" s="41">
        <v>9429</v>
      </c>
      <c r="C237" s="74" t="s">
        <v>19421</v>
      </c>
      <c r="D237" s="72"/>
      <c r="F237" s="57"/>
      <c r="G237" s="72"/>
      <c r="I237" s="57"/>
      <c r="J237" s="114" t="s">
        <v>17558</v>
      </c>
      <c r="K237" s="49"/>
      <c r="L237" s="50"/>
      <c r="M237" s="163"/>
      <c r="N237" s="45"/>
      <c r="O237" s="46"/>
      <c r="P237" s="512"/>
      <c r="Q237" s="57"/>
      <c r="R237" s="35"/>
      <c r="S237" s="12" t="s">
        <v>398</v>
      </c>
      <c r="T237" s="13">
        <v>0.25</v>
      </c>
      <c r="U237" s="57" t="s">
        <v>3575</v>
      </c>
      <c r="V237" s="35"/>
      <c r="Y237" s="57"/>
      <c r="Z237" s="208">
        <f>ROUND((ROUND((ROUND((ROUND((_15_同援日１．５*_15・基礎２),0)*(1+_15・A早朝)),0)*(1+_15・盲ろう)),0)*(1+_15・区３)),0)+ROUND((ROUND((ROUND((_15_同援日１．５＿０．５*_15・基礎２),0)*(1+_15・盲ろう)),0)*(1+_15・区３)),0)</f>
        <v>821</v>
      </c>
      <c r="AA237" s="48"/>
    </row>
    <row r="238" spans="1:27" ht="16.5" customHeight="1" x14ac:dyDescent="0.15">
      <c r="A238" s="41">
        <v>15</v>
      </c>
      <c r="B238" s="41">
        <v>9430</v>
      </c>
      <c r="C238" s="74" t="s">
        <v>19422</v>
      </c>
      <c r="D238" s="72"/>
      <c r="F238" s="57"/>
      <c r="G238" s="72"/>
      <c r="I238" s="57"/>
      <c r="J238" s="269" t="s">
        <v>17560</v>
      </c>
      <c r="K238" s="37" t="s">
        <v>398</v>
      </c>
      <c r="L238" s="38">
        <v>0.9</v>
      </c>
      <c r="M238" s="299" t="s">
        <v>17556</v>
      </c>
      <c r="N238" s="45" t="s">
        <v>398</v>
      </c>
      <c r="O238" s="46">
        <v>1</v>
      </c>
      <c r="P238" s="512"/>
      <c r="Q238" s="57"/>
      <c r="R238" s="43"/>
      <c r="S238" s="37"/>
      <c r="T238" s="38"/>
      <c r="U238" s="79"/>
      <c r="V238" s="43"/>
      <c r="W238" s="37"/>
      <c r="X238" s="38"/>
      <c r="Y238" s="79"/>
      <c r="Z238" s="208">
        <f>ROUND((ROUND((ROUND((ROUND((ROUND((_15_同援日１．５*_15・基礎２),0)*_15・２人),0)*(1+_15・A早朝)),0)*(1+_15・盲ろう)),0)*(1+_15・区３)),0)+ROUND((ROUND((ROUND((ROUND((_15_同援日１．５＿０．５*_15・基礎２),0)*_15・２人),0)*(1+_15・盲ろう)),0)*(1+_15・区３)),0)</f>
        <v>821</v>
      </c>
      <c r="AA238" s="48"/>
    </row>
    <row r="239" spans="1:27" ht="16.5" customHeight="1" x14ac:dyDescent="0.15">
      <c r="A239" s="41">
        <v>15</v>
      </c>
      <c r="B239" s="41">
        <v>9431</v>
      </c>
      <c r="C239" s="74" t="s">
        <v>19423</v>
      </c>
      <c r="D239" s="72"/>
      <c r="F239" s="57"/>
      <c r="G239" s="72"/>
      <c r="I239" s="57"/>
      <c r="J239" s="53"/>
      <c r="K239" s="49"/>
      <c r="L239" s="50"/>
      <c r="M239" s="163"/>
      <c r="N239" s="45"/>
      <c r="O239" s="46"/>
      <c r="P239" s="512"/>
      <c r="Q239" s="57"/>
      <c r="R239" s="53"/>
      <c r="S239" s="49"/>
      <c r="T239" s="50"/>
      <c r="U239" s="115"/>
      <c r="V239" s="53"/>
      <c r="W239" s="49"/>
      <c r="X239" s="50"/>
      <c r="Y239" s="115"/>
      <c r="Z239" s="208">
        <f>ROUND((ROUND((_15_同援日１．５*(1+_15・A早朝)),0)*(1+_15・区４)),0)+ROUND((_15_同援日１．５＿０．５*(1+_15・区４)),0)</f>
        <v>848</v>
      </c>
      <c r="AA239" s="48"/>
    </row>
    <row r="240" spans="1:27" ht="16.5" customHeight="1" x14ac:dyDescent="0.15">
      <c r="A240" s="41">
        <v>15</v>
      </c>
      <c r="B240" s="41">
        <v>9432</v>
      </c>
      <c r="C240" s="74" t="s">
        <v>19424</v>
      </c>
      <c r="D240" s="72"/>
      <c r="F240" s="57"/>
      <c r="G240" s="72"/>
      <c r="I240" s="57"/>
      <c r="J240" s="43"/>
      <c r="K240" s="37"/>
      <c r="L240" s="38"/>
      <c r="M240" s="299" t="s">
        <v>17556</v>
      </c>
      <c r="N240" s="45" t="s">
        <v>398</v>
      </c>
      <c r="O240" s="46">
        <v>1</v>
      </c>
      <c r="P240" s="512"/>
      <c r="Q240" s="57"/>
      <c r="R240" s="35"/>
      <c r="U240" s="57"/>
      <c r="V240" s="35"/>
      <c r="Y240" s="57"/>
      <c r="Z240" s="208">
        <f>ROUND((ROUND((ROUND((_15_同援日１．５*_15・２人),0)*(1+_15・A早朝)),0)*(1+_15・区４)),0)+ROUND((ROUND((_15_同援日１．５＿０．５*_15・２人),0)*(1+_15・区４)),0)</f>
        <v>848</v>
      </c>
      <c r="AA240" s="48"/>
    </row>
    <row r="241" spans="1:27" ht="16.5" customHeight="1" x14ac:dyDescent="0.15">
      <c r="A241" s="41">
        <v>15</v>
      </c>
      <c r="B241" s="41">
        <v>9433</v>
      </c>
      <c r="C241" s="74" t="s">
        <v>19425</v>
      </c>
      <c r="D241" s="72"/>
      <c r="F241" s="57"/>
      <c r="G241" s="72"/>
      <c r="I241" s="57"/>
      <c r="J241" s="114" t="s">
        <v>17558</v>
      </c>
      <c r="K241" s="49"/>
      <c r="L241" s="50"/>
      <c r="M241" s="163"/>
      <c r="N241" s="45"/>
      <c r="O241" s="46"/>
      <c r="P241" s="512"/>
      <c r="Q241" s="57"/>
      <c r="R241" s="35"/>
      <c r="U241" s="57"/>
      <c r="V241" s="72" t="s">
        <v>17580</v>
      </c>
      <c r="Y241" s="57"/>
      <c r="Z241" s="208">
        <f>ROUND((ROUND((ROUND((_15_同援日１．５*_15・基礎２),0)*(1+_15・A早朝)),0)*(1+_15・区４)),0)+ROUND((ROUND((_15_同援日１．５＿０．５*_15・基礎２),0)*(1+_15・区４)),0)</f>
        <v>766</v>
      </c>
      <c r="AA241" s="48"/>
    </row>
    <row r="242" spans="1:27" ht="16.5" customHeight="1" x14ac:dyDescent="0.15">
      <c r="A242" s="41">
        <v>15</v>
      </c>
      <c r="B242" s="41">
        <v>9434</v>
      </c>
      <c r="C242" s="74" t="s">
        <v>19426</v>
      </c>
      <c r="D242" s="72"/>
      <c r="F242" s="57"/>
      <c r="G242" s="72"/>
      <c r="I242" s="57"/>
      <c r="J242" s="269" t="s">
        <v>17560</v>
      </c>
      <c r="K242" s="37" t="s">
        <v>398</v>
      </c>
      <c r="L242" s="38">
        <v>0.9</v>
      </c>
      <c r="M242" s="299" t="s">
        <v>17556</v>
      </c>
      <c r="N242" s="45" t="s">
        <v>398</v>
      </c>
      <c r="O242" s="46">
        <v>1</v>
      </c>
      <c r="P242" s="512"/>
      <c r="Q242" s="57"/>
      <c r="R242" s="43"/>
      <c r="S242" s="37"/>
      <c r="T242" s="38"/>
      <c r="U242" s="79"/>
      <c r="V242" s="72" t="s">
        <v>17572</v>
      </c>
      <c r="Y242" s="57"/>
      <c r="Z242" s="208">
        <f>ROUND((ROUND((ROUND((ROUND((_15_同援日１．５*_15・基礎２),0)*_15・２人),0)*(1+_15・A早朝)),0)*(1+_15・区４)),0)+ROUND((ROUND((ROUND((_15_同援日１．５＿０．５*_15・基礎２),0)*_15・２人),0)*(1+_15・区４)),0)</f>
        <v>766</v>
      </c>
      <c r="AA242" s="48"/>
    </row>
    <row r="243" spans="1:27" ht="16.5" customHeight="1" x14ac:dyDescent="0.15">
      <c r="A243" s="41">
        <v>15</v>
      </c>
      <c r="B243" s="41">
        <v>9435</v>
      </c>
      <c r="C243" s="74" t="s">
        <v>19427</v>
      </c>
      <c r="D243" s="72"/>
      <c r="F243" s="57"/>
      <c r="G243" s="72"/>
      <c r="I243" s="57"/>
      <c r="J243" s="53"/>
      <c r="K243" s="49"/>
      <c r="L243" s="50"/>
      <c r="M243" s="163"/>
      <c r="N243" s="45"/>
      <c r="O243" s="46"/>
      <c r="P243" s="512"/>
      <c r="Q243" s="57"/>
      <c r="R243" s="114" t="s">
        <v>17562</v>
      </c>
      <c r="S243" s="49"/>
      <c r="T243" s="50"/>
      <c r="U243" s="115"/>
      <c r="V243" s="35"/>
      <c r="W243" s="12" t="s">
        <v>398</v>
      </c>
      <c r="X243" s="13">
        <v>0.4</v>
      </c>
      <c r="Y243" s="57" t="s">
        <v>3575</v>
      </c>
      <c r="Z243" s="208">
        <f>ROUND((ROUND((ROUND((_15_同援日１．５*(1+_15・A早朝)),0)*(1+_15・盲ろう)),0)*(1+_15・区４)),0)+ROUND((ROUND((_15_同援日１．５＿０．５*(1+_15・盲ろう)),0)*(1+_15・区４)),0)</f>
        <v>1059</v>
      </c>
      <c r="AA243" s="48"/>
    </row>
    <row r="244" spans="1:27" ht="16.5" customHeight="1" x14ac:dyDescent="0.15">
      <c r="A244" s="41">
        <v>15</v>
      </c>
      <c r="B244" s="41">
        <v>9436</v>
      </c>
      <c r="C244" s="74" t="s">
        <v>19428</v>
      </c>
      <c r="D244" s="72"/>
      <c r="F244" s="57"/>
      <c r="G244" s="72"/>
      <c r="I244" s="57"/>
      <c r="J244" s="43"/>
      <c r="K244" s="37"/>
      <c r="L244" s="38"/>
      <c r="M244" s="299" t="s">
        <v>17556</v>
      </c>
      <c r="N244" s="45" t="s">
        <v>398</v>
      </c>
      <c r="O244" s="46">
        <v>1</v>
      </c>
      <c r="P244" s="512"/>
      <c r="Q244" s="57"/>
      <c r="R244" s="92" t="s">
        <v>17564</v>
      </c>
      <c r="U244" s="57"/>
      <c r="V244" s="35"/>
      <c r="Y244" s="57"/>
      <c r="Z244" s="208">
        <f>ROUND((ROUND((ROUND((ROUND((_15_同援日１．５*_15・２人),0)*(1+_15・A早朝)),0)*(1+_15・盲ろう)),0)*(1+_15・区４)),0)+ROUND((ROUND((ROUND((_15_同援日１．５＿０．５*_15・２人),0)*(1+_15・盲ろう)),0)*(1+_15・区４)),0)</f>
        <v>1059</v>
      </c>
      <c r="AA244" s="48"/>
    </row>
    <row r="245" spans="1:27" ht="16.5" customHeight="1" x14ac:dyDescent="0.15">
      <c r="A245" s="41">
        <v>15</v>
      </c>
      <c r="B245" s="41">
        <v>9437</v>
      </c>
      <c r="C245" s="74" t="s">
        <v>19429</v>
      </c>
      <c r="D245" s="72"/>
      <c r="F245" s="57"/>
      <c r="G245" s="72"/>
      <c r="I245" s="57"/>
      <c r="J245" s="114" t="s">
        <v>17558</v>
      </c>
      <c r="K245" s="49"/>
      <c r="L245" s="50"/>
      <c r="M245" s="163"/>
      <c r="N245" s="45"/>
      <c r="O245" s="46"/>
      <c r="P245" s="512"/>
      <c r="Q245" s="57"/>
      <c r="R245" s="35"/>
      <c r="S245" s="12" t="s">
        <v>398</v>
      </c>
      <c r="T245" s="13">
        <v>0.25</v>
      </c>
      <c r="U245" s="57" t="s">
        <v>3575</v>
      </c>
      <c r="V245" s="35"/>
      <c r="Y245" s="57"/>
      <c r="Z245" s="208">
        <f>ROUND((ROUND((ROUND((ROUND((_15_同援日１．５*_15・基礎２),0)*(1+_15・A早朝)),0)*(1+_15・盲ろう)),0)*(1+_15・区４)),0)+ROUND((ROUND((ROUND((_15_同援日１．５＿０．５*_15・基礎２),0)*(1+_15・盲ろう)),0)*(1+_15・区４)),0)</f>
        <v>958</v>
      </c>
      <c r="AA245" s="48"/>
    </row>
    <row r="246" spans="1:27" ht="16.5" customHeight="1" x14ac:dyDescent="0.15">
      <c r="A246" s="41">
        <v>15</v>
      </c>
      <c r="B246" s="41">
        <v>9438</v>
      </c>
      <c r="C246" s="74" t="s">
        <v>19430</v>
      </c>
      <c r="D246" s="72"/>
      <c r="F246" s="57"/>
      <c r="G246" s="122"/>
      <c r="H246" s="37"/>
      <c r="I246" s="79"/>
      <c r="J246" s="269" t="s">
        <v>17560</v>
      </c>
      <c r="K246" s="37" t="s">
        <v>398</v>
      </c>
      <c r="L246" s="38">
        <v>0.9</v>
      </c>
      <c r="M246" s="299" t="s">
        <v>17556</v>
      </c>
      <c r="N246" s="45" t="s">
        <v>398</v>
      </c>
      <c r="O246" s="46">
        <v>1</v>
      </c>
      <c r="P246" s="512"/>
      <c r="Q246" s="57"/>
      <c r="R246" s="43"/>
      <c r="S246" s="37"/>
      <c r="T246" s="38"/>
      <c r="U246" s="79"/>
      <c r="V246" s="43"/>
      <c r="W246" s="37"/>
      <c r="X246" s="38"/>
      <c r="Y246" s="79"/>
      <c r="Z246" s="208">
        <f>ROUND((ROUND((ROUND((ROUND((ROUND((_15_同援日１．５*_15・基礎２),0)*_15・２人),0)*(1+_15・A早朝)),0)*(1+_15・盲ろう)),0)*(1+_15・区４)),0)+ROUND((ROUND((ROUND((ROUND((_15_同援日１．５＿０．５*_15・基礎２),0)*_15・２人),0)*(1+_15・盲ろう)),0)*(1+_15・区４)),0)</f>
        <v>958</v>
      </c>
      <c r="AA246" s="48"/>
    </row>
    <row r="247" spans="1:27" ht="16.5" customHeight="1" x14ac:dyDescent="0.15">
      <c r="A247" s="41">
        <v>15</v>
      </c>
      <c r="B247" s="41">
        <v>9439</v>
      </c>
      <c r="C247" s="74" t="s">
        <v>19431</v>
      </c>
      <c r="D247" s="72"/>
      <c r="F247" s="57"/>
      <c r="G247" s="114" t="s">
        <v>19212</v>
      </c>
      <c r="H247" s="49"/>
      <c r="I247" s="115"/>
      <c r="J247" s="53"/>
      <c r="K247" s="49"/>
      <c r="L247" s="50"/>
      <c r="M247" s="163"/>
      <c r="N247" s="45"/>
      <c r="O247" s="46"/>
      <c r="P247" s="512"/>
      <c r="Q247" s="57"/>
      <c r="R247" s="53"/>
      <c r="S247" s="49"/>
      <c r="T247" s="50"/>
      <c r="U247" s="115"/>
      <c r="V247" s="53"/>
      <c r="W247" s="49"/>
      <c r="X247" s="50"/>
      <c r="Y247" s="115"/>
      <c r="Z247" s="208">
        <f>ROUND((_15_同援日１．５*(1+_15・A早朝)),0)+_15_同援日１．５＿１．０</f>
        <v>671</v>
      </c>
      <c r="AA247" s="48"/>
    </row>
    <row r="248" spans="1:27" ht="16.5" customHeight="1" x14ac:dyDescent="0.15">
      <c r="A248" s="41">
        <v>15</v>
      </c>
      <c r="B248" s="41">
        <v>9440</v>
      </c>
      <c r="C248" s="74" t="s">
        <v>19432</v>
      </c>
      <c r="D248" s="72"/>
      <c r="F248" s="57"/>
      <c r="G248" s="72" t="s">
        <v>17589</v>
      </c>
      <c r="I248" s="57"/>
      <c r="J248" s="43"/>
      <c r="K248" s="37"/>
      <c r="L248" s="38"/>
      <c r="M248" s="299" t="s">
        <v>17556</v>
      </c>
      <c r="N248" s="45" t="s">
        <v>398</v>
      </c>
      <c r="O248" s="46">
        <v>1</v>
      </c>
      <c r="P248" s="512"/>
      <c r="Q248" s="57"/>
      <c r="R248" s="35"/>
      <c r="U248" s="57"/>
      <c r="V248" s="35"/>
      <c r="Y248" s="57"/>
      <c r="Z248" s="208">
        <f>ROUND((ROUND((_15_同援日１．５*_15・２人),0)*(1+_15・A早朝)),0)+ROUND((_15_同援日１．５＿１．０*_15・２人),0)</f>
        <v>671</v>
      </c>
      <c r="AA248" s="48"/>
    </row>
    <row r="249" spans="1:27" ht="16.5" customHeight="1" x14ac:dyDescent="0.15">
      <c r="A249" s="41">
        <v>15</v>
      </c>
      <c r="B249" s="41">
        <v>9441</v>
      </c>
      <c r="C249" s="74" t="s">
        <v>19433</v>
      </c>
      <c r="D249" s="72"/>
      <c r="F249" s="57"/>
      <c r="G249" s="72" t="s">
        <v>17591</v>
      </c>
      <c r="I249" s="57"/>
      <c r="J249" s="114" t="s">
        <v>17558</v>
      </c>
      <c r="K249" s="49"/>
      <c r="L249" s="50"/>
      <c r="M249" s="163"/>
      <c r="N249" s="45"/>
      <c r="O249" s="46"/>
      <c r="P249" s="512"/>
      <c r="Q249" s="57"/>
      <c r="R249" s="35"/>
      <c r="U249" s="57"/>
      <c r="V249" s="35"/>
      <c r="Y249" s="57"/>
      <c r="Z249" s="208">
        <f>ROUND((ROUND((_15_同援日１．５*_15・基礎２),0)*(1+_15・A早朝)),0)+ROUND((_15_同援日１．５＿１．０*_15・基礎２),0)</f>
        <v>605</v>
      </c>
      <c r="AA249" s="48"/>
    </row>
    <row r="250" spans="1:27" ht="16.5" customHeight="1" x14ac:dyDescent="0.15">
      <c r="A250" s="41">
        <v>15</v>
      </c>
      <c r="B250" s="41">
        <v>9442</v>
      </c>
      <c r="C250" s="74" t="s">
        <v>19434</v>
      </c>
      <c r="D250" s="72"/>
      <c r="F250" s="57"/>
      <c r="G250" s="72"/>
      <c r="H250" s="168">
        <f>_15_同援日１．５＿１．０</f>
        <v>130</v>
      </c>
      <c r="I250" s="57" t="s">
        <v>392</v>
      </c>
      <c r="J250" s="269" t="s">
        <v>17560</v>
      </c>
      <c r="K250" s="37" t="s">
        <v>398</v>
      </c>
      <c r="L250" s="38">
        <v>0.9</v>
      </c>
      <c r="M250" s="299" t="s">
        <v>17556</v>
      </c>
      <c r="N250" s="45" t="s">
        <v>398</v>
      </c>
      <c r="O250" s="46">
        <v>1</v>
      </c>
      <c r="P250" s="512"/>
      <c r="Q250" s="57"/>
      <c r="R250" s="43"/>
      <c r="S250" s="37"/>
      <c r="T250" s="38"/>
      <c r="U250" s="79"/>
      <c r="V250" s="35"/>
      <c r="Y250" s="57"/>
      <c r="Z250" s="208">
        <f>ROUND((ROUND((ROUND((_15_同援日１．５*_15・基礎２),0)*_15・２人),0)*(1+_15・A早朝)),0)+ROUND((ROUND((_15_同援日１．５＿１．０*_15・基礎２),0)*_15・２人),0)</f>
        <v>605</v>
      </c>
      <c r="AA250" s="48"/>
    </row>
    <row r="251" spans="1:27" ht="16.5" customHeight="1" x14ac:dyDescent="0.15">
      <c r="A251" s="41">
        <v>15</v>
      </c>
      <c r="B251" s="41">
        <v>9443</v>
      </c>
      <c r="C251" s="74" t="s">
        <v>19435</v>
      </c>
      <c r="D251" s="72"/>
      <c r="F251" s="57"/>
      <c r="G251" s="72"/>
      <c r="I251" s="57"/>
      <c r="J251" s="53"/>
      <c r="K251" s="49"/>
      <c r="L251" s="50"/>
      <c r="M251" s="163"/>
      <c r="N251" s="45"/>
      <c r="O251" s="46"/>
      <c r="P251" s="512"/>
      <c r="Q251" s="57"/>
      <c r="R251" s="114" t="s">
        <v>17562</v>
      </c>
      <c r="S251" s="49"/>
      <c r="T251" s="50"/>
      <c r="U251" s="115"/>
      <c r="V251" s="35"/>
      <c r="Y251" s="57"/>
      <c r="Z251" s="208">
        <f>ROUND((ROUND((_15_同援日１．５*(1+_15・A早朝)),0)*(1+_15・盲ろう)),0)+ROUND((_15_同援日１．５＿１．０*(1+_15・盲ろう)),0)</f>
        <v>839</v>
      </c>
      <c r="AA251" s="48"/>
    </row>
    <row r="252" spans="1:27" ht="16.5" customHeight="1" x14ac:dyDescent="0.15">
      <c r="A252" s="41">
        <v>15</v>
      </c>
      <c r="B252" s="41">
        <v>9444</v>
      </c>
      <c r="C252" s="74" t="s">
        <v>19436</v>
      </c>
      <c r="D252" s="72"/>
      <c r="F252" s="57"/>
      <c r="G252" s="72"/>
      <c r="I252" s="57"/>
      <c r="J252" s="43"/>
      <c r="K252" s="37"/>
      <c r="L252" s="38"/>
      <c r="M252" s="299" t="s">
        <v>17556</v>
      </c>
      <c r="N252" s="45" t="s">
        <v>398</v>
      </c>
      <c r="O252" s="46">
        <v>1</v>
      </c>
      <c r="P252" s="512"/>
      <c r="Q252" s="57"/>
      <c r="R252" s="92" t="s">
        <v>17564</v>
      </c>
      <c r="U252" s="57"/>
      <c r="V252" s="35"/>
      <c r="Y252" s="57"/>
      <c r="Z252" s="208">
        <f>ROUND((ROUND((ROUND((_15_同援日１．５*_15・２人),0)*(1+_15・A早朝)),0)*(1+_15・盲ろう)),0)+ROUND((ROUND((_15_同援日１．５＿１．０*_15・２人),0)*(1+_15・盲ろう)),0)</f>
        <v>839</v>
      </c>
      <c r="AA252" s="48"/>
    </row>
    <row r="253" spans="1:27" ht="16.5" customHeight="1" x14ac:dyDescent="0.15">
      <c r="A253" s="41">
        <v>15</v>
      </c>
      <c r="B253" s="41">
        <v>9445</v>
      </c>
      <c r="C253" s="74" t="s">
        <v>19437</v>
      </c>
      <c r="D253" s="72"/>
      <c r="F253" s="57"/>
      <c r="G253" s="72"/>
      <c r="I253" s="57"/>
      <c r="J253" s="114" t="s">
        <v>17558</v>
      </c>
      <c r="K253" s="49"/>
      <c r="L253" s="50"/>
      <c r="M253" s="163"/>
      <c r="N253" s="45"/>
      <c r="O253" s="46"/>
      <c r="P253" s="512"/>
      <c r="Q253" s="57"/>
      <c r="R253" s="35"/>
      <c r="S253" s="12" t="s">
        <v>398</v>
      </c>
      <c r="T253" s="13">
        <v>0.25</v>
      </c>
      <c r="U253" s="57" t="s">
        <v>3575</v>
      </c>
      <c r="V253" s="35"/>
      <c r="Y253" s="57"/>
      <c r="Z253" s="208">
        <f>ROUND((ROUND((ROUND((_15_同援日１．５*_15・基礎２),0)*(1+_15・A早朝)),0)*(1+_15・盲ろう)),0)+ROUND((ROUND((_15_同援日１．５＿１．０*_15・基礎２),0)*(1+_15・盲ろう)),0)</f>
        <v>756</v>
      </c>
      <c r="AA253" s="48"/>
    </row>
    <row r="254" spans="1:27" ht="16.5" customHeight="1" x14ac:dyDescent="0.15">
      <c r="A254" s="41">
        <v>15</v>
      </c>
      <c r="B254" s="41">
        <v>9446</v>
      </c>
      <c r="C254" s="74" t="s">
        <v>19438</v>
      </c>
      <c r="D254" s="72"/>
      <c r="F254" s="57"/>
      <c r="G254" s="72"/>
      <c r="I254" s="57"/>
      <c r="J254" s="269" t="s">
        <v>17560</v>
      </c>
      <c r="K254" s="37" t="s">
        <v>398</v>
      </c>
      <c r="L254" s="38">
        <v>0.9</v>
      </c>
      <c r="M254" s="299" t="s">
        <v>17556</v>
      </c>
      <c r="N254" s="45" t="s">
        <v>398</v>
      </c>
      <c r="O254" s="46">
        <v>1</v>
      </c>
      <c r="P254" s="512"/>
      <c r="Q254" s="57"/>
      <c r="R254" s="43"/>
      <c r="S254" s="37"/>
      <c r="T254" s="38"/>
      <c r="U254" s="79"/>
      <c r="V254" s="43"/>
      <c r="W254" s="37"/>
      <c r="X254" s="38"/>
      <c r="Y254" s="79"/>
      <c r="Z254" s="208">
        <f>ROUND((ROUND((ROUND((ROUND((_15_同援日１．５*_15・基礎２),0)*_15・２人),0)*(1+_15・A早朝)),0)*(1+_15・盲ろう)),0)+ROUND((ROUND((ROUND((_15_同援日１．５＿１．０*_15・基礎２),0)*_15・２人),0)*(1+_15・盲ろう)),0)</f>
        <v>756</v>
      </c>
      <c r="AA254" s="48"/>
    </row>
    <row r="255" spans="1:27" ht="16.5" customHeight="1" x14ac:dyDescent="0.15">
      <c r="A255" s="41">
        <v>15</v>
      </c>
      <c r="B255" s="41">
        <v>9447</v>
      </c>
      <c r="C255" s="74" t="s">
        <v>19439</v>
      </c>
      <c r="D255" s="72"/>
      <c r="F255" s="57"/>
      <c r="G255" s="72"/>
      <c r="I255" s="57"/>
      <c r="J255" s="53"/>
      <c r="K255" s="49"/>
      <c r="L255" s="50"/>
      <c r="M255" s="163"/>
      <c r="N255" s="45"/>
      <c r="O255" s="46"/>
      <c r="P255" s="512"/>
      <c r="Q255" s="57"/>
      <c r="R255" s="53"/>
      <c r="S255" s="49"/>
      <c r="T255" s="50"/>
      <c r="U255" s="115"/>
      <c r="V255" s="53"/>
      <c r="W255" s="49"/>
      <c r="X255" s="50"/>
      <c r="Y255" s="115"/>
      <c r="Z255" s="208">
        <f>ROUND((ROUND((_15_同援日１．５*(1+_15・A早朝)),0)*(1+_15・区３)),0)+ROUND((_15_同援日１．５＿１．０*(1+_15・区３)),0)</f>
        <v>805</v>
      </c>
      <c r="AA255" s="48"/>
    </row>
    <row r="256" spans="1:27" ht="16.5" customHeight="1" x14ac:dyDescent="0.15">
      <c r="A256" s="41">
        <v>15</v>
      </c>
      <c r="B256" s="41">
        <v>9448</v>
      </c>
      <c r="C256" s="74" t="s">
        <v>19440</v>
      </c>
      <c r="D256" s="72"/>
      <c r="F256" s="57"/>
      <c r="G256" s="72"/>
      <c r="I256" s="57"/>
      <c r="J256" s="43"/>
      <c r="K256" s="37"/>
      <c r="L256" s="38"/>
      <c r="M256" s="299" t="s">
        <v>17556</v>
      </c>
      <c r="N256" s="45" t="s">
        <v>398</v>
      </c>
      <c r="O256" s="46">
        <v>1</v>
      </c>
      <c r="P256" s="512"/>
      <c r="Q256" s="57"/>
      <c r="R256" s="35"/>
      <c r="U256" s="57"/>
      <c r="V256" s="35"/>
      <c r="Y256" s="57"/>
      <c r="Z256" s="208">
        <f>ROUND((ROUND((ROUND((_15_同援日１．５*_15・２人),0)*(1+_15・A早朝)),0)*(1+_15・区３)),0)+ROUND((ROUND((_15_同援日１．５＿１．０*_15・２人),0)*(1+_15・区３)),0)</f>
        <v>805</v>
      </c>
      <c r="AA256" s="48"/>
    </row>
    <row r="257" spans="1:27" ht="16.5" customHeight="1" x14ac:dyDescent="0.15">
      <c r="A257" s="41">
        <v>15</v>
      </c>
      <c r="B257" s="41">
        <v>9449</v>
      </c>
      <c r="C257" s="74" t="s">
        <v>19441</v>
      </c>
      <c r="D257" s="72"/>
      <c r="F257" s="57"/>
      <c r="G257" s="72"/>
      <c r="I257" s="57"/>
      <c r="J257" s="114" t="s">
        <v>17558</v>
      </c>
      <c r="K257" s="49"/>
      <c r="L257" s="50"/>
      <c r="M257" s="163"/>
      <c r="N257" s="45"/>
      <c r="O257" s="46"/>
      <c r="P257" s="512"/>
      <c r="Q257" s="57"/>
      <c r="R257" s="35"/>
      <c r="U257" s="57"/>
      <c r="V257" s="72" t="s">
        <v>17570</v>
      </c>
      <c r="Y257" s="57"/>
      <c r="Z257" s="208">
        <f>ROUND((ROUND((ROUND((_15_同援日１．５*_15・基礎２),0)*(1+_15・A早朝)),0)*(1+_15・区３)),0)+ROUND((ROUND((_15_同援日１．５＿１．０*_15・基礎２),0)*(1+_15・区３)),0)</f>
        <v>726</v>
      </c>
      <c r="AA257" s="48"/>
    </row>
    <row r="258" spans="1:27" ht="16.5" customHeight="1" x14ac:dyDescent="0.15">
      <c r="A258" s="41">
        <v>15</v>
      </c>
      <c r="B258" s="41">
        <v>9450</v>
      </c>
      <c r="C258" s="74" t="s">
        <v>19442</v>
      </c>
      <c r="D258" s="72"/>
      <c r="F258" s="57"/>
      <c r="G258" s="72"/>
      <c r="I258" s="57"/>
      <c r="J258" s="269" t="s">
        <v>17560</v>
      </c>
      <c r="K258" s="37" t="s">
        <v>398</v>
      </c>
      <c r="L258" s="38">
        <v>0.9</v>
      </c>
      <c r="M258" s="299" t="s">
        <v>17556</v>
      </c>
      <c r="N258" s="45" t="s">
        <v>398</v>
      </c>
      <c r="O258" s="46">
        <v>1</v>
      </c>
      <c r="P258" s="512"/>
      <c r="Q258" s="57"/>
      <c r="R258" s="43"/>
      <c r="S258" s="37"/>
      <c r="T258" s="38"/>
      <c r="U258" s="79"/>
      <c r="V258" s="72" t="s">
        <v>17572</v>
      </c>
      <c r="Y258" s="57"/>
      <c r="Z258" s="208">
        <f>ROUND((ROUND((ROUND((ROUND((_15_同援日１．５*_15・基礎２),0)*_15・２人),0)*(1+_15・A早朝)),0)*(1+_15・区３)),0)+ROUND((ROUND((ROUND((_15_同援日１．５＿１．０*_15・基礎２),0)*_15・２人),0)*(1+_15・区３)),0)</f>
        <v>726</v>
      </c>
      <c r="AA258" s="48"/>
    </row>
    <row r="259" spans="1:27" ht="16.5" customHeight="1" x14ac:dyDescent="0.15">
      <c r="A259" s="41">
        <v>15</v>
      </c>
      <c r="B259" s="41">
        <v>9451</v>
      </c>
      <c r="C259" s="74" t="s">
        <v>19443</v>
      </c>
      <c r="D259" s="72"/>
      <c r="F259" s="57"/>
      <c r="G259" s="72"/>
      <c r="I259" s="57"/>
      <c r="J259" s="53"/>
      <c r="K259" s="49"/>
      <c r="L259" s="50"/>
      <c r="M259" s="163"/>
      <c r="N259" s="45"/>
      <c r="O259" s="46"/>
      <c r="P259" s="512"/>
      <c r="Q259" s="57"/>
      <c r="R259" s="114" t="s">
        <v>17562</v>
      </c>
      <c r="S259" s="49"/>
      <c r="T259" s="50"/>
      <c r="U259" s="115"/>
      <c r="V259" s="35"/>
      <c r="W259" s="12" t="s">
        <v>398</v>
      </c>
      <c r="X259" s="13">
        <v>0.2</v>
      </c>
      <c r="Y259" s="57" t="s">
        <v>3575</v>
      </c>
      <c r="Z259" s="208">
        <f>ROUND((ROUND((ROUND((_15_同援日１．５*(1+_15・A早朝)),0)*(1+_15・盲ろう)),0)*(1+_15・区３)),0)+ROUND((ROUND((_15_同援日１．５＿１．０*(1+_15・盲ろう)),0)*(1+_15・区３)),0)</f>
        <v>1007</v>
      </c>
      <c r="AA259" s="48"/>
    </row>
    <row r="260" spans="1:27" ht="16.5" customHeight="1" x14ac:dyDescent="0.15">
      <c r="A260" s="41">
        <v>15</v>
      </c>
      <c r="B260" s="41">
        <v>9452</v>
      </c>
      <c r="C260" s="74" t="s">
        <v>19444</v>
      </c>
      <c r="D260" s="72"/>
      <c r="F260" s="57"/>
      <c r="G260" s="72"/>
      <c r="I260" s="57"/>
      <c r="J260" s="43"/>
      <c r="K260" s="37"/>
      <c r="L260" s="38"/>
      <c r="M260" s="299" t="s">
        <v>17556</v>
      </c>
      <c r="N260" s="45" t="s">
        <v>398</v>
      </c>
      <c r="O260" s="46">
        <v>1</v>
      </c>
      <c r="P260" s="512"/>
      <c r="Q260" s="57"/>
      <c r="R260" s="92" t="s">
        <v>17564</v>
      </c>
      <c r="U260" s="57"/>
      <c r="V260" s="35"/>
      <c r="Y260" s="57"/>
      <c r="Z260" s="208">
        <f>ROUND((ROUND((ROUND((ROUND((_15_同援日１．５*_15・２人),0)*(1+_15・A早朝)),0)*(1+_15・盲ろう)),0)*(1+_15・区３)),0)+ROUND((ROUND((ROUND((_15_同援日１．５＿１．０*_15・２人),0)*(1+_15・盲ろう)),0)*(1+_15・区３)),0)</f>
        <v>1007</v>
      </c>
      <c r="AA260" s="48"/>
    </row>
    <row r="261" spans="1:27" ht="16.5" customHeight="1" x14ac:dyDescent="0.15">
      <c r="A261" s="41">
        <v>15</v>
      </c>
      <c r="B261" s="41">
        <v>9453</v>
      </c>
      <c r="C261" s="74" t="s">
        <v>19445</v>
      </c>
      <c r="D261" s="72"/>
      <c r="F261" s="57"/>
      <c r="G261" s="72"/>
      <c r="I261" s="57"/>
      <c r="J261" s="114" t="s">
        <v>17558</v>
      </c>
      <c r="K261" s="49"/>
      <c r="L261" s="50"/>
      <c r="M261" s="163"/>
      <c r="N261" s="45"/>
      <c r="O261" s="46"/>
      <c r="P261" s="512"/>
      <c r="Q261" s="57"/>
      <c r="R261" s="35"/>
      <c r="S261" s="12" t="s">
        <v>398</v>
      </c>
      <c r="T261" s="13">
        <v>0.25</v>
      </c>
      <c r="U261" s="57" t="s">
        <v>3575</v>
      </c>
      <c r="V261" s="35"/>
      <c r="Y261" s="57"/>
      <c r="Z261" s="208">
        <f>ROUND((ROUND((ROUND((ROUND((_15_同援日１．５*_15・基礎２),0)*(1+_15・A早朝)),0)*(1+_15・盲ろう)),0)*(1+_15・区３)),0)+ROUND((ROUND((ROUND((_15_同援日１．５＿１．０*_15・基礎２),0)*(1+_15・盲ろう)),0)*(1+_15・区３)),0)</f>
        <v>907</v>
      </c>
      <c r="AA261" s="48"/>
    </row>
    <row r="262" spans="1:27" ht="16.5" customHeight="1" x14ac:dyDescent="0.15">
      <c r="A262" s="41">
        <v>15</v>
      </c>
      <c r="B262" s="41">
        <v>9454</v>
      </c>
      <c r="C262" s="74" t="s">
        <v>19446</v>
      </c>
      <c r="D262" s="72"/>
      <c r="F262" s="57"/>
      <c r="G262" s="72"/>
      <c r="I262" s="57"/>
      <c r="J262" s="269" t="s">
        <v>17560</v>
      </c>
      <c r="K262" s="37" t="s">
        <v>398</v>
      </c>
      <c r="L262" s="38">
        <v>0.9</v>
      </c>
      <c r="M262" s="299" t="s">
        <v>17556</v>
      </c>
      <c r="N262" s="45" t="s">
        <v>398</v>
      </c>
      <c r="O262" s="46">
        <v>1</v>
      </c>
      <c r="P262" s="512"/>
      <c r="Q262" s="57"/>
      <c r="R262" s="43"/>
      <c r="S262" s="37"/>
      <c r="T262" s="38"/>
      <c r="U262" s="79"/>
      <c r="V262" s="43"/>
      <c r="W262" s="37"/>
      <c r="X262" s="38"/>
      <c r="Y262" s="79"/>
      <c r="Z262" s="208">
        <f>ROUND((ROUND((ROUND((ROUND((ROUND((_15_同援日１．５*_15・基礎２),0)*_15・２人),0)*(1+_15・A早朝)),0)*(1+_15・盲ろう)),0)*(1+_15・区３)),0)+ROUND((ROUND((ROUND((ROUND((_15_同援日１．５＿１．０*_15・基礎２),0)*_15・２人),0)*(1+_15・盲ろう)),0)*(1+_15・区３)),0)</f>
        <v>907</v>
      </c>
      <c r="AA262" s="48"/>
    </row>
    <row r="263" spans="1:27" ht="16.5" customHeight="1" x14ac:dyDescent="0.15">
      <c r="A263" s="41">
        <v>15</v>
      </c>
      <c r="B263" s="41">
        <v>9455</v>
      </c>
      <c r="C263" s="74" t="s">
        <v>19447</v>
      </c>
      <c r="D263" s="72"/>
      <c r="F263" s="57"/>
      <c r="G263" s="72"/>
      <c r="I263" s="57"/>
      <c r="J263" s="53"/>
      <c r="K263" s="49"/>
      <c r="L263" s="50"/>
      <c r="M263" s="163"/>
      <c r="N263" s="45"/>
      <c r="O263" s="46"/>
      <c r="P263" s="512"/>
      <c r="Q263" s="57"/>
      <c r="R263" s="53"/>
      <c r="S263" s="49"/>
      <c r="T263" s="50"/>
      <c r="U263" s="115"/>
      <c r="V263" s="53"/>
      <c r="W263" s="49"/>
      <c r="X263" s="50"/>
      <c r="Y263" s="115"/>
      <c r="Z263" s="208">
        <f>ROUND((ROUND((_15_同援日１．５*(1+_15・A早朝)),0)*(1+_15・区４)),0)+ROUND((_15_同援日１．５＿１．０*(1+_15・区４)),0)</f>
        <v>939</v>
      </c>
      <c r="AA263" s="48"/>
    </row>
    <row r="264" spans="1:27" ht="16.5" customHeight="1" x14ac:dyDescent="0.15">
      <c r="A264" s="41">
        <v>15</v>
      </c>
      <c r="B264" s="41">
        <v>9456</v>
      </c>
      <c r="C264" s="74" t="s">
        <v>19448</v>
      </c>
      <c r="D264" s="72"/>
      <c r="F264" s="57"/>
      <c r="G264" s="72"/>
      <c r="I264" s="57"/>
      <c r="J264" s="43"/>
      <c r="K264" s="37"/>
      <c r="L264" s="38"/>
      <c r="M264" s="299" t="s">
        <v>17556</v>
      </c>
      <c r="N264" s="45" t="s">
        <v>398</v>
      </c>
      <c r="O264" s="46">
        <v>1</v>
      </c>
      <c r="P264" s="512"/>
      <c r="Q264" s="57"/>
      <c r="R264" s="35"/>
      <c r="U264" s="57"/>
      <c r="V264" s="35"/>
      <c r="Y264" s="57"/>
      <c r="Z264" s="208">
        <f>ROUND((ROUND((ROUND((_15_同援日１．５*_15・２人),0)*(1+_15・A早朝)),0)*(1+_15・区４)),0)+ROUND((ROUND((_15_同援日１．５＿１．０*_15・２人),0)*(1+_15・区４)),0)</f>
        <v>939</v>
      </c>
      <c r="AA264" s="48"/>
    </row>
    <row r="265" spans="1:27" ht="16.5" customHeight="1" x14ac:dyDescent="0.15">
      <c r="A265" s="41">
        <v>15</v>
      </c>
      <c r="B265" s="41">
        <v>9457</v>
      </c>
      <c r="C265" s="74" t="s">
        <v>19449</v>
      </c>
      <c r="D265" s="72"/>
      <c r="F265" s="57"/>
      <c r="G265" s="72"/>
      <c r="I265" s="57"/>
      <c r="J265" s="114" t="s">
        <v>17558</v>
      </c>
      <c r="K265" s="49"/>
      <c r="L265" s="50"/>
      <c r="M265" s="163"/>
      <c r="N265" s="45"/>
      <c r="O265" s="46"/>
      <c r="P265" s="512"/>
      <c r="Q265" s="57"/>
      <c r="R265" s="35"/>
      <c r="U265" s="57"/>
      <c r="V265" s="72" t="s">
        <v>17580</v>
      </c>
      <c r="Y265" s="57"/>
      <c r="Z265" s="208">
        <f>ROUND((ROUND((ROUND((_15_同援日１．５*_15・基礎２),0)*(1+_15・A早朝)),0)*(1+_15・区４)),0)+ROUND((ROUND((_15_同援日１．５＿１．０*_15・基礎２),0)*(1+_15・区４)),0)</f>
        <v>847</v>
      </c>
      <c r="AA265" s="48"/>
    </row>
    <row r="266" spans="1:27" ht="16.5" customHeight="1" x14ac:dyDescent="0.15">
      <c r="A266" s="41">
        <v>15</v>
      </c>
      <c r="B266" s="41">
        <v>9458</v>
      </c>
      <c r="C266" s="74" t="s">
        <v>19450</v>
      </c>
      <c r="D266" s="72"/>
      <c r="F266" s="57"/>
      <c r="G266" s="72"/>
      <c r="I266" s="57"/>
      <c r="J266" s="269" t="s">
        <v>17560</v>
      </c>
      <c r="K266" s="37" t="s">
        <v>398</v>
      </c>
      <c r="L266" s="38">
        <v>0.9</v>
      </c>
      <c r="M266" s="299" t="s">
        <v>17556</v>
      </c>
      <c r="N266" s="45" t="s">
        <v>398</v>
      </c>
      <c r="O266" s="46">
        <v>1</v>
      </c>
      <c r="P266" s="512"/>
      <c r="Q266" s="57"/>
      <c r="R266" s="43"/>
      <c r="S266" s="37"/>
      <c r="T266" s="38"/>
      <c r="U266" s="79"/>
      <c r="V266" s="72" t="s">
        <v>17572</v>
      </c>
      <c r="Y266" s="57"/>
      <c r="Z266" s="208">
        <f>ROUND((ROUND((ROUND((ROUND((_15_同援日１．５*_15・基礎２),0)*_15・２人),0)*(1+_15・A早朝)),0)*(1+_15・区４)),0)+ROUND((ROUND((ROUND((_15_同援日１．５＿１．０*_15・基礎２),0)*_15・２人),0)*(1+_15・区４)),0)</f>
        <v>847</v>
      </c>
      <c r="AA266" s="48"/>
    </row>
    <row r="267" spans="1:27" ht="16.5" customHeight="1" x14ac:dyDescent="0.15">
      <c r="A267" s="41">
        <v>15</v>
      </c>
      <c r="B267" s="41">
        <v>9459</v>
      </c>
      <c r="C267" s="74" t="s">
        <v>19451</v>
      </c>
      <c r="D267" s="72"/>
      <c r="F267" s="57"/>
      <c r="G267" s="72"/>
      <c r="I267" s="57"/>
      <c r="J267" s="53"/>
      <c r="K267" s="49"/>
      <c r="L267" s="50"/>
      <c r="M267" s="163"/>
      <c r="N267" s="45"/>
      <c r="O267" s="46"/>
      <c r="P267" s="512"/>
      <c r="Q267" s="57"/>
      <c r="R267" s="114" t="s">
        <v>17562</v>
      </c>
      <c r="S267" s="49"/>
      <c r="T267" s="50"/>
      <c r="U267" s="115"/>
      <c r="V267" s="35"/>
      <c r="W267" s="12" t="s">
        <v>398</v>
      </c>
      <c r="X267" s="13">
        <v>0.4</v>
      </c>
      <c r="Y267" s="57" t="s">
        <v>3575</v>
      </c>
      <c r="Z267" s="208">
        <f>ROUND((ROUND((ROUND((_15_同援日１．５*(1+_15・A早朝)),0)*(1+_15・盲ろう)),0)*(1+_15・区４)),0)+ROUND((ROUND((_15_同援日１．５＿１．０*(1+_15・盲ろう)),0)*(1+_15・区４)),0)</f>
        <v>1174</v>
      </c>
      <c r="AA267" s="48"/>
    </row>
    <row r="268" spans="1:27" ht="16.5" customHeight="1" x14ac:dyDescent="0.15">
      <c r="A268" s="41">
        <v>15</v>
      </c>
      <c r="B268" s="41">
        <v>9460</v>
      </c>
      <c r="C268" s="74" t="s">
        <v>19452</v>
      </c>
      <c r="D268" s="72"/>
      <c r="F268" s="57"/>
      <c r="G268" s="72"/>
      <c r="I268" s="57"/>
      <c r="J268" s="43"/>
      <c r="K268" s="37"/>
      <c r="L268" s="38"/>
      <c r="M268" s="299" t="s">
        <v>17556</v>
      </c>
      <c r="N268" s="45" t="s">
        <v>398</v>
      </c>
      <c r="O268" s="46">
        <v>1</v>
      </c>
      <c r="P268" s="512"/>
      <c r="Q268" s="57"/>
      <c r="R268" s="92" t="s">
        <v>17564</v>
      </c>
      <c r="U268" s="57"/>
      <c r="V268" s="35"/>
      <c r="Y268" s="57"/>
      <c r="Z268" s="208">
        <f>ROUND((ROUND((ROUND((ROUND((_15_同援日１．５*_15・２人),0)*(1+_15・A早朝)),0)*(1+_15・盲ろう)),0)*(1+_15・区４)),0)+ROUND((ROUND((ROUND((_15_同援日１．５＿１．０*_15・２人),0)*(1+_15・盲ろう)),0)*(1+_15・区４)),0)</f>
        <v>1174</v>
      </c>
      <c r="AA268" s="48"/>
    </row>
    <row r="269" spans="1:27" ht="16.5" customHeight="1" x14ac:dyDescent="0.15">
      <c r="A269" s="41">
        <v>15</v>
      </c>
      <c r="B269" s="41">
        <v>9461</v>
      </c>
      <c r="C269" s="74" t="s">
        <v>19453</v>
      </c>
      <c r="D269" s="72"/>
      <c r="F269" s="57"/>
      <c r="G269" s="72"/>
      <c r="I269" s="57"/>
      <c r="J269" s="114" t="s">
        <v>17558</v>
      </c>
      <c r="K269" s="49"/>
      <c r="L269" s="50"/>
      <c r="M269" s="163"/>
      <c r="N269" s="45"/>
      <c r="O269" s="46"/>
      <c r="P269" s="512"/>
      <c r="Q269" s="57"/>
      <c r="R269" s="35"/>
      <c r="S269" s="12" t="s">
        <v>398</v>
      </c>
      <c r="T269" s="13">
        <v>0.25</v>
      </c>
      <c r="U269" s="57" t="s">
        <v>3575</v>
      </c>
      <c r="V269" s="35"/>
      <c r="Y269" s="57"/>
      <c r="Z269" s="208">
        <f>ROUND((ROUND((ROUND((ROUND((_15_同援日１．５*_15・基礎２),0)*(1+_15・A早朝)),0)*(1+_15・盲ろう)),0)*(1+_15・区４)),0)+ROUND((ROUND((ROUND((_15_同援日１．５＿１．０*_15・基礎２),0)*(1+_15・盲ろう)),0)*(1+_15・区４)),0)</f>
        <v>1058</v>
      </c>
      <c r="AA269" s="48"/>
    </row>
    <row r="270" spans="1:27" ht="16.5" customHeight="1" x14ac:dyDescent="0.15">
      <c r="A270" s="41">
        <v>15</v>
      </c>
      <c r="B270" s="41">
        <v>9462</v>
      </c>
      <c r="C270" s="74" t="s">
        <v>19454</v>
      </c>
      <c r="D270" s="72"/>
      <c r="F270" s="57"/>
      <c r="G270" s="122"/>
      <c r="H270" s="37"/>
      <c r="I270" s="79"/>
      <c r="J270" s="269" t="s">
        <v>17560</v>
      </c>
      <c r="K270" s="37" t="s">
        <v>398</v>
      </c>
      <c r="L270" s="38">
        <v>0.9</v>
      </c>
      <c r="M270" s="299" t="s">
        <v>17556</v>
      </c>
      <c r="N270" s="45" t="s">
        <v>398</v>
      </c>
      <c r="O270" s="46">
        <v>1</v>
      </c>
      <c r="P270" s="512"/>
      <c r="Q270" s="57"/>
      <c r="R270" s="43"/>
      <c r="S270" s="37"/>
      <c r="T270" s="38"/>
      <c r="U270" s="79"/>
      <c r="V270" s="43"/>
      <c r="W270" s="37"/>
      <c r="X270" s="38"/>
      <c r="Y270" s="79"/>
      <c r="Z270" s="208">
        <f>ROUND((ROUND((ROUND((ROUND((ROUND((_15_同援日１．５*_15・基礎２),0)*_15・２人),0)*(1+_15・A早朝)),0)*(1+_15・盲ろう)),0)*(1+_15・区４)),0)+ROUND((ROUND((ROUND((ROUND((_15_同援日１．５＿１．０*_15・基礎２),0)*_15・２人),0)*(1+_15・盲ろう)),0)*(1+_15・区４)),0)</f>
        <v>1058</v>
      </c>
      <c r="AA270" s="48"/>
    </row>
    <row r="271" spans="1:27" ht="16.5" customHeight="1" x14ac:dyDescent="0.15">
      <c r="A271" s="41">
        <v>15</v>
      </c>
      <c r="B271" s="41">
        <v>9463</v>
      </c>
      <c r="C271" s="74" t="s">
        <v>19455</v>
      </c>
      <c r="D271" s="72"/>
      <c r="F271" s="57"/>
      <c r="G271" s="114" t="s">
        <v>19237</v>
      </c>
      <c r="H271" s="49"/>
      <c r="I271" s="115"/>
      <c r="J271" s="53"/>
      <c r="K271" s="49"/>
      <c r="L271" s="50"/>
      <c r="M271" s="163"/>
      <c r="N271" s="45"/>
      <c r="O271" s="46"/>
      <c r="P271" s="512"/>
      <c r="Q271" s="57"/>
      <c r="R271" s="53"/>
      <c r="S271" s="49"/>
      <c r="T271" s="50"/>
      <c r="U271" s="115"/>
      <c r="V271" s="53"/>
      <c r="W271" s="49"/>
      <c r="X271" s="50"/>
      <c r="Y271" s="115"/>
      <c r="Z271" s="208">
        <f>ROUND((_15_同援日１．５*(1+_15・A早朝)),0)+_15_同援日１．５＿１．５</f>
        <v>736</v>
      </c>
      <c r="AA271" s="48"/>
    </row>
    <row r="272" spans="1:27" ht="16.5" customHeight="1" x14ac:dyDescent="0.15">
      <c r="A272" s="41">
        <v>15</v>
      </c>
      <c r="B272" s="41">
        <v>9464</v>
      </c>
      <c r="C272" s="74" t="s">
        <v>19456</v>
      </c>
      <c r="D272" s="72"/>
      <c r="F272" s="57"/>
      <c r="G272" s="72" t="s">
        <v>17616</v>
      </c>
      <c r="I272" s="57"/>
      <c r="J272" s="43"/>
      <c r="K272" s="37"/>
      <c r="L272" s="38"/>
      <c r="M272" s="299" t="s">
        <v>17556</v>
      </c>
      <c r="N272" s="45" t="s">
        <v>398</v>
      </c>
      <c r="O272" s="46">
        <v>1</v>
      </c>
      <c r="P272" s="512"/>
      <c r="Q272" s="57"/>
      <c r="R272" s="35"/>
      <c r="U272" s="57"/>
      <c r="V272" s="35"/>
      <c r="Y272" s="57"/>
      <c r="Z272" s="208">
        <f>ROUND((ROUND((_15_同援日１．５*_15・２人),0)*(1+_15・A早朝)),0)+ROUND((_15_同援日１．５＿１．５*_15・２人),0)</f>
        <v>736</v>
      </c>
      <c r="AA272" s="48"/>
    </row>
    <row r="273" spans="1:27" ht="16.5" customHeight="1" x14ac:dyDescent="0.15">
      <c r="A273" s="41">
        <v>15</v>
      </c>
      <c r="B273" s="41">
        <v>9465</v>
      </c>
      <c r="C273" s="74" t="s">
        <v>19457</v>
      </c>
      <c r="D273" s="72"/>
      <c r="F273" s="57"/>
      <c r="G273" s="72" t="s">
        <v>18183</v>
      </c>
      <c r="I273" s="57"/>
      <c r="J273" s="114" t="s">
        <v>17558</v>
      </c>
      <c r="K273" s="49"/>
      <c r="L273" s="50"/>
      <c r="M273" s="163"/>
      <c r="N273" s="45"/>
      <c r="O273" s="46"/>
      <c r="P273" s="512"/>
      <c r="Q273" s="57"/>
      <c r="R273" s="35"/>
      <c r="U273" s="57"/>
      <c r="V273" s="35"/>
      <c r="Y273" s="57"/>
      <c r="Z273" s="208">
        <f>ROUND((ROUND((_15_同援日１．５*_15・基礎２),0)*(1+_15・A早朝)),0)+ROUND((_15_同援日１．５＿１．５*_15・基礎２),0)</f>
        <v>664</v>
      </c>
      <c r="AA273" s="48"/>
    </row>
    <row r="274" spans="1:27" ht="16.5" customHeight="1" x14ac:dyDescent="0.15">
      <c r="A274" s="41">
        <v>15</v>
      </c>
      <c r="B274" s="41">
        <v>9466</v>
      </c>
      <c r="C274" s="74" t="s">
        <v>19458</v>
      </c>
      <c r="D274" s="72"/>
      <c r="F274" s="57"/>
      <c r="G274" s="72"/>
      <c r="H274" s="168">
        <f>_15_同援日１．５＿１．５</f>
        <v>195</v>
      </c>
      <c r="I274" s="57" t="s">
        <v>392</v>
      </c>
      <c r="J274" s="269" t="s">
        <v>17560</v>
      </c>
      <c r="K274" s="37" t="s">
        <v>398</v>
      </c>
      <c r="L274" s="38">
        <v>0.9</v>
      </c>
      <c r="M274" s="299" t="s">
        <v>17556</v>
      </c>
      <c r="N274" s="45" t="s">
        <v>398</v>
      </c>
      <c r="O274" s="46">
        <v>1</v>
      </c>
      <c r="P274" s="512"/>
      <c r="Q274" s="57"/>
      <c r="R274" s="43"/>
      <c r="S274" s="37"/>
      <c r="T274" s="38"/>
      <c r="U274" s="79"/>
      <c r="V274" s="35"/>
      <c r="Y274" s="57"/>
      <c r="Z274" s="208">
        <f>ROUND((ROUND((ROUND((_15_同援日１．５*_15・基礎２),0)*_15・２人),0)*(1+_15・A早朝)),0)+ROUND((ROUND((_15_同援日１．５＿１．５*_15・基礎２),0)*_15・２人),0)</f>
        <v>664</v>
      </c>
      <c r="AA274" s="48"/>
    </row>
    <row r="275" spans="1:27" ht="16.5" customHeight="1" x14ac:dyDescent="0.15">
      <c r="A275" s="41">
        <v>15</v>
      </c>
      <c r="B275" s="41">
        <v>9467</v>
      </c>
      <c r="C275" s="74" t="s">
        <v>19459</v>
      </c>
      <c r="D275" s="72"/>
      <c r="F275" s="57"/>
      <c r="G275" s="72"/>
      <c r="I275" s="57"/>
      <c r="J275" s="53"/>
      <c r="K275" s="49"/>
      <c r="L275" s="50"/>
      <c r="M275" s="163"/>
      <c r="N275" s="45"/>
      <c r="O275" s="46"/>
      <c r="P275" s="512"/>
      <c r="Q275" s="57"/>
      <c r="R275" s="114" t="s">
        <v>17562</v>
      </c>
      <c r="S275" s="49"/>
      <c r="T275" s="50"/>
      <c r="U275" s="115"/>
      <c r="V275" s="35"/>
      <c r="Y275" s="57"/>
      <c r="Z275" s="208">
        <f>ROUND((ROUND((_15_同援日１．５*(1+_15・A早朝)),0)*(1+_15・盲ろう)),0)+ROUND((_15_同援日１．５＿１．５*(1+_15・盲ろう)),0)</f>
        <v>920</v>
      </c>
      <c r="AA275" s="48"/>
    </row>
    <row r="276" spans="1:27" ht="16.5" customHeight="1" x14ac:dyDescent="0.15">
      <c r="A276" s="41">
        <v>15</v>
      </c>
      <c r="B276" s="41">
        <v>9468</v>
      </c>
      <c r="C276" s="74" t="s">
        <v>19460</v>
      </c>
      <c r="D276" s="72"/>
      <c r="F276" s="57"/>
      <c r="G276" s="72"/>
      <c r="I276" s="57"/>
      <c r="J276" s="43"/>
      <c r="K276" s="37"/>
      <c r="L276" s="38"/>
      <c r="M276" s="299" t="s">
        <v>17556</v>
      </c>
      <c r="N276" s="45" t="s">
        <v>398</v>
      </c>
      <c r="O276" s="46">
        <v>1</v>
      </c>
      <c r="P276" s="512"/>
      <c r="Q276" s="57"/>
      <c r="R276" s="92" t="s">
        <v>17564</v>
      </c>
      <c r="U276" s="57"/>
      <c r="V276" s="35"/>
      <c r="Y276" s="57"/>
      <c r="Z276" s="208">
        <f>ROUND((ROUND((ROUND((_15_同援日１．５*_15・２人),0)*(1+_15・A早朝)),0)*(1+_15・盲ろう)),0)+ROUND((ROUND((_15_同援日１．５＿１．５*_15・２人),0)*(1+_15・盲ろう)),0)</f>
        <v>920</v>
      </c>
      <c r="AA276" s="48"/>
    </row>
    <row r="277" spans="1:27" ht="16.5" customHeight="1" x14ac:dyDescent="0.15">
      <c r="A277" s="41">
        <v>15</v>
      </c>
      <c r="B277" s="41">
        <v>9469</v>
      </c>
      <c r="C277" s="74" t="s">
        <v>19461</v>
      </c>
      <c r="D277" s="72"/>
      <c r="F277" s="57"/>
      <c r="G277" s="72"/>
      <c r="I277" s="57"/>
      <c r="J277" s="114" t="s">
        <v>17558</v>
      </c>
      <c r="K277" s="49"/>
      <c r="L277" s="50"/>
      <c r="M277" s="163"/>
      <c r="N277" s="45"/>
      <c r="O277" s="46"/>
      <c r="P277" s="512"/>
      <c r="Q277" s="57"/>
      <c r="R277" s="35"/>
      <c r="S277" s="12" t="s">
        <v>398</v>
      </c>
      <c r="T277" s="13">
        <v>0.25</v>
      </c>
      <c r="U277" s="57" t="s">
        <v>3575</v>
      </c>
      <c r="V277" s="35"/>
      <c r="Y277" s="57"/>
      <c r="Z277" s="208">
        <f>ROUND((ROUND((ROUND((_15_同援日１．５*_15・基礎２),0)*(1+_15・A早朝)),0)*(1+_15・盲ろう)),0)+ROUND((ROUND((_15_同援日１．５＿１．５*_15・基礎２),0)*(1+_15・盲ろう)),0)</f>
        <v>830</v>
      </c>
      <c r="AA277" s="48"/>
    </row>
    <row r="278" spans="1:27" ht="16.5" customHeight="1" x14ac:dyDescent="0.15">
      <c r="A278" s="41">
        <v>15</v>
      </c>
      <c r="B278" s="41">
        <v>9470</v>
      </c>
      <c r="C278" s="74" t="s">
        <v>19462</v>
      </c>
      <c r="D278" s="72"/>
      <c r="F278" s="57"/>
      <c r="G278" s="72"/>
      <c r="I278" s="57"/>
      <c r="J278" s="269" t="s">
        <v>17560</v>
      </c>
      <c r="K278" s="37" t="s">
        <v>398</v>
      </c>
      <c r="L278" s="38">
        <v>0.9</v>
      </c>
      <c r="M278" s="299" t="s">
        <v>17556</v>
      </c>
      <c r="N278" s="45" t="s">
        <v>398</v>
      </c>
      <c r="O278" s="46">
        <v>1</v>
      </c>
      <c r="P278" s="512"/>
      <c r="Q278" s="57"/>
      <c r="R278" s="43"/>
      <c r="S278" s="37"/>
      <c r="T278" s="38"/>
      <c r="U278" s="79"/>
      <c r="V278" s="43"/>
      <c r="W278" s="37"/>
      <c r="X278" s="38"/>
      <c r="Y278" s="79"/>
      <c r="Z278" s="208">
        <f>ROUND((ROUND((ROUND((ROUND((_15_同援日１．５*_15・基礎２),0)*_15・２人),0)*(1+_15・A早朝)),0)*(1+_15・盲ろう)),0)+ROUND((ROUND((ROUND((_15_同援日１．５＿１．５*_15・基礎２),0)*_15・２人),0)*(1+_15・盲ろう)),0)</f>
        <v>830</v>
      </c>
      <c r="AA278" s="48"/>
    </row>
    <row r="279" spans="1:27" ht="16.5" customHeight="1" x14ac:dyDescent="0.15">
      <c r="A279" s="41">
        <v>15</v>
      </c>
      <c r="B279" s="41">
        <v>9471</v>
      </c>
      <c r="C279" s="74" t="s">
        <v>19463</v>
      </c>
      <c r="D279" s="72"/>
      <c r="F279" s="57"/>
      <c r="G279" s="72"/>
      <c r="I279" s="57"/>
      <c r="J279" s="53"/>
      <c r="K279" s="49"/>
      <c r="L279" s="50"/>
      <c r="M279" s="163"/>
      <c r="N279" s="45"/>
      <c r="O279" s="46"/>
      <c r="P279" s="512"/>
      <c r="Q279" s="57"/>
      <c r="R279" s="53"/>
      <c r="S279" s="49"/>
      <c r="T279" s="50"/>
      <c r="U279" s="115"/>
      <c r="V279" s="53"/>
      <c r="W279" s="49"/>
      <c r="X279" s="50"/>
      <c r="Y279" s="115"/>
      <c r="Z279" s="208">
        <f>ROUND((ROUND((_15_同援日１．５*(1+_15・A早朝)),0)*(1+_15・区３)),0)+ROUND((_15_同援日１．５＿１．５*(1+_15・区３)),0)</f>
        <v>883</v>
      </c>
      <c r="AA279" s="48"/>
    </row>
    <row r="280" spans="1:27" ht="16.5" customHeight="1" x14ac:dyDescent="0.15">
      <c r="A280" s="41">
        <v>15</v>
      </c>
      <c r="B280" s="41">
        <v>9472</v>
      </c>
      <c r="C280" s="74" t="s">
        <v>19464</v>
      </c>
      <c r="D280" s="72"/>
      <c r="F280" s="57"/>
      <c r="G280" s="72"/>
      <c r="I280" s="57"/>
      <c r="J280" s="43"/>
      <c r="K280" s="37"/>
      <c r="L280" s="38"/>
      <c r="M280" s="299" t="s">
        <v>17556</v>
      </c>
      <c r="N280" s="45" t="s">
        <v>398</v>
      </c>
      <c r="O280" s="46">
        <v>1</v>
      </c>
      <c r="P280" s="512"/>
      <c r="Q280" s="57"/>
      <c r="R280" s="35"/>
      <c r="U280" s="57"/>
      <c r="V280" s="35"/>
      <c r="Y280" s="57"/>
      <c r="Z280" s="208">
        <f>ROUND((ROUND((ROUND((_15_同援日１．５*_15・２人),0)*(1+_15・A早朝)),0)*(1+_15・区３)),0)+ROUND((ROUND((_15_同援日１．５＿１．５*_15・２人),0)*(1+_15・区３)),0)</f>
        <v>883</v>
      </c>
      <c r="AA280" s="48"/>
    </row>
    <row r="281" spans="1:27" ht="16.5" customHeight="1" x14ac:dyDescent="0.15">
      <c r="A281" s="41">
        <v>15</v>
      </c>
      <c r="B281" s="41">
        <v>9473</v>
      </c>
      <c r="C281" s="74" t="s">
        <v>19465</v>
      </c>
      <c r="D281" s="72"/>
      <c r="F281" s="57"/>
      <c r="G281" s="72"/>
      <c r="I281" s="57"/>
      <c r="J281" s="114" t="s">
        <v>17558</v>
      </c>
      <c r="K281" s="49"/>
      <c r="L281" s="50"/>
      <c r="M281" s="163"/>
      <c r="N281" s="45"/>
      <c r="O281" s="46"/>
      <c r="P281" s="512"/>
      <c r="Q281" s="57"/>
      <c r="R281" s="35"/>
      <c r="U281" s="57"/>
      <c r="V281" s="72" t="s">
        <v>17570</v>
      </c>
      <c r="Y281" s="57"/>
      <c r="Z281" s="208">
        <f>ROUND((ROUND((ROUND((_15_同援日１．５*_15・基礎２),0)*(1+_15・A早朝)),0)*(1+_15・区３)),0)+ROUND((ROUND((_15_同援日１．５＿１．５*_15・基礎２),0)*(1+_15・区３)),0)</f>
        <v>797</v>
      </c>
      <c r="AA281" s="48"/>
    </row>
    <row r="282" spans="1:27" ht="16.5" customHeight="1" x14ac:dyDescent="0.15">
      <c r="A282" s="41">
        <v>15</v>
      </c>
      <c r="B282" s="41">
        <v>9474</v>
      </c>
      <c r="C282" s="74" t="s">
        <v>19466</v>
      </c>
      <c r="D282" s="72"/>
      <c r="F282" s="57"/>
      <c r="G282" s="72"/>
      <c r="I282" s="57"/>
      <c r="J282" s="269" t="s">
        <v>17560</v>
      </c>
      <c r="K282" s="37" t="s">
        <v>398</v>
      </c>
      <c r="L282" s="38">
        <v>0.9</v>
      </c>
      <c r="M282" s="299" t="s">
        <v>17556</v>
      </c>
      <c r="N282" s="45" t="s">
        <v>398</v>
      </c>
      <c r="O282" s="46">
        <v>1</v>
      </c>
      <c r="P282" s="512"/>
      <c r="Q282" s="57"/>
      <c r="R282" s="43"/>
      <c r="S282" s="37"/>
      <c r="T282" s="38"/>
      <c r="U282" s="79"/>
      <c r="V282" s="72" t="s">
        <v>17572</v>
      </c>
      <c r="Y282" s="57"/>
      <c r="Z282" s="208">
        <f>ROUND((ROUND((ROUND((ROUND((_15_同援日１．５*_15・基礎２),0)*_15・２人),0)*(1+_15・A早朝)),0)*(1+_15・区３)),0)+ROUND((ROUND((ROUND((_15_同援日１．５＿１．５*_15・基礎２),0)*_15・２人),0)*(1+_15・区３)),0)</f>
        <v>797</v>
      </c>
      <c r="AA282" s="48"/>
    </row>
    <row r="283" spans="1:27" ht="16.5" customHeight="1" x14ac:dyDescent="0.15">
      <c r="A283" s="41">
        <v>15</v>
      </c>
      <c r="B283" s="41">
        <v>9475</v>
      </c>
      <c r="C283" s="74" t="s">
        <v>19467</v>
      </c>
      <c r="D283" s="72"/>
      <c r="F283" s="57"/>
      <c r="G283" s="72"/>
      <c r="I283" s="57"/>
      <c r="J283" s="53"/>
      <c r="K283" s="49"/>
      <c r="L283" s="50"/>
      <c r="M283" s="163"/>
      <c r="N283" s="45"/>
      <c r="O283" s="46"/>
      <c r="P283" s="512"/>
      <c r="Q283" s="57"/>
      <c r="R283" s="114" t="s">
        <v>17562</v>
      </c>
      <c r="S283" s="49"/>
      <c r="T283" s="50"/>
      <c r="U283" s="115"/>
      <c r="V283" s="35"/>
      <c r="W283" s="12" t="s">
        <v>398</v>
      </c>
      <c r="X283" s="13">
        <v>0.2</v>
      </c>
      <c r="Y283" s="57" t="s">
        <v>3575</v>
      </c>
      <c r="Z283" s="208">
        <f>ROUND((ROUND((ROUND((_15_同援日１．５*(1+_15・A早朝)),0)*(1+_15・盲ろう)),0)*(1+_15・区３)),0)+ROUND((ROUND((_15_同援日１．５＿１．５*(1+_15・盲ろう)),0)*(1+_15・区３)),0)</f>
        <v>1104</v>
      </c>
      <c r="AA283" s="48"/>
    </row>
    <row r="284" spans="1:27" ht="16.5" customHeight="1" x14ac:dyDescent="0.15">
      <c r="A284" s="41">
        <v>15</v>
      </c>
      <c r="B284" s="41">
        <v>9476</v>
      </c>
      <c r="C284" s="74" t="s">
        <v>19468</v>
      </c>
      <c r="D284" s="72"/>
      <c r="F284" s="57"/>
      <c r="G284" s="72"/>
      <c r="I284" s="57"/>
      <c r="J284" s="43"/>
      <c r="K284" s="37"/>
      <c r="L284" s="38"/>
      <c r="M284" s="299" t="s">
        <v>17556</v>
      </c>
      <c r="N284" s="45" t="s">
        <v>398</v>
      </c>
      <c r="O284" s="46">
        <v>1</v>
      </c>
      <c r="P284" s="512"/>
      <c r="Q284" s="57"/>
      <c r="R284" s="92" t="s">
        <v>17564</v>
      </c>
      <c r="U284" s="57"/>
      <c r="V284" s="35"/>
      <c r="Y284" s="57"/>
      <c r="Z284" s="208">
        <f>ROUND((ROUND((ROUND((ROUND((_15_同援日１．５*_15・２人),0)*(1+_15・A早朝)),0)*(1+_15・盲ろう)),0)*(1+_15・区３)),0)+ROUND((ROUND((ROUND((_15_同援日１．５＿１．５*_15・２人),0)*(1+_15・盲ろう)),0)*(1+_15・区３)),0)</f>
        <v>1104</v>
      </c>
      <c r="AA284" s="48"/>
    </row>
    <row r="285" spans="1:27" ht="16.5" customHeight="1" x14ac:dyDescent="0.15">
      <c r="A285" s="41">
        <v>15</v>
      </c>
      <c r="B285" s="41">
        <v>9477</v>
      </c>
      <c r="C285" s="74" t="s">
        <v>19469</v>
      </c>
      <c r="D285" s="72"/>
      <c r="F285" s="57"/>
      <c r="G285" s="72"/>
      <c r="I285" s="57"/>
      <c r="J285" s="114" t="s">
        <v>17558</v>
      </c>
      <c r="K285" s="49"/>
      <c r="L285" s="50"/>
      <c r="M285" s="163"/>
      <c r="N285" s="45"/>
      <c r="O285" s="46"/>
      <c r="P285" s="512"/>
      <c r="Q285" s="57"/>
      <c r="R285" s="35"/>
      <c r="S285" s="12" t="s">
        <v>398</v>
      </c>
      <c r="T285" s="13">
        <v>0.25</v>
      </c>
      <c r="U285" s="57" t="s">
        <v>3575</v>
      </c>
      <c r="V285" s="35"/>
      <c r="Y285" s="57"/>
      <c r="Z285" s="208">
        <f>ROUND((ROUND((ROUND((ROUND((_15_同援日１．５*_15・基礎２),0)*(1+_15・A早朝)),0)*(1+_15・盲ろう)),0)*(1+_15・区３)),0)+ROUND((ROUND((ROUND((_15_同援日１．５＿１．５*_15・基礎２),0)*(1+_15・盲ろう)),0)*(1+_15・区３)),0)</f>
        <v>996</v>
      </c>
      <c r="AA285" s="48"/>
    </row>
    <row r="286" spans="1:27" ht="16.5" customHeight="1" x14ac:dyDescent="0.15">
      <c r="A286" s="41">
        <v>15</v>
      </c>
      <c r="B286" s="41">
        <v>9478</v>
      </c>
      <c r="C286" s="74" t="s">
        <v>19470</v>
      </c>
      <c r="D286" s="72"/>
      <c r="F286" s="57"/>
      <c r="G286" s="72"/>
      <c r="I286" s="57"/>
      <c r="J286" s="269" t="s">
        <v>17560</v>
      </c>
      <c r="K286" s="37" t="s">
        <v>398</v>
      </c>
      <c r="L286" s="38">
        <v>0.9</v>
      </c>
      <c r="M286" s="299" t="s">
        <v>17556</v>
      </c>
      <c r="N286" s="45" t="s">
        <v>398</v>
      </c>
      <c r="O286" s="46">
        <v>1</v>
      </c>
      <c r="P286" s="512"/>
      <c r="Q286" s="57"/>
      <c r="R286" s="43"/>
      <c r="S286" s="37"/>
      <c r="T286" s="38"/>
      <c r="U286" s="79"/>
      <c r="V286" s="43"/>
      <c r="W286" s="37"/>
      <c r="X286" s="38"/>
      <c r="Y286" s="79"/>
      <c r="Z286" s="208">
        <f>ROUND((ROUND((ROUND((ROUND((ROUND((_15_同援日１．５*_15・基礎２),0)*_15・２人),0)*(1+_15・A早朝)),0)*(1+_15・盲ろう)),0)*(1+_15・区３)),0)+ROUND((ROUND((ROUND((ROUND((_15_同援日１．５＿１．５*_15・基礎２),0)*_15・２人),0)*(1+_15・盲ろう)),0)*(1+_15・区３)),0)</f>
        <v>996</v>
      </c>
      <c r="AA286" s="48"/>
    </row>
    <row r="287" spans="1:27" ht="16.5" customHeight="1" x14ac:dyDescent="0.15">
      <c r="A287" s="41">
        <v>15</v>
      </c>
      <c r="B287" s="41">
        <v>9479</v>
      </c>
      <c r="C287" s="74" t="s">
        <v>19471</v>
      </c>
      <c r="D287" s="72"/>
      <c r="F287" s="57"/>
      <c r="G287" s="72"/>
      <c r="I287" s="57"/>
      <c r="J287" s="53"/>
      <c r="K287" s="49"/>
      <c r="L287" s="50"/>
      <c r="M287" s="163"/>
      <c r="N287" s="45"/>
      <c r="O287" s="46"/>
      <c r="P287" s="512"/>
      <c r="Q287" s="57"/>
      <c r="R287" s="53"/>
      <c r="S287" s="49"/>
      <c r="T287" s="50"/>
      <c r="U287" s="115"/>
      <c r="V287" s="53"/>
      <c r="W287" s="49"/>
      <c r="X287" s="50"/>
      <c r="Y287" s="115"/>
      <c r="Z287" s="208">
        <f>ROUND((ROUND((_15_同援日１．５*(1+_15・A早朝)),0)*(1+_15・区４)),0)+ROUND((_15_同援日１．５＿１．５*(1+_15・区４)),0)</f>
        <v>1030</v>
      </c>
      <c r="AA287" s="48"/>
    </row>
    <row r="288" spans="1:27" ht="16.5" customHeight="1" x14ac:dyDescent="0.15">
      <c r="A288" s="41">
        <v>15</v>
      </c>
      <c r="B288" s="41">
        <v>9480</v>
      </c>
      <c r="C288" s="74" t="s">
        <v>19472</v>
      </c>
      <c r="D288" s="72"/>
      <c r="F288" s="57"/>
      <c r="G288" s="72"/>
      <c r="I288" s="57"/>
      <c r="J288" s="43"/>
      <c r="K288" s="37"/>
      <c r="L288" s="38"/>
      <c r="M288" s="299" t="s">
        <v>17556</v>
      </c>
      <c r="N288" s="45" t="s">
        <v>398</v>
      </c>
      <c r="O288" s="46">
        <v>1</v>
      </c>
      <c r="P288" s="512"/>
      <c r="Q288" s="57"/>
      <c r="R288" s="35"/>
      <c r="U288" s="57"/>
      <c r="V288" s="35"/>
      <c r="Y288" s="57"/>
      <c r="Z288" s="208">
        <f>ROUND((ROUND((ROUND((_15_同援日１．５*_15・２人),0)*(1+_15・A早朝)),0)*(1+_15・区４)),0)+ROUND((ROUND((_15_同援日１．５＿１．５*_15・２人),0)*(1+_15・区４)),0)</f>
        <v>1030</v>
      </c>
      <c r="AA288" s="48"/>
    </row>
    <row r="289" spans="1:27" ht="16.5" customHeight="1" x14ac:dyDescent="0.15">
      <c r="A289" s="41">
        <v>15</v>
      </c>
      <c r="B289" s="41">
        <v>9481</v>
      </c>
      <c r="C289" s="74" t="s">
        <v>19473</v>
      </c>
      <c r="D289" s="72"/>
      <c r="F289" s="57"/>
      <c r="G289" s="72"/>
      <c r="I289" s="57"/>
      <c r="J289" s="114" t="s">
        <v>17558</v>
      </c>
      <c r="K289" s="49"/>
      <c r="L289" s="50"/>
      <c r="M289" s="163"/>
      <c r="N289" s="45"/>
      <c r="O289" s="46"/>
      <c r="P289" s="512"/>
      <c r="Q289" s="57"/>
      <c r="R289" s="35"/>
      <c r="U289" s="57"/>
      <c r="V289" s="72" t="s">
        <v>17580</v>
      </c>
      <c r="Y289" s="57"/>
      <c r="Z289" s="208">
        <f>ROUND((ROUND((ROUND((_15_同援日１．５*_15・基礎２),0)*(1+_15・A早朝)),0)*(1+_15・区４)),0)+ROUND((ROUND((_15_同援日１．５＿１．５*_15・基礎２),0)*(1+_15・区４)),0)</f>
        <v>929</v>
      </c>
      <c r="AA289" s="48"/>
    </row>
    <row r="290" spans="1:27" ht="16.5" customHeight="1" x14ac:dyDescent="0.15">
      <c r="A290" s="41">
        <v>15</v>
      </c>
      <c r="B290" s="41">
        <v>9482</v>
      </c>
      <c r="C290" s="74" t="s">
        <v>19474</v>
      </c>
      <c r="D290" s="72"/>
      <c r="F290" s="57"/>
      <c r="G290" s="72"/>
      <c r="I290" s="57"/>
      <c r="J290" s="269" t="s">
        <v>17560</v>
      </c>
      <c r="K290" s="37" t="s">
        <v>398</v>
      </c>
      <c r="L290" s="38">
        <v>0.9</v>
      </c>
      <c r="M290" s="299" t="s">
        <v>17556</v>
      </c>
      <c r="N290" s="45" t="s">
        <v>398</v>
      </c>
      <c r="O290" s="46">
        <v>1</v>
      </c>
      <c r="P290" s="512"/>
      <c r="Q290" s="57"/>
      <c r="R290" s="43"/>
      <c r="S290" s="37"/>
      <c r="T290" s="38"/>
      <c r="U290" s="79"/>
      <c r="V290" s="72" t="s">
        <v>17572</v>
      </c>
      <c r="Y290" s="57"/>
      <c r="Z290" s="208">
        <f>ROUND((ROUND((ROUND((ROUND((_15_同援日１．５*_15・基礎２),0)*_15・２人),0)*(1+_15・A早朝)),0)*(1+_15・区４)),0)+ROUND((ROUND((ROUND((_15_同援日１．５＿１．５*_15・基礎２),0)*_15・２人),0)*(1+_15・区４)),0)</f>
        <v>929</v>
      </c>
      <c r="AA290" s="48"/>
    </row>
    <row r="291" spans="1:27" ht="16.5" customHeight="1" x14ac:dyDescent="0.15">
      <c r="A291" s="41">
        <v>15</v>
      </c>
      <c r="B291" s="41">
        <v>9483</v>
      </c>
      <c r="C291" s="74" t="s">
        <v>19475</v>
      </c>
      <c r="D291" s="72"/>
      <c r="F291" s="57"/>
      <c r="G291" s="72"/>
      <c r="I291" s="57"/>
      <c r="J291" s="53"/>
      <c r="K291" s="49"/>
      <c r="L291" s="50"/>
      <c r="M291" s="163"/>
      <c r="N291" s="45"/>
      <c r="O291" s="46"/>
      <c r="P291" s="512"/>
      <c r="Q291" s="57"/>
      <c r="R291" s="114" t="s">
        <v>17562</v>
      </c>
      <c r="S291" s="49"/>
      <c r="T291" s="50"/>
      <c r="U291" s="115"/>
      <c r="V291" s="35"/>
      <c r="W291" s="12" t="s">
        <v>398</v>
      </c>
      <c r="X291" s="13">
        <v>0.4</v>
      </c>
      <c r="Y291" s="57" t="s">
        <v>3575</v>
      </c>
      <c r="Z291" s="208">
        <f>ROUND((ROUND((ROUND((_15_同援日１．５*(1+_15・A早朝)),0)*(1+_15・盲ろう)),0)*(1+_15・区４)),0)+ROUND((ROUND((_15_同援日１．５＿１．５*(1+_15・盲ろう)),0)*(1+_15・区４)),0)</f>
        <v>1288</v>
      </c>
      <c r="AA291" s="48"/>
    </row>
    <row r="292" spans="1:27" ht="16.5" customHeight="1" x14ac:dyDescent="0.15">
      <c r="A292" s="41">
        <v>15</v>
      </c>
      <c r="B292" s="41">
        <v>9484</v>
      </c>
      <c r="C292" s="74" t="s">
        <v>19476</v>
      </c>
      <c r="D292" s="72"/>
      <c r="F292" s="57"/>
      <c r="G292" s="72"/>
      <c r="I292" s="57"/>
      <c r="J292" s="43"/>
      <c r="K292" s="37"/>
      <c r="L292" s="38"/>
      <c r="M292" s="299" t="s">
        <v>17556</v>
      </c>
      <c r="N292" s="45" t="s">
        <v>398</v>
      </c>
      <c r="O292" s="46">
        <v>1</v>
      </c>
      <c r="P292" s="512"/>
      <c r="Q292" s="57"/>
      <c r="R292" s="92" t="s">
        <v>17564</v>
      </c>
      <c r="U292" s="57"/>
      <c r="V292" s="35"/>
      <c r="Y292" s="57"/>
      <c r="Z292" s="208">
        <f>ROUND((ROUND((ROUND((ROUND((_15_同援日１．５*_15・２人),0)*(1+_15・A早朝)),0)*(1+_15・盲ろう)),0)*(1+_15・区４)),0)+ROUND((ROUND((ROUND((_15_同援日１．５＿１．５*_15・２人),0)*(1+_15・盲ろう)),0)*(1+_15・区４)),0)</f>
        <v>1288</v>
      </c>
      <c r="AA292" s="48"/>
    </row>
    <row r="293" spans="1:27" ht="16.5" customHeight="1" x14ac:dyDescent="0.15">
      <c r="A293" s="41">
        <v>15</v>
      </c>
      <c r="B293" s="41">
        <v>9485</v>
      </c>
      <c r="C293" s="74" t="s">
        <v>19477</v>
      </c>
      <c r="D293" s="72"/>
      <c r="F293" s="57"/>
      <c r="G293" s="72"/>
      <c r="I293" s="57"/>
      <c r="J293" s="114" t="s">
        <v>17558</v>
      </c>
      <c r="K293" s="49"/>
      <c r="L293" s="50"/>
      <c r="M293" s="163"/>
      <c r="N293" s="45"/>
      <c r="O293" s="46"/>
      <c r="P293" s="512"/>
      <c r="Q293" s="57"/>
      <c r="R293" s="35"/>
      <c r="S293" s="12" t="s">
        <v>398</v>
      </c>
      <c r="T293" s="13">
        <v>0.25</v>
      </c>
      <c r="U293" s="57" t="s">
        <v>3575</v>
      </c>
      <c r="V293" s="35"/>
      <c r="Y293" s="57"/>
      <c r="Z293" s="208">
        <f>ROUND((ROUND((ROUND((ROUND((_15_同援日１．５*_15・基礎２),0)*(1+_15・A早朝)),0)*(1+_15・盲ろう)),0)*(1+_15・区４)),0)+ROUND((ROUND((ROUND((_15_同援日１．５＿１．５*_15・基礎２),0)*(1+_15・盲ろう)),0)*(1+_15・区４)),0)</f>
        <v>1162</v>
      </c>
      <c r="AA293" s="48"/>
    </row>
    <row r="294" spans="1:27" ht="16.5" customHeight="1" x14ac:dyDescent="0.15">
      <c r="A294" s="41">
        <v>15</v>
      </c>
      <c r="B294" s="41">
        <v>9486</v>
      </c>
      <c r="C294" s="74" t="s">
        <v>19478</v>
      </c>
      <c r="D294" s="122"/>
      <c r="E294" s="37"/>
      <c r="F294" s="79"/>
      <c r="G294" s="122"/>
      <c r="H294" s="37"/>
      <c r="I294" s="79"/>
      <c r="J294" s="269" t="s">
        <v>17560</v>
      </c>
      <c r="K294" s="37" t="s">
        <v>398</v>
      </c>
      <c r="L294" s="38">
        <v>0.9</v>
      </c>
      <c r="M294" s="299" t="s">
        <v>17556</v>
      </c>
      <c r="N294" s="45" t="s">
        <v>398</v>
      </c>
      <c r="O294" s="46">
        <v>1</v>
      </c>
      <c r="P294" s="514"/>
      <c r="Q294" s="79"/>
      <c r="R294" s="43"/>
      <c r="S294" s="37"/>
      <c r="T294" s="38"/>
      <c r="U294" s="79"/>
      <c r="V294" s="43"/>
      <c r="W294" s="37"/>
      <c r="X294" s="38"/>
      <c r="Y294" s="79"/>
      <c r="Z294" s="208">
        <f>ROUND((ROUND((ROUND((ROUND((ROUND((_15_同援日１．５*_15・基礎２),0)*_15・２人),0)*(1+_15・A早朝)),0)*(1+_15・盲ろう)),0)*(1+_15・区４)),0)+ROUND((ROUND((ROUND((ROUND((_15_同援日１．５＿１．５*_15・基礎２),0)*_15・２人),0)*(1+_15・盲ろう)),0)*(1+_15・区４)),0)</f>
        <v>1162</v>
      </c>
      <c r="AA294" s="63"/>
    </row>
    <row r="295" spans="1:27" ht="16.5" customHeight="1" x14ac:dyDescent="0.15">
      <c r="A295" s="41">
        <v>15</v>
      </c>
      <c r="B295" s="41">
        <v>9487</v>
      </c>
      <c r="C295" s="74" t="s">
        <v>19479</v>
      </c>
      <c r="D295" s="114" t="s">
        <v>18206</v>
      </c>
      <c r="E295" s="49"/>
      <c r="F295" s="115"/>
      <c r="G295" s="114" t="s">
        <v>19187</v>
      </c>
      <c r="H295" s="49"/>
      <c r="I295" s="115"/>
      <c r="J295" s="53"/>
      <c r="K295" s="49"/>
      <c r="L295" s="50"/>
      <c r="M295" s="163"/>
      <c r="N295" s="45"/>
      <c r="O295" s="46"/>
      <c r="P295" s="515"/>
      <c r="Q295" s="115"/>
      <c r="R295" s="53"/>
      <c r="S295" s="49"/>
      <c r="T295" s="50"/>
      <c r="U295" s="115"/>
      <c r="V295" s="53"/>
      <c r="W295" s="49"/>
      <c r="X295" s="50"/>
      <c r="Y295" s="115"/>
      <c r="Z295" s="208">
        <f>ROUND((_15_同援日２．０*(1+_15・A早朝)),0)+_15_同援日２．０＿０．５</f>
        <v>688</v>
      </c>
      <c r="AA295" s="64"/>
    </row>
    <row r="296" spans="1:27" ht="16.5" customHeight="1" x14ac:dyDescent="0.15">
      <c r="A296" s="41">
        <v>15</v>
      </c>
      <c r="B296" s="41">
        <v>9488</v>
      </c>
      <c r="C296" s="74" t="s">
        <v>19480</v>
      </c>
      <c r="D296" s="72" t="s">
        <v>17643</v>
      </c>
      <c r="F296" s="57"/>
      <c r="G296" s="72" t="s">
        <v>18259</v>
      </c>
      <c r="I296" s="57"/>
      <c r="J296" s="43"/>
      <c r="K296" s="37"/>
      <c r="L296" s="38"/>
      <c r="M296" s="299" t="s">
        <v>17556</v>
      </c>
      <c r="N296" s="45" t="s">
        <v>398</v>
      </c>
      <c r="O296" s="46">
        <v>1</v>
      </c>
      <c r="P296" s="512"/>
      <c r="Q296" s="57"/>
      <c r="R296" s="35"/>
      <c r="U296" s="57"/>
      <c r="V296" s="35"/>
      <c r="Y296" s="57"/>
      <c r="Z296" s="208">
        <f>ROUND((ROUND((_15_同援日２．０*_15・２人),0)*(1+_15・A早朝)),0)+ROUND((_15_同援日２．０＿０．５*_15・２人),0)</f>
        <v>688</v>
      </c>
      <c r="AA296" s="48"/>
    </row>
    <row r="297" spans="1:27" ht="16.5" customHeight="1" x14ac:dyDescent="0.15">
      <c r="A297" s="41">
        <v>15</v>
      </c>
      <c r="B297" s="41">
        <v>9489</v>
      </c>
      <c r="C297" s="74" t="s">
        <v>19481</v>
      </c>
      <c r="D297" s="72" t="s">
        <v>17645</v>
      </c>
      <c r="F297" s="57"/>
      <c r="G297" s="72"/>
      <c r="I297" s="57"/>
      <c r="J297" s="114" t="s">
        <v>17558</v>
      </c>
      <c r="K297" s="49"/>
      <c r="L297" s="50"/>
      <c r="M297" s="163"/>
      <c r="N297" s="45"/>
      <c r="O297" s="46"/>
      <c r="P297" s="512"/>
      <c r="Q297" s="57"/>
      <c r="R297" s="35"/>
      <c r="U297" s="57"/>
      <c r="V297" s="35"/>
      <c r="Y297" s="57"/>
      <c r="Z297" s="208">
        <f>ROUND((ROUND((_15_同援日２．０*_15・基礎２),0)*(1+_15・A早朝)),0)+ROUND((_15_同援日２．０＿０．５*_15・基礎２),0)</f>
        <v>619</v>
      </c>
      <c r="AA297" s="48"/>
    </row>
    <row r="298" spans="1:27" ht="16.5" customHeight="1" x14ac:dyDescent="0.15">
      <c r="A298" s="41">
        <v>15</v>
      </c>
      <c r="B298" s="41">
        <v>9490</v>
      </c>
      <c r="C298" s="74" t="s">
        <v>19482</v>
      </c>
      <c r="D298" s="72"/>
      <c r="E298" s="168">
        <f>_15_同援日２．０</f>
        <v>498</v>
      </c>
      <c r="F298" s="57" t="s">
        <v>392</v>
      </c>
      <c r="G298" s="72"/>
      <c r="H298" s="168">
        <f>_15_同援日２．０＿０．５</f>
        <v>65</v>
      </c>
      <c r="I298" s="57" t="s">
        <v>392</v>
      </c>
      <c r="J298" s="269" t="s">
        <v>17560</v>
      </c>
      <c r="K298" s="37" t="s">
        <v>398</v>
      </c>
      <c r="L298" s="38">
        <v>0.9</v>
      </c>
      <c r="M298" s="299" t="s">
        <v>17556</v>
      </c>
      <c r="N298" s="45" t="s">
        <v>398</v>
      </c>
      <c r="O298" s="46">
        <v>1</v>
      </c>
      <c r="P298" s="512"/>
      <c r="Q298" s="57"/>
      <c r="R298" s="43"/>
      <c r="S298" s="37"/>
      <c r="T298" s="38"/>
      <c r="U298" s="79"/>
      <c r="V298" s="35"/>
      <c r="Y298" s="57"/>
      <c r="Z298" s="208">
        <f>ROUND((ROUND((ROUND((_15_同援日２．０*_15・基礎２),0)*_15・２人),0)*(1+_15・A早朝)),0)+ROUND((ROUND((_15_同援日２．０＿０．５*_15・基礎２),0)*_15・２人),0)</f>
        <v>619</v>
      </c>
      <c r="AA298" s="48"/>
    </row>
    <row r="299" spans="1:27" ht="16.5" customHeight="1" x14ac:dyDescent="0.15">
      <c r="A299" s="41">
        <v>15</v>
      </c>
      <c r="B299" s="41">
        <v>9491</v>
      </c>
      <c r="C299" s="74" t="s">
        <v>19483</v>
      </c>
      <c r="D299" s="72"/>
      <c r="F299" s="57"/>
      <c r="G299" s="72"/>
      <c r="I299" s="57"/>
      <c r="J299" s="53"/>
      <c r="K299" s="49"/>
      <c r="L299" s="50"/>
      <c r="M299" s="163"/>
      <c r="N299" s="45"/>
      <c r="O299" s="46"/>
      <c r="P299" s="512"/>
      <c r="Q299" s="57"/>
      <c r="R299" s="114" t="s">
        <v>17562</v>
      </c>
      <c r="S299" s="49"/>
      <c r="T299" s="50"/>
      <c r="U299" s="115"/>
      <c r="V299" s="35"/>
      <c r="Y299" s="57"/>
      <c r="Z299" s="208">
        <f>ROUND((ROUND((_15_同援日２．０*(1+_15・A早朝)),0)*(1+_15・盲ろう)),0)+ROUND((_15_同援日２．０＿０．５*(1+_15・盲ろう)),0)</f>
        <v>860</v>
      </c>
      <c r="AA299" s="48"/>
    </row>
    <row r="300" spans="1:27" ht="16.5" customHeight="1" x14ac:dyDescent="0.15">
      <c r="A300" s="41">
        <v>15</v>
      </c>
      <c r="B300" s="41">
        <v>9492</v>
      </c>
      <c r="C300" s="74" t="s">
        <v>19484</v>
      </c>
      <c r="D300" s="72"/>
      <c r="F300" s="57"/>
      <c r="G300" s="72"/>
      <c r="I300" s="57"/>
      <c r="J300" s="43"/>
      <c r="K300" s="37"/>
      <c r="L300" s="38"/>
      <c r="M300" s="299" t="s">
        <v>17556</v>
      </c>
      <c r="N300" s="45" t="s">
        <v>398</v>
      </c>
      <c r="O300" s="46">
        <v>1</v>
      </c>
      <c r="P300" s="512"/>
      <c r="Q300" s="57"/>
      <c r="R300" s="92" t="s">
        <v>17564</v>
      </c>
      <c r="U300" s="57"/>
      <c r="V300" s="35"/>
      <c r="Y300" s="57"/>
      <c r="Z300" s="208">
        <f>ROUND((ROUND((ROUND((_15_同援日２．０*_15・２人),0)*(1+_15・A早朝)),0)*(1+_15・盲ろう)),0)+ROUND((ROUND((_15_同援日２．０＿０．５*_15・２人),0)*(1+_15・盲ろう)),0)</f>
        <v>860</v>
      </c>
      <c r="AA300" s="48"/>
    </row>
    <row r="301" spans="1:27" ht="16.5" customHeight="1" x14ac:dyDescent="0.15">
      <c r="A301" s="41">
        <v>15</v>
      </c>
      <c r="B301" s="41">
        <v>9493</v>
      </c>
      <c r="C301" s="74" t="s">
        <v>19485</v>
      </c>
      <c r="D301" s="72"/>
      <c r="F301" s="57"/>
      <c r="G301" s="72"/>
      <c r="I301" s="57"/>
      <c r="J301" s="114" t="s">
        <v>17558</v>
      </c>
      <c r="K301" s="49"/>
      <c r="L301" s="50"/>
      <c r="M301" s="163"/>
      <c r="N301" s="45"/>
      <c r="O301" s="46"/>
      <c r="P301" s="512"/>
      <c r="Q301" s="57"/>
      <c r="R301" s="35"/>
      <c r="S301" s="12" t="s">
        <v>398</v>
      </c>
      <c r="T301" s="13">
        <v>0.25</v>
      </c>
      <c r="U301" s="57" t="s">
        <v>3575</v>
      </c>
      <c r="V301" s="35"/>
      <c r="Y301" s="57"/>
      <c r="Z301" s="208">
        <f>ROUND((ROUND((ROUND((_15_同援日２．０*_15・基礎２),0)*(1+_15・A早朝)),0)*(1+_15・盲ろう)),0)+ROUND((ROUND((_15_同援日２．０＿０．５*_15・基礎２),0)*(1+_15・盲ろう)),0)</f>
        <v>774</v>
      </c>
      <c r="AA301" s="48"/>
    </row>
    <row r="302" spans="1:27" ht="16.5" customHeight="1" x14ac:dyDescent="0.15">
      <c r="A302" s="41">
        <v>15</v>
      </c>
      <c r="B302" s="41">
        <v>9494</v>
      </c>
      <c r="C302" s="74" t="s">
        <v>19486</v>
      </c>
      <c r="D302" s="72"/>
      <c r="F302" s="57"/>
      <c r="G302" s="72"/>
      <c r="I302" s="57"/>
      <c r="J302" s="269" t="s">
        <v>17560</v>
      </c>
      <c r="K302" s="37" t="s">
        <v>398</v>
      </c>
      <c r="L302" s="38">
        <v>0.9</v>
      </c>
      <c r="M302" s="299" t="s">
        <v>17556</v>
      </c>
      <c r="N302" s="45" t="s">
        <v>398</v>
      </c>
      <c r="O302" s="46">
        <v>1</v>
      </c>
      <c r="P302" s="512"/>
      <c r="Q302" s="57"/>
      <c r="R302" s="43"/>
      <c r="S302" s="37"/>
      <c r="T302" s="38"/>
      <c r="U302" s="79"/>
      <c r="V302" s="43"/>
      <c r="W302" s="37"/>
      <c r="X302" s="38"/>
      <c r="Y302" s="79"/>
      <c r="Z302" s="208">
        <f>ROUND((ROUND((ROUND((ROUND((_15_同援日２．０*_15・基礎２),0)*_15・２人),0)*(1+_15・A早朝)),0)*(1+_15・盲ろう)),0)+ROUND((ROUND((ROUND((_15_同援日２．０＿０．５*_15・基礎２),0)*_15・２人),0)*(1+_15・盲ろう)),0)</f>
        <v>774</v>
      </c>
      <c r="AA302" s="48"/>
    </row>
    <row r="303" spans="1:27" ht="16.5" customHeight="1" x14ac:dyDescent="0.15">
      <c r="A303" s="41">
        <v>15</v>
      </c>
      <c r="B303" s="41">
        <v>9495</v>
      </c>
      <c r="C303" s="74" t="s">
        <v>19487</v>
      </c>
      <c r="D303" s="72"/>
      <c r="F303" s="57"/>
      <c r="G303" s="72"/>
      <c r="I303" s="57"/>
      <c r="J303" s="53"/>
      <c r="K303" s="49"/>
      <c r="L303" s="50"/>
      <c r="M303" s="163"/>
      <c r="N303" s="45"/>
      <c r="O303" s="46"/>
      <c r="P303" s="512"/>
      <c r="Q303" s="57"/>
      <c r="R303" s="53"/>
      <c r="S303" s="49"/>
      <c r="T303" s="50"/>
      <c r="U303" s="115"/>
      <c r="V303" s="53"/>
      <c r="W303" s="49"/>
      <c r="X303" s="50"/>
      <c r="Y303" s="115"/>
      <c r="Z303" s="208">
        <f>ROUND((ROUND((_15_同援日２．０*(1+_15・A早朝)),0)*(1+_15・区３)),0)+ROUND((_15_同援日２．０＿０．５*(1+_15・区３)),0)</f>
        <v>826</v>
      </c>
      <c r="AA303" s="48"/>
    </row>
    <row r="304" spans="1:27" ht="16.5" customHeight="1" x14ac:dyDescent="0.15">
      <c r="A304" s="41">
        <v>15</v>
      </c>
      <c r="B304" s="41">
        <v>9496</v>
      </c>
      <c r="C304" s="74" t="s">
        <v>19488</v>
      </c>
      <c r="D304" s="72"/>
      <c r="F304" s="57"/>
      <c r="G304" s="72"/>
      <c r="I304" s="57"/>
      <c r="J304" s="43"/>
      <c r="K304" s="37"/>
      <c r="L304" s="38"/>
      <c r="M304" s="299" t="s">
        <v>17556</v>
      </c>
      <c r="N304" s="45" t="s">
        <v>398</v>
      </c>
      <c r="O304" s="46">
        <v>1</v>
      </c>
      <c r="P304" s="512"/>
      <c r="Q304" s="57"/>
      <c r="R304" s="35"/>
      <c r="U304" s="57"/>
      <c r="V304" s="35"/>
      <c r="Y304" s="57"/>
      <c r="Z304" s="208">
        <f>ROUND((ROUND((ROUND((_15_同援日２．０*_15・２人),0)*(1+_15・A早朝)),0)*(1+_15・区３)),0)+ROUND((ROUND((_15_同援日２．０＿０．５*_15・２人),0)*(1+_15・区３)),0)</f>
        <v>826</v>
      </c>
      <c r="AA304" s="48"/>
    </row>
    <row r="305" spans="1:27" ht="16.5" customHeight="1" x14ac:dyDescent="0.15">
      <c r="A305" s="41">
        <v>15</v>
      </c>
      <c r="B305" s="41">
        <v>9497</v>
      </c>
      <c r="C305" s="74" t="s">
        <v>19489</v>
      </c>
      <c r="D305" s="72"/>
      <c r="F305" s="57"/>
      <c r="G305" s="72"/>
      <c r="I305" s="57"/>
      <c r="J305" s="114" t="s">
        <v>17558</v>
      </c>
      <c r="K305" s="49"/>
      <c r="L305" s="50"/>
      <c r="M305" s="163"/>
      <c r="N305" s="45"/>
      <c r="O305" s="46"/>
      <c r="P305" s="512"/>
      <c r="Q305" s="57"/>
      <c r="R305" s="35"/>
      <c r="U305" s="57"/>
      <c r="V305" s="72" t="s">
        <v>17570</v>
      </c>
      <c r="Y305" s="57"/>
      <c r="Z305" s="208">
        <f>ROUND((ROUND((ROUND((_15_同援日２．０*_15・基礎２),0)*(1+_15・A早朝)),0)*(1+_15・区３)),0)+ROUND((ROUND((_15_同援日２．０＿０．５*_15・基礎２),0)*(1+_15・区３)),0)</f>
        <v>743</v>
      </c>
      <c r="AA305" s="48"/>
    </row>
    <row r="306" spans="1:27" ht="16.5" customHeight="1" x14ac:dyDescent="0.15">
      <c r="A306" s="41">
        <v>15</v>
      </c>
      <c r="B306" s="41">
        <v>9498</v>
      </c>
      <c r="C306" s="74" t="s">
        <v>19490</v>
      </c>
      <c r="D306" s="72"/>
      <c r="F306" s="57"/>
      <c r="G306" s="72"/>
      <c r="I306" s="57"/>
      <c r="J306" s="269" t="s">
        <v>17560</v>
      </c>
      <c r="K306" s="37" t="s">
        <v>398</v>
      </c>
      <c r="L306" s="38">
        <v>0.9</v>
      </c>
      <c r="M306" s="299" t="s">
        <v>17556</v>
      </c>
      <c r="N306" s="45" t="s">
        <v>398</v>
      </c>
      <c r="O306" s="46">
        <v>1</v>
      </c>
      <c r="P306" s="512"/>
      <c r="Q306" s="57"/>
      <c r="R306" s="43"/>
      <c r="S306" s="37"/>
      <c r="T306" s="38"/>
      <c r="U306" s="79"/>
      <c r="V306" s="72" t="s">
        <v>17572</v>
      </c>
      <c r="Y306" s="57"/>
      <c r="Z306" s="208">
        <f>ROUND((ROUND((ROUND((ROUND((_15_同援日２．０*_15・基礎２),0)*_15・２人),0)*(1+_15・A早朝)),0)*(1+_15・区３)),0)+ROUND((ROUND((ROUND((_15_同援日２．０＿０．５*_15・基礎２),0)*_15・２人),0)*(1+_15・区３)),0)</f>
        <v>743</v>
      </c>
      <c r="AA306" s="48"/>
    </row>
    <row r="307" spans="1:27" ht="16.5" customHeight="1" x14ac:dyDescent="0.15">
      <c r="A307" s="41">
        <v>15</v>
      </c>
      <c r="B307" s="41">
        <v>9499</v>
      </c>
      <c r="C307" s="74" t="s">
        <v>19491</v>
      </c>
      <c r="D307" s="72"/>
      <c r="F307" s="57"/>
      <c r="G307" s="72"/>
      <c r="I307" s="57"/>
      <c r="J307" s="53"/>
      <c r="K307" s="49"/>
      <c r="L307" s="50"/>
      <c r="M307" s="163"/>
      <c r="N307" s="45"/>
      <c r="O307" s="46"/>
      <c r="P307" s="512"/>
      <c r="Q307" s="57"/>
      <c r="R307" s="114" t="s">
        <v>17562</v>
      </c>
      <c r="S307" s="49"/>
      <c r="T307" s="50"/>
      <c r="U307" s="115"/>
      <c r="V307" s="35"/>
      <c r="W307" s="12" t="s">
        <v>398</v>
      </c>
      <c r="X307" s="13">
        <v>0.2</v>
      </c>
      <c r="Y307" s="57" t="s">
        <v>3575</v>
      </c>
      <c r="Z307" s="208">
        <f>ROUND((ROUND((ROUND((_15_同援日２．０*(1+_15・A早朝)),0)*(1+_15・盲ろう)),0)*(1+_15・区３)),0)+ROUND((ROUND((_15_同援日２．０＿０．５*(1+_15・盲ろう)),0)*(1+_15・区３)),0)</f>
        <v>1032</v>
      </c>
      <c r="AA307" s="48"/>
    </row>
    <row r="308" spans="1:27" ht="16.5" customHeight="1" x14ac:dyDescent="0.15">
      <c r="A308" s="41">
        <v>15</v>
      </c>
      <c r="B308" s="41">
        <v>9500</v>
      </c>
      <c r="C308" s="74" t="s">
        <v>19492</v>
      </c>
      <c r="D308" s="72"/>
      <c r="F308" s="57"/>
      <c r="G308" s="72"/>
      <c r="I308" s="57"/>
      <c r="J308" s="43"/>
      <c r="K308" s="37"/>
      <c r="L308" s="38"/>
      <c r="M308" s="299" t="s">
        <v>17556</v>
      </c>
      <c r="N308" s="45" t="s">
        <v>398</v>
      </c>
      <c r="O308" s="46">
        <v>1</v>
      </c>
      <c r="P308" s="512"/>
      <c r="Q308" s="57"/>
      <c r="R308" s="92" t="s">
        <v>17564</v>
      </c>
      <c r="U308" s="57"/>
      <c r="V308" s="35"/>
      <c r="Y308" s="57"/>
      <c r="Z308" s="208">
        <f>ROUND((ROUND((ROUND((ROUND((_15_同援日２．０*_15・２人),0)*(1+_15・A早朝)),0)*(1+_15・盲ろう)),0)*(1+_15・区３)),0)+ROUND((ROUND((ROUND((_15_同援日２．０＿０．５*_15・２人),0)*(1+_15・盲ろう)),0)*(1+_15・区３)),0)</f>
        <v>1032</v>
      </c>
      <c r="AA308" s="48"/>
    </row>
    <row r="309" spans="1:27" ht="16.5" customHeight="1" x14ac:dyDescent="0.15">
      <c r="A309" s="41">
        <v>15</v>
      </c>
      <c r="B309" s="41">
        <v>9501</v>
      </c>
      <c r="C309" s="74" t="s">
        <v>19493</v>
      </c>
      <c r="D309" s="72"/>
      <c r="F309" s="57"/>
      <c r="G309" s="72"/>
      <c r="I309" s="57"/>
      <c r="J309" s="114" t="s">
        <v>17558</v>
      </c>
      <c r="K309" s="49"/>
      <c r="L309" s="50"/>
      <c r="M309" s="163"/>
      <c r="N309" s="45"/>
      <c r="O309" s="46"/>
      <c r="P309" s="512"/>
      <c r="Q309" s="57"/>
      <c r="R309" s="35"/>
      <c r="S309" s="12" t="s">
        <v>398</v>
      </c>
      <c r="T309" s="13">
        <v>0.25</v>
      </c>
      <c r="U309" s="57" t="s">
        <v>3575</v>
      </c>
      <c r="V309" s="35"/>
      <c r="Y309" s="57"/>
      <c r="Z309" s="208">
        <f>ROUND((ROUND((ROUND((ROUND((_15_同援日２．０*_15・基礎２),0)*(1+_15・A早朝)),0)*(1+_15・盲ろう)),0)*(1+_15・区３)),0)+ROUND((ROUND((ROUND((_15_同援日２．０＿０．５*_15・基礎２),0)*(1+_15・盲ろう)),0)*(1+_15・区３)),0)</f>
        <v>929</v>
      </c>
      <c r="AA309" s="48"/>
    </row>
    <row r="310" spans="1:27" ht="16.5" customHeight="1" x14ac:dyDescent="0.15">
      <c r="A310" s="41">
        <v>15</v>
      </c>
      <c r="B310" s="41">
        <v>9502</v>
      </c>
      <c r="C310" s="74" t="s">
        <v>19494</v>
      </c>
      <c r="D310" s="72"/>
      <c r="F310" s="57"/>
      <c r="G310" s="72"/>
      <c r="I310" s="57"/>
      <c r="J310" s="269" t="s">
        <v>17560</v>
      </c>
      <c r="K310" s="37" t="s">
        <v>398</v>
      </c>
      <c r="L310" s="38">
        <v>0.9</v>
      </c>
      <c r="M310" s="299" t="s">
        <v>17556</v>
      </c>
      <c r="N310" s="45" t="s">
        <v>398</v>
      </c>
      <c r="O310" s="46">
        <v>1</v>
      </c>
      <c r="P310" s="512"/>
      <c r="Q310" s="57"/>
      <c r="R310" s="43"/>
      <c r="S310" s="37"/>
      <c r="T310" s="38"/>
      <c r="U310" s="79"/>
      <c r="V310" s="43"/>
      <c r="W310" s="37"/>
      <c r="X310" s="38"/>
      <c r="Y310" s="79"/>
      <c r="Z310" s="208">
        <f>ROUND((ROUND((ROUND((ROUND((ROUND((_15_同援日２．０*_15・基礎２),0)*_15・２人),0)*(1+_15・A早朝)),0)*(1+_15・盲ろう)),0)*(1+_15・区３)),0)+ROUND((ROUND((ROUND((ROUND((_15_同援日２．０＿０．５*_15・基礎２),0)*_15・２人),0)*(1+_15・盲ろう)),0)*(1+_15・区３)),0)</f>
        <v>929</v>
      </c>
      <c r="AA310" s="48"/>
    </row>
    <row r="311" spans="1:27" ht="16.5" customHeight="1" x14ac:dyDescent="0.15">
      <c r="A311" s="41">
        <v>15</v>
      </c>
      <c r="B311" s="41">
        <v>9503</v>
      </c>
      <c r="C311" s="74" t="s">
        <v>19495</v>
      </c>
      <c r="D311" s="72"/>
      <c r="F311" s="57"/>
      <c r="G311" s="72"/>
      <c r="I311" s="57"/>
      <c r="J311" s="53"/>
      <c r="K311" s="49"/>
      <c r="L311" s="50"/>
      <c r="M311" s="163"/>
      <c r="N311" s="45"/>
      <c r="O311" s="46"/>
      <c r="P311" s="512"/>
      <c r="Q311" s="57"/>
      <c r="R311" s="53"/>
      <c r="S311" s="49"/>
      <c r="T311" s="50"/>
      <c r="U311" s="115"/>
      <c r="V311" s="53"/>
      <c r="W311" s="49"/>
      <c r="X311" s="50"/>
      <c r="Y311" s="115"/>
      <c r="Z311" s="208">
        <f>ROUND((ROUND((_15_同援日２．０*(1+_15・A早朝)),0)*(1+_15・区４)),0)+ROUND((_15_同援日２．０＿０．５*(1+_15・区４)),0)</f>
        <v>963</v>
      </c>
      <c r="AA311" s="48"/>
    </row>
    <row r="312" spans="1:27" ht="16.5" customHeight="1" x14ac:dyDescent="0.15">
      <c r="A312" s="41">
        <v>15</v>
      </c>
      <c r="B312" s="41">
        <v>9504</v>
      </c>
      <c r="C312" s="74" t="s">
        <v>19496</v>
      </c>
      <c r="D312" s="72"/>
      <c r="F312" s="57"/>
      <c r="G312" s="72"/>
      <c r="I312" s="57"/>
      <c r="J312" s="43"/>
      <c r="K312" s="37"/>
      <c r="L312" s="38"/>
      <c r="M312" s="299" t="s">
        <v>17556</v>
      </c>
      <c r="N312" s="45" t="s">
        <v>398</v>
      </c>
      <c r="O312" s="46">
        <v>1</v>
      </c>
      <c r="P312" s="512"/>
      <c r="Q312" s="57"/>
      <c r="R312" s="35"/>
      <c r="U312" s="57"/>
      <c r="V312" s="35"/>
      <c r="Y312" s="57"/>
      <c r="Z312" s="208">
        <f>ROUND((ROUND((ROUND((_15_同援日２．０*_15・２人),0)*(1+_15・A早朝)),0)*(1+_15・区４)),0)+ROUND((ROUND((_15_同援日２．０＿０．５*_15・２人),0)*(1+_15・区４)),0)</f>
        <v>963</v>
      </c>
      <c r="AA312" s="48"/>
    </row>
    <row r="313" spans="1:27" ht="16.5" customHeight="1" x14ac:dyDescent="0.15">
      <c r="A313" s="41">
        <v>15</v>
      </c>
      <c r="B313" s="41">
        <v>9505</v>
      </c>
      <c r="C313" s="74" t="s">
        <v>19497</v>
      </c>
      <c r="D313" s="72"/>
      <c r="F313" s="57"/>
      <c r="G313" s="72"/>
      <c r="I313" s="57"/>
      <c r="J313" s="114" t="s">
        <v>17558</v>
      </c>
      <c r="K313" s="49"/>
      <c r="L313" s="50"/>
      <c r="M313" s="163"/>
      <c r="N313" s="45"/>
      <c r="O313" s="46"/>
      <c r="P313" s="512"/>
      <c r="Q313" s="57"/>
      <c r="R313" s="35"/>
      <c r="U313" s="57"/>
      <c r="V313" s="72" t="s">
        <v>17580</v>
      </c>
      <c r="Y313" s="57"/>
      <c r="Z313" s="208">
        <f>ROUND((ROUND((ROUND((_15_同援日２．０*_15・基礎２),0)*(1+_15・A早朝)),0)*(1+_15・区４)),0)+ROUND((ROUND((_15_同援日２．０＿０．５*_15・基礎２),0)*(1+_15・区４)),0)</f>
        <v>867</v>
      </c>
      <c r="AA313" s="48"/>
    </row>
    <row r="314" spans="1:27" ht="16.5" customHeight="1" x14ac:dyDescent="0.15">
      <c r="A314" s="41">
        <v>15</v>
      </c>
      <c r="B314" s="41">
        <v>9506</v>
      </c>
      <c r="C314" s="74" t="s">
        <v>19498</v>
      </c>
      <c r="D314" s="72"/>
      <c r="F314" s="57"/>
      <c r="G314" s="72"/>
      <c r="I314" s="57"/>
      <c r="J314" s="269" t="s">
        <v>17560</v>
      </c>
      <c r="K314" s="37" t="s">
        <v>398</v>
      </c>
      <c r="L314" s="38">
        <v>0.9</v>
      </c>
      <c r="M314" s="299" t="s">
        <v>17556</v>
      </c>
      <c r="N314" s="45" t="s">
        <v>398</v>
      </c>
      <c r="O314" s="46">
        <v>1</v>
      </c>
      <c r="P314" s="512"/>
      <c r="Q314" s="57"/>
      <c r="R314" s="43"/>
      <c r="S314" s="37"/>
      <c r="T314" s="38"/>
      <c r="U314" s="79"/>
      <c r="V314" s="72" t="s">
        <v>17572</v>
      </c>
      <c r="Y314" s="57"/>
      <c r="Z314" s="208">
        <f>ROUND((ROUND((ROUND((ROUND((_15_同援日２．０*_15・基礎２),0)*_15・２人),0)*(1+_15・A早朝)),0)*(1+_15・区４)),0)+ROUND((ROUND((ROUND((_15_同援日２．０＿０．５*_15・基礎２),0)*_15・２人),0)*(1+_15・区４)),0)</f>
        <v>867</v>
      </c>
      <c r="AA314" s="48"/>
    </row>
    <row r="315" spans="1:27" ht="16.5" customHeight="1" x14ac:dyDescent="0.15">
      <c r="A315" s="41">
        <v>15</v>
      </c>
      <c r="B315" s="41">
        <v>9507</v>
      </c>
      <c r="C315" s="74" t="s">
        <v>19499</v>
      </c>
      <c r="D315" s="72"/>
      <c r="F315" s="57"/>
      <c r="G315" s="72"/>
      <c r="I315" s="57"/>
      <c r="J315" s="53"/>
      <c r="K315" s="49"/>
      <c r="L315" s="50"/>
      <c r="M315" s="163"/>
      <c r="N315" s="45"/>
      <c r="O315" s="46"/>
      <c r="P315" s="512"/>
      <c r="Q315" s="57"/>
      <c r="R315" s="114" t="s">
        <v>17562</v>
      </c>
      <c r="S315" s="49"/>
      <c r="T315" s="50"/>
      <c r="U315" s="115"/>
      <c r="V315" s="35"/>
      <c r="W315" s="12" t="s">
        <v>398</v>
      </c>
      <c r="X315" s="13">
        <v>0.4</v>
      </c>
      <c r="Y315" s="57" t="s">
        <v>3575</v>
      </c>
      <c r="Z315" s="208">
        <f>ROUND((ROUND((ROUND((_15_同援日２．０*(1+_15・A早朝)),0)*(1+_15・盲ろう)),0)*(1+_15・区４)),0)+ROUND((ROUND((_15_同援日２．０＿０．５*(1+_15・盲ろう)),0)*(1+_15・区４)),0)</f>
        <v>1204</v>
      </c>
      <c r="AA315" s="48"/>
    </row>
    <row r="316" spans="1:27" ht="16.5" customHeight="1" x14ac:dyDescent="0.15">
      <c r="A316" s="41">
        <v>15</v>
      </c>
      <c r="B316" s="41">
        <v>9508</v>
      </c>
      <c r="C316" s="74" t="s">
        <v>19500</v>
      </c>
      <c r="D316" s="72"/>
      <c r="F316" s="57"/>
      <c r="G316" s="72"/>
      <c r="I316" s="57"/>
      <c r="J316" s="43"/>
      <c r="K316" s="37"/>
      <c r="L316" s="38"/>
      <c r="M316" s="299" t="s">
        <v>17556</v>
      </c>
      <c r="N316" s="45" t="s">
        <v>398</v>
      </c>
      <c r="O316" s="46">
        <v>1</v>
      </c>
      <c r="P316" s="512"/>
      <c r="Q316" s="57"/>
      <c r="R316" s="92" t="s">
        <v>17564</v>
      </c>
      <c r="U316" s="57"/>
      <c r="V316" s="35"/>
      <c r="Y316" s="57"/>
      <c r="Z316" s="208">
        <f>ROUND((ROUND((ROUND((ROUND((_15_同援日２．０*_15・２人),0)*(1+_15・A早朝)),0)*(1+_15・盲ろう)),0)*(1+_15・区４)),0)+ROUND((ROUND((ROUND((_15_同援日２．０＿０．５*_15・２人),0)*(1+_15・盲ろう)),0)*(1+_15・区４)),0)</f>
        <v>1204</v>
      </c>
      <c r="AA316" s="48"/>
    </row>
    <row r="317" spans="1:27" ht="16.5" customHeight="1" x14ac:dyDescent="0.15">
      <c r="A317" s="41">
        <v>15</v>
      </c>
      <c r="B317" s="41">
        <v>9509</v>
      </c>
      <c r="C317" s="74" t="s">
        <v>19501</v>
      </c>
      <c r="D317" s="72"/>
      <c r="F317" s="57"/>
      <c r="G317" s="72"/>
      <c r="I317" s="57"/>
      <c r="J317" s="114" t="s">
        <v>17558</v>
      </c>
      <c r="K317" s="49"/>
      <c r="L317" s="50"/>
      <c r="M317" s="163"/>
      <c r="N317" s="45"/>
      <c r="O317" s="46"/>
      <c r="P317" s="512"/>
      <c r="Q317" s="57"/>
      <c r="R317" s="35"/>
      <c r="S317" s="12" t="s">
        <v>398</v>
      </c>
      <c r="T317" s="13">
        <v>0.25</v>
      </c>
      <c r="U317" s="57" t="s">
        <v>3575</v>
      </c>
      <c r="V317" s="35"/>
      <c r="Y317" s="57"/>
      <c r="Z317" s="208">
        <f>ROUND((ROUND((ROUND((ROUND((_15_同援日２．０*_15・基礎２),0)*(1+_15・A早朝)),0)*(1+_15・盲ろう)),0)*(1+_15・区４)),0)+ROUND((ROUND((ROUND((_15_同援日２．０＿０．５*_15・基礎２),0)*(1+_15・盲ろう)),0)*(1+_15・区４)),0)</f>
        <v>1084</v>
      </c>
      <c r="AA317" s="48"/>
    </row>
    <row r="318" spans="1:27" ht="16.5" customHeight="1" x14ac:dyDescent="0.15">
      <c r="A318" s="41">
        <v>15</v>
      </c>
      <c r="B318" s="41">
        <v>9510</v>
      </c>
      <c r="C318" s="74" t="s">
        <v>19502</v>
      </c>
      <c r="D318" s="72"/>
      <c r="F318" s="57"/>
      <c r="G318" s="122"/>
      <c r="H318" s="37"/>
      <c r="I318" s="79"/>
      <c r="J318" s="269" t="s">
        <v>17560</v>
      </c>
      <c r="K318" s="37" t="s">
        <v>398</v>
      </c>
      <c r="L318" s="38">
        <v>0.9</v>
      </c>
      <c r="M318" s="299" t="s">
        <v>17556</v>
      </c>
      <c r="N318" s="45" t="s">
        <v>398</v>
      </c>
      <c r="O318" s="46">
        <v>1</v>
      </c>
      <c r="P318" s="512"/>
      <c r="Q318" s="57"/>
      <c r="R318" s="43"/>
      <c r="S318" s="37"/>
      <c r="T318" s="38"/>
      <c r="U318" s="79"/>
      <c r="V318" s="43"/>
      <c r="W318" s="37"/>
      <c r="X318" s="38"/>
      <c r="Y318" s="79"/>
      <c r="Z318" s="208">
        <f>ROUND((ROUND((ROUND((ROUND((ROUND((_15_同援日２．０*_15・基礎２),0)*_15・２人),0)*(1+_15・A早朝)),0)*(1+_15・盲ろう)),0)*(1+_15・区４)),0)+ROUND((ROUND((ROUND((ROUND((_15_同援日２．０＿０．５*_15・基礎２),0)*_15・２人),0)*(1+_15・盲ろう)),0)*(1+_15・区４)),0)</f>
        <v>1084</v>
      </c>
      <c r="AA318" s="48"/>
    </row>
    <row r="319" spans="1:27" ht="16.5" customHeight="1" x14ac:dyDescent="0.15">
      <c r="A319" s="41">
        <v>15</v>
      </c>
      <c r="B319" s="41">
        <v>9511</v>
      </c>
      <c r="C319" s="74" t="s">
        <v>19503</v>
      </c>
      <c r="D319" s="72"/>
      <c r="F319" s="57"/>
      <c r="G319" s="114" t="s">
        <v>19212</v>
      </c>
      <c r="H319" s="49"/>
      <c r="I319" s="115"/>
      <c r="J319" s="53"/>
      <c r="K319" s="49"/>
      <c r="L319" s="50"/>
      <c r="M319" s="163"/>
      <c r="N319" s="45"/>
      <c r="O319" s="46"/>
      <c r="P319" s="512"/>
      <c r="Q319" s="57"/>
      <c r="R319" s="53"/>
      <c r="S319" s="49"/>
      <c r="T319" s="50"/>
      <c r="U319" s="115"/>
      <c r="V319" s="53"/>
      <c r="W319" s="49"/>
      <c r="X319" s="50"/>
      <c r="Y319" s="115"/>
      <c r="Z319" s="208">
        <f>ROUND((_15_同援日２．０*(1+_15・A早朝)),0)+_15_同援日２．０＿１．０</f>
        <v>753</v>
      </c>
      <c r="AA319" s="48"/>
    </row>
    <row r="320" spans="1:27" ht="16.5" customHeight="1" x14ac:dyDescent="0.15">
      <c r="A320" s="41">
        <v>15</v>
      </c>
      <c r="B320" s="41">
        <v>9512</v>
      </c>
      <c r="C320" s="74" t="s">
        <v>19504</v>
      </c>
      <c r="D320" s="72"/>
      <c r="F320" s="57"/>
      <c r="G320" s="72" t="s">
        <v>17589</v>
      </c>
      <c r="I320" s="57"/>
      <c r="J320" s="43"/>
      <c r="K320" s="37"/>
      <c r="L320" s="38"/>
      <c r="M320" s="299" t="s">
        <v>17556</v>
      </c>
      <c r="N320" s="45" t="s">
        <v>398</v>
      </c>
      <c r="O320" s="46">
        <v>1</v>
      </c>
      <c r="P320" s="512"/>
      <c r="Q320" s="57"/>
      <c r="R320" s="35"/>
      <c r="U320" s="57"/>
      <c r="V320" s="35"/>
      <c r="Y320" s="57"/>
      <c r="Z320" s="208">
        <f>ROUND((ROUND((_15_同援日２．０*_15・２人),0)*(1+_15・A早朝)),0)+ROUND((_15_同援日２．０＿１．０*_15・２人),0)</f>
        <v>753</v>
      </c>
      <c r="AA320" s="48"/>
    </row>
    <row r="321" spans="1:27" ht="16.5" customHeight="1" x14ac:dyDescent="0.15">
      <c r="A321" s="41">
        <v>15</v>
      </c>
      <c r="B321" s="41">
        <v>9513</v>
      </c>
      <c r="C321" s="74" t="s">
        <v>19505</v>
      </c>
      <c r="D321" s="72"/>
      <c r="F321" s="57"/>
      <c r="G321" s="72" t="s">
        <v>17591</v>
      </c>
      <c r="I321" s="57"/>
      <c r="J321" s="114" t="s">
        <v>17558</v>
      </c>
      <c r="K321" s="49"/>
      <c r="L321" s="50"/>
      <c r="M321" s="163"/>
      <c r="N321" s="45"/>
      <c r="O321" s="46"/>
      <c r="P321" s="512"/>
      <c r="Q321" s="57"/>
      <c r="R321" s="35"/>
      <c r="U321" s="57"/>
      <c r="V321" s="35"/>
      <c r="Y321" s="57"/>
      <c r="Z321" s="208">
        <f>ROUND((ROUND((_15_同援日２．０*_15・基礎２),0)*(1+_15・A早朝)),0)+ROUND((_15_同援日２．０＿１．０*_15・基礎２),0)</f>
        <v>677</v>
      </c>
      <c r="AA321" s="48"/>
    </row>
    <row r="322" spans="1:27" ht="16.5" customHeight="1" x14ac:dyDescent="0.15">
      <c r="A322" s="41">
        <v>15</v>
      </c>
      <c r="B322" s="41">
        <v>9514</v>
      </c>
      <c r="C322" s="74" t="s">
        <v>19506</v>
      </c>
      <c r="D322" s="72"/>
      <c r="F322" s="57"/>
      <c r="G322" s="72"/>
      <c r="H322" s="168">
        <f>_15_同援日２．０＿１．０</f>
        <v>130</v>
      </c>
      <c r="I322" s="57" t="s">
        <v>392</v>
      </c>
      <c r="J322" s="269" t="s">
        <v>17560</v>
      </c>
      <c r="K322" s="37" t="s">
        <v>398</v>
      </c>
      <c r="L322" s="38">
        <v>0.9</v>
      </c>
      <c r="M322" s="299" t="s">
        <v>17556</v>
      </c>
      <c r="N322" s="45" t="s">
        <v>398</v>
      </c>
      <c r="O322" s="46">
        <v>1</v>
      </c>
      <c r="P322" s="512"/>
      <c r="Q322" s="57"/>
      <c r="R322" s="43"/>
      <c r="S322" s="37"/>
      <c r="T322" s="38"/>
      <c r="U322" s="79"/>
      <c r="V322" s="35"/>
      <c r="Y322" s="57"/>
      <c r="Z322" s="208">
        <f>ROUND((ROUND((ROUND((_15_同援日２．０*_15・基礎２),0)*_15・２人),0)*(1+_15・A早朝)),0)+ROUND((ROUND((_15_同援日２．０＿１．０*_15・基礎２),0)*_15・２人),0)</f>
        <v>677</v>
      </c>
      <c r="AA322" s="48"/>
    </row>
    <row r="323" spans="1:27" ht="16.5" customHeight="1" x14ac:dyDescent="0.15">
      <c r="A323" s="41">
        <v>15</v>
      </c>
      <c r="B323" s="41">
        <v>9515</v>
      </c>
      <c r="C323" s="74" t="s">
        <v>19507</v>
      </c>
      <c r="D323" s="72"/>
      <c r="F323" s="57"/>
      <c r="G323" s="72"/>
      <c r="I323" s="57"/>
      <c r="J323" s="53"/>
      <c r="K323" s="49"/>
      <c r="L323" s="50"/>
      <c r="M323" s="163"/>
      <c r="N323" s="45"/>
      <c r="O323" s="46"/>
      <c r="P323" s="512"/>
      <c r="Q323" s="57"/>
      <c r="R323" s="114" t="s">
        <v>17562</v>
      </c>
      <c r="S323" s="49"/>
      <c r="T323" s="50"/>
      <c r="U323" s="115"/>
      <c r="V323" s="35"/>
      <c r="Y323" s="57"/>
      <c r="Z323" s="208">
        <f>ROUND((ROUND((_15_同援日２．０*(1+_15・A早朝)),0)*(1+_15・盲ろう)),0)+ROUND((_15_同援日２．０＿１．０*(1+_15・盲ろう)),0)</f>
        <v>942</v>
      </c>
      <c r="AA323" s="48"/>
    </row>
    <row r="324" spans="1:27" ht="16.5" customHeight="1" x14ac:dyDescent="0.15">
      <c r="A324" s="41">
        <v>15</v>
      </c>
      <c r="B324" s="41">
        <v>9516</v>
      </c>
      <c r="C324" s="74" t="s">
        <v>19508</v>
      </c>
      <c r="D324" s="72"/>
      <c r="F324" s="57"/>
      <c r="G324" s="72"/>
      <c r="I324" s="57"/>
      <c r="J324" s="43"/>
      <c r="K324" s="37"/>
      <c r="L324" s="38"/>
      <c r="M324" s="299" t="s">
        <v>17556</v>
      </c>
      <c r="N324" s="45" t="s">
        <v>398</v>
      </c>
      <c r="O324" s="46">
        <v>1</v>
      </c>
      <c r="P324" s="512"/>
      <c r="Q324" s="57"/>
      <c r="R324" s="92" t="s">
        <v>17564</v>
      </c>
      <c r="U324" s="57"/>
      <c r="V324" s="35"/>
      <c r="Y324" s="57"/>
      <c r="Z324" s="208">
        <f>ROUND((ROUND((ROUND((_15_同援日２．０*_15・２人),0)*(1+_15・A早朝)),0)*(1+_15・盲ろう)),0)+ROUND((ROUND((_15_同援日２．０＿１．０*_15・２人),0)*(1+_15・盲ろう)),0)</f>
        <v>942</v>
      </c>
      <c r="AA324" s="48"/>
    </row>
    <row r="325" spans="1:27" ht="16.5" customHeight="1" x14ac:dyDescent="0.15">
      <c r="A325" s="41">
        <v>15</v>
      </c>
      <c r="B325" s="41">
        <v>9517</v>
      </c>
      <c r="C325" s="74" t="s">
        <v>19509</v>
      </c>
      <c r="D325" s="72"/>
      <c r="F325" s="57"/>
      <c r="G325" s="72"/>
      <c r="I325" s="57"/>
      <c r="J325" s="114" t="s">
        <v>17558</v>
      </c>
      <c r="K325" s="49"/>
      <c r="L325" s="50"/>
      <c r="M325" s="163"/>
      <c r="N325" s="45"/>
      <c r="O325" s="46"/>
      <c r="P325" s="512"/>
      <c r="Q325" s="57"/>
      <c r="R325" s="35"/>
      <c r="S325" s="12" t="s">
        <v>398</v>
      </c>
      <c r="T325" s="13">
        <v>0.25</v>
      </c>
      <c r="U325" s="57" t="s">
        <v>3575</v>
      </c>
      <c r="V325" s="35"/>
      <c r="Y325" s="57"/>
      <c r="Z325" s="208">
        <f>ROUND((ROUND((ROUND((_15_同援日２．０*_15・基礎２),0)*(1+_15・A早朝)),0)*(1+_15・盲ろう)),0)+ROUND((ROUND((_15_同援日２．０＿１．０*_15・基礎２),0)*(1+_15・盲ろう)),0)</f>
        <v>846</v>
      </c>
      <c r="AA325" s="48"/>
    </row>
    <row r="326" spans="1:27" ht="16.5" customHeight="1" x14ac:dyDescent="0.15">
      <c r="A326" s="41">
        <v>15</v>
      </c>
      <c r="B326" s="41">
        <v>9518</v>
      </c>
      <c r="C326" s="74" t="s">
        <v>19510</v>
      </c>
      <c r="D326" s="72"/>
      <c r="F326" s="57"/>
      <c r="G326" s="72"/>
      <c r="I326" s="57"/>
      <c r="J326" s="269" t="s">
        <v>17560</v>
      </c>
      <c r="K326" s="37" t="s">
        <v>398</v>
      </c>
      <c r="L326" s="38">
        <v>0.9</v>
      </c>
      <c r="M326" s="299" t="s">
        <v>17556</v>
      </c>
      <c r="N326" s="45" t="s">
        <v>398</v>
      </c>
      <c r="O326" s="46">
        <v>1</v>
      </c>
      <c r="P326" s="512"/>
      <c r="Q326" s="57"/>
      <c r="R326" s="43"/>
      <c r="S326" s="37"/>
      <c r="T326" s="38"/>
      <c r="U326" s="79"/>
      <c r="V326" s="43"/>
      <c r="W326" s="37"/>
      <c r="X326" s="38"/>
      <c r="Y326" s="79"/>
      <c r="Z326" s="208">
        <f>ROUND((ROUND((ROUND((ROUND((_15_同援日２．０*_15・基礎２),0)*_15・２人),0)*(1+_15・A早朝)),0)*(1+_15・盲ろう)),0)+ROUND((ROUND((ROUND((_15_同援日２．０＿１．０*_15・基礎２),0)*_15・２人),0)*(1+_15・盲ろう)),0)</f>
        <v>846</v>
      </c>
      <c r="AA326" s="48"/>
    </row>
    <row r="327" spans="1:27" ht="16.5" customHeight="1" x14ac:dyDescent="0.15">
      <c r="A327" s="41">
        <v>15</v>
      </c>
      <c r="B327" s="41">
        <v>9519</v>
      </c>
      <c r="C327" s="74" t="s">
        <v>19511</v>
      </c>
      <c r="D327" s="72"/>
      <c r="F327" s="57"/>
      <c r="G327" s="72"/>
      <c r="I327" s="57"/>
      <c r="J327" s="53"/>
      <c r="K327" s="49"/>
      <c r="L327" s="50"/>
      <c r="M327" s="163"/>
      <c r="N327" s="45"/>
      <c r="O327" s="46"/>
      <c r="P327" s="512"/>
      <c r="Q327" s="57"/>
      <c r="R327" s="53"/>
      <c r="S327" s="49"/>
      <c r="T327" s="50"/>
      <c r="U327" s="115"/>
      <c r="V327" s="53"/>
      <c r="W327" s="49"/>
      <c r="X327" s="50"/>
      <c r="Y327" s="115"/>
      <c r="Z327" s="208">
        <f>ROUND((ROUND((_15_同援日２．０*(1+_15・A早朝)),0)*(1+_15・区３)),0)+ROUND((_15_同援日２．０＿１．０*(1+_15・区３)),0)</f>
        <v>904</v>
      </c>
      <c r="AA327" s="48"/>
    </row>
    <row r="328" spans="1:27" ht="16.5" customHeight="1" x14ac:dyDescent="0.15">
      <c r="A328" s="41">
        <v>15</v>
      </c>
      <c r="B328" s="41">
        <v>9520</v>
      </c>
      <c r="C328" s="74" t="s">
        <v>19512</v>
      </c>
      <c r="D328" s="72"/>
      <c r="F328" s="57"/>
      <c r="G328" s="72"/>
      <c r="I328" s="57"/>
      <c r="J328" s="43"/>
      <c r="K328" s="37"/>
      <c r="L328" s="38"/>
      <c r="M328" s="299" t="s">
        <v>17556</v>
      </c>
      <c r="N328" s="45" t="s">
        <v>398</v>
      </c>
      <c r="O328" s="46">
        <v>1</v>
      </c>
      <c r="P328" s="512"/>
      <c r="Q328" s="57"/>
      <c r="R328" s="35"/>
      <c r="U328" s="57"/>
      <c r="V328" s="35"/>
      <c r="Y328" s="57"/>
      <c r="Z328" s="208">
        <f>ROUND((ROUND((ROUND((_15_同援日２．０*_15・２人),0)*(1+_15・A早朝)),0)*(1+_15・区３)),0)+ROUND((ROUND((_15_同援日２．０＿１．０*_15・２人),0)*(1+_15・区３)),0)</f>
        <v>904</v>
      </c>
      <c r="AA328" s="48"/>
    </row>
    <row r="329" spans="1:27" ht="16.5" customHeight="1" x14ac:dyDescent="0.15">
      <c r="A329" s="41">
        <v>15</v>
      </c>
      <c r="B329" s="41">
        <v>9521</v>
      </c>
      <c r="C329" s="74" t="s">
        <v>19513</v>
      </c>
      <c r="D329" s="72"/>
      <c r="F329" s="57"/>
      <c r="G329" s="72"/>
      <c r="I329" s="57"/>
      <c r="J329" s="114" t="s">
        <v>17558</v>
      </c>
      <c r="K329" s="49"/>
      <c r="L329" s="50"/>
      <c r="M329" s="163"/>
      <c r="N329" s="45"/>
      <c r="O329" s="46"/>
      <c r="P329" s="512"/>
      <c r="Q329" s="57"/>
      <c r="R329" s="35"/>
      <c r="U329" s="57"/>
      <c r="V329" s="72" t="s">
        <v>17570</v>
      </c>
      <c r="Y329" s="57"/>
      <c r="Z329" s="208">
        <f>ROUND((ROUND((ROUND((_15_同援日２．０*_15・基礎２),0)*(1+_15・A早朝)),0)*(1+_15・区３)),0)+ROUND((ROUND((_15_同援日２．０＿１．０*_15・基礎２),0)*(1+_15・区３)),0)</f>
        <v>812</v>
      </c>
      <c r="AA329" s="48"/>
    </row>
    <row r="330" spans="1:27" ht="16.5" customHeight="1" x14ac:dyDescent="0.15">
      <c r="A330" s="41">
        <v>15</v>
      </c>
      <c r="B330" s="41">
        <v>9522</v>
      </c>
      <c r="C330" s="74" t="s">
        <v>19514</v>
      </c>
      <c r="D330" s="72"/>
      <c r="F330" s="57"/>
      <c r="G330" s="72"/>
      <c r="I330" s="57"/>
      <c r="J330" s="269" t="s">
        <v>17560</v>
      </c>
      <c r="K330" s="37" t="s">
        <v>398</v>
      </c>
      <c r="L330" s="38">
        <v>0.9</v>
      </c>
      <c r="M330" s="299" t="s">
        <v>17556</v>
      </c>
      <c r="N330" s="45" t="s">
        <v>398</v>
      </c>
      <c r="O330" s="46">
        <v>1</v>
      </c>
      <c r="P330" s="512"/>
      <c r="Q330" s="57"/>
      <c r="R330" s="43"/>
      <c r="S330" s="37"/>
      <c r="T330" s="38"/>
      <c r="U330" s="79"/>
      <c r="V330" s="72" t="s">
        <v>17572</v>
      </c>
      <c r="Y330" s="57"/>
      <c r="Z330" s="208">
        <f>ROUND((ROUND((ROUND((ROUND((_15_同援日２．０*_15・基礎２),0)*_15・２人),0)*(1+_15・A早朝)),0)*(1+_15・区３)),0)+ROUND((ROUND((ROUND((_15_同援日２．０＿１．０*_15・基礎２),0)*_15・２人),0)*(1+_15・区３)),0)</f>
        <v>812</v>
      </c>
      <c r="AA330" s="48"/>
    </row>
    <row r="331" spans="1:27" ht="16.5" customHeight="1" x14ac:dyDescent="0.15">
      <c r="A331" s="41">
        <v>15</v>
      </c>
      <c r="B331" s="41">
        <v>9523</v>
      </c>
      <c r="C331" s="74" t="s">
        <v>19515</v>
      </c>
      <c r="D331" s="72"/>
      <c r="F331" s="57"/>
      <c r="G331" s="72"/>
      <c r="I331" s="57"/>
      <c r="J331" s="53"/>
      <c r="K331" s="49"/>
      <c r="L331" s="50"/>
      <c r="M331" s="163"/>
      <c r="N331" s="45"/>
      <c r="O331" s="46"/>
      <c r="P331" s="512"/>
      <c r="Q331" s="57"/>
      <c r="R331" s="114" t="s">
        <v>17562</v>
      </c>
      <c r="S331" s="49"/>
      <c r="T331" s="50"/>
      <c r="U331" s="115"/>
      <c r="V331" s="35"/>
      <c r="W331" s="12" t="s">
        <v>398</v>
      </c>
      <c r="X331" s="13">
        <v>0.2</v>
      </c>
      <c r="Y331" s="57" t="s">
        <v>3575</v>
      </c>
      <c r="Z331" s="208">
        <f>ROUND((ROUND((ROUND((_15_同援日２．０*(1+_15・A早朝)),0)*(1+_15・盲ろう)),0)*(1+_15・区３)),0)+ROUND((ROUND((_15_同援日２．０＿１．０*(1+_15・盲ろう)),0)*(1+_15・区３)),0)</f>
        <v>1131</v>
      </c>
      <c r="AA331" s="48"/>
    </row>
    <row r="332" spans="1:27" ht="16.5" customHeight="1" x14ac:dyDescent="0.15">
      <c r="A332" s="41">
        <v>15</v>
      </c>
      <c r="B332" s="41">
        <v>9524</v>
      </c>
      <c r="C332" s="74" t="s">
        <v>19516</v>
      </c>
      <c r="D332" s="72"/>
      <c r="F332" s="57"/>
      <c r="G332" s="72"/>
      <c r="I332" s="57"/>
      <c r="J332" s="43"/>
      <c r="K332" s="37"/>
      <c r="L332" s="38"/>
      <c r="M332" s="299" t="s">
        <v>17556</v>
      </c>
      <c r="N332" s="45" t="s">
        <v>398</v>
      </c>
      <c r="O332" s="46">
        <v>1</v>
      </c>
      <c r="P332" s="512"/>
      <c r="Q332" s="57"/>
      <c r="R332" s="92" t="s">
        <v>17564</v>
      </c>
      <c r="U332" s="57"/>
      <c r="V332" s="35"/>
      <c r="Y332" s="57"/>
      <c r="Z332" s="208">
        <f>ROUND((ROUND((ROUND((ROUND((_15_同援日２．０*_15・２人),0)*(1+_15・A早朝)),0)*(1+_15・盲ろう)),0)*(1+_15・区３)),0)+ROUND((ROUND((ROUND((_15_同援日２．０＿１．０*_15・２人),0)*(1+_15・盲ろう)),0)*(1+_15・区３)),0)</f>
        <v>1131</v>
      </c>
      <c r="AA332" s="48"/>
    </row>
    <row r="333" spans="1:27" ht="16.5" customHeight="1" x14ac:dyDescent="0.15">
      <c r="A333" s="41">
        <v>15</v>
      </c>
      <c r="B333" s="41">
        <v>9525</v>
      </c>
      <c r="C333" s="74" t="s">
        <v>19517</v>
      </c>
      <c r="D333" s="72"/>
      <c r="F333" s="57"/>
      <c r="G333" s="72"/>
      <c r="I333" s="57"/>
      <c r="J333" s="114" t="s">
        <v>17558</v>
      </c>
      <c r="K333" s="49"/>
      <c r="L333" s="50"/>
      <c r="M333" s="163"/>
      <c r="N333" s="45"/>
      <c r="O333" s="46"/>
      <c r="P333" s="512"/>
      <c r="Q333" s="57"/>
      <c r="R333" s="35"/>
      <c r="S333" s="12" t="s">
        <v>398</v>
      </c>
      <c r="T333" s="13">
        <v>0.25</v>
      </c>
      <c r="U333" s="57" t="s">
        <v>3575</v>
      </c>
      <c r="V333" s="35"/>
      <c r="Y333" s="57"/>
      <c r="Z333" s="208">
        <f>ROUND((ROUND((ROUND((ROUND((_15_同援日２．０*_15・基礎２),0)*(1+_15・A早朝)),0)*(1+_15・盲ろう)),0)*(1+_15・区３)),0)+ROUND((ROUND((ROUND((_15_同援日２．０＿１．０*_15・基礎２),0)*(1+_15・盲ろう)),0)*(1+_15・区３)),0)</f>
        <v>1015</v>
      </c>
      <c r="AA333" s="48"/>
    </row>
    <row r="334" spans="1:27" ht="16.5" customHeight="1" x14ac:dyDescent="0.15">
      <c r="A334" s="41">
        <v>15</v>
      </c>
      <c r="B334" s="41">
        <v>9526</v>
      </c>
      <c r="C334" s="74" t="s">
        <v>19518</v>
      </c>
      <c r="D334" s="72"/>
      <c r="F334" s="57"/>
      <c r="G334" s="72"/>
      <c r="I334" s="57"/>
      <c r="J334" s="269" t="s">
        <v>17560</v>
      </c>
      <c r="K334" s="37" t="s">
        <v>398</v>
      </c>
      <c r="L334" s="38">
        <v>0.9</v>
      </c>
      <c r="M334" s="299" t="s">
        <v>17556</v>
      </c>
      <c r="N334" s="45" t="s">
        <v>398</v>
      </c>
      <c r="O334" s="46">
        <v>1</v>
      </c>
      <c r="P334" s="512"/>
      <c r="Q334" s="57"/>
      <c r="R334" s="43"/>
      <c r="S334" s="37"/>
      <c r="T334" s="38"/>
      <c r="U334" s="79"/>
      <c r="V334" s="43"/>
      <c r="W334" s="37"/>
      <c r="X334" s="38"/>
      <c r="Y334" s="79"/>
      <c r="Z334" s="208">
        <f>ROUND((ROUND((ROUND((ROUND((ROUND((_15_同援日２．０*_15・基礎２),0)*_15・２人),0)*(1+_15・A早朝)),0)*(1+_15・盲ろう)),0)*(1+_15・区３)),0)+ROUND((ROUND((ROUND((ROUND((_15_同援日２．０＿１．０*_15・基礎２),0)*_15・２人),0)*(1+_15・盲ろう)),0)*(1+_15・区３)),0)</f>
        <v>1015</v>
      </c>
      <c r="AA334" s="48"/>
    </row>
    <row r="335" spans="1:27" ht="16.5" customHeight="1" x14ac:dyDescent="0.15">
      <c r="A335" s="41">
        <v>15</v>
      </c>
      <c r="B335" s="41">
        <v>9527</v>
      </c>
      <c r="C335" s="74" t="s">
        <v>19519</v>
      </c>
      <c r="D335" s="72"/>
      <c r="F335" s="57"/>
      <c r="G335" s="72"/>
      <c r="I335" s="57"/>
      <c r="J335" s="53"/>
      <c r="K335" s="49"/>
      <c r="L335" s="50"/>
      <c r="M335" s="163"/>
      <c r="N335" s="45"/>
      <c r="O335" s="46"/>
      <c r="P335" s="512"/>
      <c r="Q335" s="57"/>
      <c r="R335" s="53"/>
      <c r="S335" s="49"/>
      <c r="T335" s="50"/>
      <c r="U335" s="115"/>
      <c r="V335" s="53"/>
      <c r="W335" s="49"/>
      <c r="X335" s="50"/>
      <c r="Y335" s="115"/>
      <c r="Z335" s="208">
        <f>ROUND((ROUND((_15_同援日２．０*(1+_15・A早朝)),0)*(1+_15・区４)),0)+ROUND((_15_同援日２．０＿１．０*(1+_15・区４)),0)</f>
        <v>1054</v>
      </c>
      <c r="AA335" s="48"/>
    </row>
    <row r="336" spans="1:27" ht="16.5" customHeight="1" x14ac:dyDescent="0.15">
      <c r="A336" s="41">
        <v>15</v>
      </c>
      <c r="B336" s="41">
        <v>9528</v>
      </c>
      <c r="C336" s="74" t="s">
        <v>19520</v>
      </c>
      <c r="D336" s="72"/>
      <c r="F336" s="57"/>
      <c r="G336" s="72"/>
      <c r="I336" s="57"/>
      <c r="J336" s="43"/>
      <c r="K336" s="37"/>
      <c r="L336" s="38"/>
      <c r="M336" s="299" t="s">
        <v>17556</v>
      </c>
      <c r="N336" s="45" t="s">
        <v>398</v>
      </c>
      <c r="O336" s="46">
        <v>1</v>
      </c>
      <c r="P336" s="512"/>
      <c r="Q336" s="57"/>
      <c r="R336" s="35"/>
      <c r="U336" s="57"/>
      <c r="V336" s="35"/>
      <c r="Y336" s="57"/>
      <c r="Z336" s="208">
        <f>ROUND((ROUND((ROUND((_15_同援日２．０*_15・２人),0)*(1+_15・A早朝)),0)*(1+_15・区４)),0)+ROUND((ROUND((_15_同援日２．０＿１．０*_15・２人),0)*(1+_15・区４)),0)</f>
        <v>1054</v>
      </c>
      <c r="AA336" s="48"/>
    </row>
    <row r="337" spans="1:27" ht="16.5" customHeight="1" x14ac:dyDescent="0.15">
      <c r="A337" s="41">
        <v>15</v>
      </c>
      <c r="B337" s="41">
        <v>9529</v>
      </c>
      <c r="C337" s="74" t="s">
        <v>19521</v>
      </c>
      <c r="D337" s="72"/>
      <c r="F337" s="57"/>
      <c r="G337" s="72"/>
      <c r="I337" s="57"/>
      <c r="J337" s="114" t="s">
        <v>17558</v>
      </c>
      <c r="K337" s="49"/>
      <c r="L337" s="50"/>
      <c r="M337" s="163"/>
      <c r="N337" s="45"/>
      <c r="O337" s="46"/>
      <c r="P337" s="512"/>
      <c r="Q337" s="57"/>
      <c r="R337" s="35"/>
      <c r="U337" s="57"/>
      <c r="V337" s="72" t="s">
        <v>17580</v>
      </c>
      <c r="Y337" s="57"/>
      <c r="Z337" s="208">
        <f>ROUND((ROUND((ROUND((_15_同援日２．０*_15・基礎２),0)*(1+_15・A早朝)),0)*(1+_15・区４)),0)+ROUND((ROUND((_15_同援日２．０＿１．０*_15・基礎２),0)*(1+_15・区４)),0)</f>
        <v>948</v>
      </c>
      <c r="AA337" s="48"/>
    </row>
    <row r="338" spans="1:27" ht="16.5" customHeight="1" x14ac:dyDescent="0.15">
      <c r="A338" s="41">
        <v>15</v>
      </c>
      <c r="B338" s="41">
        <v>9530</v>
      </c>
      <c r="C338" s="74" t="s">
        <v>19522</v>
      </c>
      <c r="D338" s="72"/>
      <c r="F338" s="57"/>
      <c r="G338" s="72"/>
      <c r="I338" s="57"/>
      <c r="J338" s="269" t="s">
        <v>17560</v>
      </c>
      <c r="K338" s="37" t="s">
        <v>398</v>
      </c>
      <c r="L338" s="38">
        <v>0.9</v>
      </c>
      <c r="M338" s="299" t="s">
        <v>17556</v>
      </c>
      <c r="N338" s="45" t="s">
        <v>398</v>
      </c>
      <c r="O338" s="46">
        <v>1</v>
      </c>
      <c r="P338" s="512"/>
      <c r="Q338" s="57"/>
      <c r="R338" s="43"/>
      <c r="S338" s="37"/>
      <c r="T338" s="38"/>
      <c r="U338" s="79"/>
      <c r="V338" s="72" t="s">
        <v>17572</v>
      </c>
      <c r="Y338" s="57"/>
      <c r="Z338" s="208">
        <f>ROUND((ROUND((ROUND((ROUND((_15_同援日２．０*_15・基礎２),0)*_15・２人),0)*(1+_15・A早朝)),0)*(1+_15・区４)),0)+ROUND((ROUND((ROUND((_15_同援日２．０＿１．０*_15・基礎２),0)*_15・２人),0)*(1+_15・区４)),0)</f>
        <v>948</v>
      </c>
      <c r="AA338" s="48"/>
    </row>
    <row r="339" spans="1:27" ht="16.5" customHeight="1" x14ac:dyDescent="0.15">
      <c r="A339" s="41">
        <v>15</v>
      </c>
      <c r="B339" s="41">
        <v>9531</v>
      </c>
      <c r="C339" s="74" t="s">
        <v>19523</v>
      </c>
      <c r="D339" s="72"/>
      <c r="F339" s="57"/>
      <c r="G339" s="72"/>
      <c r="I339" s="57"/>
      <c r="J339" s="53"/>
      <c r="K339" s="49"/>
      <c r="L339" s="50"/>
      <c r="M339" s="163"/>
      <c r="N339" s="45"/>
      <c r="O339" s="46"/>
      <c r="P339" s="512"/>
      <c r="Q339" s="57"/>
      <c r="R339" s="114" t="s">
        <v>17562</v>
      </c>
      <c r="S339" s="49"/>
      <c r="T339" s="50"/>
      <c r="U339" s="115"/>
      <c r="V339" s="35"/>
      <c r="W339" s="12" t="s">
        <v>398</v>
      </c>
      <c r="X339" s="13">
        <v>0.4</v>
      </c>
      <c r="Y339" s="57" t="s">
        <v>3575</v>
      </c>
      <c r="Z339" s="208">
        <f>ROUND((ROUND((ROUND((_15_同援日２．０*(1+_15・A早朝)),0)*(1+_15・盲ろう)),0)*(1+_15・区４)),0)+ROUND((ROUND((_15_同援日２．０＿１．０*(1+_15・盲ろう)),0)*(1+_15・区４)),0)</f>
        <v>1319</v>
      </c>
      <c r="AA339" s="48"/>
    </row>
    <row r="340" spans="1:27" ht="16.5" customHeight="1" x14ac:dyDescent="0.15">
      <c r="A340" s="41">
        <v>15</v>
      </c>
      <c r="B340" s="41">
        <v>9532</v>
      </c>
      <c r="C340" s="74" t="s">
        <v>19524</v>
      </c>
      <c r="D340" s="72"/>
      <c r="F340" s="57"/>
      <c r="G340" s="72"/>
      <c r="I340" s="57"/>
      <c r="J340" s="43"/>
      <c r="K340" s="37"/>
      <c r="L340" s="38"/>
      <c r="M340" s="299" t="s">
        <v>17556</v>
      </c>
      <c r="N340" s="45" t="s">
        <v>398</v>
      </c>
      <c r="O340" s="46">
        <v>1</v>
      </c>
      <c r="P340" s="512"/>
      <c r="Q340" s="57"/>
      <c r="R340" s="92" t="s">
        <v>17564</v>
      </c>
      <c r="U340" s="57"/>
      <c r="V340" s="35"/>
      <c r="Y340" s="57"/>
      <c r="Z340" s="208">
        <f>ROUND((ROUND((ROUND((ROUND((_15_同援日２．０*_15・２人),0)*(1+_15・A早朝)),0)*(1+_15・盲ろう)),0)*(1+_15・区４)),0)+ROUND((ROUND((ROUND((_15_同援日２．０＿１．０*_15・２人),0)*(1+_15・盲ろう)),0)*(1+_15・区４)),0)</f>
        <v>1319</v>
      </c>
      <c r="AA340" s="48"/>
    </row>
    <row r="341" spans="1:27" ht="16.5" customHeight="1" x14ac:dyDescent="0.15">
      <c r="A341" s="41">
        <v>15</v>
      </c>
      <c r="B341" s="41">
        <v>9533</v>
      </c>
      <c r="C341" s="74" t="s">
        <v>19525</v>
      </c>
      <c r="D341" s="72"/>
      <c r="F341" s="57"/>
      <c r="G341" s="72"/>
      <c r="I341" s="57"/>
      <c r="J341" s="114" t="s">
        <v>17558</v>
      </c>
      <c r="K341" s="49"/>
      <c r="L341" s="50"/>
      <c r="M341" s="163"/>
      <c r="N341" s="45"/>
      <c r="O341" s="46"/>
      <c r="P341" s="512"/>
      <c r="Q341" s="57"/>
      <c r="R341" s="35"/>
      <c r="S341" s="12" t="s">
        <v>398</v>
      </c>
      <c r="T341" s="13">
        <v>0.25</v>
      </c>
      <c r="U341" s="57" t="s">
        <v>3575</v>
      </c>
      <c r="V341" s="35"/>
      <c r="Y341" s="57"/>
      <c r="Z341" s="208">
        <f>ROUND((ROUND((ROUND((ROUND((_15_同援日２．０*_15・基礎２),0)*(1+_15・A早朝)),0)*(1+_15・盲ろう)),0)*(1+_15・区４)),0)+ROUND((ROUND((ROUND((_15_同援日２．０＿１．０*_15・基礎２),0)*(1+_15・盲ろう)),0)*(1+_15・区４)),0)</f>
        <v>1184</v>
      </c>
      <c r="AA341" s="48"/>
    </row>
    <row r="342" spans="1:27" ht="16.5" customHeight="1" x14ac:dyDescent="0.15">
      <c r="A342" s="41">
        <v>15</v>
      </c>
      <c r="B342" s="41">
        <v>9534</v>
      </c>
      <c r="C342" s="74" t="s">
        <v>19526</v>
      </c>
      <c r="D342" s="122"/>
      <c r="E342" s="37"/>
      <c r="F342" s="79"/>
      <c r="G342" s="122"/>
      <c r="H342" s="37"/>
      <c r="I342" s="79"/>
      <c r="J342" s="269" t="s">
        <v>17560</v>
      </c>
      <c r="K342" s="37" t="s">
        <v>398</v>
      </c>
      <c r="L342" s="38">
        <v>0.9</v>
      </c>
      <c r="M342" s="299" t="s">
        <v>17556</v>
      </c>
      <c r="N342" s="45" t="s">
        <v>398</v>
      </c>
      <c r="O342" s="46">
        <v>1</v>
      </c>
      <c r="P342" s="512"/>
      <c r="Q342" s="57"/>
      <c r="R342" s="43"/>
      <c r="S342" s="37"/>
      <c r="T342" s="38"/>
      <c r="U342" s="79"/>
      <c r="V342" s="43"/>
      <c r="W342" s="37"/>
      <c r="X342" s="38"/>
      <c r="Y342" s="79"/>
      <c r="Z342" s="208">
        <f>ROUND((ROUND((ROUND((ROUND((ROUND((_15_同援日２．０*_15・基礎２),0)*_15・２人),0)*(1+_15・A早朝)),0)*(1+_15・盲ろう)),0)*(1+_15・区４)),0)+ROUND((ROUND((ROUND((ROUND((_15_同援日２．０＿１．０*_15・基礎２),0)*_15・２人),0)*(1+_15・盲ろう)),0)*(1+_15・区４)),0)</f>
        <v>1184</v>
      </c>
      <c r="AA342" s="48"/>
    </row>
    <row r="343" spans="1:27" ht="16.5" customHeight="1" x14ac:dyDescent="0.15">
      <c r="A343" s="41">
        <v>15</v>
      </c>
      <c r="B343" s="41">
        <v>9535</v>
      </c>
      <c r="C343" s="74" t="s">
        <v>19527</v>
      </c>
      <c r="D343" s="114" t="s">
        <v>18231</v>
      </c>
      <c r="E343" s="49"/>
      <c r="F343" s="115"/>
      <c r="G343" s="114" t="s">
        <v>19187</v>
      </c>
      <c r="H343" s="49"/>
      <c r="I343" s="115"/>
      <c r="J343" s="53"/>
      <c r="K343" s="49"/>
      <c r="L343" s="50"/>
      <c r="M343" s="163"/>
      <c r="N343" s="45"/>
      <c r="O343" s="46"/>
      <c r="P343" s="512"/>
      <c r="Q343" s="57"/>
      <c r="R343" s="53"/>
      <c r="S343" s="49"/>
      <c r="T343" s="50"/>
      <c r="U343" s="115"/>
      <c r="V343" s="53"/>
      <c r="W343" s="49"/>
      <c r="X343" s="50"/>
      <c r="Y343" s="115"/>
      <c r="Z343" s="208">
        <f>ROUND((_15_同援日２．５*(1+_15・A早朝)),0)+_15_同援日２．５＿０．５</f>
        <v>769</v>
      </c>
      <c r="AA343" s="48"/>
    </row>
    <row r="344" spans="1:27" ht="16.5" customHeight="1" x14ac:dyDescent="0.15">
      <c r="A344" s="41">
        <v>15</v>
      </c>
      <c r="B344" s="41">
        <v>9536</v>
      </c>
      <c r="C344" s="74" t="s">
        <v>19528</v>
      </c>
      <c r="D344" s="72" t="s">
        <v>17670</v>
      </c>
      <c r="F344" s="57"/>
      <c r="G344" s="72" t="s">
        <v>18259</v>
      </c>
      <c r="I344" s="57"/>
      <c r="J344" s="43"/>
      <c r="K344" s="37"/>
      <c r="L344" s="38"/>
      <c r="M344" s="299" t="s">
        <v>17556</v>
      </c>
      <c r="N344" s="45" t="s">
        <v>398</v>
      </c>
      <c r="O344" s="46">
        <v>1</v>
      </c>
      <c r="P344" s="512"/>
      <c r="Q344" s="57"/>
      <c r="R344" s="35"/>
      <c r="U344" s="57"/>
      <c r="V344" s="35"/>
      <c r="Y344" s="57"/>
      <c r="Z344" s="208">
        <f>ROUND((ROUND((_15_同援日２．５*_15・２人),0)*(1+_15・A早朝)),0)+ROUND((_15_同援日２．５＿０．５*_15・２人),0)</f>
        <v>769</v>
      </c>
      <c r="AA344" s="48"/>
    </row>
    <row r="345" spans="1:27" ht="16.5" customHeight="1" x14ac:dyDescent="0.15">
      <c r="A345" s="41">
        <v>15</v>
      </c>
      <c r="B345" s="41">
        <v>9537</v>
      </c>
      <c r="C345" s="74" t="s">
        <v>19529</v>
      </c>
      <c r="D345" s="72" t="s">
        <v>17672</v>
      </c>
      <c r="F345" s="57"/>
      <c r="G345" s="72"/>
      <c r="I345" s="57"/>
      <c r="J345" s="114" t="s">
        <v>17558</v>
      </c>
      <c r="K345" s="49"/>
      <c r="L345" s="50"/>
      <c r="M345" s="163"/>
      <c r="N345" s="45"/>
      <c r="O345" s="46"/>
      <c r="P345" s="512"/>
      <c r="Q345" s="57"/>
      <c r="R345" s="35"/>
      <c r="U345" s="57"/>
      <c r="V345" s="35"/>
      <c r="Y345" s="57"/>
      <c r="Z345" s="208">
        <f>ROUND((ROUND((_15_同援日２．５*_15・基礎２),0)*(1+_15・A早朝)),0)+ROUND((_15_同援日２．５＿０．５*_15・基礎２),0)</f>
        <v>693</v>
      </c>
      <c r="AA345" s="48"/>
    </row>
    <row r="346" spans="1:27" ht="16.5" customHeight="1" x14ac:dyDescent="0.15">
      <c r="A346" s="41">
        <v>15</v>
      </c>
      <c r="B346" s="41">
        <v>9538</v>
      </c>
      <c r="C346" s="74" t="s">
        <v>19530</v>
      </c>
      <c r="D346" s="72"/>
      <c r="E346" s="168">
        <f>_15_同援日２．５</f>
        <v>563</v>
      </c>
      <c r="F346" s="57" t="s">
        <v>392</v>
      </c>
      <c r="G346" s="72"/>
      <c r="H346" s="168">
        <f>_15_同援日２．５＿０．５</f>
        <v>65</v>
      </c>
      <c r="I346" s="57" t="s">
        <v>392</v>
      </c>
      <c r="J346" s="269" t="s">
        <v>17560</v>
      </c>
      <c r="K346" s="37" t="s">
        <v>398</v>
      </c>
      <c r="L346" s="38">
        <v>0.9</v>
      </c>
      <c r="M346" s="299" t="s">
        <v>17556</v>
      </c>
      <c r="N346" s="45" t="s">
        <v>398</v>
      </c>
      <c r="O346" s="46">
        <v>1</v>
      </c>
      <c r="P346" s="512"/>
      <c r="Q346" s="57"/>
      <c r="R346" s="43"/>
      <c r="S346" s="37"/>
      <c r="T346" s="38"/>
      <c r="U346" s="79"/>
      <c r="V346" s="35"/>
      <c r="Y346" s="57"/>
      <c r="Z346" s="208">
        <f>ROUND((ROUND((ROUND((_15_同援日２．５*_15・基礎２),0)*_15・２人),0)*(1+_15・A早朝)),0)+ROUND((ROUND((_15_同援日２．５＿０．５*_15・基礎２),0)*_15・２人),0)</f>
        <v>693</v>
      </c>
      <c r="AA346" s="48"/>
    </row>
    <row r="347" spans="1:27" ht="16.5" customHeight="1" x14ac:dyDescent="0.15">
      <c r="A347" s="41">
        <v>15</v>
      </c>
      <c r="B347" s="41">
        <v>9539</v>
      </c>
      <c r="C347" s="74" t="s">
        <v>19531</v>
      </c>
      <c r="D347" s="72"/>
      <c r="F347" s="57"/>
      <c r="G347" s="72"/>
      <c r="I347" s="57"/>
      <c r="J347" s="53"/>
      <c r="K347" s="49"/>
      <c r="L347" s="50"/>
      <c r="M347" s="163"/>
      <c r="N347" s="45"/>
      <c r="O347" s="46"/>
      <c r="P347" s="512"/>
      <c r="Q347" s="57"/>
      <c r="R347" s="114" t="s">
        <v>17562</v>
      </c>
      <c r="S347" s="49"/>
      <c r="T347" s="50"/>
      <c r="U347" s="115"/>
      <c r="V347" s="35"/>
      <c r="Y347" s="57"/>
      <c r="Z347" s="208">
        <f>ROUND((ROUND((_15_同援日２．５*(1+_15・A早朝)),0)*(1+_15・盲ろう)),0)+ROUND((_15_同援日２．５＿０．５*(1+_15・盲ろう)),0)</f>
        <v>961</v>
      </c>
      <c r="AA347" s="48"/>
    </row>
    <row r="348" spans="1:27" ht="16.5" customHeight="1" x14ac:dyDescent="0.15">
      <c r="A348" s="41">
        <v>15</v>
      </c>
      <c r="B348" s="41">
        <v>9540</v>
      </c>
      <c r="C348" s="74" t="s">
        <v>19532</v>
      </c>
      <c r="D348" s="72"/>
      <c r="F348" s="57"/>
      <c r="G348" s="72"/>
      <c r="I348" s="57"/>
      <c r="J348" s="43"/>
      <c r="K348" s="37"/>
      <c r="L348" s="38"/>
      <c r="M348" s="299" t="s">
        <v>17556</v>
      </c>
      <c r="N348" s="45" t="s">
        <v>398</v>
      </c>
      <c r="O348" s="46">
        <v>1</v>
      </c>
      <c r="P348" s="512"/>
      <c r="Q348" s="57"/>
      <c r="R348" s="92" t="s">
        <v>17564</v>
      </c>
      <c r="U348" s="57"/>
      <c r="V348" s="35"/>
      <c r="Y348" s="57"/>
      <c r="Z348" s="208">
        <f>ROUND((ROUND((ROUND((_15_同援日２．５*_15・２人),0)*(1+_15・A早朝)),0)*(1+_15・盲ろう)),0)+ROUND((ROUND((_15_同援日２．５＿０．５*_15・２人),0)*(1+_15・盲ろう)),0)</f>
        <v>961</v>
      </c>
      <c r="AA348" s="48"/>
    </row>
    <row r="349" spans="1:27" ht="16.5" customHeight="1" x14ac:dyDescent="0.15">
      <c r="A349" s="41">
        <v>15</v>
      </c>
      <c r="B349" s="41">
        <v>9541</v>
      </c>
      <c r="C349" s="74" t="s">
        <v>19533</v>
      </c>
      <c r="D349" s="72"/>
      <c r="F349" s="57"/>
      <c r="G349" s="72"/>
      <c r="I349" s="57"/>
      <c r="J349" s="114" t="s">
        <v>17558</v>
      </c>
      <c r="K349" s="49"/>
      <c r="L349" s="50"/>
      <c r="M349" s="163"/>
      <c r="N349" s="45"/>
      <c r="O349" s="46"/>
      <c r="P349" s="512"/>
      <c r="Q349" s="57"/>
      <c r="R349" s="35"/>
      <c r="S349" s="12" t="s">
        <v>398</v>
      </c>
      <c r="T349" s="13">
        <v>0.25</v>
      </c>
      <c r="U349" s="57" t="s">
        <v>3575</v>
      </c>
      <c r="V349" s="35"/>
      <c r="Y349" s="57"/>
      <c r="Z349" s="208">
        <f>ROUND((ROUND((ROUND((_15_同援日２．５*_15・基礎２),0)*(1+_15・A早朝)),0)*(1+_15・盲ろう)),0)+ROUND((ROUND((_15_同援日２．５＿０．５*_15・基礎２),0)*(1+_15・盲ろう)),0)</f>
        <v>867</v>
      </c>
      <c r="AA349" s="48"/>
    </row>
    <row r="350" spans="1:27" ht="16.5" customHeight="1" x14ac:dyDescent="0.15">
      <c r="A350" s="41">
        <v>15</v>
      </c>
      <c r="B350" s="41">
        <v>9542</v>
      </c>
      <c r="C350" s="74" t="s">
        <v>19534</v>
      </c>
      <c r="D350" s="72"/>
      <c r="F350" s="57"/>
      <c r="G350" s="72"/>
      <c r="I350" s="57"/>
      <c r="J350" s="269" t="s">
        <v>17560</v>
      </c>
      <c r="K350" s="37" t="s">
        <v>398</v>
      </c>
      <c r="L350" s="38">
        <v>0.9</v>
      </c>
      <c r="M350" s="299" t="s">
        <v>17556</v>
      </c>
      <c r="N350" s="45" t="s">
        <v>398</v>
      </c>
      <c r="O350" s="46">
        <v>1</v>
      </c>
      <c r="P350" s="512"/>
      <c r="Q350" s="57"/>
      <c r="R350" s="43"/>
      <c r="S350" s="37"/>
      <c r="T350" s="38"/>
      <c r="U350" s="79"/>
      <c r="V350" s="43"/>
      <c r="W350" s="37"/>
      <c r="X350" s="38"/>
      <c r="Y350" s="79"/>
      <c r="Z350" s="208">
        <f>ROUND((ROUND((ROUND((ROUND((_15_同援日２．５*_15・基礎２),0)*_15・２人),0)*(1+_15・A早朝)),0)*(1+_15・盲ろう)),0)+ROUND((ROUND((ROUND((_15_同援日２．５＿０．５*_15・基礎２),0)*_15・２人),0)*(1+_15・盲ろう)),0)</f>
        <v>867</v>
      </c>
      <c r="AA350" s="48"/>
    </row>
    <row r="351" spans="1:27" ht="16.5" customHeight="1" x14ac:dyDescent="0.15">
      <c r="A351" s="41">
        <v>15</v>
      </c>
      <c r="B351" s="41">
        <v>9543</v>
      </c>
      <c r="C351" s="74" t="s">
        <v>19535</v>
      </c>
      <c r="D351" s="72"/>
      <c r="F351" s="57"/>
      <c r="G351" s="72"/>
      <c r="I351" s="57"/>
      <c r="J351" s="53"/>
      <c r="K351" s="49"/>
      <c r="L351" s="50"/>
      <c r="M351" s="163"/>
      <c r="N351" s="45"/>
      <c r="O351" s="46"/>
      <c r="P351" s="512"/>
      <c r="Q351" s="57"/>
      <c r="R351" s="53"/>
      <c r="S351" s="49"/>
      <c r="T351" s="50"/>
      <c r="U351" s="115"/>
      <c r="V351" s="53"/>
      <c r="W351" s="49"/>
      <c r="X351" s="50"/>
      <c r="Y351" s="115"/>
      <c r="Z351" s="208">
        <f>ROUND((ROUND((_15_同援日２．５*(1+_15・A早朝)),0)*(1+_15・区３)),0)+ROUND((_15_同援日２．５＿０．５*(1+_15・区３)),0)</f>
        <v>923</v>
      </c>
      <c r="AA351" s="48"/>
    </row>
    <row r="352" spans="1:27" ht="16.5" customHeight="1" x14ac:dyDescent="0.15">
      <c r="A352" s="41">
        <v>15</v>
      </c>
      <c r="B352" s="41">
        <v>9544</v>
      </c>
      <c r="C352" s="74" t="s">
        <v>19536</v>
      </c>
      <c r="D352" s="72"/>
      <c r="F352" s="57"/>
      <c r="G352" s="72"/>
      <c r="I352" s="57"/>
      <c r="J352" s="43"/>
      <c r="K352" s="37"/>
      <c r="L352" s="38"/>
      <c r="M352" s="299" t="s">
        <v>17556</v>
      </c>
      <c r="N352" s="45" t="s">
        <v>398</v>
      </c>
      <c r="O352" s="46">
        <v>1</v>
      </c>
      <c r="P352" s="512"/>
      <c r="Q352" s="57"/>
      <c r="R352" s="35"/>
      <c r="U352" s="57"/>
      <c r="V352" s="35"/>
      <c r="Y352" s="57"/>
      <c r="Z352" s="208">
        <f>ROUND((ROUND((ROUND((_15_同援日２．５*_15・２人),0)*(1+_15・A早朝)),0)*(1+_15・区３)),0)+ROUND((ROUND((_15_同援日２．５＿０．５*_15・２人),0)*(1+_15・区３)),0)</f>
        <v>923</v>
      </c>
      <c r="AA352" s="48"/>
    </row>
    <row r="353" spans="1:27" ht="16.5" customHeight="1" x14ac:dyDescent="0.15">
      <c r="A353" s="41">
        <v>15</v>
      </c>
      <c r="B353" s="41">
        <v>9545</v>
      </c>
      <c r="C353" s="74" t="s">
        <v>19537</v>
      </c>
      <c r="D353" s="72"/>
      <c r="F353" s="57"/>
      <c r="G353" s="72"/>
      <c r="I353" s="57"/>
      <c r="J353" s="114" t="s">
        <v>17558</v>
      </c>
      <c r="K353" s="49"/>
      <c r="L353" s="50"/>
      <c r="M353" s="163"/>
      <c r="N353" s="45"/>
      <c r="O353" s="46"/>
      <c r="P353" s="512"/>
      <c r="Q353" s="57"/>
      <c r="R353" s="35"/>
      <c r="U353" s="57"/>
      <c r="V353" s="72" t="s">
        <v>17570</v>
      </c>
      <c r="Y353" s="57"/>
      <c r="Z353" s="208">
        <f>ROUND((ROUND((ROUND((_15_同援日２．５*_15・基礎２),0)*(1+_15・A早朝)),0)*(1+_15・区３)),0)+ROUND((ROUND((_15_同援日２．５＿０．５*_15・基礎２),0)*(1+_15・区３)),0)</f>
        <v>832</v>
      </c>
      <c r="AA353" s="48"/>
    </row>
    <row r="354" spans="1:27" ht="16.5" customHeight="1" x14ac:dyDescent="0.15">
      <c r="A354" s="41">
        <v>15</v>
      </c>
      <c r="B354" s="41">
        <v>9546</v>
      </c>
      <c r="C354" s="74" t="s">
        <v>19538</v>
      </c>
      <c r="D354" s="72"/>
      <c r="F354" s="57"/>
      <c r="G354" s="72"/>
      <c r="I354" s="57"/>
      <c r="J354" s="269" t="s">
        <v>17560</v>
      </c>
      <c r="K354" s="37" t="s">
        <v>398</v>
      </c>
      <c r="L354" s="38">
        <v>0.9</v>
      </c>
      <c r="M354" s="299" t="s">
        <v>17556</v>
      </c>
      <c r="N354" s="45" t="s">
        <v>398</v>
      </c>
      <c r="O354" s="46">
        <v>1</v>
      </c>
      <c r="P354" s="512"/>
      <c r="Q354" s="57"/>
      <c r="R354" s="43"/>
      <c r="S354" s="37"/>
      <c r="T354" s="38"/>
      <c r="U354" s="79"/>
      <c r="V354" s="72" t="s">
        <v>17572</v>
      </c>
      <c r="Y354" s="57"/>
      <c r="Z354" s="208">
        <f>ROUND((ROUND((ROUND((ROUND((_15_同援日２．５*_15・基礎２),0)*_15・２人),0)*(1+_15・A早朝)),0)*(1+_15・区３)),0)+ROUND((ROUND((ROUND((_15_同援日２．５＿０．５*_15・基礎２),0)*_15・２人),0)*(1+_15・区３)),0)</f>
        <v>832</v>
      </c>
      <c r="AA354" s="48"/>
    </row>
    <row r="355" spans="1:27" ht="16.5" customHeight="1" x14ac:dyDescent="0.15">
      <c r="A355" s="41">
        <v>15</v>
      </c>
      <c r="B355" s="41">
        <v>9547</v>
      </c>
      <c r="C355" s="74" t="s">
        <v>19539</v>
      </c>
      <c r="D355" s="72"/>
      <c r="F355" s="57"/>
      <c r="G355" s="72"/>
      <c r="I355" s="57"/>
      <c r="J355" s="53"/>
      <c r="K355" s="49"/>
      <c r="L355" s="50"/>
      <c r="M355" s="163"/>
      <c r="N355" s="45"/>
      <c r="O355" s="46"/>
      <c r="P355" s="512"/>
      <c r="Q355" s="57"/>
      <c r="R355" s="114" t="s">
        <v>17562</v>
      </c>
      <c r="S355" s="49"/>
      <c r="T355" s="50"/>
      <c r="U355" s="115"/>
      <c r="V355" s="35"/>
      <c r="W355" s="12" t="s">
        <v>398</v>
      </c>
      <c r="X355" s="13">
        <v>0.2</v>
      </c>
      <c r="Y355" s="57" t="s">
        <v>3575</v>
      </c>
      <c r="Z355" s="208">
        <f>ROUND((ROUND((ROUND((_15_同援日２．５*(1+_15・A早朝)),0)*(1+_15・盲ろう)),0)*(1+_15・区３)),0)+ROUND((ROUND((_15_同援日２．５＿０．５*(1+_15・盲ろう)),0)*(1+_15・区３)),0)</f>
        <v>1153</v>
      </c>
      <c r="AA355" s="48"/>
    </row>
    <row r="356" spans="1:27" ht="16.5" customHeight="1" x14ac:dyDescent="0.15">
      <c r="A356" s="41">
        <v>15</v>
      </c>
      <c r="B356" s="41">
        <v>9548</v>
      </c>
      <c r="C356" s="74" t="s">
        <v>19540</v>
      </c>
      <c r="D356" s="72"/>
      <c r="F356" s="57"/>
      <c r="G356" s="72"/>
      <c r="I356" s="57"/>
      <c r="J356" s="43"/>
      <c r="K356" s="37"/>
      <c r="L356" s="38"/>
      <c r="M356" s="299" t="s">
        <v>17556</v>
      </c>
      <c r="N356" s="45" t="s">
        <v>398</v>
      </c>
      <c r="O356" s="46">
        <v>1</v>
      </c>
      <c r="P356" s="512"/>
      <c r="Q356" s="57"/>
      <c r="R356" s="92" t="s">
        <v>17564</v>
      </c>
      <c r="U356" s="57"/>
      <c r="V356" s="35"/>
      <c r="Y356" s="57"/>
      <c r="Z356" s="208">
        <f>ROUND((ROUND((ROUND((ROUND((_15_同援日２．５*_15・２人),0)*(1+_15・A早朝)),0)*(1+_15・盲ろう)),0)*(1+_15・区３)),0)+ROUND((ROUND((ROUND((_15_同援日２．５＿０．５*_15・２人),0)*(1+_15・盲ろう)),0)*(1+_15・区３)),0)</f>
        <v>1153</v>
      </c>
      <c r="AA356" s="48"/>
    </row>
    <row r="357" spans="1:27" ht="16.5" customHeight="1" x14ac:dyDescent="0.15">
      <c r="A357" s="41">
        <v>15</v>
      </c>
      <c r="B357" s="41">
        <v>9549</v>
      </c>
      <c r="C357" s="74" t="s">
        <v>19541</v>
      </c>
      <c r="D357" s="72"/>
      <c r="F357" s="57"/>
      <c r="G357" s="72"/>
      <c r="I357" s="57"/>
      <c r="J357" s="114" t="s">
        <v>17558</v>
      </c>
      <c r="K357" s="49"/>
      <c r="L357" s="50"/>
      <c r="M357" s="163"/>
      <c r="N357" s="45"/>
      <c r="O357" s="46"/>
      <c r="P357" s="512"/>
      <c r="Q357" s="57"/>
      <c r="R357" s="35"/>
      <c r="S357" s="12" t="s">
        <v>398</v>
      </c>
      <c r="T357" s="13">
        <v>0.25</v>
      </c>
      <c r="U357" s="57" t="s">
        <v>3575</v>
      </c>
      <c r="V357" s="35"/>
      <c r="Y357" s="57"/>
      <c r="Z357" s="208">
        <f>ROUND((ROUND((ROUND((ROUND((_15_同援日２．５*_15・基礎２),0)*(1+_15・A早朝)),0)*(1+_15・盲ろう)),0)*(1+_15・区３)),0)+ROUND((ROUND((ROUND((_15_同援日２．５＿０．５*_15・基礎２),0)*(1+_15・盲ろう)),0)*(1+_15・区３)),0)</f>
        <v>1041</v>
      </c>
      <c r="AA357" s="48"/>
    </row>
    <row r="358" spans="1:27" ht="16.5" customHeight="1" x14ac:dyDescent="0.15">
      <c r="A358" s="41">
        <v>15</v>
      </c>
      <c r="B358" s="41">
        <v>9550</v>
      </c>
      <c r="C358" s="74" t="s">
        <v>19542</v>
      </c>
      <c r="D358" s="72"/>
      <c r="F358" s="57"/>
      <c r="G358" s="72"/>
      <c r="I358" s="57"/>
      <c r="J358" s="269" t="s">
        <v>17560</v>
      </c>
      <c r="K358" s="37" t="s">
        <v>398</v>
      </c>
      <c r="L358" s="38">
        <v>0.9</v>
      </c>
      <c r="M358" s="299" t="s">
        <v>17556</v>
      </c>
      <c r="N358" s="45" t="s">
        <v>398</v>
      </c>
      <c r="O358" s="46">
        <v>1</v>
      </c>
      <c r="P358" s="512"/>
      <c r="Q358" s="57"/>
      <c r="R358" s="43"/>
      <c r="S358" s="37"/>
      <c r="T358" s="38"/>
      <c r="U358" s="79"/>
      <c r="V358" s="43"/>
      <c r="W358" s="37"/>
      <c r="X358" s="38"/>
      <c r="Y358" s="79"/>
      <c r="Z358" s="208">
        <f>ROUND((ROUND((ROUND((ROUND((ROUND((_15_同援日２．５*_15・基礎２),0)*_15・２人),0)*(1+_15・A早朝)),0)*(1+_15・盲ろう)),0)*(1+_15・区３)),0)+ROUND((ROUND((ROUND((ROUND((_15_同援日２．５＿０．５*_15・基礎２),0)*_15・２人),0)*(1+_15・盲ろう)),0)*(1+_15・区３)),0)</f>
        <v>1041</v>
      </c>
      <c r="AA358" s="48"/>
    </row>
    <row r="359" spans="1:27" ht="16.5" customHeight="1" x14ac:dyDescent="0.15">
      <c r="A359" s="41">
        <v>15</v>
      </c>
      <c r="B359" s="41">
        <v>9551</v>
      </c>
      <c r="C359" s="74" t="s">
        <v>19543</v>
      </c>
      <c r="D359" s="72"/>
      <c r="F359" s="57"/>
      <c r="G359" s="72"/>
      <c r="I359" s="57"/>
      <c r="J359" s="53"/>
      <c r="K359" s="49"/>
      <c r="L359" s="50"/>
      <c r="M359" s="163"/>
      <c r="N359" s="45"/>
      <c r="O359" s="46"/>
      <c r="P359" s="512"/>
      <c r="Q359" s="57"/>
      <c r="R359" s="53"/>
      <c r="S359" s="49"/>
      <c r="T359" s="50"/>
      <c r="U359" s="115"/>
      <c r="V359" s="53"/>
      <c r="W359" s="49"/>
      <c r="X359" s="50"/>
      <c r="Y359" s="115"/>
      <c r="Z359" s="208">
        <f>ROUND((ROUND((_15_同援日２．５*(1+_15・A早朝)),0)*(1+_15・区４)),0)+ROUND((_15_同援日２．５＿０．５*(1+_15・区４)),0)</f>
        <v>1077</v>
      </c>
      <c r="AA359" s="48"/>
    </row>
    <row r="360" spans="1:27" ht="16.5" customHeight="1" x14ac:dyDescent="0.15">
      <c r="A360" s="41">
        <v>15</v>
      </c>
      <c r="B360" s="41">
        <v>9552</v>
      </c>
      <c r="C360" s="74" t="s">
        <v>19544</v>
      </c>
      <c r="D360" s="72"/>
      <c r="F360" s="57"/>
      <c r="G360" s="72"/>
      <c r="I360" s="57"/>
      <c r="J360" s="43"/>
      <c r="K360" s="37"/>
      <c r="L360" s="38"/>
      <c r="M360" s="299" t="s">
        <v>17556</v>
      </c>
      <c r="N360" s="45" t="s">
        <v>398</v>
      </c>
      <c r="O360" s="46">
        <v>1</v>
      </c>
      <c r="P360" s="512"/>
      <c r="Q360" s="57"/>
      <c r="R360" s="35"/>
      <c r="U360" s="57"/>
      <c r="V360" s="35"/>
      <c r="Y360" s="57"/>
      <c r="Z360" s="208">
        <f>ROUND((ROUND((ROUND((_15_同援日２．５*_15・２人),0)*(1+_15・A早朝)),0)*(1+_15・区４)),0)+ROUND((ROUND((_15_同援日２．５＿０．５*_15・２人),0)*(1+_15・区４)),0)</f>
        <v>1077</v>
      </c>
      <c r="AA360" s="48"/>
    </row>
    <row r="361" spans="1:27" ht="16.5" customHeight="1" x14ac:dyDescent="0.15">
      <c r="A361" s="41">
        <v>15</v>
      </c>
      <c r="B361" s="41">
        <v>9553</v>
      </c>
      <c r="C361" s="74" t="s">
        <v>19545</v>
      </c>
      <c r="D361" s="72"/>
      <c r="F361" s="57"/>
      <c r="G361" s="72"/>
      <c r="I361" s="57"/>
      <c r="J361" s="114" t="s">
        <v>17558</v>
      </c>
      <c r="K361" s="49"/>
      <c r="L361" s="50"/>
      <c r="M361" s="163"/>
      <c r="N361" s="45"/>
      <c r="O361" s="46"/>
      <c r="P361" s="512"/>
      <c r="Q361" s="57"/>
      <c r="R361" s="35"/>
      <c r="U361" s="57"/>
      <c r="V361" s="72" t="s">
        <v>17580</v>
      </c>
      <c r="Y361" s="57"/>
      <c r="Z361" s="208">
        <f>ROUND((ROUND((ROUND((_15_同援日２．５*_15・基礎２),0)*(1+_15・A早朝)),0)*(1+_15・区４)),0)+ROUND((ROUND((_15_同援日２．５＿０．５*_15・基礎２),0)*(1+_15・区４)),0)</f>
        <v>971</v>
      </c>
      <c r="AA361" s="48"/>
    </row>
    <row r="362" spans="1:27" ht="16.5" customHeight="1" x14ac:dyDescent="0.15">
      <c r="A362" s="41">
        <v>15</v>
      </c>
      <c r="B362" s="41">
        <v>9554</v>
      </c>
      <c r="C362" s="74" t="s">
        <v>19546</v>
      </c>
      <c r="D362" s="72"/>
      <c r="F362" s="57"/>
      <c r="G362" s="72"/>
      <c r="I362" s="57"/>
      <c r="J362" s="269" t="s">
        <v>17560</v>
      </c>
      <c r="K362" s="37" t="s">
        <v>398</v>
      </c>
      <c r="L362" s="38">
        <v>0.9</v>
      </c>
      <c r="M362" s="299" t="s">
        <v>17556</v>
      </c>
      <c r="N362" s="45" t="s">
        <v>398</v>
      </c>
      <c r="O362" s="46">
        <v>1</v>
      </c>
      <c r="P362" s="512"/>
      <c r="Q362" s="57"/>
      <c r="R362" s="43"/>
      <c r="S362" s="37"/>
      <c r="T362" s="38"/>
      <c r="U362" s="79"/>
      <c r="V362" s="72" t="s">
        <v>17572</v>
      </c>
      <c r="Y362" s="57"/>
      <c r="Z362" s="208">
        <f>ROUND((ROUND((ROUND((ROUND((_15_同援日２．５*_15・基礎２),0)*_15・２人),0)*(1+_15・A早朝)),0)*(1+_15・区４)),0)+ROUND((ROUND((ROUND((_15_同援日２．５＿０．５*_15・基礎２),0)*_15・２人),0)*(1+_15・区４)),0)</f>
        <v>971</v>
      </c>
      <c r="AA362" s="48"/>
    </row>
    <row r="363" spans="1:27" ht="16.5" customHeight="1" x14ac:dyDescent="0.15">
      <c r="A363" s="41">
        <v>15</v>
      </c>
      <c r="B363" s="41">
        <v>9555</v>
      </c>
      <c r="C363" s="74" t="s">
        <v>19547</v>
      </c>
      <c r="D363" s="72"/>
      <c r="F363" s="57"/>
      <c r="G363" s="72"/>
      <c r="I363" s="57"/>
      <c r="J363" s="53"/>
      <c r="K363" s="49"/>
      <c r="L363" s="50"/>
      <c r="M363" s="163"/>
      <c r="N363" s="45"/>
      <c r="O363" s="46"/>
      <c r="P363" s="512"/>
      <c r="Q363" s="57"/>
      <c r="R363" s="114" t="s">
        <v>17562</v>
      </c>
      <c r="S363" s="49"/>
      <c r="T363" s="50"/>
      <c r="U363" s="115"/>
      <c r="V363" s="35"/>
      <c r="W363" s="12" t="s">
        <v>398</v>
      </c>
      <c r="X363" s="13">
        <v>0.4</v>
      </c>
      <c r="Y363" s="57" t="s">
        <v>3575</v>
      </c>
      <c r="Z363" s="208">
        <f>ROUND((ROUND((ROUND((_15_同援日２．５*(1+_15・A早朝)),0)*(1+_15・盲ろう)),0)*(1+_15・区４)),0)+ROUND((ROUND((_15_同援日２．５＿０．５*(1+_15・盲ろう)),0)*(1+_15・区４)),0)</f>
        <v>1345</v>
      </c>
      <c r="AA363" s="48"/>
    </row>
    <row r="364" spans="1:27" ht="16.5" customHeight="1" x14ac:dyDescent="0.15">
      <c r="A364" s="41">
        <v>15</v>
      </c>
      <c r="B364" s="41">
        <v>9556</v>
      </c>
      <c r="C364" s="74" t="s">
        <v>19548</v>
      </c>
      <c r="D364" s="72"/>
      <c r="F364" s="57"/>
      <c r="G364" s="72"/>
      <c r="I364" s="57"/>
      <c r="J364" s="43"/>
      <c r="K364" s="37"/>
      <c r="L364" s="38"/>
      <c r="M364" s="299" t="s">
        <v>17556</v>
      </c>
      <c r="N364" s="45" t="s">
        <v>398</v>
      </c>
      <c r="O364" s="46">
        <v>1</v>
      </c>
      <c r="P364" s="512"/>
      <c r="Q364" s="57"/>
      <c r="R364" s="92" t="s">
        <v>17564</v>
      </c>
      <c r="U364" s="57"/>
      <c r="V364" s="35"/>
      <c r="Y364" s="57"/>
      <c r="Z364" s="208">
        <f>ROUND((ROUND((ROUND((ROUND((_15_同援日２．５*_15・２人),0)*(1+_15・A早朝)),0)*(1+_15・盲ろう)),0)*(1+_15・区４)),0)+ROUND((ROUND((ROUND((_15_同援日２．５＿０．５*_15・２人),0)*(1+_15・盲ろう)),0)*(1+_15・区４)),0)</f>
        <v>1345</v>
      </c>
      <c r="AA364" s="48"/>
    </row>
    <row r="365" spans="1:27" ht="16.5" customHeight="1" x14ac:dyDescent="0.15">
      <c r="A365" s="41">
        <v>15</v>
      </c>
      <c r="B365" s="41">
        <v>9557</v>
      </c>
      <c r="C365" s="74" t="s">
        <v>19549</v>
      </c>
      <c r="D365" s="72"/>
      <c r="F365" s="57"/>
      <c r="G365" s="72"/>
      <c r="I365" s="57"/>
      <c r="J365" s="114" t="s">
        <v>17558</v>
      </c>
      <c r="K365" s="49"/>
      <c r="L365" s="50"/>
      <c r="M365" s="163"/>
      <c r="N365" s="45"/>
      <c r="O365" s="46"/>
      <c r="P365" s="512"/>
      <c r="Q365" s="57"/>
      <c r="R365" s="35"/>
      <c r="S365" s="12" t="s">
        <v>398</v>
      </c>
      <c r="T365" s="13">
        <v>0.25</v>
      </c>
      <c r="U365" s="57" t="s">
        <v>3575</v>
      </c>
      <c r="V365" s="35"/>
      <c r="Y365" s="57"/>
      <c r="Z365" s="208">
        <f>ROUND((ROUND((ROUND((ROUND((_15_同援日２．５*_15・基礎２),0)*(1+_15・A早朝)),0)*(1+_15・盲ろう)),0)*(1+_15・区４)),0)+ROUND((ROUND((ROUND((_15_同援日２．５＿０．５*_15・基礎２),0)*(1+_15・盲ろう)),0)*(1+_15・区４)),0)</f>
        <v>1214</v>
      </c>
      <c r="AA365" s="48"/>
    </row>
    <row r="366" spans="1:27" ht="16.5" customHeight="1" x14ac:dyDescent="0.15">
      <c r="A366" s="41">
        <v>15</v>
      </c>
      <c r="B366" s="41">
        <v>9558</v>
      </c>
      <c r="C366" s="74" t="s">
        <v>19550</v>
      </c>
      <c r="D366" s="122"/>
      <c r="E366" s="37"/>
      <c r="F366" s="79"/>
      <c r="G366" s="122"/>
      <c r="H366" s="37"/>
      <c r="I366" s="79"/>
      <c r="J366" s="269" t="s">
        <v>17560</v>
      </c>
      <c r="K366" s="37" t="s">
        <v>398</v>
      </c>
      <c r="L366" s="38">
        <v>0.9</v>
      </c>
      <c r="M366" s="299" t="s">
        <v>17556</v>
      </c>
      <c r="N366" s="45" t="s">
        <v>398</v>
      </c>
      <c r="O366" s="46">
        <v>1</v>
      </c>
      <c r="P366" s="514"/>
      <c r="Q366" s="79"/>
      <c r="R366" s="43"/>
      <c r="S366" s="37"/>
      <c r="T366" s="38"/>
      <c r="U366" s="79"/>
      <c r="V366" s="43"/>
      <c r="W366" s="37"/>
      <c r="X366" s="38"/>
      <c r="Y366" s="79"/>
      <c r="Z366" s="208">
        <f>ROUND((ROUND((ROUND((ROUND((ROUND((_15_同援日２．５*_15・基礎２),0)*_15・２人),0)*(1+_15・A早朝)),0)*(1+_15・盲ろう)),0)*(1+_15・区４)),0)+ROUND((ROUND((ROUND((ROUND((_15_同援日２．５＿０．５*_15・基礎２),0)*_15・２人),0)*(1+_15・盲ろう)),0)*(1+_15・区４)),0)</f>
        <v>1214</v>
      </c>
      <c r="AA366" s="63"/>
    </row>
    <row r="367" spans="1:27" ht="16.5" customHeight="1" x14ac:dyDescent="0.15"/>
    <row r="368" spans="1:27"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45" fitToHeight="0" orientation="portrait" r:id="rId1"/>
  <headerFooter>
    <oddHeader>&amp;R&amp;"ＭＳ Ｐゴシック"&amp;9同行援護</oddHeader>
    <oddFooter>&amp;C&amp;"ＭＳ Ｐゴシック"&amp;14&amp;P</oddFooter>
  </headerFooter>
  <rowBreaks count="3" manualBreakCount="3">
    <brk id="102" max="16383" man="1"/>
    <brk id="198" max="16383" man="1"/>
    <brk id="294" max="1638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6">
    <pageSetUpPr fitToPage="1"/>
  </sheetPr>
  <dimension ref="A1:AF397"/>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4.5" style="10" customWidth="1"/>
    <col min="5" max="5" width="4.125" style="12" bestFit="1" customWidth="1"/>
    <col min="6" max="6" width="4.875" style="12" bestFit="1" customWidth="1"/>
    <col min="7" max="7" width="4.5" style="10" customWidth="1"/>
    <col min="8" max="8" width="4.125" style="12" bestFit="1" customWidth="1"/>
    <col min="9" max="9" width="4.875" style="12" bestFit="1" customWidth="1"/>
    <col min="10" max="10" width="2.5" style="10" customWidth="1"/>
    <col min="11" max="11" width="3.125" style="12" bestFit="1" customWidth="1"/>
    <col min="12" max="12" width="4.875" style="12" bestFit="1" customWidth="1"/>
    <col min="13" max="13" width="14.5" style="12" customWidth="1"/>
    <col min="14" max="14" width="3.125" style="12" bestFit="1" customWidth="1"/>
    <col min="15" max="15" width="4.125" style="13" bestFit="1" customWidth="1"/>
    <col min="16" max="16" width="26" style="12" bestFit="1" customWidth="1"/>
    <col min="17" max="17" width="3.125" style="12" bestFit="1" customWidth="1"/>
    <col min="18" max="18" width="5" style="13" bestFit="1" customWidth="1"/>
    <col min="19" max="19" width="4.125" style="13" bestFit="1" customWidth="1"/>
    <col min="20" max="20" width="4.875" style="12" bestFit="1" customWidth="1"/>
    <col min="21" max="21" width="4.125" style="13" bestFit="1" customWidth="1"/>
    <col min="22" max="22" width="4.875" style="12" bestFit="1" customWidth="1"/>
    <col min="23" max="23" width="10.5" style="12" customWidth="1"/>
    <col min="24" max="24" width="3.125" style="12" bestFit="1" customWidth="1"/>
    <col min="25" max="25" width="4.125" style="13" bestFit="1" customWidth="1"/>
    <col min="26" max="26" width="4.875" style="12" bestFit="1" customWidth="1"/>
    <col min="27" max="27" width="8.5" style="12" customWidth="1"/>
    <col min="28" max="28" width="3.125" style="12" bestFit="1" customWidth="1"/>
    <col min="29" max="29" width="4.125" style="13" bestFit="1" customWidth="1"/>
    <col min="30" max="30" width="4.875" style="12" bestFit="1" customWidth="1"/>
    <col min="31" max="31" width="7.125" style="206" customWidth="1"/>
    <col min="32" max="32" width="8.5" style="16" customWidth="1"/>
    <col min="33" max="16384" width="9" style="12"/>
  </cols>
  <sheetData>
    <row r="1" spans="1:32" ht="17.100000000000001" customHeight="1" x14ac:dyDescent="0.15"/>
    <row r="2" spans="1:32" ht="17.100000000000001" customHeight="1" x14ac:dyDescent="0.15"/>
    <row r="3" spans="1:32" ht="17.100000000000001" customHeight="1" x14ac:dyDescent="0.15"/>
    <row r="4" spans="1:32" ht="17.100000000000001" customHeight="1" x14ac:dyDescent="0.15">
      <c r="B4" s="17" t="s">
        <v>19551</v>
      </c>
      <c r="D4" s="71"/>
    </row>
    <row r="5" spans="1:32" ht="16.5" customHeight="1" x14ac:dyDescent="0.15">
      <c r="A5" s="19" t="s">
        <v>384</v>
      </c>
      <c r="B5" s="20"/>
      <c r="C5" s="21" t="s">
        <v>385</v>
      </c>
      <c r="D5" s="23" t="s">
        <v>386</v>
      </c>
      <c r="E5" s="23"/>
      <c r="F5" s="23"/>
      <c r="G5" s="23"/>
      <c r="H5" s="23"/>
      <c r="I5" s="23"/>
      <c r="J5" s="23"/>
      <c r="K5" s="23"/>
      <c r="L5" s="23"/>
      <c r="M5" s="23"/>
      <c r="N5" s="23"/>
      <c r="O5" s="24"/>
      <c r="P5" s="23"/>
      <c r="Q5" s="23"/>
      <c r="R5" s="24"/>
      <c r="S5" s="24"/>
      <c r="T5" s="23"/>
      <c r="U5" s="24"/>
      <c r="V5" s="23"/>
      <c r="W5" s="23"/>
      <c r="X5" s="23"/>
      <c r="Y5" s="24"/>
      <c r="Z5" s="23"/>
      <c r="AA5" s="23"/>
      <c r="AB5" s="23"/>
      <c r="AC5" s="24"/>
      <c r="AD5" s="23"/>
      <c r="AE5" s="21" t="s">
        <v>387</v>
      </c>
      <c r="AF5" s="21" t="s">
        <v>388</v>
      </c>
    </row>
    <row r="6" spans="1:32" ht="16.5" customHeight="1" x14ac:dyDescent="0.15">
      <c r="A6" s="26" t="s">
        <v>389</v>
      </c>
      <c r="B6" s="26" t="s">
        <v>390</v>
      </c>
      <c r="C6" s="27"/>
      <c r="D6" s="29"/>
      <c r="E6" s="29"/>
      <c r="F6" s="29"/>
      <c r="G6" s="87" t="s">
        <v>1032</v>
      </c>
      <c r="H6" s="187"/>
      <c r="I6" s="20"/>
      <c r="J6" s="29"/>
      <c r="K6" s="29"/>
      <c r="L6" s="29"/>
      <c r="M6" s="29"/>
      <c r="N6" s="29"/>
      <c r="O6" s="30"/>
      <c r="P6" s="29"/>
      <c r="Q6" s="29"/>
      <c r="R6" s="30"/>
      <c r="S6" s="30"/>
      <c r="T6" s="29"/>
      <c r="U6" s="30"/>
      <c r="V6" s="29"/>
      <c r="W6" s="29"/>
      <c r="X6" s="29"/>
      <c r="Y6" s="30"/>
      <c r="Z6" s="29"/>
      <c r="AA6" s="29"/>
      <c r="AB6" s="29"/>
      <c r="AC6" s="30"/>
      <c r="AD6" s="29"/>
      <c r="AE6" s="32" t="s">
        <v>391</v>
      </c>
      <c r="AF6" s="32" t="s">
        <v>392</v>
      </c>
    </row>
    <row r="7" spans="1:32" ht="16.5" customHeight="1" x14ac:dyDescent="0.15">
      <c r="A7" s="33">
        <v>15</v>
      </c>
      <c r="B7" s="33">
        <v>9559</v>
      </c>
      <c r="C7" s="34" t="s">
        <v>19552</v>
      </c>
      <c r="D7" s="72" t="s">
        <v>17553</v>
      </c>
      <c r="F7" s="57"/>
      <c r="G7" s="72" t="s">
        <v>19553</v>
      </c>
      <c r="J7" s="72"/>
      <c r="O7" s="234"/>
      <c r="P7" s="37"/>
      <c r="Q7" s="37"/>
      <c r="R7" s="38"/>
      <c r="S7" s="512"/>
      <c r="V7" s="57"/>
      <c r="Z7" s="57"/>
      <c r="AA7" s="35"/>
      <c r="AD7" s="57"/>
      <c r="AE7" s="207">
        <f>_15_同援日０．５+ROUND((_15_同援日０．５＿０．５*(1+_15・B夜間)),0)</f>
        <v>328</v>
      </c>
      <c r="AF7" s="40" t="s">
        <v>395</v>
      </c>
    </row>
    <row r="8" spans="1:32" ht="16.5" customHeight="1" x14ac:dyDescent="0.15">
      <c r="A8" s="41">
        <v>15</v>
      </c>
      <c r="B8" s="41">
        <v>9560</v>
      </c>
      <c r="C8" s="74" t="s">
        <v>19554</v>
      </c>
      <c r="D8" s="72" t="s">
        <v>18259</v>
      </c>
      <c r="F8" s="57"/>
      <c r="G8" s="72" t="s">
        <v>18259</v>
      </c>
      <c r="J8" s="122"/>
      <c r="K8" s="37"/>
      <c r="L8" s="37"/>
      <c r="M8" s="37"/>
      <c r="N8" s="37"/>
      <c r="O8" s="244"/>
      <c r="P8" s="520" t="s">
        <v>17556</v>
      </c>
      <c r="Q8" s="45" t="s">
        <v>398</v>
      </c>
      <c r="R8" s="46">
        <v>1</v>
      </c>
      <c r="S8" s="512"/>
      <c r="V8" s="57"/>
      <c r="Z8" s="57"/>
      <c r="AA8" s="35"/>
      <c r="AD8" s="57"/>
      <c r="AE8" s="208">
        <f>ROUND((_15_同援日０．５*_15・２人),0)+ROUND((ROUND((_15_同援日０．５＿０．５*_15・２人),0)*(1+_15・B夜間)),0)</f>
        <v>328</v>
      </c>
      <c r="AF8" s="48"/>
    </row>
    <row r="9" spans="1:32" ht="16.5" customHeight="1" x14ac:dyDescent="0.15">
      <c r="A9" s="41">
        <v>15</v>
      </c>
      <c r="B9" s="41">
        <v>9561</v>
      </c>
      <c r="C9" s="74" t="s">
        <v>19555</v>
      </c>
      <c r="D9" s="72"/>
      <c r="F9" s="57"/>
      <c r="G9" s="72"/>
      <c r="I9" s="57"/>
      <c r="J9" s="114" t="s">
        <v>678</v>
      </c>
      <c r="K9" s="49"/>
      <c r="L9" s="49"/>
      <c r="M9" s="49"/>
      <c r="N9" s="49"/>
      <c r="O9" s="251"/>
      <c r="P9" s="163"/>
      <c r="Q9" s="45"/>
      <c r="R9" s="46"/>
      <c r="S9" s="512"/>
      <c r="V9" s="57"/>
      <c r="Z9" s="57"/>
      <c r="AA9" s="35"/>
      <c r="AD9" s="57"/>
      <c r="AE9" s="208">
        <f>ROUND((_15_同援日０．５*_15・基礎２),0)+ROUND((ROUND((_15_同援日０．５＿０．５*_15・基礎２),0)*(1+_15・B夜間)),0)</f>
        <v>295</v>
      </c>
      <c r="AF9" s="48"/>
    </row>
    <row r="10" spans="1:32" ht="16.5" customHeight="1" x14ac:dyDescent="0.15">
      <c r="A10" s="41">
        <v>15</v>
      </c>
      <c r="B10" s="41">
        <v>9562</v>
      </c>
      <c r="C10" s="74" t="s">
        <v>19556</v>
      </c>
      <c r="D10" s="72"/>
      <c r="E10" s="168">
        <f>_15_同援日０．５</f>
        <v>190</v>
      </c>
      <c r="F10" s="57" t="s">
        <v>392</v>
      </c>
      <c r="G10" s="72"/>
      <c r="H10" s="168">
        <f>_15_同援日０．５＿０．５</f>
        <v>110</v>
      </c>
      <c r="I10" s="57" t="s">
        <v>392</v>
      </c>
      <c r="J10" s="122"/>
      <c r="K10" s="37"/>
      <c r="L10" s="37"/>
      <c r="M10" s="37"/>
      <c r="N10" s="37" t="s">
        <v>398</v>
      </c>
      <c r="O10" s="244">
        <v>0.9</v>
      </c>
      <c r="P10" s="521" t="s">
        <v>17556</v>
      </c>
      <c r="Q10" s="45" t="s">
        <v>398</v>
      </c>
      <c r="R10" s="46">
        <v>1</v>
      </c>
      <c r="S10" s="512"/>
      <c r="V10" s="57"/>
      <c r="W10" s="37"/>
      <c r="X10" s="37"/>
      <c r="Y10" s="38"/>
      <c r="Z10" s="79"/>
      <c r="AA10" s="35"/>
      <c r="AD10" s="57"/>
      <c r="AE10" s="208">
        <f>ROUND((ROUND((_15_同援日０．５*_15・基礎２),0)*_15・２人),0)+ROUND((ROUND((ROUND((_15_同援日０．５＿０．５*_15・基礎２),0)*_15・２人),0)*(1+_15・B夜間)),0)</f>
        <v>295</v>
      </c>
      <c r="AF10" s="48"/>
    </row>
    <row r="11" spans="1:32" ht="16.5" customHeight="1" x14ac:dyDescent="0.15">
      <c r="A11" s="41">
        <v>15</v>
      </c>
      <c r="B11" s="41">
        <v>9563</v>
      </c>
      <c r="C11" s="74" t="s">
        <v>19557</v>
      </c>
      <c r="D11" s="72"/>
      <c r="F11" s="57"/>
      <c r="G11" s="72"/>
      <c r="I11" s="57"/>
      <c r="J11" s="114"/>
      <c r="K11" s="49"/>
      <c r="L11" s="49"/>
      <c r="M11" s="49"/>
      <c r="N11" s="49"/>
      <c r="O11" s="251"/>
      <c r="P11" s="163"/>
      <c r="Q11" s="45"/>
      <c r="R11" s="46"/>
      <c r="S11" s="512"/>
      <c r="V11" s="57"/>
      <c r="W11" s="253" t="s">
        <v>17562</v>
      </c>
      <c r="X11" s="49"/>
      <c r="Y11" s="50"/>
      <c r="Z11" s="115"/>
      <c r="AA11" s="35"/>
      <c r="AD11" s="57"/>
      <c r="AE11" s="208">
        <f>ROUND((_15_同援日０．５*(1+_15・盲ろう)),0)+ROUND((ROUND((_15_同援日０．５＿０．５*(1+_15・B夜間)),0)*(1+_15・盲ろう)),0)</f>
        <v>411</v>
      </c>
      <c r="AF11" s="48"/>
    </row>
    <row r="12" spans="1:32" ht="16.5" customHeight="1" x14ac:dyDescent="0.15">
      <c r="A12" s="41">
        <v>15</v>
      </c>
      <c r="B12" s="41">
        <v>9564</v>
      </c>
      <c r="C12" s="74" t="s">
        <v>19558</v>
      </c>
      <c r="D12" s="72"/>
      <c r="F12" s="57"/>
      <c r="G12" s="72"/>
      <c r="I12" s="57"/>
      <c r="J12" s="122"/>
      <c r="K12" s="37"/>
      <c r="L12" s="37"/>
      <c r="M12" s="37"/>
      <c r="N12" s="37"/>
      <c r="O12" s="244"/>
      <c r="P12" s="521" t="s">
        <v>17556</v>
      </c>
      <c r="Q12" s="45" t="s">
        <v>398</v>
      </c>
      <c r="R12" s="46">
        <v>1</v>
      </c>
      <c r="S12" s="517" t="s">
        <v>1416</v>
      </c>
      <c r="V12" s="57"/>
      <c r="W12" s="254" t="s">
        <v>17564</v>
      </c>
      <c r="Z12" s="57"/>
      <c r="AA12" s="35"/>
      <c r="AD12" s="57"/>
      <c r="AE12" s="208">
        <f>ROUND((ROUND((_15_同援日０．５*_15・２人),0)*(1+_15・盲ろう)),0)+ROUND((ROUND((ROUND((_15_同援日０．５＿０．５*_15・２人),0)*(1+_15・B夜間)),0)*(1+_15・盲ろう)),0)</f>
        <v>411</v>
      </c>
      <c r="AF12" s="48"/>
    </row>
    <row r="13" spans="1:32" ht="16.5" customHeight="1" x14ac:dyDescent="0.15">
      <c r="A13" s="41">
        <v>15</v>
      </c>
      <c r="B13" s="41">
        <v>9565</v>
      </c>
      <c r="C13" s="74" t="s">
        <v>19559</v>
      </c>
      <c r="D13" s="72"/>
      <c r="F13" s="57"/>
      <c r="G13" s="72"/>
      <c r="I13" s="57"/>
      <c r="J13" s="114" t="s">
        <v>678</v>
      </c>
      <c r="K13" s="49"/>
      <c r="L13" s="49"/>
      <c r="M13" s="49"/>
      <c r="N13" s="49"/>
      <c r="O13" s="251"/>
      <c r="P13" s="163"/>
      <c r="Q13" s="45"/>
      <c r="R13" s="46"/>
      <c r="S13" s="512"/>
      <c r="U13" s="12" t="s">
        <v>398</v>
      </c>
      <c r="V13" s="234">
        <v>0.25</v>
      </c>
      <c r="X13" s="12" t="s">
        <v>398</v>
      </c>
      <c r="Y13" s="13">
        <v>0.25</v>
      </c>
      <c r="Z13" s="57" t="s">
        <v>3575</v>
      </c>
      <c r="AA13" s="35"/>
      <c r="AD13" s="57"/>
      <c r="AE13" s="208">
        <f>ROUND((ROUND((_15_同援日０．５*_15・基礎２),0)*(1+_15・盲ろう)),0)+ROUND((ROUND((ROUND((_15_同援日０．５＿０．５*_15・基礎２),0)*(1+_15・B夜間)),0)*(1+_15・盲ろう)),0)</f>
        <v>369</v>
      </c>
      <c r="AF13" s="48"/>
    </row>
    <row r="14" spans="1:32" ht="16.5" customHeight="1" x14ac:dyDescent="0.15">
      <c r="A14" s="41">
        <v>15</v>
      </c>
      <c r="B14" s="41">
        <v>9566</v>
      </c>
      <c r="C14" s="74" t="s">
        <v>19560</v>
      </c>
      <c r="D14" s="72"/>
      <c r="F14" s="57"/>
      <c r="G14" s="72"/>
      <c r="I14" s="57"/>
      <c r="J14" s="122"/>
      <c r="K14" s="37"/>
      <c r="L14" s="37"/>
      <c r="M14" s="37"/>
      <c r="N14" s="37" t="s">
        <v>398</v>
      </c>
      <c r="O14" s="244">
        <v>0.9</v>
      </c>
      <c r="P14" s="521" t="s">
        <v>17556</v>
      </c>
      <c r="Q14" s="45" t="s">
        <v>398</v>
      </c>
      <c r="R14" s="46">
        <v>1</v>
      </c>
      <c r="S14" s="512"/>
      <c r="V14" s="513" t="s">
        <v>3575</v>
      </c>
      <c r="W14" s="37"/>
      <c r="X14" s="37"/>
      <c r="Y14" s="38"/>
      <c r="Z14" s="79"/>
      <c r="AA14" s="43"/>
      <c r="AB14" s="37"/>
      <c r="AC14" s="38"/>
      <c r="AD14" s="79"/>
      <c r="AE14" s="208">
        <f>ROUND((ROUND((ROUND((_15_同援日０．５*_15・基礎２),0)*_15・２人),0)*(1+_15・盲ろう)),0)+ROUND((ROUND((ROUND((ROUND((_15_同援日０．５＿０．５*_15・基礎２),0)*_15・２人),0)*(1+_15・B夜間)),0)*(1+_15・盲ろう)),0)</f>
        <v>369</v>
      </c>
      <c r="AF14" s="48"/>
    </row>
    <row r="15" spans="1:32" ht="16.5" customHeight="1" x14ac:dyDescent="0.15">
      <c r="A15" s="41">
        <v>15</v>
      </c>
      <c r="B15" s="41">
        <v>9567</v>
      </c>
      <c r="C15" s="74" t="s">
        <v>19561</v>
      </c>
      <c r="D15" s="72"/>
      <c r="F15" s="57"/>
      <c r="G15" s="72"/>
      <c r="I15" s="57"/>
      <c r="J15" s="114"/>
      <c r="K15" s="49"/>
      <c r="L15" s="49"/>
      <c r="M15" s="49"/>
      <c r="N15" s="49"/>
      <c r="O15" s="251"/>
      <c r="P15" s="163"/>
      <c r="Q15" s="45"/>
      <c r="R15" s="46"/>
      <c r="S15" s="512"/>
      <c r="V15" s="57"/>
      <c r="W15" s="49"/>
      <c r="X15" s="49"/>
      <c r="Y15" s="50"/>
      <c r="Z15" s="115"/>
      <c r="AA15" s="53"/>
      <c r="AB15" s="49"/>
      <c r="AC15" s="50"/>
      <c r="AD15" s="115"/>
      <c r="AE15" s="208">
        <f>ROUND((_15_同援日０．５*(1+_15・区３)),0)+ROUND((ROUND((_15_同援日０．５＿０．５*(1+_15・B夜間)),0)*(1+_15・区３)),0)</f>
        <v>394</v>
      </c>
      <c r="AF15" s="48"/>
    </row>
    <row r="16" spans="1:32" ht="16.5" customHeight="1" x14ac:dyDescent="0.15">
      <c r="A16" s="41">
        <v>15</v>
      </c>
      <c r="B16" s="41">
        <v>9568</v>
      </c>
      <c r="C16" s="74" t="s">
        <v>19562</v>
      </c>
      <c r="D16" s="72"/>
      <c r="F16" s="57"/>
      <c r="G16" s="72"/>
      <c r="I16" s="57"/>
      <c r="J16" s="122"/>
      <c r="K16" s="37"/>
      <c r="L16" s="37"/>
      <c r="M16" s="37"/>
      <c r="N16" s="37"/>
      <c r="O16" s="244"/>
      <c r="P16" s="521" t="s">
        <v>17556</v>
      </c>
      <c r="Q16" s="45" t="s">
        <v>398</v>
      </c>
      <c r="R16" s="46">
        <v>1</v>
      </c>
      <c r="S16" s="512"/>
      <c r="V16" s="57"/>
      <c r="Z16" s="57"/>
      <c r="AA16" s="35"/>
      <c r="AD16" s="57"/>
      <c r="AE16" s="208">
        <f>ROUND((ROUND((_15_同援日０．５*_15・２人),0)*(1+_15・区３)),0)+ROUND((ROUND((ROUND((_15_同援日０．５＿０．５*_15・２人),0)*(1+_15・B夜間)),0)*(1+_15・区３)),0)</f>
        <v>394</v>
      </c>
      <c r="AF16" s="48"/>
    </row>
    <row r="17" spans="1:32" ht="16.5" customHeight="1" x14ac:dyDescent="0.15">
      <c r="A17" s="41">
        <v>15</v>
      </c>
      <c r="B17" s="41">
        <v>9569</v>
      </c>
      <c r="C17" s="74" t="s">
        <v>19563</v>
      </c>
      <c r="D17" s="72"/>
      <c r="F17" s="57"/>
      <c r="G17" s="72"/>
      <c r="I17" s="57"/>
      <c r="J17" s="114" t="s">
        <v>678</v>
      </c>
      <c r="K17" s="49"/>
      <c r="L17" s="49"/>
      <c r="M17" s="49"/>
      <c r="N17" s="49"/>
      <c r="O17" s="251"/>
      <c r="P17" s="163"/>
      <c r="Q17" s="45"/>
      <c r="R17" s="46"/>
      <c r="S17" s="512"/>
      <c r="V17" s="57"/>
      <c r="Z17" s="57"/>
      <c r="AA17" s="72" t="s">
        <v>17570</v>
      </c>
      <c r="AD17" s="57"/>
      <c r="AE17" s="208">
        <f>ROUND((ROUND((_15_同援日０．５*_15・基礎２),0)*(1+_15・区３)),0)+ROUND((ROUND((ROUND((_15_同援日０．５＿０．５*_15・基礎２),0)*(1+_15・B夜間)),0)*(1+_15・区３)),0)</f>
        <v>354</v>
      </c>
      <c r="AF17" s="48"/>
    </row>
    <row r="18" spans="1:32" ht="16.5" customHeight="1" x14ac:dyDescent="0.15">
      <c r="A18" s="41">
        <v>15</v>
      </c>
      <c r="B18" s="41">
        <v>9570</v>
      </c>
      <c r="C18" s="74" t="s">
        <v>19564</v>
      </c>
      <c r="D18" s="72"/>
      <c r="F18" s="57"/>
      <c r="G18" s="72"/>
      <c r="I18" s="57"/>
      <c r="J18" s="122"/>
      <c r="K18" s="37"/>
      <c r="L18" s="37"/>
      <c r="M18" s="37"/>
      <c r="N18" s="37" t="s">
        <v>398</v>
      </c>
      <c r="O18" s="244">
        <v>0.9</v>
      </c>
      <c r="P18" s="521" t="s">
        <v>17556</v>
      </c>
      <c r="Q18" s="45" t="s">
        <v>398</v>
      </c>
      <c r="R18" s="46">
        <v>1</v>
      </c>
      <c r="S18" s="512"/>
      <c r="V18" s="57"/>
      <c r="W18" s="37"/>
      <c r="X18" s="37"/>
      <c r="Y18" s="38"/>
      <c r="Z18" s="79"/>
      <c r="AA18" s="72" t="s">
        <v>17572</v>
      </c>
      <c r="AD18" s="57"/>
      <c r="AE18" s="208">
        <f>ROUND((ROUND((ROUND((_15_同援日０．５*_15・基礎２),0)*_15・２人),0)*(1+_15・区３)),0)+ROUND((ROUND((ROUND((ROUND((_15_同援日０．５＿０．５*_15・基礎２),0)*_15・２人),0)*(1+_15・B夜間)),0)*(1+_15・区３)),0)</f>
        <v>354</v>
      </c>
      <c r="AF18" s="48"/>
    </row>
    <row r="19" spans="1:32" ht="16.5" customHeight="1" x14ac:dyDescent="0.15">
      <c r="A19" s="41">
        <v>15</v>
      </c>
      <c r="B19" s="41">
        <v>9571</v>
      </c>
      <c r="C19" s="74" t="s">
        <v>19565</v>
      </c>
      <c r="D19" s="72"/>
      <c r="F19" s="57"/>
      <c r="G19" s="72"/>
      <c r="I19" s="57"/>
      <c r="J19" s="114"/>
      <c r="K19" s="49"/>
      <c r="L19" s="49"/>
      <c r="M19" s="49"/>
      <c r="N19" s="49"/>
      <c r="O19" s="251"/>
      <c r="P19" s="163"/>
      <c r="Q19" s="45"/>
      <c r="R19" s="46"/>
      <c r="S19" s="512"/>
      <c r="V19" s="57"/>
      <c r="W19" s="116" t="s">
        <v>17562</v>
      </c>
      <c r="X19" s="49"/>
      <c r="Y19" s="50"/>
      <c r="Z19" s="115"/>
      <c r="AA19" s="35"/>
      <c r="AB19" s="12" t="s">
        <v>398</v>
      </c>
      <c r="AC19" s="13">
        <v>0.2</v>
      </c>
      <c r="AD19" s="57" t="s">
        <v>3575</v>
      </c>
      <c r="AE19" s="208">
        <f>ROUND((ROUND((_15_同援日０．５*(1+_15・盲ろう)),0)*(1+_15・区３)),0)+ROUND((ROUND((ROUND((_15_同援日０．５＿０．５*(1+_15・B夜間)),0)*(1+_15・盲ろう)),0)*(1+_15・区３)),0)</f>
        <v>494</v>
      </c>
      <c r="AF19" s="48"/>
    </row>
    <row r="20" spans="1:32" ht="16.5" customHeight="1" x14ac:dyDescent="0.15">
      <c r="A20" s="41">
        <v>15</v>
      </c>
      <c r="B20" s="41">
        <v>9572</v>
      </c>
      <c r="C20" s="74" t="s">
        <v>19566</v>
      </c>
      <c r="D20" s="72"/>
      <c r="F20" s="57"/>
      <c r="G20" s="72"/>
      <c r="I20" s="57"/>
      <c r="J20" s="122"/>
      <c r="K20" s="37"/>
      <c r="L20" s="37"/>
      <c r="M20" s="37"/>
      <c r="N20" s="37"/>
      <c r="O20" s="244"/>
      <c r="P20" s="521" t="s">
        <v>17556</v>
      </c>
      <c r="Q20" s="45" t="s">
        <v>398</v>
      </c>
      <c r="R20" s="46">
        <v>1</v>
      </c>
      <c r="S20" s="512"/>
      <c r="V20" s="57"/>
      <c r="W20" s="92" t="s">
        <v>17564</v>
      </c>
      <c r="Z20" s="57"/>
      <c r="AA20" s="35"/>
      <c r="AD20" s="57"/>
      <c r="AE20" s="208">
        <f>ROUND((ROUND((ROUND((_15_同援日０．５*_15・２人),0)*(1+_15・盲ろう)),0)*(1+_15・区３)),0)+ROUND((ROUND((ROUND((ROUND((_15_同援日０．５＿０．５*_15・２人),0)*(1+_15・B夜間)),0)*(1+_15・盲ろう)),0)*(1+_15・区３)),0)</f>
        <v>494</v>
      </c>
      <c r="AF20" s="48"/>
    </row>
    <row r="21" spans="1:32" ht="16.5" customHeight="1" x14ac:dyDescent="0.15">
      <c r="A21" s="41">
        <v>15</v>
      </c>
      <c r="B21" s="41">
        <v>9573</v>
      </c>
      <c r="C21" s="74" t="s">
        <v>19567</v>
      </c>
      <c r="D21" s="72"/>
      <c r="F21" s="57"/>
      <c r="G21" s="72"/>
      <c r="I21" s="57"/>
      <c r="J21" s="114" t="s">
        <v>678</v>
      </c>
      <c r="K21" s="49"/>
      <c r="L21" s="49"/>
      <c r="M21" s="49"/>
      <c r="N21" s="49"/>
      <c r="O21" s="251"/>
      <c r="P21" s="163"/>
      <c r="Q21" s="45"/>
      <c r="R21" s="46"/>
      <c r="S21" s="512"/>
      <c r="V21" s="57"/>
      <c r="W21" s="35"/>
      <c r="X21" s="12" t="s">
        <v>398</v>
      </c>
      <c r="Y21" s="13">
        <v>0.25</v>
      </c>
      <c r="Z21" s="57" t="s">
        <v>3575</v>
      </c>
      <c r="AA21" s="35"/>
      <c r="AD21" s="57"/>
      <c r="AE21" s="208">
        <f>ROUND((ROUND((ROUND((_15_同援日０．５*_15・基礎２),0)*(1+_15・盲ろう)),0)*(1+_15・区３)),0)+ROUND((ROUND((ROUND((ROUND((_15_同援日０．５＿０．５*_15・基礎２),0)*(1+_15・B夜間)),0)*(1+_15・盲ろう)),0)*(1+_15・区３)),0)</f>
        <v>443</v>
      </c>
      <c r="AF21" s="48"/>
    </row>
    <row r="22" spans="1:32" ht="16.5" customHeight="1" x14ac:dyDescent="0.15">
      <c r="A22" s="41">
        <v>15</v>
      </c>
      <c r="B22" s="41">
        <v>9574</v>
      </c>
      <c r="C22" s="74" t="s">
        <v>19568</v>
      </c>
      <c r="D22" s="72"/>
      <c r="F22" s="57"/>
      <c r="G22" s="72"/>
      <c r="I22" s="57"/>
      <c r="J22" s="122"/>
      <c r="K22" s="37"/>
      <c r="L22" s="37"/>
      <c r="M22" s="37"/>
      <c r="N22" s="37" t="s">
        <v>398</v>
      </c>
      <c r="O22" s="244">
        <v>0.9</v>
      </c>
      <c r="P22" s="521" t="s">
        <v>17556</v>
      </c>
      <c r="Q22" s="45" t="s">
        <v>398</v>
      </c>
      <c r="R22" s="46">
        <v>1</v>
      </c>
      <c r="S22" s="512"/>
      <c r="V22" s="57"/>
      <c r="W22" s="43"/>
      <c r="X22" s="37"/>
      <c r="Y22" s="38"/>
      <c r="Z22" s="79"/>
      <c r="AA22" s="43"/>
      <c r="AB22" s="37"/>
      <c r="AC22" s="38"/>
      <c r="AD22" s="79"/>
      <c r="AE22" s="208">
        <f>ROUND((ROUND((ROUND((ROUND((_15_同援日０．５*_15・基礎２),0)*_15・２人),0)*(1+_15・盲ろう)),0)*(1+_15・区３)),0)+ROUND((ROUND((ROUND((ROUND((ROUND((_15_同援日０．５＿０．５*_15・基礎２),0)*_15・２人),0)*(1+_15・B夜間)),0)*(1+_15・盲ろう)),0)*(1+_15・区３)),0)</f>
        <v>443</v>
      </c>
      <c r="AF22" s="48"/>
    </row>
    <row r="23" spans="1:32" ht="16.5" customHeight="1" x14ac:dyDescent="0.15">
      <c r="A23" s="41">
        <v>15</v>
      </c>
      <c r="B23" s="41">
        <v>9575</v>
      </c>
      <c r="C23" s="74" t="s">
        <v>19569</v>
      </c>
      <c r="D23" s="72"/>
      <c r="F23" s="57"/>
      <c r="G23" s="72"/>
      <c r="I23" s="57"/>
      <c r="J23" s="114"/>
      <c r="K23" s="49"/>
      <c r="L23" s="49"/>
      <c r="M23" s="49"/>
      <c r="N23" s="49"/>
      <c r="O23" s="251"/>
      <c r="P23" s="163"/>
      <c r="Q23" s="45"/>
      <c r="R23" s="46"/>
      <c r="S23" s="512"/>
      <c r="V23" s="57"/>
      <c r="W23" s="53"/>
      <c r="X23" s="49"/>
      <c r="Y23" s="50"/>
      <c r="Z23" s="115"/>
      <c r="AA23" s="53"/>
      <c r="AB23" s="49"/>
      <c r="AC23" s="50"/>
      <c r="AD23" s="115"/>
      <c r="AE23" s="208">
        <f>ROUND((_15_同援日０．５*(1+_15・区４)),0)+ROUND((ROUND((_15_同援日０．５＿０．５*(1+_15・B夜間)),0)*(1+_15・区４)),0)</f>
        <v>459</v>
      </c>
      <c r="AF23" s="48"/>
    </row>
    <row r="24" spans="1:32" ht="16.5" customHeight="1" x14ac:dyDescent="0.15">
      <c r="A24" s="41">
        <v>15</v>
      </c>
      <c r="B24" s="41">
        <v>9576</v>
      </c>
      <c r="C24" s="74" t="s">
        <v>19570</v>
      </c>
      <c r="D24" s="72"/>
      <c r="F24" s="57"/>
      <c r="G24" s="72"/>
      <c r="I24" s="57"/>
      <c r="J24" s="122"/>
      <c r="K24" s="37"/>
      <c r="L24" s="37"/>
      <c r="M24" s="37"/>
      <c r="N24" s="37"/>
      <c r="O24" s="244"/>
      <c r="P24" s="521" t="s">
        <v>17556</v>
      </c>
      <c r="Q24" s="45" t="s">
        <v>398</v>
      </c>
      <c r="R24" s="46">
        <v>1</v>
      </c>
      <c r="S24" s="512"/>
      <c r="V24" s="57"/>
      <c r="W24" s="35"/>
      <c r="Z24" s="57"/>
      <c r="AA24" s="35"/>
      <c r="AD24" s="57"/>
      <c r="AE24" s="208">
        <f>ROUND((ROUND((_15_同援日０．５*_15・２人),0)*(1+_15・区４)),0)+ROUND((ROUND((ROUND((_15_同援日０．５＿０．５*_15・２人),0)*(1+_15・B夜間)),0)*(1+_15・区４)),0)</f>
        <v>459</v>
      </c>
      <c r="AF24" s="48"/>
    </row>
    <row r="25" spans="1:32" ht="16.5" customHeight="1" x14ac:dyDescent="0.15">
      <c r="A25" s="41">
        <v>15</v>
      </c>
      <c r="B25" s="41">
        <v>9577</v>
      </c>
      <c r="C25" s="74" t="s">
        <v>19571</v>
      </c>
      <c r="D25" s="72"/>
      <c r="F25" s="57"/>
      <c r="G25" s="72"/>
      <c r="I25" s="57"/>
      <c r="J25" s="114" t="s">
        <v>678</v>
      </c>
      <c r="K25" s="49"/>
      <c r="L25" s="49"/>
      <c r="M25" s="49"/>
      <c r="N25" s="49"/>
      <c r="O25" s="251"/>
      <c r="P25" s="163"/>
      <c r="Q25" s="45"/>
      <c r="R25" s="46"/>
      <c r="S25" s="512"/>
      <c r="V25" s="57"/>
      <c r="W25" s="35"/>
      <c r="Z25" s="57"/>
      <c r="AA25" s="72" t="s">
        <v>17580</v>
      </c>
      <c r="AD25" s="57"/>
      <c r="AE25" s="208">
        <f>ROUND((ROUND((_15_同援日０．５*_15・基礎２),0)*(1+_15・区４)),0)+ROUND((ROUND((ROUND((_15_同援日０．５＿０．５*_15・基礎２),0)*(1+_15・B夜間)),0)*(1+_15・区４)),0)</f>
        <v>413</v>
      </c>
      <c r="AF25" s="48"/>
    </row>
    <row r="26" spans="1:32" ht="16.5" customHeight="1" x14ac:dyDescent="0.15">
      <c r="A26" s="41">
        <v>15</v>
      </c>
      <c r="B26" s="41">
        <v>9578</v>
      </c>
      <c r="C26" s="74" t="s">
        <v>19572</v>
      </c>
      <c r="D26" s="72"/>
      <c r="F26" s="57"/>
      <c r="G26" s="72"/>
      <c r="I26" s="57"/>
      <c r="J26" s="122"/>
      <c r="K26" s="37"/>
      <c r="L26" s="37"/>
      <c r="M26" s="37"/>
      <c r="N26" s="37" t="s">
        <v>398</v>
      </c>
      <c r="O26" s="244">
        <v>0.9</v>
      </c>
      <c r="P26" s="521" t="s">
        <v>17556</v>
      </c>
      <c r="Q26" s="45" t="s">
        <v>398</v>
      </c>
      <c r="R26" s="46">
        <v>1</v>
      </c>
      <c r="S26" s="512"/>
      <c r="V26" s="57"/>
      <c r="W26" s="43"/>
      <c r="X26" s="37"/>
      <c r="Y26" s="38"/>
      <c r="Z26" s="79"/>
      <c r="AA26" s="72" t="s">
        <v>17572</v>
      </c>
      <c r="AD26" s="57"/>
      <c r="AE26" s="208">
        <f>ROUND((ROUND((ROUND((_15_同援日０．５*_15・基礎２),0)*_15・２人),0)*(1+_15・区４)),0)+ROUND((ROUND((ROUND((ROUND((_15_同援日０．５＿０．５*_15・基礎２),0)*_15・２人),0)*(1+_15・B夜間)),0)*(1+_15・区４)),0)</f>
        <v>413</v>
      </c>
      <c r="AF26" s="48"/>
    </row>
    <row r="27" spans="1:32" ht="16.5" customHeight="1" x14ac:dyDescent="0.15">
      <c r="A27" s="41">
        <v>15</v>
      </c>
      <c r="B27" s="41">
        <v>9579</v>
      </c>
      <c r="C27" s="74" t="s">
        <v>19573</v>
      </c>
      <c r="D27" s="72"/>
      <c r="F27" s="57"/>
      <c r="G27" s="72"/>
      <c r="I27" s="57"/>
      <c r="J27" s="114"/>
      <c r="K27" s="49"/>
      <c r="L27" s="49"/>
      <c r="M27" s="49"/>
      <c r="N27" s="49"/>
      <c r="O27" s="251"/>
      <c r="P27" s="163"/>
      <c r="Q27" s="45"/>
      <c r="R27" s="46"/>
      <c r="S27" s="512"/>
      <c r="V27" s="57"/>
      <c r="W27" s="116" t="s">
        <v>17562</v>
      </c>
      <c r="X27" s="49"/>
      <c r="Y27" s="50"/>
      <c r="Z27" s="115"/>
      <c r="AA27" s="35"/>
      <c r="AB27" s="12" t="s">
        <v>398</v>
      </c>
      <c r="AC27" s="13">
        <v>0.4</v>
      </c>
      <c r="AD27" s="57" t="s">
        <v>3575</v>
      </c>
      <c r="AE27" s="208">
        <f>ROUND((ROUND((_15_同援日０．５*(1+_15・盲ろう)),0)*(1+_15・区４)),0)+ROUND((ROUND((ROUND((_15_同援日０．５＿０．５*(1+_15・B夜間)),0)*(1+_15・盲ろう)),0)*(1+_15・区４)),0)</f>
        <v>575</v>
      </c>
      <c r="AF27" s="48"/>
    </row>
    <row r="28" spans="1:32" ht="16.5" customHeight="1" x14ac:dyDescent="0.15">
      <c r="A28" s="41">
        <v>15</v>
      </c>
      <c r="B28" s="41">
        <v>9580</v>
      </c>
      <c r="C28" s="74" t="s">
        <v>19574</v>
      </c>
      <c r="D28" s="72"/>
      <c r="F28" s="57"/>
      <c r="G28" s="72"/>
      <c r="I28" s="57"/>
      <c r="J28" s="122"/>
      <c r="K28" s="37"/>
      <c r="L28" s="37"/>
      <c r="M28" s="37"/>
      <c r="N28" s="37"/>
      <c r="O28" s="244"/>
      <c r="P28" s="521" t="s">
        <v>17556</v>
      </c>
      <c r="Q28" s="45" t="s">
        <v>398</v>
      </c>
      <c r="R28" s="46">
        <v>1</v>
      </c>
      <c r="S28" s="512"/>
      <c r="V28" s="57"/>
      <c r="W28" s="92" t="s">
        <v>17564</v>
      </c>
      <c r="Z28" s="57"/>
      <c r="AA28" s="35"/>
      <c r="AD28" s="57"/>
      <c r="AE28" s="208">
        <f>ROUND((ROUND((ROUND((_15_同援日０．５*_15・２人),0)*(1+_15・盲ろう)),0)*(1+_15・区４)),0)+ROUND((ROUND((ROUND((ROUND((_15_同援日０．５＿０．５*_15・２人),0)*(1+_15・B夜間)),0)*(1+_15・盲ろう)),0)*(1+_15・区４)),0)</f>
        <v>575</v>
      </c>
      <c r="AF28" s="48"/>
    </row>
    <row r="29" spans="1:32" ht="16.5" customHeight="1" x14ac:dyDescent="0.15">
      <c r="A29" s="41">
        <v>15</v>
      </c>
      <c r="B29" s="41">
        <v>9581</v>
      </c>
      <c r="C29" s="74" t="s">
        <v>19575</v>
      </c>
      <c r="D29" s="72"/>
      <c r="F29" s="57"/>
      <c r="G29" s="72"/>
      <c r="I29" s="57"/>
      <c r="J29" s="114" t="s">
        <v>678</v>
      </c>
      <c r="K29" s="49"/>
      <c r="L29" s="49"/>
      <c r="M29" s="49"/>
      <c r="N29" s="49"/>
      <c r="O29" s="251"/>
      <c r="P29" s="163"/>
      <c r="Q29" s="45"/>
      <c r="R29" s="46"/>
      <c r="S29" s="512"/>
      <c r="V29" s="57"/>
      <c r="W29" s="35"/>
      <c r="X29" s="12" t="s">
        <v>398</v>
      </c>
      <c r="Y29" s="13">
        <v>0.25</v>
      </c>
      <c r="Z29" s="57" t="s">
        <v>3575</v>
      </c>
      <c r="AA29" s="35"/>
      <c r="AD29" s="57"/>
      <c r="AE29" s="208">
        <f>ROUND((ROUND((ROUND((_15_同援日０．５*_15・基礎２),0)*(1+_15・盲ろう)),0)*(1+_15・区４)),0)+ROUND((ROUND((ROUND((ROUND((_15_同援日０．５＿０．５*_15・基礎２),0)*(1+_15・B夜間)),0)*(1+_15・盲ろう)),0)*(1+_15・区４)),0)</f>
        <v>517</v>
      </c>
      <c r="AF29" s="48"/>
    </row>
    <row r="30" spans="1:32" ht="16.5" customHeight="1" x14ac:dyDescent="0.15">
      <c r="A30" s="41">
        <v>15</v>
      </c>
      <c r="B30" s="41">
        <v>9582</v>
      </c>
      <c r="C30" s="74" t="s">
        <v>19576</v>
      </c>
      <c r="D30" s="72"/>
      <c r="F30" s="57"/>
      <c r="G30" s="122"/>
      <c r="H30" s="37"/>
      <c r="I30" s="79"/>
      <c r="J30" s="122"/>
      <c r="K30" s="37"/>
      <c r="L30" s="37"/>
      <c r="M30" s="37"/>
      <c r="N30" s="37" t="s">
        <v>398</v>
      </c>
      <c r="O30" s="244">
        <v>0.9</v>
      </c>
      <c r="P30" s="521" t="s">
        <v>17556</v>
      </c>
      <c r="Q30" s="45" t="s">
        <v>398</v>
      </c>
      <c r="R30" s="46">
        <v>1</v>
      </c>
      <c r="S30" s="512"/>
      <c r="V30" s="57"/>
      <c r="W30" s="43"/>
      <c r="X30" s="37"/>
      <c r="Y30" s="38"/>
      <c r="Z30" s="79"/>
      <c r="AA30" s="43"/>
      <c r="AB30" s="37"/>
      <c r="AC30" s="38"/>
      <c r="AD30" s="79"/>
      <c r="AE30" s="208">
        <f>ROUND((ROUND((ROUND((ROUND((_15_同援日０．５*_15・基礎２),0)*_15・２人),0)*(1+_15・盲ろう)),0)*(1+_15・区４)),0)+ROUND((ROUND((ROUND((ROUND((ROUND((_15_同援日０．５＿０．５*_15・基礎２),0)*_15・２人),0)*(1+_15・B夜間)),0)*(1+_15・盲ろう)),0)*(1+_15・区４)),0)</f>
        <v>517</v>
      </c>
      <c r="AF30" s="48"/>
    </row>
    <row r="31" spans="1:32" ht="16.5" customHeight="1" x14ac:dyDescent="0.15">
      <c r="A31" s="41">
        <v>15</v>
      </c>
      <c r="B31" s="41">
        <v>9583</v>
      </c>
      <c r="C31" s="74" t="s">
        <v>19577</v>
      </c>
      <c r="D31" s="72"/>
      <c r="F31" s="57"/>
      <c r="G31" s="114" t="s">
        <v>19578</v>
      </c>
      <c r="H31" s="49"/>
      <c r="I31" s="115"/>
      <c r="J31" s="114"/>
      <c r="K31" s="49"/>
      <c r="L31" s="49"/>
      <c r="M31" s="49"/>
      <c r="N31" s="49"/>
      <c r="O31" s="251"/>
      <c r="P31" s="163"/>
      <c r="Q31" s="45"/>
      <c r="R31" s="46"/>
      <c r="S31" s="512"/>
      <c r="V31" s="57"/>
      <c r="W31" s="53"/>
      <c r="X31" s="49"/>
      <c r="Y31" s="50"/>
      <c r="Z31" s="115"/>
      <c r="AA31" s="53"/>
      <c r="AB31" s="49"/>
      <c r="AC31" s="50"/>
      <c r="AD31" s="115"/>
      <c r="AE31" s="208">
        <f>_15_同援日０．５+ROUND((_15_同援日０．５＿１．０*(1+_15・B夜間)),0)</f>
        <v>494</v>
      </c>
      <c r="AF31" s="48"/>
    </row>
    <row r="32" spans="1:32" ht="16.5" customHeight="1" x14ac:dyDescent="0.15">
      <c r="A32" s="41">
        <v>15</v>
      </c>
      <c r="B32" s="41">
        <v>9584</v>
      </c>
      <c r="C32" s="74" t="s">
        <v>19579</v>
      </c>
      <c r="D32" s="72"/>
      <c r="F32" s="57"/>
      <c r="G32" s="72" t="s">
        <v>17589</v>
      </c>
      <c r="I32" s="57"/>
      <c r="J32" s="122"/>
      <c r="K32" s="37"/>
      <c r="L32" s="37"/>
      <c r="M32" s="37"/>
      <c r="N32" s="37"/>
      <c r="O32" s="244"/>
      <c r="P32" s="521" t="s">
        <v>17556</v>
      </c>
      <c r="Q32" s="45" t="s">
        <v>398</v>
      </c>
      <c r="R32" s="46">
        <v>1</v>
      </c>
      <c r="S32" s="512"/>
      <c r="V32" s="57"/>
      <c r="W32" s="35"/>
      <c r="Z32" s="57"/>
      <c r="AA32" s="35"/>
      <c r="AD32" s="57"/>
      <c r="AE32" s="208">
        <f>ROUND((_15_同援日０．５*_15・２人),0)+ROUND((ROUND((_15_同援日０．５＿１．０*_15・２人),0)*(1+_15・B夜間)),0)</f>
        <v>494</v>
      </c>
      <c r="AF32" s="48"/>
    </row>
    <row r="33" spans="1:32" ht="16.5" customHeight="1" x14ac:dyDescent="0.15">
      <c r="A33" s="41">
        <v>15</v>
      </c>
      <c r="B33" s="41">
        <v>9585</v>
      </c>
      <c r="C33" s="74" t="s">
        <v>19580</v>
      </c>
      <c r="D33" s="72"/>
      <c r="F33" s="57"/>
      <c r="G33" s="72" t="s">
        <v>17591</v>
      </c>
      <c r="I33" s="57"/>
      <c r="J33" s="114" t="s">
        <v>678</v>
      </c>
      <c r="K33" s="49"/>
      <c r="L33" s="49"/>
      <c r="M33" s="49"/>
      <c r="N33" s="49"/>
      <c r="O33" s="251"/>
      <c r="P33" s="163"/>
      <c r="Q33" s="45"/>
      <c r="R33" s="46"/>
      <c r="S33" s="512"/>
      <c r="V33" s="57"/>
      <c r="W33" s="35"/>
      <c r="Z33" s="57"/>
      <c r="AA33" s="35"/>
      <c r="AD33" s="57"/>
      <c r="AE33" s="208">
        <f>ROUND((_15_同援日０．５*_15・基礎２),0)+ROUND((ROUND((_15_同援日０．５＿１．０*_15・基礎２),0)*(1+_15・B夜間)),0)</f>
        <v>445</v>
      </c>
      <c r="AF33" s="48"/>
    </row>
    <row r="34" spans="1:32" ht="16.5" customHeight="1" x14ac:dyDescent="0.15">
      <c r="A34" s="41">
        <v>15</v>
      </c>
      <c r="B34" s="41">
        <v>9586</v>
      </c>
      <c r="C34" s="74" t="s">
        <v>19581</v>
      </c>
      <c r="D34" s="72"/>
      <c r="F34" s="57"/>
      <c r="G34" s="72"/>
      <c r="H34" s="168">
        <f>_15_同援日０．５＿１．０</f>
        <v>243</v>
      </c>
      <c r="I34" s="57" t="s">
        <v>392</v>
      </c>
      <c r="J34" s="122"/>
      <c r="K34" s="37"/>
      <c r="L34" s="37"/>
      <c r="M34" s="37"/>
      <c r="N34" s="37" t="s">
        <v>398</v>
      </c>
      <c r="O34" s="244">
        <v>0.9</v>
      </c>
      <c r="P34" s="521" t="s">
        <v>17556</v>
      </c>
      <c r="Q34" s="45" t="s">
        <v>398</v>
      </c>
      <c r="R34" s="46">
        <v>1</v>
      </c>
      <c r="S34" s="512"/>
      <c r="V34" s="57"/>
      <c r="W34" s="43"/>
      <c r="X34" s="37"/>
      <c r="Y34" s="38"/>
      <c r="Z34" s="79"/>
      <c r="AA34" s="35"/>
      <c r="AD34" s="57"/>
      <c r="AE34" s="208">
        <f>ROUND((ROUND((_15_同援日０．５*_15・基礎２),0)*_15・２人),0)+ROUND((ROUND((ROUND((_15_同援日０．５＿１．０*_15・基礎２),0)*_15・２人),0)*(1+_15・B夜間)),0)</f>
        <v>445</v>
      </c>
      <c r="AF34" s="48"/>
    </row>
    <row r="35" spans="1:32" ht="16.5" customHeight="1" x14ac:dyDescent="0.15">
      <c r="A35" s="41">
        <v>15</v>
      </c>
      <c r="B35" s="41">
        <v>9587</v>
      </c>
      <c r="C35" s="74" t="s">
        <v>19582</v>
      </c>
      <c r="D35" s="72"/>
      <c r="F35" s="57"/>
      <c r="G35" s="72"/>
      <c r="I35" s="57"/>
      <c r="J35" s="114"/>
      <c r="K35" s="49"/>
      <c r="L35" s="49"/>
      <c r="M35" s="49"/>
      <c r="N35" s="49"/>
      <c r="O35" s="251"/>
      <c r="P35" s="163"/>
      <c r="Q35" s="45"/>
      <c r="R35" s="46"/>
      <c r="S35" s="512"/>
      <c r="V35" s="57"/>
      <c r="W35" s="116" t="s">
        <v>17562</v>
      </c>
      <c r="X35" s="49"/>
      <c r="Y35" s="50"/>
      <c r="Z35" s="115"/>
      <c r="AA35" s="35"/>
      <c r="AD35" s="57"/>
      <c r="AE35" s="208">
        <f>ROUND((_15_同援日０．５*(1+_15・盲ろう)),0)+ROUND((ROUND((_15_同援日０．５＿１．０*(1+_15・B夜間)),0)*(1+_15・盲ろう)),0)</f>
        <v>618</v>
      </c>
      <c r="AF35" s="48"/>
    </row>
    <row r="36" spans="1:32" ht="16.5" customHeight="1" x14ac:dyDescent="0.15">
      <c r="A36" s="41">
        <v>15</v>
      </c>
      <c r="B36" s="41">
        <v>9588</v>
      </c>
      <c r="C36" s="74" t="s">
        <v>19583</v>
      </c>
      <c r="D36" s="72"/>
      <c r="F36" s="57"/>
      <c r="G36" s="72"/>
      <c r="I36" s="57"/>
      <c r="J36" s="122"/>
      <c r="K36" s="37"/>
      <c r="L36" s="37"/>
      <c r="M36" s="37"/>
      <c r="N36" s="37"/>
      <c r="O36" s="244"/>
      <c r="P36" s="521" t="s">
        <v>17556</v>
      </c>
      <c r="Q36" s="45" t="s">
        <v>398</v>
      </c>
      <c r="R36" s="46">
        <v>1</v>
      </c>
      <c r="S36" s="512"/>
      <c r="V36" s="57"/>
      <c r="W36" s="92" t="s">
        <v>17564</v>
      </c>
      <c r="Z36" s="57"/>
      <c r="AA36" s="35"/>
      <c r="AD36" s="57"/>
      <c r="AE36" s="208">
        <f>ROUND((ROUND((_15_同援日０．５*_15・２人),0)*(1+_15・盲ろう)),0)+ROUND((ROUND((ROUND((_15_同援日０．５＿１．０*_15・２人),0)*(1+_15・B夜間)),0)*(1+_15・盲ろう)),0)</f>
        <v>618</v>
      </c>
      <c r="AF36" s="48"/>
    </row>
    <row r="37" spans="1:32" ht="16.5" customHeight="1" x14ac:dyDescent="0.15">
      <c r="A37" s="41">
        <v>15</v>
      </c>
      <c r="B37" s="41">
        <v>9589</v>
      </c>
      <c r="C37" s="74" t="s">
        <v>19584</v>
      </c>
      <c r="D37" s="72"/>
      <c r="F37" s="57"/>
      <c r="G37" s="72"/>
      <c r="I37" s="57"/>
      <c r="J37" s="114" t="s">
        <v>678</v>
      </c>
      <c r="K37" s="49"/>
      <c r="L37" s="49"/>
      <c r="M37" s="49"/>
      <c r="N37" s="49"/>
      <c r="O37" s="251"/>
      <c r="P37" s="163"/>
      <c r="Q37" s="45"/>
      <c r="R37" s="46"/>
      <c r="S37" s="512"/>
      <c r="V37" s="57"/>
      <c r="W37" s="35"/>
      <c r="X37" s="12" t="s">
        <v>398</v>
      </c>
      <c r="Y37" s="13">
        <v>0.25</v>
      </c>
      <c r="Z37" s="57" t="s">
        <v>3575</v>
      </c>
      <c r="AA37" s="35"/>
      <c r="AD37" s="57"/>
      <c r="AE37" s="208">
        <f>ROUND((ROUND((_15_同援日０．５*_15・基礎２),0)*(1+_15・盲ろう)),0)+ROUND((ROUND((ROUND((_15_同援日０．５＿１．０*_15・基礎２),0)*(1+_15・B夜間)),0)*(1+_15・盲ろう)),0)</f>
        <v>557</v>
      </c>
      <c r="AF37" s="48"/>
    </row>
    <row r="38" spans="1:32" ht="16.5" customHeight="1" x14ac:dyDescent="0.15">
      <c r="A38" s="41">
        <v>15</v>
      </c>
      <c r="B38" s="41">
        <v>9590</v>
      </c>
      <c r="C38" s="74" t="s">
        <v>19585</v>
      </c>
      <c r="D38" s="72"/>
      <c r="F38" s="57"/>
      <c r="G38" s="72"/>
      <c r="I38" s="57"/>
      <c r="J38" s="122"/>
      <c r="K38" s="37"/>
      <c r="L38" s="37"/>
      <c r="M38" s="37"/>
      <c r="N38" s="37" t="s">
        <v>398</v>
      </c>
      <c r="O38" s="244">
        <v>0.9</v>
      </c>
      <c r="P38" s="521" t="s">
        <v>17556</v>
      </c>
      <c r="Q38" s="45" t="s">
        <v>398</v>
      </c>
      <c r="R38" s="46">
        <v>1</v>
      </c>
      <c r="S38" s="512"/>
      <c r="V38" s="57"/>
      <c r="W38" s="43"/>
      <c r="X38" s="37"/>
      <c r="Y38" s="38"/>
      <c r="Z38" s="79"/>
      <c r="AA38" s="43"/>
      <c r="AB38" s="37"/>
      <c r="AC38" s="38"/>
      <c r="AD38" s="79"/>
      <c r="AE38" s="208">
        <f>ROUND((ROUND((ROUND((_15_同援日０．５*_15・基礎２),0)*_15・２人),0)*(1+_15・盲ろう)),0)+ROUND((ROUND((ROUND((ROUND((_15_同援日０．５＿１．０*_15・基礎２),0)*_15・２人),0)*(1+_15・B夜間)),0)*(1+_15・盲ろう)),0)</f>
        <v>557</v>
      </c>
      <c r="AF38" s="48"/>
    </row>
    <row r="39" spans="1:32" ht="16.5" customHeight="1" x14ac:dyDescent="0.15">
      <c r="A39" s="41">
        <v>15</v>
      </c>
      <c r="B39" s="41">
        <v>9591</v>
      </c>
      <c r="C39" s="74" t="s">
        <v>19586</v>
      </c>
      <c r="D39" s="72"/>
      <c r="F39" s="57"/>
      <c r="G39" s="72"/>
      <c r="I39" s="57"/>
      <c r="J39" s="114"/>
      <c r="K39" s="49"/>
      <c r="L39" s="49"/>
      <c r="M39" s="49"/>
      <c r="N39" s="49"/>
      <c r="O39" s="251"/>
      <c r="P39" s="163"/>
      <c r="Q39" s="45"/>
      <c r="R39" s="46"/>
      <c r="S39" s="512"/>
      <c r="V39" s="57"/>
      <c r="W39" s="53"/>
      <c r="X39" s="49"/>
      <c r="Y39" s="50"/>
      <c r="Z39" s="115"/>
      <c r="AA39" s="53"/>
      <c r="AB39" s="49"/>
      <c r="AC39" s="50"/>
      <c r="AD39" s="115"/>
      <c r="AE39" s="208">
        <f>ROUND((_15_同援日０．５*(1+_15・区３)),0)+ROUND((ROUND((_15_同援日０．５＿１．０*(1+_15・B夜間)),0)*(1+_15・区３)),0)</f>
        <v>593</v>
      </c>
      <c r="AF39" s="48"/>
    </row>
    <row r="40" spans="1:32" ht="16.5" customHeight="1" x14ac:dyDescent="0.15">
      <c r="A40" s="41">
        <v>15</v>
      </c>
      <c r="B40" s="41">
        <v>9592</v>
      </c>
      <c r="C40" s="74" t="s">
        <v>19587</v>
      </c>
      <c r="D40" s="72"/>
      <c r="F40" s="57"/>
      <c r="G40" s="72"/>
      <c r="I40" s="57"/>
      <c r="J40" s="122"/>
      <c r="K40" s="37"/>
      <c r="L40" s="37"/>
      <c r="M40" s="37"/>
      <c r="N40" s="37"/>
      <c r="O40" s="244"/>
      <c r="P40" s="521" t="s">
        <v>17556</v>
      </c>
      <c r="Q40" s="45" t="s">
        <v>398</v>
      </c>
      <c r="R40" s="46">
        <v>1</v>
      </c>
      <c r="S40" s="512"/>
      <c r="V40" s="57"/>
      <c r="W40" s="35"/>
      <c r="Z40" s="57"/>
      <c r="AA40" s="35"/>
      <c r="AD40" s="57"/>
      <c r="AE40" s="208">
        <f>ROUND((ROUND((_15_同援日０．５*_15・２人),0)*(1+_15・区３)),0)+ROUND((ROUND((ROUND((_15_同援日０．５＿１．０*_15・２人),0)*(1+_15・B夜間)),0)*(1+_15・区３)),0)</f>
        <v>593</v>
      </c>
      <c r="AF40" s="48"/>
    </row>
    <row r="41" spans="1:32" ht="16.5" customHeight="1" x14ac:dyDescent="0.15">
      <c r="A41" s="41">
        <v>15</v>
      </c>
      <c r="B41" s="41">
        <v>9593</v>
      </c>
      <c r="C41" s="74" t="s">
        <v>19588</v>
      </c>
      <c r="D41" s="72"/>
      <c r="F41" s="57"/>
      <c r="G41" s="72"/>
      <c r="I41" s="57"/>
      <c r="J41" s="114" t="s">
        <v>678</v>
      </c>
      <c r="K41" s="49"/>
      <c r="L41" s="49"/>
      <c r="M41" s="49"/>
      <c r="N41" s="49"/>
      <c r="O41" s="251"/>
      <c r="P41" s="163"/>
      <c r="Q41" s="45"/>
      <c r="R41" s="46"/>
      <c r="S41" s="512"/>
      <c r="V41" s="57"/>
      <c r="W41" s="35"/>
      <c r="Z41" s="57"/>
      <c r="AA41" s="72" t="s">
        <v>17570</v>
      </c>
      <c r="AD41" s="57"/>
      <c r="AE41" s="208">
        <f>ROUND((ROUND((_15_同援日０．５*_15・基礎２),0)*(1+_15・区３)),0)+ROUND((ROUND((ROUND((_15_同援日０．５＿１．０*_15・基礎２),0)*(1+_15・B夜間)),0)*(1+_15・区３)),0)</f>
        <v>534</v>
      </c>
      <c r="AF41" s="48"/>
    </row>
    <row r="42" spans="1:32" ht="16.5" customHeight="1" x14ac:dyDescent="0.15">
      <c r="A42" s="41">
        <v>15</v>
      </c>
      <c r="B42" s="41">
        <v>9594</v>
      </c>
      <c r="C42" s="74" t="s">
        <v>19589</v>
      </c>
      <c r="D42" s="72"/>
      <c r="F42" s="57"/>
      <c r="G42" s="72"/>
      <c r="I42" s="57"/>
      <c r="J42" s="122"/>
      <c r="K42" s="37"/>
      <c r="L42" s="37"/>
      <c r="M42" s="37"/>
      <c r="N42" s="37" t="s">
        <v>398</v>
      </c>
      <c r="O42" s="244">
        <v>0.9</v>
      </c>
      <c r="P42" s="521" t="s">
        <v>17556</v>
      </c>
      <c r="Q42" s="45" t="s">
        <v>398</v>
      </c>
      <c r="R42" s="46">
        <v>1</v>
      </c>
      <c r="S42" s="512"/>
      <c r="V42" s="57"/>
      <c r="W42" s="43"/>
      <c r="X42" s="37"/>
      <c r="Y42" s="38"/>
      <c r="Z42" s="79"/>
      <c r="AA42" s="72" t="s">
        <v>17572</v>
      </c>
      <c r="AD42" s="57"/>
      <c r="AE42" s="208">
        <f>ROUND((ROUND((ROUND((_15_同援日０．５*_15・基礎２),0)*_15・２人),0)*(1+_15・区３)),0)+ROUND((ROUND((ROUND((ROUND((_15_同援日０．５＿１．０*_15・基礎２),0)*_15・２人),0)*(1+_15・B夜間)),0)*(1+_15・区３)),0)</f>
        <v>534</v>
      </c>
      <c r="AF42" s="48"/>
    </row>
    <row r="43" spans="1:32" ht="16.5" customHeight="1" x14ac:dyDescent="0.15">
      <c r="A43" s="41">
        <v>15</v>
      </c>
      <c r="B43" s="41">
        <v>9595</v>
      </c>
      <c r="C43" s="74" t="s">
        <v>19590</v>
      </c>
      <c r="D43" s="72"/>
      <c r="F43" s="57"/>
      <c r="G43" s="72"/>
      <c r="I43" s="57"/>
      <c r="J43" s="114"/>
      <c r="K43" s="49"/>
      <c r="L43" s="49"/>
      <c r="M43" s="49"/>
      <c r="N43" s="49"/>
      <c r="O43" s="251"/>
      <c r="P43" s="163"/>
      <c r="Q43" s="45"/>
      <c r="R43" s="46"/>
      <c r="S43" s="512"/>
      <c r="V43" s="57"/>
      <c r="W43" s="116" t="s">
        <v>17562</v>
      </c>
      <c r="X43" s="49"/>
      <c r="Y43" s="50"/>
      <c r="Z43" s="115"/>
      <c r="AA43" s="35"/>
      <c r="AB43" s="12" t="s">
        <v>398</v>
      </c>
      <c r="AC43" s="13">
        <v>0.2</v>
      </c>
      <c r="AD43" s="57" t="s">
        <v>3575</v>
      </c>
      <c r="AE43" s="208">
        <f>ROUND((ROUND((_15_同援日０．５*(1+_15・盲ろう)),0)*(1+_15・区３)),0)+ROUND((ROUND((ROUND((_15_同援日０．５＿１．０*(1+_15・B夜間)),0)*(1+_15・盲ろう)),0)*(1+_15・区３)),0)</f>
        <v>742</v>
      </c>
      <c r="AF43" s="48"/>
    </row>
    <row r="44" spans="1:32" ht="16.5" customHeight="1" x14ac:dyDescent="0.15">
      <c r="A44" s="41">
        <v>15</v>
      </c>
      <c r="B44" s="41">
        <v>9596</v>
      </c>
      <c r="C44" s="74" t="s">
        <v>19591</v>
      </c>
      <c r="D44" s="72"/>
      <c r="F44" s="57"/>
      <c r="G44" s="72"/>
      <c r="I44" s="57"/>
      <c r="J44" s="122"/>
      <c r="K44" s="37"/>
      <c r="L44" s="37"/>
      <c r="M44" s="37"/>
      <c r="N44" s="37"/>
      <c r="O44" s="244"/>
      <c r="P44" s="521" t="s">
        <v>17556</v>
      </c>
      <c r="Q44" s="45" t="s">
        <v>398</v>
      </c>
      <c r="R44" s="46">
        <v>1</v>
      </c>
      <c r="S44" s="512"/>
      <c r="V44" s="57"/>
      <c r="W44" s="92" t="s">
        <v>17564</v>
      </c>
      <c r="Z44" s="57"/>
      <c r="AA44" s="35"/>
      <c r="AD44" s="57"/>
      <c r="AE44" s="208">
        <f>ROUND((ROUND((ROUND((_15_同援日０．５*_15・２人),0)*(1+_15・盲ろう)),0)*(1+_15・区３)),0)+ROUND((ROUND((ROUND((ROUND((_15_同援日０．５＿１．０*_15・２人),0)*(1+_15・B夜間)),0)*(1+_15・盲ろう)),0)*(1+_15・区３)),0)</f>
        <v>742</v>
      </c>
      <c r="AF44" s="48"/>
    </row>
    <row r="45" spans="1:32" ht="16.5" customHeight="1" x14ac:dyDescent="0.15">
      <c r="A45" s="41">
        <v>15</v>
      </c>
      <c r="B45" s="41">
        <v>9597</v>
      </c>
      <c r="C45" s="74" t="s">
        <v>19592</v>
      </c>
      <c r="D45" s="72"/>
      <c r="F45" s="57"/>
      <c r="G45" s="72"/>
      <c r="I45" s="57"/>
      <c r="J45" s="114" t="s">
        <v>678</v>
      </c>
      <c r="K45" s="49"/>
      <c r="L45" s="49"/>
      <c r="M45" s="49"/>
      <c r="N45" s="49"/>
      <c r="O45" s="251"/>
      <c r="P45" s="163"/>
      <c r="Q45" s="45"/>
      <c r="R45" s="46"/>
      <c r="S45" s="512"/>
      <c r="V45" s="57"/>
      <c r="W45" s="35"/>
      <c r="X45" s="12" t="s">
        <v>398</v>
      </c>
      <c r="Y45" s="13">
        <v>0.25</v>
      </c>
      <c r="Z45" s="57" t="s">
        <v>3575</v>
      </c>
      <c r="AA45" s="35"/>
      <c r="AD45" s="57"/>
      <c r="AE45" s="208">
        <f>ROUND((ROUND((ROUND((_15_同援日０．５*_15・基礎２),0)*(1+_15・盲ろう)),0)*(1+_15・区３)),0)+ROUND((ROUND((ROUND((ROUND((_15_同援日０．５＿１．０*_15・基礎２),0)*(1+_15・B夜間)),0)*(1+_15・盲ろう)),0)*(1+_15・区３)),0)</f>
        <v>669</v>
      </c>
      <c r="AF45" s="48"/>
    </row>
    <row r="46" spans="1:32" ht="16.5" customHeight="1" x14ac:dyDescent="0.15">
      <c r="A46" s="41">
        <v>15</v>
      </c>
      <c r="B46" s="41">
        <v>9598</v>
      </c>
      <c r="C46" s="74" t="s">
        <v>19593</v>
      </c>
      <c r="D46" s="72"/>
      <c r="F46" s="57"/>
      <c r="G46" s="72"/>
      <c r="I46" s="57"/>
      <c r="J46" s="122"/>
      <c r="K46" s="37"/>
      <c r="L46" s="37"/>
      <c r="M46" s="37"/>
      <c r="N46" s="37" t="s">
        <v>398</v>
      </c>
      <c r="O46" s="244">
        <v>0.9</v>
      </c>
      <c r="P46" s="521" t="s">
        <v>17556</v>
      </c>
      <c r="Q46" s="45" t="s">
        <v>398</v>
      </c>
      <c r="R46" s="46">
        <v>1</v>
      </c>
      <c r="S46" s="512"/>
      <c r="V46" s="57"/>
      <c r="W46" s="43"/>
      <c r="X46" s="37"/>
      <c r="Y46" s="38"/>
      <c r="Z46" s="79"/>
      <c r="AA46" s="43"/>
      <c r="AB46" s="37"/>
      <c r="AC46" s="38"/>
      <c r="AD46" s="79"/>
      <c r="AE46" s="208">
        <f>ROUND((ROUND((ROUND((ROUND((_15_同援日０．５*_15・基礎２),0)*_15・２人),0)*(1+_15・盲ろう)),0)*(1+_15・区３)),0)+ROUND((ROUND((ROUND((ROUND((ROUND((_15_同援日０．５＿１．０*_15・基礎２),0)*_15・２人),0)*(1+_15・B夜間)),0)*(1+_15・盲ろう)),0)*(1+_15・区３)),0)</f>
        <v>669</v>
      </c>
      <c r="AF46" s="48"/>
    </row>
    <row r="47" spans="1:32" ht="16.5" customHeight="1" x14ac:dyDescent="0.15">
      <c r="A47" s="41">
        <v>15</v>
      </c>
      <c r="B47" s="41">
        <v>9599</v>
      </c>
      <c r="C47" s="74" t="s">
        <v>19594</v>
      </c>
      <c r="D47" s="72"/>
      <c r="F47" s="57"/>
      <c r="G47" s="72"/>
      <c r="I47" s="57"/>
      <c r="J47" s="114"/>
      <c r="K47" s="49"/>
      <c r="L47" s="49"/>
      <c r="M47" s="49"/>
      <c r="N47" s="49"/>
      <c r="O47" s="251"/>
      <c r="P47" s="163"/>
      <c r="Q47" s="45"/>
      <c r="R47" s="46"/>
      <c r="S47" s="512"/>
      <c r="V47" s="57"/>
      <c r="W47" s="53"/>
      <c r="X47" s="49"/>
      <c r="Y47" s="50"/>
      <c r="Z47" s="115"/>
      <c r="AA47" s="53"/>
      <c r="AB47" s="49"/>
      <c r="AC47" s="50"/>
      <c r="AD47" s="115"/>
      <c r="AE47" s="208">
        <f>ROUND((_15_同援日０．５*(1+_15・区４)),0)+ROUND((ROUND((_15_同援日０．５＿１．０*(1+_15・B夜間)),0)*(1+_15・区４)),0)</f>
        <v>692</v>
      </c>
      <c r="AF47" s="48"/>
    </row>
    <row r="48" spans="1:32" ht="16.5" customHeight="1" x14ac:dyDescent="0.15">
      <c r="A48" s="41">
        <v>15</v>
      </c>
      <c r="B48" s="41">
        <v>9600</v>
      </c>
      <c r="C48" s="74" t="s">
        <v>19595</v>
      </c>
      <c r="D48" s="72"/>
      <c r="F48" s="57"/>
      <c r="G48" s="72"/>
      <c r="I48" s="57"/>
      <c r="J48" s="122"/>
      <c r="K48" s="37"/>
      <c r="L48" s="37"/>
      <c r="M48" s="37"/>
      <c r="N48" s="37"/>
      <c r="O48" s="244"/>
      <c r="P48" s="521" t="s">
        <v>17556</v>
      </c>
      <c r="Q48" s="45" t="s">
        <v>398</v>
      </c>
      <c r="R48" s="46">
        <v>1</v>
      </c>
      <c r="S48" s="512"/>
      <c r="V48" s="57"/>
      <c r="W48" s="35"/>
      <c r="Z48" s="57"/>
      <c r="AA48" s="35"/>
      <c r="AD48" s="57"/>
      <c r="AE48" s="208">
        <f>ROUND((ROUND((_15_同援日０．５*_15・２人),0)*(1+_15・区４)),0)+ROUND((ROUND((ROUND((_15_同援日０．５＿１．０*_15・２人),0)*(1+_15・B夜間)),0)*(1+_15・区４)),0)</f>
        <v>692</v>
      </c>
      <c r="AF48" s="48"/>
    </row>
    <row r="49" spans="1:32" ht="16.5" customHeight="1" x14ac:dyDescent="0.15">
      <c r="A49" s="41">
        <v>15</v>
      </c>
      <c r="B49" s="41">
        <v>9601</v>
      </c>
      <c r="C49" s="74" t="s">
        <v>19596</v>
      </c>
      <c r="D49" s="72"/>
      <c r="F49" s="57"/>
      <c r="G49" s="72"/>
      <c r="I49" s="57"/>
      <c r="J49" s="114" t="s">
        <v>678</v>
      </c>
      <c r="K49" s="49"/>
      <c r="L49" s="49"/>
      <c r="M49" s="49"/>
      <c r="N49" s="49"/>
      <c r="O49" s="251"/>
      <c r="P49" s="163"/>
      <c r="Q49" s="45"/>
      <c r="R49" s="46"/>
      <c r="S49" s="512"/>
      <c r="V49" s="57"/>
      <c r="W49" s="35"/>
      <c r="Z49" s="57"/>
      <c r="AA49" s="72" t="s">
        <v>17580</v>
      </c>
      <c r="AD49" s="57"/>
      <c r="AE49" s="208">
        <f>ROUND((ROUND((_15_同援日０．５*_15・基礎２),0)*(1+_15・区４)),0)+ROUND((ROUND((ROUND((_15_同援日０．５＿１．０*_15・基礎２),0)*(1+_15・B夜間)),0)*(1+_15・区４)),0)</f>
        <v>623</v>
      </c>
      <c r="AF49" s="48"/>
    </row>
    <row r="50" spans="1:32" ht="16.5" customHeight="1" x14ac:dyDescent="0.15">
      <c r="A50" s="41">
        <v>15</v>
      </c>
      <c r="B50" s="41">
        <v>9602</v>
      </c>
      <c r="C50" s="74" t="s">
        <v>19597</v>
      </c>
      <c r="D50" s="72"/>
      <c r="F50" s="57"/>
      <c r="G50" s="72"/>
      <c r="I50" s="57"/>
      <c r="J50" s="122"/>
      <c r="K50" s="37"/>
      <c r="L50" s="37"/>
      <c r="M50" s="37"/>
      <c r="N50" s="37" t="s">
        <v>398</v>
      </c>
      <c r="O50" s="244">
        <v>0.9</v>
      </c>
      <c r="P50" s="521" t="s">
        <v>17556</v>
      </c>
      <c r="Q50" s="45" t="s">
        <v>398</v>
      </c>
      <c r="R50" s="46">
        <v>1</v>
      </c>
      <c r="S50" s="512"/>
      <c r="V50" s="57"/>
      <c r="W50" s="43"/>
      <c r="X50" s="37"/>
      <c r="Y50" s="38"/>
      <c r="Z50" s="79"/>
      <c r="AA50" s="72" t="s">
        <v>17572</v>
      </c>
      <c r="AD50" s="57"/>
      <c r="AE50" s="208">
        <f>ROUND((ROUND((ROUND((_15_同援日０．５*_15・基礎２),0)*_15・２人),0)*(1+_15・区４)),0)+ROUND((ROUND((ROUND((ROUND((_15_同援日０．５＿１．０*_15・基礎２),0)*_15・２人),0)*(1+_15・B夜間)),0)*(1+_15・区４)),0)</f>
        <v>623</v>
      </c>
      <c r="AF50" s="48"/>
    </row>
    <row r="51" spans="1:32" ht="16.5" customHeight="1" x14ac:dyDescent="0.15">
      <c r="A51" s="41">
        <v>15</v>
      </c>
      <c r="B51" s="41">
        <v>9603</v>
      </c>
      <c r="C51" s="74" t="s">
        <v>19598</v>
      </c>
      <c r="D51" s="72"/>
      <c r="F51" s="57"/>
      <c r="G51" s="72"/>
      <c r="I51" s="57"/>
      <c r="J51" s="114"/>
      <c r="K51" s="49"/>
      <c r="L51" s="49"/>
      <c r="M51" s="49"/>
      <c r="N51" s="49"/>
      <c r="O51" s="251"/>
      <c r="P51" s="163"/>
      <c r="Q51" s="45"/>
      <c r="R51" s="46"/>
      <c r="S51" s="512"/>
      <c r="V51" s="57"/>
      <c r="W51" s="116" t="s">
        <v>17562</v>
      </c>
      <c r="X51" s="49"/>
      <c r="Y51" s="50"/>
      <c r="Z51" s="115"/>
      <c r="AA51" s="35"/>
      <c r="AB51" s="12" t="s">
        <v>398</v>
      </c>
      <c r="AC51" s="13">
        <v>0.4</v>
      </c>
      <c r="AD51" s="57" t="s">
        <v>3575</v>
      </c>
      <c r="AE51" s="208">
        <f>ROUND((ROUND((_15_同援日０．５*(1+_15・盲ろう)),0)*(1+_15・区４)),0)+ROUND((ROUND((ROUND((_15_同援日０．５＿１．０*(1+_15・B夜間)),0)*(1+_15・盲ろう)),0)*(1+_15・区４)),0)</f>
        <v>865</v>
      </c>
      <c r="AF51" s="48"/>
    </row>
    <row r="52" spans="1:32" ht="16.5" customHeight="1" x14ac:dyDescent="0.15">
      <c r="A52" s="41">
        <v>15</v>
      </c>
      <c r="B52" s="41">
        <v>9604</v>
      </c>
      <c r="C52" s="74" t="s">
        <v>19599</v>
      </c>
      <c r="D52" s="72"/>
      <c r="F52" s="57"/>
      <c r="G52" s="72"/>
      <c r="I52" s="57"/>
      <c r="J52" s="122"/>
      <c r="K52" s="37"/>
      <c r="L52" s="37"/>
      <c r="M52" s="37"/>
      <c r="N52" s="37"/>
      <c r="O52" s="244"/>
      <c r="P52" s="521" t="s">
        <v>17556</v>
      </c>
      <c r="Q52" s="45" t="s">
        <v>398</v>
      </c>
      <c r="R52" s="46">
        <v>1</v>
      </c>
      <c r="S52" s="512"/>
      <c r="V52" s="57"/>
      <c r="W52" s="92" t="s">
        <v>17564</v>
      </c>
      <c r="Z52" s="57"/>
      <c r="AA52" s="35"/>
      <c r="AD52" s="57"/>
      <c r="AE52" s="208">
        <f>ROUND((ROUND((ROUND((_15_同援日０．５*_15・２人),0)*(1+_15・盲ろう)),0)*(1+_15・区４)),0)+ROUND((ROUND((ROUND((ROUND((_15_同援日０．５＿１．０*_15・２人),0)*(1+_15・B夜間)),0)*(1+_15・盲ろう)),0)*(1+_15・区４)),0)</f>
        <v>865</v>
      </c>
      <c r="AF52" s="48"/>
    </row>
    <row r="53" spans="1:32" ht="16.5" customHeight="1" x14ac:dyDescent="0.15">
      <c r="A53" s="41">
        <v>15</v>
      </c>
      <c r="B53" s="41">
        <v>9605</v>
      </c>
      <c r="C53" s="74" t="s">
        <v>19600</v>
      </c>
      <c r="D53" s="72"/>
      <c r="F53" s="57"/>
      <c r="G53" s="72"/>
      <c r="I53" s="57"/>
      <c r="J53" s="114" t="s">
        <v>678</v>
      </c>
      <c r="K53" s="49"/>
      <c r="L53" s="49"/>
      <c r="M53" s="49"/>
      <c r="N53" s="49"/>
      <c r="O53" s="251"/>
      <c r="P53" s="163"/>
      <c r="Q53" s="45"/>
      <c r="R53" s="46"/>
      <c r="S53" s="512"/>
      <c r="V53" s="57"/>
      <c r="W53" s="35"/>
      <c r="X53" s="12" t="s">
        <v>398</v>
      </c>
      <c r="Y53" s="13">
        <v>0.25</v>
      </c>
      <c r="Z53" s="57" t="s">
        <v>3575</v>
      </c>
      <c r="AA53" s="35"/>
      <c r="AD53" s="57"/>
      <c r="AE53" s="208">
        <f>ROUND((ROUND((ROUND((_15_同援日０．５*_15・基礎２),0)*(1+_15・盲ろう)),0)*(1+_15・区４)),0)+ROUND((ROUND((ROUND((ROUND((_15_同援日０．５＿１．０*_15・基礎２),0)*(1+_15・B夜間)),0)*(1+_15・盲ろう)),0)*(1+_15・区４)),0)</f>
        <v>780</v>
      </c>
      <c r="AF53" s="48"/>
    </row>
    <row r="54" spans="1:32" ht="16.5" customHeight="1" x14ac:dyDescent="0.15">
      <c r="A54" s="41">
        <v>15</v>
      </c>
      <c r="B54" s="41">
        <v>9606</v>
      </c>
      <c r="C54" s="74" t="s">
        <v>19601</v>
      </c>
      <c r="D54" s="72"/>
      <c r="F54" s="57"/>
      <c r="G54" s="122"/>
      <c r="H54" s="37"/>
      <c r="I54" s="79"/>
      <c r="J54" s="122"/>
      <c r="K54" s="37"/>
      <c r="L54" s="37"/>
      <c r="M54" s="37"/>
      <c r="N54" s="37" t="s">
        <v>398</v>
      </c>
      <c r="O54" s="244">
        <v>0.9</v>
      </c>
      <c r="P54" s="521" t="s">
        <v>17556</v>
      </c>
      <c r="Q54" s="45" t="s">
        <v>398</v>
      </c>
      <c r="R54" s="46">
        <v>1</v>
      </c>
      <c r="S54" s="512"/>
      <c r="V54" s="57"/>
      <c r="W54" s="43"/>
      <c r="X54" s="37"/>
      <c r="Y54" s="38"/>
      <c r="Z54" s="79"/>
      <c r="AA54" s="43"/>
      <c r="AB54" s="37"/>
      <c r="AC54" s="38"/>
      <c r="AD54" s="79"/>
      <c r="AE54" s="208">
        <f>ROUND((ROUND((ROUND((ROUND((_15_同援日０．５*_15・基礎２),0)*_15・２人),0)*(1+_15・盲ろう)),0)*(1+_15・区４)),0)+ROUND((ROUND((ROUND((ROUND((ROUND((_15_同援日０．５＿１．０*_15・基礎２),0)*_15・２人),0)*(1+_15・B夜間)),0)*(1+_15・盲ろう)),0)*(1+_15・区４)),0)</f>
        <v>780</v>
      </c>
      <c r="AF54" s="48"/>
    </row>
    <row r="55" spans="1:32" ht="16.5" customHeight="1" x14ac:dyDescent="0.15">
      <c r="A55" s="41">
        <v>15</v>
      </c>
      <c r="B55" s="41">
        <v>9607</v>
      </c>
      <c r="C55" s="74" t="s">
        <v>19602</v>
      </c>
      <c r="D55" s="72"/>
      <c r="F55" s="57"/>
      <c r="G55" s="114" t="s">
        <v>19603</v>
      </c>
      <c r="H55" s="49"/>
      <c r="I55" s="115"/>
      <c r="J55" s="114"/>
      <c r="K55" s="49"/>
      <c r="L55" s="49"/>
      <c r="M55" s="49"/>
      <c r="N55" s="49"/>
      <c r="O55" s="251"/>
      <c r="P55" s="163"/>
      <c r="Q55" s="45"/>
      <c r="R55" s="46"/>
      <c r="S55" s="512"/>
      <c r="V55" s="57"/>
      <c r="W55" s="53"/>
      <c r="X55" s="49"/>
      <c r="Y55" s="50"/>
      <c r="Z55" s="115"/>
      <c r="AA55" s="53"/>
      <c r="AB55" s="49"/>
      <c r="AC55" s="50"/>
      <c r="AD55" s="115"/>
      <c r="AE55" s="208">
        <f>_15_同援日０．５+ROUND((_15_同援日０．５＿１．５*(1+_15・B夜間)),0)</f>
        <v>575</v>
      </c>
      <c r="AF55" s="48"/>
    </row>
    <row r="56" spans="1:32" ht="16.5" customHeight="1" x14ac:dyDescent="0.15">
      <c r="A56" s="41">
        <v>15</v>
      </c>
      <c r="B56" s="41">
        <v>9608</v>
      </c>
      <c r="C56" s="74" t="s">
        <v>19604</v>
      </c>
      <c r="D56" s="72"/>
      <c r="F56" s="57"/>
      <c r="G56" s="72" t="s">
        <v>17616</v>
      </c>
      <c r="I56" s="57"/>
      <c r="J56" s="122"/>
      <c r="K56" s="37"/>
      <c r="L56" s="37"/>
      <c r="M56" s="37"/>
      <c r="N56" s="37"/>
      <c r="O56" s="244"/>
      <c r="P56" s="521" t="s">
        <v>17556</v>
      </c>
      <c r="Q56" s="45" t="s">
        <v>398</v>
      </c>
      <c r="R56" s="46">
        <v>1</v>
      </c>
      <c r="S56" s="512"/>
      <c r="V56" s="57"/>
      <c r="W56" s="35"/>
      <c r="Z56" s="57"/>
      <c r="AA56" s="35"/>
      <c r="AD56" s="57"/>
      <c r="AE56" s="208">
        <f>ROUND((_15_同援日０．５*_15・２人),0)+ROUND((ROUND((_15_同援日０．５＿１．５*_15・２人),0)*(1+_15・B夜間)),0)</f>
        <v>575</v>
      </c>
      <c r="AF56" s="48"/>
    </row>
    <row r="57" spans="1:32" ht="16.5" customHeight="1" x14ac:dyDescent="0.15">
      <c r="A57" s="41">
        <v>15</v>
      </c>
      <c r="B57" s="41">
        <v>9609</v>
      </c>
      <c r="C57" s="74" t="s">
        <v>19605</v>
      </c>
      <c r="D57" s="72"/>
      <c r="F57" s="57"/>
      <c r="G57" s="72" t="s">
        <v>18183</v>
      </c>
      <c r="I57" s="57"/>
      <c r="J57" s="114" t="s">
        <v>678</v>
      </c>
      <c r="K57" s="49"/>
      <c r="L57" s="49"/>
      <c r="M57" s="49"/>
      <c r="N57" s="49"/>
      <c r="O57" s="251"/>
      <c r="P57" s="163"/>
      <c r="Q57" s="45"/>
      <c r="R57" s="46"/>
      <c r="S57" s="512"/>
      <c r="V57" s="57"/>
      <c r="W57" s="35"/>
      <c r="Z57" s="57"/>
      <c r="AA57" s="35"/>
      <c r="AD57" s="57"/>
      <c r="AE57" s="208">
        <f>ROUND((_15_同援日０．５*_15・基礎２),0)+ROUND((ROUND((_15_同援日０．５＿１．５*_15・基礎２),0)*(1+_15・B夜間)),0)</f>
        <v>517</v>
      </c>
      <c r="AF57" s="48"/>
    </row>
    <row r="58" spans="1:32" ht="16.5" customHeight="1" x14ac:dyDescent="0.15">
      <c r="A58" s="41">
        <v>15</v>
      </c>
      <c r="B58" s="41">
        <v>9610</v>
      </c>
      <c r="C58" s="74" t="s">
        <v>19606</v>
      </c>
      <c r="D58" s="72"/>
      <c r="F58" s="57"/>
      <c r="G58" s="72"/>
      <c r="H58" s="168">
        <f>_15_同援日０．５＿１．５</f>
        <v>308</v>
      </c>
      <c r="I58" s="57" t="s">
        <v>392</v>
      </c>
      <c r="J58" s="122"/>
      <c r="K58" s="37"/>
      <c r="L58" s="37"/>
      <c r="M58" s="37"/>
      <c r="N58" s="37" t="s">
        <v>398</v>
      </c>
      <c r="O58" s="244">
        <v>0.9</v>
      </c>
      <c r="P58" s="521" t="s">
        <v>17556</v>
      </c>
      <c r="Q58" s="45" t="s">
        <v>398</v>
      </c>
      <c r="R58" s="46">
        <v>1</v>
      </c>
      <c r="S58" s="512"/>
      <c r="V58" s="57"/>
      <c r="W58" s="43"/>
      <c r="X58" s="37"/>
      <c r="Y58" s="38"/>
      <c r="Z58" s="79"/>
      <c r="AA58" s="35"/>
      <c r="AD58" s="57"/>
      <c r="AE58" s="208">
        <f>ROUND((ROUND((_15_同援日０．５*_15・基礎２),0)*_15・２人),0)+ROUND((ROUND((ROUND((_15_同援日０．５＿１．５*_15・基礎２),0)*_15・２人),0)*(1+_15・B夜間)),0)</f>
        <v>517</v>
      </c>
      <c r="AF58" s="48"/>
    </row>
    <row r="59" spans="1:32" ht="16.5" customHeight="1" x14ac:dyDescent="0.15">
      <c r="A59" s="41">
        <v>15</v>
      </c>
      <c r="B59" s="41">
        <v>9611</v>
      </c>
      <c r="C59" s="74" t="s">
        <v>19607</v>
      </c>
      <c r="D59" s="72"/>
      <c r="F59" s="57"/>
      <c r="G59" s="72"/>
      <c r="I59" s="57"/>
      <c r="J59" s="114"/>
      <c r="K59" s="49"/>
      <c r="L59" s="49"/>
      <c r="M59" s="49"/>
      <c r="N59" s="49"/>
      <c r="O59" s="251"/>
      <c r="P59" s="163"/>
      <c r="Q59" s="45"/>
      <c r="R59" s="46"/>
      <c r="S59" s="512"/>
      <c r="V59" s="57"/>
      <c r="W59" s="116" t="s">
        <v>17562</v>
      </c>
      <c r="X59" s="49"/>
      <c r="Y59" s="50"/>
      <c r="Z59" s="115"/>
      <c r="AA59" s="35"/>
      <c r="AD59" s="57"/>
      <c r="AE59" s="208">
        <f>ROUND((_15_同援日０．５*(1+_15・盲ろう)),0)+ROUND((ROUND((_15_同援日０．５＿１．５*(1+_15・B夜間)),0)*(1+_15・盲ろう)),0)</f>
        <v>719</v>
      </c>
      <c r="AF59" s="48"/>
    </row>
    <row r="60" spans="1:32" ht="16.5" customHeight="1" x14ac:dyDescent="0.15">
      <c r="A60" s="41">
        <v>15</v>
      </c>
      <c r="B60" s="41">
        <v>9612</v>
      </c>
      <c r="C60" s="74" t="s">
        <v>19608</v>
      </c>
      <c r="D60" s="72"/>
      <c r="F60" s="57"/>
      <c r="G60" s="72"/>
      <c r="I60" s="57"/>
      <c r="J60" s="122"/>
      <c r="K60" s="37"/>
      <c r="L60" s="37"/>
      <c r="M60" s="37"/>
      <c r="N60" s="37"/>
      <c r="O60" s="244"/>
      <c r="P60" s="521" t="s">
        <v>17556</v>
      </c>
      <c r="Q60" s="45" t="s">
        <v>398</v>
      </c>
      <c r="R60" s="46">
        <v>1</v>
      </c>
      <c r="S60" s="512"/>
      <c r="V60" s="57"/>
      <c r="W60" s="92" t="s">
        <v>17564</v>
      </c>
      <c r="Z60" s="57"/>
      <c r="AA60" s="35"/>
      <c r="AD60" s="57"/>
      <c r="AE60" s="208">
        <f>ROUND((ROUND((_15_同援日０．５*_15・２人),0)*(1+_15・盲ろう)),0)+ROUND((ROUND((ROUND((_15_同援日０．５＿１．５*_15・２人),0)*(1+_15・B夜間)),0)*(1+_15・盲ろう)),0)</f>
        <v>719</v>
      </c>
      <c r="AF60" s="48"/>
    </row>
    <row r="61" spans="1:32" ht="16.5" customHeight="1" x14ac:dyDescent="0.15">
      <c r="A61" s="41">
        <v>15</v>
      </c>
      <c r="B61" s="41">
        <v>9613</v>
      </c>
      <c r="C61" s="74" t="s">
        <v>19609</v>
      </c>
      <c r="D61" s="72"/>
      <c r="F61" s="57"/>
      <c r="G61" s="72"/>
      <c r="I61" s="57"/>
      <c r="J61" s="114" t="s">
        <v>678</v>
      </c>
      <c r="K61" s="49"/>
      <c r="L61" s="49"/>
      <c r="M61" s="49"/>
      <c r="N61" s="49"/>
      <c r="O61" s="251"/>
      <c r="P61" s="163"/>
      <c r="Q61" s="45"/>
      <c r="R61" s="46"/>
      <c r="S61" s="512"/>
      <c r="V61" s="57"/>
      <c r="W61" s="35"/>
      <c r="X61" s="12" t="s">
        <v>398</v>
      </c>
      <c r="Y61" s="13">
        <v>0.25</v>
      </c>
      <c r="Z61" s="57" t="s">
        <v>3575</v>
      </c>
      <c r="AA61" s="35"/>
      <c r="AD61" s="57"/>
      <c r="AE61" s="208">
        <f>ROUND((ROUND((_15_同援日０．５*_15・基礎２),0)*(1+_15・盲ろう)),0)+ROUND((ROUND((ROUND((_15_同援日０．５＿１．５*_15・基礎２),0)*(1+_15・B夜間)),0)*(1+_15・盲ろう)),0)</f>
        <v>647</v>
      </c>
      <c r="AF61" s="48"/>
    </row>
    <row r="62" spans="1:32" ht="16.5" customHeight="1" x14ac:dyDescent="0.15">
      <c r="A62" s="41">
        <v>15</v>
      </c>
      <c r="B62" s="41">
        <v>9614</v>
      </c>
      <c r="C62" s="74" t="s">
        <v>19610</v>
      </c>
      <c r="D62" s="72"/>
      <c r="F62" s="57"/>
      <c r="G62" s="72"/>
      <c r="I62" s="57"/>
      <c r="J62" s="122"/>
      <c r="K62" s="37"/>
      <c r="L62" s="37"/>
      <c r="M62" s="37"/>
      <c r="N62" s="37" t="s">
        <v>398</v>
      </c>
      <c r="O62" s="244">
        <v>0.9</v>
      </c>
      <c r="P62" s="521" t="s">
        <v>17556</v>
      </c>
      <c r="Q62" s="45" t="s">
        <v>398</v>
      </c>
      <c r="R62" s="46">
        <v>1</v>
      </c>
      <c r="S62" s="512"/>
      <c r="V62" s="57"/>
      <c r="W62" s="43"/>
      <c r="X62" s="37"/>
      <c r="Y62" s="38"/>
      <c r="Z62" s="79"/>
      <c r="AA62" s="43"/>
      <c r="AB62" s="37"/>
      <c r="AC62" s="38"/>
      <c r="AD62" s="79"/>
      <c r="AE62" s="208">
        <f>ROUND((ROUND((ROUND((_15_同援日０．５*_15・基礎２),0)*_15・２人),0)*(1+_15・盲ろう)),0)+ROUND((ROUND((ROUND((ROUND((_15_同援日０．５＿１．５*_15・基礎２),0)*_15・２人),0)*(1+_15・B夜間)),0)*(1+_15・盲ろう)),0)</f>
        <v>647</v>
      </c>
      <c r="AF62" s="48"/>
    </row>
    <row r="63" spans="1:32" ht="16.5" customHeight="1" x14ac:dyDescent="0.15">
      <c r="A63" s="41">
        <v>15</v>
      </c>
      <c r="B63" s="41">
        <v>9615</v>
      </c>
      <c r="C63" s="74" t="s">
        <v>19611</v>
      </c>
      <c r="D63" s="72"/>
      <c r="F63" s="57"/>
      <c r="G63" s="72"/>
      <c r="I63" s="57"/>
      <c r="J63" s="114"/>
      <c r="K63" s="49"/>
      <c r="L63" s="49"/>
      <c r="M63" s="49"/>
      <c r="N63" s="49"/>
      <c r="O63" s="251"/>
      <c r="P63" s="163"/>
      <c r="Q63" s="45"/>
      <c r="R63" s="46"/>
      <c r="S63" s="512"/>
      <c r="V63" s="57"/>
      <c r="W63" s="53"/>
      <c r="X63" s="49"/>
      <c r="Y63" s="50"/>
      <c r="Z63" s="115"/>
      <c r="AA63" s="53"/>
      <c r="AB63" s="49"/>
      <c r="AC63" s="50"/>
      <c r="AD63" s="115"/>
      <c r="AE63" s="208">
        <f>ROUND((_15_同援日０．５*(1+_15・区３)),0)+ROUND((ROUND((_15_同援日０．５＿１．５*(1+_15・B夜間)),0)*(1+_15・区３)),0)</f>
        <v>690</v>
      </c>
      <c r="AF63" s="48"/>
    </row>
    <row r="64" spans="1:32" ht="16.5" customHeight="1" x14ac:dyDescent="0.15">
      <c r="A64" s="41">
        <v>15</v>
      </c>
      <c r="B64" s="41">
        <v>9616</v>
      </c>
      <c r="C64" s="74" t="s">
        <v>19612</v>
      </c>
      <c r="D64" s="72"/>
      <c r="F64" s="57"/>
      <c r="G64" s="72"/>
      <c r="I64" s="57"/>
      <c r="J64" s="122"/>
      <c r="K64" s="37"/>
      <c r="L64" s="37"/>
      <c r="M64" s="37"/>
      <c r="N64" s="37"/>
      <c r="O64" s="244"/>
      <c r="P64" s="521" t="s">
        <v>17556</v>
      </c>
      <c r="Q64" s="45" t="s">
        <v>398</v>
      </c>
      <c r="R64" s="46">
        <v>1</v>
      </c>
      <c r="S64" s="512"/>
      <c r="V64" s="57"/>
      <c r="W64" s="35"/>
      <c r="Z64" s="57"/>
      <c r="AA64" s="35"/>
      <c r="AD64" s="57"/>
      <c r="AE64" s="208">
        <f>ROUND((ROUND((_15_同援日０．５*_15・２人),0)*(1+_15・区３)),0)+ROUND((ROUND((ROUND((_15_同援日０．５＿１．５*_15・２人),0)*(1+_15・B夜間)),0)*(1+_15・区３)),0)</f>
        <v>690</v>
      </c>
      <c r="AF64" s="48"/>
    </row>
    <row r="65" spans="1:32" ht="16.5" customHeight="1" x14ac:dyDescent="0.15">
      <c r="A65" s="41">
        <v>15</v>
      </c>
      <c r="B65" s="41">
        <v>9617</v>
      </c>
      <c r="C65" s="74" t="s">
        <v>19613</v>
      </c>
      <c r="D65" s="72"/>
      <c r="F65" s="57"/>
      <c r="G65" s="72"/>
      <c r="I65" s="57"/>
      <c r="J65" s="114" t="s">
        <v>678</v>
      </c>
      <c r="K65" s="49"/>
      <c r="L65" s="49"/>
      <c r="M65" s="49"/>
      <c r="N65" s="49"/>
      <c r="O65" s="251"/>
      <c r="P65" s="163"/>
      <c r="Q65" s="45"/>
      <c r="R65" s="46"/>
      <c r="S65" s="512"/>
      <c r="V65" s="57"/>
      <c r="W65" s="35"/>
      <c r="Z65" s="57"/>
      <c r="AA65" s="72" t="s">
        <v>17570</v>
      </c>
      <c r="AD65" s="57"/>
      <c r="AE65" s="208">
        <f>ROUND((ROUND((_15_同援日０．５*_15・基礎２),0)*(1+_15・区３)),0)+ROUND((ROUND((ROUND((_15_同援日０．５＿１．５*_15・基礎２),0)*(1+_15・B夜間)),0)*(1+_15・区３)),0)</f>
        <v>620</v>
      </c>
      <c r="AF65" s="48"/>
    </row>
    <row r="66" spans="1:32" ht="16.5" customHeight="1" x14ac:dyDescent="0.15">
      <c r="A66" s="41">
        <v>15</v>
      </c>
      <c r="B66" s="41">
        <v>9618</v>
      </c>
      <c r="C66" s="74" t="s">
        <v>19614</v>
      </c>
      <c r="D66" s="72"/>
      <c r="F66" s="57"/>
      <c r="G66" s="72"/>
      <c r="I66" s="57"/>
      <c r="J66" s="122"/>
      <c r="K66" s="37"/>
      <c r="L66" s="37"/>
      <c r="M66" s="37"/>
      <c r="N66" s="37" t="s">
        <v>398</v>
      </c>
      <c r="O66" s="244">
        <v>0.9</v>
      </c>
      <c r="P66" s="521" t="s">
        <v>17556</v>
      </c>
      <c r="Q66" s="45" t="s">
        <v>398</v>
      </c>
      <c r="R66" s="46">
        <v>1</v>
      </c>
      <c r="S66" s="512"/>
      <c r="V66" s="57"/>
      <c r="W66" s="43"/>
      <c r="X66" s="37"/>
      <c r="Y66" s="38"/>
      <c r="Z66" s="79"/>
      <c r="AA66" s="72" t="s">
        <v>17572</v>
      </c>
      <c r="AD66" s="57"/>
      <c r="AE66" s="208">
        <f>ROUND((ROUND((ROUND((_15_同援日０．５*_15・基礎２),0)*_15・２人),0)*(1+_15・区３)),0)+ROUND((ROUND((ROUND((ROUND((_15_同援日０．５＿１．５*_15・基礎２),0)*_15・２人),0)*(1+_15・B夜間)),0)*(1+_15・区３)),0)</f>
        <v>620</v>
      </c>
      <c r="AF66" s="48"/>
    </row>
    <row r="67" spans="1:32" ht="16.5" customHeight="1" x14ac:dyDescent="0.15">
      <c r="A67" s="41">
        <v>15</v>
      </c>
      <c r="B67" s="41">
        <v>9619</v>
      </c>
      <c r="C67" s="74" t="s">
        <v>19615</v>
      </c>
      <c r="D67" s="72"/>
      <c r="F67" s="57"/>
      <c r="G67" s="72"/>
      <c r="I67" s="57"/>
      <c r="J67" s="114"/>
      <c r="K67" s="49"/>
      <c r="L67" s="49"/>
      <c r="M67" s="49"/>
      <c r="N67" s="49"/>
      <c r="O67" s="251"/>
      <c r="P67" s="163"/>
      <c r="Q67" s="45"/>
      <c r="R67" s="46"/>
      <c r="S67" s="512"/>
      <c r="V67" s="57"/>
      <c r="W67" s="116" t="s">
        <v>17562</v>
      </c>
      <c r="X67" s="49"/>
      <c r="Y67" s="50"/>
      <c r="Z67" s="115"/>
      <c r="AA67" s="35"/>
      <c r="AB67" s="12" t="s">
        <v>398</v>
      </c>
      <c r="AC67" s="13">
        <v>0.2</v>
      </c>
      <c r="AD67" s="57" t="s">
        <v>3575</v>
      </c>
      <c r="AE67" s="208">
        <f>ROUND((ROUND((_15_同援日０．５*(1+_15・盲ろう)),0)*(1+_15・区３)),0)+ROUND((ROUND((ROUND((_15_同援日０．５＿１．５*(1+_15・B夜間)),0)*(1+_15・盲ろう)),0)*(1+_15・区３)),0)</f>
        <v>863</v>
      </c>
      <c r="AF67" s="48"/>
    </row>
    <row r="68" spans="1:32" ht="16.5" customHeight="1" x14ac:dyDescent="0.15">
      <c r="A68" s="41">
        <v>15</v>
      </c>
      <c r="B68" s="41">
        <v>9620</v>
      </c>
      <c r="C68" s="74" t="s">
        <v>19616</v>
      </c>
      <c r="D68" s="72"/>
      <c r="F68" s="57"/>
      <c r="G68" s="72"/>
      <c r="I68" s="57"/>
      <c r="J68" s="122"/>
      <c r="K68" s="37"/>
      <c r="L68" s="37"/>
      <c r="M68" s="37"/>
      <c r="N68" s="37"/>
      <c r="O68" s="244"/>
      <c r="P68" s="521" t="s">
        <v>17556</v>
      </c>
      <c r="Q68" s="45" t="s">
        <v>398</v>
      </c>
      <c r="R68" s="46">
        <v>1</v>
      </c>
      <c r="S68" s="512"/>
      <c r="V68" s="57"/>
      <c r="W68" s="92" t="s">
        <v>17564</v>
      </c>
      <c r="Z68" s="57"/>
      <c r="AA68" s="35"/>
      <c r="AD68" s="57"/>
      <c r="AE68" s="208">
        <f>ROUND((ROUND((ROUND((_15_同援日０．５*_15・２人),0)*(1+_15・盲ろう)),0)*(1+_15・区３)),0)+ROUND((ROUND((ROUND((ROUND((_15_同援日０．５＿１．５*_15・２人),0)*(1+_15・B夜間)),0)*(1+_15・盲ろう)),0)*(1+_15・区３)),0)</f>
        <v>863</v>
      </c>
      <c r="AF68" s="48"/>
    </row>
    <row r="69" spans="1:32" ht="16.5" customHeight="1" x14ac:dyDescent="0.15">
      <c r="A69" s="41">
        <v>15</v>
      </c>
      <c r="B69" s="41">
        <v>9621</v>
      </c>
      <c r="C69" s="74" t="s">
        <v>19617</v>
      </c>
      <c r="D69" s="72"/>
      <c r="F69" s="57"/>
      <c r="G69" s="72"/>
      <c r="I69" s="57"/>
      <c r="J69" s="114" t="s">
        <v>678</v>
      </c>
      <c r="K69" s="49"/>
      <c r="L69" s="49"/>
      <c r="M69" s="49"/>
      <c r="N69" s="49"/>
      <c r="O69" s="251"/>
      <c r="P69" s="163"/>
      <c r="Q69" s="45"/>
      <c r="R69" s="46"/>
      <c r="S69" s="512"/>
      <c r="V69" s="57"/>
      <c r="W69" s="35"/>
      <c r="X69" s="12" t="s">
        <v>398</v>
      </c>
      <c r="Y69" s="13">
        <v>0.25</v>
      </c>
      <c r="Z69" s="57" t="s">
        <v>3575</v>
      </c>
      <c r="AA69" s="35"/>
      <c r="AD69" s="57"/>
      <c r="AE69" s="208">
        <f>ROUND((ROUND((ROUND((_15_同援日０．５*_15・基礎２),0)*(1+_15・盲ろう)),0)*(1+_15・区３)),0)+ROUND((ROUND((ROUND((ROUND((_15_同援日０．５＿１．５*_15・基礎２),0)*(1+_15・B夜間)),0)*(1+_15・盲ろう)),0)*(1+_15・区３)),0)</f>
        <v>777</v>
      </c>
      <c r="AF69" s="48"/>
    </row>
    <row r="70" spans="1:32" ht="16.5" customHeight="1" x14ac:dyDescent="0.15">
      <c r="A70" s="41">
        <v>15</v>
      </c>
      <c r="B70" s="41">
        <v>9622</v>
      </c>
      <c r="C70" s="74" t="s">
        <v>19618</v>
      </c>
      <c r="D70" s="72"/>
      <c r="F70" s="57"/>
      <c r="G70" s="72"/>
      <c r="I70" s="57"/>
      <c r="J70" s="122"/>
      <c r="K70" s="37"/>
      <c r="L70" s="37"/>
      <c r="M70" s="37"/>
      <c r="N70" s="37" t="s">
        <v>398</v>
      </c>
      <c r="O70" s="244">
        <v>0.9</v>
      </c>
      <c r="P70" s="521" t="s">
        <v>17556</v>
      </c>
      <c r="Q70" s="45" t="s">
        <v>398</v>
      </c>
      <c r="R70" s="46">
        <v>1</v>
      </c>
      <c r="S70" s="512"/>
      <c r="V70" s="57"/>
      <c r="W70" s="43"/>
      <c r="X70" s="37"/>
      <c r="Y70" s="38"/>
      <c r="Z70" s="79"/>
      <c r="AA70" s="43"/>
      <c r="AB70" s="37"/>
      <c r="AC70" s="38"/>
      <c r="AD70" s="79"/>
      <c r="AE70" s="208">
        <f>ROUND((ROUND((ROUND((ROUND((_15_同援日０．５*_15・基礎２),0)*_15・２人),0)*(1+_15・盲ろう)),0)*(1+_15・区３)),0)+ROUND((ROUND((ROUND((ROUND((ROUND((_15_同援日０．５＿１．５*_15・基礎２),0)*_15・２人),0)*(1+_15・B夜間)),0)*(1+_15・盲ろう)),0)*(1+_15・区３)),0)</f>
        <v>777</v>
      </c>
      <c r="AF70" s="48"/>
    </row>
    <row r="71" spans="1:32" ht="16.5" customHeight="1" x14ac:dyDescent="0.15">
      <c r="A71" s="41">
        <v>15</v>
      </c>
      <c r="B71" s="41">
        <v>9623</v>
      </c>
      <c r="C71" s="74" t="s">
        <v>19619</v>
      </c>
      <c r="D71" s="72"/>
      <c r="F71" s="57"/>
      <c r="G71" s="72"/>
      <c r="I71" s="57"/>
      <c r="J71" s="114"/>
      <c r="K71" s="49"/>
      <c r="L71" s="49"/>
      <c r="M71" s="49"/>
      <c r="N71" s="49"/>
      <c r="O71" s="251"/>
      <c r="P71" s="163"/>
      <c r="Q71" s="45"/>
      <c r="R71" s="46"/>
      <c r="S71" s="512"/>
      <c r="V71" s="57"/>
      <c r="W71" s="53"/>
      <c r="X71" s="49"/>
      <c r="Y71" s="50"/>
      <c r="Z71" s="115"/>
      <c r="AA71" s="53"/>
      <c r="AB71" s="49"/>
      <c r="AC71" s="50"/>
      <c r="AD71" s="115"/>
      <c r="AE71" s="208">
        <f>ROUND((_15_同援日０．５*(1+_15・区４)),0)+ROUND((ROUND((_15_同援日０．５＿１．５*(1+_15・B夜間)),0)*(1+_15・区４)),0)</f>
        <v>805</v>
      </c>
      <c r="AF71" s="48"/>
    </row>
    <row r="72" spans="1:32" ht="16.5" customHeight="1" x14ac:dyDescent="0.15">
      <c r="A72" s="41">
        <v>15</v>
      </c>
      <c r="B72" s="41">
        <v>9624</v>
      </c>
      <c r="C72" s="74" t="s">
        <v>19620</v>
      </c>
      <c r="D72" s="72"/>
      <c r="F72" s="57"/>
      <c r="G72" s="72"/>
      <c r="I72" s="57"/>
      <c r="J72" s="122"/>
      <c r="K72" s="37"/>
      <c r="L72" s="37"/>
      <c r="M72" s="37"/>
      <c r="N72" s="37"/>
      <c r="O72" s="244"/>
      <c r="P72" s="521" t="s">
        <v>17556</v>
      </c>
      <c r="Q72" s="45" t="s">
        <v>398</v>
      </c>
      <c r="R72" s="46">
        <v>1</v>
      </c>
      <c r="S72" s="512"/>
      <c r="V72" s="57"/>
      <c r="W72" s="35"/>
      <c r="Z72" s="57"/>
      <c r="AA72" s="35"/>
      <c r="AD72" s="57"/>
      <c r="AE72" s="208">
        <f>ROUND((ROUND((_15_同援日０．５*_15・２人),0)*(1+_15・区４)),0)+ROUND((ROUND((ROUND((_15_同援日０．５＿１．５*_15・２人),0)*(1+_15・B夜間)),0)*(1+_15・区４)),0)</f>
        <v>805</v>
      </c>
      <c r="AF72" s="48"/>
    </row>
    <row r="73" spans="1:32" ht="16.5" customHeight="1" x14ac:dyDescent="0.15">
      <c r="A73" s="41">
        <v>15</v>
      </c>
      <c r="B73" s="41">
        <v>9625</v>
      </c>
      <c r="C73" s="74" t="s">
        <v>19621</v>
      </c>
      <c r="D73" s="72"/>
      <c r="F73" s="57"/>
      <c r="G73" s="72"/>
      <c r="I73" s="57"/>
      <c r="J73" s="114" t="s">
        <v>678</v>
      </c>
      <c r="K73" s="49"/>
      <c r="L73" s="49"/>
      <c r="M73" s="49"/>
      <c r="N73" s="49"/>
      <c r="O73" s="251"/>
      <c r="P73" s="163"/>
      <c r="Q73" s="45"/>
      <c r="R73" s="46"/>
      <c r="S73" s="512"/>
      <c r="V73" s="57"/>
      <c r="W73" s="35"/>
      <c r="Z73" s="57"/>
      <c r="AA73" s="72" t="s">
        <v>17580</v>
      </c>
      <c r="AD73" s="57"/>
      <c r="AE73" s="208">
        <f>ROUND((ROUND((_15_同援日０．５*_15・基礎２),0)*(1+_15・区４)),0)+ROUND((ROUND((ROUND((_15_同援日０．５＿１．５*_15・基礎２),0)*(1+_15・B夜間)),0)*(1+_15・区４)),0)</f>
        <v>723</v>
      </c>
      <c r="AF73" s="48"/>
    </row>
    <row r="74" spans="1:32" ht="16.5" customHeight="1" x14ac:dyDescent="0.15">
      <c r="A74" s="41">
        <v>15</v>
      </c>
      <c r="B74" s="41">
        <v>9626</v>
      </c>
      <c r="C74" s="74" t="s">
        <v>19622</v>
      </c>
      <c r="D74" s="72"/>
      <c r="F74" s="57"/>
      <c r="G74" s="72"/>
      <c r="I74" s="57"/>
      <c r="J74" s="122"/>
      <c r="K74" s="37"/>
      <c r="L74" s="37"/>
      <c r="M74" s="37"/>
      <c r="N74" s="37" t="s">
        <v>398</v>
      </c>
      <c r="O74" s="244">
        <v>0.9</v>
      </c>
      <c r="P74" s="521" t="s">
        <v>17556</v>
      </c>
      <c r="Q74" s="45" t="s">
        <v>398</v>
      </c>
      <c r="R74" s="46">
        <v>1</v>
      </c>
      <c r="S74" s="512"/>
      <c r="V74" s="57"/>
      <c r="W74" s="43"/>
      <c r="X74" s="37"/>
      <c r="Y74" s="38"/>
      <c r="Z74" s="79"/>
      <c r="AA74" s="72" t="s">
        <v>17572</v>
      </c>
      <c r="AD74" s="57"/>
      <c r="AE74" s="208">
        <f>ROUND((ROUND((ROUND((_15_同援日０．５*_15・基礎２),0)*_15・２人),0)*(1+_15・区４)),0)+ROUND((ROUND((ROUND((ROUND((_15_同援日０．５＿１．５*_15・基礎２),0)*_15・２人),0)*(1+_15・B夜間)),0)*(1+_15・区４)),0)</f>
        <v>723</v>
      </c>
      <c r="AF74" s="48"/>
    </row>
    <row r="75" spans="1:32" ht="16.5" customHeight="1" x14ac:dyDescent="0.15">
      <c r="A75" s="41">
        <v>15</v>
      </c>
      <c r="B75" s="41">
        <v>9627</v>
      </c>
      <c r="C75" s="74" t="s">
        <v>19623</v>
      </c>
      <c r="D75" s="72"/>
      <c r="F75" s="57"/>
      <c r="G75" s="72"/>
      <c r="I75" s="57"/>
      <c r="J75" s="114"/>
      <c r="K75" s="49"/>
      <c r="L75" s="49"/>
      <c r="M75" s="49"/>
      <c r="N75" s="49"/>
      <c r="O75" s="251"/>
      <c r="P75" s="163"/>
      <c r="Q75" s="45"/>
      <c r="R75" s="46"/>
      <c r="S75" s="512"/>
      <c r="V75" s="57"/>
      <c r="W75" s="116" t="s">
        <v>17562</v>
      </c>
      <c r="X75" s="49"/>
      <c r="Y75" s="50"/>
      <c r="Z75" s="115"/>
      <c r="AA75" s="35"/>
      <c r="AB75" s="12" t="s">
        <v>398</v>
      </c>
      <c r="AC75" s="13">
        <v>0.4</v>
      </c>
      <c r="AD75" s="57" t="s">
        <v>3575</v>
      </c>
      <c r="AE75" s="208">
        <f>ROUND((ROUND((_15_同援日０．５*(1+_15・盲ろう)),0)*(1+_15・区４)),0)+ROUND((ROUND((ROUND((_15_同援日０．５＿１．５*(1+_15・B夜間)),0)*(1+_15・盲ろう)),0)*(1+_15・区４)),0)</f>
        <v>1006</v>
      </c>
      <c r="AF75" s="48"/>
    </row>
    <row r="76" spans="1:32" ht="16.5" customHeight="1" x14ac:dyDescent="0.15">
      <c r="A76" s="41">
        <v>15</v>
      </c>
      <c r="B76" s="41">
        <v>9628</v>
      </c>
      <c r="C76" s="74" t="s">
        <v>19624</v>
      </c>
      <c r="D76" s="72"/>
      <c r="F76" s="57"/>
      <c r="G76" s="72"/>
      <c r="I76" s="57"/>
      <c r="J76" s="122"/>
      <c r="K76" s="37"/>
      <c r="L76" s="37"/>
      <c r="M76" s="37"/>
      <c r="N76" s="37"/>
      <c r="O76" s="244"/>
      <c r="P76" s="521" t="s">
        <v>17556</v>
      </c>
      <c r="Q76" s="45" t="s">
        <v>398</v>
      </c>
      <c r="R76" s="46">
        <v>1</v>
      </c>
      <c r="S76" s="512"/>
      <c r="V76" s="57"/>
      <c r="W76" s="92" t="s">
        <v>17564</v>
      </c>
      <c r="Z76" s="57"/>
      <c r="AA76" s="35"/>
      <c r="AD76" s="57"/>
      <c r="AE76" s="208">
        <f>ROUND((ROUND((ROUND((_15_同援日０．５*_15・２人),0)*(1+_15・盲ろう)),0)*(1+_15・区４)),0)+ROUND((ROUND((ROUND((ROUND((_15_同援日０．５＿１．５*_15・２人),0)*(1+_15・B夜間)),0)*(1+_15・盲ろう)),0)*(1+_15・区４)),0)</f>
        <v>1006</v>
      </c>
      <c r="AF76" s="48"/>
    </row>
    <row r="77" spans="1:32" ht="16.5" customHeight="1" x14ac:dyDescent="0.15">
      <c r="A77" s="41">
        <v>15</v>
      </c>
      <c r="B77" s="41">
        <v>9629</v>
      </c>
      <c r="C77" s="74" t="s">
        <v>19625</v>
      </c>
      <c r="D77" s="72"/>
      <c r="F77" s="57"/>
      <c r="G77" s="72"/>
      <c r="I77" s="57"/>
      <c r="J77" s="114" t="s">
        <v>678</v>
      </c>
      <c r="K77" s="49"/>
      <c r="L77" s="49"/>
      <c r="M77" s="49"/>
      <c r="N77" s="49"/>
      <c r="O77" s="251"/>
      <c r="P77" s="163"/>
      <c r="Q77" s="45"/>
      <c r="R77" s="46"/>
      <c r="S77" s="512"/>
      <c r="V77" s="57"/>
      <c r="W77" s="35"/>
      <c r="X77" s="12" t="s">
        <v>398</v>
      </c>
      <c r="Y77" s="13">
        <v>0.25</v>
      </c>
      <c r="Z77" s="57" t="s">
        <v>3575</v>
      </c>
      <c r="AA77" s="35"/>
      <c r="AD77" s="57"/>
      <c r="AE77" s="208">
        <f>ROUND((ROUND((ROUND((_15_同援日０．５*_15・基礎２),0)*(1+_15・盲ろう)),0)*(1+_15・区４)),0)+ROUND((ROUND((ROUND((ROUND((_15_同援日０．５＿１．５*_15・基礎２),0)*(1+_15・B夜間)),0)*(1+_15・盲ろう)),0)*(1+_15・区４)),0)</f>
        <v>906</v>
      </c>
      <c r="AF77" s="48"/>
    </row>
    <row r="78" spans="1:32" ht="16.5" customHeight="1" x14ac:dyDescent="0.15">
      <c r="A78" s="41">
        <v>15</v>
      </c>
      <c r="B78" s="41">
        <v>9630</v>
      </c>
      <c r="C78" s="74" t="s">
        <v>19626</v>
      </c>
      <c r="D78" s="72"/>
      <c r="F78" s="57"/>
      <c r="G78" s="122"/>
      <c r="H78" s="37"/>
      <c r="I78" s="79"/>
      <c r="J78" s="122"/>
      <c r="K78" s="37"/>
      <c r="L78" s="37"/>
      <c r="M78" s="37"/>
      <c r="N78" s="37" t="s">
        <v>398</v>
      </c>
      <c r="O78" s="244">
        <v>0.9</v>
      </c>
      <c r="P78" s="521" t="s">
        <v>17556</v>
      </c>
      <c r="Q78" s="45" t="s">
        <v>398</v>
      </c>
      <c r="R78" s="46">
        <v>1</v>
      </c>
      <c r="S78" s="512"/>
      <c r="V78" s="57"/>
      <c r="W78" s="43"/>
      <c r="X78" s="37"/>
      <c r="Y78" s="38"/>
      <c r="Z78" s="79"/>
      <c r="AA78" s="43"/>
      <c r="AB78" s="37"/>
      <c r="AC78" s="38"/>
      <c r="AD78" s="79"/>
      <c r="AE78" s="208">
        <f>ROUND((ROUND((ROUND((ROUND((_15_同援日０．５*_15・基礎２),0)*_15・２人),0)*(1+_15・盲ろう)),0)*(1+_15・区４)),0)+ROUND((ROUND((ROUND((ROUND((ROUND((_15_同援日０．５＿１．５*_15・基礎２),0)*_15・２人),0)*(1+_15・B夜間)),0)*(1+_15・盲ろう)),0)*(1+_15・区４)),0)</f>
        <v>906</v>
      </c>
      <c r="AF78" s="48"/>
    </row>
    <row r="79" spans="1:32" ht="16.5" customHeight="1" x14ac:dyDescent="0.15">
      <c r="A79" s="41">
        <v>15</v>
      </c>
      <c r="B79" s="41">
        <v>9631</v>
      </c>
      <c r="C79" s="74" t="s">
        <v>19627</v>
      </c>
      <c r="D79" s="72"/>
      <c r="F79" s="57"/>
      <c r="G79" s="114" t="s">
        <v>19628</v>
      </c>
      <c r="H79" s="49"/>
      <c r="I79" s="115"/>
      <c r="J79" s="114"/>
      <c r="K79" s="49"/>
      <c r="L79" s="49"/>
      <c r="M79" s="49"/>
      <c r="N79" s="49"/>
      <c r="O79" s="251"/>
      <c r="P79" s="163"/>
      <c r="Q79" s="45"/>
      <c r="R79" s="46"/>
      <c r="S79" s="512"/>
      <c r="V79" s="57"/>
      <c r="W79" s="53"/>
      <c r="X79" s="49"/>
      <c r="Y79" s="50"/>
      <c r="Z79" s="115"/>
      <c r="AA79" s="53"/>
      <c r="AB79" s="49"/>
      <c r="AC79" s="50"/>
      <c r="AD79" s="115"/>
      <c r="AE79" s="208">
        <f>_15_同援日０．５+ROUND((_15_同援日０．５＿２．０*(1+_15・B夜間)),0)</f>
        <v>656</v>
      </c>
      <c r="AF79" s="48"/>
    </row>
    <row r="80" spans="1:32" ht="16.5" customHeight="1" x14ac:dyDescent="0.15">
      <c r="A80" s="41">
        <v>15</v>
      </c>
      <c r="B80" s="41">
        <v>9632</v>
      </c>
      <c r="C80" s="74" t="s">
        <v>19629</v>
      </c>
      <c r="D80" s="72"/>
      <c r="F80" s="57"/>
      <c r="G80" s="72" t="s">
        <v>17643</v>
      </c>
      <c r="I80" s="57"/>
      <c r="J80" s="122"/>
      <c r="K80" s="37"/>
      <c r="L80" s="37"/>
      <c r="M80" s="37"/>
      <c r="N80" s="37"/>
      <c r="O80" s="244"/>
      <c r="P80" s="521" t="s">
        <v>17556</v>
      </c>
      <c r="Q80" s="45" t="s">
        <v>398</v>
      </c>
      <c r="R80" s="46">
        <v>1</v>
      </c>
      <c r="S80" s="512"/>
      <c r="V80" s="57"/>
      <c r="W80" s="35"/>
      <c r="Z80" s="57"/>
      <c r="AA80" s="35"/>
      <c r="AD80" s="57"/>
      <c r="AE80" s="208">
        <f>ROUND((_15_同援日０．５*_15・２人),0)+ROUND((ROUND((_15_同援日０．５＿２．０*_15・２人),0)*(1+_15・B夜間)),0)</f>
        <v>656</v>
      </c>
      <c r="AF80" s="48"/>
    </row>
    <row r="81" spans="1:32" ht="16.5" customHeight="1" x14ac:dyDescent="0.15">
      <c r="A81" s="41">
        <v>15</v>
      </c>
      <c r="B81" s="41">
        <v>9633</v>
      </c>
      <c r="C81" s="74" t="s">
        <v>19630</v>
      </c>
      <c r="D81" s="72"/>
      <c r="F81" s="57"/>
      <c r="G81" s="72" t="s">
        <v>17645</v>
      </c>
      <c r="I81" s="57"/>
      <c r="J81" s="114" t="s">
        <v>678</v>
      </c>
      <c r="K81" s="49"/>
      <c r="L81" s="49"/>
      <c r="M81" s="49"/>
      <c r="N81" s="49"/>
      <c r="O81" s="251"/>
      <c r="P81" s="163"/>
      <c r="Q81" s="45"/>
      <c r="R81" s="46"/>
      <c r="S81" s="512"/>
      <c r="V81" s="57"/>
      <c r="W81" s="35"/>
      <c r="Z81" s="57"/>
      <c r="AA81" s="35"/>
      <c r="AD81" s="57"/>
      <c r="AE81" s="208">
        <f>ROUND((_15_同援日０．５*_15・基礎２),0)+ROUND((ROUND((_15_同援日０．５＿２．０*_15・基礎２),0)*(1+_15・B夜間)),0)</f>
        <v>591</v>
      </c>
      <c r="AF81" s="48"/>
    </row>
    <row r="82" spans="1:32" ht="16.5" customHeight="1" x14ac:dyDescent="0.15">
      <c r="A82" s="41">
        <v>15</v>
      </c>
      <c r="B82" s="41">
        <v>9634</v>
      </c>
      <c r="C82" s="74" t="s">
        <v>19631</v>
      </c>
      <c r="D82" s="72"/>
      <c r="F82" s="57"/>
      <c r="G82" s="72"/>
      <c r="H82" s="168">
        <f>_15_同援日０．５＿２．０</f>
        <v>373</v>
      </c>
      <c r="I82" s="57" t="s">
        <v>392</v>
      </c>
      <c r="J82" s="122"/>
      <c r="K82" s="37"/>
      <c r="L82" s="37"/>
      <c r="M82" s="37"/>
      <c r="N82" s="37" t="s">
        <v>398</v>
      </c>
      <c r="O82" s="244">
        <v>0.9</v>
      </c>
      <c r="P82" s="521" t="s">
        <v>17556</v>
      </c>
      <c r="Q82" s="45" t="s">
        <v>398</v>
      </c>
      <c r="R82" s="46">
        <v>1</v>
      </c>
      <c r="S82" s="512"/>
      <c r="V82" s="57"/>
      <c r="W82" s="43"/>
      <c r="X82" s="37"/>
      <c r="Y82" s="38"/>
      <c r="Z82" s="79"/>
      <c r="AA82" s="35"/>
      <c r="AD82" s="57"/>
      <c r="AE82" s="208">
        <f>ROUND((ROUND((_15_同援日０．５*_15・基礎２),0)*_15・２人),0)+ROUND((ROUND((ROUND((_15_同援日０．５＿２．０*_15・基礎２),0)*_15・２人),0)*(1+_15・B夜間)),0)</f>
        <v>591</v>
      </c>
      <c r="AF82" s="48"/>
    </row>
    <row r="83" spans="1:32" ht="16.5" customHeight="1" x14ac:dyDescent="0.15">
      <c r="A83" s="41">
        <v>15</v>
      </c>
      <c r="B83" s="41">
        <v>9635</v>
      </c>
      <c r="C83" s="74" t="s">
        <v>19632</v>
      </c>
      <c r="D83" s="72"/>
      <c r="F83" s="57"/>
      <c r="G83" s="72"/>
      <c r="I83" s="57"/>
      <c r="J83" s="114"/>
      <c r="K83" s="49"/>
      <c r="L83" s="49"/>
      <c r="M83" s="49"/>
      <c r="N83" s="49"/>
      <c r="O83" s="251"/>
      <c r="P83" s="163"/>
      <c r="Q83" s="45"/>
      <c r="R83" s="46"/>
      <c r="S83" s="512"/>
      <c r="V83" s="57"/>
      <c r="W83" s="116" t="s">
        <v>17562</v>
      </c>
      <c r="X83" s="49"/>
      <c r="Y83" s="50"/>
      <c r="Z83" s="115"/>
      <c r="AA83" s="35"/>
      <c r="AD83" s="57"/>
      <c r="AE83" s="208">
        <f>ROUND((_15_同援日０．５*(1+_15・盲ろう)),0)+ROUND((ROUND((_15_同援日０．５＿２．０*(1+_15・B夜間)),0)*(1+_15・盲ろう)),0)</f>
        <v>821</v>
      </c>
      <c r="AF83" s="48"/>
    </row>
    <row r="84" spans="1:32" ht="16.5" customHeight="1" x14ac:dyDescent="0.15">
      <c r="A84" s="41">
        <v>15</v>
      </c>
      <c r="B84" s="41">
        <v>9636</v>
      </c>
      <c r="C84" s="74" t="s">
        <v>19633</v>
      </c>
      <c r="D84" s="72"/>
      <c r="F84" s="57"/>
      <c r="G84" s="72"/>
      <c r="I84" s="57"/>
      <c r="J84" s="122"/>
      <c r="K84" s="37"/>
      <c r="L84" s="37"/>
      <c r="M84" s="37"/>
      <c r="N84" s="37"/>
      <c r="O84" s="244"/>
      <c r="P84" s="521" t="s">
        <v>17556</v>
      </c>
      <c r="Q84" s="45" t="s">
        <v>398</v>
      </c>
      <c r="R84" s="46">
        <v>1</v>
      </c>
      <c r="S84" s="512"/>
      <c r="V84" s="57"/>
      <c r="W84" s="92" t="s">
        <v>17564</v>
      </c>
      <c r="Z84" s="57"/>
      <c r="AA84" s="35"/>
      <c r="AD84" s="57"/>
      <c r="AE84" s="208">
        <f>ROUND((ROUND((_15_同援日０．５*_15・２人),0)*(1+_15・盲ろう)),0)+ROUND((ROUND((ROUND((_15_同援日０．５＿２．０*_15・２人),0)*(1+_15・B夜間)),0)*(1+_15・盲ろう)),0)</f>
        <v>821</v>
      </c>
      <c r="AF84" s="48"/>
    </row>
    <row r="85" spans="1:32" ht="16.5" customHeight="1" x14ac:dyDescent="0.15">
      <c r="A85" s="41">
        <v>15</v>
      </c>
      <c r="B85" s="41">
        <v>9637</v>
      </c>
      <c r="C85" s="74" t="s">
        <v>19634</v>
      </c>
      <c r="D85" s="72"/>
      <c r="F85" s="57"/>
      <c r="G85" s="72"/>
      <c r="I85" s="57"/>
      <c r="J85" s="114" t="s">
        <v>678</v>
      </c>
      <c r="K85" s="49"/>
      <c r="L85" s="49"/>
      <c r="M85" s="49"/>
      <c r="N85" s="49"/>
      <c r="O85" s="251"/>
      <c r="P85" s="163"/>
      <c r="Q85" s="45"/>
      <c r="R85" s="46"/>
      <c r="S85" s="512"/>
      <c r="V85" s="57"/>
      <c r="W85" s="35"/>
      <c r="X85" s="12" t="s">
        <v>398</v>
      </c>
      <c r="Y85" s="13">
        <v>0.25</v>
      </c>
      <c r="Z85" s="57" t="s">
        <v>3575</v>
      </c>
      <c r="AA85" s="35"/>
      <c r="AD85" s="57"/>
      <c r="AE85" s="208">
        <f>ROUND((ROUND((_15_同援日０．５*_15・基礎２),0)*(1+_15・盲ろう)),0)+ROUND((ROUND((ROUND((_15_同援日０．５＿２．０*_15・基礎２),0)*(1+_15・B夜間)),0)*(1+_15・盲ろう)),0)</f>
        <v>739</v>
      </c>
      <c r="AF85" s="48"/>
    </row>
    <row r="86" spans="1:32" ht="16.5" customHeight="1" x14ac:dyDescent="0.15">
      <c r="A86" s="41">
        <v>15</v>
      </c>
      <c r="B86" s="41">
        <v>9638</v>
      </c>
      <c r="C86" s="74" t="s">
        <v>19635</v>
      </c>
      <c r="D86" s="72"/>
      <c r="F86" s="57"/>
      <c r="G86" s="72"/>
      <c r="I86" s="57"/>
      <c r="J86" s="122"/>
      <c r="K86" s="37"/>
      <c r="L86" s="37"/>
      <c r="M86" s="37"/>
      <c r="N86" s="37" t="s">
        <v>398</v>
      </c>
      <c r="O86" s="244">
        <v>0.9</v>
      </c>
      <c r="P86" s="521" t="s">
        <v>17556</v>
      </c>
      <c r="Q86" s="45" t="s">
        <v>398</v>
      </c>
      <c r="R86" s="46">
        <v>1</v>
      </c>
      <c r="S86" s="512"/>
      <c r="V86" s="57"/>
      <c r="W86" s="43"/>
      <c r="X86" s="37"/>
      <c r="Y86" s="38"/>
      <c r="Z86" s="79"/>
      <c r="AA86" s="43"/>
      <c r="AB86" s="37"/>
      <c r="AC86" s="38"/>
      <c r="AD86" s="79"/>
      <c r="AE86" s="208">
        <f>ROUND((ROUND((ROUND((_15_同援日０．５*_15・基礎２),0)*_15・２人),0)*(1+_15・盲ろう)),0)+ROUND((ROUND((ROUND((ROUND((_15_同援日０．５＿２．０*_15・基礎２),0)*_15・２人),0)*(1+_15・B夜間)),0)*(1+_15・盲ろう)),0)</f>
        <v>739</v>
      </c>
      <c r="AF86" s="48"/>
    </row>
    <row r="87" spans="1:32" ht="16.5" customHeight="1" x14ac:dyDescent="0.15">
      <c r="A87" s="41">
        <v>15</v>
      </c>
      <c r="B87" s="41">
        <v>9639</v>
      </c>
      <c r="C87" s="74" t="s">
        <v>19636</v>
      </c>
      <c r="D87" s="72"/>
      <c r="F87" s="57"/>
      <c r="G87" s="72"/>
      <c r="I87" s="57"/>
      <c r="J87" s="114"/>
      <c r="K87" s="49"/>
      <c r="L87" s="49"/>
      <c r="M87" s="49"/>
      <c r="N87" s="49"/>
      <c r="O87" s="251"/>
      <c r="P87" s="163"/>
      <c r="Q87" s="45"/>
      <c r="R87" s="46"/>
      <c r="S87" s="512"/>
      <c r="V87" s="57"/>
      <c r="W87" s="53"/>
      <c r="X87" s="49"/>
      <c r="Y87" s="50"/>
      <c r="Z87" s="115"/>
      <c r="AA87" s="53"/>
      <c r="AB87" s="49"/>
      <c r="AC87" s="50"/>
      <c r="AD87" s="115"/>
      <c r="AE87" s="208">
        <f>ROUND((_15_同援日０．５*(1+_15・区３)),0)+ROUND((ROUND((_15_同援日０．５＿２．０*(1+_15・B夜間)),0)*(1+_15・区３)),0)</f>
        <v>787</v>
      </c>
      <c r="AF87" s="48"/>
    </row>
    <row r="88" spans="1:32" ht="16.5" customHeight="1" x14ac:dyDescent="0.15">
      <c r="A88" s="41">
        <v>15</v>
      </c>
      <c r="B88" s="41">
        <v>9640</v>
      </c>
      <c r="C88" s="74" t="s">
        <v>19637</v>
      </c>
      <c r="D88" s="72"/>
      <c r="F88" s="57"/>
      <c r="G88" s="72"/>
      <c r="I88" s="57"/>
      <c r="J88" s="122"/>
      <c r="K88" s="37"/>
      <c r="L88" s="37"/>
      <c r="M88" s="37"/>
      <c r="N88" s="37"/>
      <c r="O88" s="244"/>
      <c r="P88" s="521" t="s">
        <v>17556</v>
      </c>
      <c r="Q88" s="45" t="s">
        <v>398</v>
      </c>
      <c r="R88" s="46">
        <v>1</v>
      </c>
      <c r="S88" s="512"/>
      <c r="V88" s="57"/>
      <c r="W88" s="35"/>
      <c r="Z88" s="57"/>
      <c r="AA88" s="35"/>
      <c r="AD88" s="57"/>
      <c r="AE88" s="208">
        <f>ROUND((ROUND((_15_同援日０．５*_15・２人),0)*(1+_15・区３)),0)+ROUND((ROUND((ROUND((_15_同援日０．５＿２．０*_15・２人),0)*(1+_15・B夜間)),0)*(1+_15・区３)),0)</f>
        <v>787</v>
      </c>
      <c r="AF88" s="48"/>
    </row>
    <row r="89" spans="1:32" ht="16.5" customHeight="1" x14ac:dyDescent="0.15">
      <c r="A89" s="41">
        <v>15</v>
      </c>
      <c r="B89" s="41">
        <v>9641</v>
      </c>
      <c r="C89" s="74" t="s">
        <v>19638</v>
      </c>
      <c r="D89" s="72"/>
      <c r="F89" s="57"/>
      <c r="G89" s="72"/>
      <c r="I89" s="57"/>
      <c r="J89" s="114" t="s">
        <v>678</v>
      </c>
      <c r="K89" s="49"/>
      <c r="L89" s="49"/>
      <c r="M89" s="49"/>
      <c r="N89" s="49"/>
      <c r="O89" s="251"/>
      <c r="P89" s="163"/>
      <c r="Q89" s="45"/>
      <c r="R89" s="46"/>
      <c r="S89" s="512"/>
      <c r="V89" s="57"/>
      <c r="W89" s="35"/>
      <c r="Z89" s="57"/>
      <c r="AA89" s="72" t="s">
        <v>17570</v>
      </c>
      <c r="AD89" s="57"/>
      <c r="AE89" s="208">
        <f>ROUND((ROUND((_15_同援日０．５*_15・基礎２),0)*(1+_15・区３)),0)+ROUND((ROUND((ROUND((_15_同援日０．５＿２．０*_15・基礎２),0)*(1+_15・B夜間)),0)*(1+_15・区３)),0)</f>
        <v>709</v>
      </c>
      <c r="AF89" s="48"/>
    </row>
    <row r="90" spans="1:32" ht="16.5" customHeight="1" x14ac:dyDescent="0.15">
      <c r="A90" s="41">
        <v>15</v>
      </c>
      <c r="B90" s="41">
        <v>9642</v>
      </c>
      <c r="C90" s="74" t="s">
        <v>19639</v>
      </c>
      <c r="D90" s="72"/>
      <c r="F90" s="57"/>
      <c r="G90" s="72"/>
      <c r="I90" s="57"/>
      <c r="J90" s="122"/>
      <c r="K90" s="37"/>
      <c r="L90" s="37"/>
      <c r="M90" s="37"/>
      <c r="N90" s="37" t="s">
        <v>398</v>
      </c>
      <c r="O90" s="244">
        <v>0.9</v>
      </c>
      <c r="P90" s="521" t="s">
        <v>17556</v>
      </c>
      <c r="Q90" s="45" t="s">
        <v>398</v>
      </c>
      <c r="R90" s="46">
        <v>1</v>
      </c>
      <c r="S90" s="512"/>
      <c r="V90" s="57"/>
      <c r="W90" s="43"/>
      <c r="X90" s="37"/>
      <c r="Y90" s="38"/>
      <c r="Z90" s="79"/>
      <c r="AA90" s="72" t="s">
        <v>17572</v>
      </c>
      <c r="AD90" s="57"/>
      <c r="AE90" s="208">
        <f>ROUND((ROUND((ROUND((_15_同援日０．５*_15・基礎２),0)*_15・２人),0)*(1+_15・区３)),0)+ROUND((ROUND((ROUND((ROUND((_15_同援日０．５＿２．０*_15・基礎２),0)*_15・２人),0)*(1+_15・B夜間)),0)*(1+_15・区３)),0)</f>
        <v>709</v>
      </c>
      <c r="AF90" s="48"/>
    </row>
    <row r="91" spans="1:32" ht="16.5" customHeight="1" x14ac:dyDescent="0.15">
      <c r="A91" s="41">
        <v>15</v>
      </c>
      <c r="B91" s="41">
        <v>9643</v>
      </c>
      <c r="C91" s="74" t="s">
        <v>19640</v>
      </c>
      <c r="D91" s="72"/>
      <c r="F91" s="57"/>
      <c r="G91" s="72"/>
      <c r="I91" s="57"/>
      <c r="J91" s="114"/>
      <c r="K91" s="49"/>
      <c r="L91" s="49"/>
      <c r="M91" s="49"/>
      <c r="N91" s="49"/>
      <c r="O91" s="251"/>
      <c r="P91" s="163"/>
      <c r="Q91" s="45"/>
      <c r="R91" s="46"/>
      <c r="S91" s="512"/>
      <c r="V91" s="57"/>
      <c r="W91" s="116" t="s">
        <v>17562</v>
      </c>
      <c r="X91" s="49"/>
      <c r="Y91" s="50"/>
      <c r="Z91" s="115"/>
      <c r="AA91" s="35"/>
      <c r="AB91" s="12" t="s">
        <v>398</v>
      </c>
      <c r="AC91" s="13">
        <v>0.2</v>
      </c>
      <c r="AD91" s="57" t="s">
        <v>3575</v>
      </c>
      <c r="AE91" s="208">
        <f>ROUND((ROUND((_15_同援日０．５*(1+_15・盲ろう)),0)*(1+_15・区３)),0)+ROUND((ROUND((ROUND((_15_同援日０．５＿２．０*(1+_15・B夜間)),0)*(1+_15・盲ろう)),0)*(1+_15・区３)),0)</f>
        <v>986</v>
      </c>
      <c r="AF91" s="48"/>
    </row>
    <row r="92" spans="1:32" ht="16.5" customHeight="1" x14ac:dyDescent="0.15">
      <c r="A92" s="41">
        <v>15</v>
      </c>
      <c r="B92" s="41">
        <v>9644</v>
      </c>
      <c r="C92" s="74" t="s">
        <v>19641</v>
      </c>
      <c r="D92" s="72"/>
      <c r="F92" s="57"/>
      <c r="G92" s="72"/>
      <c r="I92" s="57"/>
      <c r="J92" s="122"/>
      <c r="K92" s="37"/>
      <c r="L92" s="37"/>
      <c r="M92" s="37"/>
      <c r="N92" s="37"/>
      <c r="O92" s="244"/>
      <c r="P92" s="521" t="s">
        <v>17556</v>
      </c>
      <c r="Q92" s="45" t="s">
        <v>398</v>
      </c>
      <c r="R92" s="46">
        <v>1</v>
      </c>
      <c r="S92" s="512"/>
      <c r="V92" s="57"/>
      <c r="W92" s="92" t="s">
        <v>17564</v>
      </c>
      <c r="Z92" s="57"/>
      <c r="AA92" s="35"/>
      <c r="AD92" s="57"/>
      <c r="AE92" s="208">
        <f>ROUND((ROUND((ROUND((_15_同援日０．５*_15・２人),0)*(1+_15・盲ろう)),0)*(1+_15・区３)),0)+ROUND((ROUND((ROUND((ROUND((_15_同援日０．５＿２．０*_15・２人),0)*(1+_15・B夜間)),0)*(1+_15・盲ろう)),0)*(1+_15・区３)),0)</f>
        <v>986</v>
      </c>
      <c r="AF92" s="48"/>
    </row>
    <row r="93" spans="1:32" ht="16.5" customHeight="1" x14ac:dyDescent="0.15">
      <c r="A93" s="41">
        <v>15</v>
      </c>
      <c r="B93" s="41">
        <v>9645</v>
      </c>
      <c r="C93" s="74" t="s">
        <v>19642</v>
      </c>
      <c r="D93" s="72"/>
      <c r="F93" s="57"/>
      <c r="G93" s="72"/>
      <c r="I93" s="57"/>
      <c r="J93" s="114" t="s">
        <v>678</v>
      </c>
      <c r="K93" s="49"/>
      <c r="L93" s="49"/>
      <c r="M93" s="49"/>
      <c r="N93" s="49"/>
      <c r="O93" s="251"/>
      <c r="P93" s="163"/>
      <c r="Q93" s="45"/>
      <c r="R93" s="46"/>
      <c r="S93" s="512"/>
      <c r="V93" s="57"/>
      <c r="W93" s="35"/>
      <c r="X93" s="12" t="s">
        <v>398</v>
      </c>
      <c r="Y93" s="13">
        <v>0.25</v>
      </c>
      <c r="Z93" s="57" t="s">
        <v>3575</v>
      </c>
      <c r="AA93" s="35"/>
      <c r="AD93" s="57"/>
      <c r="AE93" s="208">
        <f>ROUND((ROUND((ROUND((_15_同援日０．５*_15・基礎２),0)*(1+_15・盲ろう)),0)*(1+_15・区３)),0)+ROUND((ROUND((ROUND((ROUND((_15_同援日０．５＿２．０*_15・基礎２),0)*(1+_15・B夜間)),0)*(1+_15・盲ろう)),0)*(1+_15・区３)),0)</f>
        <v>887</v>
      </c>
      <c r="AF93" s="48"/>
    </row>
    <row r="94" spans="1:32" ht="16.5" customHeight="1" x14ac:dyDescent="0.15">
      <c r="A94" s="41">
        <v>15</v>
      </c>
      <c r="B94" s="41">
        <v>9646</v>
      </c>
      <c r="C94" s="74" t="s">
        <v>19643</v>
      </c>
      <c r="D94" s="72"/>
      <c r="F94" s="57"/>
      <c r="G94" s="72"/>
      <c r="I94" s="57"/>
      <c r="J94" s="122"/>
      <c r="K94" s="37"/>
      <c r="L94" s="37"/>
      <c r="M94" s="37"/>
      <c r="N94" s="37" t="s">
        <v>398</v>
      </c>
      <c r="O94" s="244">
        <v>0.9</v>
      </c>
      <c r="P94" s="521" t="s">
        <v>17556</v>
      </c>
      <c r="Q94" s="45" t="s">
        <v>398</v>
      </c>
      <c r="R94" s="46">
        <v>1</v>
      </c>
      <c r="S94" s="512"/>
      <c r="V94" s="57"/>
      <c r="W94" s="43"/>
      <c r="X94" s="37"/>
      <c r="Y94" s="38"/>
      <c r="Z94" s="79"/>
      <c r="AA94" s="43"/>
      <c r="AB94" s="37"/>
      <c r="AC94" s="38"/>
      <c r="AD94" s="79"/>
      <c r="AE94" s="208">
        <f>ROUND((ROUND((ROUND((ROUND((_15_同援日０．５*_15・基礎２),0)*_15・２人),0)*(1+_15・盲ろう)),0)*(1+_15・区３)),0)+ROUND((ROUND((ROUND((ROUND((ROUND((_15_同援日０．５＿２．０*_15・基礎２),0)*_15・２人),0)*(1+_15・B夜間)),0)*(1+_15・盲ろう)),0)*(1+_15・区３)),0)</f>
        <v>887</v>
      </c>
      <c r="AF94" s="48"/>
    </row>
    <row r="95" spans="1:32" ht="16.5" customHeight="1" x14ac:dyDescent="0.15">
      <c r="A95" s="41">
        <v>15</v>
      </c>
      <c r="B95" s="41">
        <v>9647</v>
      </c>
      <c r="C95" s="74" t="s">
        <v>19644</v>
      </c>
      <c r="D95" s="72"/>
      <c r="F95" s="57"/>
      <c r="G95" s="72"/>
      <c r="I95" s="57"/>
      <c r="J95" s="114"/>
      <c r="K95" s="49"/>
      <c r="L95" s="49"/>
      <c r="M95" s="49"/>
      <c r="N95" s="49"/>
      <c r="O95" s="251"/>
      <c r="P95" s="163"/>
      <c r="Q95" s="45"/>
      <c r="R95" s="46"/>
      <c r="S95" s="512"/>
      <c r="V95" s="57"/>
      <c r="W95" s="53"/>
      <c r="X95" s="49"/>
      <c r="Y95" s="50"/>
      <c r="Z95" s="115"/>
      <c r="AA95" s="53"/>
      <c r="AB95" s="49"/>
      <c r="AC95" s="50"/>
      <c r="AD95" s="115"/>
      <c r="AE95" s="208">
        <f>ROUND((_15_同援日０．５*(1+_15・区４)),0)+ROUND((ROUND((_15_同援日０．５＿２．０*(1+_15・B夜間)),0)*(1+_15・区４)),0)</f>
        <v>918</v>
      </c>
      <c r="AF95" s="48"/>
    </row>
    <row r="96" spans="1:32" ht="16.5" customHeight="1" x14ac:dyDescent="0.15">
      <c r="A96" s="41">
        <v>15</v>
      </c>
      <c r="B96" s="41">
        <v>9648</v>
      </c>
      <c r="C96" s="74" t="s">
        <v>19645</v>
      </c>
      <c r="D96" s="72"/>
      <c r="F96" s="57"/>
      <c r="G96" s="72"/>
      <c r="I96" s="57"/>
      <c r="J96" s="122"/>
      <c r="K96" s="37"/>
      <c r="L96" s="37"/>
      <c r="M96" s="37"/>
      <c r="N96" s="37"/>
      <c r="O96" s="244"/>
      <c r="P96" s="521" t="s">
        <v>17556</v>
      </c>
      <c r="Q96" s="45" t="s">
        <v>398</v>
      </c>
      <c r="R96" s="46">
        <v>1</v>
      </c>
      <c r="S96" s="512"/>
      <c r="V96" s="57"/>
      <c r="W96" s="35"/>
      <c r="Z96" s="57"/>
      <c r="AA96" s="35"/>
      <c r="AD96" s="57"/>
      <c r="AE96" s="208">
        <f>ROUND((ROUND((_15_同援日０．５*_15・２人),0)*(1+_15・区４)),0)+ROUND((ROUND((ROUND((_15_同援日０．５＿２．０*_15・２人),0)*(1+_15・B夜間)),0)*(1+_15・区４)),0)</f>
        <v>918</v>
      </c>
      <c r="AF96" s="48"/>
    </row>
    <row r="97" spans="1:32" ht="16.5" customHeight="1" x14ac:dyDescent="0.15">
      <c r="A97" s="41">
        <v>15</v>
      </c>
      <c r="B97" s="41">
        <v>9649</v>
      </c>
      <c r="C97" s="74" t="s">
        <v>19646</v>
      </c>
      <c r="D97" s="72"/>
      <c r="F97" s="57"/>
      <c r="G97" s="72"/>
      <c r="I97" s="57"/>
      <c r="J97" s="114" t="s">
        <v>678</v>
      </c>
      <c r="K97" s="49"/>
      <c r="L97" s="49"/>
      <c r="M97" s="49"/>
      <c r="N97" s="49"/>
      <c r="O97" s="251"/>
      <c r="P97" s="163"/>
      <c r="Q97" s="45"/>
      <c r="R97" s="46"/>
      <c r="S97" s="512"/>
      <c r="V97" s="57"/>
      <c r="W97" s="35"/>
      <c r="Z97" s="57"/>
      <c r="AA97" s="72" t="s">
        <v>17580</v>
      </c>
      <c r="AD97" s="57"/>
      <c r="AE97" s="208">
        <f>ROUND((ROUND((_15_同援日０．５*_15・基礎２),0)*(1+_15・区４)),0)+ROUND((ROUND((ROUND((_15_同援日０．５＿２．０*_15・基礎２),0)*(1+_15・B夜間)),0)*(1+_15・区４)),0)</f>
        <v>827</v>
      </c>
      <c r="AF97" s="48"/>
    </row>
    <row r="98" spans="1:32" ht="16.5" customHeight="1" x14ac:dyDescent="0.15">
      <c r="A98" s="41">
        <v>15</v>
      </c>
      <c r="B98" s="41">
        <v>9650</v>
      </c>
      <c r="C98" s="74" t="s">
        <v>19647</v>
      </c>
      <c r="D98" s="72"/>
      <c r="F98" s="57"/>
      <c r="G98" s="72"/>
      <c r="I98" s="57"/>
      <c r="J98" s="122"/>
      <c r="K98" s="37"/>
      <c r="L98" s="37"/>
      <c r="M98" s="37"/>
      <c r="N98" s="37" t="s">
        <v>398</v>
      </c>
      <c r="O98" s="244">
        <v>0.9</v>
      </c>
      <c r="P98" s="521" t="s">
        <v>17556</v>
      </c>
      <c r="Q98" s="45" t="s">
        <v>398</v>
      </c>
      <c r="R98" s="46">
        <v>1</v>
      </c>
      <c r="S98" s="512"/>
      <c r="V98" s="57"/>
      <c r="W98" s="43"/>
      <c r="X98" s="37"/>
      <c r="Y98" s="38"/>
      <c r="Z98" s="79"/>
      <c r="AA98" s="72" t="s">
        <v>17572</v>
      </c>
      <c r="AD98" s="57"/>
      <c r="AE98" s="208">
        <f>ROUND((ROUND((ROUND((_15_同援日０．５*_15・基礎２),0)*_15・２人),0)*(1+_15・区４)),0)+ROUND((ROUND((ROUND((ROUND((_15_同援日０．５＿２．０*_15・基礎２),0)*_15・２人),0)*(1+_15・B夜間)),0)*(1+_15・区４)),0)</f>
        <v>827</v>
      </c>
      <c r="AF98" s="48"/>
    </row>
    <row r="99" spans="1:32" ht="16.5" customHeight="1" x14ac:dyDescent="0.15">
      <c r="A99" s="41">
        <v>15</v>
      </c>
      <c r="B99" s="41">
        <v>9651</v>
      </c>
      <c r="C99" s="74" t="s">
        <v>19648</v>
      </c>
      <c r="D99" s="72"/>
      <c r="F99" s="57"/>
      <c r="G99" s="72"/>
      <c r="I99" s="57"/>
      <c r="J99" s="114"/>
      <c r="K99" s="49"/>
      <c r="L99" s="49"/>
      <c r="M99" s="49"/>
      <c r="N99" s="49"/>
      <c r="O99" s="251"/>
      <c r="P99" s="163"/>
      <c r="Q99" s="45"/>
      <c r="R99" s="46"/>
      <c r="S99" s="512"/>
      <c r="V99" s="57"/>
      <c r="W99" s="116" t="s">
        <v>17562</v>
      </c>
      <c r="X99" s="49"/>
      <c r="Y99" s="50"/>
      <c r="Z99" s="115"/>
      <c r="AA99" s="35"/>
      <c r="AB99" s="12" t="s">
        <v>398</v>
      </c>
      <c r="AC99" s="13">
        <v>0.4</v>
      </c>
      <c r="AD99" s="57" t="s">
        <v>3575</v>
      </c>
      <c r="AE99" s="208">
        <f>ROUND((ROUND((_15_同援日０．５*(1+_15・盲ろう)),0)*(1+_15・区４)),0)+ROUND((ROUND((ROUND((_15_同援日０．５＿２．０*(1+_15・B夜間)),0)*(1+_15・盲ろう)),0)*(1+_15・区４)),0)</f>
        <v>1149</v>
      </c>
      <c r="AF99" s="48"/>
    </row>
    <row r="100" spans="1:32" ht="16.5" customHeight="1" x14ac:dyDescent="0.15">
      <c r="A100" s="41">
        <v>15</v>
      </c>
      <c r="B100" s="41">
        <v>9652</v>
      </c>
      <c r="C100" s="74" t="s">
        <v>19649</v>
      </c>
      <c r="D100" s="72"/>
      <c r="F100" s="57"/>
      <c r="G100" s="72"/>
      <c r="I100" s="57"/>
      <c r="J100" s="122"/>
      <c r="K100" s="37"/>
      <c r="L100" s="37"/>
      <c r="M100" s="37"/>
      <c r="N100" s="37"/>
      <c r="O100" s="244"/>
      <c r="P100" s="521" t="s">
        <v>17556</v>
      </c>
      <c r="Q100" s="45" t="s">
        <v>398</v>
      </c>
      <c r="R100" s="46">
        <v>1</v>
      </c>
      <c r="S100" s="512"/>
      <c r="V100" s="57"/>
      <c r="W100" s="92" t="s">
        <v>17564</v>
      </c>
      <c r="Z100" s="57"/>
      <c r="AA100" s="35"/>
      <c r="AD100" s="57"/>
      <c r="AE100" s="208">
        <f>ROUND((ROUND((ROUND((_15_同援日０．５*_15・２人),0)*(1+_15・盲ろう)),0)*(1+_15・区４)),0)+ROUND((ROUND((ROUND((ROUND((_15_同援日０．５＿２．０*_15・２人),0)*(1+_15・B夜間)),0)*(1+_15・盲ろう)),0)*(1+_15・区４)),0)</f>
        <v>1149</v>
      </c>
      <c r="AF100" s="48"/>
    </row>
    <row r="101" spans="1:32" ht="16.5" customHeight="1" x14ac:dyDescent="0.15">
      <c r="A101" s="41">
        <v>15</v>
      </c>
      <c r="B101" s="41">
        <v>9653</v>
      </c>
      <c r="C101" s="74" t="s">
        <v>19650</v>
      </c>
      <c r="D101" s="72"/>
      <c r="F101" s="57"/>
      <c r="G101" s="72"/>
      <c r="I101" s="57"/>
      <c r="J101" s="114" t="s">
        <v>678</v>
      </c>
      <c r="K101" s="49"/>
      <c r="L101" s="49"/>
      <c r="M101" s="49"/>
      <c r="N101" s="49"/>
      <c r="O101" s="251"/>
      <c r="P101" s="163"/>
      <c r="Q101" s="45"/>
      <c r="R101" s="46"/>
      <c r="S101" s="512"/>
      <c r="V101" s="57"/>
      <c r="W101" s="35"/>
      <c r="X101" s="12" t="s">
        <v>398</v>
      </c>
      <c r="Y101" s="13">
        <v>0.25</v>
      </c>
      <c r="Z101" s="57" t="s">
        <v>3575</v>
      </c>
      <c r="AA101" s="35"/>
      <c r="AD101" s="57"/>
      <c r="AE101" s="208">
        <f>ROUND((ROUND((ROUND((_15_同援日０．５*_15・基礎２),0)*(1+_15・盲ろう)),0)*(1+_15・区４)),0)+ROUND((ROUND((ROUND((ROUND((_15_同援日０．５＿２．０*_15・基礎２),0)*(1+_15・B夜間)),0)*(1+_15・盲ろう)),0)*(1+_15・区４)),0)</f>
        <v>1035</v>
      </c>
      <c r="AF101" s="48"/>
    </row>
    <row r="102" spans="1:32" ht="16.5" customHeight="1" x14ac:dyDescent="0.15">
      <c r="A102" s="41">
        <v>15</v>
      </c>
      <c r="B102" s="41">
        <v>9654</v>
      </c>
      <c r="C102" s="74" t="s">
        <v>19651</v>
      </c>
      <c r="D102" s="122"/>
      <c r="E102" s="37"/>
      <c r="F102" s="79"/>
      <c r="G102" s="122"/>
      <c r="H102" s="37"/>
      <c r="I102" s="79"/>
      <c r="J102" s="122"/>
      <c r="K102" s="37"/>
      <c r="L102" s="37"/>
      <c r="M102" s="37"/>
      <c r="N102" s="37" t="s">
        <v>398</v>
      </c>
      <c r="O102" s="244">
        <v>0.9</v>
      </c>
      <c r="P102" s="521" t="s">
        <v>17556</v>
      </c>
      <c r="Q102" s="45" t="s">
        <v>398</v>
      </c>
      <c r="R102" s="46">
        <v>1</v>
      </c>
      <c r="S102" s="514"/>
      <c r="T102" s="37"/>
      <c r="U102" s="38"/>
      <c r="V102" s="79"/>
      <c r="W102" s="43"/>
      <c r="X102" s="37"/>
      <c r="Y102" s="38"/>
      <c r="Z102" s="79"/>
      <c r="AA102" s="43"/>
      <c r="AB102" s="37"/>
      <c r="AC102" s="38"/>
      <c r="AD102" s="79"/>
      <c r="AE102" s="208">
        <f>ROUND((ROUND((ROUND((ROUND((_15_同援日０．５*_15・基礎２),0)*_15・２人),0)*(1+_15・盲ろう)),0)*(1+_15・区４)),0)+ROUND((ROUND((ROUND((ROUND((ROUND((_15_同援日０．５＿２．０*_15・基礎２),0)*_15・２人),0)*(1+_15・B夜間)),0)*(1+_15・盲ろう)),0)*(1+_15・区４)),0)</f>
        <v>1035</v>
      </c>
      <c r="AF102" s="63"/>
    </row>
    <row r="103" spans="1:32" ht="16.5" customHeight="1" x14ac:dyDescent="0.15">
      <c r="A103" s="41">
        <v>15</v>
      </c>
      <c r="B103" s="41">
        <v>9655</v>
      </c>
      <c r="C103" s="74" t="s">
        <v>19652</v>
      </c>
      <c r="D103" s="114"/>
      <c r="E103" s="49"/>
      <c r="F103" s="115"/>
      <c r="G103" s="114" t="s">
        <v>19653</v>
      </c>
      <c r="H103" s="49"/>
      <c r="I103" s="115"/>
      <c r="J103" s="114"/>
      <c r="K103" s="49"/>
      <c r="L103" s="49"/>
      <c r="M103" s="49"/>
      <c r="N103" s="49"/>
      <c r="O103" s="251"/>
      <c r="P103" s="163"/>
      <c r="Q103" s="45"/>
      <c r="R103" s="46"/>
      <c r="S103" s="515"/>
      <c r="T103" s="49"/>
      <c r="U103" s="50"/>
      <c r="V103" s="115"/>
      <c r="W103" s="53"/>
      <c r="X103" s="49"/>
      <c r="Y103" s="50"/>
      <c r="Z103" s="115"/>
      <c r="AA103" s="53"/>
      <c r="AB103" s="49"/>
      <c r="AC103" s="50"/>
      <c r="AD103" s="115"/>
      <c r="AE103" s="208">
        <f>_15_同援日０．５+ROUND((_15_同援日０．５＿２．５*(1+_15・B夜間)),0)</f>
        <v>738</v>
      </c>
      <c r="AF103" s="64"/>
    </row>
    <row r="104" spans="1:32" ht="16.5" customHeight="1" x14ac:dyDescent="0.15">
      <c r="A104" s="41">
        <v>15</v>
      </c>
      <c r="B104" s="41">
        <v>9656</v>
      </c>
      <c r="C104" s="74" t="s">
        <v>19654</v>
      </c>
      <c r="D104" s="72"/>
      <c r="F104" s="57"/>
      <c r="G104" s="72" t="s">
        <v>17670</v>
      </c>
      <c r="I104" s="57"/>
      <c r="J104" s="122"/>
      <c r="K104" s="37"/>
      <c r="L104" s="37"/>
      <c r="M104" s="37"/>
      <c r="N104" s="37"/>
      <c r="O104" s="244"/>
      <c r="P104" s="521" t="s">
        <v>17556</v>
      </c>
      <c r="Q104" s="45" t="s">
        <v>398</v>
      </c>
      <c r="R104" s="46">
        <v>1</v>
      </c>
      <c r="S104" s="512"/>
      <c r="V104" s="57"/>
      <c r="W104" s="35"/>
      <c r="Z104" s="57"/>
      <c r="AA104" s="35"/>
      <c r="AD104" s="57"/>
      <c r="AE104" s="208">
        <f>ROUND((_15_同援日０．５*_15・２人),0)+ROUND((ROUND((_15_同援日０．５＿２．５*_15・２人),0)*(1+_15・B夜間)),0)</f>
        <v>738</v>
      </c>
      <c r="AF104" s="48"/>
    </row>
    <row r="105" spans="1:32" ht="16.5" customHeight="1" x14ac:dyDescent="0.15">
      <c r="A105" s="41">
        <v>15</v>
      </c>
      <c r="B105" s="41">
        <v>9657</v>
      </c>
      <c r="C105" s="74" t="s">
        <v>19655</v>
      </c>
      <c r="D105" s="72"/>
      <c r="F105" s="57"/>
      <c r="G105" s="72" t="s">
        <v>17672</v>
      </c>
      <c r="I105" s="57"/>
      <c r="J105" s="114" t="s">
        <v>678</v>
      </c>
      <c r="K105" s="49"/>
      <c r="L105" s="49"/>
      <c r="M105" s="49"/>
      <c r="N105" s="49"/>
      <c r="O105" s="251"/>
      <c r="P105" s="163"/>
      <c r="Q105" s="45"/>
      <c r="R105" s="46"/>
      <c r="S105" s="512"/>
      <c r="V105" s="57"/>
      <c r="W105" s="35"/>
      <c r="Z105" s="57"/>
      <c r="AA105" s="35"/>
      <c r="AD105" s="57"/>
      <c r="AE105" s="208">
        <f>ROUND((_15_同援日０．５*_15・基礎２),0)+ROUND((ROUND((_15_同援日０．５＿２．５*_15・基礎２),0)*(1+_15・B夜間)),0)</f>
        <v>664</v>
      </c>
      <c r="AF105" s="48"/>
    </row>
    <row r="106" spans="1:32" ht="16.5" customHeight="1" x14ac:dyDescent="0.15">
      <c r="A106" s="41">
        <v>15</v>
      </c>
      <c r="B106" s="41">
        <v>9658</v>
      </c>
      <c r="C106" s="74" t="s">
        <v>19656</v>
      </c>
      <c r="D106" s="72"/>
      <c r="F106" s="57"/>
      <c r="G106" s="72"/>
      <c r="H106" s="168">
        <f>_15_同援日０．５＿２．５</f>
        <v>438</v>
      </c>
      <c r="I106" s="57" t="s">
        <v>392</v>
      </c>
      <c r="J106" s="122"/>
      <c r="K106" s="37"/>
      <c r="L106" s="37"/>
      <c r="M106" s="37"/>
      <c r="N106" s="37" t="s">
        <v>398</v>
      </c>
      <c r="O106" s="244">
        <v>0.9</v>
      </c>
      <c r="P106" s="521" t="s">
        <v>17556</v>
      </c>
      <c r="Q106" s="45" t="s">
        <v>398</v>
      </c>
      <c r="R106" s="46">
        <v>1</v>
      </c>
      <c r="S106" s="512"/>
      <c r="V106" s="57"/>
      <c r="W106" s="43"/>
      <c r="X106" s="37"/>
      <c r="Y106" s="38"/>
      <c r="Z106" s="79"/>
      <c r="AA106" s="35"/>
      <c r="AD106" s="57"/>
      <c r="AE106" s="208">
        <f>ROUND((ROUND((_15_同援日０．５*_15・基礎２),0)*_15・２人),0)+ROUND((ROUND((ROUND((_15_同援日０．５＿２．５*_15・基礎２),0)*_15・２人),0)*(1+_15・B夜間)),0)</f>
        <v>664</v>
      </c>
      <c r="AF106" s="48"/>
    </row>
    <row r="107" spans="1:32" ht="16.5" customHeight="1" x14ac:dyDescent="0.15">
      <c r="A107" s="41">
        <v>15</v>
      </c>
      <c r="B107" s="41">
        <v>9659</v>
      </c>
      <c r="C107" s="74" t="s">
        <v>19657</v>
      </c>
      <c r="D107" s="72"/>
      <c r="F107" s="57"/>
      <c r="G107" s="72"/>
      <c r="I107" s="57"/>
      <c r="J107" s="114"/>
      <c r="K107" s="49"/>
      <c r="L107" s="49"/>
      <c r="M107" s="49"/>
      <c r="N107" s="49"/>
      <c r="O107" s="251"/>
      <c r="P107" s="163"/>
      <c r="Q107" s="45"/>
      <c r="R107" s="46"/>
      <c r="S107" s="512"/>
      <c r="V107" s="57"/>
      <c r="W107" s="116" t="s">
        <v>17562</v>
      </c>
      <c r="X107" s="49"/>
      <c r="Y107" s="50"/>
      <c r="Z107" s="115"/>
      <c r="AA107" s="35"/>
      <c r="AD107" s="57"/>
      <c r="AE107" s="208">
        <f>ROUND((_15_同援日０．５*(1+_15・盲ろう)),0)+ROUND((ROUND((_15_同援日０．５＿２．５*(1+_15・B夜間)),0)*(1+_15・盲ろう)),0)</f>
        <v>923</v>
      </c>
      <c r="AF107" s="48"/>
    </row>
    <row r="108" spans="1:32" ht="16.5" customHeight="1" x14ac:dyDescent="0.15">
      <c r="A108" s="41">
        <v>15</v>
      </c>
      <c r="B108" s="41">
        <v>9660</v>
      </c>
      <c r="C108" s="74" t="s">
        <v>19658</v>
      </c>
      <c r="D108" s="72"/>
      <c r="F108" s="57"/>
      <c r="G108" s="72"/>
      <c r="I108" s="57"/>
      <c r="J108" s="122"/>
      <c r="K108" s="37"/>
      <c r="L108" s="37"/>
      <c r="M108" s="37"/>
      <c r="N108" s="37"/>
      <c r="O108" s="244"/>
      <c r="P108" s="521" t="s">
        <v>17556</v>
      </c>
      <c r="Q108" s="45" t="s">
        <v>398</v>
      </c>
      <c r="R108" s="46">
        <v>1</v>
      </c>
      <c r="S108" s="512"/>
      <c r="V108" s="57"/>
      <c r="W108" s="92" t="s">
        <v>17564</v>
      </c>
      <c r="Z108" s="57"/>
      <c r="AA108" s="35"/>
      <c r="AD108" s="57"/>
      <c r="AE108" s="208">
        <f>ROUND((ROUND((_15_同援日０．５*_15・２人),0)*(1+_15・盲ろう)),0)+ROUND((ROUND((ROUND((_15_同援日０．５＿２．５*_15・２人),0)*(1+_15・B夜間)),0)*(1+_15・盲ろう)),0)</f>
        <v>923</v>
      </c>
      <c r="AF108" s="48"/>
    </row>
    <row r="109" spans="1:32" ht="16.5" customHeight="1" x14ac:dyDescent="0.15">
      <c r="A109" s="41">
        <v>15</v>
      </c>
      <c r="B109" s="41">
        <v>9661</v>
      </c>
      <c r="C109" s="74" t="s">
        <v>19659</v>
      </c>
      <c r="D109" s="72"/>
      <c r="F109" s="57"/>
      <c r="G109" s="72"/>
      <c r="I109" s="57"/>
      <c r="J109" s="114" t="s">
        <v>678</v>
      </c>
      <c r="K109" s="49"/>
      <c r="L109" s="49"/>
      <c r="M109" s="49"/>
      <c r="N109" s="49"/>
      <c r="O109" s="251"/>
      <c r="P109" s="163"/>
      <c r="Q109" s="45"/>
      <c r="R109" s="46"/>
      <c r="S109" s="512"/>
      <c r="V109" s="57"/>
      <c r="W109" s="35"/>
      <c r="X109" s="12" t="s">
        <v>398</v>
      </c>
      <c r="Y109" s="13">
        <v>0.25</v>
      </c>
      <c r="Z109" s="57" t="s">
        <v>3575</v>
      </c>
      <c r="AA109" s="35"/>
      <c r="AD109" s="57"/>
      <c r="AE109" s="208">
        <f>ROUND((ROUND((_15_同援日０．５*_15・基礎２),0)*(1+_15・盲ろう)),0)+ROUND((ROUND((ROUND((_15_同援日０．５＿２．５*_15・基礎２),0)*(1+_15・B夜間)),0)*(1+_15・盲ろう)),0)</f>
        <v>830</v>
      </c>
      <c r="AF109" s="48"/>
    </row>
    <row r="110" spans="1:32" ht="16.5" customHeight="1" x14ac:dyDescent="0.15">
      <c r="A110" s="41">
        <v>15</v>
      </c>
      <c r="B110" s="41">
        <v>9662</v>
      </c>
      <c r="C110" s="74" t="s">
        <v>19660</v>
      </c>
      <c r="D110" s="72"/>
      <c r="F110" s="57"/>
      <c r="G110" s="72"/>
      <c r="I110" s="57"/>
      <c r="J110" s="122"/>
      <c r="K110" s="37"/>
      <c r="L110" s="37"/>
      <c r="M110" s="37"/>
      <c r="N110" s="37" t="s">
        <v>398</v>
      </c>
      <c r="O110" s="244">
        <v>0.9</v>
      </c>
      <c r="P110" s="521" t="s">
        <v>17556</v>
      </c>
      <c r="Q110" s="45" t="s">
        <v>398</v>
      </c>
      <c r="R110" s="46">
        <v>1</v>
      </c>
      <c r="S110" s="512"/>
      <c r="V110" s="57"/>
      <c r="W110" s="43"/>
      <c r="X110" s="37"/>
      <c r="Y110" s="38"/>
      <c r="Z110" s="79"/>
      <c r="AA110" s="43"/>
      <c r="AB110" s="37"/>
      <c r="AC110" s="38"/>
      <c r="AD110" s="79"/>
      <c r="AE110" s="208">
        <f>ROUND((ROUND((ROUND((_15_同援日０．５*_15・基礎２),0)*_15・２人),0)*(1+_15・盲ろう)),0)+ROUND((ROUND((ROUND((ROUND((_15_同援日０．５＿２．５*_15・基礎２),0)*_15・２人),0)*(1+_15・B夜間)),0)*(1+_15・盲ろう)),0)</f>
        <v>830</v>
      </c>
      <c r="AF110" s="48"/>
    </row>
    <row r="111" spans="1:32" ht="16.5" customHeight="1" x14ac:dyDescent="0.15">
      <c r="A111" s="41">
        <v>15</v>
      </c>
      <c r="B111" s="41">
        <v>9663</v>
      </c>
      <c r="C111" s="74" t="s">
        <v>19661</v>
      </c>
      <c r="D111" s="72"/>
      <c r="F111" s="57"/>
      <c r="G111" s="72"/>
      <c r="I111" s="57"/>
      <c r="J111" s="114"/>
      <c r="K111" s="49"/>
      <c r="L111" s="49"/>
      <c r="M111" s="49"/>
      <c r="N111" s="49"/>
      <c r="O111" s="251"/>
      <c r="P111" s="163"/>
      <c r="Q111" s="45"/>
      <c r="R111" s="46"/>
      <c r="S111" s="512"/>
      <c r="V111" s="57"/>
      <c r="W111" s="53"/>
      <c r="X111" s="49"/>
      <c r="Y111" s="50"/>
      <c r="Z111" s="115"/>
      <c r="AA111" s="53"/>
      <c r="AB111" s="49"/>
      <c r="AC111" s="50"/>
      <c r="AD111" s="115"/>
      <c r="AE111" s="208">
        <f>ROUND((_15_同援日０．５*(1+_15・区３)),0)+ROUND((ROUND((_15_同援日０．５＿２．５*(1+_15・B夜間)),0)*(1+_15・区３)),0)</f>
        <v>886</v>
      </c>
      <c r="AF111" s="48"/>
    </row>
    <row r="112" spans="1:32" ht="16.5" customHeight="1" x14ac:dyDescent="0.15">
      <c r="A112" s="41">
        <v>15</v>
      </c>
      <c r="B112" s="41">
        <v>9664</v>
      </c>
      <c r="C112" s="74" t="s">
        <v>19662</v>
      </c>
      <c r="D112" s="72"/>
      <c r="F112" s="57"/>
      <c r="G112" s="72"/>
      <c r="I112" s="57"/>
      <c r="J112" s="122"/>
      <c r="K112" s="37"/>
      <c r="L112" s="37"/>
      <c r="M112" s="37"/>
      <c r="N112" s="37"/>
      <c r="O112" s="244"/>
      <c r="P112" s="521" t="s">
        <v>17556</v>
      </c>
      <c r="Q112" s="45" t="s">
        <v>398</v>
      </c>
      <c r="R112" s="46">
        <v>1</v>
      </c>
      <c r="S112" s="512"/>
      <c r="V112" s="57"/>
      <c r="W112" s="35"/>
      <c r="Z112" s="57"/>
      <c r="AA112" s="35"/>
      <c r="AD112" s="57"/>
      <c r="AE112" s="208">
        <f>ROUND((ROUND((_15_同援日０．５*_15・２人),0)*(1+_15・区３)),0)+ROUND((ROUND((ROUND((_15_同援日０．５＿２．５*_15・２人),0)*(1+_15・B夜間)),0)*(1+_15・区３)),0)</f>
        <v>886</v>
      </c>
      <c r="AF112" s="48"/>
    </row>
    <row r="113" spans="1:32" ht="16.5" customHeight="1" x14ac:dyDescent="0.15">
      <c r="A113" s="41">
        <v>15</v>
      </c>
      <c r="B113" s="41">
        <v>9665</v>
      </c>
      <c r="C113" s="74" t="s">
        <v>19663</v>
      </c>
      <c r="D113" s="72"/>
      <c r="F113" s="57"/>
      <c r="G113" s="72"/>
      <c r="I113" s="57"/>
      <c r="J113" s="114" t="s">
        <v>678</v>
      </c>
      <c r="K113" s="49"/>
      <c r="L113" s="49"/>
      <c r="M113" s="49"/>
      <c r="N113" s="49"/>
      <c r="O113" s="251"/>
      <c r="P113" s="163"/>
      <c r="Q113" s="45"/>
      <c r="R113" s="46"/>
      <c r="S113" s="512"/>
      <c r="V113" s="57"/>
      <c r="W113" s="35"/>
      <c r="Z113" s="57"/>
      <c r="AA113" s="72" t="s">
        <v>17570</v>
      </c>
      <c r="AD113" s="57"/>
      <c r="AE113" s="208">
        <f>ROUND((ROUND((_15_同援日０．５*_15・基礎２),0)*(1+_15・区３)),0)+ROUND((ROUND((ROUND((_15_同援日０．５＿２．５*_15・基礎２),0)*(1+_15・B夜間)),0)*(1+_15・区３)),0)</f>
        <v>797</v>
      </c>
      <c r="AF113" s="48"/>
    </row>
    <row r="114" spans="1:32" ht="16.5" customHeight="1" x14ac:dyDescent="0.15">
      <c r="A114" s="41">
        <v>15</v>
      </c>
      <c r="B114" s="41">
        <v>9666</v>
      </c>
      <c r="C114" s="74" t="s">
        <v>19664</v>
      </c>
      <c r="D114" s="72"/>
      <c r="F114" s="57"/>
      <c r="G114" s="72"/>
      <c r="I114" s="57"/>
      <c r="J114" s="122"/>
      <c r="K114" s="37"/>
      <c r="L114" s="37"/>
      <c r="M114" s="37"/>
      <c r="N114" s="37" t="s">
        <v>398</v>
      </c>
      <c r="O114" s="244">
        <v>0.9</v>
      </c>
      <c r="P114" s="521" t="s">
        <v>17556</v>
      </c>
      <c r="Q114" s="45" t="s">
        <v>398</v>
      </c>
      <c r="R114" s="46">
        <v>1</v>
      </c>
      <c r="S114" s="512"/>
      <c r="V114" s="57"/>
      <c r="W114" s="43"/>
      <c r="X114" s="37"/>
      <c r="Y114" s="38"/>
      <c r="Z114" s="79"/>
      <c r="AA114" s="72" t="s">
        <v>17572</v>
      </c>
      <c r="AD114" s="57"/>
      <c r="AE114" s="208">
        <f>ROUND((ROUND((ROUND((_15_同援日０．５*_15・基礎２),0)*_15・２人),0)*(1+_15・区３)),0)+ROUND((ROUND((ROUND((ROUND((_15_同援日０．５＿２．５*_15・基礎２),0)*_15・２人),0)*(1+_15・B夜間)),0)*(1+_15・区３)),0)</f>
        <v>797</v>
      </c>
      <c r="AF114" s="48"/>
    </row>
    <row r="115" spans="1:32" ht="16.5" customHeight="1" x14ac:dyDescent="0.15">
      <c r="A115" s="41">
        <v>15</v>
      </c>
      <c r="B115" s="41">
        <v>9667</v>
      </c>
      <c r="C115" s="74" t="s">
        <v>19665</v>
      </c>
      <c r="D115" s="72"/>
      <c r="F115" s="57"/>
      <c r="G115" s="72"/>
      <c r="I115" s="57"/>
      <c r="J115" s="114"/>
      <c r="K115" s="49"/>
      <c r="L115" s="49"/>
      <c r="M115" s="49"/>
      <c r="N115" s="49"/>
      <c r="O115" s="251"/>
      <c r="P115" s="163"/>
      <c r="Q115" s="45"/>
      <c r="R115" s="46"/>
      <c r="S115" s="512"/>
      <c r="V115" s="57"/>
      <c r="W115" s="116" t="s">
        <v>17562</v>
      </c>
      <c r="X115" s="49"/>
      <c r="Y115" s="50"/>
      <c r="Z115" s="115"/>
      <c r="AA115" s="35"/>
      <c r="AB115" s="12" t="s">
        <v>398</v>
      </c>
      <c r="AC115" s="13">
        <v>0.2</v>
      </c>
      <c r="AD115" s="57" t="s">
        <v>3575</v>
      </c>
      <c r="AE115" s="208">
        <f>ROUND((ROUND((_15_同援日０．５*(1+_15・盲ろう)),0)*(1+_15・区３)),0)+ROUND((ROUND((ROUND((_15_同援日０．５＿２．５*(1+_15・B夜間)),0)*(1+_15・盲ろう)),0)*(1+_15・区３)),0)</f>
        <v>1108</v>
      </c>
      <c r="AF115" s="48"/>
    </row>
    <row r="116" spans="1:32" ht="16.5" customHeight="1" x14ac:dyDescent="0.15">
      <c r="A116" s="41">
        <v>15</v>
      </c>
      <c r="B116" s="41">
        <v>9668</v>
      </c>
      <c r="C116" s="74" t="s">
        <v>19666</v>
      </c>
      <c r="D116" s="72"/>
      <c r="F116" s="57"/>
      <c r="G116" s="72"/>
      <c r="I116" s="57"/>
      <c r="J116" s="122"/>
      <c r="K116" s="37"/>
      <c r="L116" s="37"/>
      <c r="M116" s="37"/>
      <c r="N116" s="37"/>
      <c r="O116" s="244"/>
      <c r="P116" s="521" t="s">
        <v>17556</v>
      </c>
      <c r="Q116" s="45" t="s">
        <v>398</v>
      </c>
      <c r="R116" s="46">
        <v>1</v>
      </c>
      <c r="S116" s="512"/>
      <c r="V116" s="57"/>
      <c r="W116" s="92" t="s">
        <v>17564</v>
      </c>
      <c r="Z116" s="57"/>
      <c r="AA116" s="35"/>
      <c r="AD116" s="57"/>
      <c r="AE116" s="208">
        <f>ROUND((ROUND((ROUND((_15_同援日０．５*_15・２人),0)*(1+_15・盲ろう)),0)*(1+_15・区３)),0)+ROUND((ROUND((ROUND((ROUND((_15_同援日０．５＿２．５*_15・２人),0)*(1+_15・B夜間)),0)*(1+_15・盲ろう)),0)*(1+_15・区３)),0)</f>
        <v>1108</v>
      </c>
      <c r="AF116" s="48"/>
    </row>
    <row r="117" spans="1:32" ht="16.5" customHeight="1" x14ac:dyDescent="0.15">
      <c r="A117" s="41">
        <v>15</v>
      </c>
      <c r="B117" s="41">
        <v>9669</v>
      </c>
      <c r="C117" s="74" t="s">
        <v>19667</v>
      </c>
      <c r="D117" s="72"/>
      <c r="F117" s="57"/>
      <c r="G117" s="72"/>
      <c r="I117" s="57"/>
      <c r="J117" s="114" t="s">
        <v>678</v>
      </c>
      <c r="K117" s="49"/>
      <c r="L117" s="49"/>
      <c r="M117" s="49"/>
      <c r="N117" s="49"/>
      <c r="O117" s="251"/>
      <c r="P117" s="163"/>
      <c r="Q117" s="45"/>
      <c r="R117" s="46"/>
      <c r="S117" s="512"/>
      <c r="V117" s="57"/>
      <c r="W117" s="35"/>
      <c r="X117" s="12" t="s">
        <v>398</v>
      </c>
      <c r="Y117" s="13">
        <v>0.25</v>
      </c>
      <c r="Z117" s="57" t="s">
        <v>3575</v>
      </c>
      <c r="AA117" s="35"/>
      <c r="AD117" s="57"/>
      <c r="AE117" s="208">
        <f>ROUND((ROUND((ROUND((_15_同援日０．５*_15・基礎２),0)*(1+_15・盲ろう)),0)*(1+_15・区３)),0)+ROUND((ROUND((ROUND((ROUND((_15_同援日０．５＿２．５*_15・基礎２),0)*(1+_15・B夜間)),0)*(1+_15・盲ろう)),0)*(1+_15・区３)),0)</f>
        <v>996</v>
      </c>
      <c r="AF117" s="48"/>
    </row>
    <row r="118" spans="1:32" ht="16.5" customHeight="1" x14ac:dyDescent="0.15">
      <c r="A118" s="41">
        <v>15</v>
      </c>
      <c r="B118" s="41">
        <v>9670</v>
      </c>
      <c r="C118" s="74" t="s">
        <v>19668</v>
      </c>
      <c r="D118" s="72"/>
      <c r="F118" s="57"/>
      <c r="G118" s="72"/>
      <c r="I118" s="57"/>
      <c r="J118" s="122"/>
      <c r="K118" s="37"/>
      <c r="L118" s="37"/>
      <c r="M118" s="37"/>
      <c r="N118" s="37" t="s">
        <v>398</v>
      </c>
      <c r="O118" s="244">
        <v>0.9</v>
      </c>
      <c r="P118" s="521" t="s">
        <v>17556</v>
      </c>
      <c r="Q118" s="45" t="s">
        <v>398</v>
      </c>
      <c r="R118" s="46">
        <v>1</v>
      </c>
      <c r="S118" s="512"/>
      <c r="V118" s="57"/>
      <c r="W118" s="43"/>
      <c r="X118" s="37"/>
      <c r="Y118" s="38"/>
      <c r="Z118" s="79"/>
      <c r="AA118" s="43"/>
      <c r="AB118" s="37"/>
      <c r="AC118" s="38"/>
      <c r="AD118" s="79"/>
      <c r="AE118" s="208">
        <f>ROUND((ROUND((ROUND((ROUND((_15_同援日０．５*_15・基礎２),0)*_15・２人),0)*(1+_15・盲ろう)),0)*(1+_15・区３)),0)+ROUND((ROUND((ROUND((ROUND((ROUND((_15_同援日０．５＿２．５*_15・基礎２),0)*_15・２人),0)*(1+_15・B夜間)),0)*(1+_15・盲ろう)),0)*(1+_15・区３)),0)</f>
        <v>996</v>
      </c>
      <c r="AF118" s="48"/>
    </row>
    <row r="119" spans="1:32" ht="16.5" customHeight="1" x14ac:dyDescent="0.15">
      <c r="A119" s="41">
        <v>15</v>
      </c>
      <c r="B119" s="41">
        <v>9671</v>
      </c>
      <c r="C119" s="74" t="s">
        <v>19669</v>
      </c>
      <c r="D119" s="72"/>
      <c r="F119" s="57"/>
      <c r="G119" s="72"/>
      <c r="I119" s="57"/>
      <c r="J119" s="114"/>
      <c r="K119" s="49"/>
      <c r="L119" s="49"/>
      <c r="M119" s="49"/>
      <c r="N119" s="49"/>
      <c r="O119" s="251"/>
      <c r="P119" s="163"/>
      <c r="Q119" s="45"/>
      <c r="R119" s="46"/>
      <c r="S119" s="512"/>
      <c r="V119" s="57"/>
      <c r="W119" s="53"/>
      <c r="X119" s="49"/>
      <c r="Y119" s="50"/>
      <c r="Z119" s="115"/>
      <c r="AA119" s="53"/>
      <c r="AB119" s="49"/>
      <c r="AC119" s="50"/>
      <c r="AD119" s="115"/>
      <c r="AE119" s="208">
        <f>ROUND((_15_同援日０．５*(1+_15・区４)),0)+ROUND((ROUND((_15_同援日０．５＿２．５*(1+_15・B夜間)),0)*(1+_15・区４)),0)</f>
        <v>1033</v>
      </c>
      <c r="AF119" s="48"/>
    </row>
    <row r="120" spans="1:32" ht="16.5" customHeight="1" x14ac:dyDescent="0.15">
      <c r="A120" s="41">
        <v>15</v>
      </c>
      <c r="B120" s="41">
        <v>9672</v>
      </c>
      <c r="C120" s="74" t="s">
        <v>19670</v>
      </c>
      <c r="D120" s="72"/>
      <c r="F120" s="57"/>
      <c r="G120" s="72"/>
      <c r="I120" s="57"/>
      <c r="J120" s="122"/>
      <c r="K120" s="37"/>
      <c r="L120" s="37"/>
      <c r="M120" s="37"/>
      <c r="N120" s="37"/>
      <c r="O120" s="244"/>
      <c r="P120" s="521" t="s">
        <v>17556</v>
      </c>
      <c r="Q120" s="45" t="s">
        <v>398</v>
      </c>
      <c r="R120" s="46">
        <v>1</v>
      </c>
      <c r="S120" s="512"/>
      <c r="V120" s="57"/>
      <c r="W120" s="35"/>
      <c r="Z120" s="57"/>
      <c r="AA120" s="35"/>
      <c r="AD120" s="57"/>
      <c r="AE120" s="208">
        <f>ROUND((ROUND((_15_同援日０．５*_15・２人),0)*(1+_15・区４)),0)+ROUND((ROUND((ROUND((_15_同援日０．５＿２．５*_15・２人),0)*(1+_15・B夜間)),0)*(1+_15・区４)),0)</f>
        <v>1033</v>
      </c>
      <c r="AF120" s="48"/>
    </row>
    <row r="121" spans="1:32" ht="16.5" customHeight="1" x14ac:dyDescent="0.15">
      <c r="A121" s="41">
        <v>15</v>
      </c>
      <c r="B121" s="41">
        <v>9673</v>
      </c>
      <c r="C121" s="74" t="s">
        <v>19671</v>
      </c>
      <c r="D121" s="72"/>
      <c r="F121" s="57"/>
      <c r="G121" s="72"/>
      <c r="I121" s="57"/>
      <c r="J121" s="114" t="s">
        <v>678</v>
      </c>
      <c r="K121" s="49"/>
      <c r="L121" s="49"/>
      <c r="M121" s="49"/>
      <c r="N121" s="49"/>
      <c r="O121" s="251"/>
      <c r="P121" s="163"/>
      <c r="Q121" s="45"/>
      <c r="R121" s="46"/>
      <c r="S121" s="512"/>
      <c r="V121" s="57"/>
      <c r="W121" s="35"/>
      <c r="Z121" s="57"/>
      <c r="AA121" s="72" t="s">
        <v>17580</v>
      </c>
      <c r="AD121" s="57"/>
      <c r="AE121" s="208">
        <f>ROUND((ROUND((_15_同援日０．５*_15・基礎２),0)*(1+_15・区４)),0)+ROUND((ROUND((ROUND((_15_同援日０．５＿２．５*_15・基礎２),0)*(1+_15・B夜間)),0)*(1+_15・区４)),0)</f>
        <v>929</v>
      </c>
      <c r="AF121" s="48"/>
    </row>
    <row r="122" spans="1:32" ht="16.5" customHeight="1" x14ac:dyDescent="0.15">
      <c r="A122" s="41">
        <v>15</v>
      </c>
      <c r="B122" s="41">
        <v>9674</v>
      </c>
      <c r="C122" s="74" t="s">
        <v>19672</v>
      </c>
      <c r="D122" s="72"/>
      <c r="F122" s="57"/>
      <c r="G122" s="72"/>
      <c r="I122" s="57"/>
      <c r="J122" s="122"/>
      <c r="K122" s="37"/>
      <c r="L122" s="37"/>
      <c r="M122" s="37"/>
      <c r="N122" s="37" t="s">
        <v>398</v>
      </c>
      <c r="O122" s="244">
        <v>0.9</v>
      </c>
      <c r="P122" s="521" t="s">
        <v>17556</v>
      </c>
      <c r="Q122" s="45" t="s">
        <v>398</v>
      </c>
      <c r="R122" s="46">
        <v>1</v>
      </c>
      <c r="S122" s="512"/>
      <c r="V122" s="57"/>
      <c r="W122" s="43"/>
      <c r="X122" s="37"/>
      <c r="Y122" s="38"/>
      <c r="Z122" s="79"/>
      <c r="AA122" s="72" t="s">
        <v>17572</v>
      </c>
      <c r="AD122" s="57"/>
      <c r="AE122" s="208">
        <f>ROUND((ROUND((ROUND((_15_同援日０．５*_15・基礎２),0)*_15・２人),0)*(1+_15・区４)),0)+ROUND((ROUND((ROUND((ROUND((_15_同援日０．５＿２．５*_15・基礎２),0)*_15・２人),0)*(1+_15・B夜間)),0)*(1+_15・区４)),0)</f>
        <v>929</v>
      </c>
      <c r="AF122" s="48"/>
    </row>
    <row r="123" spans="1:32" ht="16.5" customHeight="1" x14ac:dyDescent="0.15">
      <c r="A123" s="41">
        <v>15</v>
      </c>
      <c r="B123" s="41">
        <v>9675</v>
      </c>
      <c r="C123" s="74" t="s">
        <v>19673</v>
      </c>
      <c r="D123" s="72"/>
      <c r="F123" s="57"/>
      <c r="G123" s="72"/>
      <c r="I123" s="57"/>
      <c r="J123" s="114"/>
      <c r="K123" s="49"/>
      <c r="L123" s="49"/>
      <c r="M123" s="49"/>
      <c r="N123" s="49"/>
      <c r="O123" s="251"/>
      <c r="P123" s="163"/>
      <c r="Q123" s="45"/>
      <c r="R123" s="46"/>
      <c r="S123" s="512"/>
      <c r="V123" s="57"/>
      <c r="W123" s="116" t="s">
        <v>17562</v>
      </c>
      <c r="X123" s="49"/>
      <c r="Y123" s="50"/>
      <c r="Z123" s="115"/>
      <c r="AA123" s="35"/>
      <c r="AB123" s="12" t="s">
        <v>398</v>
      </c>
      <c r="AC123" s="13">
        <v>0.4</v>
      </c>
      <c r="AD123" s="57" t="s">
        <v>3575</v>
      </c>
      <c r="AE123" s="208">
        <f>ROUND((ROUND((_15_同援日０．５*(1+_15・盲ろう)),0)*(1+_15・区４)),0)+ROUND((ROUND((ROUND((_15_同援日０．５＿２．５*(1+_15・B夜間)),0)*(1+_15・盲ろう)),0)*(1+_15・区４)),0)</f>
        <v>1292</v>
      </c>
      <c r="AF123" s="48"/>
    </row>
    <row r="124" spans="1:32" ht="16.5" customHeight="1" x14ac:dyDescent="0.15">
      <c r="A124" s="41">
        <v>15</v>
      </c>
      <c r="B124" s="41">
        <v>9676</v>
      </c>
      <c r="C124" s="74" t="s">
        <v>19674</v>
      </c>
      <c r="D124" s="72"/>
      <c r="F124" s="57"/>
      <c r="G124" s="72"/>
      <c r="I124" s="57"/>
      <c r="J124" s="122"/>
      <c r="K124" s="37"/>
      <c r="L124" s="37"/>
      <c r="M124" s="37"/>
      <c r="N124" s="37"/>
      <c r="O124" s="244"/>
      <c r="P124" s="521" t="s">
        <v>17556</v>
      </c>
      <c r="Q124" s="45" t="s">
        <v>398</v>
      </c>
      <c r="R124" s="46">
        <v>1</v>
      </c>
      <c r="S124" s="512"/>
      <c r="V124" s="57"/>
      <c r="W124" s="92" t="s">
        <v>17564</v>
      </c>
      <c r="Z124" s="57"/>
      <c r="AA124" s="35"/>
      <c r="AD124" s="57"/>
      <c r="AE124" s="208">
        <f>ROUND((ROUND((ROUND((_15_同援日０．５*_15・２人),0)*(1+_15・盲ろう)),0)*(1+_15・区４)),0)+ROUND((ROUND((ROUND((ROUND((_15_同援日０．５＿２．５*_15・２人),0)*(1+_15・B夜間)),0)*(1+_15・盲ろう)),0)*(1+_15・区４)),0)</f>
        <v>1292</v>
      </c>
      <c r="AF124" s="48"/>
    </row>
    <row r="125" spans="1:32" ht="16.5" customHeight="1" x14ac:dyDescent="0.15">
      <c r="A125" s="41">
        <v>15</v>
      </c>
      <c r="B125" s="41">
        <v>9677</v>
      </c>
      <c r="C125" s="74" t="s">
        <v>19675</v>
      </c>
      <c r="D125" s="72"/>
      <c r="F125" s="57"/>
      <c r="G125" s="72"/>
      <c r="I125" s="57"/>
      <c r="J125" s="114" t="s">
        <v>678</v>
      </c>
      <c r="K125" s="49"/>
      <c r="L125" s="49"/>
      <c r="M125" s="49"/>
      <c r="N125" s="49"/>
      <c r="O125" s="251"/>
      <c r="P125" s="163"/>
      <c r="Q125" s="45"/>
      <c r="R125" s="46"/>
      <c r="S125" s="512"/>
      <c r="V125" s="57"/>
      <c r="W125" s="35"/>
      <c r="X125" s="12" t="s">
        <v>398</v>
      </c>
      <c r="Y125" s="13">
        <v>0.25</v>
      </c>
      <c r="Z125" s="57" t="s">
        <v>3575</v>
      </c>
      <c r="AA125" s="35"/>
      <c r="AD125" s="57"/>
      <c r="AE125" s="208">
        <f>ROUND((ROUND((ROUND((_15_同援日０．５*_15・基礎２),0)*(1+_15・盲ろう)),0)*(1+_15・区４)),0)+ROUND((ROUND((ROUND((ROUND((_15_同援日０．５＿２．５*_15・基礎２),0)*(1+_15・B夜間)),0)*(1+_15・盲ろう)),0)*(1+_15・区４)),0)</f>
        <v>1162</v>
      </c>
      <c r="AF125" s="48"/>
    </row>
    <row r="126" spans="1:32" ht="16.5" customHeight="1" x14ac:dyDescent="0.15">
      <c r="A126" s="41">
        <v>15</v>
      </c>
      <c r="B126" s="41">
        <v>9678</v>
      </c>
      <c r="C126" s="74" t="s">
        <v>19676</v>
      </c>
      <c r="D126" s="122"/>
      <c r="E126" s="37"/>
      <c r="F126" s="79"/>
      <c r="G126" s="122"/>
      <c r="H126" s="37"/>
      <c r="I126" s="79"/>
      <c r="J126" s="122"/>
      <c r="K126" s="37"/>
      <c r="L126" s="37"/>
      <c r="M126" s="37"/>
      <c r="N126" s="37" t="s">
        <v>398</v>
      </c>
      <c r="O126" s="244">
        <v>0.9</v>
      </c>
      <c r="P126" s="521" t="s">
        <v>17556</v>
      </c>
      <c r="Q126" s="45" t="s">
        <v>398</v>
      </c>
      <c r="R126" s="46">
        <v>1</v>
      </c>
      <c r="S126" s="512"/>
      <c r="V126" s="57"/>
      <c r="W126" s="43"/>
      <c r="X126" s="37"/>
      <c r="Y126" s="38"/>
      <c r="Z126" s="79"/>
      <c r="AA126" s="43"/>
      <c r="AB126" s="37"/>
      <c r="AC126" s="38"/>
      <c r="AD126" s="79"/>
      <c r="AE126" s="208">
        <f>ROUND((ROUND((ROUND((ROUND((_15_同援日０．５*_15・基礎２),0)*_15・２人),0)*(1+_15・盲ろう)),0)*(1+_15・区４)),0)+ROUND((ROUND((ROUND((ROUND((ROUND((_15_同援日０．５＿２．５*_15・基礎２),0)*_15・２人),0)*(1+_15・B夜間)),0)*(1+_15・盲ろう)),0)*(1+_15・区４)),0)</f>
        <v>1162</v>
      </c>
      <c r="AF126" s="48"/>
    </row>
    <row r="127" spans="1:32" ht="16.5" customHeight="1" x14ac:dyDescent="0.15">
      <c r="A127" s="41">
        <v>15</v>
      </c>
      <c r="B127" s="41">
        <v>9679</v>
      </c>
      <c r="C127" s="74" t="s">
        <v>19677</v>
      </c>
      <c r="D127" s="114" t="s">
        <v>17587</v>
      </c>
      <c r="E127" s="49"/>
      <c r="F127" s="115"/>
      <c r="G127" s="114" t="s">
        <v>19553</v>
      </c>
      <c r="H127" s="49"/>
      <c r="I127" s="115"/>
      <c r="J127" s="114"/>
      <c r="K127" s="49"/>
      <c r="L127" s="49"/>
      <c r="M127" s="49"/>
      <c r="N127" s="49"/>
      <c r="O127" s="251"/>
      <c r="P127" s="163"/>
      <c r="Q127" s="45"/>
      <c r="R127" s="46"/>
      <c r="S127" s="512"/>
      <c r="V127" s="57"/>
      <c r="W127" s="53"/>
      <c r="X127" s="49"/>
      <c r="Y127" s="50"/>
      <c r="Z127" s="115"/>
      <c r="AA127" s="53"/>
      <c r="AB127" s="49"/>
      <c r="AC127" s="50"/>
      <c r="AD127" s="115"/>
      <c r="AE127" s="208">
        <f>_15_同援日１．０+ROUND((_15_同援日１．０＿０．５*(1+_15・B夜間)),0)</f>
        <v>466</v>
      </c>
      <c r="AF127" s="48"/>
    </row>
    <row r="128" spans="1:32" ht="16.5" customHeight="1" x14ac:dyDescent="0.15">
      <c r="A128" s="41">
        <v>15</v>
      </c>
      <c r="B128" s="41">
        <v>9680</v>
      </c>
      <c r="C128" s="74" t="s">
        <v>19678</v>
      </c>
      <c r="D128" s="72" t="s">
        <v>17589</v>
      </c>
      <c r="F128" s="57"/>
      <c r="G128" s="72" t="s">
        <v>18259</v>
      </c>
      <c r="I128" s="57"/>
      <c r="J128" s="122"/>
      <c r="K128" s="37"/>
      <c r="L128" s="37"/>
      <c r="M128" s="37"/>
      <c r="N128" s="37"/>
      <c r="O128" s="244"/>
      <c r="P128" s="521" t="s">
        <v>17556</v>
      </c>
      <c r="Q128" s="45" t="s">
        <v>398</v>
      </c>
      <c r="R128" s="46">
        <v>1</v>
      </c>
      <c r="S128" s="512"/>
      <c r="V128" s="57"/>
      <c r="W128" s="35"/>
      <c r="Z128" s="57"/>
      <c r="AA128" s="35"/>
      <c r="AD128" s="57"/>
      <c r="AE128" s="208">
        <f>ROUND((_15_同援日１．０*_15・２人),0)+ROUND((ROUND((_15_同援日１．０＿０．５*_15・２人),0)*(1+_15・B夜間)),0)</f>
        <v>466</v>
      </c>
      <c r="AF128" s="48"/>
    </row>
    <row r="129" spans="1:32" ht="16.5" customHeight="1" x14ac:dyDescent="0.15">
      <c r="A129" s="41">
        <v>15</v>
      </c>
      <c r="B129" s="41">
        <v>9681</v>
      </c>
      <c r="C129" s="74" t="s">
        <v>19679</v>
      </c>
      <c r="D129" s="72" t="s">
        <v>17591</v>
      </c>
      <c r="F129" s="57"/>
      <c r="G129" s="72"/>
      <c r="I129" s="57"/>
      <c r="J129" s="114" t="s">
        <v>678</v>
      </c>
      <c r="K129" s="49"/>
      <c r="L129" s="49"/>
      <c r="M129" s="49"/>
      <c r="N129" s="49"/>
      <c r="O129" s="251"/>
      <c r="P129" s="163"/>
      <c r="Q129" s="45"/>
      <c r="R129" s="46"/>
      <c r="S129" s="512"/>
      <c r="V129" s="57"/>
      <c r="W129" s="35"/>
      <c r="Z129" s="57"/>
      <c r="AA129" s="35"/>
      <c r="AD129" s="57"/>
      <c r="AE129" s="208">
        <f>ROUND((_15_同援日１．０*_15・基礎２),0)+ROUND((ROUND((_15_同援日１．０＿０．５*_15・基礎２),0)*(1+_15・B夜間)),0)</f>
        <v>420</v>
      </c>
      <c r="AF129" s="48"/>
    </row>
    <row r="130" spans="1:32" ht="16.5" customHeight="1" x14ac:dyDescent="0.15">
      <c r="A130" s="41">
        <v>15</v>
      </c>
      <c r="B130" s="41">
        <v>9682</v>
      </c>
      <c r="C130" s="74" t="s">
        <v>19680</v>
      </c>
      <c r="D130" s="72"/>
      <c r="E130" s="168">
        <f>_15_同援日１．０</f>
        <v>300</v>
      </c>
      <c r="F130" s="57" t="s">
        <v>392</v>
      </c>
      <c r="G130" s="72"/>
      <c r="H130" s="168">
        <f>_15_同援日１．０＿０．５</f>
        <v>133</v>
      </c>
      <c r="I130" s="57" t="s">
        <v>392</v>
      </c>
      <c r="J130" s="122"/>
      <c r="K130" s="37"/>
      <c r="L130" s="37"/>
      <c r="M130" s="37"/>
      <c r="N130" s="37" t="s">
        <v>398</v>
      </c>
      <c r="O130" s="244">
        <v>0.9</v>
      </c>
      <c r="P130" s="521" t="s">
        <v>17556</v>
      </c>
      <c r="Q130" s="45" t="s">
        <v>398</v>
      </c>
      <c r="R130" s="46">
        <v>1</v>
      </c>
      <c r="S130" s="512"/>
      <c r="V130" s="57"/>
      <c r="W130" s="43"/>
      <c r="X130" s="37"/>
      <c r="Y130" s="38"/>
      <c r="Z130" s="79"/>
      <c r="AA130" s="35"/>
      <c r="AD130" s="57"/>
      <c r="AE130" s="208">
        <f>ROUND((ROUND((_15_同援日１．０*_15・基礎２),0)*_15・２人),0)+ROUND((ROUND((ROUND((_15_同援日１．０＿０．５*_15・基礎２),0)*_15・２人),0)*(1+_15・B夜間)),0)</f>
        <v>420</v>
      </c>
      <c r="AF130" s="48"/>
    </row>
    <row r="131" spans="1:32" ht="16.5" customHeight="1" x14ac:dyDescent="0.15">
      <c r="A131" s="41">
        <v>15</v>
      </c>
      <c r="B131" s="41">
        <v>9683</v>
      </c>
      <c r="C131" s="74" t="s">
        <v>19681</v>
      </c>
      <c r="D131" s="72"/>
      <c r="F131" s="57"/>
      <c r="G131" s="72"/>
      <c r="I131" s="57"/>
      <c r="J131" s="114"/>
      <c r="K131" s="49"/>
      <c r="L131" s="49"/>
      <c r="M131" s="49"/>
      <c r="N131" s="49"/>
      <c r="O131" s="251"/>
      <c r="P131" s="163"/>
      <c r="Q131" s="45"/>
      <c r="R131" s="46"/>
      <c r="S131" s="512"/>
      <c r="V131" s="57"/>
      <c r="W131" s="116" t="s">
        <v>17562</v>
      </c>
      <c r="X131" s="49"/>
      <c r="Y131" s="50"/>
      <c r="Z131" s="115"/>
      <c r="AA131" s="35"/>
      <c r="AD131" s="57"/>
      <c r="AE131" s="208">
        <f>ROUND((_15_同援日１．０*(1+_15・盲ろう)),0)+ROUND((ROUND((_15_同援日１．０＿０．５*(1+_15・B夜間)),0)*(1+_15・盲ろう)),0)</f>
        <v>583</v>
      </c>
      <c r="AF131" s="48"/>
    </row>
    <row r="132" spans="1:32" ht="16.5" customHeight="1" x14ac:dyDescent="0.15">
      <c r="A132" s="41">
        <v>15</v>
      </c>
      <c r="B132" s="41">
        <v>9684</v>
      </c>
      <c r="C132" s="74" t="s">
        <v>19682</v>
      </c>
      <c r="D132" s="72"/>
      <c r="F132" s="57"/>
      <c r="G132" s="72"/>
      <c r="I132" s="57"/>
      <c r="J132" s="122"/>
      <c r="K132" s="37"/>
      <c r="L132" s="37"/>
      <c r="M132" s="37"/>
      <c r="N132" s="37"/>
      <c r="O132" s="244"/>
      <c r="P132" s="521" t="s">
        <v>17556</v>
      </c>
      <c r="Q132" s="45" t="s">
        <v>398</v>
      </c>
      <c r="R132" s="46">
        <v>1</v>
      </c>
      <c r="S132" s="512"/>
      <c r="V132" s="57"/>
      <c r="W132" s="92" t="s">
        <v>17564</v>
      </c>
      <c r="Z132" s="57"/>
      <c r="AA132" s="35"/>
      <c r="AD132" s="57"/>
      <c r="AE132" s="208">
        <f>ROUND((ROUND((_15_同援日１．０*_15・２人),0)*(1+_15・盲ろう)),0)+ROUND((ROUND((ROUND((_15_同援日１．０＿０．５*_15・２人),0)*(1+_15・B夜間)),0)*(1+_15・盲ろう)),0)</f>
        <v>583</v>
      </c>
      <c r="AF132" s="48"/>
    </row>
    <row r="133" spans="1:32" ht="16.5" customHeight="1" x14ac:dyDescent="0.15">
      <c r="A133" s="41">
        <v>15</v>
      </c>
      <c r="B133" s="41">
        <v>9685</v>
      </c>
      <c r="C133" s="74" t="s">
        <v>19683</v>
      </c>
      <c r="D133" s="72"/>
      <c r="F133" s="57"/>
      <c r="G133" s="72"/>
      <c r="I133" s="57"/>
      <c r="J133" s="114" t="s">
        <v>678</v>
      </c>
      <c r="K133" s="49"/>
      <c r="L133" s="49"/>
      <c r="M133" s="49"/>
      <c r="N133" s="49"/>
      <c r="O133" s="251"/>
      <c r="P133" s="163"/>
      <c r="Q133" s="45"/>
      <c r="R133" s="46"/>
      <c r="S133" s="512"/>
      <c r="V133" s="57"/>
      <c r="W133" s="35"/>
      <c r="X133" s="12" t="s">
        <v>398</v>
      </c>
      <c r="Y133" s="13">
        <v>0.25</v>
      </c>
      <c r="Z133" s="57" t="s">
        <v>3575</v>
      </c>
      <c r="AA133" s="35"/>
      <c r="AD133" s="57"/>
      <c r="AE133" s="208">
        <f>ROUND((ROUND((_15_同援日１．０*_15・基礎２),0)*(1+_15・盲ろう)),0)+ROUND((ROUND((ROUND((_15_同援日１．０＿０．５*_15・基礎２),0)*(1+_15・B夜間)),0)*(1+_15・盲ろう)),0)</f>
        <v>526</v>
      </c>
      <c r="AF133" s="48"/>
    </row>
    <row r="134" spans="1:32" ht="16.5" customHeight="1" x14ac:dyDescent="0.15">
      <c r="A134" s="41">
        <v>15</v>
      </c>
      <c r="B134" s="41">
        <v>9686</v>
      </c>
      <c r="C134" s="74" t="s">
        <v>19684</v>
      </c>
      <c r="D134" s="72"/>
      <c r="F134" s="57"/>
      <c r="G134" s="72"/>
      <c r="I134" s="57"/>
      <c r="J134" s="122"/>
      <c r="K134" s="37"/>
      <c r="L134" s="37"/>
      <c r="M134" s="37"/>
      <c r="N134" s="37" t="s">
        <v>398</v>
      </c>
      <c r="O134" s="244">
        <v>0.9</v>
      </c>
      <c r="P134" s="521" t="s">
        <v>17556</v>
      </c>
      <c r="Q134" s="45" t="s">
        <v>398</v>
      </c>
      <c r="R134" s="46">
        <v>1</v>
      </c>
      <c r="S134" s="512"/>
      <c r="V134" s="57"/>
      <c r="W134" s="43"/>
      <c r="X134" s="37"/>
      <c r="Y134" s="38"/>
      <c r="Z134" s="79"/>
      <c r="AA134" s="43"/>
      <c r="AB134" s="37"/>
      <c r="AC134" s="38"/>
      <c r="AD134" s="79"/>
      <c r="AE134" s="208">
        <f>ROUND((ROUND((ROUND((_15_同援日１．０*_15・基礎２),0)*_15・２人),0)*(1+_15・盲ろう)),0)+ROUND((ROUND((ROUND((ROUND((_15_同援日１．０＿０．５*_15・基礎２),0)*_15・２人),0)*(1+_15・B夜間)),0)*(1+_15・盲ろう)),0)</f>
        <v>526</v>
      </c>
      <c r="AF134" s="48"/>
    </row>
    <row r="135" spans="1:32" ht="16.5" customHeight="1" x14ac:dyDescent="0.15">
      <c r="A135" s="41">
        <v>15</v>
      </c>
      <c r="B135" s="41">
        <v>9687</v>
      </c>
      <c r="C135" s="74" t="s">
        <v>19685</v>
      </c>
      <c r="D135" s="72"/>
      <c r="F135" s="57"/>
      <c r="G135" s="72"/>
      <c r="I135" s="57"/>
      <c r="J135" s="114"/>
      <c r="K135" s="49"/>
      <c r="L135" s="49"/>
      <c r="M135" s="49"/>
      <c r="N135" s="49"/>
      <c r="O135" s="251"/>
      <c r="P135" s="163"/>
      <c r="Q135" s="45"/>
      <c r="R135" s="46"/>
      <c r="S135" s="512"/>
      <c r="V135" s="57"/>
      <c r="W135" s="53"/>
      <c r="X135" s="49"/>
      <c r="Y135" s="50"/>
      <c r="Z135" s="115"/>
      <c r="AA135" s="53"/>
      <c r="AB135" s="49"/>
      <c r="AC135" s="50"/>
      <c r="AD135" s="115"/>
      <c r="AE135" s="208">
        <f>ROUND((_15_同援日１．０*(1+_15・区３)),0)+ROUND((ROUND((_15_同援日１．０＿０．５*(1+_15・B夜間)),0)*(1+_15・区３)),0)</f>
        <v>559</v>
      </c>
      <c r="AF135" s="48"/>
    </row>
    <row r="136" spans="1:32" ht="16.5" customHeight="1" x14ac:dyDescent="0.15">
      <c r="A136" s="41">
        <v>15</v>
      </c>
      <c r="B136" s="41">
        <v>9688</v>
      </c>
      <c r="C136" s="74" t="s">
        <v>19686</v>
      </c>
      <c r="D136" s="72"/>
      <c r="F136" s="57"/>
      <c r="G136" s="72"/>
      <c r="I136" s="57"/>
      <c r="J136" s="122"/>
      <c r="K136" s="37"/>
      <c r="L136" s="37"/>
      <c r="M136" s="37"/>
      <c r="N136" s="37"/>
      <c r="O136" s="244"/>
      <c r="P136" s="521" t="s">
        <v>17556</v>
      </c>
      <c r="Q136" s="45" t="s">
        <v>398</v>
      </c>
      <c r="R136" s="46">
        <v>1</v>
      </c>
      <c r="S136" s="512"/>
      <c r="V136" s="57"/>
      <c r="W136" s="35"/>
      <c r="Z136" s="57"/>
      <c r="AA136" s="35"/>
      <c r="AD136" s="57"/>
      <c r="AE136" s="208">
        <f>ROUND((ROUND((_15_同援日１．０*_15・２人),0)*(1+_15・区３)),0)+ROUND((ROUND((ROUND((_15_同援日１．０＿０．５*_15・２人),0)*(1+_15・B夜間)),0)*(1+_15・区３)),0)</f>
        <v>559</v>
      </c>
      <c r="AF136" s="48"/>
    </row>
    <row r="137" spans="1:32" ht="16.5" customHeight="1" x14ac:dyDescent="0.15">
      <c r="A137" s="41">
        <v>15</v>
      </c>
      <c r="B137" s="41">
        <v>9689</v>
      </c>
      <c r="C137" s="74" t="s">
        <v>19687</v>
      </c>
      <c r="D137" s="72"/>
      <c r="F137" s="57"/>
      <c r="G137" s="72"/>
      <c r="I137" s="57"/>
      <c r="J137" s="114" t="s">
        <v>678</v>
      </c>
      <c r="K137" s="49"/>
      <c r="L137" s="49"/>
      <c r="M137" s="49"/>
      <c r="N137" s="49"/>
      <c r="O137" s="251"/>
      <c r="P137" s="163"/>
      <c r="Q137" s="45"/>
      <c r="R137" s="46"/>
      <c r="S137" s="512"/>
      <c r="V137" s="57"/>
      <c r="W137" s="35"/>
      <c r="Z137" s="57"/>
      <c r="AA137" s="72" t="s">
        <v>17570</v>
      </c>
      <c r="AD137" s="57"/>
      <c r="AE137" s="208">
        <f>ROUND((ROUND((_15_同援日１．０*_15・基礎２),0)*(1+_15・区３)),0)+ROUND((ROUND((ROUND((_15_同援日１．０＿０．５*_15・基礎２),0)*(1+_15・B夜間)),0)*(1+_15・区３)),0)</f>
        <v>504</v>
      </c>
      <c r="AF137" s="48"/>
    </row>
    <row r="138" spans="1:32" ht="16.5" customHeight="1" x14ac:dyDescent="0.15">
      <c r="A138" s="41">
        <v>15</v>
      </c>
      <c r="B138" s="41">
        <v>9690</v>
      </c>
      <c r="C138" s="74" t="s">
        <v>19688</v>
      </c>
      <c r="D138" s="72"/>
      <c r="F138" s="57"/>
      <c r="G138" s="72"/>
      <c r="I138" s="57"/>
      <c r="J138" s="122"/>
      <c r="K138" s="37"/>
      <c r="L138" s="37"/>
      <c r="M138" s="37"/>
      <c r="N138" s="37" t="s">
        <v>398</v>
      </c>
      <c r="O138" s="244">
        <v>0.9</v>
      </c>
      <c r="P138" s="521" t="s">
        <v>17556</v>
      </c>
      <c r="Q138" s="45" t="s">
        <v>398</v>
      </c>
      <c r="R138" s="46">
        <v>1</v>
      </c>
      <c r="S138" s="512"/>
      <c r="V138" s="57"/>
      <c r="W138" s="43"/>
      <c r="X138" s="37"/>
      <c r="Y138" s="38"/>
      <c r="Z138" s="79"/>
      <c r="AA138" s="72" t="s">
        <v>17572</v>
      </c>
      <c r="AD138" s="57"/>
      <c r="AE138" s="208">
        <f>ROUND((ROUND((ROUND((_15_同援日１．０*_15・基礎２),0)*_15・２人),0)*(1+_15・区３)),0)+ROUND((ROUND((ROUND((ROUND((_15_同援日１．０＿０．５*_15・基礎２),0)*_15・２人),0)*(1+_15・B夜間)),0)*(1+_15・区３)),0)</f>
        <v>504</v>
      </c>
      <c r="AF138" s="48"/>
    </row>
    <row r="139" spans="1:32" ht="16.5" customHeight="1" x14ac:dyDescent="0.15">
      <c r="A139" s="41">
        <v>15</v>
      </c>
      <c r="B139" s="41">
        <v>9691</v>
      </c>
      <c r="C139" s="74" t="s">
        <v>19689</v>
      </c>
      <c r="D139" s="72"/>
      <c r="F139" s="57"/>
      <c r="G139" s="72"/>
      <c r="I139" s="57"/>
      <c r="J139" s="114"/>
      <c r="K139" s="49"/>
      <c r="L139" s="49"/>
      <c r="M139" s="49"/>
      <c r="N139" s="49"/>
      <c r="O139" s="251"/>
      <c r="P139" s="163"/>
      <c r="Q139" s="45"/>
      <c r="R139" s="46"/>
      <c r="S139" s="512"/>
      <c r="V139" s="57"/>
      <c r="W139" s="116" t="s">
        <v>17562</v>
      </c>
      <c r="X139" s="49"/>
      <c r="Y139" s="50"/>
      <c r="Z139" s="115"/>
      <c r="AA139" s="35"/>
      <c r="AB139" s="12" t="s">
        <v>398</v>
      </c>
      <c r="AC139" s="13">
        <v>0.2</v>
      </c>
      <c r="AD139" s="57" t="s">
        <v>3575</v>
      </c>
      <c r="AE139" s="208">
        <f>ROUND((ROUND((_15_同援日１．０*(1+_15・盲ろう)),0)*(1+_15・区３)),0)+ROUND((ROUND((ROUND((_15_同援日１．０＿０．５*(1+_15・B夜間)),0)*(1+_15・盲ろう)),0)*(1+_15・区３)),0)</f>
        <v>700</v>
      </c>
      <c r="AF139" s="48"/>
    </row>
    <row r="140" spans="1:32" ht="16.5" customHeight="1" x14ac:dyDescent="0.15">
      <c r="A140" s="41">
        <v>15</v>
      </c>
      <c r="B140" s="41">
        <v>9692</v>
      </c>
      <c r="C140" s="74" t="s">
        <v>19690</v>
      </c>
      <c r="D140" s="72"/>
      <c r="F140" s="57"/>
      <c r="G140" s="72"/>
      <c r="I140" s="57"/>
      <c r="J140" s="122"/>
      <c r="K140" s="37"/>
      <c r="L140" s="37"/>
      <c r="M140" s="37"/>
      <c r="N140" s="37"/>
      <c r="O140" s="244"/>
      <c r="P140" s="521" t="s">
        <v>17556</v>
      </c>
      <c r="Q140" s="45" t="s">
        <v>398</v>
      </c>
      <c r="R140" s="46">
        <v>1</v>
      </c>
      <c r="S140" s="512"/>
      <c r="V140" s="57"/>
      <c r="W140" s="92" t="s">
        <v>17564</v>
      </c>
      <c r="Z140" s="57"/>
      <c r="AA140" s="35"/>
      <c r="AD140" s="57"/>
      <c r="AE140" s="208">
        <f>ROUND((ROUND((ROUND((_15_同援日１．０*_15・２人),0)*(1+_15・盲ろう)),0)*(1+_15・区３)),0)+ROUND((ROUND((ROUND((ROUND((_15_同援日１．０＿０．５*_15・２人),0)*(1+_15・B夜間)),0)*(1+_15・盲ろう)),0)*(1+_15・区３)),0)</f>
        <v>700</v>
      </c>
      <c r="AF140" s="48"/>
    </row>
    <row r="141" spans="1:32" ht="16.5" customHeight="1" x14ac:dyDescent="0.15">
      <c r="A141" s="41">
        <v>15</v>
      </c>
      <c r="B141" s="41">
        <v>9693</v>
      </c>
      <c r="C141" s="74" t="s">
        <v>19691</v>
      </c>
      <c r="D141" s="72"/>
      <c r="F141" s="57"/>
      <c r="G141" s="72"/>
      <c r="I141" s="57"/>
      <c r="J141" s="114" t="s">
        <v>678</v>
      </c>
      <c r="K141" s="49"/>
      <c r="L141" s="49"/>
      <c r="M141" s="49"/>
      <c r="N141" s="49"/>
      <c r="O141" s="251"/>
      <c r="P141" s="163"/>
      <c r="Q141" s="45"/>
      <c r="R141" s="46"/>
      <c r="S141" s="512"/>
      <c r="V141" s="57"/>
      <c r="W141" s="35"/>
      <c r="X141" s="12" t="s">
        <v>398</v>
      </c>
      <c r="Y141" s="13">
        <v>0.25</v>
      </c>
      <c r="Z141" s="57" t="s">
        <v>3575</v>
      </c>
      <c r="AA141" s="35"/>
      <c r="AD141" s="57"/>
      <c r="AE141" s="208">
        <f>ROUND((ROUND((ROUND((_15_同援日１．０*_15・基礎２),0)*(1+_15・盲ろう)),0)*(1+_15・区３)),0)+ROUND((ROUND((ROUND((ROUND((_15_同援日１．０＿０．５*_15・基礎２),0)*(1+_15・B夜間)),0)*(1+_15・盲ろう)),0)*(1+_15・区３)),0)</f>
        <v>632</v>
      </c>
      <c r="AF141" s="48"/>
    </row>
    <row r="142" spans="1:32" ht="16.5" customHeight="1" x14ac:dyDescent="0.15">
      <c r="A142" s="41">
        <v>15</v>
      </c>
      <c r="B142" s="41">
        <v>9694</v>
      </c>
      <c r="C142" s="74" t="s">
        <v>19692</v>
      </c>
      <c r="D142" s="72"/>
      <c r="F142" s="57"/>
      <c r="G142" s="72"/>
      <c r="I142" s="57"/>
      <c r="J142" s="122"/>
      <c r="K142" s="37"/>
      <c r="L142" s="37"/>
      <c r="M142" s="37"/>
      <c r="N142" s="37" t="s">
        <v>398</v>
      </c>
      <c r="O142" s="244">
        <v>0.9</v>
      </c>
      <c r="P142" s="521" t="s">
        <v>17556</v>
      </c>
      <c r="Q142" s="45" t="s">
        <v>398</v>
      </c>
      <c r="R142" s="46">
        <v>1</v>
      </c>
      <c r="S142" s="512"/>
      <c r="V142" s="57"/>
      <c r="W142" s="43"/>
      <c r="X142" s="37"/>
      <c r="Y142" s="38"/>
      <c r="Z142" s="79"/>
      <c r="AA142" s="43"/>
      <c r="AB142" s="37"/>
      <c r="AC142" s="38"/>
      <c r="AD142" s="79"/>
      <c r="AE142" s="208">
        <f>ROUND((ROUND((ROUND((ROUND((_15_同援日１．０*_15・基礎２),0)*_15・２人),0)*(1+_15・盲ろう)),0)*(1+_15・区３)),0)+ROUND((ROUND((ROUND((ROUND((ROUND((_15_同援日１．０＿０．５*_15・基礎２),0)*_15・２人),0)*(1+_15・B夜間)),0)*(1+_15・盲ろう)),0)*(1+_15・区３)),0)</f>
        <v>632</v>
      </c>
      <c r="AF142" s="48"/>
    </row>
    <row r="143" spans="1:32" ht="16.5" customHeight="1" x14ac:dyDescent="0.15">
      <c r="A143" s="41">
        <v>15</v>
      </c>
      <c r="B143" s="41">
        <v>9695</v>
      </c>
      <c r="C143" s="74" t="s">
        <v>19693</v>
      </c>
      <c r="D143" s="72"/>
      <c r="F143" s="57"/>
      <c r="G143" s="72"/>
      <c r="I143" s="57"/>
      <c r="J143" s="114"/>
      <c r="K143" s="49"/>
      <c r="L143" s="49"/>
      <c r="M143" s="49"/>
      <c r="N143" s="49"/>
      <c r="O143" s="251"/>
      <c r="P143" s="163"/>
      <c r="Q143" s="45"/>
      <c r="R143" s="46"/>
      <c r="S143" s="512"/>
      <c r="V143" s="57"/>
      <c r="W143" s="53"/>
      <c r="X143" s="49"/>
      <c r="Y143" s="50"/>
      <c r="Z143" s="115"/>
      <c r="AA143" s="53"/>
      <c r="AB143" s="49"/>
      <c r="AC143" s="50"/>
      <c r="AD143" s="115"/>
      <c r="AE143" s="208">
        <f>ROUND((_15_同援日１．０*(1+_15・区４)),0)+ROUND((ROUND((_15_同援日１．０＿０．５*(1+_15・B夜間)),0)*(1+_15・区４)),0)</f>
        <v>652</v>
      </c>
      <c r="AF143" s="48"/>
    </row>
    <row r="144" spans="1:32" ht="16.5" customHeight="1" x14ac:dyDescent="0.15">
      <c r="A144" s="41">
        <v>15</v>
      </c>
      <c r="B144" s="41">
        <v>9696</v>
      </c>
      <c r="C144" s="74" t="s">
        <v>19694</v>
      </c>
      <c r="D144" s="72"/>
      <c r="F144" s="57"/>
      <c r="G144" s="72"/>
      <c r="I144" s="57"/>
      <c r="J144" s="122"/>
      <c r="K144" s="37"/>
      <c r="L144" s="37"/>
      <c r="M144" s="37"/>
      <c r="N144" s="37"/>
      <c r="O144" s="244"/>
      <c r="P144" s="521" t="s">
        <v>17556</v>
      </c>
      <c r="Q144" s="45" t="s">
        <v>398</v>
      </c>
      <c r="R144" s="46">
        <v>1</v>
      </c>
      <c r="S144" s="512"/>
      <c r="V144" s="57"/>
      <c r="W144" s="35"/>
      <c r="Z144" s="57"/>
      <c r="AA144" s="35"/>
      <c r="AD144" s="57"/>
      <c r="AE144" s="208">
        <f>ROUND((ROUND((_15_同援日１．０*_15・２人),0)*(1+_15・区４)),0)+ROUND((ROUND((ROUND((_15_同援日１．０＿０．５*_15・２人),0)*(1+_15・B夜間)),0)*(1+_15・区４)),0)</f>
        <v>652</v>
      </c>
      <c r="AF144" s="48"/>
    </row>
    <row r="145" spans="1:32" ht="16.5" customHeight="1" x14ac:dyDescent="0.15">
      <c r="A145" s="41">
        <v>15</v>
      </c>
      <c r="B145" s="41">
        <v>9697</v>
      </c>
      <c r="C145" s="74" t="s">
        <v>19695</v>
      </c>
      <c r="D145" s="72"/>
      <c r="F145" s="57"/>
      <c r="G145" s="72"/>
      <c r="I145" s="57"/>
      <c r="J145" s="114" t="s">
        <v>678</v>
      </c>
      <c r="K145" s="49"/>
      <c r="L145" s="49"/>
      <c r="M145" s="49"/>
      <c r="N145" s="49"/>
      <c r="O145" s="251"/>
      <c r="P145" s="163"/>
      <c r="Q145" s="45"/>
      <c r="R145" s="46"/>
      <c r="S145" s="512"/>
      <c r="V145" s="57"/>
      <c r="W145" s="35"/>
      <c r="Z145" s="57"/>
      <c r="AA145" s="72" t="s">
        <v>17580</v>
      </c>
      <c r="AD145" s="57"/>
      <c r="AE145" s="208">
        <f>ROUND((ROUND((_15_同援日１．０*_15・基礎２),0)*(1+_15・区４)),0)+ROUND((ROUND((ROUND((_15_同援日１．０＿０．５*_15・基礎２),0)*(1+_15・B夜間)),0)*(1+_15・区４)),0)</f>
        <v>588</v>
      </c>
      <c r="AF145" s="48"/>
    </row>
    <row r="146" spans="1:32" ht="16.5" customHeight="1" x14ac:dyDescent="0.15">
      <c r="A146" s="41">
        <v>15</v>
      </c>
      <c r="B146" s="41">
        <v>9698</v>
      </c>
      <c r="C146" s="74" t="s">
        <v>19696</v>
      </c>
      <c r="D146" s="72"/>
      <c r="F146" s="57"/>
      <c r="G146" s="72"/>
      <c r="I146" s="57"/>
      <c r="J146" s="122"/>
      <c r="K146" s="37"/>
      <c r="L146" s="37"/>
      <c r="M146" s="37"/>
      <c r="N146" s="37" t="s">
        <v>398</v>
      </c>
      <c r="O146" s="244">
        <v>0.9</v>
      </c>
      <c r="P146" s="521" t="s">
        <v>17556</v>
      </c>
      <c r="Q146" s="45" t="s">
        <v>398</v>
      </c>
      <c r="R146" s="46">
        <v>1</v>
      </c>
      <c r="S146" s="512"/>
      <c r="V146" s="57"/>
      <c r="W146" s="43"/>
      <c r="X146" s="37"/>
      <c r="Y146" s="38"/>
      <c r="Z146" s="79"/>
      <c r="AA146" s="72" t="s">
        <v>17572</v>
      </c>
      <c r="AD146" s="57"/>
      <c r="AE146" s="208">
        <f>ROUND((ROUND((ROUND((_15_同援日１．０*_15・基礎２),0)*_15・２人),0)*(1+_15・区４)),0)+ROUND((ROUND((ROUND((ROUND((_15_同援日１．０＿０．５*_15・基礎２),0)*_15・２人),0)*(1+_15・B夜間)),0)*(1+_15・区４)),0)</f>
        <v>588</v>
      </c>
      <c r="AF146" s="48"/>
    </row>
    <row r="147" spans="1:32" ht="16.5" customHeight="1" x14ac:dyDescent="0.15">
      <c r="A147" s="41">
        <v>15</v>
      </c>
      <c r="B147" s="41">
        <v>9699</v>
      </c>
      <c r="C147" s="74" t="s">
        <v>19697</v>
      </c>
      <c r="D147" s="72"/>
      <c r="F147" s="57"/>
      <c r="G147" s="72"/>
      <c r="I147" s="57"/>
      <c r="J147" s="114"/>
      <c r="K147" s="49"/>
      <c r="L147" s="49"/>
      <c r="M147" s="49"/>
      <c r="N147" s="49"/>
      <c r="O147" s="251"/>
      <c r="P147" s="163"/>
      <c r="Q147" s="45"/>
      <c r="R147" s="46"/>
      <c r="S147" s="512"/>
      <c r="V147" s="57"/>
      <c r="W147" s="116" t="s">
        <v>17562</v>
      </c>
      <c r="X147" s="49"/>
      <c r="Y147" s="50"/>
      <c r="Z147" s="115"/>
      <c r="AA147" s="35"/>
      <c r="AB147" s="12" t="s">
        <v>398</v>
      </c>
      <c r="AC147" s="13">
        <v>0.4</v>
      </c>
      <c r="AD147" s="57" t="s">
        <v>3575</v>
      </c>
      <c r="AE147" s="208">
        <f>ROUND((ROUND((_15_同援日１．０*(1+_15・盲ろう)),0)*(1+_15・区４)),0)+ROUND((ROUND((ROUND((_15_同援日１．０＿０．５*(1+_15・B夜間)),0)*(1+_15・盲ろう)),0)*(1+_15・区４)),0)</f>
        <v>816</v>
      </c>
      <c r="AF147" s="48"/>
    </row>
    <row r="148" spans="1:32" ht="16.5" customHeight="1" x14ac:dyDescent="0.15">
      <c r="A148" s="41">
        <v>15</v>
      </c>
      <c r="B148" s="41">
        <v>9700</v>
      </c>
      <c r="C148" s="74" t="s">
        <v>19698</v>
      </c>
      <c r="D148" s="72"/>
      <c r="F148" s="57"/>
      <c r="G148" s="72"/>
      <c r="I148" s="57"/>
      <c r="J148" s="122"/>
      <c r="K148" s="37"/>
      <c r="L148" s="37"/>
      <c r="M148" s="37"/>
      <c r="N148" s="37"/>
      <c r="O148" s="244"/>
      <c r="P148" s="521" t="s">
        <v>17556</v>
      </c>
      <c r="Q148" s="45" t="s">
        <v>398</v>
      </c>
      <c r="R148" s="46">
        <v>1</v>
      </c>
      <c r="S148" s="512"/>
      <c r="V148" s="57"/>
      <c r="W148" s="92" t="s">
        <v>17564</v>
      </c>
      <c r="Z148" s="57"/>
      <c r="AA148" s="35"/>
      <c r="AD148" s="57"/>
      <c r="AE148" s="208">
        <f>ROUND((ROUND((ROUND((_15_同援日１．０*_15・２人),0)*(1+_15・盲ろう)),0)*(1+_15・区４)),0)+ROUND((ROUND((ROUND((ROUND((_15_同援日１．０＿０．５*_15・２人),0)*(1+_15・B夜間)),0)*(1+_15・盲ろう)),0)*(1+_15・区４)),0)</f>
        <v>816</v>
      </c>
      <c r="AF148" s="48"/>
    </row>
    <row r="149" spans="1:32" ht="16.5" customHeight="1" x14ac:dyDescent="0.15">
      <c r="A149" s="41">
        <v>15</v>
      </c>
      <c r="B149" s="41">
        <v>9701</v>
      </c>
      <c r="C149" s="74" t="s">
        <v>19699</v>
      </c>
      <c r="D149" s="72"/>
      <c r="F149" s="57"/>
      <c r="G149" s="72"/>
      <c r="I149" s="57"/>
      <c r="J149" s="114" t="s">
        <v>678</v>
      </c>
      <c r="K149" s="49"/>
      <c r="L149" s="49"/>
      <c r="M149" s="49"/>
      <c r="N149" s="49"/>
      <c r="O149" s="251"/>
      <c r="P149" s="163"/>
      <c r="Q149" s="45"/>
      <c r="R149" s="46"/>
      <c r="S149" s="512"/>
      <c r="V149" s="57"/>
      <c r="W149" s="35"/>
      <c r="X149" s="12" t="s">
        <v>398</v>
      </c>
      <c r="Y149" s="13">
        <v>0.25</v>
      </c>
      <c r="Z149" s="57" t="s">
        <v>3575</v>
      </c>
      <c r="AA149" s="35"/>
      <c r="AD149" s="57"/>
      <c r="AE149" s="208">
        <f>ROUND((ROUND((ROUND((_15_同援日１．０*_15・基礎２),0)*(1+_15・盲ろう)),0)*(1+_15・区４)),0)+ROUND((ROUND((ROUND((ROUND((_15_同援日１．０＿０．５*_15・基礎２),0)*(1+_15・B夜間)),0)*(1+_15・盲ろう)),0)*(1+_15・区４)),0)</f>
        <v>736</v>
      </c>
      <c r="AF149" s="48"/>
    </row>
    <row r="150" spans="1:32" ht="16.5" customHeight="1" x14ac:dyDescent="0.15">
      <c r="A150" s="41">
        <v>15</v>
      </c>
      <c r="B150" s="41">
        <v>9702</v>
      </c>
      <c r="C150" s="74" t="s">
        <v>19700</v>
      </c>
      <c r="D150" s="72"/>
      <c r="F150" s="57"/>
      <c r="G150" s="122"/>
      <c r="H150" s="37"/>
      <c r="I150" s="79"/>
      <c r="J150" s="122"/>
      <c r="K150" s="37"/>
      <c r="L150" s="37"/>
      <c r="M150" s="37"/>
      <c r="N150" s="37" t="s">
        <v>398</v>
      </c>
      <c r="O150" s="244">
        <v>0.9</v>
      </c>
      <c r="P150" s="521" t="s">
        <v>17556</v>
      </c>
      <c r="Q150" s="45" t="s">
        <v>398</v>
      </c>
      <c r="R150" s="46">
        <v>1</v>
      </c>
      <c r="S150" s="512"/>
      <c r="V150" s="57"/>
      <c r="W150" s="43"/>
      <c r="X150" s="37"/>
      <c r="Y150" s="38"/>
      <c r="Z150" s="79"/>
      <c r="AA150" s="43"/>
      <c r="AB150" s="37"/>
      <c r="AC150" s="38"/>
      <c r="AD150" s="79"/>
      <c r="AE150" s="208">
        <f>ROUND((ROUND((ROUND((ROUND((_15_同援日１．０*_15・基礎２),0)*_15・２人),0)*(1+_15・盲ろう)),0)*(1+_15・区４)),0)+ROUND((ROUND((ROUND((ROUND((ROUND((_15_同援日１．０＿０．５*_15・基礎２),0)*_15・２人),0)*(1+_15・B夜間)),0)*(1+_15・盲ろう)),0)*(1+_15・区４)),0)</f>
        <v>736</v>
      </c>
      <c r="AF150" s="48"/>
    </row>
    <row r="151" spans="1:32" ht="16.5" customHeight="1" x14ac:dyDescent="0.15">
      <c r="A151" s="41">
        <v>15</v>
      </c>
      <c r="B151" s="41">
        <v>9703</v>
      </c>
      <c r="C151" s="74" t="s">
        <v>19701</v>
      </c>
      <c r="D151" s="72"/>
      <c r="F151" s="57"/>
      <c r="G151" s="114" t="s">
        <v>19578</v>
      </c>
      <c r="H151" s="49"/>
      <c r="I151" s="115"/>
      <c r="J151" s="114"/>
      <c r="K151" s="49"/>
      <c r="L151" s="49"/>
      <c r="M151" s="49"/>
      <c r="N151" s="49"/>
      <c r="O151" s="251"/>
      <c r="P151" s="163"/>
      <c r="Q151" s="45"/>
      <c r="R151" s="46"/>
      <c r="S151" s="512"/>
      <c r="V151" s="57"/>
      <c r="W151" s="53"/>
      <c r="X151" s="49"/>
      <c r="Y151" s="50"/>
      <c r="Z151" s="115"/>
      <c r="AA151" s="53"/>
      <c r="AB151" s="49"/>
      <c r="AC151" s="50"/>
      <c r="AD151" s="115"/>
      <c r="AE151" s="208">
        <f>_15_同援日１．０+ROUND((_15_同援日１．０＿１．０*(1+_15・B夜間)),0)</f>
        <v>548</v>
      </c>
      <c r="AF151" s="48"/>
    </row>
    <row r="152" spans="1:32" ht="16.5" customHeight="1" x14ac:dyDescent="0.15">
      <c r="A152" s="41">
        <v>15</v>
      </c>
      <c r="B152" s="41">
        <v>9704</v>
      </c>
      <c r="C152" s="74" t="s">
        <v>19702</v>
      </c>
      <c r="D152" s="72"/>
      <c r="F152" s="57"/>
      <c r="G152" s="72" t="s">
        <v>17589</v>
      </c>
      <c r="I152" s="57"/>
      <c r="J152" s="122"/>
      <c r="K152" s="37"/>
      <c r="L152" s="37"/>
      <c r="M152" s="37"/>
      <c r="N152" s="37"/>
      <c r="O152" s="244"/>
      <c r="P152" s="521" t="s">
        <v>17556</v>
      </c>
      <c r="Q152" s="45" t="s">
        <v>398</v>
      </c>
      <c r="R152" s="46">
        <v>1</v>
      </c>
      <c r="S152" s="512"/>
      <c r="V152" s="57"/>
      <c r="W152" s="35"/>
      <c r="Z152" s="57"/>
      <c r="AA152" s="35"/>
      <c r="AD152" s="57"/>
      <c r="AE152" s="208">
        <f>ROUND((_15_同援日１．０*_15・２人),0)+ROUND((ROUND((_15_同援日１．０＿１．０*_15・２人),0)*(1+_15・B夜間)),0)</f>
        <v>548</v>
      </c>
      <c r="AF152" s="48"/>
    </row>
    <row r="153" spans="1:32" ht="16.5" customHeight="1" x14ac:dyDescent="0.15">
      <c r="A153" s="41">
        <v>15</v>
      </c>
      <c r="B153" s="41">
        <v>9705</v>
      </c>
      <c r="C153" s="74" t="s">
        <v>19703</v>
      </c>
      <c r="D153" s="72"/>
      <c r="F153" s="57"/>
      <c r="G153" s="72" t="s">
        <v>17591</v>
      </c>
      <c r="I153" s="57"/>
      <c r="J153" s="114" t="s">
        <v>678</v>
      </c>
      <c r="K153" s="49"/>
      <c r="L153" s="49"/>
      <c r="M153" s="49"/>
      <c r="N153" s="49"/>
      <c r="O153" s="251"/>
      <c r="P153" s="163"/>
      <c r="Q153" s="45"/>
      <c r="R153" s="46"/>
      <c r="S153" s="512"/>
      <c r="V153" s="57"/>
      <c r="W153" s="35"/>
      <c r="Z153" s="57"/>
      <c r="AA153" s="35"/>
      <c r="AD153" s="57"/>
      <c r="AE153" s="208">
        <f>ROUND((_15_同援日１．０*_15・基礎２),0)+ROUND((ROUND((_15_同援日１．０＿１．０*_15・基礎２),0)*(1+_15・B夜間)),0)</f>
        <v>493</v>
      </c>
      <c r="AF153" s="48"/>
    </row>
    <row r="154" spans="1:32" ht="16.5" customHeight="1" x14ac:dyDescent="0.15">
      <c r="A154" s="41">
        <v>15</v>
      </c>
      <c r="B154" s="41">
        <v>9706</v>
      </c>
      <c r="C154" s="74" t="s">
        <v>19704</v>
      </c>
      <c r="D154" s="72"/>
      <c r="F154" s="57"/>
      <c r="G154" s="72"/>
      <c r="H154" s="168">
        <f>_15_同援日１．０＿１．０</f>
        <v>198</v>
      </c>
      <c r="I154" s="57" t="s">
        <v>392</v>
      </c>
      <c r="J154" s="122"/>
      <c r="K154" s="37"/>
      <c r="L154" s="37"/>
      <c r="M154" s="37"/>
      <c r="N154" s="37" t="s">
        <v>398</v>
      </c>
      <c r="O154" s="244">
        <v>0.9</v>
      </c>
      <c r="P154" s="521" t="s">
        <v>17556</v>
      </c>
      <c r="Q154" s="45" t="s">
        <v>398</v>
      </c>
      <c r="R154" s="46">
        <v>1</v>
      </c>
      <c r="S154" s="512"/>
      <c r="V154" s="57"/>
      <c r="W154" s="43"/>
      <c r="X154" s="37"/>
      <c r="Y154" s="38"/>
      <c r="Z154" s="79"/>
      <c r="AA154" s="35"/>
      <c r="AD154" s="57"/>
      <c r="AE154" s="208">
        <f>ROUND((ROUND((_15_同援日１．０*_15・基礎２),0)*_15・２人),0)+ROUND((ROUND((ROUND((_15_同援日１．０＿１．０*_15・基礎２),0)*_15・２人),0)*(1+_15・B夜間)),0)</f>
        <v>493</v>
      </c>
      <c r="AF154" s="48"/>
    </row>
    <row r="155" spans="1:32" ht="16.5" customHeight="1" x14ac:dyDescent="0.15">
      <c r="A155" s="41">
        <v>15</v>
      </c>
      <c r="B155" s="41">
        <v>9707</v>
      </c>
      <c r="C155" s="74" t="s">
        <v>19705</v>
      </c>
      <c r="D155" s="72"/>
      <c r="F155" s="57"/>
      <c r="G155" s="72"/>
      <c r="I155" s="57"/>
      <c r="J155" s="114"/>
      <c r="K155" s="49"/>
      <c r="L155" s="49"/>
      <c r="M155" s="49"/>
      <c r="N155" s="49"/>
      <c r="O155" s="251"/>
      <c r="P155" s="163"/>
      <c r="Q155" s="45"/>
      <c r="R155" s="46"/>
      <c r="S155" s="512"/>
      <c r="V155" s="57"/>
      <c r="W155" s="116" t="s">
        <v>17562</v>
      </c>
      <c r="X155" s="49"/>
      <c r="Y155" s="50"/>
      <c r="Z155" s="115"/>
      <c r="AA155" s="35"/>
      <c r="AD155" s="57"/>
      <c r="AE155" s="208">
        <f>ROUND((_15_同援日１．０*(1+_15・盲ろう)),0)+ROUND((ROUND((_15_同援日１．０＿１．０*(1+_15・B夜間)),0)*(1+_15・盲ろう)),0)</f>
        <v>685</v>
      </c>
      <c r="AF155" s="48"/>
    </row>
    <row r="156" spans="1:32" ht="16.5" customHeight="1" x14ac:dyDescent="0.15">
      <c r="A156" s="41">
        <v>15</v>
      </c>
      <c r="B156" s="41">
        <v>9708</v>
      </c>
      <c r="C156" s="74" t="s">
        <v>19706</v>
      </c>
      <c r="D156" s="72"/>
      <c r="F156" s="57"/>
      <c r="G156" s="72"/>
      <c r="I156" s="57"/>
      <c r="J156" s="122"/>
      <c r="K156" s="37"/>
      <c r="L156" s="37"/>
      <c r="M156" s="37"/>
      <c r="N156" s="37"/>
      <c r="O156" s="244"/>
      <c r="P156" s="521" t="s">
        <v>17556</v>
      </c>
      <c r="Q156" s="45" t="s">
        <v>398</v>
      </c>
      <c r="R156" s="46">
        <v>1</v>
      </c>
      <c r="S156" s="512"/>
      <c r="V156" s="57"/>
      <c r="W156" s="92" t="s">
        <v>17564</v>
      </c>
      <c r="Z156" s="57"/>
      <c r="AA156" s="35"/>
      <c r="AD156" s="57"/>
      <c r="AE156" s="208">
        <f>ROUND((ROUND((_15_同援日１．０*_15・２人),0)*(1+_15・盲ろう)),0)+ROUND((ROUND((ROUND((_15_同援日１．０＿１．０*_15・２人),0)*(1+_15・B夜間)),0)*(1+_15・盲ろう)),0)</f>
        <v>685</v>
      </c>
      <c r="AF156" s="48"/>
    </row>
    <row r="157" spans="1:32" ht="16.5" customHeight="1" x14ac:dyDescent="0.15">
      <c r="A157" s="41">
        <v>15</v>
      </c>
      <c r="B157" s="41">
        <v>9709</v>
      </c>
      <c r="C157" s="74" t="s">
        <v>19707</v>
      </c>
      <c r="D157" s="72"/>
      <c r="F157" s="57"/>
      <c r="G157" s="72"/>
      <c r="I157" s="57"/>
      <c r="J157" s="114" t="s">
        <v>678</v>
      </c>
      <c r="K157" s="49"/>
      <c r="L157" s="49"/>
      <c r="M157" s="49"/>
      <c r="N157" s="49"/>
      <c r="O157" s="251"/>
      <c r="P157" s="163"/>
      <c r="Q157" s="45"/>
      <c r="R157" s="46"/>
      <c r="S157" s="512"/>
      <c r="V157" s="57"/>
      <c r="W157" s="35"/>
      <c r="X157" s="12" t="s">
        <v>398</v>
      </c>
      <c r="Y157" s="13">
        <v>0.25</v>
      </c>
      <c r="Z157" s="57" t="s">
        <v>3575</v>
      </c>
      <c r="AA157" s="35"/>
      <c r="AD157" s="57"/>
      <c r="AE157" s="208">
        <f>ROUND((ROUND((_15_同援日１．０*_15・基礎２),0)*(1+_15・盲ろう)),0)+ROUND((ROUND((ROUND((_15_同援日１．０＿１．０*_15・基礎２),0)*(1+_15・B夜間)),0)*(1+_15・盲ろう)),0)</f>
        <v>617</v>
      </c>
      <c r="AF157" s="48"/>
    </row>
    <row r="158" spans="1:32" ht="16.5" customHeight="1" x14ac:dyDescent="0.15">
      <c r="A158" s="41">
        <v>15</v>
      </c>
      <c r="B158" s="41">
        <v>9710</v>
      </c>
      <c r="C158" s="74" t="s">
        <v>19708</v>
      </c>
      <c r="D158" s="72"/>
      <c r="F158" s="57"/>
      <c r="G158" s="72"/>
      <c r="I158" s="57"/>
      <c r="J158" s="122"/>
      <c r="K158" s="37"/>
      <c r="L158" s="37"/>
      <c r="M158" s="37"/>
      <c r="N158" s="37" t="s">
        <v>398</v>
      </c>
      <c r="O158" s="244">
        <v>0.9</v>
      </c>
      <c r="P158" s="521" t="s">
        <v>17556</v>
      </c>
      <c r="Q158" s="45" t="s">
        <v>398</v>
      </c>
      <c r="R158" s="46">
        <v>1</v>
      </c>
      <c r="S158" s="512"/>
      <c r="V158" s="57"/>
      <c r="W158" s="43"/>
      <c r="X158" s="37"/>
      <c r="Y158" s="38"/>
      <c r="Z158" s="79"/>
      <c r="AA158" s="43"/>
      <c r="AB158" s="37"/>
      <c r="AC158" s="38"/>
      <c r="AD158" s="79"/>
      <c r="AE158" s="208">
        <f>ROUND((ROUND((ROUND((_15_同援日１．０*_15・基礎２),0)*_15・２人),0)*(1+_15・盲ろう)),0)+ROUND((ROUND((ROUND((ROUND((_15_同援日１．０＿１．０*_15・基礎２),0)*_15・２人),0)*(1+_15・B夜間)),0)*(1+_15・盲ろう)),0)</f>
        <v>617</v>
      </c>
      <c r="AF158" s="48"/>
    </row>
    <row r="159" spans="1:32" ht="16.5" customHeight="1" x14ac:dyDescent="0.15">
      <c r="A159" s="41">
        <v>15</v>
      </c>
      <c r="B159" s="41">
        <v>9711</v>
      </c>
      <c r="C159" s="74" t="s">
        <v>19709</v>
      </c>
      <c r="D159" s="72"/>
      <c r="F159" s="57"/>
      <c r="G159" s="72"/>
      <c r="I159" s="57"/>
      <c r="J159" s="114"/>
      <c r="K159" s="49"/>
      <c r="L159" s="49"/>
      <c r="M159" s="49"/>
      <c r="N159" s="49"/>
      <c r="O159" s="251"/>
      <c r="P159" s="163"/>
      <c r="Q159" s="45"/>
      <c r="R159" s="46"/>
      <c r="S159" s="512"/>
      <c r="V159" s="57"/>
      <c r="W159" s="53"/>
      <c r="X159" s="49"/>
      <c r="Y159" s="50"/>
      <c r="Z159" s="115"/>
      <c r="AA159" s="53"/>
      <c r="AB159" s="49"/>
      <c r="AC159" s="50"/>
      <c r="AD159" s="115"/>
      <c r="AE159" s="208">
        <f>ROUND((_15_同援日１．０*(1+_15・区３)),0)+ROUND((ROUND((_15_同援日１．０＿１．０*(1+_15・B夜間)),0)*(1+_15・区３)),0)</f>
        <v>658</v>
      </c>
      <c r="AF159" s="48"/>
    </row>
    <row r="160" spans="1:32" ht="16.5" customHeight="1" x14ac:dyDescent="0.15">
      <c r="A160" s="41">
        <v>15</v>
      </c>
      <c r="B160" s="41">
        <v>9712</v>
      </c>
      <c r="C160" s="74" t="s">
        <v>19710</v>
      </c>
      <c r="D160" s="72"/>
      <c r="F160" s="57"/>
      <c r="G160" s="72"/>
      <c r="I160" s="57"/>
      <c r="J160" s="122"/>
      <c r="K160" s="37"/>
      <c r="L160" s="37"/>
      <c r="M160" s="37"/>
      <c r="N160" s="37"/>
      <c r="O160" s="244"/>
      <c r="P160" s="521" t="s">
        <v>17556</v>
      </c>
      <c r="Q160" s="45" t="s">
        <v>398</v>
      </c>
      <c r="R160" s="46">
        <v>1</v>
      </c>
      <c r="S160" s="512"/>
      <c r="V160" s="57"/>
      <c r="W160" s="35"/>
      <c r="Z160" s="57"/>
      <c r="AA160" s="35"/>
      <c r="AD160" s="57"/>
      <c r="AE160" s="208">
        <f>ROUND((ROUND((_15_同援日１．０*_15・２人),0)*(1+_15・区３)),0)+ROUND((ROUND((ROUND((_15_同援日１．０＿１．０*_15・２人),0)*(1+_15・B夜間)),0)*(1+_15・区３)),0)</f>
        <v>658</v>
      </c>
      <c r="AF160" s="48"/>
    </row>
    <row r="161" spans="1:32" ht="16.5" customHeight="1" x14ac:dyDescent="0.15">
      <c r="A161" s="41">
        <v>15</v>
      </c>
      <c r="B161" s="41">
        <v>9713</v>
      </c>
      <c r="C161" s="74" t="s">
        <v>19711</v>
      </c>
      <c r="D161" s="72"/>
      <c r="F161" s="57"/>
      <c r="G161" s="72"/>
      <c r="I161" s="57"/>
      <c r="J161" s="114" t="s">
        <v>678</v>
      </c>
      <c r="K161" s="49"/>
      <c r="L161" s="49"/>
      <c r="M161" s="49"/>
      <c r="N161" s="49"/>
      <c r="O161" s="251"/>
      <c r="P161" s="163"/>
      <c r="Q161" s="45"/>
      <c r="R161" s="46"/>
      <c r="S161" s="512"/>
      <c r="V161" s="57"/>
      <c r="W161" s="35"/>
      <c r="Z161" s="57"/>
      <c r="AA161" s="72" t="s">
        <v>17570</v>
      </c>
      <c r="AD161" s="57"/>
      <c r="AE161" s="208">
        <f>ROUND((ROUND((_15_同援日１．０*_15・基礎２),0)*(1+_15・区３)),0)+ROUND((ROUND((ROUND((_15_同援日１．０＿１．０*_15・基礎２),0)*(1+_15・B夜間)),0)*(1+_15・区３)),0)</f>
        <v>592</v>
      </c>
      <c r="AF161" s="48"/>
    </row>
    <row r="162" spans="1:32" ht="16.5" customHeight="1" x14ac:dyDescent="0.15">
      <c r="A162" s="41">
        <v>15</v>
      </c>
      <c r="B162" s="41">
        <v>9714</v>
      </c>
      <c r="C162" s="74" t="s">
        <v>19712</v>
      </c>
      <c r="D162" s="72"/>
      <c r="F162" s="57"/>
      <c r="G162" s="72"/>
      <c r="I162" s="57"/>
      <c r="J162" s="122"/>
      <c r="K162" s="37"/>
      <c r="L162" s="37"/>
      <c r="M162" s="37"/>
      <c r="N162" s="37" t="s">
        <v>398</v>
      </c>
      <c r="O162" s="244">
        <v>0.9</v>
      </c>
      <c r="P162" s="521" t="s">
        <v>17556</v>
      </c>
      <c r="Q162" s="45" t="s">
        <v>398</v>
      </c>
      <c r="R162" s="46">
        <v>1</v>
      </c>
      <c r="S162" s="512"/>
      <c r="V162" s="57"/>
      <c r="W162" s="43"/>
      <c r="X162" s="37"/>
      <c r="Y162" s="38"/>
      <c r="Z162" s="79"/>
      <c r="AA162" s="72" t="s">
        <v>17572</v>
      </c>
      <c r="AD162" s="57"/>
      <c r="AE162" s="208">
        <f>ROUND((ROUND((ROUND((_15_同援日１．０*_15・基礎２),0)*_15・２人),0)*(1+_15・区３)),0)+ROUND((ROUND((ROUND((ROUND((_15_同援日１．０＿１．０*_15・基礎２),0)*_15・２人),0)*(1+_15・B夜間)),0)*(1+_15・区３)),0)</f>
        <v>592</v>
      </c>
      <c r="AF162" s="48"/>
    </row>
    <row r="163" spans="1:32" ht="16.5" customHeight="1" x14ac:dyDescent="0.15">
      <c r="A163" s="41">
        <v>15</v>
      </c>
      <c r="B163" s="41">
        <v>9715</v>
      </c>
      <c r="C163" s="74" t="s">
        <v>19713</v>
      </c>
      <c r="D163" s="72"/>
      <c r="F163" s="57"/>
      <c r="G163" s="72"/>
      <c r="I163" s="57"/>
      <c r="J163" s="114"/>
      <c r="K163" s="49"/>
      <c r="L163" s="49"/>
      <c r="M163" s="49"/>
      <c r="N163" s="49"/>
      <c r="O163" s="251"/>
      <c r="P163" s="163"/>
      <c r="Q163" s="45"/>
      <c r="R163" s="46"/>
      <c r="S163" s="512"/>
      <c r="V163" s="57"/>
      <c r="W163" s="116" t="s">
        <v>17562</v>
      </c>
      <c r="X163" s="49"/>
      <c r="Y163" s="50"/>
      <c r="Z163" s="115"/>
      <c r="AA163" s="35"/>
      <c r="AB163" s="12" t="s">
        <v>398</v>
      </c>
      <c r="AC163" s="13">
        <v>0.2</v>
      </c>
      <c r="AD163" s="57" t="s">
        <v>3575</v>
      </c>
      <c r="AE163" s="208">
        <f>ROUND((ROUND((_15_同援日１．０*(1+_15・盲ろう)),0)*(1+_15・区３)),0)+ROUND((ROUND((ROUND((_15_同援日１．０＿１．０*(1+_15・B夜間)),0)*(1+_15・盲ろう)),0)*(1+_15・区３)),0)</f>
        <v>822</v>
      </c>
      <c r="AF163" s="48"/>
    </row>
    <row r="164" spans="1:32" ht="16.5" customHeight="1" x14ac:dyDescent="0.15">
      <c r="A164" s="41">
        <v>15</v>
      </c>
      <c r="B164" s="41">
        <v>9716</v>
      </c>
      <c r="C164" s="74" t="s">
        <v>19714</v>
      </c>
      <c r="D164" s="72"/>
      <c r="F164" s="57"/>
      <c r="G164" s="72"/>
      <c r="I164" s="57"/>
      <c r="J164" s="122"/>
      <c r="K164" s="37"/>
      <c r="L164" s="37"/>
      <c r="M164" s="37"/>
      <c r="N164" s="37"/>
      <c r="O164" s="244"/>
      <c r="P164" s="521" t="s">
        <v>17556</v>
      </c>
      <c r="Q164" s="45" t="s">
        <v>398</v>
      </c>
      <c r="R164" s="46">
        <v>1</v>
      </c>
      <c r="S164" s="512"/>
      <c r="V164" s="57"/>
      <c r="W164" s="92" t="s">
        <v>17564</v>
      </c>
      <c r="Z164" s="57"/>
      <c r="AA164" s="35"/>
      <c r="AD164" s="57"/>
      <c r="AE164" s="208">
        <f>ROUND((ROUND((ROUND((_15_同援日１．０*_15・２人),0)*(1+_15・盲ろう)),0)*(1+_15・区３)),0)+ROUND((ROUND((ROUND((ROUND((_15_同援日１．０＿１．０*_15・２人),0)*(1+_15・B夜間)),0)*(1+_15・盲ろう)),0)*(1+_15・区３)),0)</f>
        <v>822</v>
      </c>
      <c r="AF164" s="48"/>
    </row>
    <row r="165" spans="1:32" ht="16.5" customHeight="1" x14ac:dyDescent="0.15">
      <c r="A165" s="41">
        <v>15</v>
      </c>
      <c r="B165" s="41">
        <v>9717</v>
      </c>
      <c r="C165" s="74" t="s">
        <v>19715</v>
      </c>
      <c r="D165" s="72"/>
      <c r="F165" s="57"/>
      <c r="G165" s="72"/>
      <c r="I165" s="57"/>
      <c r="J165" s="114" t="s">
        <v>678</v>
      </c>
      <c r="K165" s="49"/>
      <c r="L165" s="49"/>
      <c r="M165" s="49"/>
      <c r="N165" s="49"/>
      <c r="O165" s="251"/>
      <c r="P165" s="163"/>
      <c r="Q165" s="45"/>
      <c r="R165" s="46"/>
      <c r="S165" s="512"/>
      <c r="V165" s="57"/>
      <c r="W165" s="35"/>
      <c r="X165" s="12" t="s">
        <v>398</v>
      </c>
      <c r="Y165" s="13">
        <v>0.25</v>
      </c>
      <c r="Z165" s="57" t="s">
        <v>3575</v>
      </c>
      <c r="AA165" s="35"/>
      <c r="AD165" s="57"/>
      <c r="AE165" s="208">
        <f>ROUND((ROUND((ROUND((_15_同援日１．０*_15・基礎２),0)*(1+_15・盲ろう)),0)*(1+_15・区３)),0)+ROUND((ROUND((ROUND((ROUND((_15_同援日１．０＿１．０*_15・基礎２),0)*(1+_15・B夜間)),0)*(1+_15・盲ろう)),0)*(1+_15・区３)),0)</f>
        <v>741</v>
      </c>
      <c r="AF165" s="48"/>
    </row>
    <row r="166" spans="1:32" ht="16.5" customHeight="1" x14ac:dyDescent="0.15">
      <c r="A166" s="41">
        <v>15</v>
      </c>
      <c r="B166" s="41">
        <v>9718</v>
      </c>
      <c r="C166" s="74" t="s">
        <v>19716</v>
      </c>
      <c r="D166" s="72"/>
      <c r="F166" s="57"/>
      <c r="G166" s="72"/>
      <c r="I166" s="57"/>
      <c r="J166" s="122"/>
      <c r="K166" s="37"/>
      <c r="L166" s="37"/>
      <c r="M166" s="37"/>
      <c r="N166" s="37" t="s">
        <v>398</v>
      </c>
      <c r="O166" s="244">
        <v>0.9</v>
      </c>
      <c r="P166" s="521" t="s">
        <v>17556</v>
      </c>
      <c r="Q166" s="45" t="s">
        <v>398</v>
      </c>
      <c r="R166" s="46">
        <v>1</v>
      </c>
      <c r="S166" s="512"/>
      <c r="V166" s="57"/>
      <c r="W166" s="43"/>
      <c r="X166" s="37"/>
      <c r="Y166" s="38"/>
      <c r="Z166" s="79"/>
      <c r="AA166" s="43"/>
      <c r="AB166" s="37"/>
      <c r="AC166" s="38"/>
      <c r="AD166" s="79"/>
      <c r="AE166" s="208">
        <f>ROUND((ROUND((ROUND((ROUND((_15_同援日１．０*_15・基礎２),0)*_15・２人),0)*(1+_15・盲ろう)),0)*(1+_15・区３)),0)+ROUND((ROUND((ROUND((ROUND((ROUND((_15_同援日１．０＿１．０*_15・基礎２),0)*_15・２人),0)*(1+_15・B夜間)),0)*(1+_15・盲ろう)),0)*(1+_15・区３)),0)</f>
        <v>741</v>
      </c>
      <c r="AF166" s="48"/>
    </row>
    <row r="167" spans="1:32" ht="16.5" customHeight="1" x14ac:dyDescent="0.15">
      <c r="A167" s="41">
        <v>15</v>
      </c>
      <c r="B167" s="41">
        <v>9719</v>
      </c>
      <c r="C167" s="74" t="s">
        <v>19717</v>
      </c>
      <c r="D167" s="72"/>
      <c r="F167" s="57"/>
      <c r="G167" s="72"/>
      <c r="I167" s="57"/>
      <c r="J167" s="114"/>
      <c r="K167" s="49"/>
      <c r="L167" s="49"/>
      <c r="M167" s="49"/>
      <c r="N167" s="49"/>
      <c r="O167" s="251"/>
      <c r="P167" s="163"/>
      <c r="Q167" s="45"/>
      <c r="R167" s="46"/>
      <c r="S167" s="512"/>
      <c r="V167" s="57"/>
      <c r="W167" s="53"/>
      <c r="X167" s="49"/>
      <c r="Y167" s="50"/>
      <c r="Z167" s="115"/>
      <c r="AA167" s="53"/>
      <c r="AB167" s="49"/>
      <c r="AC167" s="50"/>
      <c r="AD167" s="115"/>
      <c r="AE167" s="208">
        <f>ROUND((_15_同援日１．０*(1+_15・区４)),0)+ROUND((ROUND((_15_同援日１．０＿１．０*(1+_15・B夜間)),0)*(1+_15・区４)),0)</f>
        <v>767</v>
      </c>
      <c r="AF167" s="48"/>
    </row>
    <row r="168" spans="1:32" ht="16.5" customHeight="1" x14ac:dyDescent="0.15">
      <c r="A168" s="41">
        <v>15</v>
      </c>
      <c r="B168" s="41">
        <v>9720</v>
      </c>
      <c r="C168" s="74" t="s">
        <v>19718</v>
      </c>
      <c r="D168" s="72"/>
      <c r="F168" s="57"/>
      <c r="G168" s="72"/>
      <c r="I168" s="57"/>
      <c r="J168" s="122"/>
      <c r="K168" s="37"/>
      <c r="L168" s="37"/>
      <c r="M168" s="37"/>
      <c r="N168" s="37"/>
      <c r="O168" s="244"/>
      <c r="P168" s="521" t="s">
        <v>17556</v>
      </c>
      <c r="Q168" s="45" t="s">
        <v>398</v>
      </c>
      <c r="R168" s="46">
        <v>1</v>
      </c>
      <c r="S168" s="512"/>
      <c r="V168" s="57"/>
      <c r="W168" s="35"/>
      <c r="Z168" s="57"/>
      <c r="AA168" s="35"/>
      <c r="AD168" s="57"/>
      <c r="AE168" s="208">
        <f>ROUND((ROUND((_15_同援日１．０*_15・２人),0)*(1+_15・区４)),0)+ROUND((ROUND((ROUND((_15_同援日１．０＿１．０*_15・２人),0)*(1+_15・B夜間)),0)*(1+_15・区４)),0)</f>
        <v>767</v>
      </c>
      <c r="AF168" s="48"/>
    </row>
    <row r="169" spans="1:32" ht="16.5" customHeight="1" x14ac:dyDescent="0.15">
      <c r="A169" s="41">
        <v>15</v>
      </c>
      <c r="B169" s="41">
        <v>9721</v>
      </c>
      <c r="C169" s="74" t="s">
        <v>19719</v>
      </c>
      <c r="D169" s="72"/>
      <c r="F169" s="57"/>
      <c r="G169" s="72"/>
      <c r="I169" s="57"/>
      <c r="J169" s="114" t="s">
        <v>678</v>
      </c>
      <c r="K169" s="49"/>
      <c r="L169" s="49"/>
      <c r="M169" s="49"/>
      <c r="N169" s="49"/>
      <c r="O169" s="251"/>
      <c r="P169" s="163"/>
      <c r="Q169" s="45"/>
      <c r="R169" s="46"/>
      <c r="S169" s="512"/>
      <c r="V169" s="57"/>
      <c r="W169" s="35"/>
      <c r="Z169" s="57"/>
      <c r="AA169" s="72" t="s">
        <v>17580</v>
      </c>
      <c r="AD169" s="57"/>
      <c r="AE169" s="208">
        <f>ROUND((ROUND((_15_同援日１．０*_15・基礎２),0)*(1+_15・区４)),0)+ROUND((ROUND((ROUND((_15_同援日１．０＿１．０*_15・基礎２),0)*(1+_15・B夜間)),0)*(1+_15・区４)),0)</f>
        <v>690</v>
      </c>
      <c r="AF169" s="48"/>
    </row>
    <row r="170" spans="1:32" ht="16.5" customHeight="1" x14ac:dyDescent="0.15">
      <c r="A170" s="41">
        <v>15</v>
      </c>
      <c r="B170" s="41">
        <v>9722</v>
      </c>
      <c r="C170" s="74" t="s">
        <v>19720</v>
      </c>
      <c r="D170" s="72"/>
      <c r="F170" s="57"/>
      <c r="G170" s="72"/>
      <c r="I170" s="57"/>
      <c r="J170" s="122"/>
      <c r="K170" s="37"/>
      <c r="L170" s="37"/>
      <c r="M170" s="37"/>
      <c r="N170" s="37" t="s">
        <v>398</v>
      </c>
      <c r="O170" s="244">
        <v>0.9</v>
      </c>
      <c r="P170" s="521" t="s">
        <v>17556</v>
      </c>
      <c r="Q170" s="45" t="s">
        <v>398</v>
      </c>
      <c r="R170" s="46">
        <v>1</v>
      </c>
      <c r="S170" s="512"/>
      <c r="V170" s="57"/>
      <c r="W170" s="43"/>
      <c r="X170" s="37"/>
      <c r="Y170" s="38"/>
      <c r="Z170" s="79"/>
      <c r="AA170" s="72" t="s">
        <v>17572</v>
      </c>
      <c r="AD170" s="57"/>
      <c r="AE170" s="208">
        <f>ROUND((ROUND((ROUND((_15_同援日１．０*_15・基礎２),0)*_15・２人),0)*(1+_15・区４)),0)+ROUND((ROUND((ROUND((ROUND((_15_同援日１．０＿１．０*_15・基礎２),0)*_15・２人),0)*(1+_15・B夜間)),0)*(1+_15・区４)),0)</f>
        <v>690</v>
      </c>
      <c r="AF170" s="48"/>
    </row>
    <row r="171" spans="1:32" ht="16.5" customHeight="1" x14ac:dyDescent="0.15">
      <c r="A171" s="41">
        <v>15</v>
      </c>
      <c r="B171" s="41">
        <v>9723</v>
      </c>
      <c r="C171" s="74" t="s">
        <v>19721</v>
      </c>
      <c r="D171" s="72"/>
      <c r="F171" s="57"/>
      <c r="G171" s="72"/>
      <c r="I171" s="57"/>
      <c r="J171" s="114"/>
      <c r="K171" s="49"/>
      <c r="L171" s="49"/>
      <c r="M171" s="49"/>
      <c r="N171" s="49"/>
      <c r="O171" s="251"/>
      <c r="P171" s="163"/>
      <c r="Q171" s="45"/>
      <c r="R171" s="46"/>
      <c r="S171" s="512"/>
      <c r="V171" s="57"/>
      <c r="W171" s="116" t="s">
        <v>17562</v>
      </c>
      <c r="X171" s="49"/>
      <c r="Y171" s="50"/>
      <c r="Z171" s="115"/>
      <c r="AA171" s="35"/>
      <c r="AB171" s="12" t="s">
        <v>398</v>
      </c>
      <c r="AC171" s="13">
        <v>0.4</v>
      </c>
      <c r="AD171" s="57" t="s">
        <v>3575</v>
      </c>
      <c r="AE171" s="208">
        <f>ROUND((ROUND((_15_同援日１．０*(1+_15・盲ろう)),0)*(1+_15・区４)),0)+ROUND((ROUND((ROUND((_15_同援日１．０＿１．０*(1+_15・B夜間)),0)*(1+_15・盲ろう)),0)*(1+_15・区４)),0)</f>
        <v>959</v>
      </c>
      <c r="AF171" s="48"/>
    </row>
    <row r="172" spans="1:32" ht="16.5" customHeight="1" x14ac:dyDescent="0.15">
      <c r="A172" s="41">
        <v>15</v>
      </c>
      <c r="B172" s="41">
        <v>9724</v>
      </c>
      <c r="C172" s="74" t="s">
        <v>19722</v>
      </c>
      <c r="D172" s="72"/>
      <c r="F172" s="57"/>
      <c r="G172" s="72"/>
      <c r="I172" s="57"/>
      <c r="J172" s="122"/>
      <c r="K172" s="37"/>
      <c r="L172" s="37"/>
      <c r="M172" s="37"/>
      <c r="N172" s="37"/>
      <c r="O172" s="244"/>
      <c r="P172" s="521" t="s">
        <v>17556</v>
      </c>
      <c r="Q172" s="45" t="s">
        <v>398</v>
      </c>
      <c r="R172" s="46">
        <v>1</v>
      </c>
      <c r="S172" s="512"/>
      <c r="V172" s="57"/>
      <c r="W172" s="92" t="s">
        <v>17564</v>
      </c>
      <c r="Z172" s="57"/>
      <c r="AA172" s="35"/>
      <c r="AD172" s="57"/>
      <c r="AE172" s="208">
        <f>ROUND((ROUND((ROUND((_15_同援日１．０*_15・２人),0)*(1+_15・盲ろう)),0)*(1+_15・区４)),0)+ROUND((ROUND((ROUND((ROUND((_15_同援日１．０＿１．０*_15・２人),0)*(1+_15・B夜間)),0)*(1+_15・盲ろう)),0)*(1+_15・区４)),0)</f>
        <v>959</v>
      </c>
      <c r="AF172" s="48"/>
    </row>
    <row r="173" spans="1:32" ht="16.5" customHeight="1" x14ac:dyDescent="0.15">
      <c r="A173" s="41">
        <v>15</v>
      </c>
      <c r="B173" s="41">
        <v>9725</v>
      </c>
      <c r="C173" s="74" t="s">
        <v>19723</v>
      </c>
      <c r="D173" s="72"/>
      <c r="F173" s="57"/>
      <c r="G173" s="72"/>
      <c r="I173" s="57"/>
      <c r="J173" s="114" t="s">
        <v>678</v>
      </c>
      <c r="K173" s="49"/>
      <c r="L173" s="49"/>
      <c r="M173" s="49"/>
      <c r="N173" s="49"/>
      <c r="O173" s="251"/>
      <c r="P173" s="163"/>
      <c r="Q173" s="45"/>
      <c r="R173" s="46"/>
      <c r="S173" s="512"/>
      <c r="V173" s="57"/>
      <c r="W173" s="35"/>
      <c r="X173" s="12" t="s">
        <v>398</v>
      </c>
      <c r="Y173" s="13">
        <v>0.25</v>
      </c>
      <c r="Z173" s="57" t="s">
        <v>3575</v>
      </c>
      <c r="AA173" s="35"/>
      <c r="AD173" s="57"/>
      <c r="AE173" s="208">
        <f>ROUND((ROUND((ROUND((_15_同援日１．０*_15・基礎２),0)*(1+_15・盲ろう)),0)*(1+_15・区４)),0)+ROUND((ROUND((ROUND((ROUND((_15_同援日１．０＿１．０*_15・基礎２),0)*(1+_15・B夜間)),0)*(1+_15・盲ろう)),0)*(1+_15・区４)),0)</f>
        <v>864</v>
      </c>
      <c r="AF173" s="48"/>
    </row>
    <row r="174" spans="1:32" ht="16.5" customHeight="1" x14ac:dyDescent="0.15">
      <c r="A174" s="41">
        <v>15</v>
      </c>
      <c r="B174" s="41">
        <v>9726</v>
      </c>
      <c r="C174" s="74" t="s">
        <v>19724</v>
      </c>
      <c r="D174" s="72"/>
      <c r="F174" s="57"/>
      <c r="G174" s="122"/>
      <c r="H174" s="37"/>
      <c r="I174" s="79"/>
      <c r="J174" s="122"/>
      <c r="K174" s="37"/>
      <c r="L174" s="37"/>
      <c r="M174" s="37"/>
      <c r="N174" s="37" t="s">
        <v>398</v>
      </c>
      <c r="O174" s="244">
        <v>0.9</v>
      </c>
      <c r="P174" s="521" t="s">
        <v>17556</v>
      </c>
      <c r="Q174" s="45" t="s">
        <v>398</v>
      </c>
      <c r="R174" s="46">
        <v>1</v>
      </c>
      <c r="S174" s="512"/>
      <c r="V174" s="57"/>
      <c r="W174" s="43"/>
      <c r="X174" s="37"/>
      <c r="Y174" s="38"/>
      <c r="Z174" s="79"/>
      <c r="AA174" s="43"/>
      <c r="AB174" s="37"/>
      <c r="AC174" s="38"/>
      <c r="AD174" s="79"/>
      <c r="AE174" s="208">
        <f>ROUND((ROUND((ROUND((ROUND((_15_同援日１．０*_15・基礎２),0)*_15・２人),0)*(1+_15・盲ろう)),0)*(1+_15・区４)),0)+ROUND((ROUND((ROUND((ROUND((ROUND((_15_同援日１．０＿１．０*_15・基礎２),0)*_15・２人),0)*(1+_15・B夜間)),0)*(1+_15・盲ろう)),0)*(1+_15・区４)),0)</f>
        <v>864</v>
      </c>
      <c r="AF174" s="48"/>
    </row>
    <row r="175" spans="1:32" ht="16.5" customHeight="1" x14ac:dyDescent="0.15">
      <c r="A175" s="41">
        <v>15</v>
      </c>
      <c r="B175" s="41">
        <v>9727</v>
      </c>
      <c r="C175" s="74" t="s">
        <v>19725</v>
      </c>
      <c r="D175" s="72"/>
      <c r="F175" s="57"/>
      <c r="G175" s="114" t="s">
        <v>19603</v>
      </c>
      <c r="H175" s="49"/>
      <c r="I175" s="115"/>
      <c r="J175" s="114"/>
      <c r="K175" s="49"/>
      <c r="L175" s="49"/>
      <c r="M175" s="49"/>
      <c r="N175" s="49"/>
      <c r="O175" s="251"/>
      <c r="P175" s="163"/>
      <c r="Q175" s="45"/>
      <c r="R175" s="46"/>
      <c r="S175" s="512"/>
      <c r="V175" s="57"/>
      <c r="W175" s="53"/>
      <c r="X175" s="49"/>
      <c r="Y175" s="50"/>
      <c r="Z175" s="115"/>
      <c r="AA175" s="53"/>
      <c r="AB175" s="49"/>
      <c r="AC175" s="50"/>
      <c r="AD175" s="115"/>
      <c r="AE175" s="208">
        <f>_15_同援日１．０+ROUND((_15_同援日１．０＿１．５*(1+_15・B夜間)),0)</f>
        <v>629</v>
      </c>
      <c r="AF175" s="48"/>
    </row>
    <row r="176" spans="1:32" ht="16.5" customHeight="1" x14ac:dyDescent="0.15">
      <c r="A176" s="41">
        <v>15</v>
      </c>
      <c r="B176" s="41">
        <v>9728</v>
      </c>
      <c r="C176" s="74" t="s">
        <v>19726</v>
      </c>
      <c r="D176" s="72"/>
      <c r="F176" s="57"/>
      <c r="G176" s="72" t="s">
        <v>17616</v>
      </c>
      <c r="I176" s="57"/>
      <c r="J176" s="122"/>
      <c r="K176" s="37"/>
      <c r="L176" s="37"/>
      <c r="M176" s="37"/>
      <c r="N176" s="37"/>
      <c r="O176" s="244"/>
      <c r="P176" s="521" t="s">
        <v>17556</v>
      </c>
      <c r="Q176" s="45" t="s">
        <v>398</v>
      </c>
      <c r="R176" s="46">
        <v>1</v>
      </c>
      <c r="S176" s="512"/>
      <c r="V176" s="57"/>
      <c r="W176" s="35"/>
      <c r="Z176" s="57"/>
      <c r="AA176" s="35"/>
      <c r="AD176" s="57"/>
      <c r="AE176" s="208">
        <f>ROUND((_15_同援日１．０*_15・２人),0)+ROUND((ROUND((_15_同援日１．０＿１．５*_15・２人),0)*(1+_15・B夜間)),0)</f>
        <v>629</v>
      </c>
      <c r="AF176" s="48"/>
    </row>
    <row r="177" spans="1:32" ht="16.5" customHeight="1" x14ac:dyDescent="0.15">
      <c r="A177" s="41">
        <v>15</v>
      </c>
      <c r="B177" s="41">
        <v>9729</v>
      </c>
      <c r="C177" s="74" t="s">
        <v>19727</v>
      </c>
      <c r="D177" s="72"/>
      <c r="F177" s="57"/>
      <c r="G177" s="72" t="s">
        <v>18183</v>
      </c>
      <c r="I177" s="57"/>
      <c r="J177" s="114" t="s">
        <v>678</v>
      </c>
      <c r="K177" s="49"/>
      <c r="L177" s="49"/>
      <c r="M177" s="49"/>
      <c r="N177" s="49"/>
      <c r="O177" s="251"/>
      <c r="P177" s="163"/>
      <c r="Q177" s="45"/>
      <c r="R177" s="46"/>
      <c r="S177" s="512"/>
      <c r="V177" s="57"/>
      <c r="W177" s="35"/>
      <c r="Z177" s="57"/>
      <c r="AA177" s="35"/>
      <c r="AD177" s="57"/>
      <c r="AE177" s="208">
        <f>ROUND((_15_同援日１．０*_15・基礎２),0)+ROUND((ROUND((_15_同援日１．０＿１．５*_15・基礎２),0)*(1+_15・B夜間)),0)</f>
        <v>566</v>
      </c>
      <c r="AF177" s="48"/>
    </row>
    <row r="178" spans="1:32" ht="16.5" customHeight="1" x14ac:dyDescent="0.15">
      <c r="A178" s="41">
        <v>15</v>
      </c>
      <c r="B178" s="41">
        <v>9730</v>
      </c>
      <c r="C178" s="74" t="s">
        <v>19728</v>
      </c>
      <c r="D178" s="72"/>
      <c r="F178" s="57"/>
      <c r="G178" s="72"/>
      <c r="H178" s="168">
        <f>_15_同援日１．０＿１．５</f>
        <v>263</v>
      </c>
      <c r="I178" s="57" t="s">
        <v>392</v>
      </c>
      <c r="J178" s="122"/>
      <c r="K178" s="37"/>
      <c r="L178" s="37"/>
      <c r="M178" s="37"/>
      <c r="N178" s="37" t="s">
        <v>398</v>
      </c>
      <c r="O178" s="244">
        <v>0.9</v>
      </c>
      <c r="P178" s="521" t="s">
        <v>17556</v>
      </c>
      <c r="Q178" s="45" t="s">
        <v>398</v>
      </c>
      <c r="R178" s="46">
        <v>1</v>
      </c>
      <c r="S178" s="512"/>
      <c r="V178" s="57"/>
      <c r="W178" s="43"/>
      <c r="X178" s="37"/>
      <c r="Y178" s="38"/>
      <c r="Z178" s="79"/>
      <c r="AA178" s="35"/>
      <c r="AD178" s="57"/>
      <c r="AE178" s="208">
        <f>ROUND((ROUND((_15_同援日１．０*_15・基礎２),0)*_15・２人),0)+ROUND((ROUND((ROUND((_15_同援日１．０＿１．５*_15・基礎２),0)*_15・２人),0)*(1+_15・B夜間)),0)</f>
        <v>566</v>
      </c>
      <c r="AF178" s="48"/>
    </row>
    <row r="179" spans="1:32" ht="16.5" customHeight="1" x14ac:dyDescent="0.15">
      <c r="A179" s="41">
        <v>15</v>
      </c>
      <c r="B179" s="41">
        <v>9731</v>
      </c>
      <c r="C179" s="74" t="s">
        <v>19729</v>
      </c>
      <c r="D179" s="72"/>
      <c r="F179" s="57"/>
      <c r="G179" s="72"/>
      <c r="I179" s="57"/>
      <c r="J179" s="114"/>
      <c r="K179" s="49"/>
      <c r="L179" s="49"/>
      <c r="M179" s="49"/>
      <c r="N179" s="49"/>
      <c r="O179" s="251"/>
      <c r="P179" s="163"/>
      <c r="Q179" s="45"/>
      <c r="R179" s="46"/>
      <c r="S179" s="512"/>
      <c r="V179" s="57"/>
      <c r="W179" s="116" t="s">
        <v>17562</v>
      </c>
      <c r="X179" s="49"/>
      <c r="Y179" s="50"/>
      <c r="Z179" s="115"/>
      <c r="AA179" s="35"/>
      <c r="AD179" s="57"/>
      <c r="AE179" s="208">
        <f>ROUND((_15_同援日１．０*(1+_15・盲ろう)),0)+ROUND((ROUND((_15_同援日１．０＿１．５*(1+_15・B夜間)),0)*(1+_15・盲ろう)),0)</f>
        <v>786</v>
      </c>
      <c r="AF179" s="48"/>
    </row>
    <row r="180" spans="1:32" ht="16.5" customHeight="1" x14ac:dyDescent="0.15">
      <c r="A180" s="41">
        <v>15</v>
      </c>
      <c r="B180" s="41">
        <v>9732</v>
      </c>
      <c r="C180" s="74" t="s">
        <v>19730</v>
      </c>
      <c r="D180" s="72"/>
      <c r="F180" s="57"/>
      <c r="G180" s="72"/>
      <c r="I180" s="57"/>
      <c r="J180" s="122"/>
      <c r="K180" s="37"/>
      <c r="L180" s="37"/>
      <c r="M180" s="37"/>
      <c r="N180" s="37"/>
      <c r="O180" s="244"/>
      <c r="P180" s="521" t="s">
        <v>17556</v>
      </c>
      <c r="Q180" s="45" t="s">
        <v>398</v>
      </c>
      <c r="R180" s="46">
        <v>1</v>
      </c>
      <c r="S180" s="512"/>
      <c r="V180" s="57"/>
      <c r="W180" s="92" t="s">
        <v>17564</v>
      </c>
      <c r="Z180" s="57"/>
      <c r="AA180" s="35"/>
      <c r="AD180" s="57"/>
      <c r="AE180" s="208">
        <f>ROUND((ROUND((_15_同援日１．０*_15・２人),0)*(1+_15・盲ろう)),0)+ROUND((ROUND((ROUND((_15_同援日１．０＿１．５*_15・２人),0)*(1+_15・B夜間)),0)*(1+_15・盲ろう)),0)</f>
        <v>786</v>
      </c>
      <c r="AF180" s="48"/>
    </row>
    <row r="181" spans="1:32" ht="16.5" customHeight="1" x14ac:dyDescent="0.15">
      <c r="A181" s="41">
        <v>15</v>
      </c>
      <c r="B181" s="41">
        <v>9733</v>
      </c>
      <c r="C181" s="74" t="s">
        <v>19731</v>
      </c>
      <c r="D181" s="72"/>
      <c r="F181" s="57"/>
      <c r="G181" s="72"/>
      <c r="I181" s="57"/>
      <c r="J181" s="114" t="s">
        <v>678</v>
      </c>
      <c r="K181" s="49"/>
      <c r="L181" s="49"/>
      <c r="M181" s="49"/>
      <c r="N181" s="49"/>
      <c r="O181" s="251"/>
      <c r="P181" s="163"/>
      <c r="Q181" s="45"/>
      <c r="R181" s="46"/>
      <c r="S181" s="512"/>
      <c r="V181" s="57"/>
      <c r="W181" s="35"/>
      <c r="X181" s="12" t="s">
        <v>398</v>
      </c>
      <c r="Y181" s="13">
        <v>0.25</v>
      </c>
      <c r="Z181" s="57" t="s">
        <v>3575</v>
      </c>
      <c r="AA181" s="35"/>
      <c r="AD181" s="57"/>
      <c r="AE181" s="208">
        <f>ROUND((ROUND((_15_同援日１．０*_15・基礎２),0)*(1+_15・盲ろう)),0)+ROUND((ROUND((ROUND((_15_同援日１．０＿１．５*_15・基礎２),0)*(1+_15・B夜間)),0)*(1+_15・盲ろう)),0)</f>
        <v>708</v>
      </c>
      <c r="AF181" s="48"/>
    </row>
    <row r="182" spans="1:32" ht="16.5" customHeight="1" x14ac:dyDescent="0.15">
      <c r="A182" s="41">
        <v>15</v>
      </c>
      <c r="B182" s="41">
        <v>9734</v>
      </c>
      <c r="C182" s="74" t="s">
        <v>19732</v>
      </c>
      <c r="D182" s="72"/>
      <c r="F182" s="57"/>
      <c r="G182" s="72"/>
      <c r="I182" s="57"/>
      <c r="J182" s="122"/>
      <c r="K182" s="37"/>
      <c r="L182" s="37"/>
      <c r="M182" s="37"/>
      <c r="N182" s="37" t="s">
        <v>398</v>
      </c>
      <c r="O182" s="244">
        <v>0.9</v>
      </c>
      <c r="P182" s="521" t="s">
        <v>17556</v>
      </c>
      <c r="Q182" s="45" t="s">
        <v>398</v>
      </c>
      <c r="R182" s="46">
        <v>1</v>
      </c>
      <c r="S182" s="512"/>
      <c r="V182" s="57"/>
      <c r="W182" s="43"/>
      <c r="X182" s="37"/>
      <c r="Y182" s="38"/>
      <c r="Z182" s="79"/>
      <c r="AA182" s="43"/>
      <c r="AB182" s="37"/>
      <c r="AC182" s="38"/>
      <c r="AD182" s="79"/>
      <c r="AE182" s="208">
        <f>ROUND((ROUND((ROUND((_15_同援日１．０*_15・基礎２),0)*_15・２人),0)*(1+_15・盲ろう)),0)+ROUND((ROUND((ROUND((ROUND((_15_同援日１．０＿１．５*_15・基礎２),0)*_15・２人),0)*(1+_15・B夜間)),0)*(1+_15・盲ろう)),0)</f>
        <v>708</v>
      </c>
      <c r="AF182" s="48"/>
    </row>
    <row r="183" spans="1:32" ht="16.5" customHeight="1" x14ac:dyDescent="0.15">
      <c r="A183" s="41">
        <v>15</v>
      </c>
      <c r="B183" s="41">
        <v>9735</v>
      </c>
      <c r="C183" s="74" t="s">
        <v>19733</v>
      </c>
      <c r="D183" s="72"/>
      <c r="F183" s="57"/>
      <c r="G183" s="72"/>
      <c r="I183" s="57"/>
      <c r="J183" s="114"/>
      <c r="K183" s="49"/>
      <c r="L183" s="49"/>
      <c r="M183" s="49"/>
      <c r="N183" s="49"/>
      <c r="O183" s="251"/>
      <c r="P183" s="163"/>
      <c r="Q183" s="45"/>
      <c r="R183" s="46"/>
      <c r="S183" s="512"/>
      <c r="V183" s="57"/>
      <c r="W183" s="53"/>
      <c r="X183" s="49"/>
      <c r="Y183" s="50"/>
      <c r="Z183" s="115"/>
      <c r="AA183" s="53"/>
      <c r="AB183" s="49"/>
      <c r="AC183" s="50"/>
      <c r="AD183" s="115"/>
      <c r="AE183" s="208">
        <f>ROUND((_15_同援日１．０*(1+_15・区３)),0)+ROUND((ROUND((_15_同援日１．０＿１．５*(1+_15・B夜間)),0)*(1+_15・区３)),0)</f>
        <v>755</v>
      </c>
      <c r="AF183" s="48"/>
    </row>
    <row r="184" spans="1:32" ht="16.5" customHeight="1" x14ac:dyDescent="0.15">
      <c r="A184" s="41">
        <v>15</v>
      </c>
      <c r="B184" s="41">
        <v>9736</v>
      </c>
      <c r="C184" s="74" t="s">
        <v>19734</v>
      </c>
      <c r="D184" s="72"/>
      <c r="F184" s="57"/>
      <c r="G184" s="72"/>
      <c r="I184" s="57"/>
      <c r="J184" s="122"/>
      <c r="K184" s="37"/>
      <c r="L184" s="37"/>
      <c r="M184" s="37"/>
      <c r="N184" s="37"/>
      <c r="O184" s="244"/>
      <c r="P184" s="521" t="s">
        <v>17556</v>
      </c>
      <c r="Q184" s="45" t="s">
        <v>398</v>
      </c>
      <c r="R184" s="46">
        <v>1</v>
      </c>
      <c r="S184" s="512"/>
      <c r="V184" s="57"/>
      <c r="W184" s="35"/>
      <c r="Z184" s="57"/>
      <c r="AA184" s="35"/>
      <c r="AD184" s="57"/>
      <c r="AE184" s="208">
        <f>ROUND((ROUND((_15_同援日１．０*_15・２人),0)*(1+_15・区３)),0)+ROUND((ROUND((ROUND((_15_同援日１．０＿１．５*_15・２人),0)*(1+_15・B夜間)),0)*(1+_15・区３)),0)</f>
        <v>755</v>
      </c>
      <c r="AF184" s="48"/>
    </row>
    <row r="185" spans="1:32" ht="16.5" customHeight="1" x14ac:dyDescent="0.15">
      <c r="A185" s="41">
        <v>15</v>
      </c>
      <c r="B185" s="41">
        <v>9737</v>
      </c>
      <c r="C185" s="74" t="s">
        <v>19735</v>
      </c>
      <c r="D185" s="72"/>
      <c r="F185" s="57"/>
      <c r="G185" s="72"/>
      <c r="I185" s="57"/>
      <c r="J185" s="114" t="s">
        <v>678</v>
      </c>
      <c r="K185" s="49"/>
      <c r="L185" s="49"/>
      <c r="M185" s="49"/>
      <c r="N185" s="49"/>
      <c r="O185" s="251"/>
      <c r="P185" s="163"/>
      <c r="Q185" s="45"/>
      <c r="R185" s="46"/>
      <c r="S185" s="512"/>
      <c r="V185" s="57"/>
      <c r="W185" s="35"/>
      <c r="Z185" s="57"/>
      <c r="AA185" s="72" t="s">
        <v>17570</v>
      </c>
      <c r="AD185" s="57"/>
      <c r="AE185" s="208">
        <f>ROUND((ROUND((_15_同援日１．０*_15・基礎２),0)*(1+_15・区３)),0)+ROUND((ROUND((ROUND((_15_同援日１．０＿１．５*_15・基礎２),0)*(1+_15・B夜間)),0)*(1+_15・区３)),0)</f>
        <v>679</v>
      </c>
      <c r="AF185" s="48"/>
    </row>
    <row r="186" spans="1:32" ht="16.5" customHeight="1" x14ac:dyDescent="0.15">
      <c r="A186" s="41">
        <v>15</v>
      </c>
      <c r="B186" s="41">
        <v>9738</v>
      </c>
      <c r="C186" s="74" t="s">
        <v>19736</v>
      </c>
      <c r="D186" s="72"/>
      <c r="F186" s="57"/>
      <c r="G186" s="72"/>
      <c r="I186" s="57"/>
      <c r="J186" s="122"/>
      <c r="K186" s="37"/>
      <c r="L186" s="37"/>
      <c r="M186" s="37"/>
      <c r="N186" s="37" t="s">
        <v>398</v>
      </c>
      <c r="O186" s="244">
        <v>0.9</v>
      </c>
      <c r="P186" s="521" t="s">
        <v>17556</v>
      </c>
      <c r="Q186" s="45" t="s">
        <v>398</v>
      </c>
      <c r="R186" s="46">
        <v>1</v>
      </c>
      <c r="S186" s="512"/>
      <c r="V186" s="57"/>
      <c r="W186" s="43"/>
      <c r="X186" s="37"/>
      <c r="Y186" s="38"/>
      <c r="Z186" s="79"/>
      <c r="AA186" s="72" t="s">
        <v>17572</v>
      </c>
      <c r="AD186" s="57"/>
      <c r="AE186" s="208">
        <f>ROUND((ROUND((ROUND((_15_同援日１．０*_15・基礎２),0)*_15・２人),0)*(1+_15・区３)),0)+ROUND((ROUND((ROUND((ROUND((_15_同援日１．０＿１．５*_15・基礎２),0)*_15・２人),0)*(1+_15・B夜間)),0)*(1+_15・区３)),0)</f>
        <v>679</v>
      </c>
      <c r="AF186" s="48"/>
    </row>
    <row r="187" spans="1:32" ht="16.5" customHeight="1" x14ac:dyDescent="0.15">
      <c r="A187" s="41">
        <v>15</v>
      </c>
      <c r="B187" s="41">
        <v>9739</v>
      </c>
      <c r="C187" s="74" t="s">
        <v>19737</v>
      </c>
      <c r="D187" s="72"/>
      <c r="F187" s="57"/>
      <c r="G187" s="72"/>
      <c r="I187" s="57"/>
      <c r="J187" s="114"/>
      <c r="K187" s="49"/>
      <c r="L187" s="49"/>
      <c r="M187" s="49"/>
      <c r="N187" s="49"/>
      <c r="O187" s="251"/>
      <c r="P187" s="163"/>
      <c r="Q187" s="45"/>
      <c r="R187" s="46"/>
      <c r="S187" s="512"/>
      <c r="V187" s="57"/>
      <c r="W187" s="116" t="s">
        <v>17562</v>
      </c>
      <c r="X187" s="49"/>
      <c r="Y187" s="50"/>
      <c r="Z187" s="115"/>
      <c r="AA187" s="35"/>
      <c r="AB187" s="12" t="s">
        <v>398</v>
      </c>
      <c r="AC187" s="13">
        <v>0.2</v>
      </c>
      <c r="AD187" s="57" t="s">
        <v>3575</v>
      </c>
      <c r="AE187" s="208">
        <f>ROUND((ROUND((_15_同援日１．０*(1+_15・盲ろう)),0)*(1+_15・区３)),0)+ROUND((ROUND((ROUND((_15_同援日１．０＿１．５*(1+_15・B夜間)),0)*(1+_15・盲ろう)),0)*(1+_15・区３)),0)</f>
        <v>943</v>
      </c>
      <c r="AF187" s="48"/>
    </row>
    <row r="188" spans="1:32" ht="16.5" customHeight="1" x14ac:dyDescent="0.15">
      <c r="A188" s="41">
        <v>15</v>
      </c>
      <c r="B188" s="41">
        <v>9740</v>
      </c>
      <c r="C188" s="74" t="s">
        <v>19738</v>
      </c>
      <c r="D188" s="72"/>
      <c r="F188" s="57"/>
      <c r="G188" s="72"/>
      <c r="I188" s="57"/>
      <c r="J188" s="122"/>
      <c r="K188" s="37"/>
      <c r="L188" s="37"/>
      <c r="M188" s="37"/>
      <c r="N188" s="37"/>
      <c r="O188" s="244"/>
      <c r="P188" s="521" t="s">
        <v>17556</v>
      </c>
      <c r="Q188" s="45" t="s">
        <v>398</v>
      </c>
      <c r="R188" s="46">
        <v>1</v>
      </c>
      <c r="S188" s="512"/>
      <c r="V188" s="57"/>
      <c r="W188" s="92" t="s">
        <v>17564</v>
      </c>
      <c r="Z188" s="57"/>
      <c r="AA188" s="35"/>
      <c r="AD188" s="57"/>
      <c r="AE188" s="208">
        <f>ROUND((ROUND((ROUND((_15_同援日１．０*_15・２人),0)*(1+_15・盲ろう)),0)*(1+_15・区３)),0)+ROUND((ROUND((ROUND((ROUND((_15_同援日１．０＿１．５*_15・２人),0)*(1+_15・B夜間)),0)*(1+_15・盲ろう)),0)*(1+_15・区３)),0)</f>
        <v>943</v>
      </c>
      <c r="AF188" s="48"/>
    </row>
    <row r="189" spans="1:32" ht="16.5" customHeight="1" x14ac:dyDescent="0.15">
      <c r="A189" s="41">
        <v>15</v>
      </c>
      <c r="B189" s="41">
        <v>9741</v>
      </c>
      <c r="C189" s="74" t="s">
        <v>19739</v>
      </c>
      <c r="D189" s="72"/>
      <c r="F189" s="57"/>
      <c r="G189" s="72"/>
      <c r="I189" s="57"/>
      <c r="J189" s="114" t="s">
        <v>678</v>
      </c>
      <c r="K189" s="49"/>
      <c r="L189" s="49"/>
      <c r="M189" s="49"/>
      <c r="N189" s="49"/>
      <c r="O189" s="251"/>
      <c r="P189" s="163"/>
      <c r="Q189" s="45"/>
      <c r="R189" s="46"/>
      <c r="S189" s="512"/>
      <c r="V189" s="57"/>
      <c r="W189" s="35"/>
      <c r="X189" s="12" t="s">
        <v>398</v>
      </c>
      <c r="Y189" s="13">
        <v>0.25</v>
      </c>
      <c r="Z189" s="57" t="s">
        <v>3575</v>
      </c>
      <c r="AA189" s="35"/>
      <c r="AD189" s="57"/>
      <c r="AE189" s="208">
        <f>ROUND((ROUND((ROUND((_15_同援日１．０*_15・基礎２),0)*(1+_15・盲ろう)),0)*(1+_15・区３)),0)+ROUND((ROUND((ROUND((ROUND((_15_同援日１．０＿１．５*_15・基礎２),0)*(1+_15・B夜間)),0)*(1+_15・盲ろう)),0)*(1+_15・区３)),0)</f>
        <v>850</v>
      </c>
      <c r="AF189" s="48"/>
    </row>
    <row r="190" spans="1:32" ht="16.5" customHeight="1" x14ac:dyDescent="0.15">
      <c r="A190" s="41">
        <v>15</v>
      </c>
      <c r="B190" s="41">
        <v>9742</v>
      </c>
      <c r="C190" s="74" t="s">
        <v>19740</v>
      </c>
      <c r="D190" s="72"/>
      <c r="F190" s="57"/>
      <c r="G190" s="72"/>
      <c r="I190" s="57"/>
      <c r="J190" s="122"/>
      <c r="K190" s="37"/>
      <c r="L190" s="37"/>
      <c r="M190" s="37"/>
      <c r="N190" s="37" t="s">
        <v>398</v>
      </c>
      <c r="O190" s="244">
        <v>0.9</v>
      </c>
      <c r="P190" s="521" t="s">
        <v>17556</v>
      </c>
      <c r="Q190" s="45" t="s">
        <v>398</v>
      </c>
      <c r="R190" s="46">
        <v>1</v>
      </c>
      <c r="S190" s="512"/>
      <c r="V190" s="57"/>
      <c r="W190" s="43"/>
      <c r="X190" s="37"/>
      <c r="Y190" s="38"/>
      <c r="Z190" s="79"/>
      <c r="AA190" s="43"/>
      <c r="AB190" s="37"/>
      <c r="AC190" s="38"/>
      <c r="AD190" s="79"/>
      <c r="AE190" s="208">
        <f>ROUND((ROUND((ROUND((ROUND((_15_同援日１．０*_15・基礎２),0)*_15・２人),0)*(1+_15・盲ろう)),0)*(1+_15・区３)),0)+ROUND((ROUND((ROUND((ROUND((ROUND((_15_同援日１．０＿１．５*_15・基礎２),0)*_15・２人),0)*(1+_15・B夜間)),0)*(1+_15・盲ろう)),0)*(1+_15・区３)),0)</f>
        <v>850</v>
      </c>
      <c r="AF190" s="48"/>
    </row>
    <row r="191" spans="1:32" ht="16.5" customHeight="1" x14ac:dyDescent="0.15">
      <c r="A191" s="41">
        <v>15</v>
      </c>
      <c r="B191" s="41">
        <v>9743</v>
      </c>
      <c r="C191" s="74" t="s">
        <v>19741</v>
      </c>
      <c r="D191" s="72"/>
      <c r="F191" s="57"/>
      <c r="G191" s="72"/>
      <c r="I191" s="57"/>
      <c r="J191" s="114"/>
      <c r="K191" s="49"/>
      <c r="L191" s="49"/>
      <c r="M191" s="49"/>
      <c r="N191" s="49"/>
      <c r="O191" s="251"/>
      <c r="P191" s="163"/>
      <c r="Q191" s="45"/>
      <c r="R191" s="46"/>
      <c r="S191" s="512"/>
      <c r="V191" s="57"/>
      <c r="W191" s="53"/>
      <c r="X191" s="49"/>
      <c r="Y191" s="50"/>
      <c r="Z191" s="115"/>
      <c r="AA191" s="53"/>
      <c r="AB191" s="49"/>
      <c r="AC191" s="50"/>
      <c r="AD191" s="115"/>
      <c r="AE191" s="208">
        <f>ROUND((_15_同援日１．０*(1+_15・区４)),0)+ROUND((ROUND((_15_同援日１．０＿１．５*(1+_15・B夜間)),0)*(1+_15・区４)),0)</f>
        <v>881</v>
      </c>
      <c r="AF191" s="48"/>
    </row>
    <row r="192" spans="1:32" ht="16.5" customHeight="1" x14ac:dyDescent="0.15">
      <c r="A192" s="41">
        <v>15</v>
      </c>
      <c r="B192" s="41">
        <v>9744</v>
      </c>
      <c r="C192" s="74" t="s">
        <v>19742</v>
      </c>
      <c r="D192" s="72"/>
      <c r="F192" s="57"/>
      <c r="G192" s="72"/>
      <c r="I192" s="57"/>
      <c r="J192" s="122"/>
      <c r="K192" s="37"/>
      <c r="L192" s="37"/>
      <c r="M192" s="37"/>
      <c r="N192" s="37"/>
      <c r="O192" s="244"/>
      <c r="P192" s="521" t="s">
        <v>17556</v>
      </c>
      <c r="Q192" s="45" t="s">
        <v>398</v>
      </c>
      <c r="R192" s="46">
        <v>1</v>
      </c>
      <c r="S192" s="512"/>
      <c r="V192" s="57"/>
      <c r="W192" s="35"/>
      <c r="Z192" s="57"/>
      <c r="AA192" s="35"/>
      <c r="AD192" s="57"/>
      <c r="AE192" s="208">
        <f>ROUND((ROUND((_15_同援日１．０*_15・２人),0)*(1+_15・区４)),0)+ROUND((ROUND((ROUND((_15_同援日１．０＿１．５*_15・２人),0)*(1+_15・B夜間)),0)*(1+_15・区４)),0)</f>
        <v>881</v>
      </c>
      <c r="AF192" s="48"/>
    </row>
    <row r="193" spans="1:32" ht="16.5" customHeight="1" x14ac:dyDescent="0.15">
      <c r="A193" s="41">
        <v>15</v>
      </c>
      <c r="B193" s="41">
        <v>9745</v>
      </c>
      <c r="C193" s="74" t="s">
        <v>19743</v>
      </c>
      <c r="D193" s="72"/>
      <c r="F193" s="57"/>
      <c r="G193" s="72"/>
      <c r="I193" s="57"/>
      <c r="J193" s="114" t="s">
        <v>678</v>
      </c>
      <c r="K193" s="49"/>
      <c r="L193" s="49"/>
      <c r="M193" s="49"/>
      <c r="N193" s="49"/>
      <c r="O193" s="251"/>
      <c r="P193" s="163"/>
      <c r="Q193" s="45"/>
      <c r="R193" s="46"/>
      <c r="S193" s="512"/>
      <c r="V193" s="57"/>
      <c r="W193" s="35"/>
      <c r="Z193" s="57"/>
      <c r="AA193" s="72" t="s">
        <v>17580</v>
      </c>
      <c r="AD193" s="57"/>
      <c r="AE193" s="208">
        <f>ROUND((ROUND((_15_同援日１．０*_15・基礎２),0)*(1+_15・区４)),0)+ROUND((ROUND((ROUND((_15_同援日１．０＿１．５*_15・基礎２),0)*(1+_15・B夜間)),0)*(1+_15・区４)),0)</f>
        <v>792</v>
      </c>
      <c r="AF193" s="48"/>
    </row>
    <row r="194" spans="1:32" ht="16.5" customHeight="1" x14ac:dyDescent="0.15">
      <c r="A194" s="41">
        <v>15</v>
      </c>
      <c r="B194" s="41">
        <v>9746</v>
      </c>
      <c r="C194" s="74" t="s">
        <v>19744</v>
      </c>
      <c r="D194" s="72"/>
      <c r="F194" s="57"/>
      <c r="G194" s="72"/>
      <c r="I194" s="57"/>
      <c r="J194" s="122"/>
      <c r="K194" s="37"/>
      <c r="L194" s="37"/>
      <c r="M194" s="37"/>
      <c r="N194" s="37" t="s">
        <v>398</v>
      </c>
      <c r="O194" s="244">
        <v>0.9</v>
      </c>
      <c r="P194" s="521" t="s">
        <v>17556</v>
      </c>
      <c r="Q194" s="45" t="s">
        <v>398</v>
      </c>
      <c r="R194" s="46">
        <v>1</v>
      </c>
      <c r="S194" s="512"/>
      <c r="V194" s="57"/>
      <c r="W194" s="43"/>
      <c r="X194" s="37"/>
      <c r="Y194" s="38"/>
      <c r="Z194" s="79"/>
      <c r="AA194" s="72" t="s">
        <v>17572</v>
      </c>
      <c r="AD194" s="57"/>
      <c r="AE194" s="208">
        <f>ROUND((ROUND((ROUND((_15_同援日１．０*_15・基礎２),0)*_15・２人),0)*(1+_15・区４)),0)+ROUND((ROUND((ROUND((ROUND((_15_同援日１．０＿１．５*_15・基礎２),0)*_15・２人),0)*(1+_15・B夜間)),0)*(1+_15・区４)),0)</f>
        <v>792</v>
      </c>
      <c r="AF194" s="48"/>
    </row>
    <row r="195" spans="1:32" ht="16.5" customHeight="1" x14ac:dyDescent="0.15">
      <c r="A195" s="41">
        <v>15</v>
      </c>
      <c r="B195" s="41">
        <v>9747</v>
      </c>
      <c r="C195" s="74" t="s">
        <v>19745</v>
      </c>
      <c r="D195" s="72"/>
      <c r="F195" s="57"/>
      <c r="G195" s="72"/>
      <c r="I195" s="57"/>
      <c r="J195" s="114"/>
      <c r="K195" s="49"/>
      <c r="L195" s="49"/>
      <c r="M195" s="49"/>
      <c r="N195" s="49"/>
      <c r="O195" s="251"/>
      <c r="P195" s="163"/>
      <c r="Q195" s="45"/>
      <c r="R195" s="46"/>
      <c r="S195" s="512"/>
      <c r="V195" s="57"/>
      <c r="W195" s="116" t="s">
        <v>17562</v>
      </c>
      <c r="X195" s="49"/>
      <c r="Y195" s="50"/>
      <c r="Z195" s="115"/>
      <c r="AA195" s="35"/>
      <c r="AB195" s="12" t="s">
        <v>398</v>
      </c>
      <c r="AC195" s="13">
        <v>0.4</v>
      </c>
      <c r="AD195" s="57" t="s">
        <v>3575</v>
      </c>
      <c r="AE195" s="208">
        <f>ROUND((ROUND((_15_同援日１．０*(1+_15・盲ろう)),0)*(1+_15・区４)),0)+ROUND((ROUND((ROUND((_15_同援日１．０＿１．５*(1+_15・B夜間)),0)*(1+_15・盲ろう)),0)*(1+_15・区４)),0)</f>
        <v>1100</v>
      </c>
      <c r="AF195" s="48"/>
    </row>
    <row r="196" spans="1:32" ht="16.5" customHeight="1" x14ac:dyDescent="0.15">
      <c r="A196" s="41">
        <v>15</v>
      </c>
      <c r="B196" s="41">
        <v>9748</v>
      </c>
      <c r="C196" s="74" t="s">
        <v>19746</v>
      </c>
      <c r="D196" s="72"/>
      <c r="F196" s="57"/>
      <c r="G196" s="72"/>
      <c r="I196" s="57"/>
      <c r="J196" s="122"/>
      <c r="K196" s="37"/>
      <c r="L196" s="37"/>
      <c r="M196" s="37"/>
      <c r="N196" s="37"/>
      <c r="O196" s="244"/>
      <c r="P196" s="521" t="s">
        <v>17556</v>
      </c>
      <c r="Q196" s="45" t="s">
        <v>398</v>
      </c>
      <c r="R196" s="46">
        <v>1</v>
      </c>
      <c r="S196" s="512"/>
      <c r="V196" s="57"/>
      <c r="W196" s="92" t="s">
        <v>17564</v>
      </c>
      <c r="Z196" s="57"/>
      <c r="AA196" s="35"/>
      <c r="AD196" s="57"/>
      <c r="AE196" s="208">
        <f>ROUND((ROUND((ROUND((_15_同援日１．０*_15・２人),0)*(1+_15・盲ろう)),0)*(1+_15・区４)),0)+ROUND((ROUND((ROUND((ROUND((_15_同援日１．０＿１．５*_15・２人),0)*(1+_15・B夜間)),0)*(1+_15・盲ろう)),0)*(1+_15・区４)),0)</f>
        <v>1100</v>
      </c>
      <c r="AF196" s="48"/>
    </row>
    <row r="197" spans="1:32" ht="16.5" customHeight="1" x14ac:dyDescent="0.15">
      <c r="A197" s="41">
        <v>15</v>
      </c>
      <c r="B197" s="41">
        <v>9749</v>
      </c>
      <c r="C197" s="74" t="s">
        <v>19747</v>
      </c>
      <c r="D197" s="72"/>
      <c r="F197" s="57"/>
      <c r="G197" s="72"/>
      <c r="I197" s="57"/>
      <c r="J197" s="114" t="s">
        <v>678</v>
      </c>
      <c r="K197" s="49"/>
      <c r="L197" s="49"/>
      <c r="M197" s="49"/>
      <c r="N197" s="49"/>
      <c r="O197" s="251"/>
      <c r="P197" s="163"/>
      <c r="Q197" s="45"/>
      <c r="R197" s="46"/>
      <c r="S197" s="512"/>
      <c r="V197" s="57"/>
      <c r="W197" s="35"/>
      <c r="X197" s="12" t="s">
        <v>398</v>
      </c>
      <c r="Y197" s="13">
        <v>0.25</v>
      </c>
      <c r="Z197" s="57" t="s">
        <v>3575</v>
      </c>
      <c r="AA197" s="35"/>
      <c r="AD197" s="57"/>
      <c r="AE197" s="208">
        <f>ROUND((ROUND((ROUND((_15_同援日１．０*_15・基礎２),0)*(1+_15・盲ろう)),0)*(1+_15・区４)),0)+ROUND((ROUND((ROUND((ROUND((_15_同援日１．０＿１．５*_15・基礎２),0)*(1+_15・B夜間)),0)*(1+_15・盲ろう)),0)*(1+_15・区４)),0)</f>
        <v>991</v>
      </c>
      <c r="AF197" s="48"/>
    </row>
    <row r="198" spans="1:32" ht="16.5" customHeight="1" x14ac:dyDescent="0.15">
      <c r="A198" s="41">
        <v>15</v>
      </c>
      <c r="B198" s="41">
        <v>9750</v>
      </c>
      <c r="C198" s="74" t="s">
        <v>19748</v>
      </c>
      <c r="D198" s="122"/>
      <c r="E198" s="37"/>
      <c r="F198" s="79"/>
      <c r="G198" s="122"/>
      <c r="H198" s="37"/>
      <c r="I198" s="79"/>
      <c r="J198" s="122"/>
      <c r="K198" s="37"/>
      <c r="L198" s="37"/>
      <c r="M198" s="37"/>
      <c r="N198" s="37" t="s">
        <v>398</v>
      </c>
      <c r="O198" s="244">
        <v>0.9</v>
      </c>
      <c r="P198" s="521" t="s">
        <v>17556</v>
      </c>
      <c r="Q198" s="45" t="s">
        <v>398</v>
      </c>
      <c r="R198" s="46">
        <v>1</v>
      </c>
      <c r="S198" s="514"/>
      <c r="T198" s="37"/>
      <c r="U198" s="38"/>
      <c r="V198" s="79"/>
      <c r="W198" s="43"/>
      <c r="X198" s="37"/>
      <c r="Y198" s="38"/>
      <c r="Z198" s="79"/>
      <c r="AA198" s="43"/>
      <c r="AB198" s="37"/>
      <c r="AC198" s="38"/>
      <c r="AD198" s="79"/>
      <c r="AE198" s="208">
        <f>ROUND((ROUND((ROUND((ROUND((_15_同援日１．０*_15・基礎２),0)*_15・２人),0)*(1+_15・盲ろう)),0)*(1+_15・区４)),0)+ROUND((ROUND((ROUND((ROUND((ROUND((_15_同援日１．０＿１．５*_15・基礎２),0)*_15・２人),0)*(1+_15・B夜間)),0)*(1+_15・盲ろう)),0)*(1+_15・区４)),0)</f>
        <v>991</v>
      </c>
      <c r="AF198" s="63"/>
    </row>
    <row r="199" spans="1:32" ht="16.5" customHeight="1" x14ac:dyDescent="0.15">
      <c r="A199" s="41">
        <v>15</v>
      </c>
      <c r="B199" s="41">
        <v>9751</v>
      </c>
      <c r="C199" s="74" t="s">
        <v>19749</v>
      </c>
      <c r="D199" s="114"/>
      <c r="E199" s="49"/>
      <c r="F199" s="115"/>
      <c r="G199" s="114" t="s">
        <v>19628</v>
      </c>
      <c r="H199" s="49"/>
      <c r="I199" s="115"/>
      <c r="J199" s="114"/>
      <c r="K199" s="49"/>
      <c r="L199" s="49"/>
      <c r="M199" s="49"/>
      <c r="N199" s="49"/>
      <c r="O199" s="251"/>
      <c r="P199" s="163"/>
      <c r="Q199" s="45"/>
      <c r="R199" s="46"/>
      <c r="S199" s="515"/>
      <c r="T199" s="49"/>
      <c r="U199" s="50"/>
      <c r="V199" s="115"/>
      <c r="W199" s="53"/>
      <c r="X199" s="49"/>
      <c r="Y199" s="50"/>
      <c r="Z199" s="115"/>
      <c r="AA199" s="53"/>
      <c r="AB199" s="49"/>
      <c r="AC199" s="50"/>
      <c r="AD199" s="115"/>
      <c r="AE199" s="208">
        <f>_15_同援日１．０+ROUND((_15_同援日１．０＿２．０*(1+_15・B夜間)),0)</f>
        <v>710</v>
      </c>
      <c r="AF199" s="64"/>
    </row>
    <row r="200" spans="1:32" ht="16.5" customHeight="1" x14ac:dyDescent="0.15">
      <c r="A200" s="41">
        <v>15</v>
      </c>
      <c r="B200" s="41">
        <v>9752</v>
      </c>
      <c r="C200" s="74" t="s">
        <v>19750</v>
      </c>
      <c r="D200" s="72"/>
      <c r="F200" s="57"/>
      <c r="G200" s="72" t="s">
        <v>17643</v>
      </c>
      <c r="I200" s="57"/>
      <c r="J200" s="122"/>
      <c r="K200" s="37"/>
      <c r="L200" s="37"/>
      <c r="M200" s="37"/>
      <c r="N200" s="37"/>
      <c r="O200" s="244"/>
      <c r="P200" s="521" t="s">
        <v>17556</v>
      </c>
      <c r="Q200" s="45" t="s">
        <v>398</v>
      </c>
      <c r="R200" s="46">
        <v>1</v>
      </c>
      <c r="S200" s="512"/>
      <c r="V200" s="57"/>
      <c r="W200" s="35"/>
      <c r="Z200" s="57"/>
      <c r="AA200" s="35"/>
      <c r="AD200" s="57"/>
      <c r="AE200" s="208">
        <f>ROUND((_15_同援日１．０*_15・２人),0)+ROUND((ROUND((_15_同援日１．０＿２．０*_15・２人),0)*(1+_15・B夜間)),0)</f>
        <v>710</v>
      </c>
      <c r="AF200" s="48"/>
    </row>
    <row r="201" spans="1:32" ht="16.5" customHeight="1" x14ac:dyDescent="0.15">
      <c r="A201" s="41">
        <v>15</v>
      </c>
      <c r="B201" s="41">
        <v>9753</v>
      </c>
      <c r="C201" s="74" t="s">
        <v>19751</v>
      </c>
      <c r="D201" s="72"/>
      <c r="F201" s="57"/>
      <c r="G201" s="72" t="s">
        <v>17645</v>
      </c>
      <c r="I201" s="57"/>
      <c r="J201" s="114" t="s">
        <v>678</v>
      </c>
      <c r="K201" s="49"/>
      <c r="L201" s="49"/>
      <c r="M201" s="49"/>
      <c r="N201" s="49"/>
      <c r="O201" s="251"/>
      <c r="P201" s="163"/>
      <c r="Q201" s="45"/>
      <c r="R201" s="46"/>
      <c r="S201" s="512"/>
      <c r="V201" s="57"/>
      <c r="W201" s="35"/>
      <c r="Z201" s="57"/>
      <c r="AA201" s="35"/>
      <c r="AD201" s="57"/>
      <c r="AE201" s="208">
        <f>ROUND((_15_同援日１．０*_15・基礎２),0)+ROUND((ROUND((_15_同援日１．０＿２．０*_15・基礎２),0)*(1+_15・B夜間)),0)</f>
        <v>639</v>
      </c>
      <c r="AF201" s="48"/>
    </row>
    <row r="202" spans="1:32" ht="16.5" customHeight="1" x14ac:dyDescent="0.15">
      <c r="A202" s="41">
        <v>15</v>
      </c>
      <c r="B202" s="41">
        <v>9754</v>
      </c>
      <c r="C202" s="74" t="s">
        <v>19752</v>
      </c>
      <c r="D202" s="72"/>
      <c r="F202" s="57"/>
      <c r="G202" s="72"/>
      <c r="H202" s="168">
        <f>_15_同援日１．０＿２．０</f>
        <v>328</v>
      </c>
      <c r="I202" s="57" t="s">
        <v>392</v>
      </c>
      <c r="J202" s="122"/>
      <c r="K202" s="37"/>
      <c r="L202" s="37"/>
      <c r="M202" s="37"/>
      <c r="N202" s="37" t="s">
        <v>398</v>
      </c>
      <c r="O202" s="244">
        <v>0.9</v>
      </c>
      <c r="P202" s="521" t="s">
        <v>17556</v>
      </c>
      <c r="Q202" s="45" t="s">
        <v>398</v>
      </c>
      <c r="R202" s="46">
        <v>1</v>
      </c>
      <c r="S202" s="512"/>
      <c r="V202" s="57"/>
      <c r="W202" s="43"/>
      <c r="X202" s="37"/>
      <c r="Y202" s="38"/>
      <c r="Z202" s="79"/>
      <c r="AA202" s="35"/>
      <c r="AD202" s="57"/>
      <c r="AE202" s="208">
        <f>ROUND((ROUND((_15_同援日１．０*_15・基礎２),0)*_15・２人),0)+ROUND((ROUND((ROUND((_15_同援日１．０＿２．０*_15・基礎２),0)*_15・２人),0)*(1+_15・B夜間)),0)</f>
        <v>639</v>
      </c>
      <c r="AF202" s="48"/>
    </row>
    <row r="203" spans="1:32" ht="16.5" customHeight="1" x14ac:dyDescent="0.15">
      <c r="A203" s="41">
        <v>15</v>
      </c>
      <c r="B203" s="41">
        <v>9755</v>
      </c>
      <c r="C203" s="74" t="s">
        <v>19753</v>
      </c>
      <c r="D203" s="72"/>
      <c r="F203" s="57"/>
      <c r="G203" s="72"/>
      <c r="I203" s="57"/>
      <c r="J203" s="114"/>
      <c r="K203" s="49"/>
      <c r="L203" s="49"/>
      <c r="M203" s="49"/>
      <c r="N203" s="49"/>
      <c r="O203" s="251"/>
      <c r="P203" s="163"/>
      <c r="Q203" s="45"/>
      <c r="R203" s="46"/>
      <c r="S203" s="512"/>
      <c r="V203" s="57"/>
      <c r="W203" s="116" t="s">
        <v>17562</v>
      </c>
      <c r="X203" s="49"/>
      <c r="Y203" s="50"/>
      <c r="Z203" s="115"/>
      <c r="AA203" s="35"/>
      <c r="AD203" s="57"/>
      <c r="AE203" s="208">
        <f>ROUND((_15_同援日１．０*(1+_15・盲ろう)),0)+ROUND((ROUND((_15_同援日１．０＿２．０*(1+_15・B夜間)),0)*(1+_15・盲ろう)),0)</f>
        <v>888</v>
      </c>
      <c r="AF203" s="48"/>
    </row>
    <row r="204" spans="1:32" ht="16.5" customHeight="1" x14ac:dyDescent="0.15">
      <c r="A204" s="41">
        <v>15</v>
      </c>
      <c r="B204" s="41">
        <v>9756</v>
      </c>
      <c r="C204" s="74" t="s">
        <v>19754</v>
      </c>
      <c r="D204" s="72"/>
      <c r="F204" s="57"/>
      <c r="G204" s="72"/>
      <c r="I204" s="57"/>
      <c r="J204" s="122"/>
      <c r="K204" s="37"/>
      <c r="L204" s="37"/>
      <c r="M204" s="37"/>
      <c r="N204" s="37"/>
      <c r="O204" s="244"/>
      <c r="P204" s="521" t="s">
        <v>17556</v>
      </c>
      <c r="Q204" s="45" t="s">
        <v>398</v>
      </c>
      <c r="R204" s="46">
        <v>1</v>
      </c>
      <c r="S204" s="512"/>
      <c r="V204" s="57"/>
      <c r="W204" s="92" t="s">
        <v>17564</v>
      </c>
      <c r="Z204" s="57"/>
      <c r="AA204" s="35"/>
      <c r="AD204" s="57"/>
      <c r="AE204" s="208">
        <f>ROUND((ROUND((_15_同援日１．０*_15・２人),0)*(1+_15・盲ろう)),0)+ROUND((ROUND((ROUND((_15_同援日１．０＿２．０*_15・２人),0)*(1+_15・B夜間)),0)*(1+_15・盲ろう)),0)</f>
        <v>888</v>
      </c>
      <c r="AF204" s="48"/>
    </row>
    <row r="205" spans="1:32" ht="16.5" customHeight="1" x14ac:dyDescent="0.15">
      <c r="A205" s="41">
        <v>15</v>
      </c>
      <c r="B205" s="41">
        <v>9757</v>
      </c>
      <c r="C205" s="74" t="s">
        <v>19755</v>
      </c>
      <c r="D205" s="72"/>
      <c r="F205" s="57"/>
      <c r="G205" s="72"/>
      <c r="I205" s="57"/>
      <c r="J205" s="114" t="s">
        <v>678</v>
      </c>
      <c r="K205" s="49"/>
      <c r="L205" s="49"/>
      <c r="M205" s="49"/>
      <c r="N205" s="49"/>
      <c r="O205" s="251"/>
      <c r="P205" s="163"/>
      <c r="Q205" s="45"/>
      <c r="R205" s="46"/>
      <c r="S205" s="512"/>
      <c r="V205" s="57"/>
      <c r="W205" s="35"/>
      <c r="X205" s="12" t="s">
        <v>398</v>
      </c>
      <c r="Y205" s="13">
        <v>0.25</v>
      </c>
      <c r="Z205" s="57" t="s">
        <v>3575</v>
      </c>
      <c r="AA205" s="35"/>
      <c r="AD205" s="57"/>
      <c r="AE205" s="208">
        <f>ROUND((ROUND((_15_同援日１．０*_15・基礎２),0)*(1+_15・盲ろう)),0)+ROUND((ROUND((ROUND((_15_同援日１．０＿２．０*_15・基礎２),0)*(1+_15・B夜間)),0)*(1+_15・盲ろう)),0)</f>
        <v>799</v>
      </c>
      <c r="AF205" s="48"/>
    </row>
    <row r="206" spans="1:32" ht="16.5" customHeight="1" x14ac:dyDescent="0.15">
      <c r="A206" s="41">
        <v>15</v>
      </c>
      <c r="B206" s="41">
        <v>9758</v>
      </c>
      <c r="C206" s="74" t="s">
        <v>19756</v>
      </c>
      <c r="D206" s="72"/>
      <c r="F206" s="57"/>
      <c r="G206" s="72"/>
      <c r="I206" s="57"/>
      <c r="J206" s="122"/>
      <c r="K206" s="37"/>
      <c r="L206" s="37"/>
      <c r="M206" s="37"/>
      <c r="N206" s="37" t="s">
        <v>398</v>
      </c>
      <c r="O206" s="244">
        <v>0.9</v>
      </c>
      <c r="P206" s="521" t="s">
        <v>17556</v>
      </c>
      <c r="Q206" s="45" t="s">
        <v>398</v>
      </c>
      <c r="R206" s="46">
        <v>1</v>
      </c>
      <c r="S206" s="512"/>
      <c r="V206" s="57"/>
      <c r="W206" s="43"/>
      <c r="X206" s="37"/>
      <c r="Y206" s="38"/>
      <c r="Z206" s="79"/>
      <c r="AA206" s="43"/>
      <c r="AB206" s="37"/>
      <c r="AC206" s="38"/>
      <c r="AD206" s="79"/>
      <c r="AE206" s="208">
        <f>ROUND((ROUND((ROUND((_15_同援日１．０*_15・基礎２),0)*_15・２人),0)*(1+_15・盲ろう)),0)+ROUND((ROUND((ROUND((ROUND((_15_同援日１．０＿２．０*_15・基礎２),0)*_15・２人),0)*(1+_15・B夜間)),0)*(1+_15・盲ろう)),0)</f>
        <v>799</v>
      </c>
      <c r="AF206" s="48"/>
    </row>
    <row r="207" spans="1:32" ht="16.5" customHeight="1" x14ac:dyDescent="0.15">
      <c r="A207" s="41">
        <v>15</v>
      </c>
      <c r="B207" s="41">
        <v>9759</v>
      </c>
      <c r="C207" s="74" t="s">
        <v>19757</v>
      </c>
      <c r="D207" s="72"/>
      <c r="F207" s="57"/>
      <c r="G207" s="72"/>
      <c r="I207" s="57"/>
      <c r="J207" s="114"/>
      <c r="K207" s="49"/>
      <c r="L207" s="49"/>
      <c r="M207" s="49"/>
      <c r="N207" s="49"/>
      <c r="O207" s="251"/>
      <c r="P207" s="163"/>
      <c r="Q207" s="45"/>
      <c r="R207" s="46"/>
      <c r="S207" s="512"/>
      <c r="V207" s="57"/>
      <c r="W207" s="53"/>
      <c r="X207" s="49"/>
      <c r="Y207" s="50"/>
      <c r="Z207" s="115"/>
      <c r="AA207" s="53"/>
      <c r="AB207" s="49"/>
      <c r="AC207" s="50"/>
      <c r="AD207" s="115"/>
      <c r="AE207" s="208">
        <f>ROUND((_15_同援日１．０*(1+_15・区３)),0)+ROUND((ROUND((_15_同援日１．０＿２．０*(1+_15・B夜間)),0)*(1+_15・区３)),0)</f>
        <v>852</v>
      </c>
      <c r="AF207" s="48"/>
    </row>
    <row r="208" spans="1:32" ht="16.5" customHeight="1" x14ac:dyDescent="0.15">
      <c r="A208" s="41">
        <v>15</v>
      </c>
      <c r="B208" s="41">
        <v>9760</v>
      </c>
      <c r="C208" s="74" t="s">
        <v>19758</v>
      </c>
      <c r="D208" s="72"/>
      <c r="F208" s="57"/>
      <c r="G208" s="72"/>
      <c r="I208" s="57"/>
      <c r="J208" s="122"/>
      <c r="K208" s="37"/>
      <c r="L208" s="37"/>
      <c r="M208" s="37"/>
      <c r="N208" s="37"/>
      <c r="O208" s="244"/>
      <c r="P208" s="521" t="s">
        <v>17556</v>
      </c>
      <c r="Q208" s="45" t="s">
        <v>398</v>
      </c>
      <c r="R208" s="46">
        <v>1</v>
      </c>
      <c r="S208" s="512"/>
      <c r="V208" s="57"/>
      <c r="W208" s="35"/>
      <c r="Z208" s="57"/>
      <c r="AA208" s="35"/>
      <c r="AD208" s="57"/>
      <c r="AE208" s="208">
        <f>ROUND((ROUND((_15_同援日１．０*_15・２人),0)*(1+_15・区３)),0)+ROUND((ROUND((ROUND((_15_同援日１．０＿２．０*_15・２人),0)*(1+_15・B夜間)),0)*(1+_15・区３)),0)</f>
        <v>852</v>
      </c>
      <c r="AF208" s="48"/>
    </row>
    <row r="209" spans="1:32" ht="16.5" customHeight="1" x14ac:dyDescent="0.15">
      <c r="A209" s="41">
        <v>15</v>
      </c>
      <c r="B209" s="41">
        <v>9761</v>
      </c>
      <c r="C209" s="74" t="s">
        <v>19759</v>
      </c>
      <c r="D209" s="72"/>
      <c r="F209" s="57"/>
      <c r="G209" s="72"/>
      <c r="I209" s="57"/>
      <c r="J209" s="114" t="s">
        <v>678</v>
      </c>
      <c r="K209" s="49"/>
      <c r="L209" s="49"/>
      <c r="M209" s="49"/>
      <c r="N209" s="49"/>
      <c r="O209" s="251"/>
      <c r="P209" s="163"/>
      <c r="Q209" s="45"/>
      <c r="R209" s="46"/>
      <c r="S209" s="512"/>
      <c r="V209" s="57"/>
      <c r="W209" s="35"/>
      <c r="Z209" s="57"/>
      <c r="AA209" s="72" t="s">
        <v>17570</v>
      </c>
      <c r="AD209" s="57"/>
      <c r="AE209" s="208">
        <f>ROUND((ROUND((_15_同援日１．０*_15・基礎２),0)*(1+_15・区３)),0)+ROUND((ROUND((ROUND((_15_同援日１．０＿２．０*_15・基礎２),0)*(1+_15・B夜間)),0)*(1+_15・区３)),0)</f>
        <v>767</v>
      </c>
      <c r="AF209" s="48"/>
    </row>
    <row r="210" spans="1:32" ht="16.5" customHeight="1" x14ac:dyDescent="0.15">
      <c r="A210" s="41">
        <v>15</v>
      </c>
      <c r="B210" s="41">
        <v>9762</v>
      </c>
      <c r="C210" s="74" t="s">
        <v>19760</v>
      </c>
      <c r="D210" s="72"/>
      <c r="F210" s="57"/>
      <c r="G210" s="72"/>
      <c r="I210" s="57"/>
      <c r="J210" s="122"/>
      <c r="K210" s="37"/>
      <c r="L210" s="37"/>
      <c r="M210" s="37"/>
      <c r="N210" s="37" t="s">
        <v>398</v>
      </c>
      <c r="O210" s="244">
        <v>0.9</v>
      </c>
      <c r="P210" s="521" t="s">
        <v>17556</v>
      </c>
      <c r="Q210" s="45" t="s">
        <v>398</v>
      </c>
      <c r="R210" s="46">
        <v>1</v>
      </c>
      <c r="S210" s="512"/>
      <c r="V210" s="57"/>
      <c r="W210" s="43"/>
      <c r="X210" s="37"/>
      <c r="Y210" s="38"/>
      <c r="Z210" s="79"/>
      <c r="AA210" s="72" t="s">
        <v>17572</v>
      </c>
      <c r="AD210" s="57"/>
      <c r="AE210" s="208">
        <f>ROUND((ROUND((ROUND((_15_同援日１．０*_15・基礎２),0)*_15・２人),0)*(1+_15・区３)),0)+ROUND((ROUND((ROUND((ROUND((_15_同援日１．０＿２．０*_15・基礎２),0)*_15・２人),0)*(1+_15・B夜間)),0)*(1+_15・区３)),0)</f>
        <v>767</v>
      </c>
      <c r="AF210" s="48"/>
    </row>
    <row r="211" spans="1:32" ht="16.5" customHeight="1" x14ac:dyDescent="0.15">
      <c r="A211" s="41">
        <v>15</v>
      </c>
      <c r="B211" s="41">
        <v>9763</v>
      </c>
      <c r="C211" s="74" t="s">
        <v>19761</v>
      </c>
      <c r="D211" s="72"/>
      <c r="F211" s="57"/>
      <c r="G211" s="72"/>
      <c r="I211" s="57"/>
      <c r="J211" s="114"/>
      <c r="K211" s="49"/>
      <c r="L211" s="49"/>
      <c r="M211" s="49"/>
      <c r="N211" s="49"/>
      <c r="O211" s="251"/>
      <c r="P211" s="163"/>
      <c r="Q211" s="45"/>
      <c r="R211" s="46"/>
      <c r="S211" s="512"/>
      <c r="V211" s="57"/>
      <c r="W211" s="116" t="s">
        <v>17562</v>
      </c>
      <c r="X211" s="49"/>
      <c r="Y211" s="50"/>
      <c r="Z211" s="115"/>
      <c r="AA211" s="35"/>
      <c r="AB211" s="12" t="s">
        <v>398</v>
      </c>
      <c r="AC211" s="13">
        <v>0.2</v>
      </c>
      <c r="AD211" s="57" t="s">
        <v>3575</v>
      </c>
      <c r="AE211" s="208">
        <f>ROUND((ROUND((_15_同援日１．０*(1+_15・盲ろう)),0)*(1+_15・区３)),0)+ROUND((ROUND((ROUND((_15_同援日１．０＿２．０*(1+_15・B夜間)),0)*(1+_15・盲ろう)),0)*(1+_15・区３)),0)</f>
        <v>1066</v>
      </c>
      <c r="AF211" s="48"/>
    </row>
    <row r="212" spans="1:32" ht="16.5" customHeight="1" x14ac:dyDescent="0.15">
      <c r="A212" s="41">
        <v>15</v>
      </c>
      <c r="B212" s="41">
        <v>9764</v>
      </c>
      <c r="C212" s="74" t="s">
        <v>19762</v>
      </c>
      <c r="D212" s="72"/>
      <c r="F212" s="57"/>
      <c r="G212" s="72"/>
      <c r="I212" s="57"/>
      <c r="J212" s="122"/>
      <c r="K212" s="37"/>
      <c r="L212" s="37"/>
      <c r="M212" s="37"/>
      <c r="N212" s="37"/>
      <c r="O212" s="244"/>
      <c r="P212" s="521" t="s">
        <v>17556</v>
      </c>
      <c r="Q212" s="45" t="s">
        <v>398</v>
      </c>
      <c r="R212" s="46">
        <v>1</v>
      </c>
      <c r="S212" s="512"/>
      <c r="V212" s="57"/>
      <c r="W212" s="92" t="s">
        <v>17564</v>
      </c>
      <c r="Z212" s="57"/>
      <c r="AA212" s="35"/>
      <c r="AD212" s="57"/>
      <c r="AE212" s="208">
        <f>ROUND((ROUND((ROUND((_15_同援日１．０*_15・２人),0)*(1+_15・盲ろう)),0)*(1+_15・区３)),0)+ROUND((ROUND((ROUND((ROUND((_15_同援日１．０＿２．０*_15・２人),0)*(1+_15・B夜間)),0)*(1+_15・盲ろう)),0)*(1+_15・区３)),0)</f>
        <v>1066</v>
      </c>
      <c r="AF212" s="48"/>
    </row>
    <row r="213" spans="1:32" ht="16.5" customHeight="1" x14ac:dyDescent="0.15">
      <c r="A213" s="41">
        <v>15</v>
      </c>
      <c r="B213" s="41">
        <v>9765</v>
      </c>
      <c r="C213" s="74" t="s">
        <v>19763</v>
      </c>
      <c r="D213" s="72"/>
      <c r="F213" s="57"/>
      <c r="G213" s="72"/>
      <c r="I213" s="57"/>
      <c r="J213" s="114" t="s">
        <v>678</v>
      </c>
      <c r="K213" s="49"/>
      <c r="L213" s="49"/>
      <c r="M213" s="49"/>
      <c r="N213" s="49"/>
      <c r="O213" s="251"/>
      <c r="P213" s="163"/>
      <c r="Q213" s="45"/>
      <c r="R213" s="46"/>
      <c r="S213" s="512"/>
      <c r="V213" s="57"/>
      <c r="W213" s="35"/>
      <c r="X213" s="12" t="s">
        <v>398</v>
      </c>
      <c r="Y213" s="13">
        <v>0.25</v>
      </c>
      <c r="Z213" s="57" t="s">
        <v>3575</v>
      </c>
      <c r="AA213" s="35"/>
      <c r="AD213" s="57"/>
      <c r="AE213" s="208">
        <f>ROUND((ROUND((ROUND((_15_同援日１．０*_15・基礎２),0)*(1+_15・盲ろう)),0)*(1+_15・区３)),0)+ROUND((ROUND((ROUND((ROUND((_15_同援日１．０＿２．０*_15・基礎２),0)*(1+_15・B夜間)),0)*(1+_15・盲ろう)),0)*(1+_15・区３)),0)</f>
        <v>959</v>
      </c>
      <c r="AF213" s="48"/>
    </row>
    <row r="214" spans="1:32" ht="16.5" customHeight="1" x14ac:dyDescent="0.15">
      <c r="A214" s="41">
        <v>15</v>
      </c>
      <c r="B214" s="41">
        <v>9766</v>
      </c>
      <c r="C214" s="74" t="s">
        <v>19764</v>
      </c>
      <c r="D214" s="72"/>
      <c r="F214" s="57"/>
      <c r="G214" s="72"/>
      <c r="I214" s="57"/>
      <c r="J214" s="122"/>
      <c r="K214" s="37"/>
      <c r="L214" s="37"/>
      <c r="M214" s="37"/>
      <c r="N214" s="37" t="s">
        <v>398</v>
      </c>
      <c r="O214" s="244">
        <v>0.9</v>
      </c>
      <c r="P214" s="521" t="s">
        <v>17556</v>
      </c>
      <c r="Q214" s="45" t="s">
        <v>398</v>
      </c>
      <c r="R214" s="46">
        <v>1</v>
      </c>
      <c r="S214" s="512"/>
      <c r="V214" s="57"/>
      <c r="W214" s="43"/>
      <c r="X214" s="37"/>
      <c r="Y214" s="38"/>
      <c r="Z214" s="79"/>
      <c r="AA214" s="43"/>
      <c r="AB214" s="37"/>
      <c r="AC214" s="38"/>
      <c r="AD214" s="79"/>
      <c r="AE214" s="208">
        <f>ROUND((ROUND((ROUND((ROUND((_15_同援日１．０*_15・基礎２),0)*_15・２人),0)*(1+_15・盲ろう)),0)*(1+_15・区３)),0)+ROUND((ROUND((ROUND((ROUND((ROUND((_15_同援日１．０＿２．０*_15・基礎２),0)*_15・２人),0)*(1+_15・B夜間)),0)*(1+_15・盲ろう)),0)*(1+_15・区３)),0)</f>
        <v>959</v>
      </c>
      <c r="AF214" s="48"/>
    </row>
    <row r="215" spans="1:32" ht="16.5" customHeight="1" x14ac:dyDescent="0.15">
      <c r="A215" s="41">
        <v>15</v>
      </c>
      <c r="B215" s="41">
        <v>9767</v>
      </c>
      <c r="C215" s="74" t="s">
        <v>19765</v>
      </c>
      <c r="D215" s="72"/>
      <c r="F215" s="57"/>
      <c r="G215" s="72"/>
      <c r="I215" s="57"/>
      <c r="J215" s="114"/>
      <c r="K215" s="49"/>
      <c r="L215" s="49"/>
      <c r="M215" s="49"/>
      <c r="N215" s="49"/>
      <c r="O215" s="251"/>
      <c r="P215" s="163"/>
      <c r="Q215" s="45"/>
      <c r="R215" s="46"/>
      <c r="S215" s="512"/>
      <c r="V215" s="57"/>
      <c r="W215" s="53"/>
      <c r="X215" s="49"/>
      <c r="Y215" s="50"/>
      <c r="Z215" s="115"/>
      <c r="AA215" s="53"/>
      <c r="AB215" s="49"/>
      <c r="AC215" s="50"/>
      <c r="AD215" s="115"/>
      <c r="AE215" s="208">
        <f>ROUND((_15_同援日１．０*(1+_15・区４)),0)+ROUND((ROUND((_15_同援日１．０＿２．０*(1+_15・B夜間)),0)*(1+_15・区４)),0)</f>
        <v>994</v>
      </c>
      <c r="AF215" s="48"/>
    </row>
    <row r="216" spans="1:32" ht="16.5" customHeight="1" x14ac:dyDescent="0.15">
      <c r="A216" s="41">
        <v>15</v>
      </c>
      <c r="B216" s="41">
        <v>9768</v>
      </c>
      <c r="C216" s="74" t="s">
        <v>19766</v>
      </c>
      <c r="D216" s="72"/>
      <c r="F216" s="57"/>
      <c r="G216" s="72"/>
      <c r="I216" s="57"/>
      <c r="J216" s="122"/>
      <c r="K216" s="37"/>
      <c r="L216" s="37"/>
      <c r="M216" s="37"/>
      <c r="N216" s="37"/>
      <c r="O216" s="244"/>
      <c r="P216" s="521" t="s">
        <v>17556</v>
      </c>
      <c r="Q216" s="45" t="s">
        <v>398</v>
      </c>
      <c r="R216" s="46">
        <v>1</v>
      </c>
      <c r="S216" s="512"/>
      <c r="V216" s="57"/>
      <c r="W216" s="35"/>
      <c r="Z216" s="57"/>
      <c r="AA216" s="35"/>
      <c r="AD216" s="57"/>
      <c r="AE216" s="208">
        <f>ROUND((ROUND((_15_同援日１．０*_15・２人),0)*(1+_15・区４)),0)+ROUND((ROUND((ROUND((_15_同援日１．０＿２．０*_15・２人),0)*(1+_15・B夜間)),0)*(1+_15・区４)),0)</f>
        <v>994</v>
      </c>
      <c r="AF216" s="48"/>
    </row>
    <row r="217" spans="1:32" ht="16.5" customHeight="1" x14ac:dyDescent="0.15">
      <c r="A217" s="41">
        <v>15</v>
      </c>
      <c r="B217" s="41">
        <v>9769</v>
      </c>
      <c r="C217" s="74" t="s">
        <v>19767</v>
      </c>
      <c r="D217" s="72"/>
      <c r="F217" s="57"/>
      <c r="G217" s="72"/>
      <c r="I217" s="57"/>
      <c r="J217" s="114" t="s">
        <v>678</v>
      </c>
      <c r="K217" s="49"/>
      <c r="L217" s="49"/>
      <c r="M217" s="49"/>
      <c r="N217" s="49"/>
      <c r="O217" s="251"/>
      <c r="P217" s="163"/>
      <c r="Q217" s="45"/>
      <c r="R217" s="46"/>
      <c r="S217" s="512"/>
      <c r="V217" s="57"/>
      <c r="W217" s="35"/>
      <c r="Z217" s="57"/>
      <c r="AA217" s="72" t="s">
        <v>17580</v>
      </c>
      <c r="AD217" s="57"/>
      <c r="AE217" s="208">
        <f>ROUND((ROUND((_15_同援日１．０*_15・基礎２),0)*(1+_15・区４)),0)+ROUND((ROUND((ROUND((_15_同援日１．０＿２．０*_15・基礎２),0)*(1+_15・B夜間)),0)*(1+_15・区４)),0)</f>
        <v>895</v>
      </c>
      <c r="AF217" s="48"/>
    </row>
    <row r="218" spans="1:32" ht="16.5" customHeight="1" x14ac:dyDescent="0.15">
      <c r="A218" s="41">
        <v>15</v>
      </c>
      <c r="B218" s="41">
        <v>9770</v>
      </c>
      <c r="C218" s="74" t="s">
        <v>19768</v>
      </c>
      <c r="D218" s="72"/>
      <c r="F218" s="57"/>
      <c r="G218" s="72"/>
      <c r="I218" s="57"/>
      <c r="J218" s="122"/>
      <c r="K218" s="37"/>
      <c r="L218" s="37"/>
      <c r="M218" s="37"/>
      <c r="N218" s="37" t="s">
        <v>398</v>
      </c>
      <c r="O218" s="244">
        <v>0.9</v>
      </c>
      <c r="P218" s="521" t="s">
        <v>17556</v>
      </c>
      <c r="Q218" s="45" t="s">
        <v>398</v>
      </c>
      <c r="R218" s="46">
        <v>1</v>
      </c>
      <c r="S218" s="512"/>
      <c r="V218" s="57"/>
      <c r="W218" s="43"/>
      <c r="X218" s="37"/>
      <c r="Y218" s="38"/>
      <c r="Z218" s="79"/>
      <c r="AA218" s="72" t="s">
        <v>17572</v>
      </c>
      <c r="AD218" s="57"/>
      <c r="AE218" s="208">
        <f>ROUND((ROUND((ROUND((_15_同援日１．０*_15・基礎２),0)*_15・２人),0)*(1+_15・区４)),0)+ROUND((ROUND((ROUND((ROUND((_15_同援日１．０＿２．０*_15・基礎２),0)*_15・２人),0)*(1+_15・B夜間)),0)*(1+_15・区４)),0)</f>
        <v>895</v>
      </c>
      <c r="AF218" s="48"/>
    </row>
    <row r="219" spans="1:32" ht="16.5" customHeight="1" x14ac:dyDescent="0.15">
      <c r="A219" s="41">
        <v>15</v>
      </c>
      <c r="B219" s="41">
        <v>9771</v>
      </c>
      <c r="C219" s="74" t="s">
        <v>19769</v>
      </c>
      <c r="D219" s="72"/>
      <c r="F219" s="57"/>
      <c r="G219" s="72"/>
      <c r="I219" s="57"/>
      <c r="J219" s="114"/>
      <c r="K219" s="49"/>
      <c r="L219" s="49"/>
      <c r="M219" s="49"/>
      <c r="N219" s="49"/>
      <c r="O219" s="251"/>
      <c r="P219" s="163"/>
      <c r="Q219" s="45"/>
      <c r="R219" s="46"/>
      <c r="S219" s="512"/>
      <c r="V219" s="57"/>
      <c r="W219" s="116" t="s">
        <v>17562</v>
      </c>
      <c r="X219" s="49"/>
      <c r="Y219" s="50"/>
      <c r="Z219" s="115"/>
      <c r="AA219" s="35"/>
      <c r="AB219" s="12" t="s">
        <v>398</v>
      </c>
      <c r="AC219" s="13">
        <v>0.4</v>
      </c>
      <c r="AD219" s="57" t="s">
        <v>3575</v>
      </c>
      <c r="AE219" s="208">
        <f>ROUND((ROUND((_15_同援日１．０*(1+_15・盲ろう)),0)*(1+_15・区４)),0)+ROUND((ROUND((ROUND((_15_同援日１．０＿２．０*(1+_15・B夜間)),0)*(1+_15・盲ろう)),0)*(1+_15・区４)),0)</f>
        <v>1243</v>
      </c>
      <c r="AF219" s="48"/>
    </row>
    <row r="220" spans="1:32" ht="16.5" customHeight="1" x14ac:dyDescent="0.15">
      <c r="A220" s="41">
        <v>15</v>
      </c>
      <c r="B220" s="41">
        <v>9772</v>
      </c>
      <c r="C220" s="74" t="s">
        <v>19770</v>
      </c>
      <c r="D220" s="72"/>
      <c r="F220" s="57"/>
      <c r="G220" s="72"/>
      <c r="I220" s="57"/>
      <c r="J220" s="122"/>
      <c r="K220" s="37"/>
      <c r="L220" s="37"/>
      <c r="M220" s="37"/>
      <c r="N220" s="37"/>
      <c r="O220" s="244"/>
      <c r="P220" s="521" t="s">
        <v>17556</v>
      </c>
      <c r="Q220" s="45" t="s">
        <v>398</v>
      </c>
      <c r="R220" s="46">
        <v>1</v>
      </c>
      <c r="S220" s="512"/>
      <c r="V220" s="57"/>
      <c r="W220" s="92" t="s">
        <v>17564</v>
      </c>
      <c r="Z220" s="57"/>
      <c r="AA220" s="35"/>
      <c r="AD220" s="57"/>
      <c r="AE220" s="208">
        <f>ROUND((ROUND((ROUND((_15_同援日１．０*_15・２人),0)*(1+_15・盲ろう)),0)*(1+_15・区４)),0)+ROUND((ROUND((ROUND((ROUND((_15_同援日１．０＿２．０*_15・２人),0)*(1+_15・B夜間)),0)*(1+_15・盲ろう)),0)*(1+_15・区４)),0)</f>
        <v>1243</v>
      </c>
      <c r="AF220" s="48"/>
    </row>
    <row r="221" spans="1:32" ht="16.5" customHeight="1" x14ac:dyDescent="0.15">
      <c r="A221" s="41">
        <v>15</v>
      </c>
      <c r="B221" s="41">
        <v>9773</v>
      </c>
      <c r="C221" s="74" t="s">
        <v>19771</v>
      </c>
      <c r="D221" s="72"/>
      <c r="F221" s="57"/>
      <c r="G221" s="72"/>
      <c r="I221" s="57"/>
      <c r="J221" s="114" t="s">
        <v>678</v>
      </c>
      <c r="K221" s="49"/>
      <c r="L221" s="49"/>
      <c r="M221" s="49"/>
      <c r="N221" s="49"/>
      <c r="O221" s="251"/>
      <c r="P221" s="163"/>
      <c r="Q221" s="45"/>
      <c r="R221" s="46"/>
      <c r="S221" s="512"/>
      <c r="V221" s="57"/>
      <c r="W221" s="35"/>
      <c r="X221" s="12" t="s">
        <v>398</v>
      </c>
      <c r="Y221" s="13">
        <v>0.25</v>
      </c>
      <c r="Z221" s="57" t="s">
        <v>3575</v>
      </c>
      <c r="AA221" s="35"/>
      <c r="AD221" s="57"/>
      <c r="AE221" s="208">
        <f>ROUND((ROUND((ROUND((_15_同援日１．０*_15・基礎２),0)*(1+_15・盲ろう)),0)*(1+_15・区４)),0)+ROUND((ROUND((ROUND((ROUND((_15_同援日１．０＿２．０*_15・基礎２),0)*(1+_15・B夜間)),0)*(1+_15・盲ろう)),0)*(1+_15・区４)),0)</f>
        <v>1118</v>
      </c>
      <c r="AF221" s="48"/>
    </row>
    <row r="222" spans="1:32" ht="16.5" customHeight="1" x14ac:dyDescent="0.15">
      <c r="A222" s="41">
        <v>15</v>
      </c>
      <c r="B222" s="41">
        <v>9774</v>
      </c>
      <c r="C222" s="74" t="s">
        <v>19772</v>
      </c>
      <c r="D222" s="122"/>
      <c r="E222" s="37"/>
      <c r="F222" s="79"/>
      <c r="G222" s="122"/>
      <c r="H222" s="37"/>
      <c r="I222" s="79"/>
      <c r="J222" s="122"/>
      <c r="K222" s="37"/>
      <c r="L222" s="37"/>
      <c r="M222" s="37"/>
      <c r="N222" s="37" t="s">
        <v>398</v>
      </c>
      <c r="O222" s="244">
        <v>0.9</v>
      </c>
      <c r="P222" s="521" t="s">
        <v>17556</v>
      </c>
      <c r="Q222" s="45" t="s">
        <v>398</v>
      </c>
      <c r="R222" s="46">
        <v>1</v>
      </c>
      <c r="S222" s="512"/>
      <c r="V222" s="57"/>
      <c r="W222" s="43"/>
      <c r="X222" s="37"/>
      <c r="Y222" s="38"/>
      <c r="Z222" s="79"/>
      <c r="AA222" s="43"/>
      <c r="AB222" s="37"/>
      <c r="AC222" s="38"/>
      <c r="AD222" s="79"/>
      <c r="AE222" s="208">
        <f>ROUND((ROUND((ROUND((ROUND((_15_同援日１．０*_15・基礎２),0)*_15・２人),0)*(1+_15・盲ろう)),0)*(1+_15・区４)),0)+ROUND((ROUND((ROUND((ROUND((ROUND((_15_同援日１．０＿２．０*_15・基礎２),0)*_15・２人),0)*(1+_15・B夜間)),0)*(1+_15・盲ろう)),0)*(1+_15・区４)),0)</f>
        <v>1118</v>
      </c>
      <c r="AF222" s="48"/>
    </row>
    <row r="223" spans="1:32" ht="16.5" customHeight="1" x14ac:dyDescent="0.15">
      <c r="A223" s="41">
        <v>15</v>
      </c>
      <c r="B223" s="41">
        <v>9775</v>
      </c>
      <c r="C223" s="74" t="s">
        <v>19773</v>
      </c>
      <c r="D223" s="114" t="s">
        <v>17614</v>
      </c>
      <c r="E223" s="49"/>
      <c r="F223" s="115"/>
      <c r="G223" s="114" t="s">
        <v>19553</v>
      </c>
      <c r="H223" s="49"/>
      <c r="I223" s="115"/>
      <c r="J223" s="114"/>
      <c r="K223" s="49"/>
      <c r="L223" s="49"/>
      <c r="M223" s="49"/>
      <c r="N223" s="49"/>
      <c r="O223" s="251"/>
      <c r="P223" s="163"/>
      <c r="Q223" s="45"/>
      <c r="R223" s="46"/>
      <c r="S223" s="512"/>
      <c r="V223" s="57"/>
      <c r="W223" s="53"/>
      <c r="X223" s="49"/>
      <c r="Y223" s="50"/>
      <c r="Z223" s="115"/>
      <c r="AA223" s="53"/>
      <c r="AB223" s="49"/>
      <c r="AC223" s="50"/>
      <c r="AD223" s="115"/>
      <c r="AE223" s="208">
        <f>_15_同援日１．５+ROUND((_15_同援日１．５＿０．５*(1+_15・B夜間)),0)</f>
        <v>514</v>
      </c>
      <c r="AF223" s="48"/>
    </row>
    <row r="224" spans="1:32" ht="16.5" customHeight="1" x14ac:dyDescent="0.15">
      <c r="A224" s="41">
        <v>15</v>
      </c>
      <c r="B224" s="41">
        <v>9776</v>
      </c>
      <c r="C224" s="74" t="s">
        <v>19774</v>
      </c>
      <c r="D224" s="72" t="s">
        <v>17616</v>
      </c>
      <c r="F224" s="57"/>
      <c r="G224" s="72" t="s">
        <v>18259</v>
      </c>
      <c r="I224" s="57"/>
      <c r="J224" s="122"/>
      <c r="K224" s="37"/>
      <c r="L224" s="37"/>
      <c r="M224" s="37"/>
      <c r="N224" s="37"/>
      <c r="O224" s="244"/>
      <c r="P224" s="521" t="s">
        <v>17556</v>
      </c>
      <c r="Q224" s="45" t="s">
        <v>398</v>
      </c>
      <c r="R224" s="46">
        <v>1</v>
      </c>
      <c r="S224" s="512"/>
      <c r="V224" s="57"/>
      <c r="W224" s="35"/>
      <c r="Z224" s="57"/>
      <c r="AA224" s="35"/>
      <c r="AD224" s="57"/>
      <c r="AE224" s="208">
        <f>ROUND((_15_同援日１．５*_15・２人),0)+ROUND((ROUND((_15_同援日１．５＿０．５*_15・２人),0)*(1+_15・B夜間)),0)</f>
        <v>514</v>
      </c>
      <c r="AF224" s="48"/>
    </row>
    <row r="225" spans="1:32" ht="16.5" customHeight="1" x14ac:dyDescent="0.15">
      <c r="A225" s="41">
        <v>15</v>
      </c>
      <c r="B225" s="41">
        <v>9777</v>
      </c>
      <c r="C225" s="74" t="s">
        <v>19775</v>
      </c>
      <c r="D225" s="72" t="s">
        <v>18183</v>
      </c>
      <c r="F225" s="57"/>
      <c r="G225" s="72"/>
      <c r="I225" s="57"/>
      <c r="J225" s="114" t="s">
        <v>678</v>
      </c>
      <c r="K225" s="49"/>
      <c r="L225" s="49"/>
      <c r="M225" s="49"/>
      <c r="N225" s="49"/>
      <c r="O225" s="251"/>
      <c r="P225" s="163"/>
      <c r="Q225" s="45"/>
      <c r="R225" s="46"/>
      <c r="S225" s="512"/>
      <c r="V225" s="57"/>
      <c r="W225" s="35"/>
      <c r="Z225" s="57"/>
      <c r="AA225" s="35"/>
      <c r="AD225" s="57"/>
      <c r="AE225" s="208">
        <f>ROUND((_15_同援日１．５*_15・基礎２),0)+ROUND((ROUND((_15_同援日１．５＿０．５*_15・基礎２),0)*(1+_15・B夜間)),0)</f>
        <v>464</v>
      </c>
      <c r="AF225" s="48"/>
    </row>
    <row r="226" spans="1:32" ht="16.5" customHeight="1" x14ac:dyDescent="0.15">
      <c r="A226" s="41">
        <v>15</v>
      </c>
      <c r="B226" s="41">
        <v>9778</v>
      </c>
      <c r="C226" s="74" t="s">
        <v>19776</v>
      </c>
      <c r="D226" s="72"/>
      <c r="E226" s="168">
        <f>_15_同援日１．５</f>
        <v>433</v>
      </c>
      <c r="F226" s="57" t="s">
        <v>392</v>
      </c>
      <c r="G226" s="72"/>
      <c r="H226" s="168">
        <f>_15_同援日１．５＿０．５</f>
        <v>65</v>
      </c>
      <c r="I226" s="57" t="s">
        <v>392</v>
      </c>
      <c r="J226" s="122"/>
      <c r="K226" s="37"/>
      <c r="L226" s="37"/>
      <c r="M226" s="37"/>
      <c r="N226" s="37" t="s">
        <v>398</v>
      </c>
      <c r="O226" s="244">
        <v>0.9</v>
      </c>
      <c r="P226" s="521" t="s">
        <v>17556</v>
      </c>
      <c r="Q226" s="45" t="s">
        <v>398</v>
      </c>
      <c r="R226" s="46">
        <v>1</v>
      </c>
      <c r="S226" s="512"/>
      <c r="V226" s="57"/>
      <c r="W226" s="43"/>
      <c r="X226" s="37"/>
      <c r="Y226" s="38"/>
      <c r="Z226" s="79"/>
      <c r="AA226" s="35"/>
      <c r="AD226" s="57"/>
      <c r="AE226" s="208">
        <f>ROUND((ROUND((_15_同援日１．５*_15・基礎２),0)*_15・２人),0)+ROUND((ROUND((ROUND((_15_同援日１．５＿０．５*_15・基礎２),0)*_15・２人),0)*(1+_15・B夜間)),0)</f>
        <v>464</v>
      </c>
      <c r="AF226" s="48"/>
    </row>
    <row r="227" spans="1:32" ht="16.5" customHeight="1" x14ac:dyDescent="0.15">
      <c r="A227" s="41">
        <v>15</v>
      </c>
      <c r="B227" s="41">
        <v>9779</v>
      </c>
      <c r="C227" s="74" t="s">
        <v>19777</v>
      </c>
      <c r="D227" s="72"/>
      <c r="F227" s="57"/>
      <c r="G227" s="72"/>
      <c r="I227" s="57"/>
      <c r="J227" s="114"/>
      <c r="K227" s="49"/>
      <c r="L227" s="49"/>
      <c r="M227" s="49"/>
      <c r="N227" s="49"/>
      <c r="O227" s="251"/>
      <c r="P227" s="163"/>
      <c r="Q227" s="45"/>
      <c r="R227" s="46"/>
      <c r="S227" s="512"/>
      <c r="V227" s="57"/>
      <c r="W227" s="116" t="s">
        <v>17562</v>
      </c>
      <c r="X227" s="49"/>
      <c r="Y227" s="50"/>
      <c r="Z227" s="115"/>
      <c r="AA227" s="35"/>
      <c r="AD227" s="57"/>
      <c r="AE227" s="208">
        <f>ROUND((_15_同援日１．５*(1+_15・盲ろう)),0)+ROUND((ROUND((_15_同援日１．５＿０．５*(1+_15・B夜間)),0)*(1+_15・盲ろう)),0)</f>
        <v>642</v>
      </c>
      <c r="AF227" s="48"/>
    </row>
    <row r="228" spans="1:32" ht="16.5" customHeight="1" x14ac:dyDescent="0.15">
      <c r="A228" s="41">
        <v>15</v>
      </c>
      <c r="B228" s="41">
        <v>9780</v>
      </c>
      <c r="C228" s="74" t="s">
        <v>19778</v>
      </c>
      <c r="D228" s="72"/>
      <c r="F228" s="57"/>
      <c r="G228" s="72"/>
      <c r="I228" s="57"/>
      <c r="J228" s="122"/>
      <c r="K228" s="37"/>
      <c r="L228" s="37"/>
      <c r="M228" s="37"/>
      <c r="N228" s="37"/>
      <c r="O228" s="244"/>
      <c r="P228" s="521" t="s">
        <v>17556</v>
      </c>
      <c r="Q228" s="45" t="s">
        <v>398</v>
      </c>
      <c r="R228" s="46">
        <v>1</v>
      </c>
      <c r="S228" s="512"/>
      <c r="V228" s="57"/>
      <c r="W228" s="92" t="s">
        <v>17564</v>
      </c>
      <c r="Z228" s="57"/>
      <c r="AA228" s="35"/>
      <c r="AD228" s="57"/>
      <c r="AE228" s="208">
        <f>ROUND((ROUND((_15_同援日１．５*_15・２人),0)*(1+_15・盲ろう)),0)+ROUND((ROUND((ROUND((_15_同援日１．５＿０．５*_15・２人),0)*(1+_15・B夜間)),0)*(1+_15・盲ろう)),0)</f>
        <v>642</v>
      </c>
      <c r="AF228" s="48"/>
    </row>
    <row r="229" spans="1:32" ht="16.5" customHeight="1" x14ac:dyDescent="0.15">
      <c r="A229" s="41">
        <v>15</v>
      </c>
      <c r="B229" s="41">
        <v>9781</v>
      </c>
      <c r="C229" s="74" t="s">
        <v>19779</v>
      </c>
      <c r="D229" s="72"/>
      <c r="F229" s="57"/>
      <c r="G229" s="72"/>
      <c r="I229" s="57"/>
      <c r="J229" s="114" t="s">
        <v>678</v>
      </c>
      <c r="K229" s="49"/>
      <c r="L229" s="49"/>
      <c r="M229" s="49"/>
      <c r="N229" s="49"/>
      <c r="O229" s="251"/>
      <c r="P229" s="163"/>
      <c r="Q229" s="45"/>
      <c r="R229" s="46"/>
      <c r="S229" s="512"/>
      <c r="V229" s="57"/>
      <c r="W229" s="35"/>
      <c r="X229" s="12" t="s">
        <v>398</v>
      </c>
      <c r="Y229" s="13">
        <v>0.25</v>
      </c>
      <c r="Z229" s="57" t="s">
        <v>3575</v>
      </c>
      <c r="AA229" s="35"/>
      <c r="AD229" s="57"/>
      <c r="AE229" s="208">
        <f>ROUND((ROUND((_15_同援日１．５*_15・基礎２),0)*(1+_15・盲ろう)),0)+ROUND((ROUND((ROUND((_15_同援日１．５＿０．５*_15・基礎２),0)*(1+_15・B夜間)),0)*(1+_15・盲ろう)),0)</f>
        <v>581</v>
      </c>
      <c r="AF229" s="48"/>
    </row>
    <row r="230" spans="1:32" ht="16.5" customHeight="1" x14ac:dyDescent="0.15">
      <c r="A230" s="41">
        <v>15</v>
      </c>
      <c r="B230" s="41">
        <v>9782</v>
      </c>
      <c r="C230" s="74" t="s">
        <v>19780</v>
      </c>
      <c r="D230" s="72"/>
      <c r="F230" s="57"/>
      <c r="G230" s="72"/>
      <c r="I230" s="57"/>
      <c r="J230" s="122"/>
      <c r="K230" s="37"/>
      <c r="L230" s="37"/>
      <c r="M230" s="37"/>
      <c r="N230" s="37" t="s">
        <v>398</v>
      </c>
      <c r="O230" s="244">
        <v>0.9</v>
      </c>
      <c r="P230" s="521" t="s">
        <v>17556</v>
      </c>
      <c r="Q230" s="45" t="s">
        <v>398</v>
      </c>
      <c r="R230" s="46">
        <v>1</v>
      </c>
      <c r="S230" s="512"/>
      <c r="V230" s="57"/>
      <c r="W230" s="43"/>
      <c r="X230" s="37"/>
      <c r="Y230" s="38"/>
      <c r="Z230" s="79"/>
      <c r="AA230" s="43"/>
      <c r="AB230" s="37"/>
      <c r="AC230" s="38"/>
      <c r="AD230" s="79"/>
      <c r="AE230" s="208">
        <f>ROUND((ROUND((ROUND((_15_同援日１．５*_15・基礎２),0)*_15・２人),0)*(1+_15・盲ろう)),0)+ROUND((ROUND((ROUND((ROUND((_15_同援日１．５＿０．５*_15・基礎２),0)*_15・２人),0)*(1+_15・B夜間)),0)*(1+_15・盲ろう)),0)</f>
        <v>581</v>
      </c>
      <c r="AF230" s="48"/>
    </row>
    <row r="231" spans="1:32" ht="16.5" customHeight="1" x14ac:dyDescent="0.15">
      <c r="A231" s="41">
        <v>15</v>
      </c>
      <c r="B231" s="41">
        <v>9783</v>
      </c>
      <c r="C231" s="74" t="s">
        <v>19781</v>
      </c>
      <c r="D231" s="72"/>
      <c r="F231" s="57"/>
      <c r="G231" s="72"/>
      <c r="I231" s="57"/>
      <c r="J231" s="114"/>
      <c r="K231" s="49"/>
      <c r="L231" s="49"/>
      <c r="M231" s="49"/>
      <c r="N231" s="49"/>
      <c r="O231" s="251"/>
      <c r="P231" s="163"/>
      <c r="Q231" s="45"/>
      <c r="R231" s="46"/>
      <c r="S231" s="512"/>
      <c r="V231" s="57"/>
      <c r="W231" s="53"/>
      <c r="X231" s="49"/>
      <c r="Y231" s="50"/>
      <c r="Z231" s="115"/>
      <c r="AA231" s="53"/>
      <c r="AB231" s="49"/>
      <c r="AC231" s="50"/>
      <c r="AD231" s="115"/>
      <c r="AE231" s="208">
        <f>ROUND((_15_同援日１．５*(1+_15・区３)),0)+ROUND((ROUND((_15_同援日１．５＿０．５*(1+_15・B夜間)),0)*(1+_15・区３)),0)</f>
        <v>617</v>
      </c>
      <c r="AF231" s="48"/>
    </row>
    <row r="232" spans="1:32" ht="16.5" customHeight="1" x14ac:dyDescent="0.15">
      <c r="A232" s="41">
        <v>15</v>
      </c>
      <c r="B232" s="41">
        <v>9784</v>
      </c>
      <c r="C232" s="74" t="s">
        <v>19782</v>
      </c>
      <c r="D232" s="72"/>
      <c r="F232" s="57"/>
      <c r="G232" s="72"/>
      <c r="I232" s="57"/>
      <c r="J232" s="122"/>
      <c r="K232" s="37"/>
      <c r="L232" s="37"/>
      <c r="M232" s="37"/>
      <c r="N232" s="37"/>
      <c r="O232" s="244"/>
      <c r="P232" s="521" t="s">
        <v>17556</v>
      </c>
      <c r="Q232" s="45" t="s">
        <v>398</v>
      </c>
      <c r="R232" s="46">
        <v>1</v>
      </c>
      <c r="S232" s="512"/>
      <c r="V232" s="57"/>
      <c r="W232" s="35"/>
      <c r="Z232" s="57"/>
      <c r="AA232" s="35"/>
      <c r="AD232" s="57"/>
      <c r="AE232" s="208">
        <f>ROUND((ROUND((_15_同援日１．５*_15・２人),0)*(1+_15・区３)),0)+ROUND((ROUND((ROUND((_15_同援日１．５＿０．５*_15・２人),0)*(1+_15・B夜間)),0)*(1+_15・区３)),0)</f>
        <v>617</v>
      </c>
      <c r="AF232" s="48"/>
    </row>
    <row r="233" spans="1:32" ht="16.5" customHeight="1" x14ac:dyDescent="0.15">
      <c r="A233" s="41">
        <v>15</v>
      </c>
      <c r="B233" s="41">
        <v>9785</v>
      </c>
      <c r="C233" s="74" t="s">
        <v>19783</v>
      </c>
      <c r="D233" s="72"/>
      <c r="F233" s="57"/>
      <c r="G233" s="72"/>
      <c r="I233" s="57"/>
      <c r="J233" s="114" t="s">
        <v>678</v>
      </c>
      <c r="K233" s="49"/>
      <c r="L233" s="49"/>
      <c r="M233" s="49"/>
      <c r="N233" s="49"/>
      <c r="O233" s="251"/>
      <c r="P233" s="163"/>
      <c r="Q233" s="45"/>
      <c r="R233" s="46"/>
      <c r="S233" s="512"/>
      <c r="V233" s="57"/>
      <c r="W233" s="35"/>
      <c r="Z233" s="57"/>
      <c r="AA233" s="72" t="s">
        <v>17570</v>
      </c>
      <c r="AD233" s="57"/>
      <c r="AE233" s="208">
        <f>ROUND((ROUND((_15_同援日１．５*_15・基礎２),0)*(1+_15・区３)),0)+ROUND((ROUND((ROUND((_15_同援日１．５＿０．５*_15・基礎２),0)*(1+_15・B夜間)),0)*(1+_15・区３)),0)</f>
        <v>557</v>
      </c>
      <c r="AF233" s="48"/>
    </row>
    <row r="234" spans="1:32" ht="16.5" customHeight="1" x14ac:dyDescent="0.15">
      <c r="A234" s="41">
        <v>15</v>
      </c>
      <c r="B234" s="41">
        <v>9786</v>
      </c>
      <c r="C234" s="74" t="s">
        <v>19784</v>
      </c>
      <c r="D234" s="72"/>
      <c r="F234" s="57"/>
      <c r="G234" s="72"/>
      <c r="I234" s="57"/>
      <c r="J234" s="122"/>
      <c r="K234" s="37"/>
      <c r="L234" s="37"/>
      <c r="M234" s="37"/>
      <c r="N234" s="37" t="s">
        <v>398</v>
      </c>
      <c r="O234" s="244">
        <v>0.9</v>
      </c>
      <c r="P234" s="521" t="s">
        <v>17556</v>
      </c>
      <c r="Q234" s="45" t="s">
        <v>398</v>
      </c>
      <c r="R234" s="46">
        <v>1</v>
      </c>
      <c r="S234" s="512"/>
      <c r="V234" s="57"/>
      <c r="W234" s="43"/>
      <c r="X234" s="37"/>
      <c r="Y234" s="38"/>
      <c r="Z234" s="79"/>
      <c r="AA234" s="72" t="s">
        <v>17572</v>
      </c>
      <c r="AD234" s="57"/>
      <c r="AE234" s="208">
        <f>ROUND((ROUND((ROUND((_15_同援日１．５*_15・基礎２),0)*_15・２人),0)*(1+_15・区３)),0)+ROUND((ROUND((ROUND((ROUND((_15_同援日１．５＿０．５*_15・基礎２),0)*_15・２人),0)*(1+_15・B夜間)),0)*(1+_15・区３)),0)</f>
        <v>557</v>
      </c>
      <c r="AF234" s="48"/>
    </row>
    <row r="235" spans="1:32" ht="16.5" customHeight="1" x14ac:dyDescent="0.15">
      <c r="A235" s="41">
        <v>15</v>
      </c>
      <c r="B235" s="41">
        <v>9787</v>
      </c>
      <c r="C235" s="74" t="s">
        <v>19785</v>
      </c>
      <c r="D235" s="72"/>
      <c r="F235" s="57"/>
      <c r="G235" s="72"/>
      <c r="I235" s="57"/>
      <c r="J235" s="114"/>
      <c r="K235" s="49"/>
      <c r="L235" s="49"/>
      <c r="M235" s="49"/>
      <c r="N235" s="49"/>
      <c r="O235" s="251"/>
      <c r="P235" s="163"/>
      <c r="Q235" s="45"/>
      <c r="R235" s="46"/>
      <c r="S235" s="512"/>
      <c r="V235" s="57"/>
      <c r="W235" s="116" t="s">
        <v>17562</v>
      </c>
      <c r="X235" s="49"/>
      <c r="Y235" s="50"/>
      <c r="Z235" s="115"/>
      <c r="AA235" s="35"/>
      <c r="AB235" s="12" t="s">
        <v>398</v>
      </c>
      <c r="AC235" s="13">
        <v>0.2</v>
      </c>
      <c r="AD235" s="57" t="s">
        <v>3575</v>
      </c>
      <c r="AE235" s="208">
        <f>ROUND((ROUND((_15_同援日１．５*(1+_15・盲ろう)),0)*(1+_15・区３)),0)+ROUND((ROUND((ROUND((_15_同援日１．５＿０．５*(1+_15・B夜間)),0)*(1+_15・盲ろう)),0)*(1+_15・区３)),0)</f>
        <v>770</v>
      </c>
      <c r="AF235" s="48"/>
    </row>
    <row r="236" spans="1:32" ht="16.5" customHeight="1" x14ac:dyDescent="0.15">
      <c r="A236" s="41">
        <v>15</v>
      </c>
      <c r="B236" s="41">
        <v>9788</v>
      </c>
      <c r="C236" s="74" t="s">
        <v>19786</v>
      </c>
      <c r="D236" s="72"/>
      <c r="F236" s="57"/>
      <c r="G236" s="72"/>
      <c r="I236" s="57"/>
      <c r="J236" s="122"/>
      <c r="K236" s="37"/>
      <c r="L236" s="37"/>
      <c r="M236" s="37"/>
      <c r="N236" s="37"/>
      <c r="O236" s="244"/>
      <c r="P236" s="521" t="s">
        <v>17556</v>
      </c>
      <c r="Q236" s="45" t="s">
        <v>398</v>
      </c>
      <c r="R236" s="46">
        <v>1</v>
      </c>
      <c r="S236" s="512"/>
      <c r="V236" s="57"/>
      <c r="W236" s="92" t="s">
        <v>17564</v>
      </c>
      <c r="Z236" s="57"/>
      <c r="AA236" s="35"/>
      <c r="AD236" s="57"/>
      <c r="AE236" s="208">
        <f>ROUND((ROUND((ROUND((_15_同援日１．５*_15・２人),0)*(1+_15・盲ろう)),0)*(1+_15・区３)),0)+ROUND((ROUND((ROUND((ROUND((_15_同援日１．５＿０．５*_15・２人),0)*(1+_15・B夜間)),0)*(1+_15・盲ろう)),0)*(1+_15・区３)),0)</f>
        <v>770</v>
      </c>
      <c r="AF236" s="48"/>
    </row>
    <row r="237" spans="1:32" ht="16.5" customHeight="1" x14ac:dyDescent="0.15">
      <c r="A237" s="41">
        <v>15</v>
      </c>
      <c r="B237" s="41">
        <v>9789</v>
      </c>
      <c r="C237" s="74" t="s">
        <v>19787</v>
      </c>
      <c r="D237" s="72"/>
      <c r="F237" s="57"/>
      <c r="G237" s="72"/>
      <c r="I237" s="57"/>
      <c r="J237" s="114" t="s">
        <v>678</v>
      </c>
      <c r="K237" s="49"/>
      <c r="L237" s="49"/>
      <c r="M237" s="49"/>
      <c r="N237" s="49"/>
      <c r="O237" s="251"/>
      <c r="P237" s="163"/>
      <c r="Q237" s="45"/>
      <c r="R237" s="46"/>
      <c r="S237" s="512"/>
      <c r="V237" s="57"/>
      <c r="W237" s="35"/>
      <c r="X237" s="12" t="s">
        <v>398</v>
      </c>
      <c r="Y237" s="13">
        <v>0.25</v>
      </c>
      <c r="Z237" s="57" t="s">
        <v>3575</v>
      </c>
      <c r="AA237" s="35"/>
      <c r="AD237" s="57"/>
      <c r="AE237" s="208">
        <f>ROUND((ROUND((ROUND((_15_同援日１．５*_15・基礎２),0)*(1+_15・盲ろう)),0)*(1+_15・区３)),0)+ROUND((ROUND((ROUND((ROUND((_15_同援日１．５＿０．５*_15・基礎２),0)*(1+_15・B夜間)),0)*(1+_15・盲ろう)),0)*(1+_15・区３)),0)</f>
        <v>698</v>
      </c>
      <c r="AF237" s="48"/>
    </row>
    <row r="238" spans="1:32" ht="16.5" customHeight="1" x14ac:dyDescent="0.15">
      <c r="A238" s="41">
        <v>15</v>
      </c>
      <c r="B238" s="41">
        <v>9790</v>
      </c>
      <c r="C238" s="74" t="s">
        <v>19788</v>
      </c>
      <c r="D238" s="72"/>
      <c r="F238" s="57"/>
      <c r="G238" s="72"/>
      <c r="I238" s="57"/>
      <c r="J238" s="122"/>
      <c r="K238" s="37"/>
      <c r="L238" s="37"/>
      <c r="M238" s="37"/>
      <c r="N238" s="37" t="s">
        <v>398</v>
      </c>
      <c r="O238" s="244">
        <v>0.9</v>
      </c>
      <c r="P238" s="521" t="s">
        <v>17556</v>
      </c>
      <c r="Q238" s="45" t="s">
        <v>398</v>
      </c>
      <c r="R238" s="46">
        <v>1</v>
      </c>
      <c r="S238" s="512"/>
      <c r="V238" s="57"/>
      <c r="W238" s="43"/>
      <c r="X238" s="37"/>
      <c r="Y238" s="38"/>
      <c r="Z238" s="79"/>
      <c r="AA238" s="43"/>
      <c r="AB238" s="37"/>
      <c r="AC238" s="38"/>
      <c r="AD238" s="79"/>
      <c r="AE238" s="208">
        <f>ROUND((ROUND((ROUND((ROUND((_15_同援日１．５*_15・基礎２),0)*_15・２人),0)*(1+_15・盲ろう)),0)*(1+_15・区３)),0)+ROUND((ROUND((ROUND((ROUND((ROUND((_15_同援日１．５＿０．５*_15・基礎２),0)*_15・２人),0)*(1+_15・B夜間)),0)*(1+_15・盲ろう)),0)*(1+_15・区３)),0)</f>
        <v>698</v>
      </c>
      <c r="AF238" s="48"/>
    </row>
    <row r="239" spans="1:32" ht="16.5" customHeight="1" x14ac:dyDescent="0.15">
      <c r="A239" s="41">
        <v>15</v>
      </c>
      <c r="B239" s="41">
        <v>9791</v>
      </c>
      <c r="C239" s="74" t="s">
        <v>19789</v>
      </c>
      <c r="D239" s="72"/>
      <c r="F239" s="57"/>
      <c r="G239" s="72"/>
      <c r="I239" s="57"/>
      <c r="J239" s="114"/>
      <c r="K239" s="49"/>
      <c r="L239" s="49"/>
      <c r="M239" s="49"/>
      <c r="N239" s="49"/>
      <c r="O239" s="251"/>
      <c r="P239" s="163"/>
      <c r="Q239" s="45"/>
      <c r="R239" s="46"/>
      <c r="S239" s="512"/>
      <c r="V239" s="57"/>
      <c r="W239" s="53"/>
      <c r="X239" s="49"/>
      <c r="Y239" s="50"/>
      <c r="Z239" s="115"/>
      <c r="AA239" s="53"/>
      <c r="AB239" s="49"/>
      <c r="AC239" s="50"/>
      <c r="AD239" s="115"/>
      <c r="AE239" s="208">
        <f>ROUND((_15_同援日１．５*(1+_15・区４)),0)+ROUND((ROUND((_15_同援日１．５＿０．５*(1+_15・B夜間)),0)*(1+_15・区４)),0)</f>
        <v>719</v>
      </c>
      <c r="AF239" s="48"/>
    </row>
    <row r="240" spans="1:32" ht="16.5" customHeight="1" x14ac:dyDescent="0.15">
      <c r="A240" s="41">
        <v>15</v>
      </c>
      <c r="B240" s="41">
        <v>9792</v>
      </c>
      <c r="C240" s="74" t="s">
        <v>19790</v>
      </c>
      <c r="D240" s="72"/>
      <c r="F240" s="57"/>
      <c r="G240" s="72"/>
      <c r="I240" s="57"/>
      <c r="J240" s="122"/>
      <c r="K240" s="37"/>
      <c r="L240" s="37"/>
      <c r="M240" s="37"/>
      <c r="N240" s="37"/>
      <c r="O240" s="244"/>
      <c r="P240" s="521" t="s">
        <v>17556</v>
      </c>
      <c r="Q240" s="45" t="s">
        <v>398</v>
      </c>
      <c r="R240" s="46">
        <v>1</v>
      </c>
      <c r="S240" s="512"/>
      <c r="V240" s="57"/>
      <c r="W240" s="35"/>
      <c r="Z240" s="57"/>
      <c r="AA240" s="35"/>
      <c r="AD240" s="57"/>
      <c r="AE240" s="208">
        <f>ROUND((ROUND((_15_同援日１．５*_15・２人),0)*(1+_15・区４)),0)+ROUND((ROUND((ROUND((_15_同援日１．５＿０．５*_15・２人),0)*(1+_15・B夜間)),0)*(1+_15・区４)),0)</f>
        <v>719</v>
      </c>
      <c r="AF240" s="48"/>
    </row>
    <row r="241" spans="1:32" ht="16.5" customHeight="1" x14ac:dyDescent="0.15">
      <c r="A241" s="41">
        <v>15</v>
      </c>
      <c r="B241" s="41">
        <v>9793</v>
      </c>
      <c r="C241" s="74" t="s">
        <v>19791</v>
      </c>
      <c r="D241" s="72"/>
      <c r="F241" s="57"/>
      <c r="G241" s="72"/>
      <c r="I241" s="57"/>
      <c r="J241" s="114" t="s">
        <v>678</v>
      </c>
      <c r="K241" s="49"/>
      <c r="L241" s="49"/>
      <c r="M241" s="49"/>
      <c r="N241" s="49"/>
      <c r="O241" s="251"/>
      <c r="P241" s="163"/>
      <c r="Q241" s="45"/>
      <c r="R241" s="46"/>
      <c r="S241" s="512"/>
      <c r="V241" s="57"/>
      <c r="W241" s="35"/>
      <c r="Z241" s="57"/>
      <c r="AA241" s="72" t="s">
        <v>17580</v>
      </c>
      <c r="AD241" s="57"/>
      <c r="AE241" s="208">
        <f>ROUND((ROUND((_15_同援日１．５*_15・基礎２),0)*(1+_15・区４)),0)+ROUND((ROUND((ROUND((_15_同援日１．５＿０．５*_15・基礎２),0)*(1+_15・B夜間)),0)*(1+_15・区４)),0)</f>
        <v>650</v>
      </c>
      <c r="AF241" s="48"/>
    </row>
    <row r="242" spans="1:32" ht="16.5" customHeight="1" x14ac:dyDescent="0.15">
      <c r="A242" s="41">
        <v>15</v>
      </c>
      <c r="B242" s="41">
        <v>9794</v>
      </c>
      <c r="C242" s="74" t="s">
        <v>19792</v>
      </c>
      <c r="D242" s="72"/>
      <c r="F242" s="57"/>
      <c r="G242" s="72"/>
      <c r="I242" s="57"/>
      <c r="J242" s="122"/>
      <c r="K242" s="37"/>
      <c r="L242" s="37"/>
      <c r="M242" s="37"/>
      <c r="N242" s="37" t="s">
        <v>398</v>
      </c>
      <c r="O242" s="244">
        <v>0.9</v>
      </c>
      <c r="P242" s="521" t="s">
        <v>17556</v>
      </c>
      <c r="Q242" s="45" t="s">
        <v>398</v>
      </c>
      <c r="R242" s="46">
        <v>1</v>
      </c>
      <c r="S242" s="512"/>
      <c r="V242" s="57"/>
      <c r="W242" s="43"/>
      <c r="X242" s="37"/>
      <c r="Y242" s="38"/>
      <c r="Z242" s="79"/>
      <c r="AA242" s="72" t="s">
        <v>17572</v>
      </c>
      <c r="AD242" s="57"/>
      <c r="AE242" s="208">
        <f>ROUND((ROUND((ROUND((_15_同援日１．５*_15・基礎２),0)*_15・２人),0)*(1+_15・区４)),0)+ROUND((ROUND((ROUND((ROUND((_15_同援日１．５＿０．５*_15・基礎２),0)*_15・２人),0)*(1+_15・B夜間)),0)*(1+_15・区４)),0)</f>
        <v>650</v>
      </c>
      <c r="AF242" s="48"/>
    </row>
    <row r="243" spans="1:32" ht="16.5" customHeight="1" x14ac:dyDescent="0.15">
      <c r="A243" s="41">
        <v>15</v>
      </c>
      <c r="B243" s="41">
        <v>9795</v>
      </c>
      <c r="C243" s="74" t="s">
        <v>19793</v>
      </c>
      <c r="D243" s="72"/>
      <c r="F243" s="57"/>
      <c r="G243" s="72"/>
      <c r="I243" s="57"/>
      <c r="J243" s="114"/>
      <c r="K243" s="49"/>
      <c r="L243" s="49"/>
      <c r="M243" s="49"/>
      <c r="N243" s="49"/>
      <c r="O243" s="251"/>
      <c r="P243" s="163"/>
      <c r="Q243" s="45"/>
      <c r="R243" s="46"/>
      <c r="S243" s="512"/>
      <c r="V243" s="57"/>
      <c r="W243" s="116" t="s">
        <v>17562</v>
      </c>
      <c r="X243" s="49"/>
      <c r="Y243" s="50"/>
      <c r="Z243" s="115"/>
      <c r="AA243" s="35"/>
      <c r="AB243" s="12" t="s">
        <v>398</v>
      </c>
      <c r="AC243" s="13">
        <v>0.4</v>
      </c>
      <c r="AD243" s="57" t="s">
        <v>3575</v>
      </c>
      <c r="AE243" s="208">
        <f>ROUND((ROUND((_15_同援日１．５*(1+_15・盲ろう)),0)*(1+_15・区４)),0)+ROUND((ROUND((ROUND((_15_同援日１．５＿０．５*(1+_15・B夜間)),0)*(1+_15・盲ろう)),0)*(1+_15・区４)),0)</f>
        <v>898</v>
      </c>
      <c r="AF243" s="48"/>
    </row>
    <row r="244" spans="1:32" ht="16.5" customHeight="1" x14ac:dyDescent="0.15">
      <c r="A244" s="41">
        <v>15</v>
      </c>
      <c r="B244" s="41">
        <v>9796</v>
      </c>
      <c r="C244" s="74" t="s">
        <v>19794</v>
      </c>
      <c r="D244" s="72"/>
      <c r="F244" s="57"/>
      <c r="G244" s="72"/>
      <c r="I244" s="57"/>
      <c r="J244" s="122"/>
      <c r="K244" s="37"/>
      <c r="L244" s="37"/>
      <c r="M244" s="37"/>
      <c r="N244" s="37"/>
      <c r="O244" s="244"/>
      <c r="P244" s="521" t="s">
        <v>17556</v>
      </c>
      <c r="Q244" s="45" t="s">
        <v>398</v>
      </c>
      <c r="R244" s="46">
        <v>1</v>
      </c>
      <c r="S244" s="512"/>
      <c r="V244" s="57"/>
      <c r="W244" s="92" t="s">
        <v>17564</v>
      </c>
      <c r="Z244" s="57"/>
      <c r="AA244" s="35"/>
      <c r="AD244" s="57"/>
      <c r="AE244" s="208">
        <f>ROUND((ROUND((ROUND((_15_同援日１．５*_15・２人),0)*(1+_15・盲ろう)),0)*(1+_15・区４)),0)+ROUND((ROUND((ROUND((ROUND((_15_同援日１．５＿０．５*_15・２人),0)*(1+_15・B夜間)),0)*(1+_15・盲ろう)),0)*(1+_15・区４)),0)</f>
        <v>898</v>
      </c>
      <c r="AF244" s="48"/>
    </row>
    <row r="245" spans="1:32" ht="16.5" customHeight="1" x14ac:dyDescent="0.15">
      <c r="A245" s="41">
        <v>15</v>
      </c>
      <c r="B245" s="41">
        <v>9797</v>
      </c>
      <c r="C245" s="74" t="s">
        <v>19795</v>
      </c>
      <c r="D245" s="72"/>
      <c r="F245" s="57"/>
      <c r="G245" s="72"/>
      <c r="I245" s="57"/>
      <c r="J245" s="114" t="s">
        <v>678</v>
      </c>
      <c r="K245" s="49"/>
      <c r="L245" s="49"/>
      <c r="M245" s="49"/>
      <c r="N245" s="49"/>
      <c r="O245" s="251"/>
      <c r="P245" s="163"/>
      <c r="Q245" s="45"/>
      <c r="R245" s="46"/>
      <c r="S245" s="512"/>
      <c r="V245" s="57"/>
      <c r="W245" s="35"/>
      <c r="X245" s="12" t="s">
        <v>398</v>
      </c>
      <c r="Y245" s="13">
        <v>0.25</v>
      </c>
      <c r="Z245" s="57" t="s">
        <v>3575</v>
      </c>
      <c r="AA245" s="35"/>
      <c r="AD245" s="57"/>
      <c r="AE245" s="208">
        <f>ROUND((ROUND((ROUND((_15_同援日１．５*_15・基礎２),0)*(1+_15・盲ろう)),0)*(1+_15・区４)),0)+ROUND((ROUND((ROUND((ROUND((_15_同援日１．５＿０．５*_15・基礎２),0)*(1+_15・B夜間)),0)*(1+_15・盲ろう)),0)*(1+_15・区４)),0)</f>
        <v>813</v>
      </c>
      <c r="AF245" s="48"/>
    </row>
    <row r="246" spans="1:32" ht="16.5" customHeight="1" x14ac:dyDescent="0.15">
      <c r="A246" s="41">
        <v>15</v>
      </c>
      <c r="B246" s="41">
        <v>9798</v>
      </c>
      <c r="C246" s="74" t="s">
        <v>19796</v>
      </c>
      <c r="D246" s="72"/>
      <c r="F246" s="57"/>
      <c r="G246" s="122"/>
      <c r="H246" s="37"/>
      <c r="I246" s="79"/>
      <c r="J246" s="122"/>
      <c r="K246" s="37"/>
      <c r="L246" s="37"/>
      <c r="M246" s="37"/>
      <c r="N246" s="37" t="s">
        <v>398</v>
      </c>
      <c r="O246" s="244">
        <v>0.9</v>
      </c>
      <c r="P246" s="521" t="s">
        <v>17556</v>
      </c>
      <c r="Q246" s="45" t="s">
        <v>398</v>
      </c>
      <c r="R246" s="46">
        <v>1</v>
      </c>
      <c r="S246" s="512"/>
      <c r="V246" s="57"/>
      <c r="W246" s="43"/>
      <c r="X246" s="37"/>
      <c r="Y246" s="38"/>
      <c r="Z246" s="79"/>
      <c r="AA246" s="43"/>
      <c r="AB246" s="37"/>
      <c r="AC246" s="38"/>
      <c r="AD246" s="79"/>
      <c r="AE246" s="208">
        <f>ROUND((ROUND((ROUND((ROUND((_15_同援日１．５*_15・基礎２),0)*_15・２人),0)*(1+_15・盲ろう)),0)*(1+_15・区４)),0)+ROUND((ROUND((ROUND((ROUND((ROUND((_15_同援日１．５＿０．５*_15・基礎２),0)*_15・２人),0)*(1+_15・B夜間)),0)*(1+_15・盲ろう)),0)*(1+_15・区４)),0)</f>
        <v>813</v>
      </c>
      <c r="AF246" s="48"/>
    </row>
    <row r="247" spans="1:32" ht="16.5" customHeight="1" x14ac:dyDescent="0.15">
      <c r="A247" s="41">
        <v>15</v>
      </c>
      <c r="B247" s="41">
        <v>9799</v>
      </c>
      <c r="C247" s="74" t="s">
        <v>19797</v>
      </c>
      <c r="D247" s="72"/>
      <c r="F247" s="57"/>
      <c r="G247" s="114" t="s">
        <v>19578</v>
      </c>
      <c r="H247" s="49"/>
      <c r="I247" s="115"/>
      <c r="J247" s="114"/>
      <c r="K247" s="49"/>
      <c r="L247" s="49"/>
      <c r="M247" s="49"/>
      <c r="N247" s="49"/>
      <c r="O247" s="251"/>
      <c r="P247" s="163"/>
      <c r="Q247" s="45"/>
      <c r="R247" s="46"/>
      <c r="S247" s="512"/>
      <c r="V247" s="57"/>
      <c r="W247" s="53"/>
      <c r="X247" s="49"/>
      <c r="Y247" s="50"/>
      <c r="Z247" s="115"/>
      <c r="AA247" s="53"/>
      <c r="AB247" s="49"/>
      <c r="AC247" s="50"/>
      <c r="AD247" s="115"/>
      <c r="AE247" s="208">
        <f>_15_同援日１．５+ROUND((_15_同援日１．５＿１．０*(1+_15・B夜間)),0)</f>
        <v>596</v>
      </c>
      <c r="AF247" s="48"/>
    </row>
    <row r="248" spans="1:32" ht="16.5" customHeight="1" x14ac:dyDescent="0.15">
      <c r="A248" s="41">
        <v>15</v>
      </c>
      <c r="B248" s="41">
        <v>9800</v>
      </c>
      <c r="C248" s="74" t="s">
        <v>19798</v>
      </c>
      <c r="D248" s="72"/>
      <c r="F248" s="57"/>
      <c r="G248" s="72" t="s">
        <v>17589</v>
      </c>
      <c r="I248" s="57"/>
      <c r="J248" s="122"/>
      <c r="K248" s="37"/>
      <c r="L248" s="37"/>
      <c r="M248" s="37"/>
      <c r="N248" s="37"/>
      <c r="O248" s="244"/>
      <c r="P248" s="521" t="s">
        <v>17556</v>
      </c>
      <c r="Q248" s="45" t="s">
        <v>398</v>
      </c>
      <c r="R248" s="46">
        <v>1</v>
      </c>
      <c r="S248" s="512"/>
      <c r="V248" s="57"/>
      <c r="W248" s="35"/>
      <c r="Z248" s="57"/>
      <c r="AA248" s="35"/>
      <c r="AD248" s="57"/>
      <c r="AE248" s="208">
        <f>ROUND((_15_同援日１．５*_15・２人),0)+ROUND((ROUND((_15_同援日１．５＿１．０*_15・２人),0)*(1+_15・B夜間)),0)</f>
        <v>596</v>
      </c>
      <c r="AF248" s="48"/>
    </row>
    <row r="249" spans="1:32" ht="16.5" customHeight="1" x14ac:dyDescent="0.15">
      <c r="A249" s="41">
        <v>15</v>
      </c>
      <c r="B249" s="41">
        <v>9801</v>
      </c>
      <c r="C249" s="74" t="s">
        <v>19799</v>
      </c>
      <c r="D249" s="72"/>
      <c r="F249" s="57"/>
      <c r="G249" s="72" t="s">
        <v>17591</v>
      </c>
      <c r="I249" s="57"/>
      <c r="J249" s="114" t="s">
        <v>678</v>
      </c>
      <c r="K249" s="49"/>
      <c r="L249" s="49"/>
      <c r="M249" s="49"/>
      <c r="N249" s="49"/>
      <c r="O249" s="251"/>
      <c r="P249" s="163"/>
      <c r="Q249" s="45"/>
      <c r="R249" s="46"/>
      <c r="S249" s="512"/>
      <c r="V249" s="57"/>
      <c r="W249" s="35"/>
      <c r="Z249" s="57"/>
      <c r="AA249" s="35"/>
      <c r="AD249" s="57"/>
      <c r="AE249" s="208">
        <f>ROUND((_15_同援日１．５*_15・基礎２),0)+ROUND((ROUND((_15_同援日１．５＿１．０*_15・基礎２),0)*(1+_15・B夜間)),0)</f>
        <v>536</v>
      </c>
      <c r="AF249" s="48"/>
    </row>
    <row r="250" spans="1:32" ht="16.5" customHeight="1" x14ac:dyDescent="0.15">
      <c r="A250" s="41">
        <v>15</v>
      </c>
      <c r="B250" s="41">
        <v>9802</v>
      </c>
      <c r="C250" s="74" t="s">
        <v>19800</v>
      </c>
      <c r="D250" s="72"/>
      <c r="F250" s="57"/>
      <c r="G250" s="72"/>
      <c r="H250" s="168">
        <f>_15_同援日１．５＿１．０</f>
        <v>130</v>
      </c>
      <c r="I250" s="57" t="s">
        <v>392</v>
      </c>
      <c r="J250" s="122"/>
      <c r="K250" s="37"/>
      <c r="L250" s="37"/>
      <c r="M250" s="37"/>
      <c r="N250" s="37" t="s">
        <v>398</v>
      </c>
      <c r="O250" s="244">
        <v>0.9</v>
      </c>
      <c r="P250" s="521" t="s">
        <v>17556</v>
      </c>
      <c r="Q250" s="45" t="s">
        <v>398</v>
      </c>
      <c r="R250" s="46">
        <v>1</v>
      </c>
      <c r="S250" s="512"/>
      <c r="V250" s="57"/>
      <c r="W250" s="43"/>
      <c r="X250" s="37"/>
      <c r="Y250" s="38"/>
      <c r="Z250" s="79"/>
      <c r="AA250" s="35"/>
      <c r="AD250" s="57"/>
      <c r="AE250" s="208">
        <f>ROUND((ROUND((_15_同援日１．５*_15・基礎２),0)*_15・２人),0)+ROUND((ROUND((ROUND((_15_同援日１．５＿１．０*_15・基礎２),0)*_15・２人),0)*(1+_15・B夜間)),0)</f>
        <v>536</v>
      </c>
      <c r="AF250" s="48"/>
    </row>
    <row r="251" spans="1:32" ht="16.5" customHeight="1" x14ac:dyDescent="0.15">
      <c r="A251" s="41">
        <v>15</v>
      </c>
      <c r="B251" s="41">
        <v>9803</v>
      </c>
      <c r="C251" s="74" t="s">
        <v>19801</v>
      </c>
      <c r="D251" s="72"/>
      <c r="F251" s="57"/>
      <c r="G251" s="72"/>
      <c r="I251" s="57"/>
      <c r="J251" s="114"/>
      <c r="K251" s="49"/>
      <c r="L251" s="49"/>
      <c r="M251" s="49"/>
      <c r="N251" s="49"/>
      <c r="O251" s="251"/>
      <c r="P251" s="163"/>
      <c r="Q251" s="45"/>
      <c r="R251" s="46"/>
      <c r="S251" s="512"/>
      <c r="V251" s="57"/>
      <c r="W251" s="116" t="s">
        <v>17562</v>
      </c>
      <c r="X251" s="49"/>
      <c r="Y251" s="50"/>
      <c r="Z251" s="115"/>
      <c r="AA251" s="35"/>
      <c r="AD251" s="57"/>
      <c r="AE251" s="208">
        <f>ROUND((_15_同援日１．５*(1+_15・盲ろう)),0)+ROUND((ROUND((_15_同援日１．５＿１．０*(1+_15・B夜間)),0)*(1+_15・盲ろう)),0)</f>
        <v>745</v>
      </c>
      <c r="AF251" s="48"/>
    </row>
    <row r="252" spans="1:32" ht="16.5" customHeight="1" x14ac:dyDescent="0.15">
      <c r="A252" s="41">
        <v>15</v>
      </c>
      <c r="B252" s="41">
        <v>9804</v>
      </c>
      <c r="C252" s="74" t="s">
        <v>19802</v>
      </c>
      <c r="D252" s="72"/>
      <c r="F252" s="57"/>
      <c r="G252" s="72"/>
      <c r="I252" s="57"/>
      <c r="J252" s="122"/>
      <c r="K252" s="37"/>
      <c r="L252" s="37"/>
      <c r="M252" s="37"/>
      <c r="N252" s="37"/>
      <c r="O252" s="244"/>
      <c r="P252" s="521" t="s">
        <v>17556</v>
      </c>
      <c r="Q252" s="45" t="s">
        <v>398</v>
      </c>
      <c r="R252" s="46">
        <v>1</v>
      </c>
      <c r="S252" s="512"/>
      <c r="V252" s="57"/>
      <c r="W252" s="92" t="s">
        <v>17564</v>
      </c>
      <c r="Z252" s="57"/>
      <c r="AA252" s="35"/>
      <c r="AD252" s="57"/>
      <c r="AE252" s="208">
        <f>ROUND((ROUND((_15_同援日１．５*_15・２人),0)*(1+_15・盲ろう)),0)+ROUND((ROUND((ROUND((_15_同援日１．５＿１．０*_15・２人),0)*(1+_15・B夜間)),0)*(1+_15・盲ろう)),0)</f>
        <v>745</v>
      </c>
      <c r="AF252" s="48"/>
    </row>
    <row r="253" spans="1:32" ht="16.5" customHeight="1" x14ac:dyDescent="0.15">
      <c r="A253" s="41">
        <v>15</v>
      </c>
      <c r="B253" s="41">
        <v>9805</v>
      </c>
      <c r="C253" s="74" t="s">
        <v>19803</v>
      </c>
      <c r="D253" s="72"/>
      <c r="F253" s="57"/>
      <c r="G253" s="72"/>
      <c r="I253" s="57"/>
      <c r="J253" s="114" t="s">
        <v>678</v>
      </c>
      <c r="K253" s="49"/>
      <c r="L253" s="49"/>
      <c r="M253" s="49"/>
      <c r="N253" s="49"/>
      <c r="O253" s="251"/>
      <c r="P253" s="163"/>
      <c r="Q253" s="45"/>
      <c r="R253" s="46"/>
      <c r="S253" s="512"/>
      <c r="V253" s="57"/>
      <c r="W253" s="35"/>
      <c r="X253" s="12" t="s">
        <v>398</v>
      </c>
      <c r="Y253" s="13">
        <v>0.25</v>
      </c>
      <c r="Z253" s="57" t="s">
        <v>3575</v>
      </c>
      <c r="AA253" s="35"/>
      <c r="AD253" s="57"/>
      <c r="AE253" s="208">
        <f>ROUND((ROUND((_15_同援日１．５*_15・基礎２),0)*(1+_15・盲ろう)),0)+ROUND((ROUND((ROUND((_15_同援日１．５＿１．０*_15・基礎２),0)*(1+_15・B夜間)),0)*(1+_15・盲ろう)),0)</f>
        <v>671</v>
      </c>
      <c r="AF253" s="48"/>
    </row>
    <row r="254" spans="1:32" ht="16.5" customHeight="1" x14ac:dyDescent="0.15">
      <c r="A254" s="41">
        <v>15</v>
      </c>
      <c r="B254" s="41">
        <v>9806</v>
      </c>
      <c r="C254" s="74" t="s">
        <v>19804</v>
      </c>
      <c r="D254" s="72"/>
      <c r="F254" s="57"/>
      <c r="G254" s="72"/>
      <c r="I254" s="57"/>
      <c r="J254" s="122"/>
      <c r="K254" s="37"/>
      <c r="L254" s="37"/>
      <c r="M254" s="37"/>
      <c r="N254" s="37" t="s">
        <v>398</v>
      </c>
      <c r="O254" s="244">
        <v>0.9</v>
      </c>
      <c r="P254" s="521" t="s">
        <v>17556</v>
      </c>
      <c r="Q254" s="45" t="s">
        <v>398</v>
      </c>
      <c r="R254" s="46">
        <v>1</v>
      </c>
      <c r="S254" s="512"/>
      <c r="V254" s="57"/>
      <c r="W254" s="43"/>
      <c r="X254" s="37"/>
      <c r="Y254" s="38"/>
      <c r="Z254" s="79"/>
      <c r="AA254" s="43"/>
      <c r="AB254" s="37"/>
      <c r="AC254" s="38"/>
      <c r="AD254" s="79"/>
      <c r="AE254" s="208">
        <f>ROUND((ROUND((ROUND((_15_同援日１．５*_15・基礎２),0)*_15・２人),0)*(1+_15・盲ろう)),0)+ROUND((ROUND((ROUND((ROUND((_15_同援日１．５＿１．０*_15・基礎２),0)*_15・２人),0)*(1+_15・B夜間)),0)*(1+_15・盲ろう)),0)</f>
        <v>671</v>
      </c>
      <c r="AF254" s="48"/>
    </row>
    <row r="255" spans="1:32" ht="16.5" customHeight="1" x14ac:dyDescent="0.15">
      <c r="A255" s="41">
        <v>15</v>
      </c>
      <c r="B255" s="41">
        <v>9807</v>
      </c>
      <c r="C255" s="74" t="s">
        <v>19805</v>
      </c>
      <c r="D255" s="72"/>
      <c r="F255" s="57"/>
      <c r="G255" s="72"/>
      <c r="I255" s="57"/>
      <c r="J255" s="114"/>
      <c r="K255" s="49"/>
      <c r="L255" s="49"/>
      <c r="M255" s="49"/>
      <c r="N255" s="49"/>
      <c r="O255" s="251"/>
      <c r="P255" s="163"/>
      <c r="Q255" s="45"/>
      <c r="R255" s="46"/>
      <c r="S255" s="512"/>
      <c r="V255" s="57"/>
      <c r="W255" s="53"/>
      <c r="X255" s="49"/>
      <c r="Y255" s="50"/>
      <c r="Z255" s="115"/>
      <c r="AA255" s="53"/>
      <c r="AB255" s="49"/>
      <c r="AC255" s="50"/>
      <c r="AD255" s="115"/>
      <c r="AE255" s="208">
        <f>ROUND((_15_同援日１．５*(1+_15・区３)),0)+ROUND((ROUND((_15_同援日１．５＿１．０*(1+_15・B夜間)),0)*(1+_15・区３)),0)</f>
        <v>716</v>
      </c>
      <c r="AF255" s="48"/>
    </row>
    <row r="256" spans="1:32" ht="16.5" customHeight="1" x14ac:dyDescent="0.15">
      <c r="A256" s="41">
        <v>15</v>
      </c>
      <c r="B256" s="41">
        <v>9808</v>
      </c>
      <c r="C256" s="74" t="s">
        <v>19806</v>
      </c>
      <c r="D256" s="72"/>
      <c r="F256" s="57"/>
      <c r="G256" s="72"/>
      <c r="I256" s="57"/>
      <c r="J256" s="122"/>
      <c r="K256" s="37"/>
      <c r="L256" s="37"/>
      <c r="M256" s="37"/>
      <c r="N256" s="37"/>
      <c r="O256" s="244"/>
      <c r="P256" s="521" t="s">
        <v>17556</v>
      </c>
      <c r="Q256" s="45" t="s">
        <v>398</v>
      </c>
      <c r="R256" s="46">
        <v>1</v>
      </c>
      <c r="S256" s="512"/>
      <c r="V256" s="57"/>
      <c r="W256" s="35"/>
      <c r="Z256" s="57"/>
      <c r="AA256" s="35"/>
      <c r="AD256" s="57"/>
      <c r="AE256" s="208">
        <f>ROUND((ROUND((_15_同援日１．５*_15・２人),0)*(1+_15・区３)),0)+ROUND((ROUND((ROUND((_15_同援日１．５＿１．０*_15・２人),0)*(1+_15・B夜間)),0)*(1+_15・区３)),0)</f>
        <v>716</v>
      </c>
      <c r="AF256" s="48"/>
    </row>
    <row r="257" spans="1:32" ht="16.5" customHeight="1" x14ac:dyDescent="0.15">
      <c r="A257" s="41">
        <v>15</v>
      </c>
      <c r="B257" s="41">
        <v>9809</v>
      </c>
      <c r="C257" s="74" t="s">
        <v>19807</v>
      </c>
      <c r="D257" s="72"/>
      <c r="F257" s="57"/>
      <c r="G257" s="72"/>
      <c r="I257" s="57"/>
      <c r="J257" s="114" t="s">
        <v>678</v>
      </c>
      <c r="K257" s="49"/>
      <c r="L257" s="49"/>
      <c r="M257" s="49"/>
      <c r="N257" s="49"/>
      <c r="O257" s="251"/>
      <c r="P257" s="163"/>
      <c r="Q257" s="45"/>
      <c r="R257" s="46"/>
      <c r="S257" s="512"/>
      <c r="V257" s="57"/>
      <c r="W257" s="35"/>
      <c r="Z257" s="57"/>
      <c r="AA257" s="72" t="s">
        <v>17570</v>
      </c>
      <c r="AD257" s="57"/>
      <c r="AE257" s="208">
        <f>ROUND((ROUND((_15_同援日１．５*_15・基礎２),0)*(1+_15・区３)),0)+ROUND((ROUND((ROUND((_15_同援日１．５＿１．０*_15・基礎２),0)*(1+_15・B夜間)),0)*(1+_15・区３)),0)</f>
        <v>643</v>
      </c>
      <c r="AF257" s="48"/>
    </row>
    <row r="258" spans="1:32" ht="16.5" customHeight="1" x14ac:dyDescent="0.15">
      <c r="A258" s="41">
        <v>15</v>
      </c>
      <c r="B258" s="41">
        <v>9810</v>
      </c>
      <c r="C258" s="74" t="s">
        <v>19808</v>
      </c>
      <c r="D258" s="72"/>
      <c r="F258" s="57"/>
      <c r="G258" s="72"/>
      <c r="I258" s="57"/>
      <c r="J258" s="122"/>
      <c r="K258" s="37"/>
      <c r="L258" s="37"/>
      <c r="M258" s="37"/>
      <c r="N258" s="37" t="s">
        <v>398</v>
      </c>
      <c r="O258" s="244">
        <v>0.9</v>
      </c>
      <c r="P258" s="521" t="s">
        <v>17556</v>
      </c>
      <c r="Q258" s="45" t="s">
        <v>398</v>
      </c>
      <c r="R258" s="46">
        <v>1</v>
      </c>
      <c r="S258" s="512"/>
      <c r="V258" s="57"/>
      <c r="W258" s="43"/>
      <c r="X258" s="37"/>
      <c r="Y258" s="38"/>
      <c r="Z258" s="79"/>
      <c r="AA258" s="72" t="s">
        <v>17572</v>
      </c>
      <c r="AD258" s="57"/>
      <c r="AE258" s="208">
        <f>ROUND((ROUND((ROUND((_15_同援日１．５*_15・基礎２),0)*_15・２人),0)*(1+_15・区３)),0)+ROUND((ROUND((ROUND((ROUND((_15_同援日１．５＿１．０*_15・基礎２),0)*_15・２人),0)*(1+_15・B夜間)),0)*(1+_15・区３)),0)</f>
        <v>643</v>
      </c>
      <c r="AF258" s="48"/>
    </row>
    <row r="259" spans="1:32" ht="16.5" customHeight="1" x14ac:dyDescent="0.15">
      <c r="A259" s="41">
        <v>15</v>
      </c>
      <c r="B259" s="41">
        <v>9811</v>
      </c>
      <c r="C259" s="74" t="s">
        <v>19809</v>
      </c>
      <c r="D259" s="72"/>
      <c r="F259" s="57"/>
      <c r="G259" s="72"/>
      <c r="I259" s="57"/>
      <c r="J259" s="114"/>
      <c r="K259" s="49"/>
      <c r="L259" s="49"/>
      <c r="M259" s="49"/>
      <c r="N259" s="49"/>
      <c r="O259" s="251"/>
      <c r="P259" s="163"/>
      <c r="Q259" s="45"/>
      <c r="R259" s="46"/>
      <c r="S259" s="512"/>
      <c r="V259" s="57"/>
      <c r="W259" s="116" t="s">
        <v>17562</v>
      </c>
      <c r="X259" s="49"/>
      <c r="Y259" s="50"/>
      <c r="Z259" s="115"/>
      <c r="AA259" s="35"/>
      <c r="AB259" s="12" t="s">
        <v>398</v>
      </c>
      <c r="AC259" s="13">
        <v>0.2</v>
      </c>
      <c r="AD259" s="57" t="s">
        <v>3575</v>
      </c>
      <c r="AE259" s="208">
        <f>ROUND((ROUND((_15_同援日１．５*(1+_15・盲ろう)),0)*(1+_15・区３)),0)+ROUND((ROUND((ROUND((_15_同援日１．５＿１．０*(1+_15・B夜間)),0)*(1+_15・盲ろう)),0)*(1+_15・区３)),0)</f>
        <v>894</v>
      </c>
      <c r="AF259" s="48"/>
    </row>
    <row r="260" spans="1:32" ht="16.5" customHeight="1" x14ac:dyDescent="0.15">
      <c r="A260" s="41">
        <v>15</v>
      </c>
      <c r="B260" s="41">
        <v>9812</v>
      </c>
      <c r="C260" s="74" t="s">
        <v>19810</v>
      </c>
      <c r="D260" s="72"/>
      <c r="F260" s="57"/>
      <c r="G260" s="72"/>
      <c r="I260" s="57"/>
      <c r="J260" s="122"/>
      <c r="K260" s="37"/>
      <c r="L260" s="37"/>
      <c r="M260" s="37"/>
      <c r="N260" s="37"/>
      <c r="O260" s="244"/>
      <c r="P260" s="521" t="s">
        <v>17556</v>
      </c>
      <c r="Q260" s="45" t="s">
        <v>398</v>
      </c>
      <c r="R260" s="46">
        <v>1</v>
      </c>
      <c r="S260" s="512"/>
      <c r="V260" s="57"/>
      <c r="W260" s="92" t="s">
        <v>17564</v>
      </c>
      <c r="Z260" s="57"/>
      <c r="AA260" s="35"/>
      <c r="AD260" s="57"/>
      <c r="AE260" s="208">
        <f>ROUND((ROUND((ROUND((_15_同援日１．５*_15・２人),0)*(1+_15・盲ろう)),0)*(1+_15・区３)),0)+ROUND((ROUND((ROUND((ROUND((_15_同援日１．５＿１．０*_15・２人),0)*(1+_15・B夜間)),0)*(1+_15・盲ろう)),0)*(1+_15・区３)),0)</f>
        <v>894</v>
      </c>
      <c r="AF260" s="48"/>
    </row>
    <row r="261" spans="1:32" ht="16.5" customHeight="1" x14ac:dyDescent="0.15">
      <c r="A261" s="41">
        <v>15</v>
      </c>
      <c r="B261" s="41">
        <v>9813</v>
      </c>
      <c r="C261" s="74" t="s">
        <v>19811</v>
      </c>
      <c r="D261" s="72"/>
      <c r="F261" s="57"/>
      <c r="G261" s="72"/>
      <c r="I261" s="57"/>
      <c r="J261" s="114" t="s">
        <v>678</v>
      </c>
      <c r="K261" s="49"/>
      <c r="L261" s="49"/>
      <c r="M261" s="49"/>
      <c r="N261" s="49"/>
      <c r="O261" s="251"/>
      <c r="P261" s="163"/>
      <c r="Q261" s="45"/>
      <c r="R261" s="46"/>
      <c r="S261" s="512"/>
      <c r="V261" s="57"/>
      <c r="W261" s="35"/>
      <c r="X261" s="12" t="s">
        <v>398</v>
      </c>
      <c r="Y261" s="13">
        <v>0.25</v>
      </c>
      <c r="Z261" s="57" t="s">
        <v>3575</v>
      </c>
      <c r="AA261" s="35"/>
      <c r="AD261" s="57"/>
      <c r="AE261" s="208">
        <f>ROUND((ROUND((ROUND((_15_同援日１．５*_15・基礎２),0)*(1+_15・盲ろう)),0)*(1+_15・区３)),0)+ROUND((ROUND((ROUND((ROUND((_15_同援日１．５＿１．０*_15・基礎２),0)*(1+_15・B夜間)),0)*(1+_15・盲ろう)),0)*(1+_15・区３)),0)</f>
        <v>806</v>
      </c>
      <c r="AF261" s="48"/>
    </row>
    <row r="262" spans="1:32" ht="16.5" customHeight="1" x14ac:dyDescent="0.15">
      <c r="A262" s="41">
        <v>15</v>
      </c>
      <c r="B262" s="41">
        <v>9814</v>
      </c>
      <c r="C262" s="74" t="s">
        <v>19812</v>
      </c>
      <c r="D262" s="72"/>
      <c r="F262" s="57"/>
      <c r="G262" s="72"/>
      <c r="I262" s="57"/>
      <c r="J262" s="122"/>
      <c r="K262" s="37"/>
      <c r="L262" s="37"/>
      <c r="M262" s="37"/>
      <c r="N262" s="37" t="s">
        <v>398</v>
      </c>
      <c r="O262" s="244">
        <v>0.9</v>
      </c>
      <c r="P262" s="521" t="s">
        <v>17556</v>
      </c>
      <c r="Q262" s="45" t="s">
        <v>398</v>
      </c>
      <c r="R262" s="46">
        <v>1</v>
      </c>
      <c r="S262" s="512"/>
      <c r="V262" s="57"/>
      <c r="W262" s="43"/>
      <c r="X262" s="37"/>
      <c r="Y262" s="38"/>
      <c r="Z262" s="79"/>
      <c r="AA262" s="43"/>
      <c r="AB262" s="37"/>
      <c r="AC262" s="38"/>
      <c r="AD262" s="79"/>
      <c r="AE262" s="208">
        <f>ROUND((ROUND((ROUND((ROUND((_15_同援日１．５*_15・基礎２),0)*_15・２人),0)*(1+_15・盲ろう)),0)*(1+_15・区３)),0)+ROUND((ROUND((ROUND((ROUND((ROUND((_15_同援日１．５＿１．０*_15・基礎２),0)*_15・２人),0)*(1+_15・B夜間)),0)*(1+_15・盲ろう)),0)*(1+_15・区３)),0)</f>
        <v>806</v>
      </c>
      <c r="AF262" s="48"/>
    </row>
    <row r="263" spans="1:32" ht="16.5" customHeight="1" x14ac:dyDescent="0.15">
      <c r="A263" s="41">
        <v>15</v>
      </c>
      <c r="B263" s="41">
        <v>9815</v>
      </c>
      <c r="C263" s="74" t="s">
        <v>19813</v>
      </c>
      <c r="D263" s="72"/>
      <c r="F263" s="57"/>
      <c r="G263" s="72"/>
      <c r="I263" s="57"/>
      <c r="J263" s="114"/>
      <c r="K263" s="49"/>
      <c r="L263" s="49"/>
      <c r="M263" s="49"/>
      <c r="N263" s="49"/>
      <c r="O263" s="251"/>
      <c r="P263" s="163"/>
      <c r="Q263" s="45"/>
      <c r="R263" s="46"/>
      <c r="S263" s="512"/>
      <c r="V263" s="57"/>
      <c r="W263" s="53"/>
      <c r="X263" s="49"/>
      <c r="Y263" s="50"/>
      <c r="Z263" s="115"/>
      <c r="AA263" s="53"/>
      <c r="AB263" s="49"/>
      <c r="AC263" s="50"/>
      <c r="AD263" s="115"/>
      <c r="AE263" s="208">
        <f>ROUND((_15_同援日１．５*(1+_15・区４)),0)+ROUND((ROUND((_15_同援日１．５＿１．０*(1+_15・B夜間)),0)*(1+_15・区４)),0)</f>
        <v>834</v>
      </c>
      <c r="AF263" s="48"/>
    </row>
    <row r="264" spans="1:32" ht="16.5" customHeight="1" x14ac:dyDescent="0.15">
      <c r="A264" s="41">
        <v>15</v>
      </c>
      <c r="B264" s="41">
        <v>9816</v>
      </c>
      <c r="C264" s="74" t="s">
        <v>19814</v>
      </c>
      <c r="D264" s="72"/>
      <c r="F264" s="57"/>
      <c r="G264" s="72"/>
      <c r="I264" s="57"/>
      <c r="J264" s="122"/>
      <c r="K264" s="37"/>
      <c r="L264" s="37"/>
      <c r="M264" s="37"/>
      <c r="N264" s="37"/>
      <c r="O264" s="244"/>
      <c r="P264" s="521" t="s">
        <v>17556</v>
      </c>
      <c r="Q264" s="45" t="s">
        <v>398</v>
      </c>
      <c r="R264" s="46">
        <v>1</v>
      </c>
      <c r="S264" s="512"/>
      <c r="V264" s="57"/>
      <c r="W264" s="35"/>
      <c r="Z264" s="57"/>
      <c r="AA264" s="35"/>
      <c r="AD264" s="57"/>
      <c r="AE264" s="208">
        <f>ROUND((ROUND((_15_同援日１．５*_15・２人),0)*(1+_15・区４)),0)+ROUND((ROUND((ROUND((_15_同援日１．５＿１．０*_15・２人),0)*(1+_15・B夜間)),0)*(1+_15・区４)),0)</f>
        <v>834</v>
      </c>
      <c r="AF264" s="48"/>
    </row>
    <row r="265" spans="1:32" ht="16.5" customHeight="1" x14ac:dyDescent="0.15">
      <c r="A265" s="41">
        <v>15</v>
      </c>
      <c r="B265" s="41">
        <v>9817</v>
      </c>
      <c r="C265" s="74" t="s">
        <v>19815</v>
      </c>
      <c r="D265" s="72"/>
      <c r="F265" s="57"/>
      <c r="G265" s="72"/>
      <c r="I265" s="57"/>
      <c r="J265" s="114" t="s">
        <v>678</v>
      </c>
      <c r="K265" s="49"/>
      <c r="L265" s="49"/>
      <c r="M265" s="49"/>
      <c r="N265" s="49"/>
      <c r="O265" s="251"/>
      <c r="P265" s="163"/>
      <c r="Q265" s="45"/>
      <c r="R265" s="46"/>
      <c r="S265" s="512"/>
      <c r="V265" s="57"/>
      <c r="W265" s="35"/>
      <c r="Z265" s="57"/>
      <c r="AA265" s="72" t="s">
        <v>17580</v>
      </c>
      <c r="AD265" s="57"/>
      <c r="AE265" s="208">
        <f>ROUND((ROUND((_15_同援日１．５*_15・基礎２),0)*(1+_15・区４)),0)+ROUND((ROUND((ROUND((_15_同援日１．５＿１．０*_15・基礎２),0)*(1+_15・B夜間)),0)*(1+_15・区４)),0)</f>
        <v>750</v>
      </c>
      <c r="AF265" s="48"/>
    </row>
    <row r="266" spans="1:32" ht="16.5" customHeight="1" x14ac:dyDescent="0.15">
      <c r="A266" s="41">
        <v>15</v>
      </c>
      <c r="B266" s="41">
        <v>9818</v>
      </c>
      <c r="C266" s="74" t="s">
        <v>19816</v>
      </c>
      <c r="D266" s="72"/>
      <c r="F266" s="57"/>
      <c r="G266" s="72"/>
      <c r="I266" s="57"/>
      <c r="J266" s="122"/>
      <c r="K266" s="37"/>
      <c r="L266" s="37"/>
      <c r="M266" s="37"/>
      <c r="N266" s="37" t="s">
        <v>398</v>
      </c>
      <c r="O266" s="244">
        <v>0.9</v>
      </c>
      <c r="P266" s="521" t="s">
        <v>17556</v>
      </c>
      <c r="Q266" s="45" t="s">
        <v>398</v>
      </c>
      <c r="R266" s="46">
        <v>1</v>
      </c>
      <c r="S266" s="512"/>
      <c r="V266" s="57"/>
      <c r="W266" s="43"/>
      <c r="X266" s="37"/>
      <c r="Y266" s="38"/>
      <c r="Z266" s="79"/>
      <c r="AA266" s="72" t="s">
        <v>17572</v>
      </c>
      <c r="AD266" s="57"/>
      <c r="AE266" s="208">
        <f>ROUND((ROUND((ROUND((_15_同援日１．５*_15・基礎２),0)*_15・２人),0)*(1+_15・区４)),0)+ROUND((ROUND((ROUND((ROUND((_15_同援日１．５＿１．０*_15・基礎２),0)*_15・２人),0)*(1+_15・B夜間)),0)*(1+_15・区４)),0)</f>
        <v>750</v>
      </c>
      <c r="AF266" s="48"/>
    </row>
    <row r="267" spans="1:32" ht="16.5" customHeight="1" x14ac:dyDescent="0.15">
      <c r="A267" s="41">
        <v>15</v>
      </c>
      <c r="B267" s="41">
        <v>9819</v>
      </c>
      <c r="C267" s="74" t="s">
        <v>19817</v>
      </c>
      <c r="D267" s="72"/>
      <c r="F267" s="57"/>
      <c r="G267" s="72"/>
      <c r="I267" s="57"/>
      <c r="J267" s="114"/>
      <c r="K267" s="49"/>
      <c r="L267" s="49"/>
      <c r="M267" s="49"/>
      <c r="N267" s="49"/>
      <c r="O267" s="251"/>
      <c r="P267" s="163"/>
      <c r="Q267" s="45"/>
      <c r="R267" s="46"/>
      <c r="S267" s="512"/>
      <c r="V267" s="57"/>
      <c r="W267" s="116" t="s">
        <v>17562</v>
      </c>
      <c r="X267" s="49"/>
      <c r="Y267" s="50"/>
      <c r="Z267" s="115"/>
      <c r="AA267" s="35"/>
      <c r="AB267" s="12" t="s">
        <v>398</v>
      </c>
      <c r="AC267" s="13">
        <v>0.4</v>
      </c>
      <c r="AD267" s="57" t="s">
        <v>3575</v>
      </c>
      <c r="AE267" s="208">
        <f>ROUND((ROUND((_15_同援日１．５*(1+_15・盲ろう)),0)*(1+_15・区４)),0)+ROUND((ROUND((ROUND((_15_同援日１．５＿１．０*(1+_15・B夜間)),0)*(1+_15・盲ろう)),0)*(1+_15・区４)),0)</f>
        <v>1043</v>
      </c>
      <c r="AF267" s="48"/>
    </row>
    <row r="268" spans="1:32" ht="16.5" customHeight="1" x14ac:dyDescent="0.15">
      <c r="A268" s="41">
        <v>15</v>
      </c>
      <c r="B268" s="41">
        <v>9820</v>
      </c>
      <c r="C268" s="74" t="s">
        <v>19818</v>
      </c>
      <c r="D268" s="72"/>
      <c r="F268" s="57"/>
      <c r="G268" s="72"/>
      <c r="I268" s="57"/>
      <c r="J268" s="122"/>
      <c r="K268" s="37"/>
      <c r="L268" s="37"/>
      <c r="M268" s="37"/>
      <c r="N268" s="37"/>
      <c r="O268" s="244"/>
      <c r="P268" s="521" t="s">
        <v>17556</v>
      </c>
      <c r="Q268" s="45" t="s">
        <v>398</v>
      </c>
      <c r="R268" s="46">
        <v>1</v>
      </c>
      <c r="S268" s="512"/>
      <c r="V268" s="57"/>
      <c r="W268" s="92" t="s">
        <v>17564</v>
      </c>
      <c r="Z268" s="57"/>
      <c r="AA268" s="35"/>
      <c r="AD268" s="57"/>
      <c r="AE268" s="208">
        <f>ROUND((ROUND((ROUND((_15_同援日１．５*_15・２人),0)*(1+_15・盲ろう)),0)*(1+_15・区４)),0)+ROUND((ROUND((ROUND((ROUND((_15_同援日１．５＿１．０*_15・２人),0)*(1+_15・B夜間)),0)*(1+_15・盲ろう)),0)*(1+_15・区４)),0)</f>
        <v>1043</v>
      </c>
      <c r="AF268" s="48"/>
    </row>
    <row r="269" spans="1:32" ht="16.5" customHeight="1" x14ac:dyDescent="0.15">
      <c r="A269" s="41">
        <v>15</v>
      </c>
      <c r="B269" s="41">
        <v>9821</v>
      </c>
      <c r="C269" s="74" t="s">
        <v>19819</v>
      </c>
      <c r="D269" s="72"/>
      <c r="F269" s="57"/>
      <c r="G269" s="72"/>
      <c r="I269" s="57"/>
      <c r="J269" s="114" t="s">
        <v>678</v>
      </c>
      <c r="K269" s="49"/>
      <c r="L269" s="49"/>
      <c r="M269" s="49"/>
      <c r="N269" s="49"/>
      <c r="O269" s="251"/>
      <c r="P269" s="163"/>
      <c r="Q269" s="45"/>
      <c r="R269" s="46"/>
      <c r="S269" s="512"/>
      <c r="V269" s="57"/>
      <c r="W269" s="35"/>
      <c r="X269" s="12" t="s">
        <v>398</v>
      </c>
      <c r="Y269" s="13">
        <v>0.25</v>
      </c>
      <c r="Z269" s="57" t="s">
        <v>3575</v>
      </c>
      <c r="AA269" s="35"/>
      <c r="AD269" s="57"/>
      <c r="AE269" s="208">
        <f>ROUND((ROUND((ROUND((_15_同援日１．５*_15・基礎２),0)*(1+_15・盲ろう)),0)*(1+_15・区４)),0)+ROUND((ROUND((ROUND((ROUND((_15_同援日１．５＿１．０*_15・基礎２),0)*(1+_15・B夜間)),0)*(1+_15・盲ろう)),0)*(1+_15・区４)),0)</f>
        <v>939</v>
      </c>
      <c r="AF269" s="48"/>
    </row>
    <row r="270" spans="1:32" ht="16.5" customHeight="1" x14ac:dyDescent="0.15">
      <c r="A270" s="41">
        <v>15</v>
      </c>
      <c r="B270" s="41">
        <v>9822</v>
      </c>
      <c r="C270" s="74" t="s">
        <v>19820</v>
      </c>
      <c r="D270" s="72"/>
      <c r="F270" s="57"/>
      <c r="G270" s="122"/>
      <c r="H270" s="37"/>
      <c r="I270" s="79"/>
      <c r="J270" s="122"/>
      <c r="K270" s="37"/>
      <c r="L270" s="37"/>
      <c r="M270" s="37"/>
      <c r="N270" s="37" t="s">
        <v>398</v>
      </c>
      <c r="O270" s="244">
        <v>0.9</v>
      </c>
      <c r="P270" s="521" t="s">
        <v>17556</v>
      </c>
      <c r="Q270" s="45" t="s">
        <v>398</v>
      </c>
      <c r="R270" s="46">
        <v>1</v>
      </c>
      <c r="S270" s="512"/>
      <c r="V270" s="57"/>
      <c r="W270" s="43"/>
      <c r="X270" s="37"/>
      <c r="Y270" s="38"/>
      <c r="Z270" s="79"/>
      <c r="AA270" s="43"/>
      <c r="AB270" s="37"/>
      <c r="AC270" s="38"/>
      <c r="AD270" s="79"/>
      <c r="AE270" s="208">
        <f>ROUND((ROUND((ROUND((ROUND((_15_同援日１．５*_15・基礎２),0)*_15・２人),0)*(1+_15・盲ろう)),0)*(1+_15・区４)),0)+ROUND((ROUND((ROUND((ROUND((ROUND((_15_同援日１．５＿１．０*_15・基礎２),0)*_15・２人),0)*(1+_15・B夜間)),0)*(1+_15・盲ろう)),0)*(1+_15・区４)),0)</f>
        <v>939</v>
      </c>
      <c r="AF270" s="48"/>
    </row>
    <row r="271" spans="1:32" ht="16.5" customHeight="1" x14ac:dyDescent="0.15">
      <c r="A271" s="41">
        <v>15</v>
      </c>
      <c r="B271" s="41">
        <v>9823</v>
      </c>
      <c r="C271" s="74" t="s">
        <v>19821</v>
      </c>
      <c r="D271" s="72"/>
      <c r="F271" s="57"/>
      <c r="G271" s="114" t="s">
        <v>19603</v>
      </c>
      <c r="H271" s="49"/>
      <c r="I271" s="115"/>
      <c r="J271" s="114"/>
      <c r="K271" s="49"/>
      <c r="L271" s="49"/>
      <c r="M271" s="49"/>
      <c r="N271" s="49"/>
      <c r="O271" s="251"/>
      <c r="P271" s="163"/>
      <c r="Q271" s="45"/>
      <c r="R271" s="46"/>
      <c r="S271" s="512"/>
      <c r="V271" s="57"/>
      <c r="W271" s="53"/>
      <c r="X271" s="49"/>
      <c r="Y271" s="50"/>
      <c r="Z271" s="115"/>
      <c r="AA271" s="53"/>
      <c r="AB271" s="49"/>
      <c r="AC271" s="50"/>
      <c r="AD271" s="115"/>
      <c r="AE271" s="208">
        <f>_15_同援日１．５+ROUND((_15_同援日１．５＿１．５*(1+_15・B夜間)),0)</f>
        <v>677</v>
      </c>
      <c r="AF271" s="48"/>
    </row>
    <row r="272" spans="1:32" ht="16.5" customHeight="1" x14ac:dyDescent="0.15">
      <c r="A272" s="41">
        <v>15</v>
      </c>
      <c r="B272" s="41">
        <v>9824</v>
      </c>
      <c r="C272" s="74" t="s">
        <v>19822</v>
      </c>
      <c r="D272" s="72"/>
      <c r="F272" s="57"/>
      <c r="G272" s="72" t="s">
        <v>17616</v>
      </c>
      <c r="I272" s="57"/>
      <c r="J272" s="122"/>
      <c r="K272" s="37"/>
      <c r="L272" s="37"/>
      <c r="M272" s="37"/>
      <c r="N272" s="37"/>
      <c r="O272" s="244"/>
      <c r="P272" s="521" t="s">
        <v>17556</v>
      </c>
      <c r="Q272" s="45" t="s">
        <v>398</v>
      </c>
      <c r="R272" s="46">
        <v>1</v>
      </c>
      <c r="S272" s="512"/>
      <c r="V272" s="57"/>
      <c r="W272" s="35"/>
      <c r="Z272" s="57"/>
      <c r="AA272" s="35"/>
      <c r="AD272" s="57"/>
      <c r="AE272" s="208">
        <f>ROUND((_15_同援日１．５*_15・２人),0)+ROUND((ROUND((_15_同援日１．５＿１．５*_15・２人),0)*(1+_15・B夜間)),0)</f>
        <v>677</v>
      </c>
      <c r="AF272" s="48"/>
    </row>
    <row r="273" spans="1:32" ht="16.5" customHeight="1" x14ac:dyDescent="0.15">
      <c r="A273" s="41">
        <v>15</v>
      </c>
      <c r="B273" s="41">
        <v>9825</v>
      </c>
      <c r="C273" s="74" t="s">
        <v>19823</v>
      </c>
      <c r="D273" s="72"/>
      <c r="F273" s="57"/>
      <c r="G273" s="72" t="s">
        <v>17618</v>
      </c>
      <c r="I273" s="57"/>
      <c r="J273" s="114" t="s">
        <v>678</v>
      </c>
      <c r="K273" s="49"/>
      <c r="L273" s="49"/>
      <c r="M273" s="49"/>
      <c r="N273" s="49"/>
      <c r="O273" s="251"/>
      <c r="P273" s="163"/>
      <c r="Q273" s="45"/>
      <c r="R273" s="46"/>
      <c r="S273" s="512"/>
      <c r="V273" s="57"/>
      <c r="W273" s="35"/>
      <c r="Z273" s="57"/>
      <c r="AA273" s="35"/>
      <c r="AD273" s="57"/>
      <c r="AE273" s="208">
        <f>ROUND((_15_同援日１．５*_15・基礎２),0)+ROUND((ROUND((_15_同援日１．５＿１．５*_15・基礎２),0)*(1+_15・B夜間)),0)</f>
        <v>610</v>
      </c>
      <c r="AF273" s="48"/>
    </row>
    <row r="274" spans="1:32" ht="16.5" customHeight="1" x14ac:dyDescent="0.15">
      <c r="A274" s="41">
        <v>15</v>
      </c>
      <c r="B274" s="41">
        <v>9826</v>
      </c>
      <c r="C274" s="74" t="s">
        <v>19824</v>
      </c>
      <c r="D274" s="72"/>
      <c r="F274" s="57"/>
      <c r="G274" s="72"/>
      <c r="H274" s="168">
        <f>_15_同援日１．５＿１．５</f>
        <v>195</v>
      </c>
      <c r="I274" s="57" t="s">
        <v>392</v>
      </c>
      <c r="J274" s="122"/>
      <c r="K274" s="37"/>
      <c r="L274" s="37"/>
      <c r="M274" s="37"/>
      <c r="N274" s="37" t="s">
        <v>398</v>
      </c>
      <c r="O274" s="244">
        <v>0.9</v>
      </c>
      <c r="P274" s="521" t="s">
        <v>17556</v>
      </c>
      <c r="Q274" s="45" t="s">
        <v>398</v>
      </c>
      <c r="R274" s="46">
        <v>1</v>
      </c>
      <c r="S274" s="512"/>
      <c r="V274" s="57"/>
      <c r="W274" s="43"/>
      <c r="X274" s="37"/>
      <c r="Y274" s="38"/>
      <c r="Z274" s="79"/>
      <c r="AA274" s="35"/>
      <c r="AD274" s="57"/>
      <c r="AE274" s="208">
        <f>ROUND((ROUND((_15_同援日１．５*_15・基礎２),0)*_15・２人),0)+ROUND((ROUND((ROUND((_15_同援日１．５＿１．５*_15・基礎２),0)*_15・２人),0)*(1+_15・B夜間)),0)</f>
        <v>610</v>
      </c>
      <c r="AF274" s="48"/>
    </row>
    <row r="275" spans="1:32" ht="16.5" customHeight="1" x14ac:dyDescent="0.15">
      <c r="A275" s="41">
        <v>15</v>
      </c>
      <c r="B275" s="41">
        <v>9827</v>
      </c>
      <c r="C275" s="74" t="s">
        <v>19825</v>
      </c>
      <c r="D275" s="72"/>
      <c r="F275" s="57"/>
      <c r="G275" s="72"/>
      <c r="I275" s="57"/>
      <c r="J275" s="114"/>
      <c r="K275" s="49"/>
      <c r="L275" s="49"/>
      <c r="M275" s="49"/>
      <c r="N275" s="49"/>
      <c r="O275" s="251"/>
      <c r="P275" s="163"/>
      <c r="Q275" s="45"/>
      <c r="R275" s="46"/>
      <c r="S275" s="512"/>
      <c r="V275" s="57"/>
      <c r="W275" s="116" t="s">
        <v>17562</v>
      </c>
      <c r="X275" s="49"/>
      <c r="Y275" s="50"/>
      <c r="Z275" s="115"/>
      <c r="AA275" s="35"/>
      <c r="AD275" s="57"/>
      <c r="AE275" s="208">
        <f>ROUND((_15_同援日１．５*(1+_15・盲ろう)),0)+ROUND((ROUND((_15_同援日１．５＿１．５*(1+_15・B夜間)),0)*(1+_15・盲ろう)),0)</f>
        <v>846</v>
      </c>
      <c r="AF275" s="48"/>
    </row>
    <row r="276" spans="1:32" ht="16.5" customHeight="1" x14ac:dyDescent="0.15">
      <c r="A276" s="41">
        <v>15</v>
      </c>
      <c r="B276" s="41">
        <v>9828</v>
      </c>
      <c r="C276" s="74" t="s">
        <v>19826</v>
      </c>
      <c r="D276" s="72"/>
      <c r="F276" s="57"/>
      <c r="G276" s="72"/>
      <c r="I276" s="57"/>
      <c r="J276" s="122"/>
      <c r="K276" s="37"/>
      <c r="L276" s="37"/>
      <c r="M276" s="37"/>
      <c r="N276" s="37"/>
      <c r="O276" s="244"/>
      <c r="P276" s="521" t="s">
        <v>17556</v>
      </c>
      <c r="Q276" s="45" t="s">
        <v>398</v>
      </c>
      <c r="R276" s="46">
        <v>1</v>
      </c>
      <c r="S276" s="512"/>
      <c r="V276" s="57"/>
      <c r="W276" s="92" t="s">
        <v>17564</v>
      </c>
      <c r="Z276" s="57"/>
      <c r="AA276" s="35"/>
      <c r="AD276" s="57"/>
      <c r="AE276" s="208">
        <f>ROUND((ROUND((_15_同援日１．５*_15・２人),0)*(1+_15・盲ろう)),0)+ROUND((ROUND((ROUND((_15_同援日１．５＿１．５*_15・２人),0)*(1+_15・B夜間)),0)*(1+_15・盲ろう)),0)</f>
        <v>846</v>
      </c>
      <c r="AF276" s="48"/>
    </row>
    <row r="277" spans="1:32" ht="16.5" customHeight="1" x14ac:dyDescent="0.15">
      <c r="A277" s="41">
        <v>15</v>
      </c>
      <c r="B277" s="41">
        <v>9829</v>
      </c>
      <c r="C277" s="74" t="s">
        <v>19827</v>
      </c>
      <c r="D277" s="72"/>
      <c r="F277" s="57"/>
      <c r="G277" s="72"/>
      <c r="I277" s="57"/>
      <c r="J277" s="114" t="s">
        <v>678</v>
      </c>
      <c r="K277" s="49"/>
      <c r="L277" s="49"/>
      <c r="M277" s="49"/>
      <c r="N277" s="49"/>
      <c r="O277" s="251"/>
      <c r="P277" s="163"/>
      <c r="Q277" s="45"/>
      <c r="R277" s="46"/>
      <c r="S277" s="512"/>
      <c r="V277" s="57"/>
      <c r="W277" s="35"/>
      <c r="X277" s="12" t="s">
        <v>398</v>
      </c>
      <c r="Y277" s="13">
        <v>0.25</v>
      </c>
      <c r="Z277" s="57" t="s">
        <v>3575</v>
      </c>
      <c r="AA277" s="35"/>
      <c r="AD277" s="57"/>
      <c r="AE277" s="208">
        <f>ROUND((ROUND((_15_同援日１．５*_15・基礎２),0)*(1+_15・盲ろう)),0)+ROUND((ROUND((ROUND((_15_同援日１．５＿１．５*_15・基礎２),0)*(1+_15・B夜間)),0)*(1+_15・盲ろう)),0)</f>
        <v>763</v>
      </c>
      <c r="AF277" s="48"/>
    </row>
    <row r="278" spans="1:32" ht="16.5" customHeight="1" x14ac:dyDescent="0.15">
      <c r="A278" s="41">
        <v>15</v>
      </c>
      <c r="B278" s="41">
        <v>9830</v>
      </c>
      <c r="C278" s="74" t="s">
        <v>19828</v>
      </c>
      <c r="D278" s="72"/>
      <c r="F278" s="57"/>
      <c r="G278" s="72"/>
      <c r="I278" s="57"/>
      <c r="J278" s="122"/>
      <c r="K278" s="37"/>
      <c r="L278" s="37"/>
      <c r="M278" s="37"/>
      <c r="N278" s="37" t="s">
        <v>398</v>
      </c>
      <c r="O278" s="244">
        <v>0.9</v>
      </c>
      <c r="P278" s="521" t="s">
        <v>17556</v>
      </c>
      <c r="Q278" s="45" t="s">
        <v>398</v>
      </c>
      <c r="R278" s="46">
        <v>1</v>
      </c>
      <c r="S278" s="512"/>
      <c r="V278" s="57"/>
      <c r="W278" s="43"/>
      <c r="X278" s="37"/>
      <c r="Y278" s="38"/>
      <c r="Z278" s="79"/>
      <c r="AA278" s="43"/>
      <c r="AB278" s="37"/>
      <c r="AC278" s="38"/>
      <c r="AD278" s="79"/>
      <c r="AE278" s="208">
        <f>ROUND((ROUND((ROUND((_15_同援日１．５*_15・基礎２),0)*_15・２人),0)*(1+_15・盲ろう)),0)+ROUND((ROUND((ROUND((ROUND((_15_同援日１．５＿１．５*_15・基礎２),0)*_15・２人),0)*(1+_15・B夜間)),0)*(1+_15・盲ろう)),0)</f>
        <v>763</v>
      </c>
      <c r="AF278" s="48"/>
    </row>
    <row r="279" spans="1:32" ht="16.5" customHeight="1" x14ac:dyDescent="0.15">
      <c r="A279" s="41">
        <v>15</v>
      </c>
      <c r="B279" s="41">
        <v>9831</v>
      </c>
      <c r="C279" s="74" t="s">
        <v>19829</v>
      </c>
      <c r="D279" s="72"/>
      <c r="F279" s="57"/>
      <c r="G279" s="72"/>
      <c r="I279" s="57"/>
      <c r="J279" s="114"/>
      <c r="K279" s="49"/>
      <c r="L279" s="49"/>
      <c r="M279" s="49"/>
      <c r="N279" s="49"/>
      <c r="O279" s="251"/>
      <c r="P279" s="163"/>
      <c r="Q279" s="45"/>
      <c r="R279" s="46"/>
      <c r="S279" s="512"/>
      <c r="V279" s="57"/>
      <c r="W279" s="53"/>
      <c r="X279" s="49"/>
      <c r="Y279" s="50"/>
      <c r="Z279" s="115"/>
      <c r="AA279" s="53"/>
      <c r="AB279" s="49"/>
      <c r="AC279" s="50"/>
      <c r="AD279" s="115"/>
      <c r="AE279" s="208">
        <f>ROUND((_15_同援日１．５*(1+_15・区３)),0)+ROUND((ROUND((_15_同援日１．５＿１．５*(1+_15・B夜間)),0)*(1+_15・区３)),0)</f>
        <v>813</v>
      </c>
      <c r="AF279" s="48"/>
    </row>
    <row r="280" spans="1:32" ht="16.5" customHeight="1" x14ac:dyDescent="0.15">
      <c r="A280" s="41">
        <v>15</v>
      </c>
      <c r="B280" s="41">
        <v>9832</v>
      </c>
      <c r="C280" s="74" t="s">
        <v>19830</v>
      </c>
      <c r="D280" s="72"/>
      <c r="F280" s="57"/>
      <c r="G280" s="72"/>
      <c r="I280" s="57"/>
      <c r="J280" s="122"/>
      <c r="K280" s="37"/>
      <c r="L280" s="37"/>
      <c r="M280" s="37"/>
      <c r="N280" s="37"/>
      <c r="O280" s="244"/>
      <c r="P280" s="521" t="s">
        <v>17556</v>
      </c>
      <c r="Q280" s="45" t="s">
        <v>398</v>
      </c>
      <c r="R280" s="46">
        <v>1</v>
      </c>
      <c r="S280" s="512"/>
      <c r="V280" s="57"/>
      <c r="W280" s="35"/>
      <c r="Z280" s="57"/>
      <c r="AA280" s="35"/>
      <c r="AD280" s="57"/>
      <c r="AE280" s="208">
        <f>ROUND((ROUND((_15_同援日１．５*_15・２人),0)*(1+_15・区３)),0)+ROUND((ROUND((ROUND((_15_同援日１．５＿１．５*_15・２人),0)*(1+_15・B夜間)),0)*(1+_15・区３)),0)</f>
        <v>813</v>
      </c>
      <c r="AF280" s="48"/>
    </row>
    <row r="281" spans="1:32" ht="16.5" customHeight="1" x14ac:dyDescent="0.15">
      <c r="A281" s="41">
        <v>15</v>
      </c>
      <c r="B281" s="41">
        <v>9833</v>
      </c>
      <c r="C281" s="74" t="s">
        <v>19831</v>
      </c>
      <c r="D281" s="72"/>
      <c r="F281" s="57"/>
      <c r="G281" s="72"/>
      <c r="I281" s="57"/>
      <c r="J281" s="114" t="s">
        <v>678</v>
      </c>
      <c r="K281" s="49"/>
      <c r="L281" s="49"/>
      <c r="M281" s="49"/>
      <c r="N281" s="49"/>
      <c r="O281" s="251"/>
      <c r="P281" s="163"/>
      <c r="Q281" s="45"/>
      <c r="R281" s="46"/>
      <c r="S281" s="512"/>
      <c r="V281" s="57"/>
      <c r="W281" s="35"/>
      <c r="Z281" s="57"/>
      <c r="AA281" s="72" t="s">
        <v>17570</v>
      </c>
      <c r="AD281" s="57"/>
      <c r="AE281" s="208">
        <f>ROUND((ROUND((_15_同援日１．５*_15・基礎２),0)*(1+_15・区３)),0)+ROUND((ROUND((ROUND((_15_同援日１．５＿１．５*_15・基礎２),0)*(1+_15・B夜間)),0)*(1+_15・区３)),0)</f>
        <v>732</v>
      </c>
      <c r="AF281" s="48"/>
    </row>
    <row r="282" spans="1:32" ht="16.5" customHeight="1" x14ac:dyDescent="0.15">
      <c r="A282" s="41">
        <v>15</v>
      </c>
      <c r="B282" s="41">
        <v>9834</v>
      </c>
      <c r="C282" s="74" t="s">
        <v>19832</v>
      </c>
      <c r="D282" s="72"/>
      <c r="F282" s="57"/>
      <c r="G282" s="72"/>
      <c r="I282" s="57"/>
      <c r="J282" s="122"/>
      <c r="K282" s="37"/>
      <c r="L282" s="37"/>
      <c r="M282" s="37"/>
      <c r="N282" s="37" t="s">
        <v>398</v>
      </c>
      <c r="O282" s="244">
        <v>0.9</v>
      </c>
      <c r="P282" s="521" t="s">
        <v>17556</v>
      </c>
      <c r="Q282" s="45" t="s">
        <v>398</v>
      </c>
      <c r="R282" s="46">
        <v>1</v>
      </c>
      <c r="S282" s="512"/>
      <c r="V282" s="57"/>
      <c r="W282" s="43"/>
      <c r="X282" s="37"/>
      <c r="Y282" s="38"/>
      <c r="Z282" s="79"/>
      <c r="AA282" s="72" t="s">
        <v>17572</v>
      </c>
      <c r="AD282" s="57"/>
      <c r="AE282" s="208">
        <f>ROUND((ROUND((ROUND((_15_同援日１．５*_15・基礎２),0)*_15・２人),0)*(1+_15・区３)),0)+ROUND((ROUND((ROUND((ROUND((_15_同援日１．５＿１．５*_15・基礎２),0)*_15・２人),0)*(1+_15・B夜間)),0)*(1+_15・区３)),0)</f>
        <v>732</v>
      </c>
      <c r="AF282" s="48"/>
    </row>
    <row r="283" spans="1:32" ht="16.5" customHeight="1" x14ac:dyDescent="0.15">
      <c r="A283" s="41">
        <v>15</v>
      </c>
      <c r="B283" s="41">
        <v>9835</v>
      </c>
      <c r="C283" s="74" t="s">
        <v>19833</v>
      </c>
      <c r="D283" s="72"/>
      <c r="F283" s="57"/>
      <c r="G283" s="72"/>
      <c r="I283" s="57"/>
      <c r="J283" s="114"/>
      <c r="K283" s="49"/>
      <c r="L283" s="49"/>
      <c r="M283" s="49"/>
      <c r="N283" s="49"/>
      <c r="O283" s="251"/>
      <c r="P283" s="163"/>
      <c r="Q283" s="45"/>
      <c r="R283" s="46"/>
      <c r="S283" s="512"/>
      <c r="V283" s="57"/>
      <c r="W283" s="116" t="s">
        <v>17562</v>
      </c>
      <c r="X283" s="49"/>
      <c r="Y283" s="50"/>
      <c r="Z283" s="115"/>
      <c r="AA283" s="35"/>
      <c r="AB283" s="12" t="s">
        <v>398</v>
      </c>
      <c r="AC283" s="13">
        <v>0.2</v>
      </c>
      <c r="AD283" s="57" t="s">
        <v>3575</v>
      </c>
      <c r="AE283" s="208">
        <f>ROUND((ROUND((_15_同援日１．５*(1+_15・盲ろう)),0)*(1+_15・区３)),0)+ROUND((ROUND((ROUND((_15_同援日１．５＿１．５*(1+_15・B夜間)),0)*(1+_15・盲ろう)),0)*(1+_15・区３)),0)</f>
        <v>1015</v>
      </c>
      <c r="AF283" s="48"/>
    </row>
    <row r="284" spans="1:32" ht="16.5" customHeight="1" x14ac:dyDescent="0.15">
      <c r="A284" s="41">
        <v>15</v>
      </c>
      <c r="B284" s="41">
        <v>9836</v>
      </c>
      <c r="C284" s="74" t="s">
        <v>19834</v>
      </c>
      <c r="D284" s="72"/>
      <c r="F284" s="57"/>
      <c r="G284" s="72"/>
      <c r="I284" s="57"/>
      <c r="J284" s="122"/>
      <c r="K284" s="37"/>
      <c r="L284" s="37"/>
      <c r="M284" s="37"/>
      <c r="N284" s="37"/>
      <c r="O284" s="244"/>
      <c r="P284" s="521" t="s">
        <v>17556</v>
      </c>
      <c r="Q284" s="45" t="s">
        <v>398</v>
      </c>
      <c r="R284" s="46">
        <v>1</v>
      </c>
      <c r="S284" s="512"/>
      <c r="V284" s="57"/>
      <c r="W284" s="92" t="s">
        <v>17564</v>
      </c>
      <c r="Z284" s="57"/>
      <c r="AA284" s="35"/>
      <c r="AD284" s="57"/>
      <c r="AE284" s="208">
        <f>ROUND((ROUND((ROUND((_15_同援日１．５*_15・２人),0)*(1+_15・盲ろう)),0)*(1+_15・区３)),0)+ROUND((ROUND((ROUND((ROUND((_15_同援日１．５＿１．５*_15・２人),0)*(1+_15・B夜間)),0)*(1+_15・盲ろう)),0)*(1+_15・区３)),0)</f>
        <v>1015</v>
      </c>
      <c r="AF284" s="48"/>
    </row>
    <row r="285" spans="1:32" ht="16.5" customHeight="1" x14ac:dyDescent="0.15">
      <c r="A285" s="41">
        <v>15</v>
      </c>
      <c r="B285" s="41">
        <v>9837</v>
      </c>
      <c r="C285" s="74" t="s">
        <v>19835</v>
      </c>
      <c r="D285" s="72"/>
      <c r="F285" s="57"/>
      <c r="G285" s="72"/>
      <c r="I285" s="57"/>
      <c r="J285" s="114" t="s">
        <v>678</v>
      </c>
      <c r="K285" s="49"/>
      <c r="L285" s="49"/>
      <c r="M285" s="49"/>
      <c r="N285" s="49"/>
      <c r="O285" s="251"/>
      <c r="P285" s="163"/>
      <c r="Q285" s="45"/>
      <c r="R285" s="46"/>
      <c r="S285" s="512"/>
      <c r="V285" s="57"/>
      <c r="W285" s="35"/>
      <c r="X285" s="12" t="s">
        <v>398</v>
      </c>
      <c r="Y285" s="13">
        <v>0.25</v>
      </c>
      <c r="Z285" s="57" t="s">
        <v>3575</v>
      </c>
      <c r="AA285" s="35"/>
      <c r="AD285" s="57"/>
      <c r="AE285" s="208">
        <f>ROUND((ROUND((ROUND((_15_同援日１．５*_15・基礎２),0)*(1+_15・盲ろう)),0)*(1+_15・区３)),0)+ROUND((ROUND((ROUND((ROUND((_15_同援日１．５＿１．５*_15・基礎２),0)*(1+_15・B夜間)),0)*(1+_15・盲ろう)),0)*(1+_15・区３)),0)</f>
        <v>916</v>
      </c>
      <c r="AF285" s="48"/>
    </row>
    <row r="286" spans="1:32" ht="16.5" customHeight="1" x14ac:dyDescent="0.15">
      <c r="A286" s="41">
        <v>15</v>
      </c>
      <c r="B286" s="41">
        <v>9838</v>
      </c>
      <c r="C286" s="74" t="s">
        <v>19836</v>
      </c>
      <c r="D286" s="72"/>
      <c r="F286" s="57"/>
      <c r="G286" s="72"/>
      <c r="I286" s="57"/>
      <c r="J286" s="122"/>
      <c r="K286" s="37"/>
      <c r="L286" s="37"/>
      <c r="M286" s="37"/>
      <c r="N286" s="37" t="s">
        <v>398</v>
      </c>
      <c r="O286" s="244">
        <v>0.9</v>
      </c>
      <c r="P286" s="521" t="s">
        <v>17556</v>
      </c>
      <c r="Q286" s="45" t="s">
        <v>398</v>
      </c>
      <c r="R286" s="46">
        <v>1</v>
      </c>
      <c r="S286" s="512"/>
      <c r="V286" s="57"/>
      <c r="W286" s="43"/>
      <c r="X286" s="37"/>
      <c r="Y286" s="38"/>
      <c r="Z286" s="79"/>
      <c r="AA286" s="43"/>
      <c r="AB286" s="37"/>
      <c r="AC286" s="38"/>
      <c r="AD286" s="79"/>
      <c r="AE286" s="208">
        <f>ROUND((ROUND((ROUND((ROUND((_15_同援日１．５*_15・基礎２),0)*_15・２人),0)*(1+_15・盲ろう)),0)*(1+_15・区３)),0)+ROUND((ROUND((ROUND((ROUND((ROUND((_15_同援日１．５＿１．５*_15・基礎２),0)*_15・２人),0)*(1+_15・B夜間)),0)*(1+_15・盲ろう)),0)*(1+_15・区３)),0)</f>
        <v>916</v>
      </c>
      <c r="AF286" s="48"/>
    </row>
    <row r="287" spans="1:32" ht="16.5" customHeight="1" x14ac:dyDescent="0.15">
      <c r="A287" s="41">
        <v>15</v>
      </c>
      <c r="B287" s="41">
        <v>9839</v>
      </c>
      <c r="C287" s="74" t="s">
        <v>19837</v>
      </c>
      <c r="D287" s="72"/>
      <c r="F287" s="57"/>
      <c r="G287" s="72"/>
      <c r="I287" s="57"/>
      <c r="J287" s="114"/>
      <c r="K287" s="49"/>
      <c r="L287" s="49"/>
      <c r="M287" s="49"/>
      <c r="N287" s="49"/>
      <c r="O287" s="251"/>
      <c r="P287" s="163"/>
      <c r="Q287" s="45"/>
      <c r="R287" s="46"/>
      <c r="S287" s="512"/>
      <c r="V287" s="57"/>
      <c r="W287" s="53"/>
      <c r="X287" s="49"/>
      <c r="Y287" s="50"/>
      <c r="Z287" s="115"/>
      <c r="AA287" s="53"/>
      <c r="AB287" s="49"/>
      <c r="AC287" s="50"/>
      <c r="AD287" s="115"/>
      <c r="AE287" s="208">
        <f>ROUND((_15_同援日１．５*(1+_15・区４)),0)+ROUND((ROUND((_15_同援日１．５＿１．５*(1+_15・B夜間)),0)*(1+_15・区４)),0)</f>
        <v>948</v>
      </c>
      <c r="AF287" s="48"/>
    </row>
    <row r="288" spans="1:32" ht="16.5" customHeight="1" x14ac:dyDescent="0.15">
      <c r="A288" s="41">
        <v>15</v>
      </c>
      <c r="B288" s="41">
        <v>9840</v>
      </c>
      <c r="C288" s="74" t="s">
        <v>19838</v>
      </c>
      <c r="D288" s="72"/>
      <c r="F288" s="57"/>
      <c r="G288" s="72"/>
      <c r="I288" s="57"/>
      <c r="J288" s="122"/>
      <c r="K288" s="37"/>
      <c r="L288" s="37"/>
      <c r="M288" s="37"/>
      <c r="N288" s="37"/>
      <c r="O288" s="244"/>
      <c r="P288" s="521" t="s">
        <v>17556</v>
      </c>
      <c r="Q288" s="45" t="s">
        <v>398</v>
      </c>
      <c r="R288" s="46">
        <v>1</v>
      </c>
      <c r="S288" s="512"/>
      <c r="V288" s="57"/>
      <c r="W288" s="35"/>
      <c r="Z288" s="57"/>
      <c r="AA288" s="35"/>
      <c r="AD288" s="57"/>
      <c r="AE288" s="208">
        <f>ROUND((ROUND((_15_同援日１．５*_15・２人),0)*(1+_15・区４)),0)+ROUND((ROUND((ROUND((_15_同援日１．５＿１．５*_15・２人),0)*(1+_15・B夜間)),0)*(1+_15・区４)),0)</f>
        <v>948</v>
      </c>
      <c r="AF288" s="48"/>
    </row>
    <row r="289" spans="1:32" ht="16.5" customHeight="1" x14ac:dyDescent="0.15">
      <c r="A289" s="41">
        <v>15</v>
      </c>
      <c r="B289" s="41">
        <v>9841</v>
      </c>
      <c r="C289" s="74" t="s">
        <v>19839</v>
      </c>
      <c r="D289" s="72"/>
      <c r="F289" s="57"/>
      <c r="G289" s="72"/>
      <c r="I289" s="57"/>
      <c r="J289" s="114" t="s">
        <v>678</v>
      </c>
      <c r="K289" s="49"/>
      <c r="L289" s="49"/>
      <c r="M289" s="49"/>
      <c r="N289" s="49"/>
      <c r="O289" s="251"/>
      <c r="P289" s="163"/>
      <c r="Q289" s="45"/>
      <c r="R289" s="46"/>
      <c r="S289" s="512"/>
      <c r="V289" s="57"/>
      <c r="W289" s="35"/>
      <c r="Z289" s="57"/>
      <c r="AA289" s="72" t="s">
        <v>17580</v>
      </c>
      <c r="AD289" s="57"/>
      <c r="AE289" s="208">
        <f>ROUND((ROUND((_15_同援日１．５*_15・基礎２),0)*(1+_15・区４)),0)+ROUND((ROUND((ROUND((_15_同援日１．５＿１．５*_15・基礎２),0)*(1+_15・B夜間)),0)*(1+_15・区４)),0)</f>
        <v>854</v>
      </c>
      <c r="AF289" s="48"/>
    </row>
    <row r="290" spans="1:32" ht="16.5" customHeight="1" x14ac:dyDescent="0.15">
      <c r="A290" s="41">
        <v>15</v>
      </c>
      <c r="B290" s="41">
        <v>9842</v>
      </c>
      <c r="C290" s="74" t="s">
        <v>19840</v>
      </c>
      <c r="D290" s="72"/>
      <c r="F290" s="57"/>
      <c r="G290" s="72"/>
      <c r="I290" s="57"/>
      <c r="J290" s="122"/>
      <c r="K290" s="37"/>
      <c r="L290" s="37"/>
      <c r="M290" s="37"/>
      <c r="N290" s="37" t="s">
        <v>398</v>
      </c>
      <c r="O290" s="244">
        <v>0.9</v>
      </c>
      <c r="P290" s="521" t="s">
        <v>17556</v>
      </c>
      <c r="Q290" s="45" t="s">
        <v>398</v>
      </c>
      <c r="R290" s="46">
        <v>1</v>
      </c>
      <c r="S290" s="512"/>
      <c r="V290" s="57"/>
      <c r="W290" s="43"/>
      <c r="X290" s="37"/>
      <c r="Y290" s="38"/>
      <c r="Z290" s="79"/>
      <c r="AA290" s="72" t="s">
        <v>17572</v>
      </c>
      <c r="AD290" s="57"/>
      <c r="AE290" s="208">
        <f>ROUND((ROUND((ROUND((_15_同援日１．５*_15・基礎２),0)*_15・２人),0)*(1+_15・区４)),0)+ROUND((ROUND((ROUND((ROUND((_15_同援日１．５＿１．５*_15・基礎２),0)*_15・２人),0)*(1+_15・B夜間)),0)*(1+_15・区４)),0)</f>
        <v>854</v>
      </c>
      <c r="AF290" s="48"/>
    </row>
    <row r="291" spans="1:32" ht="16.5" customHeight="1" x14ac:dyDescent="0.15">
      <c r="A291" s="41">
        <v>15</v>
      </c>
      <c r="B291" s="41">
        <v>9843</v>
      </c>
      <c r="C291" s="74" t="s">
        <v>19841</v>
      </c>
      <c r="D291" s="72"/>
      <c r="F291" s="57"/>
      <c r="G291" s="72"/>
      <c r="I291" s="57"/>
      <c r="J291" s="114"/>
      <c r="K291" s="49"/>
      <c r="L291" s="49"/>
      <c r="M291" s="49"/>
      <c r="N291" s="49"/>
      <c r="O291" s="251"/>
      <c r="P291" s="163"/>
      <c r="Q291" s="45"/>
      <c r="R291" s="46"/>
      <c r="S291" s="512"/>
      <c r="V291" s="57"/>
      <c r="W291" s="116" t="s">
        <v>17562</v>
      </c>
      <c r="X291" s="49"/>
      <c r="Y291" s="50"/>
      <c r="Z291" s="115"/>
      <c r="AA291" s="35"/>
      <c r="AB291" s="12" t="s">
        <v>398</v>
      </c>
      <c r="AC291" s="13">
        <v>0.4</v>
      </c>
      <c r="AD291" s="57" t="s">
        <v>3575</v>
      </c>
      <c r="AE291" s="208">
        <f>ROUND((ROUND((_15_同援日１．５*(1+_15・盲ろう)),0)*(1+_15・区４)),0)+ROUND((ROUND((ROUND((_15_同援日１．５＿１．５*(1+_15・B夜間)),0)*(1+_15・盲ろう)),0)*(1+_15・区４)),0)</f>
        <v>1184</v>
      </c>
      <c r="AF291" s="48"/>
    </row>
    <row r="292" spans="1:32" ht="16.5" customHeight="1" x14ac:dyDescent="0.15">
      <c r="A292" s="41">
        <v>15</v>
      </c>
      <c r="B292" s="41">
        <v>9844</v>
      </c>
      <c r="C292" s="74" t="s">
        <v>19842</v>
      </c>
      <c r="D292" s="72"/>
      <c r="F292" s="57"/>
      <c r="G292" s="72"/>
      <c r="I292" s="57"/>
      <c r="J292" s="122"/>
      <c r="K292" s="37"/>
      <c r="L292" s="37"/>
      <c r="M292" s="37"/>
      <c r="N292" s="37"/>
      <c r="O292" s="244"/>
      <c r="P292" s="521" t="s">
        <v>17556</v>
      </c>
      <c r="Q292" s="45" t="s">
        <v>398</v>
      </c>
      <c r="R292" s="46">
        <v>1</v>
      </c>
      <c r="S292" s="512"/>
      <c r="V292" s="57"/>
      <c r="W292" s="92" t="s">
        <v>17564</v>
      </c>
      <c r="Z292" s="57"/>
      <c r="AA292" s="35"/>
      <c r="AD292" s="57"/>
      <c r="AE292" s="208">
        <f>ROUND((ROUND((ROUND((_15_同援日１．５*_15・２人),0)*(1+_15・盲ろう)),0)*(1+_15・区４)),0)+ROUND((ROUND((ROUND((ROUND((_15_同援日１．５＿１．５*_15・２人),0)*(1+_15・B夜間)),0)*(1+_15・盲ろう)),0)*(1+_15・区４)),0)</f>
        <v>1184</v>
      </c>
      <c r="AF292" s="48"/>
    </row>
    <row r="293" spans="1:32" ht="16.5" customHeight="1" x14ac:dyDescent="0.15">
      <c r="A293" s="41">
        <v>15</v>
      </c>
      <c r="B293" s="41">
        <v>9845</v>
      </c>
      <c r="C293" s="74" t="s">
        <v>19843</v>
      </c>
      <c r="D293" s="72"/>
      <c r="F293" s="57"/>
      <c r="G293" s="72"/>
      <c r="I293" s="57"/>
      <c r="J293" s="114" t="s">
        <v>678</v>
      </c>
      <c r="K293" s="49"/>
      <c r="L293" s="49"/>
      <c r="M293" s="49"/>
      <c r="N293" s="49"/>
      <c r="O293" s="251"/>
      <c r="P293" s="163"/>
      <c r="Q293" s="45"/>
      <c r="R293" s="46"/>
      <c r="S293" s="512"/>
      <c r="V293" s="57"/>
      <c r="W293" s="35"/>
      <c r="X293" s="12" t="s">
        <v>398</v>
      </c>
      <c r="Y293" s="13">
        <v>0.25</v>
      </c>
      <c r="Z293" s="57" t="s">
        <v>3575</v>
      </c>
      <c r="AA293" s="35"/>
      <c r="AD293" s="57"/>
      <c r="AE293" s="208">
        <f>ROUND((ROUND((ROUND((_15_同援日１．５*_15・基礎２),0)*(1+_15・盲ろう)),0)*(1+_15・区４)),0)+ROUND((ROUND((ROUND((ROUND((_15_同援日１．５＿１．５*_15・基礎２),0)*(1+_15・B夜間)),0)*(1+_15・盲ろう)),0)*(1+_15・区４)),0)</f>
        <v>1068</v>
      </c>
      <c r="AF293" s="48"/>
    </row>
    <row r="294" spans="1:32" ht="16.5" customHeight="1" x14ac:dyDescent="0.15">
      <c r="A294" s="41">
        <v>15</v>
      </c>
      <c r="B294" s="41">
        <v>9846</v>
      </c>
      <c r="C294" s="74" t="s">
        <v>19844</v>
      </c>
      <c r="D294" s="122"/>
      <c r="E294" s="37"/>
      <c r="F294" s="79"/>
      <c r="G294" s="122"/>
      <c r="H294" s="37"/>
      <c r="I294" s="79"/>
      <c r="J294" s="122"/>
      <c r="K294" s="37"/>
      <c r="L294" s="37"/>
      <c r="M294" s="37"/>
      <c r="N294" s="37" t="s">
        <v>398</v>
      </c>
      <c r="O294" s="244">
        <v>0.9</v>
      </c>
      <c r="P294" s="521" t="s">
        <v>17556</v>
      </c>
      <c r="Q294" s="45" t="s">
        <v>398</v>
      </c>
      <c r="R294" s="46">
        <v>1</v>
      </c>
      <c r="S294" s="514"/>
      <c r="T294" s="37"/>
      <c r="U294" s="38"/>
      <c r="V294" s="79"/>
      <c r="W294" s="43"/>
      <c r="X294" s="37"/>
      <c r="Y294" s="38"/>
      <c r="Z294" s="79"/>
      <c r="AA294" s="43"/>
      <c r="AB294" s="37"/>
      <c r="AC294" s="38"/>
      <c r="AD294" s="79"/>
      <c r="AE294" s="208">
        <f>ROUND((ROUND((ROUND((ROUND((_15_同援日１．５*_15・基礎２),0)*_15・２人),0)*(1+_15・盲ろう)),0)*(1+_15・区４)),0)+ROUND((ROUND((ROUND((ROUND((ROUND((_15_同援日１．５＿１．５*_15・基礎２),0)*_15・２人),0)*(1+_15・B夜間)),0)*(1+_15・盲ろう)),0)*(1+_15・区４)),0)</f>
        <v>1068</v>
      </c>
      <c r="AF294" s="63"/>
    </row>
    <row r="295" spans="1:32" ht="16.5" customHeight="1" x14ac:dyDescent="0.15">
      <c r="A295" s="41">
        <v>15</v>
      </c>
      <c r="B295" s="41">
        <v>9847</v>
      </c>
      <c r="C295" s="74" t="s">
        <v>19845</v>
      </c>
      <c r="D295" s="114" t="s">
        <v>17641</v>
      </c>
      <c r="E295" s="49"/>
      <c r="F295" s="115"/>
      <c r="G295" s="114" t="s">
        <v>19553</v>
      </c>
      <c r="H295" s="49"/>
      <c r="I295" s="115"/>
      <c r="J295" s="114"/>
      <c r="K295" s="49"/>
      <c r="L295" s="49"/>
      <c r="M295" s="49"/>
      <c r="N295" s="49"/>
      <c r="O295" s="251"/>
      <c r="P295" s="163"/>
      <c r="Q295" s="45"/>
      <c r="R295" s="46"/>
      <c r="S295" s="515"/>
      <c r="T295" s="49"/>
      <c r="U295" s="50"/>
      <c r="V295" s="115"/>
      <c r="W295" s="53"/>
      <c r="X295" s="49"/>
      <c r="Y295" s="50"/>
      <c r="Z295" s="115"/>
      <c r="AA295" s="53"/>
      <c r="AB295" s="49"/>
      <c r="AC295" s="50"/>
      <c r="AD295" s="115"/>
      <c r="AE295" s="208">
        <f>_15_同援日２．０+ROUND((_15_同援日２．０＿０．５*(1+_15・B夜間)),0)</f>
        <v>579</v>
      </c>
      <c r="AF295" s="64"/>
    </row>
    <row r="296" spans="1:32" ht="16.5" customHeight="1" x14ac:dyDescent="0.15">
      <c r="A296" s="41">
        <v>15</v>
      </c>
      <c r="B296" s="41">
        <v>9848</v>
      </c>
      <c r="C296" s="74" t="s">
        <v>19846</v>
      </c>
      <c r="D296" s="72" t="s">
        <v>17643</v>
      </c>
      <c r="F296" s="57"/>
      <c r="G296" s="72" t="s">
        <v>18259</v>
      </c>
      <c r="I296" s="57"/>
      <c r="J296" s="122"/>
      <c r="K296" s="37"/>
      <c r="L296" s="37"/>
      <c r="M296" s="37"/>
      <c r="N296" s="37"/>
      <c r="O296" s="244"/>
      <c r="P296" s="521" t="s">
        <v>17556</v>
      </c>
      <c r="Q296" s="45" t="s">
        <v>398</v>
      </c>
      <c r="R296" s="46">
        <v>1</v>
      </c>
      <c r="S296" s="512"/>
      <c r="V296" s="57"/>
      <c r="W296" s="35"/>
      <c r="Z296" s="57"/>
      <c r="AA296" s="35"/>
      <c r="AD296" s="57"/>
      <c r="AE296" s="208">
        <f>ROUND((_15_同援日２．０*_15・２人),0)+ROUND((ROUND((_15_同援日２．０＿０．５*_15・２人),0)*(1+_15・B夜間)),0)</f>
        <v>579</v>
      </c>
      <c r="AF296" s="48"/>
    </row>
    <row r="297" spans="1:32" ht="16.5" customHeight="1" x14ac:dyDescent="0.15">
      <c r="A297" s="41">
        <v>15</v>
      </c>
      <c r="B297" s="41">
        <v>9849</v>
      </c>
      <c r="C297" s="74" t="s">
        <v>19847</v>
      </c>
      <c r="D297" s="72" t="s">
        <v>17645</v>
      </c>
      <c r="F297" s="57"/>
      <c r="G297" s="72"/>
      <c r="I297" s="57"/>
      <c r="J297" s="114" t="s">
        <v>678</v>
      </c>
      <c r="K297" s="49"/>
      <c r="L297" s="49"/>
      <c r="M297" s="49"/>
      <c r="N297" s="49"/>
      <c r="O297" s="251"/>
      <c r="P297" s="163"/>
      <c r="Q297" s="45"/>
      <c r="R297" s="46"/>
      <c r="S297" s="512"/>
      <c r="V297" s="57"/>
      <c r="W297" s="35"/>
      <c r="Z297" s="57"/>
      <c r="AA297" s="35"/>
      <c r="AD297" s="57"/>
      <c r="AE297" s="208">
        <f>ROUND((_15_同援日２．０*_15・基礎２),0)+ROUND((ROUND((_15_同援日２．０＿０．５*_15・基礎２),0)*(1+_15・B夜間)),0)</f>
        <v>522</v>
      </c>
      <c r="AF297" s="48"/>
    </row>
    <row r="298" spans="1:32" ht="16.5" customHeight="1" x14ac:dyDescent="0.15">
      <c r="A298" s="41">
        <v>15</v>
      </c>
      <c r="B298" s="41">
        <v>9850</v>
      </c>
      <c r="C298" s="74" t="s">
        <v>19848</v>
      </c>
      <c r="D298" s="72"/>
      <c r="E298" s="168">
        <f>_15_同援日２．０</f>
        <v>498</v>
      </c>
      <c r="F298" s="57" t="s">
        <v>392</v>
      </c>
      <c r="G298" s="72"/>
      <c r="H298" s="168">
        <f>_15_同援日２．０＿０．５</f>
        <v>65</v>
      </c>
      <c r="I298" s="57" t="s">
        <v>392</v>
      </c>
      <c r="J298" s="122"/>
      <c r="K298" s="37"/>
      <c r="L298" s="37"/>
      <c r="M298" s="37"/>
      <c r="N298" s="37" t="s">
        <v>398</v>
      </c>
      <c r="O298" s="244">
        <v>0.9</v>
      </c>
      <c r="P298" s="521" t="s">
        <v>17556</v>
      </c>
      <c r="Q298" s="45" t="s">
        <v>398</v>
      </c>
      <c r="R298" s="46">
        <v>1</v>
      </c>
      <c r="S298" s="512"/>
      <c r="V298" s="57"/>
      <c r="W298" s="43"/>
      <c r="X298" s="37"/>
      <c r="Y298" s="38"/>
      <c r="Z298" s="79"/>
      <c r="AA298" s="35"/>
      <c r="AD298" s="57"/>
      <c r="AE298" s="208">
        <f>ROUND((ROUND((_15_同援日２．０*_15・基礎２),0)*_15・２人),0)+ROUND((ROUND((ROUND((_15_同援日２．０＿０．５*_15・基礎２),0)*_15・２人),0)*(1+_15・B夜間)),0)</f>
        <v>522</v>
      </c>
      <c r="AF298" s="48"/>
    </row>
    <row r="299" spans="1:32" ht="16.5" customHeight="1" x14ac:dyDescent="0.15">
      <c r="A299" s="41">
        <v>15</v>
      </c>
      <c r="B299" s="41">
        <v>9851</v>
      </c>
      <c r="C299" s="74" t="s">
        <v>19849</v>
      </c>
      <c r="D299" s="72"/>
      <c r="F299" s="57"/>
      <c r="G299" s="72"/>
      <c r="I299" s="57"/>
      <c r="J299" s="114"/>
      <c r="K299" s="49"/>
      <c r="L299" s="49"/>
      <c r="M299" s="49"/>
      <c r="N299" s="49"/>
      <c r="O299" s="251"/>
      <c r="P299" s="163"/>
      <c r="Q299" s="45"/>
      <c r="R299" s="46"/>
      <c r="S299" s="512"/>
      <c r="V299" s="57"/>
      <c r="W299" s="116" t="s">
        <v>17562</v>
      </c>
      <c r="X299" s="49"/>
      <c r="Y299" s="50"/>
      <c r="Z299" s="115"/>
      <c r="AA299" s="35"/>
      <c r="AD299" s="57"/>
      <c r="AE299" s="208">
        <f>ROUND((_15_同援日２．０*(1+_15・盲ろう)),0)+ROUND((ROUND((_15_同援日２．０＿０．５*(1+_15・B夜間)),0)*(1+_15・盲ろう)),0)</f>
        <v>724</v>
      </c>
      <c r="AF299" s="48"/>
    </row>
    <row r="300" spans="1:32" ht="16.5" customHeight="1" x14ac:dyDescent="0.15">
      <c r="A300" s="41">
        <v>15</v>
      </c>
      <c r="B300" s="41">
        <v>9852</v>
      </c>
      <c r="C300" s="74" t="s">
        <v>19850</v>
      </c>
      <c r="D300" s="72"/>
      <c r="F300" s="57"/>
      <c r="G300" s="72"/>
      <c r="I300" s="57"/>
      <c r="J300" s="122"/>
      <c r="K300" s="37"/>
      <c r="L300" s="37"/>
      <c r="M300" s="37"/>
      <c r="N300" s="37"/>
      <c r="O300" s="244"/>
      <c r="P300" s="521" t="s">
        <v>17556</v>
      </c>
      <c r="Q300" s="45" t="s">
        <v>398</v>
      </c>
      <c r="R300" s="46">
        <v>1</v>
      </c>
      <c r="S300" s="512"/>
      <c r="V300" s="57"/>
      <c r="W300" s="92" t="s">
        <v>17564</v>
      </c>
      <c r="Z300" s="57"/>
      <c r="AA300" s="35"/>
      <c r="AD300" s="57"/>
      <c r="AE300" s="208">
        <f>ROUND((ROUND((_15_同援日２．０*_15・２人),0)*(1+_15・盲ろう)),0)+ROUND((ROUND((ROUND((_15_同援日２．０＿０．５*_15・２人),0)*(1+_15・B夜間)),0)*(1+_15・盲ろう)),0)</f>
        <v>724</v>
      </c>
      <c r="AF300" s="48"/>
    </row>
    <row r="301" spans="1:32" ht="16.5" customHeight="1" x14ac:dyDescent="0.15">
      <c r="A301" s="41">
        <v>15</v>
      </c>
      <c r="B301" s="41">
        <v>9853</v>
      </c>
      <c r="C301" s="74" t="s">
        <v>19851</v>
      </c>
      <c r="D301" s="72"/>
      <c r="F301" s="57"/>
      <c r="G301" s="72"/>
      <c r="I301" s="57"/>
      <c r="J301" s="114" t="s">
        <v>678</v>
      </c>
      <c r="K301" s="49"/>
      <c r="L301" s="49"/>
      <c r="M301" s="49"/>
      <c r="N301" s="49"/>
      <c r="O301" s="251"/>
      <c r="P301" s="163"/>
      <c r="Q301" s="45"/>
      <c r="R301" s="46"/>
      <c r="S301" s="512"/>
      <c r="V301" s="57"/>
      <c r="W301" s="35"/>
      <c r="X301" s="12" t="s">
        <v>398</v>
      </c>
      <c r="Y301" s="13">
        <v>0.25</v>
      </c>
      <c r="Z301" s="57" t="s">
        <v>3575</v>
      </c>
      <c r="AA301" s="35"/>
      <c r="AD301" s="57"/>
      <c r="AE301" s="208">
        <f>ROUND((ROUND((_15_同援日２．０*_15・基礎２),0)*(1+_15・盲ろう)),0)+ROUND((ROUND((ROUND((_15_同援日２．０＿０．５*_15・基礎２),0)*(1+_15・B夜間)),0)*(1+_15・盲ろう)),0)</f>
        <v>653</v>
      </c>
      <c r="AF301" s="48"/>
    </row>
    <row r="302" spans="1:32" ht="16.5" customHeight="1" x14ac:dyDescent="0.15">
      <c r="A302" s="41">
        <v>15</v>
      </c>
      <c r="B302" s="41">
        <v>9854</v>
      </c>
      <c r="C302" s="74" t="s">
        <v>19852</v>
      </c>
      <c r="D302" s="72"/>
      <c r="F302" s="57"/>
      <c r="G302" s="72"/>
      <c r="I302" s="57"/>
      <c r="J302" s="122"/>
      <c r="K302" s="37"/>
      <c r="L302" s="37"/>
      <c r="M302" s="37"/>
      <c r="N302" s="37" t="s">
        <v>398</v>
      </c>
      <c r="O302" s="244">
        <v>0.9</v>
      </c>
      <c r="P302" s="521" t="s">
        <v>17556</v>
      </c>
      <c r="Q302" s="45" t="s">
        <v>398</v>
      </c>
      <c r="R302" s="46">
        <v>1</v>
      </c>
      <c r="S302" s="512"/>
      <c r="V302" s="57"/>
      <c r="W302" s="43"/>
      <c r="X302" s="37"/>
      <c r="Y302" s="38"/>
      <c r="Z302" s="79"/>
      <c r="AA302" s="43"/>
      <c r="AB302" s="37"/>
      <c r="AC302" s="38"/>
      <c r="AD302" s="79"/>
      <c r="AE302" s="208">
        <f>ROUND((ROUND((ROUND((_15_同援日２．０*_15・基礎２),0)*_15・２人),0)*(1+_15・盲ろう)),0)+ROUND((ROUND((ROUND((ROUND((_15_同援日２．０＿０．５*_15・基礎２),0)*_15・２人),0)*(1+_15・B夜間)),0)*(1+_15・盲ろう)),0)</f>
        <v>653</v>
      </c>
      <c r="AF302" s="48"/>
    </row>
    <row r="303" spans="1:32" ht="16.5" customHeight="1" x14ac:dyDescent="0.15">
      <c r="A303" s="41">
        <v>15</v>
      </c>
      <c r="B303" s="41">
        <v>9855</v>
      </c>
      <c r="C303" s="74" t="s">
        <v>19853</v>
      </c>
      <c r="D303" s="72"/>
      <c r="F303" s="57"/>
      <c r="G303" s="72"/>
      <c r="I303" s="57"/>
      <c r="J303" s="114"/>
      <c r="K303" s="49"/>
      <c r="L303" s="49"/>
      <c r="M303" s="49"/>
      <c r="N303" s="49"/>
      <c r="O303" s="251"/>
      <c r="P303" s="163"/>
      <c r="Q303" s="45"/>
      <c r="R303" s="46"/>
      <c r="S303" s="512"/>
      <c r="V303" s="57"/>
      <c r="W303" s="53"/>
      <c r="X303" s="49"/>
      <c r="Y303" s="50"/>
      <c r="Z303" s="115"/>
      <c r="AA303" s="53"/>
      <c r="AB303" s="49"/>
      <c r="AC303" s="50"/>
      <c r="AD303" s="115"/>
      <c r="AE303" s="208">
        <f>ROUND((_15_同援日２．０*(1+_15・区３)),0)+ROUND((ROUND((_15_同援日２．０＿０．５*(1+_15・B夜間)),0)*(1+_15・区３)),0)</f>
        <v>695</v>
      </c>
      <c r="AF303" s="48"/>
    </row>
    <row r="304" spans="1:32" ht="16.5" customHeight="1" x14ac:dyDescent="0.15">
      <c r="A304" s="41">
        <v>15</v>
      </c>
      <c r="B304" s="41">
        <v>9856</v>
      </c>
      <c r="C304" s="74" t="s">
        <v>19854</v>
      </c>
      <c r="D304" s="72"/>
      <c r="F304" s="57"/>
      <c r="G304" s="72"/>
      <c r="I304" s="57"/>
      <c r="J304" s="122"/>
      <c r="K304" s="37"/>
      <c r="L304" s="37"/>
      <c r="M304" s="37"/>
      <c r="N304" s="37"/>
      <c r="O304" s="244"/>
      <c r="P304" s="521" t="s">
        <v>17556</v>
      </c>
      <c r="Q304" s="45" t="s">
        <v>398</v>
      </c>
      <c r="R304" s="46">
        <v>1</v>
      </c>
      <c r="S304" s="512"/>
      <c r="V304" s="57"/>
      <c r="W304" s="35"/>
      <c r="Z304" s="57"/>
      <c r="AA304" s="35"/>
      <c r="AD304" s="57"/>
      <c r="AE304" s="208">
        <f>ROUND((ROUND((_15_同援日２．０*_15・２人),0)*(1+_15・区３)),0)+ROUND((ROUND((ROUND((_15_同援日２．０＿０．５*_15・２人),0)*(1+_15・B夜間)),0)*(1+_15・区３)),0)</f>
        <v>695</v>
      </c>
      <c r="AF304" s="48"/>
    </row>
    <row r="305" spans="1:32" ht="16.5" customHeight="1" x14ac:dyDescent="0.15">
      <c r="A305" s="41">
        <v>15</v>
      </c>
      <c r="B305" s="41">
        <v>9857</v>
      </c>
      <c r="C305" s="74" t="s">
        <v>19855</v>
      </c>
      <c r="D305" s="72"/>
      <c r="F305" s="57"/>
      <c r="G305" s="72"/>
      <c r="I305" s="57"/>
      <c r="J305" s="114" t="s">
        <v>678</v>
      </c>
      <c r="K305" s="49"/>
      <c r="L305" s="49"/>
      <c r="M305" s="49"/>
      <c r="N305" s="49"/>
      <c r="O305" s="251"/>
      <c r="P305" s="163"/>
      <c r="Q305" s="45"/>
      <c r="R305" s="46"/>
      <c r="S305" s="512"/>
      <c r="V305" s="57"/>
      <c r="W305" s="35"/>
      <c r="Z305" s="57"/>
      <c r="AA305" s="72" t="s">
        <v>17570</v>
      </c>
      <c r="AD305" s="57"/>
      <c r="AE305" s="208">
        <f>ROUND((ROUND((_15_同援日２．０*_15・基礎２),0)*(1+_15・区３)),0)+ROUND((ROUND((ROUND((_15_同援日２．０＿０．５*_15・基礎２),0)*(1+_15・B夜間)),0)*(1+_15・区３)),0)</f>
        <v>627</v>
      </c>
      <c r="AF305" s="48"/>
    </row>
    <row r="306" spans="1:32" ht="16.5" customHeight="1" x14ac:dyDescent="0.15">
      <c r="A306" s="41">
        <v>15</v>
      </c>
      <c r="B306" s="41">
        <v>9858</v>
      </c>
      <c r="C306" s="74" t="s">
        <v>19856</v>
      </c>
      <c r="D306" s="72"/>
      <c r="F306" s="57"/>
      <c r="G306" s="72"/>
      <c r="I306" s="57"/>
      <c r="J306" s="122"/>
      <c r="K306" s="37"/>
      <c r="L306" s="37"/>
      <c r="M306" s="37"/>
      <c r="N306" s="37" t="s">
        <v>398</v>
      </c>
      <c r="O306" s="244">
        <v>0.9</v>
      </c>
      <c r="P306" s="521" t="s">
        <v>17556</v>
      </c>
      <c r="Q306" s="45" t="s">
        <v>398</v>
      </c>
      <c r="R306" s="46">
        <v>1</v>
      </c>
      <c r="S306" s="512"/>
      <c r="V306" s="57"/>
      <c r="W306" s="43"/>
      <c r="X306" s="37"/>
      <c r="Y306" s="38"/>
      <c r="Z306" s="79"/>
      <c r="AA306" s="72" t="s">
        <v>17572</v>
      </c>
      <c r="AD306" s="57"/>
      <c r="AE306" s="208">
        <f>ROUND((ROUND((ROUND((_15_同援日２．０*_15・基礎２),0)*_15・２人),0)*(1+_15・区３)),0)+ROUND((ROUND((ROUND((ROUND((_15_同援日２．０＿０．５*_15・基礎２),0)*_15・２人),0)*(1+_15・B夜間)),0)*(1+_15・区３)),0)</f>
        <v>627</v>
      </c>
      <c r="AF306" s="48"/>
    </row>
    <row r="307" spans="1:32" ht="16.5" customHeight="1" x14ac:dyDescent="0.15">
      <c r="A307" s="41">
        <v>15</v>
      </c>
      <c r="B307" s="41">
        <v>9859</v>
      </c>
      <c r="C307" s="74" t="s">
        <v>19857</v>
      </c>
      <c r="D307" s="72"/>
      <c r="F307" s="57"/>
      <c r="G307" s="72"/>
      <c r="I307" s="57"/>
      <c r="J307" s="114"/>
      <c r="K307" s="49"/>
      <c r="L307" s="49"/>
      <c r="M307" s="49"/>
      <c r="N307" s="49"/>
      <c r="O307" s="251"/>
      <c r="P307" s="163"/>
      <c r="Q307" s="45"/>
      <c r="R307" s="46"/>
      <c r="S307" s="512"/>
      <c r="V307" s="57"/>
      <c r="W307" s="116" t="s">
        <v>17562</v>
      </c>
      <c r="X307" s="49"/>
      <c r="Y307" s="50"/>
      <c r="Z307" s="115"/>
      <c r="AA307" s="35"/>
      <c r="AB307" s="12" t="s">
        <v>398</v>
      </c>
      <c r="AC307" s="13">
        <v>0.2</v>
      </c>
      <c r="AD307" s="57" t="s">
        <v>3575</v>
      </c>
      <c r="AE307" s="208">
        <f>ROUND((ROUND((_15_同援日２．０*(1+_15・盲ろう)),0)*(1+_15・区３)),0)+ROUND((ROUND((ROUND((_15_同援日２．０＿０．５*(1+_15・B夜間)),0)*(1+_15・盲ろう)),0)*(1+_15・区３)),0)</f>
        <v>869</v>
      </c>
      <c r="AF307" s="48"/>
    </row>
    <row r="308" spans="1:32" ht="16.5" customHeight="1" x14ac:dyDescent="0.15">
      <c r="A308" s="41">
        <v>15</v>
      </c>
      <c r="B308" s="41">
        <v>9860</v>
      </c>
      <c r="C308" s="74" t="s">
        <v>19858</v>
      </c>
      <c r="D308" s="72"/>
      <c r="F308" s="57"/>
      <c r="G308" s="72"/>
      <c r="I308" s="57"/>
      <c r="J308" s="122"/>
      <c r="K308" s="37"/>
      <c r="L308" s="37"/>
      <c r="M308" s="37"/>
      <c r="N308" s="37"/>
      <c r="O308" s="244"/>
      <c r="P308" s="521" t="s">
        <v>17556</v>
      </c>
      <c r="Q308" s="45" t="s">
        <v>398</v>
      </c>
      <c r="R308" s="46">
        <v>1</v>
      </c>
      <c r="S308" s="512"/>
      <c r="V308" s="57"/>
      <c r="W308" s="92" t="s">
        <v>17564</v>
      </c>
      <c r="Z308" s="57"/>
      <c r="AA308" s="35"/>
      <c r="AD308" s="57"/>
      <c r="AE308" s="208">
        <f>ROUND((ROUND((ROUND((_15_同援日２．０*_15・２人),0)*(1+_15・盲ろう)),0)*(1+_15・区３)),0)+ROUND((ROUND((ROUND((ROUND((_15_同援日２．０＿０．５*_15・２人),0)*(1+_15・B夜間)),0)*(1+_15・盲ろう)),0)*(1+_15・区３)),0)</f>
        <v>869</v>
      </c>
      <c r="AF308" s="48"/>
    </row>
    <row r="309" spans="1:32" ht="16.5" customHeight="1" x14ac:dyDescent="0.15">
      <c r="A309" s="41">
        <v>15</v>
      </c>
      <c r="B309" s="41">
        <v>9861</v>
      </c>
      <c r="C309" s="74" t="s">
        <v>19859</v>
      </c>
      <c r="D309" s="72"/>
      <c r="F309" s="57"/>
      <c r="G309" s="72"/>
      <c r="I309" s="57"/>
      <c r="J309" s="114" t="s">
        <v>678</v>
      </c>
      <c r="K309" s="49"/>
      <c r="L309" s="49"/>
      <c r="M309" s="49"/>
      <c r="N309" s="49"/>
      <c r="O309" s="251"/>
      <c r="P309" s="163"/>
      <c r="Q309" s="45"/>
      <c r="R309" s="46"/>
      <c r="S309" s="512"/>
      <c r="V309" s="57"/>
      <c r="W309" s="35"/>
      <c r="X309" s="12" t="s">
        <v>398</v>
      </c>
      <c r="Y309" s="13">
        <v>0.25</v>
      </c>
      <c r="Z309" s="57" t="s">
        <v>3575</v>
      </c>
      <c r="AA309" s="35"/>
      <c r="AD309" s="57"/>
      <c r="AE309" s="208">
        <f>ROUND((ROUND((ROUND((_15_同援日２．０*_15・基礎２),0)*(1+_15・盲ろう)),0)*(1+_15・区３)),0)+ROUND((ROUND((ROUND((ROUND((_15_同援日２．０＿０．５*_15・基礎２),0)*(1+_15・B夜間)),0)*(1+_15・盲ろう)),0)*(1+_15・区３)),0)</f>
        <v>784</v>
      </c>
      <c r="AF309" s="48"/>
    </row>
    <row r="310" spans="1:32" ht="16.5" customHeight="1" x14ac:dyDescent="0.15">
      <c r="A310" s="41">
        <v>15</v>
      </c>
      <c r="B310" s="41">
        <v>9862</v>
      </c>
      <c r="C310" s="74" t="s">
        <v>19860</v>
      </c>
      <c r="D310" s="72"/>
      <c r="F310" s="57"/>
      <c r="G310" s="72"/>
      <c r="I310" s="57"/>
      <c r="J310" s="122"/>
      <c r="K310" s="37"/>
      <c r="L310" s="37"/>
      <c r="M310" s="37"/>
      <c r="N310" s="37" t="s">
        <v>398</v>
      </c>
      <c r="O310" s="244">
        <v>0.9</v>
      </c>
      <c r="P310" s="521" t="s">
        <v>17556</v>
      </c>
      <c r="Q310" s="45" t="s">
        <v>398</v>
      </c>
      <c r="R310" s="46">
        <v>1</v>
      </c>
      <c r="S310" s="512"/>
      <c r="V310" s="57"/>
      <c r="W310" s="43"/>
      <c r="X310" s="37"/>
      <c r="Y310" s="38"/>
      <c r="Z310" s="79"/>
      <c r="AA310" s="43"/>
      <c r="AB310" s="37"/>
      <c r="AC310" s="38"/>
      <c r="AD310" s="79"/>
      <c r="AE310" s="208">
        <f>ROUND((ROUND((ROUND((ROUND((_15_同援日２．０*_15・基礎２),0)*_15・２人),0)*(1+_15・盲ろう)),0)*(1+_15・区３)),0)+ROUND((ROUND((ROUND((ROUND((ROUND((_15_同援日２．０＿０．５*_15・基礎２),0)*_15・２人),0)*(1+_15・B夜間)),0)*(1+_15・盲ろう)),0)*(1+_15・区３)),0)</f>
        <v>784</v>
      </c>
      <c r="AF310" s="48"/>
    </row>
    <row r="311" spans="1:32" ht="16.5" customHeight="1" x14ac:dyDescent="0.15">
      <c r="A311" s="41">
        <v>15</v>
      </c>
      <c r="B311" s="41">
        <v>9863</v>
      </c>
      <c r="C311" s="74" t="s">
        <v>19861</v>
      </c>
      <c r="D311" s="72"/>
      <c r="F311" s="57"/>
      <c r="G311" s="72"/>
      <c r="I311" s="57"/>
      <c r="J311" s="114"/>
      <c r="K311" s="49"/>
      <c r="L311" s="49"/>
      <c r="M311" s="49"/>
      <c r="N311" s="49"/>
      <c r="O311" s="251"/>
      <c r="P311" s="163"/>
      <c r="Q311" s="45"/>
      <c r="R311" s="46"/>
      <c r="S311" s="512"/>
      <c r="V311" s="57"/>
      <c r="W311" s="53"/>
      <c r="X311" s="49"/>
      <c r="Y311" s="50"/>
      <c r="Z311" s="115"/>
      <c r="AA311" s="53"/>
      <c r="AB311" s="49"/>
      <c r="AC311" s="50"/>
      <c r="AD311" s="115"/>
      <c r="AE311" s="208">
        <f>ROUND((_15_同援日２．０*(1+_15・区４)),0)+ROUND((ROUND((_15_同援日２．０＿０．５*(1+_15・B夜間)),0)*(1+_15・区４)),0)</f>
        <v>810</v>
      </c>
      <c r="AF311" s="48"/>
    </row>
    <row r="312" spans="1:32" ht="16.5" customHeight="1" x14ac:dyDescent="0.15">
      <c r="A312" s="41">
        <v>15</v>
      </c>
      <c r="B312" s="41">
        <v>9864</v>
      </c>
      <c r="C312" s="74" t="s">
        <v>19862</v>
      </c>
      <c r="D312" s="72"/>
      <c r="F312" s="57"/>
      <c r="G312" s="72"/>
      <c r="I312" s="57"/>
      <c r="J312" s="122"/>
      <c r="K312" s="37"/>
      <c r="L312" s="37"/>
      <c r="M312" s="37"/>
      <c r="N312" s="37"/>
      <c r="O312" s="244"/>
      <c r="P312" s="521" t="s">
        <v>17556</v>
      </c>
      <c r="Q312" s="45" t="s">
        <v>398</v>
      </c>
      <c r="R312" s="46">
        <v>1</v>
      </c>
      <c r="S312" s="512"/>
      <c r="V312" s="57"/>
      <c r="W312" s="35"/>
      <c r="Z312" s="57"/>
      <c r="AA312" s="35"/>
      <c r="AD312" s="57"/>
      <c r="AE312" s="208">
        <f>ROUND((ROUND((_15_同援日２．０*_15・２人),0)*(1+_15・区４)),0)+ROUND((ROUND((ROUND((_15_同援日２．０＿０．５*_15・２人),0)*(1+_15・B夜間)),0)*(1+_15・区４)),0)</f>
        <v>810</v>
      </c>
      <c r="AF312" s="48"/>
    </row>
    <row r="313" spans="1:32" ht="16.5" customHeight="1" x14ac:dyDescent="0.15">
      <c r="A313" s="41">
        <v>15</v>
      </c>
      <c r="B313" s="41">
        <v>9865</v>
      </c>
      <c r="C313" s="74" t="s">
        <v>19863</v>
      </c>
      <c r="D313" s="72"/>
      <c r="F313" s="57"/>
      <c r="G313" s="72"/>
      <c r="I313" s="57"/>
      <c r="J313" s="114" t="s">
        <v>678</v>
      </c>
      <c r="K313" s="49"/>
      <c r="L313" s="49"/>
      <c r="M313" s="49"/>
      <c r="N313" s="49"/>
      <c r="O313" s="251"/>
      <c r="P313" s="163"/>
      <c r="Q313" s="45"/>
      <c r="R313" s="46"/>
      <c r="S313" s="512"/>
      <c r="V313" s="57"/>
      <c r="W313" s="35"/>
      <c r="Z313" s="57"/>
      <c r="AA313" s="72" t="s">
        <v>17580</v>
      </c>
      <c r="AD313" s="57"/>
      <c r="AE313" s="208">
        <f>ROUND((ROUND((_15_同援日２．０*_15・基礎２),0)*(1+_15・区４)),0)+ROUND((ROUND((ROUND((_15_同援日２．０＿０．５*_15・基礎２),0)*(1+_15・B夜間)),0)*(1+_15・区４)),0)</f>
        <v>731</v>
      </c>
      <c r="AF313" s="48"/>
    </row>
    <row r="314" spans="1:32" ht="16.5" customHeight="1" x14ac:dyDescent="0.15">
      <c r="A314" s="41">
        <v>15</v>
      </c>
      <c r="B314" s="41">
        <v>9866</v>
      </c>
      <c r="C314" s="74" t="s">
        <v>19864</v>
      </c>
      <c r="D314" s="72"/>
      <c r="F314" s="57"/>
      <c r="G314" s="72"/>
      <c r="I314" s="57"/>
      <c r="J314" s="122"/>
      <c r="K314" s="37"/>
      <c r="L314" s="37"/>
      <c r="M314" s="37"/>
      <c r="N314" s="37" t="s">
        <v>398</v>
      </c>
      <c r="O314" s="244">
        <v>0.9</v>
      </c>
      <c r="P314" s="521" t="s">
        <v>17556</v>
      </c>
      <c r="Q314" s="45" t="s">
        <v>398</v>
      </c>
      <c r="R314" s="46">
        <v>1</v>
      </c>
      <c r="S314" s="512"/>
      <c r="V314" s="57"/>
      <c r="W314" s="43"/>
      <c r="X314" s="37"/>
      <c r="Y314" s="38"/>
      <c r="Z314" s="79"/>
      <c r="AA314" s="72" t="s">
        <v>17572</v>
      </c>
      <c r="AD314" s="57"/>
      <c r="AE314" s="208">
        <f>ROUND((ROUND((ROUND((_15_同援日２．０*_15・基礎２),0)*_15・２人),0)*(1+_15・区４)),0)+ROUND((ROUND((ROUND((ROUND((_15_同援日２．０＿０．５*_15・基礎２),0)*_15・２人),0)*(1+_15・B夜間)),0)*(1+_15・区４)),0)</f>
        <v>731</v>
      </c>
      <c r="AF314" s="48"/>
    </row>
    <row r="315" spans="1:32" ht="16.5" customHeight="1" x14ac:dyDescent="0.15">
      <c r="A315" s="41">
        <v>15</v>
      </c>
      <c r="B315" s="41">
        <v>9867</v>
      </c>
      <c r="C315" s="74" t="s">
        <v>19865</v>
      </c>
      <c r="D315" s="72"/>
      <c r="F315" s="57"/>
      <c r="G315" s="72"/>
      <c r="I315" s="57"/>
      <c r="J315" s="114"/>
      <c r="K315" s="49"/>
      <c r="L315" s="49"/>
      <c r="M315" s="49"/>
      <c r="N315" s="49"/>
      <c r="O315" s="251"/>
      <c r="P315" s="163"/>
      <c r="Q315" s="45"/>
      <c r="R315" s="46"/>
      <c r="S315" s="512"/>
      <c r="V315" s="57"/>
      <c r="W315" s="116" t="s">
        <v>17562</v>
      </c>
      <c r="X315" s="49"/>
      <c r="Y315" s="50"/>
      <c r="Z315" s="115"/>
      <c r="AA315" s="35"/>
      <c r="AB315" s="12" t="s">
        <v>398</v>
      </c>
      <c r="AC315" s="13">
        <v>0.4</v>
      </c>
      <c r="AD315" s="57" t="s">
        <v>3575</v>
      </c>
      <c r="AE315" s="208">
        <f>ROUND((ROUND((_15_同援日２．０*(1+_15・盲ろう)),0)*(1+_15・区４)),0)+ROUND((ROUND((ROUND((_15_同援日２．０＿０．５*(1+_15・B夜間)),0)*(1+_15・盲ろう)),0)*(1+_15・区４)),0)</f>
        <v>1013</v>
      </c>
      <c r="AF315" s="48"/>
    </row>
    <row r="316" spans="1:32" ht="16.5" customHeight="1" x14ac:dyDescent="0.15">
      <c r="A316" s="41">
        <v>15</v>
      </c>
      <c r="B316" s="41">
        <v>9868</v>
      </c>
      <c r="C316" s="74" t="s">
        <v>19866</v>
      </c>
      <c r="D316" s="72"/>
      <c r="F316" s="57"/>
      <c r="G316" s="72"/>
      <c r="I316" s="57"/>
      <c r="J316" s="122"/>
      <c r="K316" s="37"/>
      <c r="L316" s="37"/>
      <c r="M316" s="37"/>
      <c r="N316" s="37"/>
      <c r="O316" s="244"/>
      <c r="P316" s="521" t="s">
        <v>17556</v>
      </c>
      <c r="Q316" s="45" t="s">
        <v>398</v>
      </c>
      <c r="R316" s="46">
        <v>1</v>
      </c>
      <c r="S316" s="512"/>
      <c r="V316" s="57"/>
      <c r="W316" s="92" t="s">
        <v>17564</v>
      </c>
      <c r="Z316" s="57"/>
      <c r="AA316" s="35"/>
      <c r="AD316" s="57"/>
      <c r="AE316" s="208">
        <f>ROUND((ROUND((ROUND((_15_同援日２．０*_15・２人),0)*(1+_15・盲ろう)),0)*(1+_15・区４)),0)+ROUND((ROUND((ROUND((ROUND((_15_同援日２．０＿０．５*_15・２人),0)*(1+_15・B夜間)),0)*(1+_15・盲ろう)),0)*(1+_15・区４)),0)</f>
        <v>1013</v>
      </c>
      <c r="AF316" s="48"/>
    </row>
    <row r="317" spans="1:32" ht="16.5" customHeight="1" x14ac:dyDescent="0.15">
      <c r="A317" s="41">
        <v>15</v>
      </c>
      <c r="B317" s="41">
        <v>9869</v>
      </c>
      <c r="C317" s="74" t="s">
        <v>19867</v>
      </c>
      <c r="D317" s="72"/>
      <c r="F317" s="57"/>
      <c r="G317" s="72"/>
      <c r="I317" s="57"/>
      <c r="J317" s="114" t="s">
        <v>678</v>
      </c>
      <c r="K317" s="49"/>
      <c r="L317" s="49"/>
      <c r="M317" s="49"/>
      <c r="N317" s="49"/>
      <c r="O317" s="251"/>
      <c r="P317" s="163"/>
      <c r="Q317" s="45"/>
      <c r="R317" s="46"/>
      <c r="S317" s="512"/>
      <c r="V317" s="57"/>
      <c r="W317" s="35"/>
      <c r="X317" s="12" t="s">
        <v>398</v>
      </c>
      <c r="Y317" s="13">
        <v>0.25</v>
      </c>
      <c r="Z317" s="57" t="s">
        <v>3575</v>
      </c>
      <c r="AA317" s="35"/>
      <c r="AD317" s="57"/>
      <c r="AE317" s="208">
        <f>ROUND((ROUND((ROUND((_15_同援日２．０*_15・基礎２),0)*(1+_15・盲ろう)),0)*(1+_15・区４)),0)+ROUND((ROUND((ROUND((ROUND((_15_同援日２．０＿０．５*_15・基礎２),0)*(1+_15・B夜間)),0)*(1+_15・盲ろう)),0)*(1+_15・区４)),0)</f>
        <v>914</v>
      </c>
      <c r="AF317" s="48"/>
    </row>
    <row r="318" spans="1:32" ht="16.5" customHeight="1" x14ac:dyDescent="0.15">
      <c r="A318" s="41">
        <v>15</v>
      </c>
      <c r="B318" s="41">
        <v>9870</v>
      </c>
      <c r="C318" s="74" t="s">
        <v>19868</v>
      </c>
      <c r="D318" s="72"/>
      <c r="F318" s="57"/>
      <c r="G318" s="122"/>
      <c r="H318" s="37"/>
      <c r="I318" s="79"/>
      <c r="J318" s="122"/>
      <c r="K318" s="37"/>
      <c r="L318" s="37"/>
      <c r="M318" s="37"/>
      <c r="N318" s="37" t="s">
        <v>398</v>
      </c>
      <c r="O318" s="244">
        <v>0.9</v>
      </c>
      <c r="P318" s="521" t="s">
        <v>17556</v>
      </c>
      <c r="Q318" s="45" t="s">
        <v>398</v>
      </c>
      <c r="R318" s="46">
        <v>1</v>
      </c>
      <c r="S318" s="512"/>
      <c r="V318" s="57"/>
      <c r="W318" s="43"/>
      <c r="X318" s="37"/>
      <c r="Y318" s="38"/>
      <c r="Z318" s="79"/>
      <c r="AA318" s="43"/>
      <c r="AB318" s="37"/>
      <c r="AC318" s="38"/>
      <c r="AD318" s="79"/>
      <c r="AE318" s="208">
        <f>ROUND((ROUND((ROUND((ROUND((_15_同援日２．０*_15・基礎２),0)*_15・２人),0)*(1+_15・盲ろう)),0)*(1+_15・区４)),0)+ROUND((ROUND((ROUND((ROUND((ROUND((_15_同援日２．０＿０．５*_15・基礎２),0)*_15・２人),0)*(1+_15・B夜間)),0)*(1+_15・盲ろう)),0)*(1+_15・区４)),0)</f>
        <v>914</v>
      </c>
      <c r="AF318" s="48"/>
    </row>
    <row r="319" spans="1:32" ht="16.5" customHeight="1" x14ac:dyDescent="0.15">
      <c r="A319" s="41">
        <v>15</v>
      </c>
      <c r="B319" s="41">
        <v>9871</v>
      </c>
      <c r="C319" s="74" t="s">
        <v>19869</v>
      </c>
      <c r="D319" s="72"/>
      <c r="F319" s="57"/>
      <c r="G319" s="114" t="s">
        <v>19578</v>
      </c>
      <c r="H319" s="49"/>
      <c r="I319" s="115"/>
      <c r="J319" s="114"/>
      <c r="K319" s="49"/>
      <c r="L319" s="49"/>
      <c r="M319" s="49"/>
      <c r="N319" s="49"/>
      <c r="O319" s="251"/>
      <c r="P319" s="163"/>
      <c r="Q319" s="45"/>
      <c r="R319" s="46"/>
      <c r="S319" s="512"/>
      <c r="V319" s="57"/>
      <c r="W319" s="53"/>
      <c r="X319" s="49"/>
      <c r="Y319" s="50"/>
      <c r="Z319" s="115"/>
      <c r="AA319" s="53"/>
      <c r="AB319" s="49"/>
      <c r="AC319" s="50"/>
      <c r="AD319" s="115"/>
      <c r="AE319" s="208">
        <f>_15_同援日２．０+ROUND((_15_同援日２．０＿１．０*(1+_15・B夜間)),0)</f>
        <v>661</v>
      </c>
      <c r="AF319" s="48"/>
    </row>
    <row r="320" spans="1:32" ht="16.5" customHeight="1" x14ac:dyDescent="0.15">
      <c r="A320" s="41">
        <v>15</v>
      </c>
      <c r="B320" s="41">
        <v>9872</v>
      </c>
      <c r="C320" s="74" t="s">
        <v>19870</v>
      </c>
      <c r="D320" s="72"/>
      <c r="F320" s="57"/>
      <c r="G320" s="72" t="s">
        <v>17589</v>
      </c>
      <c r="I320" s="57"/>
      <c r="J320" s="122"/>
      <c r="K320" s="37"/>
      <c r="L320" s="37"/>
      <c r="M320" s="37"/>
      <c r="N320" s="37"/>
      <c r="O320" s="244"/>
      <c r="P320" s="521" t="s">
        <v>17556</v>
      </c>
      <c r="Q320" s="45" t="s">
        <v>398</v>
      </c>
      <c r="R320" s="46">
        <v>1</v>
      </c>
      <c r="S320" s="512"/>
      <c r="V320" s="57"/>
      <c r="W320" s="35"/>
      <c r="Z320" s="57"/>
      <c r="AA320" s="35"/>
      <c r="AD320" s="57"/>
      <c r="AE320" s="208">
        <f>ROUND((_15_同援日２．０*_15・２人),0)+ROUND((ROUND((_15_同援日２．０＿１．０*_15・２人),0)*(1+_15・B夜間)),0)</f>
        <v>661</v>
      </c>
      <c r="AF320" s="48"/>
    </row>
    <row r="321" spans="1:32" ht="16.5" customHeight="1" x14ac:dyDescent="0.15">
      <c r="A321" s="41">
        <v>15</v>
      </c>
      <c r="B321" s="41">
        <v>9873</v>
      </c>
      <c r="C321" s="74" t="s">
        <v>19871</v>
      </c>
      <c r="D321" s="72"/>
      <c r="F321" s="57"/>
      <c r="G321" s="72" t="s">
        <v>17591</v>
      </c>
      <c r="I321" s="57"/>
      <c r="J321" s="114" t="s">
        <v>678</v>
      </c>
      <c r="K321" s="49"/>
      <c r="L321" s="49"/>
      <c r="M321" s="49"/>
      <c r="N321" s="49"/>
      <c r="O321" s="251"/>
      <c r="P321" s="163"/>
      <c r="Q321" s="45"/>
      <c r="R321" s="46"/>
      <c r="S321" s="512"/>
      <c r="V321" s="57"/>
      <c r="W321" s="35"/>
      <c r="Z321" s="57"/>
      <c r="AA321" s="35"/>
      <c r="AD321" s="57"/>
      <c r="AE321" s="208">
        <f>ROUND((_15_同援日２．０*_15・基礎２),0)+ROUND((ROUND((_15_同援日２．０＿１．０*_15・基礎２),0)*(1+_15・B夜間)),0)</f>
        <v>594</v>
      </c>
      <c r="AF321" s="48"/>
    </row>
    <row r="322" spans="1:32" ht="16.5" customHeight="1" x14ac:dyDescent="0.15">
      <c r="A322" s="41">
        <v>15</v>
      </c>
      <c r="B322" s="41">
        <v>9874</v>
      </c>
      <c r="C322" s="74" t="s">
        <v>19872</v>
      </c>
      <c r="D322" s="72"/>
      <c r="F322" s="57"/>
      <c r="G322" s="72"/>
      <c r="H322" s="168">
        <f>_15_同援日２．０＿１．０</f>
        <v>130</v>
      </c>
      <c r="I322" s="57" t="s">
        <v>392</v>
      </c>
      <c r="J322" s="122"/>
      <c r="K322" s="37"/>
      <c r="L322" s="37"/>
      <c r="M322" s="37"/>
      <c r="N322" s="37" t="s">
        <v>398</v>
      </c>
      <c r="O322" s="244">
        <v>0.9</v>
      </c>
      <c r="P322" s="521" t="s">
        <v>17556</v>
      </c>
      <c r="Q322" s="45" t="s">
        <v>398</v>
      </c>
      <c r="R322" s="46">
        <v>1</v>
      </c>
      <c r="S322" s="512"/>
      <c r="V322" s="57"/>
      <c r="W322" s="43"/>
      <c r="X322" s="37"/>
      <c r="Y322" s="38"/>
      <c r="Z322" s="79"/>
      <c r="AA322" s="35"/>
      <c r="AD322" s="57"/>
      <c r="AE322" s="208">
        <f>ROUND((ROUND((_15_同援日２．０*_15・基礎２),0)*_15・２人),0)+ROUND((ROUND((ROUND((_15_同援日２．０＿１．０*_15・基礎２),0)*_15・２人),0)*(1+_15・B夜間)),0)</f>
        <v>594</v>
      </c>
      <c r="AF322" s="48"/>
    </row>
    <row r="323" spans="1:32" ht="16.5" customHeight="1" x14ac:dyDescent="0.15">
      <c r="A323" s="41">
        <v>15</v>
      </c>
      <c r="B323" s="41">
        <v>9875</v>
      </c>
      <c r="C323" s="74" t="s">
        <v>19873</v>
      </c>
      <c r="D323" s="72"/>
      <c r="F323" s="57"/>
      <c r="G323" s="72"/>
      <c r="I323" s="57"/>
      <c r="J323" s="114"/>
      <c r="K323" s="49"/>
      <c r="L323" s="49"/>
      <c r="M323" s="49"/>
      <c r="N323" s="49"/>
      <c r="O323" s="251"/>
      <c r="P323" s="163"/>
      <c r="Q323" s="45"/>
      <c r="R323" s="46"/>
      <c r="S323" s="512"/>
      <c r="V323" s="57"/>
      <c r="W323" s="116" t="s">
        <v>17562</v>
      </c>
      <c r="X323" s="49"/>
      <c r="Y323" s="50"/>
      <c r="Z323" s="115"/>
      <c r="AA323" s="35"/>
      <c r="AD323" s="57"/>
      <c r="AE323" s="208">
        <f>ROUND((_15_同援日２．０*(1+_15・盲ろう)),0)+ROUND((ROUND((_15_同援日２．０＿１．０*(1+_15・B夜間)),0)*(1+_15・盲ろう)),0)</f>
        <v>827</v>
      </c>
      <c r="AF323" s="48"/>
    </row>
    <row r="324" spans="1:32" ht="16.5" customHeight="1" x14ac:dyDescent="0.15">
      <c r="A324" s="41">
        <v>15</v>
      </c>
      <c r="B324" s="41">
        <v>9876</v>
      </c>
      <c r="C324" s="74" t="s">
        <v>19874</v>
      </c>
      <c r="D324" s="72"/>
      <c r="F324" s="57"/>
      <c r="G324" s="72"/>
      <c r="I324" s="57"/>
      <c r="J324" s="122"/>
      <c r="K324" s="37"/>
      <c r="L324" s="37"/>
      <c r="M324" s="37"/>
      <c r="N324" s="37"/>
      <c r="O324" s="244"/>
      <c r="P324" s="521" t="s">
        <v>17556</v>
      </c>
      <c r="Q324" s="45" t="s">
        <v>398</v>
      </c>
      <c r="R324" s="46">
        <v>1</v>
      </c>
      <c r="S324" s="512"/>
      <c r="V324" s="57"/>
      <c r="W324" s="92" t="s">
        <v>17564</v>
      </c>
      <c r="Z324" s="57"/>
      <c r="AA324" s="35"/>
      <c r="AD324" s="57"/>
      <c r="AE324" s="208">
        <f>ROUND((ROUND((_15_同援日２．０*_15・２人),0)*(1+_15・盲ろう)),0)+ROUND((ROUND((ROUND((_15_同援日２．０＿１．０*_15・２人),0)*(1+_15・B夜間)),0)*(1+_15・盲ろう)),0)</f>
        <v>827</v>
      </c>
      <c r="AF324" s="48"/>
    </row>
    <row r="325" spans="1:32" ht="16.5" customHeight="1" x14ac:dyDescent="0.15">
      <c r="A325" s="41">
        <v>15</v>
      </c>
      <c r="B325" s="41">
        <v>9877</v>
      </c>
      <c r="C325" s="74" t="s">
        <v>19875</v>
      </c>
      <c r="D325" s="72"/>
      <c r="F325" s="57"/>
      <c r="G325" s="72"/>
      <c r="I325" s="57"/>
      <c r="J325" s="114" t="s">
        <v>678</v>
      </c>
      <c r="K325" s="49"/>
      <c r="L325" s="49"/>
      <c r="M325" s="49"/>
      <c r="N325" s="49"/>
      <c r="O325" s="251"/>
      <c r="P325" s="163"/>
      <c r="Q325" s="45"/>
      <c r="R325" s="46"/>
      <c r="S325" s="512"/>
      <c r="V325" s="57"/>
      <c r="W325" s="35"/>
      <c r="X325" s="12" t="s">
        <v>398</v>
      </c>
      <c r="Y325" s="13">
        <v>0.25</v>
      </c>
      <c r="Z325" s="57" t="s">
        <v>3575</v>
      </c>
      <c r="AA325" s="35"/>
      <c r="AD325" s="57"/>
      <c r="AE325" s="208">
        <f>ROUND((ROUND((_15_同援日２．０*_15・基礎２),0)*(1+_15・盲ろう)),0)+ROUND((ROUND((ROUND((_15_同援日２．０＿１．０*_15・基礎２),0)*(1+_15・B夜間)),0)*(1+_15・盲ろう)),0)</f>
        <v>743</v>
      </c>
      <c r="AF325" s="48"/>
    </row>
    <row r="326" spans="1:32" ht="16.5" customHeight="1" x14ac:dyDescent="0.15">
      <c r="A326" s="41">
        <v>15</v>
      </c>
      <c r="B326" s="41">
        <v>9878</v>
      </c>
      <c r="C326" s="74" t="s">
        <v>19876</v>
      </c>
      <c r="D326" s="72"/>
      <c r="F326" s="57"/>
      <c r="G326" s="72"/>
      <c r="I326" s="57"/>
      <c r="J326" s="122"/>
      <c r="K326" s="37"/>
      <c r="L326" s="37"/>
      <c r="M326" s="37"/>
      <c r="N326" s="37" t="s">
        <v>398</v>
      </c>
      <c r="O326" s="244">
        <v>0.9</v>
      </c>
      <c r="P326" s="521" t="s">
        <v>17556</v>
      </c>
      <c r="Q326" s="45" t="s">
        <v>398</v>
      </c>
      <c r="R326" s="46">
        <v>1</v>
      </c>
      <c r="S326" s="512"/>
      <c r="V326" s="57"/>
      <c r="W326" s="43"/>
      <c r="X326" s="37"/>
      <c r="Y326" s="38"/>
      <c r="Z326" s="79"/>
      <c r="AA326" s="43"/>
      <c r="AB326" s="37"/>
      <c r="AC326" s="38"/>
      <c r="AD326" s="79"/>
      <c r="AE326" s="208">
        <f>ROUND((ROUND((ROUND((_15_同援日２．０*_15・基礎２),0)*_15・２人),0)*(1+_15・盲ろう)),0)+ROUND((ROUND((ROUND((ROUND((_15_同援日２．０＿１．０*_15・基礎２),0)*_15・２人),0)*(1+_15・B夜間)),0)*(1+_15・盲ろう)),0)</f>
        <v>743</v>
      </c>
      <c r="AF326" s="48"/>
    </row>
    <row r="327" spans="1:32" ht="16.5" customHeight="1" x14ac:dyDescent="0.15">
      <c r="A327" s="41">
        <v>15</v>
      </c>
      <c r="B327" s="41">
        <v>9879</v>
      </c>
      <c r="C327" s="74" t="s">
        <v>19877</v>
      </c>
      <c r="D327" s="72"/>
      <c r="F327" s="57"/>
      <c r="G327" s="72"/>
      <c r="I327" s="57"/>
      <c r="J327" s="114"/>
      <c r="K327" s="49"/>
      <c r="L327" s="49"/>
      <c r="M327" s="49"/>
      <c r="N327" s="49"/>
      <c r="O327" s="251"/>
      <c r="P327" s="163"/>
      <c r="Q327" s="45"/>
      <c r="R327" s="46"/>
      <c r="S327" s="512"/>
      <c r="V327" s="57"/>
      <c r="W327" s="53"/>
      <c r="X327" s="49"/>
      <c r="Y327" s="50"/>
      <c r="Z327" s="115"/>
      <c r="AA327" s="53"/>
      <c r="AB327" s="49"/>
      <c r="AC327" s="50"/>
      <c r="AD327" s="115"/>
      <c r="AE327" s="208">
        <f>ROUND((_15_同援日２．０*(1+_15・区３)),0)+ROUND((ROUND((_15_同援日２．０＿１．０*(1+_15・B夜間)),0)*(1+_15・区３)),0)</f>
        <v>794</v>
      </c>
      <c r="AF327" s="48"/>
    </row>
    <row r="328" spans="1:32" ht="16.5" customHeight="1" x14ac:dyDescent="0.15">
      <c r="A328" s="41">
        <v>15</v>
      </c>
      <c r="B328" s="41">
        <v>9880</v>
      </c>
      <c r="C328" s="74" t="s">
        <v>19878</v>
      </c>
      <c r="D328" s="72"/>
      <c r="F328" s="57"/>
      <c r="G328" s="72"/>
      <c r="I328" s="57"/>
      <c r="J328" s="122"/>
      <c r="K328" s="37"/>
      <c r="L328" s="37"/>
      <c r="M328" s="37"/>
      <c r="N328" s="37"/>
      <c r="O328" s="244"/>
      <c r="P328" s="521" t="s">
        <v>17556</v>
      </c>
      <c r="Q328" s="45" t="s">
        <v>398</v>
      </c>
      <c r="R328" s="46">
        <v>1</v>
      </c>
      <c r="S328" s="512"/>
      <c r="V328" s="57"/>
      <c r="W328" s="35"/>
      <c r="Z328" s="57"/>
      <c r="AA328" s="35"/>
      <c r="AD328" s="57"/>
      <c r="AE328" s="208">
        <f>ROUND((ROUND((_15_同援日２．０*_15・２人),0)*(1+_15・区３)),0)+ROUND((ROUND((ROUND((_15_同援日２．０＿１．０*_15・２人),0)*(1+_15・B夜間)),0)*(1+_15・区３)),0)</f>
        <v>794</v>
      </c>
      <c r="AF328" s="48"/>
    </row>
    <row r="329" spans="1:32" ht="16.5" customHeight="1" x14ac:dyDescent="0.15">
      <c r="A329" s="41">
        <v>15</v>
      </c>
      <c r="B329" s="41">
        <v>9881</v>
      </c>
      <c r="C329" s="74" t="s">
        <v>19879</v>
      </c>
      <c r="D329" s="72"/>
      <c r="F329" s="57"/>
      <c r="G329" s="72"/>
      <c r="I329" s="57"/>
      <c r="J329" s="114" t="s">
        <v>678</v>
      </c>
      <c r="K329" s="49"/>
      <c r="L329" s="49"/>
      <c r="M329" s="49"/>
      <c r="N329" s="49"/>
      <c r="O329" s="251"/>
      <c r="P329" s="163"/>
      <c r="Q329" s="45"/>
      <c r="R329" s="46"/>
      <c r="S329" s="512"/>
      <c r="V329" s="57"/>
      <c r="W329" s="35"/>
      <c r="Z329" s="57"/>
      <c r="AA329" s="72" t="s">
        <v>17570</v>
      </c>
      <c r="AD329" s="57"/>
      <c r="AE329" s="208">
        <f>ROUND((ROUND((_15_同援日２．０*_15・基礎２),0)*(1+_15・区３)),0)+ROUND((ROUND((ROUND((_15_同援日２．０＿１．０*_15・基礎２),0)*(1+_15・B夜間)),0)*(1+_15・区３)),0)</f>
        <v>713</v>
      </c>
      <c r="AF329" s="48"/>
    </row>
    <row r="330" spans="1:32" ht="16.5" customHeight="1" x14ac:dyDescent="0.15">
      <c r="A330" s="41">
        <v>15</v>
      </c>
      <c r="B330" s="41">
        <v>9882</v>
      </c>
      <c r="C330" s="74" t="s">
        <v>19880</v>
      </c>
      <c r="D330" s="72"/>
      <c r="F330" s="57"/>
      <c r="G330" s="72"/>
      <c r="I330" s="57"/>
      <c r="J330" s="122"/>
      <c r="K330" s="37"/>
      <c r="L330" s="37"/>
      <c r="M330" s="37"/>
      <c r="N330" s="37" t="s">
        <v>398</v>
      </c>
      <c r="O330" s="244">
        <v>0.9</v>
      </c>
      <c r="P330" s="521" t="s">
        <v>17556</v>
      </c>
      <c r="Q330" s="45" t="s">
        <v>398</v>
      </c>
      <c r="R330" s="46">
        <v>1</v>
      </c>
      <c r="S330" s="512"/>
      <c r="V330" s="57"/>
      <c r="W330" s="43"/>
      <c r="X330" s="37"/>
      <c r="Y330" s="38"/>
      <c r="Z330" s="79"/>
      <c r="AA330" s="72" t="s">
        <v>17572</v>
      </c>
      <c r="AD330" s="57"/>
      <c r="AE330" s="208">
        <f>ROUND((ROUND((ROUND((_15_同援日２．０*_15・基礎２),0)*_15・２人),0)*(1+_15・区３)),0)+ROUND((ROUND((ROUND((ROUND((_15_同援日２．０＿１．０*_15・基礎２),0)*_15・２人),0)*(1+_15・B夜間)),0)*(1+_15・区３)),0)</f>
        <v>713</v>
      </c>
      <c r="AF330" s="48"/>
    </row>
    <row r="331" spans="1:32" ht="16.5" customHeight="1" x14ac:dyDescent="0.15">
      <c r="A331" s="41">
        <v>15</v>
      </c>
      <c r="B331" s="41">
        <v>9883</v>
      </c>
      <c r="C331" s="74" t="s">
        <v>19881</v>
      </c>
      <c r="D331" s="72"/>
      <c r="F331" s="57"/>
      <c r="G331" s="72"/>
      <c r="I331" s="57"/>
      <c r="J331" s="114"/>
      <c r="K331" s="49"/>
      <c r="L331" s="49"/>
      <c r="M331" s="49"/>
      <c r="N331" s="49"/>
      <c r="O331" s="251"/>
      <c r="P331" s="163"/>
      <c r="Q331" s="45"/>
      <c r="R331" s="46"/>
      <c r="S331" s="512"/>
      <c r="V331" s="57"/>
      <c r="W331" s="116" t="s">
        <v>17562</v>
      </c>
      <c r="X331" s="49"/>
      <c r="Y331" s="50"/>
      <c r="Z331" s="115"/>
      <c r="AA331" s="35"/>
      <c r="AB331" s="12" t="s">
        <v>398</v>
      </c>
      <c r="AC331" s="13">
        <v>0.2</v>
      </c>
      <c r="AD331" s="57" t="s">
        <v>3575</v>
      </c>
      <c r="AE331" s="208">
        <f>ROUND((ROUND((_15_同援日２．０*(1+_15・盲ろう)),0)*(1+_15・区３)),0)+ROUND((ROUND((ROUND((_15_同援日２．０＿１．０*(1+_15・B夜間)),0)*(1+_15・盲ろう)),0)*(1+_15・区３)),0)</f>
        <v>993</v>
      </c>
      <c r="AF331" s="48"/>
    </row>
    <row r="332" spans="1:32" ht="16.5" customHeight="1" x14ac:dyDescent="0.15">
      <c r="A332" s="41">
        <v>15</v>
      </c>
      <c r="B332" s="41">
        <v>9884</v>
      </c>
      <c r="C332" s="74" t="s">
        <v>19882</v>
      </c>
      <c r="D332" s="72"/>
      <c r="F332" s="57"/>
      <c r="G332" s="72"/>
      <c r="I332" s="57"/>
      <c r="J332" s="122"/>
      <c r="K332" s="37"/>
      <c r="L332" s="37"/>
      <c r="M332" s="37"/>
      <c r="N332" s="37"/>
      <c r="O332" s="244"/>
      <c r="P332" s="521" t="s">
        <v>17556</v>
      </c>
      <c r="Q332" s="45" t="s">
        <v>398</v>
      </c>
      <c r="R332" s="46">
        <v>1</v>
      </c>
      <c r="S332" s="512"/>
      <c r="V332" s="57"/>
      <c r="W332" s="92" t="s">
        <v>17564</v>
      </c>
      <c r="Z332" s="57"/>
      <c r="AA332" s="35"/>
      <c r="AD332" s="57"/>
      <c r="AE332" s="208">
        <f>ROUND((ROUND((ROUND((_15_同援日２．０*_15・２人),0)*(1+_15・盲ろう)),0)*(1+_15・区３)),0)+ROUND((ROUND((ROUND((ROUND((_15_同援日２．０＿１．０*_15・２人),0)*(1+_15・B夜間)),0)*(1+_15・盲ろう)),0)*(1+_15・区３)),0)</f>
        <v>993</v>
      </c>
      <c r="AF332" s="48"/>
    </row>
    <row r="333" spans="1:32" ht="16.5" customHeight="1" x14ac:dyDescent="0.15">
      <c r="A333" s="41">
        <v>15</v>
      </c>
      <c r="B333" s="41">
        <v>9885</v>
      </c>
      <c r="C333" s="74" t="s">
        <v>19883</v>
      </c>
      <c r="D333" s="72"/>
      <c r="F333" s="57"/>
      <c r="G333" s="72"/>
      <c r="I333" s="57"/>
      <c r="J333" s="114" t="s">
        <v>678</v>
      </c>
      <c r="K333" s="49"/>
      <c r="L333" s="49"/>
      <c r="M333" s="49"/>
      <c r="N333" s="49"/>
      <c r="O333" s="251"/>
      <c r="P333" s="163"/>
      <c r="Q333" s="45"/>
      <c r="R333" s="46"/>
      <c r="S333" s="512"/>
      <c r="V333" s="57"/>
      <c r="W333" s="35"/>
      <c r="X333" s="12" t="s">
        <v>398</v>
      </c>
      <c r="Y333" s="13">
        <v>0.25</v>
      </c>
      <c r="Z333" s="57" t="s">
        <v>3575</v>
      </c>
      <c r="AA333" s="35"/>
      <c r="AD333" s="57"/>
      <c r="AE333" s="208">
        <f>ROUND((ROUND((ROUND((_15_同援日２．０*_15・基礎２),0)*(1+_15・盲ろう)),0)*(1+_15・区３)),0)+ROUND((ROUND((ROUND((ROUND((_15_同援日２．０＿１．０*_15・基礎２),0)*(1+_15・B夜間)),0)*(1+_15・盲ろう)),0)*(1+_15・区３)),0)</f>
        <v>892</v>
      </c>
      <c r="AF333" s="48"/>
    </row>
    <row r="334" spans="1:32" ht="16.5" customHeight="1" x14ac:dyDescent="0.15">
      <c r="A334" s="41">
        <v>15</v>
      </c>
      <c r="B334" s="41">
        <v>9886</v>
      </c>
      <c r="C334" s="74" t="s">
        <v>19884</v>
      </c>
      <c r="D334" s="72"/>
      <c r="F334" s="57"/>
      <c r="G334" s="72"/>
      <c r="I334" s="57"/>
      <c r="J334" s="122"/>
      <c r="K334" s="37"/>
      <c r="L334" s="37"/>
      <c r="M334" s="37"/>
      <c r="N334" s="37" t="s">
        <v>398</v>
      </c>
      <c r="O334" s="244">
        <v>0.9</v>
      </c>
      <c r="P334" s="521" t="s">
        <v>17556</v>
      </c>
      <c r="Q334" s="45" t="s">
        <v>398</v>
      </c>
      <c r="R334" s="46">
        <v>1</v>
      </c>
      <c r="S334" s="512"/>
      <c r="V334" s="57"/>
      <c r="W334" s="43"/>
      <c r="X334" s="37"/>
      <c r="Y334" s="38"/>
      <c r="Z334" s="79"/>
      <c r="AA334" s="43"/>
      <c r="AB334" s="37"/>
      <c r="AC334" s="38"/>
      <c r="AD334" s="79"/>
      <c r="AE334" s="208">
        <f>ROUND((ROUND((ROUND((ROUND((_15_同援日２．０*_15・基礎２),0)*_15・２人),0)*(1+_15・盲ろう)),0)*(1+_15・区３)),0)+ROUND((ROUND((ROUND((ROUND((ROUND((_15_同援日２．０＿１．０*_15・基礎２),0)*_15・２人),0)*(1+_15・B夜間)),0)*(1+_15・盲ろう)),0)*(1+_15・区３)),0)</f>
        <v>892</v>
      </c>
      <c r="AF334" s="48"/>
    </row>
    <row r="335" spans="1:32" ht="16.5" customHeight="1" x14ac:dyDescent="0.15">
      <c r="A335" s="41">
        <v>15</v>
      </c>
      <c r="B335" s="41">
        <v>9887</v>
      </c>
      <c r="C335" s="74" t="s">
        <v>19885</v>
      </c>
      <c r="D335" s="72"/>
      <c r="F335" s="57"/>
      <c r="G335" s="72"/>
      <c r="I335" s="57"/>
      <c r="J335" s="114"/>
      <c r="K335" s="49"/>
      <c r="L335" s="49"/>
      <c r="M335" s="49"/>
      <c r="N335" s="49"/>
      <c r="O335" s="251"/>
      <c r="P335" s="163"/>
      <c r="Q335" s="45"/>
      <c r="R335" s="46"/>
      <c r="S335" s="512"/>
      <c r="V335" s="57"/>
      <c r="W335" s="53"/>
      <c r="X335" s="49"/>
      <c r="Y335" s="50"/>
      <c r="Z335" s="115"/>
      <c r="AA335" s="53"/>
      <c r="AB335" s="49"/>
      <c r="AC335" s="50"/>
      <c r="AD335" s="115"/>
      <c r="AE335" s="208">
        <f>ROUND((_15_同援日２．０*(1+_15・区４)),0)+ROUND((ROUND((_15_同援日２．０＿１．０*(1+_15・B夜間)),0)*(1+_15・区４)),0)</f>
        <v>925</v>
      </c>
      <c r="AF335" s="48"/>
    </row>
    <row r="336" spans="1:32" ht="16.5" customHeight="1" x14ac:dyDescent="0.15">
      <c r="A336" s="41">
        <v>15</v>
      </c>
      <c r="B336" s="41">
        <v>9888</v>
      </c>
      <c r="C336" s="74" t="s">
        <v>19886</v>
      </c>
      <c r="D336" s="72"/>
      <c r="F336" s="57"/>
      <c r="G336" s="72"/>
      <c r="I336" s="57"/>
      <c r="J336" s="122"/>
      <c r="K336" s="37"/>
      <c r="L336" s="37"/>
      <c r="M336" s="37"/>
      <c r="N336" s="37"/>
      <c r="O336" s="244"/>
      <c r="P336" s="521" t="s">
        <v>17556</v>
      </c>
      <c r="Q336" s="45" t="s">
        <v>398</v>
      </c>
      <c r="R336" s="46">
        <v>1</v>
      </c>
      <c r="S336" s="512"/>
      <c r="V336" s="57"/>
      <c r="W336" s="35"/>
      <c r="Z336" s="57"/>
      <c r="AA336" s="35"/>
      <c r="AD336" s="57"/>
      <c r="AE336" s="208">
        <f>ROUND((ROUND((_15_同援日２．０*_15・２人),0)*(1+_15・区４)),0)+ROUND((ROUND((ROUND((_15_同援日２．０＿１．０*_15・２人),0)*(1+_15・B夜間)),0)*(1+_15・区４)),0)</f>
        <v>925</v>
      </c>
      <c r="AF336" s="48"/>
    </row>
    <row r="337" spans="1:32" ht="16.5" customHeight="1" x14ac:dyDescent="0.15">
      <c r="A337" s="41">
        <v>15</v>
      </c>
      <c r="B337" s="41">
        <v>9889</v>
      </c>
      <c r="C337" s="74" t="s">
        <v>19887</v>
      </c>
      <c r="D337" s="72"/>
      <c r="F337" s="57"/>
      <c r="G337" s="72"/>
      <c r="I337" s="57"/>
      <c r="J337" s="114" t="s">
        <v>678</v>
      </c>
      <c r="K337" s="49"/>
      <c r="L337" s="49"/>
      <c r="M337" s="49"/>
      <c r="N337" s="49"/>
      <c r="O337" s="251"/>
      <c r="P337" s="163"/>
      <c r="Q337" s="45"/>
      <c r="R337" s="46"/>
      <c r="S337" s="512"/>
      <c r="V337" s="57"/>
      <c r="W337" s="35"/>
      <c r="Z337" s="57"/>
      <c r="AA337" s="72" t="s">
        <v>17580</v>
      </c>
      <c r="AD337" s="57"/>
      <c r="AE337" s="208">
        <f>ROUND((ROUND((_15_同援日２．０*_15・基礎２),0)*(1+_15・区４)),0)+ROUND((ROUND((ROUND((_15_同援日２．０＿１．０*_15・基礎２),0)*(1+_15・B夜間)),0)*(1+_15・区４)),0)</f>
        <v>831</v>
      </c>
      <c r="AF337" s="48"/>
    </row>
    <row r="338" spans="1:32" ht="16.5" customHeight="1" x14ac:dyDescent="0.15">
      <c r="A338" s="41">
        <v>15</v>
      </c>
      <c r="B338" s="41">
        <v>9890</v>
      </c>
      <c r="C338" s="74" t="s">
        <v>19888</v>
      </c>
      <c r="D338" s="72"/>
      <c r="F338" s="57"/>
      <c r="G338" s="72"/>
      <c r="I338" s="57"/>
      <c r="J338" s="122"/>
      <c r="K338" s="37"/>
      <c r="L338" s="37"/>
      <c r="M338" s="37"/>
      <c r="N338" s="37" t="s">
        <v>398</v>
      </c>
      <c r="O338" s="244">
        <v>0.9</v>
      </c>
      <c r="P338" s="521" t="s">
        <v>17556</v>
      </c>
      <c r="Q338" s="45" t="s">
        <v>398</v>
      </c>
      <c r="R338" s="46">
        <v>1</v>
      </c>
      <c r="S338" s="512"/>
      <c r="V338" s="57"/>
      <c r="W338" s="43"/>
      <c r="X338" s="37"/>
      <c r="Y338" s="38"/>
      <c r="Z338" s="79"/>
      <c r="AA338" s="72" t="s">
        <v>17572</v>
      </c>
      <c r="AD338" s="57"/>
      <c r="AE338" s="208">
        <f>ROUND((ROUND((ROUND((_15_同援日２．０*_15・基礎２),0)*_15・２人),0)*(1+_15・区４)),0)+ROUND((ROUND((ROUND((ROUND((_15_同援日２．０＿１．０*_15・基礎２),0)*_15・２人),0)*(1+_15・B夜間)),0)*(1+_15・区４)),0)</f>
        <v>831</v>
      </c>
      <c r="AF338" s="48"/>
    </row>
    <row r="339" spans="1:32" ht="16.5" customHeight="1" x14ac:dyDescent="0.15">
      <c r="A339" s="41">
        <v>15</v>
      </c>
      <c r="B339" s="41">
        <v>9891</v>
      </c>
      <c r="C339" s="74" t="s">
        <v>19889</v>
      </c>
      <c r="D339" s="72"/>
      <c r="F339" s="57"/>
      <c r="G339" s="72"/>
      <c r="I339" s="57"/>
      <c r="J339" s="114"/>
      <c r="K339" s="49"/>
      <c r="L339" s="49"/>
      <c r="M339" s="49"/>
      <c r="N339" s="49"/>
      <c r="O339" s="251"/>
      <c r="P339" s="163"/>
      <c r="Q339" s="45"/>
      <c r="R339" s="46"/>
      <c r="S339" s="512"/>
      <c r="V339" s="57"/>
      <c r="W339" s="116" t="s">
        <v>17562</v>
      </c>
      <c r="X339" s="49"/>
      <c r="Y339" s="50"/>
      <c r="Z339" s="115"/>
      <c r="AA339" s="35"/>
      <c r="AB339" s="12" t="s">
        <v>398</v>
      </c>
      <c r="AC339" s="13">
        <v>0.4</v>
      </c>
      <c r="AD339" s="57" t="s">
        <v>3575</v>
      </c>
      <c r="AE339" s="208">
        <f>ROUND((ROUND((_15_同援日２．０*(1+_15・盲ろう)),0)*(1+_15・区４)),0)+ROUND((ROUND((ROUND((_15_同援日２．０＿１．０*(1+_15・B夜間)),0)*(1+_15・盲ろう)),0)*(1+_15・区４)),0)</f>
        <v>1158</v>
      </c>
      <c r="AF339" s="48"/>
    </row>
    <row r="340" spans="1:32" ht="16.5" customHeight="1" x14ac:dyDescent="0.15">
      <c r="A340" s="41">
        <v>15</v>
      </c>
      <c r="B340" s="41">
        <v>9892</v>
      </c>
      <c r="C340" s="74" t="s">
        <v>19890</v>
      </c>
      <c r="D340" s="72"/>
      <c r="F340" s="57"/>
      <c r="G340" s="72"/>
      <c r="I340" s="57"/>
      <c r="J340" s="122"/>
      <c r="K340" s="37"/>
      <c r="L340" s="37"/>
      <c r="M340" s="37"/>
      <c r="N340" s="37"/>
      <c r="O340" s="244"/>
      <c r="P340" s="521" t="s">
        <v>17556</v>
      </c>
      <c r="Q340" s="45" t="s">
        <v>398</v>
      </c>
      <c r="R340" s="46">
        <v>1</v>
      </c>
      <c r="S340" s="512"/>
      <c r="V340" s="57"/>
      <c r="W340" s="92" t="s">
        <v>17564</v>
      </c>
      <c r="Z340" s="57"/>
      <c r="AA340" s="35"/>
      <c r="AD340" s="57"/>
      <c r="AE340" s="208">
        <f>ROUND((ROUND((ROUND((_15_同援日２．０*_15・２人),0)*(1+_15・盲ろう)),0)*(1+_15・区４)),0)+ROUND((ROUND((ROUND((ROUND((_15_同援日２．０＿１．０*_15・２人),0)*(1+_15・B夜間)),0)*(1+_15・盲ろう)),0)*(1+_15・区４)),0)</f>
        <v>1158</v>
      </c>
      <c r="AF340" s="48"/>
    </row>
    <row r="341" spans="1:32" ht="16.5" customHeight="1" x14ac:dyDescent="0.15">
      <c r="A341" s="41">
        <v>15</v>
      </c>
      <c r="B341" s="41">
        <v>9893</v>
      </c>
      <c r="C341" s="74" t="s">
        <v>19891</v>
      </c>
      <c r="D341" s="72"/>
      <c r="F341" s="57"/>
      <c r="G341" s="72"/>
      <c r="I341" s="57"/>
      <c r="J341" s="114" t="s">
        <v>678</v>
      </c>
      <c r="K341" s="49"/>
      <c r="L341" s="49"/>
      <c r="M341" s="49"/>
      <c r="N341" s="49"/>
      <c r="O341" s="251"/>
      <c r="P341" s="163"/>
      <c r="Q341" s="45"/>
      <c r="R341" s="46"/>
      <c r="S341" s="512"/>
      <c r="V341" s="57"/>
      <c r="W341" s="35"/>
      <c r="X341" s="12" t="s">
        <v>398</v>
      </c>
      <c r="Y341" s="13">
        <v>0.25</v>
      </c>
      <c r="Z341" s="57" t="s">
        <v>3575</v>
      </c>
      <c r="AA341" s="35"/>
      <c r="AD341" s="57"/>
      <c r="AE341" s="208">
        <f>ROUND((ROUND((ROUND((_15_同援日２．０*_15・基礎２),0)*(1+_15・盲ろう)),0)*(1+_15・区４)),0)+ROUND((ROUND((ROUND((ROUND((_15_同援日２．０＿１．０*_15・基礎２),0)*(1+_15・B夜間)),0)*(1+_15・盲ろう)),0)*(1+_15・区４)),0)</f>
        <v>1040</v>
      </c>
      <c r="AF341" s="48"/>
    </row>
    <row r="342" spans="1:32" ht="16.5" customHeight="1" x14ac:dyDescent="0.15">
      <c r="A342" s="41">
        <v>15</v>
      </c>
      <c r="B342" s="41">
        <v>9894</v>
      </c>
      <c r="C342" s="74" t="s">
        <v>19892</v>
      </c>
      <c r="D342" s="122"/>
      <c r="E342" s="37"/>
      <c r="F342" s="79"/>
      <c r="G342" s="122"/>
      <c r="H342" s="37"/>
      <c r="I342" s="79"/>
      <c r="J342" s="122"/>
      <c r="K342" s="37"/>
      <c r="L342" s="37"/>
      <c r="M342" s="37"/>
      <c r="N342" s="37" t="s">
        <v>398</v>
      </c>
      <c r="O342" s="244">
        <v>0.9</v>
      </c>
      <c r="P342" s="521" t="s">
        <v>17556</v>
      </c>
      <c r="Q342" s="45" t="s">
        <v>398</v>
      </c>
      <c r="R342" s="46">
        <v>1</v>
      </c>
      <c r="S342" s="512"/>
      <c r="V342" s="57"/>
      <c r="W342" s="43"/>
      <c r="X342" s="37"/>
      <c r="Y342" s="38"/>
      <c r="Z342" s="79"/>
      <c r="AA342" s="43"/>
      <c r="AB342" s="37"/>
      <c r="AC342" s="38"/>
      <c r="AD342" s="79"/>
      <c r="AE342" s="208">
        <f>ROUND((ROUND((ROUND((ROUND((_15_同援日２．０*_15・基礎２),0)*_15・２人),0)*(1+_15・盲ろう)),0)*(1+_15・区４)),0)+ROUND((ROUND((ROUND((ROUND((ROUND((_15_同援日２．０＿１．０*_15・基礎２),0)*_15・２人),0)*(1+_15・B夜間)),0)*(1+_15・盲ろう)),0)*(1+_15・区４)),0)</f>
        <v>1040</v>
      </c>
      <c r="AF342" s="48"/>
    </row>
    <row r="343" spans="1:32" ht="16.5" customHeight="1" x14ac:dyDescent="0.15">
      <c r="A343" s="41">
        <v>15</v>
      </c>
      <c r="B343" s="41">
        <v>9895</v>
      </c>
      <c r="C343" s="74" t="s">
        <v>19893</v>
      </c>
      <c r="D343" s="114" t="s">
        <v>17668</v>
      </c>
      <c r="E343" s="49"/>
      <c r="F343" s="115"/>
      <c r="G343" s="114" t="s">
        <v>19553</v>
      </c>
      <c r="H343" s="49"/>
      <c r="I343" s="115"/>
      <c r="J343" s="114"/>
      <c r="K343" s="49"/>
      <c r="L343" s="49"/>
      <c r="M343" s="49"/>
      <c r="N343" s="49"/>
      <c r="O343" s="251"/>
      <c r="P343" s="163"/>
      <c r="Q343" s="45"/>
      <c r="R343" s="46"/>
      <c r="S343" s="512"/>
      <c r="V343" s="57"/>
      <c r="W343" s="53"/>
      <c r="X343" s="49"/>
      <c r="Y343" s="50"/>
      <c r="Z343" s="115"/>
      <c r="AA343" s="53"/>
      <c r="AB343" s="49"/>
      <c r="AC343" s="50"/>
      <c r="AD343" s="115"/>
      <c r="AE343" s="208">
        <f>_15_同援日２．５+ROUND((_15_同援日２．５＿０．５*(1+_15・B夜間)),0)</f>
        <v>644</v>
      </c>
      <c r="AF343" s="48"/>
    </row>
    <row r="344" spans="1:32" ht="16.5" customHeight="1" x14ac:dyDescent="0.15">
      <c r="A344" s="41">
        <v>15</v>
      </c>
      <c r="B344" s="41">
        <v>9896</v>
      </c>
      <c r="C344" s="74" t="s">
        <v>19894</v>
      </c>
      <c r="D344" s="72" t="s">
        <v>17670</v>
      </c>
      <c r="F344" s="57"/>
      <c r="G344" s="72" t="s">
        <v>18259</v>
      </c>
      <c r="I344" s="57"/>
      <c r="J344" s="122"/>
      <c r="K344" s="37"/>
      <c r="L344" s="37"/>
      <c r="M344" s="37"/>
      <c r="N344" s="37"/>
      <c r="O344" s="244"/>
      <c r="P344" s="521" t="s">
        <v>17556</v>
      </c>
      <c r="Q344" s="45" t="s">
        <v>398</v>
      </c>
      <c r="R344" s="46">
        <v>1</v>
      </c>
      <c r="S344" s="512"/>
      <c r="V344" s="57"/>
      <c r="W344" s="35"/>
      <c r="Z344" s="57"/>
      <c r="AA344" s="35"/>
      <c r="AD344" s="57"/>
      <c r="AE344" s="208">
        <f>ROUND((_15_同援日２．５*_15・２人),0)+ROUND((ROUND((_15_同援日２．５＿０．５*_15・２人),0)*(1+_15・B夜間)),0)</f>
        <v>644</v>
      </c>
      <c r="AF344" s="48"/>
    </row>
    <row r="345" spans="1:32" ht="16.5" customHeight="1" x14ac:dyDescent="0.15">
      <c r="A345" s="41">
        <v>15</v>
      </c>
      <c r="B345" s="41">
        <v>9897</v>
      </c>
      <c r="C345" s="74" t="s">
        <v>19895</v>
      </c>
      <c r="D345" s="72" t="s">
        <v>17672</v>
      </c>
      <c r="F345" s="57"/>
      <c r="G345" s="72"/>
      <c r="I345" s="57"/>
      <c r="J345" s="114" t="s">
        <v>678</v>
      </c>
      <c r="K345" s="49"/>
      <c r="L345" s="49"/>
      <c r="M345" s="49"/>
      <c r="N345" s="49"/>
      <c r="O345" s="251"/>
      <c r="P345" s="163"/>
      <c r="Q345" s="45"/>
      <c r="R345" s="46"/>
      <c r="S345" s="512"/>
      <c r="V345" s="57"/>
      <c r="W345" s="35"/>
      <c r="Z345" s="57"/>
      <c r="AA345" s="35"/>
      <c r="AD345" s="57"/>
      <c r="AE345" s="208">
        <f>ROUND((_15_同援日２．５*_15・基礎２),0)+ROUND((ROUND((_15_同援日２．５＿０．５*_15・基礎２),0)*(1+_15・B夜間)),0)</f>
        <v>581</v>
      </c>
      <c r="AF345" s="48"/>
    </row>
    <row r="346" spans="1:32" ht="16.5" customHeight="1" x14ac:dyDescent="0.15">
      <c r="A346" s="41">
        <v>15</v>
      </c>
      <c r="B346" s="41">
        <v>9898</v>
      </c>
      <c r="C346" s="74" t="s">
        <v>19896</v>
      </c>
      <c r="D346" s="72"/>
      <c r="E346" s="168">
        <f>_15_同援日２．５</f>
        <v>563</v>
      </c>
      <c r="F346" s="57" t="s">
        <v>392</v>
      </c>
      <c r="G346" s="72"/>
      <c r="H346" s="168">
        <f>_15_同援日２．５＿０．５</f>
        <v>65</v>
      </c>
      <c r="I346" s="57" t="s">
        <v>392</v>
      </c>
      <c r="J346" s="122"/>
      <c r="K346" s="37"/>
      <c r="L346" s="37"/>
      <c r="M346" s="37"/>
      <c r="N346" s="37" t="s">
        <v>398</v>
      </c>
      <c r="O346" s="244">
        <v>0.9</v>
      </c>
      <c r="P346" s="521" t="s">
        <v>17556</v>
      </c>
      <c r="Q346" s="45" t="s">
        <v>398</v>
      </c>
      <c r="R346" s="46">
        <v>1</v>
      </c>
      <c r="S346" s="512"/>
      <c r="V346" s="57"/>
      <c r="W346" s="43"/>
      <c r="X346" s="37"/>
      <c r="Y346" s="38"/>
      <c r="Z346" s="79"/>
      <c r="AA346" s="35"/>
      <c r="AD346" s="57"/>
      <c r="AE346" s="208">
        <f>ROUND((ROUND((_15_同援日２．５*_15・基礎２),0)*_15・２人),0)+ROUND((ROUND((ROUND((_15_同援日２．５＿０．５*_15・基礎２),0)*_15・２人),0)*(1+_15・B夜間)),0)</f>
        <v>581</v>
      </c>
      <c r="AF346" s="48"/>
    </row>
    <row r="347" spans="1:32" ht="16.5" customHeight="1" x14ac:dyDescent="0.15">
      <c r="A347" s="41">
        <v>15</v>
      </c>
      <c r="B347" s="41">
        <v>9899</v>
      </c>
      <c r="C347" s="74" t="s">
        <v>19897</v>
      </c>
      <c r="D347" s="72"/>
      <c r="F347" s="57"/>
      <c r="G347" s="72"/>
      <c r="I347" s="57"/>
      <c r="J347" s="114"/>
      <c r="K347" s="49"/>
      <c r="L347" s="49"/>
      <c r="M347" s="49"/>
      <c r="N347" s="49"/>
      <c r="O347" s="251"/>
      <c r="P347" s="163"/>
      <c r="Q347" s="45"/>
      <c r="R347" s="46"/>
      <c r="S347" s="512"/>
      <c r="V347" s="57"/>
      <c r="W347" s="116" t="s">
        <v>17562</v>
      </c>
      <c r="X347" s="49"/>
      <c r="Y347" s="50"/>
      <c r="Z347" s="115"/>
      <c r="AA347" s="35"/>
      <c r="AD347" s="57"/>
      <c r="AE347" s="208">
        <f>ROUND((_15_同援日２．５*(1+_15・盲ろう)),0)+ROUND((ROUND((_15_同援日２．５＿０．５*(1+_15・B夜間)),0)*(1+_15・盲ろう)),0)</f>
        <v>805</v>
      </c>
      <c r="AF347" s="48"/>
    </row>
    <row r="348" spans="1:32" ht="16.5" customHeight="1" x14ac:dyDescent="0.15">
      <c r="A348" s="41">
        <v>15</v>
      </c>
      <c r="B348" s="41">
        <v>9900</v>
      </c>
      <c r="C348" s="74" t="s">
        <v>19898</v>
      </c>
      <c r="D348" s="72"/>
      <c r="F348" s="57"/>
      <c r="G348" s="72"/>
      <c r="I348" s="57"/>
      <c r="J348" s="122"/>
      <c r="K348" s="37"/>
      <c r="L348" s="37"/>
      <c r="M348" s="37"/>
      <c r="N348" s="37"/>
      <c r="O348" s="244"/>
      <c r="P348" s="521" t="s">
        <v>17556</v>
      </c>
      <c r="Q348" s="45" t="s">
        <v>398</v>
      </c>
      <c r="R348" s="46">
        <v>1</v>
      </c>
      <c r="S348" s="512"/>
      <c r="V348" s="57"/>
      <c r="W348" s="92" t="s">
        <v>17564</v>
      </c>
      <c r="Z348" s="57"/>
      <c r="AA348" s="35"/>
      <c r="AD348" s="57"/>
      <c r="AE348" s="208">
        <f>ROUND((ROUND((_15_同援日２．５*_15・２人),0)*(1+_15・盲ろう)),0)+ROUND((ROUND((ROUND((_15_同援日２．５＿０．５*_15・２人),0)*(1+_15・B夜間)),0)*(1+_15・盲ろう)),0)</f>
        <v>805</v>
      </c>
      <c r="AF348" s="48"/>
    </row>
    <row r="349" spans="1:32" ht="16.5" customHeight="1" x14ac:dyDescent="0.15">
      <c r="A349" s="41">
        <v>15</v>
      </c>
      <c r="B349" s="41">
        <v>9901</v>
      </c>
      <c r="C349" s="74" t="s">
        <v>19899</v>
      </c>
      <c r="D349" s="72"/>
      <c r="F349" s="57"/>
      <c r="G349" s="72"/>
      <c r="I349" s="57"/>
      <c r="J349" s="114" t="s">
        <v>678</v>
      </c>
      <c r="K349" s="49"/>
      <c r="L349" s="49"/>
      <c r="M349" s="49"/>
      <c r="N349" s="49"/>
      <c r="O349" s="251"/>
      <c r="P349" s="163"/>
      <c r="Q349" s="45"/>
      <c r="R349" s="46"/>
      <c r="S349" s="512"/>
      <c r="V349" s="57"/>
      <c r="W349" s="35"/>
      <c r="X349" s="12" t="s">
        <v>398</v>
      </c>
      <c r="Y349" s="13">
        <v>0.25</v>
      </c>
      <c r="Z349" s="57" t="s">
        <v>3575</v>
      </c>
      <c r="AA349" s="35"/>
      <c r="AD349" s="57"/>
      <c r="AE349" s="208">
        <f>ROUND((ROUND((_15_同援日２．５*_15・基礎２),0)*(1+_15・盲ろう)),0)+ROUND((ROUND((ROUND((_15_同援日２．５＿０．５*_15・基礎２),0)*(1+_15・B夜間)),0)*(1+_15・盲ろう)),0)</f>
        <v>727</v>
      </c>
      <c r="AF349" s="48"/>
    </row>
    <row r="350" spans="1:32" ht="16.5" customHeight="1" x14ac:dyDescent="0.15">
      <c r="A350" s="41">
        <v>15</v>
      </c>
      <c r="B350" s="41">
        <v>9902</v>
      </c>
      <c r="C350" s="74" t="s">
        <v>19900</v>
      </c>
      <c r="D350" s="72"/>
      <c r="F350" s="57"/>
      <c r="G350" s="72"/>
      <c r="I350" s="57"/>
      <c r="J350" s="122"/>
      <c r="K350" s="37"/>
      <c r="L350" s="37"/>
      <c r="M350" s="37"/>
      <c r="N350" s="37" t="s">
        <v>398</v>
      </c>
      <c r="O350" s="244">
        <v>0.9</v>
      </c>
      <c r="P350" s="521" t="s">
        <v>17556</v>
      </c>
      <c r="Q350" s="45" t="s">
        <v>398</v>
      </c>
      <c r="R350" s="46">
        <v>1</v>
      </c>
      <c r="S350" s="512"/>
      <c r="V350" s="57"/>
      <c r="W350" s="43"/>
      <c r="X350" s="37"/>
      <c r="Y350" s="38"/>
      <c r="Z350" s="79"/>
      <c r="AA350" s="43"/>
      <c r="AB350" s="37"/>
      <c r="AC350" s="38"/>
      <c r="AD350" s="79"/>
      <c r="AE350" s="208">
        <f>ROUND((ROUND((ROUND((_15_同援日２．５*_15・基礎２),0)*_15・２人),0)*(1+_15・盲ろう)),0)+ROUND((ROUND((ROUND((ROUND((_15_同援日２．５＿０．５*_15・基礎２),0)*_15・２人),0)*(1+_15・B夜間)),0)*(1+_15・盲ろう)),0)</f>
        <v>727</v>
      </c>
      <c r="AF350" s="48"/>
    </row>
    <row r="351" spans="1:32" ht="16.5" customHeight="1" x14ac:dyDescent="0.15">
      <c r="A351" s="41">
        <v>15</v>
      </c>
      <c r="B351" s="41">
        <v>9903</v>
      </c>
      <c r="C351" s="74" t="s">
        <v>19901</v>
      </c>
      <c r="D351" s="72"/>
      <c r="F351" s="57"/>
      <c r="G351" s="72"/>
      <c r="I351" s="57"/>
      <c r="J351" s="114"/>
      <c r="K351" s="49"/>
      <c r="L351" s="49"/>
      <c r="M351" s="49"/>
      <c r="N351" s="49"/>
      <c r="O351" s="251"/>
      <c r="P351" s="163"/>
      <c r="Q351" s="45"/>
      <c r="R351" s="46"/>
      <c r="S351" s="512"/>
      <c r="V351" s="57"/>
      <c r="W351" s="53"/>
      <c r="X351" s="49"/>
      <c r="Y351" s="50"/>
      <c r="Z351" s="115"/>
      <c r="AA351" s="53"/>
      <c r="AB351" s="49"/>
      <c r="AC351" s="50"/>
      <c r="AD351" s="115"/>
      <c r="AE351" s="208">
        <f>ROUND((_15_同援日２．５*(1+_15・区３)),0)+ROUND((ROUND((_15_同援日２．５＿０．５*(1+_15・B夜間)),0)*(1+_15・区３)),0)</f>
        <v>773</v>
      </c>
      <c r="AF351" s="48"/>
    </row>
    <row r="352" spans="1:32" ht="16.5" customHeight="1" x14ac:dyDescent="0.15">
      <c r="A352" s="41">
        <v>15</v>
      </c>
      <c r="B352" s="41">
        <v>9904</v>
      </c>
      <c r="C352" s="74" t="s">
        <v>19902</v>
      </c>
      <c r="D352" s="72"/>
      <c r="F352" s="57"/>
      <c r="G352" s="72"/>
      <c r="I352" s="57"/>
      <c r="J352" s="122"/>
      <c r="K352" s="37"/>
      <c r="L352" s="37"/>
      <c r="M352" s="37"/>
      <c r="N352" s="37"/>
      <c r="O352" s="244"/>
      <c r="P352" s="521" t="s">
        <v>17556</v>
      </c>
      <c r="Q352" s="45" t="s">
        <v>398</v>
      </c>
      <c r="R352" s="46">
        <v>1</v>
      </c>
      <c r="S352" s="512"/>
      <c r="V352" s="57"/>
      <c r="W352" s="35"/>
      <c r="Z352" s="57"/>
      <c r="AA352" s="35"/>
      <c r="AD352" s="57"/>
      <c r="AE352" s="208">
        <f>ROUND((ROUND((_15_同援日２．５*_15・２人),0)*(1+_15・区３)),0)+ROUND((ROUND((ROUND((_15_同援日２．５＿０．５*_15・２人),0)*(1+_15・B夜間)),0)*(1+_15・区３)),0)</f>
        <v>773</v>
      </c>
      <c r="AF352" s="48"/>
    </row>
    <row r="353" spans="1:32" ht="16.5" customHeight="1" x14ac:dyDescent="0.15">
      <c r="A353" s="41">
        <v>15</v>
      </c>
      <c r="B353" s="41">
        <v>9905</v>
      </c>
      <c r="C353" s="74" t="s">
        <v>19903</v>
      </c>
      <c r="D353" s="72"/>
      <c r="F353" s="57"/>
      <c r="G353" s="72"/>
      <c r="I353" s="57"/>
      <c r="J353" s="114" t="s">
        <v>678</v>
      </c>
      <c r="K353" s="49"/>
      <c r="L353" s="49"/>
      <c r="M353" s="49"/>
      <c r="N353" s="49"/>
      <c r="O353" s="251"/>
      <c r="P353" s="163"/>
      <c r="Q353" s="45"/>
      <c r="R353" s="46"/>
      <c r="S353" s="512"/>
      <c r="V353" s="57"/>
      <c r="W353" s="35"/>
      <c r="Z353" s="57"/>
      <c r="AA353" s="72" t="s">
        <v>17570</v>
      </c>
      <c r="AD353" s="57"/>
      <c r="AE353" s="208">
        <f>ROUND((ROUND((_15_同援日２．５*_15・基礎２),0)*(1+_15・区３)),0)+ROUND((ROUND((ROUND((_15_同援日２．５＿０．５*_15・基礎２),0)*(1+_15・B夜間)),0)*(1+_15・区３)),0)</f>
        <v>697</v>
      </c>
      <c r="AF353" s="48"/>
    </row>
    <row r="354" spans="1:32" ht="16.5" customHeight="1" x14ac:dyDescent="0.15">
      <c r="A354" s="41">
        <v>15</v>
      </c>
      <c r="B354" s="41">
        <v>9906</v>
      </c>
      <c r="C354" s="74" t="s">
        <v>19904</v>
      </c>
      <c r="D354" s="72"/>
      <c r="F354" s="57"/>
      <c r="G354" s="72"/>
      <c r="I354" s="57"/>
      <c r="J354" s="122"/>
      <c r="K354" s="37"/>
      <c r="L354" s="37"/>
      <c r="M354" s="37"/>
      <c r="N354" s="37" t="s">
        <v>398</v>
      </c>
      <c r="O354" s="244">
        <v>0.9</v>
      </c>
      <c r="P354" s="521" t="s">
        <v>17556</v>
      </c>
      <c r="Q354" s="45" t="s">
        <v>398</v>
      </c>
      <c r="R354" s="46">
        <v>1</v>
      </c>
      <c r="S354" s="512"/>
      <c r="V354" s="57"/>
      <c r="W354" s="43"/>
      <c r="X354" s="37"/>
      <c r="Y354" s="38"/>
      <c r="Z354" s="79"/>
      <c r="AA354" s="72" t="s">
        <v>17572</v>
      </c>
      <c r="AD354" s="57"/>
      <c r="AE354" s="208">
        <f>ROUND((ROUND((ROUND((_15_同援日２．５*_15・基礎２),0)*_15・２人),0)*(1+_15・区３)),0)+ROUND((ROUND((ROUND((ROUND((_15_同援日２．５＿０．５*_15・基礎２),0)*_15・２人),0)*(1+_15・B夜間)),0)*(1+_15・区３)),0)</f>
        <v>697</v>
      </c>
      <c r="AF354" s="48"/>
    </row>
    <row r="355" spans="1:32" ht="16.5" customHeight="1" x14ac:dyDescent="0.15">
      <c r="A355" s="41">
        <v>15</v>
      </c>
      <c r="B355" s="41">
        <v>9907</v>
      </c>
      <c r="C355" s="74" t="s">
        <v>19905</v>
      </c>
      <c r="D355" s="72"/>
      <c r="F355" s="57"/>
      <c r="G355" s="72"/>
      <c r="I355" s="57"/>
      <c r="J355" s="114"/>
      <c r="K355" s="49"/>
      <c r="L355" s="49"/>
      <c r="M355" s="49"/>
      <c r="N355" s="49"/>
      <c r="O355" s="251"/>
      <c r="P355" s="163"/>
      <c r="Q355" s="45"/>
      <c r="R355" s="46"/>
      <c r="S355" s="512"/>
      <c r="V355" s="57"/>
      <c r="W355" s="116" t="s">
        <v>17562</v>
      </c>
      <c r="X355" s="49"/>
      <c r="Y355" s="50"/>
      <c r="Z355" s="115"/>
      <c r="AA355" s="35"/>
      <c r="AB355" s="12" t="s">
        <v>398</v>
      </c>
      <c r="AC355" s="13">
        <v>0.2</v>
      </c>
      <c r="AD355" s="57" t="s">
        <v>3575</v>
      </c>
      <c r="AE355" s="208">
        <f>ROUND((ROUND((_15_同援日２．５*(1+_15・盲ろう)),0)*(1+_15・区３)),0)+ROUND((ROUND((ROUND((_15_同援日２．５＿０．５*(1+_15・B夜間)),0)*(1+_15・盲ろう)),0)*(1+_15・区３)),0)</f>
        <v>966</v>
      </c>
      <c r="AF355" s="48"/>
    </row>
    <row r="356" spans="1:32" ht="16.5" customHeight="1" x14ac:dyDescent="0.15">
      <c r="A356" s="41">
        <v>15</v>
      </c>
      <c r="B356" s="41">
        <v>9908</v>
      </c>
      <c r="C356" s="74" t="s">
        <v>19906</v>
      </c>
      <c r="D356" s="72"/>
      <c r="F356" s="57"/>
      <c r="G356" s="72"/>
      <c r="I356" s="57"/>
      <c r="J356" s="122"/>
      <c r="K356" s="37"/>
      <c r="L356" s="37"/>
      <c r="M356" s="37"/>
      <c r="N356" s="37"/>
      <c r="O356" s="244"/>
      <c r="P356" s="521" t="s">
        <v>17556</v>
      </c>
      <c r="Q356" s="45" t="s">
        <v>398</v>
      </c>
      <c r="R356" s="46">
        <v>1</v>
      </c>
      <c r="S356" s="512"/>
      <c r="V356" s="57"/>
      <c r="W356" s="92" t="s">
        <v>17564</v>
      </c>
      <c r="Z356" s="57"/>
      <c r="AA356" s="35"/>
      <c r="AD356" s="57"/>
      <c r="AE356" s="208">
        <f>ROUND((ROUND((ROUND((_15_同援日２．５*_15・２人),0)*(1+_15・盲ろう)),0)*(1+_15・区３)),0)+ROUND((ROUND((ROUND((ROUND((_15_同援日２．５＿０．５*_15・２人),0)*(1+_15・B夜間)),0)*(1+_15・盲ろう)),0)*(1+_15・区３)),0)</f>
        <v>966</v>
      </c>
      <c r="AF356" s="48"/>
    </row>
    <row r="357" spans="1:32" ht="16.5" customHeight="1" x14ac:dyDescent="0.15">
      <c r="A357" s="41">
        <v>15</v>
      </c>
      <c r="B357" s="41">
        <v>9909</v>
      </c>
      <c r="C357" s="74" t="s">
        <v>19907</v>
      </c>
      <c r="D357" s="72"/>
      <c r="F357" s="57"/>
      <c r="G357" s="72"/>
      <c r="I357" s="57"/>
      <c r="J357" s="114" t="s">
        <v>678</v>
      </c>
      <c r="K357" s="49"/>
      <c r="L357" s="49"/>
      <c r="M357" s="49"/>
      <c r="N357" s="49"/>
      <c r="O357" s="251"/>
      <c r="P357" s="163"/>
      <c r="Q357" s="45"/>
      <c r="R357" s="46"/>
      <c r="S357" s="512"/>
      <c r="V357" s="57"/>
      <c r="W357" s="35"/>
      <c r="X357" s="12" t="s">
        <v>398</v>
      </c>
      <c r="Y357" s="13">
        <v>0.25</v>
      </c>
      <c r="Z357" s="57" t="s">
        <v>3575</v>
      </c>
      <c r="AA357" s="35"/>
      <c r="AD357" s="57"/>
      <c r="AE357" s="208">
        <f>ROUND((ROUND((ROUND((_15_同援日２．５*_15・基礎２),0)*(1+_15・盲ろう)),0)*(1+_15・区３)),0)+ROUND((ROUND((ROUND((ROUND((_15_同援日２．５＿０．５*_15・基礎２),0)*(1+_15・B夜間)),0)*(1+_15・盲ろう)),0)*(1+_15・区３)),0)</f>
        <v>873</v>
      </c>
      <c r="AF357" s="48"/>
    </row>
    <row r="358" spans="1:32" ht="16.5" customHeight="1" x14ac:dyDescent="0.15">
      <c r="A358" s="41">
        <v>15</v>
      </c>
      <c r="B358" s="41">
        <v>9910</v>
      </c>
      <c r="C358" s="74" t="s">
        <v>19908</v>
      </c>
      <c r="D358" s="72"/>
      <c r="F358" s="57"/>
      <c r="G358" s="72"/>
      <c r="I358" s="57"/>
      <c r="J358" s="122"/>
      <c r="K358" s="37"/>
      <c r="L358" s="37"/>
      <c r="M358" s="37"/>
      <c r="N358" s="37" t="s">
        <v>398</v>
      </c>
      <c r="O358" s="244">
        <v>0.9</v>
      </c>
      <c r="P358" s="521" t="s">
        <v>17556</v>
      </c>
      <c r="Q358" s="45" t="s">
        <v>398</v>
      </c>
      <c r="R358" s="46">
        <v>1</v>
      </c>
      <c r="S358" s="512"/>
      <c r="V358" s="57"/>
      <c r="W358" s="43"/>
      <c r="X358" s="37"/>
      <c r="Y358" s="38"/>
      <c r="Z358" s="79"/>
      <c r="AA358" s="43"/>
      <c r="AB358" s="37"/>
      <c r="AC358" s="38"/>
      <c r="AD358" s="79"/>
      <c r="AE358" s="208">
        <f>ROUND((ROUND((ROUND((ROUND((_15_同援日２．５*_15・基礎２),0)*_15・２人),0)*(1+_15・盲ろう)),0)*(1+_15・区３)),0)+ROUND((ROUND((ROUND((ROUND((ROUND((_15_同援日２．５＿０．５*_15・基礎２),0)*_15・２人),0)*(1+_15・B夜間)),0)*(1+_15・盲ろう)),0)*(1+_15・区３)),0)</f>
        <v>873</v>
      </c>
      <c r="AF358" s="48"/>
    </row>
    <row r="359" spans="1:32" ht="16.5" customHeight="1" x14ac:dyDescent="0.15">
      <c r="A359" s="41">
        <v>15</v>
      </c>
      <c r="B359" s="41">
        <v>9911</v>
      </c>
      <c r="C359" s="74" t="s">
        <v>19909</v>
      </c>
      <c r="D359" s="72"/>
      <c r="F359" s="57"/>
      <c r="G359" s="72"/>
      <c r="I359" s="57"/>
      <c r="J359" s="114"/>
      <c r="K359" s="49"/>
      <c r="L359" s="49"/>
      <c r="M359" s="49"/>
      <c r="N359" s="49"/>
      <c r="O359" s="251"/>
      <c r="P359" s="163"/>
      <c r="Q359" s="45"/>
      <c r="R359" s="46"/>
      <c r="S359" s="512"/>
      <c r="V359" s="57"/>
      <c r="W359" s="53"/>
      <c r="X359" s="49"/>
      <c r="Y359" s="50"/>
      <c r="Z359" s="115"/>
      <c r="AA359" s="53"/>
      <c r="AB359" s="49"/>
      <c r="AC359" s="50"/>
      <c r="AD359" s="115"/>
      <c r="AE359" s="208">
        <f>ROUND((_15_同援日２．５*(1+_15・区４)),0)+ROUND((ROUND((_15_同援日２．５＿０．５*(1+_15・B夜間)),0)*(1+_15・区４)),0)</f>
        <v>901</v>
      </c>
      <c r="AF359" s="48"/>
    </row>
    <row r="360" spans="1:32" ht="16.5" customHeight="1" x14ac:dyDescent="0.15">
      <c r="A360" s="41">
        <v>15</v>
      </c>
      <c r="B360" s="41">
        <v>9912</v>
      </c>
      <c r="C360" s="74" t="s">
        <v>19910</v>
      </c>
      <c r="D360" s="72"/>
      <c r="F360" s="57"/>
      <c r="G360" s="72"/>
      <c r="I360" s="57"/>
      <c r="J360" s="122"/>
      <c r="K360" s="37"/>
      <c r="L360" s="37"/>
      <c r="M360" s="37"/>
      <c r="N360" s="37"/>
      <c r="O360" s="244"/>
      <c r="P360" s="521" t="s">
        <v>17556</v>
      </c>
      <c r="Q360" s="45" t="s">
        <v>398</v>
      </c>
      <c r="R360" s="46">
        <v>1</v>
      </c>
      <c r="S360" s="512"/>
      <c r="V360" s="57"/>
      <c r="W360" s="35"/>
      <c r="Z360" s="57"/>
      <c r="AA360" s="35"/>
      <c r="AD360" s="57"/>
      <c r="AE360" s="208">
        <f>ROUND((ROUND((_15_同援日２．５*_15・２人),0)*(1+_15・区４)),0)+ROUND((ROUND((ROUND((_15_同援日２．５＿０．５*_15・２人),0)*(1+_15・B夜間)),0)*(1+_15・区４)),0)</f>
        <v>901</v>
      </c>
      <c r="AF360" s="48"/>
    </row>
    <row r="361" spans="1:32" ht="16.5" customHeight="1" x14ac:dyDescent="0.15">
      <c r="A361" s="41">
        <v>15</v>
      </c>
      <c r="B361" s="41">
        <v>9913</v>
      </c>
      <c r="C361" s="74" t="s">
        <v>19911</v>
      </c>
      <c r="D361" s="72"/>
      <c r="F361" s="57"/>
      <c r="G361" s="72"/>
      <c r="I361" s="57"/>
      <c r="J361" s="114" t="s">
        <v>678</v>
      </c>
      <c r="K361" s="49"/>
      <c r="L361" s="49"/>
      <c r="M361" s="49"/>
      <c r="N361" s="49"/>
      <c r="O361" s="251"/>
      <c r="P361" s="163"/>
      <c r="Q361" s="45"/>
      <c r="R361" s="46"/>
      <c r="S361" s="512"/>
      <c r="V361" s="57"/>
      <c r="W361" s="35"/>
      <c r="Z361" s="57"/>
      <c r="AA361" s="72" t="s">
        <v>17580</v>
      </c>
      <c r="AD361" s="57"/>
      <c r="AE361" s="208">
        <f>ROUND((ROUND((_15_同援日２．５*_15・基礎２),0)*(1+_15・区４)),0)+ROUND((ROUND((ROUND((_15_同援日２．５＿０．５*_15・基礎２),0)*(1+_15・B夜間)),0)*(1+_15・区４)),0)</f>
        <v>814</v>
      </c>
      <c r="AF361" s="48"/>
    </row>
    <row r="362" spans="1:32" ht="16.5" customHeight="1" x14ac:dyDescent="0.15">
      <c r="A362" s="41">
        <v>15</v>
      </c>
      <c r="B362" s="41">
        <v>9914</v>
      </c>
      <c r="C362" s="74" t="s">
        <v>19912</v>
      </c>
      <c r="D362" s="72"/>
      <c r="F362" s="57"/>
      <c r="G362" s="72"/>
      <c r="I362" s="57"/>
      <c r="J362" s="122"/>
      <c r="K362" s="37"/>
      <c r="L362" s="37"/>
      <c r="M362" s="37"/>
      <c r="N362" s="37" t="s">
        <v>398</v>
      </c>
      <c r="O362" s="244">
        <v>0.9</v>
      </c>
      <c r="P362" s="521" t="s">
        <v>17556</v>
      </c>
      <c r="Q362" s="45" t="s">
        <v>398</v>
      </c>
      <c r="R362" s="46">
        <v>1</v>
      </c>
      <c r="S362" s="512"/>
      <c r="V362" s="57"/>
      <c r="W362" s="43"/>
      <c r="X362" s="37"/>
      <c r="Y362" s="38"/>
      <c r="Z362" s="79"/>
      <c r="AA362" s="72" t="s">
        <v>17572</v>
      </c>
      <c r="AD362" s="57"/>
      <c r="AE362" s="208">
        <f>ROUND((ROUND((ROUND((_15_同援日２．５*_15・基礎２),0)*_15・２人),0)*(1+_15・区４)),0)+ROUND((ROUND((ROUND((ROUND((_15_同援日２．５＿０．５*_15・基礎２),0)*_15・２人),0)*(1+_15・B夜間)),0)*(1+_15・区４)),0)</f>
        <v>814</v>
      </c>
      <c r="AF362" s="48"/>
    </row>
    <row r="363" spans="1:32" ht="16.5" customHeight="1" x14ac:dyDescent="0.15">
      <c r="A363" s="41">
        <v>15</v>
      </c>
      <c r="B363" s="41">
        <v>9915</v>
      </c>
      <c r="C363" s="74" t="s">
        <v>19913</v>
      </c>
      <c r="D363" s="72"/>
      <c r="F363" s="57"/>
      <c r="G363" s="72"/>
      <c r="I363" s="57"/>
      <c r="J363" s="114"/>
      <c r="K363" s="49"/>
      <c r="L363" s="49"/>
      <c r="M363" s="49"/>
      <c r="N363" s="49"/>
      <c r="O363" s="251"/>
      <c r="P363" s="163"/>
      <c r="Q363" s="45"/>
      <c r="R363" s="46"/>
      <c r="S363" s="512"/>
      <c r="V363" s="57"/>
      <c r="W363" s="116" t="s">
        <v>17562</v>
      </c>
      <c r="X363" s="49"/>
      <c r="Y363" s="50"/>
      <c r="Z363" s="115"/>
      <c r="AA363" s="35"/>
      <c r="AB363" s="12" t="s">
        <v>398</v>
      </c>
      <c r="AC363" s="13">
        <v>0.4</v>
      </c>
      <c r="AD363" s="57" t="s">
        <v>3575</v>
      </c>
      <c r="AE363" s="208">
        <f>ROUND((ROUND((_15_同援日２．５*(1+_15・盲ろう)),0)*(1+_15・区４)),0)+ROUND((ROUND((ROUND((_15_同援日２．５＿０．５*(1+_15・B夜間)),0)*(1+_15・盲ろう)),0)*(1+_15・区４)),0)</f>
        <v>1127</v>
      </c>
      <c r="AF363" s="48"/>
    </row>
    <row r="364" spans="1:32" ht="16.5" customHeight="1" x14ac:dyDescent="0.15">
      <c r="A364" s="41">
        <v>15</v>
      </c>
      <c r="B364" s="41">
        <v>9916</v>
      </c>
      <c r="C364" s="74" t="s">
        <v>19914</v>
      </c>
      <c r="D364" s="72"/>
      <c r="F364" s="57"/>
      <c r="G364" s="72"/>
      <c r="I364" s="57"/>
      <c r="J364" s="122"/>
      <c r="K364" s="37"/>
      <c r="L364" s="37"/>
      <c r="M364" s="37"/>
      <c r="N364" s="37"/>
      <c r="O364" s="244"/>
      <c r="P364" s="521" t="s">
        <v>17556</v>
      </c>
      <c r="Q364" s="45" t="s">
        <v>398</v>
      </c>
      <c r="R364" s="46">
        <v>1</v>
      </c>
      <c r="S364" s="512"/>
      <c r="V364" s="57"/>
      <c r="W364" s="92" t="s">
        <v>17564</v>
      </c>
      <c r="Z364" s="57"/>
      <c r="AA364" s="35"/>
      <c r="AD364" s="57"/>
      <c r="AE364" s="208">
        <f>ROUND((ROUND((ROUND((_15_同援日２．５*_15・２人),0)*(1+_15・盲ろう)),0)*(1+_15・区４)),0)+ROUND((ROUND((ROUND((ROUND((_15_同援日２．５＿０．５*_15・２人),0)*(1+_15・B夜間)),0)*(1+_15・盲ろう)),0)*(1+_15・区４)),0)</f>
        <v>1127</v>
      </c>
      <c r="AF364" s="48"/>
    </row>
    <row r="365" spans="1:32" ht="16.5" customHeight="1" x14ac:dyDescent="0.15">
      <c r="A365" s="41">
        <v>15</v>
      </c>
      <c r="B365" s="41">
        <v>9917</v>
      </c>
      <c r="C365" s="74" t="s">
        <v>19915</v>
      </c>
      <c r="D365" s="72"/>
      <c r="F365" s="57"/>
      <c r="G365" s="72"/>
      <c r="I365" s="57"/>
      <c r="J365" s="114" t="s">
        <v>678</v>
      </c>
      <c r="K365" s="49"/>
      <c r="L365" s="49"/>
      <c r="M365" s="49"/>
      <c r="N365" s="49"/>
      <c r="O365" s="251"/>
      <c r="P365" s="163"/>
      <c r="Q365" s="45"/>
      <c r="R365" s="46"/>
      <c r="S365" s="512"/>
      <c r="V365" s="57"/>
      <c r="W365" s="35"/>
      <c r="X365" s="12" t="s">
        <v>398</v>
      </c>
      <c r="Y365" s="13">
        <v>0.25</v>
      </c>
      <c r="Z365" s="57" t="s">
        <v>3575</v>
      </c>
      <c r="AA365" s="35"/>
      <c r="AD365" s="57"/>
      <c r="AE365" s="208">
        <f>ROUND((ROUND((ROUND((_15_同援日２．５*_15・基礎２),0)*(1+_15・盲ろう)),0)*(1+_15・区４)),0)+ROUND((ROUND((ROUND((ROUND((_15_同援日２．５＿０．５*_15・基礎２),0)*(1+_15・B夜間)),0)*(1+_15・盲ろう)),0)*(1+_15・区４)),0)</f>
        <v>1018</v>
      </c>
      <c r="AF365" s="48"/>
    </row>
    <row r="366" spans="1:32" ht="16.5" customHeight="1" x14ac:dyDescent="0.15">
      <c r="A366" s="41">
        <v>15</v>
      </c>
      <c r="B366" s="41">
        <v>9918</v>
      </c>
      <c r="C366" s="74" t="s">
        <v>19916</v>
      </c>
      <c r="D366" s="122"/>
      <c r="E366" s="37"/>
      <c r="F366" s="79"/>
      <c r="G366" s="122"/>
      <c r="H366" s="37"/>
      <c r="I366" s="79"/>
      <c r="J366" s="122"/>
      <c r="K366" s="37"/>
      <c r="L366" s="37"/>
      <c r="M366" s="37"/>
      <c r="N366" s="37" t="s">
        <v>398</v>
      </c>
      <c r="O366" s="244">
        <v>0.9</v>
      </c>
      <c r="P366" s="521" t="s">
        <v>17556</v>
      </c>
      <c r="Q366" s="45" t="s">
        <v>398</v>
      </c>
      <c r="R366" s="46">
        <v>1</v>
      </c>
      <c r="S366" s="514"/>
      <c r="T366" s="37"/>
      <c r="U366" s="38"/>
      <c r="V366" s="79"/>
      <c r="W366" s="43"/>
      <c r="X366" s="37"/>
      <c r="Y366" s="38"/>
      <c r="Z366" s="79"/>
      <c r="AA366" s="43"/>
      <c r="AB366" s="37"/>
      <c r="AC366" s="38"/>
      <c r="AD366" s="79"/>
      <c r="AE366" s="208">
        <f>ROUND((ROUND((ROUND((ROUND((_15_同援日２．５*_15・基礎２),0)*_15・２人),0)*(1+_15・盲ろう)),0)*(1+_15・区４)),0)+ROUND((ROUND((ROUND((ROUND((ROUND((_15_同援日２．５＿０．５*_15・基礎２),0)*_15・２人),0)*(1+_15・B夜間)),0)*(1+_15・盲ろう)),0)*(1+_15・区４)),0)</f>
        <v>1018</v>
      </c>
      <c r="AF366" s="63"/>
    </row>
    <row r="367" spans="1:32" ht="16.5" customHeight="1" x14ac:dyDescent="0.15">
      <c r="A367" s="516"/>
      <c r="B367" s="516"/>
      <c r="C367" s="81"/>
      <c r="AE367" s="209"/>
      <c r="AF367" s="85"/>
    </row>
    <row r="368" spans="1:32" ht="16.5" customHeight="1" x14ac:dyDescent="0.15">
      <c r="A368" s="516"/>
      <c r="B368" s="516"/>
      <c r="C368" s="81"/>
      <c r="AE368" s="209"/>
      <c r="AF368" s="85"/>
    </row>
    <row r="369" spans="1:32" ht="16.5" customHeight="1" x14ac:dyDescent="0.15">
      <c r="A369" s="516"/>
      <c r="B369" s="209" t="s">
        <v>19917</v>
      </c>
      <c r="C369" s="81"/>
      <c r="D369" s="71"/>
      <c r="AE369" s="209"/>
      <c r="AF369" s="85"/>
    </row>
    <row r="370" spans="1:32" ht="16.5" customHeight="1" x14ac:dyDescent="0.15">
      <c r="A370" s="87" t="s">
        <v>384</v>
      </c>
      <c r="B370" s="20"/>
      <c r="C370" s="88" t="s">
        <v>385</v>
      </c>
      <c r="D370" s="23" t="s">
        <v>386</v>
      </c>
      <c r="E370" s="23"/>
      <c r="F370" s="23"/>
      <c r="G370" s="23"/>
      <c r="H370" s="23"/>
      <c r="I370" s="23"/>
      <c r="J370" s="23"/>
      <c r="K370" s="23"/>
      <c r="L370" s="23"/>
      <c r="M370" s="23"/>
      <c r="N370" s="23"/>
      <c r="O370" s="24"/>
      <c r="P370" s="23"/>
      <c r="Q370" s="23"/>
      <c r="R370" s="24"/>
      <c r="S370" s="24"/>
      <c r="T370" s="23"/>
      <c r="U370" s="24"/>
      <c r="V370" s="23"/>
      <c r="W370" s="23"/>
      <c r="X370" s="23"/>
      <c r="Y370" s="24"/>
      <c r="Z370" s="23"/>
      <c r="AA370" s="23"/>
      <c r="AB370" s="23"/>
      <c r="AC370" s="24"/>
      <c r="AD370" s="23"/>
      <c r="AE370" s="21" t="s">
        <v>387</v>
      </c>
      <c r="AF370" s="21" t="s">
        <v>388</v>
      </c>
    </row>
    <row r="371" spans="1:32" ht="16.5" customHeight="1" x14ac:dyDescent="0.15">
      <c r="A371" s="26" t="s">
        <v>389</v>
      </c>
      <c r="B371" s="26" t="s">
        <v>390</v>
      </c>
      <c r="C371" s="89"/>
      <c r="D371" s="87" t="s">
        <v>1032</v>
      </c>
      <c r="E371" s="187"/>
      <c r="F371" s="20"/>
      <c r="G371" s="87" t="s">
        <v>18817</v>
      </c>
      <c r="H371" s="187"/>
      <c r="I371" s="20"/>
      <c r="J371" s="29"/>
      <c r="K371" s="29"/>
      <c r="L371" s="29"/>
      <c r="M371" s="29"/>
      <c r="N371" s="29"/>
      <c r="O371" s="30"/>
      <c r="P371" s="29"/>
      <c r="Q371" s="29"/>
      <c r="R371" s="30"/>
      <c r="S371" s="30"/>
      <c r="T371" s="29"/>
      <c r="U371" s="30"/>
      <c r="V371" s="29"/>
      <c r="W371" s="29"/>
      <c r="X371" s="29"/>
      <c r="Y371" s="30"/>
      <c r="Z371" s="29"/>
      <c r="AA371" s="29"/>
      <c r="AB371" s="29"/>
      <c r="AC371" s="30"/>
      <c r="AD371" s="29"/>
      <c r="AE371" s="32" t="s">
        <v>391</v>
      </c>
      <c r="AF371" s="32" t="s">
        <v>392</v>
      </c>
    </row>
    <row r="372" spans="1:32" ht="16.5" customHeight="1" x14ac:dyDescent="0.15">
      <c r="A372" s="33">
        <v>15</v>
      </c>
      <c r="B372" s="33">
        <v>9919</v>
      </c>
      <c r="C372" s="34" t="s">
        <v>19918</v>
      </c>
      <c r="D372" s="72" t="s">
        <v>18487</v>
      </c>
      <c r="F372" s="57"/>
      <c r="G372" s="72" t="s">
        <v>18819</v>
      </c>
      <c r="I372" s="57"/>
      <c r="J372" s="72" t="s">
        <v>19919</v>
      </c>
      <c r="L372" s="57"/>
      <c r="M372" s="35"/>
      <c r="P372" s="43"/>
      <c r="Q372" s="37"/>
      <c r="R372" s="38"/>
      <c r="S372" s="512"/>
      <c r="T372" s="57"/>
      <c r="U372" s="512"/>
      <c r="V372" s="57"/>
      <c r="W372" s="35"/>
      <c r="Z372" s="57"/>
      <c r="AA372" s="35"/>
      <c r="AD372" s="57"/>
      <c r="AE372" s="207">
        <f>ROUND((_15_同援日０．５*(1+_15・A深夜)),0)+ROUND((_15_同援日０．５＿２．０*(1+_15・B早朝)),0)+_15_同援日０．５＿２．０＿０．５</f>
        <v>816</v>
      </c>
      <c r="AF372" s="40" t="s">
        <v>395</v>
      </c>
    </row>
    <row r="373" spans="1:32" ht="16.5" customHeight="1" x14ac:dyDescent="0.15">
      <c r="A373" s="41">
        <v>15</v>
      </c>
      <c r="B373" s="41">
        <v>9920</v>
      </c>
      <c r="C373" s="74" t="s">
        <v>19920</v>
      </c>
      <c r="D373" s="72" t="s">
        <v>18259</v>
      </c>
      <c r="F373" s="57"/>
      <c r="G373" s="72" t="s">
        <v>17643</v>
      </c>
      <c r="I373" s="57"/>
      <c r="J373" s="72" t="s">
        <v>18259</v>
      </c>
      <c r="L373" s="57"/>
      <c r="M373" s="43"/>
      <c r="N373" s="37"/>
      <c r="O373" s="38"/>
      <c r="P373" s="521" t="s">
        <v>17556</v>
      </c>
      <c r="Q373" s="45" t="s">
        <v>398</v>
      </c>
      <c r="R373" s="46">
        <v>1</v>
      </c>
      <c r="S373" s="512"/>
      <c r="T373" s="57"/>
      <c r="U373" s="512"/>
      <c r="V373" s="57"/>
      <c r="W373" s="35"/>
      <c r="Z373" s="57"/>
      <c r="AA373" s="35"/>
      <c r="AD373" s="57"/>
      <c r="AE373" s="208">
        <f>ROUND((ROUND((_15_同援日０．５*_15・２人),0)*(1+_15・A深夜)),0)+ROUND((ROUND((_15_同援日０．５＿２．０*_15・２人),0)*(1+_15・B早朝)),0)+ROUND((_15_同援日０．５＿２．０＿０．５*_15・２人),0)</f>
        <v>816</v>
      </c>
      <c r="AF373" s="48"/>
    </row>
    <row r="374" spans="1:32" ht="16.5" customHeight="1" x14ac:dyDescent="0.15">
      <c r="A374" s="41">
        <v>15</v>
      </c>
      <c r="B374" s="41">
        <v>9921</v>
      </c>
      <c r="C374" s="74" t="s">
        <v>19921</v>
      </c>
      <c r="D374" s="72"/>
      <c r="F374" s="57"/>
      <c r="G374" s="72" t="s">
        <v>17645</v>
      </c>
      <c r="I374" s="57"/>
      <c r="J374" s="72"/>
      <c r="L374" s="57"/>
      <c r="M374" s="114" t="s">
        <v>17558</v>
      </c>
      <c r="N374" s="49"/>
      <c r="O374" s="50"/>
      <c r="P374" s="163"/>
      <c r="Q374" s="45"/>
      <c r="R374" s="46"/>
      <c r="S374" s="512"/>
      <c r="T374" s="57"/>
      <c r="U374" s="512"/>
      <c r="V374" s="57"/>
      <c r="W374" s="35"/>
      <c r="Z374" s="57"/>
      <c r="AA374" s="35"/>
      <c r="AD374" s="57"/>
      <c r="AE374" s="208">
        <f>ROUND((ROUND((_15_同援日０．５*_15・基礎２),0)*(1+_15・A深夜)),0)+ROUND((ROUND((_15_同援日０．５＿２．０*_15・基礎２),0)*(1+_15・B早朝)),0)+ROUND((_15_同援日０．５＿２．０＿０．５*_15・基礎２),0)</f>
        <v>736</v>
      </c>
      <c r="AF374" s="48"/>
    </row>
    <row r="375" spans="1:32" ht="16.5" customHeight="1" x14ac:dyDescent="0.15">
      <c r="A375" s="41">
        <v>15</v>
      </c>
      <c r="B375" s="41">
        <v>9922</v>
      </c>
      <c r="C375" s="74" t="s">
        <v>19922</v>
      </c>
      <c r="D375" s="72"/>
      <c r="E375" s="168">
        <f>_15_同援日０．５</f>
        <v>190</v>
      </c>
      <c r="F375" s="57" t="s">
        <v>392</v>
      </c>
      <c r="G375" s="72"/>
      <c r="H375" s="168">
        <f>_15_同援日０．５＿２．０</f>
        <v>373</v>
      </c>
      <c r="I375" s="57" t="s">
        <v>392</v>
      </c>
      <c r="J375" s="72"/>
      <c r="K375" s="168">
        <f>_15_同援日０．５＿２．０＿０．５</f>
        <v>65</v>
      </c>
      <c r="L375" s="57" t="s">
        <v>392</v>
      </c>
      <c r="M375" s="269" t="s">
        <v>17560</v>
      </c>
      <c r="N375" s="37" t="s">
        <v>398</v>
      </c>
      <c r="O375" s="38">
        <v>0.9</v>
      </c>
      <c r="P375" s="521" t="s">
        <v>17556</v>
      </c>
      <c r="Q375" s="45" t="s">
        <v>398</v>
      </c>
      <c r="R375" s="46">
        <v>1</v>
      </c>
      <c r="S375" s="512"/>
      <c r="T375" s="57"/>
      <c r="U375" s="512"/>
      <c r="V375" s="57"/>
      <c r="W375" s="43"/>
      <c r="X375" s="37"/>
      <c r="Y375" s="38"/>
      <c r="Z375" s="79"/>
      <c r="AA375" s="35"/>
      <c r="AD375" s="57"/>
      <c r="AE375" s="208">
        <f>ROUND((ROUND((ROUND((_15_同援日０．５*_15・基礎２),0)*_15・２人),0)*(1+_15・A深夜)),0)+ROUND((ROUND((ROUND((_15_同援日０．５＿２．０*_15・基礎２),0)*_15・２人),0)*(1+_15・B早朝)),0)+ROUND((ROUND((_15_同援日０．５＿２．０＿０．５*_15・基礎２),0)*_15・２人),0)</f>
        <v>736</v>
      </c>
      <c r="AF375" s="48"/>
    </row>
    <row r="376" spans="1:32" ht="16.5" customHeight="1" x14ac:dyDescent="0.15">
      <c r="A376" s="41">
        <v>15</v>
      </c>
      <c r="B376" s="41">
        <v>9923</v>
      </c>
      <c r="C376" s="74" t="s">
        <v>19923</v>
      </c>
      <c r="D376" s="72"/>
      <c r="F376" s="57"/>
      <c r="G376" s="72"/>
      <c r="I376" s="57"/>
      <c r="J376" s="72"/>
      <c r="L376" s="57"/>
      <c r="M376" s="53"/>
      <c r="N376" s="49"/>
      <c r="O376" s="50"/>
      <c r="P376" s="163"/>
      <c r="Q376" s="45"/>
      <c r="R376" s="46"/>
      <c r="S376" s="512"/>
      <c r="T376" s="57"/>
      <c r="U376" s="512"/>
      <c r="V376" s="57"/>
      <c r="W376" s="116" t="s">
        <v>17562</v>
      </c>
      <c r="X376" s="49"/>
      <c r="Y376" s="50"/>
      <c r="Z376" s="115"/>
      <c r="AA376" s="35"/>
      <c r="AD376" s="57"/>
      <c r="AE376" s="208">
        <f>ROUND((ROUND((_15_同援日０．５*(1+_15・A深夜)),0)*(1+_15・盲ろう)),0)+ROUND((ROUND((_15_同援日０．５＿２．０*(1+_15・B早朝)),0)*(1+_15・盲ろう)),0)+ROUND((_15_同援日０．５＿２．０＿０．５*(1+_15・盲ろう)),0)</f>
        <v>1020</v>
      </c>
      <c r="AF376" s="48"/>
    </row>
    <row r="377" spans="1:32" ht="16.5" customHeight="1" x14ac:dyDescent="0.15">
      <c r="A377" s="41">
        <v>15</v>
      </c>
      <c r="B377" s="41">
        <v>9924</v>
      </c>
      <c r="C377" s="74" t="s">
        <v>19924</v>
      </c>
      <c r="D377" s="72"/>
      <c r="F377" s="57"/>
      <c r="G377" s="72"/>
      <c r="I377" s="57"/>
      <c r="J377" s="72"/>
      <c r="L377" s="57"/>
      <c r="M377" s="43"/>
      <c r="N377" s="37"/>
      <c r="O377" s="38"/>
      <c r="P377" s="521" t="s">
        <v>17556</v>
      </c>
      <c r="Q377" s="45" t="s">
        <v>398</v>
      </c>
      <c r="R377" s="46">
        <v>1</v>
      </c>
      <c r="S377" s="517" t="s">
        <v>18493</v>
      </c>
      <c r="T377" s="57"/>
      <c r="U377" s="517" t="s">
        <v>18134</v>
      </c>
      <c r="V377" s="57"/>
      <c r="W377" s="92" t="s">
        <v>17564</v>
      </c>
      <c r="Z377" s="57"/>
      <c r="AA377" s="35"/>
      <c r="AD377" s="57"/>
      <c r="AE377" s="208">
        <f>ROUND((ROUND((ROUND((_15_同援日０．５*_15・２人),0)*(1+_15・A深夜)),0)*(1+_15・盲ろう)),0)+ROUND((ROUND((ROUND((_15_同援日０．５＿２．０*_15・２人),0)*(1+_15・B早朝)),0)*(1+_15・盲ろう)),0)+ROUND((ROUND((_15_同援日０．５＿２．０＿０．５*_15・２人),0)*(1+_15・盲ろう)),0)</f>
        <v>1020</v>
      </c>
      <c r="AF377" s="48"/>
    </row>
    <row r="378" spans="1:32" ht="16.5" customHeight="1" x14ac:dyDescent="0.15">
      <c r="A378" s="41">
        <v>15</v>
      </c>
      <c r="B378" s="41">
        <v>9925</v>
      </c>
      <c r="C378" s="74" t="s">
        <v>19925</v>
      </c>
      <c r="D378" s="72"/>
      <c r="F378" s="57"/>
      <c r="G378" s="72"/>
      <c r="I378" s="57"/>
      <c r="J378" s="72"/>
      <c r="L378" s="57"/>
      <c r="M378" s="116" t="s">
        <v>17558</v>
      </c>
      <c r="N378" s="49"/>
      <c r="O378" s="50"/>
      <c r="P378" s="163"/>
      <c r="Q378" s="45"/>
      <c r="R378" s="46"/>
      <c r="S378" s="512"/>
      <c r="T378" s="518" t="s">
        <v>18826</v>
      </c>
      <c r="U378" s="512"/>
      <c r="V378" s="518" t="s">
        <v>18827</v>
      </c>
      <c r="W378" s="35"/>
      <c r="X378" s="12" t="s">
        <v>398</v>
      </c>
      <c r="Y378" s="13">
        <v>0.25</v>
      </c>
      <c r="Z378" s="57" t="s">
        <v>3575</v>
      </c>
      <c r="AA378" s="35"/>
      <c r="AD378" s="57"/>
      <c r="AE378" s="208">
        <f>ROUND((ROUND((ROUND((_15_同援日０．５*_15・基礎２),0)*(1+_15・A深夜)),0)*(1+_15・盲ろう)),0)+ROUND((ROUND((ROUND((_15_同援日０．５＿２．０*_15・基礎２),0)*(1+_15・B早朝)),0)*(1+_15・盲ろう)),0)+ROUND((ROUND((_15_同援日０．５＿２．０＿０．５*_15・基礎２),0)*(1+_15・盲ろう)),0)</f>
        <v>920</v>
      </c>
      <c r="AF378" s="48"/>
    </row>
    <row r="379" spans="1:32" ht="16.5" customHeight="1" x14ac:dyDescent="0.15">
      <c r="A379" s="41">
        <v>15</v>
      </c>
      <c r="B379" s="41">
        <v>9926</v>
      </c>
      <c r="C379" s="74" t="s">
        <v>19926</v>
      </c>
      <c r="D379" s="72"/>
      <c r="F379" s="57"/>
      <c r="G379" s="72"/>
      <c r="I379" s="57"/>
      <c r="J379" s="72"/>
      <c r="L379" s="57"/>
      <c r="M379" s="269" t="s">
        <v>17560</v>
      </c>
      <c r="N379" s="37" t="s">
        <v>398</v>
      </c>
      <c r="O379" s="38">
        <v>0.9</v>
      </c>
      <c r="P379" s="521" t="s">
        <v>17556</v>
      </c>
      <c r="Q379" s="45" t="s">
        <v>398</v>
      </c>
      <c r="R379" s="46">
        <v>1</v>
      </c>
      <c r="S379" s="512"/>
      <c r="T379" s="57"/>
      <c r="U379" s="512"/>
      <c r="V379" s="57"/>
      <c r="W379" s="43"/>
      <c r="X379" s="37"/>
      <c r="Y379" s="38"/>
      <c r="Z379" s="79"/>
      <c r="AA379" s="43"/>
      <c r="AB379" s="37"/>
      <c r="AC379" s="38"/>
      <c r="AD379" s="79"/>
      <c r="AE379" s="208">
        <f>ROUND((ROUND((ROUND((ROUND((_15_同援日０．５*_15・基礎２),0)*_15・２人),0)*(1+_15・A深夜)),0)*(1+_15・盲ろう)),0)+ROUND((ROUND((ROUND((ROUND((_15_同援日０．５＿２．０*_15・基礎２),0)*_15・２人),0)*(1+_15・B早朝)),0)*(1+_15・盲ろう)),0)+ROUND((ROUND((ROUND((_15_同援日０．５＿２．０＿０．５*_15・基礎２),0)*_15・２人),0)*(1+_15・盲ろう)),0)</f>
        <v>920</v>
      </c>
      <c r="AF379" s="48"/>
    </row>
    <row r="380" spans="1:32" ht="16.5" customHeight="1" x14ac:dyDescent="0.15">
      <c r="A380" s="41">
        <v>15</v>
      </c>
      <c r="B380" s="41">
        <v>9927</v>
      </c>
      <c r="C380" s="74" t="s">
        <v>19927</v>
      </c>
      <c r="D380" s="72"/>
      <c r="F380" s="57"/>
      <c r="G380" s="72"/>
      <c r="I380" s="57"/>
      <c r="J380" s="72"/>
      <c r="L380" s="57"/>
      <c r="M380" s="53"/>
      <c r="N380" s="49"/>
      <c r="O380" s="50"/>
      <c r="P380" s="163"/>
      <c r="Q380" s="45"/>
      <c r="R380" s="46"/>
      <c r="S380" s="35" t="s">
        <v>398</v>
      </c>
      <c r="T380" s="234">
        <v>0.5</v>
      </c>
      <c r="U380" s="35" t="s">
        <v>398</v>
      </c>
      <c r="V380" s="234">
        <v>0.25</v>
      </c>
      <c r="W380" s="53"/>
      <c r="X380" s="49"/>
      <c r="Y380" s="50"/>
      <c r="Z380" s="115"/>
      <c r="AA380" s="53"/>
      <c r="AB380" s="49"/>
      <c r="AC380" s="50"/>
      <c r="AD380" s="115"/>
      <c r="AE380" s="208">
        <f>ROUND((ROUND((_15_同援日０．５*(1+_15・A深夜)),0)*(1+_15・区３)),0)+ROUND((ROUND((_15_同援日０．５＿２．０*(1+_15・B早朝)),0)*(1+_15・区３)),0)+ROUND((_15_同援日０．５＿２．０＿０．５*(1+_15・区３)),0)</f>
        <v>979</v>
      </c>
      <c r="AF380" s="48"/>
    </row>
    <row r="381" spans="1:32" ht="16.5" customHeight="1" x14ac:dyDescent="0.15">
      <c r="A381" s="41">
        <v>15</v>
      </c>
      <c r="B381" s="41">
        <v>9928</v>
      </c>
      <c r="C381" s="74" t="s">
        <v>19928</v>
      </c>
      <c r="D381" s="72"/>
      <c r="F381" s="57"/>
      <c r="G381" s="72"/>
      <c r="I381" s="57"/>
      <c r="J381" s="72"/>
      <c r="L381" s="57"/>
      <c r="M381" s="43"/>
      <c r="N381" s="37"/>
      <c r="O381" s="38"/>
      <c r="P381" s="521" t="s">
        <v>17556</v>
      </c>
      <c r="Q381" s="45" t="s">
        <v>398</v>
      </c>
      <c r="R381" s="46">
        <v>1</v>
      </c>
      <c r="S381" s="512"/>
      <c r="T381" s="513" t="s">
        <v>3575</v>
      </c>
      <c r="U381" s="512"/>
      <c r="V381" s="513" t="s">
        <v>3575</v>
      </c>
      <c r="W381" s="35"/>
      <c r="Z381" s="57"/>
      <c r="AA381" s="35"/>
      <c r="AD381" s="57"/>
      <c r="AE381" s="208">
        <f>ROUND((ROUND((ROUND((_15_同援日０．５*_15・２人),0)*(1+_15・A深夜)),0)*(1+_15・区３)),0)+ROUND((ROUND((ROUND((_15_同援日０．５＿２．０*_15・２人),0)*(1+_15・B早朝)),0)*(1+_15・区３)),0)+ROUND((ROUND((_15_同援日０．５＿２．０＿０．５*_15・２人),0)*(1+_15・区３)),0)</f>
        <v>979</v>
      </c>
      <c r="AF381" s="48"/>
    </row>
    <row r="382" spans="1:32" ht="16.5" customHeight="1" x14ac:dyDescent="0.15">
      <c r="A382" s="41">
        <v>15</v>
      </c>
      <c r="B382" s="41">
        <v>9929</v>
      </c>
      <c r="C382" s="74" t="s">
        <v>19929</v>
      </c>
      <c r="D382" s="72"/>
      <c r="F382" s="57"/>
      <c r="G382" s="72"/>
      <c r="I382" s="57"/>
      <c r="J382" s="72"/>
      <c r="L382" s="57"/>
      <c r="M382" s="116" t="s">
        <v>17558</v>
      </c>
      <c r="N382" s="49"/>
      <c r="O382" s="50"/>
      <c r="P382" s="163"/>
      <c r="Q382" s="45"/>
      <c r="R382" s="46"/>
      <c r="S382" s="512"/>
      <c r="T382" s="57"/>
      <c r="U382" s="512"/>
      <c r="V382" s="57"/>
      <c r="W382" s="35"/>
      <c r="Z382" s="57"/>
      <c r="AA382" s="72" t="s">
        <v>17570</v>
      </c>
      <c r="AD382" s="57"/>
      <c r="AE382" s="208">
        <f>ROUND((ROUND((ROUND((_15_同援日０．５*_15・基礎２),0)*(1+_15・A深夜)),0)*(1+_15・区３)),0)+ROUND((ROUND((ROUND((_15_同援日０．５＿２．０*_15・基礎２),0)*(1+_15・B早朝)),0)*(1+_15・区３)),0)+ROUND((ROUND((_15_同援日０．５＿２．０＿０．５*_15・基礎２),0)*(1+_15・区３)),0)</f>
        <v>883</v>
      </c>
      <c r="AF382" s="48"/>
    </row>
    <row r="383" spans="1:32" ht="16.5" customHeight="1" x14ac:dyDescent="0.15">
      <c r="A383" s="41">
        <v>15</v>
      </c>
      <c r="B383" s="41">
        <v>9930</v>
      </c>
      <c r="C383" s="74" t="s">
        <v>19930</v>
      </c>
      <c r="D383" s="72"/>
      <c r="F383" s="57"/>
      <c r="G383" s="72"/>
      <c r="I383" s="57"/>
      <c r="J383" s="72"/>
      <c r="L383" s="57"/>
      <c r="M383" s="269" t="s">
        <v>17560</v>
      </c>
      <c r="N383" s="37" t="s">
        <v>398</v>
      </c>
      <c r="O383" s="38">
        <v>0.9</v>
      </c>
      <c r="P383" s="521" t="s">
        <v>17556</v>
      </c>
      <c r="Q383" s="45" t="s">
        <v>398</v>
      </c>
      <c r="R383" s="46">
        <v>1</v>
      </c>
      <c r="S383" s="512"/>
      <c r="T383" s="57"/>
      <c r="U383" s="512"/>
      <c r="V383" s="57"/>
      <c r="W383" s="43"/>
      <c r="X383" s="37"/>
      <c r="Y383" s="38"/>
      <c r="Z383" s="79"/>
      <c r="AA383" s="72" t="s">
        <v>17572</v>
      </c>
      <c r="AD383" s="57"/>
      <c r="AE383" s="208">
        <f>ROUND((ROUND((ROUND((ROUND((_15_同援日０．５*_15・基礎２),0)*_15・２人),0)*(1+_15・A深夜)),0)*(1+_15・区３)),0)+ROUND((ROUND((ROUND((ROUND((_15_同援日０．５＿２．０*_15・基礎２),0)*_15・２人),0)*(1+_15・B早朝)),0)*(1+_15・区３)),0)+ROUND((ROUND((ROUND((_15_同援日０．５＿２．０＿０．５*_15・基礎２),0)*_15・２人),0)*(1+_15・区３)),0)</f>
        <v>883</v>
      </c>
      <c r="AF383" s="48"/>
    </row>
    <row r="384" spans="1:32" ht="16.5" customHeight="1" x14ac:dyDescent="0.15">
      <c r="A384" s="41">
        <v>15</v>
      </c>
      <c r="B384" s="41">
        <v>9931</v>
      </c>
      <c r="C384" s="74" t="s">
        <v>19931</v>
      </c>
      <c r="D384" s="72"/>
      <c r="F384" s="57"/>
      <c r="G384" s="72"/>
      <c r="I384" s="57"/>
      <c r="J384" s="72"/>
      <c r="L384" s="57"/>
      <c r="M384" s="53"/>
      <c r="N384" s="49"/>
      <c r="O384" s="50"/>
      <c r="P384" s="163"/>
      <c r="Q384" s="45"/>
      <c r="R384" s="46"/>
      <c r="S384" s="512"/>
      <c r="T384" s="57"/>
      <c r="U384" s="512"/>
      <c r="V384" s="57"/>
      <c r="W384" s="116" t="s">
        <v>17562</v>
      </c>
      <c r="X384" s="49"/>
      <c r="Y384" s="50"/>
      <c r="Z384" s="115"/>
      <c r="AA384" s="35"/>
      <c r="AB384" s="12" t="s">
        <v>398</v>
      </c>
      <c r="AC384" s="13">
        <v>0.2</v>
      </c>
      <c r="AD384" s="57" t="s">
        <v>3575</v>
      </c>
      <c r="AE384" s="208">
        <f>ROUND((ROUND((ROUND((_15_同援日０．５*(1+_15・A深夜)),0)*(1+_15・盲ろう)),0)*(1+_15・区３)),0)+ROUND((ROUND((ROUND((_15_同援日０．５＿２．０*(1+_15・B早朝)),0)*(1+_15・盲ろう)),0)*(1+_15・区３)),0)+ROUND((ROUND((_15_同援日０．５＿２．０＿０．５*(1+_15・盲ろう)),0)*(1+_15・区３)),0)</f>
        <v>1224</v>
      </c>
      <c r="AF384" s="48"/>
    </row>
    <row r="385" spans="1:32" ht="16.5" customHeight="1" x14ac:dyDescent="0.15">
      <c r="A385" s="41">
        <v>15</v>
      </c>
      <c r="B385" s="41">
        <v>9932</v>
      </c>
      <c r="C385" s="74" t="s">
        <v>19932</v>
      </c>
      <c r="D385" s="72"/>
      <c r="F385" s="57"/>
      <c r="G385" s="72"/>
      <c r="I385" s="57"/>
      <c r="J385" s="72"/>
      <c r="L385" s="57"/>
      <c r="M385" s="43"/>
      <c r="N385" s="37"/>
      <c r="O385" s="38"/>
      <c r="P385" s="521" t="s">
        <v>17556</v>
      </c>
      <c r="Q385" s="45" t="s">
        <v>398</v>
      </c>
      <c r="R385" s="46">
        <v>1</v>
      </c>
      <c r="S385" s="512"/>
      <c r="T385" s="57"/>
      <c r="U385" s="512"/>
      <c r="V385" s="57"/>
      <c r="W385" s="92" t="s">
        <v>17564</v>
      </c>
      <c r="Z385" s="57"/>
      <c r="AA385" s="35"/>
      <c r="AD385" s="57"/>
      <c r="AE385" s="208">
        <f>ROUND((ROUND((ROUND((ROUND((_15_同援日０．５*_15・２人),0)*(1+_15・A深夜)),0)*(1+_15・盲ろう)),0)*(1+_15・区３)),0)+ROUND((ROUND((ROUND((ROUND((_15_同援日０．５＿２．０*_15・２人),0)*(1+_15・B早朝)),0)*(1+_15・盲ろう)),0)*(1+_15・区３)),0)+ROUND((ROUND((ROUND((_15_同援日０．５＿２．０＿０．５*_15・２人),0)*(1+_15・盲ろう)),0)*(1+_15・区３)),0)</f>
        <v>1224</v>
      </c>
      <c r="AF385" s="48"/>
    </row>
    <row r="386" spans="1:32" ht="16.5" customHeight="1" x14ac:dyDescent="0.15">
      <c r="A386" s="41">
        <v>15</v>
      </c>
      <c r="B386" s="41">
        <v>9933</v>
      </c>
      <c r="C386" s="74" t="s">
        <v>19933</v>
      </c>
      <c r="D386" s="72"/>
      <c r="F386" s="57"/>
      <c r="G386" s="72"/>
      <c r="I386" s="57"/>
      <c r="J386" s="72"/>
      <c r="L386" s="57"/>
      <c r="M386" s="116" t="s">
        <v>17558</v>
      </c>
      <c r="N386" s="49"/>
      <c r="O386" s="50"/>
      <c r="P386" s="163"/>
      <c r="Q386" s="45"/>
      <c r="R386" s="46"/>
      <c r="S386" s="512"/>
      <c r="T386" s="57"/>
      <c r="U386" s="512"/>
      <c r="V386" s="57"/>
      <c r="W386" s="35"/>
      <c r="X386" s="12" t="s">
        <v>398</v>
      </c>
      <c r="Y386" s="13">
        <v>0.25</v>
      </c>
      <c r="Z386" s="57" t="s">
        <v>3575</v>
      </c>
      <c r="AA386" s="35"/>
      <c r="AD386" s="57"/>
      <c r="AE386" s="208">
        <f>ROUND((ROUND((ROUND((ROUND((_15_同援日０．５*_15・基礎２),0)*(1+_15・A深夜)),0)*(1+_15・盲ろう)),0)*(1+_15・区３)),0)+ROUND((ROUND((ROUND((ROUND((_15_同援日０．５＿２．０*_15・基礎２),0)*(1+_15・B早朝)),0)*(1+_15・盲ろう)),0)*(1+_15・区３)),0)+ROUND((ROUND((ROUND((_15_同援日０．５＿２．０＿０．５*_15・基礎２),0)*(1+_15・盲ろう)),0)*(1+_15・区３)),0)</f>
        <v>1104</v>
      </c>
      <c r="AF386" s="48"/>
    </row>
    <row r="387" spans="1:32" ht="16.5" customHeight="1" x14ac:dyDescent="0.15">
      <c r="A387" s="41">
        <v>15</v>
      </c>
      <c r="B387" s="41">
        <v>9934</v>
      </c>
      <c r="C387" s="74" t="s">
        <v>19934</v>
      </c>
      <c r="D387" s="72"/>
      <c r="F387" s="57"/>
      <c r="G387" s="72"/>
      <c r="I387" s="57"/>
      <c r="J387" s="72"/>
      <c r="L387" s="57"/>
      <c r="M387" s="269" t="s">
        <v>17560</v>
      </c>
      <c r="N387" s="37" t="s">
        <v>398</v>
      </c>
      <c r="O387" s="38">
        <v>0.9</v>
      </c>
      <c r="P387" s="521" t="s">
        <v>17556</v>
      </c>
      <c r="Q387" s="45" t="s">
        <v>398</v>
      </c>
      <c r="R387" s="46">
        <v>1</v>
      </c>
      <c r="S387" s="512"/>
      <c r="T387" s="57"/>
      <c r="U387" s="512"/>
      <c r="V387" s="57"/>
      <c r="W387" s="43"/>
      <c r="X387" s="37"/>
      <c r="Y387" s="38"/>
      <c r="Z387" s="79"/>
      <c r="AA387" s="43"/>
      <c r="AB387" s="37"/>
      <c r="AC387" s="38"/>
      <c r="AD387" s="79"/>
      <c r="AE387" s="208">
        <f>ROUND((ROUND((ROUND((ROUND((ROUND((_15_同援日０．５*_15・基礎２),0)*_15・２人),0)*(1+_15・A深夜)),0)*(1+_15・盲ろう)),0)*(1+_15・区３)),0)+ROUND((ROUND((ROUND((ROUND((ROUND((_15_同援日０．５＿２．０*_15・基礎２),0)*_15・２人),0)*(1+_15・B早朝)),0)*(1+_15・盲ろう)),0)*(1+_15・区３)),0)+ROUND((ROUND((ROUND((ROUND((_15_同援日０．５＿２．０＿０．５*_15・基礎２),0)*_15・２人),0)*(1+_15・盲ろう)),0)*(1+_15・区３)),0)</f>
        <v>1104</v>
      </c>
      <c r="AF387" s="48"/>
    </row>
    <row r="388" spans="1:32" ht="16.5" customHeight="1" x14ac:dyDescent="0.15">
      <c r="A388" s="41">
        <v>15</v>
      </c>
      <c r="B388" s="41">
        <v>9935</v>
      </c>
      <c r="C388" s="74" t="s">
        <v>19935</v>
      </c>
      <c r="D388" s="72"/>
      <c r="F388" s="57"/>
      <c r="G388" s="72"/>
      <c r="I388" s="57"/>
      <c r="J388" s="72"/>
      <c r="L388" s="57"/>
      <c r="M388" s="53"/>
      <c r="N388" s="49"/>
      <c r="O388" s="50"/>
      <c r="P388" s="163"/>
      <c r="Q388" s="45"/>
      <c r="R388" s="46"/>
      <c r="S388" s="512"/>
      <c r="T388" s="57"/>
      <c r="U388" s="512"/>
      <c r="V388" s="57"/>
      <c r="W388" s="53"/>
      <c r="X388" s="49"/>
      <c r="Y388" s="50"/>
      <c r="Z388" s="115"/>
      <c r="AA388" s="53"/>
      <c r="AB388" s="49"/>
      <c r="AC388" s="50"/>
      <c r="AD388" s="115"/>
      <c r="AE388" s="208">
        <f>ROUND((ROUND((_15_同援日０．５*(1+_15・A深夜)),0)*(1+_15・区４)),0)+ROUND((ROUND((_15_同援日０．５＿２．０*(1+_15・B早朝)),0)*(1+_15・区４)),0)+ROUND((_15_同援日０．５＿２．０＿０．５*(1+_15・区４)),0)</f>
        <v>1142</v>
      </c>
      <c r="AF388" s="48"/>
    </row>
    <row r="389" spans="1:32" ht="16.5" customHeight="1" x14ac:dyDescent="0.15">
      <c r="A389" s="41">
        <v>15</v>
      </c>
      <c r="B389" s="41">
        <v>9936</v>
      </c>
      <c r="C389" s="74" t="s">
        <v>19936</v>
      </c>
      <c r="D389" s="72"/>
      <c r="F389" s="57"/>
      <c r="G389" s="72"/>
      <c r="I389" s="57"/>
      <c r="J389" s="72"/>
      <c r="L389" s="57"/>
      <c r="M389" s="43"/>
      <c r="N389" s="37"/>
      <c r="O389" s="38"/>
      <c r="P389" s="521" t="s">
        <v>17556</v>
      </c>
      <c r="Q389" s="45" t="s">
        <v>398</v>
      </c>
      <c r="R389" s="46">
        <v>1</v>
      </c>
      <c r="S389" s="512"/>
      <c r="T389" s="57"/>
      <c r="U389" s="512"/>
      <c r="V389" s="57"/>
      <c r="W389" s="35"/>
      <c r="Z389" s="57"/>
      <c r="AA389" s="35"/>
      <c r="AD389" s="57"/>
      <c r="AE389" s="208">
        <f>ROUND((ROUND((ROUND((_15_同援日０．５*_15・２人),0)*(1+_15・A深夜)),0)*(1+_15・区４)),0)+ROUND((ROUND((ROUND((_15_同援日０．５＿２．０*_15・２人),0)*(1+_15・B早朝)),0)*(1+_15・区４)),0)+ROUND((ROUND((_15_同援日０．５＿２．０＿０．５*_15・２人),0)*(1+_15・区４)),0)</f>
        <v>1142</v>
      </c>
      <c r="AF389" s="48"/>
    </row>
    <row r="390" spans="1:32" ht="16.5" customHeight="1" x14ac:dyDescent="0.15">
      <c r="A390" s="41">
        <v>15</v>
      </c>
      <c r="B390" s="41">
        <v>9937</v>
      </c>
      <c r="C390" s="74" t="s">
        <v>19937</v>
      </c>
      <c r="D390" s="72"/>
      <c r="F390" s="57"/>
      <c r="G390" s="72"/>
      <c r="I390" s="57"/>
      <c r="J390" s="72"/>
      <c r="L390" s="57"/>
      <c r="M390" s="116" t="s">
        <v>17558</v>
      </c>
      <c r="N390" s="49"/>
      <c r="O390" s="50"/>
      <c r="P390" s="163"/>
      <c r="Q390" s="45"/>
      <c r="R390" s="46"/>
      <c r="S390" s="512"/>
      <c r="T390" s="57"/>
      <c r="U390" s="512"/>
      <c r="V390" s="57"/>
      <c r="W390" s="35"/>
      <c r="Z390" s="57"/>
      <c r="AA390" s="72" t="s">
        <v>17580</v>
      </c>
      <c r="AD390" s="57"/>
      <c r="AE390" s="208">
        <f>ROUND((ROUND((ROUND((_15_同援日０．５*_15・基礎２),0)*(1+_15・A深夜)),0)*(1+_15・区４)),0)+ROUND((ROUND((ROUND((_15_同援日０．５＿２．０*_15・基礎２),0)*(1+_15・B早朝)),0)*(1+_15・区４)),0)+ROUND((ROUND((_15_同援日０．５＿２．０＿０．５*_15・基礎２),0)*(1+_15・区４)),0)</f>
        <v>1031</v>
      </c>
      <c r="AF390" s="48"/>
    </row>
    <row r="391" spans="1:32" ht="16.5" customHeight="1" x14ac:dyDescent="0.15">
      <c r="A391" s="41">
        <v>15</v>
      </c>
      <c r="B391" s="41">
        <v>9938</v>
      </c>
      <c r="C391" s="74" t="s">
        <v>19938</v>
      </c>
      <c r="D391" s="72"/>
      <c r="F391" s="57"/>
      <c r="G391" s="72"/>
      <c r="I391" s="57"/>
      <c r="J391" s="72"/>
      <c r="L391" s="57"/>
      <c r="M391" s="269" t="s">
        <v>17560</v>
      </c>
      <c r="N391" s="37" t="s">
        <v>398</v>
      </c>
      <c r="O391" s="38">
        <v>0.9</v>
      </c>
      <c r="P391" s="521" t="s">
        <v>17556</v>
      </c>
      <c r="Q391" s="45" t="s">
        <v>398</v>
      </c>
      <c r="R391" s="46">
        <v>1</v>
      </c>
      <c r="S391" s="512"/>
      <c r="T391" s="57"/>
      <c r="U391" s="512"/>
      <c r="V391" s="57"/>
      <c r="W391" s="43"/>
      <c r="X391" s="37"/>
      <c r="Y391" s="38"/>
      <c r="Z391" s="79"/>
      <c r="AA391" s="72" t="s">
        <v>17572</v>
      </c>
      <c r="AD391" s="57"/>
      <c r="AE391" s="208">
        <f>ROUND((ROUND((ROUND((ROUND((_15_同援日０．５*_15・基礎２),0)*_15・２人),0)*(1+_15・A深夜)),0)*(1+_15・区４)),0)+ROUND((ROUND((ROUND((ROUND((_15_同援日０．５＿２．０*_15・基礎２),0)*_15・２人),0)*(1+_15・B早朝)),0)*(1+_15・区４)),0)+ROUND((ROUND((ROUND((_15_同援日０．５＿２．０＿０．５*_15・基礎２),0)*_15・２人),0)*(1+_15・区４)),0)</f>
        <v>1031</v>
      </c>
      <c r="AF391" s="48"/>
    </row>
    <row r="392" spans="1:32" ht="16.5" customHeight="1" x14ac:dyDescent="0.15">
      <c r="A392" s="41">
        <v>15</v>
      </c>
      <c r="B392" s="41">
        <v>9939</v>
      </c>
      <c r="C392" s="74" t="s">
        <v>19939</v>
      </c>
      <c r="D392" s="72"/>
      <c r="F392" s="57"/>
      <c r="G392" s="72"/>
      <c r="I392" s="57"/>
      <c r="J392" s="72"/>
      <c r="L392" s="57"/>
      <c r="M392" s="53"/>
      <c r="N392" s="49"/>
      <c r="O392" s="50"/>
      <c r="P392" s="163"/>
      <c r="Q392" s="45"/>
      <c r="R392" s="46"/>
      <c r="S392" s="512"/>
      <c r="T392" s="57"/>
      <c r="U392" s="512"/>
      <c r="V392" s="57"/>
      <c r="W392" s="116" t="s">
        <v>17562</v>
      </c>
      <c r="X392" s="49"/>
      <c r="Y392" s="50"/>
      <c r="Z392" s="115"/>
      <c r="AA392" s="35"/>
      <c r="AB392" s="12" t="s">
        <v>398</v>
      </c>
      <c r="AC392" s="13">
        <v>0.4</v>
      </c>
      <c r="AD392" s="57" t="s">
        <v>3575</v>
      </c>
      <c r="AE392" s="208">
        <f>ROUND((ROUND((ROUND((_15_同援日０．５*(1+_15・A深夜)),0)*(1+_15・盲ろう)),0)*(1+_15・区４)),0)+ROUND((ROUND((ROUND((_15_同援日０．５＿２．０*(1+_15・B早朝)),0)*(1+_15・盲ろう)),0)*(1+_15・区４)),0)+ROUND((ROUND((_15_同援日０．５＿２．０＿０．５*(1+_15・盲ろう)),0)*(1+_15・区４)),0)</f>
        <v>1427</v>
      </c>
      <c r="AF392" s="48"/>
    </row>
    <row r="393" spans="1:32" ht="16.5" customHeight="1" x14ac:dyDescent="0.15">
      <c r="A393" s="41">
        <v>15</v>
      </c>
      <c r="B393" s="41">
        <v>9940</v>
      </c>
      <c r="C393" s="74" t="s">
        <v>19940</v>
      </c>
      <c r="D393" s="72"/>
      <c r="F393" s="57"/>
      <c r="G393" s="72"/>
      <c r="I393" s="57"/>
      <c r="J393" s="72"/>
      <c r="L393" s="57"/>
      <c r="M393" s="43"/>
      <c r="N393" s="37"/>
      <c r="O393" s="38"/>
      <c r="P393" s="521" t="s">
        <v>17556</v>
      </c>
      <c r="Q393" s="45" t="s">
        <v>398</v>
      </c>
      <c r="R393" s="46">
        <v>1</v>
      </c>
      <c r="S393" s="512"/>
      <c r="T393" s="57"/>
      <c r="U393" s="512"/>
      <c r="V393" s="57"/>
      <c r="W393" s="92" t="s">
        <v>17564</v>
      </c>
      <c r="Z393" s="57"/>
      <c r="AA393" s="35"/>
      <c r="AD393" s="57"/>
      <c r="AE393" s="208">
        <f>ROUND((ROUND((ROUND((ROUND((_15_同援日０．５*_15・２人),0)*(1+_15・A深夜)),0)*(1+_15・盲ろう)),0)*(1+_15・区４)),0)+ROUND((ROUND((ROUND((ROUND((_15_同援日０．５＿２．０*_15・２人),0)*(1+_15・B早朝)),0)*(1+_15・盲ろう)),0)*(1+_15・区４)),0)+ROUND((ROUND((ROUND((_15_同援日０．５＿２．０＿０．５*_15・２人),0)*(1+_15・盲ろう)),0)*(1+_15・区４)),0)</f>
        <v>1427</v>
      </c>
      <c r="AF393" s="48"/>
    </row>
    <row r="394" spans="1:32" ht="16.5" customHeight="1" x14ac:dyDescent="0.15">
      <c r="A394" s="41">
        <v>15</v>
      </c>
      <c r="B394" s="41">
        <v>9941</v>
      </c>
      <c r="C394" s="74" t="s">
        <v>19941</v>
      </c>
      <c r="D394" s="72"/>
      <c r="F394" s="57"/>
      <c r="G394" s="72"/>
      <c r="I394" s="57"/>
      <c r="J394" s="72"/>
      <c r="L394" s="57"/>
      <c r="M394" s="116" t="s">
        <v>17558</v>
      </c>
      <c r="N394" s="49"/>
      <c r="O394" s="50"/>
      <c r="P394" s="163"/>
      <c r="Q394" s="45"/>
      <c r="R394" s="46"/>
      <c r="S394" s="512"/>
      <c r="T394" s="57"/>
      <c r="U394" s="512"/>
      <c r="V394" s="57"/>
      <c r="W394" s="35"/>
      <c r="X394" s="12" t="s">
        <v>398</v>
      </c>
      <c r="Y394" s="13">
        <v>0.25</v>
      </c>
      <c r="Z394" s="57" t="s">
        <v>3575</v>
      </c>
      <c r="AA394" s="35"/>
      <c r="AD394" s="57"/>
      <c r="AE394" s="208">
        <f>ROUND((ROUND((ROUND((ROUND((_15_同援日０．５*_15・基礎２),0)*(1+_15・A深夜)),0)*(1+_15・盲ろう)),0)*(1+_15・区４)),0)+ROUND((ROUND((ROUND((ROUND((_15_同援日０．５＿２．０*_15・基礎２),0)*(1+_15・B早朝)),0)*(1+_15・盲ろう)),0)*(1+_15・区４)),0)+ROUND((ROUND((ROUND((_15_同援日０．５＿２．０＿０．５*_15・基礎２),0)*(1+_15・盲ろう)),0)*(1+_15・区４)),0)</f>
        <v>1288</v>
      </c>
      <c r="AF394" s="48"/>
    </row>
    <row r="395" spans="1:32" ht="16.5" customHeight="1" x14ac:dyDescent="0.15">
      <c r="A395" s="41">
        <v>15</v>
      </c>
      <c r="B395" s="41">
        <v>9942</v>
      </c>
      <c r="C395" s="74" t="s">
        <v>19942</v>
      </c>
      <c r="D395" s="122"/>
      <c r="E395" s="37"/>
      <c r="F395" s="79"/>
      <c r="G395" s="122"/>
      <c r="H395" s="37"/>
      <c r="I395" s="79"/>
      <c r="J395" s="122"/>
      <c r="K395" s="37"/>
      <c r="L395" s="79"/>
      <c r="M395" s="269" t="s">
        <v>17560</v>
      </c>
      <c r="N395" s="37" t="s">
        <v>398</v>
      </c>
      <c r="O395" s="38">
        <v>0.9</v>
      </c>
      <c r="P395" s="521" t="s">
        <v>17556</v>
      </c>
      <c r="Q395" s="45" t="s">
        <v>398</v>
      </c>
      <c r="R395" s="46">
        <v>1</v>
      </c>
      <c r="S395" s="514"/>
      <c r="T395" s="79"/>
      <c r="U395" s="514"/>
      <c r="V395" s="79"/>
      <c r="W395" s="43"/>
      <c r="X395" s="37"/>
      <c r="Y395" s="38"/>
      <c r="Z395" s="79"/>
      <c r="AA395" s="43"/>
      <c r="AB395" s="37"/>
      <c r="AC395" s="38"/>
      <c r="AD395" s="79"/>
      <c r="AE395" s="208">
        <f>ROUND((ROUND((ROUND((ROUND((ROUND((_15_同援日０．５*_15・基礎２),0)*_15・２人),0)*(1+_15・A深夜)),0)*(1+_15・盲ろう)),0)*(1+_15・区４)),0)+ROUND((ROUND((ROUND((ROUND((ROUND((_15_同援日０．５＿２．０*_15・基礎２),0)*_15・２人),0)*(1+_15・B早朝)),0)*(1+_15・盲ろう)),0)*(1+_15・区４)),0)+ROUND((ROUND((ROUND((ROUND((_15_同援日０．５＿２．０＿０．５*_15・基礎２),0)*_15・２人),0)*(1+_15・盲ろう)),0)*(1+_15・区４)),0)</f>
        <v>1288</v>
      </c>
      <c r="AF395" s="63"/>
    </row>
    <row r="396" spans="1:32" ht="16.5" customHeight="1" x14ac:dyDescent="0.15"/>
    <row r="397" spans="1:32"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42" fitToHeight="0" orientation="portrait" r:id="rId1"/>
  <headerFooter>
    <oddHeader>&amp;R&amp;"ＭＳ Ｐゴシック"&amp;9同行援護</oddHeader>
    <oddFooter>&amp;C&amp;"ＭＳ Ｐゴシック"&amp;14&amp;P</oddFooter>
  </headerFooter>
  <rowBreaks count="3" manualBreakCount="3">
    <brk id="102" max="31" man="1"/>
    <brk id="198" max="31" man="1"/>
    <brk id="294" max="31"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7">
    <pageSetUpPr fitToPage="1"/>
  </sheetPr>
  <dimension ref="A1:AC368"/>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5.5" style="10" customWidth="1"/>
    <col min="5" max="5" width="4.125" style="12" bestFit="1" customWidth="1"/>
    <col min="6" max="6" width="4.875" style="12" bestFit="1" customWidth="1"/>
    <col min="7" max="7" width="5.5" style="10" customWidth="1"/>
    <col min="8" max="8" width="4.125" style="12" bestFit="1" customWidth="1"/>
    <col min="9" max="9" width="4.875" style="12" bestFit="1" customWidth="1"/>
    <col min="10" max="10" width="14.5" style="12" customWidth="1"/>
    <col min="11" max="11" width="3.125" style="12" bestFit="1" customWidth="1"/>
    <col min="12" max="12" width="4.125" style="13" bestFit="1" customWidth="1"/>
    <col min="13" max="13" width="26.5" style="12" bestFit="1" customWidth="1"/>
    <col min="14" max="14" width="3.125" style="12" bestFit="1" customWidth="1"/>
    <col min="15" max="15" width="5" style="13" bestFit="1" customWidth="1"/>
    <col min="16" max="16" width="4.125" style="13" bestFit="1" customWidth="1"/>
    <col min="17" max="17" width="4.875" style="12" bestFit="1" customWidth="1"/>
    <col min="18" max="18" width="4.125" style="13" bestFit="1" customWidth="1"/>
    <col min="19" max="19" width="4.875" style="12" bestFit="1" customWidth="1"/>
    <col min="20" max="20" width="10.5" style="12" customWidth="1"/>
    <col min="21" max="21" width="3.125" style="12" bestFit="1" customWidth="1"/>
    <col min="22" max="22" width="4.125" style="13" bestFit="1" customWidth="1"/>
    <col min="23" max="23" width="4.875" style="12" bestFit="1" customWidth="1"/>
    <col min="24" max="24" width="8.5" style="12" customWidth="1"/>
    <col min="25" max="25" width="3.125" style="12" bestFit="1" customWidth="1"/>
    <col min="26" max="26" width="4.125" style="13" bestFit="1" customWidth="1"/>
    <col min="27" max="27" width="4.875" style="12" bestFit="1" customWidth="1"/>
    <col min="28" max="28" width="7.125" style="206" customWidth="1"/>
    <col min="29" max="29" width="8.5" style="16" customWidth="1"/>
    <col min="30" max="16384" width="9" style="12"/>
  </cols>
  <sheetData>
    <row r="1" spans="1:29" ht="17.100000000000001" customHeight="1" x14ac:dyDescent="0.15"/>
    <row r="2" spans="1:29" ht="17.100000000000001" customHeight="1" x14ac:dyDescent="0.15"/>
    <row r="3" spans="1:29" ht="17.100000000000001" customHeight="1" x14ac:dyDescent="0.15"/>
    <row r="4" spans="1:29" ht="17.100000000000001" customHeight="1" x14ac:dyDescent="0.15">
      <c r="B4" s="17" t="s">
        <v>19943</v>
      </c>
      <c r="D4" s="71"/>
    </row>
    <row r="5" spans="1:29" ht="16.5" customHeight="1" x14ac:dyDescent="0.15">
      <c r="A5" s="19" t="s">
        <v>384</v>
      </c>
      <c r="B5" s="20"/>
      <c r="C5" s="21" t="s">
        <v>385</v>
      </c>
      <c r="D5" s="23" t="s">
        <v>386</v>
      </c>
      <c r="E5" s="23"/>
      <c r="F5" s="23"/>
      <c r="G5" s="23"/>
      <c r="H5" s="23"/>
      <c r="I5" s="23"/>
      <c r="J5" s="23"/>
      <c r="K5" s="23"/>
      <c r="L5" s="24"/>
      <c r="M5" s="23"/>
      <c r="N5" s="23"/>
      <c r="O5" s="24"/>
      <c r="P5" s="24"/>
      <c r="Q5" s="23"/>
      <c r="R5" s="24"/>
      <c r="S5" s="23"/>
      <c r="T5" s="23"/>
      <c r="U5" s="23"/>
      <c r="V5" s="24"/>
      <c r="W5" s="23"/>
      <c r="X5" s="23"/>
      <c r="Y5" s="23"/>
      <c r="Z5" s="24"/>
      <c r="AA5" s="23"/>
      <c r="AB5" s="21" t="s">
        <v>387</v>
      </c>
      <c r="AC5" s="21" t="s">
        <v>388</v>
      </c>
    </row>
    <row r="6" spans="1:29" ht="16.5" customHeight="1" x14ac:dyDescent="0.15">
      <c r="A6" s="26" t="s">
        <v>389</v>
      </c>
      <c r="B6" s="26" t="s">
        <v>390</v>
      </c>
      <c r="C6" s="27"/>
      <c r="D6" s="87" t="s">
        <v>1032</v>
      </c>
      <c r="E6" s="187"/>
      <c r="F6" s="20"/>
      <c r="G6" s="87" t="s">
        <v>3910</v>
      </c>
      <c r="H6" s="187"/>
      <c r="I6" s="20"/>
      <c r="J6" s="29"/>
      <c r="K6" s="29"/>
      <c r="L6" s="30"/>
      <c r="M6" s="29"/>
      <c r="N6" s="29"/>
      <c r="O6" s="30"/>
      <c r="P6" s="30"/>
      <c r="Q6" s="29"/>
      <c r="R6" s="30"/>
      <c r="S6" s="29"/>
      <c r="T6" s="29"/>
      <c r="U6" s="29"/>
      <c r="V6" s="30"/>
      <c r="W6" s="29"/>
      <c r="X6" s="29"/>
      <c r="Y6" s="29"/>
      <c r="Z6" s="30"/>
      <c r="AA6" s="29"/>
      <c r="AB6" s="32" t="s">
        <v>391</v>
      </c>
      <c r="AC6" s="32" t="s">
        <v>392</v>
      </c>
    </row>
    <row r="7" spans="1:29" ht="16.5" customHeight="1" x14ac:dyDescent="0.15">
      <c r="A7" s="33">
        <v>15</v>
      </c>
      <c r="B7" s="33">
        <v>9943</v>
      </c>
      <c r="C7" s="34" t="s">
        <v>19944</v>
      </c>
      <c r="D7" s="72" t="s">
        <v>18257</v>
      </c>
      <c r="F7" s="57"/>
      <c r="G7" s="72" t="s">
        <v>19945</v>
      </c>
      <c r="I7" s="57"/>
      <c r="J7" s="35"/>
      <c r="M7" s="43"/>
      <c r="N7" s="37"/>
      <c r="O7" s="38"/>
      <c r="P7" s="512"/>
      <c r="Q7" s="57"/>
      <c r="R7" s="512"/>
      <c r="S7" s="57"/>
      <c r="T7" s="35"/>
      <c r="W7" s="57"/>
      <c r="X7" s="35"/>
      <c r="AA7" s="57"/>
      <c r="AB7" s="207">
        <f>ROUND((_15_同援日０．５*(1+_15・A夜間)),0)+ROUND((_15_同援日０．５＿０．５*(1+_15・B深夜)),0)</f>
        <v>403</v>
      </c>
      <c r="AC7" s="40" t="s">
        <v>395</v>
      </c>
    </row>
    <row r="8" spans="1:29" ht="16.5" customHeight="1" x14ac:dyDescent="0.15">
      <c r="A8" s="41">
        <v>15</v>
      </c>
      <c r="B8" s="41">
        <v>9944</v>
      </c>
      <c r="C8" s="74" t="s">
        <v>19946</v>
      </c>
      <c r="D8" s="72" t="s">
        <v>18259</v>
      </c>
      <c r="F8" s="57"/>
      <c r="G8" s="72" t="s">
        <v>18259</v>
      </c>
      <c r="I8" s="57"/>
      <c r="J8" s="43"/>
      <c r="K8" s="37"/>
      <c r="L8" s="38"/>
      <c r="M8" s="299" t="s">
        <v>17556</v>
      </c>
      <c r="N8" s="45" t="s">
        <v>398</v>
      </c>
      <c r="O8" s="46">
        <v>1</v>
      </c>
      <c r="P8" s="512"/>
      <c r="Q8" s="57"/>
      <c r="R8" s="512"/>
      <c r="S8" s="57"/>
      <c r="T8" s="35"/>
      <c r="W8" s="57"/>
      <c r="X8" s="35"/>
      <c r="AA8" s="57"/>
      <c r="AB8" s="208">
        <f>ROUND((ROUND((_15_同援日０．５*_15・２人),0)*(1+_15・A夜間)),0)+ROUND((ROUND((_15_同援日０．５＿０．５*_15・２人),0)*(1+_15・B深夜)),0)</f>
        <v>403</v>
      </c>
      <c r="AC8" s="48"/>
    </row>
    <row r="9" spans="1:29" ht="16.5" customHeight="1" x14ac:dyDescent="0.15">
      <c r="A9" s="41">
        <v>15</v>
      </c>
      <c r="B9" s="41">
        <v>9945</v>
      </c>
      <c r="C9" s="74" t="s">
        <v>19947</v>
      </c>
      <c r="D9" s="72"/>
      <c r="F9" s="57"/>
      <c r="G9" s="72"/>
      <c r="I9" s="57"/>
      <c r="J9" s="114" t="s">
        <v>17558</v>
      </c>
      <c r="K9" s="49"/>
      <c r="L9" s="50"/>
      <c r="M9" s="163"/>
      <c r="N9" s="45"/>
      <c r="O9" s="46"/>
      <c r="P9" s="512"/>
      <c r="Q9" s="57"/>
      <c r="R9" s="512"/>
      <c r="S9" s="57"/>
      <c r="T9" s="35"/>
      <c r="W9" s="57"/>
      <c r="X9" s="35"/>
      <c r="AA9" s="57"/>
      <c r="AB9" s="208">
        <f>ROUND((ROUND((_15_同援日０．５*_15・基礎２),0)*(1+_15・A夜間)),0)+ROUND((ROUND((_15_同援日０．５＿０．５*_15・基礎２),0)*(1+_15・B深夜)),0)</f>
        <v>363</v>
      </c>
      <c r="AC9" s="48"/>
    </row>
    <row r="10" spans="1:29" ht="16.5" customHeight="1" x14ac:dyDescent="0.15">
      <c r="A10" s="41">
        <v>15</v>
      </c>
      <c r="B10" s="41">
        <v>9946</v>
      </c>
      <c r="C10" s="74" t="s">
        <v>19948</v>
      </c>
      <c r="D10" s="72"/>
      <c r="E10" s="168">
        <f>_15_同援日０．５</f>
        <v>190</v>
      </c>
      <c r="F10" s="57" t="s">
        <v>392</v>
      </c>
      <c r="G10" s="72"/>
      <c r="H10" s="168">
        <f>_15_同援日０．５＿０．５</f>
        <v>110</v>
      </c>
      <c r="I10" s="57" t="s">
        <v>392</v>
      </c>
      <c r="J10" s="269" t="s">
        <v>17560</v>
      </c>
      <c r="K10" s="37" t="s">
        <v>398</v>
      </c>
      <c r="L10" s="38">
        <v>0.9</v>
      </c>
      <c r="M10" s="299" t="s">
        <v>17556</v>
      </c>
      <c r="N10" s="45" t="s">
        <v>398</v>
      </c>
      <c r="O10" s="46">
        <v>1</v>
      </c>
      <c r="P10" s="512"/>
      <c r="Q10" s="57"/>
      <c r="R10" s="512"/>
      <c r="S10" s="57"/>
      <c r="T10" s="43"/>
      <c r="U10" s="37"/>
      <c r="V10" s="38"/>
      <c r="W10" s="79"/>
      <c r="X10" s="35"/>
      <c r="AA10" s="57"/>
      <c r="AB10" s="208">
        <f>ROUND((ROUND((ROUND((_15_同援日０．５*_15・基礎２),0)*_15・２人),0)*(1+_15・A夜間)),0)+ROUND((ROUND((ROUND((_15_同援日０．５＿０．５*_15・基礎２),0)*_15・２人),0)*(1+_15・B深夜)),0)</f>
        <v>363</v>
      </c>
      <c r="AC10" s="48"/>
    </row>
    <row r="11" spans="1:29" ht="16.5" customHeight="1" x14ac:dyDescent="0.15">
      <c r="A11" s="41">
        <v>15</v>
      </c>
      <c r="B11" s="41">
        <v>9947</v>
      </c>
      <c r="C11" s="74" t="s">
        <v>19949</v>
      </c>
      <c r="D11" s="72"/>
      <c r="F11" s="57"/>
      <c r="G11" s="72"/>
      <c r="I11" s="57"/>
      <c r="J11" s="53"/>
      <c r="K11" s="49"/>
      <c r="L11" s="50"/>
      <c r="M11" s="163"/>
      <c r="N11" s="45"/>
      <c r="O11" s="46"/>
      <c r="P11" s="512"/>
      <c r="Q11" s="57"/>
      <c r="R11" s="512"/>
      <c r="S11" s="57"/>
      <c r="T11" s="114" t="s">
        <v>17562</v>
      </c>
      <c r="U11" s="49"/>
      <c r="V11" s="50"/>
      <c r="W11" s="115"/>
      <c r="X11" s="35"/>
      <c r="AA11" s="57"/>
      <c r="AB11" s="208">
        <f>ROUND((ROUND((_15_同援日０．５*(1+_15・A夜間)),0)*(1+_15・盲ろう)),0)+ROUND((ROUND((_15_同援日０．５＿０．５*(1+_15・B深夜)),0)*(1+_15・盲ろう)),0)</f>
        <v>504</v>
      </c>
      <c r="AC11" s="48"/>
    </row>
    <row r="12" spans="1:29" ht="16.5" customHeight="1" x14ac:dyDescent="0.15">
      <c r="A12" s="41">
        <v>15</v>
      </c>
      <c r="B12" s="41">
        <v>9948</v>
      </c>
      <c r="C12" s="74" t="s">
        <v>19950</v>
      </c>
      <c r="D12" s="72"/>
      <c r="F12" s="57"/>
      <c r="G12" s="72"/>
      <c r="I12" s="57"/>
      <c r="J12" s="43"/>
      <c r="K12" s="37"/>
      <c r="L12" s="38"/>
      <c r="M12" s="299" t="s">
        <v>17556</v>
      </c>
      <c r="N12" s="45" t="s">
        <v>398</v>
      </c>
      <c r="O12" s="46">
        <v>1</v>
      </c>
      <c r="P12" s="517" t="s">
        <v>18264</v>
      </c>
      <c r="Q12" s="57"/>
      <c r="R12" s="517" t="s">
        <v>18493</v>
      </c>
      <c r="S12" s="57"/>
      <c r="T12" s="92" t="s">
        <v>17564</v>
      </c>
      <c r="W12" s="57"/>
      <c r="X12" s="35"/>
      <c r="AA12" s="57"/>
      <c r="AB12" s="208">
        <f>ROUND((ROUND((ROUND((_15_同援日０．５*_15・２人),0)*(1+_15・A夜間)),0)*(1+_15・盲ろう)),0)+ROUND((ROUND((ROUND((_15_同援日０．５＿０．５*_15・２人),0)*(1+_15・B深夜)),0)*(1+_15・盲ろう)),0)</f>
        <v>504</v>
      </c>
      <c r="AC12" s="48"/>
    </row>
    <row r="13" spans="1:29" ht="16.5" customHeight="1" x14ac:dyDescent="0.15">
      <c r="A13" s="41">
        <v>15</v>
      </c>
      <c r="B13" s="41">
        <v>9949</v>
      </c>
      <c r="C13" s="74" t="s">
        <v>19951</v>
      </c>
      <c r="D13" s="72"/>
      <c r="F13" s="57"/>
      <c r="G13" s="72"/>
      <c r="I13" s="57"/>
      <c r="J13" s="114" t="s">
        <v>17558</v>
      </c>
      <c r="K13" s="49"/>
      <c r="L13" s="50"/>
      <c r="M13" s="163"/>
      <c r="N13" s="45"/>
      <c r="O13" s="46"/>
      <c r="P13" s="512"/>
      <c r="Q13" s="513" t="s">
        <v>18826</v>
      </c>
      <c r="R13" s="512"/>
      <c r="S13" s="513" t="s">
        <v>18827</v>
      </c>
      <c r="T13" s="35"/>
      <c r="U13" s="12" t="s">
        <v>398</v>
      </c>
      <c r="V13" s="13">
        <v>0.25</v>
      </c>
      <c r="W13" s="57" t="s">
        <v>3575</v>
      </c>
      <c r="X13" s="35"/>
      <c r="AA13" s="57"/>
      <c r="AB13" s="208">
        <f>ROUND((ROUND((ROUND((_15_同援日０．５*_15・基礎２),0)*(1+_15・A夜間)),0)*(1+_15・盲ろう)),0)+ROUND((ROUND((ROUND((_15_同援日０．５＿０．５*_15・基礎２),0)*(1+_15・B深夜)),0)*(1+_15・盲ろう)),0)</f>
        <v>454</v>
      </c>
      <c r="AC13" s="48"/>
    </row>
    <row r="14" spans="1:29" ht="16.5" customHeight="1" x14ac:dyDescent="0.15">
      <c r="A14" s="41">
        <v>15</v>
      </c>
      <c r="B14" s="41">
        <v>9950</v>
      </c>
      <c r="C14" s="74" t="s">
        <v>19952</v>
      </c>
      <c r="D14" s="72"/>
      <c r="F14" s="57"/>
      <c r="G14" s="72"/>
      <c r="I14" s="57"/>
      <c r="J14" s="269" t="s">
        <v>17560</v>
      </c>
      <c r="K14" s="37" t="s">
        <v>398</v>
      </c>
      <c r="L14" s="38">
        <v>0.9</v>
      </c>
      <c r="M14" s="299" t="s">
        <v>17556</v>
      </c>
      <c r="N14" s="45" t="s">
        <v>398</v>
      </c>
      <c r="O14" s="46">
        <v>1</v>
      </c>
      <c r="P14" s="512"/>
      <c r="Q14" s="57"/>
      <c r="R14" s="512"/>
      <c r="S14" s="57"/>
      <c r="T14" s="43"/>
      <c r="U14" s="37"/>
      <c r="V14" s="38"/>
      <c r="W14" s="79"/>
      <c r="X14" s="43"/>
      <c r="Y14" s="37"/>
      <c r="Z14" s="38"/>
      <c r="AA14" s="79"/>
      <c r="AB14" s="208">
        <f>ROUND((ROUND((ROUND((ROUND((_15_同援日０．５*_15・基礎２),0)*_15・２人),0)*(1+_15・A夜間)),0)*(1+_15・盲ろう)),0)+ROUND((ROUND((ROUND((ROUND((_15_同援日０．５＿０．５*_15・基礎２),0)*_15・２人),0)*(1+_15・B深夜)),0)*(1+_15・盲ろう)),0)</f>
        <v>454</v>
      </c>
      <c r="AC14" s="48"/>
    </row>
    <row r="15" spans="1:29" ht="16.5" customHeight="1" x14ac:dyDescent="0.15">
      <c r="A15" s="41">
        <v>15</v>
      </c>
      <c r="B15" s="41">
        <v>9951</v>
      </c>
      <c r="C15" s="74" t="s">
        <v>19953</v>
      </c>
      <c r="D15" s="72"/>
      <c r="F15" s="57"/>
      <c r="G15" s="72"/>
      <c r="I15" s="57"/>
      <c r="J15" s="53"/>
      <c r="K15" s="49"/>
      <c r="L15" s="50"/>
      <c r="M15" s="163"/>
      <c r="N15" s="45"/>
      <c r="O15" s="46"/>
      <c r="P15" s="35" t="s">
        <v>398</v>
      </c>
      <c r="Q15" s="234">
        <v>0.25</v>
      </c>
      <c r="R15" s="35" t="s">
        <v>398</v>
      </c>
      <c r="S15" s="234">
        <v>0.5</v>
      </c>
      <c r="T15" s="53"/>
      <c r="U15" s="49"/>
      <c r="V15" s="50"/>
      <c r="W15" s="115"/>
      <c r="X15" s="53"/>
      <c r="Y15" s="49"/>
      <c r="Z15" s="50"/>
      <c r="AA15" s="115"/>
      <c r="AB15" s="208">
        <f>ROUND((ROUND((_15_同援日０．５*(1+_15・A夜間)),0)*(1+_15・区３)),0)+ROUND((ROUND((_15_同援日０．５＿０．５*(1+_15・B深夜)),0)*(1+_15・区３)),0)</f>
        <v>484</v>
      </c>
      <c r="AC15" s="48"/>
    </row>
    <row r="16" spans="1:29" ht="16.5" customHeight="1" x14ac:dyDescent="0.15">
      <c r="A16" s="41">
        <v>15</v>
      </c>
      <c r="B16" s="41">
        <v>9952</v>
      </c>
      <c r="C16" s="74" t="s">
        <v>19954</v>
      </c>
      <c r="D16" s="72"/>
      <c r="F16" s="57"/>
      <c r="G16" s="72"/>
      <c r="I16" s="57"/>
      <c r="J16" s="43"/>
      <c r="K16" s="37"/>
      <c r="L16" s="38"/>
      <c r="M16" s="299" t="s">
        <v>17556</v>
      </c>
      <c r="N16" s="45" t="s">
        <v>398</v>
      </c>
      <c r="O16" s="46">
        <v>1</v>
      </c>
      <c r="P16" s="512"/>
      <c r="Q16" s="513" t="s">
        <v>3575</v>
      </c>
      <c r="R16" s="512"/>
      <c r="S16" s="513" t="s">
        <v>3575</v>
      </c>
      <c r="T16" s="35"/>
      <c r="W16" s="57"/>
      <c r="X16" s="35"/>
      <c r="AA16" s="57"/>
      <c r="AB16" s="208">
        <f>ROUND((ROUND((ROUND((_15_同援日０．５*_15・２人),0)*(1+_15・A夜間)),0)*(1+_15・区３)),0)+ROUND((ROUND((ROUND((_15_同援日０．５＿０．５*_15・２人),0)*(1+_15・B深夜)),0)*(1+_15・区３)),0)</f>
        <v>484</v>
      </c>
      <c r="AC16" s="48"/>
    </row>
    <row r="17" spans="1:29" ht="16.5" customHeight="1" x14ac:dyDescent="0.15">
      <c r="A17" s="41">
        <v>15</v>
      </c>
      <c r="B17" s="41">
        <v>9953</v>
      </c>
      <c r="C17" s="74" t="s">
        <v>19955</v>
      </c>
      <c r="D17" s="72"/>
      <c r="F17" s="57"/>
      <c r="G17" s="72"/>
      <c r="I17" s="57"/>
      <c r="J17" s="114" t="s">
        <v>17558</v>
      </c>
      <c r="K17" s="49"/>
      <c r="L17" s="50"/>
      <c r="M17" s="163"/>
      <c r="N17" s="45"/>
      <c r="O17" s="46"/>
      <c r="P17" s="512"/>
      <c r="Q17" s="57"/>
      <c r="R17" s="512"/>
      <c r="S17" s="57"/>
      <c r="T17" s="35"/>
      <c r="W17" s="57"/>
      <c r="X17" s="72" t="s">
        <v>17570</v>
      </c>
      <c r="AA17" s="57"/>
      <c r="AB17" s="208">
        <f>ROUND((ROUND((ROUND((_15_同援日０．５*_15・基礎２),0)*(1+_15・A夜間)),0)*(1+_15・区３)),0)+ROUND((ROUND((ROUND((_15_同援日０．５＿０．５*_15・基礎２),0)*(1+_15・B深夜)),0)*(1+_15・区３)),0)</f>
        <v>436</v>
      </c>
      <c r="AC17" s="48"/>
    </row>
    <row r="18" spans="1:29" ht="16.5" customHeight="1" x14ac:dyDescent="0.15">
      <c r="A18" s="41">
        <v>15</v>
      </c>
      <c r="B18" s="41">
        <v>9954</v>
      </c>
      <c r="C18" s="74" t="s">
        <v>19956</v>
      </c>
      <c r="D18" s="72"/>
      <c r="F18" s="57"/>
      <c r="G18" s="72"/>
      <c r="I18" s="57"/>
      <c r="J18" s="269" t="s">
        <v>17560</v>
      </c>
      <c r="K18" s="37" t="s">
        <v>398</v>
      </c>
      <c r="L18" s="38">
        <v>0.9</v>
      </c>
      <c r="M18" s="299" t="s">
        <v>17556</v>
      </c>
      <c r="N18" s="45" t="s">
        <v>398</v>
      </c>
      <c r="O18" s="46">
        <v>1</v>
      </c>
      <c r="P18" s="512"/>
      <c r="Q18" s="57"/>
      <c r="R18" s="512"/>
      <c r="S18" s="57"/>
      <c r="T18" s="43"/>
      <c r="U18" s="37"/>
      <c r="V18" s="38"/>
      <c r="W18" s="79"/>
      <c r="X18" s="72" t="s">
        <v>17572</v>
      </c>
      <c r="AA18" s="57"/>
      <c r="AB18" s="208">
        <f>ROUND((ROUND((ROUND((ROUND((_15_同援日０．５*_15・基礎２),0)*_15・２人),0)*(1+_15・A夜間)),0)*(1+_15・区３)),0)+ROUND((ROUND((ROUND((ROUND((_15_同援日０．５＿０．５*_15・基礎２),0)*_15・２人),0)*(1+_15・B深夜)),0)*(1+_15・区３)),0)</f>
        <v>436</v>
      </c>
      <c r="AC18" s="48"/>
    </row>
    <row r="19" spans="1:29" ht="16.5" customHeight="1" x14ac:dyDescent="0.15">
      <c r="A19" s="41">
        <v>15</v>
      </c>
      <c r="B19" s="41">
        <v>9955</v>
      </c>
      <c r="C19" s="74" t="s">
        <v>19957</v>
      </c>
      <c r="D19" s="72"/>
      <c r="F19" s="57"/>
      <c r="G19" s="72"/>
      <c r="I19" s="57"/>
      <c r="J19" s="53"/>
      <c r="K19" s="49"/>
      <c r="L19" s="50"/>
      <c r="M19" s="163"/>
      <c r="N19" s="45"/>
      <c r="O19" s="46"/>
      <c r="P19" s="512"/>
      <c r="Q19" s="57"/>
      <c r="R19" s="512"/>
      <c r="S19" s="57"/>
      <c r="T19" s="114" t="s">
        <v>17562</v>
      </c>
      <c r="U19" s="49"/>
      <c r="V19" s="50"/>
      <c r="W19" s="115"/>
      <c r="X19" s="35"/>
      <c r="Y19" s="12" t="s">
        <v>398</v>
      </c>
      <c r="Z19" s="13">
        <v>0.2</v>
      </c>
      <c r="AA19" s="57" t="s">
        <v>3575</v>
      </c>
      <c r="AB19" s="208">
        <f>ROUND((ROUND((ROUND((_15_同援日０．５*(1+_15・A夜間)),0)*(1+_15・盲ろう)),0)*(1+_15・区３)),0)+ROUND((ROUND((ROUND((_15_同援日０．５＿０．５*(1+_15・B深夜)),0)*(1+_15・盲ろう)),0)*(1+_15・区３)),0)</f>
        <v>605</v>
      </c>
      <c r="AC19" s="48"/>
    </row>
    <row r="20" spans="1:29" ht="16.5" customHeight="1" x14ac:dyDescent="0.15">
      <c r="A20" s="41">
        <v>15</v>
      </c>
      <c r="B20" s="41">
        <v>9956</v>
      </c>
      <c r="C20" s="74" t="s">
        <v>19958</v>
      </c>
      <c r="D20" s="72"/>
      <c r="F20" s="57"/>
      <c r="G20" s="72"/>
      <c r="I20" s="57"/>
      <c r="J20" s="43"/>
      <c r="K20" s="37"/>
      <c r="L20" s="38"/>
      <c r="M20" s="299" t="s">
        <v>17556</v>
      </c>
      <c r="N20" s="45" t="s">
        <v>398</v>
      </c>
      <c r="O20" s="46">
        <v>1</v>
      </c>
      <c r="P20" s="512"/>
      <c r="Q20" s="57"/>
      <c r="R20" s="512"/>
      <c r="S20" s="57"/>
      <c r="T20" s="92" t="s">
        <v>17564</v>
      </c>
      <c r="W20" s="57"/>
      <c r="X20" s="35"/>
      <c r="AA20" s="57"/>
      <c r="AB20" s="208">
        <f>ROUND((ROUND((ROUND((ROUND((_15_同援日０．５*_15・２人),0)*(1+_15・A夜間)),0)*(1+_15・盲ろう)),0)*(1+_15・区３)),0)+ROUND((ROUND((ROUND((ROUND((_15_同援日０．５＿０．５*_15・２人),0)*(1+_15・B深夜)),0)*(1+_15・盲ろう)),0)*(1+_15・区３)),0)</f>
        <v>605</v>
      </c>
      <c r="AC20" s="48"/>
    </row>
    <row r="21" spans="1:29" ht="16.5" customHeight="1" x14ac:dyDescent="0.15">
      <c r="A21" s="41">
        <v>15</v>
      </c>
      <c r="B21" s="41">
        <v>9957</v>
      </c>
      <c r="C21" s="74" t="s">
        <v>19959</v>
      </c>
      <c r="D21" s="72"/>
      <c r="F21" s="57"/>
      <c r="G21" s="72"/>
      <c r="I21" s="57"/>
      <c r="J21" s="114" t="s">
        <v>17558</v>
      </c>
      <c r="K21" s="49"/>
      <c r="L21" s="50"/>
      <c r="M21" s="163"/>
      <c r="N21" s="45"/>
      <c r="O21" s="46"/>
      <c r="P21" s="512"/>
      <c r="Q21" s="57"/>
      <c r="R21" s="512"/>
      <c r="S21" s="57"/>
      <c r="T21" s="35"/>
      <c r="U21" s="12" t="s">
        <v>398</v>
      </c>
      <c r="V21" s="13">
        <v>0.25</v>
      </c>
      <c r="W21" s="57" t="s">
        <v>3575</v>
      </c>
      <c r="X21" s="35"/>
      <c r="AA21" s="57"/>
      <c r="AB21" s="208">
        <f>ROUND((ROUND((ROUND((ROUND((_15_同援日０．５*_15・基礎２),0)*(1+_15・A夜間)),0)*(1+_15・盲ろう)),0)*(1+_15・区３)),0)+ROUND((ROUND((ROUND((ROUND((_15_同援日０．５＿０．５*_15・基礎２),0)*(1+_15・B深夜)),0)*(1+_15・盲ろう)),0)*(1+_15・区３)),0)</f>
        <v>545</v>
      </c>
      <c r="AC21" s="48"/>
    </row>
    <row r="22" spans="1:29" ht="16.5" customHeight="1" x14ac:dyDescent="0.15">
      <c r="A22" s="41">
        <v>15</v>
      </c>
      <c r="B22" s="41">
        <v>9958</v>
      </c>
      <c r="C22" s="74" t="s">
        <v>19960</v>
      </c>
      <c r="D22" s="72"/>
      <c r="F22" s="57"/>
      <c r="G22" s="72"/>
      <c r="I22" s="57"/>
      <c r="J22" s="269" t="s">
        <v>17560</v>
      </c>
      <c r="K22" s="37" t="s">
        <v>398</v>
      </c>
      <c r="L22" s="38">
        <v>0.9</v>
      </c>
      <c r="M22" s="299" t="s">
        <v>17556</v>
      </c>
      <c r="N22" s="45" t="s">
        <v>398</v>
      </c>
      <c r="O22" s="46">
        <v>1</v>
      </c>
      <c r="P22" s="512"/>
      <c r="Q22" s="57"/>
      <c r="R22" s="512"/>
      <c r="S22" s="57"/>
      <c r="T22" s="43"/>
      <c r="U22" s="37"/>
      <c r="V22" s="38"/>
      <c r="W22" s="79"/>
      <c r="X22" s="43"/>
      <c r="Y22" s="37"/>
      <c r="Z22" s="38"/>
      <c r="AA22" s="79"/>
      <c r="AB22" s="208">
        <f>ROUND((ROUND((ROUND((ROUND((ROUND((_15_同援日０．５*_15・基礎２),0)*_15・２人),0)*(1+_15・A夜間)),0)*(1+_15・盲ろう)),0)*(1+_15・区３)),0)+ROUND((ROUND((ROUND((ROUND((ROUND((_15_同援日０．５＿０．５*_15・基礎２),0)*_15・２人),0)*(1+_15・B深夜)),0)*(1+_15・盲ろう)),0)*(1+_15・区３)),0)</f>
        <v>545</v>
      </c>
      <c r="AC22" s="48"/>
    </row>
    <row r="23" spans="1:29" ht="16.5" customHeight="1" x14ac:dyDescent="0.15">
      <c r="A23" s="41">
        <v>15</v>
      </c>
      <c r="B23" s="41">
        <v>9959</v>
      </c>
      <c r="C23" s="74" t="s">
        <v>19961</v>
      </c>
      <c r="D23" s="72"/>
      <c r="F23" s="57"/>
      <c r="G23" s="72"/>
      <c r="I23" s="57"/>
      <c r="J23" s="53"/>
      <c r="K23" s="49"/>
      <c r="L23" s="50"/>
      <c r="M23" s="163"/>
      <c r="N23" s="45"/>
      <c r="O23" s="46"/>
      <c r="P23" s="512"/>
      <c r="Q23" s="57"/>
      <c r="R23" s="512"/>
      <c r="S23" s="57"/>
      <c r="T23" s="53"/>
      <c r="U23" s="49"/>
      <c r="V23" s="50"/>
      <c r="W23" s="115"/>
      <c r="X23" s="53"/>
      <c r="Y23" s="49"/>
      <c r="Z23" s="50"/>
      <c r="AA23" s="115"/>
      <c r="AB23" s="208">
        <f>ROUND((ROUND((_15_同援日０．５*(1+_15・A夜間)),0)*(1+_15・区４)),0)+ROUND((ROUND((_15_同援日０．５＿０．５*(1+_15・B深夜)),0)*(1+_15・区４)),0)</f>
        <v>564</v>
      </c>
      <c r="AC23" s="48"/>
    </row>
    <row r="24" spans="1:29" ht="16.5" customHeight="1" x14ac:dyDescent="0.15">
      <c r="A24" s="41">
        <v>15</v>
      </c>
      <c r="B24" s="41">
        <v>9960</v>
      </c>
      <c r="C24" s="74" t="s">
        <v>19962</v>
      </c>
      <c r="D24" s="72"/>
      <c r="F24" s="57"/>
      <c r="G24" s="72"/>
      <c r="I24" s="57"/>
      <c r="J24" s="43"/>
      <c r="K24" s="37"/>
      <c r="L24" s="38"/>
      <c r="M24" s="299" t="s">
        <v>17556</v>
      </c>
      <c r="N24" s="45" t="s">
        <v>398</v>
      </c>
      <c r="O24" s="46">
        <v>1</v>
      </c>
      <c r="P24" s="512"/>
      <c r="Q24" s="57"/>
      <c r="R24" s="512"/>
      <c r="S24" s="57"/>
      <c r="T24" s="35"/>
      <c r="W24" s="57"/>
      <c r="X24" s="35"/>
      <c r="AA24" s="57"/>
      <c r="AB24" s="208">
        <f>ROUND((ROUND((ROUND((_15_同援日０．５*_15・２人),0)*(1+_15・A夜間)),0)*(1+_15・区４)),0)+ROUND((ROUND((ROUND((_15_同援日０．５＿０．５*_15・２人),0)*(1+_15・B深夜)),0)*(1+_15・区４)),0)</f>
        <v>564</v>
      </c>
      <c r="AC24" s="48"/>
    </row>
    <row r="25" spans="1:29" ht="16.5" customHeight="1" x14ac:dyDescent="0.15">
      <c r="A25" s="41">
        <v>15</v>
      </c>
      <c r="B25" s="41">
        <v>9961</v>
      </c>
      <c r="C25" s="74" t="s">
        <v>19963</v>
      </c>
      <c r="D25" s="72"/>
      <c r="F25" s="57"/>
      <c r="G25" s="72"/>
      <c r="I25" s="57"/>
      <c r="J25" s="114" t="s">
        <v>17558</v>
      </c>
      <c r="K25" s="49"/>
      <c r="L25" s="50"/>
      <c r="M25" s="163"/>
      <c r="N25" s="45"/>
      <c r="O25" s="46"/>
      <c r="P25" s="512"/>
      <c r="Q25" s="57"/>
      <c r="R25" s="512"/>
      <c r="S25" s="57"/>
      <c r="T25" s="35"/>
      <c r="W25" s="57"/>
      <c r="X25" s="72" t="s">
        <v>17580</v>
      </c>
      <c r="AA25" s="57"/>
      <c r="AB25" s="208">
        <f>ROUND((ROUND((ROUND((_15_同援日０．５*_15・基礎２),0)*(1+_15・A夜間)),0)*(1+_15・区４)),0)+ROUND((ROUND((ROUND((_15_同援日０．５＿０．５*_15・基礎２),0)*(1+_15・B深夜)),0)*(1+_15・区４)),0)</f>
        <v>509</v>
      </c>
      <c r="AC25" s="48"/>
    </row>
    <row r="26" spans="1:29" ht="16.5" customHeight="1" x14ac:dyDescent="0.15">
      <c r="A26" s="41">
        <v>15</v>
      </c>
      <c r="B26" s="41">
        <v>9962</v>
      </c>
      <c r="C26" s="74" t="s">
        <v>19964</v>
      </c>
      <c r="D26" s="72"/>
      <c r="F26" s="57"/>
      <c r="G26" s="72"/>
      <c r="I26" s="57"/>
      <c r="J26" s="269" t="s">
        <v>17560</v>
      </c>
      <c r="K26" s="37" t="s">
        <v>398</v>
      </c>
      <c r="L26" s="38">
        <v>0.9</v>
      </c>
      <c r="M26" s="299" t="s">
        <v>17556</v>
      </c>
      <c r="N26" s="45" t="s">
        <v>398</v>
      </c>
      <c r="O26" s="46">
        <v>1</v>
      </c>
      <c r="P26" s="512"/>
      <c r="Q26" s="57"/>
      <c r="R26" s="512"/>
      <c r="S26" s="57"/>
      <c r="T26" s="43"/>
      <c r="U26" s="37"/>
      <c r="V26" s="38"/>
      <c r="W26" s="79"/>
      <c r="X26" s="72" t="s">
        <v>17572</v>
      </c>
      <c r="AA26" s="57"/>
      <c r="AB26" s="208">
        <f>ROUND((ROUND((ROUND((ROUND((_15_同援日０．５*_15・基礎２),0)*_15・２人),0)*(1+_15・A夜間)),0)*(1+_15・区４)),0)+ROUND((ROUND((ROUND((ROUND((_15_同援日０．５＿０．５*_15・基礎２),0)*_15・２人),0)*(1+_15・B深夜)),0)*(1+_15・区４)),0)</f>
        <v>509</v>
      </c>
      <c r="AC26" s="48"/>
    </row>
    <row r="27" spans="1:29" ht="16.5" customHeight="1" x14ac:dyDescent="0.15">
      <c r="A27" s="41">
        <v>15</v>
      </c>
      <c r="B27" s="41">
        <v>9963</v>
      </c>
      <c r="C27" s="74" t="s">
        <v>19965</v>
      </c>
      <c r="D27" s="72"/>
      <c r="F27" s="57"/>
      <c r="G27" s="72"/>
      <c r="I27" s="57"/>
      <c r="J27" s="53"/>
      <c r="K27" s="49"/>
      <c r="L27" s="50"/>
      <c r="M27" s="163"/>
      <c r="N27" s="45"/>
      <c r="O27" s="46"/>
      <c r="P27" s="512"/>
      <c r="Q27" s="57"/>
      <c r="R27" s="512"/>
      <c r="S27" s="57"/>
      <c r="T27" s="114" t="s">
        <v>17562</v>
      </c>
      <c r="U27" s="49"/>
      <c r="V27" s="50"/>
      <c r="W27" s="115"/>
      <c r="X27" s="35"/>
      <c r="Y27" s="12" t="s">
        <v>398</v>
      </c>
      <c r="Z27" s="13">
        <v>0.4</v>
      </c>
      <c r="AA27" s="57" t="s">
        <v>3575</v>
      </c>
      <c r="AB27" s="208">
        <f>ROUND((ROUND((ROUND((_15_同援日０．５*(1+_15・A夜間)),0)*(1+_15・盲ろう)),0)*(1+_15・区４)),0)+ROUND((ROUND((ROUND((_15_同援日０．５＿０．５*(1+_15・B深夜)),0)*(1+_15・盲ろう)),0)*(1+_15・区４)),0)</f>
        <v>705</v>
      </c>
      <c r="AC27" s="48"/>
    </row>
    <row r="28" spans="1:29" ht="16.5" customHeight="1" x14ac:dyDescent="0.15">
      <c r="A28" s="41">
        <v>15</v>
      </c>
      <c r="B28" s="41">
        <v>9964</v>
      </c>
      <c r="C28" s="74" t="s">
        <v>19966</v>
      </c>
      <c r="D28" s="72"/>
      <c r="F28" s="57"/>
      <c r="G28" s="72"/>
      <c r="I28" s="57"/>
      <c r="J28" s="43"/>
      <c r="K28" s="37"/>
      <c r="L28" s="38"/>
      <c r="M28" s="299" t="s">
        <v>17556</v>
      </c>
      <c r="N28" s="45" t="s">
        <v>398</v>
      </c>
      <c r="O28" s="46">
        <v>1</v>
      </c>
      <c r="P28" s="512"/>
      <c r="Q28" s="57"/>
      <c r="R28" s="512"/>
      <c r="S28" s="57"/>
      <c r="T28" s="92" t="s">
        <v>17564</v>
      </c>
      <c r="W28" s="57"/>
      <c r="X28" s="35"/>
      <c r="AA28" s="57"/>
      <c r="AB28" s="208">
        <f>ROUND((ROUND((ROUND((ROUND((_15_同援日０．５*_15・２人),0)*(1+_15・A夜間)),0)*(1+_15・盲ろう)),0)*(1+_15・区４)),0)+ROUND((ROUND((ROUND((ROUND((_15_同援日０．５＿０．５*_15・２人),0)*(1+_15・B深夜)),0)*(1+_15・盲ろう)),0)*(1+_15・区４)),0)</f>
        <v>705</v>
      </c>
      <c r="AC28" s="48"/>
    </row>
    <row r="29" spans="1:29" ht="16.5" customHeight="1" x14ac:dyDescent="0.15">
      <c r="A29" s="41">
        <v>15</v>
      </c>
      <c r="B29" s="41">
        <v>9965</v>
      </c>
      <c r="C29" s="74" t="s">
        <v>19967</v>
      </c>
      <c r="D29" s="72"/>
      <c r="F29" s="57"/>
      <c r="G29" s="72"/>
      <c r="I29" s="57"/>
      <c r="J29" s="114" t="s">
        <v>17558</v>
      </c>
      <c r="K29" s="49"/>
      <c r="L29" s="50"/>
      <c r="M29" s="163"/>
      <c r="N29" s="45"/>
      <c r="O29" s="46"/>
      <c r="P29" s="512"/>
      <c r="Q29" s="57"/>
      <c r="R29" s="512"/>
      <c r="S29" s="57"/>
      <c r="T29" s="35"/>
      <c r="U29" s="12" t="s">
        <v>398</v>
      </c>
      <c r="V29" s="13">
        <v>0.25</v>
      </c>
      <c r="W29" s="57" t="s">
        <v>3575</v>
      </c>
      <c r="X29" s="35"/>
      <c r="AA29" s="57"/>
      <c r="AB29" s="208">
        <f>ROUND((ROUND((ROUND((ROUND((_15_同援日０．５*_15・基礎２),0)*(1+_15・A夜間)),0)*(1+_15・盲ろう)),0)*(1+_15・区４)),0)+ROUND((ROUND((ROUND((ROUND((_15_同援日０．５＿０．５*_15・基礎２),0)*(1+_15・B深夜)),0)*(1+_15・盲ろう)),0)*(1+_15・区４)),0)</f>
        <v>635</v>
      </c>
      <c r="AC29" s="48"/>
    </row>
    <row r="30" spans="1:29" ht="16.5" customHeight="1" x14ac:dyDescent="0.15">
      <c r="A30" s="41">
        <v>15</v>
      </c>
      <c r="B30" s="41">
        <v>9966</v>
      </c>
      <c r="C30" s="74" t="s">
        <v>19968</v>
      </c>
      <c r="D30" s="72"/>
      <c r="F30" s="57"/>
      <c r="G30" s="122"/>
      <c r="H30" s="37"/>
      <c r="I30" s="79"/>
      <c r="J30" s="269" t="s">
        <v>17560</v>
      </c>
      <c r="K30" s="37" t="s">
        <v>398</v>
      </c>
      <c r="L30" s="38">
        <v>0.9</v>
      </c>
      <c r="M30" s="299" t="s">
        <v>17556</v>
      </c>
      <c r="N30" s="45" t="s">
        <v>398</v>
      </c>
      <c r="O30" s="46">
        <v>1</v>
      </c>
      <c r="P30" s="512"/>
      <c r="Q30" s="57"/>
      <c r="R30" s="512"/>
      <c r="S30" s="57"/>
      <c r="T30" s="43"/>
      <c r="U30" s="37"/>
      <c r="V30" s="38"/>
      <c r="W30" s="79"/>
      <c r="X30" s="43"/>
      <c r="Y30" s="37"/>
      <c r="Z30" s="38"/>
      <c r="AA30" s="79"/>
      <c r="AB30" s="208">
        <f>ROUND((ROUND((ROUND((ROUND((ROUND((_15_同援日０．５*_15・基礎２),0)*_15・２人),0)*(1+_15・A夜間)),0)*(1+_15・盲ろう)),0)*(1+_15・区４)),0)+ROUND((ROUND((ROUND((ROUND((ROUND((_15_同援日０．５＿０．５*_15・基礎２),0)*_15・２人),0)*(1+_15・B深夜)),0)*(1+_15・盲ろう)),0)*(1+_15・区４)),0)</f>
        <v>635</v>
      </c>
      <c r="AC30" s="48"/>
    </row>
    <row r="31" spans="1:29" ht="16.5" customHeight="1" x14ac:dyDescent="0.15">
      <c r="A31" s="41">
        <v>15</v>
      </c>
      <c r="B31" s="41">
        <v>9967</v>
      </c>
      <c r="C31" s="74" t="s">
        <v>19969</v>
      </c>
      <c r="D31" s="72"/>
      <c r="F31" s="57"/>
      <c r="G31" s="114" t="s">
        <v>19970</v>
      </c>
      <c r="H31" s="49"/>
      <c r="I31" s="115"/>
      <c r="J31" s="53"/>
      <c r="K31" s="49"/>
      <c r="L31" s="50"/>
      <c r="M31" s="163"/>
      <c r="N31" s="45"/>
      <c r="O31" s="46"/>
      <c r="P31" s="512"/>
      <c r="Q31" s="57"/>
      <c r="R31" s="512"/>
      <c r="S31" s="57"/>
      <c r="T31" s="53"/>
      <c r="U31" s="49"/>
      <c r="V31" s="50"/>
      <c r="W31" s="115"/>
      <c r="X31" s="53"/>
      <c r="Y31" s="49"/>
      <c r="Z31" s="50"/>
      <c r="AA31" s="115"/>
      <c r="AB31" s="208">
        <f>ROUND((_15_同援日０．５*(1+_15・A夜間)),0)+ROUND((_15_同援日０．５＿１．０*(1+_15・B深夜)),0)</f>
        <v>603</v>
      </c>
      <c r="AC31" s="48"/>
    </row>
    <row r="32" spans="1:29" ht="16.5" customHeight="1" x14ac:dyDescent="0.15">
      <c r="A32" s="41">
        <v>15</v>
      </c>
      <c r="B32" s="41">
        <v>9968</v>
      </c>
      <c r="C32" s="74" t="s">
        <v>19971</v>
      </c>
      <c r="D32" s="72"/>
      <c r="F32" s="57"/>
      <c r="G32" s="72" t="s">
        <v>17589</v>
      </c>
      <c r="I32" s="57"/>
      <c r="J32" s="43"/>
      <c r="K32" s="37"/>
      <c r="L32" s="38"/>
      <c r="M32" s="299" t="s">
        <v>17556</v>
      </c>
      <c r="N32" s="45" t="s">
        <v>398</v>
      </c>
      <c r="O32" s="46">
        <v>1</v>
      </c>
      <c r="P32" s="512"/>
      <c r="Q32" s="57"/>
      <c r="R32" s="512"/>
      <c r="S32" s="57"/>
      <c r="T32" s="35"/>
      <c r="W32" s="57"/>
      <c r="X32" s="35"/>
      <c r="AA32" s="57"/>
      <c r="AB32" s="208">
        <f>ROUND((ROUND((_15_同援日０．５*_15・２人),0)*(1+_15・A夜間)),0)+ROUND((ROUND((_15_同援日０．５＿１．０*_15・２人),0)*(1+_15・B深夜)),0)</f>
        <v>603</v>
      </c>
      <c r="AC32" s="48"/>
    </row>
    <row r="33" spans="1:29" ht="16.5" customHeight="1" x14ac:dyDescent="0.15">
      <c r="A33" s="41">
        <v>15</v>
      </c>
      <c r="B33" s="41">
        <v>9969</v>
      </c>
      <c r="C33" s="74" t="s">
        <v>19972</v>
      </c>
      <c r="D33" s="72"/>
      <c r="F33" s="57"/>
      <c r="G33" s="72" t="s">
        <v>17591</v>
      </c>
      <c r="I33" s="57"/>
      <c r="J33" s="114" t="s">
        <v>17558</v>
      </c>
      <c r="K33" s="49"/>
      <c r="L33" s="50"/>
      <c r="M33" s="163"/>
      <c r="N33" s="45"/>
      <c r="O33" s="46"/>
      <c r="P33" s="512"/>
      <c r="Q33" s="57"/>
      <c r="R33" s="512"/>
      <c r="S33" s="57"/>
      <c r="T33" s="35"/>
      <c r="W33" s="57"/>
      <c r="X33" s="35"/>
      <c r="AA33" s="57"/>
      <c r="AB33" s="208">
        <f>ROUND((ROUND((_15_同援日０．５*_15・基礎２),0)*(1+_15・A夜間)),0)+ROUND((ROUND((_15_同援日０．５＿１．０*_15・基礎２),0)*(1+_15・B深夜)),0)</f>
        <v>543</v>
      </c>
      <c r="AC33" s="48"/>
    </row>
    <row r="34" spans="1:29" ht="16.5" customHeight="1" x14ac:dyDescent="0.15">
      <c r="A34" s="41">
        <v>15</v>
      </c>
      <c r="B34" s="41">
        <v>9970</v>
      </c>
      <c r="C34" s="74" t="s">
        <v>19973</v>
      </c>
      <c r="D34" s="72"/>
      <c r="F34" s="57"/>
      <c r="G34" s="72"/>
      <c r="H34" s="168">
        <f>_15_同援日０．５＿１．０</f>
        <v>243</v>
      </c>
      <c r="I34" s="57" t="s">
        <v>392</v>
      </c>
      <c r="J34" s="269" t="s">
        <v>17560</v>
      </c>
      <c r="K34" s="37" t="s">
        <v>398</v>
      </c>
      <c r="L34" s="38">
        <v>0.9</v>
      </c>
      <c r="M34" s="299" t="s">
        <v>17556</v>
      </c>
      <c r="N34" s="45" t="s">
        <v>398</v>
      </c>
      <c r="O34" s="46">
        <v>1</v>
      </c>
      <c r="P34" s="512"/>
      <c r="Q34" s="57"/>
      <c r="R34" s="512"/>
      <c r="S34" s="57"/>
      <c r="T34" s="43"/>
      <c r="U34" s="37"/>
      <c r="V34" s="38"/>
      <c r="W34" s="79"/>
      <c r="X34" s="35"/>
      <c r="AA34" s="57"/>
      <c r="AB34" s="208">
        <f>ROUND((ROUND((ROUND((_15_同援日０．５*_15・基礎２),0)*_15・２人),0)*(1+_15・A夜間)),0)+ROUND((ROUND((ROUND((_15_同援日０．５＿１．０*_15・基礎２),0)*_15・２人),0)*(1+_15・B深夜)),0)</f>
        <v>543</v>
      </c>
      <c r="AC34" s="48"/>
    </row>
    <row r="35" spans="1:29" ht="16.5" customHeight="1" x14ac:dyDescent="0.15">
      <c r="A35" s="41">
        <v>15</v>
      </c>
      <c r="B35" s="41">
        <v>9971</v>
      </c>
      <c r="C35" s="74" t="s">
        <v>19974</v>
      </c>
      <c r="D35" s="72"/>
      <c r="F35" s="57"/>
      <c r="G35" s="72"/>
      <c r="I35" s="57"/>
      <c r="J35" s="53"/>
      <c r="K35" s="49"/>
      <c r="L35" s="50"/>
      <c r="M35" s="163"/>
      <c r="N35" s="45"/>
      <c r="O35" s="46"/>
      <c r="P35" s="512"/>
      <c r="Q35" s="57"/>
      <c r="R35" s="512"/>
      <c r="S35" s="57"/>
      <c r="T35" s="114" t="s">
        <v>17562</v>
      </c>
      <c r="U35" s="49"/>
      <c r="V35" s="50"/>
      <c r="W35" s="115"/>
      <c r="X35" s="35"/>
      <c r="AA35" s="57"/>
      <c r="AB35" s="208">
        <f>ROUND((ROUND((_15_同援日０．５*(1+_15・A夜間)),0)*(1+_15・盲ろう)),0)+ROUND((ROUND((_15_同援日０．５＿１．０*(1+_15・B深夜)),0)*(1+_15・盲ろう)),0)</f>
        <v>754</v>
      </c>
      <c r="AC35" s="48"/>
    </row>
    <row r="36" spans="1:29" ht="16.5" customHeight="1" x14ac:dyDescent="0.15">
      <c r="A36" s="41">
        <v>15</v>
      </c>
      <c r="B36" s="41">
        <v>9972</v>
      </c>
      <c r="C36" s="74" t="s">
        <v>19975</v>
      </c>
      <c r="D36" s="72"/>
      <c r="F36" s="57"/>
      <c r="G36" s="72"/>
      <c r="I36" s="57"/>
      <c r="J36" s="43"/>
      <c r="K36" s="37"/>
      <c r="L36" s="38"/>
      <c r="M36" s="299" t="s">
        <v>17556</v>
      </c>
      <c r="N36" s="45" t="s">
        <v>398</v>
      </c>
      <c r="O36" s="46">
        <v>1</v>
      </c>
      <c r="P36" s="512"/>
      <c r="Q36" s="57"/>
      <c r="R36" s="512"/>
      <c r="S36" s="57"/>
      <c r="T36" s="92" t="s">
        <v>17564</v>
      </c>
      <c r="W36" s="57"/>
      <c r="X36" s="35"/>
      <c r="AA36" s="57"/>
      <c r="AB36" s="208">
        <f>ROUND((ROUND((ROUND((_15_同援日０．５*_15・２人),0)*(1+_15・A夜間)),0)*(1+_15・盲ろう)),0)+ROUND((ROUND((ROUND((_15_同援日０．５＿１．０*_15・２人),0)*(1+_15・B深夜)),0)*(1+_15・盲ろう)),0)</f>
        <v>754</v>
      </c>
      <c r="AC36" s="48"/>
    </row>
    <row r="37" spans="1:29" ht="16.5" customHeight="1" x14ac:dyDescent="0.15">
      <c r="A37" s="41">
        <v>15</v>
      </c>
      <c r="B37" s="41">
        <v>9973</v>
      </c>
      <c r="C37" s="74" t="s">
        <v>19976</v>
      </c>
      <c r="D37" s="72"/>
      <c r="F37" s="57"/>
      <c r="G37" s="72"/>
      <c r="I37" s="57"/>
      <c r="J37" s="114" t="s">
        <v>17558</v>
      </c>
      <c r="K37" s="49"/>
      <c r="L37" s="50"/>
      <c r="M37" s="163"/>
      <c r="N37" s="45"/>
      <c r="O37" s="46"/>
      <c r="P37" s="512"/>
      <c r="Q37" s="57"/>
      <c r="R37" s="512"/>
      <c r="S37" s="57"/>
      <c r="T37" s="35"/>
      <c r="U37" s="12" t="s">
        <v>398</v>
      </c>
      <c r="V37" s="13">
        <v>0.25</v>
      </c>
      <c r="W37" s="57" t="s">
        <v>3575</v>
      </c>
      <c r="X37" s="35"/>
      <c r="AA37" s="57"/>
      <c r="AB37" s="208">
        <f>ROUND((ROUND((ROUND((_15_同援日０．５*_15・基礎２),0)*(1+_15・A夜間)),0)*(1+_15・盲ろう)),0)+ROUND((ROUND((ROUND((_15_同援日０．５＿１．０*_15・基礎２),0)*(1+_15・B深夜)),0)*(1+_15・盲ろう)),0)</f>
        <v>679</v>
      </c>
      <c r="AC37" s="48"/>
    </row>
    <row r="38" spans="1:29" ht="16.5" customHeight="1" x14ac:dyDescent="0.15">
      <c r="A38" s="41">
        <v>15</v>
      </c>
      <c r="B38" s="41">
        <v>9974</v>
      </c>
      <c r="C38" s="74" t="s">
        <v>19977</v>
      </c>
      <c r="D38" s="72"/>
      <c r="F38" s="57"/>
      <c r="G38" s="72"/>
      <c r="I38" s="57"/>
      <c r="J38" s="269" t="s">
        <v>17560</v>
      </c>
      <c r="K38" s="37" t="s">
        <v>398</v>
      </c>
      <c r="L38" s="38">
        <v>0.9</v>
      </c>
      <c r="M38" s="299" t="s">
        <v>17556</v>
      </c>
      <c r="N38" s="45" t="s">
        <v>398</v>
      </c>
      <c r="O38" s="46">
        <v>1</v>
      </c>
      <c r="P38" s="512"/>
      <c r="Q38" s="57"/>
      <c r="R38" s="512"/>
      <c r="S38" s="57"/>
      <c r="T38" s="43"/>
      <c r="U38" s="37"/>
      <c r="V38" s="38"/>
      <c r="W38" s="79"/>
      <c r="X38" s="43"/>
      <c r="Y38" s="37"/>
      <c r="Z38" s="38"/>
      <c r="AA38" s="79"/>
      <c r="AB38" s="208">
        <f>ROUND((ROUND((ROUND((ROUND((_15_同援日０．５*_15・基礎２),0)*_15・２人),0)*(1+_15・A夜間)),0)*(1+_15・盲ろう)),0)+ROUND((ROUND((ROUND((ROUND((_15_同援日０．５＿１．０*_15・基礎２),0)*_15・２人),0)*(1+_15・B深夜)),0)*(1+_15・盲ろう)),0)</f>
        <v>679</v>
      </c>
      <c r="AC38" s="48"/>
    </row>
    <row r="39" spans="1:29" ht="16.5" customHeight="1" x14ac:dyDescent="0.15">
      <c r="A39" s="41">
        <v>15</v>
      </c>
      <c r="B39" s="41">
        <v>9975</v>
      </c>
      <c r="C39" s="74" t="s">
        <v>19978</v>
      </c>
      <c r="D39" s="72"/>
      <c r="F39" s="57"/>
      <c r="G39" s="72"/>
      <c r="I39" s="57"/>
      <c r="J39" s="53"/>
      <c r="K39" s="49"/>
      <c r="L39" s="50"/>
      <c r="M39" s="163"/>
      <c r="N39" s="45"/>
      <c r="O39" s="46"/>
      <c r="P39" s="512"/>
      <c r="Q39" s="57"/>
      <c r="R39" s="512"/>
      <c r="S39" s="57"/>
      <c r="T39" s="53"/>
      <c r="U39" s="49"/>
      <c r="V39" s="50"/>
      <c r="W39" s="115"/>
      <c r="X39" s="53"/>
      <c r="Y39" s="49"/>
      <c r="Z39" s="50"/>
      <c r="AA39" s="115"/>
      <c r="AB39" s="208">
        <f>ROUND((ROUND((_15_同援日０．５*(1+_15・A夜間)),0)*(1+_15・区３)),0)+ROUND((ROUND((_15_同援日０．５＿１．０*(1+_15・B深夜)),0)*(1+_15・区３)),0)</f>
        <v>724</v>
      </c>
      <c r="AC39" s="48"/>
    </row>
    <row r="40" spans="1:29" ht="16.5" customHeight="1" x14ac:dyDescent="0.15">
      <c r="A40" s="41">
        <v>15</v>
      </c>
      <c r="B40" s="41">
        <v>9976</v>
      </c>
      <c r="C40" s="74" t="s">
        <v>19979</v>
      </c>
      <c r="D40" s="72"/>
      <c r="F40" s="57"/>
      <c r="G40" s="72"/>
      <c r="I40" s="57"/>
      <c r="J40" s="43"/>
      <c r="K40" s="37"/>
      <c r="L40" s="38"/>
      <c r="M40" s="299" t="s">
        <v>17556</v>
      </c>
      <c r="N40" s="45" t="s">
        <v>398</v>
      </c>
      <c r="O40" s="46">
        <v>1</v>
      </c>
      <c r="P40" s="512"/>
      <c r="Q40" s="57"/>
      <c r="R40" s="512"/>
      <c r="S40" s="57"/>
      <c r="T40" s="35"/>
      <c r="W40" s="57"/>
      <c r="X40" s="35"/>
      <c r="AA40" s="57"/>
      <c r="AB40" s="208">
        <f>ROUND((ROUND((ROUND((_15_同援日０．５*_15・２人),0)*(1+_15・A夜間)),0)*(1+_15・区３)),0)+ROUND((ROUND((ROUND((_15_同援日０．５＿１．０*_15・２人),0)*(1+_15・B深夜)),0)*(1+_15・区３)),0)</f>
        <v>724</v>
      </c>
      <c r="AC40" s="48"/>
    </row>
    <row r="41" spans="1:29" ht="16.5" customHeight="1" x14ac:dyDescent="0.15">
      <c r="A41" s="41">
        <v>15</v>
      </c>
      <c r="B41" s="41">
        <v>9977</v>
      </c>
      <c r="C41" s="74" t="s">
        <v>19980</v>
      </c>
      <c r="D41" s="72"/>
      <c r="F41" s="57"/>
      <c r="G41" s="72"/>
      <c r="I41" s="57"/>
      <c r="J41" s="114" t="s">
        <v>17558</v>
      </c>
      <c r="K41" s="49"/>
      <c r="L41" s="50"/>
      <c r="M41" s="163"/>
      <c r="N41" s="45"/>
      <c r="O41" s="46"/>
      <c r="P41" s="512"/>
      <c r="Q41" s="57"/>
      <c r="R41" s="512"/>
      <c r="S41" s="57"/>
      <c r="T41" s="35"/>
      <c r="W41" s="57"/>
      <c r="X41" s="72" t="s">
        <v>17570</v>
      </c>
      <c r="AA41" s="57"/>
      <c r="AB41" s="208">
        <f>ROUND((ROUND((ROUND((_15_同援日０．５*_15・基礎２),0)*(1+_15・A夜間)),0)*(1+_15・区３)),0)+ROUND((ROUND((ROUND((_15_同援日０．５＿１．０*_15・基礎２),0)*(1+_15・B深夜)),0)*(1+_15・区３)),0)</f>
        <v>652</v>
      </c>
      <c r="AC41" s="48"/>
    </row>
    <row r="42" spans="1:29" ht="16.5" customHeight="1" x14ac:dyDescent="0.15">
      <c r="A42" s="41">
        <v>15</v>
      </c>
      <c r="B42" s="41">
        <v>9978</v>
      </c>
      <c r="C42" s="74" t="s">
        <v>19981</v>
      </c>
      <c r="D42" s="72"/>
      <c r="F42" s="57"/>
      <c r="G42" s="72"/>
      <c r="I42" s="57"/>
      <c r="J42" s="269" t="s">
        <v>17560</v>
      </c>
      <c r="K42" s="37" t="s">
        <v>398</v>
      </c>
      <c r="L42" s="38">
        <v>0.9</v>
      </c>
      <c r="M42" s="299" t="s">
        <v>17556</v>
      </c>
      <c r="N42" s="45" t="s">
        <v>398</v>
      </c>
      <c r="O42" s="46">
        <v>1</v>
      </c>
      <c r="P42" s="512"/>
      <c r="Q42" s="57"/>
      <c r="R42" s="512"/>
      <c r="S42" s="57"/>
      <c r="T42" s="43"/>
      <c r="U42" s="37"/>
      <c r="V42" s="38"/>
      <c r="W42" s="79"/>
      <c r="X42" s="72" t="s">
        <v>17572</v>
      </c>
      <c r="AA42" s="57"/>
      <c r="AB42" s="208">
        <f>ROUND((ROUND((ROUND((ROUND((_15_同援日０．５*_15・基礎２),0)*_15・２人),0)*(1+_15・A夜間)),0)*(1+_15・区３)),0)+ROUND((ROUND((ROUND((ROUND((_15_同援日０．５＿１．０*_15・基礎２),0)*_15・２人),0)*(1+_15・B深夜)),0)*(1+_15・区３)),0)</f>
        <v>652</v>
      </c>
      <c r="AC42" s="48"/>
    </row>
    <row r="43" spans="1:29" ht="16.5" customHeight="1" x14ac:dyDescent="0.15">
      <c r="A43" s="41">
        <v>15</v>
      </c>
      <c r="B43" s="41">
        <v>9979</v>
      </c>
      <c r="C43" s="74" t="s">
        <v>19982</v>
      </c>
      <c r="D43" s="72"/>
      <c r="F43" s="57"/>
      <c r="G43" s="72"/>
      <c r="I43" s="57"/>
      <c r="J43" s="53"/>
      <c r="K43" s="49"/>
      <c r="L43" s="50"/>
      <c r="M43" s="163"/>
      <c r="N43" s="45"/>
      <c r="O43" s="46"/>
      <c r="P43" s="512"/>
      <c r="Q43" s="57"/>
      <c r="R43" s="512"/>
      <c r="S43" s="57"/>
      <c r="T43" s="114" t="s">
        <v>17562</v>
      </c>
      <c r="U43" s="49"/>
      <c r="V43" s="50"/>
      <c r="W43" s="115"/>
      <c r="X43" s="35"/>
      <c r="Y43" s="12" t="s">
        <v>398</v>
      </c>
      <c r="Z43" s="13">
        <v>0.2</v>
      </c>
      <c r="AA43" s="57" t="s">
        <v>3575</v>
      </c>
      <c r="AB43" s="208">
        <f>ROUND((ROUND((ROUND((_15_同援日０．５*(1+_15・A夜間)),0)*(1+_15・盲ろう)),0)*(1+_15・区３)),0)+ROUND((ROUND((ROUND((_15_同援日０．５＿１．０*(1+_15・B深夜)),0)*(1+_15・盲ろう)),0)*(1+_15・区３)),0)</f>
        <v>905</v>
      </c>
      <c r="AC43" s="48"/>
    </row>
    <row r="44" spans="1:29" ht="16.5" customHeight="1" x14ac:dyDescent="0.15">
      <c r="A44" s="41">
        <v>15</v>
      </c>
      <c r="B44" s="41">
        <v>9980</v>
      </c>
      <c r="C44" s="74" t="s">
        <v>19983</v>
      </c>
      <c r="D44" s="72"/>
      <c r="F44" s="57"/>
      <c r="G44" s="72"/>
      <c r="I44" s="57"/>
      <c r="J44" s="43"/>
      <c r="K44" s="37"/>
      <c r="L44" s="38"/>
      <c r="M44" s="299" t="s">
        <v>17556</v>
      </c>
      <c r="N44" s="45" t="s">
        <v>398</v>
      </c>
      <c r="O44" s="46">
        <v>1</v>
      </c>
      <c r="P44" s="512"/>
      <c r="Q44" s="57"/>
      <c r="R44" s="512"/>
      <c r="S44" s="57"/>
      <c r="T44" s="92" t="s">
        <v>17564</v>
      </c>
      <c r="W44" s="57"/>
      <c r="X44" s="35"/>
      <c r="AA44" s="57"/>
      <c r="AB44" s="208">
        <f>ROUND((ROUND((ROUND((ROUND((_15_同援日０．５*_15・２人),0)*(1+_15・A夜間)),0)*(1+_15・盲ろう)),0)*(1+_15・区３)),0)+ROUND((ROUND((ROUND((ROUND((_15_同援日０．５＿１．０*_15・２人),0)*(1+_15・B深夜)),0)*(1+_15・盲ろう)),0)*(1+_15・区３)),0)</f>
        <v>905</v>
      </c>
      <c r="AC44" s="48"/>
    </row>
    <row r="45" spans="1:29" ht="16.5" customHeight="1" x14ac:dyDescent="0.15">
      <c r="A45" s="41">
        <v>15</v>
      </c>
      <c r="B45" s="41">
        <v>9981</v>
      </c>
      <c r="C45" s="74" t="s">
        <v>19984</v>
      </c>
      <c r="D45" s="72"/>
      <c r="F45" s="57"/>
      <c r="G45" s="72"/>
      <c r="I45" s="57"/>
      <c r="J45" s="114" t="s">
        <v>17558</v>
      </c>
      <c r="K45" s="49"/>
      <c r="L45" s="50"/>
      <c r="M45" s="163"/>
      <c r="N45" s="45"/>
      <c r="O45" s="46"/>
      <c r="P45" s="512"/>
      <c r="Q45" s="57"/>
      <c r="R45" s="512"/>
      <c r="S45" s="57"/>
      <c r="T45" s="35"/>
      <c r="U45" s="12" t="s">
        <v>398</v>
      </c>
      <c r="V45" s="13">
        <v>0.25</v>
      </c>
      <c r="W45" s="57" t="s">
        <v>3575</v>
      </c>
      <c r="X45" s="35"/>
      <c r="AA45" s="57"/>
      <c r="AB45" s="208">
        <f>ROUND((ROUND((ROUND((ROUND((_15_同援日０．５*_15・基礎２),0)*(1+_15・A夜間)),0)*(1+_15・盲ろう)),0)*(1+_15・区３)),0)+ROUND((ROUND((ROUND((ROUND((_15_同援日０．５＿１．０*_15・基礎２),0)*(1+_15・B深夜)),0)*(1+_15・盲ろう)),0)*(1+_15・区３)),0)</f>
        <v>815</v>
      </c>
      <c r="AC45" s="48"/>
    </row>
    <row r="46" spans="1:29" ht="16.5" customHeight="1" x14ac:dyDescent="0.15">
      <c r="A46" s="41">
        <v>15</v>
      </c>
      <c r="B46" s="41">
        <v>9982</v>
      </c>
      <c r="C46" s="74" t="s">
        <v>19985</v>
      </c>
      <c r="D46" s="72"/>
      <c r="F46" s="57"/>
      <c r="G46" s="72"/>
      <c r="I46" s="57"/>
      <c r="J46" s="269" t="s">
        <v>17560</v>
      </c>
      <c r="K46" s="37" t="s">
        <v>398</v>
      </c>
      <c r="L46" s="38">
        <v>0.9</v>
      </c>
      <c r="M46" s="299" t="s">
        <v>17556</v>
      </c>
      <c r="N46" s="45" t="s">
        <v>398</v>
      </c>
      <c r="O46" s="46">
        <v>1</v>
      </c>
      <c r="P46" s="512"/>
      <c r="Q46" s="57"/>
      <c r="R46" s="512"/>
      <c r="S46" s="57"/>
      <c r="T46" s="43"/>
      <c r="U46" s="37"/>
      <c r="V46" s="38"/>
      <c r="W46" s="79"/>
      <c r="X46" s="43"/>
      <c r="Y46" s="37"/>
      <c r="Z46" s="38"/>
      <c r="AA46" s="79"/>
      <c r="AB46" s="208">
        <f>ROUND((ROUND((ROUND((ROUND((ROUND((_15_同援日０．５*_15・基礎２),0)*_15・２人),0)*(1+_15・A夜間)),0)*(1+_15・盲ろう)),0)*(1+_15・区３)),0)+ROUND((ROUND((ROUND((ROUND((ROUND((_15_同援日０．５＿１．０*_15・基礎２),0)*_15・２人),0)*(1+_15・B深夜)),0)*(1+_15・盲ろう)),0)*(1+_15・区３)),0)</f>
        <v>815</v>
      </c>
      <c r="AC46" s="48"/>
    </row>
    <row r="47" spans="1:29" ht="16.5" customHeight="1" x14ac:dyDescent="0.15">
      <c r="A47" s="41">
        <v>15</v>
      </c>
      <c r="B47" s="41">
        <v>9983</v>
      </c>
      <c r="C47" s="74" t="s">
        <v>19986</v>
      </c>
      <c r="D47" s="72"/>
      <c r="F47" s="57"/>
      <c r="G47" s="72"/>
      <c r="I47" s="57"/>
      <c r="J47" s="53"/>
      <c r="K47" s="49"/>
      <c r="L47" s="50"/>
      <c r="M47" s="163"/>
      <c r="N47" s="45"/>
      <c r="O47" s="46"/>
      <c r="P47" s="512"/>
      <c r="Q47" s="57"/>
      <c r="R47" s="512"/>
      <c r="S47" s="57"/>
      <c r="T47" s="53"/>
      <c r="U47" s="49"/>
      <c r="V47" s="50"/>
      <c r="W47" s="115"/>
      <c r="X47" s="53"/>
      <c r="Y47" s="49"/>
      <c r="Z47" s="50"/>
      <c r="AA47" s="115"/>
      <c r="AB47" s="208">
        <f>ROUND((ROUND((_15_同援日０．５*(1+_15・A夜間)),0)*(1+_15・区４)),0)+ROUND((ROUND((_15_同援日０．５＿１．０*(1+_15・B深夜)),0)*(1+_15・区４)),0)</f>
        <v>844</v>
      </c>
      <c r="AC47" s="48"/>
    </row>
    <row r="48" spans="1:29" ht="16.5" customHeight="1" x14ac:dyDescent="0.15">
      <c r="A48" s="41">
        <v>15</v>
      </c>
      <c r="B48" s="41">
        <v>9984</v>
      </c>
      <c r="C48" s="74" t="s">
        <v>19987</v>
      </c>
      <c r="D48" s="72"/>
      <c r="F48" s="57"/>
      <c r="G48" s="72"/>
      <c r="I48" s="57"/>
      <c r="J48" s="43"/>
      <c r="K48" s="37"/>
      <c r="L48" s="38"/>
      <c r="M48" s="299" t="s">
        <v>17556</v>
      </c>
      <c r="N48" s="45" t="s">
        <v>398</v>
      </c>
      <c r="O48" s="46">
        <v>1</v>
      </c>
      <c r="P48" s="512"/>
      <c r="Q48" s="57"/>
      <c r="R48" s="512"/>
      <c r="S48" s="57"/>
      <c r="T48" s="35"/>
      <c r="W48" s="57"/>
      <c r="X48" s="35"/>
      <c r="AA48" s="57"/>
      <c r="AB48" s="208">
        <f>ROUND((ROUND((ROUND((_15_同援日０．５*_15・２人),0)*(1+_15・A夜間)),0)*(1+_15・区４)),0)+ROUND((ROUND((ROUND((_15_同援日０．５＿１．０*_15・２人),0)*(1+_15・B深夜)),0)*(1+_15・区４)),0)</f>
        <v>844</v>
      </c>
      <c r="AC48" s="48"/>
    </row>
    <row r="49" spans="1:29" ht="16.5" customHeight="1" x14ac:dyDescent="0.15">
      <c r="A49" s="41">
        <v>15</v>
      </c>
      <c r="B49" s="41">
        <v>9985</v>
      </c>
      <c r="C49" s="74" t="s">
        <v>19988</v>
      </c>
      <c r="D49" s="72"/>
      <c r="F49" s="57"/>
      <c r="G49" s="72"/>
      <c r="I49" s="57"/>
      <c r="J49" s="114" t="s">
        <v>17558</v>
      </c>
      <c r="K49" s="49"/>
      <c r="L49" s="50"/>
      <c r="M49" s="163"/>
      <c r="N49" s="45"/>
      <c r="O49" s="46"/>
      <c r="P49" s="512"/>
      <c r="Q49" s="57"/>
      <c r="R49" s="512"/>
      <c r="S49" s="57"/>
      <c r="T49" s="35"/>
      <c r="W49" s="57"/>
      <c r="X49" s="72" t="s">
        <v>17580</v>
      </c>
      <c r="AA49" s="57"/>
      <c r="AB49" s="208">
        <f>ROUND((ROUND((ROUND((_15_同援日０．５*_15・基礎２),0)*(1+_15・A夜間)),0)*(1+_15・区４)),0)+ROUND((ROUND((ROUND((_15_同援日０．５＿１．０*_15・基礎２),0)*(1+_15・B深夜)),0)*(1+_15・区４)),0)</f>
        <v>761</v>
      </c>
      <c r="AC49" s="48"/>
    </row>
    <row r="50" spans="1:29" ht="16.5" customHeight="1" x14ac:dyDescent="0.15">
      <c r="A50" s="41">
        <v>15</v>
      </c>
      <c r="B50" s="41">
        <v>9986</v>
      </c>
      <c r="C50" s="74" t="s">
        <v>19989</v>
      </c>
      <c r="D50" s="72"/>
      <c r="F50" s="57"/>
      <c r="G50" s="72"/>
      <c r="I50" s="57"/>
      <c r="J50" s="269" t="s">
        <v>17560</v>
      </c>
      <c r="K50" s="37" t="s">
        <v>398</v>
      </c>
      <c r="L50" s="38">
        <v>0.9</v>
      </c>
      <c r="M50" s="299" t="s">
        <v>17556</v>
      </c>
      <c r="N50" s="45" t="s">
        <v>398</v>
      </c>
      <c r="O50" s="46">
        <v>1</v>
      </c>
      <c r="P50" s="512"/>
      <c r="Q50" s="57"/>
      <c r="R50" s="512"/>
      <c r="S50" s="57"/>
      <c r="T50" s="43"/>
      <c r="U50" s="37"/>
      <c r="V50" s="38"/>
      <c r="W50" s="79"/>
      <c r="X50" s="72" t="s">
        <v>17572</v>
      </c>
      <c r="AA50" s="57"/>
      <c r="AB50" s="208">
        <f>ROUND((ROUND((ROUND((ROUND((_15_同援日０．５*_15・基礎２),0)*_15・２人),0)*(1+_15・A夜間)),0)*(1+_15・区４)),0)+ROUND((ROUND((ROUND((ROUND((_15_同援日０．５＿１．０*_15・基礎２),0)*_15・２人),0)*(1+_15・B深夜)),0)*(1+_15・区４)),0)</f>
        <v>761</v>
      </c>
      <c r="AC50" s="48"/>
    </row>
    <row r="51" spans="1:29" ht="16.5" customHeight="1" x14ac:dyDescent="0.15">
      <c r="A51" s="41">
        <v>15</v>
      </c>
      <c r="B51" s="41">
        <v>9987</v>
      </c>
      <c r="C51" s="74" t="s">
        <v>19990</v>
      </c>
      <c r="D51" s="72"/>
      <c r="F51" s="57"/>
      <c r="G51" s="72"/>
      <c r="I51" s="57"/>
      <c r="J51" s="53"/>
      <c r="K51" s="49"/>
      <c r="L51" s="50"/>
      <c r="M51" s="163"/>
      <c r="N51" s="45"/>
      <c r="O51" s="46"/>
      <c r="P51" s="512"/>
      <c r="Q51" s="57"/>
      <c r="R51" s="512"/>
      <c r="S51" s="57"/>
      <c r="T51" s="114" t="s">
        <v>17562</v>
      </c>
      <c r="U51" s="49"/>
      <c r="V51" s="50"/>
      <c r="W51" s="115"/>
      <c r="X51" s="35"/>
      <c r="Y51" s="12" t="s">
        <v>398</v>
      </c>
      <c r="Z51" s="13">
        <v>0.4</v>
      </c>
      <c r="AA51" s="57" t="s">
        <v>3575</v>
      </c>
      <c r="AB51" s="208">
        <f>ROUND((ROUND((ROUND((_15_同援日０．５*(1+_15・A夜間)),0)*(1+_15・盲ろう)),0)*(1+_15・区４)),0)+ROUND((ROUND((ROUND((_15_同援日０．５＿１．０*(1+_15・B深夜)),0)*(1+_15・盲ろう)),0)*(1+_15・区４)),0)</f>
        <v>1055</v>
      </c>
      <c r="AC51" s="48"/>
    </row>
    <row r="52" spans="1:29" ht="16.5" customHeight="1" x14ac:dyDescent="0.15">
      <c r="A52" s="41">
        <v>15</v>
      </c>
      <c r="B52" s="41">
        <v>9988</v>
      </c>
      <c r="C52" s="74" t="s">
        <v>19991</v>
      </c>
      <c r="D52" s="72"/>
      <c r="F52" s="57"/>
      <c r="G52" s="72"/>
      <c r="I52" s="57"/>
      <c r="J52" s="43"/>
      <c r="K52" s="37"/>
      <c r="L52" s="38"/>
      <c r="M52" s="299" t="s">
        <v>17556</v>
      </c>
      <c r="N52" s="45" t="s">
        <v>398</v>
      </c>
      <c r="O52" s="46">
        <v>1</v>
      </c>
      <c r="P52" s="512"/>
      <c r="Q52" s="57"/>
      <c r="R52" s="512"/>
      <c r="S52" s="57"/>
      <c r="T52" s="92" t="s">
        <v>17564</v>
      </c>
      <c r="W52" s="57"/>
      <c r="X52" s="35"/>
      <c r="AA52" s="57"/>
      <c r="AB52" s="208">
        <f>ROUND((ROUND((ROUND((ROUND((_15_同援日０．５*_15・２人),0)*(1+_15・A夜間)),0)*(1+_15・盲ろう)),0)*(1+_15・区４)),0)+ROUND((ROUND((ROUND((ROUND((_15_同援日０．５＿１．０*_15・２人),0)*(1+_15・B深夜)),0)*(1+_15・盲ろう)),0)*(1+_15・区４)),0)</f>
        <v>1055</v>
      </c>
      <c r="AC52" s="48"/>
    </row>
    <row r="53" spans="1:29" ht="16.5" customHeight="1" x14ac:dyDescent="0.15">
      <c r="A53" s="41">
        <v>15</v>
      </c>
      <c r="B53" s="41">
        <v>9989</v>
      </c>
      <c r="C53" s="74" t="s">
        <v>19992</v>
      </c>
      <c r="D53" s="72"/>
      <c r="F53" s="57"/>
      <c r="G53" s="72"/>
      <c r="I53" s="57"/>
      <c r="J53" s="114" t="s">
        <v>17558</v>
      </c>
      <c r="K53" s="49"/>
      <c r="L53" s="50"/>
      <c r="M53" s="163"/>
      <c r="N53" s="45"/>
      <c r="O53" s="46"/>
      <c r="P53" s="512"/>
      <c r="Q53" s="57"/>
      <c r="R53" s="512"/>
      <c r="S53" s="57"/>
      <c r="T53" s="35"/>
      <c r="U53" s="12" t="s">
        <v>398</v>
      </c>
      <c r="V53" s="13">
        <v>0.25</v>
      </c>
      <c r="W53" s="57" t="s">
        <v>3575</v>
      </c>
      <c r="X53" s="35"/>
      <c r="AA53" s="57"/>
      <c r="AB53" s="208">
        <f>ROUND((ROUND((ROUND((ROUND((_15_同援日０．５*_15・基礎２),0)*(1+_15・A夜間)),0)*(1+_15・盲ろう)),0)*(1+_15・区４)),0)+ROUND((ROUND((ROUND((ROUND((_15_同援日０．５＿１．０*_15・基礎２),0)*(1+_15・B深夜)),0)*(1+_15・盲ろう)),0)*(1+_15・区４)),0)</f>
        <v>950</v>
      </c>
      <c r="AC53" s="48"/>
    </row>
    <row r="54" spans="1:29" ht="16.5" customHeight="1" x14ac:dyDescent="0.15">
      <c r="A54" s="41">
        <v>15</v>
      </c>
      <c r="B54" s="41">
        <v>9990</v>
      </c>
      <c r="C54" s="74" t="s">
        <v>19993</v>
      </c>
      <c r="D54" s="72"/>
      <c r="F54" s="57"/>
      <c r="G54" s="122"/>
      <c r="H54" s="37"/>
      <c r="I54" s="79"/>
      <c r="J54" s="269" t="s">
        <v>17560</v>
      </c>
      <c r="K54" s="37" t="s">
        <v>398</v>
      </c>
      <c r="L54" s="38">
        <v>0.9</v>
      </c>
      <c r="M54" s="299" t="s">
        <v>17556</v>
      </c>
      <c r="N54" s="45" t="s">
        <v>398</v>
      </c>
      <c r="O54" s="46">
        <v>1</v>
      </c>
      <c r="P54" s="512"/>
      <c r="Q54" s="57"/>
      <c r="R54" s="512"/>
      <c r="S54" s="57"/>
      <c r="T54" s="43"/>
      <c r="U54" s="37"/>
      <c r="V54" s="38"/>
      <c r="W54" s="79"/>
      <c r="X54" s="43"/>
      <c r="Y54" s="37"/>
      <c r="Z54" s="38"/>
      <c r="AA54" s="79"/>
      <c r="AB54" s="208">
        <f>ROUND((ROUND((ROUND((ROUND((ROUND((_15_同援日０．５*_15・基礎２),0)*_15・２人),0)*(1+_15・A夜間)),0)*(1+_15・盲ろう)),0)*(1+_15・区４)),0)+ROUND((ROUND((ROUND((ROUND((ROUND((_15_同援日０．５＿１．０*_15・基礎２),0)*_15・２人),0)*(1+_15・B深夜)),0)*(1+_15・盲ろう)),0)*(1+_15・区４)),0)</f>
        <v>950</v>
      </c>
      <c r="AC54" s="48"/>
    </row>
    <row r="55" spans="1:29" ht="16.5" customHeight="1" x14ac:dyDescent="0.15">
      <c r="A55" s="41">
        <v>15</v>
      </c>
      <c r="B55" s="41">
        <v>9991</v>
      </c>
      <c r="C55" s="74" t="s">
        <v>19994</v>
      </c>
      <c r="D55" s="72"/>
      <c r="F55" s="57"/>
      <c r="G55" s="114" t="s">
        <v>19995</v>
      </c>
      <c r="H55" s="49"/>
      <c r="I55" s="115"/>
      <c r="J55" s="53"/>
      <c r="K55" s="49"/>
      <c r="L55" s="50"/>
      <c r="M55" s="163"/>
      <c r="N55" s="45"/>
      <c r="O55" s="46"/>
      <c r="P55" s="512"/>
      <c r="Q55" s="57"/>
      <c r="R55" s="512"/>
      <c r="S55" s="57"/>
      <c r="T55" s="53"/>
      <c r="U55" s="49"/>
      <c r="V55" s="50"/>
      <c r="W55" s="115"/>
      <c r="X55" s="53"/>
      <c r="Y55" s="49"/>
      <c r="Z55" s="50"/>
      <c r="AA55" s="115"/>
      <c r="AB55" s="208">
        <f>ROUND((_15_同援日０．５*(1+_15・A夜間)),0)+ROUND((_15_同援日０．５＿１．５*(1+_15・B深夜)),0)</f>
        <v>700</v>
      </c>
      <c r="AC55" s="48"/>
    </row>
    <row r="56" spans="1:29" ht="16.5" customHeight="1" x14ac:dyDescent="0.15">
      <c r="A56" s="41">
        <v>15</v>
      </c>
      <c r="B56" s="41">
        <v>9992</v>
      </c>
      <c r="C56" s="74" t="s">
        <v>19996</v>
      </c>
      <c r="D56" s="72"/>
      <c r="F56" s="57"/>
      <c r="G56" s="72" t="s">
        <v>17616</v>
      </c>
      <c r="I56" s="57"/>
      <c r="J56" s="43"/>
      <c r="K56" s="37"/>
      <c r="L56" s="38"/>
      <c r="M56" s="299" t="s">
        <v>17556</v>
      </c>
      <c r="N56" s="45" t="s">
        <v>398</v>
      </c>
      <c r="O56" s="46">
        <v>1</v>
      </c>
      <c r="P56" s="512"/>
      <c r="Q56" s="57"/>
      <c r="R56" s="512"/>
      <c r="S56" s="57"/>
      <c r="T56" s="35"/>
      <c r="W56" s="57"/>
      <c r="X56" s="35"/>
      <c r="AA56" s="57"/>
      <c r="AB56" s="208">
        <f>ROUND((ROUND((_15_同援日０．５*_15・２人),0)*(1+_15・A夜間)),0)+ROUND((ROUND((_15_同援日０．５＿１．５*_15・２人),0)*(1+_15・B深夜)),0)</f>
        <v>700</v>
      </c>
      <c r="AC56" s="48"/>
    </row>
    <row r="57" spans="1:29" ht="16.5" customHeight="1" x14ac:dyDescent="0.15">
      <c r="A57" s="41">
        <v>15</v>
      </c>
      <c r="B57" s="41">
        <v>9993</v>
      </c>
      <c r="C57" s="74" t="s">
        <v>19997</v>
      </c>
      <c r="D57" s="72"/>
      <c r="F57" s="57"/>
      <c r="G57" s="72" t="s">
        <v>18183</v>
      </c>
      <c r="I57" s="57"/>
      <c r="J57" s="114" t="s">
        <v>17558</v>
      </c>
      <c r="K57" s="49"/>
      <c r="L57" s="50"/>
      <c r="M57" s="163"/>
      <c r="N57" s="45"/>
      <c r="O57" s="46"/>
      <c r="P57" s="512"/>
      <c r="Q57" s="57"/>
      <c r="R57" s="512"/>
      <c r="S57" s="57"/>
      <c r="T57" s="35"/>
      <c r="W57" s="57"/>
      <c r="X57" s="35"/>
      <c r="AA57" s="57"/>
      <c r="AB57" s="208">
        <f>ROUND((ROUND((_15_同援日０．５*_15・基礎２),0)*(1+_15・A夜間)),0)+ROUND((ROUND((_15_同援日０．５＿１．５*_15・基礎２),0)*(1+_15・B深夜)),0)</f>
        <v>630</v>
      </c>
      <c r="AC57" s="48"/>
    </row>
    <row r="58" spans="1:29" ht="16.5" customHeight="1" x14ac:dyDescent="0.15">
      <c r="A58" s="41">
        <v>15</v>
      </c>
      <c r="B58" s="41">
        <v>9994</v>
      </c>
      <c r="C58" s="74" t="s">
        <v>19998</v>
      </c>
      <c r="D58" s="72"/>
      <c r="F58" s="57"/>
      <c r="G58" s="72"/>
      <c r="H58" s="168">
        <f>_15_同援日０．５＿１．５</f>
        <v>308</v>
      </c>
      <c r="I58" s="57" t="s">
        <v>392</v>
      </c>
      <c r="J58" s="269" t="s">
        <v>17560</v>
      </c>
      <c r="K58" s="37" t="s">
        <v>398</v>
      </c>
      <c r="L58" s="38">
        <v>0.9</v>
      </c>
      <c r="M58" s="299" t="s">
        <v>17556</v>
      </c>
      <c r="N58" s="45" t="s">
        <v>398</v>
      </c>
      <c r="O58" s="46">
        <v>1</v>
      </c>
      <c r="P58" s="512"/>
      <c r="Q58" s="57"/>
      <c r="R58" s="512"/>
      <c r="S58" s="57"/>
      <c r="T58" s="43"/>
      <c r="U58" s="37"/>
      <c r="V58" s="38"/>
      <c r="W58" s="79"/>
      <c r="X58" s="35"/>
      <c r="AA58" s="57"/>
      <c r="AB58" s="208">
        <f>ROUND((ROUND((ROUND((_15_同援日０．５*_15・基礎２),0)*_15・２人),0)*(1+_15・A夜間)),0)+ROUND((ROUND((ROUND((_15_同援日０．５＿１．５*_15・基礎２),0)*_15・２人),0)*(1+_15・B深夜)),0)</f>
        <v>630</v>
      </c>
      <c r="AC58" s="48"/>
    </row>
    <row r="59" spans="1:29" ht="16.5" customHeight="1" x14ac:dyDescent="0.15">
      <c r="A59" s="41">
        <v>15</v>
      </c>
      <c r="B59" s="41">
        <v>9995</v>
      </c>
      <c r="C59" s="74" t="s">
        <v>19999</v>
      </c>
      <c r="D59" s="72"/>
      <c r="F59" s="57"/>
      <c r="G59" s="72"/>
      <c r="I59" s="57"/>
      <c r="J59" s="53"/>
      <c r="K59" s="49"/>
      <c r="L59" s="50"/>
      <c r="M59" s="163"/>
      <c r="N59" s="45"/>
      <c r="O59" s="46"/>
      <c r="P59" s="512"/>
      <c r="Q59" s="57"/>
      <c r="R59" s="512"/>
      <c r="S59" s="57"/>
      <c r="T59" s="114" t="s">
        <v>17562</v>
      </c>
      <c r="U59" s="49"/>
      <c r="V59" s="50"/>
      <c r="W59" s="115"/>
      <c r="X59" s="35"/>
      <c r="AA59" s="57"/>
      <c r="AB59" s="208">
        <f>ROUND((ROUND((_15_同援日０．５*(1+_15・A夜間)),0)*(1+_15・盲ろう)),0)+ROUND((ROUND((_15_同援日０．５＿１．５*(1+_15・B深夜)),0)*(1+_15・盲ろう)),0)</f>
        <v>876</v>
      </c>
      <c r="AC59" s="48"/>
    </row>
    <row r="60" spans="1:29" ht="16.5" customHeight="1" x14ac:dyDescent="0.15">
      <c r="A60" s="41">
        <v>15</v>
      </c>
      <c r="B60" s="41">
        <v>9996</v>
      </c>
      <c r="C60" s="74" t="s">
        <v>20000</v>
      </c>
      <c r="D60" s="72"/>
      <c r="F60" s="57"/>
      <c r="G60" s="72"/>
      <c r="I60" s="57"/>
      <c r="J60" s="43"/>
      <c r="K60" s="37"/>
      <c r="L60" s="38"/>
      <c r="M60" s="299" t="s">
        <v>17556</v>
      </c>
      <c r="N60" s="45" t="s">
        <v>398</v>
      </c>
      <c r="O60" s="46">
        <v>1</v>
      </c>
      <c r="P60" s="512"/>
      <c r="Q60" s="57"/>
      <c r="R60" s="512"/>
      <c r="S60" s="57"/>
      <c r="T60" s="92" t="s">
        <v>17564</v>
      </c>
      <c r="W60" s="57"/>
      <c r="X60" s="35"/>
      <c r="AA60" s="57"/>
      <c r="AB60" s="208">
        <f>ROUND((ROUND((ROUND((_15_同援日０．５*_15・２人),0)*(1+_15・A夜間)),0)*(1+_15・盲ろう)),0)+ROUND((ROUND((ROUND((_15_同援日０．５＿１．５*_15・２人),0)*(1+_15・B深夜)),0)*(1+_15・盲ろう)),0)</f>
        <v>876</v>
      </c>
      <c r="AC60" s="48"/>
    </row>
    <row r="61" spans="1:29" ht="16.5" customHeight="1" x14ac:dyDescent="0.15">
      <c r="A61" s="41">
        <v>15</v>
      </c>
      <c r="B61" s="41">
        <v>9997</v>
      </c>
      <c r="C61" s="74" t="s">
        <v>20001</v>
      </c>
      <c r="D61" s="72"/>
      <c r="F61" s="57"/>
      <c r="G61" s="72"/>
      <c r="I61" s="57"/>
      <c r="J61" s="114" t="s">
        <v>17558</v>
      </c>
      <c r="K61" s="49"/>
      <c r="L61" s="50"/>
      <c r="M61" s="163"/>
      <c r="N61" s="45"/>
      <c r="O61" s="46"/>
      <c r="P61" s="512"/>
      <c r="Q61" s="57"/>
      <c r="R61" s="512"/>
      <c r="S61" s="57"/>
      <c r="T61" s="35"/>
      <c r="U61" s="12" t="s">
        <v>398</v>
      </c>
      <c r="V61" s="13">
        <v>0.25</v>
      </c>
      <c r="W61" s="57" t="s">
        <v>3575</v>
      </c>
      <c r="X61" s="35"/>
      <c r="AA61" s="57"/>
      <c r="AB61" s="208">
        <f>ROUND((ROUND((ROUND((_15_同援日０．５*_15・基礎２),0)*(1+_15・A夜間)),0)*(1+_15・盲ろう)),0)+ROUND((ROUND((ROUND((_15_同援日０．５＿１．５*_15・基礎２),0)*(1+_15・B深夜)),0)*(1+_15・盲ろう)),0)</f>
        <v>788</v>
      </c>
      <c r="AC61" s="48"/>
    </row>
    <row r="62" spans="1:29" ht="16.5" customHeight="1" x14ac:dyDescent="0.15">
      <c r="A62" s="41">
        <v>15</v>
      </c>
      <c r="B62" s="41">
        <v>9998</v>
      </c>
      <c r="C62" s="74" t="s">
        <v>20002</v>
      </c>
      <c r="D62" s="72"/>
      <c r="F62" s="57"/>
      <c r="G62" s="72"/>
      <c r="I62" s="57"/>
      <c r="J62" s="269" t="s">
        <v>17560</v>
      </c>
      <c r="K62" s="37" t="s">
        <v>398</v>
      </c>
      <c r="L62" s="38">
        <v>0.9</v>
      </c>
      <c r="M62" s="299" t="s">
        <v>17556</v>
      </c>
      <c r="N62" s="45" t="s">
        <v>398</v>
      </c>
      <c r="O62" s="46">
        <v>1</v>
      </c>
      <c r="P62" s="512"/>
      <c r="Q62" s="57"/>
      <c r="R62" s="512"/>
      <c r="S62" s="57"/>
      <c r="T62" s="43"/>
      <c r="U62" s="37"/>
      <c r="V62" s="38"/>
      <c r="W62" s="79"/>
      <c r="X62" s="43"/>
      <c r="Y62" s="37"/>
      <c r="Z62" s="38"/>
      <c r="AA62" s="79"/>
      <c r="AB62" s="208">
        <f>ROUND((ROUND((ROUND((ROUND((_15_同援日０．５*_15・基礎２),0)*_15・２人),0)*(1+_15・A夜間)),0)*(1+_15・盲ろう)),0)+ROUND((ROUND((ROUND((ROUND((_15_同援日０．５＿１．５*_15・基礎２),0)*_15・２人),0)*(1+_15・B深夜)),0)*(1+_15・盲ろう)),0)</f>
        <v>788</v>
      </c>
      <c r="AC62" s="48"/>
    </row>
    <row r="63" spans="1:29" ht="16.5" customHeight="1" x14ac:dyDescent="0.15">
      <c r="A63" s="41">
        <v>15</v>
      </c>
      <c r="B63" s="41">
        <v>9999</v>
      </c>
      <c r="C63" s="74" t="s">
        <v>20003</v>
      </c>
      <c r="D63" s="72"/>
      <c r="F63" s="57"/>
      <c r="G63" s="72"/>
      <c r="I63" s="57"/>
      <c r="J63" s="53"/>
      <c r="K63" s="49"/>
      <c r="L63" s="50"/>
      <c r="M63" s="163"/>
      <c r="N63" s="45"/>
      <c r="O63" s="46"/>
      <c r="P63" s="512"/>
      <c r="Q63" s="57"/>
      <c r="R63" s="512"/>
      <c r="S63" s="57"/>
      <c r="T63" s="53"/>
      <c r="U63" s="49"/>
      <c r="V63" s="50"/>
      <c r="W63" s="115"/>
      <c r="X63" s="53"/>
      <c r="Y63" s="49"/>
      <c r="Z63" s="50"/>
      <c r="AA63" s="115"/>
      <c r="AB63" s="208">
        <f>ROUND((ROUND((_15_同援日０．５*(1+_15・A夜間)),0)*(1+_15・区３)),0)+ROUND((ROUND((_15_同援日０．５＿１．５*(1+_15・B深夜)),0)*(1+_15・区３)),0)</f>
        <v>840</v>
      </c>
      <c r="AC63" s="48"/>
    </row>
    <row r="64" spans="1:29" ht="16.5" customHeight="1" x14ac:dyDescent="0.15">
      <c r="A64" s="41">
        <v>15</v>
      </c>
      <c r="B64" s="41" t="s">
        <v>20004</v>
      </c>
      <c r="C64" s="74" t="s">
        <v>20005</v>
      </c>
      <c r="D64" s="72"/>
      <c r="F64" s="57"/>
      <c r="G64" s="72"/>
      <c r="I64" s="57"/>
      <c r="J64" s="43"/>
      <c r="K64" s="37"/>
      <c r="L64" s="38"/>
      <c r="M64" s="299" t="s">
        <v>17556</v>
      </c>
      <c r="N64" s="45" t="s">
        <v>398</v>
      </c>
      <c r="O64" s="46">
        <v>1</v>
      </c>
      <c r="P64" s="512"/>
      <c r="Q64" s="57"/>
      <c r="R64" s="512"/>
      <c r="S64" s="57"/>
      <c r="T64" s="35"/>
      <c r="W64" s="57"/>
      <c r="X64" s="35"/>
      <c r="AA64" s="57"/>
      <c r="AB64" s="208">
        <f>ROUND((ROUND((ROUND((_15_同援日０．５*_15・２人),0)*(1+_15・A夜間)),0)*(1+_15・区３)),0)+ROUND((ROUND((ROUND((_15_同援日０．５＿１．５*_15・２人),0)*(1+_15・B深夜)),0)*(1+_15・区３)),0)</f>
        <v>840</v>
      </c>
      <c r="AC64" s="48"/>
    </row>
    <row r="65" spans="1:29" ht="16.5" customHeight="1" x14ac:dyDescent="0.15">
      <c r="A65" s="41">
        <v>15</v>
      </c>
      <c r="B65" s="41" t="s">
        <v>402</v>
      </c>
      <c r="C65" s="74" t="s">
        <v>20006</v>
      </c>
      <c r="D65" s="72"/>
      <c r="F65" s="57"/>
      <c r="G65" s="72"/>
      <c r="I65" s="57"/>
      <c r="J65" s="114" t="s">
        <v>17558</v>
      </c>
      <c r="K65" s="49"/>
      <c r="L65" s="50"/>
      <c r="M65" s="163"/>
      <c r="N65" s="45"/>
      <c r="O65" s="46"/>
      <c r="P65" s="512"/>
      <c r="Q65" s="57"/>
      <c r="R65" s="512"/>
      <c r="S65" s="57"/>
      <c r="T65" s="35"/>
      <c r="W65" s="57"/>
      <c r="X65" s="72" t="s">
        <v>17570</v>
      </c>
      <c r="AA65" s="57"/>
      <c r="AB65" s="208">
        <f>ROUND((ROUND((ROUND((_15_同援日０．５*_15・基礎２),0)*(1+_15・A夜間)),0)*(1+_15・区３)),0)+ROUND((ROUND((ROUND((_15_同援日０．５＿１．５*_15・基礎２),0)*(1+_15・B深夜)),0)*(1+_15・区３)),0)</f>
        <v>756</v>
      </c>
      <c r="AC65" s="48"/>
    </row>
    <row r="66" spans="1:29" ht="16.5" customHeight="1" x14ac:dyDescent="0.15">
      <c r="A66" s="41">
        <v>15</v>
      </c>
      <c r="B66" s="41" t="s">
        <v>405</v>
      </c>
      <c r="C66" s="74" t="s">
        <v>20007</v>
      </c>
      <c r="D66" s="72"/>
      <c r="F66" s="57"/>
      <c r="G66" s="72"/>
      <c r="I66" s="57"/>
      <c r="J66" s="269" t="s">
        <v>17560</v>
      </c>
      <c r="K66" s="37" t="s">
        <v>398</v>
      </c>
      <c r="L66" s="38">
        <v>0.9</v>
      </c>
      <c r="M66" s="299" t="s">
        <v>17556</v>
      </c>
      <c r="N66" s="45" t="s">
        <v>398</v>
      </c>
      <c r="O66" s="46">
        <v>1</v>
      </c>
      <c r="P66" s="512"/>
      <c r="Q66" s="57"/>
      <c r="R66" s="512"/>
      <c r="S66" s="57"/>
      <c r="T66" s="43"/>
      <c r="U66" s="37"/>
      <c r="V66" s="38"/>
      <c r="W66" s="79"/>
      <c r="X66" s="72" t="s">
        <v>17572</v>
      </c>
      <c r="AA66" s="57"/>
      <c r="AB66" s="208">
        <f>ROUND((ROUND((ROUND((ROUND((_15_同援日０．５*_15・基礎２),0)*_15・２人),0)*(1+_15・A夜間)),0)*(1+_15・区３)),0)+ROUND((ROUND((ROUND((ROUND((_15_同援日０．５＿１．５*_15・基礎２),0)*_15・２人),0)*(1+_15・B深夜)),0)*(1+_15・区３)),0)</f>
        <v>756</v>
      </c>
      <c r="AC66" s="48"/>
    </row>
    <row r="67" spans="1:29" ht="16.5" customHeight="1" x14ac:dyDescent="0.15">
      <c r="A67" s="41">
        <v>15</v>
      </c>
      <c r="B67" s="41" t="s">
        <v>407</v>
      </c>
      <c r="C67" s="74" t="s">
        <v>20008</v>
      </c>
      <c r="D67" s="72"/>
      <c r="F67" s="57"/>
      <c r="G67" s="72"/>
      <c r="I67" s="57"/>
      <c r="J67" s="53"/>
      <c r="K67" s="49"/>
      <c r="L67" s="50"/>
      <c r="M67" s="163"/>
      <c r="N67" s="45"/>
      <c r="O67" s="46"/>
      <c r="P67" s="512"/>
      <c r="Q67" s="57"/>
      <c r="R67" s="512"/>
      <c r="S67" s="57"/>
      <c r="T67" s="114" t="s">
        <v>17562</v>
      </c>
      <c r="U67" s="49"/>
      <c r="V67" s="50"/>
      <c r="W67" s="115"/>
      <c r="X67" s="35"/>
      <c r="Y67" s="12" t="s">
        <v>398</v>
      </c>
      <c r="Z67" s="13">
        <v>0.2</v>
      </c>
      <c r="AA67" s="57" t="s">
        <v>3575</v>
      </c>
      <c r="AB67" s="208">
        <f>ROUND((ROUND((ROUND((_15_同援日０．５*(1+_15・A夜間)),0)*(1+_15・盲ろう)),0)*(1+_15・区３)),0)+ROUND((ROUND((ROUND((_15_同援日０．５＿１．５*(1+_15・B深夜)),0)*(1+_15・盲ろう)),0)*(1+_15・区３)),0)</f>
        <v>1052</v>
      </c>
      <c r="AC67" s="48"/>
    </row>
    <row r="68" spans="1:29" ht="16.5" customHeight="1" x14ac:dyDescent="0.15">
      <c r="A68" s="41">
        <v>15</v>
      </c>
      <c r="B68" s="41" t="s">
        <v>409</v>
      </c>
      <c r="C68" s="74" t="s">
        <v>20009</v>
      </c>
      <c r="D68" s="72"/>
      <c r="F68" s="57"/>
      <c r="G68" s="72"/>
      <c r="I68" s="57"/>
      <c r="J68" s="43"/>
      <c r="K68" s="37"/>
      <c r="L68" s="38"/>
      <c r="M68" s="299" t="s">
        <v>17556</v>
      </c>
      <c r="N68" s="45" t="s">
        <v>398</v>
      </c>
      <c r="O68" s="46">
        <v>1</v>
      </c>
      <c r="P68" s="512"/>
      <c r="Q68" s="57"/>
      <c r="R68" s="512"/>
      <c r="S68" s="57"/>
      <c r="T68" s="92" t="s">
        <v>17564</v>
      </c>
      <c r="W68" s="57"/>
      <c r="X68" s="35"/>
      <c r="AA68" s="57"/>
      <c r="AB68" s="208">
        <f>ROUND((ROUND((ROUND((ROUND((_15_同援日０．５*_15・２人),0)*(1+_15・A夜間)),0)*(1+_15・盲ろう)),0)*(1+_15・区３)),0)+ROUND((ROUND((ROUND((ROUND((_15_同援日０．５＿１．５*_15・２人),0)*(1+_15・B深夜)),0)*(1+_15・盲ろう)),0)*(1+_15・区３)),0)</f>
        <v>1052</v>
      </c>
      <c r="AC68" s="48"/>
    </row>
    <row r="69" spans="1:29" ht="16.5" customHeight="1" x14ac:dyDescent="0.15">
      <c r="A69" s="41">
        <v>15</v>
      </c>
      <c r="B69" s="41" t="s">
        <v>20010</v>
      </c>
      <c r="C69" s="74" t="s">
        <v>20011</v>
      </c>
      <c r="D69" s="72"/>
      <c r="F69" s="57"/>
      <c r="G69" s="72"/>
      <c r="I69" s="57"/>
      <c r="J69" s="114" t="s">
        <v>17558</v>
      </c>
      <c r="K69" s="49"/>
      <c r="L69" s="50"/>
      <c r="M69" s="163"/>
      <c r="N69" s="45"/>
      <c r="O69" s="46"/>
      <c r="P69" s="512"/>
      <c r="Q69" s="57"/>
      <c r="R69" s="512"/>
      <c r="S69" s="57"/>
      <c r="T69" s="35"/>
      <c r="U69" s="12" t="s">
        <v>398</v>
      </c>
      <c r="V69" s="13">
        <v>0.25</v>
      </c>
      <c r="W69" s="57" t="s">
        <v>3575</v>
      </c>
      <c r="X69" s="35"/>
      <c r="AA69" s="57"/>
      <c r="AB69" s="208">
        <f>ROUND((ROUND((ROUND((ROUND((_15_同援日０．５*_15・基礎２),0)*(1+_15・A夜間)),0)*(1+_15・盲ろう)),0)*(1+_15・区３)),0)+ROUND((ROUND((ROUND((ROUND((_15_同援日０．５＿１．５*_15・基礎２),0)*(1+_15・B深夜)),0)*(1+_15・盲ろう)),0)*(1+_15・区３)),0)</f>
        <v>946</v>
      </c>
      <c r="AC69" s="48"/>
    </row>
    <row r="70" spans="1:29" ht="16.5" customHeight="1" x14ac:dyDescent="0.15">
      <c r="A70" s="41">
        <v>15</v>
      </c>
      <c r="B70" s="41" t="s">
        <v>20012</v>
      </c>
      <c r="C70" s="74" t="s">
        <v>20013</v>
      </c>
      <c r="D70" s="72"/>
      <c r="F70" s="57"/>
      <c r="G70" s="72"/>
      <c r="I70" s="57"/>
      <c r="J70" s="269" t="s">
        <v>17560</v>
      </c>
      <c r="K70" s="37" t="s">
        <v>398</v>
      </c>
      <c r="L70" s="38">
        <v>0.9</v>
      </c>
      <c r="M70" s="299" t="s">
        <v>17556</v>
      </c>
      <c r="N70" s="45" t="s">
        <v>398</v>
      </c>
      <c r="O70" s="46">
        <v>1</v>
      </c>
      <c r="P70" s="512"/>
      <c r="Q70" s="57"/>
      <c r="R70" s="512"/>
      <c r="S70" s="57"/>
      <c r="T70" s="43"/>
      <c r="U70" s="37"/>
      <c r="V70" s="38"/>
      <c r="W70" s="79"/>
      <c r="X70" s="43"/>
      <c r="Y70" s="37"/>
      <c r="Z70" s="38"/>
      <c r="AA70" s="79"/>
      <c r="AB70" s="208">
        <f>ROUND((ROUND((ROUND((ROUND((ROUND((_15_同援日０．５*_15・基礎２),0)*_15・２人),0)*(1+_15・A夜間)),0)*(1+_15・盲ろう)),0)*(1+_15・区３)),0)+ROUND((ROUND((ROUND((ROUND((ROUND((_15_同援日０．５＿１．５*_15・基礎２),0)*_15・２人),0)*(1+_15・B深夜)),0)*(1+_15・盲ろう)),0)*(1+_15・区３)),0)</f>
        <v>946</v>
      </c>
      <c r="AC70" s="48"/>
    </row>
    <row r="71" spans="1:29" ht="16.5" customHeight="1" x14ac:dyDescent="0.15">
      <c r="A71" s="41">
        <v>15</v>
      </c>
      <c r="B71" s="41" t="s">
        <v>20014</v>
      </c>
      <c r="C71" s="74" t="s">
        <v>20015</v>
      </c>
      <c r="D71" s="72"/>
      <c r="F71" s="57"/>
      <c r="G71" s="72"/>
      <c r="I71" s="57"/>
      <c r="J71" s="53"/>
      <c r="K71" s="49"/>
      <c r="L71" s="50"/>
      <c r="M71" s="163"/>
      <c r="N71" s="45"/>
      <c r="O71" s="46"/>
      <c r="P71" s="512"/>
      <c r="Q71" s="57"/>
      <c r="R71" s="512"/>
      <c r="S71" s="57"/>
      <c r="T71" s="53"/>
      <c r="U71" s="49"/>
      <c r="V71" s="50"/>
      <c r="W71" s="115"/>
      <c r="X71" s="53"/>
      <c r="Y71" s="49"/>
      <c r="Z71" s="50"/>
      <c r="AA71" s="115"/>
      <c r="AB71" s="208">
        <f>ROUND((ROUND((_15_同援日０．５*(1+_15・A夜間)),0)*(1+_15・区４)),0)+ROUND((ROUND((_15_同援日０．５＿１．５*(1+_15・B深夜)),0)*(1+_15・区４)),0)</f>
        <v>980</v>
      </c>
      <c r="AC71" s="48"/>
    </row>
    <row r="72" spans="1:29" ht="16.5" customHeight="1" x14ac:dyDescent="0.15">
      <c r="A72" s="41">
        <v>15</v>
      </c>
      <c r="B72" s="41" t="s">
        <v>20016</v>
      </c>
      <c r="C72" s="74" t="s">
        <v>20017</v>
      </c>
      <c r="D72" s="72"/>
      <c r="F72" s="57"/>
      <c r="G72" s="72"/>
      <c r="I72" s="57"/>
      <c r="J72" s="43"/>
      <c r="K72" s="37"/>
      <c r="L72" s="38"/>
      <c r="M72" s="299" t="s">
        <v>17556</v>
      </c>
      <c r="N72" s="45" t="s">
        <v>398</v>
      </c>
      <c r="O72" s="46">
        <v>1</v>
      </c>
      <c r="P72" s="512"/>
      <c r="Q72" s="57"/>
      <c r="R72" s="512"/>
      <c r="S72" s="57"/>
      <c r="T72" s="35"/>
      <c r="W72" s="57"/>
      <c r="X72" s="35"/>
      <c r="AA72" s="57"/>
      <c r="AB72" s="208">
        <f>ROUND((ROUND((ROUND((_15_同援日０．５*_15・２人),0)*(1+_15・A夜間)),0)*(1+_15・区４)),0)+ROUND((ROUND((ROUND((_15_同援日０．５＿１．５*_15・２人),0)*(1+_15・B深夜)),0)*(1+_15・区４)),0)</f>
        <v>980</v>
      </c>
      <c r="AC72" s="48"/>
    </row>
    <row r="73" spans="1:29" ht="16.5" customHeight="1" x14ac:dyDescent="0.15">
      <c r="A73" s="41">
        <v>15</v>
      </c>
      <c r="B73" s="41" t="s">
        <v>20018</v>
      </c>
      <c r="C73" s="74" t="s">
        <v>20019</v>
      </c>
      <c r="D73" s="72"/>
      <c r="F73" s="57"/>
      <c r="G73" s="72"/>
      <c r="I73" s="57"/>
      <c r="J73" s="114" t="s">
        <v>17558</v>
      </c>
      <c r="K73" s="49"/>
      <c r="L73" s="50"/>
      <c r="M73" s="163"/>
      <c r="N73" s="45"/>
      <c r="O73" s="46"/>
      <c r="P73" s="512"/>
      <c r="Q73" s="57"/>
      <c r="R73" s="512"/>
      <c r="S73" s="57"/>
      <c r="T73" s="35"/>
      <c r="W73" s="57"/>
      <c r="X73" s="72" t="s">
        <v>17580</v>
      </c>
      <c r="AA73" s="57"/>
      <c r="AB73" s="208">
        <f>ROUND((ROUND((ROUND((_15_同援日０．５*_15・基礎２),0)*(1+_15・A夜間)),0)*(1+_15・区４)),0)+ROUND((ROUND((ROUND((_15_同援日０．５＿１．５*_15・基礎２),0)*(1+_15・B深夜)),0)*(1+_15・区４)),0)</f>
        <v>882</v>
      </c>
      <c r="AC73" s="48"/>
    </row>
    <row r="74" spans="1:29" ht="16.5" customHeight="1" x14ac:dyDescent="0.15">
      <c r="A74" s="41">
        <v>15</v>
      </c>
      <c r="B74" s="41" t="s">
        <v>20020</v>
      </c>
      <c r="C74" s="74" t="s">
        <v>20021</v>
      </c>
      <c r="D74" s="72"/>
      <c r="F74" s="57"/>
      <c r="G74" s="72"/>
      <c r="I74" s="57"/>
      <c r="J74" s="269" t="s">
        <v>17560</v>
      </c>
      <c r="K74" s="37" t="s">
        <v>398</v>
      </c>
      <c r="L74" s="38">
        <v>0.9</v>
      </c>
      <c r="M74" s="299" t="s">
        <v>17556</v>
      </c>
      <c r="N74" s="45" t="s">
        <v>398</v>
      </c>
      <c r="O74" s="46">
        <v>1</v>
      </c>
      <c r="P74" s="512"/>
      <c r="Q74" s="57"/>
      <c r="R74" s="512"/>
      <c r="S74" s="57"/>
      <c r="T74" s="43"/>
      <c r="U74" s="37"/>
      <c r="V74" s="38"/>
      <c r="W74" s="79"/>
      <c r="X74" s="72" t="s">
        <v>17572</v>
      </c>
      <c r="AA74" s="57"/>
      <c r="AB74" s="208">
        <f>ROUND((ROUND((ROUND((ROUND((_15_同援日０．５*_15・基礎２),0)*_15・２人),0)*(1+_15・A夜間)),0)*(1+_15・区４)),0)+ROUND((ROUND((ROUND((ROUND((_15_同援日０．５＿１．５*_15・基礎２),0)*_15・２人),0)*(1+_15・B深夜)),0)*(1+_15・区４)),0)</f>
        <v>882</v>
      </c>
      <c r="AC74" s="48"/>
    </row>
    <row r="75" spans="1:29" ht="16.5" customHeight="1" x14ac:dyDescent="0.15">
      <c r="A75" s="41">
        <v>15</v>
      </c>
      <c r="B75" s="41" t="s">
        <v>20022</v>
      </c>
      <c r="C75" s="74" t="s">
        <v>20023</v>
      </c>
      <c r="D75" s="72"/>
      <c r="F75" s="57"/>
      <c r="G75" s="72"/>
      <c r="I75" s="57"/>
      <c r="J75" s="53"/>
      <c r="K75" s="49"/>
      <c r="L75" s="50"/>
      <c r="M75" s="163"/>
      <c r="N75" s="45"/>
      <c r="O75" s="46"/>
      <c r="P75" s="512"/>
      <c r="Q75" s="57"/>
      <c r="R75" s="512"/>
      <c r="S75" s="57"/>
      <c r="T75" s="114" t="s">
        <v>17562</v>
      </c>
      <c r="U75" s="49"/>
      <c r="V75" s="50"/>
      <c r="W75" s="115"/>
      <c r="X75" s="35"/>
      <c r="Y75" s="12" t="s">
        <v>398</v>
      </c>
      <c r="Z75" s="13">
        <v>0.4</v>
      </c>
      <c r="AA75" s="57" t="s">
        <v>3575</v>
      </c>
      <c r="AB75" s="208">
        <f>ROUND((ROUND((ROUND((_15_同援日０．５*(1+_15・A夜間)),0)*(1+_15・盲ろう)),0)*(1+_15・区４)),0)+ROUND((ROUND((ROUND((_15_同援日０．５＿１．５*(1+_15・B深夜)),0)*(1+_15・盲ろう)),0)*(1+_15・区４)),0)</f>
        <v>1226</v>
      </c>
      <c r="AC75" s="48"/>
    </row>
    <row r="76" spans="1:29" ht="16.5" customHeight="1" x14ac:dyDescent="0.15">
      <c r="A76" s="41">
        <v>15</v>
      </c>
      <c r="B76" s="41" t="s">
        <v>20024</v>
      </c>
      <c r="C76" s="74" t="s">
        <v>20025</v>
      </c>
      <c r="D76" s="72"/>
      <c r="F76" s="57"/>
      <c r="G76" s="72"/>
      <c r="I76" s="57"/>
      <c r="J76" s="43"/>
      <c r="K76" s="37"/>
      <c r="L76" s="38"/>
      <c r="M76" s="299" t="s">
        <v>17556</v>
      </c>
      <c r="N76" s="45" t="s">
        <v>398</v>
      </c>
      <c r="O76" s="46">
        <v>1</v>
      </c>
      <c r="P76" s="512"/>
      <c r="Q76" s="57"/>
      <c r="R76" s="512"/>
      <c r="S76" s="57"/>
      <c r="T76" s="92" t="s">
        <v>17564</v>
      </c>
      <c r="W76" s="57"/>
      <c r="X76" s="35"/>
      <c r="AA76" s="57"/>
      <c r="AB76" s="208">
        <f>ROUND((ROUND((ROUND((ROUND((_15_同援日０．５*_15・２人),0)*(1+_15・A夜間)),0)*(1+_15・盲ろう)),0)*(1+_15・区４)),0)+ROUND((ROUND((ROUND((ROUND((_15_同援日０．５＿１．５*_15・２人),0)*(1+_15・B深夜)),0)*(1+_15・盲ろう)),0)*(1+_15・区４)),0)</f>
        <v>1226</v>
      </c>
      <c r="AC76" s="48"/>
    </row>
    <row r="77" spans="1:29" ht="16.5" customHeight="1" x14ac:dyDescent="0.15">
      <c r="A77" s="41">
        <v>15</v>
      </c>
      <c r="B77" s="41" t="s">
        <v>20026</v>
      </c>
      <c r="C77" s="74" t="s">
        <v>20027</v>
      </c>
      <c r="D77" s="72"/>
      <c r="F77" s="57"/>
      <c r="G77" s="72"/>
      <c r="I77" s="57"/>
      <c r="J77" s="114" t="s">
        <v>17558</v>
      </c>
      <c r="K77" s="49"/>
      <c r="L77" s="50"/>
      <c r="M77" s="163"/>
      <c r="N77" s="45"/>
      <c r="O77" s="46"/>
      <c r="P77" s="512"/>
      <c r="Q77" s="57"/>
      <c r="R77" s="512"/>
      <c r="S77" s="57"/>
      <c r="T77" s="35"/>
      <c r="U77" s="12" t="s">
        <v>398</v>
      </c>
      <c r="V77" s="13">
        <v>0.25</v>
      </c>
      <c r="W77" s="57" t="s">
        <v>3575</v>
      </c>
      <c r="X77" s="35"/>
      <c r="AA77" s="57"/>
      <c r="AB77" s="208">
        <f>ROUND((ROUND((ROUND((ROUND((_15_同援日０．５*_15・基礎２),0)*(1+_15・A夜間)),0)*(1+_15・盲ろう)),0)*(1+_15・区４)),0)+ROUND((ROUND((ROUND((ROUND((_15_同援日０．５＿１．５*_15・基礎２),0)*(1+_15・B深夜)),0)*(1+_15・盲ろう)),0)*(1+_15・区４)),0)</f>
        <v>1103</v>
      </c>
      <c r="AC77" s="48"/>
    </row>
    <row r="78" spans="1:29" ht="16.5" customHeight="1" x14ac:dyDescent="0.15">
      <c r="A78" s="41">
        <v>15</v>
      </c>
      <c r="B78" s="41" t="s">
        <v>20028</v>
      </c>
      <c r="C78" s="74" t="s">
        <v>20029</v>
      </c>
      <c r="D78" s="72"/>
      <c r="F78" s="57"/>
      <c r="G78" s="122"/>
      <c r="H78" s="37"/>
      <c r="I78" s="79"/>
      <c r="J78" s="269" t="s">
        <v>17560</v>
      </c>
      <c r="K78" s="37" t="s">
        <v>398</v>
      </c>
      <c r="L78" s="38">
        <v>0.9</v>
      </c>
      <c r="M78" s="299" t="s">
        <v>17556</v>
      </c>
      <c r="N78" s="45" t="s">
        <v>398</v>
      </c>
      <c r="O78" s="46">
        <v>1</v>
      </c>
      <c r="P78" s="512"/>
      <c r="Q78" s="57"/>
      <c r="R78" s="512"/>
      <c r="S78" s="57"/>
      <c r="T78" s="43"/>
      <c r="U78" s="37"/>
      <c r="V78" s="38"/>
      <c r="W78" s="79"/>
      <c r="X78" s="43"/>
      <c r="Y78" s="37"/>
      <c r="Z78" s="38"/>
      <c r="AA78" s="79"/>
      <c r="AB78" s="208">
        <f>ROUND((ROUND((ROUND((ROUND((ROUND((_15_同援日０．５*_15・基礎２),0)*_15・２人),0)*(1+_15・A夜間)),0)*(1+_15・盲ろう)),0)*(1+_15・区４)),0)+ROUND((ROUND((ROUND((ROUND((ROUND((_15_同援日０．５＿１．５*_15・基礎２),0)*_15・２人),0)*(1+_15・B深夜)),0)*(1+_15・盲ろう)),0)*(1+_15・区４)),0)</f>
        <v>1103</v>
      </c>
      <c r="AC78" s="48"/>
    </row>
    <row r="79" spans="1:29" ht="16.5" customHeight="1" x14ac:dyDescent="0.15">
      <c r="A79" s="41">
        <v>15</v>
      </c>
      <c r="B79" s="41" t="s">
        <v>20030</v>
      </c>
      <c r="C79" s="74" t="s">
        <v>20031</v>
      </c>
      <c r="D79" s="72"/>
      <c r="F79" s="57"/>
      <c r="G79" s="114" t="s">
        <v>20032</v>
      </c>
      <c r="H79" s="49"/>
      <c r="I79" s="115"/>
      <c r="J79" s="53"/>
      <c r="K79" s="49"/>
      <c r="L79" s="50"/>
      <c r="M79" s="163"/>
      <c r="N79" s="45"/>
      <c r="O79" s="46"/>
      <c r="P79" s="512"/>
      <c r="Q79" s="57"/>
      <c r="R79" s="512"/>
      <c r="S79" s="57"/>
      <c r="T79" s="53"/>
      <c r="U79" s="49"/>
      <c r="V79" s="50"/>
      <c r="W79" s="115"/>
      <c r="X79" s="53"/>
      <c r="Y79" s="49"/>
      <c r="Z79" s="50"/>
      <c r="AA79" s="115"/>
      <c r="AB79" s="208">
        <f>ROUND((_15_同援日０．５*(1+_15・A夜間)),0)+ROUND((_15_同援日０．５＿２．０*(1+_15・B深夜)),0)</f>
        <v>798</v>
      </c>
      <c r="AC79" s="48"/>
    </row>
    <row r="80" spans="1:29" ht="16.5" customHeight="1" x14ac:dyDescent="0.15">
      <c r="A80" s="41">
        <v>15</v>
      </c>
      <c r="B80" s="41" t="s">
        <v>20033</v>
      </c>
      <c r="C80" s="74" t="s">
        <v>20034</v>
      </c>
      <c r="D80" s="72"/>
      <c r="F80" s="57"/>
      <c r="G80" s="72" t="s">
        <v>17643</v>
      </c>
      <c r="I80" s="57"/>
      <c r="J80" s="43"/>
      <c r="K80" s="37"/>
      <c r="L80" s="38"/>
      <c r="M80" s="299" t="s">
        <v>17556</v>
      </c>
      <c r="N80" s="45" t="s">
        <v>398</v>
      </c>
      <c r="O80" s="46">
        <v>1</v>
      </c>
      <c r="P80" s="512"/>
      <c r="Q80" s="57"/>
      <c r="R80" s="512"/>
      <c r="S80" s="57"/>
      <c r="T80" s="35"/>
      <c r="W80" s="57"/>
      <c r="X80" s="35"/>
      <c r="AA80" s="57"/>
      <c r="AB80" s="208">
        <f>ROUND((ROUND((_15_同援日０．５*_15・２人),0)*(1+_15・A夜間)),0)+ROUND((ROUND((_15_同援日０．５＿２．０*_15・２人),0)*(1+_15・B深夜)),0)</f>
        <v>798</v>
      </c>
      <c r="AC80" s="48"/>
    </row>
    <row r="81" spans="1:29" ht="16.5" customHeight="1" x14ac:dyDescent="0.15">
      <c r="A81" s="41">
        <v>15</v>
      </c>
      <c r="B81" s="41" t="s">
        <v>20035</v>
      </c>
      <c r="C81" s="74" t="s">
        <v>20036</v>
      </c>
      <c r="D81" s="72"/>
      <c r="F81" s="57"/>
      <c r="G81" s="72" t="s">
        <v>17645</v>
      </c>
      <c r="I81" s="57"/>
      <c r="J81" s="114" t="s">
        <v>17558</v>
      </c>
      <c r="K81" s="49"/>
      <c r="L81" s="50"/>
      <c r="M81" s="163"/>
      <c r="N81" s="45"/>
      <c r="O81" s="46"/>
      <c r="P81" s="512"/>
      <c r="Q81" s="57"/>
      <c r="R81" s="512"/>
      <c r="S81" s="57"/>
      <c r="T81" s="35"/>
      <c r="W81" s="57"/>
      <c r="X81" s="35"/>
      <c r="AA81" s="57"/>
      <c r="AB81" s="208">
        <f>ROUND((ROUND((_15_同援日０．５*_15・基礎２),0)*(1+_15・A夜間)),0)+ROUND((ROUND((_15_同援日０．５＿２．０*_15・基礎２),0)*(1+_15・B深夜)),0)</f>
        <v>718</v>
      </c>
      <c r="AC81" s="48"/>
    </row>
    <row r="82" spans="1:29" ht="16.5" customHeight="1" x14ac:dyDescent="0.15">
      <c r="A82" s="41">
        <v>15</v>
      </c>
      <c r="B82" s="41" t="s">
        <v>20037</v>
      </c>
      <c r="C82" s="74" t="s">
        <v>20038</v>
      </c>
      <c r="D82" s="72"/>
      <c r="F82" s="57"/>
      <c r="G82" s="72"/>
      <c r="H82" s="168">
        <f>_15_同援日０．５＿２．０</f>
        <v>373</v>
      </c>
      <c r="I82" s="57" t="s">
        <v>392</v>
      </c>
      <c r="J82" s="269" t="s">
        <v>17560</v>
      </c>
      <c r="K82" s="37" t="s">
        <v>398</v>
      </c>
      <c r="L82" s="38">
        <v>0.9</v>
      </c>
      <c r="M82" s="299" t="s">
        <v>17556</v>
      </c>
      <c r="N82" s="45" t="s">
        <v>398</v>
      </c>
      <c r="O82" s="46">
        <v>1</v>
      </c>
      <c r="P82" s="512"/>
      <c r="Q82" s="57"/>
      <c r="R82" s="512"/>
      <c r="S82" s="57"/>
      <c r="T82" s="43"/>
      <c r="U82" s="37"/>
      <c r="V82" s="38"/>
      <c r="W82" s="79"/>
      <c r="X82" s="35"/>
      <c r="AA82" s="57"/>
      <c r="AB82" s="208">
        <f>ROUND((ROUND((ROUND((_15_同援日０．５*_15・基礎２),0)*_15・２人),0)*(1+_15・A夜間)),0)+ROUND((ROUND((ROUND((_15_同援日０．５＿２．０*_15・基礎２),0)*_15・２人),0)*(1+_15・B深夜)),0)</f>
        <v>718</v>
      </c>
      <c r="AC82" s="48"/>
    </row>
    <row r="83" spans="1:29" ht="16.5" customHeight="1" x14ac:dyDescent="0.15">
      <c r="A83" s="41">
        <v>15</v>
      </c>
      <c r="B83" s="41" t="s">
        <v>20039</v>
      </c>
      <c r="C83" s="74" t="s">
        <v>20040</v>
      </c>
      <c r="D83" s="72"/>
      <c r="F83" s="57"/>
      <c r="G83" s="72"/>
      <c r="I83" s="57"/>
      <c r="J83" s="53"/>
      <c r="K83" s="49"/>
      <c r="L83" s="50"/>
      <c r="M83" s="163"/>
      <c r="N83" s="45"/>
      <c r="O83" s="46"/>
      <c r="P83" s="512"/>
      <c r="Q83" s="57"/>
      <c r="R83" s="512"/>
      <c r="S83" s="57"/>
      <c r="T83" s="114" t="s">
        <v>17562</v>
      </c>
      <c r="U83" s="49"/>
      <c r="V83" s="50"/>
      <c r="W83" s="115"/>
      <c r="X83" s="35"/>
      <c r="AA83" s="57"/>
      <c r="AB83" s="208">
        <f>ROUND((ROUND((_15_同援日０．５*(1+_15・A夜間)),0)*(1+_15・盲ろう)),0)+ROUND((ROUND((_15_同援日０．５＿２．０*(1+_15・B深夜)),0)*(1+_15・盲ろう)),0)</f>
        <v>998</v>
      </c>
      <c r="AC83" s="48"/>
    </row>
    <row r="84" spans="1:29" ht="16.5" customHeight="1" x14ac:dyDescent="0.15">
      <c r="A84" s="41">
        <v>15</v>
      </c>
      <c r="B84" s="41" t="s">
        <v>20041</v>
      </c>
      <c r="C84" s="74" t="s">
        <v>20042</v>
      </c>
      <c r="D84" s="72"/>
      <c r="F84" s="57"/>
      <c r="G84" s="72"/>
      <c r="I84" s="57"/>
      <c r="J84" s="43"/>
      <c r="K84" s="37"/>
      <c r="L84" s="38"/>
      <c r="M84" s="299" t="s">
        <v>17556</v>
      </c>
      <c r="N84" s="45" t="s">
        <v>398</v>
      </c>
      <c r="O84" s="46">
        <v>1</v>
      </c>
      <c r="P84" s="512"/>
      <c r="Q84" s="57"/>
      <c r="R84" s="512"/>
      <c r="S84" s="57"/>
      <c r="T84" s="92" t="s">
        <v>17564</v>
      </c>
      <c r="W84" s="57"/>
      <c r="X84" s="35"/>
      <c r="AA84" s="57"/>
      <c r="AB84" s="208">
        <f>ROUND((ROUND((ROUND((_15_同援日０．５*_15・２人),0)*(1+_15・A夜間)),0)*(1+_15・盲ろう)),0)+ROUND((ROUND((ROUND((_15_同援日０．５＿２．０*_15・２人),0)*(1+_15・B深夜)),0)*(1+_15・盲ろう)),0)</f>
        <v>998</v>
      </c>
      <c r="AC84" s="48"/>
    </row>
    <row r="85" spans="1:29" ht="16.5" customHeight="1" x14ac:dyDescent="0.15">
      <c r="A85" s="41">
        <v>15</v>
      </c>
      <c r="B85" s="41" t="s">
        <v>416</v>
      </c>
      <c r="C85" s="74" t="s">
        <v>20043</v>
      </c>
      <c r="D85" s="72"/>
      <c r="F85" s="57"/>
      <c r="G85" s="72"/>
      <c r="I85" s="57"/>
      <c r="J85" s="114" t="s">
        <v>17558</v>
      </c>
      <c r="K85" s="49"/>
      <c r="L85" s="50"/>
      <c r="M85" s="163"/>
      <c r="N85" s="45"/>
      <c r="O85" s="46"/>
      <c r="P85" s="512"/>
      <c r="Q85" s="57"/>
      <c r="R85" s="512"/>
      <c r="S85" s="57"/>
      <c r="T85" s="35"/>
      <c r="U85" s="12" t="s">
        <v>398</v>
      </c>
      <c r="V85" s="13">
        <v>0.25</v>
      </c>
      <c r="W85" s="57" t="s">
        <v>3575</v>
      </c>
      <c r="X85" s="35"/>
      <c r="AA85" s="57"/>
      <c r="AB85" s="208">
        <f>ROUND((ROUND((ROUND((_15_同援日０．５*_15・基礎２),0)*(1+_15・A夜間)),0)*(1+_15・盲ろう)),0)+ROUND((ROUND((ROUND((_15_同援日０．５＿２．０*_15・基礎２),0)*(1+_15・B深夜)),0)*(1+_15・盲ろう)),0)</f>
        <v>898</v>
      </c>
      <c r="AC85" s="48"/>
    </row>
    <row r="86" spans="1:29" ht="16.5" customHeight="1" x14ac:dyDescent="0.15">
      <c r="A86" s="41">
        <v>15</v>
      </c>
      <c r="B86" s="41" t="s">
        <v>418</v>
      </c>
      <c r="C86" s="74" t="s">
        <v>20044</v>
      </c>
      <c r="D86" s="72"/>
      <c r="F86" s="57"/>
      <c r="G86" s="72"/>
      <c r="I86" s="57"/>
      <c r="J86" s="269" t="s">
        <v>17560</v>
      </c>
      <c r="K86" s="37" t="s">
        <v>398</v>
      </c>
      <c r="L86" s="38">
        <v>0.9</v>
      </c>
      <c r="M86" s="299" t="s">
        <v>17556</v>
      </c>
      <c r="N86" s="45" t="s">
        <v>398</v>
      </c>
      <c r="O86" s="46">
        <v>1</v>
      </c>
      <c r="P86" s="512"/>
      <c r="Q86" s="57"/>
      <c r="R86" s="512"/>
      <c r="S86" s="57"/>
      <c r="T86" s="43"/>
      <c r="U86" s="37"/>
      <c r="V86" s="38"/>
      <c r="W86" s="79"/>
      <c r="X86" s="43"/>
      <c r="Y86" s="37"/>
      <c r="Z86" s="38"/>
      <c r="AA86" s="79"/>
      <c r="AB86" s="208">
        <f>ROUND((ROUND((ROUND((ROUND((_15_同援日０．５*_15・基礎２),0)*_15・２人),0)*(1+_15・A夜間)),0)*(1+_15・盲ろう)),0)+ROUND((ROUND((ROUND((ROUND((_15_同援日０．５＿２．０*_15・基礎２),0)*_15・２人),0)*(1+_15・B深夜)),0)*(1+_15・盲ろう)),0)</f>
        <v>898</v>
      </c>
      <c r="AC86" s="48"/>
    </row>
    <row r="87" spans="1:29" ht="16.5" customHeight="1" x14ac:dyDescent="0.15">
      <c r="A87" s="41">
        <v>15</v>
      </c>
      <c r="B87" s="41" t="s">
        <v>420</v>
      </c>
      <c r="C87" s="74" t="s">
        <v>20045</v>
      </c>
      <c r="D87" s="72"/>
      <c r="F87" s="57"/>
      <c r="G87" s="72"/>
      <c r="I87" s="57"/>
      <c r="J87" s="53"/>
      <c r="K87" s="49"/>
      <c r="L87" s="50"/>
      <c r="M87" s="163"/>
      <c r="N87" s="45"/>
      <c r="O87" s="46"/>
      <c r="P87" s="512"/>
      <c r="Q87" s="57"/>
      <c r="R87" s="512"/>
      <c r="S87" s="57"/>
      <c r="T87" s="53"/>
      <c r="U87" s="49"/>
      <c r="V87" s="50"/>
      <c r="W87" s="115"/>
      <c r="X87" s="53"/>
      <c r="Y87" s="49"/>
      <c r="Z87" s="50"/>
      <c r="AA87" s="115"/>
      <c r="AB87" s="208">
        <f>ROUND((ROUND((_15_同援日０．５*(1+_15・A夜間)),0)*(1+_15・区３)),0)+ROUND((ROUND((_15_同援日０．５＿２．０*(1+_15・B深夜)),0)*(1+_15・区３)),0)</f>
        <v>958</v>
      </c>
      <c r="AC87" s="48"/>
    </row>
    <row r="88" spans="1:29" ht="16.5" customHeight="1" x14ac:dyDescent="0.15">
      <c r="A88" s="41">
        <v>15</v>
      </c>
      <c r="B88" s="41" t="s">
        <v>422</v>
      </c>
      <c r="C88" s="74" t="s">
        <v>20046</v>
      </c>
      <c r="D88" s="72"/>
      <c r="F88" s="57"/>
      <c r="G88" s="72"/>
      <c r="I88" s="57"/>
      <c r="J88" s="43"/>
      <c r="K88" s="37"/>
      <c r="L88" s="38"/>
      <c r="M88" s="299" t="s">
        <v>17556</v>
      </c>
      <c r="N88" s="45" t="s">
        <v>398</v>
      </c>
      <c r="O88" s="46">
        <v>1</v>
      </c>
      <c r="P88" s="512"/>
      <c r="Q88" s="57"/>
      <c r="R88" s="512"/>
      <c r="S88" s="57"/>
      <c r="T88" s="35"/>
      <c r="W88" s="57"/>
      <c r="X88" s="35"/>
      <c r="AA88" s="57"/>
      <c r="AB88" s="208">
        <f>ROUND((ROUND((ROUND((_15_同援日０．５*_15・２人),0)*(1+_15・A夜間)),0)*(1+_15・区３)),0)+ROUND((ROUND((ROUND((_15_同援日０．５＿２．０*_15・２人),0)*(1+_15・B深夜)),0)*(1+_15・区３)),0)</f>
        <v>958</v>
      </c>
      <c r="AC88" s="48"/>
    </row>
    <row r="89" spans="1:29" ht="16.5" customHeight="1" x14ac:dyDescent="0.15">
      <c r="A89" s="41">
        <v>15</v>
      </c>
      <c r="B89" s="41" t="s">
        <v>20047</v>
      </c>
      <c r="C89" s="74" t="s">
        <v>20048</v>
      </c>
      <c r="D89" s="72"/>
      <c r="F89" s="57"/>
      <c r="G89" s="72"/>
      <c r="I89" s="57"/>
      <c r="J89" s="114" t="s">
        <v>17558</v>
      </c>
      <c r="K89" s="49"/>
      <c r="L89" s="50"/>
      <c r="M89" s="163"/>
      <c r="N89" s="45"/>
      <c r="O89" s="46"/>
      <c r="P89" s="512"/>
      <c r="Q89" s="57"/>
      <c r="R89" s="512"/>
      <c r="S89" s="57"/>
      <c r="T89" s="35"/>
      <c r="W89" s="57"/>
      <c r="X89" s="72" t="s">
        <v>17570</v>
      </c>
      <c r="AA89" s="57"/>
      <c r="AB89" s="208">
        <f>ROUND((ROUND((ROUND((_15_同援日０．５*_15・基礎２),0)*(1+_15・A夜間)),0)*(1+_15・区３)),0)+ROUND((ROUND((ROUND((_15_同援日０．５＿２．０*_15・基礎２),0)*(1+_15・B深夜)),0)*(1+_15・区３)),0)</f>
        <v>862</v>
      </c>
      <c r="AC89" s="48"/>
    </row>
    <row r="90" spans="1:29" ht="16.5" customHeight="1" x14ac:dyDescent="0.15">
      <c r="A90" s="41">
        <v>15</v>
      </c>
      <c r="B90" s="41" t="s">
        <v>20049</v>
      </c>
      <c r="C90" s="74" t="s">
        <v>20050</v>
      </c>
      <c r="D90" s="72"/>
      <c r="F90" s="57"/>
      <c r="G90" s="72"/>
      <c r="I90" s="57"/>
      <c r="J90" s="269" t="s">
        <v>17560</v>
      </c>
      <c r="K90" s="37" t="s">
        <v>398</v>
      </c>
      <c r="L90" s="38">
        <v>0.9</v>
      </c>
      <c r="M90" s="299" t="s">
        <v>17556</v>
      </c>
      <c r="N90" s="45" t="s">
        <v>398</v>
      </c>
      <c r="O90" s="46">
        <v>1</v>
      </c>
      <c r="P90" s="512"/>
      <c r="Q90" s="57"/>
      <c r="R90" s="512"/>
      <c r="S90" s="57"/>
      <c r="T90" s="43"/>
      <c r="U90" s="37"/>
      <c r="V90" s="38"/>
      <c r="W90" s="79"/>
      <c r="X90" s="72" t="s">
        <v>17572</v>
      </c>
      <c r="AA90" s="57"/>
      <c r="AB90" s="208">
        <f>ROUND((ROUND((ROUND((ROUND((_15_同援日０．５*_15・基礎２),0)*_15・２人),0)*(1+_15・A夜間)),0)*(1+_15・区３)),0)+ROUND((ROUND((ROUND((ROUND((_15_同援日０．５＿２．０*_15・基礎２),0)*_15・２人),0)*(1+_15・B深夜)),0)*(1+_15・区３)),0)</f>
        <v>862</v>
      </c>
      <c r="AC90" s="48"/>
    </row>
    <row r="91" spans="1:29" ht="16.5" customHeight="1" x14ac:dyDescent="0.15">
      <c r="A91" s="41">
        <v>15</v>
      </c>
      <c r="B91" s="41" t="s">
        <v>20051</v>
      </c>
      <c r="C91" s="74" t="s">
        <v>20052</v>
      </c>
      <c r="D91" s="72"/>
      <c r="F91" s="57"/>
      <c r="G91" s="72"/>
      <c r="I91" s="57"/>
      <c r="J91" s="53"/>
      <c r="K91" s="49"/>
      <c r="L91" s="50"/>
      <c r="M91" s="163"/>
      <c r="N91" s="45"/>
      <c r="O91" s="46"/>
      <c r="P91" s="512"/>
      <c r="Q91" s="57"/>
      <c r="R91" s="512"/>
      <c r="S91" s="57"/>
      <c r="T91" s="114" t="s">
        <v>17562</v>
      </c>
      <c r="U91" s="49"/>
      <c r="V91" s="50"/>
      <c r="W91" s="115"/>
      <c r="X91" s="35"/>
      <c r="Y91" s="12" t="s">
        <v>398</v>
      </c>
      <c r="Z91" s="13">
        <v>0.2</v>
      </c>
      <c r="AA91" s="57" t="s">
        <v>3575</v>
      </c>
      <c r="AB91" s="208">
        <f>ROUND((ROUND((ROUND((_15_同援日０．５*(1+_15・A夜間)),0)*(1+_15・盲ろう)),0)*(1+_15・区３)),0)+ROUND((ROUND((ROUND((_15_同援日０．５＿２．０*(1+_15・B深夜)),0)*(1+_15・盲ろう)),0)*(1+_15・区３)),0)</f>
        <v>1198</v>
      </c>
      <c r="AC91" s="48"/>
    </row>
    <row r="92" spans="1:29" ht="16.5" customHeight="1" x14ac:dyDescent="0.15">
      <c r="A92" s="41">
        <v>15</v>
      </c>
      <c r="B92" s="41" t="s">
        <v>20053</v>
      </c>
      <c r="C92" s="74" t="s">
        <v>20054</v>
      </c>
      <c r="D92" s="72"/>
      <c r="F92" s="57"/>
      <c r="G92" s="72"/>
      <c r="I92" s="57"/>
      <c r="J92" s="43"/>
      <c r="K92" s="37"/>
      <c r="L92" s="38"/>
      <c r="M92" s="299" t="s">
        <v>17556</v>
      </c>
      <c r="N92" s="45" t="s">
        <v>398</v>
      </c>
      <c r="O92" s="46">
        <v>1</v>
      </c>
      <c r="P92" s="512"/>
      <c r="Q92" s="57"/>
      <c r="R92" s="512"/>
      <c r="S92" s="57"/>
      <c r="T92" s="92" t="s">
        <v>17564</v>
      </c>
      <c r="W92" s="57"/>
      <c r="X92" s="35"/>
      <c r="AA92" s="57"/>
      <c r="AB92" s="208">
        <f>ROUND((ROUND((ROUND((ROUND((_15_同援日０．５*_15・２人),0)*(1+_15・A夜間)),0)*(1+_15・盲ろう)),0)*(1+_15・区３)),0)+ROUND((ROUND((ROUND((ROUND((_15_同援日０．５＿２．０*_15・２人),0)*(1+_15・B深夜)),0)*(1+_15・盲ろう)),0)*(1+_15・区３)),0)</f>
        <v>1198</v>
      </c>
      <c r="AC92" s="48"/>
    </row>
    <row r="93" spans="1:29" ht="16.5" customHeight="1" x14ac:dyDescent="0.15">
      <c r="A93" s="41">
        <v>15</v>
      </c>
      <c r="B93" s="41" t="s">
        <v>20055</v>
      </c>
      <c r="C93" s="74" t="s">
        <v>20056</v>
      </c>
      <c r="D93" s="72"/>
      <c r="F93" s="57"/>
      <c r="G93" s="72"/>
      <c r="I93" s="57"/>
      <c r="J93" s="114" t="s">
        <v>17558</v>
      </c>
      <c r="K93" s="49"/>
      <c r="L93" s="50"/>
      <c r="M93" s="163"/>
      <c r="N93" s="45"/>
      <c r="O93" s="46"/>
      <c r="P93" s="512"/>
      <c r="Q93" s="57"/>
      <c r="R93" s="512"/>
      <c r="S93" s="57"/>
      <c r="T93" s="35"/>
      <c r="U93" s="12" t="s">
        <v>398</v>
      </c>
      <c r="V93" s="13">
        <v>0.25</v>
      </c>
      <c r="W93" s="57" t="s">
        <v>3575</v>
      </c>
      <c r="X93" s="35"/>
      <c r="AA93" s="57"/>
      <c r="AB93" s="208">
        <f>ROUND((ROUND((ROUND((ROUND((_15_同援日０．５*_15・基礎２),0)*(1+_15・A夜間)),0)*(1+_15・盲ろう)),0)*(1+_15・区３)),0)+ROUND((ROUND((ROUND((ROUND((_15_同援日０．５＿２．０*_15・基礎２),0)*(1+_15・B深夜)),0)*(1+_15・盲ろう)),0)*(1+_15・区３)),0)</f>
        <v>1078</v>
      </c>
      <c r="AC93" s="48"/>
    </row>
    <row r="94" spans="1:29" ht="16.5" customHeight="1" x14ac:dyDescent="0.15">
      <c r="A94" s="41">
        <v>15</v>
      </c>
      <c r="B94" s="41" t="s">
        <v>20057</v>
      </c>
      <c r="C94" s="74" t="s">
        <v>20058</v>
      </c>
      <c r="D94" s="72"/>
      <c r="F94" s="57"/>
      <c r="G94" s="72"/>
      <c r="I94" s="57"/>
      <c r="J94" s="269" t="s">
        <v>17560</v>
      </c>
      <c r="K94" s="37" t="s">
        <v>398</v>
      </c>
      <c r="L94" s="38">
        <v>0.9</v>
      </c>
      <c r="M94" s="299" t="s">
        <v>17556</v>
      </c>
      <c r="N94" s="45" t="s">
        <v>398</v>
      </c>
      <c r="O94" s="46">
        <v>1</v>
      </c>
      <c r="P94" s="512"/>
      <c r="Q94" s="57"/>
      <c r="R94" s="512"/>
      <c r="S94" s="57"/>
      <c r="T94" s="43"/>
      <c r="U94" s="37"/>
      <c r="V94" s="38"/>
      <c r="W94" s="79"/>
      <c r="X94" s="43"/>
      <c r="Y94" s="37"/>
      <c r="Z94" s="38"/>
      <c r="AA94" s="79"/>
      <c r="AB94" s="208">
        <f>ROUND((ROUND((ROUND((ROUND((ROUND((_15_同援日０．５*_15・基礎２),0)*_15・２人),0)*(1+_15・A夜間)),0)*(1+_15・盲ろう)),0)*(1+_15・区３)),0)+ROUND((ROUND((ROUND((ROUND((ROUND((_15_同援日０．５＿２．０*_15・基礎２),0)*_15・２人),0)*(1+_15・B深夜)),0)*(1+_15・盲ろう)),0)*(1+_15・区３)),0)</f>
        <v>1078</v>
      </c>
      <c r="AC94" s="48"/>
    </row>
    <row r="95" spans="1:29" ht="16.5" customHeight="1" x14ac:dyDescent="0.15">
      <c r="A95" s="41">
        <v>15</v>
      </c>
      <c r="B95" s="41" t="s">
        <v>20059</v>
      </c>
      <c r="C95" s="74" t="s">
        <v>20060</v>
      </c>
      <c r="D95" s="72"/>
      <c r="F95" s="57"/>
      <c r="G95" s="72"/>
      <c r="I95" s="57"/>
      <c r="J95" s="53"/>
      <c r="K95" s="49"/>
      <c r="L95" s="50"/>
      <c r="M95" s="163"/>
      <c r="N95" s="45"/>
      <c r="O95" s="46"/>
      <c r="P95" s="512"/>
      <c r="Q95" s="57"/>
      <c r="R95" s="512"/>
      <c r="S95" s="57"/>
      <c r="T95" s="53"/>
      <c r="U95" s="49"/>
      <c r="V95" s="50"/>
      <c r="W95" s="115"/>
      <c r="X95" s="53"/>
      <c r="Y95" s="49"/>
      <c r="Z95" s="50"/>
      <c r="AA95" s="115"/>
      <c r="AB95" s="208">
        <f>ROUND((ROUND((_15_同援日０．５*(1+_15・A夜間)),0)*(1+_15・区４)),0)+ROUND((ROUND((_15_同援日０．５＿２．０*(1+_15・B深夜)),0)*(1+_15・区４)),0)</f>
        <v>1117</v>
      </c>
      <c r="AC95" s="48"/>
    </row>
    <row r="96" spans="1:29" ht="16.5" customHeight="1" x14ac:dyDescent="0.15">
      <c r="A96" s="41">
        <v>15</v>
      </c>
      <c r="B96" s="41" t="s">
        <v>20061</v>
      </c>
      <c r="C96" s="74" t="s">
        <v>20062</v>
      </c>
      <c r="D96" s="72"/>
      <c r="F96" s="57"/>
      <c r="G96" s="72"/>
      <c r="I96" s="57"/>
      <c r="J96" s="43"/>
      <c r="K96" s="37"/>
      <c r="L96" s="38"/>
      <c r="M96" s="299" t="s">
        <v>17556</v>
      </c>
      <c r="N96" s="45" t="s">
        <v>398</v>
      </c>
      <c r="O96" s="46">
        <v>1</v>
      </c>
      <c r="P96" s="512"/>
      <c r="Q96" s="57"/>
      <c r="R96" s="512"/>
      <c r="S96" s="57"/>
      <c r="T96" s="35"/>
      <c r="W96" s="57"/>
      <c r="X96" s="35"/>
      <c r="AA96" s="57"/>
      <c r="AB96" s="208">
        <f>ROUND((ROUND((ROUND((_15_同援日０．５*_15・２人),0)*(1+_15・A夜間)),0)*(1+_15・区４)),0)+ROUND((ROUND((ROUND((_15_同援日０．５＿２．０*_15・２人),0)*(1+_15・B深夜)),0)*(1+_15・区４)),0)</f>
        <v>1117</v>
      </c>
      <c r="AC96" s="48"/>
    </row>
    <row r="97" spans="1:29" ht="16.5" customHeight="1" x14ac:dyDescent="0.15">
      <c r="A97" s="41">
        <v>15</v>
      </c>
      <c r="B97" s="41" t="s">
        <v>20063</v>
      </c>
      <c r="C97" s="74" t="s">
        <v>20064</v>
      </c>
      <c r="D97" s="72"/>
      <c r="F97" s="57"/>
      <c r="G97" s="72"/>
      <c r="I97" s="57"/>
      <c r="J97" s="114" t="s">
        <v>17558</v>
      </c>
      <c r="K97" s="49"/>
      <c r="L97" s="50"/>
      <c r="M97" s="163"/>
      <c r="N97" s="45"/>
      <c r="O97" s="46"/>
      <c r="P97" s="512"/>
      <c r="Q97" s="57"/>
      <c r="R97" s="512"/>
      <c r="S97" s="57"/>
      <c r="T97" s="35"/>
      <c r="W97" s="57"/>
      <c r="X97" s="72" t="s">
        <v>17580</v>
      </c>
      <c r="AA97" s="57"/>
      <c r="AB97" s="208">
        <f>ROUND((ROUND((ROUND((_15_同援日０．５*_15・基礎２),0)*(1+_15・A夜間)),0)*(1+_15・区４)),0)+ROUND((ROUND((ROUND((_15_同援日０．５＿２．０*_15・基礎２),0)*(1+_15・B深夜)),0)*(1+_15・区４)),0)</f>
        <v>1006</v>
      </c>
      <c r="AC97" s="48"/>
    </row>
    <row r="98" spans="1:29" ht="16.5" customHeight="1" x14ac:dyDescent="0.15">
      <c r="A98" s="41">
        <v>15</v>
      </c>
      <c r="B98" s="41" t="s">
        <v>20065</v>
      </c>
      <c r="C98" s="74" t="s">
        <v>20066</v>
      </c>
      <c r="D98" s="72"/>
      <c r="F98" s="57"/>
      <c r="G98" s="72"/>
      <c r="I98" s="57"/>
      <c r="J98" s="269" t="s">
        <v>17560</v>
      </c>
      <c r="K98" s="37" t="s">
        <v>398</v>
      </c>
      <c r="L98" s="38">
        <v>0.9</v>
      </c>
      <c r="M98" s="299" t="s">
        <v>17556</v>
      </c>
      <c r="N98" s="45" t="s">
        <v>398</v>
      </c>
      <c r="O98" s="46">
        <v>1</v>
      </c>
      <c r="P98" s="512"/>
      <c r="Q98" s="57"/>
      <c r="R98" s="512"/>
      <c r="S98" s="57"/>
      <c r="T98" s="43"/>
      <c r="U98" s="37"/>
      <c r="V98" s="38"/>
      <c r="W98" s="79"/>
      <c r="X98" s="72" t="s">
        <v>17572</v>
      </c>
      <c r="AA98" s="57"/>
      <c r="AB98" s="208">
        <f>ROUND((ROUND((ROUND((ROUND((_15_同援日０．５*_15・基礎２),0)*_15・２人),0)*(1+_15・A夜間)),0)*(1+_15・区４)),0)+ROUND((ROUND((ROUND((ROUND((_15_同援日０．５＿２．０*_15・基礎２),0)*_15・２人),0)*(1+_15・B深夜)),0)*(1+_15・区４)),0)</f>
        <v>1006</v>
      </c>
      <c r="AC98" s="48"/>
    </row>
    <row r="99" spans="1:29" ht="16.5" customHeight="1" x14ac:dyDescent="0.15">
      <c r="A99" s="41">
        <v>15</v>
      </c>
      <c r="B99" s="41" t="s">
        <v>20067</v>
      </c>
      <c r="C99" s="74" t="s">
        <v>20068</v>
      </c>
      <c r="D99" s="72"/>
      <c r="F99" s="57"/>
      <c r="G99" s="72"/>
      <c r="I99" s="57"/>
      <c r="J99" s="53"/>
      <c r="K99" s="49"/>
      <c r="L99" s="50"/>
      <c r="M99" s="163"/>
      <c r="N99" s="45"/>
      <c r="O99" s="46"/>
      <c r="P99" s="512"/>
      <c r="Q99" s="57"/>
      <c r="R99" s="512"/>
      <c r="S99" s="57"/>
      <c r="T99" s="114" t="s">
        <v>17562</v>
      </c>
      <c r="U99" s="49"/>
      <c r="V99" s="50"/>
      <c r="W99" s="115"/>
      <c r="X99" s="35"/>
      <c r="Y99" s="12" t="s">
        <v>398</v>
      </c>
      <c r="Z99" s="13">
        <v>0.4</v>
      </c>
      <c r="AA99" s="57" t="s">
        <v>3575</v>
      </c>
      <c r="AB99" s="208">
        <f>ROUND((ROUND((ROUND((_15_同援日０．５*(1+_15・A夜間)),0)*(1+_15・盲ろう)),0)*(1+_15・区４)),0)+ROUND((ROUND((ROUND((_15_同援日０．５＿２．０*(1+_15・B深夜)),0)*(1+_15・盲ろう)),0)*(1+_15・区４)),0)</f>
        <v>1397</v>
      </c>
      <c r="AC99" s="48"/>
    </row>
    <row r="100" spans="1:29" ht="16.5" customHeight="1" x14ac:dyDescent="0.15">
      <c r="A100" s="41">
        <v>15</v>
      </c>
      <c r="B100" s="41" t="s">
        <v>20069</v>
      </c>
      <c r="C100" s="74" t="s">
        <v>20070</v>
      </c>
      <c r="D100" s="72"/>
      <c r="F100" s="57"/>
      <c r="G100" s="72"/>
      <c r="I100" s="57"/>
      <c r="J100" s="43"/>
      <c r="K100" s="37"/>
      <c r="L100" s="38"/>
      <c r="M100" s="299" t="s">
        <v>17556</v>
      </c>
      <c r="N100" s="45" t="s">
        <v>398</v>
      </c>
      <c r="O100" s="46">
        <v>1</v>
      </c>
      <c r="P100" s="512"/>
      <c r="Q100" s="57"/>
      <c r="R100" s="512"/>
      <c r="S100" s="57"/>
      <c r="T100" s="92" t="s">
        <v>17564</v>
      </c>
      <c r="W100" s="57"/>
      <c r="X100" s="35"/>
      <c r="AA100" s="57"/>
      <c r="AB100" s="208">
        <f>ROUND((ROUND((ROUND((ROUND((_15_同援日０．５*_15・２人),0)*(1+_15・A夜間)),0)*(1+_15・盲ろう)),0)*(1+_15・区４)),0)+ROUND((ROUND((ROUND((ROUND((_15_同援日０．５＿２．０*_15・２人),0)*(1+_15・B深夜)),0)*(1+_15・盲ろう)),0)*(1+_15・区４)),0)</f>
        <v>1397</v>
      </c>
      <c r="AC100" s="48"/>
    </row>
    <row r="101" spans="1:29" ht="16.5" customHeight="1" x14ac:dyDescent="0.15">
      <c r="A101" s="41">
        <v>15</v>
      </c>
      <c r="B101" s="41" t="s">
        <v>20071</v>
      </c>
      <c r="C101" s="74" t="s">
        <v>20072</v>
      </c>
      <c r="D101" s="72"/>
      <c r="F101" s="57"/>
      <c r="G101" s="72"/>
      <c r="I101" s="57"/>
      <c r="J101" s="114" t="s">
        <v>17558</v>
      </c>
      <c r="K101" s="49"/>
      <c r="L101" s="50"/>
      <c r="M101" s="163"/>
      <c r="N101" s="45"/>
      <c r="O101" s="46"/>
      <c r="P101" s="512"/>
      <c r="Q101" s="57"/>
      <c r="R101" s="512"/>
      <c r="S101" s="57"/>
      <c r="T101" s="35"/>
      <c r="U101" s="12" t="s">
        <v>398</v>
      </c>
      <c r="V101" s="13">
        <v>0.25</v>
      </c>
      <c r="W101" s="57" t="s">
        <v>3575</v>
      </c>
      <c r="X101" s="35"/>
      <c r="AA101" s="57"/>
      <c r="AB101" s="208">
        <f>ROUND((ROUND((ROUND((ROUND((_15_同援日０．５*_15・基礎２),0)*(1+_15・A夜間)),0)*(1+_15・盲ろう)),0)*(1+_15・区４)),0)+ROUND((ROUND((ROUND((ROUND((_15_同援日０．５＿２．０*_15・基礎２),0)*(1+_15・B深夜)),0)*(1+_15・盲ろう)),0)*(1+_15・区４)),0)</f>
        <v>1257</v>
      </c>
      <c r="AC101" s="48"/>
    </row>
    <row r="102" spans="1:29" ht="16.5" customHeight="1" x14ac:dyDescent="0.15">
      <c r="A102" s="41">
        <v>15</v>
      </c>
      <c r="B102" s="41" t="s">
        <v>20073</v>
      </c>
      <c r="C102" s="74" t="s">
        <v>20074</v>
      </c>
      <c r="D102" s="122"/>
      <c r="E102" s="37"/>
      <c r="F102" s="79"/>
      <c r="G102" s="122"/>
      <c r="H102" s="37"/>
      <c r="I102" s="79"/>
      <c r="J102" s="269" t="s">
        <v>17560</v>
      </c>
      <c r="K102" s="37" t="s">
        <v>398</v>
      </c>
      <c r="L102" s="38">
        <v>0.9</v>
      </c>
      <c r="M102" s="299" t="s">
        <v>17556</v>
      </c>
      <c r="N102" s="45" t="s">
        <v>398</v>
      </c>
      <c r="O102" s="46">
        <v>1</v>
      </c>
      <c r="P102" s="514"/>
      <c r="Q102" s="79"/>
      <c r="R102" s="514"/>
      <c r="S102" s="79"/>
      <c r="T102" s="43"/>
      <c r="U102" s="37"/>
      <c r="V102" s="38"/>
      <c r="W102" s="79"/>
      <c r="X102" s="43"/>
      <c r="Y102" s="37"/>
      <c r="Z102" s="38"/>
      <c r="AA102" s="79"/>
      <c r="AB102" s="208">
        <f>ROUND((ROUND((ROUND((ROUND((ROUND((_15_同援日０．５*_15・基礎２),0)*_15・２人),0)*(1+_15・A夜間)),0)*(1+_15・盲ろう)),0)*(1+_15・区４)),0)+ROUND((ROUND((ROUND((ROUND((ROUND((_15_同援日０．５＿２．０*_15・基礎２),0)*_15・２人),0)*(1+_15・B深夜)),0)*(1+_15・盲ろう)),0)*(1+_15・区４)),0)</f>
        <v>1257</v>
      </c>
      <c r="AC102" s="63"/>
    </row>
    <row r="103" spans="1:29" ht="16.5" customHeight="1" x14ac:dyDescent="0.15">
      <c r="A103" s="41">
        <v>15</v>
      </c>
      <c r="B103" s="41" t="s">
        <v>20075</v>
      </c>
      <c r="C103" s="74" t="s">
        <v>20076</v>
      </c>
      <c r="D103" s="114"/>
      <c r="E103" s="49"/>
      <c r="F103" s="115"/>
      <c r="G103" s="114" t="s">
        <v>20077</v>
      </c>
      <c r="H103" s="49"/>
      <c r="I103" s="115"/>
      <c r="J103" s="53"/>
      <c r="K103" s="49"/>
      <c r="L103" s="50"/>
      <c r="M103" s="163"/>
      <c r="N103" s="45"/>
      <c r="O103" s="46"/>
      <c r="P103" s="515"/>
      <c r="Q103" s="115"/>
      <c r="R103" s="515"/>
      <c r="S103" s="115"/>
      <c r="T103" s="53"/>
      <c r="U103" s="49"/>
      <c r="V103" s="50"/>
      <c r="W103" s="115"/>
      <c r="X103" s="53"/>
      <c r="Y103" s="49"/>
      <c r="Z103" s="50"/>
      <c r="AA103" s="115"/>
      <c r="AB103" s="208">
        <f>ROUND((_15_同援日０．５*(1+_15・A夜間)),0)+ROUND((_15_同援日０．５＿２．５*(1+_15・B深夜)),0)</f>
        <v>895</v>
      </c>
      <c r="AC103" s="64"/>
    </row>
    <row r="104" spans="1:29" ht="16.5" customHeight="1" x14ac:dyDescent="0.15">
      <c r="A104" s="41">
        <v>15</v>
      </c>
      <c r="B104" s="41" t="s">
        <v>20078</v>
      </c>
      <c r="C104" s="74" t="s">
        <v>20079</v>
      </c>
      <c r="D104" s="72"/>
      <c r="F104" s="57"/>
      <c r="G104" s="72" t="s">
        <v>17670</v>
      </c>
      <c r="I104" s="57"/>
      <c r="J104" s="43"/>
      <c r="K104" s="37"/>
      <c r="L104" s="38"/>
      <c r="M104" s="299" t="s">
        <v>17556</v>
      </c>
      <c r="N104" s="45" t="s">
        <v>398</v>
      </c>
      <c r="O104" s="46">
        <v>1</v>
      </c>
      <c r="P104" s="512"/>
      <c r="Q104" s="57"/>
      <c r="R104" s="512"/>
      <c r="S104" s="57"/>
      <c r="T104" s="35"/>
      <c r="W104" s="57"/>
      <c r="X104" s="35"/>
      <c r="AA104" s="57"/>
      <c r="AB104" s="208">
        <f>ROUND((ROUND((_15_同援日０．５*_15・２人),0)*(1+_15・A夜間)),0)+ROUND((ROUND((_15_同援日０．５＿２．５*_15・２人),0)*(1+_15・B深夜)),0)</f>
        <v>895</v>
      </c>
      <c r="AC104" s="48"/>
    </row>
    <row r="105" spans="1:29" ht="16.5" customHeight="1" x14ac:dyDescent="0.15">
      <c r="A105" s="41">
        <v>15</v>
      </c>
      <c r="B105" s="41" t="s">
        <v>429</v>
      </c>
      <c r="C105" s="74" t="s">
        <v>20080</v>
      </c>
      <c r="D105" s="72"/>
      <c r="F105" s="57"/>
      <c r="G105" s="72" t="s">
        <v>17672</v>
      </c>
      <c r="I105" s="57"/>
      <c r="J105" s="114" t="s">
        <v>17558</v>
      </c>
      <c r="K105" s="49"/>
      <c r="L105" s="50"/>
      <c r="M105" s="163"/>
      <c r="N105" s="45"/>
      <c r="O105" s="46"/>
      <c r="P105" s="512"/>
      <c r="Q105" s="57"/>
      <c r="R105" s="512"/>
      <c r="S105" s="57"/>
      <c r="T105" s="35"/>
      <c r="W105" s="57"/>
      <c r="X105" s="35"/>
      <c r="AA105" s="57"/>
      <c r="AB105" s="208">
        <f>ROUND((ROUND((_15_同援日０．５*_15・基礎２),0)*(1+_15・A夜間)),0)+ROUND((ROUND((_15_同援日０．５＿２．５*_15・基礎２),0)*(1+_15・B深夜)),0)</f>
        <v>805</v>
      </c>
      <c r="AC105" s="48"/>
    </row>
    <row r="106" spans="1:29" ht="16.5" customHeight="1" x14ac:dyDescent="0.15">
      <c r="A106" s="41">
        <v>15</v>
      </c>
      <c r="B106" s="41" t="s">
        <v>431</v>
      </c>
      <c r="C106" s="74" t="s">
        <v>20081</v>
      </c>
      <c r="D106" s="72"/>
      <c r="F106" s="57"/>
      <c r="G106" s="72"/>
      <c r="H106" s="168">
        <f>_15_同援日０．５＿２．５</f>
        <v>438</v>
      </c>
      <c r="I106" s="57" t="s">
        <v>392</v>
      </c>
      <c r="J106" s="269" t="s">
        <v>17560</v>
      </c>
      <c r="K106" s="37" t="s">
        <v>398</v>
      </c>
      <c r="L106" s="38">
        <v>0.9</v>
      </c>
      <c r="M106" s="299" t="s">
        <v>17556</v>
      </c>
      <c r="N106" s="45" t="s">
        <v>398</v>
      </c>
      <c r="O106" s="46">
        <v>1</v>
      </c>
      <c r="P106" s="512"/>
      <c r="Q106" s="57"/>
      <c r="R106" s="512"/>
      <c r="S106" s="57"/>
      <c r="T106" s="43"/>
      <c r="U106" s="37"/>
      <c r="V106" s="38"/>
      <c r="W106" s="79"/>
      <c r="X106" s="35"/>
      <c r="AA106" s="57"/>
      <c r="AB106" s="208">
        <f>ROUND((ROUND((ROUND((_15_同援日０．５*_15・基礎２),0)*_15・２人),0)*(1+_15・A夜間)),0)+ROUND((ROUND((ROUND((_15_同援日０．５＿２．５*_15・基礎２),0)*_15・２人),0)*(1+_15・B深夜)),0)</f>
        <v>805</v>
      </c>
      <c r="AC106" s="48"/>
    </row>
    <row r="107" spans="1:29" ht="16.5" customHeight="1" x14ac:dyDescent="0.15">
      <c r="A107" s="41">
        <v>15</v>
      </c>
      <c r="B107" s="41" t="s">
        <v>433</v>
      </c>
      <c r="C107" s="74" t="s">
        <v>20082</v>
      </c>
      <c r="D107" s="72"/>
      <c r="F107" s="57"/>
      <c r="G107" s="72"/>
      <c r="I107" s="57"/>
      <c r="J107" s="53"/>
      <c r="K107" s="49"/>
      <c r="L107" s="50"/>
      <c r="M107" s="163"/>
      <c r="N107" s="45"/>
      <c r="O107" s="46"/>
      <c r="P107" s="512"/>
      <c r="Q107" s="57"/>
      <c r="R107" s="512"/>
      <c r="S107" s="57"/>
      <c r="T107" s="114" t="s">
        <v>17562</v>
      </c>
      <c r="U107" s="49"/>
      <c r="V107" s="50"/>
      <c r="W107" s="115"/>
      <c r="X107" s="35"/>
      <c r="AA107" s="57"/>
      <c r="AB107" s="208">
        <f>ROUND((ROUND((_15_同援日０．５*(1+_15・A夜間)),0)*(1+_15・盲ろう)),0)+ROUND((ROUND((_15_同援日０．５＿２．５*(1+_15・B深夜)),0)*(1+_15・盲ろう)),0)</f>
        <v>1119</v>
      </c>
      <c r="AC107" s="48"/>
    </row>
    <row r="108" spans="1:29" ht="16.5" customHeight="1" x14ac:dyDescent="0.15">
      <c r="A108" s="41">
        <v>15</v>
      </c>
      <c r="B108" s="41" t="s">
        <v>435</v>
      </c>
      <c r="C108" s="74" t="s">
        <v>20083</v>
      </c>
      <c r="D108" s="72"/>
      <c r="F108" s="57"/>
      <c r="G108" s="72"/>
      <c r="I108" s="57"/>
      <c r="J108" s="43"/>
      <c r="K108" s="37"/>
      <c r="L108" s="38"/>
      <c r="M108" s="299" t="s">
        <v>17556</v>
      </c>
      <c r="N108" s="45" t="s">
        <v>398</v>
      </c>
      <c r="O108" s="46">
        <v>1</v>
      </c>
      <c r="P108" s="512"/>
      <c r="Q108" s="57"/>
      <c r="R108" s="512"/>
      <c r="S108" s="57"/>
      <c r="T108" s="92" t="s">
        <v>17564</v>
      </c>
      <c r="W108" s="57"/>
      <c r="X108" s="35"/>
      <c r="AA108" s="57"/>
      <c r="AB108" s="208">
        <f>ROUND((ROUND((ROUND((_15_同援日０．５*_15・２人),0)*(1+_15・A夜間)),0)*(1+_15・盲ろう)),0)+ROUND((ROUND((ROUND((_15_同援日０．５＿２．５*_15・２人),0)*(1+_15・B深夜)),0)*(1+_15・盲ろう)),0)</f>
        <v>1119</v>
      </c>
      <c r="AC108" s="48"/>
    </row>
    <row r="109" spans="1:29" ht="16.5" customHeight="1" x14ac:dyDescent="0.15">
      <c r="A109" s="41">
        <v>15</v>
      </c>
      <c r="B109" s="41" t="s">
        <v>20084</v>
      </c>
      <c r="C109" s="74" t="s">
        <v>20085</v>
      </c>
      <c r="D109" s="72"/>
      <c r="F109" s="57"/>
      <c r="G109" s="72"/>
      <c r="I109" s="57"/>
      <c r="J109" s="114" t="s">
        <v>17558</v>
      </c>
      <c r="K109" s="49"/>
      <c r="L109" s="50"/>
      <c r="M109" s="163"/>
      <c r="N109" s="45"/>
      <c r="O109" s="46"/>
      <c r="P109" s="512"/>
      <c r="Q109" s="57"/>
      <c r="R109" s="512"/>
      <c r="S109" s="57"/>
      <c r="T109" s="35"/>
      <c r="U109" s="12" t="s">
        <v>398</v>
      </c>
      <c r="V109" s="13">
        <v>0.25</v>
      </c>
      <c r="W109" s="57" t="s">
        <v>3575</v>
      </c>
      <c r="X109" s="35"/>
      <c r="AA109" s="57"/>
      <c r="AB109" s="208">
        <f>ROUND((ROUND((ROUND((_15_同援日０．５*_15・基礎２),0)*(1+_15・A夜間)),0)*(1+_15・盲ろう)),0)+ROUND((ROUND((ROUND((_15_同援日０．５＿２．５*_15・基礎２),0)*(1+_15・B深夜)),0)*(1+_15・盲ろう)),0)</f>
        <v>1007</v>
      </c>
      <c r="AC109" s="48"/>
    </row>
    <row r="110" spans="1:29" ht="16.5" customHeight="1" x14ac:dyDescent="0.15">
      <c r="A110" s="41">
        <v>15</v>
      </c>
      <c r="B110" s="41" t="s">
        <v>20086</v>
      </c>
      <c r="C110" s="74" t="s">
        <v>20087</v>
      </c>
      <c r="D110" s="72"/>
      <c r="F110" s="57"/>
      <c r="G110" s="72"/>
      <c r="I110" s="57"/>
      <c r="J110" s="269" t="s">
        <v>17560</v>
      </c>
      <c r="K110" s="37" t="s">
        <v>398</v>
      </c>
      <c r="L110" s="38">
        <v>0.9</v>
      </c>
      <c r="M110" s="299" t="s">
        <v>17556</v>
      </c>
      <c r="N110" s="45" t="s">
        <v>398</v>
      </c>
      <c r="O110" s="46">
        <v>1</v>
      </c>
      <c r="P110" s="512"/>
      <c r="Q110" s="57"/>
      <c r="R110" s="512"/>
      <c r="S110" s="57"/>
      <c r="T110" s="43"/>
      <c r="U110" s="37"/>
      <c r="V110" s="38"/>
      <c r="W110" s="79"/>
      <c r="X110" s="43"/>
      <c r="Y110" s="37"/>
      <c r="Z110" s="38"/>
      <c r="AA110" s="79"/>
      <c r="AB110" s="208">
        <f>ROUND((ROUND((ROUND((ROUND((_15_同援日０．５*_15・基礎２),0)*_15・２人),0)*(1+_15・A夜間)),0)*(1+_15・盲ろう)),0)+ROUND((ROUND((ROUND((ROUND((_15_同援日０．５＿２．５*_15・基礎２),0)*_15・２人),0)*(1+_15・B深夜)),0)*(1+_15・盲ろう)),0)</f>
        <v>1007</v>
      </c>
      <c r="AC110" s="48"/>
    </row>
    <row r="111" spans="1:29" ht="16.5" customHeight="1" x14ac:dyDescent="0.15">
      <c r="A111" s="41">
        <v>15</v>
      </c>
      <c r="B111" s="41" t="s">
        <v>20088</v>
      </c>
      <c r="C111" s="74" t="s">
        <v>20089</v>
      </c>
      <c r="D111" s="72"/>
      <c r="F111" s="57"/>
      <c r="G111" s="72"/>
      <c r="I111" s="57"/>
      <c r="J111" s="53"/>
      <c r="K111" s="49"/>
      <c r="L111" s="50"/>
      <c r="M111" s="163"/>
      <c r="N111" s="45"/>
      <c r="O111" s="46"/>
      <c r="P111" s="512"/>
      <c r="Q111" s="57"/>
      <c r="R111" s="512"/>
      <c r="S111" s="57"/>
      <c r="T111" s="53"/>
      <c r="U111" s="49"/>
      <c r="V111" s="50"/>
      <c r="W111" s="115"/>
      <c r="X111" s="53"/>
      <c r="Y111" s="49"/>
      <c r="Z111" s="50"/>
      <c r="AA111" s="115"/>
      <c r="AB111" s="208">
        <f>ROUND((ROUND((_15_同援日０．５*(1+_15・A夜間)),0)*(1+_15・区３)),0)+ROUND((ROUND((_15_同援日０．５＿２．５*(1+_15・B深夜)),0)*(1+_15・区３)),0)</f>
        <v>1074</v>
      </c>
      <c r="AC111" s="48"/>
    </row>
    <row r="112" spans="1:29" ht="16.5" customHeight="1" x14ac:dyDescent="0.15">
      <c r="A112" s="41">
        <v>15</v>
      </c>
      <c r="B112" s="41" t="s">
        <v>20090</v>
      </c>
      <c r="C112" s="74" t="s">
        <v>20091</v>
      </c>
      <c r="D112" s="72"/>
      <c r="F112" s="57"/>
      <c r="G112" s="72"/>
      <c r="I112" s="57"/>
      <c r="J112" s="43"/>
      <c r="K112" s="37"/>
      <c r="L112" s="38"/>
      <c r="M112" s="299" t="s">
        <v>17556</v>
      </c>
      <c r="N112" s="45" t="s">
        <v>398</v>
      </c>
      <c r="O112" s="46">
        <v>1</v>
      </c>
      <c r="P112" s="512"/>
      <c r="Q112" s="57"/>
      <c r="R112" s="512"/>
      <c r="S112" s="57"/>
      <c r="T112" s="35"/>
      <c r="W112" s="57"/>
      <c r="X112" s="35"/>
      <c r="AA112" s="57"/>
      <c r="AB112" s="208">
        <f>ROUND((ROUND((ROUND((_15_同援日０．５*_15・２人),0)*(1+_15・A夜間)),0)*(1+_15・区３)),0)+ROUND((ROUND((ROUND((_15_同援日０．５＿２．５*_15・２人),0)*(1+_15・B深夜)),0)*(1+_15・区３)),0)</f>
        <v>1074</v>
      </c>
      <c r="AC112" s="48"/>
    </row>
    <row r="113" spans="1:29" ht="16.5" customHeight="1" x14ac:dyDescent="0.15">
      <c r="A113" s="41">
        <v>15</v>
      </c>
      <c r="B113" s="41" t="s">
        <v>20092</v>
      </c>
      <c r="C113" s="74" t="s">
        <v>20093</v>
      </c>
      <c r="D113" s="72"/>
      <c r="F113" s="57"/>
      <c r="G113" s="72"/>
      <c r="I113" s="57"/>
      <c r="J113" s="114" t="s">
        <v>17558</v>
      </c>
      <c r="K113" s="49"/>
      <c r="L113" s="50"/>
      <c r="M113" s="163"/>
      <c r="N113" s="45"/>
      <c r="O113" s="46"/>
      <c r="P113" s="512"/>
      <c r="Q113" s="57"/>
      <c r="R113" s="512"/>
      <c r="S113" s="57"/>
      <c r="T113" s="35"/>
      <c r="W113" s="57"/>
      <c r="X113" s="72" t="s">
        <v>17570</v>
      </c>
      <c r="AA113" s="57"/>
      <c r="AB113" s="208">
        <f>ROUND((ROUND((ROUND((_15_同援日０．５*_15・基礎２),0)*(1+_15・A夜間)),0)*(1+_15・区３)),0)+ROUND((ROUND((ROUND((_15_同援日０．５＿２．５*_15・基礎２),0)*(1+_15・B深夜)),0)*(1+_15・区３)),0)</f>
        <v>966</v>
      </c>
      <c r="AC113" s="48"/>
    </row>
    <row r="114" spans="1:29" ht="16.5" customHeight="1" x14ac:dyDescent="0.15">
      <c r="A114" s="41">
        <v>15</v>
      </c>
      <c r="B114" s="41" t="s">
        <v>20094</v>
      </c>
      <c r="C114" s="74" t="s">
        <v>20095</v>
      </c>
      <c r="D114" s="72"/>
      <c r="F114" s="57"/>
      <c r="G114" s="72"/>
      <c r="I114" s="57"/>
      <c r="J114" s="269" t="s">
        <v>17560</v>
      </c>
      <c r="K114" s="37" t="s">
        <v>398</v>
      </c>
      <c r="L114" s="38">
        <v>0.9</v>
      </c>
      <c r="M114" s="299" t="s">
        <v>17556</v>
      </c>
      <c r="N114" s="45" t="s">
        <v>398</v>
      </c>
      <c r="O114" s="46">
        <v>1</v>
      </c>
      <c r="P114" s="512"/>
      <c r="Q114" s="57"/>
      <c r="R114" s="512"/>
      <c r="S114" s="57"/>
      <c r="T114" s="43"/>
      <c r="U114" s="37"/>
      <c r="V114" s="38"/>
      <c r="W114" s="79"/>
      <c r="X114" s="72" t="s">
        <v>17572</v>
      </c>
      <c r="AA114" s="57"/>
      <c r="AB114" s="208">
        <f>ROUND((ROUND((ROUND((ROUND((_15_同援日０．５*_15・基礎２),0)*_15・２人),0)*(1+_15・A夜間)),0)*(1+_15・区３)),0)+ROUND((ROUND((ROUND((ROUND((_15_同援日０．５＿２．５*_15・基礎２),0)*_15・２人),0)*(1+_15・B深夜)),0)*(1+_15・区３)),0)</f>
        <v>966</v>
      </c>
      <c r="AC114" s="48"/>
    </row>
    <row r="115" spans="1:29" ht="16.5" customHeight="1" x14ac:dyDescent="0.15">
      <c r="A115" s="41">
        <v>15</v>
      </c>
      <c r="B115" s="41" t="s">
        <v>20096</v>
      </c>
      <c r="C115" s="74" t="s">
        <v>20097</v>
      </c>
      <c r="D115" s="72"/>
      <c r="F115" s="57"/>
      <c r="G115" s="72"/>
      <c r="I115" s="57"/>
      <c r="J115" s="53"/>
      <c r="K115" s="49"/>
      <c r="L115" s="50"/>
      <c r="M115" s="163"/>
      <c r="N115" s="45"/>
      <c r="O115" s="46"/>
      <c r="P115" s="512"/>
      <c r="Q115" s="57"/>
      <c r="R115" s="512"/>
      <c r="S115" s="57"/>
      <c r="T115" s="114" t="s">
        <v>17562</v>
      </c>
      <c r="U115" s="49"/>
      <c r="V115" s="50"/>
      <c r="W115" s="115"/>
      <c r="X115" s="35"/>
      <c r="Y115" s="12" t="s">
        <v>398</v>
      </c>
      <c r="Z115" s="13">
        <v>0.2</v>
      </c>
      <c r="AA115" s="57" t="s">
        <v>3575</v>
      </c>
      <c r="AB115" s="208">
        <f>ROUND((ROUND((ROUND((_15_同援日０．５*(1+_15・A夜間)),0)*(1+_15・盲ろう)),0)*(1+_15・区３)),0)+ROUND((ROUND((ROUND((_15_同援日０．５＿２．５*(1+_15・B深夜)),0)*(1+_15・盲ろう)),0)*(1+_15・区３)),0)</f>
        <v>1343</v>
      </c>
      <c r="AC115" s="48"/>
    </row>
    <row r="116" spans="1:29" ht="16.5" customHeight="1" x14ac:dyDescent="0.15">
      <c r="A116" s="41">
        <v>15</v>
      </c>
      <c r="B116" s="41" t="s">
        <v>20098</v>
      </c>
      <c r="C116" s="74" t="s">
        <v>20099</v>
      </c>
      <c r="D116" s="72"/>
      <c r="F116" s="57"/>
      <c r="G116" s="72"/>
      <c r="I116" s="57"/>
      <c r="J116" s="43"/>
      <c r="K116" s="37"/>
      <c r="L116" s="38"/>
      <c r="M116" s="299" t="s">
        <v>17556</v>
      </c>
      <c r="N116" s="45" t="s">
        <v>398</v>
      </c>
      <c r="O116" s="46">
        <v>1</v>
      </c>
      <c r="P116" s="512"/>
      <c r="Q116" s="57"/>
      <c r="R116" s="512"/>
      <c r="S116" s="57"/>
      <c r="T116" s="92" t="s">
        <v>17564</v>
      </c>
      <c r="W116" s="57"/>
      <c r="X116" s="35"/>
      <c r="AA116" s="57"/>
      <c r="AB116" s="208">
        <f>ROUND((ROUND((ROUND((ROUND((_15_同援日０．５*_15・２人),0)*(1+_15・A夜間)),0)*(1+_15・盲ろう)),0)*(1+_15・区３)),0)+ROUND((ROUND((ROUND((ROUND((_15_同援日０．５＿２．５*_15・２人),0)*(1+_15・B深夜)),0)*(1+_15・盲ろう)),0)*(1+_15・区３)),0)</f>
        <v>1343</v>
      </c>
      <c r="AC116" s="48"/>
    </row>
    <row r="117" spans="1:29" ht="16.5" customHeight="1" x14ac:dyDescent="0.15">
      <c r="A117" s="41">
        <v>15</v>
      </c>
      <c r="B117" s="41" t="s">
        <v>20100</v>
      </c>
      <c r="C117" s="74" t="s">
        <v>20101</v>
      </c>
      <c r="D117" s="72"/>
      <c r="F117" s="57"/>
      <c r="G117" s="72"/>
      <c r="I117" s="57"/>
      <c r="J117" s="114" t="s">
        <v>17558</v>
      </c>
      <c r="K117" s="49"/>
      <c r="L117" s="50"/>
      <c r="M117" s="163"/>
      <c r="N117" s="45"/>
      <c r="O117" s="46"/>
      <c r="P117" s="512"/>
      <c r="Q117" s="57"/>
      <c r="R117" s="512"/>
      <c r="S117" s="57"/>
      <c r="T117" s="35"/>
      <c r="U117" s="12" t="s">
        <v>398</v>
      </c>
      <c r="V117" s="13">
        <v>0.25</v>
      </c>
      <c r="W117" s="57" t="s">
        <v>3575</v>
      </c>
      <c r="X117" s="35"/>
      <c r="AA117" s="57"/>
      <c r="AB117" s="208">
        <f>ROUND((ROUND((ROUND((ROUND((_15_同援日０．５*_15・基礎２),0)*(1+_15・A夜間)),0)*(1+_15・盲ろう)),0)*(1+_15・区３)),0)+ROUND((ROUND((ROUND((ROUND((_15_同援日０．５＿２．５*_15・基礎２),0)*(1+_15・B深夜)),0)*(1+_15・盲ろう)),0)*(1+_15・区３)),0)</f>
        <v>1209</v>
      </c>
      <c r="AC117" s="48"/>
    </row>
    <row r="118" spans="1:29" ht="16.5" customHeight="1" x14ac:dyDescent="0.15">
      <c r="A118" s="41">
        <v>15</v>
      </c>
      <c r="B118" s="41" t="s">
        <v>20102</v>
      </c>
      <c r="C118" s="74" t="s">
        <v>20103</v>
      </c>
      <c r="D118" s="72"/>
      <c r="F118" s="57"/>
      <c r="G118" s="72"/>
      <c r="I118" s="57"/>
      <c r="J118" s="269" t="s">
        <v>17560</v>
      </c>
      <c r="K118" s="37" t="s">
        <v>398</v>
      </c>
      <c r="L118" s="38">
        <v>0.9</v>
      </c>
      <c r="M118" s="299" t="s">
        <v>17556</v>
      </c>
      <c r="N118" s="45" t="s">
        <v>398</v>
      </c>
      <c r="O118" s="46">
        <v>1</v>
      </c>
      <c r="P118" s="512"/>
      <c r="Q118" s="57"/>
      <c r="R118" s="512"/>
      <c r="S118" s="57"/>
      <c r="T118" s="43"/>
      <c r="U118" s="37"/>
      <c r="V118" s="38"/>
      <c r="W118" s="79"/>
      <c r="X118" s="43"/>
      <c r="Y118" s="37"/>
      <c r="Z118" s="38"/>
      <c r="AA118" s="79"/>
      <c r="AB118" s="208">
        <f>ROUND((ROUND((ROUND((ROUND((ROUND((_15_同援日０．５*_15・基礎２),0)*_15・２人),0)*(1+_15・A夜間)),0)*(1+_15・盲ろう)),0)*(1+_15・区３)),0)+ROUND((ROUND((ROUND((ROUND((ROUND((_15_同援日０．５＿２．５*_15・基礎２),0)*_15・２人),0)*(1+_15・B深夜)),0)*(1+_15・盲ろう)),0)*(1+_15・区３)),0)</f>
        <v>1209</v>
      </c>
      <c r="AC118" s="48"/>
    </row>
    <row r="119" spans="1:29" ht="16.5" customHeight="1" x14ac:dyDescent="0.15">
      <c r="A119" s="41">
        <v>15</v>
      </c>
      <c r="B119" s="41" t="s">
        <v>20104</v>
      </c>
      <c r="C119" s="74" t="s">
        <v>20105</v>
      </c>
      <c r="D119" s="72"/>
      <c r="F119" s="57"/>
      <c r="G119" s="72"/>
      <c r="I119" s="57"/>
      <c r="J119" s="53"/>
      <c r="K119" s="49"/>
      <c r="L119" s="50"/>
      <c r="M119" s="163"/>
      <c r="N119" s="45"/>
      <c r="O119" s="46"/>
      <c r="P119" s="512"/>
      <c r="Q119" s="57"/>
      <c r="R119" s="512"/>
      <c r="S119" s="57"/>
      <c r="T119" s="53"/>
      <c r="U119" s="49"/>
      <c r="V119" s="50"/>
      <c r="W119" s="115"/>
      <c r="X119" s="53"/>
      <c r="Y119" s="49"/>
      <c r="Z119" s="50"/>
      <c r="AA119" s="115"/>
      <c r="AB119" s="208">
        <f>ROUND((ROUND((_15_同援日０．５*(1+_15・A夜間)),0)*(1+_15・区４)),0)+ROUND((ROUND((_15_同援日０．５＿２．５*(1+_15・B深夜)),0)*(1+_15・区４)),0)</f>
        <v>1253</v>
      </c>
      <c r="AC119" s="48"/>
    </row>
    <row r="120" spans="1:29" ht="16.5" customHeight="1" x14ac:dyDescent="0.15">
      <c r="A120" s="41">
        <v>15</v>
      </c>
      <c r="B120" s="41" t="s">
        <v>20106</v>
      </c>
      <c r="C120" s="74" t="s">
        <v>20107</v>
      </c>
      <c r="D120" s="72"/>
      <c r="F120" s="57"/>
      <c r="G120" s="72"/>
      <c r="I120" s="57"/>
      <c r="J120" s="43"/>
      <c r="K120" s="37"/>
      <c r="L120" s="38"/>
      <c r="M120" s="299" t="s">
        <v>17556</v>
      </c>
      <c r="N120" s="45" t="s">
        <v>398</v>
      </c>
      <c r="O120" s="46">
        <v>1</v>
      </c>
      <c r="P120" s="512"/>
      <c r="Q120" s="57"/>
      <c r="R120" s="512"/>
      <c r="S120" s="57"/>
      <c r="T120" s="35"/>
      <c r="W120" s="57"/>
      <c r="X120" s="35"/>
      <c r="AA120" s="57"/>
      <c r="AB120" s="208">
        <f>ROUND((ROUND((ROUND((_15_同援日０．５*_15・２人),0)*(1+_15・A夜間)),0)*(1+_15・区４)),0)+ROUND((ROUND((ROUND((_15_同援日０．５＿２．５*_15・２人),0)*(1+_15・B深夜)),0)*(1+_15・区４)),0)</f>
        <v>1253</v>
      </c>
      <c r="AC120" s="48"/>
    </row>
    <row r="121" spans="1:29" ht="16.5" customHeight="1" x14ac:dyDescent="0.15">
      <c r="A121" s="41">
        <v>15</v>
      </c>
      <c r="B121" s="41" t="s">
        <v>20108</v>
      </c>
      <c r="C121" s="74" t="s">
        <v>20109</v>
      </c>
      <c r="D121" s="72"/>
      <c r="F121" s="57"/>
      <c r="G121" s="72"/>
      <c r="I121" s="57"/>
      <c r="J121" s="114" t="s">
        <v>17558</v>
      </c>
      <c r="K121" s="49"/>
      <c r="L121" s="50"/>
      <c r="M121" s="163"/>
      <c r="N121" s="45"/>
      <c r="O121" s="46"/>
      <c r="P121" s="512"/>
      <c r="Q121" s="57"/>
      <c r="R121" s="512"/>
      <c r="S121" s="57"/>
      <c r="T121" s="35"/>
      <c r="W121" s="57"/>
      <c r="X121" s="72" t="s">
        <v>17580</v>
      </c>
      <c r="AA121" s="57"/>
      <c r="AB121" s="208">
        <f>ROUND((ROUND((ROUND((_15_同援日０．５*_15・基礎２),0)*(1+_15・A夜間)),0)*(1+_15・区４)),0)+ROUND((ROUND((ROUND((_15_同援日０．５＿２．５*_15・基礎２),0)*(1+_15・B深夜)),0)*(1+_15・区４)),0)</f>
        <v>1127</v>
      </c>
      <c r="AC121" s="48"/>
    </row>
    <row r="122" spans="1:29" ht="16.5" customHeight="1" x14ac:dyDescent="0.15">
      <c r="A122" s="41">
        <v>15</v>
      </c>
      <c r="B122" s="41" t="s">
        <v>20110</v>
      </c>
      <c r="C122" s="74" t="s">
        <v>20111</v>
      </c>
      <c r="D122" s="72"/>
      <c r="F122" s="57"/>
      <c r="G122" s="72"/>
      <c r="I122" s="57"/>
      <c r="J122" s="269" t="s">
        <v>17560</v>
      </c>
      <c r="K122" s="37" t="s">
        <v>398</v>
      </c>
      <c r="L122" s="38">
        <v>0.9</v>
      </c>
      <c r="M122" s="299" t="s">
        <v>17556</v>
      </c>
      <c r="N122" s="45" t="s">
        <v>398</v>
      </c>
      <c r="O122" s="46">
        <v>1</v>
      </c>
      <c r="P122" s="512"/>
      <c r="Q122" s="57"/>
      <c r="R122" s="512"/>
      <c r="S122" s="57"/>
      <c r="T122" s="43"/>
      <c r="U122" s="37"/>
      <c r="V122" s="38"/>
      <c r="W122" s="79"/>
      <c r="X122" s="72" t="s">
        <v>17572</v>
      </c>
      <c r="AA122" s="57"/>
      <c r="AB122" s="208">
        <f>ROUND((ROUND((ROUND((ROUND((_15_同援日０．５*_15・基礎２),0)*_15・２人),0)*(1+_15・A夜間)),0)*(1+_15・区４)),0)+ROUND((ROUND((ROUND((ROUND((_15_同援日０．５＿２．５*_15・基礎２),0)*_15・２人),0)*(1+_15・B深夜)),0)*(1+_15・区４)),0)</f>
        <v>1127</v>
      </c>
      <c r="AC122" s="48"/>
    </row>
    <row r="123" spans="1:29" ht="16.5" customHeight="1" x14ac:dyDescent="0.15">
      <c r="A123" s="41">
        <v>15</v>
      </c>
      <c r="B123" s="41" t="s">
        <v>20112</v>
      </c>
      <c r="C123" s="74" t="s">
        <v>20113</v>
      </c>
      <c r="D123" s="72"/>
      <c r="F123" s="57"/>
      <c r="G123" s="72"/>
      <c r="I123" s="57"/>
      <c r="J123" s="53"/>
      <c r="K123" s="49"/>
      <c r="L123" s="50"/>
      <c r="M123" s="163"/>
      <c r="N123" s="45"/>
      <c r="O123" s="46"/>
      <c r="P123" s="512"/>
      <c r="Q123" s="57"/>
      <c r="R123" s="512"/>
      <c r="S123" s="57"/>
      <c r="T123" s="114" t="s">
        <v>17562</v>
      </c>
      <c r="U123" s="49"/>
      <c r="V123" s="50"/>
      <c r="W123" s="115"/>
      <c r="X123" s="35"/>
      <c r="Y123" s="12" t="s">
        <v>398</v>
      </c>
      <c r="Z123" s="13">
        <v>0.4</v>
      </c>
      <c r="AA123" s="57" t="s">
        <v>3575</v>
      </c>
      <c r="AB123" s="208">
        <f>ROUND((ROUND((ROUND((_15_同援日０．５*(1+_15・A夜間)),0)*(1+_15・盲ろう)),0)*(1+_15・区４)),0)+ROUND((ROUND((ROUND((_15_同援日０．５＿２．５*(1+_15・B深夜)),0)*(1+_15・盲ろう)),0)*(1+_15・区４)),0)</f>
        <v>1566</v>
      </c>
      <c r="AC123" s="48"/>
    </row>
    <row r="124" spans="1:29" ht="16.5" customHeight="1" x14ac:dyDescent="0.15">
      <c r="A124" s="41">
        <v>15</v>
      </c>
      <c r="B124" s="41" t="s">
        <v>20114</v>
      </c>
      <c r="C124" s="74" t="s">
        <v>20115</v>
      </c>
      <c r="D124" s="72"/>
      <c r="F124" s="57"/>
      <c r="G124" s="72"/>
      <c r="I124" s="57"/>
      <c r="J124" s="43"/>
      <c r="K124" s="37"/>
      <c r="L124" s="38"/>
      <c r="M124" s="299" t="s">
        <v>17556</v>
      </c>
      <c r="N124" s="45" t="s">
        <v>398</v>
      </c>
      <c r="O124" s="46">
        <v>1</v>
      </c>
      <c r="P124" s="512"/>
      <c r="Q124" s="57"/>
      <c r="R124" s="512"/>
      <c r="S124" s="57"/>
      <c r="T124" s="92" t="s">
        <v>17564</v>
      </c>
      <c r="W124" s="57"/>
      <c r="X124" s="35"/>
      <c r="AA124" s="57"/>
      <c r="AB124" s="208">
        <f>ROUND((ROUND((ROUND((ROUND((_15_同援日０．５*_15・２人),0)*(1+_15・A夜間)),0)*(1+_15・盲ろう)),0)*(1+_15・区４)),0)+ROUND((ROUND((ROUND((ROUND((_15_同援日０．５＿２．５*_15・２人),0)*(1+_15・B深夜)),0)*(1+_15・盲ろう)),0)*(1+_15・区４)),0)</f>
        <v>1566</v>
      </c>
      <c r="AC124" s="48"/>
    </row>
    <row r="125" spans="1:29" ht="16.5" customHeight="1" x14ac:dyDescent="0.15">
      <c r="A125" s="41">
        <v>15</v>
      </c>
      <c r="B125" s="41" t="s">
        <v>442</v>
      </c>
      <c r="C125" s="74" t="s">
        <v>20116</v>
      </c>
      <c r="D125" s="72"/>
      <c r="F125" s="57"/>
      <c r="G125" s="72"/>
      <c r="I125" s="57"/>
      <c r="J125" s="114" t="s">
        <v>17558</v>
      </c>
      <c r="K125" s="49"/>
      <c r="L125" s="50"/>
      <c r="M125" s="163"/>
      <c r="N125" s="45"/>
      <c r="O125" s="46"/>
      <c r="P125" s="512"/>
      <c r="Q125" s="57"/>
      <c r="R125" s="512"/>
      <c r="S125" s="57"/>
      <c r="T125" s="35"/>
      <c r="U125" s="12" t="s">
        <v>398</v>
      </c>
      <c r="V125" s="13">
        <v>0.25</v>
      </c>
      <c r="W125" s="57" t="s">
        <v>3575</v>
      </c>
      <c r="X125" s="35"/>
      <c r="AA125" s="57"/>
      <c r="AB125" s="208">
        <f>ROUND((ROUND((ROUND((ROUND((_15_同援日０．５*_15・基礎２),0)*(1+_15・A夜間)),0)*(1+_15・盲ろう)),0)*(1+_15・区４)),0)+ROUND((ROUND((ROUND((ROUND((_15_同援日０．５＿２．５*_15・基礎２),0)*(1+_15・B深夜)),0)*(1+_15・盲ろう)),0)*(1+_15・区４)),0)</f>
        <v>1410</v>
      </c>
      <c r="AC125" s="48"/>
    </row>
    <row r="126" spans="1:29" ht="16.5" customHeight="1" x14ac:dyDescent="0.15">
      <c r="A126" s="41">
        <v>15</v>
      </c>
      <c r="B126" s="41" t="s">
        <v>444</v>
      </c>
      <c r="C126" s="74" t="s">
        <v>20117</v>
      </c>
      <c r="D126" s="122"/>
      <c r="E126" s="37"/>
      <c r="F126" s="79"/>
      <c r="G126" s="122"/>
      <c r="H126" s="37"/>
      <c r="I126" s="79"/>
      <c r="J126" s="269" t="s">
        <v>17560</v>
      </c>
      <c r="K126" s="37" t="s">
        <v>398</v>
      </c>
      <c r="L126" s="38">
        <v>0.9</v>
      </c>
      <c r="M126" s="299" t="s">
        <v>17556</v>
      </c>
      <c r="N126" s="45" t="s">
        <v>398</v>
      </c>
      <c r="O126" s="46">
        <v>1</v>
      </c>
      <c r="P126" s="512"/>
      <c r="Q126" s="57"/>
      <c r="R126" s="512"/>
      <c r="S126" s="57"/>
      <c r="T126" s="43"/>
      <c r="U126" s="37"/>
      <c r="V126" s="38"/>
      <c r="W126" s="79"/>
      <c r="X126" s="43"/>
      <c r="Y126" s="37"/>
      <c r="Z126" s="38"/>
      <c r="AA126" s="79"/>
      <c r="AB126" s="208">
        <f>ROUND((ROUND((ROUND((ROUND((ROUND((_15_同援日０．５*_15・基礎２),0)*_15・２人),0)*(1+_15・A夜間)),0)*(1+_15・盲ろう)),0)*(1+_15・区４)),0)+ROUND((ROUND((ROUND((ROUND((ROUND((_15_同援日０．５＿２．５*_15・基礎２),0)*_15・２人),0)*(1+_15・B深夜)),0)*(1+_15・盲ろう)),0)*(1+_15・区４)),0)</f>
        <v>1410</v>
      </c>
      <c r="AC126" s="48"/>
    </row>
    <row r="127" spans="1:29" ht="16.5" customHeight="1" x14ac:dyDescent="0.15">
      <c r="A127" s="41">
        <v>15</v>
      </c>
      <c r="B127" s="41" t="s">
        <v>446</v>
      </c>
      <c r="C127" s="74" t="s">
        <v>20118</v>
      </c>
      <c r="D127" s="114" t="s">
        <v>18284</v>
      </c>
      <c r="E127" s="49"/>
      <c r="F127" s="115"/>
      <c r="G127" s="114" t="s">
        <v>19945</v>
      </c>
      <c r="H127" s="49"/>
      <c r="I127" s="115"/>
      <c r="J127" s="53"/>
      <c r="K127" s="49"/>
      <c r="L127" s="50"/>
      <c r="M127" s="163"/>
      <c r="N127" s="45"/>
      <c r="O127" s="46"/>
      <c r="P127" s="512"/>
      <c r="Q127" s="57"/>
      <c r="R127" s="512"/>
      <c r="S127" s="57"/>
      <c r="T127" s="53"/>
      <c r="U127" s="49"/>
      <c r="V127" s="50"/>
      <c r="W127" s="115"/>
      <c r="X127" s="53"/>
      <c r="Y127" s="49"/>
      <c r="Z127" s="50"/>
      <c r="AA127" s="115"/>
      <c r="AB127" s="208">
        <f>ROUND((_15_同援日１．０*(1+_15・A夜間)),0)+ROUND((_15_同援日１．０＿０．５*(1+_15・B深夜)),0)</f>
        <v>575</v>
      </c>
      <c r="AC127" s="48"/>
    </row>
    <row r="128" spans="1:29" ht="16.5" customHeight="1" x14ac:dyDescent="0.15">
      <c r="A128" s="41">
        <v>15</v>
      </c>
      <c r="B128" s="41" t="s">
        <v>448</v>
      </c>
      <c r="C128" s="74" t="s">
        <v>20119</v>
      </c>
      <c r="D128" s="72" t="s">
        <v>17589</v>
      </c>
      <c r="F128" s="57"/>
      <c r="G128" s="72" t="s">
        <v>18259</v>
      </c>
      <c r="I128" s="57"/>
      <c r="J128" s="43"/>
      <c r="K128" s="37"/>
      <c r="L128" s="38"/>
      <c r="M128" s="299" t="s">
        <v>17556</v>
      </c>
      <c r="N128" s="45" t="s">
        <v>398</v>
      </c>
      <c r="O128" s="46">
        <v>1</v>
      </c>
      <c r="P128" s="512"/>
      <c r="Q128" s="57"/>
      <c r="R128" s="512"/>
      <c r="S128" s="57"/>
      <c r="T128" s="35"/>
      <c r="W128" s="57"/>
      <c r="X128" s="35"/>
      <c r="AA128" s="57"/>
      <c r="AB128" s="208">
        <f>ROUND((ROUND((_15_同援日１．０*_15・２人),0)*(1+_15・A夜間)),0)+ROUND((ROUND((_15_同援日１．０＿０．５*_15・２人),0)*(1+_15・B深夜)),0)</f>
        <v>575</v>
      </c>
      <c r="AC128" s="48"/>
    </row>
    <row r="129" spans="1:29" ht="16.5" customHeight="1" x14ac:dyDescent="0.15">
      <c r="A129" s="41">
        <v>15</v>
      </c>
      <c r="B129" s="41" t="s">
        <v>20120</v>
      </c>
      <c r="C129" s="74" t="s">
        <v>20121</v>
      </c>
      <c r="D129" s="72" t="s">
        <v>17591</v>
      </c>
      <c r="F129" s="57"/>
      <c r="G129" s="72"/>
      <c r="I129" s="57"/>
      <c r="J129" s="114" t="s">
        <v>17558</v>
      </c>
      <c r="K129" s="49"/>
      <c r="L129" s="50"/>
      <c r="M129" s="163"/>
      <c r="N129" s="45"/>
      <c r="O129" s="46"/>
      <c r="P129" s="512"/>
      <c r="Q129" s="57"/>
      <c r="R129" s="512"/>
      <c r="S129" s="57"/>
      <c r="T129" s="35"/>
      <c r="W129" s="57"/>
      <c r="X129" s="35"/>
      <c r="AA129" s="57"/>
      <c r="AB129" s="208">
        <f>ROUND((ROUND((_15_同援日１．０*_15・基礎２),0)*(1+_15・A夜間)),0)+ROUND((ROUND((_15_同援日１．０＿０．５*_15・基礎２),0)*(1+_15・B深夜)),0)</f>
        <v>518</v>
      </c>
      <c r="AC129" s="48"/>
    </row>
    <row r="130" spans="1:29" ht="16.5" customHeight="1" x14ac:dyDescent="0.15">
      <c r="A130" s="41">
        <v>15</v>
      </c>
      <c r="B130" s="41" t="s">
        <v>20122</v>
      </c>
      <c r="C130" s="74" t="s">
        <v>20123</v>
      </c>
      <c r="D130" s="72"/>
      <c r="E130" s="168">
        <f>_15_同援日１．０</f>
        <v>300</v>
      </c>
      <c r="F130" s="57" t="s">
        <v>392</v>
      </c>
      <c r="G130" s="72"/>
      <c r="H130" s="168">
        <f>_15_同援日１．０＿０．５</f>
        <v>133</v>
      </c>
      <c r="I130" s="57" t="s">
        <v>392</v>
      </c>
      <c r="J130" s="269" t="s">
        <v>17560</v>
      </c>
      <c r="K130" s="37" t="s">
        <v>398</v>
      </c>
      <c r="L130" s="38">
        <v>0.9</v>
      </c>
      <c r="M130" s="299" t="s">
        <v>17556</v>
      </c>
      <c r="N130" s="45" t="s">
        <v>398</v>
      </c>
      <c r="O130" s="46">
        <v>1</v>
      </c>
      <c r="P130" s="512"/>
      <c r="Q130" s="57"/>
      <c r="R130" s="512"/>
      <c r="S130" s="57"/>
      <c r="T130" s="43"/>
      <c r="U130" s="37"/>
      <c r="V130" s="38"/>
      <c r="W130" s="79"/>
      <c r="X130" s="35"/>
      <c r="AA130" s="57"/>
      <c r="AB130" s="208">
        <f>ROUND((ROUND((ROUND((_15_同援日１．０*_15・基礎２),0)*_15・２人),0)*(1+_15・A夜間)),0)+ROUND((ROUND((ROUND((_15_同援日１．０＿０．５*_15・基礎２),0)*_15・２人),0)*(1+_15・B深夜)),0)</f>
        <v>518</v>
      </c>
      <c r="AC130" s="48"/>
    </row>
    <row r="131" spans="1:29" ht="16.5" customHeight="1" x14ac:dyDescent="0.15">
      <c r="A131" s="41">
        <v>15</v>
      </c>
      <c r="B131" s="41" t="s">
        <v>20124</v>
      </c>
      <c r="C131" s="74" t="s">
        <v>20125</v>
      </c>
      <c r="D131" s="72"/>
      <c r="F131" s="57"/>
      <c r="G131" s="72"/>
      <c r="I131" s="57"/>
      <c r="J131" s="53"/>
      <c r="K131" s="49"/>
      <c r="L131" s="50"/>
      <c r="M131" s="163"/>
      <c r="N131" s="45"/>
      <c r="O131" s="46"/>
      <c r="P131" s="512"/>
      <c r="Q131" s="57"/>
      <c r="R131" s="512"/>
      <c r="S131" s="57"/>
      <c r="T131" s="114" t="s">
        <v>17562</v>
      </c>
      <c r="U131" s="49"/>
      <c r="V131" s="50"/>
      <c r="W131" s="115"/>
      <c r="X131" s="35"/>
      <c r="AA131" s="57"/>
      <c r="AB131" s="208">
        <f>ROUND((ROUND((_15_同援日１．０*(1+_15・A夜間)),0)*(1+_15・盲ろう)),0)+ROUND((ROUND((_15_同援日１．０＿０．５*(1+_15・B深夜)),0)*(1+_15・盲ろう)),0)</f>
        <v>719</v>
      </c>
      <c r="AC131" s="48"/>
    </row>
    <row r="132" spans="1:29" ht="16.5" customHeight="1" x14ac:dyDescent="0.15">
      <c r="A132" s="41">
        <v>15</v>
      </c>
      <c r="B132" s="41" t="s">
        <v>20126</v>
      </c>
      <c r="C132" s="74" t="s">
        <v>20127</v>
      </c>
      <c r="D132" s="72"/>
      <c r="F132" s="57"/>
      <c r="G132" s="72"/>
      <c r="I132" s="57"/>
      <c r="J132" s="43"/>
      <c r="K132" s="37"/>
      <c r="L132" s="38"/>
      <c r="M132" s="299" t="s">
        <v>17556</v>
      </c>
      <c r="N132" s="45" t="s">
        <v>398</v>
      </c>
      <c r="O132" s="46">
        <v>1</v>
      </c>
      <c r="P132" s="512"/>
      <c r="Q132" s="57"/>
      <c r="R132" s="512"/>
      <c r="S132" s="57"/>
      <c r="T132" s="92" t="s">
        <v>17564</v>
      </c>
      <c r="W132" s="57"/>
      <c r="X132" s="35"/>
      <c r="AA132" s="57"/>
      <c r="AB132" s="208">
        <f>ROUND((ROUND((ROUND((_15_同援日１．０*_15・２人),0)*(1+_15・A夜間)),0)*(1+_15・盲ろう)),0)+ROUND((ROUND((ROUND((_15_同援日１．０＿０．５*_15・２人),0)*(1+_15・B深夜)),0)*(1+_15・盲ろう)),0)</f>
        <v>719</v>
      </c>
      <c r="AC132" s="48"/>
    </row>
    <row r="133" spans="1:29" ht="16.5" customHeight="1" x14ac:dyDescent="0.15">
      <c r="A133" s="41">
        <v>15</v>
      </c>
      <c r="B133" s="41" t="s">
        <v>20128</v>
      </c>
      <c r="C133" s="74" t="s">
        <v>20129</v>
      </c>
      <c r="D133" s="72"/>
      <c r="F133" s="57"/>
      <c r="G133" s="72"/>
      <c r="I133" s="57"/>
      <c r="J133" s="114" t="s">
        <v>17558</v>
      </c>
      <c r="K133" s="49"/>
      <c r="L133" s="50"/>
      <c r="M133" s="163"/>
      <c r="N133" s="45"/>
      <c r="O133" s="46"/>
      <c r="P133" s="512"/>
      <c r="Q133" s="57"/>
      <c r="R133" s="512"/>
      <c r="S133" s="57"/>
      <c r="T133" s="35"/>
      <c r="U133" s="12" t="s">
        <v>398</v>
      </c>
      <c r="V133" s="13">
        <v>0.25</v>
      </c>
      <c r="W133" s="57" t="s">
        <v>3575</v>
      </c>
      <c r="X133" s="35"/>
      <c r="AA133" s="57"/>
      <c r="AB133" s="208">
        <f>ROUND((ROUND((ROUND((_15_同援日１．０*_15・基礎２),0)*(1+_15・A夜間)),0)*(1+_15・盲ろう)),0)+ROUND((ROUND((ROUND((_15_同援日１．０＿０．５*_15・基礎２),0)*(1+_15・B深夜)),0)*(1+_15・盲ろう)),0)</f>
        <v>648</v>
      </c>
      <c r="AC133" s="48"/>
    </row>
    <row r="134" spans="1:29" ht="16.5" customHeight="1" x14ac:dyDescent="0.15">
      <c r="A134" s="41">
        <v>15</v>
      </c>
      <c r="B134" s="41" t="s">
        <v>20130</v>
      </c>
      <c r="C134" s="74" t="s">
        <v>20131</v>
      </c>
      <c r="D134" s="72"/>
      <c r="F134" s="57"/>
      <c r="G134" s="72"/>
      <c r="I134" s="57"/>
      <c r="J134" s="269" t="s">
        <v>17560</v>
      </c>
      <c r="K134" s="37" t="s">
        <v>398</v>
      </c>
      <c r="L134" s="38">
        <v>0.9</v>
      </c>
      <c r="M134" s="299" t="s">
        <v>17556</v>
      </c>
      <c r="N134" s="45" t="s">
        <v>398</v>
      </c>
      <c r="O134" s="46">
        <v>1</v>
      </c>
      <c r="P134" s="512"/>
      <c r="Q134" s="57"/>
      <c r="R134" s="512"/>
      <c r="S134" s="57"/>
      <c r="T134" s="43"/>
      <c r="U134" s="37"/>
      <c r="V134" s="38"/>
      <c r="W134" s="79"/>
      <c r="X134" s="43"/>
      <c r="Y134" s="37"/>
      <c r="Z134" s="38"/>
      <c r="AA134" s="79"/>
      <c r="AB134" s="208">
        <f>ROUND((ROUND((ROUND((ROUND((_15_同援日１．０*_15・基礎２),0)*_15・２人),0)*(1+_15・A夜間)),0)*(1+_15・盲ろう)),0)+ROUND((ROUND((ROUND((ROUND((_15_同援日１．０＿０．５*_15・基礎２),0)*_15・２人),0)*(1+_15・B深夜)),0)*(1+_15・盲ろう)),0)</f>
        <v>648</v>
      </c>
      <c r="AC134" s="48"/>
    </row>
    <row r="135" spans="1:29" ht="16.5" customHeight="1" x14ac:dyDescent="0.15">
      <c r="A135" s="41">
        <v>15</v>
      </c>
      <c r="B135" s="41" t="s">
        <v>20132</v>
      </c>
      <c r="C135" s="74" t="s">
        <v>20133</v>
      </c>
      <c r="D135" s="72"/>
      <c r="F135" s="57"/>
      <c r="G135" s="72"/>
      <c r="I135" s="57"/>
      <c r="J135" s="53"/>
      <c r="K135" s="49"/>
      <c r="L135" s="50"/>
      <c r="M135" s="163"/>
      <c r="N135" s="45"/>
      <c r="O135" s="46"/>
      <c r="P135" s="512"/>
      <c r="Q135" s="57"/>
      <c r="R135" s="512"/>
      <c r="S135" s="57"/>
      <c r="T135" s="53"/>
      <c r="U135" s="49"/>
      <c r="V135" s="50"/>
      <c r="W135" s="115"/>
      <c r="X135" s="53"/>
      <c r="Y135" s="49"/>
      <c r="Z135" s="50"/>
      <c r="AA135" s="115"/>
      <c r="AB135" s="208">
        <f>ROUND((ROUND((_15_同援日１．０*(1+_15・A夜間)),0)*(1+_15・区３)),0)+ROUND((ROUND((_15_同援日１．０＿０．５*(1+_15・B深夜)),0)*(1+_15・区３)),0)</f>
        <v>690</v>
      </c>
      <c r="AC135" s="48"/>
    </row>
    <row r="136" spans="1:29" ht="16.5" customHeight="1" x14ac:dyDescent="0.15">
      <c r="A136" s="41">
        <v>15</v>
      </c>
      <c r="B136" s="41" t="s">
        <v>20134</v>
      </c>
      <c r="C136" s="74" t="s">
        <v>20135</v>
      </c>
      <c r="D136" s="72"/>
      <c r="F136" s="57"/>
      <c r="G136" s="72"/>
      <c r="I136" s="57"/>
      <c r="J136" s="43"/>
      <c r="K136" s="37"/>
      <c r="L136" s="38"/>
      <c r="M136" s="299" t="s">
        <v>17556</v>
      </c>
      <c r="N136" s="45" t="s">
        <v>398</v>
      </c>
      <c r="O136" s="46">
        <v>1</v>
      </c>
      <c r="P136" s="512"/>
      <c r="Q136" s="57"/>
      <c r="R136" s="512"/>
      <c r="S136" s="57"/>
      <c r="T136" s="35"/>
      <c r="W136" s="57"/>
      <c r="X136" s="35"/>
      <c r="AA136" s="57"/>
      <c r="AB136" s="208">
        <f>ROUND((ROUND((ROUND((_15_同援日１．０*_15・２人),0)*(1+_15・A夜間)),0)*(1+_15・区３)),0)+ROUND((ROUND((ROUND((_15_同援日１．０＿０．５*_15・２人),0)*(1+_15・B深夜)),0)*(1+_15・区３)),0)</f>
        <v>690</v>
      </c>
      <c r="AC136" s="48"/>
    </row>
    <row r="137" spans="1:29" ht="16.5" customHeight="1" x14ac:dyDescent="0.15">
      <c r="A137" s="41">
        <v>15</v>
      </c>
      <c r="B137" s="41" t="s">
        <v>20136</v>
      </c>
      <c r="C137" s="74" t="s">
        <v>20137</v>
      </c>
      <c r="D137" s="72"/>
      <c r="F137" s="57"/>
      <c r="G137" s="72"/>
      <c r="I137" s="57"/>
      <c r="J137" s="114" t="s">
        <v>17558</v>
      </c>
      <c r="K137" s="49"/>
      <c r="L137" s="50"/>
      <c r="M137" s="163"/>
      <c r="N137" s="45"/>
      <c r="O137" s="46"/>
      <c r="P137" s="512"/>
      <c r="Q137" s="57"/>
      <c r="R137" s="512"/>
      <c r="S137" s="57"/>
      <c r="T137" s="35"/>
      <c r="W137" s="57"/>
      <c r="X137" s="72" t="s">
        <v>17570</v>
      </c>
      <c r="AA137" s="57"/>
      <c r="AB137" s="208">
        <f>ROUND((ROUND((ROUND((_15_同援日１．０*_15・基礎２),0)*(1+_15・A夜間)),0)*(1+_15・区３)),0)+ROUND((ROUND((ROUND((_15_同援日１．０＿０．５*_15・基礎２),0)*(1+_15・B深夜)),0)*(1+_15・区３)),0)</f>
        <v>622</v>
      </c>
      <c r="AC137" s="48"/>
    </row>
    <row r="138" spans="1:29" ht="16.5" customHeight="1" x14ac:dyDescent="0.15">
      <c r="A138" s="41">
        <v>15</v>
      </c>
      <c r="B138" s="41" t="s">
        <v>20138</v>
      </c>
      <c r="C138" s="74" t="s">
        <v>20139</v>
      </c>
      <c r="D138" s="72"/>
      <c r="F138" s="57"/>
      <c r="G138" s="72"/>
      <c r="I138" s="57"/>
      <c r="J138" s="269" t="s">
        <v>17560</v>
      </c>
      <c r="K138" s="37" t="s">
        <v>398</v>
      </c>
      <c r="L138" s="38">
        <v>0.9</v>
      </c>
      <c r="M138" s="299" t="s">
        <v>17556</v>
      </c>
      <c r="N138" s="45" t="s">
        <v>398</v>
      </c>
      <c r="O138" s="46">
        <v>1</v>
      </c>
      <c r="P138" s="512"/>
      <c r="Q138" s="57"/>
      <c r="R138" s="512"/>
      <c r="S138" s="57"/>
      <c r="T138" s="43"/>
      <c r="U138" s="37"/>
      <c r="V138" s="38"/>
      <c r="W138" s="79"/>
      <c r="X138" s="72" t="s">
        <v>17572</v>
      </c>
      <c r="AA138" s="57"/>
      <c r="AB138" s="208">
        <f>ROUND((ROUND((ROUND((ROUND((_15_同援日１．０*_15・基礎２),0)*_15・２人),0)*(1+_15・A夜間)),0)*(1+_15・区３)),0)+ROUND((ROUND((ROUND((ROUND((_15_同援日１．０＿０．５*_15・基礎２),0)*_15・２人),0)*(1+_15・B深夜)),0)*(1+_15・区３)),0)</f>
        <v>622</v>
      </c>
      <c r="AC138" s="48"/>
    </row>
    <row r="139" spans="1:29" ht="16.5" customHeight="1" x14ac:dyDescent="0.15">
      <c r="A139" s="41">
        <v>15</v>
      </c>
      <c r="B139" s="41" t="s">
        <v>20140</v>
      </c>
      <c r="C139" s="74" t="s">
        <v>20141</v>
      </c>
      <c r="D139" s="72"/>
      <c r="F139" s="57"/>
      <c r="G139" s="72"/>
      <c r="I139" s="57"/>
      <c r="J139" s="53"/>
      <c r="K139" s="49"/>
      <c r="L139" s="50"/>
      <c r="M139" s="163"/>
      <c r="N139" s="45"/>
      <c r="O139" s="46"/>
      <c r="P139" s="512"/>
      <c r="Q139" s="57"/>
      <c r="R139" s="512"/>
      <c r="S139" s="57"/>
      <c r="T139" s="114" t="s">
        <v>17562</v>
      </c>
      <c r="U139" s="49"/>
      <c r="V139" s="50"/>
      <c r="W139" s="115"/>
      <c r="X139" s="35"/>
      <c r="Y139" s="12" t="s">
        <v>398</v>
      </c>
      <c r="Z139" s="13">
        <v>0.2</v>
      </c>
      <c r="AA139" s="57" t="s">
        <v>3575</v>
      </c>
      <c r="AB139" s="208">
        <f>ROUND((ROUND((ROUND((_15_同援日１．０*(1+_15・A夜間)),0)*(1+_15・盲ろう)),0)*(1+_15・区３)),0)+ROUND((ROUND((ROUND((_15_同援日１．０＿０．５*(1+_15・B深夜)),0)*(1+_15・盲ろう)),0)*(1+_15・区３)),0)</f>
        <v>863</v>
      </c>
      <c r="AC139" s="48"/>
    </row>
    <row r="140" spans="1:29" ht="16.5" customHeight="1" x14ac:dyDescent="0.15">
      <c r="A140" s="41">
        <v>15</v>
      </c>
      <c r="B140" s="41" t="s">
        <v>20142</v>
      </c>
      <c r="C140" s="74" t="s">
        <v>20143</v>
      </c>
      <c r="D140" s="72"/>
      <c r="F140" s="57"/>
      <c r="G140" s="72"/>
      <c r="I140" s="57"/>
      <c r="J140" s="43"/>
      <c r="K140" s="37"/>
      <c r="L140" s="38"/>
      <c r="M140" s="299" t="s">
        <v>17556</v>
      </c>
      <c r="N140" s="45" t="s">
        <v>398</v>
      </c>
      <c r="O140" s="46">
        <v>1</v>
      </c>
      <c r="P140" s="512"/>
      <c r="Q140" s="57"/>
      <c r="R140" s="512"/>
      <c r="S140" s="57"/>
      <c r="T140" s="92" t="s">
        <v>17564</v>
      </c>
      <c r="W140" s="57"/>
      <c r="X140" s="35"/>
      <c r="AA140" s="57"/>
      <c r="AB140" s="208">
        <f>ROUND((ROUND((ROUND((ROUND((_15_同援日１．０*_15・２人),0)*(1+_15・A夜間)),0)*(1+_15・盲ろう)),0)*(1+_15・区３)),0)+ROUND((ROUND((ROUND((ROUND((_15_同援日１．０＿０．５*_15・２人),0)*(1+_15・B深夜)),0)*(1+_15・盲ろう)),0)*(1+_15・区３)),0)</f>
        <v>863</v>
      </c>
      <c r="AC140" s="48"/>
    </row>
    <row r="141" spans="1:29" ht="16.5" customHeight="1" x14ac:dyDescent="0.15">
      <c r="A141" s="41">
        <v>15</v>
      </c>
      <c r="B141" s="41" t="s">
        <v>20144</v>
      </c>
      <c r="C141" s="74" t="s">
        <v>20145</v>
      </c>
      <c r="D141" s="72"/>
      <c r="F141" s="57"/>
      <c r="G141" s="72"/>
      <c r="I141" s="57"/>
      <c r="J141" s="114" t="s">
        <v>17558</v>
      </c>
      <c r="K141" s="49"/>
      <c r="L141" s="50"/>
      <c r="M141" s="163"/>
      <c r="N141" s="45"/>
      <c r="O141" s="46"/>
      <c r="P141" s="512"/>
      <c r="Q141" s="57"/>
      <c r="R141" s="512"/>
      <c r="S141" s="57"/>
      <c r="T141" s="35"/>
      <c r="U141" s="12" t="s">
        <v>398</v>
      </c>
      <c r="V141" s="13">
        <v>0.25</v>
      </c>
      <c r="W141" s="57" t="s">
        <v>3575</v>
      </c>
      <c r="X141" s="35"/>
      <c r="AA141" s="57"/>
      <c r="AB141" s="208">
        <f>ROUND((ROUND((ROUND((ROUND((_15_同援日１．０*_15・基礎２),0)*(1+_15・A夜間)),0)*(1+_15・盲ろう)),0)*(1+_15・区３)),0)+ROUND((ROUND((ROUND((ROUND((_15_同援日１．０＿０．５*_15・基礎２),0)*(1+_15・B深夜)),0)*(1+_15・盲ろう)),0)*(1+_15・区３)),0)</f>
        <v>778</v>
      </c>
      <c r="AC141" s="48"/>
    </row>
    <row r="142" spans="1:29" ht="16.5" customHeight="1" x14ac:dyDescent="0.15">
      <c r="A142" s="41">
        <v>15</v>
      </c>
      <c r="B142" s="41" t="s">
        <v>20146</v>
      </c>
      <c r="C142" s="74" t="s">
        <v>20147</v>
      </c>
      <c r="D142" s="72"/>
      <c r="F142" s="57"/>
      <c r="G142" s="72"/>
      <c r="I142" s="57"/>
      <c r="J142" s="269" t="s">
        <v>17560</v>
      </c>
      <c r="K142" s="37" t="s">
        <v>398</v>
      </c>
      <c r="L142" s="38">
        <v>0.9</v>
      </c>
      <c r="M142" s="299" t="s">
        <v>17556</v>
      </c>
      <c r="N142" s="45" t="s">
        <v>398</v>
      </c>
      <c r="O142" s="46">
        <v>1</v>
      </c>
      <c r="P142" s="512"/>
      <c r="Q142" s="57"/>
      <c r="R142" s="512"/>
      <c r="S142" s="57"/>
      <c r="T142" s="43"/>
      <c r="U142" s="37"/>
      <c r="V142" s="38"/>
      <c r="W142" s="79"/>
      <c r="X142" s="43"/>
      <c r="Y142" s="37"/>
      <c r="Z142" s="38"/>
      <c r="AA142" s="79"/>
      <c r="AB142" s="208">
        <f>ROUND((ROUND((ROUND((ROUND((ROUND((_15_同援日１．０*_15・基礎２),0)*_15・２人),0)*(1+_15・A夜間)),0)*(1+_15・盲ろう)),0)*(1+_15・区３)),0)+ROUND((ROUND((ROUND((ROUND((ROUND((_15_同援日１．０＿０．５*_15・基礎２),0)*_15・２人),0)*(1+_15・B深夜)),0)*(1+_15・盲ろう)),0)*(1+_15・区３)),0)</f>
        <v>778</v>
      </c>
      <c r="AC142" s="48"/>
    </row>
    <row r="143" spans="1:29" ht="16.5" customHeight="1" x14ac:dyDescent="0.15">
      <c r="A143" s="41">
        <v>15</v>
      </c>
      <c r="B143" s="41" t="s">
        <v>20148</v>
      </c>
      <c r="C143" s="74" t="s">
        <v>20149</v>
      </c>
      <c r="D143" s="72"/>
      <c r="F143" s="57"/>
      <c r="G143" s="72"/>
      <c r="I143" s="57"/>
      <c r="J143" s="53"/>
      <c r="K143" s="49"/>
      <c r="L143" s="50"/>
      <c r="M143" s="163"/>
      <c r="N143" s="45"/>
      <c r="O143" s="46"/>
      <c r="P143" s="512"/>
      <c r="Q143" s="57"/>
      <c r="R143" s="512"/>
      <c r="S143" s="57"/>
      <c r="T143" s="53"/>
      <c r="U143" s="49"/>
      <c r="V143" s="50"/>
      <c r="W143" s="115"/>
      <c r="X143" s="53"/>
      <c r="Y143" s="49"/>
      <c r="Z143" s="50"/>
      <c r="AA143" s="115"/>
      <c r="AB143" s="208">
        <f>ROUND((ROUND((_15_同援日１．０*(1+_15・A夜間)),0)*(1+_15・区４)),0)+ROUND((ROUND((_15_同援日１．０＿０．５*(1+_15・B深夜)),0)*(1+_15・区４)),0)</f>
        <v>805</v>
      </c>
      <c r="AC143" s="48"/>
    </row>
    <row r="144" spans="1:29" ht="16.5" customHeight="1" x14ac:dyDescent="0.15">
      <c r="A144" s="41">
        <v>15</v>
      </c>
      <c r="B144" s="41" t="s">
        <v>20150</v>
      </c>
      <c r="C144" s="74" t="s">
        <v>20151</v>
      </c>
      <c r="D144" s="72"/>
      <c r="F144" s="57"/>
      <c r="G144" s="72"/>
      <c r="I144" s="57"/>
      <c r="J144" s="43"/>
      <c r="K144" s="37"/>
      <c r="L144" s="38"/>
      <c r="M144" s="299" t="s">
        <v>17556</v>
      </c>
      <c r="N144" s="45" t="s">
        <v>398</v>
      </c>
      <c r="O144" s="46">
        <v>1</v>
      </c>
      <c r="P144" s="512"/>
      <c r="Q144" s="57"/>
      <c r="R144" s="512"/>
      <c r="S144" s="57"/>
      <c r="T144" s="35"/>
      <c r="W144" s="57"/>
      <c r="X144" s="35"/>
      <c r="AA144" s="57"/>
      <c r="AB144" s="208">
        <f>ROUND((ROUND((ROUND((_15_同援日１．０*_15・２人),0)*(1+_15・A夜間)),0)*(1+_15・区４)),0)+ROUND((ROUND((ROUND((_15_同援日１．０＿０．５*_15・２人),0)*(1+_15・B深夜)),0)*(1+_15・区４)),0)</f>
        <v>805</v>
      </c>
      <c r="AC144" s="48"/>
    </row>
    <row r="145" spans="1:29" ht="16.5" customHeight="1" x14ac:dyDescent="0.15">
      <c r="A145" s="41">
        <v>15</v>
      </c>
      <c r="B145" s="41" t="s">
        <v>455</v>
      </c>
      <c r="C145" s="74" t="s">
        <v>20152</v>
      </c>
      <c r="D145" s="72"/>
      <c r="F145" s="57"/>
      <c r="G145" s="72"/>
      <c r="I145" s="57"/>
      <c r="J145" s="114" t="s">
        <v>17558</v>
      </c>
      <c r="K145" s="49"/>
      <c r="L145" s="50"/>
      <c r="M145" s="163"/>
      <c r="N145" s="45"/>
      <c r="O145" s="46"/>
      <c r="P145" s="512"/>
      <c r="Q145" s="57"/>
      <c r="R145" s="512"/>
      <c r="S145" s="57"/>
      <c r="T145" s="35"/>
      <c r="W145" s="57"/>
      <c r="X145" s="72" t="s">
        <v>17580</v>
      </c>
      <c r="AA145" s="57"/>
      <c r="AB145" s="208">
        <f>ROUND((ROUND((ROUND((_15_同援日１．０*_15・基礎２),0)*(1+_15・A夜間)),0)*(1+_15・区４)),0)+ROUND((ROUND((ROUND((_15_同援日１．０＿０．５*_15・基礎２),0)*(1+_15・B深夜)),0)*(1+_15・区４)),0)</f>
        <v>725</v>
      </c>
      <c r="AC145" s="48"/>
    </row>
    <row r="146" spans="1:29" ht="16.5" customHeight="1" x14ac:dyDescent="0.15">
      <c r="A146" s="41">
        <v>15</v>
      </c>
      <c r="B146" s="41" t="s">
        <v>457</v>
      </c>
      <c r="C146" s="74" t="s">
        <v>20153</v>
      </c>
      <c r="D146" s="72"/>
      <c r="F146" s="57"/>
      <c r="G146" s="72"/>
      <c r="I146" s="57"/>
      <c r="J146" s="269" t="s">
        <v>17560</v>
      </c>
      <c r="K146" s="37" t="s">
        <v>398</v>
      </c>
      <c r="L146" s="38">
        <v>0.9</v>
      </c>
      <c r="M146" s="299" t="s">
        <v>17556</v>
      </c>
      <c r="N146" s="45" t="s">
        <v>398</v>
      </c>
      <c r="O146" s="46">
        <v>1</v>
      </c>
      <c r="P146" s="512"/>
      <c r="Q146" s="57"/>
      <c r="R146" s="512"/>
      <c r="S146" s="57"/>
      <c r="T146" s="43"/>
      <c r="U146" s="37"/>
      <c r="V146" s="38"/>
      <c r="W146" s="79"/>
      <c r="X146" s="72" t="s">
        <v>17572</v>
      </c>
      <c r="AA146" s="57"/>
      <c r="AB146" s="208">
        <f>ROUND((ROUND((ROUND((ROUND((_15_同援日１．０*_15・基礎２),0)*_15・２人),0)*(1+_15・A夜間)),0)*(1+_15・区４)),0)+ROUND((ROUND((ROUND((ROUND((_15_同援日１．０＿０．５*_15・基礎２),0)*_15・２人),0)*(1+_15・B深夜)),0)*(1+_15・区４)),0)</f>
        <v>725</v>
      </c>
      <c r="AC146" s="48"/>
    </row>
    <row r="147" spans="1:29" ht="16.5" customHeight="1" x14ac:dyDescent="0.15">
      <c r="A147" s="41">
        <v>15</v>
      </c>
      <c r="B147" s="41" t="s">
        <v>459</v>
      </c>
      <c r="C147" s="74" t="s">
        <v>20154</v>
      </c>
      <c r="D147" s="72"/>
      <c r="F147" s="57"/>
      <c r="G147" s="72"/>
      <c r="I147" s="57"/>
      <c r="J147" s="53"/>
      <c r="K147" s="49"/>
      <c r="L147" s="50"/>
      <c r="M147" s="163"/>
      <c r="N147" s="45"/>
      <c r="O147" s="46"/>
      <c r="P147" s="512"/>
      <c r="Q147" s="57"/>
      <c r="R147" s="512"/>
      <c r="S147" s="57"/>
      <c r="T147" s="114" t="s">
        <v>17562</v>
      </c>
      <c r="U147" s="49"/>
      <c r="V147" s="50"/>
      <c r="W147" s="115"/>
      <c r="X147" s="35"/>
      <c r="Y147" s="12" t="s">
        <v>398</v>
      </c>
      <c r="Z147" s="13">
        <v>0.4</v>
      </c>
      <c r="AA147" s="57" t="s">
        <v>3575</v>
      </c>
      <c r="AB147" s="208">
        <f>ROUND((ROUND((ROUND((_15_同援日１．０*(1+_15・A夜間)),0)*(1+_15・盲ろう)),0)*(1+_15・区４)),0)+ROUND((ROUND((ROUND((_15_同援日１．０＿０．５*(1+_15・B深夜)),0)*(1+_15・盲ろう)),0)*(1+_15・区４)),0)</f>
        <v>1007</v>
      </c>
      <c r="AC147" s="48"/>
    </row>
    <row r="148" spans="1:29" ht="16.5" customHeight="1" x14ac:dyDescent="0.15">
      <c r="A148" s="41">
        <v>15</v>
      </c>
      <c r="B148" s="41" t="s">
        <v>461</v>
      </c>
      <c r="C148" s="74" t="s">
        <v>20155</v>
      </c>
      <c r="D148" s="72"/>
      <c r="F148" s="57"/>
      <c r="G148" s="72"/>
      <c r="I148" s="57"/>
      <c r="J148" s="43"/>
      <c r="K148" s="37"/>
      <c r="L148" s="38"/>
      <c r="M148" s="299" t="s">
        <v>17556</v>
      </c>
      <c r="N148" s="45" t="s">
        <v>398</v>
      </c>
      <c r="O148" s="46">
        <v>1</v>
      </c>
      <c r="P148" s="512"/>
      <c r="Q148" s="57"/>
      <c r="R148" s="512"/>
      <c r="S148" s="57"/>
      <c r="T148" s="92" t="s">
        <v>17564</v>
      </c>
      <c r="W148" s="57"/>
      <c r="X148" s="35"/>
      <c r="AA148" s="57"/>
      <c r="AB148" s="208">
        <f>ROUND((ROUND((ROUND((ROUND((_15_同援日１．０*_15・２人),0)*(1+_15・A夜間)),0)*(1+_15・盲ろう)),0)*(1+_15・区４)),0)+ROUND((ROUND((ROUND((ROUND((_15_同援日１．０＿０．５*_15・２人),0)*(1+_15・B深夜)),0)*(1+_15・盲ろう)),0)*(1+_15・区４)),0)</f>
        <v>1007</v>
      </c>
      <c r="AC148" s="48"/>
    </row>
    <row r="149" spans="1:29" ht="16.5" customHeight="1" x14ac:dyDescent="0.15">
      <c r="A149" s="41">
        <v>15</v>
      </c>
      <c r="B149" s="41" t="s">
        <v>20156</v>
      </c>
      <c r="C149" s="74" t="s">
        <v>20157</v>
      </c>
      <c r="D149" s="72"/>
      <c r="F149" s="57"/>
      <c r="G149" s="72"/>
      <c r="I149" s="57"/>
      <c r="J149" s="114" t="s">
        <v>17558</v>
      </c>
      <c r="K149" s="49"/>
      <c r="L149" s="50"/>
      <c r="M149" s="163"/>
      <c r="N149" s="45"/>
      <c r="O149" s="46"/>
      <c r="P149" s="512"/>
      <c r="Q149" s="57"/>
      <c r="R149" s="512"/>
      <c r="S149" s="57"/>
      <c r="T149" s="35"/>
      <c r="U149" s="12" t="s">
        <v>398</v>
      </c>
      <c r="V149" s="13">
        <v>0.25</v>
      </c>
      <c r="W149" s="57" t="s">
        <v>3575</v>
      </c>
      <c r="X149" s="35"/>
      <c r="AA149" s="57"/>
      <c r="AB149" s="208">
        <f>ROUND((ROUND((ROUND((ROUND((_15_同援日１．０*_15・基礎２),0)*(1+_15・A夜間)),0)*(1+_15・盲ろう)),0)*(1+_15・区４)),0)+ROUND((ROUND((ROUND((ROUND((_15_同援日１．０＿０．５*_15・基礎２),0)*(1+_15・B深夜)),0)*(1+_15・盲ろう)),0)*(1+_15・区４)),0)</f>
        <v>907</v>
      </c>
      <c r="AC149" s="48"/>
    </row>
    <row r="150" spans="1:29" ht="16.5" customHeight="1" x14ac:dyDescent="0.15">
      <c r="A150" s="41">
        <v>15</v>
      </c>
      <c r="B150" s="41" t="s">
        <v>20158</v>
      </c>
      <c r="C150" s="74" t="s">
        <v>20159</v>
      </c>
      <c r="D150" s="72"/>
      <c r="F150" s="57"/>
      <c r="G150" s="122"/>
      <c r="H150" s="37"/>
      <c r="I150" s="79"/>
      <c r="J150" s="269" t="s">
        <v>17560</v>
      </c>
      <c r="K150" s="37" t="s">
        <v>398</v>
      </c>
      <c r="L150" s="38">
        <v>0.9</v>
      </c>
      <c r="M150" s="299" t="s">
        <v>17556</v>
      </c>
      <c r="N150" s="45" t="s">
        <v>398</v>
      </c>
      <c r="O150" s="46">
        <v>1</v>
      </c>
      <c r="P150" s="512"/>
      <c r="Q150" s="57"/>
      <c r="R150" s="512"/>
      <c r="S150" s="57"/>
      <c r="T150" s="43"/>
      <c r="U150" s="37"/>
      <c r="V150" s="38"/>
      <c r="W150" s="79"/>
      <c r="X150" s="43"/>
      <c r="Y150" s="37"/>
      <c r="Z150" s="38"/>
      <c r="AA150" s="79"/>
      <c r="AB150" s="208">
        <f>ROUND((ROUND((ROUND((ROUND((ROUND((_15_同援日１．０*_15・基礎２),0)*_15・２人),0)*(1+_15・A夜間)),0)*(1+_15・盲ろう)),0)*(1+_15・区４)),0)+ROUND((ROUND((ROUND((ROUND((ROUND((_15_同援日１．０＿０．５*_15・基礎２),0)*_15・２人),0)*(1+_15・B深夜)),0)*(1+_15・盲ろう)),0)*(1+_15・区４)),0)</f>
        <v>907</v>
      </c>
      <c r="AC150" s="48"/>
    </row>
    <row r="151" spans="1:29" ht="16.5" customHeight="1" x14ac:dyDescent="0.15">
      <c r="A151" s="41">
        <v>15</v>
      </c>
      <c r="B151" s="41" t="s">
        <v>20160</v>
      </c>
      <c r="C151" s="74" t="s">
        <v>20161</v>
      </c>
      <c r="D151" s="72"/>
      <c r="F151" s="57"/>
      <c r="G151" s="114" t="s">
        <v>19970</v>
      </c>
      <c r="H151" s="49"/>
      <c r="I151" s="115"/>
      <c r="J151" s="53"/>
      <c r="K151" s="49"/>
      <c r="L151" s="50"/>
      <c r="M151" s="163"/>
      <c r="N151" s="45"/>
      <c r="O151" s="46"/>
      <c r="P151" s="512"/>
      <c r="Q151" s="57"/>
      <c r="R151" s="512"/>
      <c r="S151" s="57"/>
      <c r="T151" s="53"/>
      <c r="U151" s="49"/>
      <c r="V151" s="50"/>
      <c r="W151" s="115"/>
      <c r="X151" s="53"/>
      <c r="Y151" s="49"/>
      <c r="Z151" s="50"/>
      <c r="AA151" s="115"/>
      <c r="AB151" s="208">
        <f>ROUND((_15_同援日１．０*(1+_15・A夜間)),0)+ROUND((_15_同援日１．０＿１．０*(1+_15・B深夜)),0)</f>
        <v>672</v>
      </c>
      <c r="AC151" s="48"/>
    </row>
    <row r="152" spans="1:29" ht="16.5" customHeight="1" x14ac:dyDescent="0.15">
      <c r="A152" s="41">
        <v>15</v>
      </c>
      <c r="B152" s="41" t="s">
        <v>20162</v>
      </c>
      <c r="C152" s="74" t="s">
        <v>20163</v>
      </c>
      <c r="D152" s="72"/>
      <c r="F152" s="57"/>
      <c r="G152" s="72" t="s">
        <v>17589</v>
      </c>
      <c r="I152" s="57"/>
      <c r="J152" s="43"/>
      <c r="K152" s="37"/>
      <c r="L152" s="38"/>
      <c r="M152" s="299" t="s">
        <v>17556</v>
      </c>
      <c r="N152" s="45" t="s">
        <v>398</v>
      </c>
      <c r="O152" s="46">
        <v>1</v>
      </c>
      <c r="P152" s="512"/>
      <c r="Q152" s="57"/>
      <c r="R152" s="512"/>
      <c r="S152" s="57"/>
      <c r="T152" s="35"/>
      <c r="W152" s="57"/>
      <c r="X152" s="35"/>
      <c r="AA152" s="57"/>
      <c r="AB152" s="208">
        <f>ROUND((ROUND((_15_同援日１．０*_15・２人),0)*(1+_15・A夜間)),0)+ROUND((ROUND((_15_同援日１．０＿１．０*_15・２人),0)*(1+_15・B深夜)),0)</f>
        <v>672</v>
      </c>
      <c r="AC152" s="48"/>
    </row>
    <row r="153" spans="1:29" ht="16.5" customHeight="1" x14ac:dyDescent="0.15">
      <c r="A153" s="41">
        <v>15</v>
      </c>
      <c r="B153" s="41" t="s">
        <v>20164</v>
      </c>
      <c r="C153" s="74" t="s">
        <v>20165</v>
      </c>
      <c r="D153" s="72"/>
      <c r="F153" s="57"/>
      <c r="G153" s="72" t="s">
        <v>17591</v>
      </c>
      <c r="I153" s="57"/>
      <c r="J153" s="114" t="s">
        <v>17558</v>
      </c>
      <c r="K153" s="49"/>
      <c r="L153" s="50"/>
      <c r="M153" s="163"/>
      <c r="N153" s="45"/>
      <c r="O153" s="46"/>
      <c r="P153" s="512"/>
      <c r="Q153" s="57"/>
      <c r="R153" s="512"/>
      <c r="S153" s="57"/>
      <c r="T153" s="35"/>
      <c r="W153" s="57"/>
      <c r="X153" s="35"/>
      <c r="AA153" s="57"/>
      <c r="AB153" s="208">
        <f>ROUND((ROUND((_15_同援日１．０*_15・基礎２),0)*(1+_15・A夜間)),0)+ROUND((ROUND((_15_同援日１．０＿１．０*_15・基礎２),0)*(1+_15・B深夜)),0)</f>
        <v>605</v>
      </c>
      <c r="AC153" s="48"/>
    </row>
    <row r="154" spans="1:29" ht="16.5" customHeight="1" x14ac:dyDescent="0.15">
      <c r="A154" s="41">
        <v>15</v>
      </c>
      <c r="B154" s="41" t="s">
        <v>20166</v>
      </c>
      <c r="C154" s="74" t="s">
        <v>20167</v>
      </c>
      <c r="D154" s="72"/>
      <c r="F154" s="57"/>
      <c r="G154" s="72"/>
      <c r="H154" s="168">
        <f>_15_同援日１．０＿１．０</f>
        <v>198</v>
      </c>
      <c r="I154" s="57" t="s">
        <v>392</v>
      </c>
      <c r="J154" s="269" t="s">
        <v>17560</v>
      </c>
      <c r="K154" s="37" t="s">
        <v>398</v>
      </c>
      <c r="L154" s="38">
        <v>0.9</v>
      </c>
      <c r="M154" s="299" t="s">
        <v>17556</v>
      </c>
      <c r="N154" s="45" t="s">
        <v>398</v>
      </c>
      <c r="O154" s="46">
        <v>1</v>
      </c>
      <c r="P154" s="512"/>
      <c r="Q154" s="57"/>
      <c r="R154" s="512"/>
      <c r="S154" s="57"/>
      <c r="T154" s="43"/>
      <c r="U154" s="37"/>
      <c r="V154" s="38"/>
      <c r="W154" s="79"/>
      <c r="X154" s="35"/>
      <c r="AA154" s="57"/>
      <c r="AB154" s="208">
        <f>ROUND((ROUND((ROUND((_15_同援日１．０*_15・基礎２),0)*_15・２人),0)*(1+_15・A夜間)),0)+ROUND((ROUND((ROUND((_15_同援日１．０＿１．０*_15・基礎２),0)*_15・２人),0)*(1+_15・B深夜)),0)</f>
        <v>605</v>
      </c>
      <c r="AC154" s="48"/>
    </row>
    <row r="155" spans="1:29" ht="16.5" customHeight="1" x14ac:dyDescent="0.15">
      <c r="A155" s="41">
        <v>15</v>
      </c>
      <c r="B155" s="41" t="s">
        <v>20168</v>
      </c>
      <c r="C155" s="74" t="s">
        <v>20169</v>
      </c>
      <c r="D155" s="72"/>
      <c r="F155" s="57"/>
      <c r="G155" s="72"/>
      <c r="I155" s="57"/>
      <c r="J155" s="53"/>
      <c r="K155" s="49"/>
      <c r="L155" s="50"/>
      <c r="M155" s="163"/>
      <c r="N155" s="45"/>
      <c r="O155" s="46"/>
      <c r="P155" s="512"/>
      <c r="Q155" s="57"/>
      <c r="R155" s="512"/>
      <c r="S155" s="57"/>
      <c r="T155" s="114" t="s">
        <v>17562</v>
      </c>
      <c r="U155" s="49"/>
      <c r="V155" s="50"/>
      <c r="W155" s="115"/>
      <c r="X155" s="35"/>
      <c r="AA155" s="57"/>
      <c r="AB155" s="208">
        <f>ROUND((ROUND((_15_同援日１．０*(1+_15・A夜間)),0)*(1+_15・盲ろう)),0)+ROUND((ROUND((_15_同援日１．０＿１．０*(1+_15・B深夜)),0)*(1+_15・盲ろう)),0)</f>
        <v>840</v>
      </c>
      <c r="AC155" s="48"/>
    </row>
    <row r="156" spans="1:29" ht="16.5" customHeight="1" x14ac:dyDescent="0.15">
      <c r="A156" s="41">
        <v>15</v>
      </c>
      <c r="B156" s="41" t="s">
        <v>20170</v>
      </c>
      <c r="C156" s="74" t="s">
        <v>20171</v>
      </c>
      <c r="D156" s="72"/>
      <c r="F156" s="57"/>
      <c r="G156" s="72"/>
      <c r="I156" s="57"/>
      <c r="J156" s="43"/>
      <c r="K156" s="37"/>
      <c r="L156" s="38"/>
      <c r="M156" s="299" t="s">
        <v>17556</v>
      </c>
      <c r="N156" s="45" t="s">
        <v>398</v>
      </c>
      <c r="O156" s="46">
        <v>1</v>
      </c>
      <c r="P156" s="512"/>
      <c r="Q156" s="57"/>
      <c r="R156" s="512"/>
      <c r="S156" s="57"/>
      <c r="T156" s="92" t="s">
        <v>17564</v>
      </c>
      <c r="W156" s="57"/>
      <c r="X156" s="35"/>
      <c r="AA156" s="57"/>
      <c r="AB156" s="208">
        <f>ROUND((ROUND((ROUND((_15_同援日１．０*_15・２人),0)*(1+_15・A夜間)),0)*(1+_15・盲ろう)),0)+ROUND((ROUND((ROUND((_15_同援日１．０＿１．０*_15・２人),0)*(1+_15・B深夜)),0)*(1+_15・盲ろう)),0)</f>
        <v>840</v>
      </c>
      <c r="AC156" s="48"/>
    </row>
    <row r="157" spans="1:29" ht="16.5" customHeight="1" x14ac:dyDescent="0.15">
      <c r="A157" s="41">
        <v>15</v>
      </c>
      <c r="B157" s="41" t="s">
        <v>20172</v>
      </c>
      <c r="C157" s="74" t="s">
        <v>20173</v>
      </c>
      <c r="D157" s="72"/>
      <c r="F157" s="57"/>
      <c r="G157" s="72"/>
      <c r="I157" s="57"/>
      <c r="J157" s="114" t="s">
        <v>17558</v>
      </c>
      <c r="K157" s="49"/>
      <c r="L157" s="50"/>
      <c r="M157" s="163"/>
      <c r="N157" s="45"/>
      <c r="O157" s="46"/>
      <c r="P157" s="512"/>
      <c r="Q157" s="57"/>
      <c r="R157" s="512"/>
      <c r="S157" s="57"/>
      <c r="T157" s="35"/>
      <c r="U157" s="12" t="s">
        <v>398</v>
      </c>
      <c r="V157" s="13">
        <v>0.25</v>
      </c>
      <c r="W157" s="57" t="s">
        <v>3575</v>
      </c>
      <c r="X157" s="35"/>
      <c r="AA157" s="57"/>
      <c r="AB157" s="208">
        <f>ROUND((ROUND((ROUND((_15_同援日１．０*_15・基礎２),0)*(1+_15・A夜間)),0)*(1+_15・盲ろう)),0)+ROUND((ROUND((ROUND((_15_同援日１．０＿１．０*_15・基礎２),0)*(1+_15・B深夜)),0)*(1+_15・盲ろう)),0)</f>
        <v>757</v>
      </c>
      <c r="AC157" s="48"/>
    </row>
    <row r="158" spans="1:29" ht="16.5" customHeight="1" x14ac:dyDescent="0.15">
      <c r="A158" s="41">
        <v>15</v>
      </c>
      <c r="B158" s="41" t="s">
        <v>20174</v>
      </c>
      <c r="C158" s="74" t="s">
        <v>20175</v>
      </c>
      <c r="D158" s="72"/>
      <c r="F158" s="57"/>
      <c r="G158" s="72"/>
      <c r="I158" s="57"/>
      <c r="J158" s="269" t="s">
        <v>17560</v>
      </c>
      <c r="K158" s="37" t="s">
        <v>398</v>
      </c>
      <c r="L158" s="38">
        <v>0.9</v>
      </c>
      <c r="M158" s="299" t="s">
        <v>17556</v>
      </c>
      <c r="N158" s="45" t="s">
        <v>398</v>
      </c>
      <c r="O158" s="46">
        <v>1</v>
      </c>
      <c r="P158" s="512"/>
      <c r="Q158" s="57"/>
      <c r="R158" s="512"/>
      <c r="S158" s="57"/>
      <c r="T158" s="43"/>
      <c r="U158" s="37"/>
      <c r="V158" s="38"/>
      <c r="W158" s="79"/>
      <c r="X158" s="43"/>
      <c r="Y158" s="37"/>
      <c r="Z158" s="38"/>
      <c r="AA158" s="79"/>
      <c r="AB158" s="208">
        <f>ROUND((ROUND((ROUND((ROUND((_15_同援日１．０*_15・基礎２),0)*_15・２人),0)*(1+_15・A夜間)),0)*(1+_15・盲ろう)),0)+ROUND((ROUND((ROUND((ROUND((_15_同援日１．０＿１．０*_15・基礎２),0)*_15・２人),0)*(1+_15・B深夜)),0)*(1+_15・盲ろう)),0)</f>
        <v>757</v>
      </c>
      <c r="AC158" s="48"/>
    </row>
    <row r="159" spans="1:29" ht="16.5" customHeight="1" x14ac:dyDescent="0.15">
      <c r="A159" s="41">
        <v>15</v>
      </c>
      <c r="B159" s="41" t="s">
        <v>20176</v>
      </c>
      <c r="C159" s="74" t="s">
        <v>20177</v>
      </c>
      <c r="D159" s="72"/>
      <c r="F159" s="57"/>
      <c r="G159" s="72"/>
      <c r="I159" s="57"/>
      <c r="J159" s="53"/>
      <c r="K159" s="49"/>
      <c r="L159" s="50"/>
      <c r="M159" s="163"/>
      <c r="N159" s="45"/>
      <c r="O159" s="46"/>
      <c r="P159" s="512"/>
      <c r="Q159" s="57"/>
      <c r="R159" s="512"/>
      <c r="S159" s="57"/>
      <c r="T159" s="53"/>
      <c r="U159" s="49"/>
      <c r="V159" s="50"/>
      <c r="W159" s="115"/>
      <c r="X159" s="53"/>
      <c r="Y159" s="49"/>
      <c r="Z159" s="50"/>
      <c r="AA159" s="115"/>
      <c r="AB159" s="208">
        <f>ROUND((ROUND((_15_同援日１．０*(1+_15・A夜間)),0)*(1+_15・区３)),0)+ROUND((ROUND((_15_同援日１．０＿１．０*(1+_15・B深夜)),0)*(1+_15・区３)),0)</f>
        <v>806</v>
      </c>
      <c r="AC159" s="48"/>
    </row>
    <row r="160" spans="1:29" ht="16.5" customHeight="1" x14ac:dyDescent="0.15">
      <c r="A160" s="41">
        <v>15</v>
      </c>
      <c r="B160" s="41" t="s">
        <v>20178</v>
      </c>
      <c r="C160" s="74" t="s">
        <v>20179</v>
      </c>
      <c r="D160" s="72"/>
      <c r="F160" s="57"/>
      <c r="G160" s="72"/>
      <c r="I160" s="57"/>
      <c r="J160" s="43"/>
      <c r="K160" s="37"/>
      <c r="L160" s="38"/>
      <c r="M160" s="299" t="s">
        <v>17556</v>
      </c>
      <c r="N160" s="45" t="s">
        <v>398</v>
      </c>
      <c r="O160" s="46">
        <v>1</v>
      </c>
      <c r="P160" s="512"/>
      <c r="Q160" s="57"/>
      <c r="R160" s="512"/>
      <c r="S160" s="57"/>
      <c r="T160" s="35"/>
      <c r="W160" s="57"/>
      <c r="X160" s="35"/>
      <c r="AA160" s="57"/>
      <c r="AB160" s="208">
        <f>ROUND((ROUND((ROUND((_15_同援日１．０*_15・２人),0)*(1+_15・A夜間)),0)*(1+_15・区３)),0)+ROUND((ROUND((ROUND((_15_同援日１．０＿１．０*_15・２人),0)*(1+_15・B深夜)),0)*(1+_15・区３)),0)</f>
        <v>806</v>
      </c>
      <c r="AC160" s="48"/>
    </row>
    <row r="161" spans="1:29" ht="16.5" customHeight="1" x14ac:dyDescent="0.15">
      <c r="A161" s="41">
        <v>15</v>
      </c>
      <c r="B161" s="41" t="s">
        <v>20180</v>
      </c>
      <c r="C161" s="74" t="s">
        <v>20181</v>
      </c>
      <c r="D161" s="72"/>
      <c r="F161" s="57"/>
      <c r="G161" s="72"/>
      <c r="I161" s="57"/>
      <c r="J161" s="114" t="s">
        <v>17558</v>
      </c>
      <c r="K161" s="49"/>
      <c r="L161" s="50"/>
      <c r="M161" s="163"/>
      <c r="N161" s="45"/>
      <c r="O161" s="46"/>
      <c r="P161" s="512"/>
      <c r="Q161" s="57"/>
      <c r="R161" s="512"/>
      <c r="S161" s="57"/>
      <c r="T161" s="35"/>
      <c r="W161" s="57"/>
      <c r="X161" s="72" t="s">
        <v>17570</v>
      </c>
      <c r="AA161" s="57"/>
      <c r="AB161" s="208">
        <f>ROUND((ROUND((ROUND((_15_同援日１．０*_15・基礎２),0)*(1+_15・A夜間)),0)*(1+_15・区３)),0)+ROUND((ROUND((ROUND((_15_同援日１．０＿１．０*_15・基礎２),0)*(1+_15・B深夜)),0)*(1+_15・区３)),0)</f>
        <v>726</v>
      </c>
      <c r="AC161" s="48"/>
    </row>
    <row r="162" spans="1:29" ht="16.5" customHeight="1" x14ac:dyDescent="0.15">
      <c r="A162" s="41">
        <v>15</v>
      </c>
      <c r="B162" s="41" t="s">
        <v>20182</v>
      </c>
      <c r="C162" s="74" t="s">
        <v>20183</v>
      </c>
      <c r="D162" s="72"/>
      <c r="F162" s="57"/>
      <c r="G162" s="72"/>
      <c r="I162" s="57"/>
      <c r="J162" s="269" t="s">
        <v>17560</v>
      </c>
      <c r="K162" s="37" t="s">
        <v>398</v>
      </c>
      <c r="L162" s="38">
        <v>0.9</v>
      </c>
      <c r="M162" s="299" t="s">
        <v>17556</v>
      </c>
      <c r="N162" s="45" t="s">
        <v>398</v>
      </c>
      <c r="O162" s="46">
        <v>1</v>
      </c>
      <c r="P162" s="512"/>
      <c r="Q162" s="57"/>
      <c r="R162" s="512"/>
      <c r="S162" s="57"/>
      <c r="T162" s="43"/>
      <c r="U162" s="37"/>
      <c r="V162" s="38"/>
      <c r="W162" s="79"/>
      <c r="X162" s="72" t="s">
        <v>17572</v>
      </c>
      <c r="AA162" s="57"/>
      <c r="AB162" s="208">
        <f>ROUND((ROUND((ROUND((ROUND((_15_同援日１．０*_15・基礎２),0)*_15・２人),0)*(1+_15・A夜間)),0)*(1+_15・区３)),0)+ROUND((ROUND((ROUND((ROUND((_15_同援日１．０＿１．０*_15・基礎２),0)*_15・２人),0)*(1+_15・B深夜)),0)*(1+_15・区３)),0)</f>
        <v>726</v>
      </c>
      <c r="AC162" s="48"/>
    </row>
    <row r="163" spans="1:29" ht="16.5" customHeight="1" x14ac:dyDescent="0.15">
      <c r="A163" s="41">
        <v>15</v>
      </c>
      <c r="B163" s="41" t="s">
        <v>20184</v>
      </c>
      <c r="C163" s="74" t="s">
        <v>20185</v>
      </c>
      <c r="D163" s="72"/>
      <c r="F163" s="57"/>
      <c r="G163" s="72"/>
      <c r="I163" s="57"/>
      <c r="J163" s="53"/>
      <c r="K163" s="49"/>
      <c r="L163" s="50"/>
      <c r="M163" s="163"/>
      <c r="N163" s="45"/>
      <c r="O163" s="46"/>
      <c r="P163" s="512"/>
      <c r="Q163" s="57"/>
      <c r="R163" s="512"/>
      <c r="S163" s="57"/>
      <c r="T163" s="114" t="s">
        <v>17562</v>
      </c>
      <c r="U163" s="49"/>
      <c r="V163" s="50"/>
      <c r="W163" s="115"/>
      <c r="X163" s="35"/>
      <c r="Y163" s="12" t="s">
        <v>398</v>
      </c>
      <c r="Z163" s="13">
        <v>0.2</v>
      </c>
      <c r="AA163" s="57" t="s">
        <v>3575</v>
      </c>
      <c r="AB163" s="208">
        <f>ROUND((ROUND((ROUND((_15_同援日１．０*(1+_15・A夜間)),0)*(1+_15・盲ろう)),0)*(1+_15・区３)),0)+ROUND((ROUND((ROUND((_15_同援日１．０＿１．０*(1+_15・B深夜)),0)*(1+_15・盲ろう)),0)*(1+_15・区３)),0)</f>
        <v>1008</v>
      </c>
      <c r="AC163" s="48"/>
    </row>
    <row r="164" spans="1:29" ht="16.5" customHeight="1" x14ac:dyDescent="0.15">
      <c r="A164" s="41">
        <v>15</v>
      </c>
      <c r="B164" s="41" t="s">
        <v>20186</v>
      </c>
      <c r="C164" s="74" t="s">
        <v>20187</v>
      </c>
      <c r="D164" s="72"/>
      <c r="F164" s="57"/>
      <c r="G164" s="72"/>
      <c r="I164" s="57"/>
      <c r="J164" s="43"/>
      <c r="K164" s="37"/>
      <c r="L164" s="38"/>
      <c r="M164" s="299" t="s">
        <v>17556</v>
      </c>
      <c r="N164" s="45" t="s">
        <v>398</v>
      </c>
      <c r="O164" s="46">
        <v>1</v>
      </c>
      <c r="P164" s="512"/>
      <c r="Q164" s="57"/>
      <c r="R164" s="512"/>
      <c r="S164" s="57"/>
      <c r="T164" s="92" t="s">
        <v>17564</v>
      </c>
      <c r="W164" s="57"/>
      <c r="X164" s="35"/>
      <c r="AA164" s="57"/>
      <c r="AB164" s="208">
        <f>ROUND((ROUND((ROUND((ROUND((_15_同援日１．０*_15・２人),0)*(1+_15・A夜間)),0)*(1+_15・盲ろう)),0)*(1+_15・区３)),0)+ROUND((ROUND((ROUND((ROUND((_15_同援日１．０＿１．０*_15・２人),0)*(1+_15・B深夜)),0)*(1+_15・盲ろう)),0)*(1+_15・区３)),0)</f>
        <v>1008</v>
      </c>
      <c r="AC164" s="48"/>
    </row>
    <row r="165" spans="1:29" ht="16.5" customHeight="1" x14ac:dyDescent="0.15">
      <c r="A165" s="41">
        <v>15</v>
      </c>
      <c r="B165" s="41" t="s">
        <v>468</v>
      </c>
      <c r="C165" s="74" t="s">
        <v>20188</v>
      </c>
      <c r="D165" s="72"/>
      <c r="F165" s="57"/>
      <c r="G165" s="72"/>
      <c r="I165" s="57"/>
      <c r="J165" s="114" t="s">
        <v>17558</v>
      </c>
      <c r="K165" s="49"/>
      <c r="L165" s="50"/>
      <c r="M165" s="163"/>
      <c r="N165" s="45"/>
      <c r="O165" s="46"/>
      <c r="P165" s="512"/>
      <c r="Q165" s="57"/>
      <c r="R165" s="512"/>
      <c r="S165" s="57"/>
      <c r="T165" s="35"/>
      <c r="U165" s="12" t="s">
        <v>398</v>
      </c>
      <c r="V165" s="13">
        <v>0.25</v>
      </c>
      <c r="W165" s="57" t="s">
        <v>3575</v>
      </c>
      <c r="X165" s="35"/>
      <c r="AA165" s="57"/>
      <c r="AB165" s="208">
        <f>ROUND((ROUND((ROUND((ROUND((_15_同援日１．０*_15・基礎２),0)*(1+_15・A夜間)),0)*(1+_15・盲ろう)),0)*(1+_15・区３)),0)+ROUND((ROUND((ROUND((ROUND((_15_同援日１．０＿１．０*_15・基礎２),0)*(1+_15・B深夜)),0)*(1+_15・盲ろう)),0)*(1+_15・区３)),0)</f>
        <v>909</v>
      </c>
      <c r="AC165" s="48"/>
    </row>
    <row r="166" spans="1:29" ht="16.5" customHeight="1" x14ac:dyDescent="0.15">
      <c r="A166" s="41">
        <v>15</v>
      </c>
      <c r="B166" s="41" t="s">
        <v>470</v>
      </c>
      <c r="C166" s="74" t="s">
        <v>20189</v>
      </c>
      <c r="D166" s="72"/>
      <c r="F166" s="57"/>
      <c r="G166" s="72"/>
      <c r="I166" s="57"/>
      <c r="J166" s="269" t="s">
        <v>17560</v>
      </c>
      <c r="K166" s="37" t="s">
        <v>398</v>
      </c>
      <c r="L166" s="38">
        <v>0.9</v>
      </c>
      <c r="M166" s="299" t="s">
        <v>17556</v>
      </c>
      <c r="N166" s="45" t="s">
        <v>398</v>
      </c>
      <c r="O166" s="46">
        <v>1</v>
      </c>
      <c r="P166" s="512"/>
      <c r="Q166" s="57"/>
      <c r="R166" s="512"/>
      <c r="S166" s="57"/>
      <c r="T166" s="43"/>
      <c r="U166" s="37"/>
      <c r="V166" s="38"/>
      <c r="W166" s="79"/>
      <c r="X166" s="43"/>
      <c r="Y166" s="37"/>
      <c r="Z166" s="38"/>
      <c r="AA166" s="79"/>
      <c r="AB166" s="208">
        <f>ROUND((ROUND((ROUND((ROUND((ROUND((_15_同援日１．０*_15・基礎２),0)*_15・２人),0)*(1+_15・A夜間)),0)*(1+_15・盲ろう)),0)*(1+_15・区３)),0)+ROUND((ROUND((ROUND((ROUND((ROUND((_15_同援日１．０＿１．０*_15・基礎２),0)*_15・２人),0)*(1+_15・B深夜)),0)*(1+_15・盲ろう)),0)*(1+_15・区３)),0)</f>
        <v>909</v>
      </c>
      <c r="AC166" s="48"/>
    </row>
    <row r="167" spans="1:29" ht="16.5" customHeight="1" x14ac:dyDescent="0.15">
      <c r="A167" s="41">
        <v>15</v>
      </c>
      <c r="B167" s="41" t="s">
        <v>472</v>
      </c>
      <c r="C167" s="74" t="s">
        <v>20190</v>
      </c>
      <c r="D167" s="72"/>
      <c r="F167" s="57"/>
      <c r="G167" s="72"/>
      <c r="I167" s="57"/>
      <c r="J167" s="53"/>
      <c r="K167" s="49"/>
      <c r="L167" s="50"/>
      <c r="M167" s="163"/>
      <c r="N167" s="45"/>
      <c r="O167" s="46"/>
      <c r="P167" s="512"/>
      <c r="Q167" s="57"/>
      <c r="R167" s="512"/>
      <c r="S167" s="57"/>
      <c r="T167" s="53"/>
      <c r="U167" s="49"/>
      <c r="V167" s="50"/>
      <c r="W167" s="115"/>
      <c r="X167" s="53"/>
      <c r="Y167" s="49"/>
      <c r="Z167" s="50"/>
      <c r="AA167" s="115"/>
      <c r="AB167" s="208">
        <f>ROUND((ROUND((_15_同援日１．０*(1+_15・A夜間)),0)*(1+_15・区４)),0)+ROUND((ROUND((_15_同援日１．０＿１．０*(1+_15・B深夜)),0)*(1+_15・区４)),0)</f>
        <v>941</v>
      </c>
      <c r="AC167" s="48"/>
    </row>
    <row r="168" spans="1:29" ht="16.5" customHeight="1" x14ac:dyDescent="0.15">
      <c r="A168" s="41">
        <v>15</v>
      </c>
      <c r="B168" s="41" t="s">
        <v>474</v>
      </c>
      <c r="C168" s="74" t="s">
        <v>20191</v>
      </c>
      <c r="D168" s="72"/>
      <c r="F168" s="57"/>
      <c r="G168" s="72"/>
      <c r="I168" s="57"/>
      <c r="J168" s="43"/>
      <c r="K168" s="37"/>
      <c r="L168" s="38"/>
      <c r="M168" s="299" t="s">
        <v>17556</v>
      </c>
      <c r="N168" s="45" t="s">
        <v>398</v>
      </c>
      <c r="O168" s="46">
        <v>1</v>
      </c>
      <c r="P168" s="512"/>
      <c r="Q168" s="57"/>
      <c r="R168" s="512"/>
      <c r="S168" s="57"/>
      <c r="T168" s="35"/>
      <c r="W168" s="57"/>
      <c r="X168" s="35"/>
      <c r="AA168" s="57"/>
      <c r="AB168" s="208">
        <f>ROUND((ROUND((ROUND((_15_同援日１．０*_15・２人),0)*(1+_15・A夜間)),0)*(1+_15・区４)),0)+ROUND((ROUND((ROUND((_15_同援日１．０＿１．０*_15・２人),0)*(1+_15・B深夜)),0)*(1+_15・区４)),0)</f>
        <v>941</v>
      </c>
      <c r="AC168" s="48"/>
    </row>
    <row r="169" spans="1:29" ht="16.5" customHeight="1" x14ac:dyDescent="0.15">
      <c r="A169" s="41">
        <v>15</v>
      </c>
      <c r="B169" s="41" t="s">
        <v>20192</v>
      </c>
      <c r="C169" s="74" t="s">
        <v>20193</v>
      </c>
      <c r="D169" s="72"/>
      <c r="F169" s="57"/>
      <c r="G169" s="72"/>
      <c r="I169" s="57"/>
      <c r="J169" s="114" t="s">
        <v>17558</v>
      </c>
      <c r="K169" s="49"/>
      <c r="L169" s="50"/>
      <c r="M169" s="163"/>
      <c r="N169" s="45"/>
      <c r="O169" s="46"/>
      <c r="P169" s="512"/>
      <c r="Q169" s="57"/>
      <c r="R169" s="512"/>
      <c r="S169" s="57"/>
      <c r="T169" s="35"/>
      <c r="W169" s="57"/>
      <c r="X169" s="72" t="s">
        <v>17580</v>
      </c>
      <c r="AA169" s="57"/>
      <c r="AB169" s="208">
        <f>ROUND((ROUND((ROUND((_15_同援日１．０*_15・基礎２),0)*(1+_15・A夜間)),0)*(1+_15・区４)),0)+ROUND((ROUND((ROUND((_15_同援日１．０＿１．０*_15・基礎２),0)*(1+_15・B深夜)),0)*(1+_15・区４)),0)</f>
        <v>847</v>
      </c>
      <c r="AC169" s="48"/>
    </row>
    <row r="170" spans="1:29" ht="16.5" customHeight="1" x14ac:dyDescent="0.15">
      <c r="A170" s="41">
        <v>15</v>
      </c>
      <c r="B170" s="41" t="s">
        <v>20194</v>
      </c>
      <c r="C170" s="74" t="s">
        <v>20195</v>
      </c>
      <c r="D170" s="72"/>
      <c r="F170" s="57"/>
      <c r="G170" s="72"/>
      <c r="I170" s="57"/>
      <c r="J170" s="269" t="s">
        <v>17560</v>
      </c>
      <c r="K170" s="37" t="s">
        <v>398</v>
      </c>
      <c r="L170" s="38">
        <v>0.9</v>
      </c>
      <c r="M170" s="299" t="s">
        <v>17556</v>
      </c>
      <c r="N170" s="45" t="s">
        <v>398</v>
      </c>
      <c r="O170" s="46">
        <v>1</v>
      </c>
      <c r="P170" s="512"/>
      <c r="Q170" s="57"/>
      <c r="R170" s="512"/>
      <c r="S170" s="57"/>
      <c r="T170" s="43"/>
      <c r="U170" s="37"/>
      <c r="V170" s="38"/>
      <c r="W170" s="79"/>
      <c r="X170" s="72" t="s">
        <v>17572</v>
      </c>
      <c r="AA170" s="57"/>
      <c r="AB170" s="208">
        <f>ROUND((ROUND((ROUND((ROUND((_15_同援日１．０*_15・基礎２),0)*_15・２人),0)*(1+_15・A夜間)),0)*(1+_15・区４)),0)+ROUND((ROUND((ROUND((ROUND((_15_同援日１．０＿１．０*_15・基礎２),0)*_15・２人),0)*(1+_15・B深夜)),0)*(1+_15・区４)),0)</f>
        <v>847</v>
      </c>
      <c r="AC170" s="48"/>
    </row>
    <row r="171" spans="1:29" ht="16.5" customHeight="1" x14ac:dyDescent="0.15">
      <c r="A171" s="41">
        <v>15</v>
      </c>
      <c r="B171" s="41" t="s">
        <v>20196</v>
      </c>
      <c r="C171" s="74" t="s">
        <v>20197</v>
      </c>
      <c r="D171" s="72"/>
      <c r="F171" s="57"/>
      <c r="G171" s="72"/>
      <c r="I171" s="57"/>
      <c r="J171" s="53"/>
      <c r="K171" s="49"/>
      <c r="L171" s="50"/>
      <c r="M171" s="163"/>
      <c r="N171" s="45"/>
      <c r="O171" s="46"/>
      <c r="P171" s="512"/>
      <c r="Q171" s="57"/>
      <c r="R171" s="512"/>
      <c r="S171" s="57"/>
      <c r="T171" s="114" t="s">
        <v>17562</v>
      </c>
      <c r="U171" s="49"/>
      <c r="V171" s="50"/>
      <c r="W171" s="115"/>
      <c r="X171" s="35"/>
      <c r="Y171" s="12" t="s">
        <v>398</v>
      </c>
      <c r="Z171" s="13">
        <v>0.4</v>
      </c>
      <c r="AA171" s="57" t="s">
        <v>3575</v>
      </c>
      <c r="AB171" s="208">
        <f>ROUND((ROUND((ROUND((_15_同援日１．０*(1+_15・A夜間)),0)*(1+_15・盲ろう)),0)*(1+_15・区４)),0)+ROUND((ROUND((ROUND((_15_同援日１．０＿１．０*(1+_15・B深夜)),0)*(1+_15・盲ろう)),0)*(1+_15・区４)),0)</f>
        <v>1176</v>
      </c>
      <c r="AC171" s="48"/>
    </row>
    <row r="172" spans="1:29" ht="16.5" customHeight="1" x14ac:dyDescent="0.15">
      <c r="A172" s="41">
        <v>15</v>
      </c>
      <c r="B172" s="41" t="s">
        <v>20198</v>
      </c>
      <c r="C172" s="74" t="s">
        <v>20199</v>
      </c>
      <c r="D172" s="72"/>
      <c r="F172" s="57"/>
      <c r="G172" s="72"/>
      <c r="I172" s="57"/>
      <c r="J172" s="43"/>
      <c r="K172" s="37"/>
      <c r="L172" s="38"/>
      <c r="M172" s="299" t="s">
        <v>17556</v>
      </c>
      <c r="N172" s="45" t="s">
        <v>398</v>
      </c>
      <c r="O172" s="46">
        <v>1</v>
      </c>
      <c r="P172" s="512"/>
      <c r="Q172" s="57"/>
      <c r="R172" s="512"/>
      <c r="S172" s="57"/>
      <c r="T172" s="92" t="s">
        <v>17564</v>
      </c>
      <c r="W172" s="57"/>
      <c r="X172" s="35"/>
      <c r="AA172" s="57"/>
      <c r="AB172" s="208">
        <f>ROUND((ROUND((ROUND((ROUND((_15_同援日１．０*_15・２人),0)*(1+_15・A夜間)),0)*(1+_15・盲ろう)),0)*(1+_15・区４)),0)+ROUND((ROUND((ROUND((ROUND((_15_同援日１．０＿１．０*_15・２人),0)*(1+_15・B深夜)),0)*(1+_15・盲ろう)),0)*(1+_15・区４)),0)</f>
        <v>1176</v>
      </c>
      <c r="AC172" s="48"/>
    </row>
    <row r="173" spans="1:29" ht="16.5" customHeight="1" x14ac:dyDescent="0.15">
      <c r="A173" s="41">
        <v>15</v>
      </c>
      <c r="B173" s="41" t="s">
        <v>20200</v>
      </c>
      <c r="C173" s="74" t="s">
        <v>20201</v>
      </c>
      <c r="D173" s="72"/>
      <c r="F173" s="57"/>
      <c r="G173" s="72"/>
      <c r="I173" s="57"/>
      <c r="J173" s="114" t="s">
        <v>17558</v>
      </c>
      <c r="K173" s="49"/>
      <c r="L173" s="50"/>
      <c r="M173" s="163"/>
      <c r="N173" s="45"/>
      <c r="O173" s="46"/>
      <c r="P173" s="512"/>
      <c r="Q173" s="57"/>
      <c r="R173" s="512"/>
      <c r="S173" s="57"/>
      <c r="T173" s="35"/>
      <c r="U173" s="12" t="s">
        <v>398</v>
      </c>
      <c r="V173" s="13">
        <v>0.25</v>
      </c>
      <c r="W173" s="57" t="s">
        <v>3575</v>
      </c>
      <c r="X173" s="35"/>
      <c r="AA173" s="57"/>
      <c r="AB173" s="208">
        <f>ROUND((ROUND((ROUND((ROUND((_15_同援日１．０*_15・基礎２),0)*(1+_15・A夜間)),0)*(1+_15・盲ろう)),0)*(1+_15・区４)),0)+ROUND((ROUND((ROUND((ROUND((_15_同援日１．０＿１．０*_15・基礎２),0)*(1+_15・B深夜)),0)*(1+_15・盲ろう)),0)*(1+_15・区４)),0)</f>
        <v>1060</v>
      </c>
      <c r="AC173" s="48"/>
    </row>
    <row r="174" spans="1:29" ht="16.5" customHeight="1" x14ac:dyDescent="0.15">
      <c r="A174" s="41">
        <v>15</v>
      </c>
      <c r="B174" s="41" t="s">
        <v>20202</v>
      </c>
      <c r="C174" s="74" t="s">
        <v>20203</v>
      </c>
      <c r="D174" s="72"/>
      <c r="F174" s="57"/>
      <c r="G174" s="122"/>
      <c r="H174" s="37"/>
      <c r="I174" s="79"/>
      <c r="J174" s="269" t="s">
        <v>17560</v>
      </c>
      <c r="K174" s="37" t="s">
        <v>398</v>
      </c>
      <c r="L174" s="38">
        <v>0.9</v>
      </c>
      <c r="M174" s="299" t="s">
        <v>17556</v>
      </c>
      <c r="N174" s="45" t="s">
        <v>398</v>
      </c>
      <c r="O174" s="46">
        <v>1</v>
      </c>
      <c r="P174" s="512"/>
      <c r="Q174" s="57"/>
      <c r="R174" s="512"/>
      <c r="S174" s="57"/>
      <c r="T174" s="43"/>
      <c r="U174" s="37"/>
      <c r="V174" s="38"/>
      <c r="W174" s="79"/>
      <c r="X174" s="43"/>
      <c r="Y174" s="37"/>
      <c r="Z174" s="38"/>
      <c r="AA174" s="79"/>
      <c r="AB174" s="208">
        <f>ROUND((ROUND((ROUND((ROUND((ROUND((_15_同援日１．０*_15・基礎２),0)*_15・２人),0)*(1+_15・A夜間)),0)*(1+_15・盲ろう)),0)*(1+_15・区４)),0)+ROUND((ROUND((ROUND((ROUND((ROUND((_15_同援日１．０＿１．０*_15・基礎２),0)*_15・２人),0)*(1+_15・B深夜)),0)*(1+_15・盲ろう)),0)*(1+_15・区４)),0)</f>
        <v>1060</v>
      </c>
      <c r="AC174" s="48"/>
    </row>
    <row r="175" spans="1:29" ht="16.5" customHeight="1" x14ac:dyDescent="0.15">
      <c r="A175" s="41">
        <v>15</v>
      </c>
      <c r="B175" s="41" t="s">
        <v>20204</v>
      </c>
      <c r="C175" s="74" t="s">
        <v>20205</v>
      </c>
      <c r="D175" s="72"/>
      <c r="F175" s="57"/>
      <c r="G175" s="114" t="s">
        <v>19995</v>
      </c>
      <c r="H175" s="49"/>
      <c r="I175" s="115"/>
      <c r="J175" s="53"/>
      <c r="K175" s="49"/>
      <c r="L175" s="50"/>
      <c r="M175" s="163"/>
      <c r="N175" s="45"/>
      <c r="O175" s="46"/>
      <c r="P175" s="512"/>
      <c r="Q175" s="57"/>
      <c r="R175" s="512"/>
      <c r="S175" s="57"/>
      <c r="T175" s="53"/>
      <c r="U175" s="49"/>
      <c r="V175" s="50"/>
      <c r="W175" s="115"/>
      <c r="X175" s="53"/>
      <c r="Y175" s="49"/>
      <c r="Z175" s="50"/>
      <c r="AA175" s="115"/>
      <c r="AB175" s="208">
        <f>ROUND((_15_同援日１．０*(1+_15・A夜間)),0)+ROUND((_15_同援日１．０＿１．５*(1+_15・B深夜)),0)</f>
        <v>770</v>
      </c>
      <c r="AC175" s="48"/>
    </row>
    <row r="176" spans="1:29" ht="16.5" customHeight="1" x14ac:dyDescent="0.15">
      <c r="A176" s="41">
        <v>15</v>
      </c>
      <c r="B176" s="41" t="s">
        <v>20206</v>
      </c>
      <c r="C176" s="74" t="s">
        <v>20207</v>
      </c>
      <c r="D176" s="72"/>
      <c r="F176" s="57"/>
      <c r="G176" s="72" t="s">
        <v>17616</v>
      </c>
      <c r="I176" s="57"/>
      <c r="J176" s="43"/>
      <c r="K176" s="37"/>
      <c r="L176" s="38"/>
      <c r="M176" s="299" t="s">
        <v>17556</v>
      </c>
      <c r="N176" s="45" t="s">
        <v>398</v>
      </c>
      <c r="O176" s="46">
        <v>1</v>
      </c>
      <c r="P176" s="512"/>
      <c r="Q176" s="57"/>
      <c r="R176" s="512"/>
      <c r="S176" s="57"/>
      <c r="T176" s="35"/>
      <c r="W176" s="57"/>
      <c r="X176" s="35"/>
      <c r="AA176" s="57"/>
      <c r="AB176" s="208">
        <f>ROUND((ROUND((_15_同援日１．０*_15・２人),0)*(1+_15・A夜間)),0)+ROUND((ROUND((_15_同援日１．０＿１．５*_15・２人),0)*(1+_15・B深夜)),0)</f>
        <v>770</v>
      </c>
      <c r="AC176" s="48"/>
    </row>
    <row r="177" spans="1:29" ht="16.5" customHeight="1" x14ac:dyDescent="0.15">
      <c r="A177" s="41">
        <v>15</v>
      </c>
      <c r="B177" s="41" t="s">
        <v>20208</v>
      </c>
      <c r="C177" s="74" t="s">
        <v>20209</v>
      </c>
      <c r="D177" s="72"/>
      <c r="F177" s="57"/>
      <c r="G177" s="72" t="s">
        <v>18183</v>
      </c>
      <c r="I177" s="57"/>
      <c r="J177" s="114" t="s">
        <v>17558</v>
      </c>
      <c r="K177" s="49"/>
      <c r="L177" s="50"/>
      <c r="M177" s="163"/>
      <c r="N177" s="45"/>
      <c r="O177" s="46"/>
      <c r="P177" s="512"/>
      <c r="Q177" s="57"/>
      <c r="R177" s="512"/>
      <c r="S177" s="57"/>
      <c r="T177" s="35"/>
      <c r="W177" s="57"/>
      <c r="X177" s="35"/>
      <c r="AA177" s="57"/>
      <c r="AB177" s="208">
        <f>ROUND((ROUND((_15_同援日１．０*_15・基礎２),0)*(1+_15・A夜間)),0)+ROUND((ROUND((_15_同援日１．０＿１．５*_15・基礎２),0)*(1+_15・B深夜)),0)</f>
        <v>694</v>
      </c>
      <c r="AC177" s="48"/>
    </row>
    <row r="178" spans="1:29" ht="16.5" customHeight="1" x14ac:dyDescent="0.15">
      <c r="A178" s="41">
        <v>15</v>
      </c>
      <c r="B178" s="41" t="s">
        <v>20210</v>
      </c>
      <c r="C178" s="74" t="s">
        <v>20211</v>
      </c>
      <c r="D178" s="72"/>
      <c r="F178" s="57"/>
      <c r="G178" s="72"/>
      <c r="H178" s="168">
        <f>_15_同援日１．０＿１．５</f>
        <v>263</v>
      </c>
      <c r="I178" s="57" t="s">
        <v>392</v>
      </c>
      <c r="J178" s="269" t="s">
        <v>17560</v>
      </c>
      <c r="K178" s="37" t="s">
        <v>398</v>
      </c>
      <c r="L178" s="38">
        <v>0.9</v>
      </c>
      <c r="M178" s="299" t="s">
        <v>17556</v>
      </c>
      <c r="N178" s="45" t="s">
        <v>398</v>
      </c>
      <c r="O178" s="46">
        <v>1</v>
      </c>
      <c r="P178" s="512"/>
      <c r="Q178" s="57"/>
      <c r="R178" s="512"/>
      <c r="S178" s="57"/>
      <c r="T178" s="43"/>
      <c r="U178" s="37"/>
      <c r="V178" s="38"/>
      <c r="W178" s="79"/>
      <c r="X178" s="35"/>
      <c r="AA178" s="57"/>
      <c r="AB178" s="208">
        <f>ROUND((ROUND((ROUND((_15_同援日１．０*_15・基礎２),0)*_15・２人),0)*(1+_15・A夜間)),0)+ROUND((ROUND((ROUND((_15_同援日１．０＿１．５*_15・基礎２),0)*_15・２人),0)*(1+_15・B深夜)),0)</f>
        <v>694</v>
      </c>
      <c r="AC178" s="48"/>
    </row>
    <row r="179" spans="1:29" ht="16.5" customHeight="1" x14ac:dyDescent="0.15">
      <c r="A179" s="41">
        <v>15</v>
      </c>
      <c r="B179" s="41" t="s">
        <v>20212</v>
      </c>
      <c r="C179" s="74" t="s">
        <v>20213</v>
      </c>
      <c r="D179" s="72"/>
      <c r="F179" s="57"/>
      <c r="G179" s="72"/>
      <c r="I179" s="57"/>
      <c r="J179" s="53"/>
      <c r="K179" s="49"/>
      <c r="L179" s="50"/>
      <c r="M179" s="163"/>
      <c r="N179" s="45"/>
      <c r="O179" s="46"/>
      <c r="P179" s="512"/>
      <c r="Q179" s="57"/>
      <c r="R179" s="512"/>
      <c r="S179" s="57"/>
      <c r="T179" s="114" t="s">
        <v>17562</v>
      </c>
      <c r="U179" s="49"/>
      <c r="V179" s="50"/>
      <c r="W179" s="115"/>
      <c r="X179" s="35"/>
      <c r="AA179" s="57"/>
      <c r="AB179" s="208">
        <f>ROUND((ROUND((_15_同援日１．０*(1+_15・A夜間)),0)*(1+_15・盲ろう)),0)+ROUND((ROUND((_15_同援日１．０＿１．５*(1+_15・B深夜)),0)*(1+_15・盲ろう)),0)</f>
        <v>963</v>
      </c>
      <c r="AC179" s="48"/>
    </row>
    <row r="180" spans="1:29" ht="16.5" customHeight="1" x14ac:dyDescent="0.15">
      <c r="A180" s="41">
        <v>15</v>
      </c>
      <c r="B180" s="41" t="s">
        <v>20214</v>
      </c>
      <c r="C180" s="74" t="s">
        <v>20215</v>
      </c>
      <c r="D180" s="72"/>
      <c r="F180" s="57"/>
      <c r="G180" s="72"/>
      <c r="I180" s="57"/>
      <c r="J180" s="43"/>
      <c r="K180" s="37"/>
      <c r="L180" s="38"/>
      <c r="M180" s="299" t="s">
        <v>17556</v>
      </c>
      <c r="N180" s="45" t="s">
        <v>398</v>
      </c>
      <c r="O180" s="46">
        <v>1</v>
      </c>
      <c r="P180" s="512"/>
      <c r="Q180" s="57"/>
      <c r="R180" s="512"/>
      <c r="S180" s="57"/>
      <c r="T180" s="92" t="s">
        <v>17564</v>
      </c>
      <c r="W180" s="57"/>
      <c r="X180" s="35"/>
      <c r="AA180" s="57"/>
      <c r="AB180" s="208">
        <f>ROUND((ROUND((ROUND((_15_同援日１．０*_15・２人),0)*(1+_15・A夜間)),0)*(1+_15・盲ろう)),0)+ROUND((ROUND((ROUND((_15_同援日１．０＿１．５*_15・２人),0)*(1+_15・B深夜)),0)*(1+_15・盲ろう)),0)</f>
        <v>963</v>
      </c>
      <c r="AC180" s="48"/>
    </row>
    <row r="181" spans="1:29" ht="16.5" customHeight="1" x14ac:dyDescent="0.15">
      <c r="A181" s="41">
        <v>15</v>
      </c>
      <c r="B181" s="41" t="s">
        <v>20216</v>
      </c>
      <c r="C181" s="74" t="s">
        <v>20217</v>
      </c>
      <c r="D181" s="72"/>
      <c r="F181" s="57"/>
      <c r="G181" s="72"/>
      <c r="I181" s="57"/>
      <c r="J181" s="114" t="s">
        <v>17558</v>
      </c>
      <c r="K181" s="49"/>
      <c r="L181" s="50"/>
      <c r="M181" s="163"/>
      <c r="N181" s="45"/>
      <c r="O181" s="46"/>
      <c r="P181" s="512"/>
      <c r="Q181" s="57"/>
      <c r="R181" s="512"/>
      <c r="S181" s="57"/>
      <c r="T181" s="35"/>
      <c r="U181" s="12" t="s">
        <v>398</v>
      </c>
      <c r="V181" s="13">
        <v>0.25</v>
      </c>
      <c r="W181" s="57" t="s">
        <v>3575</v>
      </c>
      <c r="X181" s="35"/>
      <c r="AA181" s="57"/>
      <c r="AB181" s="208">
        <f>ROUND((ROUND((ROUND((_15_同援日１．０*_15・基礎２),0)*(1+_15・A夜間)),0)*(1+_15・盲ろう)),0)+ROUND((ROUND((ROUND((_15_同援日１．０＿１．５*_15・基礎２),0)*(1+_15・B深夜)),0)*(1+_15・盲ろう)),0)</f>
        <v>868</v>
      </c>
      <c r="AC181" s="48"/>
    </row>
    <row r="182" spans="1:29" ht="16.5" customHeight="1" x14ac:dyDescent="0.15">
      <c r="A182" s="41">
        <v>15</v>
      </c>
      <c r="B182" s="41" t="s">
        <v>20218</v>
      </c>
      <c r="C182" s="74" t="s">
        <v>20219</v>
      </c>
      <c r="D182" s="72"/>
      <c r="F182" s="57"/>
      <c r="G182" s="72"/>
      <c r="I182" s="57"/>
      <c r="J182" s="269" t="s">
        <v>17560</v>
      </c>
      <c r="K182" s="37" t="s">
        <v>398</v>
      </c>
      <c r="L182" s="38">
        <v>0.9</v>
      </c>
      <c r="M182" s="299" t="s">
        <v>17556</v>
      </c>
      <c r="N182" s="45" t="s">
        <v>398</v>
      </c>
      <c r="O182" s="46">
        <v>1</v>
      </c>
      <c r="P182" s="512"/>
      <c r="Q182" s="57"/>
      <c r="R182" s="512"/>
      <c r="S182" s="57"/>
      <c r="T182" s="43"/>
      <c r="U182" s="37"/>
      <c r="V182" s="38"/>
      <c r="W182" s="79"/>
      <c r="X182" s="43"/>
      <c r="Y182" s="37"/>
      <c r="Z182" s="38"/>
      <c r="AA182" s="79"/>
      <c r="AB182" s="208">
        <f>ROUND((ROUND((ROUND((ROUND((_15_同援日１．０*_15・基礎２),0)*_15・２人),0)*(1+_15・A夜間)),0)*(1+_15・盲ろう)),0)+ROUND((ROUND((ROUND((ROUND((_15_同援日１．０＿１．５*_15・基礎２),0)*_15・２人),0)*(1+_15・B深夜)),0)*(1+_15・盲ろう)),0)</f>
        <v>868</v>
      </c>
      <c r="AC182" s="48"/>
    </row>
    <row r="183" spans="1:29" ht="16.5" customHeight="1" x14ac:dyDescent="0.15">
      <c r="A183" s="41">
        <v>15</v>
      </c>
      <c r="B183" s="41" t="s">
        <v>20220</v>
      </c>
      <c r="C183" s="74" t="s">
        <v>20221</v>
      </c>
      <c r="D183" s="72"/>
      <c r="F183" s="57"/>
      <c r="G183" s="72"/>
      <c r="I183" s="57"/>
      <c r="J183" s="53"/>
      <c r="K183" s="49"/>
      <c r="L183" s="50"/>
      <c r="M183" s="163"/>
      <c r="N183" s="45"/>
      <c r="O183" s="46"/>
      <c r="P183" s="512"/>
      <c r="Q183" s="57"/>
      <c r="R183" s="512"/>
      <c r="S183" s="57"/>
      <c r="T183" s="53"/>
      <c r="U183" s="49"/>
      <c r="V183" s="50"/>
      <c r="W183" s="115"/>
      <c r="X183" s="53"/>
      <c r="Y183" s="49"/>
      <c r="Z183" s="50"/>
      <c r="AA183" s="115"/>
      <c r="AB183" s="208">
        <f>ROUND((ROUND((_15_同援日１．０*(1+_15・A夜間)),0)*(1+_15・区３)),0)+ROUND((ROUND((_15_同援日１．０＿１．５*(1+_15・B深夜)),0)*(1+_15・区３)),0)</f>
        <v>924</v>
      </c>
      <c r="AC183" s="48"/>
    </row>
    <row r="184" spans="1:29" ht="16.5" customHeight="1" x14ac:dyDescent="0.15">
      <c r="A184" s="41">
        <v>15</v>
      </c>
      <c r="B184" s="41" t="s">
        <v>20222</v>
      </c>
      <c r="C184" s="74" t="s">
        <v>20223</v>
      </c>
      <c r="D184" s="72"/>
      <c r="F184" s="57"/>
      <c r="G184" s="72"/>
      <c r="I184" s="57"/>
      <c r="J184" s="43"/>
      <c r="K184" s="37"/>
      <c r="L184" s="38"/>
      <c r="M184" s="299" t="s">
        <v>17556</v>
      </c>
      <c r="N184" s="45" t="s">
        <v>398</v>
      </c>
      <c r="O184" s="46">
        <v>1</v>
      </c>
      <c r="P184" s="512"/>
      <c r="Q184" s="57"/>
      <c r="R184" s="512"/>
      <c r="S184" s="57"/>
      <c r="T184" s="35"/>
      <c r="W184" s="57"/>
      <c r="X184" s="35"/>
      <c r="AA184" s="57"/>
      <c r="AB184" s="208">
        <f>ROUND((ROUND((ROUND((_15_同援日１．０*_15・２人),0)*(1+_15・A夜間)),0)*(1+_15・区３)),0)+ROUND((ROUND((ROUND((_15_同援日１．０＿１．５*_15・２人),0)*(1+_15・B深夜)),0)*(1+_15・区３)),0)</f>
        <v>924</v>
      </c>
      <c r="AC184" s="48"/>
    </row>
    <row r="185" spans="1:29" ht="16.5" customHeight="1" x14ac:dyDescent="0.15">
      <c r="A185" s="41">
        <v>15</v>
      </c>
      <c r="B185" s="41" t="s">
        <v>481</v>
      </c>
      <c r="C185" s="74" t="s">
        <v>20224</v>
      </c>
      <c r="D185" s="72"/>
      <c r="F185" s="57"/>
      <c r="G185" s="72"/>
      <c r="I185" s="57"/>
      <c r="J185" s="114" t="s">
        <v>17558</v>
      </c>
      <c r="K185" s="49"/>
      <c r="L185" s="50"/>
      <c r="M185" s="163"/>
      <c r="N185" s="45"/>
      <c r="O185" s="46"/>
      <c r="P185" s="512"/>
      <c r="Q185" s="57"/>
      <c r="R185" s="512"/>
      <c r="S185" s="57"/>
      <c r="T185" s="35"/>
      <c r="W185" s="57"/>
      <c r="X185" s="72" t="s">
        <v>17570</v>
      </c>
      <c r="AA185" s="57"/>
      <c r="AB185" s="208">
        <f>ROUND((ROUND((ROUND((_15_同援日１．０*_15・基礎２),0)*(1+_15・A夜間)),0)*(1+_15・区３)),0)+ROUND((ROUND((ROUND((_15_同援日１．０＿１．５*_15・基礎２),0)*(1+_15・B深夜)),0)*(1+_15・区３)),0)</f>
        <v>833</v>
      </c>
      <c r="AC185" s="48"/>
    </row>
    <row r="186" spans="1:29" ht="16.5" customHeight="1" x14ac:dyDescent="0.15">
      <c r="A186" s="41">
        <v>15</v>
      </c>
      <c r="B186" s="41" t="s">
        <v>483</v>
      </c>
      <c r="C186" s="74" t="s">
        <v>20225</v>
      </c>
      <c r="D186" s="72"/>
      <c r="F186" s="57"/>
      <c r="G186" s="72"/>
      <c r="I186" s="57"/>
      <c r="J186" s="269" t="s">
        <v>17560</v>
      </c>
      <c r="K186" s="37" t="s">
        <v>398</v>
      </c>
      <c r="L186" s="38">
        <v>0.9</v>
      </c>
      <c r="M186" s="299" t="s">
        <v>17556</v>
      </c>
      <c r="N186" s="45" t="s">
        <v>398</v>
      </c>
      <c r="O186" s="46">
        <v>1</v>
      </c>
      <c r="P186" s="512"/>
      <c r="Q186" s="57"/>
      <c r="R186" s="512"/>
      <c r="S186" s="57"/>
      <c r="T186" s="43"/>
      <c r="U186" s="37"/>
      <c r="V186" s="38"/>
      <c r="W186" s="79"/>
      <c r="X186" s="72" t="s">
        <v>17572</v>
      </c>
      <c r="AA186" s="57"/>
      <c r="AB186" s="208">
        <f>ROUND((ROUND((ROUND((ROUND((_15_同援日１．０*_15・基礎２),0)*_15・２人),0)*(1+_15・A夜間)),0)*(1+_15・区３)),0)+ROUND((ROUND((ROUND((ROUND((_15_同援日１．０＿１．５*_15・基礎２),0)*_15・２人),0)*(1+_15・B深夜)),0)*(1+_15・区３)),0)</f>
        <v>833</v>
      </c>
      <c r="AC186" s="48"/>
    </row>
    <row r="187" spans="1:29" ht="16.5" customHeight="1" x14ac:dyDescent="0.15">
      <c r="A187" s="41">
        <v>15</v>
      </c>
      <c r="B187" s="41" t="s">
        <v>485</v>
      </c>
      <c r="C187" s="74" t="s">
        <v>20226</v>
      </c>
      <c r="D187" s="72"/>
      <c r="F187" s="57"/>
      <c r="G187" s="72"/>
      <c r="I187" s="57"/>
      <c r="J187" s="53"/>
      <c r="K187" s="49"/>
      <c r="L187" s="50"/>
      <c r="M187" s="163"/>
      <c r="N187" s="45"/>
      <c r="O187" s="46"/>
      <c r="P187" s="512"/>
      <c r="Q187" s="57"/>
      <c r="R187" s="512"/>
      <c r="S187" s="57"/>
      <c r="T187" s="114" t="s">
        <v>17562</v>
      </c>
      <c r="U187" s="49"/>
      <c r="V187" s="50"/>
      <c r="W187" s="115"/>
      <c r="X187" s="35"/>
      <c r="Y187" s="12" t="s">
        <v>398</v>
      </c>
      <c r="Z187" s="13">
        <v>0.2</v>
      </c>
      <c r="AA187" s="57" t="s">
        <v>3575</v>
      </c>
      <c r="AB187" s="208">
        <f>ROUND((ROUND((ROUND((_15_同援日１．０*(1+_15・A夜間)),0)*(1+_15・盲ろう)),0)*(1+_15・区３)),0)+ROUND((ROUND((ROUND((_15_同援日１．０＿１．５*(1+_15・B深夜)),0)*(1+_15・盲ろう)),0)*(1+_15・区３)),0)</f>
        <v>1156</v>
      </c>
      <c r="AC187" s="48"/>
    </row>
    <row r="188" spans="1:29" ht="16.5" customHeight="1" x14ac:dyDescent="0.15">
      <c r="A188" s="41">
        <v>15</v>
      </c>
      <c r="B188" s="41" t="s">
        <v>487</v>
      </c>
      <c r="C188" s="74" t="s">
        <v>20227</v>
      </c>
      <c r="D188" s="72"/>
      <c r="F188" s="57"/>
      <c r="G188" s="72"/>
      <c r="I188" s="57"/>
      <c r="J188" s="43"/>
      <c r="K188" s="37"/>
      <c r="L188" s="38"/>
      <c r="M188" s="299" t="s">
        <v>17556</v>
      </c>
      <c r="N188" s="45" t="s">
        <v>398</v>
      </c>
      <c r="O188" s="46">
        <v>1</v>
      </c>
      <c r="P188" s="512"/>
      <c r="Q188" s="57"/>
      <c r="R188" s="512"/>
      <c r="S188" s="57"/>
      <c r="T188" s="92" t="s">
        <v>17564</v>
      </c>
      <c r="W188" s="57"/>
      <c r="X188" s="35"/>
      <c r="AA188" s="57"/>
      <c r="AB188" s="208">
        <f>ROUND((ROUND((ROUND((ROUND((_15_同援日１．０*_15・２人),0)*(1+_15・A夜間)),0)*(1+_15・盲ろう)),0)*(1+_15・区３)),0)+ROUND((ROUND((ROUND((ROUND((_15_同援日１．０＿１．５*_15・２人),0)*(1+_15・B深夜)),0)*(1+_15・盲ろう)),0)*(1+_15・区３)),0)</f>
        <v>1156</v>
      </c>
      <c r="AC188" s="48"/>
    </row>
    <row r="189" spans="1:29" ht="16.5" customHeight="1" x14ac:dyDescent="0.15">
      <c r="A189" s="41">
        <v>15</v>
      </c>
      <c r="B189" s="41" t="s">
        <v>20228</v>
      </c>
      <c r="C189" s="74" t="s">
        <v>20229</v>
      </c>
      <c r="D189" s="72"/>
      <c r="F189" s="57"/>
      <c r="G189" s="72"/>
      <c r="I189" s="57"/>
      <c r="J189" s="114" t="s">
        <v>17558</v>
      </c>
      <c r="K189" s="49"/>
      <c r="L189" s="50"/>
      <c r="M189" s="163"/>
      <c r="N189" s="45"/>
      <c r="O189" s="46"/>
      <c r="P189" s="512"/>
      <c r="Q189" s="57"/>
      <c r="R189" s="512"/>
      <c r="S189" s="57"/>
      <c r="T189" s="35"/>
      <c r="U189" s="12" t="s">
        <v>398</v>
      </c>
      <c r="V189" s="13">
        <v>0.25</v>
      </c>
      <c r="W189" s="57" t="s">
        <v>3575</v>
      </c>
      <c r="X189" s="35"/>
      <c r="AA189" s="57"/>
      <c r="AB189" s="208">
        <f>ROUND((ROUND((ROUND((ROUND((_15_同援日１．０*_15・基礎２),0)*(1+_15・A夜間)),0)*(1+_15・盲ろう)),0)*(1+_15・区３)),0)+ROUND((ROUND((ROUND((ROUND((_15_同援日１．０＿１．５*_15・基礎２),0)*(1+_15・B深夜)),0)*(1+_15・盲ろう)),0)*(1+_15・区３)),0)</f>
        <v>1042</v>
      </c>
      <c r="AC189" s="48"/>
    </row>
    <row r="190" spans="1:29" ht="16.5" customHeight="1" x14ac:dyDescent="0.15">
      <c r="A190" s="41">
        <v>15</v>
      </c>
      <c r="B190" s="41" t="s">
        <v>20230</v>
      </c>
      <c r="C190" s="74" t="s">
        <v>20231</v>
      </c>
      <c r="D190" s="72"/>
      <c r="F190" s="57"/>
      <c r="G190" s="72"/>
      <c r="I190" s="57"/>
      <c r="J190" s="269" t="s">
        <v>17560</v>
      </c>
      <c r="K190" s="37" t="s">
        <v>398</v>
      </c>
      <c r="L190" s="38">
        <v>0.9</v>
      </c>
      <c r="M190" s="299" t="s">
        <v>17556</v>
      </c>
      <c r="N190" s="45" t="s">
        <v>398</v>
      </c>
      <c r="O190" s="46">
        <v>1</v>
      </c>
      <c r="P190" s="512"/>
      <c r="Q190" s="57"/>
      <c r="R190" s="512"/>
      <c r="S190" s="57"/>
      <c r="T190" s="43"/>
      <c r="U190" s="37"/>
      <c r="V190" s="38"/>
      <c r="W190" s="79"/>
      <c r="X190" s="43"/>
      <c r="Y190" s="37"/>
      <c r="Z190" s="38"/>
      <c r="AA190" s="79"/>
      <c r="AB190" s="208">
        <f>ROUND((ROUND((ROUND((ROUND((ROUND((_15_同援日１．０*_15・基礎２),0)*_15・２人),0)*(1+_15・A夜間)),0)*(1+_15・盲ろう)),0)*(1+_15・区３)),0)+ROUND((ROUND((ROUND((ROUND((ROUND((_15_同援日１．０＿１．５*_15・基礎２),0)*_15・２人),0)*(1+_15・B深夜)),0)*(1+_15・盲ろう)),0)*(1+_15・区３)),0)</f>
        <v>1042</v>
      </c>
      <c r="AC190" s="48"/>
    </row>
    <row r="191" spans="1:29" ht="16.5" customHeight="1" x14ac:dyDescent="0.15">
      <c r="A191" s="41">
        <v>15</v>
      </c>
      <c r="B191" s="41" t="s">
        <v>20232</v>
      </c>
      <c r="C191" s="74" t="s">
        <v>20233</v>
      </c>
      <c r="D191" s="72"/>
      <c r="F191" s="57"/>
      <c r="G191" s="72"/>
      <c r="I191" s="57"/>
      <c r="J191" s="53"/>
      <c r="K191" s="49"/>
      <c r="L191" s="50"/>
      <c r="M191" s="163"/>
      <c r="N191" s="45"/>
      <c r="O191" s="46"/>
      <c r="P191" s="512"/>
      <c r="Q191" s="57"/>
      <c r="R191" s="512"/>
      <c r="S191" s="57"/>
      <c r="T191" s="53"/>
      <c r="U191" s="49"/>
      <c r="V191" s="50"/>
      <c r="W191" s="115"/>
      <c r="X191" s="53"/>
      <c r="Y191" s="49"/>
      <c r="Z191" s="50"/>
      <c r="AA191" s="115"/>
      <c r="AB191" s="208">
        <f>ROUND((ROUND((_15_同援日１．０*(1+_15・A夜間)),0)*(1+_15・区４)),0)+ROUND((ROUND((_15_同援日１．０＿１．５*(1+_15・B深夜)),0)*(1+_15・区４)),0)</f>
        <v>1078</v>
      </c>
      <c r="AC191" s="48"/>
    </row>
    <row r="192" spans="1:29" ht="16.5" customHeight="1" x14ac:dyDescent="0.15">
      <c r="A192" s="41">
        <v>15</v>
      </c>
      <c r="B192" s="41" t="s">
        <v>20234</v>
      </c>
      <c r="C192" s="74" t="s">
        <v>20235</v>
      </c>
      <c r="D192" s="72"/>
      <c r="F192" s="57"/>
      <c r="G192" s="72"/>
      <c r="I192" s="57"/>
      <c r="J192" s="43"/>
      <c r="K192" s="37"/>
      <c r="L192" s="38"/>
      <c r="M192" s="299" t="s">
        <v>17556</v>
      </c>
      <c r="N192" s="45" t="s">
        <v>398</v>
      </c>
      <c r="O192" s="46">
        <v>1</v>
      </c>
      <c r="P192" s="512"/>
      <c r="Q192" s="57"/>
      <c r="R192" s="512"/>
      <c r="S192" s="57"/>
      <c r="T192" s="35"/>
      <c r="W192" s="57"/>
      <c r="X192" s="35"/>
      <c r="AA192" s="57"/>
      <c r="AB192" s="208">
        <f>ROUND((ROUND((ROUND((_15_同援日１．０*_15・２人),0)*(1+_15・A夜間)),0)*(1+_15・区４)),0)+ROUND((ROUND((ROUND((_15_同援日１．０＿１．５*_15・２人),0)*(1+_15・B深夜)),0)*(1+_15・区４)),0)</f>
        <v>1078</v>
      </c>
      <c r="AC192" s="48"/>
    </row>
    <row r="193" spans="1:29" ht="16.5" customHeight="1" x14ac:dyDescent="0.15">
      <c r="A193" s="41">
        <v>15</v>
      </c>
      <c r="B193" s="41" t="s">
        <v>20236</v>
      </c>
      <c r="C193" s="74" t="s">
        <v>20237</v>
      </c>
      <c r="D193" s="72"/>
      <c r="F193" s="57"/>
      <c r="G193" s="72"/>
      <c r="I193" s="57"/>
      <c r="J193" s="114" t="s">
        <v>17558</v>
      </c>
      <c r="K193" s="49"/>
      <c r="L193" s="50"/>
      <c r="M193" s="163"/>
      <c r="N193" s="45"/>
      <c r="O193" s="46"/>
      <c r="P193" s="512"/>
      <c r="Q193" s="57"/>
      <c r="R193" s="512"/>
      <c r="S193" s="57"/>
      <c r="T193" s="35"/>
      <c r="W193" s="57"/>
      <c r="X193" s="72" t="s">
        <v>17580</v>
      </c>
      <c r="AA193" s="57"/>
      <c r="AB193" s="208">
        <f>ROUND((ROUND((ROUND((_15_同援日１．０*_15・基礎２),0)*(1+_15・A夜間)),0)*(1+_15・区４)),0)+ROUND((ROUND((ROUND((_15_同援日１．０＿１．５*_15・基礎２),0)*(1+_15・B深夜)),0)*(1+_15・区４)),0)</f>
        <v>971</v>
      </c>
      <c r="AC193" s="48"/>
    </row>
    <row r="194" spans="1:29" ht="16.5" customHeight="1" x14ac:dyDescent="0.15">
      <c r="A194" s="41">
        <v>15</v>
      </c>
      <c r="B194" s="41" t="s">
        <v>20238</v>
      </c>
      <c r="C194" s="74" t="s">
        <v>20239</v>
      </c>
      <c r="D194" s="72"/>
      <c r="F194" s="57"/>
      <c r="G194" s="72"/>
      <c r="I194" s="57"/>
      <c r="J194" s="269" t="s">
        <v>17560</v>
      </c>
      <c r="K194" s="37" t="s">
        <v>398</v>
      </c>
      <c r="L194" s="38">
        <v>0.9</v>
      </c>
      <c r="M194" s="299" t="s">
        <v>17556</v>
      </c>
      <c r="N194" s="45" t="s">
        <v>398</v>
      </c>
      <c r="O194" s="46">
        <v>1</v>
      </c>
      <c r="P194" s="512"/>
      <c r="Q194" s="57"/>
      <c r="R194" s="512"/>
      <c r="S194" s="57"/>
      <c r="T194" s="43"/>
      <c r="U194" s="37"/>
      <c r="V194" s="38"/>
      <c r="W194" s="79"/>
      <c r="X194" s="72" t="s">
        <v>17572</v>
      </c>
      <c r="AA194" s="57"/>
      <c r="AB194" s="208">
        <f>ROUND((ROUND((ROUND((ROUND((_15_同援日１．０*_15・基礎２),0)*_15・２人),0)*(1+_15・A夜間)),0)*(1+_15・区４)),0)+ROUND((ROUND((ROUND((ROUND((_15_同援日１．０＿１．５*_15・基礎２),0)*_15・２人),0)*(1+_15・B深夜)),0)*(1+_15・区４)),0)</f>
        <v>971</v>
      </c>
      <c r="AC194" s="48"/>
    </row>
    <row r="195" spans="1:29" ht="16.5" customHeight="1" x14ac:dyDescent="0.15">
      <c r="A195" s="41">
        <v>15</v>
      </c>
      <c r="B195" s="41" t="s">
        <v>20240</v>
      </c>
      <c r="C195" s="74" t="s">
        <v>20241</v>
      </c>
      <c r="D195" s="72"/>
      <c r="F195" s="57"/>
      <c r="G195" s="72"/>
      <c r="I195" s="57"/>
      <c r="J195" s="53"/>
      <c r="K195" s="49"/>
      <c r="L195" s="50"/>
      <c r="M195" s="163"/>
      <c r="N195" s="45"/>
      <c r="O195" s="46"/>
      <c r="P195" s="512"/>
      <c r="Q195" s="57"/>
      <c r="R195" s="512"/>
      <c r="S195" s="57"/>
      <c r="T195" s="114" t="s">
        <v>17562</v>
      </c>
      <c r="U195" s="49"/>
      <c r="V195" s="50"/>
      <c r="W195" s="115"/>
      <c r="X195" s="35"/>
      <c r="Y195" s="12" t="s">
        <v>398</v>
      </c>
      <c r="Z195" s="13">
        <v>0.4</v>
      </c>
      <c r="AA195" s="57" t="s">
        <v>3575</v>
      </c>
      <c r="AB195" s="208">
        <f>ROUND((ROUND((ROUND((_15_同援日１．０*(1+_15・A夜間)),0)*(1+_15・盲ろう)),0)*(1+_15・区４)),0)+ROUND((ROUND((ROUND((_15_同援日１．０＿１．５*(1+_15・B深夜)),0)*(1+_15・盲ろう)),0)*(1+_15・区４)),0)</f>
        <v>1349</v>
      </c>
      <c r="AC195" s="48"/>
    </row>
    <row r="196" spans="1:29" ht="16.5" customHeight="1" x14ac:dyDescent="0.15">
      <c r="A196" s="41">
        <v>15</v>
      </c>
      <c r="B196" s="41" t="s">
        <v>20242</v>
      </c>
      <c r="C196" s="74" t="s">
        <v>20243</v>
      </c>
      <c r="D196" s="72"/>
      <c r="F196" s="57"/>
      <c r="G196" s="72"/>
      <c r="I196" s="57"/>
      <c r="J196" s="43"/>
      <c r="K196" s="37"/>
      <c r="L196" s="38"/>
      <c r="M196" s="299" t="s">
        <v>17556</v>
      </c>
      <c r="N196" s="45" t="s">
        <v>398</v>
      </c>
      <c r="O196" s="46">
        <v>1</v>
      </c>
      <c r="P196" s="512"/>
      <c r="Q196" s="57"/>
      <c r="R196" s="512"/>
      <c r="S196" s="57"/>
      <c r="T196" s="92" t="s">
        <v>17564</v>
      </c>
      <c r="W196" s="57"/>
      <c r="X196" s="35"/>
      <c r="AA196" s="57"/>
      <c r="AB196" s="208">
        <f>ROUND((ROUND((ROUND((ROUND((_15_同援日１．０*_15・２人),0)*(1+_15・A夜間)),0)*(1+_15・盲ろう)),0)*(1+_15・区４)),0)+ROUND((ROUND((ROUND((ROUND((_15_同援日１．０＿１．５*_15・２人),0)*(1+_15・B深夜)),0)*(1+_15・盲ろう)),0)*(1+_15・区４)),0)</f>
        <v>1349</v>
      </c>
      <c r="AC196" s="48"/>
    </row>
    <row r="197" spans="1:29" ht="16.5" customHeight="1" x14ac:dyDescent="0.15">
      <c r="A197" s="41">
        <v>15</v>
      </c>
      <c r="B197" s="41" t="s">
        <v>20244</v>
      </c>
      <c r="C197" s="74" t="s">
        <v>20245</v>
      </c>
      <c r="D197" s="72"/>
      <c r="F197" s="57"/>
      <c r="G197" s="72"/>
      <c r="I197" s="57"/>
      <c r="J197" s="114" t="s">
        <v>17558</v>
      </c>
      <c r="K197" s="49"/>
      <c r="L197" s="50"/>
      <c r="M197" s="163"/>
      <c r="N197" s="45"/>
      <c r="O197" s="46"/>
      <c r="P197" s="512"/>
      <c r="Q197" s="57"/>
      <c r="R197" s="512"/>
      <c r="S197" s="57"/>
      <c r="T197" s="35"/>
      <c r="U197" s="12" t="s">
        <v>398</v>
      </c>
      <c r="V197" s="13">
        <v>0.25</v>
      </c>
      <c r="W197" s="57" t="s">
        <v>3575</v>
      </c>
      <c r="X197" s="35"/>
      <c r="AA197" s="57"/>
      <c r="AB197" s="208">
        <f>ROUND((ROUND((ROUND((ROUND((_15_同援日１．０*_15・基礎２),0)*(1+_15・A夜間)),0)*(1+_15・盲ろう)),0)*(1+_15・区４)),0)+ROUND((ROUND((ROUND((ROUND((_15_同援日１．０＿１．５*_15・基礎２),0)*(1+_15・B深夜)),0)*(1+_15・盲ろう)),0)*(1+_15・区４)),0)</f>
        <v>1215</v>
      </c>
      <c r="AC197" s="48"/>
    </row>
    <row r="198" spans="1:29" ht="16.5" customHeight="1" x14ac:dyDescent="0.15">
      <c r="A198" s="41">
        <v>15</v>
      </c>
      <c r="B198" s="41" t="s">
        <v>20246</v>
      </c>
      <c r="C198" s="74" t="s">
        <v>20247</v>
      </c>
      <c r="D198" s="122"/>
      <c r="E198" s="37"/>
      <c r="F198" s="79"/>
      <c r="G198" s="122"/>
      <c r="H198" s="37"/>
      <c r="I198" s="79"/>
      <c r="J198" s="269" t="s">
        <v>17560</v>
      </c>
      <c r="K198" s="37" t="s">
        <v>398</v>
      </c>
      <c r="L198" s="38">
        <v>0.9</v>
      </c>
      <c r="M198" s="299" t="s">
        <v>17556</v>
      </c>
      <c r="N198" s="45" t="s">
        <v>398</v>
      </c>
      <c r="O198" s="46">
        <v>1</v>
      </c>
      <c r="P198" s="514"/>
      <c r="Q198" s="79"/>
      <c r="R198" s="514"/>
      <c r="S198" s="79"/>
      <c r="T198" s="43"/>
      <c r="U198" s="37"/>
      <c r="V198" s="38"/>
      <c r="W198" s="79"/>
      <c r="X198" s="43"/>
      <c r="Y198" s="37"/>
      <c r="Z198" s="38"/>
      <c r="AA198" s="79"/>
      <c r="AB198" s="208">
        <f>ROUND((ROUND((ROUND((ROUND((ROUND((_15_同援日１．０*_15・基礎２),0)*_15・２人),0)*(1+_15・A夜間)),0)*(1+_15・盲ろう)),0)*(1+_15・区４)),0)+ROUND((ROUND((ROUND((ROUND((ROUND((_15_同援日１．０＿１．５*_15・基礎２),0)*_15・２人),0)*(1+_15・B深夜)),0)*(1+_15・盲ろう)),0)*(1+_15・区４)),0)</f>
        <v>1215</v>
      </c>
      <c r="AC198" s="63"/>
    </row>
    <row r="199" spans="1:29" ht="16.5" customHeight="1" x14ac:dyDescent="0.15">
      <c r="A199" s="41">
        <v>15</v>
      </c>
      <c r="B199" s="41" t="s">
        <v>20248</v>
      </c>
      <c r="C199" s="74" t="s">
        <v>20249</v>
      </c>
      <c r="D199" s="114"/>
      <c r="E199" s="49"/>
      <c r="F199" s="115"/>
      <c r="G199" s="114" t="s">
        <v>20032</v>
      </c>
      <c r="H199" s="49"/>
      <c r="I199" s="115"/>
      <c r="J199" s="53"/>
      <c r="K199" s="49"/>
      <c r="L199" s="50"/>
      <c r="M199" s="163"/>
      <c r="N199" s="45"/>
      <c r="O199" s="46"/>
      <c r="P199" s="515"/>
      <c r="Q199" s="115"/>
      <c r="R199" s="515"/>
      <c r="S199" s="115"/>
      <c r="T199" s="53"/>
      <c r="U199" s="49"/>
      <c r="V199" s="50"/>
      <c r="W199" s="115"/>
      <c r="X199" s="53"/>
      <c r="Y199" s="49"/>
      <c r="Z199" s="50"/>
      <c r="AA199" s="115"/>
      <c r="AB199" s="208">
        <f>ROUND((_15_同援日１．０*(1+_15・A夜間)),0)+ROUND((_15_同援日１．０＿２．０*(1+_15・B深夜)),0)</f>
        <v>867</v>
      </c>
      <c r="AC199" s="64"/>
    </row>
    <row r="200" spans="1:29" ht="16.5" customHeight="1" x14ac:dyDescent="0.15">
      <c r="A200" s="41">
        <v>15</v>
      </c>
      <c r="B200" s="41" t="s">
        <v>20250</v>
      </c>
      <c r="C200" s="74" t="s">
        <v>20251</v>
      </c>
      <c r="D200" s="72"/>
      <c r="F200" s="57"/>
      <c r="G200" s="72" t="s">
        <v>17643</v>
      </c>
      <c r="I200" s="57"/>
      <c r="J200" s="43"/>
      <c r="K200" s="37"/>
      <c r="L200" s="38"/>
      <c r="M200" s="299" t="s">
        <v>17556</v>
      </c>
      <c r="N200" s="45" t="s">
        <v>398</v>
      </c>
      <c r="O200" s="46">
        <v>1</v>
      </c>
      <c r="P200" s="512"/>
      <c r="Q200" s="57"/>
      <c r="R200" s="512"/>
      <c r="S200" s="57"/>
      <c r="T200" s="35"/>
      <c r="W200" s="57"/>
      <c r="X200" s="35"/>
      <c r="AA200" s="57"/>
      <c r="AB200" s="208">
        <f>ROUND((ROUND((_15_同援日１．０*_15・２人),0)*(1+_15・A夜間)),0)+ROUND((ROUND((_15_同援日１．０＿２．０*_15・２人),0)*(1+_15・B深夜)),0)</f>
        <v>867</v>
      </c>
      <c r="AC200" s="48"/>
    </row>
    <row r="201" spans="1:29" ht="16.5" customHeight="1" x14ac:dyDescent="0.15">
      <c r="A201" s="41">
        <v>15</v>
      </c>
      <c r="B201" s="41" t="s">
        <v>20252</v>
      </c>
      <c r="C201" s="74" t="s">
        <v>20253</v>
      </c>
      <c r="D201" s="72"/>
      <c r="F201" s="57"/>
      <c r="G201" s="72" t="s">
        <v>17645</v>
      </c>
      <c r="I201" s="57"/>
      <c r="J201" s="114" t="s">
        <v>17558</v>
      </c>
      <c r="K201" s="49"/>
      <c r="L201" s="50"/>
      <c r="M201" s="163"/>
      <c r="N201" s="45"/>
      <c r="O201" s="46"/>
      <c r="P201" s="512"/>
      <c r="Q201" s="57"/>
      <c r="R201" s="512"/>
      <c r="S201" s="57"/>
      <c r="T201" s="35"/>
      <c r="W201" s="57"/>
      <c r="X201" s="35"/>
      <c r="AA201" s="57"/>
      <c r="AB201" s="208">
        <f>ROUND((ROUND((_15_同援日１．０*_15・基礎２),0)*(1+_15・A夜間)),0)+ROUND((ROUND((_15_同援日１．０＿２．０*_15・基礎２),0)*(1+_15・B深夜)),0)</f>
        <v>781</v>
      </c>
      <c r="AC201" s="48"/>
    </row>
    <row r="202" spans="1:29" ht="16.5" customHeight="1" x14ac:dyDescent="0.15">
      <c r="A202" s="41">
        <v>15</v>
      </c>
      <c r="B202" s="41" t="s">
        <v>20254</v>
      </c>
      <c r="C202" s="74" t="s">
        <v>20255</v>
      </c>
      <c r="D202" s="72"/>
      <c r="F202" s="57"/>
      <c r="G202" s="72"/>
      <c r="H202" s="168">
        <f>_15_同援日１．０＿２．０</f>
        <v>328</v>
      </c>
      <c r="I202" s="57" t="s">
        <v>392</v>
      </c>
      <c r="J202" s="269" t="s">
        <v>17560</v>
      </c>
      <c r="K202" s="37" t="s">
        <v>398</v>
      </c>
      <c r="L202" s="38">
        <v>0.9</v>
      </c>
      <c r="M202" s="299" t="s">
        <v>17556</v>
      </c>
      <c r="N202" s="45" t="s">
        <v>398</v>
      </c>
      <c r="O202" s="46">
        <v>1</v>
      </c>
      <c r="P202" s="512"/>
      <c r="Q202" s="57"/>
      <c r="R202" s="512"/>
      <c r="S202" s="57"/>
      <c r="T202" s="43"/>
      <c r="U202" s="37"/>
      <c r="V202" s="38"/>
      <c r="W202" s="79"/>
      <c r="X202" s="35"/>
      <c r="AA202" s="57"/>
      <c r="AB202" s="208">
        <f>ROUND((ROUND((ROUND((_15_同援日１．０*_15・基礎２),0)*_15・２人),0)*(1+_15・A夜間)),0)+ROUND((ROUND((ROUND((_15_同援日１．０＿２．０*_15・基礎２),0)*_15・２人),0)*(1+_15・B深夜)),0)</f>
        <v>781</v>
      </c>
      <c r="AC202" s="48"/>
    </row>
    <row r="203" spans="1:29" ht="16.5" customHeight="1" x14ac:dyDescent="0.15">
      <c r="A203" s="41">
        <v>15</v>
      </c>
      <c r="B203" s="41" t="s">
        <v>20256</v>
      </c>
      <c r="C203" s="74" t="s">
        <v>20257</v>
      </c>
      <c r="D203" s="72"/>
      <c r="F203" s="57"/>
      <c r="G203" s="72"/>
      <c r="I203" s="57"/>
      <c r="J203" s="53"/>
      <c r="K203" s="49"/>
      <c r="L203" s="50"/>
      <c r="M203" s="163"/>
      <c r="N203" s="45"/>
      <c r="O203" s="46"/>
      <c r="P203" s="512"/>
      <c r="Q203" s="57"/>
      <c r="R203" s="512"/>
      <c r="S203" s="57"/>
      <c r="T203" s="114" t="s">
        <v>17562</v>
      </c>
      <c r="U203" s="49"/>
      <c r="V203" s="50"/>
      <c r="W203" s="115"/>
      <c r="X203" s="35"/>
      <c r="AA203" s="57"/>
      <c r="AB203" s="208">
        <f>ROUND((ROUND((_15_同援日１．０*(1+_15・A夜間)),0)*(1+_15・盲ろう)),0)+ROUND((ROUND((_15_同援日１．０＿２．０*(1+_15・B深夜)),0)*(1+_15・盲ろう)),0)</f>
        <v>1084</v>
      </c>
      <c r="AC203" s="48"/>
    </row>
    <row r="204" spans="1:29" ht="16.5" customHeight="1" x14ac:dyDescent="0.15">
      <c r="A204" s="41">
        <v>15</v>
      </c>
      <c r="B204" s="41" t="s">
        <v>20258</v>
      </c>
      <c r="C204" s="74" t="s">
        <v>20259</v>
      </c>
      <c r="D204" s="72"/>
      <c r="F204" s="57"/>
      <c r="G204" s="72"/>
      <c r="I204" s="57"/>
      <c r="J204" s="43"/>
      <c r="K204" s="37"/>
      <c r="L204" s="38"/>
      <c r="M204" s="299" t="s">
        <v>17556</v>
      </c>
      <c r="N204" s="45" t="s">
        <v>398</v>
      </c>
      <c r="O204" s="46">
        <v>1</v>
      </c>
      <c r="P204" s="512"/>
      <c r="Q204" s="57"/>
      <c r="R204" s="512"/>
      <c r="S204" s="57"/>
      <c r="T204" s="92" t="s">
        <v>17564</v>
      </c>
      <c r="W204" s="57"/>
      <c r="X204" s="35"/>
      <c r="AA204" s="57"/>
      <c r="AB204" s="208">
        <f>ROUND((ROUND((ROUND((_15_同援日１．０*_15・２人),0)*(1+_15・A夜間)),0)*(1+_15・盲ろう)),0)+ROUND((ROUND((ROUND((_15_同援日１．０＿２．０*_15・２人),0)*(1+_15・B深夜)),0)*(1+_15・盲ろう)),0)</f>
        <v>1084</v>
      </c>
      <c r="AC204" s="48"/>
    </row>
    <row r="205" spans="1:29" ht="16.5" customHeight="1" x14ac:dyDescent="0.15">
      <c r="A205" s="41">
        <v>15</v>
      </c>
      <c r="B205" s="41" t="s">
        <v>494</v>
      </c>
      <c r="C205" s="74" t="s">
        <v>20260</v>
      </c>
      <c r="D205" s="72"/>
      <c r="F205" s="57"/>
      <c r="G205" s="72"/>
      <c r="I205" s="57"/>
      <c r="J205" s="114" t="s">
        <v>17558</v>
      </c>
      <c r="K205" s="49"/>
      <c r="L205" s="50"/>
      <c r="M205" s="163"/>
      <c r="N205" s="45"/>
      <c r="O205" s="46"/>
      <c r="P205" s="512"/>
      <c r="Q205" s="57"/>
      <c r="R205" s="512"/>
      <c r="S205" s="57"/>
      <c r="T205" s="35"/>
      <c r="U205" s="12" t="s">
        <v>398</v>
      </c>
      <c r="V205" s="13">
        <v>0.25</v>
      </c>
      <c r="W205" s="57" t="s">
        <v>3575</v>
      </c>
      <c r="X205" s="35"/>
      <c r="AA205" s="57"/>
      <c r="AB205" s="208">
        <f>ROUND((ROUND((ROUND((_15_同援日１．０*_15・基礎２),0)*(1+_15・A夜間)),0)*(1+_15・盲ろう)),0)+ROUND((ROUND((ROUND((_15_同援日１．０＿２．０*_15・基礎２),0)*(1+_15・B深夜)),0)*(1+_15・盲ろう)),0)</f>
        <v>977</v>
      </c>
      <c r="AC205" s="48"/>
    </row>
    <row r="206" spans="1:29" ht="16.5" customHeight="1" x14ac:dyDescent="0.15">
      <c r="A206" s="41">
        <v>15</v>
      </c>
      <c r="B206" s="41" t="s">
        <v>496</v>
      </c>
      <c r="C206" s="74" t="s">
        <v>20261</v>
      </c>
      <c r="D206" s="72"/>
      <c r="F206" s="57"/>
      <c r="G206" s="72"/>
      <c r="I206" s="57"/>
      <c r="J206" s="269" t="s">
        <v>17560</v>
      </c>
      <c r="K206" s="37" t="s">
        <v>398</v>
      </c>
      <c r="L206" s="38">
        <v>0.9</v>
      </c>
      <c r="M206" s="299" t="s">
        <v>17556</v>
      </c>
      <c r="N206" s="45" t="s">
        <v>398</v>
      </c>
      <c r="O206" s="46">
        <v>1</v>
      </c>
      <c r="P206" s="512"/>
      <c r="Q206" s="57"/>
      <c r="R206" s="512"/>
      <c r="S206" s="57"/>
      <c r="T206" s="43"/>
      <c r="U206" s="37"/>
      <c r="V206" s="38"/>
      <c r="W206" s="79"/>
      <c r="X206" s="43"/>
      <c r="Y206" s="37"/>
      <c r="Z206" s="38"/>
      <c r="AA206" s="79"/>
      <c r="AB206" s="208">
        <f>ROUND((ROUND((ROUND((ROUND((_15_同援日１．０*_15・基礎２),0)*_15・２人),0)*(1+_15・A夜間)),0)*(1+_15・盲ろう)),0)+ROUND((ROUND((ROUND((ROUND((_15_同援日１．０＿２．０*_15・基礎２),0)*_15・２人),0)*(1+_15・B深夜)),0)*(1+_15・盲ろう)),0)</f>
        <v>977</v>
      </c>
      <c r="AC206" s="48"/>
    </row>
    <row r="207" spans="1:29" ht="16.5" customHeight="1" x14ac:dyDescent="0.15">
      <c r="A207" s="41">
        <v>15</v>
      </c>
      <c r="B207" s="41" t="s">
        <v>498</v>
      </c>
      <c r="C207" s="74" t="s">
        <v>20262</v>
      </c>
      <c r="D207" s="72"/>
      <c r="F207" s="57"/>
      <c r="G207" s="72"/>
      <c r="I207" s="57"/>
      <c r="J207" s="53"/>
      <c r="K207" s="49"/>
      <c r="L207" s="50"/>
      <c r="M207" s="163"/>
      <c r="N207" s="45"/>
      <c r="O207" s="46"/>
      <c r="P207" s="512"/>
      <c r="Q207" s="57"/>
      <c r="R207" s="512"/>
      <c r="S207" s="57"/>
      <c r="T207" s="53"/>
      <c r="U207" s="49"/>
      <c r="V207" s="50"/>
      <c r="W207" s="115"/>
      <c r="X207" s="53"/>
      <c r="Y207" s="49"/>
      <c r="Z207" s="50"/>
      <c r="AA207" s="115"/>
      <c r="AB207" s="208">
        <f>ROUND((ROUND((_15_同援日１．０*(1+_15・A夜間)),0)*(1+_15・区３)),0)+ROUND((ROUND((_15_同援日１．０＿２．０*(1+_15・B深夜)),0)*(1+_15・区３)),0)</f>
        <v>1040</v>
      </c>
      <c r="AC207" s="48"/>
    </row>
    <row r="208" spans="1:29" ht="16.5" customHeight="1" x14ac:dyDescent="0.15">
      <c r="A208" s="41">
        <v>15</v>
      </c>
      <c r="B208" s="41" t="s">
        <v>500</v>
      </c>
      <c r="C208" s="74" t="s">
        <v>20263</v>
      </c>
      <c r="D208" s="72"/>
      <c r="F208" s="57"/>
      <c r="G208" s="72"/>
      <c r="I208" s="57"/>
      <c r="J208" s="43"/>
      <c r="K208" s="37"/>
      <c r="L208" s="38"/>
      <c r="M208" s="299" t="s">
        <v>17556</v>
      </c>
      <c r="N208" s="45" t="s">
        <v>398</v>
      </c>
      <c r="O208" s="46">
        <v>1</v>
      </c>
      <c r="P208" s="512"/>
      <c r="Q208" s="57"/>
      <c r="R208" s="512"/>
      <c r="S208" s="57"/>
      <c r="T208" s="35"/>
      <c r="W208" s="57"/>
      <c r="X208" s="35"/>
      <c r="AA208" s="57"/>
      <c r="AB208" s="208">
        <f>ROUND((ROUND((ROUND((_15_同援日１．０*_15・２人),0)*(1+_15・A夜間)),0)*(1+_15・区３)),0)+ROUND((ROUND((ROUND((_15_同援日１．０＿２．０*_15・２人),0)*(1+_15・B深夜)),0)*(1+_15・区３)),0)</f>
        <v>1040</v>
      </c>
      <c r="AC208" s="48"/>
    </row>
    <row r="209" spans="1:29" ht="16.5" customHeight="1" x14ac:dyDescent="0.15">
      <c r="A209" s="41">
        <v>15</v>
      </c>
      <c r="B209" s="41" t="s">
        <v>20264</v>
      </c>
      <c r="C209" s="74" t="s">
        <v>20265</v>
      </c>
      <c r="D209" s="72"/>
      <c r="F209" s="57"/>
      <c r="G209" s="72"/>
      <c r="I209" s="57"/>
      <c r="J209" s="114" t="s">
        <v>17558</v>
      </c>
      <c r="K209" s="49"/>
      <c r="L209" s="50"/>
      <c r="M209" s="163"/>
      <c r="N209" s="45"/>
      <c r="O209" s="46"/>
      <c r="P209" s="512"/>
      <c r="Q209" s="57"/>
      <c r="R209" s="512"/>
      <c r="S209" s="57"/>
      <c r="T209" s="35"/>
      <c r="W209" s="57"/>
      <c r="X209" s="72" t="s">
        <v>17570</v>
      </c>
      <c r="AA209" s="57"/>
      <c r="AB209" s="208">
        <f>ROUND((ROUND((ROUND((_15_同援日１．０*_15・基礎２),0)*(1+_15・A夜間)),0)*(1+_15・区３)),0)+ROUND((ROUND((ROUND((_15_同援日１．０＿２．０*_15・基礎２),0)*(1+_15・B深夜)),0)*(1+_15・区３)),0)</f>
        <v>938</v>
      </c>
      <c r="AC209" s="48"/>
    </row>
    <row r="210" spans="1:29" ht="16.5" customHeight="1" x14ac:dyDescent="0.15">
      <c r="A210" s="41">
        <v>15</v>
      </c>
      <c r="B210" s="41" t="s">
        <v>20266</v>
      </c>
      <c r="C210" s="74" t="s">
        <v>20267</v>
      </c>
      <c r="D210" s="72"/>
      <c r="F210" s="57"/>
      <c r="G210" s="72"/>
      <c r="I210" s="57"/>
      <c r="J210" s="269" t="s">
        <v>17560</v>
      </c>
      <c r="K210" s="37" t="s">
        <v>398</v>
      </c>
      <c r="L210" s="38">
        <v>0.9</v>
      </c>
      <c r="M210" s="299" t="s">
        <v>17556</v>
      </c>
      <c r="N210" s="45" t="s">
        <v>398</v>
      </c>
      <c r="O210" s="46">
        <v>1</v>
      </c>
      <c r="P210" s="512"/>
      <c r="Q210" s="57"/>
      <c r="R210" s="512"/>
      <c r="S210" s="57"/>
      <c r="T210" s="43"/>
      <c r="U210" s="37"/>
      <c r="V210" s="38"/>
      <c r="W210" s="79"/>
      <c r="X210" s="72" t="s">
        <v>17572</v>
      </c>
      <c r="AA210" s="57"/>
      <c r="AB210" s="208">
        <f>ROUND((ROUND((ROUND((ROUND((_15_同援日１．０*_15・基礎２),0)*_15・２人),0)*(1+_15・A夜間)),0)*(1+_15・区３)),0)+ROUND((ROUND((ROUND((ROUND((_15_同援日１．０＿２．０*_15・基礎２),0)*_15・２人),0)*(1+_15・B深夜)),0)*(1+_15・区３)),0)</f>
        <v>938</v>
      </c>
      <c r="AC210" s="48"/>
    </row>
    <row r="211" spans="1:29" ht="16.5" customHeight="1" x14ac:dyDescent="0.15">
      <c r="A211" s="41">
        <v>15</v>
      </c>
      <c r="B211" s="41" t="s">
        <v>20268</v>
      </c>
      <c r="C211" s="74" t="s">
        <v>20269</v>
      </c>
      <c r="D211" s="72"/>
      <c r="F211" s="57"/>
      <c r="G211" s="72"/>
      <c r="I211" s="57"/>
      <c r="J211" s="53"/>
      <c r="K211" s="49"/>
      <c r="L211" s="50"/>
      <c r="M211" s="163"/>
      <c r="N211" s="45"/>
      <c r="O211" s="46"/>
      <c r="P211" s="512"/>
      <c r="Q211" s="57"/>
      <c r="R211" s="512"/>
      <c r="S211" s="57"/>
      <c r="T211" s="114" t="s">
        <v>17562</v>
      </c>
      <c r="U211" s="49"/>
      <c r="V211" s="50"/>
      <c r="W211" s="115"/>
      <c r="X211" s="35"/>
      <c r="Y211" s="12" t="s">
        <v>398</v>
      </c>
      <c r="Z211" s="13">
        <v>0.2</v>
      </c>
      <c r="AA211" s="57" t="s">
        <v>3575</v>
      </c>
      <c r="AB211" s="208">
        <f>ROUND((ROUND((ROUND((_15_同援日１．０*(1+_15・A夜間)),0)*(1+_15・盲ろう)),0)*(1+_15・区３)),0)+ROUND((ROUND((ROUND((_15_同援日１．０＿２．０*(1+_15・B深夜)),0)*(1+_15・盲ろう)),0)*(1+_15・区３)),0)</f>
        <v>1301</v>
      </c>
      <c r="AC211" s="48"/>
    </row>
    <row r="212" spans="1:29" ht="16.5" customHeight="1" x14ac:dyDescent="0.15">
      <c r="A212" s="41">
        <v>15</v>
      </c>
      <c r="B212" s="41" t="s">
        <v>20270</v>
      </c>
      <c r="C212" s="74" t="s">
        <v>20271</v>
      </c>
      <c r="D212" s="72"/>
      <c r="F212" s="57"/>
      <c r="G212" s="72"/>
      <c r="I212" s="57"/>
      <c r="J212" s="43"/>
      <c r="K212" s="37"/>
      <c r="L212" s="38"/>
      <c r="M212" s="299" t="s">
        <v>17556</v>
      </c>
      <c r="N212" s="45" t="s">
        <v>398</v>
      </c>
      <c r="O212" s="46">
        <v>1</v>
      </c>
      <c r="P212" s="512"/>
      <c r="Q212" s="57"/>
      <c r="R212" s="512"/>
      <c r="S212" s="57"/>
      <c r="T212" s="92" t="s">
        <v>17564</v>
      </c>
      <c r="W212" s="57"/>
      <c r="X212" s="35"/>
      <c r="AA212" s="57"/>
      <c r="AB212" s="208">
        <f>ROUND((ROUND((ROUND((ROUND((_15_同援日１．０*_15・２人),0)*(1+_15・A夜間)),0)*(1+_15・盲ろう)),0)*(1+_15・区３)),0)+ROUND((ROUND((ROUND((ROUND((_15_同援日１．０＿２．０*_15・２人),0)*(1+_15・B深夜)),0)*(1+_15・盲ろう)),0)*(1+_15・区３)),0)</f>
        <v>1301</v>
      </c>
      <c r="AC212" s="48"/>
    </row>
    <row r="213" spans="1:29" ht="16.5" customHeight="1" x14ac:dyDescent="0.15">
      <c r="A213" s="41">
        <v>15</v>
      </c>
      <c r="B213" s="41" t="s">
        <v>20272</v>
      </c>
      <c r="C213" s="74" t="s">
        <v>20273</v>
      </c>
      <c r="D213" s="72"/>
      <c r="F213" s="57"/>
      <c r="G213" s="72"/>
      <c r="I213" s="57"/>
      <c r="J213" s="114" t="s">
        <v>17558</v>
      </c>
      <c r="K213" s="49"/>
      <c r="L213" s="50"/>
      <c r="M213" s="163"/>
      <c r="N213" s="45"/>
      <c r="O213" s="46"/>
      <c r="P213" s="512"/>
      <c r="Q213" s="57"/>
      <c r="R213" s="512"/>
      <c r="S213" s="57"/>
      <c r="T213" s="35"/>
      <c r="U213" s="12" t="s">
        <v>398</v>
      </c>
      <c r="V213" s="13">
        <v>0.25</v>
      </c>
      <c r="W213" s="57" t="s">
        <v>3575</v>
      </c>
      <c r="X213" s="35"/>
      <c r="AA213" s="57"/>
      <c r="AB213" s="208">
        <f>ROUND((ROUND((ROUND((ROUND((_15_同援日１．０*_15・基礎２),0)*(1+_15・A夜間)),0)*(1+_15・盲ろう)),0)*(1+_15・区３)),0)+ROUND((ROUND((ROUND((ROUND((_15_同援日１．０＿２．０*_15・基礎２),0)*(1+_15・B深夜)),0)*(1+_15・盲ろう)),0)*(1+_15・区３)),0)</f>
        <v>1173</v>
      </c>
      <c r="AC213" s="48"/>
    </row>
    <row r="214" spans="1:29" ht="16.5" customHeight="1" x14ac:dyDescent="0.15">
      <c r="A214" s="41">
        <v>15</v>
      </c>
      <c r="B214" s="41" t="s">
        <v>20274</v>
      </c>
      <c r="C214" s="74" t="s">
        <v>20275</v>
      </c>
      <c r="D214" s="72"/>
      <c r="F214" s="57"/>
      <c r="G214" s="72"/>
      <c r="I214" s="57"/>
      <c r="J214" s="269" t="s">
        <v>17560</v>
      </c>
      <c r="K214" s="37" t="s">
        <v>398</v>
      </c>
      <c r="L214" s="38">
        <v>0.9</v>
      </c>
      <c r="M214" s="299" t="s">
        <v>17556</v>
      </c>
      <c r="N214" s="45" t="s">
        <v>398</v>
      </c>
      <c r="O214" s="46">
        <v>1</v>
      </c>
      <c r="P214" s="512"/>
      <c r="Q214" s="57"/>
      <c r="R214" s="512"/>
      <c r="S214" s="57"/>
      <c r="T214" s="43"/>
      <c r="U214" s="37"/>
      <c r="V214" s="38"/>
      <c r="W214" s="79"/>
      <c r="X214" s="43"/>
      <c r="Y214" s="37"/>
      <c r="Z214" s="38"/>
      <c r="AA214" s="79"/>
      <c r="AB214" s="208">
        <f>ROUND((ROUND((ROUND((ROUND((ROUND((_15_同援日１．０*_15・基礎２),0)*_15・２人),0)*(1+_15・A夜間)),0)*(1+_15・盲ろう)),0)*(1+_15・区３)),0)+ROUND((ROUND((ROUND((ROUND((ROUND((_15_同援日１．０＿２．０*_15・基礎２),0)*_15・２人),0)*(1+_15・B深夜)),0)*(1+_15・盲ろう)),0)*(1+_15・区３)),0)</f>
        <v>1173</v>
      </c>
      <c r="AC214" s="48"/>
    </row>
    <row r="215" spans="1:29" ht="16.5" customHeight="1" x14ac:dyDescent="0.15">
      <c r="A215" s="41">
        <v>15</v>
      </c>
      <c r="B215" s="41" t="s">
        <v>20276</v>
      </c>
      <c r="C215" s="74" t="s">
        <v>20277</v>
      </c>
      <c r="D215" s="72"/>
      <c r="F215" s="57"/>
      <c r="G215" s="72"/>
      <c r="I215" s="57"/>
      <c r="J215" s="53"/>
      <c r="K215" s="49"/>
      <c r="L215" s="50"/>
      <c r="M215" s="163"/>
      <c r="N215" s="45"/>
      <c r="O215" s="46"/>
      <c r="P215" s="512"/>
      <c r="Q215" s="57"/>
      <c r="R215" s="512"/>
      <c r="S215" s="57"/>
      <c r="T215" s="53"/>
      <c r="U215" s="49"/>
      <c r="V215" s="50"/>
      <c r="W215" s="115"/>
      <c r="X215" s="53"/>
      <c r="Y215" s="49"/>
      <c r="Z215" s="50"/>
      <c r="AA215" s="115"/>
      <c r="AB215" s="208">
        <f>ROUND((ROUND((_15_同援日１．０*(1+_15・A夜間)),0)*(1+_15・区４)),0)+ROUND((ROUND((_15_同援日１．０＿２．０*(1+_15・B深夜)),0)*(1+_15・区４)),0)</f>
        <v>1214</v>
      </c>
      <c r="AC215" s="48"/>
    </row>
    <row r="216" spans="1:29" ht="16.5" customHeight="1" x14ac:dyDescent="0.15">
      <c r="A216" s="41">
        <v>15</v>
      </c>
      <c r="B216" s="41" t="s">
        <v>20278</v>
      </c>
      <c r="C216" s="74" t="s">
        <v>20279</v>
      </c>
      <c r="D216" s="72"/>
      <c r="F216" s="57"/>
      <c r="G216" s="72"/>
      <c r="I216" s="57"/>
      <c r="J216" s="43"/>
      <c r="K216" s="37"/>
      <c r="L216" s="38"/>
      <c r="M216" s="299" t="s">
        <v>17556</v>
      </c>
      <c r="N216" s="45" t="s">
        <v>398</v>
      </c>
      <c r="O216" s="46">
        <v>1</v>
      </c>
      <c r="P216" s="512"/>
      <c r="Q216" s="57"/>
      <c r="R216" s="512"/>
      <c r="S216" s="57"/>
      <c r="T216" s="35"/>
      <c r="W216" s="57"/>
      <c r="X216" s="35"/>
      <c r="AA216" s="57"/>
      <c r="AB216" s="208">
        <f>ROUND((ROUND((ROUND((_15_同援日１．０*_15・２人),0)*(1+_15・A夜間)),0)*(1+_15・区４)),0)+ROUND((ROUND((ROUND((_15_同援日１．０＿２．０*_15・２人),0)*(1+_15・B深夜)),0)*(1+_15・区４)),0)</f>
        <v>1214</v>
      </c>
      <c r="AC216" s="48"/>
    </row>
    <row r="217" spans="1:29" ht="16.5" customHeight="1" x14ac:dyDescent="0.15">
      <c r="A217" s="41">
        <v>15</v>
      </c>
      <c r="B217" s="41" t="s">
        <v>20280</v>
      </c>
      <c r="C217" s="74" t="s">
        <v>20281</v>
      </c>
      <c r="D217" s="72"/>
      <c r="F217" s="57"/>
      <c r="G217" s="72"/>
      <c r="I217" s="57"/>
      <c r="J217" s="114" t="s">
        <v>17558</v>
      </c>
      <c r="K217" s="49"/>
      <c r="L217" s="50"/>
      <c r="M217" s="163"/>
      <c r="N217" s="45"/>
      <c r="O217" s="46"/>
      <c r="P217" s="512"/>
      <c r="Q217" s="57"/>
      <c r="R217" s="512"/>
      <c r="S217" s="57"/>
      <c r="T217" s="35"/>
      <c r="W217" s="57"/>
      <c r="X217" s="72" t="s">
        <v>17580</v>
      </c>
      <c r="AA217" s="57"/>
      <c r="AB217" s="208">
        <f>ROUND((ROUND((ROUND((_15_同援日１．０*_15・基礎２),0)*(1+_15・A夜間)),0)*(1+_15・区４)),0)+ROUND((ROUND((ROUND((_15_同援日１．０＿２．０*_15・基礎２),0)*(1+_15・B深夜)),0)*(1+_15・区４)),0)</f>
        <v>1093</v>
      </c>
      <c r="AC217" s="48"/>
    </row>
    <row r="218" spans="1:29" ht="16.5" customHeight="1" x14ac:dyDescent="0.15">
      <c r="A218" s="41">
        <v>15</v>
      </c>
      <c r="B218" s="41" t="s">
        <v>20282</v>
      </c>
      <c r="C218" s="74" t="s">
        <v>20283</v>
      </c>
      <c r="D218" s="72"/>
      <c r="F218" s="57"/>
      <c r="G218" s="72"/>
      <c r="I218" s="57"/>
      <c r="J218" s="269" t="s">
        <v>17560</v>
      </c>
      <c r="K218" s="37" t="s">
        <v>398</v>
      </c>
      <c r="L218" s="38">
        <v>0.9</v>
      </c>
      <c r="M218" s="299" t="s">
        <v>17556</v>
      </c>
      <c r="N218" s="45" t="s">
        <v>398</v>
      </c>
      <c r="O218" s="46">
        <v>1</v>
      </c>
      <c r="P218" s="512"/>
      <c r="Q218" s="57"/>
      <c r="R218" s="512"/>
      <c r="S218" s="57"/>
      <c r="T218" s="43"/>
      <c r="U218" s="37"/>
      <c r="V218" s="38"/>
      <c r="W218" s="79"/>
      <c r="X218" s="72" t="s">
        <v>17572</v>
      </c>
      <c r="AA218" s="57"/>
      <c r="AB218" s="208">
        <f>ROUND((ROUND((ROUND((ROUND((_15_同援日１．０*_15・基礎２),0)*_15・２人),0)*(1+_15・A夜間)),0)*(1+_15・区４)),0)+ROUND((ROUND((ROUND((ROUND((_15_同援日１．０＿２．０*_15・基礎２),0)*_15・２人),0)*(1+_15・B深夜)),0)*(1+_15・区４)),0)</f>
        <v>1093</v>
      </c>
      <c r="AC218" s="48"/>
    </row>
    <row r="219" spans="1:29" ht="16.5" customHeight="1" x14ac:dyDescent="0.15">
      <c r="A219" s="41">
        <v>15</v>
      </c>
      <c r="B219" s="41" t="s">
        <v>20284</v>
      </c>
      <c r="C219" s="74" t="s">
        <v>20285</v>
      </c>
      <c r="D219" s="72"/>
      <c r="F219" s="57"/>
      <c r="G219" s="72"/>
      <c r="I219" s="57"/>
      <c r="J219" s="53"/>
      <c r="K219" s="49"/>
      <c r="L219" s="50"/>
      <c r="M219" s="163"/>
      <c r="N219" s="45"/>
      <c r="O219" s="46"/>
      <c r="P219" s="512"/>
      <c r="Q219" s="57"/>
      <c r="R219" s="512"/>
      <c r="S219" s="57"/>
      <c r="T219" s="114" t="s">
        <v>17562</v>
      </c>
      <c r="U219" s="49"/>
      <c r="V219" s="50"/>
      <c r="W219" s="115"/>
      <c r="X219" s="35"/>
      <c r="Y219" s="12" t="s">
        <v>398</v>
      </c>
      <c r="Z219" s="13">
        <v>0.4</v>
      </c>
      <c r="AA219" s="57" t="s">
        <v>3575</v>
      </c>
      <c r="AB219" s="208">
        <f>ROUND((ROUND((ROUND((_15_同援日１．０*(1+_15・A夜間)),0)*(1+_15・盲ろう)),0)*(1+_15・区４)),0)+ROUND((ROUND((ROUND((_15_同援日１．０＿２．０*(1+_15・B深夜)),0)*(1+_15・盲ろう)),0)*(1+_15・区４)),0)</f>
        <v>1518</v>
      </c>
      <c r="AC219" s="48"/>
    </row>
    <row r="220" spans="1:29" ht="16.5" customHeight="1" x14ac:dyDescent="0.15">
      <c r="A220" s="41">
        <v>15</v>
      </c>
      <c r="B220" s="41" t="s">
        <v>20286</v>
      </c>
      <c r="C220" s="74" t="s">
        <v>20287</v>
      </c>
      <c r="D220" s="72"/>
      <c r="F220" s="57"/>
      <c r="G220" s="72"/>
      <c r="I220" s="57"/>
      <c r="J220" s="43"/>
      <c r="K220" s="37"/>
      <c r="L220" s="38"/>
      <c r="M220" s="299" t="s">
        <v>17556</v>
      </c>
      <c r="N220" s="45" t="s">
        <v>398</v>
      </c>
      <c r="O220" s="46">
        <v>1</v>
      </c>
      <c r="P220" s="512"/>
      <c r="Q220" s="57"/>
      <c r="R220" s="512"/>
      <c r="S220" s="57"/>
      <c r="T220" s="92" t="s">
        <v>17564</v>
      </c>
      <c r="W220" s="57"/>
      <c r="X220" s="35"/>
      <c r="AA220" s="57"/>
      <c r="AB220" s="208">
        <f>ROUND((ROUND((ROUND((ROUND((_15_同援日１．０*_15・２人),0)*(1+_15・A夜間)),0)*(1+_15・盲ろう)),0)*(1+_15・区４)),0)+ROUND((ROUND((ROUND((ROUND((_15_同援日１．０＿２．０*_15・２人),0)*(1+_15・B深夜)),0)*(1+_15・盲ろう)),0)*(1+_15・区４)),0)</f>
        <v>1518</v>
      </c>
      <c r="AC220" s="48"/>
    </row>
    <row r="221" spans="1:29" ht="16.5" customHeight="1" x14ac:dyDescent="0.15">
      <c r="A221" s="41">
        <v>15</v>
      </c>
      <c r="B221" s="41" t="s">
        <v>20288</v>
      </c>
      <c r="C221" s="74" t="s">
        <v>20289</v>
      </c>
      <c r="D221" s="72"/>
      <c r="F221" s="57"/>
      <c r="G221" s="72"/>
      <c r="I221" s="57"/>
      <c r="J221" s="114" t="s">
        <v>17558</v>
      </c>
      <c r="K221" s="49"/>
      <c r="L221" s="50"/>
      <c r="M221" s="163"/>
      <c r="N221" s="45"/>
      <c r="O221" s="46"/>
      <c r="P221" s="512"/>
      <c r="Q221" s="57"/>
      <c r="R221" s="512"/>
      <c r="S221" s="57"/>
      <c r="T221" s="35"/>
      <c r="U221" s="12" t="s">
        <v>398</v>
      </c>
      <c r="V221" s="13">
        <v>0.25</v>
      </c>
      <c r="W221" s="57" t="s">
        <v>3575</v>
      </c>
      <c r="X221" s="35"/>
      <c r="AA221" s="57"/>
      <c r="AB221" s="208">
        <f>ROUND((ROUND((ROUND((ROUND((_15_同援日１．０*_15・基礎２),0)*(1+_15・A夜間)),0)*(1+_15・盲ろう)),0)*(1+_15・区４)),0)+ROUND((ROUND((ROUND((ROUND((_15_同援日１．０＿２．０*_15・基礎２),0)*(1+_15・B深夜)),0)*(1+_15・盲ろう)),0)*(1+_15・区４)),0)</f>
        <v>1368</v>
      </c>
      <c r="AC221" s="48"/>
    </row>
    <row r="222" spans="1:29" ht="16.5" customHeight="1" x14ac:dyDescent="0.15">
      <c r="A222" s="41">
        <v>15</v>
      </c>
      <c r="B222" s="41" t="s">
        <v>20290</v>
      </c>
      <c r="C222" s="74" t="s">
        <v>20291</v>
      </c>
      <c r="D222" s="122"/>
      <c r="E222" s="37"/>
      <c r="F222" s="79"/>
      <c r="G222" s="122"/>
      <c r="H222" s="37"/>
      <c r="I222" s="79"/>
      <c r="J222" s="269" t="s">
        <v>17560</v>
      </c>
      <c r="K222" s="37" t="s">
        <v>398</v>
      </c>
      <c r="L222" s="38">
        <v>0.9</v>
      </c>
      <c r="M222" s="299" t="s">
        <v>17556</v>
      </c>
      <c r="N222" s="45" t="s">
        <v>398</v>
      </c>
      <c r="O222" s="46">
        <v>1</v>
      </c>
      <c r="P222" s="512"/>
      <c r="Q222" s="57"/>
      <c r="R222" s="512"/>
      <c r="S222" s="57"/>
      <c r="T222" s="43"/>
      <c r="U222" s="37"/>
      <c r="V222" s="38"/>
      <c r="W222" s="79"/>
      <c r="X222" s="43"/>
      <c r="Y222" s="37"/>
      <c r="Z222" s="38"/>
      <c r="AA222" s="79"/>
      <c r="AB222" s="208">
        <f>ROUND((ROUND((ROUND((ROUND((ROUND((_15_同援日１．０*_15・基礎２),0)*_15・２人),0)*(1+_15・A夜間)),0)*(1+_15・盲ろう)),0)*(1+_15・区４)),0)+ROUND((ROUND((ROUND((ROUND((ROUND((_15_同援日１．０＿２．０*_15・基礎２),0)*_15・２人),0)*(1+_15・B深夜)),0)*(1+_15・盲ろう)),0)*(1+_15・区４)),0)</f>
        <v>1368</v>
      </c>
      <c r="AC222" s="48"/>
    </row>
    <row r="223" spans="1:29" ht="16.5" customHeight="1" x14ac:dyDescent="0.15">
      <c r="A223" s="41">
        <v>15</v>
      </c>
      <c r="B223" s="41" t="s">
        <v>20292</v>
      </c>
      <c r="C223" s="74" t="s">
        <v>20293</v>
      </c>
      <c r="D223" s="114" t="s">
        <v>18309</v>
      </c>
      <c r="E223" s="49"/>
      <c r="F223" s="115"/>
      <c r="G223" s="114" t="s">
        <v>19945</v>
      </c>
      <c r="H223" s="49"/>
      <c r="I223" s="115"/>
      <c r="J223" s="53"/>
      <c r="K223" s="49"/>
      <c r="L223" s="50"/>
      <c r="M223" s="163"/>
      <c r="N223" s="45"/>
      <c r="O223" s="46"/>
      <c r="P223" s="512"/>
      <c r="Q223" s="57"/>
      <c r="R223" s="512"/>
      <c r="S223" s="57"/>
      <c r="T223" s="53"/>
      <c r="U223" s="49"/>
      <c r="V223" s="50"/>
      <c r="W223" s="115"/>
      <c r="X223" s="53"/>
      <c r="Y223" s="49"/>
      <c r="Z223" s="50"/>
      <c r="AA223" s="115"/>
      <c r="AB223" s="208">
        <f>ROUND((_15_同援日１．５*(1+_15・A夜間)),0)+ROUND((_15_同援日１．５＿０．５*(1+_15・B深夜)),0)</f>
        <v>639</v>
      </c>
      <c r="AC223" s="48"/>
    </row>
    <row r="224" spans="1:29" ht="16.5" customHeight="1" x14ac:dyDescent="0.15">
      <c r="A224" s="41">
        <v>15</v>
      </c>
      <c r="B224" s="41" t="s">
        <v>20294</v>
      </c>
      <c r="C224" s="74" t="s">
        <v>20295</v>
      </c>
      <c r="D224" s="72" t="s">
        <v>17616</v>
      </c>
      <c r="F224" s="57"/>
      <c r="G224" s="72" t="s">
        <v>18259</v>
      </c>
      <c r="I224" s="57"/>
      <c r="J224" s="43"/>
      <c r="K224" s="37"/>
      <c r="L224" s="38"/>
      <c r="M224" s="299" t="s">
        <v>17556</v>
      </c>
      <c r="N224" s="45" t="s">
        <v>398</v>
      </c>
      <c r="O224" s="46">
        <v>1</v>
      </c>
      <c r="P224" s="512"/>
      <c r="Q224" s="57"/>
      <c r="R224" s="512"/>
      <c r="S224" s="57"/>
      <c r="T224" s="35"/>
      <c r="W224" s="57"/>
      <c r="X224" s="35"/>
      <c r="AA224" s="57"/>
      <c r="AB224" s="208">
        <f>ROUND((ROUND((_15_同援日１．５*_15・２人),0)*(1+_15・A夜間)),0)+ROUND((ROUND((_15_同援日１．５＿０．５*_15・２人),0)*(1+_15・B深夜)),0)</f>
        <v>639</v>
      </c>
      <c r="AC224" s="48"/>
    </row>
    <row r="225" spans="1:29" ht="16.5" customHeight="1" x14ac:dyDescent="0.15">
      <c r="A225" s="41">
        <v>15</v>
      </c>
      <c r="B225" s="41" t="s">
        <v>507</v>
      </c>
      <c r="C225" s="74" t="s">
        <v>20296</v>
      </c>
      <c r="D225" s="72" t="s">
        <v>18183</v>
      </c>
      <c r="F225" s="57"/>
      <c r="G225" s="72"/>
      <c r="I225" s="57"/>
      <c r="J225" s="114" t="s">
        <v>17558</v>
      </c>
      <c r="K225" s="49"/>
      <c r="L225" s="50"/>
      <c r="M225" s="163"/>
      <c r="N225" s="45"/>
      <c r="O225" s="46"/>
      <c r="P225" s="512"/>
      <c r="Q225" s="57"/>
      <c r="R225" s="512"/>
      <c r="S225" s="57"/>
      <c r="T225" s="35"/>
      <c r="W225" s="57"/>
      <c r="X225" s="35"/>
      <c r="AA225" s="57"/>
      <c r="AB225" s="208">
        <f>ROUND((ROUND((_15_同援日１．５*_15・基礎２),0)*(1+_15・A夜間)),0)+ROUND((ROUND((_15_同援日１．５＿０．５*_15・基礎２),0)*(1+_15・B深夜)),0)</f>
        <v>577</v>
      </c>
      <c r="AC225" s="48"/>
    </row>
    <row r="226" spans="1:29" ht="16.5" customHeight="1" x14ac:dyDescent="0.15">
      <c r="A226" s="41">
        <v>15</v>
      </c>
      <c r="B226" s="41" t="s">
        <v>509</v>
      </c>
      <c r="C226" s="74" t="s">
        <v>20297</v>
      </c>
      <c r="D226" s="72"/>
      <c r="E226" s="168">
        <f>_15_同援日１．５</f>
        <v>433</v>
      </c>
      <c r="F226" s="57" t="s">
        <v>392</v>
      </c>
      <c r="G226" s="72"/>
      <c r="H226" s="168">
        <f>_15_同援日１．５＿０．５</f>
        <v>65</v>
      </c>
      <c r="I226" s="57" t="s">
        <v>392</v>
      </c>
      <c r="J226" s="269" t="s">
        <v>17560</v>
      </c>
      <c r="K226" s="37" t="s">
        <v>398</v>
      </c>
      <c r="L226" s="38">
        <v>0.9</v>
      </c>
      <c r="M226" s="299" t="s">
        <v>17556</v>
      </c>
      <c r="N226" s="45" t="s">
        <v>398</v>
      </c>
      <c r="O226" s="46">
        <v>1</v>
      </c>
      <c r="P226" s="512"/>
      <c r="Q226" s="57"/>
      <c r="R226" s="512"/>
      <c r="S226" s="57"/>
      <c r="T226" s="43"/>
      <c r="U226" s="37"/>
      <c r="V226" s="38"/>
      <c r="W226" s="79"/>
      <c r="X226" s="35"/>
      <c r="AA226" s="57"/>
      <c r="AB226" s="208">
        <f>ROUND((ROUND((ROUND((_15_同援日１．５*_15・基礎２),0)*_15・２人),0)*(1+_15・A夜間)),0)+ROUND((ROUND((ROUND((_15_同援日１．５＿０．５*_15・基礎２),0)*_15・２人),0)*(1+_15・B深夜)),0)</f>
        <v>577</v>
      </c>
      <c r="AC226" s="48"/>
    </row>
    <row r="227" spans="1:29" ht="16.5" customHeight="1" x14ac:dyDescent="0.15">
      <c r="A227" s="41">
        <v>15</v>
      </c>
      <c r="B227" s="41" t="s">
        <v>511</v>
      </c>
      <c r="C227" s="74" t="s">
        <v>20298</v>
      </c>
      <c r="D227" s="72"/>
      <c r="F227" s="57"/>
      <c r="G227" s="72"/>
      <c r="I227" s="57"/>
      <c r="J227" s="53"/>
      <c r="K227" s="49"/>
      <c r="L227" s="50"/>
      <c r="M227" s="163"/>
      <c r="N227" s="45"/>
      <c r="O227" s="46"/>
      <c r="P227" s="512"/>
      <c r="Q227" s="57"/>
      <c r="R227" s="512"/>
      <c r="S227" s="57"/>
      <c r="T227" s="114" t="s">
        <v>17562</v>
      </c>
      <c r="U227" s="49"/>
      <c r="V227" s="50"/>
      <c r="W227" s="115"/>
      <c r="X227" s="35"/>
      <c r="AA227" s="57"/>
      <c r="AB227" s="208">
        <f>ROUND((ROUND((_15_同援日１．５*(1+_15・A夜間)),0)*(1+_15・盲ろう)),0)+ROUND((ROUND((_15_同援日１．５＿０．５*(1+_15・B深夜)),0)*(1+_15・盲ろう)),0)</f>
        <v>799</v>
      </c>
      <c r="AC227" s="48"/>
    </row>
    <row r="228" spans="1:29" ht="16.5" customHeight="1" x14ac:dyDescent="0.15">
      <c r="A228" s="41">
        <v>15</v>
      </c>
      <c r="B228" s="41" t="s">
        <v>513</v>
      </c>
      <c r="C228" s="74" t="s">
        <v>20299</v>
      </c>
      <c r="D228" s="72"/>
      <c r="F228" s="57"/>
      <c r="G228" s="72"/>
      <c r="I228" s="57"/>
      <c r="J228" s="43"/>
      <c r="K228" s="37"/>
      <c r="L228" s="38"/>
      <c r="M228" s="299" t="s">
        <v>17556</v>
      </c>
      <c r="N228" s="45" t="s">
        <v>398</v>
      </c>
      <c r="O228" s="46">
        <v>1</v>
      </c>
      <c r="P228" s="512"/>
      <c r="Q228" s="57"/>
      <c r="R228" s="512"/>
      <c r="S228" s="57"/>
      <c r="T228" s="92" t="s">
        <v>17564</v>
      </c>
      <c r="W228" s="57"/>
      <c r="X228" s="35"/>
      <c r="AA228" s="57"/>
      <c r="AB228" s="208">
        <f>ROUND((ROUND((ROUND((_15_同援日１．５*_15・２人),0)*(1+_15・A夜間)),0)*(1+_15・盲ろう)),0)+ROUND((ROUND((ROUND((_15_同援日１．５＿０．５*_15・２人),0)*(1+_15・B深夜)),0)*(1+_15・盲ろう)),0)</f>
        <v>799</v>
      </c>
      <c r="AC228" s="48"/>
    </row>
    <row r="229" spans="1:29" ht="16.5" customHeight="1" x14ac:dyDescent="0.15">
      <c r="A229" s="41">
        <v>15</v>
      </c>
      <c r="B229" s="41" t="s">
        <v>20300</v>
      </c>
      <c r="C229" s="74" t="s">
        <v>20301</v>
      </c>
      <c r="D229" s="72"/>
      <c r="F229" s="57"/>
      <c r="G229" s="72"/>
      <c r="I229" s="57"/>
      <c r="J229" s="114" t="s">
        <v>17558</v>
      </c>
      <c r="K229" s="49"/>
      <c r="L229" s="50"/>
      <c r="M229" s="163"/>
      <c r="N229" s="45"/>
      <c r="O229" s="46"/>
      <c r="P229" s="512"/>
      <c r="Q229" s="57"/>
      <c r="R229" s="512"/>
      <c r="S229" s="57"/>
      <c r="T229" s="35"/>
      <c r="U229" s="12" t="s">
        <v>398</v>
      </c>
      <c r="V229" s="13">
        <v>0.25</v>
      </c>
      <c r="W229" s="57" t="s">
        <v>3575</v>
      </c>
      <c r="X229" s="35"/>
      <c r="AA229" s="57"/>
      <c r="AB229" s="208">
        <f>ROUND((ROUND((ROUND((_15_同援日１．５*_15・基礎２),0)*(1+_15・A夜間)),0)*(1+_15・盲ろう)),0)+ROUND((ROUND((ROUND((_15_同援日１．５＿０．５*_15・基礎２),0)*(1+_15・B深夜)),0)*(1+_15・盲ろう)),0)</f>
        <v>721</v>
      </c>
      <c r="AC229" s="48"/>
    </row>
    <row r="230" spans="1:29" ht="16.5" customHeight="1" x14ac:dyDescent="0.15">
      <c r="A230" s="41">
        <v>15</v>
      </c>
      <c r="B230" s="41" t="s">
        <v>20302</v>
      </c>
      <c r="C230" s="74" t="s">
        <v>20303</v>
      </c>
      <c r="D230" s="72"/>
      <c r="F230" s="57"/>
      <c r="G230" s="72"/>
      <c r="I230" s="57"/>
      <c r="J230" s="269" t="s">
        <v>17560</v>
      </c>
      <c r="K230" s="37" t="s">
        <v>398</v>
      </c>
      <c r="L230" s="38">
        <v>0.9</v>
      </c>
      <c r="M230" s="299" t="s">
        <v>17556</v>
      </c>
      <c r="N230" s="45" t="s">
        <v>398</v>
      </c>
      <c r="O230" s="46">
        <v>1</v>
      </c>
      <c r="P230" s="512"/>
      <c r="Q230" s="57"/>
      <c r="R230" s="512"/>
      <c r="S230" s="57"/>
      <c r="T230" s="43"/>
      <c r="U230" s="37"/>
      <c r="V230" s="38"/>
      <c r="W230" s="79"/>
      <c r="X230" s="43"/>
      <c r="Y230" s="37"/>
      <c r="Z230" s="38"/>
      <c r="AA230" s="79"/>
      <c r="AB230" s="208">
        <f>ROUND((ROUND((ROUND((ROUND((_15_同援日１．５*_15・基礎２),0)*_15・２人),0)*(1+_15・A夜間)),0)*(1+_15・盲ろう)),0)+ROUND((ROUND((ROUND((ROUND((_15_同援日１．５＿０．５*_15・基礎２),0)*_15・２人),0)*(1+_15・B深夜)),0)*(1+_15・盲ろう)),0)</f>
        <v>721</v>
      </c>
      <c r="AC230" s="48"/>
    </row>
    <row r="231" spans="1:29" ht="16.5" customHeight="1" x14ac:dyDescent="0.15">
      <c r="A231" s="41">
        <v>15</v>
      </c>
      <c r="B231" s="41" t="s">
        <v>20304</v>
      </c>
      <c r="C231" s="74" t="s">
        <v>20305</v>
      </c>
      <c r="D231" s="72"/>
      <c r="F231" s="57"/>
      <c r="G231" s="72"/>
      <c r="I231" s="57"/>
      <c r="J231" s="53"/>
      <c r="K231" s="49"/>
      <c r="L231" s="50"/>
      <c r="M231" s="163"/>
      <c r="N231" s="45"/>
      <c r="O231" s="46"/>
      <c r="P231" s="512"/>
      <c r="Q231" s="57"/>
      <c r="R231" s="512"/>
      <c r="S231" s="57"/>
      <c r="T231" s="53"/>
      <c r="U231" s="49"/>
      <c r="V231" s="50"/>
      <c r="W231" s="115"/>
      <c r="X231" s="53"/>
      <c r="Y231" s="49"/>
      <c r="Z231" s="50"/>
      <c r="AA231" s="115"/>
      <c r="AB231" s="208">
        <f>ROUND((ROUND((_15_同援日１．５*(1+_15・A夜間)),0)*(1+_15・区３)),0)+ROUND((ROUND((_15_同援日１．５＿０．５*(1+_15・B深夜)),0)*(1+_15・区３)),0)</f>
        <v>767</v>
      </c>
      <c r="AC231" s="48"/>
    </row>
    <row r="232" spans="1:29" ht="16.5" customHeight="1" x14ac:dyDescent="0.15">
      <c r="A232" s="41">
        <v>15</v>
      </c>
      <c r="B232" s="41" t="s">
        <v>20306</v>
      </c>
      <c r="C232" s="74" t="s">
        <v>20307</v>
      </c>
      <c r="D232" s="72"/>
      <c r="F232" s="57"/>
      <c r="G232" s="72"/>
      <c r="I232" s="57"/>
      <c r="J232" s="43"/>
      <c r="K232" s="37"/>
      <c r="L232" s="38"/>
      <c r="M232" s="299" t="s">
        <v>17556</v>
      </c>
      <c r="N232" s="45" t="s">
        <v>398</v>
      </c>
      <c r="O232" s="46">
        <v>1</v>
      </c>
      <c r="P232" s="512"/>
      <c r="Q232" s="57"/>
      <c r="R232" s="512"/>
      <c r="S232" s="57"/>
      <c r="T232" s="35"/>
      <c r="W232" s="57"/>
      <c r="X232" s="35"/>
      <c r="AA232" s="57"/>
      <c r="AB232" s="208">
        <f>ROUND((ROUND((ROUND((_15_同援日１．５*_15・２人),0)*(1+_15・A夜間)),0)*(1+_15・区３)),0)+ROUND((ROUND((ROUND((_15_同援日１．５＿０．５*_15・２人),0)*(1+_15・B深夜)),0)*(1+_15・区３)),0)</f>
        <v>767</v>
      </c>
      <c r="AC232" s="48"/>
    </row>
    <row r="233" spans="1:29" ht="16.5" customHeight="1" x14ac:dyDescent="0.15">
      <c r="A233" s="41">
        <v>15</v>
      </c>
      <c r="B233" s="41" t="s">
        <v>20308</v>
      </c>
      <c r="C233" s="74" t="s">
        <v>20309</v>
      </c>
      <c r="D233" s="72"/>
      <c r="F233" s="57"/>
      <c r="G233" s="72"/>
      <c r="I233" s="57"/>
      <c r="J233" s="114" t="s">
        <v>17558</v>
      </c>
      <c r="K233" s="49"/>
      <c r="L233" s="50"/>
      <c r="M233" s="163"/>
      <c r="N233" s="45"/>
      <c r="O233" s="46"/>
      <c r="P233" s="512"/>
      <c r="Q233" s="57"/>
      <c r="R233" s="512"/>
      <c r="S233" s="57"/>
      <c r="T233" s="35"/>
      <c r="W233" s="57"/>
      <c r="X233" s="72" t="s">
        <v>17570</v>
      </c>
      <c r="AA233" s="57"/>
      <c r="AB233" s="208">
        <f>ROUND((ROUND((ROUND((_15_同援日１．５*_15・基礎２),0)*(1+_15・A夜間)),0)*(1+_15・区３)),0)+ROUND((ROUND((ROUND((_15_同援日１．５＿０．５*_15・基礎２),0)*(1+_15・B深夜)),0)*(1+_15・区３)),0)</f>
        <v>693</v>
      </c>
      <c r="AC233" s="48"/>
    </row>
    <row r="234" spans="1:29" ht="16.5" customHeight="1" x14ac:dyDescent="0.15">
      <c r="A234" s="41">
        <v>15</v>
      </c>
      <c r="B234" s="41" t="s">
        <v>20310</v>
      </c>
      <c r="C234" s="74" t="s">
        <v>20311</v>
      </c>
      <c r="D234" s="72"/>
      <c r="F234" s="57"/>
      <c r="G234" s="72"/>
      <c r="I234" s="57"/>
      <c r="J234" s="269" t="s">
        <v>17560</v>
      </c>
      <c r="K234" s="37" t="s">
        <v>398</v>
      </c>
      <c r="L234" s="38">
        <v>0.9</v>
      </c>
      <c r="M234" s="299" t="s">
        <v>17556</v>
      </c>
      <c r="N234" s="45" t="s">
        <v>398</v>
      </c>
      <c r="O234" s="46">
        <v>1</v>
      </c>
      <c r="P234" s="512"/>
      <c r="Q234" s="57"/>
      <c r="R234" s="512"/>
      <c r="S234" s="57"/>
      <c r="T234" s="43"/>
      <c r="U234" s="37"/>
      <c r="V234" s="38"/>
      <c r="W234" s="79"/>
      <c r="X234" s="72" t="s">
        <v>17572</v>
      </c>
      <c r="AA234" s="57"/>
      <c r="AB234" s="208">
        <f>ROUND((ROUND((ROUND((ROUND((_15_同援日１．５*_15・基礎２),0)*_15・２人),0)*(1+_15・A夜間)),0)*(1+_15・区３)),0)+ROUND((ROUND((ROUND((ROUND((_15_同援日１．５＿０．５*_15・基礎２),0)*_15・２人),0)*(1+_15・B深夜)),0)*(1+_15・区３)),0)</f>
        <v>693</v>
      </c>
      <c r="AC234" s="48"/>
    </row>
    <row r="235" spans="1:29" ht="16.5" customHeight="1" x14ac:dyDescent="0.15">
      <c r="A235" s="41">
        <v>15</v>
      </c>
      <c r="B235" s="41" t="s">
        <v>20312</v>
      </c>
      <c r="C235" s="74" t="s">
        <v>20313</v>
      </c>
      <c r="D235" s="72"/>
      <c r="F235" s="57"/>
      <c r="G235" s="72"/>
      <c r="I235" s="57"/>
      <c r="J235" s="53"/>
      <c r="K235" s="49"/>
      <c r="L235" s="50"/>
      <c r="M235" s="163"/>
      <c r="N235" s="45"/>
      <c r="O235" s="46"/>
      <c r="P235" s="512"/>
      <c r="Q235" s="57"/>
      <c r="R235" s="512"/>
      <c r="S235" s="57"/>
      <c r="T235" s="114" t="s">
        <v>17562</v>
      </c>
      <c r="U235" s="49"/>
      <c r="V235" s="50"/>
      <c r="W235" s="115"/>
      <c r="X235" s="35"/>
      <c r="Y235" s="12" t="s">
        <v>398</v>
      </c>
      <c r="Z235" s="13">
        <v>0.2</v>
      </c>
      <c r="AA235" s="57" t="s">
        <v>3575</v>
      </c>
      <c r="AB235" s="208">
        <f>ROUND((ROUND((ROUND((_15_同援日１．５*(1+_15・A夜間)),0)*(1+_15・盲ろう)),0)*(1+_15・区３)),0)+ROUND((ROUND((ROUND((_15_同援日１．５＿０．５*(1+_15・B深夜)),0)*(1+_15・盲ろう)),0)*(1+_15・区３)),0)</f>
        <v>959</v>
      </c>
      <c r="AC235" s="48"/>
    </row>
    <row r="236" spans="1:29" ht="16.5" customHeight="1" x14ac:dyDescent="0.15">
      <c r="A236" s="41">
        <v>15</v>
      </c>
      <c r="B236" s="41" t="s">
        <v>20314</v>
      </c>
      <c r="C236" s="74" t="s">
        <v>20315</v>
      </c>
      <c r="D236" s="72"/>
      <c r="F236" s="57"/>
      <c r="G236" s="72"/>
      <c r="I236" s="57"/>
      <c r="J236" s="43"/>
      <c r="K236" s="37"/>
      <c r="L236" s="38"/>
      <c r="M236" s="299" t="s">
        <v>17556</v>
      </c>
      <c r="N236" s="45" t="s">
        <v>398</v>
      </c>
      <c r="O236" s="46">
        <v>1</v>
      </c>
      <c r="P236" s="512"/>
      <c r="Q236" s="57"/>
      <c r="R236" s="512"/>
      <c r="S236" s="57"/>
      <c r="T236" s="92" t="s">
        <v>17564</v>
      </c>
      <c r="W236" s="57"/>
      <c r="X236" s="35"/>
      <c r="AA236" s="57"/>
      <c r="AB236" s="208">
        <f>ROUND((ROUND((ROUND((ROUND((_15_同援日１．５*_15・２人),0)*(1+_15・A夜間)),0)*(1+_15・盲ろう)),0)*(1+_15・区３)),0)+ROUND((ROUND((ROUND((ROUND((_15_同援日１．５＿０．５*_15・２人),0)*(1+_15・B深夜)),0)*(1+_15・盲ろう)),0)*(1+_15・区３)),0)</f>
        <v>959</v>
      </c>
      <c r="AC236" s="48"/>
    </row>
    <row r="237" spans="1:29" ht="16.5" customHeight="1" x14ac:dyDescent="0.15">
      <c r="A237" s="41">
        <v>15</v>
      </c>
      <c r="B237" s="41" t="s">
        <v>20316</v>
      </c>
      <c r="C237" s="74" t="s">
        <v>20317</v>
      </c>
      <c r="D237" s="72"/>
      <c r="F237" s="57"/>
      <c r="G237" s="72"/>
      <c r="I237" s="57"/>
      <c r="J237" s="114" t="s">
        <v>17558</v>
      </c>
      <c r="K237" s="49"/>
      <c r="L237" s="50"/>
      <c r="M237" s="163"/>
      <c r="N237" s="45"/>
      <c r="O237" s="46"/>
      <c r="P237" s="512"/>
      <c r="Q237" s="57"/>
      <c r="R237" s="512"/>
      <c r="S237" s="57"/>
      <c r="T237" s="35"/>
      <c r="U237" s="12" t="s">
        <v>398</v>
      </c>
      <c r="V237" s="13">
        <v>0.25</v>
      </c>
      <c r="W237" s="57" t="s">
        <v>3575</v>
      </c>
      <c r="X237" s="35"/>
      <c r="AA237" s="57"/>
      <c r="AB237" s="208">
        <f>ROUND((ROUND((ROUND((ROUND((_15_同援日１．５*_15・基礎２),0)*(1+_15・A夜間)),0)*(1+_15・盲ろう)),0)*(1+_15・区３)),0)+ROUND((ROUND((ROUND((ROUND((_15_同援日１．５＿０．５*_15・基礎２),0)*(1+_15・B深夜)),0)*(1+_15・盲ろう)),0)*(1+_15・区３)),0)</f>
        <v>865</v>
      </c>
      <c r="AC237" s="48"/>
    </row>
    <row r="238" spans="1:29" ht="16.5" customHeight="1" x14ac:dyDescent="0.15">
      <c r="A238" s="41">
        <v>15</v>
      </c>
      <c r="B238" s="41" t="s">
        <v>20318</v>
      </c>
      <c r="C238" s="74" t="s">
        <v>20319</v>
      </c>
      <c r="D238" s="72"/>
      <c r="F238" s="57"/>
      <c r="G238" s="72"/>
      <c r="I238" s="57"/>
      <c r="J238" s="269" t="s">
        <v>17560</v>
      </c>
      <c r="K238" s="37" t="s">
        <v>398</v>
      </c>
      <c r="L238" s="38">
        <v>0.9</v>
      </c>
      <c r="M238" s="299" t="s">
        <v>17556</v>
      </c>
      <c r="N238" s="45" t="s">
        <v>398</v>
      </c>
      <c r="O238" s="46">
        <v>1</v>
      </c>
      <c r="P238" s="512"/>
      <c r="Q238" s="57"/>
      <c r="R238" s="512"/>
      <c r="S238" s="57"/>
      <c r="T238" s="43"/>
      <c r="U238" s="37"/>
      <c r="V238" s="38"/>
      <c r="W238" s="79"/>
      <c r="X238" s="43"/>
      <c r="Y238" s="37"/>
      <c r="Z238" s="38"/>
      <c r="AA238" s="79"/>
      <c r="AB238" s="208">
        <f>ROUND((ROUND((ROUND((ROUND((ROUND((_15_同援日１．５*_15・基礎２),0)*_15・２人),0)*(1+_15・A夜間)),0)*(1+_15・盲ろう)),0)*(1+_15・区３)),0)+ROUND((ROUND((ROUND((ROUND((ROUND((_15_同援日１．５＿０．５*_15・基礎２),0)*_15・２人),0)*(1+_15・B深夜)),0)*(1+_15・盲ろう)),0)*(1+_15・区３)),0)</f>
        <v>865</v>
      </c>
      <c r="AC238" s="48"/>
    </row>
    <row r="239" spans="1:29" ht="16.5" customHeight="1" x14ac:dyDescent="0.15">
      <c r="A239" s="41">
        <v>15</v>
      </c>
      <c r="B239" s="41" t="s">
        <v>20320</v>
      </c>
      <c r="C239" s="74" t="s">
        <v>20321</v>
      </c>
      <c r="D239" s="72"/>
      <c r="F239" s="57"/>
      <c r="G239" s="72"/>
      <c r="I239" s="57"/>
      <c r="J239" s="53"/>
      <c r="K239" s="49"/>
      <c r="L239" s="50"/>
      <c r="M239" s="163"/>
      <c r="N239" s="45"/>
      <c r="O239" s="46"/>
      <c r="P239" s="512"/>
      <c r="Q239" s="57"/>
      <c r="R239" s="512"/>
      <c r="S239" s="57"/>
      <c r="T239" s="53"/>
      <c r="U239" s="49"/>
      <c r="V239" s="50"/>
      <c r="W239" s="115"/>
      <c r="X239" s="53"/>
      <c r="Y239" s="49"/>
      <c r="Z239" s="50"/>
      <c r="AA239" s="115"/>
      <c r="AB239" s="208">
        <f>ROUND((ROUND((_15_同援日１．５*(1+_15・A夜間)),0)*(1+_15・区４)),0)+ROUND((ROUND((_15_同援日１．５＿０．５*(1+_15・B深夜)),0)*(1+_15・区４)),0)</f>
        <v>894</v>
      </c>
      <c r="AC239" s="48"/>
    </row>
    <row r="240" spans="1:29" ht="16.5" customHeight="1" x14ac:dyDescent="0.15">
      <c r="A240" s="41">
        <v>15</v>
      </c>
      <c r="B240" s="41" t="s">
        <v>20322</v>
      </c>
      <c r="C240" s="74" t="s">
        <v>20323</v>
      </c>
      <c r="D240" s="72"/>
      <c r="F240" s="57"/>
      <c r="G240" s="72"/>
      <c r="I240" s="57"/>
      <c r="J240" s="43"/>
      <c r="K240" s="37"/>
      <c r="L240" s="38"/>
      <c r="M240" s="299" t="s">
        <v>17556</v>
      </c>
      <c r="N240" s="45" t="s">
        <v>398</v>
      </c>
      <c r="O240" s="46">
        <v>1</v>
      </c>
      <c r="P240" s="512"/>
      <c r="Q240" s="57"/>
      <c r="R240" s="512"/>
      <c r="S240" s="57"/>
      <c r="T240" s="35"/>
      <c r="W240" s="57"/>
      <c r="X240" s="35"/>
      <c r="AA240" s="57"/>
      <c r="AB240" s="208">
        <f>ROUND((ROUND((ROUND((_15_同援日１．５*_15・２人),0)*(1+_15・A夜間)),0)*(1+_15・区４)),0)+ROUND((ROUND((ROUND((_15_同援日１．５＿０．５*_15・２人),0)*(1+_15・B深夜)),0)*(1+_15・区４)),0)</f>
        <v>894</v>
      </c>
      <c r="AC240" s="48"/>
    </row>
    <row r="241" spans="1:29" ht="16.5" customHeight="1" x14ac:dyDescent="0.15">
      <c r="A241" s="41">
        <v>15</v>
      </c>
      <c r="B241" s="41" t="s">
        <v>20324</v>
      </c>
      <c r="C241" s="74" t="s">
        <v>20325</v>
      </c>
      <c r="D241" s="72"/>
      <c r="F241" s="57"/>
      <c r="G241" s="72"/>
      <c r="I241" s="57"/>
      <c r="J241" s="114" t="s">
        <v>17558</v>
      </c>
      <c r="K241" s="49"/>
      <c r="L241" s="50"/>
      <c r="M241" s="163"/>
      <c r="N241" s="45"/>
      <c r="O241" s="46"/>
      <c r="P241" s="512"/>
      <c r="Q241" s="57"/>
      <c r="R241" s="512"/>
      <c r="S241" s="57"/>
      <c r="T241" s="35"/>
      <c r="W241" s="57"/>
      <c r="X241" s="72" t="s">
        <v>17580</v>
      </c>
      <c r="AA241" s="57"/>
      <c r="AB241" s="208">
        <f>ROUND((ROUND((ROUND((_15_同援日１．５*_15・基礎２),0)*(1+_15・A夜間)),0)*(1+_15・区４)),0)+ROUND((ROUND((ROUND((_15_同援日１．５＿０．５*_15・基礎２),0)*(1+_15・B深夜)),0)*(1+_15・区４)),0)</f>
        <v>808</v>
      </c>
      <c r="AC241" s="48"/>
    </row>
    <row r="242" spans="1:29" ht="16.5" customHeight="1" x14ac:dyDescent="0.15">
      <c r="A242" s="41">
        <v>15</v>
      </c>
      <c r="B242" s="41" t="s">
        <v>20326</v>
      </c>
      <c r="C242" s="74" t="s">
        <v>20327</v>
      </c>
      <c r="D242" s="72"/>
      <c r="F242" s="57"/>
      <c r="G242" s="72"/>
      <c r="I242" s="57"/>
      <c r="J242" s="269" t="s">
        <v>17560</v>
      </c>
      <c r="K242" s="37" t="s">
        <v>398</v>
      </c>
      <c r="L242" s="38">
        <v>0.9</v>
      </c>
      <c r="M242" s="299" t="s">
        <v>17556</v>
      </c>
      <c r="N242" s="45" t="s">
        <v>398</v>
      </c>
      <c r="O242" s="46">
        <v>1</v>
      </c>
      <c r="P242" s="512"/>
      <c r="Q242" s="57"/>
      <c r="R242" s="512"/>
      <c r="S242" s="57"/>
      <c r="T242" s="43"/>
      <c r="U242" s="37"/>
      <c r="V242" s="38"/>
      <c r="W242" s="79"/>
      <c r="X242" s="72" t="s">
        <v>17572</v>
      </c>
      <c r="AA242" s="57"/>
      <c r="AB242" s="208">
        <f>ROUND((ROUND((ROUND((ROUND((_15_同援日１．５*_15・基礎２),0)*_15・２人),0)*(1+_15・A夜間)),0)*(1+_15・区４)),0)+ROUND((ROUND((ROUND((ROUND((_15_同援日１．５＿０．５*_15・基礎２),0)*_15・２人),0)*(1+_15・B深夜)),0)*(1+_15・区４)),0)</f>
        <v>808</v>
      </c>
      <c r="AC242" s="48"/>
    </row>
    <row r="243" spans="1:29" ht="16.5" customHeight="1" x14ac:dyDescent="0.15">
      <c r="A243" s="41">
        <v>15</v>
      </c>
      <c r="B243" s="41" t="s">
        <v>20328</v>
      </c>
      <c r="C243" s="74" t="s">
        <v>20329</v>
      </c>
      <c r="D243" s="72"/>
      <c r="F243" s="57"/>
      <c r="G243" s="72"/>
      <c r="I243" s="57"/>
      <c r="J243" s="53"/>
      <c r="K243" s="49"/>
      <c r="L243" s="50"/>
      <c r="M243" s="163"/>
      <c r="N243" s="45"/>
      <c r="O243" s="46"/>
      <c r="P243" s="512"/>
      <c r="Q243" s="57"/>
      <c r="R243" s="512"/>
      <c r="S243" s="57"/>
      <c r="T243" s="114" t="s">
        <v>17562</v>
      </c>
      <c r="U243" s="49"/>
      <c r="V243" s="50"/>
      <c r="W243" s="115"/>
      <c r="X243" s="35"/>
      <c r="Y243" s="12" t="s">
        <v>398</v>
      </c>
      <c r="Z243" s="13">
        <v>0.4</v>
      </c>
      <c r="AA243" s="57" t="s">
        <v>3575</v>
      </c>
      <c r="AB243" s="208">
        <f>ROUND((ROUND((ROUND((_15_同援日１．５*(1+_15・A夜間)),0)*(1+_15・盲ろう)),0)*(1+_15・区４)),0)+ROUND((ROUND((ROUND((_15_同援日１．５＿０．５*(1+_15・B深夜)),0)*(1+_15・盲ろう)),0)*(1+_15・区４)),0)</f>
        <v>1118</v>
      </c>
      <c r="AC243" s="48"/>
    </row>
    <row r="244" spans="1:29" ht="16.5" customHeight="1" x14ac:dyDescent="0.15">
      <c r="A244" s="41">
        <v>15</v>
      </c>
      <c r="B244" s="41" t="s">
        <v>20330</v>
      </c>
      <c r="C244" s="74" t="s">
        <v>20331</v>
      </c>
      <c r="D244" s="72"/>
      <c r="F244" s="57"/>
      <c r="G244" s="72"/>
      <c r="I244" s="57"/>
      <c r="J244" s="43"/>
      <c r="K244" s="37"/>
      <c r="L244" s="38"/>
      <c r="M244" s="299" t="s">
        <v>17556</v>
      </c>
      <c r="N244" s="45" t="s">
        <v>398</v>
      </c>
      <c r="O244" s="46">
        <v>1</v>
      </c>
      <c r="P244" s="512"/>
      <c r="Q244" s="57"/>
      <c r="R244" s="512"/>
      <c r="S244" s="57"/>
      <c r="T244" s="92" t="s">
        <v>17564</v>
      </c>
      <c r="W244" s="57"/>
      <c r="X244" s="35"/>
      <c r="AA244" s="57"/>
      <c r="AB244" s="208">
        <f>ROUND((ROUND((ROUND((ROUND((_15_同援日１．５*_15・２人),0)*(1+_15・A夜間)),0)*(1+_15・盲ろう)),0)*(1+_15・区４)),0)+ROUND((ROUND((ROUND((ROUND((_15_同援日１．５＿０．５*_15・２人),0)*(1+_15・B深夜)),0)*(1+_15・盲ろう)),0)*(1+_15・区４)),0)</f>
        <v>1118</v>
      </c>
      <c r="AC244" s="48"/>
    </row>
    <row r="245" spans="1:29" ht="16.5" customHeight="1" x14ac:dyDescent="0.15">
      <c r="A245" s="41">
        <v>15</v>
      </c>
      <c r="B245" s="41" t="s">
        <v>520</v>
      </c>
      <c r="C245" s="74" t="s">
        <v>20332</v>
      </c>
      <c r="D245" s="72"/>
      <c r="F245" s="57"/>
      <c r="G245" s="72"/>
      <c r="I245" s="57"/>
      <c r="J245" s="114" t="s">
        <v>17558</v>
      </c>
      <c r="K245" s="49"/>
      <c r="L245" s="50"/>
      <c r="M245" s="163"/>
      <c r="N245" s="45"/>
      <c r="O245" s="46"/>
      <c r="P245" s="512"/>
      <c r="Q245" s="57"/>
      <c r="R245" s="512"/>
      <c r="S245" s="57"/>
      <c r="T245" s="35"/>
      <c r="U245" s="12" t="s">
        <v>398</v>
      </c>
      <c r="V245" s="13">
        <v>0.25</v>
      </c>
      <c r="W245" s="57" t="s">
        <v>3575</v>
      </c>
      <c r="X245" s="35"/>
      <c r="AA245" s="57"/>
      <c r="AB245" s="208">
        <f>ROUND((ROUND((ROUND((ROUND((_15_同援日１．５*_15・基礎２),0)*(1+_15・A夜間)),0)*(1+_15・盲ろう)),0)*(1+_15・区４)),0)+ROUND((ROUND((ROUND((ROUND((_15_同援日１．５＿０．５*_15・基礎２),0)*(1+_15・B深夜)),0)*(1+_15・盲ろう)),0)*(1+_15・区４)),0)</f>
        <v>1009</v>
      </c>
      <c r="AC245" s="48"/>
    </row>
    <row r="246" spans="1:29" ht="16.5" customHeight="1" x14ac:dyDescent="0.15">
      <c r="A246" s="41">
        <v>15</v>
      </c>
      <c r="B246" s="41" t="s">
        <v>522</v>
      </c>
      <c r="C246" s="74" t="s">
        <v>20333</v>
      </c>
      <c r="D246" s="72"/>
      <c r="F246" s="57"/>
      <c r="G246" s="122"/>
      <c r="H246" s="37"/>
      <c r="I246" s="79"/>
      <c r="J246" s="269" t="s">
        <v>17560</v>
      </c>
      <c r="K246" s="37" t="s">
        <v>398</v>
      </c>
      <c r="L246" s="38">
        <v>0.9</v>
      </c>
      <c r="M246" s="299" t="s">
        <v>17556</v>
      </c>
      <c r="N246" s="45" t="s">
        <v>398</v>
      </c>
      <c r="O246" s="46">
        <v>1</v>
      </c>
      <c r="P246" s="512"/>
      <c r="Q246" s="57"/>
      <c r="R246" s="512"/>
      <c r="S246" s="57"/>
      <c r="T246" s="43"/>
      <c r="U246" s="37"/>
      <c r="V246" s="38"/>
      <c r="W246" s="79"/>
      <c r="X246" s="43"/>
      <c r="Y246" s="37"/>
      <c r="Z246" s="38"/>
      <c r="AA246" s="79"/>
      <c r="AB246" s="208">
        <f>ROUND((ROUND((ROUND((ROUND((ROUND((_15_同援日１．５*_15・基礎２),0)*_15・２人),0)*(1+_15・A夜間)),0)*(1+_15・盲ろう)),0)*(1+_15・区４)),0)+ROUND((ROUND((ROUND((ROUND((ROUND((_15_同援日１．５＿０．５*_15・基礎２),0)*_15・２人),0)*(1+_15・B深夜)),0)*(1+_15・盲ろう)),0)*(1+_15・区４)),0)</f>
        <v>1009</v>
      </c>
      <c r="AC246" s="48"/>
    </row>
    <row r="247" spans="1:29" ht="16.5" customHeight="1" x14ac:dyDescent="0.15">
      <c r="A247" s="41">
        <v>15</v>
      </c>
      <c r="B247" s="41" t="s">
        <v>524</v>
      </c>
      <c r="C247" s="74" t="s">
        <v>20334</v>
      </c>
      <c r="D247" s="72"/>
      <c r="F247" s="57"/>
      <c r="G247" s="114" t="s">
        <v>19970</v>
      </c>
      <c r="H247" s="49"/>
      <c r="I247" s="115"/>
      <c r="J247" s="53"/>
      <c r="K247" s="49"/>
      <c r="L247" s="50"/>
      <c r="M247" s="163"/>
      <c r="N247" s="45"/>
      <c r="O247" s="46"/>
      <c r="P247" s="512"/>
      <c r="Q247" s="57"/>
      <c r="R247" s="512"/>
      <c r="S247" s="57"/>
      <c r="T247" s="53"/>
      <c r="U247" s="49"/>
      <c r="V247" s="50"/>
      <c r="W247" s="115"/>
      <c r="X247" s="53"/>
      <c r="Y247" s="49"/>
      <c r="Z247" s="50"/>
      <c r="AA247" s="115"/>
      <c r="AB247" s="208">
        <f>ROUND((_15_同援日１．５*(1+_15・A夜間)),0)+ROUND((_15_同援日１．５＿１．０*(1+_15・B深夜)),0)</f>
        <v>736</v>
      </c>
      <c r="AC247" s="48"/>
    </row>
    <row r="248" spans="1:29" ht="16.5" customHeight="1" x14ac:dyDescent="0.15">
      <c r="A248" s="41">
        <v>15</v>
      </c>
      <c r="B248" s="41" t="s">
        <v>526</v>
      </c>
      <c r="C248" s="74" t="s">
        <v>20335</v>
      </c>
      <c r="D248" s="72"/>
      <c r="F248" s="57"/>
      <c r="G248" s="72" t="s">
        <v>17589</v>
      </c>
      <c r="I248" s="57"/>
      <c r="J248" s="43"/>
      <c r="K248" s="37"/>
      <c r="L248" s="38"/>
      <c r="M248" s="299" t="s">
        <v>17556</v>
      </c>
      <c r="N248" s="45" t="s">
        <v>398</v>
      </c>
      <c r="O248" s="46">
        <v>1</v>
      </c>
      <c r="P248" s="512"/>
      <c r="Q248" s="57"/>
      <c r="R248" s="512"/>
      <c r="S248" s="57"/>
      <c r="T248" s="35"/>
      <c r="W248" s="57"/>
      <c r="X248" s="35"/>
      <c r="AA248" s="57"/>
      <c r="AB248" s="208">
        <f>ROUND((ROUND((_15_同援日１．５*_15・２人),0)*(1+_15・A夜間)),0)+ROUND((ROUND((_15_同援日１．５＿１．０*_15・２人),0)*(1+_15・B深夜)),0)</f>
        <v>736</v>
      </c>
      <c r="AC248" s="48"/>
    </row>
    <row r="249" spans="1:29" ht="16.5" customHeight="1" x14ac:dyDescent="0.15">
      <c r="A249" s="41">
        <v>15</v>
      </c>
      <c r="B249" s="41" t="s">
        <v>20336</v>
      </c>
      <c r="C249" s="74" t="s">
        <v>20337</v>
      </c>
      <c r="D249" s="72"/>
      <c r="F249" s="57"/>
      <c r="G249" s="72" t="s">
        <v>17591</v>
      </c>
      <c r="I249" s="57"/>
      <c r="J249" s="114" t="s">
        <v>17558</v>
      </c>
      <c r="K249" s="49"/>
      <c r="L249" s="50"/>
      <c r="M249" s="163"/>
      <c r="N249" s="45"/>
      <c r="O249" s="46"/>
      <c r="P249" s="512"/>
      <c r="Q249" s="57"/>
      <c r="R249" s="512"/>
      <c r="S249" s="57"/>
      <c r="T249" s="35"/>
      <c r="W249" s="57"/>
      <c r="X249" s="35"/>
      <c r="AA249" s="57"/>
      <c r="AB249" s="208">
        <f>ROUND((ROUND((_15_同援日１．５*_15・基礎２),0)*(1+_15・A夜間)),0)+ROUND((ROUND((_15_同援日１．５＿１．０*_15・基礎２),0)*(1+_15・B深夜)),0)</f>
        <v>664</v>
      </c>
      <c r="AC249" s="48"/>
    </row>
    <row r="250" spans="1:29" ht="16.5" customHeight="1" x14ac:dyDescent="0.15">
      <c r="A250" s="41">
        <v>15</v>
      </c>
      <c r="B250" s="41" t="s">
        <v>20338</v>
      </c>
      <c r="C250" s="74" t="s">
        <v>20339</v>
      </c>
      <c r="D250" s="72"/>
      <c r="F250" s="57"/>
      <c r="G250" s="72"/>
      <c r="H250" s="168">
        <f>_15_同援日１．５＿１．０</f>
        <v>130</v>
      </c>
      <c r="I250" s="57" t="s">
        <v>392</v>
      </c>
      <c r="J250" s="269" t="s">
        <v>17560</v>
      </c>
      <c r="K250" s="37" t="s">
        <v>398</v>
      </c>
      <c r="L250" s="38">
        <v>0.9</v>
      </c>
      <c r="M250" s="299" t="s">
        <v>17556</v>
      </c>
      <c r="N250" s="45" t="s">
        <v>398</v>
      </c>
      <c r="O250" s="46">
        <v>1</v>
      </c>
      <c r="P250" s="512"/>
      <c r="Q250" s="57"/>
      <c r="R250" s="512"/>
      <c r="S250" s="57"/>
      <c r="T250" s="43"/>
      <c r="U250" s="37"/>
      <c r="V250" s="38"/>
      <c r="W250" s="79"/>
      <c r="X250" s="35"/>
      <c r="AA250" s="57"/>
      <c r="AB250" s="208">
        <f>ROUND((ROUND((ROUND((_15_同援日１．５*_15・基礎２),0)*_15・２人),0)*(1+_15・A夜間)),0)+ROUND((ROUND((ROUND((_15_同援日１．５＿１．０*_15・基礎２),0)*_15・２人),0)*(1+_15・B深夜)),0)</f>
        <v>664</v>
      </c>
      <c r="AC250" s="48"/>
    </row>
    <row r="251" spans="1:29" ht="16.5" customHeight="1" x14ac:dyDescent="0.15">
      <c r="A251" s="41">
        <v>15</v>
      </c>
      <c r="B251" s="41" t="s">
        <v>20340</v>
      </c>
      <c r="C251" s="74" t="s">
        <v>20341</v>
      </c>
      <c r="D251" s="72"/>
      <c r="F251" s="57"/>
      <c r="G251" s="72"/>
      <c r="I251" s="57"/>
      <c r="J251" s="53"/>
      <c r="K251" s="49"/>
      <c r="L251" s="50"/>
      <c r="M251" s="163"/>
      <c r="N251" s="45"/>
      <c r="O251" s="46"/>
      <c r="P251" s="512"/>
      <c r="Q251" s="57"/>
      <c r="R251" s="512"/>
      <c r="S251" s="57"/>
      <c r="T251" s="114" t="s">
        <v>17562</v>
      </c>
      <c r="U251" s="49"/>
      <c r="V251" s="50"/>
      <c r="W251" s="115"/>
      <c r="X251" s="35"/>
      <c r="AA251" s="57"/>
      <c r="AB251" s="208">
        <f>ROUND((ROUND((_15_同援日１．５*(1+_15・A夜間)),0)*(1+_15・盲ろう)),0)+ROUND((ROUND((_15_同援日１．５＿１．０*(1+_15・B深夜)),0)*(1+_15・盲ろう)),0)</f>
        <v>920</v>
      </c>
      <c r="AC251" s="48"/>
    </row>
    <row r="252" spans="1:29" ht="16.5" customHeight="1" x14ac:dyDescent="0.15">
      <c r="A252" s="41">
        <v>15</v>
      </c>
      <c r="B252" s="41" t="s">
        <v>20342</v>
      </c>
      <c r="C252" s="74" t="s">
        <v>20343</v>
      </c>
      <c r="D252" s="72"/>
      <c r="F252" s="57"/>
      <c r="G252" s="72"/>
      <c r="I252" s="57"/>
      <c r="J252" s="43"/>
      <c r="K252" s="37"/>
      <c r="L252" s="38"/>
      <c r="M252" s="299" t="s">
        <v>17556</v>
      </c>
      <c r="N252" s="45" t="s">
        <v>398</v>
      </c>
      <c r="O252" s="46">
        <v>1</v>
      </c>
      <c r="P252" s="512"/>
      <c r="Q252" s="57"/>
      <c r="R252" s="512"/>
      <c r="S252" s="57"/>
      <c r="T252" s="92" t="s">
        <v>17564</v>
      </c>
      <c r="W252" s="57"/>
      <c r="X252" s="35"/>
      <c r="AA252" s="57"/>
      <c r="AB252" s="208">
        <f>ROUND((ROUND((ROUND((_15_同援日１．５*_15・２人),0)*(1+_15・A夜間)),0)*(1+_15・盲ろう)),0)+ROUND((ROUND((ROUND((_15_同援日１．５＿１．０*_15・２人),0)*(1+_15・B深夜)),0)*(1+_15・盲ろう)),0)</f>
        <v>920</v>
      </c>
      <c r="AC252" s="48"/>
    </row>
    <row r="253" spans="1:29" ht="16.5" customHeight="1" x14ac:dyDescent="0.15">
      <c r="A253" s="41">
        <v>15</v>
      </c>
      <c r="B253" s="41" t="s">
        <v>20344</v>
      </c>
      <c r="C253" s="74" t="s">
        <v>20345</v>
      </c>
      <c r="D253" s="72"/>
      <c r="F253" s="57"/>
      <c r="G253" s="72"/>
      <c r="I253" s="57"/>
      <c r="J253" s="114" t="s">
        <v>17558</v>
      </c>
      <c r="K253" s="49"/>
      <c r="L253" s="50"/>
      <c r="M253" s="163"/>
      <c r="N253" s="45"/>
      <c r="O253" s="46"/>
      <c r="P253" s="512"/>
      <c r="Q253" s="57"/>
      <c r="R253" s="512"/>
      <c r="S253" s="57"/>
      <c r="T253" s="35"/>
      <c r="U253" s="12" t="s">
        <v>398</v>
      </c>
      <c r="V253" s="13">
        <v>0.25</v>
      </c>
      <c r="W253" s="57" t="s">
        <v>3575</v>
      </c>
      <c r="X253" s="35"/>
      <c r="AA253" s="57"/>
      <c r="AB253" s="208">
        <f>ROUND((ROUND((ROUND((_15_同援日１．５*_15・基礎２),0)*(1+_15・A夜間)),0)*(1+_15・盲ろう)),0)+ROUND((ROUND((ROUND((_15_同援日１．５＿１．０*_15・基礎２),0)*(1+_15・B深夜)),0)*(1+_15・盲ろう)),0)</f>
        <v>830</v>
      </c>
      <c r="AC253" s="48"/>
    </row>
    <row r="254" spans="1:29" ht="16.5" customHeight="1" x14ac:dyDescent="0.15">
      <c r="A254" s="41">
        <v>15</v>
      </c>
      <c r="B254" s="41" t="s">
        <v>20346</v>
      </c>
      <c r="C254" s="74" t="s">
        <v>20347</v>
      </c>
      <c r="D254" s="72"/>
      <c r="F254" s="57"/>
      <c r="G254" s="72"/>
      <c r="I254" s="57"/>
      <c r="J254" s="269" t="s">
        <v>17560</v>
      </c>
      <c r="K254" s="37" t="s">
        <v>398</v>
      </c>
      <c r="L254" s="38">
        <v>0.9</v>
      </c>
      <c r="M254" s="299" t="s">
        <v>17556</v>
      </c>
      <c r="N254" s="45" t="s">
        <v>398</v>
      </c>
      <c r="O254" s="46">
        <v>1</v>
      </c>
      <c r="P254" s="512"/>
      <c r="Q254" s="57"/>
      <c r="R254" s="512"/>
      <c r="S254" s="57"/>
      <c r="T254" s="43"/>
      <c r="U254" s="37"/>
      <c r="V254" s="38"/>
      <c r="W254" s="79"/>
      <c r="X254" s="43"/>
      <c r="Y254" s="37"/>
      <c r="Z254" s="38"/>
      <c r="AA254" s="79"/>
      <c r="AB254" s="208">
        <f>ROUND((ROUND((ROUND((ROUND((_15_同援日１．５*_15・基礎２),0)*_15・２人),0)*(1+_15・A夜間)),0)*(1+_15・盲ろう)),0)+ROUND((ROUND((ROUND((ROUND((_15_同援日１．５＿１．０*_15・基礎２),0)*_15・２人),0)*(1+_15・B深夜)),0)*(1+_15・盲ろう)),0)</f>
        <v>830</v>
      </c>
      <c r="AC254" s="48"/>
    </row>
    <row r="255" spans="1:29" ht="16.5" customHeight="1" x14ac:dyDescent="0.15">
      <c r="A255" s="41">
        <v>15</v>
      </c>
      <c r="B255" s="41" t="s">
        <v>20348</v>
      </c>
      <c r="C255" s="74" t="s">
        <v>20349</v>
      </c>
      <c r="D255" s="72"/>
      <c r="F255" s="57"/>
      <c r="G255" s="72"/>
      <c r="I255" s="57"/>
      <c r="J255" s="53"/>
      <c r="K255" s="49"/>
      <c r="L255" s="50"/>
      <c r="M255" s="163"/>
      <c r="N255" s="45"/>
      <c r="O255" s="46"/>
      <c r="P255" s="512"/>
      <c r="Q255" s="57"/>
      <c r="R255" s="512"/>
      <c r="S255" s="57"/>
      <c r="T255" s="53"/>
      <c r="U255" s="49"/>
      <c r="V255" s="50"/>
      <c r="W255" s="115"/>
      <c r="X255" s="53"/>
      <c r="Y255" s="49"/>
      <c r="Z255" s="50"/>
      <c r="AA255" s="115"/>
      <c r="AB255" s="208">
        <f>ROUND((ROUND((_15_同援日１．５*(1+_15・A夜間)),0)*(1+_15・区３)),0)+ROUND((ROUND((_15_同援日１．５＿１．０*(1+_15・B深夜)),0)*(1+_15・区３)),0)</f>
        <v>883</v>
      </c>
      <c r="AC255" s="48"/>
    </row>
    <row r="256" spans="1:29" ht="16.5" customHeight="1" x14ac:dyDescent="0.15">
      <c r="A256" s="41">
        <v>15</v>
      </c>
      <c r="B256" s="41" t="s">
        <v>20350</v>
      </c>
      <c r="C256" s="74" t="s">
        <v>20351</v>
      </c>
      <c r="D256" s="72"/>
      <c r="F256" s="57"/>
      <c r="G256" s="72"/>
      <c r="I256" s="57"/>
      <c r="J256" s="43"/>
      <c r="K256" s="37"/>
      <c r="L256" s="38"/>
      <c r="M256" s="299" t="s">
        <v>17556</v>
      </c>
      <c r="N256" s="45" t="s">
        <v>398</v>
      </c>
      <c r="O256" s="46">
        <v>1</v>
      </c>
      <c r="P256" s="512"/>
      <c r="Q256" s="57"/>
      <c r="R256" s="512"/>
      <c r="S256" s="57"/>
      <c r="T256" s="35"/>
      <c r="W256" s="57"/>
      <c r="X256" s="35"/>
      <c r="AA256" s="57"/>
      <c r="AB256" s="208">
        <f>ROUND((ROUND((ROUND((_15_同援日１．５*_15・２人),0)*(1+_15・A夜間)),0)*(1+_15・区３)),0)+ROUND((ROUND((ROUND((_15_同援日１．５＿１．０*_15・２人),0)*(1+_15・B深夜)),0)*(1+_15・区３)),0)</f>
        <v>883</v>
      </c>
      <c r="AC256" s="48"/>
    </row>
    <row r="257" spans="1:29" ht="16.5" customHeight="1" x14ac:dyDescent="0.15">
      <c r="A257" s="41">
        <v>15</v>
      </c>
      <c r="B257" s="41" t="s">
        <v>20352</v>
      </c>
      <c r="C257" s="74" t="s">
        <v>20353</v>
      </c>
      <c r="D257" s="72"/>
      <c r="F257" s="57"/>
      <c r="G257" s="72"/>
      <c r="I257" s="57"/>
      <c r="J257" s="114" t="s">
        <v>17558</v>
      </c>
      <c r="K257" s="49"/>
      <c r="L257" s="50"/>
      <c r="M257" s="163"/>
      <c r="N257" s="45"/>
      <c r="O257" s="46"/>
      <c r="P257" s="512"/>
      <c r="Q257" s="57"/>
      <c r="R257" s="512"/>
      <c r="S257" s="57"/>
      <c r="T257" s="35"/>
      <c r="W257" s="57"/>
      <c r="X257" s="72" t="s">
        <v>17570</v>
      </c>
      <c r="AA257" s="57"/>
      <c r="AB257" s="208">
        <f>ROUND((ROUND((ROUND((_15_同援日１．５*_15・基礎２),0)*(1+_15・A夜間)),0)*(1+_15・区３)),0)+ROUND((ROUND((ROUND((_15_同援日１．５＿１．０*_15・基礎２),0)*(1+_15・B深夜)),0)*(1+_15・区３)),0)</f>
        <v>797</v>
      </c>
      <c r="AC257" s="48"/>
    </row>
    <row r="258" spans="1:29" ht="16.5" customHeight="1" x14ac:dyDescent="0.15">
      <c r="A258" s="41">
        <v>15</v>
      </c>
      <c r="B258" s="41" t="s">
        <v>20354</v>
      </c>
      <c r="C258" s="74" t="s">
        <v>20355</v>
      </c>
      <c r="D258" s="72"/>
      <c r="F258" s="57"/>
      <c r="G258" s="72"/>
      <c r="I258" s="57"/>
      <c r="J258" s="269" t="s">
        <v>17560</v>
      </c>
      <c r="K258" s="37" t="s">
        <v>398</v>
      </c>
      <c r="L258" s="38">
        <v>0.9</v>
      </c>
      <c r="M258" s="299" t="s">
        <v>17556</v>
      </c>
      <c r="N258" s="45" t="s">
        <v>398</v>
      </c>
      <c r="O258" s="46">
        <v>1</v>
      </c>
      <c r="P258" s="512"/>
      <c r="Q258" s="57"/>
      <c r="R258" s="512"/>
      <c r="S258" s="57"/>
      <c r="T258" s="43"/>
      <c r="U258" s="37"/>
      <c r="V258" s="38"/>
      <c r="W258" s="79"/>
      <c r="X258" s="72" t="s">
        <v>17572</v>
      </c>
      <c r="AA258" s="57"/>
      <c r="AB258" s="208">
        <f>ROUND((ROUND((ROUND((ROUND((_15_同援日１．５*_15・基礎２),0)*_15・２人),0)*(1+_15・A夜間)),0)*(1+_15・区３)),0)+ROUND((ROUND((ROUND((ROUND((_15_同援日１．５＿１．０*_15・基礎２),0)*_15・２人),0)*(1+_15・B深夜)),0)*(1+_15・区３)),0)</f>
        <v>797</v>
      </c>
      <c r="AC258" s="48"/>
    </row>
    <row r="259" spans="1:29" ht="16.5" customHeight="1" x14ac:dyDescent="0.15">
      <c r="A259" s="41">
        <v>15</v>
      </c>
      <c r="B259" s="41" t="s">
        <v>20356</v>
      </c>
      <c r="C259" s="74" t="s">
        <v>20357</v>
      </c>
      <c r="D259" s="72"/>
      <c r="F259" s="57"/>
      <c r="G259" s="72"/>
      <c r="I259" s="57"/>
      <c r="J259" s="53"/>
      <c r="K259" s="49"/>
      <c r="L259" s="50"/>
      <c r="M259" s="163"/>
      <c r="N259" s="45"/>
      <c r="O259" s="46"/>
      <c r="P259" s="512"/>
      <c r="Q259" s="57"/>
      <c r="R259" s="512"/>
      <c r="S259" s="57"/>
      <c r="T259" s="114" t="s">
        <v>17562</v>
      </c>
      <c r="U259" s="49"/>
      <c r="V259" s="50"/>
      <c r="W259" s="115"/>
      <c r="X259" s="35"/>
      <c r="Y259" s="12" t="s">
        <v>398</v>
      </c>
      <c r="Z259" s="13">
        <v>0.2</v>
      </c>
      <c r="AA259" s="57" t="s">
        <v>3575</v>
      </c>
      <c r="AB259" s="208">
        <f>ROUND((ROUND((ROUND((_15_同援日１．５*(1+_15・A夜間)),0)*(1+_15・盲ろう)),0)*(1+_15・区３)),0)+ROUND((ROUND((ROUND((_15_同援日１．５＿１．０*(1+_15・B深夜)),0)*(1+_15・盲ろう)),0)*(1+_15・区３)),0)</f>
        <v>1104</v>
      </c>
      <c r="AC259" s="48"/>
    </row>
    <row r="260" spans="1:29" ht="16.5" customHeight="1" x14ac:dyDescent="0.15">
      <c r="A260" s="41">
        <v>15</v>
      </c>
      <c r="B260" s="41" t="s">
        <v>20358</v>
      </c>
      <c r="C260" s="74" t="s">
        <v>20359</v>
      </c>
      <c r="D260" s="72"/>
      <c r="F260" s="57"/>
      <c r="G260" s="72"/>
      <c r="I260" s="57"/>
      <c r="J260" s="43"/>
      <c r="K260" s="37"/>
      <c r="L260" s="38"/>
      <c r="M260" s="299" t="s">
        <v>17556</v>
      </c>
      <c r="N260" s="45" t="s">
        <v>398</v>
      </c>
      <c r="O260" s="46">
        <v>1</v>
      </c>
      <c r="P260" s="512"/>
      <c r="Q260" s="57"/>
      <c r="R260" s="512"/>
      <c r="S260" s="57"/>
      <c r="T260" s="92" t="s">
        <v>17564</v>
      </c>
      <c r="W260" s="57"/>
      <c r="X260" s="35"/>
      <c r="AA260" s="57"/>
      <c r="AB260" s="208">
        <f>ROUND((ROUND((ROUND((ROUND((_15_同援日１．５*_15・２人),0)*(1+_15・A夜間)),0)*(1+_15・盲ろう)),0)*(1+_15・区３)),0)+ROUND((ROUND((ROUND((ROUND((_15_同援日１．５＿１．０*_15・２人),0)*(1+_15・B深夜)),0)*(1+_15・盲ろう)),0)*(1+_15・区３)),0)</f>
        <v>1104</v>
      </c>
      <c r="AC260" s="48"/>
    </row>
    <row r="261" spans="1:29" ht="16.5" customHeight="1" x14ac:dyDescent="0.15">
      <c r="A261" s="41">
        <v>15</v>
      </c>
      <c r="B261" s="41" t="s">
        <v>20360</v>
      </c>
      <c r="C261" s="74" t="s">
        <v>20361</v>
      </c>
      <c r="D261" s="72"/>
      <c r="F261" s="57"/>
      <c r="G261" s="72"/>
      <c r="I261" s="57"/>
      <c r="J261" s="114" t="s">
        <v>17558</v>
      </c>
      <c r="K261" s="49"/>
      <c r="L261" s="50"/>
      <c r="M261" s="163"/>
      <c r="N261" s="45"/>
      <c r="O261" s="46"/>
      <c r="P261" s="512"/>
      <c r="Q261" s="57"/>
      <c r="R261" s="512"/>
      <c r="S261" s="57"/>
      <c r="T261" s="35"/>
      <c r="U261" s="12" t="s">
        <v>398</v>
      </c>
      <c r="V261" s="13">
        <v>0.25</v>
      </c>
      <c r="W261" s="57" t="s">
        <v>3575</v>
      </c>
      <c r="X261" s="35"/>
      <c r="AA261" s="57"/>
      <c r="AB261" s="208">
        <f>ROUND((ROUND((ROUND((ROUND((_15_同援日１．５*_15・基礎２),0)*(1+_15・A夜間)),0)*(1+_15・盲ろう)),0)*(1+_15・区３)),0)+ROUND((ROUND((ROUND((ROUND((_15_同援日１．５＿１．０*_15・基礎２),0)*(1+_15・B深夜)),0)*(1+_15・盲ろう)),0)*(1+_15・区３)),0)</f>
        <v>996</v>
      </c>
      <c r="AC261" s="48"/>
    </row>
    <row r="262" spans="1:29" ht="16.5" customHeight="1" x14ac:dyDescent="0.15">
      <c r="A262" s="41">
        <v>15</v>
      </c>
      <c r="B262" s="41" t="s">
        <v>20362</v>
      </c>
      <c r="C262" s="74" t="s">
        <v>20363</v>
      </c>
      <c r="D262" s="72"/>
      <c r="F262" s="57"/>
      <c r="G262" s="72"/>
      <c r="I262" s="57"/>
      <c r="J262" s="269" t="s">
        <v>17560</v>
      </c>
      <c r="K262" s="37" t="s">
        <v>398</v>
      </c>
      <c r="L262" s="38">
        <v>0.9</v>
      </c>
      <c r="M262" s="299" t="s">
        <v>17556</v>
      </c>
      <c r="N262" s="45" t="s">
        <v>398</v>
      </c>
      <c r="O262" s="46">
        <v>1</v>
      </c>
      <c r="P262" s="512"/>
      <c r="Q262" s="57"/>
      <c r="R262" s="512"/>
      <c r="S262" s="57"/>
      <c r="T262" s="43"/>
      <c r="U262" s="37"/>
      <c r="V262" s="38"/>
      <c r="W262" s="79"/>
      <c r="X262" s="43"/>
      <c r="Y262" s="37"/>
      <c r="Z262" s="38"/>
      <c r="AA262" s="79"/>
      <c r="AB262" s="208">
        <f>ROUND((ROUND((ROUND((ROUND((ROUND((_15_同援日１．５*_15・基礎２),0)*_15・２人),0)*(1+_15・A夜間)),0)*(1+_15・盲ろう)),0)*(1+_15・区３)),0)+ROUND((ROUND((ROUND((ROUND((ROUND((_15_同援日１．５＿１．０*_15・基礎２),0)*_15・２人),0)*(1+_15・B深夜)),0)*(1+_15・盲ろう)),0)*(1+_15・区３)),0)</f>
        <v>996</v>
      </c>
      <c r="AC262" s="48"/>
    </row>
    <row r="263" spans="1:29" ht="16.5" customHeight="1" x14ac:dyDescent="0.15">
      <c r="A263" s="41">
        <v>15</v>
      </c>
      <c r="B263" s="41" t="s">
        <v>20364</v>
      </c>
      <c r="C263" s="74" t="s">
        <v>20365</v>
      </c>
      <c r="D263" s="72"/>
      <c r="F263" s="57"/>
      <c r="G263" s="72"/>
      <c r="I263" s="57"/>
      <c r="J263" s="53"/>
      <c r="K263" s="49"/>
      <c r="L263" s="50"/>
      <c r="M263" s="163"/>
      <c r="N263" s="45"/>
      <c r="O263" s="46"/>
      <c r="P263" s="512"/>
      <c r="Q263" s="57"/>
      <c r="R263" s="512"/>
      <c r="S263" s="57"/>
      <c r="T263" s="53"/>
      <c r="U263" s="49"/>
      <c r="V263" s="50"/>
      <c r="W263" s="115"/>
      <c r="X263" s="53"/>
      <c r="Y263" s="49"/>
      <c r="Z263" s="50"/>
      <c r="AA263" s="115"/>
      <c r="AB263" s="208">
        <f>ROUND((ROUND((_15_同援日１．５*(1+_15・A夜間)),0)*(1+_15・区４)),0)+ROUND((ROUND((_15_同援日１．５＿１．０*(1+_15・B深夜)),0)*(1+_15・区４)),0)</f>
        <v>1030</v>
      </c>
      <c r="AC263" s="48"/>
    </row>
    <row r="264" spans="1:29" ht="16.5" customHeight="1" x14ac:dyDescent="0.15">
      <c r="A264" s="41">
        <v>15</v>
      </c>
      <c r="B264" s="41" t="s">
        <v>20366</v>
      </c>
      <c r="C264" s="74" t="s">
        <v>20367</v>
      </c>
      <c r="D264" s="72"/>
      <c r="F264" s="57"/>
      <c r="G264" s="72"/>
      <c r="I264" s="57"/>
      <c r="J264" s="43"/>
      <c r="K264" s="37"/>
      <c r="L264" s="38"/>
      <c r="M264" s="299" t="s">
        <v>17556</v>
      </c>
      <c r="N264" s="45" t="s">
        <v>398</v>
      </c>
      <c r="O264" s="46">
        <v>1</v>
      </c>
      <c r="P264" s="512"/>
      <c r="Q264" s="57"/>
      <c r="R264" s="512"/>
      <c r="S264" s="57"/>
      <c r="T264" s="35"/>
      <c r="W264" s="57"/>
      <c r="X264" s="35"/>
      <c r="AA264" s="57"/>
      <c r="AB264" s="208">
        <f>ROUND((ROUND((ROUND((_15_同援日１．５*_15・２人),0)*(1+_15・A夜間)),0)*(1+_15・区４)),0)+ROUND((ROUND((ROUND((_15_同援日１．５＿１．０*_15・２人),0)*(1+_15・B深夜)),0)*(1+_15・区４)),0)</f>
        <v>1030</v>
      </c>
      <c r="AC264" s="48"/>
    </row>
    <row r="265" spans="1:29" ht="16.5" customHeight="1" x14ac:dyDescent="0.15">
      <c r="A265" s="41">
        <v>15</v>
      </c>
      <c r="B265" s="41" t="s">
        <v>533</v>
      </c>
      <c r="C265" s="74" t="s">
        <v>20368</v>
      </c>
      <c r="D265" s="72"/>
      <c r="F265" s="57"/>
      <c r="G265" s="72"/>
      <c r="I265" s="57"/>
      <c r="J265" s="114" t="s">
        <v>17558</v>
      </c>
      <c r="K265" s="49"/>
      <c r="L265" s="50"/>
      <c r="M265" s="163"/>
      <c r="N265" s="45"/>
      <c r="O265" s="46"/>
      <c r="P265" s="512"/>
      <c r="Q265" s="57"/>
      <c r="R265" s="512"/>
      <c r="S265" s="57"/>
      <c r="T265" s="35"/>
      <c r="W265" s="57"/>
      <c r="X265" s="72" t="s">
        <v>17580</v>
      </c>
      <c r="AA265" s="57"/>
      <c r="AB265" s="208">
        <f>ROUND((ROUND((ROUND((_15_同援日１．５*_15・基礎２),0)*(1+_15・A夜間)),0)*(1+_15・区４)),0)+ROUND((ROUND((ROUND((_15_同援日１．５＿１．０*_15・基礎２),0)*(1+_15・B深夜)),0)*(1+_15・区４)),0)</f>
        <v>929</v>
      </c>
      <c r="AC265" s="48"/>
    </row>
    <row r="266" spans="1:29" ht="16.5" customHeight="1" x14ac:dyDescent="0.15">
      <c r="A266" s="41">
        <v>15</v>
      </c>
      <c r="B266" s="41" t="s">
        <v>535</v>
      </c>
      <c r="C266" s="74" t="s">
        <v>20369</v>
      </c>
      <c r="D266" s="72"/>
      <c r="F266" s="57"/>
      <c r="G266" s="72"/>
      <c r="I266" s="57"/>
      <c r="J266" s="269" t="s">
        <v>17560</v>
      </c>
      <c r="K266" s="37" t="s">
        <v>398</v>
      </c>
      <c r="L266" s="38">
        <v>0.9</v>
      </c>
      <c r="M266" s="299" t="s">
        <v>17556</v>
      </c>
      <c r="N266" s="45" t="s">
        <v>398</v>
      </c>
      <c r="O266" s="46">
        <v>1</v>
      </c>
      <c r="P266" s="512"/>
      <c r="Q266" s="57"/>
      <c r="R266" s="512"/>
      <c r="S266" s="57"/>
      <c r="T266" s="43"/>
      <c r="U266" s="37"/>
      <c r="V266" s="38"/>
      <c r="W266" s="79"/>
      <c r="X266" s="72" t="s">
        <v>17572</v>
      </c>
      <c r="AA266" s="57"/>
      <c r="AB266" s="208">
        <f>ROUND((ROUND((ROUND((ROUND((_15_同援日１．５*_15・基礎２),0)*_15・２人),0)*(1+_15・A夜間)),0)*(1+_15・区４)),0)+ROUND((ROUND((ROUND((ROUND((_15_同援日１．５＿１．０*_15・基礎２),0)*_15・２人),0)*(1+_15・B深夜)),0)*(1+_15・区４)),0)</f>
        <v>929</v>
      </c>
      <c r="AC266" s="48"/>
    </row>
    <row r="267" spans="1:29" ht="16.5" customHeight="1" x14ac:dyDescent="0.15">
      <c r="A267" s="41">
        <v>15</v>
      </c>
      <c r="B267" s="41" t="s">
        <v>537</v>
      </c>
      <c r="C267" s="74" t="s">
        <v>20370</v>
      </c>
      <c r="D267" s="72"/>
      <c r="F267" s="57"/>
      <c r="G267" s="72"/>
      <c r="I267" s="57"/>
      <c r="J267" s="53"/>
      <c r="K267" s="49"/>
      <c r="L267" s="50"/>
      <c r="M267" s="163"/>
      <c r="N267" s="45"/>
      <c r="O267" s="46"/>
      <c r="P267" s="512"/>
      <c r="Q267" s="57"/>
      <c r="R267" s="512"/>
      <c r="S267" s="57"/>
      <c r="T267" s="114" t="s">
        <v>17562</v>
      </c>
      <c r="U267" s="49"/>
      <c r="V267" s="50"/>
      <c r="W267" s="115"/>
      <c r="X267" s="35"/>
      <c r="Y267" s="12" t="s">
        <v>398</v>
      </c>
      <c r="Z267" s="13">
        <v>0.4</v>
      </c>
      <c r="AA267" s="57" t="s">
        <v>3575</v>
      </c>
      <c r="AB267" s="208">
        <f>ROUND((ROUND((ROUND((_15_同援日１．５*(1+_15・A夜間)),0)*(1+_15・盲ろう)),0)*(1+_15・区４)),0)+ROUND((ROUND((ROUND((_15_同援日１．５＿１．０*(1+_15・B深夜)),0)*(1+_15・盲ろう)),0)*(1+_15・区４)),0)</f>
        <v>1288</v>
      </c>
      <c r="AC267" s="48"/>
    </row>
    <row r="268" spans="1:29" ht="16.5" customHeight="1" x14ac:dyDescent="0.15">
      <c r="A268" s="41">
        <v>15</v>
      </c>
      <c r="B268" s="41" t="s">
        <v>539</v>
      </c>
      <c r="C268" s="74" t="s">
        <v>20371</v>
      </c>
      <c r="D268" s="72"/>
      <c r="F268" s="57"/>
      <c r="G268" s="72"/>
      <c r="I268" s="57"/>
      <c r="J268" s="43"/>
      <c r="K268" s="37"/>
      <c r="L268" s="38"/>
      <c r="M268" s="299" t="s">
        <v>17556</v>
      </c>
      <c r="N268" s="45" t="s">
        <v>398</v>
      </c>
      <c r="O268" s="46">
        <v>1</v>
      </c>
      <c r="P268" s="512"/>
      <c r="Q268" s="57"/>
      <c r="R268" s="512"/>
      <c r="S268" s="57"/>
      <c r="T268" s="92" t="s">
        <v>17564</v>
      </c>
      <c r="W268" s="57"/>
      <c r="X268" s="35"/>
      <c r="AA268" s="57"/>
      <c r="AB268" s="208">
        <f>ROUND((ROUND((ROUND((ROUND((_15_同援日１．５*_15・２人),0)*(1+_15・A夜間)),0)*(1+_15・盲ろう)),0)*(1+_15・区４)),0)+ROUND((ROUND((ROUND((ROUND((_15_同援日１．５＿１．０*_15・２人),0)*(1+_15・B深夜)),0)*(1+_15・盲ろう)),0)*(1+_15・区４)),0)</f>
        <v>1288</v>
      </c>
      <c r="AC268" s="48"/>
    </row>
    <row r="269" spans="1:29" ht="16.5" customHeight="1" x14ac:dyDescent="0.15">
      <c r="A269" s="41">
        <v>15</v>
      </c>
      <c r="B269" s="41" t="s">
        <v>20372</v>
      </c>
      <c r="C269" s="74" t="s">
        <v>20373</v>
      </c>
      <c r="D269" s="72"/>
      <c r="F269" s="57"/>
      <c r="G269" s="72"/>
      <c r="I269" s="57"/>
      <c r="J269" s="114" t="s">
        <v>17558</v>
      </c>
      <c r="K269" s="49"/>
      <c r="L269" s="50"/>
      <c r="M269" s="163"/>
      <c r="N269" s="45"/>
      <c r="O269" s="46"/>
      <c r="P269" s="512"/>
      <c r="Q269" s="57"/>
      <c r="R269" s="512"/>
      <c r="S269" s="57"/>
      <c r="T269" s="35"/>
      <c r="U269" s="12" t="s">
        <v>398</v>
      </c>
      <c r="V269" s="13">
        <v>0.25</v>
      </c>
      <c r="W269" s="57" t="s">
        <v>3575</v>
      </c>
      <c r="X269" s="35"/>
      <c r="AA269" s="57"/>
      <c r="AB269" s="208">
        <f>ROUND((ROUND((ROUND((ROUND((_15_同援日１．５*_15・基礎２),0)*(1+_15・A夜間)),0)*(1+_15・盲ろう)),0)*(1+_15・区４)),0)+ROUND((ROUND((ROUND((ROUND((_15_同援日１．５＿１．０*_15・基礎２),0)*(1+_15・B深夜)),0)*(1+_15・盲ろう)),0)*(1+_15・区４)),0)</f>
        <v>1162</v>
      </c>
      <c r="AC269" s="48"/>
    </row>
    <row r="270" spans="1:29" ht="16.5" customHeight="1" x14ac:dyDescent="0.15">
      <c r="A270" s="41">
        <v>15</v>
      </c>
      <c r="B270" s="41" t="s">
        <v>20374</v>
      </c>
      <c r="C270" s="74" t="s">
        <v>20375</v>
      </c>
      <c r="D270" s="72"/>
      <c r="F270" s="57"/>
      <c r="G270" s="122"/>
      <c r="H270" s="37"/>
      <c r="I270" s="79"/>
      <c r="J270" s="269" t="s">
        <v>17560</v>
      </c>
      <c r="K270" s="37" t="s">
        <v>398</v>
      </c>
      <c r="L270" s="38">
        <v>0.9</v>
      </c>
      <c r="M270" s="299" t="s">
        <v>17556</v>
      </c>
      <c r="N270" s="45" t="s">
        <v>398</v>
      </c>
      <c r="O270" s="46">
        <v>1</v>
      </c>
      <c r="P270" s="512"/>
      <c r="Q270" s="57"/>
      <c r="R270" s="512"/>
      <c r="S270" s="57"/>
      <c r="T270" s="43"/>
      <c r="U270" s="37"/>
      <c r="V270" s="38"/>
      <c r="W270" s="79"/>
      <c r="X270" s="43"/>
      <c r="Y270" s="37"/>
      <c r="Z270" s="38"/>
      <c r="AA270" s="79"/>
      <c r="AB270" s="208">
        <f>ROUND((ROUND((ROUND((ROUND((ROUND((_15_同援日１．５*_15・基礎２),0)*_15・２人),0)*(1+_15・A夜間)),0)*(1+_15・盲ろう)),0)*(1+_15・区４)),0)+ROUND((ROUND((ROUND((ROUND((ROUND((_15_同援日１．５＿１．０*_15・基礎２),0)*_15・２人),0)*(1+_15・B深夜)),0)*(1+_15・盲ろう)),0)*(1+_15・区４)),0)</f>
        <v>1162</v>
      </c>
      <c r="AC270" s="48"/>
    </row>
    <row r="271" spans="1:29" ht="16.5" customHeight="1" x14ac:dyDescent="0.15">
      <c r="A271" s="41">
        <v>15</v>
      </c>
      <c r="B271" s="41" t="s">
        <v>20376</v>
      </c>
      <c r="C271" s="74" t="s">
        <v>20377</v>
      </c>
      <c r="D271" s="72"/>
      <c r="F271" s="57"/>
      <c r="G271" s="114" t="s">
        <v>19995</v>
      </c>
      <c r="H271" s="49"/>
      <c r="I271" s="115"/>
      <c r="J271" s="53"/>
      <c r="K271" s="49"/>
      <c r="L271" s="50"/>
      <c r="M271" s="163"/>
      <c r="N271" s="45"/>
      <c r="O271" s="46"/>
      <c r="P271" s="512"/>
      <c r="Q271" s="57"/>
      <c r="R271" s="512"/>
      <c r="S271" s="57"/>
      <c r="T271" s="53"/>
      <c r="U271" s="49"/>
      <c r="V271" s="50"/>
      <c r="W271" s="115"/>
      <c r="X271" s="53"/>
      <c r="Y271" s="49"/>
      <c r="Z271" s="50"/>
      <c r="AA271" s="115"/>
      <c r="AB271" s="208">
        <f>ROUND((_15_同援日１．５*(1+_15・A夜間)),0)+ROUND((_15_同援日１．５＿１．５*(1+_15・B深夜)),0)</f>
        <v>834</v>
      </c>
      <c r="AC271" s="48"/>
    </row>
    <row r="272" spans="1:29" ht="16.5" customHeight="1" x14ac:dyDescent="0.15">
      <c r="A272" s="41">
        <v>15</v>
      </c>
      <c r="B272" s="41" t="s">
        <v>20378</v>
      </c>
      <c r="C272" s="74" t="s">
        <v>20379</v>
      </c>
      <c r="D272" s="72"/>
      <c r="F272" s="57"/>
      <c r="G272" s="72" t="s">
        <v>17616</v>
      </c>
      <c r="I272" s="57"/>
      <c r="J272" s="43"/>
      <c r="K272" s="37"/>
      <c r="L272" s="38"/>
      <c r="M272" s="299" t="s">
        <v>17556</v>
      </c>
      <c r="N272" s="45" t="s">
        <v>398</v>
      </c>
      <c r="O272" s="46">
        <v>1</v>
      </c>
      <c r="P272" s="512"/>
      <c r="Q272" s="57"/>
      <c r="R272" s="512"/>
      <c r="S272" s="57"/>
      <c r="T272" s="35"/>
      <c r="W272" s="57"/>
      <c r="X272" s="35"/>
      <c r="AA272" s="57"/>
      <c r="AB272" s="208">
        <f>ROUND((ROUND((_15_同援日１．５*_15・２人),0)*(1+_15・A夜間)),0)+ROUND((ROUND((_15_同援日１．５＿１．５*_15・２人),0)*(1+_15・B深夜)),0)</f>
        <v>834</v>
      </c>
      <c r="AC272" s="48"/>
    </row>
    <row r="273" spans="1:29" ht="16.5" customHeight="1" x14ac:dyDescent="0.15">
      <c r="A273" s="41">
        <v>15</v>
      </c>
      <c r="B273" s="41" t="s">
        <v>20380</v>
      </c>
      <c r="C273" s="74" t="s">
        <v>20381</v>
      </c>
      <c r="D273" s="72"/>
      <c r="F273" s="57"/>
      <c r="G273" s="72" t="s">
        <v>18183</v>
      </c>
      <c r="I273" s="57"/>
      <c r="J273" s="114" t="s">
        <v>17558</v>
      </c>
      <c r="K273" s="49"/>
      <c r="L273" s="50"/>
      <c r="M273" s="163"/>
      <c r="N273" s="45"/>
      <c r="O273" s="46"/>
      <c r="P273" s="512"/>
      <c r="Q273" s="57"/>
      <c r="R273" s="512"/>
      <c r="S273" s="57"/>
      <c r="T273" s="35"/>
      <c r="W273" s="57"/>
      <c r="X273" s="35"/>
      <c r="AA273" s="57"/>
      <c r="AB273" s="208">
        <f>ROUND((ROUND((_15_同援日１．５*_15・基礎２),0)*(1+_15・A夜間)),0)+ROUND((ROUND((_15_同援日１．５＿１．５*_15・基礎２),0)*(1+_15・B深夜)),0)</f>
        <v>752</v>
      </c>
      <c r="AC273" s="48"/>
    </row>
    <row r="274" spans="1:29" ht="16.5" customHeight="1" x14ac:dyDescent="0.15">
      <c r="A274" s="41">
        <v>15</v>
      </c>
      <c r="B274" s="41" t="s">
        <v>20382</v>
      </c>
      <c r="C274" s="74" t="s">
        <v>20383</v>
      </c>
      <c r="D274" s="72"/>
      <c r="F274" s="57"/>
      <c r="G274" s="72"/>
      <c r="H274" s="168">
        <f>_15_同援日１．５＿１．５</f>
        <v>195</v>
      </c>
      <c r="I274" s="57" t="s">
        <v>392</v>
      </c>
      <c r="J274" s="269" t="s">
        <v>17560</v>
      </c>
      <c r="K274" s="37" t="s">
        <v>398</v>
      </c>
      <c r="L274" s="38">
        <v>0.9</v>
      </c>
      <c r="M274" s="299" t="s">
        <v>17556</v>
      </c>
      <c r="N274" s="45" t="s">
        <v>398</v>
      </c>
      <c r="O274" s="46">
        <v>1</v>
      </c>
      <c r="P274" s="512"/>
      <c r="Q274" s="57"/>
      <c r="R274" s="512"/>
      <c r="S274" s="57"/>
      <c r="T274" s="43"/>
      <c r="U274" s="37"/>
      <c r="V274" s="38"/>
      <c r="W274" s="79"/>
      <c r="X274" s="35"/>
      <c r="AA274" s="57"/>
      <c r="AB274" s="208">
        <f>ROUND((ROUND((ROUND((_15_同援日１．５*_15・基礎２),0)*_15・２人),0)*(1+_15・A夜間)),0)+ROUND((ROUND((ROUND((_15_同援日１．５＿１．５*_15・基礎２),0)*_15・２人),0)*(1+_15・B深夜)),0)</f>
        <v>752</v>
      </c>
      <c r="AC274" s="48"/>
    </row>
    <row r="275" spans="1:29" ht="16.5" customHeight="1" x14ac:dyDescent="0.15">
      <c r="A275" s="41">
        <v>15</v>
      </c>
      <c r="B275" s="41" t="s">
        <v>20384</v>
      </c>
      <c r="C275" s="74" t="s">
        <v>20385</v>
      </c>
      <c r="D275" s="72"/>
      <c r="F275" s="57"/>
      <c r="G275" s="72"/>
      <c r="I275" s="57"/>
      <c r="J275" s="53"/>
      <c r="K275" s="49"/>
      <c r="L275" s="50"/>
      <c r="M275" s="163"/>
      <c r="N275" s="45"/>
      <c r="O275" s="46"/>
      <c r="P275" s="512"/>
      <c r="Q275" s="57"/>
      <c r="R275" s="512"/>
      <c r="S275" s="57"/>
      <c r="T275" s="114" t="s">
        <v>17562</v>
      </c>
      <c r="U275" s="49"/>
      <c r="V275" s="50"/>
      <c r="W275" s="115"/>
      <c r="X275" s="35"/>
      <c r="AA275" s="57"/>
      <c r="AB275" s="208">
        <f>ROUND((ROUND((_15_同援日１．５*(1+_15・A夜間)),0)*(1+_15・盲ろう)),0)+ROUND((ROUND((_15_同援日１．５＿１．５*(1+_15・B深夜)),0)*(1+_15・盲ろう)),0)</f>
        <v>1042</v>
      </c>
      <c r="AC275" s="48"/>
    </row>
    <row r="276" spans="1:29" ht="16.5" customHeight="1" x14ac:dyDescent="0.15">
      <c r="A276" s="41">
        <v>15</v>
      </c>
      <c r="B276" s="41" t="s">
        <v>20386</v>
      </c>
      <c r="C276" s="74" t="s">
        <v>20387</v>
      </c>
      <c r="D276" s="72"/>
      <c r="F276" s="57"/>
      <c r="G276" s="72"/>
      <c r="I276" s="57"/>
      <c r="J276" s="43"/>
      <c r="K276" s="37"/>
      <c r="L276" s="38"/>
      <c r="M276" s="299" t="s">
        <v>17556</v>
      </c>
      <c r="N276" s="45" t="s">
        <v>398</v>
      </c>
      <c r="O276" s="46">
        <v>1</v>
      </c>
      <c r="P276" s="512"/>
      <c r="Q276" s="57"/>
      <c r="R276" s="512"/>
      <c r="S276" s="57"/>
      <c r="T276" s="92" t="s">
        <v>17564</v>
      </c>
      <c r="W276" s="57"/>
      <c r="X276" s="35"/>
      <c r="AA276" s="57"/>
      <c r="AB276" s="208">
        <f>ROUND((ROUND((ROUND((_15_同援日１．５*_15・２人),0)*(1+_15・A夜間)),0)*(1+_15・盲ろう)),0)+ROUND((ROUND((ROUND((_15_同援日１．５＿１．５*_15・２人),0)*(1+_15・B深夜)),0)*(1+_15・盲ろう)),0)</f>
        <v>1042</v>
      </c>
      <c r="AC276" s="48"/>
    </row>
    <row r="277" spans="1:29" ht="16.5" customHeight="1" x14ac:dyDescent="0.15">
      <c r="A277" s="41">
        <v>15</v>
      </c>
      <c r="B277" s="41" t="s">
        <v>20388</v>
      </c>
      <c r="C277" s="74" t="s">
        <v>20389</v>
      </c>
      <c r="D277" s="72"/>
      <c r="F277" s="57"/>
      <c r="G277" s="72"/>
      <c r="I277" s="57"/>
      <c r="J277" s="114" t="s">
        <v>17558</v>
      </c>
      <c r="K277" s="49"/>
      <c r="L277" s="50"/>
      <c r="M277" s="163"/>
      <c r="N277" s="45"/>
      <c r="O277" s="46"/>
      <c r="P277" s="512"/>
      <c r="Q277" s="57"/>
      <c r="R277" s="512"/>
      <c r="S277" s="57"/>
      <c r="T277" s="35"/>
      <c r="U277" s="12" t="s">
        <v>398</v>
      </c>
      <c r="V277" s="13">
        <v>0.25</v>
      </c>
      <c r="W277" s="57" t="s">
        <v>3575</v>
      </c>
      <c r="X277" s="35"/>
      <c r="AA277" s="57"/>
      <c r="AB277" s="208">
        <f>ROUND((ROUND((ROUND((_15_同援日１．５*_15・基礎２),0)*(1+_15・A夜間)),0)*(1+_15・盲ろう)),0)+ROUND((ROUND((ROUND((_15_同援日１．５＿１．５*_15・基礎２),0)*(1+_15・B深夜)),0)*(1+_15・盲ろう)),0)</f>
        <v>940</v>
      </c>
      <c r="AC277" s="48"/>
    </row>
    <row r="278" spans="1:29" ht="16.5" customHeight="1" x14ac:dyDescent="0.15">
      <c r="A278" s="41">
        <v>15</v>
      </c>
      <c r="B278" s="41" t="s">
        <v>20390</v>
      </c>
      <c r="C278" s="74" t="s">
        <v>20391</v>
      </c>
      <c r="D278" s="72"/>
      <c r="F278" s="57"/>
      <c r="G278" s="72"/>
      <c r="I278" s="57"/>
      <c r="J278" s="269" t="s">
        <v>17560</v>
      </c>
      <c r="K278" s="37" t="s">
        <v>398</v>
      </c>
      <c r="L278" s="38">
        <v>0.9</v>
      </c>
      <c r="M278" s="299" t="s">
        <v>17556</v>
      </c>
      <c r="N278" s="45" t="s">
        <v>398</v>
      </c>
      <c r="O278" s="46">
        <v>1</v>
      </c>
      <c r="P278" s="512"/>
      <c r="Q278" s="57"/>
      <c r="R278" s="512"/>
      <c r="S278" s="57"/>
      <c r="T278" s="43"/>
      <c r="U278" s="37"/>
      <c r="V278" s="38"/>
      <c r="W278" s="79"/>
      <c r="X278" s="43"/>
      <c r="Y278" s="37"/>
      <c r="Z278" s="38"/>
      <c r="AA278" s="79"/>
      <c r="AB278" s="208">
        <f>ROUND((ROUND((ROUND((ROUND((_15_同援日１．５*_15・基礎２),0)*_15・２人),0)*(1+_15・A夜間)),0)*(1+_15・盲ろう)),0)+ROUND((ROUND((ROUND((ROUND((_15_同援日１．５＿１．５*_15・基礎２),0)*_15・２人),0)*(1+_15・B深夜)),0)*(1+_15・盲ろう)),0)</f>
        <v>940</v>
      </c>
      <c r="AC278" s="48"/>
    </row>
    <row r="279" spans="1:29" ht="16.5" customHeight="1" x14ac:dyDescent="0.15">
      <c r="A279" s="41">
        <v>15</v>
      </c>
      <c r="B279" s="41" t="s">
        <v>20392</v>
      </c>
      <c r="C279" s="74" t="s">
        <v>20393</v>
      </c>
      <c r="D279" s="72"/>
      <c r="F279" s="57"/>
      <c r="G279" s="72"/>
      <c r="I279" s="57"/>
      <c r="J279" s="53"/>
      <c r="K279" s="49"/>
      <c r="L279" s="50"/>
      <c r="M279" s="163"/>
      <c r="N279" s="45"/>
      <c r="O279" s="46"/>
      <c r="P279" s="512"/>
      <c r="Q279" s="57"/>
      <c r="R279" s="512"/>
      <c r="S279" s="57"/>
      <c r="T279" s="53"/>
      <c r="U279" s="49"/>
      <c r="V279" s="50"/>
      <c r="W279" s="115"/>
      <c r="X279" s="53"/>
      <c r="Y279" s="49"/>
      <c r="Z279" s="50"/>
      <c r="AA279" s="115"/>
      <c r="AB279" s="208">
        <f>ROUND((ROUND((_15_同援日１．５*(1+_15・A夜間)),0)*(1+_15・区３)),0)+ROUND((ROUND((_15_同援日１．５＿１．５*(1+_15・B深夜)),0)*(1+_15・区３)),0)</f>
        <v>1001</v>
      </c>
      <c r="AC279" s="48"/>
    </row>
    <row r="280" spans="1:29" ht="16.5" customHeight="1" x14ac:dyDescent="0.15">
      <c r="A280" s="41">
        <v>15</v>
      </c>
      <c r="B280" s="41" t="s">
        <v>20394</v>
      </c>
      <c r="C280" s="74" t="s">
        <v>20395</v>
      </c>
      <c r="D280" s="72"/>
      <c r="F280" s="57"/>
      <c r="G280" s="72"/>
      <c r="I280" s="57"/>
      <c r="J280" s="43"/>
      <c r="K280" s="37"/>
      <c r="L280" s="38"/>
      <c r="M280" s="299" t="s">
        <v>17556</v>
      </c>
      <c r="N280" s="45" t="s">
        <v>398</v>
      </c>
      <c r="O280" s="46">
        <v>1</v>
      </c>
      <c r="P280" s="512"/>
      <c r="Q280" s="57"/>
      <c r="R280" s="512"/>
      <c r="S280" s="57"/>
      <c r="T280" s="35"/>
      <c r="W280" s="57"/>
      <c r="X280" s="35"/>
      <c r="AA280" s="57"/>
      <c r="AB280" s="208">
        <f>ROUND((ROUND((ROUND((_15_同援日１．５*_15・２人),0)*(1+_15・A夜間)),0)*(1+_15・区３)),0)+ROUND((ROUND((ROUND((_15_同援日１．５＿１．５*_15・２人),0)*(1+_15・B深夜)),0)*(1+_15・区３)),0)</f>
        <v>1001</v>
      </c>
      <c r="AC280" s="48"/>
    </row>
    <row r="281" spans="1:29" ht="16.5" customHeight="1" x14ac:dyDescent="0.15">
      <c r="A281" s="41">
        <v>15</v>
      </c>
      <c r="B281" s="41" t="s">
        <v>20396</v>
      </c>
      <c r="C281" s="74" t="s">
        <v>20397</v>
      </c>
      <c r="D281" s="72"/>
      <c r="F281" s="57"/>
      <c r="G281" s="72"/>
      <c r="I281" s="57"/>
      <c r="J281" s="114" t="s">
        <v>17558</v>
      </c>
      <c r="K281" s="49"/>
      <c r="L281" s="50"/>
      <c r="M281" s="163"/>
      <c r="N281" s="45"/>
      <c r="O281" s="46"/>
      <c r="P281" s="512"/>
      <c r="Q281" s="57"/>
      <c r="R281" s="512"/>
      <c r="S281" s="57"/>
      <c r="T281" s="35"/>
      <c r="W281" s="57"/>
      <c r="X281" s="72" t="s">
        <v>17570</v>
      </c>
      <c r="AA281" s="57"/>
      <c r="AB281" s="208">
        <f>ROUND((ROUND((ROUND((_15_同援日１．５*_15・基礎２),0)*(1+_15・A夜間)),0)*(1+_15・区３)),0)+ROUND((ROUND((ROUND((_15_同援日１．５＿１．５*_15・基礎２),0)*(1+_15・B深夜)),0)*(1+_15・区３)),0)</f>
        <v>903</v>
      </c>
      <c r="AC281" s="48"/>
    </row>
    <row r="282" spans="1:29" ht="16.5" customHeight="1" x14ac:dyDescent="0.15">
      <c r="A282" s="41">
        <v>15</v>
      </c>
      <c r="B282" s="41" t="s">
        <v>20398</v>
      </c>
      <c r="C282" s="74" t="s">
        <v>20399</v>
      </c>
      <c r="D282" s="72"/>
      <c r="F282" s="57"/>
      <c r="G282" s="72"/>
      <c r="I282" s="57"/>
      <c r="J282" s="269" t="s">
        <v>17560</v>
      </c>
      <c r="K282" s="37" t="s">
        <v>398</v>
      </c>
      <c r="L282" s="38">
        <v>0.9</v>
      </c>
      <c r="M282" s="299" t="s">
        <v>17556</v>
      </c>
      <c r="N282" s="45" t="s">
        <v>398</v>
      </c>
      <c r="O282" s="46">
        <v>1</v>
      </c>
      <c r="P282" s="512"/>
      <c r="Q282" s="57"/>
      <c r="R282" s="512"/>
      <c r="S282" s="57"/>
      <c r="T282" s="43"/>
      <c r="U282" s="37"/>
      <c r="V282" s="38"/>
      <c r="W282" s="79"/>
      <c r="X282" s="72" t="s">
        <v>17572</v>
      </c>
      <c r="AA282" s="57"/>
      <c r="AB282" s="208">
        <f>ROUND((ROUND((ROUND((ROUND((_15_同援日１．５*_15・基礎２),0)*_15・２人),0)*(1+_15・A夜間)),0)*(1+_15・区３)),0)+ROUND((ROUND((ROUND((ROUND((_15_同援日１．５＿１．５*_15・基礎２),0)*_15・２人),0)*(1+_15・B深夜)),0)*(1+_15・区３)),0)</f>
        <v>903</v>
      </c>
      <c r="AC282" s="48"/>
    </row>
    <row r="283" spans="1:29" ht="16.5" customHeight="1" x14ac:dyDescent="0.15">
      <c r="A283" s="41">
        <v>15</v>
      </c>
      <c r="B283" s="41" t="s">
        <v>20400</v>
      </c>
      <c r="C283" s="74" t="s">
        <v>20401</v>
      </c>
      <c r="D283" s="72"/>
      <c r="F283" s="57"/>
      <c r="G283" s="72"/>
      <c r="I283" s="57"/>
      <c r="J283" s="53"/>
      <c r="K283" s="49"/>
      <c r="L283" s="50"/>
      <c r="M283" s="163"/>
      <c r="N283" s="45"/>
      <c r="O283" s="46"/>
      <c r="P283" s="512"/>
      <c r="Q283" s="57"/>
      <c r="R283" s="512"/>
      <c r="S283" s="57"/>
      <c r="T283" s="114" t="s">
        <v>17562</v>
      </c>
      <c r="U283" s="49"/>
      <c r="V283" s="50"/>
      <c r="W283" s="115"/>
      <c r="X283" s="35"/>
      <c r="Y283" s="12" t="s">
        <v>398</v>
      </c>
      <c r="Z283" s="13">
        <v>0.2</v>
      </c>
      <c r="AA283" s="57" t="s">
        <v>3575</v>
      </c>
      <c r="AB283" s="208">
        <f>ROUND((ROUND((ROUND((_15_同援日１．５*(1+_15・A夜間)),0)*(1+_15・盲ろう)),0)*(1+_15・区３)),0)+ROUND((ROUND((ROUND((_15_同援日１．５＿１．５*(1+_15・B深夜)),0)*(1+_15・盲ろう)),0)*(1+_15・区３)),0)</f>
        <v>1250</v>
      </c>
      <c r="AC283" s="48"/>
    </row>
    <row r="284" spans="1:29" ht="16.5" customHeight="1" x14ac:dyDescent="0.15">
      <c r="A284" s="41">
        <v>15</v>
      </c>
      <c r="B284" s="41" t="s">
        <v>20402</v>
      </c>
      <c r="C284" s="74" t="s">
        <v>20403</v>
      </c>
      <c r="D284" s="72"/>
      <c r="F284" s="57"/>
      <c r="G284" s="72"/>
      <c r="I284" s="57"/>
      <c r="J284" s="43"/>
      <c r="K284" s="37"/>
      <c r="L284" s="38"/>
      <c r="M284" s="299" t="s">
        <v>17556</v>
      </c>
      <c r="N284" s="45" t="s">
        <v>398</v>
      </c>
      <c r="O284" s="46">
        <v>1</v>
      </c>
      <c r="P284" s="512"/>
      <c r="Q284" s="57"/>
      <c r="R284" s="512"/>
      <c r="S284" s="57"/>
      <c r="T284" s="92" t="s">
        <v>17564</v>
      </c>
      <c r="W284" s="57"/>
      <c r="X284" s="35"/>
      <c r="AA284" s="57"/>
      <c r="AB284" s="208">
        <f>ROUND((ROUND((ROUND((ROUND((_15_同援日１．５*_15・２人),0)*(1+_15・A夜間)),0)*(1+_15・盲ろう)),0)*(1+_15・区３)),0)+ROUND((ROUND((ROUND((ROUND((_15_同援日１．５＿１．５*_15・２人),0)*(1+_15・B深夜)),0)*(1+_15・盲ろう)),0)*(1+_15・区３)),0)</f>
        <v>1250</v>
      </c>
      <c r="AC284" s="48"/>
    </row>
    <row r="285" spans="1:29" ht="16.5" customHeight="1" x14ac:dyDescent="0.15">
      <c r="A285" s="41">
        <v>15</v>
      </c>
      <c r="B285" s="41" t="s">
        <v>546</v>
      </c>
      <c r="C285" s="74" t="s">
        <v>20404</v>
      </c>
      <c r="D285" s="72"/>
      <c r="F285" s="57"/>
      <c r="G285" s="72"/>
      <c r="I285" s="57"/>
      <c r="J285" s="114" t="s">
        <v>17558</v>
      </c>
      <c r="K285" s="49"/>
      <c r="L285" s="50"/>
      <c r="M285" s="163"/>
      <c r="N285" s="45"/>
      <c r="O285" s="46"/>
      <c r="P285" s="512"/>
      <c r="Q285" s="57"/>
      <c r="R285" s="512"/>
      <c r="S285" s="57"/>
      <c r="T285" s="35"/>
      <c r="U285" s="12" t="s">
        <v>398</v>
      </c>
      <c r="V285" s="13">
        <v>0.25</v>
      </c>
      <c r="W285" s="57" t="s">
        <v>3575</v>
      </c>
      <c r="X285" s="35"/>
      <c r="AA285" s="57"/>
      <c r="AB285" s="208">
        <f>ROUND((ROUND((ROUND((ROUND((_15_同援日１．５*_15・基礎２),0)*(1+_15・A夜間)),0)*(1+_15・盲ろう)),0)*(1+_15・区３)),0)+ROUND((ROUND((ROUND((ROUND((_15_同援日１．５＿１．５*_15・基礎２),0)*(1+_15・B深夜)),0)*(1+_15・盲ろう)),0)*(1+_15・区３)),0)</f>
        <v>1128</v>
      </c>
      <c r="AC285" s="48"/>
    </row>
    <row r="286" spans="1:29" ht="16.5" customHeight="1" x14ac:dyDescent="0.15">
      <c r="A286" s="41">
        <v>15</v>
      </c>
      <c r="B286" s="41" t="s">
        <v>548</v>
      </c>
      <c r="C286" s="74" t="s">
        <v>20405</v>
      </c>
      <c r="D286" s="72"/>
      <c r="F286" s="57"/>
      <c r="G286" s="72"/>
      <c r="I286" s="57"/>
      <c r="J286" s="269" t="s">
        <v>17560</v>
      </c>
      <c r="K286" s="37" t="s">
        <v>398</v>
      </c>
      <c r="L286" s="38">
        <v>0.9</v>
      </c>
      <c r="M286" s="299" t="s">
        <v>17556</v>
      </c>
      <c r="N286" s="45" t="s">
        <v>398</v>
      </c>
      <c r="O286" s="46">
        <v>1</v>
      </c>
      <c r="P286" s="512"/>
      <c r="Q286" s="57"/>
      <c r="R286" s="512"/>
      <c r="S286" s="57"/>
      <c r="T286" s="43"/>
      <c r="U286" s="37"/>
      <c r="V286" s="38"/>
      <c r="W286" s="79"/>
      <c r="X286" s="43"/>
      <c r="Y286" s="37"/>
      <c r="Z286" s="38"/>
      <c r="AA286" s="79"/>
      <c r="AB286" s="208">
        <f>ROUND((ROUND((ROUND((ROUND((ROUND((_15_同援日１．５*_15・基礎２),0)*_15・２人),0)*(1+_15・A夜間)),0)*(1+_15・盲ろう)),0)*(1+_15・区３)),0)+ROUND((ROUND((ROUND((ROUND((ROUND((_15_同援日１．５＿１．５*_15・基礎２),0)*_15・２人),0)*(1+_15・B深夜)),0)*(1+_15・盲ろう)),0)*(1+_15・区３)),0)</f>
        <v>1128</v>
      </c>
      <c r="AC286" s="48"/>
    </row>
    <row r="287" spans="1:29" ht="16.5" customHeight="1" x14ac:dyDescent="0.15">
      <c r="A287" s="41">
        <v>15</v>
      </c>
      <c r="B287" s="41" t="s">
        <v>550</v>
      </c>
      <c r="C287" s="74" t="s">
        <v>20406</v>
      </c>
      <c r="D287" s="72"/>
      <c r="F287" s="57"/>
      <c r="G287" s="72"/>
      <c r="I287" s="57"/>
      <c r="J287" s="53"/>
      <c r="K287" s="49"/>
      <c r="L287" s="50"/>
      <c r="M287" s="163"/>
      <c r="N287" s="45"/>
      <c r="O287" s="46"/>
      <c r="P287" s="512"/>
      <c r="Q287" s="57"/>
      <c r="R287" s="512"/>
      <c r="S287" s="57"/>
      <c r="T287" s="53"/>
      <c r="U287" s="49"/>
      <c r="V287" s="50"/>
      <c r="W287" s="115"/>
      <c r="X287" s="53"/>
      <c r="Y287" s="49"/>
      <c r="Z287" s="50"/>
      <c r="AA287" s="115"/>
      <c r="AB287" s="208">
        <f>ROUND((ROUND((_15_同援日１．５*(1+_15・A夜間)),0)*(1+_15・区４)),0)+ROUND((ROUND((_15_同援日１．５＿１．５*(1+_15・B深夜)),0)*(1+_15・区４)),0)</f>
        <v>1167</v>
      </c>
      <c r="AC287" s="48"/>
    </row>
    <row r="288" spans="1:29" ht="16.5" customHeight="1" x14ac:dyDescent="0.15">
      <c r="A288" s="41">
        <v>15</v>
      </c>
      <c r="B288" s="41" t="s">
        <v>552</v>
      </c>
      <c r="C288" s="74" t="s">
        <v>20407</v>
      </c>
      <c r="D288" s="72"/>
      <c r="F288" s="57"/>
      <c r="G288" s="72"/>
      <c r="I288" s="57"/>
      <c r="J288" s="43"/>
      <c r="K288" s="37"/>
      <c r="L288" s="38"/>
      <c r="M288" s="299" t="s">
        <v>17556</v>
      </c>
      <c r="N288" s="45" t="s">
        <v>398</v>
      </c>
      <c r="O288" s="46">
        <v>1</v>
      </c>
      <c r="P288" s="512"/>
      <c r="Q288" s="57"/>
      <c r="R288" s="512"/>
      <c r="S288" s="57"/>
      <c r="T288" s="35"/>
      <c r="W288" s="57"/>
      <c r="X288" s="35"/>
      <c r="AA288" s="57"/>
      <c r="AB288" s="208">
        <f>ROUND((ROUND((ROUND((_15_同援日１．５*_15・２人),0)*(1+_15・A夜間)),0)*(1+_15・区４)),0)+ROUND((ROUND((ROUND((_15_同援日１．５＿１．５*_15・２人),0)*(1+_15・B深夜)),0)*(1+_15・区４)),0)</f>
        <v>1167</v>
      </c>
      <c r="AC288" s="48"/>
    </row>
    <row r="289" spans="1:29" ht="16.5" customHeight="1" x14ac:dyDescent="0.15">
      <c r="A289" s="41">
        <v>15</v>
      </c>
      <c r="B289" s="41" t="s">
        <v>20408</v>
      </c>
      <c r="C289" s="74" t="s">
        <v>20409</v>
      </c>
      <c r="D289" s="72"/>
      <c r="F289" s="57"/>
      <c r="G289" s="72"/>
      <c r="I289" s="57"/>
      <c r="J289" s="114" t="s">
        <v>17558</v>
      </c>
      <c r="K289" s="49"/>
      <c r="L289" s="50"/>
      <c r="M289" s="163"/>
      <c r="N289" s="45"/>
      <c r="O289" s="46"/>
      <c r="P289" s="512"/>
      <c r="Q289" s="57"/>
      <c r="R289" s="512"/>
      <c r="S289" s="57"/>
      <c r="T289" s="35"/>
      <c r="W289" s="57"/>
      <c r="X289" s="72" t="s">
        <v>17580</v>
      </c>
      <c r="AA289" s="57"/>
      <c r="AB289" s="208">
        <f>ROUND((ROUND((ROUND((_15_同援日１．５*_15・基礎２),0)*(1+_15・A夜間)),0)*(1+_15・区４)),0)+ROUND((ROUND((ROUND((_15_同援日１．５＿１．５*_15・基礎２),0)*(1+_15・B深夜)),0)*(1+_15・区４)),0)</f>
        <v>1053</v>
      </c>
      <c r="AC289" s="48"/>
    </row>
    <row r="290" spans="1:29" ht="16.5" customHeight="1" x14ac:dyDescent="0.15">
      <c r="A290" s="41">
        <v>15</v>
      </c>
      <c r="B290" s="41" t="s">
        <v>20410</v>
      </c>
      <c r="C290" s="74" t="s">
        <v>20411</v>
      </c>
      <c r="D290" s="72"/>
      <c r="F290" s="57"/>
      <c r="G290" s="72"/>
      <c r="I290" s="57"/>
      <c r="J290" s="269" t="s">
        <v>17560</v>
      </c>
      <c r="K290" s="37" t="s">
        <v>398</v>
      </c>
      <c r="L290" s="38">
        <v>0.9</v>
      </c>
      <c r="M290" s="299" t="s">
        <v>17556</v>
      </c>
      <c r="N290" s="45" t="s">
        <v>398</v>
      </c>
      <c r="O290" s="46">
        <v>1</v>
      </c>
      <c r="P290" s="512"/>
      <c r="Q290" s="57"/>
      <c r="R290" s="512"/>
      <c r="S290" s="57"/>
      <c r="T290" s="43"/>
      <c r="U290" s="37"/>
      <c r="V290" s="38"/>
      <c r="W290" s="79"/>
      <c r="X290" s="72" t="s">
        <v>17572</v>
      </c>
      <c r="AA290" s="57"/>
      <c r="AB290" s="208">
        <f>ROUND((ROUND((ROUND((ROUND((_15_同援日１．５*_15・基礎２),0)*_15・２人),0)*(1+_15・A夜間)),0)*(1+_15・区４)),0)+ROUND((ROUND((ROUND((ROUND((_15_同援日１．５＿１．５*_15・基礎２),0)*_15・２人),0)*(1+_15・B深夜)),0)*(1+_15・区４)),0)</f>
        <v>1053</v>
      </c>
      <c r="AC290" s="48"/>
    </row>
    <row r="291" spans="1:29" ht="16.5" customHeight="1" x14ac:dyDescent="0.15">
      <c r="A291" s="41">
        <v>15</v>
      </c>
      <c r="B291" s="41" t="s">
        <v>20412</v>
      </c>
      <c r="C291" s="74" t="s">
        <v>20413</v>
      </c>
      <c r="D291" s="72"/>
      <c r="F291" s="57"/>
      <c r="G291" s="72"/>
      <c r="I291" s="57"/>
      <c r="J291" s="53"/>
      <c r="K291" s="49"/>
      <c r="L291" s="50"/>
      <c r="M291" s="163"/>
      <c r="N291" s="45"/>
      <c r="O291" s="46"/>
      <c r="P291" s="512"/>
      <c r="Q291" s="57"/>
      <c r="R291" s="512"/>
      <c r="S291" s="57"/>
      <c r="T291" s="114" t="s">
        <v>17562</v>
      </c>
      <c r="U291" s="49"/>
      <c r="V291" s="50"/>
      <c r="W291" s="115"/>
      <c r="X291" s="35"/>
      <c r="Y291" s="12" t="s">
        <v>398</v>
      </c>
      <c r="Z291" s="13">
        <v>0.4</v>
      </c>
      <c r="AA291" s="57" t="s">
        <v>3575</v>
      </c>
      <c r="AB291" s="208">
        <f>ROUND((ROUND((ROUND((_15_同援日１．５*(1+_15・A夜間)),0)*(1+_15・盲ろう)),0)*(1+_15・区４)),0)+ROUND((ROUND((ROUND((_15_同援日１．５＿１．５*(1+_15・B深夜)),0)*(1+_15・盲ろう)),0)*(1+_15・区４)),0)</f>
        <v>1458</v>
      </c>
      <c r="AC291" s="48"/>
    </row>
    <row r="292" spans="1:29" ht="16.5" customHeight="1" x14ac:dyDescent="0.15">
      <c r="A292" s="41">
        <v>15</v>
      </c>
      <c r="B292" s="41" t="s">
        <v>20414</v>
      </c>
      <c r="C292" s="74" t="s">
        <v>20415</v>
      </c>
      <c r="D292" s="72"/>
      <c r="F292" s="57"/>
      <c r="G292" s="72"/>
      <c r="I292" s="57"/>
      <c r="J292" s="43"/>
      <c r="K292" s="37"/>
      <c r="L292" s="38"/>
      <c r="M292" s="299" t="s">
        <v>17556</v>
      </c>
      <c r="N292" s="45" t="s">
        <v>398</v>
      </c>
      <c r="O292" s="46">
        <v>1</v>
      </c>
      <c r="P292" s="512"/>
      <c r="Q292" s="57"/>
      <c r="R292" s="512"/>
      <c r="S292" s="57"/>
      <c r="T292" s="92" t="s">
        <v>17564</v>
      </c>
      <c r="W292" s="57"/>
      <c r="X292" s="35"/>
      <c r="AA292" s="57"/>
      <c r="AB292" s="208">
        <f>ROUND((ROUND((ROUND((ROUND((_15_同援日１．５*_15・２人),0)*(1+_15・A夜間)),0)*(1+_15・盲ろう)),0)*(1+_15・区４)),0)+ROUND((ROUND((ROUND((ROUND((_15_同援日１．５＿１．５*_15・２人),0)*(1+_15・B深夜)),0)*(1+_15・盲ろう)),0)*(1+_15・区４)),0)</f>
        <v>1458</v>
      </c>
      <c r="AC292" s="48"/>
    </row>
    <row r="293" spans="1:29" ht="16.5" customHeight="1" x14ac:dyDescent="0.15">
      <c r="A293" s="41">
        <v>15</v>
      </c>
      <c r="B293" s="41" t="s">
        <v>20416</v>
      </c>
      <c r="C293" s="74" t="s">
        <v>20417</v>
      </c>
      <c r="D293" s="72"/>
      <c r="F293" s="57"/>
      <c r="G293" s="72"/>
      <c r="I293" s="57"/>
      <c r="J293" s="114" t="s">
        <v>17558</v>
      </c>
      <c r="K293" s="49"/>
      <c r="L293" s="50"/>
      <c r="M293" s="163"/>
      <c r="N293" s="45"/>
      <c r="O293" s="46"/>
      <c r="P293" s="512"/>
      <c r="Q293" s="57"/>
      <c r="R293" s="512"/>
      <c r="S293" s="57"/>
      <c r="T293" s="35"/>
      <c r="U293" s="12" t="s">
        <v>398</v>
      </c>
      <c r="V293" s="13">
        <v>0.25</v>
      </c>
      <c r="W293" s="57" t="s">
        <v>3575</v>
      </c>
      <c r="X293" s="35"/>
      <c r="AA293" s="57"/>
      <c r="AB293" s="208">
        <f>ROUND((ROUND((ROUND((ROUND((_15_同援日１．５*_15・基礎２),0)*(1+_15・A夜間)),0)*(1+_15・盲ろう)),0)*(1+_15・区４)),0)+ROUND((ROUND((ROUND((ROUND((_15_同援日１．５＿１．５*_15・基礎２),0)*(1+_15・B深夜)),0)*(1+_15・盲ろう)),0)*(1+_15・区４)),0)</f>
        <v>1316</v>
      </c>
      <c r="AC293" s="48"/>
    </row>
    <row r="294" spans="1:29" ht="16.5" customHeight="1" x14ac:dyDescent="0.15">
      <c r="A294" s="41">
        <v>15</v>
      </c>
      <c r="B294" s="41" t="s">
        <v>20418</v>
      </c>
      <c r="C294" s="74" t="s">
        <v>20419</v>
      </c>
      <c r="D294" s="122"/>
      <c r="E294" s="37"/>
      <c r="F294" s="79"/>
      <c r="G294" s="122"/>
      <c r="H294" s="37"/>
      <c r="I294" s="79"/>
      <c r="J294" s="269" t="s">
        <v>17560</v>
      </c>
      <c r="K294" s="37" t="s">
        <v>398</v>
      </c>
      <c r="L294" s="38">
        <v>0.9</v>
      </c>
      <c r="M294" s="299" t="s">
        <v>17556</v>
      </c>
      <c r="N294" s="45" t="s">
        <v>398</v>
      </c>
      <c r="O294" s="46">
        <v>1</v>
      </c>
      <c r="P294" s="514"/>
      <c r="Q294" s="79"/>
      <c r="R294" s="514"/>
      <c r="S294" s="79"/>
      <c r="T294" s="43"/>
      <c r="U294" s="37"/>
      <c r="V294" s="38"/>
      <c r="W294" s="79"/>
      <c r="X294" s="43"/>
      <c r="Y294" s="37"/>
      <c r="Z294" s="38"/>
      <c r="AA294" s="79"/>
      <c r="AB294" s="208">
        <f>ROUND((ROUND((ROUND((ROUND((ROUND((_15_同援日１．５*_15・基礎２),0)*_15・２人),0)*(1+_15・A夜間)),0)*(1+_15・盲ろう)),0)*(1+_15・区４)),0)+ROUND((ROUND((ROUND((ROUND((ROUND((_15_同援日１．５＿１．５*_15・基礎２),0)*_15・２人),0)*(1+_15・B深夜)),0)*(1+_15・盲ろう)),0)*(1+_15・区４)),0)</f>
        <v>1316</v>
      </c>
      <c r="AC294" s="63"/>
    </row>
    <row r="295" spans="1:29" ht="16.5" customHeight="1" x14ac:dyDescent="0.15">
      <c r="A295" s="41">
        <v>15</v>
      </c>
      <c r="B295" s="41" t="s">
        <v>20420</v>
      </c>
      <c r="C295" s="74" t="s">
        <v>20421</v>
      </c>
      <c r="D295" s="114" t="s">
        <v>18334</v>
      </c>
      <c r="E295" s="49"/>
      <c r="F295" s="115"/>
      <c r="G295" s="114" t="s">
        <v>19945</v>
      </c>
      <c r="H295" s="49"/>
      <c r="I295" s="115"/>
      <c r="J295" s="53"/>
      <c r="K295" s="49"/>
      <c r="L295" s="50"/>
      <c r="M295" s="163"/>
      <c r="N295" s="45"/>
      <c r="O295" s="46"/>
      <c r="P295" s="515"/>
      <c r="Q295" s="115"/>
      <c r="R295" s="515"/>
      <c r="S295" s="115"/>
      <c r="T295" s="53"/>
      <c r="U295" s="49"/>
      <c r="V295" s="50"/>
      <c r="W295" s="115"/>
      <c r="X295" s="53"/>
      <c r="Y295" s="49"/>
      <c r="Z295" s="50"/>
      <c r="AA295" s="115"/>
      <c r="AB295" s="208">
        <f>ROUND((_15_同援日２．０*(1+_15・A夜間)),0)+ROUND((_15_同援日２．０＿０．５*(1+_15・B深夜)),0)</f>
        <v>721</v>
      </c>
      <c r="AC295" s="64"/>
    </row>
    <row r="296" spans="1:29" ht="16.5" customHeight="1" x14ac:dyDescent="0.15">
      <c r="A296" s="41">
        <v>15</v>
      </c>
      <c r="B296" s="41" t="s">
        <v>20422</v>
      </c>
      <c r="C296" s="74" t="s">
        <v>20423</v>
      </c>
      <c r="D296" s="72" t="s">
        <v>17643</v>
      </c>
      <c r="F296" s="57"/>
      <c r="G296" s="72" t="s">
        <v>18259</v>
      </c>
      <c r="I296" s="57"/>
      <c r="J296" s="43"/>
      <c r="K296" s="37"/>
      <c r="L296" s="38"/>
      <c r="M296" s="299" t="s">
        <v>17556</v>
      </c>
      <c r="N296" s="45" t="s">
        <v>398</v>
      </c>
      <c r="O296" s="46">
        <v>1</v>
      </c>
      <c r="P296" s="512"/>
      <c r="Q296" s="57"/>
      <c r="R296" s="512"/>
      <c r="S296" s="57"/>
      <c r="T296" s="35"/>
      <c r="W296" s="57"/>
      <c r="X296" s="35"/>
      <c r="AA296" s="57"/>
      <c r="AB296" s="208">
        <f>ROUND((ROUND((_15_同援日２．０*_15・２人),0)*(1+_15・A夜間)),0)+ROUND((ROUND((_15_同援日２．０＿０．５*_15・２人),0)*(1+_15・B深夜)),0)</f>
        <v>721</v>
      </c>
      <c r="AC296" s="48"/>
    </row>
    <row r="297" spans="1:29" ht="16.5" customHeight="1" x14ac:dyDescent="0.15">
      <c r="A297" s="41">
        <v>15</v>
      </c>
      <c r="B297" s="41" t="s">
        <v>20424</v>
      </c>
      <c r="C297" s="74" t="s">
        <v>20425</v>
      </c>
      <c r="D297" s="72" t="s">
        <v>17645</v>
      </c>
      <c r="F297" s="57"/>
      <c r="G297" s="72"/>
      <c r="I297" s="57"/>
      <c r="J297" s="114" t="s">
        <v>17558</v>
      </c>
      <c r="K297" s="49"/>
      <c r="L297" s="50"/>
      <c r="M297" s="163"/>
      <c r="N297" s="45"/>
      <c r="O297" s="46"/>
      <c r="P297" s="512"/>
      <c r="Q297" s="57"/>
      <c r="R297" s="512"/>
      <c r="S297" s="57"/>
      <c r="T297" s="35"/>
      <c r="W297" s="57"/>
      <c r="X297" s="35"/>
      <c r="AA297" s="57"/>
      <c r="AB297" s="208">
        <f>ROUND((ROUND((_15_同援日２．０*_15・基礎２),0)*(1+_15・A夜間)),0)+ROUND((ROUND((_15_同援日２．０＿０．５*_15・基礎２),0)*(1+_15・B深夜)),0)</f>
        <v>649</v>
      </c>
      <c r="AC297" s="48"/>
    </row>
    <row r="298" spans="1:29" ht="16.5" customHeight="1" x14ac:dyDescent="0.15">
      <c r="A298" s="41">
        <v>15</v>
      </c>
      <c r="B298" s="41" t="s">
        <v>20426</v>
      </c>
      <c r="C298" s="74" t="s">
        <v>20427</v>
      </c>
      <c r="D298" s="72"/>
      <c r="E298" s="168">
        <f>_15_同援日２．０</f>
        <v>498</v>
      </c>
      <c r="F298" s="57" t="s">
        <v>392</v>
      </c>
      <c r="G298" s="72"/>
      <c r="H298" s="168">
        <f>_15_同援日２．０＿０．５</f>
        <v>65</v>
      </c>
      <c r="I298" s="57" t="s">
        <v>392</v>
      </c>
      <c r="J298" s="269" t="s">
        <v>17560</v>
      </c>
      <c r="K298" s="37" t="s">
        <v>398</v>
      </c>
      <c r="L298" s="38">
        <v>0.9</v>
      </c>
      <c r="M298" s="299" t="s">
        <v>17556</v>
      </c>
      <c r="N298" s="45" t="s">
        <v>398</v>
      </c>
      <c r="O298" s="46">
        <v>1</v>
      </c>
      <c r="P298" s="512"/>
      <c r="Q298" s="57"/>
      <c r="R298" s="512"/>
      <c r="S298" s="57"/>
      <c r="T298" s="43"/>
      <c r="U298" s="37"/>
      <c r="V298" s="38"/>
      <c r="W298" s="79"/>
      <c r="X298" s="35"/>
      <c r="AA298" s="57"/>
      <c r="AB298" s="208">
        <f>ROUND((ROUND((ROUND((_15_同援日２．０*_15・基礎２),0)*_15・２人),0)*(1+_15・A夜間)),0)+ROUND((ROUND((ROUND((_15_同援日２．０＿０．５*_15・基礎２),0)*_15・２人),0)*(1+_15・B深夜)),0)</f>
        <v>649</v>
      </c>
      <c r="AC298" s="48"/>
    </row>
    <row r="299" spans="1:29" ht="16.5" customHeight="1" x14ac:dyDescent="0.15">
      <c r="A299" s="41">
        <v>15</v>
      </c>
      <c r="B299" s="41" t="s">
        <v>20428</v>
      </c>
      <c r="C299" s="74" t="s">
        <v>20429</v>
      </c>
      <c r="D299" s="72"/>
      <c r="F299" s="57"/>
      <c r="G299" s="72"/>
      <c r="I299" s="57"/>
      <c r="J299" s="53"/>
      <c r="K299" s="49"/>
      <c r="L299" s="50"/>
      <c r="M299" s="163"/>
      <c r="N299" s="45"/>
      <c r="O299" s="46"/>
      <c r="P299" s="512"/>
      <c r="Q299" s="57"/>
      <c r="R299" s="512"/>
      <c r="S299" s="57"/>
      <c r="T299" s="114" t="s">
        <v>17562</v>
      </c>
      <c r="U299" s="49"/>
      <c r="V299" s="50"/>
      <c r="W299" s="115"/>
      <c r="X299" s="35"/>
      <c r="AA299" s="57"/>
      <c r="AB299" s="208">
        <f>ROUND((ROUND((_15_同援日２．０*(1+_15・A夜間)),0)*(1+_15・盲ろう)),0)+ROUND((ROUND((_15_同援日２．０＿０．５*(1+_15・B深夜)),0)*(1+_15・盲ろう)),0)</f>
        <v>902</v>
      </c>
      <c r="AC299" s="48"/>
    </row>
    <row r="300" spans="1:29" ht="16.5" customHeight="1" x14ac:dyDescent="0.15">
      <c r="A300" s="41">
        <v>15</v>
      </c>
      <c r="B300" s="41" t="s">
        <v>20430</v>
      </c>
      <c r="C300" s="74" t="s">
        <v>20431</v>
      </c>
      <c r="D300" s="72"/>
      <c r="F300" s="57"/>
      <c r="G300" s="72"/>
      <c r="I300" s="57"/>
      <c r="J300" s="43"/>
      <c r="K300" s="37"/>
      <c r="L300" s="38"/>
      <c r="M300" s="299" t="s">
        <v>17556</v>
      </c>
      <c r="N300" s="45" t="s">
        <v>398</v>
      </c>
      <c r="O300" s="46">
        <v>1</v>
      </c>
      <c r="P300" s="512"/>
      <c r="Q300" s="57"/>
      <c r="R300" s="512"/>
      <c r="S300" s="57"/>
      <c r="T300" s="92" t="s">
        <v>17564</v>
      </c>
      <c r="W300" s="57"/>
      <c r="X300" s="35"/>
      <c r="AA300" s="57"/>
      <c r="AB300" s="208">
        <f>ROUND((ROUND((ROUND((_15_同援日２．０*_15・２人),0)*(1+_15・A夜間)),0)*(1+_15・盲ろう)),0)+ROUND((ROUND((ROUND((_15_同援日２．０＿０．５*_15・２人),0)*(1+_15・B深夜)),0)*(1+_15・盲ろう)),0)</f>
        <v>902</v>
      </c>
      <c r="AC300" s="48"/>
    </row>
    <row r="301" spans="1:29" ht="16.5" customHeight="1" x14ac:dyDescent="0.15">
      <c r="A301" s="41">
        <v>15</v>
      </c>
      <c r="B301" s="41" t="s">
        <v>20432</v>
      </c>
      <c r="C301" s="74" t="s">
        <v>20433</v>
      </c>
      <c r="D301" s="72"/>
      <c r="F301" s="57"/>
      <c r="G301" s="72"/>
      <c r="I301" s="57"/>
      <c r="J301" s="114" t="s">
        <v>17558</v>
      </c>
      <c r="K301" s="49"/>
      <c r="L301" s="50"/>
      <c r="M301" s="163"/>
      <c r="N301" s="45"/>
      <c r="O301" s="46"/>
      <c r="P301" s="512"/>
      <c r="Q301" s="57"/>
      <c r="R301" s="512"/>
      <c r="S301" s="57"/>
      <c r="T301" s="35"/>
      <c r="U301" s="12" t="s">
        <v>398</v>
      </c>
      <c r="V301" s="13">
        <v>0.25</v>
      </c>
      <c r="W301" s="57" t="s">
        <v>3575</v>
      </c>
      <c r="X301" s="35"/>
      <c r="AA301" s="57"/>
      <c r="AB301" s="208">
        <f>ROUND((ROUND((ROUND((_15_同援日２．０*_15・基礎２),0)*(1+_15・A夜間)),0)*(1+_15・盲ろう)),0)+ROUND((ROUND((ROUND((_15_同援日２．０＿０．５*_15・基礎２),0)*(1+_15・B深夜)),0)*(1+_15・盲ろう)),0)</f>
        <v>811</v>
      </c>
      <c r="AC301" s="48"/>
    </row>
    <row r="302" spans="1:29" ht="16.5" customHeight="1" x14ac:dyDescent="0.15">
      <c r="A302" s="41">
        <v>15</v>
      </c>
      <c r="B302" s="41" t="s">
        <v>20434</v>
      </c>
      <c r="C302" s="74" t="s">
        <v>20435</v>
      </c>
      <c r="D302" s="72"/>
      <c r="F302" s="57"/>
      <c r="G302" s="72"/>
      <c r="I302" s="57"/>
      <c r="J302" s="269" t="s">
        <v>17560</v>
      </c>
      <c r="K302" s="37" t="s">
        <v>398</v>
      </c>
      <c r="L302" s="38">
        <v>0.9</v>
      </c>
      <c r="M302" s="299" t="s">
        <v>17556</v>
      </c>
      <c r="N302" s="45" t="s">
        <v>398</v>
      </c>
      <c r="O302" s="46">
        <v>1</v>
      </c>
      <c r="P302" s="512"/>
      <c r="Q302" s="57"/>
      <c r="R302" s="512"/>
      <c r="S302" s="57"/>
      <c r="T302" s="43"/>
      <c r="U302" s="37"/>
      <c r="V302" s="38"/>
      <c r="W302" s="79"/>
      <c r="X302" s="43"/>
      <c r="Y302" s="37"/>
      <c r="Z302" s="38"/>
      <c r="AA302" s="79"/>
      <c r="AB302" s="208">
        <f>ROUND((ROUND((ROUND((ROUND((_15_同援日２．０*_15・基礎２),0)*_15・２人),0)*(1+_15・A夜間)),0)*(1+_15・盲ろう)),0)+ROUND((ROUND((ROUND((ROUND((_15_同援日２．０＿０．５*_15・基礎２),0)*_15・２人),0)*(1+_15・B深夜)),0)*(1+_15・盲ろう)),0)</f>
        <v>811</v>
      </c>
      <c r="AC302" s="48"/>
    </row>
    <row r="303" spans="1:29" ht="16.5" customHeight="1" x14ac:dyDescent="0.15">
      <c r="A303" s="41">
        <v>15</v>
      </c>
      <c r="B303" s="41" t="s">
        <v>20436</v>
      </c>
      <c r="C303" s="74" t="s">
        <v>20437</v>
      </c>
      <c r="D303" s="72"/>
      <c r="F303" s="57"/>
      <c r="G303" s="72"/>
      <c r="I303" s="57"/>
      <c r="J303" s="53"/>
      <c r="K303" s="49"/>
      <c r="L303" s="50"/>
      <c r="M303" s="163"/>
      <c r="N303" s="45"/>
      <c r="O303" s="46"/>
      <c r="P303" s="512"/>
      <c r="Q303" s="57"/>
      <c r="R303" s="512"/>
      <c r="S303" s="57"/>
      <c r="T303" s="53"/>
      <c r="U303" s="49"/>
      <c r="V303" s="50"/>
      <c r="W303" s="115"/>
      <c r="X303" s="53"/>
      <c r="Y303" s="49"/>
      <c r="Z303" s="50"/>
      <c r="AA303" s="115"/>
      <c r="AB303" s="208">
        <f>ROUND((ROUND((_15_同援日２．０*(1+_15・A夜間)),0)*(1+_15・区３)),0)+ROUND((ROUND((_15_同援日２．０＿０．５*(1+_15・B深夜)),0)*(1+_15・区３)),0)</f>
        <v>866</v>
      </c>
      <c r="AC303" s="48"/>
    </row>
    <row r="304" spans="1:29" ht="16.5" customHeight="1" x14ac:dyDescent="0.15">
      <c r="A304" s="41">
        <v>15</v>
      </c>
      <c r="B304" s="41" t="s">
        <v>20438</v>
      </c>
      <c r="C304" s="74" t="s">
        <v>20439</v>
      </c>
      <c r="D304" s="72"/>
      <c r="F304" s="57"/>
      <c r="G304" s="72"/>
      <c r="I304" s="57"/>
      <c r="J304" s="43"/>
      <c r="K304" s="37"/>
      <c r="L304" s="38"/>
      <c r="M304" s="299" t="s">
        <v>17556</v>
      </c>
      <c r="N304" s="45" t="s">
        <v>398</v>
      </c>
      <c r="O304" s="46">
        <v>1</v>
      </c>
      <c r="P304" s="512"/>
      <c r="Q304" s="57"/>
      <c r="R304" s="512"/>
      <c r="S304" s="57"/>
      <c r="T304" s="35"/>
      <c r="W304" s="57"/>
      <c r="X304" s="35"/>
      <c r="AA304" s="57"/>
      <c r="AB304" s="208">
        <f>ROUND((ROUND((ROUND((_15_同援日２．０*_15・２人),0)*(1+_15・A夜間)),0)*(1+_15・区３)),0)+ROUND((ROUND((ROUND((_15_同援日２．０＿０．５*_15・２人),0)*(1+_15・B深夜)),0)*(1+_15・区３)),0)</f>
        <v>866</v>
      </c>
      <c r="AC304" s="48"/>
    </row>
    <row r="305" spans="1:29" ht="16.5" customHeight="1" x14ac:dyDescent="0.15">
      <c r="A305" s="41">
        <v>15</v>
      </c>
      <c r="B305" s="41" t="s">
        <v>559</v>
      </c>
      <c r="C305" s="74" t="s">
        <v>20440</v>
      </c>
      <c r="D305" s="72"/>
      <c r="F305" s="57"/>
      <c r="G305" s="72"/>
      <c r="I305" s="57"/>
      <c r="J305" s="114" t="s">
        <v>17558</v>
      </c>
      <c r="K305" s="49"/>
      <c r="L305" s="50"/>
      <c r="M305" s="163"/>
      <c r="N305" s="45"/>
      <c r="O305" s="46"/>
      <c r="P305" s="512"/>
      <c r="Q305" s="57"/>
      <c r="R305" s="512"/>
      <c r="S305" s="57"/>
      <c r="T305" s="35"/>
      <c r="W305" s="57"/>
      <c r="X305" s="72" t="s">
        <v>17570</v>
      </c>
      <c r="AA305" s="57"/>
      <c r="AB305" s="208">
        <f>ROUND((ROUND((ROUND((_15_同援日２．０*_15・基礎２),0)*(1+_15・A夜間)),0)*(1+_15・区３)),0)+ROUND((ROUND((ROUND((_15_同援日２．０＿０．５*_15・基礎２),0)*(1+_15・B深夜)),0)*(1+_15・区３)),0)</f>
        <v>779</v>
      </c>
      <c r="AC305" s="48"/>
    </row>
    <row r="306" spans="1:29" ht="16.5" customHeight="1" x14ac:dyDescent="0.15">
      <c r="A306" s="41">
        <v>15</v>
      </c>
      <c r="B306" s="41" t="s">
        <v>561</v>
      </c>
      <c r="C306" s="74" t="s">
        <v>20441</v>
      </c>
      <c r="D306" s="72"/>
      <c r="F306" s="57"/>
      <c r="G306" s="72"/>
      <c r="I306" s="57"/>
      <c r="J306" s="269" t="s">
        <v>17560</v>
      </c>
      <c r="K306" s="37" t="s">
        <v>398</v>
      </c>
      <c r="L306" s="38">
        <v>0.9</v>
      </c>
      <c r="M306" s="299" t="s">
        <v>17556</v>
      </c>
      <c r="N306" s="45" t="s">
        <v>398</v>
      </c>
      <c r="O306" s="46">
        <v>1</v>
      </c>
      <c r="P306" s="512"/>
      <c r="Q306" s="57"/>
      <c r="R306" s="512"/>
      <c r="S306" s="57"/>
      <c r="T306" s="43"/>
      <c r="U306" s="37"/>
      <c r="V306" s="38"/>
      <c r="W306" s="79"/>
      <c r="X306" s="72" t="s">
        <v>17572</v>
      </c>
      <c r="AA306" s="57"/>
      <c r="AB306" s="208">
        <f>ROUND((ROUND((ROUND((ROUND((_15_同援日２．０*_15・基礎２),0)*_15・２人),0)*(1+_15・A夜間)),0)*(1+_15・区３)),0)+ROUND((ROUND((ROUND((ROUND((_15_同援日２．０＿０．５*_15・基礎２),0)*_15・２人),0)*(1+_15・B深夜)),0)*(1+_15・区３)),0)</f>
        <v>779</v>
      </c>
      <c r="AC306" s="48"/>
    </row>
    <row r="307" spans="1:29" ht="16.5" customHeight="1" x14ac:dyDescent="0.15">
      <c r="A307" s="41">
        <v>15</v>
      </c>
      <c r="B307" s="41" t="s">
        <v>563</v>
      </c>
      <c r="C307" s="74" t="s">
        <v>20442</v>
      </c>
      <c r="D307" s="72"/>
      <c r="F307" s="57"/>
      <c r="G307" s="72"/>
      <c r="I307" s="57"/>
      <c r="J307" s="53"/>
      <c r="K307" s="49"/>
      <c r="L307" s="50"/>
      <c r="M307" s="163"/>
      <c r="N307" s="45"/>
      <c r="O307" s="46"/>
      <c r="P307" s="512"/>
      <c r="Q307" s="57"/>
      <c r="R307" s="512"/>
      <c r="S307" s="57"/>
      <c r="T307" s="114" t="s">
        <v>17562</v>
      </c>
      <c r="U307" s="49"/>
      <c r="V307" s="50"/>
      <c r="W307" s="115"/>
      <c r="X307" s="35"/>
      <c r="Y307" s="12" t="s">
        <v>398</v>
      </c>
      <c r="Z307" s="13">
        <v>0.2</v>
      </c>
      <c r="AA307" s="57" t="s">
        <v>3575</v>
      </c>
      <c r="AB307" s="208">
        <f>ROUND((ROUND((ROUND((_15_同援日２．０*(1+_15・A夜間)),0)*(1+_15・盲ろう)),0)*(1+_15・区３)),0)+ROUND((ROUND((ROUND((_15_同援日２．０＿０．５*(1+_15・B深夜)),0)*(1+_15・盲ろう)),0)*(1+_15・区３)),0)</f>
        <v>1083</v>
      </c>
      <c r="AC307" s="48"/>
    </row>
    <row r="308" spans="1:29" ht="16.5" customHeight="1" x14ac:dyDescent="0.15">
      <c r="A308" s="41">
        <v>15</v>
      </c>
      <c r="B308" s="41" t="s">
        <v>565</v>
      </c>
      <c r="C308" s="74" t="s">
        <v>20443</v>
      </c>
      <c r="D308" s="72"/>
      <c r="F308" s="57"/>
      <c r="G308" s="72"/>
      <c r="I308" s="57"/>
      <c r="J308" s="43"/>
      <c r="K308" s="37"/>
      <c r="L308" s="38"/>
      <c r="M308" s="299" t="s">
        <v>17556</v>
      </c>
      <c r="N308" s="45" t="s">
        <v>398</v>
      </c>
      <c r="O308" s="46">
        <v>1</v>
      </c>
      <c r="P308" s="512"/>
      <c r="Q308" s="57"/>
      <c r="R308" s="512"/>
      <c r="S308" s="57"/>
      <c r="T308" s="92" t="s">
        <v>17564</v>
      </c>
      <c r="W308" s="57"/>
      <c r="X308" s="35"/>
      <c r="AA308" s="57"/>
      <c r="AB308" s="208">
        <f>ROUND((ROUND((ROUND((ROUND((_15_同援日２．０*_15・２人),0)*(1+_15・A夜間)),0)*(1+_15・盲ろう)),0)*(1+_15・区３)),0)+ROUND((ROUND((ROUND((ROUND((_15_同援日２．０＿０．５*_15・２人),0)*(1+_15・B深夜)),0)*(1+_15・盲ろう)),0)*(1+_15・区３)),0)</f>
        <v>1083</v>
      </c>
      <c r="AC308" s="48"/>
    </row>
    <row r="309" spans="1:29" ht="16.5" customHeight="1" x14ac:dyDescent="0.15">
      <c r="A309" s="41">
        <v>15</v>
      </c>
      <c r="B309" s="41" t="s">
        <v>20444</v>
      </c>
      <c r="C309" s="74" t="s">
        <v>20445</v>
      </c>
      <c r="D309" s="72"/>
      <c r="F309" s="57"/>
      <c r="G309" s="72"/>
      <c r="I309" s="57"/>
      <c r="J309" s="114" t="s">
        <v>17558</v>
      </c>
      <c r="K309" s="49"/>
      <c r="L309" s="50"/>
      <c r="M309" s="163"/>
      <c r="N309" s="45"/>
      <c r="O309" s="46"/>
      <c r="P309" s="512"/>
      <c r="Q309" s="57"/>
      <c r="R309" s="512"/>
      <c r="S309" s="57"/>
      <c r="T309" s="35"/>
      <c r="U309" s="12" t="s">
        <v>398</v>
      </c>
      <c r="V309" s="13">
        <v>0.25</v>
      </c>
      <c r="W309" s="57" t="s">
        <v>3575</v>
      </c>
      <c r="X309" s="35"/>
      <c r="AA309" s="57"/>
      <c r="AB309" s="208">
        <f>ROUND((ROUND((ROUND((ROUND((_15_同援日２．０*_15・基礎２),0)*(1+_15・A夜間)),0)*(1+_15・盲ろう)),0)*(1+_15・区３)),0)+ROUND((ROUND((ROUND((ROUND((_15_同援日２．０＿０．５*_15・基礎２),0)*(1+_15・B深夜)),0)*(1+_15・盲ろう)),0)*(1+_15・区３)),0)</f>
        <v>973</v>
      </c>
      <c r="AC309" s="48"/>
    </row>
    <row r="310" spans="1:29" ht="16.5" customHeight="1" x14ac:dyDescent="0.15">
      <c r="A310" s="41">
        <v>15</v>
      </c>
      <c r="B310" s="41" t="s">
        <v>20446</v>
      </c>
      <c r="C310" s="74" t="s">
        <v>20447</v>
      </c>
      <c r="D310" s="72"/>
      <c r="F310" s="57"/>
      <c r="G310" s="72"/>
      <c r="I310" s="57"/>
      <c r="J310" s="269" t="s">
        <v>17560</v>
      </c>
      <c r="K310" s="37" t="s">
        <v>398</v>
      </c>
      <c r="L310" s="38">
        <v>0.9</v>
      </c>
      <c r="M310" s="299" t="s">
        <v>17556</v>
      </c>
      <c r="N310" s="45" t="s">
        <v>398</v>
      </c>
      <c r="O310" s="46">
        <v>1</v>
      </c>
      <c r="P310" s="512"/>
      <c r="Q310" s="57"/>
      <c r="R310" s="512"/>
      <c r="S310" s="57"/>
      <c r="T310" s="43"/>
      <c r="U310" s="37"/>
      <c r="V310" s="38"/>
      <c r="W310" s="79"/>
      <c r="X310" s="43"/>
      <c r="Y310" s="37"/>
      <c r="Z310" s="38"/>
      <c r="AA310" s="79"/>
      <c r="AB310" s="208">
        <f>ROUND((ROUND((ROUND((ROUND((ROUND((_15_同援日２．０*_15・基礎２),0)*_15・２人),0)*(1+_15・A夜間)),0)*(1+_15・盲ろう)),0)*(1+_15・区３)),0)+ROUND((ROUND((ROUND((ROUND((ROUND((_15_同援日２．０＿０．５*_15・基礎２),0)*_15・２人),0)*(1+_15・B深夜)),0)*(1+_15・盲ろう)),0)*(1+_15・区３)),0)</f>
        <v>973</v>
      </c>
      <c r="AC310" s="48"/>
    </row>
    <row r="311" spans="1:29" ht="16.5" customHeight="1" x14ac:dyDescent="0.15">
      <c r="A311" s="41">
        <v>15</v>
      </c>
      <c r="B311" s="41" t="s">
        <v>20448</v>
      </c>
      <c r="C311" s="74" t="s">
        <v>20449</v>
      </c>
      <c r="D311" s="72"/>
      <c r="F311" s="57"/>
      <c r="G311" s="72"/>
      <c r="I311" s="57"/>
      <c r="J311" s="53"/>
      <c r="K311" s="49"/>
      <c r="L311" s="50"/>
      <c r="M311" s="163"/>
      <c r="N311" s="45"/>
      <c r="O311" s="46"/>
      <c r="P311" s="512"/>
      <c r="Q311" s="57"/>
      <c r="R311" s="512"/>
      <c r="S311" s="57"/>
      <c r="T311" s="53"/>
      <c r="U311" s="49"/>
      <c r="V311" s="50"/>
      <c r="W311" s="115"/>
      <c r="X311" s="53"/>
      <c r="Y311" s="49"/>
      <c r="Z311" s="50"/>
      <c r="AA311" s="115"/>
      <c r="AB311" s="208">
        <f>ROUND((ROUND((_15_同援日２．０*(1+_15・A夜間)),0)*(1+_15・区４)),0)+ROUND((ROUND((_15_同援日２．０＿０．５*(1+_15・B深夜)),0)*(1+_15・区４)),0)</f>
        <v>1009</v>
      </c>
      <c r="AC311" s="48"/>
    </row>
    <row r="312" spans="1:29" ht="16.5" customHeight="1" x14ac:dyDescent="0.15">
      <c r="A312" s="41">
        <v>15</v>
      </c>
      <c r="B312" s="41" t="s">
        <v>20450</v>
      </c>
      <c r="C312" s="74" t="s">
        <v>20451</v>
      </c>
      <c r="D312" s="72"/>
      <c r="F312" s="57"/>
      <c r="G312" s="72"/>
      <c r="I312" s="57"/>
      <c r="J312" s="43"/>
      <c r="K312" s="37"/>
      <c r="L312" s="38"/>
      <c r="M312" s="299" t="s">
        <v>17556</v>
      </c>
      <c r="N312" s="45" t="s">
        <v>398</v>
      </c>
      <c r="O312" s="46">
        <v>1</v>
      </c>
      <c r="P312" s="512"/>
      <c r="Q312" s="57"/>
      <c r="R312" s="512"/>
      <c r="S312" s="57"/>
      <c r="T312" s="35"/>
      <c r="W312" s="57"/>
      <c r="X312" s="35"/>
      <c r="AA312" s="57"/>
      <c r="AB312" s="208">
        <f>ROUND((ROUND((ROUND((_15_同援日２．０*_15・２人),0)*(1+_15・A夜間)),0)*(1+_15・区４)),0)+ROUND((ROUND((ROUND((_15_同援日２．０＿０．５*_15・２人),0)*(1+_15・B深夜)),0)*(1+_15・区４)),0)</f>
        <v>1009</v>
      </c>
      <c r="AC312" s="48"/>
    </row>
    <row r="313" spans="1:29" ht="16.5" customHeight="1" x14ac:dyDescent="0.15">
      <c r="A313" s="41">
        <v>15</v>
      </c>
      <c r="B313" s="41" t="s">
        <v>20452</v>
      </c>
      <c r="C313" s="74" t="s">
        <v>20453</v>
      </c>
      <c r="D313" s="72"/>
      <c r="F313" s="57"/>
      <c r="G313" s="72"/>
      <c r="I313" s="57"/>
      <c r="J313" s="114" t="s">
        <v>17558</v>
      </c>
      <c r="K313" s="49"/>
      <c r="L313" s="50"/>
      <c r="M313" s="163"/>
      <c r="N313" s="45"/>
      <c r="O313" s="46"/>
      <c r="P313" s="512"/>
      <c r="Q313" s="57"/>
      <c r="R313" s="512"/>
      <c r="S313" s="57"/>
      <c r="T313" s="35"/>
      <c r="W313" s="57"/>
      <c r="X313" s="72" t="s">
        <v>17580</v>
      </c>
      <c r="AA313" s="57"/>
      <c r="AB313" s="208">
        <f>ROUND((ROUND((ROUND((_15_同援日２．０*_15・基礎２),0)*(1+_15・A夜間)),0)*(1+_15・区４)),0)+ROUND((ROUND((ROUND((_15_同援日２．０＿０．５*_15・基礎２),0)*(1+_15・B深夜)),0)*(1+_15・区４)),0)</f>
        <v>909</v>
      </c>
      <c r="AC313" s="48"/>
    </row>
    <row r="314" spans="1:29" ht="16.5" customHeight="1" x14ac:dyDescent="0.15">
      <c r="A314" s="41">
        <v>15</v>
      </c>
      <c r="B314" s="41" t="s">
        <v>20454</v>
      </c>
      <c r="C314" s="74" t="s">
        <v>20455</v>
      </c>
      <c r="D314" s="72"/>
      <c r="F314" s="57"/>
      <c r="G314" s="72"/>
      <c r="I314" s="57"/>
      <c r="J314" s="269" t="s">
        <v>17560</v>
      </c>
      <c r="K314" s="37" t="s">
        <v>398</v>
      </c>
      <c r="L314" s="38">
        <v>0.9</v>
      </c>
      <c r="M314" s="299" t="s">
        <v>17556</v>
      </c>
      <c r="N314" s="45" t="s">
        <v>398</v>
      </c>
      <c r="O314" s="46">
        <v>1</v>
      </c>
      <c r="P314" s="512"/>
      <c r="Q314" s="57"/>
      <c r="R314" s="512"/>
      <c r="S314" s="57"/>
      <c r="T314" s="43"/>
      <c r="U314" s="37"/>
      <c r="V314" s="38"/>
      <c r="W314" s="79"/>
      <c r="X314" s="72" t="s">
        <v>17572</v>
      </c>
      <c r="AA314" s="57"/>
      <c r="AB314" s="208">
        <f>ROUND((ROUND((ROUND((ROUND((_15_同援日２．０*_15・基礎２),0)*_15・２人),0)*(1+_15・A夜間)),0)*(1+_15・区４)),0)+ROUND((ROUND((ROUND((ROUND((_15_同援日２．０＿０．５*_15・基礎２),0)*_15・２人),0)*(1+_15・B深夜)),0)*(1+_15・区４)),0)</f>
        <v>909</v>
      </c>
      <c r="AC314" s="48"/>
    </row>
    <row r="315" spans="1:29" ht="16.5" customHeight="1" x14ac:dyDescent="0.15">
      <c r="A315" s="41">
        <v>15</v>
      </c>
      <c r="B315" s="41" t="s">
        <v>20456</v>
      </c>
      <c r="C315" s="74" t="s">
        <v>20457</v>
      </c>
      <c r="D315" s="72"/>
      <c r="F315" s="57"/>
      <c r="G315" s="72"/>
      <c r="I315" s="57"/>
      <c r="J315" s="53"/>
      <c r="K315" s="49"/>
      <c r="L315" s="50"/>
      <c r="M315" s="163"/>
      <c r="N315" s="45"/>
      <c r="O315" s="46"/>
      <c r="P315" s="512"/>
      <c r="Q315" s="57"/>
      <c r="R315" s="512"/>
      <c r="S315" s="57"/>
      <c r="T315" s="114" t="s">
        <v>17562</v>
      </c>
      <c r="U315" s="49"/>
      <c r="V315" s="50"/>
      <c r="W315" s="115"/>
      <c r="X315" s="35"/>
      <c r="Y315" s="12" t="s">
        <v>398</v>
      </c>
      <c r="Z315" s="13">
        <v>0.4</v>
      </c>
      <c r="AA315" s="57" t="s">
        <v>3575</v>
      </c>
      <c r="AB315" s="208">
        <f>ROUND((ROUND((ROUND((_15_同援日２．０*(1+_15・A夜間)),0)*(1+_15・盲ろう)),0)*(1+_15・区４)),0)+ROUND((ROUND((ROUND((_15_同援日２．０＿０．５*(1+_15・B深夜)),0)*(1+_15・盲ろう)),0)*(1+_15・区４)),0)</f>
        <v>1263</v>
      </c>
      <c r="AC315" s="48"/>
    </row>
    <row r="316" spans="1:29" ht="16.5" customHeight="1" x14ac:dyDescent="0.15">
      <c r="A316" s="41">
        <v>15</v>
      </c>
      <c r="B316" s="41" t="s">
        <v>20458</v>
      </c>
      <c r="C316" s="74" t="s">
        <v>20459</v>
      </c>
      <c r="D316" s="72"/>
      <c r="F316" s="57"/>
      <c r="G316" s="72"/>
      <c r="I316" s="57"/>
      <c r="J316" s="43"/>
      <c r="K316" s="37"/>
      <c r="L316" s="38"/>
      <c r="M316" s="299" t="s">
        <v>17556</v>
      </c>
      <c r="N316" s="45" t="s">
        <v>398</v>
      </c>
      <c r="O316" s="46">
        <v>1</v>
      </c>
      <c r="P316" s="512"/>
      <c r="Q316" s="57"/>
      <c r="R316" s="512"/>
      <c r="S316" s="57"/>
      <c r="T316" s="92" t="s">
        <v>17564</v>
      </c>
      <c r="W316" s="57"/>
      <c r="X316" s="35"/>
      <c r="AA316" s="57"/>
      <c r="AB316" s="208">
        <f>ROUND((ROUND((ROUND((ROUND((_15_同援日２．０*_15・２人),0)*(1+_15・A夜間)),0)*(1+_15・盲ろう)),0)*(1+_15・区４)),0)+ROUND((ROUND((ROUND((ROUND((_15_同援日２．０＿０．５*_15・２人),0)*(1+_15・B深夜)),0)*(1+_15・盲ろう)),0)*(1+_15・区４)),0)</f>
        <v>1263</v>
      </c>
      <c r="AC316" s="48"/>
    </row>
    <row r="317" spans="1:29" ht="16.5" customHeight="1" x14ac:dyDescent="0.15">
      <c r="A317" s="41">
        <v>15</v>
      </c>
      <c r="B317" s="41" t="s">
        <v>20460</v>
      </c>
      <c r="C317" s="74" t="s">
        <v>20461</v>
      </c>
      <c r="D317" s="72"/>
      <c r="F317" s="57"/>
      <c r="G317" s="72"/>
      <c r="I317" s="57"/>
      <c r="J317" s="114" t="s">
        <v>17558</v>
      </c>
      <c r="K317" s="49"/>
      <c r="L317" s="50"/>
      <c r="M317" s="163"/>
      <c r="N317" s="45"/>
      <c r="O317" s="46"/>
      <c r="P317" s="512"/>
      <c r="Q317" s="57"/>
      <c r="R317" s="512"/>
      <c r="S317" s="57"/>
      <c r="T317" s="35"/>
      <c r="U317" s="12" t="s">
        <v>398</v>
      </c>
      <c r="V317" s="13">
        <v>0.25</v>
      </c>
      <c r="W317" s="57" t="s">
        <v>3575</v>
      </c>
      <c r="X317" s="35"/>
      <c r="AA317" s="57"/>
      <c r="AB317" s="208">
        <f>ROUND((ROUND((ROUND((ROUND((_15_同援日２．０*_15・基礎２),0)*(1+_15・A夜間)),0)*(1+_15・盲ろう)),0)*(1+_15・区４)),0)+ROUND((ROUND((ROUND((ROUND((_15_同援日２．０＿０．５*_15・基礎２),0)*(1+_15・B深夜)),0)*(1+_15・盲ろう)),0)*(1+_15・区４)),0)</f>
        <v>1135</v>
      </c>
      <c r="AC317" s="48"/>
    </row>
    <row r="318" spans="1:29" ht="16.5" customHeight="1" x14ac:dyDescent="0.15">
      <c r="A318" s="41">
        <v>15</v>
      </c>
      <c r="B318" s="41" t="s">
        <v>20462</v>
      </c>
      <c r="C318" s="74" t="s">
        <v>20463</v>
      </c>
      <c r="D318" s="72"/>
      <c r="F318" s="57"/>
      <c r="G318" s="122"/>
      <c r="H318" s="37"/>
      <c r="I318" s="79"/>
      <c r="J318" s="269" t="s">
        <v>17560</v>
      </c>
      <c r="K318" s="37" t="s">
        <v>398</v>
      </c>
      <c r="L318" s="38">
        <v>0.9</v>
      </c>
      <c r="M318" s="299" t="s">
        <v>17556</v>
      </c>
      <c r="N318" s="45" t="s">
        <v>398</v>
      </c>
      <c r="O318" s="46">
        <v>1</v>
      </c>
      <c r="P318" s="512"/>
      <c r="Q318" s="57"/>
      <c r="R318" s="512"/>
      <c r="S318" s="57"/>
      <c r="T318" s="43"/>
      <c r="U318" s="37"/>
      <c r="V318" s="38"/>
      <c r="W318" s="79"/>
      <c r="X318" s="43"/>
      <c r="Y318" s="37"/>
      <c r="Z318" s="38"/>
      <c r="AA318" s="79"/>
      <c r="AB318" s="208">
        <f>ROUND((ROUND((ROUND((ROUND((ROUND((_15_同援日２．０*_15・基礎２),0)*_15・２人),0)*(1+_15・A夜間)),0)*(1+_15・盲ろう)),0)*(1+_15・区４)),0)+ROUND((ROUND((ROUND((ROUND((ROUND((_15_同援日２．０＿０．５*_15・基礎２),0)*_15・２人),0)*(1+_15・B深夜)),0)*(1+_15・盲ろう)),0)*(1+_15・区４)),0)</f>
        <v>1135</v>
      </c>
      <c r="AC318" s="48"/>
    </row>
    <row r="319" spans="1:29" ht="16.5" customHeight="1" x14ac:dyDescent="0.15">
      <c r="A319" s="41">
        <v>15</v>
      </c>
      <c r="B319" s="41" t="s">
        <v>20464</v>
      </c>
      <c r="C319" s="74" t="s">
        <v>20465</v>
      </c>
      <c r="D319" s="72"/>
      <c r="F319" s="57"/>
      <c r="G319" s="114" t="s">
        <v>19970</v>
      </c>
      <c r="H319" s="49"/>
      <c r="I319" s="115"/>
      <c r="J319" s="53"/>
      <c r="K319" s="49"/>
      <c r="L319" s="50"/>
      <c r="M319" s="163"/>
      <c r="N319" s="45"/>
      <c r="O319" s="46"/>
      <c r="P319" s="512"/>
      <c r="Q319" s="57"/>
      <c r="R319" s="512"/>
      <c r="S319" s="57"/>
      <c r="T319" s="53"/>
      <c r="U319" s="49"/>
      <c r="V319" s="50"/>
      <c r="W319" s="115"/>
      <c r="X319" s="53"/>
      <c r="Y319" s="49"/>
      <c r="Z319" s="50"/>
      <c r="AA319" s="115"/>
      <c r="AB319" s="208">
        <f>ROUND((_15_同援日２．０*(1+_15・A夜間)),0)+ROUND((_15_同援日２．０＿１．０*(1+_15・B深夜)),0)</f>
        <v>818</v>
      </c>
      <c r="AC319" s="48"/>
    </row>
    <row r="320" spans="1:29" ht="16.5" customHeight="1" x14ac:dyDescent="0.15">
      <c r="A320" s="41">
        <v>15</v>
      </c>
      <c r="B320" s="41" t="s">
        <v>20466</v>
      </c>
      <c r="C320" s="74" t="s">
        <v>20467</v>
      </c>
      <c r="D320" s="72"/>
      <c r="F320" s="57"/>
      <c r="G320" s="72" t="s">
        <v>17589</v>
      </c>
      <c r="I320" s="57"/>
      <c r="J320" s="43"/>
      <c r="K320" s="37"/>
      <c r="L320" s="38"/>
      <c r="M320" s="299" t="s">
        <v>17556</v>
      </c>
      <c r="N320" s="45" t="s">
        <v>398</v>
      </c>
      <c r="O320" s="46">
        <v>1</v>
      </c>
      <c r="P320" s="512"/>
      <c r="Q320" s="57"/>
      <c r="R320" s="512"/>
      <c r="S320" s="57"/>
      <c r="T320" s="35"/>
      <c r="W320" s="57"/>
      <c r="X320" s="35"/>
      <c r="AA320" s="57"/>
      <c r="AB320" s="208">
        <f>ROUND((ROUND((_15_同援日２．０*_15・２人),0)*(1+_15・A夜間)),0)+ROUND((ROUND((_15_同援日２．０＿１．０*_15・２人),0)*(1+_15・B深夜)),0)</f>
        <v>818</v>
      </c>
      <c r="AC320" s="48"/>
    </row>
    <row r="321" spans="1:29" ht="16.5" customHeight="1" x14ac:dyDescent="0.15">
      <c r="A321" s="41">
        <v>15</v>
      </c>
      <c r="B321" s="41" t="s">
        <v>20468</v>
      </c>
      <c r="C321" s="74" t="s">
        <v>20469</v>
      </c>
      <c r="D321" s="72"/>
      <c r="F321" s="57"/>
      <c r="G321" s="72" t="s">
        <v>17591</v>
      </c>
      <c r="I321" s="57"/>
      <c r="J321" s="114" t="s">
        <v>17558</v>
      </c>
      <c r="K321" s="49"/>
      <c r="L321" s="50"/>
      <c r="M321" s="163"/>
      <c r="N321" s="45"/>
      <c r="O321" s="46"/>
      <c r="P321" s="512"/>
      <c r="Q321" s="57"/>
      <c r="R321" s="512"/>
      <c r="S321" s="57"/>
      <c r="T321" s="35"/>
      <c r="W321" s="57"/>
      <c r="X321" s="35"/>
      <c r="AA321" s="57"/>
      <c r="AB321" s="208">
        <f>ROUND((ROUND((_15_同援日２．０*_15・基礎２),0)*(1+_15・A夜間)),0)+ROUND((ROUND((_15_同援日２．０＿１．０*_15・基礎２),0)*(1+_15・B深夜)),0)</f>
        <v>736</v>
      </c>
      <c r="AC321" s="48"/>
    </row>
    <row r="322" spans="1:29" ht="16.5" customHeight="1" x14ac:dyDescent="0.15">
      <c r="A322" s="41">
        <v>15</v>
      </c>
      <c r="B322" s="41" t="s">
        <v>20470</v>
      </c>
      <c r="C322" s="74" t="s">
        <v>20471</v>
      </c>
      <c r="D322" s="72"/>
      <c r="F322" s="57"/>
      <c r="G322" s="72"/>
      <c r="H322" s="168">
        <f>_15_同援日２．０＿１．０</f>
        <v>130</v>
      </c>
      <c r="I322" s="57" t="s">
        <v>392</v>
      </c>
      <c r="J322" s="269" t="s">
        <v>17560</v>
      </c>
      <c r="K322" s="37" t="s">
        <v>398</v>
      </c>
      <c r="L322" s="38">
        <v>0.9</v>
      </c>
      <c r="M322" s="299" t="s">
        <v>17556</v>
      </c>
      <c r="N322" s="45" t="s">
        <v>398</v>
      </c>
      <c r="O322" s="46">
        <v>1</v>
      </c>
      <c r="P322" s="512"/>
      <c r="Q322" s="57"/>
      <c r="R322" s="512"/>
      <c r="S322" s="57"/>
      <c r="T322" s="43"/>
      <c r="U322" s="37"/>
      <c r="V322" s="38"/>
      <c r="W322" s="79"/>
      <c r="X322" s="35"/>
      <c r="AA322" s="57"/>
      <c r="AB322" s="208">
        <f>ROUND((ROUND((ROUND((_15_同援日２．０*_15・基礎２),0)*_15・２人),0)*(1+_15・A夜間)),0)+ROUND((ROUND((ROUND((_15_同援日２．０＿１．０*_15・基礎２),0)*_15・２人),0)*(1+_15・B深夜)),0)</f>
        <v>736</v>
      </c>
      <c r="AC322" s="48"/>
    </row>
    <row r="323" spans="1:29" ht="16.5" customHeight="1" x14ac:dyDescent="0.15">
      <c r="A323" s="41">
        <v>15</v>
      </c>
      <c r="B323" s="41" t="s">
        <v>20472</v>
      </c>
      <c r="C323" s="74" t="s">
        <v>20473</v>
      </c>
      <c r="D323" s="72"/>
      <c r="F323" s="57"/>
      <c r="G323" s="72"/>
      <c r="I323" s="57"/>
      <c r="J323" s="53"/>
      <c r="K323" s="49"/>
      <c r="L323" s="50"/>
      <c r="M323" s="163"/>
      <c r="N323" s="45"/>
      <c r="O323" s="46"/>
      <c r="P323" s="512"/>
      <c r="Q323" s="57"/>
      <c r="R323" s="512"/>
      <c r="S323" s="57"/>
      <c r="T323" s="114" t="s">
        <v>17562</v>
      </c>
      <c r="U323" s="49"/>
      <c r="V323" s="50"/>
      <c r="W323" s="115"/>
      <c r="X323" s="35"/>
      <c r="AA323" s="57"/>
      <c r="AB323" s="208">
        <f>ROUND((ROUND((_15_同援日２．０*(1+_15・A夜間)),0)*(1+_15・盲ろう)),0)+ROUND((ROUND((_15_同援日２．０＿１．０*(1+_15・B深夜)),0)*(1+_15・盲ろう)),0)</f>
        <v>1023</v>
      </c>
      <c r="AC323" s="48"/>
    </row>
    <row r="324" spans="1:29" ht="16.5" customHeight="1" x14ac:dyDescent="0.15">
      <c r="A324" s="41">
        <v>15</v>
      </c>
      <c r="B324" s="41" t="s">
        <v>20474</v>
      </c>
      <c r="C324" s="74" t="s">
        <v>20475</v>
      </c>
      <c r="D324" s="72"/>
      <c r="F324" s="57"/>
      <c r="G324" s="72"/>
      <c r="I324" s="57"/>
      <c r="J324" s="43"/>
      <c r="K324" s="37"/>
      <c r="L324" s="38"/>
      <c r="M324" s="299" t="s">
        <v>17556</v>
      </c>
      <c r="N324" s="45" t="s">
        <v>398</v>
      </c>
      <c r="O324" s="46">
        <v>1</v>
      </c>
      <c r="P324" s="512"/>
      <c r="Q324" s="57"/>
      <c r="R324" s="512"/>
      <c r="S324" s="57"/>
      <c r="T324" s="92" t="s">
        <v>17564</v>
      </c>
      <c r="W324" s="57"/>
      <c r="X324" s="35"/>
      <c r="AA324" s="57"/>
      <c r="AB324" s="208">
        <f>ROUND((ROUND((ROUND((_15_同援日２．０*_15・２人),0)*(1+_15・A夜間)),0)*(1+_15・盲ろう)),0)+ROUND((ROUND((ROUND((_15_同援日２．０＿１．０*_15・２人),0)*(1+_15・B深夜)),0)*(1+_15・盲ろう)),0)</f>
        <v>1023</v>
      </c>
      <c r="AC324" s="48"/>
    </row>
    <row r="325" spans="1:29" ht="16.5" customHeight="1" x14ac:dyDescent="0.15">
      <c r="A325" s="41">
        <v>15</v>
      </c>
      <c r="B325" s="41" t="s">
        <v>572</v>
      </c>
      <c r="C325" s="74" t="s">
        <v>20476</v>
      </c>
      <c r="D325" s="72"/>
      <c r="F325" s="57"/>
      <c r="G325" s="72"/>
      <c r="I325" s="57"/>
      <c r="J325" s="114" t="s">
        <v>17558</v>
      </c>
      <c r="K325" s="49"/>
      <c r="L325" s="50"/>
      <c r="M325" s="163"/>
      <c r="N325" s="45"/>
      <c r="O325" s="46"/>
      <c r="P325" s="512"/>
      <c r="Q325" s="57"/>
      <c r="R325" s="512"/>
      <c r="S325" s="57"/>
      <c r="T325" s="35"/>
      <c r="U325" s="12" t="s">
        <v>398</v>
      </c>
      <c r="V325" s="13">
        <v>0.25</v>
      </c>
      <c r="W325" s="57" t="s">
        <v>3575</v>
      </c>
      <c r="X325" s="35"/>
      <c r="AA325" s="57"/>
      <c r="AB325" s="208">
        <f>ROUND((ROUND((ROUND((_15_同援日２．０*_15・基礎２),0)*(1+_15・A夜間)),0)*(1+_15・盲ろう)),0)+ROUND((ROUND((ROUND((_15_同援日２．０＿１．０*_15・基礎２),0)*(1+_15・B深夜)),0)*(1+_15・盲ろう)),0)</f>
        <v>920</v>
      </c>
      <c r="AC325" s="48"/>
    </row>
    <row r="326" spans="1:29" ht="16.5" customHeight="1" x14ac:dyDescent="0.15">
      <c r="A326" s="41">
        <v>15</v>
      </c>
      <c r="B326" s="41" t="s">
        <v>574</v>
      </c>
      <c r="C326" s="74" t="s">
        <v>20477</v>
      </c>
      <c r="D326" s="72"/>
      <c r="F326" s="57"/>
      <c r="G326" s="72"/>
      <c r="I326" s="57"/>
      <c r="J326" s="269" t="s">
        <v>17560</v>
      </c>
      <c r="K326" s="37" t="s">
        <v>398</v>
      </c>
      <c r="L326" s="38">
        <v>0.9</v>
      </c>
      <c r="M326" s="299" t="s">
        <v>17556</v>
      </c>
      <c r="N326" s="45" t="s">
        <v>398</v>
      </c>
      <c r="O326" s="46">
        <v>1</v>
      </c>
      <c r="P326" s="512"/>
      <c r="Q326" s="57"/>
      <c r="R326" s="512"/>
      <c r="S326" s="57"/>
      <c r="T326" s="43"/>
      <c r="U326" s="37"/>
      <c r="V326" s="38"/>
      <c r="W326" s="79"/>
      <c r="X326" s="43"/>
      <c r="Y326" s="37"/>
      <c r="Z326" s="38"/>
      <c r="AA326" s="79"/>
      <c r="AB326" s="208">
        <f>ROUND((ROUND((ROUND((ROUND((_15_同援日２．０*_15・基礎２),0)*_15・２人),0)*(1+_15・A夜間)),0)*(1+_15・盲ろう)),0)+ROUND((ROUND((ROUND((ROUND((_15_同援日２．０＿１．０*_15・基礎２),0)*_15・２人),0)*(1+_15・B深夜)),0)*(1+_15・盲ろう)),0)</f>
        <v>920</v>
      </c>
      <c r="AC326" s="48"/>
    </row>
    <row r="327" spans="1:29" ht="16.5" customHeight="1" x14ac:dyDescent="0.15">
      <c r="A327" s="41">
        <v>15</v>
      </c>
      <c r="B327" s="41" t="s">
        <v>576</v>
      </c>
      <c r="C327" s="74" t="s">
        <v>20478</v>
      </c>
      <c r="D327" s="72"/>
      <c r="F327" s="57"/>
      <c r="G327" s="72"/>
      <c r="I327" s="57"/>
      <c r="J327" s="53"/>
      <c r="K327" s="49"/>
      <c r="L327" s="50"/>
      <c r="M327" s="163"/>
      <c r="N327" s="45"/>
      <c r="O327" s="46"/>
      <c r="P327" s="512"/>
      <c r="Q327" s="57"/>
      <c r="R327" s="512"/>
      <c r="S327" s="57"/>
      <c r="T327" s="53"/>
      <c r="U327" s="49"/>
      <c r="V327" s="50"/>
      <c r="W327" s="115"/>
      <c r="X327" s="53"/>
      <c r="Y327" s="49"/>
      <c r="Z327" s="50"/>
      <c r="AA327" s="115"/>
      <c r="AB327" s="208">
        <f>ROUND((ROUND((_15_同援日２．０*(1+_15・A夜間)),0)*(1+_15・区３)),0)+ROUND((ROUND((_15_同援日２．０＿１．０*(1+_15・B深夜)),0)*(1+_15・区３)),0)</f>
        <v>982</v>
      </c>
      <c r="AC327" s="48"/>
    </row>
    <row r="328" spans="1:29" ht="16.5" customHeight="1" x14ac:dyDescent="0.15">
      <c r="A328" s="41">
        <v>15</v>
      </c>
      <c r="B328" s="41" t="s">
        <v>578</v>
      </c>
      <c r="C328" s="74" t="s">
        <v>20479</v>
      </c>
      <c r="D328" s="72"/>
      <c r="F328" s="57"/>
      <c r="G328" s="72"/>
      <c r="I328" s="57"/>
      <c r="J328" s="43"/>
      <c r="K328" s="37"/>
      <c r="L328" s="38"/>
      <c r="M328" s="299" t="s">
        <v>17556</v>
      </c>
      <c r="N328" s="45" t="s">
        <v>398</v>
      </c>
      <c r="O328" s="46">
        <v>1</v>
      </c>
      <c r="P328" s="512"/>
      <c r="Q328" s="57"/>
      <c r="R328" s="512"/>
      <c r="S328" s="57"/>
      <c r="T328" s="35"/>
      <c r="W328" s="57"/>
      <c r="X328" s="35"/>
      <c r="AA328" s="57"/>
      <c r="AB328" s="208">
        <f>ROUND((ROUND((ROUND((_15_同援日２．０*_15・２人),0)*(1+_15・A夜間)),0)*(1+_15・区３)),0)+ROUND((ROUND((ROUND((_15_同援日２．０＿１．０*_15・２人),0)*(1+_15・B深夜)),0)*(1+_15・区３)),0)</f>
        <v>982</v>
      </c>
      <c r="AC328" s="48"/>
    </row>
    <row r="329" spans="1:29" ht="16.5" customHeight="1" x14ac:dyDescent="0.15">
      <c r="A329" s="41">
        <v>15</v>
      </c>
      <c r="B329" s="41" t="s">
        <v>20480</v>
      </c>
      <c r="C329" s="74" t="s">
        <v>20481</v>
      </c>
      <c r="D329" s="72"/>
      <c r="F329" s="57"/>
      <c r="G329" s="72"/>
      <c r="I329" s="57"/>
      <c r="J329" s="114" t="s">
        <v>17558</v>
      </c>
      <c r="K329" s="49"/>
      <c r="L329" s="50"/>
      <c r="M329" s="163"/>
      <c r="N329" s="45"/>
      <c r="O329" s="46"/>
      <c r="P329" s="512"/>
      <c r="Q329" s="57"/>
      <c r="R329" s="512"/>
      <c r="S329" s="57"/>
      <c r="T329" s="35"/>
      <c r="W329" s="57"/>
      <c r="X329" s="72" t="s">
        <v>17570</v>
      </c>
      <c r="AA329" s="57"/>
      <c r="AB329" s="208">
        <f>ROUND((ROUND((ROUND((_15_同援日２．０*_15・基礎２),0)*(1+_15・A夜間)),0)*(1+_15・区３)),0)+ROUND((ROUND((ROUND((_15_同援日２．０＿１．０*_15・基礎２),0)*(1+_15・B深夜)),0)*(1+_15・区３)),0)</f>
        <v>883</v>
      </c>
      <c r="AC329" s="48"/>
    </row>
    <row r="330" spans="1:29" ht="16.5" customHeight="1" x14ac:dyDescent="0.15">
      <c r="A330" s="41">
        <v>15</v>
      </c>
      <c r="B330" s="41" t="s">
        <v>20482</v>
      </c>
      <c r="C330" s="74" t="s">
        <v>20483</v>
      </c>
      <c r="D330" s="72"/>
      <c r="F330" s="57"/>
      <c r="G330" s="72"/>
      <c r="I330" s="57"/>
      <c r="J330" s="269" t="s">
        <v>17560</v>
      </c>
      <c r="K330" s="37" t="s">
        <v>398</v>
      </c>
      <c r="L330" s="38">
        <v>0.9</v>
      </c>
      <c r="M330" s="299" t="s">
        <v>17556</v>
      </c>
      <c r="N330" s="45" t="s">
        <v>398</v>
      </c>
      <c r="O330" s="46">
        <v>1</v>
      </c>
      <c r="P330" s="512"/>
      <c r="Q330" s="57"/>
      <c r="R330" s="512"/>
      <c r="S330" s="57"/>
      <c r="T330" s="43"/>
      <c r="U330" s="37"/>
      <c r="V330" s="38"/>
      <c r="W330" s="79"/>
      <c r="X330" s="72" t="s">
        <v>17572</v>
      </c>
      <c r="AA330" s="57"/>
      <c r="AB330" s="208">
        <f>ROUND((ROUND((ROUND((ROUND((_15_同援日２．０*_15・基礎２),0)*_15・２人),0)*(1+_15・A夜間)),0)*(1+_15・区３)),0)+ROUND((ROUND((ROUND((ROUND((_15_同援日２．０＿１．０*_15・基礎２),0)*_15・２人),0)*(1+_15・B深夜)),0)*(1+_15・区３)),0)</f>
        <v>883</v>
      </c>
      <c r="AC330" s="48"/>
    </row>
    <row r="331" spans="1:29" ht="16.5" customHeight="1" x14ac:dyDescent="0.15">
      <c r="A331" s="41">
        <v>15</v>
      </c>
      <c r="B331" s="41" t="s">
        <v>20484</v>
      </c>
      <c r="C331" s="74" t="s">
        <v>20485</v>
      </c>
      <c r="D331" s="72"/>
      <c r="F331" s="57"/>
      <c r="G331" s="72"/>
      <c r="I331" s="57"/>
      <c r="J331" s="53"/>
      <c r="K331" s="49"/>
      <c r="L331" s="50"/>
      <c r="M331" s="163"/>
      <c r="N331" s="45"/>
      <c r="O331" s="46"/>
      <c r="P331" s="512"/>
      <c r="Q331" s="57"/>
      <c r="R331" s="512"/>
      <c r="S331" s="57"/>
      <c r="T331" s="114" t="s">
        <v>17562</v>
      </c>
      <c r="U331" s="49"/>
      <c r="V331" s="50"/>
      <c r="W331" s="115"/>
      <c r="X331" s="35"/>
      <c r="Y331" s="12" t="s">
        <v>398</v>
      </c>
      <c r="Z331" s="13">
        <v>0.2</v>
      </c>
      <c r="AA331" s="57" t="s">
        <v>3575</v>
      </c>
      <c r="AB331" s="208">
        <f>ROUND((ROUND((ROUND((_15_同援日２．０*(1+_15・A夜間)),0)*(1+_15・盲ろう)),0)*(1+_15・区３)),0)+ROUND((ROUND((ROUND((_15_同援日２．０＿１．０*(1+_15・B深夜)),0)*(1+_15・盲ろう)),0)*(1+_15・区３)),0)</f>
        <v>1228</v>
      </c>
      <c r="AC331" s="48"/>
    </row>
    <row r="332" spans="1:29" ht="16.5" customHeight="1" x14ac:dyDescent="0.15">
      <c r="A332" s="41">
        <v>15</v>
      </c>
      <c r="B332" s="41" t="s">
        <v>20486</v>
      </c>
      <c r="C332" s="74" t="s">
        <v>20487</v>
      </c>
      <c r="D332" s="72"/>
      <c r="F332" s="57"/>
      <c r="G332" s="72"/>
      <c r="I332" s="57"/>
      <c r="J332" s="43"/>
      <c r="K332" s="37"/>
      <c r="L332" s="38"/>
      <c r="M332" s="299" t="s">
        <v>17556</v>
      </c>
      <c r="N332" s="45" t="s">
        <v>398</v>
      </c>
      <c r="O332" s="46">
        <v>1</v>
      </c>
      <c r="P332" s="512"/>
      <c r="Q332" s="57"/>
      <c r="R332" s="512"/>
      <c r="S332" s="57"/>
      <c r="T332" s="92" t="s">
        <v>17564</v>
      </c>
      <c r="W332" s="57"/>
      <c r="X332" s="35"/>
      <c r="AA332" s="57"/>
      <c r="AB332" s="208">
        <f>ROUND((ROUND((ROUND((ROUND((_15_同援日２．０*_15・２人),0)*(1+_15・A夜間)),0)*(1+_15・盲ろう)),0)*(1+_15・区３)),0)+ROUND((ROUND((ROUND((ROUND((_15_同援日２．０＿１．０*_15・２人),0)*(1+_15・B深夜)),0)*(1+_15・盲ろう)),0)*(1+_15・区３)),0)</f>
        <v>1228</v>
      </c>
      <c r="AC332" s="48"/>
    </row>
    <row r="333" spans="1:29" ht="16.5" customHeight="1" x14ac:dyDescent="0.15">
      <c r="A333" s="41">
        <v>15</v>
      </c>
      <c r="B333" s="41" t="s">
        <v>20488</v>
      </c>
      <c r="C333" s="74" t="s">
        <v>20489</v>
      </c>
      <c r="D333" s="72"/>
      <c r="F333" s="57"/>
      <c r="G333" s="72"/>
      <c r="I333" s="57"/>
      <c r="J333" s="114" t="s">
        <v>17558</v>
      </c>
      <c r="K333" s="49"/>
      <c r="L333" s="50"/>
      <c r="M333" s="163"/>
      <c r="N333" s="45"/>
      <c r="O333" s="46"/>
      <c r="P333" s="512"/>
      <c r="Q333" s="57"/>
      <c r="R333" s="512"/>
      <c r="S333" s="57"/>
      <c r="T333" s="35"/>
      <c r="U333" s="12" t="s">
        <v>398</v>
      </c>
      <c r="V333" s="13">
        <v>0.25</v>
      </c>
      <c r="W333" s="57" t="s">
        <v>3575</v>
      </c>
      <c r="X333" s="35"/>
      <c r="AA333" s="57"/>
      <c r="AB333" s="208">
        <f>ROUND((ROUND((ROUND((ROUND((_15_同援日２．０*_15・基礎２),0)*(1+_15・A夜間)),0)*(1+_15・盲ろう)),0)*(1+_15・区３)),0)+ROUND((ROUND((ROUND((ROUND((_15_同援日２．０＿１．０*_15・基礎２),0)*(1+_15・B深夜)),0)*(1+_15・盲ろう)),0)*(1+_15・区３)),0)</f>
        <v>1104</v>
      </c>
      <c r="AC333" s="48"/>
    </row>
    <row r="334" spans="1:29" ht="16.5" customHeight="1" x14ac:dyDescent="0.15">
      <c r="A334" s="41">
        <v>15</v>
      </c>
      <c r="B334" s="41" t="s">
        <v>20490</v>
      </c>
      <c r="C334" s="74" t="s">
        <v>20491</v>
      </c>
      <c r="D334" s="72"/>
      <c r="F334" s="57"/>
      <c r="G334" s="72"/>
      <c r="I334" s="57"/>
      <c r="J334" s="269" t="s">
        <v>17560</v>
      </c>
      <c r="K334" s="37" t="s">
        <v>398</v>
      </c>
      <c r="L334" s="38">
        <v>0.9</v>
      </c>
      <c r="M334" s="299" t="s">
        <v>17556</v>
      </c>
      <c r="N334" s="45" t="s">
        <v>398</v>
      </c>
      <c r="O334" s="46">
        <v>1</v>
      </c>
      <c r="P334" s="512"/>
      <c r="Q334" s="57"/>
      <c r="R334" s="512"/>
      <c r="S334" s="57"/>
      <c r="T334" s="43"/>
      <c r="U334" s="37"/>
      <c r="V334" s="38"/>
      <c r="W334" s="79"/>
      <c r="X334" s="43"/>
      <c r="Y334" s="37"/>
      <c r="Z334" s="38"/>
      <c r="AA334" s="79"/>
      <c r="AB334" s="208">
        <f>ROUND((ROUND((ROUND((ROUND((ROUND((_15_同援日２．０*_15・基礎２),0)*_15・２人),0)*(1+_15・A夜間)),0)*(1+_15・盲ろう)),0)*(1+_15・区３)),0)+ROUND((ROUND((ROUND((ROUND((ROUND((_15_同援日２．０＿１．０*_15・基礎２),0)*_15・２人),0)*(1+_15・B深夜)),0)*(1+_15・盲ろう)),0)*(1+_15・区３)),0)</f>
        <v>1104</v>
      </c>
      <c r="AC334" s="48"/>
    </row>
    <row r="335" spans="1:29" ht="16.5" customHeight="1" x14ac:dyDescent="0.15">
      <c r="A335" s="41">
        <v>15</v>
      </c>
      <c r="B335" s="41" t="s">
        <v>20492</v>
      </c>
      <c r="C335" s="74" t="s">
        <v>20493</v>
      </c>
      <c r="D335" s="72"/>
      <c r="F335" s="57"/>
      <c r="G335" s="72"/>
      <c r="I335" s="57"/>
      <c r="J335" s="53"/>
      <c r="K335" s="49"/>
      <c r="L335" s="50"/>
      <c r="M335" s="163"/>
      <c r="N335" s="45"/>
      <c r="O335" s="46"/>
      <c r="P335" s="512"/>
      <c r="Q335" s="57"/>
      <c r="R335" s="512"/>
      <c r="S335" s="57"/>
      <c r="T335" s="53"/>
      <c r="U335" s="49"/>
      <c r="V335" s="50"/>
      <c r="W335" s="115"/>
      <c r="X335" s="53"/>
      <c r="Y335" s="49"/>
      <c r="Z335" s="50"/>
      <c r="AA335" s="115"/>
      <c r="AB335" s="208">
        <f>ROUND((ROUND((_15_同援日２．０*(1+_15・A夜間)),0)*(1+_15・区４)),0)+ROUND((ROUND((_15_同援日２．０＿１．０*(1+_15・B深夜)),0)*(1+_15・区４)),0)</f>
        <v>1145</v>
      </c>
      <c r="AC335" s="48"/>
    </row>
    <row r="336" spans="1:29" ht="16.5" customHeight="1" x14ac:dyDescent="0.15">
      <c r="A336" s="41">
        <v>15</v>
      </c>
      <c r="B336" s="41" t="s">
        <v>20494</v>
      </c>
      <c r="C336" s="74" t="s">
        <v>20495</v>
      </c>
      <c r="D336" s="72"/>
      <c r="F336" s="57"/>
      <c r="G336" s="72"/>
      <c r="I336" s="57"/>
      <c r="J336" s="43"/>
      <c r="K336" s="37"/>
      <c r="L336" s="38"/>
      <c r="M336" s="299" t="s">
        <v>17556</v>
      </c>
      <c r="N336" s="45" t="s">
        <v>398</v>
      </c>
      <c r="O336" s="46">
        <v>1</v>
      </c>
      <c r="P336" s="512"/>
      <c r="Q336" s="57"/>
      <c r="R336" s="512"/>
      <c r="S336" s="57"/>
      <c r="T336" s="35"/>
      <c r="W336" s="57"/>
      <c r="X336" s="35"/>
      <c r="AA336" s="57"/>
      <c r="AB336" s="208">
        <f>ROUND((ROUND((ROUND((_15_同援日２．０*_15・２人),0)*(1+_15・A夜間)),0)*(1+_15・区４)),0)+ROUND((ROUND((ROUND((_15_同援日２．０＿１．０*_15・２人),0)*(1+_15・B深夜)),0)*(1+_15・区４)),0)</f>
        <v>1145</v>
      </c>
      <c r="AC336" s="48"/>
    </row>
    <row r="337" spans="1:29" ht="16.5" customHeight="1" x14ac:dyDescent="0.15">
      <c r="A337" s="41">
        <v>15</v>
      </c>
      <c r="B337" s="41" t="s">
        <v>20496</v>
      </c>
      <c r="C337" s="74" t="s">
        <v>20497</v>
      </c>
      <c r="D337" s="72"/>
      <c r="F337" s="57"/>
      <c r="G337" s="72"/>
      <c r="I337" s="57"/>
      <c r="J337" s="114" t="s">
        <v>17558</v>
      </c>
      <c r="K337" s="49"/>
      <c r="L337" s="50"/>
      <c r="M337" s="163"/>
      <c r="N337" s="45"/>
      <c r="O337" s="46"/>
      <c r="P337" s="512"/>
      <c r="Q337" s="57"/>
      <c r="R337" s="512"/>
      <c r="S337" s="57"/>
      <c r="T337" s="35"/>
      <c r="W337" s="57"/>
      <c r="X337" s="72" t="s">
        <v>17580</v>
      </c>
      <c r="AA337" s="57"/>
      <c r="AB337" s="208">
        <f>ROUND((ROUND((ROUND((_15_同援日２．０*_15・基礎２),0)*(1+_15・A夜間)),0)*(1+_15・区４)),0)+ROUND((ROUND((ROUND((_15_同援日２．０＿１．０*_15・基礎２),0)*(1+_15・B深夜)),0)*(1+_15・区４)),0)</f>
        <v>1030</v>
      </c>
      <c r="AC337" s="48"/>
    </row>
    <row r="338" spans="1:29" ht="16.5" customHeight="1" x14ac:dyDescent="0.15">
      <c r="A338" s="41">
        <v>15</v>
      </c>
      <c r="B338" s="41" t="s">
        <v>20498</v>
      </c>
      <c r="C338" s="74" t="s">
        <v>20499</v>
      </c>
      <c r="D338" s="72"/>
      <c r="F338" s="57"/>
      <c r="G338" s="72"/>
      <c r="I338" s="57"/>
      <c r="J338" s="269" t="s">
        <v>17560</v>
      </c>
      <c r="K338" s="37" t="s">
        <v>398</v>
      </c>
      <c r="L338" s="38">
        <v>0.9</v>
      </c>
      <c r="M338" s="299" t="s">
        <v>17556</v>
      </c>
      <c r="N338" s="45" t="s">
        <v>398</v>
      </c>
      <c r="O338" s="46">
        <v>1</v>
      </c>
      <c r="P338" s="512"/>
      <c r="Q338" s="57"/>
      <c r="R338" s="512"/>
      <c r="S338" s="57"/>
      <c r="T338" s="43"/>
      <c r="U338" s="37"/>
      <c r="V338" s="38"/>
      <c r="W338" s="79"/>
      <c r="X338" s="72" t="s">
        <v>17572</v>
      </c>
      <c r="AA338" s="57"/>
      <c r="AB338" s="208">
        <f>ROUND((ROUND((ROUND((ROUND((_15_同援日２．０*_15・基礎２),0)*_15・２人),0)*(1+_15・A夜間)),0)*(1+_15・区４)),0)+ROUND((ROUND((ROUND((ROUND((_15_同援日２．０＿１．０*_15・基礎２),0)*_15・２人),0)*(1+_15・B深夜)),0)*(1+_15・区４)),0)</f>
        <v>1030</v>
      </c>
      <c r="AC338" s="48"/>
    </row>
    <row r="339" spans="1:29" ht="16.5" customHeight="1" x14ac:dyDescent="0.15">
      <c r="A339" s="41">
        <v>15</v>
      </c>
      <c r="B339" s="41" t="s">
        <v>20500</v>
      </c>
      <c r="C339" s="74" t="s">
        <v>20501</v>
      </c>
      <c r="D339" s="72"/>
      <c r="F339" s="57"/>
      <c r="G339" s="72"/>
      <c r="I339" s="57"/>
      <c r="J339" s="53"/>
      <c r="K339" s="49"/>
      <c r="L339" s="50"/>
      <c r="M339" s="163"/>
      <c r="N339" s="45"/>
      <c r="O339" s="46"/>
      <c r="P339" s="512"/>
      <c r="Q339" s="57"/>
      <c r="R339" s="512"/>
      <c r="S339" s="57"/>
      <c r="T339" s="114" t="s">
        <v>17562</v>
      </c>
      <c r="U339" s="49"/>
      <c r="V339" s="50"/>
      <c r="W339" s="115"/>
      <c r="X339" s="35"/>
      <c r="Y339" s="12" t="s">
        <v>398</v>
      </c>
      <c r="Z339" s="13">
        <v>0.4</v>
      </c>
      <c r="AA339" s="57" t="s">
        <v>3575</v>
      </c>
      <c r="AB339" s="208">
        <f>ROUND((ROUND((ROUND((_15_同援日２．０*(1+_15・A夜間)),0)*(1+_15・盲ろう)),0)*(1+_15・区４)),0)+ROUND((ROUND((ROUND((_15_同援日２．０＿１．０*(1+_15・B深夜)),0)*(1+_15・盲ろう)),0)*(1+_15・区４)),0)</f>
        <v>1433</v>
      </c>
      <c r="AC339" s="48"/>
    </row>
    <row r="340" spans="1:29" ht="16.5" customHeight="1" x14ac:dyDescent="0.15">
      <c r="A340" s="41">
        <v>15</v>
      </c>
      <c r="B340" s="41" t="s">
        <v>20502</v>
      </c>
      <c r="C340" s="74" t="s">
        <v>20503</v>
      </c>
      <c r="D340" s="72"/>
      <c r="F340" s="57"/>
      <c r="G340" s="72"/>
      <c r="I340" s="57"/>
      <c r="J340" s="43"/>
      <c r="K340" s="37"/>
      <c r="L340" s="38"/>
      <c r="M340" s="299" t="s">
        <v>17556</v>
      </c>
      <c r="N340" s="45" t="s">
        <v>398</v>
      </c>
      <c r="O340" s="46">
        <v>1</v>
      </c>
      <c r="P340" s="512"/>
      <c r="Q340" s="57"/>
      <c r="R340" s="512"/>
      <c r="S340" s="57"/>
      <c r="T340" s="92" t="s">
        <v>17564</v>
      </c>
      <c r="W340" s="57"/>
      <c r="X340" s="35"/>
      <c r="AA340" s="57"/>
      <c r="AB340" s="208">
        <f>ROUND((ROUND((ROUND((ROUND((_15_同援日２．０*_15・２人),0)*(1+_15・A夜間)),0)*(1+_15・盲ろう)),0)*(1+_15・区４)),0)+ROUND((ROUND((ROUND((ROUND((_15_同援日２．０＿１．０*_15・２人),0)*(1+_15・B深夜)),0)*(1+_15・盲ろう)),0)*(1+_15・区４)),0)</f>
        <v>1433</v>
      </c>
      <c r="AC340" s="48"/>
    </row>
    <row r="341" spans="1:29" ht="16.5" customHeight="1" x14ac:dyDescent="0.15">
      <c r="A341" s="41">
        <v>15</v>
      </c>
      <c r="B341" s="41" t="s">
        <v>20504</v>
      </c>
      <c r="C341" s="74" t="s">
        <v>20505</v>
      </c>
      <c r="D341" s="72"/>
      <c r="F341" s="57"/>
      <c r="G341" s="72"/>
      <c r="I341" s="57"/>
      <c r="J341" s="114" t="s">
        <v>17558</v>
      </c>
      <c r="K341" s="49"/>
      <c r="L341" s="50"/>
      <c r="M341" s="163"/>
      <c r="N341" s="45"/>
      <c r="O341" s="46"/>
      <c r="P341" s="512"/>
      <c r="Q341" s="57"/>
      <c r="R341" s="512"/>
      <c r="S341" s="57"/>
      <c r="T341" s="35"/>
      <c r="U341" s="12" t="s">
        <v>398</v>
      </c>
      <c r="V341" s="13">
        <v>0.25</v>
      </c>
      <c r="W341" s="57" t="s">
        <v>3575</v>
      </c>
      <c r="X341" s="35"/>
      <c r="AA341" s="57"/>
      <c r="AB341" s="208">
        <f>ROUND((ROUND((ROUND((ROUND((_15_同援日２．０*_15・基礎２),0)*(1+_15・A夜間)),0)*(1+_15・盲ろう)),0)*(1+_15・区４)),0)+ROUND((ROUND((ROUND((ROUND((_15_同援日２．０＿１．０*_15・基礎２),0)*(1+_15・B深夜)),0)*(1+_15・盲ろう)),0)*(1+_15・区４)),0)</f>
        <v>1288</v>
      </c>
      <c r="AC341" s="48"/>
    </row>
    <row r="342" spans="1:29" ht="16.5" customHeight="1" x14ac:dyDescent="0.15">
      <c r="A342" s="41">
        <v>15</v>
      </c>
      <c r="B342" s="41" t="s">
        <v>20506</v>
      </c>
      <c r="C342" s="74" t="s">
        <v>20507</v>
      </c>
      <c r="D342" s="122"/>
      <c r="E342" s="37"/>
      <c r="F342" s="79"/>
      <c r="G342" s="122"/>
      <c r="H342" s="37"/>
      <c r="I342" s="79"/>
      <c r="J342" s="269" t="s">
        <v>17560</v>
      </c>
      <c r="K342" s="37" t="s">
        <v>398</v>
      </c>
      <c r="L342" s="38">
        <v>0.9</v>
      </c>
      <c r="M342" s="299" t="s">
        <v>17556</v>
      </c>
      <c r="N342" s="45" t="s">
        <v>398</v>
      </c>
      <c r="O342" s="46">
        <v>1</v>
      </c>
      <c r="P342" s="512"/>
      <c r="Q342" s="57"/>
      <c r="R342" s="512"/>
      <c r="S342" s="57"/>
      <c r="T342" s="43"/>
      <c r="U342" s="37"/>
      <c r="V342" s="38"/>
      <c r="W342" s="79"/>
      <c r="X342" s="43"/>
      <c r="Y342" s="37"/>
      <c r="Z342" s="38"/>
      <c r="AA342" s="79"/>
      <c r="AB342" s="208">
        <f>ROUND((ROUND((ROUND((ROUND((ROUND((_15_同援日２．０*_15・基礎２),0)*_15・２人),0)*(1+_15・A夜間)),0)*(1+_15・盲ろう)),0)*(1+_15・区４)),0)+ROUND((ROUND((ROUND((ROUND((ROUND((_15_同援日２．０＿１．０*_15・基礎２),0)*_15・２人),0)*(1+_15・B深夜)),0)*(1+_15・盲ろう)),0)*(1+_15・区４)),0)</f>
        <v>1288</v>
      </c>
      <c r="AC342" s="48"/>
    </row>
    <row r="343" spans="1:29" ht="16.5" customHeight="1" x14ac:dyDescent="0.15">
      <c r="A343" s="41">
        <v>15</v>
      </c>
      <c r="B343" s="41" t="s">
        <v>20508</v>
      </c>
      <c r="C343" s="74" t="s">
        <v>20509</v>
      </c>
      <c r="D343" s="114" t="s">
        <v>18359</v>
      </c>
      <c r="E343" s="49"/>
      <c r="F343" s="115"/>
      <c r="G343" s="114" t="s">
        <v>19945</v>
      </c>
      <c r="H343" s="49"/>
      <c r="I343" s="115"/>
      <c r="J343" s="53"/>
      <c r="K343" s="49"/>
      <c r="L343" s="50"/>
      <c r="M343" s="163"/>
      <c r="N343" s="45"/>
      <c r="O343" s="46"/>
      <c r="P343" s="512"/>
      <c r="Q343" s="57"/>
      <c r="R343" s="512"/>
      <c r="S343" s="57"/>
      <c r="T343" s="53"/>
      <c r="U343" s="49"/>
      <c r="V343" s="50"/>
      <c r="W343" s="115"/>
      <c r="X343" s="53"/>
      <c r="Y343" s="49"/>
      <c r="Z343" s="50"/>
      <c r="AA343" s="115"/>
      <c r="AB343" s="208">
        <f>ROUND((_15_同援日２．５*(1+_15・A夜間)),0)+ROUND((_15_同援日２．５＿０．５*(1+_15・B深夜)),0)</f>
        <v>802</v>
      </c>
      <c r="AC343" s="48"/>
    </row>
    <row r="344" spans="1:29" ht="16.5" customHeight="1" x14ac:dyDescent="0.15">
      <c r="A344" s="41">
        <v>15</v>
      </c>
      <c r="B344" s="41" t="s">
        <v>20510</v>
      </c>
      <c r="C344" s="74" t="s">
        <v>20511</v>
      </c>
      <c r="D344" s="72" t="s">
        <v>17670</v>
      </c>
      <c r="F344" s="57"/>
      <c r="G344" s="72" t="s">
        <v>18259</v>
      </c>
      <c r="I344" s="57"/>
      <c r="J344" s="43"/>
      <c r="K344" s="37"/>
      <c r="L344" s="38"/>
      <c r="M344" s="299" t="s">
        <v>17556</v>
      </c>
      <c r="N344" s="45" t="s">
        <v>398</v>
      </c>
      <c r="O344" s="46">
        <v>1</v>
      </c>
      <c r="P344" s="512"/>
      <c r="Q344" s="57"/>
      <c r="R344" s="512"/>
      <c r="S344" s="57"/>
      <c r="T344" s="35"/>
      <c r="W344" s="57"/>
      <c r="X344" s="35"/>
      <c r="AA344" s="57"/>
      <c r="AB344" s="208">
        <f>ROUND((ROUND((_15_同援日２．５*_15・２人),0)*(1+_15・A夜間)),0)+ROUND((ROUND((_15_同援日２．５＿０．５*_15・２人),0)*(1+_15・B深夜)),0)</f>
        <v>802</v>
      </c>
      <c r="AC344" s="48"/>
    </row>
    <row r="345" spans="1:29" ht="16.5" customHeight="1" x14ac:dyDescent="0.15">
      <c r="A345" s="41">
        <v>15</v>
      </c>
      <c r="B345" s="41" t="s">
        <v>585</v>
      </c>
      <c r="C345" s="74" t="s">
        <v>20512</v>
      </c>
      <c r="D345" s="72" t="s">
        <v>17672</v>
      </c>
      <c r="F345" s="57"/>
      <c r="G345" s="72"/>
      <c r="I345" s="57"/>
      <c r="J345" s="114" t="s">
        <v>17558</v>
      </c>
      <c r="K345" s="49"/>
      <c r="L345" s="50"/>
      <c r="M345" s="163"/>
      <c r="N345" s="45"/>
      <c r="O345" s="46"/>
      <c r="P345" s="512"/>
      <c r="Q345" s="57"/>
      <c r="R345" s="512"/>
      <c r="S345" s="57"/>
      <c r="T345" s="35"/>
      <c r="W345" s="57"/>
      <c r="X345" s="35"/>
      <c r="AA345" s="57"/>
      <c r="AB345" s="208">
        <f>ROUND((ROUND((_15_同援日２．５*_15・基礎２),0)*(1+_15・A夜間)),0)+ROUND((ROUND((_15_同援日２．５＿０．５*_15・基礎２),0)*(1+_15・B深夜)),0)</f>
        <v>723</v>
      </c>
      <c r="AC345" s="48"/>
    </row>
    <row r="346" spans="1:29" ht="16.5" customHeight="1" x14ac:dyDescent="0.15">
      <c r="A346" s="41">
        <v>15</v>
      </c>
      <c r="B346" s="41" t="s">
        <v>587</v>
      </c>
      <c r="C346" s="74" t="s">
        <v>20513</v>
      </c>
      <c r="D346" s="72"/>
      <c r="E346" s="168">
        <f>_15_同援日２．５</f>
        <v>563</v>
      </c>
      <c r="F346" s="57" t="s">
        <v>392</v>
      </c>
      <c r="G346" s="72"/>
      <c r="H346" s="168">
        <f>_15_同援日２．５＿０．５</f>
        <v>65</v>
      </c>
      <c r="I346" s="57" t="s">
        <v>392</v>
      </c>
      <c r="J346" s="269" t="s">
        <v>17560</v>
      </c>
      <c r="K346" s="37" t="s">
        <v>398</v>
      </c>
      <c r="L346" s="38">
        <v>0.9</v>
      </c>
      <c r="M346" s="299" t="s">
        <v>17556</v>
      </c>
      <c r="N346" s="45" t="s">
        <v>398</v>
      </c>
      <c r="O346" s="46">
        <v>1</v>
      </c>
      <c r="P346" s="512"/>
      <c r="Q346" s="57"/>
      <c r="R346" s="512"/>
      <c r="S346" s="57"/>
      <c r="T346" s="43"/>
      <c r="U346" s="37"/>
      <c r="V346" s="38"/>
      <c r="W346" s="79"/>
      <c r="X346" s="35"/>
      <c r="AA346" s="57"/>
      <c r="AB346" s="208">
        <f>ROUND((ROUND((ROUND((_15_同援日２．５*_15・基礎２),0)*_15・２人),0)*(1+_15・A夜間)),0)+ROUND((ROUND((ROUND((_15_同援日２．５＿０．５*_15・基礎２),0)*_15・２人),0)*(1+_15・B深夜)),0)</f>
        <v>723</v>
      </c>
      <c r="AC346" s="48"/>
    </row>
    <row r="347" spans="1:29" ht="16.5" customHeight="1" x14ac:dyDescent="0.15">
      <c r="A347" s="41">
        <v>15</v>
      </c>
      <c r="B347" s="41" t="s">
        <v>589</v>
      </c>
      <c r="C347" s="74" t="s">
        <v>20514</v>
      </c>
      <c r="D347" s="72"/>
      <c r="F347" s="57"/>
      <c r="G347" s="72"/>
      <c r="I347" s="57"/>
      <c r="J347" s="53"/>
      <c r="K347" s="49"/>
      <c r="L347" s="50"/>
      <c r="M347" s="163"/>
      <c r="N347" s="45"/>
      <c r="O347" s="46"/>
      <c r="P347" s="512"/>
      <c r="Q347" s="57"/>
      <c r="R347" s="512"/>
      <c r="S347" s="57"/>
      <c r="T347" s="114" t="s">
        <v>17562</v>
      </c>
      <c r="U347" s="49"/>
      <c r="V347" s="50"/>
      <c r="W347" s="115"/>
      <c r="X347" s="35"/>
      <c r="AA347" s="57"/>
      <c r="AB347" s="208">
        <f>ROUND((ROUND((_15_同援日２．５*(1+_15・A夜間)),0)*(1+_15・盲ろう)),0)+ROUND((ROUND((_15_同援日２．５＿０．５*(1+_15・B深夜)),0)*(1+_15・盲ろう)),0)</f>
        <v>1003</v>
      </c>
      <c r="AC347" s="48"/>
    </row>
    <row r="348" spans="1:29" ht="16.5" customHeight="1" x14ac:dyDescent="0.15">
      <c r="A348" s="41">
        <v>15</v>
      </c>
      <c r="B348" s="41" t="s">
        <v>591</v>
      </c>
      <c r="C348" s="74" t="s">
        <v>20515</v>
      </c>
      <c r="D348" s="72"/>
      <c r="F348" s="57"/>
      <c r="G348" s="72"/>
      <c r="I348" s="57"/>
      <c r="J348" s="43"/>
      <c r="K348" s="37"/>
      <c r="L348" s="38"/>
      <c r="M348" s="299" t="s">
        <v>17556</v>
      </c>
      <c r="N348" s="45" t="s">
        <v>398</v>
      </c>
      <c r="O348" s="46">
        <v>1</v>
      </c>
      <c r="P348" s="512"/>
      <c r="Q348" s="57"/>
      <c r="R348" s="512"/>
      <c r="S348" s="57"/>
      <c r="T348" s="92" t="s">
        <v>17564</v>
      </c>
      <c r="W348" s="57"/>
      <c r="X348" s="35"/>
      <c r="AA348" s="57"/>
      <c r="AB348" s="208">
        <f>ROUND((ROUND((ROUND((_15_同援日２．５*_15・２人),0)*(1+_15・A夜間)),0)*(1+_15・盲ろう)),0)+ROUND((ROUND((ROUND((_15_同援日２．５＿０．５*_15・２人),0)*(1+_15・B深夜)),0)*(1+_15・盲ろう)),0)</f>
        <v>1003</v>
      </c>
      <c r="AC348" s="48"/>
    </row>
    <row r="349" spans="1:29" ht="16.5" customHeight="1" x14ac:dyDescent="0.15">
      <c r="A349" s="41">
        <v>15</v>
      </c>
      <c r="B349" s="41" t="s">
        <v>20516</v>
      </c>
      <c r="C349" s="74" t="s">
        <v>20517</v>
      </c>
      <c r="D349" s="72"/>
      <c r="F349" s="57"/>
      <c r="G349" s="72"/>
      <c r="I349" s="57"/>
      <c r="J349" s="114" t="s">
        <v>17558</v>
      </c>
      <c r="K349" s="49"/>
      <c r="L349" s="50"/>
      <c r="M349" s="163"/>
      <c r="N349" s="45"/>
      <c r="O349" s="46"/>
      <c r="P349" s="512"/>
      <c r="Q349" s="57"/>
      <c r="R349" s="512"/>
      <c r="S349" s="57"/>
      <c r="T349" s="35"/>
      <c r="U349" s="12" t="s">
        <v>398</v>
      </c>
      <c r="V349" s="13">
        <v>0.25</v>
      </c>
      <c r="W349" s="57" t="s">
        <v>3575</v>
      </c>
      <c r="X349" s="35"/>
      <c r="AA349" s="57"/>
      <c r="AB349" s="208">
        <f>ROUND((ROUND((ROUND((_15_同援日２．５*_15・基礎２),0)*(1+_15・A夜間)),0)*(1+_15・盲ろう)),0)+ROUND((ROUND((ROUND((_15_同援日２．５＿０．５*_15・基礎２),0)*(1+_15・B深夜)),0)*(1+_15・盲ろう)),0)</f>
        <v>904</v>
      </c>
      <c r="AC349" s="48"/>
    </row>
    <row r="350" spans="1:29" ht="16.5" customHeight="1" x14ac:dyDescent="0.15">
      <c r="A350" s="41">
        <v>15</v>
      </c>
      <c r="B350" s="41" t="s">
        <v>20518</v>
      </c>
      <c r="C350" s="74" t="s">
        <v>20519</v>
      </c>
      <c r="D350" s="72"/>
      <c r="F350" s="57"/>
      <c r="G350" s="72"/>
      <c r="I350" s="57"/>
      <c r="J350" s="269" t="s">
        <v>17560</v>
      </c>
      <c r="K350" s="37" t="s">
        <v>398</v>
      </c>
      <c r="L350" s="38">
        <v>0.9</v>
      </c>
      <c r="M350" s="299" t="s">
        <v>17556</v>
      </c>
      <c r="N350" s="45" t="s">
        <v>398</v>
      </c>
      <c r="O350" s="46">
        <v>1</v>
      </c>
      <c r="P350" s="512"/>
      <c r="Q350" s="57"/>
      <c r="R350" s="512"/>
      <c r="S350" s="57"/>
      <c r="T350" s="43"/>
      <c r="U350" s="37"/>
      <c r="V350" s="38"/>
      <c r="W350" s="79"/>
      <c r="X350" s="43"/>
      <c r="Y350" s="37"/>
      <c r="Z350" s="38"/>
      <c r="AA350" s="79"/>
      <c r="AB350" s="208">
        <f>ROUND((ROUND((ROUND((ROUND((_15_同援日２．５*_15・基礎２),0)*_15・２人),0)*(1+_15・A夜間)),0)*(1+_15・盲ろう)),0)+ROUND((ROUND((ROUND((ROUND((_15_同援日２．５＿０．５*_15・基礎２),0)*_15・２人),0)*(1+_15・B深夜)),0)*(1+_15・盲ろう)),0)</f>
        <v>904</v>
      </c>
      <c r="AC350" s="48"/>
    </row>
    <row r="351" spans="1:29" ht="16.5" customHeight="1" x14ac:dyDescent="0.15">
      <c r="A351" s="41">
        <v>15</v>
      </c>
      <c r="B351" s="41" t="s">
        <v>20520</v>
      </c>
      <c r="C351" s="74" t="s">
        <v>20521</v>
      </c>
      <c r="D351" s="72"/>
      <c r="F351" s="57"/>
      <c r="G351" s="72"/>
      <c r="I351" s="57"/>
      <c r="J351" s="53"/>
      <c r="K351" s="49"/>
      <c r="L351" s="50"/>
      <c r="M351" s="163"/>
      <c r="N351" s="45"/>
      <c r="O351" s="46"/>
      <c r="P351" s="512"/>
      <c r="Q351" s="57"/>
      <c r="R351" s="512"/>
      <c r="S351" s="57"/>
      <c r="T351" s="53"/>
      <c r="U351" s="49"/>
      <c r="V351" s="50"/>
      <c r="W351" s="115"/>
      <c r="X351" s="53"/>
      <c r="Y351" s="49"/>
      <c r="Z351" s="50"/>
      <c r="AA351" s="115"/>
      <c r="AB351" s="208">
        <f>ROUND((ROUND((_15_同援日２．５*(1+_15・A夜間)),0)*(1+_15・区３)),0)+ROUND((ROUND((_15_同援日２．５＿０．５*(1+_15・B深夜)),0)*(1+_15・区３)),0)</f>
        <v>963</v>
      </c>
      <c r="AC351" s="48"/>
    </row>
    <row r="352" spans="1:29" ht="16.5" customHeight="1" x14ac:dyDescent="0.15">
      <c r="A352" s="41">
        <v>15</v>
      </c>
      <c r="B352" s="41" t="s">
        <v>20522</v>
      </c>
      <c r="C352" s="74" t="s">
        <v>20523</v>
      </c>
      <c r="D352" s="72"/>
      <c r="F352" s="57"/>
      <c r="G352" s="72"/>
      <c r="I352" s="57"/>
      <c r="J352" s="43"/>
      <c r="K352" s="37"/>
      <c r="L352" s="38"/>
      <c r="M352" s="299" t="s">
        <v>17556</v>
      </c>
      <c r="N352" s="45" t="s">
        <v>398</v>
      </c>
      <c r="O352" s="46">
        <v>1</v>
      </c>
      <c r="P352" s="512"/>
      <c r="Q352" s="57"/>
      <c r="R352" s="512"/>
      <c r="S352" s="57"/>
      <c r="T352" s="35"/>
      <c r="W352" s="57"/>
      <c r="X352" s="35"/>
      <c r="AA352" s="57"/>
      <c r="AB352" s="208">
        <f>ROUND((ROUND((ROUND((_15_同援日２．５*_15・２人),0)*(1+_15・A夜間)),0)*(1+_15・区３)),0)+ROUND((ROUND((ROUND((_15_同援日２．５＿０．５*_15・２人),0)*(1+_15・B深夜)),0)*(1+_15・区３)),0)</f>
        <v>963</v>
      </c>
      <c r="AC352" s="48"/>
    </row>
    <row r="353" spans="1:29" ht="16.5" customHeight="1" x14ac:dyDescent="0.15">
      <c r="A353" s="41">
        <v>15</v>
      </c>
      <c r="B353" s="41" t="s">
        <v>20524</v>
      </c>
      <c r="C353" s="74" t="s">
        <v>20525</v>
      </c>
      <c r="D353" s="72"/>
      <c r="F353" s="57"/>
      <c r="G353" s="72"/>
      <c r="I353" s="57"/>
      <c r="J353" s="114" t="s">
        <v>17558</v>
      </c>
      <c r="K353" s="49"/>
      <c r="L353" s="50"/>
      <c r="M353" s="163"/>
      <c r="N353" s="45"/>
      <c r="O353" s="46"/>
      <c r="P353" s="512"/>
      <c r="Q353" s="57"/>
      <c r="R353" s="512"/>
      <c r="S353" s="57"/>
      <c r="T353" s="35"/>
      <c r="W353" s="57"/>
      <c r="X353" s="72" t="s">
        <v>17570</v>
      </c>
      <c r="AA353" s="57"/>
      <c r="AB353" s="208">
        <f>ROUND((ROUND((ROUND((_15_同援日２．５*_15・基礎２),0)*(1+_15・A夜間)),0)*(1+_15・区３)),0)+ROUND((ROUND((ROUND((_15_同援日２．５＿０．５*_15・基礎２),0)*(1+_15・B深夜)),0)*(1+_15・区３)),0)</f>
        <v>868</v>
      </c>
      <c r="AC353" s="48"/>
    </row>
    <row r="354" spans="1:29" ht="16.5" customHeight="1" x14ac:dyDescent="0.15">
      <c r="A354" s="41">
        <v>15</v>
      </c>
      <c r="B354" s="41" t="s">
        <v>20526</v>
      </c>
      <c r="C354" s="74" t="s">
        <v>20527</v>
      </c>
      <c r="D354" s="72"/>
      <c r="F354" s="57"/>
      <c r="G354" s="72"/>
      <c r="I354" s="57"/>
      <c r="J354" s="269" t="s">
        <v>17560</v>
      </c>
      <c r="K354" s="37" t="s">
        <v>398</v>
      </c>
      <c r="L354" s="38">
        <v>0.9</v>
      </c>
      <c r="M354" s="299" t="s">
        <v>17556</v>
      </c>
      <c r="N354" s="45" t="s">
        <v>398</v>
      </c>
      <c r="O354" s="46">
        <v>1</v>
      </c>
      <c r="P354" s="512"/>
      <c r="Q354" s="57"/>
      <c r="R354" s="512"/>
      <c r="S354" s="57"/>
      <c r="T354" s="43"/>
      <c r="U354" s="37"/>
      <c r="V354" s="38"/>
      <c r="W354" s="79"/>
      <c r="X354" s="72" t="s">
        <v>17572</v>
      </c>
      <c r="AA354" s="57"/>
      <c r="AB354" s="208">
        <f>ROUND((ROUND((ROUND((ROUND((_15_同援日２．５*_15・基礎２),0)*_15・２人),0)*(1+_15・A夜間)),0)*(1+_15・区３)),0)+ROUND((ROUND((ROUND((ROUND((_15_同援日２．５＿０．５*_15・基礎２),0)*_15・２人),0)*(1+_15・B深夜)),0)*(1+_15・区３)),0)</f>
        <v>868</v>
      </c>
      <c r="AC354" s="48"/>
    </row>
    <row r="355" spans="1:29" ht="16.5" customHeight="1" x14ac:dyDescent="0.15">
      <c r="A355" s="41">
        <v>15</v>
      </c>
      <c r="B355" s="41" t="s">
        <v>20528</v>
      </c>
      <c r="C355" s="74" t="s">
        <v>20529</v>
      </c>
      <c r="D355" s="72"/>
      <c r="F355" s="57"/>
      <c r="G355" s="72"/>
      <c r="I355" s="57"/>
      <c r="J355" s="53"/>
      <c r="K355" s="49"/>
      <c r="L355" s="50"/>
      <c r="M355" s="163"/>
      <c r="N355" s="45"/>
      <c r="O355" s="46"/>
      <c r="P355" s="512"/>
      <c r="Q355" s="57"/>
      <c r="R355" s="512"/>
      <c r="S355" s="57"/>
      <c r="T355" s="114" t="s">
        <v>17562</v>
      </c>
      <c r="U355" s="49"/>
      <c r="V355" s="50"/>
      <c r="W355" s="115"/>
      <c r="X355" s="35"/>
      <c r="Y355" s="12" t="s">
        <v>398</v>
      </c>
      <c r="Z355" s="13">
        <v>0.2</v>
      </c>
      <c r="AA355" s="57" t="s">
        <v>3575</v>
      </c>
      <c r="AB355" s="208">
        <f>ROUND((ROUND((ROUND((_15_同援日２．５*(1+_15・A夜間)),0)*(1+_15・盲ろう)),0)*(1+_15・区３)),0)+ROUND((ROUND((ROUND((_15_同援日２．５＿０．５*(1+_15・B深夜)),0)*(1+_15・盲ろう)),0)*(1+_15・区３)),0)</f>
        <v>1204</v>
      </c>
      <c r="AC355" s="48"/>
    </row>
    <row r="356" spans="1:29" ht="16.5" customHeight="1" x14ac:dyDescent="0.15">
      <c r="A356" s="41">
        <v>15</v>
      </c>
      <c r="B356" s="41" t="s">
        <v>20530</v>
      </c>
      <c r="C356" s="74" t="s">
        <v>20531</v>
      </c>
      <c r="D356" s="72"/>
      <c r="F356" s="57"/>
      <c r="G356" s="72"/>
      <c r="I356" s="57"/>
      <c r="J356" s="43"/>
      <c r="K356" s="37"/>
      <c r="L356" s="38"/>
      <c r="M356" s="299" t="s">
        <v>17556</v>
      </c>
      <c r="N356" s="45" t="s">
        <v>398</v>
      </c>
      <c r="O356" s="46">
        <v>1</v>
      </c>
      <c r="P356" s="512"/>
      <c r="Q356" s="57"/>
      <c r="R356" s="512"/>
      <c r="S356" s="57"/>
      <c r="T356" s="92" t="s">
        <v>17564</v>
      </c>
      <c r="W356" s="57"/>
      <c r="X356" s="35"/>
      <c r="AA356" s="57"/>
      <c r="AB356" s="208">
        <f>ROUND((ROUND((ROUND((ROUND((_15_同援日２．５*_15・２人),0)*(1+_15・A夜間)),0)*(1+_15・盲ろう)),0)*(1+_15・区３)),0)+ROUND((ROUND((ROUND((ROUND((_15_同援日２．５＿０．５*_15・２人),0)*(1+_15・B深夜)),0)*(1+_15・盲ろう)),0)*(1+_15・区３)),0)</f>
        <v>1204</v>
      </c>
      <c r="AC356" s="48"/>
    </row>
    <row r="357" spans="1:29" ht="16.5" customHeight="1" x14ac:dyDescent="0.15">
      <c r="A357" s="41">
        <v>15</v>
      </c>
      <c r="B357" s="41" t="s">
        <v>20532</v>
      </c>
      <c r="C357" s="74" t="s">
        <v>20533</v>
      </c>
      <c r="D357" s="72"/>
      <c r="F357" s="57"/>
      <c r="G357" s="72"/>
      <c r="I357" s="57"/>
      <c r="J357" s="114" t="s">
        <v>17558</v>
      </c>
      <c r="K357" s="49"/>
      <c r="L357" s="50"/>
      <c r="M357" s="163"/>
      <c r="N357" s="45"/>
      <c r="O357" s="46"/>
      <c r="P357" s="512"/>
      <c r="Q357" s="57"/>
      <c r="R357" s="512"/>
      <c r="S357" s="57"/>
      <c r="T357" s="35"/>
      <c r="U357" s="12" t="s">
        <v>398</v>
      </c>
      <c r="V357" s="13">
        <v>0.25</v>
      </c>
      <c r="W357" s="57" t="s">
        <v>3575</v>
      </c>
      <c r="X357" s="35"/>
      <c r="AA357" s="57"/>
      <c r="AB357" s="208">
        <f>ROUND((ROUND((ROUND((ROUND((_15_同援日２．５*_15・基礎２),0)*(1+_15・A夜間)),0)*(1+_15・盲ろう)),0)*(1+_15・区３)),0)+ROUND((ROUND((ROUND((ROUND((_15_同援日２．５＿０．５*_15・基礎２),0)*(1+_15・B深夜)),0)*(1+_15・盲ろう)),0)*(1+_15・区３)),0)</f>
        <v>1085</v>
      </c>
      <c r="AC357" s="48"/>
    </row>
    <row r="358" spans="1:29" ht="16.5" customHeight="1" x14ac:dyDescent="0.15">
      <c r="A358" s="41">
        <v>15</v>
      </c>
      <c r="B358" s="41" t="s">
        <v>20534</v>
      </c>
      <c r="C358" s="74" t="s">
        <v>20535</v>
      </c>
      <c r="D358" s="72"/>
      <c r="F358" s="57"/>
      <c r="G358" s="72"/>
      <c r="I358" s="57"/>
      <c r="J358" s="269" t="s">
        <v>17560</v>
      </c>
      <c r="K358" s="37" t="s">
        <v>398</v>
      </c>
      <c r="L358" s="38">
        <v>0.9</v>
      </c>
      <c r="M358" s="299" t="s">
        <v>17556</v>
      </c>
      <c r="N358" s="45" t="s">
        <v>398</v>
      </c>
      <c r="O358" s="46">
        <v>1</v>
      </c>
      <c r="P358" s="512"/>
      <c r="Q358" s="57"/>
      <c r="R358" s="512"/>
      <c r="S358" s="57"/>
      <c r="T358" s="43"/>
      <c r="U358" s="37"/>
      <c r="V358" s="38"/>
      <c r="W358" s="79"/>
      <c r="X358" s="43"/>
      <c r="Y358" s="37"/>
      <c r="Z358" s="38"/>
      <c r="AA358" s="79"/>
      <c r="AB358" s="208">
        <f>ROUND((ROUND((ROUND((ROUND((ROUND((_15_同援日２．５*_15・基礎２),0)*_15・２人),0)*(1+_15・A夜間)),0)*(1+_15・盲ろう)),0)*(1+_15・区３)),0)+ROUND((ROUND((ROUND((ROUND((ROUND((_15_同援日２．５＿０．５*_15・基礎２),0)*_15・２人),0)*(1+_15・B深夜)),0)*(1+_15・盲ろう)),0)*(1+_15・区３)),0)</f>
        <v>1085</v>
      </c>
      <c r="AC358" s="48"/>
    </row>
    <row r="359" spans="1:29" ht="16.5" customHeight="1" x14ac:dyDescent="0.15">
      <c r="A359" s="41">
        <v>15</v>
      </c>
      <c r="B359" s="41" t="s">
        <v>20536</v>
      </c>
      <c r="C359" s="74" t="s">
        <v>20537</v>
      </c>
      <c r="D359" s="72"/>
      <c r="F359" s="57"/>
      <c r="G359" s="72"/>
      <c r="I359" s="57"/>
      <c r="J359" s="53"/>
      <c r="K359" s="49"/>
      <c r="L359" s="50"/>
      <c r="M359" s="163"/>
      <c r="N359" s="45"/>
      <c r="O359" s="46"/>
      <c r="P359" s="512"/>
      <c r="Q359" s="57"/>
      <c r="R359" s="512"/>
      <c r="S359" s="57"/>
      <c r="T359" s="53"/>
      <c r="U359" s="49"/>
      <c r="V359" s="50"/>
      <c r="W359" s="115"/>
      <c r="X359" s="53"/>
      <c r="Y359" s="49"/>
      <c r="Z359" s="50"/>
      <c r="AA359" s="115"/>
      <c r="AB359" s="208">
        <f>ROUND((ROUND((_15_同援日２．５*(1+_15・A夜間)),0)*(1+_15・区４)),0)+ROUND((ROUND((_15_同援日２．５＿０．５*(1+_15・B深夜)),0)*(1+_15・区４)),0)</f>
        <v>1123</v>
      </c>
      <c r="AC359" s="48"/>
    </row>
    <row r="360" spans="1:29" ht="16.5" customHeight="1" x14ac:dyDescent="0.15">
      <c r="A360" s="41">
        <v>15</v>
      </c>
      <c r="B360" s="41" t="s">
        <v>20538</v>
      </c>
      <c r="C360" s="74" t="s">
        <v>20539</v>
      </c>
      <c r="D360" s="72"/>
      <c r="F360" s="57"/>
      <c r="G360" s="72"/>
      <c r="I360" s="57"/>
      <c r="J360" s="43"/>
      <c r="K360" s="37"/>
      <c r="L360" s="38"/>
      <c r="M360" s="299" t="s">
        <v>17556</v>
      </c>
      <c r="N360" s="45" t="s">
        <v>398</v>
      </c>
      <c r="O360" s="46">
        <v>1</v>
      </c>
      <c r="P360" s="512"/>
      <c r="Q360" s="57"/>
      <c r="R360" s="512"/>
      <c r="S360" s="57"/>
      <c r="T360" s="35"/>
      <c r="W360" s="57"/>
      <c r="X360" s="35"/>
      <c r="AA360" s="57"/>
      <c r="AB360" s="208">
        <f>ROUND((ROUND((ROUND((_15_同援日２．５*_15・２人),0)*(1+_15・A夜間)),0)*(1+_15・区４)),0)+ROUND((ROUND((ROUND((_15_同援日２．５＿０．５*_15・２人),0)*(1+_15・B深夜)),0)*(1+_15・区４)),0)</f>
        <v>1123</v>
      </c>
      <c r="AC360" s="48"/>
    </row>
    <row r="361" spans="1:29" ht="16.5" customHeight="1" x14ac:dyDescent="0.15">
      <c r="A361" s="41">
        <v>15</v>
      </c>
      <c r="B361" s="41" t="s">
        <v>20540</v>
      </c>
      <c r="C361" s="74" t="s">
        <v>20541</v>
      </c>
      <c r="D361" s="72"/>
      <c r="F361" s="57"/>
      <c r="G361" s="72"/>
      <c r="I361" s="57"/>
      <c r="J361" s="114" t="s">
        <v>17558</v>
      </c>
      <c r="K361" s="49"/>
      <c r="L361" s="50"/>
      <c r="M361" s="163"/>
      <c r="N361" s="45"/>
      <c r="O361" s="46"/>
      <c r="P361" s="512"/>
      <c r="Q361" s="57"/>
      <c r="R361" s="512"/>
      <c r="S361" s="57"/>
      <c r="T361" s="35"/>
      <c r="W361" s="57"/>
      <c r="X361" s="72" t="s">
        <v>17580</v>
      </c>
      <c r="AA361" s="57"/>
      <c r="AB361" s="208">
        <f>ROUND((ROUND((ROUND((_15_同援日２．５*_15・基礎２),0)*(1+_15・A夜間)),0)*(1+_15・区４)),0)+ROUND((ROUND((ROUND((_15_同援日２．５＿０．５*_15・基礎２),0)*(1+_15・B深夜)),0)*(1+_15・区４)),0)</f>
        <v>1013</v>
      </c>
      <c r="AC361" s="48"/>
    </row>
    <row r="362" spans="1:29" ht="16.5" customHeight="1" x14ac:dyDescent="0.15">
      <c r="A362" s="41">
        <v>15</v>
      </c>
      <c r="B362" s="41" t="s">
        <v>20542</v>
      </c>
      <c r="C362" s="74" t="s">
        <v>20543</v>
      </c>
      <c r="D362" s="72"/>
      <c r="F362" s="57"/>
      <c r="G362" s="72"/>
      <c r="I362" s="57"/>
      <c r="J362" s="269" t="s">
        <v>17560</v>
      </c>
      <c r="K362" s="37" t="s">
        <v>398</v>
      </c>
      <c r="L362" s="38">
        <v>0.9</v>
      </c>
      <c r="M362" s="299" t="s">
        <v>17556</v>
      </c>
      <c r="N362" s="45" t="s">
        <v>398</v>
      </c>
      <c r="O362" s="46">
        <v>1</v>
      </c>
      <c r="P362" s="512"/>
      <c r="Q362" s="57"/>
      <c r="R362" s="512"/>
      <c r="S362" s="57"/>
      <c r="T362" s="43"/>
      <c r="U362" s="37"/>
      <c r="V362" s="38"/>
      <c r="W362" s="79"/>
      <c r="X362" s="72" t="s">
        <v>17572</v>
      </c>
      <c r="AA362" s="57"/>
      <c r="AB362" s="208">
        <f>ROUND((ROUND((ROUND((ROUND((_15_同援日２．５*_15・基礎２),0)*_15・２人),0)*(1+_15・A夜間)),0)*(1+_15・区４)),0)+ROUND((ROUND((ROUND((ROUND((_15_同援日２．５＿０．５*_15・基礎２),0)*_15・２人),0)*(1+_15・B深夜)),0)*(1+_15・区４)),0)</f>
        <v>1013</v>
      </c>
      <c r="AC362" s="48"/>
    </row>
    <row r="363" spans="1:29" ht="16.5" customHeight="1" x14ac:dyDescent="0.15">
      <c r="A363" s="41">
        <v>15</v>
      </c>
      <c r="B363" s="41" t="s">
        <v>20544</v>
      </c>
      <c r="C363" s="74" t="s">
        <v>20545</v>
      </c>
      <c r="D363" s="72"/>
      <c r="F363" s="57"/>
      <c r="G363" s="72"/>
      <c r="I363" s="57"/>
      <c r="J363" s="53"/>
      <c r="K363" s="49"/>
      <c r="L363" s="50"/>
      <c r="M363" s="163"/>
      <c r="N363" s="45"/>
      <c r="O363" s="46"/>
      <c r="P363" s="512"/>
      <c r="Q363" s="57"/>
      <c r="R363" s="512"/>
      <c r="S363" s="57"/>
      <c r="T363" s="114" t="s">
        <v>17562</v>
      </c>
      <c r="U363" s="49"/>
      <c r="V363" s="50"/>
      <c r="W363" s="115"/>
      <c r="X363" s="35"/>
      <c r="Y363" s="12" t="s">
        <v>398</v>
      </c>
      <c r="Z363" s="13">
        <v>0.4</v>
      </c>
      <c r="AA363" s="57" t="s">
        <v>3575</v>
      </c>
      <c r="AB363" s="208">
        <f>ROUND((ROUND((ROUND((_15_同援日２．５*(1+_15・A夜間)),0)*(1+_15・盲ろう)),0)*(1+_15・区４)),0)+ROUND((ROUND((ROUND((_15_同援日２．５＿０．５*(1+_15・B深夜)),0)*(1+_15・盲ろう)),0)*(1+_15・区４)),0)</f>
        <v>1404</v>
      </c>
      <c r="AC363" s="48"/>
    </row>
    <row r="364" spans="1:29" ht="16.5" customHeight="1" x14ac:dyDescent="0.15">
      <c r="A364" s="41">
        <v>15</v>
      </c>
      <c r="B364" s="41" t="s">
        <v>20546</v>
      </c>
      <c r="C364" s="74" t="s">
        <v>20547</v>
      </c>
      <c r="D364" s="72"/>
      <c r="F364" s="57"/>
      <c r="G364" s="72"/>
      <c r="I364" s="57"/>
      <c r="J364" s="43"/>
      <c r="K364" s="37"/>
      <c r="L364" s="38"/>
      <c r="M364" s="299" t="s">
        <v>17556</v>
      </c>
      <c r="N364" s="45" t="s">
        <v>398</v>
      </c>
      <c r="O364" s="46">
        <v>1</v>
      </c>
      <c r="P364" s="512"/>
      <c r="Q364" s="57"/>
      <c r="R364" s="512"/>
      <c r="S364" s="57"/>
      <c r="T364" s="92" t="s">
        <v>17564</v>
      </c>
      <c r="W364" s="57"/>
      <c r="X364" s="35"/>
      <c r="AA364" s="57"/>
      <c r="AB364" s="208">
        <f>ROUND((ROUND((ROUND((ROUND((_15_同援日２．５*_15・２人),0)*(1+_15・A夜間)),0)*(1+_15・盲ろう)),0)*(1+_15・区４)),0)+ROUND((ROUND((ROUND((ROUND((_15_同援日２．５＿０．５*_15・２人),0)*(1+_15・B深夜)),0)*(1+_15・盲ろう)),0)*(1+_15・区４)),0)</f>
        <v>1404</v>
      </c>
      <c r="AC364" s="48"/>
    </row>
    <row r="365" spans="1:29" ht="16.5" customHeight="1" x14ac:dyDescent="0.15">
      <c r="A365" s="41">
        <v>15</v>
      </c>
      <c r="B365" s="41" t="s">
        <v>598</v>
      </c>
      <c r="C365" s="74" t="s">
        <v>20548</v>
      </c>
      <c r="D365" s="72"/>
      <c r="F365" s="57"/>
      <c r="G365" s="72"/>
      <c r="I365" s="57"/>
      <c r="J365" s="114" t="s">
        <v>17558</v>
      </c>
      <c r="K365" s="49"/>
      <c r="L365" s="50"/>
      <c r="M365" s="163"/>
      <c r="N365" s="45"/>
      <c r="O365" s="46"/>
      <c r="P365" s="512"/>
      <c r="Q365" s="57"/>
      <c r="R365" s="512"/>
      <c r="S365" s="57"/>
      <c r="T365" s="35"/>
      <c r="U365" s="12" t="s">
        <v>398</v>
      </c>
      <c r="V365" s="13">
        <v>0.25</v>
      </c>
      <c r="W365" s="57" t="s">
        <v>3575</v>
      </c>
      <c r="X365" s="35"/>
      <c r="AA365" s="57"/>
      <c r="AB365" s="208">
        <f>ROUND((ROUND((ROUND((ROUND((_15_同援日２．５*_15・基礎２),0)*(1+_15・A夜間)),0)*(1+_15・盲ろう)),0)*(1+_15・区４)),0)+ROUND((ROUND((ROUND((ROUND((_15_同援日２．５＿０．５*_15・基礎２),0)*(1+_15・B深夜)),0)*(1+_15・盲ろう)),0)*(1+_15・区４)),0)</f>
        <v>1265</v>
      </c>
      <c r="AC365" s="48"/>
    </row>
    <row r="366" spans="1:29" ht="16.5" customHeight="1" x14ac:dyDescent="0.15">
      <c r="A366" s="41">
        <v>15</v>
      </c>
      <c r="B366" s="41" t="s">
        <v>600</v>
      </c>
      <c r="C366" s="74" t="s">
        <v>20549</v>
      </c>
      <c r="D366" s="122"/>
      <c r="E366" s="37"/>
      <c r="F366" s="79"/>
      <c r="G366" s="122"/>
      <c r="H366" s="37"/>
      <c r="I366" s="79"/>
      <c r="J366" s="269" t="s">
        <v>17560</v>
      </c>
      <c r="K366" s="37" t="s">
        <v>398</v>
      </c>
      <c r="L366" s="38">
        <v>0.9</v>
      </c>
      <c r="M366" s="299" t="s">
        <v>17556</v>
      </c>
      <c r="N366" s="45" t="s">
        <v>398</v>
      </c>
      <c r="O366" s="46">
        <v>1</v>
      </c>
      <c r="P366" s="514"/>
      <c r="Q366" s="79"/>
      <c r="R366" s="514"/>
      <c r="S366" s="79"/>
      <c r="T366" s="43"/>
      <c r="U366" s="37"/>
      <c r="V366" s="38"/>
      <c r="W366" s="79"/>
      <c r="X366" s="43"/>
      <c r="Y366" s="37"/>
      <c r="Z366" s="38"/>
      <c r="AA366" s="79"/>
      <c r="AB366" s="208">
        <f>ROUND((ROUND((ROUND((ROUND((ROUND((_15_同援日２．５*_15・基礎２),0)*_15・２人),0)*(1+_15・A夜間)),0)*(1+_15・盲ろう)),0)*(1+_15・区４)),0)+ROUND((ROUND((ROUND((ROUND((ROUND((_15_同援日２．５＿０．５*_15・基礎２),0)*_15・２人),0)*(1+_15・B深夜)),0)*(1+_15・盲ろう)),0)*(1+_15・区４)),0)</f>
        <v>1265</v>
      </c>
      <c r="AC366" s="63"/>
    </row>
    <row r="367" spans="1:29" ht="16.5" customHeight="1" x14ac:dyDescent="0.15"/>
    <row r="368" spans="1:29"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43" fitToHeight="0" orientation="portrait" r:id="rId1"/>
  <headerFooter>
    <oddHeader>&amp;R&amp;"ＭＳ Ｐゴシック"&amp;9同行援護</oddHeader>
    <oddFooter>&amp;C&amp;"ＭＳ Ｐゴシック"&amp;14&amp;P</oddFooter>
  </headerFooter>
  <rowBreaks count="3" manualBreakCount="3">
    <brk id="102" max="28" man="1"/>
    <brk id="198" max="28" man="1"/>
    <brk id="294" max="28"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8">
    <pageSetUpPr fitToPage="1"/>
  </sheetPr>
  <dimension ref="A1:AA368"/>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2.5" style="12" customWidth="1"/>
    <col min="5" max="5" width="14.875" style="10" customWidth="1"/>
    <col min="6" max="6" width="2.5" style="12" customWidth="1"/>
    <col min="7" max="7" width="5.5" style="10" customWidth="1"/>
    <col min="8" max="8" width="4.125" style="12" bestFit="1" customWidth="1"/>
    <col min="9" max="9" width="4.875" style="12" bestFit="1" customWidth="1"/>
    <col min="10" max="10" width="14.5" style="12" customWidth="1"/>
    <col min="11" max="11" width="3.125" style="12" bestFit="1" customWidth="1"/>
    <col min="12" max="12" width="4.125" style="13" bestFit="1" customWidth="1"/>
    <col min="13" max="13" width="26.5" style="12" customWidth="1"/>
    <col min="14" max="14" width="3.125" style="12" bestFit="1" customWidth="1"/>
    <col min="15" max="15" width="5" style="13" bestFit="1" customWidth="1"/>
    <col min="16" max="16" width="4.125" style="13" bestFit="1" customWidth="1"/>
    <col min="17" max="17" width="4.875" style="12" bestFit="1" customWidth="1"/>
    <col min="18" max="18" width="10.5" style="12" customWidth="1"/>
    <col min="19" max="19" width="3.125" style="12" bestFit="1" customWidth="1"/>
    <col min="20" max="20" width="4.125" style="13" bestFit="1" customWidth="1"/>
    <col min="21" max="21" width="4.875" style="12" bestFit="1" customWidth="1"/>
    <col min="22" max="22" width="8.5" style="12" customWidth="1"/>
    <col min="23" max="23" width="3.125" style="12" bestFit="1" customWidth="1"/>
    <col min="24" max="24" width="4.125" style="13" bestFit="1" customWidth="1"/>
    <col min="25" max="25" width="4.875" style="12" bestFit="1" customWidth="1"/>
    <col min="26" max="26" width="7.125" style="206" customWidth="1"/>
    <col min="27" max="27" width="8.5" style="16" customWidth="1"/>
    <col min="28" max="16384" width="9" style="12"/>
  </cols>
  <sheetData>
    <row r="1" spans="1:27" ht="17.100000000000001" customHeight="1" x14ac:dyDescent="0.15"/>
    <row r="2" spans="1:27" ht="17.100000000000001" customHeight="1" x14ac:dyDescent="0.15"/>
    <row r="3" spans="1:27" ht="17.100000000000001" customHeight="1" x14ac:dyDescent="0.15"/>
    <row r="4" spans="1:27" ht="17.100000000000001" customHeight="1" x14ac:dyDescent="0.15">
      <c r="B4" s="17" t="s">
        <v>20550</v>
      </c>
      <c r="E4" s="71"/>
    </row>
    <row r="5" spans="1:27" ht="16.5" customHeight="1" x14ac:dyDescent="0.15">
      <c r="A5" s="19" t="s">
        <v>384</v>
      </c>
      <c r="B5" s="20"/>
      <c r="C5" s="21" t="s">
        <v>385</v>
      </c>
      <c r="D5" s="23"/>
      <c r="E5" s="23" t="s">
        <v>386</v>
      </c>
      <c r="F5" s="23"/>
      <c r="G5" s="23"/>
      <c r="H5" s="23"/>
      <c r="I5" s="23"/>
      <c r="J5" s="23"/>
      <c r="K5" s="23"/>
      <c r="L5" s="24"/>
      <c r="M5" s="23"/>
      <c r="N5" s="23"/>
      <c r="O5" s="24"/>
      <c r="P5" s="24"/>
      <c r="Q5" s="23"/>
      <c r="R5" s="23"/>
      <c r="S5" s="23"/>
      <c r="T5" s="24"/>
      <c r="U5" s="23"/>
      <c r="V5" s="23"/>
      <c r="W5" s="23"/>
      <c r="X5" s="24"/>
      <c r="Y5" s="23"/>
      <c r="Z5" s="21" t="s">
        <v>387</v>
      </c>
      <c r="AA5" s="21" t="s">
        <v>388</v>
      </c>
    </row>
    <row r="6" spans="1:27" ht="16.5" customHeight="1" x14ac:dyDescent="0.15">
      <c r="A6" s="26" t="s">
        <v>389</v>
      </c>
      <c r="B6" s="26" t="s">
        <v>390</v>
      </c>
      <c r="C6" s="27"/>
      <c r="D6" s="522"/>
      <c r="E6" s="29"/>
      <c r="F6" s="19"/>
      <c r="G6" s="187" t="s">
        <v>20551</v>
      </c>
      <c r="H6" s="187"/>
      <c r="I6" s="20"/>
      <c r="J6" s="29"/>
      <c r="K6" s="29"/>
      <c r="L6" s="30"/>
      <c r="M6" s="29"/>
      <c r="N6" s="29"/>
      <c r="O6" s="30"/>
      <c r="P6" s="30"/>
      <c r="Q6" s="29"/>
      <c r="R6" s="29"/>
      <c r="S6" s="29"/>
      <c r="T6" s="30"/>
      <c r="U6" s="29"/>
      <c r="V6" s="29"/>
      <c r="W6" s="29"/>
      <c r="X6" s="30"/>
      <c r="Y6" s="29"/>
      <c r="Z6" s="32" t="s">
        <v>391</v>
      </c>
      <c r="AA6" s="32" t="s">
        <v>392</v>
      </c>
    </row>
    <row r="7" spans="1:27" ht="16.5" customHeight="1" x14ac:dyDescent="0.15">
      <c r="A7" s="33">
        <v>15</v>
      </c>
      <c r="B7" s="33" t="s">
        <v>602</v>
      </c>
      <c r="C7" s="135" t="s">
        <v>20552</v>
      </c>
      <c r="D7" s="921" t="s">
        <v>14065</v>
      </c>
      <c r="E7" s="72" t="s">
        <v>18487</v>
      </c>
      <c r="F7" s="921" t="s">
        <v>3849</v>
      </c>
      <c r="G7" s="72" t="s">
        <v>19945</v>
      </c>
      <c r="I7" s="57"/>
      <c r="J7" s="35"/>
      <c r="M7" s="43"/>
      <c r="N7" s="37"/>
      <c r="O7" s="38"/>
      <c r="P7" s="512"/>
      <c r="Q7" s="57"/>
      <c r="R7" s="35"/>
      <c r="U7" s="57"/>
      <c r="V7" s="35"/>
      <c r="Y7" s="57"/>
      <c r="Z7" s="207">
        <f>+ROUND((_15_同援日０．５＿０．５*(1+_15・B深夜)),0)</f>
        <v>165</v>
      </c>
      <c r="AA7" s="40" t="s">
        <v>395</v>
      </c>
    </row>
    <row r="8" spans="1:27" ht="16.5" customHeight="1" x14ac:dyDescent="0.15">
      <c r="A8" s="41">
        <v>15</v>
      </c>
      <c r="B8" s="41" t="s">
        <v>604</v>
      </c>
      <c r="C8" s="127" t="s">
        <v>20553</v>
      </c>
      <c r="D8" s="921"/>
      <c r="E8" s="72" t="s">
        <v>18259</v>
      </c>
      <c r="F8" s="921"/>
      <c r="G8" s="72" t="s">
        <v>18259</v>
      </c>
      <c r="I8" s="57"/>
      <c r="J8" s="43"/>
      <c r="K8" s="37"/>
      <c r="L8" s="38"/>
      <c r="M8" s="299" t="s">
        <v>17556</v>
      </c>
      <c r="N8" s="45" t="s">
        <v>398</v>
      </c>
      <c r="O8" s="46">
        <v>1</v>
      </c>
      <c r="P8" s="512"/>
      <c r="Q8" s="57"/>
      <c r="R8" s="35"/>
      <c r="U8" s="57"/>
      <c r="V8" s="35"/>
      <c r="Y8" s="57"/>
      <c r="Z8" s="208">
        <f>+ROUND((ROUND((_15_同援日０．５＿０．５*_15・２人),0)*(1+_15・B深夜)),0)</f>
        <v>165</v>
      </c>
      <c r="AA8" s="48"/>
    </row>
    <row r="9" spans="1:27" ht="16.5" customHeight="1" x14ac:dyDescent="0.15">
      <c r="A9" s="41">
        <v>15</v>
      </c>
      <c r="B9" s="41" t="s">
        <v>20554</v>
      </c>
      <c r="C9" s="127" t="s">
        <v>20555</v>
      </c>
      <c r="D9" s="921"/>
      <c r="E9" s="72"/>
      <c r="F9" s="921"/>
      <c r="G9" s="72"/>
      <c r="I9" s="57"/>
      <c r="J9" s="114" t="s">
        <v>17558</v>
      </c>
      <c r="K9" s="49"/>
      <c r="L9" s="50"/>
      <c r="M9" s="163"/>
      <c r="N9" s="45"/>
      <c r="O9" s="46"/>
      <c r="P9" s="512"/>
      <c r="Q9" s="57"/>
      <c r="R9" s="35"/>
      <c r="U9" s="57"/>
      <c r="V9" s="35"/>
      <c r="Y9" s="57"/>
      <c r="Z9" s="208">
        <f>+ROUND((ROUND((_15_同援日０．５＿０．５*_15・基礎２),0)*(1+_15・B深夜)),0)</f>
        <v>149</v>
      </c>
      <c r="AA9" s="48"/>
    </row>
    <row r="10" spans="1:27" ht="16.5" customHeight="1" x14ac:dyDescent="0.15">
      <c r="A10" s="41">
        <v>15</v>
      </c>
      <c r="B10" s="41" t="s">
        <v>20556</v>
      </c>
      <c r="C10" s="127" t="s">
        <v>20557</v>
      </c>
      <c r="D10" s="921"/>
      <c r="E10" s="72"/>
      <c r="F10" s="921"/>
      <c r="G10" s="72"/>
      <c r="H10" s="168">
        <f>_15_同援日０．５＿０．５</f>
        <v>110</v>
      </c>
      <c r="I10" s="57" t="s">
        <v>392</v>
      </c>
      <c r="J10" s="269" t="s">
        <v>17560</v>
      </c>
      <c r="K10" s="37" t="s">
        <v>398</v>
      </c>
      <c r="L10" s="38">
        <v>0.9</v>
      </c>
      <c r="M10" s="299" t="s">
        <v>17556</v>
      </c>
      <c r="N10" s="45" t="s">
        <v>398</v>
      </c>
      <c r="O10" s="46">
        <v>1</v>
      </c>
      <c r="P10" s="512"/>
      <c r="Q10" s="57"/>
      <c r="R10" s="43"/>
      <c r="S10" s="37"/>
      <c r="T10" s="38"/>
      <c r="U10" s="79"/>
      <c r="V10" s="35"/>
      <c r="Y10" s="57"/>
      <c r="Z10" s="208">
        <f>+ROUND((ROUND((ROUND((_15_同援日０．５＿０．５*_15・基礎２),0)*_15・２人),0)*(1+_15・B深夜)),0)</f>
        <v>149</v>
      </c>
      <c r="AA10" s="48"/>
    </row>
    <row r="11" spans="1:27" ht="16.5" customHeight="1" x14ac:dyDescent="0.15">
      <c r="A11" s="41">
        <v>15</v>
      </c>
      <c r="B11" s="41" t="s">
        <v>20558</v>
      </c>
      <c r="C11" s="127" t="s">
        <v>20559</v>
      </c>
      <c r="D11" s="523"/>
      <c r="E11" s="72"/>
      <c r="F11" s="523"/>
      <c r="G11" s="72"/>
      <c r="I11" s="57"/>
      <c r="J11" s="53"/>
      <c r="K11" s="49"/>
      <c r="L11" s="50"/>
      <c r="M11" s="163"/>
      <c r="N11" s="45"/>
      <c r="O11" s="46"/>
      <c r="P11" s="512"/>
      <c r="Q11" s="57"/>
      <c r="R11" s="114" t="s">
        <v>17562</v>
      </c>
      <c r="S11" s="49"/>
      <c r="T11" s="50"/>
      <c r="U11" s="115"/>
      <c r="V11" s="35"/>
      <c r="Y11" s="57"/>
      <c r="Z11" s="208">
        <f>+ROUND((ROUND((_15_同援日０．５＿０．５*(1+_15・B深夜)),0)*(1+_15・盲ろう)),0)</f>
        <v>206</v>
      </c>
      <c r="AA11" s="48"/>
    </row>
    <row r="12" spans="1:27" ht="16.5" customHeight="1" x14ac:dyDescent="0.15">
      <c r="A12" s="41">
        <v>15</v>
      </c>
      <c r="B12" s="41" t="s">
        <v>20560</v>
      </c>
      <c r="C12" s="127" t="s">
        <v>20561</v>
      </c>
      <c r="D12" s="523"/>
      <c r="E12" s="72"/>
      <c r="F12" s="523"/>
      <c r="G12" s="72"/>
      <c r="I12" s="57"/>
      <c r="J12" s="43"/>
      <c r="K12" s="37"/>
      <c r="L12" s="38"/>
      <c r="M12" s="299" t="s">
        <v>17556</v>
      </c>
      <c r="N12" s="45" t="s">
        <v>398</v>
      </c>
      <c r="O12" s="46">
        <v>1</v>
      </c>
      <c r="P12" s="517" t="s">
        <v>18493</v>
      </c>
      <c r="Q12" s="57"/>
      <c r="R12" s="92" t="s">
        <v>17564</v>
      </c>
      <c r="U12" s="57"/>
      <c r="V12" s="35"/>
      <c r="Y12" s="57"/>
      <c r="Z12" s="208">
        <f>+ROUND((ROUND((ROUND((_15_同援日０．５＿０．５*_15・２人),0)*(1+_15・B深夜)),0)*(1+_15・盲ろう)),0)</f>
        <v>206</v>
      </c>
      <c r="AA12" s="48"/>
    </row>
    <row r="13" spans="1:27" ht="16.5" customHeight="1" x14ac:dyDescent="0.15">
      <c r="A13" s="41">
        <v>15</v>
      </c>
      <c r="B13" s="41" t="s">
        <v>20562</v>
      </c>
      <c r="C13" s="127" t="s">
        <v>20563</v>
      </c>
      <c r="D13" s="523"/>
      <c r="E13" s="72"/>
      <c r="F13" s="523"/>
      <c r="G13" s="72"/>
      <c r="I13" s="57"/>
      <c r="J13" s="114" t="s">
        <v>17558</v>
      </c>
      <c r="K13" s="49"/>
      <c r="L13" s="50"/>
      <c r="M13" s="163"/>
      <c r="N13" s="45"/>
      <c r="O13" s="46"/>
      <c r="P13" s="512"/>
      <c r="Q13" s="518" t="s">
        <v>18826</v>
      </c>
      <c r="R13" s="35"/>
      <c r="S13" s="12" t="s">
        <v>398</v>
      </c>
      <c r="T13" s="13">
        <v>0.25</v>
      </c>
      <c r="U13" s="57" t="s">
        <v>3575</v>
      </c>
      <c r="V13" s="35"/>
      <c r="Y13" s="57"/>
      <c r="Z13" s="208">
        <f>+ROUND((ROUND((ROUND((_15_同援日０．５＿０．５*_15・基礎２),0)*(1+_15・B深夜)),0)*(1+_15・盲ろう)),0)</f>
        <v>186</v>
      </c>
      <c r="AA13" s="48"/>
    </row>
    <row r="14" spans="1:27" ht="16.5" customHeight="1" x14ac:dyDescent="0.15">
      <c r="A14" s="41">
        <v>15</v>
      </c>
      <c r="B14" s="41" t="s">
        <v>20564</v>
      </c>
      <c r="C14" s="127" t="s">
        <v>20565</v>
      </c>
      <c r="D14" s="523"/>
      <c r="E14" s="72"/>
      <c r="F14" s="523"/>
      <c r="G14" s="72"/>
      <c r="I14" s="57"/>
      <c r="J14" s="269" t="s">
        <v>17560</v>
      </c>
      <c r="K14" s="37" t="s">
        <v>398</v>
      </c>
      <c r="L14" s="38">
        <v>0.9</v>
      </c>
      <c r="M14" s="299" t="s">
        <v>17556</v>
      </c>
      <c r="N14" s="45" t="s">
        <v>398</v>
      </c>
      <c r="O14" s="46">
        <v>1</v>
      </c>
      <c r="P14" s="512"/>
      <c r="Q14" s="57"/>
      <c r="R14" s="43"/>
      <c r="S14" s="37"/>
      <c r="T14" s="38"/>
      <c r="U14" s="79"/>
      <c r="V14" s="43"/>
      <c r="W14" s="37"/>
      <c r="X14" s="38"/>
      <c r="Y14" s="79"/>
      <c r="Z14" s="208">
        <f>+ROUND((ROUND((ROUND((ROUND((_15_同援日０．５＿０．５*_15・基礎２),0)*_15・２人),0)*(1+_15・B深夜)),0)*(1+_15・盲ろう)),0)</f>
        <v>186</v>
      </c>
      <c r="AA14" s="48"/>
    </row>
    <row r="15" spans="1:27" ht="16.5" customHeight="1" x14ac:dyDescent="0.15">
      <c r="A15" s="41">
        <v>15</v>
      </c>
      <c r="B15" s="41" t="s">
        <v>20566</v>
      </c>
      <c r="C15" s="127" t="s">
        <v>20567</v>
      </c>
      <c r="D15" s="523"/>
      <c r="E15" s="72"/>
      <c r="F15" s="523"/>
      <c r="G15" s="72"/>
      <c r="I15" s="57"/>
      <c r="J15" s="53"/>
      <c r="K15" s="49"/>
      <c r="L15" s="50"/>
      <c r="M15" s="163"/>
      <c r="N15" s="45"/>
      <c r="O15" s="46"/>
      <c r="P15" s="35" t="s">
        <v>398</v>
      </c>
      <c r="Q15" s="234">
        <v>0.5</v>
      </c>
      <c r="R15" s="53"/>
      <c r="S15" s="49"/>
      <c r="T15" s="50"/>
      <c r="U15" s="115"/>
      <c r="V15" s="53"/>
      <c r="W15" s="49"/>
      <c r="X15" s="50"/>
      <c r="Y15" s="115"/>
      <c r="Z15" s="208">
        <f>+ROUND((ROUND((_15_同援日０．５＿０．５*(1+_15・B深夜)),0)*(1+_15・区３)),0)</f>
        <v>198</v>
      </c>
      <c r="AA15" s="48"/>
    </row>
    <row r="16" spans="1:27" ht="16.5" customHeight="1" x14ac:dyDescent="0.15">
      <c r="A16" s="41">
        <v>15</v>
      </c>
      <c r="B16" s="41" t="s">
        <v>20568</v>
      </c>
      <c r="C16" s="127" t="s">
        <v>20569</v>
      </c>
      <c r="D16" s="523"/>
      <c r="E16" s="72"/>
      <c r="F16" s="523"/>
      <c r="G16" s="72"/>
      <c r="I16" s="57"/>
      <c r="J16" s="43"/>
      <c r="K16" s="37"/>
      <c r="L16" s="38"/>
      <c r="M16" s="299" t="s">
        <v>17556</v>
      </c>
      <c r="N16" s="45" t="s">
        <v>398</v>
      </c>
      <c r="O16" s="46">
        <v>1</v>
      </c>
      <c r="P16" s="512"/>
      <c r="Q16" s="513" t="s">
        <v>3575</v>
      </c>
      <c r="R16" s="35"/>
      <c r="U16" s="57"/>
      <c r="V16" s="35"/>
      <c r="Y16" s="57"/>
      <c r="Z16" s="208">
        <f>+ROUND((ROUND((ROUND((_15_同援日０．５＿０．５*_15・２人),0)*(1+_15・B深夜)),0)*(1+_15・区３)),0)</f>
        <v>198</v>
      </c>
      <c r="AA16" s="48"/>
    </row>
    <row r="17" spans="1:27" ht="16.5" customHeight="1" x14ac:dyDescent="0.15">
      <c r="A17" s="41">
        <v>15</v>
      </c>
      <c r="B17" s="41" t="s">
        <v>20570</v>
      </c>
      <c r="C17" s="127" t="s">
        <v>20571</v>
      </c>
      <c r="D17" s="523"/>
      <c r="E17" s="72"/>
      <c r="F17" s="523"/>
      <c r="G17" s="72"/>
      <c r="I17" s="57"/>
      <c r="J17" s="114" t="s">
        <v>17558</v>
      </c>
      <c r="K17" s="49"/>
      <c r="L17" s="50"/>
      <c r="M17" s="163"/>
      <c r="N17" s="45"/>
      <c r="O17" s="46"/>
      <c r="P17" s="512"/>
      <c r="Q17" s="57"/>
      <c r="R17" s="35"/>
      <c r="U17" s="57"/>
      <c r="V17" s="72" t="s">
        <v>17570</v>
      </c>
      <c r="Y17" s="57"/>
      <c r="Z17" s="208">
        <f>+ROUND((ROUND((ROUND((_15_同援日０．５＿０．５*_15・基礎２),0)*(1+_15・B深夜)),0)*(1+_15・区３)),0)</f>
        <v>179</v>
      </c>
      <c r="AA17" s="48"/>
    </row>
    <row r="18" spans="1:27" ht="16.5" customHeight="1" x14ac:dyDescent="0.15">
      <c r="A18" s="41">
        <v>15</v>
      </c>
      <c r="B18" s="41" t="s">
        <v>20572</v>
      </c>
      <c r="C18" s="127" t="s">
        <v>20573</v>
      </c>
      <c r="D18" s="523"/>
      <c r="E18" s="72"/>
      <c r="F18" s="523"/>
      <c r="G18" s="72"/>
      <c r="I18" s="57"/>
      <c r="J18" s="269" t="s">
        <v>17560</v>
      </c>
      <c r="K18" s="37" t="s">
        <v>398</v>
      </c>
      <c r="L18" s="38">
        <v>0.9</v>
      </c>
      <c r="M18" s="299" t="s">
        <v>17556</v>
      </c>
      <c r="N18" s="45" t="s">
        <v>398</v>
      </c>
      <c r="O18" s="46">
        <v>1</v>
      </c>
      <c r="P18" s="512"/>
      <c r="Q18" s="57"/>
      <c r="R18" s="43"/>
      <c r="S18" s="37"/>
      <c r="T18" s="38"/>
      <c r="U18" s="79"/>
      <c r="V18" s="72" t="s">
        <v>17572</v>
      </c>
      <c r="Y18" s="57"/>
      <c r="Z18" s="208">
        <f>+ROUND((ROUND((ROUND((ROUND((_15_同援日０．５＿０．５*_15・基礎２),0)*_15・２人),0)*(1+_15・B深夜)),0)*(1+_15・区３)),0)</f>
        <v>179</v>
      </c>
      <c r="AA18" s="48"/>
    </row>
    <row r="19" spans="1:27" ht="16.5" customHeight="1" x14ac:dyDescent="0.15">
      <c r="A19" s="41">
        <v>15</v>
      </c>
      <c r="B19" s="41" t="s">
        <v>20574</v>
      </c>
      <c r="C19" s="127" t="s">
        <v>20575</v>
      </c>
      <c r="D19" s="523"/>
      <c r="E19" s="72"/>
      <c r="F19" s="523"/>
      <c r="G19" s="72"/>
      <c r="I19" s="57"/>
      <c r="J19" s="53"/>
      <c r="K19" s="49"/>
      <c r="L19" s="50"/>
      <c r="M19" s="163"/>
      <c r="N19" s="45"/>
      <c r="O19" s="46"/>
      <c r="P19" s="512"/>
      <c r="Q19" s="57"/>
      <c r="R19" s="114" t="s">
        <v>17562</v>
      </c>
      <c r="S19" s="49"/>
      <c r="T19" s="50"/>
      <c r="U19" s="115"/>
      <c r="V19" s="35"/>
      <c r="W19" s="12" t="s">
        <v>398</v>
      </c>
      <c r="X19" s="13">
        <v>0.2</v>
      </c>
      <c r="Y19" s="57" t="s">
        <v>3575</v>
      </c>
      <c r="Z19" s="208">
        <f>+ROUND((ROUND((ROUND((_15_同援日０．５＿０．５*(1+_15・B深夜)),0)*(1+_15・盲ろう)),0)*(1+_15・区３)),0)</f>
        <v>247</v>
      </c>
      <c r="AA19" s="48"/>
    </row>
    <row r="20" spans="1:27" ht="16.5" customHeight="1" x14ac:dyDescent="0.15">
      <c r="A20" s="41">
        <v>15</v>
      </c>
      <c r="B20" s="41" t="s">
        <v>20576</v>
      </c>
      <c r="C20" s="127" t="s">
        <v>20577</v>
      </c>
      <c r="D20" s="523"/>
      <c r="E20" s="72"/>
      <c r="F20" s="523"/>
      <c r="G20" s="72"/>
      <c r="I20" s="57"/>
      <c r="J20" s="43"/>
      <c r="K20" s="37"/>
      <c r="L20" s="38"/>
      <c r="M20" s="299" t="s">
        <v>17556</v>
      </c>
      <c r="N20" s="45" t="s">
        <v>398</v>
      </c>
      <c r="O20" s="46">
        <v>1</v>
      </c>
      <c r="P20" s="512"/>
      <c r="Q20" s="57"/>
      <c r="R20" s="92" t="s">
        <v>17564</v>
      </c>
      <c r="U20" s="57"/>
      <c r="V20" s="35"/>
      <c r="Y20" s="57"/>
      <c r="Z20" s="208">
        <f>+ROUND((ROUND((ROUND((ROUND((_15_同援日０．５＿０．５*_15・２人),0)*(1+_15・B深夜)),0)*(1+_15・盲ろう)),0)*(1+_15・区３)),0)</f>
        <v>247</v>
      </c>
      <c r="AA20" s="48"/>
    </row>
    <row r="21" spans="1:27" ht="16.5" customHeight="1" x14ac:dyDescent="0.15">
      <c r="A21" s="41">
        <v>15</v>
      </c>
      <c r="B21" s="41" t="s">
        <v>20578</v>
      </c>
      <c r="C21" s="127" t="s">
        <v>20579</v>
      </c>
      <c r="D21" s="523"/>
      <c r="E21" s="72"/>
      <c r="F21" s="523"/>
      <c r="G21" s="72"/>
      <c r="I21" s="57"/>
      <c r="J21" s="114" t="s">
        <v>17558</v>
      </c>
      <c r="K21" s="49"/>
      <c r="L21" s="50"/>
      <c r="M21" s="163"/>
      <c r="N21" s="45"/>
      <c r="O21" s="46"/>
      <c r="P21" s="512"/>
      <c r="Q21" s="57"/>
      <c r="R21" s="35"/>
      <c r="S21" s="12" t="s">
        <v>398</v>
      </c>
      <c r="T21" s="13">
        <v>0.25</v>
      </c>
      <c r="U21" s="57" t="s">
        <v>3575</v>
      </c>
      <c r="V21" s="35"/>
      <c r="Y21" s="57"/>
      <c r="Z21" s="208">
        <f>+ROUND((ROUND((ROUND((ROUND((_15_同援日０．５＿０．５*_15・基礎２),0)*(1+_15・B深夜)),0)*(1+_15・盲ろう)),0)*(1+_15・区３)),0)</f>
        <v>223</v>
      </c>
      <c r="AA21" s="48"/>
    </row>
    <row r="22" spans="1:27" ht="16.5" customHeight="1" x14ac:dyDescent="0.15">
      <c r="A22" s="41">
        <v>15</v>
      </c>
      <c r="B22" s="41" t="s">
        <v>20580</v>
      </c>
      <c r="C22" s="127" t="s">
        <v>20581</v>
      </c>
      <c r="D22" s="523"/>
      <c r="E22" s="72"/>
      <c r="F22" s="523"/>
      <c r="G22" s="72"/>
      <c r="I22" s="57"/>
      <c r="J22" s="269" t="s">
        <v>17560</v>
      </c>
      <c r="K22" s="37" t="s">
        <v>398</v>
      </c>
      <c r="L22" s="38">
        <v>0.9</v>
      </c>
      <c r="M22" s="299" t="s">
        <v>17556</v>
      </c>
      <c r="N22" s="45" t="s">
        <v>398</v>
      </c>
      <c r="O22" s="46">
        <v>1</v>
      </c>
      <c r="P22" s="512"/>
      <c r="Q22" s="57"/>
      <c r="R22" s="43"/>
      <c r="S22" s="37"/>
      <c r="T22" s="38"/>
      <c r="U22" s="79"/>
      <c r="V22" s="43"/>
      <c r="W22" s="37"/>
      <c r="X22" s="38"/>
      <c r="Y22" s="79"/>
      <c r="Z22" s="208">
        <f>+ROUND((ROUND((ROUND((ROUND((ROUND((_15_同援日０．５＿０．５*_15・基礎２),0)*_15・２人),0)*(1+_15・B深夜)),0)*(1+_15・盲ろう)),0)*(1+_15・区３)),0)</f>
        <v>223</v>
      </c>
      <c r="AA22" s="48"/>
    </row>
    <row r="23" spans="1:27" ht="16.5" customHeight="1" x14ac:dyDescent="0.15">
      <c r="A23" s="41">
        <v>15</v>
      </c>
      <c r="B23" s="41" t="s">
        <v>20582</v>
      </c>
      <c r="C23" s="127" t="s">
        <v>20583</v>
      </c>
      <c r="D23" s="523"/>
      <c r="E23" s="72"/>
      <c r="F23" s="523"/>
      <c r="G23" s="72"/>
      <c r="I23" s="57"/>
      <c r="J23" s="53"/>
      <c r="K23" s="49"/>
      <c r="L23" s="50"/>
      <c r="M23" s="163"/>
      <c r="N23" s="45"/>
      <c r="O23" s="46"/>
      <c r="P23" s="512"/>
      <c r="Q23" s="57"/>
      <c r="R23" s="53"/>
      <c r="S23" s="49"/>
      <c r="T23" s="50"/>
      <c r="U23" s="115"/>
      <c r="V23" s="53"/>
      <c r="W23" s="49"/>
      <c r="X23" s="50"/>
      <c r="Y23" s="115"/>
      <c r="Z23" s="208">
        <f>+ROUND((ROUND((_15_同援日０．５＿０．５*(1+_15・B深夜)),0)*(1+_15・区４)),0)</f>
        <v>231</v>
      </c>
      <c r="AA23" s="48"/>
    </row>
    <row r="24" spans="1:27" ht="16.5" customHeight="1" x14ac:dyDescent="0.15">
      <c r="A24" s="41">
        <v>15</v>
      </c>
      <c r="B24" s="41" t="s">
        <v>20584</v>
      </c>
      <c r="C24" s="127" t="s">
        <v>20585</v>
      </c>
      <c r="D24" s="523"/>
      <c r="E24" s="72"/>
      <c r="F24" s="523"/>
      <c r="G24" s="72"/>
      <c r="I24" s="57"/>
      <c r="J24" s="43"/>
      <c r="K24" s="37"/>
      <c r="L24" s="38"/>
      <c r="M24" s="299" t="s">
        <v>17556</v>
      </c>
      <c r="N24" s="45" t="s">
        <v>398</v>
      </c>
      <c r="O24" s="46">
        <v>1</v>
      </c>
      <c r="P24" s="512"/>
      <c r="Q24" s="57"/>
      <c r="R24" s="35"/>
      <c r="U24" s="57"/>
      <c r="V24" s="35"/>
      <c r="Y24" s="57"/>
      <c r="Z24" s="208">
        <f>+ROUND((ROUND((ROUND((_15_同援日０．５＿０．５*_15・２人),0)*(1+_15・B深夜)),0)*(1+_15・区４)),0)</f>
        <v>231</v>
      </c>
      <c r="AA24" s="48"/>
    </row>
    <row r="25" spans="1:27" ht="16.5" customHeight="1" x14ac:dyDescent="0.15">
      <c r="A25" s="41">
        <v>15</v>
      </c>
      <c r="B25" s="41" t="s">
        <v>611</v>
      </c>
      <c r="C25" s="127" t="s">
        <v>20586</v>
      </c>
      <c r="D25" s="523"/>
      <c r="E25" s="72"/>
      <c r="F25" s="523"/>
      <c r="G25" s="72"/>
      <c r="I25" s="57"/>
      <c r="J25" s="114" t="s">
        <v>17558</v>
      </c>
      <c r="K25" s="49"/>
      <c r="L25" s="50"/>
      <c r="M25" s="163"/>
      <c r="N25" s="45"/>
      <c r="O25" s="46"/>
      <c r="P25" s="512"/>
      <c r="Q25" s="57"/>
      <c r="R25" s="35"/>
      <c r="U25" s="57"/>
      <c r="V25" s="72" t="s">
        <v>17580</v>
      </c>
      <c r="Y25" s="57"/>
      <c r="Z25" s="208">
        <f>+ROUND((ROUND((ROUND((_15_同援日０．５＿０．５*_15・基礎２),0)*(1+_15・B深夜)),0)*(1+_15・区４)),0)</f>
        <v>209</v>
      </c>
      <c r="AA25" s="48"/>
    </row>
    <row r="26" spans="1:27" ht="16.5" customHeight="1" x14ac:dyDescent="0.15">
      <c r="A26" s="41">
        <v>15</v>
      </c>
      <c r="B26" s="41" t="s">
        <v>613</v>
      </c>
      <c r="C26" s="127" t="s">
        <v>20587</v>
      </c>
      <c r="D26" s="523"/>
      <c r="E26" s="72"/>
      <c r="F26" s="523"/>
      <c r="G26" s="72"/>
      <c r="I26" s="57"/>
      <c r="J26" s="269" t="s">
        <v>17560</v>
      </c>
      <c r="K26" s="37" t="s">
        <v>398</v>
      </c>
      <c r="L26" s="38">
        <v>0.9</v>
      </c>
      <c r="M26" s="299" t="s">
        <v>17556</v>
      </c>
      <c r="N26" s="45" t="s">
        <v>398</v>
      </c>
      <c r="O26" s="46">
        <v>1</v>
      </c>
      <c r="P26" s="512"/>
      <c r="Q26" s="57"/>
      <c r="R26" s="43"/>
      <c r="S26" s="37"/>
      <c r="T26" s="38"/>
      <c r="U26" s="79"/>
      <c r="V26" s="72" t="s">
        <v>17572</v>
      </c>
      <c r="Y26" s="57"/>
      <c r="Z26" s="208">
        <f>+ROUND((ROUND((ROUND((ROUND((_15_同援日０．５＿０．５*_15・基礎２),0)*_15・２人),0)*(1+_15・B深夜)),0)*(1+_15・区４)),0)</f>
        <v>209</v>
      </c>
      <c r="AA26" s="48"/>
    </row>
    <row r="27" spans="1:27" ht="16.5" customHeight="1" x14ac:dyDescent="0.15">
      <c r="A27" s="41">
        <v>15</v>
      </c>
      <c r="B27" s="41" t="s">
        <v>615</v>
      </c>
      <c r="C27" s="127" t="s">
        <v>20588</v>
      </c>
      <c r="D27" s="523"/>
      <c r="E27" s="72"/>
      <c r="F27" s="523"/>
      <c r="G27" s="72"/>
      <c r="I27" s="57"/>
      <c r="J27" s="53"/>
      <c r="K27" s="49"/>
      <c r="L27" s="50"/>
      <c r="M27" s="163"/>
      <c r="N27" s="45"/>
      <c r="O27" s="46"/>
      <c r="P27" s="512"/>
      <c r="Q27" s="57"/>
      <c r="R27" s="114" t="s">
        <v>17562</v>
      </c>
      <c r="S27" s="49"/>
      <c r="T27" s="50"/>
      <c r="U27" s="115"/>
      <c r="V27" s="35"/>
      <c r="W27" s="12" t="s">
        <v>398</v>
      </c>
      <c r="X27" s="13">
        <v>0.4</v>
      </c>
      <c r="Y27" s="57" t="s">
        <v>3575</v>
      </c>
      <c r="Z27" s="208">
        <f>+ROUND((ROUND((ROUND((_15_同援日０．５＿０．５*(1+_15・B深夜)),0)*(1+_15・盲ろう)),0)*(1+_15・区４)),0)</f>
        <v>288</v>
      </c>
      <c r="AA27" s="48"/>
    </row>
    <row r="28" spans="1:27" ht="16.5" customHeight="1" x14ac:dyDescent="0.15">
      <c r="A28" s="41">
        <v>15</v>
      </c>
      <c r="B28" s="41" t="s">
        <v>617</v>
      </c>
      <c r="C28" s="127" t="s">
        <v>20589</v>
      </c>
      <c r="D28" s="523"/>
      <c r="E28" s="72"/>
      <c r="F28" s="523"/>
      <c r="G28" s="72"/>
      <c r="I28" s="57"/>
      <c r="J28" s="43"/>
      <c r="K28" s="37"/>
      <c r="L28" s="38"/>
      <c r="M28" s="299" t="s">
        <v>17556</v>
      </c>
      <c r="N28" s="45" t="s">
        <v>398</v>
      </c>
      <c r="O28" s="46">
        <v>1</v>
      </c>
      <c r="P28" s="512"/>
      <c r="Q28" s="57"/>
      <c r="R28" s="92" t="s">
        <v>17564</v>
      </c>
      <c r="U28" s="57"/>
      <c r="V28" s="35"/>
      <c r="Y28" s="57"/>
      <c r="Z28" s="208">
        <f>+ROUND((ROUND((ROUND((ROUND((_15_同援日０．５＿０．５*_15・２人),0)*(1+_15・B深夜)),0)*(1+_15・盲ろう)),0)*(1+_15・区４)),0)</f>
        <v>288</v>
      </c>
      <c r="AA28" s="48"/>
    </row>
    <row r="29" spans="1:27" ht="16.5" customHeight="1" x14ac:dyDescent="0.15">
      <c r="A29" s="41">
        <v>15</v>
      </c>
      <c r="B29" s="41" t="s">
        <v>20590</v>
      </c>
      <c r="C29" s="127" t="s">
        <v>20591</v>
      </c>
      <c r="D29" s="523"/>
      <c r="E29" s="72"/>
      <c r="F29" s="523"/>
      <c r="G29" s="72"/>
      <c r="I29" s="57"/>
      <c r="J29" s="114" t="s">
        <v>17558</v>
      </c>
      <c r="K29" s="49"/>
      <c r="L29" s="50"/>
      <c r="M29" s="163"/>
      <c r="N29" s="45"/>
      <c r="O29" s="46"/>
      <c r="P29" s="512"/>
      <c r="Q29" s="57"/>
      <c r="R29" s="35"/>
      <c r="S29" s="12" t="s">
        <v>398</v>
      </c>
      <c r="T29" s="13">
        <v>0.25</v>
      </c>
      <c r="U29" s="57" t="s">
        <v>3575</v>
      </c>
      <c r="V29" s="35"/>
      <c r="Y29" s="57"/>
      <c r="Z29" s="208">
        <f>+ROUND((ROUND((ROUND((ROUND((_15_同援日０．５＿０．５*_15・基礎２),0)*(1+_15・B深夜)),0)*(1+_15・盲ろう)),0)*(1+_15・区４)),0)</f>
        <v>260</v>
      </c>
      <c r="AA29" s="48"/>
    </row>
    <row r="30" spans="1:27" ht="16.5" customHeight="1" x14ac:dyDescent="0.15">
      <c r="A30" s="41">
        <v>15</v>
      </c>
      <c r="B30" s="41" t="s">
        <v>20592</v>
      </c>
      <c r="C30" s="127" t="s">
        <v>20593</v>
      </c>
      <c r="D30" s="523"/>
      <c r="E30" s="72"/>
      <c r="F30" s="523"/>
      <c r="G30" s="122"/>
      <c r="H30" s="37"/>
      <c r="I30" s="79"/>
      <c r="J30" s="269" t="s">
        <v>17560</v>
      </c>
      <c r="K30" s="37" t="s">
        <v>398</v>
      </c>
      <c r="L30" s="38">
        <v>0.9</v>
      </c>
      <c r="M30" s="299" t="s">
        <v>17556</v>
      </c>
      <c r="N30" s="45" t="s">
        <v>398</v>
      </c>
      <c r="O30" s="46">
        <v>1</v>
      </c>
      <c r="P30" s="512"/>
      <c r="Q30" s="57"/>
      <c r="R30" s="43"/>
      <c r="S30" s="37"/>
      <c r="T30" s="38"/>
      <c r="U30" s="79"/>
      <c r="V30" s="43"/>
      <c r="W30" s="37"/>
      <c r="X30" s="38"/>
      <c r="Y30" s="79"/>
      <c r="Z30" s="208">
        <f>+ROUND((ROUND((ROUND((ROUND((ROUND((_15_同援日０．５＿０．５*_15・基礎２),0)*_15・２人),0)*(1+_15・B深夜)),0)*(1+_15・盲ろう)),0)*(1+_15・区４)),0)</f>
        <v>260</v>
      </c>
      <c r="AA30" s="48"/>
    </row>
    <row r="31" spans="1:27" ht="16.5" customHeight="1" x14ac:dyDescent="0.15">
      <c r="A31" s="41">
        <v>15</v>
      </c>
      <c r="B31" s="41" t="s">
        <v>20594</v>
      </c>
      <c r="C31" s="127" t="s">
        <v>20595</v>
      </c>
      <c r="D31" s="523"/>
      <c r="E31" s="72"/>
      <c r="F31" s="523"/>
      <c r="G31" s="114" t="s">
        <v>19970</v>
      </c>
      <c r="H31" s="49"/>
      <c r="I31" s="115"/>
      <c r="J31" s="53"/>
      <c r="K31" s="49"/>
      <c r="L31" s="50"/>
      <c r="M31" s="163"/>
      <c r="N31" s="45"/>
      <c r="O31" s="46"/>
      <c r="P31" s="512"/>
      <c r="Q31" s="57"/>
      <c r="R31" s="53"/>
      <c r="S31" s="49"/>
      <c r="T31" s="50"/>
      <c r="U31" s="115"/>
      <c r="V31" s="53"/>
      <c r="W31" s="49"/>
      <c r="X31" s="50"/>
      <c r="Y31" s="115"/>
      <c r="Z31" s="208">
        <f>+ROUND((_15_同援日０．５＿１．０*(1+_15・B深夜)),0)</f>
        <v>365</v>
      </c>
      <c r="AA31" s="48"/>
    </row>
    <row r="32" spans="1:27" ht="16.5" customHeight="1" x14ac:dyDescent="0.15">
      <c r="A32" s="41">
        <v>15</v>
      </c>
      <c r="B32" s="41" t="s">
        <v>20596</v>
      </c>
      <c r="C32" s="127" t="s">
        <v>20597</v>
      </c>
      <c r="D32" s="523"/>
      <c r="E32" s="72"/>
      <c r="F32" s="523"/>
      <c r="G32" s="72" t="s">
        <v>17589</v>
      </c>
      <c r="I32" s="57"/>
      <c r="J32" s="43"/>
      <c r="K32" s="37"/>
      <c r="L32" s="38"/>
      <c r="M32" s="299" t="s">
        <v>17556</v>
      </c>
      <c r="N32" s="45" t="s">
        <v>398</v>
      </c>
      <c r="O32" s="46">
        <v>1</v>
      </c>
      <c r="P32" s="512"/>
      <c r="Q32" s="57"/>
      <c r="R32" s="35"/>
      <c r="U32" s="57"/>
      <c r="V32" s="35"/>
      <c r="Y32" s="57"/>
      <c r="Z32" s="208">
        <f>+ROUND((ROUND((_15_同援日０．５＿１．０*_15・２人),0)*(1+_15・B深夜)),0)</f>
        <v>365</v>
      </c>
      <c r="AA32" s="48"/>
    </row>
    <row r="33" spans="1:27" ht="16.5" customHeight="1" x14ac:dyDescent="0.15">
      <c r="A33" s="41">
        <v>15</v>
      </c>
      <c r="B33" s="41" t="s">
        <v>20598</v>
      </c>
      <c r="C33" s="127" t="s">
        <v>20599</v>
      </c>
      <c r="D33" s="523"/>
      <c r="E33" s="72"/>
      <c r="F33" s="523"/>
      <c r="G33" s="72" t="s">
        <v>17591</v>
      </c>
      <c r="I33" s="57"/>
      <c r="J33" s="114" t="s">
        <v>17558</v>
      </c>
      <c r="K33" s="49"/>
      <c r="L33" s="50"/>
      <c r="M33" s="163"/>
      <c r="N33" s="45"/>
      <c r="O33" s="46"/>
      <c r="P33" s="512"/>
      <c r="Q33" s="57"/>
      <c r="R33" s="35"/>
      <c r="U33" s="57"/>
      <c r="V33" s="35"/>
      <c r="Y33" s="57"/>
      <c r="Z33" s="208">
        <f>+ROUND((ROUND((_15_同援日０．５＿１．０*_15・基礎２),0)*(1+_15・B深夜)),0)</f>
        <v>329</v>
      </c>
      <c r="AA33" s="48"/>
    </row>
    <row r="34" spans="1:27" ht="16.5" customHeight="1" x14ac:dyDescent="0.15">
      <c r="A34" s="41">
        <v>15</v>
      </c>
      <c r="B34" s="41" t="s">
        <v>20600</v>
      </c>
      <c r="C34" s="127" t="s">
        <v>20601</v>
      </c>
      <c r="D34" s="523"/>
      <c r="E34" s="72"/>
      <c r="F34" s="523"/>
      <c r="G34" s="72"/>
      <c r="H34" s="168">
        <f>_15_同援日０．５＿１．０</f>
        <v>243</v>
      </c>
      <c r="I34" s="57" t="s">
        <v>392</v>
      </c>
      <c r="J34" s="269" t="s">
        <v>17560</v>
      </c>
      <c r="K34" s="37" t="s">
        <v>398</v>
      </c>
      <c r="L34" s="38">
        <v>0.9</v>
      </c>
      <c r="M34" s="299" t="s">
        <v>17556</v>
      </c>
      <c r="N34" s="45" t="s">
        <v>398</v>
      </c>
      <c r="O34" s="46">
        <v>1</v>
      </c>
      <c r="P34" s="512"/>
      <c r="Q34" s="57"/>
      <c r="R34" s="43"/>
      <c r="S34" s="37"/>
      <c r="T34" s="38"/>
      <c r="U34" s="79"/>
      <c r="V34" s="35"/>
      <c r="Y34" s="57"/>
      <c r="Z34" s="208">
        <f>+ROUND((ROUND((ROUND((_15_同援日０．５＿１．０*_15・基礎２),0)*_15・２人),0)*(1+_15・B深夜)),0)</f>
        <v>329</v>
      </c>
      <c r="AA34" s="48"/>
    </row>
    <row r="35" spans="1:27" ht="16.5" customHeight="1" x14ac:dyDescent="0.15">
      <c r="A35" s="41">
        <v>15</v>
      </c>
      <c r="B35" s="41" t="s">
        <v>20602</v>
      </c>
      <c r="C35" s="127" t="s">
        <v>20603</v>
      </c>
      <c r="D35" s="523"/>
      <c r="E35" s="72"/>
      <c r="F35" s="523"/>
      <c r="G35" s="72"/>
      <c r="I35" s="57"/>
      <c r="J35" s="53"/>
      <c r="K35" s="49"/>
      <c r="L35" s="50"/>
      <c r="M35" s="163"/>
      <c r="N35" s="45"/>
      <c r="O35" s="46"/>
      <c r="P35" s="512"/>
      <c r="Q35" s="57"/>
      <c r="R35" s="114" t="s">
        <v>17562</v>
      </c>
      <c r="S35" s="49"/>
      <c r="T35" s="50"/>
      <c r="U35" s="115"/>
      <c r="V35" s="35"/>
      <c r="Y35" s="57"/>
      <c r="Z35" s="208">
        <f>+ROUND((ROUND((_15_同援日０．５＿１．０*(1+_15・B深夜)),0)*(1+_15・盲ろう)),0)</f>
        <v>456</v>
      </c>
      <c r="AA35" s="48"/>
    </row>
    <row r="36" spans="1:27" ht="16.5" customHeight="1" x14ac:dyDescent="0.15">
      <c r="A36" s="41">
        <v>15</v>
      </c>
      <c r="B36" s="41" t="s">
        <v>20604</v>
      </c>
      <c r="C36" s="127" t="s">
        <v>20605</v>
      </c>
      <c r="D36" s="523"/>
      <c r="E36" s="72"/>
      <c r="F36" s="523"/>
      <c r="G36" s="72"/>
      <c r="I36" s="57"/>
      <c r="J36" s="43"/>
      <c r="K36" s="37"/>
      <c r="L36" s="38"/>
      <c r="M36" s="299" t="s">
        <v>17556</v>
      </c>
      <c r="N36" s="45" t="s">
        <v>398</v>
      </c>
      <c r="O36" s="46">
        <v>1</v>
      </c>
      <c r="P36" s="512"/>
      <c r="Q36" s="57"/>
      <c r="R36" s="92" t="s">
        <v>17564</v>
      </c>
      <c r="U36" s="57"/>
      <c r="V36" s="35"/>
      <c r="Y36" s="57"/>
      <c r="Z36" s="208">
        <f>+ROUND((ROUND((ROUND((_15_同援日０．５＿１．０*_15・２人),0)*(1+_15・B深夜)),0)*(1+_15・盲ろう)),0)</f>
        <v>456</v>
      </c>
      <c r="AA36" s="48"/>
    </row>
    <row r="37" spans="1:27" ht="16.5" customHeight="1" x14ac:dyDescent="0.15">
      <c r="A37" s="41">
        <v>15</v>
      </c>
      <c r="B37" s="41" t="s">
        <v>20606</v>
      </c>
      <c r="C37" s="127" t="s">
        <v>20607</v>
      </c>
      <c r="D37" s="523"/>
      <c r="E37" s="72"/>
      <c r="F37" s="523"/>
      <c r="G37" s="72"/>
      <c r="I37" s="57"/>
      <c r="J37" s="114" t="s">
        <v>17558</v>
      </c>
      <c r="K37" s="49"/>
      <c r="L37" s="50"/>
      <c r="M37" s="163"/>
      <c r="N37" s="45"/>
      <c r="O37" s="46"/>
      <c r="P37" s="512"/>
      <c r="Q37" s="57"/>
      <c r="R37" s="35"/>
      <c r="S37" s="12" t="s">
        <v>398</v>
      </c>
      <c r="T37" s="13">
        <v>0.25</v>
      </c>
      <c r="U37" s="57" t="s">
        <v>3575</v>
      </c>
      <c r="V37" s="35"/>
      <c r="Y37" s="57"/>
      <c r="Z37" s="208">
        <f>+ROUND((ROUND((ROUND((_15_同援日０．５＿１．０*_15・基礎２),0)*(1+_15・B深夜)),0)*(1+_15・盲ろう)),0)</f>
        <v>411</v>
      </c>
      <c r="AA37" s="48"/>
    </row>
    <row r="38" spans="1:27" ht="16.5" customHeight="1" x14ac:dyDescent="0.15">
      <c r="A38" s="41">
        <v>15</v>
      </c>
      <c r="B38" s="41" t="s">
        <v>20608</v>
      </c>
      <c r="C38" s="127" t="s">
        <v>20609</v>
      </c>
      <c r="D38" s="523"/>
      <c r="E38" s="72"/>
      <c r="F38" s="523"/>
      <c r="G38" s="72"/>
      <c r="I38" s="57"/>
      <c r="J38" s="269" t="s">
        <v>17560</v>
      </c>
      <c r="K38" s="37" t="s">
        <v>398</v>
      </c>
      <c r="L38" s="38">
        <v>0.9</v>
      </c>
      <c r="M38" s="299" t="s">
        <v>17556</v>
      </c>
      <c r="N38" s="45" t="s">
        <v>398</v>
      </c>
      <c r="O38" s="46">
        <v>1</v>
      </c>
      <c r="P38" s="512"/>
      <c r="Q38" s="57"/>
      <c r="R38" s="43"/>
      <c r="S38" s="37"/>
      <c r="T38" s="38"/>
      <c r="U38" s="79"/>
      <c r="V38" s="43"/>
      <c r="W38" s="37"/>
      <c r="X38" s="38"/>
      <c r="Y38" s="79"/>
      <c r="Z38" s="208">
        <f>+ROUND((ROUND((ROUND((ROUND((_15_同援日０．５＿１．０*_15・基礎２),0)*_15・２人),0)*(1+_15・B深夜)),0)*(1+_15・盲ろう)),0)</f>
        <v>411</v>
      </c>
      <c r="AA38" s="48"/>
    </row>
    <row r="39" spans="1:27" ht="16.5" customHeight="1" x14ac:dyDescent="0.15">
      <c r="A39" s="41">
        <v>15</v>
      </c>
      <c r="B39" s="41" t="s">
        <v>20610</v>
      </c>
      <c r="C39" s="127" t="s">
        <v>20611</v>
      </c>
      <c r="D39" s="523"/>
      <c r="E39" s="72"/>
      <c r="F39" s="523"/>
      <c r="G39" s="72"/>
      <c r="I39" s="57"/>
      <c r="J39" s="53"/>
      <c r="K39" s="49"/>
      <c r="L39" s="50"/>
      <c r="M39" s="163"/>
      <c r="N39" s="45"/>
      <c r="O39" s="46"/>
      <c r="P39" s="512"/>
      <c r="Q39" s="57"/>
      <c r="R39" s="53"/>
      <c r="S39" s="49"/>
      <c r="T39" s="50"/>
      <c r="U39" s="115"/>
      <c r="V39" s="53"/>
      <c r="W39" s="49"/>
      <c r="X39" s="50"/>
      <c r="Y39" s="115"/>
      <c r="Z39" s="208">
        <f>+ROUND((ROUND((_15_同援日０．５＿１．０*(1+_15・B深夜)),0)*(1+_15・区３)),0)</f>
        <v>438</v>
      </c>
      <c r="AA39" s="48"/>
    </row>
    <row r="40" spans="1:27" ht="16.5" customHeight="1" x14ac:dyDescent="0.15">
      <c r="A40" s="41">
        <v>15</v>
      </c>
      <c r="B40" s="41" t="s">
        <v>20612</v>
      </c>
      <c r="C40" s="127" t="s">
        <v>20613</v>
      </c>
      <c r="D40" s="523"/>
      <c r="E40" s="72"/>
      <c r="F40" s="523"/>
      <c r="G40" s="72"/>
      <c r="I40" s="57"/>
      <c r="J40" s="43"/>
      <c r="K40" s="37"/>
      <c r="L40" s="38"/>
      <c r="M40" s="299" t="s">
        <v>17556</v>
      </c>
      <c r="N40" s="45" t="s">
        <v>398</v>
      </c>
      <c r="O40" s="46">
        <v>1</v>
      </c>
      <c r="P40" s="512"/>
      <c r="Q40" s="57"/>
      <c r="R40" s="35"/>
      <c r="U40" s="57"/>
      <c r="V40" s="35"/>
      <c r="Y40" s="57"/>
      <c r="Z40" s="208">
        <f>+ROUND((ROUND((ROUND((_15_同援日０．５＿１．０*_15・２人),0)*(1+_15・B深夜)),0)*(1+_15・区３)),0)</f>
        <v>438</v>
      </c>
      <c r="AA40" s="48"/>
    </row>
    <row r="41" spans="1:27" ht="16.5" customHeight="1" x14ac:dyDescent="0.15">
      <c r="A41" s="41">
        <v>15</v>
      </c>
      <c r="B41" s="41" t="s">
        <v>20614</v>
      </c>
      <c r="C41" s="127" t="s">
        <v>20615</v>
      </c>
      <c r="D41" s="523"/>
      <c r="E41" s="72"/>
      <c r="F41" s="523"/>
      <c r="G41" s="72"/>
      <c r="I41" s="57"/>
      <c r="J41" s="114" t="s">
        <v>17558</v>
      </c>
      <c r="K41" s="49"/>
      <c r="L41" s="50"/>
      <c r="M41" s="163"/>
      <c r="N41" s="45"/>
      <c r="O41" s="46"/>
      <c r="P41" s="512"/>
      <c r="Q41" s="57"/>
      <c r="R41" s="35"/>
      <c r="U41" s="57"/>
      <c r="V41" s="72" t="s">
        <v>17570</v>
      </c>
      <c r="Y41" s="57"/>
      <c r="Z41" s="208">
        <f>+ROUND((ROUND((ROUND((_15_同援日０．５＿１．０*_15・基礎２),0)*(1+_15・B深夜)),0)*(1+_15・区３)),0)</f>
        <v>395</v>
      </c>
      <c r="AA41" s="48"/>
    </row>
    <row r="42" spans="1:27" ht="16.5" customHeight="1" x14ac:dyDescent="0.15">
      <c r="A42" s="41">
        <v>15</v>
      </c>
      <c r="B42" s="41" t="s">
        <v>20616</v>
      </c>
      <c r="C42" s="127" t="s">
        <v>20617</v>
      </c>
      <c r="D42" s="523"/>
      <c r="E42" s="72"/>
      <c r="F42" s="523"/>
      <c r="G42" s="72"/>
      <c r="I42" s="57"/>
      <c r="J42" s="269" t="s">
        <v>17560</v>
      </c>
      <c r="K42" s="37" t="s">
        <v>398</v>
      </c>
      <c r="L42" s="38">
        <v>0.9</v>
      </c>
      <c r="M42" s="299" t="s">
        <v>17556</v>
      </c>
      <c r="N42" s="45" t="s">
        <v>398</v>
      </c>
      <c r="O42" s="46">
        <v>1</v>
      </c>
      <c r="P42" s="512"/>
      <c r="Q42" s="57"/>
      <c r="R42" s="43"/>
      <c r="S42" s="37"/>
      <c r="T42" s="38"/>
      <c r="U42" s="79"/>
      <c r="V42" s="72" t="s">
        <v>17572</v>
      </c>
      <c r="Y42" s="57"/>
      <c r="Z42" s="208">
        <f>+ROUND((ROUND((ROUND((ROUND((_15_同援日０．５＿１．０*_15・基礎２),0)*_15・２人),0)*(1+_15・B深夜)),0)*(1+_15・区３)),0)</f>
        <v>395</v>
      </c>
      <c r="AA42" s="48"/>
    </row>
    <row r="43" spans="1:27" ht="16.5" customHeight="1" x14ac:dyDescent="0.15">
      <c r="A43" s="41">
        <v>15</v>
      </c>
      <c r="B43" s="41" t="s">
        <v>20618</v>
      </c>
      <c r="C43" s="127" t="s">
        <v>20619</v>
      </c>
      <c r="D43" s="523"/>
      <c r="E43" s="72"/>
      <c r="F43" s="523"/>
      <c r="G43" s="72"/>
      <c r="I43" s="57"/>
      <c r="J43" s="53"/>
      <c r="K43" s="49"/>
      <c r="L43" s="50"/>
      <c r="M43" s="163"/>
      <c r="N43" s="45"/>
      <c r="O43" s="46"/>
      <c r="P43" s="512"/>
      <c r="Q43" s="57"/>
      <c r="R43" s="114" t="s">
        <v>17562</v>
      </c>
      <c r="S43" s="49"/>
      <c r="T43" s="50"/>
      <c r="U43" s="115"/>
      <c r="V43" s="35"/>
      <c r="W43" s="12" t="s">
        <v>398</v>
      </c>
      <c r="X43" s="13">
        <v>0.2</v>
      </c>
      <c r="Y43" s="57" t="s">
        <v>3575</v>
      </c>
      <c r="Z43" s="208">
        <f>+ROUND((ROUND((ROUND((_15_同援日０．５＿１．０*(1+_15・B深夜)),0)*(1+_15・盲ろう)),0)*(1+_15・区３)),0)</f>
        <v>547</v>
      </c>
      <c r="AA43" s="48"/>
    </row>
    <row r="44" spans="1:27" ht="16.5" customHeight="1" x14ac:dyDescent="0.15">
      <c r="A44" s="41">
        <v>15</v>
      </c>
      <c r="B44" s="41" t="s">
        <v>20620</v>
      </c>
      <c r="C44" s="127" t="s">
        <v>20621</v>
      </c>
      <c r="D44" s="523"/>
      <c r="E44" s="72"/>
      <c r="F44" s="523"/>
      <c r="G44" s="72"/>
      <c r="I44" s="57"/>
      <c r="J44" s="43"/>
      <c r="K44" s="37"/>
      <c r="L44" s="38"/>
      <c r="M44" s="299" t="s">
        <v>17556</v>
      </c>
      <c r="N44" s="45" t="s">
        <v>398</v>
      </c>
      <c r="O44" s="46">
        <v>1</v>
      </c>
      <c r="P44" s="512"/>
      <c r="Q44" s="57"/>
      <c r="R44" s="92" t="s">
        <v>17564</v>
      </c>
      <c r="U44" s="57"/>
      <c r="V44" s="35"/>
      <c r="Y44" s="57"/>
      <c r="Z44" s="208">
        <f>+ROUND((ROUND((ROUND((ROUND((_15_同援日０．５＿１．０*_15・２人),0)*(1+_15・B深夜)),0)*(1+_15・盲ろう)),0)*(1+_15・区３)),0)</f>
        <v>547</v>
      </c>
      <c r="AA44" s="48"/>
    </row>
    <row r="45" spans="1:27" ht="16.5" customHeight="1" x14ac:dyDescent="0.15">
      <c r="A45" s="41">
        <v>15</v>
      </c>
      <c r="B45" s="41" t="s">
        <v>624</v>
      </c>
      <c r="C45" s="127" t="s">
        <v>20622</v>
      </c>
      <c r="D45" s="523"/>
      <c r="E45" s="72"/>
      <c r="F45" s="523"/>
      <c r="G45" s="72"/>
      <c r="I45" s="57"/>
      <c r="J45" s="114" t="s">
        <v>17558</v>
      </c>
      <c r="K45" s="49"/>
      <c r="L45" s="50"/>
      <c r="M45" s="163"/>
      <c r="N45" s="45"/>
      <c r="O45" s="46"/>
      <c r="P45" s="512"/>
      <c r="Q45" s="57"/>
      <c r="R45" s="35"/>
      <c r="S45" s="12" t="s">
        <v>398</v>
      </c>
      <c r="T45" s="13">
        <v>0.25</v>
      </c>
      <c r="U45" s="57" t="s">
        <v>3575</v>
      </c>
      <c r="V45" s="35"/>
      <c r="Y45" s="57"/>
      <c r="Z45" s="208">
        <f>+ROUND((ROUND((ROUND((ROUND((_15_同援日０．５＿１．０*_15・基礎２),0)*(1+_15・B深夜)),0)*(1+_15・盲ろう)),0)*(1+_15・区３)),0)</f>
        <v>493</v>
      </c>
      <c r="AA45" s="48"/>
    </row>
    <row r="46" spans="1:27" ht="16.5" customHeight="1" x14ac:dyDescent="0.15">
      <c r="A46" s="41">
        <v>15</v>
      </c>
      <c r="B46" s="41" t="s">
        <v>626</v>
      </c>
      <c r="C46" s="127" t="s">
        <v>20623</v>
      </c>
      <c r="D46" s="523"/>
      <c r="E46" s="72"/>
      <c r="F46" s="523"/>
      <c r="G46" s="72"/>
      <c r="I46" s="57"/>
      <c r="J46" s="269" t="s">
        <v>17560</v>
      </c>
      <c r="K46" s="37" t="s">
        <v>398</v>
      </c>
      <c r="L46" s="38">
        <v>0.9</v>
      </c>
      <c r="M46" s="299" t="s">
        <v>17556</v>
      </c>
      <c r="N46" s="45" t="s">
        <v>398</v>
      </c>
      <c r="O46" s="46">
        <v>1</v>
      </c>
      <c r="P46" s="512"/>
      <c r="Q46" s="57"/>
      <c r="R46" s="43"/>
      <c r="S46" s="37"/>
      <c r="T46" s="38"/>
      <c r="U46" s="79"/>
      <c r="V46" s="43"/>
      <c r="W46" s="37"/>
      <c r="X46" s="38"/>
      <c r="Y46" s="79"/>
      <c r="Z46" s="208">
        <f>+ROUND((ROUND((ROUND((ROUND((ROUND((_15_同援日０．５＿１．０*_15・基礎２),0)*_15・２人),0)*(1+_15・B深夜)),0)*(1+_15・盲ろう)),0)*(1+_15・区３)),0)</f>
        <v>493</v>
      </c>
      <c r="AA46" s="48"/>
    </row>
    <row r="47" spans="1:27" ht="16.5" customHeight="1" x14ac:dyDescent="0.15">
      <c r="A47" s="41">
        <v>15</v>
      </c>
      <c r="B47" s="41" t="s">
        <v>628</v>
      </c>
      <c r="C47" s="127" t="s">
        <v>20624</v>
      </c>
      <c r="D47" s="523"/>
      <c r="E47" s="72"/>
      <c r="F47" s="523"/>
      <c r="G47" s="72"/>
      <c r="I47" s="57"/>
      <c r="J47" s="53"/>
      <c r="K47" s="49"/>
      <c r="L47" s="50"/>
      <c r="M47" s="163"/>
      <c r="N47" s="45"/>
      <c r="O47" s="46"/>
      <c r="P47" s="512"/>
      <c r="Q47" s="57"/>
      <c r="R47" s="53"/>
      <c r="S47" s="49"/>
      <c r="T47" s="50"/>
      <c r="U47" s="115"/>
      <c r="V47" s="53"/>
      <c r="W47" s="49"/>
      <c r="X47" s="50"/>
      <c r="Y47" s="115"/>
      <c r="Z47" s="208">
        <f>+ROUND((ROUND((_15_同援日０．５＿１．０*(1+_15・B深夜)),0)*(1+_15・区４)),0)</f>
        <v>511</v>
      </c>
      <c r="AA47" s="48"/>
    </row>
    <row r="48" spans="1:27" ht="16.5" customHeight="1" x14ac:dyDescent="0.15">
      <c r="A48" s="41">
        <v>15</v>
      </c>
      <c r="B48" s="41" t="s">
        <v>630</v>
      </c>
      <c r="C48" s="127" t="s">
        <v>20625</v>
      </c>
      <c r="D48" s="523"/>
      <c r="E48" s="72"/>
      <c r="F48" s="523"/>
      <c r="G48" s="72"/>
      <c r="I48" s="57"/>
      <c r="J48" s="43"/>
      <c r="K48" s="37"/>
      <c r="L48" s="38"/>
      <c r="M48" s="299" t="s">
        <v>17556</v>
      </c>
      <c r="N48" s="45" t="s">
        <v>398</v>
      </c>
      <c r="O48" s="46">
        <v>1</v>
      </c>
      <c r="P48" s="512"/>
      <c r="Q48" s="57"/>
      <c r="R48" s="35"/>
      <c r="U48" s="57"/>
      <c r="V48" s="35"/>
      <c r="Y48" s="57"/>
      <c r="Z48" s="208">
        <f>+ROUND((ROUND((ROUND((_15_同援日０．５＿１．０*_15・２人),0)*(1+_15・B深夜)),0)*(1+_15・区４)),0)</f>
        <v>511</v>
      </c>
      <c r="AA48" s="48"/>
    </row>
    <row r="49" spans="1:27" ht="16.5" customHeight="1" x14ac:dyDescent="0.15">
      <c r="A49" s="41">
        <v>15</v>
      </c>
      <c r="B49" s="41" t="s">
        <v>20626</v>
      </c>
      <c r="C49" s="127" t="s">
        <v>20627</v>
      </c>
      <c r="D49" s="523"/>
      <c r="E49" s="72"/>
      <c r="F49" s="523"/>
      <c r="G49" s="72"/>
      <c r="I49" s="57"/>
      <c r="J49" s="114" t="s">
        <v>17558</v>
      </c>
      <c r="K49" s="49"/>
      <c r="L49" s="50"/>
      <c r="M49" s="163"/>
      <c r="N49" s="45"/>
      <c r="O49" s="46"/>
      <c r="P49" s="512"/>
      <c r="Q49" s="57"/>
      <c r="R49" s="35"/>
      <c r="U49" s="57"/>
      <c r="V49" s="72" t="s">
        <v>17580</v>
      </c>
      <c r="Y49" s="57"/>
      <c r="Z49" s="208">
        <f>+ROUND((ROUND((ROUND((_15_同援日０．５＿１．０*_15・基礎２),0)*(1+_15・B深夜)),0)*(1+_15・区４)),0)</f>
        <v>461</v>
      </c>
      <c r="AA49" s="48"/>
    </row>
    <row r="50" spans="1:27" ht="16.5" customHeight="1" x14ac:dyDescent="0.15">
      <c r="A50" s="41">
        <v>15</v>
      </c>
      <c r="B50" s="41" t="s">
        <v>20628</v>
      </c>
      <c r="C50" s="127" t="s">
        <v>20629</v>
      </c>
      <c r="D50" s="523"/>
      <c r="E50" s="72"/>
      <c r="F50" s="523"/>
      <c r="G50" s="72"/>
      <c r="I50" s="57"/>
      <c r="J50" s="269" t="s">
        <v>17560</v>
      </c>
      <c r="K50" s="37" t="s">
        <v>398</v>
      </c>
      <c r="L50" s="38">
        <v>0.9</v>
      </c>
      <c r="M50" s="299" t="s">
        <v>17556</v>
      </c>
      <c r="N50" s="45" t="s">
        <v>398</v>
      </c>
      <c r="O50" s="46">
        <v>1</v>
      </c>
      <c r="P50" s="512"/>
      <c r="Q50" s="57"/>
      <c r="R50" s="43"/>
      <c r="S50" s="37"/>
      <c r="T50" s="38"/>
      <c r="U50" s="79"/>
      <c r="V50" s="72" t="s">
        <v>17572</v>
      </c>
      <c r="Y50" s="57"/>
      <c r="Z50" s="208">
        <f>+ROUND((ROUND((ROUND((ROUND((_15_同援日０．５＿１．０*_15・基礎２),0)*_15・２人),0)*(1+_15・B深夜)),0)*(1+_15・区４)),0)</f>
        <v>461</v>
      </c>
      <c r="AA50" s="48"/>
    </row>
    <row r="51" spans="1:27" ht="16.5" customHeight="1" x14ac:dyDescent="0.15">
      <c r="A51" s="41">
        <v>15</v>
      </c>
      <c r="B51" s="41" t="s">
        <v>20630</v>
      </c>
      <c r="C51" s="127" t="s">
        <v>20631</v>
      </c>
      <c r="D51" s="523"/>
      <c r="E51" s="72"/>
      <c r="F51" s="523"/>
      <c r="G51" s="72"/>
      <c r="I51" s="57"/>
      <c r="J51" s="53"/>
      <c r="K51" s="49"/>
      <c r="L51" s="50"/>
      <c r="M51" s="163"/>
      <c r="N51" s="45"/>
      <c r="O51" s="46"/>
      <c r="P51" s="512"/>
      <c r="Q51" s="57"/>
      <c r="R51" s="114" t="s">
        <v>17562</v>
      </c>
      <c r="S51" s="49"/>
      <c r="T51" s="50"/>
      <c r="U51" s="115"/>
      <c r="V51" s="35"/>
      <c r="W51" s="12" t="s">
        <v>398</v>
      </c>
      <c r="X51" s="13">
        <v>0.4</v>
      </c>
      <c r="Y51" s="57" t="s">
        <v>3575</v>
      </c>
      <c r="Z51" s="208">
        <f>+ROUND((ROUND((ROUND((_15_同援日０．５＿１．０*(1+_15・B深夜)),0)*(1+_15・盲ろう)),0)*(1+_15・区４)),0)</f>
        <v>638</v>
      </c>
      <c r="AA51" s="48"/>
    </row>
    <row r="52" spans="1:27" ht="16.5" customHeight="1" x14ac:dyDescent="0.15">
      <c r="A52" s="41">
        <v>15</v>
      </c>
      <c r="B52" s="41" t="s">
        <v>20632</v>
      </c>
      <c r="C52" s="127" t="s">
        <v>20633</v>
      </c>
      <c r="D52" s="523"/>
      <c r="E52" s="72"/>
      <c r="F52" s="523"/>
      <c r="G52" s="72"/>
      <c r="I52" s="57"/>
      <c r="J52" s="43"/>
      <c r="K52" s="37"/>
      <c r="L52" s="38"/>
      <c r="M52" s="299" t="s">
        <v>17556</v>
      </c>
      <c r="N52" s="45" t="s">
        <v>398</v>
      </c>
      <c r="O52" s="46">
        <v>1</v>
      </c>
      <c r="P52" s="512"/>
      <c r="Q52" s="57"/>
      <c r="R52" s="92" t="s">
        <v>17564</v>
      </c>
      <c r="U52" s="57"/>
      <c r="V52" s="35"/>
      <c r="Y52" s="57"/>
      <c r="Z52" s="208">
        <f>+ROUND((ROUND((ROUND((ROUND((_15_同援日０．５＿１．０*_15・２人),0)*(1+_15・B深夜)),0)*(1+_15・盲ろう)),0)*(1+_15・区４)),0)</f>
        <v>638</v>
      </c>
      <c r="AA52" s="48"/>
    </row>
    <row r="53" spans="1:27" ht="16.5" customHeight="1" x14ac:dyDescent="0.15">
      <c r="A53" s="41">
        <v>15</v>
      </c>
      <c r="B53" s="41" t="s">
        <v>20634</v>
      </c>
      <c r="C53" s="127" t="s">
        <v>20635</v>
      </c>
      <c r="D53" s="523"/>
      <c r="E53" s="72"/>
      <c r="F53" s="523"/>
      <c r="G53" s="72"/>
      <c r="I53" s="57"/>
      <c r="J53" s="114" t="s">
        <v>17558</v>
      </c>
      <c r="K53" s="49"/>
      <c r="L53" s="50"/>
      <c r="M53" s="163"/>
      <c r="N53" s="45"/>
      <c r="O53" s="46"/>
      <c r="P53" s="512"/>
      <c r="Q53" s="57"/>
      <c r="R53" s="35"/>
      <c r="S53" s="12" t="s">
        <v>398</v>
      </c>
      <c r="T53" s="13">
        <v>0.25</v>
      </c>
      <c r="U53" s="57" t="s">
        <v>3575</v>
      </c>
      <c r="V53" s="35"/>
      <c r="Y53" s="57"/>
      <c r="Z53" s="208">
        <f>+ROUND((ROUND((ROUND((ROUND((_15_同援日０．５＿１．０*_15・基礎２),0)*(1+_15・B深夜)),0)*(1+_15・盲ろう)),0)*(1+_15・区４)),0)</f>
        <v>575</v>
      </c>
      <c r="AA53" s="48"/>
    </row>
    <row r="54" spans="1:27" ht="16.5" customHeight="1" x14ac:dyDescent="0.15">
      <c r="A54" s="41">
        <v>15</v>
      </c>
      <c r="B54" s="41" t="s">
        <v>20636</v>
      </c>
      <c r="C54" s="127" t="s">
        <v>20637</v>
      </c>
      <c r="D54" s="523"/>
      <c r="E54" s="72"/>
      <c r="F54" s="523"/>
      <c r="G54" s="122"/>
      <c r="H54" s="37"/>
      <c r="I54" s="79"/>
      <c r="J54" s="269" t="s">
        <v>17560</v>
      </c>
      <c r="K54" s="37" t="s">
        <v>398</v>
      </c>
      <c r="L54" s="38">
        <v>0.9</v>
      </c>
      <c r="M54" s="299" t="s">
        <v>17556</v>
      </c>
      <c r="N54" s="45" t="s">
        <v>398</v>
      </c>
      <c r="O54" s="46">
        <v>1</v>
      </c>
      <c r="P54" s="512"/>
      <c r="Q54" s="57"/>
      <c r="R54" s="43"/>
      <c r="S54" s="37"/>
      <c r="T54" s="38"/>
      <c r="U54" s="79"/>
      <c r="V54" s="43"/>
      <c r="W54" s="37"/>
      <c r="X54" s="38"/>
      <c r="Y54" s="79"/>
      <c r="Z54" s="208">
        <f>+ROUND((ROUND((ROUND((ROUND((ROUND((_15_同援日０．５＿１．０*_15・基礎２),0)*_15・２人),0)*(1+_15・B深夜)),0)*(1+_15・盲ろう)),0)*(1+_15・区４)),0)</f>
        <v>575</v>
      </c>
      <c r="AA54" s="48"/>
    </row>
    <row r="55" spans="1:27" ht="16.5" customHeight="1" x14ac:dyDescent="0.15">
      <c r="A55" s="41">
        <v>15</v>
      </c>
      <c r="B55" s="41" t="s">
        <v>20638</v>
      </c>
      <c r="C55" s="127" t="s">
        <v>20639</v>
      </c>
      <c r="D55" s="523"/>
      <c r="E55" s="72"/>
      <c r="F55" s="523"/>
      <c r="G55" s="114" t="s">
        <v>19995</v>
      </c>
      <c r="H55" s="49"/>
      <c r="I55" s="115"/>
      <c r="J55" s="53"/>
      <c r="K55" s="49"/>
      <c r="L55" s="50"/>
      <c r="M55" s="163"/>
      <c r="N55" s="45"/>
      <c r="O55" s="46"/>
      <c r="P55" s="512"/>
      <c r="Q55" s="57"/>
      <c r="R55" s="53"/>
      <c r="S55" s="49"/>
      <c r="T55" s="50"/>
      <c r="U55" s="115"/>
      <c r="V55" s="53"/>
      <c r="W55" s="49"/>
      <c r="X55" s="50"/>
      <c r="Y55" s="115"/>
      <c r="Z55" s="208">
        <f>+ROUND((_15_同援日０．５＿１．５*(1+_15・B深夜)),0)</f>
        <v>462</v>
      </c>
      <c r="AA55" s="48"/>
    </row>
    <row r="56" spans="1:27" ht="16.5" customHeight="1" x14ac:dyDescent="0.15">
      <c r="A56" s="41">
        <v>15</v>
      </c>
      <c r="B56" s="41" t="s">
        <v>20640</v>
      </c>
      <c r="C56" s="127" t="s">
        <v>20641</v>
      </c>
      <c r="D56" s="523"/>
      <c r="E56" s="72"/>
      <c r="F56" s="523"/>
      <c r="G56" s="72" t="s">
        <v>17616</v>
      </c>
      <c r="I56" s="57"/>
      <c r="J56" s="43"/>
      <c r="K56" s="37"/>
      <c r="L56" s="38"/>
      <c r="M56" s="299" t="s">
        <v>17556</v>
      </c>
      <c r="N56" s="45" t="s">
        <v>398</v>
      </c>
      <c r="O56" s="46">
        <v>1</v>
      </c>
      <c r="P56" s="512"/>
      <c r="Q56" s="57"/>
      <c r="R56" s="35"/>
      <c r="U56" s="57"/>
      <c r="V56" s="35"/>
      <c r="Y56" s="57"/>
      <c r="Z56" s="208">
        <f>+ROUND((ROUND((_15_同援日０．５＿１．５*_15・２人),0)*(1+_15・B深夜)),0)</f>
        <v>462</v>
      </c>
      <c r="AA56" s="48"/>
    </row>
    <row r="57" spans="1:27" ht="16.5" customHeight="1" x14ac:dyDescent="0.15">
      <c r="A57" s="41">
        <v>15</v>
      </c>
      <c r="B57" s="41" t="s">
        <v>20642</v>
      </c>
      <c r="C57" s="127" t="s">
        <v>20643</v>
      </c>
      <c r="D57" s="523"/>
      <c r="E57" s="72"/>
      <c r="F57" s="523"/>
      <c r="G57" s="72" t="s">
        <v>18183</v>
      </c>
      <c r="I57" s="57"/>
      <c r="J57" s="114" t="s">
        <v>17558</v>
      </c>
      <c r="K57" s="49"/>
      <c r="L57" s="50"/>
      <c r="M57" s="163"/>
      <c r="N57" s="45"/>
      <c r="O57" s="46"/>
      <c r="P57" s="512"/>
      <c r="Q57" s="57"/>
      <c r="R57" s="35"/>
      <c r="U57" s="57"/>
      <c r="V57" s="35"/>
      <c r="Y57" s="57"/>
      <c r="Z57" s="208">
        <f>+ROUND((ROUND((_15_同援日０．５＿１．５*_15・基礎２),0)*(1+_15・B深夜)),0)</f>
        <v>416</v>
      </c>
      <c r="AA57" s="48"/>
    </row>
    <row r="58" spans="1:27" ht="16.5" customHeight="1" x14ac:dyDescent="0.15">
      <c r="A58" s="41">
        <v>15</v>
      </c>
      <c r="B58" s="41" t="s">
        <v>20644</v>
      </c>
      <c r="C58" s="127" t="s">
        <v>20645</v>
      </c>
      <c r="D58" s="523"/>
      <c r="E58" s="72"/>
      <c r="F58" s="523"/>
      <c r="G58" s="72"/>
      <c r="H58" s="168">
        <f>_15_同援日０．５＿１．５</f>
        <v>308</v>
      </c>
      <c r="I58" s="57" t="s">
        <v>392</v>
      </c>
      <c r="J58" s="269" t="s">
        <v>17560</v>
      </c>
      <c r="K58" s="37" t="s">
        <v>398</v>
      </c>
      <c r="L58" s="38">
        <v>0.9</v>
      </c>
      <c r="M58" s="299" t="s">
        <v>17556</v>
      </c>
      <c r="N58" s="45" t="s">
        <v>398</v>
      </c>
      <c r="O58" s="46">
        <v>1</v>
      </c>
      <c r="P58" s="512"/>
      <c r="Q58" s="57"/>
      <c r="R58" s="43"/>
      <c r="S58" s="37"/>
      <c r="T58" s="38"/>
      <c r="U58" s="79"/>
      <c r="V58" s="35"/>
      <c r="Y58" s="57"/>
      <c r="Z58" s="208">
        <f>+ROUND((ROUND((ROUND((_15_同援日０．５＿１．５*_15・基礎２),0)*_15・２人),0)*(1+_15・B深夜)),0)</f>
        <v>416</v>
      </c>
      <c r="AA58" s="48"/>
    </row>
    <row r="59" spans="1:27" ht="16.5" customHeight="1" x14ac:dyDescent="0.15">
      <c r="A59" s="41">
        <v>15</v>
      </c>
      <c r="B59" s="41" t="s">
        <v>20646</v>
      </c>
      <c r="C59" s="127" t="s">
        <v>20647</v>
      </c>
      <c r="D59" s="523"/>
      <c r="E59" s="72"/>
      <c r="F59" s="523"/>
      <c r="G59" s="72"/>
      <c r="I59" s="57"/>
      <c r="J59" s="53"/>
      <c r="K59" s="49"/>
      <c r="L59" s="50"/>
      <c r="M59" s="163"/>
      <c r="N59" s="45"/>
      <c r="O59" s="46"/>
      <c r="P59" s="512"/>
      <c r="Q59" s="57"/>
      <c r="R59" s="114" t="s">
        <v>17562</v>
      </c>
      <c r="S59" s="49"/>
      <c r="T59" s="50"/>
      <c r="U59" s="115"/>
      <c r="V59" s="35"/>
      <c r="Y59" s="57"/>
      <c r="Z59" s="208">
        <f>+ROUND((ROUND((_15_同援日０．５＿１．５*(1+_15・B深夜)),0)*(1+_15・盲ろう)),0)</f>
        <v>578</v>
      </c>
      <c r="AA59" s="48"/>
    </row>
    <row r="60" spans="1:27" ht="16.5" customHeight="1" x14ac:dyDescent="0.15">
      <c r="A60" s="41">
        <v>15</v>
      </c>
      <c r="B60" s="41" t="s">
        <v>20648</v>
      </c>
      <c r="C60" s="127" t="s">
        <v>20649</v>
      </c>
      <c r="D60" s="523"/>
      <c r="E60" s="72"/>
      <c r="F60" s="523"/>
      <c r="G60" s="72"/>
      <c r="I60" s="57"/>
      <c r="J60" s="43"/>
      <c r="K60" s="37"/>
      <c r="L60" s="38"/>
      <c r="M60" s="299" t="s">
        <v>17556</v>
      </c>
      <c r="N60" s="45" t="s">
        <v>398</v>
      </c>
      <c r="O60" s="46">
        <v>1</v>
      </c>
      <c r="P60" s="512"/>
      <c r="Q60" s="57"/>
      <c r="R60" s="92" t="s">
        <v>17564</v>
      </c>
      <c r="U60" s="57"/>
      <c r="V60" s="35"/>
      <c r="Y60" s="57"/>
      <c r="Z60" s="208">
        <f>+ROUND((ROUND((ROUND((_15_同援日０．５＿１．５*_15・２人),0)*(1+_15・B深夜)),0)*(1+_15・盲ろう)),0)</f>
        <v>578</v>
      </c>
      <c r="AA60" s="48"/>
    </row>
    <row r="61" spans="1:27" ht="16.5" customHeight="1" x14ac:dyDescent="0.15">
      <c r="A61" s="41">
        <v>15</v>
      </c>
      <c r="B61" s="41" t="s">
        <v>20650</v>
      </c>
      <c r="C61" s="127" t="s">
        <v>20651</v>
      </c>
      <c r="D61" s="523"/>
      <c r="E61" s="72"/>
      <c r="F61" s="523"/>
      <c r="G61" s="72"/>
      <c r="I61" s="57"/>
      <c r="J61" s="114" t="s">
        <v>17558</v>
      </c>
      <c r="K61" s="49"/>
      <c r="L61" s="50"/>
      <c r="M61" s="163"/>
      <c r="N61" s="45"/>
      <c r="O61" s="46"/>
      <c r="P61" s="512"/>
      <c r="Q61" s="57"/>
      <c r="R61" s="35"/>
      <c r="S61" s="12" t="s">
        <v>398</v>
      </c>
      <c r="T61" s="13">
        <v>0.25</v>
      </c>
      <c r="U61" s="57" t="s">
        <v>3575</v>
      </c>
      <c r="V61" s="35"/>
      <c r="Y61" s="57"/>
      <c r="Z61" s="208">
        <f>+ROUND((ROUND((ROUND((_15_同援日０．５＿１．５*_15・基礎２),0)*(1+_15・B深夜)),0)*(1+_15・盲ろう)),0)</f>
        <v>520</v>
      </c>
      <c r="AA61" s="48"/>
    </row>
    <row r="62" spans="1:27" ht="16.5" customHeight="1" x14ac:dyDescent="0.15">
      <c r="A62" s="41">
        <v>15</v>
      </c>
      <c r="B62" s="41" t="s">
        <v>20652</v>
      </c>
      <c r="C62" s="127" t="s">
        <v>20653</v>
      </c>
      <c r="D62" s="523"/>
      <c r="E62" s="72"/>
      <c r="F62" s="523"/>
      <c r="G62" s="72"/>
      <c r="I62" s="57"/>
      <c r="J62" s="269" t="s">
        <v>17560</v>
      </c>
      <c r="K62" s="37" t="s">
        <v>398</v>
      </c>
      <c r="L62" s="38">
        <v>0.9</v>
      </c>
      <c r="M62" s="299" t="s">
        <v>17556</v>
      </c>
      <c r="N62" s="45" t="s">
        <v>398</v>
      </c>
      <c r="O62" s="46">
        <v>1</v>
      </c>
      <c r="P62" s="512"/>
      <c r="Q62" s="57"/>
      <c r="R62" s="43"/>
      <c r="S62" s="37"/>
      <c r="T62" s="38"/>
      <c r="U62" s="79"/>
      <c r="V62" s="43"/>
      <c r="W62" s="37"/>
      <c r="X62" s="38"/>
      <c r="Y62" s="79"/>
      <c r="Z62" s="208">
        <f>+ROUND((ROUND((ROUND((ROUND((_15_同援日０．５＿１．５*_15・基礎２),0)*_15・２人),0)*(1+_15・B深夜)),0)*(1+_15・盲ろう)),0)</f>
        <v>520</v>
      </c>
      <c r="AA62" s="48"/>
    </row>
    <row r="63" spans="1:27" ht="16.5" customHeight="1" x14ac:dyDescent="0.15">
      <c r="A63" s="41">
        <v>15</v>
      </c>
      <c r="B63" s="41" t="s">
        <v>20654</v>
      </c>
      <c r="C63" s="127" t="s">
        <v>20655</v>
      </c>
      <c r="D63" s="523"/>
      <c r="E63" s="72"/>
      <c r="F63" s="523"/>
      <c r="G63" s="72"/>
      <c r="I63" s="57"/>
      <c r="J63" s="53"/>
      <c r="K63" s="49"/>
      <c r="L63" s="50"/>
      <c r="M63" s="163"/>
      <c r="N63" s="45"/>
      <c r="O63" s="46"/>
      <c r="P63" s="512"/>
      <c r="Q63" s="57"/>
      <c r="R63" s="53"/>
      <c r="S63" s="49"/>
      <c r="T63" s="50"/>
      <c r="U63" s="115"/>
      <c r="V63" s="53"/>
      <c r="W63" s="49"/>
      <c r="X63" s="50"/>
      <c r="Y63" s="115"/>
      <c r="Z63" s="208">
        <f>+ROUND((ROUND((_15_同援日０．５＿１．５*(1+_15・B深夜)),0)*(1+_15・区３)),0)</f>
        <v>554</v>
      </c>
      <c r="AA63" s="48"/>
    </row>
    <row r="64" spans="1:27" ht="16.5" customHeight="1" x14ac:dyDescent="0.15">
      <c r="A64" s="41">
        <v>15</v>
      </c>
      <c r="B64" s="41" t="s">
        <v>20656</v>
      </c>
      <c r="C64" s="127" t="s">
        <v>20657</v>
      </c>
      <c r="D64" s="523"/>
      <c r="E64" s="72"/>
      <c r="F64" s="523"/>
      <c r="G64" s="72"/>
      <c r="I64" s="57"/>
      <c r="J64" s="43"/>
      <c r="K64" s="37"/>
      <c r="L64" s="38"/>
      <c r="M64" s="299" t="s">
        <v>17556</v>
      </c>
      <c r="N64" s="45" t="s">
        <v>398</v>
      </c>
      <c r="O64" s="46">
        <v>1</v>
      </c>
      <c r="P64" s="512"/>
      <c r="Q64" s="57"/>
      <c r="R64" s="35"/>
      <c r="U64" s="57"/>
      <c r="V64" s="35"/>
      <c r="Y64" s="57"/>
      <c r="Z64" s="208">
        <f>+ROUND((ROUND((ROUND((_15_同援日０．５＿１．５*_15・２人),0)*(1+_15・B深夜)),0)*(1+_15・区３)),0)</f>
        <v>554</v>
      </c>
      <c r="AA64" s="48"/>
    </row>
    <row r="65" spans="1:27" ht="16.5" customHeight="1" x14ac:dyDescent="0.15">
      <c r="A65" s="41">
        <v>15</v>
      </c>
      <c r="B65" s="41" t="s">
        <v>637</v>
      </c>
      <c r="C65" s="127" t="s">
        <v>20658</v>
      </c>
      <c r="D65" s="523"/>
      <c r="E65" s="72"/>
      <c r="F65" s="523"/>
      <c r="G65" s="72"/>
      <c r="I65" s="57"/>
      <c r="J65" s="114" t="s">
        <v>17558</v>
      </c>
      <c r="K65" s="49"/>
      <c r="L65" s="50"/>
      <c r="M65" s="163"/>
      <c r="N65" s="45"/>
      <c r="O65" s="46"/>
      <c r="P65" s="512"/>
      <c r="Q65" s="57"/>
      <c r="R65" s="35"/>
      <c r="U65" s="57"/>
      <c r="V65" s="72" t="s">
        <v>17570</v>
      </c>
      <c r="Y65" s="57"/>
      <c r="Z65" s="208">
        <f>+ROUND((ROUND((ROUND((_15_同援日０．５＿１．５*_15・基礎２),0)*(1+_15・B深夜)),0)*(1+_15・区３)),0)</f>
        <v>499</v>
      </c>
      <c r="AA65" s="48"/>
    </row>
    <row r="66" spans="1:27" ht="16.5" customHeight="1" x14ac:dyDescent="0.15">
      <c r="A66" s="41">
        <v>15</v>
      </c>
      <c r="B66" s="41" t="s">
        <v>639</v>
      </c>
      <c r="C66" s="127" t="s">
        <v>20659</v>
      </c>
      <c r="D66" s="523"/>
      <c r="E66" s="72"/>
      <c r="F66" s="523"/>
      <c r="G66" s="72"/>
      <c r="I66" s="57"/>
      <c r="J66" s="269" t="s">
        <v>17560</v>
      </c>
      <c r="K66" s="37" t="s">
        <v>398</v>
      </c>
      <c r="L66" s="38">
        <v>0.9</v>
      </c>
      <c r="M66" s="299" t="s">
        <v>17556</v>
      </c>
      <c r="N66" s="45" t="s">
        <v>398</v>
      </c>
      <c r="O66" s="46">
        <v>1</v>
      </c>
      <c r="P66" s="512"/>
      <c r="Q66" s="57"/>
      <c r="R66" s="43"/>
      <c r="S66" s="37"/>
      <c r="T66" s="38"/>
      <c r="U66" s="79"/>
      <c r="V66" s="72" t="s">
        <v>17572</v>
      </c>
      <c r="Y66" s="57"/>
      <c r="Z66" s="208">
        <f>+ROUND((ROUND((ROUND((ROUND((_15_同援日０．５＿１．５*_15・基礎２),0)*_15・２人),0)*(1+_15・B深夜)),0)*(1+_15・区３)),0)</f>
        <v>499</v>
      </c>
      <c r="AA66" s="48"/>
    </row>
    <row r="67" spans="1:27" ht="16.5" customHeight="1" x14ac:dyDescent="0.15">
      <c r="A67" s="41">
        <v>15</v>
      </c>
      <c r="B67" s="41" t="s">
        <v>641</v>
      </c>
      <c r="C67" s="127" t="s">
        <v>20660</v>
      </c>
      <c r="D67" s="523"/>
      <c r="E67" s="72"/>
      <c r="F67" s="523"/>
      <c r="G67" s="72"/>
      <c r="I67" s="57"/>
      <c r="J67" s="53"/>
      <c r="K67" s="49"/>
      <c r="L67" s="50"/>
      <c r="M67" s="163"/>
      <c r="N67" s="45"/>
      <c r="O67" s="46"/>
      <c r="P67" s="512"/>
      <c r="Q67" s="57"/>
      <c r="R67" s="114" t="s">
        <v>17562</v>
      </c>
      <c r="S67" s="49"/>
      <c r="T67" s="50"/>
      <c r="U67" s="115"/>
      <c r="V67" s="35"/>
      <c r="W67" s="12" t="s">
        <v>398</v>
      </c>
      <c r="X67" s="13">
        <v>0.2</v>
      </c>
      <c r="Y67" s="57" t="s">
        <v>3575</v>
      </c>
      <c r="Z67" s="208">
        <f>+ROUND((ROUND((ROUND((_15_同援日０．５＿１．５*(1+_15・B深夜)),0)*(1+_15・盲ろう)),0)*(1+_15・区３)),0)</f>
        <v>694</v>
      </c>
      <c r="AA67" s="48"/>
    </row>
    <row r="68" spans="1:27" ht="16.5" customHeight="1" x14ac:dyDescent="0.15">
      <c r="A68" s="41">
        <v>15</v>
      </c>
      <c r="B68" s="41" t="s">
        <v>643</v>
      </c>
      <c r="C68" s="127" t="s">
        <v>20661</v>
      </c>
      <c r="D68" s="523"/>
      <c r="E68" s="72"/>
      <c r="F68" s="523"/>
      <c r="G68" s="72"/>
      <c r="I68" s="57"/>
      <c r="J68" s="43"/>
      <c r="K68" s="37"/>
      <c r="L68" s="38"/>
      <c r="M68" s="299" t="s">
        <v>17556</v>
      </c>
      <c r="N68" s="45" t="s">
        <v>398</v>
      </c>
      <c r="O68" s="46">
        <v>1</v>
      </c>
      <c r="P68" s="512"/>
      <c r="Q68" s="57"/>
      <c r="R68" s="92" t="s">
        <v>17564</v>
      </c>
      <c r="U68" s="57"/>
      <c r="V68" s="35"/>
      <c r="Y68" s="57"/>
      <c r="Z68" s="208">
        <f>+ROUND((ROUND((ROUND((ROUND((_15_同援日０．５＿１．５*_15・２人),0)*(1+_15・B深夜)),0)*(1+_15・盲ろう)),0)*(1+_15・区３)),0)</f>
        <v>694</v>
      </c>
      <c r="AA68" s="48"/>
    </row>
    <row r="69" spans="1:27" ht="16.5" customHeight="1" x14ac:dyDescent="0.15">
      <c r="A69" s="41">
        <v>15</v>
      </c>
      <c r="B69" s="41" t="s">
        <v>20662</v>
      </c>
      <c r="C69" s="127" t="s">
        <v>20663</v>
      </c>
      <c r="D69" s="523"/>
      <c r="E69" s="72"/>
      <c r="F69" s="523"/>
      <c r="G69" s="72"/>
      <c r="I69" s="57"/>
      <c r="J69" s="114" t="s">
        <v>17558</v>
      </c>
      <c r="K69" s="49"/>
      <c r="L69" s="50"/>
      <c r="M69" s="163"/>
      <c r="N69" s="45"/>
      <c r="O69" s="46"/>
      <c r="P69" s="512"/>
      <c r="Q69" s="57"/>
      <c r="R69" s="35"/>
      <c r="S69" s="12" t="s">
        <v>398</v>
      </c>
      <c r="T69" s="13">
        <v>0.25</v>
      </c>
      <c r="U69" s="57" t="s">
        <v>3575</v>
      </c>
      <c r="V69" s="35"/>
      <c r="Y69" s="57"/>
      <c r="Z69" s="208">
        <f>+ROUND((ROUND((ROUND((ROUND((_15_同援日０．５＿１．５*_15・基礎２),0)*(1+_15・B深夜)),0)*(1+_15・盲ろう)),0)*(1+_15・区３)),0)</f>
        <v>624</v>
      </c>
      <c r="AA69" s="48"/>
    </row>
    <row r="70" spans="1:27" ht="16.5" customHeight="1" x14ac:dyDescent="0.15">
      <c r="A70" s="41">
        <v>15</v>
      </c>
      <c r="B70" s="41" t="s">
        <v>20664</v>
      </c>
      <c r="C70" s="127" t="s">
        <v>20665</v>
      </c>
      <c r="D70" s="523"/>
      <c r="E70" s="72"/>
      <c r="F70" s="523"/>
      <c r="G70" s="72"/>
      <c r="I70" s="57"/>
      <c r="J70" s="269" t="s">
        <v>17560</v>
      </c>
      <c r="K70" s="37" t="s">
        <v>398</v>
      </c>
      <c r="L70" s="38">
        <v>0.9</v>
      </c>
      <c r="M70" s="299" t="s">
        <v>17556</v>
      </c>
      <c r="N70" s="45" t="s">
        <v>398</v>
      </c>
      <c r="O70" s="46">
        <v>1</v>
      </c>
      <c r="P70" s="512"/>
      <c r="Q70" s="57"/>
      <c r="R70" s="43"/>
      <c r="S70" s="37"/>
      <c r="T70" s="38"/>
      <c r="U70" s="79"/>
      <c r="V70" s="43"/>
      <c r="W70" s="37"/>
      <c r="X70" s="38"/>
      <c r="Y70" s="79"/>
      <c r="Z70" s="208">
        <f>+ROUND((ROUND((ROUND((ROUND((ROUND((_15_同援日０．５＿１．５*_15・基礎２),0)*_15・２人),0)*(1+_15・B深夜)),0)*(1+_15・盲ろう)),0)*(1+_15・区３)),0)</f>
        <v>624</v>
      </c>
      <c r="AA70" s="48"/>
    </row>
    <row r="71" spans="1:27" ht="16.5" customHeight="1" x14ac:dyDescent="0.15">
      <c r="A71" s="41">
        <v>15</v>
      </c>
      <c r="B71" s="41" t="s">
        <v>20666</v>
      </c>
      <c r="C71" s="127" t="s">
        <v>20667</v>
      </c>
      <c r="D71" s="523"/>
      <c r="E71" s="72"/>
      <c r="F71" s="523"/>
      <c r="G71" s="72"/>
      <c r="I71" s="57"/>
      <c r="J71" s="53"/>
      <c r="K71" s="49"/>
      <c r="L71" s="50"/>
      <c r="M71" s="163"/>
      <c r="N71" s="45"/>
      <c r="O71" s="46"/>
      <c r="P71" s="512"/>
      <c r="Q71" s="57"/>
      <c r="R71" s="53"/>
      <c r="S71" s="49"/>
      <c r="T71" s="50"/>
      <c r="U71" s="115"/>
      <c r="V71" s="53"/>
      <c r="W71" s="49"/>
      <c r="X71" s="50"/>
      <c r="Y71" s="115"/>
      <c r="Z71" s="208">
        <f>+ROUND((ROUND((_15_同援日０．５＿１．５*(1+_15・B深夜)),0)*(1+_15・区４)),0)</f>
        <v>647</v>
      </c>
      <c r="AA71" s="48"/>
    </row>
    <row r="72" spans="1:27" ht="16.5" customHeight="1" x14ac:dyDescent="0.15">
      <c r="A72" s="41">
        <v>15</v>
      </c>
      <c r="B72" s="41" t="s">
        <v>20668</v>
      </c>
      <c r="C72" s="127" t="s">
        <v>20669</v>
      </c>
      <c r="D72" s="523"/>
      <c r="E72" s="72"/>
      <c r="F72" s="523"/>
      <c r="G72" s="72"/>
      <c r="I72" s="57"/>
      <c r="J72" s="43"/>
      <c r="K72" s="37"/>
      <c r="L72" s="38"/>
      <c r="M72" s="299" t="s">
        <v>17556</v>
      </c>
      <c r="N72" s="45" t="s">
        <v>398</v>
      </c>
      <c r="O72" s="46">
        <v>1</v>
      </c>
      <c r="P72" s="512"/>
      <c r="Q72" s="57"/>
      <c r="R72" s="35"/>
      <c r="U72" s="57"/>
      <c r="V72" s="35"/>
      <c r="Y72" s="57"/>
      <c r="Z72" s="208">
        <f>+ROUND((ROUND((ROUND((_15_同援日０．５＿１．５*_15・２人),0)*(1+_15・B深夜)),0)*(1+_15・区４)),0)</f>
        <v>647</v>
      </c>
      <c r="AA72" s="48"/>
    </row>
    <row r="73" spans="1:27" ht="16.5" customHeight="1" x14ac:dyDescent="0.15">
      <c r="A73" s="41">
        <v>15</v>
      </c>
      <c r="B73" s="41" t="s">
        <v>20670</v>
      </c>
      <c r="C73" s="127" t="s">
        <v>20671</v>
      </c>
      <c r="D73" s="523"/>
      <c r="E73" s="72"/>
      <c r="F73" s="523"/>
      <c r="G73" s="72"/>
      <c r="I73" s="57"/>
      <c r="J73" s="114" t="s">
        <v>17558</v>
      </c>
      <c r="K73" s="49"/>
      <c r="L73" s="50"/>
      <c r="M73" s="163"/>
      <c r="N73" s="45"/>
      <c r="O73" s="46"/>
      <c r="P73" s="512"/>
      <c r="Q73" s="57"/>
      <c r="R73" s="35"/>
      <c r="U73" s="57"/>
      <c r="V73" s="72" t="s">
        <v>17580</v>
      </c>
      <c r="Y73" s="57"/>
      <c r="Z73" s="208">
        <f>+ROUND((ROUND((ROUND((_15_同援日０．５＿１．５*_15・基礎２),0)*(1+_15・B深夜)),0)*(1+_15・区４)),0)</f>
        <v>582</v>
      </c>
      <c r="AA73" s="48"/>
    </row>
    <row r="74" spans="1:27" ht="16.5" customHeight="1" x14ac:dyDescent="0.15">
      <c r="A74" s="41">
        <v>15</v>
      </c>
      <c r="B74" s="41" t="s">
        <v>20672</v>
      </c>
      <c r="C74" s="127" t="s">
        <v>20673</v>
      </c>
      <c r="D74" s="523"/>
      <c r="E74" s="72"/>
      <c r="F74" s="523"/>
      <c r="G74" s="72"/>
      <c r="I74" s="57"/>
      <c r="J74" s="269" t="s">
        <v>17560</v>
      </c>
      <c r="K74" s="37" t="s">
        <v>398</v>
      </c>
      <c r="L74" s="38">
        <v>0.9</v>
      </c>
      <c r="M74" s="299" t="s">
        <v>17556</v>
      </c>
      <c r="N74" s="45" t="s">
        <v>398</v>
      </c>
      <c r="O74" s="46">
        <v>1</v>
      </c>
      <c r="P74" s="512"/>
      <c r="Q74" s="57"/>
      <c r="R74" s="43"/>
      <c r="S74" s="37"/>
      <c r="T74" s="38"/>
      <c r="U74" s="79"/>
      <c r="V74" s="72" t="s">
        <v>17572</v>
      </c>
      <c r="Y74" s="57"/>
      <c r="Z74" s="208">
        <f>+ROUND((ROUND((ROUND((ROUND((_15_同援日０．５＿１．５*_15・基礎２),0)*_15・２人),0)*(1+_15・B深夜)),0)*(1+_15・区４)),0)</f>
        <v>582</v>
      </c>
      <c r="AA74" s="48"/>
    </row>
    <row r="75" spans="1:27" ht="16.5" customHeight="1" x14ac:dyDescent="0.15">
      <c r="A75" s="41">
        <v>15</v>
      </c>
      <c r="B75" s="41" t="s">
        <v>20674</v>
      </c>
      <c r="C75" s="127" t="s">
        <v>20675</v>
      </c>
      <c r="D75" s="523"/>
      <c r="E75" s="72"/>
      <c r="F75" s="523"/>
      <c r="G75" s="72"/>
      <c r="I75" s="57"/>
      <c r="J75" s="53"/>
      <c r="K75" s="49"/>
      <c r="L75" s="50"/>
      <c r="M75" s="163"/>
      <c r="N75" s="45"/>
      <c r="O75" s="46"/>
      <c r="P75" s="512"/>
      <c r="Q75" s="57"/>
      <c r="R75" s="114" t="s">
        <v>17562</v>
      </c>
      <c r="S75" s="49"/>
      <c r="T75" s="50"/>
      <c r="U75" s="115"/>
      <c r="V75" s="35"/>
      <c r="W75" s="12" t="s">
        <v>398</v>
      </c>
      <c r="X75" s="13">
        <v>0.4</v>
      </c>
      <c r="Y75" s="57" t="s">
        <v>3575</v>
      </c>
      <c r="Z75" s="208">
        <f>+ROUND((ROUND((ROUND((_15_同援日０．５＿１．５*(1+_15・B深夜)),0)*(1+_15・盲ろう)),0)*(1+_15・区４)),0)</f>
        <v>809</v>
      </c>
      <c r="AA75" s="48"/>
    </row>
    <row r="76" spans="1:27" ht="16.5" customHeight="1" x14ac:dyDescent="0.15">
      <c r="A76" s="41">
        <v>15</v>
      </c>
      <c r="B76" s="41" t="s">
        <v>20676</v>
      </c>
      <c r="C76" s="127" t="s">
        <v>20677</v>
      </c>
      <c r="D76" s="523"/>
      <c r="E76" s="72"/>
      <c r="F76" s="523"/>
      <c r="G76" s="72"/>
      <c r="I76" s="57"/>
      <c r="J76" s="43"/>
      <c r="K76" s="37"/>
      <c r="L76" s="38"/>
      <c r="M76" s="299" t="s">
        <v>17556</v>
      </c>
      <c r="N76" s="45" t="s">
        <v>398</v>
      </c>
      <c r="O76" s="46">
        <v>1</v>
      </c>
      <c r="P76" s="512"/>
      <c r="Q76" s="57"/>
      <c r="R76" s="92" t="s">
        <v>17564</v>
      </c>
      <c r="U76" s="57"/>
      <c r="V76" s="35"/>
      <c r="Y76" s="57"/>
      <c r="Z76" s="208">
        <f>+ROUND((ROUND((ROUND((ROUND((_15_同援日０．５＿１．５*_15・２人),0)*(1+_15・B深夜)),0)*(1+_15・盲ろう)),0)*(1+_15・区４)),0)</f>
        <v>809</v>
      </c>
      <c r="AA76" s="48"/>
    </row>
    <row r="77" spans="1:27" ht="16.5" customHeight="1" x14ac:dyDescent="0.15">
      <c r="A77" s="41">
        <v>15</v>
      </c>
      <c r="B77" s="41" t="s">
        <v>20678</v>
      </c>
      <c r="C77" s="127" t="s">
        <v>20679</v>
      </c>
      <c r="D77" s="523"/>
      <c r="E77" s="72"/>
      <c r="F77" s="523"/>
      <c r="G77" s="72"/>
      <c r="I77" s="57"/>
      <c r="J77" s="114" t="s">
        <v>17558</v>
      </c>
      <c r="K77" s="49"/>
      <c r="L77" s="50"/>
      <c r="M77" s="163"/>
      <c r="N77" s="45"/>
      <c r="O77" s="46"/>
      <c r="P77" s="512"/>
      <c r="Q77" s="57"/>
      <c r="R77" s="35"/>
      <c r="S77" s="12" t="s">
        <v>398</v>
      </c>
      <c r="T77" s="13">
        <v>0.25</v>
      </c>
      <c r="U77" s="57" t="s">
        <v>3575</v>
      </c>
      <c r="V77" s="35"/>
      <c r="Y77" s="57"/>
      <c r="Z77" s="208">
        <f>+ROUND((ROUND((ROUND((ROUND((_15_同援日０．５＿１．５*_15・基礎２),0)*(1+_15・B深夜)),0)*(1+_15・盲ろう)),0)*(1+_15・区４)),0)</f>
        <v>728</v>
      </c>
      <c r="AA77" s="48"/>
    </row>
    <row r="78" spans="1:27" ht="16.5" customHeight="1" x14ac:dyDescent="0.15">
      <c r="A78" s="41">
        <v>15</v>
      </c>
      <c r="B78" s="41" t="s">
        <v>20680</v>
      </c>
      <c r="C78" s="127" t="s">
        <v>20681</v>
      </c>
      <c r="D78" s="523"/>
      <c r="E78" s="72"/>
      <c r="F78" s="523"/>
      <c r="G78" s="122"/>
      <c r="H78" s="37"/>
      <c r="I78" s="79"/>
      <c r="J78" s="269" t="s">
        <v>17560</v>
      </c>
      <c r="K78" s="37" t="s">
        <v>398</v>
      </c>
      <c r="L78" s="38">
        <v>0.9</v>
      </c>
      <c r="M78" s="299" t="s">
        <v>17556</v>
      </c>
      <c r="N78" s="45" t="s">
        <v>398</v>
      </c>
      <c r="O78" s="46">
        <v>1</v>
      </c>
      <c r="P78" s="512"/>
      <c r="Q78" s="57"/>
      <c r="R78" s="43"/>
      <c r="S78" s="37"/>
      <c r="T78" s="38"/>
      <c r="U78" s="79"/>
      <c r="V78" s="43"/>
      <c r="W78" s="37"/>
      <c r="X78" s="38"/>
      <c r="Y78" s="79"/>
      <c r="Z78" s="208">
        <f>+ROUND((ROUND((ROUND((ROUND((ROUND((_15_同援日０．５＿１．５*_15・基礎２),0)*_15・２人),0)*(1+_15・B深夜)),0)*(1+_15・盲ろう)),0)*(1+_15・区４)),0)</f>
        <v>728</v>
      </c>
      <c r="AA78" s="48"/>
    </row>
    <row r="79" spans="1:27" ht="16.5" customHeight="1" x14ac:dyDescent="0.15">
      <c r="A79" s="41">
        <v>15</v>
      </c>
      <c r="B79" s="41" t="s">
        <v>20682</v>
      </c>
      <c r="C79" s="127" t="s">
        <v>20683</v>
      </c>
      <c r="D79" s="523"/>
      <c r="E79" s="72"/>
      <c r="F79" s="523"/>
      <c r="G79" s="114" t="s">
        <v>20032</v>
      </c>
      <c r="H79" s="49"/>
      <c r="I79" s="115"/>
      <c r="J79" s="53"/>
      <c r="K79" s="49"/>
      <c r="L79" s="50"/>
      <c r="M79" s="163"/>
      <c r="N79" s="45"/>
      <c r="O79" s="46"/>
      <c r="P79" s="512"/>
      <c r="Q79" s="57"/>
      <c r="R79" s="53"/>
      <c r="S79" s="49"/>
      <c r="T79" s="50"/>
      <c r="U79" s="115"/>
      <c r="V79" s="53"/>
      <c r="W79" s="49"/>
      <c r="X79" s="50"/>
      <c r="Y79" s="115"/>
      <c r="Z79" s="208">
        <f>+ROUND((_15_同援日０．５＿２．０*(1+_15・B深夜)),0)</f>
        <v>560</v>
      </c>
      <c r="AA79" s="48"/>
    </row>
    <row r="80" spans="1:27" ht="16.5" customHeight="1" x14ac:dyDescent="0.15">
      <c r="A80" s="41">
        <v>15</v>
      </c>
      <c r="B80" s="41" t="s">
        <v>20684</v>
      </c>
      <c r="C80" s="127" t="s">
        <v>20685</v>
      </c>
      <c r="D80" s="523"/>
      <c r="E80" s="72"/>
      <c r="F80" s="523"/>
      <c r="G80" s="72" t="s">
        <v>17643</v>
      </c>
      <c r="I80" s="57"/>
      <c r="J80" s="43"/>
      <c r="K80" s="37"/>
      <c r="L80" s="38"/>
      <c r="M80" s="299" t="s">
        <v>17556</v>
      </c>
      <c r="N80" s="45" t="s">
        <v>398</v>
      </c>
      <c r="O80" s="46">
        <v>1</v>
      </c>
      <c r="P80" s="512"/>
      <c r="Q80" s="57"/>
      <c r="R80" s="35"/>
      <c r="U80" s="57"/>
      <c r="V80" s="35"/>
      <c r="Y80" s="57"/>
      <c r="Z80" s="208">
        <f>+ROUND((ROUND((_15_同援日０．５＿２．０*_15・２人),0)*(1+_15・B深夜)),0)</f>
        <v>560</v>
      </c>
      <c r="AA80" s="48"/>
    </row>
    <row r="81" spans="1:27" ht="16.5" customHeight="1" x14ac:dyDescent="0.15">
      <c r="A81" s="41">
        <v>15</v>
      </c>
      <c r="B81" s="41" t="s">
        <v>20686</v>
      </c>
      <c r="C81" s="127" t="s">
        <v>20687</v>
      </c>
      <c r="D81" s="523"/>
      <c r="E81" s="72"/>
      <c r="F81" s="523"/>
      <c r="G81" s="72" t="s">
        <v>17645</v>
      </c>
      <c r="I81" s="57"/>
      <c r="J81" s="114" t="s">
        <v>17558</v>
      </c>
      <c r="K81" s="49"/>
      <c r="L81" s="50"/>
      <c r="M81" s="163"/>
      <c r="N81" s="45"/>
      <c r="O81" s="46"/>
      <c r="P81" s="512"/>
      <c r="Q81" s="57"/>
      <c r="R81" s="35"/>
      <c r="U81" s="57"/>
      <c r="V81" s="35"/>
      <c r="Y81" s="57"/>
      <c r="Z81" s="208">
        <f>+ROUND((ROUND((_15_同援日０．５＿２．０*_15・基礎２),0)*(1+_15・B深夜)),0)</f>
        <v>504</v>
      </c>
      <c r="AA81" s="48"/>
    </row>
    <row r="82" spans="1:27" ht="16.5" customHeight="1" x14ac:dyDescent="0.15">
      <c r="A82" s="41">
        <v>15</v>
      </c>
      <c r="B82" s="41" t="s">
        <v>20688</v>
      </c>
      <c r="C82" s="127" t="s">
        <v>20689</v>
      </c>
      <c r="D82" s="523"/>
      <c r="E82" s="72"/>
      <c r="F82" s="523"/>
      <c r="G82" s="72"/>
      <c r="H82" s="168">
        <f>_15_同援日０．５＿２．０</f>
        <v>373</v>
      </c>
      <c r="I82" s="57" t="s">
        <v>392</v>
      </c>
      <c r="J82" s="269" t="s">
        <v>17560</v>
      </c>
      <c r="K82" s="37" t="s">
        <v>398</v>
      </c>
      <c r="L82" s="38">
        <v>0.9</v>
      </c>
      <c r="M82" s="299" t="s">
        <v>17556</v>
      </c>
      <c r="N82" s="45" t="s">
        <v>398</v>
      </c>
      <c r="O82" s="46">
        <v>1</v>
      </c>
      <c r="P82" s="512"/>
      <c r="Q82" s="57"/>
      <c r="R82" s="43"/>
      <c r="S82" s="37"/>
      <c r="T82" s="38"/>
      <c r="U82" s="79"/>
      <c r="V82" s="35"/>
      <c r="Y82" s="57"/>
      <c r="Z82" s="208">
        <f>+ROUND((ROUND((ROUND((_15_同援日０．５＿２．０*_15・基礎２),0)*_15・２人),0)*(1+_15・B深夜)),0)</f>
        <v>504</v>
      </c>
      <c r="AA82" s="48"/>
    </row>
    <row r="83" spans="1:27" ht="16.5" customHeight="1" x14ac:dyDescent="0.15">
      <c r="A83" s="41">
        <v>15</v>
      </c>
      <c r="B83" s="41" t="s">
        <v>20690</v>
      </c>
      <c r="C83" s="127" t="s">
        <v>20691</v>
      </c>
      <c r="D83" s="523"/>
      <c r="E83" s="72"/>
      <c r="F83" s="523"/>
      <c r="G83" s="72"/>
      <c r="I83" s="57"/>
      <c r="J83" s="53"/>
      <c r="K83" s="49"/>
      <c r="L83" s="50"/>
      <c r="M83" s="163"/>
      <c r="N83" s="45"/>
      <c r="O83" s="46"/>
      <c r="P83" s="512"/>
      <c r="Q83" s="57"/>
      <c r="R83" s="114" t="s">
        <v>17562</v>
      </c>
      <c r="S83" s="49"/>
      <c r="T83" s="50"/>
      <c r="U83" s="115"/>
      <c r="V83" s="35"/>
      <c r="Y83" s="57"/>
      <c r="Z83" s="208">
        <f>+ROUND((ROUND((_15_同援日０．５＿２．０*(1+_15・B深夜)),0)*(1+_15・盲ろう)),0)</f>
        <v>700</v>
      </c>
      <c r="AA83" s="48"/>
    </row>
    <row r="84" spans="1:27" ht="16.5" customHeight="1" x14ac:dyDescent="0.15">
      <c r="A84" s="41">
        <v>15</v>
      </c>
      <c r="B84" s="41" t="s">
        <v>20692</v>
      </c>
      <c r="C84" s="127" t="s">
        <v>20693</v>
      </c>
      <c r="D84" s="523"/>
      <c r="E84" s="72"/>
      <c r="F84" s="523"/>
      <c r="G84" s="72"/>
      <c r="I84" s="57"/>
      <c r="J84" s="43"/>
      <c r="K84" s="37"/>
      <c r="L84" s="38"/>
      <c r="M84" s="299" t="s">
        <v>17556</v>
      </c>
      <c r="N84" s="45" t="s">
        <v>398</v>
      </c>
      <c r="O84" s="46">
        <v>1</v>
      </c>
      <c r="P84" s="512"/>
      <c r="Q84" s="57"/>
      <c r="R84" s="92" t="s">
        <v>17564</v>
      </c>
      <c r="U84" s="57"/>
      <c r="V84" s="35"/>
      <c r="Y84" s="57"/>
      <c r="Z84" s="208">
        <f>+ROUND((ROUND((ROUND((_15_同援日０．５＿２．０*_15・２人),0)*(1+_15・B深夜)),0)*(1+_15・盲ろう)),0)</f>
        <v>700</v>
      </c>
      <c r="AA84" s="48"/>
    </row>
    <row r="85" spans="1:27" ht="16.5" customHeight="1" x14ac:dyDescent="0.15">
      <c r="A85" s="41">
        <v>15</v>
      </c>
      <c r="B85" s="41" t="s">
        <v>650</v>
      </c>
      <c r="C85" s="127" t="s">
        <v>20694</v>
      </c>
      <c r="D85" s="523"/>
      <c r="E85" s="72"/>
      <c r="F85" s="523"/>
      <c r="G85" s="72"/>
      <c r="I85" s="57"/>
      <c r="J85" s="114" t="s">
        <v>17558</v>
      </c>
      <c r="K85" s="49"/>
      <c r="L85" s="50"/>
      <c r="M85" s="163"/>
      <c r="N85" s="45"/>
      <c r="O85" s="46"/>
      <c r="P85" s="512"/>
      <c r="Q85" s="57"/>
      <c r="R85" s="35"/>
      <c r="S85" s="12" t="s">
        <v>398</v>
      </c>
      <c r="T85" s="13">
        <v>0.25</v>
      </c>
      <c r="U85" s="57" t="s">
        <v>3575</v>
      </c>
      <c r="V85" s="35"/>
      <c r="Y85" s="57"/>
      <c r="Z85" s="208">
        <f>+ROUND((ROUND((ROUND((_15_同援日０．５＿２．０*_15・基礎２),0)*(1+_15・B深夜)),0)*(1+_15・盲ろう)),0)</f>
        <v>630</v>
      </c>
      <c r="AA85" s="48"/>
    </row>
    <row r="86" spans="1:27" ht="16.5" customHeight="1" x14ac:dyDescent="0.15">
      <c r="A86" s="41">
        <v>15</v>
      </c>
      <c r="B86" s="41" t="s">
        <v>652</v>
      </c>
      <c r="C86" s="127" t="s">
        <v>20695</v>
      </c>
      <c r="D86" s="523"/>
      <c r="E86" s="72"/>
      <c r="F86" s="523"/>
      <c r="G86" s="72"/>
      <c r="I86" s="57"/>
      <c r="J86" s="269" t="s">
        <v>17560</v>
      </c>
      <c r="K86" s="37" t="s">
        <v>398</v>
      </c>
      <c r="L86" s="38">
        <v>0.9</v>
      </c>
      <c r="M86" s="299" t="s">
        <v>17556</v>
      </c>
      <c r="N86" s="45" t="s">
        <v>398</v>
      </c>
      <c r="O86" s="46">
        <v>1</v>
      </c>
      <c r="P86" s="512"/>
      <c r="Q86" s="57"/>
      <c r="R86" s="43"/>
      <c r="S86" s="37"/>
      <c r="T86" s="38"/>
      <c r="U86" s="79"/>
      <c r="V86" s="43"/>
      <c r="W86" s="37"/>
      <c r="X86" s="38"/>
      <c r="Y86" s="79"/>
      <c r="Z86" s="208">
        <f>+ROUND((ROUND((ROUND((ROUND((_15_同援日０．５＿２．０*_15・基礎２),0)*_15・２人),0)*(1+_15・B深夜)),0)*(1+_15・盲ろう)),0)</f>
        <v>630</v>
      </c>
      <c r="AA86" s="48"/>
    </row>
    <row r="87" spans="1:27" ht="16.5" customHeight="1" x14ac:dyDescent="0.15">
      <c r="A87" s="41">
        <v>15</v>
      </c>
      <c r="B87" s="41" t="s">
        <v>654</v>
      </c>
      <c r="C87" s="127" t="s">
        <v>20696</v>
      </c>
      <c r="D87" s="523"/>
      <c r="E87" s="72"/>
      <c r="F87" s="523"/>
      <c r="G87" s="72"/>
      <c r="I87" s="57"/>
      <c r="J87" s="53"/>
      <c r="K87" s="49"/>
      <c r="L87" s="50"/>
      <c r="M87" s="163"/>
      <c r="N87" s="45"/>
      <c r="O87" s="46"/>
      <c r="P87" s="512"/>
      <c r="Q87" s="57"/>
      <c r="R87" s="53"/>
      <c r="S87" s="49"/>
      <c r="T87" s="50"/>
      <c r="U87" s="115"/>
      <c r="V87" s="53"/>
      <c r="W87" s="49"/>
      <c r="X87" s="50"/>
      <c r="Y87" s="115"/>
      <c r="Z87" s="208">
        <f>+ROUND((ROUND((_15_同援日０．５＿２．０*(1+_15・B深夜)),0)*(1+_15・区３)),0)</f>
        <v>672</v>
      </c>
      <c r="AA87" s="48"/>
    </row>
    <row r="88" spans="1:27" ht="16.5" customHeight="1" x14ac:dyDescent="0.15">
      <c r="A88" s="41">
        <v>15</v>
      </c>
      <c r="B88" s="41" t="s">
        <v>656</v>
      </c>
      <c r="C88" s="127" t="s">
        <v>20697</v>
      </c>
      <c r="D88" s="523"/>
      <c r="E88" s="72"/>
      <c r="F88" s="523"/>
      <c r="G88" s="72"/>
      <c r="I88" s="57"/>
      <c r="J88" s="43"/>
      <c r="K88" s="37"/>
      <c r="L88" s="38"/>
      <c r="M88" s="299" t="s">
        <v>17556</v>
      </c>
      <c r="N88" s="45" t="s">
        <v>398</v>
      </c>
      <c r="O88" s="46">
        <v>1</v>
      </c>
      <c r="P88" s="512"/>
      <c r="Q88" s="57"/>
      <c r="R88" s="35"/>
      <c r="U88" s="57"/>
      <c r="V88" s="35"/>
      <c r="Y88" s="57"/>
      <c r="Z88" s="208">
        <f>+ROUND((ROUND((ROUND((_15_同援日０．５＿２．０*_15・２人),0)*(1+_15・B深夜)),0)*(1+_15・区３)),0)</f>
        <v>672</v>
      </c>
      <c r="AA88" s="48"/>
    </row>
    <row r="89" spans="1:27" ht="16.5" customHeight="1" x14ac:dyDescent="0.15">
      <c r="A89" s="41">
        <v>15</v>
      </c>
      <c r="B89" s="41" t="s">
        <v>20698</v>
      </c>
      <c r="C89" s="127" t="s">
        <v>20699</v>
      </c>
      <c r="D89" s="523"/>
      <c r="E89" s="72"/>
      <c r="F89" s="523"/>
      <c r="G89" s="72"/>
      <c r="I89" s="57"/>
      <c r="J89" s="114" t="s">
        <v>17558</v>
      </c>
      <c r="K89" s="49"/>
      <c r="L89" s="50"/>
      <c r="M89" s="163"/>
      <c r="N89" s="45"/>
      <c r="O89" s="46"/>
      <c r="P89" s="512"/>
      <c r="Q89" s="57"/>
      <c r="R89" s="35"/>
      <c r="U89" s="57"/>
      <c r="V89" s="72" t="s">
        <v>17570</v>
      </c>
      <c r="Y89" s="57"/>
      <c r="Z89" s="208">
        <f>+ROUND((ROUND((ROUND((_15_同援日０．５＿２．０*_15・基礎２),0)*(1+_15・B深夜)),0)*(1+_15・区３)),0)</f>
        <v>605</v>
      </c>
      <c r="AA89" s="48"/>
    </row>
    <row r="90" spans="1:27" ht="16.5" customHeight="1" x14ac:dyDescent="0.15">
      <c r="A90" s="41">
        <v>15</v>
      </c>
      <c r="B90" s="41" t="s">
        <v>20700</v>
      </c>
      <c r="C90" s="127" t="s">
        <v>20701</v>
      </c>
      <c r="D90" s="523"/>
      <c r="E90" s="72"/>
      <c r="F90" s="523"/>
      <c r="G90" s="72"/>
      <c r="I90" s="57"/>
      <c r="J90" s="269" t="s">
        <v>17560</v>
      </c>
      <c r="K90" s="37" t="s">
        <v>398</v>
      </c>
      <c r="L90" s="38">
        <v>0.9</v>
      </c>
      <c r="M90" s="299" t="s">
        <v>17556</v>
      </c>
      <c r="N90" s="45" t="s">
        <v>398</v>
      </c>
      <c r="O90" s="46">
        <v>1</v>
      </c>
      <c r="P90" s="512"/>
      <c r="Q90" s="57"/>
      <c r="R90" s="43"/>
      <c r="S90" s="37"/>
      <c r="T90" s="38"/>
      <c r="U90" s="79"/>
      <c r="V90" s="72" t="s">
        <v>17572</v>
      </c>
      <c r="Y90" s="57"/>
      <c r="Z90" s="208">
        <f>+ROUND((ROUND((ROUND((ROUND((_15_同援日０．５＿２．０*_15・基礎２),0)*_15・２人),0)*(1+_15・B深夜)),0)*(1+_15・区３)),0)</f>
        <v>605</v>
      </c>
      <c r="AA90" s="48"/>
    </row>
    <row r="91" spans="1:27" ht="16.5" customHeight="1" x14ac:dyDescent="0.15">
      <c r="A91" s="41">
        <v>15</v>
      </c>
      <c r="B91" s="41" t="s">
        <v>20702</v>
      </c>
      <c r="C91" s="127" t="s">
        <v>20703</v>
      </c>
      <c r="D91" s="523"/>
      <c r="E91" s="72"/>
      <c r="F91" s="523"/>
      <c r="G91" s="72"/>
      <c r="I91" s="57"/>
      <c r="J91" s="53"/>
      <c r="K91" s="49"/>
      <c r="L91" s="50"/>
      <c r="M91" s="163"/>
      <c r="N91" s="45"/>
      <c r="O91" s="46"/>
      <c r="P91" s="512"/>
      <c r="Q91" s="57"/>
      <c r="R91" s="114" t="s">
        <v>17562</v>
      </c>
      <c r="S91" s="49"/>
      <c r="T91" s="50"/>
      <c r="U91" s="115"/>
      <c r="V91" s="35"/>
      <c r="W91" s="12" t="s">
        <v>398</v>
      </c>
      <c r="X91" s="13">
        <v>0.2</v>
      </c>
      <c r="Y91" s="57" t="s">
        <v>3575</v>
      </c>
      <c r="Z91" s="208">
        <f>+ROUND((ROUND((ROUND((_15_同援日０．５＿２．０*(1+_15・B深夜)),0)*(1+_15・盲ろう)),0)*(1+_15・区３)),0)</f>
        <v>840</v>
      </c>
      <c r="AA91" s="48"/>
    </row>
    <row r="92" spans="1:27" ht="16.5" customHeight="1" x14ac:dyDescent="0.15">
      <c r="A92" s="41">
        <v>15</v>
      </c>
      <c r="B92" s="41" t="s">
        <v>20704</v>
      </c>
      <c r="C92" s="127" t="s">
        <v>20705</v>
      </c>
      <c r="D92" s="523"/>
      <c r="E92" s="72"/>
      <c r="F92" s="523"/>
      <c r="G92" s="72"/>
      <c r="I92" s="57"/>
      <c r="J92" s="43"/>
      <c r="K92" s="37"/>
      <c r="L92" s="38"/>
      <c r="M92" s="299" t="s">
        <v>17556</v>
      </c>
      <c r="N92" s="45" t="s">
        <v>398</v>
      </c>
      <c r="O92" s="46">
        <v>1</v>
      </c>
      <c r="P92" s="512"/>
      <c r="Q92" s="57"/>
      <c r="R92" s="92" t="s">
        <v>17564</v>
      </c>
      <c r="U92" s="57"/>
      <c r="V92" s="35"/>
      <c r="Y92" s="57"/>
      <c r="Z92" s="208">
        <f>+ROUND((ROUND((ROUND((ROUND((_15_同援日０．５＿２．０*_15・２人),0)*(1+_15・B深夜)),0)*(1+_15・盲ろう)),0)*(1+_15・区３)),0)</f>
        <v>840</v>
      </c>
      <c r="AA92" s="48"/>
    </row>
    <row r="93" spans="1:27" ht="16.5" customHeight="1" x14ac:dyDescent="0.15">
      <c r="A93" s="41">
        <v>15</v>
      </c>
      <c r="B93" s="41" t="s">
        <v>20706</v>
      </c>
      <c r="C93" s="127" t="s">
        <v>20707</v>
      </c>
      <c r="D93" s="523"/>
      <c r="E93" s="72"/>
      <c r="F93" s="523"/>
      <c r="G93" s="72"/>
      <c r="I93" s="57"/>
      <c r="J93" s="114" t="s">
        <v>17558</v>
      </c>
      <c r="K93" s="49"/>
      <c r="L93" s="50"/>
      <c r="M93" s="163"/>
      <c r="N93" s="45"/>
      <c r="O93" s="46"/>
      <c r="P93" s="512"/>
      <c r="Q93" s="57"/>
      <c r="R93" s="35"/>
      <c r="S93" s="12" t="s">
        <v>398</v>
      </c>
      <c r="T93" s="13">
        <v>0.25</v>
      </c>
      <c r="U93" s="57" t="s">
        <v>3575</v>
      </c>
      <c r="V93" s="35"/>
      <c r="Y93" s="57"/>
      <c r="Z93" s="208">
        <f>+ROUND((ROUND((ROUND((ROUND((_15_同援日０．５＿２．０*_15・基礎２),0)*(1+_15・B深夜)),0)*(1+_15・盲ろう)),0)*(1+_15・区３)),0)</f>
        <v>756</v>
      </c>
      <c r="AA93" s="48"/>
    </row>
    <row r="94" spans="1:27" ht="16.5" customHeight="1" x14ac:dyDescent="0.15">
      <c r="A94" s="41">
        <v>15</v>
      </c>
      <c r="B94" s="41" t="s">
        <v>20708</v>
      </c>
      <c r="C94" s="127" t="s">
        <v>20709</v>
      </c>
      <c r="D94" s="523"/>
      <c r="E94" s="72"/>
      <c r="F94" s="523"/>
      <c r="G94" s="72"/>
      <c r="I94" s="57"/>
      <c r="J94" s="269" t="s">
        <v>17560</v>
      </c>
      <c r="K94" s="37" t="s">
        <v>398</v>
      </c>
      <c r="L94" s="38">
        <v>0.9</v>
      </c>
      <c r="M94" s="299" t="s">
        <v>17556</v>
      </c>
      <c r="N94" s="45" t="s">
        <v>398</v>
      </c>
      <c r="O94" s="46">
        <v>1</v>
      </c>
      <c r="P94" s="512"/>
      <c r="Q94" s="57"/>
      <c r="R94" s="43"/>
      <c r="S94" s="37"/>
      <c r="T94" s="38"/>
      <c r="U94" s="79"/>
      <c r="V94" s="43"/>
      <c r="W94" s="37"/>
      <c r="X94" s="38"/>
      <c r="Y94" s="79"/>
      <c r="Z94" s="208">
        <f>+ROUND((ROUND((ROUND((ROUND((ROUND((_15_同援日０．５＿２．０*_15・基礎２),0)*_15・２人),0)*(1+_15・B深夜)),0)*(1+_15・盲ろう)),0)*(1+_15・区３)),0)</f>
        <v>756</v>
      </c>
      <c r="AA94" s="48"/>
    </row>
    <row r="95" spans="1:27" ht="16.5" customHeight="1" x14ac:dyDescent="0.15">
      <c r="A95" s="41">
        <v>15</v>
      </c>
      <c r="B95" s="41" t="s">
        <v>20710</v>
      </c>
      <c r="C95" s="127" t="s">
        <v>20711</v>
      </c>
      <c r="D95" s="523"/>
      <c r="E95" s="72"/>
      <c r="F95" s="523"/>
      <c r="G95" s="72"/>
      <c r="I95" s="57"/>
      <c r="J95" s="53"/>
      <c r="K95" s="49"/>
      <c r="L95" s="50"/>
      <c r="M95" s="163"/>
      <c r="N95" s="45"/>
      <c r="O95" s="46"/>
      <c r="P95" s="512"/>
      <c r="Q95" s="57"/>
      <c r="R95" s="53"/>
      <c r="S95" s="49"/>
      <c r="T95" s="50"/>
      <c r="U95" s="115"/>
      <c r="V95" s="53"/>
      <c r="W95" s="49"/>
      <c r="X95" s="50"/>
      <c r="Y95" s="115"/>
      <c r="Z95" s="208">
        <f>+ROUND((ROUND((_15_同援日０．５＿２．０*(1+_15・B深夜)),0)*(1+_15・区４)),0)</f>
        <v>784</v>
      </c>
      <c r="AA95" s="48"/>
    </row>
    <row r="96" spans="1:27" ht="16.5" customHeight="1" x14ac:dyDescent="0.15">
      <c r="A96" s="41">
        <v>15</v>
      </c>
      <c r="B96" s="41" t="s">
        <v>20712</v>
      </c>
      <c r="C96" s="127" t="s">
        <v>20713</v>
      </c>
      <c r="D96" s="523"/>
      <c r="E96" s="72"/>
      <c r="F96" s="523"/>
      <c r="G96" s="72"/>
      <c r="I96" s="57"/>
      <c r="J96" s="43"/>
      <c r="K96" s="37"/>
      <c r="L96" s="38"/>
      <c r="M96" s="299" t="s">
        <v>17556</v>
      </c>
      <c r="N96" s="45" t="s">
        <v>398</v>
      </c>
      <c r="O96" s="46">
        <v>1</v>
      </c>
      <c r="P96" s="512"/>
      <c r="Q96" s="57"/>
      <c r="R96" s="35"/>
      <c r="U96" s="57"/>
      <c r="V96" s="35"/>
      <c r="Y96" s="57"/>
      <c r="Z96" s="208">
        <f>+ROUND((ROUND((ROUND((_15_同援日０．５＿２．０*_15・２人),0)*(1+_15・B深夜)),0)*(1+_15・区４)),0)</f>
        <v>784</v>
      </c>
      <c r="AA96" s="48"/>
    </row>
    <row r="97" spans="1:27" ht="16.5" customHeight="1" x14ac:dyDescent="0.15">
      <c r="A97" s="41">
        <v>15</v>
      </c>
      <c r="B97" s="41" t="s">
        <v>20714</v>
      </c>
      <c r="C97" s="127" t="s">
        <v>20715</v>
      </c>
      <c r="D97" s="523"/>
      <c r="E97" s="72"/>
      <c r="F97" s="523"/>
      <c r="G97" s="72"/>
      <c r="I97" s="57"/>
      <c r="J97" s="114" t="s">
        <v>17558</v>
      </c>
      <c r="K97" s="49"/>
      <c r="L97" s="50"/>
      <c r="M97" s="163"/>
      <c r="N97" s="45"/>
      <c r="O97" s="46"/>
      <c r="P97" s="512"/>
      <c r="Q97" s="57"/>
      <c r="R97" s="35"/>
      <c r="U97" s="57"/>
      <c r="V97" s="72" t="s">
        <v>17580</v>
      </c>
      <c r="Y97" s="57"/>
      <c r="Z97" s="208">
        <f>+ROUND((ROUND((ROUND((_15_同援日０．５＿２．０*_15・基礎２),0)*(1+_15・B深夜)),0)*(1+_15・区４)),0)</f>
        <v>706</v>
      </c>
      <c r="AA97" s="48"/>
    </row>
    <row r="98" spans="1:27" ht="16.5" customHeight="1" x14ac:dyDescent="0.15">
      <c r="A98" s="41">
        <v>15</v>
      </c>
      <c r="B98" s="41" t="s">
        <v>20716</v>
      </c>
      <c r="C98" s="127" t="s">
        <v>20717</v>
      </c>
      <c r="D98" s="523"/>
      <c r="E98" s="72"/>
      <c r="F98" s="523"/>
      <c r="G98" s="72"/>
      <c r="I98" s="57"/>
      <c r="J98" s="269" t="s">
        <v>17560</v>
      </c>
      <c r="K98" s="37" t="s">
        <v>398</v>
      </c>
      <c r="L98" s="38">
        <v>0.9</v>
      </c>
      <c r="M98" s="299" t="s">
        <v>17556</v>
      </c>
      <c r="N98" s="45" t="s">
        <v>398</v>
      </c>
      <c r="O98" s="46">
        <v>1</v>
      </c>
      <c r="P98" s="512"/>
      <c r="Q98" s="57"/>
      <c r="R98" s="43"/>
      <c r="S98" s="37"/>
      <c r="T98" s="38"/>
      <c r="U98" s="79"/>
      <c r="V98" s="72" t="s">
        <v>17572</v>
      </c>
      <c r="Y98" s="57"/>
      <c r="Z98" s="208">
        <f>+ROUND((ROUND((ROUND((ROUND((_15_同援日０．５＿２．０*_15・基礎２),0)*_15・２人),0)*(1+_15・B深夜)),0)*(1+_15・区４)),0)</f>
        <v>706</v>
      </c>
      <c r="AA98" s="48"/>
    </row>
    <row r="99" spans="1:27" ht="16.5" customHeight="1" x14ac:dyDescent="0.15">
      <c r="A99" s="41">
        <v>15</v>
      </c>
      <c r="B99" s="41" t="s">
        <v>20718</v>
      </c>
      <c r="C99" s="127" t="s">
        <v>20719</v>
      </c>
      <c r="D99" s="523"/>
      <c r="E99" s="72"/>
      <c r="F99" s="523"/>
      <c r="G99" s="72"/>
      <c r="I99" s="57"/>
      <c r="J99" s="53"/>
      <c r="K99" s="49"/>
      <c r="L99" s="50"/>
      <c r="M99" s="163"/>
      <c r="N99" s="45"/>
      <c r="O99" s="46"/>
      <c r="P99" s="512"/>
      <c r="Q99" s="57"/>
      <c r="R99" s="114" t="s">
        <v>17562</v>
      </c>
      <c r="S99" s="49"/>
      <c r="T99" s="50"/>
      <c r="U99" s="115"/>
      <c r="V99" s="35"/>
      <c r="W99" s="12" t="s">
        <v>398</v>
      </c>
      <c r="X99" s="13">
        <v>0.4</v>
      </c>
      <c r="Y99" s="57" t="s">
        <v>3575</v>
      </c>
      <c r="Z99" s="208">
        <f>+ROUND((ROUND((ROUND((_15_同援日０．５＿２．０*(1+_15・B深夜)),0)*(1+_15・盲ろう)),0)*(1+_15・区４)),0)</f>
        <v>980</v>
      </c>
      <c r="AA99" s="48"/>
    </row>
    <row r="100" spans="1:27" ht="16.5" customHeight="1" x14ac:dyDescent="0.15">
      <c r="A100" s="41">
        <v>15</v>
      </c>
      <c r="B100" s="41" t="s">
        <v>20720</v>
      </c>
      <c r="C100" s="127" t="s">
        <v>20721</v>
      </c>
      <c r="D100" s="523"/>
      <c r="E100" s="72"/>
      <c r="F100" s="523"/>
      <c r="G100" s="72"/>
      <c r="I100" s="57"/>
      <c r="J100" s="43"/>
      <c r="K100" s="37"/>
      <c r="L100" s="38"/>
      <c r="M100" s="299" t="s">
        <v>17556</v>
      </c>
      <c r="N100" s="45" t="s">
        <v>398</v>
      </c>
      <c r="O100" s="46">
        <v>1</v>
      </c>
      <c r="P100" s="512"/>
      <c r="Q100" s="57"/>
      <c r="R100" s="92" t="s">
        <v>17564</v>
      </c>
      <c r="U100" s="57"/>
      <c r="V100" s="35"/>
      <c r="Y100" s="57"/>
      <c r="Z100" s="208">
        <f>+ROUND((ROUND((ROUND((ROUND((_15_同援日０．５＿２．０*_15・２人),0)*(1+_15・B深夜)),0)*(1+_15・盲ろう)),0)*(1+_15・区４)),0)</f>
        <v>980</v>
      </c>
      <c r="AA100" s="48"/>
    </row>
    <row r="101" spans="1:27" ht="16.5" customHeight="1" x14ac:dyDescent="0.15">
      <c r="A101" s="41">
        <v>15</v>
      </c>
      <c r="B101" s="41" t="s">
        <v>20722</v>
      </c>
      <c r="C101" s="127" t="s">
        <v>20723</v>
      </c>
      <c r="D101" s="523"/>
      <c r="E101" s="72"/>
      <c r="F101" s="523"/>
      <c r="G101" s="72"/>
      <c r="I101" s="57"/>
      <c r="J101" s="114" t="s">
        <v>17558</v>
      </c>
      <c r="K101" s="49"/>
      <c r="L101" s="50"/>
      <c r="M101" s="163"/>
      <c r="N101" s="45"/>
      <c r="O101" s="46"/>
      <c r="P101" s="512"/>
      <c r="Q101" s="57"/>
      <c r="R101" s="35"/>
      <c r="S101" s="12" t="s">
        <v>398</v>
      </c>
      <c r="T101" s="13">
        <v>0.25</v>
      </c>
      <c r="U101" s="57" t="s">
        <v>3575</v>
      </c>
      <c r="V101" s="35"/>
      <c r="Y101" s="57"/>
      <c r="Z101" s="208">
        <f>+ROUND((ROUND((ROUND((ROUND((_15_同援日０．５＿２．０*_15・基礎２),0)*(1+_15・B深夜)),0)*(1+_15・盲ろう)),0)*(1+_15・区４)),0)</f>
        <v>882</v>
      </c>
      <c r="AA101" s="48"/>
    </row>
    <row r="102" spans="1:27" ht="16.5" customHeight="1" x14ac:dyDescent="0.15">
      <c r="A102" s="41">
        <v>15</v>
      </c>
      <c r="B102" s="41" t="s">
        <v>20724</v>
      </c>
      <c r="C102" s="127" t="s">
        <v>20725</v>
      </c>
      <c r="D102" s="524"/>
      <c r="E102" s="122"/>
      <c r="F102" s="524"/>
      <c r="G102" s="122"/>
      <c r="H102" s="37"/>
      <c r="I102" s="79"/>
      <c r="J102" s="269" t="s">
        <v>17560</v>
      </c>
      <c r="K102" s="37" t="s">
        <v>398</v>
      </c>
      <c r="L102" s="38">
        <v>0.9</v>
      </c>
      <c r="M102" s="299" t="s">
        <v>17556</v>
      </c>
      <c r="N102" s="45" t="s">
        <v>398</v>
      </c>
      <c r="O102" s="46">
        <v>1</v>
      </c>
      <c r="P102" s="514"/>
      <c r="Q102" s="79"/>
      <c r="R102" s="43"/>
      <c r="S102" s="37"/>
      <c r="T102" s="38"/>
      <c r="U102" s="79"/>
      <c r="V102" s="43"/>
      <c r="W102" s="37"/>
      <c r="X102" s="38"/>
      <c r="Y102" s="79"/>
      <c r="Z102" s="208">
        <f>+ROUND((ROUND((ROUND((ROUND((ROUND((_15_同援日０．５＿２．０*_15・基礎２),0)*_15・２人),0)*(1+_15・B深夜)),0)*(1+_15・盲ろう)),0)*(1+_15・区４)),0)</f>
        <v>882</v>
      </c>
      <c r="AA102" s="63"/>
    </row>
    <row r="103" spans="1:27" ht="16.5" customHeight="1" x14ac:dyDescent="0.15">
      <c r="A103" s="41">
        <v>15</v>
      </c>
      <c r="B103" s="41" t="s">
        <v>20726</v>
      </c>
      <c r="C103" s="127" t="s">
        <v>20727</v>
      </c>
      <c r="D103" s="525"/>
      <c r="E103" s="114"/>
      <c r="F103" s="525"/>
      <c r="G103" s="114" t="s">
        <v>20077</v>
      </c>
      <c r="H103" s="49"/>
      <c r="I103" s="115"/>
      <c r="J103" s="53"/>
      <c r="K103" s="49"/>
      <c r="L103" s="50"/>
      <c r="M103" s="163"/>
      <c r="N103" s="45"/>
      <c r="O103" s="46"/>
      <c r="P103" s="515"/>
      <c r="Q103" s="115"/>
      <c r="R103" s="53"/>
      <c r="S103" s="49"/>
      <c r="T103" s="50"/>
      <c r="U103" s="115"/>
      <c r="V103" s="53"/>
      <c r="W103" s="49"/>
      <c r="X103" s="50"/>
      <c r="Y103" s="115"/>
      <c r="Z103" s="208">
        <f>+ROUND((_15_同援日０．５＿２．５*(1+_15・B深夜)),0)</f>
        <v>657</v>
      </c>
      <c r="AA103" s="64"/>
    </row>
    <row r="104" spans="1:27" ht="16.5" customHeight="1" x14ac:dyDescent="0.15">
      <c r="A104" s="41">
        <v>15</v>
      </c>
      <c r="B104" s="41" t="s">
        <v>20728</v>
      </c>
      <c r="C104" s="127" t="s">
        <v>20729</v>
      </c>
      <c r="D104" s="523"/>
      <c r="E104" s="72"/>
      <c r="F104" s="523"/>
      <c r="G104" s="72" t="s">
        <v>17670</v>
      </c>
      <c r="I104" s="57"/>
      <c r="J104" s="43"/>
      <c r="K104" s="37"/>
      <c r="L104" s="38"/>
      <c r="M104" s="299" t="s">
        <v>17556</v>
      </c>
      <c r="N104" s="45" t="s">
        <v>398</v>
      </c>
      <c r="O104" s="46">
        <v>1</v>
      </c>
      <c r="P104" s="512"/>
      <c r="Q104" s="57"/>
      <c r="R104" s="35"/>
      <c r="U104" s="57"/>
      <c r="V104" s="35"/>
      <c r="Y104" s="57"/>
      <c r="Z104" s="208">
        <f>+ROUND((ROUND((_15_同援日０．５＿２．５*_15・２人),0)*(1+_15・B深夜)),0)</f>
        <v>657</v>
      </c>
      <c r="AA104" s="48"/>
    </row>
    <row r="105" spans="1:27" ht="16.5" customHeight="1" x14ac:dyDescent="0.15">
      <c r="A105" s="41">
        <v>15</v>
      </c>
      <c r="B105" s="41" t="s">
        <v>663</v>
      </c>
      <c r="C105" s="127" t="s">
        <v>20730</v>
      </c>
      <c r="D105" s="523"/>
      <c r="E105" s="72"/>
      <c r="F105" s="523"/>
      <c r="G105" s="72" t="s">
        <v>17672</v>
      </c>
      <c r="I105" s="57"/>
      <c r="J105" s="114" t="s">
        <v>17558</v>
      </c>
      <c r="K105" s="49"/>
      <c r="L105" s="50"/>
      <c r="M105" s="163"/>
      <c r="N105" s="45"/>
      <c r="O105" s="46"/>
      <c r="P105" s="512"/>
      <c r="Q105" s="57"/>
      <c r="R105" s="35"/>
      <c r="U105" s="57"/>
      <c r="V105" s="35"/>
      <c r="Y105" s="57"/>
      <c r="Z105" s="208">
        <f>+ROUND((ROUND((_15_同援日０．５＿２．５*_15・基礎２),0)*(1+_15・B深夜)),0)</f>
        <v>591</v>
      </c>
      <c r="AA105" s="48"/>
    </row>
    <row r="106" spans="1:27" ht="16.5" customHeight="1" x14ac:dyDescent="0.15">
      <c r="A106" s="41">
        <v>15</v>
      </c>
      <c r="B106" s="41" t="s">
        <v>665</v>
      </c>
      <c r="C106" s="127" t="s">
        <v>20731</v>
      </c>
      <c r="D106" s="523"/>
      <c r="E106" s="72"/>
      <c r="F106" s="523"/>
      <c r="G106" s="72"/>
      <c r="H106" s="168">
        <f>_15_同援日０．５＿２．５</f>
        <v>438</v>
      </c>
      <c r="I106" s="57" t="s">
        <v>392</v>
      </c>
      <c r="J106" s="269" t="s">
        <v>17560</v>
      </c>
      <c r="K106" s="37" t="s">
        <v>398</v>
      </c>
      <c r="L106" s="38">
        <v>0.9</v>
      </c>
      <c r="M106" s="299" t="s">
        <v>17556</v>
      </c>
      <c r="N106" s="45" t="s">
        <v>398</v>
      </c>
      <c r="O106" s="46">
        <v>1</v>
      </c>
      <c r="P106" s="512"/>
      <c r="Q106" s="57"/>
      <c r="R106" s="43"/>
      <c r="S106" s="37"/>
      <c r="T106" s="38"/>
      <c r="U106" s="79"/>
      <c r="V106" s="35"/>
      <c r="Y106" s="57"/>
      <c r="Z106" s="208">
        <f>+ROUND((ROUND((ROUND((_15_同援日０．５＿２．５*_15・基礎２),0)*_15・２人),0)*(1+_15・B深夜)),0)</f>
        <v>591</v>
      </c>
      <c r="AA106" s="48"/>
    </row>
    <row r="107" spans="1:27" ht="16.5" customHeight="1" x14ac:dyDescent="0.15">
      <c r="A107" s="41">
        <v>15</v>
      </c>
      <c r="B107" s="41" t="s">
        <v>667</v>
      </c>
      <c r="C107" s="127" t="s">
        <v>20732</v>
      </c>
      <c r="D107" s="523"/>
      <c r="E107" s="72"/>
      <c r="F107" s="523"/>
      <c r="G107" s="72"/>
      <c r="I107" s="57"/>
      <c r="J107" s="53"/>
      <c r="K107" s="49"/>
      <c r="L107" s="50"/>
      <c r="M107" s="163"/>
      <c r="N107" s="45"/>
      <c r="O107" s="46"/>
      <c r="P107" s="512"/>
      <c r="Q107" s="57"/>
      <c r="R107" s="114" t="s">
        <v>17562</v>
      </c>
      <c r="S107" s="49"/>
      <c r="T107" s="50"/>
      <c r="U107" s="115"/>
      <c r="V107" s="35"/>
      <c r="Y107" s="57"/>
      <c r="Z107" s="208">
        <f>+ROUND((ROUND((_15_同援日０．５＿２．５*(1+_15・B深夜)),0)*(1+_15・盲ろう)),0)</f>
        <v>821</v>
      </c>
      <c r="AA107" s="48"/>
    </row>
    <row r="108" spans="1:27" ht="16.5" customHeight="1" x14ac:dyDescent="0.15">
      <c r="A108" s="41">
        <v>15</v>
      </c>
      <c r="B108" s="41" t="s">
        <v>669</v>
      </c>
      <c r="C108" s="127" t="s">
        <v>20733</v>
      </c>
      <c r="D108" s="523"/>
      <c r="E108" s="72"/>
      <c r="F108" s="523"/>
      <c r="G108" s="72"/>
      <c r="I108" s="57"/>
      <c r="J108" s="43"/>
      <c r="K108" s="37"/>
      <c r="L108" s="38"/>
      <c r="M108" s="299" t="s">
        <v>17556</v>
      </c>
      <c r="N108" s="45" t="s">
        <v>398</v>
      </c>
      <c r="O108" s="46">
        <v>1</v>
      </c>
      <c r="P108" s="512"/>
      <c r="Q108" s="57"/>
      <c r="R108" s="92" t="s">
        <v>17564</v>
      </c>
      <c r="U108" s="57"/>
      <c r="V108" s="35"/>
      <c r="Y108" s="57"/>
      <c r="Z108" s="208">
        <f>+ROUND((ROUND((ROUND((_15_同援日０．５＿２．５*_15・２人),0)*(1+_15・B深夜)),0)*(1+_15・盲ろう)),0)</f>
        <v>821</v>
      </c>
      <c r="AA108" s="48"/>
    </row>
    <row r="109" spans="1:27" ht="16.5" customHeight="1" x14ac:dyDescent="0.15">
      <c r="A109" s="41">
        <v>15</v>
      </c>
      <c r="B109" s="41" t="s">
        <v>20734</v>
      </c>
      <c r="C109" s="127" t="s">
        <v>20735</v>
      </c>
      <c r="D109" s="523"/>
      <c r="E109" s="72"/>
      <c r="F109" s="523"/>
      <c r="G109" s="72"/>
      <c r="I109" s="57"/>
      <c r="J109" s="114" t="s">
        <v>17558</v>
      </c>
      <c r="K109" s="49"/>
      <c r="L109" s="50"/>
      <c r="M109" s="163"/>
      <c r="N109" s="45"/>
      <c r="O109" s="46"/>
      <c r="P109" s="512"/>
      <c r="Q109" s="57"/>
      <c r="R109" s="35"/>
      <c r="S109" s="12" t="s">
        <v>398</v>
      </c>
      <c r="T109" s="13">
        <v>0.25</v>
      </c>
      <c r="U109" s="57" t="s">
        <v>3575</v>
      </c>
      <c r="V109" s="35"/>
      <c r="Y109" s="57"/>
      <c r="Z109" s="208">
        <f>+ROUND((ROUND((ROUND((_15_同援日０．５＿２．５*_15・基礎２),0)*(1+_15・B深夜)),0)*(1+_15・盲ろう)),0)</f>
        <v>739</v>
      </c>
      <c r="AA109" s="48"/>
    </row>
    <row r="110" spans="1:27" ht="16.5" customHeight="1" x14ac:dyDescent="0.15">
      <c r="A110" s="41">
        <v>15</v>
      </c>
      <c r="B110" s="41" t="s">
        <v>20736</v>
      </c>
      <c r="C110" s="127" t="s">
        <v>20737</v>
      </c>
      <c r="D110" s="523"/>
      <c r="E110" s="72"/>
      <c r="F110" s="523"/>
      <c r="G110" s="72"/>
      <c r="I110" s="57"/>
      <c r="J110" s="269" t="s">
        <v>17560</v>
      </c>
      <c r="K110" s="37" t="s">
        <v>398</v>
      </c>
      <c r="L110" s="38">
        <v>0.9</v>
      </c>
      <c r="M110" s="299" t="s">
        <v>17556</v>
      </c>
      <c r="N110" s="45" t="s">
        <v>398</v>
      </c>
      <c r="O110" s="46">
        <v>1</v>
      </c>
      <c r="P110" s="512"/>
      <c r="Q110" s="57"/>
      <c r="R110" s="43"/>
      <c r="S110" s="37"/>
      <c r="T110" s="38"/>
      <c r="U110" s="79"/>
      <c r="V110" s="43"/>
      <c r="W110" s="37"/>
      <c r="X110" s="38"/>
      <c r="Y110" s="79"/>
      <c r="Z110" s="208">
        <f>+ROUND((ROUND((ROUND((ROUND((_15_同援日０．５＿２．５*_15・基礎２),0)*_15・２人),0)*(1+_15・B深夜)),0)*(1+_15・盲ろう)),0)</f>
        <v>739</v>
      </c>
      <c r="AA110" s="48"/>
    </row>
    <row r="111" spans="1:27" ht="16.5" customHeight="1" x14ac:dyDescent="0.15">
      <c r="A111" s="41">
        <v>15</v>
      </c>
      <c r="B111" s="41" t="s">
        <v>20738</v>
      </c>
      <c r="C111" s="127" t="s">
        <v>20739</v>
      </c>
      <c r="D111" s="523"/>
      <c r="E111" s="72"/>
      <c r="F111" s="523"/>
      <c r="G111" s="72"/>
      <c r="I111" s="57"/>
      <c r="J111" s="53"/>
      <c r="K111" s="49"/>
      <c r="L111" s="50"/>
      <c r="M111" s="163"/>
      <c r="N111" s="45"/>
      <c r="O111" s="46"/>
      <c r="P111" s="512"/>
      <c r="Q111" s="57"/>
      <c r="R111" s="53"/>
      <c r="S111" s="49"/>
      <c r="T111" s="50"/>
      <c r="U111" s="115"/>
      <c r="V111" s="53"/>
      <c r="W111" s="49"/>
      <c r="X111" s="50"/>
      <c r="Y111" s="115"/>
      <c r="Z111" s="208">
        <f>+ROUND((ROUND((_15_同援日０．５＿２．５*(1+_15・B深夜)),0)*(1+_15・区３)),0)</f>
        <v>788</v>
      </c>
      <c r="AA111" s="48"/>
    </row>
    <row r="112" spans="1:27" ht="16.5" customHeight="1" x14ac:dyDescent="0.15">
      <c r="A112" s="41">
        <v>15</v>
      </c>
      <c r="B112" s="41" t="s">
        <v>20740</v>
      </c>
      <c r="C112" s="127" t="s">
        <v>20741</v>
      </c>
      <c r="D112" s="523"/>
      <c r="E112" s="72"/>
      <c r="F112" s="523"/>
      <c r="G112" s="72"/>
      <c r="I112" s="57"/>
      <c r="J112" s="43"/>
      <c r="K112" s="37"/>
      <c r="L112" s="38"/>
      <c r="M112" s="299" t="s">
        <v>17556</v>
      </c>
      <c r="N112" s="45" t="s">
        <v>398</v>
      </c>
      <c r="O112" s="46">
        <v>1</v>
      </c>
      <c r="P112" s="512"/>
      <c r="Q112" s="57"/>
      <c r="R112" s="35"/>
      <c r="U112" s="57"/>
      <c r="V112" s="35"/>
      <c r="Y112" s="57"/>
      <c r="Z112" s="208">
        <f>+ROUND((ROUND((ROUND((_15_同援日０．５＿２．５*_15・２人),0)*(1+_15・B深夜)),0)*(1+_15・区３)),0)</f>
        <v>788</v>
      </c>
      <c r="AA112" s="48"/>
    </row>
    <row r="113" spans="1:27" ht="16.5" customHeight="1" x14ac:dyDescent="0.15">
      <c r="A113" s="41">
        <v>15</v>
      </c>
      <c r="B113" s="41" t="s">
        <v>20742</v>
      </c>
      <c r="C113" s="127" t="s">
        <v>20743</v>
      </c>
      <c r="D113" s="523"/>
      <c r="E113" s="72"/>
      <c r="F113" s="523"/>
      <c r="G113" s="72"/>
      <c r="I113" s="57"/>
      <c r="J113" s="114" t="s">
        <v>17558</v>
      </c>
      <c r="K113" s="49"/>
      <c r="L113" s="50"/>
      <c r="M113" s="163"/>
      <c r="N113" s="45"/>
      <c r="O113" s="46"/>
      <c r="P113" s="512"/>
      <c r="Q113" s="57"/>
      <c r="R113" s="35"/>
      <c r="U113" s="57"/>
      <c r="V113" s="72" t="s">
        <v>17570</v>
      </c>
      <c r="Y113" s="57"/>
      <c r="Z113" s="208">
        <f>+ROUND((ROUND((ROUND((_15_同援日０．５＿２．５*_15・基礎２),0)*(1+_15・B深夜)),0)*(1+_15・区３)),0)</f>
        <v>709</v>
      </c>
      <c r="AA113" s="48"/>
    </row>
    <row r="114" spans="1:27" ht="16.5" customHeight="1" x14ac:dyDescent="0.15">
      <c r="A114" s="41">
        <v>15</v>
      </c>
      <c r="B114" s="41" t="s">
        <v>20744</v>
      </c>
      <c r="C114" s="127" t="s">
        <v>20745</v>
      </c>
      <c r="D114" s="523"/>
      <c r="E114" s="72"/>
      <c r="F114" s="523"/>
      <c r="G114" s="72"/>
      <c r="I114" s="57"/>
      <c r="J114" s="269" t="s">
        <v>17560</v>
      </c>
      <c r="K114" s="37" t="s">
        <v>398</v>
      </c>
      <c r="L114" s="38">
        <v>0.9</v>
      </c>
      <c r="M114" s="299" t="s">
        <v>17556</v>
      </c>
      <c r="N114" s="45" t="s">
        <v>398</v>
      </c>
      <c r="O114" s="46">
        <v>1</v>
      </c>
      <c r="P114" s="512"/>
      <c r="Q114" s="57"/>
      <c r="R114" s="43"/>
      <c r="S114" s="37"/>
      <c r="T114" s="38"/>
      <c r="U114" s="79"/>
      <c r="V114" s="72" t="s">
        <v>17572</v>
      </c>
      <c r="Y114" s="57"/>
      <c r="Z114" s="208">
        <f>+ROUND((ROUND((ROUND((ROUND((_15_同援日０．５＿２．５*_15・基礎２),0)*_15・２人),0)*(1+_15・B深夜)),0)*(1+_15・区３)),0)</f>
        <v>709</v>
      </c>
      <c r="AA114" s="48"/>
    </row>
    <row r="115" spans="1:27" ht="16.5" customHeight="1" x14ac:dyDescent="0.15">
      <c r="A115" s="41">
        <v>15</v>
      </c>
      <c r="B115" s="41" t="s">
        <v>20746</v>
      </c>
      <c r="C115" s="127" t="s">
        <v>20747</v>
      </c>
      <c r="D115" s="523"/>
      <c r="E115" s="72"/>
      <c r="F115" s="523"/>
      <c r="G115" s="72"/>
      <c r="I115" s="57"/>
      <c r="J115" s="53"/>
      <c r="K115" s="49"/>
      <c r="L115" s="50"/>
      <c r="M115" s="163"/>
      <c r="N115" s="45"/>
      <c r="O115" s="46"/>
      <c r="P115" s="512"/>
      <c r="Q115" s="57"/>
      <c r="R115" s="114" t="s">
        <v>17562</v>
      </c>
      <c r="S115" s="49"/>
      <c r="T115" s="50"/>
      <c r="U115" s="115"/>
      <c r="V115" s="35"/>
      <c r="W115" s="12" t="s">
        <v>398</v>
      </c>
      <c r="X115" s="13">
        <v>0.2</v>
      </c>
      <c r="Y115" s="57" t="s">
        <v>3575</v>
      </c>
      <c r="Z115" s="208">
        <f>+ROUND((ROUND((ROUND((_15_同援日０．５＿２．５*(1+_15・B深夜)),0)*(1+_15・盲ろう)),0)*(1+_15・区３)),0)</f>
        <v>985</v>
      </c>
      <c r="AA115" s="48"/>
    </row>
    <row r="116" spans="1:27" ht="16.5" customHeight="1" x14ac:dyDescent="0.15">
      <c r="A116" s="41">
        <v>15</v>
      </c>
      <c r="B116" s="41" t="s">
        <v>20748</v>
      </c>
      <c r="C116" s="127" t="s">
        <v>20749</v>
      </c>
      <c r="D116" s="523"/>
      <c r="E116" s="72"/>
      <c r="F116" s="523"/>
      <c r="G116" s="72"/>
      <c r="I116" s="57"/>
      <c r="J116" s="43"/>
      <c r="K116" s="37"/>
      <c r="L116" s="38"/>
      <c r="M116" s="299" t="s">
        <v>17556</v>
      </c>
      <c r="N116" s="45" t="s">
        <v>398</v>
      </c>
      <c r="O116" s="46">
        <v>1</v>
      </c>
      <c r="P116" s="512"/>
      <c r="Q116" s="57"/>
      <c r="R116" s="92" t="s">
        <v>17564</v>
      </c>
      <c r="U116" s="57"/>
      <c r="V116" s="35"/>
      <c r="Y116" s="57"/>
      <c r="Z116" s="208">
        <f>+ROUND((ROUND((ROUND((ROUND((_15_同援日０．５＿２．５*_15・２人),0)*(1+_15・B深夜)),0)*(1+_15・盲ろう)),0)*(1+_15・区３)),0)</f>
        <v>985</v>
      </c>
      <c r="AA116" s="48"/>
    </row>
    <row r="117" spans="1:27" ht="16.5" customHeight="1" x14ac:dyDescent="0.15">
      <c r="A117" s="41">
        <v>15</v>
      </c>
      <c r="B117" s="41" t="s">
        <v>20750</v>
      </c>
      <c r="C117" s="127" t="s">
        <v>20751</v>
      </c>
      <c r="D117" s="523"/>
      <c r="E117" s="72"/>
      <c r="F117" s="523"/>
      <c r="G117" s="72"/>
      <c r="I117" s="57"/>
      <c r="J117" s="114" t="s">
        <v>17558</v>
      </c>
      <c r="K117" s="49"/>
      <c r="L117" s="50"/>
      <c r="M117" s="163"/>
      <c r="N117" s="45"/>
      <c r="O117" s="46"/>
      <c r="P117" s="512"/>
      <c r="Q117" s="57"/>
      <c r="R117" s="35"/>
      <c r="S117" s="12" t="s">
        <v>398</v>
      </c>
      <c r="T117" s="13">
        <v>0.25</v>
      </c>
      <c r="U117" s="57" t="s">
        <v>3575</v>
      </c>
      <c r="V117" s="35"/>
      <c r="Y117" s="57"/>
      <c r="Z117" s="208">
        <f>+ROUND((ROUND((ROUND((ROUND((_15_同援日０．５＿２．５*_15・基礎２),0)*(1+_15・B深夜)),0)*(1+_15・盲ろう)),0)*(1+_15・区３)),0)</f>
        <v>887</v>
      </c>
      <c r="AA117" s="48"/>
    </row>
    <row r="118" spans="1:27" ht="16.5" customHeight="1" x14ac:dyDescent="0.15">
      <c r="A118" s="41">
        <v>15</v>
      </c>
      <c r="B118" s="41" t="s">
        <v>20752</v>
      </c>
      <c r="C118" s="127" t="s">
        <v>20753</v>
      </c>
      <c r="D118" s="523"/>
      <c r="E118" s="72"/>
      <c r="F118" s="523"/>
      <c r="G118" s="72"/>
      <c r="I118" s="57"/>
      <c r="J118" s="269" t="s">
        <v>17560</v>
      </c>
      <c r="K118" s="37" t="s">
        <v>398</v>
      </c>
      <c r="L118" s="38">
        <v>0.9</v>
      </c>
      <c r="M118" s="299" t="s">
        <v>17556</v>
      </c>
      <c r="N118" s="45" t="s">
        <v>398</v>
      </c>
      <c r="O118" s="46">
        <v>1</v>
      </c>
      <c r="P118" s="512"/>
      <c r="Q118" s="57"/>
      <c r="R118" s="43"/>
      <c r="S118" s="37"/>
      <c r="T118" s="38"/>
      <c r="U118" s="79"/>
      <c r="V118" s="43"/>
      <c r="W118" s="37"/>
      <c r="X118" s="38"/>
      <c r="Y118" s="79"/>
      <c r="Z118" s="208">
        <f>+ROUND((ROUND((ROUND((ROUND((ROUND((_15_同援日０．５＿２．５*_15・基礎２),0)*_15・２人),0)*(1+_15・B深夜)),0)*(1+_15・盲ろう)),0)*(1+_15・区３)),0)</f>
        <v>887</v>
      </c>
      <c r="AA118" s="48"/>
    </row>
    <row r="119" spans="1:27" ht="16.5" customHeight="1" x14ac:dyDescent="0.15">
      <c r="A119" s="41">
        <v>15</v>
      </c>
      <c r="B119" s="41" t="s">
        <v>20754</v>
      </c>
      <c r="C119" s="127" t="s">
        <v>20755</v>
      </c>
      <c r="D119" s="523"/>
      <c r="E119" s="72"/>
      <c r="F119" s="523"/>
      <c r="G119" s="72"/>
      <c r="I119" s="57"/>
      <c r="J119" s="53"/>
      <c r="K119" s="49"/>
      <c r="L119" s="50"/>
      <c r="M119" s="163"/>
      <c r="N119" s="45"/>
      <c r="O119" s="46"/>
      <c r="P119" s="512"/>
      <c r="Q119" s="57"/>
      <c r="R119" s="53"/>
      <c r="S119" s="49"/>
      <c r="T119" s="50"/>
      <c r="U119" s="115"/>
      <c r="V119" s="53"/>
      <c r="W119" s="49"/>
      <c r="X119" s="50"/>
      <c r="Y119" s="115"/>
      <c r="Z119" s="208">
        <f>+ROUND((ROUND((_15_同援日０．５＿２．５*(1+_15・B深夜)),0)*(1+_15・区４)),0)</f>
        <v>920</v>
      </c>
      <c r="AA119" s="48"/>
    </row>
    <row r="120" spans="1:27" ht="16.5" customHeight="1" x14ac:dyDescent="0.15">
      <c r="A120" s="41">
        <v>15</v>
      </c>
      <c r="B120" s="41" t="s">
        <v>20756</v>
      </c>
      <c r="C120" s="127" t="s">
        <v>20757</v>
      </c>
      <c r="D120" s="523"/>
      <c r="E120" s="72"/>
      <c r="F120" s="523"/>
      <c r="G120" s="72"/>
      <c r="I120" s="57"/>
      <c r="J120" s="43"/>
      <c r="K120" s="37"/>
      <c r="L120" s="38"/>
      <c r="M120" s="299" t="s">
        <v>17556</v>
      </c>
      <c r="N120" s="45" t="s">
        <v>398</v>
      </c>
      <c r="O120" s="46">
        <v>1</v>
      </c>
      <c r="P120" s="512"/>
      <c r="Q120" s="57"/>
      <c r="R120" s="35"/>
      <c r="U120" s="57"/>
      <c r="V120" s="35"/>
      <c r="Y120" s="57"/>
      <c r="Z120" s="208">
        <f>+ROUND((ROUND((ROUND((_15_同援日０．５＿２．５*_15・２人),0)*(1+_15・B深夜)),0)*(1+_15・区４)),0)</f>
        <v>920</v>
      </c>
      <c r="AA120" s="48"/>
    </row>
    <row r="121" spans="1:27" ht="16.5" customHeight="1" x14ac:dyDescent="0.15">
      <c r="A121" s="41">
        <v>15</v>
      </c>
      <c r="B121" s="41" t="s">
        <v>20758</v>
      </c>
      <c r="C121" s="127" t="s">
        <v>20759</v>
      </c>
      <c r="D121" s="523"/>
      <c r="E121" s="72"/>
      <c r="F121" s="523"/>
      <c r="G121" s="72"/>
      <c r="I121" s="57"/>
      <c r="J121" s="114" t="s">
        <v>17558</v>
      </c>
      <c r="K121" s="49"/>
      <c r="L121" s="50"/>
      <c r="M121" s="163"/>
      <c r="N121" s="45"/>
      <c r="O121" s="46"/>
      <c r="P121" s="512"/>
      <c r="Q121" s="57"/>
      <c r="R121" s="35"/>
      <c r="U121" s="57"/>
      <c r="V121" s="72" t="s">
        <v>17580</v>
      </c>
      <c r="Y121" s="57"/>
      <c r="Z121" s="208">
        <f>+ROUND((ROUND((ROUND((_15_同援日０．５＿２．５*_15・基礎２),0)*(1+_15・B深夜)),0)*(1+_15・区４)),0)</f>
        <v>827</v>
      </c>
      <c r="AA121" s="48"/>
    </row>
    <row r="122" spans="1:27" ht="16.5" customHeight="1" x14ac:dyDescent="0.15">
      <c r="A122" s="41">
        <v>15</v>
      </c>
      <c r="B122" s="41" t="s">
        <v>20760</v>
      </c>
      <c r="C122" s="127" t="s">
        <v>20761</v>
      </c>
      <c r="D122" s="523"/>
      <c r="E122" s="72"/>
      <c r="F122" s="523"/>
      <c r="G122" s="72"/>
      <c r="I122" s="57"/>
      <c r="J122" s="269" t="s">
        <v>17560</v>
      </c>
      <c r="K122" s="37" t="s">
        <v>398</v>
      </c>
      <c r="L122" s="38">
        <v>0.9</v>
      </c>
      <c r="M122" s="299" t="s">
        <v>17556</v>
      </c>
      <c r="N122" s="45" t="s">
        <v>398</v>
      </c>
      <c r="O122" s="46">
        <v>1</v>
      </c>
      <c r="P122" s="512"/>
      <c r="Q122" s="57"/>
      <c r="R122" s="43"/>
      <c r="S122" s="37"/>
      <c r="T122" s="38"/>
      <c r="U122" s="79"/>
      <c r="V122" s="72" t="s">
        <v>17572</v>
      </c>
      <c r="Y122" s="57"/>
      <c r="Z122" s="208">
        <f>+ROUND((ROUND((ROUND((ROUND((_15_同援日０．５＿２．５*_15・基礎２),0)*_15・２人),0)*(1+_15・B深夜)),0)*(1+_15・区４)),0)</f>
        <v>827</v>
      </c>
      <c r="AA122" s="48"/>
    </row>
    <row r="123" spans="1:27" ht="16.5" customHeight="1" x14ac:dyDescent="0.15">
      <c r="A123" s="41">
        <v>15</v>
      </c>
      <c r="B123" s="41" t="s">
        <v>20762</v>
      </c>
      <c r="C123" s="127" t="s">
        <v>20763</v>
      </c>
      <c r="D123" s="523"/>
      <c r="E123" s="72"/>
      <c r="F123" s="523"/>
      <c r="G123" s="72"/>
      <c r="I123" s="57"/>
      <c r="J123" s="53"/>
      <c r="K123" s="49"/>
      <c r="L123" s="50"/>
      <c r="M123" s="163"/>
      <c r="N123" s="45"/>
      <c r="O123" s="46"/>
      <c r="P123" s="512"/>
      <c r="Q123" s="57"/>
      <c r="R123" s="114" t="s">
        <v>17562</v>
      </c>
      <c r="S123" s="49"/>
      <c r="T123" s="50"/>
      <c r="U123" s="115"/>
      <c r="V123" s="35"/>
      <c r="W123" s="12" t="s">
        <v>398</v>
      </c>
      <c r="X123" s="13">
        <v>0.4</v>
      </c>
      <c r="Y123" s="57" t="s">
        <v>3575</v>
      </c>
      <c r="Z123" s="208">
        <f>+ROUND((ROUND((ROUND((_15_同援日０．５＿２．５*(1+_15・B深夜)),0)*(1+_15・盲ろう)),0)*(1+_15・区４)),0)</f>
        <v>1149</v>
      </c>
      <c r="AA123" s="48"/>
    </row>
    <row r="124" spans="1:27" ht="16.5" customHeight="1" x14ac:dyDescent="0.15">
      <c r="A124" s="41">
        <v>15</v>
      </c>
      <c r="B124" s="41" t="s">
        <v>20764</v>
      </c>
      <c r="C124" s="127" t="s">
        <v>20765</v>
      </c>
      <c r="D124" s="523"/>
      <c r="E124" s="72"/>
      <c r="F124" s="523"/>
      <c r="G124" s="72"/>
      <c r="I124" s="57"/>
      <c r="J124" s="43"/>
      <c r="K124" s="37"/>
      <c r="L124" s="38"/>
      <c r="M124" s="299" t="s">
        <v>17556</v>
      </c>
      <c r="N124" s="45" t="s">
        <v>398</v>
      </c>
      <c r="O124" s="46">
        <v>1</v>
      </c>
      <c r="P124" s="512"/>
      <c r="Q124" s="57"/>
      <c r="R124" s="92" t="s">
        <v>17564</v>
      </c>
      <c r="U124" s="57"/>
      <c r="V124" s="35"/>
      <c r="Y124" s="57"/>
      <c r="Z124" s="208">
        <f>+ROUND((ROUND((ROUND((ROUND((_15_同援日０．５＿２．５*_15・２人),0)*(1+_15・B深夜)),0)*(1+_15・盲ろう)),0)*(1+_15・区４)),0)</f>
        <v>1149</v>
      </c>
      <c r="AA124" s="48"/>
    </row>
    <row r="125" spans="1:27" ht="16.5" customHeight="1" x14ac:dyDescent="0.15">
      <c r="A125" s="41">
        <v>15</v>
      </c>
      <c r="B125" s="41" t="s">
        <v>680</v>
      </c>
      <c r="C125" s="127" t="s">
        <v>20766</v>
      </c>
      <c r="D125" s="523"/>
      <c r="E125" s="72"/>
      <c r="F125" s="523"/>
      <c r="G125" s="72"/>
      <c r="I125" s="57"/>
      <c r="J125" s="114" t="s">
        <v>17558</v>
      </c>
      <c r="K125" s="49"/>
      <c r="L125" s="50"/>
      <c r="M125" s="163"/>
      <c r="N125" s="45"/>
      <c r="O125" s="46"/>
      <c r="P125" s="512"/>
      <c r="Q125" s="57"/>
      <c r="R125" s="35"/>
      <c r="S125" s="12" t="s">
        <v>398</v>
      </c>
      <c r="T125" s="13">
        <v>0.25</v>
      </c>
      <c r="U125" s="57" t="s">
        <v>3575</v>
      </c>
      <c r="V125" s="35"/>
      <c r="Y125" s="57"/>
      <c r="Z125" s="208">
        <f>+ROUND((ROUND((ROUND((ROUND((_15_同援日０．５＿２．５*_15・基礎２),0)*(1+_15・B深夜)),0)*(1+_15・盲ろう)),0)*(1+_15・区４)),0)</f>
        <v>1035</v>
      </c>
      <c r="AA125" s="48"/>
    </row>
    <row r="126" spans="1:27" ht="16.5" customHeight="1" x14ac:dyDescent="0.15">
      <c r="A126" s="41">
        <v>15</v>
      </c>
      <c r="B126" s="41" t="s">
        <v>682</v>
      </c>
      <c r="C126" s="127" t="s">
        <v>20767</v>
      </c>
      <c r="D126" s="523"/>
      <c r="E126" s="122"/>
      <c r="F126" s="523"/>
      <c r="G126" s="122"/>
      <c r="H126" s="37"/>
      <c r="I126" s="79"/>
      <c r="J126" s="269" t="s">
        <v>17560</v>
      </c>
      <c r="K126" s="37" t="s">
        <v>398</v>
      </c>
      <c r="L126" s="38">
        <v>0.9</v>
      </c>
      <c r="M126" s="299" t="s">
        <v>17556</v>
      </c>
      <c r="N126" s="45" t="s">
        <v>398</v>
      </c>
      <c r="O126" s="46">
        <v>1</v>
      </c>
      <c r="P126" s="512"/>
      <c r="Q126" s="57"/>
      <c r="R126" s="43"/>
      <c r="S126" s="37"/>
      <c r="T126" s="38"/>
      <c r="U126" s="79"/>
      <c r="V126" s="43"/>
      <c r="W126" s="37"/>
      <c r="X126" s="38"/>
      <c r="Y126" s="79"/>
      <c r="Z126" s="208">
        <f>+ROUND((ROUND((ROUND((ROUND((ROUND((_15_同援日０．５＿２．５*_15・基礎２),0)*_15・２人),0)*(1+_15・B深夜)),0)*(1+_15・盲ろう)),0)*(1+_15・区４)),0)</f>
        <v>1035</v>
      </c>
      <c r="AA126" s="48"/>
    </row>
    <row r="127" spans="1:27" ht="16.5" customHeight="1" x14ac:dyDescent="0.15">
      <c r="A127" s="41">
        <v>15</v>
      </c>
      <c r="B127" s="41" t="s">
        <v>684</v>
      </c>
      <c r="C127" s="127" t="s">
        <v>20768</v>
      </c>
      <c r="D127" s="523"/>
      <c r="E127" s="114" t="s">
        <v>18513</v>
      </c>
      <c r="F127" s="523"/>
      <c r="G127" s="114" t="s">
        <v>19945</v>
      </c>
      <c r="H127" s="49"/>
      <c r="I127" s="115"/>
      <c r="J127" s="53"/>
      <c r="K127" s="49"/>
      <c r="L127" s="50"/>
      <c r="M127" s="163"/>
      <c r="N127" s="45"/>
      <c r="O127" s="46"/>
      <c r="P127" s="512"/>
      <c r="Q127" s="57"/>
      <c r="R127" s="53"/>
      <c r="S127" s="49"/>
      <c r="T127" s="50"/>
      <c r="U127" s="115"/>
      <c r="V127" s="53"/>
      <c r="W127" s="49"/>
      <c r="X127" s="50"/>
      <c r="Y127" s="115"/>
      <c r="Z127" s="208">
        <f>+ROUND((_15_同援日１．０＿０．５*(1+_15・B深夜)),0)</f>
        <v>200</v>
      </c>
      <c r="AA127" s="48"/>
    </row>
    <row r="128" spans="1:27" ht="16.5" customHeight="1" x14ac:dyDescent="0.15">
      <c r="A128" s="41">
        <v>15</v>
      </c>
      <c r="B128" s="41" t="s">
        <v>686</v>
      </c>
      <c r="C128" s="127" t="s">
        <v>20769</v>
      </c>
      <c r="D128" s="523"/>
      <c r="E128" s="72" t="s">
        <v>17589</v>
      </c>
      <c r="F128" s="523"/>
      <c r="G128" s="72" t="s">
        <v>18259</v>
      </c>
      <c r="I128" s="57"/>
      <c r="J128" s="43"/>
      <c r="K128" s="37"/>
      <c r="L128" s="38"/>
      <c r="M128" s="299" t="s">
        <v>17556</v>
      </c>
      <c r="N128" s="45" t="s">
        <v>398</v>
      </c>
      <c r="O128" s="46">
        <v>1</v>
      </c>
      <c r="P128" s="512"/>
      <c r="Q128" s="57"/>
      <c r="R128" s="35"/>
      <c r="U128" s="57"/>
      <c r="V128" s="35"/>
      <c r="Y128" s="57"/>
      <c r="Z128" s="208">
        <f>+ROUND((ROUND((_15_同援日１．０＿０．５*_15・２人),0)*(1+_15・B深夜)),0)</f>
        <v>200</v>
      </c>
      <c r="AA128" s="48"/>
    </row>
    <row r="129" spans="1:27" ht="16.5" customHeight="1" x14ac:dyDescent="0.15">
      <c r="A129" s="41">
        <v>15</v>
      </c>
      <c r="B129" s="41" t="s">
        <v>20770</v>
      </c>
      <c r="C129" s="127" t="s">
        <v>20771</v>
      </c>
      <c r="D129" s="523"/>
      <c r="E129" s="72" t="s">
        <v>17591</v>
      </c>
      <c r="F129" s="523"/>
      <c r="G129" s="72"/>
      <c r="I129" s="57"/>
      <c r="J129" s="114" t="s">
        <v>17558</v>
      </c>
      <c r="K129" s="49"/>
      <c r="L129" s="50"/>
      <c r="M129" s="163"/>
      <c r="N129" s="45"/>
      <c r="O129" s="46"/>
      <c r="P129" s="512"/>
      <c r="Q129" s="57"/>
      <c r="R129" s="35"/>
      <c r="U129" s="57"/>
      <c r="V129" s="35"/>
      <c r="Y129" s="57"/>
      <c r="Z129" s="208">
        <f>+ROUND((ROUND((_15_同援日１．０＿０．５*_15・基礎２),0)*(1+_15・B深夜)),0)</f>
        <v>180</v>
      </c>
      <c r="AA129" s="48"/>
    </row>
    <row r="130" spans="1:27" ht="16.5" customHeight="1" x14ac:dyDescent="0.15">
      <c r="A130" s="41">
        <v>15</v>
      </c>
      <c r="B130" s="41" t="s">
        <v>20772</v>
      </c>
      <c r="C130" s="127" t="s">
        <v>20773</v>
      </c>
      <c r="D130" s="523"/>
      <c r="E130" s="72"/>
      <c r="F130" s="523"/>
      <c r="G130" s="72"/>
      <c r="H130" s="168">
        <f>_15_同援日１．０＿０．５</f>
        <v>133</v>
      </c>
      <c r="I130" s="57" t="s">
        <v>392</v>
      </c>
      <c r="J130" s="269" t="s">
        <v>17560</v>
      </c>
      <c r="K130" s="37" t="s">
        <v>398</v>
      </c>
      <c r="L130" s="38">
        <v>0.9</v>
      </c>
      <c r="M130" s="299" t="s">
        <v>17556</v>
      </c>
      <c r="N130" s="45" t="s">
        <v>398</v>
      </c>
      <c r="O130" s="46">
        <v>1</v>
      </c>
      <c r="P130" s="512"/>
      <c r="Q130" s="57"/>
      <c r="R130" s="43"/>
      <c r="S130" s="37"/>
      <c r="T130" s="38"/>
      <c r="U130" s="79"/>
      <c r="V130" s="35"/>
      <c r="Y130" s="57"/>
      <c r="Z130" s="208">
        <f>+ROUND((ROUND((ROUND((_15_同援日１．０＿０．５*_15・基礎２),0)*_15・２人),0)*(1+_15・B深夜)),0)</f>
        <v>180</v>
      </c>
      <c r="AA130" s="48"/>
    </row>
    <row r="131" spans="1:27" ht="16.5" customHeight="1" x14ac:dyDescent="0.15">
      <c r="A131" s="41">
        <v>15</v>
      </c>
      <c r="B131" s="41" t="s">
        <v>20774</v>
      </c>
      <c r="C131" s="127" t="s">
        <v>20775</v>
      </c>
      <c r="D131" s="523"/>
      <c r="E131" s="72"/>
      <c r="F131" s="523"/>
      <c r="G131" s="72"/>
      <c r="I131" s="57"/>
      <c r="J131" s="53"/>
      <c r="K131" s="49"/>
      <c r="L131" s="50"/>
      <c r="M131" s="163"/>
      <c r="N131" s="45"/>
      <c r="O131" s="46"/>
      <c r="P131" s="512"/>
      <c r="Q131" s="57"/>
      <c r="R131" s="114" t="s">
        <v>17562</v>
      </c>
      <c r="S131" s="49"/>
      <c r="T131" s="50"/>
      <c r="U131" s="115"/>
      <c r="V131" s="35"/>
      <c r="Y131" s="57"/>
      <c r="Z131" s="208">
        <f>+ROUND((ROUND((_15_同援日１．０＿０．５*(1+_15・B深夜)),0)*(1+_15・盲ろう)),0)</f>
        <v>250</v>
      </c>
      <c r="AA131" s="48"/>
    </row>
    <row r="132" spans="1:27" ht="16.5" customHeight="1" x14ac:dyDescent="0.15">
      <c r="A132" s="41">
        <v>15</v>
      </c>
      <c r="B132" s="41" t="s">
        <v>20776</v>
      </c>
      <c r="C132" s="127" t="s">
        <v>20777</v>
      </c>
      <c r="D132" s="523"/>
      <c r="E132" s="72"/>
      <c r="F132" s="523"/>
      <c r="G132" s="72"/>
      <c r="I132" s="57"/>
      <c r="J132" s="43"/>
      <c r="K132" s="37"/>
      <c r="L132" s="38"/>
      <c r="M132" s="299" t="s">
        <v>17556</v>
      </c>
      <c r="N132" s="45" t="s">
        <v>398</v>
      </c>
      <c r="O132" s="46">
        <v>1</v>
      </c>
      <c r="P132" s="512"/>
      <c r="Q132" s="57"/>
      <c r="R132" s="92" t="s">
        <v>17564</v>
      </c>
      <c r="U132" s="57"/>
      <c r="V132" s="35"/>
      <c r="Y132" s="57"/>
      <c r="Z132" s="208">
        <f>+ROUND((ROUND((ROUND((_15_同援日１．０＿０．５*_15・２人),0)*(1+_15・B深夜)),0)*(1+_15・盲ろう)),0)</f>
        <v>250</v>
      </c>
      <c r="AA132" s="48"/>
    </row>
    <row r="133" spans="1:27" ht="16.5" customHeight="1" x14ac:dyDescent="0.15">
      <c r="A133" s="41">
        <v>15</v>
      </c>
      <c r="B133" s="41" t="s">
        <v>20778</v>
      </c>
      <c r="C133" s="127" t="s">
        <v>20779</v>
      </c>
      <c r="D133" s="523"/>
      <c r="E133" s="72"/>
      <c r="F133" s="523"/>
      <c r="G133" s="72"/>
      <c r="I133" s="57"/>
      <c r="J133" s="114" t="s">
        <v>17558</v>
      </c>
      <c r="K133" s="49"/>
      <c r="L133" s="50"/>
      <c r="M133" s="163"/>
      <c r="N133" s="45"/>
      <c r="O133" s="46"/>
      <c r="P133" s="512"/>
      <c r="Q133" s="57"/>
      <c r="R133" s="35"/>
      <c r="S133" s="12" t="s">
        <v>398</v>
      </c>
      <c r="T133" s="13">
        <v>0.25</v>
      </c>
      <c r="U133" s="57" t="s">
        <v>3575</v>
      </c>
      <c r="V133" s="35"/>
      <c r="Y133" s="57"/>
      <c r="Z133" s="208">
        <f>+ROUND((ROUND((ROUND((_15_同援日１．０＿０．５*_15・基礎２),0)*(1+_15・B深夜)),0)*(1+_15・盲ろう)),0)</f>
        <v>225</v>
      </c>
      <c r="AA133" s="48"/>
    </row>
    <row r="134" spans="1:27" ht="16.5" customHeight="1" x14ac:dyDescent="0.15">
      <c r="A134" s="41">
        <v>15</v>
      </c>
      <c r="B134" s="41" t="s">
        <v>20780</v>
      </c>
      <c r="C134" s="127" t="s">
        <v>20781</v>
      </c>
      <c r="D134" s="523"/>
      <c r="E134" s="72"/>
      <c r="F134" s="523"/>
      <c r="G134" s="72"/>
      <c r="I134" s="57"/>
      <c r="J134" s="269" t="s">
        <v>17560</v>
      </c>
      <c r="K134" s="37" t="s">
        <v>398</v>
      </c>
      <c r="L134" s="38">
        <v>0.9</v>
      </c>
      <c r="M134" s="299" t="s">
        <v>17556</v>
      </c>
      <c r="N134" s="45" t="s">
        <v>398</v>
      </c>
      <c r="O134" s="46">
        <v>1</v>
      </c>
      <c r="P134" s="512"/>
      <c r="Q134" s="57"/>
      <c r="R134" s="43"/>
      <c r="S134" s="37"/>
      <c r="T134" s="38"/>
      <c r="U134" s="79"/>
      <c r="V134" s="43"/>
      <c r="W134" s="37"/>
      <c r="X134" s="38"/>
      <c r="Y134" s="79"/>
      <c r="Z134" s="208">
        <f>+ROUND((ROUND((ROUND((ROUND((_15_同援日１．０＿０．５*_15・基礎２),0)*_15・２人),0)*(1+_15・B深夜)),0)*(1+_15・盲ろう)),0)</f>
        <v>225</v>
      </c>
      <c r="AA134" s="48"/>
    </row>
    <row r="135" spans="1:27" ht="16.5" customHeight="1" x14ac:dyDescent="0.15">
      <c r="A135" s="41">
        <v>15</v>
      </c>
      <c r="B135" s="41" t="s">
        <v>20782</v>
      </c>
      <c r="C135" s="127" t="s">
        <v>20783</v>
      </c>
      <c r="D135" s="523"/>
      <c r="E135" s="72"/>
      <c r="F135" s="523"/>
      <c r="G135" s="72"/>
      <c r="I135" s="57"/>
      <c r="J135" s="53"/>
      <c r="K135" s="49"/>
      <c r="L135" s="50"/>
      <c r="M135" s="163"/>
      <c r="N135" s="45"/>
      <c r="O135" s="46"/>
      <c r="P135" s="512"/>
      <c r="Q135" s="57"/>
      <c r="R135" s="53"/>
      <c r="S135" s="49"/>
      <c r="T135" s="50"/>
      <c r="U135" s="115"/>
      <c r="V135" s="53"/>
      <c r="W135" s="49"/>
      <c r="X135" s="50"/>
      <c r="Y135" s="115"/>
      <c r="Z135" s="208">
        <f>+ROUND((ROUND((_15_同援日１．０＿０．５*(1+_15・B深夜)),0)*(1+_15・区３)),0)</f>
        <v>240</v>
      </c>
      <c r="AA135" s="48"/>
    </row>
    <row r="136" spans="1:27" ht="16.5" customHeight="1" x14ac:dyDescent="0.15">
      <c r="A136" s="41">
        <v>15</v>
      </c>
      <c r="B136" s="41" t="s">
        <v>20784</v>
      </c>
      <c r="C136" s="127" t="s">
        <v>20785</v>
      </c>
      <c r="D136" s="523"/>
      <c r="E136" s="72"/>
      <c r="F136" s="523"/>
      <c r="G136" s="72"/>
      <c r="I136" s="57"/>
      <c r="J136" s="43"/>
      <c r="K136" s="37"/>
      <c r="L136" s="38"/>
      <c r="M136" s="299" t="s">
        <v>17556</v>
      </c>
      <c r="N136" s="45" t="s">
        <v>398</v>
      </c>
      <c r="O136" s="46">
        <v>1</v>
      </c>
      <c r="P136" s="512"/>
      <c r="Q136" s="57"/>
      <c r="R136" s="35"/>
      <c r="U136" s="57"/>
      <c r="V136" s="35"/>
      <c r="Y136" s="57"/>
      <c r="Z136" s="208">
        <f>+ROUND((ROUND((ROUND((_15_同援日１．０＿０．５*_15・２人),0)*(1+_15・B深夜)),0)*(1+_15・区３)),0)</f>
        <v>240</v>
      </c>
      <c r="AA136" s="48"/>
    </row>
    <row r="137" spans="1:27" ht="16.5" customHeight="1" x14ac:dyDescent="0.15">
      <c r="A137" s="41">
        <v>15</v>
      </c>
      <c r="B137" s="41" t="s">
        <v>20786</v>
      </c>
      <c r="C137" s="127" t="s">
        <v>20787</v>
      </c>
      <c r="D137" s="523"/>
      <c r="E137" s="72"/>
      <c r="F137" s="523"/>
      <c r="G137" s="72"/>
      <c r="I137" s="57"/>
      <c r="J137" s="114" t="s">
        <v>17558</v>
      </c>
      <c r="K137" s="49"/>
      <c r="L137" s="50"/>
      <c r="M137" s="163"/>
      <c r="N137" s="45"/>
      <c r="O137" s="46"/>
      <c r="P137" s="512"/>
      <c r="Q137" s="57"/>
      <c r="R137" s="35"/>
      <c r="U137" s="57"/>
      <c r="V137" s="72" t="s">
        <v>17570</v>
      </c>
      <c r="Y137" s="57"/>
      <c r="Z137" s="208">
        <f>+ROUND((ROUND((ROUND((_15_同援日１．０＿０．５*_15・基礎２),0)*(1+_15・B深夜)),0)*(1+_15・区３)),0)</f>
        <v>216</v>
      </c>
      <c r="AA137" s="48"/>
    </row>
    <row r="138" spans="1:27" ht="16.5" customHeight="1" x14ac:dyDescent="0.15">
      <c r="A138" s="41">
        <v>15</v>
      </c>
      <c r="B138" s="41" t="s">
        <v>20788</v>
      </c>
      <c r="C138" s="127" t="s">
        <v>20789</v>
      </c>
      <c r="D138" s="523"/>
      <c r="E138" s="72"/>
      <c r="F138" s="523"/>
      <c r="G138" s="72"/>
      <c r="I138" s="57"/>
      <c r="J138" s="269" t="s">
        <v>17560</v>
      </c>
      <c r="K138" s="37" t="s">
        <v>398</v>
      </c>
      <c r="L138" s="38">
        <v>0.9</v>
      </c>
      <c r="M138" s="299" t="s">
        <v>17556</v>
      </c>
      <c r="N138" s="45" t="s">
        <v>398</v>
      </c>
      <c r="O138" s="46">
        <v>1</v>
      </c>
      <c r="P138" s="512"/>
      <c r="Q138" s="57"/>
      <c r="R138" s="43"/>
      <c r="S138" s="37"/>
      <c r="T138" s="38"/>
      <c r="U138" s="79"/>
      <c r="V138" s="72" t="s">
        <v>17572</v>
      </c>
      <c r="Y138" s="57"/>
      <c r="Z138" s="208">
        <f>+ROUND((ROUND((ROUND((ROUND((_15_同援日１．０＿０．５*_15・基礎２),0)*_15・２人),0)*(1+_15・B深夜)),0)*(1+_15・区３)),0)</f>
        <v>216</v>
      </c>
      <c r="AA138" s="48"/>
    </row>
    <row r="139" spans="1:27" ht="16.5" customHeight="1" x14ac:dyDescent="0.15">
      <c r="A139" s="41">
        <v>15</v>
      </c>
      <c r="B139" s="41" t="s">
        <v>20790</v>
      </c>
      <c r="C139" s="127" t="s">
        <v>20791</v>
      </c>
      <c r="D139" s="523"/>
      <c r="E139" s="72"/>
      <c r="F139" s="523"/>
      <c r="G139" s="72"/>
      <c r="I139" s="57"/>
      <c r="J139" s="53"/>
      <c r="K139" s="49"/>
      <c r="L139" s="50"/>
      <c r="M139" s="163"/>
      <c r="N139" s="45"/>
      <c r="O139" s="46"/>
      <c r="P139" s="512"/>
      <c r="Q139" s="57"/>
      <c r="R139" s="114" t="s">
        <v>17562</v>
      </c>
      <c r="S139" s="49"/>
      <c r="T139" s="50"/>
      <c r="U139" s="115"/>
      <c r="V139" s="35"/>
      <c r="W139" s="12" t="s">
        <v>398</v>
      </c>
      <c r="X139" s="13">
        <v>0.2</v>
      </c>
      <c r="Y139" s="57" t="s">
        <v>3575</v>
      </c>
      <c r="Z139" s="208">
        <f>+ROUND((ROUND((ROUND((_15_同援日１．０＿０．５*(1+_15・B深夜)),0)*(1+_15・盲ろう)),0)*(1+_15・区３)),0)</f>
        <v>300</v>
      </c>
      <c r="AA139" s="48"/>
    </row>
    <row r="140" spans="1:27" ht="16.5" customHeight="1" x14ac:dyDescent="0.15">
      <c r="A140" s="41">
        <v>15</v>
      </c>
      <c r="B140" s="41" t="s">
        <v>20792</v>
      </c>
      <c r="C140" s="127" t="s">
        <v>20793</v>
      </c>
      <c r="D140" s="523"/>
      <c r="E140" s="72"/>
      <c r="F140" s="523"/>
      <c r="G140" s="72"/>
      <c r="I140" s="57"/>
      <c r="J140" s="43"/>
      <c r="K140" s="37"/>
      <c r="L140" s="38"/>
      <c r="M140" s="299" t="s">
        <v>17556</v>
      </c>
      <c r="N140" s="45" t="s">
        <v>398</v>
      </c>
      <c r="O140" s="46">
        <v>1</v>
      </c>
      <c r="P140" s="512"/>
      <c r="Q140" s="57"/>
      <c r="R140" s="92" t="s">
        <v>17564</v>
      </c>
      <c r="U140" s="57"/>
      <c r="V140" s="35"/>
      <c r="Y140" s="57"/>
      <c r="Z140" s="208">
        <f>+ROUND((ROUND((ROUND((ROUND((_15_同援日１．０＿０．５*_15・２人),0)*(1+_15・B深夜)),0)*(1+_15・盲ろう)),0)*(1+_15・区３)),0)</f>
        <v>300</v>
      </c>
      <c r="AA140" s="48"/>
    </row>
    <row r="141" spans="1:27" ht="16.5" customHeight="1" x14ac:dyDescent="0.15">
      <c r="A141" s="41">
        <v>15</v>
      </c>
      <c r="B141" s="41" t="s">
        <v>20794</v>
      </c>
      <c r="C141" s="127" t="s">
        <v>20795</v>
      </c>
      <c r="D141" s="523"/>
      <c r="E141" s="72"/>
      <c r="F141" s="523"/>
      <c r="G141" s="72"/>
      <c r="I141" s="57"/>
      <c r="J141" s="114" t="s">
        <v>17558</v>
      </c>
      <c r="K141" s="49"/>
      <c r="L141" s="50"/>
      <c r="M141" s="163"/>
      <c r="N141" s="45"/>
      <c r="O141" s="46"/>
      <c r="P141" s="512"/>
      <c r="Q141" s="57"/>
      <c r="R141" s="35"/>
      <c r="S141" s="12" t="s">
        <v>398</v>
      </c>
      <c r="T141" s="13">
        <v>0.25</v>
      </c>
      <c r="U141" s="57" t="s">
        <v>3575</v>
      </c>
      <c r="V141" s="35"/>
      <c r="Y141" s="57"/>
      <c r="Z141" s="208">
        <f>+ROUND((ROUND((ROUND((ROUND((_15_同援日１．０＿０．５*_15・基礎２),0)*(1+_15・B深夜)),0)*(1+_15・盲ろう)),0)*(1+_15・区３)),0)</f>
        <v>270</v>
      </c>
      <c r="AA141" s="48"/>
    </row>
    <row r="142" spans="1:27" ht="16.5" customHeight="1" x14ac:dyDescent="0.15">
      <c r="A142" s="41">
        <v>15</v>
      </c>
      <c r="B142" s="41" t="s">
        <v>20796</v>
      </c>
      <c r="C142" s="127" t="s">
        <v>20797</v>
      </c>
      <c r="D142" s="523"/>
      <c r="E142" s="72"/>
      <c r="F142" s="523"/>
      <c r="G142" s="72"/>
      <c r="I142" s="57"/>
      <c r="J142" s="269" t="s">
        <v>17560</v>
      </c>
      <c r="K142" s="37" t="s">
        <v>398</v>
      </c>
      <c r="L142" s="38">
        <v>0.9</v>
      </c>
      <c r="M142" s="299" t="s">
        <v>17556</v>
      </c>
      <c r="N142" s="45" t="s">
        <v>398</v>
      </c>
      <c r="O142" s="46">
        <v>1</v>
      </c>
      <c r="P142" s="512"/>
      <c r="Q142" s="57"/>
      <c r="R142" s="43"/>
      <c r="S142" s="37"/>
      <c r="T142" s="38"/>
      <c r="U142" s="79"/>
      <c r="V142" s="43"/>
      <c r="W142" s="37"/>
      <c r="X142" s="38"/>
      <c r="Y142" s="79"/>
      <c r="Z142" s="208">
        <f>+ROUND((ROUND((ROUND((ROUND((ROUND((_15_同援日１．０＿０．５*_15・基礎２),0)*_15・２人),0)*(1+_15・B深夜)),0)*(1+_15・盲ろう)),0)*(1+_15・区３)),0)</f>
        <v>270</v>
      </c>
      <c r="AA142" s="48"/>
    </row>
    <row r="143" spans="1:27" ht="16.5" customHeight="1" x14ac:dyDescent="0.15">
      <c r="A143" s="41">
        <v>15</v>
      </c>
      <c r="B143" s="41" t="s">
        <v>20798</v>
      </c>
      <c r="C143" s="127" t="s">
        <v>20799</v>
      </c>
      <c r="D143" s="523"/>
      <c r="E143" s="72"/>
      <c r="F143" s="523"/>
      <c r="G143" s="72"/>
      <c r="I143" s="57"/>
      <c r="J143" s="53"/>
      <c r="K143" s="49"/>
      <c r="L143" s="50"/>
      <c r="M143" s="163"/>
      <c r="N143" s="45"/>
      <c r="O143" s="46"/>
      <c r="P143" s="512"/>
      <c r="Q143" s="57"/>
      <c r="R143" s="53"/>
      <c r="S143" s="49"/>
      <c r="T143" s="50"/>
      <c r="U143" s="115"/>
      <c r="V143" s="53"/>
      <c r="W143" s="49"/>
      <c r="X143" s="50"/>
      <c r="Y143" s="115"/>
      <c r="Z143" s="208">
        <f>+ROUND((ROUND((_15_同援日１．０＿０．５*(1+_15・B深夜)),0)*(1+_15・区４)),0)</f>
        <v>280</v>
      </c>
      <c r="AA143" s="48"/>
    </row>
    <row r="144" spans="1:27" ht="16.5" customHeight="1" x14ac:dyDescent="0.15">
      <c r="A144" s="41">
        <v>15</v>
      </c>
      <c r="B144" s="41" t="s">
        <v>20800</v>
      </c>
      <c r="C144" s="127" t="s">
        <v>20801</v>
      </c>
      <c r="D144" s="523"/>
      <c r="E144" s="72"/>
      <c r="F144" s="523"/>
      <c r="G144" s="72"/>
      <c r="I144" s="57"/>
      <c r="J144" s="43"/>
      <c r="K144" s="37"/>
      <c r="L144" s="38"/>
      <c r="M144" s="299" t="s">
        <v>17556</v>
      </c>
      <c r="N144" s="45" t="s">
        <v>398</v>
      </c>
      <c r="O144" s="46">
        <v>1</v>
      </c>
      <c r="P144" s="512"/>
      <c r="Q144" s="57"/>
      <c r="R144" s="35"/>
      <c r="U144" s="57"/>
      <c r="V144" s="35"/>
      <c r="Y144" s="57"/>
      <c r="Z144" s="208">
        <f>+ROUND((ROUND((ROUND((_15_同援日１．０＿０．５*_15・２人),0)*(1+_15・B深夜)),0)*(1+_15・区４)),0)</f>
        <v>280</v>
      </c>
      <c r="AA144" s="48"/>
    </row>
    <row r="145" spans="1:27" ht="16.5" customHeight="1" x14ac:dyDescent="0.15">
      <c r="A145" s="41">
        <v>15</v>
      </c>
      <c r="B145" s="41" t="s">
        <v>693</v>
      </c>
      <c r="C145" s="127" t="s">
        <v>20802</v>
      </c>
      <c r="D145" s="523"/>
      <c r="E145" s="72"/>
      <c r="F145" s="523"/>
      <c r="G145" s="72"/>
      <c r="I145" s="57"/>
      <c r="J145" s="114" t="s">
        <v>17558</v>
      </c>
      <c r="K145" s="49"/>
      <c r="L145" s="50"/>
      <c r="M145" s="163"/>
      <c r="N145" s="45"/>
      <c r="O145" s="46"/>
      <c r="P145" s="512"/>
      <c r="Q145" s="57"/>
      <c r="R145" s="35"/>
      <c r="U145" s="57"/>
      <c r="V145" s="72" t="s">
        <v>17580</v>
      </c>
      <c r="Y145" s="57"/>
      <c r="Z145" s="208">
        <f>+ROUND((ROUND((ROUND((_15_同援日１．０＿０．５*_15・基礎２),0)*(1+_15・B深夜)),0)*(1+_15・区４)),0)</f>
        <v>252</v>
      </c>
      <c r="AA145" s="48"/>
    </row>
    <row r="146" spans="1:27" ht="16.5" customHeight="1" x14ac:dyDescent="0.15">
      <c r="A146" s="41">
        <v>15</v>
      </c>
      <c r="B146" s="41" t="s">
        <v>695</v>
      </c>
      <c r="C146" s="127" t="s">
        <v>20803</v>
      </c>
      <c r="D146" s="523"/>
      <c r="E146" s="72"/>
      <c r="F146" s="523"/>
      <c r="G146" s="72"/>
      <c r="I146" s="57"/>
      <c r="J146" s="269" t="s">
        <v>17560</v>
      </c>
      <c r="K146" s="37" t="s">
        <v>398</v>
      </c>
      <c r="L146" s="38">
        <v>0.9</v>
      </c>
      <c r="M146" s="299" t="s">
        <v>17556</v>
      </c>
      <c r="N146" s="45" t="s">
        <v>398</v>
      </c>
      <c r="O146" s="46">
        <v>1</v>
      </c>
      <c r="P146" s="512"/>
      <c r="Q146" s="57"/>
      <c r="R146" s="43"/>
      <c r="S146" s="37"/>
      <c r="T146" s="38"/>
      <c r="U146" s="79"/>
      <c r="V146" s="72" t="s">
        <v>17572</v>
      </c>
      <c r="Y146" s="57"/>
      <c r="Z146" s="208">
        <f>+ROUND((ROUND((ROUND((ROUND((_15_同援日１．０＿０．５*_15・基礎２),0)*_15・２人),0)*(1+_15・B深夜)),0)*(1+_15・区４)),0)</f>
        <v>252</v>
      </c>
      <c r="AA146" s="48"/>
    </row>
    <row r="147" spans="1:27" ht="16.5" customHeight="1" x14ac:dyDescent="0.15">
      <c r="A147" s="41">
        <v>15</v>
      </c>
      <c r="B147" s="41" t="s">
        <v>697</v>
      </c>
      <c r="C147" s="127" t="s">
        <v>20804</v>
      </c>
      <c r="D147" s="523"/>
      <c r="E147" s="72"/>
      <c r="F147" s="523"/>
      <c r="G147" s="72"/>
      <c r="I147" s="57"/>
      <c r="J147" s="53"/>
      <c r="K147" s="49"/>
      <c r="L147" s="50"/>
      <c r="M147" s="163"/>
      <c r="N147" s="45"/>
      <c r="O147" s="46"/>
      <c r="P147" s="512"/>
      <c r="Q147" s="57"/>
      <c r="R147" s="114" t="s">
        <v>17562</v>
      </c>
      <c r="S147" s="49"/>
      <c r="T147" s="50"/>
      <c r="U147" s="115"/>
      <c r="V147" s="35"/>
      <c r="W147" s="12" t="s">
        <v>398</v>
      </c>
      <c r="X147" s="13">
        <v>0.4</v>
      </c>
      <c r="Y147" s="57" t="s">
        <v>3575</v>
      </c>
      <c r="Z147" s="208">
        <f>+ROUND((ROUND((ROUND((_15_同援日１．０＿０．５*(1+_15・B深夜)),0)*(1+_15・盲ろう)),0)*(1+_15・区４)),0)</f>
        <v>350</v>
      </c>
      <c r="AA147" s="48"/>
    </row>
    <row r="148" spans="1:27" ht="16.5" customHeight="1" x14ac:dyDescent="0.15">
      <c r="A148" s="41">
        <v>15</v>
      </c>
      <c r="B148" s="41" t="s">
        <v>699</v>
      </c>
      <c r="C148" s="127" t="s">
        <v>20805</v>
      </c>
      <c r="D148" s="523"/>
      <c r="E148" s="72"/>
      <c r="F148" s="523"/>
      <c r="G148" s="72"/>
      <c r="I148" s="57"/>
      <c r="J148" s="43"/>
      <c r="K148" s="37"/>
      <c r="L148" s="38"/>
      <c r="M148" s="299" t="s">
        <v>17556</v>
      </c>
      <c r="N148" s="45" t="s">
        <v>398</v>
      </c>
      <c r="O148" s="46">
        <v>1</v>
      </c>
      <c r="P148" s="512"/>
      <c r="Q148" s="57"/>
      <c r="R148" s="92" t="s">
        <v>17564</v>
      </c>
      <c r="U148" s="57"/>
      <c r="V148" s="35"/>
      <c r="Y148" s="57"/>
      <c r="Z148" s="208">
        <f>+ROUND((ROUND((ROUND((ROUND((_15_同援日１．０＿０．５*_15・２人),0)*(1+_15・B深夜)),0)*(1+_15・盲ろう)),0)*(1+_15・区４)),0)</f>
        <v>350</v>
      </c>
      <c r="AA148" s="48"/>
    </row>
    <row r="149" spans="1:27" ht="16.5" customHeight="1" x14ac:dyDescent="0.15">
      <c r="A149" s="41">
        <v>15</v>
      </c>
      <c r="B149" s="41" t="s">
        <v>20806</v>
      </c>
      <c r="C149" s="127" t="s">
        <v>20807</v>
      </c>
      <c r="D149" s="523"/>
      <c r="E149" s="72"/>
      <c r="F149" s="523"/>
      <c r="G149" s="72"/>
      <c r="I149" s="57"/>
      <c r="J149" s="114" t="s">
        <v>17558</v>
      </c>
      <c r="K149" s="49"/>
      <c r="L149" s="50"/>
      <c r="M149" s="163"/>
      <c r="N149" s="45"/>
      <c r="O149" s="46"/>
      <c r="P149" s="512"/>
      <c r="Q149" s="57"/>
      <c r="R149" s="35"/>
      <c r="S149" s="12" t="s">
        <v>398</v>
      </c>
      <c r="T149" s="13">
        <v>0.25</v>
      </c>
      <c r="U149" s="57" t="s">
        <v>3575</v>
      </c>
      <c r="V149" s="35"/>
      <c r="Y149" s="57"/>
      <c r="Z149" s="208">
        <f>+ROUND((ROUND((ROUND((ROUND((_15_同援日１．０＿０．５*_15・基礎２),0)*(1+_15・B深夜)),0)*(1+_15・盲ろう)),0)*(1+_15・区４)),0)</f>
        <v>315</v>
      </c>
      <c r="AA149" s="48"/>
    </row>
    <row r="150" spans="1:27" ht="16.5" customHeight="1" x14ac:dyDescent="0.15">
      <c r="A150" s="41">
        <v>15</v>
      </c>
      <c r="B150" s="41" t="s">
        <v>20808</v>
      </c>
      <c r="C150" s="127" t="s">
        <v>20809</v>
      </c>
      <c r="D150" s="523"/>
      <c r="E150" s="72"/>
      <c r="F150" s="523"/>
      <c r="G150" s="122"/>
      <c r="H150" s="37"/>
      <c r="I150" s="79"/>
      <c r="J150" s="269" t="s">
        <v>17560</v>
      </c>
      <c r="K150" s="37" t="s">
        <v>398</v>
      </c>
      <c r="L150" s="38">
        <v>0.9</v>
      </c>
      <c r="M150" s="299" t="s">
        <v>17556</v>
      </c>
      <c r="N150" s="45" t="s">
        <v>398</v>
      </c>
      <c r="O150" s="46">
        <v>1</v>
      </c>
      <c r="P150" s="512"/>
      <c r="Q150" s="57"/>
      <c r="R150" s="43"/>
      <c r="S150" s="37"/>
      <c r="T150" s="38"/>
      <c r="U150" s="79"/>
      <c r="V150" s="43"/>
      <c r="W150" s="37"/>
      <c r="X150" s="38"/>
      <c r="Y150" s="79"/>
      <c r="Z150" s="208">
        <f>+ROUND((ROUND((ROUND((ROUND((ROUND((_15_同援日１．０＿０．５*_15・基礎２),0)*_15・２人),0)*(1+_15・B深夜)),0)*(1+_15・盲ろう)),0)*(1+_15・区４)),0)</f>
        <v>315</v>
      </c>
      <c r="AA150" s="48"/>
    </row>
    <row r="151" spans="1:27" ht="16.5" customHeight="1" x14ac:dyDescent="0.15">
      <c r="A151" s="41">
        <v>15</v>
      </c>
      <c r="B151" s="41" t="s">
        <v>20810</v>
      </c>
      <c r="C151" s="127" t="s">
        <v>20811</v>
      </c>
      <c r="D151" s="523"/>
      <c r="E151" s="72"/>
      <c r="F151" s="523"/>
      <c r="G151" s="114" t="s">
        <v>19970</v>
      </c>
      <c r="H151" s="49"/>
      <c r="I151" s="115"/>
      <c r="J151" s="53"/>
      <c r="K151" s="49"/>
      <c r="L151" s="50"/>
      <c r="M151" s="163"/>
      <c r="N151" s="45"/>
      <c r="O151" s="46"/>
      <c r="P151" s="512"/>
      <c r="Q151" s="57"/>
      <c r="R151" s="53"/>
      <c r="S151" s="49"/>
      <c r="T151" s="50"/>
      <c r="U151" s="115"/>
      <c r="V151" s="53"/>
      <c r="W151" s="49"/>
      <c r="X151" s="50"/>
      <c r="Y151" s="115"/>
      <c r="Z151" s="208">
        <f>+ROUND((_15_同援日１．０＿１．０*(1+_15・B深夜)),0)</f>
        <v>297</v>
      </c>
      <c r="AA151" s="48"/>
    </row>
    <row r="152" spans="1:27" ht="16.5" customHeight="1" x14ac:dyDescent="0.15">
      <c r="A152" s="41">
        <v>15</v>
      </c>
      <c r="B152" s="41" t="s">
        <v>20812</v>
      </c>
      <c r="C152" s="127" t="s">
        <v>20813</v>
      </c>
      <c r="D152" s="523"/>
      <c r="E152" s="72"/>
      <c r="F152" s="523"/>
      <c r="G152" s="72" t="s">
        <v>17589</v>
      </c>
      <c r="I152" s="57"/>
      <c r="J152" s="43"/>
      <c r="K152" s="37"/>
      <c r="L152" s="38"/>
      <c r="M152" s="299" t="s">
        <v>17556</v>
      </c>
      <c r="N152" s="45" t="s">
        <v>398</v>
      </c>
      <c r="O152" s="46">
        <v>1</v>
      </c>
      <c r="P152" s="512"/>
      <c r="Q152" s="57"/>
      <c r="R152" s="35"/>
      <c r="U152" s="57"/>
      <c r="V152" s="35"/>
      <c r="Y152" s="57"/>
      <c r="Z152" s="208">
        <f>+ROUND((ROUND((_15_同援日１．０＿１．０*_15・２人),0)*(1+_15・B深夜)),0)</f>
        <v>297</v>
      </c>
      <c r="AA152" s="48"/>
    </row>
    <row r="153" spans="1:27" ht="16.5" customHeight="1" x14ac:dyDescent="0.15">
      <c r="A153" s="41">
        <v>15</v>
      </c>
      <c r="B153" s="41" t="s">
        <v>20814</v>
      </c>
      <c r="C153" s="127" t="s">
        <v>20815</v>
      </c>
      <c r="D153" s="523"/>
      <c r="E153" s="72"/>
      <c r="F153" s="523"/>
      <c r="G153" s="72" t="s">
        <v>17591</v>
      </c>
      <c r="I153" s="57"/>
      <c r="J153" s="114" t="s">
        <v>17558</v>
      </c>
      <c r="K153" s="49"/>
      <c r="L153" s="50"/>
      <c r="M153" s="163"/>
      <c r="N153" s="45"/>
      <c r="O153" s="46"/>
      <c r="P153" s="512"/>
      <c r="Q153" s="57"/>
      <c r="R153" s="35"/>
      <c r="U153" s="57"/>
      <c r="V153" s="35"/>
      <c r="Y153" s="57"/>
      <c r="Z153" s="208">
        <f>+ROUND((ROUND((_15_同援日１．０＿１．０*_15・基礎２),0)*(1+_15・B深夜)),0)</f>
        <v>267</v>
      </c>
      <c r="AA153" s="48"/>
    </row>
    <row r="154" spans="1:27" ht="16.5" customHeight="1" x14ac:dyDescent="0.15">
      <c r="A154" s="41">
        <v>15</v>
      </c>
      <c r="B154" s="41" t="s">
        <v>20816</v>
      </c>
      <c r="C154" s="127" t="s">
        <v>20817</v>
      </c>
      <c r="D154" s="523"/>
      <c r="E154" s="72"/>
      <c r="F154" s="523"/>
      <c r="G154" s="72"/>
      <c r="H154" s="168">
        <f>_15_同援日１．０＿１．０</f>
        <v>198</v>
      </c>
      <c r="I154" s="57" t="s">
        <v>392</v>
      </c>
      <c r="J154" s="269" t="s">
        <v>17560</v>
      </c>
      <c r="K154" s="37" t="s">
        <v>398</v>
      </c>
      <c r="L154" s="38">
        <v>0.9</v>
      </c>
      <c r="M154" s="299" t="s">
        <v>17556</v>
      </c>
      <c r="N154" s="45" t="s">
        <v>398</v>
      </c>
      <c r="O154" s="46">
        <v>1</v>
      </c>
      <c r="P154" s="512"/>
      <c r="Q154" s="57"/>
      <c r="R154" s="43"/>
      <c r="S154" s="37"/>
      <c r="T154" s="38"/>
      <c r="U154" s="79"/>
      <c r="V154" s="35"/>
      <c r="Y154" s="57"/>
      <c r="Z154" s="208">
        <f>+ROUND((ROUND((ROUND((_15_同援日１．０＿１．０*_15・基礎２),0)*_15・２人),0)*(1+_15・B深夜)),0)</f>
        <v>267</v>
      </c>
      <c r="AA154" s="48"/>
    </row>
    <row r="155" spans="1:27" ht="16.5" customHeight="1" x14ac:dyDescent="0.15">
      <c r="A155" s="41">
        <v>15</v>
      </c>
      <c r="B155" s="41" t="s">
        <v>20818</v>
      </c>
      <c r="C155" s="127" t="s">
        <v>20819</v>
      </c>
      <c r="D155" s="523"/>
      <c r="E155" s="72"/>
      <c r="F155" s="523"/>
      <c r="G155" s="72"/>
      <c r="I155" s="57"/>
      <c r="J155" s="53"/>
      <c r="K155" s="49"/>
      <c r="L155" s="50"/>
      <c r="M155" s="163"/>
      <c r="N155" s="45"/>
      <c r="O155" s="46"/>
      <c r="P155" s="512"/>
      <c r="Q155" s="57"/>
      <c r="R155" s="114" t="s">
        <v>17562</v>
      </c>
      <c r="S155" s="49"/>
      <c r="T155" s="50"/>
      <c r="U155" s="115"/>
      <c r="V155" s="35"/>
      <c r="Y155" s="57"/>
      <c r="Z155" s="208">
        <f>+ROUND((ROUND((_15_同援日１．０＿１．０*(1+_15・B深夜)),0)*(1+_15・盲ろう)),0)</f>
        <v>371</v>
      </c>
      <c r="AA155" s="48"/>
    </row>
    <row r="156" spans="1:27" ht="16.5" customHeight="1" x14ac:dyDescent="0.15">
      <c r="A156" s="41">
        <v>15</v>
      </c>
      <c r="B156" s="41" t="s">
        <v>20820</v>
      </c>
      <c r="C156" s="127" t="s">
        <v>20821</v>
      </c>
      <c r="D156" s="523"/>
      <c r="E156" s="72"/>
      <c r="F156" s="523"/>
      <c r="G156" s="72"/>
      <c r="I156" s="57"/>
      <c r="J156" s="43"/>
      <c r="K156" s="37"/>
      <c r="L156" s="38"/>
      <c r="M156" s="299" t="s">
        <v>17556</v>
      </c>
      <c r="N156" s="45" t="s">
        <v>398</v>
      </c>
      <c r="O156" s="46">
        <v>1</v>
      </c>
      <c r="P156" s="512"/>
      <c r="Q156" s="57"/>
      <c r="R156" s="92" t="s">
        <v>17564</v>
      </c>
      <c r="U156" s="57"/>
      <c r="V156" s="35"/>
      <c r="Y156" s="57"/>
      <c r="Z156" s="208">
        <f>+ROUND((ROUND((ROUND((_15_同援日１．０＿１．０*_15・２人),0)*(1+_15・B深夜)),0)*(1+_15・盲ろう)),0)</f>
        <v>371</v>
      </c>
      <c r="AA156" s="48"/>
    </row>
    <row r="157" spans="1:27" ht="16.5" customHeight="1" x14ac:dyDescent="0.15">
      <c r="A157" s="41">
        <v>15</v>
      </c>
      <c r="B157" s="41" t="s">
        <v>20822</v>
      </c>
      <c r="C157" s="127" t="s">
        <v>20823</v>
      </c>
      <c r="D157" s="523"/>
      <c r="E157" s="72"/>
      <c r="F157" s="523"/>
      <c r="G157" s="72"/>
      <c r="I157" s="57"/>
      <c r="J157" s="114" t="s">
        <v>17558</v>
      </c>
      <c r="K157" s="49"/>
      <c r="L157" s="50"/>
      <c r="M157" s="163"/>
      <c r="N157" s="45"/>
      <c r="O157" s="46"/>
      <c r="P157" s="512"/>
      <c r="Q157" s="57"/>
      <c r="R157" s="35"/>
      <c r="S157" s="12" t="s">
        <v>398</v>
      </c>
      <c r="T157" s="13">
        <v>0.25</v>
      </c>
      <c r="U157" s="57" t="s">
        <v>3575</v>
      </c>
      <c r="V157" s="35"/>
      <c r="Y157" s="57"/>
      <c r="Z157" s="208">
        <f>+ROUND((ROUND((ROUND((_15_同援日１．０＿１．０*_15・基礎２),0)*(1+_15・B深夜)),0)*(1+_15・盲ろう)),0)</f>
        <v>334</v>
      </c>
      <c r="AA157" s="48"/>
    </row>
    <row r="158" spans="1:27" ht="16.5" customHeight="1" x14ac:dyDescent="0.15">
      <c r="A158" s="41">
        <v>15</v>
      </c>
      <c r="B158" s="41" t="s">
        <v>20824</v>
      </c>
      <c r="C158" s="127" t="s">
        <v>20825</v>
      </c>
      <c r="D158" s="523"/>
      <c r="E158" s="72"/>
      <c r="F158" s="523"/>
      <c r="G158" s="72"/>
      <c r="I158" s="57"/>
      <c r="J158" s="269" t="s">
        <v>17560</v>
      </c>
      <c r="K158" s="37" t="s">
        <v>398</v>
      </c>
      <c r="L158" s="38">
        <v>0.9</v>
      </c>
      <c r="M158" s="299" t="s">
        <v>17556</v>
      </c>
      <c r="N158" s="45" t="s">
        <v>398</v>
      </c>
      <c r="O158" s="46">
        <v>1</v>
      </c>
      <c r="P158" s="512"/>
      <c r="Q158" s="57"/>
      <c r="R158" s="43"/>
      <c r="S158" s="37"/>
      <c r="T158" s="38"/>
      <c r="U158" s="79"/>
      <c r="V158" s="43"/>
      <c r="W158" s="37"/>
      <c r="X158" s="38"/>
      <c r="Y158" s="79"/>
      <c r="Z158" s="208">
        <f>+ROUND((ROUND((ROUND((ROUND((_15_同援日１．０＿１．０*_15・基礎２),0)*_15・２人),0)*(1+_15・B深夜)),0)*(1+_15・盲ろう)),0)</f>
        <v>334</v>
      </c>
      <c r="AA158" s="48"/>
    </row>
    <row r="159" spans="1:27" ht="16.5" customHeight="1" x14ac:dyDescent="0.15">
      <c r="A159" s="41">
        <v>15</v>
      </c>
      <c r="B159" s="41" t="s">
        <v>20826</v>
      </c>
      <c r="C159" s="127" t="s">
        <v>20827</v>
      </c>
      <c r="D159" s="523"/>
      <c r="E159" s="72"/>
      <c r="F159" s="523"/>
      <c r="G159" s="72"/>
      <c r="I159" s="57"/>
      <c r="J159" s="53"/>
      <c r="K159" s="49"/>
      <c r="L159" s="50"/>
      <c r="M159" s="163"/>
      <c r="N159" s="45"/>
      <c r="O159" s="46"/>
      <c r="P159" s="512"/>
      <c r="Q159" s="57"/>
      <c r="R159" s="53"/>
      <c r="S159" s="49"/>
      <c r="T159" s="50"/>
      <c r="U159" s="115"/>
      <c r="V159" s="53"/>
      <c r="W159" s="49"/>
      <c r="X159" s="50"/>
      <c r="Y159" s="115"/>
      <c r="Z159" s="208">
        <f>+ROUND((ROUND((_15_同援日１．０＿１．０*(1+_15・B深夜)),0)*(1+_15・区３)),0)</f>
        <v>356</v>
      </c>
      <c r="AA159" s="48"/>
    </row>
    <row r="160" spans="1:27" ht="16.5" customHeight="1" x14ac:dyDescent="0.15">
      <c r="A160" s="41">
        <v>15</v>
      </c>
      <c r="B160" s="41" t="s">
        <v>20828</v>
      </c>
      <c r="C160" s="127" t="s">
        <v>20829</v>
      </c>
      <c r="D160" s="523"/>
      <c r="E160" s="72"/>
      <c r="F160" s="523"/>
      <c r="G160" s="72"/>
      <c r="I160" s="57"/>
      <c r="J160" s="43"/>
      <c r="K160" s="37"/>
      <c r="L160" s="38"/>
      <c r="M160" s="299" t="s">
        <v>17556</v>
      </c>
      <c r="N160" s="45" t="s">
        <v>398</v>
      </c>
      <c r="O160" s="46">
        <v>1</v>
      </c>
      <c r="P160" s="512"/>
      <c r="Q160" s="57"/>
      <c r="R160" s="35"/>
      <c r="U160" s="57"/>
      <c r="V160" s="35"/>
      <c r="Y160" s="57"/>
      <c r="Z160" s="208">
        <f>+ROUND((ROUND((ROUND((_15_同援日１．０＿１．０*_15・２人),0)*(1+_15・B深夜)),0)*(1+_15・区３)),0)</f>
        <v>356</v>
      </c>
      <c r="AA160" s="48"/>
    </row>
    <row r="161" spans="1:27" ht="16.5" customHeight="1" x14ac:dyDescent="0.15">
      <c r="A161" s="41">
        <v>15</v>
      </c>
      <c r="B161" s="41" t="s">
        <v>20830</v>
      </c>
      <c r="C161" s="127" t="s">
        <v>20831</v>
      </c>
      <c r="D161" s="523"/>
      <c r="E161" s="72"/>
      <c r="F161" s="523"/>
      <c r="G161" s="72"/>
      <c r="I161" s="57"/>
      <c r="J161" s="114" t="s">
        <v>17558</v>
      </c>
      <c r="K161" s="49"/>
      <c r="L161" s="50"/>
      <c r="M161" s="163"/>
      <c r="N161" s="45"/>
      <c r="O161" s="46"/>
      <c r="P161" s="512"/>
      <c r="Q161" s="57"/>
      <c r="R161" s="35"/>
      <c r="U161" s="57"/>
      <c r="V161" s="72" t="s">
        <v>17570</v>
      </c>
      <c r="Y161" s="57"/>
      <c r="Z161" s="208">
        <f>+ROUND((ROUND((ROUND((_15_同援日１．０＿１．０*_15・基礎２),0)*(1+_15・B深夜)),0)*(1+_15・区３)),0)</f>
        <v>320</v>
      </c>
      <c r="AA161" s="48"/>
    </row>
    <row r="162" spans="1:27" ht="16.5" customHeight="1" x14ac:dyDescent="0.15">
      <c r="A162" s="41">
        <v>15</v>
      </c>
      <c r="B162" s="41" t="s">
        <v>20832</v>
      </c>
      <c r="C162" s="127" t="s">
        <v>20833</v>
      </c>
      <c r="D162" s="523"/>
      <c r="E162" s="72"/>
      <c r="F162" s="523"/>
      <c r="G162" s="72"/>
      <c r="I162" s="57"/>
      <c r="J162" s="269" t="s">
        <v>17560</v>
      </c>
      <c r="K162" s="37" t="s">
        <v>398</v>
      </c>
      <c r="L162" s="38">
        <v>0.9</v>
      </c>
      <c r="M162" s="299" t="s">
        <v>17556</v>
      </c>
      <c r="N162" s="45" t="s">
        <v>398</v>
      </c>
      <c r="O162" s="46">
        <v>1</v>
      </c>
      <c r="P162" s="512"/>
      <c r="Q162" s="57"/>
      <c r="R162" s="43"/>
      <c r="S162" s="37"/>
      <c r="T162" s="38"/>
      <c r="U162" s="79"/>
      <c r="V162" s="72" t="s">
        <v>17572</v>
      </c>
      <c r="Y162" s="57"/>
      <c r="Z162" s="208">
        <f>+ROUND((ROUND((ROUND((ROUND((_15_同援日１．０＿１．０*_15・基礎２),0)*_15・２人),0)*(1+_15・B深夜)),0)*(1+_15・区３)),0)</f>
        <v>320</v>
      </c>
      <c r="AA162" s="48"/>
    </row>
    <row r="163" spans="1:27" ht="16.5" customHeight="1" x14ac:dyDescent="0.15">
      <c r="A163" s="41">
        <v>15</v>
      </c>
      <c r="B163" s="41" t="s">
        <v>20834</v>
      </c>
      <c r="C163" s="127" t="s">
        <v>20835</v>
      </c>
      <c r="D163" s="523"/>
      <c r="E163" s="72"/>
      <c r="F163" s="523"/>
      <c r="G163" s="72"/>
      <c r="I163" s="57"/>
      <c r="J163" s="53"/>
      <c r="K163" s="49"/>
      <c r="L163" s="50"/>
      <c r="M163" s="163"/>
      <c r="N163" s="45"/>
      <c r="O163" s="46"/>
      <c r="P163" s="512"/>
      <c r="Q163" s="57"/>
      <c r="R163" s="114" t="s">
        <v>17562</v>
      </c>
      <c r="S163" s="49"/>
      <c r="T163" s="50"/>
      <c r="U163" s="115"/>
      <c r="V163" s="35"/>
      <c r="W163" s="12" t="s">
        <v>398</v>
      </c>
      <c r="X163" s="13">
        <v>0.2</v>
      </c>
      <c r="Y163" s="57" t="s">
        <v>3575</v>
      </c>
      <c r="Z163" s="208">
        <f>+ROUND((ROUND((ROUND((_15_同援日１．０＿１．０*(1+_15・B深夜)),0)*(1+_15・盲ろう)),0)*(1+_15・区３)),0)</f>
        <v>445</v>
      </c>
      <c r="AA163" s="48"/>
    </row>
    <row r="164" spans="1:27" ht="16.5" customHeight="1" x14ac:dyDescent="0.15">
      <c r="A164" s="41">
        <v>15</v>
      </c>
      <c r="B164" s="41" t="s">
        <v>20836</v>
      </c>
      <c r="C164" s="127" t="s">
        <v>20837</v>
      </c>
      <c r="D164" s="523"/>
      <c r="E164" s="72"/>
      <c r="F164" s="523"/>
      <c r="G164" s="72"/>
      <c r="I164" s="57"/>
      <c r="J164" s="43"/>
      <c r="K164" s="37"/>
      <c r="L164" s="38"/>
      <c r="M164" s="299" t="s">
        <v>17556</v>
      </c>
      <c r="N164" s="45" t="s">
        <v>398</v>
      </c>
      <c r="O164" s="46">
        <v>1</v>
      </c>
      <c r="P164" s="512"/>
      <c r="Q164" s="57"/>
      <c r="R164" s="92" t="s">
        <v>17564</v>
      </c>
      <c r="U164" s="57"/>
      <c r="V164" s="35"/>
      <c r="Y164" s="57"/>
      <c r="Z164" s="208">
        <f>+ROUND((ROUND((ROUND((ROUND((_15_同援日１．０＿１．０*_15・２人),0)*(1+_15・B深夜)),0)*(1+_15・盲ろう)),0)*(1+_15・区３)),0)</f>
        <v>445</v>
      </c>
      <c r="AA164" s="48"/>
    </row>
    <row r="165" spans="1:27" ht="16.5" customHeight="1" x14ac:dyDescent="0.15">
      <c r="A165" s="41">
        <v>15</v>
      </c>
      <c r="B165" s="41" t="s">
        <v>706</v>
      </c>
      <c r="C165" s="127" t="s">
        <v>20838</v>
      </c>
      <c r="D165" s="523"/>
      <c r="E165" s="72"/>
      <c r="F165" s="523"/>
      <c r="G165" s="72"/>
      <c r="I165" s="57"/>
      <c r="J165" s="114" t="s">
        <v>17558</v>
      </c>
      <c r="K165" s="49"/>
      <c r="L165" s="50"/>
      <c r="M165" s="163"/>
      <c r="N165" s="45"/>
      <c r="O165" s="46"/>
      <c r="P165" s="512"/>
      <c r="Q165" s="57"/>
      <c r="R165" s="35"/>
      <c r="S165" s="12" t="s">
        <v>398</v>
      </c>
      <c r="T165" s="13">
        <v>0.25</v>
      </c>
      <c r="U165" s="57" t="s">
        <v>3575</v>
      </c>
      <c r="V165" s="35"/>
      <c r="Y165" s="57"/>
      <c r="Z165" s="208">
        <f>+ROUND((ROUND((ROUND((ROUND((_15_同援日１．０＿１．０*_15・基礎２),0)*(1+_15・B深夜)),0)*(1+_15・盲ろう)),0)*(1+_15・区３)),0)</f>
        <v>401</v>
      </c>
      <c r="AA165" s="48"/>
    </row>
    <row r="166" spans="1:27" ht="16.5" customHeight="1" x14ac:dyDescent="0.15">
      <c r="A166" s="41">
        <v>15</v>
      </c>
      <c r="B166" s="41" t="s">
        <v>708</v>
      </c>
      <c r="C166" s="127" t="s">
        <v>20839</v>
      </c>
      <c r="D166" s="523"/>
      <c r="E166" s="72"/>
      <c r="F166" s="523"/>
      <c r="G166" s="72"/>
      <c r="I166" s="57"/>
      <c r="J166" s="269" t="s">
        <v>17560</v>
      </c>
      <c r="K166" s="37" t="s">
        <v>398</v>
      </c>
      <c r="L166" s="38">
        <v>0.9</v>
      </c>
      <c r="M166" s="299" t="s">
        <v>17556</v>
      </c>
      <c r="N166" s="45" t="s">
        <v>398</v>
      </c>
      <c r="O166" s="46">
        <v>1</v>
      </c>
      <c r="P166" s="512"/>
      <c r="Q166" s="57"/>
      <c r="R166" s="43"/>
      <c r="S166" s="37"/>
      <c r="T166" s="38"/>
      <c r="U166" s="79"/>
      <c r="V166" s="43"/>
      <c r="W166" s="37"/>
      <c r="X166" s="38"/>
      <c r="Y166" s="79"/>
      <c r="Z166" s="208">
        <f>+ROUND((ROUND((ROUND((ROUND((ROUND((_15_同援日１．０＿１．０*_15・基礎２),0)*_15・２人),0)*(1+_15・B深夜)),0)*(1+_15・盲ろう)),0)*(1+_15・区３)),0)</f>
        <v>401</v>
      </c>
      <c r="AA166" s="48"/>
    </row>
    <row r="167" spans="1:27" ht="16.5" customHeight="1" x14ac:dyDescent="0.15">
      <c r="A167" s="41">
        <v>15</v>
      </c>
      <c r="B167" s="41" t="s">
        <v>710</v>
      </c>
      <c r="C167" s="127" t="s">
        <v>20840</v>
      </c>
      <c r="D167" s="523"/>
      <c r="E167" s="72"/>
      <c r="F167" s="523"/>
      <c r="G167" s="72"/>
      <c r="I167" s="57"/>
      <c r="J167" s="53"/>
      <c r="K167" s="49"/>
      <c r="L167" s="50"/>
      <c r="M167" s="163"/>
      <c r="N167" s="45"/>
      <c r="O167" s="46"/>
      <c r="P167" s="512"/>
      <c r="Q167" s="57"/>
      <c r="R167" s="53"/>
      <c r="S167" s="49"/>
      <c r="T167" s="50"/>
      <c r="U167" s="115"/>
      <c r="V167" s="53"/>
      <c r="W167" s="49"/>
      <c r="X167" s="50"/>
      <c r="Y167" s="115"/>
      <c r="Z167" s="208">
        <f>+ROUND((ROUND((_15_同援日１．０＿１．０*(1+_15・B深夜)),0)*(1+_15・区４)),0)</f>
        <v>416</v>
      </c>
      <c r="AA167" s="48"/>
    </row>
    <row r="168" spans="1:27" ht="16.5" customHeight="1" x14ac:dyDescent="0.15">
      <c r="A168" s="41">
        <v>15</v>
      </c>
      <c r="B168" s="41" t="s">
        <v>712</v>
      </c>
      <c r="C168" s="127" t="s">
        <v>20841</v>
      </c>
      <c r="D168" s="523"/>
      <c r="E168" s="72"/>
      <c r="F168" s="523"/>
      <c r="G168" s="72"/>
      <c r="I168" s="57"/>
      <c r="J168" s="43"/>
      <c r="K168" s="37"/>
      <c r="L168" s="38"/>
      <c r="M168" s="299" t="s">
        <v>17556</v>
      </c>
      <c r="N168" s="45" t="s">
        <v>398</v>
      </c>
      <c r="O168" s="46">
        <v>1</v>
      </c>
      <c r="P168" s="512"/>
      <c r="Q168" s="57"/>
      <c r="R168" s="35"/>
      <c r="U168" s="57"/>
      <c r="V168" s="35"/>
      <c r="Y168" s="57"/>
      <c r="Z168" s="208">
        <f>+ROUND((ROUND((ROUND((_15_同援日１．０＿１．０*_15・２人),0)*(1+_15・B深夜)),0)*(1+_15・区４)),0)</f>
        <v>416</v>
      </c>
      <c r="AA168" s="48"/>
    </row>
    <row r="169" spans="1:27" ht="16.5" customHeight="1" x14ac:dyDescent="0.15">
      <c r="A169" s="41">
        <v>15</v>
      </c>
      <c r="B169" s="41" t="s">
        <v>20842</v>
      </c>
      <c r="C169" s="127" t="s">
        <v>20843</v>
      </c>
      <c r="D169" s="523"/>
      <c r="E169" s="72"/>
      <c r="F169" s="523"/>
      <c r="G169" s="72"/>
      <c r="I169" s="57"/>
      <c r="J169" s="114" t="s">
        <v>17558</v>
      </c>
      <c r="K169" s="49"/>
      <c r="L169" s="50"/>
      <c r="M169" s="163"/>
      <c r="N169" s="45"/>
      <c r="O169" s="46"/>
      <c r="P169" s="512"/>
      <c r="Q169" s="57"/>
      <c r="R169" s="35"/>
      <c r="U169" s="57"/>
      <c r="V169" s="72" t="s">
        <v>17580</v>
      </c>
      <c r="Y169" s="57"/>
      <c r="Z169" s="208">
        <f>+ROUND((ROUND((ROUND((_15_同援日１．０＿１．０*_15・基礎２),0)*(1+_15・B深夜)),0)*(1+_15・区４)),0)</f>
        <v>374</v>
      </c>
      <c r="AA169" s="48"/>
    </row>
    <row r="170" spans="1:27" ht="16.5" customHeight="1" x14ac:dyDescent="0.15">
      <c r="A170" s="41">
        <v>15</v>
      </c>
      <c r="B170" s="41" t="s">
        <v>20844</v>
      </c>
      <c r="C170" s="127" t="s">
        <v>20845</v>
      </c>
      <c r="D170" s="523"/>
      <c r="E170" s="72"/>
      <c r="F170" s="523"/>
      <c r="G170" s="72"/>
      <c r="I170" s="57"/>
      <c r="J170" s="269" t="s">
        <v>17560</v>
      </c>
      <c r="K170" s="37" t="s">
        <v>398</v>
      </c>
      <c r="L170" s="38">
        <v>0.9</v>
      </c>
      <c r="M170" s="299" t="s">
        <v>17556</v>
      </c>
      <c r="N170" s="45" t="s">
        <v>398</v>
      </c>
      <c r="O170" s="46">
        <v>1</v>
      </c>
      <c r="P170" s="512"/>
      <c r="Q170" s="57"/>
      <c r="R170" s="43"/>
      <c r="S170" s="37"/>
      <c r="T170" s="38"/>
      <c r="U170" s="79"/>
      <c r="V170" s="72" t="s">
        <v>17572</v>
      </c>
      <c r="Y170" s="57"/>
      <c r="Z170" s="208">
        <f>+ROUND((ROUND((ROUND((ROUND((_15_同援日１．０＿１．０*_15・基礎２),0)*_15・２人),0)*(1+_15・B深夜)),0)*(1+_15・区４)),0)</f>
        <v>374</v>
      </c>
      <c r="AA170" s="48"/>
    </row>
    <row r="171" spans="1:27" ht="16.5" customHeight="1" x14ac:dyDescent="0.15">
      <c r="A171" s="41">
        <v>15</v>
      </c>
      <c r="B171" s="41" t="s">
        <v>20846</v>
      </c>
      <c r="C171" s="127" t="s">
        <v>20847</v>
      </c>
      <c r="D171" s="523"/>
      <c r="E171" s="72"/>
      <c r="F171" s="523"/>
      <c r="G171" s="72"/>
      <c r="I171" s="57"/>
      <c r="J171" s="53"/>
      <c r="K171" s="49"/>
      <c r="L171" s="50"/>
      <c r="M171" s="163"/>
      <c r="N171" s="45"/>
      <c r="O171" s="46"/>
      <c r="P171" s="512"/>
      <c r="Q171" s="57"/>
      <c r="R171" s="114" t="s">
        <v>17562</v>
      </c>
      <c r="S171" s="49"/>
      <c r="T171" s="50"/>
      <c r="U171" s="115"/>
      <c r="V171" s="35"/>
      <c r="W171" s="12" t="s">
        <v>398</v>
      </c>
      <c r="X171" s="13">
        <v>0.4</v>
      </c>
      <c r="Y171" s="57" t="s">
        <v>3575</v>
      </c>
      <c r="Z171" s="208">
        <f>+ROUND((ROUND((ROUND((_15_同援日１．０＿１．０*(1+_15・B深夜)),0)*(1+_15・盲ろう)),0)*(1+_15・区４)),0)</f>
        <v>519</v>
      </c>
      <c r="AA171" s="48"/>
    </row>
    <row r="172" spans="1:27" ht="16.5" customHeight="1" x14ac:dyDescent="0.15">
      <c r="A172" s="41">
        <v>15</v>
      </c>
      <c r="B172" s="41" t="s">
        <v>20848</v>
      </c>
      <c r="C172" s="127" t="s">
        <v>20849</v>
      </c>
      <c r="D172" s="523"/>
      <c r="E172" s="72"/>
      <c r="F172" s="523"/>
      <c r="G172" s="72"/>
      <c r="I172" s="57"/>
      <c r="J172" s="43"/>
      <c r="K172" s="37"/>
      <c r="L172" s="38"/>
      <c r="M172" s="299" t="s">
        <v>17556</v>
      </c>
      <c r="N172" s="45" t="s">
        <v>398</v>
      </c>
      <c r="O172" s="46">
        <v>1</v>
      </c>
      <c r="P172" s="512"/>
      <c r="Q172" s="57"/>
      <c r="R172" s="92" t="s">
        <v>17564</v>
      </c>
      <c r="U172" s="57"/>
      <c r="V172" s="35"/>
      <c r="Y172" s="57"/>
      <c r="Z172" s="208">
        <f>+ROUND((ROUND((ROUND((ROUND((_15_同援日１．０＿１．０*_15・２人),0)*(1+_15・B深夜)),0)*(1+_15・盲ろう)),0)*(1+_15・区４)),0)</f>
        <v>519</v>
      </c>
      <c r="AA172" s="48"/>
    </row>
    <row r="173" spans="1:27" ht="16.5" customHeight="1" x14ac:dyDescent="0.15">
      <c r="A173" s="41">
        <v>15</v>
      </c>
      <c r="B173" s="41" t="s">
        <v>20850</v>
      </c>
      <c r="C173" s="127" t="s">
        <v>20851</v>
      </c>
      <c r="D173" s="523"/>
      <c r="E173" s="72"/>
      <c r="F173" s="523"/>
      <c r="G173" s="72"/>
      <c r="I173" s="57"/>
      <c r="J173" s="114" t="s">
        <v>17558</v>
      </c>
      <c r="K173" s="49"/>
      <c r="L173" s="50"/>
      <c r="M173" s="163"/>
      <c r="N173" s="45"/>
      <c r="O173" s="46"/>
      <c r="P173" s="512"/>
      <c r="Q173" s="57"/>
      <c r="R173" s="35"/>
      <c r="S173" s="12" t="s">
        <v>398</v>
      </c>
      <c r="T173" s="13">
        <v>0.25</v>
      </c>
      <c r="U173" s="57" t="s">
        <v>3575</v>
      </c>
      <c r="V173" s="35"/>
      <c r="Y173" s="57"/>
      <c r="Z173" s="208">
        <f>+ROUND((ROUND((ROUND((ROUND((_15_同援日１．０＿１．０*_15・基礎２),0)*(1+_15・B深夜)),0)*(1+_15・盲ろう)),0)*(1+_15・区４)),0)</f>
        <v>468</v>
      </c>
      <c r="AA173" s="48"/>
    </row>
    <row r="174" spans="1:27" ht="16.5" customHeight="1" x14ac:dyDescent="0.15">
      <c r="A174" s="41">
        <v>15</v>
      </c>
      <c r="B174" s="41" t="s">
        <v>20852</v>
      </c>
      <c r="C174" s="127" t="s">
        <v>20853</v>
      </c>
      <c r="D174" s="523"/>
      <c r="E174" s="72"/>
      <c r="F174" s="523"/>
      <c r="G174" s="122"/>
      <c r="H174" s="37"/>
      <c r="I174" s="79"/>
      <c r="J174" s="269" t="s">
        <v>17560</v>
      </c>
      <c r="K174" s="37" t="s">
        <v>398</v>
      </c>
      <c r="L174" s="38">
        <v>0.9</v>
      </c>
      <c r="M174" s="299" t="s">
        <v>17556</v>
      </c>
      <c r="N174" s="45" t="s">
        <v>398</v>
      </c>
      <c r="O174" s="46">
        <v>1</v>
      </c>
      <c r="P174" s="512"/>
      <c r="Q174" s="57"/>
      <c r="R174" s="43"/>
      <c r="S174" s="37"/>
      <c r="T174" s="38"/>
      <c r="U174" s="79"/>
      <c r="V174" s="43"/>
      <c r="W174" s="37"/>
      <c r="X174" s="38"/>
      <c r="Y174" s="79"/>
      <c r="Z174" s="208">
        <f>+ROUND((ROUND((ROUND((ROUND((ROUND((_15_同援日１．０＿１．０*_15・基礎２),0)*_15・２人),0)*(1+_15・B深夜)),0)*(1+_15・盲ろう)),0)*(1+_15・区４)),0)</f>
        <v>468</v>
      </c>
      <c r="AA174" s="48"/>
    </row>
    <row r="175" spans="1:27" ht="16.5" customHeight="1" x14ac:dyDescent="0.15">
      <c r="A175" s="41">
        <v>15</v>
      </c>
      <c r="B175" s="41" t="s">
        <v>20854</v>
      </c>
      <c r="C175" s="127" t="s">
        <v>20855</v>
      </c>
      <c r="D175" s="523"/>
      <c r="E175" s="72"/>
      <c r="F175" s="523"/>
      <c r="G175" s="114" t="s">
        <v>19995</v>
      </c>
      <c r="H175" s="49"/>
      <c r="I175" s="115"/>
      <c r="J175" s="53"/>
      <c r="K175" s="49"/>
      <c r="L175" s="50"/>
      <c r="M175" s="163"/>
      <c r="N175" s="45"/>
      <c r="O175" s="46"/>
      <c r="P175" s="512"/>
      <c r="Q175" s="57"/>
      <c r="R175" s="53"/>
      <c r="S175" s="49"/>
      <c r="T175" s="50"/>
      <c r="U175" s="115"/>
      <c r="V175" s="53"/>
      <c r="W175" s="49"/>
      <c r="X175" s="50"/>
      <c r="Y175" s="115"/>
      <c r="Z175" s="208">
        <f>+ROUND((_15_同援日１．０＿１．５*(1+_15・B深夜)),0)</f>
        <v>395</v>
      </c>
      <c r="AA175" s="48"/>
    </row>
    <row r="176" spans="1:27" ht="16.5" customHeight="1" x14ac:dyDescent="0.15">
      <c r="A176" s="41">
        <v>15</v>
      </c>
      <c r="B176" s="41" t="s">
        <v>20856</v>
      </c>
      <c r="C176" s="127" t="s">
        <v>20857</v>
      </c>
      <c r="D176" s="523"/>
      <c r="E176" s="72"/>
      <c r="F176" s="523"/>
      <c r="G176" s="72" t="s">
        <v>17616</v>
      </c>
      <c r="I176" s="57"/>
      <c r="J176" s="43"/>
      <c r="K176" s="37"/>
      <c r="L176" s="38"/>
      <c r="M176" s="299" t="s">
        <v>17556</v>
      </c>
      <c r="N176" s="45" t="s">
        <v>398</v>
      </c>
      <c r="O176" s="46">
        <v>1</v>
      </c>
      <c r="P176" s="512"/>
      <c r="Q176" s="57"/>
      <c r="R176" s="35"/>
      <c r="U176" s="57"/>
      <c r="V176" s="35"/>
      <c r="Y176" s="57"/>
      <c r="Z176" s="208">
        <f>+ROUND((ROUND((_15_同援日１．０＿１．５*_15・２人),0)*(1+_15・B深夜)),0)</f>
        <v>395</v>
      </c>
      <c r="AA176" s="48"/>
    </row>
    <row r="177" spans="1:27" ht="16.5" customHeight="1" x14ac:dyDescent="0.15">
      <c r="A177" s="41">
        <v>15</v>
      </c>
      <c r="B177" s="41" t="s">
        <v>20858</v>
      </c>
      <c r="C177" s="127" t="s">
        <v>20859</v>
      </c>
      <c r="D177" s="523"/>
      <c r="E177" s="72"/>
      <c r="F177" s="523"/>
      <c r="G177" s="72" t="s">
        <v>18183</v>
      </c>
      <c r="I177" s="57"/>
      <c r="J177" s="114" t="s">
        <v>17558</v>
      </c>
      <c r="K177" s="49"/>
      <c r="L177" s="50"/>
      <c r="M177" s="163"/>
      <c r="N177" s="45"/>
      <c r="O177" s="46"/>
      <c r="P177" s="512"/>
      <c r="Q177" s="57"/>
      <c r="R177" s="35"/>
      <c r="U177" s="57"/>
      <c r="V177" s="35"/>
      <c r="Y177" s="57"/>
      <c r="Z177" s="208">
        <f>+ROUND((ROUND((_15_同援日１．０＿１．５*_15・基礎２),0)*(1+_15・B深夜)),0)</f>
        <v>356</v>
      </c>
      <c r="AA177" s="48"/>
    </row>
    <row r="178" spans="1:27" ht="16.5" customHeight="1" x14ac:dyDescent="0.15">
      <c r="A178" s="41">
        <v>15</v>
      </c>
      <c r="B178" s="41" t="s">
        <v>20860</v>
      </c>
      <c r="C178" s="127" t="s">
        <v>20861</v>
      </c>
      <c r="D178" s="523"/>
      <c r="E178" s="72"/>
      <c r="F178" s="523"/>
      <c r="G178" s="72"/>
      <c r="H178" s="168">
        <f>_15_同援日１．０＿１．５</f>
        <v>263</v>
      </c>
      <c r="I178" s="57" t="s">
        <v>392</v>
      </c>
      <c r="J178" s="269" t="s">
        <v>17560</v>
      </c>
      <c r="K178" s="37" t="s">
        <v>398</v>
      </c>
      <c r="L178" s="38">
        <v>0.9</v>
      </c>
      <c r="M178" s="299" t="s">
        <v>17556</v>
      </c>
      <c r="N178" s="45" t="s">
        <v>398</v>
      </c>
      <c r="O178" s="46">
        <v>1</v>
      </c>
      <c r="P178" s="512"/>
      <c r="Q178" s="57"/>
      <c r="R178" s="43"/>
      <c r="S178" s="37"/>
      <c r="T178" s="38"/>
      <c r="U178" s="79"/>
      <c r="V178" s="35"/>
      <c r="Y178" s="57"/>
      <c r="Z178" s="208">
        <f>+ROUND((ROUND((ROUND((_15_同援日１．０＿１．５*_15・基礎２),0)*_15・２人),0)*(1+_15・B深夜)),0)</f>
        <v>356</v>
      </c>
      <c r="AA178" s="48"/>
    </row>
    <row r="179" spans="1:27" ht="16.5" customHeight="1" x14ac:dyDescent="0.15">
      <c r="A179" s="41">
        <v>15</v>
      </c>
      <c r="B179" s="41" t="s">
        <v>20862</v>
      </c>
      <c r="C179" s="127" t="s">
        <v>20863</v>
      </c>
      <c r="D179" s="523"/>
      <c r="E179" s="72"/>
      <c r="F179" s="523"/>
      <c r="G179" s="72"/>
      <c r="I179" s="57"/>
      <c r="J179" s="53"/>
      <c r="K179" s="49"/>
      <c r="L179" s="50"/>
      <c r="M179" s="163"/>
      <c r="N179" s="45"/>
      <c r="O179" s="46"/>
      <c r="P179" s="512"/>
      <c r="Q179" s="57"/>
      <c r="R179" s="114" t="s">
        <v>17562</v>
      </c>
      <c r="S179" s="49"/>
      <c r="T179" s="50"/>
      <c r="U179" s="115"/>
      <c r="V179" s="35"/>
      <c r="Y179" s="57"/>
      <c r="Z179" s="208">
        <f>+ROUND((ROUND((_15_同援日１．０＿１．５*(1+_15・B深夜)),0)*(1+_15・盲ろう)),0)</f>
        <v>494</v>
      </c>
      <c r="AA179" s="48"/>
    </row>
    <row r="180" spans="1:27" ht="16.5" customHeight="1" x14ac:dyDescent="0.15">
      <c r="A180" s="41">
        <v>15</v>
      </c>
      <c r="B180" s="41" t="s">
        <v>20864</v>
      </c>
      <c r="C180" s="127" t="s">
        <v>20865</v>
      </c>
      <c r="D180" s="523"/>
      <c r="E180" s="72"/>
      <c r="F180" s="523"/>
      <c r="G180" s="72"/>
      <c r="I180" s="57"/>
      <c r="J180" s="43"/>
      <c r="K180" s="37"/>
      <c r="L180" s="38"/>
      <c r="M180" s="299" t="s">
        <v>17556</v>
      </c>
      <c r="N180" s="45" t="s">
        <v>398</v>
      </c>
      <c r="O180" s="46">
        <v>1</v>
      </c>
      <c r="P180" s="512"/>
      <c r="Q180" s="57"/>
      <c r="R180" s="92" t="s">
        <v>17564</v>
      </c>
      <c r="U180" s="57"/>
      <c r="V180" s="35"/>
      <c r="Y180" s="57"/>
      <c r="Z180" s="208">
        <f>+ROUND((ROUND((ROUND((_15_同援日１．０＿１．５*_15・２人),0)*(1+_15・B深夜)),0)*(1+_15・盲ろう)),0)</f>
        <v>494</v>
      </c>
      <c r="AA180" s="48"/>
    </row>
    <row r="181" spans="1:27" ht="16.5" customHeight="1" x14ac:dyDescent="0.15">
      <c r="A181" s="41">
        <v>15</v>
      </c>
      <c r="B181" s="41" t="s">
        <v>20866</v>
      </c>
      <c r="C181" s="127" t="s">
        <v>20867</v>
      </c>
      <c r="D181" s="523"/>
      <c r="E181" s="72"/>
      <c r="F181" s="523"/>
      <c r="G181" s="72"/>
      <c r="I181" s="57"/>
      <c r="J181" s="114" t="s">
        <v>17558</v>
      </c>
      <c r="K181" s="49"/>
      <c r="L181" s="50"/>
      <c r="M181" s="163"/>
      <c r="N181" s="45"/>
      <c r="O181" s="46"/>
      <c r="P181" s="512"/>
      <c r="Q181" s="57"/>
      <c r="R181" s="35"/>
      <c r="S181" s="12" t="s">
        <v>398</v>
      </c>
      <c r="T181" s="13">
        <v>0.25</v>
      </c>
      <c r="U181" s="57" t="s">
        <v>3575</v>
      </c>
      <c r="V181" s="35"/>
      <c r="Y181" s="57"/>
      <c r="Z181" s="208">
        <f>+ROUND((ROUND((ROUND((_15_同援日１．０＿１．５*_15・基礎２),0)*(1+_15・B深夜)),0)*(1+_15・盲ろう)),0)</f>
        <v>445</v>
      </c>
      <c r="AA181" s="48"/>
    </row>
    <row r="182" spans="1:27" ht="16.5" customHeight="1" x14ac:dyDescent="0.15">
      <c r="A182" s="41">
        <v>15</v>
      </c>
      <c r="B182" s="41" t="s">
        <v>20868</v>
      </c>
      <c r="C182" s="127" t="s">
        <v>20869</v>
      </c>
      <c r="D182" s="523"/>
      <c r="E182" s="72"/>
      <c r="F182" s="523"/>
      <c r="G182" s="72"/>
      <c r="I182" s="57"/>
      <c r="J182" s="269" t="s">
        <v>17560</v>
      </c>
      <c r="K182" s="37" t="s">
        <v>398</v>
      </c>
      <c r="L182" s="38">
        <v>0.9</v>
      </c>
      <c r="M182" s="299" t="s">
        <v>17556</v>
      </c>
      <c r="N182" s="45" t="s">
        <v>398</v>
      </c>
      <c r="O182" s="46">
        <v>1</v>
      </c>
      <c r="P182" s="512"/>
      <c r="Q182" s="57"/>
      <c r="R182" s="43"/>
      <c r="S182" s="37"/>
      <c r="T182" s="38"/>
      <c r="U182" s="79"/>
      <c r="V182" s="43"/>
      <c r="W182" s="37"/>
      <c r="X182" s="38"/>
      <c r="Y182" s="79"/>
      <c r="Z182" s="208">
        <f>+ROUND((ROUND((ROUND((ROUND((_15_同援日１．０＿１．５*_15・基礎２),0)*_15・２人),0)*(1+_15・B深夜)),0)*(1+_15・盲ろう)),0)</f>
        <v>445</v>
      </c>
      <c r="AA182" s="48"/>
    </row>
    <row r="183" spans="1:27" ht="16.5" customHeight="1" x14ac:dyDescent="0.15">
      <c r="A183" s="41">
        <v>15</v>
      </c>
      <c r="B183" s="41" t="s">
        <v>20870</v>
      </c>
      <c r="C183" s="127" t="s">
        <v>20871</v>
      </c>
      <c r="D183" s="523"/>
      <c r="E183" s="72"/>
      <c r="F183" s="523"/>
      <c r="G183" s="72"/>
      <c r="I183" s="57"/>
      <c r="J183" s="53"/>
      <c r="K183" s="49"/>
      <c r="L183" s="50"/>
      <c r="M183" s="163"/>
      <c r="N183" s="45"/>
      <c r="O183" s="46"/>
      <c r="P183" s="512"/>
      <c r="Q183" s="57"/>
      <c r="R183" s="53"/>
      <c r="S183" s="49"/>
      <c r="T183" s="50"/>
      <c r="U183" s="115"/>
      <c r="V183" s="53"/>
      <c r="W183" s="49"/>
      <c r="X183" s="50"/>
      <c r="Y183" s="115"/>
      <c r="Z183" s="208">
        <f>+ROUND((ROUND((_15_同援日１．０＿１．５*(1+_15・B深夜)),0)*(1+_15・区３)),0)</f>
        <v>474</v>
      </c>
      <c r="AA183" s="48"/>
    </row>
    <row r="184" spans="1:27" ht="16.5" customHeight="1" x14ac:dyDescent="0.15">
      <c r="A184" s="41">
        <v>15</v>
      </c>
      <c r="B184" s="41" t="s">
        <v>20872</v>
      </c>
      <c r="C184" s="127" t="s">
        <v>20873</v>
      </c>
      <c r="D184" s="523"/>
      <c r="E184" s="72"/>
      <c r="F184" s="523"/>
      <c r="G184" s="72"/>
      <c r="I184" s="57"/>
      <c r="J184" s="43"/>
      <c r="K184" s="37"/>
      <c r="L184" s="38"/>
      <c r="M184" s="299" t="s">
        <v>17556</v>
      </c>
      <c r="N184" s="45" t="s">
        <v>398</v>
      </c>
      <c r="O184" s="46">
        <v>1</v>
      </c>
      <c r="P184" s="512"/>
      <c r="Q184" s="57"/>
      <c r="R184" s="35"/>
      <c r="U184" s="57"/>
      <c r="V184" s="35"/>
      <c r="Y184" s="57"/>
      <c r="Z184" s="208">
        <f>+ROUND((ROUND((ROUND((_15_同援日１．０＿１．５*_15・２人),0)*(1+_15・B深夜)),0)*(1+_15・区３)),0)</f>
        <v>474</v>
      </c>
      <c r="AA184" s="48"/>
    </row>
    <row r="185" spans="1:27" ht="16.5" customHeight="1" x14ac:dyDescent="0.15">
      <c r="A185" s="41">
        <v>15</v>
      </c>
      <c r="B185" s="41" t="s">
        <v>719</v>
      </c>
      <c r="C185" s="127" t="s">
        <v>20874</v>
      </c>
      <c r="D185" s="523"/>
      <c r="E185" s="72"/>
      <c r="F185" s="523"/>
      <c r="G185" s="72"/>
      <c r="I185" s="57"/>
      <c r="J185" s="114" t="s">
        <v>17558</v>
      </c>
      <c r="K185" s="49"/>
      <c r="L185" s="50"/>
      <c r="M185" s="163"/>
      <c r="N185" s="45"/>
      <c r="O185" s="46"/>
      <c r="P185" s="512"/>
      <c r="Q185" s="57"/>
      <c r="R185" s="35"/>
      <c r="U185" s="57"/>
      <c r="V185" s="72" t="s">
        <v>17570</v>
      </c>
      <c r="Y185" s="57"/>
      <c r="Z185" s="208">
        <f>+ROUND((ROUND((ROUND((_15_同援日１．０＿１．５*_15・基礎２),0)*(1+_15・B深夜)),0)*(1+_15・区３)),0)</f>
        <v>427</v>
      </c>
      <c r="AA185" s="48"/>
    </row>
    <row r="186" spans="1:27" ht="16.5" customHeight="1" x14ac:dyDescent="0.15">
      <c r="A186" s="41">
        <v>15</v>
      </c>
      <c r="B186" s="41" t="s">
        <v>721</v>
      </c>
      <c r="C186" s="127" t="s">
        <v>20875</v>
      </c>
      <c r="D186" s="523"/>
      <c r="E186" s="72"/>
      <c r="F186" s="523"/>
      <c r="G186" s="72"/>
      <c r="I186" s="57"/>
      <c r="J186" s="269" t="s">
        <v>17560</v>
      </c>
      <c r="K186" s="37" t="s">
        <v>398</v>
      </c>
      <c r="L186" s="38">
        <v>0.9</v>
      </c>
      <c r="M186" s="299" t="s">
        <v>17556</v>
      </c>
      <c r="N186" s="45" t="s">
        <v>398</v>
      </c>
      <c r="O186" s="46">
        <v>1</v>
      </c>
      <c r="P186" s="512"/>
      <c r="Q186" s="57"/>
      <c r="R186" s="43"/>
      <c r="S186" s="37"/>
      <c r="T186" s="38"/>
      <c r="U186" s="79"/>
      <c r="V186" s="72" t="s">
        <v>17572</v>
      </c>
      <c r="Y186" s="57"/>
      <c r="Z186" s="208">
        <f>+ROUND((ROUND((ROUND((ROUND((_15_同援日１．０＿１．５*_15・基礎２),0)*_15・２人),0)*(1+_15・B深夜)),0)*(1+_15・区３)),0)</f>
        <v>427</v>
      </c>
      <c r="AA186" s="48"/>
    </row>
    <row r="187" spans="1:27" ht="16.5" customHeight="1" x14ac:dyDescent="0.15">
      <c r="A187" s="41">
        <v>15</v>
      </c>
      <c r="B187" s="41" t="s">
        <v>723</v>
      </c>
      <c r="C187" s="127" t="s">
        <v>20876</v>
      </c>
      <c r="D187" s="523"/>
      <c r="E187" s="72"/>
      <c r="F187" s="523"/>
      <c r="G187" s="72"/>
      <c r="I187" s="57"/>
      <c r="J187" s="53"/>
      <c r="K187" s="49"/>
      <c r="L187" s="50"/>
      <c r="M187" s="163"/>
      <c r="N187" s="45"/>
      <c r="O187" s="46"/>
      <c r="P187" s="512"/>
      <c r="Q187" s="57"/>
      <c r="R187" s="114" t="s">
        <v>17562</v>
      </c>
      <c r="S187" s="49"/>
      <c r="T187" s="50"/>
      <c r="U187" s="115"/>
      <c r="V187" s="35"/>
      <c r="W187" s="12" t="s">
        <v>398</v>
      </c>
      <c r="X187" s="13">
        <v>0.2</v>
      </c>
      <c r="Y187" s="57" t="s">
        <v>3575</v>
      </c>
      <c r="Z187" s="208">
        <f>+ROUND((ROUND((ROUND((_15_同援日１．０＿１．５*(1+_15・B深夜)),0)*(1+_15・盲ろう)),0)*(1+_15・区３)),0)</f>
        <v>593</v>
      </c>
      <c r="AA187" s="48"/>
    </row>
    <row r="188" spans="1:27" ht="16.5" customHeight="1" x14ac:dyDescent="0.15">
      <c r="A188" s="41">
        <v>15</v>
      </c>
      <c r="B188" s="41" t="s">
        <v>725</v>
      </c>
      <c r="C188" s="127" t="s">
        <v>20877</v>
      </c>
      <c r="D188" s="523"/>
      <c r="E188" s="72"/>
      <c r="F188" s="523"/>
      <c r="G188" s="72"/>
      <c r="I188" s="57"/>
      <c r="J188" s="43"/>
      <c r="K188" s="37"/>
      <c r="L188" s="38"/>
      <c r="M188" s="299" t="s">
        <v>17556</v>
      </c>
      <c r="N188" s="45" t="s">
        <v>398</v>
      </c>
      <c r="O188" s="46">
        <v>1</v>
      </c>
      <c r="P188" s="512"/>
      <c r="Q188" s="57"/>
      <c r="R188" s="92" t="s">
        <v>17564</v>
      </c>
      <c r="U188" s="57"/>
      <c r="V188" s="35"/>
      <c r="Y188" s="57"/>
      <c r="Z188" s="208">
        <f>+ROUND((ROUND((ROUND((ROUND((_15_同援日１．０＿１．５*_15・２人),0)*(1+_15・B深夜)),0)*(1+_15・盲ろう)),0)*(1+_15・区３)),0)</f>
        <v>593</v>
      </c>
      <c r="AA188" s="48"/>
    </row>
    <row r="189" spans="1:27" ht="16.5" customHeight="1" x14ac:dyDescent="0.15">
      <c r="A189" s="41">
        <v>15</v>
      </c>
      <c r="B189" s="41" t="s">
        <v>20878</v>
      </c>
      <c r="C189" s="127" t="s">
        <v>20879</v>
      </c>
      <c r="D189" s="523"/>
      <c r="E189" s="72"/>
      <c r="F189" s="523"/>
      <c r="G189" s="72"/>
      <c r="I189" s="57"/>
      <c r="J189" s="114" t="s">
        <v>17558</v>
      </c>
      <c r="K189" s="49"/>
      <c r="L189" s="50"/>
      <c r="M189" s="163"/>
      <c r="N189" s="45"/>
      <c r="O189" s="46"/>
      <c r="P189" s="512"/>
      <c r="Q189" s="57"/>
      <c r="R189" s="35"/>
      <c r="S189" s="12" t="s">
        <v>398</v>
      </c>
      <c r="T189" s="13">
        <v>0.25</v>
      </c>
      <c r="U189" s="57" t="s">
        <v>3575</v>
      </c>
      <c r="V189" s="35"/>
      <c r="Y189" s="57"/>
      <c r="Z189" s="208">
        <f>+ROUND((ROUND((ROUND((ROUND((_15_同援日１．０＿１．５*_15・基礎２),0)*(1+_15・B深夜)),0)*(1+_15・盲ろう)),0)*(1+_15・区３)),0)</f>
        <v>534</v>
      </c>
      <c r="AA189" s="48"/>
    </row>
    <row r="190" spans="1:27" ht="16.5" customHeight="1" x14ac:dyDescent="0.15">
      <c r="A190" s="41">
        <v>15</v>
      </c>
      <c r="B190" s="41" t="s">
        <v>20880</v>
      </c>
      <c r="C190" s="127" t="s">
        <v>20881</v>
      </c>
      <c r="D190" s="523"/>
      <c r="E190" s="72"/>
      <c r="F190" s="523"/>
      <c r="G190" s="72"/>
      <c r="I190" s="57"/>
      <c r="J190" s="269" t="s">
        <v>17560</v>
      </c>
      <c r="K190" s="37" t="s">
        <v>398</v>
      </c>
      <c r="L190" s="38">
        <v>0.9</v>
      </c>
      <c r="M190" s="299" t="s">
        <v>17556</v>
      </c>
      <c r="N190" s="45" t="s">
        <v>398</v>
      </c>
      <c r="O190" s="46">
        <v>1</v>
      </c>
      <c r="P190" s="512"/>
      <c r="Q190" s="57"/>
      <c r="R190" s="43"/>
      <c r="S190" s="37"/>
      <c r="T190" s="38"/>
      <c r="U190" s="79"/>
      <c r="V190" s="43"/>
      <c r="W190" s="37"/>
      <c r="X190" s="38"/>
      <c r="Y190" s="79"/>
      <c r="Z190" s="208">
        <f>+ROUND((ROUND((ROUND((ROUND((ROUND((_15_同援日１．０＿１．５*_15・基礎２),0)*_15・２人),0)*(1+_15・B深夜)),0)*(1+_15・盲ろう)),0)*(1+_15・区３)),0)</f>
        <v>534</v>
      </c>
      <c r="AA190" s="48"/>
    </row>
    <row r="191" spans="1:27" ht="16.5" customHeight="1" x14ac:dyDescent="0.15">
      <c r="A191" s="41">
        <v>15</v>
      </c>
      <c r="B191" s="41" t="s">
        <v>20882</v>
      </c>
      <c r="C191" s="127" t="s">
        <v>20883</v>
      </c>
      <c r="D191" s="523"/>
      <c r="E191" s="72"/>
      <c r="F191" s="523"/>
      <c r="G191" s="72"/>
      <c r="I191" s="57"/>
      <c r="J191" s="53"/>
      <c r="K191" s="49"/>
      <c r="L191" s="50"/>
      <c r="M191" s="163"/>
      <c r="N191" s="45"/>
      <c r="O191" s="46"/>
      <c r="P191" s="512"/>
      <c r="Q191" s="57"/>
      <c r="R191" s="53"/>
      <c r="S191" s="49"/>
      <c r="T191" s="50"/>
      <c r="U191" s="115"/>
      <c r="V191" s="53"/>
      <c r="W191" s="49"/>
      <c r="X191" s="50"/>
      <c r="Y191" s="115"/>
      <c r="Z191" s="208">
        <f>+ROUND((ROUND((_15_同援日１．０＿１．５*(1+_15・B深夜)),0)*(1+_15・区４)),0)</f>
        <v>553</v>
      </c>
      <c r="AA191" s="48"/>
    </row>
    <row r="192" spans="1:27" ht="16.5" customHeight="1" x14ac:dyDescent="0.15">
      <c r="A192" s="41">
        <v>15</v>
      </c>
      <c r="B192" s="41" t="s">
        <v>20884</v>
      </c>
      <c r="C192" s="127" t="s">
        <v>20885</v>
      </c>
      <c r="D192" s="523"/>
      <c r="E192" s="72"/>
      <c r="F192" s="523"/>
      <c r="G192" s="72"/>
      <c r="I192" s="57"/>
      <c r="J192" s="43"/>
      <c r="K192" s="37"/>
      <c r="L192" s="38"/>
      <c r="M192" s="299" t="s">
        <v>17556</v>
      </c>
      <c r="N192" s="45" t="s">
        <v>398</v>
      </c>
      <c r="O192" s="46">
        <v>1</v>
      </c>
      <c r="P192" s="512"/>
      <c r="Q192" s="57"/>
      <c r="R192" s="35"/>
      <c r="U192" s="57"/>
      <c r="V192" s="35"/>
      <c r="Y192" s="57"/>
      <c r="Z192" s="208">
        <f>+ROUND((ROUND((ROUND((_15_同援日１．０＿１．５*_15・２人),0)*(1+_15・B深夜)),0)*(1+_15・区４)),0)</f>
        <v>553</v>
      </c>
      <c r="AA192" s="48"/>
    </row>
    <row r="193" spans="1:27" ht="16.5" customHeight="1" x14ac:dyDescent="0.15">
      <c r="A193" s="41">
        <v>15</v>
      </c>
      <c r="B193" s="41" t="s">
        <v>20886</v>
      </c>
      <c r="C193" s="127" t="s">
        <v>20887</v>
      </c>
      <c r="D193" s="523"/>
      <c r="E193" s="72"/>
      <c r="F193" s="523"/>
      <c r="G193" s="72"/>
      <c r="I193" s="57"/>
      <c r="J193" s="114" t="s">
        <v>17558</v>
      </c>
      <c r="K193" s="49"/>
      <c r="L193" s="50"/>
      <c r="M193" s="163"/>
      <c r="N193" s="45"/>
      <c r="O193" s="46"/>
      <c r="P193" s="512"/>
      <c r="Q193" s="57"/>
      <c r="R193" s="35"/>
      <c r="U193" s="57"/>
      <c r="V193" s="72" t="s">
        <v>17580</v>
      </c>
      <c r="Y193" s="57"/>
      <c r="Z193" s="208">
        <f>+ROUND((ROUND((ROUND((_15_同援日１．０＿１．５*_15・基礎２),0)*(1+_15・B深夜)),0)*(1+_15・区４)),0)</f>
        <v>498</v>
      </c>
      <c r="AA193" s="48"/>
    </row>
    <row r="194" spans="1:27" ht="16.5" customHeight="1" x14ac:dyDescent="0.15">
      <c r="A194" s="41">
        <v>15</v>
      </c>
      <c r="B194" s="41" t="s">
        <v>20888</v>
      </c>
      <c r="C194" s="127" t="s">
        <v>20889</v>
      </c>
      <c r="D194" s="523"/>
      <c r="E194" s="72"/>
      <c r="F194" s="523"/>
      <c r="G194" s="72"/>
      <c r="I194" s="57"/>
      <c r="J194" s="269" t="s">
        <v>17560</v>
      </c>
      <c r="K194" s="37" t="s">
        <v>398</v>
      </c>
      <c r="L194" s="38">
        <v>0.9</v>
      </c>
      <c r="M194" s="299" t="s">
        <v>17556</v>
      </c>
      <c r="N194" s="45" t="s">
        <v>398</v>
      </c>
      <c r="O194" s="46">
        <v>1</v>
      </c>
      <c r="P194" s="512"/>
      <c r="Q194" s="57"/>
      <c r="R194" s="43"/>
      <c r="S194" s="37"/>
      <c r="T194" s="38"/>
      <c r="U194" s="79"/>
      <c r="V194" s="72" t="s">
        <v>17572</v>
      </c>
      <c r="Y194" s="57"/>
      <c r="Z194" s="208">
        <f>+ROUND((ROUND((ROUND((ROUND((_15_同援日１．０＿１．５*_15・基礎２),0)*_15・２人),0)*(1+_15・B深夜)),0)*(1+_15・区４)),0)</f>
        <v>498</v>
      </c>
      <c r="AA194" s="48"/>
    </row>
    <row r="195" spans="1:27" ht="16.5" customHeight="1" x14ac:dyDescent="0.15">
      <c r="A195" s="41">
        <v>15</v>
      </c>
      <c r="B195" s="41" t="s">
        <v>20890</v>
      </c>
      <c r="C195" s="127" t="s">
        <v>20891</v>
      </c>
      <c r="D195" s="523"/>
      <c r="E195" s="72"/>
      <c r="F195" s="523"/>
      <c r="G195" s="72"/>
      <c r="I195" s="57"/>
      <c r="J195" s="53"/>
      <c r="K195" s="49"/>
      <c r="L195" s="50"/>
      <c r="M195" s="163"/>
      <c r="N195" s="45"/>
      <c r="O195" s="46"/>
      <c r="P195" s="512"/>
      <c r="Q195" s="57"/>
      <c r="R195" s="114" t="s">
        <v>17562</v>
      </c>
      <c r="S195" s="49"/>
      <c r="T195" s="50"/>
      <c r="U195" s="115"/>
      <c r="V195" s="35"/>
      <c r="W195" s="12" t="s">
        <v>398</v>
      </c>
      <c r="X195" s="13">
        <v>0.4</v>
      </c>
      <c r="Y195" s="57" t="s">
        <v>3575</v>
      </c>
      <c r="Z195" s="208">
        <f>+ROUND((ROUND((ROUND((_15_同援日１．０＿１．５*(1+_15・B深夜)),0)*(1+_15・盲ろう)),0)*(1+_15・区４)),0)</f>
        <v>692</v>
      </c>
      <c r="AA195" s="48"/>
    </row>
    <row r="196" spans="1:27" ht="16.5" customHeight="1" x14ac:dyDescent="0.15">
      <c r="A196" s="41">
        <v>15</v>
      </c>
      <c r="B196" s="41" t="s">
        <v>20892</v>
      </c>
      <c r="C196" s="127" t="s">
        <v>20893</v>
      </c>
      <c r="D196" s="523"/>
      <c r="E196" s="72"/>
      <c r="F196" s="523"/>
      <c r="G196" s="72"/>
      <c r="I196" s="57"/>
      <c r="J196" s="43"/>
      <c r="K196" s="37"/>
      <c r="L196" s="38"/>
      <c r="M196" s="299" t="s">
        <v>17556</v>
      </c>
      <c r="N196" s="45" t="s">
        <v>398</v>
      </c>
      <c r="O196" s="46">
        <v>1</v>
      </c>
      <c r="P196" s="512"/>
      <c r="Q196" s="57"/>
      <c r="R196" s="92" t="s">
        <v>17564</v>
      </c>
      <c r="U196" s="57"/>
      <c r="V196" s="35"/>
      <c r="Y196" s="57"/>
      <c r="Z196" s="208">
        <f>+ROUND((ROUND((ROUND((ROUND((_15_同援日１．０＿１．５*_15・２人),0)*(1+_15・B深夜)),0)*(1+_15・盲ろう)),0)*(1+_15・区４)),0)</f>
        <v>692</v>
      </c>
      <c r="AA196" s="48"/>
    </row>
    <row r="197" spans="1:27" ht="16.5" customHeight="1" x14ac:dyDescent="0.15">
      <c r="A197" s="41">
        <v>15</v>
      </c>
      <c r="B197" s="41" t="s">
        <v>20894</v>
      </c>
      <c r="C197" s="127" t="s">
        <v>20895</v>
      </c>
      <c r="D197" s="523"/>
      <c r="E197" s="72"/>
      <c r="F197" s="523"/>
      <c r="G197" s="72"/>
      <c r="I197" s="57"/>
      <c r="J197" s="114" t="s">
        <v>17558</v>
      </c>
      <c r="K197" s="49"/>
      <c r="L197" s="50"/>
      <c r="M197" s="163"/>
      <c r="N197" s="45"/>
      <c r="O197" s="46"/>
      <c r="P197" s="512"/>
      <c r="Q197" s="57"/>
      <c r="R197" s="35"/>
      <c r="S197" s="12" t="s">
        <v>398</v>
      </c>
      <c r="T197" s="13">
        <v>0.25</v>
      </c>
      <c r="U197" s="57" t="s">
        <v>3575</v>
      </c>
      <c r="V197" s="35"/>
      <c r="Y197" s="57"/>
      <c r="Z197" s="208">
        <f>+ROUND((ROUND((ROUND((ROUND((_15_同援日１．０＿１．５*_15・基礎２),0)*(1+_15・B深夜)),0)*(1+_15・盲ろう)),0)*(1+_15・区４)),0)</f>
        <v>623</v>
      </c>
      <c r="AA197" s="48"/>
    </row>
    <row r="198" spans="1:27" ht="16.5" customHeight="1" x14ac:dyDescent="0.15">
      <c r="A198" s="41">
        <v>15</v>
      </c>
      <c r="B198" s="41" t="s">
        <v>20896</v>
      </c>
      <c r="C198" s="127" t="s">
        <v>20897</v>
      </c>
      <c r="D198" s="524"/>
      <c r="E198" s="122"/>
      <c r="F198" s="524"/>
      <c r="G198" s="122"/>
      <c r="H198" s="37"/>
      <c r="I198" s="79"/>
      <c r="J198" s="269" t="s">
        <v>17560</v>
      </c>
      <c r="K198" s="37" t="s">
        <v>398</v>
      </c>
      <c r="L198" s="38">
        <v>0.9</v>
      </c>
      <c r="M198" s="299" t="s">
        <v>17556</v>
      </c>
      <c r="N198" s="45" t="s">
        <v>398</v>
      </c>
      <c r="O198" s="46">
        <v>1</v>
      </c>
      <c r="P198" s="514"/>
      <c r="Q198" s="79"/>
      <c r="R198" s="43"/>
      <c r="S198" s="37"/>
      <c r="T198" s="38"/>
      <c r="U198" s="79"/>
      <c r="V198" s="43"/>
      <c r="W198" s="37"/>
      <c r="X198" s="38"/>
      <c r="Y198" s="79"/>
      <c r="Z198" s="208">
        <f>+ROUND((ROUND((ROUND((ROUND((ROUND((_15_同援日１．０＿１．５*_15・基礎２),0)*_15・２人),0)*(1+_15・B深夜)),0)*(1+_15・盲ろう)),0)*(1+_15・区４)),0)</f>
        <v>623</v>
      </c>
      <c r="AA198" s="63"/>
    </row>
    <row r="199" spans="1:27" ht="16.5" customHeight="1" x14ac:dyDescent="0.15">
      <c r="A199" s="41">
        <v>15</v>
      </c>
      <c r="B199" s="41" t="s">
        <v>20898</v>
      </c>
      <c r="C199" s="127" t="s">
        <v>20899</v>
      </c>
      <c r="D199" s="525"/>
      <c r="E199" s="114"/>
      <c r="F199" s="525"/>
      <c r="G199" s="114" t="s">
        <v>20032</v>
      </c>
      <c r="H199" s="49"/>
      <c r="I199" s="115"/>
      <c r="J199" s="53"/>
      <c r="K199" s="49"/>
      <c r="L199" s="50"/>
      <c r="M199" s="163"/>
      <c r="N199" s="45"/>
      <c r="O199" s="46"/>
      <c r="P199" s="515"/>
      <c r="Q199" s="115"/>
      <c r="R199" s="53"/>
      <c r="S199" s="49"/>
      <c r="T199" s="50"/>
      <c r="U199" s="115"/>
      <c r="V199" s="53"/>
      <c r="W199" s="49"/>
      <c r="X199" s="50"/>
      <c r="Y199" s="115"/>
      <c r="Z199" s="208">
        <f>+ROUND((_15_同援日１．０＿２．０*(1+_15・B深夜)),0)</f>
        <v>492</v>
      </c>
      <c r="AA199" s="64"/>
    </row>
    <row r="200" spans="1:27" ht="16.5" customHeight="1" x14ac:dyDescent="0.15">
      <c r="A200" s="41">
        <v>15</v>
      </c>
      <c r="B200" s="41" t="s">
        <v>20900</v>
      </c>
      <c r="C200" s="127" t="s">
        <v>20901</v>
      </c>
      <c r="D200" s="523"/>
      <c r="E200" s="72"/>
      <c r="F200" s="523"/>
      <c r="G200" s="72" t="s">
        <v>17643</v>
      </c>
      <c r="I200" s="57"/>
      <c r="J200" s="43"/>
      <c r="K200" s="37"/>
      <c r="L200" s="38"/>
      <c r="M200" s="299" t="s">
        <v>17556</v>
      </c>
      <c r="N200" s="45" t="s">
        <v>398</v>
      </c>
      <c r="O200" s="46">
        <v>1</v>
      </c>
      <c r="P200" s="512"/>
      <c r="Q200" s="57"/>
      <c r="R200" s="35"/>
      <c r="U200" s="57"/>
      <c r="V200" s="35"/>
      <c r="Y200" s="57"/>
      <c r="Z200" s="208">
        <f>+ROUND((ROUND((_15_同援日１．０＿２．０*_15・２人),0)*(1+_15・B深夜)),0)</f>
        <v>492</v>
      </c>
      <c r="AA200" s="48"/>
    </row>
    <row r="201" spans="1:27" ht="16.5" customHeight="1" x14ac:dyDescent="0.15">
      <c r="A201" s="41">
        <v>15</v>
      </c>
      <c r="B201" s="41" t="s">
        <v>20902</v>
      </c>
      <c r="C201" s="127" t="s">
        <v>20903</v>
      </c>
      <c r="D201" s="523"/>
      <c r="E201" s="72"/>
      <c r="F201" s="523"/>
      <c r="G201" s="72" t="s">
        <v>17645</v>
      </c>
      <c r="I201" s="57"/>
      <c r="J201" s="114" t="s">
        <v>17558</v>
      </c>
      <c r="K201" s="49"/>
      <c r="L201" s="50"/>
      <c r="M201" s="163"/>
      <c r="N201" s="45"/>
      <c r="O201" s="46"/>
      <c r="P201" s="512"/>
      <c r="Q201" s="57"/>
      <c r="R201" s="35"/>
      <c r="U201" s="57"/>
      <c r="V201" s="35"/>
      <c r="Y201" s="57"/>
      <c r="Z201" s="208">
        <f>+ROUND((ROUND((_15_同援日１．０＿２．０*_15・基礎２),0)*(1+_15・B深夜)),0)</f>
        <v>443</v>
      </c>
      <c r="AA201" s="48"/>
    </row>
    <row r="202" spans="1:27" ht="16.5" customHeight="1" x14ac:dyDescent="0.15">
      <c r="A202" s="41">
        <v>15</v>
      </c>
      <c r="B202" s="41" t="s">
        <v>20904</v>
      </c>
      <c r="C202" s="127" t="s">
        <v>20905</v>
      </c>
      <c r="D202" s="523"/>
      <c r="E202" s="72"/>
      <c r="F202" s="523"/>
      <c r="G202" s="72"/>
      <c r="H202" s="168">
        <f>_15_同援日１．０＿２．０</f>
        <v>328</v>
      </c>
      <c r="I202" s="57" t="s">
        <v>392</v>
      </c>
      <c r="J202" s="269" t="s">
        <v>17560</v>
      </c>
      <c r="K202" s="37" t="s">
        <v>398</v>
      </c>
      <c r="L202" s="38">
        <v>0.9</v>
      </c>
      <c r="M202" s="299" t="s">
        <v>17556</v>
      </c>
      <c r="N202" s="45" t="s">
        <v>398</v>
      </c>
      <c r="O202" s="46">
        <v>1</v>
      </c>
      <c r="P202" s="512"/>
      <c r="Q202" s="57"/>
      <c r="R202" s="43"/>
      <c r="S202" s="37"/>
      <c r="T202" s="38"/>
      <c r="U202" s="79"/>
      <c r="V202" s="35"/>
      <c r="Y202" s="57"/>
      <c r="Z202" s="208">
        <f>+ROUND((ROUND((ROUND((_15_同援日１．０＿２．０*_15・基礎２),0)*_15・２人),0)*(1+_15・B深夜)),0)</f>
        <v>443</v>
      </c>
      <c r="AA202" s="48"/>
    </row>
    <row r="203" spans="1:27" ht="16.5" customHeight="1" x14ac:dyDescent="0.15">
      <c r="A203" s="41">
        <v>15</v>
      </c>
      <c r="B203" s="41" t="s">
        <v>20906</v>
      </c>
      <c r="C203" s="127" t="s">
        <v>20907</v>
      </c>
      <c r="D203" s="523"/>
      <c r="E203" s="72"/>
      <c r="F203" s="523"/>
      <c r="G203" s="72"/>
      <c r="I203" s="57"/>
      <c r="J203" s="53"/>
      <c r="K203" s="49"/>
      <c r="L203" s="50"/>
      <c r="M203" s="163"/>
      <c r="N203" s="45"/>
      <c r="O203" s="46"/>
      <c r="P203" s="512"/>
      <c r="Q203" s="57"/>
      <c r="R203" s="114" t="s">
        <v>17562</v>
      </c>
      <c r="S203" s="49"/>
      <c r="T203" s="50"/>
      <c r="U203" s="115"/>
      <c r="V203" s="35"/>
      <c r="Y203" s="57"/>
      <c r="Z203" s="208">
        <f>+ROUND((ROUND((_15_同援日１．０＿２．０*(1+_15・B深夜)),0)*(1+_15・盲ろう)),0)</f>
        <v>615</v>
      </c>
      <c r="AA203" s="48"/>
    </row>
    <row r="204" spans="1:27" ht="16.5" customHeight="1" x14ac:dyDescent="0.15">
      <c r="A204" s="41">
        <v>15</v>
      </c>
      <c r="B204" s="41" t="s">
        <v>20908</v>
      </c>
      <c r="C204" s="127" t="s">
        <v>20909</v>
      </c>
      <c r="D204" s="523"/>
      <c r="E204" s="72"/>
      <c r="F204" s="523"/>
      <c r="G204" s="72"/>
      <c r="I204" s="57"/>
      <c r="J204" s="43"/>
      <c r="K204" s="37"/>
      <c r="L204" s="38"/>
      <c r="M204" s="299" t="s">
        <v>17556</v>
      </c>
      <c r="N204" s="45" t="s">
        <v>398</v>
      </c>
      <c r="O204" s="46">
        <v>1</v>
      </c>
      <c r="P204" s="512"/>
      <c r="Q204" s="57"/>
      <c r="R204" s="92" t="s">
        <v>17564</v>
      </c>
      <c r="U204" s="57"/>
      <c r="V204" s="35"/>
      <c r="Y204" s="57"/>
      <c r="Z204" s="208">
        <f>+ROUND((ROUND((ROUND((_15_同援日１．０＿２．０*_15・２人),0)*(1+_15・B深夜)),0)*(1+_15・盲ろう)),0)</f>
        <v>615</v>
      </c>
      <c r="AA204" s="48"/>
    </row>
    <row r="205" spans="1:27" ht="16.5" customHeight="1" x14ac:dyDescent="0.15">
      <c r="A205" s="41">
        <v>15</v>
      </c>
      <c r="B205" s="41" t="s">
        <v>732</v>
      </c>
      <c r="C205" s="127" t="s">
        <v>20910</v>
      </c>
      <c r="D205" s="523"/>
      <c r="E205" s="72"/>
      <c r="F205" s="523"/>
      <c r="G205" s="72"/>
      <c r="I205" s="57"/>
      <c r="J205" s="114" t="s">
        <v>17558</v>
      </c>
      <c r="K205" s="49"/>
      <c r="L205" s="50"/>
      <c r="M205" s="163"/>
      <c r="N205" s="45"/>
      <c r="O205" s="46"/>
      <c r="P205" s="512"/>
      <c r="Q205" s="57"/>
      <c r="R205" s="35"/>
      <c r="S205" s="12" t="s">
        <v>398</v>
      </c>
      <c r="T205" s="13">
        <v>0.25</v>
      </c>
      <c r="U205" s="57" t="s">
        <v>3575</v>
      </c>
      <c r="V205" s="35"/>
      <c r="Y205" s="57"/>
      <c r="Z205" s="208">
        <f>+ROUND((ROUND((ROUND((_15_同援日１．０＿２．０*_15・基礎２),0)*(1+_15・B深夜)),0)*(1+_15・盲ろう)),0)</f>
        <v>554</v>
      </c>
      <c r="AA205" s="48"/>
    </row>
    <row r="206" spans="1:27" ht="16.5" customHeight="1" x14ac:dyDescent="0.15">
      <c r="A206" s="41">
        <v>15</v>
      </c>
      <c r="B206" s="41" t="s">
        <v>734</v>
      </c>
      <c r="C206" s="127" t="s">
        <v>20911</v>
      </c>
      <c r="D206" s="523"/>
      <c r="E206" s="72"/>
      <c r="F206" s="523"/>
      <c r="G206" s="72"/>
      <c r="I206" s="57"/>
      <c r="J206" s="269" t="s">
        <v>17560</v>
      </c>
      <c r="K206" s="37" t="s">
        <v>398</v>
      </c>
      <c r="L206" s="38">
        <v>0.9</v>
      </c>
      <c r="M206" s="299" t="s">
        <v>17556</v>
      </c>
      <c r="N206" s="45" t="s">
        <v>398</v>
      </c>
      <c r="O206" s="46">
        <v>1</v>
      </c>
      <c r="P206" s="512"/>
      <c r="Q206" s="57"/>
      <c r="R206" s="43"/>
      <c r="S206" s="37"/>
      <c r="T206" s="38"/>
      <c r="U206" s="79"/>
      <c r="V206" s="43"/>
      <c r="W206" s="37"/>
      <c r="X206" s="38"/>
      <c r="Y206" s="79"/>
      <c r="Z206" s="208">
        <f>+ROUND((ROUND((ROUND((ROUND((_15_同援日１．０＿２．０*_15・基礎２),0)*_15・２人),0)*(1+_15・B深夜)),0)*(1+_15・盲ろう)),0)</f>
        <v>554</v>
      </c>
      <c r="AA206" s="48"/>
    </row>
    <row r="207" spans="1:27" ht="16.5" customHeight="1" x14ac:dyDescent="0.15">
      <c r="A207" s="41">
        <v>15</v>
      </c>
      <c r="B207" s="41" t="s">
        <v>736</v>
      </c>
      <c r="C207" s="127" t="s">
        <v>20912</v>
      </c>
      <c r="D207" s="523"/>
      <c r="E207" s="72"/>
      <c r="F207" s="523"/>
      <c r="G207" s="72"/>
      <c r="I207" s="57"/>
      <c r="J207" s="53"/>
      <c r="K207" s="49"/>
      <c r="L207" s="50"/>
      <c r="M207" s="163"/>
      <c r="N207" s="45"/>
      <c r="O207" s="46"/>
      <c r="P207" s="512"/>
      <c r="Q207" s="57"/>
      <c r="R207" s="53"/>
      <c r="S207" s="49"/>
      <c r="T207" s="50"/>
      <c r="U207" s="115"/>
      <c r="V207" s="53"/>
      <c r="W207" s="49"/>
      <c r="X207" s="50"/>
      <c r="Y207" s="115"/>
      <c r="Z207" s="208">
        <f>+ROUND((ROUND((_15_同援日１．０＿２．０*(1+_15・B深夜)),0)*(1+_15・区３)),0)</f>
        <v>590</v>
      </c>
      <c r="AA207" s="48"/>
    </row>
    <row r="208" spans="1:27" ht="16.5" customHeight="1" x14ac:dyDescent="0.15">
      <c r="A208" s="41">
        <v>15</v>
      </c>
      <c r="B208" s="41" t="s">
        <v>738</v>
      </c>
      <c r="C208" s="127" t="s">
        <v>20913</v>
      </c>
      <c r="D208" s="523"/>
      <c r="E208" s="72"/>
      <c r="F208" s="523"/>
      <c r="G208" s="72"/>
      <c r="I208" s="57"/>
      <c r="J208" s="43"/>
      <c r="K208" s="37"/>
      <c r="L208" s="38"/>
      <c r="M208" s="299" t="s">
        <v>17556</v>
      </c>
      <c r="N208" s="45" t="s">
        <v>398</v>
      </c>
      <c r="O208" s="46">
        <v>1</v>
      </c>
      <c r="P208" s="512"/>
      <c r="Q208" s="57"/>
      <c r="R208" s="35"/>
      <c r="U208" s="57"/>
      <c r="V208" s="35"/>
      <c r="Y208" s="57"/>
      <c r="Z208" s="208">
        <f>+ROUND((ROUND((ROUND((_15_同援日１．０＿２．０*_15・２人),0)*(1+_15・B深夜)),0)*(1+_15・区３)),0)</f>
        <v>590</v>
      </c>
      <c r="AA208" s="48"/>
    </row>
    <row r="209" spans="1:27" ht="16.5" customHeight="1" x14ac:dyDescent="0.15">
      <c r="A209" s="41">
        <v>15</v>
      </c>
      <c r="B209" s="41" t="s">
        <v>20914</v>
      </c>
      <c r="C209" s="127" t="s">
        <v>20915</v>
      </c>
      <c r="D209" s="523"/>
      <c r="E209" s="72"/>
      <c r="F209" s="523"/>
      <c r="G209" s="72"/>
      <c r="I209" s="57"/>
      <c r="J209" s="114" t="s">
        <v>17558</v>
      </c>
      <c r="K209" s="49"/>
      <c r="L209" s="50"/>
      <c r="M209" s="163"/>
      <c r="N209" s="45"/>
      <c r="O209" s="46"/>
      <c r="P209" s="512"/>
      <c r="Q209" s="57"/>
      <c r="R209" s="35"/>
      <c r="U209" s="57"/>
      <c r="V209" s="72" t="s">
        <v>17570</v>
      </c>
      <c r="Y209" s="57"/>
      <c r="Z209" s="208">
        <f>+ROUND((ROUND((ROUND((_15_同援日１．０＿２．０*_15・基礎２),0)*(1+_15・B深夜)),0)*(1+_15・区３)),0)</f>
        <v>532</v>
      </c>
      <c r="AA209" s="48"/>
    </row>
    <row r="210" spans="1:27" ht="16.5" customHeight="1" x14ac:dyDescent="0.15">
      <c r="A210" s="41">
        <v>15</v>
      </c>
      <c r="B210" s="41" t="s">
        <v>20916</v>
      </c>
      <c r="C210" s="127" t="s">
        <v>20917</v>
      </c>
      <c r="D210" s="523"/>
      <c r="E210" s="72"/>
      <c r="F210" s="523"/>
      <c r="G210" s="72"/>
      <c r="I210" s="57"/>
      <c r="J210" s="269" t="s">
        <v>17560</v>
      </c>
      <c r="K210" s="37" t="s">
        <v>398</v>
      </c>
      <c r="L210" s="38">
        <v>0.9</v>
      </c>
      <c r="M210" s="299" t="s">
        <v>17556</v>
      </c>
      <c r="N210" s="45" t="s">
        <v>398</v>
      </c>
      <c r="O210" s="46">
        <v>1</v>
      </c>
      <c r="P210" s="512"/>
      <c r="Q210" s="57"/>
      <c r="R210" s="43"/>
      <c r="S210" s="37"/>
      <c r="T210" s="38"/>
      <c r="U210" s="79"/>
      <c r="V210" s="72" t="s">
        <v>17572</v>
      </c>
      <c r="Y210" s="57"/>
      <c r="Z210" s="208">
        <f>+ROUND((ROUND((ROUND((ROUND((_15_同援日１．０＿２．０*_15・基礎２),0)*_15・２人),0)*(1+_15・B深夜)),0)*(1+_15・区３)),0)</f>
        <v>532</v>
      </c>
      <c r="AA210" s="48"/>
    </row>
    <row r="211" spans="1:27" ht="16.5" customHeight="1" x14ac:dyDescent="0.15">
      <c r="A211" s="41">
        <v>15</v>
      </c>
      <c r="B211" s="41" t="s">
        <v>20918</v>
      </c>
      <c r="C211" s="127" t="s">
        <v>20919</v>
      </c>
      <c r="D211" s="523"/>
      <c r="E211" s="72"/>
      <c r="F211" s="523"/>
      <c r="G211" s="72"/>
      <c r="I211" s="57"/>
      <c r="J211" s="53"/>
      <c r="K211" s="49"/>
      <c r="L211" s="50"/>
      <c r="M211" s="163"/>
      <c r="N211" s="45"/>
      <c r="O211" s="46"/>
      <c r="P211" s="512"/>
      <c r="Q211" s="57"/>
      <c r="R211" s="114" t="s">
        <v>17562</v>
      </c>
      <c r="S211" s="49"/>
      <c r="T211" s="50"/>
      <c r="U211" s="115"/>
      <c r="V211" s="35"/>
      <c r="W211" s="12" t="s">
        <v>398</v>
      </c>
      <c r="X211" s="13">
        <v>0.2</v>
      </c>
      <c r="Y211" s="57" t="s">
        <v>3575</v>
      </c>
      <c r="Z211" s="208">
        <f>+ROUND((ROUND((ROUND((_15_同援日１．０＿２．０*(1+_15・B深夜)),0)*(1+_15・盲ろう)),0)*(1+_15・区３)),0)</f>
        <v>738</v>
      </c>
      <c r="AA211" s="48"/>
    </row>
    <row r="212" spans="1:27" ht="16.5" customHeight="1" x14ac:dyDescent="0.15">
      <c r="A212" s="41">
        <v>15</v>
      </c>
      <c r="B212" s="41" t="s">
        <v>20920</v>
      </c>
      <c r="C212" s="127" t="s">
        <v>20921</v>
      </c>
      <c r="D212" s="523"/>
      <c r="E212" s="72"/>
      <c r="F212" s="523"/>
      <c r="G212" s="72"/>
      <c r="I212" s="57"/>
      <c r="J212" s="43"/>
      <c r="K212" s="37"/>
      <c r="L212" s="38"/>
      <c r="M212" s="299" t="s">
        <v>17556</v>
      </c>
      <c r="N212" s="45" t="s">
        <v>398</v>
      </c>
      <c r="O212" s="46">
        <v>1</v>
      </c>
      <c r="P212" s="512"/>
      <c r="Q212" s="57"/>
      <c r="R212" s="92" t="s">
        <v>17564</v>
      </c>
      <c r="U212" s="57"/>
      <c r="V212" s="35"/>
      <c r="Y212" s="57"/>
      <c r="Z212" s="208">
        <f>+ROUND((ROUND((ROUND((ROUND((_15_同援日１．０＿２．０*_15・２人),0)*(1+_15・B深夜)),0)*(1+_15・盲ろう)),0)*(1+_15・区３)),0)</f>
        <v>738</v>
      </c>
      <c r="AA212" s="48"/>
    </row>
    <row r="213" spans="1:27" ht="16.5" customHeight="1" x14ac:dyDescent="0.15">
      <c r="A213" s="41">
        <v>15</v>
      </c>
      <c r="B213" s="41" t="s">
        <v>20922</v>
      </c>
      <c r="C213" s="127" t="s">
        <v>20923</v>
      </c>
      <c r="D213" s="523"/>
      <c r="E213" s="72"/>
      <c r="F213" s="523"/>
      <c r="G213" s="72"/>
      <c r="I213" s="57"/>
      <c r="J213" s="114" t="s">
        <v>17558</v>
      </c>
      <c r="K213" s="49"/>
      <c r="L213" s="50"/>
      <c r="M213" s="163"/>
      <c r="N213" s="45"/>
      <c r="O213" s="46"/>
      <c r="P213" s="512"/>
      <c r="Q213" s="57"/>
      <c r="R213" s="35"/>
      <c r="S213" s="12" t="s">
        <v>398</v>
      </c>
      <c r="T213" s="13">
        <v>0.25</v>
      </c>
      <c r="U213" s="57" t="s">
        <v>3575</v>
      </c>
      <c r="V213" s="35"/>
      <c r="Y213" s="57"/>
      <c r="Z213" s="208">
        <f>+ROUND((ROUND((ROUND((ROUND((_15_同援日１．０＿２．０*_15・基礎２),0)*(1+_15・B深夜)),0)*(1+_15・盲ろう)),0)*(1+_15・区３)),0)</f>
        <v>665</v>
      </c>
      <c r="AA213" s="48"/>
    </row>
    <row r="214" spans="1:27" ht="16.5" customHeight="1" x14ac:dyDescent="0.15">
      <c r="A214" s="41">
        <v>15</v>
      </c>
      <c r="B214" s="41" t="s">
        <v>20924</v>
      </c>
      <c r="C214" s="127" t="s">
        <v>20925</v>
      </c>
      <c r="D214" s="523"/>
      <c r="E214" s="72"/>
      <c r="F214" s="523"/>
      <c r="G214" s="72"/>
      <c r="I214" s="57"/>
      <c r="J214" s="269" t="s">
        <v>17560</v>
      </c>
      <c r="K214" s="37" t="s">
        <v>398</v>
      </c>
      <c r="L214" s="38">
        <v>0.9</v>
      </c>
      <c r="M214" s="299" t="s">
        <v>17556</v>
      </c>
      <c r="N214" s="45" t="s">
        <v>398</v>
      </c>
      <c r="O214" s="46">
        <v>1</v>
      </c>
      <c r="P214" s="512"/>
      <c r="Q214" s="57"/>
      <c r="R214" s="43"/>
      <c r="S214" s="37"/>
      <c r="T214" s="38"/>
      <c r="U214" s="79"/>
      <c r="V214" s="43"/>
      <c r="W214" s="37"/>
      <c r="X214" s="38"/>
      <c r="Y214" s="79"/>
      <c r="Z214" s="208">
        <f>+ROUND((ROUND((ROUND((ROUND((ROUND((_15_同援日１．０＿２．０*_15・基礎２),0)*_15・２人),0)*(1+_15・B深夜)),0)*(1+_15・盲ろう)),0)*(1+_15・区３)),0)</f>
        <v>665</v>
      </c>
      <c r="AA214" s="48"/>
    </row>
    <row r="215" spans="1:27" ht="16.5" customHeight="1" x14ac:dyDescent="0.15">
      <c r="A215" s="41">
        <v>15</v>
      </c>
      <c r="B215" s="41" t="s">
        <v>20926</v>
      </c>
      <c r="C215" s="127" t="s">
        <v>20927</v>
      </c>
      <c r="D215" s="523"/>
      <c r="E215" s="72"/>
      <c r="F215" s="523"/>
      <c r="G215" s="72"/>
      <c r="I215" s="57"/>
      <c r="J215" s="53"/>
      <c r="K215" s="49"/>
      <c r="L215" s="50"/>
      <c r="M215" s="163"/>
      <c r="N215" s="45"/>
      <c r="O215" s="46"/>
      <c r="P215" s="512"/>
      <c r="Q215" s="57"/>
      <c r="R215" s="53"/>
      <c r="S215" s="49"/>
      <c r="T215" s="50"/>
      <c r="U215" s="115"/>
      <c r="V215" s="53"/>
      <c r="W215" s="49"/>
      <c r="X215" s="50"/>
      <c r="Y215" s="115"/>
      <c r="Z215" s="208">
        <f>+ROUND((ROUND((_15_同援日１．０＿２．０*(1+_15・B深夜)),0)*(1+_15・区４)),0)</f>
        <v>689</v>
      </c>
      <c r="AA215" s="48"/>
    </row>
    <row r="216" spans="1:27" ht="16.5" customHeight="1" x14ac:dyDescent="0.15">
      <c r="A216" s="41">
        <v>15</v>
      </c>
      <c r="B216" s="41" t="s">
        <v>20928</v>
      </c>
      <c r="C216" s="127" t="s">
        <v>20929</v>
      </c>
      <c r="D216" s="523"/>
      <c r="E216" s="72"/>
      <c r="F216" s="523"/>
      <c r="G216" s="72"/>
      <c r="I216" s="57"/>
      <c r="J216" s="43"/>
      <c r="K216" s="37"/>
      <c r="L216" s="38"/>
      <c r="M216" s="299" t="s">
        <v>17556</v>
      </c>
      <c r="N216" s="45" t="s">
        <v>398</v>
      </c>
      <c r="O216" s="46">
        <v>1</v>
      </c>
      <c r="P216" s="512"/>
      <c r="Q216" s="57"/>
      <c r="R216" s="35"/>
      <c r="U216" s="57"/>
      <c r="V216" s="35"/>
      <c r="Y216" s="57"/>
      <c r="Z216" s="208">
        <f>+ROUND((ROUND((ROUND((_15_同援日１．０＿２．０*_15・２人),0)*(1+_15・B深夜)),0)*(1+_15・区４)),0)</f>
        <v>689</v>
      </c>
      <c r="AA216" s="48"/>
    </row>
    <row r="217" spans="1:27" ht="16.5" customHeight="1" x14ac:dyDescent="0.15">
      <c r="A217" s="41">
        <v>15</v>
      </c>
      <c r="B217" s="41" t="s">
        <v>20930</v>
      </c>
      <c r="C217" s="127" t="s">
        <v>20931</v>
      </c>
      <c r="D217" s="523"/>
      <c r="E217" s="72"/>
      <c r="F217" s="523"/>
      <c r="G217" s="72"/>
      <c r="I217" s="57"/>
      <c r="J217" s="114" t="s">
        <v>17558</v>
      </c>
      <c r="K217" s="49"/>
      <c r="L217" s="50"/>
      <c r="M217" s="163"/>
      <c r="N217" s="45"/>
      <c r="O217" s="46"/>
      <c r="P217" s="512"/>
      <c r="Q217" s="57"/>
      <c r="R217" s="35"/>
      <c r="U217" s="57"/>
      <c r="V217" s="72" t="s">
        <v>17580</v>
      </c>
      <c r="Y217" s="57"/>
      <c r="Z217" s="208">
        <f>+ROUND((ROUND((ROUND((_15_同援日１．０＿２．０*_15・基礎２),0)*(1+_15・B深夜)),0)*(1+_15・区４)),0)</f>
        <v>620</v>
      </c>
      <c r="AA217" s="48"/>
    </row>
    <row r="218" spans="1:27" ht="16.5" customHeight="1" x14ac:dyDescent="0.15">
      <c r="A218" s="41">
        <v>15</v>
      </c>
      <c r="B218" s="41" t="s">
        <v>20932</v>
      </c>
      <c r="C218" s="127" t="s">
        <v>20933</v>
      </c>
      <c r="D218" s="523"/>
      <c r="E218" s="72"/>
      <c r="F218" s="523"/>
      <c r="G218" s="72"/>
      <c r="I218" s="57"/>
      <c r="J218" s="269" t="s">
        <v>17560</v>
      </c>
      <c r="K218" s="37" t="s">
        <v>398</v>
      </c>
      <c r="L218" s="38">
        <v>0.9</v>
      </c>
      <c r="M218" s="299" t="s">
        <v>17556</v>
      </c>
      <c r="N218" s="45" t="s">
        <v>398</v>
      </c>
      <c r="O218" s="46">
        <v>1</v>
      </c>
      <c r="P218" s="512"/>
      <c r="Q218" s="57"/>
      <c r="R218" s="43"/>
      <c r="S218" s="37"/>
      <c r="T218" s="38"/>
      <c r="U218" s="79"/>
      <c r="V218" s="72" t="s">
        <v>17572</v>
      </c>
      <c r="Y218" s="57"/>
      <c r="Z218" s="208">
        <f>+ROUND((ROUND((ROUND((ROUND((_15_同援日１．０＿２．０*_15・基礎２),0)*_15・２人),0)*(1+_15・B深夜)),0)*(1+_15・区４)),0)</f>
        <v>620</v>
      </c>
      <c r="AA218" s="48"/>
    </row>
    <row r="219" spans="1:27" ht="16.5" customHeight="1" x14ac:dyDescent="0.15">
      <c r="A219" s="41">
        <v>15</v>
      </c>
      <c r="B219" s="41" t="s">
        <v>20934</v>
      </c>
      <c r="C219" s="127" t="s">
        <v>20935</v>
      </c>
      <c r="D219" s="523"/>
      <c r="E219" s="72"/>
      <c r="F219" s="523"/>
      <c r="G219" s="72"/>
      <c r="I219" s="57"/>
      <c r="J219" s="53"/>
      <c r="K219" s="49"/>
      <c r="L219" s="50"/>
      <c r="M219" s="163"/>
      <c r="N219" s="45"/>
      <c r="O219" s="46"/>
      <c r="P219" s="512"/>
      <c r="Q219" s="57"/>
      <c r="R219" s="114" t="s">
        <v>17562</v>
      </c>
      <c r="S219" s="49"/>
      <c r="T219" s="50"/>
      <c r="U219" s="115"/>
      <c r="V219" s="35"/>
      <c r="W219" s="12" t="s">
        <v>398</v>
      </c>
      <c r="X219" s="13">
        <v>0.4</v>
      </c>
      <c r="Y219" s="57" t="s">
        <v>3575</v>
      </c>
      <c r="Z219" s="208">
        <f>+ROUND((ROUND((ROUND((_15_同援日１．０＿２．０*(1+_15・B深夜)),0)*(1+_15・盲ろう)),0)*(1+_15・区４)),0)</f>
        <v>861</v>
      </c>
      <c r="AA219" s="48"/>
    </row>
    <row r="220" spans="1:27" ht="16.5" customHeight="1" x14ac:dyDescent="0.15">
      <c r="A220" s="41">
        <v>15</v>
      </c>
      <c r="B220" s="41" t="s">
        <v>20936</v>
      </c>
      <c r="C220" s="127" t="s">
        <v>20937</v>
      </c>
      <c r="D220" s="523"/>
      <c r="E220" s="72"/>
      <c r="F220" s="523"/>
      <c r="G220" s="72"/>
      <c r="I220" s="57"/>
      <c r="J220" s="43"/>
      <c r="K220" s="37"/>
      <c r="L220" s="38"/>
      <c r="M220" s="299" t="s">
        <v>17556</v>
      </c>
      <c r="N220" s="45" t="s">
        <v>398</v>
      </c>
      <c r="O220" s="46">
        <v>1</v>
      </c>
      <c r="P220" s="512"/>
      <c r="Q220" s="57"/>
      <c r="R220" s="92" t="s">
        <v>17564</v>
      </c>
      <c r="U220" s="57"/>
      <c r="V220" s="35"/>
      <c r="Y220" s="57"/>
      <c r="Z220" s="208">
        <f>+ROUND((ROUND((ROUND((ROUND((_15_同援日１．０＿２．０*_15・２人),0)*(1+_15・B深夜)),0)*(1+_15・盲ろう)),0)*(1+_15・区４)),0)</f>
        <v>861</v>
      </c>
      <c r="AA220" s="48"/>
    </row>
    <row r="221" spans="1:27" ht="16.5" customHeight="1" x14ac:dyDescent="0.15">
      <c r="A221" s="41">
        <v>15</v>
      </c>
      <c r="B221" s="41" t="s">
        <v>20938</v>
      </c>
      <c r="C221" s="127" t="s">
        <v>20939</v>
      </c>
      <c r="D221" s="523"/>
      <c r="E221" s="72"/>
      <c r="F221" s="523"/>
      <c r="G221" s="72"/>
      <c r="I221" s="57"/>
      <c r="J221" s="114" t="s">
        <v>17558</v>
      </c>
      <c r="K221" s="49"/>
      <c r="L221" s="50"/>
      <c r="M221" s="163"/>
      <c r="N221" s="45"/>
      <c r="O221" s="46"/>
      <c r="P221" s="512"/>
      <c r="Q221" s="57"/>
      <c r="R221" s="35"/>
      <c r="S221" s="12" t="s">
        <v>398</v>
      </c>
      <c r="T221" s="13">
        <v>0.25</v>
      </c>
      <c r="U221" s="57" t="s">
        <v>3575</v>
      </c>
      <c r="V221" s="35"/>
      <c r="Y221" s="57"/>
      <c r="Z221" s="208">
        <f>+ROUND((ROUND((ROUND((ROUND((_15_同援日１．０＿２．０*_15・基礎２),0)*(1+_15・B深夜)),0)*(1+_15・盲ろう)),0)*(1+_15・区４)),0)</f>
        <v>776</v>
      </c>
      <c r="AA221" s="48"/>
    </row>
    <row r="222" spans="1:27" ht="16.5" customHeight="1" x14ac:dyDescent="0.15">
      <c r="A222" s="41">
        <v>15</v>
      </c>
      <c r="B222" s="41" t="s">
        <v>20940</v>
      </c>
      <c r="C222" s="127" t="s">
        <v>20941</v>
      </c>
      <c r="D222" s="523"/>
      <c r="E222" s="122"/>
      <c r="F222" s="523"/>
      <c r="G222" s="122"/>
      <c r="H222" s="37"/>
      <c r="I222" s="79"/>
      <c r="J222" s="269" t="s">
        <v>17560</v>
      </c>
      <c r="K222" s="37" t="s">
        <v>398</v>
      </c>
      <c r="L222" s="38">
        <v>0.9</v>
      </c>
      <c r="M222" s="299" t="s">
        <v>17556</v>
      </c>
      <c r="N222" s="45" t="s">
        <v>398</v>
      </c>
      <c r="O222" s="46">
        <v>1</v>
      </c>
      <c r="P222" s="512"/>
      <c r="Q222" s="57"/>
      <c r="R222" s="43"/>
      <c r="S222" s="37"/>
      <c r="T222" s="38"/>
      <c r="U222" s="79"/>
      <c r="V222" s="43"/>
      <c r="W222" s="37"/>
      <c r="X222" s="38"/>
      <c r="Y222" s="79"/>
      <c r="Z222" s="208">
        <f>+ROUND((ROUND((ROUND((ROUND((ROUND((_15_同援日１．０＿２．０*_15・基礎２),0)*_15・２人),0)*(1+_15・B深夜)),0)*(1+_15・盲ろう)),0)*(1+_15・区４)),0)</f>
        <v>776</v>
      </c>
      <c r="AA222" s="48"/>
    </row>
    <row r="223" spans="1:27" ht="16.5" customHeight="1" x14ac:dyDescent="0.15">
      <c r="A223" s="41">
        <v>15</v>
      </c>
      <c r="B223" s="41" t="s">
        <v>20942</v>
      </c>
      <c r="C223" s="127" t="s">
        <v>20943</v>
      </c>
      <c r="D223" s="523"/>
      <c r="E223" s="114" t="s">
        <v>18538</v>
      </c>
      <c r="F223" s="523"/>
      <c r="G223" s="114" t="s">
        <v>19945</v>
      </c>
      <c r="H223" s="49"/>
      <c r="I223" s="115"/>
      <c r="J223" s="53"/>
      <c r="K223" s="49"/>
      <c r="L223" s="50"/>
      <c r="M223" s="163"/>
      <c r="N223" s="45"/>
      <c r="O223" s="46"/>
      <c r="P223" s="512"/>
      <c r="Q223" s="57"/>
      <c r="R223" s="53"/>
      <c r="S223" s="49"/>
      <c r="T223" s="50"/>
      <c r="U223" s="115"/>
      <c r="V223" s="53"/>
      <c r="W223" s="49"/>
      <c r="X223" s="50"/>
      <c r="Y223" s="115"/>
      <c r="Z223" s="208">
        <f>+ROUND((_15_同援日１．５＿０．５*(1+_15・B深夜)),0)</f>
        <v>98</v>
      </c>
      <c r="AA223" s="48"/>
    </row>
    <row r="224" spans="1:27" ht="16.5" customHeight="1" x14ac:dyDescent="0.15">
      <c r="A224" s="41">
        <v>15</v>
      </c>
      <c r="B224" s="41" t="s">
        <v>20944</v>
      </c>
      <c r="C224" s="127" t="s">
        <v>20945</v>
      </c>
      <c r="D224" s="523"/>
      <c r="E224" s="72" t="s">
        <v>17616</v>
      </c>
      <c r="F224" s="523"/>
      <c r="G224" s="72" t="s">
        <v>18259</v>
      </c>
      <c r="I224" s="57"/>
      <c r="J224" s="43"/>
      <c r="K224" s="37"/>
      <c r="L224" s="38"/>
      <c r="M224" s="299" t="s">
        <v>17556</v>
      </c>
      <c r="N224" s="45" t="s">
        <v>398</v>
      </c>
      <c r="O224" s="46">
        <v>1</v>
      </c>
      <c r="P224" s="512"/>
      <c r="Q224" s="57"/>
      <c r="R224" s="35"/>
      <c r="U224" s="57"/>
      <c r="V224" s="35"/>
      <c r="Y224" s="57"/>
      <c r="Z224" s="208">
        <f>+ROUND((ROUND((_15_同援日１．５＿０．５*_15・２人),0)*(1+_15・B深夜)),0)</f>
        <v>98</v>
      </c>
      <c r="AA224" s="48"/>
    </row>
    <row r="225" spans="1:27" ht="16.5" customHeight="1" x14ac:dyDescent="0.15">
      <c r="A225" s="41">
        <v>15</v>
      </c>
      <c r="B225" s="41" t="s">
        <v>747</v>
      </c>
      <c r="C225" s="127" t="s">
        <v>20946</v>
      </c>
      <c r="D225" s="523"/>
      <c r="E225" s="72" t="s">
        <v>18183</v>
      </c>
      <c r="F225" s="523"/>
      <c r="G225" s="72"/>
      <c r="I225" s="57"/>
      <c r="J225" s="114" t="s">
        <v>17558</v>
      </c>
      <c r="K225" s="49"/>
      <c r="L225" s="50"/>
      <c r="M225" s="163"/>
      <c r="N225" s="45"/>
      <c r="O225" s="46"/>
      <c r="P225" s="512"/>
      <c r="Q225" s="57"/>
      <c r="R225" s="35"/>
      <c r="U225" s="57"/>
      <c r="V225" s="35"/>
      <c r="Y225" s="57"/>
      <c r="Z225" s="208">
        <f>+ROUND((ROUND((_15_同援日１．５＿０．５*_15・基礎２),0)*(1+_15・B深夜)),0)</f>
        <v>89</v>
      </c>
      <c r="AA225" s="48"/>
    </row>
    <row r="226" spans="1:27" ht="16.5" customHeight="1" x14ac:dyDescent="0.15">
      <c r="A226" s="41">
        <v>15</v>
      </c>
      <c r="B226" s="41" t="s">
        <v>749</v>
      </c>
      <c r="C226" s="127" t="s">
        <v>20947</v>
      </c>
      <c r="D226" s="523"/>
      <c r="E226" s="72"/>
      <c r="F226" s="523"/>
      <c r="G226" s="72"/>
      <c r="H226" s="168">
        <f>_15_同援日１．５＿０．５</f>
        <v>65</v>
      </c>
      <c r="I226" s="57" t="s">
        <v>392</v>
      </c>
      <c r="J226" s="269" t="s">
        <v>17560</v>
      </c>
      <c r="K226" s="37" t="s">
        <v>398</v>
      </c>
      <c r="L226" s="38">
        <v>0.9</v>
      </c>
      <c r="M226" s="299" t="s">
        <v>17556</v>
      </c>
      <c r="N226" s="45" t="s">
        <v>398</v>
      </c>
      <c r="O226" s="46">
        <v>1</v>
      </c>
      <c r="P226" s="512"/>
      <c r="Q226" s="57"/>
      <c r="R226" s="43"/>
      <c r="S226" s="37"/>
      <c r="T226" s="38"/>
      <c r="U226" s="79"/>
      <c r="V226" s="35"/>
      <c r="Y226" s="57"/>
      <c r="Z226" s="208">
        <f>+ROUND((ROUND((ROUND((_15_同援日１．５＿０．５*_15・基礎２),0)*_15・２人),0)*(1+_15・B深夜)),0)</f>
        <v>89</v>
      </c>
      <c r="AA226" s="48"/>
    </row>
    <row r="227" spans="1:27" ht="16.5" customHeight="1" x14ac:dyDescent="0.15">
      <c r="A227" s="41">
        <v>15</v>
      </c>
      <c r="B227" s="41" t="s">
        <v>751</v>
      </c>
      <c r="C227" s="127" t="s">
        <v>20948</v>
      </c>
      <c r="D227" s="523"/>
      <c r="E227" s="72"/>
      <c r="F227" s="523"/>
      <c r="G227" s="72"/>
      <c r="I227" s="57"/>
      <c r="J227" s="53"/>
      <c r="K227" s="49"/>
      <c r="L227" s="50"/>
      <c r="M227" s="163"/>
      <c r="N227" s="45"/>
      <c r="O227" s="46"/>
      <c r="P227" s="512"/>
      <c r="Q227" s="57"/>
      <c r="R227" s="114" t="s">
        <v>17562</v>
      </c>
      <c r="S227" s="49"/>
      <c r="T227" s="50"/>
      <c r="U227" s="115"/>
      <c r="V227" s="35"/>
      <c r="Y227" s="57"/>
      <c r="Z227" s="208">
        <f>+ROUND((ROUND((_15_同援日１．５＿０．５*(1+_15・B深夜)),0)*(1+_15・盲ろう)),0)</f>
        <v>123</v>
      </c>
      <c r="AA227" s="48"/>
    </row>
    <row r="228" spans="1:27" ht="16.5" customHeight="1" x14ac:dyDescent="0.15">
      <c r="A228" s="41">
        <v>15</v>
      </c>
      <c r="B228" s="41" t="s">
        <v>753</v>
      </c>
      <c r="C228" s="127" t="s">
        <v>20949</v>
      </c>
      <c r="D228" s="523"/>
      <c r="E228" s="72"/>
      <c r="F228" s="523"/>
      <c r="G228" s="72"/>
      <c r="I228" s="57"/>
      <c r="J228" s="43"/>
      <c r="K228" s="37"/>
      <c r="L228" s="38"/>
      <c r="M228" s="299" t="s">
        <v>17556</v>
      </c>
      <c r="N228" s="45" t="s">
        <v>398</v>
      </c>
      <c r="O228" s="46">
        <v>1</v>
      </c>
      <c r="P228" s="512"/>
      <c r="Q228" s="57"/>
      <c r="R228" s="92" t="s">
        <v>17564</v>
      </c>
      <c r="U228" s="57"/>
      <c r="V228" s="35"/>
      <c r="Y228" s="57"/>
      <c r="Z228" s="208">
        <f>+ROUND((ROUND((ROUND((_15_同援日１．５＿０．５*_15・２人),0)*(1+_15・B深夜)),0)*(1+_15・盲ろう)),0)</f>
        <v>123</v>
      </c>
      <c r="AA228" s="48"/>
    </row>
    <row r="229" spans="1:27" ht="16.5" customHeight="1" x14ac:dyDescent="0.15">
      <c r="A229" s="41">
        <v>15</v>
      </c>
      <c r="B229" s="41" t="s">
        <v>20950</v>
      </c>
      <c r="C229" s="127" t="s">
        <v>20951</v>
      </c>
      <c r="D229" s="523"/>
      <c r="E229" s="72"/>
      <c r="F229" s="523"/>
      <c r="G229" s="72"/>
      <c r="I229" s="57"/>
      <c r="J229" s="114" t="s">
        <v>17558</v>
      </c>
      <c r="K229" s="49"/>
      <c r="L229" s="50"/>
      <c r="M229" s="163"/>
      <c r="N229" s="45"/>
      <c r="O229" s="46"/>
      <c r="P229" s="512"/>
      <c r="Q229" s="57"/>
      <c r="R229" s="35"/>
      <c r="S229" s="12" t="s">
        <v>398</v>
      </c>
      <c r="T229" s="13">
        <v>0.25</v>
      </c>
      <c r="U229" s="57" t="s">
        <v>3575</v>
      </c>
      <c r="V229" s="35"/>
      <c r="Y229" s="57"/>
      <c r="Z229" s="208">
        <f>+ROUND((ROUND((ROUND((_15_同援日１．５＿０．５*_15・基礎２),0)*(1+_15・B深夜)),0)*(1+_15・盲ろう)),0)</f>
        <v>111</v>
      </c>
      <c r="AA229" s="48"/>
    </row>
    <row r="230" spans="1:27" ht="16.5" customHeight="1" x14ac:dyDescent="0.15">
      <c r="A230" s="41">
        <v>15</v>
      </c>
      <c r="B230" s="41" t="s">
        <v>20952</v>
      </c>
      <c r="C230" s="127" t="s">
        <v>20953</v>
      </c>
      <c r="D230" s="523"/>
      <c r="E230" s="72"/>
      <c r="F230" s="523"/>
      <c r="G230" s="72"/>
      <c r="I230" s="57"/>
      <c r="J230" s="269" t="s">
        <v>17560</v>
      </c>
      <c r="K230" s="37" t="s">
        <v>398</v>
      </c>
      <c r="L230" s="38">
        <v>0.9</v>
      </c>
      <c r="M230" s="299" t="s">
        <v>17556</v>
      </c>
      <c r="N230" s="45" t="s">
        <v>398</v>
      </c>
      <c r="O230" s="46">
        <v>1</v>
      </c>
      <c r="P230" s="512"/>
      <c r="Q230" s="57"/>
      <c r="R230" s="43"/>
      <c r="S230" s="37"/>
      <c r="T230" s="38"/>
      <c r="U230" s="79"/>
      <c r="V230" s="43"/>
      <c r="W230" s="37"/>
      <c r="X230" s="38"/>
      <c r="Y230" s="79"/>
      <c r="Z230" s="208">
        <f>+ROUND((ROUND((ROUND((ROUND((_15_同援日１．５＿０．５*_15・基礎２),0)*_15・２人),0)*(1+_15・B深夜)),0)*(1+_15・盲ろう)),0)</f>
        <v>111</v>
      </c>
      <c r="AA230" s="48"/>
    </row>
    <row r="231" spans="1:27" ht="16.5" customHeight="1" x14ac:dyDescent="0.15">
      <c r="A231" s="41">
        <v>15</v>
      </c>
      <c r="B231" s="41" t="s">
        <v>20954</v>
      </c>
      <c r="C231" s="127" t="s">
        <v>20955</v>
      </c>
      <c r="D231" s="523"/>
      <c r="E231" s="72"/>
      <c r="F231" s="523"/>
      <c r="G231" s="72"/>
      <c r="I231" s="57"/>
      <c r="J231" s="53"/>
      <c r="K231" s="49"/>
      <c r="L231" s="50"/>
      <c r="M231" s="163"/>
      <c r="N231" s="45"/>
      <c r="O231" s="46"/>
      <c r="P231" s="512"/>
      <c r="Q231" s="57"/>
      <c r="R231" s="53"/>
      <c r="S231" s="49"/>
      <c r="T231" s="50"/>
      <c r="U231" s="115"/>
      <c r="V231" s="53"/>
      <c r="W231" s="49"/>
      <c r="X231" s="50"/>
      <c r="Y231" s="115"/>
      <c r="Z231" s="208">
        <f>+ROUND((ROUND((_15_同援日１．５＿０．５*(1+_15・B深夜)),0)*(1+_15・区３)),0)</f>
        <v>118</v>
      </c>
      <c r="AA231" s="48"/>
    </row>
    <row r="232" spans="1:27" ht="16.5" customHeight="1" x14ac:dyDescent="0.15">
      <c r="A232" s="41">
        <v>15</v>
      </c>
      <c r="B232" s="41" t="s">
        <v>20956</v>
      </c>
      <c r="C232" s="127" t="s">
        <v>20957</v>
      </c>
      <c r="D232" s="523"/>
      <c r="E232" s="72"/>
      <c r="F232" s="523"/>
      <c r="G232" s="72"/>
      <c r="I232" s="57"/>
      <c r="J232" s="43"/>
      <c r="K232" s="37"/>
      <c r="L232" s="38"/>
      <c r="M232" s="299" t="s">
        <v>17556</v>
      </c>
      <c r="N232" s="45" t="s">
        <v>398</v>
      </c>
      <c r="O232" s="46">
        <v>1</v>
      </c>
      <c r="P232" s="512"/>
      <c r="Q232" s="57"/>
      <c r="R232" s="35"/>
      <c r="U232" s="57"/>
      <c r="V232" s="35"/>
      <c r="Y232" s="57"/>
      <c r="Z232" s="208">
        <f>+ROUND((ROUND((ROUND((_15_同援日１．５＿０．５*_15・２人),0)*(1+_15・B深夜)),0)*(1+_15・区３)),0)</f>
        <v>118</v>
      </c>
      <c r="AA232" s="48"/>
    </row>
    <row r="233" spans="1:27" ht="16.5" customHeight="1" x14ac:dyDescent="0.15">
      <c r="A233" s="41">
        <v>15</v>
      </c>
      <c r="B233" s="41" t="s">
        <v>20958</v>
      </c>
      <c r="C233" s="127" t="s">
        <v>20959</v>
      </c>
      <c r="D233" s="523"/>
      <c r="E233" s="72"/>
      <c r="F233" s="523"/>
      <c r="G233" s="72"/>
      <c r="I233" s="57"/>
      <c r="J233" s="114" t="s">
        <v>17558</v>
      </c>
      <c r="K233" s="49"/>
      <c r="L233" s="50"/>
      <c r="M233" s="163"/>
      <c r="N233" s="45"/>
      <c r="O233" s="46"/>
      <c r="P233" s="512"/>
      <c r="Q233" s="57"/>
      <c r="R233" s="35"/>
      <c r="U233" s="57"/>
      <c r="V233" s="72" t="s">
        <v>17570</v>
      </c>
      <c r="Y233" s="57"/>
      <c r="Z233" s="208">
        <f>+ROUND((ROUND((ROUND((_15_同援日１．５＿０．５*_15・基礎２),0)*(1+_15・B深夜)),0)*(1+_15・区３)),0)</f>
        <v>107</v>
      </c>
      <c r="AA233" s="48"/>
    </row>
    <row r="234" spans="1:27" ht="16.5" customHeight="1" x14ac:dyDescent="0.15">
      <c r="A234" s="41">
        <v>15</v>
      </c>
      <c r="B234" s="41" t="s">
        <v>20960</v>
      </c>
      <c r="C234" s="127" t="s">
        <v>20961</v>
      </c>
      <c r="D234" s="523"/>
      <c r="E234" s="72"/>
      <c r="F234" s="523"/>
      <c r="G234" s="72"/>
      <c r="I234" s="57"/>
      <c r="J234" s="269" t="s">
        <v>17560</v>
      </c>
      <c r="K234" s="37" t="s">
        <v>398</v>
      </c>
      <c r="L234" s="38">
        <v>0.9</v>
      </c>
      <c r="M234" s="299" t="s">
        <v>17556</v>
      </c>
      <c r="N234" s="45" t="s">
        <v>398</v>
      </c>
      <c r="O234" s="46">
        <v>1</v>
      </c>
      <c r="P234" s="512"/>
      <c r="Q234" s="57"/>
      <c r="R234" s="43"/>
      <c r="S234" s="37"/>
      <c r="T234" s="38"/>
      <c r="U234" s="79"/>
      <c r="V234" s="72" t="s">
        <v>17572</v>
      </c>
      <c r="Y234" s="57"/>
      <c r="Z234" s="208">
        <f>+ROUND((ROUND((ROUND((ROUND((_15_同援日１．５＿０．５*_15・基礎２),0)*_15・２人),0)*(1+_15・B深夜)),0)*(1+_15・区３)),0)</f>
        <v>107</v>
      </c>
      <c r="AA234" s="48"/>
    </row>
    <row r="235" spans="1:27" ht="16.5" customHeight="1" x14ac:dyDescent="0.15">
      <c r="A235" s="41">
        <v>15</v>
      </c>
      <c r="B235" s="41" t="s">
        <v>20962</v>
      </c>
      <c r="C235" s="127" t="s">
        <v>20963</v>
      </c>
      <c r="D235" s="523"/>
      <c r="E235" s="72"/>
      <c r="F235" s="523"/>
      <c r="G235" s="72"/>
      <c r="I235" s="57"/>
      <c r="J235" s="53"/>
      <c r="K235" s="49"/>
      <c r="L235" s="50"/>
      <c r="M235" s="163"/>
      <c r="N235" s="45"/>
      <c r="O235" s="46"/>
      <c r="P235" s="512"/>
      <c r="Q235" s="57"/>
      <c r="R235" s="114" t="s">
        <v>17562</v>
      </c>
      <c r="S235" s="49"/>
      <c r="T235" s="50"/>
      <c r="U235" s="115"/>
      <c r="V235" s="35"/>
      <c r="W235" s="12" t="s">
        <v>398</v>
      </c>
      <c r="X235" s="13">
        <v>0.2</v>
      </c>
      <c r="Y235" s="57" t="s">
        <v>3575</v>
      </c>
      <c r="Z235" s="208">
        <f>+ROUND((ROUND((ROUND((_15_同援日１．５＿０．５*(1+_15・B深夜)),0)*(1+_15・盲ろう)),0)*(1+_15・区３)),0)</f>
        <v>148</v>
      </c>
      <c r="AA235" s="48"/>
    </row>
    <row r="236" spans="1:27" ht="16.5" customHeight="1" x14ac:dyDescent="0.15">
      <c r="A236" s="41">
        <v>15</v>
      </c>
      <c r="B236" s="41" t="s">
        <v>20964</v>
      </c>
      <c r="C236" s="127" t="s">
        <v>20965</v>
      </c>
      <c r="D236" s="523"/>
      <c r="E236" s="72"/>
      <c r="F236" s="523"/>
      <c r="G236" s="72"/>
      <c r="I236" s="57"/>
      <c r="J236" s="43"/>
      <c r="K236" s="37"/>
      <c r="L236" s="38"/>
      <c r="M236" s="299" t="s">
        <v>17556</v>
      </c>
      <c r="N236" s="45" t="s">
        <v>398</v>
      </c>
      <c r="O236" s="46">
        <v>1</v>
      </c>
      <c r="P236" s="512"/>
      <c r="Q236" s="57"/>
      <c r="R236" s="92" t="s">
        <v>17564</v>
      </c>
      <c r="U236" s="57"/>
      <c r="V236" s="35"/>
      <c r="Y236" s="57"/>
      <c r="Z236" s="208">
        <f>+ROUND((ROUND((ROUND((ROUND((_15_同援日１．５＿０．５*_15・２人),0)*(1+_15・B深夜)),0)*(1+_15・盲ろう)),0)*(1+_15・区３)),0)</f>
        <v>148</v>
      </c>
      <c r="AA236" s="48"/>
    </row>
    <row r="237" spans="1:27" ht="16.5" customHeight="1" x14ac:dyDescent="0.15">
      <c r="A237" s="41">
        <v>15</v>
      </c>
      <c r="B237" s="41" t="s">
        <v>20966</v>
      </c>
      <c r="C237" s="127" t="s">
        <v>20967</v>
      </c>
      <c r="D237" s="523"/>
      <c r="E237" s="72"/>
      <c r="F237" s="523"/>
      <c r="G237" s="72"/>
      <c r="I237" s="57"/>
      <c r="J237" s="114" t="s">
        <v>17558</v>
      </c>
      <c r="K237" s="49"/>
      <c r="L237" s="50"/>
      <c r="M237" s="163"/>
      <c r="N237" s="45"/>
      <c r="O237" s="46"/>
      <c r="P237" s="512"/>
      <c r="Q237" s="57"/>
      <c r="R237" s="35"/>
      <c r="S237" s="12" t="s">
        <v>398</v>
      </c>
      <c r="T237" s="13">
        <v>0.25</v>
      </c>
      <c r="U237" s="57" t="s">
        <v>3575</v>
      </c>
      <c r="V237" s="35"/>
      <c r="Y237" s="57"/>
      <c r="Z237" s="208">
        <f>+ROUND((ROUND((ROUND((ROUND((_15_同援日１．５＿０．５*_15・基礎２),0)*(1+_15・B深夜)),0)*(1+_15・盲ろう)),0)*(1+_15・区３)),0)</f>
        <v>133</v>
      </c>
      <c r="AA237" s="48"/>
    </row>
    <row r="238" spans="1:27" ht="16.5" customHeight="1" x14ac:dyDescent="0.15">
      <c r="A238" s="41">
        <v>15</v>
      </c>
      <c r="B238" s="41" t="s">
        <v>20968</v>
      </c>
      <c r="C238" s="127" t="s">
        <v>20969</v>
      </c>
      <c r="D238" s="523"/>
      <c r="E238" s="72"/>
      <c r="F238" s="523"/>
      <c r="G238" s="72"/>
      <c r="I238" s="57"/>
      <c r="J238" s="269" t="s">
        <v>17560</v>
      </c>
      <c r="K238" s="37" t="s">
        <v>398</v>
      </c>
      <c r="L238" s="38">
        <v>0.9</v>
      </c>
      <c r="M238" s="299" t="s">
        <v>17556</v>
      </c>
      <c r="N238" s="45" t="s">
        <v>398</v>
      </c>
      <c r="O238" s="46">
        <v>1</v>
      </c>
      <c r="P238" s="512"/>
      <c r="Q238" s="57"/>
      <c r="R238" s="43"/>
      <c r="S238" s="37"/>
      <c r="T238" s="38"/>
      <c r="U238" s="79"/>
      <c r="V238" s="43"/>
      <c r="W238" s="37"/>
      <c r="X238" s="38"/>
      <c r="Y238" s="79"/>
      <c r="Z238" s="208">
        <f>+ROUND((ROUND((ROUND((ROUND((ROUND((_15_同援日１．５＿０．５*_15・基礎２),0)*_15・２人),0)*(1+_15・B深夜)),0)*(1+_15・盲ろう)),0)*(1+_15・区３)),0)</f>
        <v>133</v>
      </c>
      <c r="AA238" s="48"/>
    </row>
    <row r="239" spans="1:27" ht="16.5" customHeight="1" x14ac:dyDescent="0.15">
      <c r="A239" s="41">
        <v>15</v>
      </c>
      <c r="B239" s="41" t="s">
        <v>20970</v>
      </c>
      <c r="C239" s="127" t="s">
        <v>20971</v>
      </c>
      <c r="D239" s="523"/>
      <c r="E239" s="72"/>
      <c r="F239" s="523"/>
      <c r="G239" s="72"/>
      <c r="I239" s="57"/>
      <c r="J239" s="53"/>
      <c r="K239" s="49"/>
      <c r="L239" s="50"/>
      <c r="M239" s="163"/>
      <c r="N239" s="45"/>
      <c r="O239" s="46"/>
      <c r="P239" s="512"/>
      <c r="Q239" s="57"/>
      <c r="R239" s="53"/>
      <c r="S239" s="49"/>
      <c r="T239" s="50"/>
      <c r="U239" s="115"/>
      <c r="V239" s="53"/>
      <c r="W239" s="49"/>
      <c r="X239" s="50"/>
      <c r="Y239" s="115"/>
      <c r="Z239" s="208">
        <f>+ROUND((ROUND((_15_同援日１．５＿０．５*(1+_15・B深夜)),0)*(1+_15・区４)),0)</f>
        <v>137</v>
      </c>
      <c r="AA239" s="48"/>
    </row>
    <row r="240" spans="1:27" ht="16.5" customHeight="1" x14ac:dyDescent="0.15">
      <c r="A240" s="41">
        <v>15</v>
      </c>
      <c r="B240" s="41" t="s">
        <v>20972</v>
      </c>
      <c r="C240" s="127" t="s">
        <v>20973</v>
      </c>
      <c r="D240" s="523"/>
      <c r="E240" s="72"/>
      <c r="F240" s="523"/>
      <c r="G240" s="72"/>
      <c r="I240" s="57"/>
      <c r="J240" s="43"/>
      <c r="K240" s="37"/>
      <c r="L240" s="38"/>
      <c r="M240" s="299" t="s">
        <v>17556</v>
      </c>
      <c r="N240" s="45" t="s">
        <v>398</v>
      </c>
      <c r="O240" s="46">
        <v>1</v>
      </c>
      <c r="P240" s="512"/>
      <c r="Q240" s="57"/>
      <c r="R240" s="35"/>
      <c r="U240" s="57"/>
      <c r="V240" s="35"/>
      <c r="Y240" s="57"/>
      <c r="Z240" s="208">
        <f>+ROUND((ROUND((ROUND((_15_同援日１．５＿０．５*_15・２人),0)*(1+_15・B深夜)),0)*(1+_15・区４)),0)</f>
        <v>137</v>
      </c>
      <c r="AA240" s="48"/>
    </row>
    <row r="241" spans="1:27" ht="16.5" customHeight="1" x14ac:dyDescent="0.15">
      <c r="A241" s="41">
        <v>15</v>
      </c>
      <c r="B241" s="41" t="s">
        <v>20974</v>
      </c>
      <c r="C241" s="127" t="s">
        <v>20975</v>
      </c>
      <c r="D241" s="523"/>
      <c r="E241" s="72"/>
      <c r="F241" s="523"/>
      <c r="G241" s="72"/>
      <c r="I241" s="57"/>
      <c r="J241" s="114" t="s">
        <v>17558</v>
      </c>
      <c r="K241" s="49"/>
      <c r="L241" s="50"/>
      <c r="M241" s="163"/>
      <c r="N241" s="45"/>
      <c r="O241" s="46"/>
      <c r="P241" s="512"/>
      <c r="Q241" s="57"/>
      <c r="R241" s="35"/>
      <c r="U241" s="57"/>
      <c r="V241" s="72" t="s">
        <v>17580</v>
      </c>
      <c r="Y241" s="57"/>
      <c r="Z241" s="208">
        <f>+ROUND((ROUND((ROUND((_15_同援日１．５＿０．５*_15・基礎２),0)*(1+_15・B深夜)),0)*(1+_15・区４)),0)</f>
        <v>125</v>
      </c>
      <c r="AA241" s="48"/>
    </row>
    <row r="242" spans="1:27" ht="16.5" customHeight="1" x14ac:dyDescent="0.15">
      <c r="A242" s="41">
        <v>15</v>
      </c>
      <c r="B242" s="41" t="s">
        <v>20976</v>
      </c>
      <c r="C242" s="127" t="s">
        <v>20977</v>
      </c>
      <c r="D242" s="523"/>
      <c r="E242" s="72"/>
      <c r="F242" s="523"/>
      <c r="G242" s="72"/>
      <c r="I242" s="57"/>
      <c r="J242" s="269" t="s">
        <v>17560</v>
      </c>
      <c r="K242" s="37" t="s">
        <v>398</v>
      </c>
      <c r="L242" s="38">
        <v>0.9</v>
      </c>
      <c r="M242" s="299" t="s">
        <v>17556</v>
      </c>
      <c r="N242" s="45" t="s">
        <v>398</v>
      </c>
      <c r="O242" s="46">
        <v>1</v>
      </c>
      <c r="P242" s="512"/>
      <c r="Q242" s="57"/>
      <c r="R242" s="43"/>
      <c r="S242" s="37"/>
      <c r="T242" s="38"/>
      <c r="U242" s="79"/>
      <c r="V242" s="72" t="s">
        <v>17572</v>
      </c>
      <c r="Y242" s="57"/>
      <c r="Z242" s="208">
        <f>+ROUND((ROUND((ROUND((ROUND((_15_同援日１．５＿０．５*_15・基礎２),0)*_15・２人),0)*(1+_15・B深夜)),0)*(1+_15・区４)),0)</f>
        <v>125</v>
      </c>
      <c r="AA242" s="48"/>
    </row>
    <row r="243" spans="1:27" ht="16.5" customHeight="1" x14ac:dyDescent="0.15">
      <c r="A243" s="41">
        <v>15</v>
      </c>
      <c r="B243" s="41" t="s">
        <v>20978</v>
      </c>
      <c r="C243" s="127" t="s">
        <v>20979</v>
      </c>
      <c r="D243" s="523"/>
      <c r="E243" s="72"/>
      <c r="F243" s="523"/>
      <c r="G243" s="72"/>
      <c r="I243" s="57"/>
      <c r="J243" s="53"/>
      <c r="K243" s="49"/>
      <c r="L243" s="50"/>
      <c r="M243" s="163"/>
      <c r="N243" s="45"/>
      <c r="O243" s="46"/>
      <c r="P243" s="512"/>
      <c r="Q243" s="57"/>
      <c r="R243" s="114" t="s">
        <v>17562</v>
      </c>
      <c r="S243" s="49"/>
      <c r="T243" s="50"/>
      <c r="U243" s="115"/>
      <c r="V243" s="35"/>
      <c r="W243" s="12" t="s">
        <v>398</v>
      </c>
      <c r="X243" s="13">
        <v>0.4</v>
      </c>
      <c r="Y243" s="57" t="s">
        <v>3575</v>
      </c>
      <c r="Z243" s="208">
        <f>+ROUND((ROUND((ROUND((_15_同援日１．５＿０．５*(1+_15・B深夜)),0)*(1+_15・盲ろう)),0)*(1+_15・区４)),0)</f>
        <v>172</v>
      </c>
      <c r="AA243" s="48"/>
    </row>
    <row r="244" spans="1:27" ht="16.5" customHeight="1" x14ac:dyDescent="0.15">
      <c r="A244" s="41">
        <v>15</v>
      </c>
      <c r="B244" s="41" t="s">
        <v>20980</v>
      </c>
      <c r="C244" s="127" t="s">
        <v>20981</v>
      </c>
      <c r="D244" s="523"/>
      <c r="E244" s="72"/>
      <c r="F244" s="523"/>
      <c r="G244" s="72"/>
      <c r="I244" s="57"/>
      <c r="J244" s="43"/>
      <c r="K244" s="37"/>
      <c r="L244" s="38"/>
      <c r="M244" s="299" t="s">
        <v>17556</v>
      </c>
      <c r="N244" s="45" t="s">
        <v>398</v>
      </c>
      <c r="O244" s="46">
        <v>1</v>
      </c>
      <c r="P244" s="512"/>
      <c r="Q244" s="57"/>
      <c r="R244" s="92" t="s">
        <v>17564</v>
      </c>
      <c r="U244" s="57"/>
      <c r="V244" s="35"/>
      <c r="Y244" s="57"/>
      <c r="Z244" s="208">
        <f>+ROUND((ROUND((ROUND((ROUND((_15_同援日１．５＿０．５*_15・２人),0)*(1+_15・B深夜)),0)*(1+_15・盲ろう)),0)*(1+_15・区４)),0)</f>
        <v>172</v>
      </c>
      <c r="AA244" s="48"/>
    </row>
    <row r="245" spans="1:27" ht="16.5" customHeight="1" x14ac:dyDescent="0.15">
      <c r="A245" s="41">
        <v>15</v>
      </c>
      <c r="B245" s="41" t="s">
        <v>760</v>
      </c>
      <c r="C245" s="127" t="s">
        <v>20982</v>
      </c>
      <c r="D245" s="523"/>
      <c r="E245" s="72"/>
      <c r="F245" s="523"/>
      <c r="G245" s="72"/>
      <c r="I245" s="57"/>
      <c r="J245" s="114" t="s">
        <v>17558</v>
      </c>
      <c r="K245" s="49"/>
      <c r="L245" s="50"/>
      <c r="M245" s="163"/>
      <c r="N245" s="45"/>
      <c r="O245" s="46"/>
      <c r="P245" s="512"/>
      <c r="Q245" s="57"/>
      <c r="R245" s="35"/>
      <c r="S245" s="12" t="s">
        <v>398</v>
      </c>
      <c r="T245" s="13">
        <v>0.25</v>
      </c>
      <c r="U245" s="57" t="s">
        <v>3575</v>
      </c>
      <c r="V245" s="35"/>
      <c r="Y245" s="57"/>
      <c r="Z245" s="208">
        <f>+ROUND((ROUND((ROUND((ROUND((_15_同援日１．５＿０．５*_15・基礎２),0)*(1+_15・B深夜)),0)*(1+_15・盲ろう)),0)*(1+_15・区４)),0)</f>
        <v>155</v>
      </c>
      <c r="AA245" s="48"/>
    </row>
    <row r="246" spans="1:27" ht="16.5" customHeight="1" x14ac:dyDescent="0.15">
      <c r="A246" s="41">
        <v>15</v>
      </c>
      <c r="B246" s="41" t="s">
        <v>762</v>
      </c>
      <c r="C246" s="127" t="s">
        <v>20983</v>
      </c>
      <c r="D246" s="523"/>
      <c r="E246" s="72"/>
      <c r="F246" s="523"/>
      <c r="G246" s="122"/>
      <c r="H246" s="37"/>
      <c r="I246" s="79"/>
      <c r="J246" s="269" t="s">
        <v>17560</v>
      </c>
      <c r="K246" s="37" t="s">
        <v>398</v>
      </c>
      <c r="L246" s="38">
        <v>0.9</v>
      </c>
      <c r="M246" s="299" t="s">
        <v>17556</v>
      </c>
      <c r="N246" s="45" t="s">
        <v>398</v>
      </c>
      <c r="O246" s="46">
        <v>1</v>
      </c>
      <c r="P246" s="512"/>
      <c r="Q246" s="57"/>
      <c r="R246" s="43"/>
      <c r="S246" s="37"/>
      <c r="T246" s="38"/>
      <c r="U246" s="79"/>
      <c r="V246" s="43"/>
      <c r="W246" s="37"/>
      <c r="X246" s="38"/>
      <c r="Y246" s="79"/>
      <c r="Z246" s="208">
        <f>+ROUND((ROUND((ROUND((ROUND((ROUND((_15_同援日１．５＿０．５*_15・基礎２),0)*_15・２人),0)*(1+_15・B深夜)),0)*(1+_15・盲ろう)),0)*(1+_15・区４)),0)</f>
        <v>155</v>
      </c>
      <c r="AA246" s="48"/>
    </row>
    <row r="247" spans="1:27" ht="16.5" customHeight="1" x14ac:dyDescent="0.15">
      <c r="A247" s="41">
        <v>15</v>
      </c>
      <c r="B247" s="41" t="s">
        <v>764</v>
      </c>
      <c r="C247" s="127" t="s">
        <v>20984</v>
      </c>
      <c r="D247" s="523"/>
      <c r="E247" s="72"/>
      <c r="F247" s="523"/>
      <c r="G247" s="114" t="s">
        <v>19970</v>
      </c>
      <c r="H247" s="49"/>
      <c r="I247" s="115"/>
      <c r="J247" s="53"/>
      <c r="K247" s="49"/>
      <c r="L247" s="50"/>
      <c r="M247" s="163"/>
      <c r="N247" s="45"/>
      <c r="O247" s="46"/>
      <c r="P247" s="512"/>
      <c r="Q247" s="57"/>
      <c r="R247" s="53"/>
      <c r="S247" s="49"/>
      <c r="T247" s="50"/>
      <c r="U247" s="115"/>
      <c r="V247" s="53"/>
      <c r="W247" s="49"/>
      <c r="X247" s="50"/>
      <c r="Y247" s="115"/>
      <c r="Z247" s="208">
        <f>+ROUND((_15_同援日１．５＿１．０*(1+_15・B深夜)),0)</f>
        <v>195</v>
      </c>
      <c r="AA247" s="48"/>
    </row>
    <row r="248" spans="1:27" ht="16.5" customHeight="1" x14ac:dyDescent="0.15">
      <c r="A248" s="41">
        <v>15</v>
      </c>
      <c r="B248" s="41" t="s">
        <v>766</v>
      </c>
      <c r="C248" s="127" t="s">
        <v>20985</v>
      </c>
      <c r="D248" s="523"/>
      <c r="E248" s="72"/>
      <c r="F248" s="523"/>
      <c r="G248" s="72" t="s">
        <v>17589</v>
      </c>
      <c r="I248" s="57"/>
      <c r="J248" s="43"/>
      <c r="K248" s="37"/>
      <c r="L248" s="38"/>
      <c r="M248" s="299" t="s">
        <v>17556</v>
      </c>
      <c r="N248" s="45" t="s">
        <v>398</v>
      </c>
      <c r="O248" s="46">
        <v>1</v>
      </c>
      <c r="P248" s="512"/>
      <c r="Q248" s="57"/>
      <c r="R248" s="35"/>
      <c r="U248" s="57"/>
      <c r="V248" s="35"/>
      <c r="Y248" s="57"/>
      <c r="Z248" s="208">
        <f>+ROUND((ROUND((_15_同援日１．５＿１．０*_15・２人),0)*(1+_15・B深夜)),0)</f>
        <v>195</v>
      </c>
      <c r="AA248" s="48"/>
    </row>
    <row r="249" spans="1:27" ht="16.5" customHeight="1" x14ac:dyDescent="0.15">
      <c r="A249" s="41">
        <v>15</v>
      </c>
      <c r="B249" s="41" t="s">
        <v>20986</v>
      </c>
      <c r="C249" s="127" t="s">
        <v>20987</v>
      </c>
      <c r="D249" s="523"/>
      <c r="E249" s="72"/>
      <c r="F249" s="523"/>
      <c r="G249" s="72" t="s">
        <v>17591</v>
      </c>
      <c r="I249" s="57"/>
      <c r="J249" s="114" t="s">
        <v>17558</v>
      </c>
      <c r="K249" s="49"/>
      <c r="L249" s="50"/>
      <c r="M249" s="163"/>
      <c r="N249" s="45"/>
      <c r="O249" s="46"/>
      <c r="P249" s="512"/>
      <c r="Q249" s="57"/>
      <c r="R249" s="35"/>
      <c r="U249" s="57"/>
      <c r="V249" s="35"/>
      <c r="Y249" s="57"/>
      <c r="Z249" s="208">
        <f>+ROUND((ROUND((_15_同援日１．５＿１．０*_15・基礎２),0)*(1+_15・B深夜)),0)</f>
        <v>176</v>
      </c>
      <c r="AA249" s="48"/>
    </row>
    <row r="250" spans="1:27" ht="16.5" customHeight="1" x14ac:dyDescent="0.15">
      <c r="A250" s="41">
        <v>15</v>
      </c>
      <c r="B250" s="41" t="s">
        <v>20988</v>
      </c>
      <c r="C250" s="127" t="s">
        <v>20989</v>
      </c>
      <c r="D250" s="523"/>
      <c r="E250" s="72"/>
      <c r="F250" s="523"/>
      <c r="G250" s="72"/>
      <c r="H250" s="168">
        <f>_15_同援日１．５＿１．０</f>
        <v>130</v>
      </c>
      <c r="I250" s="57" t="s">
        <v>392</v>
      </c>
      <c r="J250" s="269" t="s">
        <v>17560</v>
      </c>
      <c r="K250" s="37" t="s">
        <v>398</v>
      </c>
      <c r="L250" s="38">
        <v>0.9</v>
      </c>
      <c r="M250" s="299" t="s">
        <v>17556</v>
      </c>
      <c r="N250" s="45" t="s">
        <v>398</v>
      </c>
      <c r="O250" s="46">
        <v>1</v>
      </c>
      <c r="P250" s="512"/>
      <c r="Q250" s="57"/>
      <c r="R250" s="43"/>
      <c r="S250" s="37"/>
      <c r="T250" s="38"/>
      <c r="U250" s="79"/>
      <c r="V250" s="35"/>
      <c r="Y250" s="57"/>
      <c r="Z250" s="208">
        <f>+ROUND((ROUND((ROUND((_15_同援日１．５＿１．０*_15・基礎２),0)*_15・２人),0)*(1+_15・B深夜)),0)</f>
        <v>176</v>
      </c>
      <c r="AA250" s="48"/>
    </row>
    <row r="251" spans="1:27" ht="16.5" customHeight="1" x14ac:dyDescent="0.15">
      <c r="A251" s="41">
        <v>15</v>
      </c>
      <c r="B251" s="41" t="s">
        <v>20990</v>
      </c>
      <c r="C251" s="127" t="s">
        <v>20991</v>
      </c>
      <c r="D251" s="523"/>
      <c r="E251" s="72"/>
      <c r="F251" s="523"/>
      <c r="G251" s="72"/>
      <c r="I251" s="57"/>
      <c r="J251" s="53"/>
      <c r="K251" s="49"/>
      <c r="L251" s="50"/>
      <c r="M251" s="163"/>
      <c r="N251" s="45"/>
      <c r="O251" s="46"/>
      <c r="P251" s="512"/>
      <c r="Q251" s="57"/>
      <c r="R251" s="114" t="s">
        <v>17562</v>
      </c>
      <c r="S251" s="49"/>
      <c r="T251" s="50"/>
      <c r="U251" s="115"/>
      <c r="V251" s="35"/>
      <c r="Y251" s="57"/>
      <c r="Z251" s="208">
        <f>+ROUND((ROUND((_15_同援日１．５＿１．０*(1+_15・B深夜)),0)*(1+_15・盲ろう)),0)</f>
        <v>244</v>
      </c>
      <c r="AA251" s="48"/>
    </row>
    <row r="252" spans="1:27" ht="16.5" customHeight="1" x14ac:dyDescent="0.15">
      <c r="A252" s="41">
        <v>15</v>
      </c>
      <c r="B252" s="41" t="s">
        <v>20992</v>
      </c>
      <c r="C252" s="127" t="s">
        <v>20993</v>
      </c>
      <c r="D252" s="523"/>
      <c r="E252" s="72"/>
      <c r="F252" s="523"/>
      <c r="G252" s="72"/>
      <c r="I252" s="57"/>
      <c r="J252" s="43"/>
      <c r="K252" s="37"/>
      <c r="L252" s="38"/>
      <c r="M252" s="299" t="s">
        <v>17556</v>
      </c>
      <c r="N252" s="45" t="s">
        <v>398</v>
      </c>
      <c r="O252" s="46">
        <v>1</v>
      </c>
      <c r="P252" s="512"/>
      <c r="Q252" s="57"/>
      <c r="R252" s="92" t="s">
        <v>17564</v>
      </c>
      <c r="U252" s="57"/>
      <c r="V252" s="35"/>
      <c r="Y252" s="57"/>
      <c r="Z252" s="208">
        <f>+ROUND((ROUND((ROUND((_15_同援日１．５＿１．０*_15・２人),0)*(1+_15・B深夜)),0)*(1+_15・盲ろう)),0)</f>
        <v>244</v>
      </c>
      <c r="AA252" s="48"/>
    </row>
    <row r="253" spans="1:27" ht="16.5" customHeight="1" x14ac:dyDescent="0.15">
      <c r="A253" s="41">
        <v>15</v>
      </c>
      <c r="B253" s="41" t="s">
        <v>20994</v>
      </c>
      <c r="C253" s="127" t="s">
        <v>20995</v>
      </c>
      <c r="D253" s="523"/>
      <c r="E253" s="72"/>
      <c r="F253" s="523"/>
      <c r="G253" s="72"/>
      <c r="I253" s="57"/>
      <c r="J253" s="114" t="s">
        <v>17558</v>
      </c>
      <c r="K253" s="49"/>
      <c r="L253" s="50"/>
      <c r="M253" s="163"/>
      <c r="N253" s="45"/>
      <c r="O253" s="46"/>
      <c r="P253" s="512"/>
      <c r="Q253" s="57"/>
      <c r="R253" s="35"/>
      <c r="S253" s="12" t="s">
        <v>398</v>
      </c>
      <c r="T253" s="13">
        <v>0.25</v>
      </c>
      <c r="U253" s="57" t="s">
        <v>3575</v>
      </c>
      <c r="V253" s="35"/>
      <c r="Y253" s="57"/>
      <c r="Z253" s="208">
        <f>+ROUND((ROUND((ROUND((_15_同援日１．５＿１．０*_15・基礎２),0)*(1+_15・B深夜)),0)*(1+_15・盲ろう)),0)</f>
        <v>220</v>
      </c>
      <c r="AA253" s="48"/>
    </row>
    <row r="254" spans="1:27" ht="16.5" customHeight="1" x14ac:dyDescent="0.15">
      <c r="A254" s="41">
        <v>15</v>
      </c>
      <c r="B254" s="41" t="s">
        <v>20996</v>
      </c>
      <c r="C254" s="127" t="s">
        <v>20997</v>
      </c>
      <c r="D254" s="523"/>
      <c r="E254" s="72"/>
      <c r="F254" s="523"/>
      <c r="G254" s="72"/>
      <c r="I254" s="57"/>
      <c r="J254" s="269" t="s">
        <v>17560</v>
      </c>
      <c r="K254" s="37" t="s">
        <v>398</v>
      </c>
      <c r="L254" s="38">
        <v>0.9</v>
      </c>
      <c r="M254" s="299" t="s">
        <v>17556</v>
      </c>
      <c r="N254" s="45" t="s">
        <v>398</v>
      </c>
      <c r="O254" s="46">
        <v>1</v>
      </c>
      <c r="P254" s="512"/>
      <c r="Q254" s="57"/>
      <c r="R254" s="43"/>
      <c r="S254" s="37"/>
      <c r="T254" s="38"/>
      <c r="U254" s="79"/>
      <c r="V254" s="43"/>
      <c r="W254" s="37"/>
      <c r="X254" s="38"/>
      <c r="Y254" s="79"/>
      <c r="Z254" s="208">
        <f>+ROUND((ROUND((ROUND((ROUND((_15_同援日１．５＿１．０*_15・基礎２),0)*_15・２人),0)*(1+_15・B深夜)),0)*(1+_15・盲ろう)),0)</f>
        <v>220</v>
      </c>
      <c r="AA254" s="48"/>
    </row>
    <row r="255" spans="1:27" ht="16.5" customHeight="1" x14ac:dyDescent="0.15">
      <c r="A255" s="41">
        <v>15</v>
      </c>
      <c r="B255" s="41" t="s">
        <v>20998</v>
      </c>
      <c r="C255" s="127" t="s">
        <v>20999</v>
      </c>
      <c r="D255" s="523"/>
      <c r="E255" s="72"/>
      <c r="F255" s="523"/>
      <c r="G255" s="72"/>
      <c r="I255" s="57"/>
      <c r="J255" s="53"/>
      <c r="K255" s="49"/>
      <c r="L255" s="50"/>
      <c r="M255" s="163"/>
      <c r="N255" s="45"/>
      <c r="O255" s="46"/>
      <c r="P255" s="512"/>
      <c r="Q255" s="57"/>
      <c r="R255" s="53"/>
      <c r="S255" s="49"/>
      <c r="T255" s="50"/>
      <c r="U255" s="115"/>
      <c r="V255" s="53"/>
      <c r="W255" s="49"/>
      <c r="X255" s="50"/>
      <c r="Y255" s="115"/>
      <c r="Z255" s="208">
        <f>+ROUND((ROUND((_15_同援日１．５＿１．０*(1+_15・B深夜)),0)*(1+_15・区３)),0)</f>
        <v>234</v>
      </c>
      <c r="AA255" s="48"/>
    </row>
    <row r="256" spans="1:27" ht="16.5" customHeight="1" x14ac:dyDescent="0.15">
      <c r="A256" s="41">
        <v>15</v>
      </c>
      <c r="B256" s="41" t="s">
        <v>21000</v>
      </c>
      <c r="C256" s="127" t="s">
        <v>21001</v>
      </c>
      <c r="D256" s="523"/>
      <c r="E256" s="72"/>
      <c r="F256" s="523"/>
      <c r="G256" s="72"/>
      <c r="I256" s="57"/>
      <c r="J256" s="43"/>
      <c r="K256" s="37"/>
      <c r="L256" s="38"/>
      <c r="M256" s="299" t="s">
        <v>17556</v>
      </c>
      <c r="N256" s="45" t="s">
        <v>398</v>
      </c>
      <c r="O256" s="46">
        <v>1</v>
      </c>
      <c r="P256" s="512"/>
      <c r="Q256" s="57"/>
      <c r="R256" s="35"/>
      <c r="U256" s="57"/>
      <c r="V256" s="35"/>
      <c r="Y256" s="57"/>
      <c r="Z256" s="208">
        <f>+ROUND((ROUND((ROUND((_15_同援日１．５＿１．０*_15・２人),0)*(1+_15・B深夜)),0)*(1+_15・区３)),0)</f>
        <v>234</v>
      </c>
      <c r="AA256" s="48"/>
    </row>
    <row r="257" spans="1:27" ht="16.5" customHeight="1" x14ac:dyDescent="0.15">
      <c r="A257" s="41">
        <v>15</v>
      </c>
      <c r="B257" s="41" t="s">
        <v>21002</v>
      </c>
      <c r="C257" s="127" t="s">
        <v>21003</v>
      </c>
      <c r="D257" s="523"/>
      <c r="E257" s="72"/>
      <c r="F257" s="523"/>
      <c r="G257" s="72"/>
      <c r="I257" s="57"/>
      <c r="J257" s="114" t="s">
        <v>17558</v>
      </c>
      <c r="K257" s="49"/>
      <c r="L257" s="50"/>
      <c r="M257" s="163"/>
      <c r="N257" s="45"/>
      <c r="O257" s="46"/>
      <c r="P257" s="512"/>
      <c r="Q257" s="57"/>
      <c r="R257" s="35"/>
      <c r="U257" s="57"/>
      <c r="V257" s="72" t="s">
        <v>17570</v>
      </c>
      <c r="Y257" s="57"/>
      <c r="Z257" s="208">
        <f>+ROUND((ROUND((ROUND((_15_同援日１．５＿１．０*_15・基礎２),0)*(1+_15・B深夜)),0)*(1+_15・区３)),0)</f>
        <v>211</v>
      </c>
      <c r="AA257" s="48"/>
    </row>
    <row r="258" spans="1:27" ht="16.5" customHeight="1" x14ac:dyDescent="0.15">
      <c r="A258" s="41">
        <v>15</v>
      </c>
      <c r="B258" s="41" t="s">
        <v>21004</v>
      </c>
      <c r="C258" s="127" t="s">
        <v>21005</v>
      </c>
      <c r="D258" s="523"/>
      <c r="E258" s="72"/>
      <c r="F258" s="523"/>
      <c r="G258" s="72"/>
      <c r="I258" s="57"/>
      <c r="J258" s="269" t="s">
        <v>17560</v>
      </c>
      <c r="K258" s="37" t="s">
        <v>398</v>
      </c>
      <c r="L258" s="38">
        <v>0.9</v>
      </c>
      <c r="M258" s="299" t="s">
        <v>17556</v>
      </c>
      <c r="N258" s="45" t="s">
        <v>398</v>
      </c>
      <c r="O258" s="46">
        <v>1</v>
      </c>
      <c r="P258" s="512"/>
      <c r="Q258" s="57"/>
      <c r="R258" s="43"/>
      <c r="S258" s="37"/>
      <c r="T258" s="38"/>
      <c r="U258" s="79"/>
      <c r="V258" s="72" t="s">
        <v>17572</v>
      </c>
      <c r="Y258" s="57"/>
      <c r="Z258" s="208">
        <f>+ROUND((ROUND((ROUND((ROUND((_15_同援日１．５＿１．０*_15・基礎２),0)*_15・２人),0)*(1+_15・B深夜)),0)*(1+_15・区３)),0)</f>
        <v>211</v>
      </c>
      <c r="AA258" s="48"/>
    </row>
    <row r="259" spans="1:27" ht="16.5" customHeight="1" x14ac:dyDescent="0.15">
      <c r="A259" s="41">
        <v>15</v>
      </c>
      <c r="B259" s="41" t="s">
        <v>21006</v>
      </c>
      <c r="C259" s="127" t="s">
        <v>21007</v>
      </c>
      <c r="D259" s="523"/>
      <c r="E259" s="72"/>
      <c r="F259" s="523"/>
      <c r="G259" s="72"/>
      <c r="I259" s="57"/>
      <c r="J259" s="53"/>
      <c r="K259" s="49"/>
      <c r="L259" s="50"/>
      <c r="M259" s="163"/>
      <c r="N259" s="45"/>
      <c r="O259" s="46"/>
      <c r="P259" s="512"/>
      <c r="Q259" s="57"/>
      <c r="R259" s="114" t="s">
        <v>17562</v>
      </c>
      <c r="S259" s="49"/>
      <c r="T259" s="50"/>
      <c r="U259" s="115"/>
      <c r="V259" s="35"/>
      <c r="W259" s="12" t="s">
        <v>398</v>
      </c>
      <c r="X259" s="13">
        <v>0.2</v>
      </c>
      <c r="Y259" s="57" t="s">
        <v>3575</v>
      </c>
      <c r="Z259" s="208">
        <f>+ROUND((ROUND((ROUND((_15_同援日１．５＿１．０*(1+_15・B深夜)),0)*(1+_15・盲ろう)),0)*(1+_15・区３)),0)</f>
        <v>293</v>
      </c>
      <c r="AA259" s="48"/>
    </row>
    <row r="260" spans="1:27" ht="16.5" customHeight="1" x14ac:dyDescent="0.15">
      <c r="A260" s="41">
        <v>15</v>
      </c>
      <c r="B260" s="41" t="s">
        <v>21008</v>
      </c>
      <c r="C260" s="127" t="s">
        <v>21009</v>
      </c>
      <c r="D260" s="523"/>
      <c r="E260" s="72"/>
      <c r="F260" s="523"/>
      <c r="G260" s="72"/>
      <c r="I260" s="57"/>
      <c r="J260" s="43"/>
      <c r="K260" s="37"/>
      <c r="L260" s="38"/>
      <c r="M260" s="299" t="s">
        <v>17556</v>
      </c>
      <c r="N260" s="45" t="s">
        <v>398</v>
      </c>
      <c r="O260" s="46">
        <v>1</v>
      </c>
      <c r="P260" s="512"/>
      <c r="Q260" s="57"/>
      <c r="R260" s="92" t="s">
        <v>17564</v>
      </c>
      <c r="U260" s="57"/>
      <c r="V260" s="35"/>
      <c r="Y260" s="57"/>
      <c r="Z260" s="208">
        <f>+ROUND((ROUND((ROUND((ROUND((_15_同援日１．５＿１．０*_15・２人),0)*(1+_15・B深夜)),0)*(1+_15・盲ろう)),0)*(1+_15・区３)),0)</f>
        <v>293</v>
      </c>
      <c r="AA260" s="48"/>
    </row>
    <row r="261" spans="1:27" ht="16.5" customHeight="1" x14ac:dyDescent="0.15">
      <c r="A261" s="41">
        <v>15</v>
      </c>
      <c r="B261" s="41" t="s">
        <v>21010</v>
      </c>
      <c r="C261" s="127" t="s">
        <v>21011</v>
      </c>
      <c r="D261" s="523"/>
      <c r="E261" s="72"/>
      <c r="F261" s="523"/>
      <c r="G261" s="72"/>
      <c r="I261" s="57"/>
      <c r="J261" s="114" t="s">
        <v>17558</v>
      </c>
      <c r="K261" s="49"/>
      <c r="L261" s="50"/>
      <c r="M261" s="163"/>
      <c r="N261" s="45"/>
      <c r="O261" s="46"/>
      <c r="P261" s="512"/>
      <c r="Q261" s="57"/>
      <c r="R261" s="35"/>
      <c r="S261" s="12" t="s">
        <v>398</v>
      </c>
      <c r="T261" s="13">
        <v>0.25</v>
      </c>
      <c r="U261" s="57" t="s">
        <v>3575</v>
      </c>
      <c r="V261" s="35"/>
      <c r="Y261" s="57"/>
      <c r="Z261" s="208">
        <f>+ROUND((ROUND((ROUND((ROUND((_15_同援日１．５＿１．０*_15・基礎２),0)*(1+_15・B深夜)),0)*(1+_15・盲ろう)),0)*(1+_15・区３)),0)</f>
        <v>264</v>
      </c>
      <c r="AA261" s="48"/>
    </row>
    <row r="262" spans="1:27" ht="16.5" customHeight="1" x14ac:dyDescent="0.15">
      <c r="A262" s="41">
        <v>15</v>
      </c>
      <c r="B262" s="41" t="s">
        <v>21012</v>
      </c>
      <c r="C262" s="127" t="s">
        <v>21013</v>
      </c>
      <c r="D262" s="523"/>
      <c r="E262" s="72"/>
      <c r="F262" s="523"/>
      <c r="G262" s="72"/>
      <c r="I262" s="57"/>
      <c r="J262" s="269" t="s">
        <v>17560</v>
      </c>
      <c r="K262" s="37" t="s">
        <v>398</v>
      </c>
      <c r="L262" s="38">
        <v>0.9</v>
      </c>
      <c r="M262" s="299" t="s">
        <v>17556</v>
      </c>
      <c r="N262" s="45" t="s">
        <v>398</v>
      </c>
      <c r="O262" s="46">
        <v>1</v>
      </c>
      <c r="P262" s="512"/>
      <c r="Q262" s="57"/>
      <c r="R262" s="43"/>
      <c r="S262" s="37"/>
      <c r="T262" s="38"/>
      <c r="U262" s="79"/>
      <c r="V262" s="43"/>
      <c r="W262" s="37"/>
      <c r="X262" s="38"/>
      <c r="Y262" s="79"/>
      <c r="Z262" s="208">
        <f>+ROUND((ROUND((ROUND((ROUND((ROUND((_15_同援日１．５＿１．０*_15・基礎２),0)*_15・２人),0)*(1+_15・B深夜)),0)*(1+_15・盲ろう)),0)*(1+_15・区３)),0)</f>
        <v>264</v>
      </c>
      <c r="AA262" s="48"/>
    </row>
    <row r="263" spans="1:27" ht="16.5" customHeight="1" x14ac:dyDescent="0.15">
      <c r="A263" s="41">
        <v>15</v>
      </c>
      <c r="B263" s="41" t="s">
        <v>21014</v>
      </c>
      <c r="C263" s="127" t="s">
        <v>21015</v>
      </c>
      <c r="D263" s="523"/>
      <c r="E263" s="72"/>
      <c r="F263" s="523"/>
      <c r="G263" s="72"/>
      <c r="I263" s="57"/>
      <c r="J263" s="53"/>
      <c r="K263" s="49"/>
      <c r="L263" s="50"/>
      <c r="M263" s="163"/>
      <c r="N263" s="45"/>
      <c r="O263" s="46"/>
      <c r="P263" s="512"/>
      <c r="Q263" s="57"/>
      <c r="R263" s="53"/>
      <c r="S263" s="49"/>
      <c r="T263" s="50"/>
      <c r="U263" s="115"/>
      <c r="V263" s="53"/>
      <c r="W263" s="49"/>
      <c r="X263" s="50"/>
      <c r="Y263" s="115"/>
      <c r="Z263" s="208">
        <f>+ROUND((ROUND((_15_同援日１．５＿１．０*(1+_15・B深夜)),0)*(1+_15・区４)),0)</f>
        <v>273</v>
      </c>
      <c r="AA263" s="48"/>
    </row>
    <row r="264" spans="1:27" ht="16.5" customHeight="1" x14ac:dyDescent="0.15">
      <c r="A264" s="41">
        <v>15</v>
      </c>
      <c r="B264" s="41" t="s">
        <v>21016</v>
      </c>
      <c r="C264" s="127" t="s">
        <v>21017</v>
      </c>
      <c r="D264" s="523"/>
      <c r="E264" s="72"/>
      <c r="F264" s="523"/>
      <c r="G264" s="72"/>
      <c r="I264" s="57"/>
      <c r="J264" s="43"/>
      <c r="K264" s="37"/>
      <c r="L264" s="38"/>
      <c r="M264" s="299" t="s">
        <v>17556</v>
      </c>
      <c r="N264" s="45" t="s">
        <v>398</v>
      </c>
      <c r="O264" s="46">
        <v>1</v>
      </c>
      <c r="P264" s="512"/>
      <c r="Q264" s="57"/>
      <c r="R264" s="35"/>
      <c r="U264" s="57"/>
      <c r="V264" s="35"/>
      <c r="Y264" s="57"/>
      <c r="Z264" s="208">
        <f>+ROUND((ROUND((ROUND((_15_同援日１．５＿１．０*_15・２人),0)*(1+_15・B深夜)),0)*(1+_15・区４)),0)</f>
        <v>273</v>
      </c>
      <c r="AA264" s="48"/>
    </row>
    <row r="265" spans="1:27" ht="16.5" customHeight="1" x14ac:dyDescent="0.15">
      <c r="A265" s="41">
        <v>15</v>
      </c>
      <c r="B265" s="41" t="s">
        <v>773</v>
      </c>
      <c r="C265" s="127" t="s">
        <v>21018</v>
      </c>
      <c r="D265" s="523"/>
      <c r="E265" s="72"/>
      <c r="F265" s="523"/>
      <c r="G265" s="72"/>
      <c r="I265" s="57"/>
      <c r="J265" s="114" t="s">
        <v>17558</v>
      </c>
      <c r="K265" s="49"/>
      <c r="L265" s="50"/>
      <c r="M265" s="163"/>
      <c r="N265" s="45"/>
      <c r="O265" s="46"/>
      <c r="P265" s="512"/>
      <c r="Q265" s="57"/>
      <c r="R265" s="35"/>
      <c r="U265" s="57"/>
      <c r="V265" s="72" t="s">
        <v>17580</v>
      </c>
      <c r="Y265" s="57"/>
      <c r="Z265" s="208">
        <f>+ROUND((ROUND((ROUND((_15_同援日１．５＿１．０*_15・基礎２),0)*(1+_15・B深夜)),0)*(1+_15・区４)),0)</f>
        <v>246</v>
      </c>
      <c r="AA265" s="48"/>
    </row>
    <row r="266" spans="1:27" ht="16.5" customHeight="1" x14ac:dyDescent="0.15">
      <c r="A266" s="41">
        <v>15</v>
      </c>
      <c r="B266" s="41" t="s">
        <v>775</v>
      </c>
      <c r="C266" s="127" t="s">
        <v>21019</v>
      </c>
      <c r="D266" s="523"/>
      <c r="E266" s="72"/>
      <c r="F266" s="523"/>
      <c r="G266" s="72"/>
      <c r="I266" s="57"/>
      <c r="J266" s="269" t="s">
        <v>17560</v>
      </c>
      <c r="K266" s="37" t="s">
        <v>398</v>
      </c>
      <c r="L266" s="38">
        <v>0.9</v>
      </c>
      <c r="M266" s="299" t="s">
        <v>17556</v>
      </c>
      <c r="N266" s="45" t="s">
        <v>398</v>
      </c>
      <c r="O266" s="46">
        <v>1</v>
      </c>
      <c r="P266" s="512"/>
      <c r="Q266" s="57"/>
      <c r="R266" s="43"/>
      <c r="S266" s="37"/>
      <c r="T266" s="38"/>
      <c r="U266" s="79"/>
      <c r="V266" s="72" t="s">
        <v>17572</v>
      </c>
      <c r="Y266" s="57"/>
      <c r="Z266" s="208">
        <f>+ROUND((ROUND((ROUND((ROUND((_15_同援日１．５＿１．０*_15・基礎２),0)*_15・２人),0)*(1+_15・B深夜)),0)*(1+_15・区４)),0)</f>
        <v>246</v>
      </c>
      <c r="AA266" s="48"/>
    </row>
    <row r="267" spans="1:27" ht="16.5" customHeight="1" x14ac:dyDescent="0.15">
      <c r="A267" s="41">
        <v>15</v>
      </c>
      <c r="B267" s="41" t="s">
        <v>777</v>
      </c>
      <c r="C267" s="127" t="s">
        <v>21020</v>
      </c>
      <c r="D267" s="523"/>
      <c r="E267" s="72"/>
      <c r="F267" s="523"/>
      <c r="G267" s="72"/>
      <c r="I267" s="57"/>
      <c r="J267" s="53"/>
      <c r="K267" s="49"/>
      <c r="L267" s="50"/>
      <c r="M267" s="163"/>
      <c r="N267" s="45"/>
      <c r="O267" s="46"/>
      <c r="P267" s="512"/>
      <c r="Q267" s="57"/>
      <c r="R267" s="114" t="s">
        <v>17562</v>
      </c>
      <c r="S267" s="49"/>
      <c r="T267" s="50"/>
      <c r="U267" s="115"/>
      <c r="V267" s="35"/>
      <c r="W267" s="12" t="s">
        <v>398</v>
      </c>
      <c r="X267" s="13">
        <v>0.4</v>
      </c>
      <c r="Y267" s="57" t="s">
        <v>3575</v>
      </c>
      <c r="Z267" s="208">
        <f>+ROUND((ROUND((ROUND((_15_同援日１．５＿１．０*(1+_15・B深夜)),0)*(1+_15・盲ろう)),0)*(1+_15・区４)),0)</f>
        <v>342</v>
      </c>
      <c r="AA267" s="48"/>
    </row>
    <row r="268" spans="1:27" ht="16.5" customHeight="1" x14ac:dyDescent="0.15">
      <c r="A268" s="41">
        <v>15</v>
      </c>
      <c r="B268" s="41" t="s">
        <v>779</v>
      </c>
      <c r="C268" s="127" t="s">
        <v>21021</v>
      </c>
      <c r="D268" s="523"/>
      <c r="E268" s="72"/>
      <c r="F268" s="523"/>
      <c r="G268" s="72"/>
      <c r="I268" s="57"/>
      <c r="J268" s="43"/>
      <c r="K268" s="37"/>
      <c r="L268" s="38"/>
      <c r="M268" s="299" t="s">
        <v>17556</v>
      </c>
      <c r="N268" s="45" t="s">
        <v>398</v>
      </c>
      <c r="O268" s="46">
        <v>1</v>
      </c>
      <c r="P268" s="512"/>
      <c r="Q268" s="57"/>
      <c r="R268" s="92" t="s">
        <v>17564</v>
      </c>
      <c r="U268" s="57"/>
      <c r="V268" s="35"/>
      <c r="Y268" s="57"/>
      <c r="Z268" s="208">
        <f>+ROUND((ROUND((ROUND((ROUND((_15_同援日１．５＿１．０*_15・２人),0)*(1+_15・B深夜)),0)*(1+_15・盲ろう)),0)*(1+_15・区４)),0)</f>
        <v>342</v>
      </c>
      <c r="AA268" s="48"/>
    </row>
    <row r="269" spans="1:27" ht="16.5" customHeight="1" x14ac:dyDescent="0.15">
      <c r="A269" s="41">
        <v>15</v>
      </c>
      <c r="B269" s="41" t="s">
        <v>21022</v>
      </c>
      <c r="C269" s="127" t="s">
        <v>21023</v>
      </c>
      <c r="D269" s="523"/>
      <c r="E269" s="72"/>
      <c r="F269" s="523"/>
      <c r="G269" s="72"/>
      <c r="I269" s="57"/>
      <c r="J269" s="114" t="s">
        <v>17558</v>
      </c>
      <c r="K269" s="49"/>
      <c r="L269" s="50"/>
      <c r="M269" s="163"/>
      <c r="N269" s="45"/>
      <c r="O269" s="46"/>
      <c r="P269" s="512"/>
      <c r="Q269" s="57"/>
      <c r="R269" s="35"/>
      <c r="S269" s="12" t="s">
        <v>398</v>
      </c>
      <c r="T269" s="13">
        <v>0.25</v>
      </c>
      <c r="U269" s="57" t="s">
        <v>3575</v>
      </c>
      <c r="V269" s="35"/>
      <c r="Y269" s="57"/>
      <c r="Z269" s="208">
        <f>+ROUND((ROUND((ROUND((ROUND((_15_同援日１．５＿１．０*_15・基礎２),0)*(1+_15・B深夜)),0)*(1+_15・盲ろう)),0)*(1+_15・区４)),0)</f>
        <v>308</v>
      </c>
      <c r="AA269" s="48"/>
    </row>
    <row r="270" spans="1:27" ht="16.5" customHeight="1" x14ac:dyDescent="0.15">
      <c r="A270" s="41">
        <v>15</v>
      </c>
      <c r="B270" s="41" t="s">
        <v>21024</v>
      </c>
      <c r="C270" s="127" t="s">
        <v>21025</v>
      </c>
      <c r="D270" s="523"/>
      <c r="E270" s="72"/>
      <c r="F270" s="523"/>
      <c r="G270" s="122"/>
      <c r="H270" s="37"/>
      <c r="I270" s="79"/>
      <c r="J270" s="269" t="s">
        <v>17560</v>
      </c>
      <c r="K270" s="37" t="s">
        <v>398</v>
      </c>
      <c r="L270" s="38">
        <v>0.9</v>
      </c>
      <c r="M270" s="299" t="s">
        <v>17556</v>
      </c>
      <c r="N270" s="45" t="s">
        <v>398</v>
      </c>
      <c r="O270" s="46">
        <v>1</v>
      </c>
      <c r="P270" s="512"/>
      <c r="Q270" s="57"/>
      <c r="R270" s="43"/>
      <c r="S270" s="37"/>
      <c r="T270" s="38"/>
      <c r="U270" s="79"/>
      <c r="V270" s="43"/>
      <c r="W270" s="37"/>
      <c r="X270" s="38"/>
      <c r="Y270" s="79"/>
      <c r="Z270" s="208">
        <f>+ROUND((ROUND((ROUND((ROUND((ROUND((_15_同援日１．５＿１．０*_15・基礎２),0)*_15・２人),0)*(1+_15・B深夜)),0)*(1+_15・盲ろう)),0)*(1+_15・区４)),0)</f>
        <v>308</v>
      </c>
      <c r="AA270" s="48"/>
    </row>
    <row r="271" spans="1:27" ht="16.5" customHeight="1" x14ac:dyDescent="0.15">
      <c r="A271" s="41">
        <v>15</v>
      </c>
      <c r="B271" s="41" t="s">
        <v>21026</v>
      </c>
      <c r="C271" s="127" t="s">
        <v>21027</v>
      </c>
      <c r="D271" s="523"/>
      <c r="E271" s="72"/>
      <c r="F271" s="523"/>
      <c r="G271" s="114" t="s">
        <v>19995</v>
      </c>
      <c r="H271" s="49"/>
      <c r="I271" s="115"/>
      <c r="J271" s="53"/>
      <c r="K271" s="49"/>
      <c r="L271" s="50"/>
      <c r="M271" s="163"/>
      <c r="N271" s="45"/>
      <c r="O271" s="46"/>
      <c r="P271" s="512"/>
      <c r="Q271" s="57"/>
      <c r="R271" s="53"/>
      <c r="S271" s="49"/>
      <c r="T271" s="50"/>
      <c r="U271" s="115"/>
      <c r="V271" s="53"/>
      <c r="W271" s="49"/>
      <c r="X271" s="50"/>
      <c r="Y271" s="115"/>
      <c r="Z271" s="208">
        <f>+ROUND((_15_同援日１．５＿１．５*(1+_15・B深夜)),0)</f>
        <v>293</v>
      </c>
      <c r="AA271" s="48"/>
    </row>
    <row r="272" spans="1:27" ht="16.5" customHeight="1" x14ac:dyDescent="0.15">
      <c r="A272" s="41">
        <v>15</v>
      </c>
      <c r="B272" s="41" t="s">
        <v>21028</v>
      </c>
      <c r="C272" s="127" t="s">
        <v>21029</v>
      </c>
      <c r="D272" s="523"/>
      <c r="E272" s="72"/>
      <c r="F272" s="523"/>
      <c r="G272" s="72" t="s">
        <v>17616</v>
      </c>
      <c r="I272" s="57"/>
      <c r="J272" s="43"/>
      <c r="K272" s="37"/>
      <c r="L272" s="38"/>
      <c r="M272" s="299" t="s">
        <v>17556</v>
      </c>
      <c r="N272" s="45" t="s">
        <v>398</v>
      </c>
      <c r="O272" s="46">
        <v>1</v>
      </c>
      <c r="P272" s="512"/>
      <c r="Q272" s="57"/>
      <c r="R272" s="35"/>
      <c r="U272" s="57"/>
      <c r="V272" s="35"/>
      <c r="Y272" s="57"/>
      <c r="Z272" s="208">
        <f>+ROUND((ROUND((_15_同援日１．５＿１．５*_15・２人),0)*(1+_15・B深夜)),0)</f>
        <v>293</v>
      </c>
      <c r="AA272" s="48"/>
    </row>
    <row r="273" spans="1:27" ht="16.5" customHeight="1" x14ac:dyDescent="0.15">
      <c r="A273" s="41">
        <v>15</v>
      </c>
      <c r="B273" s="41" t="s">
        <v>21030</v>
      </c>
      <c r="C273" s="127" t="s">
        <v>21031</v>
      </c>
      <c r="D273" s="523"/>
      <c r="E273" s="72"/>
      <c r="F273" s="523"/>
      <c r="G273" s="72" t="s">
        <v>18183</v>
      </c>
      <c r="I273" s="57"/>
      <c r="J273" s="114" t="s">
        <v>17558</v>
      </c>
      <c r="K273" s="49"/>
      <c r="L273" s="50"/>
      <c r="M273" s="163"/>
      <c r="N273" s="45"/>
      <c r="O273" s="46"/>
      <c r="P273" s="512"/>
      <c r="Q273" s="57"/>
      <c r="R273" s="35"/>
      <c r="U273" s="57"/>
      <c r="V273" s="35"/>
      <c r="Y273" s="57"/>
      <c r="Z273" s="208">
        <f>+ROUND((ROUND((_15_同援日１．５＿１．５*_15・基礎２),0)*(1+_15・B深夜)),0)</f>
        <v>264</v>
      </c>
      <c r="AA273" s="48"/>
    </row>
    <row r="274" spans="1:27" ht="16.5" customHeight="1" x14ac:dyDescent="0.15">
      <c r="A274" s="41">
        <v>15</v>
      </c>
      <c r="B274" s="41" t="s">
        <v>21032</v>
      </c>
      <c r="C274" s="127" t="s">
        <v>21033</v>
      </c>
      <c r="D274" s="523"/>
      <c r="E274" s="72"/>
      <c r="F274" s="523"/>
      <c r="G274" s="72"/>
      <c r="H274" s="168">
        <f>_15_同援日１．５＿１．５</f>
        <v>195</v>
      </c>
      <c r="I274" s="57" t="s">
        <v>392</v>
      </c>
      <c r="J274" s="269" t="s">
        <v>17560</v>
      </c>
      <c r="K274" s="37" t="s">
        <v>398</v>
      </c>
      <c r="L274" s="38">
        <v>0.9</v>
      </c>
      <c r="M274" s="299" t="s">
        <v>17556</v>
      </c>
      <c r="N274" s="45" t="s">
        <v>398</v>
      </c>
      <c r="O274" s="46">
        <v>1</v>
      </c>
      <c r="P274" s="512"/>
      <c r="Q274" s="57"/>
      <c r="R274" s="43"/>
      <c r="S274" s="37"/>
      <c r="T274" s="38"/>
      <c r="U274" s="79"/>
      <c r="V274" s="35"/>
      <c r="Y274" s="57"/>
      <c r="Z274" s="208">
        <f>+ROUND((ROUND((ROUND((_15_同援日１．５＿１．５*_15・基礎２),0)*_15・２人),0)*(1+_15・B深夜)),0)</f>
        <v>264</v>
      </c>
      <c r="AA274" s="48"/>
    </row>
    <row r="275" spans="1:27" ht="16.5" customHeight="1" x14ac:dyDescent="0.15">
      <c r="A275" s="41">
        <v>15</v>
      </c>
      <c r="B275" s="41" t="s">
        <v>21034</v>
      </c>
      <c r="C275" s="127" t="s">
        <v>21035</v>
      </c>
      <c r="D275" s="523"/>
      <c r="E275" s="72"/>
      <c r="F275" s="523"/>
      <c r="G275" s="72"/>
      <c r="I275" s="57"/>
      <c r="J275" s="53"/>
      <c r="K275" s="49"/>
      <c r="L275" s="50"/>
      <c r="M275" s="163"/>
      <c r="N275" s="45"/>
      <c r="O275" s="46"/>
      <c r="P275" s="512"/>
      <c r="Q275" s="57"/>
      <c r="R275" s="114" t="s">
        <v>17562</v>
      </c>
      <c r="S275" s="49"/>
      <c r="T275" s="50"/>
      <c r="U275" s="115"/>
      <c r="V275" s="35"/>
      <c r="Y275" s="57"/>
      <c r="Z275" s="208">
        <f>+ROUND((ROUND((_15_同援日１．５＿１．５*(1+_15・B深夜)),0)*(1+_15・盲ろう)),0)</f>
        <v>366</v>
      </c>
      <c r="AA275" s="48"/>
    </row>
    <row r="276" spans="1:27" ht="16.5" customHeight="1" x14ac:dyDescent="0.15">
      <c r="A276" s="41">
        <v>15</v>
      </c>
      <c r="B276" s="41" t="s">
        <v>21036</v>
      </c>
      <c r="C276" s="127" t="s">
        <v>21037</v>
      </c>
      <c r="D276" s="523"/>
      <c r="E276" s="72"/>
      <c r="F276" s="523"/>
      <c r="G276" s="72"/>
      <c r="I276" s="57"/>
      <c r="J276" s="43"/>
      <c r="K276" s="37"/>
      <c r="L276" s="38"/>
      <c r="M276" s="299" t="s">
        <v>17556</v>
      </c>
      <c r="N276" s="45" t="s">
        <v>398</v>
      </c>
      <c r="O276" s="46">
        <v>1</v>
      </c>
      <c r="P276" s="512"/>
      <c r="Q276" s="57"/>
      <c r="R276" s="92" t="s">
        <v>17564</v>
      </c>
      <c r="U276" s="57"/>
      <c r="V276" s="35"/>
      <c r="Y276" s="57"/>
      <c r="Z276" s="208">
        <f>+ROUND((ROUND((ROUND((_15_同援日１．５＿１．５*_15・２人),0)*(1+_15・B深夜)),0)*(1+_15・盲ろう)),0)</f>
        <v>366</v>
      </c>
      <c r="AA276" s="48"/>
    </row>
    <row r="277" spans="1:27" ht="16.5" customHeight="1" x14ac:dyDescent="0.15">
      <c r="A277" s="41">
        <v>15</v>
      </c>
      <c r="B277" s="41" t="s">
        <v>21038</v>
      </c>
      <c r="C277" s="127" t="s">
        <v>21039</v>
      </c>
      <c r="D277" s="523"/>
      <c r="E277" s="72"/>
      <c r="F277" s="523"/>
      <c r="G277" s="72"/>
      <c r="I277" s="57"/>
      <c r="J277" s="114" t="s">
        <v>17558</v>
      </c>
      <c r="K277" s="49"/>
      <c r="L277" s="50"/>
      <c r="M277" s="163"/>
      <c r="N277" s="45"/>
      <c r="O277" s="46"/>
      <c r="P277" s="512"/>
      <c r="Q277" s="57"/>
      <c r="R277" s="35"/>
      <c r="S277" s="12" t="s">
        <v>398</v>
      </c>
      <c r="T277" s="13">
        <v>0.25</v>
      </c>
      <c r="U277" s="57" t="s">
        <v>3575</v>
      </c>
      <c r="V277" s="35"/>
      <c r="Y277" s="57"/>
      <c r="Z277" s="208">
        <f>+ROUND((ROUND((ROUND((_15_同援日１．５＿１．５*_15・基礎２),0)*(1+_15・B深夜)),0)*(1+_15・盲ろう)),0)</f>
        <v>330</v>
      </c>
      <c r="AA277" s="48"/>
    </row>
    <row r="278" spans="1:27" ht="16.5" customHeight="1" x14ac:dyDescent="0.15">
      <c r="A278" s="41">
        <v>15</v>
      </c>
      <c r="B278" s="41" t="s">
        <v>21040</v>
      </c>
      <c r="C278" s="127" t="s">
        <v>21041</v>
      </c>
      <c r="D278" s="523"/>
      <c r="E278" s="72"/>
      <c r="F278" s="523"/>
      <c r="G278" s="72"/>
      <c r="I278" s="57"/>
      <c r="J278" s="269" t="s">
        <v>17560</v>
      </c>
      <c r="K278" s="37" t="s">
        <v>398</v>
      </c>
      <c r="L278" s="38">
        <v>0.9</v>
      </c>
      <c r="M278" s="299" t="s">
        <v>17556</v>
      </c>
      <c r="N278" s="45" t="s">
        <v>398</v>
      </c>
      <c r="O278" s="46">
        <v>1</v>
      </c>
      <c r="P278" s="512"/>
      <c r="Q278" s="57"/>
      <c r="R278" s="43"/>
      <c r="S278" s="37"/>
      <c r="T278" s="38"/>
      <c r="U278" s="79"/>
      <c r="V278" s="43"/>
      <c r="W278" s="37"/>
      <c r="X278" s="38"/>
      <c r="Y278" s="79"/>
      <c r="Z278" s="208">
        <f>+ROUND((ROUND((ROUND((ROUND((_15_同援日１．５＿１．５*_15・基礎２),0)*_15・２人),0)*(1+_15・B深夜)),0)*(1+_15・盲ろう)),0)</f>
        <v>330</v>
      </c>
      <c r="AA278" s="48"/>
    </row>
    <row r="279" spans="1:27" ht="16.5" customHeight="1" x14ac:dyDescent="0.15">
      <c r="A279" s="41">
        <v>15</v>
      </c>
      <c r="B279" s="41" t="s">
        <v>21042</v>
      </c>
      <c r="C279" s="127" t="s">
        <v>21043</v>
      </c>
      <c r="D279" s="523"/>
      <c r="E279" s="72"/>
      <c r="F279" s="523"/>
      <c r="G279" s="72"/>
      <c r="I279" s="57"/>
      <c r="J279" s="53"/>
      <c r="K279" s="49"/>
      <c r="L279" s="50"/>
      <c r="M279" s="163"/>
      <c r="N279" s="45"/>
      <c r="O279" s="46"/>
      <c r="P279" s="512"/>
      <c r="Q279" s="57"/>
      <c r="R279" s="53"/>
      <c r="S279" s="49"/>
      <c r="T279" s="50"/>
      <c r="U279" s="115"/>
      <c r="V279" s="53"/>
      <c r="W279" s="49"/>
      <c r="X279" s="50"/>
      <c r="Y279" s="115"/>
      <c r="Z279" s="208">
        <f>+ROUND((ROUND((_15_同援日１．５＿１．５*(1+_15・B深夜)),0)*(1+_15・区３)),0)</f>
        <v>352</v>
      </c>
      <c r="AA279" s="48"/>
    </row>
    <row r="280" spans="1:27" ht="16.5" customHeight="1" x14ac:dyDescent="0.15">
      <c r="A280" s="41">
        <v>15</v>
      </c>
      <c r="B280" s="41" t="s">
        <v>21044</v>
      </c>
      <c r="C280" s="127" t="s">
        <v>21045</v>
      </c>
      <c r="D280" s="523"/>
      <c r="E280" s="72"/>
      <c r="F280" s="523"/>
      <c r="G280" s="72"/>
      <c r="I280" s="57"/>
      <c r="J280" s="43"/>
      <c r="K280" s="37"/>
      <c r="L280" s="38"/>
      <c r="M280" s="299" t="s">
        <v>17556</v>
      </c>
      <c r="N280" s="45" t="s">
        <v>398</v>
      </c>
      <c r="O280" s="46">
        <v>1</v>
      </c>
      <c r="P280" s="512"/>
      <c r="Q280" s="57"/>
      <c r="R280" s="35"/>
      <c r="U280" s="57"/>
      <c r="V280" s="35"/>
      <c r="Y280" s="57"/>
      <c r="Z280" s="208">
        <f>+ROUND((ROUND((ROUND((_15_同援日１．５＿１．５*_15・２人),0)*(1+_15・B深夜)),0)*(1+_15・区３)),0)</f>
        <v>352</v>
      </c>
      <c r="AA280" s="48"/>
    </row>
    <row r="281" spans="1:27" ht="16.5" customHeight="1" x14ac:dyDescent="0.15">
      <c r="A281" s="41">
        <v>15</v>
      </c>
      <c r="B281" s="41" t="s">
        <v>21046</v>
      </c>
      <c r="C281" s="127" t="s">
        <v>21047</v>
      </c>
      <c r="D281" s="523"/>
      <c r="E281" s="72"/>
      <c r="F281" s="523"/>
      <c r="G281" s="72"/>
      <c r="I281" s="57"/>
      <c r="J281" s="114" t="s">
        <v>17558</v>
      </c>
      <c r="K281" s="49"/>
      <c r="L281" s="50"/>
      <c r="M281" s="163"/>
      <c r="N281" s="45"/>
      <c r="O281" s="46"/>
      <c r="P281" s="512"/>
      <c r="Q281" s="57"/>
      <c r="R281" s="35"/>
      <c r="U281" s="57"/>
      <c r="V281" s="72" t="s">
        <v>17570</v>
      </c>
      <c r="Y281" s="57"/>
      <c r="Z281" s="208">
        <f>+ROUND((ROUND((ROUND((_15_同援日１．５＿１．５*_15・基礎２),0)*(1+_15・B深夜)),0)*(1+_15・区３)),0)</f>
        <v>317</v>
      </c>
      <c r="AA281" s="48"/>
    </row>
    <row r="282" spans="1:27" ht="16.5" customHeight="1" x14ac:dyDescent="0.15">
      <c r="A282" s="41">
        <v>15</v>
      </c>
      <c r="B282" s="41" t="s">
        <v>21048</v>
      </c>
      <c r="C282" s="127" t="s">
        <v>21049</v>
      </c>
      <c r="D282" s="523"/>
      <c r="E282" s="72"/>
      <c r="F282" s="523"/>
      <c r="G282" s="72"/>
      <c r="I282" s="57"/>
      <c r="J282" s="269" t="s">
        <v>17560</v>
      </c>
      <c r="K282" s="37" t="s">
        <v>398</v>
      </c>
      <c r="L282" s="38">
        <v>0.9</v>
      </c>
      <c r="M282" s="299" t="s">
        <v>17556</v>
      </c>
      <c r="N282" s="45" t="s">
        <v>398</v>
      </c>
      <c r="O282" s="46">
        <v>1</v>
      </c>
      <c r="P282" s="512"/>
      <c r="Q282" s="57"/>
      <c r="R282" s="43"/>
      <c r="S282" s="37"/>
      <c r="T282" s="38"/>
      <c r="U282" s="79"/>
      <c r="V282" s="72" t="s">
        <v>17572</v>
      </c>
      <c r="Y282" s="57"/>
      <c r="Z282" s="208">
        <f>+ROUND((ROUND((ROUND((ROUND((_15_同援日１．５＿１．５*_15・基礎２),0)*_15・２人),0)*(1+_15・B深夜)),0)*(1+_15・区３)),0)</f>
        <v>317</v>
      </c>
      <c r="AA282" s="48"/>
    </row>
    <row r="283" spans="1:27" ht="16.5" customHeight="1" x14ac:dyDescent="0.15">
      <c r="A283" s="41">
        <v>15</v>
      </c>
      <c r="B283" s="41" t="s">
        <v>21050</v>
      </c>
      <c r="C283" s="127" t="s">
        <v>21051</v>
      </c>
      <c r="D283" s="523"/>
      <c r="E283" s="72"/>
      <c r="F283" s="523"/>
      <c r="G283" s="72"/>
      <c r="I283" s="57"/>
      <c r="J283" s="53"/>
      <c r="K283" s="49"/>
      <c r="L283" s="50"/>
      <c r="M283" s="163"/>
      <c r="N283" s="45"/>
      <c r="O283" s="46"/>
      <c r="P283" s="512"/>
      <c r="Q283" s="57"/>
      <c r="R283" s="114" t="s">
        <v>17562</v>
      </c>
      <c r="S283" s="49"/>
      <c r="T283" s="50"/>
      <c r="U283" s="115"/>
      <c r="V283" s="35"/>
      <c r="W283" s="12" t="s">
        <v>398</v>
      </c>
      <c r="X283" s="13">
        <v>0.2</v>
      </c>
      <c r="Y283" s="57" t="s">
        <v>3575</v>
      </c>
      <c r="Z283" s="208">
        <f>+ROUND((ROUND((ROUND((_15_同援日１．５＿１．５*(1+_15・B深夜)),0)*(1+_15・盲ろう)),0)*(1+_15・区３)),0)</f>
        <v>439</v>
      </c>
      <c r="AA283" s="48"/>
    </row>
    <row r="284" spans="1:27" ht="16.5" customHeight="1" x14ac:dyDescent="0.15">
      <c r="A284" s="41">
        <v>15</v>
      </c>
      <c r="B284" s="41" t="s">
        <v>21052</v>
      </c>
      <c r="C284" s="127" t="s">
        <v>21053</v>
      </c>
      <c r="D284" s="523"/>
      <c r="E284" s="72"/>
      <c r="F284" s="523"/>
      <c r="G284" s="72"/>
      <c r="I284" s="57"/>
      <c r="J284" s="43"/>
      <c r="K284" s="37"/>
      <c r="L284" s="38"/>
      <c r="M284" s="299" t="s">
        <v>17556</v>
      </c>
      <c r="N284" s="45" t="s">
        <v>398</v>
      </c>
      <c r="O284" s="46">
        <v>1</v>
      </c>
      <c r="P284" s="512"/>
      <c r="Q284" s="57"/>
      <c r="R284" s="92" t="s">
        <v>17564</v>
      </c>
      <c r="U284" s="57"/>
      <c r="V284" s="35"/>
      <c r="Y284" s="57"/>
      <c r="Z284" s="208">
        <f>+ROUND((ROUND((ROUND((ROUND((_15_同援日１．５＿１．５*_15・２人),0)*(1+_15・B深夜)),0)*(1+_15・盲ろう)),0)*(1+_15・区３)),0)</f>
        <v>439</v>
      </c>
      <c r="AA284" s="48"/>
    </row>
    <row r="285" spans="1:27" ht="16.5" customHeight="1" x14ac:dyDescent="0.15">
      <c r="A285" s="41">
        <v>15</v>
      </c>
      <c r="B285" s="41" t="s">
        <v>786</v>
      </c>
      <c r="C285" s="127" t="s">
        <v>21054</v>
      </c>
      <c r="D285" s="523"/>
      <c r="E285" s="72"/>
      <c r="F285" s="523"/>
      <c r="G285" s="72"/>
      <c r="I285" s="57"/>
      <c r="J285" s="114" t="s">
        <v>17558</v>
      </c>
      <c r="K285" s="49"/>
      <c r="L285" s="50"/>
      <c r="M285" s="163"/>
      <c r="N285" s="45"/>
      <c r="O285" s="46"/>
      <c r="P285" s="512"/>
      <c r="Q285" s="57"/>
      <c r="R285" s="35"/>
      <c r="S285" s="12" t="s">
        <v>398</v>
      </c>
      <c r="T285" s="13">
        <v>0.25</v>
      </c>
      <c r="U285" s="57" t="s">
        <v>3575</v>
      </c>
      <c r="V285" s="35"/>
      <c r="Y285" s="57"/>
      <c r="Z285" s="208">
        <f>+ROUND((ROUND((ROUND((ROUND((_15_同援日１．５＿１．５*_15・基礎２),0)*(1+_15・B深夜)),0)*(1+_15・盲ろう)),0)*(1+_15・区３)),0)</f>
        <v>396</v>
      </c>
      <c r="AA285" s="48"/>
    </row>
    <row r="286" spans="1:27" ht="16.5" customHeight="1" x14ac:dyDescent="0.15">
      <c r="A286" s="41">
        <v>15</v>
      </c>
      <c r="B286" s="41" t="s">
        <v>788</v>
      </c>
      <c r="C286" s="127" t="s">
        <v>21055</v>
      </c>
      <c r="D286" s="523"/>
      <c r="E286" s="72"/>
      <c r="F286" s="523"/>
      <c r="G286" s="72"/>
      <c r="I286" s="57"/>
      <c r="J286" s="269" t="s">
        <v>17560</v>
      </c>
      <c r="K286" s="37" t="s">
        <v>398</v>
      </c>
      <c r="L286" s="38">
        <v>0.9</v>
      </c>
      <c r="M286" s="299" t="s">
        <v>17556</v>
      </c>
      <c r="N286" s="45" t="s">
        <v>398</v>
      </c>
      <c r="O286" s="46">
        <v>1</v>
      </c>
      <c r="P286" s="512"/>
      <c r="Q286" s="57"/>
      <c r="R286" s="43"/>
      <c r="S286" s="37"/>
      <c r="T286" s="38"/>
      <c r="U286" s="79"/>
      <c r="V286" s="43"/>
      <c r="W286" s="37"/>
      <c r="X286" s="38"/>
      <c r="Y286" s="79"/>
      <c r="Z286" s="208">
        <f>+ROUND((ROUND((ROUND((ROUND((ROUND((_15_同援日１．５＿１．５*_15・基礎２),0)*_15・２人),0)*(1+_15・B深夜)),0)*(1+_15・盲ろう)),0)*(1+_15・区３)),0)</f>
        <v>396</v>
      </c>
      <c r="AA286" s="48"/>
    </row>
    <row r="287" spans="1:27" ht="16.5" customHeight="1" x14ac:dyDescent="0.15">
      <c r="A287" s="41">
        <v>15</v>
      </c>
      <c r="B287" s="41" t="s">
        <v>790</v>
      </c>
      <c r="C287" s="127" t="s">
        <v>21056</v>
      </c>
      <c r="D287" s="523"/>
      <c r="E287" s="72"/>
      <c r="F287" s="523"/>
      <c r="G287" s="72"/>
      <c r="I287" s="57"/>
      <c r="J287" s="53"/>
      <c r="K287" s="49"/>
      <c r="L287" s="50"/>
      <c r="M287" s="163"/>
      <c r="N287" s="45"/>
      <c r="O287" s="46"/>
      <c r="P287" s="512"/>
      <c r="Q287" s="57"/>
      <c r="R287" s="53"/>
      <c r="S287" s="49"/>
      <c r="T287" s="50"/>
      <c r="U287" s="115"/>
      <c r="V287" s="53"/>
      <c r="W287" s="49"/>
      <c r="X287" s="50"/>
      <c r="Y287" s="115"/>
      <c r="Z287" s="208">
        <f>+ROUND((ROUND((_15_同援日１．５＿１．５*(1+_15・B深夜)),0)*(1+_15・区４)),0)</f>
        <v>410</v>
      </c>
      <c r="AA287" s="48"/>
    </row>
    <row r="288" spans="1:27" ht="16.5" customHeight="1" x14ac:dyDescent="0.15">
      <c r="A288" s="41">
        <v>15</v>
      </c>
      <c r="B288" s="41" t="s">
        <v>792</v>
      </c>
      <c r="C288" s="127" t="s">
        <v>21057</v>
      </c>
      <c r="D288" s="523"/>
      <c r="E288" s="72"/>
      <c r="F288" s="523"/>
      <c r="G288" s="72"/>
      <c r="I288" s="57"/>
      <c r="J288" s="43"/>
      <c r="K288" s="37"/>
      <c r="L288" s="38"/>
      <c r="M288" s="299" t="s">
        <v>17556</v>
      </c>
      <c r="N288" s="45" t="s">
        <v>398</v>
      </c>
      <c r="O288" s="46">
        <v>1</v>
      </c>
      <c r="P288" s="512"/>
      <c r="Q288" s="57"/>
      <c r="R288" s="35"/>
      <c r="U288" s="57"/>
      <c r="V288" s="35"/>
      <c r="Y288" s="57"/>
      <c r="Z288" s="208">
        <f>+ROUND((ROUND((ROUND((_15_同援日１．５＿１．５*_15・２人),0)*(1+_15・B深夜)),0)*(1+_15・区４)),0)</f>
        <v>410</v>
      </c>
      <c r="AA288" s="48"/>
    </row>
    <row r="289" spans="1:27" ht="16.5" customHeight="1" x14ac:dyDescent="0.15">
      <c r="A289" s="41">
        <v>15</v>
      </c>
      <c r="B289" s="41" t="s">
        <v>21058</v>
      </c>
      <c r="C289" s="127" t="s">
        <v>21059</v>
      </c>
      <c r="D289" s="523"/>
      <c r="E289" s="72"/>
      <c r="F289" s="523"/>
      <c r="G289" s="72"/>
      <c r="I289" s="57"/>
      <c r="J289" s="114" t="s">
        <v>17558</v>
      </c>
      <c r="K289" s="49"/>
      <c r="L289" s="50"/>
      <c r="M289" s="163"/>
      <c r="N289" s="45"/>
      <c r="O289" s="46"/>
      <c r="P289" s="512"/>
      <c r="Q289" s="57"/>
      <c r="R289" s="35"/>
      <c r="U289" s="57"/>
      <c r="V289" s="72" t="s">
        <v>17580</v>
      </c>
      <c r="Y289" s="57"/>
      <c r="Z289" s="208">
        <f>+ROUND((ROUND((ROUND((_15_同援日１．５＿１．５*_15・基礎２),0)*(1+_15・B深夜)),0)*(1+_15・区４)),0)</f>
        <v>370</v>
      </c>
      <c r="AA289" s="48"/>
    </row>
    <row r="290" spans="1:27" ht="16.5" customHeight="1" x14ac:dyDescent="0.15">
      <c r="A290" s="41">
        <v>15</v>
      </c>
      <c r="B290" s="41" t="s">
        <v>21060</v>
      </c>
      <c r="C290" s="127" t="s">
        <v>21061</v>
      </c>
      <c r="D290" s="523"/>
      <c r="E290" s="72"/>
      <c r="F290" s="523"/>
      <c r="G290" s="72"/>
      <c r="I290" s="57"/>
      <c r="J290" s="269" t="s">
        <v>17560</v>
      </c>
      <c r="K290" s="37" t="s">
        <v>398</v>
      </c>
      <c r="L290" s="38">
        <v>0.9</v>
      </c>
      <c r="M290" s="299" t="s">
        <v>17556</v>
      </c>
      <c r="N290" s="45" t="s">
        <v>398</v>
      </c>
      <c r="O290" s="46">
        <v>1</v>
      </c>
      <c r="P290" s="512"/>
      <c r="Q290" s="57"/>
      <c r="R290" s="43"/>
      <c r="S290" s="37"/>
      <c r="T290" s="38"/>
      <c r="U290" s="79"/>
      <c r="V290" s="72" t="s">
        <v>17572</v>
      </c>
      <c r="Y290" s="57"/>
      <c r="Z290" s="208">
        <f>+ROUND((ROUND((ROUND((ROUND((_15_同援日１．５＿１．５*_15・基礎２),0)*_15・２人),0)*(1+_15・B深夜)),0)*(1+_15・区４)),0)</f>
        <v>370</v>
      </c>
      <c r="AA290" s="48"/>
    </row>
    <row r="291" spans="1:27" ht="16.5" customHeight="1" x14ac:dyDescent="0.15">
      <c r="A291" s="41">
        <v>15</v>
      </c>
      <c r="B291" s="41" t="s">
        <v>21062</v>
      </c>
      <c r="C291" s="127" t="s">
        <v>21063</v>
      </c>
      <c r="D291" s="523"/>
      <c r="E291" s="72"/>
      <c r="F291" s="523"/>
      <c r="G291" s="72"/>
      <c r="I291" s="57"/>
      <c r="J291" s="53"/>
      <c r="K291" s="49"/>
      <c r="L291" s="50"/>
      <c r="M291" s="163"/>
      <c r="N291" s="45"/>
      <c r="O291" s="46"/>
      <c r="P291" s="512"/>
      <c r="Q291" s="57"/>
      <c r="R291" s="114" t="s">
        <v>17562</v>
      </c>
      <c r="S291" s="49"/>
      <c r="T291" s="50"/>
      <c r="U291" s="115"/>
      <c r="V291" s="35"/>
      <c r="W291" s="12" t="s">
        <v>398</v>
      </c>
      <c r="X291" s="13">
        <v>0.4</v>
      </c>
      <c r="Y291" s="57" t="s">
        <v>3575</v>
      </c>
      <c r="Z291" s="208">
        <f>+ROUND((ROUND((ROUND((_15_同援日１．５＿１．５*(1+_15・B深夜)),0)*(1+_15・盲ろう)),0)*(1+_15・区４)),0)</f>
        <v>512</v>
      </c>
      <c r="AA291" s="48"/>
    </row>
    <row r="292" spans="1:27" ht="16.5" customHeight="1" x14ac:dyDescent="0.15">
      <c r="A292" s="41">
        <v>15</v>
      </c>
      <c r="B292" s="41" t="s">
        <v>21064</v>
      </c>
      <c r="C292" s="127" t="s">
        <v>21065</v>
      </c>
      <c r="D292" s="523"/>
      <c r="E292" s="72"/>
      <c r="F292" s="523"/>
      <c r="G292" s="72"/>
      <c r="I292" s="57"/>
      <c r="J292" s="43"/>
      <c r="K292" s="37"/>
      <c r="L292" s="38"/>
      <c r="M292" s="299" t="s">
        <v>17556</v>
      </c>
      <c r="N292" s="45" t="s">
        <v>398</v>
      </c>
      <c r="O292" s="46">
        <v>1</v>
      </c>
      <c r="P292" s="512"/>
      <c r="Q292" s="57"/>
      <c r="R292" s="92" t="s">
        <v>17564</v>
      </c>
      <c r="U292" s="57"/>
      <c r="V292" s="35"/>
      <c r="Y292" s="57"/>
      <c r="Z292" s="208">
        <f>+ROUND((ROUND((ROUND((ROUND((_15_同援日１．５＿１．５*_15・２人),0)*(1+_15・B深夜)),0)*(1+_15・盲ろう)),0)*(1+_15・区４)),0)</f>
        <v>512</v>
      </c>
      <c r="AA292" s="48"/>
    </row>
    <row r="293" spans="1:27" ht="16.5" customHeight="1" x14ac:dyDescent="0.15">
      <c r="A293" s="41">
        <v>15</v>
      </c>
      <c r="B293" s="41" t="s">
        <v>21066</v>
      </c>
      <c r="C293" s="127" t="s">
        <v>21067</v>
      </c>
      <c r="D293" s="523"/>
      <c r="E293" s="72"/>
      <c r="F293" s="523"/>
      <c r="G293" s="72"/>
      <c r="I293" s="57"/>
      <c r="J293" s="114" t="s">
        <v>17558</v>
      </c>
      <c r="K293" s="49"/>
      <c r="L293" s="50"/>
      <c r="M293" s="163"/>
      <c r="N293" s="45"/>
      <c r="O293" s="46"/>
      <c r="P293" s="512"/>
      <c r="Q293" s="57"/>
      <c r="R293" s="35"/>
      <c r="S293" s="12" t="s">
        <v>398</v>
      </c>
      <c r="T293" s="13">
        <v>0.25</v>
      </c>
      <c r="U293" s="57" t="s">
        <v>3575</v>
      </c>
      <c r="V293" s="35"/>
      <c r="Y293" s="57"/>
      <c r="Z293" s="208">
        <f>+ROUND((ROUND((ROUND((ROUND((_15_同援日１．５＿１．５*_15・基礎２),0)*(1+_15・B深夜)),0)*(1+_15・盲ろう)),0)*(1+_15・区４)),0)</f>
        <v>462</v>
      </c>
      <c r="AA293" s="48"/>
    </row>
    <row r="294" spans="1:27" ht="16.5" customHeight="1" x14ac:dyDescent="0.15">
      <c r="A294" s="41">
        <v>15</v>
      </c>
      <c r="B294" s="41" t="s">
        <v>21068</v>
      </c>
      <c r="C294" s="127" t="s">
        <v>21069</v>
      </c>
      <c r="D294" s="524"/>
      <c r="E294" s="122"/>
      <c r="F294" s="524"/>
      <c r="G294" s="122"/>
      <c r="H294" s="37"/>
      <c r="I294" s="79"/>
      <c r="J294" s="269" t="s">
        <v>17560</v>
      </c>
      <c r="K294" s="37" t="s">
        <v>398</v>
      </c>
      <c r="L294" s="38">
        <v>0.9</v>
      </c>
      <c r="M294" s="299" t="s">
        <v>17556</v>
      </c>
      <c r="N294" s="45" t="s">
        <v>398</v>
      </c>
      <c r="O294" s="46">
        <v>1</v>
      </c>
      <c r="P294" s="514"/>
      <c r="Q294" s="79"/>
      <c r="R294" s="43"/>
      <c r="S294" s="37"/>
      <c r="T294" s="38"/>
      <c r="U294" s="79"/>
      <c r="V294" s="43"/>
      <c r="W294" s="37"/>
      <c r="X294" s="38"/>
      <c r="Y294" s="79"/>
      <c r="Z294" s="208">
        <f>+ROUND((ROUND((ROUND((ROUND((ROUND((_15_同援日１．５＿１．５*_15・基礎２),0)*_15・２人),0)*(1+_15・B深夜)),0)*(1+_15・盲ろう)),0)*(1+_15・区４)),0)</f>
        <v>462</v>
      </c>
      <c r="AA294" s="63"/>
    </row>
    <row r="295" spans="1:27" ht="16.5" customHeight="1" x14ac:dyDescent="0.15">
      <c r="A295" s="41">
        <v>15</v>
      </c>
      <c r="B295" s="41" t="s">
        <v>21070</v>
      </c>
      <c r="C295" s="127" t="s">
        <v>21071</v>
      </c>
      <c r="D295" s="525"/>
      <c r="E295" s="114" t="s">
        <v>18563</v>
      </c>
      <c r="F295" s="525"/>
      <c r="G295" s="114" t="s">
        <v>19945</v>
      </c>
      <c r="H295" s="49"/>
      <c r="I295" s="115"/>
      <c r="J295" s="53"/>
      <c r="K295" s="49"/>
      <c r="L295" s="50"/>
      <c r="M295" s="163"/>
      <c r="N295" s="45"/>
      <c r="O295" s="46"/>
      <c r="P295" s="515"/>
      <c r="Q295" s="115"/>
      <c r="R295" s="53"/>
      <c r="S295" s="49"/>
      <c r="T295" s="50"/>
      <c r="U295" s="115"/>
      <c r="V295" s="53"/>
      <c r="W295" s="49"/>
      <c r="X295" s="50"/>
      <c r="Y295" s="115"/>
      <c r="Z295" s="208">
        <f>+ROUND((_15_同援日２．０＿０．５*(1+_15・B深夜)),0)</f>
        <v>98</v>
      </c>
      <c r="AA295" s="64"/>
    </row>
    <row r="296" spans="1:27" ht="16.5" customHeight="1" x14ac:dyDescent="0.15">
      <c r="A296" s="41">
        <v>15</v>
      </c>
      <c r="B296" s="41" t="s">
        <v>21072</v>
      </c>
      <c r="C296" s="127" t="s">
        <v>21073</v>
      </c>
      <c r="D296" s="523"/>
      <c r="E296" s="72" t="s">
        <v>17643</v>
      </c>
      <c r="F296" s="523"/>
      <c r="G296" s="72" t="s">
        <v>18259</v>
      </c>
      <c r="I296" s="57"/>
      <c r="J296" s="43"/>
      <c r="K296" s="37"/>
      <c r="L296" s="38"/>
      <c r="M296" s="299" t="s">
        <v>17556</v>
      </c>
      <c r="N296" s="45" t="s">
        <v>398</v>
      </c>
      <c r="O296" s="46">
        <v>1</v>
      </c>
      <c r="P296" s="512"/>
      <c r="Q296" s="57"/>
      <c r="R296" s="35"/>
      <c r="U296" s="57"/>
      <c r="V296" s="35"/>
      <c r="Y296" s="57"/>
      <c r="Z296" s="208">
        <f>+ROUND((ROUND((_15_同援日２．０＿０．５*_15・２人),0)*(1+_15・B深夜)),0)</f>
        <v>98</v>
      </c>
      <c r="AA296" s="48"/>
    </row>
    <row r="297" spans="1:27" ht="16.5" customHeight="1" x14ac:dyDescent="0.15">
      <c r="A297" s="41">
        <v>15</v>
      </c>
      <c r="B297" s="41" t="s">
        <v>21074</v>
      </c>
      <c r="C297" s="127" t="s">
        <v>21075</v>
      </c>
      <c r="D297" s="523"/>
      <c r="E297" s="72" t="s">
        <v>17645</v>
      </c>
      <c r="F297" s="523"/>
      <c r="G297" s="72"/>
      <c r="I297" s="57"/>
      <c r="J297" s="114" t="s">
        <v>17558</v>
      </c>
      <c r="K297" s="49"/>
      <c r="L297" s="50"/>
      <c r="M297" s="163"/>
      <c r="N297" s="45"/>
      <c r="O297" s="46"/>
      <c r="P297" s="512"/>
      <c r="Q297" s="57"/>
      <c r="R297" s="35"/>
      <c r="U297" s="57"/>
      <c r="V297" s="35"/>
      <c r="Y297" s="57"/>
      <c r="Z297" s="208">
        <f>+ROUND((ROUND((_15_同援日２．０＿０．５*_15・基礎２),0)*(1+_15・B深夜)),0)</f>
        <v>89</v>
      </c>
      <c r="AA297" s="48"/>
    </row>
    <row r="298" spans="1:27" ht="16.5" customHeight="1" x14ac:dyDescent="0.15">
      <c r="A298" s="41">
        <v>15</v>
      </c>
      <c r="B298" s="41" t="s">
        <v>21076</v>
      </c>
      <c r="C298" s="127" t="s">
        <v>21077</v>
      </c>
      <c r="D298" s="523"/>
      <c r="E298" s="72"/>
      <c r="F298" s="523"/>
      <c r="G298" s="72"/>
      <c r="H298" s="168">
        <f>_15_同援日２．０＿０．５</f>
        <v>65</v>
      </c>
      <c r="I298" s="57" t="s">
        <v>392</v>
      </c>
      <c r="J298" s="269" t="s">
        <v>17560</v>
      </c>
      <c r="K298" s="37" t="s">
        <v>398</v>
      </c>
      <c r="L298" s="38">
        <v>0.9</v>
      </c>
      <c r="M298" s="299" t="s">
        <v>17556</v>
      </c>
      <c r="N298" s="45" t="s">
        <v>398</v>
      </c>
      <c r="O298" s="46">
        <v>1</v>
      </c>
      <c r="P298" s="512"/>
      <c r="Q298" s="57"/>
      <c r="R298" s="43"/>
      <c r="S298" s="37"/>
      <c r="T298" s="38"/>
      <c r="U298" s="79"/>
      <c r="V298" s="35"/>
      <c r="Y298" s="57"/>
      <c r="Z298" s="208">
        <f>+ROUND((ROUND((ROUND((_15_同援日２．０＿０．５*_15・基礎２),0)*_15・２人),0)*(1+_15・B深夜)),0)</f>
        <v>89</v>
      </c>
      <c r="AA298" s="48"/>
    </row>
    <row r="299" spans="1:27" ht="16.5" customHeight="1" x14ac:dyDescent="0.15">
      <c r="A299" s="41">
        <v>15</v>
      </c>
      <c r="B299" s="41" t="s">
        <v>21078</v>
      </c>
      <c r="C299" s="127" t="s">
        <v>21079</v>
      </c>
      <c r="D299" s="523"/>
      <c r="E299" s="72"/>
      <c r="F299" s="523"/>
      <c r="G299" s="72"/>
      <c r="I299" s="57"/>
      <c r="J299" s="53"/>
      <c r="K299" s="49"/>
      <c r="L299" s="50"/>
      <c r="M299" s="163"/>
      <c r="N299" s="45"/>
      <c r="O299" s="46"/>
      <c r="P299" s="512"/>
      <c r="Q299" s="57"/>
      <c r="R299" s="114" t="s">
        <v>17562</v>
      </c>
      <c r="S299" s="49"/>
      <c r="T299" s="50"/>
      <c r="U299" s="115"/>
      <c r="V299" s="35"/>
      <c r="Y299" s="57"/>
      <c r="Z299" s="208">
        <f>+ROUND((ROUND((_15_同援日２．０＿０．５*(1+_15・B深夜)),0)*(1+_15・盲ろう)),0)</f>
        <v>123</v>
      </c>
      <c r="AA299" s="48"/>
    </row>
    <row r="300" spans="1:27" ht="16.5" customHeight="1" x14ac:dyDescent="0.15">
      <c r="A300" s="41">
        <v>15</v>
      </c>
      <c r="B300" s="41" t="s">
        <v>21080</v>
      </c>
      <c r="C300" s="127" t="s">
        <v>21081</v>
      </c>
      <c r="D300" s="523"/>
      <c r="E300" s="72"/>
      <c r="F300" s="523"/>
      <c r="G300" s="72"/>
      <c r="I300" s="57"/>
      <c r="J300" s="43"/>
      <c r="K300" s="37"/>
      <c r="L300" s="38"/>
      <c r="M300" s="299" t="s">
        <v>17556</v>
      </c>
      <c r="N300" s="45" t="s">
        <v>398</v>
      </c>
      <c r="O300" s="46">
        <v>1</v>
      </c>
      <c r="P300" s="512"/>
      <c r="Q300" s="57"/>
      <c r="R300" s="92" t="s">
        <v>17564</v>
      </c>
      <c r="U300" s="57"/>
      <c r="V300" s="35"/>
      <c r="Y300" s="57"/>
      <c r="Z300" s="208">
        <f>+ROUND((ROUND((ROUND((_15_同援日２．０＿０．５*_15・２人),0)*(1+_15・B深夜)),0)*(1+_15・盲ろう)),0)</f>
        <v>123</v>
      </c>
      <c r="AA300" s="48"/>
    </row>
    <row r="301" spans="1:27" ht="16.5" customHeight="1" x14ac:dyDescent="0.15">
      <c r="A301" s="41">
        <v>15</v>
      </c>
      <c r="B301" s="41" t="s">
        <v>21082</v>
      </c>
      <c r="C301" s="127" t="s">
        <v>21083</v>
      </c>
      <c r="D301" s="523"/>
      <c r="E301" s="72"/>
      <c r="F301" s="523"/>
      <c r="G301" s="72"/>
      <c r="I301" s="57"/>
      <c r="J301" s="114" t="s">
        <v>17558</v>
      </c>
      <c r="K301" s="49"/>
      <c r="L301" s="50"/>
      <c r="M301" s="163"/>
      <c r="N301" s="45"/>
      <c r="O301" s="46"/>
      <c r="P301" s="512"/>
      <c r="Q301" s="57"/>
      <c r="R301" s="35"/>
      <c r="S301" s="12" t="s">
        <v>398</v>
      </c>
      <c r="T301" s="13">
        <v>0.25</v>
      </c>
      <c r="U301" s="57" t="s">
        <v>3575</v>
      </c>
      <c r="V301" s="35"/>
      <c r="Y301" s="57"/>
      <c r="Z301" s="208">
        <f>+ROUND((ROUND((ROUND((_15_同援日２．０＿０．５*_15・基礎２),0)*(1+_15・B深夜)),0)*(1+_15・盲ろう)),0)</f>
        <v>111</v>
      </c>
      <c r="AA301" s="48"/>
    </row>
    <row r="302" spans="1:27" ht="16.5" customHeight="1" x14ac:dyDescent="0.15">
      <c r="A302" s="41">
        <v>15</v>
      </c>
      <c r="B302" s="41" t="s">
        <v>21084</v>
      </c>
      <c r="C302" s="127" t="s">
        <v>21085</v>
      </c>
      <c r="D302" s="523"/>
      <c r="E302" s="72"/>
      <c r="F302" s="523"/>
      <c r="G302" s="72"/>
      <c r="I302" s="57"/>
      <c r="J302" s="269" t="s">
        <v>17560</v>
      </c>
      <c r="K302" s="37" t="s">
        <v>398</v>
      </c>
      <c r="L302" s="38">
        <v>0.9</v>
      </c>
      <c r="M302" s="299" t="s">
        <v>17556</v>
      </c>
      <c r="N302" s="45" t="s">
        <v>398</v>
      </c>
      <c r="O302" s="46">
        <v>1</v>
      </c>
      <c r="P302" s="512"/>
      <c r="Q302" s="57"/>
      <c r="R302" s="43"/>
      <c r="S302" s="37"/>
      <c r="T302" s="38"/>
      <c r="U302" s="79"/>
      <c r="V302" s="43"/>
      <c r="W302" s="37"/>
      <c r="X302" s="38"/>
      <c r="Y302" s="79"/>
      <c r="Z302" s="208">
        <f>+ROUND((ROUND((ROUND((ROUND((_15_同援日２．０＿０．５*_15・基礎２),0)*_15・２人),0)*(1+_15・B深夜)),0)*(1+_15・盲ろう)),0)</f>
        <v>111</v>
      </c>
      <c r="AA302" s="48"/>
    </row>
    <row r="303" spans="1:27" ht="16.5" customHeight="1" x14ac:dyDescent="0.15">
      <c r="A303" s="41">
        <v>15</v>
      </c>
      <c r="B303" s="41" t="s">
        <v>21086</v>
      </c>
      <c r="C303" s="127" t="s">
        <v>21087</v>
      </c>
      <c r="D303" s="523"/>
      <c r="E303" s="72"/>
      <c r="F303" s="523"/>
      <c r="G303" s="72"/>
      <c r="I303" s="57"/>
      <c r="J303" s="53"/>
      <c r="K303" s="49"/>
      <c r="L303" s="50"/>
      <c r="M303" s="163"/>
      <c r="N303" s="45"/>
      <c r="O303" s="46"/>
      <c r="P303" s="512"/>
      <c r="Q303" s="57"/>
      <c r="R303" s="53"/>
      <c r="S303" s="49"/>
      <c r="T303" s="50"/>
      <c r="U303" s="115"/>
      <c r="V303" s="53"/>
      <c r="W303" s="49"/>
      <c r="X303" s="50"/>
      <c r="Y303" s="115"/>
      <c r="Z303" s="208">
        <f>+ROUND((ROUND((_15_同援日２．０＿０．５*(1+_15・B深夜)),0)*(1+_15・区３)),0)</f>
        <v>118</v>
      </c>
      <c r="AA303" s="48"/>
    </row>
    <row r="304" spans="1:27" ht="16.5" customHeight="1" x14ac:dyDescent="0.15">
      <c r="A304" s="41">
        <v>15</v>
      </c>
      <c r="B304" s="41" t="s">
        <v>21088</v>
      </c>
      <c r="C304" s="127" t="s">
        <v>21089</v>
      </c>
      <c r="D304" s="523"/>
      <c r="E304" s="72"/>
      <c r="F304" s="523"/>
      <c r="G304" s="72"/>
      <c r="I304" s="57"/>
      <c r="J304" s="43"/>
      <c r="K304" s="37"/>
      <c r="L304" s="38"/>
      <c r="M304" s="299" t="s">
        <v>17556</v>
      </c>
      <c r="N304" s="45" t="s">
        <v>398</v>
      </c>
      <c r="O304" s="46">
        <v>1</v>
      </c>
      <c r="P304" s="512"/>
      <c r="Q304" s="57"/>
      <c r="R304" s="35"/>
      <c r="U304" s="57"/>
      <c r="V304" s="35"/>
      <c r="Y304" s="57"/>
      <c r="Z304" s="208">
        <f>+ROUND((ROUND((ROUND((_15_同援日２．０＿０．５*_15・２人),0)*(1+_15・B深夜)),0)*(1+_15・区３)),0)</f>
        <v>118</v>
      </c>
      <c r="AA304" s="48"/>
    </row>
    <row r="305" spans="1:27" ht="16.5" customHeight="1" x14ac:dyDescent="0.15">
      <c r="A305" s="41">
        <v>15</v>
      </c>
      <c r="B305" s="41" t="s">
        <v>799</v>
      </c>
      <c r="C305" s="127" t="s">
        <v>21090</v>
      </c>
      <c r="D305" s="523"/>
      <c r="E305" s="72"/>
      <c r="F305" s="523"/>
      <c r="G305" s="72"/>
      <c r="I305" s="57"/>
      <c r="J305" s="114" t="s">
        <v>17558</v>
      </c>
      <c r="K305" s="49"/>
      <c r="L305" s="50"/>
      <c r="M305" s="163"/>
      <c r="N305" s="45"/>
      <c r="O305" s="46"/>
      <c r="P305" s="512"/>
      <c r="Q305" s="57"/>
      <c r="R305" s="35"/>
      <c r="U305" s="57"/>
      <c r="V305" s="72" t="s">
        <v>17570</v>
      </c>
      <c r="Y305" s="57"/>
      <c r="Z305" s="208">
        <f>+ROUND((ROUND((ROUND((_15_同援日２．０＿０．５*_15・基礎２),0)*(1+_15・B深夜)),0)*(1+_15・区３)),0)</f>
        <v>107</v>
      </c>
      <c r="AA305" s="48"/>
    </row>
    <row r="306" spans="1:27" ht="16.5" customHeight="1" x14ac:dyDescent="0.15">
      <c r="A306" s="41">
        <v>15</v>
      </c>
      <c r="B306" s="41" t="s">
        <v>801</v>
      </c>
      <c r="C306" s="127" t="s">
        <v>21091</v>
      </c>
      <c r="D306" s="523"/>
      <c r="E306" s="72"/>
      <c r="F306" s="523"/>
      <c r="G306" s="72"/>
      <c r="I306" s="57"/>
      <c r="J306" s="269" t="s">
        <v>17560</v>
      </c>
      <c r="K306" s="37" t="s">
        <v>398</v>
      </c>
      <c r="L306" s="38">
        <v>0.9</v>
      </c>
      <c r="M306" s="299" t="s">
        <v>17556</v>
      </c>
      <c r="N306" s="45" t="s">
        <v>398</v>
      </c>
      <c r="O306" s="46">
        <v>1</v>
      </c>
      <c r="P306" s="512"/>
      <c r="Q306" s="57"/>
      <c r="R306" s="43"/>
      <c r="S306" s="37"/>
      <c r="T306" s="38"/>
      <c r="U306" s="79"/>
      <c r="V306" s="72" t="s">
        <v>17572</v>
      </c>
      <c r="Y306" s="57"/>
      <c r="Z306" s="208">
        <f>+ROUND((ROUND((ROUND((ROUND((_15_同援日２．０＿０．５*_15・基礎２),0)*_15・２人),0)*(1+_15・B深夜)),0)*(1+_15・区３)),0)</f>
        <v>107</v>
      </c>
      <c r="AA306" s="48"/>
    </row>
    <row r="307" spans="1:27" ht="16.5" customHeight="1" x14ac:dyDescent="0.15">
      <c r="A307" s="41">
        <v>15</v>
      </c>
      <c r="B307" s="41" t="s">
        <v>803</v>
      </c>
      <c r="C307" s="127" t="s">
        <v>21092</v>
      </c>
      <c r="D307" s="523"/>
      <c r="E307" s="72"/>
      <c r="F307" s="523"/>
      <c r="G307" s="72"/>
      <c r="I307" s="57"/>
      <c r="J307" s="53"/>
      <c r="K307" s="49"/>
      <c r="L307" s="50"/>
      <c r="M307" s="163"/>
      <c r="N307" s="45"/>
      <c r="O307" s="46"/>
      <c r="P307" s="512"/>
      <c r="Q307" s="57"/>
      <c r="R307" s="114" t="s">
        <v>17562</v>
      </c>
      <c r="S307" s="49"/>
      <c r="T307" s="50"/>
      <c r="U307" s="115"/>
      <c r="V307" s="35"/>
      <c r="W307" s="12" t="s">
        <v>398</v>
      </c>
      <c r="X307" s="13">
        <v>0.2</v>
      </c>
      <c r="Y307" s="57" t="s">
        <v>3575</v>
      </c>
      <c r="Z307" s="208">
        <f>+ROUND((ROUND((ROUND((_15_同援日２．０＿０．５*(1+_15・B深夜)),0)*(1+_15・盲ろう)),0)*(1+_15・区３)),0)</f>
        <v>148</v>
      </c>
      <c r="AA307" s="48"/>
    </row>
    <row r="308" spans="1:27" ht="16.5" customHeight="1" x14ac:dyDescent="0.15">
      <c r="A308" s="41">
        <v>15</v>
      </c>
      <c r="B308" s="41" t="s">
        <v>805</v>
      </c>
      <c r="C308" s="127" t="s">
        <v>21093</v>
      </c>
      <c r="D308" s="523"/>
      <c r="E308" s="72"/>
      <c r="F308" s="523"/>
      <c r="G308" s="72"/>
      <c r="I308" s="57"/>
      <c r="J308" s="43"/>
      <c r="K308" s="37"/>
      <c r="L308" s="38"/>
      <c r="M308" s="299" t="s">
        <v>17556</v>
      </c>
      <c r="N308" s="45" t="s">
        <v>398</v>
      </c>
      <c r="O308" s="46">
        <v>1</v>
      </c>
      <c r="P308" s="512"/>
      <c r="Q308" s="57"/>
      <c r="R308" s="92" t="s">
        <v>17564</v>
      </c>
      <c r="U308" s="57"/>
      <c r="V308" s="35"/>
      <c r="Y308" s="57"/>
      <c r="Z308" s="208">
        <f>+ROUND((ROUND((ROUND((ROUND((_15_同援日２．０＿０．５*_15・２人),0)*(1+_15・B深夜)),0)*(1+_15・盲ろう)),0)*(1+_15・区３)),0)</f>
        <v>148</v>
      </c>
      <c r="AA308" s="48"/>
    </row>
    <row r="309" spans="1:27" ht="16.5" customHeight="1" x14ac:dyDescent="0.15">
      <c r="A309" s="41">
        <v>15</v>
      </c>
      <c r="B309" s="41" t="s">
        <v>21094</v>
      </c>
      <c r="C309" s="127" t="s">
        <v>21095</v>
      </c>
      <c r="D309" s="523"/>
      <c r="E309" s="72"/>
      <c r="F309" s="523"/>
      <c r="G309" s="72"/>
      <c r="I309" s="57"/>
      <c r="J309" s="114" t="s">
        <v>17558</v>
      </c>
      <c r="K309" s="49"/>
      <c r="L309" s="50"/>
      <c r="M309" s="163"/>
      <c r="N309" s="45"/>
      <c r="O309" s="46"/>
      <c r="P309" s="512"/>
      <c r="Q309" s="57"/>
      <c r="R309" s="35"/>
      <c r="S309" s="12" t="s">
        <v>398</v>
      </c>
      <c r="T309" s="13">
        <v>0.25</v>
      </c>
      <c r="U309" s="57" t="s">
        <v>3575</v>
      </c>
      <c r="V309" s="35"/>
      <c r="Y309" s="57"/>
      <c r="Z309" s="208">
        <f>+ROUND((ROUND((ROUND((ROUND((_15_同援日２．０＿０．５*_15・基礎２),0)*(1+_15・B深夜)),0)*(1+_15・盲ろう)),0)*(1+_15・区３)),0)</f>
        <v>133</v>
      </c>
      <c r="AA309" s="48"/>
    </row>
    <row r="310" spans="1:27" ht="16.5" customHeight="1" x14ac:dyDescent="0.15">
      <c r="A310" s="41">
        <v>15</v>
      </c>
      <c r="B310" s="41" t="s">
        <v>21096</v>
      </c>
      <c r="C310" s="127" t="s">
        <v>21097</v>
      </c>
      <c r="D310" s="523"/>
      <c r="E310" s="72"/>
      <c r="F310" s="523"/>
      <c r="G310" s="72"/>
      <c r="I310" s="57"/>
      <c r="J310" s="269" t="s">
        <v>17560</v>
      </c>
      <c r="K310" s="37" t="s">
        <v>398</v>
      </c>
      <c r="L310" s="38">
        <v>0.9</v>
      </c>
      <c r="M310" s="299" t="s">
        <v>17556</v>
      </c>
      <c r="N310" s="45" t="s">
        <v>398</v>
      </c>
      <c r="O310" s="46">
        <v>1</v>
      </c>
      <c r="P310" s="512"/>
      <c r="Q310" s="57"/>
      <c r="R310" s="43"/>
      <c r="S310" s="37"/>
      <c r="T310" s="38"/>
      <c r="U310" s="79"/>
      <c r="V310" s="43"/>
      <c r="W310" s="37"/>
      <c r="X310" s="38"/>
      <c r="Y310" s="79"/>
      <c r="Z310" s="208">
        <f>+ROUND((ROUND((ROUND((ROUND((ROUND((_15_同援日２．０＿０．５*_15・基礎２),0)*_15・２人),0)*(1+_15・B深夜)),0)*(1+_15・盲ろう)),0)*(1+_15・区３)),0)</f>
        <v>133</v>
      </c>
      <c r="AA310" s="48"/>
    </row>
    <row r="311" spans="1:27" ht="16.5" customHeight="1" x14ac:dyDescent="0.15">
      <c r="A311" s="41">
        <v>15</v>
      </c>
      <c r="B311" s="41" t="s">
        <v>21098</v>
      </c>
      <c r="C311" s="127" t="s">
        <v>21099</v>
      </c>
      <c r="D311" s="523"/>
      <c r="E311" s="72"/>
      <c r="F311" s="523"/>
      <c r="G311" s="72"/>
      <c r="I311" s="57"/>
      <c r="J311" s="53"/>
      <c r="K311" s="49"/>
      <c r="L311" s="50"/>
      <c r="M311" s="163"/>
      <c r="N311" s="45"/>
      <c r="O311" s="46"/>
      <c r="P311" s="512"/>
      <c r="Q311" s="57"/>
      <c r="R311" s="53"/>
      <c r="S311" s="49"/>
      <c r="T311" s="50"/>
      <c r="U311" s="115"/>
      <c r="V311" s="53"/>
      <c r="W311" s="49"/>
      <c r="X311" s="50"/>
      <c r="Y311" s="115"/>
      <c r="Z311" s="208">
        <f>+ROUND((ROUND((_15_同援日２．０＿０．５*(1+_15・B深夜)),0)*(1+_15・区４)),0)</f>
        <v>137</v>
      </c>
      <c r="AA311" s="48"/>
    </row>
    <row r="312" spans="1:27" ht="16.5" customHeight="1" x14ac:dyDescent="0.15">
      <c r="A312" s="41">
        <v>15</v>
      </c>
      <c r="B312" s="41" t="s">
        <v>21100</v>
      </c>
      <c r="C312" s="127" t="s">
        <v>21101</v>
      </c>
      <c r="D312" s="523"/>
      <c r="E312" s="72"/>
      <c r="F312" s="523"/>
      <c r="G312" s="72"/>
      <c r="I312" s="57"/>
      <c r="J312" s="43"/>
      <c r="K312" s="37"/>
      <c r="L312" s="38"/>
      <c r="M312" s="299" t="s">
        <v>17556</v>
      </c>
      <c r="N312" s="45" t="s">
        <v>398</v>
      </c>
      <c r="O312" s="46">
        <v>1</v>
      </c>
      <c r="P312" s="512"/>
      <c r="Q312" s="57"/>
      <c r="R312" s="35"/>
      <c r="U312" s="57"/>
      <c r="V312" s="35"/>
      <c r="Y312" s="57"/>
      <c r="Z312" s="208">
        <f>+ROUND((ROUND((ROUND((_15_同援日２．０＿０．５*_15・２人),0)*(1+_15・B深夜)),0)*(1+_15・区４)),0)</f>
        <v>137</v>
      </c>
      <c r="AA312" s="48"/>
    </row>
    <row r="313" spans="1:27" ht="16.5" customHeight="1" x14ac:dyDescent="0.15">
      <c r="A313" s="41">
        <v>15</v>
      </c>
      <c r="B313" s="41" t="s">
        <v>21102</v>
      </c>
      <c r="C313" s="127" t="s">
        <v>21103</v>
      </c>
      <c r="D313" s="523"/>
      <c r="E313" s="72"/>
      <c r="F313" s="523"/>
      <c r="G313" s="72"/>
      <c r="I313" s="57"/>
      <c r="J313" s="114" t="s">
        <v>17558</v>
      </c>
      <c r="K313" s="49"/>
      <c r="L313" s="50"/>
      <c r="M313" s="163"/>
      <c r="N313" s="45"/>
      <c r="O313" s="46"/>
      <c r="P313" s="512"/>
      <c r="Q313" s="57"/>
      <c r="R313" s="35"/>
      <c r="U313" s="57"/>
      <c r="V313" s="72" t="s">
        <v>17580</v>
      </c>
      <c r="Y313" s="57"/>
      <c r="Z313" s="208">
        <f>+ROUND((ROUND((ROUND((_15_同援日２．０＿０．５*_15・基礎２),0)*(1+_15・B深夜)),0)*(1+_15・区４)),0)</f>
        <v>125</v>
      </c>
      <c r="AA313" s="48"/>
    </row>
    <row r="314" spans="1:27" ht="16.5" customHeight="1" x14ac:dyDescent="0.15">
      <c r="A314" s="41">
        <v>15</v>
      </c>
      <c r="B314" s="41" t="s">
        <v>21104</v>
      </c>
      <c r="C314" s="127" t="s">
        <v>21105</v>
      </c>
      <c r="D314" s="523"/>
      <c r="E314" s="72"/>
      <c r="F314" s="523"/>
      <c r="G314" s="72"/>
      <c r="I314" s="57"/>
      <c r="J314" s="269" t="s">
        <v>17560</v>
      </c>
      <c r="K314" s="37" t="s">
        <v>398</v>
      </c>
      <c r="L314" s="38">
        <v>0.9</v>
      </c>
      <c r="M314" s="299" t="s">
        <v>17556</v>
      </c>
      <c r="N314" s="45" t="s">
        <v>398</v>
      </c>
      <c r="O314" s="46">
        <v>1</v>
      </c>
      <c r="P314" s="512"/>
      <c r="Q314" s="57"/>
      <c r="R314" s="43"/>
      <c r="S314" s="37"/>
      <c r="T314" s="38"/>
      <c r="U314" s="79"/>
      <c r="V314" s="72" t="s">
        <v>17572</v>
      </c>
      <c r="Y314" s="57"/>
      <c r="Z314" s="208">
        <f>+ROUND((ROUND((ROUND((ROUND((_15_同援日２．０＿０．５*_15・基礎２),0)*_15・２人),0)*(1+_15・B深夜)),0)*(1+_15・区４)),0)</f>
        <v>125</v>
      </c>
      <c r="AA314" s="48"/>
    </row>
    <row r="315" spans="1:27" ht="16.5" customHeight="1" x14ac:dyDescent="0.15">
      <c r="A315" s="41">
        <v>15</v>
      </c>
      <c r="B315" s="41" t="s">
        <v>21106</v>
      </c>
      <c r="C315" s="127" t="s">
        <v>21107</v>
      </c>
      <c r="D315" s="523"/>
      <c r="E315" s="72"/>
      <c r="F315" s="523"/>
      <c r="G315" s="72"/>
      <c r="I315" s="57"/>
      <c r="J315" s="53"/>
      <c r="K315" s="49"/>
      <c r="L315" s="50"/>
      <c r="M315" s="163"/>
      <c r="N315" s="45"/>
      <c r="O315" s="46"/>
      <c r="P315" s="512"/>
      <c r="Q315" s="57"/>
      <c r="R315" s="114" t="s">
        <v>17562</v>
      </c>
      <c r="S315" s="49"/>
      <c r="T315" s="50"/>
      <c r="U315" s="115"/>
      <c r="V315" s="35"/>
      <c r="W315" s="12" t="s">
        <v>398</v>
      </c>
      <c r="X315" s="13">
        <v>0.4</v>
      </c>
      <c r="Y315" s="57" t="s">
        <v>3575</v>
      </c>
      <c r="Z315" s="208">
        <f>+ROUND((ROUND((ROUND((_15_同援日２．０＿０．５*(1+_15・B深夜)),0)*(1+_15・盲ろう)),0)*(1+_15・区４)),0)</f>
        <v>172</v>
      </c>
      <c r="AA315" s="48"/>
    </row>
    <row r="316" spans="1:27" ht="16.5" customHeight="1" x14ac:dyDescent="0.15">
      <c r="A316" s="41">
        <v>15</v>
      </c>
      <c r="B316" s="41" t="s">
        <v>21108</v>
      </c>
      <c r="C316" s="127" t="s">
        <v>21109</v>
      </c>
      <c r="D316" s="523"/>
      <c r="E316" s="72"/>
      <c r="F316" s="523"/>
      <c r="G316" s="72"/>
      <c r="I316" s="57"/>
      <c r="J316" s="43"/>
      <c r="K316" s="37"/>
      <c r="L316" s="38"/>
      <c r="M316" s="299" t="s">
        <v>17556</v>
      </c>
      <c r="N316" s="45" t="s">
        <v>398</v>
      </c>
      <c r="O316" s="46">
        <v>1</v>
      </c>
      <c r="P316" s="512"/>
      <c r="Q316" s="57"/>
      <c r="R316" s="92" t="s">
        <v>17564</v>
      </c>
      <c r="U316" s="57"/>
      <c r="V316" s="35"/>
      <c r="Y316" s="57"/>
      <c r="Z316" s="208">
        <f>+ROUND((ROUND((ROUND((ROUND((_15_同援日２．０＿０．５*_15・２人),0)*(1+_15・B深夜)),0)*(1+_15・盲ろう)),0)*(1+_15・区４)),0)</f>
        <v>172</v>
      </c>
      <c r="AA316" s="48"/>
    </row>
    <row r="317" spans="1:27" ht="16.5" customHeight="1" x14ac:dyDescent="0.15">
      <c r="A317" s="41">
        <v>15</v>
      </c>
      <c r="B317" s="41" t="s">
        <v>21110</v>
      </c>
      <c r="C317" s="127" t="s">
        <v>21111</v>
      </c>
      <c r="D317" s="523"/>
      <c r="E317" s="72"/>
      <c r="F317" s="523"/>
      <c r="G317" s="72"/>
      <c r="I317" s="57"/>
      <c r="J317" s="114" t="s">
        <v>17558</v>
      </c>
      <c r="K317" s="49"/>
      <c r="L317" s="50"/>
      <c r="M317" s="163"/>
      <c r="N317" s="45"/>
      <c r="O317" s="46"/>
      <c r="P317" s="512"/>
      <c r="Q317" s="57"/>
      <c r="R317" s="35"/>
      <c r="S317" s="12" t="s">
        <v>398</v>
      </c>
      <c r="T317" s="13">
        <v>0.25</v>
      </c>
      <c r="U317" s="57" t="s">
        <v>3575</v>
      </c>
      <c r="V317" s="35"/>
      <c r="Y317" s="57"/>
      <c r="Z317" s="208">
        <f>+ROUND((ROUND((ROUND((ROUND((_15_同援日２．０＿０．５*_15・基礎２),0)*(1+_15・B深夜)),0)*(1+_15・盲ろう)),0)*(1+_15・区４)),0)</f>
        <v>155</v>
      </c>
      <c r="AA317" s="48"/>
    </row>
    <row r="318" spans="1:27" ht="16.5" customHeight="1" x14ac:dyDescent="0.15">
      <c r="A318" s="41">
        <v>15</v>
      </c>
      <c r="B318" s="41" t="s">
        <v>21112</v>
      </c>
      <c r="C318" s="127" t="s">
        <v>21113</v>
      </c>
      <c r="D318" s="523"/>
      <c r="E318" s="72"/>
      <c r="F318" s="523"/>
      <c r="G318" s="122"/>
      <c r="H318" s="37"/>
      <c r="I318" s="79"/>
      <c r="J318" s="269" t="s">
        <v>17560</v>
      </c>
      <c r="K318" s="37" t="s">
        <v>398</v>
      </c>
      <c r="L318" s="38">
        <v>0.9</v>
      </c>
      <c r="M318" s="299" t="s">
        <v>17556</v>
      </c>
      <c r="N318" s="45" t="s">
        <v>398</v>
      </c>
      <c r="O318" s="46">
        <v>1</v>
      </c>
      <c r="P318" s="512"/>
      <c r="Q318" s="57"/>
      <c r="R318" s="43"/>
      <c r="S318" s="37"/>
      <c r="T318" s="38"/>
      <c r="U318" s="79"/>
      <c r="V318" s="43"/>
      <c r="W318" s="37"/>
      <c r="X318" s="38"/>
      <c r="Y318" s="79"/>
      <c r="Z318" s="208">
        <f>+ROUND((ROUND((ROUND((ROUND((ROUND((_15_同援日２．０＿０．５*_15・基礎２),0)*_15・２人),0)*(1+_15・B深夜)),0)*(1+_15・盲ろう)),0)*(1+_15・区４)),0)</f>
        <v>155</v>
      </c>
      <c r="AA318" s="48"/>
    </row>
    <row r="319" spans="1:27" ht="16.5" customHeight="1" x14ac:dyDescent="0.15">
      <c r="A319" s="41">
        <v>15</v>
      </c>
      <c r="B319" s="41" t="s">
        <v>21114</v>
      </c>
      <c r="C319" s="127" t="s">
        <v>21115</v>
      </c>
      <c r="D319" s="523"/>
      <c r="E319" s="72"/>
      <c r="F319" s="523"/>
      <c r="G319" s="114" t="s">
        <v>19970</v>
      </c>
      <c r="H319" s="49"/>
      <c r="I319" s="115"/>
      <c r="J319" s="53"/>
      <c r="K319" s="49"/>
      <c r="L319" s="50"/>
      <c r="M319" s="163"/>
      <c r="N319" s="45"/>
      <c r="O319" s="46"/>
      <c r="P319" s="512"/>
      <c r="Q319" s="57"/>
      <c r="R319" s="53"/>
      <c r="S319" s="49"/>
      <c r="T319" s="50"/>
      <c r="U319" s="115"/>
      <c r="V319" s="53"/>
      <c r="W319" s="49"/>
      <c r="X319" s="50"/>
      <c r="Y319" s="115"/>
      <c r="Z319" s="208">
        <f>+ROUND((_15_同援日２．０＿１．０*(1+_15・B深夜)),0)</f>
        <v>195</v>
      </c>
      <c r="AA319" s="48"/>
    </row>
    <row r="320" spans="1:27" ht="16.5" customHeight="1" x14ac:dyDescent="0.15">
      <c r="A320" s="41">
        <v>15</v>
      </c>
      <c r="B320" s="41" t="s">
        <v>21116</v>
      </c>
      <c r="C320" s="127" t="s">
        <v>21117</v>
      </c>
      <c r="D320" s="523"/>
      <c r="E320" s="72"/>
      <c r="F320" s="523"/>
      <c r="G320" s="72" t="s">
        <v>17589</v>
      </c>
      <c r="I320" s="57"/>
      <c r="J320" s="43"/>
      <c r="K320" s="37"/>
      <c r="L320" s="38"/>
      <c r="M320" s="299" t="s">
        <v>17556</v>
      </c>
      <c r="N320" s="45" t="s">
        <v>398</v>
      </c>
      <c r="O320" s="46">
        <v>1</v>
      </c>
      <c r="P320" s="512"/>
      <c r="Q320" s="57"/>
      <c r="R320" s="35"/>
      <c r="U320" s="57"/>
      <c r="V320" s="35"/>
      <c r="Y320" s="57"/>
      <c r="Z320" s="208">
        <f>+ROUND((ROUND((_15_同援日２．０＿１．０*_15・２人),0)*(1+_15・B深夜)),0)</f>
        <v>195</v>
      </c>
      <c r="AA320" s="48"/>
    </row>
    <row r="321" spans="1:27" ht="16.5" customHeight="1" x14ac:dyDescent="0.15">
      <c r="A321" s="41">
        <v>15</v>
      </c>
      <c r="B321" s="41" t="s">
        <v>21118</v>
      </c>
      <c r="C321" s="127" t="s">
        <v>21119</v>
      </c>
      <c r="D321" s="523"/>
      <c r="E321" s="72"/>
      <c r="F321" s="523"/>
      <c r="G321" s="72" t="s">
        <v>17591</v>
      </c>
      <c r="I321" s="57"/>
      <c r="J321" s="114" t="s">
        <v>17558</v>
      </c>
      <c r="K321" s="49"/>
      <c r="L321" s="50"/>
      <c r="M321" s="163"/>
      <c r="N321" s="45"/>
      <c r="O321" s="46"/>
      <c r="P321" s="512"/>
      <c r="Q321" s="57"/>
      <c r="R321" s="35"/>
      <c r="U321" s="57"/>
      <c r="V321" s="35"/>
      <c r="Y321" s="57"/>
      <c r="Z321" s="208">
        <f>+ROUND((ROUND((_15_同援日２．０＿１．０*_15・基礎２),0)*(1+_15・B深夜)),0)</f>
        <v>176</v>
      </c>
      <c r="AA321" s="48"/>
    </row>
    <row r="322" spans="1:27" ht="16.5" customHeight="1" x14ac:dyDescent="0.15">
      <c r="A322" s="41">
        <v>15</v>
      </c>
      <c r="B322" s="41" t="s">
        <v>21120</v>
      </c>
      <c r="C322" s="127" t="s">
        <v>21121</v>
      </c>
      <c r="D322" s="523"/>
      <c r="E322" s="72"/>
      <c r="F322" s="523"/>
      <c r="G322" s="72"/>
      <c r="H322" s="168">
        <f>_15_同援日２．０＿１．０</f>
        <v>130</v>
      </c>
      <c r="I322" s="57" t="s">
        <v>392</v>
      </c>
      <c r="J322" s="269" t="s">
        <v>17560</v>
      </c>
      <c r="K322" s="37" t="s">
        <v>398</v>
      </c>
      <c r="L322" s="38">
        <v>0.9</v>
      </c>
      <c r="M322" s="299" t="s">
        <v>17556</v>
      </c>
      <c r="N322" s="45" t="s">
        <v>398</v>
      </c>
      <c r="O322" s="46">
        <v>1</v>
      </c>
      <c r="P322" s="512"/>
      <c r="Q322" s="57"/>
      <c r="R322" s="43"/>
      <c r="S322" s="37"/>
      <c r="T322" s="38"/>
      <c r="U322" s="79"/>
      <c r="V322" s="35"/>
      <c r="Y322" s="57"/>
      <c r="Z322" s="208">
        <f>+ROUND((ROUND((ROUND((_15_同援日２．０＿１．０*_15・基礎２),0)*_15・２人),0)*(1+_15・B深夜)),0)</f>
        <v>176</v>
      </c>
      <c r="AA322" s="48"/>
    </row>
    <row r="323" spans="1:27" ht="16.5" customHeight="1" x14ac:dyDescent="0.15">
      <c r="A323" s="41">
        <v>15</v>
      </c>
      <c r="B323" s="41" t="s">
        <v>21122</v>
      </c>
      <c r="C323" s="127" t="s">
        <v>21123</v>
      </c>
      <c r="D323" s="523"/>
      <c r="E323" s="72"/>
      <c r="F323" s="523"/>
      <c r="G323" s="72"/>
      <c r="I323" s="57"/>
      <c r="J323" s="53"/>
      <c r="K323" s="49"/>
      <c r="L323" s="50"/>
      <c r="M323" s="163"/>
      <c r="N323" s="45"/>
      <c r="O323" s="46"/>
      <c r="P323" s="512"/>
      <c r="Q323" s="57"/>
      <c r="R323" s="114" t="s">
        <v>17562</v>
      </c>
      <c r="S323" s="49"/>
      <c r="T323" s="50"/>
      <c r="U323" s="115"/>
      <c r="V323" s="35"/>
      <c r="Y323" s="57"/>
      <c r="Z323" s="208">
        <f>+ROUND((ROUND((_15_同援日２．０＿１．０*(1+_15・B深夜)),0)*(1+_15・盲ろう)),0)</f>
        <v>244</v>
      </c>
      <c r="AA323" s="48"/>
    </row>
    <row r="324" spans="1:27" ht="16.5" customHeight="1" x14ac:dyDescent="0.15">
      <c r="A324" s="41">
        <v>15</v>
      </c>
      <c r="B324" s="41" t="s">
        <v>21124</v>
      </c>
      <c r="C324" s="127" t="s">
        <v>21125</v>
      </c>
      <c r="D324" s="523"/>
      <c r="E324" s="72"/>
      <c r="F324" s="523"/>
      <c r="G324" s="72"/>
      <c r="I324" s="57"/>
      <c r="J324" s="43"/>
      <c r="K324" s="37"/>
      <c r="L324" s="38"/>
      <c r="M324" s="299" t="s">
        <v>17556</v>
      </c>
      <c r="N324" s="45" t="s">
        <v>398</v>
      </c>
      <c r="O324" s="46">
        <v>1</v>
      </c>
      <c r="P324" s="512"/>
      <c r="Q324" s="57"/>
      <c r="R324" s="92" t="s">
        <v>17564</v>
      </c>
      <c r="U324" s="57"/>
      <c r="V324" s="35"/>
      <c r="Y324" s="57"/>
      <c r="Z324" s="208">
        <f>+ROUND((ROUND((ROUND((_15_同援日２．０＿１．０*_15・２人),0)*(1+_15・B深夜)),0)*(1+_15・盲ろう)),0)</f>
        <v>244</v>
      </c>
      <c r="AA324" s="48"/>
    </row>
    <row r="325" spans="1:27" ht="16.5" customHeight="1" x14ac:dyDescent="0.15">
      <c r="A325" s="41">
        <v>15</v>
      </c>
      <c r="B325" s="41" t="s">
        <v>812</v>
      </c>
      <c r="C325" s="127" t="s">
        <v>21126</v>
      </c>
      <c r="D325" s="523"/>
      <c r="E325" s="72"/>
      <c r="F325" s="523"/>
      <c r="G325" s="72"/>
      <c r="I325" s="57"/>
      <c r="J325" s="114" t="s">
        <v>17558</v>
      </c>
      <c r="K325" s="49"/>
      <c r="L325" s="50"/>
      <c r="M325" s="163"/>
      <c r="N325" s="45"/>
      <c r="O325" s="46"/>
      <c r="P325" s="512"/>
      <c r="Q325" s="57"/>
      <c r="R325" s="35"/>
      <c r="S325" s="12" t="s">
        <v>398</v>
      </c>
      <c r="T325" s="13">
        <v>0.25</v>
      </c>
      <c r="U325" s="57" t="s">
        <v>3575</v>
      </c>
      <c r="V325" s="35"/>
      <c r="Y325" s="57"/>
      <c r="Z325" s="208">
        <f>+ROUND((ROUND((ROUND((_15_同援日２．０＿１．０*_15・基礎２),0)*(1+_15・B深夜)),0)*(1+_15・盲ろう)),0)</f>
        <v>220</v>
      </c>
      <c r="AA325" s="48"/>
    </row>
    <row r="326" spans="1:27" ht="16.5" customHeight="1" x14ac:dyDescent="0.15">
      <c r="A326" s="41">
        <v>15</v>
      </c>
      <c r="B326" s="41" t="s">
        <v>814</v>
      </c>
      <c r="C326" s="127" t="s">
        <v>21127</v>
      </c>
      <c r="D326" s="523"/>
      <c r="E326" s="72"/>
      <c r="F326" s="523"/>
      <c r="G326" s="72"/>
      <c r="I326" s="57"/>
      <c r="J326" s="269" t="s">
        <v>17560</v>
      </c>
      <c r="K326" s="37" t="s">
        <v>398</v>
      </c>
      <c r="L326" s="38">
        <v>0.9</v>
      </c>
      <c r="M326" s="299" t="s">
        <v>17556</v>
      </c>
      <c r="N326" s="45" t="s">
        <v>398</v>
      </c>
      <c r="O326" s="46">
        <v>1</v>
      </c>
      <c r="P326" s="512"/>
      <c r="Q326" s="57"/>
      <c r="R326" s="43"/>
      <c r="S326" s="37"/>
      <c r="T326" s="38"/>
      <c r="U326" s="79"/>
      <c r="V326" s="43"/>
      <c r="W326" s="37"/>
      <c r="X326" s="38"/>
      <c r="Y326" s="79"/>
      <c r="Z326" s="208">
        <f>+ROUND((ROUND((ROUND((ROUND((_15_同援日２．０＿１．０*_15・基礎２),0)*_15・２人),0)*(1+_15・B深夜)),0)*(1+_15・盲ろう)),0)</f>
        <v>220</v>
      </c>
      <c r="AA326" s="48"/>
    </row>
    <row r="327" spans="1:27" ht="16.5" customHeight="1" x14ac:dyDescent="0.15">
      <c r="A327" s="41">
        <v>15</v>
      </c>
      <c r="B327" s="41" t="s">
        <v>816</v>
      </c>
      <c r="C327" s="127" t="s">
        <v>21128</v>
      </c>
      <c r="D327" s="523"/>
      <c r="E327" s="72"/>
      <c r="F327" s="523"/>
      <c r="G327" s="72"/>
      <c r="I327" s="57"/>
      <c r="J327" s="53"/>
      <c r="K327" s="49"/>
      <c r="L327" s="50"/>
      <c r="M327" s="163"/>
      <c r="N327" s="45"/>
      <c r="O327" s="46"/>
      <c r="P327" s="512"/>
      <c r="Q327" s="57"/>
      <c r="R327" s="53"/>
      <c r="S327" s="49"/>
      <c r="T327" s="50"/>
      <c r="U327" s="115"/>
      <c r="V327" s="53"/>
      <c r="W327" s="49"/>
      <c r="X327" s="50"/>
      <c r="Y327" s="115"/>
      <c r="Z327" s="208">
        <f>+ROUND((ROUND((_15_同援日２．０＿１．０*(1+_15・B深夜)),0)*(1+_15・区３)),0)</f>
        <v>234</v>
      </c>
      <c r="AA327" s="48"/>
    </row>
    <row r="328" spans="1:27" ht="16.5" customHeight="1" x14ac:dyDescent="0.15">
      <c r="A328" s="41">
        <v>15</v>
      </c>
      <c r="B328" s="41" t="s">
        <v>818</v>
      </c>
      <c r="C328" s="127" t="s">
        <v>21129</v>
      </c>
      <c r="D328" s="523"/>
      <c r="E328" s="72"/>
      <c r="F328" s="523"/>
      <c r="G328" s="72"/>
      <c r="I328" s="57"/>
      <c r="J328" s="43"/>
      <c r="K328" s="37"/>
      <c r="L328" s="38"/>
      <c r="M328" s="299" t="s">
        <v>17556</v>
      </c>
      <c r="N328" s="45" t="s">
        <v>398</v>
      </c>
      <c r="O328" s="46">
        <v>1</v>
      </c>
      <c r="P328" s="512"/>
      <c r="Q328" s="57"/>
      <c r="R328" s="35"/>
      <c r="U328" s="57"/>
      <c r="V328" s="35"/>
      <c r="Y328" s="57"/>
      <c r="Z328" s="208">
        <f>+ROUND((ROUND((ROUND((_15_同援日２．０＿１．０*_15・２人),0)*(1+_15・B深夜)),0)*(1+_15・区３)),0)</f>
        <v>234</v>
      </c>
      <c r="AA328" s="48"/>
    </row>
    <row r="329" spans="1:27" ht="16.5" customHeight="1" x14ac:dyDescent="0.15">
      <c r="A329" s="41">
        <v>15</v>
      </c>
      <c r="B329" s="41" t="s">
        <v>21130</v>
      </c>
      <c r="C329" s="127" t="s">
        <v>21131</v>
      </c>
      <c r="D329" s="523"/>
      <c r="E329" s="72"/>
      <c r="F329" s="523"/>
      <c r="G329" s="72"/>
      <c r="I329" s="57"/>
      <c r="J329" s="114" t="s">
        <v>17558</v>
      </c>
      <c r="K329" s="49"/>
      <c r="L329" s="50"/>
      <c r="M329" s="163"/>
      <c r="N329" s="45"/>
      <c r="O329" s="46"/>
      <c r="P329" s="512"/>
      <c r="Q329" s="57"/>
      <c r="R329" s="35"/>
      <c r="U329" s="57"/>
      <c r="V329" s="72" t="s">
        <v>17570</v>
      </c>
      <c r="Y329" s="57"/>
      <c r="Z329" s="208">
        <f>+ROUND((ROUND((ROUND((_15_同援日２．０＿１．０*_15・基礎２),0)*(1+_15・B深夜)),0)*(1+_15・区３)),0)</f>
        <v>211</v>
      </c>
      <c r="AA329" s="48"/>
    </row>
    <row r="330" spans="1:27" ht="16.5" customHeight="1" x14ac:dyDescent="0.15">
      <c r="A330" s="41">
        <v>15</v>
      </c>
      <c r="B330" s="41" t="s">
        <v>21132</v>
      </c>
      <c r="C330" s="127" t="s">
        <v>21133</v>
      </c>
      <c r="D330" s="523"/>
      <c r="E330" s="72"/>
      <c r="F330" s="523"/>
      <c r="G330" s="72"/>
      <c r="I330" s="57"/>
      <c r="J330" s="269" t="s">
        <v>17560</v>
      </c>
      <c r="K330" s="37" t="s">
        <v>398</v>
      </c>
      <c r="L330" s="38">
        <v>0.9</v>
      </c>
      <c r="M330" s="299" t="s">
        <v>17556</v>
      </c>
      <c r="N330" s="45" t="s">
        <v>398</v>
      </c>
      <c r="O330" s="46">
        <v>1</v>
      </c>
      <c r="P330" s="512"/>
      <c r="Q330" s="57"/>
      <c r="R330" s="43"/>
      <c r="S330" s="37"/>
      <c r="T330" s="38"/>
      <c r="U330" s="79"/>
      <c r="V330" s="72" t="s">
        <v>17572</v>
      </c>
      <c r="Y330" s="57"/>
      <c r="Z330" s="208">
        <f>+ROUND((ROUND((ROUND((ROUND((_15_同援日２．０＿１．０*_15・基礎２),0)*_15・２人),0)*(1+_15・B深夜)),0)*(1+_15・区３)),0)</f>
        <v>211</v>
      </c>
      <c r="AA330" s="48"/>
    </row>
    <row r="331" spans="1:27" ht="16.5" customHeight="1" x14ac:dyDescent="0.15">
      <c r="A331" s="41">
        <v>15</v>
      </c>
      <c r="B331" s="41" t="s">
        <v>21134</v>
      </c>
      <c r="C331" s="127" t="s">
        <v>21135</v>
      </c>
      <c r="D331" s="523"/>
      <c r="E331" s="72"/>
      <c r="F331" s="523"/>
      <c r="G331" s="72"/>
      <c r="I331" s="57"/>
      <c r="J331" s="53"/>
      <c r="K331" s="49"/>
      <c r="L331" s="50"/>
      <c r="M331" s="163"/>
      <c r="N331" s="45"/>
      <c r="O331" s="46"/>
      <c r="P331" s="512"/>
      <c r="Q331" s="57"/>
      <c r="R331" s="114" t="s">
        <v>17562</v>
      </c>
      <c r="S331" s="49"/>
      <c r="T331" s="50"/>
      <c r="U331" s="115"/>
      <c r="V331" s="35"/>
      <c r="W331" s="12" t="s">
        <v>398</v>
      </c>
      <c r="X331" s="13">
        <v>0.2</v>
      </c>
      <c r="Y331" s="57" t="s">
        <v>3575</v>
      </c>
      <c r="Z331" s="208">
        <f>+ROUND((ROUND((ROUND((_15_同援日２．０＿１．０*(1+_15・B深夜)),0)*(1+_15・盲ろう)),0)*(1+_15・区３)),0)</f>
        <v>293</v>
      </c>
      <c r="AA331" s="48"/>
    </row>
    <row r="332" spans="1:27" ht="16.5" customHeight="1" x14ac:dyDescent="0.15">
      <c r="A332" s="41">
        <v>15</v>
      </c>
      <c r="B332" s="41" t="s">
        <v>21136</v>
      </c>
      <c r="C332" s="127" t="s">
        <v>21137</v>
      </c>
      <c r="D332" s="523"/>
      <c r="E332" s="72"/>
      <c r="F332" s="523"/>
      <c r="G332" s="72"/>
      <c r="I332" s="57"/>
      <c r="J332" s="43"/>
      <c r="K332" s="37"/>
      <c r="L332" s="38"/>
      <c r="M332" s="299" t="s">
        <v>17556</v>
      </c>
      <c r="N332" s="45" t="s">
        <v>398</v>
      </c>
      <c r="O332" s="46">
        <v>1</v>
      </c>
      <c r="P332" s="512"/>
      <c r="Q332" s="57"/>
      <c r="R332" s="92" t="s">
        <v>17564</v>
      </c>
      <c r="U332" s="57"/>
      <c r="V332" s="35"/>
      <c r="Y332" s="57"/>
      <c r="Z332" s="208">
        <f>+ROUND((ROUND((ROUND((ROUND((_15_同援日２．０＿１．０*_15・２人),0)*(1+_15・B深夜)),0)*(1+_15・盲ろう)),0)*(1+_15・区３)),0)</f>
        <v>293</v>
      </c>
      <c r="AA332" s="48"/>
    </row>
    <row r="333" spans="1:27" ht="16.5" customHeight="1" x14ac:dyDescent="0.15">
      <c r="A333" s="41">
        <v>15</v>
      </c>
      <c r="B333" s="41" t="s">
        <v>21138</v>
      </c>
      <c r="C333" s="127" t="s">
        <v>21139</v>
      </c>
      <c r="D333" s="523"/>
      <c r="E333" s="72"/>
      <c r="F333" s="523"/>
      <c r="G333" s="72"/>
      <c r="I333" s="57"/>
      <c r="J333" s="114" t="s">
        <v>17558</v>
      </c>
      <c r="K333" s="49"/>
      <c r="L333" s="50"/>
      <c r="M333" s="163"/>
      <c r="N333" s="45"/>
      <c r="O333" s="46"/>
      <c r="P333" s="512"/>
      <c r="Q333" s="57"/>
      <c r="R333" s="35"/>
      <c r="S333" s="12" t="s">
        <v>398</v>
      </c>
      <c r="T333" s="13">
        <v>0.25</v>
      </c>
      <c r="U333" s="57" t="s">
        <v>3575</v>
      </c>
      <c r="V333" s="35"/>
      <c r="Y333" s="57"/>
      <c r="Z333" s="208">
        <f>+ROUND((ROUND((ROUND((ROUND((_15_同援日２．０＿１．０*_15・基礎２),0)*(1+_15・B深夜)),0)*(1+_15・盲ろう)),0)*(1+_15・区３)),0)</f>
        <v>264</v>
      </c>
      <c r="AA333" s="48"/>
    </row>
    <row r="334" spans="1:27" ht="16.5" customHeight="1" x14ac:dyDescent="0.15">
      <c r="A334" s="41">
        <v>15</v>
      </c>
      <c r="B334" s="41" t="s">
        <v>21140</v>
      </c>
      <c r="C334" s="127" t="s">
        <v>21141</v>
      </c>
      <c r="D334" s="523"/>
      <c r="E334" s="72"/>
      <c r="F334" s="523"/>
      <c r="G334" s="72"/>
      <c r="I334" s="57"/>
      <c r="J334" s="269" t="s">
        <v>17560</v>
      </c>
      <c r="K334" s="37" t="s">
        <v>398</v>
      </c>
      <c r="L334" s="38">
        <v>0.9</v>
      </c>
      <c r="M334" s="299" t="s">
        <v>17556</v>
      </c>
      <c r="N334" s="45" t="s">
        <v>398</v>
      </c>
      <c r="O334" s="46">
        <v>1</v>
      </c>
      <c r="P334" s="512"/>
      <c r="Q334" s="57"/>
      <c r="R334" s="43"/>
      <c r="S334" s="37"/>
      <c r="T334" s="38"/>
      <c r="U334" s="79"/>
      <c r="V334" s="43"/>
      <c r="W334" s="37"/>
      <c r="X334" s="38"/>
      <c r="Y334" s="79"/>
      <c r="Z334" s="208">
        <f>+ROUND((ROUND((ROUND((ROUND((ROUND((_15_同援日２．０＿１．０*_15・基礎２),0)*_15・２人),0)*(1+_15・B深夜)),0)*(1+_15・盲ろう)),0)*(1+_15・区３)),0)</f>
        <v>264</v>
      </c>
      <c r="AA334" s="48"/>
    </row>
    <row r="335" spans="1:27" ht="16.5" customHeight="1" x14ac:dyDescent="0.15">
      <c r="A335" s="41">
        <v>15</v>
      </c>
      <c r="B335" s="41" t="s">
        <v>21142</v>
      </c>
      <c r="C335" s="127" t="s">
        <v>21143</v>
      </c>
      <c r="D335" s="523"/>
      <c r="E335" s="72"/>
      <c r="F335" s="523"/>
      <c r="G335" s="72"/>
      <c r="I335" s="57"/>
      <c r="J335" s="53"/>
      <c r="K335" s="49"/>
      <c r="L335" s="50"/>
      <c r="M335" s="163"/>
      <c r="N335" s="45"/>
      <c r="O335" s="46"/>
      <c r="P335" s="512"/>
      <c r="Q335" s="57"/>
      <c r="R335" s="53"/>
      <c r="S335" s="49"/>
      <c r="T335" s="50"/>
      <c r="U335" s="115"/>
      <c r="V335" s="53"/>
      <c r="W335" s="49"/>
      <c r="X335" s="50"/>
      <c r="Y335" s="115"/>
      <c r="Z335" s="208">
        <f>+ROUND((ROUND((_15_同援日２．０＿１．０*(1+_15・B深夜)),0)*(1+_15・区４)),0)</f>
        <v>273</v>
      </c>
      <c r="AA335" s="48"/>
    </row>
    <row r="336" spans="1:27" ht="16.5" customHeight="1" x14ac:dyDescent="0.15">
      <c r="A336" s="41">
        <v>15</v>
      </c>
      <c r="B336" s="41" t="s">
        <v>21144</v>
      </c>
      <c r="C336" s="127" t="s">
        <v>21145</v>
      </c>
      <c r="D336" s="523"/>
      <c r="E336" s="72"/>
      <c r="F336" s="523"/>
      <c r="G336" s="72"/>
      <c r="I336" s="57"/>
      <c r="J336" s="43"/>
      <c r="K336" s="37"/>
      <c r="L336" s="38"/>
      <c r="M336" s="299" t="s">
        <v>17556</v>
      </c>
      <c r="N336" s="45" t="s">
        <v>398</v>
      </c>
      <c r="O336" s="46">
        <v>1</v>
      </c>
      <c r="P336" s="512"/>
      <c r="Q336" s="57"/>
      <c r="R336" s="35"/>
      <c r="U336" s="57"/>
      <c r="V336" s="35"/>
      <c r="Y336" s="57"/>
      <c r="Z336" s="208">
        <f>+ROUND((ROUND((ROUND((_15_同援日２．０＿１．０*_15・２人),0)*(1+_15・B深夜)),0)*(1+_15・区４)),0)</f>
        <v>273</v>
      </c>
      <c r="AA336" s="48"/>
    </row>
    <row r="337" spans="1:27" ht="16.5" customHeight="1" x14ac:dyDescent="0.15">
      <c r="A337" s="41">
        <v>15</v>
      </c>
      <c r="B337" s="41" t="s">
        <v>21146</v>
      </c>
      <c r="C337" s="127" t="s">
        <v>21147</v>
      </c>
      <c r="D337" s="523"/>
      <c r="E337" s="72"/>
      <c r="F337" s="523"/>
      <c r="G337" s="72"/>
      <c r="I337" s="57"/>
      <c r="J337" s="114" t="s">
        <v>17558</v>
      </c>
      <c r="K337" s="49"/>
      <c r="L337" s="50"/>
      <c r="M337" s="163"/>
      <c r="N337" s="45"/>
      <c r="O337" s="46"/>
      <c r="P337" s="512"/>
      <c r="Q337" s="57"/>
      <c r="R337" s="35"/>
      <c r="U337" s="57"/>
      <c r="V337" s="72" t="s">
        <v>17580</v>
      </c>
      <c r="Y337" s="57"/>
      <c r="Z337" s="208">
        <f>+ROUND((ROUND((ROUND((_15_同援日２．０＿１．０*_15・基礎２),0)*(1+_15・B深夜)),0)*(1+_15・区４)),0)</f>
        <v>246</v>
      </c>
      <c r="AA337" s="48"/>
    </row>
    <row r="338" spans="1:27" ht="16.5" customHeight="1" x14ac:dyDescent="0.15">
      <c r="A338" s="41">
        <v>15</v>
      </c>
      <c r="B338" s="41" t="s">
        <v>21148</v>
      </c>
      <c r="C338" s="127" t="s">
        <v>21149</v>
      </c>
      <c r="D338" s="523"/>
      <c r="E338" s="72"/>
      <c r="F338" s="523"/>
      <c r="G338" s="72"/>
      <c r="I338" s="57"/>
      <c r="J338" s="269" t="s">
        <v>17560</v>
      </c>
      <c r="K338" s="37" t="s">
        <v>398</v>
      </c>
      <c r="L338" s="38">
        <v>0.9</v>
      </c>
      <c r="M338" s="299" t="s">
        <v>17556</v>
      </c>
      <c r="N338" s="45" t="s">
        <v>398</v>
      </c>
      <c r="O338" s="46">
        <v>1</v>
      </c>
      <c r="P338" s="512"/>
      <c r="Q338" s="57"/>
      <c r="R338" s="43"/>
      <c r="S338" s="37"/>
      <c r="T338" s="38"/>
      <c r="U338" s="79"/>
      <c r="V338" s="72" t="s">
        <v>17572</v>
      </c>
      <c r="Y338" s="57"/>
      <c r="Z338" s="208">
        <f>+ROUND((ROUND((ROUND((ROUND((_15_同援日２．０＿１．０*_15・基礎２),0)*_15・２人),0)*(1+_15・B深夜)),0)*(1+_15・区４)),0)</f>
        <v>246</v>
      </c>
      <c r="AA338" s="48"/>
    </row>
    <row r="339" spans="1:27" ht="16.5" customHeight="1" x14ac:dyDescent="0.15">
      <c r="A339" s="41">
        <v>15</v>
      </c>
      <c r="B339" s="41" t="s">
        <v>21150</v>
      </c>
      <c r="C339" s="127" t="s">
        <v>21151</v>
      </c>
      <c r="D339" s="523"/>
      <c r="E339" s="72"/>
      <c r="F339" s="523"/>
      <c r="G339" s="72"/>
      <c r="I339" s="57"/>
      <c r="J339" s="53"/>
      <c r="K339" s="49"/>
      <c r="L339" s="50"/>
      <c r="M339" s="163"/>
      <c r="N339" s="45"/>
      <c r="O339" s="46"/>
      <c r="P339" s="512"/>
      <c r="Q339" s="57"/>
      <c r="R339" s="114" t="s">
        <v>17562</v>
      </c>
      <c r="S339" s="49"/>
      <c r="T339" s="50"/>
      <c r="U339" s="115"/>
      <c r="V339" s="35"/>
      <c r="W339" s="12" t="s">
        <v>398</v>
      </c>
      <c r="X339" s="13">
        <v>0.4</v>
      </c>
      <c r="Y339" s="57" t="s">
        <v>3575</v>
      </c>
      <c r="Z339" s="208">
        <f>+ROUND((ROUND((ROUND((_15_同援日２．０＿１．０*(1+_15・B深夜)),0)*(1+_15・盲ろう)),0)*(1+_15・区４)),0)</f>
        <v>342</v>
      </c>
      <c r="AA339" s="48"/>
    </row>
    <row r="340" spans="1:27" ht="16.5" customHeight="1" x14ac:dyDescent="0.15">
      <c r="A340" s="41">
        <v>15</v>
      </c>
      <c r="B340" s="41" t="s">
        <v>21152</v>
      </c>
      <c r="C340" s="127" t="s">
        <v>21153</v>
      </c>
      <c r="D340" s="523"/>
      <c r="E340" s="72"/>
      <c r="F340" s="523"/>
      <c r="G340" s="72"/>
      <c r="I340" s="57"/>
      <c r="J340" s="43"/>
      <c r="K340" s="37"/>
      <c r="L340" s="38"/>
      <c r="M340" s="299" t="s">
        <v>17556</v>
      </c>
      <c r="N340" s="45" t="s">
        <v>398</v>
      </c>
      <c r="O340" s="46">
        <v>1</v>
      </c>
      <c r="P340" s="512"/>
      <c r="Q340" s="57"/>
      <c r="R340" s="92" t="s">
        <v>17564</v>
      </c>
      <c r="U340" s="57"/>
      <c r="V340" s="35"/>
      <c r="Y340" s="57"/>
      <c r="Z340" s="208">
        <f>+ROUND((ROUND((ROUND((ROUND((_15_同援日２．０＿１．０*_15・２人),0)*(1+_15・B深夜)),0)*(1+_15・盲ろう)),0)*(1+_15・区４)),0)</f>
        <v>342</v>
      </c>
      <c r="AA340" s="48"/>
    </row>
    <row r="341" spans="1:27" ht="16.5" customHeight="1" x14ac:dyDescent="0.15">
      <c r="A341" s="41">
        <v>15</v>
      </c>
      <c r="B341" s="41" t="s">
        <v>21154</v>
      </c>
      <c r="C341" s="127" t="s">
        <v>21155</v>
      </c>
      <c r="D341" s="523"/>
      <c r="E341" s="72"/>
      <c r="F341" s="523"/>
      <c r="G341" s="72"/>
      <c r="I341" s="57"/>
      <c r="J341" s="114" t="s">
        <v>17558</v>
      </c>
      <c r="K341" s="49"/>
      <c r="L341" s="50"/>
      <c r="M341" s="163"/>
      <c r="N341" s="45"/>
      <c r="O341" s="46"/>
      <c r="P341" s="512"/>
      <c r="Q341" s="57"/>
      <c r="R341" s="35"/>
      <c r="S341" s="12" t="s">
        <v>398</v>
      </c>
      <c r="T341" s="13">
        <v>0.25</v>
      </c>
      <c r="U341" s="57" t="s">
        <v>3575</v>
      </c>
      <c r="V341" s="35"/>
      <c r="Y341" s="57"/>
      <c r="Z341" s="208">
        <f>+ROUND((ROUND((ROUND((ROUND((_15_同援日２．０＿１．０*_15・基礎２),0)*(1+_15・B深夜)),0)*(1+_15・盲ろう)),0)*(1+_15・区４)),0)</f>
        <v>308</v>
      </c>
      <c r="AA341" s="48"/>
    </row>
    <row r="342" spans="1:27" ht="16.5" customHeight="1" x14ac:dyDescent="0.15">
      <c r="A342" s="41">
        <v>15</v>
      </c>
      <c r="B342" s="41" t="s">
        <v>21156</v>
      </c>
      <c r="C342" s="127" t="s">
        <v>21157</v>
      </c>
      <c r="D342" s="523"/>
      <c r="E342" s="122"/>
      <c r="F342" s="523"/>
      <c r="G342" s="122"/>
      <c r="H342" s="37"/>
      <c r="I342" s="79"/>
      <c r="J342" s="269" t="s">
        <v>17560</v>
      </c>
      <c r="K342" s="37" t="s">
        <v>398</v>
      </c>
      <c r="L342" s="38">
        <v>0.9</v>
      </c>
      <c r="M342" s="299" t="s">
        <v>17556</v>
      </c>
      <c r="N342" s="45" t="s">
        <v>398</v>
      </c>
      <c r="O342" s="46">
        <v>1</v>
      </c>
      <c r="P342" s="512"/>
      <c r="Q342" s="57"/>
      <c r="R342" s="43"/>
      <c r="S342" s="37"/>
      <c r="T342" s="38"/>
      <c r="U342" s="79"/>
      <c r="V342" s="43"/>
      <c r="W342" s="37"/>
      <c r="X342" s="38"/>
      <c r="Y342" s="79"/>
      <c r="Z342" s="208">
        <f>+ROUND((ROUND((ROUND((ROUND((ROUND((_15_同援日２．０＿１．０*_15・基礎２),0)*_15・２人),0)*(1+_15・B深夜)),0)*(1+_15・盲ろう)),0)*(1+_15・区４)),0)</f>
        <v>308</v>
      </c>
      <c r="AA342" s="48"/>
    </row>
    <row r="343" spans="1:27" ht="16.5" customHeight="1" x14ac:dyDescent="0.15">
      <c r="A343" s="41">
        <v>15</v>
      </c>
      <c r="B343" s="41" t="s">
        <v>21158</v>
      </c>
      <c r="C343" s="127" t="s">
        <v>21159</v>
      </c>
      <c r="D343" s="523"/>
      <c r="E343" s="114" t="s">
        <v>18588</v>
      </c>
      <c r="F343" s="523"/>
      <c r="G343" s="114" t="s">
        <v>19945</v>
      </c>
      <c r="H343" s="49"/>
      <c r="I343" s="115"/>
      <c r="J343" s="53"/>
      <c r="K343" s="49"/>
      <c r="L343" s="50"/>
      <c r="M343" s="163"/>
      <c r="N343" s="45"/>
      <c r="O343" s="46"/>
      <c r="P343" s="512"/>
      <c r="Q343" s="57"/>
      <c r="R343" s="53"/>
      <c r="S343" s="49"/>
      <c r="T343" s="50"/>
      <c r="U343" s="115"/>
      <c r="V343" s="53"/>
      <c r="W343" s="49"/>
      <c r="X343" s="50"/>
      <c r="Y343" s="115"/>
      <c r="Z343" s="208">
        <f>+ROUND((_15_同援日２．５＿０．５*(1+_15・B深夜)),0)</f>
        <v>98</v>
      </c>
      <c r="AA343" s="48"/>
    </row>
    <row r="344" spans="1:27" ht="16.5" customHeight="1" x14ac:dyDescent="0.15">
      <c r="A344" s="41">
        <v>15</v>
      </c>
      <c r="B344" s="41" t="s">
        <v>21160</v>
      </c>
      <c r="C344" s="127" t="s">
        <v>21161</v>
      </c>
      <c r="D344" s="523"/>
      <c r="E344" s="72" t="s">
        <v>17670</v>
      </c>
      <c r="F344" s="523"/>
      <c r="G344" s="72" t="s">
        <v>18259</v>
      </c>
      <c r="I344" s="57"/>
      <c r="J344" s="43"/>
      <c r="K344" s="37"/>
      <c r="L344" s="38"/>
      <c r="M344" s="299" t="s">
        <v>17556</v>
      </c>
      <c r="N344" s="45" t="s">
        <v>398</v>
      </c>
      <c r="O344" s="46">
        <v>1</v>
      </c>
      <c r="P344" s="512"/>
      <c r="Q344" s="57"/>
      <c r="R344" s="35"/>
      <c r="U344" s="57"/>
      <c r="V344" s="35"/>
      <c r="Y344" s="57"/>
      <c r="Z344" s="208">
        <f>+ROUND((ROUND((_15_同援日２．５＿０．５*_15・２人),0)*(1+_15・B深夜)),0)</f>
        <v>98</v>
      </c>
      <c r="AA344" s="48"/>
    </row>
    <row r="345" spans="1:27" ht="16.5" customHeight="1" x14ac:dyDescent="0.15">
      <c r="A345" s="41">
        <v>15</v>
      </c>
      <c r="B345" s="41" t="s">
        <v>825</v>
      </c>
      <c r="C345" s="127" t="s">
        <v>21162</v>
      </c>
      <c r="D345" s="523"/>
      <c r="E345" s="72" t="s">
        <v>17672</v>
      </c>
      <c r="F345" s="523"/>
      <c r="G345" s="72"/>
      <c r="I345" s="57"/>
      <c r="J345" s="114" t="s">
        <v>17558</v>
      </c>
      <c r="K345" s="49"/>
      <c r="L345" s="50"/>
      <c r="M345" s="163"/>
      <c r="N345" s="45"/>
      <c r="O345" s="46"/>
      <c r="P345" s="512"/>
      <c r="Q345" s="57"/>
      <c r="R345" s="35"/>
      <c r="U345" s="57"/>
      <c r="V345" s="35"/>
      <c r="Y345" s="57"/>
      <c r="Z345" s="208">
        <f>+ROUND((ROUND((_15_同援日２．５＿０．５*_15・基礎２),0)*(1+_15・B深夜)),0)</f>
        <v>89</v>
      </c>
      <c r="AA345" s="48"/>
    </row>
    <row r="346" spans="1:27" ht="16.5" customHeight="1" x14ac:dyDescent="0.15">
      <c r="A346" s="41">
        <v>15</v>
      </c>
      <c r="B346" s="41" t="s">
        <v>827</v>
      </c>
      <c r="C346" s="127" t="s">
        <v>21163</v>
      </c>
      <c r="D346" s="523"/>
      <c r="E346" s="72"/>
      <c r="F346" s="523"/>
      <c r="G346" s="72"/>
      <c r="H346" s="168">
        <f>_15_同援日２．５＿０．５</f>
        <v>65</v>
      </c>
      <c r="I346" s="57" t="s">
        <v>392</v>
      </c>
      <c r="J346" s="269" t="s">
        <v>17560</v>
      </c>
      <c r="K346" s="37" t="s">
        <v>398</v>
      </c>
      <c r="L346" s="38">
        <v>0.9</v>
      </c>
      <c r="M346" s="299" t="s">
        <v>17556</v>
      </c>
      <c r="N346" s="45" t="s">
        <v>398</v>
      </c>
      <c r="O346" s="46">
        <v>1</v>
      </c>
      <c r="P346" s="512"/>
      <c r="Q346" s="57"/>
      <c r="R346" s="43"/>
      <c r="S346" s="37"/>
      <c r="T346" s="38"/>
      <c r="U346" s="79"/>
      <c r="V346" s="35"/>
      <c r="Y346" s="57"/>
      <c r="Z346" s="208">
        <f>+ROUND((ROUND((ROUND((_15_同援日２．５＿０．５*_15・基礎２),0)*_15・２人),0)*(1+_15・B深夜)),0)</f>
        <v>89</v>
      </c>
      <c r="AA346" s="48"/>
    </row>
    <row r="347" spans="1:27" ht="16.5" customHeight="1" x14ac:dyDescent="0.15">
      <c r="A347" s="41">
        <v>15</v>
      </c>
      <c r="B347" s="41" t="s">
        <v>829</v>
      </c>
      <c r="C347" s="127" t="s">
        <v>21164</v>
      </c>
      <c r="D347" s="523"/>
      <c r="E347" s="72"/>
      <c r="F347" s="523"/>
      <c r="G347" s="72"/>
      <c r="I347" s="57"/>
      <c r="J347" s="53"/>
      <c r="K347" s="49"/>
      <c r="L347" s="50"/>
      <c r="M347" s="163"/>
      <c r="N347" s="45"/>
      <c r="O347" s="46"/>
      <c r="P347" s="512"/>
      <c r="Q347" s="57"/>
      <c r="R347" s="114" t="s">
        <v>17562</v>
      </c>
      <c r="S347" s="49"/>
      <c r="T347" s="50"/>
      <c r="U347" s="115"/>
      <c r="V347" s="35"/>
      <c r="Y347" s="57"/>
      <c r="Z347" s="208">
        <f>+ROUND((ROUND((_15_同援日２．５＿０．５*(1+_15・B深夜)),0)*(1+_15・盲ろう)),0)</f>
        <v>123</v>
      </c>
      <c r="AA347" s="48"/>
    </row>
    <row r="348" spans="1:27" ht="16.5" customHeight="1" x14ac:dyDescent="0.15">
      <c r="A348" s="41">
        <v>15</v>
      </c>
      <c r="B348" s="41" t="s">
        <v>831</v>
      </c>
      <c r="C348" s="127" t="s">
        <v>21165</v>
      </c>
      <c r="D348" s="523"/>
      <c r="E348" s="72"/>
      <c r="F348" s="523"/>
      <c r="G348" s="72"/>
      <c r="I348" s="57"/>
      <c r="J348" s="43"/>
      <c r="K348" s="37"/>
      <c r="L348" s="38"/>
      <c r="M348" s="299" t="s">
        <v>17556</v>
      </c>
      <c r="N348" s="45" t="s">
        <v>398</v>
      </c>
      <c r="O348" s="46">
        <v>1</v>
      </c>
      <c r="P348" s="512"/>
      <c r="Q348" s="57"/>
      <c r="R348" s="92" t="s">
        <v>17564</v>
      </c>
      <c r="U348" s="57"/>
      <c r="V348" s="35"/>
      <c r="Y348" s="57"/>
      <c r="Z348" s="208">
        <f>+ROUND((ROUND((ROUND((_15_同援日２．５＿０．５*_15・２人),0)*(1+_15・B深夜)),0)*(1+_15・盲ろう)),0)</f>
        <v>123</v>
      </c>
      <c r="AA348" s="48"/>
    </row>
    <row r="349" spans="1:27" ht="16.5" customHeight="1" x14ac:dyDescent="0.15">
      <c r="A349" s="41">
        <v>15</v>
      </c>
      <c r="B349" s="41" t="s">
        <v>21166</v>
      </c>
      <c r="C349" s="127" t="s">
        <v>21167</v>
      </c>
      <c r="D349" s="523"/>
      <c r="E349" s="72"/>
      <c r="F349" s="523"/>
      <c r="G349" s="72"/>
      <c r="I349" s="57"/>
      <c r="J349" s="114" t="s">
        <v>17558</v>
      </c>
      <c r="K349" s="49"/>
      <c r="L349" s="50"/>
      <c r="M349" s="163"/>
      <c r="N349" s="45"/>
      <c r="O349" s="46"/>
      <c r="P349" s="512"/>
      <c r="Q349" s="57"/>
      <c r="R349" s="35"/>
      <c r="S349" s="12" t="s">
        <v>398</v>
      </c>
      <c r="T349" s="13">
        <v>0.25</v>
      </c>
      <c r="U349" s="57" t="s">
        <v>3575</v>
      </c>
      <c r="V349" s="35"/>
      <c r="Y349" s="57"/>
      <c r="Z349" s="208">
        <f>+ROUND((ROUND((ROUND((_15_同援日２．５＿０．５*_15・基礎２),0)*(1+_15・B深夜)),0)*(1+_15・盲ろう)),0)</f>
        <v>111</v>
      </c>
      <c r="AA349" s="48"/>
    </row>
    <row r="350" spans="1:27" ht="16.5" customHeight="1" x14ac:dyDescent="0.15">
      <c r="A350" s="41">
        <v>15</v>
      </c>
      <c r="B350" s="41" t="s">
        <v>21168</v>
      </c>
      <c r="C350" s="127" t="s">
        <v>21169</v>
      </c>
      <c r="D350" s="523"/>
      <c r="E350" s="72"/>
      <c r="F350" s="523"/>
      <c r="G350" s="72"/>
      <c r="I350" s="57"/>
      <c r="J350" s="269" t="s">
        <v>17560</v>
      </c>
      <c r="K350" s="37" t="s">
        <v>398</v>
      </c>
      <c r="L350" s="38">
        <v>0.9</v>
      </c>
      <c r="M350" s="299" t="s">
        <v>17556</v>
      </c>
      <c r="N350" s="45" t="s">
        <v>398</v>
      </c>
      <c r="O350" s="46">
        <v>1</v>
      </c>
      <c r="P350" s="512"/>
      <c r="Q350" s="57"/>
      <c r="R350" s="43"/>
      <c r="S350" s="37"/>
      <c r="T350" s="38"/>
      <c r="U350" s="79"/>
      <c r="V350" s="43"/>
      <c r="W350" s="37"/>
      <c r="X350" s="38"/>
      <c r="Y350" s="79"/>
      <c r="Z350" s="208">
        <f>+ROUND((ROUND((ROUND((ROUND((_15_同援日２．５＿０．５*_15・基礎２),0)*_15・２人),0)*(1+_15・B深夜)),0)*(1+_15・盲ろう)),0)</f>
        <v>111</v>
      </c>
      <c r="AA350" s="48"/>
    </row>
    <row r="351" spans="1:27" ht="16.5" customHeight="1" x14ac:dyDescent="0.15">
      <c r="A351" s="41">
        <v>15</v>
      </c>
      <c r="B351" s="41" t="s">
        <v>21170</v>
      </c>
      <c r="C351" s="127" t="s">
        <v>21171</v>
      </c>
      <c r="D351" s="523"/>
      <c r="E351" s="72"/>
      <c r="F351" s="523"/>
      <c r="G351" s="72"/>
      <c r="I351" s="57"/>
      <c r="J351" s="53"/>
      <c r="K351" s="49"/>
      <c r="L351" s="50"/>
      <c r="M351" s="163"/>
      <c r="N351" s="45"/>
      <c r="O351" s="46"/>
      <c r="P351" s="512"/>
      <c r="Q351" s="57"/>
      <c r="R351" s="53"/>
      <c r="S351" s="49"/>
      <c r="T351" s="50"/>
      <c r="U351" s="115"/>
      <c r="V351" s="53"/>
      <c r="W351" s="49"/>
      <c r="X351" s="50"/>
      <c r="Y351" s="115"/>
      <c r="Z351" s="208">
        <f>+ROUND((ROUND((_15_同援日２．５＿０．５*(1+_15・B深夜)),0)*(1+_15・区３)),0)</f>
        <v>118</v>
      </c>
      <c r="AA351" s="48"/>
    </row>
    <row r="352" spans="1:27" ht="16.5" customHeight="1" x14ac:dyDescent="0.15">
      <c r="A352" s="41">
        <v>15</v>
      </c>
      <c r="B352" s="41" t="s">
        <v>21172</v>
      </c>
      <c r="C352" s="127" t="s">
        <v>21173</v>
      </c>
      <c r="D352" s="523"/>
      <c r="E352" s="72"/>
      <c r="F352" s="523"/>
      <c r="G352" s="72"/>
      <c r="I352" s="57"/>
      <c r="J352" s="43"/>
      <c r="K352" s="37"/>
      <c r="L352" s="38"/>
      <c r="M352" s="299" t="s">
        <v>17556</v>
      </c>
      <c r="N352" s="45" t="s">
        <v>398</v>
      </c>
      <c r="O352" s="46">
        <v>1</v>
      </c>
      <c r="P352" s="512"/>
      <c r="Q352" s="57"/>
      <c r="R352" s="35"/>
      <c r="U352" s="57"/>
      <c r="V352" s="35"/>
      <c r="Y352" s="57"/>
      <c r="Z352" s="208">
        <f>+ROUND((ROUND((ROUND((_15_同援日２．５＿０．５*_15・２人),0)*(1+_15・B深夜)),0)*(1+_15・区３)),0)</f>
        <v>118</v>
      </c>
      <c r="AA352" s="48"/>
    </row>
    <row r="353" spans="1:27" ht="16.5" customHeight="1" x14ac:dyDescent="0.15">
      <c r="A353" s="41">
        <v>15</v>
      </c>
      <c r="B353" s="41" t="s">
        <v>21174</v>
      </c>
      <c r="C353" s="127" t="s">
        <v>21175</v>
      </c>
      <c r="D353" s="523"/>
      <c r="E353" s="72"/>
      <c r="F353" s="523"/>
      <c r="G353" s="72"/>
      <c r="I353" s="57"/>
      <c r="J353" s="114" t="s">
        <v>17558</v>
      </c>
      <c r="K353" s="49"/>
      <c r="L353" s="50"/>
      <c r="M353" s="163"/>
      <c r="N353" s="45"/>
      <c r="O353" s="46"/>
      <c r="P353" s="512"/>
      <c r="Q353" s="57"/>
      <c r="R353" s="35"/>
      <c r="U353" s="57"/>
      <c r="V353" s="72" t="s">
        <v>17570</v>
      </c>
      <c r="Y353" s="57"/>
      <c r="Z353" s="208">
        <f>+ROUND((ROUND((ROUND((_15_同援日２．５＿０．５*_15・基礎２),0)*(1+_15・B深夜)),0)*(1+_15・区３)),0)</f>
        <v>107</v>
      </c>
      <c r="AA353" s="48"/>
    </row>
    <row r="354" spans="1:27" ht="16.5" customHeight="1" x14ac:dyDescent="0.15">
      <c r="A354" s="41">
        <v>15</v>
      </c>
      <c r="B354" s="41" t="s">
        <v>21176</v>
      </c>
      <c r="C354" s="127" t="s">
        <v>21177</v>
      </c>
      <c r="D354" s="523"/>
      <c r="E354" s="72"/>
      <c r="F354" s="523"/>
      <c r="G354" s="72"/>
      <c r="I354" s="57"/>
      <c r="J354" s="269" t="s">
        <v>17560</v>
      </c>
      <c r="K354" s="37" t="s">
        <v>398</v>
      </c>
      <c r="L354" s="38">
        <v>0.9</v>
      </c>
      <c r="M354" s="299" t="s">
        <v>17556</v>
      </c>
      <c r="N354" s="45" t="s">
        <v>398</v>
      </c>
      <c r="O354" s="46">
        <v>1</v>
      </c>
      <c r="P354" s="512"/>
      <c r="Q354" s="57"/>
      <c r="R354" s="43"/>
      <c r="S354" s="37"/>
      <c r="T354" s="38"/>
      <c r="U354" s="79"/>
      <c r="V354" s="72" t="s">
        <v>17572</v>
      </c>
      <c r="Y354" s="57"/>
      <c r="Z354" s="208">
        <f>+ROUND((ROUND((ROUND((ROUND((_15_同援日２．５＿０．５*_15・基礎２),0)*_15・２人),0)*(1+_15・B深夜)),0)*(1+_15・区３)),0)</f>
        <v>107</v>
      </c>
      <c r="AA354" s="48"/>
    </row>
    <row r="355" spans="1:27" ht="16.5" customHeight="1" x14ac:dyDescent="0.15">
      <c r="A355" s="41">
        <v>15</v>
      </c>
      <c r="B355" s="41" t="s">
        <v>21178</v>
      </c>
      <c r="C355" s="127" t="s">
        <v>21179</v>
      </c>
      <c r="D355" s="523"/>
      <c r="E355" s="72"/>
      <c r="F355" s="523"/>
      <c r="G355" s="72"/>
      <c r="I355" s="57"/>
      <c r="J355" s="53"/>
      <c r="K355" s="49"/>
      <c r="L355" s="50"/>
      <c r="M355" s="163"/>
      <c r="N355" s="45"/>
      <c r="O355" s="46"/>
      <c r="P355" s="512"/>
      <c r="Q355" s="57"/>
      <c r="R355" s="114" t="s">
        <v>17562</v>
      </c>
      <c r="S355" s="49"/>
      <c r="T355" s="50"/>
      <c r="U355" s="115"/>
      <c r="V355" s="35"/>
      <c r="W355" s="12" t="s">
        <v>398</v>
      </c>
      <c r="X355" s="13">
        <v>0.2</v>
      </c>
      <c r="Y355" s="57" t="s">
        <v>3575</v>
      </c>
      <c r="Z355" s="208">
        <f>+ROUND((ROUND((ROUND((_15_同援日２．５＿０．５*(1+_15・B深夜)),0)*(1+_15・盲ろう)),0)*(1+_15・区３)),0)</f>
        <v>148</v>
      </c>
      <c r="AA355" s="48"/>
    </row>
    <row r="356" spans="1:27" ht="16.5" customHeight="1" x14ac:dyDescent="0.15">
      <c r="A356" s="41">
        <v>15</v>
      </c>
      <c r="B356" s="41" t="s">
        <v>21180</v>
      </c>
      <c r="C356" s="127" t="s">
        <v>21181</v>
      </c>
      <c r="D356" s="523"/>
      <c r="E356" s="72"/>
      <c r="F356" s="523"/>
      <c r="G356" s="72"/>
      <c r="I356" s="57"/>
      <c r="J356" s="43"/>
      <c r="K356" s="37"/>
      <c r="L356" s="38"/>
      <c r="M356" s="299" t="s">
        <v>17556</v>
      </c>
      <c r="N356" s="45" t="s">
        <v>398</v>
      </c>
      <c r="O356" s="46">
        <v>1</v>
      </c>
      <c r="P356" s="512"/>
      <c r="Q356" s="57"/>
      <c r="R356" s="92" t="s">
        <v>17564</v>
      </c>
      <c r="U356" s="57"/>
      <c r="V356" s="35"/>
      <c r="Y356" s="57"/>
      <c r="Z356" s="208">
        <f>+ROUND((ROUND((ROUND((ROUND((_15_同援日２．５＿０．５*_15・２人),0)*(1+_15・B深夜)),0)*(1+_15・盲ろう)),0)*(1+_15・区３)),0)</f>
        <v>148</v>
      </c>
      <c r="AA356" s="48"/>
    </row>
    <row r="357" spans="1:27" ht="16.5" customHeight="1" x14ac:dyDescent="0.15">
      <c r="A357" s="41">
        <v>15</v>
      </c>
      <c r="B357" s="41" t="s">
        <v>21182</v>
      </c>
      <c r="C357" s="127" t="s">
        <v>21183</v>
      </c>
      <c r="D357" s="523"/>
      <c r="E357" s="72"/>
      <c r="F357" s="523"/>
      <c r="G357" s="72"/>
      <c r="I357" s="57"/>
      <c r="J357" s="114" t="s">
        <v>17558</v>
      </c>
      <c r="K357" s="49"/>
      <c r="L357" s="50"/>
      <c r="M357" s="163"/>
      <c r="N357" s="45"/>
      <c r="O357" s="46"/>
      <c r="P357" s="512"/>
      <c r="Q357" s="57"/>
      <c r="R357" s="35"/>
      <c r="S357" s="12" t="s">
        <v>398</v>
      </c>
      <c r="T357" s="13">
        <v>0.25</v>
      </c>
      <c r="U357" s="57" t="s">
        <v>3575</v>
      </c>
      <c r="V357" s="35"/>
      <c r="Y357" s="57"/>
      <c r="Z357" s="208">
        <f>+ROUND((ROUND((ROUND((ROUND((_15_同援日２．５＿０．５*_15・基礎２),0)*(1+_15・B深夜)),0)*(1+_15・盲ろう)),0)*(1+_15・区３)),0)</f>
        <v>133</v>
      </c>
      <c r="AA357" s="48"/>
    </row>
    <row r="358" spans="1:27" ht="16.5" customHeight="1" x14ac:dyDescent="0.15">
      <c r="A358" s="41">
        <v>15</v>
      </c>
      <c r="B358" s="41" t="s">
        <v>21184</v>
      </c>
      <c r="C358" s="127" t="s">
        <v>21185</v>
      </c>
      <c r="D358" s="523"/>
      <c r="E358" s="72"/>
      <c r="F358" s="523"/>
      <c r="G358" s="72"/>
      <c r="I358" s="57"/>
      <c r="J358" s="269" t="s">
        <v>17560</v>
      </c>
      <c r="K358" s="37" t="s">
        <v>398</v>
      </c>
      <c r="L358" s="38">
        <v>0.9</v>
      </c>
      <c r="M358" s="299" t="s">
        <v>17556</v>
      </c>
      <c r="N358" s="45" t="s">
        <v>398</v>
      </c>
      <c r="O358" s="46">
        <v>1</v>
      </c>
      <c r="P358" s="512"/>
      <c r="Q358" s="57"/>
      <c r="R358" s="43"/>
      <c r="S358" s="37"/>
      <c r="T358" s="38"/>
      <c r="U358" s="79"/>
      <c r="V358" s="43"/>
      <c r="W358" s="37"/>
      <c r="X358" s="38"/>
      <c r="Y358" s="79"/>
      <c r="Z358" s="208">
        <f>+ROUND((ROUND((ROUND((ROUND((ROUND((_15_同援日２．５＿０．５*_15・基礎２),0)*_15・２人),0)*(1+_15・B深夜)),0)*(1+_15・盲ろう)),0)*(1+_15・区３)),0)</f>
        <v>133</v>
      </c>
      <c r="AA358" s="48"/>
    </row>
    <row r="359" spans="1:27" ht="16.5" customHeight="1" x14ac:dyDescent="0.15">
      <c r="A359" s="41">
        <v>15</v>
      </c>
      <c r="B359" s="41" t="s">
        <v>21186</v>
      </c>
      <c r="C359" s="127" t="s">
        <v>21187</v>
      </c>
      <c r="D359" s="523"/>
      <c r="E359" s="72"/>
      <c r="F359" s="523"/>
      <c r="G359" s="72"/>
      <c r="I359" s="57"/>
      <c r="J359" s="53"/>
      <c r="K359" s="49"/>
      <c r="L359" s="50"/>
      <c r="M359" s="163"/>
      <c r="N359" s="45"/>
      <c r="O359" s="46"/>
      <c r="P359" s="512"/>
      <c r="Q359" s="57"/>
      <c r="R359" s="53"/>
      <c r="S359" s="49"/>
      <c r="T359" s="50"/>
      <c r="U359" s="115"/>
      <c r="V359" s="53"/>
      <c r="W359" s="49"/>
      <c r="X359" s="50"/>
      <c r="Y359" s="115"/>
      <c r="Z359" s="208">
        <f>+ROUND((ROUND((_15_同援日２．５＿０．５*(1+_15・B深夜)),0)*(1+_15・区４)),0)</f>
        <v>137</v>
      </c>
      <c r="AA359" s="48"/>
    </row>
    <row r="360" spans="1:27" ht="16.5" customHeight="1" x14ac:dyDescent="0.15">
      <c r="A360" s="41">
        <v>15</v>
      </c>
      <c r="B360" s="41" t="s">
        <v>21188</v>
      </c>
      <c r="C360" s="127" t="s">
        <v>21189</v>
      </c>
      <c r="D360" s="523"/>
      <c r="E360" s="72"/>
      <c r="F360" s="523"/>
      <c r="G360" s="72"/>
      <c r="I360" s="57"/>
      <c r="J360" s="43"/>
      <c r="K360" s="37"/>
      <c r="L360" s="38"/>
      <c r="M360" s="299" t="s">
        <v>17556</v>
      </c>
      <c r="N360" s="45" t="s">
        <v>398</v>
      </c>
      <c r="O360" s="46">
        <v>1</v>
      </c>
      <c r="P360" s="512"/>
      <c r="Q360" s="57"/>
      <c r="R360" s="35"/>
      <c r="U360" s="57"/>
      <c r="V360" s="35"/>
      <c r="Y360" s="57"/>
      <c r="Z360" s="208">
        <f>+ROUND((ROUND((ROUND((_15_同援日２．５＿０．５*_15・２人),0)*(1+_15・B深夜)),0)*(1+_15・区４)),0)</f>
        <v>137</v>
      </c>
      <c r="AA360" s="48"/>
    </row>
    <row r="361" spans="1:27" ht="16.5" customHeight="1" x14ac:dyDescent="0.15">
      <c r="A361" s="41">
        <v>15</v>
      </c>
      <c r="B361" s="41" t="s">
        <v>21190</v>
      </c>
      <c r="C361" s="127" t="s">
        <v>21191</v>
      </c>
      <c r="D361" s="523"/>
      <c r="E361" s="72"/>
      <c r="F361" s="523"/>
      <c r="G361" s="72"/>
      <c r="I361" s="57"/>
      <c r="J361" s="114" t="s">
        <v>17558</v>
      </c>
      <c r="K361" s="49"/>
      <c r="L361" s="50"/>
      <c r="M361" s="163"/>
      <c r="N361" s="45"/>
      <c r="O361" s="46"/>
      <c r="P361" s="512"/>
      <c r="Q361" s="57"/>
      <c r="R361" s="35"/>
      <c r="U361" s="57"/>
      <c r="V361" s="72" t="s">
        <v>17580</v>
      </c>
      <c r="Y361" s="57"/>
      <c r="Z361" s="208">
        <f>+ROUND((ROUND((ROUND((_15_同援日２．５＿０．５*_15・基礎２),0)*(1+_15・B深夜)),0)*(1+_15・区４)),0)</f>
        <v>125</v>
      </c>
      <c r="AA361" s="48"/>
    </row>
    <row r="362" spans="1:27" ht="16.5" customHeight="1" x14ac:dyDescent="0.15">
      <c r="A362" s="41">
        <v>15</v>
      </c>
      <c r="B362" s="41" t="s">
        <v>21192</v>
      </c>
      <c r="C362" s="127" t="s">
        <v>21193</v>
      </c>
      <c r="D362" s="523"/>
      <c r="E362" s="72"/>
      <c r="F362" s="523"/>
      <c r="G362" s="72"/>
      <c r="I362" s="57"/>
      <c r="J362" s="269" t="s">
        <v>17560</v>
      </c>
      <c r="K362" s="37" t="s">
        <v>398</v>
      </c>
      <c r="L362" s="38">
        <v>0.9</v>
      </c>
      <c r="M362" s="299" t="s">
        <v>17556</v>
      </c>
      <c r="N362" s="45" t="s">
        <v>398</v>
      </c>
      <c r="O362" s="46">
        <v>1</v>
      </c>
      <c r="P362" s="512"/>
      <c r="Q362" s="57"/>
      <c r="R362" s="43"/>
      <c r="S362" s="37"/>
      <c r="T362" s="38"/>
      <c r="U362" s="79"/>
      <c r="V362" s="72" t="s">
        <v>17572</v>
      </c>
      <c r="Y362" s="57"/>
      <c r="Z362" s="208">
        <f>+ROUND((ROUND((ROUND((ROUND((_15_同援日２．５＿０．５*_15・基礎２),0)*_15・２人),0)*(1+_15・B深夜)),0)*(1+_15・区４)),0)</f>
        <v>125</v>
      </c>
      <c r="AA362" s="48"/>
    </row>
    <row r="363" spans="1:27" ht="16.5" customHeight="1" x14ac:dyDescent="0.15">
      <c r="A363" s="41">
        <v>15</v>
      </c>
      <c r="B363" s="41" t="s">
        <v>21194</v>
      </c>
      <c r="C363" s="127" t="s">
        <v>21195</v>
      </c>
      <c r="D363" s="523"/>
      <c r="E363" s="72"/>
      <c r="F363" s="523"/>
      <c r="G363" s="72"/>
      <c r="I363" s="57"/>
      <c r="J363" s="53"/>
      <c r="K363" s="49"/>
      <c r="L363" s="50"/>
      <c r="M363" s="163"/>
      <c r="N363" s="45"/>
      <c r="O363" s="46"/>
      <c r="P363" s="512"/>
      <c r="Q363" s="57"/>
      <c r="R363" s="114" t="s">
        <v>17562</v>
      </c>
      <c r="S363" s="49"/>
      <c r="T363" s="50"/>
      <c r="U363" s="115"/>
      <c r="V363" s="35"/>
      <c r="W363" s="12" t="s">
        <v>398</v>
      </c>
      <c r="X363" s="13">
        <v>0.4</v>
      </c>
      <c r="Y363" s="57" t="s">
        <v>3575</v>
      </c>
      <c r="Z363" s="208">
        <f>+ROUND((ROUND((ROUND((_15_同援日２．５＿０．５*(1+_15・B深夜)),0)*(1+_15・盲ろう)),0)*(1+_15・区４)),0)</f>
        <v>172</v>
      </c>
      <c r="AA363" s="48"/>
    </row>
    <row r="364" spans="1:27" ht="16.5" customHeight="1" x14ac:dyDescent="0.15">
      <c r="A364" s="41">
        <v>15</v>
      </c>
      <c r="B364" s="41" t="s">
        <v>21196</v>
      </c>
      <c r="C364" s="127" t="s">
        <v>21197</v>
      </c>
      <c r="D364" s="523"/>
      <c r="E364" s="72"/>
      <c r="F364" s="523"/>
      <c r="G364" s="72"/>
      <c r="I364" s="57"/>
      <c r="J364" s="43"/>
      <c r="K364" s="37"/>
      <c r="L364" s="38"/>
      <c r="M364" s="299" t="s">
        <v>17556</v>
      </c>
      <c r="N364" s="45" t="s">
        <v>398</v>
      </c>
      <c r="O364" s="46">
        <v>1</v>
      </c>
      <c r="P364" s="512"/>
      <c r="Q364" s="57"/>
      <c r="R364" s="92" t="s">
        <v>17564</v>
      </c>
      <c r="U364" s="57"/>
      <c r="V364" s="35"/>
      <c r="Y364" s="57"/>
      <c r="Z364" s="208">
        <f>+ROUND((ROUND((ROUND((ROUND((_15_同援日２．５＿０．５*_15・２人),0)*(1+_15・B深夜)),0)*(1+_15・盲ろう)),0)*(1+_15・区４)),0)</f>
        <v>172</v>
      </c>
      <c r="AA364" s="48"/>
    </row>
    <row r="365" spans="1:27" ht="16.5" customHeight="1" x14ac:dyDescent="0.15">
      <c r="A365" s="41">
        <v>15</v>
      </c>
      <c r="B365" s="41" t="s">
        <v>838</v>
      </c>
      <c r="C365" s="127" t="s">
        <v>21198</v>
      </c>
      <c r="D365" s="523"/>
      <c r="E365" s="72"/>
      <c r="F365" s="523"/>
      <c r="G365" s="72"/>
      <c r="I365" s="57"/>
      <c r="J365" s="114" t="s">
        <v>17558</v>
      </c>
      <c r="K365" s="49"/>
      <c r="L365" s="50"/>
      <c r="M365" s="163"/>
      <c r="N365" s="45"/>
      <c r="O365" s="46"/>
      <c r="P365" s="512"/>
      <c r="Q365" s="57"/>
      <c r="R365" s="35"/>
      <c r="S365" s="12" t="s">
        <v>398</v>
      </c>
      <c r="T365" s="13">
        <v>0.25</v>
      </c>
      <c r="U365" s="57" t="s">
        <v>3575</v>
      </c>
      <c r="V365" s="35"/>
      <c r="Y365" s="57"/>
      <c r="Z365" s="208">
        <f>+ROUND((ROUND((ROUND((ROUND((_15_同援日２．５＿０．５*_15・基礎２),0)*(1+_15・B深夜)),0)*(1+_15・盲ろう)),0)*(1+_15・区４)),0)</f>
        <v>155</v>
      </c>
      <c r="AA365" s="48"/>
    </row>
    <row r="366" spans="1:27" ht="16.5" customHeight="1" x14ac:dyDescent="0.15">
      <c r="A366" s="41">
        <v>15</v>
      </c>
      <c r="B366" s="41" t="s">
        <v>840</v>
      </c>
      <c r="C366" s="127" t="s">
        <v>21199</v>
      </c>
      <c r="D366" s="524"/>
      <c r="E366" s="122"/>
      <c r="F366" s="524"/>
      <c r="G366" s="122"/>
      <c r="H366" s="37"/>
      <c r="I366" s="79"/>
      <c r="J366" s="269" t="s">
        <v>17560</v>
      </c>
      <c r="K366" s="37" t="s">
        <v>398</v>
      </c>
      <c r="L366" s="38">
        <v>0.9</v>
      </c>
      <c r="M366" s="299" t="s">
        <v>17556</v>
      </c>
      <c r="N366" s="45" t="s">
        <v>398</v>
      </c>
      <c r="O366" s="46">
        <v>1</v>
      </c>
      <c r="P366" s="514"/>
      <c r="Q366" s="79"/>
      <c r="R366" s="43"/>
      <c r="S366" s="37"/>
      <c r="T366" s="38"/>
      <c r="U366" s="79"/>
      <c r="V366" s="43"/>
      <c r="W366" s="37"/>
      <c r="X366" s="38"/>
      <c r="Y366" s="79"/>
      <c r="Z366" s="208">
        <f>+ROUND((ROUND((ROUND((ROUND((ROUND((_15_同援日２．５＿０．５*_15・基礎２),0)*_15・２人),0)*(1+_15・B深夜)),0)*(1+_15・盲ろう)),0)*(1+_15・区４)),0)</f>
        <v>155</v>
      </c>
      <c r="AA366" s="63"/>
    </row>
    <row r="367" spans="1:27" ht="16.5" customHeight="1" x14ac:dyDescent="0.15"/>
    <row r="368" spans="1:27" ht="16.5" customHeight="1" x14ac:dyDescent="0.15"/>
  </sheetData>
  <mergeCells count="2">
    <mergeCell ref="D7:D10"/>
    <mergeCell ref="F7:F10"/>
  </mergeCells>
  <phoneticPr fontId="1"/>
  <printOptions horizontalCentered="1"/>
  <pageMargins left="0.59055118110236227" right="0.59055118110236227" top="0.62992125984251968" bottom="0.39370078740157483" header="0.51181102362204722" footer="0.31496062992125984"/>
  <pageSetup paperSize="9" scale="44" fitToHeight="0" orientation="portrait" r:id="rId1"/>
  <headerFooter>
    <oddHeader>&amp;R&amp;"ＭＳ Ｐゴシック"&amp;9同行援護</oddHeader>
    <oddFooter>&amp;C&amp;"ＭＳ Ｐゴシック"&amp;14&amp;P</oddFooter>
  </headerFooter>
  <rowBreaks count="3" manualBreakCount="3">
    <brk id="102" max="26" man="1"/>
    <brk id="198" max="26" man="1"/>
    <brk id="294" max="2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Y160"/>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1" style="10" bestFit="1" customWidth="1"/>
    <col min="4" max="4" width="4.875" style="10" customWidth="1"/>
    <col min="5" max="5" width="5.5" style="117" bestFit="1" customWidth="1"/>
    <col min="6" max="6" width="4.875" style="10" customWidth="1"/>
    <col min="7" max="7" width="5.5" style="117" bestFit="1" customWidth="1"/>
    <col min="8" max="8" width="4.875" style="10" customWidth="1"/>
    <col min="9" max="9" width="5.5" style="117" bestFit="1" customWidth="1"/>
    <col min="10" max="10" width="11.875" style="12" customWidth="1"/>
    <col min="11" max="11" width="3.5" style="12" bestFit="1" customWidth="1"/>
    <col min="12" max="12" width="4.5" style="13" bestFit="1" customWidth="1"/>
    <col min="13" max="13" width="24.875" style="14" bestFit="1" customWidth="1"/>
    <col min="14" max="14" width="3.5" style="12" bestFit="1" customWidth="1"/>
    <col min="15" max="15" width="5.5" style="13" bestFit="1" customWidth="1"/>
    <col min="16" max="16" width="3.5" style="12" bestFit="1" customWidth="1"/>
    <col min="17" max="17" width="4.5" style="13" bestFit="1" customWidth="1"/>
    <col min="18" max="18" width="5.5" style="12" bestFit="1" customWidth="1"/>
    <col min="19" max="19" width="3.5" style="12" bestFit="1" customWidth="1"/>
    <col min="20" max="20" width="4.5" style="13" bestFit="1" customWidth="1"/>
    <col min="21" max="21" width="5.5" style="12" bestFit="1" customWidth="1"/>
    <col min="22" max="22" width="9.875" style="12" customWidth="1"/>
    <col min="23" max="23" width="4.5" style="12" bestFit="1" customWidth="1"/>
    <col min="24" max="24" width="7.125" style="15" customWidth="1"/>
    <col min="25" max="25" width="8.5" style="16" customWidth="1"/>
    <col min="26" max="16384" width="8.875" style="12"/>
  </cols>
  <sheetData>
    <row r="1" spans="1:25" ht="17.100000000000001" customHeight="1" x14ac:dyDescent="0.15">
      <c r="D1" s="11"/>
      <c r="E1" s="12"/>
      <c r="F1" s="11"/>
      <c r="G1" s="12"/>
      <c r="H1" s="11"/>
      <c r="I1" s="12"/>
    </row>
    <row r="2" spans="1:25" ht="17.100000000000001" customHeight="1" x14ac:dyDescent="0.15"/>
    <row r="3" spans="1:25" ht="17.100000000000001" customHeight="1" x14ac:dyDescent="0.15"/>
    <row r="4" spans="1:25" ht="17.100000000000001" customHeight="1" x14ac:dyDescent="0.15">
      <c r="B4" s="17" t="s">
        <v>1987</v>
      </c>
      <c r="D4" s="71"/>
    </row>
    <row r="5" spans="1:25" ht="16.5" customHeight="1" x14ac:dyDescent="0.15">
      <c r="A5" s="19" t="s">
        <v>384</v>
      </c>
      <c r="B5" s="20"/>
      <c r="C5" s="21" t="s">
        <v>385</v>
      </c>
      <c r="D5" s="23" t="s">
        <v>386</v>
      </c>
      <c r="E5" s="118"/>
      <c r="F5" s="23"/>
      <c r="G5" s="118"/>
      <c r="H5" s="23"/>
      <c r="I5" s="118"/>
      <c r="J5" s="23"/>
      <c r="K5" s="23"/>
      <c r="L5" s="24"/>
      <c r="M5" s="23"/>
      <c r="N5" s="23"/>
      <c r="O5" s="24"/>
      <c r="P5" s="23"/>
      <c r="Q5" s="24"/>
      <c r="R5" s="23"/>
      <c r="S5" s="23"/>
      <c r="T5" s="24"/>
      <c r="U5" s="23"/>
      <c r="V5" s="23"/>
      <c r="W5" s="23"/>
      <c r="X5" s="25" t="s">
        <v>387</v>
      </c>
      <c r="Y5" s="21" t="s">
        <v>388</v>
      </c>
    </row>
    <row r="6" spans="1:25" ht="16.5" customHeight="1" x14ac:dyDescent="0.15">
      <c r="A6" s="26" t="s">
        <v>389</v>
      </c>
      <c r="B6" s="26" t="s">
        <v>390</v>
      </c>
      <c r="C6" s="27"/>
      <c r="D6" s="87" t="s">
        <v>1032</v>
      </c>
      <c r="E6" s="124"/>
      <c r="F6" s="87" t="s">
        <v>1033</v>
      </c>
      <c r="G6" s="119"/>
      <c r="H6" s="29" t="s">
        <v>1988</v>
      </c>
      <c r="I6" s="120"/>
      <c r="J6" s="29"/>
      <c r="K6" s="29"/>
      <c r="L6" s="30"/>
      <c r="M6" s="29"/>
      <c r="N6" s="29"/>
      <c r="O6" s="30"/>
      <c r="P6" s="29"/>
      <c r="Q6" s="30"/>
      <c r="R6" s="29"/>
      <c r="S6" s="29"/>
      <c r="T6" s="30"/>
      <c r="U6" s="29"/>
      <c r="V6" s="29"/>
      <c r="W6" s="29"/>
      <c r="X6" s="31" t="s">
        <v>391</v>
      </c>
      <c r="Y6" s="32" t="s">
        <v>392</v>
      </c>
    </row>
    <row r="7" spans="1:25" ht="16.5" customHeight="1" x14ac:dyDescent="0.15">
      <c r="A7" s="33">
        <v>11</v>
      </c>
      <c r="B7" s="33">
        <v>1607</v>
      </c>
      <c r="C7" s="34" t="s">
        <v>1989</v>
      </c>
      <c r="D7" s="709" t="s">
        <v>861</v>
      </c>
      <c r="E7" s="718"/>
      <c r="F7" s="709" t="s">
        <v>1990</v>
      </c>
      <c r="G7" s="718"/>
      <c r="H7" s="709" t="s">
        <v>1226</v>
      </c>
      <c r="I7" s="718"/>
      <c r="J7" s="35"/>
      <c r="M7" s="36"/>
      <c r="N7" s="37"/>
      <c r="O7" s="38"/>
      <c r="P7" s="35" t="s">
        <v>1036</v>
      </c>
      <c r="R7" s="57"/>
      <c r="S7" s="35" t="s">
        <v>1037</v>
      </c>
      <c r="U7" s="57"/>
      <c r="V7" s="35"/>
      <c r="X7" s="39">
        <f>ROUND((_11_A身体０．５*(1+_11・A深夜)),0)+ROUND((_11_B身体０．５＿１．５*(1+_11・B早朝)),0)+_11_C身体０．５＿１．５＿０．５</f>
        <v>981</v>
      </c>
      <c r="Y7" s="40" t="s">
        <v>395</v>
      </c>
    </row>
    <row r="8" spans="1:25" ht="16.5" customHeight="1" x14ac:dyDescent="0.15">
      <c r="A8" s="41">
        <v>11</v>
      </c>
      <c r="B8" s="41">
        <v>1608</v>
      </c>
      <c r="C8" s="74" t="s">
        <v>1991</v>
      </c>
      <c r="D8" s="709"/>
      <c r="E8" s="718"/>
      <c r="F8" s="709"/>
      <c r="G8" s="718"/>
      <c r="H8" s="709"/>
      <c r="I8" s="718"/>
      <c r="J8" s="43"/>
      <c r="K8" s="37"/>
      <c r="L8" s="38"/>
      <c r="M8" s="44" t="s">
        <v>397</v>
      </c>
      <c r="N8" s="45" t="s">
        <v>398</v>
      </c>
      <c r="O8" s="46">
        <v>1</v>
      </c>
      <c r="P8" s="35" t="s">
        <v>398</v>
      </c>
      <c r="Q8" s="13">
        <v>0.5</v>
      </c>
      <c r="R8" s="728" t="s">
        <v>676</v>
      </c>
      <c r="S8" s="12" t="s">
        <v>398</v>
      </c>
      <c r="T8" s="13">
        <v>0.25</v>
      </c>
      <c r="U8" s="728" t="s">
        <v>676</v>
      </c>
      <c r="V8" s="35"/>
      <c r="X8" s="47">
        <f>ROUND((ROUND((_11_A身体０．５*_11・２人),0)*(1+_11・A深夜)),0)+ROUND((ROUND((_11_B身体０．５＿１．５*_11・２人),0)*(1+_11・B早朝)),0)+ROUND((_11_C身体０．５＿１．５＿０．５*_11・２人),0)</f>
        <v>981</v>
      </c>
      <c r="Y8" s="48"/>
    </row>
    <row r="9" spans="1:25" ht="16.5" customHeight="1" x14ac:dyDescent="0.15">
      <c r="A9" s="41">
        <v>11</v>
      </c>
      <c r="B9" s="41">
        <v>1609</v>
      </c>
      <c r="C9" s="74" t="s">
        <v>1992</v>
      </c>
      <c r="D9" s="709"/>
      <c r="E9" s="718"/>
      <c r="F9" s="709"/>
      <c r="G9" s="718"/>
      <c r="H9" s="709"/>
      <c r="I9" s="718"/>
      <c r="J9" s="705" t="s">
        <v>400</v>
      </c>
      <c r="K9" s="49" t="s">
        <v>398</v>
      </c>
      <c r="L9" s="50">
        <v>0.7</v>
      </c>
      <c r="M9" s="44"/>
      <c r="N9" s="45"/>
      <c r="O9" s="46"/>
      <c r="P9" s="35"/>
      <c r="R9" s="728"/>
      <c r="U9" s="728"/>
      <c r="V9" s="35"/>
      <c r="X9" s="47">
        <f>ROUND((ROUND((_11_A身体０．５*_11・基礎１),0)*(1+_11・A深夜)),0)+ROUND((ROUND((_11_B身体０．５＿１．５*_11・基礎１),0)*(1+_11・B早朝)),0)+ROUND((_11_C身体０．５＿１．５＿０．５*_11・基礎１),0)</f>
        <v>688</v>
      </c>
      <c r="Y9" s="48"/>
    </row>
    <row r="10" spans="1:25" ht="16.5" customHeight="1" x14ac:dyDescent="0.15">
      <c r="A10" s="41">
        <v>11</v>
      </c>
      <c r="B10" s="41">
        <v>1610</v>
      </c>
      <c r="C10" s="74" t="s">
        <v>1993</v>
      </c>
      <c r="D10" s="100">
        <f>_11_A身体０．５</f>
        <v>255</v>
      </c>
      <c r="E10" s="12" t="s">
        <v>392</v>
      </c>
      <c r="F10" s="100">
        <f>_11_B身体０．５＿１．５</f>
        <v>411</v>
      </c>
      <c r="G10" s="12" t="s">
        <v>392</v>
      </c>
      <c r="H10" s="100">
        <f>_11_C身体０．５＿１．５＿０．５</f>
        <v>84</v>
      </c>
      <c r="I10" s="12" t="s">
        <v>392</v>
      </c>
      <c r="J10" s="711"/>
      <c r="K10" s="37"/>
      <c r="L10" s="38"/>
      <c r="M10" s="44" t="s">
        <v>397</v>
      </c>
      <c r="N10" s="45" t="s">
        <v>398</v>
      </c>
      <c r="O10" s="46">
        <v>1</v>
      </c>
      <c r="P10" s="35"/>
      <c r="R10" s="57"/>
      <c r="U10" s="57"/>
      <c r="V10" s="43"/>
      <c r="W10" s="37"/>
      <c r="X10" s="47">
        <f>ROUND((ROUND((ROUND((_11_A身体０．５*_11・基礎１),0)*_11・２人),0)*(1+_11・A深夜)),0)+ROUND((ROUND((ROUND((_11_B身体０．５＿１．５*_11・基礎１),0)*_11・２人),0)*(1+_11・B早朝)),0)+ROUND((ROUND((_11_C身体０．５＿１．５＿０．５*_11・基礎１),0)*_11・２人),0)</f>
        <v>688</v>
      </c>
      <c r="Y10" s="48"/>
    </row>
    <row r="11" spans="1:25" ht="16.5" customHeight="1" x14ac:dyDescent="0.15">
      <c r="A11" s="41">
        <v>11</v>
      </c>
      <c r="B11" s="41" t="s">
        <v>1994</v>
      </c>
      <c r="C11" s="74" t="s">
        <v>1995</v>
      </c>
      <c r="D11" s="121"/>
      <c r="E11" s="99"/>
      <c r="F11" s="121"/>
      <c r="G11" s="99"/>
      <c r="H11" s="121"/>
      <c r="I11" s="99"/>
      <c r="J11" s="53"/>
      <c r="K11" s="49"/>
      <c r="L11" s="50"/>
      <c r="M11" s="44"/>
      <c r="N11" s="45"/>
      <c r="O11" s="46"/>
      <c r="P11" s="35"/>
      <c r="R11" s="57"/>
      <c r="U11" s="57"/>
      <c r="V11" s="707" t="s">
        <v>404</v>
      </c>
      <c r="W11" s="708"/>
      <c r="X11" s="47">
        <f>ROUND((ROUND((_11_A身体０．５*(1+_11・A深夜)),0)*_11・初任),0)+ROUND((ROUND((_11_B身体０．５＿１．５*(1+_11・B早朝)),0)*_11・初任),0)+ROUND((_11_C身体０．５＿１．５＿０．５*_11・初任),0)</f>
        <v>687</v>
      </c>
      <c r="Y11" s="48"/>
    </row>
    <row r="12" spans="1:25" ht="16.5" customHeight="1" x14ac:dyDescent="0.15">
      <c r="A12" s="41">
        <v>11</v>
      </c>
      <c r="B12" s="41" t="s">
        <v>1996</v>
      </c>
      <c r="C12" s="74" t="s">
        <v>1997</v>
      </c>
      <c r="D12" s="121"/>
      <c r="E12" s="99"/>
      <c r="F12" s="121"/>
      <c r="G12" s="99"/>
      <c r="H12" s="121"/>
      <c r="I12" s="99"/>
      <c r="J12" s="43"/>
      <c r="K12" s="37"/>
      <c r="L12" s="38"/>
      <c r="M12" s="44" t="s">
        <v>397</v>
      </c>
      <c r="N12" s="45" t="s">
        <v>398</v>
      </c>
      <c r="O12" s="46">
        <v>1</v>
      </c>
      <c r="P12" s="35"/>
      <c r="R12" s="57"/>
      <c r="U12" s="57"/>
      <c r="V12" s="709"/>
      <c r="W12" s="704"/>
      <c r="X12" s="47">
        <f>ROUND((ROUND((ROUND((_11_A身体０．５*_11・２人),0)*(1+_11・A深夜)),0)*_11・初任),0)+ROUND((ROUND((ROUND((_11_B身体０．５＿１．５*_11・２人),0)*(1+_11・B早朝)),0)*_11・初任),0)+ROUND((ROUND((_11_C身体０．５＿１．５＿０．５*_11・２人),0)*_11・初任),0)</f>
        <v>687</v>
      </c>
      <c r="Y12" s="48"/>
    </row>
    <row r="13" spans="1:25" ht="16.5" customHeight="1" x14ac:dyDescent="0.15">
      <c r="A13" s="41">
        <v>11</v>
      </c>
      <c r="B13" s="41" t="s">
        <v>1998</v>
      </c>
      <c r="C13" s="74" t="s">
        <v>1999</v>
      </c>
      <c r="D13" s="72"/>
      <c r="E13" s="99"/>
      <c r="F13" s="72"/>
      <c r="G13" s="99"/>
      <c r="H13" s="72"/>
      <c r="I13" s="99"/>
      <c r="J13" s="705" t="s">
        <v>400</v>
      </c>
      <c r="K13" s="49" t="s">
        <v>398</v>
      </c>
      <c r="L13" s="50">
        <v>0.7</v>
      </c>
      <c r="M13" s="44"/>
      <c r="N13" s="45"/>
      <c r="O13" s="46"/>
      <c r="P13" s="35"/>
      <c r="R13" s="57"/>
      <c r="U13" s="57"/>
      <c r="V13" s="709"/>
      <c r="W13" s="704"/>
      <c r="X13" s="47">
        <f>ROUND((ROUND((ROUND((_11_A身体０．５*_11・基礎１),0)*(1+_11・A深夜)),0)*_11・初任),0)+ROUND((ROUND((ROUND((_11_B身体０．５＿１．５*_11・基礎１),0)*(1+_11・B早朝)),0)*_11・初任),0)+ROUND((ROUND((_11_C身体０．５＿１．５＿０．５*_11・基礎１),0)*_11・初任),0)</f>
        <v>481</v>
      </c>
      <c r="Y13" s="48"/>
    </row>
    <row r="14" spans="1:25" ht="16.5" customHeight="1" x14ac:dyDescent="0.15">
      <c r="A14" s="41">
        <v>11</v>
      </c>
      <c r="B14" s="41" t="s">
        <v>2000</v>
      </c>
      <c r="C14" s="74" t="s">
        <v>2001</v>
      </c>
      <c r="D14" s="72"/>
      <c r="E14" s="99"/>
      <c r="F14" s="72"/>
      <c r="G14" s="99"/>
      <c r="H14" s="72"/>
      <c r="I14" s="99"/>
      <c r="J14" s="711"/>
      <c r="K14" s="37"/>
      <c r="L14" s="38"/>
      <c r="M14" s="44" t="s">
        <v>397</v>
      </c>
      <c r="N14" s="45" t="s">
        <v>398</v>
      </c>
      <c r="O14" s="46">
        <v>1</v>
      </c>
      <c r="P14" s="35"/>
      <c r="R14" s="57"/>
      <c r="U14" s="57"/>
      <c r="V14" s="55" t="s">
        <v>398</v>
      </c>
      <c r="W14" s="38">
        <f>_11・初任</f>
        <v>0.7</v>
      </c>
      <c r="X14" s="47">
        <f>ROUND((ROUND((ROUND((ROUND((_11_A身体０．５*_11・基礎１),0)*_11・２人),0)*(1+_11・A深夜)),0)*_11・初任),0)+ROUND((ROUND((ROUND((ROUND((_11_B身体０．５＿１．５*_11・基礎１),0)*_11・２人),0)*(1+_11・B早朝)),0)*_11・初任),0)+ROUND((ROUND((ROUND((_11_C身体０．５＿１．５＿０．５*_11・基礎１),0)*_11・２人),0)*_11・初任),0)</f>
        <v>481</v>
      </c>
      <c r="Y14" s="48"/>
    </row>
    <row r="15" spans="1:25" ht="16.5" customHeight="1" x14ac:dyDescent="0.15">
      <c r="A15" s="41">
        <v>11</v>
      </c>
      <c r="B15" s="41">
        <v>1611</v>
      </c>
      <c r="C15" s="74" t="s">
        <v>2002</v>
      </c>
      <c r="D15" s="72"/>
      <c r="E15" s="99"/>
      <c r="F15" s="72"/>
      <c r="G15" s="105"/>
      <c r="H15" s="707" t="s">
        <v>1304</v>
      </c>
      <c r="I15" s="717"/>
      <c r="J15" s="53"/>
      <c r="K15" s="49"/>
      <c r="L15" s="50"/>
      <c r="M15" s="44"/>
      <c r="N15" s="45"/>
      <c r="O15" s="46"/>
      <c r="P15" s="35"/>
      <c r="R15" s="57"/>
      <c r="U15" s="57"/>
      <c r="V15" s="53"/>
      <c r="W15" s="49"/>
      <c r="X15" s="47">
        <f>ROUND((_11_A身体０．５*(1+_11・A深夜)),0)+ROUND((_11_B身体０．５＿１．５*(1+_11・B早朝)),0)+_11_C身体０．５＿１．５＿１．０</f>
        <v>1064</v>
      </c>
      <c r="Y15" s="48"/>
    </row>
    <row r="16" spans="1:25" ht="16.5" customHeight="1" x14ac:dyDescent="0.15">
      <c r="A16" s="41">
        <v>11</v>
      </c>
      <c r="B16" s="41">
        <v>1612</v>
      </c>
      <c r="C16" s="74" t="s">
        <v>2003</v>
      </c>
      <c r="D16" s="72"/>
      <c r="E16" s="99"/>
      <c r="F16" s="121"/>
      <c r="G16" s="129"/>
      <c r="H16" s="709"/>
      <c r="I16" s="718"/>
      <c r="J16" s="43"/>
      <c r="K16" s="37"/>
      <c r="L16" s="38"/>
      <c r="M16" s="44" t="s">
        <v>397</v>
      </c>
      <c r="N16" s="45" t="s">
        <v>398</v>
      </c>
      <c r="O16" s="46">
        <v>1</v>
      </c>
      <c r="P16" s="35"/>
      <c r="R16" s="57"/>
      <c r="U16" s="57"/>
      <c r="V16" s="35"/>
      <c r="X16" s="47">
        <f>ROUND((ROUND((_11_A身体０．５*_11・２人),0)*(1+_11・A深夜)),0)+ROUND((ROUND((_11_B身体０．５＿１．５*_11・２人),0)*(1+_11・B早朝)),0)+ROUND((_11_C身体０．５＿１．５＿１．０*_11・２人),0)</f>
        <v>1064</v>
      </c>
      <c r="Y16" s="48"/>
    </row>
    <row r="17" spans="1:25" ht="16.5" customHeight="1" x14ac:dyDescent="0.15">
      <c r="A17" s="41">
        <v>11</v>
      </c>
      <c r="B17" s="41">
        <v>1613</v>
      </c>
      <c r="C17" s="74" t="s">
        <v>2004</v>
      </c>
      <c r="D17" s="72"/>
      <c r="E17" s="99"/>
      <c r="F17" s="121"/>
      <c r="G17" s="140"/>
      <c r="H17" s="709"/>
      <c r="I17" s="718"/>
      <c r="J17" s="705" t="s">
        <v>400</v>
      </c>
      <c r="K17" s="49" t="s">
        <v>398</v>
      </c>
      <c r="L17" s="50">
        <v>0.7</v>
      </c>
      <c r="M17" s="44"/>
      <c r="N17" s="45"/>
      <c r="O17" s="46"/>
      <c r="P17" s="35"/>
      <c r="R17" s="57"/>
      <c r="U17" s="57"/>
      <c r="V17" s="35"/>
      <c r="X17" s="47">
        <f>ROUND((ROUND((_11_A身体０．５*_11・基礎１),0)*(1+_11・A深夜)),0)+ROUND((ROUND((_11_B身体０．５＿１．５*_11・基礎１),0)*(1+_11・B早朝)),0)+ROUND((_11_C身体０．５＿１．５＿１．０*_11・基礎１),0)</f>
        <v>746</v>
      </c>
      <c r="Y17" s="48"/>
    </row>
    <row r="18" spans="1:25" ht="16.5" customHeight="1" x14ac:dyDescent="0.15">
      <c r="A18" s="41">
        <v>11</v>
      </c>
      <c r="B18" s="41">
        <v>1614</v>
      </c>
      <c r="C18" s="74" t="s">
        <v>2005</v>
      </c>
      <c r="D18" s="72"/>
      <c r="E18" s="99"/>
      <c r="F18" s="121"/>
      <c r="G18" s="140"/>
      <c r="H18" s="100">
        <f>_11_C身体０．５＿１．５＿１．０</f>
        <v>167</v>
      </c>
      <c r="I18" s="12" t="s">
        <v>392</v>
      </c>
      <c r="J18" s="711"/>
      <c r="K18" s="37"/>
      <c r="L18" s="38"/>
      <c r="M18" s="44" t="s">
        <v>397</v>
      </c>
      <c r="N18" s="45" t="s">
        <v>398</v>
      </c>
      <c r="O18" s="46">
        <v>1</v>
      </c>
      <c r="P18" s="35"/>
      <c r="R18" s="57"/>
      <c r="U18" s="57"/>
      <c r="V18" s="43"/>
      <c r="W18" s="37"/>
      <c r="X18" s="47">
        <f>ROUND((ROUND((ROUND((_11_A身体０．５*_11・基礎１),0)*_11・２人),0)*(1+_11・A深夜)),0)+ROUND((ROUND((ROUND((_11_B身体０．５＿１．５*_11・基礎１),0)*_11・２人),0)*(1+_11・B早朝)),0)+ROUND((ROUND((_11_C身体０．５＿１．５＿１．０*_11・基礎１),0)*_11・２人),0)</f>
        <v>746</v>
      </c>
      <c r="Y18" s="48"/>
    </row>
    <row r="19" spans="1:25" ht="16.5" customHeight="1" x14ac:dyDescent="0.15">
      <c r="A19" s="41">
        <v>11</v>
      </c>
      <c r="B19" s="41" t="s">
        <v>2006</v>
      </c>
      <c r="C19" s="74" t="s">
        <v>2007</v>
      </c>
      <c r="D19" s="72"/>
      <c r="E19" s="99"/>
      <c r="F19" s="72"/>
      <c r="G19" s="99"/>
      <c r="H19" s="72"/>
      <c r="I19" s="99"/>
      <c r="J19" s="53"/>
      <c r="K19" s="49"/>
      <c r="L19" s="50"/>
      <c r="M19" s="44"/>
      <c r="N19" s="45"/>
      <c r="O19" s="46"/>
      <c r="P19" s="35"/>
      <c r="R19" s="57"/>
      <c r="U19" s="57"/>
      <c r="V19" s="707" t="s">
        <v>404</v>
      </c>
      <c r="W19" s="708"/>
      <c r="X19" s="47">
        <f>ROUND((ROUND((_11_A身体０．５*(1+_11・A深夜)),0)*_11・初任),0)+ROUND((ROUND((_11_B身体０．５＿１．５*(1+_11・B早朝)),0)*_11・初任),0)+ROUND((_11_C身体０．５＿１．５＿１．０*_11・初任),0)</f>
        <v>745</v>
      </c>
      <c r="Y19" s="48"/>
    </row>
    <row r="20" spans="1:25" ht="16.5" customHeight="1" x14ac:dyDescent="0.15">
      <c r="A20" s="41">
        <v>11</v>
      </c>
      <c r="B20" s="41" t="s">
        <v>2008</v>
      </c>
      <c r="C20" s="74" t="s">
        <v>2009</v>
      </c>
      <c r="D20" s="72"/>
      <c r="E20" s="99"/>
      <c r="F20" s="72"/>
      <c r="G20" s="99"/>
      <c r="H20" s="72"/>
      <c r="I20" s="99"/>
      <c r="J20" s="43"/>
      <c r="K20" s="37"/>
      <c r="L20" s="38"/>
      <c r="M20" s="44" t="s">
        <v>397</v>
      </c>
      <c r="N20" s="45" t="s">
        <v>398</v>
      </c>
      <c r="O20" s="46">
        <v>1</v>
      </c>
      <c r="P20" s="35"/>
      <c r="R20" s="57"/>
      <c r="U20" s="57"/>
      <c r="V20" s="709"/>
      <c r="W20" s="704"/>
      <c r="X20" s="47">
        <f>ROUND((ROUND((ROUND((_11_A身体０．５*_11・２人),0)*(1+_11・A深夜)),0)*_11・初任),0)+ROUND((ROUND((ROUND((_11_B身体０．５＿１．５*_11・２人),0)*(1+_11・B早朝)),0)*_11・初任),0)+ROUND((ROUND((_11_C身体０．５＿１．５＿１．０*_11・２人),0)*_11・初任),0)</f>
        <v>745</v>
      </c>
      <c r="Y20" s="48"/>
    </row>
    <row r="21" spans="1:25" ht="16.5" customHeight="1" x14ac:dyDescent="0.15">
      <c r="A21" s="41">
        <v>11</v>
      </c>
      <c r="B21" s="41" t="s">
        <v>2010</v>
      </c>
      <c r="C21" s="74" t="s">
        <v>2011</v>
      </c>
      <c r="D21" s="72"/>
      <c r="E21" s="99"/>
      <c r="F21" s="72"/>
      <c r="G21" s="99"/>
      <c r="H21" s="72"/>
      <c r="I21" s="99"/>
      <c r="J21" s="705" t="s">
        <v>400</v>
      </c>
      <c r="K21" s="49" t="s">
        <v>398</v>
      </c>
      <c r="L21" s="50">
        <v>0.7</v>
      </c>
      <c r="M21" s="44"/>
      <c r="N21" s="45"/>
      <c r="O21" s="46"/>
      <c r="P21" s="35"/>
      <c r="R21" s="57"/>
      <c r="U21" s="57"/>
      <c r="V21" s="709"/>
      <c r="W21" s="704"/>
      <c r="X21" s="47">
        <f>ROUND((ROUND((ROUND((_11_A身体０．５*_11・基礎１),0)*(1+_11・A深夜)),0)*_11・初任),0)+ROUND((ROUND((ROUND((_11_B身体０．５＿１．５*_11・基礎１),0)*(1+_11・B早朝)),0)*_11・初任),0)+ROUND((ROUND((_11_C身体０．５＿１．５＿１．０*_11・基礎１),0)*_11・初任),0)</f>
        <v>522</v>
      </c>
      <c r="Y21" s="48"/>
    </row>
    <row r="22" spans="1:25" ht="16.5" customHeight="1" x14ac:dyDescent="0.15">
      <c r="A22" s="41">
        <v>11</v>
      </c>
      <c r="B22" s="41" t="s">
        <v>2012</v>
      </c>
      <c r="C22" s="74" t="s">
        <v>2013</v>
      </c>
      <c r="D22" s="72"/>
      <c r="E22" s="99"/>
      <c r="F22" s="72"/>
      <c r="G22" s="99"/>
      <c r="H22" s="72"/>
      <c r="I22" s="99"/>
      <c r="J22" s="711"/>
      <c r="K22" s="37"/>
      <c r="L22" s="38"/>
      <c r="M22" s="44" t="s">
        <v>397</v>
      </c>
      <c r="N22" s="45" t="s">
        <v>398</v>
      </c>
      <c r="O22" s="46">
        <v>1</v>
      </c>
      <c r="P22" s="35"/>
      <c r="R22" s="57"/>
      <c r="U22" s="57"/>
      <c r="V22" s="55" t="s">
        <v>398</v>
      </c>
      <c r="W22" s="38">
        <f>_11・初任</f>
        <v>0.7</v>
      </c>
      <c r="X22" s="47">
        <f>ROUND((ROUND((ROUND((ROUND((_11_A身体０．５*_11・基礎１),0)*_11・２人),0)*(1+_11・A深夜)),0)*_11・初任),0)+ROUND((ROUND((ROUND((ROUND((_11_B身体０．５＿１．５*_11・基礎１),0)*_11・２人),0)*(1+_11・B早朝)),0)*_11・初任),0)+ROUND((ROUND((ROUND((_11_C身体０．５＿１．５＿１．０*_11・基礎１),0)*_11・２人),0)*_11・初任),0)</f>
        <v>522</v>
      </c>
      <c r="Y22" s="48"/>
    </row>
    <row r="23" spans="1:25" ht="16.5" customHeight="1" x14ac:dyDescent="0.15">
      <c r="A23" s="41">
        <v>11</v>
      </c>
      <c r="B23" s="41">
        <v>1615</v>
      </c>
      <c r="C23" s="74" t="s">
        <v>2014</v>
      </c>
      <c r="D23" s="707" t="s">
        <v>876</v>
      </c>
      <c r="E23" s="717"/>
      <c r="F23" s="707" t="s">
        <v>1990</v>
      </c>
      <c r="G23" s="717"/>
      <c r="H23" s="707" t="s">
        <v>1226</v>
      </c>
      <c r="I23" s="717"/>
      <c r="J23" s="53"/>
      <c r="K23" s="49"/>
      <c r="L23" s="50"/>
      <c r="M23" s="44"/>
      <c r="N23" s="45"/>
      <c r="O23" s="46"/>
      <c r="P23" s="35"/>
      <c r="R23" s="57"/>
      <c r="U23" s="57"/>
      <c r="V23" s="53"/>
      <c r="W23" s="49"/>
      <c r="X23" s="47">
        <f>ROUND((_11_A身体１．０*(1+_11・A深夜)),0)+ROUND((_11_B身体１．０＿１．５*(1+_11・B早朝)),0)+_11_C身体１．０＿１．５＿０．５</f>
        <v>1121</v>
      </c>
      <c r="Y23" s="48"/>
    </row>
    <row r="24" spans="1:25" ht="16.5" customHeight="1" x14ac:dyDescent="0.15">
      <c r="A24" s="41">
        <v>11</v>
      </c>
      <c r="B24" s="41">
        <v>1616</v>
      </c>
      <c r="C24" s="74" t="s">
        <v>2015</v>
      </c>
      <c r="D24" s="709"/>
      <c r="E24" s="718"/>
      <c r="F24" s="709"/>
      <c r="G24" s="718"/>
      <c r="H24" s="709"/>
      <c r="I24" s="718"/>
      <c r="J24" s="43"/>
      <c r="K24" s="37"/>
      <c r="L24" s="38"/>
      <c r="M24" s="44" t="s">
        <v>397</v>
      </c>
      <c r="N24" s="45" t="s">
        <v>398</v>
      </c>
      <c r="O24" s="46">
        <v>1</v>
      </c>
      <c r="P24" s="35"/>
      <c r="R24" s="57"/>
      <c r="U24" s="57"/>
      <c r="V24" s="35"/>
      <c r="X24" s="47">
        <f>ROUND((ROUND((_11_A身体１．０*_11・２人),0)*(1+_11・A深夜)),0)+ROUND((ROUND((_11_B身体１．０＿１．５*_11・２人),0)*(1+_11・B早朝)),0)+ROUND((_11_C身体１．０＿１．５＿０．５*_11・２人),0)</f>
        <v>1121</v>
      </c>
      <c r="Y24" s="48"/>
    </row>
    <row r="25" spans="1:25" ht="16.5" customHeight="1" x14ac:dyDescent="0.15">
      <c r="A25" s="41">
        <v>11</v>
      </c>
      <c r="B25" s="41">
        <v>1617</v>
      </c>
      <c r="C25" s="74" t="s">
        <v>2016</v>
      </c>
      <c r="D25" s="709"/>
      <c r="E25" s="718"/>
      <c r="F25" s="709"/>
      <c r="G25" s="718"/>
      <c r="H25" s="709"/>
      <c r="I25" s="718"/>
      <c r="J25" s="705" t="s">
        <v>400</v>
      </c>
      <c r="K25" s="49" t="s">
        <v>398</v>
      </c>
      <c r="L25" s="50">
        <v>0.7</v>
      </c>
      <c r="M25" s="44"/>
      <c r="N25" s="45"/>
      <c r="O25" s="46"/>
      <c r="P25" s="35"/>
      <c r="R25" s="57"/>
      <c r="U25" s="57"/>
      <c r="V25" s="35"/>
      <c r="X25" s="47">
        <f>ROUND((ROUND((_11_A身体１．０*_11・基礎１),0)*(1+_11・A深夜)),0)+ROUND((ROUND((_11_B身体１．０＿１．５*_11・基礎１),0)*(1+_11・B早朝)),0)+ROUND((_11_C身体１．０＿１．５＿０．５*_11・基礎１),0)</f>
        <v>785</v>
      </c>
      <c r="Y25" s="48"/>
    </row>
    <row r="26" spans="1:25" ht="16.5" customHeight="1" x14ac:dyDescent="0.15">
      <c r="A26" s="41">
        <v>11</v>
      </c>
      <c r="B26" s="41">
        <v>1618</v>
      </c>
      <c r="C26" s="74" t="s">
        <v>2017</v>
      </c>
      <c r="D26" s="100">
        <f>_11_A身体１．０</f>
        <v>402</v>
      </c>
      <c r="E26" s="12" t="s">
        <v>392</v>
      </c>
      <c r="F26" s="100">
        <f>_11_B身体１．０＿１．５</f>
        <v>348</v>
      </c>
      <c r="G26" s="12" t="s">
        <v>392</v>
      </c>
      <c r="H26" s="100">
        <f>_11_C身体１．０＿１．５＿０．５</f>
        <v>83</v>
      </c>
      <c r="I26" s="12" t="s">
        <v>392</v>
      </c>
      <c r="J26" s="711"/>
      <c r="K26" s="37"/>
      <c r="L26" s="38"/>
      <c r="M26" s="44" t="s">
        <v>397</v>
      </c>
      <c r="N26" s="45" t="s">
        <v>398</v>
      </c>
      <c r="O26" s="46">
        <v>1</v>
      </c>
      <c r="P26" s="35"/>
      <c r="R26" s="57"/>
      <c r="U26" s="57"/>
      <c r="V26" s="43"/>
      <c r="W26" s="37"/>
      <c r="X26" s="47">
        <f>ROUND((ROUND((ROUND((_11_A身体１．０*_11・基礎１),0)*_11・２人),0)*(1+_11・A深夜)),0)+ROUND((ROUND((ROUND((_11_B身体１．０＿１．５*_11・基礎１),0)*_11・２人),0)*(1+_11・B早朝)),0)+ROUND((ROUND((_11_C身体１．０＿１．５＿０．５*_11・基礎１),0)*_11・２人),0)</f>
        <v>785</v>
      </c>
      <c r="Y26" s="48"/>
    </row>
    <row r="27" spans="1:25" ht="16.5" customHeight="1" x14ac:dyDescent="0.15">
      <c r="A27" s="41">
        <v>11</v>
      </c>
      <c r="B27" s="41" t="s">
        <v>2018</v>
      </c>
      <c r="C27" s="74" t="s">
        <v>2019</v>
      </c>
      <c r="D27" s="72"/>
      <c r="E27" s="99"/>
      <c r="F27" s="72"/>
      <c r="G27" s="99"/>
      <c r="H27" s="72"/>
      <c r="I27" s="99"/>
      <c r="J27" s="53"/>
      <c r="K27" s="49"/>
      <c r="L27" s="50"/>
      <c r="M27" s="44"/>
      <c r="N27" s="45"/>
      <c r="O27" s="46"/>
      <c r="P27" s="35"/>
      <c r="R27" s="57"/>
      <c r="U27" s="57"/>
      <c r="V27" s="707" t="s">
        <v>404</v>
      </c>
      <c r="W27" s="708"/>
      <c r="X27" s="47">
        <f>ROUND((ROUND((_11_A身体１．０*(1+_11・A深夜)),0)*_11・初任),0)+ROUND((ROUND((_11_B身体１．０＿１．５*(1+_11・B早朝)),0)*_11・初任),0)+ROUND((_11_C身体１．０＿１．５＿０．５*_11・初任),0)</f>
        <v>785</v>
      </c>
      <c r="Y27" s="48"/>
    </row>
    <row r="28" spans="1:25" ht="16.5" customHeight="1" x14ac:dyDescent="0.15">
      <c r="A28" s="41">
        <v>11</v>
      </c>
      <c r="B28" s="41" t="s">
        <v>2020</v>
      </c>
      <c r="C28" s="74" t="s">
        <v>2021</v>
      </c>
      <c r="D28" s="72"/>
      <c r="E28" s="99"/>
      <c r="F28" s="72"/>
      <c r="G28" s="99"/>
      <c r="H28" s="72"/>
      <c r="I28" s="99"/>
      <c r="J28" s="43"/>
      <c r="K28" s="37"/>
      <c r="L28" s="38"/>
      <c r="M28" s="44" t="s">
        <v>397</v>
      </c>
      <c r="N28" s="45" t="s">
        <v>398</v>
      </c>
      <c r="O28" s="46">
        <v>1</v>
      </c>
      <c r="P28" s="35"/>
      <c r="R28" s="57"/>
      <c r="U28" s="57"/>
      <c r="V28" s="709"/>
      <c r="W28" s="704"/>
      <c r="X28" s="47">
        <f>ROUND((ROUND((ROUND((_11_A身体１．０*_11・２人),0)*(1+_11・A深夜)),0)*_11・初任),0)+ROUND((ROUND((ROUND((_11_B身体１．０＿１．５*_11・２人),0)*(1+_11・B早朝)),0)*_11・初任),0)+ROUND((ROUND((_11_C身体１．０＿１．５＿０．５*_11・２人),0)*_11・初任),0)</f>
        <v>785</v>
      </c>
      <c r="Y28" s="48"/>
    </row>
    <row r="29" spans="1:25" ht="16.5" customHeight="1" x14ac:dyDescent="0.15">
      <c r="A29" s="41">
        <v>11</v>
      </c>
      <c r="B29" s="41" t="s">
        <v>2022</v>
      </c>
      <c r="C29" s="74" t="s">
        <v>2023</v>
      </c>
      <c r="D29" s="72"/>
      <c r="E29" s="99"/>
      <c r="F29" s="72"/>
      <c r="G29" s="99"/>
      <c r="H29" s="72"/>
      <c r="I29" s="99"/>
      <c r="J29" s="705" t="s">
        <v>400</v>
      </c>
      <c r="K29" s="49" t="s">
        <v>398</v>
      </c>
      <c r="L29" s="50">
        <v>0.7</v>
      </c>
      <c r="M29" s="44"/>
      <c r="N29" s="45"/>
      <c r="O29" s="46"/>
      <c r="P29" s="35"/>
      <c r="R29" s="57"/>
      <c r="U29" s="57"/>
      <c r="V29" s="709"/>
      <c r="W29" s="704"/>
      <c r="X29" s="47">
        <f>ROUND((ROUND((ROUND((_11_A身体１．０*_11・基礎１),0)*(1+_11・A深夜)),0)*_11・初任),0)+ROUND((ROUND((ROUND((_11_B身体１．０＿１．５*_11・基礎１),0)*(1+_11・B早朝)),0)*_11・初任),0)+ROUND((ROUND((_11_C身体１．０＿１．５＿０．５*_11・基礎１),0)*_11・初任),0)</f>
        <v>550</v>
      </c>
      <c r="Y29" s="48"/>
    </row>
    <row r="30" spans="1:25" ht="16.5" customHeight="1" x14ac:dyDescent="0.15">
      <c r="A30" s="41">
        <v>11</v>
      </c>
      <c r="B30" s="41" t="s">
        <v>2024</v>
      </c>
      <c r="C30" s="74" t="s">
        <v>2025</v>
      </c>
      <c r="D30" s="72"/>
      <c r="E30" s="99"/>
      <c r="F30" s="72"/>
      <c r="G30" s="99"/>
      <c r="H30" s="72"/>
      <c r="I30" s="99"/>
      <c r="J30" s="711"/>
      <c r="K30" s="37"/>
      <c r="L30" s="38"/>
      <c r="M30" s="44" t="s">
        <v>397</v>
      </c>
      <c r="N30" s="45" t="s">
        <v>398</v>
      </c>
      <c r="O30" s="46">
        <v>1</v>
      </c>
      <c r="P30" s="35"/>
      <c r="R30" s="57"/>
      <c r="U30" s="57"/>
      <c r="V30" s="55" t="s">
        <v>398</v>
      </c>
      <c r="W30" s="38">
        <f>_11・初任</f>
        <v>0.7</v>
      </c>
      <c r="X30" s="47">
        <f>ROUND((ROUND((ROUND((ROUND((_11_A身体１．０*_11・基礎１),0)*_11・２人),0)*(1+_11・A深夜)),0)*_11・初任),0)+ROUND((ROUND((ROUND((ROUND((_11_B身体１．０＿１．５*_11・基礎１),0)*_11・２人),0)*(1+_11・B早朝)),0)*_11・初任),0)+ROUND((ROUND((ROUND((_11_C身体１．０＿１．５＿０．５*_11・基礎１),0)*_11・２人),0)*_11・初任),0)</f>
        <v>550</v>
      </c>
      <c r="Y30" s="48"/>
    </row>
    <row r="31" spans="1:25" ht="16.5" customHeight="1" x14ac:dyDescent="0.15">
      <c r="A31" s="41">
        <v>11</v>
      </c>
      <c r="B31" s="41">
        <v>1619</v>
      </c>
      <c r="C31" s="74" t="s">
        <v>2026</v>
      </c>
      <c r="D31" s="707" t="s">
        <v>2027</v>
      </c>
      <c r="E31" s="717"/>
      <c r="F31" s="707" t="s">
        <v>2028</v>
      </c>
      <c r="G31" s="717"/>
      <c r="H31" s="707" t="s">
        <v>1226</v>
      </c>
      <c r="I31" s="717"/>
      <c r="J31" s="53"/>
      <c r="K31" s="49"/>
      <c r="L31" s="50"/>
      <c r="M31" s="44"/>
      <c r="N31" s="45"/>
      <c r="O31" s="46"/>
      <c r="P31" s="35"/>
      <c r="R31" s="57"/>
      <c r="U31" s="57"/>
      <c r="V31" s="53"/>
      <c r="W31" s="49"/>
      <c r="X31" s="47">
        <f>ROUND((_11_A身体０．５*(1+_11・A深夜)),0)+ROUND((_11_B身体０．５＿１．０*(1+_11・B早朝)),0)+_11_C身体０．５＿１．０＿０．５</f>
        <v>876</v>
      </c>
      <c r="Y31" s="48"/>
    </row>
    <row r="32" spans="1:25" ht="16.5" customHeight="1" x14ac:dyDescent="0.15">
      <c r="A32" s="41">
        <v>11</v>
      </c>
      <c r="B32" s="41">
        <v>1620</v>
      </c>
      <c r="C32" s="74" t="s">
        <v>2029</v>
      </c>
      <c r="D32" s="709"/>
      <c r="E32" s="718"/>
      <c r="F32" s="709"/>
      <c r="G32" s="718"/>
      <c r="H32" s="709"/>
      <c r="I32" s="718"/>
      <c r="J32" s="43"/>
      <c r="K32" s="37"/>
      <c r="L32" s="38"/>
      <c r="M32" s="44" t="s">
        <v>397</v>
      </c>
      <c r="N32" s="45" t="s">
        <v>398</v>
      </c>
      <c r="O32" s="46">
        <v>1</v>
      </c>
      <c r="P32" s="35"/>
      <c r="R32" s="57"/>
      <c r="U32" s="57"/>
      <c r="V32" s="35"/>
      <c r="X32" s="47">
        <f>ROUND((ROUND((_11_A身体０．５*_11・２人),0)*(1+_11・A深夜)),0)+ROUND((ROUND((_11_B身体０．５＿１．０*_11・２人),0)*(1+_11・B早朝)),0)+ROUND((_11_C身体０．５＿１．０＿０．５*_11・２人),0)</f>
        <v>876</v>
      </c>
      <c r="Y32" s="48"/>
    </row>
    <row r="33" spans="1:25" ht="16.5" customHeight="1" x14ac:dyDescent="0.15">
      <c r="A33" s="41">
        <v>11</v>
      </c>
      <c r="B33" s="41">
        <v>1621</v>
      </c>
      <c r="C33" s="74" t="s">
        <v>2030</v>
      </c>
      <c r="D33" s="709"/>
      <c r="E33" s="718"/>
      <c r="F33" s="709"/>
      <c r="G33" s="718"/>
      <c r="H33" s="709"/>
      <c r="I33" s="718"/>
      <c r="J33" s="705" t="s">
        <v>400</v>
      </c>
      <c r="K33" s="49" t="s">
        <v>398</v>
      </c>
      <c r="L33" s="50">
        <v>0.7</v>
      </c>
      <c r="M33" s="44"/>
      <c r="N33" s="45"/>
      <c r="O33" s="46"/>
      <c r="P33" s="35"/>
      <c r="R33" s="57"/>
      <c r="U33" s="57"/>
      <c r="V33" s="35"/>
      <c r="X33" s="47">
        <f>ROUND((ROUND((_11_A身体０．５*_11・基礎１),0)*(1+_11・A深夜)),0)+ROUND((ROUND((_11_B身体０．５＿１．０*_11・基礎１),0)*(1+_11・B早朝)),0)+ROUND((_11_C身体０．５＿１．０＿０．５*_11・基礎１),0)</f>
        <v>614</v>
      </c>
      <c r="Y33" s="48"/>
    </row>
    <row r="34" spans="1:25" ht="16.5" customHeight="1" x14ac:dyDescent="0.15">
      <c r="A34" s="41">
        <v>11</v>
      </c>
      <c r="B34" s="41">
        <v>1622</v>
      </c>
      <c r="C34" s="74" t="s">
        <v>2031</v>
      </c>
      <c r="D34" s="100">
        <f>_11_A身体０．５</f>
        <v>255</v>
      </c>
      <c r="E34" s="12" t="s">
        <v>392</v>
      </c>
      <c r="F34" s="100">
        <f>_11_B身体０．５＿１．０</f>
        <v>329</v>
      </c>
      <c r="G34" s="12" t="s">
        <v>392</v>
      </c>
      <c r="H34" s="100">
        <f>_11_C身体０．５＿１．０＿０．５</f>
        <v>82</v>
      </c>
      <c r="I34" s="12" t="s">
        <v>392</v>
      </c>
      <c r="J34" s="711"/>
      <c r="K34" s="37"/>
      <c r="L34" s="38"/>
      <c r="M34" s="44" t="s">
        <v>397</v>
      </c>
      <c r="N34" s="45" t="s">
        <v>398</v>
      </c>
      <c r="O34" s="46">
        <v>1</v>
      </c>
      <c r="P34" s="35"/>
      <c r="R34" s="57"/>
      <c r="U34" s="57"/>
      <c r="V34" s="43"/>
      <c r="W34" s="37"/>
      <c r="X34" s="47">
        <f>ROUND((ROUND((ROUND((_11_A身体０．５*_11・基礎１),0)*_11・２人),0)*(1+_11・A深夜)),0)+ROUND((ROUND((ROUND((_11_B身体０．５＿１．０*_11・基礎１),0)*_11・２人),0)*(1+_11・B早朝)),0)+ROUND((ROUND((_11_C身体０．５＿１．０＿０．５*_11・基礎１),0)*_11・２人),0)</f>
        <v>614</v>
      </c>
      <c r="Y34" s="48"/>
    </row>
    <row r="35" spans="1:25" ht="16.5" customHeight="1" x14ac:dyDescent="0.15">
      <c r="A35" s="41">
        <v>11</v>
      </c>
      <c r="B35" s="41" t="s">
        <v>2032</v>
      </c>
      <c r="C35" s="74" t="s">
        <v>2033</v>
      </c>
      <c r="D35" s="72"/>
      <c r="E35" s="99"/>
      <c r="F35" s="72"/>
      <c r="G35" s="99"/>
      <c r="H35" s="72"/>
      <c r="I35" s="99"/>
      <c r="J35" s="53"/>
      <c r="K35" s="49"/>
      <c r="L35" s="50"/>
      <c r="M35" s="44"/>
      <c r="N35" s="45"/>
      <c r="O35" s="46"/>
      <c r="P35" s="35"/>
      <c r="R35" s="57"/>
      <c r="U35" s="57"/>
      <c r="V35" s="707" t="s">
        <v>404</v>
      </c>
      <c r="W35" s="708"/>
      <c r="X35" s="47">
        <f>ROUND((ROUND((_11_A身体０．５*(1+_11・A深夜)),0)*_11・初任),0)+ROUND((ROUND((_11_B身体０．５＿１．０*(1+_11・B早朝)),0)*_11・初任),0)+ROUND((_11_C身体０．５＿１．０＿０．５*_11・初任),0)</f>
        <v>613</v>
      </c>
      <c r="Y35" s="48"/>
    </row>
    <row r="36" spans="1:25" ht="16.5" customHeight="1" x14ac:dyDescent="0.15">
      <c r="A36" s="41">
        <v>11</v>
      </c>
      <c r="B36" s="41" t="s">
        <v>2034</v>
      </c>
      <c r="C36" s="74" t="s">
        <v>2035</v>
      </c>
      <c r="D36" s="72"/>
      <c r="E36" s="99"/>
      <c r="F36" s="72"/>
      <c r="G36" s="99"/>
      <c r="H36" s="72"/>
      <c r="I36" s="99"/>
      <c r="J36" s="43"/>
      <c r="K36" s="37"/>
      <c r="L36" s="38"/>
      <c r="M36" s="44" t="s">
        <v>397</v>
      </c>
      <c r="N36" s="45" t="s">
        <v>398</v>
      </c>
      <c r="O36" s="46">
        <v>1</v>
      </c>
      <c r="P36" s="35"/>
      <c r="R36" s="57"/>
      <c r="U36" s="57"/>
      <c r="V36" s="709"/>
      <c r="W36" s="704"/>
      <c r="X36" s="47">
        <f>ROUND((ROUND((ROUND((_11_A身体０．５*_11・２人),0)*(1+_11・A深夜)),0)*_11・初任),0)+ROUND((ROUND((ROUND((_11_B身体０．５＿１．０*_11・２人),0)*(1+_11・B早朝)),0)*_11・初任),0)+ROUND((ROUND((_11_C身体０．５＿１．０＿０．５*_11・２人),0)*_11・初任),0)</f>
        <v>613</v>
      </c>
      <c r="Y36" s="48"/>
    </row>
    <row r="37" spans="1:25" ht="16.5" customHeight="1" x14ac:dyDescent="0.15">
      <c r="A37" s="41">
        <v>11</v>
      </c>
      <c r="B37" s="41" t="s">
        <v>2036</v>
      </c>
      <c r="C37" s="74" t="s">
        <v>2037</v>
      </c>
      <c r="D37" s="72"/>
      <c r="E37" s="99"/>
      <c r="F37" s="72"/>
      <c r="G37" s="99"/>
      <c r="H37" s="72"/>
      <c r="I37" s="99"/>
      <c r="J37" s="705" t="s">
        <v>400</v>
      </c>
      <c r="K37" s="49" t="s">
        <v>398</v>
      </c>
      <c r="L37" s="50">
        <v>0.7</v>
      </c>
      <c r="M37" s="44"/>
      <c r="N37" s="45"/>
      <c r="O37" s="46"/>
      <c r="P37" s="35"/>
      <c r="R37" s="57"/>
      <c r="U37" s="57"/>
      <c r="V37" s="709"/>
      <c r="W37" s="704"/>
      <c r="X37" s="47">
        <f>ROUND((ROUND((ROUND((_11_A身体０．５*_11・基礎１),0)*(1+_11・A深夜)),0)*_11・初任),0)+ROUND((ROUND((ROUND((_11_B身体０．５＿１．０*_11・基礎１),0)*(1+_11・B早朝)),0)*_11・初任),0)+ROUND((ROUND((_11_C身体０．５＿１．０＿０．５*_11・基礎１),0)*_11・初任),0)</f>
        <v>430</v>
      </c>
      <c r="Y37" s="48"/>
    </row>
    <row r="38" spans="1:25" ht="16.5" customHeight="1" x14ac:dyDescent="0.15">
      <c r="A38" s="41">
        <v>11</v>
      </c>
      <c r="B38" s="41" t="s">
        <v>2038</v>
      </c>
      <c r="C38" s="74" t="s">
        <v>2039</v>
      </c>
      <c r="D38" s="72"/>
      <c r="E38" s="99"/>
      <c r="F38" s="72"/>
      <c r="G38" s="99"/>
      <c r="H38" s="72"/>
      <c r="I38" s="99"/>
      <c r="J38" s="711"/>
      <c r="K38" s="37"/>
      <c r="L38" s="38"/>
      <c r="M38" s="44" t="s">
        <v>397</v>
      </c>
      <c r="N38" s="45" t="s">
        <v>398</v>
      </c>
      <c r="O38" s="46">
        <v>1</v>
      </c>
      <c r="P38" s="35"/>
      <c r="R38" s="57"/>
      <c r="U38" s="57"/>
      <c r="V38" s="55" t="s">
        <v>398</v>
      </c>
      <c r="W38" s="38">
        <f>_11・初任</f>
        <v>0.7</v>
      </c>
      <c r="X38" s="47">
        <f>ROUND((ROUND((ROUND((ROUND((_11_A身体０．５*_11・基礎１),0)*_11・２人),0)*(1+_11・A深夜)),0)*_11・初任),0)+ROUND((ROUND((ROUND((ROUND((_11_B身体０．５＿１．０*_11・基礎１),0)*_11・２人),0)*(1+_11・B早朝)),0)*_11・初任),0)+ROUND((ROUND((ROUND((_11_C身体０．５＿１．０＿０．５*_11・基礎１),0)*_11・２人),0)*_11・初任),0)</f>
        <v>430</v>
      </c>
      <c r="Y38" s="48"/>
    </row>
    <row r="39" spans="1:25" ht="16.5" customHeight="1" x14ac:dyDescent="0.15">
      <c r="A39" s="41">
        <v>11</v>
      </c>
      <c r="B39" s="41">
        <v>1623</v>
      </c>
      <c r="C39" s="74" t="s">
        <v>2040</v>
      </c>
      <c r="D39" s="132"/>
      <c r="E39" s="106"/>
      <c r="F39" s="132"/>
      <c r="G39" s="106"/>
      <c r="H39" s="707" t="s">
        <v>1304</v>
      </c>
      <c r="I39" s="717"/>
      <c r="J39" s="53"/>
      <c r="K39" s="49"/>
      <c r="L39" s="50"/>
      <c r="M39" s="44"/>
      <c r="N39" s="45"/>
      <c r="O39" s="46"/>
      <c r="P39" s="35"/>
      <c r="R39" s="57"/>
      <c r="U39" s="57"/>
      <c r="V39" s="53"/>
      <c r="W39" s="49"/>
      <c r="X39" s="47">
        <f>ROUND((_11_A身体０．５*(1+_11・A深夜)),0)+ROUND((_11_B身体０．５＿１．０*(1+_11・B早朝)),0)+_11_C身体０．５＿１．０＿１．０</f>
        <v>960</v>
      </c>
      <c r="Y39" s="48"/>
    </row>
    <row r="40" spans="1:25" ht="16.5" customHeight="1" x14ac:dyDescent="0.15">
      <c r="A40" s="41">
        <v>11</v>
      </c>
      <c r="B40" s="41">
        <v>1624</v>
      </c>
      <c r="C40" s="74" t="s">
        <v>2041</v>
      </c>
      <c r="D40" s="132"/>
      <c r="E40" s="106"/>
      <c r="F40" s="132"/>
      <c r="G40" s="106"/>
      <c r="H40" s="709"/>
      <c r="I40" s="718"/>
      <c r="J40" s="43"/>
      <c r="K40" s="37"/>
      <c r="L40" s="38"/>
      <c r="M40" s="44" t="s">
        <v>397</v>
      </c>
      <c r="N40" s="45" t="s">
        <v>398</v>
      </c>
      <c r="O40" s="46">
        <v>1</v>
      </c>
      <c r="P40" s="35"/>
      <c r="R40" s="57"/>
      <c r="U40" s="57"/>
      <c r="V40" s="35"/>
      <c r="X40" s="47">
        <f>ROUND((ROUND((_11_A身体０．５*_11・２人),0)*(1+_11・A深夜)),0)+ROUND((ROUND((_11_B身体０．５＿１．０*_11・２人),0)*(1+_11・B早朝)),0)+ROUND((_11_C身体０．５＿１．０＿１．０*_11・２人),0)</f>
        <v>960</v>
      </c>
      <c r="Y40" s="48"/>
    </row>
    <row r="41" spans="1:25" ht="16.5" customHeight="1" x14ac:dyDescent="0.15">
      <c r="A41" s="41">
        <v>11</v>
      </c>
      <c r="B41" s="41">
        <v>1625</v>
      </c>
      <c r="C41" s="74" t="s">
        <v>2042</v>
      </c>
      <c r="D41" s="132"/>
      <c r="E41" s="106"/>
      <c r="F41" s="132"/>
      <c r="G41" s="106"/>
      <c r="H41" s="709"/>
      <c r="I41" s="718"/>
      <c r="J41" s="705" t="s">
        <v>400</v>
      </c>
      <c r="K41" s="49" t="s">
        <v>398</v>
      </c>
      <c r="L41" s="50">
        <v>0.7</v>
      </c>
      <c r="M41" s="44"/>
      <c r="N41" s="45"/>
      <c r="O41" s="46"/>
      <c r="P41" s="35"/>
      <c r="R41" s="57"/>
      <c r="U41" s="57"/>
      <c r="V41" s="35"/>
      <c r="X41" s="47">
        <f>ROUND((ROUND((_11_A身体０．５*_11・基礎１),0)*(1+_11・A深夜)),0)+ROUND((ROUND((_11_B身体０．５＿１．０*_11・基礎１),0)*(1+_11・B早朝)),0)+ROUND((_11_C身体０．５＿１．０＿１．０*_11・基礎１),0)</f>
        <v>673</v>
      </c>
      <c r="Y41" s="48"/>
    </row>
    <row r="42" spans="1:25" ht="16.5" customHeight="1" x14ac:dyDescent="0.15">
      <c r="A42" s="41">
        <v>11</v>
      </c>
      <c r="B42" s="41">
        <v>1626</v>
      </c>
      <c r="C42" s="74" t="s">
        <v>2043</v>
      </c>
      <c r="D42" s="141"/>
      <c r="E42" s="57"/>
      <c r="F42" s="141"/>
      <c r="G42" s="57"/>
      <c r="H42" s="100">
        <f>_11_C身体０．５＿１．０＿１．０</f>
        <v>166</v>
      </c>
      <c r="I42" s="12" t="s">
        <v>392</v>
      </c>
      <c r="J42" s="711"/>
      <c r="K42" s="37"/>
      <c r="L42" s="38"/>
      <c r="M42" s="44" t="s">
        <v>397</v>
      </c>
      <c r="N42" s="45" t="s">
        <v>398</v>
      </c>
      <c r="O42" s="46">
        <v>1</v>
      </c>
      <c r="P42" s="35"/>
      <c r="R42" s="57"/>
      <c r="U42" s="57"/>
      <c r="V42" s="43"/>
      <c r="W42" s="37"/>
      <c r="X42" s="47">
        <f>ROUND((ROUND((ROUND((_11_A身体０．５*_11・基礎１),0)*_11・２人),0)*(1+_11・A深夜)),0)+ROUND((ROUND((ROUND((_11_B身体０．５＿１．０*_11・基礎１),0)*_11・２人),0)*(1+_11・B早朝)),0)+ROUND((ROUND((_11_C身体０．５＿１．０＿１．０*_11・基礎１),0)*_11・２人),0)</f>
        <v>673</v>
      </c>
      <c r="Y42" s="48"/>
    </row>
    <row r="43" spans="1:25" ht="16.5" customHeight="1" x14ac:dyDescent="0.15">
      <c r="A43" s="41">
        <v>11</v>
      </c>
      <c r="B43" s="41" t="s">
        <v>2044</v>
      </c>
      <c r="C43" s="74" t="s">
        <v>2045</v>
      </c>
      <c r="D43" s="72"/>
      <c r="E43" s="99"/>
      <c r="F43" s="72"/>
      <c r="G43" s="99"/>
      <c r="H43" s="72"/>
      <c r="I43" s="99"/>
      <c r="J43" s="53"/>
      <c r="K43" s="49"/>
      <c r="L43" s="50"/>
      <c r="M43" s="44"/>
      <c r="N43" s="45"/>
      <c r="O43" s="46"/>
      <c r="P43" s="35"/>
      <c r="R43" s="57"/>
      <c r="U43" s="57"/>
      <c r="V43" s="707" t="s">
        <v>404</v>
      </c>
      <c r="W43" s="708"/>
      <c r="X43" s="47">
        <f>ROUND((ROUND((_11_A身体０．５*(1+_11・A深夜)),0)*_11・初任),0)+ROUND((ROUND((_11_B身体０．５＿１．０*(1+_11・B早朝)),0)*_11・初任),0)+ROUND((_11_C身体０．５＿１．０＿１．０*_11・初任),0)</f>
        <v>672</v>
      </c>
      <c r="Y43" s="48"/>
    </row>
    <row r="44" spans="1:25" ht="16.5" customHeight="1" x14ac:dyDescent="0.15">
      <c r="A44" s="41">
        <v>11</v>
      </c>
      <c r="B44" s="41" t="s">
        <v>2046</v>
      </c>
      <c r="C44" s="74" t="s">
        <v>2047</v>
      </c>
      <c r="D44" s="72"/>
      <c r="E44" s="99"/>
      <c r="F44" s="72"/>
      <c r="G44" s="99"/>
      <c r="H44" s="72"/>
      <c r="I44" s="99"/>
      <c r="J44" s="43"/>
      <c r="K44" s="37"/>
      <c r="L44" s="38"/>
      <c r="M44" s="44" t="s">
        <v>397</v>
      </c>
      <c r="N44" s="45" t="s">
        <v>398</v>
      </c>
      <c r="O44" s="46">
        <v>1</v>
      </c>
      <c r="P44" s="35"/>
      <c r="R44" s="57"/>
      <c r="U44" s="57"/>
      <c r="V44" s="709"/>
      <c r="W44" s="704"/>
      <c r="X44" s="47">
        <f>ROUND((ROUND((ROUND((_11_A身体０．５*_11・２人),0)*(1+_11・A深夜)),0)*_11・初任),0)+ROUND((ROUND((ROUND((_11_B身体０．５＿１．０*_11・２人),0)*(1+_11・B早朝)),0)*_11・初任),0)+ROUND((ROUND((_11_C身体０．５＿１．０＿１．０*_11・２人),0)*_11・初任),0)</f>
        <v>672</v>
      </c>
      <c r="Y44" s="48"/>
    </row>
    <row r="45" spans="1:25" ht="16.5" customHeight="1" x14ac:dyDescent="0.15">
      <c r="A45" s="41">
        <v>11</v>
      </c>
      <c r="B45" s="41" t="s">
        <v>2048</v>
      </c>
      <c r="C45" s="74" t="s">
        <v>2049</v>
      </c>
      <c r="D45" s="72"/>
      <c r="E45" s="99"/>
      <c r="F45" s="72"/>
      <c r="G45" s="99"/>
      <c r="H45" s="72"/>
      <c r="I45" s="99"/>
      <c r="J45" s="705" t="s">
        <v>400</v>
      </c>
      <c r="K45" s="49" t="s">
        <v>398</v>
      </c>
      <c r="L45" s="50">
        <v>0.7</v>
      </c>
      <c r="M45" s="44"/>
      <c r="N45" s="45"/>
      <c r="O45" s="46"/>
      <c r="P45" s="35"/>
      <c r="R45" s="57"/>
      <c r="U45" s="57"/>
      <c r="V45" s="709"/>
      <c r="W45" s="704"/>
      <c r="X45" s="47">
        <f>ROUND((ROUND((ROUND((_11_A身体０．５*_11・基礎１),0)*(1+_11・A深夜)),0)*_11・初任),0)+ROUND((ROUND((ROUND((_11_B身体０．５＿１．０*_11・基礎１),0)*(1+_11・B早朝)),0)*_11・初任),0)+ROUND((ROUND((_11_C身体０．５＿１．０＿１．０*_11・基礎１),0)*_11・初任),0)</f>
        <v>471</v>
      </c>
      <c r="Y45" s="48"/>
    </row>
    <row r="46" spans="1:25" ht="16.5" customHeight="1" x14ac:dyDescent="0.15">
      <c r="A46" s="41">
        <v>11</v>
      </c>
      <c r="B46" s="41" t="s">
        <v>2050</v>
      </c>
      <c r="C46" s="74" t="s">
        <v>2051</v>
      </c>
      <c r="D46" s="72"/>
      <c r="E46" s="99"/>
      <c r="F46" s="72"/>
      <c r="G46" s="99"/>
      <c r="H46" s="72"/>
      <c r="I46" s="99"/>
      <c r="J46" s="711"/>
      <c r="K46" s="37"/>
      <c r="L46" s="38"/>
      <c r="M46" s="44" t="s">
        <v>397</v>
      </c>
      <c r="N46" s="45" t="s">
        <v>398</v>
      </c>
      <c r="O46" s="46">
        <v>1</v>
      </c>
      <c r="P46" s="35"/>
      <c r="R46" s="57"/>
      <c r="U46" s="57"/>
      <c r="V46" s="55" t="s">
        <v>398</v>
      </c>
      <c r="W46" s="38">
        <f>_11・初任</f>
        <v>0.7</v>
      </c>
      <c r="X46" s="47">
        <f>ROUND((ROUND((ROUND((ROUND((_11_A身体０．５*_11・基礎１),0)*_11・２人),0)*(1+_11・A深夜)),0)*_11・初任),0)+ROUND((ROUND((ROUND((ROUND((_11_B身体０．５＿１．０*_11・基礎１),0)*_11・２人),0)*(1+_11・B早朝)),0)*_11・初任),0)+ROUND((ROUND((ROUND((_11_C身体０．５＿１．０＿１．０*_11・基礎１),0)*_11・２人),0)*_11・初任),0)</f>
        <v>471</v>
      </c>
      <c r="Y46" s="48"/>
    </row>
    <row r="47" spans="1:25" ht="16.5" customHeight="1" x14ac:dyDescent="0.15">
      <c r="A47" s="41">
        <v>11</v>
      </c>
      <c r="B47" s="41">
        <v>1627</v>
      </c>
      <c r="C47" s="74" t="s">
        <v>2052</v>
      </c>
      <c r="D47" s="72"/>
      <c r="E47" s="99"/>
      <c r="F47" s="72"/>
      <c r="G47" s="99"/>
      <c r="H47" s="707" t="s">
        <v>1317</v>
      </c>
      <c r="I47" s="717"/>
      <c r="J47" s="53"/>
      <c r="K47" s="49"/>
      <c r="L47" s="50"/>
      <c r="M47" s="44"/>
      <c r="N47" s="45"/>
      <c r="O47" s="46"/>
      <c r="P47" s="35"/>
      <c r="R47" s="57"/>
      <c r="U47" s="57"/>
      <c r="V47" s="53"/>
      <c r="W47" s="49"/>
      <c r="X47" s="47">
        <f>ROUND((_11_A身体０．５*(1+_11・A深夜)),0)+ROUND((_11_B身体０．５＿１．０*(1+_11・B早朝)),0)+_11_C身体０．５＿１．０＿１．５</f>
        <v>1043</v>
      </c>
      <c r="Y47" s="48"/>
    </row>
    <row r="48" spans="1:25" ht="16.5" customHeight="1" x14ac:dyDescent="0.15">
      <c r="A48" s="41">
        <v>11</v>
      </c>
      <c r="B48" s="41">
        <v>1628</v>
      </c>
      <c r="C48" s="74" t="s">
        <v>2053</v>
      </c>
      <c r="D48" s="72"/>
      <c r="E48" s="99"/>
      <c r="F48" s="72"/>
      <c r="G48" s="99"/>
      <c r="H48" s="709"/>
      <c r="I48" s="718"/>
      <c r="J48" s="43"/>
      <c r="K48" s="37"/>
      <c r="L48" s="38"/>
      <c r="M48" s="44" t="s">
        <v>397</v>
      </c>
      <c r="N48" s="45" t="s">
        <v>398</v>
      </c>
      <c r="O48" s="46">
        <v>1</v>
      </c>
      <c r="P48" s="35"/>
      <c r="R48" s="57"/>
      <c r="U48" s="57"/>
      <c r="V48" s="35"/>
      <c r="X48" s="47">
        <f>ROUND((ROUND((_11_A身体０．５*_11・２人),0)*(1+_11・A深夜)),0)+ROUND((ROUND((_11_B身体０．５＿１．０*_11・２人),0)*(1+_11・B早朝)),0)+ROUND((_11_C身体０．５＿１．０＿１．５*_11・２人),0)</f>
        <v>1043</v>
      </c>
      <c r="Y48" s="48"/>
    </row>
    <row r="49" spans="1:25" ht="16.5" customHeight="1" x14ac:dyDescent="0.15">
      <c r="A49" s="41">
        <v>11</v>
      </c>
      <c r="B49" s="41">
        <v>1629</v>
      </c>
      <c r="C49" s="74" t="s">
        <v>2054</v>
      </c>
      <c r="D49" s="72"/>
      <c r="E49" s="99"/>
      <c r="F49" s="72"/>
      <c r="G49" s="99"/>
      <c r="H49" s="709"/>
      <c r="I49" s="718"/>
      <c r="J49" s="705" t="s">
        <v>400</v>
      </c>
      <c r="K49" s="49" t="s">
        <v>398</v>
      </c>
      <c r="L49" s="50">
        <v>0.7</v>
      </c>
      <c r="M49" s="44"/>
      <c r="N49" s="45"/>
      <c r="O49" s="46"/>
      <c r="P49" s="35"/>
      <c r="R49" s="57"/>
      <c r="U49" s="57"/>
      <c r="V49" s="35"/>
      <c r="X49" s="47">
        <f>ROUND((ROUND((_11_A身体０．５*_11・基礎１),0)*(1+_11・A深夜)),0)+ROUND((ROUND((_11_B身体０．５＿１．０*_11・基礎１),0)*(1+_11・B早朝)),0)+ROUND((_11_C身体０．５＿１．０＿１．５*_11・基礎１),0)</f>
        <v>731</v>
      </c>
      <c r="Y49" s="48"/>
    </row>
    <row r="50" spans="1:25" ht="16.5" customHeight="1" x14ac:dyDescent="0.15">
      <c r="A50" s="41">
        <v>11</v>
      </c>
      <c r="B50" s="41">
        <v>1630</v>
      </c>
      <c r="C50" s="74" t="s">
        <v>2055</v>
      </c>
      <c r="D50" s="72"/>
      <c r="E50" s="99"/>
      <c r="F50" s="72"/>
      <c r="G50" s="99"/>
      <c r="H50" s="100">
        <f>_11_C身体０．５＿１．０＿１．５</f>
        <v>249</v>
      </c>
      <c r="I50" s="12" t="s">
        <v>392</v>
      </c>
      <c r="J50" s="711"/>
      <c r="K50" s="37"/>
      <c r="L50" s="38"/>
      <c r="M50" s="44" t="s">
        <v>397</v>
      </c>
      <c r="N50" s="45" t="s">
        <v>398</v>
      </c>
      <c r="O50" s="46">
        <v>1</v>
      </c>
      <c r="P50" s="35"/>
      <c r="R50" s="57"/>
      <c r="U50" s="57"/>
      <c r="V50" s="43"/>
      <c r="W50" s="37"/>
      <c r="X50" s="47">
        <f>ROUND((ROUND((ROUND((_11_A身体０．５*_11・基礎１),0)*_11・２人),0)*(1+_11・A深夜)),0)+ROUND((ROUND((ROUND((_11_B身体０．５＿１．０*_11・基礎１),0)*_11・２人),0)*(1+_11・B早朝)),0)+ROUND((ROUND((_11_C身体０．５＿１．０＿１．５*_11・基礎１),0)*_11・２人),0)</f>
        <v>731</v>
      </c>
      <c r="Y50" s="48"/>
    </row>
    <row r="51" spans="1:25" ht="16.5" customHeight="1" x14ac:dyDescent="0.15">
      <c r="A51" s="41">
        <v>11</v>
      </c>
      <c r="B51" s="41" t="s">
        <v>2056</v>
      </c>
      <c r="C51" s="74" t="s">
        <v>2057</v>
      </c>
      <c r="D51" s="72"/>
      <c r="E51" s="99"/>
      <c r="F51" s="72"/>
      <c r="G51" s="99"/>
      <c r="H51" s="72"/>
      <c r="I51" s="99"/>
      <c r="J51" s="53"/>
      <c r="K51" s="49"/>
      <c r="L51" s="50"/>
      <c r="M51" s="44"/>
      <c r="N51" s="45"/>
      <c r="O51" s="46"/>
      <c r="P51" s="35"/>
      <c r="R51" s="57"/>
      <c r="U51" s="57"/>
      <c r="V51" s="707" t="s">
        <v>404</v>
      </c>
      <c r="W51" s="708"/>
      <c r="X51" s="47">
        <f>ROUND((ROUND((_11_A身体０．５*(1+_11・A深夜)),0)*_11・初任),0)+ROUND((ROUND((_11_B身体０．５＿１．０*(1+_11・B早朝)),0)*_11・初任),0)+ROUND((_11_C身体０．５＿１．０＿１．５*_11・初任),0)</f>
        <v>730</v>
      </c>
      <c r="Y51" s="48"/>
    </row>
    <row r="52" spans="1:25" ht="16.5" customHeight="1" x14ac:dyDescent="0.15">
      <c r="A52" s="41">
        <v>11</v>
      </c>
      <c r="B52" s="41" t="s">
        <v>2058</v>
      </c>
      <c r="C52" s="74" t="s">
        <v>2059</v>
      </c>
      <c r="D52" s="72"/>
      <c r="E52" s="99"/>
      <c r="F52" s="72"/>
      <c r="G52" s="99"/>
      <c r="H52" s="72"/>
      <c r="I52" s="99"/>
      <c r="J52" s="43"/>
      <c r="K52" s="37"/>
      <c r="L52" s="38"/>
      <c r="M52" s="44" t="s">
        <v>397</v>
      </c>
      <c r="N52" s="45" t="s">
        <v>398</v>
      </c>
      <c r="O52" s="46">
        <v>1</v>
      </c>
      <c r="P52" s="35"/>
      <c r="R52" s="57"/>
      <c r="U52" s="57"/>
      <c r="V52" s="709"/>
      <c r="W52" s="704"/>
      <c r="X52" s="47">
        <f>ROUND((ROUND((ROUND((_11_A身体０．５*_11・２人),0)*(1+_11・A深夜)),0)*_11・初任),0)+ROUND((ROUND((ROUND((_11_B身体０．５＿１．０*_11・２人),0)*(1+_11・B早朝)),0)*_11・初任),0)+ROUND((ROUND((_11_C身体０．５＿１．０＿１．５*_11・２人),0)*_11・初任),0)</f>
        <v>730</v>
      </c>
      <c r="Y52" s="48"/>
    </row>
    <row r="53" spans="1:25" ht="16.5" customHeight="1" x14ac:dyDescent="0.15">
      <c r="A53" s="41">
        <v>11</v>
      </c>
      <c r="B53" s="41" t="s">
        <v>2060</v>
      </c>
      <c r="C53" s="74" t="s">
        <v>2061</v>
      </c>
      <c r="D53" s="72"/>
      <c r="E53" s="99"/>
      <c r="F53" s="72"/>
      <c r="G53" s="99"/>
      <c r="H53" s="72"/>
      <c r="I53" s="99"/>
      <c r="J53" s="705" t="s">
        <v>400</v>
      </c>
      <c r="K53" s="49" t="s">
        <v>398</v>
      </c>
      <c r="L53" s="50">
        <v>0.7</v>
      </c>
      <c r="M53" s="44"/>
      <c r="N53" s="45"/>
      <c r="O53" s="46"/>
      <c r="P53" s="35"/>
      <c r="R53" s="57"/>
      <c r="U53" s="57"/>
      <c r="V53" s="709"/>
      <c r="W53" s="704"/>
      <c r="X53" s="47">
        <f>ROUND((ROUND((ROUND((_11_A身体０．５*_11・基礎１),0)*(1+_11・A深夜)),0)*_11・初任),0)+ROUND((ROUND((ROUND((_11_B身体０．５＿１．０*_11・基礎１),0)*(1+_11・B早朝)),0)*_11・初任),0)+ROUND((ROUND((_11_C身体０．５＿１．０＿１．５*_11・基礎１),0)*_11・初任),0)</f>
        <v>512</v>
      </c>
      <c r="Y53" s="48"/>
    </row>
    <row r="54" spans="1:25" ht="16.5" customHeight="1" x14ac:dyDescent="0.15">
      <c r="A54" s="41">
        <v>11</v>
      </c>
      <c r="B54" s="41" t="s">
        <v>2062</v>
      </c>
      <c r="C54" s="74" t="s">
        <v>2063</v>
      </c>
      <c r="D54" s="72"/>
      <c r="E54" s="99"/>
      <c r="F54" s="72"/>
      <c r="G54" s="99"/>
      <c r="H54" s="72"/>
      <c r="I54" s="99"/>
      <c r="J54" s="711"/>
      <c r="K54" s="37"/>
      <c r="L54" s="38"/>
      <c r="M54" s="44" t="s">
        <v>397</v>
      </c>
      <c r="N54" s="45" t="s">
        <v>398</v>
      </c>
      <c r="O54" s="46">
        <v>1</v>
      </c>
      <c r="P54" s="35"/>
      <c r="R54" s="57"/>
      <c r="U54" s="57"/>
      <c r="V54" s="55" t="s">
        <v>398</v>
      </c>
      <c r="W54" s="38">
        <f>_11・初任</f>
        <v>0.7</v>
      </c>
      <c r="X54" s="47">
        <f>ROUND((ROUND((ROUND((ROUND((_11_A身体０．５*_11・基礎１),0)*_11・２人),0)*(1+_11・A深夜)),0)*_11・初任),0)+ROUND((ROUND((ROUND((ROUND((_11_B身体０．５＿１．０*_11・基礎１),0)*_11・２人),0)*(1+_11・B早朝)),0)*_11・初任),0)+ROUND((ROUND((ROUND((_11_C身体０．５＿１．０＿１．５*_11・基礎１),0)*_11・２人),0)*_11・初任),0)</f>
        <v>512</v>
      </c>
      <c r="Y54" s="48"/>
    </row>
    <row r="55" spans="1:25" ht="16.5" customHeight="1" x14ac:dyDescent="0.15">
      <c r="A55" s="41">
        <v>11</v>
      </c>
      <c r="B55" s="41">
        <v>1631</v>
      </c>
      <c r="C55" s="74" t="s">
        <v>2064</v>
      </c>
      <c r="D55" s="707" t="s">
        <v>2065</v>
      </c>
      <c r="E55" s="717"/>
      <c r="F55" s="707" t="s">
        <v>2028</v>
      </c>
      <c r="G55" s="717"/>
      <c r="H55" s="707" t="s">
        <v>1226</v>
      </c>
      <c r="I55" s="717"/>
      <c r="J55" s="53"/>
      <c r="K55" s="49"/>
      <c r="L55" s="50"/>
      <c r="M55" s="44"/>
      <c r="N55" s="45"/>
      <c r="O55" s="46"/>
      <c r="P55" s="35"/>
      <c r="R55" s="57"/>
      <c r="U55" s="57"/>
      <c r="V55" s="53"/>
      <c r="W55" s="49"/>
      <c r="X55" s="47">
        <f>ROUND((_11_A身体１．０*(1+_11・A深夜)),0)+ROUND((_11_B身体１．０＿１．０*(1+_11・B早朝)),0)+_11_C身体１．０＿１．０＿０．５</f>
        <v>1017</v>
      </c>
      <c r="Y55" s="48"/>
    </row>
    <row r="56" spans="1:25" ht="16.5" customHeight="1" x14ac:dyDescent="0.15">
      <c r="A56" s="41">
        <v>11</v>
      </c>
      <c r="B56" s="41">
        <v>1632</v>
      </c>
      <c r="C56" s="74" t="s">
        <v>2066</v>
      </c>
      <c r="D56" s="709"/>
      <c r="E56" s="718"/>
      <c r="F56" s="709"/>
      <c r="G56" s="718"/>
      <c r="H56" s="709"/>
      <c r="I56" s="718"/>
      <c r="J56" s="43"/>
      <c r="K56" s="37"/>
      <c r="L56" s="38"/>
      <c r="M56" s="44" t="s">
        <v>397</v>
      </c>
      <c r="N56" s="45" t="s">
        <v>398</v>
      </c>
      <c r="O56" s="46">
        <v>1</v>
      </c>
      <c r="P56" s="35"/>
      <c r="R56" s="57"/>
      <c r="U56" s="57"/>
      <c r="V56" s="35"/>
      <c r="X56" s="47">
        <f>ROUND((ROUND((_11_A身体１．０*_11・２人),0)*(1+_11・A深夜)),0)+ROUND((ROUND((_11_B身体１．０＿１．０*_11・２人),0)*(1+_11・B早朝)),0)+ROUND((_11_C身体１．０＿１．０＿０．５*_11・２人),0)</f>
        <v>1017</v>
      </c>
      <c r="Y56" s="48"/>
    </row>
    <row r="57" spans="1:25" ht="16.5" customHeight="1" x14ac:dyDescent="0.15">
      <c r="A57" s="41">
        <v>11</v>
      </c>
      <c r="B57" s="41">
        <v>1633</v>
      </c>
      <c r="C57" s="74" t="s">
        <v>2067</v>
      </c>
      <c r="D57" s="709"/>
      <c r="E57" s="718"/>
      <c r="F57" s="709"/>
      <c r="G57" s="718"/>
      <c r="H57" s="709"/>
      <c r="I57" s="718"/>
      <c r="J57" s="705" t="s">
        <v>400</v>
      </c>
      <c r="K57" s="49" t="s">
        <v>398</v>
      </c>
      <c r="L57" s="50">
        <v>0.7</v>
      </c>
      <c r="M57" s="44"/>
      <c r="N57" s="45"/>
      <c r="O57" s="46"/>
      <c r="P57" s="35"/>
      <c r="R57" s="57"/>
      <c r="U57" s="57"/>
      <c r="V57" s="35"/>
      <c r="X57" s="47">
        <f>ROUND((ROUND((_11_A身体１．０*_11・基礎１),0)*(1+_11・A深夜)),0)+ROUND((ROUND((_11_B身体１．０＿１．０*_11・基礎１),0)*(1+_11・B早朝)),0)+ROUND((_11_C身体１．０＿１．０＿０．５*_11・基礎１),0)</f>
        <v>712</v>
      </c>
      <c r="Y57" s="48"/>
    </row>
    <row r="58" spans="1:25" ht="16.5" customHeight="1" x14ac:dyDescent="0.15">
      <c r="A58" s="41">
        <v>11</v>
      </c>
      <c r="B58" s="41">
        <v>1634</v>
      </c>
      <c r="C58" s="74" t="s">
        <v>2068</v>
      </c>
      <c r="D58" s="100">
        <f>_11_A身体１．０</f>
        <v>402</v>
      </c>
      <c r="E58" s="12" t="s">
        <v>392</v>
      </c>
      <c r="F58" s="100">
        <f>_11_B身体１．０＿１．０</f>
        <v>264</v>
      </c>
      <c r="G58" s="12" t="s">
        <v>392</v>
      </c>
      <c r="H58" s="100">
        <f>_11_C身体１．０＿１．０＿０．５</f>
        <v>84</v>
      </c>
      <c r="I58" s="12" t="s">
        <v>392</v>
      </c>
      <c r="J58" s="711"/>
      <c r="K58" s="37"/>
      <c r="L58" s="38"/>
      <c r="M58" s="44" t="s">
        <v>397</v>
      </c>
      <c r="N58" s="45" t="s">
        <v>398</v>
      </c>
      <c r="O58" s="46">
        <v>1</v>
      </c>
      <c r="P58" s="35"/>
      <c r="R58" s="57"/>
      <c r="U58" s="57"/>
      <c r="V58" s="43"/>
      <c r="W58" s="37"/>
      <c r="X58" s="47">
        <f>ROUND((ROUND((ROUND((_11_A身体１．０*_11・基礎１),0)*_11・２人),0)*(1+_11・A深夜)),0)+ROUND((ROUND((ROUND((_11_B身体１．０＿１．０*_11・基礎１),0)*_11・２人),0)*(1+_11・B早朝)),0)+ROUND((ROUND((_11_C身体１．０＿１．０＿０．５*_11・基礎１),0)*_11・２人),0)</f>
        <v>712</v>
      </c>
      <c r="Y58" s="48"/>
    </row>
    <row r="59" spans="1:25" ht="16.5" customHeight="1" x14ac:dyDescent="0.15">
      <c r="A59" s="41">
        <v>11</v>
      </c>
      <c r="B59" s="41" t="s">
        <v>2069</v>
      </c>
      <c r="C59" s="74" t="s">
        <v>2070</v>
      </c>
      <c r="D59" s="72"/>
      <c r="E59" s="99"/>
      <c r="F59" s="72"/>
      <c r="G59" s="99"/>
      <c r="H59" s="72"/>
      <c r="I59" s="99"/>
      <c r="J59" s="53"/>
      <c r="K59" s="49"/>
      <c r="L59" s="50"/>
      <c r="M59" s="44"/>
      <c r="N59" s="45"/>
      <c r="O59" s="46"/>
      <c r="P59" s="35"/>
      <c r="R59" s="57"/>
      <c r="U59" s="57"/>
      <c r="V59" s="707" t="s">
        <v>404</v>
      </c>
      <c r="W59" s="708"/>
      <c r="X59" s="47">
        <f>ROUND((ROUND((_11_A身体１．０*(1+_11・A深夜)),0)*_11・初任),0)+ROUND((ROUND((_11_B身体１．０＿１．０*(1+_11・B早朝)),0)*_11・初任),0)+ROUND((_11_C身体１．０＿１．０＿０．５*_11・初任),0)</f>
        <v>712</v>
      </c>
      <c r="Y59" s="48"/>
    </row>
    <row r="60" spans="1:25" ht="16.5" customHeight="1" x14ac:dyDescent="0.15">
      <c r="A60" s="41">
        <v>11</v>
      </c>
      <c r="B60" s="41" t="s">
        <v>2071</v>
      </c>
      <c r="C60" s="74" t="s">
        <v>2072</v>
      </c>
      <c r="D60" s="72"/>
      <c r="E60" s="99"/>
      <c r="F60" s="72"/>
      <c r="G60" s="99"/>
      <c r="H60" s="72"/>
      <c r="I60" s="99"/>
      <c r="J60" s="43"/>
      <c r="K60" s="37"/>
      <c r="L60" s="38"/>
      <c r="M60" s="44" t="s">
        <v>397</v>
      </c>
      <c r="N60" s="45" t="s">
        <v>398</v>
      </c>
      <c r="O60" s="46">
        <v>1</v>
      </c>
      <c r="P60" s="35"/>
      <c r="R60" s="57"/>
      <c r="U60" s="57"/>
      <c r="V60" s="709"/>
      <c r="W60" s="704"/>
      <c r="X60" s="47">
        <f>ROUND((ROUND((ROUND((_11_A身体１．０*_11・２人),0)*(1+_11・A深夜)),0)*_11・初任),0)+ROUND((ROUND((ROUND((_11_B身体１．０＿１．０*_11・２人),0)*(1+_11・B早朝)),0)*_11・初任),0)+ROUND((ROUND((_11_C身体１．０＿１．０＿０．５*_11・２人),0)*_11・初任),0)</f>
        <v>712</v>
      </c>
      <c r="Y60" s="48"/>
    </row>
    <row r="61" spans="1:25" ht="16.5" customHeight="1" x14ac:dyDescent="0.15">
      <c r="A61" s="41">
        <v>11</v>
      </c>
      <c r="B61" s="41" t="s">
        <v>2073</v>
      </c>
      <c r="C61" s="74" t="s">
        <v>2074</v>
      </c>
      <c r="D61" s="72"/>
      <c r="E61" s="99"/>
      <c r="F61" s="72"/>
      <c r="G61" s="99"/>
      <c r="H61" s="72"/>
      <c r="I61" s="99"/>
      <c r="J61" s="705" t="s">
        <v>400</v>
      </c>
      <c r="K61" s="49" t="s">
        <v>398</v>
      </c>
      <c r="L61" s="50">
        <v>0.7</v>
      </c>
      <c r="M61" s="44"/>
      <c r="N61" s="45"/>
      <c r="O61" s="46"/>
      <c r="P61" s="35"/>
      <c r="R61" s="57"/>
      <c r="U61" s="57"/>
      <c r="V61" s="709"/>
      <c r="W61" s="704"/>
      <c r="X61" s="47">
        <f>ROUND((ROUND((ROUND((_11_A身体１．０*_11・基礎１),0)*(1+_11・A深夜)),0)*_11・初任),0)+ROUND((ROUND((ROUND((_11_B身体１．０＿１．０*_11・基礎１),0)*(1+_11・B早朝)),0)*_11・初任),0)+ROUND((ROUND((_11_C身体１．０＿１．０＿０．５*_11・基礎１),0)*_11・初任),0)</f>
        <v>498</v>
      </c>
      <c r="Y61" s="48"/>
    </row>
    <row r="62" spans="1:25" ht="16.5" customHeight="1" x14ac:dyDescent="0.15">
      <c r="A62" s="41">
        <v>11</v>
      </c>
      <c r="B62" s="41" t="s">
        <v>2075</v>
      </c>
      <c r="C62" s="74" t="s">
        <v>2076</v>
      </c>
      <c r="D62" s="72"/>
      <c r="E62" s="99"/>
      <c r="F62" s="72"/>
      <c r="G62" s="99"/>
      <c r="H62" s="72"/>
      <c r="I62" s="99"/>
      <c r="J62" s="711"/>
      <c r="K62" s="37"/>
      <c r="L62" s="38"/>
      <c r="M62" s="44" t="s">
        <v>397</v>
      </c>
      <c r="N62" s="45" t="s">
        <v>398</v>
      </c>
      <c r="O62" s="46">
        <v>1</v>
      </c>
      <c r="P62" s="35"/>
      <c r="R62" s="57"/>
      <c r="U62" s="57"/>
      <c r="V62" s="55" t="s">
        <v>398</v>
      </c>
      <c r="W62" s="38">
        <f>_11・初任</f>
        <v>0.7</v>
      </c>
      <c r="X62" s="47">
        <f>ROUND((ROUND((ROUND((ROUND((_11_A身体１．０*_11・基礎１),0)*_11・２人),0)*(1+_11・A深夜)),0)*_11・初任),0)+ROUND((ROUND((ROUND((ROUND((_11_B身体１．０＿１．０*_11・基礎１),0)*_11・２人),0)*(1+_11・B早朝)),0)*_11・初任),0)+ROUND((ROUND((ROUND((_11_C身体１．０＿１．０＿０．５*_11・基礎１),0)*_11・２人),0)*_11・初任),0)</f>
        <v>498</v>
      </c>
      <c r="Y62" s="48"/>
    </row>
    <row r="63" spans="1:25" ht="16.5" customHeight="1" x14ac:dyDescent="0.15">
      <c r="A63" s="41">
        <v>11</v>
      </c>
      <c r="B63" s="41">
        <v>1635</v>
      </c>
      <c r="C63" s="74" t="s">
        <v>2077</v>
      </c>
      <c r="D63" s="72"/>
      <c r="E63" s="99"/>
      <c r="F63" s="72"/>
      <c r="G63" s="99"/>
      <c r="H63" s="707" t="s">
        <v>1304</v>
      </c>
      <c r="I63" s="717"/>
      <c r="J63" s="53"/>
      <c r="K63" s="49"/>
      <c r="L63" s="50"/>
      <c r="M63" s="44"/>
      <c r="N63" s="45"/>
      <c r="O63" s="46"/>
      <c r="P63" s="35"/>
      <c r="R63" s="57"/>
      <c r="U63" s="57"/>
      <c r="V63" s="53"/>
      <c r="W63" s="49"/>
      <c r="X63" s="47">
        <f>ROUND((_11_A身体１．０*(1+_11・A深夜)),0)+ROUND((_11_B身体１．０＿１．０*(1+_11・B早朝)),0)+_11_C身体１．０＿１．０＿１．０</f>
        <v>1100</v>
      </c>
      <c r="Y63" s="48"/>
    </row>
    <row r="64" spans="1:25" ht="16.5" customHeight="1" x14ac:dyDescent="0.15">
      <c r="A64" s="41">
        <v>11</v>
      </c>
      <c r="B64" s="41">
        <v>1636</v>
      </c>
      <c r="C64" s="74" t="s">
        <v>2078</v>
      </c>
      <c r="D64" s="72"/>
      <c r="E64" s="99"/>
      <c r="F64" s="72"/>
      <c r="G64" s="99"/>
      <c r="H64" s="709"/>
      <c r="I64" s="718"/>
      <c r="J64" s="43"/>
      <c r="K64" s="37"/>
      <c r="L64" s="38"/>
      <c r="M64" s="44" t="s">
        <v>397</v>
      </c>
      <c r="N64" s="45" t="s">
        <v>398</v>
      </c>
      <c r="O64" s="46">
        <v>1</v>
      </c>
      <c r="P64" s="35"/>
      <c r="R64" s="57"/>
      <c r="U64" s="57"/>
      <c r="V64" s="35"/>
      <c r="X64" s="47">
        <f>ROUND((ROUND((_11_A身体１．０*_11・２人),0)*(1+_11・A深夜)),0)+ROUND((ROUND((_11_B身体１．０＿１．０*_11・２人),0)*(1+_11・B早朝)),0)+ROUND((_11_C身体１．０＿１．０＿１．０*_11・２人),0)</f>
        <v>1100</v>
      </c>
      <c r="Y64" s="48"/>
    </row>
    <row r="65" spans="1:25" ht="16.5" customHeight="1" x14ac:dyDescent="0.15">
      <c r="A65" s="41">
        <v>11</v>
      </c>
      <c r="B65" s="41">
        <v>1637</v>
      </c>
      <c r="C65" s="74" t="s">
        <v>2079</v>
      </c>
      <c r="D65" s="72"/>
      <c r="E65" s="99"/>
      <c r="F65" s="72"/>
      <c r="G65" s="99"/>
      <c r="H65" s="709"/>
      <c r="I65" s="718"/>
      <c r="J65" s="705" t="s">
        <v>400</v>
      </c>
      <c r="K65" s="49" t="s">
        <v>398</v>
      </c>
      <c r="L65" s="50">
        <v>0.7</v>
      </c>
      <c r="M65" s="44"/>
      <c r="N65" s="45"/>
      <c r="O65" s="46"/>
      <c r="P65" s="35"/>
      <c r="R65" s="57"/>
      <c r="U65" s="57"/>
      <c r="V65" s="35"/>
      <c r="X65" s="47">
        <f>ROUND((ROUND((_11_A身体１．０*_11・基礎１),0)*(1+_11・A深夜)),0)+ROUND((ROUND((_11_B身体１．０＿１．０*_11・基礎１),0)*(1+_11・B早朝)),0)+ROUND((_11_C身体１．０＿１．０＿１．０*_11・基礎１),0)</f>
        <v>770</v>
      </c>
      <c r="Y65" s="48"/>
    </row>
    <row r="66" spans="1:25" ht="16.5" customHeight="1" x14ac:dyDescent="0.15">
      <c r="A66" s="41">
        <v>11</v>
      </c>
      <c r="B66" s="41">
        <v>1638</v>
      </c>
      <c r="C66" s="74" t="s">
        <v>2080</v>
      </c>
      <c r="D66" s="72"/>
      <c r="E66" s="99"/>
      <c r="F66" s="72"/>
      <c r="G66" s="99"/>
      <c r="H66" s="100">
        <f>_11_C身体１．０＿１．０＿１．０</f>
        <v>167</v>
      </c>
      <c r="I66" s="12" t="s">
        <v>392</v>
      </c>
      <c r="J66" s="711"/>
      <c r="K66" s="37"/>
      <c r="L66" s="38"/>
      <c r="M66" s="44" t="s">
        <v>397</v>
      </c>
      <c r="N66" s="45" t="s">
        <v>398</v>
      </c>
      <c r="O66" s="46">
        <v>1</v>
      </c>
      <c r="P66" s="35"/>
      <c r="R66" s="57"/>
      <c r="U66" s="57"/>
      <c r="V66" s="43"/>
      <c r="W66" s="37"/>
      <c r="X66" s="47">
        <f>ROUND((ROUND((ROUND((_11_A身体１．０*_11・基礎１),0)*_11・２人),0)*(1+_11・A深夜)),0)+ROUND((ROUND((ROUND((_11_B身体１．０＿１．０*_11・基礎１),0)*_11・２人),0)*(1+_11・B早朝)),0)+ROUND((ROUND((_11_C身体１．０＿１．０＿１．０*_11・基礎１),0)*_11・２人),0)</f>
        <v>770</v>
      </c>
      <c r="Y66" s="48"/>
    </row>
    <row r="67" spans="1:25" ht="16.5" customHeight="1" x14ac:dyDescent="0.15">
      <c r="A67" s="41">
        <v>11</v>
      </c>
      <c r="B67" s="41" t="s">
        <v>2081</v>
      </c>
      <c r="C67" s="74" t="s">
        <v>2082</v>
      </c>
      <c r="D67" s="72"/>
      <c r="E67" s="99"/>
      <c r="F67" s="72"/>
      <c r="G67" s="99"/>
      <c r="H67" s="72"/>
      <c r="I67" s="99"/>
      <c r="J67" s="53"/>
      <c r="K67" s="49"/>
      <c r="L67" s="50"/>
      <c r="M67" s="44"/>
      <c r="N67" s="45"/>
      <c r="O67" s="46"/>
      <c r="P67" s="35"/>
      <c r="R67" s="57"/>
      <c r="U67" s="57"/>
      <c r="V67" s="707" t="s">
        <v>404</v>
      </c>
      <c r="W67" s="708"/>
      <c r="X67" s="47">
        <f>ROUND((ROUND((_11_A身体１．０*(1+_11・A深夜)),0)*_11・初任),0)+ROUND((ROUND((_11_B身体１．０＿１．０*(1+_11・B早朝)),0)*_11・初任),0)+ROUND((_11_C身体１．０＿１．０＿１．０*_11・初任),0)</f>
        <v>770</v>
      </c>
      <c r="Y67" s="48"/>
    </row>
    <row r="68" spans="1:25" ht="16.5" customHeight="1" x14ac:dyDescent="0.15">
      <c r="A68" s="41">
        <v>11</v>
      </c>
      <c r="B68" s="41" t="s">
        <v>2083</v>
      </c>
      <c r="C68" s="74" t="s">
        <v>2084</v>
      </c>
      <c r="D68" s="72"/>
      <c r="E68" s="99"/>
      <c r="F68" s="72"/>
      <c r="G68" s="99"/>
      <c r="H68" s="72"/>
      <c r="I68" s="99"/>
      <c r="J68" s="43"/>
      <c r="K68" s="37"/>
      <c r="L68" s="38"/>
      <c r="M68" s="44" t="s">
        <v>397</v>
      </c>
      <c r="N68" s="45" t="s">
        <v>398</v>
      </c>
      <c r="O68" s="46">
        <v>1</v>
      </c>
      <c r="P68" s="35"/>
      <c r="R68" s="57"/>
      <c r="U68" s="57"/>
      <c r="V68" s="709"/>
      <c r="W68" s="704"/>
      <c r="X68" s="47">
        <f>ROUND((ROUND((ROUND((_11_A身体１．０*_11・２人),0)*(1+_11・A深夜)),0)*_11・初任),0)+ROUND((ROUND((ROUND((_11_B身体１．０＿１．０*_11・２人),0)*(1+_11・B早朝)),0)*_11・初任),0)+ROUND((ROUND((_11_C身体１．０＿１．０＿１．０*_11・２人),0)*_11・初任),0)</f>
        <v>770</v>
      </c>
      <c r="Y68" s="48"/>
    </row>
    <row r="69" spans="1:25" ht="16.5" customHeight="1" x14ac:dyDescent="0.15">
      <c r="A69" s="41">
        <v>11</v>
      </c>
      <c r="B69" s="41" t="s">
        <v>2085</v>
      </c>
      <c r="C69" s="74" t="s">
        <v>2086</v>
      </c>
      <c r="D69" s="72"/>
      <c r="E69" s="99"/>
      <c r="F69" s="72"/>
      <c r="G69" s="99"/>
      <c r="H69" s="72"/>
      <c r="I69" s="99"/>
      <c r="J69" s="705" t="s">
        <v>400</v>
      </c>
      <c r="K69" s="49" t="s">
        <v>398</v>
      </c>
      <c r="L69" s="50">
        <v>0.7</v>
      </c>
      <c r="M69" s="44"/>
      <c r="N69" s="45"/>
      <c r="O69" s="46"/>
      <c r="P69" s="35"/>
      <c r="R69" s="57"/>
      <c r="U69" s="57"/>
      <c r="V69" s="709"/>
      <c r="W69" s="704"/>
      <c r="X69" s="47">
        <f>ROUND((ROUND((ROUND((_11_A身体１．０*_11・基礎１),0)*(1+_11・A深夜)),0)*_11・初任),0)+ROUND((ROUND((ROUND((_11_B身体１．０＿１．０*_11・基礎１),0)*(1+_11・B早朝)),0)*_11・初任),0)+ROUND((ROUND((_11_C身体１．０＿１．０＿１．０*_11・基礎１),0)*_11・初任),0)</f>
        <v>539</v>
      </c>
      <c r="Y69" s="48"/>
    </row>
    <row r="70" spans="1:25" ht="16.5" customHeight="1" x14ac:dyDescent="0.15">
      <c r="A70" s="41">
        <v>11</v>
      </c>
      <c r="B70" s="41" t="s">
        <v>2087</v>
      </c>
      <c r="C70" s="74" t="s">
        <v>2088</v>
      </c>
      <c r="D70" s="72"/>
      <c r="E70" s="99"/>
      <c r="F70" s="72"/>
      <c r="G70" s="99"/>
      <c r="H70" s="72"/>
      <c r="I70" s="99"/>
      <c r="J70" s="711"/>
      <c r="K70" s="37"/>
      <c r="L70" s="38"/>
      <c r="M70" s="44" t="s">
        <v>397</v>
      </c>
      <c r="N70" s="45" t="s">
        <v>398</v>
      </c>
      <c r="O70" s="46">
        <v>1</v>
      </c>
      <c r="P70" s="35"/>
      <c r="R70" s="57"/>
      <c r="U70" s="57"/>
      <c r="V70" s="55" t="s">
        <v>398</v>
      </c>
      <c r="W70" s="38">
        <f>_11・初任</f>
        <v>0.7</v>
      </c>
      <c r="X70" s="47">
        <f>ROUND((ROUND((ROUND((ROUND((_11_A身体１．０*_11・基礎１),0)*_11・２人),0)*(1+_11・A深夜)),0)*_11・初任),0)+ROUND((ROUND((ROUND((ROUND((_11_B身体１．０＿１．０*_11・基礎１),0)*_11・２人),0)*(1+_11・B早朝)),0)*_11・初任),0)+ROUND((ROUND((ROUND((_11_C身体１．０＿１．０＿１．０*_11・基礎１),0)*_11・２人),0)*_11・初任),0)</f>
        <v>539</v>
      </c>
      <c r="Y70" s="48"/>
    </row>
    <row r="71" spans="1:25" ht="16.5" customHeight="1" x14ac:dyDescent="0.15">
      <c r="A71" s="41">
        <v>11</v>
      </c>
      <c r="B71" s="41">
        <v>1639</v>
      </c>
      <c r="C71" s="74" t="s">
        <v>2089</v>
      </c>
      <c r="D71" s="707" t="s">
        <v>2090</v>
      </c>
      <c r="E71" s="717"/>
      <c r="F71" s="707" t="s">
        <v>2028</v>
      </c>
      <c r="G71" s="717"/>
      <c r="H71" s="707" t="s">
        <v>1226</v>
      </c>
      <c r="I71" s="717"/>
      <c r="J71" s="53"/>
      <c r="K71" s="49"/>
      <c r="L71" s="50"/>
      <c r="M71" s="44"/>
      <c r="N71" s="45"/>
      <c r="O71" s="46"/>
      <c r="P71" s="35"/>
      <c r="R71" s="57"/>
      <c r="U71" s="57"/>
      <c r="V71" s="53"/>
      <c r="W71" s="49"/>
      <c r="X71" s="47">
        <f>ROUND((_11_A身体１．５*(1+_11・A深夜)),0)+ROUND((_11_B身体１．５＿１．０*(1+_11・B早朝)),0)+_11_C身体１．５＿１．０＿０．５</f>
        <v>1167</v>
      </c>
      <c r="Y71" s="48"/>
    </row>
    <row r="72" spans="1:25" ht="16.5" customHeight="1" x14ac:dyDescent="0.15">
      <c r="A72" s="41">
        <v>11</v>
      </c>
      <c r="B72" s="41">
        <v>1640</v>
      </c>
      <c r="C72" s="74" t="s">
        <v>2091</v>
      </c>
      <c r="D72" s="709"/>
      <c r="E72" s="718"/>
      <c r="F72" s="709"/>
      <c r="G72" s="718"/>
      <c r="H72" s="709"/>
      <c r="I72" s="718"/>
      <c r="J72" s="43"/>
      <c r="K72" s="37"/>
      <c r="L72" s="38"/>
      <c r="M72" s="44" t="s">
        <v>397</v>
      </c>
      <c r="N72" s="45" t="s">
        <v>398</v>
      </c>
      <c r="O72" s="46">
        <v>1</v>
      </c>
      <c r="P72" s="35"/>
      <c r="R72" s="57"/>
      <c r="U72" s="57"/>
      <c r="V72" s="35"/>
      <c r="X72" s="47">
        <f>ROUND((ROUND((_11_A身体１．５*_11・２人),0)*(1+_11・A深夜)),0)+ROUND((ROUND((_11_B身体１．５＿１．０*_11・２人),0)*(1+_11・B早朝)),0)+ROUND((_11_C身体１．５＿１．０＿０．５*_11・２人),0)</f>
        <v>1167</v>
      </c>
      <c r="Y72" s="48"/>
    </row>
    <row r="73" spans="1:25" ht="16.5" customHeight="1" x14ac:dyDescent="0.15">
      <c r="A73" s="41">
        <v>11</v>
      </c>
      <c r="B73" s="41">
        <v>1641</v>
      </c>
      <c r="C73" s="74" t="s">
        <v>2092</v>
      </c>
      <c r="D73" s="709"/>
      <c r="E73" s="718"/>
      <c r="F73" s="709"/>
      <c r="G73" s="718"/>
      <c r="H73" s="709"/>
      <c r="I73" s="718"/>
      <c r="J73" s="705" t="s">
        <v>400</v>
      </c>
      <c r="K73" s="49" t="s">
        <v>398</v>
      </c>
      <c r="L73" s="50">
        <v>0.7</v>
      </c>
      <c r="M73" s="44"/>
      <c r="N73" s="45"/>
      <c r="O73" s="46"/>
      <c r="P73" s="35"/>
      <c r="R73" s="57"/>
      <c r="U73" s="57"/>
      <c r="V73" s="35"/>
      <c r="X73" s="47">
        <f>ROUND((ROUND((_11_A身体１．５*_11・基礎１),0)*(1+_11・A深夜)),0)+ROUND((ROUND((_11_B身体１．５＿１．０*_11・基礎１),0)*(1+_11・B早朝)),0)+ROUND((_11_C身体１．５＿１．０＿０．５*_11・基礎１),0)</f>
        <v>817</v>
      </c>
      <c r="Y73" s="48"/>
    </row>
    <row r="74" spans="1:25" ht="16.5" customHeight="1" x14ac:dyDescent="0.15">
      <c r="A74" s="41">
        <v>11</v>
      </c>
      <c r="B74" s="41">
        <v>1642</v>
      </c>
      <c r="C74" s="74" t="s">
        <v>2093</v>
      </c>
      <c r="D74" s="100">
        <f>_11_A身体１．５</f>
        <v>584</v>
      </c>
      <c r="E74" s="12" t="s">
        <v>392</v>
      </c>
      <c r="F74" s="100">
        <f>_11_B身体１．５＿１．０</f>
        <v>166</v>
      </c>
      <c r="G74" s="12" t="s">
        <v>392</v>
      </c>
      <c r="H74" s="100">
        <f>_11_C身体１．５＿１．０＿０．５</f>
        <v>83</v>
      </c>
      <c r="I74" s="12" t="s">
        <v>392</v>
      </c>
      <c r="J74" s="711"/>
      <c r="K74" s="37"/>
      <c r="L74" s="38"/>
      <c r="M74" s="44" t="s">
        <v>397</v>
      </c>
      <c r="N74" s="45" t="s">
        <v>398</v>
      </c>
      <c r="O74" s="46">
        <v>1</v>
      </c>
      <c r="P74" s="35"/>
      <c r="R74" s="57"/>
      <c r="U74" s="57"/>
      <c r="V74" s="43"/>
      <c r="W74" s="37"/>
      <c r="X74" s="47">
        <f>ROUND((ROUND((ROUND((_11_A身体１．５*_11・基礎１),0)*_11・２人),0)*(1+_11・A深夜)),0)+ROUND((ROUND((ROUND((_11_B身体１．５＿１．０*_11・基礎１),0)*_11・２人),0)*(1+_11・B早朝)),0)+ROUND((ROUND((_11_C身体１．５＿１．０＿０．５*_11・基礎１),0)*_11・２人),0)</f>
        <v>817</v>
      </c>
      <c r="Y74" s="48"/>
    </row>
    <row r="75" spans="1:25" ht="16.5" customHeight="1" x14ac:dyDescent="0.15">
      <c r="A75" s="41">
        <v>11</v>
      </c>
      <c r="B75" s="41" t="s">
        <v>2094</v>
      </c>
      <c r="C75" s="74" t="s">
        <v>2095</v>
      </c>
      <c r="D75" s="72"/>
      <c r="E75" s="99"/>
      <c r="F75" s="72"/>
      <c r="G75" s="99"/>
      <c r="H75" s="72"/>
      <c r="I75" s="99"/>
      <c r="J75" s="53"/>
      <c r="K75" s="49"/>
      <c r="L75" s="50"/>
      <c r="M75" s="44"/>
      <c r="N75" s="45"/>
      <c r="O75" s="46"/>
      <c r="P75" s="35"/>
      <c r="R75" s="57"/>
      <c r="U75" s="57"/>
      <c r="V75" s="707" t="s">
        <v>404</v>
      </c>
      <c r="W75" s="708"/>
      <c r="X75" s="47">
        <f>ROUND((ROUND((_11_A身体１．５*(1+_11・A深夜)),0)*_11・初任),0)+ROUND((ROUND((_11_B身体１．５＿１．０*(1+_11・B早朝)),0)*_11・初任),0)+ROUND((_11_C身体１．５＿１．０＿０．５*_11・初任),0)</f>
        <v>817</v>
      </c>
      <c r="Y75" s="48"/>
    </row>
    <row r="76" spans="1:25" ht="16.5" customHeight="1" x14ac:dyDescent="0.15">
      <c r="A76" s="41">
        <v>11</v>
      </c>
      <c r="B76" s="41" t="s">
        <v>2096</v>
      </c>
      <c r="C76" s="74" t="s">
        <v>2097</v>
      </c>
      <c r="D76" s="72"/>
      <c r="E76" s="99"/>
      <c r="F76" s="72"/>
      <c r="G76" s="99"/>
      <c r="H76" s="72"/>
      <c r="I76" s="99"/>
      <c r="J76" s="43"/>
      <c r="K76" s="37"/>
      <c r="L76" s="38"/>
      <c r="M76" s="44" t="s">
        <v>397</v>
      </c>
      <c r="N76" s="45" t="s">
        <v>398</v>
      </c>
      <c r="O76" s="46">
        <v>1</v>
      </c>
      <c r="P76" s="35"/>
      <c r="R76" s="57"/>
      <c r="U76" s="57"/>
      <c r="V76" s="709"/>
      <c r="W76" s="704"/>
      <c r="X76" s="47">
        <f>ROUND((ROUND((ROUND((_11_A身体１．５*_11・２人),0)*(1+_11・A深夜)),0)*_11・初任),0)+ROUND((ROUND((ROUND((_11_B身体１．５＿１．０*_11・２人),0)*(1+_11・B早朝)),0)*_11・初任),0)+ROUND((ROUND((_11_C身体１．５＿１．０＿０．５*_11・２人),0)*_11・初任),0)</f>
        <v>817</v>
      </c>
      <c r="Y76" s="48"/>
    </row>
    <row r="77" spans="1:25" ht="16.5" customHeight="1" x14ac:dyDescent="0.15">
      <c r="A77" s="41">
        <v>11</v>
      </c>
      <c r="B77" s="41" t="s">
        <v>2098</v>
      </c>
      <c r="C77" s="74" t="s">
        <v>2099</v>
      </c>
      <c r="D77" s="72"/>
      <c r="E77" s="99"/>
      <c r="F77" s="72"/>
      <c r="G77" s="99"/>
      <c r="H77" s="72"/>
      <c r="I77" s="99"/>
      <c r="J77" s="705" t="s">
        <v>400</v>
      </c>
      <c r="K77" s="49" t="s">
        <v>398</v>
      </c>
      <c r="L77" s="50">
        <v>0.7</v>
      </c>
      <c r="M77" s="44"/>
      <c r="N77" s="45"/>
      <c r="O77" s="46"/>
      <c r="P77" s="35"/>
      <c r="R77" s="57"/>
      <c r="U77" s="57"/>
      <c r="V77" s="709"/>
      <c r="W77" s="704"/>
      <c r="X77" s="47">
        <f>ROUND((ROUND((ROUND((_11_A身体１．５*_11・基礎１),0)*(1+_11・A深夜)),0)*_11・初任),0)+ROUND((ROUND((ROUND((_11_B身体１．５＿１．０*_11・基礎１),0)*(1+_11・B早朝)),0)*_11・初任),0)+ROUND((ROUND((_11_C身体１．５＿１．０＿０．５*_11・基礎１),0)*_11・初任),0)</f>
        <v>573</v>
      </c>
      <c r="Y77" s="48"/>
    </row>
    <row r="78" spans="1:25" ht="16.5" customHeight="1" x14ac:dyDescent="0.15">
      <c r="A78" s="41">
        <v>11</v>
      </c>
      <c r="B78" s="41" t="s">
        <v>2100</v>
      </c>
      <c r="C78" s="74" t="s">
        <v>2101</v>
      </c>
      <c r="D78" s="122"/>
      <c r="E78" s="111"/>
      <c r="F78" s="122"/>
      <c r="G78" s="111"/>
      <c r="H78" s="122"/>
      <c r="I78" s="111"/>
      <c r="J78" s="711"/>
      <c r="K78" s="37"/>
      <c r="L78" s="38"/>
      <c r="M78" s="44" t="s">
        <v>397</v>
      </c>
      <c r="N78" s="45" t="s">
        <v>398</v>
      </c>
      <c r="O78" s="46">
        <v>1</v>
      </c>
      <c r="P78" s="43"/>
      <c r="Q78" s="38"/>
      <c r="R78" s="79"/>
      <c r="S78" s="37"/>
      <c r="T78" s="38"/>
      <c r="U78" s="79"/>
      <c r="V78" s="55" t="s">
        <v>398</v>
      </c>
      <c r="W78" s="38">
        <f>_11・初任</f>
        <v>0.7</v>
      </c>
      <c r="X78" s="47">
        <f>ROUND((ROUND((ROUND((ROUND((_11_A身体１．５*_11・基礎１),0)*_11・２人),0)*(1+_11・A深夜)),0)*_11・初任),0)+ROUND((ROUND((ROUND((ROUND((_11_B身体１．５＿１．０*_11・基礎１),0)*_11・２人),0)*(1+_11・B早朝)),0)*_11・初任),0)+ROUND((ROUND((ROUND((_11_C身体１．５＿１．０＿０．５*_11・基礎１),0)*_11・２人),0)*_11・初任),0)</f>
        <v>573</v>
      </c>
      <c r="Y78" s="63"/>
    </row>
    <row r="79" spans="1:25" ht="16.5" customHeight="1" x14ac:dyDescent="0.15">
      <c r="A79" s="41">
        <v>11</v>
      </c>
      <c r="B79" s="41">
        <v>1643</v>
      </c>
      <c r="C79" s="74" t="s">
        <v>2102</v>
      </c>
      <c r="D79" s="707" t="s">
        <v>2103</v>
      </c>
      <c r="E79" s="717"/>
      <c r="F79" s="707" t="s">
        <v>1035</v>
      </c>
      <c r="G79" s="717"/>
      <c r="H79" s="707" t="s">
        <v>1226</v>
      </c>
      <c r="I79" s="717"/>
      <c r="J79" s="53"/>
      <c r="K79" s="49"/>
      <c r="L79" s="50"/>
      <c r="M79" s="44"/>
      <c r="N79" s="45"/>
      <c r="O79" s="46"/>
      <c r="P79" s="35" t="s">
        <v>1036</v>
      </c>
      <c r="R79" s="57"/>
      <c r="S79" s="35" t="s">
        <v>1037</v>
      </c>
      <c r="U79" s="57"/>
      <c r="V79" s="53"/>
      <c r="W79" s="49"/>
      <c r="X79" s="47">
        <f>ROUND((_11_A身体０．５*(1+_11・A深夜)),0)+ROUND((_11_B身体０．５＿０．５*(1+_11・B早朝)),0)+_11_C身体０．５＿０．５＿０．５</f>
        <v>749</v>
      </c>
      <c r="Y79" s="48"/>
    </row>
    <row r="80" spans="1:25" ht="16.5" customHeight="1" x14ac:dyDescent="0.15">
      <c r="A80" s="41">
        <v>11</v>
      </c>
      <c r="B80" s="41">
        <v>1644</v>
      </c>
      <c r="C80" s="74" t="s">
        <v>2104</v>
      </c>
      <c r="D80" s="709"/>
      <c r="E80" s="718"/>
      <c r="F80" s="709"/>
      <c r="G80" s="718"/>
      <c r="H80" s="709"/>
      <c r="I80" s="718"/>
      <c r="J80" s="43"/>
      <c r="K80" s="37"/>
      <c r="L80" s="38"/>
      <c r="M80" s="44" t="s">
        <v>397</v>
      </c>
      <c r="N80" s="45" t="s">
        <v>398</v>
      </c>
      <c r="O80" s="46">
        <v>1</v>
      </c>
      <c r="P80" s="35" t="s">
        <v>398</v>
      </c>
      <c r="Q80" s="13">
        <v>0.5</v>
      </c>
      <c r="R80" s="728" t="s">
        <v>676</v>
      </c>
      <c r="S80" s="12" t="s">
        <v>398</v>
      </c>
      <c r="T80" s="13">
        <v>0.25</v>
      </c>
      <c r="U80" s="728" t="s">
        <v>676</v>
      </c>
      <c r="V80" s="35"/>
      <c r="X80" s="47">
        <f>ROUND((ROUND((_11_A身体０．５*_11・２人),0)*(1+_11・A深夜)),0)+ROUND((ROUND((_11_B身体０．５＿０．５*_11・２人),0)*(1+_11・B早朝)),0)+ROUND((_11_C身体０．５＿０．５＿０．５*_11・２人),0)</f>
        <v>749</v>
      </c>
      <c r="Y80" s="48"/>
    </row>
    <row r="81" spans="1:25" ht="16.5" customHeight="1" x14ac:dyDescent="0.15">
      <c r="A81" s="41">
        <v>11</v>
      </c>
      <c r="B81" s="41">
        <v>1645</v>
      </c>
      <c r="C81" s="74" t="s">
        <v>2105</v>
      </c>
      <c r="D81" s="709"/>
      <c r="E81" s="718"/>
      <c r="F81" s="709"/>
      <c r="G81" s="718"/>
      <c r="H81" s="709"/>
      <c r="I81" s="718"/>
      <c r="J81" s="705" t="s">
        <v>400</v>
      </c>
      <c r="K81" s="49" t="s">
        <v>398</v>
      </c>
      <c r="L81" s="50">
        <v>0.7</v>
      </c>
      <c r="M81" s="44"/>
      <c r="N81" s="45"/>
      <c r="O81" s="46"/>
      <c r="P81" s="35"/>
      <c r="R81" s="728"/>
      <c r="U81" s="728"/>
      <c r="V81" s="35"/>
      <c r="X81" s="47">
        <f>ROUND((ROUND((_11_A身体０．５*_11・基礎１),0)*(1+_11・A深夜)),0)+ROUND((ROUND((_11_B身体０．５＿０．５*_11・基礎１),0)*(1+_11・B早朝)),0)+ROUND((_11_C身体０．５＿０．５＿０．５*_11・基礎１),0)</f>
        <v>525</v>
      </c>
      <c r="Y81" s="48"/>
    </row>
    <row r="82" spans="1:25" ht="16.5" customHeight="1" x14ac:dyDescent="0.15">
      <c r="A82" s="41">
        <v>11</v>
      </c>
      <c r="B82" s="41">
        <v>1646</v>
      </c>
      <c r="C82" s="74" t="s">
        <v>2106</v>
      </c>
      <c r="D82" s="100">
        <f>_11_A身体０．５</f>
        <v>255</v>
      </c>
      <c r="E82" s="12" t="s">
        <v>392</v>
      </c>
      <c r="F82" s="100">
        <f>_11_B身体０．５＿０．５</f>
        <v>147</v>
      </c>
      <c r="G82" s="12" t="s">
        <v>392</v>
      </c>
      <c r="H82" s="100">
        <f>_11_C身体０．５＿０．５＿０．５</f>
        <v>182</v>
      </c>
      <c r="I82" s="12" t="s">
        <v>392</v>
      </c>
      <c r="J82" s="711"/>
      <c r="K82" s="37"/>
      <c r="L82" s="38"/>
      <c r="M82" s="44" t="s">
        <v>397</v>
      </c>
      <c r="N82" s="45" t="s">
        <v>398</v>
      </c>
      <c r="O82" s="46">
        <v>1</v>
      </c>
      <c r="P82" s="35"/>
      <c r="R82" s="57"/>
      <c r="U82" s="57"/>
      <c r="V82" s="43"/>
      <c r="W82" s="37"/>
      <c r="X82" s="47">
        <f>ROUND((ROUND((ROUND((_11_A身体０．５*_11・基礎１),0)*_11・２人),0)*(1+_11・A深夜)),0)+ROUND((ROUND((ROUND((_11_B身体０．５＿０．５*_11・基礎１),0)*_11・２人),0)*(1+_11・B早朝)),0)+ROUND((ROUND((_11_C身体０．５＿０．５＿０．５*_11・基礎１),0)*_11・２人),0)</f>
        <v>525</v>
      </c>
      <c r="Y82" s="48"/>
    </row>
    <row r="83" spans="1:25" ht="16.5" customHeight="1" x14ac:dyDescent="0.15">
      <c r="A83" s="41">
        <v>11</v>
      </c>
      <c r="B83" s="41" t="s">
        <v>2107</v>
      </c>
      <c r="C83" s="74" t="s">
        <v>2108</v>
      </c>
      <c r="D83" s="72"/>
      <c r="E83" s="99"/>
      <c r="F83" s="72"/>
      <c r="G83" s="99"/>
      <c r="H83" s="72"/>
      <c r="I83" s="99"/>
      <c r="J83" s="53"/>
      <c r="K83" s="49"/>
      <c r="L83" s="50"/>
      <c r="M83" s="44"/>
      <c r="N83" s="45"/>
      <c r="O83" s="46"/>
      <c r="P83" s="35"/>
      <c r="R83" s="57"/>
      <c r="U83" s="57"/>
      <c r="V83" s="707" t="s">
        <v>404</v>
      </c>
      <c r="W83" s="708"/>
      <c r="X83" s="47">
        <f>ROUND((ROUND((_11_A身体０．５*(1+_11・A深夜)),0)*_11・初任),0)+ROUND((ROUND((_11_B身体０．５＿０．５*(1+_11・B早朝)),0)*_11・初任),0)+ROUND((_11_C身体０．５＿０．５＿０．５*_11・初任),0)</f>
        <v>524</v>
      </c>
      <c r="Y83" s="48"/>
    </row>
    <row r="84" spans="1:25" ht="16.5" customHeight="1" x14ac:dyDescent="0.15">
      <c r="A84" s="41">
        <v>11</v>
      </c>
      <c r="B84" s="41" t="s">
        <v>2109</v>
      </c>
      <c r="C84" s="74" t="s">
        <v>2110</v>
      </c>
      <c r="D84" s="72"/>
      <c r="E84" s="99"/>
      <c r="F84" s="72"/>
      <c r="G84" s="99"/>
      <c r="H84" s="72"/>
      <c r="I84" s="99"/>
      <c r="J84" s="43"/>
      <c r="K84" s="37"/>
      <c r="L84" s="38"/>
      <c r="M84" s="44" t="s">
        <v>397</v>
      </c>
      <c r="N84" s="45" t="s">
        <v>398</v>
      </c>
      <c r="O84" s="46">
        <v>1</v>
      </c>
      <c r="P84" s="35"/>
      <c r="R84" s="57"/>
      <c r="U84" s="57"/>
      <c r="V84" s="709"/>
      <c r="W84" s="704"/>
      <c r="X84" s="47">
        <f>ROUND((ROUND((ROUND((_11_A身体０．５*_11・２人),0)*(1+_11・A深夜)),0)*_11・初任),0)+ROUND((ROUND((ROUND((_11_B身体０．５＿０．５*_11・２人),0)*(1+_11・B早朝)),0)*_11・初任),0)+ROUND((ROUND((_11_C身体０．５＿０．５＿０．５*_11・２人),0)*_11・初任),0)</f>
        <v>524</v>
      </c>
      <c r="Y84" s="48"/>
    </row>
    <row r="85" spans="1:25" ht="16.5" customHeight="1" x14ac:dyDescent="0.15">
      <c r="A85" s="41">
        <v>11</v>
      </c>
      <c r="B85" s="41" t="s">
        <v>2111</v>
      </c>
      <c r="C85" s="74" t="s">
        <v>2112</v>
      </c>
      <c r="D85" s="72"/>
      <c r="E85" s="99"/>
      <c r="F85" s="72"/>
      <c r="G85" s="99"/>
      <c r="H85" s="72"/>
      <c r="I85" s="99"/>
      <c r="J85" s="705" t="s">
        <v>400</v>
      </c>
      <c r="K85" s="49" t="s">
        <v>398</v>
      </c>
      <c r="L85" s="50">
        <v>0.7</v>
      </c>
      <c r="M85" s="44"/>
      <c r="N85" s="45"/>
      <c r="O85" s="46"/>
      <c r="P85" s="35"/>
      <c r="R85" s="57"/>
      <c r="U85" s="57"/>
      <c r="V85" s="709"/>
      <c r="W85" s="704"/>
      <c r="X85" s="47">
        <f>ROUND((ROUND((ROUND((_11_A身体０．５*_11・基礎１),0)*(1+_11・A深夜)),0)*_11・初任),0)+ROUND((ROUND((ROUND((_11_B身体０．５＿０．５*_11・基礎１),0)*(1+_11・B早朝)),0)*_11・初任),0)+ROUND((ROUND((_11_C身体０．５＿０．５＿０．５*_11・基礎１),0)*_11・初任),0)</f>
        <v>367</v>
      </c>
      <c r="Y85" s="48"/>
    </row>
    <row r="86" spans="1:25" ht="16.5" customHeight="1" x14ac:dyDescent="0.15">
      <c r="A86" s="41">
        <v>11</v>
      </c>
      <c r="B86" s="41" t="s">
        <v>2113</v>
      </c>
      <c r="C86" s="74" t="s">
        <v>2114</v>
      </c>
      <c r="D86" s="72"/>
      <c r="E86" s="99"/>
      <c r="F86" s="72"/>
      <c r="G86" s="99"/>
      <c r="H86" s="72"/>
      <c r="I86" s="99"/>
      <c r="J86" s="711"/>
      <c r="K86" s="37"/>
      <c r="L86" s="38"/>
      <c r="M86" s="44" t="s">
        <v>397</v>
      </c>
      <c r="N86" s="45" t="s">
        <v>398</v>
      </c>
      <c r="O86" s="46">
        <v>1</v>
      </c>
      <c r="P86" s="35"/>
      <c r="R86" s="57"/>
      <c r="U86" s="57"/>
      <c r="V86" s="55" t="s">
        <v>398</v>
      </c>
      <c r="W86" s="38">
        <f>_11・初任</f>
        <v>0.7</v>
      </c>
      <c r="X86" s="47">
        <f>ROUND((ROUND((ROUND((ROUND((_11_A身体０．５*_11・基礎１),0)*_11・２人),0)*(1+_11・A深夜)),0)*_11・初任),0)+ROUND((ROUND((ROUND((ROUND((_11_B身体０．５＿０．５*_11・基礎１),0)*_11・２人),0)*(1+_11・B早朝)),0)*_11・初任),0)+ROUND((ROUND((ROUND((_11_C身体０．５＿０．５＿０．５*_11・基礎１),0)*_11・２人),0)*_11・初任),0)</f>
        <v>367</v>
      </c>
      <c r="Y86" s="48"/>
    </row>
    <row r="87" spans="1:25" ht="16.5" customHeight="1" x14ac:dyDescent="0.15">
      <c r="A87" s="41">
        <v>11</v>
      </c>
      <c r="B87" s="41">
        <v>1647</v>
      </c>
      <c r="C87" s="74" t="s">
        <v>2115</v>
      </c>
      <c r="D87" s="72"/>
      <c r="E87" s="99"/>
      <c r="F87" s="72"/>
      <c r="G87" s="99"/>
      <c r="H87" s="707" t="s">
        <v>1304</v>
      </c>
      <c r="I87" s="717"/>
      <c r="J87" s="53"/>
      <c r="K87" s="49"/>
      <c r="L87" s="50"/>
      <c r="M87" s="44"/>
      <c r="N87" s="45"/>
      <c r="O87" s="46"/>
      <c r="P87" s="35"/>
      <c r="R87" s="57"/>
      <c r="U87" s="57"/>
      <c r="V87" s="53"/>
      <c r="W87" s="49"/>
      <c r="X87" s="47">
        <f>ROUND((_11_A身体０．５*(1+_11・A深夜)),0)+ROUND((_11_B身体０．５＿０．５*(1+_11・B早朝)),0)+_11_C身体０．５＿０．５＿１．０</f>
        <v>831</v>
      </c>
      <c r="Y87" s="48"/>
    </row>
    <row r="88" spans="1:25" ht="16.5" customHeight="1" x14ac:dyDescent="0.15">
      <c r="A88" s="41">
        <v>11</v>
      </c>
      <c r="B88" s="41">
        <v>1648</v>
      </c>
      <c r="C88" s="74" t="s">
        <v>2116</v>
      </c>
      <c r="D88" s="72"/>
      <c r="E88" s="99"/>
      <c r="F88" s="72"/>
      <c r="G88" s="99"/>
      <c r="H88" s="709"/>
      <c r="I88" s="718"/>
      <c r="J88" s="43"/>
      <c r="K88" s="37"/>
      <c r="L88" s="38"/>
      <c r="M88" s="44" t="s">
        <v>397</v>
      </c>
      <c r="N88" s="45" t="s">
        <v>398</v>
      </c>
      <c r="O88" s="46">
        <v>1</v>
      </c>
      <c r="P88" s="35"/>
      <c r="R88" s="57"/>
      <c r="U88" s="57"/>
      <c r="V88" s="35"/>
      <c r="X88" s="47">
        <f>ROUND((ROUND((_11_A身体０．５*_11・２人),0)*(1+_11・A深夜)),0)+ROUND((ROUND((_11_B身体０．５＿０．５*_11・２人),0)*(1+_11・B早朝)),0)+ROUND((_11_C身体０．５＿０．５＿１．０*_11・２人),0)</f>
        <v>831</v>
      </c>
      <c r="Y88" s="48"/>
    </row>
    <row r="89" spans="1:25" ht="16.5" customHeight="1" x14ac:dyDescent="0.15">
      <c r="A89" s="41">
        <v>11</v>
      </c>
      <c r="B89" s="41">
        <v>1649</v>
      </c>
      <c r="C89" s="74" t="s">
        <v>2117</v>
      </c>
      <c r="D89" s="72"/>
      <c r="E89" s="99"/>
      <c r="F89" s="72"/>
      <c r="G89" s="99"/>
      <c r="H89" s="709"/>
      <c r="I89" s="718"/>
      <c r="J89" s="705" t="s">
        <v>400</v>
      </c>
      <c r="K89" s="49" t="s">
        <v>398</v>
      </c>
      <c r="L89" s="50">
        <v>0.7</v>
      </c>
      <c r="M89" s="44"/>
      <c r="N89" s="45"/>
      <c r="O89" s="46"/>
      <c r="P89" s="35"/>
      <c r="R89" s="57"/>
      <c r="U89" s="57"/>
      <c r="V89" s="35"/>
      <c r="X89" s="47">
        <f>ROUND((ROUND((_11_A身体０．５*_11・基礎１),0)*(1+_11・A深夜)),0)+ROUND((ROUND((_11_B身体０．５＿０．５*_11・基礎１),0)*(1+_11・B早朝)),0)+ROUND((_11_C身体０．５＿０．５＿１．０*_11・基礎１),0)</f>
        <v>583</v>
      </c>
      <c r="Y89" s="48"/>
    </row>
    <row r="90" spans="1:25" ht="16.5" customHeight="1" x14ac:dyDescent="0.15">
      <c r="A90" s="41">
        <v>11</v>
      </c>
      <c r="B90" s="41">
        <v>1650</v>
      </c>
      <c r="C90" s="74" t="s">
        <v>2118</v>
      </c>
      <c r="D90" s="72"/>
      <c r="E90" s="99"/>
      <c r="F90" s="72"/>
      <c r="G90" s="99"/>
      <c r="H90" s="100">
        <f>_11_C身体０．５＿０．５＿１．０</f>
        <v>264</v>
      </c>
      <c r="I90" s="12" t="s">
        <v>392</v>
      </c>
      <c r="J90" s="711"/>
      <c r="K90" s="37"/>
      <c r="L90" s="38"/>
      <c r="M90" s="44" t="s">
        <v>397</v>
      </c>
      <c r="N90" s="45" t="s">
        <v>398</v>
      </c>
      <c r="O90" s="46">
        <v>1</v>
      </c>
      <c r="P90" s="35"/>
      <c r="R90" s="57"/>
      <c r="U90" s="57"/>
      <c r="V90" s="43"/>
      <c r="W90" s="37"/>
      <c r="X90" s="47">
        <f>ROUND((ROUND((ROUND((_11_A身体０．５*_11・基礎１),0)*_11・２人),0)*(1+_11・A深夜)),0)+ROUND((ROUND((ROUND((_11_B身体０．５＿０．５*_11・基礎１),0)*_11・２人),0)*(1+_11・B早朝)),0)+ROUND((ROUND((_11_C身体０．５＿０．５＿１．０*_11・基礎１),0)*_11・２人),0)</f>
        <v>583</v>
      </c>
      <c r="Y90" s="48"/>
    </row>
    <row r="91" spans="1:25" ht="16.5" customHeight="1" x14ac:dyDescent="0.15">
      <c r="A91" s="41">
        <v>11</v>
      </c>
      <c r="B91" s="41" t="s">
        <v>2119</v>
      </c>
      <c r="C91" s="74" t="s">
        <v>2120</v>
      </c>
      <c r="D91" s="72"/>
      <c r="E91" s="99"/>
      <c r="F91" s="72"/>
      <c r="G91" s="99"/>
      <c r="H91" s="72"/>
      <c r="I91" s="99"/>
      <c r="J91" s="53"/>
      <c r="K91" s="49"/>
      <c r="L91" s="50"/>
      <c r="M91" s="44"/>
      <c r="N91" s="45"/>
      <c r="O91" s="46"/>
      <c r="P91" s="35"/>
      <c r="R91" s="57"/>
      <c r="U91" s="57"/>
      <c r="V91" s="707" t="s">
        <v>404</v>
      </c>
      <c r="W91" s="708"/>
      <c r="X91" s="47">
        <f>ROUND((ROUND((_11_A身体０．５*(1+_11・A深夜)),0)*_11・初任),0)+ROUND((ROUND((_11_B身体０．５＿０．５*(1+_11・B早朝)),0)*_11・初任),0)+ROUND((_11_C身体０．５＿０．５＿１．０*_11・初任),0)</f>
        <v>582</v>
      </c>
      <c r="Y91" s="48"/>
    </row>
    <row r="92" spans="1:25" ht="16.5" customHeight="1" x14ac:dyDescent="0.15">
      <c r="A92" s="41">
        <v>11</v>
      </c>
      <c r="B92" s="41" t="s">
        <v>2121</v>
      </c>
      <c r="C92" s="74" t="s">
        <v>2122</v>
      </c>
      <c r="D92" s="72"/>
      <c r="E92" s="99"/>
      <c r="F92" s="72"/>
      <c r="G92" s="99"/>
      <c r="H92" s="72"/>
      <c r="I92" s="99"/>
      <c r="J92" s="43"/>
      <c r="K92" s="37"/>
      <c r="L92" s="38"/>
      <c r="M92" s="44" t="s">
        <v>397</v>
      </c>
      <c r="N92" s="45" t="s">
        <v>398</v>
      </c>
      <c r="O92" s="46">
        <v>1</v>
      </c>
      <c r="P92" s="35"/>
      <c r="R92" s="57"/>
      <c r="U92" s="57"/>
      <c r="V92" s="709"/>
      <c r="W92" s="704"/>
      <c r="X92" s="47">
        <f>ROUND((ROUND((ROUND((_11_A身体０．５*_11・２人),0)*(1+_11・A深夜)),0)*_11・初任),0)+ROUND((ROUND((ROUND((_11_B身体０．５＿０．５*_11・２人),0)*(1+_11・B早朝)),0)*_11・初任),0)+ROUND((ROUND((_11_C身体０．５＿０．５＿１．０*_11・２人),0)*_11・初任),0)</f>
        <v>582</v>
      </c>
      <c r="Y92" s="48"/>
    </row>
    <row r="93" spans="1:25" ht="16.5" customHeight="1" x14ac:dyDescent="0.15">
      <c r="A93" s="41">
        <v>11</v>
      </c>
      <c r="B93" s="41" t="s">
        <v>2123</v>
      </c>
      <c r="C93" s="74" t="s">
        <v>2124</v>
      </c>
      <c r="D93" s="72"/>
      <c r="E93" s="99"/>
      <c r="F93" s="72"/>
      <c r="G93" s="99"/>
      <c r="H93" s="72"/>
      <c r="I93" s="99"/>
      <c r="J93" s="705" t="s">
        <v>400</v>
      </c>
      <c r="K93" s="49" t="s">
        <v>398</v>
      </c>
      <c r="L93" s="50">
        <v>0.7</v>
      </c>
      <c r="M93" s="44"/>
      <c r="N93" s="45"/>
      <c r="O93" s="46"/>
      <c r="P93" s="35"/>
      <c r="R93" s="57"/>
      <c r="U93" s="57"/>
      <c r="V93" s="709"/>
      <c r="W93" s="704"/>
      <c r="X93" s="47">
        <f>ROUND((ROUND((ROUND((_11_A身体０．５*_11・基礎１),0)*(1+_11・A深夜)),0)*_11・初任),0)+ROUND((ROUND((ROUND((_11_B身体０．５＿０．５*_11・基礎１),0)*(1+_11・B早朝)),0)*_11・初任),0)+ROUND((ROUND((_11_C身体０．５＿０．５＿１．０*_11・基礎１),0)*_11・初任),0)</f>
        <v>408</v>
      </c>
      <c r="Y93" s="48"/>
    </row>
    <row r="94" spans="1:25" ht="16.5" customHeight="1" x14ac:dyDescent="0.15">
      <c r="A94" s="41">
        <v>11</v>
      </c>
      <c r="B94" s="41" t="s">
        <v>2125</v>
      </c>
      <c r="C94" s="74" t="s">
        <v>2126</v>
      </c>
      <c r="D94" s="72"/>
      <c r="E94" s="99"/>
      <c r="F94" s="72"/>
      <c r="G94" s="99"/>
      <c r="H94" s="72"/>
      <c r="I94" s="99"/>
      <c r="J94" s="711"/>
      <c r="K94" s="37"/>
      <c r="L94" s="38"/>
      <c r="M94" s="44" t="s">
        <v>397</v>
      </c>
      <c r="N94" s="45" t="s">
        <v>398</v>
      </c>
      <c r="O94" s="46">
        <v>1</v>
      </c>
      <c r="P94" s="35"/>
      <c r="R94" s="57"/>
      <c r="U94" s="57"/>
      <c r="V94" s="55" t="s">
        <v>398</v>
      </c>
      <c r="W94" s="38">
        <f>_11・初任</f>
        <v>0.7</v>
      </c>
      <c r="X94" s="47">
        <f>ROUND((ROUND((ROUND((ROUND((_11_A身体０．５*_11・基礎１),0)*_11・２人),0)*(1+_11・A深夜)),0)*_11・初任),0)+ROUND((ROUND((ROUND((ROUND((_11_B身体０．５＿０．５*_11・基礎１),0)*_11・２人),0)*(1+_11・B早朝)),0)*_11・初任),0)+ROUND((ROUND((ROUND((_11_C身体０．５＿０．５＿１．０*_11・基礎１),0)*_11・２人),0)*_11・初任),0)</f>
        <v>408</v>
      </c>
      <c r="Y94" s="48"/>
    </row>
    <row r="95" spans="1:25" ht="16.5" customHeight="1" x14ac:dyDescent="0.15">
      <c r="A95" s="41">
        <v>11</v>
      </c>
      <c r="B95" s="41">
        <v>1651</v>
      </c>
      <c r="C95" s="74" t="s">
        <v>2127</v>
      </c>
      <c r="D95" s="72"/>
      <c r="E95" s="99"/>
      <c r="F95" s="72"/>
      <c r="G95" s="99"/>
      <c r="H95" s="707" t="s">
        <v>1317</v>
      </c>
      <c r="I95" s="717"/>
      <c r="J95" s="53"/>
      <c r="K95" s="49"/>
      <c r="L95" s="50"/>
      <c r="M95" s="44"/>
      <c r="N95" s="45"/>
      <c r="O95" s="46"/>
      <c r="P95" s="35"/>
      <c r="R95" s="57"/>
      <c r="U95" s="57"/>
      <c r="V95" s="53"/>
      <c r="W95" s="49"/>
      <c r="X95" s="47">
        <f>ROUND((_11_A身体０．５*(1+_11・A深夜)),0)+ROUND((_11_B身体０．５＿０．５*(1+_11・B早朝)),0)+_11_C身体０．５＿０．５＿１．５</f>
        <v>915</v>
      </c>
      <c r="Y95" s="48"/>
    </row>
    <row r="96" spans="1:25" ht="16.5" customHeight="1" x14ac:dyDescent="0.15">
      <c r="A96" s="41">
        <v>11</v>
      </c>
      <c r="B96" s="41">
        <v>1652</v>
      </c>
      <c r="C96" s="74" t="s">
        <v>2128</v>
      </c>
      <c r="D96" s="72"/>
      <c r="E96" s="99"/>
      <c r="F96" s="72"/>
      <c r="G96" s="99"/>
      <c r="H96" s="709"/>
      <c r="I96" s="718"/>
      <c r="J96" s="43"/>
      <c r="K96" s="37"/>
      <c r="L96" s="38"/>
      <c r="M96" s="44" t="s">
        <v>397</v>
      </c>
      <c r="N96" s="45" t="s">
        <v>398</v>
      </c>
      <c r="O96" s="46">
        <v>1</v>
      </c>
      <c r="P96" s="35"/>
      <c r="R96" s="57"/>
      <c r="U96" s="57"/>
      <c r="V96" s="35"/>
      <c r="X96" s="47">
        <f>ROUND((ROUND((_11_A身体０．５*_11・２人),0)*(1+_11・A深夜)),0)+ROUND((ROUND((_11_B身体０．５＿０．５*_11・２人),0)*(1+_11・B早朝)),0)+ROUND((_11_C身体０．５＿０．５＿１．５*_11・２人),0)</f>
        <v>915</v>
      </c>
      <c r="Y96" s="48"/>
    </row>
    <row r="97" spans="1:25" ht="16.5" customHeight="1" x14ac:dyDescent="0.15">
      <c r="A97" s="41">
        <v>11</v>
      </c>
      <c r="B97" s="41">
        <v>1653</v>
      </c>
      <c r="C97" s="74" t="s">
        <v>2129</v>
      </c>
      <c r="D97" s="72"/>
      <c r="E97" s="99"/>
      <c r="F97" s="72"/>
      <c r="G97" s="99"/>
      <c r="H97" s="709"/>
      <c r="I97" s="718"/>
      <c r="J97" s="705" t="s">
        <v>400</v>
      </c>
      <c r="K97" s="49" t="s">
        <v>398</v>
      </c>
      <c r="L97" s="50">
        <v>0.7</v>
      </c>
      <c r="M97" s="44"/>
      <c r="N97" s="45"/>
      <c r="O97" s="46"/>
      <c r="P97" s="35"/>
      <c r="R97" s="57"/>
      <c r="U97" s="57"/>
      <c r="V97" s="35"/>
      <c r="X97" s="47">
        <f>ROUND((ROUND((_11_A身体０．５*_11・基礎１),0)*(1+_11・A深夜)),0)+ROUND((ROUND((_11_B身体０．５＿０．５*_11・基礎１),0)*(1+_11・B早朝)),0)+ROUND((_11_C身体０．５＿０．５＿１．５*_11・基礎１),0)</f>
        <v>642</v>
      </c>
      <c r="Y97" s="48"/>
    </row>
    <row r="98" spans="1:25" ht="16.5" customHeight="1" x14ac:dyDescent="0.15">
      <c r="A98" s="41">
        <v>11</v>
      </c>
      <c r="B98" s="41">
        <v>1654</v>
      </c>
      <c r="C98" s="74" t="s">
        <v>2130</v>
      </c>
      <c r="D98" s="72"/>
      <c r="E98" s="99"/>
      <c r="F98" s="72"/>
      <c r="G98" s="99"/>
      <c r="H98" s="100">
        <f>_11_C身体０．５＿０．５＿１．５</f>
        <v>348</v>
      </c>
      <c r="I98" s="12" t="s">
        <v>392</v>
      </c>
      <c r="J98" s="711"/>
      <c r="K98" s="37"/>
      <c r="L98" s="38"/>
      <c r="M98" s="44" t="s">
        <v>397</v>
      </c>
      <c r="N98" s="45" t="s">
        <v>398</v>
      </c>
      <c r="O98" s="46">
        <v>1</v>
      </c>
      <c r="P98" s="35"/>
      <c r="R98" s="57"/>
      <c r="U98" s="57"/>
      <c r="V98" s="43"/>
      <c r="W98" s="37"/>
      <c r="X98" s="47">
        <f>ROUND((ROUND((ROUND((_11_A身体０．５*_11・基礎１),0)*_11・２人),0)*(1+_11・A深夜)),0)+ROUND((ROUND((ROUND((_11_B身体０．５＿０．５*_11・基礎１),0)*_11・２人),0)*(1+_11・B早朝)),0)+ROUND((ROUND((_11_C身体０．５＿０．５＿１．５*_11・基礎１),0)*_11・２人),0)</f>
        <v>642</v>
      </c>
      <c r="Y98" s="48"/>
    </row>
    <row r="99" spans="1:25" ht="16.5" customHeight="1" x14ac:dyDescent="0.15">
      <c r="A99" s="41">
        <v>11</v>
      </c>
      <c r="B99" s="41" t="s">
        <v>2131</v>
      </c>
      <c r="C99" s="74" t="s">
        <v>2132</v>
      </c>
      <c r="D99" s="72"/>
      <c r="E99" s="99"/>
      <c r="F99" s="72"/>
      <c r="G99" s="99"/>
      <c r="H99" s="72"/>
      <c r="I99" s="99"/>
      <c r="J99" s="53"/>
      <c r="K99" s="49"/>
      <c r="L99" s="50"/>
      <c r="M99" s="44"/>
      <c r="N99" s="45"/>
      <c r="O99" s="46"/>
      <c r="P99" s="35"/>
      <c r="R99" s="57"/>
      <c r="U99" s="57"/>
      <c r="V99" s="707" t="s">
        <v>404</v>
      </c>
      <c r="W99" s="708"/>
      <c r="X99" s="47">
        <f>ROUND((ROUND((_11_A身体０．５*(1+_11・A深夜)),0)*_11・初任),0)+ROUND((ROUND((_11_B身体０．５＿０．５*(1+_11・B早朝)),0)*_11・初任),0)+ROUND((_11_C身体０．５＿０．５＿１．５*_11・初任),0)</f>
        <v>641</v>
      </c>
      <c r="Y99" s="48"/>
    </row>
    <row r="100" spans="1:25" ht="16.5" customHeight="1" x14ac:dyDescent="0.15">
      <c r="A100" s="41">
        <v>11</v>
      </c>
      <c r="B100" s="41" t="s">
        <v>2133</v>
      </c>
      <c r="C100" s="74" t="s">
        <v>2134</v>
      </c>
      <c r="D100" s="72"/>
      <c r="E100" s="99"/>
      <c r="F100" s="72"/>
      <c r="G100" s="99"/>
      <c r="H100" s="72"/>
      <c r="I100" s="99"/>
      <c r="J100" s="43"/>
      <c r="K100" s="37"/>
      <c r="L100" s="38"/>
      <c r="M100" s="44" t="s">
        <v>397</v>
      </c>
      <c r="N100" s="45" t="s">
        <v>398</v>
      </c>
      <c r="O100" s="46">
        <v>1</v>
      </c>
      <c r="P100" s="35"/>
      <c r="R100" s="57"/>
      <c r="U100" s="57"/>
      <c r="V100" s="709"/>
      <c r="W100" s="704"/>
      <c r="X100" s="47">
        <f>ROUND((ROUND((ROUND((_11_A身体０．５*_11・２人),0)*(1+_11・A深夜)),0)*_11・初任),0)+ROUND((ROUND((ROUND((_11_B身体０．５＿０．５*_11・２人),0)*(1+_11・B早朝)),0)*_11・初任),0)+ROUND((ROUND((_11_C身体０．５＿０．５＿１．５*_11・２人),0)*_11・初任),0)</f>
        <v>641</v>
      </c>
      <c r="Y100" s="48"/>
    </row>
    <row r="101" spans="1:25" ht="16.5" customHeight="1" x14ac:dyDescent="0.15">
      <c r="A101" s="41">
        <v>11</v>
      </c>
      <c r="B101" s="41" t="s">
        <v>2135</v>
      </c>
      <c r="C101" s="74" t="s">
        <v>2136</v>
      </c>
      <c r="D101" s="72"/>
      <c r="E101" s="99"/>
      <c r="F101" s="72"/>
      <c r="G101" s="99"/>
      <c r="H101" s="72"/>
      <c r="I101" s="99"/>
      <c r="J101" s="705" t="s">
        <v>400</v>
      </c>
      <c r="K101" s="49" t="s">
        <v>398</v>
      </c>
      <c r="L101" s="50">
        <v>0.7</v>
      </c>
      <c r="M101" s="44"/>
      <c r="N101" s="45"/>
      <c r="O101" s="46"/>
      <c r="P101" s="35"/>
      <c r="R101" s="57"/>
      <c r="U101" s="57"/>
      <c r="V101" s="709"/>
      <c r="W101" s="704"/>
      <c r="X101" s="47">
        <f>ROUND((ROUND((ROUND((_11_A身体０．５*_11・基礎１),0)*(1+_11・A深夜)),0)*_11・初任),0)+ROUND((ROUND((ROUND((_11_B身体０．５＿０．５*_11・基礎１),0)*(1+_11・B早朝)),0)*_11・初任),0)+ROUND((ROUND((_11_C身体０．５＿０．５＿１．５*_11・基礎１),0)*_11・初任),0)</f>
        <v>449</v>
      </c>
      <c r="Y101" s="48"/>
    </row>
    <row r="102" spans="1:25" ht="16.5" customHeight="1" x14ac:dyDescent="0.15">
      <c r="A102" s="41">
        <v>11</v>
      </c>
      <c r="B102" s="41" t="s">
        <v>2137</v>
      </c>
      <c r="C102" s="74" t="s">
        <v>2138</v>
      </c>
      <c r="D102" s="72"/>
      <c r="E102" s="99"/>
      <c r="F102" s="72"/>
      <c r="G102" s="99"/>
      <c r="H102" s="122"/>
      <c r="I102" s="111"/>
      <c r="J102" s="711"/>
      <c r="K102" s="37"/>
      <c r="L102" s="38"/>
      <c r="M102" s="44" t="s">
        <v>397</v>
      </c>
      <c r="N102" s="45" t="s">
        <v>398</v>
      </c>
      <c r="O102" s="46">
        <v>1</v>
      </c>
      <c r="P102" s="35"/>
      <c r="R102" s="57"/>
      <c r="U102" s="57"/>
      <c r="V102" s="55" t="s">
        <v>398</v>
      </c>
      <c r="W102" s="38">
        <f>_11・初任</f>
        <v>0.7</v>
      </c>
      <c r="X102" s="47">
        <f>ROUND((ROUND((ROUND((ROUND((_11_A身体０．５*_11・基礎１),0)*_11・２人),0)*(1+_11・A深夜)),0)*_11・初任),0)+ROUND((ROUND((ROUND((ROUND((_11_B身体０．５＿０．５*_11・基礎１),0)*_11・２人),0)*(1+_11・B早朝)),0)*_11・初任),0)+ROUND((ROUND((ROUND((_11_C身体０．５＿０．５＿１．５*_11・基礎１),0)*_11・２人),0)*_11・初任),0)</f>
        <v>449</v>
      </c>
      <c r="Y102" s="48"/>
    </row>
    <row r="103" spans="1:25" ht="16.5" customHeight="1" x14ac:dyDescent="0.15">
      <c r="A103" s="33">
        <v>11</v>
      </c>
      <c r="B103" s="33">
        <v>1655</v>
      </c>
      <c r="C103" s="34" t="s">
        <v>2139</v>
      </c>
      <c r="D103" s="132"/>
      <c r="E103" s="106"/>
      <c r="F103" s="132"/>
      <c r="G103" s="106"/>
      <c r="H103" s="709" t="s">
        <v>1266</v>
      </c>
      <c r="I103" s="718"/>
      <c r="J103" s="35"/>
      <c r="M103" s="36"/>
      <c r="N103" s="37"/>
      <c r="O103" s="38"/>
      <c r="P103" s="35"/>
      <c r="R103" s="57"/>
      <c r="U103" s="57"/>
      <c r="V103" s="35"/>
      <c r="X103" s="39">
        <f>ROUND((_11_A身体０．５*(1+_11・A深夜)),0)+ROUND((_11_B身体０．５＿０．５*(1+_11・B早朝)),0)+_11_C身体０．５＿０．５＿２．０</f>
        <v>998</v>
      </c>
      <c r="Y103" s="48"/>
    </row>
    <row r="104" spans="1:25" ht="16.5" customHeight="1" x14ac:dyDescent="0.15">
      <c r="A104" s="41">
        <v>11</v>
      </c>
      <c r="B104" s="41">
        <v>1656</v>
      </c>
      <c r="C104" s="74" t="s">
        <v>2140</v>
      </c>
      <c r="D104" s="132"/>
      <c r="E104" s="106"/>
      <c r="F104" s="132"/>
      <c r="G104" s="106"/>
      <c r="H104" s="709"/>
      <c r="I104" s="718"/>
      <c r="J104" s="43"/>
      <c r="K104" s="37"/>
      <c r="L104" s="38"/>
      <c r="M104" s="44" t="s">
        <v>397</v>
      </c>
      <c r="N104" s="45" t="s">
        <v>398</v>
      </c>
      <c r="O104" s="46">
        <v>1</v>
      </c>
      <c r="P104" s="35"/>
      <c r="R104" s="57"/>
      <c r="U104" s="57"/>
      <c r="V104" s="35"/>
      <c r="X104" s="47">
        <f>ROUND((ROUND((_11_A身体０．５*_11・２人),0)*(1+_11・A深夜)),0)+ROUND((ROUND((_11_B身体０．５＿０．５*_11・２人),0)*(1+_11・B早朝)),0)+ROUND((_11_C身体０．５＿０．５＿２．０*_11・２人),0)</f>
        <v>998</v>
      </c>
      <c r="Y104" s="48"/>
    </row>
    <row r="105" spans="1:25" ht="16.5" customHeight="1" x14ac:dyDescent="0.15">
      <c r="A105" s="41">
        <v>11</v>
      </c>
      <c r="B105" s="41">
        <v>1657</v>
      </c>
      <c r="C105" s="74" t="s">
        <v>2141</v>
      </c>
      <c r="D105" s="132"/>
      <c r="E105" s="106"/>
      <c r="F105" s="132"/>
      <c r="G105" s="106"/>
      <c r="H105" s="709"/>
      <c r="I105" s="718"/>
      <c r="J105" s="705" t="s">
        <v>400</v>
      </c>
      <c r="K105" s="49" t="s">
        <v>398</v>
      </c>
      <c r="L105" s="50">
        <v>0.7</v>
      </c>
      <c r="M105" s="44"/>
      <c r="N105" s="45"/>
      <c r="O105" s="46"/>
      <c r="P105" s="35"/>
      <c r="R105" s="57"/>
      <c r="U105" s="57"/>
      <c r="V105" s="35"/>
      <c r="X105" s="47">
        <f>ROUND((ROUND((_11_A身体０．５*_11・基礎１),0)*(1+_11・A深夜)),0)+ROUND((ROUND((_11_B身体０．５＿０．５*_11・基礎１),0)*(1+_11・B早朝)),0)+ROUND((_11_C身体０．５＿０．５＿２．０*_11・基礎１),0)</f>
        <v>700</v>
      </c>
      <c r="Y105" s="48"/>
    </row>
    <row r="106" spans="1:25" ht="16.5" customHeight="1" x14ac:dyDescent="0.15">
      <c r="A106" s="41">
        <v>11</v>
      </c>
      <c r="B106" s="41">
        <v>1658</v>
      </c>
      <c r="C106" s="74" t="s">
        <v>2142</v>
      </c>
      <c r="D106" s="141"/>
      <c r="E106" s="12"/>
      <c r="F106" s="141"/>
      <c r="G106" s="57"/>
      <c r="H106" s="100">
        <f>_11_C身体０．５＿０．５＿２．０</f>
        <v>431</v>
      </c>
      <c r="I106" s="12" t="s">
        <v>392</v>
      </c>
      <c r="J106" s="711"/>
      <c r="K106" s="37"/>
      <c r="L106" s="38"/>
      <c r="M106" s="44" t="s">
        <v>397</v>
      </c>
      <c r="N106" s="45" t="s">
        <v>398</v>
      </c>
      <c r="O106" s="46">
        <v>1</v>
      </c>
      <c r="P106" s="35"/>
      <c r="R106" s="57"/>
      <c r="U106" s="57"/>
      <c r="V106" s="43"/>
      <c r="W106" s="37"/>
      <c r="X106" s="47">
        <f>ROUND((ROUND((ROUND((_11_A身体０．５*_11・基礎１),0)*_11・２人),0)*(1+_11・A深夜)),0)+ROUND((ROUND((ROUND((_11_B身体０．５＿０．５*_11・基礎１),0)*_11・２人),0)*(1+_11・B早朝)),0)+ROUND((ROUND((_11_C身体０．５＿０．５＿２．０*_11・基礎１),0)*_11・２人),0)</f>
        <v>700</v>
      </c>
      <c r="Y106" s="48"/>
    </row>
    <row r="107" spans="1:25" ht="16.5" customHeight="1" x14ac:dyDescent="0.15">
      <c r="A107" s="41">
        <v>11</v>
      </c>
      <c r="B107" s="41" t="s">
        <v>2143</v>
      </c>
      <c r="C107" s="74" t="s">
        <v>2144</v>
      </c>
      <c r="D107" s="72"/>
      <c r="E107" s="142"/>
      <c r="F107" s="72"/>
      <c r="G107" s="108"/>
      <c r="H107" s="72"/>
      <c r="I107" s="99"/>
      <c r="J107" s="53"/>
      <c r="K107" s="49"/>
      <c r="L107" s="50"/>
      <c r="M107" s="44"/>
      <c r="N107" s="45"/>
      <c r="O107" s="46"/>
      <c r="P107" s="35"/>
      <c r="R107" s="57"/>
      <c r="U107" s="57"/>
      <c r="V107" s="707" t="s">
        <v>404</v>
      </c>
      <c r="W107" s="708"/>
      <c r="X107" s="47">
        <f>ROUND((ROUND((_11_A身体０．５*(1+_11・A深夜)),0)*_11・初任),0)+ROUND((ROUND((_11_B身体０．５＿０．５*(1+_11・B早朝)),0)*_11・初任),0)+ROUND((_11_C身体０．５＿０．５＿２．０*_11・初任),0)</f>
        <v>699</v>
      </c>
      <c r="Y107" s="48"/>
    </row>
    <row r="108" spans="1:25" ht="16.5" customHeight="1" x14ac:dyDescent="0.15">
      <c r="A108" s="41">
        <v>11</v>
      </c>
      <c r="B108" s="41" t="s">
        <v>2145</v>
      </c>
      <c r="C108" s="74" t="s">
        <v>2146</v>
      </c>
      <c r="D108" s="72"/>
      <c r="E108" s="99"/>
      <c r="F108" s="72"/>
      <c r="G108" s="99"/>
      <c r="H108" s="72"/>
      <c r="I108" s="99"/>
      <c r="J108" s="43"/>
      <c r="K108" s="37"/>
      <c r="L108" s="38"/>
      <c r="M108" s="44" t="s">
        <v>397</v>
      </c>
      <c r="N108" s="45" t="s">
        <v>398</v>
      </c>
      <c r="O108" s="46">
        <v>1</v>
      </c>
      <c r="P108" s="35"/>
      <c r="R108" s="57"/>
      <c r="U108" s="57"/>
      <c r="V108" s="709"/>
      <c r="W108" s="704"/>
      <c r="X108" s="47">
        <f>ROUND((ROUND((ROUND((_11_A身体０．５*_11・２人),0)*(1+_11・A深夜)),0)*_11・初任),0)+ROUND((ROUND((ROUND((_11_B身体０．５＿０．５*_11・２人),0)*(1+_11・B早朝)),0)*_11・初任),0)+ROUND((ROUND((_11_C身体０．５＿０．５＿２．０*_11・２人),0)*_11・初任),0)</f>
        <v>699</v>
      </c>
      <c r="Y108" s="48"/>
    </row>
    <row r="109" spans="1:25" ht="16.5" customHeight="1" x14ac:dyDescent="0.15">
      <c r="A109" s="41">
        <v>11</v>
      </c>
      <c r="B109" s="41" t="s">
        <v>2147</v>
      </c>
      <c r="C109" s="74" t="s">
        <v>2148</v>
      </c>
      <c r="D109" s="72"/>
      <c r="E109" s="99"/>
      <c r="F109" s="72"/>
      <c r="G109" s="99"/>
      <c r="H109" s="72"/>
      <c r="I109" s="99"/>
      <c r="J109" s="705" t="s">
        <v>400</v>
      </c>
      <c r="K109" s="49" t="s">
        <v>398</v>
      </c>
      <c r="L109" s="50">
        <v>0.7</v>
      </c>
      <c r="M109" s="44"/>
      <c r="N109" s="45"/>
      <c r="O109" s="46"/>
      <c r="P109" s="35"/>
      <c r="R109" s="57"/>
      <c r="U109" s="57"/>
      <c r="V109" s="709"/>
      <c r="W109" s="704"/>
      <c r="X109" s="47">
        <f>ROUND((ROUND((ROUND((_11_A身体０．５*_11・基礎１),0)*(1+_11・A深夜)),0)*_11・初任),0)+ROUND((ROUND((ROUND((_11_B身体０．５＿０．５*_11・基礎１),0)*(1+_11・B早朝)),0)*_11・初任),0)+ROUND((ROUND((_11_C身体０．５＿０．５＿２．０*_11・基礎１),0)*_11・初任),0)</f>
        <v>489</v>
      </c>
      <c r="Y109" s="48"/>
    </row>
    <row r="110" spans="1:25" ht="16.5" customHeight="1" x14ac:dyDescent="0.15">
      <c r="A110" s="41">
        <v>11</v>
      </c>
      <c r="B110" s="41" t="s">
        <v>2149</v>
      </c>
      <c r="C110" s="74" t="s">
        <v>2150</v>
      </c>
      <c r="D110" s="72"/>
      <c r="E110" s="99"/>
      <c r="F110" s="72"/>
      <c r="G110" s="99"/>
      <c r="H110" s="72"/>
      <c r="I110" s="99"/>
      <c r="J110" s="711"/>
      <c r="K110" s="37"/>
      <c r="L110" s="38"/>
      <c r="M110" s="44" t="s">
        <v>397</v>
      </c>
      <c r="N110" s="45" t="s">
        <v>398</v>
      </c>
      <c r="O110" s="46">
        <v>1</v>
      </c>
      <c r="P110" s="35"/>
      <c r="R110" s="57"/>
      <c r="U110" s="57"/>
      <c r="V110" s="55" t="s">
        <v>398</v>
      </c>
      <c r="W110" s="38">
        <f>_11・初任</f>
        <v>0.7</v>
      </c>
      <c r="X110" s="47">
        <f>ROUND((ROUND((ROUND((ROUND((_11_A身体０．５*_11・基礎１),0)*_11・２人),0)*(1+_11・A深夜)),0)*_11・初任),0)+ROUND((ROUND((ROUND((ROUND((_11_B身体０．５＿０．５*_11・基礎１),0)*_11・２人),0)*(1+_11・B早朝)),0)*_11・初任),0)+ROUND((ROUND((ROUND((_11_C身体０．５＿０．５＿２．０*_11・基礎１),0)*_11・２人),0)*_11・初任),0)</f>
        <v>489</v>
      </c>
      <c r="Y110" s="48"/>
    </row>
    <row r="111" spans="1:25" ht="16.5" customHeight="1" x14ac:dyDescent="0.15">
      <c r="A111" s="41">
        <v>11</v>
      </c>
      <c r="B111" s="41">
        <v>1659</v>
      </c>
      <c r="C111" s="74" t="s">
        <v>2151</v>
      </c>
      <c r="D111" s="707" t="s">
        <v>2152</v>
      </c>
      <c r="E111" s="717"/>
      <c r="F111" s="707" t="s">
        <v>1035</v>
      </c>
      <c r="G111" s="717"/>
      <c r="H111" s="707" t="s">
        <v>1226</v>
      </c>
      <c r="I111" s="717"/>
      <c r="J111" s="53"/>
      <c r="K111" s="49"/>
      <c r="L111" s="50"/>
      <c r="M111" s="44"/>
      <c r="N111" s="45"/>
      <c r="O111" s="46"/>
      <c r="P111" s="35"/>
      <c r="R111" s="57"/>
      <c r="U111" s="57"/>
      <c r="V111" s="53"/>
      <c r="W111" s="49"/>
      <c r="X111" s="47">
        <f>ROUND((_11_A身体１．０*(1+_11・A深夜)),0)+ROUND((_11_B身体１．０＿０．５*(1+_11・B早朝)),0)+_11_C身体１．０＿０．５＿０．５</f>
        <v>913</v>
      </c>
      <c r="Y111" s="48"/>
    </row>
    <row r="112" spans="1:25" ht="16.5" customHeight="1" x14ac:dyDescent="0.15">
      <c r="A112" s="41">
        <v>11</v>
      </c>
      <c r="B112" s="41">
        <v>1660</v>
      </c>
      <c r="C112" s="74" t="s">
        <v>2153</v>
      </c>
      <c r="D112" s="709"/>
      <c r="E112" s="718"/>
      <c r="F112" s="709"/>
      <c r="G112" s="718"/>
      <c r="H112" s="709"/>
      <c r="I112" s="718"/>
      <c r="J112" s="43"/>
      <c r="K112" s="37"/>
      <c r="L112" s="38"/>
      <c r="M112" s="44" t="s">
        <v>397</v>
      </c>
      <c r="N112" s="45" t="s">
        <v>398</v>
      </c>
      <c r="O112" s="46">
        <v>1</v>
      </c>
      <c r="P112" s="35"/>
      <c r="R112" s="57"/>
      <c r="U112" s="57"/>
      <c r="V112" s="35"/>
      <c r="X112" s="47">
        <f>ROUND((ROUND((_11_A身体１．０*_11・２人),0)*(1+_11・A深夜)),0)+ROUND((ROUND((_11_B身体１．０＿０．５*_11・２人),0)*(1+_11・B早朝)),0)+ROUND((_11_C身体１．０＿０．５＿０．５*_11・２人),0)</f>
        <v>913</v>
      </c>
      <c r="Y112" s="48"/>
    </row>
    <row r="113" spans="1:25" ht="16.5" customHeight="1" x14ac:dyDescent="0.15">
      <c r="A113" s="41">
        <v>11</v>
      </c>
      <c r="B113" s="41">
        <v>1661</v>
      </c>
      <c r="C113" s="74" t="s">
        <v>2154</v>
      </c>
      <c r="D113" s="709"/>
      <c r="E113" s="718"/>
      <c r="F113" s="709"/>
      <c r="G113" s="718"/>
      <c r="H113" s="709"/>
      <c r="I113" s="718"/>
      <c r="J113" s="705" t="s">
        <v>400</v>
      </c>
      <c r="K113" s="49" t="s">
        <v>398</v>
      </c>
      <c r="L113" s="50">
        <v>0.7</v>
      </c>
      <c r="M113" s="44"/>
      <c r="N113" s="45"/>
      <c r="O113" s="46"/>
      <c r="P113" s="35"/>
      <c r="R113" s="57"/>
      <c r="U113" s="57"/>
      <c r="V113" s="35"/>
      <c r="X113" s="47">
        <f>ROUND((ROUND((_11_A身体１．０*_11・基礎１),0)*(1+_11・A深夜)),0)+ROUND((ROUND((_11_B身体１．０＿０．５*_11・基礎１),0)*(1+_11・B早朝)),0)+ROUND((_11_C身体１．０＿０．５＿０．５*_11・基礎１),0)</f>
        <v>638</v>
      </c>
      <c r="Y113" s="48"/>
    </row>
    <row r="114" spans="1:25" ht="16.5" customHeight="1" x14ac:dyDescent="0.15">
      <c r="A114" s="41">
        <v>11</v>
      </c>
      <c r="B114" s="41">
        <v>1662</v>
      </c>
      <c r="C114" s="74" t="s">
        <v>2155</v>
      </c>
      <c r="D114" s="100">
        <f>_11_A身体１．０</f>
        <v>402</v>
      </c>
      <c r="E114" s="12" t="s">
        <v>392</v>
      </c>
      <c r="F114" s="100">
        <f>_11_B身体１．０＿０．５</f>
        <v>182</v>
      </c>
      <c r="G114" s="12" t="s">
        <v>392</v>
      </c>
      <c r="H114" s="100">
        <f>_11_C身体１．０＿０．５＿０．５</f>
        <v>82</v>
      </c>
      <c r="I114" s="12" t="s">
        <v>392</v>
      </c>
      <c r="J114" s="711"/>
      <c r="K114" s="37"/>
      <c r="L114" s="38"/>
      <c r="M114" s="44" t="s">
        <v>397</v>
      </c>
      <c r="N114" s="45" t="s">
        <v>398</v>
      </c>
      <c r="O114" s="46">
        <v>1</v>
      </c>
      <c r="P114" s="35"/>
      <c r="R114" s="57"/>
      <c r="U114" s="57"/>
      <c r="V114" s="43"/>
      <c r="W114" s="37"/>
      <c r="X114" s="47">
        <f>ROUND((ROUND((ROUND((_11_A身体１．０*_11・基礎１),0)*_11・２人),0)*(1+_11・A深夜)),0)+ROUND((ROUND((ROUND((_11_B身体１．０＿０．５*_11・基礎１),0)*_11・２人),0)*(1+_11・B早朝)),0)+ROUND((ROUND((_11_C身体１．０＿０．５＿０．５*_11・基礎１),0)*_11・２人),0)</f>
        <v>638</v>
      </c>
      <c r="Y114" s="48"/>
    </row>
    <row r="115" spans="1:25" ht="16.5" customHeight="1" x14ac:dyDescent="0.15">
      <c r="A115" s="41">
        <v>11</v>
      </c>
      <c r="B115" s="41" t="s">
        <v>2156</v>
      </c>
      <c r="C115" s="74" t="s">
        <v>2157</v>
      </c>
      <c r="D115" s="72"/>
      <c r="E115" s="99"/>
      <c r="F115" s="72"/>
      <c r="G115" s="99"/>
      <c r="H115" s="72"/>
      <c r="I115" s="99"/>
      <c r="J115" s="53"/>
      <c r="K115" s="49"/>
      <c r="L115" s="50"/>
      <c r="M115" s="44"/>
      <c r="N115" s="45"/>
      <c r="O115" s="46"/>
      <c r="P115" s="35"/>
      <c r="R115" s="57"/>
      <c r="U115" s="57"/>
      <c r="V115" s="707" t="s">
        <v>404</v>
      </c>
      <c r="W115" s="708"/>
      <c r="X115" s="47">
        <f>ROUND((ROUND((_11_A身体１．０*(1+_11・A深夜)),0)*_11・初任),0)+ROUND((ROUND((_11_B身体１．０＿０．５*(1+_11・B早朝)),0)*_11・初任),0)+ROUND((_11_C身体１．０＿０．５＿０．５*_11・初任),0)</f>
        <v>639</v>
      </c>
      <c r="Y115" s="48"/>
    </row>
    <row r="116" spans="1:25" ht="16.5" customHeight="1" x14ac:dyDescent="0.15">
      <c r="A116" s="41">
        <v>11</v>
      </c>
      <c r="B116" s="41" t="s">
        <v>2158</v>
      </c>
      <c r="C116" s="74" t="s">
        <v>2159</v>
      </c>
      <c r="D116" s="72"/>
      <c r="E116" s="99"/>
      <c r="F116" s="72"/>
      <c r="G116" s="99"/>
      <c r="H116" s="72"/>
      <c r="I116" s="99"/>
      <c r="J116" s="43"/>
      <c r="K116" s="37"/>
      <c r="L116" s="38"/>
      <c r="M116" s="44" t="s">
        <v>397</v>
      </c>
      <c r="N116" s="45" t="s">
        <v>398</v>
      </c>
      <c r="O116" s="46">
        <v>1</v>
      </c>
      <c r="P116" s="35"/>
      <c r="R116" s="57"/>
      <c r="U116" s="57"/>
      <c r="V116" s="709"/>
      <c r="W116" s="704"/>
      <c r="X116" s="47">
        <f>ROUND((ROUND((ROUND((_11_A身体１．０*_11・２人),0)*(1+_11・A深夜)),0)*_11・初任),0)+ROUND((ROUND((ROUND((_11_B身体１．０＿０．５*_11・２人),0)*(1+_11・B早朝)),0)*_11・初任),0)+ROUND((ROUND((_11_C身体１．０＿０．５＿０．５*_11・２人),0)*_11・初任),0)</f>
        <v>639</v>
      </c>
      <c r="Y116" s="48"/>
    </row>
    <row r="117" spans="1:25" ht="16.5" customHeight="1" x14ac:dyDescent="0.15">
      <c r="A117" s="41">
        <v>11</v>
      </c>
      <c r="B117" s="41" t="s">
        <v>2160</v>
      </c>
      <c r="C117" s="74" t="s">
        <v>2161</v>
      </c>
      <c r="D117" s="72"/>
      <c r="E117" s="99"/>
      <c r="F117" s="72"/>
      <c r="G117" s="99"/>
      <c r="H117" s="72"/>
      <c r="I117" s="99"/>
      <c r="J117" s="705" t="s">
        <v>400</v>
      </c>
      <c r="K117" s="49" t="s">
        <v>398</v>
      </c>
      <c r="L117" s="50">
        <v>0.7</v>
      </c>
      <c r="M117" s="44"/>
      <c r="N117" s="45"/>
      <c r="O117" s="46"/>
      <c r="P117" s="35"/>
      <c r="R117" s="57"/>
      <c r="U117" s="57"/>
      <c r="V117" s="709"/>
      <c r="W117" s="704"/>
      <c r="X117" s="47">
        <f>ROUND((ROUND((ROUND((_11_A身体１．０*_11・基礎１),0)*(1+_11・A深夜)),0)*_11・初任),0)+ROUND((ROUND((ROUND((_11_B身体１．０＿０．５*_11・基礎１),0)*(1+_11・B早朝)),0)*_11・初任),0)+ROUND((ROUND((_11_C身体１．０＿０．５＿０．５*_11・基礎１),0)*_11・初任),0)</f>
        <v>446</v>
      </c>
      <c r="Y117" s="48"/>
    </row>
    <row r="118" spans="1:25" ht="16.5" customHeight="1" x14ac:dyDescent="0.15">
      <c r="A118" s="41">
        <v>11</v>
      </c>
      <c r="B118" s="41" t="s">
        <v>2162</v>
      </c>
      <c r="C118" s="74" t="s">
        <v>2163</v>
      </c>
      <c r="D118" s="72"/>
      <c r="E118" s="99"/>
      <c r="F118" s="72"/>
      <c r="G118" s="99"/>
      <c r="H118" s="72"/>
      <c r="I118" s="99"/>
      <c r="J118" s="711"/>
      <c r="K118" s="37"/>
      <c r="L118" s="38"/>
      <c r="M118" s="44" t="s">
        <v>397</v>
      </c>
      <c r="N118" s="45" t="s">
        <v>398</v>
      </c>
      <c r="O118" s="46">
        <v>1</v>
      </c>
      <c r="P118" s="35"/>
      <c r="R118" s="57"/>
      <c r="U118" s="57"/>
      <c r="V118" s="55" t="s">
        <v>398</v>
      </c>
      <c r="W118" s="38">
        <f>_11・初任</f>
        <v>0.7</v>
      </c>
      <c r="X118" s="47">
        <f>ROUND((ROUND((ROUND((ROUND((_11_A身体１．０*_11・基礎１),0)*_11・２人),0)*(1+_11・A深夜)),0)*_11・初任),0)+ROUND((ROUND((ROUND((ROUND((_11_B身体１．０＿０．５*_11・基礎１),0)*_11・２人),0)*(1+_11・B早朝)),0)*_11・初任),0)+ROUND((ROUND((ROUND((_11_C身体１．０＿０．５＿０．５*_11・基礎１),0)*_11・２人),0)*_11・初任),0)</f>
        <v>446</v>
      </c>
      <c r="Y118" s="48"/>
    </row>
    <row r="119" spans="1:25" ht="16.5" customHeight="1" x14ac:dyDescent="0.15">
      <c r="A119" s="41">
        <v>11</v>
      </c>
      <c r="B119" s="41">
        <v>1663</v>
      </c>
      <c r="C119" s="74" t="s">
        <v>2164</v>
      </c>
      <c r="D119" s="72"/>
      <c r="E119" s="99"/>
      <c r="F119" s="72"/>
      <c r="G119" s="99"/>
      <c r="H119" s="707" t="s">
        <v>1304</v>
      </c>
      <c r="I119" s="717"/>
      <c r="J119" s="53"/>
      <c r="K119" s="49"/>
      <c r="L119" s="50"/>
      <c r="M119" s="44"/>
      <c r="N119" s="45"/>
      <c r="O119" s="46"/>
      <c r="P119" s="35"/>
      <c r="R119" s="57"/>
      <c r="U119" s="57"/>
      <c r="V119" s="53"/>
      <c r="W119" s="49"/>
      <c r="X119" s="47">
        <f>ROUND((_11_A身体１．０*(1+_11・A深夜)),0)+ROUND((_11_B身体１．０＿０．５*(1+_11・B早朝)),0)+_11_C身体１．０＿０．５＿１．０</f>
        <v>997</v>
      </c>
      <c r="Y119" s="48"/>
    </row>
    <row r="120" spans="1:25" ht="16.5" customHeight="1" x14ac:dyDescent="0.15">
      <c r="A120" s="41">
        <v>11</v>
      </c>
      <c r="B120" s="41">
        <v>1664</v>
      </c>
      <c r="C120" s="74" t="s">
        <v>2165</v>
      </c>
      <c r="D120" s="72"/>
      <c r="E120" s="99"/>
      <c r="F120" s="72"/>
      <c r="G120" s="99"/>
      <c r="H120" s="709"/>
      <c r="I120" s="718"/>
      <c r="J120" s="43"/>
      <c r="K120" s="37"/>
      <c r="L120" s="38"/>
      <c r="M120" s="44" t="s">
        <v>397</v>
      </c>
      <c r="N120" s="45" t="s">
        <v>398</v>
      </c>
      <c r="O120" s="46">
        <v>1</v>
      </c>
      <c r="P120" s="35"/>
      <c r="R120" s="57"/>
      <c r="U120" s="57"/>
      <c r="V120" s="35"/>
      <c r="X120" s="47">
        <f>ROUND((ROUND((_11_A身体１．０*_11・２人),0)*(1+_11・A深夜)),0)+ROUND((ROUND((_11_B身体１．０＿０．５*_11・２人),0)*(1+_11・B早朝)),0)+ROUND((_11_C身体１．０＿０．５＿１．０*_11・２人),0)</f>
        <v>997</v>
      </c>
      <c r="Y120" s="48"/>
    </row>
    <row r="121" spans="1:25" ht="16.5" customHeight="1" x14ac:dyDescent="0.15">
      <c r="A121" s="41">
        <v>11</v>
      </c>
      <c r="B121" s="41">
        <v>1665</v>
      </c>
      <c r="C121" s="74" t="s">
        <v>2166</v>
      </c>
      <c r="D121" s="72"/>
      <c r="E121" s="99"/>
      <c r="F121" s="72"/>
      <c r="G121" s="99"/>
      <c r="H121" s="709"/>
      <c r="I121" s="718"/>
      <c r="J121" s="705" t="s">
        <v>400</v>
      </c>
      <c r="K121" s="49" t="s">
        <v>398</v>
      </c>
      <c r="L121" s="50">
        <v>0.7</v>
      </c>
      <c r="M121" s="44"/>
      <c r="N121" s="45"/>
      <c r="O121" s="46"/>
      <c r="P121" s="35"/>
      <c r="R121" s="57"/>
      <c r="U121" s="57"/>
      <c r="V121" s="35"/>
      <c r="X121" s="47">
        <f>ROUND((ROUND((_11_A身体１．０*_11・基礎１),0)*(1+_11・A深夜)),0)+ROUND((ROUND((_11_B身体１．０＿０．５*_11・基礎１),0)*(1+_11・B早朝)),0)+ROUND((_11_C身体１．０＿０．５＿１．０*_11・基礎１),0)</f>
        <v>697</v>
      </c>
      <c r="Y121" s="48"/>
    </row>
    <row r="122" spans="1:25" ht="16.5" customHeight="1" x14ac:dyDescent="0.15">
      <c r="A122" s="41">
        <v>11</v>
      </c>
      <c r="B122" s="41">
        <v>1666</v>
      </c>
      <c r="C122" s="74" t="s">
        <v>2167</v>
      </c>
      <c r="D122" s="72"/>
      <c r="E122" s="99"/>
      <c r="F122" s="72"/>
      <c r="G122" s="99"/>
      <c r="H122" s="100">
        <f>_11_C身体１．０＿０．５＿１．０</f>
        <v>166</v>
      </c>
      <c r="I122" s="12" t="s">
        <v>392</v>
      </c>
      <c r="J122" s="711"/>
      <c r="K122" s="37"/>
      <c r="L122" s="38"/>
      <c r="M122" s="44" t="s">
        <v>397</v>
      </c>
      <c r="N122" s="45" t="s">
        <v>398</v>
      </c>
      <c r="O122" s="46">
        <v>1</v>
      </c>
      <c r="P122" s="35"/>
      <c r="R122" s="57"/>
      <c r="U122" s="57"/>
      <c r="V122" s="43"/>
      <c r="W122" s="37"/>
      <c r="X122" s="47">
        <f>ROUND((ROUND((ROUND((_11_A身体１．０*_11・基礎１),0)*_11・２人),0)*(1+_11・A深夜)),0)+ROUND((ROUND((ROUND((_11_B身体１．０＿０．５*_11・基礎１),0)*_11・２人),0)*(1+_11・B早朝)),0)+ROUND((ROUND((_11_C身体１．０＿０．５＿１．０*_11・基礎１),0)*_11・２人),0)</f>
        <v>697</v>
      </c>
      <c r="Y122" s="48"/>
    </row>
    <row r="123" spans="1:25" ht="16.5" customHeight="1" x14ac:dyDescent="0.15">
      <c r="A123" s="41">
        <v>11</v>
      </c>
      <c r="B123" s="41" t="s">
        <v>2168</v>
      </c>
      <c r="C123" s="74" t="s">
        <v>2169</v>
      </c>
      <c r="D123" s="72"/>
      <c r="E123" s="99"/>
      <c r="F123" s="72"/>
      <c r="G123" s="99"/>
      <c r="H123" s="72"/>
      <c r="I123" s="99"/>
      <c r="J123" s="53"/>
      <c r="K123" s="49"/>
      <c r="L123" s="50"/>
      <c r="M123" s="44"/>
      <c r="N123" s="45"/>
      <c r="O123" s="46"/>
      <c r="P123" s="35"/>
      <c r="R123" s="57"/>
      <c r="U123" s="57"/>
      <c r="V123" s="707" t="s">
        <v>404</v>
      </c>
      <c r="W123" s="708"/>
      <c r="X123" s="47">
        <f>ROUND((ROUND((_11_A身体１．０*(1+_11・A深夜)),0)*_11・初任),0)+ROUND((ROUND((_11_B身体１．０＿０．５*(1+_11・B早朝)),0)*_11・初任),0)+ROUND((_11_C身体１．０＿０．５＿１．０*_11・初任),0)</f>
        <v>698</v>
      </c>
      <c r="Y123" s="48"/>
    </row>
    <row r="124" spans="1:25" ht="16.5" customHeight="1" x14ac:dyDescent="0.15">
      <c r="A124" s="41">
        <v>11</v>
      </c>
      <c r="B124" s="41" t="s">
        <v>2170</v>
      </c>
      <c r="C124" s="74" t="s">
        <v>2171</v>
      </c>
      <c r="D124" s="72"/>
      <c r="E124" s="99"/>
      <c r="F124" s="72"/>
      <c r="G124" s="99"/>
      <c r="H124" s="72"/>
      <c r="I124" s="99"/>
      <c r="J124" s="43"/>
      <c r="K124" s="37"/>
      <c r="L124" s="38"/>
      <c r="M124" s="44" t="s">
        <v>397</v>
      </c>
      <c r="N124" s="45" t="s">
        <v>398</v>
      </c>
      <c r="O124" s="46">
        <v>1</v>
      </c>
      <c r="P124" s="35"/>
      <c r="R124" s="57"/>
      <c r="U124" s="57"/>
      <c r="V124" s="709"/>
      <c r="W124" s="704"/>
      <c r="X124" s="47">
        <f>ROUND((ROUND((ROUND((_11_A身体１．０*_11・２人),0)*(1+_11・A深夜)),0)*_11・初任),0)+ROUND((ROUND((ROUND((_11_B身体１．０＿０．５*_11・２人),0)*(1+_11・B早朝)),0)*_11・初任),0)+ROUND((ROUND((_11_C身体１．０＿０．５＿１．０*_11・２人),0)*_11・初任),0)</f>
        <v>698</v>
      </c>
      <c r="Y124" s="48"/>
    </row>
    <row r="125" spans="1:25" ht="16.5" customHeight="1" x14ac:dyDescent="0.15">
      <c r="A125" s="41">
        <v>11</v>
      </c>
      <c r="B125" s="41" t="s">
        <v>2172</v>
      </c>
      <c r="C125" s="74" t="s">
        <v>2173</v>
      </c>
      <c r="D125" s="72"/>
      <c r="E125" s="99"/>
      <c r="F125" s="72"/>
      <c r="G125" s="99"/>
      <c r="H125" s="72"/>
      <c r="I125" s="99"/>
      <c r="J125" s="705" t="s">
        <v>400</v>
      </c>
      <c r="K125" s="49" t="s">
        <v>398</v>
      </c>
      <c r="L125" s="50">
        <v>0.7</v>
      </c>
      <c r="M125" s="44"/>
      <c r="N125" s="45"/>
      <c r="O125" s="46"/>
      <c r="P125" s="35"/>
      <c r="R125" s="57"/>
      <c r="U125" s="57"/>
      <c r="V125" s="709"/>
      <c r="W125" s="704"/>
      <c r="X125" s="47">
        <f>ROUND((ROUND((ROUND((_11_A身体１．０*_11・基礎１),0)*(1+_11・A深夜)),0)*_11・初任),0)+ROUND((ROUND((ROUND((_11_B身体１．０＿０．５*_11・基礎１),0)*(1+_11・B早朝)),0)*_11・初任),0)+ROUND((ROUND((_11_C身体１．０＿０．５＿１．０*_11・基礎１),0)*_11・初任),0)</f>
        <v>487</v>
      </c>
      <c r="Y125" s="48"/>
    </row>
    <row r="126" spans="1:25" ht="16.5" customHeight="1" x14ac:dyDescent="0.15">
      <c r="A126" s="41">
        <v>11</v>
      </c>
      <c r="B126" s="41" t="s">
        <v>2174</v>
      </c>
      <c r="C126" s="74" t="s">
        <v>2175</v>
      </c>
      <c r="D126" s="72"/>
      <c r="E126" s="99"/>
      <c r="F126" s="72"/>
      <c r="G126" s="99"/>
      <c r="H126" s="72"/>
      <c r="I126" s="99"/>
      <c r="J126" s="711"/>
      <c r="K126" s="37"/>
      <c r="L126" s="38"/>
      <c r="M126" s="44" t="s">
        <v>397</v>
      </c>
      <c r="N126" s="45" t="s">
        <v>398</v>
      </c>
      <c r="O126" s="46">
        <v>1</v>
      </c>
      <c r="P126" s="35"/>
      <c r="R126" s="57"/>
      <c r="U126" s="57"/>
      <c r="V126" s="55" t="s">
        <v>398</v>
      </c>
      <c r="W126" s="38">
        <f>_11・初任</f>
        <v>0.7</v>
      </c>
      <c r="X126" s="47">
        <f>ROUND((ROUND((ROUND((ROUND((_11_A身体１．０*_11・基礎１),0)*_11・２人),0)*(1+_11・A深夜)),0)*_11・初任),0)+ROUND((ROUND((ROUND((ROUND((_11_B身体１．０＿０．５*_11・基礎１),0)*_11・２人),0)*(1+_11・B早朝)),0)*_11・初任),0)+ROUND((ROUND((ROUND((_11_C身体１．０＿０．５＿１．０*_11・基礎１),0)*_11・２人),0)*_11・初任),0)</f>
        <v>487</v>
      </c>
      <c r="Y126" s="48"/>
    </row>
    <row r="127" spans="1:25" ht="16.5" customHeight="1" x14ac:dyDescent="0.15">
      <c r="A127" s="41">
        <v>11</v>
      </c>
      <c r="B127" s="41">
        <v>1667</v>
      </c>
      <c r="C127" s="74" t="s">
        <v>2176</v>
      </c>
      <c r="D127" s="72"/>
      <c r="E127" s="99"/>
      <c r="F127" s="72"/>
      <c r="G127" s="99"/>
      <c r="H127" s="707" t="s">
        <v>1317</v>
      </c>
      <c r="I127" s="717"/>
      <c r="J127" s="53"/>
      <c r="K127" s="49"/>
      <c r="L127" s="50"/>
      <c r="M127" s="44"/>
      <c r="N127" s="45"/>
      <c r="O127" s="46"/>
      <c r="P127" s="35"/>
      <c r="R127" s="57"/>
      <c r="U127" s="57"/>
      <c r="V127" s="53"/>
      <c r="W127" s="49"/>
      <c r="X127" s="47">
        <f>ROUND((_11_A身体１．０*(1+_11・A深夜)),0)+ROUND((_11_B身体１．０＿０．５*(1+_11・B早朝)),0)+_11_C身体１．０＿０．５＿１．５</f>
        <v>1080</v>
      </c>
      <c r="Y127" s="48"/>
    </row>
    <row r="128" spans="1:25" ht="16.5" customHeight="1" x14ac:dyDescent="0.15">
      <c r="A128" s="41">
        <v>11</v>
      </c>
      <c r="B128" s="41">
        <v>1668</v>
      </c>
      <c r="C128" s="74" t="s">
        <v>2177</v>
      </c>
      <c r="D128" s="72"/>
      <c r="E128" s="99"/>
      <c r="F128" s="72"/>
      <c r="G128" s="99"/>
      <c r="H128" s="709"/>
      <c r="I128" s="718"/>
      <c r="J128" s="43"/>
      <c r="K128" s="37"/>
      <c r="L128" s="38"/>
      <c r="M128" s="44" t="s">
        <v>397</v>
      </c>
      <c r="N128" s="45" t="s">
        <v>398</v>
      </c>
      <c r="O128" s="46">
        <v>1</v>
      </c>
      <c r="P128" s="35"/>
      <c r="R128" s="57"/>
      <c r="U128" s="57"/>
      <c r="V128" s="35"/>
      <c r="X128" s="47">
        <f>ROUND((ROUND((_11_A身体１．０*_11・２人),0)*(1+_11・A深夜)),0)+ROUND((ROUND((_11_B身体１．０＿０．５*_11・２人),0)*(1+_11・B早朝)),0)+ROUND((_11_C身体１．０＿０．５＿１．５*_11・２人),0)</f>
        <v>1080</v>
      </c>
      <c r="Y128" s="48"/>
    </row>
    <row r="129" spans="1:25" ht="16.5" customHeight="1" x14ac:dyDescent="0.15">
      <c r="A129" s="41">
        <v>11</v>
      </c>
      <c r="B129" s="41">
        <v>1669</v>
      </c>
      <c r="C129" s="74" t="s">
        <v>2178</v>
      </c>
      <c r="D129" s="72"/>
      <c r="E129" s="99"/>
      <c r="F129" s="72"/>
      <c r="G129" s="99"/>
      <c r="H129" s="709"/>
      <c r="I129" s="718"/>
      <c r="J129" s="705" t="s">
        <v>400</v>
      </c>
      <c r="K129" s="49" t="s">
        <v>398</v>
      </c>
      <c r="L129" s="50">
        <v>0.7</v>
      </c>
      <c r="M129" s="44"/>
      <c r="N129" s="45"/>
      <c r="O129" s="46"/>
      <c r="P129" s="35"/>
      <c r="R129" s="57"/>
      <c r="U129" s="57"/>
      <c r="V129" s="35"/>
      <c r="X129" s="47">
        <f>ROUND((ROUND((_11_A身体１．０*_11・基礎１),0)*(1+_11・A深夜)),0)+ROUND((ROUND((_11_B身体１．０＿０．５*_11・基礎１),0)*(1+_11・B早朝)),0)+ROUND((_11_C身体１．０＿０．５＿１．５*_11・基礎１),0)</f>
        <v>755</v>
      </c>
      <c r="Y129" s="48"/>
    </row>
    <row r="130" spans="1:25" ht="16.5" customHeight="1" x14ac:dyDescent="0.15">
      <c r="A130" s="41">
        <v>11</v>
      </c>
      <c r="B130" s="41">
        <v>1670</v>
      </c>
      <c r="C130" s="74" t="s">
        <v>2179</v>
      </c>
      <c r="D130" s="72"/>
      <c r="E130" s="99"/>
      <c r="F130" s="72"/>
      <c r="G130" s="99"/>
      <c r="H130" s="100">
        <f>_11_C身体１．０＿０．５＿１．５</f>
        <v>249</v>
      </c>
      <c r="I130" s="12" t="s">
        <v>392</v>
      </c>
      <c r="J130" s="711"/>
      <c r="K130" s="37"/>
      <c r="L130" s="38"/>
      <c r="M130" s="44" t="s">
        <v>397</v>
      </c>
      <c r="N130" s="45" t="s">
        <v>398</v>
      </c>
      <c r="O130" s="46">
        <v>1</v>
      </c>
      <c r="P130" s="35"/>
      <c r="R130" s="57"/>
      <c r="U130" s="57"/>
      <c r="V130" s="43"/>
      <c r="W130" s="37"/>
      <c r="X130" s="47">
        <f>ROUND((ROUND((ROUND((_11_A身体１．０*_11・基礎１),0)*_11・２人),0)*(1+_11・A深夜)),0)+ROUND((ROUND((ROUND((_11_B身体１．０＿０．５*_11・基礎１),0)*_11・２人),0)*(1+_11・B早朝)),0)+ROUND((ROUND((_11_C身体１．０＿０．５＿１．５*_11・基礎１),0)*_11・２人),0)</f>
        <v>755</v>
      </c>
      <c r="Y130" s="48"/>
    </row>
    <row r="131" spans="1:25" ht="16.5" customHeight="1" x14ac:dyDescent="0.15">
      <c r="A131" s="41">
        <v>11</v>
      </c>
      <c r="B131" s="41" t="s">
        <v>2180</v>
      </c>
      <c r="C131" s="74" t="s">
        <v>2181</v>
      </c>
      <c r="D131" s="72"/>
      <c r="E131" s="99"/>
      <c r="F131" s="72"/>
      <c r="G131" s="99"/>
      <c r="H131" s="72"/>
      <c r="I131" s="99"/>
      <c r="J131" s="53"/>
      <c r="K131" s="49"/>
      <c r="L131" s="50"/>
      <c r="M131" s="44"/>
      <c r="N131" s="45"/>
      <c r="O131" s="46"/>
      <c r="P131" s="35"/>
      <c r="R131" s="57"/>
      <c r="U131" s="57"/>
      <c r="V131" s="707" t="s">
        <v>404</v>
      </c>
      <c r="W131" s="708"/>
      <c r="X131" s="47">
        <f>ROUND((ROUND((_11_A身体１．０*(1+_11・A深夜)),0)*_11・初任),0)+ROUND((ROUND((_11_B身体１．０＿０．５*(1+_11・B早朝)),0)*_11・初任),0)+ROUND((_11_C身体１．０＿０．５＿１．５*_11・初任),0)</f>
        <v>756</v>
      </c>
      <c r="Y131" s="48"/>
    </row>
    <row r="132" spans="1:25" ht="16.5" customHeight="1" x14ac:dyDescent="0.15">
      <c r="A132" s="41">
        <v>11</v>
      </c>
      <c r="B132" s="41" t="s">
        <v>2182</v>
      </c>
      <c r="C132" s="74" t="s">
        <v>2183</v>
      </c>
      <c r="D132" s="72"/>
      <c r="E132" s="99"/>
      <c r="F132" s="72"/>
      <c r="G132" s="99"/>
      <c r="H132" s="72"/>
      <c r="I132" s="99"/>
      <c r="J132" s="43"/>
      <c r="K132" s="37"/>
      <c r="L132" s="38"/>
      <c r="M132" s="44" t="s">
        <v>397</v>
      </c>
      <c r="N132" s="45" t="s">
        <v>398</v>
      </c>
      <c r="O132" s="46">
        <v>1</v>
      </c>
      <c r="P132" s="35"/>
      <c r="R132" s="57"/>
      <c r="U132" s="57"/>
      <c r="V132" s="709"/>
      <c r="W132" s="704"/>
      <c r="X132" s="47">
        <f>ROUND((ROUND((ROUND((_11_A身体１．０*_11・２人),0)*(1+_11・A深夜)),0)*_11・初任),0)+ROUND((ROUND((ROUND((_11_B身体１．０＿０．５*_11・２人),0)*(1+_11・B早朝)),0)*_11・初任),0)+ROUND((ROUND((_11_C身体１．０＿０．５＿１．５*_11・２人),0)*_11・初任),0)</f>
        <v>756</v>
      </c>
      <c r="Y132" s="48"/>
    </row>
    <row r="133" spans="1:25" ht="16.5" customHeight="1" x14ac:dyDescent="0.15">
      <c r="A133" s="41">
        <v>11</v>
      </c>
      <c r="B133" s="41" t="s">
        <v>2184</v>
      </c>
      <c r="C133" s="74" t="s">
        <v>2185</v>
      </c>
      <c r="D133" s="72"/>
      <c r="E133" s="99"/>
      <c r="F133" s="72"/>
      <c r="G133" s="99"/>
      <c r="H133" s="72"/>
      <c r="I133" s="99"/>
      <c r="J133" s="705" t="s">
        <v>400</v>
      </c>
      <c r="K133" s="49" t="s">
        <v>398</v>
      </c>
      <c r="L133" s="50">
        <v>0.7</v>
      </c>
      <c r="M133" s="44"/>
      <c r="N133" s="45"/>
      <c r="O133" s="46"/>
      <c r="P133" s="35"/>
      <c r="R133" s="57"/>
      <c r="U133" s="57"/>
      <c r="V133" s="709"/>
      <c r="W133" s="704"/>
      <c r="X133" s="47">
        <f>ROUND((ROUND((ROUND((_11_A身体１．０*_11・基礎１),0)*(1+_11・A深夜)),0)*_11・初任),0)+ROUND((ROUND((ROUND((_11_B身体１．０＿０．５*_11・基礎１),0)*(1+_11・B早朝)),0)*_11・初任),0)+ROUND((ROUND((_11_C身体１．０＿０．５＿１．５*_11・基礎１),0)*_11・初任),0)</f>
        <v>528</v>
      </c>
      <c r="Y133" s="48"/>
    </row>
    <row r="134" spans="1:25" ht="16.5" customHeight="1" x14ac:dyDescent="0.15">
      <c r="A134" s="41">
        <v>11</v>
      </c>
      <c r="B134" s="41" t="s">
        <v>2186</v>
      </c>
      <c r="C134" s="74" t="s">
        <v>2187</v>
      </c>
      <c r="D134" s="72"/>
      <c r="E134" s="99"/>
      <c r="F134" s="72"/>
      <c r="G134" s="99"/>
      <c r="H134" s="72"/>
      <c r="I134" s="99"/>
      <c r="J134" s="711"/>
      <c r="K134" s="37"/>
      <c r="L134" s="38"/>
      <c r="M134" s="44" t="s">
        <v>397</v>
      </c>
      <c r="N134" s="45" t="s">
        <v>398</v>
      </c>
      <c r="O134" s="46">
        <v>1</v>
      </c>
      <c r="P134" s="35"/>
      <c r="R134" s="57"/>
      <c r="U134" s="57"/>
      <c r="V134" s="55" t="s">
        <v>398</v>
      </c>
      <c r="W134" s="38">
        <f>_11・初任</f>
        <v>0.7</v>
      </c>
      <c r="X134" s="47">
        <f>ROUND((ROUND((ROUND((ROUND((_11_A身体１．０*_11・基礎１),0)*_11・２人),0)*(1+_11・A深夜)),0)*_11・初任),0)+ROUND((ROUND((ROUND((ROUND((_11_B身体１．０＿０．５*_11・基礎１),0)*_11・２人),0)*(1+_11・B早朝)),0)*_11・初任),0)+ROUND((ROUND((ROUND((_11_C身体１．０＿０．５＿１．５*_11・基礎１),0)*_11・２人),0)*_11・初任),0)</f>
        <v>528</v>
      </c>
      <c r="Y134" s="48"/>
    </row>
    <row r="135" spans="1:25" ht="16.5" customHeight="1" x14ac:dyDescent="0.15">
      <c r="A135" s="41">
        <v>11</v>
      </c>
      <c r="B135" s="41">
        <v>1671</v>
      </c>
      <c r="C135" s="74" t="s">
        <v>2188</v>
      </c>
      <c r="D135" s="707" t="s">
        <v>2189</v>
      </c>
      <c r="E135" s="717"/>
      <c r="F135" s="707" t="s">
        <v>1035</v>
      </c>
      <c r="G135" s="717"/>
      <c r="H135" s="707" t="s">
        <v>1226</v>
      </c>
      <c r="I135" s="717"/>
      <c r="J135" s="53"/>
      <c r="K135" s="49"/>
      <c r="L135" s="50"/>
      <c r="M135" s="44"/>
      <c r="N135" s="45"/>
      <c r="O135" s="46"/>
      <c r="P135" s="35"/>
      <c r="R135" s="57"/>
      <c r="U135" s="57"/>
      <c r="V135" s="53"/>
      <c r="W135" s="49"/>
      <c r="X135" s="47">
        <f>ROUND((_11_A身体１．５*(1+_11・A深夜)),0)+ROUND((_11_B身体１．５＿０．５*(1+_11・B早朝)),0)+_11_C身体１．５＿０．５＿０．５</f>
        <v>1063</v>
      </c>
      <c r="Y135" s="48"/>
    </row>
    <row r="136" spans="1:25" ht="16.5" customHeight="1" x14ac:dyDescent="0.15">
      <c r="A136" s="41">
        <v>11</v>
      </c>
      <c r="B136" s="41">
        <v>1672</v>
      </c>
      <c r="C136" s="74" t="s">
        <v>2190</v>
      </c>
      <c r="D136" s="709"/>
      <c r="E136" s="718"/>
      <c r="F136" s="709"/>
      <c r="G136" s="718"/>
      <c r="H136" s="709"/>
      <c r="I136" s="718"/>
      <c r="J136" s="43"/>
      <c r="K136" s="37"/>
      <c r="L136" s="38"/>
      <c r="M136" s="44" t="s">
        <v>397</v>
      </c>
      <c r="N136" s="45" t="s">
        <v>398</v>
      </c>
      <c r="O136" s="46">
        <v>1</v>
      </c>
      <c r="P136" s="35"/>
      <c r="R136" s="57"/>
      <c r="U136" s="57"/>
      <c r="V136" s="35"/>
      <c r="X136" s="47">
        <f>ROUND((ROUND((_11_A身体１．５*_11・２人),0)*(1+_11・A深夜)),0)+ROUND((ROUND((_11_B身体１．５＿０．５*_11・２人),0)*(1+_11・B早朝)),0)+ROUND((_11_C身体１．５＿０．５＿０．５*_11・２人),0)</f>
        <v>1063</v>
      </c>
      <c r="Y136" s="48"/>
    </row>
    <row r="137" spans="1:25" ht="16.5" customHeight="1" x14ac:dyDescent="0.15">
      <c r="A137" s="41">
        <v>11</v>
      </c>
      <c r="B137" s="41">
        <v>1673</v>
      </c>
      <c r="C137" s="74" t="s">
        <v>2191</v>
      </c>
      <c r="D137" s="709"/>
      <c r="E137" s="718"/>
      <c r="F137" s="709"/>
      <c r="G137" s="718"/>
      <c r="H137" s="709"/>
      <c r="I137" s="718"/>
      <c r="J137" s="705" t="s">
        <v>400</v>
      </c>
      <c r="K137" s="49" t="s">
        <v>398</v>
      </c>
      <c r="L137" s="50">
        <v>0.7</v>
      </c>
      <c r="M137" s="44"/>
      <c r="N137" s="45"/>
      <c r="O137" s="46"/>
      <c r="P137" s="35"/>
      <c r="R137" s="57"/>
      <c r="U137" s="57"/>
      <c r="V137" s="35"/>
      <c r="X137" s="47">
        <f>ROUND((ROUND((_11_A身体１．５*_11・基礎１),0)*(1+_11・A深夜)),0)+ROUND((ROUND((_11_B身体１．５＿０．５*_11・基礎１),0)*(1+_11・B早朝)),0)+ROUND((_11_C身体１．５＿０．５＿０．５*_11・基礎１),0)</f>
        <v>744</v>
      </c>
      <c r="Y137" s="48"/>
    </row>
    <row r="138" spans="1:25" ht="16.5" customHeight="1" x14ac:dyDescent="0.15">
      <c r="A138" s="41">
        <v>11</v>
      </c>
      <c r="B138" s="41">
        <v>1674</v>
      </c>
      <c r="C138" s="74" t="s">
        <v>2192</v>
      </c>
      <c r="D138" s="100">
        <f>_11_A身体１．５</f>
        <v>584</v>
      </c>
      <c r="E138" s="12" t="s">
        <v>392</v>
      </c>
      <c r="F138" s="100">
        <f>_11_B身体１．５＿０．５</f>
        <v>82</v>
      </c>
      <c r="G138" s="12" t="s">
        <v>392</v>
      </c>
      <c r="H138" s="100">
        <f>_11_C身体１．５＿０．５＿０．５</f>
        <v>84</v>
      </c>
      <c r="I138" s="12" t="s">
        <v>392</v>
      </c>
      <c r="J138" s="711"/>
      <c r="K138" s="37"/>
      <c r="L138" s="38"/>
      <c r="M138" s="44" t="s">
        <v>397</v>
      </c>
      <c r="N138" s="45" t="s">
        <v>398</v>
      </c>
      <c r="O138" s="46">
        <v>1</v>
      </c>
      <c r="P138" s="35"/>
      <c r="R138" s="57"/>
      <c r="U138" s="57"/>
      <c r="V138" s="43"/>
      <c r="W138" s="37"/>
      <c r="X138" s="47">
        <f>ROUND((ROUND((ROUND((_11_A身体１．５*_11・基礎１),0)*_11・２人),0)*(1+_11・A深夜)),0)+ROUND((ROUND((ROUND((_11_B身体１．５＿０．５*_11・基礎１),0)*_11・２人),0)*(1+_11・B早朝)),0)+ROUND((ROUND((_11_C身体１．５＿０．５＿０．５*_11・基礎１),0)*_11・２人),0)</f>
        <v>744</v>
      </c>
      <c r="Y138" s="48"/>
    </row>
    <row r="139" spans="1:25" ht="16.5" customHeight="1" x14ac:dyDescent="0.15">
      <c r="A139" s="41">
        <v>11</v>
      </c>
      <c r="B139" s="41" t="s">
        <v>2193</v>
      </c>
      <c r="C139" s="74" t="s">
        <v>2194</v>
      </c>
      <c r="D139" s="72"/>
      <c r="E139" s="99"/>
      <c r="F139" s="72"/>
      <c r="G139" s="99"/>
      <c r="H139" s="72"/>
      <c r="I139" s="99"/>
      <c r="J139" s="53"/>
      <c r="K139" s="49"/>
      <c r="L139" s="50"/>
      <c r="M139" s="44"/>
      <c r="N139" s="45"/>
      <c r="O139" s="46"/>
      <c r="P139" s="35"/>
      <c r="R139" s="57"/>
      <c r="U139" s="57"/>
      <c r="V139" s="707" t="s">
        <v>404</v>
      </c>
      <c r="W139" s="708"/>
      <c r="X139" s="47">
        <f>ROUND((ROUND((_11_A身体１．５*(1+_11・A深夜)),0)*_11・初任),0)+ROUND((ROUND((_11_B身体１．５＿０．５*(1+_11・B早朝)),0)*_11・初任),0)+ROUND((_11_C身体１．５＿０．５＿０．５*_11・初任),0)</f>
        <v>744</v>
      </c>
      <c r="Y139" s="48"/>
    </row>
    <row r="140" spans="1:25" ht="16.5" customHeight="1" x14ac:dyDescent="0.15">
      <c r="A140" s="41">
        <v>11</v>
      </c>
      <c r="B140" s="41" t="s">
        <v>2195</v>
      </c>
      <c r="C140" s="74" t="s">
        <v>2196</v>
      </c>
      <c r="D140" s="72"/>
      <c r="E140" s="99"/>
      <c r="F140" s="72"/>
      <c r="G140" s="99"/>
      <c r="H140" s="72"/>
      <c r="I140" s="99"/>
      <c r="J140" s="43"/>
      <c r="K140" s="37"/>
      <c r="L140" s="38"/>
      <c r="M140" s="44" t="s">
        <v>397</v>
      </c>
      <c r="N140" s="45" t="s">
        <v>398</v>
      </c>
      <c r="O140" s="46">
        <v>1</v>
      </c>
      <c r="P140" s="35"/>
      <c r="R140" s="57"/>
      <c r="U140" s="57"/>
      <c r="V140" s="709"/>
      <c r="W140" s="704"/>
      <c r="X140" s="47">
        <f>ROUND((ROUND((ROUND((_11_A身体１．５*_11・２人),0)*(1+_11・A深夜)),0)*_11・初任),0)+ROUND((ROUND((ROUND((_11_B身体１．５＿０．５*_11・２人),0)*(1+_11・B早朝)),0)*_11・初任),0)+ROUND((ROUND((_11_C身体１．５＿０．５＿０．５*_11・２人),0)*_11・初任),0)</f>
        <v>744</v>
      </c>
      <c r="Y140" s="48"/>
    </row>
    <row r="141" spans="1:25" ht="16.5" customHeight="1" x14ac:dyDescent="0.15">
      <c r="A141" s="41">
        <v>11</v>
      </c>
      <c r="B141" s="41" t="s">
        <v>2197</v>
      </c>
      <c r="C141" s="74" t="s">
        <v>2198</v>
      </c>
      <c r="D141" s="72"/>
      <c r="E141" s="99"/>
      <c r="F141" s="72"/>
      <c r="G141" s="99"/>
      <c r="H141" s="72"/>
      <c r="I141" s="99"/>
      <c r="J141" s="705" t="s">
        <v>400</v>
      </c>
      <c r="K141" s="49" t="s">
        <v>398</v>
      </c>
      <c r="L141" s="50">
        <v>0.7</v>
      </c>
      <c r="M141" s="44"/>
      <c r="N141" s="45"/>
      <c r="O141" s="46"/>
      <c r="P141" s="35"/>
      <c r="R141" s="57"/>
      <c r="U141" s="57"/>
      <c r="V141" s="709"/>
      <c r="W141" s="704"/>
      <c r="X141" s="47">
        <f>ROUND((ROUND((ROUND((_11_A身体１．５*_11・基礎１),0)*(1+_11・A深夜)),0)*_11・初任),0)+ROUND((ROUND((ROUND((_11_B身体１．５＿０．５*_11・基礎１),0)*(1+_11・B早朝)),0)*_11・初任),0)+ROUND((ROUND((_11_C身体１．５＿０．５＿０．５*_11・基礎１),0)*_11・初任),0)</f>
        <v>521</v>
      </c>
      <c r="Y141" s="48"/>
    </row>
    <row r="142" spans="1:25" ht="16.5" customHeight="1" x14ac:dyDescent="0.15">
      <c r="A142" s="41">
        <v>11</v>
      </c>
      <c r="B142" s="41" t="s">
        <v>2199</v>
      </c>
      <c r="C142" s="74" t="s">
        <v>2200</v>
      </c>
      <c r="D142" s="72"/>
      <c r="E142" s="99"/>
      <c r="F142" s="72"/>
      <c r="G142" s="99"/>
      <c r="H142" s="72"/>
      <c r="I142" s="99"/>
      <c r="J142" s="711"/>
      <c r="K142" s="37"/>
      <c r="L142" s="38"/>
      <c r="M142" s="44" t="s">
        <v>397</v>
      </c>
      <c r="N142" s="45" t="s">
        <v>398</v>
      </c>
      <c r="O142" s="46">
        <v>1</v>
      </c>
      <c r="P142" s="35"/>
      <c r="R142" s="57"/>
      <c r="U142" s="57"/>
      <c r="V142" s="55" t="s">
        <v>398</v>
      </c>
      <c r="W142" s="38">
        <f>_11・初任</f>
        <v>0.7</v>
      </c>
      <c r="X142" s="47">
        <f>ROUND((ROUND((ROUND((ROUND((_11_A身体１．５*_11・基礎１),0)*_11・２人),0)*(1+_11・A深夜)),0)*_11・初任),0)+ROUND((ROUND((ROUND((ROUND((_11_B身体１．５＿０．５*_11・基礎１),0)*_11・２人),0)*(1+_11・B早朝)),0)*_11・初任),0)+ROUND((ROUND((ROUND((_11_C身体１．５＿０．５＿０．５*_11・基礎１),0)*_11・２人),0)*_11・初任),0)</f>
        <v>521</v>
      </c>
      <c r="Y142" s="48"/>
    </row>
    <row r="143" spans="1:25" ht="16.5" customHeight="1" x14ac:dyDescent="0.15">
      <c r="A143" s="41">
        <v>11</v>
      </c>
      <c r="B143" s="41">
        <v>1675</v>
      </c>
      <c r="C143" s="74" t="s">
        <v>2201</v>
      </c>
      <c r="D143" s="72"/>
      <c r="E143" s="99"/>
      <c r="F143" s="72"/>
      <c r="G143" s="99"/>
      <c r="H143" s="707" t="s">
        <v>1304</v>
      </c>
      <c r="I143" s="717"/>
      <c r="J143" s="53"/>
      <c r="K143" s="49"/>
      <c r="L143" s="50"/>
      <c r="M143" s="44"/>
      <c r="N143" s="45"/>
      <c r="O143" s="46"/>
      <c r="P143" s="35"/>
      <c r="R143" s="57"/>
      <c r="U143" s="57"/>
      <c r="V143" s="53"/>
      <c r="W143" s="49"/>
      <c r="X143" s="47">
        <f>ROUND((_11_A身体１．５*(1+_11・A深夜)),0)+ROUND((_11_B身体１．５＿０．５*(1+_11・B早朝)),0)+_11_C身体１．５＿０．５＿１．０</f>
        <v>1146</v>
      </c>
      <c r="Y143" s="48"/>
    </row>
    <row r="144" spans="1:25" ht="16.5" customHeight="1" x14ac:dyDescent="0.15">
      <c r="A144" s="41">
        <v>11</v>
      </c>
      <c r="B144" s="41">
        <v>1676</v>
      </c>
      <c r="C144" s="74" t="s">
        <v>2202</v>
      </c>
      <c r="D144" s="72"/>
      <c r="E144" s="99"/>
      <c r="F144" s="72"/>
      <c r="G144" s="99"/>
      <c r="H144" s="709"/>
      <c r="I144" s="718"/>
      <c r="J144" s="43"/>
      <c r="K144" s="37"/>
      <c r="L144" s="38"/>
      <c r="M144" s="44" t="s">
        <v>397</v>
      </c>
      <c r="N144" s="45" t="s">
        <v>398</v>
      </c>
      <c r="O144" s="46">
        <v>1</v>
      </c>
      <c r="P144" s="35"/>
      <c r="R144" s="57"/>
      <c r="U144" s="57"/>
      <c r="V144" s="35"/>
      <c r="X144" s="47">
        <f>ROUND((ROUND((_11_A身体１．５*_11・２人),0)*(1+_11・A深夜)),0)+ROUND((ROUND((_11_B身体１．５＿０．５*_11・２人),0)*(1+_11・B早朝)),0)+ROUND((_11_C身体１．５＿０．５＿１．０*_11・２人),0)</f>
        <v>1146</v>
      </c>
      <c r="Y144" s="48"/>
    </row>
    <row r="145" spans="1:25" ht="16.5" customHeight="1" x14ac:dyDescent="0.15">
      <c r="A145" s="41">
        <v>11</v>
      </c>
      <c r="B145" s="41">
        <v>1677</v>
      </c>
      <c r="C145" s="74" t="s">
        <v>2203</v>
      </c>
      <c r="D145" s="72"/>
      <c r="E145" s="99"/>
      <c r="F145" s="72"/>
      <c r="G145" s="99"/>
      <c r="H145" s="709"/>
      <c r="I145" s="718"/>
      <c r="J145" s="705" t="s">
        <v>400</v>
      </c>
      <c r="K145" s="49" t="s">
        <v>398</v>
      </c>
      <c r="L145" s="50">
        <v>0.7</v>
      </c>
      <c r="M145" s="44"/>
      <c r="N145" s="45"/>
      <c r="O145" s="46"/>
      <c r="P145" s="35"/>
      <c r="R145" s="57"/>
      <c r="U145" s="57"/>
      <c r="V145" s="35"/>
      <c r="X145" s="47">
        <f>ROUND((ROUND((_11_A身体１．５*_11・基礎１),0)*(1+_11・A深夜)),0)+ROUND((ROUND((_11_B身体１．５＿０．５*_11・基礎１),0)*(1+_11・B早朝)),0)+ROUND((_11_C身体１．５＿０．５＿１．０*_11・基礎１),0)</f>
        <v>802</v>
      </c>
      <c r="Y145" s="48"/>
    </row>
    <row r="146" spans="1:25" ht="16.5" customHeight="1" x14ac:dyDescent="0.15">
      <c r="A146" s="41">
        <v>11</v>
      </c>
      <c r="B146" s="41">
        <v>1678</v>
      </c>
      <c r="C146" s="74" t="s">
        <v>2204</v>
      </c>
      <c r="D146" s="72"/>
      <c r="E146" s="99"/>
      <c r="F146" s="72"/>
      <c r="G146" s="99"/>
      <c r="H146" s="100">
        <f>_11_C身体１．５＿０．５＿１．０</f>
        <v>167</v>
      </c>
      <c r="I146" s="12" t="s">
        <v>392</v>
      </c>
      <c r="J146" s="711"/>
      <c r="K146" s="37"/>
      <c r="L146" s="38"/>
      <c r="M146" s="44" t="s">
        <v>397</v>
      </c>
      <c r="N146" s="45" t="s">
        <v>398</v>
      </c>
      <c r="O146" s="46">
        <v>1</v>
      </c>
      <c r="P146" s="35"/>
      <c r="R146" s="57"/>
      <c r="U146" s="57"/>
      <c r="V146" s="43"/>
      <c r="W146" s="37"/>
      <c r="X146" s="47">
        <f>ROUND((ROUND((ROUND((_11_A身体１．５*_11・基礎１),0)*_11・２人),0)*(1+_11・A深夜)),0)+ROUND((ROUND((ROUND((_11_B身体１．５＿０．５*_11・基礎１),0)*_11・２人),0)*(1+_11・B早朝)),0)+ROUND((ROUND((_11_C身体１．５＿０．５＿１．０*_11・基礎１),0)*_11・２人),0)</f>
        <v>802</v>
      </c>
      <c r="Y146" s="48"/>
    </row>
    <row r="147" spans="1:25" ht="16.5" customHeight="1" x14ac:dyDescent="0.15">
      <c r="A147" s="41">
        <v>11</v>
      </c>
      <c r="B147" s="41" t="s">
        <v>2205</v>
      </c>
      <c r="C147" s="74" t="s">
        <v>2206</v>
      </c>
      <c r="D147" s="72"/>
      <c r="E147" s="99"/>
      <c r="F147" s="72"/>
      <c r="G147" s="99"/>
      <c r="H147" s="72"/>
      <c r="I147" s="99"/>
      <c r="J147" s="53"/>
      <c r="K147" s="49"/>
      <c r="L147" s="50"/>
      <c r="M147" s="44"/>
      <c r="N147" s="45"/>
      <c r="O147" s="46"/>
      <c r="P147" s="35"/>
      <c r="R147" s="57"/>
      <c r="U147" s="57"/>
      <c r="V147" s="707" t="s">
        <v>404</v>
      </c>
      <c r="W147" s="708"/>
      <c r="X147" s="47">
        <f>ROUND((ROUND((_11_A身体１．５*(1+_11・A深夜)),0)*_11・初任),0)+ROUND((ROUND((_11_B身体１．５＿０．５*(1+_11・B早朝)),0)*_11・初任),0)+ROUND((_11_C身体１．５＿０．５＿１．０*_11・初任),0)</f>
        <v>802</v>
      </c>
      <c r="Y147" s="48"/>
    </row>
    <row r="148" spans="1:25" ht="16.5" customHeight="1" x14ac:dyDescent="0.15">
      <c r="A148" s="41">
        <v>11</v>
      </c>
      <c r="B148" s="41" t="s">
        <v>2207</v>
      </c>
      <c r="C148" s="74" t="s">
        <v>2208</v>
      </c>
      <c r="D148" s="72"/>
      <c r="E148" s="99"/>
      <c r="F148" s="72"/>
      <c r="G148" s="99"/>
      <c r="H148" s="72"/>
      <c r="I148" s="99"/>
      <c r="J148" s="43"/>
      <c r="K148" s="37"/>
      <c r="L148" s="38"/>
      <c r="M148" s="44" t="s">
        <v>397</v>
      </c>
      <c r="N148" s="45" t="s">
        <v>398</v>
      </c>
      <c r="O148" s="46">
        <v>1</v>
      </c>
      <c r="P148" s="35"/>
      <c r="R148" s="57"/>
      <c r="U148" s="57"/>
      <c r="V148" s="709"/>
      <c r="W148" s="704"/>
      <c r="X148" s="47">
        <f>ROUND((ROUND((ROUND((_11_A身体１．５*_11・２人),0)*(1+_11・A深夜)),0)*_11・初任),0)+ROUND((ROUND((ROUND((_11_B身体１．５＿０．５*_11・２人),0)*(1+_11・B早朝)),0)*_11・初任),0)+ROUND((ROUND((_11_C身体１．５＿０．５＿１．０*_11・２人),0)*_11・初任),0)</f>
        <v>802</v>
      </c>
      <c r="Y148" s="48"/>
    </row>
    <row r="149" spans="1:25" ht="16.5" customHeight="1" x14ac:dyDescent="0.15">
      <c r="A149" s="41">
        <v>11</v>
      </c>
      <c r="B149" s="41" t="s">
        <v>2209</v>
      </c>
      <c r="C149" s="74" t="s">
        <v>2210</v>
      </c>
      <c r="D149" s="72"/>
      <c r="E149" s="99"/>
      <c r="F149" s="72"/>
      <c r="G149" s="99"/>
      <c r="H149" s="72"/>
      <c r="I149" s="99"/>
      <c r="J149" s="705" t="s">
        <v>400</v>
      </c>
      <c r="K149" s="49" t="s">
        <v>398</v>
      </c>
      <c r="L149" s="50">
        <v>0.7</v>
      </c>
      <c r="M149" s="44"/>
      <c r="N149" s="45"/>
      <c r="O149" s="46"/>
      <c r="P149" s="35"/>
      <c r="R149" s="57"/>
      <c r="U149" s="57"/>
      <c r="V149" s="709"/>
      <c r="W149" s="704"/>
      <c r="X149" s="47">
        <f>ROUND((ROUND((ROUND((_11_A身体１．５*_11・基礎１),0)*(1+_11・A深夜)),0)*_11・初任),0)+ROUND((ROUND((ROUND((_11_B身体１．５＿０．５*_11・基礎１),0)*(1+_11・B早朝)),0)*_11・初任),0)+ROUND((ROUND((_11_C身体１．５＿０．５＿１．０*_11・基礎１),0)*_11・初任),0)</f>
        <v>562</v>
      </c>
      <c r="Y149" s="48"/>
    </row>
    <row r="150" spans="1:25" ht="16.5" customHeight="1" x14ac:dyDescent="0.15">
      <c r="A150" s="41">
        <v>11</v>
      </c>
      <c r="B150" s="41" t="s">
        <v>2211</v>
      </c>
      <c r="C150" s="74" t="s">
        <v>2212</v>
      </c>
      <c r="D150" s="72"/>
      <c r="E150" s="99"/>
      <c r="F150" s="72"/>
      <c r="G150" s="99"/>
      <c r="H150" s="72"/>
      <c r="I150" s="99"/>
      <c r="J150" s="711"/>
      <c r="K150" s="37"/>
      <c r="L150" s="38"/>
      <c r="M150" s="44" t="s">
        <v>397</v>
      </c>
      <c r="N150" s="45" t="s">
        <v>398</v>
      </c>
      <c r="O150" s="46">
        <v>1</v>
      </c>
      <c r="P150" s="35"/>
      <c r="R150" s="57"/>
      <c r="U150" s="57"/>
      <c r="V150" s="55" t="s">
        <v>398</v>
      </c>
      <c r="W150" s="38">
        <f>_11・初任</f>
        <v>0.7</v>
      </c>
      <c r="X150" s="47">
        <f>ROUND((ROUND((ROUND((ROUND((_11_A身体１．５*_11・基礎１),0)*_11・２人),0)*(1+_11・A深夜)),0)*_11・初任),0)+ROUND((ROUND((ROUND((ROUND((_11_B身体１．５＿０．５*_11・基礎１),0)*_11・２人),0)*(1+_11・B早朝)),0)*_11・初任),0)+ROUND((ROUND((ROUND((_11_C身体１．５＿０．５＿１．０*_11・基礎１),0)*_11・２人),0)*_11・初任),0)</f>
        <v>562</v>
      </c>
      <c r="Y150" s="48"/>
    </row>
    <row r="151" spans="1:25" ht="16.5" customHeight="1" x14ac:dyDescent="0.15">
      <c r="A151" s="41">
        <v>11</v>
      </c>
      <c r="B151" s="41">
        <v>1679</v>
      </c>
      <c r="C151" s="74" t="s">
        <v>2213</v>
      </c>
      <c r="D151" s="707" t="s">
        <v>2214</v>
      </c>
      <c r="E151" s="717"/>
      <c r="F151" s="707" t="s">
        <v>1035</v>
      </c>
      <c r="G151" s="717"/>
      <c r="H151" s="707" t="s">
        <v>1226</v>
      </c>
      <c r="I151" s="717"/>
      <c r="J151" s="53"/>
      <c r="K151" s="49"/>
      <c r="L151" s="50"/>
      <c r="M151" s="44"/>
      <c r="N151" s="45"/>
      <c r="O151" s="46"/>
      <c r="P151" s="35"/>
      <c r="R151" s="57"/>
      <c r="U151" s="57"/>
      <c r="V151" s="53"/>
      <c r="W151" s="49"/>
      <c r="X151" s="47">
        <f>ROUND((_11_A身体２．０*(1+_11・A深夜)),0)+ROUND((_11_B身体２．０＿０．５*(1+_11・B早朝)),0)+_11_C身体２．０＿０．５＿０．５</f>
        <v>1187</v>
      </c>
      <c r="Y151" s="48"/>
    </row>
    <row r="152" spans="1:25" ht="16.5" customHeight="1" x14ac:dyDescent="0.15">
      <c r="A152" s="41">
        <v>11</v>
      </c>
      <c r="B152" s="41">
        <v>1680</v>
      </c>
      <c r="C152" s="74" t="s">
        <v>2215</v>
      </c>
      <c r="D152" s="709"/>
      <c r="E152" s="718"/>
      <c r="F152" s="709"/>
      <c r="G152" s="718"/>
      <c r="H152" s="709"/>
      <c r="I152" s="718"/>
      <c r="J152" s="43"/>
      <c r="K152" s="37"/>
      <c r="L152" s="38"/>
      <c r="M152" s="44" t="s">
        <v>397</v>
      </c>
      <c r="N152" s="45" t="s">
        <v>398</v>
      </c>
      <c r="O152" s="46">
        <v>1</v>
      </c>
      <c r="P152" s="35"/>
      <c r="R152" s="57"/>
      <c r="U152" s="57"/>
      <c r="V152" s="35"/>
      <c r="X152" s="47">
        <f>ROUND((ROUND((_11_A身体２．０*_11・２人),0)*(1+_11・A深夜)),0)+ROUND((ROUND((_11_B身体２．０＿０．５*_11・２人),0)*(1+_11・B早朝)),0)+ROUND((_11_C身体２．０＿０．５＿０．５*_11・２人),0)</f>
        <v>1187</v>
      </c>
      <c r="Y152" s="48"/>
    </row>
    <row r="153" spans="1:25" ht="16.5" customHeight="1" x14ac:dyDescent="0.15">
      <c r="A153" s="41">
        <v>11</v>
      </c>
      <c r="B153" s="41">
        <v>1681</v>
      </c>
      <c r="C153" s="74" t="s">
        <v>2216</v>
      </c>
      <c r="D153" s="709"/>
      <c r="E153" s="718"/>
      <c r="F153" s="709"/>
      <c r="G153" s="718"/>
      <c r="H153" s="709"/>
      <c r="I153" s="718"/>
      <c r="J153" s="705" t="s">
        <v>400</v>
      </c>
      <c r="K153" s="49" t="s">
        <v>398</v>
      </c>
      <c r="L153" s="50">
        <v>0.7</v>
      </c>
      <c r="M153" s="44"/>
      <c r="N153" s="45"/>
      <c r="O153" s="46"/>
      <c r="P153" s="35"/>
      <c r="R153" s="57"/>
      <c r="U153" s="57"/>
      <c r="V153" s="35"/>
      <c r="X153" s="47">
        <f>ROUND((ROUND((_11_A身体２．０*_11・基礎１),0)*(1+_11・A深夜)),0)+ROUND((ROUND((_11_B身体２．０＿０．５*_11・基礎１),0)*(1+_11・B早朝)),0)+ROUND((_11_C身体２．０＿０．５＿０．５*_11・基礎１),0)</f>
        <v>831</v>
      </c>
      <c r="Y153" s="48"/>
    </row>
    <row r="154" spans="1:25" ht="16.5" customHeight="1" x14ac:dyDescent="0.15">
      <c r="A154" s="41">
        <v>11</v>
      </c>
      <c r="B154" s="41">
        <v>1682</v>
      </c>
      <c r="C154" s="74" t="s">
        <v>2217</v>
      </c>
      <c r="D154" s="100">
        <f>_11_A身体２．０</f>
        <v>666</v>
      </c>
      <c r="E154" s="12" t="s">
        <v>392</v>
      </c>
      <c r="F154" s="100">
        <f>_11_B身体２．０＿０．５</f>
        <v>84</v>
      </c>
      <c r="G154" s="12" t="s">
        <v>392</v>
      </c>
      <c r="H154" s="100">
        <f>_11_C身体２．０＿０．５＿０．５</f>
        <v>83</v>
      </c>
      <c r="I154" s="12" t="s">
        <v>392</v>
      </c>
      <c r="J154" s="711"/>
      <c r="K154" s="37"/>
      <c r="L154" s="38"/>
      <c r="M154" s="44" t="s">
        <v>397</v>
      </c>
      <c r="N154" s="45" t="s">
        <v>398</v>
      </c>
      <c r="O154" s="46">
        <v>1</v>
      </c>
      <c r="P154" s="35"/>
      <c r="R154" s="57"/>
      <c r="U154" s="57"/>
      <c r="V154" s="43"/>
      <c r="W154" s="37"/>
      <c r="X154" s="47">
        <f>ROUND((ROUND((ROUND((_11_A身体２．０*_11・基礎１),0)*_11・２人),0)*(1+_11・A深夜)),0)+ROUND((ROUND((ROUND((_11_B身体２．０＿０．５*_11・基礎１),0)*_11・２人),0)*(1+_11・B早朝)),0)+ROUND((ROUND((_11_C身体２．０＿０．５＿０．５*_11・基礎１),0)*_11・２人),0)</f>
        <v>831</v>
      </c>
      <c r="Y154" s="48"/>
    </row>
    <row r="155" spans="1:25" ht="16.5" customHeight="1" x14ac:dyDescent="0.15">
      <c r="A155" s="41">
        <v>11</v>
      </c>
      <c r="B155" s="41" t="s">
        <v>2218</v>
      </c>
      <c r="C155" s="74" t="s">
        <v>2219</v>
      </c>
      <c r="D155" s="72"/>
      <c r="E155" s="99"/>
      <c r="F155" s="72"/>
      <c r="G155" s="99"/>
      <c r="H155" s="72"/>
      <c r="I155" s="99"/>
      <c r="J155" s="53"/>
      <c r="K155" s="49"/>
      <c r="L155" s="50"/>
      <c r="M155" s="44"/>
      <c r="N155" s="45"/>
      <c r="O155" s="46"/>
      <c r="P155" s="35"/>
      <c r="R155" s="57"/>
      <c r="U155" s="57"/>
      <c r="V155" s="707" t="s">
        <v>404</v>
      </c>
      <c r="W155" s="708"/>
      <c r="X155" s="47">
        <f>ROUND((ROUND((_11_A身体２．０*(1+_11・A深夜)),0)*_11・初任),0)+ROUND((ROUND((_11_B身体２．０＿０．５*(1+_11・B早朝)),0)*_11・初任),0)+ROUND((_11_C身体２．０＿０．５＿０．５*_11・初任),0)</f>
        <v>831</v>
      </c>
      <c r="Y155" s="48"/>
    </row>
    <row r="156" spans="1:25" ht="16.5" customHeight="1" x14ac:dyDescent="0.15">
      <c r="A156" s="41">
        <v>11</v>
      </c>
      <c r="B156" s="41" t="s">
        <v>2220</v>
      </c>
      <c r="C156" s="74" t="s">
        <v>2221</v>
      </c>
      <c r="D156" s="72"/>
      <c r="E156" s="99"/>
      <c r="F156" s="72"/>
      <c r="G156" s="99"/>
      <c r="H156" s="72"/>
      <c r="I156" s="99"/>
      <c r="J156" s="43"/>
      <c r="K156" s="37"/>
      <c r="L156" s="38"/>
      <c r="M156" s="44" t="s">
        <v>397</v>
      </c>
      <c r="N156" s="45" t="s">
        <v>398</v>
      </c>
      <c r="O156" s="46">
        <v>1</v>
      </c>
      <c r="P156" s="35"/>
      <c r="R156" s="57"/>
      <c r="U156" s="57"/>
      <c r="V156" s="709"/>
      <c r="W156" s="704"/>
      <c r="X156" s="47">
        <f>ROUND((ROUND((ROUND((_11_A身体２．０*_11・２人),0)*(1+_11・A深夜)),0)*_11・初任),0)+ROUND((ROUND((ROUND((_11_B身体２．０＿０．５*_11・２人),0)*(1+_11・B早朝)),0)*_11・初任),0)+ROUND((ROUND((_11_C身体２．０＿０．５＿０．５*_11・２人),0)*_11・初任),0)</f>
        <v>831</v>
      </c>
      <c r="Y156" s="48"/>
    </row>
    <row r="157" spans="1:25" ht="16.5" customHeight="1" x14ac:dyDescent="0.15">
      <c r="A157" s="41">
        <v>11</v>
      </c>
      <c r="B157" s="41" t="s">
        <v>2222</v>
      </c>
      <c r="C157" s="74" t="s">
        <v>2223</v>
      </c>
      <c r="D157" s="72"/>
      <c r="E157" s="99"/>
      <c r="F157" s="72"/>
      <c r="G157" s="99"/>
      <c r="H157" s="72"/>
      <c r="I157" s="99"/>
      <c r="J157" s="705" t="s">
        <v>400</v>
      </c>
      <c r="K157" s="49" t="s">
        <v>398</v>
      </c>
      <c r="L157" s="50">
        <v>0.7</v>
      </c>
      <c r="M157" s="44"/>
      <c r="N157" s="45"/>
      <c r="O157" s="46"/>
      <c r="P157" s="35"/>
      <c r="R157" s="57"/>
      <c r="U157" s="57"/>
      <c r="V157" s="709"/>
      <c r="W157" s="704"/>
      <c r="X157" s="47">
        <f>ROUND((ROUND((ROUND((_11_A身体２．０*_11・基礎１),0)*(1+_11・A深夜)),0)*_11・初任),0)+ROUND((ROUND((ROUND((_11_B身体２．０＿０．５*_11・基礎１),0)*(1+_11・B早朝)),0)*_11・初任),0)+ROUND((ROUND((_11_C身体２．０＿０．５＿０．５*_11・基礎１),0)*_11・初任),0)</f>
        <v>582</v>
      </c>
      <c r="Y157" s="48"/>
    </row>
    <row r="158" spans="1:25" ht="16.5" customHeight="1" x14ac:dyDescent="0.15">
      <c r="A158" s="41">
        <v>11</v>
      </c>
      <c r="B158" s="41" t="s">
        <v>2224</v>
      </c>
      <c r="C158" s="74" t="s">
        <v>2225</v>
      </c>
      <c r="D158" s="122"/>
      <c r="E158" s="111"/>
      <c r="F158" s="122"/>
      <c r="G158" s="111"/>
      <c r="H158" s="122"/>
      <c r="I158" s="111"/>
      <c r="J158" s="711"/>
      <c r="K158" s="37"/>
      <c r="L158" s="38"/>
      <c r="M158" s="44" t="s">
        <v>397</v>
      </c>
      <c r="N158" s="45" t="s">
        <v>398</v>
      </c>
      <c r="O158" s="46">
        <v>1</v>
      </c>
      <c r="P158" s="43"/>
      <c r="Q158" s="38"/>
      <c r="R158" s="79"/>
      <c r="S158" s="37"/>
      <c r="T158" s="38"/>
      <c r="U158" s="79"/>
      <c r="V158" s="55" t="s">
        <v>398</v>
      </c>
      <c r="W158" s="38">
        <f>_11・初任</f>
        <v>0.7</v>
      </c>
      <c r="X158" s="47">
        <f>ROUND((ROUND((ROUND((ROUND((_11_A身体２．０*_11・基礎１),0)*_11・２人),0)*(1+_11・A深夜)),0)*_11・初任),0)+ROUND((ROUND((ROUND((ROUND((_11_B身体２．０＿０．５*_11・基礎１),0)*_11・２人),0)*(1+_11・B早朝)),0)*_11・初任),0)+ROUND((ROUND((ROUND((_11_C身体２．０＿０．５＿０．５*_11・基礎１),0)*_11・２人),0)*_11・初任),0)</f>
        <v>582</v>
      </c>
      <c r="Y158" s="63"/>
    </row>
    <row r="159" spans="1:25" ht="16.5" customHeight="1" x14ac:dyDescent="0.15"/>
    <row r="160" spans="1:25" ht="16.5" customHeight="1" x14ac:dyDescent="0.15"/>
  </sheetData>
  <mergeCells count="98">
    <mergeCell ref="D151:E153"/>
    <mergeCell ref="F151:G153"/>
    <mergeCell ref="H151:I153"/>
    <mergeCell ref="J153:J154"/>
    <mergeCell ref="V155:W157"/>
    <mergeCell ref="J157:J158"/>
    <mergeCell ref="V139:W141"/>
    <mergeCell ref="J141:J142"/>
    <mergeCell ref="H143:I145"/>
    <mergeCell ref="J145:J146"/>
    <mergeCell ref="V147:W149"/>
    <mergeCell ref="J149:J150"/>
    <mergeCell ref="H127:I129"/>
    <mergeCell ref="J129:J130"/>
    <mergeCell ref="V131:W133"/>
    <mergeCell ref="J133:J134"/>
    <mergeCell ref="D135:E137"/>
    <mergeCell ref="F135:G137"/>
    <mergeCell ref="H135:I137"/>
    <mergeCell ref="J137:J138"/>
    <mergeCell ref="V115:W117"/>
    <mergeCell ref="J117:J118"/>
    <mergeCell ref="H119:I121"/>
    <mergeCell ref="J121:J122"/>
    <mergeCell ref="V123:W125"/>
    <mergeCell ref="J125:J126"/>
    <mergeCell ref="V107:W109"/>
    <mergeCell ref="J109:J110"/>
    <mergeCell ref="D111:E113"/>
    <mergeCell ref="F111:G113"/>
    <mergeCell ref="H111:I113"/>
    <mergeCell ref="J113:J114"/>
    <mergeCell ref="H95:I97"/>
    <mergeCell ref="J97:J98"/>
    <mergeCell ref="V99:W101"/>
    <mergeCell ref="J101:J102"/>
    <mergeCell ref="H103:I105"/>
    <mergeCell ref="J105:J106"/>
    <mergeCell ref="V83:W85"/>
    <mergeCell ref="J85:J86"/>
    <mergeCell ref="H87:I89"/>
    <mergeCell ref="J89:J90"/>
    <mergeCell ref="V91:W93"/>
    <mergeCell ref="J93:J94"/>
    <mergeCell ref="D79:E81"/>
    <mergeCell ref="F79:G81"/>
    <mergeCell ref="H79:I81"/>
    <mergeCell ref="R80:R81"/>
    <mergeCell ref="U80:U81"/>
    <mergeCell ref="J81:J82"/>
    <mergeCell ref="D71:E73"/>
    <mergeCell ref="F71:G73"/>
    <mergeCell ref="H71:I73"/>
    <mergeCell ref="J73:J74"/>
    <mergeCell ref="V75:W77"/>
    <mergeCell ref="J77:J78"/>
    <mergeCell ref="V59:W61"/>
    <mergeCell ref="J61:J62"/>
    <mergeCell ref="H63:I65"/>
    <mergeCell ref="J65:J66"/>
    <mergeCell ref="V67:W69"/>
    <mergeCell ref="J69:J70"/>
    <mergeCell ref="V51:W53"/>
    <mergeCell ref="J53:J54"/>
    <mergeCell ref="D55:E57"/>
    <mergeCell ref="F55:G57"/>
    <mergeCell ref="H55:I57"/>
    <mergeCell ref="J57:J58"/>
    <mergeCell ref="H39:I41"/>
    <mergeCell ref="J41:J42"/>
    <mergeCell ref="V43:W45"/>
    <mergeCell ref="J45:J46"/>
    <mergeCell ref="H47:I49"/>
    <mergeCell ref="J49:J50"/>
    <mergeCell ref="D31:E33"/>
    <mergeCell ref="F31:G33"/>
    <mergeCell ref="H31:I33"/>
    <mergeCell ref="J33:J34"/>
    <mergeCell ref="V35:W37"/>
    <mergeCell ref="J37:J38"/>
    <mergeCell ref="D23:E25"/>
    <mergeCell ref="F23:G25"/>
    <mergeCell ref="H23:I25"/>
    <mergeCell ref="J25:J26"/>
    <mergeCell ref="V27:W29"/>
    <mergeCell ref="J29:J30"/>
    <mergeCell ref="V11:W13"/>
    <mergeCell ref="J13:J14"/>
    <mergeCell ref="H15:I17"/>
    <mergeCell ref="J17:J18"/>
    <mergeCell ref="V19:W21"/>
    <mergeCell ref="J21:J22"/>
    <mergeCell ref="D7:E9"/>
    <mergeCell ref="F7:G9"/>
    <mergeCell ref="H7:I9"/>
    <mergeCell ref="R8:R9"/>
    <mergeCell ref="U8:U9"/>
    <mergeCell ref="J9:J10"/>
  </mergeCells>
  <phoneticPr fontId="1"/>
  <printOptions horizontalCentered="1"/>
  <pageMargins left="0.70866141732283472" right="0.70866141732283472" top="0.74803149606299213" bottom="0.74803149606299213" header="0.31496062992125984" footer="0.31496062992125984"/>
  <pageSetup paperSize="9" scale="45" fitToHeight="0" orientation="portrait" r:id="rId1"/>
  <headerFooter>
    <oddHeader>&amp;R&amp;"ＭＳ Ｐゴシック"&amp;9居宅介護</oddHeader>
    <oddFooter>&amp;C&amp;"ＭＳ Ｐゴシック"&amp;14&amp;P</oddFooter>
  </headerFooter>
  <rowBreaks count="1" manualBreakCount="1">
    <brk id="78" max="24"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9">
    <pageSetUpPr fitToPage="1"/>
  </sheetPr>
  <dimension ref="A1:AF464"/>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875" style="10" bestFit="1" customWidth="1"/>
    <col min="4" max="4" width="4.5" style="10" customWidth="1"/>
    <col min="5" max="5" width="4.125" style="12" bestFit="1" customWidth="1"/>
    <col min="6" max="6" width="4.875" style="12" bestFit="1" customWidth="1"/>
    <col min="7" max="7" width="4.5" style="10" customWidth="1"/>
    <col min="8" max="8" width="4.125" style="12" bestFit="1" customWidth="1"/>
    <col min="9" max="9" width="4.875" style="12" bestFit="1" customWidth="1"/>
    <col min="10" max="10" width="4.5" style="10" customWidth="1"/>
    <col min="11" max="11" width="4.125" style="12" bestFit="1" customWidth="1"/>
    <col min="12" max="12" width="4.875" style="12" bestFit="1" customWidth="1"/>
    <col min="13" max="13" width="14.5" style="12" customWidth="1"/>
    <col min="14" max="14" width="3.125" style="12" bestFit="1" customWidth="1"/>
    <col min="15" max="15" width="4.125" style="13" bestFit="1" customWidth="1"/>
    <col min="16" max="16" width="25.5" style="12" customWidth="1"/>
    <col min="17" max="17" width="3.125" style="12" bestFit="1" customWidth="1"/>
    <col min="18" max="18" width="5" style="13" bestFit="1" customWidth="1"/>
    <col min="19" max="19" width="4.125" style="13" bestFit="1" customWidth="1"/>
    <col min="20" max="20" width="4.875" style="12" bestFit="1" customWidth="1"/>
    <col min="21" max="21" width="4.125" style="13" bestFit="1" customWidth="1"/>
    <col min="22" max="22" width="4.875" style="12" bestFit="1" customWidth="1"/>
    <col min="23" max="23" width="10.5" style="12" customWidth="1"/>
    <col min="24" max="24" width="3.125" style="12" bestFit="1" customWidth="1"/>
    <col min="25" max="25" width="4.125" style="13" bestFit="1" customWidth="1"/>
    <col min="26" max="26" width="4.875" style="12" bestFit="1" customWidth="1"/>
    <col min="27" max="27" width="7.5" style="12" customWidth="1"/>
    <col min="28" max="28" width="3.125" style="12" bestFit="1" customWidth="1"/>
    <col min="29" max="29" width="4.125" style="13" bestFit="1" customWidth="1"/>
    <col min="30" max="30" width="4.875" style="12" bestFit="1" customWidth="1"/>
    <col min="31" max="31" width="7.125" style="206" customWidth="1"/>
    <col min="32" max="32" width="8.5" style="16" customWidth="1"/>
    <col min="33" max="16384" width="9" style="12"/>
  </cols>
  <sheetData>
    <row r="1" spans="1:32" ht="17.100000000000001" customHeight="1" x14ac:dyDescent="0.15"/>
    <row r="2" spans="1:32" ht="17.100000000000001" customHeight="1" x14ac:dyDescent="0.15"/>
    <row r="3" spans="1:32" ht="17.100000000000001" customHeight="1" x14ac:dyDescent="0.15"/>
    <row r="4" spans="1:32" ht="17.100000000000001" customHeight="1" x14ac:dyDescent="0.15">
      <c r="B4" s="17" t="s">
        <v>21200</v>
      </c>
      <c r="D4" s="71"/>
    </row>
    <row r="5" spans="1:32" ht="16.5" customHeight="1" x14ac:dyDescent="0.15">
      <c r="A5" s="19" t="s">
        <v>384</v>
      </c>
      <c r="B5" s="20"/>
      <c r="C5" s="21" t="s">
        <v>385</v>
      </c>
      <c r="D5" s="23" t="s">
        <v>386</v>
      </c>
      <c r="E5" s="23"/>
      <c r="F5" s="23"/>
      <c r="G5" s="23"/>
      <c r="H5" s="23"/>
      <c r="I5" s="23"/>
      <c r="J5" s="23"/>
      <c r="K5" s="23"/>
      <c r="L5" s="23"/>
      <c r="M5" s="23"/>
      <c r="N5" s="23"/>
      <c r="O5" s="24"/>
      <c r="P5" s="23"/>
      <c r="Q5" s="23"/>
      <c r="R5" s="24"/>
      <c r="S5" s="24"/>
      <c r="T5" s="23"/>
      <c r="U5" s="24"/>
      <c r="V5" s="23"/>
      <c r="W5" s="23"/>
      <c r="X5" s="23"/>
      <c r="Y5" s="24"/>
      <c r="Z5" s="23"/>
      <c r="AA5" s="23"/>
      <c r="AB5" s="23"/>
      <c r="AC5" s="24"/>
      <c r="AD5" s="23"/>
      <c r="AE5" s="21" t="s">
        <v>387</v>
      </c>
      <c r="AF5" s="21" t="s">
        <v>388</v>
      </c>
    </row>
    <row r="6" spans="1:32" ht="16.5" customHeight="1" x14ac:dyDescent="0.15">
      <c r="A6" s="26" t="s">
        <v>389</v>
      </c>
      <c r="B6" s="26" t="s">
        <v>390</v>
      </c>
      <c r="C6" s="27"/>
      <c r="D6" s="87" t="s">
        <v>1032</v>
      </c>
      <c r="E6" s="187"/>
      <c r="F6" s="20"/>
      <c r="G6" s="87" t="s">
        <v>3910</v>
      </c>
      <c r="H6" s="187"/>
      <c r="I6" s="20"/>
      <c r="J6" s="29"/>
      <c r="K6" s="29"/>
      <c r="L6" s="29"/>
      <c r="M6" s="29"/>
      <c r="N6" s="29"/>
      <c r="O6" s="30"/>
      <c r="P6" s="29"/>
      <c r="Q6" s="29"/>
      <c r="R6" s="30"/>
      <c r="S6" s="30"/>
      <c r="T6" s="29"/>
      <c r="U6" s="30"/>
      <c r="V6" s="29"/>
      <c r="W6" s="29"/>
      <c r="X6" s="29"/>
      <c r="Y6" s="30"/>
      <c r="Z6" s="29"/>
      <c r="AA6" s="29"/>
      <c r="AB6" s="29"/>
      <c r="AC6" s="30"/>
      <c r="AD6" s="29"/>
      <c r="AE6" s="32" t="s">
        <v>391</v>
      </c>
      <c r="AF6" s="32" t="s">
        <v>392</v>
      </c>
    </row>
    <row r="7" spans="1:32" ht="16.5" customHeight="1" x14ac:dyDescent="0.15">
      <c r="A7" s="33">
        <v>15</v>
      </c>
      <c r="B7" s="33" t="s">
        <v>842</v>
      </c>
      <c r="C7" s="34" t="s">
        <v>21201</v>
      </c>
      <c r="D7" s="72" t="s">
        <v>18487</v>
      </c>
      <c r="F7" s="57"/>
      <c r="G7" s="72" t="s">
        <v>18819</v>
      </c>
      <c r="I7" s="57"/>
      <c r="J7" s="72" t="s">
        <v>19919</v>
      </c>
      <c r="L7" s="57"/>
      <c r="M7" s="35"/>
      <c r="P7" s="122"/>
      <c r="Q7" s="37"/>
      <c r="R7" s="38"/>
      <c r="S7" s="512"/>
      <c r="T7" s="57"/>
      <c r="U7" s="512"/>
      <c r="V7" s="57"/>
      <c r="W7" s="35"/>
      <c r="Z7" s="57"/>
      <c r="AA7" s="35"/>
      <c r="AD7" s="57"/>
      <c r="AE7" s="207">
        <f>ROUND((_15_同援日０．５*(1+_15・A深夜)),0)+ROUND((_15_同援日０．５＿０．５*(1+_15・B早朝)),0)+_15_同援日０．５＿０．５＿０．５</f>
        <v>556</v>
      </c>
      <c r="AF7" s="40" t="s">
        <v>395</v>
      </c>
    </row>
    <row r="8" spans="1:32" ht="16.5" customHeight="1" x14ac:dyDescent="0.15">
      <c r="A8" s="41">
        <v>15</v>
      </c>
      <c r="B8" s="41" t="s">
        <v>844</v>
      </c>
      <c r="C8" s="74" t="s">
        <v>21202</v>
      </c>
      <c r="D8" s="72" t="s">
        <v>18259</v>
      </c>
      <c r="F8" s="57"/>
      <c r="G8" s="72" t="s">
        <v>18259</v>
      </c>
      <c r="I8" s="57"/>
      <c r="J8" s="72" t="s">
        <v>18259</v>
      </c>
      <c r="L8" s="57"/>
      <c r="M8" s="43"/>
      <c r="N8" s="37"/>
      <c r="O8" s="38"/>
      <c r="P8" s="299" t="s">
        <v>17556</v>
      </c>
      <c r="Q8" s="45" t="s">
        <v>398</v>
      </c>
      <c r="R8" s="46">
        <v>1</v>
      </c>
      <c r="S8" s="512"/>
      <c r="T8" s="57"/>
      <c r="U8" s="512"/>
      <c r="V8" s="57"/>
      <c r="W8" s="35"/>
      <c r="Z8" s="57"/>
      <c r="AA8" s="35"/>
      <c r="AD8" s="57"/>
      <c r="AE8" s="208">
        <f>ROUND((ROUND((_15_同援日０．５*_15・２人),0)*(1+_15・A深夜)),0)+ROUND((ROUND((_15_同援日０．５＿０．５*_15・２人),0)*(1+_15・B早朝)),0)+ROUND((_15_同援日０．５＿０．５＿０．５*_15・２人),0)</f>
        <v>556</v>
      </c>
      <c r="AF8" s="48"/>
    </row>
    <row r="9" spans="1:32" ht="16.5" customHeight="1" x14ac:dyDescent="0.15">
      <c r="A9" s="41">
        <v>15</v>
      </c>
      <c r="B9" s="41" t="s">
        <v>21203</v>
      </c>
      <c r="C9" s="74" t="s">
        <v>21204</v>
      </c>
      <c r="D9" s="72"/>
      <c r="F9" s="57"/>
      <c r="G9" s="72"/>
      <c r="I9" s="57"/>
      <c r="J9" s="72"/>
      <c r="L9" s="57"/>
      <c r="M9" s="114" t="s">
        <v>17558</v>
      </c>
      <c r="N9" s="49"/>
      <c r="O9" s="50"/>
      <c r="P9" s="299"/>
      <c r="Q9" s="45"/>
      <c r="R9" s="46"/>
      <c r="S9" s="512"/>
      <c r="T9" s="57"/>
      <c r="U9" s="512"/>
      <c r="V9" s="57"/>
      <c r="W9" s="35"/>
      <c r="Z9" s="57"/>
      <c r="AA9" s="35"/>
      <c r="AD9" s="57"/>
      <c r="AE9" s="208">
        <f>ROUND((ROUND((_15_同援日０．５*_15・基礎２),0)*(1+_15・A深夜)),0)+ROUND((ROUND((_15_同援日０．５＿０．５*_15・基礎２),0)*(1+_15・B早朝)),0)+ROUND((_15_同援日０．５＿０．５＿０．５*_15・基礎２),0)</f>
        <v>501</v>
      </c>
      <c r="AF9" s="48"/>
    </row>
    <row r="10" spans="1:32" ht="16.5" customHeight="1" x14ac:dyDescent="0.15">
      <c r="A10" s="41">
        <v>15</v>
      </c>
      <c r="B10" s="41" t="s">
        <v>21205</v>
      </c>
      <c r="C10" s="74" t="s">
        <v>21206</v>
      </c>
      <c r="D10" s="72"/>
      <c r="E10" s="168">
        <f>_15_同援日０．５</f>
        <v>190</v>
      </c>
      <c r="F10" s="57" t="s">
        <v>392</v>
      </c>
      <c r="G10" s="72"/>
      <c r="H10" s="168">
        <f>_15_同援日０．５＿０．５</f>
        <v>110</v>
      </c>
      <c r="I10" s="57" t="s">
        <v>392</v>
      </c>
      <c r="J10" s="72"/>
      <c r="K10" s="168">
        <f>_15_同援日０．５＿０．５＿０．５</f>
        <v>133</v>
      </c>
      <c r="L10" s="57" t="s">
        <v>392</v>
      </c>
      <c r="M10" s="269" t="s">
        <v>17560</v>
      </c>
      <c r="N10" s="37" t="s">
        <v>398</v>
      </c>
      <c r="O10" s="38">
        <v>0.9</v>
      </c>
      <c r="P10" s="299" t="s">
        <v>17556</v>
      </c>
      <c r="Q10" s="45" t="s">
        <v>398</v>
      </c>
      <c r="R10" s="46">
        <v>1</v>
      </c>
      <c r="S10" s="512"/>
      <c r="T10" s="57"/>
      <c r="U10" s="512"/>
      <c r="V10" s="57"/>
      <c r="W10" s="43"/>
      <c r="X10" s="37"/>
      <c r="Y10" s="38"/>
      <c r="Z10" s="79"/>
      <c r="AA10" s="35"/>
      <c r="AD10" s="57"/>
      <c r="AE10" s="208">
        <f>ROUND((ROUND((ROUND((_15_同援日０．５*_15・基礎２),0)*_15・２人),0)*(1+_15・A深夜)),0)+ROUND((ROUND((ROUND((_15_同援日０．５＿０．５*_15・基礎２),0)*_15・２人),0)*(1+_15・B早朝)),0)+ROUND((ROUND((_15_同援日０．５＿０．５＿０．５*_15・基礎２),0)*_15・２人),0)</f>
        <v>501</v>
      </c>
      <c r="AF10" s="48"/>
    </row>
    <row r="11" spans="1:32" ht="16.5" customHeight="1" x14ac:dyDescent="0.15">
      <c r="A11" s="41">
        <v>15</v>
      </c>
      <c r="B11" s="41" t="s">
        <v>21207</v>
      </c>
      <c r="C11" s="74" t="s">
        <v>21208</v>
      </c>
      <c r="D11" s="72"/>
      <c r="F11" s="57"/>
      <c r="G11" s="72"/>
      <c r="I11" s="57"/>
      <c r="J11" s="72"/>
      <c r="L11" s="57"/>
      <c r="M11" s="114"/>
      <c r="N11" s="49"/>
      <c r="O11" s="50"/>
      <c r="P11" s="299"/>
      <c r="Q11" s="45"/>
      <c r="R11" s="46"/>
      <c r="S11" s="512"/>
      <c r="T11" s="57"/>
      <c r="U11" s="512"/>
      <c r="V11" s="57"/>
      <c r="W11" s="114" t="s">
        <v>17562</v>
      </c>
      <c r="X11" s="49"/>
      <c r="Y11" s="50"/>
      <c r="Z11" s="115"/>
      <c r="AA11" s="35"/>
      <c r="AD11" s="57"/>
      <c r="AE11" s="208">
        <f>ROUND((ROUND((_15_同援日０．５*(1+_15・A深夜)),0)*(1+_15・盲ろう)),0)+ROUND((ROUND((_15_同援日０．５＿０．５*(1+_15・B早朝)),0)*(1+_15・盲ろう)),0)+ROUND((_15_同援日０．５＿０．５＿０．５*(1+_15・盲ろう)),0)</f>
        <v>695</v>
      </c>
      <c r="AF11" s="48"/>
    </row>
    <row r="12" spans="1:32" ht="16.5" customHeight="1" x14ac:dyDescent="0.15">
      <c r="A12" s="41">
        <v>15</v>
      </c>
      <c r="B12" s="41" t="s">
        <v>21209</v>
      </c>
      <c r="C12" s="74" t="s">
        <v>21210</v>
      </c>
      <c r="D12" s="72"/>
      <c r="F12" s="57"/>
      <c r="G12" s="72"/>
      <c r="I12" s="57"/>
      <c r="J12" s="72"/>
      <c r="L12" s="57"/>
      <c r="M12" s="269"/>
      <c r="N12" s="37"/>
      <c r="O12" s="38"/>
      <c r="P12" s="299" t="s">
        <v>17556</v>
      </c>
      <c r="Q12" s="45" t="s">
        <v>398</v>
      </c>
      <c r="R12" s="46">
        <v>1</v>
      </c>
      <c r="S12" s="512" t="s">
        <v>18493</v>
      </c>
      <c r="T12" s="57"/>
      <c r="U12" s="512" t="s">
        <v>18134</v>
      </c>
      <c r="V12" s="57"/>
      <c r="W12" s="92" t="s">
        <v>17564</v>
      </c>
      <c r="Z12" s="57"/>
      <c r="AA12" s="35"/>
      <c r="AD12" s="57"/>
      <c r="AE12" s="208">
        <f>ROUND((ROUND((ROUND((_15_同援日０．５*_15・２人),0)*(1+_15・A深夜)),0)*(1+_15・盲ろう)),0)+ROUND((ROUND((ROUND((_15_同援日０．５＿０．５*_15・２人),0)*(1+_15・B早朝)),0)*(1+_15・盲ろう)),0)+ROUND((ROUND((_15_同援日０．５＿０．５＿０．５*_15・２人),0)*(1+_15・盲ろう)),0)</f>
        <v>695</v>
      </c>
      <c r="AF12" s="48"/>
    </row>
    <row r="13" spans="1:32" ht="16.5" customHeight="1" x14ac:dyDescent="0.15">
      <c r="A13" s="41">
        <v>15</v>
      </c>
      <c r="B13" s="41" t="s">
        <v>21211</v>
      </c>
      <c r="C13" s="74" t="s">
        <v>21212</v>
      </c>
      <c r="D13" s="72"/>
      <c r="F13" s="57"/>
      <c r="G13" s="72"/>
      <c r="I13" s="57"/>
      <c r="J13" s="72"/>
      <c r="L13" s="57"/>
      <c r="M13" s="114" t="s">
        <v>17558</v>
      </c>
      <c r="N13" s="49"/>
      <c r="O13" s="50"/>
      <c r="P13" s="299"/>
      <c r="Q13" s="45"/>
      <c r="R13" s="46"/>
      <c r="S13" s="512"/>
      <c r="T13" s="513" t="s">
        <v>18826</v>
      </c>
      <c r="U13" s="512"/>
      <c r="V13" s="513" t="s">
        <v>21213</v>
      </c>
      <c r="W13" s="92"/>
      <c r="X13" s="12" t="s">
        <v>398</v>
      </c>
      <c r="Y13" s="13">
        <v>0.25</v>
      </c>
      <c r="Z13" s="57" t="s">
        <v>3575</v>
      </c>
      <c r="AA13" s="35"/>
      <c r="AD13" s="57"/>
      <c r="AE13" s="208">
        <f>ROUND((ROUND((ROUND((_15_同援日０．５*_15・基礎２),0)*(1+_15・A深夜)),0)*(1+_15・盲ろう)),0)+ROUND((ROUND((ROUND((_15_同援日０．５＿０．５*_15・基礎２),0)*(1+_15・B早朝)),0)*(1+_15・盲ろう)),0)+ROUND((ROUND((_15_同援日０．５＿０．５＿０．５*_15・基礎２),0)*(1+_15・盲ろう)),0)</f>
        <v>626</v>
      </c>
      <c r="AF13" s="48"/>
    </row>
    <row r="14" spans="1:32" ht="16.5" customHeight="1" x14ac:dyDescent="0.15">
      <c r="A14" s="41">
        <v>15</v>
      </c>
      <c r="B14" s="41" t="s">
        <v>21214</v>
      </c>
      <c r="C14" s="74" t="s">
        <v>21215</v>
      </c>
      <c r="D14" s="72"/>
      <c r="F14" s="57"/>
      <c r="G14" s="72"/>
      <c r="I14" s="57"/>
      <c r="J14" s="72"/>
      <c r="L14" s="57"/>
      <c r="M14" s="269" t="s">
        <v>17560</v>
      </c>
      <c r="N14" s="37" t="s">
        <v>398</v>
      </c>
      <c r="O14" s="38">
        <v>0.9</v>
      </c>
      <c r="P14" s="299" t="s">
        <v>17556</v>
      </c>
      <c r="Q14" s="45" t="s">
        <v>398</v>
      </c>
      <c r="R14" s="46">
        <v>1</v>
      </c>
      <c r="S14" s="512"/>
      <c r="T14" s="57"/>
      <c r="U14" s="512"/>
      <c r="V14" s="57"/>
      <c r="W14" s="269"/>
      <c r="X14" s="37"/>
      <c r="Y14" s="38"/>
      <c r="Z14" s="79"/>
      <c r="AA14" s="43"/>
      <c r="AB14" s="37"/>
      <c r="AC14" s="38"/>
      <c r="AD14" s="79"/>
      <c r="AE14" s="208">
        <f>ROUND((ROUND((ROUND((ROUND((_15_同援日０．５*_15・基礎２),0)*_15・２人),0)*(1+_15・A深夜)),0)*(1+_15・盲ろう)),0)+ROUND((ROUND((ROUND((ROUND((_15_同援日０．５＿０．５*_15・基礎２),0)*_15・２人),0)*(1+_15・B早朝)),0)*(1+_15・盲ろう)),0)+ROUND((ROUND((ROUND((_15_同援日０．５＿０．５＿０．５*_15・基礎２),0)*_15・２人),0)*(1+_15・盲ろう)),0)</f>
        <v>626</v>
      </c>
      <c r="AF14" s="48"/>
    </row>
    <row r="15" spans="1:32" ht="16.5" customHeight="1" x14ac:dyDescent="0.15">
      <c r="A15" s="41">
        <v>15</v>
      </c>
      <c r="B15" s="41" t="s">
        <v>21216</v>
      </c>
      <c r="C15" s="74" t="s">
        <v>21217</v>
      </c>
      <c r="D15" s="72"/>
      <c r="F15" s="57"/>
      <c r="G15" s="72"/>
      <c r="I15" s="57"/>
      <c r="J15" s="72"/>
      <c r="L15" s="57"/>
      <c r="M15" s="114"/>
      <c r="N15" s="49"/>
      <c r="O15" s="50"/>
      <c r="P15" s="299"/>
      <c r="Q15" s="45"/>
      <c r="R15" s="46"/>
      <c r="S15" s="35" t="s">
        <v>398</v>
      </c>
      <c r="T15" s="234">
        <v>0.5</v>
      </c>
      <c r="U15" s="35" t="s">
        <v>398</v>
      </c>
      <c r="V15" s="234">
        <v>0.25</v>
      </c>
      <c r="W15" s="114"/>
      <c r="X15" s="49"/>
      <c r="Y15" s="50"/>
      <c r="Z15" s="115"/>
      <c r="AA15" s="53"/>
      <c r="AB15" s="49"/>
      <c r="AC15" s="50"/>
      <c r="AD15" s="115"/>
      <c r="AE15" s="208">
        <f>ROUND((ROUND((_15_同援日０．５*(1+_15・A深夜)),0)*(1+_15・区３)),0)+ROUND((ROUND((_15_同援日０．５＿０．５*(1+_15・B早朝)),0)*(1+_15・区３)),0)+ROUND((_15_同援日０．５＿０．５＿０．５*(1+_15・区３)),0)</f>
        <v>668</v>
      </c>
      <c r="AF15" s="48"/>
    </row>
    <row r="16" spans="1:32" ht="16.5" customHeight="1" x14ac:dyDescent="0.15">
      <c r="A16" s="41">
        <v>15</v>
      </c>
      <c r="B16" s="41" t="s">
        <v>21218</v>
      </c>
      <c r="C16" s="74" t="s">
        <v>21219</v>
      </c>
      <c r="D16" s="72"/>
      <c r="F16" s="57"/>
      <c r="G16" s="72"/>
      <c r="I16" s="57"/>
      <c r="J16" s="72"/>
      <c r="L16" s="57"/>
      <c r="M16" s="269"/>
      <c r="N16" s="37"/>
      <c r="O16" s="38"/>
      <c r="P16" s="299" t="s">
        <v>17556</v>
      </c>
      <c r="Q16" s="45" t="s">
        <v>398</v>
      </c>
      <c r="R16" s="46">
        <v>1</v>
      </c>
      <c r="S16" s="512"/>
      <c r="T16" s="513" t="s">
        <v>3575</v>
      </c>
      <c r="U16" s="512"/>
      <c r="V16" s="513" t="s">
        <v>3575</v>
      </c>
      <c r="W16" s="92"/>
      <c r="Z16" s="57"/>
      <c r="AA16" s="35"/>
      <c r="AD16" s="57"/>
      <c r="AE16" s="208">
        <f>ROUND((ROUND((ROUND((_15_同援日０．５*_15・２人),0)*(1+_15・A深夜)),0)*(1+_15・区３)),0)+ROUND((ROUND((ROUND((_15_同援日０．５＿０．５*_15・２人),0)*(1+_15・B早朝)),0)*(1+_15・区３)),0)+ROUND((ROUND((_15_同援日０．５＿０．５＿０．５*_15・２人),0)*(1+_15・区３)),0)</f>
        <v>668</v>
      </c>
      <c r="AF16" s="48"/>
    </row>
    <row r="17" spans="1:32" ht="16.5" customHeight="1" x14ac:dyDescent="0.15">
      <c r="A17" s="41">
        <v>15</v>
      </c>
      <c r="B17" s="41" t="s">
        <v>21220</v>
      </c>
      <c r="C17" s="74" t="s">
        <v>21221</v>
      </c>
      <c r="D17" s="72"/>
      <c r="F17" s="57"/>
      <c r="G17" s="72"/>
      <c r="I17" s="57"/>
      <c r="J17" s="72"/>
      <c r="L17" s="57"/>
      <c r="M17" s="114" t="s">
        <v>17558</v>
      </c>
      <c r="N17" s="49"/>
      <c r="O17" s="50"/>
      <c r="P17" s="299"/>
      <c r="Q17" s="45"/>
      <c r="R17" s="46"/>
      <c r="S17" s="512"/>
      <c r="T17" s="57"/>
      <c r="U17" s="512"/>
      <c r="V17" s="57"/>
      <c r="W17" s="92"/>
      <c r="Z17" s="57"/>
      <c r="AA17" s="72" t="s">
        <v>17570</v>
      </c>
      <c r="AD17" s="57"/>
      <c r="AE17" s="208">
        <f>ROUND((ROUND((ROUND((_15_同援日０．５*_15・基礎２),0)*(1+_15・A深夜)),0)*(1+_15・区３)),0)+ROUND((ROUND((ROUND((_15_同援日０．５＿０．５*_15・基礎２),0)*(1+_15・B早朝)),0)*(1+_15・区３)),0)+ROUND((ROUND((_15_同援日０．５＿０．５＿０．５*_15・基礎２),0)*(1+_15・区３)),0)</f>
        <v>601</v>
      </c>
      <c r="AF17" s="48"/>
    </row>
    <row r="18" spans="1:32" ht="16.5" customHeight="1" x14ac:dyDescent="0.15">
      <c r="A18" s="41">
        <v>15</v>
      </c>
      <c r="B18" s="41" t="s">
        <v>21222</v>
      </c>
      <c r="C18" s="74" t="s">
        <v>21223</v>
      </c>
      <c r="D18" s="72"/>
      <c r="F18" s="57"/>
      <c r="G18" s="72"/>
      <c r="I18" s="57"/>
      <c r="J18" s="72"/>
      <c r="L18" s="57"/>
      <c r="M18" s="269" t="s">
        <v>17560</v>
      </c>
      <c r="N18" s="37" t="s">
        <v>398</v>
      </c>
      <c r="O18" s="38">
        <v>0.9</v>
      </c>
      <c r="P18" s="299" t="s">
        <v>17556</v>
      </c>
      <c r="Q18" s="45" t="s">
        <v>398</v>
      </c>
      <c r="R18" s="46">
        <v>1</v>
      </c>
      <c r="S18" s="512"/>
      <c r="T18" s="57"/>
      <c r="U18" s="512"/>
      <c r="V18" s="57"/>
      <c r="W18" s="269"/>
      <c r="X18" s="37"/>
      <c r="Y18" s="38"/>
      <c r="Z18" s="79"/>
      <c r="AA18" s="72" t="s">
        <v>17572</v>
      </c>
      <c r="AD18" s="57"/>
      <c r="AE18" s="208">
        <f>ROUND((ROUND((ROUND((ROUND((_15_同援日０．５*_15・基礎２),0)*_15・２人),0)*(1+_15・A深夜)),0)*(1+_15・区３)),0)+ROUND((ROUND((ROUND((ROUND((_15_同援日０．５＿０．５*_15・基礎２),0)*_15・２人),0)*(1+_15・B早朝)),0)*(1+_15・区３)),0)+ROUND((ROUND((ROUND((_15_同援日０．５＿０．５＿０．５*_15・基礎２),0)*_15・２人),0)*(1+_15・区３)),0)</f>
        <v>601</v>
      </c>
      <c r="AF18" s="48"/>
    </row>
    <row r="19" spans="1:32" ht="16.5" customHeight="1" x14ac:dyDescent="0.15">
      <c r="A19" s="41">
        <v>15</v>
      </c>
      <c r="B19" s="41" t="s">
        <v>21224</v>
      </c>
      <c r="C19" s="74" t="s">
        <v>21225</v>
      </c>
      <c r="D19" s="72"/>
      <c r="F19" s="57"/>
      <c r="G19" s="72"/>
      <c r="I19" s="57"/>
      <c r="J19" s="72"/>
      <c r="L19" s="57"/>
      <c r="M19" s="114"/>
      <c r="N19" s="49"/>
      <c r="O19" s="50"/>
      <c r="P19" s="299"/>
      <c r="Q19" s="45"/>
      <c r="R19" s="46"/>
      <c r="S19" s="512"/>
      <c r="T19" s="57"/>
      <c r="U19" s="512"/>
      <c r="V19" s="57"/>
      <c r="W19" s="114" t="s">
        <v>17562</v>
      </c>
      <c r="X19" s="49"/>
      <c r="Y19" s="50"/>
      <c r="Z19" s="115"/>
      <c r="AA19" s="72"/>
      <c r="AB19" s="12" t="s">
        <v>398</v>
      </c>
      <c r="AC19" s="13">
        <v>0.2</v>
      </c>
      <c r="AD19" s="57" t="s">
        <v>3575</v>
      </c>
      <c r="AE19" s="208">
        <f>ROUND((ROUND((ROUND((_15_同援日０．５*(1+_15・A深夜)),0)*(1+_15・盲ろう)),0)*(1+_15・区３)),0)+ROUND((ROUND((ROUND((_15_同援日０．５＿０．５*(1+_15・B早朝)),0)*(1+_15・盲ろう)),0)*(1+_15・区３)),0)+ROUND((ROUND((_15_同援日０．５＿０．５＿０．５*(1+_15・盲ろう)),0)*(1+_15・区３)),0)</f>
        <v>834</v>
      </c>
      <c r="AF19" s="48"/>
    </row>
    <row r="20" spans="1:32" ht="16.5" customHeight="1" x14ac:dyDescent="0.15">
      <c r="A20" s="41">
        <v>15</v>
      </c>
      <c r="B20" s="41" t="s">
        <v>21226</v>
      </c>
      <c r="C20" s="74" t="s">
        <v>21227</v>
      </c>
      <c r="D20" s="72"/>
      <c r="F20" s="57"/>
      <c r="G20" s="72"/>
      <c r="I20" s="57"/>
      <c r="J20" s="72"/>
      <c r="L20" s="57"/>
      <c r="M20" s="269"/>
      <c r="N20" s="37"/>
      <c r="O20" s="38"/>
      <c r="P20" s="299" t="s">
        <v>17556</v>
      </c>
      <c r="Q20" s="45" t="s">
        <v>398</v>
      </c>
      <c r="R20" s="46">
        <v>1</v>
      </c>
      <c r="S20" s="512"/>
      <c r="T20" s="57"/>
      <c r="U20" s="512"/>
      <c r="V20" s="57"/>
      <c r="W20" s="92" t="s">
        <v>17564</v>
      </c>
      <c r="Z20" s="57"/>
      <c r="AA20" s="72"/>
      <c r="AD20" s="57"/>
      <c r="AE20" s="208">
        <f>ROUND((ROUND((ROUND((ROUND((_15_同援日０．５*_15・２人),0)*(1+_15・A深夜)),0)*(1+_15・盲ろう)),0)*(1+_15・区３)),0)+ROUND((ROUND((ROUND((ROUND((_15_同援日０．５＿０．５*_15・２人),0)*(1+_15・B早朝)),0)*(1+_15・盲ろう)),0)*(1+_15・区３)),0)+ROUND((ROUND((ROUND((_15_同援日０．５＿０．５＿０．５*_15・２人),0)*(1+_15・盲ろう)),0)*(1+_15・区３)),0)</f>
        <v>834</v>
      </c>
      <c r="AF20" s="48"/>
    </row>
    <row r="21" spans="1:32" ht="16.5" customHeight="1" x14ac:dyDescent="0.15">
      <c r="A21" s="41">
        <v>15</v>
      </c>
      <c r="B21" s="41" t="s">
        <v>21228</v>
      </c>
      <c r="C21" s="74" t="s">
        <v>21229</v>
      </c>
      <c r="D21" s="72"/>
      <c r="F21" s="57"/>
      <c r="G21" s="72"/>
      <c r="I21" s="57"/>
      <c r="J21" s="72"/>
      <c r="L21" s="57"/>
      <c r="M21" s="114" t="s">
        <v>17558</v>
      </c>
      <c r="N21" s="49"/>
      <c r="O21" s="50"/>
      <c r="P21" s="299"/>
      <c r="Q21" s="45"/>
      <c r="R21" s="46"/>
      <c r="S21" s="512"/>
      <c r="T21" s="57"/>
      <c r="U21" s="512"/>
      <c r="V21" s="57"/>
      <c r="W21" s="92"/>
      <c r="X21" s="12" t="s">
        <v>398</v>
      </c>
      <c r="Y21" s="13">
        <v>0.25</v>
      </c>
      <c r="Z21" s="57" t="s">
        <v>3575</v>
      </c>
      <c r="AA21" s="72"/>
      <c r="AD21" s="57"/>
      <c r="AE21" s="208">
        <f>ROUND((ROUND((ROUND((ROUND((_15_同援日０．５*_15・基礎２),0)*(1+_15・A深夜)),0)*(1+_15・盲ろう)),0)*(1+_15・区３)),0)+ROUND((ROUND((ROUND((ROUND((_15_同援日０．５＿０．５*_15・基礎２),0)*(1+_15・B早朝)),0)*(1+_15・盲ろう)),0)*(1+_15・区３)),0)+ROUND((ROUND((ROUND((_15_同援日０．５＿０．５＿０．５*_15・基礎２),0)*(1+_15・盲ろう)),0)*(1+_15・区３)),0)</f>
        <v>751</v>
      </c>
      <c r="AF21" s="48"/>
    </row>
    <row r="22" spans="1:32" ht="16.5" customHeight="1" x14ac:dyDescent="0.15">
      <c r="A22" s="41">
        <v>15</v>
      </c>
      <c r="B22" s="41" t="s">
        <v>21230</v>
      </c>
      <c r="C22" s="74" t="s">
        <v>21231</v>
      </c>
      <c r="D22" s="72"/>
      <c r="F22" s="57"/>
      <c r="G22" s="72"/>
      <c r="I22" s="57"/>
      <c r="J22" s="72"/>
      <c r="L22" s="57"/>
      <c r="M22" s="269" t="s">
        <v>17560</v>
      </c>
      <c r="N22" s="37" t="s">
        <v>398</v>
      </c>
      <c r="O22" s="38">
        <v>0.9</v>
      </c>
      <c r="P22" s="299" t="s">
        <v>17556</v>
      </c>
      <c r="Q22" s="45" t="s">
        <v>398</v>
      </c>
      <c r="R22" s="46">
        <v>1</v>
      </c>
      <c r="S22" s="512"/>
      <c r="T22" s="57"/>
      <c r="U22" s="512"/>
      <c r="V22" s="57"/>
      <c r="W22" s="269"/>
      <c r="X22" s="37"/>
      <c r="Y22" s="38"/>
      <c r="Z22" s="79"/>
      <c r="AA22" s="269"/>
      <c r="AB22" s="37"/>
      <c r="AC22" s="38"/>
      <c r="AD22" s="79"/>
      <c r="AE22" s="208">
        <f>ROUND((ROUND((ROUND((ROUND((ROUND((_15_同援日０．５*_15・基礎２),0)*_15・２人),0)*(1+_15・A深夜)),0)*(1+_15・盲ろう)),0)*(1+_15・区３)),0)+ROUND((ROUND((ROUND((ROUND((ROUND((_15_同援日０．５＿０．５*_15・基礎２),0)*_15・２人),0)*(1+_15・B早朝)),0)*(1+_15・盲ろう)),0)*(1+_15・区３)),0)+ROUND((ROUND((ROUND((ROUND((_15_同援日０．５＿０．５＿０．５*_15・基礎２),0)*_15・２人),0)*(1+_15・盲ろう)),0)*(1+_15・区３)),0)</f>
        <v>751</v>
      </c>
      <c r="AF22" s="48"/>
    </row>
    <row r="23" spans="1:32" ht="16.5" customHeight="1" x14ac:dyDescent="0.15">
      <c r="A23" s="41">
        <v>15</v>
      </c>
      <c r="B23" s="41" t="s">
        <v>21232</v>
      </c>
      <c r="C23" s="74" t="s">
        <v>21233</v>
      </c>
      <c r="D23" s="72"/>
      <c r="F23" s="57"/>
      <c r="G23" s="72"/>
      <c r="I23" s="57"/>
      <c r="J23" s="72"/>
      <c r="L23" s="57"/>
      <c r="M23" s="114"/>
      <c r="N23" s="49"/>
      <c r="O23" s="50"/>
      <c r="P23" s="299"/>
      <c r="Q23" s="45"/>
      <c r="R23" s="46"/>
      <c r="S23" s="512"/>
      <c r="T23" s="57"/>
      <c r="U23" s="512"/>
      <c r="V23" s="57"/>
      <c r="W23" s="114"/>
      <c r="X23" s="49"/>
      <c r="Y23" s="50"/>
      <c r="Z23" s="115"/>
      <c r="AA23" s="116"/>
      <c r="AB23" s="49"/>
      <c r="AC23" s="50"/>
      <c r="AD23" s="115"/>
      <c r="AE23" s="208">
        <f>ROUND((ROUND((_15_同援日０．５*(1+_15・A深夜)),0)*(1+_15・区４)),0)+ROUND((ROUND((_15_同援日０．５＿０．５*(1+_15・B早朝)),0)*(1+_15・区４)),0)+ROUND((_15_同援日０．５＿０．５＿０．５*(1+_15・区４)),0)</f>
        <v>778</v>
      </c>
      <c r="AF23" s="48"/>
    </row>
    <row r="24" spans="1:32" ht="16.5" customHeight="1" x14ac:dyDescent="0.15">
      <c r="A24" s="41">
        <v>15</v>
      </c>
      <c r="B24" s="41" t="s">
        <v>21234</v>
      </c>
      <c r="C24" s="74" t="s">
        <v>21235</v>
      </c>
      <c r="D24" s="72"/>
      <c r="F24" s="57"/>
      <c r="G24" s="72"/>
      <c r="I24" s="57"/>
      <c r="J24" s="72"/>
      <c r="L24" s="57"/>
      <c r="M24" s="269"/>
      <c r="N24" s="37"/>
      <c r="O24" s="38"/>
      <c r="P24" s="299" t="s">
        <v>17556</v>
      </c>
      <c r="Q24" s="45" t="s">
        <v>398</v>
      </c>
      <c r="R24" s="46">
        <v>1</v>
      </c>
      <c r="S24" s="512"/>
      <c r="T24" s="57"/>
      <c r="U24" s="512"/>
      <c r="V24" s="57"/>
      <c r="W24" s="92"/>
      <c r="Z24" s="57"/>
      <c r="AA24" s="72"/>
      <c r="AD24" s="57"/>
      <c r="AE24" s="208">
        <f>ROUND((ROUND((ROUND((_15_同援日０．５*_15・２人),0)*(1+_15・A深夜)),0)*(1+_15・区４)),0)+ROUND((ROUND((ROUND((_15_同援日０．５＿０．５*_15・２人),0)*(1+_15・B早朝)),0)*(1+_15・区４)),0)+ROUND((ROUND((_15_同援日０．５＿０．５＿０．５*_15・２人),0)*(1+_15・区４)),0)</f>
        <v>778</v>
      </c>
      <c r="AF24" s="48"/>
    </row>
    <row r="25" spans="1:32" ht="16.5" customHeight="1" x14ac:dyDescent="0.15">
      <c r="A25" s="41">
        <v>15</v>
      </c>
      <c r="B25" s="41" t="s">
        <v>851</v>
      </c>
      <c r="C25" s="74" t="s">
        <v>21236</v>
      </c>
      <c r="D25" s="72"/>
      <c r="F25" s="57"/>
      <c r="G25" s="72"/>
      <c r="I25" s="57"/>
      <c r="J25" s="72"/>
      <c r="L25" s="57"/>
      <c r="M25" s="114" t="s">
        <v>17558</v>
      </c>
      <c r="N25" s="49"/>
      <c r="O25" s="50"/>
      <c r="P25" s="299"/>
      <c r="Q25" s="45"/>
      <c r="R25" s="46"/>
      <c r="S25" s="512"/>
      <c r="T25" s="57"/>
      <c r="U25" s="512"/>
      <c r="V25" s="57"/>
      <c r="W25" s="92"/>
      <c r="Z25" s="57"/>
      <c r="AA25" s="72" t="s">
        <v>17580</v>
      </c>
      <c r="AD25" s="57"/>
      <c r="AE25" s="208">
        <f>ROUND((ROUND((ROUND((_15_同援日０．５*_15・基礎２),0)*(1+_15・A深夜)),0)*(1+_15・区４)),0)+ROUND((ROUND((ROUND((_15_同援日０．５＿０．５*_15・基礎２),0)*(1+_15・B早朝)),0)*(1+_15・区４)),0)+ROUND((ROUND((_15_同援日０．５＿０．５＿０．５*_15・基礎２),0)*(1+_15・区４)),0)</f>
        <v>702</v>
      </c>
      <c r="AF25" s="48"/>
    </row>
    <row r="26" spans="1:32" ht="16.5" customHeight="1" x14ac:dyDescent="0.15">
      <c r="A26" s="41">
        <v>15</v>
      </c>
      <c r="B26" s="41" t="s">
        <v>853</v>
      </c>
      <c r="C26" s="74" t="s">
        <v>21237</v>
      </c>
      <c r="D26" s="72"/>
      <c r="F26" s="57"/>
      <c r="G26" s="72"/>
      <c r="I26" s="57"/>
      <c r="J26" s="72"/>
      <c r="L26" s="57"/>
      <c r="M26" s="269" t="s">
        <v>17560</v>
      </c>
      <c r="N26" s="37" t="s">
        <v>398</v>
      </c>
      <c r="O26" s="38">
        <v>0.9</v>
      </c>
      <c r="P26" s="299" t="s">
        <v>17556</v>
      </c>
      <c r="Q26" s="45" t="s">
        <v>398</v>
      </c>
      <c r="R26" s="46">
        <v>1</v>
      </c>
      <c r="S26" s="512"/>
      <c r="T26" s="57"/>
      <c r="U26" s="512"/>
      <c r="V26" s="57"/>
      <c r="W26" s="269"/>
      <c r="X26" s="37"/>
      <c r="Y26" s="38"/>
      <c r="Z26" s="79"/>
      <c r="AA26" s="72" t="s">
        <v>17572</v>
      </c>
      <c r="AD26" s="57"/>
      <c r="AE26" s="208">
        <f>ROUND((ROUND((ROUND((ROUND((_15_同援日０．５*_15・基礎２),0)*_15・２人),0)*(1+_15・A深夜)),0)*(1+_15・区４)),0)+ROUND((ROUND((ROUND((ROUND((_15_同援日０．５＿０．５*_15・基礎２),0)*_15・２人),0)*(1+_15・B早朝)),0)*(1+_15・区４)),0)+ROUND((ROUND((ROUND((_15_同援日０．５＿０．５＿０．５*_15・基礎２),0)*_15・２人),0)*(1+_15・区４)),0)</f>
        <v>702</v>
      </c>
      <c r="AF26" s="48"/>
    </row>
    <row r="27" spans="1:32" ht="16.5" customHeight="1" x14ac:dyDescent="0.15">
      <c r="A27" s="41">
        <v>15</v>
      </c>
      <c r="B27" s="41" t="s">
        <v>855</v>
      </c>
      <c r="C27" s="74" t="s">
        <v>21238</v>
      </c>
      <c r="D27" s="72"/>
      <c r="F27" s="57"/>
      <c r="G27" s="72"/>
      <c r="I27" s="57"/>
      <c r="J27" s="72"/>
      <c r="L27" s="57"/>
      <c r="M27" s="114"/>
      <c r="N27" s="49"/>
      <c r="O27" s="50"/>
      <c r="P27" s="299"/>
      <c r="Q27" s="45"/>
      <c r="R27" s="46"/>
      <c r="S27" s="512"/>
      <c r="T27" s="57"/>
      <c r="U27" s="512"/>
      <c r="V27" s="57"/>
      <c r="W27" s="114" t="s">
        <v>17562</v>
      </c>
      <c r="X27" s="49"/>
      <c r="Y27" s="50"/>
      <c r="Z27" s="115"/>
      <c r="AA27" s="72"/>
      <c r="AB27" s="12" t="s">
        <v>398</v>
      </c>
      <c r="AC27" s="13">
        <v>0.4</v>
      </c>
      <c r="AD27" s="57" t="s">
        <v>3575</v>
      </c>
      <c r="AE27" s="208">
        <f>ROUND((ROUND((ROUND((_15_同援日０．５*(1+_15・A深夜)),0)*(1+_15・盲ろう)),0)*(1+_15・区４)),0)+ROUND((ROUND((ROUND((_15_同援日０．５＿０．５*(1+_15・B早朝)),0)*(1+_15・盲ろう)),0)*(1+_15・区４)),0)+ROUND((ROUND((_15_同援日０．５＿０．５＿０．５*(1+_15・盲ろう)),0)*(1+_15・区４)),0)</f>
        <v>972</v>
      </c>
      <c r="AF27" s="48"/>
    </row>
    <row r="28" spans="1:32" ht="16.5" customHeight="1" x14ac:dyDescent="0.15">
      <c r="A28" s="41">
        <v>15</v>
      </c>
      <c r="B28" s="41" t="s">
        <v>857</v>
      </c>
      <c r="C28" s="74" t="s">
        <v>21239</v>
      </c>
      <c r="D28" s="72"/>
      <c r="F28" s="57"/>
      <c r="G28" s="72"/>
      <c r="I28" s="57"/>
      <c r="J28" s="72"/>
      <c r="L28" s="57"/>
      <c r="M28" s="269"/>
      <c r="N28" s="37"/>
      <c r="O28" s="38"/>
      <c r="P28" s="299" t="s">
        <v>17556</v>
      </c>
      <c r="Q28" s="45" t="s">
        <v>398</v>
      </c>
      <c r="R28" s="46">
        <v>1</v>
      </c>
      <c r="S28" s="512"/>
      <c r="T28" s="57"/>
      <c r="U28" s="512"/>
      <c r="V28" s="57"/>
      <c r="W28" s="92" t="s">
        <v>17564</v>
      </c>
      <c r="Z28" s="57"/>
      <c r="AA28" s="72"/>
      <c r="AD28" s="57"/>
      <c r="AE28" s="208">
        <f>ROUND((ROUND((ROUND((ROUND((_15_同援日０．５*_15・２人),0)*(1+_15・A深夜)),0)*(1+_15・盲ろう)),0)*(1+_15・区４)),0)+ROUND((ROUND((ROUND((ROUND((_15_同援日０．５＿０．５*_15・２人),0)*(1+_15・B早朝)),0)*(1+_15・盲ろう)),0)*(1+_15・区４)),0)+ROUND((ROUND((ROUND((_15_同援日０．５＿０．５＿０．５*_15・２人),0)*(1+_15・盲ろう)),0)*(1+_15・区４)),0)</f>
        <v>972</v>
      </c>
      <c r="AF28" s="48"/>
    </row>
    <row r="29" spans="1:32" ht="16.5" customHeight="1" x14ac:dyDescent="0.15">
      <c r="A29" s="41">
        <v>15</v>
      </c>
      <c r="B29" s="41" t="s">
        <v>21240</v>
      </c>
      <c r="C29" s="74" t="s">
        <v>21241</v>
      </c>
      <c r="D29" s="72"/>
      <c r="F29" s="57"/>
      <c r="G29" s="72"/>
      <c r="I29" s="57"/>
      <c r="J29" s="72"/>
      <c r="L29" s="57"/>
      <c r="M29" s="114" t="s">
        <v>17558</v>
      </c>
      <c r="N29" s="49"/>
      <c r="O29" s="50"/>
      <c r="P29" s="299"/>
      <c r="Q29" s="45"/>
      <c r="R29" s="46"/>
      <c r="S29" s="512"/>
      <c r="T29" s="57"/>
      <c r="U29" s="512"/>
      <c r="V29" s="57"/>
      <c r="W29" s="92"/>
      <c r="X29" s="12" t="s">
        <v>398</v>
      </c>
      <c r="Y29" s="13">
        <v>0.25</v>
      </c>
      <c r="Z29" s="57" t="s">
        <v>3575</v>
      </c>
      <c r="AA29" s="72"/>
      <c r="AD29" s="57"/>
      <c r="AE29" s="208">
        <f>ROUND((ROUND((ROUND((ROUND((_15_同援日０．５*_15・基礎２),0)*(1+_15・A深夜)),0)*(1+_15・盲ろう)),0)*(1+_15・区４)),0)+ROUND((ROUND((ROUND((ROUND((_15_同援日０．５＿０．５*_15・基礎２),0)*(1+_15・B早朝)),0)*(1+_15・盲ろう)),0)*(1+_15・区４)),0)+ROUND((ROUND((ROUND((_15_同援日０．５＿０．５＿０．５*_15・基礎２),0)*(1+_15・盲ろう)),0)*(1+_15・区４)),0)</f>
        <v>876</v>
      </c>
      <c r="AF29" s="48"/>
    </row>
    <row r="30" spans="1:32" ht="16.5" customHeight="1" x14ac:dyDescent="0.15">
      <c r="A30" s="41">
        <v>15</v>
      </c>
      <c r="B30" s="41" t="s">
        <v>21242</v>
      </c>
      <c r="C30" s="74" t="s">
        <v>21243</v>
      </c>
      <c r="D30" s="72"/>
      <c r="F30" s="57"/>
      <c r="G30" s="72"/>
      <c r="I30" s="57"/>
      <c r="J30" s="122"/>
      <c r="K30" s="37"/>
      <c r="L30" s="79"/>
      <c r="M30" s="269" t="s">
        <v>17560</v>
      </c>
      <c r="N30" s="37" t="s">
        <v>398</v>
      </c>
      <c r="O30" s="38">
        <v>0.9</v>
      </c>
      <c r="P30" s="299" t="s">
        <v>17556</v>
      </c>
      <c r="Q30" s="45" t="s">
        <v>398</v>
      </c>
      <c r="R30" s="46">
        <v>1</v>
      </c>
      <c r="S30" s="512"/>
      <c r="T30" s="57"/>
      <c r="U30" s="512"/>
      <c r="V30" s="57"/>
      <c r="W30" s="269"/>
      <c r="X30" s="37"/>
      <c r="Y30" s="38"/>
      <c r="Z30" s="79"/>
      <c r="AA30" s="269"/>
      <c r="AB30" s="37"/>
      <c r="AC30" s="38"/>
      <c r="AD30" s="79"/>
      <c r="AE30" s="208">
        <f>ROUND((ROUND((ROUND((ROUND((ROUND((_15_同援日０．５*_15・基礎２),0)*_15・２人),0)*(1+_15・A深夜)),0)*(1+_15・盲ろう)),0)*(1+_15・区４)),0)+ROUND((ROUND((ROUND((ROUND((ROUND((_15_同援日０．５＿０．５*_15・基礎２),0)*_15・２人),0)*(1+_15・B早朝)),0)*(1+_15・盲ろう)),0)*(1+_15・区４)),0)+ROUND((ROUND((ROUND((ROUND((_15_同援日０．５＿０．５＿０．５*_15・基礎２),0)*_15・２人),0)*(1+_15・盲ろう)),0)*(1+_15・区４)),0)</f>
        <v>876</v>
      </c>
      <c r="AF30" s="48"/>
    </row>
    <row r="31" spans="1:32" ht="16.5" customHeight="1" x14ac:dyDescent="0.15">
      <c r="A31" s="41">
        <v>15</v>
      </c>
      <c r="B31" s="41" t="s">
        <v>21244</v>
      </c>
      <c r="C31" s="74" t="s">
        <v>21245</v>
      </c>
      <c r="D31" s="72"/>
      <c r="F31" s="57"/>
      <c r="G31" s="72"/>
      <c r="I31" s="57"/>
      <c r="J31" s="114" t="s">
        <v>21246</v>
      </c>
      <c r="K31" s="49"/>
      <c r="L31" s="115"/>
      <c r="M31" s="114"/>
      <c r="N31" s="49"/>
      <c r="O31" s="50"/>
      <c r="P31" s="299"/>
      <c r="Q31" s="45"/>
      <c r="R31" s="46"/>
      <c r="S31" s="512"/>
      <c r="T31" s="57"/>
      <c r="U31" s="512"/>
      <c r="V31" s="57"/>
      <c r="W31" s="114"/>
      <c r="X31" s="49"/>
      <c r="Y31" s="50"/>
      <c r="Z31" s="115"/>
      <c r="AA31" s="116"/>
      <c r="AB31" s="49"/>
      <c r="AC31" s="50"/>
      <c r="AD31" s="115"/>
      <c r="AE31" s="208">
        <f>ROUND((_15_同援日０．５*(1+_15・A深夜)),0)+ROUND((_15_同援日０．５＿０．５*(1+_15・B早朝)),0)+_15_同援日０．５＿０．５＿１．０</f>
        <v>621</v>
      </c>
      <c r="AF31" s="48"/>
    </row>
    <row r="32" spans="1:32" ht="16.5" customHeight="1" x14ac:dyDescent="0.15">
      <c r="A32" s="41">
        <v>15</v>
      </c>
      <c r="B32" s="41" t="s">
        <v>21247</v>
      </c>
      <c r="C32" s="74" t="s">
        <v>21248</v>
      </c>
      <c r="D32" s="72"/>
      <c r="F32" s="57"/>
      <c r="G32" s="72"/>
      <c r="I32" s="57"/>
      <c r="J32" s="72" t="s">
        <v>17589</v>
      </c>
      <c r="L32" s="57"/>
      <c r="M32" s="269"/>
      <c r="N32" s="37"/>
      <c r="O32" s="38"/>
      <c r="P32" s="299" t="s">
        <v>17556</v>
      </c>
      <c r="Q32" s="45" t="s">
        <v>398</v>
      </c>
      <c r="R32" s="46">
        <v>1</v>
      </c>
      <c r="S32" s="512"/>
      <c r="T32" s="57"/>
      <c r="U32" s="512"/>
      <c r="V32" s="57"/>
      <c r="W32" s="92"/>
      <c r="Z32" s="57"/>
      <c r="AA32" s="72"/>
      <c r="AD32" s="57"/>
      <c r="AE32" s="208">
        <f>ROUND((ROUND((_15_同援日０．５*_15・２人),0)*(1+_15・A深夜)),0)+ROUND((ROUND((_15_同援日０．５＿０．５*_15・２人),0)*(1+_15・B早朝)),0)+ROUND((_15_同援日０．５＿０．５＿１．０*_15・２人),0)</f>
        <v>621</v>
      </c>
      <c r="AF32" s="48"/>
    </row>
    <row r="33" spans="1:32" ht="16.5" customHeight="1" x14ac:dyDescent="0.15">
      <c r="A33" s="41">
        <v>15</v>
      </c>
      <c r="B33" s="41" t="s">
        <v>21249</v>
      </c>
      <c r="C33" s="74" t="s">
        <v>21250</v>
      </c>
      <c r="D33" s="72"/>
      <c r="F33" s="57"/>
      <c r="G33" s="72"/>
      <c r="I33" s="57"/>
      <c r="J33" s="72" t="s">
        <v>17591</v>
      </c>
      <c r="L33" s="57"/>
      <c r="M33" s="114" t="s">
        <v>17558</v>
      </c>
      <c r="N33" s="49"/>
      <c r="O33" s="50"/>
      <c r="P33" s="299"/>
      <c r="Q33" s="45"/>
      <c r="R33" s="46"/>
      <c r="S33" s="512"/>
      <c r="T33" s="57"/>
      <c r="U33" s="512"/>
      <c r="V33" s="57"/>
      <c r="W33" s="92"/>
      <c r="Z33" s="57"/>
      <c r="AA33" s="72"/>
      <c r="AD33" s="57"/>
      <c r="AE33" s="208">
        <f>ROUND((ROUND((_15_同援日０．５*_15・基礎２),0)*(1+_15・A深夜)),0)+ROUND((ROUND((_15_同援日０．５＿０．５*_15・基礎２),0)*(1+_15・B早朝)),0)+ROUND((_15_同援日０．５＿０．５＿１．０*_15・基礎２),0)</f>
        <v>559</v>
      </c>
      <c r="AF33" s="48"/>
    </row>
    <row r="34" spans="1:32" ht="16.5" customHeight="1" x14ac:dyDescent="0.15">
      <c r="A34" s="41">
        <v>15</v>
      </c>
      <c r="B34" s="41" t="s">
        <v>21251</v>
      </c>
      <c r="C34" s="74" t="s">
        <v>21252</v>
      </c>
      <c r="D34" s="72"/>
      <c r="F34" s="57"/>
      <c r="G34" s="72"/>
      <c r="I34" s="57"/>
      <c r="J34" s="72"/>
      <c r="K34" s="168">
        <f>_15_同援日０．５＿０．５＿１．０</f>
        <v>198</v>
      </c>
      <c r="L34" s="57" t="s">
        <v>392</v>
      </c>
      <c r="M34" s="269" t="s">
        <v>17560</v>
      </c>
      <c r="N34" s="37" t="s">
        <v>398</v>
      </c>
      <c r="O34" s="38">
        <v>0.9</v>
      </c>
      <c r="P34" s="299" t="s">
        <v>17556</v>
      </c>
      <c r="Q34" s="45" t="s">
        <v>398</v>
      </c>
      <c r="R34" s="46">
        <v>1</v>
      </c>
      <c r="S34" s="512"/>
      <c r="T34" s="57"/>
      <c r="U34" s="512"/>
      <c r="V34" s="57"/>
      <c r="W34" s="269"/>
      <c r="X34" s="37"/>
      <c r="Y34" s="38"/>
      <c r="Z34" s="79"/>
      <c r="AA34" s="72"/>
      <c r="AD34" s="57"/>
      <c r="AE34" s="208">
        <f>ROUND((ROUND((ROUND((_15_同援日０．５*_15・基礎２),0)*_15・２人),0)*(1+_15・A深夜)),0)+ROUND((ROUND((ROUND((_15_同援日０．５＿０．５*_15・基礎２),0)*_15・２人),0)*(1+_15・B早朝)),0)+ROUND((ROUND((_15_同援日０．５＿０．５＿１．０*_15・基礎２),0)*_15・２人),0)</f>
        <v>559</v>
      </c>
      <c r="AF34" s="48"/>
    </row>
    <row r="35" spans="1:32" ht="16.5" customHeight="1" x14ac:dyDescent="0.15">
      <c r="A35" s="41">
        <v>15</v>
      </c>
      <c r="B35" s="41" t="s">
        <v>21253</v>
      </c>
      <c r="C35" s="74" t="s">
        <v>21254</v>
      </c>
      <c r="D35" s="72"/>
      <c r="F35" s="57"/>
      <c r="G35" s="72"/>
      <c r="I35" s="57"/>
      <c r="J35" s="72"/>
      <c r="L35" s="57"/>
      <c r="M35" s="114"/>
      <c r="N35" s="49"/>
      <c r="O35" s="50"/>
      <c r="P35" s="299"/>
      <c r="Q35" s="45"/>
      <c r="R35" s="46"/>
      <c r="S35" s="512"/>
      <c r="T35" s="57"/>
      <c r="U35" s="512"/>
      <c r="V35" s="57"/>
      <c r="W35" s="114" t="s">
        <v>17562</v>
      </c>
      <c r="X35" s="49"/>
      <c r="Y35" s="50"/>
      <c r="Z35" s="115"/>
      <c r="AA35" s="72"/>
      <c r="AD35" s="57"/>
      <c r="AE35" s="208">
        <f>ROUND((ROUND((_15_同援日０．５*(1+_15・A深夜)),0)*(1+_15・盲ろう)),0)+ROUND((ROUND((_15_同援日０．５＿０．５*(1+_15・B早朝)),0)*(1+_15・盲ろう)),0)+ROUND((_15_同援日０．５＿０．５＿１．０*(1+_15・盲ろう)),0)</f>
        <v>777</v>
      </c>
      <c r="AF35" s="48"/>
    </row>
    <row r="36" spans="1:32" ht="16.5" customHeight="1" x14ac:dyDescent="0.15">
      <c r="A36" s="41">
        <v>15</v>
      </c>
      <c r="B36" s="41" t="s">
        <v>21255</v>
      </c>
      <c r="C36" s="74" t="s">
        <v>21256</v>
      </c>
      <c r="D36" s="72"/>
      <c r="F36" s="57"/>
      <c r="G36" s="72"/>
      <c r="I36" s="57"/>
      <c r="J36" s="72"/>
      <c r="L36" s="57"/>
      <c r="M36" s="269"/>
      <c r="N36" s="37"/>
      <c r="O36" s="38"/>
      <c r="P36" s="299" t="s">
        <v>17556</v>
      </c>
      <c r="Q36" s="45" t="s">
        <v>398</v>
      </c>
      <c r="R36" s="46">
        <v>1</v>
      </c>
      <c r="S36" s="512"/>
      <c r="T36" s="57"/>
      <c r="U36" s="512"/>
      <c r="V36" s="57"/>
      <c r="W36" s="92" t="s">
        <v>17564</v>
      </c>
      <c r="Z36" s="57"/>
      <c r="AA36" s="72"/>
      <c r="AD36" s="57"/>
      <c r="AE36" s="208">
        <f>ROUND((ROUND((ROUND((_15_同援日０．５*_15・２人),0)*(1+_15・A深夜)),0)*(1+_15・盲ろう)),0)+ROUND((ROUND((ROUND((_15_同援日０．５＿０．５*_15・２人),0)*(1+_15・B早朝)),0)*(1+_15・盲ろう)),0)+ROUND((ROUND((_15_同援日０．５＿０．５＿１．０*_15・２人),0)*(1+_15・盲ろう)),0)</f>
        <v>777</v>
      </c>
      <c r="AF36" s="48"/>
    </row>
    <row r="37" spans="1:32" ht="16.5" customHeight="1" x14ac:dyDescent="0.15">
      <c r="A37" s="41">
        <v>15</v>
      </c>
      <c r="B37" s="41" t="s">
        <v>21257</v>
      </c>
      <c r="C37" s="74" t="s">
        <v>21258</v>
      </c>
      <c r="D37" s="72"/>
      <c r="F37" s="57"/>
      <c r="G37" s="72"/>
      <c r="I37" s="57"/>
      <c r="J37" s="72"/>
      <c r="L37" s="57"/>
      <c r="M37" s="114" t="s">
        <v>17558</v>
      </c>
      <c r="N37" s="49"/>
      <c r="O37" s="50"/>
      <c r="P37" s="299"/>
      <c r="Q37" s="45"/>
      <c r="R37" s="46"/>
      <c r="S37" s="512"/>
      <c r="T37" s="57"/>
      <c r="U37" s="512"/>
      <c r="V37" s="57"/>
      <c r="W37" s="92"/>
      <c r="X37" s="12" t="s">
        <v>398</v>
      </c>
      <c r="Y37" s="13">
        <v>0.25</v>
      </c>
      <c r="Z37" s="57" t="s">
        <v>3575</v>
      </c>
      <c r="AA37" s="72"/>
      <c r="AD37" s="57"/>
      <c r="AE37" s="208">
        <f>ROUND((ROUND((ROUND((_15_同援日０．５*_15・基礎２),0)*(1+_15・A深夜)),0)*(1+_15・盲ろう)),0)+ROUND((ROUND((ROUND((_15_同援日０．５＿０．５*_15・基礎２),0)*(1+_15・B早朝)),0)*(1+_15・盲ろう)),0)+ROUND((ROUND((_15_同援日０．５＿０．５＿１．０*_15・基礎２),0)*(1+_15・盲ろう)),0)</f>
        <v>699</v>
      </c>
      <c r="AF37" s="48"/>
    </row>
    <row r="38" spans="1:32" ht="16.5" customHeight="1" x14ac:dyDescent="0.15">
      <c r="A38" s="41">
        <v>15</v>
      </c>
      <c r="B38" s="41" t="s">
        <v>21259</v>
      </c>
      <c r="C38" s="74" t="s">
        <v>21260</v>
      </c>
      <c r="D38" s="72"/>
      <c r="F38" s="57"/>
      <c r="G38" s="72"/>
      <c r="I38" s="57"/>
      <c r="J38" s="72"/>
      <c r="L38" s="57"/>
      <c r="M38" s="269" t="s">
        <v>17560</v>
      </c>
      <c r="N38" s="37" t="s">
        <v>398</v>
      </c>
      <c r="O38" s="38">
        <v>0.9</v>
      </c>
      <c r="P38" s="299" t="s">
        <v>17556</v>
      </c>
      <c r="Q38" s="45" t="s">
        <v>398</v>
      </c>
      <c r="R38" s="46">
        <v>1</v>
      </c>
      <c r="S38" s="512"/>
      <c r="T38" s="57"/>
      <c r="U38" s="512"/>
      <c r="V38" s="57"/>
      <c r="W38" s="269"/>
      <c r="X38" s="37"/>
      <c r="Y38" s="38"/>
      <c r="Z38" s="79"/>
      <c r="AA38" s="269"/>
      <c r="AB38" s="37"/>
      <c r="AC38" s="38"/>
      <c r="AD38" s="79"/>
      <c r="AE38" s="208">
        <f>ROUND((ROUND((ROUND((ROUND((_15_同援日０．５*_15・基礎２),0)*_15・２人),0)*(1+_15・A深夜)),0)*(1+_15・盲ろう)),0)+ROUND((ROUND((ROUND((ROUND((_15_同援日０．５＿０．５*_15・基礎２),0)*_15・２人),0)*(1+_15・B早朝)),0)*(1+_15・盲ろう)),0)+ROUND((ROUND((ROUND((_15_同援日０．５＿０．５＿１．０*_15・基礎２),0)*_15・２人),0)*(1+_15・盲ろう)),0)</f>
        <v>699</v>
      </c>
      <c r="AF38" s="48"/>
    </row>
    <row r="39" spans="1:32" ht="16.5" customHeight="1" x14ac:dyDescent="0.15">
      <c r="A39" s="41">
        <v>15</v>
      </c>
      <c r="B39" s="41" t="s">
        <v>21261</v>
      </c>
      <c r="C39" s="74" t="s">
        <v>21262</v>
      </c>
      <c r="D39" s="72"/>
      <c r="F39" s="57"/>
      <c r="G39" s="72"/>
      <c r="I39" s="57"/>
      <c r="J39" s="72"/>
      <c r="L39" s="57"/>
      <c r="M39" s="114"/>
      <c r="N39" s="49"/>
      <c r="O39" s="50"/>
      <c r="P39" s="299"/>
      <c r="Q39" s="45"/>
      <c r="R39" s="46"/>
      <c r="S39" s="512"/>
      <c r="T39" s="57"/>
      <c r="U39" s="512"/>
      <c r="V39" s="57"/>
      <c r="W39" s="114"/>
      <c r="X39" s="49"/>
      <c r="Y39" s="50"/>
      <c r="Z39" s="115"/>
      <c r="AA39" s="116"/>
      <c r="AB39" s="49"/>
      <c r="AC39" s="50"/>
      <c r="AD39" s="115"/>
      <c r="AE39" s="208">
        <f>ROUND((ROUND((_15_同援日０．５*(1+_15・A深夜)),0)*(1+_15・区３)),0)+ROUND((ROUND((_15_同援日０．５＿０．５*(1+_15・B早朝)),0)*(1+_15・区３)),0)+ROUND((_15_同援日０．５＿０．５＿１．０*(1+_15・区３)),0)</f>
        <v>746</v>
      </c>
      <c r="AF39" s="48"/>
    </row>
    <row r="40" spans="1:32" ht="16.5" customHeight="1" x14ac:dyDescent="0.15">
      <c r="A40" s="41">
        <v>15</v>
      </c>
      <c r="B40" s="41" t="s">
        <v>21263</v>
      </c>
      <c r="C40" s="74" t="s">
        <v>21264</v>
      </c>
      <c r="D40" s="72"/>
      <c r="F40" s="57"/>
      <c r="G40" s="72"/>
      <c r="I40" s="57"/>
      <c r="J40" s="72"/>
      <c r="L40" s="57"/>
      <c r="M40" s="269"/>
      <c r="N40" s="37"/>
      <c r="O40" s="38"/>
      <c r="P40" s="299" t="s">
        <v>17556</v>
      </c>
      <c r="Q40" s="45" t="s">
        <v>398</v>
      </c>
      <c r="R40" s="46">
        <v>1</v>
      </c>
      <c r="S40" s="512"/>
      <c r="T40" s="57"/>
      <c r="U40" s="512"/>
      <c r="V40" s="57"/>
      <c r="W40" s="92"/>
      <c r="Z40" s="57"/>
      <c r="AA40" s="72"/>
      <c r="AD40" s="57"/>
      <c r="AE40" s="208">
        <f>ROUND((ROUND((ROUND((_15_同援日０．５*_15・２人),0)*(1+_15・A深夜)),0)*(1+_15・区３)),0)+ROUND((ROUND((ROUND((_15_同援日０．５＿０．５*_15・２人),0)*(1+_15・B早朝)),0)*(1+_15・区３)),0)+ROUND((ROUND((_15_同援日０．５＿０．５＿１．０*_15・２人),0)*(1+_15・区３)),0)</f>
        <v>746</v>
      </c>
      <c r="AF40" s="48"/>
    </row>
    <row r="41" spans="1:32" ht="16.5" customHeight="1" x14ac:dyDescent="0.15">
      <c r="A41" s="41">
        <v>15</v>
      </c>
      <c r="B41" s="41" t="s">
        <v>21265</v>
      </c>
      <c r="C41" s="74" t="s">
        <v>21266</v>
      </c>
      <c r="D41" s="72"/>
      <c r="F41" s="57"/>
      <c r="G41" s="72"/>
      <c r="I41" s="57"/>
      <c r="J41" s="72"/>
      <c r="L41" s="57"/>
      <c r="M41" s="114" t="s">
        <v>17558</v>
      </c>
      <c r="N41" s="49"/>
      <c r="O41" s="50"/>
      <c r="P41" s="299"/>
      <c r="Q41" s="45"/>
      <c r="R41" s="46"/>
      <c r="S41" s="512"/>
      <c r="T41" s="57"/>
      <c r="U41" s="512"/>
      <c r="V41" s="57"/>
      <c r="W41" s="92"/>
      <c r="Z41" s="57"/>
      <c r="AA41" s="72" t="s">
        <v>17570</v>
      </c>
      <c r="AD41" s="57"/>
      <c r="AE41" s="208">
        <f>ROUND((ROUND((ROUND((_15_同援日０．５*_15・基礎２),0)*(1+_15・A深夜)),0)*(1+_15・区３)),0)+ROUND((ROUND((ROUND((_15_同援日０．５＿０．５*_15・基礎２),0)*(1+_15・B早朝)),0)*(1+_15・区３)),0)+ROUND((ROUND((_15_同援日０．５＿０．５＿１．０*_15・基礎２),0)*(1+_15・区３)),0)</f>
        <v>671</v>
      </c>
      <c r="AF41" s="48"/>
    </row>
    <row r="42" spans="1:32" ht="16.5" customHeight="1" x14ac:dyDescent="0.15">
      <c r="A42" s="41">
        <v>15</v>
      </c>
      <c r="B42" s="41" t="s">
        <v>21267</v>
      </c>
      <c r="C42" s="74" t="s">
        <v>21268</v>
      </c>
      <c r="D42" s="72"/>
      <c r="F42" s="57"/>
      <c r="G42" s="72"/>
      <c r="I42" s="57"/>
      <c r="J42" s="72"/>
      <c r="L42" s="57"/>
      <c r="M42" s="269" t="s">
        <v>17560</v>
      </c>
      <c r="N42" s="37" t="s">
        <v>398</v>
      </c>
      <c r="O42" s="38">
        <v>0.9</v>
      </c>
      <c r="P42" s="299" t="s">
        <v>17556</v>
      </c>
      <c r="Q42" s="45" t="s">
        <v>398</v>
      </c>
      <c r="R42" s="46">
        <v>1</v>
      </c>
      <c r="S42" s="512"/>
      <c r="T42" s="57"/>
      <c r="U42" s="512"/>
      <c r="V42" s="57"/>
      <c r="W42" s="269"/>
      <c r="X42" s="37"/>
      <c r="Y42" s="38"/>
      <c r="Z42" s="79"/>
      <c r="AA42" s="72" t="s">
        <v>17572</v>
      </c>
      <c r="AD42" s="57"/>
      <c r="AE42" s="208">
        <f>ROUND((ROUND((ROUND((ROUND((_15_同援日０．５*_15・基礎２),0)*_15・２人),0)*(1+_15・A深夜)),0)*(1+_15・区３)),0)+ROUND((ROUND((ROUND((ROUND((_15_同援日０．５＿０．５*_15・基礎２),0)*_15・２人),0)*(1+_15・B早朝)),0)*(1+_15・区３)),0)+ROUND((ROUND((ROUND((_15_同援日０．５＿０．５＿１．０*_15・基礎２),0)*_15・２人),0)*(1+_15・区３)),0)</f>
        <v>671</v>
      </c>
      <c r="AF42" s="48"/>
    </row>
    <row r="43" spans="1:32" ht="16.5" customHeight="1" x14ac:dyDescent="0.15">
      <c r="A43" s="41">
        <v>15</v>
      </c>
      <c r="B43" s="41" t="s">
        <v>21269</v>
      </c>
      <c r="C43" s="74" t="s">
        <v>21270</v>
      </c>
      <c r="D43" s="72"/>
      <c r="F43" s="57"/>
      <c r="G43" s="72"/>
      <c r="I43" s="57"/>
      <c r="J43" s="72"/>
      <c r="L43" s="57"/>
      <c r="M43" s="114"/>
      <c r="N43" s="49"/>
      <c r="O43" s="50"/>
      <c r="P43" s="299"/>
      <c r="Q43" s="45"/>
      <c r="R43" s="46"/>
      <c r="S43" s="512"/>
      <c r="T43" s="57"/>
      <c r="U43" s="512"/>
      <c r="V43" s="57"/>
      <c r="W43" s="114" t="s">
        <v>17562</v>
      </c>
      <c r="X43" s="49"/>
      <c r="Y43" s="50"/>
      <c r="Z43" s="115"/>
      <c r="AA43" s="72"/>
      <c r="AB43" s="12" t="s">
        <v>398</v>
      </c>
      <c r="AC43" s="13">
        <v>0.2</v>
      </c>
      <c r="AD43" s="57" t="s">
        <v>3575</v>
      </c>
      <c r="AE43" s="208">
        <f>ROUND((ROUND((ROUND((_15_同援日０．５*(1+_15・A深夜)),0)*(1+_15・盲ろう)),0)*(1+_15・区３)),0)+ROUND((ROUND((ROUND((_15_同援日０．５＿０．５*(1+_15・B早朝)),0)*(1+_15・盲ろう)),0)*(1+_15・区３)),0)+ROUND((ROUND((_15_同援日０．５＿０．５＿１．０*(1+_15・盲ろう)),0)*(1+_15・区３)),0)</f>
        <v>933</v>
      </c>
      <c r="AF43" s="48"/>
    </row>
    <row r="44" spans="1:32" ht="16.5" customHeight="1" x14ac:dyDescent="0.15">
      <c r="A44" s="41">
        <v>15</v>
      </c>
      <c r="B44" s="41" t="s">
        <v>21271</v>
      </c>
      <c r="C44" s="74" t="s">
        <v>21272</v>
      </c>
      <c r="D44" s="72"/>
      <c r="F44" s="57"/>
      <c r="G44" s="72"/>
      <c r="I44" s="57"/>
      <c r="J44" s="72"/>
      <c r="L44" s="57"/>
      <c r="M44" s="269"/>
      <c r="N44" s="37"/>
      <c r="O44" s="38"/>
      <c r="P44" s="299" t="s">
        <v>17556</v>
      </c>
      <c r="Q44" s="45" t="s">
        <v>398</v>
      </c>
      <c r="R44" s="46">
        <v>1</v>
      </c>
      <c r="S44" s="512"/>
      <c r="T44" s="57"/>
      <c r="U44" s="512"/>
      <c r="V44" s="57"/>
      <c r="W44" s="92" t="s">
        <v>17564</v>
      </c>
      <c r="Z44" s="57"/>
      <c r="AA44" s="72"/>
      <c r="AD44" s="57"/>
      <c r="AE44" s="208">
        <f>ROUND((ROUND((ROUND((ROUND((_15_同援日０．５*_15・２人),0)*(1+_15・A深夜)),0)*(1+_15・盲ろう)),0)*(1+_15・区３)),0)+ROUND((ROUND((ROUND((ROUND((_15_同援日０．５＿０．５*_15・２人),0)*(1+_15・B早朝)),0)*(1+_15・盲ろう)),0)*(1+_15・区３)),0)+ROUND((ROUND((ROUND((_15_同援日０．５＿０．５＿１．０*_15・２人),0)*(1+_15・盲ろう)),0)*(1+_15・区３)),0)</f>
        <v>933</v>
      </c>
      <c r="AF44" s="48"/>
    </row>
    <row r="45" spans="1:32" ht="16.5" customHeight="1" x14ac:dyDescent="0.15">
      <c r="A45" s="41">
        <v>15</v>
      </c>
      <c r="B45" s="41" t="s">
        <v>867</v>
      </c>
      <c r="C45" s="74" t="s">
        <v>21273</v>
      </c>
      <c r="D45" s="72"/>
      <c r="F45" s="57"/>
      <c r="G45" s="72"/>
      <c r="I45" s="57"/>
      <c r="J45" s="72"/>
      <c r="L45" s="57"/>
      <c r="M45" s="114" t="s">
        <v>17558</v>
      </c>
      <c r="N45" s="49"/>
      <c r="O45" s="50"/>
      <c r="P45" s="299"/>
      <c r="Q45" s="45"/>
      <c r="R45" s="46"/>
      <c r="S45" s="512"/>
      <c r="T45" s="57"/>
      <c r="U45" s="512"/>
      <c r="V45" s="57"/>
      <c r="W45" s="92"/>
      <c r="X45" s="12" t="s">
        <v>398</v>
      </c>
      <c r="Y45" s="13">
        <v>0.25</v>
      </c>
      <c r="Z45" s="57" t="s">
        <v>3575</v>
      </c>
      <c r="AA45" s="72"/>
      <c r="AD45" s="57"/>
      <c r="AE45" s="208">
        <f>ROUND((ROUND((ROUND((ROUND((_15_同援日０．５*_15・基礎２),0)*(1+_15・A深夜)),0)*(1+_15・盲ろう)),0)*(1+_15・区３)),0)+ROUND((ROUND((ROUND((ROUND((_15_同援日０．５＿０．５*_15・基礎２),0)*(1+_15・B早朝)),0)*(1+_15・盲ろう)),0)*(1+_15・区３)),0)+ROUND((ROUND((ROUND((_15_同援日０．５＿０．５＿１．０*_15・基礎２),0)*(1+_15・盲ろう)),0)*(1+_15・区３)),0)</f>
        <v>839</v>
      </c>
      <c r="AF45" s="48"/>
    </row>
    <row r="46" spans="1:32" ht="16.5" customHeight="1" x14ac:dyDescent="0.15">
      <c r="A46" s="41">
        <v>15</v>
      </c>
      <c r="B46" s="41" t="s">
        <v>869</v>
      </c>
      <c r="C46" s="74" t="s">
        <v>21274</v>
      </c>
      <c r="D46" s="72"/>
      <c r="F46" s="57"/>
      <c r="G46" s="72"/>
      <c r="I46" s="57"/>
      <c r="J46" s="72"/>
      <c r="L46" s="57"/>
      <c r="M46" s="269" t="s">
        <v>17560</v>
      </c>
      <c r="N46" s="37" t="s">
        <v>398</v>
      </c>
      <c r="O46" s="38">
        <v>0.9</v>
      </c>
      <c r="P46" s="299" t="s">
        <v>17556</v>
      </c>
      <c r="Q46" s="45" t="s">
        <v>398</v>
      </c>
      <c r="R46" s="46">
        <v>1</v>
      </c>
      <c r="S46" s="512"/>
      <c r="T46" s="57"/>
      <c r="U46" s="512"/>
      <c r="V46" s="57"/>
      <c r="W46" s="269"/>
      <c r="X46" s="37"/>
      <c r="Y46" s="38"/>
      <c r="Z46" s="79"/>
      <c r="AA46" s="269"/>
      <c r="AB46" s="37"/>
      <c r="AC46" s="38"/>
      <c r="AD46" s="79"/>
      <c r="AE46" s="208">
        <f>ROUND((ROUND((ROUND((ROUND((ROUND((_15_同援日０．５*_15・基礎２),0)*_15・２人),0)*(1+_15・A深夜)),0)*(1+_15・盲ろう)),0)*(1+_15・区３)),0)+ROUND((ROUND((ROUND((ROUND((ROUND((_15_同援日０．５＿０．５*_15・基礎２),0)*_15・２人),0)*(1+_15・B早朝)),0)*(1+_15・盲ろう)),0)*(1+_15・区３)),0)+ROUND((ROUND((ROUND((ROUND((_15_同援日０．５＿０．５＿１．０*_15・基礎２),0)*_15・２人),0)*(1+_15・盲ろう)),0)*(1+_15・区３)),0)</f>
        <v>839</v>
      </c>
      <c r="AF46" s="48"/>
    </row>
    <row r="47" spans="1:32" ht="16.5" customHeight="1" x14ac:dyDescent="0.15">
      <c r="A47" s="41">
        <v>15</v>
      </c>
      <c r="B47" s="41" t="s">
        <v>871</v>
      </c>
      <c r="C47" s="74" t="s">
        <v>21275</v>
      </c>
      <c r="D47" s="72"/>
      <c r="F47" s="57"/>
      <c r="G47" s="72"/>
      <c r="I47" s="57"/>
      <c r="J47" s="72"/>
      <c r="L47" s="57"/>
      <c r="M47" s="114"/>
      <c r="N47" s="49"/>
      <c r="O47" s="50"/>
      <c r="P47" s="299"/>
      <c r="Q47" s="45"/>
      <c r="R47" s="46"/>
      <c r="S47" s="512"/>
      <c r="T47" s="57"/>
      <c r="U47" s="512"/>
      <c r="V47" s="57"/>
      <c r="W47" s="114"/>
      <c r="X47" s="49"/>
      <c r="Y47" s="50"/>
      <c r="Z47" s="115"/>
      <c r="AA47" s="116"/>
      <c r="AB47" s="49"/>
      <c r="AC47" s="50"/>
      <c r="AD47" s="115"/>
      <c r="AE47" s="208">
        <f>ROUND((ROUND((_15_同援日０．５*(1+_15・A深夜)),0)*(1+_15・区４)),0)+ROUND((ROUND((_15_同援日０．５＿０．５*(1+_15・B早朝)),0)*(1+_15・区４)),0)+ROUND((_15_同援日０．５＿０．５＿１．０*(1+_15・区４)),0)</f>
        <v>869</v>
      </c>
      <c r="AF47" s="48"/>
    </row>
    <row r="48" spans="1:32" ht="16.5" customHeight="1" x14ac:dyDescent="0.15">
      <c r="A48" s="41">
        <v>15</v>
      </c>
      <c r="B48" s="41" t="s">
        <v>873</v>
      </c>
      <c r="C48" s="74" t="s">
        <v>21276</v>
      </c>
      <c r="D48" s="72"/>
      <c r="F48" s="57"/>
      <c r="G48" s="72"/>
      <c r="I48" s="57"/>
      <c r="J48" s="72"/>
      <c r="L48" s="57"/>
      <c r="M48" s="269"/>
      <c r="N48" s="37"/>
      <c r="O48" s="38"/>
      <c r="P48" s="299" t="s">
        <v>17556</v>
      </c>
      <c r="Q48" s="45" t="s">
        <v>398</v>
      </c>
      <c r="R48" s="46">
        <v>1</v>
      </c>
      <c r="S48" s="512"/>
      <c r="T48" s="57"/>
      <c r="U48" s="512"/>
      <c r="V48" s="57"/>
      <c r="W48" s="92"/>
      <c r="Z48" s="57"/>
      <c r="AA48" s="72"/>
      <c r="AD48" s="57"/>
      <c r="AE48" s="208">
        <f>ROUND((ROUND((ROUND((_15_同援日０．５*_15・２人),0)*(1+_15・A深夜)),0)*(1+_15・区４)),0)+ROUND((ROUND((ROUND((_15_同援日０．５＿０．５*_15・２人),0)*(1+_15・B早朝)),0)*(1+_15・区４)),0)+ROUND((ROUND((_15_同援日０．５＿０．５＿１．０*_15・２人),0)*(1+_15・区４)),0)</f>
        <v>869</v>
      </c>
      <c r="AF48" s="48"/>
    </row>
    <row r="49" spans="1:32" ht="16.5" customHeight="1" x14ac:dyDescent="0.15">
      <c r="A49" s="41">
        <v>15</v>
      </c>
      <c r="B49" s="41" t="s">
        <v>21277</v>
      </c>
      <c r="C49" s="74" t="s">
        <v>21278</v>
      </c>
      <c r="D49" s="72"/>
      <c r="F49" s="57"/>
      <c r="G49" s="72"/>
      <c r="I49" s="57"/>
      <c r="J49" s="72"/>
      <c r="L49" s="57"/>
      <c r="M49" s="114" t="s">
        <v>17558</v>
      </c>
      <c r="N49" s="49"/>
      <c r="O49" s="50"/>
      <c r="P49" s="299"/>
      <c r="Q49" s="45"/>
      <c r="R49" s="46"/>
      <c r="S49" s="512"/>
      <c r="T49" s="57"/>
      <c r="U49" s="512"/>
      <c r="V49" s="57"/>
      <c r="W49" s="92"/>
      <c r="Z49" s="57"/>
      <c r="AA49" s="72" t="s">
        <v>17580</v>
      </c>
      <c r="AD49" s="57"/>
      <c r="AE49" s="208">
        <f>ROUND((ROUND((ROUND((_15_同援日０．５*_15・基礎２),0)*(1+_15・A深夜)),0)*(1+_15・区４)),0)+ROUND((ROUND((ROUND((_15_同援日０．５＿０．５*_15・基礎２),0)*(1+_15・B早朝)),0)*(1+_15・区４)),0)+ROUND((ROUND((_15_同援日０．５＿０．５＿１．０*_15・基礎２),0)*(1+_15・区４)),0)</f>
        <v>783</v>
      </c>
      <c r="AF49" s="48"/>
    </row>
    <row r="50" spans="1:32" ht="16.5" customHeight="1" x14ac:dyDescent="0.15">
      <c r="A50" s="41">
        <v>15</v>
      </c>
      <c r="B50" s="41" t="s">
        <v>21279</v>
      </c>
      <c r="C50" s="74" t="s">
        <v>21280</v>
      </c>
      <c r="D50" s="72"/>
      <c r="F50" s="57"/>
      <c r="G50" s="72"/>
      <c r="I50" s="57"/>
      <c r="J50" s="72"/>
      <c r="L50" s="57"/>
      <c r="M50" s="269" t="s">
        <v>17560</v>
      </c>
      <c r="N50" s="37" t="s">
        <v>398</v>
      </c>
      <c r="O50" s="38">
        <v>0.9</v>
      </c>
      <c r="P50" s="299" t="s">
        <v>17556</v>
      </c>
      <c r="Q50" s="45" t="s">
        <v>398</v>
      </c>
      <c r="R50" s="46">
        <v>1</v>
      </c>
      <c r="S50" s="512"/>
      <c r="T50" s="57"/>
      <c r="U50" s="512"/>
      <c r="V50" s="57"/>
      <c r="W50" s="269"/>
      <c r="X50" s="37"/>
      <c r="Y50" s="38"/>
      <c r="Z50" s="79"/>
      <c r="AA50" s="72" t="s">
        <v>17572</v>
      </c>
      <c r="AD50" s="57"/>
      <c r="AE50" s="208">
        <f>ROUND((ROUND((ROUND((ROUND((_15_同援日０．５*_15・基礎２),0)*_15・２人),0)*(1+_15・A深夜)),0)*(1+_15・区４)),0)+ROUND((ROUND((ROUND((ROUND((_15_同援日０．５＿０．５*_15・基礎２),0)*_15・２人),0)*(1+_15・B早朝)),0)*(1+_15・区４)),0)+ROUND((ROUND((ROUND((_15_同援日０．５＿０．５＿１．０*_15・基礎２),0)*_15・２人),0)*(1+_15・区４)),0)</f>
        <v>783</v>
      </c>
      <c r="AF50" s="48"/>
    </row>
    <row r="51" spans="1:32" ht="16.5" customHeight="1" x14ac:dyDescent="0.15">
      <c r="A51" s="41">
        <v>15</v>
      </c>
      <c r="B51" s="41" t="s">
        <v>21281</v>
      </c>
      <c r="C51" s="74" t="s">
        <v>21282</v>
      </c>
      <c r="D51" s="72"/>
      <c r="F51" s="57"/>
      <c r="G51" s="72"/>
      <c r="I51" s="57"/>
      <c r="J51" s="72"/>
      <c r="L51" s="57"/>
      <c r="M51" s="114"/>
      <c r="N51" s="49"/>
      <c r="O51" s="50"/>
      <c r="P51" s="299"/>
      <c r="Q51" s="45"/>
      <c r="R51" s="46"/>
      <c r="S51" s="512"/>
      <c r="T51" s="57"/>
      <c r="U51" s="512"/>
      <c r="V51" s="57"/>
      <c r="W51" s="114" t="s">
        <v>17562</v>
      </c>
      <c r="X51" s="49"/>
      <c r="Y51" s="50"/>
      <c r="Z51" s="115"/>
      <c r="AA51" s="72"/>
      <c r="AB51" s="12" t="s">
        <v>398</v>
      </c>
      <c r="AC51" s="13">
        <v>0.4</v>
      </c>
      <c r="AD51" s="57" t="s">
        <v>3575</v>
      </c>
      <c r="AE51" s="208">
        <f>ROUND((ROUND((ROUND((_15_同援日０．５*(1+_15・A深夜)),0)*(1+_15・盲ろう)),0)*(1+_15・区４)),0)+ROUND((ROUND((ROUND((_15_同援日０．５＿０．５*(1+_15・B早朝)),0)*(1+_15・盲ろう)),0)*(1+_15・区４)),0)+ROUND((ROUND((_15_同援日０．５＿０．５＿１．０*(1+_15・盲ろう)),0)*(1+_15・区４)),0)</f>
        <v>1087</v>
      </c>
      <c r="AF51" s="48"/>
    </row>
    <row r="52" spans="1:32" ht="16.5" customHeight="1" x14ac:dyDescent="0.15">
      <c r="A52" s="41">
        <v>15</v>
      </c>
      <c r="B52" s="41" t="s">
        <v>21283</v>
      </c>
      <c r="C52" s="74" t="s">
        <v>21284</v>
      </c>
      <c r="D52" s="72"/>
      <c r="F52" s="57"/>
      <c r="G52" s="72"/>
      <c r="I52" s="57"/>
      <c r="J52" s="72"/>
      <c r="L52" s="57"/>
      <c r="M52" s="269"/>
      <c r="N52" s="37"/>
      <c r="O52" s="38"/>
      <c r="P52" s="299" t="s">
        <v>17556</v>
      </c>
      <c r="Q52" s="45" t="s">
        <v>398</v>
      </c>
      <c r="R52" s="46">
        <v>1</v>
      </c>
      <c r="S52" s="512"/>
      <c r="T52" s="57"/>
      <c r="U52" s="512"/>
      <c r="V52" s="57"/>
      <c r="W52" s="92" t="s">
        <v>17564</v>
      </c>
      <c r="Z52" s="57"/>
      <c r="AA52" s="72"/>
      <c r="AD52" s="57"/>
      <c r="AE52" s="208">
        <f>ROUND((ROUND((ROUND((ROUND((_15_同援日０．５*_15・２人),0)*(1+_15・A深夜)),0)*(1+_15・盲ろう)),0)*(1+_15・区４)),0)+ROUND((ROUND((ROUND((ROUND((_15_同援日０．５＿０．５*_15・２人),0)*(1+_15・B早朝)),0)*(1+_15・盲ろう)),0)*(1+_15・区４)),0)+ROUND((ROUND((ROUND((_15_同援日０．５＿０．５＿１．０*_15・２人),0)*(1+_15・盲ろう)),0)*(1+_15・区４)),0)</f>
        <v>1087</v>
      </c>
      <c r="AF52" s="48"/>
    </row>
    <row r="53" spans="1:32" ht="16.5" customHeight="1" x14ac:dyDescent="0.15">
      <c r="A53" s="41">
        <v>15</v>
      </c>
      <c r="B53" s="41" t="s">
        <v>21285</v>
      </c>
      <c r="C53" s="74" t="s">
        <v>21286</v>
      </c>
      <c r="D53" s="72"/>
      <c r="F53" s="57"/>
      <c r="G53" s="72"/>
      <c r="I53" s="57"/>
      <c r="J53" s="72"/>
      <c r="L53" s="57"/>
      <c r="M53" s="114" t="s">
        <v>17558</v>
      </c>
      <c r="N53" s="49"/>
      <c r="O53" s="50"/>
      <c r="P53" s="299"/>
      <c r="Q53" s="45"/>
      <c r="R53" s="46"/>
      <c r="S53" s="512"/>
      <c r="T53" s="57"/>
      <c r="U53" s="512"/>
      <c r="V53" s="57"/>
      <c r="W53" s="92"/>
      <c r="X53" s="12" t="s">
        <v>398</v>
      </c>
      <c r="Y53" s="13">
        <v>0.25</v>
      </c>
      <c r="Z53" s="57" t="s">
        <v>3575</v>
      </c>
      <c r="AA53" s="72"/>
      <c r="AD53" s="57"/>
      <c r="AE53" s="208">
        <f>ROUND((ROUND((ROUND((ROUND((_15_同援日０．５*_15・基礎２),0)*(1+_15・A深夜)),0)*(1+_15・盲ろう)),0)*(1+_15・区４)),0)+ROUND((ROUND((ROUND((ROUND((_15_同援日０．５＿０．５*_15・基礎２),0)*(1+_15・B早朝)),0)*(1+_15・盲ろう)),0)*(1+_15・区４)),0)+ROUND((ROUND((ROUND((_15_同援日０．５＿０．５＿１．０*_15・基礎２),0)*(1+_15・盲ろう)),0)*(1+_15・区４)),0)</f>
        <v>978</v>
      </c>
      <c r="AF53" s="48"/>
    </row>
    <row r="54" spans="1:32" ht="16.5" customHeight="1" x14ac:dyDescent="0.15">
      <c r="A54" s="41">
        <v>15</v>
      </c>
      <c r="B54" s="41" t="s">
        <v>21287</v>
      </c>
      <c r="C54" s="74" t="s">
        <v>21288</v>
      </c>
      <c r="D54" s="72"/>
      <c r="F54" s="57"/>
      <c r="G54" s="72"/>
      <c r="I54" s="57"/>
      <c r="J54" s="122"/>
      <c r="K54" s="37"/>
      <c r="L54" s="79"/>
      <c r="M54" s="269" t="s">
        <v>17560</v>
      </c>
      <c r="N54" s="37" t="s">
        <v>398</v>
      </c>
      <c r="O54" s="38">
        <v>0.9</v>
      </c>
      <c r="P54" s="299" t="s">
        <v>17556</v>
      </c>
      <c r="Q54" s="45" t="s">
        <v>398</v>
      </c>
      <c r="R54" s="46">
        <v>1</v>
      </c>
      <c r="S54" s="512"/>
      <c r="T54" s="57"/>
      <c r="U54" s="512"/>
      <c r="V54" s="57"/>
      <c r="W54" s="269"/>
      <c r="X54" s="37"/>
      <c r="Y54" s="38"/>
      <c r="Z54" s="79"/>
      <c r="AA54" s="269"/>
      <c r="AB54" s="37"/>
      <c r="AC54" s="38"/>
      <c r="AD54" s="79"/>
      <c r="AE54" s="208">
        <f>ROUND((ROUND((ROUND((ROUND((ROUND((_15_同援日０．５*_15・基礎２),0)*_15・２人),0)*(1+_15・A深夜)),0)*(1+_15・盲ろう)),0)*(1+_15・区４)),0)+ROUND((ROUND((ROUND((ROUND((ROUND((_15_同援日０．５＿０．５*_15・基礎２),0)*_15・２人),0)*(1+_15・B早朝)),0)*(1+_15・盲ろう)),0)*(1+_15・区４)),0)+ROUND((ROUND((ROUND((ROUND((_15_同援日０．５＿０．５＿１．０*_15・基礎２),0)*_15・２人),0)*(1+_15・盲ろう)),0)*(1+_15・区４)),0)</f>
        <v>978</v>
      </c>
      <c r="AF54" s="48"/>
    </row>
    <row r="55" spans="1:32" ht="16.5" customHeight="1" x14ac:dyDescent="0.15">
      <c r="A55" s="41">
        <v>15</v>
      </c>
      <c r="B55" s="41" t="s">
        <v>21289</v>
      </c>
      <c r="C55" s="74" t="s">
        <v>21290</v>
      </c>
      <c r="D55" s="72"/>
      <c r="F55" s="57"/>
      <c r="G55" s="72"/>
      <c r="I55" s="57"/>
      <c r="J55" s="114" t="s">
        <v>21291</v>
      </c>
      <c r="K55" s="49"/>
      <c r="L55" s="115"/>
      <c r="M55" s="114"/>
      <c r="N55" s="49"/>
      <c r="O55" s="50"/>
      <c r="P55" s="299"/>
      <c r="Q55" s="45"/>
      <c r="R55" s="46"/>
      <c r="S55" s="512"/>
      <c r="T55" s="57"/>
      <c r="U55" s="512"/>
      <c r="V55" s="57"/>
      <c r="W55" s="114"/>
      <c r="X55" s="49"/>
      <c r="Y55" s="50"/>
      <c r="Z55" s="115"/>
      <c r="AA55" s="116"/>
      <c r="AB55" s="49"/>
      <c r="AC55" s="50"/>
      <c r="AD55" s="115"/>
      <c r="AE55" s="208">
        <f>ROUND((_15_同援日０．５*(1+_15・A深夜)),0)+ROUND((_15_同援日０．５＿０．５*(1+_15・B早朝)),0)+_15_同援日０．５＿０．５＿１．５</f>
        <v>686</v>
      </c>
      <c r="AF55" s="48"/>
    </row>
    <row r="56" spans="1:32" ht="16.5" customHeight="1" x14ac:dyDescent="0.15">
      <c r="A56" s="41">
        <v>15</v>
      </c>
      <c r="B56" s="41" t="s">
        <v>21292</v>
      </c>
      <c r="C56" s="74" t="s">
        <v>21293</v>
      </c>
      <c r="D56" s="72"/>
      <c r="F56" s="57"/>
      <c r="G56" s="72"/>
      <c r="I56" s="57"/>
      <c r="J56" s="72" t="s">
        <v>17616</v>
      </c>
      <c r="L56" s="57"/>
      <c r="M56" s="269"/>
      <c r="N56" s="37"/>
      <c r="O56" s="38"/>
      <c r="P56" s="299" t="s">
        <v>17556</v>
      </c>
      <c r="Q56" s="45" t="s">
        <v>398</v>
      </c>
      <c r="R56" s="46">
        <v>1</v>
      </c>
      <c r="S56" s="512"/>
      <c r="T56" s="57"/>
      <c r="U56" s="512"/>
      <c r="V56" s="57"/>
      <c r="W56" s="92"/>
      <c r="Z56" s="57"/>
      <c r="AA56" s="72"/>
      <c r="AD56" s="57"/>
      <c r="AE56" s="208">
        <f>ROUND((ROUND((_15_同援日０．５*_15・２人),0)*(1+_15・A深夜)),0)+ROUND((ROUND((_15_同援日０．５＿０．５*_15・２人),0)*(1+_15・B早朝)),0)+ROUND((_15_同援日０．５＿０．５＿１．５*_15・２人),0)</f>
        <v>686</v>
      </c>
      <c r="AF56" s="48"/>
    </row>
    <row r="57" spans="1:32" ht="16.5" customHeight="1" x14ac:dyDescent="0.15">
      <c r="A57" s="41">
        <v>15</v>
      </c>
      <c r="B57" s="41" t="s">
        <v>21294</v>
      </c>
      <c r="C57" s="74" t="s">
        <v>21295</v>
      </c>
      <c r="D57" s="72"/>
      <c r="F57" s="57"/>
      <c r="G57" s="72"/>
      <c r="I57" s="57"/>
      <c r="J57" s="72" t="s">
        <v>17618</v>
      </c>
      <c r="L57" s="57"/>
      <c r="M57" s="114" t="s">
        <v>17558</v>
      </c>
      <c r="N57" s="49"/>
      <c r="O57" s="50"/>
      <c r="P57" s="299"/>
      <c r="Q57" s="45"/>
      <c r="R57" s="46"/>
      <c r="S57" s="512"/>
      <c r="T57" s="57"/>
      <c r="U57" s="512"/>
      <c r="V57" s="57"/>
      <c r="W57" s="92"/>
      <c r="Z57" s="57"/>
      <c r="AA57" s="72"/>
      <c r="AD57" s="57"/>
      <c r="AE57" s="208">
        <f>ROUND((ROUND((_15_同援日０．５*_15・基礎２),0)*(1+_15・A深夜)),0)+ROUND((ROUND((_15_同援日０．５＿０．５*_15・基礎２),0)*(1+_15・B早朝)),0)+ROUND((_15_同援日０．５＿０．５＿１．５*_15・基礎２),0)</f>
        <v>618</v>
      </c>
      <c r="AF57" s="48"/>
    </row>
    <row r="58" spans="1:32" ht="16.5" customHeight="1" x14ac:dyDescent="0.15">
      <c r="A58" s="41">
        <v>15</v>
      </c>
      <c r="B58" s="41" t="s">
        <v>21296</v>
      </c>
      <c r="C58" s="74" t="s">
        <v>21297</v>
      </c>
      <c r="D58" s="72"/>
      <c r="F58" s="57"/>
      <c r="G58" s="72"/>
      <c r="I58" s="57"/>
      <c r="J58" s="72"/>
      <c r="K58" s="168">
        <f>_15_同援日０．５＿０．５＿１．５</f>
        <v>263</v>
      </c>
      <c r="L58" s="57" t="s">
        <v>392</v>
      </c>
      <c r="M58" s="269" t="s">
        <v>17560</v>
      </c>
      <c r="N58" s="37" t="s">
        <v>398</v>
      </c>
      <c r="O58" s="38">
        <v>0.9</v>
      </c>
      <c r="P58" s="299" t="s">
        <v>17556</v>
      </c>
      <c r="Q58" s="45" t="s">
        <v>398</v>
      </c>
      <c r="R58" s="46">
        <v>1</v>
      </c>
      <c r="S58" s="512"/>
      <c r="T58" s="57"/>
      <c r="U58" s="512"/>
      <c r="V58" s="57"/>
      <c r="W58" s="269"/>
      <c r="X58" s="37"/>
      <c r="Y58" s="38"/>
      <c r="Z58" s="79"/>
      <c r="AA58" s="72"/>
      <c r="AD58" s="57"/>
      <c r="AE58" s="208">
        <f>ROUND((ROUND((ROUND((_15_同援日０．５*_15・基礎２),0)*_15・２人),0)*(1+_15・A深夜)),0)+ROUND((ROUND((ROUND((_15_同援日０．５＿０．５*_15・基礎２),0)*_15・２人),0)*(1+_15・B早朝)),0)+ROUND((ROUND((_15_同援日０．５＿０．５＿１．５*_15・基礎２),0)*_15・２人),0)</f>
        <v>618</v>
      </c>
      <c r="AF58" s="48"/>
    </row>
    <row r="59" spans="1:32" ht="16.5" customHeight="1" x14ac:dyDescent="0.15">
      <c r="A59" s="41">
        <v>15</v>
      </c>
      <c r="B59" s="41" t="s">
        <v>21298</v>
      </c>
      <c r="C59" s="74" t="s">
        <v>21299</v>
      </c>
      <c r="D59" s="72"/>
      <c r="F59" s="57"/>
      <c r="G59" s="72"/>
      <c r="I59" s="57"/>
      <c r="J59" s="72"/>
      <c r="L59" s="57"/>
      <c r="M59" s="114"/>
      <c r="N59" s="49"/>
      <c r="O59" s="50"/>
      <c r="P59" s="299"/>
      <c r="Q59" s="45"/>
      <c r="R59" s="46"/>
      <c r="S59" s="512"/>
      <c r="T59" s="57"/>
      <c r="U59" s="512"/>
      <c r="V59" s="57"/>
      <c r="W59" s="114" t="s">
        <v>17562</v>
      </c>
      <c r="X59" s="49"/>
      <c r="Y59" s="50"/>
      <c r="Z59" s="115"/>
      <c r="AA59" s="72"/>
      <c r="AD59" s="57"/>
      <c r="AE59" s="208">
        <f>ROUND((ROUND((_15_同援日０．５*(1+_15・A深夜)),0)*(1+_15・盲ろう)),0)+ROUND((ROUND((_15_同援日０．５＿０．５*(1+_15・B早朝)),0)*(1+_15・盲ろう)),0)+ROUND((_15_同援日０．５＿０．５＿１．５*(1+_15・盲ろう)),0)</f>
        <v>858</v>
      </c>
      <c r="AF59" s="48"/>
    </row>
    <row r="60" spans="1:32" ht="16.5" customHeight="1" x14ac:dyDescent="0.15">
      <c r="A60" s="41">
        <v>15</v>
      </c>
      <c r="B60" s="41" t="s">
        <v>21300</v>
      </c>
      <c r="C60" s="74" t="s">
        <v>21301</v>
      </c>
      <c r="D60" s="72"/>
      <c r="F60" s="57"/>
      <c r="G60" s="72"/>
      <c r="I60" s="57"/>
      <c r="J60" s="72"/>
      <c r="L60" s="57"/>
      <c r="M60" s="269"/>
      <c r="N60" s="37"/>
      <c r="O60" s="38"/>
      <c r="P60" s="299" t="s">
        <v>17556</v>
      </c>
      <c r="Q60" s="45" t="s">
        <v>398</v>
      </c>
      <c r="R60" s="46">
        <v>1</v>
      </c>
      <c r="S60" s="512"/>
      <c r="T60" s="57"/>
      <c r="U60" s="512"/>
      <c r="V60" s="57"/>
      <c r="W60" s="92" t="s">
        <v>17564</v>
      </c>
      <c r="Z60" s="57"/>
      <c r="AA60" s="72"/>
      <c r="AD60" s="57"/>
      <c r="AE60" s="208">
        <f>ROUND((ROUND((ROUND((_15_同援日０．５*_15・２人),0)*(1+_15・A深夜)),0)*(1+_15・盲ろう)),0)+ROUND((ROUND((ROUND((_15_同援日０．５＿０．５*_15・２人),0)*(1+_15・B早朝)),0)*(1+_15・盲ろう)),0)+ROUND((ROUND((_15_同援日０．５＿０．５＿１．５*_15・２人),0)*(1+_15・盲ろう)),0)</f>
        <v>858</v>
      </c>
      <c r="AF60" s="48"/>
    </row>
    <row r="61" spans="1:32" ht="16.5" customHeight="1" x14ac:dyDescent="0.15">
      <c r="A61" s="41">
        <v>15</v>
      </c>
      <c r="B61" s="41" t="s">
        <v>21302</v>
      </c>
      <c r="C61" s="74" t="s">
        <v>21303</v>
      </c>
      <c r="D61" s="72"/>
      <c r="F61" s="57"/>
      <c r="G61" s="72"/>
      <c r="I61" s="57"/>
      <c r="J61" s="72"/>
      <c r="L61" s="57"/>
      <c r="M61" s="114" t="s">
        <v>17558</v>
      </c>
      <c r="N61" s="49"/>
      <c r="O61" s="50"/>
      <c r="P61" s="299"/>
      <c r="Q61" s="45"/>
      <c r="R61" s="46"/>
      <c r="S61" s="512"/>
      <c r="T61" s="57"/>
      <c r="U61" s="512"/>
      <c r="V61" s="57"/>
      <c r="W61" s="92"/>
      <c r="X61" s="12" t="s">
        <v>398</v>
      </c>
      <c r="Y61" s="13">
        <v>0.25</v>
      </c>
      <c r="Z61" s="57" t="s">
        <v>3575</v>
      </c>
      <c r="AA61" s="72"/>
      <c r="AD61" s="57"/>
      <c r="AE61" s="208">
        <f>ROUND((ROUND((ROUND((_15_同援日０．５*_15・基礎２),0)*(1+_15・A深夜)),0)*(1+_15・盲ろう)),0)+ROUND((ROUND((ROUND((_15_同援日０．５＿０．５*_15・基礎２),0)*(1+_15・B早朝)),0)*(1+_15・盲ろう)),0)+ROUND((ROUND((_15_同援日０．５＿０．５＿１．５*_15・基礎２),0)*(1+_15・盲ろう)),0)</f>
        <v>772</v>
      </c>
      <c r="AF61" s="48"/>
    </row>
    <row r="62" spans="1:32" ht="16.5" customHeight="1" x14ac:dyDescent="0.15">
      <c r="A62" s="41">
        <v>15</v>
      </c>
      <c r="B62" s="41" t="s">
        <v>21304</v>
      </c>
      <c r="C62" s="74" t="s">
        <v>21305</v>
      </c>
      <c r="D62" s="72"/>
      <c r="F62" s="57"/>
      <c r="G62" s="72"/>
      <c r="I62" s="57"/>
      <c r="J62" s="72"/>
      <c r="L62" s="57"/>
      <c r="M62" s="269" t="s">
        <v>17560</v>
      </c>
      <c r="N62" s="37" t="s">
        <v>398</v>
      </c>
      <c r="O62" s="38">
        <v>0.9</v>
      </c>
      <c r="P62" s="299" t="s">
        <v>17556</v>
      </c>
      <c r="Q62" s="45" t="s">
        <v>398</v>
      </c>
      <c r="R62" s="46">
        <v>1</v>
      </c>
      <c r="S62" s="512"/>
      <c r="T62" s="57"/>
      <c r="U62" s="512"/>
      <c r="V62" s="57"/>
      <c r="W62" s="269"/>
      <c r="X62" s="37"/>
      <c r="Y62" s="38"/>
      <c r="Z62" s="79"/>
      <c r="AA62" s="269"/>
      <c r="AB62" s="37"/>
      <c r="AC62" s="38"/>
      <c r="AD62" s="79"/>
      <c r="AE62" s="208">
        <f>ROUND((ROUND((ROUND((ROUND((_15_同援日０．５*_15・基礎２),0)*_15・２人),0)*(1+_15・A深夜)),0)*(1+_15・盲ろう)),0)+ROUND((ROUND((ROUND((ROUND((_15_同援日０．５＿０．５*_15・基礎２),0)*_15・２人),0)*(1+_15・B早朝)),0)*(1+_15・盲ろう)),0)+ROUND((ROUND((ROUND((_15_同援日０．５＿０．５＿１．５*_15・基礎２),0)*_15・２人),0)*(1+_15・盲ろう)),0)</f>
        <v>772</v>
      </c>
      <c r="AF62" s="48"/>
    </row>
    <row r="63" spans="1:32" ht="16.5" customHeight="1" x14ac:dyDescent="0.15">
      <c r="A63" s="41">
        <v>15</v>
      </c>
      <c r="B63" s="41" t="s">
        <v>21306</v>
      </c>
      <c r="C63" s="74" t="s">
        <v>21307</v>
      </c>
      <c r="D63" s="72"/>
      <c r="F63" s="57"/>
      <c r="G63" s="72"/>
      <c r="I63" s="57"/>
      <c r="J63" s="72"/>
      <c r="L63" s="57"/>
      <c r="M63" s="114"/>
      <c r="N63" s="49"/>
      <c r="O63" s="50"/>
      <c r="P63" s="299"/>
      <c r="Q63" s="45"/>
      <c r="R63" s="46"/>
      <c r="S63" s="512"/>
      <c r="T63" s="57"/>
      <c r="U63" s="512"/>
      <c r="V63" s="57"/>
      <c r="W63" s="114"/>
      <c r="X63" s="49"/>
      <c r="Y63" s="50"/>
      <c r="Z63" s="115"/>
      <c r="AA63" s="116"/>
      <c r="AB63" s="49"/>
      <c r="AC63" s="50"/>
      <c r="AD63" s="115"/>
      <c r="AE63" s="208">
        <f>ROUND((ROUND((_15_同援日０．５*(1+_15・A深夜)),0)*(1+_15・区３)),0)+ROUND((ROUND((_15_同援日０．５＿０．５*(1+_15・B早朝)),0)*(1+_15・区３)),0)+ROUND((_15_同援日０．５＿０．５＿１．５*(1+_15・区３)),0)</f>
        <v>824</v>
      </c>
      <c r="AF63" s="48"/>
    </row>
    <row r="64" spans="1:32" ht="16.5" customHeight="1" x14ac:dyDescent="0.15">
      <c r="A64" s="41">
        <v>15</v>
      </c>
      <c r="B64" s="41" t="s">
        <v>21308</v>
      </c>
      <c r="C64" s="74" t="s">
        <v>21309</v>
      </c>
      <c r="D64" s="72"/>
      <c r="F64" s="57"/>
      <c r="G64" s="72"/>
      <c r="I64" s="57"/>
      <c r="J64" s="72"/>
      <c r="L64" s="57"/>
      <c r="M64" s="269"/>
      <c r="N64" s="37"/>
      <c r="O64" s="38"/>
      <c r="P64" s="299" t="s">
        <v>17556</v>
      </c>
      <c r="Q64" s="45" t="s">
        <v>398</v>
      </c>
      <c r="R64" s="46">
        <v>1</v>
      </c>
      <c r="S64" s="512"/>
      <c r="T64" s="57"/>
      <c r="U64" s="512"/>
      <c r="V64" s="57"/>
      <c r="W64" s="92"/>
      <c r="Z64" s="57"/>
      <c r="AA64" s="72"/>
      <c r="AD64" s="57"/>
      <c r="AE64" s="208">
        <f>ROUND((ROUND((ROUND((_15_同援日０．５*_15・２人),0)*(1+_15・A深夜)),0)*(1+_15・区３)),0)+ROUND((ROUND((ROUND((_15_同援日０．５＿０．５*_15・２人),0)*(1+_15・B早朝)),0)*(1+_15・区３)),0)+ROUND((ROUND((_15_同援日０．５＿０．５＿１．５*_15・２人),0)*(1+_15・区３)),0)</f>
        <v>824</v>
      </c>
      <c r="AF64" s="48"/>
    </row>
    <row r="65" spans="1:32" ht="16.5" customHeight="1" x14ac:dyDescent="0.15">
      <c r="A65" s="41">
        <v>15</v>
      </c>
      <c r="B65" s="41" t="s">
        <v>880</v>
      </c>
      <c r="C65" s="74" t="s">
        <v>21310</v>
      </c>
      <c r="D65" s="72"/>
      <c r="F65" s="57"/>
      <c r="G65" s="72"/>
      <c r="I65" s="57"/>
      <c r="J65" s="72"/>
      <c r="L65" s="57"/>
      <c r="M65" s="114" t="s">
        <v>17558</v>
      </c>
      <c r="N65" s="49"/>
      <c r="O65" s="50"/>
      <c r="P65" s="299"/>
      <c r="Q65" s="45"/>
      <c r="R65" s="46"/>
      <c r="S65" s="512"/>
      <c r="T65" s="57"/>
      <c r="U65" s="512"/>
      <c r="V65" s="57"/>
      <c r="W65" s="92"/>
      <c r="Z65" s="57"/>
      <c r="AA65" s="72" t="s">
        <v>17570</v>
      </c>
      <c r="AD65" s="57"/>
      <c r="AE65" s="208">
        <f>ROUND((ROUND((ROUND((_15_同援日０．５*_15・基礎２),0)*(1+_15・A深夜)),0)*(1+_15・区３)),0)+ROUND((ROUND((ROUND((_15_同援日０．５＿０．５*_15・基礎２),0)*(1+_15・B早朝)),0)*(1+_15・区３)),0)+ROUND((ROUND((_15_同援日０．５＿０．５＿１．５*_15・基礎２),0)*(1+_15・区３)),0)</f>
        <v>741</v>
      </c>
      <c r="AF65" s="48"/>
    </row>
    <row r="66" spans="1:32" ht="16.5" customHeight="1" x14ac:dyDescent="0.15">
      <c r="A66" s="41">
        <v>15</v>
      </c>
      <c r="B66" s="41" t="s">
        <v>882</v>
      </c>
      <c r="C66" s="74" t="s">
        <v>21311</v>
      </c>
      <c r="D66" s="72"/>
      <c r="F66" s="57"/>
      <c r="G66" s="72"/>
      <c r="I66" s="57"/>
      <c r="J66" s="72"/>
      <c r="L66" s="57"/>
      <c r="M66" s="269" t="s">
        <v>17560</v>
      </c>
      <c r="N66" s="37" t="s">
        <v>398</v>
      </c>
      <c r="O66" s="38">
        <v>0.9</v>
      </c>
      <c r="P66" s="299" t="s">
        <v>17556</v>
      </c>
      <c r="Q66" s="45" t="s">
        <v>398</v>
      </c>
      <c r="R66" s="46">
        <v>1</v>
      </c>
      <c r="S66" s="512"/>
      <c r="T66" s="57"/>
      <c r="U66" s="512"/>
      <c r="V66" s="57"/>
      <c r="W66" s="269"/>
      <c r="X66" s="37"/>
      <c r="Y66" s="38"/>
      <c r="Z66" s="79"/>
      <c r="AA66" s="72" t="s">
        <v>17572</v>
      </c>
      <c r="AD66" s="57"/>
      <c r="AE66" s="208">
        <f>ROUND((ROUND((ROUND((ROUND((_15_同援日０．５*_15・基礎２),0)*_15・２人),0)*(1+_15・A深夜)),0)*(1+_15・区３)),0)+ROUND((ROUND((ROUND((ROUND((_15_同援日０．５＿０．５*_15・基礎２),0)*_15・２人),0)*(1+_15・B早朝)),0)*(1+_15・区３)),0)+ROUND((ROUND((ROUND((_15_同援日０．５＿０．５＿１．５*_15・基礎２),0)*_15・２人),0)*(1+_15・区３)),0)</f>
        <v>741</v>
      </c>
      <c r="AF66" s="48"/>
    </row>
    <row r="67" spans="1:32" ht="16.5" customHeight="1" x14ac:dyDescent="0.15">
      <c r="A67" s="41">
        <v>15</v>
      </c>
      <c r="B67" s="41" t="s">
        <v>884</v>
      </c>
      <c r="C67" s="74" t="s">
        <v>21312</v>
      </c>
      <c r="D67" s="72"/>
      <c r="F67" s="57"/>
      <c r="G67" s="72"/>
      <c r="I67" s="57"/>
      <c r="J67" s="72"/>
      <c r="L67" s="57"/>
      <c r="M67" s="114"/>
      <c r="N67" s="49"/>
      <c r="O67" s="50"/>
      <c r="P67" s="299"/>
      <c r="Q67" s="45"/>
      <c r="R67" s="46"/>
      <c r="S67" s="512"/>
      <c r="T67" s="57"/>
      <c r="U67" s="512"/>
      <c r="V67" s="57"/>
      <c r="W67" s="114" t="s">
        <v>17562</v>
      </c>
      <c r="X67" s="49"/>
      <c r="Y67" s="50"/>
      <c r="Z67" s="115"/>
      <c r="AA67" s="72"/>
      <c r="AB67" s="12" t="s">
        <v>398</v>
      </c>
      <c r="AC67" s="13">
        <v>0.2</v>
      </c>
      <c r="AD67" s="57" t="s">
        <v>3575</v>
      </c>
      <c r="AE67" s="208">
        <f>ROUND((ROUND((ROUND((_15_同援日０．５*(1+_15・A深夜)),0)*(1+_15・盲ろう)),0)*(1+_15・区３)),0)+ROUND((ROUND((ROUND((_15_同援日０．５＿０．５*(1+_15・B早朝)),0)*(1+_15・盲ろう)),0)*(1+_15・区３)),0)+ROUND((ROUND((_15_同援日０．５＿０．５＿１．５*(1+_15・盲ろう)),0)*(1+_15・区３)),0)</f>
        <v>1030</v>
      </c>
      <c r="AF67" s="48"/>
    </row>
    <row r="68" spans="1:32" ht="16.5" customHeight="1" x14ac:dyDescent="0.15">
      <c r="A68" s="41">
        <v>15</v>
      </c>
      <c r="B68" s="41" t="s">
        <v>886</v>
      </c>
      <c r="C68" s="74" t="s">
        <v>21313</v>
      </c>
      <c r="D68" s="72"/>
      <c r="F68" s="57"/>
      <c r="G68" s="72"/>
      <c r="I68" s="57"/>
      <c r="J68" s="72"/>
      <c r="L68" s="57"/>
      <c r="M68" s="269"/>
      <c r="N68" s="37"/>
      <c r="O68" s="38"/>
      <c r="P68" s="299" t="s">
        <v>17556</v>
      </c>
      <c r="Q68" s="45" t="s">
        <v>398</v>
      </c>
      <c r="R68" s="46">
        <v>1</v>
      </c>
      <c r="S68" s="512"/>
      <c r="T68" s="57"/>
      <c r="U68" s="512"/>
      <c r="V68" s="57"/>
      <c r="W68" s="92" t="s">
        <v>17564</v>
      </c>
      <c r="Z68" s="57"/>
      <c r="AA68" s="72"/>
      <c r="AD68" s="57"/>
      <c r="AE68" s="208">
        <f>ROUND((ROUND((ROUND((ROUND((_15_同援日０．５*_15・２人),0)*(1+_15・A深夜)),0)*(1+_15・盲ろう)),0)*(1+_15・区３)),0)+ROUND((ROUND((ROUND((ROUND((_15_同援日０．５＿０．５*_15・２人),0)*(1+_15・B早朝)),0)*(1+_15・盲ろう)),0)*(1+_15・区３)),0)+ROUND((ROUND((ROUND((_15_同援日０．５＿０．５＿１．５*_15・２人),0)*(1+_15・盲ろう)),0)*(1+_15・区３)),0)</f>
        <v>1030</v>
      </c>
      <c r="AF68" s="48"/>
    </row>
    <row r="69" spans="1:32" ht="16.5" customHeight="1" x14ac:dyDescent="0.15">
      <c r="A69" s="41">
        <v>15</v>
      </c>
      <c r="B69" s="41" t="s">
        <v>21314</v>
      </c>
      <c r="C69" s="74" t="s">
        <v>21315</v>
      </c>
      <c r="D69" s="72"/>
      <c r="F69" s="57"/>
      <c r="G69" s="72"/>
      <c r="I69" s="57"/>
      <c r="J69" s="72"/>
      <c r="L69" s="57"/>
      <c r="M69" s="114" t="s">
        <v>17558</v>
      </c>
      <c r="N69" s="49"/>
      <c r="O69" s="50"/>
      <c r="P69" s="299"/>
      <c r="Q69" s="45"/>
      <c r="R69" s="46"/>
      <c r="S69" s="512"/>
      <c r="T69" s="57"/>
      <c r="U69" s="512"/>
      <c r="V69" s="57"/>
      <c r="W69" s="92"/>
      <c r="X69" s="12" t="s">
        <v>398</v>
      </c>
      <c r="Y69" s="13">
        <v>0.25</v>
      </c>
      <c r="Z69" s="57" t="s">
        <v>3575</v>
      </c>
      <c r="AA69" s="72"/>
      <c r="AD69" s="57"/>
      <c r="AE69" s="208">
        <f>ROUND((ROUND((ROUND((ROUND((_15_同援日０．５*_15・基礎２),0)*(1+_15・A深夜)),0)*(1+_15・盲ろう)),0)*(1+_15・区３)),0)+ROUND((ROUND((ROUND((ROUND((_15_同援日０．５＿０．５*_15・基礎２),0)*(1+_15・B早朝)),0)*(1+_15・盲ろう)),0)*(1+_15・区３)),0)+ROUND((ROUND((ROUND((_15_同援日０．５＿０．５＿１．５*_15・基礎２),0)*(1+_15・盲ろう)),0)*(1+_15・区３)),0)</f>
        <v>926</v>
      </c>
      <c r="AF69" s="48"/>
    </row>
    <row r="70" spans="1:32" ht="16.5" customHeight="1" x14ac:dyDescent="0.15">
      <c r="A70" s="41">
        <v>15</v>
      </c>
      <c r="B70" s="41" t="s">
        <v>21316</v>
      </c>
      <c r="C70" s="74" t="s">
        <v>21317</v>
      </c>
      <c r="D70" s="72"/>
      <c r="F70" s="57"/>
      <c r="G70" s="72"/>
      <c r="I70" s="57"/>
      <c r="J70" s="72"/>
      <c r="L70" s="57"/>
      <c r="M70" s="269" t="s">
        <v>17560</v>
      </c>
      <c r="N70" s="37" t="s">
        <v>398</v>
      </c>
      <c r="O70" s="38">
        <v>0.9</v>
      </c>
      <c r="P70" s="299" t="s">
        <v>17556</v>
      </c>
      <c r="Q70" s="45" t="s">
        <v>398</v>
      </c>
      <c r="R70" s="46">
        <v>1</v>
      </c>
      <c r="S70" s="512"/>
      <c r="T70" s="57"/>
      <c r="U70" s="512"/>
      <c r="V70" s="57"/>
      <c r="W70" s="269"/>
      <c r="X70" s="37"/>
      <c r="Y70" s="38"/>
      <c r="Z70" s="79"/>
      <c r="AA70" s="269"/>
      <c r="AB70" s="37"/>
      <c r="AC70" s="38"/>
      <c r="AD70" s="79"/>
      <c r="AE70" s="208">
        <f>ROUND((ROUND((ROUND((ROUND((ROUND((_15_同援日０．５*_15・基礎２),0)*_15・２人),0)*(1+_15・A深夜)),0)*(1+_15・盲ろう)),0)*(1+_15・区３)),0)+ROUND((ROUND((ROUND((ROUND((ROUND((_15_同援日０．５＿０．５*_15・基礎２),0)*_15・２人),0)*(1+_15・B早朝)),0)*(1+_15・盲ろう)),0)*(1+_15・区３)),0)+ROUND((ROUND((ROUND((ROUND((_15_同援日０．５＿０．５＿１．５*_15・基礎２),0)*_15・２人),0)*(1+_15・盲ろう)),0)*(1+_15・区３)),0)</f>
        <v>926</v>
      </c>
      <c r="AF70" s="48"/>
    </row>
    <row r="71" spans="1:32" ht="16.5" customHeight="1" x14ac:dyDescent="0.15">
      <c r="A71" s="41">
        <v>15</v>
      </c>
      <c r="B71" s="41" t="s">
        <v>21318</v>
      </c>
      <c r="C71" s="74" t="s">
        <v>21319</v>
      </c>
      <c r="D71" s="72"/>
      <c r="F71" s="57"/>
      <c r="G71" s="72"/>
      <c r="I71" s="57"/>
      <c r="J71" s="72"/>
      <c r="L71" s="57"/>
      <c r="M71" s="114"/>
      <c r="N71" s="49"/>
      <c r="O71" s="50"/>
      <c r="P71" s="299"/>
      <c r="Q71" s="45"/>
      <c r="R71" s="46"/>
      <c r="S71" s="512"/>
      <c r="T71" s="57"/>
      <c r="U71" s="512"/>
      <c r="V71" s="57"/>
      <c r="W71" s="114"/>
      <c r="X71" s="49"/>
      <c r="Y71" s="50"/>
      <c r="Z71" s="115"/>
      <c r="AA71" s="116"/>
      <c r="AB71" s="49"/>
      <c r="AC71" s="50"/>
      <c r="AD71" s="115"/>
      <c r="AE71" s="208">
        <f>ROUND((ROUND((_15_同援日０．５*(1+_15・A深夜)),0)*(1+_15・区４)),0)+ROUND((ROUND((_15_同援日０．５＿０．５*(1+_15・B早朝)),0)*(1+_15・区４)),0)+ROUND((_15_同援日０．５＿０．５＿１．５*(1+_15・区４)),0)</f>
        <v>960</v>
      </c>
      <c r="AF71" s="48"/>
    </row>
    <row r="72" spans="1:32" ht="16.5" customHeight="1" x14ac:dyDescent="0.15">
      <c r="A72" s="41">
        <v>15</v>
      </c>
      <c r="B72" s="41" t="s">
        <v>21320</v>
      </c>
      <c r="C72" s="74" t="s">
        <v>21321</v>
      </c>
      <c r="D72" s="72"/>
      <c r="F72" s="57"/>
      <c r="G72" s="72"/>
      <c r="I72" s="57"/>
      <c r="J72" s="72"/>
      <c r="L72" s="57"/>
      <c r="M72" s="269"/>
      <c r="N72" s="37"/>
      <c r="O72" s="38"/>
      <c r="P72" s="299" t="s">
        <v>17556</v>
      </c>
      <c r="Q72" s="45" t="s">
        <v>398</v>
      </c>
      <c r="R72" s="46">
        <v>1</v>
      </c>
      <c r="S72" s="512"/>
      <c r="T72" s="57"/>
      <c r="U72" s="512"/>
      <c r="V72" s="57"/>
      <c r="W72" s="92"/>
      <c r="Z72" s="57"/>
      <c r="AA72" s="72"/>
      <c r="AD72" s="57"/>
      <c r="AE72" s="208">
        <f>ROUND((ROUND((ROUND((_15_同援日０．５*_15・２人),0)*(1+_15・A深夜)),0)*(1+_15・区４)),0)+ROUND((ROUND((ROUND((_15_同援日０．５＿０．５*_15・２人),0)*(1+_15・B早朝)),0)*(1+_15・区４)),0)+ROUND((ROUND((_15_同援日０．５＿０．５＿１．５*_15・２人),0)*(1+_15・区４)),0)</f>
        <v>960</v>
      </c>
      <c r="AF72" s="48"/>
    </row>
    <row r="73" spans="1:32" ht="16.5" customHeight="1" x14ac:dyDescent="0.15">
      <c r="A73" s="41">
        <v>15</v>
      </c>
      <c r="B73" s="41" t="s">
        <v>21322</v>
      </c>
      <c r="C73" s="74" t="s">
        <v>21323</v>
      </c>
      <c r="D73" s="72"/>
      <c r="F73" s="57"/>
      <c r="G73" s="72"/>
      <c r="I73" s="57"/>
      <c r="J73" s="72"/>
      <c r="L73" s="57"/>
      <c r="M73" s="114" t="s">
        <v>17558</v>
      </c>
      <c r="N73" s="49"/>
      <c r="O73" s="50"/>
      <c r="P73" s="299"/>
      <c r="Q73" s="45"/>
      <c r="R73" s="46"/>
      <c r="S73" s="512"/>
      <c r="T73" s="57"/>
      <c r="U73" s="512"/>
      <c r="V73" s="57"/>
      <c r="W73" s="92"/>
      <c r="Z73" s="57"/>
      <c r="AA73" s="72" t="s">
        <v>17580</v>
      </c>
      <c r="AD73" s="57"/>
      <c r="AE73" s="208">
        <f>ROUND((ROUND((ROUND((_15_同援日０．５*_15・基礎２),0)*(1+_15・A深夜)),0)*(1+_15・区４)),0)+ROUND((ROUND((ROUND((_15_同援日０．５＿０．５*_15・基礎２),0)*(1+_15・B早朝)),0)*(1+_15・区４)),0)+ROUND((ROUND((_15_同援日０．５＿０．５＿１．５*_15・基礎２),0)*(1+_15・区４)),0)</f>
        <v>866</v>
      </c>
      <c r="AF73" s="48"/>
    </row>
    <row r="74" spans="1:32" ht="16.5" customHeight="1" x14ac:dyDescent="0.15">
      <c r="A74" s="41">
        <v>15</v>
      </c>
      <c r="B74" s="41" t="s">
        <v>21324</v>
      </c>
      <c r="C74" s="74" t="s">
        <v>21325</v>
      </c>
      <c r="D74" s="72"/>
      <c r="F74" s="57"/>
      <c r="G74" s="72"/>
      <c r="I74" s="57"/>
      <c r="J74" s="72"/>
      <c r="L74" s="57"/>
      <c r="M74" s="269" t="s">
        <v>17560</v>
      </c>
      <c r="N74" s="37" t="s">
        <v>398</v>
      </c>
      <c r="O74" s="38">
        <v>0.9</v>
      </c>
      <c r="P74" s="299" t="s">
        <v>17556</v>
      </c>
      <c r="Q74" s="45" t="s">
        <v>398</v>
      </c>
      <c r="R74" s="46">
        <v>1</v>
      </c>
      <c r="S74" s="512"/>
      <c r="T74" s="57"/>
      <c r="U74" s="512"/>
      <c r="V74" s="57"/>
      <c r="W74" s="269"/>
      <c r="X74" s="37"/>
      <c r="Y74" s="38"/>
      <c r="Z74" s="79"/>
      <c r="AA74" s="72" t="s">
        <v>17572</v>
      </c>
      <c r="AD74" s="57"/>
      <c r="AE74" s="208">
        <f>ROUND((ROUND((ROUND((ROUND((_15_同援日０．５*_15・基礎２),0)*_15・２人),0)*(1+_15・A深夜)),0)*(1+_15・区４)),0)+ROUND((ROUND((ROUND((ROUND((_15_同援日０．５＿０．５*_15・基礎２),0)*_15・２人),0)*(1+_15・B早朝)),0)*(1+_15・区４)),0)+ROUND((ROUND((ROUND((_15_同援日０．５＿０．５＿１．５*_15・基礎２),0)*_15・２人),0)*(1+_15・区４)),0)</f>
        <v>866</v>
      </c>
      <c r="AF74" s="48"/>
    </row>
    <row r="75" spans="1:32" ht="16.5" customHeight="1" x14ac:dyDescent="0.15">
      <c r="A75" s="41">
        <v>15</v>
      </c>
      <c r="B75" s="41" t="s">
        <v>21326</v>
      </c>
      <c r="C75" s="74" t="s">
        <v>21327</v>
      </c>
      <c r="D75" s="72"/>
      <c r="F75" s="57"/>
      <c r="G75" s="72"/>
      <c r="I75" s="57"/>
      <c r="J75" s="72"/>
      <c r="L75" s="57"/>
      <c r="M75" s="114"/>
      <c r="N75" s="49"/>
      <c r="O75" s="50"/>
      <c r="P75" s="299"/>
      <c r="Q75" s="45"/>
      <c r="R75" s="46"/>
      <c r="S75" s="512"/>
      <c r="T75" s="57"/>
      <c r="U75" s="512"/>
      <c r="V75" s="57"/>
      <c r="W75" s="114" t="s">
        <v>17562</v>
      </c>
      <c r="X75" s="49"/>
      <c r="Y75" s="50"/>
      <c r="Z75" s="115"/>
      <c r="AA75" s="72"/>
      <c r="AB75" s="12" t="s">
        <v>398</v>
      </c>
      <c r="AC75" s="13">
        <v>0.4</v>
      </c>
      <c r="AD75" s="57" t="s">
        <v>3575</v>
      </c>
      <c r="AE75" s="208">
        <f>ROUND((ROUND((ROUND((_15_同援日０．５*(1+_15・A深夜)),0)*(1+_15・盲ろう)),0)*(1+_15・区４)),0)+ROUND((ROUND((ROUND((_15_同援日０．５＿０．５*(1+_15・B早朝)),0)*(1+_15・盲ろう)),0)*(1+_15・区４)),0)+ROUND((ROUND((_15_同援日０．５＿０．５＿１．５*(1+_15・盲ろう)),0)*(1+_15・区４)),0)</f>
        <v>1201</v>
      </c>
      <c r="AF75" s="48"/>
    </row>
    <row r="76" spans="1:32" ht="16.5" customHeight="1" x14ac:dyDescent="0.15">
      <c r="A76" s="41">
        <v>15</v>
      </c>
      <c r="B76" s="41" t="s">
        <v>21328</v>
      </c>
      <c r="C76" s="74" t="s">
        <v>21329</v>
      </c>
      <c r="D76" s="72"/>
      <c r="F76" s="57"/>
      <c r="G76" s="72"/>
      <c r="I76" s="57"/>
      <c r="J76" s="72"/>
      <c r="L76" s="57"/>
      <c r="M76" s="269"/>
      <c r="N76" s="37"/>
      <c r="O76" s="38"/>
      <c r="P76" s="299" t="s">
        <v>17556</v>
      </c>
      <c r="Q76" s="45" t="s">
        <v>398</v>
      </c>
      <c r="R76" s="46">
        <v>1</v>
      </c>
      <c r="S76" s="512"/>
      <c r="T76" s="57"/>
      <c r="U76" s="512"/>
      <c r="V76" s="57"/>
      <c r="W76" s="92" t="s">
        <v>17564</v>
      </c>
      <c r="Z76" s="57"/>
      <c r="AA76" s="72"/>
      <c r="AD76" s="57"/>
      <c r="AE76" s="208">
        <f>ROUND((ROUND((ROUND((ROUND((_15_同援日０．５*_15・２人),0)*(1+_15・A深夜)),0)*(1+_15・盲ろう)),0)*(1+_15・区４)),0)+ROUND((ROUND((ROUND((ROUND((_15_同援日０．５＿０．５*_15・２人),0)*(1+_15・B早朝)),0)*(1+_15・盲ろう)),0)*(1+_15・区４)),0)+ROUND((ROUND((ROUND((_15_同援日０．５＿０．５＿１．５*_15・２人),0)*(1+_15・盲ろう)),0)*(1+_15・区４)),0)</f>
        <v>1201</v>
      </c>
      <c r="AF76" s="48"/>
    </row>
    <row r="77" spans="1:32" ht="16.5" customHeight="1" x14ac:dyDescent="0.15">
      <c r="A77" s="41">
        <v>15</v>
      </c>
      <c r="B77" s="41" t="s">
        <v>21330</v>
      </c>
      <c r="C77" s="74" t="s">
        <v>21331</v>
      </c>
      <c r="D77" s="72"/>
      <c r="F77" s="57"/>
      <c r="G77" s="72"/>
      <c r="I77" s="57"/>
      <c r="J77" s="72"/>
      <c r="L77" s="57"/>
      <c r="M77" s="114" t="s">
        <v>17558</v>
      </c>
      <c r="N77" s="49"/>
      <c r="O77" s="50"/>
      <c r="P77" s="299"/>
      <c r="Q77" s="45"/>
      <c r="R77" s="46"/>
      <c r="S77" s="512"/>
      <c r="T77" s="57"/>
      <c r="U77" s="512"/>
      <c r="V77" s="57"/>
      <c r="W77" s="92"/>
      <c r="X77" s="12" t="s">
        <v>398</v>
      </c>
      <c r="Y77" s="13">
        <v>0.25</v>
      </c>
      <c r="Z77" s="57" t="s">
        <v>3575</v>
      </c>
      <c r="AA77" s="72"/>
      <c r="AD77" s="57"/>
      <c r="AE77" s="208">
        <f>ROUND((ROUND((ROUND((ROUND((_15_同援日０．５*_15・基礎２),0)*(1+_15・A深夜)),0)*(1+_15・盲ろう)),0)*(1+_15・区４)),0)+ROUND((ROUND((ROUND((ROUND((_15_同援日０．５＿０．５*_15・基礎２),0)*(1+_15・B早朝)),0)*(1+_15・盲ろう)),0)*(1+_15・区４)),0)+ROUND((ROUND((ROUND((_15_同援日０．５＿０．５＿１．５*_15・基礎２),0)*(1+_15・盲ろう)),0)*(1+_15・区４)),0)</f>
        <v>1080</v>
      </c>
      <c r="AF77" s="48"/>
    </row>
    <row r="78" spans="1:32" ht="16.5" customHeight="1" x14ac:dyDescent="0.15">
      <c r="A78" s="41">
        <v>15</v>
      </c>
      <c r="B78" s="41" t="s">
        <v>21332</v>
      </c>
      <c r="C78" s="74" t="s">
        <v>21333</v>
      </c>
      <c r="D78" s="72"/>
      <c r="F78" s="57"/>
      <c r="G78" s="72"/>
      <c r="I78" s="57"/>
      <c r="J78" s="122"/>
      <c r="K78" s="37"/>
      <c r="L78" s="79"/>
      <c r="M78" s="269" t="s">
        <v>17560</v>
      </c>
      <c r="N78" s="37" t="s">
        <v>398</v>
      </c>
      <c r="O78" s="38">
        <v>0.9</v>
      </c>
      <c r="P78" s="299" t="s">
        <v>17556</v>
      </c>
      <c r="Q78" s="45" t="s">
        <v>398</v>
      </c>
      <c r="R78" s="46">
        <v>1</v>
      </c>
      <c r="S78" s="512"/>
      <c r="T78" s="57"/>
      <c r="U78" s="512"/>
      <c r="V78" s="57"/>
      <c r="W78" s="269"/>
      <c r="X78" s="37"/>
      <c r="Y78" s="38"/>
      <c r="Z78" s="79"/>
      <c r="AA78" s="269"/>
      <c r="AB78" s="37"/>
      <c r="AC78" s="38"/>
      <c r="AD78" s="79"/>
      <c r="AE78" s="208">
        <f>ROUND((ROUND((ROUND((ROUND((ROUND((_15_同援日０．５*_15・基礎２),0)*_15・２人),0)*(1+_15・A深夜)),0)*(1+_15・盲ろう)),0)*(1+_15・区４)),0)+ROUND((ROUND((ROUND((ROUND((ROUND((_15_同援日０．５＿０．５*_15・基礎２),0)*_15・２人),0)*(1+_15・B早朝)),0)*(1+_15・盲ろう)),0)*(1+_15・区４)),0)+ROUND((ROUND((ROUND((ROUND((_15_同援日０．５＿０．５＿１．５*_15・基礎２),0)*_15・２人),0)*(1+_15・盲ろう)),0)*(1+_15・区４)),0)</f>
        <v>1080</v>
      </c>
      <c r="AF78" s="48"/>
    </row>
    <row r="79" spans="1:32" ht="16.5" customHeight="1" x14ac:dyDescent="0.15">
      <c r="A79" s="41">
        <v>15</v>
      </c>
      <c r="B79" s="41" t="s">
        <v>21334</v>
      </c>
      <c r="C79" s="74" t="s">
        <v>21335</v>
      </c>
      <c r="D79" s="72"/>
      <c r="F79" s="57"/>
      <c r="G79" s="72"/>
      <c r="I79" s="57"/>
      <c r="J79" s="114" t="s">
        <v>21336</v>
      </c>
      <c r="K79" s="49"/>
      <c r="L79" s="115"/>
      <c r="M79" s="114"/>
      <c r="N79" s="49"/>
      <c r="O79" s="50"/>
      <c r="P79" s="299"/>
      <c r="Q79" s="45"/>
      <c r="R79" s="46"/>
      <c r="S79" s="512"/>
      <c r="T79" s="57"/>
      <c r="U79" s="512"/>
      <c r="V79" s="57"/>
      <c r="W79" s="114"/>
      <c r="X79" s="49"/>
      <c r="Y79" s="50"/>
      <c r="Z79" s="115"/>
      <c r="AA79" s="116"/>
      <c r="AB79" s="49"/>
      <c r="AC79" s="50"/>
      <c r="AD79" s="115"/>
      <c r="AE79" s="208">
        <f>ROUND((_15_同援日０．５*(1+_15・A深夜)),0)+ROUND((_15_同援日０．５＿０．５*(1+_15・B早朝)),0)+_15_同援日０．５＿０．５＿２．０</f>
        <v>751</v>
      </c>
      <c r="AF79" s="48"/>
    </row>
    <row r="80" spans="1:32" ht="16.5" customHeight="1" x14ac:dyDescent="0.15">
      <c r="A80" s="41">
        <v>15</v>
      </c>
      <c r="B80" s="41" t="s">
        <v>21337</v>
      </c>
      <c r="C80" s="74" t="s">
        <v>21338</v>
      </c>
      <c r="D80" s="72"/>
      <c r="F80" s="57"/>
      <c r="G80" s="72"/>
      <c r="I80" s="57"/>
      <c r="J80" s="72" t="s">
        <v>17643</v>
      </c>
      <c r="L80" s="57"/>
      <c r="M80" s="269"/>
      <c r="N80" s="37"/>
      <c r="O80" s="38"/>
      <c r="P80" s="299" t="s">
        <v>17556</v>
      </c>
      <c r="Q80" s="45" t="s">
        <v>398</v>
      </c>
      <c r="R80" s="46">
        <v>1</v>
      </c>
      <c r="S80" s="512"/>
      <c r="T80" s="57"/>
      <c r="U80" s="512"/>
      <c r="V80" s="57"/>
      <c r="W80" s="92"/>
      <c r="Z80" s="57"/>
      <c r="AA80" s="72"/>
      <c r="AD80" s="57"/>
      <c r="AE80" s="208">
        <f>ROUND((ROUND((_15_同援日０．５*_15・２人),0)*(1+_15・A深夜)),0)+ROUND((ROUND((_15_同援日０．５＿０．５*_15・２人),0)*(1+_15・B早朝)),0)+ROUND((_15_同援日０．５＿０．５＿２．０*_15・２人),0)</f>
        <v>751</v>
      </c>
      <c r="AF80" s="48"/>
    </row>
    <row r="81" spans="1:32" ht="16.5" customHeight="1" x14ac:dyDescent="0.15">
      <c r="A81" s="41">
        <v>15</v>
      </c>
      <c r="B81" s="41" t="s">
        <v>21339</v>
      </c>
      <c r="C81" s="74" t="s">
        <v>21340</v>
      </c>
      <c r="D81" s="72"/>
      <c r="F81" s="57"/>
      <c r="G81" s="72"/>
      <c r="I81" s="57"/>
      <c r="J81" s="72" t="s">
        <v>17645</v>
      </c>
      <c r="L81" s="57"/>
      <c r="M81" s="114" t="s">
        <v>17558</v>
      </c>
      <c r="N81" s="49"/>
      <c r="O81" s="50"/>
      <c r="P81" s="299"/>
      <c r="Q81" s="45"/>
      <c r="R81" s="46"/>
      <c r="S81" s="512"/>
      <c r="T81" s="57"/>
      <c r="U81" s="512"/>
      <c r="V81" s="57"/>
      <c r="W81" s="92"/>
      <c r="Z81" s="57"/>
      <c r="AA81" s="72"/>
      <c r="AD81" s="57"/>
      <c r="AE81" s="208">
        <f>ROUND((ROUND((_15_同援日０．５*_15・基礎２),0)*(1+_15・A深夜)),0)+ROUND((ROUND((_15_同援日０．５＿０．５*_15・基礎２),0)*(1+_15・B早朝)),0)+ROUND((_15_同援日０．５＿０．５＿２．０*_15・基礎２),0)</f>
        <v>676</v>
      </c>
      <c r="AF81" s="48"/>
    </row>
    <row r="82" spans="1:32" ht="16.5" customHeight="1" x14ac:dyDescent="0.15">
      <c r="A82" s="41">
        <v>15</v>
      </c>
      <c r="B82" s="41" t="s">
        <v>21341</v>
      </c>
      <c r="C82" s="74" t="s">
        <v>21342</v>
      </c>
      <c r="D82" s="72"/>
      <c r="F82" s="57"/>
      <c r="G82" s="72"/>
      <c r="I82" s="57"/>
      <c r="J82" s="72"/>
      <c r="K82" s="168">
        <f>_15_同援日０．５＿０．５＿２．０</f>
        <v>328</v>
      </c>
      <c r="L82" s="57" t="s">
        <v>392</v>
      </c>
      <c r="M82" s="269" t="s">
        <v>17560</v>
      </c>
      <c r="N82" s="37" t="s">
        <v>398</v>
      </c>
      <c r="O82" s="38">
        <v>0.9</v>
      </c>
      <c r="P82" s="299" t="s">
        <v>17556</v>
      </c>
      <c r="Q82" s="45" t="s">
        <v>398</v>
      </c>
      <c r="R82" s="46">
        <v>1</v>
      </c>
      <c r="S82" s="512"/>
      <c r="T82" s="57"/>
      <c r="U82" s="512"/>
      <c r="V82" s="57"/>
      <c r="W82" s="269"/>
      <c r="X82" s="37"/>
      <c r="Y82" s="38"/>
      <c r="Z82" s="79"/>
      <c r="AA82" s="72"/>
      <c r="AD82" s="57"/>
      <c r="AE82" s="208">
        <f>ROUND((ROUND((ROUND((_15_同援日０．５*_15・基礎２),0)*_15・２人),0)*(1+_15・A深夜)),0)+ROUND((ROUND((ROUND((_15_同援日０．５＿０．５*_15・基礎２),0)*_15・２人),0)*(1+_15・B早朝)),0)+ROUND((ROUND((_15_同援日０．５＿０．５＿２．０*_15・基礎２),0)*_15・２人),0)</f>
        <v>676</v>
      </c>
      <c r="AF82" s="48"/>
    </row>
    <row r="83" spans="1:32" ht="16.5" customHeight="1" x14ac:dyDescent="0.15">
      <c r="A83" s="41">
        <v>15</v>
      </c>
      <c r="B83" s="41" t="s">
        <v>21343</v>
      </c>
      <c r="C83" s="74" t="s">
        <v>21344</v>
      </c>
      <c r="D83" s="72"/>
      <c r="F83" s="57"/>
      <c r="G83" s="72"/>
      <c r="I83" s="57"/>
      <c r="J83" s="72"/>
      <c r="L83" s="57"/>
      <c r="M83" s="114"/>
      <c r="N83" s="49"/>
      <c r="O83" s="50"/>
      <c r="P83" s="299"/>
      <c r="Q83" s="45"/>
      <c r="R83" s="46"/>
      <c r="S83" s="512"/>
      <c r="T83" s="57"/>
      <c r="U83" s="512"/>
      <c r="V83" s="57"/>
      <c r="W83" s="114" t="s">
        <v>17562</v>
      </c>
      <c r="X83" s="49"/>
      <c r="Y83" s="50"/>
      <c r="Z83" s="115"/>
      <c r="AA83" s="72"/>
      <c r="AD83" s="57"/>
      <c r="AE83" s="208">
        <f>ROUND((ROUND((_15_同援日０．５*(1+_15・A深夜)),0)*(1+_15・盲ろう)),0)+ROUND((ROUND((_15_同援日０．５＿０．５*(1+_15・B早朝)),0)*(1+_15・盲ろう)),0)+ROUND((_15_同援日０．５＿０．５＿２．０*(1+_15・盲ろう)),0)</f>
        <v>939</v>
      </c>
      <c r="AF83" s="48"/>
    </row>
    <row r="84" spans="1:32" ht="16.5" customHeight="1" x14ac:dyDescent="0.15">
      <c r="A84" s="41">
        <v>15</v>
      </c>
      <c r="B84" s="41" t="s">
        <v>21345</v>
      </c>
      <c r="C84" s="74" t="s">
        <v>21346</v>
      </c>
      <c r="D84" s="72"/>
      <c r="F84" s="57"/>
      <c r="G84" s="72"/>
      <c r="I84" s="57"/>
      <c r="J84" s="72"/>
      <c r="L84" s="57"/>
      <c r="M84" s="269"/>
      <c r="N84" s="37"/>
      <c r="O84" s="38"/>
      <c r="P84" s="299" t="s">
        <v>17556</v>
      </c>
      <c r="Q84" s="45" t="s">
        <v>398</v>
      </c>
      <c r="R84" s="46">
        <v>1</v>
      </c>
      <c r="S84" s="512"/>
      <c r="T84" s="57"/>
      <c r="U84" s="512"/>
      <c r="V84" s="57"/>
      <c r="W84" s="92" t="s">
        <v>17564</v>
      </c>
      <c r="Z84" s="57"/>
      <c r="AA84" s="72"/>
      <c r="AD84" s="57"/>
      <c r="AE84" s="208">
        <f>ROUND((ROUND((ROUND((_15_同援日０．５*_15・２人),0)*(1+_15・A深夜)),0)*(1+_15・盲ろう)),0)+ROUND((ROUND((ROUND((_15_同援日０．５＿０．５*_15・２人),0)*(1+_15・B早朝)),0)*(1+_15・盲ろう)),0)+ROUND((ROUND((_15_同援日０．５＿０．５＿２．０*_15・２人),0)*(1+_15・盲ろう)),0)</f>
        <v>939</v>
      </c>
      <c r="AF84" s="48"/>
    </row>
    <row r="85" spans="1:32" ht="16.5" customHeight="1" x14ac:dyDescent="0.15">
      <c r="A85" s="41">
        <v>15</v>
      </c>
      <c r="B85" s="41" t="s">
        <v>893</v>
      </c>
      <c r="C85" s="74" t="s">
        <v>21347</v>
      </c>
      <c r="D85" s="72"/>
      <c r="F85" s="57"/>
      <c r="G85" s="72"/>
      <c r="I85" s="57"/>
      <c r="J85" s="72"/>
      <c r="L85" s="57"/>
      <c r="M85" s="114" t="s">
        <v>17558</v>
      </c>
      <c r="N85" s="49"/>
      <c r="O85" s="50"/>
      <c r="P85" s="299"/>
      <c r="Q85" s="45"/>
      <c r="R85" s="46"/>
      <c r="S85" s="512"/>
      <c r="T85" s="57"/>
      <c r="U85" s="512"/>
      <c r="V85" s="57"/>
      <c r="W85" s="92"/>
      <c r="X85" s="12" t="s">
        <v>398</v>
      </c>
      <c r="Y85" s="13">
        <v>0.25</v>
      </c>
      <c r="Z85" s="57" t="s">
        <v>3575</v>
      </c>
      <c r="AA85" s="72"/>
      <c r="AD85" s="57"/>
      <c r="AE85" s="208">
        <f>ROUND((ROUND((ROUND((_15_同援日０．５*_15・基礎２),0)*(1+_15・A深夜)),0)*(1+_15・盲ろう)),0)+ROUND((ROUND((ROUND((_15_同援日０．５＿０．５*_15・基礎２),0)*(1+_15・B早朝)),0)*(1+_15・盲ろう)),0)+ROUND((ROUND((_15_同援日０．５＿０．５＿２．０*_15・基礎２),0)*(1+_15・盲ろう)),0)</f>
        <v>845</v>
      </c>
      <c r="AF85" s="48"/>
    </row>
    <row r="86" spans="1:32" ht="16.5" customHeight="1" x14ac:dyDescent="0.15">
      <c r="A86" s="41">
        <v>15</v>
      </c>
      <c r="B86" s="41" t="s">
        <v>895</v>
      </c>
      <c r="C86" s="74" t="s">
        <v>21348</v>
      </c>
      <c r="D86" s="72"/>
      <c r="F86" s="57"/>
      <c r="G86" s="72"/>
      <c r="I86" s="57"/>
      <c r="J86" s="72"/>
      <c r="L86" s="57"/>
      <c r="M86" s="269" t="s">
        <v>17560</v>
      </c>
      <c r="N86" s="37" t="s">
        <v>398</v>
      </c>
      <c r="O86" s="38">
        <v>0.9</v>
      </c>
      <c r="P86" s="299" t="s">
        <v>17556</v>
      </c>
      <c r="Q86" s="45" t="s">
        <v>398</v>
      </c>
      <c r="R86" s="46">
        <v>1</v>
      </c>
      <c r="S86" s="512"/>
      <c r="T86" s="57"/>
      <c r="U86" s="512"/>
      <c r="V86" s="57"/>
      <c r="W86" s="269"/>
      <c r="X86" s="37"/>
      <c r="Y86" s="38"/>
      <c r="Z86" s="79"/>
      <c r="AA86" s="269"/>
      <c r="AB86" s="37"/>
      <c r="AC86" s="38"/>
      <c r="AD86" s="79"/>
      <c r="AE86" s="208">
        <f>ROUND((ROUND((ROUND((ROUND((_15_同援日０．５*_15・基礎２),0)*_15・２人),0)*(1+_15・A深夜)),0)*(1+_15・盲ろう)),0)+ROUND((ROUND((ROUND((ROUND((_15_同援日０．５＿０．５*_15・基礎２),0)*_15・２人),0)*(1+_15・B早朝)),0)*(1+_15・盲ろう)),0)+ROUND((ROUND((ROUND((_15_同援日０．５＿０．５＿２．０*_15・基礎２),0)*_15・２人),0)*(1+_15・盲ろう)),0)</f>
        <v>845</v>
      </c>
      <c r="AF86" s="48"/>
    </row>
    <row r="87" spans="1:32" ht="16.5" customHeight="1" x14ac:dyDescent="0.15">
      <c r="A87" s="41">
        <v>15</v>
      </c>
      <c r="B87" s="41" t="s">
        <v>897</v>
      </c>
      <c r="C87" s="74" t="s">
        <v>21349</v>
      </c>
      <c r="D87" s="72"/>
      <c r="F87" s="57"/>
      <c r="G87" s="72"/>
      <c r="I87" s="57"/>
      <c r="J87" s="72"/>
      <c r="L87" s="57"/>
      <c r="M87" s="114"/>
      <c r="N87" s="49"/>
      <c r="O87" s="50"/>
      <c r="P87" s="299"/>
      <c r="Q87" s="45"/>
      <c r="R87" s="46"/>
      <c r="S87" s="512"/>
      <c r="T87" s="57"/>
      <c r="U87" s="512"/>
      <c r="V87" s="57"/>
      <c r="W87" s="114"/>
      <c r="X87" s="49"/>
      <c r="Y87" s="50"/>
      <c r="Z87" s="115"/>
      <c r="AA87" s="116"/>
      <c r="AB87" s="49"/>
      <c r="AC87" s="50"/>
      <c r="AD87" s="115"/>
      <c r="AE87" s="208">
        <f>ROUND((ROUND((_15_同援日０．５*(1+_15・A深夜)),0)*(1+_15・区３)),0)+ROUND((ROUND((_15_同援日０．５＿０．５*(1+_15・B早朝)),0)*(1+_15・区３)),0)+ROUND((_15_同援日０．５＿０．５＿２．０*(1+_15・区３)),0)</f>
        <v>902</v>
      </c>
      <c r="AF87" s="48"/>
    </row>
    <row r="88" spans="1:32" ht="16.5" customHeight="1" x14ac:dyDescent="0.15">
      <c r="A88" s="41">
        <v>15</v>
      </c>
      <c r="B88" s="41" t="s">
        <v>899</v>
      </c>
      <c r="C88" s="74" t="s">
        <v>21350</v>
      </c>
      <c r="D88" s="72"/>
      <c r="F88" s="57"/>
      <c r="G88" s="72"/>
      <c r="I88" s="57"/>
      <c r="J88" s="72"/>
      <c r="L88" s="57"/>
      <c r="M88" s="269"/>
      <c r="N88" s="37"/>
      <c r="O88" s="38"/>
      <c r="P88" s="299" t="s">
        <v>17556</v>
      </c>
      <c r="Q88" s="45" t="s">
        <v>398</v>
      </c>
      <c r="R88" s="46">
        <v>1</v>
      </c>
      <c r="S88" s="512"/>
      <c r="T88" s="57"/>
      <c r="U88" s="512"/>
      <c r="V88" s="57"/>
      <c r="W88" s="92"/>
      <c r="Z88" s="57"/>
      <c r="AA88" s="72"/>
      <c r="AD88" s="57"/>
      <c r="AE88" s="208">
        <f>ROUND((ROUND((ROUND((_15_同援日０．５*_15・２人),0)*(1+_15・A深夜)),0)*(1+_15・区３)),0)+ROUND((ROUND((ROUND((_15_同援日０．５＿０．５*_15・２人),0)*(1+_15・B早朝)),0)*(1+_15・区３)),0)+ROUND((ROUND((_15_同援日０．５＿０．５＿２．０*_15・２人),0)*(1+_15・区３)),0)</f>
        <v>902</v>
      </c>
      <c r="AF88" s="48"/>
    </row>
    <row r="89" spans="1:32" ht="16.5" customHeight="1" x14ac:dyDescent="0.15">
      <c r="A89" s="41">
        <v>15</v>
      </c>
      <c r="B89" s="41" t="s">
        <v>21351</v>
      </c>
      <c r="C89" s="74" t="s">
        <v>21352</v>
      </c>
      <c r="D89" s="72"/>
      <c r="F89" s="57"/>
      <c r="G89" s="72"/>
      <c r="I89" s="57"/>
      <c r="J89" s="72"/>
      <c r="L89" s="57"/>
      <c r="M89" s="114" t="s">
        <v>17558</v>
      </c>
      <c r="N89" s="49"/>
      <c r="O89" s="50"/>
      <c r="P89" s="299"/>
      <c r="Q89" s="45"/>
      <c r="R89" s="46"/>
      <c r="S89" s="512"/>
      <c r="T89" s="57"/>
      <c r="U89" s="512"/>
      <c r="V89" s="57"/>
      <c r="W89" s="92"/>
      <c r="Z89" s="57"/>
      <c r="AA89" s="72" t="s">
        <v>17570</v>
      </c>
      <c r="AD89" s="57"/>
      <c r="AE89" s="208">
        <f>ROUND((ROUND((ROUND((_15_同援日０．５*_15・基礎２),0)*(1+_15・A深夜)),0)*(1+_15・区３)),0)+ROUND((ROUND((ROUND((_15_同援日０．５＿０．５*_15・基礎２),0)*(1+_15・B早朝)),0)*(1+_15・区３)),0)+ROUND((ROUND((_15_同援日０．５＿０．５＿２．０*_15・基礎２),0)*(1+_15・区３)),0)</f>
        <v>811</v>
      </c>
      <c r="AF89" s="48"/>
    </row>
    <row r="90" spans="1:32" ht="16.5" customHeight="1" x14ac:dyDescent="0.15">
      <c r="A90" s="41">
        <v>15</v>
      </c>
      <c r="B90" s="41" t="s">
        <v>21353</v>
      </c>
      <c r="C90" s="74" t="s">
        <v>21354</v>
      </c>
      <c r="D90" s="72"/>
      <c r="F90" s="57"/>
      <c r="G90" s="72"/>
      <c r="I90" s="57"/>
      <c r="J90" s="72"/>
      <c r="L90" s="57"/>
      <c r="M90" s="269" t="s">
        <v>17560</v>
      </c>
      <c r="N90" s="37" t="s">
        <v>398</v>
      </c>
      <c r="O90" s="38">
        <v>0.9</v>
      </c>
      <c r="P90" s="299" t="s">
        <v>17556</v>
      </c>
      <c r="Q90" s="45" t="s">
        <v>398</v>
      </c>
      <c r="R90" s="46">
        <v>1</v>
      </c>
      <c r="S90" s="512"/>
      <c r="T90" s="57"/>
      <c r="U90" s="512"/>
      <c r="V90" s="57"/>
      <c r="W90" s="269"/>
      <c r="X90" s="37"/>
      <c r="Y90" s="38"/>
      <c r="Z90" s="79"/>
      <c r="AA90" s="72" t="s">
        <v>17572</v>
      </c>
      <c r="AD90" s="57"/>
      <c r="AE90" s="208">
        <f>ROUND((ROUND((ROUND((ROUND((_15_同援日０．５*_15・基礎２),0)*_15・２人),0)*(1+_15・A深夜)),0)*(1+_15・区３)),0)+ROUND((ROUND((ROUND((ROUND((_15_同援日０．５＿０．５*_15・基礎２),0)*_15・２人),0)*(1+_15・B早朝)),0)*(1+_15・区３)),0)+ROUND((ROUND((ROUND((_15_同援日０．５＿０．５＿２．０*_15・基礎２),0)*_15・２人),0)*(1+_15・区３)),0)</f>
        <v>811</v>
      </c>
      <c r="AF90" s="48"/>
    </row>
    <row r="91" spans="1:32" ht="16.5" customHeight="1" x14ac:dyDescent="0.15">
      <c r="A91" s="41">
        <v>15</v>
      </c>
      <c r="B91" s="41" t="s">
        <v>21355</v>
      </c>
      <c r="C91" s="74" t="s">
        <v>21356</v>
      </c>
      <c r="D91" s="72"/>
      <c r="F91" s="57"/>
      <c r="G91" s="72"/>
      <c r="I91" s="57"/>
      <c r="J91" s="72"/>
      <c r="L91" s="57"/>
      <c r="M91" s="114"/>
      <c r="N91" s="49"/>
      <c r="O91" s="50"/>
      <c r="P91" s="299"/>
      <c r="Q91" s="45"/>
      <c r="R91" s="46"/>
      <c r="S91" s="512"/>
      <c r="T91" s="57"/>
      <c r="U91" s="512"/>
      <c r="V91" s="57"/>
      <c r="W91" s="114" t="s">
        <v>17562</v>
      </c>
      <c r="X91" s="49"/>
      <c r="Y91" s="50"/>
      <c r="Z91" s="115"/>
      <c r="AA91" s="72"/>
      <c r="AB91" s="12" t="s">
        <v>398</v>
      </c>
      <c r="AC91" s="13">
        <v>0.2</v>
      </c>
      <c r="AD91" s="57" t="s">
        <v>3575</v>
      </c>
      <c r="AE91" s="208">
        <f>ROUND((ROUND((ROUND((_15_同援日０．５*(1+_15・A深夜)),0)*(1+_15・盲ろう)),0)*(1+_15・区３)),0)+ROUND((ROUND((ROUND((_15_同援日０．５＿０．５*(1+_15・B早朝)),0)*(1+_15・盲ろう)),0)*(1+_15・区３)),0)+ROUND((ROUND((_15_同援日０．５＿０．５＿２．０*(1+_15・盲ろう)),0)*(1+_15・区３)),0)</f>
        <v>1127</v>
      </c>
      <c r="AF91" s="48"/>
    </row>
    <row r="92" spans="1:32" ht="16.5" customHeight="1" x14ac:dyDescent="0.15">
      <c r="A92" s="41">
        <v>15</v>
      </c>
      <c r="B92" s="41" t="s">
        <v>21357</v>
      </c>
      <c r="C92" s="74" t="s">
        <v>21358</v>
      </c>
      <c r="D92" s="72"/>
      <c r="F92" s="57"/>
      <c r="G92" s="72"/>
      <c r="I92" s="57"/>
      <c r="J92" s="72"/>
      <c r="L92" s="57"/>
      <c r="M92" s="269"/>
      <c r="N92" s="37"/>
      <c r="O92" s="38"/>
      <c r="P92" s="299" t="s">
        <v>17556</v>
      </c>
      <c r="Q92" s="45" t="s">
        <v>398</v>
      </c>
      <c r="R92" s="46">
        <v>1</v>
      </c>
      <c r="S92" s="512"/>
      <c r="T92" s="57"/>
      <c r="U92" s="512"/>
      <c r="V92" s="57"/>
      <c r="W92" s="92" t="s">
        <v>17564</v>
      </c>
      <c r="Z92" s="57"/>
      <c r="AA92" s="72"/>
      <c r="AD92" s="57"/>
      <c r="AE92" s="208">
        <f>ROUND((ROUND((ROUND((ROUND((_15_同援日０．５*_15・２人),0)*(1+_15・A深夜)),0)*(1+_15・盲ろう)),0)*(1+_15・区３)),0)+ROUND((ROUND((ROUND((ROUND((_15_同援日０．５＿０．５*_15・２人),0)*(1+_15・B早朝)),0)*(1+_15・盲ろう)),0)*(1+_15・区３)),0)+ROUND((ROUND((ROUND((_15_同援日０．５＿０．５＿２．０*_15・２人),0)*(1+_15・盲ろう)),0)*(1+_15・区３)),0)</f>
        <v>1127</v>
      </c>
      <c r="AF92" s="48"/>
    </row>
    <row r="93" spans="1:32" ht="16.5" customHeight="1" x14ac:dyDescent="0.15">
      <c r="A93" s="41">
        <v>15</v>
      </c>
      <c r="B93" s="41" t="s">
        <v>21359</v>
      </c>
      <c r="C93" s="74" t="s">
        <v>21360</v>
      </c>
      <c r="D93" s="72"/>
      <c r="F93" s="57"/>
      <c r="G93" s="72"/>
      <c r="I93" s="57"/>
      <c r="J93" s="72"/>
      <c r="L93" s="57"/>
      <c r="M93" s="114" t="s">
        <v>17558</v>
      </c>
      <c r="N93" s="49"/>
      <c r="O93" s="50"/>
      <c r="P93" s="299"/>
      <c r="Q93" s="45"/>
      <c r="R93" s="46"/>
      <c r="S93" s="512"/>
      <c r="T93" s="57"/>
      <c r="U93" s="512"/>
      <c r="V93" s="57"/>
      <c r="W93" s="92"/>
      <c r="X93" s="12" t="s">
        <v>398</v>
      </c>
      <c r="Y93" s="13">
        <v>0.25</v>
      </c>
      <c r="Z93" s="57" t="s">
        <v>3575</v>
      </c>
      <c r="AA93" s="72"/>
      <c r="AD93" s="57"/>
      <c r="AE93" s="208">
        <f>ROUND((ROUND((ROUND((ROUND((_15_同援日０．５*_15・基礎２),0)*(1+_15・A深夜)),0)*(1+_15・盲ろう)),0)*(1+_15・区３)),0)+ROUND((ROUND((ROUND((ROUND((_15_同援日０．５＿０．５*_15・基礎２),0)*(1+_15・B早朝)),0)*(1+_15・盲ろう)),0)*(1+_15・区３)),0)+ROUND((ROUND((ROUND((_15_同援日０．５＿０．５＿２．０*_15・基礎２),0)*(1+_15・盲ろう)),0)*(1+_15・区３)),0)</f>
        <v>1014</v>
      </c>
      <c r="AF93" s="48"/>
    </row>
    <row r="94" spans="1:32" ht="16.5" customHeight="1" x14ac:dyDescent="0.15">
      <c r="A94" s="41">
        <v>15</v>
      </c>
      <c r="B94" s="41" t="s">
        <v>21361</v>
      </c>
      <c r="C94" s="74" t="s">
        <v>21362</v>
      </c>
      <c r="D94" s="72"/>
      <c r="F94" s="57"/>
      <c r="G94" s="72"/>
      <c r="I94" s="57"/>
      <c r="J94" s="72"/>
      <c r="L94" s="57"/>
      <c r="M94" s="269" t="s">
        <v>17560</v>
      </c>
      <c r="N94" s="37" t="s">
        <v>398</v>
      </c>
      <c r="O94" s="38">
        <v>0.9</v>
      </c>
      <c r="P94" s="299" t="s">
        <v>17556</v>
      </c>
      <c r="Q94" s="45" t="s">
        <v>398</v>
      </c>
      <c r="R94" s="46">
        <v>1</v>
      </c>
      <c r="S94" s="512"/>
      <c r="T94" s="57"/>
      <c r="U94" s="512"/>
      <c r="V94" s="57"/>
      <c r="W94" s="269"/>
      <c r="X94" s="37"/>
      <c r="Y94" s="38"/>
      <c r="Z94" s="79"/>
      <c r="AA94" s="269"/>
      <c r="AB94" s="37"/>
      <c r="AC94" s="38"/>
      <c r="AD94" s="79"/>
      <c r="AE94" s="208">
        <f>ROUND((ROUND((ROUND((ROUND((ROUND((_15_同援日０．５*_15・基礎２),0)*_15・２人),0)*(1+_15・A深夜)),0)*(1+_15・盲ろう)),0)*(1+_15・区３)),0)+ROUND((ROUND((ROUND((ROUND((ROUND((_15_同援日０．５＿０．５*_15・基礎２),0)*_15・２人),0)*(1+_15・B早朝)),0)*(1+_15・盲ろう)),0)*(1+_15・区３)),0)+ROUND((ROUND((ROUND((ROUND((_15_同援日０．５＿０．５＿２．０*_15・基礎２),0)*_15・２人),0)*(1+_15・盲ろう)),0)*(1+_15・区３)),0)</f>
        <v>1014</v>
      </c>
      <c r="AF94" s="48"/>
    </row>
    <row r="95" spans="1:32" ht="16.5" customHeight="1" x14ac:dyDescent="0.15">
      <c r="A95" s="41">
        <v>15</v>
      </c>
      <c r="B95" s="41" t="s">
        <v>21363</v>
      </c>
      <c r="C95" s="74" t="s">
        <v>21364</v>
      </c>
      <c r="D95" s="72"/>
      <c r="F95" s="57"/>
      <c r="G95" s="72"/>
      <c r="I95" s="57"/>
      <c r="J95" s="72"/>
      <c r="L95" s="57"/>
      <c r="M95" s="114"/>
      <c r="N95" s="49"/>
      <c r="O95" s="50"/>
      <c r="P95" s="299"/>
      <c r="Q95" s="45"/>
      <c r="R95" s="46"/>
      <c r="S95" s="512"/>
      <c r="T95" s="57"/>
      <c r="U95" s="512"/>
      <c r="V95" s="57"/>
      <c r="W95" s="114"/>
      <c r="X95" s="49"/>
      <c r="Y95" s="50"/>
      <c r="Z95" s="115"/>
      <c r="AA95" s="116"/>
      <c r="AB95" s="49"/>
      <c r="AC95" s="50"/>
      <c r="AD95" s="115"/>
      <c r="AE95" s="208">
        <f>ROUND((ROUND((_15_同援日０．５*(1+_15・A深夜)),0)*(1+_15・区４)),0)+ROUND((ROUND((_15_同援日０．５＿０．５*(1+_15・B早朝)),0)*(1+_15・区４)),0)+ROUND((_15_同援日０．５＿０．５＿２．０*(1+_15・区４)),0)</f>
        <v>1051</v>
      </c>
      <c r="AF95" s="48"/>
    </row>
    <row r="96" spans="1:32" ht="16.5" customHeight="1" x14ac:dyDescent="0.15">
      <c r="A96" s="41">
        <v>15</v>
      </c>
      <c r="B96" s="41" t="s">
        <v>21365</v>
      </c>
      <c r="C96" s="74" t="s">
        <v>21366</v>
      </c>
      <c r="D96" s="72"/>
      <c r="F96" s="57"/>
      <c r="G96" s="72"/>
      <c r="I96" s="57"/>
      <c r="J96" s="72"/>
      <c r="L96" s="57"/>
      <c r="M96" s="269"/>
      <c r="N96" s="37"/>
      <c r="O96" s="38"/>
      <c r="P96" s="299" t="s">
        <v>17556</v>
      </c>
      <c r="Q96" s="45" t="s">
        <v>398</v>
      </c>
      <c r="R96" s="46">
        <v>1</v>
      </c>
      <c r="S96" s="512"/>
      <c r="T96" s="57"/>
      <c r="U96" s="512"/>
      <c r="V96" s="57"/>
      <c r="W96" s="92"/>
      <c r="Z96" s="57"/>
      <c r="AA96" s="72"/>
      <c r="AD96" s="57"/>
      <c r="AE96" s="208">
        <f>ROUND((ROUND((ROUND((_15_同援日０．５*_15・２人),0)*(1+_15・A深夜)),0)*(1+_15・区４)),0)+ROUND((ROUND((ROUND((_15_同援日０．５＿０．５*_15・２人),0)*(1+_15・B早朝)),0)*(1+_15・区４)),0)+ROUND((ROUND((_15_同援日０．５＿０．５＿２．０*_15・２人),0)*(1+_15・区４)),0)</f>
        <v>1051</v>
      </c>
      <c r="AF96" s="48"/>
    </row>
    <row r="97" spans="1:32" ht="16.5" customHeight="1" x14ac:dyDescent="0.15">
      <c r="A97" s="41">
        <v>15</v>
      </c>
      <c r="B97" s="41" t="s">
        <v>21367</v>
      </c>
      <c r="C97" s="74" t="s">
        <v>21368</v>
      </c>
      <c r="D97" s="72"/>
      <c r="F97" s="57"/>
      <c r="G97" s="72"/>
      <c r="I97" s="57"/>
      <c r="J97" s="72"/>
      <c r="L97" s="57"/>
      <c r="M97" s="114" t="s">
        <v>17558</v>
      </c>
      <c r="N97" s="49"/>
      <c r="O97" s="50"/>
      <c r="P97" s="299"/>
      <c r="Q97" s="45"/>
      <c r="R97" s="46"/>
      <c r="S97" s="512"/>
      <c r="T97" s="57"/>
      <c r="U97" s="512"/>
      <c r="V97" s="57"/>
      <c r="W97" s="92"/>
      <c r="Z97" s="57"/>
      <c r="AA97" s="72" t="s">
        <v>17580</v>
      </c>
      <c r="AD97" s="57"/>
      <c r="AE97" s="208">
        <f>ROUND((ROUND((ROUND((_15_同援日０．５*_15・基礎２),0)*(1+_15・A深夜)),0)*(1+_15・区４)),0)+ROUND((ROUND((ROUND((_15_同援日０．５＿０．５*_15・基礎２),0)*(1+_15・B早朝)),0)*(1+_15・区４)),0)+ROUND((ROUND((_15_同援日０．５＿０．５＿２．０*_15・基礎２),0)*(1+_15・区４)),0)</f>
        <v>947</v>
      </c>
      <c r="AF97" s="48"/>
    </row>
    <row r="98" spans="1:32" ht="16.5" customHeight="1" x14ac:dyDescent="0.15">
      <c r="A98" s="41">
        <v>15</v>
      </c>
      <c r="B98" s="41" t="s">
        <v>21369</v>
      </c>
      <c r="C98" s="74" t="s">
        <v>21370</v>
      </c>
      <c r="D98" s="72"/>
      <c r="F98" s="57"/>
      <c r="G98" s="72"/>
      <c r="I98" s="57"/>
      <c r="J98" s="72"/>
      <c r="L98" s="57"/>
      <c r="M98" s="269" t="s">
        <v>17560</v>
      </c>
      <c r="N98" s="37" t="s">
        <v>398</v>
      </c>
      <c r="O98" s="38">
        <v>0.9</v>
      </c>
      <c r="P98" s="299" t="s">
        <v>17556</v>
      </c>
      <c r="Q98" s="45" t="s">
        <v>398</v>
      </c>
      <c r="R98" s="46">
        <v>1</v>
      </c>
      <c r="S98" s="512"/>
      <c r="T98" s="57"/>
      <c r="U98" s="512"/>
      <c r="V98" s="57"/>
      <c r="W98" s="269"/>
      <c r="X98" s="37"/>
      <c r="Y98" s="38"/>
      <c r="Z98" s="79"/>
      <c r="AA98" s="72" t="s">
        <v>17572</v>
      </c>
      <c r="AD98" s="57"/>
      <c r="AE98" s="208">
        <f>ROUND((ROUND((ROUND((ROUND((_15_同援日０．５*_15・基礎２),0)*_15・２人),0)*(1+_15・A深夜)),0)*(1+_15・区４)),0)+ROUND((ROUND((ROUND((ROUND((_15_同援日０．５＿０．５*_15・基礎２),0)*_15・２人),0)*(1+_15・B早朝)),0)*(1+_15・区４)),0)+ROUND((ROUND((ROUND((_15_同援日０．５＿０．５＿２．０*_15・基礎２),0)*_15・２人),0)*(1+_15・区４)),0)</f>
        <v>947</v>
      </c>
      <c r="AF98" s="48"/>
    </row>
    <row r="99" spans="1:32" ht="16.5" customHeight="1" x14ac:dyDescent="0.15">
      <c r="A99" s="41">
        <v>15</v>
      </c>
      <c r="B99" s="41" t="s">
        <v>21371</v>
      </c>
      <c r="C99" s="74" t="s">
        <v>21372</v>
      </c>
      <c r="D99" s="72"/>
      <c r="F99" s="57"/>
      <c r="G99" s="72"/>
      <c r="I99" s="57"/>
      <c r="J99" s="72"/>
      <c r="L99" s="57"/>
      <c r="M99" s="114"/>
      <c r="N99" s="49"/>
      <c r="O99" s="50"/>
      <c r="P99" s="299"/>
      <c r="Q99" s="45"/>
      <c r="R99" s="46"/>
      <c r="S99" s="512"/>
      <c r="T99" s="57"/>
      <c r="U99" s="512"/>
      <c r="V99" s="57"/>
      <c r="W99" s="114" t="s">
        <v>17562</v>
      </c>
      <c r="X99" s="49"/>
      <c r="Y99" s="50"/>
      <c r="Z99" s="115"/>
      <c r="AA99" s="72"/>
      <c r="AB99" s="12" t="s">
        <v>398</v>
      </c>
      <c r="AC99" s="13">
        <v>0.4</v>
      </c>
      <c r="AD99" s="57" t="s">
        <v>3575</v>
      </c>
      <c r="AE99" s="208">
        <f>ROUND((ROUND((ROUND((_15_同援日０．５*(1+_15・A深夜)),0)*(1+_15・盲ろう)),0)*(1+_15・区４)),0)+ROUND((ROUND((ROUND((_15_同援日０．５＿０．５*(1+_15・B早朝)),0)*(1+_15・盲ろう)),0)*(1+_15・区４)),0)+ROUND((ROUND((_15_同援日０．５＿０．５＿２．０*(1+_15・盲ろう)),0)*(1+_15・区４)),0)</f>
        <v>1314</v>
      </c>
      <c r="AF99" s="48"/>
    </row>
    <row r="100" spans="1:32" ht="16.5" customHeight="1" x14ac:dyDescent="0.15">
      <c r="A100" s="41">
        <v>15</v>
      </c>
      <c r="B100" s="41" t="s">
        <v>21373</v>
      </c>
      <c r="C100" s="74" t="s">
        <v>21374</v>
      </c>
      <c r="D100" s="72"/>
      <c r="F100" s="57"/>
      <c r="G100" s="72"/>
      <c r="I100" s="57"/>
      <c r="J100" s="72"/>
      <c r="L100" s="57"/>
      <c r="M100" s="269"/>
      <c r="N100" s="37"/>
      <c r="O100" s="38"/>
      <c r="P100" s="299" t="s">
        <v>17556</v>
      </c>
      <c r="Q100" s="45" t="s">
        <v>398</v>
      </c>
      <c r="R100" s="46">
        <v>1</v>
      </c>
      <c r="S100" s="512"/>
      <c r="T100" s="57"/>
      <c r="U100" s="512"/>
      <c r="V100" s="57"/>
      <c r="W100" s="92" t="s">
        <v>17564</v>
      </c>
      <c r="Z100" s="57"/>
      <c r="AA100" s="72"/>
      <c r="AD100" s="57"/>
      <c r="AE100" s="208">
        <f>ROUND((ROUND((ROUND((ROUND((_15_同援日０．５*_15・２人),0)*(1+_15・A深夜)),0)*(1+_15・盲ろう)),0)*(1+_15・区４)),0)+ROUND((ROUND((ROUND((ROUND((_15_同援日０．５＿０．５*_15・２人),0)*(1+_15・B早朝)),0)*(1+_15・盲ろう)),0)*(1+_15・区４)),0)+ROUND((ROUND((ROUND((_15_同援日０．５＿０．５＿２．０*_15・２人),0)*(1+_15・盲ろう)),0)*(1+_15・区４)),0)</f>
        <v>1314</v>
      </c>
      <c r="AF100" s="48"/>
    </row>
    <row r="101" spans="1:32" ht="16.5" customHeight="1" x14ac:dyDescent="0.15">
      <c r="A101" s="41">
        <v>15</v>
      </c>
      <c r="B101" s="41" t="s">
        <v>21375</v>
      </c>
      <c r="C101" s="74" t="s">
        <v>21376</v>
      </c>
      <c r="D101" s="72"/>
      <c r="F101" s="57"/>
      <c r="G101" s="72"/>
      <c r="I101" s="57"/>
      <c r="J101" s="72"/>
      <c r="L101" s="57"/>
      <c r="M101" s="114" t="s">
        <v>17558</v>
      </c>
      <c r="N101" s="49"/>
      <c r="O101" s="50"/>
      <c r="P101" s="299"/>
      <c r="Q101" s="45"/>
      <c r="R101" s="46"/>
      <c r="S101" s="512"/>
      <c r="T101" s="57"/>
      <c r="U101" s="512"/>
      <c r="V101" s="57"/>
      <c r="W101" s="92"/>
      <c r="X101" s="12" t="s">
        <v>398</v>
      </c>
      <c r="Y101" s="13">
        <v>0.25</v>
      </c>
      <c r="Z101" s="57" t="s">
        <v>3575</v>
      </c>
      <c r="AA101" s="72"/>
      <c r="AD101" s="57"/>
      <c r="AE101" s="208">
        <f>ROUND((ROUND((ROUND((ROUND((_15_同援日０．５*_15・基礎２),0)*(1+_15・A深夜)),0)*(1+_15・盲ろう)),0)*(1+_15・区４)),0)+ROUND((ROUND((ROUND((ROUND((_15_同援日０．５＿０．５*_15・基礎２),0)*(1+_15・B早朝)),0)*(1+_15・盲ろう)),0)*(1+_15・区４)),0)+ROUND((ROUND((ROUND((_15_同援日０．５＿０．５＿２．０*_15・基礎２),0)*(1+_15・盲ろう)),0)*(1+_15・区４)),0)</f>
        <v>1183</v>
      </c>
      <c r="AF101" s="48"/>
    </row>
    <row r="102" spans="1:32" ht="16.5" customHeight="1" x14ac:dyDescent="0.15">
      <c r="A102" s="41">
        <v>15</v>
      </c>
      <c r="B102" s="41" t="s">
        <v>21377</v>
      </c>
      <c r="C102" s="74" t="s">
        <v>21378</v>
      </c>
      <c r="D102" s="122"/>
      <c r="E102" s="37"/>
      <c r="F102" s="79"/>
      <c r="G102" s="122"/>
      <c r="H102" s="37"/>
      <c r="I102" s="79"/>
      <c r="J102" s="122"/>
      <c r="K102" s="37"/>
      <c r="L102" s="79"/>
      <c r="M102" s="269" t="s">
        <v>17560</v>
      </c>
      <c r="N102" s="37" t="s">
        <v>398</v>
      </c>
      <c r="O102" s="38">
        <v>0.9</v>
      </c>
      <c r="P102" s="299" t="s">
        <v>17556</v>
      </c>
      <c r="Q102" s="45" t="s">
        <v>398</v>
      </c>
      <c r="R102" s="46">
        <v>1</v>
      </c>
      <c r="S102" s="514"/>
      <c r="T102" s="79"/>
      <c r="U102" s="514"/>
      <c r="V102" s="79"/>
      <c r="W102" s="269"/>
      <c r="X102" s="37"/>
      <c r="Y102" s="38"/>
      <c r="Z102" s="79"/>
      <c r="AA102" s="269"/>
      <c r="AB102" s="37"/>
      <c r="AC102" s="38"/>
      <c r="AD102" s="79"/>
      <c r="AE102" s="208">
        <f>ROUND((ROUND((ROUND((ROUND((ROUND((_15_同援日０．５*_15・基礎２),0)*_15・２人),0)*(1+_15・A深夜)),0)*(1+_15・盲ろう)),0)*(1+_15・区４)),0)+ROUND((ROUND((ROUND((ROUND((ROUND((_15_同援日０．５＿０．５*_15・基礎２),0)*_15・２人),0)*(1+_15・B早朝)),0)*(1+_15・盲ろう)),0)*(1+_15・区４)),0)+ROUND((ROUND((ROUND((ROUND((_15_同援日０．５＿０．５＿２．０*_15・基礎２),0)*_15・２人),0)*(1+_15・盲ろう)),0)*(1+_15・区４)),0)</f>
        <v>1183</v>
      </c>
      <c r="AF102" s="63"/>
    </row>
    <row r="103" spans="1:32" ht="16.5" customHeight="1" x14ac:dyDescent="0.15">
      <c r="A103" s="41">
        <v>15</v>
      </c>
      <c r="B103" s="41" t="s">
        <v>21379</v>
      </c>
      <c r="C103" s="74" t="s">
        <v>21380</v>
      </c>
      <c r="D103" s="114"/>
      <c r="E103" s="49"/>
      <c r="F103" s="115"/>
      <c r="G103" s="114" t="s">
        <v>18846</v>
      </c>
      <c r="H103" s="49"/>
      <c r="I103" s="115"/>
      <c r="J103" s="114" t="s">
        <v>19919</v>
      </c>
      <c r="K103" s="49"/>
      <c r="L103" s="115"/>
      <c r="M103" s="114"/>
      <c r="N103" s="49"/>
      <c r="O103" s="50"/>
      <c r="P103" s="299"/>
      <c r="Q103" s="45"/>
      <c r="R103" s="46"/>
      <c r="S103" s="515"/>
      <c r="T103" s="115"/>
      <c r="U103" s="515"/>
      <c r="V103" s="115"/>
      <c r="W103" s="114"/>
      <c r="X103" s="49"/>
      <c r="Y103" s="50"/>
      <c r="Z103" s="115"/>
      <c r="AA103" s="116"/>
      <c r="AB103" s="49"/>
      <c r="AC103" s="50"/>
      <c r="AD103" s="115"/>
      <c r="AE103" s="208">
        <f>ROUND((_15_同援日０．５*(1+_15・A深夜)),0)+ROUND((_15_同援日０．５＿１．０*(1+_15・B早朝)),0)+_15_同援日０．５＿１．０＿０．５</f>
        <v>654</v>
      </c>
      <c r="AF103" s="64"/>
    </row>
    <row r="104" spans="1:32" ht="16.5" customHeight="1" x14ac:dyDescent="0.15">
      <c r="A104" s="41">
        <v>15</v>
      </c>
      <c r="B104" s="41" t="s">
        <v>21381</v>
      </c>
      <c r="C104" s="74" t="s">
        <v>21382</v>
      </c>
      <c r="D104" s="72"/>
      <c r="F104" s="57"/>
      <c r="G104" s="72" t="s">
        <v>17589</v>
      </c>
      <c r="I104" s="57"/>
      <c r="J104" s="72" t="s">
        <v>18259</v>
      </c>
      <c r="L104" s="57"/>
      <c r="M104" s="269"/>
      <c r="N104" s="37"/>
      <c r="O104" s="38"/>
      <c r="P104" s="299" t="s">
        <v>17556</v>
      </c>
      <c r="Q104" s="45" t="s">
        <v>398</v>
      </c>
      <c r="R104" s="46">
        <v>1</v>
      </c>
      <c r="S104" s="512"/>
      <c r="T104" s="57"/>
      <c r="U104" s="512"/>
      <c r="V104" s="57"/>
      <c r="W104" s="92"/>
      <c r="Z104" s="57"/>
      <c r="AA104" s="72"/>
      <c r="AD104" s="57"/>
      <c r="AE104" s="208">
        <f>ROUND((ROUND((_15_同援日０．５*_15・２人),0)*(1+_15・A深夜)),0)+ROUND((ROUND((_15_同援日０．５＿１．０*_15・２人),0)*(1+_15・B早朝)),0)+ROUND((_15_同援日０．５＿１．０＿０．５*_15・２人),0)</f>
        <v>654</v>
      </c>
      <c r="AF104" s="48"/>
    </row>
    <row r="105" spans="1:32" ht="16.5" customHeight="1" x14ac:dyDescent="0.15">
      <c r="A105" s="41">
        <v>15</v>
      </c>
      <c r="B105" s="41" t="s">
        <v>906</v>
      </c>
      <c r="C105" s="74" t="s">
        <v>21383</v>
      </c>
      <c r="D105" s="72"/>
      <c r="F105" s="57"/>
      <c r="G105" s="72" t="s">
        <v>17591</v>
      </c>
      <c r="I105" s="57"/>
      <c r="J105" s="72"/>
      <c r="L105" s="57"/>
      <c r="M105" s="114" t="s">
        <v>17558</v>
      </c>
      <c r="N105" s="49"/>
      <c r="O105" s="50"/>
      <c r="P105" s="299"/>
      <c r="Q105" s="45"/>
      <c r="R105" s="46"/>
      <c r="S105" s="512"/>
      <c r="T105" s="57"/>
      <c r="U105" s="512"/>
      <c r="V105" s="57"/>
      <c r="W105" s="92"/>
      <c r="Z105" s="57"/>
      <c r="AA105" s="72"/>
      <c r="AD105" s="57"/>
      <c r="AE105" s="208">
        <f>ROUND((ROUND((_15_同援日０．５*_15・基礎２),0)*(1+_15・A深夜)),0)+ROUND((ROUND((_15_同援日０．５＿１．０*_15・基礎２),0)*(1+_15・B早朝)),0)+ROUND((_15_同援日０．５＿１．０＿０．５*_15・基礎２),0)</f>
        <v>590</v>
      </c>
      <c r="AF105" s="48"/>
    </row>
    <row r="106" spans="1:32" ht="16.5" customHeight="1" x14ac:dyDescent="0.15">
      <c r="A106" s="41">
        <v>15</v>
      </c>
      <c r="B106" s="41" t="s">
        <v>908</v>
      </c>
      <c r="C106" s="74" t="s">
        <v>21384</v>
      </c>
      <c r="D106" s="72"/>
      <c r="F106" s="57"/>
      <c r="G106" s="72"/>
      <c r="H106" s="168">
        <f>_15_同援日０．５＿１．０</f>
        <v>243</v>
      </c>
      <c r="I106" s="57" t="s">
        <v>392</v>
      </c>
      <c r="J106" s="72"/>
      <c r="K106" s="168">
        <f>_15_同援日０．５＿１．０＿０．５</f>
        <v>65</v>
      </c>
      <c r="L106" s="57" t="s">
        <v>392</v>
      </c>
      <c r="M106" s="269" t="s">
        <v>17560</v>
      </c>
      <c r="N106" s="37" t="s">
        <v>398</v>
      </c>
      <c r="O106" s="38">
        <v>0.9</v>
      </c>
      <c r="P106" s="299" t="s">
        <v>17556</v>
      </c>
      <c r="Q106" s="45" t="s">
        <v>398</v>
      </c>
      <c r="R106" s="46">
        <v>1</v>
      </c>
      <c r="S106" s="512"/>
      <c r="T106" s="57"/>
      <c r="U106" s="512"/>
      <c r="V106" s="57"/>
      <c r="W106" s="269"/>
      <c r="X106" s="37"/>
      <c r="Y106" s="38"/>
      <c r="Z106" s="79"/>
      <c r="AA106" s="72"/>
      <c r="AD106" s="57"/>
      <c r="AE106" s="208">
        <f>ROUND((ROUND((ROUND((_15_同援日０．５*_15・基礎２),0)*_15・２人),0)*(1+_15・A深夜)),0)+ROUND((ROUND((ROUND((_15_同援日０．５＿１．０*_15・基礎２),0)*_15・２人),0)*(1+_15・B早朝)),0)+ROUND((ROUND((_15_同援日０．５＿１．０＿０．５*_15・基礎２),0)*_15・２人),0)</f>
        <v>590</v>
      </c>
      <c r="AF106" s="48"/>
    </row>
    <row r="107" spans="1:32" ht="16.5" customHeight="1" x14ac:dyDescent="0.15">
      <c r="A107" s="41">
        <v>15</v>
      </c>
      <c r="B107" s="41" t="s">
        <v>910</v>
      </c>
      <c r="C107" s="74" t="s">
        <v>21385</v>
      </c>
      <c r="D107" s="72"/>
      <c r="F107" s="57"/>
      <c r="G107" s="72"/>
      <c r="I107" s="57"/>
      <c r="J107" s="72"/>
      <c r="L107" s="57"/>
      <c r="M107" s="114"/>
      <c r="N107" s="49"/>
      <c r="O107" s="50"/>
      <c r="P107" s="299"/>
      <c r="Q107" s="45"/>
      <c r="R107" s="46"/>
      <c r="S107" s="512"/>
      <c r="T107" s="57"/>
      <c r="U107" s="512"/>
      <c r="V107" s="57"/>
      <c r="W107" s="114" t="s">
        <v>17562</v>
      </c>
      <c r="X107" s="49"/>
      <c r="Y107" s="50"/>
      <c r="Z107" s="115"/>
      <c r="AA107" s="72"/>
      <c r="AD107" s="57"/>
      <c r="AE107" s="208">
        <f>ROUND((ROUND((_15_同援日０．５*(1+_15・A深夜)),0)*(1+_15・盲ろう)),0)+ROUND((ROUND((_15_同援日０．５＿１．０*(1+_15・B早朝)),0)*(1+_15・盲ろう)),0)+ROUND((_15_同援日０．５＿１．０＿０．５*(1+_15・盲ろう)),0)</f>
        <v>817</v>
      </c>
      <c r="AF107" s="48"/>
    </row>
    <row r="108" spans="1:32" ht="16.5" customHeight="1" x14ac:dyDescent="0.15">
      <c r="A108" s="41">
        <v>15</v>
      </c>
      <c r="B108" s="41" t="s">
        <v>912</v>
      </c>
      <c r="C108" s="74" t="s">
        <v>21386</v>
      </c>
      <c r="D108" s="72"/>
      <c r="F108" s="57"/>
      <c r="G108" s="72"/>
      <c r="I108" s="57"/>
      <c r="J108" s="72"/>
      <c r="L108" s="57"/>
      <c r="M108" s="269"/>
      <c r="N108" s="37"/>
      <c r="O108" s="38"/>
      <c r="P108" s="299" t="s">
        <v>17556</v>
      </c>
      <c r="Q108" s="45" t="s">
        <v>398</v>
      </c>
      <c r="R108" s="46">
        <v>1</v>
      </c>
      <c r="S108" s="512"/>
      <c r="T108" s="57"/>
      <c r="U108" s="512"/>
      <c r="V108" s="57"/>
      <c r="W108" s="92" t="s">
        <v>17564</v>
      </c>
      <c r="Z108" s="57"/>
      <c r="AA108" s="72"/>
      <c r="AD108" s="57"/>
      <c r="AE108" s="208">
        <f>ROUND((ROUND((ROUND((_15_同援日０．５*_15・２人),0)*(1+_15・A深夜)),0)*(1+_15・盲ろう)),0)+ROUND((ROUND((ROUND((_15_同援日０．５＿１．０*_15・２人),0)*(1+_15・B早朝)),0)*(1+_15・盲ろう)),0)+ROUND((ROUND((_15_同援日０．５＿１．０＿０．５*_15・２人),0)*(1+_15・盲ろう)),0)</f>
        <v>817</v>
      </c>
      <c r="AF108" s="48"/>
    </row>
    <row r="109" spans="1:32" ht="16.5" customHeight="1" x14ac:dyDescent="0.15">
      <c r="A109" s="41">
        <v>15</v>
      </c>
      <c r="B109" s="41" t="s">
        <v>21387</v>
      </c>
      <c r="C109" s="74" t="s">
        <v>21388</v>
      </c>
      <c r="D109" s="72"/>
      <c r="F109" s="57"/>
      <c r="G109" s="72"/>
      <c r="I109" s="57"/>
      <c r="J109" s="72"/>
      <c r="L109" s="57"/>
      <c r="M109" s="114" t="s">
        <v>17558</v>
      </c>
      <c r="N109" s="49"/>
      <c r="O109" s="50"/>
      <c r="P109" s="299"/>
      <c r="Q109" s="45"/>
      <c r="R109" s="46"/>
      <c r="S109" s="512"/>
      <c r="T109" s="57"/>
      <c r="U109" s="512"/>
      <c r="V109" s="57"/>
      <c r="W109" s="92"/>
      <c r="X109" s="12" t="s">
        <v>398</v>
      </c>
      <c r="Y109" s="13">
        <v>0.25</v>
      </c>
      <c r="Z109" s="57" t="s">
        <v>3575</v>
      </c>
      <c r="AA109" s="72"/>
      <c r="AD109" s="57"/>
      <c r="AE109" s="208">
        <f>ROUND((ROUND((ROUND((_15_同援日０．５*_15・基礎２),0)*(1+_15・A深夜)),0)*(1+_15・盲ろう)),0)+ROUND((ROUND((ROUND((_15_同援日０．５＿１．０*_15・基礎２),0)*(1+_15・B早朝)),0)*(1+_15・盲ろう)),0)+ROUND((ROUND((_15_同援日０．５＿１．０＿０．５*_15・基礎２),0)*(1+_15・盲ろう)),0)</f>
        <v>738</v>
      </c>
      <c r="AF109" s="48"/>
    </row>
    <row r="110" spans="1:32" ht="16.5" customHeight="1" x14ac:dyDescent="0.15">
      <c r="A110" s="41">
        <v>15</v>
      </c>
      <c r="B110" s="41" t="s">
        <v>21389</v>
      </c>
      <c r="C110" s="74" t="s">
        <v>21390</v>
      </c>
      <c r="D110" s="72"/>
      <c r="F110" s="57"/>
      <c r="G110" s="72"/>
      <c r="I110" s="57"/>
      <c r="J110" s="72"/>
      <c r="L110" s="57"/>
      <c r="M110" s="269" t="s">
        <v>17560</v>
      </c>
      <c r="N110" s="37" t="s">
        <v>398</v>
      </c>
      <c r="O110" s="38">
        <v>0.9</v>
      </c>
      <c r="P110" s="299" t="s">
        <v>17556</v>
      </c>
      <c r="Q110" s="45" t="s">
        <v>398</v>
      </c>
      <c r="R110" s="46">
        <v>1</v>
      </c>
      <c r="S110" s="512"/>
      <c r="T110" s="57"/>
      <c r="U110" s="512"/>
      <c r="V110" s="57"/>
      <c r="W110" s="269"/>
      <c r="X110" s="37"/>
      <c r="Y110" s="38"/>
      <c r="Z110" s="79"/>
      <c r="AA110" s="269"/>
      <c r="AB110" s="37"/>
      <c r="AC110" s="38"/>
      <c r="AD110" s="79"/>
      <c r="AE110" s="208">
        <f>ROUND((ROUND((ROUND((ROUND((_15_同援日０．５*_15・基礎２),0)*_15・２人),0)*(1+_15・A深夜)),0)*(1+_15・盲ろう)),0)+ROUND((ROUND((ROUND((ROUND((_15_同援日０．５＿１．０*_15・基礎２),0)*_15・２人),0)*(1+_15・B早朝)),0)*(1+_15・盲ろう)),0)+ROUND((ROUND((ROUND((_15_同援日０．５＿１．０＿０．５*_15・基礎２),0)*_15・２人),0)*(1+_15・盲ろう)),0)</f>
        <v>738</v>
      </c>
      <c r="AF110" s="48"/>
    </row>
    <row r="111" spans="1:32" ht="16.5" customHeight="1" x14ac:dyDescent="0.15">
      <c r="A111" s="41">
        <v>15</v>
      </c>
      <c r="B111" s="41" t="s">
        <v>21391</v>
      </c>
      <c r="C111" s="74" t="s">
        <v>21392</v>
      </c>
      <c r="D111" s="72"/>
      <c r="F111" s="57"/>
      <c r="G111" s="72"/>
      <c r="I111" s="57"/>
      <c r="J111" s="72"/>
      <c r="L111" s="57"/>
      <c r="M111" s="114"/>
      <c r="N111" s="49"/>
      <c r="O111" s="50"/>
      <c r="P111" s="299"/>
      <c r="Q111" s="45"/>
      <c r="R111" s="46"/>
      <c r="S111" s="512"/>
      <c r="T111" s="57"/>
      <c r="U111" s="512"/>
      <c r="V111" s="57"/>
      <c r="W111" s="114"/>
      <c r="X111" s="49"/>
      <c r="Y111" s="50"/>
      <c r="Z111" s="115"/>
      <c r="AA111" s="116"/>
      <c r="AB111" s="49"/>
      <c r="AC111" s="50"/>
      <c r="AD111" s="115"/>
      <c r="AE111" s="208">
        <f>ROUND((ROUND((_15_同援日０．５*(1+_15・A深夜)),0)*(1+_15・区３)),0)+ROUND((ROUND((_15_同援日０．５＿１．０*(1+_15・B早朝)),0)*(1+_15・区３)),0)+ROUND((_15_同援日０．５＿１．０＿０．５*(1+_15・区３)),0)</f>
        <v>785</v>
      </c>
      <c r="AF111" s="48"/>
    </row>
    <row r="112" spans="1:32" ht="16.5" customHeight="1" x14ac:dyDescent="0.15">
      <c r="A112" s="41">
        <v>15</v>
      </c>
      <c r="B112" s="41" t="s">
        <v>21393</v>
      </c>
      <c r="C112" s="74" t="s">
        <v>21394</v>
      </c>
      <c r="D112" s="72"/>
      <c r="F112" s="57"/>
      <c r="G112" s="72"/>
      <c r="I112" s="57"/>
      <c r="J112" s="72"/>
      <c r="L112" s="57"/>
      <c r="M112" s="269"/>
      <c r="N112" s="37"/>
      <c r="O112" s="38"/>
      <c r="P112" s="299" t="s">
        <v>17556</v>
      </c>
      <c r="Q112" s="45" t="s">
        <v>398</v>
      </c>
      <c r="R112" s="46">
        <v>1</v>
      </c>
      <c r="S112" s="512"/>
      <c r="T112" s="57"/>
      <c r="U112" s="512"/>
      <c r="V112" s="57"/>
      <c r="W112" s="92"/>
      <c r="Z112" s="57"/>
      <c r="AA112" s="72"/>
      <c r="AD112" s="57"/>
      <c r="AE112" s="208">
        <f>ROUND((ROUND((ROUND((_15_同援日０．５*_15・２人),0)*(1+_15・A深夜)),0)*(1+_15・区３)),0)+ROUND((ROUND((ROUND((_15_同援日０．５＿１．０*_15・２人),0)*(1+_15・B早朝)),0)*(1+_15・区３)),0)+ROUND((ROUND((_15_同援日０．５＿１．０＿０．５*_15・２人),0)*(1+_15・区３)),0)</f>
        <v>785</v>
      </c>
      <c r="AF112" s="48"/>
    </row>
    <row r="113" spans="1:32" ht="16.5" customHeight="1" x14ac:dyDescent="0.15">
      <c r="A113" s="41">
        <v>15</v>
      </c>
      <c r="B113" s="41" t="s">
        <v>21395</v>
      </c>
      <c r="C113" s="74" t="s">
        <v>21396</v>
      </c>
      <c r="D113" s="72"/>
      <c r="F113" s="57"/>
      <c r="G113" s="72"/>
      <c r="I113" s="57"/>
      <c r="J113" s="72"/>
      <c r="L113" s="57"/>
      <c r="M113" s="114" t="s">
        <v>17558</v>
      </c>
      <c r="N113" s="49"/>
      <c r="O113" s="50"/>
      <c r="P113" s="299"/>
      <c r="Q113" s="45"/>
      <c r="R113" s="46"/>
      <c r="S113" s="512"/>
      <c r="T113" s="57"/>
      <c r="U113" s="512"/>
      <c r="V113" s="57"/>
      <c r="W113" s="92"/>
      <c r="Z113" s="57"/>
      <c r="AA113" s="72" t="s">
        <v>17570</v>
      </c>
      <c r="AD113" s="57"/>
      <c r="AE113" s="208">
        <f>ROUND((ROUND((ROUND((_15_同援日０．５*_15・基礎２),0)*(1+_15・A深夜)),0)*(1+_15・区３)),0)+ROUND((ROUND((ROUND((_15_同援日０．５＿１．０*_15・基礎２),0)*(1+_15・B早朝)),0)*(1+_15・区３)),0)+ROUND((ROUND((_15_同援日０．５＿１．０＿０．５*_15・基礎２),0)*(1+_15・区３)),0)</f>
        <v>708</v>
      </c>
      <c r="AF113" s="48"/>
    </row>
    <row r="114" spans="1:32" ht="16.5" customHeight="1" x14ac:dyDescent="0.15">
      <c r="A114" s="41">
        <v>15</v>
      </c>
      <c r="B114" s="41" t="s">
        <v>21397</v>
      </c>
      <c r="C114" s="74" t="s">
        <v>21398</v>
      </c>
      <c r="D114" s="72"/>
      <c r="F114" s="57"/>
      <c r="G114" s="72"/>
      <c r="I114" s="57"/>
      <c r="J114" s="72"/>
      <c r="L114" s="57"/>
      <c r="M114" s="269" t="s">
        <v>17560</v>
      </c>
      <c r="N114" s="37" t="s">
        <v>398</v>
      </c>
      <c r="O114" s="38">
        <v>0.9</v>
      </c>
      <c r="P114" s="299" t="s">
        <v>17556</v>
      </c>
      <c r="Q114" s="45" t="s">
        <v>398</v>
      </c>
      <c r="R114" s="46">
        <v>1</v>
      </c>
      <c r="S114" s="512"/>
      <c r="T114" s="57"/>
      <c r="U114" s="512"/>
      <c r="V114" s="57"/>
      <c r="W114" s="269"/>
      <c r="X114" s="37"/>
      <c r="Y114" s="38"/>
      <c r="Z114" s="79"/>
      <c r="AA114" s="72" t="s">
        <v>17572</v>
      </c>
      <c r="AD114" s="57"/>
      <c r="AE114" s="208">
        <f>ROUND((ROUND((ROUND((ROUND((_15_同援日０．５*_15・基礎２),0)*_15・２人),0)*(1+_15・A深夜)),0)*(1+_15・区３)),0)+ROUND((ROUND((ROUND((ROUND((_15_同援日０．５＿１．０*_15・基礎２),0)*_15・２人),0)*(1+_15・B早朝)),0)*(1+_15・区３)),0)+ROUND((ROUND((ROUND((_15_同援日０．５＿１．０＿０．５*_15・基礎２),0)*_15・２人),0)*(1+_15・区３)),0)</f>
        <v>708</v>
      </c>
      <c r="AF114" s="48"/>
    </row>
    <row r="115" spans="1:32" ht="16.5" customHeight="1" x14ac:dyDescent="0.15">
      <c r="A115" s="41">
        <v>15</v>
      </c>
      <c r="B115" s="41" t="s">
        <v>21399</v>
      </c>
      <c r="C115" s="74" t="s">
        <v>21400</v>
      </c>
      <c r="D115" s="72"/>
      <c r="F115" s="57"/>
      <c r="G115" s="72"/>
      <c r="I115" s="57"/>
      <c r="J115" s="72"/>
      <c r="L115" s="57"/>
      <c r="M115" s="114"/>
      <c r="N115" s="49"/>
      <c r="O115" s="50"/>
      <c r="P115" s="299"/>
      <c r="Q115" s="45"/>
      <c r="R115" s="46"/>
      <c r="S115" s="512"/>
      <c r="T115" s="57"/>
      <c r="U115" s="512"/>
      <c r="V115" s="57"/>
      <c r="W115" s="114" t="s">
        <v>17562</v>
      </c>
      <c r="X115" s="49"/>
      <c r="Y115" s="50"/>
      <c r="Z115" s="115"/>
      <c r="AA115" s="72"/>
      <c r="AB115" s="12" t="s">
        <v>398</v>
      </c>
      <c r="AC115" s="13">
        <v>0.2</v>
      </c>
      <c r="AD115" s="57" t="s">
        <v>3575</v>
      </c>
      <c r="AE115" s="208">
        <f>ROUND((ROUND((ROUND((_15_同援日０．５*(1+_15・A深夜)),0)*(1+_15・盲ろう)),0)*(1+_15・区３)),0)+ROUND((ROUND((ROUND((_15_同援日０．５＿１．０*(1+_15・B早朝)),0)*(1+_15・盲ろう)),0)*(1+_15・区３)),0)+ROUND((ROUND((_15_同援日０．５＿１．０＿０．５*(1+_15・盲ろう)),0)*(1+_15・区３)),0)</f>
        <v>980</v>
      </c>
      <c r="AF115" s="48"/>
    </row>
    <row r="116" spans="1:32" ht="16.5" customHeight="1" x14ac:dyDescent="0.15">
      <c r="A116" s="41">
        <v>15</v>
      </c>
      <c r="B116" s="41" t="s">
        <v>21401</v>
      </c>
      <c r="C116" s="74" t="s">
        <v>21402</v>
      </c>
      <c r="D116" s="72"/>
      <c r="F116" s="57"/>
      <c r="G116" s="72"/>
      <c r="I116" s="57"/>
      <c r="J116" s="72"/>
      <c r="L116" s="57"/>
      <c r="M116" s="269"/>
      <c r="N116" s="37"/>
      <c r="O116" s="38"/>
      <c r="P116" s="299" t="s">
        <v>17556</v>
      </c>
      <c r="Q116" s="45" t="s">
        <v>398</v>
      </c>
      <c r="R116" s="46">
        <v>1</v>
      </c>
      <c r="S116" s="512"/>
      <c r="T116" s="57"/>
      <c r="U116" s="512"/>
      <c r="V116" s="57"/>
      <c r="W116" s="92" t="s">
        <v>17564</v>
      </c>
      <c r="Z116" s="57"/>
      <c r="AA116" s="72"/>
      <c r="AD116" s="57"/>
      <c r="AE116" s="208">
        <f>ROUND((ROUND((ROUND((ROUND((_15_同援日０．５*_15・２人),0)*(1+_15・A深夜)),0)*(1+_15・盲ろう)),0)*(1+_15・区３)),0)+ROUND((ROUND((ROUND((ROUND((_15_同援日０．５＿１．０*_15・２人),0)*(1+_15・B早朝)),0)*(1+_15・盲ろう)),0)*(1+_15・区３)),0)+ROUND((ROUND((ROUND((_15_同援日０．５＿１．０＿０．５*_15・２人),0)*(1+_15・盲ろう)),0)*(1+_15・区３)),0)</f>
        <v>980</v>
      </c>
      <c r="AF116" s="48"/>
    </row>
    <row r="117" spans="1:32" ht="16.5" customHeight="1" x14ac:dyDescent="0.15">
      <c r="A117" s="41">
        <v>15</v>
      </c>
      <c r="B117" s="41" t="s">
        <v>21403</v>
      </c>
      <c r="C117" s="74" t="s">
        <v>21404</v>
      </c>
      <c r="D117" s="72"/>
      <c r="F117" s="57"/>
      <c r="G117" s="72"/>
      <c r="I117" s="57"/>
      <c r="J117" s="72"/>
      <c r="L117" s="57"/>
      <c r="M117" s="114" t="s">
        <v>17558</v>
      </c>
      <c r="N117" s="49"/>
      <c r="O117" s="50"/>
      <c r="P117" s="299"/>
      <c r="Q117" s="45"/>
      <c r="R117" s="46"/>
      <c r="S117" s="512"/>
      <c r="T117" s="57"/>
      <c r="U117" s="512"/>
      <c r="V117" s="57"/>
      <c r="W117" s="92"/>
      <c r="X117" s="12" t="s">
        <v>398</v>
      </c>
      <c r="Y117" s="13">
        <v>0.25</v>
      </c>
      <c r="Z117" s="57" t="s">
        <v>3575</v>
      </c>
      <c r="AA117" s="72"/>
      <c r="AD117" s="57"/>
      <c r="AE117" s="208">
        <f>ROUND((ROUND((ROUND((ROUND((_15_同援日０．５*_15・基礎２),0)*(1+_15・A深夜)),0)*(1+_15・盲ろう)),0)*(1+_15・区３)),0)+ROUND((ROUND((ROUND((ROUND((_15_同援日０．５＿１．０*_15・基礎２),0)*(1+_15・B早朝)),0)*(1+_15・盲ろう)),0)*(1+_15・区３)),0)+ROUND((ROUND((ROUND((_15_同援日０．５＿１．０＿０．５*_15・基礎２),0)*(1+_15・盲ろう)),0)*(1+_15・区３)),0)</f>
        <v>886</v>
      </c>
      <c r="AF117" s="48"/>
    </row>
    <row r="118" spans="1:32" ht="16.5" customHeight="1" x14ac:dyDescent="0.15">
      <c r="A118" s="41">
        <v>15</v>
      </c>
      <c r="B118" s="41" t="s">
        <v>21405</v>
      </c>
      <c r="C118" s="74" t="s">
        <v>21406</v>
      </c>
      <c r="D118" s="72"/>
      <c r="F118" s="57"/>
      <c r="G118" s="72"/>
      <c r="I118" s="57"/>
      <c r="J118" s="72"/>
      <c r="L118" s="57"/>
      <c r="M118" s="269" t="s">
        <v>17560</v>
      </c>
      <c r="N118" s="37" t="s">
        <v>398</v>
      </c>
      <c r="O118" s="38">
        <v>0.9</v>
      </c>
      <c r="P118" s="299" t="s">
        <v>17556</v>
      </c>
      <c r="Q118" s="45" t="s">
        <v>398</v>
      </c>
      <c r="R118" s="46">
        <v>1</v>
      </c>
      <c r="S118" s="512"/>
      <c r="T118" s="57"/>
      <c r="U118" s="512"/>
      <c r="V118" s="57"/>
      <c r="W118" s="269"/>
      <c r="X118" s="37"/>
      <c r="Y118" s="38"/>
      <c r="Z118" s="79"/>
      <c r="AA118" s="269"/>
      <c r="AB118" s="37"/>
      <c r="AC118" s="38"/>
      <c r="AD118" s="79"/>
      <c r="AE118" s="208">
        <f>ROUND((ROUND((ROUND((ROUND((ROUND((_15_同援日０．５*_15・基礎２),0)*_15・２人),0)*(1+_15・A深夜)),0)*(1+_15・盲ろう)),0)*(1+_15・区３)),0)+ROUND((ROUND((ROUND((ROUND((ROUND((_15_同援日０．５＿１．０*_15・基礎２),0)*_15・２人),0)*(1+_15・B早朝)),0)*(1+_15・盲ろう)),0)*(1+_15・区３)),0)+ROUND((ROUND((ROUND((ROUND((_15_同援日０．５＿１．０＿０．５*_15・基礎２),0)*_15・２人),0)*(1+_15・盲ろう)),0)*(1+_15・区３)),0)</f>
        <v>886</v>
      </c>
      <c r="AF118" s="48"/>
    </row>
    <row r="119" spans="1:32" ht="16.5" customHeight="1" x14ac:dyDescent="0.15">
      <c r="A119" s="41">
        <v>15</v>
      </c>
      <c r="B119" s="41" t="s">
        <v>21407</v>
      </c>
      <c r="C119" s="74" t="s">
        <v>21408</v>
      </c>
      <c r="D119" s="72"/>
      <c r="F119" s="57"/>
      <c r="G119" s="72"/>
      <c r="I119" s="57"/>
      <c r="J119" s="72"/>
      <c r="L119" s="57"/>
      <c r="M119" s="114"/>
      <c r="N119" s="49"/>
      <c r="O119" s="50"/>
      <c r="P119" s="299"/>
      <c r="Q119" s="45"/>
      <c r="R119" s="46"/>
      <c r="S119" s="512"/>
      <c r="T119" s="57"/>
      <c r="U119" s="512"/>
      <c r="V119" s="57"/>
      <c r="W119" s="114"/>
      <c r="X119" s="49"/>
      <c r="Y119" s="50"/>
      <c r="Z119" s="115"/>
      <c r="AA119" s="116"/>
      <c r="AB119" s="49"/>
      <c r="AC119" s="50"/>
      <c r="AD119" s="115"/>
      <c r="AE119" s="208">
        <f>ROUND((ROUND((_15_同援日０．５*(1+_15・A深夜)),0)*(1+_15・区４)),0)+ROUND((ROUND((_15_同援日０．５＿１．０*(1+_15・B早朝)),0)*(1+_15・区４)),0)+ROUND((_15_同援日０．５＿１．０＿０．５*(1+_15・区４)),0)</f>
        <v>916</v>
      </c>
      <c r="AF119" s="48"/>
    </row>
    <row r="120" spans="1:32" ht="16.5" customHeight="1" x14ac:dyDescent="0.15">
      <c r="A120" s="41">
        <v>15</v>
      </c>
      <c r="B120" s="41" t="s">
        <v>21409</v>
      </c>
      <c r="C120" s="74" t="s">
        <v>21410</v>
      </c>
      <c r="D120" s="72"/>
      <c r="F120" s="57"/>
      <c r="G120" s="72"/>
      <c r="I120" s="57"/>
      <c r="J120" s="72"/>
      <c r="L120" s="57"/>
      <c r="M120" s="269"/>
      <c r="N120" s="37"/>
      <c r="O120" s="38"/>
      <c r="P120" s="299" t="s">
        <v>17556</v>
      </c>
      <c r="Q120" s="45" t="s">
        <v>398</v>
      </c>
      <c r="R120" s="46">
        <v>1</v>
      </c>
      <c r="S120" s="512"/>
      <c r="T120" s="57"/>
      <c r="U120" s="512"/>
      <c r="V120" s="57"/>
      <c r="W120" s="92"/>
      <c r="Z120" s="57"/>
      <c r="AA120" s="72"/>
      <c r="AD120" s="57"/>
      <c r="AE120" s="208">
        <f>ROUND((ROUND((ROUND((_15_同援日０．５*_15・２人),0)*(1+_15・A深夜)),0)*(1+_15・区４)),0)+ROUND((ROUND((ROUND((_15_同援日０．５＿１．０*_15・２人),0)*(1+_15・B早朝)),0)*(1+_15・区４)),0)+ROUND((ROUND((_15_同援日０．５＿１．０＿０．５*_15・２人),0)*(1+_15・区４)),0)</f>
        <v>916</v>
      </c>
      <c r="AF120" s="48"/>
    </row>
    <row r="121" spans="1:32" ht="16.5" customHeight="1" x14ac:dyDescent="0.15">
      <c r="A121" s="41">
        <v>15</v>
      </c>
      <c r="B121" s="41" t="s">
        <v>21411</v>
      </c>
      <c r="C121" s="74" t="s">
        <v>21412</v>
      </c>
      <c r="D121" s="72"/>
      <c r="F121" s="57"/>
      <c r="G121" s="72"/>
      <c r="I121" s="57"/>
      <c r="J121" s="72"/>
      <c r="L121" s="57"/>
      <c r="M121" s="114" t="s">
        <v>17558</v>
      </c>
      <c r="N121" s="49"/>
      <c r="O121" s="50"/>
      <c r="P121" s="299"/>
      <c r="Q121" s="45"/>
      <c r="R121" s="46"/>
      <c r="S121" s="512"/>
      <c r="T121" s="57"/>
      <c r="U121" s="512"/>
      <c r="V121" s="57"/>
      <c r="W121" s="92"/>
      <c r="Z121" s="57"/>
      <c r="AA121" s="72" t="s">
        <v>17580</v>
      </c>
      <c r="AD121" s="57"/>
      <c r="AE121" s="208">
        <f>ROUND((ROUND((ROUND((_15_同援日０．５*_15・基礎２),0)*(1+_15・A深夜)),0)*(1+_15・区４)),0)+ROUND((ROUND((ROUND((_15_同援日０．５＿１．０*_15・基礎２),0)*(1+_15・B早朝)),0)*(1+_15・区４)),0)+ROUND((ROUND((_15_同援日０．５＿１．０＿０．５*_15・基礎２),0)*(1+_15・区４)),0)</f>
        <v>827</v>
      </c>
      <c r="AF121" s="48"/>
    </row>
    <row r="122" spans="1:32" ht="16.5" customHeight="1" x14ac:dyDescent="0.15">
      <c r="A122" s="41">
        <v>15</v>
      </c>
      <c r="B122" s="41" t="s">
        <v>21413</v>
      </c>
      <c r="C122" s="74" t="s">
        <v>21414</v>
      </c>
      <c r="D122" s="72"/>
      <c r="F122" s="57"/>
      <c r="G122" s="72"/>
      <c r="I122" s="57"/>
      <c r="J122" s="72"/>
      <c r="L122" s="57"/>
      <c r="M122" s="269" t="s">
        <v>17560</v>
      </c>
      <c r="N122" s="37" t="s">
        <v>398</v>
      </c>
      <c r="O122" s="38">
        <v>0.9</v>
      </c>
      <c r="P122" s="299" t="s">
        <v>17556</v>
      </c>
      <c r="Q122" s="45" t="s">
        <v>398</v>
      </c>
      <c r="R122" s="46">
        <v>1</v>
      </c>
      <c r="S122" s="512"/>
      <c r="T122" s="57"/>
      <c r="U122" s="512"/>
      <c r="V122" s="57"/>
      <c r="W122" s="269"/>
      <c r="X122" s="37"/>
      <c r="Y122" s="38"/>
      <c r="Z122" s="79"/>
      <c r="AA122" s="72" t="s">
        <v>17572</v>
      </c>
      <c r="AD122" s="57"/>
      <c r="AE122" s="208">
        <f>ROUND((ROUND((ROUND((ROUND((_15_同援日０．５*_15・基礎２),0)*_15・２人),0)*(1+_15・A深夜)),0)*(1+_15・区４)),0)+ROUND((ROUND((ROUND((ROUND((_15_同援日０．５＿１．０*_15・基礎２),0)*_15・２人),0)*(1+_15・B早朝)),0)*(1+_15・区４)),0)+ROUND((ROUND((ROUND((_15_同援日０．５＿１．０＿０．５*_15・基礎２),0)*_15・２人),0)*(1+_15・区４)),0)</f>
        <v>827</v>
      </c>
      <c r="AF122" s="48"/>
    </row>
    <row r="123" spans="1:32" ht="16.5" customHeight="1" x14ac:dyDescent="0.15">
      <c r="A123" s="41">
        <v>15</v>
      </c>
      <c r="B123" s="41" t="s">
        <v>21415</v>
      </c>
      <c r="C123" s="74" t="s">
        <v>21416</v>
      </c>
      <c r="D123" s="72"/>
      <c r="F123" s="57"/>
      <c r="G123" s="72"/>
      <c r="I123" s="57"/>
      <c r="J123" s="72"/>
      <c r="L123" s="57"/>
      <c r="M123" s="114"/>
      <c r="N123" s="49"/>
      <c r="O123" s="50"/>
      <c r="P123" s="299"/>
      <c r="Q123" s="45"/>
      <c r="R123" s="46"/>
      <c r="S123" s="512"/>
      <c r="T123" s="57"/>
      <c r="U123" s="512"/>
      <c r="V123" s="57"/>
      <c r="W123" s="114" t="s">
        <v>17562</v>
      </c>
      <c r="X123" s="49"/>
      <c r="Y123" s="50"/>
      <c r="Z123" s="115"/>
      <c r="AA123" s="72"/>
      <c r="AB123" s="12" t="s">
        <v>398</v>
      </c>
      <c r="AC123" s="13">
        <v>0.4</v>
      </c>
      <c r="AD123" s="57" t="s">
        <v>3575</v>
      </c>
      <c r="AE123" s="208">
        <f>ROUND((ROUND((ROUND((_15_同援日０．５*(1+_15・A深夜)),0)*(1+_15・盲ろう)),0)*(1+_15・区４)),0)+ROUND((ROUND((ROUND((_15_同援日０．５＿１．０*(1+_15・B早朝)),0)*(1+_15・盲ろう)),0)*(1+_15・区４)),0)+ROUND((ROUND((_15_同援日０．５＿１．０＿０．５*(1+_15・盲ろう)),0)*(1+_15・区４)),0)</f>
        <v>1143</v>
      </c>
      <c r="AF123" s="48"/>
    </row>
    <row r="124" spans="1:32" ht="16.5" customHeight="1" x14ac:dyDescent="0.15">
      <c r="A124" s="41">
        <v>15</v>
      </c>
      <c r="B124" s="41" t="s">
        <v>21417</v>
      </c>
      <c r="C124" s="74" t="s">
        <v>21418</v>
      </c>
      <c r="D124" s="72"/>
      <c r="F124" s="57"/>
      <c r="G124" s="72"/>
      <c r="I124" s="57"/>
      <c r="J124" s="72"/>
      <c r="L124" s="57"/>
      <c r="M124" s="269"/>
      <c r="N124" s="37"/>
      <c r="O124" s="38"/>
      <c r="P124" s="299" t="s">
        <v>17556</v>
      </c>
      <c r="Q124" s="45" t="s">
        <v>398</v>
      </c>
      <c r="R124" s="46">
        <v>1</v>
      </c>
      <c r="S124" s="512"/>
      <c r="T124" s="57"/>
      <c r="U124" s="512"/>
      <c r="V124" s="57"/>
      <c r="W124" s="92" t="s">
        <v>17564</v>
      </c>
      <c r="Z124" s="57"/>
      <c r="AA124" s="72"/>
      <c r="AD124" s="57"/>
      <c r="AE124" s="208">
        <f>ROUND((ROUND((ROUND((ROUND((_15_同援日０．５*_15・２人),0)*(1+_15・A深夜)),0)*(1+_15・盲ろう)),0)*(1+_15・区４)),0)+ROUND((ROUND((ROUND((ROUND((_15_同援日０．５＿１．０*_15・２人),0)*(1+_15・B早朝)),0)*(1+_15・盲ろう)),0)*(1+_15・区４)),0)+ROUND((ROUND((ROUND((_15_同援日０．５＿１．０＿０．５*_15・２人),0)*(1+_15・盲ろう)),0)*(1+_15・区４)),0)</f>
        <v>1143</v>
      </c>
      <c r="AF124" s="48"/>
    </row>
    <row r="125" spans="1:32" ht="16.5" customHeight="1" x14ac:dyDescent="0.15">
      <c r="A125" s="41">
        <v>15</v>
      </c>
      <c r="B125" s="41" t="s">
        <v>919</v>
      </c>
      <c r="C125" s="74" t="s">
        <v>21419</v>
      </c>
      <c r="D125" s="72"/>
      <c r="F125" s="57"/>
      <c r="G125" s="72"/>
      <c r="I125" s="57"/>
      <c r="J125" s="72"/>
      <c r="L125" s="57"/>
      <c r="M125" s="114" t="s">
        <v>17558</v>
      </c>
      <c r="N125" s="49"/>
      <c r="O125" s="50"/>
      <c r="P125" s="299"/>
      <c r="Q125" s="45"/>
      <c r="R125" s="46"/>
      <c r="S125" s="512"/>
      <c r="T125" s="57"/>
      <c r="U125" s="512"/>
      <c r="V125" s="57"/>
      <c r="W125" s="92"/>
      <c r="X125" s="12" t="s">
        <v>398</v>
      </c>
      <c r="Y125" s="13">
        <v>0.25</v>
      </c>
      <c r="Z125" s="57" t="s">
        <v>3575</v>
      </c>
      <c r="AA125" s="72"/>
      <c r="AD125" s="57"/>
      <c r="AE125" s="208">
        <f>ROUND((ROUND((ROUND((ROUND((_15_同援日０．５*_15・基礎２),0)*(1+_15・A深夜)),0)*(1+_15・盲ろう)),0)*(1+_15・区４)),0)+ROUND((ROUND((ROUND((ROUND((_15_同援日０．５＿１．０*_15・基礎２),0)*(1+_15・B早朝)),0)*(1+_15・盲ろう)),0)*(1+_15・区４)),0)+ROUND((ROUND((ROUND((_15_同援日０．５＿１．０＿０．５*_15・基礎２),0)*(1+_15・盲ろう)),0)*(1+_15・区４)),0)</f>
        <v>1033</v>
      </c>
      <c r="AF125" s="48"/>
    </row>
    <row r="126" spans="1:32" ht="16.5" customHeight="1" x14ac:dyDescent="0.15">
      <c r="A126" s="41">
        <v>15</v>
      </c>
      <c r="B126" s="41" t="s">
        <v>921</v>
      </c>
      <c r="C126" s="74" t="s">
        <v>21420</v>
      </c>
      <c r="D126" s="72"/>
      <c r="F126" s="57"/>
      <c r="G126" s="72"/>
      <c r="I126" s="57"/>
      <c r="J126" s="122"/>
      <c r="K126" s="37"/>
      <c r="L126" s="79"/>
      <c r="M126" s="269" t="s">
        <v>17560</v>
      </c>
      <c r="N126" s="37" t="s">
        <v>398</v>
      </c>
      <c r="O126" s="38">
        <v>0.9</v>
      </c>
      <c r="P126" s="299" t="s">
        <v>17556</v>
      </c>
      <c r="Q126" s="45" t="s">
        <v>398</v>
      </c>
      <c r="R126" s="46">
        <v>1</v>
      </c>
      <c r="S126" s="512"/>
      <c r="T126" s="57"/>
      <c r="U126" s="512"/>
      <c r="V126" s="57"/>
      <c r="W126" s="269"/>
      <c r="X126" s="37"/>
      <c r="Y126" s="38"/>
      <c r="Z126" s="79"/>
      <c r="AA126" s="269"/>
      <c r="AB126" s="37"/>
      <c r="AC126" s="38"/>
      <c r="AD126" s="79"/>
      <c r="AE126" s="208">
        <f>ROUND((ROUND((ROUND((ROUND((ROUND((_15_同援日０．５*_15・基礎２),0)*_15・２人),0)*(1+_15・A深夜)),0)*(1+_15・盲ろう)),0)*(1+_15・区４)),0)+ROUND((ROUND((ROUND((ROUND((ROUND((_15_同援日０．５＿１．０*_15・基礎２),0)*_15・２人),0)*(1+_15・B早朝)),0)*(1+_15・盲ろう)),0)*(1+_15・区４)),0)+ROUND((ROUND((ROUND((ROUND((_15_同援日０．５＿１．０＿０．５*_15・基礎２),0)*_15・２人),0)*(1+_15・盲ろう)),0)*(1+_15・区４)),0)</f>
        <v>1033</v>
      </c>
      <c r="AF126" s="48"/>
    </row>
    <row r="127" spans="1:32" ht="16.5" customHeight="1" x14ac:dyDescent="0.15">
      <c r="A127" s="41">
        <v>15</v>
      </c>
      <c r="B127" s="41" t="s">
        <v>923</v>
      </c>
      <c r="C127" s="74" t="s">
        <v>21421</v>
      </c>
      <c r="D127" s="72"/>
      <c r="F127" s="57"/>
      <c r="G127" s="72"/>
      <c r="I127" s="57"/>
      <c r="J127" s="114" t="s">
        <v>21246</v>
      </c>
      <c r="K127" s="49"/>
      <c r="L127" s="115"/>
      <c r="M127" s="114"/>
      <c r="N127" s="49"/>
      <c r="O127" s="50"/>
      <c r="P127" s="299"/>
      <c r="Q127" s="45"/>
      <c r="R127" s="46"/>
      <c r="S127" s="512"/>
      <c r="T127" s="57"/>
      <c r="U127" s="512"/>
      <c r="V127" s="57"/>
      <c r="W127" s="114"/>
      <c r="X127" s="49"/>
      <c r="Y127" s="50"/>
      <c r="Z127" s="115"/>
      <c r="AA127" s="116"/>
      <c r="AB127" s="49"/>
      <c r="AC127" s="50"/>
      <c r="AD127" s="115"/>
      <c r="AE127" s="208">
        <f>ROUND((_15_同援日０．５*(1+_15・A深夜)),0)+ROUND((_15_同援日０．５＿１．０*(1+_15・B早朝)),0)+_15_同援日０．５＿１．０＿１．０</f>
        <v>719</v>
      </c>
      <c r="AF127" s="48"/>
    </row>
    <row r="128" spans="1:32" ht="16.5" customHeight="1" x14ac:dyDescent="0.15">
      <c r="A128" s="41">
        <v>15</v>
      </c>
      <c r="B128" s="41" t="s">
        <v>925</v>
      </c>
      <c r="C128" s="74" t="s">
        <v>21422</v>
      </c>
      <c r="D128" s="72"/>
      <c r="F128" s="57"/>
      <c r="G128" s="72"/>
      <c r="I128" s="57"/>
      <c r="J128" s="72" t="s">
        <v>17589</v>
      </c>
      <c r="L128" s="57"/>
      <c r="M128" s="269"/>
      <c r="N128" s="37"/>
      <c r="O128" s="38"/>
      <c r="P128" s="299" t="s">
        <v>17556</v>
      </c>
      <c r="Q128" s="45" t="s">
        <v>398</v>
      </c>
      <c r="R128" s="46">
        <v>1</v>
      </c>
      <c r="S128" s="512"/>
      <c r="T128" s="57"/>
      <c r="U128" s="512"/>
      <c r="V128" s="57"/>
      <c r="W128" s="92"/>
      <c r="Z128" s="57"/>
      <c r="AA128" s="72"/>
      <c r="AD128" s="57"/>
      <c r="AE128" s="208">
        <f>ROUND((ROUND((_15_同援日０．５*_15・２人),0)*(1+_15・A深夜)),0)+ROUND((ROUND((_15_同援日０．５＿１．０*_15・２人),0)*(1+_15・B早朝)),0)+ROUND((_15_同援日０．５＿１．０＿１．０*_15・２人),0)</f>
        <v>719</v>
      </c>
      <c r="AF128" s="48"/>
    </row>
    <row r="129" spans="1:32" ht="16.5" customHeight="1" x14ac:dyDescent="0.15">
      <c r="A129" s="41">
        <v>15</v>
      </c>
      <c r="B129" s="41" t="s">
        <v>21423</v>
      </c>
      <c r="C129" s="74" t="s">
        <v>21424</v>
      </c>
      <c r="D129" s="72"/>
      <c r="F129" s="57"/>
      <c r="G129" s="72"/>
      <c r="I129" s="57"/>
      <c r="J129" s="72" t="s">
        <v>17591</v>
      </c>
      <c r="L129" s="57"/>
      <c r="M129" s="114" t="s">
        <v>17558</v>
      </c>
      <c r="N129" s="49"/>
      <c r="O129" s="50"/>
      <c r="P129" s="299"/>
      <c r="Q129" s="45"/>
      <c r="R129" s="46"/>
      <c r="S129" s="512"/>
      <c r="T129" s="57"/>
      <c r="U129" s="512"/>
      <c r="V129" s="57"/>
      <c r="W129" s="92"/>
      <c r="Z129" s="57"/>
      <c r="AA129" s="72"/>
      <c r="AD129" s="57"/>
      <c r="AE129" s="208">
        <f>ROUND((ROUND((_15_同援日０．５*_15・基礎２),0)*(1+_15・A深夜)),0)+ROUND((ROUND((_15_同援日０．５＿１．０*_15・基礎２),0)*(1+_15・B早朝)),0)+ROUND((_15_同援日０．５＿１．０＿１．０*_15・基礎２),0)</f>
        <v>648</v>
      </c>
      <c r="AF129" s="48"/>
    </row>
    <row r="130" spans="1:32" ht="16.5" customHeight="1" x14ac:dyDescent="0.15">
      <c r="A130" s="41">
        <v>15</v>
      </c>
      <c r="B130" s="41" t="s">
        <v>21425</v>
      </c>
      <c r="C130" s="74" t="s">
        <v>21426</v>
      </c>
      <c r="D130" s="72"/>
      <c r="F130" s="57"/>
      <c r="G130" s="72"/>
      <c r="I130" s="57"/>
      <c r="J130" s="72"/>
      <c r="K130" s="168">
        <f>_15_同援日０．５＿１．０＿１．０</f>
        <v>130</v>
      </c>
      <c r="L130" s="57" t="s">
        <v>392</v>
      </c>
      <c r="M130" s="269" t="s">
        <v>17560</v>
      </c>
      <c r="N130" s="37" t="s">
        <v>398</v>
      </c>
      <c r="O130" s="38">
        <v>0.9</v>
      </c>
      <c r="P130" s="299" t="s">
        <v>17556</v>
      </c>
      <c r="Q130" s="45" t="s">
        <v>398</v>
      </c>
      <c r="R130" s="46">
        <v>1</v>
      </c>
      <c r="S130" s="512"/>
      <c r="T130" s="57"/>
      <c r="U130" s="512"/>
      <c r="V130" s="57"/>
      <c r="W130" s="269"/>
      <c r="X130" s="37"/>
      <c r="Y130" s="38"/>
      <c r="Z130" s="79"/>
      <c r="AA130" s="72"/>
      <c r="AD130" s="57"/>
      <c r="AE130" s="208">
        <f>ROUND((ROUND((ROUND((_15_同援日０．５*_15・基礎２),0)*_15・２人),0)*(1+_15・A深夜)),0)+ROUND((ROUND((ROUND((_15_同援日０．５＿１．０*_15・基礎２),0)*_15・２人),0)*(1+_15・B早朝)),0)+ROUND((ROUND((_15_同援日０．５＿１．０＿１．０*_15・基礎２),0)*_15・２人),0)</f>
        <v>648</v>
      </c>
      <c r="AF130" s="48"/>
    </row>
    <row r="131" spans="1:32" ht="16.5" customHeight="1" x14ac:dyDescent="0.15">
      <c r="A131" s="41">
        <v>15</v>
      </c>
      <c r="B131" s="41" t="s">
        <v>21427</v>
      </c>
      <c r="C131" s="74" t="s">
        <v>21428</v>
      </c>
      <c r="D131" s="72"/>
      <c r="F131" s="57"/>
      <c r="G131" s="72"/>
      <c r="I131" s="57"/>
      <c r="J131" s="72"/>
      <c r="L131" s="57"/>
      <c r="M131" s="114"/>
      <c r="N131" s="49"/>
      <c r="O131" s="50"/>
      <c r="P131" s="299"/>
      <c r="Q131" s="45"/>
      <c r="R131" s="46"/>
      <c r="S131" s="512"/>
      <c r="T131" s="57"/>
      <c r="U131" s="512"/>
      <c r="V131" s="57"/>
      <c r="W131" s="114" t="s">
        <v>17562</v>
      </c>
      <c r="X131" s="49"/>
      <c r="Y131" s="50"/>
      <c r="Z131" s="115"/>
      <c r="AA131" s="72"/>
      <c r="AD131" s="57"/>
      <c r="AE131" s="208">
        <f>ROUND((ROUND((_15_同援日０．５*(1+_15・A深夜)),0)*(1+_15・盲ろう)),0)+ROUND((ROUND((_15_同援日０．５＿１．０*(1+_15・B早朝)),0)*(1+_15・盲ろう)),0)+ROUND((_15_同援日０．５＿１．０＿１．０*(1+_15・盲ろう)),0)</f>
        <v>899</v>
      </c>
      <c r="AF131" s="48"/>
    </row>
    <row r="132" spans="1:32" ht="16.5" customHeight="1" x14ac:dyDescent="0.15">
      <c r="A132" s="41">
        <v>15</v>
      </c>
      <c r="B132" s="41" t="s">
        <v>21429</v>
      </c>
      <c r="C132" s="74" t="s">
        <v>21430</v>
      </c>
      <c r="D132" s="72"/>
      <c r="F132" s="57"/>
      <c r="G132" s="72"/>
      <c r="I132" s="57"/>
      <c r="J132" s="72"/>
      <c r="L132" s="57"/>
      <c r="M132" s="269"/>
      <c r="N132" s="37"/>
      <c r="O132" s="38"/>
      <c r="P132" s="299" t="s">
        <v>17556</v>
      </c>
      <c r="Q132" s="45" t="s">
        <v>398</v>
      </c>
      <c r="R132" s="46">
        <v>1</v>
      </c>
      <c r="S132" s="512"/>
      <c r="T132" s="57"/>
      <c r="U132" s="512"/>
      <c r="V132" s="57"/>
      <c r="W132" s="92" t="s">
        <v>17564</v>
      </c>
      <c r="Z132" s="57"/>
      <c r="AA132" s="72"/>
      <c r="AD132" s="57"/>
      <c r="AE132" s="208">
        <f>ROUND((ROUND((ROUND((_15_同援日０．５*_15・２人),0)*(1+_15・A深夜)),0)*(1+_15・盲ろう)),0)+ROUND((ROUND((ROUND((_15_同援日０．５＿１．０*_15・２人),0)*(1+_15・B早朝)),0)*(1+_15・盲ろう)),0)+ROUND((ROUND((_15_同援日０．５＿１．０＿１．０*_15・２人),0)*(1+_15・盲ろう)),0)</f>
        <v>899</v>
      </c>
      <c r="AF132" s="48"/>
    </row>
    <row r="133" spans="1:32" ht="16.5" customHeight="1" x14ac:dyDescent="0.15">
      <c r="A133" s="41">
        <v>15</v>
      </c>
      <c r="B133" s="41" t="s">
        <v>21431</v>
      </c>
      <c r="C133" s="74" t="s">
        <v>21432</v>
      </c>
      <c r="D133" s="72"/>
      <c r="F133" s="57"/>
      <c r="G133" s="72"/>
      <c r="I133" s="57"/>
      <c r="J133" s="72"/>
      <c r="L133" s="57"/>
      <c r="M133" s="114" t="s">
        <v>17558</v>
      </c>
      <c r="N133" s="49"/>
      <c r="O133" s="50"/>
      <c r="P133" s="299"/>
      <c r="Q133" s="45"/>
      <c r="R133" s="46"/>
      <c r="S133" s="512"/>
      <c r="T133" s="57"/>
      <c r="U133" s="512"/>
      <c r="V133" s="57"/>
      <c r="W133" s="92"/>
      <c r="X133" s="12" t="s">
        <v>398</v>
      </c>
      <c r="Y133" s="13">
        <v>0.25</v>
      </c>
      <c r="Z133" s="57" t="s">
        <v>3575</v>
      </c>
      <c r="AA133" s="72"/>
      <c r="AD133" s="57"/>
      <c r="AE133" s="208">
        <f>ROUND((ROUND((ROUND((_15_同援日０．５*_15・基礎２),0)*(1+_15・A深夜)),0)*(1+_15・盲ろう)),0)+ROUND((ROUND((ROUND((_15_同援日０．５＿１．０*_15・基礎２),0)*(1+_15・B早朝)),0)*(1+_15・盲ろう)),0)+ROUND((ROUND((_15_同援日０．５＿１．０＿１．０*_15・基礎２),0)*(1+_15・盲ろう)),0)</f>
        <v>810</v>
      </c>
      <c r="AF133" s="48"/>
    </row>
    <row r="134" spans="1:32" ht="16.5" customHeight="1" x14ac:dyDescent="0.15">
      <c r="A134" s="41">
        <v>15</v>
      </c>
      <c r="B134" s="41" t="s">
        <v>21433</v>
      </c>
      <c r="C134" s="74" t="s">
        <v>21434</v>
      </c>
      <c r="D134" s="72"/>
      <c r="F134" s="57"/>
      <c r="G134" s="72"/>
      <c r="I134" s="57"/>
      <c r="J134" s="72"/>
      <c r="L134" s="57"/>
      <c r="M134" s="269" t="s">
        <v>17560</v>
      </c>
      <c r="N134" s="37" t="s">
        <v>398</v>
      </c>
      <c r="O134" s="38">
        <v>0.9</v>
      </c>
      <c r="P134" s="299" t="s">
        <v>17556</v>
      </c>
      <c r="Q134" s="45" t="s">
        <v>398</v>
      </c>
      <c r="R134" s="46">
        <v>1</v>
      </c>
      <c r="S134" s="512"/>
      <c r="T134" s="57"/>
      <c r="U134" s="512"/>
      <c r="V134" s="57"/>
      <c r="W134" s="269"/>
      <c r="X134" s="37"/>
      <c r="Y134" s="38"/>
      <c r="Z134" s="79"/>
      <c r="AA134" s="269"/>
      <c r="AB134" s="37"/>
      <c r="AC134" s="38"/>
      <c r="AD134" s="79"/>
      <c r="AE134" s="208">
        <f>ROUND((ROUND((ROUND((ROUND((_15_同援日０．５*_15・基礎２),0)*_15・２人),0)*(1+_15・A深夜)),0)*(1+_15・盲ろう)),0)+ROUND((ROUND((ROUND((ROUND((_15_同援日０．５＿１．０*_15・基礎２),0)*_15・２人),0)*(1+_15・B早朝)),0)*(1+_15・盲ろう)),0)+ROUND((ROUND((ROUND((_15_同援日０．５＿１．０＿１．０*_15・基礎２),0)*_15・２人),0)*(1+_15・盲ろう)),0)</f>
        <v>810</v>
      </c>
      <c r="AF134" s="48"/>
    </row>
    <row r="135" spans="1:32" ht="16.5" customHeight="1" x14ac:dyDescent="0.15">
      <c r="A135" s="41">
        <v>15</v>
      </c>
      <c r="B135" s="41" t="s">
        <v>21435</v>
      </c>
      <c r="C135" s="74" t="s">
        <v>21436</v>
      </c>
      <c r="D135" s="72"/>
      <c r="F135" s="57"/>
      <c r="G135" s="72"/>
      <c r="I135" s="57"/>
      <c r="J135" s="72"/>
      <c r="L135" s="57"/>
      <c r="M135" s="114"/>
      <c r="N135" s="49"/>
      <c r="O135" s="50"/>
      <c r="P135" s="299"/>
      <c r="Q135" s="45"/>
      <c r="R135" s="46"/>
      <c r="S135" s="512"/>
      <c r="T135" s="57"/>
      <c r="U135" s="512"/>
      <c r="V135" s="57"/>
      <c r="W135" s="114"/>
      <c r="X135" s="49"/>
      <c r="Y135" s="50"/>
      <c r="Z135" s="115"/>
      <c r="AA135" s="116"/>
      <c r="AB135" s="49"/>
      <c r="AC135" s="50"/>
      <c r="AD135" s="115"/>
      <c r="AE135" s="208">
        <f>ROUND((ROUND((_15_同援日０．５*(1+_15・A深夜)),0)*(1+_15・区３)),0)+ROUND((ROUND((_15_同援日０．５＿１．０*(1+_15・B早朝)),0)*(1+_15・区３)),0)+ROUND((_15_同援日０．５＿１．０＿１．０*(1+_15・区３)),0)</f>
        <v>863</v>
      </c>
      <c r="AF135" s="48"/>
    </row>
    <row r="136" spans="1:32" ht="16.5" customHeight="1" x14ac:dyDescent="0.15">
      <c r="A136" s="41">
        <v>15</v>
      </c>
      <c r="B136" s="41" t="s">
        <v>21437</v>
      </c>
      <c r="C136" s="74" t="s">
        <v>21438</v>
      </c>
      <c r="D136" s="72"/>
      <c r="F136" s="57"/>
      <c r="G136" s="72"/>
      <c r="I136" s="57"/>
      <c r="J136" s="72"/>
      <c r="L136" s="57"/>
      <c r="M136" s="269"/>
      <c r="N136" s="37"/>
      <c r="O136" s="38"/>
      <c r="P136" s="299" t="s">
        <v>17556</v>
      </c>
      <c r="Q136" s="45" t="s">
        <v>398</v>
      </c>
      <c r="R136" s="46">
        <v>1</v>
      </c>
      <c r="S136" s="512"/>
      <c r="T136" s="57"/>
      <c r="U136" s="512"/>
      <c r="V136" s="57"/>
      <c r="W136" s="92"/>
      <c r="Z136" s="57"/>
      <c r="AA136" s="72"/>
      <c r="AD136" s="57"/>
      <c r="AE136" s="208">
        <f>ROUND((ROUND((ROUND((_15_同援日０．５*_15・２人),0)*(1+_15・A深夜)),0)*(1+_15・区３)),0)+ROUND((ROUND((ROUND((_15_同援日０．５＿１．０*_15・２人),0)*(1+_15・B早朝)),0)*(1+_15・区３)),0)+ROUND((ROUND((_15_同援日０．５＿１．０＿１．０*_15・２人),0)*(1+_15・区３)),0)</f>
        <v>863</v>
      </c>
      <c r="AF136" s="48"/>
    </row>
    <row r="137" spans="1:32" ht="16.5" customHeight="1" x14ac:dyDescent="0.15">
      <c r="A137" s="41">
        <v>15</v>
      </c>
      <c r="B137" s="41" t="s">
        <v>21439</v>
      </c>
      <c r="C137" s="74" t="s">
        <v>21440</v>
      </c>
      <c r="D137" s="72"/>
      <c r="F137" s="57"/>
      <c r="G137" s="72"/>
      <c r="I137" s="57"/>
      <c r="J137" s="72"/>
      <c r="L137" s="57"/>
      <c r="M137" s="114" t="s">
        <v>17558</v>
      </c>
      <c r="N137" s="49"/>
      <c r="O137" s="50"/>
      <c r="P137" s="299"/>
      <c r="Q137" s="45"/>
      <c r="R137" s="46"/>
      <c r="S137" s="512"/>
      <c r="T137" s="57"/>
      <c r="U137" s="512"/>
      <c r="V137" s="57"/>
      <c r="W137" s="92"/>
      <c r="Z137" s="57"/>
      <c r="AA137" s="72" t="s">
        <v>17570</v>
      </c>
      <c r="AD137" s="57"/>
      <c r="AE137" s="208">
        <f>ROUND((ROUND((ROUND((_15_同援日０．５*_15・基礎２),0)*(1+_15・A深夜)),0)*(1+_15・区３)),0)+ROUND((ROUND((ROUND((_15_同援日０．５＿１．０*_15・基礎２),0)*(1+_15・B早朝)),0)*(1+_15・区３)),0)+ROUND((ROUND((_15_同援日０．５＿１．０＿１．０*_15・基礎２),0)*(1+_15・区３)),0)</f>
        <v>777</v>
      </c>
      <c r="AF137" s="48"/>
    </row>
    <row r="138" spans="1:32" ht="16.5" customHeight="1" x14ac:dyDescent="0.15">
      <c r="A138" s="41">
        <v>15</v>
      </c>
      <c r="B138" s="41" t="s">
        <v>21441</v>
      </c>
      <c r="C138" s="74" t="s">
        <v>21442</v>
      </c>
      <c r="D138" s="72"/>
      <c r="F138" s="57"/>
      <c r="G138" s="72"/>
      <c r="I138" s="57"/>
      <c r="J138" s="72"/>
      <c r="L138" s="57"/>
      <c r="M138" s="269" t="s">
        <v>17560</v>
      </c>
      <c r="N138" s="37" t="s">
        <v>398</v>
      </c>
      <c r="O138" s="38">
        <v>0.9</v>
      </c>
      <c r="P138" s="299" t="s">
        <v>17556</v>
      </c>
      <c r="Q138" s="45" t="s">
        <v>398</v>
      </c>
      <c r="R138" s="46">
        <v>1</v>
      </c>
      <c r="S138" s="512"/>
      <c r="T138" s="57"/>
      <c r="U138" s="512"/>
      <c r="V138" s="57"/>
      <c r="W138" s="269"/>
      <c r="X138" s="37"/>
      <c r="Y138" s="38"/>
      <c r="Z138" s="79"/>
      <c r="AA138" s="72" t="s">
        <v>17572</v>
      </c>
      <c r="AD138" s="57"/>
      <c r="AE138" s="208">
        <f>ROUND((ROUND((ROUND((ROUND((_15_同援日０．５*_15・基礎２),0)*_15・２人),0)*(1+_15・A深夜)),0)*(1+_15・区３)),0)+ROUND((ROUND((ROUND((ROUND((_15_同援日０．５＿１．０*_15・基礎２),0)*_15・２人),0)*(1+_15・B早朝)),0)*(1+_15・区３)),0)+ROUND((ROUND((ROUND((_15_同援日０．５＿１．０＿１．０*_15・基礎２),0)*_15・２人),0)*(1+_15・区３)),0)</f>
        <v>777</v>
      </c>
      <c r="AF138" s="48"/>
    </row>
    <row r="139" spans="1:32" ht="16.5" customHeight="1" x14ac:dyDescent="0.15">
      <c r="A139" s="41">
        <v>15</v>
      </c>
      <c r="B139" s="41" t="s">
        <v>21443</v>
      </c>
      <c r="C139" s="74" t="s">
        <v>21444</v>
      </c>
      <c r="D139" s="72"/>
      <c r="F139" s="57"/>
      <c r="G139" s="72"/>
      <c r="I139" s="57"/>
      <c r="J139" s="72"/>
      <c r="L139" s="57"/>
      <c r="M139" s="114"/>
      <c r="N139" s="49"/>
      <c r="O139" s="50"/>
      <c r="P139" s="299"/>
      <c r="Q139" s="45"/>
      <c r="R139" s="46"/>
      <c r="S139" s="512"/>
      <c r="T139" s="57"/>
      <c r="U139" s="512"/>
      <c r="V139" s="57"/>
      <c r="W139" s="114" t="s">
        <v>17562</v>
      </c>
      <c r="X139" s="49"/>
      <c r="Y139" s="50"/>
      <c r="Z139" s="115"/>
      <c r="AA139" s="72"/>
      <c r="AB139" s="12" t="s">
        <v>398</v>
      </c>
      <c r="AC139" s="13">
        <v>0.2</v>
      </c>
      <c r="AD139" s="57" t="s">
        <v>3575</v>
      </c>
      <c r="AE139" s="208">
        <f>ROUND((ROUND((ROUND((_15_同援日０．５*(1+_15・A深夜)),0)*(1+_15・盲ろう)),0)*(1+_15・区３)),0)+ROUND((ROUND((ROUND((_15_同援日０．５＿１．０*(1+_15・B早朝)),0)*(1+_15・盲ろう)),0)*(1+_15・区３)),0)+ROUND((ROUND((_15_同援日０．５＿１．０＿１．０*(1+_15・盲ろう)),0)*(1+_15・区３)),0)</f>
        <v>1079</v>
      </c>
      <c r="AF139" s="48"/>
    </row>
    <row r="140" spans="1:32" ht="16.5" customHeight="1" x14ac:dyDescent="0.15">
      <c r="A140" s="41">
        <v>15</v>
      </c>
      <c r="B140" s="41" t="s">
        <v>21445</v>
      </c>
      <c r="C140" s="74" t="s">
        <v>21446</v>
      </c>
      <c r="D140" s="72"/>
      <c r="F140" s="57"/>
      <c r="G140" s="72"/>
      <c r="I140" s="57"/>
      <c r="J140" s="72"/>
      <c r="L140" s="57"/>
      <c r="M140" s="269"/>
      <c r="N140" s="37"/>
      <c r="O140" s="38"/>
      <c r="P140" s="299" t="s">
        <v>17556</v>
      </c>
      <c r="Q140" s="45" t="s">
        <v>398</v>
      </c>
      <c r="R140" s="46">
        <v>1</v>
      </c>
      <c r="S140" s="512"/>
      <c r="T140" s="57"/>
      <c r="U140" s="512"/>
      <c r="V140" s="57"/>
      <c r="W140" s="92" t="s">
        <v>17564</v>
      </c>
      <c r="Z140" s="57"/>
      <c r="AA140" s="72"/>
      <c r="AD140" s="57"/>
      <c r="AE140" s="208">
        <f>ROUND((ROUND((ROUND((ROUND((_15_同援日０．５*_15・２人),0)*(1+_15・A深夜)),0)*(1+_15・盲ろう)),0)*(1+_15・区３)),0)+ROUND((ROUND((ROUND((ROUND((_15_同援日０．５＿１．０*_15・２人),0)*(1+_15・B早朝)),0)*(1+_15・盲ろう)),0)*(1+_15・区３)),0)+ROUND((ROUND((ROUND((_15_同援日０．５＿１．０＿１．０*_15・２人),0)*(1+_15・盲ろう)),0)*(1+_15・区３)),0)</f>
        <v>1079</v>
      </c>
      <c r="AF140" s="48"/>
    </row>
    <row r="141" spans="1:32" ht="16.5" customHeight="1" x14ac:dyDescent="0.15">
      <c r="A141" s="41">
        <v>15</v>
      </c>
      <c r="B141" s="41" t="s">
        <v>21447</v>
      </c>
      <c r="C141" s="74" t="s">
        <v>21448</v>
      </c>
      <c r="D141" s="72"/>
      <c r="F141" s="57"/>
      <c r="G141" s="72"/>
      <c r="I141" s="57"/>
      <c r="J141" s="72"/>
      <c r="L141" s="57"/>
      <c r="M141" s="114" t="s">
        <v>17558</v>
      </c>
      <c r="N141" s="49"/>
      <c r="O141" s="50"/>
      <c r="P141" s="299"/>
      <c r="Q141" s="45"/>
      <c r="R141" s="46"/>
      <c r="S141" s="512"/>
      <c r="T141" s="57"/>
      <c r="U141" s="512"/>
      <c r="V141" s="57"/>
      <c r="W141" s="92"/>
      <c r="X141" s="12" t="s">
        <v>398</v>
      </c>
      <c r="Y141" s="13">
        <v>0.25</v>
      </c>
      <c r="Z141" s="57" t="s">
        <v>3575</v>
      </c>
      <c r="AA141" s="72"/>
      <c r="AD141" s="57"/>
      <c r="AE141" s="208">
        <f>ROUND((ROUND((ROUND((ROUND((_15_同援日０．５*_15・基礎２),0)*(1+_15・A深夜)),0)*(1+_15・盲ろう)),0)*(1+_15・区３)),0)+ROUND((ROUND((ROUND((ROUND((_15_同援日０．５＿１．０*_15・基礎２),0)*(1+_15・B早朝)),0)*(1+_15・盲ろう)),0)*(1+_15・区３)),0)+ROUND((ROUND((ROUND((_15_同援日０．５＿１．０＿１．０*_15・基礎２),0)*(1+_15・盲ろう)),0)*(1+_15・区３)),0)</f>
        <v>972</v>
      </c>
      <c r="AF141" s="48"/>
    </row>
    <row r="142" spans="1:32" ht="16.5" customHeight="1" x14ac:dyDescent="0.15">
      <c r="A142" s="41">
        <v>15</v>
      </c>
      <c r="B142" s="41" t="s">
        <v>21449</v>
      </c>
      <c r="C142" s="74" t="s">
        <v>21450</v>
      </c>
      <c r="D142" s="72"/>
      <c r="F142" s="57"/>
      <c r="G142" s="72"/>
      <c r="I142" s="57"/>
      <c r="J142" s="72"/>
      <c r="L142" s="57"/>
      <c r="M142" s="269" t="s">
        <v>17560</v>
      </c>
      <c r="N142" s="37" t="s">
        <v>398</v>
      </c>
      <c r="O142" s="38">
        <v>0.9</v>
      </c>
      <c r="P142" s="299" t="s">
        <v>17556</v>
      </c>
      <c r="Q142" s="45" t="s">
        <v>398</v>
      </c>
      <c r="R142" s="46">
        <v>1</v>
      </c>
      <c r="S142" s="512"/>
      <c r="T142" s="57"/>
      <c r="U142" s="512"/>
      <c r="V142" s="57"/>
      <c r="W142" s="269"/>
      <c r="X142" s="37"/>
      <c r="Y142" s="38"/>
      <c r="Z142" s="79"/>
      <c r="AA142" s="269"/>
      <c r="AB142" s="37"/>
      <c r="AC142" s="38"/>
      <c r="AD142" s="79"/>
      <c r="AE142" s="208">
        <f>ROUND((ROUND((ROUND((ROUND((ROUND((_15_同援日０．５*_15・基礎２),0)*_15・２人),0)*(1+_15・A深夜)),0)*(1+_15・盲ろう)),0)*(1+_15・区３)),0)+ROUND((ROUND((ROUND((ROUND((ROUND((_15_同援日０．５＿１．０*_15・基礎２),0)*_15・２人),0)*(1+_15・B早朝)),0)*(1+_15・盲ろう)),0)*(1+_15・区３)),0)+ROUND((ROUND((ROUND((ROUND((_15_同援日０．５＿１．０＿１．０*_15・基礎２),0)*_15・２人),0)*(1+_15・盲ろう)),0)*(1+_15・区３)),0)</f>
        <v>972</v>
      </c>
      <c r="AF142" s="48"/>
    </row>
    <row r="143" spans="1:32" ht="16.5" customHeight="1" x14ac:dyDescent="0.15">
      <c r="A143" s="41">
        <v>15</v>
      </c>
      <c r="B143" s="41" t="s">
        <v>21451</v>
      </c>
      <c r="C143" s="74" t="s">
        <v>21452</v>
      </c>
      <c r="D143" s="72"/>
      <c r="F143" s="57"/>
      <c r="G143" s="72"/>
      <c r="I143" s="57"/>
      <c r="J143" s="72"/>
      <c r="L143" s="57"/>
      <c r="M143" s="114"/>
      <c r="N143" s="49"/>
      <c r="O143" s="50"/>
      <c r="P143" s="299"/>
      <c r="Q143" s="45"/>
      <c r="R143" s="46"/>
      <c r="S143" s="512"/>
      <c r="T143" s="57"/>
      <c r="U143" s="512"/>
      <c r="V143" s="57"/>
      <c r="W143" s="114"/>
      <c r="X143" s="49"/>
      <c r="Y143" s="50"/>
      <c r="Z143" s="115"/>
      <c r="AA143" s="116"/>
      <c r="AB143" s="49"/>
      <c r="AC143" s="50"/>
      <c r="AD143" s="115"/>
      <c r="AE143" s="208">
        <f>ROUND((ROUND((_15_同援日０．５*(1+_15・A深夜)),0)*(1+_15・区４)),0)+ROUND((ROUND((_15_同援日０．５＿１．０*(1+_15・B早朝)),0)*(1+_15・区４)),0)+ROUND((_15_同援日０．５＿１．０＿１．０*(1+_15・区４)),0)</f>
        <v>1007</v>
      </c>
      <c r="AF143" s="48"/>
    </row>
    <row r="144" spans="1:32" ht="16.5" customHeight="1" x14ac:dyDescent="0.15">
      <c r="A144" s="41">
        <v>15</v>
      </c>
      <c r="B144" s="41" t="s">
        <v>21453</v>
      </c>
      <c r="C144" s="74" t="s">
        <v>21454</v>
      </c>
      <c r="D144" s="72"/>
      <c r="F144" s="57"/>
      <c r="G144" s="72"/>
      <c r="I144" s="57"/>
      <c r="J144" s="72"/>
      <c r="L144" s="57"/>
      <c r="M144" s="269"/>
      <c r="N144" s="37"/>
      <c r="O144" s="38"/>
      <c r="P144" s="299" t="s">
        <v>17556</v>
      </c>
      <c r="Q144" s="45" t="s">
        <v>398</v>
      </c>
      <c r="R144" s="46">
        <v>1</v>
      </c>
      <c r="S144" s="512"/>
      <c r="T144" s="57"/>
      <c r="U144" s="512"/>
      <c r="V144" s="57"/>
      <c r="W144" s="92"/>
      <c r="Z144" s="57"/>
      <c r="AA144" s="72"/>
      <c r="AD144" s="57"/>
      <c r="AE144" s="208">
        <f>ROUND((ROUND((ROUND((_15_同援日０．５*_15・２人),0)*(1+_15・A深夜)),0)*(1+_15・区４)),0)+ROUND((ROUND((ROUND((_15_同援日０．５＿１．０*_15・２人),0)*(1+_15・B早朝)),0)*(1+_15・区４)),0)+ROUND((ROUND((_15_同援日０．５＿１．０＿１．０*_15・２人),0)*(1+_15・区４)),0)</f>
        <v>1007</v>
      </c>
      <c r="AF144" s="48"/>
    </row>
    <row r="145" spans="1:32" ht="16.5" customHeight="1" x14ac:dyDescent="0.15">
      <c r="A145" s="41">
        <v>15</v>
      </c>
      <c r="B145" s="41" t="s">
        <v>932</v>
      </c>
      <c r="C145" s="74" t="s">
        <v>21455</v>
      </c>
      <c r="D145" s="72"/>
      <c r="F145" s="57"/>
      <c r="G145" s="72"/>
      <c r="I145" s="57"/>
      <c r="J145" s="72"/>
      <c r="L145" s="57"/>
      <c r="M145" s="114" t="s">
        <v>17558</v>
      </c>
      <c r="N145" s="49"/>
      <c r="O145" s="50"/>
      <c r="P145" s="299"/>
      <c r="Q145" s="45"/>
      <c r="R145" s="46"/>
      <c r="S145" s="512"/>
      <c r="T145" s="57"/>
      <c r="U145" s="512"/>
      <c r="V145" s="57"/>
      <c r="W145" s="92"/>
      <c r="Z145" s="57"/>
      <c r="AA145" s="72" t="s">
        <v>17580</v>
      </c>
      <c r="AD145" s="57"/>
      <c r="AE145" s="208">
        <f>ROUND((ROUND((ROUND((_15_同援日０．５*_15・基礎２),0)*(1+_15・A深夜)),0)*(1+_15・区４)),0)+ROUND((ROUND((ROUND((_15_同援日０．５＿１．０*_15・基礎２),0)*(1+_15・B早朝)),0)*(1+_15・区４)),0)+ROUND((ROUND((_15_同援日０．５＿１．０＿１．０*_15・基礎２),0)*(1+_15・区４)),0)</f>
        <v>908</v>
      </c>
      <c r="AF145" s="48"/>
    </row>
    <row r="146" spans="1:32" ht="16.5" customHeight="1" x14ac:dyDescent="0.15">
      <c r="A146" s="41">
        <v>15</v>
      </c>
      <c r="B146" s="41" t="s">
        <v>934</v>
      </c>
      <c r="C146" s="74" t="s">
        <v>21456</v>
      </c>
      <c r="D146" s="72"/>
      <c r="F146" s="57"/>
      <c r="G146" s="72"/>
      <c r="I146" s="57"/>
      <c r="J146" s="72"/>
      <c r="L146" s="57"/>
      <c r="M146" s="269" t="s">
        <v>17560</v>
      </c>
      <c r="N146" s="37" t="s">
        <v>398</v>
      </c>
      <c r="O146" s="38">
        <v>0.9</v>
      </c>
      <c r="P146" s="299" t="s">
        <v>17556</v>
      </c>
      <c r="Q146" s="45" t="s">
        <v>398</v>
      </c>
      <c r="R146" s="46">
        <v>1</v>
      </c>
      <c r="S146" s="512"/>
      <c r="T146" s="57"/>
      <c r="U146" s="512"/>
      <c r="V146" s="57"/>
      <c r="W146" s="269"/>
      <c r="X146" s="37"/>
      <c r="Y146" s="38"/>
      <c r="Z146" s="79"/>
      <c r="AA146" s="72" t="s">
        <v>17572</v>
      </c>
      <c r="AD146" s="57"/>
      <c r="AE146" s="208">
        <f>ROUND((ROUND((ROUND((ROUND((_15_同援日０．５*_15・基礎２),0)*_15・２人),0)*(1+_15・A深夜)),0)*(1+_15・区４)),0)+ROUND((ROUND((ROUND((ROUND((_15_同援日０．５＿１．０*_15・基礎２),0)*_15・２人),0)*(1+_15・B早朝)),0)*(1+_15・区４)),0)+ROUND((ROUND((ROUND((_15_同援日０．５＿１．０＿１．０*_15・基礎２),0)*_15・２人),0)*(1+_15・区４)),0)</f>
        <v>908</v>
      </c>
      <c r="AF146" s="48"/>
    </row>
    <row r="147" spans="1:32" ht="16.5" customHeight="1" x14ac:dyDescent="0.15">
      <c r="A147" s="41">
        <v>15</v>
      </c>
      <c r="B147" s="41" t="s">
        <v>936</v>
      </c>
      <c r="C147" s="74" t="s">
        <v>21457</v>
      </c>
      <c r="D147" s="72"/>
      <c r="F147" s="57"/>
      <c r="G147" s="72"/>
      <c r="I147" s="57"/>
      <c r="J147" s="72"/>
      <c r="L147" s="57"/>
      <c r="M147" s="114"/>
      <c r="N147" s="49"/>
      <c r="O147" s="50"/>
      <c r="P147" s="299"/>
      <c r="Q147" s="45"/>
      <c r="R147" s="46"/>
      <c r="S147" s="512"/>
      <c r="T147" s="57"/>
      <c r="U147" s="512"/>
      <c r="V147" s="57"/>
      <c r="W147" s="114" t="s">
        <v>17562</v>
      </c>
      <c r="X147" s="49"/>
      <c r="Y147" s="50"/>
      <c r="Z147" s="115"/>
      <c r="AA147" s="72"/>
      <c r="AB147" s="12" t="s">
        <v>398</v>
      </c>
      <c r="AC147" s="13">
        <v>0.4</v>
      </c>
      <c r="AD147" s="57" t="s">
        <v>3575</v>
      </c>
      <c r="AE147" s="208">
        <f>ROUND((ROUND((ROUND((_15_同援日０．５*(1+_15・A深夜)),0)*(1+_15・盲ろう)),0)*(1+_15・区４)),0)+ROUND((ROUND((ROUND((_15_同援日０．５＿１．０*(1+_15・B早朝)),0)*(1+_15・盲ろう)),0)*(1+_15・区４)),0)+ROUND((ROUND((_15_同援日０．５＿１．０＿１．０*(1+_15・盲ろう)),0)*(1+_15・区４)),0)</f>
        <v>1258</v>
      </c>
      <c r="AF147" s="48"/>
    </row>
    <row r="148" spans="1:32" ht="16.5" customHeight="1" x14ac:dyDescent="0.15">
      <c r="A148" s="41">
        <v>15</v>
      </c>
      <c r="B148" s="41" t="s">
        <v>938</v>
      </c>
      <c r="C148" s="74" t="s">
        <v>21458</v>
      </c>
      <c r="D148" s="72"/>
      <c r="F148" s="57"/>
      <c r="G148" s="72"/>
      <c r="I148" s="57"/>
      <c r="J148" s="72"/>
      <c r="L148" s="57"/>
      <c r="M148" s="269"/>
      <c r="N148" s="37"/>
      <c r="O148" s="38"/>
      <c r="P148" s="299" t="s">
        <v>17556</v>
      </c>
      <c r="Q148" s="45" t="s">
        <v>398</v>
      </c>
      <c r="R148" s="46">
        <v>1</v>
      </c>
      <c r="S148" s="512"/>
      <c r="T148" s="57"/>
      <c r="U148" s="512"/>
      <c r="V148" s="57"/>
      <c r="W148" s="92" t="s">
        <v>17564</v>
      </c>
      <c r="Z148" s="57"/>
      <c r="AA148" s="72"/>
      <c r="AD148" s="57"/>
      <c r="AE148" s="208">
        <f>ROUND((ROUND((ROUND((ROUND((_15_同援日０．５*_15・２人),0)*(1+_15・A深夜)),0)*(1+_15・盲ろう)),0)*(1+_15・区４)),0)+ROUND((ROUND((ROUND((ROUND((_15_同援日０．５＿１．０*_15・２人),0)*(1+_15・B早朝)),0)*(1+_15・盲ろう)),0)*(1+_15・区４)),0)+ROUND((ROUND((ROUND((_15_同援日０．５＿１．０＿１．０*_15・２人),0)*(1+_15・盲ろう)),0)*(1+_15・区４)),0)</f>
        <v>1258</v>
      </c>
      <c r="AF148" s="48"/>
    </row>
    <row r="149" spans="1:32" ht="16.5" customHeight="1" x14ac:dyDescent="0.15">
      <c r="A149" s="41">
        <v>15</v>
      </c>
      <c r="B149" s="41" t="s">
        <v>21459</v>
      </c>
      <c r="C149" s="74" t="s">
        <v>21460</v>
      </c>
      <c r="D149" s="72"/>
      <c r="F149" s="57"/>
      <c r="G149" s="72"/>
      <c r="I149" s="57"/>
      <c r="J149" s="72"/>
      <c r="L149" s="57"/>
      <c r="M149" s="114" t="s">
        <v>17558</v>
      </c>
      <c r="N149" s="49"/>
      <c r="O149" s="50"/>
      <c r="P149" s="299"/>
      <c r="Q149" s="45"/>
      <c r="R149" s="46"/>
      <c r="S149" s="512"/>
      <c r="T149" s="57"/>
      <c r="U149" s="512"/>
      <c r="V149" s="57"/>
      <c r="W149" s="92"/>
      <c r="X149" s="12" t="s">
        <v>398</v>
      </c>
      <c r="Y149" s="13">
        <v>0.25</v>
      </c>
      <c r="Z149" s="57" t="s">
        <v>3575</v>
      </c>
      <c r="AA149" s="72"/>
      <c r="AD149" s="57"/>
      <c r="AE149" s="208">
        <f>ROUND((ROUND((ROUND((ROUND((_15_同援日０．５*_15・基礎２),0)*(1+_15・A深夜)),0)*(1+_15・盲ろう)),0)*(1+_15・区４)),0)+ROUND((ROUND((ROUND((ROUND((_15_同援日０．５＿１．０*_15・基礎２),0)*(1+_15・B早朝)),0)*(1+_15・盲ろう)),0)*(1+_15・区４)),0)+ROUND((ROUND((ROUND((_15_同援日０．５＿１．０＿１．０*_15・基礎２),0)*(1+_15・盲ろう)),0)*(1+_15・区４)),0)</f>
        <v>1133</v>
      </c>
      <c r="AF149" s="48"/>
    </row>
    <row r="150" spans="1:32" ht="16.5" customHeight="1" x14ac:dyDescent="0.15">
      <c r="A150" s="41">
        <v>15</v>
      </c>
      <c r="B150" s="41" t="s">
        <v>21461</v>
      </c>
      <c r="C150" s="74" t="s">
        <v>21462</v>
      </c>
      <c r="D150" s="72"/>
      <c r="F150" s="57"/>
      <c r="G150" s="72"/>
      <c r="I150" s="57"/>
      <c r="J150" s="122"/>
      <c r="K150" s="37"/>
      <c r="L150" s="79"/>
      <c r="M150" s="269" t="s">
        <v>17560</v>
      </c>
      <c r="N150" s="37" t="s">
        <v>398</v>
      </c>
      <c r="O150" s="38">
        <v>0.9</v>
      </c>
      <c r="P150" s="299" t="s">
        <v>17556</v>
      </c>
      <c r="Q150" s="45" t="s">
        <v>398</v>
      </c>
      <c r="R150" s="46">
        <v>1</v>
      </c>
      <c r="S150" s="512"/>
      <c r="T150" s="57"/>
      <c r="U150" s="512"/>
      <c r="V150" s="57"/>
      <c r="W150" s="269"/>
      <c r="X150" s="37"/>
      <c r="Y150" s="38"/>
      <c r="Z150" s="79"/>
      <c r="AA150" s="269"/>
      <c r="AB150" s="37"/>
      <c r="AC150" s="38"/>
      <c r="AD150" s="79"/>
      <c r="AE150" s="208">
        <f>ROUND((ROUND((ROUND((ROUND((ROUND((_15_同援日０．５*_15・基礎２),0)*_15・２人),0)*(1+_15・A深夜)),0)*(1+_15・盲ろう)),0)*(1+_15・区４)),0)+ROUND((ROUND((ROUND((ROUND((ROUND((_15_同援日０．５＿１．０*_15・基礎２),0)*_15・２人),0)*(1+_15・B早朝)),0)*(1+_15・盲ろう)),0)*(1+_15・区４)),0)+ROUND((ROUND((ROUND((ROUND((_15_同援日０．５＿１．０＿１．０*_15・基礎２),0)*_15・２人),0)*(1+_15・盲ろう)),0)*(1+_15・区４)),0)</f>
        <v>1133</v>
      </c>
      <c r="AF150" s="48"/>
    </row>
    <row r="151" spans="1:32" ht="16.5" customHeight="1" x14ac:dyDescent="0.15">
      <c r="A151" s="41">
        <v>15</v>
      </c>
      <c r="B151" s="41" t="s">
        <v>21463</v>
      </c>
      <c r="C151" s="74" t="s">
        <v>21464</v>
      </c>
      <c r="D151" s="72"/>
      <c r="F151" s="57"/>
      <c r="G151" s="72"/>
      <c r="I151" s="57"/>
      <c r="J151" s="114" t="s">
        <v>21291</v>
      </c>
      <c r="K151" s="49"/>
      <c r="L151" s="115"/>
      <c r="M151" s="114"/>
      <c r="N151" s="49"/>
      <c r="O151" s="50"/>
      <c r="P151" s="299"/>
      <c r="Q151" s="45"/>
      <c r="R151" s="46"/>
      <c r="S151" s="512"/>
      <c r="T151" s="57"/>
      <c r="U151" s="512"/>
      <c r="V151" s="57"/>
      <c r="W151" s="114"/>
      <c r="X151" s="49"/>
      <c r="Y151" s="50"/>
      <c r="Z151" s="115"/>
      <c r="AA151" s="116"/>
      <c r="AB151" s="49"/>
      <c r="AC151" s="50"/>
      <c r="AD151" s="115"/>
      <c r="AE151" s="208">
        <f>ROUND((_15_同援日０．５*(1+_15・A深夜)),0)+ROUND((_15_同援日０．５＿１．０*(1+_15・B早朝)),0)+_15_同援日０．５＿１．０＿１．５</f>
        <v>784</v>
      </c>
      <c r="AF151" s="48"/>
    </row>
    <row r="152" spans="1:32" ht="16.5" customHeight="1" x14ac:dyDescent="0.15">
      <c r="A152" s="41">
        <v>15</v>
      </c>
      <c r="B152" s="41" t="s">
        <v>21465</v>
      </c>
      <c r="C152" s="74" t="s">
        <v>21466</v>
      </c>
      <c r="D152" s="72"/>
      <c r="F152" s="57"/>
      <c r="G152" s="72"/>
      <c r="I152" s="57"/>
      <c r="J152" s="72" t="s">
        <v>17616</v>
      </c>
      <c r="L152" s="57"/>
      <c r="M152" s="269"/>
      <c r="N152" s="37"/>
      <c r="O152" s="38"/>
      <c r="P152" s="299" t="s">
        <v>17556</v>
      </c>
      <c r="Q152" s="45" t="s">
        <v>398</v>
      </c>
      <c r="R152" s="46">
        <v>1</v>
      </c>
      <c r="S152" s="512"/>
      <c r="T152" s="57"/>
      <c r="U152" s="512"/>
      <c r="V152" s="57"/>
      <c r="W152" s="92"/>
      <c r="Z152" s="57"/>
      <c r="AA152" s="72"/>
      <c r="AD152" s="57"/>
      <c r="AE152" s="208">
        <f>ROUND((ROUND((_15_同援日０．５*_15・２人),0)*(1+_15・A深夜)),0)+ROUND((ROUND((_15_同援日０．５＿１．０*_15・２人),0)*(1+_15・B早朝)),0)+ROUND((_15_同援日０．５＿１．０＿１．５*_15・２人),0)</f>
        <v>784</v>
      </c>
      <c r="AF152" s="48"/>
    </row>
    <row r="153" spans="1:32" ht="16.5" customHeight="1" x14ac:dyDescent="0.15">
      <c r="A153" s="41">
        <v>15</v>
      </c>
      <c r="B153" s="41" t="s">
        <v>21467</v>
      </c>
      <c r="C153" s="74" t="s">
        <v>21468</v>
      </c>
      <c r="D153" s="72"/>
      <c r="F153" s="57"/>
      <c r="G153" s="72"/>
      <c r="I153" s="57"/>
      <c r="J153" s="72" t="s">
        <v>18183</v>
      </c>
      <c r="L153" s="57"/>
      <c r="M153" s="114" t="s">
        <v>17558</v>
      </c>
      <c r="N153" s="49"/>
      <c r="O153" s="50"/>
      <c r="P153" s="299"/>
      <c r="Q153" s="45"/>
      <c r="R153" s="46"/>
      <c r="S153" s="512"/>
      <c r="T153" s="57"/>
      <c r="U153" s="512"/>
      <c r="V153" s="57"/>
      <c r="W153" s="92"/>
      <c r="Z153" s="57"/>
      <c r="AA153" s="72"/>
      <c r="AD153" s="57"/>
      <c r="AE153" s="208">
        <f>ROUND((ROUND((_15_同援日０．５*_15・基礎２),0)*(1+_15・A深夜)),0)+ROUND((ROUND((_15_同援日０．５＿１．０*_15・基礎２),0)*(1+_15・B早朝)),0)+ROUND((_15_同援日０．５＿１．０＿１．５*_15・基礎２),0)</f>
        <v>707</v>
      </c>
      <c r="AF153" s="48"/>
    </row>
    <row r="154" spans="1:32" ht="16.5" customHeight="1" x14ac:dyDescent="0.15">
      <c r="A154" s="41">
        <v>15</v>
      </c>
      <c r="B154" s="41" t="s">
        <v>21469</v>
      </c>
      <c r="C154" s="74" t="s">
        <v>21470</v>
      </c>
      <c r="D154" s="72"/>
      <c r="F154" s="57"/>
      <c r="G154" s="72"/>
      <c r="I154" s="57"/>
      <c r="J154" s="72"/>
      <c r="K154" s="168">
        <f>_15_同援日０．５＿１．０＿１．５</f>
        <v>195</v>
      </c>
      <c r="L154" s="57" t="s">
        <v>392</v>
      </c>
      <c r="M154" s="269" t="s">
        <v>17560</v>
      </c>
      <c r="N154" s="37" t="s">
        <v>398</v>
      </c>
      <c r="O154" s="38">
        <v>0.9</v>
      </c>
      <c r="P154" s="299" t="s">
        <v>17556</v>
      </c>
      <c r="Q154" s="45" t="s">
        <v>398</v>
      </c>
      <c r="R154" s="46">
        <v>1</v>
      </c>
      <c r="S154" s="512"/>
      <c r="T154" s="57"/>
      <c r="U154" s="512"/>
      <c r="V154" s="57"/>
      <c r="W154" s="269"/>
      <c r="X154" s="37"/>
      <c r="Y154" s="38"/>
      <c r="Z154" s="79"/>
      <c r="AA154" s="72"/>
      <c r="AD154" s="57"/>
      <c r="AE154" s="208">
        <f>ROUND((ROUND((ROUND((_15_同援日０．５*_15・基礎２),0)*_15・２人),0)*(1+_15・A深夜)),0)+ROUND((ROUND((ROUND((_15_同援日０．５＿１．０*_15・基礎２),0)*_15・２人),0)*(1+_15・B早朝)),0)+ROUND((ROUND((_15_同援日０．５＿１．０＿１．５*_15・基礎２),0)*_15・２人),0)</f>
        <v>707</v>
      </c>
      <c r="AF154" s="48"/>
    </row>
    <row r="155" spans="1:32" ht="16.5" customHeight="1" x14ac:dyDescent="0.15">
      <c r="A155" s="41">
        <v>15</v>
      </c>
      <c r="B155" s="41" t="s">
        <v>21471</v>
      </c>
      <c r="C155" s="74" t="s">
        <v>21472</v>
      </c>
      <c r="D155" s="72"/>
      <c r="F155" s="57"/>
      <c r="G155" s="72"/>
      <c r="I155" s="57"/>
      <c r="J155" s="72"/>
      <c r="L155" s="57"/>
      <c r="M155" s="114"/>
      <c r="N155" s="49"/>
      <c r="O155" s="50"/>
      <c r="P155" s="299"/>
      <c r="Q155" s="45"/>
      <c r="R155" s="46"/>
      <c r="S155" s="512"/>
      <c r="T155" s="57"/>
      <c r="U155" s="512"/>
      <c r="V155" s="57"/>
      <c r="W155" s="114" t="s">
        <v>17562</v>
      </c>
      <c r="X155" s="49"/>
      <c r="Y155" s="50"/>
      <c r="Z155" s="115"/>
      <c r="AA155" s="72"/>
      <c r="AD155" s="57"/>
      <c r="AE155" s="208">
        <f>ROUND((ROUND((_15_同援日０．５*(1+_15・A深夜)),0)*(1+_15・盲ろう)),0)+ROUND((ROUND((_15_同援日０．５＿１．０*(1+_15・B早朝)),0)*(1+_15・盲ろう)),0)+ROUND((_15_同援日０．５＿１．０＿１．５*(1+_15・盲ろう)),0)</f>
        <v>980</v>
      </c>
      <c r="AF155" s="48"/>
    </row>
    <row r="156" spans="1:32" ht="16.5" customHeight="1" x14ac:dyDescent="0.15">
      <c r="A156" s="41">
        <v>15</v>
      </c>
      <c r="B156" s="41" t="s">
        <v>21473</v>
      </c>
      <c r="C156" s="74" t="s">
        <v>21474</v>
      </c>
      <c r="D156" s="72"/>
      <c r="F156" s="57"/>
      <c r="G156" s="72"/>
      <c r="I156" s="57"/>
      <c r="J156" s="72"/>
      <c r="L156" s="57"/>
      <c r="M156" s="269"/>
      <c r="N156" s="37"/>
      <c r="O156" s="38"/>
      <c r="P156" s="299" t="s">
        <v>17556</v>
      </c>
      <c r="Q156" s="45" t="s">
        <v>398</v>
      </c>
      <c r="R156" s="46">
        <v>1</v>
      </c>
      <c r="S156" s="512"/>
      <c r="T156" s="57"/>
      <c r="U156" s="512"/>
      <c r="V156" s="57"/>
      <c r="W156" s="92" t="s">
        <v>17564</v>
      </c>
      <c r="Z156" s="57"/>
      <c r="AA156" s="72"/>
      <c r="AD156" s="57"/>
      <c r="AE156" s="208">
        <f>ROUND((ROUND((ROUND((_15_同援日０．５*_15・２人),0)*(1+_15・A深夜)),0)*(1+_15・盲ろう)),0)+ROUND((ROUND((ROUND((_15_同援日０．５＿１．０*_15・２人),0)*(1+_15・B早朝)),0)*(1+_15・盲ろう)),0)+ROUND((ROUND((_15_同援日０．５＿１．０＿１．５*_15・２人),0)*(1+_15・盲ろう)),0)</f>
        <v>980</v>
      </c>
      <c r="AF156" s="48"/>
    </row>
    <row r="157" spans="1:32" ht="16.5" customHeight="1" x14ac:dyDescent="0.15">
      <c r="A157" s="41">
        <v>15</v>
      </c>
      <c r="B157" s="41" t="s">
        <v>21475</v>
      </c>
      <c r="C157" s="74" t="s">
        <v>21476</v>
      </c>
      <c r="D157" s="72"/>
      <c r="F157" s="57"/>
      <c r="G157" s="72"/>
      <c r="I157" s="57"/>
      <c r="J157" s="72"/>
      <c r="L157" s="57"/>
      <c r="M157" s="114" t="s">
        <v>17558</v>
      </c>
      <c r="N157" s="49"/>
      <c r="O157" s="50"/>
      <c r="P157" s="299"/>
      <c r="Q157" s="45"/>
      <c r="R157" s="46"/>
      <c r="S157" s="512"/>
      <c r="T157" s="57"/>
      <c r="U157" s="512"/>
      <c r="V157" s="57"/>
      <c r="W157" s="92"/>
      <c r="X157" s="12" t="s">
        <v>398</v>
      </c>
      <c r="Y157" s="13">
        <v>0.25</v>
      </c>
      <c r="Z157" s="57" t="s">
        <v>3575</v>
      </c>
      <c r="AA157" s="72"/>
      <c r="AD157" s="57"/>
      <c r="AE157" s="208">
        <f>ROUND((ROUND((ROUND((_15_同援日０．５*_15・基礎２),0)*(1+_15・A深夜)),0)*(1+_15・盲ろう)),0)+ROUND((ROUND((ROUND((_15_同援日０．５＿１．０*_15・基礎２),0)*(1+_15・B早朝)),0)*(1+_15・盲ろう)),0)+ROUND((ROUND((_15_同援日０．５＿１．０＿１．５*_15・基礎２),0)*(1+_15・盲ろう)),0)</f>
        <v>884</v>
      </c>
      <c r="AF157" s="48"/>
    </row>
    <row r="158" spans="1:32" ht="16.5" customHeight="1" x14ac:dyDescent="0.15">
      <c r="A158" s="41">
        <v>15</v>
      </c>
      <c r="B158" s="41" t="s">
        <v>21477</v>
      </c>
      <c r="C158" s="74" t="s">
        <v>21478</v>
      </c>
      <c r="D158" s="72"/>
      <c r="F158" s="57"/>
      <c r="G158" s="72"/>
      <c r="I158" s="57"/>
      <c r="J158" s="72"/>
      <c r="L158" s="57"/>
      <c r="M158" s="269" t="s">
        <v>17560</v>
      </c>
      <c r="N158" s="37" t="s">
        <v>398</v>
      </c>
      <c r="O158" s="38">
        <v>0.9</v>
      </c>
      <c r="P158" s="299" t="s">
        <v>17556</v>
      </c>
      <c r="Q158" s="45" t="s">
        <v>398</v>
      </c>
      <c r="R158" s="46">
        <v>1</v>
      </c>
      <c r="S158" s="512"/>
      <c r="T158" s="57"/>
      <c r="U158" s="512"/>
      <c r="V158" s="57"/>
      <c r="W158" s="269"/>
      <c r="X158" s="37"/>
      <c r="Y158" s="38"/>
      <c r="Z158" s="79"/>
      <c r="AA158" s="269"/>
      <c r="AB158" s="37"/>
      <c r="AC158" s="38"/>
      <c r="AD158" s="79"/>
      <c r="AE158" s="208">
        <f>ROUND((ROUND((ROUND((ROUND((_15_同援日０．５*_15・基礎２),0)*_15・２人),0)*(1+_15・A深夜)),0)*(1+_15・盲ろう)),0)+ROUND((ROUND((ROUND((ROUND((_15_同援日０．５＿１．０*_15・基礎２),0)*_15・２人),0)*(1+_15・B早朝)),0)*(1+_15・盲ろう)),0)+ROUND((ROUND((ROUND((_15_同援日０．５＿１．０＿１．５*_15・基礎２),0)*_15・２人),0)*(1+_15・盲ろう)),0)</f>
        <v>884</v>
      </c>
      <c r="AF158" s="48"/>
    </row>
    <row r="159" spans="1:32" ht="16.5" customHeight="1" x14ac:dyDescent="0.15">
      <c r="A159" s="41">
        <v>15</v>
      </c>
      <c r="B159" s="41" t="s">
        <v>21479</v>
      </c>
      <c r="C159" s="74" t="s">
        <v>21480</v>
      </c>
      <c r="D159" s="72"/>
      <c r="F159" s="57"/>
      <c r="G159" s="72"/>
      <c r="I159" s="57"/>
      <c r="J159" s="72"/>
      <c r="L159" s="57"/>
      <c r="M159" s="114"/>
      <c r="N159" s="49"/>
      <c r="O159" s="50"/>
      <c r="P159" s="299"/>
      <c r="Q159" s="45"/>
      <c r="R159" s="46"/>
      <c r="S159" s="512"/>
      <c r="T159" s="57"/>
      <c r="U159" s="512"/>
      <c r="V159" s="57"/>
      <c r="W159" s="114"/>
      <c r="X159" s="49"/>
      <c r="Y159" s="50"/>
      <c r="Z159" s="115"/>
      <c r="AA159" s="116"/>
      <c r="AB159" s="49"/>
      <c r="AC159" s="50"/>
      <c r="AD159" s="115"/>
      <c r="AE159" s="208">
        <f>ROUND((ROUND((_15_同援日０．５*(1+_15・A深夜)),0)*(1+_15・区３)),0)+ROUND((ROUND((_15_同援日０．５＿１．０*(1+_15・B早朝)),0)*(1+_15・区３)),0)+ROUND((_15_同援日０．５＿１．０＿１．５*(1+_15・区３)),0)</f>
        <v>941</v>
      </c>
      <c r="AF159" s="48"/>
    </row>
    <row r="160" spans="1:32" ht="16.5" customHeight="1" x14ac:dyDescent="0.15">
      <c r="A160" s="41">
        <v>15</v>
      </c>
      <c r="B160" s="41" t="s">
        <v>21481</v>
      </c>
      <c r="C160" s="74" t="s">
        <v>21482</v>
      </c>
      <c r="D160" s="72"/>
      <c r="F160" s="57"/>
      <c r="G160" s="72"/>
      <c r="I160" s="57"/>
      <c r="J160" s="72"/>
      <c r="L160" s="57"/>
      <c r="M160" s="269"/>
      <c r="N160" s="37"/>
      <c r="O160" s="38"/>
      <c r="P160" s="299" t="s">
        <v>17556</v>
      </c>
      <c r="Q160" s="45" t="s">
        <v>398</v>
      </c>
      <c r="R160" s="46">
        <v>1</v>
      </c>
      <c r="S160" s="512"/>
      <c r="T160" s="57"/>
      <c r="U160" s="512"/>
      <c r="V160" s="57"/>
      <c r="W160" s="92"/>
      <c r="Z160" s="57"/>
      <c r="AA160" s="72"/>
      <c r="AD160" s="57"/>
      <c r="AE160" s="208">
        <f>ROUND((ROUND((ROUND((_15_同援日０．５*_15・２人),0)*(1+_15・A深夜)),0)*(1+_15・区３)),0)+ROUND((ROUND((ROUND((_15_同援日０．５＿１．０*_15・２人),0)*(1+_15・B早朝)),0)*(1+_15・区３)),0)+ROUND((ROUND((_15_同援日０．５＿１．０＿１．５*_15・２人),0)*(1+_15・区３)),0)</f>
        <v>941</v>
      </c>
      <c r="AF160" s="48"/>
    </row>
    <row r="161" spans="1:32" ht="16.5" customHeight="1" x14ac:dyDescent="0.15">
      <c r="A161" s="41">
        <v>15</v>
      </c>
      <c r="B161" s="41" t="s">
        <v>21483</v>
      </c>
      <c r="C161" s="74" t="s">
        <v>21484</v>
      </c>
      <c r="D161" s="72"/>
      <c r="F161" s="57"/>
      <c r="G161" s="72"/>
      <c r="I161" s="57"/>
      <c r="J161" s="72"/>
      <c r="L161" s="57"/>
      <c r="M161" s="114" t="s">
        <v>17558</v>
      </c>
      <c r="N161" s="49"/>
      <c r="O161" s="50"/>
      <c r="P161" s="299"/>
      <c r="Q161" s="45"/>
      <c r="R161" s="46"/>
      <c r="S161" s="512"/>
      <c r="T161" s="57"/>
      <c r="U161" s="512"/>
      <c r="V161" s="57"/>
      <c r="W161" s="92"/>
      <c r="Z161" s="57"/>
      <c r="AA161" s="72" t="s">
        <v>17570</v>
      </c>
      <c r="AD161" s="57"/>
      <c r="AE161" s="208">
        <f>ROUND((ROUND((ROUND((_15_同援日０．５*_15・基礎２),0)*(1+_15・A深夜)),0)*(1+_15・区３)),0)+ROUND((ROUND((ROUND((_15_同援日０．５＿１．０*_15・基礎２),0)*(1+_15・B早朝)),0)*(1+_15・区３)),0)+ROUND((ROUND((_15_同援日０．５＿１．０＿１．５*_15・基礎２),0)*(1+_15・区３)),0)</f>
        <v>848</v>
      </c>
      <c r="AF161" s="48"/>
    </row>
    <row r="162" spans="1:32" ht="16.5" customHeight="1" x14ac:dyDescent="0.15">
      <c r="A162" s="41">
        <v>15</v>
      </c>
      <c r="B162" s="41" t="s">
        <v>21485</v>
      </c>
      <c r="C162" s="74" t="s">
        <v>21486</v>
      </c>
      <c r="D162" s="72"/>
      <c r="F162" s="57"/>
      <c r="G162" s="72"/>
      <c r="I162" s="57"/>
      <c r="J162" s="72"/>
      <c r="L162" s="57"/>
      <c r="M162" s="269" t="s">
        <v>17560</v>
      </c>
      <c r="N162" s="37" t="s">
        <v>398</v>
      </c>
      <c r="O162" s="38">
        <v>0.9</v>
      </c>
      <c r="P162" s="299" t="s">
        <v>17556</v>
      </c>
      <c r="Q162" s="45" t="s">
        <v>398</v>
      </c>
      <c r="R162" s="46">
        <v>1</v>
      </c>
      <c r="S162" s="512"/>
      <c r="T162" s="57"/>
      <c r="U162" s="512"/>
      <c r="V162" s="57"/>
      <c r="W162" s="269"/>
      <c r="X162" s="37"/>
      <c r="Y162" s="38"/>
      <c r="Z162" s="79"/>
      <c r="AA162" s="72" t="s">
        <v>17572</v>
      </c>
      <c r="AD162" s="57"/>
      <c r="AE162" s="208">
        <f>ROUND((ROUND((ROUND((ROUND((_15_同援日０．５*_15・基礎２),0)*_15・２人),0)*(1+_15・A深夜)),0)*(1+_15・区３)),0)+ROUND((ROUND((ROUND((ROUND((_15_同援日０．５＿１．０*_15・基礎２),0)*_15・２人),0)*(1+_15・B早朝)),0)*(1+_15・区３)),0)+ROUND((ROUND((ROUND((_15_同援日０．５＿１．０＿１．５*_15・基礎２),0)*_15・２人),0)*(1+_15・区３)),0)</f>
        <v>848</v>
      </c>
      <c r="AF162" s="48"/>
    </row>
    <row r="163" spans="1:32" ht="16.5" customHeight="1" x14ac:dyDescent="0.15">
      <c r="A163" s="41">
        <v>15</v>
      </c>
      <c r="B163" s="41" t="s">
        <v>21487</v>
      </c>
      <c r="C163" s="74" t="s">
        <v>21488</v>
      </c>
      <c r="D163" s="72"/>
      <c r="F163" s="57"/>
      <c r="G163" s="72"/>
      <c r="I163" s="57"/>
      <c r="J163" s="72"/>
      <c r="L163" s="57"/>
      <c r="M163" s="114"/>
      <c r="N163" s="49"/>
      <c r="O163" s="50"/>
      <c r="P163" s="299"/>
      <c r="Q163" s="45"/>
      <c r="R163" s="46"/>
      <c r="S163" s="512"/>
      <c r="T163" s="57"/>
      <c r="U163" s="512"/>
      <c r="V163" s="57"/>
      <c r="W163" s="114" t="s">
        <v>17562</v>
      </c>
      <c r="X163" s="49"/>
      <c r="Y163" s="50"/>
      <c r="Z163" s="115"/>
      <c r="AA163" s="72"/>
      <c r="AB163" s="12" t="s">
        <v>398</v>
      </c>
      <c r="AC163" s="13">
        <v>0.2</v>
      </c>
      <c r="AD163" s="57" t="s">
        <v>3575</v>
      </c>
      <c r="AE163" s="208">
        <f>ROUND((ROUND((ROUND((_15_同援日０．５*(1+_15・A深夜)),0)*(1+_15・盲ろう)),0)*(1+_15・区３)),0)+ROUND((ROUND((ROUND((_15_同援日０．５＿１．０*(1+_15・B早朝)),0)*(1+_15・盲ろう)),0)*(1+_15・区３)),0)+ROUND((ROUND((_15_同援日０．５＿１．０＿１．５*(1+_15・盲ろう)),0)*(1+_15・区３)),0)</f>
        <v>1176</v>
      </c>
      <c r="AF163" s="48"/>
    </row>
    <row r="164" spans="1:32" ht="16.5" customHeight="1" x14ac:dyDescent="0.15">
      <c r="A164" s="41">
        <v>15</v>
      </c>
      <c r="B164" s="41" t="s">
        <v>21489</v>
      </c>
      <c r="C164" s="74" t="s">
        <v>21490</v>
      </c>
      <c r="D164" s="72"/>
      <c r="F164" s="57"/>
      <c r="G164" s="72"/>
      <c r="I164" s="57"/>
      <c r="J164" s="72"/>
      <c r="L164" s="57"/>
      <c r="M164" s="269"/>
      <c r="N164" s="37"/>
      <c r="O164" s="38"/>
      <c r="P164" s="299" t="s">
        <v>17556</v>
      </c>
      <c r="Q164" s="45" t="s">
        <v>398</v>
      </c>
      <c r="R164" s="46">
        <v>1</v>
      </c>
      <c r="S164" s="512"/>
      <c r="T164" s="57"/>
      <c r="U164" s="512"/>
      <c r="V164" s="57"/>
      <c r="W164" s="92" t="s">
        <v>17564</v>
      </c>
      <c r="Z164" s="57"/>
      <c r="AA164" s="72"/>
      <c r="AD164" s="57"/>
      <c r="AE164" s="208">
        <f>ROUND((ROUND((ROUND((ROUND((_15_同援日０．５*_15・２人),0)*(1+_15・A深夜)),0)*(1+_15・盲ろう)),0)*(1+_15・区３)),0)+ROUND((ROUND((ROUND((ROUND((_15_同援日０．５＿１．０*_15・２人),0)*(1+_15・B早朝)),0)*(1+_15・盲ろう)),0)*(1+_15・区３)),0)+ROUND((ROUND((ROUND((_15_同援日０．５＿１．０＿１．５*_15・２人),0)*(1+_15・盲ろう)),0)*(1+_15・区３)),0)</f>
        <v>1176</v>
      </c>
      <c r="AF164" s="48"/>
    </row>
    <row r="165" spans="1:32" ht="16.5" customHeight="1" x14ac:dyDescent="0.15">
      <c r="A165" s="41">
        <v>15</v>
      </c>
      <c r="B165" s="41" t="s">
        <v>945</v>
      </c>
      <c r="C165" s="74" t="s">
        <v>21491</v>
      </c>
      <c r="D165" s="72"/>
      <c r="F165" s="57"/>
      <c r="G165" s="72"/>
      <c r="I165" s="57"/>
      <c r="J165" s="72"/>
      <c r="L165" s="57"/>
      <c r="M165" s="114" t="s">
        <v>17558</v>
      </c>
      <c r="N165" s="49"/>
      <c r="O165" s="50"/>
      <c r="P165" s="299"/>
      <c r="Q165" s="45"/>
      <c r="R165" s="46"/>
      <c r="S165" s="512"/>
      <c r="T165" s="57"/>
      <c r="U165" s="512"/>
      <c r="V165" s="57"/>
      <c r="W165" s="92"/>
      <c r="X165" s="12" t="s">
        <v>398</v>
      </c>
      <c r="Y165" s="13">
        <v>0.25</v>
      </c>
      <c r="Z165" s="57" t="s">
        <v>3575</v>
      </c>
      <c r="AA165" s="72"/>
      <c r="AD165" s="57"/>
      <c r="AE165" s="208">
        <f>ROUND((ROUND((ROUND((ROUND((_15_同援日０．５*_15・基礎２),0)*(1+_15・A深夜)),0)*(1+_15・盲ろう)),0)*(1+_15・区３)),0)+ROUND((ROUND((ROUND((ROUND((_15_同援日０．５＿１．０*_15・基礎２),0)*(1+_15・B早朝)),0)*(1+_15・盲ろう)),0)*(1+_15・区３)),0)+ROUND((ROUND((ROUND((_15_同援日０．５＿１．０＿１．５*_15・基礎２),0)*(1+_15・盲ろう)),0)*(1+_15・区３)),0)</f>
        <v>1061</v>
      </c>
      <c r="AF165" s="48"/>
    </row>
    <row r="166" spans="1:32" ht="16.5" customHeight="1" x14ac:dyDescent="0.15">
      <c r="A166" s="41">
        <v>15</v>
      </c>
      <c r="B166" s="41" t="s">
        <v>947</v>
      </c>
      <c r="C166" s="74" t="s">
        <v>21492</v>
      </c>
      <c r="D166" s="72"/>
      <c r="F166" s="57"/>
      <c r="G166" s="72"/>
      <c r="I166" s="57"/>
      <c r="J166" s="72"/>
      <c r="L166" s="57"/>
      <c r="M166" s="269" t="s">
        <v>17560</v>
      </c>
      <c r="N166" s="37" t="s">
        <v>398</v>
      </c>
      <c r="O166" s="38">
        <v>0.9</v>
      </c>
      <c r="P166" s="299" t="s">
        <v>17556</v>
      </c>
      <c r="Q166" s="45" t="s">
        <v>398</v>
      </c>
      <c r="R166" s="46">
        <v>1</v>
      </c>
      <c r="S166" s="512"/>
      <c r="T166" s="57"/>
      <c r="U166" s="512"/>
      <c r="V166" s="57"/>
      <c r="W166" s="269"/>
      <c r="X166" s="37"/>
      <c r="Y166" s="38"/>
      <c r="Z166" s="79"/>
      <c r="AA166" s="269"/>
      <c r="AB166" s="37"/>
      <c r="AC166" s="38"/>
      <c r="AD166" s="79"/>
      <c r="AE166" s="208">
        <f>ROUND((ROUND((ROUND((ROUND((ROUND((_15_同援日０．５*_15・基礎２),0)*_15・２人),0)*(1+_15・A深夜)),0)*(1+_15・盲ろう)),0)*(1+_15・区３)),0)+ROUND((ROUND((ROUND((ROUND((ROUND((_15_同援日０．５＿１．０*_15・基礎２),0)*_15・２人),0)*(1+_15・B早朝)),0)*(1+_15・盲ろう)),0)*(1+_15・区３)),0)+ROUND((ROUND((ROUND((ROUND((_15_同援日０．５＿１．０＿１．５*_15・基礎２),0)*_15・２人),0)*(1+_15・盲ろう)),0)*(1+_15・区３)),0)</f>
        <v>1061</v>
      </c>
      <c r="AF166" s="48"/>
    </row>
    <row r="167" spans="1:32" ht="16.5" customHeight="1" x14ac:dyDescent="0.15">
      <c r="A167" s="41">
        <v>15</v>
      </c>
      <c r="B167" s="41" t="s">
        <v>949</v>
      </c>
      <c r="C167" s="74" t="s">
        <v>21493</v>
      </c>
      <c r="D167" s="72"/>
      <c r="F167" s="57"/>
      <c r="G167" s="72"/>
      <c r="I167" s="57"/>
      <c r="J167" s="72"/>
      <c r="L167" s="57"/>
      <c r="M167" s="114"/>
      <c r="N167" s="49"/>
      <c r="O167" s="50"/>
      <c r="P167" s="299"/>
      <c r="Q167" s="45"/>
      <c r="R167" s="46"/>
      <c r="S167" s="512"/>
      <c r="T167" s="57"/>
      <c r="U167" s="512"/>
      <c r="V167" s="57"/>
      <c r="W167" s="114"/>
      <c r="X167" s="49"/>
      <c r="Y167" s="50"/>
      <c r="Z167" s="115"/>
      <c r="AA167" s="116"/>
      <c r="AB167" s="49"/>
      <c r="AC167" s="50"/>
      <c r="AD167" s="115"/>
      <c r="AE167" s="208">
        <f>ROUND((ROUND((_15_同援日０．５*(1+_15・A深夜)),0)*(1+_15・区４)),0)+ROUND((ROUND((_15_同援日０．５＿１．０*(1+_15・B早朝)),0)*(1+_15・区４)),0)+ROUND((_15_同援日０．５＿１．０＿１．５*(1+_15・区４)),0)</f>
        <v>1098</v>
      </c>
      <c r="AF167" s="48"/>
    </row>
    <row r="168" spans="1:32" ht="16.5" customHeight="1" x14ac:dyDescent="0.15">
      <c r="A168" s="41">
        <v>15</v>
      </c>
      <c r="B168" s="41" t="s">
        <v>951</v>
      </c>
      <c r="C168" s="74" t="s">
        <v>21494</v>
      </c>
      <c r="D168" s="72"/>
      <c r="F168" s="57"/>
      <c r="G168" s="72"/>
      <c r="I168" s="57"/>
      <c r="J168" s="72"/>
      <c r="L168" s="57"/>
      <c r="M168" s="269"/>
      <c r="N168" s="37"/>
      <c r="O168" s="38"/>
      <c r="P168" s="299" t="s">
        <v>17556</v>
      </c>
      <c r="Q168" s="45" t="s">
        <v>398</v>
      </c>
      <c r="R168" s="46">
        <v>1</v>
      </c>
      <c r="S168" s="512"/>
      <c r="T168" s="57"/>
      <c r="U168" s="512"/>
      <c r="V168" s="57"/>
      <c r="W168" s="92"/>
      <c r="Z168" s="57"/>
      <c r="AA168" s="72"/>
      <c r="AD168" s="57"/>
      <c r="AE168" s="208">
        <f>ROUND((ROUND((ROUND((_15_同援日０．５*_15・２人),0)*(1+_15・A深夜)),0)*(1+_15・区４)),0)+ROUND((ROUND((ROUND((_15_同援日０．５＿１．０*_15・２人),0)*(1+_15・B早朝)),0)*(1+_15・区４)),0)+ROUND((ROUND((_15_同援日０．５＿１．０＿１．５*_15・２人),0)*(1+_15・区４)),0)</f>
        <v>1098</v>
      </c>
      <c r="AF168" s="48"/>
    </row>
    <row r="169" spans="1:32" ht="16.5" customHeight="1" x14ac:dyDescent="0.15">
      <c r="A169" s="41">
        <v>15</v>
      </c>
      <c r="B169" s="41" t="s">
        <v>21495</v>
      </c>
      <c r="C169" s="74" t="s">
        <v>21496</v>
      </c>
      <c r="D169" s="72"/>
      <c r="F169" s="57"/>
      <c r="G169" s="72"/>
      <c r="I169" s="57"/>
      <c r="J169" s="72"/>
      <c r="L169" s="57"/>
      <c r="M169" s="114" t="s">
        <v>17558</v>
      </c>
      <c r="N169" s="49"/>
      <c r="O169" s="50"/>
      <c r="P169" s="299"/>
      <c r="Q169" s="45"/>
      <c r="R169" s="46"/>
      <c r="S169" s="512"/>
      <c r="T169" s="57"/>
      <c r="U169" s="512"/>
      <c r="V169" s="57"/>
      <c r="W169" s="92"/>
      <c r="Z169" s="57"/>
      <c r="AA169" s="72" t="s">
        <v>17580</v>
      </c>
      <c r="AD169" s="57"/>
      <c r="AE169" s="208">
        <f>ROUND((ROUND((ROUND((_15_同援日０．５*_15・基礎２),0)*(1+_15・A深夜)),0)*(1+_15・区４)),0)+ROUND((ROUND((ROUND((_15_同援日０．５＿１．０*_15・基礎２),0)*(1+_15・B早朝)),0)*(1+_15・区４)),0)+ROUND((ROUND((_15_同援日０．５＿１．０＿１．５*_15・基礎２),0)*(1+_15・区４)),0)</f>
        <v>990</v>
      </c>
      <c r="AF169" s="48"/>
    </row>
    <row r="170" spans="1:32" ht="16.5" customHeight="1" x14ac:dyDescent="0.15">
      <c r="A170" s="41">
        <v>15</v>
      </c>
      <c r="B170" s="41" t="s">
        <v>21497</v>
      </c>
      <c r="C170" s="74" t="s">
        <v>21498</v>
      </c>
      <c r="D170" s="72"/>
      <c r="F170" s="57"/>
      <c r="G170" s="72"/>
      <c r="I170" s="57"/>
      <c r="J170" s="72"/>
      <c r="L170" s="57"/>
      <c r="M170" s="269" t="s">
        <v>17560</v>
      </c>
      <c r="N170" s="37" t="s">
        <v>398</v>
      </c>
      <c r="O170" s="38">
        <v>0.9</v>
      </c>
      <c r="P170" s="299" t="s">
        <v>17556</v>
      </c>
      <c r="Q170" s="45" t="s">
        <v>398</v>
      </c>
      <c r="R170" s="46">
        <v>1</v>
      </c>
      <c r="S170" s="512"/>
      <c r="T170" s="57"/>
      <c r="U170" s="512"/>
      <c r="V170" s="57"/>
      <c r="W170" s="269"/>
      <c r="X170" s="37"/>
      <c r="Y170" s="38"/>
      <c r="Z170" s="79"/>
      <c r="AA170" s="72" t="s">
        <v>17572</v>
      </c>
      <c r="AD170" s="57"/>
      <c r="AE170" s="208">
        <f>ROUND((ROUND((ROUND((ROUND((_15_同援日０．５*_15・基礎２),0)*_15・２人),0)*(1+_15・A深夜)),0)*(1+_15・区４)),0)+ROUND((ROUND((ROUND((ROUND((_15_同援日０．５＿１．０*_15・基礎２),0)*_15・２人),0)*(1+_15・B早朝)),0)*(1+_15・区４)),0)+ROUND((ROUND((ROUND((_15_同援日０．５＿１．０＿１．５*_15・基礎２),0)*_15・２人),0)*(1+_15・区４)),0)</f>
        <v>990</v>
      </c>
      <c r="AF170" s="48"/>
    </row>
    <row r="171" spans="1:32" ht="16.5" customHeight="1" x14ac:dyDescent="0.15">
      <c r="A171" s="41">
        <v>15</v>
      </c>
      <c r="B171" s="41" t="s">
        <v>21499</v>
      </c>
      <c r="C171" s="74" t="s">
        <v>21500</v>
      </c>
      <c r="D171" s="72"/>
      <c r="F171" s="57"/>
      <c r="G171" s="72"/>
      <c r="I171" s="57"/>
      <c r="J171" s="72"/>
      <c r="L171" s="57"/>
      <c r="M171" s="114"/>
      <c r="N171" s="49"/>
      <c r="O171" s="50"/>
      <c r="P171" s="299"/>
      <c r="Q171" s="45"/>
      <c r="R171" s="46"/>
      <c r="S171" s="512"/>
      <c r="T171" s="57"/>
      <c r="U171" s="512"/>
      <c r="V171" s="57"/>
      <c r="W171" s="114" t="s">
        <v>17562</v>
      </c>
      <c r="X171" s="49"/>
      <c r="Y171" s="50"/>
      <c r="Z171" s="115"/>
      <c r="AA171" s="72"/>
      <c r="AB171" s="12" t="s">
        <v>398</v>
      </c>
      <c r="AC171" s="13">
        <v>0.4</v>
      </c>
      <c r="AD171" s="57" t="s">
        <v>3575</v>
      </c>
      <c r="AE171" s="208">
        <f>ROUND((ROUND((ROUND((_15_同援日０．５*(1+_15・A深夜)),0)*(1+_15・盲ろう)),0)*(1+_15・区４)),0)+ROUND((ROUND((ROUND((_15_同援日０．５＿１．０*(1+_15・B早朝)),0)*(1+_15・盲ろう)),0)*(1+_15・区４)),0)+ROUND((ROUND((_15_同援日０．５＿１．０＿１．５*(1+_15・盲ろう)),0)*(1+_15・区４)),0)</f>
        <v>1372</v>
      </c>
      <c r="AF171" s="48"/>
    </row>
    <row r="172" spans="1:32" ht="16.5" customHeight="1" x14ac:dyDescent="0.15">
      <c r="A172" s="41">
        <v>15</v>
      </c>
      <c r="B172" s="41" t="s">
        <v>21501</v>
      </c>
      <c r="C172" s="74" t="s">
        <v>21502</v>
      </c>
      <c r="D172" s="72"/>
      <c r="F172" s="57"/>
      <c r="G172" s="72"/>
      <c r="I172" s="57"/>
      <c r="J172" s="72"/>
      <c r="L172" s="57"/>
      <c r="M172" s="269"/>
      <c r="N172" s="37"/>
      <c r="O172" s="38"/>
      <c r="P172" s="299" t="s">
        <v>17556</v>
      </c>
      <c r="Q172" s="45" t="s">
        <v>398</v>
      </c>
      <c r="R172" s="46">
        <v>1</v>
      </c>
      <c r="S172" s="512"/>
      <c r="T172" s="57"/>
      <c r="U172" s="512"/>
      <c r="V172" s="57"/>
      <c r="W172" s="92" t="s">
        <v>17564</v>
      </c>
      <c r="Z172" s="57"/>
      <c r="AA172" s="72"/>
      <c r="AD172" s="57"/>
      <c r="AE172" s="208">
        <f>ROUND((ROUND((ROUND((ROUND((_15_同援日０．５*_15・２人),0)*(1+_15・A深夜)),0)*(1+_15・盲ろう)),0)*(1+_15・区４)),0)+ROUND((ROUND((ROUND((ROUND((_15_同援日０．５＿１．０*_15・２人),0)*(1+_15・B早朝)),0)*(1+_15・盲ろう)),0)*(1+_15・区４)),0)+ROUND((ROUND((ROUND((_15_同援日０．５＿１．０＿１．５*_15・２人),0)*(1+_15・盲ろう)),0)*(1+_15・区４)),0)</f>
        <v>1372</v>
      </c>
      <c r="AF172" s="48"/>
    </row>
    <row r="173" spans="1:32" ht="16.5" customHeight="1" x14ac:dyDescent="0.15">
      <c r="A173" s="41">
        <v>15</v>
      </c>
      <c r="B173" s="41" t="s">
        <v>21503</v>
      </c>
      <c r="C173" s="74" t="s">
        <v>21504</v>
      </c>
      <c r="D173" s="72"/>
      <c r="F173" s="57"/>
      <c r="G173" s="72"/>
      <c r="I173" s="57"/>
      <c r="J173" s="72"/>
      <c r="L173" s="57"/>
      <c r="M173" s="114" t="s">
        <v>17558</v>
      </c>
      <c r="N173" s="49"/>
      <c r="O173" s="50"/>
      <c r="P173" s="299"/>
      <c r="Q173" s="45"/>
      <c r="R173" s="46"/>
      <c r="S173" s="512"/>
      <c r="T173" s="57"/>
      <c r="U173" s="512"/>
      <c r="V173" s="57"/>
      <c r="W173" s="92"/>
      <c r="X173" s="12" t="s">
        <v>398</v>
      </c>
      <c r="Y173" s="13">
        <v>0.25</v>
      </c>
      <c r="Z173" s="57" t="s">
        <v>3575</v>
      </c>
      <c r="AA173" s="72"/>
      <c r="AD173" s="57"/>
      <c r="AE173" s="208">
        <f>ROUND((ROUND((ROUND((ROUND((_15_同援日０．５*_15・基礎２),0)*(1+_15・A深夜)),0)*(1+_15・盲ろう)),0)*(1+_15・区４)),0)+ROUND((ROUND((ROUND((ROUND((_15_同援日０．５＿１．０*_15・基礎２),0)*(1+_15・B早朝)),0)*(1+_15・盲ろう)),0)*(1+_15・区４)),0)+ROUND((ROUND((ROUND((_15_同援日０．５＿１．０＿１．５*_15・基礎２),0)*(1+_15・盲ろう)),0)*(1+_15・区４)),0)</f>
        <v>1237</v>
      </c>
      <c r="AF173" s="48"/>
    </row>
    <row r="174" spans="1:32" ht="16.5" customHeight="1" x14ac:dyDescent="0.15">
      <c r="A174" s="41">
        <v>15</v>
      </c>
      <c r="B174" s="41" t="s">
        <v>21505</v>
      </c>
      <c r="C174" s="74" t="s">
        <v>21506</v>
      </c>
      <c r="D174" s="72"/>
      <c r="F174" s="57"/>
      <c r="G174" s="122"/>
      <c r="H174" s="37"/>
      <c r="I174" s="79"/>
      <c r="J174" s="122"/>
      <c r="K174" s="37"/>
      <c r="L174" s="79"/>
      <c r="M174" s="269" t="s">
        <v>17560</v>
      </c>
      <c r="N174" s="37" t="s">
        <v>398</v>
      </c>
      <c r="O174" s="38">
        <v>0.9</v>
      </c>
      <c r="P174" s="299" t="s">
        <v>17556</v>
      </c>
      <c r="Q174" s="45" t="s">
        <v>398</v>
      </c>
      <c r="R174" s="46">
        <v>1</v>
      </c>
      <c r="S174" s="512"/>
      <c r="T174" s="57"/>
      <c r="U174" s="512"/>
      <c r="V174" s="57"/>
      <c r="W174" s="269"/>
      <c r="X174" s="37"/>
      <c r="Y174" s="38"/>
      <c r="Z174" s="79"/>
      <c r="AA174" s="269"/>
      <c r="AB174" s="37"/>
      <c r="AC174" s="38"/>
      <c r="AD174" s="79"/>
      <c r="AE174" s="208">
        <f>ROUND((ROUND((ROUND((ROUND((ROUND((_15_同援日０．５*_15・基礎２),0)*_15・２人),0)*(1+_15・A深夜)),0)*(1+_15・盲ろう)),0)*(1+_15・区４)),0)+ROUND((ROUND((ROUND((ROUND((ROUND((_15_同援日０．５＿１．０*_15・基礎２),0)*_15・２人),0)*(1+_15・B早朝)),0)*(1+_15・盲ろう)),0)*(1+_15・区４)),0)+ROUND((ROUND((ROUND((ROUND((_15_同援日０．５＿１．０＿１．５*_15・基礎２),0)*_15・２人),0)*(1+_15・盲ろう)),0)*(1+_15・区４)),0)</f>
        <v>1237</v>
      </c>
      <c r="AF174" s="48"/>
    </row>
    <row r="175" spans="1:32" ht="16.5" customHeight="1" x14ac:dyDescent="0.15">
      <c r="A175" s="41">
        <v>15</v>
      </c>
      <c r="B175" s="41" t="s">
        <v>21507</v>
      </c>
      <c r="C175" s="74" t="s">
        <v>21508</v>
      </c>
      <c r="D175" s="72"/>
      <c r="F175" s="57"/>
      <c r="G175" s="114" t="s">
        <v>18871</v>
      </c>
      <c r="H175" s="49"/>
      <c r="I175" s="115"/>
      <c r="J175" s="114" t="s">
        <v>19919</v>
      </c>
      <c r="K175" s="49"/>
      <c r="L175" s="115"/>
      <c r="M175" s="114"/>
      <c r="N175" s="49"/>
      <c r="O175" s="50"/>
      <c r="P175" s="299"/>
      <c r="Q175" s="45"/>
      <c r="R175" s="46"/>
      <c r="S175" s="512"/>
      <c r="T175" s="57"/>
      <c r="U175" s="512"/>
      <c r="V175" s="57"/>
      <c r="W175" s="114"/>
      <c r="X175" s="49"/>
      <c r="Y175" s="50"/>
      <c r="Z175" s="115"/>
      <c r="AA175" s="116"/>
      <c r="AB175" s="49"/>
      <c r="AC175" s="50"/>
      <c r="AD175" s="115"/>
      <c r="AE175" s="208">
        <f>ROUND((_15_同援日０．５*(1+_15・A深夜)),0)+ROUND((_15_同援日０．５＿１．５*(1+_15・B早朝)),0)+_15_同援日０．５＿１．５＿０．５</f>
        <v>735</v>
      </c>
      <c r="AF175" s="48"/>
    </row>
    <row r="176" spans="1:32" ht="16.5" customHeight="1" x14ac:dyDescent="0.15">
      <c r="A176" s="41">
        <v>15</v>
      </c>
      <c r="B176" s="41" t="s">
        <v>21509</v>
      </c>
      <c r="C176" s="74" t="s">
        <v>21510</v>
      </c>
      <c r="D176" s="72"/>
      <c r="F176" s="57"/>
      <c r="G176" s="72" t="s">
        <v>17616</v>
      </c>
      <c r="I176" s="57"/>
      <c r="J176" s="72" t="s">
        <v>18259</v>
      </c>
      <c r="L176" s="57"/>
      <c r="M176" s="269"/>
      <c r="N176" s="37"/>
      <c r="O176" s="38"/>
      <c r="P176" s="299" t="s">
        <v>17556</v>
      </c>
      <c r="Q176" s="45" t="s">
        <v>398</v>
      </c>
      <c r="R176" s="46">
        <v>1</v>
      </c>
      <c r="S176" s="512"/>
      <c r="T176" s="57"/>
      <c r="U176" s="512"/>
      <c r="V176" s="57"/>
      <c r="W176" s="92"/>
      <c r="Z176" s="57"/>
      <c r="AA176" s="72"/>
      <c r="AD176" s="57"/>
      <c r="AE176" s="208">
        <f>ROUND((ROUND((_15_同援日０．５*_15・２人),0)*(1+_15・A深夜)),0)+ROUND((ROUND((_15_同援日０．５＿１．５*_15・２人),0)*(1+_15・B早朝)),0)+ROUND((_15_同援日０．５＿１．５＿０．５*_15・２人),0)</f>
        <v>735</v>
      </c>
      <c r="AF176" s="48"/>
    </row>
    <row r="177" spans="1:32" ht="16.5" customHeight="1" x14ac:dyDescent="0.15">
      <c r="A177" s="41">
        <v>15</v>
      </c>
      <c r="B177" s="41" t="s">
        <v>21511</v>
      </c>
      <c r="C177" s="74" t="s">
        <v>21512</v>
      </c>
      <c r="D177" s="72"/>
      <c r="F177" s="57"/>
      <c r="G177" s="72" t="s">
        <v>18183</v>
      </c>
      <c r="I177" s="57"/>
      <c r="J177" s="72"/>
      <c r="L177" s="57"/>
      <c r="M177" s="114" t="s">
        <v>17558</v>
      </c>
      <c r="N177" s="49"/>
      <c r="O177" s="50"/>
      <c r="P177" s="299"/>
      <c r="Q177" s="45"/>
      <c r="R177" s="46"/>
      <c r="S177" s="512"/>
      <c r="T177" s="57"/>
      <c r="U177" s="512"/>
      <c r="V177" s="57"/>
      <c r="W177" s="92"/>
      <c r="Z177" s="57"/>
      <c r="AA177" s="72"/>
      <c r="AD177" s="57"/>
      <c r="AE177" s="208">
        <f>ROUND((ROUND((_15_同援日０．５*_15・基礎２),0)*(1+_15・A深夜)),0)+ROUND((ROUND((_15_同援日０．５＿１．５*_15・基礎２),0)*(1+_15・B早朝)),0)+ROUND((_15_同援日０．５＿１．５＿０．５*_15・基礎２),0)</f>
        <v>662</v>
      </c>
      <c r="AF177" s="48"/>
    </row>
    <row r="178" spans="1:32" ht="16.5" customHeight="1" x14ac:dyDescent="0.15">
      <c r="A178" s="41">
        <v>15</v>
      </c>
      <c r="B178" s="41" t="s">
        <v>21513</v>
      </c>
      <c r="C178" s="74" t="s">
        <v>21514</v>
      </c>
      <c r="D178" s="72"/>
      <c r="F178" s="57"/>
      <c r="G178" s="72"/>
      <c r="H178" s="168">
        <f>_15_同援日０．５＿１．５</f>
        <v>308</v>
      </c>
      <c r="I178" s="57" t="s">
        <v>392</v>
      </c>
      <c r="J178" s="72"/>
      <c r="K178" s="168">
        <f>_15_同援日０．５＿１．５＿０．５</f>
        <v>65</v>
      </c>
      <c r="L178" s="57" t="s">
        <v>392</v>
      </c>
      <c r="M178" s="269" t="s">
        <v>17560</v>
      </c>
      <c r="N178" s="37" t="s">
        <v>398</v>
      </c>
      <c r="O178" s="38">
        <v>0.9</v>
      </c>
      <c r="P178" s="299" t="s">
        <v>17556</v>
      </c>
      <c r="Q178" s="45" t="s">
        <v>398</v>
      </c>
      <c r="R178" s="46">
        <v>1</v>
      </c>
      <c r="S178" s="512"/>
      <c r="T178" s="57"/>
      <c r="U178" s="512"/>
      <c r="V178" s="57"/>
      <c r="W178" s="269"/>
      <c r="X178" s="37"/>
      <c r="Y178" s="38"/>
      <c r="Z178" s="79"/>
      <c r="AA178" s="72"/>
      <c r="AD178" s="57"/>
      <c r="AE178" s="208">
        <f>ROUND((ROUND((ROUND((_15_同援日０．５*_15・基礎２),0)*_15・２人),0)*(1+_15・A深夜)),0)+ROUND((ROUND((ROUND((_15_同援日０．５＿１．５*_15・基礎２),0)*_15・２人),0)*(1+_15・B早朝)),0)+ROUND((ROUND((_15_同援日０．５＿１．５＿０．５*_15・基礎２),0)*_15・２人),0)</f>
        <v>662</v>
      </c>
      <c r="AF178" s="48"/>
    </row>
    <row r="179" spans="1:32" ht="16.5" customHeight="1" x14ac:dyDescent="0.15">
      <c r="A179" s="41">
        <v>15</v>
      </c>
      <c r="B179" s="41" t="s">
        <v>21515</v>
      </c>
      <c r="C179" s="74" t="s">
        <v>21516</v>
      </c>
      <c r="D179" s="72"/>
      <c r="F179" s="57"/>
      <c r="G179" s="72"/>
      <c r="I179" s="57"/>
      <c r="J179" s="72"/>
      <c r="L179" s="57"/>
      <c r="M179" s="114"/>
      <c r="N179" s="49"/>
      <c r="O179" s="50"/>
      <c r="P179" s="299"/>
      <c r="Q179" s="45"/>
      <c r="R179" s="46"/>
      <c r="S179" s="512"/>
      <c r="T179" s="57"/>
      <c r="U179" s="512"/>
      <c r="V179" s="57"/>
      <c r="W179" s="114" t="s">
        <v>17562</v>
      </c>
      <c r="X179" s="49"/>
      <c r="Y179" s="50"/>
      <c r="Z179" s="115"/>
      <c r="AA179" s="72"/>
      <c r="AD179" s="57"/>
      <c r="AE179" s="208">
        <f>ROUND((ROUND((_15_同援日０．５*(1+_15・A深夜)),0)*(1+_15・盲ろう)),0)+ROUND((ROUND((_15_同援日０．５＿１．５*(1+_15・B早朝)),0)*(1+_15・盲ろう)),0)+ROUND((_15_同援日０．５＿１．５＿０．５*(1+_15・盲ろう)),0)</f>
        <v>918</v>
      </c>
      <c r="AF179" s="48"/>
    </row>
    <row r="180" spans="1:32" ht="16.5" customHeight="1" x14ac:dyDescent="0.15">
      <c r="A180" s="41">
        <v>15</v>
      </c>
      <c r="B180" s="41" t="s">
        <v>21517</v>
      </c>
      <c r="C180" s="74" t="s">
        <v>21518</v>
      </c>
      <c r="D180" s="72"/>
      <c r="F180" s="57"/>
      <c r="G180" s="72"/>
      <c r="I180" s="57"/>
      <c r="J180" s="72"/>
      <c r="L180" s="57"/>
      <c r="M180" s="269"/>
      <c r="N180" s="37"/>
      <c r="O180" s="38"/>
      <c r="P180" s="299" t="s">
        <v>17556</v>
      </c>
      <c r="Q180" s="45" t="s">
        <v>398</v>
      </c>
      <c r="R180" s="46">
        <v>1</v>
      </c>
      <c r="S180" s="512"/>
      <c r="T180" s="57"/>
      <c r="U180" s="512"/>
      <c r="V180" s="57"/>
      <c r="W180" s="92" t="s">
        <v>17564</v>
      </c>
      <c r="Z180" s="57"/>
      <c r="AA180" s="72"/>
      <c r="AD180" s="57"/>
      <c r="AE180" s="208">
        <f>ROUND((ROUND((ROUND((_15_同援日０．５*_15・２人),0)*(1+_15・A深夜)),0)*(1+_15・盲ろう)),0)+ROUND((ROUND((ROUND((_15_同援日０．５＿１．５*_15・２人),0)*(1+_15・B早朝)),0)*(1+_15・盲ろう)),0)+ROUND((ROUND((_15_同援日０．５＿１．５＿０．５*_15・２人),0)*(1+_15・盲ろう)),0)</f>
        <v>918</v>
      </c>
      <c r="AF180" s="48"/>
    </row>
    <row r="181" spans="1:32" ht="16.5" customHeight="1" x14ac:dyDescent="0.15">
      <c r="A181" s="41">
        <v>15</v>
      </c>
      <c r="B181" s="41" t="s">
        <v>21519</v>
      </c>
      <c r="C181" s="74" t="s">
        <v>21520</v>
      </c>
      <c r="D181" s="72"/>
      <c r="F181" s="57"/>
      <c r="G181" s="72"/>
      <c r="I181" s="57"/>
      <c r="J181" s="72"/>
      <c r="L181" s="57"/>
      <c r="M181" s="114" t="s">
        <v>17558</v>
      </c>
      <c r="N181" s="49"/>
      <c r="O181" s="50"/>
      <c r="P181" s="299"/>
      <c r="Q181" s="45"/>
      <c r="R181" s="46"/>
      <c r="S181" s="512"/>
      <c r="T181" s="57"/>
      <c r="U181" s="512"/>
      <c r="V181" s="57"/>
      <c r="W181" s="92"/>
      <c r="X181" s="12" t="s">
        <v>398</v>
      </c>
      <c r="Y181" s="13">
        <v>0.25</v>
      </c>
      <c r="Z181" s="57" t="s">
        <v>3575</v>
      </c>
      <c r="AA181" s="72"/>
      <c r="AD181" s="57"/>
      <c r="AE181" s="208">
        <f>ROUND((ROUND((ROUND((_15_同援日０．５*_15・基礎２),0)*(1+_15・A深夜)),0)*(1+_15・盲ろう)),0)+ROUND((ROUND((ROUND((_15_同援日０．５＿１．５*_15・基礎２),0)*(1+_15・B早朝)),0)*(1+_15・盲ろう)),0)+ROUND((ROUND((_15_同援日０．５＿１．５＿０．５*_15・基礎２),0)*(1+_15・盲ろう)),0)</f>
        <v>828</v>
      </c>
      <c r="AF181" s="48"/>
    </row>
    <row r="182" spans="1:32" ht="16.5" customHeight="1" x14ac:dyDescent="0.15">
      <c r="A182" s="41">
        <v>15</v>
      </c>
      <c r="B182" s="41" t="s">
        <v>21521</v>
      </c>
      <c r="C182" s="74" t="s">
        <v>21522</v>
      </c>
      <c r="D182" s="72"/>
      <c r="F182" s="57"/>
      <c r="G182" s="72"/>
      <c r="I182" s="57"/>
      <c r="J182" s="72"/>
      <c r="L182" s="57"/>
      <c r="M182" s="269" t="s">
        <v>17560</v>
      </c>
      <c r="N182" s="37" t="s">
        <v>398</v>
      </c>
      <c r="O182" s="38">
        <v>0.9</v>
      </c>
      <c r="P182" s="299" t="s">
        <v>17556</v>
      </c>
      <c r="Q182" s="45" t="s">
        <v>398</v>
      </c>
      <c r="R182" s="46">
        <v>1</v>
      </c>
      <c r="S182" s="512"/>
      <c r="T182" s="57"/>
      <c r="U182" s="512"/>
      <c r="V182" s="57"/>
      <c r="W182" s="269"/>
      <c r="X182" s="37"/>
      <c r="Y182" s="38"/>
      <c r="Z182" s="79"/>
      <c r="AA182" s="269"/>
      <c r="AB182" s="37"/>
      <c r="AC182" s="38"/>
      <c r="AD182" s="79"/>
      <c r="AE182" s="208">
        <f>ROUND((ROUND((ROUND((ROUND((_15_同援日０．５*_15・基礎２),0)*_15・２人),0)*(1+_15・A深夜)),0)*(1+_15・盲ろう)),0)+ROUND((ROUND((ROUND((ROUND((_15_同援日０．５＿１．５*_15・基礎２),0)*_15・２人),0)*(1+_15・B早朝)),0)*(1+_15・盲ろう)),0)+ROUND((ROUND((ROUND((_15_同援日０．５＿１．５＿０．５*_15・基礎２),0)*_15・２人),0)*(1+_15・盲ろう)),0)</f>
        <v>828</v>
      </c>
      <c r="AF182" s="48"/>
    </row>
    <row r="183" spans="1:32" ht="16.5" customHeight="1" x14ac:dyDescent="0.15">
      <c r="A183" s="41">
        <v>15</v>
      </c>
      <c r="B183" s="41" t="s">
        <v>21523</v>
      </c>
      <c r="C183" s="74" t="s">
        <v>21524</v>
      </c>
      <c r="D183" s="72"/>
      <c r="F183" s="57"/>
      <c r="G183" s="72"/>
      <c r="I183" s="57"/>
      <c r="J183" s="72"/>
      <c r="L183" s="57"/>
      <c r="M183" s="114"/>
      <c r="N183" s="49"/>
      <c r="O183" s="50"/>
      <c r="P183" s="299"/>
      <c r="Q183" s="45"/>
      <c r="R183" s="46"/>
      <c r="S183" s="512"/>
      <c r="T183" s="57"/>
      <c r="U183" s="512"/>
      <c r="V183" s="57"/>
      <c r="W183" s="114"/>
      <c r="X183" s="49"/>
      <c r="Y183" s="50"/>
      <c r="Z183" s="115"/>
      <c r="AA183" s="116"/>
      <c r="AB183" s="49"/>
      <c r="AC183" s="50"/>
      <c r="AD183" s="115"/>
      <c r="AE183" s="208">
        <f>ROUND((ROUND((_15_同援日０．５*(1+_15・A深夜)),0)*(1+_15・区３)),0)+ROUND((ROUND((_15_同援日０．５＿１．５*(1+_15・B早朝)),0)*(1+_15・区３)),0)+ROUND((_15_同援日０．５＿１．５＿０．５*(1+_15・区３)),0)</f>
        <v>882</v>
      </c>
      <c r="AF183" s="48"/>
    </row>
    <row r="184" spans="1:32" ht="16.5" customHeight="1" x14ac:dyDescent="0.15">
      <c r="A184" s="41">
        <v>15</v>
      </c>
      <c r="B184" s="41" t="s">
        <v>21525</v>
      </c>
      <c r="C184" s="74" t="s">
        <v>21526</v>
      </c>
      <c r="D184" s="72"/>
      <c r="F184" s="57"/>
      <c r="G184" s="72"/>
      <c r="I184" s="57"/>
      <c r="J184" s="72"/>
      <c r="L184" s="57"/>
      <c r="M184" s="269"/>
      <c r="N184" s="37"/>
      <c r="O184" s="38"/>
      <c r="P184" s="299" t="s">
        <v>17556</v>
      </c>
      <c r="Q184" s="45" t="s">
        <v>398</v>
      </c>
      <c r="R184" s="46">
        <v>1</v>
      </c>
      <c r="S184" s="512"/>
      <c r="T184" s="57"/>
      <c r="U184" s="512"/>
      <c r="V184" s="57"/>
      <c r="W184" s="92"/>
      <c r="Z184" s="57"/>
      <c r="AA184" s="72"/>
      <c r="AD184" s="57"/>
      <c r="AE184" s="208">
        <f>ROUND((ROUND((ROUND((_15_同援日０．５*_15・２人),0)*(1+_15・A深夜)),0)*(1+_15・区３)),0)+ROUND((ROUND((ROUND((_15_同援日０．５＿１．５*_15・２人),0)*(1+_15・B早朝)),0)*(1+_15・区３)),0)+ROUND((ROUND((_15_同援日０．５＿１．５＿０．５*_15・２人),0)*(1+_15・区３)),0)</f>
        <v>882</v>
      </c>
      <c r="AF184" s="48"/>
    </row>
    <row r="185" spans="1:32" ht="16.5" customHeight="1" x14ac:dyDescent="0.15">
      <c r="A185" s="41">
        <v>15</v>
      </c>
      <c r="B185" s="41" t="s">
        <v>958</v>
      </c>
      <c r="C185" s="74" t="s">
        <v>21527</v>
      </c>
      <c r="D185" s="72"/>
      <c r="F185" s="57"/>
      <c r="G185" s="72"/>
      <c r="I185" s="57"/>
      <c r="J185" s="72"/>
      <c r="L185" s="57"/>
      <c r="M185" s="114" t="s">
        <v>17558</v>
      </c>
      <c r="N185" s="49"/>
      <c r="O185" s="50"/>
      <c r="P185" s="299"/>
      <c r="Q185" s="45"/>
      <c r="R185" s="46"/>
      <c r="S185" s="512"/>
      <c r="T185" s="57"/>
      <c r="U185" s="512"/>
      <c r="V185" s="57"/>
      <c r="W185" s="92"/>
      <c r="Z185" s="57"/>
      <c r="AA185" s="72" t="s">
        <v>17570</v>
      </c>
      <c r="AD185" s="57"/>
      <c r="AE185" s="208">
        <f>ROUND((ROUND((ROUND((_15_同援日０．５*_15・基礎２),0)*(1+_15・A深夜)),0)*(1+_15・区３)),0)+ROUND((ROUND((ROUND((_15_同援日０．５＿１．５*_15・基礎２),0)*(1+_15・B早朝)),0)*(1+_15・区３)),0)+ROUND((ROUND((_15_同援日０．５＿１．５＿０．５*_15・基礎２),0)*(1+_15・区３)),0)</f>
        <v>794</v>
      </c>
      <c r="AF185" s="48"/>
    </row>
    <row r="186" spans="1:32" ht="16.5" customHeight="1" x14ac:dyDescent="0.15">
      <c r="A186" s="41">
        <v>15</v>
      </c>
      <c r="B186" s="41" t="s">
        <v>960</v>
      </c>
      <c r="C186" s="74" t="s">
        <v>21528</v>
      </c>
      <c r="D186" s="72"/>
      <c r="F186" s="57"/>
      <c r="G186" s="72"/>
      <c r="I186" s="57"/>
      <c r="J186" s="72"/>
      <c r="L186" s="57"/>
      <c r="M186" s="269" t="s">
        <v>17560</v>
      </c>
      <c r="N186" s="37" t="s">
        <v>398</v>
      </c>
      <c r="O186" s="38">
        <v>0.9</v>
      </c>
      <c r="P186" s="299" t="s">
        <v>17556</v>
      </c>
      <c r="Q186" s="45" t="s">
        <v>398</v>
      </c>
      <c r="R186" s="46">
        <v>1</v>
      </c>
      <c r="S186" s="512"/>
      <c r="T186" s="57"/>
      <c r="U186" s="512"/>
      <c r="V186" s="57"/>
      <c r="W186" s="269"/>
      <c r="X186" s="37"/>
      <c r="Y186" s="38"/>
      <c r="Z186" s="79"/>
      <c r="AA186" s="72" t="s">
        <v>17572</v>
      </c>
      <c r="AD186" s="57"/>
      <c r="AE186" s="208">
        <f>ROUND((ROUND((ROUND((ROUND((_15_同援日０．５*_15・基礎２),0)*_15・２人),0)*(1+_15・A深夜)),0)*(1+_15・区３)),0)+ROUND((ROUND((ROUND((ROUND((_15_同援日０．５＿１．５*_15・基礎２),0)*_15・２人),0)*(1+_15・B早朝)),0)*(1+_15・区３)),0)+ROUND((ROUND((ROUND((_15_同援日０．５＿１．５＿０．５*_15・基礎２),0)*_15・２人),0)*(1+_15・区３)),0)</f>
        <v>794</v>
      </c>
      <c r="AF186" s="48"/>
    </row>
    <row r="187" spans="1:32" ht="16.5" customHeight="1" x14ac:dyDescent="0.15">
      <c r="A187" s="41">
        <v>15</v>
      </c>
      <c r="B187" s="41" t="s">
        <v>962</v>
      </c>
      <c r="C187" s="74" t="s">
        <v>21529</v>
      </c>
      <c r="D187" s="72"/>
      <c r="F187" s="57"/>
      <c r="G187" s="72"/>
      <c r="I187" s="57"/>
      <c r="J187" s="72"/>
      <c r="L187" s="57"/>
      <c r="M187" s="114"/>
      <c r="N187" s="49"/>
      <c r="O187" s="50"/>
      <c r="P187" s="299"/>
      <c r="Q187" s="45"/>
      <c r="R187" s="46"/>
      <c r="S187" s="512"/>
      <c r="T187" s="57"/>
      <c r="U187" s="512"/>
      <c r="V187" s="57"/>
      <c r="W187" s="114" t="s">
        <v>17562</v>
      </c>
      <c r="X187" s="49"/>
      <c r="Y187" s="50"/>
      <c r="Z187" s="115"/>
      <c r="AA187" s="72"/>
      <c r="AB187" s="12" t="s">
        <v>398</v>
      </c>
      <c r="AC187" s="13">
        <v>0.2</v>
      </c>
      <c r="AD187" s="57" t="s">
        <v>3575</v>
      </c>
      <c r="AE187" s="208">
        <f>ROUND((ROUND((ROUND((_15_同援日０．５*(1+_15・A深夜)),0)*(1+_15・盲ろう)),0)*(1+_15・区３)),0)+ROUND((ROUND((ROUND((_15_同援日０．５＿１．５*(1+_15・B早朝)),0)*(1+_15・盲ろう)),0)*(1+_15・区３)),0)+ROUND((ROUND((_15_同援日０．５＿１．５＿０．５*(1+_15・盲ろう)),0)*(1+_15・区３)),0)</f>
        <v>1101</v>
      </c>
      <c r="AF187" s="48"/>
    </row>
    <row r="188" spans="1:32" ht="16.5" customHeight="1" x14ac:dyDescent="0.15">
      <c r="A188" s="41">
        <v>15</v>
      </c>
      <c r="B188" s="41" t="s">
        <v>964</v>
      </c>
      <c r="C188" s="74" t="s">
        <v>21530</v>
      </c>
      <c r="D188" s="72"/>
      <c r="F188" s="57"/>
      <c r="G188" s="72"/>
      <c r="I188" s="57"/>
      <c r="J188" s="72"/>
      <c r="L188" s="57"/>
      <c r="M188" s="269"/>
      <c r="N188" s="37"/>
      <c r="O188" s="38"/>
      <c r="P188" s="299" t="s">
        <v>17556</v>
      </c>
      <c r="Q188" s="45" t="s">
        <v>398</v>
      </c>
      <c r="R188" s="46">
        <v>1</v>
      </c>
      <c r="S188" s="512"/>
      <c r="T188" s="57"/>
      <c r="U188" s="512"/>
      <c r="V188" s="57"/>
      <c r="W188" s="92" t="s">
        <v>17564</v>
      </c>
      <c r="Z188" s="57"/>
      <c r="AA188" s="72"/>
      <c r="AD188" s="57"/>
      <c r="AE188" s="208">
        <f>ROUND((ROUND((ROUND((ROUND((_15_同援日０．５*_15・２人),0)*(1+_15・A深夜)),0)*(1+_15・盲ろう)),0)*(1+_15・区３)),0)+ROUND((ROUND((ROUND((ROUND((_15_同援日０．５＿１．５*_15・２人),0)*(1+_15・B早朝)),0)*(1+_15・盲ろう)),0)*(1+_15・区３)),0)+ROUND((ROUND((ROUND((_15_同援日０．５＿１．５＿０．５*_15・２人),0)*(1+_15・盲ろう)),0)*(1+_15・区３)),0)</f>
        <v>1101</v>
      </c>
      <c r="AF188" s="48"/>
    </row>
    <row r="189" spans="1:32" ht="16.5" customHeight="1" x14ac:dyDescent="0.15">
      <c r="A189" s="41">
        <v>15</v>
      </c>
      <c r="B189" s="41" t="s">
        <v>21531</v>
      </c>
      <c r="C189" s="74" t="s">
        <v>21532</v>
      </c>
      <c r="D189" s="72"/>
      <c r="F189" s="57"/>
      <c r="G189" s="72"/>
      <c r="I189" s="57"/>
      <c r="J189" s="72"/>
      <c r="L189" s="57"/>
      <c r="M189" s="114" t="s">
        <v>17558</v>
      </c>
      <c r="N189" s="49"/>
      <c r="O189" s="50"/>
      <c r="P189" s="299"/>
      <c r="Q189" s="45"/>
      <c r="R189" s="46"/>
      <c r="S189" s="512"/>
      <c r="T189" s="57"/>
      <c r="U189" s="512"/>
      <c r="V189" s="57"/>
      <c r="W189" s="92"/>
      <c r="X189" s="12" t="s">
        <v>398</v>
      </c>
      <c r="Y189" s="13">
        <v>0.25</v>
      </c>
      <c r="Z189" s="57" t="s">
        <v>3575</v>
      </c>
      <c r="AA189" s="72"/>
      <c r="AD189" s="57"/>
      <c r="AE189" s="208">
        <f>ROUND((ROUND((ROUND((ROUND((_15_同援日０．５*_15・基礎２),0)*(1+_15・A深夜)),0)*(1+_15・盲ろう)),0)*(1+_15・区３)),0)+ROUND((ROUND((ROUND((ROUND((_15_同援日０．５＿１．５*_15・基礎２),0)*(1+_15・B早朝)),0)*(1+_15・盲ろう)),0)*(1+_15・区３)),0)+ROUND((ROUND((ROUND((_15_同援日０．５＿１．５＿０．５*_15・基礎２),0)*(1+_15・盲ろう)),0)*(1+_15・区３)),0)</f>
        <v>994</v>
      </c>
      <c r="AF189" s="48"/>
    </row>
    <row r="190" spans="1:32" ht="16.5" customHeight="1" x14ac:dyDescent="0.15">
      <c r="A190" s="41">
        <v>15</v>
      </c>
      <c r="B190" s="41" t="s">
        <v>21533</v>
      </c>
      <c r="C190" s="74" t="s">
        <v>21534</v>
      </c>
      <c r="D190" s="72"/>
      <c r="F190" s="57"/>
      <c r="G190" s="72"/>
      <c r="I190" s="57"/>
      <c r="J190" s="72"/>
      <c r="L190" s="57"/>
      <c r="M190" s="269" t="s">
        <v>17560</v>
      </c>
      <c r="N190" s="37" t="s">
        <v>398</v>
      </c>
      <c r="O190" s="38">
        <v>0.9</v>
      </c>
      <c r="P190" s="299" t="s">
        <v>17556</v>
      </c>
      <c r="Q190" s="45" t="s">
        <v>398</v>
      </c>
      <c r="R190" s="46">
        <v>1</v>
      </c>
      <c r="S190" s="512"/>
      <c r="T190" s="57"/>
      <c r="U190" s="512"/>
      <c r="V190" s="57"/>
      <c r="W190" s="269"/>
      <c r="X190" s="37"/>
      <c r="Y190" s="38"/>
      <c r="Z190" s="79"/>
      <c r="AA190" s="269"/>
      <c r="AB190" s="37"/>
      <c r="AC190" s="38"/>
      <c r="AD190" s="79"/>
      <c r="AE190" s="208">
        <f>ROUND((ROUND((ROUND((ROUND((ROUND((_15_同援日０．５*_15・基礎２),0)*_15・２人),0)*(1+_15・A深夜)),0)*(1+_15・盲ろう)),0)*(1+_15・区３)),0)+ROUND((ROUND((ROUND((ROUND((ROUND((_15_同援日０．５＿１．５*_15・基礎２),0)*_15・２人),0)*(1+_15・B早朝)),0)*(1+_15・盲ろう)),0)*(1+_15・区３)),0)+ROUND((ROUND((ROUND((ROUND((_15_同援日０．５＿１．５＿０．５*_15・基礎２),0)*_15・２人),0)*(1+_15・盲ろう)),0)*(1+_15・区３)),0)</f>
        <v>994</v>
      </c>
      <c r="AF190" s="48"/>
    </row>
    <row r="191" spans="1:32" ht="16.5" customHeight="1" x14ac:dyDescent="0.15">
      <c r="A191" s="41">
        <v>15</v>
      </c>
      <c r="B191" s="41" t="s">
        <v>21535</v>
      </c>
      <c r="C191" s="74" t="s">
        <v>21536</v>
      </c>
      <c r="D191" s="72"/>
      <c r="F191" s="57"/>
      <c r="G191" s="72"/>
      <c r="I191" s="57"/>
      <c r="J191" s="72"/>
      <c r="L191" s="57"/>
      <c r="M191" s="114"/>
      <c r="N191" s="49"/>
      <c r="O191" s="50"/>
      <c r="P191" s="299"/>
      <c r="Q191" s="45"/>
      <c r="R191" s="46"/>
      <c r="S191" s="512"/>
      <c r="T191" s="57"/>
      <c r="U191" s="512"/>
      <c r="V191" s="57"/>
      <c r="W191" s="114"/>
      <c r="X191" s="49"/>
      <c r="Y191" s="50"/>
      <c r="Z191" s="115"/>
      <c r="AA191" s="116"/>
      <c r="AB191" s="49"/>
      <c r="AC191" s="50"/>
      <c r="AD191" s="115"/>
      <c r="AE191" s="208">
        <f>ROUND((ROUND((_15_同援日０．５*(1+_15・A深夜)),0)*(1+_15・区４)),0)+ROUND((ROUND((_15_同援日０．５＿１．５*(1+_15・B早朝)),0)*(1+_15・区４)),0)+ROUND((_15_同援日０．５＿１．５＿０．５*(1+_15・区４)),0)</f>
        <v>1029</v>
      </c>
      <c r="AF191" s="48"/>
    </row>
    <row r="192" spans="1:32" ht="16.5" customHeight="1" x14ac:dyDescent="0.15">
      <c r="A192" s="41">
        <v>15</v>
      </c>
      <c r="B192" s="41" t="s">
        <v>21537</v>
      </c>
      <c r="C192" s="74" t="s">
        <v>21538</v>
      </c>
      <c r="D192" s="72"/>
      <c r="F192" s="57"/>
      <c r="G192" s="72"/>
      <c r="I192" s="57"/>
      <c r="J192" s="72"/>
      <c r="L192" s="57"/>
      <c r="M192" s="269"/>
      <c r="N192" s="37"/>
      <c r="O192" s="38"/>
      <c r="P192" s="299" t="s">
        <v>17556</v>
      </c>
      <c r="Q192" s="45" t="s">
        <v>398</v>
      </c>
      <c r="R192" s="46">
        <v>1</v>
      </c>
      <c r="S192" s="512"/>
      <c r="T192" s="57"/>
      <c r="U192" s="512"/>
      <c r="V192" s="57"/>
      <c r="W192" s="92"/>
      <c r="Z192" s="57"/>
      <c r="AA192" s="72"/>
      <c r="AD192" s="57"/>
      <c r="AE192" s="208">
        <f>ROUND((ROUND((ROUND((_15_同援日０．５*_15・２人),0)*(1+_15・A深夜)),0)*(1+_15・区４)),0)+ROUND((ROUND((ROUND((_15_同援日０．５＿１．５*_15・２人),0)*(1+_15・B早朝)),0)*(1+_15・区４)),0)+ROUND((ROUND((_15_同援日０．５＿１．５＿０．５*_15・２人),0)*(1+_15・区４)),0)</f>
        <v>1029</v>
      </c>
      <c r="AF192" s="48"/>
    </row>
    <row r="193" spans="1:32" ht="16.5" customHeight="1" x14ac:dyDescent="0.15">
      <c r="A193" s="41">
        <v>15</v>
      </c>
      <c r="B193" s="41" t="s">
        <v>21539</v>
      </c>
      <c r="C193" s="74" t="s">
        <v>21540</v>
      </c>
      <c r="D193" s="72"/>
      <c r="F193" s="57"/>
      <c r="G193" s="72"/>
      <c r="I193" s="57"/>
      <c r="J193" s="72"/>
      <c r="L193" s="57"/>
      <c r="M193" s="114" t="s">
        <v>17558</v>
      </c>
      <c r="N193" s="49"/>
      <c r="O193" s="50"/>
      <c r="P193" s="299"/>
      <c r="Q193" s="45"/>
      <c r="R193" s="46"/>
      <c r="S193" s="512"/>
      <c r="T193" s="57"/>
      <c r="U193" s="512"/>
      <c r="V193" s="57"/>
      <c r="W193" s="92"/>
      <c r="Z193" s="57"/>
      <c r="AA193" s="72" t="s">
        <v>17580</v>
      </c>
      <c r="AD193" s="57"/>
      <c r="AE193" s="208">
        <f>ROUND((ROUND((ROUND((_15_同援日０．５*_15・基礎２),0)*(1+_15・A深夜)),0)*(1+_15・区４)),0)+ROUND((ROUND((ROUND((_15_同援日０．５＿１．５*_15・基礎２),0)*(1+_15・B早朝)),0)*(1+_15・区４)),0)+ROUND((ROUND((_15_同援日０．５＿１．５＿０．５*_15・基礎２),0)*(1+_15・区４)),0)</f>
        <v>927</v>
      </c>
      <c r="AF193" s="48"/>
    </row>
    <row r="194" spans="1:32" ht="16.5" customHeight="1" x14ac:dyDescent="0.15">
      <c r="A194" s="41">
        <v>15</v>
      </c>
      <c r="B194" s="41" t="s">
        <v>21541</v>
      </c>
      <c r="C194" s="74" t="s">
        <v>21542</v>
      </c>
      <c r="D194" s="72"/>
      <c r="F194" s="57"/>
      <c r="G194" s="72"/>
      <c r="I194" s="57"/>
      <c r="J194" s="72"/>
      <c r="L194" s="57"/>
      <c r="M194" s="269" t="s">
        <v>17560</v>
      </c>
      <c r="N194" s="37" t="s">
        <v>398</v>
      </c>
      <c r="O194" s="38">
        <v>0.9</v>
      </c>
      <c r="P194" s="299" t="s">
        <v>17556</v>
      </c>
      <c r="Q194" s="45" t="s">
        <v>398</v>
      </c>
      <c r="R194" s="46">
        <v>1</v>
      </c>
      <c r="S194" s="512"/>
      <c r="T194" s="57"/>
      <c r="U194" s="512"/>
      <c r="V194" s="57"/>
      <c r="W194" s="269"/>
      <c r="X194" s="37"/>
      <c r="Y194" s="38"/>
      <c r="Z194" s="79"/>
      <c r="AA194" s="72" t="s">
        <v>17572</v>
      </c>
      <c r="AD194" s="57"/>
      <c r="AE194" s="208">
        <f>ROUND((ROUND((ROUND((ROUND((_15_同援日０．５*_15・基礎２),0)*_15・２人),0)*(1+_15・A深夜)),0)*(1+_15・区４)),0)+ROUND((ROUND((ROUND((ROUND((_15_同援日０．５＿１．５*_15・基礎２),0)*_15・２人),0)*(1+_15・B早朝)),0)*(1+_15・区４)),0)+ROUND((ROUND((ROUND((_15_同援日０．５＿１．５＿０．５*_15・基礎２),0)*_15・２人),0)*(1+_15・区４)),0)</f>
        <v>927</v>
      </c>
      <c r="AF194" s="48"/>
    </row>
    <row r="195" spans="1:32" ht="16.5" customHeight="1" x14ac:dyDescent="0.15">
      <c r="A195" s="41">
        <v>15</v>
      </c>
      <c r="B195" s="41" t="s">
        <v>21543</v>
      </c>
      <c r="C195" s="74" t="s">
        <v>21544</v>
      </c>
      <c r="D195" s="72"/>
      <c r="F195" s="57"/>
      <c r="G195" s="72"/>
      <c r="I195" s="57"/>
      <c r="J195" s="72"/>
      <c r="L195" s="57"/>
      <c r="M195" s="114"/>
      <c r="N195" s="49"/>
      <c r="O195" s="50"/>
      <c r="P195" s="299"/>
      <c r="Q195" s="45"/>
      <c r="R195" s="46"/>
      <c r="S195" s="512"/>
      <c r="T195" s="57"/>
      <c r="U195" s="512"/>
      <c r="V195" s="57"/>
      <c r="W195" s="114" t="s">
        <v>17562</v>
      </c>
      <c r="X195" s="49"/>
      <c r="Y195" s="50"/>
      <c r="Z195" s="115"/>
      <c r="AA195" s="72"/>
      <c r="AB195" s="12" t="s">
        <v>398</v>
      </c>
      <c r="AC195" s="13">
        <v>0.4</v>
      </c>
      <c r="AD195" s="57" t="s">
        <v>3575</v>
      </c>
      <c r="AE195" s="208">
        <f>ROUND((ROUND((ROUND((_15_同援日０．５*(1+_15・A深夜)),0)*(1+_15・盲ろう)),0)*(1+_15・区４)),0)+ROUND((ROUND((ROUND((_15_同援日０．５＿１．５*(1+_15・B早朝)),0)*(1+_15・盲ろう)),0)*(1+_15・区４)),0)+ROUND((ROUND((_15_同援日０．５＿１．５＿０．５*(1+_15・盲ろう)),0)*(1+_15・区４)),0)</f>
        <v>1284</v>
      </c>
      <c r="AF195" s="48"/>
    </row>
    <row r="196" spans="1:32" ht="16.5" customHeight="1" x14ac:dyDescent="0.15">
      <c r="A196" s="41">
        <v>15</v>
      </c>
      <c r="B196" s="41" t="s">
        <v>21545</v>
      </c>
      <c r="C196" s="74" t="s">
        <v>21546</v>
      </c>
      <c r="D196" s="72"/>
      <c r="F196" s="57"/>
      <c r="G196" s="72"/>
      <c r="I196" s="57"/>
      <c r="J196" s="72"/>
      <c r="L196" s="57"/>
      <c r="M196" s="269"/>
      <c r="N196" s="37"/>
      <c r="O196" s="38"/>
      <c r="P196" s="299" t="s">
        <v>17556</v>
      </c>
      <c r="Q196" s="45" t="s">
        <v>398</v>
      </c>
      <c r="R196" s="46">
        <v>1</v>
      </c>
      <c r="S196" s="512"/>
      <c r="T196" s="57"/>
      <c r="U196" s="512"/>
      <c r="V196" s="57"/>
      <c r="W196" s="92" t="s">
        <v>17564</v>
      </c>
      <c r="Z196" s="57"/>
      <c r="AA196" s="72"/>
      <c r="AD196" s="57"/>
      <c r="AE196" s="208">
        <f>ROUND((ROUND((ROUND((ROUND((_15_同援日０．５*_15・２人),0)*(1+_15・A深夜)),0)*(1+_15・盲ろう)),0)*(1+_15・区４)),0)+ROUND((ROUND((ROUND((ROUND((_15_同援日０．５＿１．５*_15・２人),0)*(1+_15・B早朝)),0)*(1+_15・盲ろう)),0)*(1+_15・区４)),0)+ROUND((ROUND((ROUND((_15_同援日０．５＿１．５＿０．５*_15・２人),0)*(1+_15・盲ろう)),0)*(1+_15・区４)),0)</f>
        <v>1284</v>
      </c>
      <c r="AF196" s="48"/>
    </row>
    <row r="197" spans="1:32" ht="16.5" customHeight="1" x14ac:dyDescent="0.15">
      <c r="A197" s="41">
        <v>15</v>
      </c>
      <c r="B197" s="41" t="s">
        <v>21547</v>
      </c>
      <c r="C197" s="74" t="s">
        <v>21548</v>
      </c>
      <c r="D197" s="72"/>
      <c r="F197" s="57"/>
      <c r="G197" s="72"/>
      <c r="I197" s="57"/>
      <c r="J197" s="72"/>
      <c r="L197" s="57"/>
      <c r="M197" s="114" t="s">
        <v>17558</v>
      </c>
      <c r="N197" s="49"/>
      <c r="O197" s="50"/>
      <c r="P197" s="299"/>
      <c r="Q197" s="45"/>
      <c r="R197" s="46"/>
      <c r="S197" s="512"/>
      <c r="T197" s="57"/>
      <c r="U197" s="512"/>
      <c r="V197" s="57"/>
      <c r="W197" s="92"/>
      <c r="X197" s="12" t="s">
        <v>398</v>
      </c>
      <c r="Y197" s="13">
        <v>0.25</v>
      </c>
      <c r="Z197" s="57" t="s">
        <v>3575</v>
      </c>
      <c r="AA197" s="72"/>
      <c r="AD197" s="57"/>
      <c r="AE197" s="208">
        <f>ROUND((ROUND((ROUND((ROUND((_15_同援日０．５*_15・基礎２),0)*(1+_15・A深夜)),0)*(1+_15・盲ろう)),0)*(1+_15・区４)),0)+ROUND((ROUND((ROUND((ROUND((_15_同援日０．５＿１．５*_15・基礎２),0)*(1+_15・B早朝)),0)*(1+_15・盲ろう)),0)*(1+_15・区４)),0)+ROUND((ROUND((ROUND((_15_同援日０．５＿１．５＿０．５*_15・基礎２),0)*(1+_15・盲ろう)),0)*(1+_15・区４)),0)</f>
        <v>1159</v>
      </c>
      <c r="AF197" s="48"/>
    </row>
    <row r="198" spans="1:32" ht="16.5" customHeight="1" x14ac:dyDescent="0.15">
      <c r="A198" s="41">
        <v>15</v>
      </c>
      <c r="B198" s="41" t="s">
        <v>21549</v>
      </c>
      <c r="C198" s="74" t="s">
        <v>21550</v>
      </c>
      <c r="D198" s="72"/>
      <c r="F198" s="57"/>
      <c r="G198" s="72"/>
      <c r="I198" s="57"/>
      <c r="J198" s="122"/>
      <c r="K198" s="37"/>
      <c r="L198" s="79"/>
      <c r="M198" s="269" t="s">
        <v>17560</v>
      </c>
      <c r="N198" s="37" t="s">
        <v>398</v>
      </c>
      <c r="O198" s="38">
        <v>0.9</v>
      </c>
      <c r="P198" s="299" t="s">
        <v>17556</v>
      </c>
      <c r="Q198" s="45" t="s">
        <v>398</v>
      </c>
      <c r="R198" s="46">
        <v>1</v>
      </c>
      <c r="S198" s="512"/>
      <c r="T198" s="57"/>
      <c r="U198" s="512"/>
      <c r="V198" s="57"/>
      <c r="W198" s="269"/>
      <c r="X198" s="37"/>
      <c r="Y198" s="38"/>
      <c r="Z198" s="79"/>
      <c r="AA198" s="269"/>
      <c r="AB198" s="37"/>
      <c r="AC198" s="38"/>
      <c r="AD198" s="79"/>
      <c r="AE198" s="208">
        <f>ROUND((ROUND((ROUND((ROUND((ROUND((_15_同援日０．５*_15・基礎２),0)*_15・２人),0)*(1+_15・A深夜)),0)*(1+_15・盲ろう)),0)*(1+_15・区４)),0)+ROUND((ROUND((ROUND((ROUND((ROUND((_15_同援日０．５＿１．５*_15・基礎２),0)*_15・２人),0)*(1+_15・B早朝)),0)*(1+_15・盲ろう)),0)*(1+_15・区４)),0)+ROUND((ROUND((ROUND((ROUND((_15_同援日０．５＿１．５＿０．５*_15・基礎２),0)*_15・２人),0)*(1+_15・盲ろう)),0)*(1+_15・区４)),0)</f>
        <v>1159</v>
      </c>
      <c r="AF198" s="48"/>
    </row>
    <row r="199" spans="1:32" ht="16.5" customHeight="1" x14ac:dyDescent="0.15">
      <c r="A199" s="41">
        <v>15</v>
      </c>
      <c r="B199" s="41" t="s">
        <v>21551</v>
      </c>
      <c r="C199" s="74" t="s">
        <v>21552</v>
      </c>
      <c r="D199" s="72"/>
      <c r="F199" s="57"/>
      <c r="G199" s="72"/>
      <c r="I199" s="57"/>
      <c r="J199" s="114" t="s">
        <v>21246</v>
      </c>
      <c r="K199" s="49"/>
      <c r="L199" s="115"/>
      <c r="M199" s="114"/>
      <c r="N199" s="49"/>
      <c r="O199" s="50"/>
      <c r="P199" s="299"/>
      <c r="Q199" s="45"/>
      <c r="R199" s="46"/>
      <c r="S199" s="512"/>
      <c r="T199" s="57"/>
      <c r="U199" s="512"/>
      <c r="V199" s="57"/>
      <c r="W199" s="114"/>
      <c r="X199" s="49"/>
      <c r="Y199" s="50"/>
      <c r="Z199" s="115"/>
      <c r="AA199" s="116"/>
      <c r="AB199" s="49"/>
      <c r="AC199" s="50"/>
      <c r="AD199" s="115"/>
      <c r="AE199" s="208">
        <f>ROUND((_15_同援日０．５*(1+_15・A深夜)),0)+ROUND((_15_同援日０．５＿１．５*(1+_15・B早朝)),0)+_15_同援日０．５＿１．５＿１．０</f>
        <v>800</v>
      </c>
      <c r="AF199" s="48"/>
    </row>
    <row r="200" spans="1:32" ht="16.5" customHeight="1" x14ac:dyDescent="0.15">
      <c r="A200" s="41">
        <v>15</v>
      </c>
      <c r="B200" s="41" t="s">
        <v>21553</v>
      </c>
      <c r="C200" s="74" t="s">
        <v>21554</v>
      </c>
      <c r="D200" s="72"/>
      <c r="F200" s="57"/>
      <c r="G200" s="72"/>
      <c r="I200" s="57"/>
      <c r="J200" s="72" t="s">
        <v>17589</v>
      </c>
      <c r="L200" s="57"/>
      <c r="M200" s="269"/>
      <c r="N200" s="37"/>
      <c r="O200" s="38"/>
      <c r="P200" s="299" t="s">
        <v>17556</v>
      </c>
      <c r="Q200" s="45" t="s">
        <v>398</v>
      </c>
      <c r="R200" s="46">
        <v>1</v>
      </c>
      <c r="S200" s="512"/>
      <c r="T200" s="57"/>
      <c r="U200" s="512"/>
      <c r="V200" s="57"/>
      <c r="W200" s="92"/>
      <c r="Z200" s="57"/>
      <c r="AA200" s="72"/>
      <c r="AD200" s="57"/>
      <c r="AE200" s="208">
        <f>ROUND((ROUND((_15_同援日０．５*_15・２人),0)*(1+_15・A深夜)),0)+ROUND((ROUND((_15_同援日０．５＿１．５*_15・２人),0)*(1+_15・B早朝)),0)+ROUND((_15_同援日０．５＿１．５＿１．０*_15・２人),0)</f>
        <v>800</v>
      </c>
      <c r="AF200" s="48"/>
    </row>
    <row r="201" spans="1:32" ht="16.5" customHeight="1" x14ac:dyDescent="0.15">
      <c r="A201" s="41">
        <v>15</v>
      </c>
      <c r="B201" s="41" t="s">
        <v>21555</v>
      </c>
      <c r="C201" s="74" t="s">
        <v>21556</v>
      </c>
      <c r="D201" s="72"/>
      <c r="F201" s="57"/>
      <c r="G201" s="72"/>
      <c r="I201" s="57"/>
      <c r="J201" s="72" t="s">
        <v>17591</v>
      </c>
      <c r="L201" s="57"/>
      <c r="M201" s="114" t="s">
        <v>17558</v>
      </c>
      <c r="N201" s="49"/>
      <c r="O201" s="50"/>
      <c r="P201" s="299"/>
      <c r="Q201" s="45"/>
      <c r="R201" s="46"/>
      <c r="S201" s="512"/>
      <c r="T201" s="57"/>
      <c r="U201" s="512"/>
      <c r="V201" s="57"/>
      <c r="W201" s="92"/>
      <c r="Z201" s="57"/>
      <c r="AA201" s="72"/>
      <c r="AD201" s="57"/>
      <c r="AE201" s="208">
        <f>ROUND((ROUND((_15_同援日０．５*_15・基礎２),0)*(1+_15・A深夜)),0)+ROUND((ROUND((_15_同援日０．５＿１．５*_15・基礎２),0)*(1+_15・B早朝)),0)+ROUND((_15_同援日０．５＿１．５＿１．０*_15・基礎２),0)</f>
        <v>720</v>
      </c>
      <c r="AF201" s="48"/>
    </row>
    <row r="202" spans="1:32" ht="16.5" customHeight="1" x14ac:dyDescent="0.15">
      <c r="A202" s="41">
        <v>15</v>
      </c>
      <c r="B202" s="41" t="s">
        <v>21557</v>
      </c>
      <c r="C202" s="74" t="s">
        <v>21558</v>
      </c>
      <c r="D202" s="72"/>
      <c r="F202" s="57"/>
      <c r="G202" s="72"/>
      <c r="I202" s="57"/>
      <c r="J202" s="72"/>
      <c r="K202" s="168">
        <f>_15_同援日０．５＿１．５＿１．０</f>
        <v>130</v>
      </c>
      <c r="L202" s="57" t="s">
        <v>392</v>
      </c>
      <c r="M202" s="269" t="s">
        <v>17560</v>
      </c>
      <c r="N202" s="37" t="s">
        <v>398</v>
      </c>
      <c r="O202" s="38">
        <v>0.9</v>
      </c>
      <c r="P202" s="299" t="s">
        <v>17556</v>
      </c>
      <c r="Q202" s="45" t="s">
        <v>398</v>
      </c>
      <c r="R202" s="46">
        <v>1</v>
      </c>
      <c r="S202" s="512"/>
      <c r="T202" s="57"/>
      <c r="U202" s="512"/>
      <c r="V202" s="57"/>
      <c r="W202" s="269"/>
      <c r="X202" s="37"/>
      <c r="Y202" s="38"/>
      <c r="Z202" s="79"/>
      <c r="AA202" s="72"/>
      <c r="AD202" s="57"/>
      <c r="AE202" s="208">
        <f>ROUND((ROUND((ROUND((_15_同援日０．５*_15・基礎２),0)*_15・２人),0)*(1+_15・A深夜)),0)+ROUND((ROUND((ROUND((_15_同援日０．５＿１．５*_15・基礎２),0)*_15・２人),0)*(1+_15・B早朝)),0)+ROUND((ROUND((_15_同援日０．５＿１．５＿１．０*_15・基礎２),0)*_15・２人),0)</f>
        <v>720</v>
      </c>
      <c r="AF202" s="48"/>
    </row>
    <row r="203" spans="1:32" ht="16.5" customHeight="1" x14ac:dyDescent="0.15">
      <c r="A203" s="41">
        <v>15</v>
      </c>
      <c r="B203" s="41" t="s">
        <v>21559</v>
      </c>
      <c r="C203" s="74" t="s">
        <v>21560</v>
      </c>
      <c r="D203" s="72"/>
      <c r="F203" s="57"/>
      <c r="G203" s="72"/>
      <c r="I203" s="57"/>
      <c r="J203" s="72"/>
      <c r="L203" s="57"/>
      <c r="M203" s="114"/>
      <c r="N203" s="49"/>
      <c r="O203" s="50"/>
      <c r="P203" s="299"/>
      <c r="Q203" s="45"/>
      <c r="R203" s="46"/>
      <c r="S203" s="512"/>
      <c r="T203" s="57"/>
      <c r="U203" s="512"/>
      <c r="V203" s="57"/>
      <c r="W203" s="114" t="s">
        <v>17562</v>
      </c>
      <c r="X203" s="49"/>
      <c r="Y203" s="50"/>
      <c r="Z203" s="115"/>
      <c r="AA203" s="72"/>
      <c r="AD203" s="57"/>
      <c r="AE203" s="208">
        <f>ROUND((ROUND((_15_同援日０．５*(1+_15・A深夜)),0)*(1+_15・盲ろう)),0)+ROUND((ROUND((_15_同援日０．５＿１．５*(1+_15・B早朝)),0)*(1+_15・盲ろう)),0)+ROUND((_15_同援日０．５＿１．５＿１．０*(1+_15・盲ろう)),0)</f>
        <v>1000</v>
      </c>
      <c r="AF203" s="48"/>
    </row>
    <row r="204" spans="1:32" ht="16.5" customHeight="1" x14ac:dyDescent="0.15">
      <c r="A204" s="41">
        <v>15</v>
      </c>
      <c r="B204" s="41" t="s">
        <v>21561</v>
      </c>
      <c r="C204" s="74" t="s">
        <v>21562</v>
      </c>
      <c r="D204" s="72"/>
      <c r="F204" s="57"/>
      <c r="G204" s="72"/>
      <c r="I204" s="57"/>
      <c r="J204" s="72"/>
      <c r="L204" s="57"/>
      <c r="M204" s="269"/>
      <c r="N204" s="37"/>
      <c r="O204" s="38"/>
      <c r="P204" s="299" t="s">
        <v>17556</v>
      </c>
      <c r="Q204" s="45" t="s">
        <v>398</v>
      </c>
      <c r="R204" s="46">
        <v>1</v>
      </c>
      <c r="S204" s="512"/>
      <c r="T204" s="57"/>
      <c r="U204" s="512"/>
      <c r="V204" s="57"/>
      <c r="W204" s="92" t="s">
        <v>17564</v>
      </c>
      <c r="Z204" s="57"/>
      <c r="AA204" s="72"/>
      <c r="AD204" s="57"/>
      <c r="AE204" s="208">
        <f>ROUND((ROUND((ROUND((_15_同援日０．５*_15・２人),0)*(1+_15・A深夜)),0)*(1+_15・盲ろう)),0)+ROUND((ROUND((ROUND((_15_同援日０．５＿１．５*_15・２人),0)*(1+_15・B早朝)),0)*(1+_15・盲ろう)),0)+ROUND((ROUND((_15_同援日０．５＿１．５＿１．０*_15・２人),0)*(1+_15・盲ろう)),0)</f>
        <v>1000</v>
      </c>
      <c r="AF204" s="48"/>
    </row>
    <row r="205" spans="1:32" ht="16.5" customHeight="1" x14ac:dyDescent="0.15">
      <c r="A205" s="41">
        <v>15</v>
      </c>
      <c r="B205" s="41" t="s">
        <v>971</v>
      </c>
      <c r="C205" s="74" t="s">
        <v>21563</v>
      </c>
      <c r="D205" s="72"/>
      <c r="F205" s="57"/>
      <c r="G205" s="72"/>
      <c r="I205" s="57"/>
      <c r="J205" s="72"/>
      <c r="L205" s="57"/>
      <c r="M205" s="114" t="s">
        <v>17558</v>
      </c>
      <c r="N205" s="49"/>
      <c r="O205" s="50"/>
      <c r="P205" s="299"/>
      <c r="Q205" s="45"/>
      <c r="R205" s="46"/>
      <c r="S205" s="512"/>
      <c r="T205" s="57"/>
      <c r="U205" s="512"/>
      <c r="V205" s="57"/>
      <c r="W205" s="92"/>
      <c r="X205" s="12" t="s">
        <v>398</v>
      </c>
      <c r="Y205" s="13">
        <v>0.25</v>
      </c>
      <c r="Z205" s="57" t="s">
        <v>3575</v>
      </c>
      <c r="AA205" s="72"/>
      <c r="AD205" s="57"/>
      <c r="AE205" s="208">
        <f>ROUND((ROUND((ROUND((_15_同援日０．５*_15・基礎２),0)*(1+_15・A深夜)),0)*(1+_15・盲ろう)),0)+ROUND((ROUND((ROUND((_15_同援日０．５＿１．５*_15・基礎２),0)*(1+_15・B早朝)),0)*(1+_15・盲ろう)),0)+ROUND((ROUND((_15_同援日０．５＿１．５＿１．０*_15・基礎２),0)*(1+_15・盲ろう)),0)</f>
        <v>900</v>
      </c>
      <c r="AF205" s="48"/>
    </row>
    <row r="206" spans="1:32" ht="16.5" customHeight="1" x14ac:dyDescent="0.15">
      <c r="A206" s="41">
        <v>15</v>
      </c>
      <c r="B206" s="41" t="s">
        <v>973</v>
      </c>
      <c r="C206" s="74" t="s">
        <v>21564</v>
      </c>
      <c r="D206" s="72"/>
      <c r="F206" s="57"/>
      <c r="G206" s="72"/>
      <c r="I206" s="57"/>
      <c r="J206" s="72"/>
      <c r="L206" s="57"/>
      <c r="M206" s="269" t="s">
        <v>17560</v>
      </c>
      <c r="N206" s="37" t="s">
        <v>398</v>
      </c>
      <c r="O206" s="38">
        <v>0.9</v>
      </c>
      <c r="P206" s="299" t="s">
        <v>17556</v>
      </c>
      <c r="Q206" s="45" t="s">
        <v>398</v>
      </c>
      <c r="R206" s="46">
        <v>1</v>
      </c>
      <c r="S206" s="512"/>
      <c r="T206" s="57"/>
      <c r="U206" s="512"/>
      <c r="V206" s="57"/>
      <c r="W206" s="269"/>
      <c r="X206" s="37"/>
      <c r="Y206" s="38"/>
      <c r="Z206" s="79"/>
      <c r="AA206" s="269"/>
      <c r="AB206" s="37"/>
      <c r="AC206" s="38"/>
      <c r="AD206" s="79"/>
      <c r="AE206" s="208">
        <f>ROUND((ROUND((ROUND((ROUND((_15_同援日０．５*_15・基礎２),0)*_15・２人),0)*(1+_15・A深夜)),0)*(1+_15・盲ろう)),0)+ROUND((ROUND((ROUND((ROUND((_15_同援日０．５＿１．５*_15・基礎２),0)*_15・２人),0)*(1+_15・B早朝)),0)*(1+_15・盲ろう)),0)+ROUND((ROUND((ROUND((_15_同援日０．５＿１．５＿１．０*_15・基礎２),0)*_15・２人),0)*(1+_15・盲ろう)),0)</f>
        <v>900</v>
      </c>
      <c r="AF206" s="48"/>
    </row>
    <row r="207" spans="1:32" ht="16.5" customHeight="1" x14ac:dyDescent="0.15">
      <c r="A207" s="41">
        <v>15</v>
      </c>
      <c r="B207" s="41" t="s">
        <v>975</v>
      </c>
      <c r="C207" s="74" t="s">
        <v>21565</v>
      </c>
      <c r="D207" s="72"/>
      <c r="F207" s="57"/>
      <c r="G207" s="72"/>
      <c r="I207" s="57"/>
      <c r="J207" s="72"/>
      <c r="L207" s="57"/>
      <c r="M207" s="114"/>
      <c r="N207" s="49"/>
      <c r="O207" s="50"/>
      <c r="P207" s="299"/>
      <c r="Q207" s="45"/>
      <c r="R207" s="46"/>
      <c r="S207" s="512"/>
      <c r="T207" s="57"/>
      <c r="U207" s="512"/>
      <c r="V207" s="57"/>
      <c r="W207" s="114"/>
      <c r="X207" s="49"/>
      <c r="Y207" s="50"/>
      <c r="Z207" s="115"/>
      <c r="AA207" s="116"/>
      <c r="AB207" s="49"/>
      <c r="AC207" s="50"/>
      <c r="AD207" s="115"/>
      <c r="AE207" s="208">
        <f>ROUND((ROUND((_15_同援日０．５*(1+_15・A深夜)),0)*(1+_15・区３)),0)+ROUND((ROUND((_15_同援日０．５＿１．５*(1+_15・B早朝)),0)*(1+_15・区３)),0)+ROUND((_15_同援日０．５＿１．５＿１．０*(1+_15・区３)),0)</f>
        <v>960</v>
      </c>
      <c r="AF207" s="48"/>
    </row>
    <row r="208" spans="1:32" ht="16.5" customHeight="1" x14ac:dyDescent="0.15">
      <c r="A208" s="41">
        <v>15</v>
      </c>
      <c r="B208" s="41" t="s">
        <v>977</v>
      </c>
      <c r="C208" s="74" t="s">
        <v>21566</v>
      </c>
      <c r="D208" s="72"/>
      <c r="F208" s="57"/>
      <c r="G208" s="72"/>
      <c r="I208" s="57"/>
      <c r="J208" s="72"/>
      <c r="L208" s="57"/>
      <c r="M208" s="269"/>
      <c r="N208" s="37"/>
      <c r="O208" s="38"/>
      <c r="P208" s="299" t="s">
        <v>17556</v>
      </c>
      <c r="Q208" s="45" t="s">
        <v>398</v>
      </c>
      <c r="R208" s="46">
        <v>1</v>
      </c>
      <c r="S208" s="512"/>
      <c r="T208" s="57"/>
      <c r="U208" s="512"/>
      <c r="V208" s="57"/>
      <c r="W208" s="92"/>
      <c r="Z208" s="57"/>
      <c r="AA208" s="72"/>
      <c r="AD208" s="57"/>
      <c r="AE208" s="208">
        <f>ROUND((ROUND((ROUND((_15_同援日０．５*_15・２人),0)*(1+_15・A深夜)),0)*(1+_15・区３)),0)+ROUND((ROUND((ROUND((_15_同援日０．５＿１．５*_15・２人),0)*(1+_15・B早朝)),0)*(1+_15・区３)),0)+ROUND((ROUND((_15_同援日０．５＿１．５＿１．０*_15・２人),0)*(1+_15・区３)),0)</f>
        <v>960</v>
      </c>
      <c r="AF208" s="48"/>
    </row>
    <row r="209" spans="1:32" ht="16.5" customHeight="1" x14ac:dyDescent="0.15">
      <c r="A209" s="41">
        <v>15</v>
      </c>
      <c r="B209" s="41" t="s">
        <v>21567</v>
      </c>
      <c r="C209" s="74" t="s">
        <v>21568</v>
      </c>
      <c r="D209" s="72"/>
      <c r="F209" s="57"/>
      <c r="G209" s="72"/>
      <c r="I209" s="57"/>
      <c r="J209" s="72"/>
      <c r="L209" s="57"/>
      <c r="M209" s="114" t="s">
        <v>17558</v>
      </c>
      <c r="N209" s="49"/>
      <c r="O209" s="50"/>
      <c r="P209" s="299"/>
      <c r="Q209" s="45"/>
      <c r="R209" s="46"/>
      <c r="S209" s="512"/>
      <c r="T209" s="57"/>
      <c r="U209" s="512"/>
      <c r="V209" s="57"/>
      <c r="W209" s="92"/>
      <c r="Z209" s="57"/>
      <c r="AA209" s="72" t="s">
        <v>17570</v>
      </c>
      <c r="AD209" s="57"/>
      <c r="AE209" s="208">
        <f>ROUND((ROUND((ROUND((_15_同援日０．５*_15・基礎２),0)*(1+_15・A深夜)),0)*(1+_15・区３)),0)+ROUND((ROUND((ROUND((_15_同援日０．５＿１．５*_15・基礎２),0)*(1+_15・B早朝)),0)*(1+_15・区３)),0)+ROUND((ROUND((_15_同援日０．５＿１．５＿１．０*_15・基礎２),0)*(1+_15・区３)),0)</f>
        <v>863</v>
      </c>
      <c r="AF209" s="48"/>
    </row>
    <row r="210" spans="1:32" ht="16.5" customHeight="1" x14ac:dyDescent="0.15">
      <c r="A210" s="41">
        <v>15</v>
      </c>
      <c r="B210" s="41" t="s">
        <v>21569</v>
      </c>
      <c r="C210" s="74" t="s">
        <v>21570</v>
      </c>
      <c r="D210" s="72"/>
      <c r="F210" s="57"/>
      <c r="G210" s="72"/>
      <c r="I210" s="57"/>
      <c r="J210" s="72"/>
      <c r="L210" s="57"/>
      <c r="M210" s="269" t="s">
        <v>17560</v>
      </c>
      <c r="N210" s="37" t="s">
        <v>398</v>
      </c>
      <c r="O210" s="38">
        <v>0.9</v>
      </c>
      <c r="P210" s="299" t="s">
        <v>17556</v>
      </c>
      <c r="Q210" s="45" t="s">
        <v>398</v>
      </c>
      <c r="R210" s="46">
        <v>1</v>
      </c>
      <c r="S210" s="512"/>
      <c r="T210" s="57"/>
      <c r="U210" s="512"/>
      <c r="V210" s="57"/>
      <c r="W210" s="269"/>
      <c r="X210" s="37"/>
      <c r="Y210" s="38"/>
      <c r="Z210" s="79"/>
      <c r="AA210" s="72" t="s">
        <v>17572</v>
      </c>
      <c r="AD210" s="57"/>
      <c r="AE210" s="208">
        <f>ROUND((ROUND((ROUND((ROUND((_15_同援日０．５*_15・基礎２),0)*_15・２人),0)*(1+_15・A深夜)),0)*(1+_15・区３)),0)+ROUND((ROUND((ROUND((ROUND((_15_同援日０．５＿１．５*_15・基礎２),0)*_15・２人),0)*(1+_15・B早朝)),0)*(1+_15・区３)),0)+ROUND((ROUND((ROUND((_15_同援日０．５＿１．５＿１．０*_15・基礎２),0)*_15・２人),0)*(1+_15・区３)),0)</f>
        <v>863</v>
      </c>
      <c r="AF210" s="48"/>
    </row>
    <row r="211" spans="1:32" ht="16.5" customHeight="1" x14ac:dyDescent="0.15">
      <c r="A211" s="41">
        <v>15</v>
      </c>
      <c r="B211" s="41" t="s">
        <v>21571</v>
      </c>
      <c r="C211" s="74" t="s">
        <v>21572</v>
      </c>
      <c r="D211" s="72"/>
      <c r="F211" s="57"/>
      <c r="G211" s="72"/>
      <c r="I211" s="57"/>
      <c r="J211" s="72"/>
      <c r="L211" s="57"/>
      <c r="M211" s="114"/>
      <c r="N211" s="49"/>
      <c r="O211" s="50"/>
      <c r="P211" s="299"/>
      <c r="Q211" s="45"/>
      <c r="R211" s="46"/>
      <c r="S211" s="512"/>
      <c r="T211" s="57"/>
      <c r="U211" s="512"/>
      <c r="V211" s="57"/>
      <c r="W211" s="114" t="s">
        <v>17562</v>
      </c>
      <c r="X211" s="49"/>
      <c r="Y211" s="50"/>
      <c r="Z211" s="115"/>
      <c r="AA211" s="72"/>
      <c r="AB211" s="12" t="s">
        <v>398</v>
      </c>
      <c r="AC211" s="13">
        <v>0.2</v>
      </c>
      <c r="AD211" s="57" t="s">
        <v>3575</v>
      </c>
      <c r="AE211" s="208">
        <f>ROUND((ROUND((ROUND((_15_同援日０．５*(1+_15・A深夜)),0)*(1+_15・盲ろう)),0)*(1+_15・区３)),0)+ROUND((ROUND((ROUND((_15_同援日０．５＿１．５*(1+_15・B早朝)),0)*(1+_15・盲ろう)),0)*(1+_15・区３)),0)+ROUND((ROUND((_15_同援日０．５＿１．５＿１．０*(1+_15・盲ろう)),0)*(1+_15・区３)),0)</f>
        <v>1200</v>
      </c>
      <c r="AF211" s="48"/>
    </row>
    <row r="212" spans="1:32" ht="16.5" customHeight="1" x14ac:dyDescent="0.15">
      <c r="A212" s="41">
        <v>15</v>
      </c>
      <c r="B212" s="41" t="s">
        <v>21573</v>
      </c>
      <c r="C212" s="74" t="s">
        <v>21574</v>
      </c>
      <c r="D212" s="72"/>
      <c r="F212" s="57"/>
      <c r="G212" s="72"/>
      <c r="I212" s="57"/>
      <c r="J212" s="72"/>
      <c r="L212" s="57"/>
      <c r="M212" s="269"/>
      <c r="N212" s="37"/>
      <c r="O212" s="38"/>
      <c r="P212" s="299" t="s">
        <v>17556</v>
      </c>
      <c r="Q212" s="45" t="s">
        <v>398</v>
      </c>
      <c r="R212" s="46">
        <v>1</v>
      </c>
      <c r="S212" s="512"/>
      <c r="T212" s="57"/>
      <c r="U212" s="512"/>
      <c r="V212" s="57"/>
      <c r="W212" s="92" t="s">
        <v>17564</v>
      </c>
      <c r="Z212" s="57"/>
      <c r="AA212" s="72"/>
      <c r="AD212" s="57"/>
      <c r="AE212" s="208">
        <f>ROUND((ROUND((ROUND((ROUND((_15_同援日０．５*_15・２人),0)*(1+_15・A深夜)),0)*(1+_15・盲ろう)),0)*(1+_15・区３)),0)+ROUND((ROUND((ROUND((ROUND((_15_同援日０．５＿１．５*_15・２人),0)*(1+_15・B早朝)),0)*(1+_15・盲ろう)),0)*(1+_15・区３)),0)+ROUND((ROUND((ROUND((_15_同援日０．５＿１．５＿１．０*_15・２人),0)*(1+_15・盲ろう)),0)*(1+_15・区３)),0)</f>
        <v>1200</v>
      </c>
      <c r="AF212" s="48"/>
    </row>
    <row r="213" spans="1:32" ht="16.5" customHeight="1" x14ac:dyDescent="0.15">
      <c r="A213" s="41">
        <v>15</v>
      </c>
      <c r="B213" s="41" t="s">
        <v>21575</v>
      </c>
      <c r="C213" s="74" t="s">
        <v>21576</v>
      </c>
      <c r="D213" s="72"/>
      <c r="F213" s="57"/>
      <c r="G213" s="72"/>
      <c r="I213" s="57"/>
      <c r="J213" s="72"/>
      <c r="L213" s="57"/>
      <c r="M213" s="114" t="s">
        <v>17558</v>
      </c>
      <c r="N213" s="49"/>
      <c r="O213" s="50"/>
      <c r="P213" s="299"/>
      <c r="Q213" s="45"/>
      <c r="R213" s="46"/>
      <c r="S213" s="512"/>
      <c r="T213" s="57"/>
      <c r="U213" s="512"/>
      <c r="V213" s="57"/>
      <c r="W213" s="92"/>
      <c r="X213" s="12" t="s">
        <v>398</v>
      </c>
      <c r="Y213" s="13">
        <v>0.25</v>
      </c>
      <c r="Z213" s="57" t="s">
        <v>3575</v>
      </c>
      <c r="AA213" s="72"/>
      <c r="AD213" s="57"/>
      <c r="AE213" s="208">
        <f>ROUND((ROUND((ROUND((ROUND((_15_同援日０．５*_15・基礎２),0)*(1+_15・A深夜)),0)*(1+_15・盲ろう)),0)*(1+_15・区３)),0)+ROUND((ROUND((ROUND((ROUND((_15_同援日０．５＿１．５*_15・基礎２),0)*(1+_15・B早朝)),0)*(1+_15・盲ろう)),0)*(1+_15・区３)),0)+ROUND((ROUND((ROUND((_15_同援日０．５＿１．５＿１．０*_15・基礎２),0)*(1+_15・盲ろう)),0)*(1+_15・区３)),0)</f>
        <v>1080</v>
      </c>
      <c r="AF213" s="48"/>
    </row>
    <row r="214" spans="1:32" ht="16.5" customHeight="1" x14ac:dyDescent="0.15">
      <c r="A214" s="41">
        <v>15</v>
      </c>
      <c r="B214" s="41" t="s">
        <v>21577</v>
      </c>
      <c r="C214" s="74" t="s">
        <v>21578</v>
      </c>
      <c r="D214" s="72"/>
      <c r="F214" s="57"/>
      <c r="G214" s="72"/>
      <c r="I214" s="57"/>
      <c r="J214" s="72"/>
      <c r="L214" s="57"/>
      <c r="M214" s="269" t="s">
        <v>17560</v>
      </c>
      <c r="N214" s="37" t="s">
        <v>398</v>
      </c>
      <c r="O214" s="38">
        <v>0.9</v>
      </c>
      <c r="P214" s="299" t="s">
        <v>17556</v>
      </c>
      <c r="Q214" s="45" t="s">
        <v>398</v>
      </c>
      <c r="R214" s="46">
        <v>1</v>
      </c>
      <c r="S214" s="512"/>
      <c r="T214" s="57"/>
      <c r="U214" s="512"/>
      <c r="V214" s="57"/>
      <c r="W214" s="269"/>
      <c r="X214" s="37"/>
      <c r="Y214" s="38"/>
      <c r="Z214" s="79"/>
      <c r="AA214" s="269"/>
      <c r="AB214" s="37"/>
      <c r="AC214" s="38"/>
      <c r="AD214" s="79"/>
      <c r="AE214" s="208">
        <f>ROUND((ROUND((ROUND((ROUND((ROUND((_15_同援日０．５*_15・基礎２),0)*_15・２人),0)*(1+_15・A深夜)),0)*(1+_15・盲ろう)),0)*(1+_15・区３)),0)+ROUND((ROUND((ROUND((ROUND((ROUND((_15_同援日０．５＿１．５*_15・基礎２),0)*_15・２人),0)*(1+_15・B早朝)),0)*(1+_15・盲ろう)),0)*(1+_15・区３)),0)+ROUND((ROUND((ROUND((ROUND((_15_同援日０．５＿１．５＿１．０*_15・基礎２),0)*_15・２人),0)*(1+_15・盲ろう)),0)*(1+_15・区３)),0)</f>
        <v>1080</v>
      </c>
      <c r="AF214" s="48"/>
    </row>
    <row r="215" spans="1:32" ht="16.5" customHeight="1" x14ac:dyDescent="0.15">
      <c r="A215" s="41">
        <v>15</v>
      </c>
      <c r="B215" s="41" t="s">
        <v>21579</v>
      </c>
      <c r="C215" s="74" t="s">
        <v>21580</v>
      </c>
      <c r="D215" s="72"/>
      <c r="F215" s="57"/>
      <c r="G215" s="72"/>
      <c r="I215" s="57"/>
      <c r="J215" s="72"/>
      <c r="L215" s="57"/>
      <c r="M215" s="114"/>
      <c r="N215" s="49"/>
      <c r="O215" s="50"/>
      <c r="P215" s="299"/>
      <c r="Q215" s="45"/>
      <c r="R215" s="46"/>
      <c r="S215" s="512"/>
      <c r="T215" s="57"/>
      <c r="U215" s="512"/>
      <c r="V215" s="57"/>
      <c r="W215" s="114"/>
      <c r="X215" s="49"/>
      <c r="Y215" s="50"/>
      <c r="Z215" s="115"/>
      <c r="AA215" s="116"/>
      <c r="AB215" s="49"/>
      <c r="AC215" s="50"/>
      <c r="AD215" s="115"/>
      <c r="AE215" s="208">
        <f>ROUND((ROUND((_15_同援日０．５*(1+_15・A深夜)),0)*(1+_15・区４)),0)+ROUND((ROUND((_15_同援日０．５＿１．５*(1+_15・B早朝)),0)*(1+_15・区４)),0)+ROUND((_15_同援日０．５＿１．５＿１．０*(1+_15・区４)),0)</f>
        <v>1120</v>
      </c>
      <c r="AF215" s="48"/>
    </row>
    <row r="216" spans="1:32" ht="16.5" customHeight="1" x14ac:dyDescent="0.15">
      <c r="A216" s="41">
        <v>15</v>
      </c>
      <c r="B216" s="41" t="s">
        <v>21581</v>
      </c>
      <c r="C216" s="74" t="s">
        <v>21582</v>
      </c>
      <c r="D216" s="72"/>
      <c r="F216" s="57"/>
      <c r="G216" s="72"/>
      <c r="I216" s="57"/>
      <c r="J216" s="72"/>
      <c r="L216" s="57"/>
      <c r="M216" s="269"/>
      <c r="N216" s="37"/>
      <c r="O216" s="38"/>
      <c r="P216" s="299" t="s">
        <v>17556</v>
      </c>
      <c r="Q216" s="45" t="s">
        <v>398</v>
      </c>
      <c r="R216" s="46">
        <v>1</v>
      </c>
      <c r="S216" s="512"/>
      <c r="T216" s="57"/>
      <c r="U216" s="512"/>
      <c r="V216" s="57"/>
      <c r="W216" s="92"/>
      <c r="Z216" s="57"/>
      <c r="AA216" s="72"/>
      <c r="AD216" s="57"/>
      <c r="AE216" s="208">
        <f>ROUND((ROUND((ROUND((_15_同援日０．５*_15・２人),0)*(1+_15・A深夜)),0)*(1+_15・区４)),0)+ROUND((ROUND((ROUND((_15_同援日０．５＿１．５*_15・２人),0)*(1+_15・B早朝)),0)*(1+_15・区４)),0)+ROUND((ROUND((_15_同援日０．５＿１．５＿１．０*_15・２人),0)*(1+_15・区４)),0)</f>
        <v>1120</v>
      </c>
      <c r="AF216" s="48"/>
    </row>
    <row r="217" spans="1:32" ht="16.5" customHeight="1" x14ac:dyDescent="0.15">
      <c r="A217" s="41">
        <v>15</v>
      </c>
      <c r="B217" s="41" t="s">
        <v>21583</v>
      </c>
      <c r="C217" s="74" t="s">
        <v>21584</v>
      </c>
      <c r="D217" s="72"/>
      <c r="F217" s="57"/>
      <c r="G217" s="72"/>
      <c r="I217" s="57"/>
      <c r="J217" s="72"/>
      <c r="L217" s="57"/>
      <c r="M217" s="114" t="s">
        <v>17558</v>
      </c>
      <c r="N217" s="49"/>
      <c r="O217" s="50"/>
      <c r="P217" s="299"/>
      <c r="Q217" s="45"/>
      <c r="R217" s="46"/>
      <c r="S217" s="512"/>
      <c r="T217" s="57"/>
      <c r="U217" s="512"/>
      <c r="V217" s="57"/>
      <c r="W217" s="92"/>
      <c r="Z217" s="57"/>
      <c r="AA217" s="72" t="s">
        <v>17580</v>
      </c>
      <c r="AD217" s="57"/>
      <c r="AE217" s="208">
        <f>ROUND((ROUND((ROUND((_15_同援日０．５*_15・基礎２),0)*(1+_15・A深夜)),0)*(1+_15・区４)),0)+ROUND((ROUND((ROUND((_15_同援日０．５＿１．５*_15・基礎２),0)*(1+_15・B早朝)),0)*(1+_15・区４)),0)+ROUND((ROUND((_15_同援日０．５＿１．５＿１．０*_15・基礎２),0)*(1+_15・区４)),0)</f>
        <v>1008</v>
      </c>
      <c r="AF217" s="48"/>
    </row>
    <row r="218" spans="1:32" ht="16.5" customHeight="1" x14ac:dyDescent="0.15">
      <c r="A218" s="41">
        <v>15</v>
      </c>
      <c r="B218" s="41" t="s">
        <v>21585</v>
      </c>
      <c r="C218" s="74" t="s">
        <v>21586</v>
      </c>
      <c r="D218" s="72"/>
      <c r="F218" s="57"/>
      <c r="G218" s="72"/>
      <c r="I218" s="57"/>
      <c r="J218" s="72"/>
      <c r="L218" s="57"/>
      <c r="M218" s="269" t="s">
        <v>17560</v>
      </c>
      <c r="N218" s="37" t="s">
        <v>398</v>
      </c>
      <c r="O218" s="38">
        <v>0.9</v>
      </c>
      <c r="P218" s="299" t="s">
        <v>17556</v>
      </c>
      <c r="Q218" s="45" t="s">
        <v>398</v>
      </c>
      <c r="R218" s="46">
        <v>1</v>
      </c>
      <c r="S218" s="512"/>
      <c r="T218" s="57"/>
      <c r="U218" s="512"/>
      <c r="V218" s="57"/>
      <c r="W218" s="269"/>
      <c r="X218" s="37"/>
      <c r="Y218" s="38"/>
      <c r="Z218" s="79"/>
      <c r="AA218" s="72" t="s">
        <v>17572</v>
      </c>
      <c r="AD218" s="57"/>
      <c r="AE218" s="208">
        <f>ROUND((ROUND((ROUND((ROUND((_15_同援日０．５*_15・基礎２),0)*_15・２人),0)*(1+_15・A深夜)),0)*(1+_15・区４)),0)+ROUND((ROUND((ROUND((ROUND((_15_同援日０．５＿１．５*_15・基礎２),0)*_15・２人),0)*(1+_15・B早朝)),0)*(1+_15・区４)),0)+ROUND((ROUND((ROUND((_15_同援日０．５＿１．５＿１．０*_15・基礎２),0)*_15・２人),0)*(1+_15・区４)),0)</f>
        <v>1008</v>
      </c>
      <c r="AF218" s="48"/>
    </row>
    <row r="219" spans="1:32" ht="16.5" customHeight="1" x14ac:dyDescent="0.15">
      <c r="A219" s="41">
        <v>15</v>
      </c>
      <c r="B219" s="41" t="s">
        <v>21587</v>
      </c>
      <c r="C219" s="74" t="s">
        <v>21588</v>
      </c>
      <c r="D219" s="72"/>
      <c r="F219" s="57"/>
      <c r="G219" s="72"/>
      <c r="I219" s="57"/>
      <c r="J219" s="72"/>
      <c r="L219" s="57"/>
      <c r="M219" s="114"/>
      <c r="N219" s="49"/>
      <c r="O219" s="50"/>
      <c r="P219" s="299"/>
      <c r="Q219" s="45"/>
      <c r="R219" s="46"/>
      <c r="S219" s="512"/>
      <c r="T219" s="57"/>
      <c r="U219" s="512"/>
      <c r="V219" s="57"/>
      <c r="W219" s="114" t="s">
        <v>17562</v>
      </c>
      <c r="X219" s="49"/>
      <c r="Y219" s="50"/>
      <c r="Z219" s="115"/>
      <c r="AA219" s="72"/>
      <c r="AB219" s="12" t="s">
        <v>398</v>
      </c>
      <c r="AC219" s="13">
        <v>0.4</v>
      </c>
      <c r="AD219" s="57" t="s">
        <v>3575</v>
      </c>
      <c r="AE219" s="208">
        <f>ROUND((ROUND((ROUND((_15_同援日０．５*(1+_15・A深夜)),0)*(1+_15・盲ろう)),0)*(1+_15・区４)),0)+ROUND((ROUND((ROUND((_15_同援日０．５＿１．５*(1+_15・B早朝)),0)*(1+_15・盲ろう)),0)*(1+_15・区４)),0)+ROUND((ROUND((_15_同援日０．５＿１．５＿１．０*(1+_15・盲ろう)),0)*(1+_15・区４)),0)</f>
        <v>1399</v>
      </c>
      <c r="AF219" s="48"/>
    </row>
    <row r="220" spans="1:32" ht="16.5" customHeight="1" x14ac:dyDescent="0.15">
      <c r="A220" s="41">
        <v>15</v>
      </c>
      <c r="B220" s="41" t="s">
        <v>21589</v>
      </c>
      <c r="C220" s="74" t="s">
        <v>21590</v>
      </c>
      <c r="D220" s="72"/>
      <c r="F220" s="57"/>
      <c r="G220" s="72"/>
      <c r="I220" s="57"/>
      <c r="J220" s="72"/>
      <c r="L220" s="57"/>
      <c r="M220" s="269"/>
      <c r="N220" s="37"/>
      <c r="O220" s="38"/>
      <c r="P220" s="299" t="s">
        <v>17556</v>
      </c>
      <c r="Q220" s="45" t="s">
        <v>398</v>
      </c>
      <c r="R220" s="46">
        <v>1</v>
      </c>
      <c r="S220" s="512"/>
      <c r="T220" s="57"/>
      <c r="U220" s="512"/>
      <c r="V220" s="57"/>
      <c r="W220" s="92" t="s">
        <v>17564</v>
      </c>
      <c r="Z220" s="57"/>
      <c r="AA220" s="72"/>
      <c r="AD220" s="57"/>
      <c r="AE220" s="208">
        <f>ROUND((ROUND((ROUND((ROUND((_15_同援日０．５*_15・２人),0)*(1+_15・A深夜)),0)*(1+_15・盲ろう)),0)*(1+_15・区４)),0)+ROUND((ROUND((ROUND((ROUND((_15_同援日０．５＿１．５*_15・２人),0)*(1+_15・B早朝)),0)*(1+_15・盲ろう)),0)*(1+_15・区４)),0)+ROUND((ROUND((ROUND((_15_同援日０．５＿１．５＿１．０*_15・２人),0)*(1+_15・盲ろう)),0)*(1+_15・区４)),0)</f>
        <v>1399</v>
      </c>
      <c r="AF220" s="48"/>
    </row>
    <row r="221" spans="1:32" ht="16.5" customHeight="1" x14ac:dyDescent="0.15">
      <c r="A221" s="41">
        <v>15</v>
      </c>
      <c r="B221" s="41" t="s">
        <v>21591</v>
      </c>
      <c r="C221" s="74" t="s">
        <v>21592</v>
      </c>
      <c r="D221" s="72"/>
      <c r="F221" s="57"/>
      <c r="G221" s="72"/>
      <c r="I221" s="57"/>
      <c r="J221" s="72"/>
      <c r="L221" s="57"/>
      <c r="M221" s="114" t="s">
        <v>17558</v>
      </c>
      <c r="N221" s="49"/>
      <c r="O221" s="50"/>
      <c r="P221" s="299"/>
      <c r="Q221" s="45"/>
      <c r="R221" s="46"/>
      <c r="S221" s="512"/>
      <c r="T221" s="57"/>
      <c r="U221" s="512"/>
      <c r="V221" s="57"/>
      <c r="W221" s="92"/>
      <c r="X221" s="12" t="s">
        <v>398</v>
      </c>
      <c r="Y221" s="13">
        <v>0.25</v>
      </c>
      <c r="Z221" s="57" t="s">
        <v>3575</v>
      </c>
      <c r="AA221" s="72"/>
      <c r="AD221" s="57"/>
      <c r="AE221" s="208">
        <f>ROUND((ROUND((ROUND((ROUND((_15_同援日０．５*_15・基礎２),0)*(1+_15・A深夜)),0)*(1+_15・盲ろう)),0)*(1+_15・区４)),0)+ROUND((ROUND((ROUND((ROUND((_15_同援日０．５＿１．５*_15・基礎２),0)*(1+_15・B早朝)),0)*(1+_15・盲ろう)),0)*(1+_15・区４)),0)+ROUND((ROUND((ROUND((_15_同援日０．５＿１．５＿１．０*_15・基礎２),0)*(1+_15・盲ろう)),0)*(1+_15・区４)),0)</f>
        <v>1259</v>
      </c>
      <c r="AF221" s="48"/>
    </row>
    <row r="222" spans="1:32" ht="16.5" customHeight="1" x14ac:dyDescent="0.15">
      <c r="A222" s="41">
        <v>15</v>
      </c>
      <c r="B222" s="41" t="s">
        <v>21593</v>
      </c>
      <c r="C222" s="74" t="s">
        <v>21594</v>
      </c>
      <c r="D222" s="122"/>
      <c r="E222" s="37"/>
      <c r="F222" s="79"/>
      <c r="G222" s="122"/>
      <c r="H222" s="37"/>
      <c r="I222" s="79"/>
      <c r="J222" s="122"/>
      <c r="K222" s="37"/>
      <c r="L222" s="79"/>
      <c r="M222" s="269" t="s">
        <v>17560</v>
      </c>
      <c r="N222" s="37" t="s">
        <v>398</v>
      </c>
      <c r="O222" s="38">
        <v>0.9</v>
      </c>
      <c r="P222" s="299" t="s">
        <v>17556</v>
      </c>
      <c r="Q222" s="45" t="s">
        <v>398</v>
      </c>
      <c r="R222" s="46">
        <v>1</v>
      </c>
      <c r="S222" s="514"/>
      <c r="T222" s="79"/>
      <c r="U222" s="514"/>
      <c r="V222" s="79"/>
      <c r="W222" s="269"/>
      <c r="X222" s="37"/>
      <c r="Y222" s="38"/>
      <c r="Z222" s="79"/>
      <c r="AA222" s="269"/>
      <c r="AB222" s="37"/>
      <c r="AC222" s="38"/>
      <c r="AD222" s="79"/>
      <c r="AE222" s="208">
        <f>ROUND((ROUND((ROUND((ROUND((ROUND((_15_同援日０．５*_15・基礎２),0)*_15・２人),0)*(1+_15・A深夜)),0)*(1+_15・盲ろう)),0)*(1+_15・区４)),0)+ROUND((ROUND((ROUND((ROUND((ROUND((_15_同援日０．５＿１．５*_15・基礎２),0)*_15・２人),0)*(1+_15・B早朝)),0)*(1+_15・盲ろう)),0)*(1+_15・区４)),0)+ROUND((ROUND((ROUND((ROUND((_15_同援日０．５＿１．５＿１．０*_15・基礎２),0)*_15・２人),0)*(1+_15・盲ろう)),0)*(1+_15・区４)),0)</f>
        <v>1259</v>
      </c>
      <c r="AF222" s="63"/>
    </row>
    <row r="223" spans="1:32" ht="16.5" customHeight="1" x14ac:dyDescent="0.15">
      <c r="A223" s="41">
        <v>15</v>
      </c>
      <c r="B223" s="41" t="s">
        <v>21595</v>
      </c>
      <c r="C223" s="74" t="s">
        <v>21596</v>
      </c>
      <c r="D223" s="114" t="s">
        <v>18513</v>
      </c>
      <c r="E223" s="49"/>
      <c r="F223" s="115"/>
      <c r="G223" s="114" t="s">
        <v>18819</v>
      </c>
      <c r="H223" s="49"/>
      <c r="I223" s="115"/>
      <c r="J223" s="114" t="s">
        <v>19919</v>
      </c>
      <c r="K223" s="49"/>
      <c r="L223" s="115"/>
      <c r="M223" s="114"/>
      <c r="N223" s="49"/>
      <c r="O223" s="50"/>
      <c r="P223" s="299"/>
      <c r="Q223" s="45"/>
      <c r="R223" s="46"/>
      <c r="S223" s="515"/>
      <c r="T223" s="115"/>
      <c r="U223" s="515"/>
      <c r="V223" s="115"/>
      <c r="W223" s="114"/>
      <c r="X223" s="49"/>
      <c r="Y223" s="50"/>
      <c r="Z223" s="115"/>
      <c r="AA223" s="116"/>
      <c r="AB223" s="49"/>
      <c r="AC223" s="50"/>
      <c r="AD223" s="115"/>
      <c r="AE223" s="208">
        <f>ROUND((_15_同援日１．０*(1+_15・A深夜)),0)+ROUND((_15_同援日１．０＿０．５*(1+_15・B早朝)),0)+_15_同援日１．０＿０．５＿０．５</f>
        <v>681</v>
      </c>
      <c r="AF223" s="64"/>
    </row>
    <row r="224" spans="1:32" ht="16.5" customHeight="1" x14ac:dyDescent="0.15">
      <c r="A224" s="41">
        <v>15</v>
      </c>
      <c r="B224" s="41" t="s">
        <v>21597</v>
      </c>
      <c r="C224" s="74" t="s">
        <v>21598</v>
      </c>
      <c r="D224" s="72" t="s">
        <v>17589</v>
      </c>
      <c r="F224" s="57"/>
      <c r="G224" s="72" t="s">
        <v>18259</v>
      </c>
      <c r="I224" s="57"/>
      <c r="J224" s="72" t="s">
        <v>18259</v>
      </c>
      <c r="L224" s="57"/>
      <c r="M224" s="269"/>
      <c r="N224" s="37"/>
      <c r="O224" s="38"/>
      <c r="P224" s="299" t="s">
        <v>17556</v>
      </c>
      <c r="Q224" s="45" t="s">
        <v>398</v>
      </c>
      <c r="R224" s="46">
        <v>1</v>
      </c>
      <c r="S224" s="512"/>
      <c r="T224" s="57"/>
      <c r="U224" s="512"/>
      <c r="V224" s="57"/>
      <c r="W224" s="92"/>
      <c r="Z224" s="57"/>
      <c r="AA224" s="72"/>
      <c r="AD224" s="57"/>
      <c r="AE224" s="208">
        <f>ROUND((ROUND((_15_同援日１．０*_15・２人),0)*(1+_15・A深夜)),0)+ROUND((ROUND((_15_同援日１．０＿０．５*_15・２人),0)*(1+_15・B早朝)),0)+ROUND((_15_同援日１．０＿０．５＿０．５*_15・２人),0)</f>
        <v>681</v>
      </c>
      <c r="AF224" s="48"/>
    </row>
    <row r="225" spans="1:32" ht="16.5" customHeight="1" x14ac:dyDescent="0.15">
      <c r="A225" s="41">
        <v>15</v>
      </c>
      <c r="B225" s="41" t="s">
        <v>984</v>
      </c>
      <c r="C225" s="74" t="s">
        <v>21599</v>
      </c>
      <c r="D225" s="72" t="s">
        <v>17591</v>
      </c>
      <c r="F225" s="57"/>
      <c r="G225" s="72"/>
      <c r="I225" s="57"/>
      <c r="J225" s="72"/>
      <c r="L225" s="57"/>
      <c r="M225" s="114" t="s">
        <v>17558</v>
      </c>
      <c r="N225" s="49"/>
      <c r="O225" s="50"/>
      <c r="P225" s="299"/>
      <c r="Q225" s="45"/>
      <c r="R225" s="46"/>
      <c r="S225" s="512"/>
      <c r="T225" s="57"/>
      <c r="U225" s="512"/>
      <c r="V225" s="57"/>
      <c r="W225" s="92"/>
      <c r="Z225" s="57"/>
      <c r="AA225" s="72"/>
      <c r="AD225" s="57"/>
      <c r="AE225" s="208">
        <f>ROUND((ROUND((_15_同援日１．０*_15・基礎２),0)*(1+_15・A深夜)),0)+ROUND((ROUND((_15_同援日１．０＿０．５*_15・基礎２),0)*(1+_15・B早朝)),0)+ROUND((_15_同援日１．０＿０．５＿０．５*_15・基礎２),0)</f>
        <v>614</v>
      </c>
      <c r="AF225" s="48"/>
    </row>
    <row r="226" spans="1:32" ht="16.5" customHeight="1" x14ac:dyDescent="0.15">
      <c r="A226" s="41">
        <v>15</v>
      </c>
      <c r="B226" s="41" t="s">
        <v>986</v>
      </c>
      <c r="C226" s="74" t="s">
        <v>21600</v>
      </c>
      <c r="D226" s="72"/>
      <c r="E226" s="168">
        <f>_15_同援日１．０</f>
        <v>300</v>
      </c>
      <c r="F226" s="57" t="s">
        <v>392</v>
      </c>
      <c r="G226" s="72"/>
      <c r="H226" s="168">
        <f>_15_同援日１．０＿０．５</f>
        <v>133</v>
      </c>
      <c r="I226" s="57" t="s">
        <v>392</v>
      </c>
      <c r="J226" s="72"/>
      <c r="K226" s="168">
        <f>_15_同援日１．０＿０．５＿０．５</f>
        <v>65</v>
      </c>
      <c r="L226" s="57" t="s">
        <v>392</v>
      </c>
      <c r="M226" s="269" t="s">
        <v>17560</v>
      </c>
      <c r="N226" s="37" t="s">
        <v>398</v>
      </c>
      <c r="O226" s="38">
        <v>0.9</v>
      </c>
      <c r="P226" s="299" t="s">
        <v>17556</v>
      </c>
      <c r="Q226" s="45" t="s">
        <v>398</v>
      </c>
      <c r="R226" s="46">
        <v>1</v>
      </c>
      <c r="S226" s="512"/>
      <c r="T226" s="57"/>
      <c r="U226" s="512"/>
      <c r="V226" s="57"/>
      <c r="W226" s="269"/>
      <c r="X226" s="37"/>
      <c r="Y226" s="38"/>
      <c r="Z226" s="79"/>
      <c r="AA226" s="72"/>
      <c r="AD226" s="57"/>
      <c r="AE226" s="208">
        <f>ROUND((ROUND((ROUND((_15_同援日１．０*_15・基礎２),0)*_15・２人),0)*(1+_15・A深夜)),0)+ROUND((ROUND((ROUND((_15_同援日１．０＿０．５*_15・基礎２),0)*_15・２人),0)*(1+_15・B早朝)),0)+ROUND((ROUND((_15_同援日１．０＿０．５＿０．５*_15・基礎２),0)*_15・２人),0)</f>
        <v>614</v>
      </c>
      <c r="AF226" s="48"/>
    </row>
    <row r="227" spans="1:32" ht="16.5" customHeight="1" x14ac:dyDescent="0.15">
      <c r="A227" s="41">
        <v>15</v>
      </c>
      <c r="B227" s="41" t="s">
        <v>988</v>
      </c>
      <c r="C227" s="74" t="s">
        <v>21601</v>
      </c>
      <c r="D227" s="72"/>
      <c r="F227" s="57"/>
      <c r="G227" s="72"/>
      <c r="I227" s="57"/>
      <c r="J227" s="72"/>
      <c r="L227" s="57"/>
      <c r="M227" s="114"/>
      <c r="N227" s="49"/>
      <c r="O227" s="50"/>
      <c r="P227" s="299"/>
      <c r="Q227" s="45"/>
      <c r="R227" s="46"/>
      <c r="S227" s="512"/>
      <c r="T227" s="57"/>
      <c r="U227" s="512"/>
      <c r="V227" s="57"/>
      <c r="W227" s="114" t="s">
        <v>17562</v>
      </c>
      <c r="X227" s="49"/>
      <c r="Y227" s="50"/>
      <c r="Z227" s="115"/>
      <c r="AA227" s="72"/>
      <c r="AD227" s="57"/>
      <c r="AE227" s="208">
        <f>ROUND((ROUND((_15_同援日１．０*(1+_15・A深夜)),0)*(1+_15・盲ろう)),0)+ROUND((ROUND((_15_同援日１．０＿０．５*(1+_15・B早朝)),0)*(1+_15・盲ろう)),0)+ROUND((_15_同援日１．０＿０．５＿０．５*(1+_15・盲ろう)),0)</f>
        <v>852</v>
      </c>
      <c r="AF227" s="48"/>
    </row>
    <row r="228" spans="1:32" ht="16.5" customHeight="1" x14ac:dyDescent="0.15">
      <c r="A228" s="41">
        <v>15</v>
      </c>
      <c r="B228" s="41" t="s">
        <v>990</v>
      </c>
      <c r="C228" s="74" t="s">
        <v>21602</v>
      </c>
      <c r="D228" s="72"/>
      <c r="F228" s="57"/>
      <c r="G228" s="72"/>
      <c r="I228" s="57"/>
      <c r="J228" s="72"/>
      <c r="L228" s="57"/>
      <c r="M228" s="269"/>
      <c r="N228" s="37"/>
      <c r="O228" s="38"/>
      <c r="P228" s="299" t="s">
        <v>17556</v>
      </c>
      <c r="Q228" s="45" t="s">
        <v>398</v>
      </c>
      <c r="R228" s="46">
        <v>1</v>
      </c>
      <c r="S228" s="512"/>
      <c r="T228" s="57"/>
      <c r="U228" s="512"/>
      <c r="V228" s="57"/>
      <c r="W228" s="92" t="s">
        <v>17564</v>
      </c>
      <c r="Z228" s="57"/>
      <c r="AA228" s="72"/>
      <c r="AD228" s="57"/>
      <c r="AE228" s="208">
        <f>ROUND((ROUND((ROUND((_15_同援日１．０*_15・２人),0)*(1+_15・A深夜)),0)*(1+_15・盲ろう)),0)+ROUND((ROUND((ROUND((_15_同援日１．０＿０．５*_15・２人),0)*(1+_15・B早朝)),0)*(1+_15・盲ろう)),0)+ROUND((ROUND((_15_同援日１．０＿０．５＿０．５*_15・２人),0)*(1+_15・盲ろう)),0)</f>
        <v>852</v>
      </c>
      <c r="AF228" s="48"/>
    </row>
    <row r="229" spans="1:32" ht="16.5" customHeight="1" x14ac:dyDescent="0.15">
      <c r="A229" s="41">
        <v>15</v>
      </c>
      <c r="B229" s="41" t="s">
        <v>21603</v>
      </c>
      <c r="C229" s="74" t="s">
        <v>21604</v>
      </c>
      <c r="D229" s="72"/>
      <c r="F229" s="57"/>
      <c r="G229" s="72"/>
      <c r="I229" s="57"/>
      <c r="J229" s="72"/>
      <c r="L229" s="57"/>
      <c r="M229" s="114" t="s">
        <v>17558</v>
      </c>
      <c r="N229" s="49"/>
      <c r="O229" s="50"/>
      <c r="P229" s="299"/>
      <c r="Q229" s="45"/>
      <c r="R229" s="46"/>
      <c r="S229" s="512"/>
      <c r="T229" s="57"/>
      <c r="U229" s="512"/>
      <c r="V229" s="57"/>
      <c r="W229" s="92"/>
      <c r="X229" s="12" t="s">
        <v>398</v>
      </c>
      <c r="Y229" s="13">
        <v>0.25</v>
      </c>
      <c r="Z229" s="57" t="s">
        <v>3575</v>
      </c>
      <c r="AA229" s="72"/>
      <c r="AD229" s="57"/>
      <c r="AE229" s="208">
        <f>ROUND((ROUND((ROUND((_15_同援日１．０*_15・基礎２),0)*(1+_15・A深夜)),0)*(1+_15・盲ろう)),0)+ROUND((ROUND((ROUND((_15_同援日１．０＿０．５*_15・基礎２),0)*(1+_15・B早朝)),0)*(1+_15・盲ろう)),0)+ROUND((ROUND((_15_同援日１．０＿０．５＿０．５*_15・基礎２),0)*(1+_15・盲ろう)),0)</f>
        <v>768</v>
      </c>
      <c r="AF229" s="48"/>
    </row>
    <row r="230" spans="1:32" ht="16.5" customHeight="1" x14ac:dyDescent="0.15">
      <c r="A230" s="41">
        <v>15</v>
      </c>
      <c r="B230" s="41" t="s">
        <v>21605</v>
      </c>
      <c r="C230" s="74" t="s">
        <v>21606</v>
      </c>
      <c r="D230" s="72"/>
      <c r="F230" s="57"/>
      <c r="G230" s="72"/>
      <c r="I230" s="57"/>
      <c r="J230" s="72"/>
      <c r="L230" s="57"/>
      <c r="M230" s="269" t="s">
        <v>17560</v>
      </c>
      <c r="N230" s="37" t="s">
        <v>398</v>
      </c>
      <c r="O230" s="38">
        <v>0.9</v>
      </c>
      <c r="P230" s="299" t="s">
        <v>17556</v>
      </c>
      <c r="Q230" s="45" t="s">
        <v>398</v>
      </c>
      <c r="R230" s="46">
        <v>1</v>
      </c>
      <c r="S230" s="512"/>
      <c r="T230" s="57"/>
      <c r="U230" s="512"/>
      <c r="V230" s="57"/>
      <c r="W230" s="269"/>
      <c r="X230" s="37"/>
      <c r="Y230" s="38"/>
      <c r="Z230" s="79"/>
      <c r="AA230" s="269"/>
      <c r="AB230" s="37"/>
      <c r="AC230" s="38"/>
      <c r="AD230" s="79"/>
      <c r="AE230" s="208">
        <f>ROUND((ROUND((ROUND((ROUND((_15_同援日１．０*_15・基礎２),0)*_15・２人),0)*(1+_15・A深夜)),0)*(1+_15・盲ろう)),0)+ROUND((ROUND((ROUND((ROUND((_15_同援日１．０＿０．５*_15・基礎２),0)*_15・２人),0)*(1+_15・B早朝)),0)*(1+_15・盲ろう)),0)+ROUND((ROUND((ROUND((_15_同援日１．０＿０．５＿０．５*_15・基礎２),0)*_15・２人),0)*(1+_15・盲ろう)),0)</f>
        <v>768</v>
      </c>
      <c r="AF230" s="48"/>
    </row>
    <row r="231" spans="1:32" ht="16.5" customHeight="1" x14ac:dyDescent="0.15">
      <c r="A231" s="41">
        <v>15</v>
      </c>
      <c r="B231" s="41" t="s">
        <v>21607</v>
      </c>
      <c r="C231" s="74" t="s">
        <v>21608</v>
      </c>
      <c r="D231" s="72"/>
      <c r="F231" s="57"/>
      <c r="G231" s="72"/>
      <c r="I231" s="57"/>
      <c r="J231" s="72"/>
      <c r="L231" s="57"/>
      <c r="M231" s="114"/>
      <c r="N231" s="49"/>
      <c r="O231" s="50"/>
      <c r="P231" s="299"/>
      <c r="Q231" s="45"/>
      <c r="R231" s="46"/>
      <c r="S231" s="512"/>
      <c r="T231" s="57"/>
      <c r="U231" s="512"/>
      <c r="V231" s="57"/>
      <c r="W231" s="114"/>
      <c r="X231" s="49"/>
      <c r="Y231" s="50"/>
      <c r="Z231" s="115"/>
      <c r="AA231" s="116"/>
      <c r="AB231" s="49"/>
      <c r="AC231" s="50"/>
      <c r="AD231" s="115"/>
      <c r="AE231" s="208">
        <f>ROUND((ROUND((_15_同援日１．０*(1+_15・A深夜)),0)*(1+_15・区３)),0)+ROUND((ROUND((_15_同援日１．０＿０．５*(1+_15・B早朝)),0)*(1+_15・区３)),0)+ROUND((_15_同援日１．０＿０．５＿０．５*(1+_15・区３)),0)</f>
        <v>817</v>
      </c>
      <c r="AF231" s="48"/>
    </row>
    <row r="232" spans="1:32" ht="16.5" customHeight="1" x14ac:dyDescent="0.15">
      <c r="A232" s="41">
        <v>15</v>
      </c>
      <c r="B232" s="41" t="s">
        <v>21609</v>
      </c>
      <c r="C232" s="74" t="s">
        <v>21610</v>
      </c>
      <c r="D232" s="72"/>
      <c r="F232" s="57"/>
      <c r="G232" s="72"/>
      <c r="I232" s="57"/>
      <c r="J232" s="72"/>
      <c r="L232" s="57"/>
      <c r="M232" s="269"/>
      <c r="N232" s="37"/>
      <c r="O232" s="38"/>
      <c r="P232" s="299" t="s">
        <v>17556</v>
      </c>
      <c r="Q232" s="45" t="s">
        <v>398</v>
      </c>
      <c r="R232" s="46">
        <v>1</v>
      </c>
      <c r="S232" s="512"/>
      <c r="T232" s="57"/>
      <c r="U232" s="512"/>
      <c r="V232" s="57"/>
      <c r="W232" s="92"/>
      <c r="Z232" s="57"/>
      <c r="AA232" s="72"/>
      <c r="AD232" s="57"/>
      <c r="AE232" s="208">
        <f>ROUND((ROUND((ROUND((_15_同援日１．０*_15・２人),0)*(1+_15・A深夜)),0)*(1+_15・区３)),0)+ROUND((ROUND((ROUND((_15_同援日１．０＿０．５*_15・２人),0)*(1+_15・B早朝)),0)*(1+_15・区３)),0)+ROUND((ROUND((_15_同援日１．０＿０．５＿０．５*_15・２人),0)*(1+_15・区３)),0)</f>
        <v>817</v>
      </c>
      <c r="AF232" s="48"/>
    </row>
    <row r="233" spans="1:32" ht="16.5" customHeight="1" x14ac:dyDescent="0.15">
      <c r="A233" s="41">
        <v>15</v>
      </c>
      <c r="B233" s="41" t="s">
        <v>21611</v>
      </c>
      <c r="C233" s="74" t="s">
        <v>21612</v>
      </c>
      <c r="D233" s="72"/>
      <c r="F233" s="57"/>
      <c r="G233" s="72"/>
      <c r="I233" s="57"/>
      <c r="J233" s="72"/>
      <c r="L233" s="57"/>
      <c r="M233" s="114" t="s">
        <v>17558</v>
      </c>
      <c r="N233" s="49"/>
      <c r="O233" s="50"/>
      <c r="P233" s="299"/>
      <c r="Q233" s="45"/>
      <c r="R233" s="46"/>
      <c r="S233" s="512"/>
      <c r="T233" s="57"/>
      <c r="U233" s="512"/>
      <c r="V233" s="57"/>
      <c r="W233" s="92"/>
      <c r="Z233" s="57"/>
      <c r="AA233" s="72" t="s">
        <v>17570</v>
      </c>
      <c r="AD233" s="57"/>
      <c r="AE233" s="208">
        <f>ROUND((ROUND((ROUND((_15_同援日１．０*_15・基礎２),0)*(1+_15・A深夜)),0)*(1+_15・区３)),0)+ROUND((ROUND((ROUND((_15_同援日１．０＿０．５*_15・基礎２),0)*(1+_15・B早朝)),0)*(1+_15・区３)),0)+ROUND((ROUND((_15_同援日１．０＿０．５＿０．５*_15・基礎２),0)*(1+_15・区３)),0)</f>
        <v>737</v>
      </c>
      <c r="AF233" s="48"/>
    </row>
    <row r="234" spans="1:32" ht="16.5" customHeight="1" x14ac:dyDescent="0.15">
      <c r="A234" s="41">
        <v>15</v>
      </c>
      <c r="B234" s="41" t="s">
        <v>21613</v>
      </c>
      <c r="C234" s="74" t="s">
        <v>21614</v>
      </c>
      <c r="D234" s="72"/>
      <c r="F234" s="57"/>
      <c r="G234" s="72"/>
      <c r="I234" s="57"/>
      <c r="J234" s="72"/>
      <c r="L234" s="57"/>
      <c r="M234" s="269" t="s">
        <v>17560</v>
      </c>
      <c r="N234" s="37" t="s">
        <v>398</v>
      </c>
      <c r="O234" s="38">
        <v>0.9</v>
      </c>
      <c r="P234" s="299" t="s">
        <v>17556</v>
      </c>
      <c r="Q234" s="45" t="s">
        <v>398</v>
      </c>
      <c r="R234" s="46">
        <v>1</v>
      </c>
      <c r="S234" s="512"/>
      <c r="T234" s="57"/>
      <c r="U234" s="512"/>
      <c r="V234" s="57"/>
      <c r="W234" s="269"/>
      <c r="X234" s="37"/>
      <c r="Y234" s="38"/>
      <c r="Z234" s="79"/>
      <c r="AA234" s="72" t="s">
        <v>17572</v>
      </c>
      <c r="AD234" s="57"/>
      <c r="AE234" s="208">
        <f>ROUND((ROUND((ROUND((ROUND((_15_同援日１．０*_15・基礎２),0)*_15・２人),0)*(1+_15・A深夜)),0)*(1+_15・区３)),0)+ROUND((ROUND((ROUND((ROUND((_15_同援日１．０＿０．５*_15・基礎２),0)*_15・２人),0)*(1+_15・B早朝)),0)*(1+_15・区３)),0)+ROUND((ROUND((ROUND((_15_同援日１．０＿０．５＿０．５*_15・基礎２),0)*_15・２人),0)*(1+_15・区３)),0)</f>
        <v>737</v>
      </c>
      <c r="AF234" s="48"/>
    </row>
    <row r="235" spans="1:32" ht="16.5" customHeight="1" x14ac:dyDescent="0.15">
      <c r="A235" s="41">
        <v>15</v>
      </c>
      <c r="B235" s="41" t="s">
        <v>21615</v>
      </c>
      <c r="C235" s="74" t="s">
        <v>21616</v>
      </c>
      <c r="D235" s="72"/>
      <c r="F235" s="57"/>
      <c r="G235" s="72"/>
      <c r="I235" s="57"/>
      <c r="J235" s="72"/>
      <c r="L235" s="57"/>
      <c r="M235" s="114"/>
      <c r="N235" s="49"/>
      <c r="O235" s="50"/>
      <c r="P235" s="299"/>
      <c r="Q235" s="45"/>
      <c r="R235" s="46"/>
      <c r="S235" s="512"/>
      <c r="T235" s="57"/>
      <c r="U235" s="512"/>
      <c r="V235" s="57"/>
      <c r="W235" s="114" t="s">
        <v>17562</v>
      </c>
      <c r="X235" s="49"/>
      <c r="Y235" s="50"/>
      <c r="Z235" s="115"/>
      <c r="AA235" s="72"/>
      <c r="AB235" s="12" t="s">
        <v>398</v>
      </c>
      <c r="AC235" s="13">
        <v>0.2</v>
      </c>
      <c r="AD235" s="57" t="s">
        <v>3575</v>
      </c>
      <c r="AE235" s="208">
        <f>ROUND((ROUND((ROUND((_15_同援日１．０*(1+_15・A深夜)),0)*(1+_15・盲ろう)),0)*(1+_15・区３)),0)+ROUND((ROUND((ROUND((_15_同援日１．０＿０．５*(1+_15・B早朝)),0)*(1+_15・盲ろう)),0)*(1+_15・区３)),0)+ROUND((ROUND((_15_同援日１．０＿０．５＿０．５*(1+_15・盲ろう)),0)*(1+_15・区３)),0)</f>
        <v>1023</v>
      </c>
      <c r="AF235" s="48"/>
    </row>
    <row r="236" spans="1:32" ht="16.5" customHeight="1" x14ac:dyDescent="0.15">
      <c r="A236" s="41">
        <v>15</v>
      </c>
      <c r="B236" s="41" t="s">
        <v>21617</v>
      </c>
      <c r="C236" s="74" t="s">
        <v>21618</v>
      </c>
      <c r="D236" s="72"/>
      <c r="F236" s="57"/>
      <c r="G236" s="72"/>
      <c r="I236" s="57"/>
      <c r="J236" s="72"/>
      <c r="L236" s="57"/>
      <c r="M236" s="269"/>
      <c r="N236" s="37"/>
      <c r="O236" s="38"/>
      <c r="P236" s="299" t="s">
        <v>17556</v>
      </c>
      <c r="Q236" s="45" t="s">
        <v>398</v>
      </c>
      <c r="R236" s="46">
        <v>1</v>
      </c>
      <c r="S236" s="512"/>
      <c r="T236" s="57"/>
      <c r="U236" s="512"/>
      <c r="V236" s="57"/>
      <c r="W236" s="92" t="s">
        <v>17564</v>
      </c>
      <c r="Z236" s="57"/>
      <c r="AA236" s="72"/>
      <c r="AD236" s="57"/>
      <c r="AE236" s="208">
        <f>ROUND((ROUND((ROUND((ROUND((_15_同援日１．０*_15・２人),0)*(1+_15・A深夜)),0)*(1+_15・盲ろう)),0)*(1+_15・区３)),0)+ROUND((ROUND((ROUND((ROUND((_15_同援日１．０＿０．５*_15・２人),0)*(1+_15・B早朝)),0)*(1+_15・盲ろう)),0)*(1+_15・区３)),0)+ROUND((ROUND((ROUND((_15_同援日１．０＿０．５＿０．５*_15・２人),0)*(1+_15・盲ろう)),0)*(1+_15・区３)),0)</f>
        <v>1023</v>
      </c>
      <c r="AF236" s="48"/>
    </row>
    <row r="237" spans="1:32" ht="16.5" customHeight="1" x14ac:dyDescent="0.15">
      <c r="A237" s="41">
        <v>15</v>
      </c>
      <c r="B237" s="41" t="s">
        <v>21619</v>
      </c>
      <c r="C237" s="74" t="s">
        <v>21620</v>
      </c>
      <c r="D237" s="72"/>
      <c r="F237" s="57"/>
      <c r="G237" s="72"/>
      <c r="I237" s="57"/>
      <c r="J237" s="72"/>
      <c r="L237" s="57"/>
      <c r="M237" s="114" t="s">
        <v>17558</v>
      </c>
      <c r="N237" s="49"/>
      <c r="O237" s="50"/>
      <c r="P237" s="299"/>
      <c r="Q237" s="45"/>
      <c r="R237" s="46"/>
      <c r="S237" s="512"/>
      <c r="T237" s="57"/>
      <c r="U237" s="512"/>
      <c r="V237" s="57"/>
      <c r="W237" s="92"/>
      <c r="X237" s="12" t="s">
        <v>398</v>
      </c>
      <c r="Y237" s="13">
        <v>0.25</v>
      </c>
      <c r="Z237" s="57" t="s">
        <v>3575</v>
      </c>
      <c r="AA237" s="72"/>
      <c r="AD237" s="57"/>
      <c r="AE237" s="208">
        <f>ROUND((ROUND((ROUND((ROUND((_15_同援日１．０*_15・基礎２),0)*(1+_15・A深夜)),0)*(1+_15・盲ろう)),0)*(1+_15・区３)),0)+ROUND((ROUND((ROUND((ROUND((_15_同援日１．０＿０．５*_15・基礎２),0)*(1+_15・B早朝)),0)*(1+_15・盲ろう)),0)*(1+_15・区３)),0)+ROUND((ROUND((ROUND((_15_同援日１．０＿０．５＿０．５*_15・基礎２),0)*(1+_15・盲ろう)),0)*(1+_15・区３)),0)</f>
        <v>922</v>
      </c>
      <c r="AF237" s="48"/>
    </row>
    <row r="238" spans="1:32" ht="16.5" customHeight="1" x14ac:dyDescent="0.15">
      <c r="A238" s="41">
        <v>15</v>
      </c>
      <c r="B238" s="41" t="s">
        <v>21621</v>
      </c>
      <c r="C238" s="74" t="s">
        <v>21622</v>
      </c>
      <c r="D238" s="72"/>
      <c r="F238" s="57"/>
      <c r="G238" s="72"/>
      <c r="I238" s="57"/>
      <c r="J238" s="72"/>
      <c r="L238" s="57"/>
      <c r="M238" s="269" t="s">
        <v>17560</v>
      </c>
      <c r="N238" s="37" t="s">
        <v>398</v>
      </c>
      <c r="O238" s="38">
        <v>0.9</v>
      </c>
      <c r="P238" s="299" t="s">
        <v>17556</v>
      </c>
      <c r="Q238" s="45" t="s">
        <v>398</v>
      </c>
      <c r="R238" s="46">
        <v>1</v>
      </c>
      <c r="S238" s="512"/>
      <c r="T238" s="57"/>
      <c r="U238" s="512"/>
      <c r="V238" s="57"/>
      <c r="W238" s="269"/>
      <c r="X238" s="37"/>
      <c r="Y238" s="38"/>
      <c r="Z238" s="79"/>
      <c r="AA238" s="269"/>
      <c r="AB238" s="37"/>
      <c r="AC238" s="38"/>
      <c r="AD238" s="79"/>
      <c r="AE238" s="208">
        <f>ROUND((ROUND((ROUND((ROUND((ROUND((_15_同援日１．０*_15・基礎２),0)*_15・２人),0)*(1+_15・A深夜)),0)*(1+_15・盲ろう)),0)*(1+_15・区３)),0)+ROUND((ROUND((ROUND((ROUND((ROUND((_15_同援日１．０＿０．５*_15・基礎２),0)*_15・２人),0)*(1+_15・B早朝)),0)*(1+_15・盲ろう)),0)*(1+_15・区３)),0)+ROUND((ROUND((ROUND((ROUND((_15_同援日１．０＿０．５＿０．５*_15・基礎２),0)*_15・２人),0)*(1+_15・盲ろう)),0)*(1+_15・区３)),0)</f>
        <v>922</v>
      </c>
      <c r="AF238" s="48"/>
    </row>
    <row r="239" spans="1:32" ht="16.5" customHeight="1" x14ac:dyDescent="0.15">
      <c r="A239" s="41">
        <v>15</v>
      </c>
      <c r="B239" s="41" t="s">
        <v>21623</v>
      </c>
      <c r="C239" s="74" t="s">
        <v>21624</v>
      </c>
      <c r="D239" s="72"/>
      <c r="F239" s="57"/>
      <c r="G239" s="72"/>
      <c r="I239" s="57"/>
      <c r="J239" s="72"/>
      <c r="L239" s="57"/>
      <c r="M239" s="114"/>
      <c r="N239" s="49"/>
      <c r="O239" s="50"/>
      <c r="P239" s="299"/>
      <c r="Q239" s="45"/>
      <c r="R239" s="46"/>
      <c r="S239" s="512"/>
      <c r="T239" s="57"/>
      <c r="U239" s="512"/>
      <c r="V239" s="57"/>
      <c r="W239" s="114"/>
      <c r="X239" s="49"/>
      <c r="Y239" s="50"/>
      <c r="Z239" s="115"/>
      <c r="AA239" s="116"/>
      <c r="AB239" s="49"/>
      <c r="AC239" s="50"/>
      <c r="AD239" s="115"/>
      <c r="AE239" s="208">
        <f>ROUND((ROUND((_15_同援日１．０*(1+_15・A深夜)),0)*(1+_15・区４)),0)+ROUND((ROUND((_15_同援日１．０＿０．５*(1+_15・B早朝)),0)*(1+_15・区４)),0)+ROUND((_15_同援日１．０＿０．５＿０．５*(1+_15・区４)),0)</f>
        <v>953</v>
      </c>
      <c r="AF239" s="48"/>
    </row>
    <row r="240" spans="1:32" ht="16.5" customHeight="1" x14ac:dyDescent="0.15">
      <c r="A240" s="41">
        <v>15</v>
      </c>
      <c r="B240" s="41" t="s">
        <v>21625</v>
      </c>
      <c r="C240" s="74" t="s">
        <v>21626</v>
      </c>
      <c r="D240" s="72"/>
      <c r="F240" s="57"/>
      <c r="G240" s="72"/>
      <c r="I240" s="57"/>
      <c r="J240" s="72"/>
      <c r="L240" s="57"/>
      <c r="M240" s="269"/>
      <c r="N240" s="37"/>
      <c r="O240" s="38"/>
      <c r="P240" s="299" t="s">
        <v>17556</v>
      </c>
      <c r="Q240" s="45" t="s">
        <v>398</v>
      </c>
      <c r="R240" s="46">
        <v>1</v>
      </c>
      <c r="S240" s="512"/>
      <c r="T240" s="57"/>
      <c r="U240" s="512"/>
      <c r="V240" s="57"/>
      <c r="W240" s="92"/>
      <c r="Z240" s="57"/>
      <c r="AA240" s="72"/>
      <c r="AD240" s="57"/>
      <c r="AE240" s="208">
        <f>ROUND((ROUND((ROUND((_15_同援日１．０*_15・２人),0)*(1+_15・A深夜)),0)*(1+_15・区４)),0)+ROUND((ROUND((ROUND((_15_同援日１．０＿０．５*_15・２人),0)*(1+_15・B早朝)),0)*(1+_15・区４)),0)+ROUND((ROUND((_15_同援日１．０＿０．５＿０．５*_15・２人),0)*(1+_15・区４)),0)</f>
        <v>953</v>
      </c>
      <c r="AF240" s="48"/>
    </row>
    <row r="241" spans="1:32" ht="16.5" customHeight="1" x14ac:dyDescent="0.15">
      <c r="A241" s="41">
        <v>15</v>
      </c>
      <c r="B241" s="41" t="s">
        <v>21627</v>
      </c>
      <c r="C241" s="74" t="s">
        <v>21628</v>
      </c>
      <c r="D241" s="72"/>
      <c r="F241" s="57"/>
      <c r="G241" s="72"/>
      <c r="I241" s="57"/>
      <c r="J241" s="72"/>
      <c r="L241" s="57"/>
      <c r="M241" s="114" t="s">
        <v>17558</v>
      </c>
      <c r="N241" s="49"/>
      <c r="O241" s="50"/>
      <c r="P241" s="299"/>
      <c r="Q241" s="45"/>
      <c r="R241" s="46"/>
      <c r="S241" s="512"/>
      <c r="T241" s="57"/>
      <c r="U241" s="512"/>
      <c r="V241" s="57"/>
      <c r="W241" s="92"/>
      <c r="Z241" s="57"/>
      <c r="AA241" s="72" t="s">
        <v>17580</v>
      </c>
      <c r="AD241" s="57"/>
      <c r="AE241" s="208">
        <f>ROUND((ROUND((ROUND((_15_同援日１．０*_15・基礎２),0)*(1+_15・A深夜)),0)*(1+_15・区４)),0)+ROUND((ROUND((ROUND((_15_同援日１．０＿０．５*_15・基礎２),0)*(1+_15・B早朝)),0)*(1+_15・区４)),0)+ROUND((ROUND((_15_同援日１．０＿０．５＿０．５*_15・基礎２),0)*(1+_15・区４)),0)</f>
        <v>860</v>
      </c>
      <c r="AF241" s="48"/>
    </row>
    <row r="242" spans="1:32" ht="16.5" customHeight="1" x14ac:dyDescent="0.15">
      <c r="A242" s="41">
        <v>15</v>
      </c>
      <c r="B242" s="41" t="s">
        <v>21629</v>
      </c>
      <c r="C242" s="74" t="s">
        <v>21630</v>
      </c>
      <c r="D242" s="72"/>
      <c r="F242" s="57"/>
      <c r="G242" s="72"/>
      <c r="I242" s="57"/>
      <c r="J242" s="72"/>
      <c r="L242" s="57"/>
      <c r="M242" s="269" t="s">
        <v>17560</v>
      </c>
      <c r="N242" s="37" t="s">
        <v>398</v>
      </c>
      <c r="O242" s="38">
        <v>0.9</v>
      </c>
      <c r="P242" s="299" t="s">
        <v>17556</v>
      </c>
      <c r="Q242" s="45" t="s">
        <v>398</v>
      </c>
      <c r="R242" s="46">
        <v>1</v>
      </c>
      <c r="S242" s="512"/>
      <c r="T242" s="57"/>
      <c r="U242" s="512"/>
      <c r="V242" s="57"/>
      <c r="W242" s="269"/>
      <c r="X242" s="37"/>
      <c r="Y242" s="38"/>
      <c r="Z242" s="79"/>
      <c r="AA242" s="72" t="s">
        <v>17572</v>
      </c>
      <c r="AD242" s="57"/>
      <c r="AE242" s="208">
        <f>ROUND((ROUND((ROUND((ROUND((_15_同援日１．０*_15・基礎２),0)*_15・２人),0)*(1+_15・A深夜)),0)*(1+_15・区４)),0)+ROUND((ROUND((ROUND((ROUND((_15_同援日１．０＿０．５*_15・基礎２),0)*_15・２人),0)*(1+_15・B早朝)),0)*(1+_15・区４)),0)+ROUND((ROUND((ROUND((_15_同援日１．０＿０．５＿０．５*_15・基礎２),0)*_15・２人),0)*(1+_15・区４)),0)</f>
        <v>860</v>
      </c>
      <c r="AF242" s="48"/>
    </row>
    <row r="243" spans="1:32" ht="16.5" customHeight="1" x14ac:dyDescent="0.15">
      <c r="A243" s="41">
        <v>15</v>
      </c>
      <c r="B243" s="41" t="s">
        <v>21631</v>
      </c>
      <c r="C243" s="74" t="s">
        <v>21632</v>
      </c>
      <c r="D243" s="72"/>
      <c r="F243" s="57"/>
      <c r="G243" s="72"/>
      <c r="I243" s="57"/>
      <c r="J243" s="72"/>
      <c r="L243" s="57"/>
      <c r="M243" s="114"/>
      <c r="N243" s="49"/>
      <c r="O243" s="50"/>
      <c r="P243" s="299"/>
      <c r="Q243" s="45"/>
      <c r="R243" s="46"/>
      <c r="S243" s="512"/>
      <c r="T243" s="57"/>
      <c r="U243" s="512"/>
      <c r="V243" s="57"/>
      <c r="W243" s="114" t="s">
        <v>17562</v>
      </c>
      <c r="X243" s="49"/>
      <c r="Y243" s="50"/>
      <c r="Z243" s="115"/>
      <c r="AA243" s="72"/>
      <c r="AB243" s="12" t="s">
        <v>398</v>
      </c>
      <c r="AC243" s="13">
        <v>0.4</v>
      </c>
      <c r="AD243" s="57" t="s">
        <v>3575</v>
      </c>
      <c r="AE243" s="208">
        <f>ROUND((ROUND((ROUND((_15_同援日１．０*(1+_15・A深夜)),0)*(1+_15・盲ろう)),0)*(1+_15・区４)),0)+ROUND((ROUND((ROUND((_15_同援日１．０＿０．５*(1+_15・B早朝)),0)*(1+_15・盲ろう)),0)*(1+_15・区４)),0)+ROUND((ROUND((_15_同援日１．０＿０．５＿０．５*(1+_15・盲ろう)),0)*(1+_15・区４)),0)</f>
        <v>1192</v>
      </c>
      <c r="AF243" s="48"/>
    </row>
    <row r="244" spans="1:32" ht="16.5" customHeight="1" x14ac:dyDescent="0.15">
      <c r="A244" s="41">
        <v>15</v>
      </c>
      <c r="B244" s="41" t="s">
        <v>21633</v>
      </c>
      <c r="C244" s="74" t="s">
        <v>21634</v>
      </c>
      <c r="D244" s="72"/>
      <c r="F244" s="57"/>
      <c r="G244" s="72"/>
      <c r="I244" s="57"/>
      <c r="J244" s="72"/>
      <c r="L244" s="57"/>
      <c r="M244" s="269"/>
      <c r="N244" s="37"/>
      <c r="O244" s="38"/>
      <c r="P244" s="299" t="s">
        <v>17556</v>
      </c>
      <c r="Q244" s="45" t="s">
        <v>398</v>
      </c>
      <c r="R244" s="46">
        <v>1</v>
      </c>
      <c r="S244" s="512"/>
      <c r="T244" s="57"/>
      <c r="U244" s="512"/>
      <c r="V244" s="57"/>
      <c r="W244" s="92" t="s">
        <v>17564</v>
      </c>
      <c r="Z244" s="57"/>
      <c r="AA244" s="72"/>
      <c r="AD244" s="57"/>
      <c r="AE244" s="208">
        <f>ROUND((ROUND((ROUND((ROUND((_15_同援日１．０*_15・２人),0)*(1+_15・A深夜)),0)*(1+_15・盲ろう)),0)*(1+_15・区４)),0)+ROUND((ROUND((ROUND((ROUND((_15_同援日１．０＿０．５*_15・２人),0)*(1+_15・B早朝)),0)*(1+_15・盲ろう)),0)*(1+_15・区４)),0)+ROUND((ROUND((ROUND((_15_同援日１．０＿０．５＿０．５*_15・２人),0)*(1+_15・盲ろう)),0)*(1+_15・区４)),0)</f>
        <v>1192</v>
      </c>
      <c r="AF244" s="48"/>
    </row>
    <row r="245" spans="1:32" ht="16.5" customHeight="1" x14ac:dyDescent="0.15">
      <c r="A245" s="41">
        <v>15</v>
      </c>
      <c r="B245" s="41" t="s">
        <v>997</v>
      </c>
      <c r="C245" s="74" t="s">
        <v>21635</v>
      </c>
      <c r="D245" s="72"/>
      <c r="F245" s="57"/>
      <c r="G245" s="72"/>
      <c r="I245" s="57"/>
      <c r="J245" s="72"/>
      <c r="L245" s="57"/>
      <c r="M245" s="114" t="s">
        <v>17558</v>
      </c>
      <c r="N245" s="49"/>
      <c r="O245" s="50"/>
      <c r="P245" s="299"/>
      <c r="Q245" s="45"/>
      <c r="R245" s="46"/>
      <c r="S245" s="512"/>
      <c r="T245" s="57"/>
      <c r="U245" s="512"/>
      <c r="V245" s="57"/>
      <c r="W245" s="92"/>
      <c r="X245" s="12" t="s">
        <v>398</v>
      </c>
      <c r="Y245" s="13">
        <v>0.25</v>
      </c>
      <c r="Z245" s="57" t="s">
        <v>3575</v>
      </c>
      <c r="AA245" s="72"/>
      <c r="AD245" s="57"/>
      <c r="AE245" s="208">
        <f>ROUND((ROUND((ROUND((ROUND((_15_同援日１．０*_15・基礎２),0)*(1+_15・A深夜)),0)*(1+_15・盲ろう)),0)*(1+_15・区４)),0)+ROUND((ROUND((ROUND((ROUND((_15_同援日１．０＿０．５*_15・基礎２),0)*(1+_15・B早朝)),0)*(1+_15・盲ろう)),0)*(1+_15・区４)),0)+ROUND((ROUND((ROUND((_15_同援日１．０＿０．５＿０．５*_15・基礎２),0)*(1+_15・盲ろう)),0)*(1+_15・区４)),0)</f>
        <v>1075</v>
      </c>
      <c r="AF245" s="48"/>
    </row>
    <row r="246" spans="1:32" ht="16.5" customHeight="1" x14ac:dyDescent="0.15">
      <c r="A246" s="41">
        <v>15</v>
      </c>
      <c r="B246" s="41" t="s">
        <v>999</v>
      </c>
      <c r="C246" s="74" t="s">
        <v>21636</v>
      </c>
      <c r="D246" s="72"/>
      <c r="F246" s="57"/>
      <c r="G246" s="72"/>
      <c r="I246" s="57"/>
      <c r="J246" s="122"/>
      <c r="K246" s="37"/>
      <c r="L246" s="79"/>
      <c r="M246" s="269" t="s">
        <v>17560</v>
      </c>
      <c r="N246" s="37" t="s">
        <v>398</v>
      </c>
      <c r="O246" s="38">
        <v>0.9</v>
      </c>
      <c r="P246" s="299" t="s">
        <v>17556</v>
      </c>
      <c r="Q246" s="45" t="s">
        <v>398</v>
      </c>
      <c r="R246" s="46">
        <v>1</v>
      </c>
      <c r="S246" s="512"/>
      <c r="T246" s="57"/>
      <c r="U246" s="512"/>
      <c r="V246" s="57"/>
      <c r="W246" s="269"/>
      <c r="X246" s="37"/>
      <c r="Y246" s="38"/>
      <c r="Z246" s="79"/>
      <c r="AA246" s="269"/>
      <c r="AB246" s="37"/>
      <c r="AC246" s="38"/>
      <c r="AD246" s="79"/>
      <c r="AE246" s="208">
        <f>ROUND((ROUND((ROUND((ROUND((ROUND((_15_同援日１．０*_15・基礎２),0)*_15・２人),0)*(1+_15・A深夜)),0)*(1+_15・盲ろう)),0)*(1+_15・区４)),0)+ROUND((ROUND((ROUND((ROUND((ROUND((_15_同援日１．０＿０．５*_15・基礎２),0)*_15・２人),0)*(1+_15・B早朝)),0)*(1+_15・盲ろう)),0)*(1+_15・区４)),0)+ROUND((ROUND((ROUND((ROUND((_15_同援日１．０＿０．５＿０．５*_15・基礎２),0)*_15・２人),0)*(1+_15・盲ろう)),0)*(1+_15・区４)),0)</f>
        <v>1075</v>
      </c>
      <c r="AF246" s="48"/>
    </row>
    <row r="247" spans="1:32" ht="16.5" customHeight="1" x14ac:dyDescent="0.15">
      <c r="A247" s="41">
        <v>15</v>
      </c>
      <c r="B247" s="41" t="s">
        <v>1001</v>
      </c>
      <c r="C247" s="74" t="s">
        <v>21637</v>
      </c>
      <c r="D247" s="72"/>
      <c r="F247" s="57"/>
      <c r="G247" s="72"/>
      <c r="I247" s="57"/>
      <c r="J247" s="114" t="s">
        <v>21246</v>
      </c>
      <c r="K247" s="49"/>
      <c r="L247" s="115"/>
      <c r="M247" s="114"/>
      <c r="N247" s="49"/>
      <c r="O247" s="50"/>
      <c r="P247" s="299"/>
      <c r="Q247" s="45"/>
      <c r="R247" s="46"/>
      <c r="S247" s="512"/>
      <c r="T247" s="57"/>
      <c r="U247" s="512"/>
      <c r="V247" s="57"/>
      <c r="W247" s="114"/>
      <c r="X247" s="49"/>
      <c r="Y247" s="50"/>
      <c r="Z247" s="115"/>
      <c r="AA247" s="116"/>
      <c r="AB247" s="49"/>
      <c r="AC247" s="50"/>
      <c r="AD247" s="115"/>
      <c r="AE247" s="208">
        <f>ROUND((_15_同援日１．０*(1+_15・A深夜)),0)+ROUND((_15_同援日１．０＿０．５*(1+_15・B早朝)),0)+_15_同援日１．０＿０．５＿１．０</f>
        <v>746</v>
      </c>
      <c r="AF247" s="48"/>
    </row>
    <row r="248" spans="1:32" ht="16.5" customHeight="1" x14ac:dyDescent="0.15">
      <c r="A248" s="41">
        <v>15</v>
      </c>
      <c r="B248" s="41" t="s">
        <v>1003</v>
      </c>
      <c r="C248" s="74" t="s">
        <v>21638</v>
      </c>
      <c r="D248" s="72"/>
      <c r="F248" s="57"/>
      <c r="G248" s="72"/>
      <c r="I248" s="57"/>
      <c r="J248" s="72" t="s">
        <v>17589</v>
      </c>
      <c r="L248" s="57"/>
      <c r="M248" s="269"/>
      <c r="N248" s="37"/>
      <c r="O248" s="38"/>
      <c r="P248" s="299" t="s">
        <v>17556</v>
      </c>
      <c r="Q248" s="45" t="s">
        <v>398</v>
      </c>
      <c r="R248" s="46">
        <v>1</v>
      </c>
      <c r="S248" s="512"/>
      <c r="T248" s="57"/>
      <c r="U248" s="512"/>
      <c r="V248" s="57"/>
      <c r="W248" s="92"/>
      <c r="Z248" s="57"/>
      <c r="AA248" s="72"/>
      <c r="AD248" s="57"/>
      <c r="AE248" s="208">
        <f>ROUND((ROUND((_15_同援日１．０*_15・２人),0)*(1+_15・A深夜)),0)+ROUND((ROUND((_15_同援日１．０＿０．５*_15・２人),0)*(1+_15・B早朝)),0)+ROUND((_15_同援日１．０＿０．５＿１．０*_15・２人),0)</f>
        <v>746</v>
      </c>
      <c r="AF248" s="48"/>
    </row>
    <row r="249" spans="1:32" ht="16.5" customHeight="1" x14ac:dyDescent="0.15">
      <c r="A249" s="41">
        <v>15</v>
      </c>
      <c r="B249" s="41" t="s">
        <v>21639</v>
      </c>
      <c r="C249" s="74" t="s">
        <v>21640</v>
      </c>
      <c r="D249" s="72"/>
      <c r="F249" s="57"/>
      <c r="G249" s="72"/>
      <c r="I249" s="57"/>
      <c r="J249" s="72" t="s">
        <v>17591</v>
      </c>
      <c r="L249" s="57"/>
      <c r="M249" s="114" t="s">
        <v>17558</v>
      </c>
      <c r="N249" s="49"/>
      <c r="O249" s="50"/>
      <c r="P249" s="299"/>
      <c r="Q249" s="45"/>
      <c r="R249" s="46"/>
      <c r="S249" s="512"/>
      <c r="T249" s="57"/>
      <c r="U249" s="512"/>
      <c r="V249" s="57"/>
      <c r="W249" s="92"/>
      <c r="Z249" s="57"/>
      <c r="AA249" s="72"/>
      <c r="AD249" s="57"/>
      <c r="AE249" s="208">
        <f>ROUND((ROUND((_15_同援日１．０*_15・基礎２),0)*(1+_15・A深夜)),0)+ROUND((ROUND((_15_同援日１．０＿０．５*_15・基礎２),0)*(1+_15・B早朝)),0)+ROUND((_15_同援日１．０＿０．５＿１．０*_15・基礎２),0)</f>
        <v>672</v>
      </c>
      <c r="AF249" s="48"/>
    </row>
    <row r="250" spans="1:32" ht="16.5" customHeight="1" x14ac:dyDescent="0.15">
      <c r="A250" s="41">
        <v>15</v>
      </c>
      <c r="B250" s="41" t="s">
        <v>21641</v>
      </c>
      <c r="C250" s="74" t="s">
        <v>21642</v>
      </c>
      <c r="D250" s="72"/>
      <c r="F250" s="57"/>
      <c r="G250" s="72"/>
      <c r="I250" s="57"/>
      <c r="J250" s="72"/>
      <c r="K250" s="168">
        <f>_15_同援日１．０＿０．５＿１．０</f>
        <v>130</v>
      </c>
      <c r="L250" s="57" t="s">
        <v>392</v>
      </c>
      <c r="M250" s="269" t="s">
        <v>17560</v>
      </c>
      <c r="N250" s="37" t="s">
        <v>398</v>
      </c>
      <c r="O250" s="38">
        <v>0.9</v>
      </c>
      <c r="P250" s="299" t="s">
        <v>17556</v>
      </c>
      <c r="Q250" s="45" t="s">
        <v>398</v>
      </c>
      <c r="R250" s="46">
        <v>1</v>
      </c>
      <c r="S250" s="512"/>
      <c r="T250" s="57"/>
      <c r="U250" s="512"/>
      <c r="V250" s="57"/>
      <c r="W250" s="269"/>
      <c r="X250" s="37"/>
      <c r="Y250" s="38"/>
      <c r="Z250" s="79"/>
      <c r="AA250" s="72"/>
      <c r="AD250" s="57"/>
      <c r="AE250" s="208">
        <f>ROUND((ROUND((ROUND((_15_同援日１．０*_15・基礎２),0)*_15・２人),0)*(1+_15・A深夜)),0)+ROUND((ROUND((ROUND((_15_同援日１．０＿０．５*_15・基礎２),0)*_15・２人),0)*(1+_15・B早朝)),0)+ROUND((ROUND((_15_同援日１．０＿０．５＿１．０*_15・基礎２),0)*_15・２人),0)</f>
        <v>672</v>
      </c>
      <c r="AF250" s="48"/>
    </row>
    <row r="251" spans="1:32" ht="16.5" customHeight="1" x14ac:dyDescent="0.15">
      <c r="A251" s="41">
        <v>15</v>
      </c>
      <c r="B251" s="41" t="s">
        <v>21643</v>
      </c>
      <c r="C251" s="74" t="s">
        <v>21644</v>
      </c>
      <c r="D251" s="72"/>
      <c r="F251" s="57"/>
      <c r="G251" s="72"/>
      <c r="I251" s="57"/>
      <c r="J251" s="72"/>
      <c r="L251" s="57"/>
      <c r="M251" s="114"/>
      <c r="N251" s="49"/>
      <c r="O251" s="50"/>
      <c r="P251" s="299"/>
      <c r="Q251" s="45"/>
      <c r="R251" s="46"/>
      <c r="S251" s="512"/>
      <c r="T251" s="57"/>
      <c r="U251" s="512"/>
      <c r="V251" s="57"/>
      <c r="W251" s="114" t="s">
        <v>17562</v>
      </c>
      <c r="X251" s="49"/>
      <c r="Y251" s="50"/>
      <c r="Z251" s="115"/>
      <c r="AA251" s="72"/>
      <c r="AD251" s="57"/>
      <c r="AE251" s="208">
        <f>ROUND((ROUND((_15_同援日１．０*(1+_15・A深夜)),0)*(1+_15・盲ろう)),0)+ROUND((ROUND((_15_同援日１．０＿０．５*(1+_15・B早朝)),0)*(1+_15・盲ろう)),0)+ROUND((_15_同援日１．０＿０．５＿１．０*(1+_15・盲ろう)),0)</f>
        <v>934</v>
      </c>
      <c r="AF251" s="48"/>
    </row>
    <row r="252" spans="1:32" ht="16.5" customHeight="1" x14ac:dyDescent="0.15">
      <c r="A252" s="41">
        <v>15</v>
      </c>
      <c r="B252" s="41" t="s">
        <v>21645</v>
      </c>
      <c r="C252" s="74" t="s">
        <v>21646</v>
      </c>
      <c r="D252" s="72"/>
      <c r="F252" s="57"/>
      <c r="G252" s="72"/>
      <c r="I252" s="57"/>
      <c r="J252" s="72"/>
      <c r="L252" s="57"/>
      <c r="M252" s="269"/>
      <c r="N252" s="37"/>
      <c r="O252" s="38"/>
      <c r="P252" s="299" t="s">
        <v>17556</v>
      </c>
      <c r="Q252" s="45" t="s">
        <v>398</v>
      </c>
      <c r="R252" s="46">
        <v>1</v>
      </c>
      <c r="S252" s="512"/>
      <c r="T252" s="57"/>
      <c r="U252" s="512"/>
      <c r="V252" s="57"/>
      <c r="W252" s="92" t="s">
        <v>17564</v>
      </c>
      <c r="Z252" s="57"/>
      <c r="AA252" s="72"/>
      <c r="AD252" s="57"/>
      <c r="AE252" s="208">
        <f>ROUND((ROUND((ROUND((_15_同援日１．０*_15・２人),0)*(1+_15・A深夜)),0)*(1+_15・盲ろう)),0)+ROUND((ROUND((ROUND((_15_同援日１．０＿０．５*_15・２人),0)*(1+_15・B早朝)),0)*(1+_15・盲ろう)),0)+ROUND((ROUND((_15_同援日１．０＿０．５＿１．０*_15・２人),0)*(1+_15・盲ろう)),0)</f>
        <v>934</v>
      </c>
      <c r="AF252" s="48"/>
    </row>
    <row r="253" spans="1:32" ht="16.5" customHeight="1" x14ac:dyDescent="0.15">
      <c r="A253" s="41">
        <v>15</v>
      </c>
      <c r="B253" s="41" t="s">
        <v>21647</v>
      </c>
      <c r="C253" s="74" t="s">
        <v>21648</v>
      </c>
      <c r="D253" s="72"/>
      <c r="F253" s="57"/>
      <c r="G253" s="72"/>
      <c r="I253" s="57"/>
      <c r="J253" s="72"/>
      <c r="L253" s="57"/>
      <c r="M253" s="114" t="s">
        <v>17558</v>
      </c>
      <c r="N253" s="49"/>
      <c r="O253" s="50"/>
      <c r="P253" s="299"/>
      <c r="Q253" s="45"/>
      <c r="R253" s="46"/>
      <c r="S253" s="512"/>
      <c r="T253" s="57"/>
      <c r="U253" s="512"/>
      <c r="V253" s="57"/>
      <c r="W253" s="92"/>
      <c r="X253" s="12" t="s">
        <v>398</v>
      </c>
      <c r="Y253" s="13">
        <v>0.25</v>
      </c>
      <c r="Z253" s="57" t="s">
        <v>3575</v>
      </c>
      <c r="AA253" s="72"/>
      <c r="AD253" s="57"/>
      <c r="AE253" s="208">
        <f>ROUND((ROUND((ROUND((_15_同援日１．０*_15・基礎２),0)*(1+_15・A深夜)),0)*(1+_15・盲ろう)),0)+ROUND((ROUND((ROUND((_15_同援日１．０＿０．５*_15・基礎２),0)*(1+_15・B早朝)),0)*(1+_15・盲ろう)),0)+ROUND((ROUND((_15_同援日１．０＿０．５＿１．０*_15・基礎２),0)*(1+_15・盲ろう)),0)</f>
        <v>840</v>
      </c>
      <c r="AF253" s="48"/>
    </row>
    <row r="254" spans="1:32" ht="16.5" customHeight="1" x14ac:dyDescent="0.15">
      <c r="A254" s="41">
        <v>15</v>
      </c>
      <c r="B254" s="41" t="s">
        <v>21649</v>
      </c>
      <c r="C254" s="74" t="s">
        <v>21650</v>
      </c>
      <c r="D254" s="72"/>
      <c r="F254" s="57"/>
      <c r="G254" s="72"/>
      <c r="I254" s="57"/>
      <c r="J254" s="72"/>
      <c r="L254" s="57"/>
      <c r="M254" s="269" t="s">
        <v>17560</v>
      </c>
      <c r="N254" s="37" t="s">
        <v>398</v>
      </c>
      <c r="O254" s="38">
        <v>0.9</v>
      </c>
      <c r="P254" s="299" t="s">
        <v>17556</v>
      </c>
      <c r="Q254" s="45" t="s">
        <v>398</v>
      </c>
      <c r="R254" s="46">
        <v>1</v>
      </c>
      <c r="S254" s="512"/>
      <c r="T254" s="57"/>
      <c r="U254" s="512"/>
      <c r="V254" s="57"/>
      <c r="W254" s="269"/>
      <c r="X254" s="37"/>
      <c r="Y254" s="38"/>
      <c r="Z254" s="79"/>
      <c r="AA254" s="269"/>
      <c r="AB254" s="37"/>
      <c r="AC254" s="38"/>
      <c r="AD254" s="79"/>
      <c r="AE254" s="208">
        <f>ROUND((ROUND((ROUND((ROUND((_15_同援日１．０*_15・基礎２),0)*_15・２人),0)*(1+_15・A深夜)),0)*(1+_15・盲ろう)),0)+ROUND((ROUND((ROUND((ROUND((_15_同援日１．０＿０．５*_15・基礎２),0)*_15・２人),0)*(1+_15・B早朝)),0)*(1+_15・盲ろう)),0)+ROUND((ROUND((ROUND((_15_同援日１．０＿０．５＿１．０*_15・基礎２),0)*_15・２人),0)*(1+_15・盲ろう)),0)</f>
        <v>840</v>
      </c>
      <c r="AF254" s="48"/>
    </row>
    <row r="255" spans="1:32" ht="16.5" customHeight="1" x14ac:dyDescent="0.15">
      <c r="A255" s="41">
        <v>15</v>
      </c>
      <c r="B255" s="41" t="s">
        <v>21651</v>
      </c>
      <c r="C255" s="74" t="s">
        <v>21652</v>
      </c>
      <c r="D255" s="72"/>
      <c r="F255" s="57"/>
      <c r="G255" s="72"/>
      <c r="I255" s="57"/>
      <c r="J255" s="72"/>
      <c r="L255" s="57"/>
      <c r="M255" s="114"/>
      <c r="N255" s="49"/>
      <c r="O255" s="50"/>
      <c r="P255" s="299"/>
      <c r="Q255" s="45"/>
      <c r="R255" s="46"/>
      <c r="S255" s="512"/>
      <c r="T255" s="57"/>
      <c r="U255" s="512"/>
      <c r="V255" s="57"/>
      <c r="W255" s="114"/>
      <c r="X255" s="49"/>
      <c r="Y255" s="50"/>
      <c r="Z255" s="115"/>
      <c r="AA255" s="116"/>
      <c r="AB255" s="49"/>
      <c r="AC255" s="50"/>
      <c r="AD255" s="115"/>
      <c r="AE255" s="208">
        <f>ROUND((ROUND((_15_同援日１．０*(1+_15・A深夜)),0)*(1+_15・区３)),0)+ROUND((ROUND((_15_同援日１．０＿０．５*(1+_15・B早朝)),0)*(1+_15・区３)),0)+ROUND((_15_同援日１．０＿０．５＿１．０*(1+_15・区３)),0)</f>
        <v>895</v>
      </c>
      <c r="AF255" s="48"/>
    </row>
    <row r="256" spans="1:32" ht="16.5" customHeight="1" x14ac:dyDescent="0.15">
      <c r="A256" s="41">
        <v>15</v>
      </c>
      <c r="B256" s="41" t="s">
        <v>21653</v>
      </c>
      <c r="C256" s="74" t="s">
        <v>21654</v>
      </c>
      <c r="D256" s="72"/>
      <c r="F256" s="57"/>
      <c r="G256" s="72"/>
      <c r="I256" s="57"/>
      <c r="J256" s="72"/>
      <c r="L256" s="57"/>
      <c r="M256" s="269"/>
      <c r="N256" s="37"/>
      <c r="O256" s="38"/>
      <c r="P256" s="299" t="s">
        <v>17556</v>
      </c>
      <c r="Q256" s="45" t="s">
        <v>398</v>
      </c>
      <c r="R256" s="46">
        <v>1</v>
      </c>
      <c r="S256" s="512"/>
      <c r="T256" s="57"/>
      <c r="U256" s="512"/>
      <c r="V256" s="57"/>
      <c r="W256" s="92"/>
      <c r="Z256" s="57"/>
      <c r="AA256" s="72"/>
      <c r="AD256" s="57"/>
      <c r="AE256" s="208">
        <f>ROUND((ROUND((ROUND((_15_同援日１．０*_15・２人),0)*(1+_15・A深夜)),0)*(1+_15・区３)),0)+ROUND((ROUND((ROUND((_15_同援日１．０＿０．５*_15・２人),0)*(1+_15・B早朝)),0)*(1+_15・区３)),0)+ROUND((ROUND((_15_同援日１．０＿０．５＿１．０*_15・２人),0)*(1+_15・区３)),0)</f>
        <v>895</v>
      </c>
      <c r="AF256" s="48"/>
    </row>
    <row r="257" spans="1:32" ht="16.5" customHeight="1" x14ac:dyDescent="0.15">
      <c r="A257" s="41">
        <v>15</v>
      </c>
      <c r="B257" s="41" t="s">
        <v>21655</v>
      </c>
      <c r="C257" s="74" t="s">
        <v>21656</v>
      </c>
      <c r="D257" s="72"/>
      <c r="F257" s="57"/>
      <c r="G257" s="72"/>
      <c r="I257" s="57"/>
      <c r="J257" s="72"/>
      <c r="L257" s="57"/>
      <c r="M257" s="114" t="s">
        <v>17558</v>
      </c>
      <c r="N257" s="49"/>
      <c r="O257" s="50"/>
      <c r="P257" s="299"/>
      <c r="Q257" s="45"/>
      <c r="R257" s="46"/>
      <c r="S257" s="512"/>
      <c r="T257" s="57"/>
      <c r="U257" s="512"/>
      <c r="V257" s="57"/>
      <c r="W257" s="92"/>
      <c r="Z257" s="57"/>
      <c r="AA257" s="72" t="s">
        <v>17570</v>
      </c>
      <c r="AD257" s="57"/>
      <c r="AE257" s="208">
        <f>ROUND((ROUND((ROUND((_15_同援日１．０*_15・基礎２),0)*(1+_15・A深夜)),0)*(1+_15・区３)),0)+ROUND((ROUND((ROUND((_15_同援日１．０＿０．５*_15・基礎２),0)*(1+_15・B早朝)),0)*(1+_15・区３)),0)+ROUND((ROUND((_15_同援日１．０＿０．５＿１．０*_15・基礎２),0)*(1+_15・区３)),0)</f>
        <v>806</v>
      </c>
      <c r="AF257" s="48"/>
    </row>
    <row r="258" spans="1:32" ht="16.5" customHeight="1" x14ac:dyDescent="0.15">
      <c r="A258" s="41">
        <v>15</v>
      </c>
      <c r="B258" s="41" t="s">
        <v>21657</v>
      </c>
      <c r="C258" s="74" t="s">
        <v>21658</v>
      </c>
      <c r="D258" s="72"/>
      <c r="F258" s="57"/>
      <c r="G258" s="72"/>
      <c r="I258" s="57"/>
      <c r="J258" s="72"/>
      <c r="L258" s="57"/>
      <c r="M258" s="269" t="s">
        <v>17560</v>
      </c>
      <c r="N258" s="37" t="s">
        <v>398</v>
      </c>
      <c r="O258" s="38">
        <v>0.9</v>
      </c>
      <c r="P258" s="299" t="s">
        <v>17556</v>
      </c>
      <c r="Q258" s="45" t="s">
        <v>398</v>
      </c>
      <c r="R258" s="46">
        <v>1</v>
      </c>
      <c r="S258" s="512"/>
      <c r="T258" s="57"/>
      <c r="U258" s="512"/>
      <c r="V258" s="57"/>
      <c r="W258" s="269"/>
      <c r="X258" s="37"/>
      <c r="Y258" s="38"/>
      <c r="Z258" s="79"/>
      <c r="AA258" s="72" t="s">
        <v>17572</v>
      </c>
      <c r="AD258" s="57"/>
      <c r="AE258" s="208">
        <f>ROUND((ROUND((ROUND((ROUND((_15_同援日１．０*_15・基礎２),0)*_15・２人),0)*(1+_15・A深夜)),0)*(1+_15・区３)),0)+ROUND((ROUND((ROUND((ROUND((_15_同援日１．０＿０．５*_15・基礎２),0)*_15・２人),0)*(1+_15・B早朝)),0)*(1+_15・区３)),0)+ROUND((ROUND((ROUND((_15_同援日１．０＿０．５＿１．０*_15・基礎２),0)*_15・２人),0)*(1+_15・区３)),0)</f>
        <v>806</v>
      </c>
      <c r="AF258" s="48"/>
    </row>
    <row r="259" spans="1:32" ht="16.5" customHeight="1" x14ac:dyDescent="0.15">
      <c r="A259" s="41">
        <v>15</v>
      </c>
      <c r="B259" s="41" t="s">
        <v>21659</v>
      </c>
      <c r="C259" s="74" t="s">
        <v>21660</v>
      </c>
      <c r="D259" s="72"/>
      <c r="F259" s="57"/>
      <c r="G259" s="72"/>
      <c r="I259" s="57"/>
      <c r="J259" s="72"/>
      <c r="L259" s="57"/>
      <c r="M259" s="114"/>
      <c r="N259" s="49"/>
      <c r="O259" s="50"/>
      <c r="P259" s="299"/>
      <c r="Q259" s="45"/>
      <c r="R259" s="46"/>
      <c r="S259" s="512"/>
      <c r="T259" s="57"/>
      <c r="U259" s="512"/>
      <c r="V259" s="57"/>
      <c r="W259" s="114" t="s">
        <v>17562</v>
      </c>
      <c r="X259" s="49"/>
      <c r="Y259" s="50"/>
      <c r="Z259" s="115"/>
      <c r="AA259" s="72"/>
      <c r="AB259" s="12" t="s">
        <v>398</v>
      </c>
      <c r="AC259" s="13">
        <v>0.2</v>
      </c>
      <c r="AD259" s="57" t="s">
        <v>3575</v>
      </c>
      <c r="AE259" s="208">
        <f>ROUND((ROUND((ROUND((_15_同援日１．０*(1+_15・A深夜)),0)*(1+_15・盲ろう)),0)*(1+_15・区３)),0)+ROUND((ROUND((ROUND((_15_同援日１．０＿０．５*(1+_15・B早朝)),0)*(1+_15・盲ろう)),0)*(1+_15・区３)),0)+ROUND((ROUND((_15_同援日１．０＿０．５＿１．０*(1+_15・盲ろう)),0)*(1+_15・区３)),0)</f>
        <v>1122</v>
      </c>
      <c r="AF259" s="48"/>
    </row>
    <row r="260" spans="1:32" ht="16.5" customHeight="1" x14ac:dyDescent="0.15">
      <c r="A260" s="41">
        <v>15</v>
      </c>
      <c r="B260" s="41" t="s">
        <v>21661</v>
      </c>
      <c r="C260" s="74" t="s">
        <v>21662</v>
      </c>
      <c r="D260" s="72"/>
      <c r="F260" s="57"/>
      <c r="G260" s="72"/>
      <c r="I260" s="57"/>
      <c r="J260" s="72"/>
      <c r="L260" s="57"/>
      <c r="M260" s="269"/>
      <c r="N260" s="37"/>
      <c r="O260" s="38"/>
      <c r="P260" s="299" t="s">
        <v>17556</v>
      </c>
      <c r="Q260" s="45" t="s">
        <v>398</v>
      </c>
      <c r="R260" s="46">
        <v>1</v>
      </c>
      <c r="S260" s="512"/>
      <c r="T260" s="57"/>
      <c r="U260" s="512"/>
      <c r="V260" s="57"/>
      <c r="W260" s="92" t="s">
        <v>17564</v>
      </c>
      <c r="Z260" s="57"/>
      <c r="AA260" s="72"/>
      <c r="AD260" s="57"/>
      <c r="AE260" s="208">
        <f>ROUND((ROUND((ROUND((ROUND((_15_同援日１．０*_15・２人),0)*(1+_15・A深夜)),0)*(1+_15・盲ろう)),0)*(1+_15・区３)),0)+ROUND((ROUND((ROUND((ROUND((_15_同援日１．０＿０．５*_15・２人),0)*(1+_15・B早朝)),0)*(1+_15・盲ろう)),0)*(1+_15・区３)),0)+ROUND((ROUND((ROUND((_15_同援日１．０＿０．５＿１．０*_15・２人),0)*(1+_15・盲ろう)),0)*(1+_15・区３)),0)</f>
        <v>1122</v>
      </c>
      <c r="AF260" s="48"/>
    </row>
    <row r="261" spans="1:32" ht="16.5" customHeight="1" x14ac:dyDescent="0.15">
      <c r="A261" s="41">
        <v>15</v>
      </c>
      <c r="B261" s="41" t="s">
        <v>21663</v>
      </c>
      <c r="C261" s="74" t="s">
        <v>21664</v>
      </c>
      <c r="D261" s="72"/>
      <c r="F261" s="57"/>
      <c r="G261" s="72"/>
      <c r="I261" s="57"/>
      <c r="J261" s="72"/>
      <c r="L261" s="57"/>
      <c r="M261" s="114" t="s">
        <v>17558</v>
      </c>
      <c r="N261" s="49"/>
      <c r="O261" s="50"/>
      <c r="P261" s="299"/>
      <c r="Q261" s="45"/>
      <c r="R261" s="46"/>
      <c r="S261" s="512"/>
      <c r="T261" s="57"/>
      <c r="U261" s="512"/>
      <c r="V261" s="57"/>
      <c r="W261" s="92"/>
      <c r="X261" s="12" t="s">
        <v>398</v>
      </c>
      <c r="Y261" s="13">
        <v>0.25</v>
      </c>
      <c r="Z261" s="57" t="s">
        <v>3575</v>
      </c>
      <c r="AA261" s="72"/>
      <c r="AD261" s="57"/>
      <c r="AE261" s="208">
        <f>ROUND((ROUND((ROUND((ROUND((_15_同援日１．０*_15・基礎２),0)*(1+_15・A深夜)),0)*(1+_15・盲ろう)),0)*(1+_15・区３)),0)+ROUND((ROUND((ROUND((ROUND((_15_同援日１．０＿０．５*_15・基礎２),0)*(1+_15・B早朝)),0)*(1+_15・盲ろう)),0)*(1+_15・区３)),0)+ROUND((ROUND((ROUND((_15_同援日１．０＿０．５＿１．０*_15・基礎２),0)*(1+_15・盲ろう)),0)*(1+_15・区３)),0)</f>
        <v>1008</v>
      </c>
      <c r="AF261" s="48"/>
    </row>
    <row r="262" spans="1:32" ht="16.5" customHeight="1" x14ac:dyDescent="0.15">
      <c r="A262" s="41">
        <v>15</v>
      </c>
      <c r="B262" s="41" t="s">
        <v>21665</v>
      </c>
      <c r="C262" s="74" t="s">
        <v>21666</v>
      </c>
      <c r="D262" s="72"/>
      <c r="F262" s="57"/>
      <c r="G262" s="72"/>
      <c r="I262" s="57"/>
      <c r="J262" s="72"/>
      <c r="L262" s="57"/>
      <c r="M262" s="269" t="s">
        <v>17560</v>
      </c>
      <c r="N262" s="37" t="s">
        <v>398</v>
      </c>
      <c r="O262" s="38">
        <v>0.9</v>
      </c>
      <c r="P262" s="299" t="s">
        <v>17556</v>
      </c>
      <c r="Q262" s="45" t="s">
        <v>398</v>
      </c>
      <c r="R262" s="46">
        <v>1</v>
      </c>
      <c r="S262" s="512"/>
      <c r="T262" s="57"/>
      <c r="U262" s="512"/>
      <c r="V262" s="57"/>
      <c r="W262" s="269"/>
      <c r="X262" s="37"/>
      <c r="Y262" s="38"/>
      <c r="Z262" s="79"/>
      <c r="AA262" s="269"/>
      <c r="AB262" s="37"/>
      <c r="AC262" s="38"/>
      <c r="AD262" s="79"/>
      <c r="AE262" s="208">
        <f>ROUND((ROUND((ROUND((ROUND((ROUND((_15_同援日１．０*_15・基礎２),0)*_15・２人),0)*(1+_15・A深夜)),0)*(1+_15・盲ろう)),0)*(1+_15・区３)),0)+ROUND((ROUND((ROUND((ROUND((ROUND((_15_同援日１．０＿０．５*_15・基礎２),0)*_15・２人),0)*(1+_15・B早朝)),0)*(1+_15・盲ろう)),0)*(1+_15・区３)),0)+ROUND((ROUND((ROUND((ROUND((_15_同援日１．０＿０．５＿１．０*_15・基礎２),0)*_15・２人),0)*(1+_15・盲ろう)),0)*(1+_15・区３)),0)</f>
        <v>1008</v>
      </c>
      <c r="AF262" s="48"/>
    </row>
    <row r="263" spans="1:32" ht="16.5" customHeight="1" x14ac:dyDescent="0.15">
      <c r="A263" s="41">
        <v>15</v>
      </c>
      <c r="B263" s="41" t="s">
        <v>21667</v>
      </c>
      <c r="C263" s="74" t="s">
        <v>21668</v>
      </c>
      <c r="D263" s="72"/>
      <c r="F263" s="57"/>
      <c r="G263" s="72"/>
      <c r="I263" s="57"/>
      <c r="J263" s="72"/>
      <c r="L263" s="57"/>
      <c r="M263" s="114"/>
      <c r="N263" s="49"/>
      <c r="O263" s="50"/>
      <c r="P263" s="299"/>
      <c r="Q263" s="45"/>
      <c r="R263" s="46"/>
      <c r="S263" s="512"/>
      <c r="T263" s="57"/>
      <c r="U263" s="512"/>
      <c r="V263" s="57"/>
      <c r="W263" s="114"/>
      <c r="X263" s="49"/>
      <c r="Y263" s="50"/>
      <c r="Z263" s="115"/>
      <c r="AA263" s="116"/>
      <c r="AB263" s="49"/>
      <c r="AC263" s="50"/>
      <c r="AD263" s="115"/>
      <c r="AE263" s="208">
        <f>ROUND((ROUND((_15_同援日１．０*(1+_15・A深夜)),0)*(1+_15・区４)),0)+ROUND((ROUND((_15_同援日１．０＿０．５*(1+_15・B早朝)),0)*(1+_15・区４)),0)+ROUND((_15_同援日１．０＿０．５＿１．０*(1+_15・区４)),0)</f>
        <v>1044</v>
      </c>
      <c r="AF263" s="48"/>
    </row>
    <row r="264" spans="1:32" ht="16.5" customHeight="1" x14ac:dyDescent="0.15">
      <c r="A264" s="41">
        <v>15</v>
      </c>
      <c r="B264" s="41" t="s">
        <v>21669</v>
      </c>
      <c r="C264" s="74" t="s">
        <v>21670</v>
      </c>
      <c r="D264" s="72"/>
      <c r="F264" s="57"/>
      <c r="G264" s="72"/>
      <c r="I264" s="57"/>
      <c r="J264" s="72"/>
      <c r="L264" s="57"/>
      <c r="M264" s="269"/>
      <c r="N264" s="37"/>
      <c r="O264" s="38"/>
      <c r="P264" s="299" t="s">
        <v>17556</v>
      </c>
      <c r="Q264" s="45" t="s">
        <v>398</v>
      </c>
      <c r="R264" s="46">
        <v>1</v>
      </c>
      <c r="S264" s="512"/>
      <c r="T264" s="57"/>
      <c r="U264" s="512"/>
      <c r="V264" s="57"/>
      <c r="W264" s="92"/>
      <c r="Z264" s="57"/>
      <c r="AA264" s="72"/>
      <c r="AD264" s="57"/>
      <c r="AE264" s="208">
        <f>ROUND((ROUND((ROUND((_15_同援日１．０*_15・２人),0)*(1+_15・A深夜)),0)*(1+_15・区４)),0)+ROUND((ROUND((ROUND((_15_同援日１．０＿０．５*_15・２人),0)*(1+_15・B早朝)),0)*(1+_15・区４)),0)+ROUND((ROUND((_15_同援日１．０＿０．５＿１．０*_15・２人),0)*(1+_15・区４)),0)</f>
        <v>1044</v>
      </c>
      <c r="AF264" s="48"/>
    </row>
    <row r="265" spans="1:32" ht="16.5" customHeight="1" x14ac:dyDescent="0.15">
      <c r="A265" s="41">
        <v>15</v>
      </c>
      <c r="B265" s="41" t="s">
        <v>1010</v>
      </c>
      <c r="C265" s="74" t="s">
        <v>21671</v>
      </c>
      <c r="D265" s="72"/>
      <c r="F265" s="57"/>
      <c r="G265" s="72"/>
      <c r="I265" s="57"/>
      <c r="J265" s="72"/>
      <c r="L265" s="57"/>
      <c r="M265" s="114" t="s">
        <v>17558</v>
      </c>
      <c r="N265" s="49"/>
      <c r="O265" s="50"/>
      <c r="P265" s="299"/>
      <c r="Q265" s="45"/>
      <c r="R265" s="46"/>
      <c r="S265" s="512"/>
      <c r="T265" s="57"/>
      <c r="U265" s="512"/>
      <c r="V265" s="57"/>
      <c r="W265" s="92"/>
      <c r="Z265" s="57"/>
      <c r="AA265" s="72" t="s">
        <v>17580</v>
      </c>
      <c r="AD265" s="57"/>
      <c r="AE265" s="208">
        <f>ROUND((ROUND((ROUND((_15_同援日１．０*_15・基礎２),0)*(1+_15・A深夜)),0)*(1+_15・区４)),0)+ROUND((ROUND((ROUND((_15_同援日１．０＿０．５*_15・基礎２),0)*(1+_15・B早朝)),0)*(1+_15・区４)),0)+ROUND((ROUND((_15_同援日１．０＿０．５＿１．０*_15・基礎２),0)*(1+_15・区４)),0)</f>
        <v>941</v>
      </c>
      <c r="AF265" s="48"/>
    </row>
    <row r="266" spans="1:32" ht="16.5" customHeight="1" x14ac:dyDescent="0.15">
      <c r="A266" s="41">
        <v>15</v>
      </c>
      <c r="B266" s="41" t="s">
        <v>1012</v>
      </c>
      <c r="C266" s="74" t="s">
        <v>21672</v>
      </c>
      <c r="D266" s="72"/>
      <c r="F266" s="57"/>
      <c r="G266" s="72"/>
      <c r="I266" s="57"/>
      <c r="J266" s="72"/>
      <c r="L266" s="57"/>
      <c r="M266" s="269" t="s">
        <v>17560</v>
      </c>
      <c r="N266" s="37" t="s">
        <v>398</v>
      </c>
      <c r="O266" s="38">
        <v>0.9</v>
      </c>
      <c r="P266" s="299" t="s">
        <v>17556</v>
      </c>
      <c r="Q266" s="45" t="s">
        <v>398</v>
      </c>
      <c r="R266" s="46">
        <v>1</v>
      </c>
      <c r="S266" s="512"/>
      <c r="T266" s="57"/>
      <c r="U266" s="512"/>
      <c r="V266" s="57"/>
      <c r="W266" s="269"/>
      <c r="X266" s="37"/>
      <c r="Y266" s="38"/>
      <c r="Z266" s="79"/>
      <c r="AA266" s="72" t="s">
        <v>17572</v>
      </c>
      <c r="AD266" s="57"/>
      <c r="AE266" s="208">
        <f>ROUND((ROUND((ROUND((ROUND((_15_同援日１．０*_15・基礎２),0)*_15・２人),0)*(1+_15・A深夜)),0)*(1+_15・区４)),0)+ROUND((ROUND((ROUND((ROUND((_15_同援日１．０＿０．５*_15・基礎２),0)*_15・２人),0)*(1+_15・B早朝)),0)*(1+_15・区４)),0)+ROUND((ROUND((ROUND((_15_同援日１．０＿０．５＿１．０*_15・基礎２),0)*_15・２人),0)*(1+_15・区４)),0)</f>
        <v>941</v>
      </c>
      <c r="AF266" s="48"/>
    </row>
    <row r="267" spans="1:32" ht="16.5" customHeight="1" x14ac:dyDescent="0.15">
      <c r="A267" s="41">
        <v>15</v>
      </c>
      <c r="B267" s="41" t="s">
        <v>1014</v>
      </c>
      <c r="C267" s="74" t="s">
        <v>21673</v>
      </c>
      <c r="D267" s="72"/>
      <c r="F267" s="57"/>
      <c r="G267" s="72"/>
      <c r="I267" s="57"/>
      <c r="J267" s="72"/>
      <c r="L267" s="57"/>
      <c r="M267" s="114"/>
      <c r="N267" s="49"/>
      <c r="O267" s="50"/>
      <c r="P267" s="299"/>
      <c r="Q267" s="45"/>
      <c r="R267" s="46"/>
      <c r="S267" s="512"/>
      <c r="T267" s="57"/>
      <c r="U267" s="512"/>
      <c r="V267" s="57"/>
      <c r="W267" s="114" t="s">
        <v>17562</v>
      </c>
      <c r="X267" s="49"/>
      <c r="Y267" s="50"/>
      <c r="Z267" s="115"/>
      <c r="AA267" s="72"/>
      <c r="AB267" s="12" t="s">
        <v>398</v>
      </c>
      <c r="AC267" s="13">
        <v>0.4</v>
      </c>
      <c r="AD267" s="57" t="s">
        <v>3575</v>
      </c>
      <c r="AE267" s="208">
        <f>ROUND((ROUND((ROUND((_15_同援日１．０*(1+_15・A深夜)),0)*(1+_15・盲ろう)),0)*(1+_15・区４)),0)+ROUND((ROUND((ROUND((_15_同援日１．０＿０．５*(1+_15・B早朝)),0)*(1+_15・盲ろう)),0)*(1+_15・区４)),0)+ROUND((ROUND((_15_同援日１．０＿０．５＿１．０*(1+_15・盲ろう)),0)*(1+_15・区４)),0)</f>
        <v>1307</v>
      </c>
      <c r="AF267" s="48"/>
    </row>
    <row r="268" spans="1:32" ht="16.5" customHeight="1" x14ac:dyDescent="0.15">
      <c r="A268" s="41">
        <v>15</v>
      </c>
      <c r="B268" s="41" t="s">
        <v>1016</v>
      </c>
      <c r="C268" s="74" t="s">
        <v>21674</v>
      </c>
      <c r="D268" s="72"/>
      <c r="F268" s="57"/>
      <c r="G268" s="72"/>
      <c r="I268" s="57"/>
      <c r="J268" s="72"/>
      <c r="L268" s="57"/>
      <c r="M268" s="269"/>
      <c r="N268" s="37"/>
      <c r="O268" s="38"/>
      <c r="P268" s="299" t="s">
        <v>17556</v>
      </c>
      <c r="Q268" s="45" t="s">
        <v>398</v>
      </c>
      <c r="R268" s="46">
        <v>1</v>
      </c>
      <c r="S268" s="512"/>
      <c r="T268" s="57"/>
      <c r="U268" s="512"/>
      <c r="V268" s="57"/>
      <c r="W268" s="92" t="s">
        <v>17564</v>
      </c>
      <c r="Z268" s="57"/>
      <c r="AA268" s="72"/>
      <c r="AD268" s="57"/>
      <c r="AE268" s="208">
        <f>ROUND((ROUND((ROUND((ROUND((_15_同援日１．０*_15・２人),0)*(1+_15・A深夜)),0)*(1+_15・盲ろう)),0)*(1+_15・区４)),0)+ROUND((ROUND((ROUND((ROUND((_15_同援日１．０＿０．５*_15・２人),0)*(1+_15・B早朝)),0)*(1+_15・盲ろう)),0)*(1+_15・区４)),0)+ROUND((ROUND((ROUND((_15_同援日１．０＿０．５＿１．０*_15・２人),0)*(1+_15・盲ろう)),0)*(1+_15・区４)),0)</f>
        <v>1307</v>
      </c>
      <c r="AF268" s="48"/>
    </row>
    <row r="269" spans="1:32" ht="16.5" customHeight="1" x14ac:dyDescent="0.15">
      <c r="A269" s="41">
        <v>15</v>
      </c>
      <c r="B269" s="41" t="s">
        <v>21675</v>
      </c>
      <c r="C269" s="74" t="s">
        <v>21676</v>
      </c>
      <c r="D269" s="72"/>
      <c r="F269" s="57"/>
      <c r="G269" s="72"/>
      <c r="I269" s="57"/>
      <c r="J269" s="72"/>
      <c r="L269" s="57"/>
      <c r="M269" s="114" t="s">
        <v>17558</v>
      </c>
      <c r="N269" s="49"/>
      <c r="O269" s="50"/>
      <c r="P269" s="299"/>
      <c r="Q269" s="45"/>
      <c r="R269" s="46"/>
      <c r="S269" s="512"/>
      <c r="T269" s="57"/>
      <c r="U269" s="512"/>
      <c r="V269" s="57"/>
      <c r="W269" s="92"/>
      <c r="X269" s="12" t="s">
        <v>398</v>
      </c>
      <c r="Y269" s="13">
        <v>0.25</v>
      </c>
      <c r="Z269" s="57" t="s">
        <v>3575</v>
      </c>
      <c r="AA269" s="72"/>
      <c r="AD269" s="57"/>
      <c r="AE269" s="208">
        <f>ROUND((ROUND((ROUND((ROUND((_15_同援日１．０*_15・基礎２),0)*(1+_15・A深夜)),0)*(1+_15・盲ろう)),0)*(1+_15・区４)),0)+ROUND((ROUND((ROUND((ROUND((_15_同援日１．０＿０．５*_15・基礎２),0)*(1+_15・B早朝)),0)*(1+_15・盲ろう)),0)*(1+_15・区４)),0)+ROUND((ROUND((ROUND((_15_同援日１．０＿０．５＿１．０*_15・基礎２),0)*(1+_15・盲ろう)),0)*(1+_15・区４)),0)</f>
        <v>1175</v>
      </c>
      <c r="AF269" s="48"/>
    </row>
    <row r="270" spans="1:32" ht="16.5" customHeight="1" x14ac:dyDescent="0.15">
      <c r="A270" s="41">
        <v>15</v>
      </c>
      <c r="B270" s="41" t="s">
        <v>21677</v>
      </c>
      <c r="C270" s="74" t="s">
        <v>21678</v>
      </c>
      <c r="D270" s="72"/>
      <c r="F270" s="57"/>
      <c r="G270" s="72"/>
      <c r="I270" s="57"/>
      <c r="J270" s="122"/>
      <c r="K270" s="37"/>
      <c r="L270" s="79"/>
      <c r="M270" s="269" t="s">
        <v>17560</v>
      </c>
      <c r="N270" s="37" t="s">
        <v>398</v>
      </c>
      <c r="O270" s="38">
        <v>0.9</v>
      </c>
      <c r="P270" s="299" t="s">
        <v>17556</v>
      </c>
      <c r="Q270" s="45" t="s">
        <v>398</v>
      </c>
      <c r="R270" s="46">
        <v>1</v>
      </c>
      <c r="S270" s="512"/>
      <c r="T270" s="57"/>
      <c r="U270" s="512"/>
      <c r="V270" s="57"/>
      <c r="W270" s="269"/>
      <c r="X270" s="37"/>
      <c r="Y270" s="38"/>
      <c r="Z270" s="79"/>
      <c r="AA270" s="269"/>
      <c r="AB270" s="37"/>
      <c r="AC270" s="38"/>
      <c r="AD270" s="79"/>
      <c r="AE270" s="208">
        <f>ROUND((ROUND((ROUND((ROUND((ROUND((_15_同援日１．０*_15・基礎２),0)*_15・２人),0)*(1+_15・A深夜)),0)*(1+_15・盲ろう)),0)*(1+_15・区４)),0)+ROUND((ROUND((ROUND((ROUND((ROUND((_15_同援日１．０＿０．５*_15・基礎２),0)*_15・２人),0)*(1+_15・B早朝)),0)*(1+_15・盲ろう)),0)*(1+_15・区４)),0)+ROUND((ROUND((ROUND((ROUND((_15_同援日１．０＿０．５＿１．０*_15・基礎２),0)*_15・２人),0)*(1+_15・盲ろう)),0)*(1+_15・区４)),0)</f>
        <v>1175</v>
      </c>
      <c r="AF270" s="48"/>
    </row>
    <row r="271" spans="1:32" ht="16.5" customHeight="1" x14ac:dyDescent="0.15">
      <c r="A271" s="41">
        <v>15</v>
      </c>
      <c r="B271" s="41" t="s">
        <v>21679</v>
      </c>
      <c r="C271" s="74" t="s">
        <v>21680</v>
      </c>
      <c r="D271" s="72"/>
      <c r="F271" s="57"/>
      <c r="G271" s="72"/>
      <c r="I271" s="57"/>
      <c r="J271" s="114" t="s">
        <v>21291</v>
      </c>
      <c r="K271" s="49"/>
      <c r="L271" s="115"/>
      <c r="M271" s="114"/>
      <c r="N271" s="49"/>
      <c r="O271" s="50"/>
      <c r="P271" s="299"/>
      <c r="Q271" s="45"/>
      <c r="R271" s="46"/>
      <c r="S271" s="512"/>
      <c r="T271" s="57"/>
      <c r="U271" s="512"/>
      <c r="V271" s="57"/>
      <c r="W271" s="114"/>
      <c r="X271" s="49"/>
      <c r="Y271" s="50"/>
      <c r="Z271" s="115"/>
      <c r="AA271" s="116"/>
      <c r="AB271" s="49"/>
      <c r="AC271" s="50"/>
      <c r="AD271" s="115"/>
      <c r="AE271" s="208">
        <f>ROUND((_15_同援日１．０*(1+_15・A深夜)),0)+ROUND((_15_同援日１．０＿０．５*(1+_15・B早朝)),0)+_15_同援日１．０＿０．５＿１．５</f>
        <v>811</v>
      </c>
      <c r="AF271" s="48"/>
    </row>
    <row r="272" spans="1:32" ht="16.5" customHeight="1" x14ac:dyDescent="0.15">
      <c r="A272" s="41">
        <v>15</v>
      </c>
      <c r="B272" s="41" t="s">
        <v>21681</v>
      </c>
      <c r="C272" s="74" t="s">
        <v>21682</v>
      </c>
      <c r="D272" s="72"/>
      <c r="F272" s="57"/>
      <c r="G272" s="72"/>
      <c r="I272" s="57"/>
      <c r="J272" s="72" t="s">
        <v>17616</v>
      </c>
      <c r="L272" s="57"/>
      <c r="M272" s="269"/>
      <c r="N272" s="37"/>
      <c r="O272" s="38"/>
      <c r="P272" s="299" t="s">
        <v>17556</v>
      </c>
      <c r="Q272" s="45" t="s">
        <v>398</v>
      </c>
      <c r="R272" s="46">
        <v>1</v>
      </c>
      <c r="S272" s="512"/>
      <c r="T272" s="57"/>
      <c r="U272" s="512"/>
      <c r="V272" s="57"/>
      <c r="W272" s="92"/>
      <c r="Z272" s="57"/>
      <c r="AA272" s="72"/>
      <c r="AD272" s="57"/>
      <c r="AE272" s="208">
        <f>ROUND((ROUND((_15_同援日１．０*_15・２人),0)*(1+_15・A深夜)),0)+ROUND((ROUND((_15_同援日１．０＿０．５*_15・２人),0)*(1+_15・B早朝)),0)+ROUND((_15_同援日１．０＿０．５＿１．５*_15・２人),0)</f>
        <v>811</v>
      </c>
      <c r="AF272" s="48"/>
    </row>
    <row r="273" spans="1:32" ht="16.5" customHeight="1" x14ac:dyDescent="0.15">
      <c r="A273" s="41">
        <v>15</v>
      </c>
      <c r="B273" s="41" t="s">
        <v>21683</v>
      </c>
      <c r="C273" s="74" t="s">
        <v>21684</v>
      </c>
      <c r="D273" s="72"/>
      <c r="F273" s="57"/>
      <c r="G273" s="72"/>
      <c r="I273" s="57"/>
      <c r="J273" s="72" t="s">
        <v>18183</v>
      </c>
      <c r="L273" s="57"/>
      <c r="M273" s="114" t="s">
        <v>17558</v>
      </c>
      <c r="N273" s="49"/>
      <c r="O273" s="50"/>
      <c r="P273" s="299"/>
      <c r="Q273" s="45"/>
      <c r="R273" s="46"/>
      <c r="S273" s="512"/>
      <c r="T273" s="57"/>
      <c r="U273" s="512"/>
      <c r="V273" s="57"/>
      <c r="W273" s="92"/>
      <c r="Z273" s="57"/>
      <c r="AA273" s="72"/>
      <c r="AD273" s="57"/>
      <c r="AE273" s="208">
        <f>ROUND((ROUND((_15_同援日１．０*_15・基礎２),0)*(1+_15・A深夜)),0)+ROUND((ROUND((_15_同援日１．０＿０．５*_15・基礎２),0)*(1+_15・B早朝)),0)+ROUND((_15_同援日１．０＿０．５＿１．５*_15・基礎２),0)</f>
        <v>731</v>
      </c>
      <c r="AF273" s="48"/>
    </row>
    <row r="274" spans="1:32" ht="16.5" customHeight="1" x14ac:dyDescent="0.15">
      <c r="A274" s="41">
        <v>15</v>
      </c>
      <c r="B274" s="41" t="s">
        <v>21685</v>
      </c>
      <c r="C274" s="74" t="s">
        <v>21686</v>
      </c>
      <c r="D274" s="72"/>
      <c r="F274" s="57"/>
      <c r="G274" s="72"/>
      <c r="I274" s="57"/>
      <c r="J274" s="72"/>
      <c r="K274" s="168">
        <f>_15_同援日１．０＿０．５＿１．５</f>
        <v>195</v>
      </c>
      <c r="L274" s="57" t="s">
        <v>392</v>
      </c>
      <c r="M274" s="269" t="s">
        <v>17560</v>
      </c>
      <c r="N274" s="37" t="s">
        <v>398</v>
      </c>
      <c r="O274" s="38">
        <v>0.9</v>
      </c>
      <c r="P274" s="299" t="s">
        <v>17556</v>
      </c>
      <c r="Q274" s="45" t="s">
        <v>398</v>
      </c>
      <c r="R274" s="46">
        <v>1</v>
      </c>
      <c r="S274" s="512"/>
      <c r="T274" s="57"/>
      <c r="U274" s="512"/>
      <c r="V274" s="57"/>
      <c r="W274" s="269"/>
      <c r="X274" s="37"/>
      <c r="Y274" s="38"/>
      <c r="Z274" s="79"/>
      <c r="AA274" s="72"/>
      <c r="AD274" s="57"/>
      <c r="AE274" s="208">
        <f>ROUND((ROUND((ROUND((_15_同援日１．０*_15・基礎２),0)*_15・２人),0)*(1+_15・A深夜)),0)+ROUND((ROUND((ROUND((_15_同援日１．０＿０．５*_15・基礎２),0)*_15・２人),0)*(1+_15・B早朝)),0)+ROUND((ROUND((_15_同援日１．０＿０．５＿１．５*_15・基礎２),0)*_15・２人),0)</f>
        <v>731</v>
      </c>
      <c r="AF274" s="48"/>
    </row>
    <row r="275" spans="1:32" ht="16.5" customHeight="1" x14ac:dyDescent="0.15">
      <c r="A275" s="41">
        <v>15</v>
      </c>
      <c r="B275" s="41" t="s">
        <v>21687</v>
      </c>
      <c r="C275" s="74" t="s">
        <v>21688</v>
      </c>
      <c r="D275" s="72"/>
      <c r="F275" s="57"/>
      <c r="G275" s="72"/>
      <c r="I275" s="57"/>
      <c r="J275" s="72"/>
      <c r="L275" s="57"/>
      <c r="M275" s="114"/>
      <c r="N275" s="49"/>
      <c r="O275" s="50"/>
      <c r="P275" s="299"/>
      <c r="Q275" s="45"/>
      <c r="R275" s="46"/>
      <c r="S275" s="512"/>
      <c r="T275" s="57"/>
      <c r="U275" s="512"/>
      <c r="V275" s="57"/>
      <c r="W275" s="114" t="s">
        <v>17562</v>
      </c>
      <c r="X275" s="49"/>
      <c r="Y275" s="50"/>
      <c r="Z275" s="115"/>
      <c r="AA275" s="72"/>
      <c r="AD275" s="57"/>
      <c r="AE275" s="208">
        <f>ROUND((ROUND((_15_同援日１．０*(1+_15・A深夜)),0)*(1+_15・盲ろう)),0)+ROUND((ROUND((_15_同援日１．０＿０．５*(1+_15・B早朝)),0)*(1+_15・盲ろう)),0)+ROUND((_15_同援日１．０＿０．５＿１．５*(1+_15・盲ろう)),0)</f>
        <v>1015</v>
      </c>
      <c r="AF275" s="48"/>
    </row>
    <row r="276" spans="1:32" ht="16.5" customHeight="1" x14ac:dyDescent="0.15">
      <c r="A276" s="41">
        <v>15</v>
      </c>
      <c r="B276" s="41" t="s">
        <v>21689</v>
      </c>
      <c r="C276" s="74" t="s">
        <v>21690</v>
      </c>
      <c r="D276" s="72"/>
      <c r="F276" s="57"/>
      <c r="G276" s="72"/>
      <c r="I276" s="57"/>
      <c r="J276" s="72"/>
      <c r="L276" s="57"/>
      <c r="M276" s="269"/>
      <c r="N276" s="37"/>
      <c r="O276" s="38"/>
      <c r="P276" s="299" t="s">
        <v>17556</v>
      </c>
      <c r="Q276" s="45" t="s">
        <v>398</v>
      </c>
      <c r="R276" s="46">
        <v>1</v>
      </c>
      <c r="S276" s="512"/>
      <c r="T276" s="57"/>
      <c r="U276" s="512"/>
      <c r="V276" s="57"/>
      <c r="W276" s="92" t="s">
        <v>17564</v>
      </c>
      <c r="Z276" s="57"/>
      <c r="AA276" s="72"/>
      <c r="AD276" s="57"/>
      <c r="AE276" s="208">
        <f>ROUND((ROUND((ROUND((_15_同援日１．０*_15・２人),0)*(1+_15・A深夜)),0)*(1+_15・盲ろう)),0)+ROUND((ROUND((ROUND((_15_同援日１．０＿０．５*_15・２人),0)*(1+_15・B早朝)),0)*(1+_15・盲ろう)),0)+ROUND((ROUND((_15_同援日１．０＿０．５＿１．５*_15・２人),0)*(1+_15・盲ろう)),0)</f>
        <v>1015</v>
      </c>
      <c r="AF276" s="48"/>
    </row>
    <row r="277" spans="1:32" ht="16.5" customHeight="1" x14ac:dyDescent="0.15">
      <c r="A277" s="41">
        <v>15</v>
      </c>
      <c r="B277" s="41" t="s">
        <v>21691</v>
      </c>
      <c r="C277" s="74" t="s">
        <v>21692</v>
      </c>
      <c r="D277" s="72"/>
      <c r="F277" s="57"/>
      <c r="G277" s="72"/>
      <c r="I277" s="57"/>
      <c r="J277" s="72"/>
      <c r="L277" s="57"/>
      <c r="M277" s="114" t="s">
        <v>17558</v>
      </c>
      <c r="N277" s="49"/>
      <c r="O277" s="50"/>
      <c r="P277" s="299"/>
      <c r="Q277" s="45"/>
      <c r="R277" s="46"/>
      <c r="S277" s="512"/>
      <c r="T277" s="57"/>
      <c r="U277" s="512"/>
      <c r="V277" s="57"/>
      <c r="W277" s="92"/>
      <c r="X277" s="12" t="s">
        <v>398</v>
      </c>
      <c r="Y277" s="13">
        <v>0.25</v>
      </c>
      <c r="Z277" s="57" t="s">
        <v>3575</v>
      </c>
      <c r="AA277" s="72"/>
      <c r="AD277" s="57"/>
      <c r="AE277" s="208">
        <f>ROUND((ROUND((ROUND((_15_同援日１．０*_15・基礎２),0)*(1+_15・A深夜)),0)*(1+_15・盲ろう)),0)+ROUND((ROUND((ROUND((_15_同援日１．０＿０．５*_15・基礎２),0)*(1+_15・B早朝)),0)*(1+_15・盲ろう)),0)+ROUND((ROUND((_15_同援日１．０＿０．５＿１．５*_15・基礎２),0)*(1+_15・盲ろう)),0)</f>
        <v>914</v>
      </c>
      <c r="AF277" s="48"/>
    </row>
    <row r="278" spans="1:32" ht="16.5" customHeight="1" x14ac:dyDescent="0.15">
      <c r="A278" s="41">
        <v>15</v>
      </c>
      <c r="B278" s="41" t="s">
        <v>21693</v>
      </c>
      <c r="C278" s="74" t="s">
        <v>21694</v>
      </c>
      <c r="D278" s="72"/>
      <c r="F278" s="57"/>
      <c r="G278" s="72"/>
      <c r="I278" s="57"/>
      <c r="J278" s="72"/>
      <c r="L278" s="57"/>
      <c r="M278" s="269" t="s">
        <v>17560</v>
      </c>
      <c r="N278" s="37" t="s">
        <v>398</v>
      </c>
      <c r="O278" s="38">
        <v>0.9</v>
      </c>
      <c r="P278" s="299" t="s">
        <v>17556</v>
      </c>
      <c r="Q278" s="45" t="s">
        <v>398</v>
      </c>
      <c r="R278" s="46">
        <v>1</v>
      </c>
      <c r="S278" s="512"/>
      <c r="T278" s="57"/>
      <c r="U278" s="512"/>
      <c r="V278" s="57"/>
      <c r="W278" s="269"/>
      <c r="X278" s="37"/>
      <c r="Y278" s="38"/>
      <c r="Z278" s="79"/>
      <c r="AA278" s="269"/>
      <c r="AB278" s="37"/>
      <c r="AC278" s="38"/>
      <c r="AD278" s="79"/>
      <c r="AE278" s="208">
        <f>ROUND((ROUND((ROUND((ROUND((_15_同援日１．０*_15・基礎２),0)*_15・２人),0)*(1+_15・A深夜)),0)*(1+_15・盲ろう)),0)+ROUND((ROUND((ROUND((ROUND((_15_同援日１．０＿０．５*_15・基礎２),0)*_15・２人),0)*(1+_15・B早朝)),0)*(1+_15・盲ろう)),0)+ROUND((ROUND((ROUND((_15_同援日１．０＿０．５＿１．５*_15・基礎２),0)*_15・２人),0)*(1+_15・盲ろう)),0)</f>
        <v>914</v>
      </c>
      <c r="AF278" s="48"/>
    </row>
    <row r="279" spans="1:32" ht="16.5" customHeight="1" x14ac:dyDescent="0.15">
      <c r="A279" s="41">
        <v>15</v>
      </c>
      <c r="B279" s="41" t="s">
        <v>21695</v>
      </c>
      <c r="C279" s="74" t="s">
        <v>21696</v>
      </c>
      <c r="D279" s="72"/>
      <c r="F279" s="57"/>
      <c r="G279" s="72"/>
      <c r="I279" s="57"/>
      <c r="J279" s="72"/>
      <c r="L279" s="57"/>
      <c r="M279" s="114"/>
      <c r="N279" s="49"/>
      <c r="O279" s="50"/>
      <c r="P279" s="299"/>
      <c r="Q279" s="45"/>
      <c r="R279" s="46"/>
      <c r="S279" s="512"/>
      <c r="T279" s="57"/>
      <c r="U279" s="512"/>
      <c r="V279" s="57"/>
      <c r="W279" s="114"/>
      <c r="X279" s="49"/>
      <c r="Y279" s="50"/>
      <c r="Z279" s="115"/>
      <c r="AA279" s="116"/>
      <c r="AB279" s="49"/>
      <c r="AC279" s="50"/>
      <c r="AD279" s="115"/>
      <c r="AE279" s="208">
        <f>ROUND((ROUND((_15_同援日１．０*(1+_15・A深夜)),0)*(1+_15・区３)),0)+ROUND((ROUND((_15_同援日１．０＿０．５*(1+_15・B早朝)),0)*(1+_15・区３)),0)+ROUND((_15_同援日１．０＿０．５＿１．５*(1+_15・区３)),0)</f>
        <v>973</v>
      </c>
      <c r="AF279" s="48"/>
    </row>
    <row r="280" spans="1:32" ht="16.5" customHeight="1" x14ac:dyDescent="0.15">
      <c r="A280" s="41">
        <v>15</v>
      </c>
      <c r="B280" s="41" t="s">
        <v>21697</v>
      </c>
      <c r="C280" s="74" t="s">
        <v>21698</v>
      </c>
      <c r="D280" s="72"/>
      <c r="F280" s="57"/>
      <c r="G280" s="72"/>
      <c r="I280" s="57"/>
      <c r="J280" s="72"/>
      <c r="L280" s="57"/>
      <c r="M280" s="269"/>
      <c r="N280" s="37"/>
      <c r="O280" s="38"/>
      <c r="P280" s="299" t="s">
        <v>17556</v>
      </c>
      <c r="Q280" s="45" t="s">
        <v>398</v>
      </c>
      <c r="R280" s="46">
        <v>1</v>
      </c>
      <c r="S280" s="512"/>
      <c r="T280" s="57"/>
      <c r="U280" s="512"/>
      <c r="V280" s="57"/>
      <c r="W280" s="92"/>
      <c r="Z280" s="57"/>
      <c r="AA280" s="72"/>
      <c r="AD280" s="57"/>
      <c r="AE280" s="208">
        <f>ROUND((ROUND((ROUND((_15_同援日１．０*_15・２人),0)*(1+_15・A深夜)),0)*(1+_15・区３)),0)+ROUND((ROUND((ROUND((_15_同援日１．０＿０．５*_15・２人),0)*(1+_15・B早朝)),0)*(1+_15・区３)),0)+ROUND((ROUND((_15_同援日１．０＿０．５＿１．５*_15・２人),0)*(1+_15・区３)),0)</f>
        <v>973</v>
      </c>
      <c r="AF280" s="48"/>
    </row>
    <row r="281" spans="1:32" ht="16.5" customHeight="1" x14ac:dyDescent="0.15">
      <c r="A281" s="41">
        <v>15</v>
      </c>
      <c r="B281" s="41" t="s">
        <v>21699</v>
      </c>
      <c r="C281" s="74" t="s">
        <v>21700</v>
      </c>
      <c r="D281" s="72"/>
      <c r="F281" s="57"/>
      <c r="G281" s="72"/>
      <c r="I281" s="57"/>
      <c r="J281" s="72"/>
      <c r="L281" s="57"/>
      <c r="M281" s="114" t="s">
        <v>17558</v>
      </c>
      <c r="N281" s="49"/>
      <c r="O281" s="50"/>
      <c r="P281" s="299"/>
      <c r="Q281" s="45"/>
      <c r="R281" s="46"/>
      <c r="S281" s="512"/>
      <c r="T281" s="57"/>
      <c r="U281" s="512"/>
      <c r="V281" s="57"/>
      <c r="W281" s="92"/>
      <c r="Z281" s="57"/>
      <c r="AA281" s="72" t="s">
        <v>17570</v>
      </c>
      <c r="AD281" s="57"/>
      <c r="AE281" s="208">
        <f>ROUND((ROUND((ROUND((_15_同援日１．０*_15・基礎２),0)*(1+_15・A深夜)),0)*(1+_15・区３)),0)+ROUND((ROUND((ROUND((_15_同援日１．０＿０．５*_15・基礎２),0)*(1+_15・B早朝)),0)*(1+_15・区３)),0)+ROUND((ROUND((_15_同援日１．０＿０．５＿１．５*_15・基礎２),0)*(1+_15・区３)),0)</f>
        <v>877</v>
      </c>
      <c r="AF281" s="48"/>
    </row>
    <row r="282" spans="1:32" ht="16.5" customHeight="1" x14ac:dyDescent="0.15">
      <c r="A282" s="41">
        <v>15</v>
      </c>
      <c r="B282" s="41" t="s">
        <v>21701</v>
      </c>
      <c r="C282" s="74" t="s">
        <v>21702</v>
      </c>
      <c r="D282" s="72"/>
      <c r="F282" s="57"/>
      <c r="G282" s="72"/>
      <c r="I282" s="57"/>
      <c r="J282" s="72"/>
      <c r="L282" s="57"/>
      <c r="M282" s="269" t="s">
        <v>17560</v>
      </c>
      <c r="N282" s="37" t="s">
        <v>398</v>
      </c>
      <c r="O282" s="38">
        <v>0.9</v>
      </c>
      <c r="P282" s="299" t="s">
        <v>17556</v>
      </c>
      <c r="Q282" s="45" t="s">
        <v>398</v>
      </c>
      <c r="R282" s="46">
        <v>1</v>
      </c>
      <c r="S282" s="512"/>
      <c r="T282" s="57"/>
      <c r="U282" s="512"/>
      <c r="V282" s="57"/>
      <c r="W282" s="269"/>
      <c r="X282" s="37"/>
      <c r="Y282" s="38"/>
      <c r="Z282" s="79"/>
      <c r="AA282" s="72" t="s">
        <v>17572</v>
      </c>
      <c r="AD282" s="57"/>
      <c r="AE282" s="208">
        <f>ROUND((ROUND((ROUND((ROUND((_15_同援日１．０*_15・基礎２),0)*_15・２人),0)*(1+_15・A深夜)),0)*(1+_15・区３)),0)+ROUND((ROUND((ROUND((ROUND((_15_同援日１．０＿０．５*_15・基礎２),0)*_15・２人),0)*(1+_15・B早朝)),0)*(1+_15・区３)),0)+ROUND((ROUND((ROUND((_15_同援日１．０＿０．５＿１．５*_15・基礎２),0)*_15・２人),0)*(1+_15・区３)),0)</f>
        <v>877</v>
      </c>
      <c r="AF282" s="48"/>
    </row>
    <row r="283" spans="1:32" ht="16.5" customHeight="1" x14ac:dyDescent="0.15">
      <c r="A283" s="41">
        <v>15</v>
      </c>
      <c r="B283" s="41" t="s">
        <v>21703</v>
      </c>
      <c r="C283" s="74" t="s">
        <v>21704</v>
      </c>
      <c r="D283" s="72"/>
      <c r="F283" s="57"/>
      <c r="G283" s="72"/>
      <c r="I283" s="57"/>
      <c r="J283" s="72"/>
      <c r="L283" s="57"/>
      <c r="M283" s="114"/>
      <c r="N283" s="49"/>
      <c r="O283" s="50"/>
      <c r="P283" s="299"/>
      <c r="Q283" s="45"/>
      <c r="R283" s="46"/>
      <c r="S283" s="512"/>
      <c r="T283" s="57"/>
      <c r="U283" s="512"/>
      <c r="V283" s="57"/>
      <c r="W283" s="114" t="s">
        <v>17562</v>
      </c>
      <c r="X283" s="49"/>
      <c r="Y283" s="50"/>
      <c r="Z283" s="115"/>
      <c r="AA283" s="72"/>
      <c r="AB283" s="12" t="s">
        <v>398</v>
      </c>
      <c r="AC283" s="13">
        <v>0.2</v>
      </c>
      <c r="AD283" s="57" t="s">
        <v>3575</v>
      </c>
      <c r="AE283" s="208">
        <f>ROUND((ROUND((ROUND((_15_同援日１．０*(1+_15・A深夜)),0)*(1+_15・盲ろう)),0)*(1+_15・区３)),0)+ROUND((ROUND((ROUND((_15_同援日１．０＿０．５*(1+_15・B早朝)),0)*(1+_15・盲ろう)),0)*(1+_15・区３)),0)+ROUND((ROUND((_15_同援日１．０＿０．５＿１．５*(1+_15・盲ろう)),0)*(1+_15・区３)),0)</f>
        <v>1219</v>
      </c>
      <c r="AF283" s="48"/>
    </row>
    <row r="284" spans="1:32" ht="16.5" customHeight="1" x14ac:dyDescent="0.15">
      <c r="A284" s="41">
        <v>15</v>
      </c>
      <c r="B284" s="41" t="s">
        <v>21705</v>
      </c>
      <c r="C284" s="74" t="s">
        <v>21706</v>
      </c>
      <c r="D284" s="72"/>
      <c r="F284" s="57"/>
      <c r="G284" s="72"/>
      <c r="I284" s="57"/>
      <c r="J284" s="72"/>
      <c r="L284" s="57"/>
      <c r="M284" s="269"/>
      <c r="N284" s="37"/>
      <c r="O284" s="38"/>
      <c r="P284" s="299" t="s">
        <v>17556</v>
      </c>
      <c r="Q284" s="45" t="s">
        <v>398</v>
      </c>
      <c r="R284" s="46">
        <v>1</v>
      </c>
      <c r="S284" s="512"/>
      <c r="T284" s="57"/>
      <c r="U284" s="512"/>
      <c r="V284" s="57"/>
      <c r="W284" s="92" t="s">
        <v>17564</v>
      </c>
      <c r="Z284" s="57"/>
      <c r="AA284" s="72"/>
      <c r="AD284" s="57"/>
      <c r="AE284" s="208">
        <f>ROUND((ROUND((ROUND((ROUND((_15_同援日１．０*_15・２人),0)*(1+_15・A深夜)),0)*(1+_15・盲ろう)),0)*(1+_15・区３)),0)+ROUND((ROUND((ROUND((ROUND((_15_同援日１．０＿０．５*_15・２人),0)*(1+_15・B早朝)),0)*(1+_15・盲ろう)),0)*(1+_15・区３)),0)+ROUND((ROUND((ROUND((_15_同援日１．０＿０．５＿１．５*_15・２人),0)*(1+_15・盲ろう)),0)*(1+_15・区３)),0)</f>
        <v>1219</v>
      </c>
      <c r="AF284" s="48"/>
    </row>
    <row r="285" spans="1:32" ht="16.5" customHeight="1" x14ac:dyDescent="0.15">
      <c r="A285" s="41">
        <v>15</v>
      </c>
      <c r="B285" s="41" t="s">
        <v>1023</v>
      </c>
      <c r="C285" s="74" t="s">
        <v>21707</v>
      </c>
      <c r="D285" s="72"/>
      <c r="F285" s="57"/>
      <c r="G285" s="72"/>
      <c r="I285" s="57"/>
      <c r="J285" s="72"/>
      <c r="L285" s="57"/>
      <c r="M285" s="114" t="s">
        <v>17558</v>
      </c>
      <c r="N285" s="49"/>
      <c r="O285" s="50"/>
      <c r="P285" s="299"/>
      <c r="Q285" s="45"/>
      <c r="R285" s="46"/>
      <c r="S285" s="512"/>
      <c r="T285" s="57"/>
      <c r="U285" s="512"/>
      <c r="V285" s="57"/>
      <c r="W285" s="92"/>
      <c r="X285" s="12" t="s">
        <v>398</v>
      </c>
      <c r="Y285" s="13">
        <v>0.25</v>
      </c>
      <c r="Z285" s="57" t="s">
        <v>3575</v>
      </c>
      <c r="AA285" s="72"/>
      <c r="AD285" s="57"/>
      <c r="AE285" s="208">
        <f>ROUND((ROUND((ROUND((ROUND((_15_同援日１．０*_15・基礎２),0)*(1+_15・A深夜)),0)*(1+_15・盲ろう)),0)*(1+_15・区３)),0)+ROUND((ROUND((ROUND((ROUND((_15_同援日１．０＿０．５*_15・基礎２),0)*(1+_15・B早朝)),0)*(1+_15・盲ろう)),0)*(1+_15・区３)),0)+ROUND((ROUND((ROUND((_15_同援日１．０＿０．５＿１．５*_15・基礎２),0)*(1+_15・盲ろう)),0)*(1+_15・区３)),0)</f>
        <v>1097</v>
      </c>
      <c r="AF285" s="48"/>
    </row>
    <row r="286" spans="1:32" ht="16.5" customHeight="1" x14ac:dyDescent="0.15">
      <c r="A286" s="41">
        <v>15</v>
      </c>
      <c r="B286" s="41" t="s">
        <v>1025</v>
      </c>
      <c r="C286" s="74" t="s">
        <v>21708</v>
      </c>
      <c r="D286" s="72"/>
      <c r="F286" s="57"/>
      <c r="G286" s="72"/>
      <c r="I286" s="57"/>
      <c r="J286" s="72"/>
      <c r="L286" s="57"/>
      <c r="M286" s="269" t="s">
        <v>17560</v>
      </c>
      <c r="N286" s="37" t="s">
        <v>398</v>
      </c>
      <c r="O286" s="38">
        <v>0.9</v>
      </c>
      <c r="P286" s="299" t="s">
        <v>17556</v>
      </c>
      <c r="Q286" s="45" t="s">
        <v>398</v>
      </c>
      <c r="R286" s="46">
        <v>1</v>
      </c>
      <c r="S286" s="512"/>
      <c r="T286" s="57"/>
      <c r="U286" s="512"/>
      <c r="V286" s="57"/>
      <c r="W286" s="269"/>
      <c r="X286" s="37"/>
      <c r="Y286" s="38"/>
      <c r="Z286" s="79"/>
      <c r="AA286" s="269"/>
      <c r="AB286" s="37"/>
      <c r="AC286" s="38"/>
      <c r="AD286" s="79"/>
      <c r="AE286" s="208">
        <f>ROUND((ROUND((ROUND((ROUND((ROUND((_15_同援日１．０*_15・基礎２),0)*_15・２人),0)*(1+_15・A深夜)),0)*(1+_15・盲ろう)),0)*(1+_15・区３)),0)+ROUND((ROUND((ROUND((ROUND((ROUND((_15_同援日１．０＿０．５*_15・基礎２),0)*_15・２人),0)*(1+_15・B早朝)),0)*(1+_15・盲ろう)),0)*(1+_15・区３)),0)+ROUND((ROUND((ROUND((ROUND((_15_同援日１．０＿０．５＿１．５*_15・基礎２),0)*_15・２人),0)*(1+_15・盲ろう)),0)*(1+_15・区３)),0)</f>
        <v>1097</v>
      </c>
      <c r="AF286" s="48"/>
    </row>
    <row r="287" spans="1:32" ht="16.5" customHeight="1" x14ac:dyDescent="0.15">
      <c r="A287" s="41">
        <v>15</v>
      </c>
      <c r="B287" s="41" t="s">
        <v>1027</v>
      </c>
      <c r="C287" s="74" t="s">
        <v>21709</v>
      </c>
      <c r="D287" s="72"/>
      <c r="F287" s="57"/>
      <c r="G287" s="72"/>
      <c r="I287" s="57"/>
      <c r="J287" s="72"/>
      <c r="L287" s="57"/>
      <c r="M287" s="114"/>
      <c r="N287" s="49"/>
      <c r="O287" s="50"/>
      <c r="P287" s="299"/>
      <c r="Q287" s="45"/>
      <c r="R287" s="46"/>
      <c r="S287" s="512"/>
      <c r="T287" s="57"/>
      <c r="U287" s="512"/>
      <c r="V287" s="57"/>
      <c r="W287" s="114"/>
      <c r="X287" s="49"/>
      <c r="Y287" s="50"/>
      <c r="Z287" s="115"/>
      <c r="AA287" s="116"/>
      <c r="AB287" s="49"/>
      <c r="AC287" s="50"/>
      <c r="AD287" s="115"/>
      <c r="AE287" s="208">
        <f>ROUND((ROUND((_15_同援日１．０*(1+_15・A深夜)),0)*(1+_15・区４)),0)+ROUND((ROUND((_15_同援日１．０＿０．５*(1+_15・B早朝)),0)*(1+_15・区４)),0)+ROUND((_15_同援日１．０＿０．５＿１．５*(1+_15・区４)),0)</f>
        <v>1135</v>
      </c>
      <c r="AF287" s="48"/>
    </row>
    <row r="288" spans="1:32" ht="16.5" customHeight="1" x14ac:dyDescent="0.15">
      <c r="A288" s="41">
        <v>15</v>
      </c>
      <c r="B288" s="41" t="s">
        <v>1029</v>
      </c>
      <c r="C288" s="74" t="s">
        <v>21710</v>
      </c>
      <c r="D288" s="72"/>
      <c r="F288" s="57"/>
      <c r="G288" s="72"/>
      <c r="I288" s="57"/>
      <c r="J288" s="72"/>
      <c r="L288" s="57"/>
      <c r="M288" s="269"/>
      <c r="N288" s="37"/>
      <c r="O288" s="38"/>
      <c r="P288" s="299" t="s">
        <v>17556</v>
      </c>
      <c r="Q288" s="45" t="s">
        <v>398</v>
      </c>
      <c r="R288" s="46">
        <v>1</v>
      </c>
      <c r="S288" s="512"/>
      <c r="T288" s="57"/>
      <c r="U288" s="512"/>
      <c r="V288" s="57"/>
      <c r="W288" s="92"/>
      <c r="Z288" s="57"/>
      <c r="AA288" s="72"/>
      <c r="AD288" s="57"/>
      <c r="AE288" s="208">
        <f>ROUND((ROUND((ROUND((_15_同援日１．０*_15・２人),0)*(1+_15・A深夜)),0)*(1+_15・区４)),0)+ROUND((ROUND((ROUND((_15_同援日１．０＿０．５*_15・２人),0)*(1+_15・B早朝)),0)*(1+_15・区４)),0)+ROUND((ROUND((_15_同援日１．０＿０．５＿１．５*_15・２人),0)*(1+_15・区４)),0)</f>
        <v>1135</v>
      </c>
      <c r="AF288" s="48"/>
    </row>
    <row r="289" spans="1:32" ht="16.5" customHeight="1" x14ac:dyDescent="0.15">
      <c r="A289" s="41">
        <v>15</v>
      </c>
      <c r="B289" s="41" t="s">
        <v>21711</v>
      </c>
      <c r="C289" s="74" t="s">
        <v>21712</v>
      </c>
      <c r="D289" s="72"/>
      <c r="F289" s="57"/>
      <c r="G289" s="72"/>
      <c r="I289" s="57"/>
      <c r="J289" s="72"/>
      <c r="L289" s="57"/>
      <c r="M289" s="114" t="s">
        <v>17558</v>
      </c>
      <c r="N289" s="49"/>
      <c r="O289" s="50"/>
      <c r="P289" s="299"/>
      <c r="Q289" s="45"/>
      <c r="R289" s="46"/>
      <c r="S289" s="512"/>
      <c r="T289" s="57"/>
      <c r="U289" s="512"/>
      <c r="V289" s="57"/>
      <c r="W289" s="92"/>
      <c r="Z289" s="57"/>
      <c r="AA289" s="72" t="s">
        <v>17580</v>
      </c>
      <c r="AD289" s="57"/>
      <c r="AE289" s="208">
        <f>ROUND((ROUND((ROUND((_15_同援日１．０*_15・基礎２),0)*(1+_15・A深夜)),0)*(1+_15・区４)),0)+ROUND((ROUND((ROUND((_15_同援日１．０＿０．５*_15・基礎２),0)*(1+_15・B早朝)),0)*(1+_15・区４)),0)+ROUND((ROUND((_15_同援日１．０＿０．５＿１．５*_15・基礎２),0)*(1+_15・区４)),0)</f>
        <v>1023</v>
      </c>
      <c r="AF289" s="48"/>
    </row>
    <row r="290" spans="1:32" ht="16.5" customHeight="1" x14ac:dyDescent="0.15">
      <c r="A290" s="41">
        <v>15</v>
      </c>
      <c r="B290" s="41" t="s">
        <v>21713</v>
      </c>
      <c r="C290" s="74" t="s">
        <v>21714</v>
      </c>
      <c r="D290" s="72"/>
      <c r="F290" s="57"/>
      <c r="G290" s="72"/>
      <c r="I290" s="57"/>
      <c r="J290" s="72"/>
      <c r="L290" s="57"/>
      <c r="M290" s="269" t="s">
        <v>17560</v>
      </c>
      <c r="N290" s="37" t="s">
        <v>398</v>
      </c>
      <c r="O290" s="38">
        <v>0.9</v>
      </c>
      <c r="P290" s="299" t="s">
        <v>17556</v>
      </c>
      <c r="Q290" s="45" t="s">
        <v>398</v>
      </c>
      <c r="R290" s="46">
        <v>1</v>
      </c>
      <c r="S290" s="512"/>
      <c r="T290" s="57"/>
      <c r="U290" s="512"/>
      <c r="V290" s="57"/>
      <c r="W290" s="269"/>
      <c r="X290" s="37"/>
      <c r="Y290" s="38"/>
      <c r="Z290" s="79"/>
      <c r="AA290" s="72" t="s">
        <v>17572</v>
      </c>
      <c r="AD290" s="57"/>
      <c r="AE290" s="208">
        <f>ROUND((ROUND((ROUND((ROUND((_15_同援日１．０*_15・基礎２),0)*_15・２人),0)*(1+_15・A深夜)),0)*(1+_15・区４)),0)+ROUND((ROUND((ROUND((ROUND((_15_同援日１．０＿０．５*_15・基礎２),0)*_15・２人),0)*(1+_15・B早朝)),0)*(1+_15・区４)),0)+ROUND((ROUND((ROUND((_15_同援日１．０＿０．５＿１．５*_15・基礎２),0)*_15・２人),0)*(1+_15・区４)),0)</f>
        <v>1023</v>
      </c>
      <c r="AF290" s="48"/>
    </row>
    <row r="291" spans="1:32" ht="16.5" customHeight="1" x14ac:dyDescent="0.15">
      <c r="A291" s="41">
        <v>15</v>
      </c>
      <c r="B291" s="41" t="s">
        <v>21715</v>
      </c>
      <c r="C291" s="74" t="s">
        <v>21716</v>
      </c>
      <c r="D291" s="72"/>
      <c r="F291" s="57"/>
      <c r="G291" s="72"/>
      <c r="I291" s="57"/>
      <c r="J291" s="72"/>
      <c r="L291" s="57"/>
      <c r="M291" s="114"/>
      <c r="N291" s="49"/>
      <c r="O291" s="50"/>
      <c r="P291" s="299"/>
      <c r="Q291" s="45"/>
      <c r="R291" s="46"/>
      <c r="S291" s="512"/>
      <c r="T291" s="57"/>
      <c r="U291" s="512"/>
      <c r="V291" s="57"/>
      <c r="W291" s="114" t="s">
        <v>17562</v>
      </c>
      <c r="X291" s="49"/>
      <c r="Y291" s="50"/>
      <c r="Z291" s="115"/>
      <c r="AA291" s="72"/>
      <c r="AB291" s="12" t="s">
        <v>398</v>
      </c>
      <c r="AC291" s="13">
        <v>0.4</v>
      </c>
      <c r="AD291" s="57" t="s">
        <v>3575</v>
      </c>
      <c r="AE291" s="208">
        <f>ROUND((ROUND((ROUND((_15_同援日１．０*(1+_15・A深夜)),0)*(1+_15・盲ろう)),0)*(1+_15・区４)),0)+ROUND((ROUND((ROUND((_15_同援日１．０＿０．５*(1+_15・B早朝)),0)*(1+_15・盲ろう)),0)*(1+_15・区４)),0)+ROUND((ROUND((_15_同援日１．０＿０．５＿１．５*(1+_15・盲ろう)),0)*(1+_15・区４)),0)</f>
        <v>1421</v>
      </c>
      <c r="AF291" s="48"/>
    </row>
    <row r="292" spans="1:32" ht="16.5" customHeight="1" x14ac:dyDescent="0.15">
      <c r="A292" s="41">
        <v>15</v>
      </c>
      <c r="B292" s="41" t="s">
        <v>21717</v>
      </c>
      <c r="C292" s="74" t="s">
        <v>21718</v>
      </c>
      <c r="D292" s="72"/>
      <c r="F292" s="57"/>
      <c r="G292" s="72"/>
      <c r="I292" s="57"/>
      <c r="J292" s="72"/>
      <c r="L292" s="57"/>
      <c r="M292" s="269"/>
      <c r="N292" s="37"/>
      <c r="O292" s="38"/>
      <c r="P292" s="299" t="s">
        <v>17556</v>
      </c>
      <c r="Q292" s="45" t="s">
        <v>398</v>
      </c>
      <c r="R292" s="46">
        <v>1</v>
      </c>
      <c r="S292" s="512"/>
      <c r="T292" s="57"/>
      <c r="U292" s="512"/>
      <c r="V292" s="57"/>
      <c r="W292" s="92" t="s">
        <v>17564</v>
      </c>
      <c r="Z292" s="57"/>
      <c r="AA292" s="72"/>
      <c r="AD292" s="57"/>
      <c r="AE292" s="208">
        <f>ROUND((ROUND((ROUND((ROUND((_15_同援日１．０*_15・２人),0)*(1+_15・A深夜)),0)*(1+_15・盲ろう)),0)*(1+_15・区４)),0)+ROUND((ROUND((ROUND((ROUND((_15_同援日１．０＿０．５*_15・２人),0)*(1+_15・B早朝)),0)*(1+_15・盲ろう)),0)*(1+_15・区４)),0)+ROUND((ROUND((ROUND((_15_同援日１．０＿０．５＿１．５*_15・２人),0)*(1+_15・盲ろう)),0)*(1+_15・区４)),0)</f>
        <v>1421</v>
      </c>
      <c r="AF292" s="48"/>
    </row>
    <row r="293" spans="1:32" ht="16.5" customHeight="1" x14ac:dyDescent="0.15">
      <c r="A293" s="41">
        <v>15</v>
      </c>
      <c r="B293" s="41" t="s">
        <v>21719</v>
      </c>
      <c r="C293" s="74" t="s">
        <v>21720</v>
      </c>
      <c r="D293" s="72"/>
      <c r="F293" s="57"/>
      <c r="G293" s="72"/>
      <c r="I293" s="57"/>
      <c r="J293" s="72"/>
      <c r="L293" s="57"/>
      <c r="M293" s="114" t="s">
        <v>17558</v>
      </c>
      <c r="N293" s="49"/>
      <c r="O293" s="50"/>
      <c r="P293" s="299"/>
      <c r="Q293" s="45"/>
      <c r="R293" s="46"/>
      <c r="S293" s="512"/>
      <c r="T293" s="57"/>
      <c r="U293" s="512"/>
      <c r="V293" s="57"/>
      <c r="W293" s="92"/>
      <c r="X293" s="12" t="s">
        <v>398</v>
      </c>
      <c r="Y293" s="13">
        <v>0.25</v>
      </c>
      <c r="Z293" s="57" t="s">
        <v>3575</v>
      </c>
      <c r="AA293" s="72"/>
      <c r="AD293" s="57"/>
      <c r="AE293" s="208">
        <f>ROUND((ROUND((ROUND((ROUND((_15_同援日１．０*_15・基礎２),0)*(1+_15・A深夜)),0)*(1+_15・盲ろう)),0)*(1+_15・区４)),0)+ROUND((ROUND((ROUND((ROUND((_15_同援日１．０＿０．５*_15・基礎２),0)*(1+_15・B早朝)),0)*(1+_15・盲ろう)),0)*(1+_15・区４)),0)+ROUND((ROUND((ROUND((_15_同援日１．０＿０．５＿１．５*_15・基礎２),0)*(1+_15・盲ろう)),0)*(1+_15・区４)),0)</f>
        <v>1279</v>
      </c>
      <c r="AF293" s="48"/>
    </row>
    <row r="294" spans="1:32" ht="16.5" customHeight="1" x14ac:dyDescent="0.15">
      <c r="A294" s="41">
        <v>15</v>
      </c>
      <c r="B294" s="41" t="s">
        <v>21721</v>
      </c>
      <c r="C294" s="74" t="s">
        <v>21722</v>
      </c>
      <c r="D294" s="122"/>
      <c r="E294" s="37"/>
      <c r="F294" s="79"/>
      <c r="G294" s="122"/>
      <c r="H294" s="37"/>
      <c r="I294" s="79"/>
      <c r="J294" s="122"/>
      <c r="K294" s="37"/>
      <c r="L294" s="79"/>
      <c r="M294" s="269" t="s">
        <v>17560</v>
      </c>
      <c r="N294" s="37" t="s">
        <v>398</v>
      </c>
      <c r="O294" s="38">
        <v>0.9</v>
      </c>
      <c r="P294" s="299" t="s">
        <v>17556</v>
      </c>
      <c r="Q294" s="45" t="s">
        <v>398</v>
      </c>
      <c r="R294" s="46">
        <v>1</v>
      </c>
      <c r="S294" s="514"/>
      <c r="T294" s="79"/>
      <c r="U294" s="514"/>
      <c r="V294" s="79"/>
      <c r="W294" s="269"/>
      <c r="X294" s="37"/>
      <c r="Y294" s="38"/>
      <c r="Z294" s="79"/>
      <c r="AA294" s="269"/>
      <c r="AB294" s="37"/>
      <c r="AC294" s="38"/>
      <c r="AD294" s="79"/>
      <c r="AE294" s="208">
        <f>ROUND((ROUND((ROUND((ROUND((ROUND((_15_同援日１．０*_15・基礎２),0)*_15・２人),0)*(1+_15・A深夜)),0)*(1+_15・盲ろう)),0)*(1+_15・区４)),0)+ROUND((ROUND((ROUND((ROUND((ROUND((_15_同援日１．０＿０．５*_15・基礎２),0)*_15・２人),0)*(1+_15・B早朝)),0)*(1+_15・盲ろう)),0)*(1+_15・区４)),0)+ROUND((ROUND((ROUND((ROUND((_15_同援日１．０＿０．５＿１．５*_15・基礎２),0)*_15・２人),0)*(1+_15・盲ろう)),0)*(1+_15・区４)),0)</f>
        <v>1279</v>
      </c>
      <c r="AF294" s="63"/>
    </row>
    <row r="295" spans="1:32" ht="16.5" customHeight="1" x14ac:dyDescent="0.15">
      <c r="A295" s="41">
        <v>15</v>
      </c>
      <c r="B295" s="41" t="s">
        <v>21723</v>
      </c>
      <c r="C295" s="74" t="s">
        <v>21724</v>
      </c>
      <c r="D295" s="114"/>
      <c r="E295" s="49"/>
      <c r="F295" s="115"/>
      <c r="G295" s="114" t="s">
        <v>18846</v>
      </c>
      <c r="H295" s="49"/>
      <c r="I295" s="115"/>
      <c r="J295" s="114" t="s">
        <v>19919</v>
      </c>
      <c r="K295" s="49"/>
      <c r="L295" s="115"/>
      <c r="M295" s="114"/>
      <c r="N295" s="49"/>
      <c r="O295" s="50"/>
      <c r="P295" s="299"/>
      <c r="Q295" s="45"/>
      <c r="R295" s="46"/>
      <c r="S295" s="515"/>
      <c r="T295" s="115"/>
      <c r="U295" s="515"/>
      <c r="V295" s="115"/>
      <c r="W295" s="114"/>
      <c r="X295" s="49"/>
      <c r="Y295" s="50"/>
      <c r="Z295" s="115"/>
      <c r="AA295" s="116"/>
      <c r="AB295" s="49"/>
      <c r="AC295" s="50"/>
      <c r="AD295" s="115"/>
      <c r="AE295" s="208">
        <f>ROUND((_15_同援日１．０*(1+_15・A深夜)),0)+ROUND((_15_同援日１．０＿１．０*(1+_15・B早朝)),0)+_15_同援日１．０＿１．０＿０．５</f>
        <v>763</v>
      </c>
      <c r="AF295" s="64"/>
    </row>
    <row r="296" spans="1:32" ht="16.5" customHeight="1" x14ac:dyDescent="0.15">
      <c r="A296" s="41">
        <v>15</v>
      </c>
      <c r="B296" s="41" t="s">
        <v>21725</v>
      </c>
      <c r="C296" s="74" t="s">
        <v>21726</v>
      </c>
      <c r="D296" s="72"/>
      <c r="F296" s="57"/>
      <c r="G296" s="72" t="s">
        <v>17589</v>
      </c>
      <c r="I296" s="57"/>
      <c r="J296" s="72" t="s">
        <v>18259</v>
      </c>
      <c r="L296" s="57"/>
      <c r="M296" s="269"/>
      <c r="N296" s="37"/>
      <c r="O296" s="38"/>
      <c r="P296" s="299" t="s">
        <v>17556</v>
      </c>
      <c r="Q296" s="45" t="s">
        <v>398</v>
      </c>
      <c r="R296" s="46">
        <v>1</v>
      </c>
      <c r="S296" s="512"/>
      <c r="T296" s="57"/>
      <c r="U296" s="512"/>
      <c r="V296" s="57"/>
      <c r="W296" s="92"/>
      <c r="Z296" s="57"/>
      <c r="AA296" s="72"/>
      <c r="AD296" s="57"/>
      <c r="AE296" s="208">
        <f>ROUND((ROUND((_15_同援日１．０*_15・２人),0)*(1+_15・A深夜)),0)+ROUND((ROUND((_15_同援日１．０＿１．０*_15・２人),0)*(1+_15・B早朝)),0)+ROUND((_15_同援日１．０＿１．０＿０．５*_15・２人),0)</f>
        <v>763</v>
      </c>
      <c r="AF296" s="48"/>
    </row>
    <row r="297" spans="1:32" ht="16.5" customHeight="1" x14ac:dyDescent="0.15">
      <c r="A297" s="41">
        <v>15</v>
      </c>
      <c r="B297" s="41" t="s">
        <v>21727</v>
      </c>
      <c r="C297" s="74" t="s">
        <v>21728</v>
      </c>
      <c r="D297" s="72"/>
      <c r="F297" s="57"/>
      <c r="G297" s="72" t="s">
        <v>17591</v>
      </c>
      <c r="I297" s="57"/>
      <c r="J297" s="72"/>
      <c r="L297" s="57"/>
      <c r="M297" s="114" t="s">
        <v>17558</v>
      </c>
      <c r="N297" s="49"/>
      <c r="O297" s="50"/>
      <c r="P297" s="299"/>
      <c r="Q297" s="45"/>
      <c r="R297" s="46"/>
      <c r="S297" s="512"/>
      <c r="T297" s="57"/>
      <c r="U297" s="512"/>
      <c r="V297" s="57"/>
      <c r="W297" s="92"/>
      <c r="Z297" s="57"/>
      <c r="AA297" s="72"/>
      <c r="AD297" s="57"/>
      <c r="AE297" s="208">
        <f>ROUND((ROUND((_15_同援日１．０*_15・基礎２),0)*(1+_15・A深夜)),0)+ROUND((ROUND((_15_同援日１．０＿１．０*_15・基礎２),0)*(1+_15・B早朝)),0)+ROUND((_15_同援日１．０＿１．０＿０．５*_15・基礎２),0)</f>
        <v>687</v>
      </c>
      <c r="AF297" s="48"/>
    </row>
    <row r="298" spans="1:32" ht="16.5" customHeight="1" x14ac:dyDescent="0.15">
      <c r="A298" s="41">
        <v>15</v>
      </c>
      <c r="B298" s="41" t="s">
        <v>21729</v>
      </c>
      <c r="C298" s="74" t="s">
        <v>21730</v>
      </c>
      <c r="D298" s="72"/>
      <c r="F298" s="57"/>
      <c r="G298" s="72"/>
      <c r="H298" s="168">
        <f>_15_同援日１．０＿１．０</f>
        <v>198</v>
      </c>
      <c r="I298" s="57" t="s">
        <v>392</v>
      </c>
      <c r="J298" s="72"/>
      <c r="K298" s="168">
        <f>_15_同援日１．０＿１．０＿０．５</f>
        <v>65</v>
      </c>
      <c r="L298" s="57" t="s">
        <v>392</v>
      </c>
      <c r="M298" s="269" t="s">
        <v>17560</v>
      </c>
      <c r="N298" s="37" t="s">
        <v>398</v>
      </c>
      <c r="O298" s="38">
        <v>0.9</v>
      </c>
      <c r="P298" s="299" t="s">
        <v>17556</v>
      </c>
      <c r="Q298" s="45" t="s">
        <v>398</v>
      </c>
      <c r="R298" s="46">
        <v>1</v>
      </c>
      <c r="S298" s="512"/>
      <c r="T298" s="57"/>
      <c r="U298" s="512"/>
      <c r="V298" s="57"/>
      <c r="W298" s="269"/>
      <c r="X298" s="37"/>
      <c r="Y298" s="38"/>
      <c r="Z298" s="79"/>
      <c r="AA298" s="72"/>
      <c r="AD298" s="57"/>
      <c r="AE298" s="208">
        <f>ROUND((ROUND((ROUND((_15_同援日１．０*_15・基礎２),0)*_15・２人),0)*(1+_15・A深夜)),0)+ROUND((ROUND((ROUND((_15_同援日１．０＿１．０*_15・基礎２),0)*_15・２人),0)*(1+_15・B早朝)),0)+ROUND((ROUND((_15_同援日１．０＿１．０＿０．５*_15・基礎２),0)*_15・２人),0)</f>
        <v>687</v>
      </c>
      <c r="AF298" s="48"/>
    </row>
    <row r="299" spans="1:32" ht="16.5" customHeight="1" x14ac:dyDescent="0.15">
      <c r="A299" s="41">
        <v>15</v>
      </c>
      <c r="B299" s="41" t="s">
        <v>21731</v>
      </c>
      <c r="C299" s="74" t="s">
        <v>21732</v>
      </c>
      <c r="D299" s="72"/>
      <c r="F299" s="57"/>
      <c r="G299" s="72"/>
      <c r="I299" s="57"/>
      <c r="J299" s="72"/>
      <c r="L299" s="57"/>
      <c r="M299" s="114"/>
      <c r="N299" s="49"/>
      <c r="O299" s="50"/>
      <c r="P299" s="299"/>
      <c r="Q299" s="45"/>
      <c r="R299" s="46"/>
      <c r="S299" s="512"/>
      <c r="T299" s="57"/>
      <c r="U299" s="512"/>
      <c r="V299" s="57"/>
      <c r="W299" s="114" t="s">
        <v>17562</v>
      </c>
      <c r="X299" s="49"/>
      <c r="Y299" s="50"/>
      <c r="Z299" s="115"/>
      <c r="AA299" s="72"/>
      <c r="AD299" s="57"/>
      <c r="AE299" s="208">
        <f>ROUND((ROUND((_15_同援日１．０*(1+_15・A深夜)),0)*(1+_15・盲ろう)),0)+ROUND((ROUND((_15_同援日１．０＿１．０*(1+_15・B早朝)),0)*(1+_15・盲ろう)),0)+ROUND((_15_同援日１．０＿１．０＿０．５*(1+_15・盲ろう)),0)</f>
        <v>954</v>
      </c>
      <c r="AF299" s="48"/>
    </row>
    <row r="300" spans="1:32" ht="16.5" customHeight="1" x14ac:dyDescent="0.15">
      <c r="A300" s="41">
        <v>15</v>
      </c>
      <c r="B300" s="41" t="s">
        <v>21733</v>
      </c>
      <c r="C300" s="74" t="s">
        <v>21734</v>
      </c>
      <c r="D300" s="72"/>
      <c r="F300" s="57"/>
      <c r="G300" s="72"/>
      <c r="I300" s="57"/>
      <c r="J300" s="72"/>
      <c r="L300" s="57"/>
      <c r="M300" s="269"/>
      <c r="N300" s="37"/>
      <c r="O300" s="38"/>
      <c r="P300" s="299" t="s">
        <v>17556</v>
      </c>
      <c r="Q300" s="45" t="s">
        <v>398</v>
      </c>
      <c r="R300" s="46">
        <v>1</v>
      </c>
      <c r="S300" s="512"/>
      <c r="T300" s="57"/>
      <c r="U300" s="512"/>
      <c r="V300" s="57"/>
      <c r="W300" s="92" t="s">
        <v>17564</v>
      </c>
      <c r="Z300" s="57"/>
      <c r="AA300" s="72"/>
      <c r="AD300" s="57"/>
      <c r="AE300" s="208">
        <f>ROUND((ROUND((ROUND((_15_同援日１．０*_15・２人),0)*(1+_15・A深夜)),0)*(1+_15・盲ろう)),0)+ROUND((ROUND((ROUND((_15_同援日１．０＿１．０*_15・２人),0)*(1+_15・B早朝)),0)*(1+_15・盲ろう)),0)+ROUND((ROUND((_15_同援日１．０＿１．０＿０．５*_15・２人),0)*(1+_15・盲ろう)),0)</f>
        <v>954</v>
      </c>
      <c r="AF300" s="48"/>
    </row>
    <row r="301" spans="1:32" ht="16.5" customHeight="1" x14ac:dyDescent="0.15">
      <c r="A301" s="41">
        <v>15</v>
      </c>
      <c r="B301" s="41" t="s">
        <v>21735</v>
      </c>
      <c r="C301" s="74" t="s">
        <v>21736</v>
      </c>
      <c r="D301" s="72"/>
      <c r="F301" s="57"/>
      <c r="G301" s="72"/>
      <c r="I301" s="57"/>
      <c r="J301" s="72"/>
      <c r="L301" s="57"/>
      <c r="M301" s="114" t="s">
        <v>17558</v>
      </c>
      <c r="N301" s="49"/>
      <c r="O301" s="50"/>
      <c r="P301" s="299"/>
      <c r="Q301" s="45"/>
      <c r="R301" s="46"/>
      <c r="S301" s="512"/>
      <c r="T301" s="57"/>
      <c r="U301" s="512"/>
      <c r="V301" s="57"/>
      <c r="W301" s="92"/>
      <c r="X301" s="12" t="s">
        <v>398</v>
      </c>
      <c r="Y301" s="13">
        <v>0.25</v>
      </c>
      <c r="Z301" s="57" t="s">
        <v>3575</v>
      </c>
      <c r="AA301" s="72"/>
      <c r="AD301" s="57"/>
      <c r="AE301" s="208">
        <f>ROUND((ROUND((ROUND((_15_同援日１．０*_15・基礎２),0)*(1+_15・A深夜)),0)*(1+_15・盲ろう)),0)+ROUND((ROUND((ROUND((_15_同援日１．０＿１．０*_15・基礎２),0)*(1+_15・B早朝)),0)*(1+_15・盲ろう)),0)+ROUND((ROUND((_15_同援日１．０＿１．０＿０．５*_15・基礎２),0)*(1+_15・盲ろう)),0)</f>
        <v>859</v>
      </c>
      <c r="AF301" s="48"/>
    </row>
    <row r="302" spans="1:32" ht="16.5" customHeight="1" x14ac:dyDescent="0.15">
      <c r="A302" s="41">
        <v>15</v>
      </c>
      <c r="B302" s="41" t="s">
        <v>21737</v>
      </c>
      <c r="C302" s="74" t="s">
        <v>21738</v>
      </c>
      <c r="D302" s="72"/>
      <c r="F302" s="57"/>
      <c r="G302" s="72"/>
      <c r="I302" s="57"/>
      <c r="J302" s="72"/>
      <c r="L302" s="57"/>
      <c r="M302" s="269" t="s">
        <v>17560</v>
      </c>
      <c r="N302" s="37" t="s">
        <v>398</v>
      </c>
      <c r="O302" s="38">
        <v>0.9</v>
      </c>
      <c r="P302" s="299" t="s">
        <v>17556</v>
      </c>
      <c r="Q302" s="45" t="s">
        <v>398</v>
      </c>
      <c r="R302" s="46">
        <v>1</v>
      </c>
      <c r="S302" s="512"/>
      <c r="T302" s="57"/>
      <c r="U302" s="512"/>
      <c r="V302" s="57"/>
      <c r="W302" s="269"/>
      <c r="X302" s="37"/>
      <c r="Y302" s="38"/>
      <c r="Z302" s="79"/>
      <c r="AA302" s="269"/>
      <c r="AB302" s="37"/>
      <c r="AC302" s="38"/>
      <c r="AD302" s="79"/>
      <c r="AE302" s="208">
        <f>ROUND((ROUND((ROUND((ROUND((_15_同援日１．０*_15・基礎２),0)*_15・２人),0)*(1+_15・A深夜)),0)*(1+_15・盲ろう)),0)+ROUND((ROUND((ROUND((ROUND((_15_同援日１．０＿１．０*_15・基礎２),0)*_15・２人),0)*(1+_15・B早朝)),0)*(1+_15・盲ろう)),0)+ROUND((ROUND((ROUND((_15_同援日１．０＿１．０＿０．５*_15・基礎２),0)*_15・２人),0)*(1+_15・盲ろう)),0)</f>
        <v>859</v>
      </c>
      <c r="AF302" s="48"/>
    </row>
    <row r="303" spans="1:32" ht="16.5" customHeight="1" x14ac:dyDescent="0.15">
      <c r="A303" s="41">
        <v>15</v>
      </c>
      <c r="B303" s="41" t="s">
        <v>21739</v>
      </c>
      <c r="C303" s="74" t="s">
        <v>21740</v>
      </c>
      <c r="D303" s="72"/>
      <c r="F303" s="57"/>
      <c r="G303" s="72"/>
      <c r="I303" s="57"/>
      <c r="J303" s="72"/>
      <c r="L303" s="57"/>
      <c r="M303" s="114"/>
      <c r="N303" s="49"/>
      <c r="O303" s="50"/>
      <c r="P303" s="299"/>
      <c r="Q303" s="45"/>
      <c r="R303" s="46"/>
      <c r="S303" s="512"/>
      <c r="T303" s="57"/>
      <c r="U303" s="512"/>
      <c r="V303" s="57"/>
      <c r="W303" s="114"/>
      <c r="X303" s="49"/>
      <c r="Y303" s="50"/>
      <c r="Z303" s="115"/>
      <c r="AA303" s="116"/>
      <c r="AB303" s="49"/>
      <c r="AC303" s="50"/>
      <c r="AD303" s="115"/>
      <c r="AE303" s="208">
        <f>ROUND((ROUND((_15_同援日１．０*(1+_15・A深夜)),0)*(1+_15・区３)),0)+ROUND((ROUND((_15_同援日１．０＿１．０*(1+_15・B早朝)),0)*(1+_15・区３)),0)+ROUND((_15_同援日１．０＿１．０＿０．５*(1+_15・区３)),0)</f>
        <v>916</v>
      </c>
      <c r="AF303" s="48"/>
    </row>
    <row r="304" spans="1:32" ht="16.5" customHeight="1" x14ac:dyDescent="0.15">
      <c r="A304" s="41">
        <v>15</v>
      </c>
      <c r="B304" s="41" t="s">
        <v>21741</v>
      </c>
      <c r="C304" s="74" t="s">
        <v>21742</v>
      </c>
      <c r="D304" s="72"/>
      <c r="F304" s="57"/>
      <c r="G304" s="72"/>
      <c r="I304" s="57"/>
      <c r="J304" s="72"/>
      <c r="L304" s="57"/>
      <c r="M304" s="269"/>
      <c r="N304" s="37"/>
      <c r="O304" s="38"/>
      <c r="P304" s="299" t="s">
        <v>17556</v>
      </c>
      <c r="Q304" s="45" t="s">
        <v>398</v>
      </c>
      <c r="R304" s="46">
        <v>1</v>
      </c>
      <c r="S304" s="512"/>
      <c r="T304" s="57"/>
      <c r="U304" s="512"/>
      <c r="V304" s="57"/>
      <c r="W304" s="92"/>
      <c r="Z304" s="57"/>
      <c r="AA304" s="72"/>
      <c r="AD304" s="57"/>
      <c r="AE304" s="208">
        <f>ROUND((ROUND((ROUND((_15_同援日１．０*_15・２人),0)*(1+_15・A深夜)),0)*(1+_15・区３)),0)+ROUND((ROUND((ROUND((_15_同援日１．０＿１．０*_15・２人),0)*(1+_15・B早朝)),0)*(1+_15・区３)),0)+ROUND((ROUND((_15_同援日１．０＿１．０＿０．５*_15・２人),0)*(1+_15・区３)),0)</f>
        <v>916</v>
      </c>
      <c r="AF304" s="48"/>
    </row>
    <row r="305" spans="1:32" ht="16.5" customHeight="1" x14ac:dyDescent="0.15">
      <c r="A305" s="41">
        <v>15</v>
      </c>
      <c r="B305" s="41" t="s">
        <v>1041</v>
      </c>
      <c r="C305" s="74" t="s">
        <v>21743</v>
      </c>
      <c r="D305" s="72"/>
      <c r="F305" s="57"/>
      <c r="G305" s="72"/>
      <c r="I305" s="57"/>
      <c r="J305" s="72"/>
      <c r="L305" s="57"/>
      <c r="M305" s="114" t="s">
        <v>17558</v>
      </c>
      <c r="N305" s="49"/>
      <c r="O305" s="50"/>
      <c r="P305" s="299"/>
      <c r="Q305" s="45"/>
      <c r="R305" s="46"/>
      <c r="S305" s="512"/>
      <c r="T305" s="57"/>
      <c r="U305" s="512"/>
      <c r="V305" s="57"/>
      <c r="W305" s="92"/>
      <c r="Z305" s="57"/>
      <c r="AA305" s="72" t="s">
        <v>17570</v>
      </c>
      <c r="AD305" s="57"/>
      <c r="AE305" s="208">
        <f>ROUND((ROUND((ROUND((_15_同援日１．０*_15・基礎２),0)*(1+_15・A深夜)),0)*(1+_15・区３)),0)+ROUND((ROUND((ROUND((_15_同援日１．０＿１．０*_15・基礎２),0)*(1+_15・B早朝)),0)*(1+_15・区３)),0)+ROUND((ROUND((_15_同援日１．０＿１．０＿０．５*_15・基礎２),0)*(1+_15・区３)),0)</f>
        <v>825</v>
      </c>
      <c r="AF305" s="48"/>
    </row>
    <row r="306" spans="1:32" ht="16.5" customHeight="1" x14ac:dyDescent="0.15">
      <c r="A306" s="41">
        <v>15</v>
      </c>
      <c r="B306" s="41" t="s">
        <v>1043</v>
      </c>
      <c r="C306" s="74" t="s">
        <v>21744</v>
      </c>
      <c r="D306" s="72"/>
      <c r="F306" s="57"/>
      <c r="G306" s="72"/>
      <c r="I306" s="57"/>
      <c r="J306" s="72"/>
      <c r="L306" s="57"/>
      <c r="M306" s="269" t="s">
        <v>17560</v>
      </c>
      <c r="N306" s="37" t="s">
        <v>398</v>
      </c>
      <c r="O306" s="38">
        <v>0.9</v>
      </c>
      <c r="P306" s="299" t="s">
        <v>17556</v>
      </c>
      <c r="Q306" s="45" t="s">
        <v>398</v>
      </c>
      <c r="R306" s="46">
        <v>1</v>
      </c>
      <c r="S306" s="512"/>
      <c r="T306" s="57"/>
      <c r="U306" s="512"/>
      <c r="V306" s="57"/>
      <c r="W306" s="269"/>
      <c r="X306" s="37"/>
      <c r="Y306" s="38"/>
      <c r="Z306" s="79"/>
      <c r="AA306" s="72" t="s">
        <v>17572</v>
      </c>
      <c r="AD306" s="57"/>
      <c r="AE306" s="208">
        <f>ROUND((ROUND((ROUND((ROUND((_15_同援日１．０*_15・基礎２),0)*_15・２人),0)*(1+_15・A深夜)),0)*(1+_15・区３)),0)+ROUND((ROUND((ROUND((ROUND((_15_同援日１．０＿１．０*_15・基礎２),0)*_15・２人),0)*(1+_15・B早朝)),0)*(1+_15・区３)),0)+ROUND((ROUND((ROUND((_15_同援日１．０＿１．０＿０．５*_15・基礎２),0)*_15・２人),0)*(1+_15・区３)),0)</f>
        <v>825</v>
      </c>
      <c r="AF306" s="48"/>
    </row>
    <row r="307" spans="1:32" ht="16.5" customHeight="1" x14ac:dyDescent="0.15">
      <c r="A307" s="41">
        <v>15</v>
      </c>
      <c r="B307" s="41" t="s">
        <v>1045</v>
      </c>
      <c r="C307" s="74" t="s">
        <v>21745</v>
      </c>
      <c r="D307" s="72"/>
      <c r="F307" s="57"/>
      <c r="G307" s="72"/>
      <c r="I307" s="57"/>
      <c r="J307" s="72"/>
      <c r="L307" s="57"/>
      <c r="M307" s="114"/>
      <c r="N307" s="49"/>
      <c r="O307" s="50"/>
      <c r="P307" s="299"/>
      <c r="Q307" s="45"/>
      <c r="R307" s="46"/>
      <c r="S307" s="512"/>
      <c r="T307" s="57"/>
      <c r="U307" s="512"/>
      <c r="V307" s="57"/>
      <c r="W307" s="114" t="s">
        <v>17562</v>
      </c>
      <c r="X307" s="49"/>
      <c r="Y307" s="50"/>
      <c r="Z307" s="115"/>
      <c r="AA307" s="72"/>
      <c r="AB307" s="12" t="s">
        <v>398</v>
      </c>
      <c r="AC307" s="13">
        <v>0.2</v>
      </c>
      <c r="AD307" s="57" t="s">
        <v>3575</v>
      </c>
      <c r="AE307" s="208">
        <f>ROUND((ROUND((ROUND((_15_同援日１．０*(1+_15・A深夜)),0)*(1+_15・盲ろう)),0)*(1+_15・区３)),0)+ROUND((ROUND((ROUND((_15_同援日１．０＿１．０*(1+_15・B早朝)),0)*(1+_15・盲ろう)),0)*(1+_15・区３)),0)+ROUND((ROUND((_15_同援日１．０＿１．０＿０．５*(1+_15・盲ろう)),0)*(1+_15・区３)),0)</f>
        <v>1145</v>
      </c>
      <c r="AF307" s="48"/>
    </row>
    <row r="308" spans="1:32" ht="16.5" customHeight="1" x14ac:dyDescent="0.15">
      <c r="A308" s="41">
        <v>15</v>
      </c>
      <c r="B308" s="41" t="s">
        <v>1047</v>
      </c>
      <c r="C308" s="74" t="s">
        <v>21746</v>
      </c>
      <c r="D308" s="72"/>
      <c r="F308" s="57"/>
      <c r="G308" s="72"/>
      <c r="I308" s="57"/>
      <c r="J308" s="72"/>
      <c r="L308" s="57"/>
      <c r="M308" s="269"/>
      <c r="N308" s="37"/>
      <c r="O308" s="38"/>
      <c r="P308" s="299" t="s">
        <v>17556</v>
      </c>
      <c r="Q308" s="45" t="s">
        <v>398</v>
      </c>
      <c r="R308" s="46">
        <v>1</v>
      </c>
      <c r="S308" s="512"/>
      <c r="T308" s="57"/>
      <c r="U308" s="512"/>
      <c r="V308" s="57"/>
      <c r="W308" s="92" t="s">
        <v>17564</v>
      </c>
      <c r="Z308" s="57"/>
      <c r="AA308" s="72"/>
      <c r="AD308" s="57"/>
      <c r="AE308" s="208">
        <f>ROUND((ROUND((ROUND((ROUND((_15_同援日１．０*_15・２人),0)*(1+_15・A深夜)),0)*(1+_15・盲ろう)),0)*(1+_15・区３)),0)+ROUND((ROUND((ROUND((ROUND((_15_同援日１．０＿１．０*_15・２人),0)*(1+_15・B早朝)),0)*(1+_15・盲ろう)),0)*(1+_15・区３)),0)+ROUND((ROUND((ROUND((_15_同援日１．０＿１．０＿０．５*_15・２人),0)*(1+_15・盲ろう)),0)*(1+_15・区３)),0)</f>
        <v>1145</v>
      </c>
      <c r="AF308" s="48"/>
    </row>
    <row r="309" spans="1:32" ht="16.5" customHeight="1" x14ac:dyDescent="0.15">
      <c r="A309" s="41">
        <v>15</v>
      </c>
      <c r="B309" s="41" t="s">
        <v>21747</v>
      </c>
      <c r="C309" s="74" t="s">
        <v>21748</v>
      </c>
      <c r="D309" s="72"/>
      <c r="F309" s="57"/>
      <c r="G309" s="72"/>
      <c r="I309" s="57"/>
      <c r="J309" s="72"/>
      <c r="L309" s="57"/>
      <c r="M309" s="114" t="s">
        <v>17558</v>
      </c>
      <c r="N309" s="49"/>
      <c r="O309" s="50"/>
      <c r="P309" s="299"/>
      <c r="Q309" s="45"/>
      <c r="R309" s="46"/>
      <c r="S309" s="512"/>
      <c r="T309" s="57"/>
      <c r="U309" s="512"/>
      <c r="V309" s="57"/>
      <c r="W309" s="92"/>
      <c r="X309" s="12" t="s">
        <v>398</v>
      </c>
      <c r="Y309" s="13">
        <v>0.25</v>
      </c>
      <c r="Z309" s="57" t="s">
        <v>3575</v>
      </c>
      <c r="AA309" s="72"/>
      <c r="AD309" s="57"/>
      <c r="AE309" s="208">
        <f>ROUND((ROUND((ROUND((ROUND((_15_同援日１．０*_15・基礎２),0)*(1+_15・A深夜)),0)*(1+_15・盲ろう)),0)*(1+_15・区３)),0)+ROUND((ROUND((ROUND((ROUND((_15_同援日１．０＿１．０*_15・基礎２),0)*(1+_15・B早朝)),0)*(1+_15・盲ろう)),0)*(1+_15・区３)),0)+ROUND((ROUND((ROUND((_15_同援日１．０＿１．０＿０．５*_15・基礎２),0)*(1+_15・盲ろう)),0)*(1+_15・区３)),0)</f>
        <v>1031</v>
      </c>
      <c r="AF309" s="48"/>
    </row>
    <row r="310" spans="1:32" ht="16.5" customHeight="1" x14ac:dyDescent="0.15">
      <c r="A310" s="41">
        <v>15</v>
      </c>
      <c r="B310" s="41" t="s">
        <v>21749</v>
      </c>
      <c r="C310" s="74" t="s">
        <v>21750</v>
      </c>
      <c r="D310" s="72"/>
      <c r="F310" s="57"/>
      <c r="G310" s="72"/>
      <c r="I310" s="57"/>
      <c r="J310" s="72"/>
      <c r="L310" s="57"/>
      <c r="M310" s="269" t="s">
        <v>17560</v>
      </c>
      <c r="N310" s="37" t="s">
        <v>398</v>
      </c>
      <c r="O310" s="38">
        <v>0.9</v>
      </c>
      <c r="P310" s="299" t="s">
        <v>17556</v>
      </c>
      <c r="Q310" s="45" t="s">
        <v>398</v>
      </c>
      <c r="R310" s="46">
        <v>1</v>
      </c>
      <c r="S310" s="512"/>
      <c r="T310" s="57"/>
      <c r="U310" s="512"/>
      <c r="V310" s="57"/>
      <c r="W310" s="269"/>
      <c r="X310" s="37"/>
      <c r="Y310" s="38"/>
      <c r="Z310" s="79"/>
      <c r="AA310" s="269"/>
      <c r="AB310" s="37"/>
      <c r="AC310" s="38"/>
      <c r="AD310" s="79"/>
      <c r="AE310" s="208">
        <f>ROUND((ROUND((ROUND((ROUND((ROUND((_15_同援日１．０*_15・基礎２),0)*_15・２人),0)*(1+_15・A深夜)),0)*(1+_15・盲ろう)),0)*(1+_15・区３)),0)+ROUND((ROUND((ROUND((ROUND((ROUND((_15_同援日１．０＿１．０*_15・基礎２),0)*_15・２人),0)*(1+_15・B早朝)),0)*(1+_15・盲ろう)),0)*(1+_15・区３)),0)+ROUND((ROUND((ROUND((ROUND((_15_同援日１．０＿１．０＿０．５*_15・基礎２),0)*_15・２人),0)*(1+_15・盲ろう)),0)*(1+_15・区３)),0)</f>
        <v>1031</v>
      </c>
      <c r="AF310" s="48"/>
    </row>
    <row r="311" spans="1:32" ht="16.5" customHeight="1" x14ac:dyDescent="0.15">
      <c r="A311" s="41">
        <v>15</v>
      </c>
      <c r="B311" s="41" t="s">
        <v>21751</v>
      </c>
      <c r="C311" s="74" t="s">
        <v>21752</v>
      </c>
      <c r="D311" s="72"/>
      <c r="F311" s="57"/>
      <c r="G311" s="72"/>
      <c r="I311" s="57"/>
      <c r="J311" s="72"/>
      <c r="L311" s="57"/>
      <c r="M311" s="114"/>
      <c r="N311" s="49"/>
      <c r="O311" s="50"/>
      <c r="P311" s="299"/>
      <c r="Q311" s="45"/>
      <c r="R311" s="46"/>
      <c r="S311" s="512"/>
      <c r="T311" s="57"/>
      <c r="U311" s="512"/>
      <c r="V311" s="57"/>
      <c r="W311" s="114"/>
      <c r="X311" s="49"/>
      <c r="Y311" s="50"/>
      <c r="Z311" s="115"/>
      <c r="AA311" s="116"/>
      <c r="AB311" s="49"/>
      <c r="AC311" s="50"/>
      <c r="AD311" s="115"/>
      <c r="AE311" s="208">
        <f>ROUND((ROUND((_15_同援日１．０*(1+_15・A深夜)),0)*(1+_15・区４)),0)+ROUND((ROUND((_15_同援日１．０＿１．０*(1+_15・B早朝)),0)*(1+_15・区４)),0)+ROUND((_15_同援日１．０＿１．０＿０．５*(1+_15・区４)),0)</f>
        <v>1068</v>
      </c>
      <c r="AF311" s="48"/>
    </row>
    <row r="312" spans="1:32" ht="16.5" customHeight="1" x14ac:dyDescent="0.15">
      <c r="A312" s="41">
        <v>15</v>
      </c>
      <c r="B312" s="41" t="s">
        <v>21753</v>
      </c>
      <c r="C312" s="74" t="s">
        <v>21754</v>
      </c>
      <c r="D312" s="72"/>
      <c r="F312" s="57"/>
      <c r="G312" s="72"/>
      <c r="I312" s="57"/>
      <c r="J312" s="72"/>
      <c r="L312" s="57"/>
      <c r="M312" s="269"/>
      <c r="N312" s="37"/>
      <c r="O312" s="38"/>
      <c r="P312" s="299" t="s">
        <v>17556</v>
      </c>
      <c r="Q312" s="45" t="s">
        <v>398</v>
      </c>
      <c r="R312" s="46">
        <v>1</v>
      </c>
      <c r="S312" s="512"/>
      <c r="T312" s="57"/>
      <c r="U312" s="512"/>
      <c r="V312" s="57"/>
      <c r="W312" s="92"/>
      <c r="Z312" s="57"/>
      <c r="AA312" s="72"/>
      <c r="AD312" s="57"/>
      <c r="AE312" s="208">
        <f>ROUND((ROUND((ROUND((_15_同援日１．０*_15・２人),0)*(1+_15・A深夜)),0)*(1+_15・区４)),0)+ROUND((ROUND((ROUND((_15_同援日１．０＿１．０*_15・２人),0)*(1+_15・B早朝)),0)*(1+_15・区４)),0)+ROUND((ROUND((_15_同援日１．０＿１．０＿０．５*_15・２人),0)*(1+_15・区４)),0)</f>
        <v>1068</v>
      </c>
      <c r="AF312" s="48"/>
    </row>
    <row r="313" spans="1:32" ht="16.5" customHeight="1" x14ac:dyDescent="0.15">
      <c r="A313" s="41">
        <v>15</v>
      </c>
      <c r="B313" s="41" t="s">
        <v>21755</v>
      </c>
      <c r="C313" s="74" t="s">
        <v>21756</v>
      </c>
      <c r="D313" s="72"/>
      <c r="F313" s="57"/>
      <c r="G313" s="72"/>
      <c r="I313" s="57"/>
      <c r="J313" s="72"/>
      <c r="L313" s="57"/>
      <c r="M313" s="114" t="s">
        <v>17558</v>
      </c>
      <c r="N313" s="49"/>
      <c r="O313" s="50"/>
      <c r="P313" s="299"/>
      <c r="Q313" s="45"/>
      <c r="R313" s="46"/>
      <c r="S313" s="512"/>
      <c r="T313" s="57"/>
      <c r="U313" s="512"/>
      <c r="V313" s="57"/>
      <c r="W313" s="92"/>
      <c r="Z313" s="57"/>
      <c r="AA313" s="72" t="s">
        <v>17580</v>
      </c>
      <c r="AD313" s="57"/>
      <c r="AE313" s="208">
        <f>ROUND((ROUND((ROUND((_15_同援日１．０*_15・基礎２),0)*(1+_15・A深夜)),0)*(1+_15・区４)),0)+ROUND((ROUND((ROUND((_15_同援日１．０＿１．０*_15・基礎２),0)*(1+_15・B早朝)),0)*(1+_15・区４)),0)+ROUND((ROUND((_15_同援日１．０＿１．０＿０．５*_15・基礎２),0)*(1+_15・区４)),0)</f>
        <v>962</v>
      </c>
      <c r="AF313" s="48"/>
    </row>
    <row r="314" spans="1:32" ht="16.5" customHeight="1" x14ac:dyDescent="0.15">
      <c r="A314" s="41">
        <v>15</v>
      </c>
      <c r="B314" s="41" t="s">
        <v>21757</v>
      </c>
      <c r="C314" s="74" t="s">
        <v>21758</v>
      </c>
      <c r="D314" s="72"/>
      <c r="F314" s="57"/>
      <c r="G314" s="72"/>
      <c r="I314" s="57"/>
      <c r="J314" s="72"/>
      <c r="L314" s="57"/>
      <c r="M314" s="269" t="s">
        <v>17560</v>
      </c>
      <c r="N314" s="37" t="s">
        <v>398</v>
      </c>
      <c r="O314" s="38">
        <v>0.9</v>
      </c>
      <c r="P314" s="299" t="s">
        <v>17556</v>
      </c>
      <c r="Q314" s="45" t="s">
        <v>398</v>
      </c>
      <c r="R314" s="46">
        <v>1</v>
      </c>
      <c r="S314" s="512"/>
      <c r="T314" s="57"/>
      <c r="U314" s="512"/>
      <c r="V314" s="57"/>
      <c r="W314" s="269"/>
      <c r="X314" s="37"/>
      <c r="Y314" s="38"/>
      <c r="Z314" s="79"/>
      <c r="AA314" s="72" t="s">
        <v>17572</v>
      </c>
      <c r="AD314" s="57"/>
      <c r="AE314" s="208">
        <f>ROUND((ROUND((ROUND((ROUND((_15_同援日１．０*_15・基礎２),0)*_15・２人),0)*(1+_15・A深夜)),0)*(1+_15・区４)),0)+ROUND((ROUND((ROUND((ROUND((_15_同援日１．０＿１．０*_15・基礎２),0)*_15・２人),0)*(1+_15・B早朝)),0)*(1+_15・区４)),0)+ROUND((ROUND((ROUND((_15_同援日１．０＿１．０＿０．５*_15・基礎２),0)*_15・２人),0)*(1+_15・区４)),0)</f>
        <v>962</v>
      </c>
      <c r="AF314" s="48"/>
    </row>
    <row r="315" spans="1:32" ht="16.5" customHeight="1" x14ac:dyDescent="0.15">
      <c r="A315" s="41">
        <v>15</v>
      </c>
      <c r="B315" s="41" t="s">
        <v>21759</v>
      </c>
      <c r="C315" s="74" t="s">
        <v>21760</v>
      </c>
      <c r="D315" s="72"/>
      <c r="F315" s="57"/>
      <c r="G315" s="72"/>
      <c r="I315" s="57"/>
      <c r="J315" s="72"/>
      <c r="L315" s="57"/>
      <c r="M315" s="114"/>
      <c r="N315" s="49"/>
      <c r="O315" s="50"/>
      <c r="P315" s="299"/>
      <c r="Q315" s="45"/>
      <c r="R315" s="46"/>
      <c r="S315" s="512"/>
      <c r="T315" s="57"/>
      <c r="U315" s="512"/>
      <c r="V315" s="57"/>
      <c r="W315" s="114" t="s">
        <v>17562</v>
      </c>
      <c r="X315" s="49"/>
      <c r="Y315" s="50"/>
      <c r="Z315" s="115"/>
      <c r="AA315" s="72"/>
      <c r="AB315" s="12" t="s">
        <v>398</v>
      </c>
      <c r="AC315" s="13">
        <v>0.4</v>
      </c>
      <c r="AD315" s="57" t="s">
        <v>3575</v>
      </c>
      <c r="AE315" s="208">
        <f>ROUND((ROUND((ROUND((_15_同援日１．０*(1+_15・A深夜)),0)*(1+_15・盲ろう)),0)*(1+_15・区４)),0)+ROUND((ROUND((ROUND((_15_同援日１．０＿１．０*(1+_15・B早朝)),0)*(1+_15・盲ろう)),0)*(1+_15・区４)),0)+ROUND((ROUND((_15_同援日１．０＿１．０＿０．５*(1+_15・盲ろう)),0)*(1+_15・区４)),0)</f>
        <v>1335</v>
      </c>
      <c r="AF315" s="48"/>
    </row>
    <row r="316" spans="1:32" ht="16.5" customHeight="1" x14ac:dyDescent="0.15">
      <c r="A316" s="41">
        <v>15</v>
      </c>
      <c r="B316" s="41" t="s">
        <v>21761</v>
      </c>
      <c r="C316" s="74" t="s">
        <v>21762</v>
      </c>
      <c r="D316" s="72"/>
      <c r="F316" s="57"/>
      <c r="G316" s="72"/>
      <c r="I316" s="57"/>
      <c r="J316" s="72"/>
      <c r="L316" s="57"/>
      <c r="M316" s="269"/>
      <c r="N316" s="37"/>
      <c r="O316" s="38"/>
      <c r="P316" s="299" t="s">
        <v>17556</v>
      </c>
      <c r="Q316" s="45" t="s">
        <v>398</v>
      </c>
      <c r="R316" s="46">
        <v>1</v>
      </c>
      <c r="S316" s="512"/>
      <c r="T316" s="57"/>
      <c r="U316" s="512"/>
      <c r="V316" s="57"/>
      <c r="W316" s="92" t="s">
        <v>17564</v>
      </c>
      <c r="Z316" s="57"/>
      <c r="AA316" s="72"/>
      <c r="AD316" s="57"/>
      <c r="AE316" s="208">
        <f>ROUND((ROUND((ROUND((ROUND((_15_同援日１．０*_15・２人),0)*(1+_15・A深夜)),0)*(1+_15・盲ろう)),0)*(1+_15・区４)),0)+ROUND((ROUND((ROUND((ROUND((_15_同援日１．０＿１．０*_15・２人),0)*(1+_15・B早朝)),0)*(1+_15・盲ろう)),0)*(1+_15・区４)),0)+ROUND((ROUND((ROUND((_15_同援日１．０＿１．０＿０．５*_15・２人),0)*(1+_15・盲ろう)),0)*(1+_15・区４)),0)</f>
        <v>1335</v>
      </c>
      <c r="AF316" s="48"/>
    </row>
    <row r="317" spans="1:32" ht="16.5" customHeight="1" x14ac:dyDescent="0.15">
      <c r="A317" s="41">
        <v>15</v>
      </c>
      <c r="B317" s="41" t="s">
        <v>21763</v>
      </c>
      <c r="C317" s="74" t="s">
        <v>21764</v>
      </c>
      <c r="D317" s="72"/>
      <c r="F317" s="57"/>
      <c r="G317" s="72"/>
      <c r="I317" s="57"/>
      <c r="J317" s="72"/>
      <c r="L317" s="57"/>
      <c r="M317" s="114" t="s">
        <v>17558</v>
      </c>
      <c r="N317" s="49"/>
      <c r="O317" s="50"/>
      <c r="P317" s="299"/>
      <c r="Q317" s="45"/>
      <c r="R317" s="46"/>
      <c r="S317" s="512"/>
      <c r="T317" s="57"/>
      <c r="U317" s="512"/>
      <c r="V317" s="57"/>
      <c r="W317" s="92"/>
      <c r="X317" s="12" t="s">
        <v>398</v>
      </c>
      <c r="Y317" s="13">
        <v>0.25</v>
      </c>
      <c r="Z317" s="57" t="s">
        <v>3575</v>
      </c>
      <c r="AA317" s="72"/>
      <c r="AD317" s="57"/>
      <c r="AE317" s="208">
        <f>ROUND((ROUND((ROUND((ROUND((_15_同援日１．０*_15・基礎２),0)*(1+_15・A深夜)),0)*(1+_15・盲ろう)),0)*(1+_15・区４)),0)+ROUND((ROUND((ROUND((ROUND((_15_同援日１．０＿１．０*_15・基礎２),0)*(1+_15・B早朝)),0)*(1+_15・盲ろう)),0)*(1+_15・区４)),0)+ROUND((ROUND((ROUND((_15_同援日１．０＿１．０＿０．５*_15・基礎２),0)*(1+_15・盲ろう)),0)*(1+_15・区４)),0)</f>
        <v>1203</v>
      </c>
      <c r="AF317" s="48"/>
    </row>
    <row r="318" spans="1:32" ht="16.5" customHeight="1" x14ac:dyDescent="0.15">
      <c r="A318" s="41">
        <v>15</v>
      </c>
      <c r="B318" s="41" t="s">
        <v>21765</v>
      </c>
      <c r="C318" s="74" t="s">
        <v>21766</v>
      </c>
      <c r="D318" s="72"/>
      <c r="F318" s="57"/>
      <c r="G318" s="72"/>
      <c r="I318" s="57"/>
      <c r="J318" s="122"/>
      <c r="K318" s="37"/>
      <c r="L318" s="79"/>
      <c r="M318" s="269" t="s">
        <v>17560</v>
      </c>
      <c r="N318" s="37" t="s">
        <v>398</v>
      </c>
      <c r="O318" s="38">
        <v>0.9</v>
      </c>
      <c r="P318" s="299" t="s">
        <v>17556</v>
      </c>
      <c r="Q318" s="45" t="s">
        <v>398</v>
      </c>
      <c r="R318" s="46">
        <v>1</v>
      </c>
      <c r="S318" s="512"/>
      <c r="T318" s="57"/>
      <c r="U318" s="512"/>
      <c r="V318" s="57"/>
      <c r="W318" s="269"/>
      <c r="X318" s="37"/>
      <c r="Y318" s="38"/>
      <c r="Z318" s="79"/>
      <c r="AA318" s="269"/>
      <c r="AB318" s="37"/>
      <c r="AC318" s="38"/>
      <c r="AD318" s="79"/>
      <c r="AE318" s="208">
        <f>ROUND((ROUND((ROUND((ROUND((ROUND((_15_同援日１．０*_15・基礎２),0)*_15・２人),0)*(1+_15・A深夜)),0)*(1+_15・盲ろう)),0)*(1+_15・区４)),0)+ROUND((ROUND((ROUND((ROUND((ROUND((_15_同援日１．０＿１．０*_15・基礎２),0)*_15・２人),0)*(1+_15・B早朝)),0)*(1+_15・盲ろう)),0)*(1+_15・区４)),0)+ROUND((ROUND((ROUND((ROUND((_15_同援日１．０＿１．０＿０．５*_15・基礎２),0)*_15・２人),0)*(1+_15・盲ろう)),0)*(1+_15・区４)),0)</f>
        <v>1203</v>
      </c>
      <c r="AF318" s="48"/>
    </row>
    <row r="319" spans="1:32" ht="16.5" customHeight="1" x14ac:dyDescent="0.15">
      <c r="A319" s="41">
        <v>15</v>
      </c>
      <c r="B319" s="41" t="s">
        <v>21767</v>
      </c>
      <c r="C319" s="74" t="s">
        <v>21768</v>
      </c>
      <c r="D319" s="72"/>
      <c r="F319" s="57"/>
      <c r="G319" s="72"/>
      <c r="I319" s="57"/>
      <c r="J319" s="114" t="s">
        <v>21246</v>
      </c>
      <c r="K319" s="49"/>
      <c r="L319" s="115"/>
      <c r="M319" s="114"/>
      <c r="N319" s="49"/>
      <c r="O319" s="50"/>
      <c r="P319" s="299"/>
      <c r="Q319" s="45"/>
      <c r="R319" s="46"/>
      <c r="S319" s="512"/>
      <c r="T319" s="57"/>
      <c r="U319" s="512"/>
      <c r="V319" s="57"/>
      <c r="W319" s="114"/>
      <c r="X319" s="49"/>
      <c r="Y319" s="50"/>
      <c r="Z319" s="115"/>
      <c r="AA319" s="116"/>
      <c r="AB319" s="49"/>
      <c r="AC319" s="50"/>
      <c r="AD319" s="115"/>
      <c r="AE319" s="208">
        <f>ROUND((_15_同援日１．０*(1+_15・A深夜)),0)+ROUND((_15_同援日１．０＿１．０*(1+_15・B早朝)),0)+_15_同援日１．０＿１．０＿１．０</f>
        <v>828</v>
      </c>
      <c r="AF319" s="48"/>
    </row>
    <row r="320" spans="1:32" ht="16.5" customHeight="1" x14ac:dyDescent="0.15">
      <c r="A320" s="41">
        <v>15</v>
      </c>
      <c r="B320" s="41" t="s">
        <v>21769</v>
      </c>
      <c r="C320" s="74" t="s">
        <v>21770</v>
      </c>
      <c r="D320" s="72"/>
      <c r="F320" s="57"/>
      <c r="G320" s="72"/>
      <c r="I320" s="57"/>
      <c r="J320" s="72" t="s">
        <v>17589</v>
      </c>
      <c r="L320" s="57"/>
      <c r="M320" s="269"/>
      <c r="N320" s="37"/>
      <c r="O320" s="38"/>
      <c r="P320" s="299" t="s">
        <v>17556</v>
      </c>
      <c r="Q320" s="45" t="s">
        <v>398</v>
      </c>
      <c r="R320" s="46">
        <v>1</v>
      </c>
      <c r="S320" s="512"/>
      <c r="T320" s="57"/>
      <c r="U320" s="512"/>
      <c r="V320" s="57"/>
      <c r="W320" s="92"/>
      <c r="Z320" s="57"/>
      <c r="AA320" s="72"/>
      <c r="AD320" s="57"/>
      <c r="AE320" s="208">
        <f>ROUND((ROUND((_15_同援日１．０*_15・２人),0)*(1+_15・A深夜)),0)+ROUND((ROUND((_15_同援日１．０＿１．０*_15・２人),0)*(1+_15・B早朝)),0)+ROUND((_15_同援日１．０＿１．０＿１．０*_15・２人),0)</f>
        <v>828</v>
      </c>
      <c r="AF320" s="48"/>
    </row>
    <row r="321" spans="1:32" ht="16.5" customHeight="1" x14ac:dyDescent="0.15">
      <c r="A321" s="41">
        <v>15</v>
      </c>
      <c r="B321" s="41" t="s">
        <v>21771</v>
      </c>
      <c r="C321" s="74" t="s">
        <v>21772</v>
      </c>
      <c r="D321" s="72"/>
      <c r="F321" s="57"/>
      <c r="G321" s="72"/>
      <c r="I321" s="57"/>
      <c r="J321" s="72" t="s">
        <v>17591</v>
      </c>
      <c r="L321" s="57"/>
      <c r="M321" s="114" t="s">
        <v>17558</v>
      </c>
      <c r="N321" s="49"/>
      <c r="O321" s="50"/>
      <c r="P321" s="299"/>
      <c r="Q321" s="45"/>
      <c r="R321" s="46"/>
      <c r="S321" s="512"/>
      <c r="T321" s="57"/>
      <c r="U321" s="512"/>
      <c r="V321" s="57"/>
      <c r="W321" s="92"/>
      <c r="Z321" s="57"/>
      <c r="AA321" s="72"/>
      <c r="AD321" s="57"/>
      <c r="AE321" s="208">
        <f>ROUND((ROUND((_15_同援日１．０*_15・基礎２),0)*(1+_15・A深夜)),0)+ROUND((ROUND((_15_同援日１．０＿１．０*_15・基礎２),0)*(1+_15・B早朝)),0)+ROUND((_15_同援日１．０＿１．０＿１．０*_15・基礎２),0)</f>
        <v>745</v>
      </c>
      <c r="AF321" s="48"/>
    </row>
    <row r="322" spans="1:32" ht="16.5" customHeight="1" x14ac:dyDescent="0.15">
      <c r="A322" s="41">
        <v>15</v>
      </c>
      <c r="B322" s="41" t="s">
        <v>21773</v>
      </c>
      <c r="C322" s="74" t="s">
        <v>21774</v>
      </c>
      <c r="D322" s="72"/>
      <c r="F322" s="57"/>
      <c r="G322" s="72"/>
      <c r="I322" s="57"/>
      <c r="J322" s="72"/>
      <c r="K322" s="168">
        <f>_15_同援日１．０＿１．０＿１．０</f>
        <v>130</v>
      </c>
      <c r="L322" s="57" t="s">
        <v>392</v>
      </c>
      <c r="M322" s="269" t="s">
        <v>17560</v>
      </c>
      <c r="N322" s="37" t="s">
        <v>398</v>
      </c>
      <c r="O322" s="38">
        <v>0.9</v>
      </c>
      <c r="P322" s="299" t="s">
        <v>17556</v>
      </c>
      <c r="Q322" s="45" t="s">
        <v>398</v>
      </c>
      <c r="R322" s="46">
        <v>1</v>
      </c>
      <c r="S322" s="512"/>
      <c r="T322" s="57"/>
      <c r="U322" s="512"/>
      <c r="V322" s="57"/>
      <c r="W322" s="269"/>
      <c r="X322" s="37"/>
      <c r="Y322" s="38"/>
      <c r="Z322" s="79"/>
      <c r="AA322" s="72"/>
      <c r="AD322" s="57"/>
      <c r="AE322" s="208">
        <f>ROUND((ROUND((ROUND((_15_同援日１．０*_15・基礎２),0)*_15・２人),0)*(1+_15・A深夜)),0)+ROUND((ROUND((ROUND((_15_同援日１．０＿１．０*_15・基礎２),0)*_15・２人),0)*(1+_15・B早朝)),0)+ROUND((ROUND((_15_同援日１．０＿１．０＿１．０*_15・基礎２),0)*_15・２人),0)</f>
        <v>745</v>
      </c>
      <c r="AF322" s="48"/>
    </row>
    <row r="323" spans="1:32" ht="16.5" customHeight="1" x14ac:dyDescent="0.15">
      <c r="A323" s="41">
        <v>15</v>
      </c>
      <c r="B323" s="41" t="s">
        <v>21775</v>
      </c>
      <c r="C323" s="74" t="s">
        <v>21776</v>
      </c>
      <c r="D323" s="72"/>
      <c r="F323" s="57"/>
      <c r="G323" s="72"/>
      <c r="I323" s="57"/>
      <c r="J323" s="72"/>
      <c r="L323" s="57"/>
      <c r="M323" s="114"/>
      <c r="N323" s="49"/>
      <c r="O323" s="50"/>
      <c r="P323" s="299"/>
      <c r="Q323" s="45"/>
      <c r="R323" s="46"/>
      <c r="S323" s="512"/>
      <c r="T323" s="57"/>
      <c r="U323" s="512"/>
      <c r="V323" s="57"/>
      <c r="W323" s="114" t="s">
        <v>17562</v>
      </c>
      <c r="X323" s="49"/>
      <c r="Y323" s="50"/>
      <c r="Z323" s="115"/>
      <c r="AA323" s="72"/>
      <c r="AD323" s="57"/>
      <c r="AE323" s="208">
        <f>ROUND((ROUND((_15_同援日１．０*(1+_15・A深夜)),0)*(1+_15・盲ろう)),0)+ROUND((ROUND((_15_同援日１．０＿１．０*(1+_15・B早朝)),0)*(1+_15・盲ろう)),0)+ROUND((_15_同援日１．０＿１．０＿１．０*(1+_15・盲ろう)),0)</f>
        <v>1036</v>
      </c>
      <c r="AF323" s="48"/>
    </row>
    <row r="324" spans="1:32" ht="16.5" customHeight="1" x14ac:dyDescent="0.15">
      <c r="A324" s="41">
        <v>15</v>
      </c>
      <c r="B324" s="41" t="s">
        <v>21777</v>
      </c>
      <c r="C324" s="74" t="s">
        <v>21778</v>
      </c>
      <c r="D324" s="72"/>
      <c r="F324" s="57"/>
      <c r="G324" s="72"/>
      <c r="I324" s="57"/>
      <c r="J324" s="72"/>
      <c r="L324" s="57"/>
      <c r="M324" s="269"/>
      <c r="N324" s="37"/>
      <c r="O324" s="38"/>
      <c r="P324" s="299" t="s">
        <v>17556</v>
      </c>
      <c r="Q324" s="45" t="s">
        <v>398</v>
      </c>
      <c r="R324" s="46">
        <v>1</v>
      </c>
      <c r="S324" s="512"/>
      <c r="T324" s="57"/>
      <c r="U324" s="512"/>
      <c r="V324" s="57"/>
      <c r="W324" s="92" t="s">
        <v>17564</v>
      </c>
      <c r="Z324" s="57"/>
      <c r="AA324" s="72"/>
      <c r="AD324" s="57"/>
      <c r="AE324" s="208">
        <f>ROUND((ROUND((ROUND((_15_同援日１．０*_15・２人),0)*(1+_15・A深夜)),0)*(1+_15・盲ろう)),0)+ROUND((ROUND((ROUND((_15_同援日１．０＿１．０*_15・２人),0)*(1+_15・B早朝)),0)*(1+_15・盲ろう)),0)+ROUND((ROUND((_15_同援日１．０＿１．０＿１．０*_15・２人),0)*(1+_15・盲ろう)),0)</f>
        <v>1036</v>
      </c>
      <c r="AF324" s="48"/>
    </row>
    <row r="325" spans="1:32" ht="16.5" customHeight="1" x14ac:dyDescent="0.15">
      <c r="A325" s="41">
        <v>15</v>
      </c>
      <c r="B325" s="41" t="s">
        <v>1054</v>
      </c>
      <c r="C325" s="74" t="s">
        <v>21779</v>
      </c>
      <c r="D325" s="72"/>
      <c r="F325" s="57"/>
      <c r="G325" s="72"/>
      <c r="I325" s="57"/>
      <c r="J325" s="72"/>
      <c r="L325" s="57"/>
      <c r="M325" s="114" t="s">
        <v>17558</v>
      </c>
      <c r="N325" s="49"/>
      <c r="O325" s="50"/>
      <c r="P325" s="299"/>
      <c r="Q325" s="45"/>
      <c r="R325" s="46"/>
      <c r="S325" s="512"/>
      <c r="T325" s="57"/>
      <c r="U325" s="512"/>
      <c r="V325" s="57"/>
      <c r="W325" s="92"/>
      <c r="X325" s="12" t="s">
        <v>398</v>
      </c>
      <c r="Y325" s="13">
        <v>0.25</v>
      </c>
      <c r="Z325" s="57" t="s">
        <v>3575</v>
      </c>
      <c r="AA325" s="72"/>
      <c r="AD325" s="57"/>
      <c r="AE325" s="208">
        <f>ROUND((ROUND((ROUND((_15_同援日１．０*_15・基礎２),0)*(1+_15・A深夜)),0)*(1+_15・盲ろう)),0)+ROUND((ROUND((ROUND((_15_同援日１．０＿１．０*_15・基礎２),0)*(1+_15・B早朝)),0)*(1+_15・盲ろう)),0)+ROUND((ROUND((_15_同援日１．０＿１．０＿１．０*_15・基礎２),0)*(1+_15・盲ろう)),0)</f>
        <v>931</v>
      </c>
      <c r="AF325" s="48"/>
    </row>
    <row r="326" spans="1:32" ht="16.5" customHeight="1" x14ac:dyDescent="0.15">
      <c r="A326" s="41">
        <v>15</v>
      </c>
      <c r="B326" s="41" t="s">
        <v>1056</v>
      </c>
      <c r="C326" s="74" t="s">
        <v>21780</v>
      </c>
      <c r="D326" s="72"/>
      <c r="F326" s="57"/>
      <c r="G326" s="72"/>
      <c r="I326" s="57"/>
      <c r="J326" s="72"/>
      <c r="L326" s="57"/>
      <c r="M326" s="269" t="s">
        <v>17560</v>
      </c>
      <c r="N326" s="37" t="s">
        <v>398</v>
      </c>
      <c r="O326" s="38">
        <v>0.9</v>
      </c>
      <c r="P326" s="299" t="s">
        <v>17556</v>
      </c>
      <c r="Q326" s="45" t="s">
        <v>398</v>
      </c>
      <c r="R326" s="46">
        <v>1</v>
      </c>
      <c r="S326" s="512"/>
      <c r="T326" s="57"/>
      <c r="U326" s="512"/>
      <c r="V326" s="57"/>
      <c r="W326" s="269"/>
      <c r="X326" s="37"/>
      <c r="Y326" s="38"/>
      <c r="Z326" s="79"/>
      <c r="AA326" s="269"/>
      <c r="AB326" s="37"/>
      <c r="AC326" s="38"/>
      <c r="AD326" s="79"/>
      <c r="AE326" s="208">
        <f>ROUND((ROUND((ROUND((ROUND((_15_同援日１．０*_15・基礎２),0)*_15・２人),0)*(1+_15・A深夜)),0)*(1+_15・盲ろう)),0)+ROUND((ROUND((ROUND((ROUND((_15_同援日１．０＿１．０*_15・基礎２),0)*_15・２人),0)*(1+_15・B早朝)),0)*(1+_15・盲ろう)),0)+ROUND((ROUND((ROUND((_15_同援日１．０＿１．０＿１．０*_15・基礎２),0)*_15・２人),0)*(1+_15・盲ろう)),0)</f>
        <v>931</v>
      </c>
      <c r="AF326" s="48"/>
    </row>
    <row r="327" spans="1:32" ht="16.5" customHeight="1" x14ac:dyDescent="0.15">
      <c r="A327" s="41">
        <v>15</v>
      </c>
      <c r="B327" s="41" t="s">
        <v>1058</v>
      </c>
      <c r="C327" s="74" t="s">
        <v>21781</v>
      </c>
      <c r="D327" s="72"/>
      <c r="F327" s="57"/>
      <c r="G327" s="72"/>
      <c r="I327" s="57"/>
      <c r="J327" s="72"/>
      <c r="L327" s="57"/>
      <c r="M327" s="114"/>
      <c r="N327" s="49"/>
      <c r="O327" s="50"/>
      <c r="P327" s="299"/>
      <c r="Q327" s="45"/>
      <c r="R327" s="46"/>
      <c r="S327" s="512"/>
      <c r="T327" s="57"/>
      <c r="U327" s="512"/>
      <c r="V327" s="57"/>
      <c r="W327" s="114"/>
      <c r="X327" s="49"/>
      <c r="Y327" s="50"/>
      <c r="Z327" s="115"/>
      <c r="AA327" s="116"/>
      <c r="AB327" s="49"/>
      <c r="AC327" s="50"/>
      <c r="AD327" s="115"/>
      <c r="AE327" s="208">
        <f>ROUND((ROUND((_15_同援日１．０*(1+_15・A深夜)),0)*(1+_15・区３)),0)+ROUND((ROUND((_15_同援日１．０＿１．０*(1+_15・B早朝)),0)*(1+_15・区３)),0)+ROUND((_15_同援日１．０＿１．０＿１．０*(1+_15・区３)),0)</f>
        <v>994</v>
      </c>
      <c r="AF327" s="48"/>
    </row>
    <row r="328" spans="1:32" ht="16.5" customHeight="1" x14ac:dyDescent="0.15">
      <c r="A328" s="41">
        <v>15</v>
      </c>
      <c r="B328" s="41" t="s">
        <v>1060</v>
      </c>
      <c r="C328" s="74" t="s">
        <v>21782</v>
      </c>
      <c r="D328" s="72"/>
      <c r="F328" s="57"/>
      <c r="G328" s="72"/>
      <c r="I328" s="57"/>
      <c r="J328" s="72"/>
      <c r="L328" s="57"/>
      <c r="M328" s="269"/>
      <c r="N328" s="37"/>
      <c r="O328" s="38"/>
      <c r="P328" s="299" t="s">
        <v>17556</v>
      </c>
      <c r="Q328" s="45" t="s">
        <v>398</v>
      </c>
      <c r="R328" s="46">
        <v>1</v>
      </c>
      <c r="S328" s="512"/>
      <c r="T328" s="57"/>
      <c r="U328" s="512"/>
      <c r="V328" s="57"/>
      <c r="W328" s="92"/>
      <c r="Z328" s="57"/>
      <c r="AA328" s="72"/>
      <c r="AD328" s="57"/>
      <c r="AE328" s="208">
        <f>ROUND((ROUND((ROUND((_15_同援日１．０*_15・２人),0)*(1+_15・A深夜)),0)*(1+_15・区３)),0)+ROUND((ROUND((ROUND((_15_同援日１．０＿１．０*_15・２人),0)*(1+_15・B早朝)),0)*(1+_15・区３)),0)+ROUND((ROUND((_15_同援日１．０＿１．０＿１．０*_15・２人),0)*(1+_15・区３)),0)</f>
        <v>994</v>
      </c>
      <c r="AF328" s="48"/>
    </row>
    <row r="329" spans="1:32" ht="16.5" customHeight="1" x14ac:dyDescent="0.15">
      <c r="A329" s="41">
        <v>15</v>
      </c>
      <c r="B329" s="41" t="s">
        <v>21783</v>
      </c>
      <c r="C329" s="74" t="s">
        <v>21784</v>
      </c>
      <c r="D329" s="72"/>
      <c r="F329" s="57"/>
      <c r="G329" s="72"/>
      <c r="I329" s="57"/>
      <c r="J329" s="72"/>
      <c r="L329" s="57"/>
      <c r="M329" s="114" t="s">
        <v>17558</v>
      </c>
      <c r="N329" s="49"/>
      <c r="O329" s="50"/>
      <c r="P329" s="299"/>
      <c r="Q329" s="45"/>
      <c r="R329" s="46"/>
      <c r="S329" s="512"/>
      <c r="T329" s="57"/>
      <c r="U329" s="512"/>
      <c r="V329" s="57"/>
      <c r="W329" s="92"/>
      <c r="Z329" s="57"/>
      <c r="AA329" s="72" t="s">
        <v>17570</v>
      </c>
      <c r="AD329" s="57"/>
      <c r="AE329" s="208">
        <f>ROUND((ROUND((ROUND((_15_同援日１．０*_15・基礎２),0)*(1+_15・A深夜)),0)*(1+_15・区３)),0)+ROUND((ROUND((ROUND((_15_同援日１．０＿１．０*_15・基礎２),0)*(1+_15・B早朝)),0)*(1+_15・区３)),0)+ROUND((ROUND((_15_同援日１．０＿１．０＿１．０*_15・基礎２),0)*(1+_15・区３)),0)</f>
        <v>894</v>
      </c>
      <c r="AF329" s="48"/>
    </row>
    <row r="330" spans="1:32" ht="16.5" customHeight="1" x14ac:dyDescent="0.15">
      <c r="A330" s="41">
        <v>15</v>
      </c>
      <c r="B330" s="41" t="s">
        <v>21785</v>
      </c>
      <c r="C330" s="74" t="s">
        <v>21786</v>
      </c>
      <c r="D330" s="72"/>
      <c r="F330" s="57"/>
      <c r="G330" s="72"/>
      <c r="I330" s="57"/>
      <c r="J330" s="72"/>
      <c r="L330" s="57"/>
      <c r="M330" s="269" t="s">
        <v>17560</v>
      </c>
      <c r="N330" s="37" t="s">
        <v>398</v>
      </c>
      <c r="O330" s="38">
        <v>0.9</v>
      </c>
      <c r="P330" s="299" t="s">
        <v>17556</v>
      </c>
      <c r="Q330" s="45" t="s">
        <v>398</v>
      </c>
      <c r="R330" s="46">
        <v>1</v>
      </c>
      <c r="S330" s="512"/>
      <c r="T330" s="57"/>
      <c r="U330" s="512"/>
      <c r="V330" s="57"/>
      <c r="W330" s="269"/>
      <c r="X330" s="37"/>
      <c r="Y330" s="38"/>
      <c r="Z330" s="79"/>
      <c r="AA330" s="72" t="s">
        <v>17572</v>
      </c>
      <c r="AD330" s="57"/>
      <c r="AE330" s="208">
        <f>ROUND((ROUND((ROUND((ROUND((_15_同援日１．０*_15・基礎２),0)*_15・２人),0)*(1+_15・A深夜)),0)*(1+_15・区３)),0)+ROUND((ROUND((ROUND((ROUND((_15_同援日１．０＿１．０*_15・基礎２),0)*_15・２人),0)*(1+_15・B早朝)),0)*(1+_15・区３)),0)+ROUND((ROUND((ROUND((_15_同援日１．０＿１．０＿１．０*_15・基礎２),0)*_15・２人),0)*(1+_15・区３)),0)</f>
        <v>894</v>
      </c>
      <c r="AF330" s="48"/>
    </row>
    <row r="331" spans="1:32" ht="16.5" customHeight="1" x14ac:dyDescent="0.15">
      <c r="A331" s="41">
        <v>15</v>
      </c>
      <c r="B331" s="41" t="s">
        <v>21787</v>
      </c>
      <c r="C331" s="74" t="s">
        <v>21788</v>
      </c>
      <c r="D331" s="72"/>
      <c r="F331" s="57"/>
      <c r="G331" s="72"/>
      <c r="I331" s="57"/>
      <c r="J331" s="72"/>
      <c r="L331" s="57"/>
      <c r="M331" s="114"/>
      <c r="N331" s="49"/>
      <c r="O331" s="50"/>
      <c r="P331" s="299"/>
      <c r="Q331" s="45"/>
      <c r="R331" s="46"/>
      <c r="S331" s="512"/>
      <c r="T331" s="57"/>
      <c r="U331" s="512"/>
      <c r="V331" s="57"/>
      <c r="W331" s="114" t="s">
        <v>17562</v>
      </c>
      <c r="X331" s="49"/>
      <c r="Y331" s="50"/>
      <c r="Z331" s="115"/>
      <c r="AA331" s="72"/>
      <c r="AB331" s="12" t="s">
        <v>398</v>
      </c>
      <c r="AC331" s="13">
        <v>0.2</v>
      </c>
      <c r="AD331" s="57" t="s">
        <v>3575</v>
      </c>
      <c r="AE331" s="208">
        <f>ROUND((ROUND((ROUND((_15_同援日１．０*(1+_15・A深夜)),0)*(1+_15・盲ろう)),0)*(1+_15・区３)),0)+ROUND((ROUND((ROUND((_15_同援日１．０＿１．０*(1+_15・B早朝)),0)*(1+_15・盲ろう)),0)*(1+_15・区３)),0)+ROUND((ROUND((_15_同援日１．０＿１．０＿１．０*(1+_15・盲ろう)),0)*(1+_15・区３)),0)</f>
        <v>1244</v>
      </c>
      <c r="AF331" s="48"/>
    </row>
    <row r="332" spans="1:32" ht="16.5" customHeight="1" x14ac:dyDescent="0.15">
      <c r="A332" s="41">
        <v>15</v>
      </c>
      <c r="B332" s="41" t="s">
        <v>21789</v>
      </c>
      <c r="C332" s="74" t="s">
        <v>21790</v>
      </c>
      <c r="D332" s="72"/>
      <c r="F332" s="57"/>
      <c r="G332" s="72"/>
      <c r="I332" s="57"/>
      <c r="J332" s="72"/>
      <c r="L332" s="57"/>
      <c r="M332" s="269"/>
      <c r="N332" s="37"/>
      <c r="O332" s="38"/>
      <c r="P332" s="299" t="s">
        <v>17556</v>
      </c>
      <c r="Q332" s="45" t="s">
        <v>398</v>
      </c>
      <c r="R332" s="46">
        <v>1</v>
      </c>
      <c r="S332" s="512"/>
      <c r="T332" s="57"/>
      <c r="U332" s="512"/>
      <c r="V332" s="57"/>
      <c r="W332" s="92" t="s">
        <v>17564</v>
      </c>
      <c r="Z332" s="57"/>
      <c r="AA332" s="72"/>
      <c r="AD332" s="57"/>
      <c r="AE332" s="208">
        <f>ROUND((ROUND((ROUND((ROUND((_15_同援日１．０*_15・２人),0)*(1+_15・A深夜)),0)*(1+_15・盲ろう)),0)*(1+_15・区３)),0)+ROUND((ROUND((ROUND((ROUND((_15_同援日１．０＿１．０*_15・２人),0)*(1+_15・B早朝)),0)*(1+_15・盲ろう)),0)*(1+_15・区３)),0)+ROUND((ROUND((ROUND((_15_同援日１．０＿１．０＿１．０*_15・２人),0)*(1+_15・盲ろう)),0)*(1+_15・区３)),0)</f>
        <v>1244</v>
      </c>
      <c r="AF332" s="48"/>
    </row>
    <row r="333" spans="1:32" ht="16.5" customHeight="1" x14ac:dyDescent="0.15">
      <c r="A333" s="41">
        <v>15</v>
      </c>
      <c r="B333" s="41" t="s">
        <v>21791</v>
      </c>
      <c r="C333" s="74" t="s">
        <v>21792</v>
      </c>
      <c r="D333" s="72"/>
      <c r="F333" s="57"/>
      <c r="G333" s="72"/>
      <c r="I333" s="57"/>
      <c r="J333" s="72"/>
      <c r="L333" s="57"/>
      <c r="M333" s="114" t="s">
        <v>17558</v>
      </c>
      <c r="N333" s="49"/>
      <c r="O333" s="50"/>
      <c r="P333" s="299"/>
      <c r="Q333" s="45"/>
      <c r="R333" s="46"/>
      <c r="S333" s="512"/>
      <c r="T333" s="57"/>
      <c r="U333" s="512"/>
      <c r="V333" s="57"/>
      <c r="W333" s="92"/>
      <c r="X333" s="12" t="s">
        <v>398</v>
      </c>
      <c r="Y333" s="13">
        <v>0.25</v>
      </c>
      <c r="Z333" s="57" t="s">
        <v>3575</v>
      </c>
      <c r="AA333" s="72"/>
      <c r="AD333" s="57"/>
      <c r="AE333" s="208">
        <f>ROUND((ROUND((ROUND((ROUND((_15_同援日１．０*_15・基礎２),0)*(1+_15・A深夜)),0)*(1+_15・盲ろう)),0)*(1+_15・区３)),0)+ROUND((ROUND((ROUND((ROUND((_15_同援日１．０＿１．０*_15・基礎２),0)*(1+_15・B早朝)),0)*(1+_15・盲ろう)),0)*(1+_15・区３)),0)+ROUND((ROUND((ROUND((_15_同援日１．０＿１．０＿１．０*_15・基礎２),0)*(1+_15・盲ろう)),0)*(1+_15・区３)),0)</f>
        <v>1117</v>
      </c>
      <c r="AF333" s="48"/>
    </row>
    <row r="334" spans="1:32" ht="16.5" customHeight="1" x14ac:dyDescent="0.15">
      <c r="A334" s="41">
        <v>15</v>
      </c>
      <c r="B334" s="41" t="s">
        <v>21793</v>
      </c>
      <c r="C334" s="74" t="s">
        <v>21794</v>
      </c>
      <c r="D334" s="72"/>
      <c r="F334" s="57"/>
      <c r="G334" s="72"/>
      <c r="I334" s="57"/>
      <c r="J334" s="72"/>
      <c r="L334" s="57"/>
      <c r="M334" s="269" t="s">
        <v>17560</v>
      </c>
      <c r="N334" s="37" t="s">
        <v>398</v>
      </c>
      <c r="O334" s="38">
        <v>0.9</v>
      </c>
      <c r="P334" s="299" t="s">
        <v>17556</v>
      </c>
      <c r="Q334" s="45" t="s">
        <v>398</v>
      </c>
      <c r="R334" s="46">
        <v>1</v>
      </c>
      <c r="S334" s="512"/>
      <c r="T334" s="57"/>
      <c r="U334" s="512"/>
      <c r="V334" s="57"/>
      <c r="W334" s="269"/>
      <c r="X334" s="37"/>
      <c r="Y334" s="38"/>
      <c r="Z334" s="79"/>
      <c r="AA334" s="269"/>
      <c r="AB334" s="37"/>
      <c r="AC334" s="38"/>
      <c r="AD334" s="79"/>
      <c r="AE334" s="208">
        <f>ROUND((ROUND((ROUND((ROUND((ROUND((_15_同援日１．０*_15・基礎２),0)*_15・２人),0)*(1+_15・A深夜)),0)*(1+_15・盲ろう)),0)*(1+_15・区３)),0)+ROUND((ROUND((ROUND((ROUND((ROUND((_15_同援日１．０＿１．０*_15・基礎２),0)*_15・２人),0)*(1+_15・B早朝)),0)*(1+_15・盲ろう)),0)*(1+_15・区３)),0)+ROUND((ROUND((ROUND((ROUND((_15_同援日１．０＿１．０＿１．０*_15・基礎２),0)*_15・２人),0)*(1+_15・盲ろう)),0)*(1+_15・区３)),0)</f>
        <v>1117</v>
      </c>
      <c r="AF334" s="48"/>
    </row>
    <row r="335" spans="1:32" ht="16.5" customHeight="1" x14ac:dyDescent="0.15">
      <c r="A335" s="41">
        <v>15</v>
      </c>
      <c r="B335" s="41" t="s">
        <v>21795</v>
      </c>
      <c r="C335" s="74" t="s">
        <v>21796</v>
      </c>
      <c r="D335" s="72"/>
      <c r="F335" s="57"/>
      <c r="G335" s="72"/>
      <c r="I335" s="57"/>
      <c r="J335" s="72"/>
      <c r="L335" s="57"/>
      <c r="M335" s="114"/>
      <c r="N335" s="49"/>
      <c r="O335" s="50"/>
      <c r="P335" s="299"/>
      <c r="Q335" s="45"/>
      <c r="R335" s="46"/>
      <c r="S335" s="512"/>
      <c r="T335" s="57"/>
      <c r="U335" s="512"/>
      <c r="V335" s="57"/>
      <c r="W335" s="114"/>
      <c r="X335" s="49"/>
      <c r="Y335" s="50"/>
      <c r="Z335" s="115"/>
      <c r="AA335" s="116"/>
      <c r="AB335" s="49"/>
      <c r="AC335" s="50"/>
      <c r="AD335" s="115"/>
      <c r="AE335" s="208">
        <f>ROUND((ROUND((_15_同援日１．０*(1+_15・A深夜)),0)*(1+_15・区４)),0)+ROUND((ROUND((_15_同援日１．０＿１．０*(1+_15・B早朝)),0)*(1+_15・区４)),0)+ROUND((_15_同援日１．０＿１．０＿１．０*(1+_15・区４)),0)</f>
        <v>1159</v>
      </c>
      <c r="AF335" s="48"/>
    </row>
    <row r="336" spans="1:32" ht="16.5" customHeight="1" x14ac:dyDescent="0.15">
      <c r="A336" s="41">
        <v>15</v>
      </c>
      <c r="B336" s="41" t="s">
        <v>21797</v>
      </c>
      <c r="C336" s="74" t="s">
        <v>21798</v>
      </c>
      <c r="D336" s="72"/>
      <c r="F336" s="57"/>
      <c r="G336" s="72"/>
      <c r="I336" s="57"/>
      <c r="J336" s="72"/>
      <c r="L336" s="57"/>
      <c r="M336" s="269"/>
      <c r="N336" s="37"/>
      <c r="O336" s="38"/>
      <c r="P336" s="299" t="s">
        <v>17556</v>
      </c>
      <c r="Q336" s="45" t="s">
        <v>398</v>
      </c>
      <c r="R336" s="46">
        <v>1</v>
      </c>
      <c r="S336" s="512"/>
      <c r="T336" s="57"/>
      <c r="U336" s="512"/>
      <c r="V336" s="57"/>
      <c r="W336" s="92"/>
      <c r="Z336" s="57"/>
      <c r="AA336" s="72"/>
      <c r="AD336" s="57"/>
      <c r="AE336" s="208">
        <f>ROUND((ROUND((ROUND((_15_同援日１．０*_15・２人),0)*(1+_15・A深夜)),0)*(1+_15・区４)),0)+ROUND((ROUND((ROUND((_15_同援日１．０＿１．０*_15・２人),0)*(1+_15・B早朝)),0)*(1+_15・区４)),0)+ROUND((ROUND((_15_同援日１．０＿１．０＿１．０*_15・２人),0)*(1+_15・区４)),0)</f>
        <v>1159</v>
      </c>
      <c r="AF336" s="48"/>
    </row>
    <row r="337" spans="1:32" ht="16.5" customHeight="1" x14ac:dyDescent="0.15">
      <c r="A337" s="41">
        <v>15</v>
      </c>
      <c r="B337" s="41" t="s">
        <v>21799</v>
      </c>
      <c r="C337" s="74" t="s">
        <v>21800</v>
      </c>
      <c r="D337" s="72"/>
      <c r="F337" s="57"/>
      <c r="G337" s="72"/>
      <c r="I337" s="57"/>
      <c r="J337" s="72"/>
      <c r="L337" s="57"/>
      <c r="M337" s="114" t="s">
        <v>17558</v>
      </c>
      <c r="N337" s="49"/>
      <c r="O337" s="50"/>
      <c r="P337" s="299"/>
      <c r="Q337" s="45"/>
      <c r="R337" s="46"/>
      <c r="S337" s="512"/>
      <c r="T337" s="57"/>
      <c r="U337" s="512"/>
      <c r="V337" s="57"/>
      <c r="W337" s="92"/>
      <c r="Z337" s="57"/>
      <c r="AA337" s="72" t="s">
        <v>17580</v>
      </c>
      <c r="AD337" s="57"/>
      <c r="AE337" s="208">
        <f>ROUND((ROUND((ROUND((_15_同援日１．０*_15・基礎２),0)*(1+_15・A深夜)),0)*(1+_15・区４)),0)+ROUND((ROUND((ROUND((_15_同援日１．０＿１．０*_15・基礎２),0)*(1+_15・B早朝)),0)*(1+_15・区４)),0)+ROUND((ROUND((_15_同援日１．０＿１．０＿１．０*_15・基礎２),0)*(1+_15・区４)),0)</f>
        <v>1043</v>
      </c>
      <c r="AF337" s="48"/>
    </row>
    <row r="338" spans="1:32" ht="16.5" customHeight="1" x14ac:dyDescent="0.15">
      <c r="A338" s="41">
        <v>15</v>
      </c>
      <c r="B338" s="41" t="s">
        <v>21801</v>
      </c>
      <c r="C338" s="74" t="s">
        <v>21802</v>
      </c>
      <c r="D338" s="72"/>
      <c r="F338" s="57"/>
      <c r="G338" s="72"/>
      <c r="I338" s="57"/>
      <c r="J338" s="72"/>
      <c r="L338" s="57"/>
      <c r="M338" s="269" t="s">
        <v>17560</v>
      </c>
      <c r="N338" s="37" t="s">
        <v>398</v>
      </c>
      <c r="O338" s="38">
        <v>0.9</v>
      </c>
      <c r="P338" s="299" t="s">
        <v>17556</v>
      </c>
      <c r="Q338" s="45" t="s">
        <v>398</v>
      </c>
      <c r="R338" s="46">
        <v>1</v>
      </c>
      <c r="S338" s="512"/>
      <c r="T338" s="57"/>
      <c r="U338" s="512"/>
      <c r="V338" s="57"/>
      <c r="W338" s="269"/>
      <c r="X338" s="37"/>
      <c r="Y338" s="38"/>
      <c r="Z338" s="79"/>
      <c r="AA338" s="72" t="s">
        <v>17572</v>
      </c>
      <c r="AD338" s="57"/>
      <c r="AE338" s="208">
        <f>ROUND((ROUND((ROUND((ROUND((_15_同援日１．０*_15・基礎２),0)*_15・２人),0)*(1+_15・A深夜)),0)*(1+_15・区４)),0)+ROUND((ROUND((ROUND((ROUND((_15_同援日１．０＿１．０*_15・基礎２),0)*_15・２人),0)*(1+_15・B早朝)),0)*(1+_15・区４)),0)+ROUND((ROUND((ROUND((_15_同援日１．０＿１．０＿１．０*_15・基礎２),0)*_15・２人),0)*(1+_15・区４)),0)</f>
        <v>1043</v>
      </c>
      <c r="AF338" s="48"/>
    </row>
    <row r="339" spans="1:32" ht="16.5" customHeight="1" x14ac:dyDescent="0.15">
      <c r="A339" s="41">
        <v>15</v>
      </c>
      <c r="B339" s="41" t="s">
        <v>21803</v>
      </c>
      <c r="C339" s="74" t="s">
        <v>21804</v>
      </c>
      <c r="D339" s="72"/>
      <c r="F339" s="57"/>
      <c r="G339" s="72"/>
      <c r="I339" s="57"/>
      <c r="J339" s="72"/>
      <c r="L339" s="57"/>
      <c r="M339" s="114"/>
      <c r="N339" s="49"/>
      <c r="O339" s="50"/>
      <c r="P339" s="299"/>
      <c r="Q339" s="45"/>
      <c r="R339" s="46"/>
      <c r="S339" s="512"/>
      <c r="T339" s="57"/>
      <c r="U339" s="512"/>
      <c r="V339" s="57"/>
      <c r="W339" s="114" t="s">
        <v>17562</v>
      </c>
      <c r="X339" s="49"/>
      <c r="Y339" s="50"/>
      <c r="Z339" s="115"/>
      <c r="AA339" s="72"/>
      <c r="AB339" s="12" t="s">
        <v>398</v>
      </c>
      <c r="AC339" s="13">
        <v>0.4</v>
      </c>
      <c r="AD339" s="57" t="s">
        <v>3575</v>
      </c>
      <c r="AE339" s="208">
        <f>ROUND((ROUND((ROUND((_15_同援日１．０*(1+_15・A深夜)),0)*(1+_15・盲ろう)),0)*(1+_15・区４)),0)+ROUND((ROUND((ROUND((_15_同援日１．０＿１．０*(1+_15・B早朝)),0)*(1+_15・盲ろう)),0)*(1+_15・区４)),0)+ROUND((ROUND((_15_同援日１．０＿１．０＿１．０*(1+_15・盲ろう)),0)*(1+_15・区４)),0)</f>
        <v>1450</v>
      </c>
      <c r="AF339" s="48"/>
    </row>
    <row r="340" spans="1:32" ht="16.5" customHeight="1" x14ac:dyDescent="0.15">
      <c r="A340" s="41">
        <v>15</v>
      </c>
      <c r="B340" s="41" t="s">
        <v>21805</v>
      </c>
      <c r="C340" s="74" t="s">
        <v>21806</v>
      </c>
      <c r="D340" s="72"/>
      <c r="F340" s="57"/>
      <c r="G340" s="72"/>
      <c r="I340" s="57"/>
      <c r="J340" s="72"/>
      <c r="L340" s="57"/>
      <c r="M340" s="269"/>
      <c r="N340" s="37"/>
      <c r="O340" s="38"/>
      <c r="P340" s="299" t="s">
        <v>17556</v>
      </c>
      <c r="Q340" s="45" t="s">
        <v>398</v>
      </c>
      <c r="R340" s="46">
        <v>1</v>
      </c>
      <c r="S340" s="512"/>
      <c r="T340" s="57"/>
      <c r="U340" s="512"/>
      <c r="V340" s="57"/>
      <c r="W340" s="92" t="s">
        <v>17564</v>
      </c>
      <c r="Z340" s="57"/>
      <c r="AA340" s="72"/>
      <c r="AD340" s="57"/>
      <c r="AE340" s="208">
        <f>ROUND((ROUND((ROUND((ROUND((_15_同援日１．０*_15・２人),0)*(1+_15・A深夜)),0)*(1+_15・盲ろう)),0)*(1+_15・区４)),0)+ROUND((ROUND((ROUND((ROUND((_15_同援日１．０＿１．０*_15・２人),0)*(1+_15・B早朝)),0)*(1+_15・盲ろう)),0)*(1+_15・区４)),0)+ROUND((ROUND((ROUND((_15_同援日１．０＿１．０＿１．０*_15・２人),0)*(1+_15・盲ろう)),0)*(1+_15・区４)),0)</f>
        <v>1450</v>
      </c>
      <c r="AF340" s="48"/>
    </row>
    <row r="341" spans="1:32" ht="16.5" customHeight="1" x14ac:dyDescent="0.15">
      <c r="A341" s="41">
        <v>15</v>
      </c>
      <c r="B341" s="41" t="s">
        <v>21807</v>
      </c>
      <c r="C341" s="74" t="s">
        <v>21808</v>
      </c>
      <c r="D341" s="72"/>
      <c r="F341" s="57"/>
      <c r="G341" s="72"/>
      <c r="I341" s="57"/>
      <c r="J341" s="72"/>
      <c r="L341" s="57"/>
      <c r="M341" s="114" t="s">
        <v>17558</v>
      </c>
      <c r="N341" s="49"/>
      <c r="O341" s="50"/>
      <c r="P341" s="299"/>
      <c r="Q341" s="45"/>
      <c r="R341" s="46"/>
      <c r="S341" s="512"/>
      <c r="T341" s="57"/>
      <c r="U341" s="512"/>
      <c r="V341" s="57"/>
      <c r="W341" s="92"/>
      <c r="X341" s="12" t="s">
        <v>398</v>
      </c>
      <c r="Y341" s="13">
        <v>0.25</v>
      </c>
      <c r="Z341" s="57" t="s">
        <v>3575</v>
      </c>
      <c r="AA341" s="72"/>
      <c r="AD341" s="57"/>
      <c r="AE341" s="208">
        <f>ROUND((ROUND((ROUND((ROUND((_15_同援日１．０*_15・基礎２),0)*(1+_15・A深夜)),0)*(1+_15・盲ろう)),0)*(1+_15・区４)),0)+ROUND((ROUND((ROUND((ROUND((_15_同援日１．０＿１．０*_15・基礎２),0)*(1+_15・B早朝)),0)*(1+_15・盲ろう)),0)*(1+_15・区４)),0)+ROUND((ROUND((ROUND((_15_同援日１．０＿１．０＿１．０*_15・基礎２),0)*(1+_15・盲ろう)),0)*(1+_15・区４)),0)</f>
        <v>1303</v>
      </c>
      <c r="AF341" s="48"/>
    </row>
    <row r="342" spans="1:32" ht="16.5" customHeight="1" x14ac:dyDescent="0.15">
      <c r="A342" s="41">
        <v>15</v>
      </c>
      <c r="B342" s="41" t="s">
        <v>21809</v>
      </c>
      <c r="C342" s="74" t="s">
        <v>21810</v>
      </c>
      <c r="D342" s="72"/>
      <c r="F342" s="57"/>
      <c r="G342" s="122"/>
      <c r="H342" s="37"/>
      <c r="I342" s="79"/>
      <c r="J342" s="122"/>
      <c r="K342" s="37"/>
      <c r="L342" s="79"/>
      <c r="M342" s="269" t="s">
        <v>17560</v>
      </c>
      <c r="N342" s="37" t="s">
        <v>398</v>
      </c>
      <c r="O342" s="38">
        <v>0.9</v>
      </c>
      <c r="P342" s="299" t="s">
        <v>17556</v>
      </c>
      <c r="Q342" s="45" t="s">
        <v>398</v>
      </c>
      <c r="R342" s="46">
        <v>1</v>
      </c>
      <c r="S342" s="512"/>
      <c r="T342" s="57"/>
      <c r="U342" s="512"/>
      <c r="V342" s="57"/>
      <c r="W342" s="269"/>
      <c r="X342" s="37"/>
      <c r="Y342" s="38"/>
      <c r="Z342" s="79"/>
      <c r="AA342" s="269"/>
      <c r="AB342" s="37"/>
      <c r="AC342" s="38"/>
      <c r="AD342" s="79"/>
      <c r="AE342" s="208">
        <f>ROUND((ROUND((ROUND((ROUND((ROUND((_15_同援日１．０*_15・基礎２),0)*_15・２人),0)*(1+_15・A深夜)),0)*(1+_15・盲ろう)),0)*(1+_15・区４)),0)+ROUND((ROUND((ROUND((ROUND((ROUND((_15_同援日１．０＿１．０*_15・基礎２),0)*_15・２人),0)*(1+_15・B早朝)),0)*(1+_15・盲ろう)),0)*(1+_15・区４)),0)+ROUND((ROUND((ROUND((ROUND((_15_同援日１．０＿１．０＿１．０*_15・基礎２),0)*_15・２人),0)*(1+_15・盲ろう)),0)*(1+_15・区４)),0)</f>
        <v>1303</v>
      </c>
      <c r="AF342" s="48"/>
    </row>
    <row r="343" spans="1:32" ht="16.5" customHeight="1" x14ac:dyDescent="0.15">
      <c r="A343" s="41">
        <v>15</v>
      </c>
      <c r="B343" s="41" t="s">
        <v>21811</v>
      </c>
      <c r="C343" s="74" t="s">
        <v>21812</v>
      </c>
      <c r="D343" s="72"/>
      <c r="F343" s="57"/>
      <c r="G343" s="114" t="s">
        <v>18871</v>
      </c>
      <c r="H343" s="49"/>
      <c r="I343" s="115"/>
      <c r="J343" s="114" t="s">
        <v>21813</v>
      </c>
      <c r="K343" s="49"/>
      <c r="L343" s="115"/>
      <c r="M343" s="114"/>
      <c r="N343" s="49"/>
      <c r="O343" s="50"/>
      <c r="P343" s="299"/>
      <c r="Q343" s="45"/>
      <c r="R343" s="46"/>
      <c r="S343" s="512"/>
      <c r="T343" s="57"/>
      <c r="U343" s="512"/>
      <c r="V343" s="57"/>
      <c r="W343" s="114"/>
      <c r="X343" s="49"/>
      <c r="Y343" s="50"/>
      <c r="Z343" s="115"/>
      <c r="AA343" s="116"/>
      <c r="AB343" s="49"/>
      <c r="AC343" s="50"/>
      <c r="AD343" s="115"/>
      <c r="AE343" s="208">
        <f>ROUND((_15_同援日１．０*(1+_15・A深夜)),0)+ROUND((_15_同援日１．０＿１．５*(1+_15・B早朝)),0)+_15_同援日１．０＿１．５＿０．５</f>
        <v>844</v>
      </c>
      <c r="AF343" s="48"/>
    </row>
    <row r="344" spans="1:32" ht="16.5" customHeight="1" x14ac:dyDescent="0.15">
      <c r="A344" s="41">
        <v>15</v>
      </c>
      <c r="B344" s="41" t="s">
        <v>21814</v>
      </c>
      <c r="C344" s="74" t="s">
        <v>21815</v>
      </c>
      <c r="D344" s="72"/>
      <c r="F344" s="57"/>
      <c r="G344" s="72" t="s">
        <v>17616</v>
      </c>
      <c r="I344" s="57"/>
      <c r="J344" s="72" t="s">
        <v>18259</v>
      </c>
      <c r="L344" s="57"/>
      <c r="M344" s="269"/>
      <c r="N344" s="37"/>
      <c r="O344" s="38"/>
      <c r="P344" s="299" t="s">
        <v>17556</v>
      </c>
      <c r="Q344" s="45" t="s">
        <v>398</v>
      </c>
      <c r="R344" s="46">
        <v>1</v>
      </c>
      <c r="S344" s="512"/>
      <c r="T344" s="57"/>
      <c r="U344" s="512"/>
      <c r="V344" s="57"/>
      <c r="W344" s="92"/>
      <c r="Z344" s="57"/>
      <c r="AA344" s="72"/>
      <c r="AD344" s="57"/>
      <c r="AE344" s="208">
        <f>ROUND((ROUND((_15_同援日１．０*_15・２人),0)*(1+_15・A深夜)),0)+ROUND((ROUND((_15_同援日１．０＿１．５*_15・２人),0)*(1+_15・B早朝)),0)+ROUND((_15_同援日１．０＿１．５＿０．５*_15・２人),0)</f>
        <v>844</v>
      </c>
      <c r="AF344" s="48"/>
    </row>
    <row r="345" spans="1:32" ht="16.5" customHeight="1" x14ac:dyDescent="0.15">
      <c r="A345" s="41">
        <v>15</v>
      </c>
      <c r="B345" s="41" t="s">
        <v>1130</v>
      </c>
      <c r="C345" s="74" t="s">
        <v>21816</v>
      </c>
      <c r="D345" s="72"/>
      <c r="F345" s="57"/>
      <c r="G345" s="72" t="s">
        <v>18183</v>
      </c>
      <c r="I345" s="57"/>
      <c r="J345" s="72"/>
      <c r="L345" s="57"/>
      <c r="M345" s="114" t="s">
        <v>17558</v>
      </c>
      <c r="N345" s="49"/>
      <c r="O345" s="50"/>
      <c r="P345" s="299"/>
      <c r="Q345" s="45"/>
      <c r="R345" s="46"/>
      <c r="S345" s="512"/>
      <c r="T345" s="57"/>
      <c r="U345" s="512"/>
      <c r="V345" s="57"/>
      <c r="W345" s="92"/>
      <c r="Z345" s="57"/>
      <c r="AA345" s="72"/>
      <c r="AD345" s="57"/>
      <c r="AE345" s="208">
        <f>ROUND((ROUND((_15_同援日１．０*_15・基礎２),0)*(1+_15・A深夜)),0)+ROUND((ROUND((_15_同援日１．０＿１．５*_15・基礎２),0)*(1+_15・B早朝)),0)+ROUND((_15_同援日１．０＿１．５＿０．５*_15・基礎２),0)</f>
        <v>760</v>
      </c>
      <c r="AF345" s="48"/>
    </row>
    <row r="346" spans="1:32" ht="16.5" customHeight="1" x14ac:dyDescent="0.15">
      <c r="A346" s="41">
        <v>15</v>
      </c>
      <c r="B346" s="41" t="s">
        <v>1132</v>
      </c>
      <c r="C346" s="74" t="s">
        <v>21817</v>
      </c>
      <c r="D346" s="72"/>
      <c r="F346" s="57"/>
      <c r="G346" s="72"/>
      <c r="H346" s="168">
        <f>_15_同援日１．０＿１．５</f>
        <v>263</v>
      </c>
      <c r="I346" s="57" t="s">
        <v>392</v>
      </c>
      <c r="J346" s="72"/>
      <c r="K346" s="168">
        <f>_15_同援日１．０＿１．５＿０．５</f>
        <v>65</v>
      </c>
      <c r="L346" s="57" t="s">
        <v>392</v>
      </c>
      <c r="M346" s="269" t="s">
        <v>17560</v>
      </c>
      <c r="N346" s="37" t="s">
        <v>398</v>
      </c>
      <c r="O346" s="38">
        <v>0.9</v>
      </c>
      <c r="P346" s="299" t="s">
        <v>17556</v>
      </c>
      <c r="Q346" s="45" t="s">
        <v>398</v>
      </c>
      <c r="R346" s="46">
        <v>1</v>
      </c>
      <c r="S346" s="512"/>
      <c r="T346" s="57"/>
      <c r="U346" s="512"/>
      <c r="V346" s="57"/>
      <c r="W346" s="269"/>
      <c r="X346" s="37"/>
      <c r="Y346" s="38"/>
      <c r="Z346" s="79"/>
      <c r="AA346" s="72"/>
      <c r="AD346" s="57"/>
      <c r="AE346" s="208">
        <f>ROUND((ROUND((ROUND((_15_同援日１．０*_15・基礎２),0)*_15・２人),0)*(1+_15・A深夜)),0)+ROUND((ROUND((ROUND((_15_同援日１．０＿１．５*_15・基礎２),0)*_15・２人),0)*(1+_15・B早朝)),0)+ROUND((ROUND((_15_同援日１．０＿１．５＿０．５*_15・基礎２),0)*_15・２人),0)</f>
        <v>760</v>
      </c>
      <c r="AF346" s="48"/>
    </row>
    <row r="347" spans="1:32" ht="16.5" customHeight="1" x14ac:dyDescent="0.15">
      <c r="A347" s="41">
        <v>15</v>
      </c>
      <c r="B347" s="41" t="s">
        <v>1134</v>
      </c>
      <c r="C347" s="74" t="s">
        <v>21818</v>
      </c>
      <c r="D347" s="72"/>
      <c r="F347" s="57"/>
      <c r="G347" s="72"/>
      <c r="I347" s="57"/>
      <c r="J347" s="72"/>
      <c r="L347" s="57"/>
      <c r="M347" s="114"/>
      <c r="N347" s="49"/>
      <c r="O347" s="50"/>
      <c r="P347" s="299"/>
      <c r="Q347" s="45"/>
      <c r="R347" s="46"/>
      <c r="S347" s="512"/>
      <c r="T347" s="57"/>
      <c r="U347" s="512"/>
      <c r="V347" s="57"/>
      <c r="W347" s="114" t="s">
        <v>17562</v>
      </c>
      <c r="X347" s="49"/>
      <c r="Y347" s="50"/>
      <c r="Z347" s="115"/>
      <c r="AA347" s="72"/>
      <c r="AD347" s="57"/>
      <c r="AE347" s="208">
        <f>ROUND((ROUND((_15_同援日１．０*(1+_15・A深夜)),0)*(1+_15・盲ろう)),0)+ROUND((ROUND((_15_同援日１．０＿１．５*(1+_15・B早朝)),0)*(1+_15・盲ろう)),0)+ROUND((_15_同援日１．０＿１．５＿０．５*(1+_15・盲ろう)),0)</f>
        <v>1055</v>
      </c>
      <c r="AF347" s="48"/>
    </row>
    <row r="348" spans="1:32" ht="16.5" customHeight="1" x14ac:dyDescent="0.15">
      <c r="A348" s="41">
        <v>15</v>
      </c>
      <c r="B348" s="41" t="s">
        <v>1136</v>
      </c>
      <c r="C348" s="74" t="s">
        <v>21819</v>
      </c>
      <c r="D348" s="72"/>
      <c r="F348" s="57"/>
      <c r="G348" s="72"/>
      <c r="I348" s="57"/>
      <c r="J348" s="72"/>
      <c r="L348" s="57"/>
      <c r="M348" s="269"/>
      <c r="N348" s="37"/>
      <c r="O348" s="38"/>
      <c r="P348" s="299" t="s">
        <v>17556</v>
      </c>
      <c r="Q348" s="45" t="s">
        <v>398</v>
      </c>
      <c r="R348" s="46">
        <v>1</v>
      </c>
      <c r="S348" s="512"/>
      <c r="T348" s="57"/>
      <c r="U348" s="512"/>
      <c r="V348" s="57"/>
      <c r="W348" s="92" t="s">
        <v>17564</v>
      </c>
      <c r="Z348" s="57"/>
      <c r="AA348" s="72"/>
      <c r="AD348" s="57"/>
      <c r="AE348" s="208">
        <f>ROUND((ROUND((ROUND((_15_同援日１．０*_15・２人),0)*(1+_15・A深夜)),0)*(1+_15・盲ろう)),0)+ROUND((ROUND((ROUND((_15_同援日１．０＿１．５*_15・２人),0)*(1+_15・B早朝)),0)*(1+_15・盲ろう)),0)+ROUND((ROUND((_15_同援日１．０＿１．５＿０．５*_15・２人),0)*(1+_15・盲ろう)),0)</f>
        <v>1055</v>
      </c>
      <c r="AF348" s="48"/>
    </row>
    <row r="349" spans="1:32" ht="16.5" customHeight="1" x14ac:dyDescent="0.15">
      <c r="A349" s="41">
        <v>15</v>
      </c>
      <c r="B349" s="41" t="s">
        <v>21820</v>
      </c>
      <c r="C349" s="74" t="s">
        <v>21821</v>
      </c>
      <c r="D349" s="72"/>
      <c r="F349" s="57"/>
      <c r="G349" s="72"/>
      <c r="I349" s="57"/>
      <c r="J349" s="72"/>
      <c r="L349" s="57"/>
      <c r="M349" s="114" t="s">
        <v>17558</v>
      </c>
      <c r="N349" s="49"/>
      <c r="O349" s="50"/>
      <c r="P349" s="299"/>
      <c r="Q349" s="45"/>
      <c r="R349" s="46"/>
      <c r="S349" s="512"/>
      <c r="T349" s="57"/>
      <c r="U349" s="512"/>
      <c r="V349" s="57"/>
      <c r="W349" s="92"/>
      <c r="X349" s="12" t="s">
        <v>398</v>
      </c>
      <c r="Y349" s="13">
        <v>0.25</v>
      </c>
      <c r="Z349" s="57" t="s">
        <v>3575</v>
      </c>
      <c r="AA349" s="72"/>
      <c r="AD349" s="57"/>
      <c r="AE349" s="208">
        <f>ROUND((ROUND((ROUND((_15_同援日１．０*_15・基礎２),0)*(1+_15・A深夜)),0)*(1+_15・盲ろう)),0)+ROUND((ROUND((ROUND((_15_同援日１．０＿１．５*_15・基礎２),0)*(1+_15・B早朝)),0)*(1+_15・盲ろう)),0)+ROUND((ROUND((_15_同援日１．０＿１．５＿０．５*_15・基礎２),0)*(1+_15・盲ろう)),0)</f>
        <v>950</v>
      </c>
      <c r="AF349" s="48"/>
    </row>
    <row r="350" spans="1:32" ht="16.5" customHeight="1" x14ac:dyDescent="0.15">
      <c r="A350" s="41">
        <v>15</v>
      </c>
      <c r="B350" s="41" t="s">
        <v>21822</v>
      </c>
      <c r="C350" s="74" t="s">
        <v>21823</v>
      </c>
      <c r="D350" s="72"/>
      <c r="F350" s="57"/>
      <c r="G350" s="72"/>
      <c r="I350" s="57"/>
      <c r="J350" s="72"/>
      <c r="L350" s="57"/>
      <c r="M350" s="269" t="s">
        <v>17560</v>
      </c>
      <c r="N350" s="37" t="s">
        <v>398</v>
      </c>
      <c r="O350" s="38">
        <v>0.9</v>
      </c>
      <c r="P350" s="299" t="s">
        <v>17556</v>
      </c>
      <c r="Q350" s="45" t="s">
        <v>398</v>
      </c>
      <c r="R350" s="46">
        <v>1</v>
      </c>
      <c r="S350" s="512"/>
      <c r="T350" s="57"/>
      <c r="U350" s="512"/>
      <c r="V350" s="57"/>
      <c r="W350" s="269"/>
      <c r="X350" s="37"/>
      <c r="Y350" s="38"/>
      <c r="Z350" s="79"/>
      <c r="AA350" s="269"/>
      <c r="AB350" s="37"/>
      <c r="AC350" s="38"/>
      <c r="AD350" s="79"/>
      <c r="AE350" s="208">
        <f>ROUND((ROUND((ROUND((ROUND((_15_同援日１．０*_15・基礎２),0)*_15・２人),0)*(1+_15・A深夜)),0)*(1+_15・盲ろう)),0)+ROUND((ROUND((ROUND((ROUND((_15_同援日１．０＿１．５*_15・基礎２),0)*_15・２人),0)*(1+_15・B早朝)),0)*(1+_15・盲ろう)),0)+ROUND((ROUND((ROUND((_15_同援日１．０＿１．５＿０．５*_15・基礎２),0)*_15・２人),0)*(1+_15・盲ろう)),0)</f>
        <v>950</v>
      </c>
      <c r="AF350" s="48"/>
    </row>
    <row r="351" spans="1:32" ht="16.5" customHeight="1" x14ac:dyDescent="0.15">
      <c r="A351" s="41">
        <v>15</v>
      </c>
      <c r="B351" s="41" t="s">
        <v>21824</v>
      </c>
      <c r="C351" s="74" t="s">
        <v>21825</v>
      </c>
      <c r="D351" s="72"/>
      <c r="F351" s="57"/>
      <c r="G351" s="72"/>
      <c r="I351" s="57"/>
      <c r="J351" s="72"/>
      <c r="L351" s="57"/>
      <c r="M351" s="114"/>
      <c r="N351" s="49"/>
      <c r="O351" s="50"/>
      <c r="P351" s="299"/>
      <c r="Q351" s="45"/>
      <c r="R351" s="46"/>
      <c r="S351" s="512"/>
      <c r="T351" s="57"/>
      <c r="U351" s="512"/>
      <c r="V351" s="57"/>
      <c r="W351" s="114"/>
      <c r="X351" s="49"/>
      <c r="Y351" s="50"/>
      <c r="Z351" s="115"/>
      <c r="AA351" s="116"/>
      <c r="AB351" s="49"/>
      <c r="AC351" s="50"/>
      <c r="AD351" s="115"/>
      <c r="AE351" s="208">
        <f>ROUND((ROUND((_15_同援日１．０*(1+_15・A深夜)),0)*(1+_15・区３)),0)+ROUND((ROUND((_15_同援日１．０＿１．５*(1+_15・B早朝)),0)*(1+_15・区３)),0)+ROUND((_15_同援日１．０＿１．５＿０．５*(1+_15・区３)),0)</f>
        <v>1013</v>
      </c>
      <c r="AF351" s="48"/>
    </row>
    <row r="352" spans="1:32" ht="16.5" customHeight="1" x14ac:dyDescent="0.15">
      <c r="A352" s="41">
        <v>15</v>
      </c>
      <c r="B352" s="41" t="s">
        <v>21826</v>
      </c>
      <c r="C352" s="74" t="s">
        <v>21827</v>
      </c>
      <c r="D352" s="72"/>
      <c r="F352" s="57"/>
      <c r="G352" s="72"/>
      <c r="I352" s="57"/>
      <c r="J352" s="72"/>
      <c r="L352" s="57"/>
      <c r="M352" s="269"/>
      <c r="N352" s="37"/>
      <c r="O352" s="38"/>
      <c r="P352" s="299" t="s">
        <v>17556</v>
      </c>
      <c r="Q352" s="45" t="s">
        <v>398</v>
      </c>
      <c r="R352" s="46">
        <v>1</v>
      </c>
      <c r="S352" s="512"/>
      <c r="T352" s="57"/>
      <c r="U352" s="512"/>
      <c r="V352" s="57"/>
      <c r="W352" s="92"/>
      <c r="Z352" s="57"/>
      <c r="AA352" s="72"/>
      <c r="AD352" s="57"/>
      <c r="AE352" s="208">
        <f>ROUND((ROUND((ROUND((_15_同援日１．０*_15・２人),0)*(1+_15・A深夜)),0)*(1+_15・区３)),0)+ROUND((ROUND((ROUND((_15_同援日１．０＿１．５*_15・２人),0)*(1+_15・B早朝)),0)*(1+_15・区３)),0)+ROUND((ROUND((_15_同援日１．０＿１．５＿０．５*_15・２人),0)*(1+_15・区３)),0)</f>
        <v>1013</v>
      </c>
      <c r="AF352" s="48"/>
    </row>
    <row r="353" spans="1:32" ht="16.5" customHeight="1" x14ac:dyDescent="0.15">
      <c r="A353" s="41">
        <v>15</v>
      </c>
      <c r="B353" s="41" t="s">
        <v>21828</v>
      </c>
      <c r="C353" s="74" t="s">
        <v>21829</v>
      </c>
      <c r="D353" s="72"/>
      <c r="F353" s="57"/>
      <c r="G353" s="72"/>
      <c r="I353" s="57"/>
      <c r="J353" s="72"/>
      <c r="L353" s="57"/>
      <c r="M353" s="114" t="s">
        <v>17558</v>
      </c>
      <c r="N353" s="49"/>
      <c r="O353" s="50"/>
      <c r="P353" s="299"/>
      <c r="Q353" s="45"/>
      <c r="R353" s="46"/>
      <c r="S353" s="512"/>
      <c r="T353" s="57"/>
      <c r="U353" s="512"/>
      <c r="V353" s="57"/>
      <c r="W353" s="92"/>
      <c r="Z353" s="57"/>
      <c r="AA353" s="72" t="s">
        <v>17570</v>
      </c>
      <c r="AD353" s="57"/>
      <c r="AE353" s="208">
        <f>ROUND((ROUND((ROUND((_15_同援日１．０*_15・基礎２),0)*(1+_15・A深夜)),0)*(1+_15・区３)),0)+ROUND((ROUND((ROUND((_15_同援日１．０＿１．５*_15・基礎２),0)*(1+_15・B早朝)),0)*(1+_15・区３)),0)+ROUND((ROUND((_15_同援日１．０＿１．５＿０．５*_15・基礎２),0)*(1+_15・区３)),0)</f>
        <v>912</v>
      </c>
      <c r="AF353" s="48"/>
    </row>
    <row r="354" spans="1:32" ht="16.5" customHeight="1" x14ac:dyDescent="0.15">
      <c r="A354" s="41">
        <v>15</v>
      </c>
      <c r="B354" s="41" t="s">
        <v>21830</v>
      </c>
      <c r="C354" s="74" t="s">
        <v>21831</v>
      </c>
      <c r="D354" s="72"/>
      <c r="F354" s="57"/>
      <c r="G354" s="72"/>
      <c r="I354" s="57"/>
      <c r="J354" s="72"/>
      <c r="L354" s="57"/>
      <c r="M354" s="269" t="s">
        <v>17560</v>
      </c>
      <c r="N354" s="37" t="s">
        <v>398</v>
      </c>
      <c r="O354" s="38">
        <v>0.9</v>
      </c>
      <c r="P354" s="299" t="s">
        <v>17556</v>
      </c>
      <c r="Q354" s="45" t="s">
        <v>398</v>
      </c>
      <c r="R354" s="46">
        <v>1</v>
      </c>
      <c r="S354" s="512"/>
      <c r="T354" s="57"/>
      <c r="U354" s="512"/>
      <c r="V354" s="57"/>
      <c r="W354" s="269"/>
      <c r="X354" s="37"/>
      <c r="Y354" s="38"/>
      <c r="Z354" s="79"/>
      <c r="AA354" s="72" t="s">
        <v>17572</v>
      </c>
      <c r="AD354" s="57"/>
      <c r="AE354" s="208">
        <f>ROUND((ROUND((ROUND((ROUND((_15_同援日１．０*_15・基礎２),0)*_15・２人),0)*(1+_15・A深夜)),0)*(1+_15・区３)),0)+ROUND((ROUND((ROUND((ROUND((_15_同援日１．０＿１．５*_15・基礎２),0)*_15・２人),0)*(1+_15・B早朝)),0)*(1+_15・区３)),0)+ROUND((ROUND((ROUND((_15_同援日１．０＿１．５＿０．５*_15・基礎２),0)*_15・２人),0)*(1+_15・区３)),0)</f>
        <v>912</v>
      </c>
      <c r="AF354" s="48"/>
    </row>
    <row r="355" spans="1:32" ht="16.5" customHeight="1" x14ac:dyDescent="0.15">
      <c r="A355" s="41">
        <v>15</v>
      </c>
      <c r="B355" s="41" t="s">
        <v>21832</v>
      </c>
      <c r="C355" s="74" t="s">
        <v>21833</v>
      </c>
      <c r="D355" s="72"/>
      <c r="F355" s="57"/>
      <c r="G355" s="72"/>
      <c r="I355" s="57"/>
      <c r="J355" s="72"/>
      <c r="L355" s="57"/>
      <c r="M355" s="114"/>
      <c r="N355" s="49"/>
      <c r="O355" s="50"/>
      <c r="P355" s="299"/>
      <c r="Q355" s="45"/>
      <c r="R355" s="46"/>
      <c r="S355" s="512"/>
      <c r="T355" s="57"/>
      <c r="U355" s="512"/>
      <c r="V355" s="57"/>
      <c r="W355" s="114" t="s">
        <v>17562</v>
      </c>
      <c r="X355" s="49"/>
      <c r="Y355" s="50"/>
      <c r="Z355" s="115"/>
      <c r="AA355" s="72"/>
      <c r="AB355" s="12" t="s">
        <v>398</v>
      </c>
      <c r="AC355" s="13">
        <v>0.2</v>
      </c>
      <c r="AD355" s="57" t="s">
        <v>3575</v>
      </c>
      <c r="AE355" s="208">
        <f>ROUND((ROUND((ROUND((_15_同援日１．０*(1+_15・A深夜)),0)*(1+_15・盲ろう)),0)*(1+_15・区３)),0)+ROUND((ROUND((ROUND((_15_同援日１．０＿１．５*(1+_15・B早朝)),0)*(1+_15・盲ろう)),0)*(1+_15・区３)),0)+ROUND((ROUND((_15_同援日１．０＿１．５＿０．５*(1+_15・盲ろう)),0)*(1+_15・区３)),0)</f>
        <v>1266</v>
      </c>
      <c r="AF355" s="48"/>
    </row>
    <row r="356" spans="1:32" ht="16.5" customHeight="1" x14ac:dyDescent="0.15">
      <c r="A356" s="41">
        <v>15</v>
      </c>
      <c r="B356" s="41" t="s">
        <v>21834</v>
      </c>
      <c r="C356" s="74" t="s">
        <v>21835</v>
      </c>
      <c r="D356" s="72"/>
      <c r="F356" s="57"/>
      <c r="G356" s="72"/>
      <c r="I356" s="57"/>
      <c r="J356" s="72"/>
      <c r="L356" s="57"/>
      <c r="M356" s="269"/>
      <c r="N356" s="37"/>
      <c r="O356" s="38"/>
      <c r="P356" s="299" t="s">
        <v>17556</v>
      </c>
      <c r="Q356" s="45" t="s">
        <v>398</v>
      </c>
      <c r="R356" s="46">
        <v>1</v>
      </c>
      <c r="S356" s="512"/>
      <c r="T356" s="57"/>
      <c r="U356" s="512"/>
      <c r="V356" s="57"/>
      <c r="W356" s="92" t="s">
        <v>17564</v>
      </c>
      <c r="Z356" s="57"/>
      <c r="AA356" s="72"/>
      <c r="AD356" s="57"/>
      <c r="AE356" s="208">
        <f>ROUND((ROUND((ROUND((ROUND((_15_同援日１．０*_15・２人),0)*(1+_15・A深夜)),0)*(1+_15・盲ろう)),0)*(1+_15・区３)),0)+ROUND((ROUND((ROUND((ROUND((_15_同援日１．０＿１．５*_15・２人),0)*(1+_15・B早朝)),0)*(1+_15・盲ろう)),0)*(1+_15・区３)),0)+ROUND((ROUND((ROUND((_15_同援日１．０＿１．５＿０．５*_15・２人),0)*(1+_15・盲ろう)),0)*(1+_15・区３)),0)</f>
        <v>1266</v>
      </c>
      <c r="AF356" s="48"/>
    </row>
    <row r="357" spans="1:32" ht="16.5" customHeight="1" x14ac:dyDescent="0.15">
      <c r="A357" s="41">
        <v>15</v>
      </c>
      <c r="B357" s="41" t="s">
        <v>21836</v>
      </c>
      <c r="C357" s="74" t="s">
        <v>21837</v>
      </c>
      <c r="D357" s="72"/>
      <c r="F357" s="57"/>
      <c r="G357" s="72"/>
      <c r="I357" s="57"/>
      <c r="J357" s="72"/>
      <c r="L357" s="57"/>
      <c r="M357" s="114" t="s">
        <v>17558</v>
      </c>
      <c r="N357" s="49"/>
      <c r="O357" s="50"/>
      <c r="P357" s="299"/>
      <c r="Q357" s="45"/>
      <c r="R357" s="46"/>
      <c r="S357" s="512"/>
      <c r="T357" s="57"/>
      <c r="U357" s="512"/>
      <c r="V357" s="57"/>
      <c r="W357" s="92"/>
      <c r="X357" s="12" t="s">
        <v>398</v>
      </c>
      <c r="Y357" s="13">
        <v>0.25</v>
      </c>
      <c r="Z357" s="57" t="s">
        <v>3575</v>
      </c>
      <c r="AA357" s="72"/>
      <c r="AD357" s="57"/>
      <c r="AE357" s="208">
        <f>ROUND((ROUND((ROUND((ROUND((_15_同援日１．０*_15・基礎２),0)*(1+_15・A深夜)),0)*(1+_15・盲ろう)),0)*(1+_15・区３)),0)+ROUND((ROUND((ROUND((ROUND((_15_同援日１．０＿１．５*_15・基礎２),0)*(1+_15・B早朝)),0)*(1+_15・盲ろう)),0)*(1+_15・区３)),0)+ROUND((ROUND((ROUND((_15_同援日１．０＿１．５＿０．５*_15・基礎２),0)*(1+_15・盲ろう)),0)*(1+_15・区３)),0)</f>
        <v>1140</v>
      </c>
      <c r="AF357" s="48"/>
    </row>
    <row r="358" spans="1:32" ht="16.5" customHeight="1" x14ac:dyDescent="0.15">
      <c r="A358" s="41">
        <v>15</v>
      </c>
      <c r="B358" s="41" t="s">
        <v>21838</v>
      </c>
      <c r="C358" s="74" t="s">
        <v>21839</v>
      </c>
      <c r="D358" s="72"/>
      <c r="F358" s="57"/>
      <c r="G358" s="72"/>
      <c r="I358" s="57"/>
      <c r="J358" s="72"/>
      <c r="L358" s="57"/>
      <c r="M358" s="269" t="s">
        <v>17560</v>
      </c>
      <c r="N358" s="37" t="s">
        <v>398</v>
      </c>
      <c r="O358" s="38">
        <v>0.9</v>
      </c>
      <c r="P358" s="299" t="s">
        <v>17556</v>
      </c>
      <c r="Q358" s="45" t="s">
        <v>398</v>
      </c>
      <c r="R358" s="46">
        <v>1</v>
      </c>
      <c r="S358" s="512"/>
      <c r="T358" s="57"/>
      <c r="U358" s="512"/>
      <c r="V358" s="57"/>
      <c r="W358" s="269"/>
      <c r="X358" s="37"/>
      <c r="Y358" s="38"/>
      <c r="Z358" s="79"/>
      <c r="AA358" s="269"/>
      <c r="AB358" s="37"/>
      <c r="AC358" s="38"/>
      <c r="AD358" s="79"/>
      <c r="AE358" s="208">
        <f>ROUND((ROUND((ROUND((ROUND((ROUND((_15_同援日１．０*_15・基礎２),0)*_15・２人),0)*(1+_15・A深夜)),0)*(1+_15・盲ろう)),0)*(1+_15・区３)),0)+ROUND((ROUND((ROUND((ROUND((ROUND((_15_同援日１．０＿１．５*_15・基礎２),0)*_15・２人),0)*(1+_15・B早朝)),0)*(1+_15・盲ろう)),0)*(1+_15・区３)),0)+ROUND((ROUND((ROUND((ROUND((_15_同援日１．０＿１．５＿０．５*_15・基礎２),0)*_15・２人),0)*(1+_15・盲ろう)),0)*(1+_15・区３)),0)</f>
        <v>1140</v>
      </c>
      <c r="AF358" s="48"/>
    </row>
    <row r="359" spans="1:32" ht="16.5" customHeight="1" x14ac:dyDescent="0.15">
      <c r="A359" s="41">
        <v>15</v>
      </c>
      <c r="B359" s="41" t="s">
        <v>21840</v>
      </c>
      <c r="C359" s="74" t="s">
        <v>21841</v>
      </c>
      <c r="D359" s="72"/>
      <c r="F359" s="57"/>
      <c r="G359" s="72"/>
      <c r="I359" s="57"/>
      <c r="J359" s="72"/>
      <c r="L359" s="57"/>
      <c r="M359" s="114"/>
      <c r="N359" s="49"/>
      <c r="O359" s="50"/>
      <c r="P359" s="299"/>
      <c r="Q359" s="45"/>
      <c r="R359" s="46"/>
      <c r="S359" s="512"/>
      <c r="T359" s="57"/>
      <c r="U359" s="512"/>
      <c r="V359" s="57"/>
      <c r="W359" s="114"/>
      <c r="X359" s="49"/>
      <c r="Y359" s="50"/>
      <c r="Z359" s="115"/>
      <c r="AA359" s="116"/>
      <c r="AB359" s="49"/>
      <c r="AC359" s="50"/>
      <c r="AD359" s="115"/>
      <c r="AE359" s="208">
        <f>ROUND((ROUND((_15_同援日１．０*(1+_15・A深夜)),0)*(1+_15・区４)),0)+ROUND((ROUND((_15_同援日１．０＿１．５*(1+_15・B早朝)),0)*(1+_15・区４)),0)+ROUND((_15_同援日１．０＿１．５＿０．５*(1+_15・区４)),0)</f>
        <v>1182</v>
      </c>
      <c r="AF359" s="48"/>
    </row>
    <row r="360" spans="1:32" ht="16.5" customHeight="1" x14ac:dyDescent="0.15">
      <c r="A360" s="41">
        <v>15</v>
      </c>
      <c r="B360" s="41" t="s">
        <v>21842</v>
      </c>
      <c r="C360" s="74" t="s">
        <v>21843</v>
      </c>
      <c r="D360" s="72"/>
      <c r="F360" s="57"/>
      <c r="G360" s="72"/>
      <c r="I360" s="57"/>
      <c r="J360" s="72"/>
      <c r="L360" s="57"/>
      <c r="M360" s="269"/>
      <c r="N360" s="37"/>
      <c r="O360" s="38"/>
      <c r="P360" s="299" t="s">
        <v>17556</v>
      </c>
      <c r="Q360" s="45" t="s">
        <v>398</v>
      </c>
      <c r="R360" s="46">
        <v>1</v>
      </c>
      <c r="S360" s="512"/>
      <c r="T360" s="57"/>
      <c r="U360" s="512"/>
      <c r="V360" s="57"/>
      <c r="W360" s="92"/>
      <c r="Z360" s="57"/>
      <c r="AA360" s="72"/>
      <c r="AD360" s="57"/>
      <c r="AE360" s="208">
        <f>ROUND((ROUND((ROUND((_15_同援日１．０*_15・２人),0)*(1+_15・A深夜)),0)*(1+_15・区４)),0)+ROUND((ROUND((ROUND((_15_同援日１．０＿１．５*_15・２人),0)*(1+_15・B早朝)),0)*(1+_15・区４)),0)+ROUND((ROUND((_15_同援日１．０＿１．５＿０．５*_15・２人),0)*(1+_15・区４)),0)</f>
        <v>1182</v>
      </c>
      <c r="AF360" s="48"/>
    </row>
    <row r="361" spans="1:32" ht="16.5" customHeight="1" x14ac:dyDescent="0.15">
      <c r="A361" s="41">
        <v>15</v>
      </c>
      <c r="B361" s="41" t="s">
        <v>21844</v>
      </c>
      <c r="C361" s="74" t="s">
        <v>21845</v>
      </c>
      <c r="D361" s="72"/>
      <c r="F361" s="57"/>
      <c r="G361" s="72"/>
      <c r="I361" s="57"/>
      <c r="J361" s="72"/>
      <c r="L361" s="57"/>
      <c r="M361" s="114" t="s">
        <v>17558</v>
      </c>
      <c r="N361" s="49"/>
      <c r="O361" s="50"/>
      <c r="P361" s="299"/>
      <c r="Q361" s="45"/>
      <c r="R361" s="46"/>
      <c r="S361" s="512"/>
      <c r="T361" s="57"/>
      <c r="U361" s="512"/>
      <c r="V361" s="57"/>
      <c r="W361" s="92"/>
      <c r="Z361" s="57"/>
      <c r="AA361" s="72" t="s">
        <v>17580</v>
      </c>
      <c r="AD361" s="57"/>
      <c r="AE361" s="208">
        <f>ROUND((ROUND((ROUND((_15_同援日１．０*_15・基礎２),0)*(1+_15・A深夜)),0)*(1+_15・区４)),0)+ROUND((ROUND((ROUND((_15_同援日１．０＿１．５*_15・基礎２),0)*(1+_15・B早朝)),0)*(1+_15・区４)),0)+ROUND((ROUND((_15_同援日１．０＿１．５＿０．５*_15・基礎２),0)*(1+_15・区４)),0)</f>
        <v>1064</v>
      </c>
      <c r="AF361" s="48"/>
    </row>
    <row r="362" spans="1:32" ht="16.5" customHeight="1" x14ac:dyDescent="0.15">
      <c r="A362" s="41">
        <v>15</v>
      </c>
      <c r="B362" s="41" t="s">
        <v>21846</v>
      </c>
      <c r="C362" s="74" t="s">
        <v>21847</v>
      </c>
      <c r="D362" s="72"/>
      <c r="F362" s="57"/>
      <c r="G362" s="72"/>
      <c r="I362" s="57"/>
      <c r="J362" s="72"/>
      <c r="L362" s="57"/>
      <c r="M362" s="269" t="s">
        <v>17560</v>
      </c>
      <c r="N362" s="37" t="s">
        <v>398</v>
      </c>
      <c r="O362" s="38">
        <v>0.9</v>
      </c>
      <c r="P362" s="299" t="s">
        <v>17556</v>
      </c>
      <c r="Q362" s="45" t="s">
        <v>398</v>
      </c>
      <c r="R362" s="46">
        <v>1</v>
      </c>
      <c r="S362" s="512"/>
      <c r="T362" s="57"/>
      <c r="U362" s="512"/>
      <c r="V362" s="57"/>
      <c r="W362" s="269"/>
      <c r="X362" s="37"/>
      <c r="Y362" s="38"/>
      <c r="Z362" s="79"/>
      <c r="AA362" s="72" t="s">
        <v>17572</v>
      </c>
      <c r="AD362" s="57"/>
      <c r="AE362" s="208">
        <f>ROUND((ROUND((ROUND((ROUND((_15_同援日１．０*_15・基礎２),0)*_15・２人),0)*(1+_15・A深夜)),0)*(1+_15・区４)),0)+ROUND((ROUND((ROUND((ROUND((_15_同援日１．０＿１．５*_15・基礎２),0)*_15・２人),0)*(1+_15・B早朝)),0)*(1+_15・区４)),0)+ROUND((ROUND((ROUND((_15_同援日１．０＿１．５＿０．５*_15・基礎２),0)*_15・２人),0)*(1+_15・区４)),0)</f>
        <v>1064</v>
      </c>
      <c r="AF362" s="48"/>
    </row>
    <row r="363" spans="1:32" ht="16.5" customHeight="1" x14ac:dyDescent="0.15">
      <c r="A363" s="41">
        <v>15</v>
      </c>
      <c r="B363" s="41" t="s">
        <v>21848</v>
      </c>
      <c r="C363" s="74" t="s">
        <v>21849</v>
      </c>
      <c r="D363" s="72"/>
      <c r="F363" s="57"/>
      <c r="G363" s="72"/>
      <c r="I363" s="57"/>
      <c r="J363" s="72"/>
      <c r="L363" s="57"/>
      <c r="M363" s="114"/>
      <c r="N363" s="49"/>
      <c r="O363" s="50"/>
      <c r="P363" s="299"/>
      <c r="Q363" s="45"/>
      <c r="R363" s="46"/>
      <c r="S363" s="512"/>
      <c r="T363" s="57"/>
      <c r="U363" s="512"/>
      <c r="V363" s="57"/>
      <c r="W363" s="114" t="s">
        <v>17562</v>
      </c>
      <c r="X363" s="49"/>
      <c r="Y363" s="50"/>
      <c r="Z363" s="115"/>
      <c r="AA363" s="72"/>
      <c r="AB363" s="12" t="s">
        <v>398</v>
      </c>
      <c r="AC363" s="13">
        <v>0.4</v>
      </c>
      <c r="AD363" s="57" t="s">
        <v>3575</v>
      </c>
      <c r="AE363" s="208">
        <f>ROUND((ROUND((ROUND((_15_同援日１．０*(1+_15・A深夜)),0)*(1+_15・盲ろう)),0)*(1+_15・区４)),0)+ROUND((ROUND((ROUND((_15_同援日１．０＿１．５*(1+_15・B早朝)),0)*(1+_15・盲ろう)),0)*(1+_15・区４)),0)+ROUND((ROUND((_15_同援日１．０＿１．５＿０．５*(1+_15・盲ろう)),0)*(1+_15・区４)),0)</f>
        <v>1476</v>
      </c>
      <c r="AF363" s="48"/>
    </row>
    <row r="364" spans="1:32" ht="16.5" customHeight="1" x14ac:dyDescent="0.15">
      <c r="A364" s="41">
        <v>15</v>
      </c>
      <c r="B364" s="41" t="s">
        <v>21850</v>
      </c>
      <c r="C364" s="74" t="s">
        <v>21851</v>
      </c>
      <c r="D364" s="72"/>
      <c r="F364" s="57"/>
      <c r="G364" s="72"/>
      <c r="I364" s="57"/>
      <c r="J364" s="72"/>
      <c r="L364" s="57"/>
      <c r="M364" s="269"/>
      <c r="N364" s="37"/>
      <c r="O364" s="38"/>
      <c r="P364" s="299" t="s">
        <v>17556</v>
      </c>
      <c r="Q364" s="45" t="s">
        <v>398</v>
      </c>
      <c r="R364" s="46">
        <v>1</v>
      </c>
      <c r="S364" s="512"/>
      <c r="T364" s="57"/>
      <c r="U364" s="512"/>
      <c r="V364" s="57"/>
      <c r="W364" s="92" t="s">
        <v>17564</v>
      </c>
      <c r="Z364" s="57"/>
      <c r="AA364" s="72"/>
      <c r="AD364" s="57"/>
      <c r="AE364" s="208">
        <f>ROUND((ROUND((ROUND((ROUND((_15_同援日１．０*_15・２人),0)*(1+_15・A深夜)),0)*(1+_15・盲ろう)),0)*(1+_15・区４)),0)+ROUND((ROUND((ROUND((ROUND((_15_同援日１．０＿１．５*_15・２人),0)*(1+_15・B早朝)),0)*(1+_15・盲ろう)),0)*(1+_15・区４)),0)+ROUND((ROUND((ROUND((_15_同援日１．０＿１．５＿０．５*_15・２人),0)*(1+_15・盲ろう)),0)*(1+_15・区４)),0)</f>
        <v>1476</v>
      </c>
      <c r="AF364" s="48"/>
    </row>
    <row r="365" spans="1:32" ht="16.5" customHeight="1" x14ac:dyDescent="0.15">
      <c r="A365" s="41">
        <v>15</v>
      </c>
      <c r="B365" s="41" t="s">
        <v>1143</v>
      </c>
      <c r="C365" s="74" t="s">
        <v>21852</v>
      </c>
      <c r="D365" s="72"/>
      <c r="F365" s="57"/>
      <c r="G365" s="72"/>
      <c r="I365" s="57"/>
      <c r="J365" s="72"/>
      <c r="L365" s="57"/>
      <c r="M365" s="114" t="s">
        <v>17558</v>
      </c>
      <c r="N365" s="49"/>
      <c r="O365" s="50"/>
      <c r="P365" s="299"/>
      <c r="Q365" s="45"/>
      <c r="R365" s="46"/>
      <c r="S365" s="512"/>
      <c r="T365" s="57"/>
      <c r="U365" s="512"/>
      <c r="V365" s="57"/>
      <c r="W365" s="92"/>
      <c r="X365" s="12" t="s">
        <v>398</v>
      </c>
      <c r="Y365" s="13">
        <v>0.25</v>
      </c>
      <c r="Z365" s="57" t="s">
        <v>3575</v>
      </c>
      <c r="AA365" s="72"/>
      <c r="AD365" s="57"/>
      <c r="AE365" s="208">
        <f>ROUND((ROUND((ROUND((ROUND((_15_同援日１．０*_15・基礎２),0)*(1+_15・A深夜)),0)*(1+_15・盲ろう)),0)*(1+_15・区４)),0)+ROUND((ROUND((ROUND((ROUND((_15_同援日１．０＿１．５*_15・基礎２),0)*(1+_15・B早朝)),0)*(1+_15・盲ろう)),0)*(1+_15・区４)),0)+ROUND((ROUND((ROUND((_15_同援日１．０＿１．５＿０．５*_15・基礎２),0)*(1+_15・盲ろう)),0)*(1+_15・区４)),0)</f>
        <v>1330</v>
      </c>
      <c r="AF365" s="48"/>
    </row>
    <row r="366" spans="1:32" ht="16.5" customHeight="1" x14ac:dyDescent="0.15">
      <c r="A366" s="41">
        <v>15</v>
      </c>
      <c r="B366" s="41" t="s">
        <v>1145</v>
      </c>
      <c r="C366" s="74" t="s">
        <v>21853</v>
      </c>
      <c r="D366" s="122"/>
      <c r="E366" s="37"/>
      <c r="F366" s="79"/>
      <c r="G366" s="122"/>
      <c r="H366" s="37"/>
      <c r="I366" s="79"/>
      <c r="J366" s="122"/>
      <c r="K366" s="37"/>
      <c r="L366" s="79"/>
      <c r="M366" s="269" t="s">
        <v>17560</v>
      </c>
      <c r="N366" s="37" t="s">
        <v>398</v>
      </c>
      <c r="O366" s="38">
        <v>0.9</v>
      </c>
      <c r="P366" s="299" t="s">
        <v>17556</v>
      </c>
      <c r="Q366" s="45" t="s">
        <v>398</v>
      </c>
      <c r="R366" s="46">
        <v>1</v>
      </c>
      <c r="S366" s="514"/>
      <c r="T366" s="79"/>
      <c r="U366" s="514"/>
      <c r="V366" s="79"/>
      <c r="W366" s="269"/>
      <c r="X366" s="37"/>
      <c r="Y366" s="38"/>
      <c r="Z366" s="79"/>
      <c r="AA366" s="269"/>
      <c r="AB366" s="37"/>
      <c r="AC366" s="38"/>
      <c r="AD366" s="79"/>
      <c r="AE366" s="208">
        <f>ROUND((ROUND((ROUND((ROUND((ROUND((_15_同援日１．０*_15・基礎２),0)*_15・２人),0)*(1+_15・A深夜)),0)*(1+_15・盲ろう)),0)*(1+_15・区４)),0)+ROUND((ROUND((ROUND((ROUND((ROUND((_15_同援日１．０＿１．５*_15・基礎２),0)*_15・２人),0)*(1+_15・B早朝)),0)*(1+_15・盲ろう)),0)*(1+_15・区４)),0)+ROUND((ROUND((ROUND((ROUND((_15_同援日１．０＿１．５＿０．５*_15・基礎２),0)*_15・２人),0)*(1+_15・盲ろう)),0)*(1+_15・区４)),0)</f>
        <v>1330</v>
      </c>
      <c r="AF366" s="63"/>
    </row>
    <row r="367" spans="1:32" ht="16.5" customHeight="1" x14ac:dyDescent="0.15">
      <c r="A367" s="41">
        <v>15</v>
      </c>
      <c r="B367" s="41" t="s">
        <v>1147</v>
      </c>
      <c r="C367" s="74" t="s">
        <v>21854</v>
      </c>
      <c r="D367" s="114" t="s">
        <v>18538</v>
      </c>
      <c r="E367" s="49"/>
      <c r="F367" s="115"/>
      <c r="G367" s="114" t="s">
        <v>18819</v>
      </c>
      <c r="H367" s="49"/>
      <c r="I367" s="115"/>
      <c r="J367" s="114" t="s">
        <v>19919</v>
      </c>
      <c r="K367" s="49"/>
      <c r="L367" s="115"/>
      <c r="M367" s="114"/>
      <c r="N367" s="49"/>
      <c r="O367" s="50"/>
      <c r="P367" s="299"/>
      <c r="Q367" s="45"/>
      <c r="R367" s="46"/>
      <c r="S367" s="515"/>
      <c r="T367" s="115"/>
      <c r="U367" s="515"/>
      <c r="V367" s="115"/>
      <c r="W367" s="114"/>
      <c r="X367" s="49"/>
      <c r="Y367" s="50"/>
      <c r="Z367" s="115"/>
      <c r="AA367" s="116"/>
      <c r="AB367" s="49"/>
      <c r="AC367" s="50"/>
      <c r="AD367" s="115"/>
      <c r="AE367" s="208">
        <f>ROUND((_15_同援日１．５*(1+_15・A深夜)),0)+ROUND((_15_同援日１．５＿０．５*(1+_15・B早朝)),0)+_15_同援日１．５＿０．５＿０．５</f>
        <v>796</v>
      </c>
      <c r="AF367" s="64"/>
    </row>
    <row r="368" spans="1:32" ht="16.5" customHeight="1" x14ac:dyDescent="0.15">
      <c r="A368" s="41">
        <v>15</v>
      </c>
      <c r="B368" s="41" t="s">
        <v>1149</v>
      </c>
      <c r="C368" s="74" t="s">
        <v>21855</v>
      </c>
      <c r="D368" s="72" t="s">
        <v>17616</v>
      </c>
      <c r="F368" s="57"/>
      <c r="G368" s="72" t="s">
        <v>18259</v>
      </c>
      <c r="I368" s="57"/>
      <c r="J368" s="72" t="s">
        <v>18259</v>
      </c>
      <c r="L368" s="57"/>
      <c r="M368" s="269"/>
      <c r="N368" s="37"/>
      <c r="O368" s="38"/>
      <c r="P368" s="299" t="s">
        <v>17556</v>
      </c>
      <c r="Q368" s="45" t="s">
        <v>398</v>
      </c>
      <c r="R368" s="46">
        <v>1</v>
      </c>
      <c r="S368" s="512"/>
      <c r="T368" s="57"/>
      <c r="U368" s="512"/>
      <c r="V368" s="57"/>
      <c r="W368" s="92"/>
      <c r="Z368" s="57"/>
      <c r="AA368" s="72"/>
      <c r="AD368" s="57"/>
      <c r="AE368" s="208">
        <f>ROUND((ROUND((_15_同援日１．５*_15・２人),0)*(1+_15・A深夜)),0)+ROUND((ROUND((_15_同援日１．５＿０．５*_15・２人),0)*(1+_15・B早朝)),0)+ROUND((_15_同援日１．５＿０．５＿０．５*_15・２人),0)</f>
        <v>796</v>
      </c>
      <c r="AF368" s="48"/>
    </row>
    <row r="369" spans="1:32" ht="16.5" customHeight="1" x14ac:dyDescent="0.15">
      <c r="A369" s="41">
        <v>15</v>
      </c>
      <c r="B369" s="41" t="s">
        <v>21856</v>
      </c>
      <c r="C369" s="74" t="s">
        <v>21857</v>
      </c>
      <c r="D369" s="72" t="s">
        <v>18183</v>
      </c>
      <c r="F369" s="57"/>
      <c r="G369" s="72"/>
      <c r="I369" s="57"/>
      <c r="J369" s="72"/>
      <c r="L369" s="57"/>
      <c r="M369" s="114" t="s">
        <v>17558</v>
      </c>
      <c r="N369" s="49"/>
      <c r="O369" s="50"/>
      <c r="P369" s="299"/>
      <c r="Q369" s="45"/>
      <c r="R369" s="46"/>
      <c r="S369" s="512"/>
      <c r="T369" s="57"/>
      <c r="U369" s="512"/>
      <c r="V369" s="57"/>
      <c r="W369" s="92"/>
      <c r="Z369" s="57"/>
      <c r="AA369" s="72"/>
      <c r="AD369" s="57"/>
      <c r="AE369" s="208">
        <f>ROUND((ROUND((_15_同援日１．５*_15・基礎２),0)*(1+_15・A深夜)),0)+ROUND((ROUND((_15_同援日１．５＿０．５*_15・基礎２),0)*(1+_15・B早朝)),0)+ROUND((_15_同援日１．５＿０．５＿０．５*_15・基礎２),0)</f>
        <v>718</v>
      </c>
      <c r="AF369" s="48"/>
    </row>
    <row r="370" spans="1:32" ht="16.5" customHeight="1" x14ac:dyDescent="0.15">
      <c r="A370" s="41">
        <v>15</v>
      </c>
      <c r="B370" s="41" t="s">
        <v>21858</v>
      </c>
      <c r="C370" s="74" t="s">
        <v>21859</v>
      </c>
      <c r="D370" s="72"/>
      <c r="E370" s="168">
        <f>_15_同援日１．５</f>
        <v>433</v>
      </c>
      <c r="F370" s="57" t="s">
        <v>392</v>
      </c>
      <c r="G370" s="72"/>
      <c r="H370" s="168">
        <f>_15_同援日１．５＿０．５</f>
        <v>65</v>
      </c>
      <c r="I370" s="57" t="s">
        <v>392</v>
      </c>
      <c r="J370" s="72"/>
      <c r="K370" s="168">
        <f>_15_同援日１．５＿０．５＿０．５</f>
        <v>65</v>
      </c>
      <c r="L370" s="57" t="s">
        <v>392</v>
      </c>
      <c r="M370" s="269" t="s">
        <v>17560</v>
      </c>
      <c r="N370" s="37" t="s">
        <v>398</v>
      </c>
      <c r="O370" s="38">
        <v>0.9</v>
      </c>
      <c r="P370" s="299" t="s">
        <v>17556</v>
      </c>
      <c r="Q370" s="45" t="s">
        <v>398</v>
      </c>
      <c r="R370" s="46">
        <v>1</v>
      </c>
      <c r="S370" s="512"/>
      <c r="T370" s="57"/>
      <c r="U370" s="512"/>
      <c r="V370" s="57"/>
      <c r="W370" s="269"/>
      <c r="X370" s="37"/>
      <c r="Y370" s="38"/>
      <c r="Z370" s="79"/>
      <c r="AA370" s="72"/>
      <c r="AD370" s="57"/>
      <c r="AE370" s="208">
        <f>ROUND((ROUND((ROUND((_15_同援日１．５*_15・基礎２),0)*_15・２人),0)*(1+_15・A深夜)),0)+ROUND((ROUND((ROUND((_15_同援日１．５＿０．５*_15・基礎２),0)*_15・２人),0)*(1+_15・B早朝)),0)+ROUND((ROUND((_15_同援日１．５＿０．５＿０．５*_15・基礎２),0)*_15・２人),0)</f>
        <v>718</v>
      </c>
      <c r="AF370" s="48"/>
    </row>
    <row r="371" spans="1:32" ht="16.5" customHeight="1" x14ac:dyDescent="0.15">
      <c r="A371" s="41">
        <v>15</v>
      </c>
      <c r="B371" s="41" t="s">
        <v>21860</v>
      </c>
      <c r="C371" s="74" t="s">
        <v>21861</v>
      </c>
      <c r="D371" s="72"/>
      <c r="F371" s="57"/>
      <c r="G371" s="72"/>
      <c r="I371" s="57"/>
      <c r="J371" s="72"/>
      <c r="L371" s="57"/>
      <c r="M371" s="114"/>
      <c r="N371" s="49"/>
      <c r="O371" s="50"/>
      <c r="P371" s="299"/>
      <c r="Q371" s="45"/>
      <c r="R371" s="46"/>
      <c r="S371" s="512"/>
      <c r="T371" s="57"/>
      <c r="U371" s="512"/>
      <c r="V371" s="57"/>
      <c r="W371" s="114" t="s">
        <v>17562</v>
      </c>
      <c r="X371" s="49"/>
      <c r="Y371" s="50"/>
      <c r="Z371" s="115"/>
      <c r="AA371" s="72"/>
      <c r="AD371" s="57"/>
      <c r="AE371" s="208">
        <f>ROUND((ROUND((_15_同援日１．５*(1+_15・A深夜)),0)*(1+_15・盲ろう)),0)+ROUND((ROUND((_15_同援日１．５＿０．５*(1+_15・B早朝)),0)*(1+_15・盲ろう)),0)+ROUND((_15_同援日１．５＿０．５＿０．５*(1+_15・盲ろう)),0)</f>
        <v>995</v>
      </c>
      <c r="AF371" s="48"/>
    </row>
    <row r="372" spans="1:32" ht="16.5" customHeight="1" x14ac:dyDescent="0.15">
      <c r="A372" s="41">
        <v>15</v>
      </c>
      <c r="B372" s="41" t="s">
        <v>21862</v>
      </c>
      <c r="C372" s="74" t="s">
        <v>21863</v>
      </c>
      <c r="D372" s="72"/>
      <c r="F372" s="57"/>
      <c r="G372" s="72"/>
      <c r="I372" s="57"/>
      <c r="J372" s="72"/>
      <c r="L372" s="57"/>
      <c r="M372" s="269"/>
      <c r="N372" s="37"/>
      <c r="O372" s="38"/>
      <c r="P372" s="299" t="s">
        <v>17556</v>
      </c>
      <c r="Q372" s="45" t="s">
        <v>398</v>
      </c>
      <c r="R372" s="46">
        <v>1</v>
      </c>
      <c r="S372" s="512"/>
      <c r="T372" s="57"/>
      <c r="U372" s="512"/>
      <c r="V372" s="57"/>
      <c r="W372" s="92" t="s">
        <v>17564</v>
      </c>
      <c r="Z372" s="57"/>
      <c r="AA372" s="72"/>
      <c r="AD372" s="57"/>
      <c r="AE372" s="208">
        <f>ROUND((ROUND((ROUND((_15_同援日１．５*_15・２人),0)*(1+_15・A深夜)),0)*(1+_15・盲ろう)),0)+ROUND((ROUND((ROUND((_15_同援日１．５＿０．５*_15・２人),0)*(1+_15・B早朝)),0)*(1+_15・盲ろう)),0)+ROUND((ROUND((_15_同援日１．５＿０．５＿０．５*_15・２人),0)*(1+_15・盲ろう)),0)</f>
        <v>995</v>
      </c>
      <c r="AF372" s="48"/>
    </row>
    <row r="373" spans="1:32" ht="16.5" customHeight="1" x14ac:dyDescent="0.15">
      <c r="A373" s="41">
        <v>15</v>
      </c>
      <c r="B373" s="41" t="s">
        <v>21864</v>
      </c>
      <c r="C373" s="74" t="s">
        <v>21865</v>
      </c>
      <c r="D373" s="72"/>
      <c r="F373" s="57"/>
      <c r="G373" s="72"/>
      <c r="I373" s="57"/>
      <c r="J373" s="72"/>
      <c r="L373" s="57"/>
      <c r="M373" s="114" t="s">
        <v>17558</v>
      </c>
      <c r="N373" s="49"/>
      <c r="O373" s="50"/>
      <c r="P373" s="299"/>
      <c r="Q373" s="45"/>
      <c r="R373" s="46"/>
      <c r="S373" s="512"/>
      <c r="T373" s="57"/>
      <c r="U373" s="512"/>
      <c r="V373" s="57"/>
      <c r="W373" s="92"/>
      <c r="X373" s="12" t="s">
        <v>398</v>
      </c>
      <c r="Y373" s="13">
        <v>0.25</v>
      </c>
      <c r="Z373" s="57" t="s">
        <v>3575</v>
      </c>
      <c r="AA373" s="72"/>
      <c r="AD373" s="57"/>
      <c r="AE373" s="208">
        <f>ROUND((ROUND((ROUND((_15_同援日１．５*_15・基礎２),0)*(1+_15・A深夜)),0)*(1+_15・盲ろう)),0)+ROUND((ROUND((ROUND((_15_同援日１．５＿０．５*_15・基礎２),0)*(1+_15・B早朝)),0)*(1+_15・盲ろう)),0)+ROUND((ROUND((_15_同援日１．５＿０．５＿０．５*_15・基礎２),0)*(1+_15・盲ろう)),0)</f>
        <v>898</v>
      </c>
      <c r="AF373" s="48"/>
    </row>
    <row r="374" spans="1:32" ht="16.5" customHeight="1" x14ac:dyDescent="0.15">
      <c r="A374" s="41">
        <v>15</v>
      </c>
      <c r="B374" s="41" t="s">
        <v>21866</v>
      </c>
      <c r="C374" s="74" t="s">
        <v>21867</v>
      </c>
      <c r="D374" s="72"/>
      <c r="F374" s="57"/>
      <c r="G374" s="72"/>
      <c r="I374" s="57"/>
      <c r="J374" s="72"/>
      <c r="L374" s="57"/>
      <c r="M374" s="269" t="s">
        <v>17560</v>
      </c>
      <c r="N374" s="37" t="s">
        <v>398</v>
      </c>
      <c r="O374" s="38">
        <v>0.9</v>
      </c>
      <c r="P374" s="299" t="s">
        <v>17556</v>
      </c>
      <c r="Q374" s="45" t="s">
        <v>398</v>
      </c>
      <c r="R374" s="46">
        <v>1</v>
      </c>
      <c r="S374" s="512"/>
      <c r="T374" s="57"/>
      <c r="U374" s="512"/>
      <c r="V374" s="57"/>
      <c r="W374" s="269"/>
      <c r="X374" s="37"/>
      <c r="Y374" s="38"/>
      <c r="Z374" s="79"/>
      <c r="AA374" s="269"/>
      <c r="AB374" s="37"/>
      <c r="AC374" s="38"/>
      <c r="AD374" s="79"/>
      <c r="AE374" s="208">
        <f>ROUND((ROUND((ROUND((ROUND((_15_同援日１．５*_15・基礎２),0)*_15・２人),0)*(1+_15・A深夜)),0)*(1+_15・盲ろう)),0)+ROUND((ROUND((ROUND((ROUND((_15_同援日１．５＿０．５*_15・基礎２),0)*_15・２人),0)*(1+_15・B早朝)),0)*(1+_15・盲ろう)),0)+ROUND((ROUND((ROUND((_15_同援日１．５＿０．５＿０．５*_15・基礎２),0)*_15・２人),0)*(1+_15・盲ろう)),0)</f>
        <v>898</v>
      </c>
      <c r="AF374" s="48"/>
    </row>
    <row r="375" spans="1:32" ht="16.5" customHeight="1" x14ac:dyDescent="0.15">
      <c r="A375" s="41">
        <v>15</v>
      </c>
      <c r="B375" s="41" t="s">
        <v>21868</v>
      </c>
      <c r="C375" s="74" t="s">
        <v>21869</v>
      </c>
      <c r="D375" s="72"/>
      <c r="F375" s="57"/>
      <c r="G375" s="72"/>
      <c r="I375" s="57"/>
      <c r="J375" s="72"/>
      <c r="L375" s="57"/>
      <c r="M375" s="114"/>
      <c r="N375" s="49"/>
      <c r="O375" s="50"/>
      <c r="P375" s="299"/>
      <c r="Q375" s="45"/>
      <c r="R375" s="46"/>
      <c r="S375" s="512"/>
      <c r="T375" s="57"/>
      <c r="U375" s="512"/>
      <c r="V375" s="57"/>
      <c r="W375" s="114"/>
      <c r="X375" s="49"/>
      <c r="Y375" s="50"/>
      <c r="Z375" s="115"/>
      <c r="AA375" s="116"/>
      <c r="AB375" s="49"/>
      <c r="AC375" s="50"/>
      <c r="AD375" s="115"/>
      <c r="AE375" s="208">
        <f>ROUND((ROUND((_15_同援日１．５*(1+_15・A深夜)),0)*(1+_15・区３)),0)+ROUND((ROUND((_15_同援日１．５＿０．５*(1+_15・B早朝)),0)*(1+_15・区３)),0)+ROUND((_15_同援日１．５＿０．５＿０．５*(1+_15・区３)),0)</f>
        <v>955</v>
      </c>
      <c r="AF375" s="48"/>
    </row>
    <row r="376" spans="1:32" ht="16.5" customHeight="1" x14ac:dyDescent="0.15">
      <c r="A376" s="41">
        <v>15</v>
      </c>
      <c r="B376" s="41" t="s">
        <v>21870</v>
      </c>
      <c r="C376" s="74" t="s">
        <v>21871</v>
      </c>
      <c r="D376" s="72"/>
      <c r="F376" s="57"/>
      <c r="G376" s="72"/>
      <c r="I376" s="57"/>
      <c r="J376" s="72"/>
      <c r="L376" s="57"/>
      <c r="M376" s="269"/>
      <c r="N376" s="37"/>
      <c r="O376" s="38"/>
      <c r="P376" s="299" t="s">
        <v>17556</v>
      </c>
      <c r="Q376" s="45" t="s">
        <v>398</v>
      </c>
      <c r="R376" s="46">
        <v>1</v>
      </c>
      <c r="S376" s="512"/>
      <c r="T376" s="57"/>
      <c r="U376" s="512"/>
      <c r="V376" s="57"/>
      <c r="W376" s="92"/>
      <c r="Z376" s="57"/>
      <c r="AA376" s="72"/>
      <c r="AD376" s="57"/>
      <c r="AE376" s="208">
        <f>ROUND((ROUND((ROUND((_15_同援日１．５*_15・２人),0)*(1+_15・A深夜)),0)*(1+_15・区３)),0)+ROUND((ROUND((ROUND((_15_同援日１．５＿０．５*_15・２人),0)*(1+_15・B早朝)),0)*(1+_15・区３)),0)+ROUND((ROUND((_15_同援日１．５＿０．５＿０．５*_15・２人),0)*(1+_15・区３)),0)</f>
        <v>955</v>
      </c>
      <c r="AF376" s="48"/>
    </row>
    <row r="377" spans="1:32" ht="16.5" customHeight="1" x14ac:dyDescent="0.15">
      <c r="A377" s="41">
        <v>15</v>
      </c>
      <c r="B377" s="41" t="s">
        <v>21872</v>
      </c>
      <c r="C377" s="74" t="s">
        <v>21873</v>
      </c>
      <c r="D377" s="72"/>
      <c r="F377" s="57"/>
      <c r="G377" s="72"/>
      <c r="I377" s="57"/>
      <c r="J377" s="72"/>
      <c r="L377" s="57"/>
      <c r="M377" s="114" t="s">
        <v>17558</v>
      </c>
      <c r="N377" s="49"/>
      <c r="O377" s="50"/>
      <c r="P377" s="299"/>
      <c r="Q377" s="45"/>
      <c r="R377" s="46"/>
      <c r="S377" s="512"/>
      <c r="T377" s="57"/>
      <c r="U377" s="512"/>
      <c r="V377" s="57"/>
      <c r="W377" s="92"/>
      <c r="Z377" s="57"/>
      <c r="AA377" s="72" t="s">
        <v>17570</v>
      </c>
      <c r="AD377" s="57"/>
      <c r="AE377" s="208">
        <f>ROUND((ROUND((ROUND((_15_同援日１．５*_15・基礎２),0)*(1+_15・A深夜)),0)*(1+_15・区３)),0)+ROUND((ROUND((ROUND((_15_同援日１．５＿０．５*_15・基礎２),0)*(1+_15・B早朝)),0)*(1+_15・区３)),0)+ROUND((ROUND((_15_同援日１．５＿０．５＿０．５*_15・基礎２),0)*(1+_15・区３)),0)</f>
        <v>862</v>
      </c>
      <c r="AF377" s="48"/>
    </row>
    <row r="378" spans="1:32" ht="16.5" customHeight="1" x14ac:dyDescent="0.15">
      <c r="A378" s="41">
        <v>15</v>
      </c>
      <c r="B378" s="41" t="s">
        <v>21874</v>
      </c>
      <c r="C378" s="74" t="s">
        <v>21875</v>
      </c>
      <c r="D378" s="72"/>
      <c r="F378" s="57"/>
      <c r="G378" s="72"/>
      <c r="I378" s="57"/>
      <c r="J378" s="72"/>
      <c r="L378" s="57"/>
      <c r="M378" s="269" t="s">
        <v>17560</v>
      </c>
      <c r="N378" s="37" t="s">
        <v>398</v>
      </c>
      <c r="O378" s="38">
        <v>0.9</v>
      </c>
      <c r="P378" s="299" t="s">
        <v>17556</v>
      </c>
      <c r="Q378" s="45" t="s">
        <v>398</v>
      </c>
      <c r="R378" s="46">
        <v>1</v>
      </c>
      <c r="S378" s="512"/>
      <c r="T378" s="57"/>
      <c r="U378" s="512"/>
      <c r="V378" s="57"/>
      <c r="W378" s="269"/>
      <c r="X378" s="37"/>
      <c r="Y378" s="38"/>
      <c r="Z378" s="79"/>
      <c r="AA378" s="72" t="s">
        <v>17572</v>
      </c>
      <c r="AD378" s="57"/>
      <c r="AE378" s="208">
        <f>ROUND((ROUND((ROUND((ROUND((_15_同援日１．５*_15・基礎２),0)*_15・２人),0)*(1+_15・A深夜)),0)*(1+_15・区３)),0)+ROUND((ROUND((ROUND((ROUND((_15_同援日１．５＿０．５*_15・基礎２),0)*_15・２人),0)*(1+_15・B早朝)),0)*(1+_15・区３)),0)+ROUND((ROUND((ROUND((_15_同援日１．５＿０．５＿０．５*_15・基礎２),0)*_15・２人),0)*(1+_15・区３)),0)</f>
        <v>862</v>
      </c>
      <c r="AF378" s="48"/>
    </row>
    <row r="379" spans="1:32" ht="16.5" customHeight="1" x14ac:dyDescent="0.15">
      <c r="A379" s="41">
        <v>15</v>
      </c>
      <c r="B379" s="41" t="s">
        <v>21876</v>
      </c>
      <c r="C379" s="74" t="s">
        <v>21877</v>
      </c>
      <c r="D379" s="72"/>
      <c r="F379" s="57"/>
      <c r="G379" s="72"/>
      <c r="I379" s="57"/>
      <c r="J379" s="72"/>
      <c r="L379" s="57"/>
      <c r="M379" s="114"/>
      <c r="N379" s="49"/>
      <c r="O379" s="50"/>
      <c r="P379" s="299"/>
      <c r="Q379" s="45"/>
      <c r="R379" s="46"/>
      <c r="S379" s="512"/>
      <c r="T379" s="57"/>
      <c r="U379" s="512"/>
      <c r="V379" s="57"/>
      <c r="W379" s="114" t="s">
        <v>17562</v>
      </c>
      <c r="X379" s="49"/>
      <c r="Y379" s="50"/>
      <c r="Z379" s="115"/>
      <c r="AA379" s="72"/>
      <c r="AB379" s="12" t="s">
        <v>398</v>
      </c>
      <c r="AC379" s="13">
        <v>0.2</v>
      </c>
      <c r="AD379" s="57" t="s">
        <v>3575</v>
      </c>
      <c r="AE379" s="208">
        <f>ROUND((ROUND((ROUND((_15_同援日１．５*(1+_15・A深夜)),0)*(1+_15・盲ろう)),0)*(1+_15・区３)),0)+ROUND((ROUND((ROUND((_15_同援日１．５＿０．５*(1+_15・B早朝)),0)*(1+_15・盲ろう)),0)*(1+_15・区３)),0)+ROUND((ROUND((_15_同援日１．５＿０．５＿０．５*(1+_15・盲ろう)),0)*(1+_15・区３)),0)</f>
        <v>1194</v>
      </c>
      <c r="AF379" s="48"/>
    </row>
    <row r="380" spans="1:32" ht="16.5" customHeight="1" x14ac:dyDescent="0.15">
      <c r="A380" s="41">
        <v>15</v>
      </c>
      <c r="B380" s="41" t="s">
        <v>21878</v>
      </c>
      <c r="C380" s="74" t="s">
        <v>21879</v>
      </c>
      <c r="D380" s="72"/>
      <c r="F380" s="57"/>
      <c r="G380" s="72"/>
      <c r="I380" s="57"/>
      <c r="J380" s="72"/>
      <c r="L380" s="57"/>
      <c r="M380" s="269"/>
      <c r="N380" s="37"/>
      <c r="O380" s="38"/>
      <c r="P380" s="299" t="s">
        <v>17556</v>
      </c>
      <c r="Q380" s="45" t="s">
        <v>398</v>
      </c>
      <c r="R380" s="46">
        <v>1</v>
      </c>
      <c r="S380" s="512"/>
      <c r="T380" s="57"/>
      <c r="U380" s="512"/>
      <c r="V380" s="57"/>
      <c r="W380" s="92" t="s">
        <v>17564</v>
      </c>
      <c r="Z380" s="57"/>
      <c r="AA380" s="72"/>
      <c r="AD380" s="57"/>
      <c r="AE380" s="208">
        <f>ROUND((ROUND((ROUND((ROUND((_15_同援日１．５*_15・２人),0)*(1+_15・A深夜)),0)*(1+_15・盲ろう)),0)*(1+_15・区３)),0)+ROUND((ROUND((ROUND((ROUND((_15_同援日１．５＿０．５*_15・２人),0)*(1+_15・B早朝)),0)*(1+_15・盲ろう)),0)*(1+_15・区３)),0)+ROUND((ROUND((ROUND((_15_同援日１．５＿０．５＿０．５*_15・２人),0)*(1+_15・盲ろう)),0)*(1+_15・区３)),0)</f>
        <v>1194</v>
      </c>
      <c r="AF380" s="48"/>
    </row>
    <row r="381" spans="1:32" ht="16.5" customHeight="1" x14ac:dyDescent="0.15">
      <c r="A381" s="41">
        <v>15</v>
      </c>
      <c r="B381" s="41" t="s">
        <v>21880</v>
      </c>
      <c r="C381" s="74" t="s">
        <v>21881</v>
      </c>
      <c r="D381" s="72"/>
      <c r="F381" s="57"/>
      <c r="G381" s="72"/>
      <c r="I381" s="57"/>
      <c r="J381" s="72"/>
      <c r="L381" s="57"/>
      <c r="M381" s="114" t="s">
        <v>17558</v>
      </c>
      <c r="N381" s="49"/>
      <c r="O381" s="50"/>
      <c r="P381" s="299"/>
      <c r="Q381" s="45"/>
      <c r="R381" s="46"/>
      <c r="S381" s="512"/>
      <c r="T381" s="57"/>
      <c r="U381" s="512"/>
      <c r="V381" s="57"/>
      <c r="W381" s="92"/>
      <c r="X381" s="12" t="s">
        <v>398</v>
      </c>
      <c r="Y381" s="13">
        <v>0.25</v>
      </c>
      <c r="Z381" s="57" t="s">
        <v>3575</v>
      </c>
      <c r="AA381" s="72"/>
      <c r="AD381" s="57"/>
      <c r="AE381" s="208">
        <f>ROUND((ROUND((ROUND((ROUND((_15_同援日１．５*_15・基礎２),0)*(1+_15・A深夜)),0)*(1+_15・盲ろう)),0)*(1+_15・区３)),0)+ROUND((ROUND((ROUND((ROUND((_15_同援日１．５＿０．５*_15・基礎２),0)*(1+_15・B早朝)),0)*(1+_15・盲ろう)),0)*(1+_15・区３)),0)+ROUND((ROUND((ROUND((_15_同援日１．５＿０．５＿０．５*_15・基礎２),0)*(1+_15・盲ろう)),0)*(1+_15・区３)),0)</f>
        <v>1078</v>
      </c>
      <c r="AF381" s="48"/>
    </row>
    <row r="382" spans="1:32" ht="16.5" customHeight="1" x14ac:dyDescent="0.15">
      <c r="A382" s="41">
        <v>15</v>
      </c>
      <c r="B382" s="41" t="s">
        <v>21882</v>
      </c>
      <c r="C382" s="74" t="s">
        <v>21883</v>
      </c>
      <c r="D382" s="72"/>
      <c r="F382" s="57"/>
      <c r="G382" s="72"/>
      <c r="I382" s="57"/>
      <c r="J382" s="72"/>
      <c r="L382" s="57"/>
      <c r="M382" s="269" t="s">
        <v>17560</v>
      </c>
      <c r="N382" s="37" t="s">
        <v>398</v>
      </c>
      <c r="O382" s="38">
        <v>0.9</v>
      </c>
      <c r="P382" s="299" t="s">
        <v>17556</v>
      </c>
      <c r="Q382" s="45" t="s">
        <v>398</v>
      </c>
      <c r="R382" s="46">
        <v>1</v>
      </c>
      <c r="S382" s="512"/>
      <c r="T382" s="57"/>
      <c r="U382" s="512"/>
      <c r="V382" s="57"/>
      <c r="W382" s="269"/>
      <c r="X382" s="37"/>
      <c r="Y382" s="38"/>
      <c r="Z382" s="79"/>
      <c r="AA382" s="269"/>
      <c r="AB382" s="37"/>
      <c r="AC382" s="38"/>
      <c r="AD382" s="79"/>
      <c r="AE382" s="208">
        <f>ROUND((ROUND((ROUND((ROUND((ROUND((_15_同援日１．５*_15・基礎２),0)*_15・２人),0)*(1+_15・A深夜)),0)*(1+_15・盲ろう)),0)*(1+_15・区３)),0)+ROUND((ROUND((ROUND((ROUND((ROUND((_15_同援日１．５＿０．５*_15・基礎２),0)*_15・２人),0)*(1+_15・B早朝)),0)*(1+_15・盲ろう)),0)*(1+_15・区３)),0)+ROUND((ROUND((ROUND((ROUND((_15_同援日１．５＿０．５＿０．５*_15・基礎２),0)*_15・２人),0)*(1+_15・盲ろう)),0)*(1+_15・区３)),0)</f>
        <v>1078</v>
      </c>
      <c r="AF382" s="48"/>
    </row>
    <row r="383" spans="1:32" ht="16.5" customHeight="1" x14ac:dyDescent="0.15">
      <c r="A383" s="41">
        <v>15</v>
      </c>
      <c r="B383" s="41" t="s">
        <v>21884</v>
      </c>
      <c r="C383" s="74" t="s">
        <v>21885</v>
      </c>
      <c r="D383" s="72"/>
      <c r="F383" s="57"/>
      <c r="G383" s="72"/>
      <c r="I383" s="57"/>
      <c r="J383" s="72"/>
      <c r="L383" s="57"/>
      <c r="M383" s="114"/>
      <c r="N383" s="49"/>
      <c r="O383" s="50"/>
      <c r="P383" s="299"/>
      <c r="Q383" s="45"/>
      <c r="R383" s="46"/>
      <c r="S383" s="512"/>
      <c r="T383" s="57"/>
      <c r="U383" s="512"/>
      <c r="V383" s="57"/>
      <c r="W383" s="114"/>
      <c r="X383" s="49"/>
      <c r="Y383" s="50"/>
      <c r="Z383" s="115"/>
      <c r="AA383" s="116"/>
      <c r="AB383" s="49"/>
      <c r="AC383" s="50"/>
      <c r="AD383" s="115"/>
      <c r="AE383" s="208">
        <f>ROUND((ROUND((_15_同援日１．５*(1+_15・A深夜)),0)*(1+_15・区４)),0)+ROUND((ROUND((_15_同援日１．５＿０．５*(1+_15・B早朝)),0)*(1+_15・区４)),0)+ROUND((_15_同援日１．５＿０．５＿０．５*(1+_15・区４)),0)</f>
        <v>1114</v>
      </c>
      <c r="AF383" s="48"/>
    </row>
    <row r="384" spans="1:32" ht="16.5" customHeight="1" x14ac:dyDescent="0.15">
      <c r="A384" s="41">
        <v>15</v>
      </c>
      <c r="B384" s="41" t="s">
        <v>21886</v>
      </c>
      <c r="C384" s="74" t="s">
        <v>21887</v>
      </c>
      <c r="D384" s="72"/>
      <c r="F384" s="57"/>
      <c r="G384" s="72"/>
      <c r="I384" s="57"/>
      <c r="J384" s="72"/>
      <c r="L384" s="57"/>
      <c r="M384" s="269"/>
      <c r="N384" s="37"/>
      <c r="O384" s="38"/>
      <c r="P384" s="299" t="s">
        <v>17556</v>
      </c>
      <c r="Q384" s="45" t="s">
        <v>398</v>
      </c>
      <c r="R384" s="46">
        <v>1</v>
      </c>
      <c r="S384" s="512"/>
      <c r="T384" s="57"/>
      <c r="U384" s="512"/>
      <c r="V384" s="57"/>
      <c r="W384" s="92"/>
      <c r="Z384" s="57"/>
      <c r="AA384" s="72"/>
      <c r="AD384" s="57"/>
      <c r="AE384" s="208">
        <f>ROUND((ROUND((ROUND((_15_同援日１．５*_15・２人),0)*(1+_15・A深夜)),0)*(1+_15・区４)),0)+ROUND((ROUND((ROUND((_15_同援日１．５＿０．５*_15・２人),0)*(1+_15・B早朝)),0)*(1+_15・区４)),0)+ROUND((ROUND((_15_同援日１．５＿０．５＿０．５*_15・２人),0)*(1+_15・区４)),0)</f>
        <v>1114</v>
      </c>
      <c r="AF384" s="48"/>
    </row>
    <row r="385" spans="1:32" ht="16.5" customHeight="1" x14ac:dyDescent="0.15">
      <c r="A385" s="41">
        <v>15</v>
      </c>
      <c r="B385" s="41" t="s">
        <v>1155</v>
      </c>
      <c r="C385" s="74" t="s">
        <v>21888</v>
      </c>
      <c r="D385" s="72"/>
      <c r="F385" s="57"/>
      <c r="G385" s="72"/>
      <c r="I385" s="57"/>
      <c r="J385" s="72"/>
      <c r="L385" s="57"/>
      <c r="M385" s="114" t="s">
        <v>17558</v>
      </c>
      <c r="N385" s="49"/>
      <c r="O385" s="50"/>
      <c r="P385" s="299"/>
      <c r="Q385" s="45"/>
      <c r="R385" s="46"/>
      <c r="S385" s="512"/>
      <c r="T385" s="57"/>
      <c r="U385" s="512"/>
      <c r="V385" s="57"/>
      <c r="W385" s="92"/>
      <c r="Z385" s="57"/>
      <c r="AA385" s="72" t="s">
        <v>17580</v>
      </c>
      <c r="AD385" s="57"/>
      <c r="AE385" s="208">
        <f>ROUND((ROUND((ROUND((_15_同援日１．５*_15・基礎２),0)*(1+_15・A深夜)),0)*(1+_15・区４)),0)+ROUND((ROUND((ROUND((_15_同援日１．５＿０．５*_15・基礎２),0)*(1+_15・B早朝)),0)*(1+_15・区４)),0)+ROUND((ROUND((_15_同援日１．５＿０．５＿０．５*_15・基礎２),0)*(1+_15・区４)),0)</f>
        <v>1006</v>
      </c>
      <c r="AF385" s="48"/>
    </row>
    <row r="386" spans="1:32" ht="16.5" customHeight="1" x14ac:dyDescent="0.15">
      <c r="A386" s="41">
        <v>15</v>
      </c>
      <c r="B386" s="41" t="s">
        <v>1157</v>
      </c>
      <c r="C386" s="74" t="s">
        <v>21889</v>
      </c>
      <c r="D386" s="72"/>
      <c r="F386" s="57"/>
      <c r="G386" s="72"/>
      <c r="I386" s="57"/>
      <c r="J386" s="72"/>
      <c r="L386" s="57"/>
      <c r="M386" s="269" t="s">
        <v>17560</v>
      </c>
      <c r="N386" s="37" t="s">
        <v>398</v>
      </c>
      <c r="O386" s="38">
        <v>0.9</v>
      </c>
      <c r="P386" s="299" t="s">
        <v>17556</v>
      </c>
      <c r="Q386" s="45" t="s">
        <v>398</v>
      </c>
      <c r="R386" s="46">
        <v>1</v>
      </c>
      <c r="S386" s="512"/>
      <c r="T386" s="57"/>
      <c r="U386" s="512"/>
      <c r="V386" s="57"/>
      <c r="W386" s="269"/>
      <c r="X386" s="37"/>
      <c r="Y386" s="38"/>
      <c r="Z386" s="79"/>
      <c r="AA386" s="72" t="s">
        <v>17572</v>
      </c>
      <c r="AD386" s="57"/>
      <c r="AE386" s="208">
        <f>ROUND((ROUND((ROUND((ROUND((_15_同援日１．５*_15・基礎２),0)*_15・２人),0)*(1+_15・A深夜)),0)*(1+_15・区４)),0)+ROUND((ROUND((ROUND((ROUND((_15_同援日１．５＿０．５*_15・基礎２),0)*_15・２人),0)*(1+_15・B早朝)),0)*(1+_15・区４)),0)+ROUND((ROUND((ROUND((_15_同援日１．５＿０．５＿０．５*_15・基礎２),0)*_15・２人),0)*(1+_15・区４)),0)</f>
        <v>1006</v>
      </c>
      <c r="AF386" s="48"/>
    </row>
    <row r="387" spans="1:32" ht="16.5" customHeight="1" x14ac:dyDescent="0.15">
      <c r="A387" s="41">
        <v>15</v>
      </c>
      <c r="B387" s="41" t="s">
        <v>1159</v>
      </c>
      <c r="C387" s="74" t="s">
        <v>21890</v>
      </c>
      <c r="D387" s="72"/>
      <c r="F387" s="57"/>
      <c r="G387" s="72"/>
      <c r="I387" s="57"/>
      <c r="J387" s="72"/>
      <c r="L387" s="57"/>
      <c r="M387" s="114"/>
      <c r="N387" s="49"/>
      <c r="O387" s="50"/>
      <c r="P387" s="299"/>
      <c r="Q387" s="45"/>
      <c r="R387" s="46"/>
      <c r="S387" s="512"/>
      <c r="T387" s="57"/>
      <c r="U387" s="512"/>
      <c r="V387" s="57"/>
      <c r="W387" s="114" t="s">
        <v>17562</v>
      </c>
      <c r="X387" s="49"/>
      <c r="Y387" s="50"/>
      <c r="Z387" s="115"/>
      <c r="AA387" s="72"/>
      <c r="AB387" s="12" t="s">
        <v>398</v>
      </c>
      <c r="AC387" s="13">
        <v>0.4</v>
      </c>
      <c r="AD387" s="57" t="s">
        <v>3575</v>
      </c>
      <c r="AE387" s="208">
        <f>ROUND((ROUND((ROUND((_15_同援日１．５*(1+_15・A深夜)),0)*(1+_15・盲ろう)),0)*(1+_15・区４)),0)+ROUND((ROUND((ROUND((_15_同援日１．５＿０．５*(1+_15・B早朝)),0)*(1+_15・盲ろう)),0)*(1+_15・区４)),0)+ROUND((ROUND((_15_同援日１．５＿０．５＿０．５*(1+_15・盲ろう)),0)*(1+_15・区４)),0)</f>
        <v>1392</v>
      </c>
      <c r="AF387" s="48"/>
    </row>
    <row r="388" spans="1:32" ht="16.5" customHeight="1" x14ac:dyDescent="0.15">
      <c r="A388" s="41">
        <v>15</v>
      </c>
      <c r="B388" s="41" t="s">
        <v>1161</v>
      </c>
      <c r="C388" s="74" t="s">
        <v>21891</v>
      </c>
      <c r="D388" s="72"/>
      <c r="F388" s="57"/>
      <c r="G388" s="72"/>
      <c r="I388" s="57"/>
      <c r="J388" s="72"/>
      <c r="L388" s="57"/>
      <c r="M388" s="269"/>
      <c r="N388" s="37"/>
      <c r="O388" s="38"/>
      <c r="P388" s="299" t="s">
        <v>17556</v>
      </c>
      <c r="Q388" s="45" t="s">
        <v>398</v>
      </c>
      <c r="R388" s="46">
        <v>1</v>
      </c>
      <c r="S388" s="512"/>
      <c r="T388" s="57"/>
      <c r="U388" s="512"/>
      <c r="V388" s="57"/>
      <c r="W388" s="92" t="s">
        <v>17564</v>
      </c>
      <c r="Z388" s="57"/>
      <c r="AA388" s="72"/>
      <c r="AD388" s="57"/>
      <c r="AE388" s="208">
        <f>ROUND((ROUND((ROUND((ROUND((_15_同援日１．５*_15・２人),0)*(1+_15・A深夜)),0)*(1+_15・盲ろう)),0)*(1+_15・区４)),0)+ROUND((ROUND((ROUND((ROUND((_15_同援日１．５＿０．５*_15・２人),0)*(1+_15・B早朝)),0)*(1+_15・盲ろう)),0)*(1+_15・区４)),0)+ROUND((ROUND((ROUND((_15_同援日１．５＿０．５＿０．５*_15・２人),0)*(1+_15・盲ろう)),0)*(1+_15・区４)),0)</f>
        <v>1392</v>
      </c>
      <c r="AF388" s="48"/>
    </row>
    <row r="389" spans="1:32" ht="16.5" customHeight="1" x14ac:dyDescent="0.15">
      <c r="A389" s="41">
        <v>15</v>
      </c>
      <c r="B389" s="41" t="s">
        <v>21892</v>
      </c>
      <c r="C389" s="74" t="s">
        <v>21893</v>
      </c>
      <c r="D389" s="72"/>
      <c r="F389" s="57"/>
      <c r="G389" s="72"/>
      <c r="I389" s="57"/>
      <c r="J389" s="72"/>
      <c r="L389" s="57"/>
      <c r="M389" s="114" t="s">
        <v>17558</v>
      </c>
      <c r="N389" s="49"/>
      <c r="O389" s="50"/>
      <c r="P389" s="299"/>
      <c r="Q389" s="45"/>
      <c r="R389" s="46"/>
      <c r="S389" s="512"/>
      <c r="T389" s="57"/>
      <c r="U389" s="512"/>
      <c r="V389" s="57"/>
      <c r="W389" s="92"/>
      <c r="X389" s="12" t="s">
        <v>398</v>
      </c>
      <c r="Y389" s="13">
        <v>0.25</v>
      </c>
      <c r="Z389" s="57" t="s">
        <v>3575</v>
      </c>
      <c r="AA389" s="72"/>
      <c r="AD389" s="57"/>
      <c r="AE389" s="208">
        <f>ROUND((ROUND((ROUND((ROUND((_15_同援日１．５*_15・基礎２),0)*(1+_15・A深夜)),0)*(1+_15・盲ろう)),0)*(1+_15・区４)),0)+ROUND((ROUND((ROUND((ROUND((_15_同援日１．５＿０．５*_15・基礎２),0)*(1+_15・B早朝)),0)*(1+_15・盲ろう)),0)*(1+_15・区４)),0)+ROUND((ROUND((ROUND((_15_同援日１．５＿０．５＿０．５*_15・基礎２),0)*(1+_15・盲ろう)),0)*(1+_15・区４)),0)</f>
        <v>1257</v>
      </c>
      <c r="AF389" s="48"/>
    </row>
    <row r="390" spans="1:32" ht="16.5" customHeight="1" x14ac:dyDescent="0.15">
      <c r="A390" s="41">
        <v>15</v>
      </c>
      <c r="B390" s="41" t="s">
        <v>21894</v>
      </c>
      <c r="C390" s="74" t="s">
        <v>21895</v>
      </c>
      <c r="D390" s="72"/>
      <c r="F390" s="57"/>
      <c r="G390" s="72"/>
      <c r="I390" s="57"/>
      <c r="J390" s="122"/>
      <c r="K390" s="37"/>
      <c r="L390" s="79"/>
      <c r="M390" s="269" t="s">
        <v>17560</v>
      </c>
      <c r="N390" s="37" t="s">
        <v>398</v>
      </c>
      <c r="O390" s="38">
        <v>0.9</v>
      </c>
      <c r="P390" s="299" t="s">
        <v>17556</v>
      </c>
      <c r="Q390" s="45" t="s">
        <v>398</v>
      </c>
      <c r="R390" s="46">
        <v>1</v>
      </c>
      <c r="S390" s="512"/>
      <c r="T390" s="57"/>
      <c r="U390" s="512"/>
      <c r="V390" s="57"/>
      <c r="W390" s="269"/>
      <c r="X390" s="37"/>
      <c r="Y390" s="38"/>
      <c r="Z390" s="79"/>
      <c r="AA390" s="269"/>
      <c r="AB390" s="37"/>
      <c r="AC390" s="38"/>
      <c r="AD390" s="79"/>
      <c r="AE390" s="208">
        <f>ROUND((ROUND((ROUND((ROUND((ROUND((_15_同援日１．５*_15・基礎２),0)*_15・２人),0)*(1+_15・A深夜)),0)*(1+_15・盲ろう)),0)*(1+_15・区４)),0)+ROUND((ROUND((ROUND((ROUND((ROUND((_15_同援日１．５＿０．５*_15・基礎２),0)*_15・２人),0)*(1+_15・B早朝)),0)*(1+_15・盲ろう)),0)*(1+_15・区４)),0)+ROUND((ROUND((ROUND((ROUND((_15_同援日１．５＿０．５＿０．５*_15・基礎２),0)*_15・２人),0)*(1+_15・盲ろう)),0)*(1+_15・区４)),0)</f>
        <v>1257</v>
      </c>
      <c r="AF390" s="48"/>
    </row>
    <row r="391" spans="1:32" ht="16.5" customHeight="1" x14ac:dyDescent="0.15">
      <c r="A391" s="41">
        <v>15</v>
      </c>
      <c r="B391" s="41" t="s">
        <v>21896</v>
      </c>
      <c r="C391" s="74" t="s">
        <v>21897</v>
      </c>
      <c r="D391" s="72"/>
      <c r="F391" s="57"/>
      <c r="G391" s="72"/>
      <c r="I391" s="57"/>
      <c r="J391" s="114" t="s">
        <v>21246</v>
      </c>
      <c r="K391" s="49"/>
      <c r="L391" s="115"/>
      <c r="M391" s="114"/>
      <c r="N391" s="49"/>
      <c r="O391" s="50"/>
      <c r="P391" s="299"/>
      <c r="Q391" s="45"/>
      <c r="R391" s="46"/>
      <c r="S391" s="512"/>
      <c r="T391" s="57"/>
      <c r="U391" s="512"/>
      <c r="V391" s="57"/>
      <c r="W391" s="114"/>
      <c r="X391" s="49"/>
      <c r="Y391" s="50"/>
      <c r="Z391" s="115"/>
      <c r="AA391" s="116"/>
      <c r="AB391" s="49"/>
      <c r="AC391" s="50"/>
      <c r="AD391" s="115"/>
      <c r="AE391" s="208">
        <f>ROUND((_15_同援日１．５*(1+_15・A深夜)),0)+ROUND((_15_同援日１．５＿０．５*(1+_15・B早朝)),0)+_15_同援日１．５＿０．５＿１．０</f>
        <v>861</v>
      </c>
      <c r="AF391" s="48"/>
    </row>
    <row r="392" spans="1:32" ht="16.5" customHeight="1" x14ac:dyDescent="0.15">
      <c r="A392" s="41">
        <v>15</v>
      </c>
      <c r="B392" s="41" t="s">
        <v>21898</v>
      </c>
      <c r="C392" s="74" t="s">
        <v>21899</v>
      </c>
      <c r="D392" s="72"/>
      <c r="F392" s="57"/>
      <c r="G392" s="72"/>
      <c r="I392" s="57"/>
      <c r="J392" s="72" t="s">
        <v>17589</v>
      </c>
      <c r="L392" s="57"/>
      <c r="M392" s="269"/>
      <c r="N392" s="37"/>
      <c r="O392" s="38"/>
      <c r="P392" s="299" t="s">
        <v>17556</v>
      </c>
      <c r="Q392" s="45" t="s">
        <v>398</v>
      </c>
      <c r="R392" s="46">
        <v>1</v>
      </c>
      <c r="S392" s="512"/>
      <c r="T392" s="57"/>
      <c r="U392" s="512"/>
      <c r="V392" s="57"/>
      <c r="W392" s="92"/>
      <c r="Z392" s="57"/>
      <c r="AA392" s="72"/>
      <c r="AD392" s="57"/>
      <c r="AE392" s="208">
        <f>ROUND((ROUND((_15_同援日１．５*_15・２人),0)*(1+_15・A深夜)),0)+ROUND((ROUND((_15_同援日１．５＿０．５*_15・２人),0)*(1+_15・B早朝)),0)+ROUND((_15_同援日１．５＿０．５＿１．０*_15・２人),0)</f>
        <v>861</v>
      </c>
      <c r="AF392" s="48"/>
    </row>
    <row r="393" spans="1:32" ht="16.5" customHeight="1" x14ac:dyDescent="0.15">
      <c r="A393" s="41">
        <v>15</v>
      </c>
      <c r="B393" s="41" t="s">
        <v>21900</v>
      </c>
      <c r="C393" s="74" t="s">
        <v>21901</v>
      </c>
      <c r="D393" s="72"/>
      <c r="F393" s="57"/>
      <c r="G393" s="72"/>
      <c r="I393" s="57"/>
      <c r="J393" s="72" t="s">
        <v>17591</v>
      </c>
      <c r="L393" s="57"/>
      <c r="M393" s="114" t="s">
        <v>17558</v>
      </c>
      <c r="N393" s="49"/>
      <c r="O393" s="50"/>
      <c r="P393" s="299"/>
      <c r="Q393" s="45"/>
      <c r="R393" s="46"/>
      <c r="S393" s="512"/>
      <c r="T393" s="57"/>
      <c r="U393" s="512"/>
      <c r="V393" s="57"/>
      <c r="W393" s="92"/>
      <c r="Z393" s="57"/>
      <c r="AA393" s="72"/>
      <c r="AD393" s="57"/>
      <c r="AE393" s="208">
        <f>ROUND((ROUND((_15_同援日１．５*_15・基礎２),0)*(1+_15・A深夜)),0)+ROUND((ROUND((_15_同援日１．５＿０．５*_15・基礎２),0)*(1+_15・B早朝)),0)+ROUND((_15_同援日１．５＿０．５＿１．０*_15・基礎２),0)</f>
        <v>776</v>
      </c>
      <c r="AF393" s="48"/>
    </row>
    <row r="394" spans="1:32" ht="16.5" customHeight="1" x14ac:dyDescent="0.15">
      <c r="A394" s="41">
        <v>15</v>
      </c>
      <c r="B394" s="41" t="s">
        <v>21902</v>
      </c>
      <c r="C394" s="74" t="s">
        <v>21903</v>
      </c>
      <c r="D394" s="72"/>
      <c r="F394" s="57"/>
      <c r="G394" s="72"/>
      <c r="I394" s="57"/>
      <c r="J394" s="72"/>
      <c r="K394" s="168">
        <f>_15_同援日１．５＿０．５＿１．０</f>
        <v>130</v>
      </c>
      <c r="L394" s="57" t="s">
        <v>392</v>
      </c>
      <c r="M394" s="269" t="s">
        <v>17560</v>
      </c>
      <c r="N394" s="37" t="s">
        <v>398</v>
      </c>
      <c r="O394" s="38">
        <v>0.9</v>
      </c>
      <c r="P394" s="299" t="s">
        <v>17556</v>
      </c>
      <c r="Q394" s="45" t="s">
        <v>398</v>
      </c>
      <c r="R394" s="46">
        <v>1</v>
      </c>
      <c r="S394" s="512"/>
      <c r="T394" s="57"/>
      <c r="U394" s="512"/>
      <c r="V394" s="57"/>
      <c r="W394" s="269"/>
      <c r="X394" s="37"/>
      <c r="Y394" s="38"/>
      <c r="Z394" s="79"/>
      <c r="AA394" s="72"/>
      <c r="AD394" s="57"/>
      <c r="AE394" s="208">
        <f>ROUND((ROUND((ROUND((_15_同援日１．５*_15・基礎２),0)*_15・２人),0)*(1+_15・A深夜)),0)+ROUND((ROUND((ROUND((_15_同援日１．５＿０．５*_15・基礎２),0)*_15・２人),0)*(1+_15・B早朝)),0)+ROUND((ROUND((_15_同援日１．５＿０．５＿１．０*_15・基礎２),0)*_15・２人),0)</f>
        <v>776</v>
      </c>
      <c r="AF394" s="48"/>
    </row>
    <row r="395" spans="1:32" ht="16.5" customHeight="1" x14ac:dyDescent="0.15">
      <c r="A395" s="41">
        <v>15</v>
      </c>
      <c r="B395" s="41" t="s">
        <v>21904</v>
      </c>
      <c r="C395" s="74" t="s">
        <v>21905</v>
      </c>
      <c r="D395" s="72"/>
      <c r="F395" s="57"/>
      <c r="G395" s="72"/>
      <c r="I395" s="57"/>
      <c r="J395" s="72"/>
      <c r="L395" s="57"/>
      <c r="M395" s="114"/>
      <c r="N395" s="49"/>
      <c r="O395" s="50"/>
      <c r="P395" s="299"/>
      <c r="Q395" s="45"/>
      <c r="R395" s="46"/>
      <c r="S395" s="512"/>
      <c r="T395" s="57"/>
      <c r="U395" s="512"/>
      <c r="V395" s="57"/>
      <c r="W395" s="114" t="s">
        <v>17562</v>
      </c>
      <c r="X395" s="49"/>
      <c r="Y395" s="50"/>
      <c r="Z395" s="115"/>
      <c r="AA395" s="72"/>
      <c r="AD395" s="57"/>
      <c r="AE395" s="208">
        <f>ROUND((ROUND((_15_同援日１．５*(1+_15・A深夜)),0)*(1+_15・盲ろう)),0)+ROUND((ROUND((_15_同援日１．５＿０．５*(1+_15・B早朝)),0)*(1+_15・盲ろう)),0)+ROUND((_15_同援日１．５＿０．５＿１．０*(1+_15・盲ろう)),0)</f>
        <v>1077</v>
      </c>
      <c r="AF395" s="48"/>
    </row>
    <row r="396" spans="1:32" ht="16.5" customHeight="1" x14ac:dyDescent="0.15">
      <c r="A396" s="41">
        <v>15</v>
      </c>
      <c r="B396" s="41" t="s">
        <v>21906</v>
      </c>
      <c r="C396" s="74" t="s">
        <v>21907</v>
      </c>
      <c r="D396" s="72"/>
      <c r="F396" s="57"/>
      <c r="G396" s="72"/>
      <c r="I396" s="57"/>
      <c r="J396" s="72"/>
      <c r="L396" s="57"/>
      <c r="M396" s="269"/>
      <c r="N396" s="37"/>
      <c r="O396" s="38"/>
      <c r="P396" s="299" t="s">
        <v>17556</v>
      </c>
      <c r="Q396" s="45" t="s">
        <v>398</v>
      </c>
      <c r="R396" s="46">
        <v>1</v>
      </c>
      <c r="S396" s="512"/>
      <c r="T396" s="57"/>
      <c r="U396" s="512"/>
      <c r="V396" s="57"/>
      <c r="W396" s="92" t="s">
        <v>17564</v>
      </c>
      <c r="Z396" s="57"/>
      <c r="AA396" s="72"/>
      <c r="AD396" s="57"/>
      <c r="AE396" s="208">
        <f>ROUND((ROUND((ROUND((_15_同援日１．５*_15・２人),0)*(1+_15・A深夜)),0)*(1+_15・盲ろう)),0)+ROUND((ROUND((ROUND((_15_同援日１．５＿０．５*_15・２人),0)*(1+_15・B早朝)),0)*(1+_15・盲ろう)),0)+ROUND((ROUND((_15_同援日１．５＿０．５＿１．０*_15・２人),0)*(1+_15・盲ろう)),0)</f>
        <v>1077</v>
      </c>
      <c r="AF396" s="48"/>
    </row>
    <row r="397" spans="1:32" ht="16.5" customHeight="1" x14ac:dyDescent="0.15">
      <c r="A397" s="41">
        <v>15</v>
      </c>
      <c r="B397" s="41" t="s">
        <v>21908</v>
      </c>
      <c r="C397" s="74" t="s">
        <v>21909</v>
      </c>
      <c r="D397" s="72"/>
      <c r="F397" s="57"/>
      <c r="G397" s="72"/>
      <c r="I397" s="57"/>
      <c r="J397" s="72"/>
      <c r="L397" s="57"/>
      <c r="M397" s="114" t="s">
        <v>17558</v>
      </c>
      <c r="N397" s="49"/>
      <c r="O397" s="50"/>
      <c r="P397" s="299"/>
      <c r="Q397" s="45"/>
      <c r="R397" s="46"/>
      <c r="S397" s="512"/>
      <c r="T397" s="57"/>
      <c r="U397" s="512"/>
      <c r="V397" s="57"/>
      <c r="W397" s="92"/>
      <c r="X397" s="12" t="s">
        <v>398</v>
      </c>
      <c r="Y397" s="13">
        <v>0.25</v>
      </c>
      <c r="Z397" s="57" t="s">
        <v>3575</v>
      </c>
      <c r="AA397" s="72"/>
      <c r="AD397" s="57"/>
      <c r="AE397" s="208">
        <f>ROUND((ROUND((ROUND((_15_同援日１．５*_15・基礎２),0)*(1+_15・A深夜)),0)*(1+_15・盲ろう)),0)+ROUND((ROUND((ROUND((_15_同援日１．５＿０．５*_15・基礎２),0)*(1+_15・B早朝)),0)*(1+_15・盲ろう)),0)+ROUND((ROUND((_15_同援日１．５＿０．５＿１．０*_15・基礎２),0)*(1+_15・盲ろう)),0)</f>
        <v>970</v>
      </c>
      <c r="AF397" s="48"/>
    </row>
    <row r="398" spans="1:32" ht="16.5" customHeight="1" x14ac:dyDescent="0.15">
      <c r="A398" s="41">
        <v>15</v>
      </c>
      <c r="B398" s="41" t="s">
        <v>21910</v>
      </c>
      <c r="C398" s="74" t="s">
        <v>21911</v>
      </c>
      <c r="D398" s="72"/>
      <c r="F398" s="57"/>
      <c r="G398" s="72"/>
      <c r="I398" s="57"/>
      <c r="J398" s="72"/>
      <c r="L398" s="57"/>
      <c r="M398" s="269" t="s">
        <v>17560</v>
      </c>
      <c r="N398" s="37" t="s">
        <v>398</v>
      </c>
      <c r="O398" s="38">
        <v>0.9</v>
      </c>
      <c r="P398" s="299" t="s">
        <v>17556</v>
      </c>
      <c r="Q398" s="45" t="s">
        <v>398</v>
      </c>
      <c r="R398" s="46">
        <v>1</v>
      </c>
      <c r="S398" s="512"/>
      <c r="T398" s="57"/>
      <c r="U398" s="512"/>
      <c r="V398" s="57"/>
      <c r="W398" s="269"/>
      <c r="X398" s="37"/>
      <c r="Y398" s="38"/>
      <c r="Z398" s="79"/>
      <c r="AA398" s="269"/>
      <c r="AB398" s="37"/>
      <c r="AC398" s="38"/>
      <c r="AD398" s="79"/>
      <c r="AE398" s="208">
        <f>ROUND((ROUND((ROUND((ROUND((_15_同援日１．５*_15・基礎２),0)*_15・２人),0)*(1+_15・A深夜)),0)*(1+_15・盲ろう)),0)+ROUND((ROUND((ROUND((ROUND((_15_同援日１．５＿０．５*_15・基礎２),0)*_15・２人),0)*(1+_15・B早朝)),0)*(1+_15・盲ろう)),0)+ROUND((ROUND((ROUND((_15_同援日１．５＿０．５＿１．０*_15・基礎２),0)*_15・２人),0)*(1+_15・盲ろう)),0)</f>
        <v>970</v>
      </c>
      <c r="AF398" s="48"/>
    </row>
    <row r="399" spans="1:32" ht="16.5" customHeight="1" x14ac:dyDescent="0.15">
      <c r="A399" s="41">
        <v>15</v>
      </c>
      <c r="B399" s="41" t="s">
        <v>21912</v>
      </c>
      <c r="C399" s="74" t="s">
        <v>21913</v>
      </c>
      <c r="D399" s="72"/>
      <c r="F399" s="57"/>
      <c r="G399" s="72"/>
      <c r="I399" s="57"/>
      <c r="J399" s="72"/>
      <c r="L399" s="57"/>
      <c r="M399" s="114"/>
      <c r="N399" s="49"/>
      <c r="O399" s="50"/>
      <c r="P399" s="299"/>
      <c r="Q399" s="45"/>
      <c r="R399" s="46"/>
      <c r="S399" s="512"/>
      <c r="T399" s="57"/>
      <c r="U399" s="512"/>
      <c r="V399" s="57"/>
      <c r="W399" s="114"/>
      <c r="X399" s="49"/>
      <c r="Y399" s="50"/>
      <c r="Z399" s="115"/>
      <c r="AA399" s="116"/>
      <c r="AB399" s="49"/>
      <c r="AC399" s="50"/>
      <c r="AD399" s="115"/>
      <c r="AE399" s="208">
        <f>ROUND((ROUND((_15_同援日１．５*(1+_15・A深夜)),0)*(1+_15・区３)),0)+ROUND((ROUND((_15_同援日１．５＿０．５*(1+_15・B早朝)),0)*(1+_15・区３)),0)+ROUND((_15_同援日１．５＿０．５＿１．０*(1+_15・区３)),0)</f>
        <v>1033</v>
      </c>
      <c r="AF399" s="48"/>
    </row>
    <row r="400" spans="1:32" ht="16.5" customHeight="1" x14ac:dyDescent="0.15">
      <c r="A400" s="41">
        <v>15</v>
      </c>
      <c r="B400" s="41" t="s">
        <v>21914</v>
      </c>
      <c r="C400" s="74" t="s">
        <v>21915</v>
      </c>
      <c r="D400" s="72"/>
      <c r="F400" s="57"/>
      <c r="G400" s="72"/>
      <c r="I400" s="57"/>
      <c r="J400" s="72"/>
      <c r="L400" s="57"/>
      <c r="M400" s="269"/>
      <c r="N400" s="37"/>
      <c r="O400" s="38"/>
      <c r="P400" s="299" t="s">
        <v>17556</v>
      </c>
      <c r="Q400" s="45" t="s">
        <v>398</v>
      </c>
      <c r="R400" s="46">
        <v>1</v>
      </c>
      <c r="S400" s="512"/>
      <c r="T400" s="57"/>
      <c r="U400" s="512"/>
      <c r="V400" s="57"/>
      <c r="W400" s="92"/>
      <c r="Z400" s="57"/>
      <c r="AA400" s="72"/>
      <c r="AD400" s="57"/>
      <c r="AE400" s="208">
        <f>ROUND((ROUND((ROUND((_15_同援日１．５*_15・２人),0)*(1+_15・A深夜)),0)*(1+_15・区３)),0)+ROUND((ROUND((ROUND((_15_同援日１．５＿０．５*_15・２人),0)*(1+_15・B早朝)),0)*(1+_15・区３)),0)+ROUND((ROUND((_15_同援日１．５＿０．５＿１．０*_15・２人),0)*(1+_15・区３)),0)</f>
        <v>1033</v>
      </c>
      <c r="AF400" s="48"/>
    </row>
    <row r="401" spans="1:32" ht="16.5" customHeight="1" x14ac:dyDescent="0.15">
      <c r="A401" s="41">
        <v>15</v>
      </c>
      <c r="B401" s="41" t="s">
        <v>21916</v>
      </c>
      <c r="C401" s="74" t="s">
        <v>21917</v>
      </c>
      <c r="D401" s="72"/>
      <c r="F401" s="57"/>
      <c r="G401" s="72"/>
      <c r="I401" s="57"/>
      <c r="J401" s="72"/>
      <c r="L401" s="57"/>
      <c r="M401" s="114" t="s">
        <v>17558</v>
      </c>
      <c r="N401" s="49"/>
      <c r="O401" s="50"/>
      <c r="P401" s="299"/>
      <c r="Q401" s="45"/>
      <c r="R401" s="46"/>
      <c r="S401" s="512"/>
      <c r="T401" s="57"/>
      <c r="U401" s="512"/>
      <c r="V401" s="57"/>
      <c r="W401" s="92"/>
      <c r="Z401" s="57"/>
      <c r="AA401" s="72" t="s">
        <v>17570</v>
      </c>
      <c r="AD401" s="57"/>
      <c r="AE401" s="208">
        <f>ROUND((ROUND((ROUND((_15_同援日１．５*_15・基礎２),0)*(1+_15・A深夜)),0)*(1+_15・区３)),0)+ROUND((ROUND((ROUND((_15_同援日１．５＿０．５*_15・基礎２),0)*(1+_15・B早朝)),0)*(1+_15・区３)),0)+ROUND((ROUND((_15_同援日１．５＿０．５＿１．０*_15・基礎２),0)*(1+_15・区３)),0)</f>
        <v>931</v>
      </c>
      <c r="AF401" s="48"/>
    </row>
    <row r="402" spans="1:32" ht="16.5" customHeight="1" x14ac:dyDescent="0.15">
      <c r="A402" s="41">
        <v>15</v>
      </c>
      <c r="B402" s="41" t="s">
        <v>21918</v>
      </c>
      <c r="C402" s="74" t="s">
        <v>21919</v>
      </c>
      <c r="D402" s="72"/>
      <c r="F402" s="57"/>
      <c r="G402" s="72"/>
      <c r="I402" s="57"/>
      <c r="J402" s="72"/>
      <c r="L402" s="57"/>
      <c r="M402" s="269" t="s">
        <v>17560</v>
      </c>
      <c r="N402" s="37" t="s">
        <v>398</v>
      </c>
      <c r="O402" s="38">
        <v>0.9</v>
      </c>
      <c r="P402" s="299" t="s">
        <v>17556</v>
      </c>
      <c r="Q402" s="45" t="s">
        <v>398</v>
      </c>
      <c r="R402" s="46">
        <v>1</v>
      </c>
      <c r="S402" s="512"/>
      <c r="T402" s="57"/>
      <c r="U402" s="512"/>
      <c r="V402" s="57"/>
      <c r="W402" s="269"/>
      <c r="X402" s="37"/>
      <c r="Y402" s="38"/>
      <c r="Z402" s="79"/>
      <c r="AA402" s="72" t="s">
        <v>17572</v>
      </c>
      <c r="AD402" s="57"/>
      <c r="AE402" s="208">
        <f>ROUND((ROUND((ROUND((ROUND((_15_同援日１．５*_15・基礎２),0)*_15・２人),0)*(1+_15・A深夜)),0)*(1+_15・区３)),0)+ROUND((ROUND((ROUND((ROUND((_15_同援日１．５＿０．５*_15・基礎２),0)*_15・２人),0)*(1+_15・B早朝)),0)*(1+_15・区３)),0)+ROUND((ROUND((ROUND((_15_同援日１．５＿０．５＿１．０*_15・基礎２),0)*_15・２人),0)*(1+_15・区３)),0)</f>
        <v>931</v>
      </c>
      <c r="AF402" s="48"/>
    </row>
    <row r="403" spans="1:32" ht="16.5" customHeight="1" x14ac:dyDescent="0.15">
      <c r="A403" s="41">
        <v>15</v>
      </c>
      <c r="B403" s="41" t="s">
        <v>21920</v>
      </c>
      <c r="C403" s="74" t="s">
        <v>21921</v>
      </c>
      <c r="D403" s="72"/>
      <c r="F403" s="57"/>
      <c r="G403" s="72"/>
      <c r="I403" s="57"/>
      <c r="J403" s="72"/>
      <c r="L403" s="57"/>
      <c r="M403" s="114"/>
      <c r="N403" s="49"/>
      <c r="O403" s="50"/>
      <c r="P403" s="299"/>
      <c r="Q403" s="45"/>
      <c r="R403" s="46"/>
      <c r="S403" s="512"/>
      <c r="T403" s="57"/>
      <c r="U403" s="512"/>
      <c r="V403" s="57"/>
      <c r="W403" s="114" t="s">
        <v>17562</v>
      </c>
      <c r="X403" s="49"/>
      <c r="Y403" s="50"/>
      <c r="Z403" s="115"/>
      <c r="AA403" s="72"/>
      <c r="AB403" s="12" t="s">
        <v>398</v>
      </c>
      <c r="AC403" s="13">
        <v>0.2</v>
      </c>
      <c r="AD403" s="57" t="s">
        <v>3575</v>
      </c>
      <c r="AE403" s="208">
        <f>ROUND((ROUND((ROUND((_15_同援日１．５*(1+_15・A深夜)),0)*(1+_15・盲ろう)),0)*(1+_15・区３)),0)+ROUND((ROUND((ROUND((_15_同援日１．５＿０．５*(1+_15・B早朝)),0)*(1+_15・盲ろう)),0)*(1+_15・区３)),0)+ROUND((ROUND((_15_同援日１．５＿０．５＿１．０*(1+_15・盲ろう)),0)*(1+_15・区３)),0)</f>
        <v>1293</v>
      </c>
      <c r="AF403" s="48"/>
    </row>
    <row r="404" spans="1:32" ht="16.5" customHeight="1" x14ac:dyDescent="0.15">
      <c r="A404" s="41">
        <v>15</v>
      </c>
      <c r="B404" s="41" t="s">
        <v>21922</v>
      </c>
      <c r="C404" s="74" t="s">
        <v>21923</v>
      </c>
      <c r="D404" s="72"/>
      <c r="F404" s="57"/>
      <c r="G404" s="72"/>
      <c r="I404" s="57"/>
      <c r="J404" s="72"/>
      <c r="L404" s="57"/>
      <c r="M404" s="269"/>
      <c r="N404" s="37"/>
      <c r="O404" s="38"/>
      <c r="P404" s="299" t="s">
        <v>17556</v>
      </c>
      <c r="Q404" s="45" t="s">
        <v>398</v>
      </c>
      <c r="R404" s="46">
        <v>1</v>
      </c>
      <c r="S404" s="512"/>
      <c r="T404" s="57"/>
      <c r="U404" s="512"/>
      <c r="V404" s="57"/>
      <c r="W404" s="92" t="s">
        <v>17564</v>
      </c>
      <c r="Z404" s="57"/>
      <c r="AA404" s="72"/>
      <c r="AD404" s="57"/>
      <c r="AE404" s="208">
        <f>ROUND((ROUND((ROUND((ROUND((_15_同援日１．５*_15・２人),0)*(1+_15・A深夜)),0)*(1+_15・盲ろう)),0)*(1+_15・区３)),0)+ROUND((ROUND((ROUND((ROUND((_15_同援日１．５＿０．５*_15・２人),0)*(1+_15・B早朝)),0)*(1+_15・盲ろう)),0)*(1+_15・区３)),0)+ROUND((ROUND((ROUND((_15_同援日１．５＿０．５＿１．０*_15・２人),0)*(1+_15・盲ろう)),0)*(1+_15・区３)),0)</f>
        <v>1293</v>
      </c>
      <c r="AF404" s="48"/>
    </row>
    <row r="405" spans="1:32" ht="16.5" customHeight="1" x14ac:dyDescent="0.15">
      <c r="A405" s="41">
        <v>15</v>
      </c>
      <c r="B405" s="41" t="s">
        <v>1167</v>
      </c>
      <c r="C405" s="74" t="s">
        <v>21924</v>
      </c>
      <c r="D405" s="72"/>
      <c r="F405" s="57"/>
      <c r="G405" s="72"/>
      <c r="I405" s="57"/>
      <c r="J405" s="72"/>
      <c r="L405" s="57"/>
      <c r="M405" s="114" t="s">
        <v>17558</v>
      </c>
      <c r="N405" s="49"/>
      <c r="O405" s="50"/>
      <c r="P405" s="299"/>
      <c r="Q405" s="45"/>
      <c r="R405" s="46"/>
      <c r="S405" s="512"/>
      <c r="T405" s="57"/>
      <c r="U405" s="512"/>
      <c r="V405" s="57"/>
      <c r="W405" s="92"/>
      <c r="X405" s="12" t="s">
        <v>398</v>
      </c>
      <c r="Y405" s="13">
        <v>0.25</v>
      </c>
      <c r="Z405" s="57" t="s">
        <v>3575</v>
      </c>
      <c r="AA405" s="72"/>
      <c r="AD405" s="57"/>
      <c r="AE405" s="208">
        <f>ROUND((ROUND((ROUND((ROUND((_15_同援日１．５*_15・基礎２),0)*(1+_15・A深夜)),0)*(1+_15・盲ろう)),0)*(1+_15・区３)),0)+ROUND((ROUND((ROUND((ROUND((_15_同援日１．５＿０．５*_15・基礎２),0)*(1+_15・B早朝)),0)*(1+_15・盲ろう)),0)*(1+_15・区３)),0)+ROUND((ROUND((ROUND((_15_同援日１．５＿０．５＿１．０*_15・基礎２),0)*(1+_15・盲ろう)),0)*(1+_15・区３)),0)</f>
        <v>1164</v>
      </c>
      <c r="AF405" s="48"/>
    </row>
    <row r="406" spans="1:32" ht="16.5" customHeight="1" x14ac:dyDescent="0.15">
      <c r="A406" s="41">
        <v>15</v>
      </c>
      <c r="B406" s="41" t="s">
        <v>1169</v>
      </c>
      <c r="C406" s="74" t="s">
        <v>21925</v>
      </c>
      <c r="D406" s="72"/>
      <c r="F406" s="57"/>
      <c r="G406" s="72"/>
      <c r="I406" s="57"/>
      <c r="J406" s="72"/>
      <c r="L406" s="57"/>
      <c r="M406" s="269" t="s">
        <v>17560</v>
      </c>
      <c r="N406" s="37" t="s">
        <v>398</v>
      </c>
      <c r="O406" s="38">
        <v>0.9</v>
      </c>
      <c r="P406" s="299" t="s">
        <v>17556</v>
      </c>
      <c r="Q406" s="45" t="s">
        <v>398</v>
      </c>
      <c r="R406" s="46">
        <v>1</v>
      </c>
      <c r="S406" s="512"/>
      <c r="T406" s="57"/>
      <c r="U406" s="512"/>
      <c r="V406" s="57"/>
      <c r="W406" s="269"/>
      <c r="X406" s="37"/>
      <c r="Y406" s="38"/>
      <c r="Z406" s="79"/>
      <c r="AA406" s="269"/>
      <c r="AB406" s="37"/>
      <c r="AC406" s="38"/>
      <c r="AD406" s="79"/>
      <c r="AE406" s="208">
        <f>ROUND((ROUND((ROUND((ROUND((ROUND((_15_同援日１．５*_15・基礎２),0)*_15・２人),0)*(1+_15・A深夜)),0)*(1+_15・盲ろう)),0)*(1+_15・区３)),0)+ROUND((ROUND((ROUND((ROUND((ROUND((_15_同援日１．５＿０．５*_15・基礎２),0)*_15・２人),0)*(1+_15・B早朝)),0)*(1+_15・盲ろう)),0)*(1+_15・区３)),0)+ROUND((ROUND((ROUND((ROUND((_15_同援日１．５＿０．５＿１．０*_15・基礎２),0)*_15・２人),0)*(1+_15・盲ろう)),0)*(1+_15・区３)),0)</f>
        <v>1164</v>
      </c>
      <c r="AF406" s="48"/>
    </row>
    <row r="407" spans="1:32" ht="16.5" customHeight="1" x14ac:dyDescent="0.15">
      <c r="A407" s="41">
        <v>15</v>
      </c>
      <c r="B407" s="41" t="s">
        <v>1171</v>
      </c>
      <c r="C407" s="74" t="s">
        <v>21926</v>
      </c>
      <c r="D407" s="72"/>
      <c r="F407" s="57"/>
      <c r="G407" s="72"/>
      <c r="I407" s="57"/>
      <c r="J407" s="72"/>
      <c r="L407" s="57"/>
      <c r="M407" s="114"/>
      <c r="N407" s="49"/>
      <c r="O407" s="50"/>
      <c r="P407" s="299"/>
      <c r="Q407" s="45"/>
      <c r="R407" s="46"/>
      <c r="S407" s="512"/>
      <c r="T407" s="57"/>
      <c r="U407" s="512"/>
      <c r="V407" s="57"/>
      <c r="W407" s="114"/>
      <c r="X407" s="49"/>
      <c r="Y407" s="50"/>
      <c r="Z407" s="115"/>
      <c r="AA407" s="116"/>
      <c r="AB407" s="49"/>
      <c r="AC407" s="50"/>
      <c r="AD407" s="115"/>
      <c r="AE407" s="208">
        <f>ROUND((ROUND((_15_同援日１．５*(1+_15・A深夜)),0)*(1+_15・区４)),0)+ROUND((ROUND((_15_同援日１．５＿０．５*(1+_15・B早朝)),0)*(1+_15・区４)),0)+ROUND((_15_同援日１．５＿０．５＿１．０*(1+_15・区４)),0)</f>
        <v>1205</v>
      </c>
      <c r="AF407" s="48"/>
    </row>
    <row r="408" spans="1:32" ht="16.5" customHeight="1" x14ac:dyDescent="0.15">
      <c r="A408" s="41">
        <v>15</v>
      </c>
      <c r="B408" s="41" t="s">
        <v>1173</v>
      </c>
      <c r="C408" s="74" t="s">
        <v>21927</v>
      </c>
      <c r="D408" s="72"/>
      <c r="F408" s="57"/>
      <c r="G408" s="72"/>
      <c r="I408" s="57"/>
      <c r="J408" s="72"/>
      <c r="L408" s="57"/>
      <c r="M408" s="269"/>
      <c r="N408" s="37"/>
      <c r="O408" s="38"/>
      <c r="P408" s="299" t="s">
        <v>17556</v>
      </c>
      <c r="Q408" s="45" t="s">
        <v>398</v>
      </c>
      <c r="R408" s="46">
        <v>1</v>
      </c>
      <c r="S408" s="512"/>
      <c r="T408" s="57"/>
      <c r="U408" s="512"/>
      <c r="V408" s="57"/>
      <c r="W408" s="92"/>
      <c r="Z408" s="57"/>
      <c r="AA408" s="72"/>
      <c r="AD408" s="57"/>
      <c r="AE408" s="208">
        <f>ROUND((ROUND((ROUND((_15_同援日１．５*_15・２人),0)*(1+_15・A深夜)),0)*(1+_15・区４)),0)+ROUND((ROUND((ROUND((_15_同援日１．５＿０．５*_15・２人),0)*(1+_15・B早朝)),0)*(1+_15・区４)),0)+ROUND((ROUND((_15_同援日１．５＿０．５＿１．０*_15・２人),0)*(1+_15・区４)),0)</f>
        <v>1205</v>
      </c>
      <c r="AF408" s="48"/>
    </row>
    <row r="409" spans="1:32" ht="16.5" customHeight="1" x14ac:dyDescent="0.15">
      <c r="A409" s="41">
        <v>15</v>
      </c>
      <c r="B409" s="41" t="s">
        <v>21928</v>
      </c>
      <c r="C409" s="74" t="s">
        <v>21929</v>
      </c>
      <c r="D409" s="72"/>
      <c r="F409" s="57"/>
      <c r="G409" s="72"/>
      <c r="I409" s="57"/>
      <c r="J409" s="72"/>
      <c r="L409" s="57"/>
      <c r="M409" s="114" t="s">
        <v>17558</v>
      </c>
      <c r="N409" s="49"/>
      <c r="O409" s="50"/>
      <c r="P409" s="299"/>
      <c r="Q409" s="45"/>
      <c r="R409" s="46"/>
      <c r="S409" s="512"/>
      <c r="T409" s="57"/>
      <c r="U409" s="512"/>
      <c r="V409" s="57"/>
      <c r="W409" s="92"/>
      <c r="Z409" s="57"/>
      <c r="AA409" s="72" t="s">
        <v>17580</v>
      </c>
      <c r="AD409" s="57"/>
      <c r="AE409" s="208">
        <f>ROUND((ROUND((ROUND((_15_同援日１．５*_15・基礎２),0)*(1+_15・A深夜)),0)*(1+_15・区４)),0)+ROUND((ROUND((ROUND((_15_同援日１．５＿０．５*_15・基礎２),0)*(1+_15・B早朝)),0)*(1+_15・区４)),0)+ROUND((ROUND((_15_同援日１．５＿０．５＿１．０*_15・基礎２),0)*(1+_15・区４)),0)</f>
        <v>1087</v>
      </c>
      <c r="AF409" s="48"/>
    </row>
    <row r="410" spans="1:32" ht="16.5" customHeight="1" x14ac:dyDescent="0.15">
      <c r="A410" s="41">
        <v>15</v>
      </c>
      <c r="B410" s="41" t="s">
        <v>21930</v>
      </c>
      <c r="C410" s="74" t="s">
        <v>21931</v>
      </c>
      <c r="D410" s="72"/>
      <c r="F410" s="57"/>
      <c r="G410" s="72"/>
      <c r="I410" s="57"/>
      <c r="J410" s="72"/>
      <c r="L410" s="57"/>
      <c r="M410" s="269" t="s">
        <v>17560</v>
      </c>
      <c r="N410" s="37" t="s">
        <v>398</v>
      </c>
      <c r="O410" s="38">
        <v>0.9</v>
      </c>
      <c r="P410" s="299" t="s">
        <v>17556</v>
      </c>
      <c r="Q410" s="45" t="s">
        <v>398</v>
      </c>
      <c r="R410" s="46">
        <v>1</v>
      </c>
      <c r="S410" s="512"/>
      <c r="T410" s="57"/>
      <c r="U410" s="512"/>
      <c r="V410" s="57"/>
      <c r="W410" s="269"/>
      <c r="X410" s="37"/>
      <c r="Y410" s="38"/>
      <c r="Z410" s="79"/>
      <c r="AA410" s="72" t="s">
        <v>17572</v>
      </c>
      <c r="AD410" s="57"/>
      <c r="AE410" s="208">
        <f>ROUND((ROUND((ROUND((ROUND((_15_同援日１．５*_15・基礎２),0)*_15・２人),0)*(1+_15・A深夜)),0)*(1+_15・区４)),0)+ROUND((ROUND((ROUND((ROUND((_15_同援日１．５＿０．５*_15・基礎２),0)*_15・２人),0)*(1+_15・B早朝)),0)*(1+_15・区４)),0)+ROUND((ROUND((ROUND((_15_同援日１．５＿０．５＿１．０*_15・基礎２),0)*_15・２人),0)*(1+_15・区４)),0)</f>
        <v>1087</v>
      </c>
      <c r="AF410" s="48"/>
    </row>
    <row r="411" spans="1:32" ht="16.5" customHeight="1" x14ac:dyDescent="0.15">
      <c r="A411" s="41">
        <v>15</v>
      </c>
      <c r="B411" s="41" t="s">
        <v>21932</v>
      </c>
      <c r="C411" s="74" t="s">
        <v>21933</v>
      </c>
      <c r="D411" s="72"/>
      <c r="F411" s="57"/>
      <c r="G411" s="72"/>
      <c r="I411" s="57"/>
      <c r="J411" s="72"/>
      <c r="L411" s="57"/>
      <c r="M411" s="114"/>
      <c r="N411" s="49"/>
      <c r="O411" s="50"/>
      <c r="P411" s="299"/>
      <c r="Q411" s="45"/>
      <c r="R411" s="46"/>
      <c r="S411" s="512"/>
      <c r="T411" s="57"/>
      <c r="U411" s="512"/>
      <c r="V411" s="57"/>
      <c r="W411" s="114" t="s">
        <v>17562</v>
      </c>
      <c r="X411" s="49"/>
      <c r="Y411" s="50"/>
      <c r="Z411" s="115"/>
      <c r="AA411" s="72"/>
      <c r="AB411" s="12" t="s">
        <v>398</v>
      </c>
      <c r="AC411" s="13">
        <v>0.4</v>
      </c>
      <c r="AD411" s="57" t="s">
        <v>3575</v>
      </c>
      <c r="AE411" s="208">
        <f>ROUND((ROUND((ROUND((_15_同援日１．５*(1+_15・A深夜)),0)*(1+_15・盲ろう)),0)*(1+_15・区４)),0)+ROUND((ROUND((ROUND((_15_同援日１．５＿０．５*(1+_15・B早朝)),0)*(1+_15・盲ろう)),0)*(1+_15・区４)),0)+ROUND((ROUND((_15_同援日１．５＿０．５＿１．０*(1+_15・盲ろう)),0)*(1+_15・区４)),0)</f>
        <v>1507</v>
      </c>
      <c r="AF411" s="48"/>
    </row>
    <row r="412" spans="1:32" ht="16.5" customHeight="1" x14ac:dyDescent="0.15">
      <c r="A412" s="41">
        <v>15</v>
      </c>
      <c r="B412" s="41" t="s">
        <v>21934</v>
      </c>
      <c r="C412" s="74" t="s">
        <v>21935</v>
      </c>
      <c r="D412" s="72"/>
      <c r="F412" s="57"/>
      <c r="G412" s="72"/>
      <c r="I412" s="57"/>
      <c r="J412" s="72"/>
      <c r="L412" s="57"/>
      <c r="M412" s="269"/>
      <c r="N412" s="37"/>
      <c r="O412" s="38"/>
      <c r="P412" s="299" t="s">
        <v>17556</v>
      </c>
      <c r="Q412" s="45" t="s">
        <v>398</v>
      </c>
      <c r="R412" s="46">
        <v>1</v>
      </c>
      <c r="S412" s="512"/>
      <c r="T412" s="57"/>
      <c r="U412" s="512"/>
      <c r="V412" s="57"/>
      <c r="W412" s="92" t="s">
        <v>17564</v>
      </c>
      <c r="Z412" s="57"/>
      <c r="AA412" s="72"/>
      <c r="AD412" s="57"/>
      <c r="AE412" s="208">
        <f>ROUND((ROUND((ROUND((ROUND((_15_同援日１．５*_15・２人),0)*(1+_15・A深夜)),0)*(1+_15・盲ろう)),0)*(1+_15・区４)),0)+ROUND((ROUND((ROUND((ROUND((_15_同援日１．５＿０．５*_15・２人),0)*(1+_15・B早朝)),0)*(1+_15・盲ろう)),0)*(1+_15・区４)),0)+ROUND((ROUND((ROUND((_15_同援日１．５＿０．５＿１．０*_15・２人),0)*(1+_15・盲ろう)),0)*(1+_15・区４)),0)</f>
        <v>1507</v>
      </c>
      <c r="AF412" s="48"/>
    </row>
    <row r="413" spans="1:32" ht="16.5" customHeight="1" x14ac:dyDescent="0.15">
      <c r="A413" s="41">
        <v>15</v>
      </c>
      <c r="B413" s="41" t="s">
        <v>21936</v>
      </c>
      <c r="C413" s="74" t="s">
        <v>21937</v>
      </c>
      <c r="D413" s="72"/>
      <c r="F413" s="57"/>
      <c r="G413" s="72"/>
      <c r="I413" s="57"/>
      <c r="J413" s="72"/>
      <c r="L413" s="57"/>
      <c r="M413" s="114" t="s">
        <v>17558</v>
      </c>
      <c r="N413" s="49"/>
      <c r="O413" s="50"/>
      <c r="P413" s="299"/>
      <c r="Q413" s="45"/>
      <c r="R413" s="46"/>
      <c r="S413" s="512"/>
      <c r="T413" s="57"/>
      <c r="U413" s="512"/>
      <c r="V413" s="57"/>
      <c r="W413" s="92"/>
      <c r="X413" s="12" t="s">
        <v>398</v>
      </c>
      <c r="Y413" s="13">
        <v>0.25</v>
      </c>
      <c r="Z413" s="57" t="s">
        <v>3575</v>
      </c>
      <c r="AA413" s="72"/>
      <c r="AD413" s="57"/>
      <c r="AE413" s="208">
        <f>ROUND((ROUND((ROUND((ROUND((_15_同援日１．５*_15・基礎２),0)*(1+_15・A深夜)),0)*(1+_15・盲ろう)),0)*(1+_15・区４)),0)+ROUND((ROUND((ROUND((ROUND((_15_同援日１．５＿０．５*_15・基礎２),0)*(1+_15・B早朝)),0)*(1+_15・盲ろう)),0)*(1+_15・区４)),0)+ROUND((ROUND((ROUND((_15_同援日１．５＿０．５＿１．０*_15・基礎２),0)*(1+_15・盲ろう)),0)*(1+_15・区４)),0)</f>
        <v>1357</v>
      </c>
      <c r="AF413" s="48"/>
    </row>
    <row r="414" spans="1:32" ht="16.5" customHeight="1" x14ac:dyDescent="0.15">
      <c r="A414" s="41">
        <v>15</v>
      </c>
      <c r="B414" s="41" t="s">
        <v>21938</v>
      </c>
      <c r="C414" s="74" t="s">
        <v>21939</v>
      </c>
      <c r="D414" s="72"/>
      <c r="F414" s="57"/>
      <c r="G414" s="122"/>
      <c r="H414" s="37"/>
      <c r="I414" s="79"/>
      <c r="J414" s="122"/>
      <c r="K414" s="37"/>
      <c r="L414" s="79"/>
      <c r="M414" s="269" t="s">
        <v>17560</v>
      </c>
      <c r="N414" s="37" t="s">
        <v>398</v>
      </c>
      <c r="O414" s="38">
        <v>0.9</v>
      </c>
      <c r="P414" s="299" t="s">
        <v>17556</v>
      </c>
      <c r="Q414" s="45" t="s">
        <v>398</v>
      </c>
      <c r="R414" s="46">
        <v>1</v>
      </c>
      <c r="S414" s="512"/>
      <c r="T414" s="57"/>
      <c r="U414" s="512"/>
      <c r="V414" s="57"/>
      <c r="W414" s="269"/>
      <c r="X414" s="37"/>
      <c r="Y414" s="38"/>
      <c r="Z414" s="79"/>
      <c r="AA414" s="269"/>
      <c r="AB414" s="37"/>
      <c r="AC414" s="38"/>
      <c r="AD414" s="79"/>
      <c r="AE414" s="208">
        <f>ROUND((ROUND((ROUND((ROUND((ROUND((_15_同援日１．５*_15・基礎２),0)*_15・２人),0)*(1+_15・A深夜)),0)*(1+_15・盲ろう)),0)*(1+_15・区４)),0)+ROUND((ROUND((ROUND((ROUND((ROUND((_15_同援日１．５＿０．５*_15・基礎２),0)*_15・２人),0)*(1+_15・B早朝)),0)*(1+_15・盲ろう)),0)*(1+_15・区４)),0)+ROUND((ROUND((ROUND((ROUND((_15_同援日１．５＿０．５＿１．０*_15・基礎２),0)*_15・２人),0)*(1+_15・盲ろう)),0)*(1+_15・区４)),0)</f>
        <v>1357</v>
      </c>
      <c r="AF414" s="48"/>
    </row>
    <row r="415" spans="1:32" ht="16.5" customHeight="1" x14ac:dyDescent="0.15">
      <c r="A415" s="41">
        <v>15</v>
      </c>
      <c r="B415" s="41" t="s">
        <v>21940</v>
      </c>
      <c r="C415" s="74" t="s">
        <v>21941</v>
      </c>
      <c r="D415" s="72"/>
      <c r="F415" s="57"/>
      <c r="G415" s="114" t="s">
        <v>18846</v>
      </c>
      <c r="H415" s="49"/>
      <c r="I415" s="115"/>
      <c r="J415" s="114" t="s">
        <v>19919</v>
      </c>
      <c r="K415" s="49"/>
      <c r="L415" s="115"/>
      <c r="M415" s="114"/>
      <c r="N415" s="49"/>
      <c r="O415" s="50"/>
      <c r="P415" s="299"/>
      <c r="Q415" s="45"/>
      <c r="R415" s="46"/>
      <c r="S415" s="512"/>
      <c r="T415" s="57"/>
      <c r="U415" s="512"/>
      <c r="V415" s="57"/>
      <c r="W415" s="114"/>
      <c r="X415" s="49"/>
      <c r="Y415" s="50"/>
      <c r="Z415" s="115"/>
      <c r="AA415" s="116"/>
      <c r="AB415" s="49"/>
      <c r="AC415" s="50"/>
      <c r="AD415" s="115"/>
      <c r="AE415" s="208">
        <f>ROUND((_15_同援日１．５*(1+_15・A深夜)),0)+ROUND((_15_同援日１．５＿１．０*(1+_15・B早朝)),0)+_15_同援日１．５＿１．０＿０．５</f>
        <v>878</v>
      </c>
      <c r="AF415" s="48"/>
    </row>
    <row r="416" spans="1:32" ht="16.5" customHeight="1" x14ac:dyDescent="0.15">
      <c r="A416" s="41">
        <v>15</v>
      </c>
      <c r="B416" s="41" t="s">
        <v>21942</v>
      </c>
      <c r="C416" s="74" t="s">
        <v>21943</v>
      </c>
      <c r="D416" s="72"/>
      <c r="F416" s="57"/>
      <c r="G416" s="72" t="s">
        <v>17589</v>
      </c>
      <c r="I416" s="57"/>
      <c r="J416" s="72" t="s">
        <v>18259</v>
      </c>
      <c r="L416" s="57"/>
      <c r="M416" s="269"/>
      <c r="N416" s="37"/>
      <c r="O416" s="38"/>
      <c r="P416" s="299" t="s">
        <v>17556</v>
      </c>
      <c r="Q416" s="45" t="s">
        <v>398</v>
      </c>
      <c r="R416" s="46">
        <v>1</v>
      </c>
      <c r="S416" s="512"/>
      <c r="T416" s="57"/>
      <c r="U416" s="512"/>
      <c r="V416" s="57"/>
      <c r="W416" s="92"/>
      <c r="Z416" s="57"/>
      <c r="AA416" s="72"/>
      <c r="AD416" s="57"/>
      <c r="AE416" s="208">
        <f>ROUND((ROUND((_15_同援日１．５*_15・２人),0)*(1+_15・A深夜)),0)+ROUND((ROUND((_15_同援日１．５＿１．０*_15・２人),0)*(1+_15・B早朝)),0)+ROUND((_15_同援日１．５＿１．０＿０．５*_15・２人),0)</f>
        <v>878</v>
      </c>
      <c r="AF416" s="48"/>
    </row>
    <row r="417" spans="1:32" ht="16.5" customHeight="1" x14ac:dyDescent="0.15">
      <c r="A417" s="41">
        <v>15</v>
      </c>
      <c r="B417" s="41" t="s">
        <v>21944</v>
      </c>
      <c r="C417" s="74" t="s">
        <v>21945</v>
      </c>
      <c r="D417" s="72"/>
      <c r="F417" s="57"/>
      <c r="G417" s="72" t="s">
        <v>17591</v>
      </c>
      <c r="I417" s="57"/>
      <c r="J417" s="72"/>
      <c r="L417" s="57"/>
      <c r="M417" s="114" t="s">
        <v>17558</v>
      </c>
      <c r="N417" s="49"/>
      <c r="O417" s="50"/>
      <c r="P417" s="299"/>
      <c r="Q417" s="45"/>
      <c r="R417" s="46"/>
      <c r="S417" s="512"/>
      <c r="T417" s="57"/>
      <c r="U417" s="512"/>
      <c r="V417" s="57"/>
      <c r="W417" s="92"/>
      <c r="Z417" s="57"/>
      <c r="AA417" s="72"/>
      <c r="AD417" s="57"/>
      <c r="AE417" s="208">
        <f>ROUND((ROUND((_15_同援日１．５*_15・基礎２),0)*(1+_15・A深夜)),0)+ROUND((ROUND((_15_同援日１．５＿１．０*_15・基礎２),0)*(1+_15・B早朝)),0)+ROUND((_15_同援日１．５＿１．０＿０．５*_15・基礎２),0)</f>
        <v>790</v>
      </c>
      <c r="AF417" s="48"/>
    </row>
    <row r="418" spans="1:32" ht="16.5" customHeight="1" x14ac:dyDescent="0.15">
      <c r="A418" s="41">
        <v>15</v>
      </c>
      <c r="B418" s="41" t="s">
        <v>21946</v>
      </c>
      <c r="C418" s="74" t="s">
        <v>21947</v>
      </c>
      <c r="D418" s="72"/>
      <c r="F418" s="57"/>
      <c r="G418" s="72"/>
      <c r="H418" s="168">
        <f>_15_同援日１．５＿１．０</f>
        <v>130</v>
      </c>
      <c r="I418" s="57" t="s">
        <v>392</v>
      </c>
      <c r="J418" s="72"/>
      <c r="K418" s="168">
        <f>_15_同援日１．５＿１．０＿０．５</f>
        <v>65</v>
      </c>
      <c r="L418" s="57" t="s">
        <v>392</v>
      </c>
      <c r="M418" s="269" t="s">
        <v>17560</v>
      </c>
      <c r="N418" s="37" t="s">
        <v>398</v>
      </c>
      <c r="O418" s="38">
        <v>0.9</v>
      </c>
      <c r="P418" s="299" t="s">
        <v>17556</v>
      </c>
      <c r="Q418" s="45" t="s">
        <v>398</v>
      </c>
      <c r="R418" s="46">
        <v>1</v>
      </c>
      <c r="S418" s="512"/>
      <c r="T418" s="57"/>
      <c r="U418" s="512"/>
      <c r="V418" s="57"/>
      <c r="W418" s="269"/>
      <c r="X418" s="37"/>
      <c r="Y418" s="38"/>
      <c r="Z418" s="79"/>
      <c r="AA418" s="72"/>
      <c r="AD418" s="57"/>
      <c r="AE418" s="208">
        <f>ROUND((ROUND((ROUND((_15_同援日１．５*_15・基礎２),0)*_15・２人),0)*(1+_15・A深夜)),0)+ROUND((ROUND((ROUND((_15_同援日１．５＿１．０*_15・基礎２),0)*_15・２人),0)*(1+_15・B早朝)),0)+ROUND((ROUND((_15_同援日１．５＿１．０＿０．５*_15・基礎２),0)*_15・２人),0)</f>
        <v>790</v>
      </c>
      <c r="AF418" s="48"/>
    </row>
    <row r="419" spans="1:32" ht="16.5" customHeight="1" x14ac:dyDescent="0.15">
      <c r="A419" s="41">
        <v>15</v>
      </c>
      <c r="B419" s="41" t="s">
        <v>21948</v>
      </c>
      <c r="C419" s="74" t="s">
        <v>21949</v>
      </c>
      <c r="D419" s="72"/>
      <c r="F419" s="57"/>
      <c r="G419" s="72"/>
      <c r="I419" s="57"/>
      <c r="J419" s="72"/>
      <c r="L419" s="57"/>
      <c r="M419" s="114"/>
      <c r="N419" s="49"/>
      <c r="O419" s="50"/>
      <c r="P419" s="299"/>
      <c r="Q419" s="45"/>
      <c r="R419" s="46"/>
      <c r="S419" s="512"/>
      <c r="T419" s="57"/>
      <c r="U419" s="512"/>
      <c r="V419" s="57"/>
      <c r="W419" s="114" t="s">
        <v>17562</v>
      </c>
      <c r="X419" s="49"/>
      <c r="Y419" s="50"/>
      <c r="Z419" s="115"/>
      <c r="AA419" s="72"/>
      <c r="AD419" s="57"/>
      <c r="AE419" s="208">
        <f>ROUND((ROUND((_15_同援日１．５*(1+_15・A深夜)),0)*(1+_15・盲ろう)),0)+ROUND((ROUND((_15_同援日１．５＿１．０*(1+_15・B早朝)),0)*(1+_15・盲ろう)),0)+ROUND((_15_同援日１．５＿１．０＿０．５*(1+_15・盲ろう)),0)</f>
        <v>1098</v>
      </c>
      <c r="AF419" s="48"/>
    </row>
    <row r="420" spans="1:32" ht="16.5" customHeight="1" x14ac:dyDescent="0.15">
      <c r="A420" s="41">
        <v>15</v>
      </c>
      <c r="B420" s="41" t="s">
        <v>21950</v>
      </c>
      <c r="C420" s="74" t="s">
        <v>21951</v>
      </c>
      <c r="D420" s="72"/>
      <c r="F420" s="57"/>
      <c r="G420" s="72"/>
      <c r="I420" s="57"/>
      <c r="J420" s="72"/>
      <c r="L420" s="57"/>
      <c r="M420" s="269"/>
      <c r="N420" s="37"/>
      <c r="O420" s="38"/>
      <c r="P420" s="299" t="s">
        <v>17556</v>
      </c>
      <c r="Q420" s="45" t="s">
        <v>398</v>
      </c>
      <c r="R420" s="46">
        <v>1</v>
      </c>
      <c r="S420" s="512"/>
      <c r="T420" s="57"/>
      <c r="U420" s="512"/>
      <c r="V420" s="57"/>
      <c r="W420" s="92" t="s">
        <v>17564</v>
      </c>
      <c r="Z420" s="57"/>
      <c r="AA420" s="72"/>
      <c r="AD420" s="57"/>
      <c r="AE420" s="208">
        <f>ROUND((ROUND((ROUND((_15_同援日１．５*_15・２人),0)*(1+_15・A深夜)),0)*(1+_15・盲ろう)),0)+ROUND((ROUND((ROUND((_15_同援日１．５＿１．０*_15・２人),0)*(1+_15・B早朝)),0)*(1+_15・盲ろう)),0)+ROUND((ROUND((_15_同援日１．５＿１．０＿０．５*_15・２人),0)*(1+_15・盲ろう)),0)</f>
        <v>1098</v>
      </c>
      <c r="AF420" s="48"/>
    </row>
    <row r="421" spans="1:32" ht="16.5" customHeight="1" x14ac:dyDescent="0.15">
      <c r="A421" s="41">
        <v>15</v>
      </c>
      <c r="B421" s="41" t="s">
        <v>21952</v>
      </c>
      <c r="C421" s="74" t="s">
        <v>21953</v>
      </c>
      <c r="D421" s="72"/>
      <c r="F421" s="57"/>
      <c r="G421" s="72"/>
      <c r="I421" s="57"/>
      <c r="J421" s="72"/>
      <c r="L421" s="57"/>
      <c r="M421" s="114" t="s">
        <v>17558</v>
      </c>
      <c r="N421" s="49"/>
      <c r="O421" s="50"/>
      <c r="P421" s="299"/>
      <c r="Q421" s="45"/>
      <c r="R421" s="46"/>
      <c r="S421" s="512"/>
      <c r="T421" s="57"/>
      <c r="U421" s="512"/>
      <c r="V421" s="57"/>
      <c r="W421" s="92"/>
      <c r="X421" s="12" t="s">
        <v>398</v>
      </c>
      <c r="Y421" s="13">
        <v>0.25</v>
      </c>
      <c r="Z421" s="57" t="s">
        <v>3575</v>
      </c>
      <c r="AA421" s="72"/>
      <c r="AD421" s="57"/>
      <c r="AE421" s="208">
        <f>ROUND((ROUND((ROUND((_15_同援日１．５*_15・基礎２),0)*(1+_15・A深夜)),0)*(1+_15・盲ろう)),0)+ROUND((ROUND((ROUND((_15_同援日１．５＿１．０*_15・基礎２),0)*(1+_15・B早朝)),0)*(1+_15・盲ろう)),0)+ROUND((ROUND((_15_同援日１．５＿１．０＿０．５*_15・基礎２),0)*(1+_15・盲ろう)),0)</f>
        <v>988</v>
      </c>
      <c r="AF421" s="48"/>
    </row>
    <row r="422" spans="1:32" ht="16.5" customHeight="1" x14ac:dyDescent="0.15">
      <c r="A422" s="41">
        <v>15</v>
      </c>
      <c r="B422" s="41" t="s">
        <v>21954</v>
      </c>
      <c r="C422" s="74" t="s">
        <v>21955</v>
      </c>
      <c r="D422" s="72"/>
      <c r="F422" s="57"/>
      <c r="G422" s="72"/>
      <c r="I422" s="57"/>
      <c r="J422" s="72"/>
      <c r="L422" s="57"/>
      <c r="M422" s="269" t="s">
        <v>17560</v>
      </c>
      <c r="N422" s="37" t="s">
        <v>398</v>
      </c>
      <c r="O422" s="38">
        <v>0.9</v>
      </c>
      <c r="P422" s="299" t="s">
        <v>17556</v>
      </c>
      <c r="Q422" s="45" t="s">
        <v>398</v>
      </c>
      <c r="R422" s="46">
        <v>1</v>
      </c>
      <c r="S422" s="512"/>
      <c r="T422" s="57"/>
      <c r="U422" s="512"/>
      <c r="V422" s="57"/>
      <c r="W422" s="269"/>
      <c r="X422" s="37"/>
      <c r="Y422" s="38"/>
      <c r="Z422" s="79"/>
      <c r="AA422" s="269"/>
      <c r="AB422" s="37"/>
      <c r="AC422" s="38"/>
      <c r="AD422" s="79"/>
      <c r="AE422" s="208">
        <f>ROUND((ROUND((ROUND((ROUND((_15_同援日１．５*_15・基礎２),0)*_15・２人),0)*(1+_15・A深夜)),0)*(1+_15・盲ろう)),0)+ROUND((ROUND((ROUND((ROUND((_15_同援日１．５＿１．０*_15・基礎２),0)*_15・２人),0)*(1+_15・B早朝)),0)*(1+_15・盲ろう)),0)+ROUND((ROUND((ROUND((_15_同援日１．５＿１．０＿０．５*_15・基礎２),0)*_15・２人),0)*(1+_15・盲ろう)),0)</f>
        <v>988</v>
      </c>
      <c r="AF422" s="48"/>
    </row>
    <row r="423" spans="1:32" ht="16.5" customHeight="1" x14ac:dyDescent="0.15">
      <c r="A423" s="41">
        <v>15</v>
      </c>
      <c r="B423" s="41" t="s">
        <v>21956</v>
      </c>
      <c r="C423" s="74" t="s">
        <v>21957</v>
      </c>
      <c r="D423" s="72"/>
      <c r="F423" s="57"/>
      <c r="G423" s="72"/>
      <c r="I423" s="57"/>
      <c r="J423" s="72"/>
      <c r="L423" s="57"/>
      <c r="M423" s="114"/>
      <c r="N423" s="49"/>
      <c r="O423" s="50"/>
      <c r="P423" s="299"/>
      <c r="Q423" s="45"/>
      <c r="R423" s="46"/>
      <c r="S423" s="512"/>
      <c r="T423" s="57"/>
      <c r="U423" s="512"/>
      <c r="V423" s="57"/>
      <c r="W423" s="114"/>
      <c r="X423" s="49"/>
      <c r="Y423" s="50"/>
      <c r="Z423" s="115"/>
      <c r="AA423" s="116"/>
      <c r="AB423" s="49"/>
      <c r="AC423" s="50"/>
      <c r="AD423" s="115"/>
      <c r="AE423" s="208">
        <f>ROUND((ROUND((_15_同援日１．５*(1+_15・A深夜)),0)*(1+_15・区３)),0)+ROUND((ROUND((_15_同援日１．５＿１．０*(1+_15・B早朝)),0)*(1+_15・区３)),0)+ROUND((_15_同援日１．５＿１．０＿０．５*(1+_15・区３)),0)</f>
        <v>1054</v>
      </c>
      <c r="AF423" s="48"/>
    </row>
    <row r="424" spans="1:32" ht="16.5" customHeight="1" x14ac:dyDescent="0.15">
      <c r="A424" s="41">
        <v>15</v>
      </c>
      <c r="B424" s="41" t="s">
        <v>21958</v>
      </c>
      <c r="C424" s="74" t="s">
        <v>21959</v>
      </c>
      <c r="D424" s="72"/>
      <c r="F424" s="57"/>
      <c r="G424" s="72"/>
      <c r="I424" s="57"/>
      <c r="J424" s="72"/>
      <c r="L424" s="57"/>
      <c r="M424" s="269"/>
      <c r="N424" s="37"/>
      <c r="O424" s="38"/>
      <c r="P424" s="299" t="s">
        <v>17556</v>
      </c>
      <c r="Q424" s="45" t="s">
        <v>398</v>
      </c>
      <c r="R424" s="46">
        <v>1</v>
      </c>
      <c r="S424" s="512"/>
      <c r="T424" s="57"/>
      <c r="U424" s="512"/>
      <c r="V424" s="57"/>
      <c r="W424" s="92"/>
      <c r="Z424" s="57"/>
      <c r="AA424" s="72"/>
      <c r="AD424" s="57"/>
      <c r="AE424" s="208">
        <f>ROUND((ROUND((ROUND((_15_同援日１．５*_15・２人),0)*(1+_15・A深夜)),0)*(1+_15・区３)),0)+ROUND((ROUND((ROUND((_15_同援日１．５＿１．０*_15・２人),0)*(1+_15・B早朝)),0)*(1+_15・区３)),0)+ROUND((ROUND((_15_同援日１．５＿１．０＿０．５*_15・２人),0)*(1+_15・区３)),0)</f>
        <v>1054</v>
      </c>
      <c r="AF424" s="48"/>
    </row>
    <row r="425" spans="1:32" ht="16.5" customHeight="1" x14ac:dyDescent="0.15">
      <c r="A425" s="41">
        <v>15</v>
      </c>
      <c r="B425" s="41" t="s">
        <v>1179</v>
      </c>
      <c r="C425" s="74" t="s">
        <v>21960</v>
      </c>
      <c r="D425" s="72"/>
      <c r="F425" s="57"/>
      <c r="G425" s="72"/>
      <c r="I425" s="57"/>
      <c r="J425" s="72"/>
      <c r="L425" s="57"/>
      <c r="M425" s="114" t="s">
        <v>17558</v>
      </c>
      <c r="N425" s="49"/>
      <c r="O425" s="50"/>
      <c r="P425" s="299"/>
      <c r="Q425" s="45"/>
      <c r="R425" s="46"/>
      <c r="S425" s="512"/>
      <c r="T425" s="57"/>
      <c r="U425" s="512"/>
      <c r="V425" s="57"/>
      <c r="W425" s="92"/>
      <c r="Z425" s="57"/>
      <c r="AA425" s="72" t="s">
        <v>17570</v>
      </c>
      <c r="AD425" s="57"/>
      <c r="AE425" s="208">
        <f>ROUND((ROUND((ROUND((_15_同援日１．５*_15・基礎２),0)*(1+_15・A深夜)),0)*(1+_15・区３)),0)+ROUND((ROUND((ROUND((_15_同援日１．５＿１．０*_15・基礎２),0)*(1+_15・B早朝)),0)*(1+_15・区３)),0)+ROUND((ROUND((_15_同援日１．５＿１．０＿０．５*_15・基礎２),0)*(1+_15・区３)),0)</f>
        <v>948</v>
      </c>
      <c r="AF425" s="48"/>
    </row>
    <row r="426" spans="1:32" ht="16.5" customHeight="1" x14ac:dyDescent="0.15">
      <c r="A426" s="41">
        <v>15</v>
      </c>
      <c r="B426" s="41" t="s">
        <v>1181</v>
      </c>
      <c r="C426" s="74" t="s">
        <v>21961</v>
      </c>
      <c r="D426" s="72"/>
      <c r="F426" s="57"/>
      <c r="G426" s="72"/>
      <c r="I426" s="57"/>
      <c r="J426" s="72"/>
      <c r="L426" s="57"/>
      <c r="M426" s="269" t="s">
        <v>17560</v>
      </c>
      <c r="N426" s="37" t="s">
        <v>398</v>
      </c>
      <c r="O426" s="38">
        <v>0.9</v>
      </c>
      <c r="P426" s="299" t="s">
        <v>17556</v>
      </c>
      <c r="Q426" s="45" t="s">
        <v>398</v>
      </c>
      <c r="R426" s="46">
        <v>1</v>
      </c>
      <c r="S426" s="512"/>
      <c r="T426" s="57"/>
      <c r="U426" s="512"/>
      <c r="V426" s="57"/>
      <c r="W426" s="269"/>
      <c r="X426" s="37"/>
      <c r="Y426" s="38"/>
      <c r="Z426" s="79"/>
      <c r="AA426" s="72" t="s">
        <v>17572</v>
      </c>
      <c r="AD426" s="57"/>
      <c r="AE426" s="208">
        <f>ROUND((ROUND((ROUND((ROUND((_15_同援日１．５*_15・基礎２),0)*_15・２人),0)*(1+_15・A深夜)),0)*(1+_15・区３)),0)+ROUND((ROUND((ROUND((ROUND((_15_同援日１．５＿１．０*_15・基礎２),0)*_15・２人),0)*(1+_15・B早朝)),0)*(1+_15・区３)),0)+ROUND((ROUND((ROUND((_15_同援日１．５＿１．０＿０．５*_15・基礎２),0)*_15・２人),0)*(1+_15・区３)),0)</f>
        <v>948</v>
      </c>
      <c r="AF426" s="48"/>
    </row>
    <row r="427" spans="1:32" ht="16.5" customHeight="1" x14ac:dyDescent="0.15">
      <c r="A427" s="41">
        <v>15</v>
      </c>
      <c r="B427" s="41" t="s">
        <v>1183</v>
      </c>
      <c r="C427" s="74" t="s">
        <v>21962</v>
      </c>
      <c r="D427" s="72"/>
      <c r="F427" s="57"/>
      <c r="G427" s="72"/>
      <c r="I427" s="57"/>
      <c r="J427" s="72"/>
      <c r="L427" s="57"/>
      <c r="M427" s="114"/>
      <c r="N427" s="49"/>
      <c r="O427" s="50"/>
      <c r="P427" s="299"/>
      <c r="Q427" s="45"/>
      <c r="R427" s="46"/>
      <c r="S427" s="512"/>
      <c r="T427" s="57"/>
      <c r="U427" s="512"/>
      <c r="V427" s="57"/>
      <c r="W427" s="114" t="s">
        <v>17562</v>
      </c>
      <c r="X427" s="49"/>
      <c r="Y427" s="50"/>
      <c r="Z427" s="115"/>
      <c r="AA427" s="72"/>
      <c r="AB427" s="12" t="s">
        <v>398</v>
      </c>
      <c r="AC427" s="13">
        <v>0.2</v>
      </c>
      <c r="AD427" s="57" t="s">
        <v>3575</v>
      </c>
      <c r="AE427" s="208">
        <f>ROUND((ROUND((ROUND((_15_同援日１．５*(1+_15・A深夜)),0)*(1+_15・盲ろう)),0)*(1+_15・区３)),0)+ROUND((ROUND((ROUND((_15_同援日１．５＿１．０*(1+_15・B早朝)),0)*(1+_15・盲ろう)),0)*(1+_15・区３)),0)+ROUND((ROUND((_15_同援日１．５＿１．０＿０．５*(1+_15・盲ろう)),0)*(1+_15・区３)),0)</f>
        <v>1318</v>
      </c>
      <c r="AF427" s="48"/>
    </row>
    <row r="428" spans="1:32" ht="16.5" customHeight="1" x14ac:dyDescent="0.15">
      <c r="A428" s="41">
        <v>15</v>
      </c>
      <c r="B428" s="41" t="s">
        <v>1185</v>
      </c>
      <c r="C428" s="74" t="s">
        <v>21963</v>
      </c>
      <c r="D428" s="72"/>
      <c r="F428" s="57"/>
      <c r="G428" s="72"/>
      <c r="I428" s="57"/>
      <c r="J428" s="72"/>
      <c r="L428" s="57"/>
      <c r="M428" s="269"/>
      <c r="N428" s="37"/>
      <c r="O428" s="38"/>
      <c r="P428" s="299" t="s">
        <v>17556</v>
      </c>
      <c r="Q428" s="45" t="s">
        <v>398</v>
      </c>
      <c r="R428" s="46">
        <v>1</v>
      </c>
      <c r="S428" s="512"/>
      <c r="T428" s="57"/>
      <c r="U428" s="512"/>
      <c r="V428" s="57"/>
      <c r="W428" s="92" t="s">
        <v>17564</v>
      </c>
      <c r="Z428" s="57"/>
      <c r="AA428" s="72"/>
      <c r="AD428" s="57"/>
      <c r="AE428" s="208">
        <f>ROUND((ROUND((ROUND((ROUND((_15_同援日１．５*_15・２人),0)*(1+_15・A深夜)),0)*(1+_15・盲ろう)),0)*(1+_15・区３)),0)+ROUND((ROUND((ROUND((ROUND((_15_同援日１．５＿１．０*_15・２人),0)*(1+_15・B早朝)),0)*(1+_15・盲ろう)),0)*(1+_15・区３)),0)+ROUND((ROUND((ROUND((_15_同援日１．５＿１．０＿０．５*_15・２人),0)*(1+_15・盲ろう)),0)*(1+_15・区３)),0)</f>
        <v>1318</v>
      </c>
      <c r="AF428" s="48"/>
    </row>
    <row r="429" spans="1:32" ht="16.5" customHeight="1" x14ac:dyDescent="0.15">
      <c r="A429" s="41">
        <v>15</v>
      </c>
      <c r="B429" s="41" t="s">
        <v>21964</v>
      </c>
      <c r="C429" s="74" t="s">
        <v>21965</v>
      </c>
      <c r="D429" s="72"/>
      <c r="F429" s="57"/>
      <c r="G429" s="72"/>
      <c r="I429" s="57"/>
      <c r="J429" s="72"/>
      <c r="L429" s="57"/>
      <c r="M429" s="114" t="s">
        <v>17558</v>
      </c>
      <c r="N429" s="49"/>
      <c r="O429" s="50"/>
      <c r="P429" s="299"/>
      <c r="Q429" s="45"/>
      <c r="R429" s="46"/>
      <c r="S429" s="512"/>
      <c r="T429" s="57"/>
      <c r="U429" s="512"/>
      <c r="V429" s="57"/>
      <c r="W429" s="92"/>
      <c r="X429" s="12" t="s">
        <v>398</v>
      </c>
      <c r="Y429" s="13">
        <v>0.25</v>
      </c>
      <c r="Z429" s="57" t="s">
        <v>3575</v>
      </c>
      <c r="AA429" s="72"/>
      <c r="AD429" s="57"/>
      <c r="AE429" s="208">
        <f>ROUND((ROUND((ROUND((ROUND((_15_同援日１．５*_15・基礎２),0)*(1+_15・A深夜)),0)*(1+_15・盲ろう)),0)*(1+_15・区３)),0)+ROUND((ROUND((ROUND((ROUND((_15_同援日１．５＿１．０*_15・基礎２),0)*(1+_15・B早朝)),0)*(1+_15・盲ろう)),0)*(1+_15・区３)),0)+ROUND((ROUND((ROUND((_15_同援日１．５＿１．０＿０．５*_15・基礎２),0)*(1+_15・盲ろう)),0)*(1+_15・区３)),0)</f>
        <v>1186</v>
      </c>
      <c r="AF429" s="48"/>
    </row>
    <row r="430" spans="1:32" ht="16.5" customHeight="1" x14ac:dyDescent="0.15">
      <c r="A430" s="41">
        <v>15</v>
      </c>
      <c r="B430" s="41" t="s">
        <v>21966</v>
      </c>
      <c r="C430" s="74" t="s">
        <v>21967</v>
      </c>
      <c r="D430" s="72"/>
      <c r="F430" s="57"/>
      <c r="G430" s="72"/>
      <c r="I430" s="57"/>
      <c r="J430" s="72"/>
      <c r="L430" s="57"/>
      <c r="M430" s="269" t="s">
        <v>17560</v>
      </c>
      <c r="N430" s="37" t="s">
        <v>398</v>
      </c>
      <c r="O430" s="38">
        <v>0.9</v>
      </c>
      <c r="P430" s="299" t="s">
        <v>17556</v>
      </c>
      <c r="Q430" s="45" t="s">
        <v>398</v>
      </c>
      <c r="R430" s="46">
        <v>1</v>
      </c>
      <c r="S430" s="512"/>
      <c r="T430" s="57"/>
      <c r="U430" s="512"/>
      <c r="V430" s="57"/>
      <c r="W430" s="269"/>
      <c r="X430" s="37"/>
      <c r="Y430" s="38"/>
      <c r="Z430" s="79"/>
      <c r="AA430" s="269"/>
      <c r="AB430" s="37"/>
      <c r="AC430" s="38"/>
      <c r="AD430" s="79"/>
      <c r="AE430" s="208">
        <f>ROUND((ROUND((ROUND((ROUND((ROUND((_15_同援日１．５*_15・基礎２),0)*_15・２人),0)*(1+_15・A深夜)),0)*(1+_15・盲ろう)),0)*(1+_15・区３)),0)+ROUND((ROUND((ROUND((ROUND((ROUND((_15_同援日１．５＿１．０*_15・基礎２),0)*_15・２人),0)*(1+_15・B早朝)),0)*(1+_15・盲ろう)),0)*(1+_15・区３)),0)+ROUND((ROUND((ROUND((ROUND((_15_同援日１．５＿１．０＿０．５*_15・基礎２),0)*_15・２人),0)*(1+_15・盲ろう)),0)*(1+_15・区３)),0)</f>
        <v>1186</v>
      </c>
      <c r="AF430" s="48"/>
    </row>
    <row r="431" spans="1:32" ht="16.5" customHeight="1" x14ac:dyDescent="0.15">
      <c r="A431" s="41">
        <v>15</v>
      </c>
      <c r="B431" s="41" t="s">
        <v>21968</v>
      </c>
      <c r="C431" s="74" t="s">
        <v>21969</v>
      </c>
      <c r="D431" s="72"/>
      <c r="F431" s="57"/>
      <c r="G431" s="72"/>
      <c r="I431" s="57"/>
      <c r="J431" s="72"/>
      <c r="L431" s="57"/>
      <c r="M431" s="114"/>
      <c r="N431" s="49"/>
      <c r="O431" s="50"/>
      <c r="P431" s="299"/>
      <c r="Q431" s="45"/>
      <c r="R431" s="46"/>
      <c r="S431" s="512"/>
      <c r="T431" s="57"/>
      <c r="U431" s="512"/>
      <c r="V431" s="57"/>
      <c r="W431" s="114"/>
      <c r="X431" s="49"/>
      <c r="Y431" s="50"/>
      <c r="Z431" s="115"/>
      <c r="AA431" s="116"/>
      <c r="AB431" s="49"/>
      <c r="AC431" s="50"/>
      <c r="AD431" s="115"/>
      <c r="AE431" s="208">
        <f>ROUND((ROUND((_15_同援日１．５*(1+_15・A深夜)),0)*(1+_15・区４)),0)+ROUND((ROUND((_15_同援日１．５＿１．０*(1+_15・B早朝)),0)*(1+_15・区４)),0)+ROUND((_15_同援日１．５＿１．０＿０．５*(1+_15・区４)),0)</f>
        <v>1229</v>
      </c>
      <c r="AF431" s="48"/>
    </row>
    <row r="432" spans="1:32" ht="16.5" customHeight="1" x14ac:dyDescent="0.15">
      <c r="A432" s="41">
        <v>15</v>
      </c>
      <c r="B432" s="41" t="s">
        <v>21970</v>
      </c>
      <c r="C432" s="74" t="s">
        <v>21971</v>
      </c>
      <c r="D432" s="72"/>
      <c r="F432" s="57"/>
      <c r="G432" s="72"/>
      <c r="I432" s="57"/>
      <c r="J432" s="72"/>
      <c r="L432" s="57"/>
      <c r="M432" s="269"/>
      <c r="N432" s="37"/>
      <c r="O432" s="38"/>
      <c r="P432" s="299" t="s">
        <v>17556</v>
      </c>
      <c r="Q432" s="45" t="s">
        <v>398</v>
      </c>
      <c r="R432" s="46">
        <v>1</v>
      </c>
      <c r="S432" s="512"/>
      <c r="T432" s="57"/>
      <c r="U432" s="512"/>
      <c r="V432" s="57"/>
      <c r="W432" s="92"/>
      <c r="Z432" s="57"/>
      <c r="AA432" s="72"/>
      <c r="AD432" s="57"/>
      <c r="AE432" s="208">
        <f>ROUND((ROUND((ROUND((_15_同援日１．５*_15・２人),0)*(1+_15・A深夜)),0)*(1+_15・区４)),0)+ROUND((ROUND((ROUND((_15_同援日１．５＿１．０*_15・２人),0)*(1+_15・B早朝)),0)*(1+_15・区４)),0)+ROUND((ROUND((_15_同援日１．５＿１．０＿０．５*_15・２人),0)*(1+_15・区４)),0)</f>
        <v>1229</v>
      </c>
      <c r="AF432" s="48"/>
    </row>
    <row r="433" spans="1:32" ht="16.5" customHeight="1" x14ac:dyDescent="0.15">
      <c r="A433" s="41">
        <v>15</v>
      </c>
      <c r="B433" s="41" t="s">
        <v>21972</v>
      </c>
      <c r="C433" s="74" t="s">
        <v>21973</v>
      </c>
      <c r="D433" s="72"/>
      <c r="F433" s="57"/>
      <c r="G433" s="72"/>
      <c r="I433" s="57"/>
      <c r="J433" s="72"/>
      <c r="L433" s="57"/>
      <c r="M433" s="114" t="s">
        <v>17558</v>
      </c>
      <c r="N433" s="49"/>
      <c r="O433" s="50"/>
      <c r="P433" s="299"/>
      <c r="Q433" s="45"/>
      <c r="R433" s="46"/>
      <c r="S433" s="512"/>
      <c r="T433" s="57"/>
      <c r="U433" s="512"/>
      <c r="V433" s="57"/>
      <c r="W433" s="92"/>
      <c r="Z433" s="57"/>
      <c r="AA433" s="72" t="s">
        <v>17580</v>
      </c>
      <c r="AD433" s="57"/>
      <c r="AE433" s="208">
        <f>ROUND((ROUND((ROUND((_15_同援日１．５*_15・基礎２),0)*(1+_15・A深夜)),0)*(1+_15・区４)),0)+ROUND((ROUND((ROUND((_15_同援日１．５＿１．０*_15・基礎２),0)*(1+_15・B早朝)),0)*(1+_15・区４)),0)+ROUND((ROUND((_15_同援日１．５＿１．０＿０．５*_15・基礎２),0)*(1+_15・区４)),0)</f>
        <v>1106</v>
      </c>
      <c r="AF433" s="48"/>
    </row>
    <row r="434" spans="1:32" ht="16.5" customHeight="1" x14ac:dyDescent="0.15">
      <c r="A434" s="41">
        <v>15</v>
      </c>
      <c r="B434" s="41" t="s">
        <v>21974</v>
      </c>
      <c r="C434" s="74" t="s">
        <v>21975</v>
      </c>
      <c r="D434" s="72"/>
      <c r="F434" s="57"/>
      <c r="G434" s="72"/>
      <c r="I434" s="57"/>
      <c r="J434" s="72"/>
      <c r="L434" s="57"/>
      <c r="M434" s="269" t="s">
        <v>17560</v>
      </c>
      <c r="N434" s="37" t="s">
        <v>398</v>
      </c>
      <c r="O434" s="38">
        <v>0.9</v>
      </c>
      <c r="P434" s="299" t="s">
        <v>17556</v>
      </c>
      <c r="Q434" s="45" t="s">
        <v>398</v>
      </c>
      <c r="R434" s="46">
        <v>1</v>
      </c>
      <c r="S434" s="512"/>
      <c r="T434" s="57"/>
      <c r="U434" s="512"/>
      <c r="V434" s="57"/>
      <c r="W434" s="269"/>
      <c r="X434" s="37"/>
      <c r="Y434" s="38"/>
      <c r="Z434" s="79"/>
      <c r="AA434" s="72" t="s">
        <v>17572</v>
      </c>
      <c r="AD434" s="57"/>
      <c r="AE434" s="208">
        <f>ROUND((ROUND((ROUND((ROUND((_15_同援日１．５*_15・基礎２),0)*_15・２人),0)*(1+_15・A深夜)),0)*(1+_15・区４)),0)+ROUND((ROUND((ROUND((ROUND((_15_同援日１．５＿１．０*_15・基礎２),0)*_15・２人),0)*(1+_15・B早朝)),0)*(1+_15・区４)),0)+ROUND((ROUND((ROUND((_15_同援日１．５＿１．０＿０．５*_15・基礎２),0)*_15・２人),0)*(1+_15・区４)),0)</f>
        <v>1106</v>
      </c>
      <c r="AF434" s="48"/>
    </row>
    <row r="435" spans="1:32" ht="16.5" customHeight="1" x14ac:dyDescent="0.15">
      <c r="A435" s="41">
        <v>15</v>
      </c>
      <c r="B435" s="41" t="s">
        <v>21976</v>
      </c>
      <c r="C435" s="74" t="s">
        <v>21977</v>
      </c>
      <c r="D435" s="72"/>
      <c r="F435" s="57"/>
      <c r="G435" s="72"/>
      <c r="I435" s="57"/>
      <c r="J435" s="72"/>
      <c r="L435" s="57"/>
      <c r="M435" s="114"/>
      <c r="N435" s="49"/>
      <c r="O435" s="50"/>
      <c r="P435" s="299"/>
      <c r="Q435" s="45"/>
      <c r="R435" s="46"/>
      <c r="S435" s="512"/>
      <c r="T435" s="57"/>
      <c r="U435" s="512"/>
      <c r="V435" s="57"/>
      <c r="W435" s="114" t="s">
        <v>17562</v>
      </c>
      <c r="X435" s="49"/>
      <c r="Y435" s="50"/>
      <c r="Z435" s="115"/>
      <c r="AA435" s="72"/>
      <c r="AB435" s="12" t="s">
        <v>398</v>
      </c>
      <c r="AC435" s="13">
        <v>0.4</v>
      </c>
      <c r="AD435" s="57" t="s">
        <v>3575</v>
      </c>
      <c r="AE435" s="208">
        <f>ROUND((ROUND((ROUND((_15_同援日１．５*(1+_15・A深夜)),0)*(1+_15・盲ろう)),0)*(1+_15・区４)),0)+ROUND((ROUND((ROUND((_15_同援日１．５＿１．０*(1+_15・B早朝)),0)*(1+_15・盲ろう)),0)*(1+_15・区４)),0)+ROUND((ROUND((_15_同援日１．５＿１．０＿０．５*(1+_15・盲ろう)),0)*(1+_15・区４)),0)</f>
        <v>1537</v>
      </c>
      <c r="AF435" s="48"/>
    </row>
    <row r="436" spans="1:32" ht="16.5" customHeight="1" x14ac:dyDescent="0.15">
      <c r="A436" s="41">
        <v>15</v>
      </c>
      <c r="B436" s="41" t="s">
        <v>21978</v>
      </c>
      <c r="C436" s="74" t="s">
        <v>21979</v>
      </c>
      <c r="D436" s="72"/>
      <c r="F436" s="57"/>
      <c r="G436" s="72"/>
      <c r="I436" s="57"/>
      <c r="J436" s="72"/>
      <c r="L436" s="57"/>
      <c r="M436" s="269"/>
      <c r="N436" s="37"/>
      <c r="O436" s="38"/>
      <c r="P436" s="299" t="s">
        <v>17556</v>
      </c>
      <c r="Q436" s="45" t="s">
        <v>398</v>
      </c>
      <c r="R436" s="46">
        <v>1</v>
      </c>
      <c r="S436" s="512"/>
      <c r="T436" s="57"/>
      <c r="U436" s="512"/>
      <c r="V436" s="57"/>
      <c r="W436" s="92" t="s">
        <v>17564</v>
      </c>
      <c r="Z436" s="57"/>
      <c r="AA436" s="72"/>
      <c r="AD436" s="57"/>
      <c r="AE436" s="208">
        <f>ROUND((ROUND((ROUND((ROUND((_15_同援日１．５*_15・２人),0)*(1+_15・A深夜)),0)*(1+_15・盲ろう)),0)*(1+_15・区４)),0)+ROUND((ROUND((ROUND((ROUND((_15_同援日１．５＿１．０*_15・２人),0)*(1+_15・B早朝)),0)*(1+_15・盲ろう)),0)*(1+_15・区４)),0)+ROUND((ROUND((ROUND((_15_同援日１．５＿１．０＿０．５*_15・２人),0)*(1+_15・盲ろう)),0)*(1+_15・区４)),0)</f>
        <v>1537</v>
      </c>
      <c r="AF436" s="48"/>
    </row>
    <row r="437" spans="1:32" ht="16.5" customHeight="1" x14ac:dyDescent="0.15">
      <c r="A437" s="41">
        <v>15</v>
      </c>
      <c r="B437" s="41" t="s">
        <v>21980</v>
      </c>
      <c r="C437" s="74" t="s">
        <v>21981</v>
      </c>
      <c r="D437" s="72"/>
      <c r="F437" s="57"/>
      <c r="G437" s="72"/>
      <c r="I437" s="57"/>
      <c r="J437" s="72"/>
      <c r="L437" s="57"/>
      <c r="M437" s="114" t="s">
        <v>17558</v>
      </c>
      <c r="N437" s="49"/>
      <c r="O437" s="50"/>
      <c r="P437" s="299"/>
      <c r="Q437" s="45"/>
      <c r="R437" s="46"/>
      <c r="S437" s="512"/>
      <c r="T437" s="57"/>
      <c r="U437" s="512"/>
      <c r="V437" s="57"/>
      <c r="W437" s="92"/>
      <c r="X437" s="12" t="s">
        <v>398</v>
      </c>
      <c r="Y437" s="13">
        <v>0.25</v>
      </c>
      <c r="Z437" s="57" t="s">
        <v>3575</v>
      </c>
      <c r="AA437" s="72"/>
      <c r="AD437" s="57"/>
      <c r="AE437" s="208">
        <f>ROUND((ROUND((ROUND((ROUND((_15_同援日１．５*_15・基礎２),0)*(1+_15・A深夜)),0)*(1+_15・盲ろう)),0)*(1+_15・区４)),0)+ROUND((ROUND((ROUND((ROUND((_15_同援日１．５＿１．０*_15・基礎２),0)*(1+_15・B早朝)),0)*(1+_15・盲ろう)),0)*(1+_15・区４)),0)+ROUND((ROUND((ROUND((_15_同援日１．５＿１．０＿０．５*_15・基礎２),0)*(1+_15・盲ろう)),0)*(1+_15・区４)),0)</f>
        <v>1383</v>
      </c>
      <c r="AF437" s="48"/>
    </row>
    <row r="438" spans="1:32" ht="16.5" customHeight="1" x14ac:dyDescent="0.15">
      <c r="A438" s="41">
        <v>15</v>
      </c>
      <c r="B438" s="41" t="s">
        <v>21982</v>
      </c>
      <c r="C438" s="74" t="s">
        <v>21983</v>
      </c>
      <c r="D438" s="122"/>
      <c r="E438" s="37"/>
      <c r="F438" s="79"/>
      <c r="G438" s="122"/>
      <c r="H438" s="37"/>
      <c r="I438" s="79"/>
      <c r="J438" s="72"/>
      <c r="L438" s="57"/>
      <c r="M438" s="269" t="s">
        <v>17560</v>
      </c>
      <c r="N438" s="37" t="s">
        <v>398</v>
      </c>
      <c r="O438" s="38">
        <v>0.9</v>
      </c>
      <c r="P438" s="299" t="s">
        <v>17556</v>
      </c>
      <c r="Q438" s="45" t="s">
        <v>398</v>
      </c>
      <c r="R438" s="46">
        <v>1</v>
      </c>
      <c r="S438" s="512"/>
      <c r="T438" s="57"/>
      <c r="U438" s="512"/>
      <c r="V438" s="57"/>
      <c r="W438" s="269"/>
      <c r="X438" s="37"/>
      <c r="Y438" s="38"/>
      <c r="Z438" s="79"/>
      <c r="AA438" s="269"/>
      <c r="AB438" s="37"/>
      <c r="AC438" s="38"/>
      <c r="AD438" s="79"/>
      <c r="AE438" s="208">
        <f>ROUND((ROUND((ROUND((ROUND((ROUND((_15_同援日１．５*_15・基礎２),0)*_15・２人),0)*(1+_15・A深夜)),0)*(1+_15・盲ろう)),0)*(1+_15・区４)),0)+ROUND((ROUND((ROUND((ROUND((ROUND((_15_同援日１．５＿１．０*_15・基礎２),0)*_15・２人),0)*(1+_15・B早朝)),0)*(1+_15・盲ろう)),0)*(1+_15・区４)),0)+ROUND((ROUND((ROUND((ROUND((_15_同援日１．５＿１．０＿０．５*_15・基礎２),0)*_15・２人),0)*(1+_15・盲ろう)),0)*(1+_15・区４)),0)</f>
        <v>1383</v>
      </c>
      <c r="AF438" s="48"/>
    </row>
    <row r="439" spans="1:32" ht="16.5" customHeight="1" x14ac:dyDescent="0.15">
      <c r="A439" s="41">
        <v>15</v>
      </c>
      <c r="B439" s="41" t="s">
        <v>21984</v>
      </c>
      <c r="C439" s="74" t="s">
        <v>21985</v>
      </c>
      <c r="D439" s="114" t="s">
        <v>18563</v>
      </c>
      <c r="E439" s="49"/>
      <c r="F439" s="115"/>
      <c r="G439" s="114" t="s">
        <v>18819</v>
      </c>
      <c r="H439" s="49"/>
      <c r="I439" s="115"/>
      <c r="J439" s="114" t="s">
        <v>19919</v>
      </c>
      <c r="K439" s="49"/>
      <c r="L439" s="115"/>
      <c r="M439" s="114"/>
      <c r="N439" s="49"/>
      <c r="O439" s="50"/>
      <c r="P439" s="299"/>
      <c r="Q439" s="45"/>
      <c r="R439" s="46"/>
      <c r="S439" s="512"/>
      <c r="T439" s="57"/>
      <c r="U439" s="512"/>
      <c r="V439" s="57"/>
      <c r="W439" s="114"/>
      <c r="X439" s="49"/>
      <c r="Y439" s="50"/>
      <c r="Z439" s="115"/>
      <c r="AA439" s="116"/>
      <c r="AB439" s="49"/>
      <c r="AC439" s="50"/>
      <c r="AD439" s="115"/>
      <c r="AE439" s="208">
        <f>ROUND((_15_同援日２．０*(1+_15・A深夜)),0)+ROUND((_15_同援日２．０＿０．５*(1+_15・B早朝)),0)+_15_同援日２．０＿０．５＿０．５</f>
        <v>893</v>
      </c>
      <c r="AF439" s="48"/>
    </row>
    <row r="440" spans="1:32" ht="16.5" customHeight="1" x14ac:dyDescent="0.15">
      <c r="A440" s="41">
        <v>15</v>
      </c>
      <c r="B440" s="41" t="s">
        <v>21986</v>
      </c>
      <c r="C440" s="74" t="s">
        <v>21987</v>
      </c>
      <c r="D440" s="72" t="s">
        <v>17643</v>
      </c>
      <c r="F440" s="57"/>
      <c r="G440" s="72" t="s">
        <v>18259</v>
      </c>
      <c r="I440" s="57"/>
      <c r="J440" s="72" t="s">
        <v>18259</v>
      </c>
      <c r="L440" s="57"/>
      <c r="M440" s="269"/>
      <c r="N440" s="37"/>
      <c r="O440" s="38"/>
      <c r="P440" s="299" t="s">
        <v>17556</v>
      </c>
      <c r="Q440" s="45" t="s">
        <v>398</v>
      </c>
      <c r="R440" s="46">
        <v>1</v>
      </c>
      <c r="S440" s="512"/>
      <c r="T440" s="57"/>
      <c r="U440" s="512"/>
      <c r="V440" s="57"/>
      <c r="W440" s="92"/>
      <c r="Z440" s="57"/>
      <c r="AA440" s="72"/>
      <c r="AD440" s="57"/>
      <c r="AE440" s="208">
        <f>ROUND((ROUND((_15_同援日２．０*_15・２人),0)*(1+_15・A深夜)),0)+ROUND((ROUND((_15_同援日２．０＿０．５*_15・２人),0)*(1+_15・B早朝)),0)+ROUND((_15_同援日２．０＿０．５＿０．５*_15・２人),0)</f>
        <v>893</v>
      </c>
      <c r="AF440" s="48"/>
    </row>
    <row r="441" spans="1:32" ht="16.5" customHeight="1" x14ac:dyDescent="0.15">
      <c r="A441" s="41">
        <v>15</v>
      </c>
      <c r="B441" s="41" t="s">
        <v>21988</v>
      </c>
      <c r="C441" s="74" t="s">
        <v>21989</v>
      </c>
      <c r="D441" s="72" t="s">
        <v>17645</v>
      </c>
      <c r="F441" s="57"/>
      <c r="G441" s="72"/>
      <c r="I441" s="57"/>
      <c r="J441" s="72"/>
      <c r="L441" s="57"/>
      <c r="M441" s="114" t="s">
        <v>17558</v>
      </c>
      <c r="N441" s="49"/>
      <c r="O441" s="50"/>
      <c r="P441" s="299"/>
      <c r="Q441" s="45"/>
      <c r="R441" s="46"/>
      <c r="S441" s="512"/>
      <c r="T441" s="57"/>
      <c r="U441" s="512"/>
      <c r="V441" s="57"/>
      <c r="W441" s="92"/>
      <c r="Z441" s="57"/>
      <c r="AA441" s="72"/>
      <c r="AD441" s="57"/>
      <c r="AE441" s="208">
        <f>ROUND((ROUND((_15_同援日２．０*_15・基礎２),0)*(1+_15・A深夜)),0)+ROUND((ROUND((_15_同援日２．０＿０．５*_15・基礎２),0)*(1+_15・B早朝)),0)+ROUND((_15_同援日２．０＿０．５＿０．５*_15・基礎２),0)</f>
        <v>805</v>
      </c>
      <c r="AF441" s="48"/>
    </row>
    <row r="442" spans="1:32" ht="16.5" customHeight="1" x14ac:dyDescent="0.15">
      <c r="A442" s="41">
        <v>15</v>
      </c>
      <c r="B442" s="41" t="s">
        <v>21990</v>
      </c>
      <c r="C442" s="74" t="s">
        <v>21991</v>
      </c>
      <c r="D442" s="72"/>
      <c r="E442" s="168">
        <f>_15_同援日２．０</f>
        <v>498</v>
      </c>
      <c r="F442" s="57" t="s">
        <v>392</v>
      </c>
      <c r="G442" s="72"/>
      <c r="H442" s="168">
        <f>_15_同援日２．０＿０．５</f>
        <v>65</v>
      </c>
      <c r="I442" s="57" t="s">
        <v>392</v>
      </c>
      <c r="J442" s="72"/>
      <c r="K442" s="168">
        <f>_15_同援日２．０＿０．５＿０．５</f>
        <v>65</v>
      </c>
      <c r="L442" s="57" t="s">
        <v>392</v>
      </c>
      <c r="M442" s="269" t="s">
        <v>17560</v>
      </c>
      <c r="N442" s="37" t="s">
        <v>398</v>
      </c>
      <c r="O442" s="38">
        <v>0.9</v>
      </c>
      <c r="P442" s="299" t="s">
        <v>17556</v>
      </c>
      <c r="Q442" s="45" t="s">
        <v>398</v>
      </c>
      <c r="R442" s="46">
        <v>1</v>
      </c>
      <c r="S442" s="512"/>
      <c r="T442" s="57"/>
      <c r="U442" s="512"/>
      <c r="V442" s="57"/>
      <c r="W442" s="269"/>
      <c r="X442" s="37"/>
      <c r="Y442" s="38"/>
      <c r="Z442" s="79"/>
      <c r="AA442" s="72"/>
      <c r="AD442" s="57"/>
      <c r="AE442" s="208">
        <f>ROUND((ROUND((ROUND((_15_同援日２．０*_15・基礎２),0)*_15・２人),0)*(1+_15・A深夜)),0)+ROUND((ROUND((ROUND((_15_同援日２．０＿０．５*_15・基礎２),0)*_15・２人),0)*(1+_15・B早朝)),0)+ROUND((ROUND((_15_同援日２．０＿０．５＿０．５*_15・基礎２),0)*_15・２人),0)</f>
        <v>805</v>
      </c>
      <c r="AF442" s="48"/>
    </row>
    <row r="443" spans="1:32" ht="16.5" customHeight="1" x14ac:dyDescent="0.15">
      <c r="A443" s="41">
        <v>15</v>
      </c>
      <c r="B443" s="41" t="s">
        <v>21992</v>
      </c>
      <c r="C443" s="74" t="s">
        <v>21993</v>
      </c>
      <c r="D443" s="72"/>
      <c r="F443" s="57"/>
      <c r="G443" s="72"/>
      <c r="I443" s="57"/>
      <c r="J443" s="72"/>
      <c r="L443" s="57"/>
      <c r="M443" s="114"/>
      <c r="N443" s="49"/>
      <c r="O443" s="50"/>
      <c r="P443" s="299"/>
      <c r="Q443" s="45"/>
      <c r="R443" s="46"/>
      <c r="S443" s="512"/>
      <c r="T443" s="57"/>
      <c r="U443" s="512"/>
      <c r="V443" s="57"/>
      <c r="W443" s="114" t="s">
        <v>17562</v>
      </c>
      <c r="X443" s="49"/>
      <c r="Y443" s="50"/>
      <c r="Z443" s="115"/>
      <c r="AA443" s="72"/>
      <c r="AD443" s="57"/>
      <c r="AE443" s="208">
        <f>ROUND((ROUND((_15_同援日２．０*(1+_15・A深夜)),0)*(1+_15・盲ろう)),0)+ROUND((ROUND((_15_同援日２．０＿０．５*(1+_15・B早朝)),0)*(1+_15・盲ろう)),0)+ROUND((_15_同援日２．０＿０．５＿０．５*(1+_15・盲ろう)),0)</f>
        <v>1116</v>
      </c>
      <c r="AF443" s="48"/>
    </row>
    <row r="444" spans="1:32" ht="16.5" customHeight="1" x14ac:dyDescent="0.15">
      <c r="A444" s="41">
        <v>15</v>
      </c>
      <c r="B444" s="41" t="s">
        <v>21994</v>
      </c>
      <c r="C444" s="74" t="s">
        <v>21995</v>
      </c>
      <c r="D444" s="72"/>
      <c r="F444" s="57"/>
      <c r="G444" s="72"/>
      <c r="I444" s="57"/>
      <c r="J444" s="72"/>
      <c r="L444" s="57"/>
      <c r="M444" s="269"/>
      <c r="N444" s="37"/>
      <c r="O444" s="38"/>
      <c r="P444" s="299" t="s">
        <v>17556</v>
      </c>
      <c r="Q444" s="45" t="s">
        <v>398</v>
      </c>
      <c r="R444" s="46">
        <v>1</v>
      </c>
      <c r="S444" s="512"/>
      <c r="T444" s="57"/>
      <c r="U444" s="512"/>
      <c r="V444" s="57"/>
      <c r="W444" s="92" t="s">
        <v>17564</v>
      </c>
      <c r="Z444" s="57"/>
      <c r="AA444" s="72"/>
      <c r="AD444" s="57"/>
      <c r="AE444" s="208">
        <f>ROUND((ROUND((ROUND((_15_同援日２．０*_15・２人),0)*(1+_15・A深夜)),0)*(1+_15・盲ろう)),0)+ROUND((ROUND((ROUND((_15_同援日２．０＿０．５*_15・２人),0)*(1+_15・B早朝)),0)*(1+_15・盲ろう)),0)+ROUND((ROUND((_15_同援日２．０＿０．５＿０．５*_15・２人),0)*(1+_15・盲ろう)),0)</f>
        <v>1116</v>
      </c>
      <c r="AF444" s="48"/>
    </row>
    <row r="445" spans="1:32" ht="16.5" customHeight="1" x14ac:dyDescent="0.15">
      <c r="A445" s="41">
        <v>15</v>
      </c>
      <c r="B445" s="41" t="s">
        <v>1192</v>
      </c>
      <c r="C445" s="74" t="s">
        <v>21996</v>
      </c>
      <c r="D445" s="72"/>
      <c r="F445" s="57"/>
      <c r="G445" s="72"/>
      <c r="I445" s="57"/>
      <c r="J445" s="72"/>
      <c r="L445" s="57"/>
      <c r="M445" s="114" t="s">
        <v>17558</v>
      </c>
      <c r="N445" s="49"/>
      <c r="O445" s="50"/>
      <c r="P445" s="299"/>
      <c r="Q445" s="45"/>
      <c r="R445" s="46"/>
      <c r="S445" s="512"/>
      <c r="T445" s="57"/>
      <c r="U445" s="512"/>
      <c r="V445" s="57"/>
      <c r="W445" s="92"/>
      <c r="X445" s="12" t="s">
        <v>398</v>
      </c>
      <c r="Y445" s="13">
        <v>0.25</v>
      </c>
      <c r="Z445" s="57" t="s">
        <v>3575</v>
      </c>
      <c r="AA445" s="72"/>
      <c r="AD445" s="57"/>
      <c r="AE445" s="208">
        <f>ROUND((ROUND((ROUND((_15_同援日２．０*_15・基礎２),0)*(1+_15・A深夜)),0)*(1+_15・盲ろう)),0)+ROUND((ROUND((ROUND((_15_同援日２．０＿０．５*_15・基礎２),0)*(1+_15・B早朝)),0)*(1+_15・盲ろう)),0)+ROUND((ROUND((_15_同援日２．０＿０．５＿０．５*_15・基礎２),0)*(1+_15・盲ろう)),0)</f>
        <v>1007</v>
      </c>
      <c r="AF445" s="48"/>
    </row>
    <row r="446" spans="1:32" ht="16.5" customHeight="1" x14ac:dyDescent="0.15">
      <c r="A446" s="41">
        <v>15</v>
      </c>
      <c r="B446" s="41" t="s">
        <v>1194</v>
      </c>
      <c r="C446" s="74" t="s">
        <v>21997</v>
      </c>
      <c r="D446" s="72"/>
      <c r="F446" s="57"/>
      <c r="G446" s="72"/>
      <c r="I446" s="57"/>
      <c r="J446" s="72"/>
      <c r="L446" s="57"/>
      <c r="M446" s="269" t="s">
        <v>17560</v>
      </c>
      <c r="N446" s="37" t="s">
        <v>398</v>
      </c>
      <c r="O446" s="38">
        <v>0.9</v>
      </c>
      <c r="P446" s="299" t="s">
        <v>17556</v>
      </c>
      <c r="Q446" s="45" t="s">
        <v>398</v>
      </c>
      <c r="R446" s="46">
        <v>1</v>
      </c>
      <c r="S446" s="512"/>
      <c r="T446" s="57"/>
      <c r="U446" s="512"/>
      <c r="V446" s="57"/>
      <c r="W446" s="269"/>
      <c r="X446" s="37"/>
      <c r="Y446" s="38"/>
      <c r="Z446" s="79"/>
      <c r="AA446" s="269"/>
      <c r="AB446" s="37"/>
      <c r="AC446" s="38"/>
      <c r="AD446" s="79"/>
      <c r="AE446" s="208">
        <f>ROUND((ROUND((ROUND((ROUND((_15_同援日２．０*_15・基礎２),0)*_15・２人),0)*(1+_15・A深夜)),0)*(1+_15・盲ろう)),0)+ROUND((ROUND((ROUND((ROUND((_15_同援日２．０＿０．５*_15・基礎２),0)*_15・２人),0)*(1+_15・B早朝)),0)*(1+_15・盲ろう)),0)+ROUND((ROUND((ROUND((_15_同援日２．０＿０．５＿０．５*_15・基礎２),0)*_15・２人),0)*(1+_15・盲ろう)),0)</f>
        <v>1007</v>
      </c>
      <c r="AF446" s="48"/>
    </row>
    <row r="447" spans="1:32" ht="16.5" customHeight="1" x14ac:dyDescent="0.15">
      <c r="A447" s="41">
        <v>15</v>
      </c>
      <c r="B447" s="41" t="s">
        <v>1196</v>
      </c>
      <c r="C447" s="74" t="s">
        <v>21998</v>
      </c>
      <c r="D447" s="72"/>
      <c r="F447" s="57"/>
      <c r="G447" s="72"/>
      <c r="I447" s="57"/>
      <c r="J447" s="72"/>
      <c r="L447" s="57"/>
      <c r="M447" s="114"/>
      <c r="N447" s="49"/>
      <c r="O447" s="50"/>
      <c r="P447" s="299"/>
      <c r="Q447" s="45"/>
      <c r="R447" s="46"/>
      <c r="S447" s="512"/>
      <c r="T447" s="57"/>
      <c r="U447" s="512"/>
      <c r="V447" s="57"/>
      <c r="W447" s="114"/>
      <c r="X447" s="49"/>
      <c r="Y447" s="50"/>
      <c r="Z447" s="115"/>
      <c r="AA447" s="116"/>
      <c r="AB447" s="49"/>
      <c r="AC447" s="50"/>
      <c r="AD447" s="115"/>
      <c r="AE447" s="208">
        <f>ROUND((ROUND((_15_同援日２．０*(1+_15・A深夜)),0)*(1+_15・区３)),0)+ROUND((ROUND((_15_同援日２．０＿０．５*(1+_15・B早朝)),0)*(1+_15・区３)),0)+ROUND((_15_同援日２．０＿０．５＿０．５*(1+_15・区３)),0)</f>
        <v>1071</v>
      </c>
      <c r="AF447" s="48"/>
    </row>
    <row r="448" spans="1:32" ht="16.5" customHeight="1" x14ac:dyDescent="0.15">
      <c r="A448" s="41">
        <v>15</v>
      </c>
      <c r="B448" s="41" t="s">
        <v>1198</v>
      </c>
      <c r="C448" s="74" t="s">
        <v>21999</v>
      </c>
      <c r="D448" s="72"/>
      <c r="F448" s="57"/>
      <c r="G448" s="72"/>
      <c r="I448" s="57"/>
      <c r="J448" s="72"/>
      <c r="L448" s="57"/>
      <c r="M448" s="269"/>
      <c r="N448" s="37"/>
      <c r="O448" s="38"/>
      <c r="P448" s="299" t="s">
        <v>17556</v>
      </c>
      <c r="Q448" s="45" t="s">
        <v>398</v>
      </c>
      <c r="R448" s="46">
        <v>1</v>
      </c>
      <c r="S448" s="512"/>
      <c r="T448" s="57"/>
      <c r="U448" s="512"/>
      <c r="V448" s="57"/>
      <c r="W448" s="92"/>
      <c r="Z448" s="57"/>
      <c r="AA448" s="72"/>
      <c r="AD448" s="57"/>
      <c r="AE448" s="208">
        <f>ROUND((ROUND((ROUND((_15_同援日２．０*_15・２人),0)*(1+_15・A深夜)),0)*(1+_15・区３)),0)+ROUND((ROUND((ROUND((_15_同援日２．０＿０．５*_15・２人),0)*(1+_15・B早朝)),0)*(1+_15・区３)),0)+ROUND((ROUND((_15_同援日２．０＿０．５＿０．５*_15・２人),0)*(1+_15・区３)),0)</f>
        <v>1071</v>
      </c>
      <c r="AF448" s="48"/>
    </row>
    <row r="449" spans="1:32" ht="16.5" customHeight="1" x14ac:dyDescent="0.15">
      <c r="A449" s="41">
        <v>15</v>
      </c>
      <c r="B449" s="41" t="s">
        <v>22000</v>
      </c>
      <c r="C449" s="74" t="s">
        <v>22001</v>
      </c>
      <c r="D449" s="72"/>
      <c r="F449" s="57"/>
      <c r="G449" s="72"/>
      <c r="I449" s="57"/>
      <c r="J449" s="72"/>
      <c r="L449" s="57"/>
      <c r="M449" s="114" t="s">
        <v>17558</v>
      </c>
      <c r="N449" s="49"/>
      <c r="O449" s="50"/>
      <c r="P449" s="299"/>
      <c r="Q449" s="45"/>
      <c r="R449" s="46"/>
      <c r="S449" s="512"/>
      <c r="T449" s="57"/>
      <c r="U449" s="512"/>
      <c r="V449" s="57"/>
      <c r="W449" s="92"/>
      <c r="Z449" s="57"/>
      <c r="AA449" s="72" t="s">
        <v>17570</v>
      </c>
      <c r="AD449" s="57"/>
      <c r="AE449" s="208">
        <f>ROUND((ROUND((ROUND((_15_同援日２．０*_15・基礎２),0)*(1+_15・A深夜)),0)*(1+_15・区３)),0)+ROUND((ROUND((ROUND((_15_同援日２．０＿０．５*_15・基礎２),0)*(1+_15・B早朝)),0)*(1+_15・区３)),0)+ROUND((ROUND((_15_同援日２．０＿０．５＿０．５*_15・基礎２),0)*(1+_15・区３)),0)</f>
        <v>966</v>
      </c>
      <c r="AF449" s="48"/>
    </row>
    <row r="450" spans="1:32" ht="16.5" customHeight="1" x14ac:dyDescent="0.15">
      <c r="A450" s="41">
        <v>15</v>
      </c>
      <c r="B450" s="41" t="s">
        <v>22002</v>
      </c>
      <c r="C450" s="74" t="s">
        <v>22003</v>
      </c>
      <c r="D450" s="72"/>
      <c r="F450" s="57"/>
      <c r="G450" s="72"/>
      <c r="I450" s="57"/>
      <c r="J450" s="72"/>
      <c r="L450" s="57"/>
      <c r="M450" s="269" t="s">
        <v>17560</v>
      </c>
      <c r="N450" s="37" t="s">
        <v>398</v>
      </c>
      <c r="O450" s="38">
        <v>0.9</v>
      </c>
      <c r="P450" s="299" t="s">
        <v>17556</v>
      </c>
      <c r="Q450" s="45" t="s">
        <v>398</v>
      </c>
      <c r="R450" s="46">
        <v>1</v>
      </c>
      <c r="S450" s="512"/>
      <c r="T450" s="57"/>
      <c r="U450" s="512"/>
      <c r="V450" s="57"/>
      <c r="W450" s="269"/>
      <c r="X450" s="37"/>
      <c r="Y450" s="38"/>
      <c r="Z450" s="79"/>
      <c r="AA450" s="72" t="s">
        <v>17572</v>
      </c>
      <c r="AD450" s="57"/>
      <c r="AE450" s="208">
        <f>ROUND((ROUND((ROUND((ROUND((_15_同援日２．０*_15・基礎２),0)*_15・２人),0)*(1+_15・A深夜)),0)*(1+_15・区３)),0)+ROUND((ROUND((ROUND((ROUND((_15_同援日２．０＿０．５*_15・基礎２),0)*_15・２人),0)*(1+_15・B早朝)),0)*(1+_15・区３)),0)+ROUND((ROUND((ROUND((_15_同援日２．０＿０．５＿０．５*_15・基礎２),0)*_15・２人),0)*(1+_15・区３)),0)</f>
        <v>966</v>
      </c>
      <c r="AF450" s="48"/>
    </row>
    <row r="451" spans="1:32" ht="16.5" customHeight="1" x14ac:dyDescent="0.15">
      <c r="A451" s="41">
        <v>15</v>
      </c>
      <c r="B451" s="41" t="s">
        <v>22004</v>
      </c>
      <c r="C451" s="74" t="s">
        <v>22005</v>
      </c>
      <c r="D451" s="72"/>
      <c r="F451" s="57"/>
      <c r="G451" s="72"/>
      <c r="I451" s="57"/>
      <c r="J451" s="72"/>
      <c r="L451" s="57"/>
      <c r="M451" s="114"/>
      <c r="N451" s="49"/>
      <c r="O451" s="50"/>
      <c r="P451" s="299"/>
      <c r="Q451" s="45"/>
      <c r="R451" s="46"/>
      <c r="S451" s="512"/>
      <c r="T451" s="57"/>
      <c r="U451" s="512"/>
      <c r="V451" s="57"/>
      <c r="W451" s="114" t="s">
        <v>17562</v>
      </c>
      <c r="X451" s="49"/>
      <c r="Y451" s="50"/>
      <c r="Z451" s="115"/>
      <c r="AA451" s="72"/>
      <c r="AB451" s="12" t="s">
        <v>398</v>
      </c>
      <c r="AC451" s="13">
        <v>0.2</v>
      </c>
      <c r="AD451" s="57" t="s">
        <v>3575</v>
      </c>
      <c r="AE451" s="208">
        <f>ROUND((ROUND((ROUND((_15_同援日２．０*(1+_15・A深夜)),0)*(1+_15・盲ろう)),0)*(1+_15・区３)),0)+ROUND((ROUND((ROUND((_15_同援日２．０＿０．５*(1+_15・B早朝)),0)*(1+_15・盲ろう)),0)*(1+_15・区３)),0)+ROUND((ROUND((_15_同援日２．０＿０．５＿０．５*(1+_15・盲ろう)),0)*(1+_15・区３)),0)</f>
        <v>1339</v>
      </c>
      <c r="AF451" s="48"/>
    </row>
    <row r="452" spans="1:32" ht="16.5" customHeight="1" x14ac:dyDescent="0.15">
      <c r="A452" s="41">
        <v>15</v>
      </c>
      <c r="B452" s="41" t="s">
        <v>22006</v>
      </c>
      <c r="C452" s="74" t="s">
        <v>22007</v>
      </c>
      <c r="D452" s="72"/>
      <c r="F452" s="57"/>
      <c r="G452" s="72"/>
      <c r="I452" s="57"/>
      <c r="J452" s="72"/>
      <c r="L452" s="57"/>
      <c r="M452" s="269"/>
      <c r="N452" s="37"/>
      <c r="O452" s="38"/>
      <c r="P452" s="299" t="s">
        <v>17556</v>
      </c>
      <c r="Q452" s="45" t="s">
        <v>398</v>
      </c>
      <c r="R452" s="46">
        <v>1</v>
      </c>
      <c r="S452" s="512"/>
      <c r="T452" s="57"/>
      <c r="U452" s="512"/>
      <c r="V452" s="57"/>
      <c r="W452" s="92" t="s">
        <v>17564</v>
      </c>
      <c r="Z452" s="57"/>
      <c r="AA452" s="72"/>
      <c r="AD452" s="57"/>
      <c r="AE452" s="208">
        <f>ROUND((ROUND((ROUND((ROUND((_15_同援日２．０*_15・２人),0)*(1+_15・A深夜)),0)*(1+_15・盲ろう)),0)*(1+_15・区３)),0)+ROUND((ROUND((ROUND((ROUND((_15_同援日２．０＿０．５*_15・２人),0)*(1+_15・B早朝)),0)*(1+_15・盲ろう)),0)*(1+_15・区３)),0)+ROUND((ROUND((ROUND((_15_同援日２．０＿０．５＿０．５*_15・２人),0)*(1+_15・盲ろう)),0)*(1+_15・区３)),0)</f>
        <v>1339</v>
      </c>
      <c r="AF452" s="48"/>
    </row>
    <row r="453" spans="1:32" ht="16.5" customHeight="1" x14ac:dyDescent="0.15">
      <c r="A453" s="41">
        <v>15</v>
      </c>
      <c r="B453" s="41" t="s">
        <v>22008</v>
      </c>
      <c r="C453" s="74" t="s">
        <v>22009</v>
      </c>
      <c r="D453" s="72"/>
      <c r="F453" s="57"/>
      <c r="G453" s="72"/>
      <c r="I453" s="57"/>
      <c r="J453" s="72"/>
      <c r="L453" s="57"/>
      <c r="M453" s="114" t="s">
        <v>17558</v>
      </c>
      <c r="N453" s="49"/>
      <c r="O453" s="50"/>
      <c r="P453" s="299"/>
      <c r="Q453" s="45"/>
      <c r="R453" s="46"/>
      <c r="S453" s="512"/>
      <c r="T453" s="57"/>
      <c r="U453" s="512"/>
      <c r="V453" s="57"/>
      <c r="W453" s="92"/>
      <c r="X453" s="12" t="s">
        <v>398</v>
      </c>
      <c r="Y453" s="13">
        <v>0.25</v>
      </c>
      <c r="Z453" s="57" t="s">
        <v>3575</v>
      </c>
      <c r="AA453" s="72"/>
      <c r="AD453" s="57"/>
      <c r="AE453" s="208">
        <f>ROUND((ROUND((ROUND((ROUND((_15_同援日２．０*_15・基礎２),0)*(1+_15・A深夜)),0)*(1+_15・盲ろう)),0)*(1+_15・区３)),0)+ROUND((ROUND((ROUND((ROUND((_15_同援日２．０＿０．５*_15・基礎２),0)*(1+_15・B早朝)),0)*(1+_15・盲ろう)),0)*(1+_15・区３)),0)+ROUND((ROUND((ROUND((_15_同援日２．０＿０．５＿０．５*_15・基礎２),0)*(1+_15・盲ろう)),0)*(1+_15・区３)),0)</f>
        <v>1209</v>
      </c>
      <c r="AF453" s="48"/>
    </row>
    <row r="454" spans="1:32" ht="16.5" customHeight="1" x14ac:dyDescent="0.15">
      <c r="A454" s="41">
        <v>15</v>
      </c>
      <c r="B454" s="41" t="s">
        <v>22010</v>
      </c>
      <c r="C454" s="74" t="s">
        <v>22011</v>
      </c>
      <c r="D454" s="72"/>
      <c r="F454" s="57"/>
      <c r="G454" s="72"/>
      <c r="I454" s="57"/>
      <c r="J454" s="72"/>
      <c r="L454" s="57"/>
      <c r="M454" s="269" t="s">
        <v>17560</v>
      </c>
      <c r="N454" s="37" t="s">
        <v>398</v>
      </c>
      <c r="O454" s="38">
        <v>0.9</v>
      </c>
      <c r="P454" s="299" t="s">
        <v>17556</v>
      </c>
      <c r="Q454" s="45" t="s">
        <v>398</v>
      </c>
      <c r="R454" s="46">
        <v>1</v>
      </c>
      <c r="S454" s="512"/>
      <c r="T454" s="57"/>
      <c r="U454" s="512"/>
      <c r="V454" s="57"/>
      <c r="W454" s="269"/>
      <c r="X454" s="37"/>
      <c r="Y454" s="38"/>
      <c r="Z454" s="79"/>
      <c r="AA454" s="269"/>
      <c r="AB454" s="37"/>
      <c r="AC454" s="38"/>
      <c r="AD454" s="79"/>
      <c r="AE454" s="208">
        <f>ROUND((ROUND((ROUND((ROUND((ROUND((_15_同援日２．０*_15・基礎２),0)*_15・２人),0)*(1+_15・A深夜)),0)*(1+_15・盲ろう)),0)*(1+_15・区３)),0)+ROUND((ROUND((ROUND((ROUND((ROUND((_15_同援日２．０＿０．５*_15・基礎２),0)*_15・２人),0)*(1+_15・B早朝)),0)*(1+_15・盲ろう)),0)*(1+_15・区３)),0)+ROUND((ROUND((ROUND((ROUND((_15_同援日２．０＿０．５＿０．５*_15・基礎２),0)*_15・２人),0)*(1+_15・盲ろう)),0)*(1+_15・区３)),0)</f>
        <v>1209</v>
      </c>
      <c r="AF454" s="48"/>
    </row>
    <row r="455" spans="1:32" ht="16.5" customHeight="1" x14ac:dyDescent="0.15">
      <c r="A455" s="41">
        <v>15</v>
      </c>
      <c r="B455" s="41" t="s">
        <v>22012</v>
      </c>
      <c r="C455" s="74" t="s">
        <v>22013</v>
      </c>
      <c r="D455" s="72"/>
      <c r="F455" s="57"/>
      <c r="G455" s="72"/>
      <c r="I455" s="57"/>
      <c r="J455" s="72"/>
      <c r="L455" s="57"/>
      <c r="M455" s="114"/>
      <c r="N455" s="49"/>
      <c r="O455" s="50"/>
      <c r="P455" s="299"/>
      <c r="Q455" s="45"/>
      <c r="R455" s="46"/>
      <c r="S455" s="512"/>
      <c r="T455" s="57"/>
      <c r="U455" s="512"/>
      <c r="V455" s="57"/>
      <c r="W455" s="114"/>
      <c r="X455" s="49"/>
      <c r="Y455" s="50"/>
      <c r="Z455" s="115"/>
      <c r="AA455" s="116"/>
      <c r="AB455" s="49"/>
      <c r="AC455" s="50"/>
      <c r="AD455" s="115"/>
      <c r="AE455" s="208">
        <f>ROUND((ROUND((_15_同援日２．０*(1+_15・A深夜)),0)*(1+_15・区４)),0)+ROUND((ROUND((_15_同援日２．０＿０．５*(1+_15・B早朝)),0)*(1+_15・区４)),0)+ROUND((_15_同援日２．０＿０．５＿０．５*(1+_15・区４)),0)</f>
        <v>1250</v>
      </c>
      <c r="AF455" s="48"/>
    </row>
    <row r="456" spans="1:32" ht="16.5" customHeight="1" x14ac:dyDescent="0.15">
      <c r="A456" s="41">
        <v>15</v>
      </c>
      <c r="B456" s="41" t="s">
        <v>22014</v>
      </c>
      <c r="C456" s="74" t="s">
        <v>22015</v>
      </c>
      <c r="D456" s="72"/>
      <c r="F456" s="57"/>
      <c r="G456" s="72"/>
      <c r="I456" s="57"/>
      <c r="J456" s="72"/>
      <c r="L456" s="57"/>
      <c r="M456" s="269"/>
      <c r="N456" s="37"/>
      <c r="O456" s="38"/>
      <c r="P456" s="299" t="s">
        <v>17556</v>
      </c>
      <c r="Q456" s="45" t="s">
        <v>398</v>
      </c>
      <c r="R456" s="46">
        <v>1</v>
      </c>
      <c r="S456" s="512"/>
      <c r="T456" s="57"/>
      <c r="U456" s="512"/>
      <c r="V456" s="57"/>
      <c r="W456" s="92"/>
      <c r="Z456" s="57"/>
      <c r="AA456" s="72"/>
      <c r="AD456" s="57"/>
      <c r="AE456" s="208">
        <f>ROUND((ROUND((ROUND((_15_同援日２．０*_15・２人),0)*(1+_15・A深夜)),0)*(1+_15・区４)),0)+ROUND((ROUND((ROUND((_15_同援日２．０＿０．５*_15・２人),0)*(1+_15・B早朝)),0)*(1+_15・区４)),0)+ROUND((ROUND((_15_同援日２．０＿０．５＿０．５*_15・２人),0)*(1+_15・区４)),0)</f>
        <v>1250</v>
      </c>
      <c r="AF456" s="48"/>
    </row>
    <row r="457" spans="1:32" ht="16.5" customHeight="1" x14ac:dyDescent="0.15">
      <c r="A457" s="41">
        <v>15</v>
      </c>
      <c r="B457" s="41" t="s">
        <v>22016</v>
      </c>
      <c r="C457" s="74" t="s">
        <v>22017</v>
      </c>
      <c r="D457" s="72"/>
      <c r="F457" s="57"/>
      <c r="G457" s="72"/>
      <c r="I457" s="57"/>
      <c r="J457" s="72"/>
      <c r="L457" s="57"/>
      <c r="M457" s="114" t="s">
        <v>17558</v>
      </c>
      <c r="N457" s="49"/>
      <c r="O457" s="50"/>
      <c r="P457" s="299"/>
      <c r="Q457" s="45"/>
      <c r="R457" s="46"/>
      <c r="S457" s="512"/>
      <c r="T457" s="57"/>
      <c r="U457" s="512"/>
      <c r="V457" s="57"/>
      <c r="W457" s="92"/>
      <c r="Z457" s="57"/>
      <c r="AA457" s="72" t="s">
        <v>17580</v>
      </c>
      <c r="AD457" s="57"/>
      <c r="AE457" s="208">
        <f>ROUND((ROUND((ROUND((_15_同援日２．０*_15・基礎２),0)*(1+_15・A深夜)),0)*(1+_15・区４)),0)+ROUND((ROUND((ROUND((_15_同援日２．０＿０．５*_15・基礎２),0)*(1+_15・B早朝)),0)*(1+_15・区４)),0)+ROUND((ROUND((_15_同援日２．０＿０．５＿０．５*_15・基礎２),0)*(1+_15・区４)),0)</f>
        <v>1128</v>
      </c>
      <c r="AF457" s="48"/>
    </row>
    <row r="458" spans="1:32" ht="16.5" customHeight="1" x14ac:dyDescent="0.15">
      <c r="A458" s="41">
        <v>15</v>
      </c>
      <c r="B458" s="41" t="s">
        <v>22018</v>
      </c>
      <c r="C458" s="74" t="s">
        <v>22019</v>
      </c>
      <c r="D458" s="72"/>
      <c r="F458" s="57"/>
      <c r="G458" s="72"/>
      <c r="I458" s="57"/>
      <c r="J458" s="72"/>
      <c r="L458" s="57"/>
      <c r="M458" s="269" t="s">
        <v>17560</v>
      </c>
      <c r="N458" s="37" t="s">
        <v>398</v>
      </c>
      <c r="O458" s="38">
        <v>0.9</v>
      </c>
      <c r="P458" s="299" t="s">
        <v>17556</v>
      </c>
      <c r="Q458" s="45" t="s">
        <v>398</v>
      </c>
      <c r="R458" s="46">
        <v>1</v>
      </c>
      <c r="S458" s="512"/>
      <c r="T458" s="57"/>
      <c r="U458" s="512"/>
      <c r="V458" s="57"/>
      <c r="W458" s="269"/>
      <c r="X458" s="37"/>
      <c r="Y458" s="38"/>
      <c r="Z458" s="79"/>
      <c r="AA458" s="72" t="s">
        <v>17572</v>
      </c>
      <c r="AD458" s="57"/>
      <c r="AE458" s="208">
        <f>ROUND((ROUND((ROUND((ROUND((_15_同援日２．０*_15・基礎２),0)*_15・２人),0)*(1+_15・A深夜)),0)*(1+_15・区４)),0)+ROUND((ROUND((ROUND((ROUND((_15_同援日２．０＿０．５*_15・基礎２),0)*_15・２人),0)*(1+_15・B早朝)),0)*(1+_15・区４)),0)+ROUND((ROUND((ROUND((_15_同援日２．０＿０．５＿０．５*_15・基礎２),0)*_15・２人),0)*(1+_15・区４)),0)</f>
        <v>1128</v>
      </c>
      <c r="AF458" s="48"/>
    </row>
    <row r="459" spans="1:32" ht="16.5" customHeight="1" x14ac:dyDescent="0.15">
      <c r="A459" s="41">
        <v>15</v>
      </c>
      <c r="B459" s="41" t="s">
        <v>22020</v>
      </c>
      <c r="C459" s="74" t="s">
        <v>22021</v>
      </c>
      <c r="D459" s="72"/>
      <c r="F459" s="57"/>
      <c r="G459" s="72"/>
      <c r="I459" s="57"/>
      <c r="J459" s="72"/>
      <c r="L459" s="57"/>
      <c r="M459" s="114"/>
      <c r="N459" s="49"/>
      <c r="O459" s="50"/>
      <c r="P459" s="299"/>
      <c r="Q459" s="45"/>
      <c r="R459" s="46"/>
      <c r="S459" s="512"/>
      <c r="T459" s="57"/>
      <c r="U459" s="512"/>
      <c r="V459" s="57"/>
      <c r="W459" s="114" t="s">
        <v>17562</v>
      </c>
      <c r="X459" s="49"/>
      <c r="Y459" s="50"/>
      <c r="Z459" s="115"/>
      <c r="AA459" s="72"/>
      <c r="AB459" s="12" t="s">
        <v>398</v>
      </c>
      <c r="AC459" s="13">
        <v>0.4</v>
      </c>
      <c r="AD459" s="57" t="s">
        <v>3575</v>
      </c>
      <c r="AE459" s="208">
        <f>ROUND((ROUND((ROUND((_15_同援日２．０*(1+_15・A深夜)),0)*(1+_15・盲ろう)),0)*(1+_15・区４)),0)+ROUND((ROUND((ROUND((_15_同援日２．０＿０．５*(1+_15・B早朝)),0)*(1+_15・盲ろう)),0)*(1+_15・区４)),0)+ROUND((ROUND((_15_同援日２．０＿０．５＿０．５*(1+_15・盲ろう)),0)*(1+_15・区４)),0)</f>
        <v>1562</v>
      </c>
      <c r="AF459" s="48"/>
    </row>
    <row r="460" spans="1:32" ht="16.5" customHeight="1" x14ac:dyDescent="0.15">
      <c r="A460" s="41">
        <v>15</v>
      </c>
      <c r="B460" s="41" t="s">
        <v>22022</v>
      </c>
      <c r="C460" s="74" t="s">
        <v>22023</v>
      </c>
      <c r="D460" s="72"/>
      <c r="F460" s="57"/>
      <c r="G460" s="72"/>
      <c r="I460" s="57"/>
      <c r="J460" s="72"/>
      <c r="L460" s="57"/>
      <c r="M460" s="269"/>
      <c r="N460" s="37"/>
      <c r="O460" s="38"/>
      <c r="P460" s="299" t="s">
        <v>17556</v>
      </c>
      <c r="Q460" s="45" t="s">
        <v>398</v>
      </c>
      <c r="R460" s="46">
        <v>1</v>
      </c>
      <c r="S460" s="512"/>
      <c r="T460" s="57"/>
      <c r="U460" s="512"/>
      <c r="V460" s="57"/>
      <c r="W460" s="92" t="s">
        <v>17564</v>
      </c>
      <c r="Z460" s="57"/>
      <c r="AA460" s="72"/>
      <c r="AD460" s="57"/>
      <c r="AE460" s="208">
        <f>ROUND((ROUND((ROUND((ROUND((_15_同援日２．０*_15・２人),0)*(1+_15・A深夜)),0)*(1+_15・盲ろう)),0)*(1+_15・区４)),0)+ROUND((ROUND((ROUND((ROUND((_15_同援日２．０＿０．５*_15・２人),0)*(1+_15・B早朝)),0)*(1+_15・盲ろう)),0)*(1+_15・区４)),0)+ROUND((ROUND((ROUND((_15_同援日２．０＿０．５＿０．５*_15・２人),0)*(1+_15・盲ろう)),0)*(1+_15・区４)),0)</f>
        <v>1562</v>
      </c>
      <c r="AF460" s="48"/>
    </row>
    <row r="461" spans="1:32" ht="16.5" customHeight="1" x14ac:dyDescent="0.15">
      <c r="A461" s="41">
        <v>15</v>
      </c>
      <c r="B461" s="41" t="s">
        <v>22024</v>
      </c>
      <c r="C461" s="74" t="s">
        <v>22025</v>
      </c>
      <c r="D461" s="72"/>
      <c r="F461" s="57"/>
      <c r="G461" s="72"/>
      <c r="I461" s="57"/>
      <c r="J461" s="72"/>
      <c r="L461" s="57"/>
      <c r="M461" s="114" t="s">
        <v>17558</v>
      </c>
      <c r="N461" s="49"/>
      <c r="O461" s="50"/>
      <c r="P461" s="299"/>
      <c r="Q461" s="45"/>
      <c r="R461" s="46"/>
      <c r="S461" s="512"/>
      <c r="T461" s="57"/>
      <c r="U461" s="512"/>
      <c r="V461" s="57"/>
      <c r="W461" s="92"/>
      <c r="X461" s="12" t="s">
        <v>398</v>
      </c>
      <c r="Y461" s="13">
        <v>0.25</v>
      </c>
      <c r="Z461" s="57" t="s">
        <v>3575</v>
      </c>
      <c r="AA461" s="72"/>
      <c r="AD461" s="57"/>
      <c r="AE461" s="208">
        <f>ROUND((ROUND((ROUND((ROUND((_15_同援日２．０*_15・基礎２),0)*(1+_15・A深夜)),0)*(1+_15・盲ろう)),0)*(1+_15・区４)),0)+ROUND((ROUND((ROUND((ROUND((_15_同援日２．０＿０．５*_15・基礎２),0)*(1+_15・B早朝)),0)*(1+_15・盲ろう)),0)*(1+_15・区４)),0)+ROUND((ROUND((ROUND((_15_同援日２．０＿０．５＿０．５*_15・基礎２),0)*(1+_15・盲ろう)),0)*(1+_15・区４)),0)</f>
        <v>1410</v>
      </c>
      <c r="AF461" s="48"/>
    </row>
    <row r="462" spans="1:32" ht="16.5" customHeight="1" x14ac:dyDescent="0.15">
      <c r="A462" s="41">
        <v>15</v>
      </c>
      <c r="B462" s="41" t="s">
        <v>22026</v>
      </c>
      <c r="C462" s="74" t="s">
        <v>22027</v>
      </c>
      <c r="D462" s="122"/>
      <c r="E462" s="37"/>
      <c r="F462" s="79"/>
      <c r="G462" s="122"/>
      <c r="H462" s="37"/>
      <c r="I462" s="79"/>
      <c r="J462" s="122"/>
      <c r="K462" s="37"/>
      <c r="L462" s="79"/>
      <c r="M462" s="269" t="s">
        <v>17560</v>
      </c>
      <c r="N462" s="37" t="s">
        <v>398</v>
      </c>
      <c r="O462" s="38">
        <v>0.9</v>
      </c>
      <c r="P462" s="299" t="s">
        <v>17556</v>
      </c>
      <c r="Q462" s="45" t="s">
        <v>398</v>
      </c>
      <c r="R462" s="46">
        <v>1</v>
      </c>
      <c r="S462" s="514"/>
      <c r="T462" s="79"/>
      <c r="U462" s="514"/>
      <c r="V462" s="79"/>
      <c r="W462" s="269"/>
      <c r="X462" s="37"/>
      <c r="Y462" s="38"/>
      <c r="Z462" s="79"/>
      <c r="AA462" s="269"/>
      <c r="AB462" s="37"/>
      <c r="AC462" s="38"/>
      <c r="AD462" s="79"/>
      <c r="AE462" s="208">
        <f>ROUND((ROUND((ROUND((ROUND((ROUND((_15_同援日２．０*_15・基礎２),0)*_15・２人),0)*(1+_15・A深夜)),0)*(1+_15・盲ろう)),0)*(1+_15・区４)),0)+ROUND((ROUND((ROUND((ROUND((ROUND((_15_同援日２．０＿０．５*_15・基礎２),0)*_15・２人),0)*(1+_15・B早朝)),0)*(1+_15・盲ろう)),0)*(1+_15・区４)),0)+ROUND((ROUND((ROUND((ROUND((_15_同援日２．０＿０．５＿０．５*_15・基礎２),0)*_15・２人),0)*(1+_15・盲ろう)),0)*(1+_15・区４)),0)</f>
        <v>1410</v>
      </c>
      <c r="AF462" s="63"/>
    </row>
    <row r="463" spans="1:32" ht="16.5" customHeight="1" x14ac:dyDescent="0.15"/>
    <row r="464" spans="1:32"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41" fitToHeight="0" orientation="portrait" r:id="rId1"/>
  <headerFooter>
    <oddHeader>&amp;R&amp;"ＭＳ Ｐゴシック"&amp;9同行援護</oddHeader>
    <oddFooter>&amp;C&amp;"ＭＳ Ｐゴシック"&amp;14&amp;P</oddFooter>
  </headerFooter>
  <rowBreaks count="4" manualBreakCount="4">
    <brk id="102" max="31" man="1"/>
    <brk id="222" max="16383" man="1"/>
    <brk id="294" max="31" man="1"/>
    <brk id="366" max="31" man="1"/>
  </rowBreaks>
  <colBreaks count="1" manualBreakCount="1">
    <brk id="2" max="462" man="1"/>
  </col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20">
    <pageSetUpPr fitToPage="1"/>
  </sheetPr>
  <dimension ref="A1:AA368"/>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4.5" style="10" customWidth="1"/>
    <col min="5" max="5" width="4.125" style="12" bestFit="1" customWidth="1"/>
    <col min="6" max="6" width="4.875" style="12" bestFit="1" customWidth="1"/>
    <col min="7" max="7" width="4.5" style="10" customWidth="1"/>
    <col min="8" max="8" width="4.125" style="12" bestFit="1" customWidth="1"/>
    <col min="9" max="9" width="4.875" style="12" bestFit="1" customWidth="1"/>
    <col min="10" max="10" width="14.5" style="12" customWidth="1"/>
    <col min="11" max="11" width="3.125" style="12" bestFit="1" customWidth="1"/>
    <col min="12" max="12" width="4.125" style="13" bestFit="1" customWidth="1"/>
    <col min="13" max="13" width="26.5" style="12" customWidth="1"/>
    <col min="14" max="14" width="3.125" style="12" bestFit="1" customWidth="1"/>
    <col min="15" max="15" width="5" style="13" bestFit="1" customWidth="1"/>
    <col min="16" max="16" width="4.125" style="13" bestFit="1" customWidth="1"/>
    <col min="17" max="17" width="4.875" style="12" bestFit="1" customWidth="1"/>
    <col min="18" max="18" width="10.5" style="12" customWidth="1"/>
    <col min="19" max="19" width="3.125" style="12" bestFit="1" customWidth="1"/>
    <col min="20" max="20" width="4.125" style="13" bestFit="1" customWidth="1"/>
    <col min="21" max="21" width="4.875" style="12" bestFit="1" customWidth="1"/>
    <col min="22" max="22" width="8.5" style="12" customWidth="1"/>
    <col min="23" max="23" width="3.125" style="12" bestFit="1" customWidth="1"/>
    <col min="24" max="24" width="4.125" style="13" bestFit="1" customWidth="1"/>
    <col min="25" max="25" width="4.875" style="12" bestFit="1" customWidth="1"/>
    <col min="26" max="26" width="7.125" style="206" customWidth="1"/>
    <col min="27" max="27" width="8.5" style="16" customWidth="1"/>
    <col min="28" max="16384" width="9" style="12"/>
  </cols>
  <sheetData>
    <row r="1" spans="1:27" ht="17.100000000000001" customHeight="1" x14ac:dyDescent="0.15"/>
    <row r="2" spans="1:27" ht="17.100000000000001" customHeight="1" x14ac:dyDescent="0.15"/>
    <row r="3" spans="1:27" ht="17.100000000000001" customHeight="1" x14ac:dyDescent="0.15"/>
    <row r="4" spans="1:27" ht="17.100000000000001" customHeight="1" x14ac:dyDescent="0.15">
      <c r="B4" s="17" t="s">
        <v>22028</v>
      </c>
      <c r="D4" s="71"/>
    </row>
    <row r="5" spans="1:27" ht="16.5" customHeight="1" x14ac:dyDescent="0.15">
      <c r="A5" s="19" t="s">
        <v>384</v>
      </c>
      <c r="B5" s="20"/>
      <c r="C5" s="21" t="s">
        <v>385</v>
      </c>
      <c r="D5" s="23" t="s">
        <v>386</v>
      </c>
      <c r="E5" s="23"/>
      <c r="F5" s="23"/>
      <c r="G5" s="23"/>
      <c r="H5" s="23"/>
      <c r="I5" s="23"/>
      <c r="J5" s="23"/>
      <c r="K5" s="23"/>
      <c r="L5" s="24"/>
      <c r="M5" s="23"/>
      <c r="N5" s="23"/>
      <c r="O5" s="24"/>
      <c r="P5" s="24"/>
      <c r="Q5" s="23"/>
      <c r="R5" s="23"/>
      <c r="S5" s="23"/>
      <c r="T5" s="24"/>
      <c r="U5" s="23"/>
      <c r="V5" s="23"/>
      <c r="W5" s="23"/>
      <c r="X5" s="24"/>
      <c r="Y5" s="23"/>
      <c r="Z5" s="21" t="s">
        <v>387</v>
      </c>
      <c r="AA5" s="21" t="s">
        <v>388</v>
      </c>
    </row>
    <row r="6" spans="1:27" ht="16.5" customHeight="1" x14ac:dyDescent="0.15">
      <c r="A6" s="26" t="s">
        <v>389</v>
      </c>
      <c r="B6" s="26" t="s">
        <v>390</v>
      </c>
      <c r="C6" s="27"/>
      <c r="D6" s="87" t="s">
        <v>1032</v>
      </c>
      <c r="E6" s="187"/>
      <c r="F6" s="20"/>
      <c r="G6" s="29"/>
      <c r="H6" s="29"/>
      <c r="I6" s="29"/>
      <c r="J6" s="29"/>
      <c r="K6" s="29"/>
      <c r="L6" s="30"/>
      <c r="M6" s="29"/>
      <c r="N6" s="29"/>
      <c r="O6" s="30"/>
      <c r="P6" s="30"/>
      <c r="Q6" s="29"/>
      <c r="R6" s="29"/>
      <c r="S6" s="29"/>
      <c r="T6" s="30"/>
      <c r="U6" s="29"/>
      <c r="V6" s="29"/>
      <c r="W6" s="29"/>
      <c r="X6" s="30"/>
      <c r="Y6" s="29"/>
      <c r="Z6" s="32" t="s">
        <v>391</v>
      </c>
      <c r="AA6" s="32" t="s">
        <v>392</v>
      </c>
    </row>
    <row r="7" spans="1:27" ht="16.5" customHeight="1" x14ac:dyDescent="0.15">
      <c r="A7" s="33">
        <v>15</v>
      </c>
      <c r="B7" s="33" t="s">
        <v>22029</v>
      </c>
      <c r="C7" s="34" t="s">
        <v>22030</v>
      </c>
      <c r="D7" s="72" t="s">
        <v>18487</v>
      </c>
      <c r="F7" s="57"/>
      <c r="G7" s="72" t="s">
        <v>19187</v>
      </c>
      <c r="I7" s="57"/>
      <c r="J7" s="35"/>
      <c r="M7" s="43"/>
      <c r="N7" s="37"/>
      <c r="O7" s="38"/>
      <c r="P7" s="512"/>
      <c r="Q7" s="57"/>
      <c r="R7" s="35"/>
      <c r="U7" s="57"/>
      <c r="V7" s="35"/>
      <c r="Y7" s="57"/>
      <c r="Z7" s="207">
        <f>ROUND((_15_同援日０．５*(1+_15・A深夜)),0)+_15_同援日０．５＿０．５</f>
        <v>395</v>
      </c>
      <c r="AA7" s="40" t="s">
        <v>395</v>
      </c>
    </row>
    <row r="8" spans="1:27" ht="16.5" customHeight="1" x14ac:dyDescent="0.15">
      <c r="A8" s="41">
        <v>15</v>
      </c>
      <c r="B8" s="41" t="s">
        <v>22031</v>
      </c>
      <c r="C8" s="74" t="s">
        <v>22032</v>
      </c>
      <c r="D8" s="72" t="s">
        <v>18259</v>
      </c>
      <c r="F8" s="57"/>
      <c r="G8" s="72" t="s">
        <v>18259</v>
      </c>
      <c r="I8" s="57"/>
      <c r="J8" s="43"/>
      <c r="K8" s="37"/>
      <c r="L8" s="38"/>
      <c r="M8" s="299" t="s">
        <v>17556</v>
      </c>
      <c r="N8" s="45" t="s">
        <v>398</v>
      </c>
      <c r="O8" s="46">
        <v>1</v>
      </c>
      <c r="P8" s="512"/>
      <c r="Q8" s="57"/>
      <c r="R8" s="35"/>
      <c r="U8" s="57"/>
      <c r="V8" s="35"/>
      <c r="Y8" s="57"/>
      <c r="Z8" s="208">
        <f>ROUND((ROUND((_15_同援日０．５*_15・２人),0)*(1+_15・A深夜)),0)+ROUND((_15_同援日０．５＿０．５*_15・２人),0)</f>
        <v>395</v>
      </c>
      <c r="AA8" s="48"/>
    </row>
    <row r="9" spans="1:27" ht="16.5" customHeight="1" x14ac:dyDescent="0.15">
      <c r="A9" s="41">
        <v>15</v>
      </c>
      <c r="B9" s="41" t="s">
        <v>1204</v>
      </c>
      <c r="C9" s="74" t="s">
        <v>22033</v>
      </c>
      <c r="D9" s="72"/>
      <c r="F9" s="57"/>
      <c r="G9" s="72"/>
      <c r="I9" s="57"/>
      <c r="J9" s="114" t="s">
        <v>17558</v>
      </c>
      <c r="K9" s="49"/>
      <c r="L9" s="50"/>
      <c r="M9" s="163"/>
      <c r="N9" s="45"/>
      <c r="O9" s="46"/>
      <c r="P9" s="512"/>
      <c r="Q9" s="57"/>
      <c r="R9" s="35"/>
      <c r="U9" s="57"/>
      <c r="V9" s="35"/>
      <c r="Y9" s="57"/>
      <c r="Z9" s="208">
        <f>ROUND((ROUND((_15_同援日０．５*_15・基礎２),0)*(1+_15・A深夜)),0)+ROUND((_15_同援日０．５＿０．５*_15・基礎２),0)</f>
        <v>356</v>
      </c>
      <c r="AA9" s="48"/>
    </row>
    <row r="10" spans="1:27" ht="16.5" customHeight="1" x14ac:dyDescent="0.15">
      <c r="A10" s="41">
        <v>15</v>
      </c>
      <c r="B10" s="41" t="s">
        <v>1206</v>
      </c>
      <c r="C10" s="74" t="s">
        <v>22034</v>
      </c>
      <c r="D10" s="72"/>
      <c r="E10" s="168">
        <f>_15_同援日０．５</f>
        <v>190</v>
      </c>
      <c r="F10" s="57" t="s">
        <v>392</v>
      </c>
      <c r="G10" s="72"/>
      <c r="H10" s="168">
        <f>_15_同援日０．５＿０．５</f>
        <v>110</v>
      </c>
      <c r="I10" s="57" t="s">
        <v>392</v>
      </c>
      <c r="J10" s="269" t="s">
        <v>17560</v>
      </c>
      <c r="K10" s="37" t="s">
        <v>398</v>
      </c>
      <c r="L10" s="38">
        <v>0.9</v>
      </c>
      <c r="M10" s="299" t="s">
        <v>17556</v>
      </c>
      <c r="N10" s="45" t="s">
        <v>398</v>
      </c>
      <c r="O10" s="46">
        <v>1</v>
      </c>
      <c r="P10" s="512"/>
      <c r="Q10" s="57"/>
      <c r="R10" s="43"/>
      <c r="S10" s="37"/>
      <c r="T10" s="38"/>
      <c r="U10" s="79"/>
      <c r="V10" s="35"/>
      <c r="Y10" s="57"/>
      <c r="Z10" s="208">
        <f>ROUND((ROUND((ROUND((_15_同援日０．５*_15・基礎２),0)*_15・２人),0)*(1+_15・A深夜)),0)+ROUND((ROUND((_15_同援日０．５＿０．５*_15・基礎２),0)*_15・２人),0)</f>
        <v>356</v>
      </c>
      <c r="AA10" s="48"/>
    </row>
    <row r="11" spans="1:27" ht="16.5" customHeight="1" x14ac:dyDescent="0.15">
      <c r="A11" s="41">
        <v>15</v>
      </c>
      <c r="B11" s="41" t="s">
        <v>1208</v>
      </c>
      <c r="C11" s="74" t="s">
        <v>22035</v>
      </c>
      <c r="D11" s="72"/>
      <c r="F11" s="57"/>
      <c r="G11" s="72"/>
      <c r="I11" s="57"/>
      <c r="J11" s="53"/>
      <c r="K11" s="49"/>
      <c r="L11" s="50"/>
      <c r="M11" s="163"/>
      <c r="N11" s="45"/>
      <c r="O11" s="46"/>
      <c r="P11" s="512"/>
      <c r="Q11" s="57"/>
      <c r="R11" s="114" t="s">
        <v>17562</v>
      </c>
      <c r="S11" s="49"/>
      <c r="T11" s="50"/>
      <c r="U11" s="115"/>
      <c r="V11" s="35"/>
      <c r="Y11" s="57"/>
      <c r="Z11" s="208">
        <f>ROUND((ROUND((_15_同援日０．５*(1+_15・A深夜)),0)*(1+_15・盲ろう)),0)+ROUND((_15_同援日０．５＿０．５*(1+_15・盲ろう)),0)</f>
        <v>494</v>
      </c>
      <c r="AA11" s="48"/>
    </row>
    <row r="12" spans="1:27" ht="16.5" customHeight="1" x14ac:dyDescent="0.15">
      <c r="A12" s="41">
        <v>15</v>
      </c>
      <c r="B12" s="41" t="s">
        <v>1210</v>
      </c>
      <c r="C12" s="74" t="s">
        <v>22036</v>
      </c>
      <c r="D12" s="72"/>
      <c r="F12" s="57"/>
      <c r="G12" s="72"/>
      <c r="I12" s="57"/>
      <c r="J12" s="43"/>
      <c r="K12" s="37"/>
      <c r="L12" s="38"/>
      <c r="M12" s="299" t="s">
        <v>17556</v>
      </c>
      <c r="N12" s="45" t="s">
        <v>398</v>
      </c>
      <c r="O12" s="46">
        <v>1</v>
      </c>
      <c r="P12" s="517" t="s">
        <v>18493</v>
      </c>
      <c r="Q12" s="57"/>
      <c r="R12" s="92" t="s">
        <v>17564</v>
      </c>
      <c r="U12" s="57"/>
      <c r="V12" s="35"/>
      <c r="Y12" s="57"/>
      <c r="Z12" s="208">
        <f>ROUND((ROUND((ROUND((_15_同援日０．５*_15・２人),0)*(1+_15・A深夜)),0)*(1+_15・盲ろう)),0)+ROUND((ROUND((_15_同援日０．５＿０．５*_15・２人),0)*(1+_15・盲ろう)),0)</f>
        <v>494</v>
      </c>
      <c r="AA12" s="48"/>
    </row>
    <row r="13" spans="1:27" ht="16.5" customHeight="1" x14ac:dyDescent="0.15">
      <c r="A13" s="41">
        <v>15</v>
      </c>
      <c r="B13" s="41" t="s">
        <v>22037</v>
      </c>
      <c r="C13" s="74" t="s">
        <v>22038</v>
      </c>
      <c r="D13" s="72"/>
      <c r="F13" s="57"/>
      <c r="G13" s="72"/>
      <c r="I13" s="57"/>
      <c r="J13" s="114" t="s">
        <v>17558</v>
      </c>
      <c r="K13" s="49"/>
      <c r="L13" s="50"/>
      <c r="M13" s="163"/>
      <c r="N13" s="45"/>
      <c r="O13" s="46"/>
      <c r="P13" s="512"/>
      <c r="Q13" s="519" t="s">
        <v>18826</v>
      </c>
      <c r="R13" s="35"/>
      <c r="S13" s="12" t="s">
        <v>398</v>
      </c>
      <c r="T13" s="13">
        <v>0.25</v>
      </c>
      <c r="U13" s="57" t="s">
        <v>3575</v>
      </c>
      <c r="V13" s="35"/>
      <c r="Y13" s="57"/>
      <c r="Z13" s="208">
        <f>ROUND((ROUND((ROUND((_15_同援日０．５*_15・基礎２),0)*(1+_15・A深夜)),0)*(1+_15・盲ろう)),0)+ROUND((ROUND((_15_同援日０．５＿０．５*_15・基礎２),0)*(1+_15・盲ろう)),0)</f>
        <v>445</v>
      </c>
      <c r="AA13" s="48"/>
    </row>
    <row r="14" spans="1:27" ht="16.5" customHeight="1" x14ac:dyDescent="0.15">
      <c r="A14" s="41">
        <v>15</v>
      </c>
      <c r="B14" s="41" t="s">
        <v>22039</v>
      </c>
      <c r="C14" s="74" t="s">
        <v>22040</v>
      </c>
      <c r="D14" s="72"/>
      <c r="F14" s="57"/>
      <c r="G14" s="72"/>
      <c r="I14" s="57"/>
      <c r="J14" s="269" t="s">
        <v>17560</v>
      </c>
      <c r="K14" s="37" t="s">
        <v>398</v>
      </c>
      <c r="L14" s="38">
        <v>0.9</v>
      </c>
      <c r="M14" s="299" t="s">
        <v>17556</v>
      </c>
      <c r="N14" s="45" t="s">
        <v>398</v>
      </c>
      <c r="O14" s="46">
        <v>1</v>
      </c>
      <c r="P14" s="512"/>
      <c r="Q14" s="57"/>
      <c r="R14" s="43"/>
      <c r="S14" s="37"/>
      <c r="T14" s="38"/>
      <c r="U14" s="79"/>
      <c r="V14" s="43"/>
      <c r="W14" s="37"/>
      <c r="X14" s="38"/>
      <c r="Y14" s="79"/>
      <c r="Z14" s="208">
        <f>ROUND((ROUND((ROUND((ROUND((_15_同援日０．５*_15・基礎２),0)*_15・２人),0)*(1+_15・A深夜)),0)*(1+_15・盲ろう)),0)+ROUND((ROUND((ROUND((_15_同援日０．５＿０．５*_15・基礎２),0)*_15・２人),0)*(1+_15・盲ろう)),0)</f>
        <v>445</v>
      </c>
      <c r="AA14" s="48"/>
    </row>
    <row r="15" spans="1:27" ht="16.5" customHeight="1" x14ac:dyDescent="0.15">
      <c r="A15" s="41">
        <v>15</v>
      </c>
      <c r="B15" s="41" t="s">
        <v>22041</v>
      </c>
      <c r="C15" s="74" t="s">
        <v>22042</v>
      </c>
      <c r="D15" s="72"/>
      <c r="F15" s="57"/>
      <c r="G15" s="72"/>
      <c r="I15" s="57"/>
      <c r="J15" s="53"/>
      <c r="K15" s="49"/>
      <c r="L15" s="50"/>
      <c r="M15" s="163"/>
      <c r="N15" s="45"/>
      <c r="O15" s="46"/>
      <c r="P15" s="35" t="s">
        <v>398</v>
      </c>
      <c r="Q15" s="234">
        <v>0.5</v>
      </c>
      <c r="R15" s="53"/>
      <c r="S15" s="49"/>
      <c r="T15" s="50"/>
      <c r="U15" s="115"/>
      <c r="V15" s="53"/>
      <c r="W15" s="49"/>
      <c r="X15" s="50"/>
      <c r="Y15" s="115"/>
      <c r="Z15" s="208">
        <f>ROUND((ROUND((_15_同援日０．５*(1+_15・A深夜)),0)*(1+_15・区３)),0)+ROUND((_15_同援日０．５＿０．５*(1+_15・区３)),0)</f>
        <v>474</v>
      </c>
      <c r="AA15" s="48"/>
    </row>
    <row r="16" spans="1:27" ht="16.5" customHeight="1" x14ac:dyDescent="0.15">
      <c r="A16" s="41">
        <v>15</v>
      </c>
      <c r="B16" s="41" t="s">
        <v>22043</v>
      </c>
      <c r="C16" s="74" t="s">
        <v>22044</v>
      </c>
      <c r="D16" s="72"/>
      <c r="F16" s="57"/>
      <c r="G16" s="72"/>
      <c r="I16" s="57"/>
      <c r="J16" s="43"/>
      <c r="K16" s="37"/>
      <c r="L16" s="38"/>
      <c r="M16" s="299" t="s">
        <v>17556</v>
      </c>
      <c r="N16" s="45" t="s">
        <v>398</v>
      </c>
      <c r="O16" s="46">
        <v>1</v>
      </c>
      <c r="P16" s="512"/>
      <c r="Q16" s="513" t="s">
        <v>3575</v>
      </c>
      <c r="R16" s="35"/>
      <c r="U16" s="57"/>
      <c r="V16" s="35"/>
      <c r="Y16" s="57"/>
      <c r="Z16" s="208">
        <f>ROUND((ROUND((ROUND((_15_同援日０．５*_15・２人),0)*(1+_15・A深夜)),0)*(1+_15・区３)),0)+ROUND((ROUND((_15_同援日０．５＿０．５*_15・２人),0)*(1+_15・区３)),0)</f>
        <v>474</v>
      </c>
      <c r="AA16" s="48"/>
    </row>
    <row r="17" spans="1:27" ht="16.5" customHeight="1" x14ac:dyDescent="0.15">
      <c r="A17" s="41">
        <v>15</v>
      </c>
      <c r="B17" s="41" t="s">
        <v>22045</v>
      </c>
      <c r="C17" s="74" t="s">
        <v>22046</v>
      </c>
      <c r="D17" s="72"/>
      <c r="F17" s="57"/>
      <c r="G17" s="72"/>
      <c r="I17" s="57"/>
      <c r="J17" s="114" t="s">
        <v>17558</v>
      </c>
      <c r="K17" s="49"/>
      <c r="L17" s="50"/>
      <c r="M17" s="163"/>
      <c r="N17" s="45"/>
      <c r="O17" s="46"/>
      <c r="P17" s="512"/>
      <c r="Q17" s="57"/>
      <c r="R17" s="35"/>
      <c r="U17" s="57"/>
      <c r="V17" s="72" t="s">
        <v>17570</v>
      </c>
      <c r="Y17" s="57"/>
      <c r="Z17" s="208">
        <f>ROUND((ROUND((ROUND((_15_同援日０．５*_15・基礎２),0)*(1+_15・A深夜)),0)*(1+_15・区３)),0)+ROUND((ROUND((_15_同援日０．５＿０．５*_15・基礎２),0)*(1+_15・区３)),0)</f>
        <v>427</v>
      </c>
      <c r="AA17" s="48"/>
    </row>
    <row r="18" spans="1:27" ht="16.5" customHeight="1" x14ac:dyDescent="0.15">
      <c r="A18" s="41">
        <v>15</v>
      </c>
      <c r="B18" s="41" t="s">
        <v>22047</v>
      </c>
      <c r="C18" s="74" t="s">
        <v>22048</v>
      </c>
      <c r="D18" s="72"/>
      <c r="F18" s="57"/>
      <c r="G18" s="72"/>
      <c r="I18" s="57"/>
      <c r="J18" s="269" t="s">
        <v>17560</v>
      </c>
      <c r="K18" s="37" t="s">
        <v>398</v>
      </c>
      <c r="L18" s="38">
        <v>0.9</v>
      </c>
      <c r="M18" s="299" t="s">
        <v>17556</v>
      </c>
      <c r="N18" s="45" t="s">
        <v>398</v>
      </c>
      <c r="O18" s="46">
        <v>1</v>
      </c>
      <c r="P18" s="512"/>
      <c r="Q18" s="57"/>
      <c r="R18" s="43"/>
      <c r="S18" s="37"/>
      <c r="T18" s="38"/>
      <c r="U18" s="79"/>
      <c r="V18" s="72" t="s">
        <v>17572</v>
      </c>
      <c r="Y18" s="57"/>
      <c r="Z18" s="208">
        <f>ROUND((ROUND((ROUND((ROUND((_15_同援日０．５*_15・基礎２),0)*_15・２人),0)*(1+_15・A深夜)),0)*(1+_15・区３)),0)+ROUND((ROUND((ROUND((_15_同援日０．５＿０．５*_15・基礎２),0)*_15・２人),0)*(1+_15・区３)),0)</f>
        <v>427</v>
      </c>
      <c r="AA18" s="48"/>
    </row>
    <row r="19" spans="1:27" ht="16.5" customHeight="1" x14ac:dyDescent="0.15">
      <c r="A19" s="41">
        <v>15</v>
      </c>
      <c r="B19" s="41" t="s">
        <v>22049</v>
      </c>
      <c r="C19" s="74" t="s">
        <v>22050</v>
      </c>
      <c r="D19" s="72"/>
      <c r="F19" s="57"/>
      <c r="G19" s="72"/>
      <c r="I19" s="57"/>
      <c r="J19" s="53"/>
      <c r="K19" s="49"/>
      <c r="L19" s="50"/>
      <c r="M19" s="163"/>
      <c r="N19" s="45"/>
      <c r="O19" s="46"/>
      <c r="P19" s="512"/>
      <c r="Q19" s="57"/>
      <c r="R19" s="114" t="s">
        <v>17562</v>
      </c>
      <c r="S19" s="49"/>
      <c r="T19" s="50"/>
      <c r="U19" s="115"/>
      <c r="V19" s="35"/>
      <c r="W19" s="12" t="s">
        <v>398</v>
      </c>
      <c r="X19" s="13">
        <v>0.2</v>
      </c>
      <c r="Y19" s="57" t="s">
        <v>3575</v>
      </c>
      <c r="Z19" s="208">
        <f>ROUND((ROUND((ROUND((_15_同援日０．５*(1+_15・A深夜)),0)*(1+_15・盲ろう)),0)*(1+_15・区３)),0)+ROUND((ROUND((_15_同援日０．５＿０．５*(1+_15・盲ろう)),0)*(1+_15・区３)),0)</f>
        <v>593</v>
      </c>
      <c r="AA19" s="48"/>
    </row>
    <row r="20" spans="1:27" ht="16.5" customHeight="1" x14ac:dyDescent="0.15">
      <c r="A20" s="41">
        <v>15</v>
      </c>
      <c r="B20" s="41" t="s">
        <v>22051</v>
      </c>
      <c r="C20" s="74" t="s">
        <v>22052</v>
      </c>
      <c r="D20" s="72"/>
      <c r="F20" s="57"/>
      <c r="G20" s="72"/>
      <c r="I20" s="57"/>
      <c r="J20" s="43"/>
      <c r="K20" s="37"/>
      <c r="L20" s="38"/>
      <c r="M20" s="299" t="s">
        <v>17556</v>
      </c>
      <c r="N20" s="45" t="s">
        <v>398</v>
      </c>
      <c r="O20" s="46">
        <v>1</v>
      </c>
      <c r="P20" s="512"/>
      <c r="Q20" s="57"/>
      <c r="R20" s="92" t="s">
        <v>17564</v>
      </c>
      <c r="U20" s="57"/>
      <c r="V20" s="35"/>
      <c r="Y20" s="57"/>
      <c r="Z20" s="208">
        <f>ROUND((ROUND((ROUND((ROUND((_15_同援日０．５*_15・２人),0)*(1+_15・A深夜)),0)*(1+_15・盲ろう)),0)*(1+_15・区３)),0)+ROUND((ROUND((ROUND((_15_同援日０．５＿０．５*_15・２人),0)*(1+_15・盲ろう)),0)*(1+_15・区３)),0)</f>
        <v>593</v>
      </c>
      <c r="AA20" s="48"/>
    </row>
    <row r="21" spans="1:27" ht="16.5" customHeight="1" x14ac:dyDescent="0.15">
      <c r="A21" s="41">
        <v>15</v>
      </c>
      <c r="B21" s="41" t="s">
        <v>22053</v>
      </c>
      <c r="C21" s="74" t="s">
        <v>22054</v>
      </c>
      <c r="D21" s="72"/>
      <c r="F21" s="57"/>
      <c r="G21" s="72"/>
      <c r="I21" s="57"/>
      <c r="J21" s="114" t="s">
        <v>17558</v>
      </c>
      <c r="K21" s="49"/>
      <c r="L21" s="50"/>
      <c r="M21" s="163"/>
      <c r="N21" s="45"/>
      <c r="O21" s="46"/>
      <c r="P21" s="512"/>
      <c r="Q21" s="57"/>
      <c r="R21" s="35"/>
      <c r="S21" s="12" t="s">
        <v>398</v>
      </c>
      <c r="T21" s="13">
        <v>0.25</v>
      </c>
      <c r="U21" s="57" t="s">
        <v>3575</v>
      </c>
      <c r="V21" s="35"/>
      <c r="Y21" s="57"/>
      <c r="Z21" s="208">
        <f>ROUND((ROUND((ROUND((ROUND((_15_同援日０．５*_15・基礎２),0)*(1+_15・A深夜)),0)*(1+_15・盲ろう)),0)*(1+_15・区３)),0)+ROUND((ROUND((ROUND((_15_同援日０．５＿０．５*_15・基礎２),0)*(1+_15・盲ろう)),0)*(1+_15・区３)),0)</f>
        <v>534</v>
      </c>
      <c r="AA21" s="48"/>
    </row>
    <row r="22" spans="1:27" ht="16.5" customHeight="1" x14ac:dyDescent="0.15">
      <c r="A22" s="41">
        <v>15</v>
      </c>
      <c r="B22" s="41" t="s">
        <v>22055</v>
      </c>
      <c r="C22" s="74" t="s">
        <v>22056</v>
      </c>
      <c r="D22" s="72"/>
      <c r="F22" s="57"/>
      <c r="G22" s="72"/>
      <c r="I22" s="57"/>
      <c r="J22" s="269" t="s">
        <v>17560</v>
      </c>
      <c r="K22" s="37" t="s">
        <v>398</v>
      </c>
      <c r="L22" s="38">
        <v>0.9</v>
      </c>
      <c r="M22" s="299" t="s">
        <v>17556</v>
      </c>
      <c r="N22" s="45" t="s">
        <v>398</v>
      </c>
      <c r="O22" s="46">
        <v>1</v>
      </c>
      <c r="P22" s="512"/>
      <c r="Q22" s="57"/>
      <c r="R22" s="43"/>
      <c r="S22" s="37"/>
      <c r="T22" s="38"/>
      <c r="U22" s="79"/>
      <c r="V22" s="43"/>
      <c r="W22" s="37"/>
      <c r="X22" s="38"/>
      <c r="Y22" s="79"/>
      <c r="Z22" s="208">
        <f>ROUND((ROUND((ROUND((ROUND((ROUND((_15_同援日０．５*_15・基礎２),0)*_15・２人),0)*(1+_15・A深夜)),0)*(1+_15・盲ろう)),0)*(1+_15・区３)),0)+ROUND((ROUND((ROUND((ROUND((_15_同援日０．５＿０．５*_15・基礎２),0)*_15・２人),0)*(1+_15・盲ろう)),0)*(1+_15・区３)),0)</f>
        <v>534</v>
      </c>
      <c r="AA22" s="48"/>
    </row>
    <row r="23" spans="1:27" ht="16.5" customHeight="1" x14ac:dyDescent="0.15">
      <c r="A23" s="41">
        <v>15</v>
      </c>
      <c r="B23" s="41" t="s">
        <v>22057</v>
      </c>
      <c r="C23" s="74" t="s">
        <v>22058</v>
      </c>
      <c r="D23" s="72"/>
      <c r="F23" s="57"/>
      <c r="G23" s="72"/>
      <c r="I23" s="57"/>
      <c r="J23" s="53"/>
      <c r="K23" s="49"/>
      <c r="L23" s="50"/>
      <c r="M23" s="163"/>
      <c r="N23" s="45"/>
      <c r="O23" s="46"/>
      <c r="P23" s="512"/>
      <c r="Q23" s="57"/>
      <c r="R23" s="53"/>
      <c r="S23" s="49"/>
      <c r="T23" s="50"/>
      <c r="U23" s="115"/>
      <c r="V23" s="53"/>
      <c r="W23" s="49"/>
      <c r="X23" s="50"/>
      <c r="Y23" s="115"/>
      <c r="Z23" s="208">
        <f>ROUND((ROUND((_15_同援日０．５*(1+_15・A深夜)),0)*(1+_15・区４)),0)+ROUND((_15_同援日０．５＿０．５*(1+_15・区４)),0)</f>
        <v>553</v>
      </c>
      <c r="AA23" s="48"/>
    </row>
    <row r="24" spans="1:27" ht="16.5" customHeight="1" x14ac:dyDescent="0.15">
      <c r="A24" s="41">
        <v>15</v>
      </c>
      <c r="B24" s="41" t="s">
        <v>22059</v>
      </c>
      <c r="C24" s="74" t="s">
        <v>22060</v>
      </c>
      <c r="D24" s="72"/>
      <c r="F24" s="57"/>
      <c r="G24" s="72"/>
      <c r="I24" s="57"/>
      <c r="J24" s="43"/>
      <c r="K24" s="37"/>
      <c r="L24" s="38"/>
      <c r="M24" s="299" t="s">
        <v>17556</v>
      </c>
      <c r="N24" s="45" t="s">
        <v>398</v>
      </c>
      <c r="O24" s="46">
        <v>1</v>
      </c>
      <c r="P24" s="512"/>
      <c r="Q24" s="57"/>
      <c r="R24" s="35"/>
      <c r="U24" s="57"/>
      <c r="V24" s="35"/>
      <c r="Y24" s="57"/>
      <c r="Z24" s="208">
        <f>ROUND((ROUND((ROUND((_15_同援日０．５*_15・２人),0)*(1+_15・A深夜)),0)*(1+_15・区４)),0)+ROUND((ROUND((_15_同援日０．５＿０．５*_15・２人),0)*(1+_15・区４)),0)</f>
        <v>553</v>
      </c>
      <c r="AA24" s="48"/>
    </row>
    <row r="25" spans="1:27" ht="16.5" customHeight="1" x14ac:dyDescent="0.15">
      <c r="A25" s="41">
        <v>15</v>
      </c>
      <c r="B25" s="41" t="s">
        <v>22061</v>
      </c>
      <c r="C25" s="74" t="s">
        <v>22062</v>
      </c>
      <c r="D25" s="72"/>
      <c r="F25" s="57"/>
      <c r="G25" s="72"/>
      <c r="I25" s="57"/>
      <c r="J25" s="114" t="s">
        <v>17558</v>
      </c>
      <c r="K25" s="49"/>
      <c r="L25" s="50"/>
      <c r="M25" s="163"/>
      <c r="N25" s="45"/>
      <c r="O25" s="46"/>
      <c r="P25" s="512"/>
      <c r="Q25" s="57"/>
      <c r="R25" s="35"/>
      <c r="U25" s="57"/>
      <c r="V25" s="72" t="s">
        <v>17580</v>
      </c>
      <c r="Y25" s="57"/>
      <c r="Z25" s="208">
        <f>ROUND((ROUND((ROUND((_15_同援日０．５*_15・基礎２),0)*(1+_15・A深夜)),0)*(1+_15・区４)),0)+ROUND((ROUND((_15_同援日０．５＿０．５*_15・基礎２),0)*(1+_15・区４)),0)</f>
        <v>499</v>
      </c>
      <c r="AA25" s="48"/>
    </row>
    <row r="26" spans="1:27" ht="16.5" customHeight="1" x14ac:dyDescent="0.15">
      <c r="A26" s="41">
        <v>15</v>
      </c>
      <c r="B26" s="41" t="s">
        <v>22063</v>
      </c>
      <c r="C26" s="74" t="s">
        <v>22064</v>
      </c>
      <c r="D26" s="72"/>
      <c r="F26" s="57"/>
      <c r="G26" s="72"/>
      <c r="I26" s="57"/>
      <c r="J26" s="269" t="s">
        <v>17560</v>
      </c>
      <c r="K26" s="37" t="s">
        <v>398</v>
      </c>
      <c r="L26" s="38">
        <v>0.9</v>
      </c>
      <c r="M26" s="299" t="s">
        <v>17556</v>
      </c>
      <c r="N26" s="45" t="s">
        <v>398</v>
      </c>
      <c r="O26" s="46">
        <v>1</v>
      </c>
      <c r="P26" s="512"/>
      <c r="Q26" s="57"/>
      <c r="R26" s="43"/>
      <c r="S26" s="37"/>
      <c r="T26" s="38"/>
      <c r="U26" s="79"/>
      <c r="V26" s="72" t="s">
        <v>17572</v>
      </c>
      <c r="Y26" s="57"/>
      <c r="Z26" s="208">
        <f>ROUND((ROUND((ROUND((ROUND((_15_同援日０．５*_15・基礎２),0)*_15・２人),0)*(1+_15・A深夜)),0)*(1+_15・区４)),0)+ROUND((ROUND((ROUND((_15_同援日０．５＿０．５*_15・基礎２),0)*_15・２人),0)*(1+_15・区４)),0)</f>
        <v>499</v>
      </c>
      <c r="AA26" s="48"/>
    </row>
    <row r="27" spans="1:27" ht="16.5" customHeight="1" x14ac:dyDescent="0.15">
      <c r="A27" s="41">
        <v>15</v>
      </c>
      <c r="B27" s="41" t="s">
        <v>22065</v>
      </c>
      <c r="C27" s="74" t="s">
        <v>22066</v>
      </c>
      <c r="D27" s="72"/>
      <c r="F27" s="57"/>
      <c r="G27" s="72"/>
      <c r="I27" s="57"/>
      <c r="J27" s="53"/>
      <c r="K27" s="49"/>
      <c r="L27" s="50"/>
      <c r="M27" s="163"/>
      <c r="N27" s="45"/>
      <c r="O27" s="46"/>
      <c r="P27" s="512"/>
      <c r="Q27" s="57"/>
      <c r="R27" s="114" t="s">
        <v>17562</v>
      </c>
      <c r="S27" s="49"/>
      <c r="T27" s="50"/>
      <c r="U27" s="115"/>
      <c r="V27" s="35"/>
      <c r="W27" s="12" t="s">
        <v>398</v>
      </c>
      <c r="X27" s="13">
        <v>0.4</v>
      </c>
      <c r="Y27" s="57" t="s">
        <v>3575</v>
      </c>
      <c r="Z27" s="208">
        <f>ROUND((ROUND((ROUND((_15_同援日０．５*(1+_15・A深夜)),0)*(1+_15・盲ろう)),0)*(1+_15・区４)),0)+ROUND((ROUND((_15_同援日０．５＿０．５*(1+_15・盲ろう)),0)*(1+_15・区４)),0)</f>
        <v>691</v>
      </c>
      <c r="AA27" s="48"/>
    </row>
    <row r="28" spans="1:27" ht="16.5" customHeight="1" x14ac:dyDescent="0.15">
      <c r="A28" s="41">
        <v>15</v>
      </c>
      <c r="B28" s="41" t="s">
        <v>22067</v>
      </c>
      <c r="C28" s="74" t="s">
        <v>22068</v>
      </c>
      <c r="D28" s="72"/>
      <c r="F28" s="57"/>
      <c r="G28" s="72"/>
      <c r="I28" s="57"/>
      <c r="J28" s="43"/>
      <c r="K28" s="37"/>
      <c r="L28" s="38"/>
      <c r="M28" s="299" t="s">
        <v>17556</v>
      </c>
      <c r="N28" s="45" t="s">
        <v>398</v>
      </c>
      <c r="O28" s="46">
        <v>1</v>
      </c>
      <c r="P28" s="512"/>
      <c r="Q28" s="57"/>
      <c r="R28" s="92" t="s">
        <v>17564</v>
      </c>
      <c r="U28" s="57"/>
      <c r="V28" s="35"/>
      <c r="Y28" s="57"/>
      <c r="Z28" s="208">
        <f>ROUND((ROUND((ROUND((ROUND((_15_同援日０．５*_15・２人),0)*(1+_15・A深夜)),0)*(1+_15・盲ろう)),0)*(1+_15・区４)),0)+ROUND((ROUND((ROUND((_15_同援日０．５＿０．５*_15・２人),0)*(1+_15・盲ろう)),0)*(1+_15・区４)),0)</f>
        <v>691</v>
      </c>
      <c r="AA28" s="48"/>
    </row>
    <row r="29" spans="1:27" ht="16.5" customHeight="1" x14ac:dyDescent="0.15">
      <c r="A29" s="41">
        <v>15</v>
      </c>
      <c r="B29" s="41" t="s">
        <v>1216</v>
      </c>
      <c r="C29" s="74" t="s">
        <v>22069</v>
      </c>
      <c r="D29" s="72"/>
      <c r="F29" s="57"/>
      <c r="G29" s="72"/>
      <c r="I29" s="57"/>
      <c r="J29" s="114" t="s">
        <v>17558</v>
      </c>
      <c r="K29" s="49"/>
      <c r="L29" s="50"/>
      <c r="M29" s="163"/>
      <c r="N29" s="45"/>
      <c r="O29" s="46"/>
      <c r="P29" s="512"/>
      <c r="Q29" s="57"/>
      <c r="R29" s="35"/>
      <c r="S29" s="12" t="s">
        <v>398</v>
      </c>
      <c r="T29" s="13">
        <v>0.25</v>
      </c>
      <c r="U29" s="57" t="s">
        <v>3575</v>
      </c>
      <c r="V29" s="35"/>
      <c r="Y29" s="57"/>
      <c r="Z29" s="208">
        <f>ROUND((ROUND((ROUND((ROUND((_15_同援日０．５*_15・基礎２),0)*(1+_15・A深夜)),0)*(1+_15・盲ろう)),0)*(1+_15・区４)),0)+ROUND((ROUND((ROUND((_15_同援日０．５＿０．５*_15・基礎２),0)*(1+_15・盲ろう)),0)*(1+_15・区４)),0)</f>
        <v>623</v>
      </c>
      <c r="AA29" s="48"/>
    </row>
    <row r="30" spans="1:27" ht="16.5" customHeight="1" x14ac:dyDescent="0.15">
      <c r="A30" s="41">
        <v>15</v>
      </c>
      <c r="B30" s="41" t="s">
        <v>1218</v>
      </c>
      <c r="C30" s="74" t="s">
        <v>22070</v>
      </c>
      <c r="D30" s="72"/>
      <c r="F30" s="57"/>
      <c r="G30" s="122"/>
      <c r="H30" s="37"/>
      <c r="I30" s="79"/>
      <c r="J30" s="269" t="s">
        <v>17560</v>
      </c>
      <c r="K30" s="37" t="s">
        <v>398</v>
      </c>
      <c r="L30" s="38">
        <v>0.9</v>
      </c>
      <c r="M30" s="299" t="s">
        <v>17556</v>
      </c>
      <c r="N30" s="45" t="s">
        <v>398</v>
      </c>
      <c r="O30" s="46">
        <v>1</v>
      </c>
      <c r="P30" s="512"/>
      <c r="Q30" s="57"/>
      <c r="R30" s="43"/>
      <c r="S30" s="37"/>
      <c r="T30" s="38"/>
      <c r="U30" s="79"/>
      <c r="V30" s="43"/>
      <c r="W30" s="37"/>
      <c r="X30" s="38"/>
      <c r="Y30" s="79"/>
      <c r="Z30" s="208">
        <f>ROUND((ROUND((ROUND((ROUND((ROUND((_15_同援日０．５*_15・基礎２),0)*_15・２人),0)*(1+_15・A深夜)),0)*(1+_15・盲ろう)),0)*(1+_15・区４)),0)+ROUND((ROUND((ROUND((ROUND((_15_同援日０．５＿０．５*_15・基礎２),0)*_15・２人),0)*(1+_15・盲ろう)),0)*(1+_15・区４)),0)</f>
        <v>623</v>
      </c>
      <c r="AA30" s="48"/>
    </row>
    <row r="31" spans="1:27" ht="16.5" customHeight="1" x14ac:dyDescent="0.15">
      <c r="A31" s="41">
        <v>15</v>
      </c>
      <c r="B31" s="41" t="s">
        <v>1220</v>
      </c>
      <c r="C31" s="74" t="s">
        <v>22071</v>
      </c>
      <c r="D31" s="72"/>
      <c r="F31" s="57"/>
      <c r="G31" s="114" t="s">
        <v>19212</v>
      </c>
      <c r="H31" s="49"/>
      <c r="I31" s="115"/>
      <c r="J31" s="53"/>
      <c r="K31" s="49"/>
      <c r="L31" s="50"/>
      <c r="M31" s="163"/>
      <c r="N31" s="45"/>
      <c r="O31" s="46"/>
      <c r="P31" s="512"/>
      <c r="Q31" s="57"/>
      <c r="R31" s="53"/>
      <c r="S31" s="49"/>
      <c r="T31" s="50"/>
      <c r="U31" s="115"/>
      <c r="V31" s="53"/>
      <c r="W31" s="49"/>
      <c r="X31" s="50"/>
      <c r="Y31" s="115"/>
      <c r="Z31" s="208">
        <f>ROUND((_15_同援日０．５*(1+_15・A深夜)),0)+_15_同援日０．５＿１．０</f>
        <v>528</v>
      </c>
      <c r="AA31" s="48"/>
    </row>
    <row r="32" spans="1:27" ht="16.5" customHeight="1" x14ac:dyDescent="0.15">
      <c r="A32" s="41">
        <v>15</v>
      </c>
      <c r="B32" s="41" t="s">
        <v>1222</v>
      </c>
      <c r="C32" s="74" t="s">
        <v>22072</v>
      </c>
      <c r="D32" s="72"/>
      <c r="F32" s="57"/>
      <c r="G32" s="72" t="s">
        <v>17589</v>
      </c>
      <c r="I32" s="57"/>
      <c r="J32" s="43"/>
      <c r="K32" s="37"/>
      <c r="L32" s="38"/>
      <c r="M32" s="299" t="s">
        <v>17556</v>
      </c>
      <c r="N32" s="45" t="s">
        <v>398</v>
      </c>
      <c r="O32" s="46">
        <v>1</v>
      </c>
      <c r="P32" s="512"/>
      <c r="Q32" s="57"/>
      <c r="R32" s="35"/>
      <c r="U32" s="57"/>
      <c r="V32" s="35"/>
      <c r="Y32" s="57"/>
      <c r="Z32" s="208">
        <f>ROUND((ROUND((_15_同援日０．５*_15・２人),0)*(1+_15・A深夜)),0)+ROUND((_15_同援日０．５＿１．０*_15・２人),0)</f>
        <v>528</v>
      </c>
      <c r="AA32" s="48"/>
    </row>
    <row r="33" spans="1:27" ht="16.5" customHeight="1" x14ac:dyDescent="0.15">
      <c r="A33" s="41">
        <v>15</v>
      </c>
      <c r="B33" s="41" t="s">
        <v>22073</v>
      </c>
      <c r="C33" s="74" t="s">
        <v>22074</v>
      </c>
      <c r="D33" s="72"/>
      <c r="F33" s="57"/>
      <c r="G33" s="72" t="s">
        <v>17591</v>
      </c>
      <c r="I33" s="57"/>
      <c r="J33" s="114" t="s">
        <v>17558</v>
      </c>
      <c r="K33" s="49"/>
      <c r="L33" s="50"/>
      <c r="M33" s="163"/>
      <c r="N33" s="45"/>
      <c r="O33" s="46"/>
      <c r="P33" s="512"/>
      <c r="Q33" s="57"/>
      <c r="R33" s="35"/>
      <c r="U33" s="57"/>
      <c r="V33" s="35"/>
      <c r="Y33" s="57"/>
      <c r="Z33" s="208">
        <f>ROUND((ROUND((_15_同援日０．５*_15・基礎２),0)*(1+_15・A深夜)),0)+ROUND((_15_同援日０．５＿１．０*_15・基礎２),0)</f>
        <v>476</v>
      </c>
      <c r="AA33" s="48"/>
    </row>
    <row r="34" spans="1:27" ht="16.5" customHeight="1" x14ac:dyDescent="0.15">
      <c r="A34" s="41">
        <v>15</v>
      </c>
      <c r="B34" s="41" t="s">
        <v>22075</v>
      </c>
      <c r="C34" s="74" t="s">
        <v>22076</v>
      </c>
      <c r="D34" s="72"/>
      <c r="F34" s="57"/>
      <c r="G34" s="72"/>
      <c r="H34" s="168">
        <f>_15_同援日０．５＿１．０</f>
        <v>243</v>
      </c>
      <c r="I34" s="57" t="s">
        <v>392</v>
      </c>
      <c r="J34" s="269" t="s">
        <v>17560</v>
      </c>
      <c r="K34" s="37" t="s">
        <v>398</v>
      </c>
      <c r="L34" s="38">
        <v>0.9</v>
      </c>
      <c r="M34" s="299" t="s">
        <v>17556</v>
      </c>
      <c r="N34" s="45" t="s">
        <v>398</v>
      </c>
      <c r="O34" s="46">
        <v>1</v>
      </c>
      <c r="P34" s="512"/>
      <c r="Q34" s="57"/>
      <c r="R34" s="43"/>
      <c r="S34" s="37"/>
      <c r="T34" s="38"/>
      <c r="U34" s="79"/>
      <c r="V34" s="35"/>
      <c r="Y34" s="57"/>
      <c r="Z34" s="208">
        <f>ROUND((ROUND((ROUND((_15_同援日０．５*_15・基礎２),0)*_15・２人),0)*(1+_15・A深夜)),0)+ROUND((ROUND((_15_同援日０．５＿１．０*_15・基礎２),0)*_15・２人),0)</f>
        <v>476</v>
      </c>
      <c r="AA34" s="48"/>
    </row>
    <row r="35" spans="1:27" ht="16.5" customHeight="1" x14ac:dyDescent="0.15">
      <c r="A35" s="41">
        <v>15</v>
      </c>
      <c r="B35" s="41" t="s">
        <v>22077</v>
      </c>
      <c r="C35" s="74" t="s">
        <v>22078</v>
      </c>
      <c r="D35" s="72"/>
      <c r="F35" s="57"/>
      <c r="G35" s="72"/>
      <c r="I35" s="57"/>
      <c r="J35" s="53"/>
      <c r="K35" s="49"/>
      <c r="L35" s="50"/>
      <c r="M35" s="163"/>
      <c r="N35" s="45"/>
      <c r="O35" s="46"/>
      <c r="P35" s="512"/>
      <c r="Q35" s="57"/>
      <c r="R35" s="114" t="s">
        <v>17562</v>
      </c>
      <c r="S35" s="49"/>
      <c r="T35" s="50"/>
      <c r="U35" s="115"/>
      <c r="V35" s="35"/>
      <c r="Y35" s="57"/>
      <c r="Z35" s="208">
        <f>ROUND((ROUND((_15_同援日０．５*(1+_15・A深夜)),0)*(1+_15・盲ろう)),0)+ROUND((_15_同援日０．５＿１．０*(1+_15・盲ろう)),0)</f>
        <v>660</v>
      </c>
      <c r="AA35" s="48"/>
    </row>
    <row r="36" spans="1:27" ht="16.5" customHeight="1" x14ac:dyDescent="0.15">
      <c r="A36" s="41">
        <v>15</v>
      </c>
      <c r="B36" s="41" t="s">
        <v>22079</v>
      </c>
      <c r="C36" s="74" t="s">
        <v>22080</v>
      </c>
      <c r="D36" s="72"/>
      <c r="F36" s="57"/>
      <c r="G36" s="72"/>
      <c r="I36" s="57"/>
      <c r="J36" s="43"/>
      <c r="K36" s="37"/>
      <c r="L36" s="38"/>
      <c r="M36" s="299" t="s">
        <v>17556</v>
      </c>
      <c r="N36" s="45" t="s">
        <v>398</v>
      </c>
      <c r="O36" s="46">
        <v>1</v>
      </c>
      <c r="P36" s="512"/>
      <c r="Q36" s="57"/>
      <c r="R36" s="92" t="s">
        <v>17564</v>
      </c>
      <c r="U36" s="57"/>
      <c r="V36" s="35"/>
      <c r="Y36" s="57"/>
      <c r="Z36" s="208">
        <f>ROUND((ROUND((ROUND((_15_同援日０．５*_15・２人),0)*(1+_15・A深夜)),0)*(1+_15・盲ろう)),0)+ROUND((ROUND((_15_同援日０．５＿１．０*_15・２人),0)*(1+_15・盲ろう)),0)</f>
        <v>660</v>
      </c>
      <c r="AA36" s="48"/>
    </row>
    <row r="37" spans="1:27" ht="16.5" customHeight="1" x14ac:dyDescent="0.15">
      <c r="A37" s="41">
        <v>15</v>
      </c>
      <c r="B37" s="41" t="s">
        <v>22081</v>
      </c>
      <c r="C37" s="74" t="s">
        <v>22082</v>
      </c>
      <c r="D37" s="72"/>
      <c r="F37" s="57"/>
      <c r="G37" s="72"/>
      <c r="I37" s="57"/>
      <c r="J37" s="114" t="s">
        <v>17558</v>
      </c>
      <c r="K37" s="49"/>
      <c r="L37" s="50"/>
      <c r="M37" s="163"/>
      <c r="N37" s="45"/>
      <c r="O37" s="46"/>
      <c r="P37" s="512"/>
      <c r="Q37" s="57"/>
      <c r="R37" s="35"/>
      <c r="S37" s="12" t="s">
        <v>398</v>
      </c>
      <c r="T37" s="13">
        <v>0.25</v>
      </c>
      <c r="U37" s="57" t="s">
        <v>3575</v>
      </c>
      <c r="V37" s="35"/>
      <c r="Y37" s="57"/>
      <c r="Z37" s="208">
        <f>ROUND((ROUND((ROUND((_15_同援日０．５*_15・基礎２),0)*(1+_15・A深夜)),0)*(1+_15・盲ろう)),0)+ROUND((ROUND((_15_同援日０．５＿１．０*_15・基礎２),0)*(1+_15・盲ろう)),0)</f>
        <v>595</v>
      </c>
      <c r="AA37" s="48"/>
    </row>
    <row r="38" spans="1:27" ht="16.5" customHeight="1" x14ac:dyDescent="0.15">
      <c r="A38" s="41">
        <v>15</v>
      </c>
      <c r="B38" s="41" t="s">
        <v>22083</v>
      </c>
      <c r="C38" s="74" t="s">
        <v>22084</v>
      </c>
      <c r="D38" s="72"/>
      <c r="F38" s="57"/>
      <c r="G38" s="72"/>
      <c r="I38" s="57"/>
      <c r="J38" s="269" t="s">
        <v>17560</v>
      </c>
      <c r="K38" s="37" t="s">
        <v>398</v>
      </c>
      <c r="L38" s="38">
        <v>0.9</v>
      </c>
      <c r="M38" s="299" t="s">
        <v>17556</v>
      </c>
      <c r="N38" s="45" t="s">
        <v>398</v>
      </c>
      <c r="O38" s="46">
        <v>1</v>
      </c>
      <c r="P38" s="512"/>
      <c r="Q38" s="57"/>
      <c r="R38" s="43"/>
      <c r="S38" s="37"/>
      <c r="T38" s="38"/>
      <c r="U38" s="79"/>
      <c r="V38" s="43"/>
      <c r="W38" s="37"/>
      <c r="X38" s="38"/>
      <c r="Y38" s="79"/>
      <c r="Z38" s="208">
        <f>ROUND((ROUND((ROUND((ROUND((_15_同援日０．５*_15・基礎２),0)*_15・２人),0)*(1+_15・A深夜)),0)*(1+_15・盲ろう)),0)+ROUND((ROUND((ROUND((_15_同援日０．５＿１．０*_15・基礎２),0)*_15・２人),0)*(1+_15・盲ろう)),0)</f>
        <v>595</v>
      </c>
      <c r="AA38" s="48"/>
    </row>
    <row r="39" spans="1:27" ht="16.5" customHeight="1" x14ac:dyDescent="0.15">
      <c r="A39" s="41">
        <v>15</v>
      </c>
      <c r="B39" s="41" t="s">
        <v>22085</v>
      </c>
      <c r="C39" s="74" t="s">
        <v>22086</v>
      </c>
      <c r="D39" s="72"/>
      <c r="F39" s="57"/>
      <c r="G39" s="72"/>
      <c r="I39" s="57"/>
      <c r="J39" s="53"/>
      <c r="K39" s="49"/>
      <c r="L39" s="50"/>
      <c r="M39" s="163"/>
      <c r="N39" s="45"/>
      <c r="O39" s="46"/>
      <c r="P39" s="512"/>
      <c r="Q39" s="57"/>
      <c r="R39" s="53"/>
      <c r="S39" s="49"/>
      <c r="T39" s="50"/>
      <c r="U39" s="115"/>
      <c r="V39" s="53"/>
      <c r="W39" s="49"/>
      <c r="X39" s="50"/>
      <c r="Y39" s="115"/>
      <c r="Z39" s="208">
        <f>ROUND((ROUND((_15_同援日０．５*(1+_15・A深夜)),0)*(1+_15・区３)),0)+ROUND((_15_同援日０．５＿１．０*(1+_15・区３)),0)</f>
        <v>634</v>
      </c>
      <c r="AA39" s="48"/>
    </row>
    <row r="40" spans="1:27" ht="16.5" customHeight="1" x14ac:dyDescent="0.15">
      <c r="A40" s="41">
        <v>15</v>
      </c>
      <c r="B40" s="41" t="s">
        <v>22087</v>
      </c>
      <c r="C40" s="74" t="s">
        <v>22088</v>
      </c>
      <c r="D40" s="72"/>
      <c r="F40" s="57"/>
      <c r="G40" s="72"/>
      <c r="I40" s="57"/>
      <c r="J40" s="43"/>
      <c r="K40" s="37"/>
      <c r="L40" s="38"/>
      <c r="M40" s="299" t="s">
        <v>17556</v>
      </c>
      <c r="N40" s="45" t="s">
        <v>398</v>
      </c>
      <c r="O40" s="46">
        <v>1</v>
      </c>
      <c r="P40" s="512"/>
      <c r="Q40" s="57"/>
      <c r="R40" s="35"/>
      <c r="U40" s="57"/>
      <c r="V40" s="35"/>
      <c r="Y40" s="57"/>
      <c r="Z40" s="208">
        <f>ROUND((ROUND((ROUND((_15_同援日０．５*_15・２人),0)*(1+_15・A深夜)),0)*(1+_15・区３)),0)+ROUND((ROUND((_15_同援日０．５＿１．０*_15・２人),0)*(1+_15・区３)),0)</f>
        <v>634</v>
      </c>
      <c r="AA40" s="48"/>
    </row>
    <row r="41" spans="1:27" ht="16.5" customHeight="1" x14ac:dyDescent="0.15">
      <c r="A41" s="41">
        <v>15</v>
      </c>
      <c r="B41" s="41" t="s">
        <v>22089</v>
      </c>
      <c r="C41" s="74" t="s">
        <v>22090</v>
      </c>
      <c r="D41" s="72"/>
      <c r="F41" s="57"/>
      <c r="G41" s="72"/>
      <c r="I41" s="57"/>
      <c r="J41" s="114" t="s">
        <v>17558</v>
      </c>
      <c r="K41" s="49"/>
      <c r="L41" s="50"/>
      <c r="M41" s="163"/>
      <c r="N41" s="45"/>
      <c r="O41" s="46"/>
      <c r="P41" s="512"/>
      <c r="Q41" s="57"/>
      <c r="R41" s="35"/>
      <c r="U41" s="57"/>
      <c r="V41" s="72" t="s">
        <v>17570</v>
      </c>
      <c r="Y41" s="57"/>
      <c r="Z41" s="208">
        <f>ROUND((ROUND((ROUND((_15_同援日０．５*_15・基礎２),0)*(1+_15・A深夜)),0)*(1+_15・区３)),0)+ROUND((ROUND((_15_同援日０．５＿１．０*_15・基礎２),0)*(1+_15・区３)),0)</f>
        <v>571</v>
      </c>
      <c r="AA41" s="48"/>
    </row>
    <row r="42" spans="1:27" ht="16.5" customHeight="1" x14ac:dyDescent="0.15">
      <c r="A42" s="41">
        <v>15</v>
      </c>
      <c r="B42" s="41" t="s">
        <v>22091</v>
      </c>
      <c r="C42" s="74" t="s">
        <v>22092</v>
      </c>
      <c r="D42" s="72"/>
      <c r="F42" s="57"/>
      <c r="G42" s="72"/>
      <c r="I42" s="57"/>
      <c r="J42" s="269" t="s">
        <v>17560</v>
      </c>
      <c r="K42" s="37" t="s">
        <v>398</v>
      </c>
      <c r="L42" s="38">
        <v>0.9</v>
      </c>
      <c r="M42" s="299" t="s">
        <v>17556</v>
      </c>
      <c r="N42" s="45" t="s">
        <v>398</v>
      </c>
      <c r="O42" s="46">
        <v>1</v>
      </c>
      <c r="P42" s="512"/>
      <c r="Q42" s="57"/>
      <c r="R42" s="43"/>
      <c r="S42" s="37"/>
      <c r="T42" s="38"/>
      <c r="U42" s="79"/>
      <c r="V42" s="72" t="s">
        <v>17572</v>
      </c>
      <c r="Y42" s="57"/>
      <c r="Z42" s="208">
        <f>ROUND((ROUND((ROUND((ROUND((_15_同援日０．５*_15・基礎２),0)*_15・２人),0)*(1+_15・A深夜)),0)*(1+_15・区３)),0)+ROUND((ROUND((ROUND((_15_同援日０．５＿１．０*_15・基礎２),0)*_15・２人),0)*(1+_15・区３)),0)</f>
        <v>571</v>
      </c>
      <c r="AA42" s="48"/>
    </row>
    <row r="43" spans="1:27" ht="16.5" customHeight="1" x14ac:dyDescent="0.15">
      <c r="A43" s="41">
        <v>15</v>
      </c>
      <c r="B43" s="41" t="s">
        <v>22093</v>
      </c>
      <c r="C43" s="74" t="s">
        <v>22094</v>
      </c>
      <c r="D43" s="72"/>
      <c r="F43" s="57"/>
      <c r="G43" s="72"/>
      <c r="I43" s="57"/>
      <c r="J43" s="53"/>
      <c r="K43" s="49"/>
      <c r="L43" s="50"/>
      <c r="M43" s="163"/>
      <c r="N43" s="45"/>
      <c r="O43" s="46"/>
      <c r="P43" s="512"/>
      <c r="Q43" s="57"/>
      <c r="R43" s="114" t="s">
        <v>17562</v>
      </c>
      <c r="S43" s="49"/>
      <c r="T43" s="50"/>
      <c r="U43" s="115"/>
      <c r="V43" s="35"/>
      <c r="W43" s="12" t="s">
        <v>398</v>
      </c>
      <c r="X43" s="13">
        <v>0.2</v>
      </c>
      <c r="Y43" s="57" t="s">
        <v>3575</v>
      </c>
      <c r="Z43" s="208">
        <f>ROUND((ROUND((ROUND((_15_同援日０．５*(1+_15・A深夜)),0)*(1+_15・盲ろう)),0)*(1+_15・区３)),0)+ROUND((ROUND((_15_同援日０．５＿１．０*(1+_15・盲ろう)),0)*(1+_15・区３)),0)</f>
        <v>792</v>
      </c>
      <c r="AA43" s="48"/>
    </row>
    <row r="44" spans="1:27" ht="16.5" customHeight="1" x14ac:dyDescent="0.15">
      <c r="A44" s="41">
        <v>15</v>
      </c>
      <c r="B44" s="41" t="s">
        <v>22095</v>
      </c>
      <c r="C44" s="74" t="s">
        <v>22096</v>
      </c>
      <c r="D44" s="72"/>
      <c r="F44" s="57"/>
      <c r="G44" s="72"/>
      <c r="I44" s="57"/>
      <c r="J44" s="43"/>
      <c r="K44" s="37"/>
      <c r="L44" s="38"/>
      <c r="M44" s="299" t="s">
        <v>17556</v>
      </c>
      <c r="N44" s="45" t="s">
        <v>398</v>
      </c>
      <c r="O44" s="46">
        <v>1</v>
      </c>
      <c r="P44" s="512"/>
      <c r="Q44" s="57"/>
      <c r="R44" s="92" t="s">
        <v>17564</v>
      </c>
      <c r="U44" s="57"/>
      <c r="V44" s="35"/>
      <c r="Y44" s="57"/>
      <c r="Z44" s="208">
        <f>ROUND((ROUND((ROUND((ROUND((_15_同援日０．５*_15・２人),0)*(1+_15・A深夜)),0)*(1+_15・盲ろう)),0)*(1+_15・区３)),0)+ROUND((ROUND((ROUND((_15_同援日０．５＿１．０*_15・２人),0)*(1+_15・盲ろう)),0)*(1+_15・区３)),0)</f>
        <v>792</v>
      </c>
      <c r="AA44" s="48"/>
    </row>
    <row r="45" spans="1:27" ht="16.5" customHeight="1" x14ac:dyDescent="0.15">
      <c r="A45" s="41">
        <v>15</v>
      </c>
      <c r="B45" s="41" t="s">
        <v>22097</v>
      </c>
      <c r="C45" s="74" t="s">
        <v>22098</v>
      </c>
      <c r="D45" s="72"/>
      <c r="F45" s="57"/>
      <c r="G45" s="72"/>
      <c r="I45" s="57"/>
      <c r="J45" s="114" t="s">
        <v>17558</v>
      </c>
      <c r="K45" s="49"/>
      <c r="L45" s="50"/>
      <c r="M45" s="163"/>
      <c r="N45" s="45"/>
      <c r="O45" s="46"/>
      <c r="P45" s="512"/>
      <c r="Q45" s="57"/>
      <c r="R45" s="35"/>
      <c r="S45" s="12" t="s">
        <v>398</v>
      </c>
      <c r="T45" s="13">
        <v>0.25</v>
      </c>
      <c r="U45" s="57" t="s">
        <v>3575</v>
      </c>
      <c r="V45" s="35"/>
      <c r="Y45" s="57"/>
      <c r="Z45" s="208">
        <f>ROUND((ROUND((ROUND((ROUND((_15_同援日０．５*_15・基礎２),0)*(1+_15・A深夜)),0)*(1+_15・盲ろう)),0)*(1+_15・区３)),0)+ROUND((ROUND((ROUND((_15_同援日０．５＿１．０*_15・基礎２),0)*(1+_15・盲ろう)),0)*(1+_15・区３)),0)</f>
        <v>714</v>
      </c>
      <c r="AA45" s="48"/>
    </row>
    <row r="46" spans="1:27" ht="16.5" customHeight="1" x14ac:dyDescent="0.15">
      <c r="A46" s="41">
        <v>15</v>
      </c>
      <c r="B46" s="41" t="s">
        <v>22099</v>
      </c>
      <c r="C46" s="74" t="s">
        <v>22100</v>
      </c>
      <c r="D46" s="72"/>
      <c r="F46" s="57"/>
      <c r="G46" s="72"/>
      <c r="I46" s="57"/>
      <c r="J46" s="269" t="s">
        <v>17560</v>
      </c>
      <c r="K46" s="37" t="s">
        <v>398</v>
      </c>
      <c r="L46" s="38">
        <v>0.9</v>
      </c>
      <c r="M46" s="299" t="s">
        <v>17556</v>
      </c>
      <c r="N46" s="45" t="s">
        <v>398</v>
      </c>
      <c r="O46" s="46">
        <v>1</v>
      </c>
      <c r="P46" s="512"/>
      <c r="Q46" s="57"/>
      <c r="R46" s="43"/>
      <c r="S46" s="37"/>
      <c r="T46" s="38"/>
      <c r="U46" s="79"/>
      <c r="V46" s="43"/>
      <c r="W46" s="37"/>
      <c r="X46" s="38"/>
      <c r="Y46" s="79"/>
      <c r="Z46" s="208">
        <f>ROUND((ROUND((ROUND((ROUND((ROUND((_15_同援日０．５*_15・基礎２),0)*_15・２人),0)*(1+_15・A深夜)),0)*(1+_15・盲ろう)),0)*(1+_15・区３)),0)+ROUND((ROUND((ROUND((ROUND((_15_同援日０．５＿１．０*_15・基礎２),0)*_15・２人),0)*(1+_15・盲ろう)),0)*(1+_15・区３)),0)</f>
        <v>714</v>
      </c>
      <c r="AA46" s="48"/>
    </row>
    <row r="47" spans="1:27" ht="16.5" customHeight="1" x14ac:dyDescent="0.15">
      <c r="A47" s="41">
        <v>15</v>
      </c>
      <c r="B47" s="41" t="s">
        <v>22101</v>
      </c>
      <c r="C47" s="74" t="s">
        <v>22102</v>
      </c>
      <c r="D47" s="72"/>
      <c r="F47" s="57"/>
      <c r="G47" s="72"/>
      <c r="I47" s="57"/>
      <c r="J47" s="53"/>
      <c r="K47" s="49"/>
      <c r="L47" s="50"/>
      <c r="M47" s="163"/>
      <c r="N47" s="45"/>
      <c r="O47" s="46"/>
      <c r="P47" s="512"/>
      <c r="Q47" s="57"/>
      <c r="R47" s="53"/>
      <c r="S47" s="49"/>
      <c r="T47" s="50"/>
      <c r="U47" s="115"/>
      <c r="V47" s="53"/>
      <c r="W47" s="49"/>
      <c r="X47" s="50"/>
      <c r="Y47" s="115"/>
      <c r="Z47" s="208">
        <f>ROUND((ROUND((_15_同援日０．５*(1+_15・A深夜)),0)*(1+_15・区４)),0)+ROUND((_15_同援日０．５＿１．０*(1+_15・区４)),0)</f>
        <v>739</v>
      </c>
      <c r="AA47" s="48"/>
    </row>
    <row r="48" spans="1:27" ht="16.5" customHeight="1" x14ac:dyDescent="0.15">
      <c r="A48" s="41">
        <v>15</v>
      </c>
      <c r="B48" s="41" t="s">
        <v>22103</v>
      </c>
      <c r="C48" s="74" t="s">
        <v>22104</v>
      </c>
      <c r="D48" s="72"/>
      <c r="F48" s="57"/>
      <c r="G48" s="72"/>
      <c r="I48" s="57"/>
      <c r="J48" s="43"/>
      <c r="K48" s="37"/>
      <c r="L48" s="38"/>
      <c r="M48" s="299" t="s">
        <v>17556</v>
      </c>
      <c r="N48" s="45" t="s">
        <v>398</v>
      </c>
      <c r="O48" s="46">
        <v>1</v>
      </c>
      <c r="P48" s="512"/>
      <c r="Q48" s="57"/>
      <c r="R48" s="35"/>
      <c r="U48" s="57"/>
      <c r="V48" s="35"/>
      <c r="Y48" s="57"/>
      <c r="Z48" s="208">
        <f>ROUND((ROUND((ROUND((_15_同援日０．５*_15・２人),0)*(1+_15・A深夜)),0)*(1+_15・区４)),0)+ROUND((ROUND((_15_同援日０．５＿１．０*_15・２人),0)*(1+_15・区４)),0)</f>
        <v>739</v>
      </c>
      <c r="AA48" s="48"/>
    </row>
    <row r="49" spans="1:27" ht="16.5" customHeight="1" x14ac:dyDescent="0.15">
      <c r="A49" s="41">
        <v>15</v>
      </c>
      <c r="B49" s="41" t="s">
        <v>1231</v>
      </c>
      <c r="C49" s="74" t="s">
        <v>22105</v>
      </c>
      <c r="D49" s="72"/>
      <c r="F49" s="57"/>
      <c r="G49" s="72"/>
      <c r="I49" s="57"/>
      <c r="J49" s="114" t="s">
        <v>17558</v>
      </c>
      <c r="K49" s="49"/>
      <c r="L49" s="50"/>
      <c r="M49" s="163"/>
      <c r="N49" s="45"/>
      <c r="O49" s="46"/>
      <c r="P49" s="512"/>
      <c r="Q49" s="57"/>
      <c r="R49" s="35"/>
      <c r="U49" s="57"/>
      <c r="V49" s="72" t="s">
        <v>17580</v>
      </c>
      <c r="Y49" s="57"/>
      <c r="Z49" s="208">
        <f>ROUND((ROUND((ROUND((_15_同援日０．５*_15・基礎２),0)*(1+_15・A深夜)),0)*(1+_15・区４)),0)+ROUND((ROUND((_15_同援日０．５＿１．０*_15・基礎２),0)*(1+_15・区４)),0)</f>
        <v>667</v>
      </c>
      <c r="AA49" s="48"/>
    </row>
    <row r="50" spans="1:27" ht="16.5" customHeight="1" x14ac:dyDescent="0.15">
      <c r="A50" s="41">
        <v>15</v>
      </c>
      <c r="B50" s="41" t="s">
        <v>1233</v>
      </c>
      <c r="C50" s="74" t="s">
        <v>22106</v>
      </c>
      <c r="D50" s="72"/>
      <c r="F50" s="57"/>
      <c r="G50" s="72"/>
      <c r="I50" s="57"/>
      <c r="J50" s="269" t="s">
        <v>17560</v>
      </c>
      <c r="K50" s="37" t="s">
        <v>398</v>
      </c>
      <c r="L50" s="38">
        <v>0.9</v>
      </c>
      <c r="M50" s="299" t="s">
        <v>17556</v>
      </c>
      <c r="N50" s="45" t="s">
        <v>398</v>
      </c>
      <c r="O50" s="46">
        <v>1</v>
      </c>
      <c r="P50" s="512"/>
      <c r="Q50" s="57"/>
      <c r="R50" s="43"/>
      <c r="S50" s="37"/>
      <c r="T50" s="38"/>
      <c r="U50" s="79"/>
      <c r="V50" s="72" t="s">
        <v>17572</v>
      </c>
      <c r="Y50" s="57"/>
      <c r="Z50" s="208">
        <f>ROUND((ROUND((ROUND((ROUND((_15_同援日０．５*_15・基礎２),0)*_15・２人),0)*(1+_15・A深夜)),0)*(1+_15・区４)),0)+ROUND((ROUND((ROUND((_15_同援日０．５＿１．０*_15・基礎２),0)*_15・２人),0)*(1+_15・区４)),0)</f>
        <v>667</v>
      </c>
      <c r="AA50" s="48"/>
    </row>
    <row r="51" spans="1:27" ht="16.5" customHeight="1" x14ac:dyDescent="0.15">
      <c r="A51" s="41">
        <v>15</v>
      </c>
      <c r="B51" s="41" t="s">
        <v>1235</v>
      </c>
      <c r="C51" s="74" t="s">
        <v>22107</v>
      </c>
      <c r="D51" s="72"/>
      <c r="F51" s="57"/>
      <c r="G51" s="72"/>
      <c r="I51" s="57"/>
      <c r="J51" s="53"/>
      <c r="K51" s="49"/>
      <c r="L51" s="50"/>
      <c r="M51" s="163"/>
      <c r="N51" s="45"/>
      <c r="O51" s="46"/>
      <c r="P51" s="512"/>
      <c r="Q51" s="57"/>
      <c r="R51" s="114" t="s">
        <v>17562</v>
      </c>
      <c r="S51" s="49"/>
      <c r="T51" s="50"/>
      <c r="U51" s="115"/>
      <c r="V51" s="35"/>
      <c r="W51" s="12" t="s">
        <v>398</v>
      </c>
      <c r="X51" s="13">
        <v>0.4</v>
      </c>
      <c r="Y51" s="57" t="s">
        <v>3575</v>
      </c>
      <c r="Z51" s="208">
        <f>ROUND((ROUND((ROUND((_15_同援日０．５*(1+_15・A深夜)),0)*(1+_15・盲ろう)),0)*(1+_15・区４)),0)+ROUND((ROUND((_15_同援日０．５＿１．０*(1+_15・盲ろう)),0)*(1+_15・区４)),0)</f>
        <v>924</v>
      </c>
      <c r="AA51" s="48"/>
    </row>
    <row r="52" spans="1:27" ht="16.5" customHeight="1" x14ac:dyDescent="0.15">
      <c r="A52" s="41">
        <v>15</v>
      </c>
      <c r="B52" s="41" t="s">
        <v>1237</v>
      </c>
      <c r="C52" s="74" t="s">
        <v>22108</v>
      </c>
      <c r="D52" s="72"/>
      <c r="F52" s="57"/>
      <c r="G52" s="72"/>
      <c r="I52" s="57"/>
      <c r="J52" s="43"/>
      <c r="K52" s="37"/>
      <c r="L52" s="38"/>
      <c r="M52" s="299" t="s">
        <v>17556</v>
      </c>
      <c r="N52" s="45" t="s">
        <v>398</v>
      </c>
      <c r="O52" s="46">
        <v>1</v>
      </c>
      <c r="P52" s="512"/>
      <c r="Q52" s="57"/>
      <c r="R52" s="92" t="s">
        <v>17564</v>
      </c>
      <c r="U52" s="57"/>
      <c r="V52" s="35"/>
      <c r="Y52" s="57"/>
      <c r="Z52" s="208">
        <f>ROUND((ROUND((ROUND((ROUND((_15_同援日０．５*_15・２人),0)*(1+_15・A深夜)),0)*(1+_15・盲ろう)),0)*(1+_15・区４)),0)+ROUND((ROUND((ROUND((_15_同援日０．５＿１．０*_15・２人),0)*(1+_15・盲ろう)),0)*(1+_15・区４)),0)</f>
        <v>924</v>
      </c>
      <c r="AA52" s="48"/>
    </row>
    <row r="53" spans="1:27" ht="16.5" customHeight="1" x14ac:dyDescent="0.15">
      <c r="A53" s="41">
        <v>15</v>
      </c>
      <c r="B53" s="41" t="s">
        <v>22109</v>
      </c>
      <c r="C53" s="74" t="s">
        <v>22110</v>
      </c>
      <c r="D53" s="72"/>
      <c r="F53" s="57"/>
      <c r="G53" s="72"/>
      <c r="I53" s="57"/>
      <c r="J53" s="114" t="s">
        <v>17558</v>
      </c>
      <c r="K53" s="49"/>
      <c r="L53" s="50"/>
      <c r="M53" s="163"/>
      <c r="N53" s="45"/>
      <c r="O53" s="46"/>
      <c r="P53" s="512"/>
      <c r="Q53" s="57"/>
      <c r="R53" s="35"/>
      <c r="S53" s="12" t="s">
        <v>398</v>
      </c>
      <c r="T53" s="13">
        <v>0.25</v>
      </c>
      <c r="U53" s="57" t="s">
        <v>3575</v>
      </c>
      <c r="V53" s="35"/>
      <c r="Y53" s="57"/>
      <c r="Z53" s="208">
        <f>ROUND((ROUND((ROUND((ROUND((_15_同援日０．５*_15・基礎２),0)*(1+_15・A深夜)),0)*(1+_15・盲ろう)),0)*(1+_15・区４)),0)+ROUND((ROUND((ROUND((_15_同援日０．５＿１．０*_15・基礎２),0)*(1+_15・盲ろう)),0)*(1+_15・区４)),0)</f>
        <v>833</v>
      </c>
      <c r="AA53" s="48"/>
    </row>
    <row r="54" spans="1:27" ht="16.5" customHeight="1" x14ac:dyDescent="0.15">
      <c r="A54" s="41">
        <v>15</v>
      </c>
      <c r="B54" s="41" t="s">
        <v>22111</v>
      </c>
      <c r="C54" s="74" t="s">
        <v>22112</v>
      </c>
      <c r="D54" s="72"/>
      <c r="F54" s="57"/>
      <c r="G54" s="122"/>
      <c r="H54" s="37"/>
      <c r="I54" s="79"/>
      <c r="J54" s="269" t="s">
        <v>17560</v>
      </c>
      <c r="K54" s="37" t="s">
        <v>398</v>
      </c>
      <c r="L54" s="38">
        <v>0.9</v>
      </c>
      <c r="M54" s="299" t="s">
        <v>17556</v>
      </c>
      <c r="N54" s="45" t="s">
        <v>398</v>
      </c>
      <c r="O54" s="46">
        <v>1</v>
      </c>
      <c r="P54" s="512"/>
      <c r="Q54" s="57"/>
      <c r="R54" s="43"/>
      <c r="S54" s="37"/>
      <c r="T54" s="38"/>
      <c r="U54" s="79"/>
      <c r="V54" s="43"/>
      <c r="W54" s="37"/>
      <c r="X54" s="38"/>
      <c r="Y54" s="79"/>
      <c r="Z54" s="208">
        <f>ROUND((ROUND((ROUND((ROUND((ROUND((_15_同援日０．５*_15・基礎２),0)*_15・２人),0)*(1+_15・A深夜)),0)*(1+_15・盲ろう)),0)*(1+_15・区４)),0)+ROUND((ROUND((ROUND((ROUND((_15_同援日０．５＿１．０*_15・基礎２),0)*_15・２人),0)*(1+_15・盲ろう)),0)*(1+_15・区４)),0)</f>
        <v>833</v>
      </c>
      <c r="AA54" s="48"/>
    </row>
    <row r="55" spans="1:27" ht="16.5" customHeight="1" x14ac:dyDescent="0.15">
      <c r="A55" s="41">
        <v>15</v>
      </c>
      <c r="B55" s="41" t="s">
        <v>22113</v>
      </c>
      <c r="C55" s="74" t="s">
        <v>22114</v>
      </c>
      <c r="D55" s="72"/>
      <c r="F55" s="57"/>
      <c r="G55" s="114" t="s">
        <v>19237</v>
      </c>
      <c r="H55" s="49"/>
      <c r="I55" s="115"/>
      <c r="J55" s="53"/>
      <c r="K55" s="49"/>
      <c r="L55" s="50"/>
      <c r="M55" s="163"/>
      <c r="N55" s="45"/>
      <c r="O55" s="46"/>
      <c r="P55" s="512"/>
      <c r="Q55" s="57"/>
      <c r="R55" s="53"/>
      <c r="S55" s="49"/>
      <c r="T55" s="50"/>
      <c r="U55" s="115"/>
      <c r="V55" s="53"/>
      <c r="W55" s="49"/>
      <c r="X55" s="50"/>
      <c r="Y55" s="115"/>
      <c r="Z55" s="208">
        <f>ROUND((_15_同援日０．５*(1+_15・A深夜)),0)+_15_同援日０．５＿１．５</f>
        <v>593</v>
      </c>
      <c r="AA55" s="48"/>
    </row>
    <row r="56" spans="1:27" ht="16.5" customHeight="1" x14ac:dyDescent="0.15">
      <c r="A56" s="41">
        <v>15</v>
      </c>
      <c r="B56" s="41" t="s">
        <v>22115</v>
      </c>
      <c r="C56" s="74" t="s">
        <v>22116</v>
      </c>
      <c r="D56" s="72"/>
      <c r="F56" s="57"/>
      <c r="G56" s="72" t="s">
        <v>17616</v>
      </c>
      <c r="I56" s="57"/>
      <c r="J56" s="43"/>
      <c r="K56" s="37"/>
      <c r="L56" s="38"/>
      <c r="M56" s="299" t="s">
        <v>17556</v>
      </c>
      <c r="N56" s="45" t="s">
        <v>398</v>
      </c>
      <c r="O56" s="46">
        <v>1</v>
      </c>
      <c r="P56" s="512"/>
      <c r="Q56" s="57"/>
      <c r="R56" s="35"/>
      <c r="U56" s="57"/>
      <c r="V56" s="35"/>
      <c r="Y56" s="57"/>
      <c r="Z56" s="208">
        <f>ROUND((ROUND((_15_同援日０．５*_15・２人),0)*(1+_15・A深夜)),0)+ROUND((_15_同援日０．５＿１．５*_15・２人),0)</f>
        <v>593</v>
      </c>
      <c r="AA56" s="48"/>
    </row>
    <row r="57" spans="1:27" ht="16.5" customHeight="1" x14ac:dyDescent="0.15">
      <c r="A57" s="41">
        <v>15</v>
      </c>
      <c r="B57" s="41" t="s">
        <v>22117</v>
      </c>
      <c r="C57" s="74" t="s">
        <v>22118</v>
      </c>
      <c r="D57" s="72"/>
      <c r="F57" s="57"/>
      <c r="G57" s="72" t="s">
        <v>18183</v>
      </c>
      <c r="I57" s="57"/>
      <c r="J57" s="114" t="s">
        <v>17558</v>
      </c>
      <c r="K57" s="49"/>
      <c r="L57" s="50"/>
      <c r="M57" s="163"/>
      <c r="N57" s="45"/>
      <c r="O57" s="46"/>
      <c r="P57" s="512"/>
      <c r="Q57" s="57"/>
      <c r="R57" s="35"/>
      <c r="U57" s="57"/>
      <c r="V57" s="35"/>
      <c r="Y57" s="57"/>
      <c r="Z57" s="208">
        <f>ROUND((ROUND((_15_同援日０．５*_15・基礎２),0)*(1+_15・A深夜)),0)+ROUND((_15_同援日０．５＿１．５*_15・基礎２),0)</f>
        <v>534</v>
      </c>
      <c r="AA57" s="48"/>
    </row>
    <row r="58" spans="1:27" ht="16.5" customHeight="1" x14ac:dyDescent="0.15">
      <c r="A58" s="41">
        <v>15</v>
      </c>
      <c r="B58" s="41" t="s">
        <v>22119</v>
      </c>
      <c r="C58" s="74" t="s">
        <v>22120</v>
      </c>
      <c r="D58" s="72"/>
      <c r="F58" s="57"/>
      <c r="G58" s="72"/>
      <c r="H58" s="168">
        <f>_15_同援日０．５＿１．５</f>
        <v>308</v>
      </c>
      <c r="I58" s="57" t="s">
        <v>392</v>
      </c>
      <c r="J58" s="269" t="s">
        <v>17560</v>
      </c>
      <c r="K58" s="37" t="s">
        <v>398</v>
      </c>
      <c r="L58" s="38">
        <v>0.9</v>
      </c>
      <c r="M58" s="299" t="s">
        <v>17556</v>
      </c>
      <c r="N58" s="45" t="s">
        <v>398</v>
      </c>
      <c r="O58" s="46">
        <v>1</v>
      </c>
      <c r="P58" s="512"/>
      <c r="Q58" s="57"/>
      <c r="R58" s="43"/>
      <c r="S58" s="37"/>
      <c r="T58" s="38"/>
      <c r="U58" s="79"/>
      <c r="V58" s="35"/>
      <c r="Y58" s="57"/>
      <c r="Z58" s="208">
        <f>ROUND((ROUND((ROUND((_15_同援日０．５*_15・基礎２),0)*_15・２人),0)*(1+_15・A深夜)),0)+ROUND((ROUND((_15_同援日０．５＿１．５*_15・基礎２),0)*_15・２人),0)</f>
        <v>534</v>
      </c>
      <c r="AA58" s="48"/>
    </row>
    <row r="59" spans="1:27" ht="16.5" customHeight="1" x14ac:dyDescent="0.15">
      <c r="A59" s="41">
        <v>15</v>
      </c>
      <c r="B59" s="41" t="s">
        <v>22121</v>
      </c>
      <c r="C59" s="74" t="s">
        <v>22122</v>
      </c>
      <c r="D59" s="72"/>
      <c r="F59" s="57"/>
      <c r="G59" s="72"/>
      <c r="I59" s="57"/>
      <c r="J59" s="53"/>
      <c r="K59" s="49"/>
      <c r="L59" s="50"/>
      <c r="M59" s="163"/>
      <c r="N59" s="45"/>
      <c r="O59" s="46"/>
      <c r="P59" s="512"/>
      <c r="Q59" s="57"/>
      <c r="R59" s="114" t="s">
        <v>17562</v>
      </c>
      <c r="S59" s="49"/>
      <c r="T59" s="50"/>
      <c r="U59" s="115"/>
      <c r="V59" s="35"/>
      <c r="Y59" s="57"/>
      <c r="Z59" s="208">
        <f>ROUND((ROUND((_15_同援日０．５*(1+_15・A深夜)),0)*(1+_15・盲ろう)),0)+ROUND((_15_同援日０．５＿１．５*(1+_15・盲ろう)),0)</f>
        <v>741</v>
      </c>
      <c r="AA59" s="48"/>
    </row>
    <row r="60" spans="1:27" ht="16.5" customHeight="1" x14ac:dyDescent="0.15">
      <c r="A60" s="41">
        <v>15</v>
      </c>
      <c r="B60" s="41" t="s">
        <v>22123</v>
      </c>
      <c r="C60" s="74" t="s">
        <v>22124</v>
      </c>
      <c r="D60" s="72"/>
      <c r="F60" s="57"/>
      <c r="G60" s="72"/>
      <c r="I60" s="57"/>
      <c r="J60" s="43"/>
      <c r="K60" s="37"/>
      <c r="L60" s="38"/>
      <c r="M60" s="299" t="s">
        <v>17556</v>
      </c>
      <c r="N60" s="45" t="s">
        <v>398</v>
      </c>
      <c r="O60" s="46">
        <v>1</v>
      </c>
      <c r="P60" s="512"/>
      <c r="Q60" s="57"/>
      <c r="R60" s="92" t="s">
        <v>17564</v>
      </c>
      <c r="U60" s="57"/>
      <c r="V60" s="35"/>
      <c r="Y60" s="57"/>
      <c r="Z60" s="208">
        <f>ROUND((ROUND((ROUND((_15_同援日０．５*_15・２人),0)*(1+_15・A深夜)),0)*(1+_15・盲ろう)),0)+ROUND((ROUND((_15_同援日０．５＿１．５*_15・２人),0)*(1+_15・盲ろう)),0)</f>
        <v>741</v>
      </c>
      <c r="AA60" s="48"/>
    </row>
    <row r="61" spans="1:27" ht="16.5" customHeight="1" x14ac:dyDescent="0.15">
      <c r="A61" s="41">
        <v>15</v>
      </c>
      <c r="B61" s="41" t="s">
        <v>22125</v>
      </c>
      <c r="C61" s="74" t="s">
        <v>22126</v>
      </c>
      <c r="D61" s="72"/>
      <c r="F61" s="57"/>
      <c r="G61" s="72"/>
      <c r="I61" s="57"/>
      <c r="J61" s="114" t="s">
        <v>17558</v>
      </c>
      <c r="K61" s="49"/>
      <c r="L61" s="50"/>
      <c r="M61" s="163"/>
      <c r="N61" s="45"/>
      <c r="O61" s="46"/>
      <c r="P61" s="512"/>
      <c r="Q61" s="57"/>
      <c r="R61" s="35"/>
      <c r="S61" s="12" t="s">
        <v>398</v>
      </c>
      <c r="T61" s="13">
        <v>0.25</v>
      </c>
      <c r="U61" s="57" t="s">
        <v>3575</v>
      </c>
      <c r="V61" s="35"/>
      <c r="Y61" s="57"/>
      <c r="Z61" s="208">
        <f>ROUND((ROUND((ROUND((_15_同援日０．５*_15・基礎２),0)*(1+_15・A深夜)),0)*(1+_15・盲ろう)),0)+ROUND((ROUND((_15_同援日０．５＿１．５*_15・基礎２),0)*(1+_15・盲ろう)),0)</f>
        <v>667</v>
      </c>
      <c r="AA61" s="48"/>
    </row>
    <row r="62" spans="1:27" ht="16.5" customHeight="1" x14ac:dyDescent="0.15">
      <c r="A62" s="41">
        <v>15</v>
      </c>
      <c r="B62" s="41" t="s">
        <v>22127</v>
      </c>
      <c r="C62" s="74" t="s">
        <v>22128</v>
      </c>
      <c r="D62" s="72"/>
      <c r="F62" s="57"/>
      <c r="G62" s="72"/>
      <c r="I62" s="57"/>
      <c r="J62" s="269" t="s">
        <v>17560</v>
      </c>
      <c r="K62" s="37" t="s">
        <v>398</v>
      </c>
      <c r="L62" s="38">
        <v>0.9</v>
      </c>
      <c r="M62" s="299" t="s">
        <v>17556</v>
      </c>
      <c r="N62" s="45" t="s">
        <v>398</v>
      </c>
      <c r="O62" s="46">
        <v>1</v>
      </c>
      <c r="P62" s="512"/>
      <c r="Q62" s="57"/>
      <c r="R62" s="43"/>
      <c r="S62" s="37"/>
      <c r="T62" s="38"/>
      <c r="U62" s="79"/>
      <c r="V62" s="43"/>
      <c r="W62" s="37"/>
      <c r="X62" s="38"/>
      <c r="Y62" s="79"/>
      <c r="Z62" s="208">
        <f>ROUND((ROUND((ROUND((ROUND((_15_同援日０．５*_15・基礎２),0)*_15・２人),0)*(1+_15・A深夜)),0)*(1+_15・盲ろう)),0)+ROUND((ROUND((ROUND((_15_同援日０．５＿１．５*_15・基礎２),0)*_15・２人),0)*(1+_15・盲ろう)),0)</f>
        <v>667</v>
      </c>
      <c r="AA62" s="48"/>
    </row>
    <row r="63" spans="1:27" ht="16.5" customHeight="1" x14ac:dyDescent="0.15">
      <c r="A63" s="41">
        <v>15</v>
      </c>
      <c r="B63" s="41" t="s">
        <v>22129</v>
      </c>
      <c r="C63" s="74" t="s">
        <v>22130</v>
      </c>
      <c r="D63" s="72"/>
      <c r="F63" s="57"/>
      <c r="G63" s="72"/>
      <c r="I63" s="57"/>
      <c r="J63" s="53"/>
      <c r="K63" s="49"/>
      <c r="L63" s="50"/>
      <c r="M63" s="163"/>
      <c r="N63" s="45"/>
      <c r="O63" s="46"/>
      <c r="P63" s="512"/>
      <c r="Q63" s="57"/>
      <c r="R63" s="53"/>
      <c r="S63" s="49"/>
      <c r="T63" s="50"/>
      <c r="U63" s="115"/>
      <c r="V63" s="53"/>
      <c r="W63" s="49"/>
      <c r="X63" s="50"/>
      <c r="Y63" s="115"/>
      <c r="Z63" s="208">
        <f>ROUND((ROUND((_15_同援日０．５*(1+_15・A深夜)),0)*(1+_15・区３)),0)+ROUND((_15_同援日０．５＿１．５*(1+_15・区３)),0)</f>
        <v>712</v>
      </c>
      <c r="AA63" s="48"/>
    </row>
    <row r="64" spans="1:27" ht="16.5" customHeight="1" x14ac:dyDescent="0.15">
      <c r="A64" s="41">
        <v>15</v>
      </c>
      <c r="B64" s="41" t="s">
        <v>22131</v>
      </c>
      <c r="C64" s="74" t="s">
        <v>22132</v>
      </c>
      <c r="D64" s="72"/>
      <c r="F64" s="57"/>
      <c r="G64" s="72"/>
      <c r="I64" s="57"/>
      <c r="J64" s="43"/>
      <c r="K64" s="37"/>
      <c r="L64" s="38"/>
      <c r="M64" s="299" t="s">
        <v>17556</v>
      </c>
      <c r="N64" s="45" t="s">
        <v>398</v>
      </c>
      <c r="O64" s="46">
        <v>1</v>
      </c>
      <c r="P64" s="512"/>
      <c r="Q64" s="57"/>
      <c r="R64" s="35"/>
      <c r="U64" s="57"/>
      <c r="V64" s="35"/>
      <c r="Y64" s="57"/>
      <c r="Z64" s="208">
        <f>ROUND((ROUND((ROUND((_15_同援日０．５*_15・２人),0)*(1+_15・A深夜)),0)*(1+_15・区３)),0)+ROUND((ROUND((_15_同援日０．５＿１．５*_15・２人),0)*(1+_15・区３)),0)</f>
        <v>712</v>
      </c>
      <c r="AA64" s="48"/>
    </row>
    <row r="65" spans="1:27" ht="16.5" customHeight="1" x14ac:dyDescent="0.15">
      <c r="A65" s="41">
        <v>15</v>
      </c>
      <c r="B65" s="41" t="s">
        <v>22133</v>
      </c>
      <c r="C65" s="74" t="s">
        <v>22134</v>
      </c>
      <c r="D65" s="72"/>
      <c r="F65" s="57"/>
      <c r="G65" s="72"/>
      <c r="I65" s="57"/>
      <c r="J65" s="114" t="s">
        <v>17558</v>
      </c>
      <c r="K65" s="49"/>
      <c r="L65" s="50"/>
      <c r="M65" s="163"/>
      <c r="N65" s="45"/>
      <c r="O65" s="46"/>
      <c r="P65" s="512"/>
      <c r="Q65" s="57"/>
      <c r="R65" s="35"/>
      <c r="U65" s="57"/>
      <c r="V65" s="72" t="s">
        <v>17570</v>
      </c>
      <c r="Y65" s="57"/>
      <c r="Z65" s="208">
        <f>ROUND((ROUND((ROUND((_15_同援日０．５*_15・基礎２),0)*(1+_15・A深夜)),0)*(1+_15・区３)),0)+ROUND((ROUND((_15_同援日０．５＿１．５*_15・基礎２),0)*(1+_15・区３)),0)</f>
        <v>640</v>
      </c>
      <c r="AA65" s="48"/>
    </row>
    <row r="66" spans="1:27" ht="16.5" customHeight="1" x14ac:dyDescent="0.15">
      <c r="A66" s="41">
        <v>15</v>
      </c>
      <c r="B66" s="41" t="s">
        <v>22135</v>
      </c>
      <c r="C66" s="74" t="s">
        <v>22136</v>
      </c>
      <c r="D66" s="72"/>
      <c r="F66" s="57"/>
      <c r="G66" s="72"/>
      <c r="I66" s="57"/>
      <c r="J66" s="269" t="s">
        <v>17560</v>
      </c>
      <c r="K66" s="37" t="s">
        <v>398</v>
      </c>
      <c r="L66" s="38">
        <v>0.9</v>
      </c>
      <c r="M66" s="299" t="s">
        <v>17556</v>
      </c>
      <c r="N66" s="45" t="s">
        <v>398</v>
      </c>
      <c r="O66" s="46">
        <v>1</v>
      </c>
      <c r="P66" s="512"/>
      <c r="Q66" s="57"/>
      <c r="R66" s="43"/>
      <c r="S66" s="37"/>
      <c r="T66" s="38"/>
      <c r="U66" s="79"/>
      <c r="V66" s="72" t="s">
        <v>17572</v>
      </c>
      <c r="Y66" s="57"/>
      <c r="Z66" s="208">
        <f>ROUND((ROUND((ROUND((ROUND((_15_同援日０．５*_15・基礎２),0)*_15・２人),0)*(1+_15・A深夜)),0)*(1+_15・区３)),0)+ROUND((ROUND((ROUND((_15_同援日０．５＿１．５*_15・基礎２),0)*_15・２人),0)*(1+_15・区３)),0)</f>
        <v>640</v>
      </c>
      <c r="AA66" s="48"/>
    </row>
    <row r="67" spans="1:27" ht="16.5" customHeight="1" x14ac:dyDescent="0.15">
      <c r="A67" s="41">
        <v>15</v>
      </c>
      <c r="B67" s="41" t="s">
        <v>22137</v>
      </c>
      <c r="C67" s="74" t="s">
        <v>22138</v>
      </c>
      <c r="D67" s="72"/>
      <c r="F67" s="57"/>
      <c r="G67" s="72"/>
      <c r="I67" s="57"/>
      <c r="J67" s="53"/>
      <c r="K67" s="49"/>
      <c r="L67" s="50"/>
      <c r="M67" s="163"/>
      <c r="N67" s="45"/>
      <c r="O67" s="46"/>
      <c r="P67" s="512"/>
      <c r="Q67" s="57"/>
      <c r="R67" s="114" t="s">
        <v>17562</v>
      </c>
      <c r="S67" s="49"/>
      <c r="T67" s="50"/>
      <c r="U67" s="115"/>
      <c r="V67" s="35"/>
      <c r="W67" s="12" t="s">
        <v>398</v>
      </c>
      <c r="X67" s="13">
        <v>0.2</v>
      </c>
      <c r="Y67" s="57" t="s">
        <v>3575</v>
      </c>
      <c r="Z67" s="208">
        <f>ROUND((ROUND((ROUND((_15_同援日０．５*(1+_15・A深夜)),0)*(1+_15・盲ろう)),0)*(1+_15・区３)),0)+ROUND((ROUND((_15_同援日０．５＿１．５*(1+_15・盲ろう)),0)*(1+_15・区３)),0)</f>
        <v>889</v>
      </c>
      <c r="AA67" s="48"/>
    </row>
    <row r="68" spans="1:27" ht="16.5" customHeight="1" x14ac:dyDescent="0.15">
      <c r="A68" s="41">
        <v>15</v>
      </c>
      <c r="B68" s="41" t="s">
        <v>22139</v>
      </c>
      <c r="C68" s="74" t="s">
        <v>22140</v>
      </c>
      <c r="D68" s="72"/>
      <c r="F68" s="57"/>
      <c r="G68" s="72"/>
      <c r="I68" s="57"/>
      <c r="J68" s="43"/>
      <c r="K68" s="37"/>
      <c r="L68" s="38"/>
      <c r="M68" s="299" t="s">
        <v>17556</v>
      </c>
      <c r="N68" s="45" t="s">
        <v>398</v>
      </c>
      <c r="O68" s="46">
        <v>1</v>
      </c>
      <c r="P68" s="512"/>
      <c r="Q68" s="57"/>
      <c r="R68" s="92" t="s">
        <v>17564</v>
      </c>
      <c r="U68" s="57"/>
      <c r="V68" s="35"/>
      <c r="Y68" s="57"/>
      <c r="Z68" s="208">
        <f>ROUND((ROUND((ROUND((ROUND((_15_同援日０．５*_15・２人),0)*(1+_15・A深夜)),0)*(1+_15・盲ろう)),0)*(1+_15・区３)),0)+ROUND((ROUND((ROUND((_15_同援日０．５＿１．５*_15・２人),0)*(1+_15・盲ろう)),0)*(1+_15・区３)),0)</f>
        <v>889</v>
      </c>
      <c r="AA68" s="48"/>
    </row>
    <row r="69" spans="1:27" ht="16.5" customHeight="1" x14ac:dyDescent="0.15">
      <c r="A69" s="41">
        <v>15</v>
      </c>
      <c r="B69" s="41" t="s">
        <v>1244</v>
      </c>
      <c r="C69" s="74" t="s">
        <v>22141</v>
      </c>
      <c r="D69" s="72"/>
      <c r="F69" s="57"/>
      <c r="G69" s="72"/>
      <c r="I69" s="57"/>
      <c r="J69" s="114" t="s">
        <v>17558</v>
      </c>
      <c r="K69" s="49"/>
      <c r="L69" s="50"/>
      <c r="M69" s="163"/>
      <c r="N69" s="45"/>
      <c r="O69" s="46"/>
      <c r="P69" s="512"/>
      <c r="Q69" s="57"/>
      <c r="R69" s="35"/>
      <c r="S69" s="12" t="s">
        <v>398</v>
      </c>
      <c r="T69" s="13">
        <v>0.25</v>
      </c>
      <c r="U69" s="57" t="s">
        <v>3575</v>
      </c>
      <c r="V69" s="35"/>
      <c r="Y69" s="57"/>
      <c r="Z69" s="208">
        <f>ROUND((ROUND((ROUND((ROUND((_15_同援日０．５*_15・基礎２),0)*(1+_15・A深夜)),0)*(1+_15・盲ろう)),0)*(1+_15・区３)),0)+ROUND((ROUND((ROUND((_15_同援日０．５＿１．５*_15・基礎２),0)*(1+_15・盲ろう)),0)*(1+_15・区３)),0)</f>
        <v>800</v>
      </c>
      <c r="AA69" s="48"/>
    </row>
    <row r="70" spans="1:27" ht="16.5" customHeight="1" x14ac:dyDescent="0.15">
      <c r="A70" s="41">
        <v>15</v>
      </c>
      <c r="B70" s="41" t="s">
        <v>1246</v>
      </c>
      <c r="C70" s="74" t="s">
        <v>22142</v>
      </c>
      <c r="D70" s="72"/>
      <c r="F70" s="57"/>
      <c r="G70" s="72"/>
      <c r="I70" s="57"/>
      <c r="J70" s="269" t="s">
        <v>17560</v>
      </c>
      <c r="K70" s="37" t="s">
        <v>398</v>
      </c>
      <c r="L70" s="38">
        <v>0.9</v>
      </c>
      <c r="M70" s="299" t="s">
        <v>17556</v>
      </c>
      <c r="N70" s="45" t="s">
        <v>398</v>
      </c>
      <c r="O70" s="46">
        <v>1</v>
      </c>
      <c r="P70" s="512"/>
      <c r="Q70" s="57"/>
      <c r="R70" s="43"/>
      <c r="S70" s="37"/>
      <c r="T70" s="38"/>
      <c r="U70" s="79"/>
      <c r="V70" s="43"/>
      <c r="W70" s="37"/>
      <c r="X70" s="38"/>
      <c r="Y70" s="79"/>
      <c r="Z70" s="208">
        <f>ROUND((ROUND((ROUND((ROUND((ROUND((_15_同援日０．５*_15・基礎２),0)*_15・２人),0)*(1+_15・A深夜)),0)*(1+_15・盲ろう)),0)*(1+_15・区３)),0)+ROUND((ROUND((ROUND((ROUND((_15_同援日０．５＿１．５*_15・基礎２),0)*_15・２人),0)*(1+_15・盲ろう)),0)*(1+_15・区３)),0)</f>
        <v>800</v>
      </c>
      <c r="AA70" s="48"/>
    </row>
    <row r="71" spans="1:27" ht="16.5" customHeight="1" x14ac:dyDescent="0.15">
      <c r="A71" s="41">
        <v>15</v>
      </c>
      <c r="B71" s="41" t="s">
        <v>1248</v>
      </c>
      <c r="C71" s="74" t="s">
        <v>22143</v>
      </c>
      <c r="D71" s="72"/>
      <c r="F71" s="57"/>
      <c r="G71" s="72"/>
      <c r="I71" s="57"/>
      <c r="J71" s="53"/>
      <c r="K71" s="49"/>
      <c r="L71" s="50"/>
      <c r="M71" s="163"/>
      <c r="N71" s="45"/>
      <c r="O71" s="46"/>
      <c r="P71" s="512"/>
      <c r="Q71" s="57"/>
      <c r="R71" s="53"/>
      <c r="S71" s="49"/>
      <c r="T71" s="50"/>
      <c r="U71" s="115"/>
      <c r="V71" s="53"/>
      <c r="W71" s="49"/>
      <c r="X71" s="50"/>
      <c r="Y71" s="115"/>
      <c r="Z71" s="208">
        <f>ROUND((ROUND((_15_同援日０．５*(1+_15・A深夜)),0)*(1+_15・区４)),0)+ROUND((_15_同援日０．５＿１．５*(1+_15・区４)),0)</f>
        <v>830</v>
      </c>
      <c r="AA71" s="48"/>
    </row>
    <row r="72" spans="1:27" ht="16.5" customHeight="1" x14ac:dyDescent="0.15">
      <c r="A72" s="41">
        <v>15</v>
      </c>
      <c r="B72" s="41" t="s">
        <v>1250</v>
      </c>
      <c r="C72" s="74" t="s">
        <v>22144</v>
      </c>
      <c r="D72" s="72"/>
      <c r="F72" s="57"/>
      <c r="G72" s="72"/>
      <c r="I72" s="57"/>
      <c r="J72" s="43"/>
      <c r="K72" s="37"/>
      <c r="L72" s="38"/>
      <c r="M72" s="299" t="s">
        <v>17556</v>
      </c>
      <c r="N72" s="45" t="s">
        <v>398</v>
      </c>
      <c r="O72" s="46">
        <v>1</v>
      </c>
      <c r="P72" s="512"/>
      <c r="Q72" s="57"/>
      <c r="R72" s="35"/>
      <c r="U72" s="57"/>
      <c r="V72" s="35"/>
      <c r="Y72" s="57"/>
      <c r="Z72" s="208">
        <f>ROUND((ROUND((ROUND((_15_同援日０．５*_15・２人),0)*(1+_15・A深夜)),0)*(1+_15・区４)),0)+ROUND((ROUND((_15_同援日０．５＿１．５*_15・２人),0)*(1+_15・区４)),0)</f>
        <v>830</v>
      </c>
      <c r="AA72" s="48"/>
    </row>
    <row r="73" spans="1:27" ht="16.5" customHeight="1" x14ac:dyDescent="0.15">
      <c r="A73" s="41">
        <v>15</v>
      </c>
      <c r="B73" s="41" t="s">
        <v>22145</v>
      </c>
      <c r="C73" s="74" t="s">
        <v>22146</v>
      </c>
      <c r="D73" s="72"/>
      <c r="F73" s="57"/>
      <c r="G73" s="72"/>
      <c r="I73" s="57"/>
      <c r="J73" s="114" t="s">
        <v>17558</v>
      </c>
      <c r="K73" s="49"/>
      <c r="L73" s="50"/>
      <c r="M73" s="163"/>
      <c r="N73" s="45"/>
      <c r="O73" s="46"/>
      <c r="P73" s="512"/>
      <c r="Q73" s="57"/>
      <c r="R73" s="35"/>
      <c r="U73" s="57"/>
      <c r="V73" s="72" t="s">
        <v>17580</v>
      </c>
      <c r="Y73" s="57"/>
      <c r="Z73" s="208">
        <f>ROUND((ROUND((ROUND((_15_同援日０．５*_15・基礎２),0)*(1+_15・A深夜)),0)*(1+_15・区４)),0)+ROUND((ROUND((_15_同援日０．５＿１．５*_15・基礎２),0)*(1+_15・区４)),0)</f>
        <v>748</v>
      </c>
      <c r="AA73" s="48"/>
    </row>
    <row r="74" spans="1:27" ht="16.5" customHeight="1" x14ac:dyDescent="0.15">
      <c r="A74" s="41">
        <v>15</v>
      </c>
      <c r="B74" s="41" t="s">
        <v>22147</v>
      </c>
      <c r="C74" s="74" t="s">
        <v>22148</v>
      </c>
      <c r="D74" s="72"/>
      <c r="F74" s="57"/>
      <c r="G74" s="72"/>
      <c r="I74" s="57"/>
      <c r="J74" s="269" t="s">
        <v>17560</v>
      </c>
      <c r="K74" s="37" t="s">
        <v>398</v>
      </c>
      <c r="L74" s="38">
        <v>0.9</v>
      </c>
      <c r="M74" s="299" t="s">
        <v>17556</v>
      </c>
      <c r="N74" s="45" t="s">
        <v>398</v>
      </c>
      <c r="O74" s="46">
        <v>1</v>
      </c>
      <c r="P74" s="512"/>
      <c r="Q74" s="57"/>
      <c r="R74" s="43"/>
      <c r="S74" s="37"/>
      <c r="T74" s="38"/>
      <c r="U74" s="79"/>
      <c r="V74" s="72" t="s">
        <v>17572</v>
      </c>
      <c r="Y74" s="57"/>
      <c r="Z74" s="208">
        <f>ROUND((ROUND((ROUND((ROUND((_15_同援日０．５*_15・基礎２),0)*_15・２人),0)*(1+_15・A深夜)),0)*(1+_15・区４)),0)+ROUND((ROUND((ROUND((_15_同援日０．５＿１．５*_15・基礎２),0)*_15・２人),0)*(1+_15・区４)),0)</f>
        <v>748</v>
      </c>
      <c r="AA74" s="48"/>
    </row>
    <row r="75" spans="1:27" ht="16.5" customHeight="1" x14ac:dyDescent="0.15">
      <c r="A75" s="41">
        <v>15</v>
      </c>
      <c r="B75" s="41" t="s">
        <v>22149</v>
      </c>
      <c r="C75" s="74" t="s">
        <v>22150</v>
      </c>
      <c r="D75" s="72"/>
      <c r="F75" s="57"/>
      <c r="G75" s="72"/>
      <c r="I75" s="57"/>
      <c r="J75" s="53"/>
      <c r="K75" s="49"/>
      <c r="L75" s="50"/>
      <c r="M75" s="163"/>
      <c r="N75" s="45"/>
      <c r="O75" s="46"/>
      <c r="P75" s="512"/>
      <c r="Q75" s="57"/>
      <c r="R75" s="114" t="s">
        <v>17562</v>
      </c>
      <c r="S75" s="49"/>
      <c r="T75" s="50"/>
      <c r="U75" s="115"/>
      <c r="V75" s="35"/>
      <c r="W75" s="12" t="s">
        <v>398</v>
      </c>
      <c r="X75" s="13">
        <v>0.4</v>
      </c>
      <c r="Y75" s="57" t="s">
        <v>3575</v>
      </c>
      <c r="Z75" s="208">
        <f>ROUND((ROUND((ROUND((_15_同援日０．５*(1+_15・A深夜)),0)*(1+_15・盲ろう)),0)*(1+_15・区４)),0)+ROUND((ROUND((_15_同援日０．５＿１．５*(1+_15・盲ろう)),0)*(1+_15・区４)),0)</f>
        <v>1037</v>
      </c>
      <c r="AA75" s="48"/>
    </row>
    <row r="76" spans="1:27" ht="16.5" customHeight="1" x14ac:dyDescent="0.15">
      <c r="A76" s="41">
        <v>15</v>
      </c>
      <c r="B76" s="41" t="s">
        <v>22151</v>
      </c>
      <c r="C76" s="74" t="s">
        <v>22152</v>
      </c>
      <c r="D76" s="72"/>
      <c r="F76" s="57"/>
      <c r="G76" s="72"/>
      <c r="I76" s="57"/>
      <c r="J76" s="43"/>
      <c r="K76" s="37"/>
      <c r="L76" s="38"/>
      <c r="M76" s="299" t="s">
        <v>17556</v>
      </c>
      <c r="N76" s="45" t="s">
        <v>398</v>
      </c>
      <c r="O76" s="46">
        <v>1</v>
      </c>
      <c r="P76" s="512"/>
      <c r="Q76" s="57"/>
      <c r="R76" s="92" t="s">
        <v>17564</v>
      </c>
      <c r="U76" s="57"/>
      <c r="V76" s="35"/>
      <c r="Y76" s="57"/>
      <c r="Z76" s="208">
        <f>ROUND((ROUND((ROUND((ROUND((_15_同援日０．５*_15・２人),0)*(1+_15・A深夜)),0)*(1+_15・盲ろう)),0)*(1+_15・区４)),0)+ROUND((ROUND((ROUND((_15_同援日０．５＿１．５*_15・２人),0)*(1+_15・盲ろう)),0)*(1+_15・区４)),0)</f>
        <v>1037</v>
      </c>
      <c r="AA76" s="48"/>
    </row>
    <row r="77" spans="1:27" ht="16.5" customHeight="1" x14ac:dyDescent="0.15">
      <c r="A77" s="41">
        <v>15</v>
      </c>
      <c r="B77" s="41" t="s">
        <v>22153</v>
      </c>
      <c r="C77" s="74" t="s">
        <v>22154</v>
      </c>
      <c r="D77" s="72"/>
      <c r="F77" s="57"/>
      <c r="G77" s="72"/>
      <c r="I77" s="57"/>
      <c r="J77" s="114" t="s">
        <v>17558</v>
      </c>
      <c r="K77" s="49"/>
      <c r="L77" s="50"/>
      <c r="M77" s="163"/>
      <c r="N77" s="45"/>
      <c r="O77" s="46"/>
      <c r="P77" s="512"/>
      <c r="Q77" s="57"/>
      <c r="R77" s="35"/>
      <c r="S77" s="12" t="s">
        <v>398</v>
      </c>
      <c r="T77" s="13">
        <v>0.25</v>
      </c>
      <c r="U77" s="57" t="s">
        <v>3575</v>
      </c>
      <c r="V77" s="35"/>
      <c r="Y77" s="57"/>
      <c r="Z77" s="208">
        <f>ROUND((ROUND((ROUND((ROUND((_15_同援日０．５*_15・基礎２),0)*(1+_15・A深夜)),0)*(1+_15・盲ろう)),0)*(1+_15・区４)),0)+ROUND((ROUND((ROUND((_15_同援日０．５＿１．５*_15・基礎２),0)*(1+_15・盲ろう)),0)*(1+_15・区４)),0)</f>
        <v>933</v>
      </c>
      <c r="AA77" s="48"/>
    </row>
    <row r="78" spans="1:27" ht="16.5" customHeight="1" x14ac:dyDescent="0.15">
      <c r="A78" s="41">
        <v>15</v>
      </c>
      <c r="B78" s="41" t="s">
        <v>22155</v>
      </c>
      <c r="C78" s="74" t="s">
        <v>22156</v>
      </c>
      <c r="D78" s="72"/>
      <c r="F78" s="57"/>
      <c r="G78" s="122"/>
      <c r="H78" s="37"/>
      <c r="I78" s="79"/>
      <c r="J78" s="269" t="s">
        <v>17560</v>
      </c>
      <c r="K78" s="37" t="s">
        <v>398</v>
      </c>
      <c r="L78" s="38">
        <v>0.9</v>
      </c>
      <c r="M78" s="299" t="s">
        <v>17556</v>
      </c>
      <c r="N78" s="45" t="s">
        <v>398</v>
      </c>
      <c r="O78" s="46">
        <v>1</v>
      </c>
      <c r="P78" s="512"/>
      <c r="Q78" s="57"/>
      <c r="R78" s="43"/>
      <c r="S78" s="37"/>
      <c r="T78" s="38"/>
      <c r="U78" s="79"/>
      <c r="V78" s="43"/>
      <c r="W78" s="37"/>
      <c r="X78" s="38"/>
      <c r="Y78" s="79"/>
      <c r="Z78" s="208">
        <f>ROUND((ROUND((ROUND((ROUND((ROUND((_15_同援日０．５*_15・基礎２),0)*_15・２人),0)*(1+_15・A深夜)),0)*(1+_15・盲ろう)),0)*(1+_15・区４)),0)+ROUND((ROUND((ROUND((ROUND((_15_同援日０．５＿１．５*_15・基礎２),0)*_15・２人),0)*(1+_15・盲ろう)),0)*(1+_15・区４)),0)</f>
        <v>933</v>
      </c>
      <c r="AA78" s="48"/>
    </row>
    <row r="79" spans="1:27" ht="16.5" customHeight="1" x14ac:dyDescent="0.15">
      <c r="A79" s="41">
        <v>15</v>
      </c>
      <c r="B79" s="41" t="s">
        <v>22157</v>
      </c>
      <c r="C79" s="74" t="s">
        <v>22158</v>
      </c>
      <c r="D79" s="72"/>
      <c r="F79" s="57"/>
      <c r="G79" s="114" t="s">
        <v>19262</v>
      </c>
      <c r="H79" s="49"/>
      <c r="I79" s="115"/>
      <c r="J79" s="53"/>
      <c r="K79" s="49"/>
      <c r="L79" s="50"/>
      <c r="M79" s="163"/>
      <c r="N79" s="45"/>
      <c r="O79" s="46"/>
      <c r="P79" s="512"/>
      <c r="Q79" s="57"/>
      <c r="R79" s="53"/>
      <c r="S79" s="49"/>
      <c r="T79" s="50"/>
      <c r="U79" s="115"/>
      <c r="V79" s="53"/>
      <c r="W79" s="49"/>
      <c r="X79" s="50"/>
      <c r="Y79" s="115"/>
      <c r="Z79" s="208">
        <f>ROUND((_15_同援日０．５*(1+_15・A深夜)),0)+_15_同援日０．５＿２．０</f>
        <v>658</v>
      </c>
      <c r="AA79" s="48"/>
    </row>
    <row r="80" spans="1:27" ht="16.5" customHeight="1" x14ac:dyDescent="0.15">
      <c r="A80" s="41">
        <v>15</v>
      </c>
      <c r="B80" s="41" t="s">
        <v>22159</v>
      </c>
      <c r="C80" s="74" t="s">
        <v>22160</v>
      </c>
      <c r="D80" s="72"/>
      <c r="F80" s="57"/>
      <c r="G80" s="72" t="s">
        <v>17643</v>
      </c>
      <c r="I80" s="57"/>
      <c r="J80" s="43"/>
      <c r="K80" s="37"/>
      <c r="L80" s="38"/>
      <c r="M80" s="299" t="s">
        <v>17556</v>
      </c>
      <c r="N80" s="45" t="s">
        <v>398</v>
      </c>
      <c r="O80" s="46">
        <v>1</v>
      </c>
      <c r="P80" s="512"/>
      <c r="Q80" s="57"/>
      <c r="R80" s="35"/>
      <c r="U80" s="57"/>
      <c r="V80" s="35"/>
      <c r="Y80" s="57"/>
      <c r="Z80" s="208">
        <f>ROUND((ROUND((_15_同援日０．５*_15・２人),0)*(1+_15・A深夜)),0)+ROUND((_15_同援日０．５＿２．０*_15・２人),0)</f>
        <v>658</v>
      </c>
      <c r="AA80" s="48"/>
    </row>
    <row r="81" spans="1:27" ht="16.5" customHeight="1" x14ac:dyDescent="0.15">
      <c r="A81" s="41">
        <v>15</v>
      </c>
      <c r="B81" s="41" t="s">
        <v>22161</v>
      </c>
      <c r="C81" s="74" t="s">
        <v>22162</v>
      </c>
      <c r="D81" s="72"/>
      <c r="F81" s="57"/>
      <c r="G81" s="72" t="s">
        <v>17645</v>
      </c>
      <c r="I81" s="57"/>
      <c r="J81" s="114" t="s">
        <v>17558</v>
      </c>
      <c r="K81" s="49"/>
      <c r="L81" s="50"/>
      <c r="M81" s="163"/>
      <c r="N81" s="45"/>
      <c r="O81" s="46"/>
      <c r="P81" s="512"/>
      <c r="Q81" s="57"/>
      <c r="R81" s="35"/>
      <c r="U81" s="57"/>
      <c r="V81" s="35"/>
      <c r="Y81" s="57"/>
      <c r="Z81" s="208">
        <f>ROUND((ROUND((_15_同援日０．５*_15・基礎２),0)*(1+_15・A深夜)),0)+ROUND((_15_同援日０．５＿２．０*_15・基礎２),0)</f>
        <v>593</v>
      </c>
      <c r="AA81" s="48"/>
    </row>
    <row r="82" spans="1:27" ht="16.5" customHeight="1" x14ac:dyDescent="0.15">
      <c r="A82" s="41">
        <v>15</v>
      </c>
      <c r="B82" s="41" t="s">
        <v>22163</v>
      </c>
      <c r="C82" s="74" t="s">
        <v>22164</v>
      </c>
      <c r="D82" s="72"/>
      <c r="F82" s="57"/>
      <c r="G82" s="72"/>
      <c r="H82" s="168">
        <f>_15_同援日０．５＿２．０</f>
        <v>373</v>
      </c>
      <c r="I82" s="57" t="s">
        <v>392</v>
      </c>
      <c r="J82" s="269" t="s">
        <v>17560</v>
      </c>
      <c r="K82" s="37" t="s">
        <v>398</v>
      </c>
      <c r="L82" s="38">
        <v>0.9</v>
      </c>
      <c r="M82" s="299" t="s">
        <v>17556</v>
      </c>
      <c r="N82" s="45" t="s">
        <v>398</v>
      </c>
      <c r="O82" s="46">
        <v>1</v>
      </c>
      <c r="P82" s="512"/>
      <c r="Q82" s="57"/>
      <c r="R82" s="43"/>
      <c r="S82" s="37"/>
      <c r="T82" s="38"/>
      <c r="U82" s="79"/>
      <c r="V82" s="35"/>
      <c r="Y82" s="57"/>
      <c r="Z82" s="208">
        <f>ROUND((ROUND((ROUND((_15_同援日０．５*_15・基礎２),0)*_15・２人),0)*(1+_15・A深夜)),0)+ROUND((ROUND((_15_同援日０．５＿２．０*_15・基礎２),0)*_15・２人),0)</f>
        <v>593</v>
      </c>
      <c r="AA82" s="48"/>
    </row>
    <row r="83" spans="1:27" ht="16.5" customHeight="1" x14ac:dyDescent="0.15">
      <c r="A83" s="41">
        <v>15</v>
      </c>
      <c r="B83" s="41" t="s">
        <v>22165</v>
      </c>
      <c r="C83" s="74" t="s">
        <v>22166</v>
      </c>
      <c r="D83" s="72"/>
      <c r="F83" s="57"/>
      <c r="G83" s="72"/>
      <c r="I83" s="57"/>
      <c r="J83" s="53"/>
      <c r="K83" s="49"/>
      <c r="L83" s="50"/>
      <c r="M83" s="163"/>
      <c r="N83" s="45"/>
      <c r="O83" s="46"/>
      <c r="P83" s="512"/>
      <c r="Q83" s="57"/>
      <c r="R83" s="114" t="s">
        <v>17562</v>
      </c>
      <c r="S83" s="49"/>
      <c r="T83" s="50"/>
      <c r="U83" s="115"/>
      <c r="V83" s="35"/>
      <c r="Y83" s="57"/>
      <c r="Z83" s="208">
        <f>ROUND((ROUND((_15_同援日０．５*(1+_15・A深夜)),0)*(1+_15・盲ろう)),0)+ROUND((_15_同援日０．５＿２．０*(1+_15・盲ろう)),0)</f>
        <v>822</v>
      </c>
      <c r="AA83" s="48"/>
    </row>
    <row r="84" spans="1:27" ht="16.5" customHeight="1" x14ac:dyDescent="0.15">
      <c r="A84" s="41">
        <v>15</v>
      </c>
      <c r="B84" s="41" t="s">
        <v>22167</v>
      </c>
      <c r="C84" s="74" t="s">
        <v>22168</v>
      </c>
      <c r="D84" s="72"/>
      <c r="F84" s="57"/>
      <c r="G84" s="72"/>
      <c r="I84" s="57"/>
      <c r="J84" s="43"/>
      <c r="K84" s="37"/>
      <c r="L84" s="38"/>
      <c r="M84" s="299" t="s">
        <v>17556</v>
      </c>
      <c r="N84" s="45" t="s">
        <v>398</v>
      </c>
      <c r="O84" s="46">
        <v>1</v>
      </c>
      <c r="P84" s="512"/>
      <c r="Q84" s="57"/>
      <c r="R84" s="92" t="s">
        <v>17564</v>
      </c>
      <c r="U84" s="57"/>
      <c r="V84" s="35"/>
      <c r="Y84" s="57"/>
      <c r="Z84" s="208">
        <f>ROUND((ROUND((ROUND((_15_同援日０．５*_15・２人),0)*(1+_15・A深夜)),0)*(1+_15・盲ろう)),0)+ROUND((ROUND((_15_同援日０．５＿２．０*_15・２人),0)*(1+_15・盲ろう)),0)</f>
        <v>822</v>
      </c>
      <c r="AA84" s="48"/>
    </row>
    <row r="85" spans="1:27" ht="16.5" customHeight="1" x14ac:dyDescent="0.15">
      <c r="A85" s="41">
        <v>15</v>
      </c>
      <c r="B85" s="41" t="s">
        <v>22169</v>
      </c>
      <c r="C85" s="74" t="s">
        <v>22170</v>
      </c>
      <c r="D85" s="72"/>
      <c r="F85" s="57"/>
      <c r="G85" s="72"/>
      <c r="I85" s="57"/>
      <c r="J85" s="114" t="s">
        <v>17558</v>
      </c>
      <c r="K85" s="49"/>
      <c r="L85" s="50"/>
      <c r="M85" s="163"/>
      <c r="N85" s="45"/>
      <c r="O85" s="46"/>
      <c r="P85" s="512"/>
      <c r="Q85" s="57"/>
      <c r="R85" s="35"/>
      <c r="S85" s="12" t="s">
        <v>398</v>
      </c>
      <c r="T85" s="13">
        <v>0.25</v>
      </c>
      <c r="U85" s="57" t="s">
        <v>3575</v>
      </c>
      <c r="V85" s="35"/>
      <c r="Y85" s="57"/>
      <c r="Z85" s="208">
        <f>ROUND((ROUND((ROUND((_15_同援日０．５*_15・基礎２),0)*(1+_15・A深夜)),0)*(1+_15・盲ろう)),0)+ROUND((ROUND((_15_同援日０．５＿２．０*_15・基礎２),0)*(1+_15・盲ろう)),0)</f>
        <v>741</v>
      </c>
      <c r="AA85" s="48"/>
    </row>
    <row r="86" spans="1:27" ht="16.5" customHeight="1" x14ac:dyDescent="0.15">
      <c r="A86" s="41">
        <v>15</v>
      </c>
      <c r="B86" s="41" t="s">
        <v>22171</v>
      </c>
      <c r="C86" s="74" t="s">
        <v>22172</v>
      </c>
      <c r="D86" s="72"/>
      <c r="F86" s="57"/>
      <c r="G86" s="72"/>
      <c r="I86" s="57"/>
      <c r="J86" s="269" t="s">
        <v>17560</v>
      </c>
      <c r="K86" s="37" t="s">
        <v>398</v>
      </c>
      <c r="L86" s="38">
        <v>0.9</v>
      </c>
      <c r="M86" s="299" t="s">
        <v>17556</v>
      </c>
      <c r="N86" s="45" t="s">
        <v>398</v>
      </c>
      <c r="O86" s="46">
        <v>1</v>
      </c>
      <c r="P86" s="512"/>
      <c r="Q86" s="57"/>
      <c r="R86" s="43"/>
      <c r="S86" s="37"/>
      <c r="T86" s="38"/>
      <c r="U86" s="79"/>
      <c r="V86" s="43"/>
      <c r="W86" s="37"/>
      <c r="X86" s="38"/>
      <c r="Y86" s="79"/>
      <c r="Z86" s="208">
        <f>ROUND((ROUND((ROUND((ROUND((_15_同援日０．５*_15・基礎２),0)*_15・２人),0)*(1+_15・A深夜)),0)*(1+_15・盲ろう)),0)+ROUND((ROUND((ROUND((_15_同援日０．５＿２．０*_15・基礎２),0)*_15・２人),0)*(1+_15・盲ろう)),0)</f>
        <v>741</v>
      </c>
      <c r="AA86" s="48"/>
    </row>
    <row r="87" spans="1:27" ht="16.5" customHeight="1" x14ac:dyDescent="0.15">
      <c r="A87" s="41">
        <v>15</v>
      </c>
      <c r="B87" s="41" t="s">
        <v>22173</v>
      </c>
      <c r="C87" s="74" t="s">
        <v>22174</v>
      </c>
      <c r="D87" s="72"/>
      <c r="F87" s="57"/>
      <c r="G87" s="72"/>
      <c r="I87" s="57"/>
      <c r="J87" s="53"/>
      <c r="K87" s="49"/>
      <c r="L87" s="50"/>
      <c r="M87" s="163"/>
      <c r="N87" s="45"/>
      <c r="O87" s="46"/>
      <c r="P87" s="512"/>
      <c r="Q87" s="57"/>
      <c r="R87" s="53"/>
      <c r="S87" s="49"/>
      <c r="T87" s="50"/>
      <c r="U87" s="115"/>
      <c r="V87" s="53"/>
      <c r="W87" s="49"/>
      <c r="X87" s="50"/>
      <c r="Y87" s="115"/>
      <c r="Z87" s="208">
        <f>ROUND((ROUND((_15_同援日０．５*(1+_15・A深夜)),0)*(1+_15・区３)),0)+ROUND((_15_同援日０．５＿２．０*(1+_15・区３)),0)</f>
        <v>790</v>
      </c>
      <c r="AA87" s="48"/>
    </row>
    <row r="88" spans="1:27" ht="16.5" customHeight="1" x14ac:dyDescent="0.15">
      <c r="A88" s="41">
        <v>15</v>
      </c>
      <c r="B88" s="41" t="s">
        <v>22175</v>
      </c>
      <c r="C88" s="74" t="s">
        <v>22176</v>
      </c>
      <c r="D88" s="72"/>
      <c r="F88" s="57"/>
      <c r="G88" s="72"/>
      <c r="I88" s="57"/>
      <c r="J88" s="43"/>
      <c r="K88" s="37"/>
      <c r="L88" s="38"/>
      <c r="M88" s="299" t="s">
        <v>17556</v>
      </c>
      <c r="N88" s="45" t="s">
        <v>398</v>
      </c>
      <c r="O88" s="46">
        <v>1</v>
      </c>
      <c r="P88" s="512"/>
      <c r="Q88" s="57"/>
      <c r="R88" s="35"/>
      <c r="U88" s="57"/>
      <c r="V88" s="35"/>
      <c r="Y88" s="57"/>
      <c r="Z88" s="208">
        <f>ROUND((ROUND((ROUND((_15_同援日０．５*_15・２人),0)*(1+_15・A深夜)),0)*(1+_15・区３)),0)+ROUND((ROUND((_15_同援日０．５＿２．０*_15・２人),0)*(1+_15・区３)),0)</f>
        <v>790</v>
      </c>
      <c r="AA88" s="48"/>
    </row>
    <row r="89" spans="1:27" ht="16.5" customHeight="1" x14ac:dyDescent="0.15">
      <c r="A89" s="41">
        <v>15</v>
      </c>
      <c r="B89" s="41" t="s">
        <v>1257</v>
      </c>
      <c r="C89" s="74" t="s">
        <v>22177</v>
      </c>
      <c r="D89" s="72"/>
      <c r="F89" s="57"/>
      <c r="G89" s="72"/>
      <c r="I89" s="57"/>
      <c r="J89" s="114" t="s">
        <v>17558</v>
      </c>
      <c r="K89" s="49"/>
      <c r="L89" s="50"/>
      <c r="M89" s="163"/>
      <c r="N89" s="45"/>
      <c r="O89" s="46"/>
      <c r="P89" s="512"/>
      <c r="Q89" s="57"/>
      <c r="R89" s="35"/>
      <c r="U89" s="57"/>
      <c r="V89" s="72" t="s">
        <v>17570</v>
      </c>
      <c r="Y89" s="57"/>
      <c r="Z89" s="208">
        <f>ROUND((ROUND((ROUND((_15_同援日０．５*_15・基礎２),0)*(1+_15・A深夜)),0)*(1+_15・区３)),0)+ROUND((ROUND((_15_同援日０．５＿２．０*_15・基礎２),0)*(1+_15・区３)),0)</f>
        <v>711</v>
      </c>
      <c r="AA89" s="48"/>
    </row>
    <row r="90" spans="1:27" ht="16.5" customHeight="1" x14ac:dyDescent="0.15">
      <c r="A90" s="41">
        <v>15</v>
      </c>
      <c r="B90" s="41" t="s">
        <v>1259</v>
      </c>
      <c r="C90" s="74" t="s">
        <v>22178</v>
      </c>
      <c r="D90" s="72"/>
      <c r="F90" s="57"/>
      <c r="G90" s="72"/>
      <c r="I90" s="57"/>
      <c r="J90" s="269" t="s">
        <v>17560</v>
      </c>
      <c r="K90" s="37" t="s">
        <v>398</v>
      </c>
      <c r="L90" s="38">
        <v>0.9</v>
      </c>
      <c r="M90" s="299" t="s">
        <v>17556</v>
      </c>
      <c r="N90" s="45" t="s">
        <v>398</v>
      </c>
      <c r="O90" s="46">
        <v>1</v>
      </c>
      <c r="P90" s="512"/>
      <c r="Q90" s="57"/>
      <c r="R90" s="43"/>
      <c r="S90" s="37"/>
      <c r="T90" s="38"/>
      <c r="U90" s="79"/>
      <c r="V90" s="72" t="s">
        <v>17572</v>
      </c>
      <c r="Y90" s="57"/>
      <c r="Z90" s="208">
        <f>ROUND((ROUND((ROUND((ROUND((_15_同援日０．５*_15・基礎２),0)*_15・２人),0)*(1+_15・A深夜)),0)*(1+_15・区３)),0)+ROUND((ROUND((ROUND((_15_同援日０．５＿２．０*_15・基礎２),0)*_15・２人),0)*(1+_15・区３)),0)</f>
        <v>711</v>
      </c>
      <c r="AA90" s="48"/>
    </row>
    <row r="91" spans="1:27" ht="16.5" customHeight="1" x14ac:dyDescent="0.15">
      <c r="A91" s="41">
        <v>15</v>
      </c>
      <c r="B91" s="41" t="s">
        <v>1261</v>
      </c>
      <c r="C91" s="74" t="s">
        <v>22179</v>
      </c>
      <c r="D91" s="72"/>
      <c r="F91" s="57"/>
      <c r="G91" s="72"/>
      <c r="I91" s="57"/>
      <c r="J91" s="53"/>
      <c r="K91" s="49"/>
      <c r="L91" s="50"/>
      <c r="M91" s="163"/>
      <c r="N91" s="45"/>
      <c r="O91" s="46"/>
      <c r="P91" s="512"/>
      <c r="Q91" s="57"/>
      <c r="R91" s="114" t="s">
        <v>17562</v>
      </c>
      <c r="S91" s="49"/>
      <c r="T91" s="50"/>
      <c r="U91" s="115"/>
      <c r="V91" s="35"/>
      <c r="W91" s="12" t="s">
        <v>398</v>
      </c>
      <c r="X91" s="13">
        <v>0.2</v>
      </c>
      <c r="Y91" s="57" t="s">
        <v>3575</v>
      </c>
      <c r="Z91" s="208">
        <f>ROUND((ROUND((ROUND((_15_同援日０．５*(1+_15・A深夜)),0)*(1+_15・盲ろう)),0)*(1+_15・区３)),0)+ROUND((ROUND((_15_同援日０．５＿２．０*(1+_15・盲ろう)),0)*(1+_15・区３)),0)</f>
        <v>986</v>
      </c>
      <c r="AA91" s="48"/>
    </row>
    <row r="92" spans="1:27" ht="16.5" customHeight="1" x14ac:dyDescent="0.15">
      <c r="A92" s="41">
        <v>15</v>
      </c>
      <c r="B92" s="41" t="s">
        <v>1263</v>
      </c>
      <c r="C92" s="74" t="s">
        <v>22180</v>
      </c>
      <c r="D92" s="72"/>
      <c r="F92" s="57"/>
      <c r="G92" s="72"/>
      <c r="I92" s="57"/>
      <c r="J92" s="43"/>
      <c r="K92" s="37"/>
      <c r="L92" s="38"/>
      <c r="M92" s="299" t="s">
        <v>17556</v>
      </c>
      <c r="N92" s="45" t="s">
        <v>398</v>
      </c>
      <c r="O92" s="46">
        <v>1</v>
      </c>
      <c r="P92" s="512"/>
      <c r="Q92" s="57"/>
      <c r="R92" s="92" t="s">
        <v>17564</v>
      </c>
      <c r="U92" s="57"/>
      <c r="V92" s="35"/>
      <c r="Y92" s="57"/>
      <c r="Z92" s="208">
        <f>ROUND((ROUND((ROUND((ROUND((_15_同援日０．５*_15・２人),0)*(1+_15・A深夜)),0)*(1+_15・盲ろう)),0)*(1+_15・区３)),0)+ROUND((ROUND((ROUND((_15_同援日０．５＿２．０*_15・２人),0)*(1+_15・盲ろう)),0)*(1+_15・区３)),0)</f>
        <v>986</v>
      </c>
      <c r="AA92" s="48"/>
    </row>
    <row r="93" spans="1:27" ht="16.5" customHeight="1" x14ac:dyDescent="0.15">
      <c r="A93" s="41">
        <v>15</v>
      </c>
      <c r="B93" s="41" t="s">
        <v>22181</v>
      </c>
      <c r="C93" s="74" t="s">
        <v>22182</v>
      </c>
      <c r="D93" s="72"/>
      <c r="F93" s="57"/>
      <c r="G93" s="72"/>
      <c r="I93" s="57"/>
      <c r="J93" s="114" t="s">
        <v>17558</v>
      </c>
      <c r="K93" s="49"/>
      <c r="L93" s="50"/>
      <c r="M93" s="163"/>
      <c r="N93" s="45"/>
      <c r="O93" s="46"/>
      <c r="P93" s="512"/>
      <c r="Q93" s="57"/>
      <c r="R93" s="35"/>
      <c r="S93" s="12" t="s">
        <v>398</v>
      </c>
      <c r="T93" s="13">
        <v>0.25</v>
      </c>
      <c r="U93" s="57" t="s">
        <v>3575</v>
      </c>
      <c r="V93" s="35"/>
      <c r="Y93" s="57"/>
      <c r="Z93" s="208">
        <f>ROUND((ROUND((ROUND((ROUND((_15_同援日０．５*_15・基礎２),0)*(1+_15・A深夜)),0)*(1+_15・盲ろう)),0)*(1+_15・区３)),0)+ROUND((ROUND((ROUND((_15_同援日０．５＿２．０*_15・基礎２),0)*(1+_15・盲ろう)),0)*(1+_15・区３)),0)</f>
        <v>889</v>
      </c>
      <c r="AA93" s="48"/>
    </row>
    <row r="94" spans="1:27" ht="16.5" customHeight="1" x14ac:dyDescent="0.15">
      <c r="A94" s="41">
        <v>15</v>
      </c>
      <c r="B94" s="41" t="s">
        <v>22183</v>
      </c>
      <c r="C94" s="74" t="s">
        <v>22184</v>
      </c>
      <c r="D94" s="72"/>
      <c r="F94" s="57"/>
      <c r="G94" s="72"/>
      <c r="I94" s="57"/>
      <c r="J94" s="269" t="s">
        <v>17560</v>
      </c>
      <c r="K94" s="37" t="s">
        <v>398</v>
      </c>
      <c r="L94" s="38">
        <v>0.9</v>
      </c>
      <c r="M94" s="299" t="s">
        <v>17556</v>
      </c>
      <c r="N94" s="45" t="s">
        <v>398</v>
      </c>
      <c r="O94" s="46">
        <v>1</v>
      </c>
      <c r="P94" s="512"/>
      <c r="Q94" s="57"/>
      <c r="R94" s="43"/>
      <c r="S94" s="37"/>
      <c r="T94" s="38"/>
      <c r="U94" s="79"/>
      <c r="V94" s="43"/>
      <c r="W94" s="37"/>
      <c r="X94" s="38"/>
      <c r="Y94" s="79"/>
      <c r="Z94" s="208">
        <f>ROUND((ROUND((ROUND((ROUND((ROUND((_15_同援日０．５*_15・基礎２),0)*_15・２人),0)*(1+_15・A深夜)),0)*(1+_15・盲ろう)),0)*(1+_15・区３)),0)+ROUND((ROUND((ROUND((ROUND((_15_同援日０．５＿２．０*_15・基礎２),0)*_15・２人),0)*(1+_15・盲ろう)),0)*(1+_15・区３)),0)</f>
        <v>889</v>
      </c>
      <c r="AA94" s="48"/>
    </row>
    <row r="95" spans="1:27" ht="16.5" customHeight="1" x14ac:dyDescent="0.15">
      <c r="A95" s="41">
        <v>15</v>
      </c>
      <c r="B95" s="41" t="s">
        <v>22185</v>
      </c>
      <c r="C95" s="74" t="s">
        <v>22186</v>
      </c>
      <c r="D95" s="72"/>
      <c r="F95" s="57"/>
      <c r="G95" s="72"/>
      <c r="I95" s="57"/>
      <c r="J95" s="53"/>
      <c r="K95" s="49"/>
      <c r="L95" s="50"/>
      <c r="M95" s="163"/>
      <c r="N95" s="45"/>
      <c r="O95" s="46"/>
      <c r="P95" s="512"/>
      <c r="Q95" s="57"/>
      <c r="R95" s="53"/>
      <c r="S95" s="49"/>
      <c r="T95" s="50"/>
      <c r="U95" s="115"/>
      <c r="V95" s="53"/>
      <c r="W95" s="49"/>
      <c r="X95" s="50"/>
      <c r="Y95" s="115"/>
      <c r="Z95" s="208">
        <f>ROUND((ROUND((_15_同援日０．５*(1+_15・A深夜)),0)*(1+_15・区４)),0)+ROUND((_15_同援日０．５＿２．０*(1+_15・区４)),0)</f>
        <v>921</v>
      </c>
      <c r="AA95" s="48"/>
    </row>
    <row r="96" spans="1:27" ht="16.5" customHeight="1" x14ac:dyDescent="0.15">
      <c r="A96" s="41">
        <v>15</v>
      </c>
      <c r="B96" s="41" t="s">
        <v>22187</v>
      </c>
      <c r="C96" s="74" t="s">
        <v>22188</v>
      </c>
      <c r="D96" s="72"/>
      <c r="F96" s="57"/>
      <c r="G96" s="72"/>
      <c r="I96" s="57"/>
      <c r="J96" s="43"/>
      <c r="K96" s="37"/>
      <c r="L96" s="38"/>
      <c r="M96" s="299" t="s">
        <v>17556</v>
      </c>
      <c r="N96" s="45" t="s">
        <v>398</v>
      </c>
      <c r="O96" s="46">
        <v>1</v>
      </c>
      <c r="P96" s="512"/>
      <c r="Q96" s="57"/>
      <c r="R96" s="35"/>
      <c r="U96" s="57"/>
      <c r="V96" s="35"/>
      <c r="Y96" s="57"/>
      <c r="Z96" s="208">
        <f>ROUND((ROUND((ROUND((_15_同援日０．５*_15・２人),0)*(1+_15・A深夜)),0)*(1+_15・区４)),0)+ROUND((ROUND((_15_同援日０．５＿２．０*_15・２人),0)*(1+_15・区４)),0)</f>
        <v>921</v>
      </c>
      <c r="AA96" s="48"/>
    </row>
    <row r="97" spans="1:27" ht="16.5" customHeight="1" x14ac:dyDescent="0.15">
      <c r="A97" s="41">
        <v>15</v>
      </c>
      <c r="B97" s="41" t="s">
        <v>22189</v>
      </c>
      <c r="C97" s="74" t="s">
        <v>22190</v>
      </c>
      <c r="D97" s="72"/>
      <c r="F97" s="57"/>
      <c r="G97" s="72"/>
      <c r="I97" s="57"/>
      <c r="J97" s="114" t="s">
        <v>17558</v>
      </c>
      <c r="K97" s="49"/>
      <c r="L97" s="50"/>
      <c r="M97" s="163"/>
      <c r="N97" s="45"/>
      <c r="O97" s="46"/>
      <c r="P97" s="512"/>
      <c r="Q97" s="57"/>
      <c r="R97" s="35"/>
      <c r="U97" s="57"/>
      <c r="V97" s="72" t="s">
        <v>17580</v>
      </c>
      <c r="Y97" s="57"/>
      <c r="Z97" s="208">
        <f>ROUND((ROUND((ROUND((_15_同援日０．５*_15・基礎２),0)*(1+_15・A深夜)),0)*(1+_15・区４)),0)+ROUND((ROUND((_15_同援日０．５＿２．０*_15・基礎２),0)*(1+_15・区４)),0)</f>
        <v>830</v>
      </c>
      <c r="AA97" s="48"/>
    </row>
    <row r="98" spans="1:27" ht="16.5" customHeight="1" x14ac:dyDescent="0.15">
      <c r="A98" s="41">
        <v>15</v>
      </c>
      <c r="B98" s="41" t="s">
        <v>22191</v>
      </c>
      <c r="C98" s="74" t="s">
        <v>22192</v>
      </c>
      <c r="D98" s="72"/>
      <c r="F98" s="57"/>
      <c r="G98" s="72"/>
      <c r="I98" s="57"/>
      <c r="J98" s="269" t="s">
        <v>17560</v>
      </c>
      <c r="K98" s="37" t="s">
        <v>398</v>
      </c>
      <c r="L98" s="38">
        <v>0.9</v>
      </c>
      <c r="M98" s="299" t="s">
        <v>17556</v>
      </c>
      <c r="N98" s="45" t="s">
        <v>398</v>
      </c>
      <c r="O98" s="46">
        <v>1</v>
      </c>
      <c r="P98" s="512"/>
      <c r="Q98" s="57"/>
      <c r="R98" s="43"/>
      <c r="S98" s="37"/>
      <c r="T98" s="38"/>
      <c r="U98" s="79"/>
      <c r="V98" s="72" t="s">
        <v>17572</v>
      </c>
      <c r="Y98" s="57"/>
      <c r="Z98" s="208">
        <f>ROUND((ROUND((ROUND((ROUND((_15_同援日０．５*_15・基礎２),0)*_15・２人),0)*(1+_15・A深夜)),0)*(1+_15・区４)),0)+ROUND((ROUND((ROUND((_15_同援日０．５＿２．０*_15・基礎２),0)*_15・２人),0)*(1+_15・区４)),0)</f>
        <v>830</v>
      </c>
      <c r="AA98" s="48"/>
    </row>
    <row r="99" spans="1:27" ht="16.5" customHeight="1" x14ac:dyDescent="0.15">
      <c r="A99" s="41">
        <v>15</v>
      </c>
      <c r="B99" s="41" t="s">
        <v>22193</v>
      </c>
      <c r="C99" s="74" t="s">
        <v>22194</v>
      </c>
      <c r="D99" s="72"/>
      <c r="F99" s="57"/>
      <c r="G99" s="72"/>
      <c r="I99" s="57"/>
      <c r="J99" s="53"/>
      <c r="K99" s="49"/>
      <c r="L99" s="50"/>
      <c r="M99" s="163"/>
      <c r="N99" s="45"/>
      <c r="O99" s="46"/>
      <c r="P99" s="512"/>
      <c r="Q99" s="57"/>
      <c r="R99" s="114" t="s">
        <v>17562</v>
      </c>
      <c r="S99" s="49"/>
      <c r="T99" s="50"/>
      <c r="U99" s="115"/>
      <c r="V99" s="35"/>
      <c r="W99" s="12" t="s">
        <v>398</v>
      </c>
      <c r="X99" s="13">
        <v>0.4</v>
      </c>
      <c r="Y99" s="57" t="s">
        <v>3575</v>
      </c>
      <c r="Z99" s="208">
        <f>ROUND((ROUND((ROUND((_15_同援日０．５*(1+_15・A深夜)),0)*(1+_15・盲ろう)),0)*(1+_15・区４)),0)+ROUND((ROUND((_15_同援日０．５＿２．０*(1+_15・盲ろう)),0)*(1+_15・区４)),0)</f>
        <v>1150</v>
      </c>
      <c r="AA99" s="48"/>
    </row>
    <row r="100" spans="1:27" ht="16.5" customHeight="1" x14ac:dyDescent="0.15">
      <c r="A100" s="41">
        <v>15</v>
      </c>
      <c r="B100" s="41" t="s">
        <v>22195</v>
      </c>
      <c r="C100" s="74" t="s">
        <v>22196</v>
      </c>
      <c r="D100" s="72"/>
      <c r="F100" s="57"/>
      <c r="G100" s="72"/>
      <c r="I100" s="57"/>
      <c r="J100" s="43"/>
      <c r="K100" s="37"/>
      <c r="L100" s="38"/>
      <c r="M100" s="299" t="s">
        <v>17556</v>
      </c>
      <c r="N100" s="45" t="s">
        <v>398</v>
      </c>
      <c r="O100" s="46">
        <v>1</v>
      </c>
      <c r="P100" s="512"/>
      <c r="Q100" s="57"/>
      <c r="R100" s="92" t="s">
        <v>17564</v>
      </c>
      <c r="U100" s="57"/>
      <c r="V100" s="35"/>
      <c r="Y100" s="57"/>
      <c r="Z100" s="208">
        <f>ROUND((ROUND((ROUND((ROUND((_15_同援日０．５*_15・２人),0)*(1+_15・A深夜)),0)*(1+_15・盲ろう)),0)*(1+_15・区４)),0)+ROUND((ROUND((ROUND((_15_同援日０．５＿２．０*_15・２人),0)*(1+_15・盲ろう)),0)*(1+_15・区４)),0)</f>
        <v>1150</v>
      </c>
      <c r="AA100" s="48"/>
    </row>
    <row r="101" spans="1:27" ht="16.5" customHeight="1" x14ac:dyDescent="0.15">
      <c r="A101" s="41">
        <v>15</v>
      </c>
      <c r="B101" s="41" t="s">
        <v>22197</v>
      </c>
      <c r="C101" s="74" t="s">
        <v>22198</v>
      </c>
      <c r="D101" s="72"/>
      <c r="F101" s="57"/>
      <c r="G101" s="72"/>
      <c r="I101" s="57"/>
      <c r="J101" s="114" t="s">
        <v>17558</v>
      </c>
      <c r="K101" s="49"/>
      <c r="L101" s="50"/>
      <c r="M101" s="163"/>
      <c r="N101" s="45"/>
      <c r="O101" s="46"/>
      <c r="P101" s="512"/>
      <c r="Q101" s="57"/>
      <c r="R101" s="35"/>
      <c r="S101" s="12" t="s">
        <v>398</v>
      </c>
      <c r="T101" s="13">
        <v>0.25</v>
      </c>
      <c r="U101" s="57" t="s">
        <v>3575</v>
      </c>
      <c r="V101" s="35"/>
      <c r="Y101" s="57"/>
      <c r="Z101" s="208">
        <f>ROUND((ROUND((ROUND((ROUND((_15_同援日０．５*_15・基礎２),0)*(1+_15・A深夜)),0)*(1+_15・盲ろう)),0)*(1+_15・区４)),0)+ROUND((ROUND((ROUND((_15_同援日０．５＿２．０*_15・基礎２),0)*(1+_15・盲ろう)),0)*(1+_15・区４)),0)</f>
        <v>1037</v>
      </c>
      <c r="AA101" s="48"/>
    </row>
    <row r="102" spans="1:27" ht="16.5" customHeight="1" x14ac:dyDescent="0.15">
      <c r="A102" s="41">
        <v>15</v>
      </c>
      <c r="B102" s="41" t="s">
        <v>22199</v>
      </c>
      <c r="C102" s="74" t="s">
        <v>22200</v>
      </c>
      <c r="D102" s="122"/>
      <c r="E102" s="37"/>
      <c r="F102" s="79"/>
      <c r="G102" s="122"/>
      <c r="H102" s="37"/>
      <c r="I102" s="79"/>
      <c r="J102" s="269" t="s">
        <v>17560</v>
      </c>
      <c r="K102" s="37" t="s">
        <v>398</v>
      </c>
      <c r="L102" s="38">
        <v>0.9</v>
      </c>
      <c r="M102" s="299" t="s">
        <v>17556</v>
      </c>
      <c r="N102" s="45" t="s">
        <v>398</v>
      </c>
      <c r="O102" s="46">
        <v>1</v>
      </c>
      <c r="P102" s="514"/>
      <c r="Q102" s="79"/>
      <c r="R102" s="43"/>
      <c r="S102" s="37"/>
      <c r="T102" s="38"/>
      <c r="U102" s="79"/>
      <c r="V102" s="43"/>
      <c r="W102" s="37"/>
      <c r="X102" s="38"/>
      <c r="Y102" s="79"/>
      <c r="Z102" s="208">
        <f>ROUND((ROUND((ROUND((ROUND((ROUND((_15_同援日０．５*_15・基礎２),0)*_15・２人),0)*(1+_15・A深夜)),0)*(1+_15・盲ろう)),0)*(1+_15・区４)),0)+ROUND((ROUND((ROUND((ROUND((_15_同援日０．５＿２．０*_15・基礎２),0)*_15・２人),0)*(1+_15・盲ろう)),0)*(1+_15・区４)),0)</f>
        <v>1037</v>
      </c>
      <c r="AA102" s="63"/>
    </row>
    <row r="103" spans="1:27" ht="16.5" customHeight="1" x14ac:dyDescent="0.15">
      <c r="A103" s="41">
        <v>15</v>
      </c>
      <c r="B103" s="41" t="s">
        <v>22201</v>
      </c>
      <c r="C103" s="74" t="s">
        <v>22202</v>
      </c>
      <c r="D103" s="114"/>
      <c r="E103" s="49"/>
      <c r="F103" s="115"/>
      <c r="G103" s="114" t="s">
        <v>19287</v>
      </c>
      <c r="H103" s="49"/>
      <c r="I103" s="115"/>
      <c r="J103" s="53"/>
      <c r="K103" s="49"/>
      <c r="L103" s="50"/>
      <c r="M103" s="163"/>
      <c r="N103" s="45"/>
      <c r="O103" s="46"/>
      <c r="P103" s="515"/>
      <c r="Q103" s="115"/>
      <c r="R103" s="53"/>
      <c r="S103" s="49"/>
      <c r="T103" s="50"/>
      <c r="U103" s="115"/>
      <c r="V103" s="53"/>
      <c r="W103" s="49"/>
      <c r="X103" s="50"/>
      <c r="Y103" s="115"/>
      <c r="Z103" s="208">
        <f>ROUND((_15_同援日０．５*(1+_15・A深夜)),0)+_15_同援日０．５＿２．５</f>
        <v>723</v>
      </c>
      <c r="AA103" s="64"/>
    </row>
    <row r="104" spans="1:27" ht="16.5" customHeight="1" x14ac:dyDescent="0.15">
      <c r="A104" s="41">
        <v>15</v>
      </c>
      <c r="B104" s="41" t="s">
        <v>22203</v>
      </c>
      <c r="C104" s="74" t="s">
        <v>22204</v>
      </c>
      <c r="D104" s="72"/>
      <c r="F104" s="57"/>
      <c r="G104" s="72" t="s">
        <v>17670</v>
      </c>
      <c r="I104" s="57"/>
      <c r="J104" s="43"/>
      <c r="K104" s="37"/>
      <c r="L104" s="38"/>
      <c r="M104" s="299" t="s">
        <v>17556</v>
      </c>
      <c r="N104" s="45" t="s">
        <v>398</v>
      </c>
      <c r="O104" s="46">
        <v>1</v>
      </c>
      <c r="P104" s="512"/>
      <c r="Q104" s="57"/>
      <c r="R104" s="35"/>
      <c r="U104" s="57"/>
      <c r="V104" s="35"/>
      <c r="Y104" s="57"/>
      <c r="Z104" s="208">
        <f>ROUND((ROUND((_15_同援日０．５*_15・２人),0)*(1+_15・A深夜)),0)+ROUND((_15_同援日０．５＿２．５*_15・２人),0)</f>
        <v>723</v>
      </c>
      <c r="AA104" s="48"/>
    </row>
    <row r="105" spans="1:27" ht="16.5" customHeight="1" x14ac:dyDescent="0.15">
      <c r="A105" s="41">
        <v>15</v>
      </c>
      <c r="B105" s="41" t="s">
        <v>22205</v>
      </c>
      <c r="C105" s="74" t="s">
        <v>22206</v>
      </c>
      <c r="D105" s="72"/>
      <c r="F105" s="57"/>
      <c r="G105" s="72" t="s">
        <v>17672</v>
      </c>
      <c r="I105" s="57"/>
      <c r="J105" s="114" t="s">
        <v>17558</v>
      </c>
      <c r="K105" s="49"/>
      <c r="L105" s="50"/>
      <c r="M105" s="163"/>
      <c r="N105" s="45"/>
      <c r="O105" s="46"/>
      <c r="P105" s="512"/>
      <c r="Q105" s="57"/>
      <c r="R105" s="35"/>
      <c r="U105" s="57"/>
      <c r="V105" s="35"/>
      <c r="Y105" s="57"/>
      <c r="Z105" s="208">
        <f>ROUND((ROUND((_15_同援日０．５*_15・基礎２),0)*(1+_15・A深夜)),0)+ROUND((_15_同援日０．５＿２．５*_15・基礎２),0)</f>
        <v>651</v>
      </c>
      <c r="AA105" s="48"/>
    </row>
    <row r="106" spans="1:27" ht="16.5" customHeight="1" x14ac:dyDescent="0.15">
      <c r="A106" s="41">
        <v>15</v>
      </c>
      <c r="B106" s="41" t="s">
        <v>22207</v>
      </c>
      <c r="C106" s="74" t="s">
        <v>22208</v>
      </c>
      <c r="D106" s="72"/>
      <c r="F106" s="57"/>
      <c r="G106" s="72"/>
      <c r="H106" s="168">
        <f>_15_同援日０．５＿２．５</f>
        <v>438</v>
      </c>
      <c r="I106" s="57" t="s">
        <v>392</v>
      </c>
      <c r="J106" s="269" t="s">
        <v>17560</v>
      </c>
      <c r="K106" s="37" t="s">
        <v>398</v>
      </c>
      <c r="L106" s="38">
        <v>0.9</v>
      </c>
      <c r="M106" s="299" t="s">
        <v>17556</v>
      </c>
      <c r="N106" s="45" t="s">
        <v>398</v>
      </c>
      <c r="O106" s="46">
        <v>1</v>
      </c>
      <c r="P106" s="512"/>
      <c r="Q106" s="57"/>
      <c r="R106" s="43"/>
      <c r="S106" s="37"/>
      <c r="T106" s="38"/>
      <c r="U106" s="79"/>
      <c r="V106" s="35"/>
      <c r="Y106" s="57"/>
      <c r="Z106" s="208">
        <f>ROUND((ROUND((ROUND((_15_同援日０．５*_15・基礎２),0)*_15・２人),0)*(1+_15・A深夜)),0)+ROUND((ROUND((_15_同援日０．５＿２．５*_15・基礎２),0)*_15・２人),0)</f>
        <v>651</v>
      </c>
      <c r="AA106" s="48"/>
    </row>
    <row r="107" spans="1:27" ht="16.5" customHeight="1" x14ac:dyDescent="0.15">
      <c r="A107" s="41">
        <v>15</v>
      </c>
      <c r="B107" s="41" t="s">
        <v>22209</v>
      </c>
      <c r="C107" s="74" t="s">
        <v>22210</v>
      </c>
      <c r="D107" s="72"/>
      <c r="F107" s="57"/>
      <c r="G107" s="72"/>
      <c r="I107" s="57"/>
      <c r="J107" s="53"/>
      <c r="K107" s="49"/>
      <c r="L107" s="50"/>
      <c r="M107" s="163"/>
      <c r="N107" s="45"/>
      <c r="O107" s="46"/>
      <c r="P107" s="512"/>
      <c r="Q107" s="57"/>
      <c r="R107" s="114" t="s">
        <v>17562</v>
      </c>
      <c r="S107" s="49"/>
      <c r="T107" s="50"/>
      <c r="U107" s="115"/>
      <c r="V107" s="35"/>
      <c r="Y107" s="57"/>
      <c r="Z107" s="208">
        <f>ROUND((ROUND((_15_同援日０．５*(1+_15・A深夜)),0)*(1+_15・盲ろう)),0)+ROUND((_15_同援日０．５＿２．５*(1+_15・盲ろう)),0)</f>
        <v>904</v>
      </c>
      <c r="AA107" s="48"/>
    </row>
    <row r="108" spans="1:27" ht="16.5" customHeight="1" x14ac:dyDescent="0.15">
      <c r="A108" s="41">
        <v>15</v>
      </c>
      <c r="B108" s="41" t="s">
        <v>22211</v>
      </c>
      <c r="C108" s="74" t="s">
        <v>22212</v>
      </c>
      <c r="D108" s="72"/>
      <c r="F108" s="57"/>
      <c r="G108" s="72"/>
      <c r="I108" s="57"/>
      <c r="J108" s="43"/>
      <c r="K108" s="37"/>
      <c r="L108" s="38"/>
      <c r="M108" s="299" t="s">
        <v>17556</v>
      </c>
      <c r="N108" s="45" t="s">
        <v>398</v>
      </c>
      <c r="O108" s="46">
        <v>1</v>
      </c>
      <c r="P108" s="512"/>
      <c r="Q108" s="57"/>
      <c r="R108" s="92" t="s">
        <v>17564</v>
      </c>
      <c r="U108" s="57"/>
      <c r="V108" s="35"/>
      <c r="Y108" s="57"/>
      <c r="Z108" s="208">
        <f>ROUND((ROUND((ROUND((_15_同援日０．５*_15・２人),0)*(1+_15・A深夜)),0)*(1+_15・盲ろう)),0)+ROUND((ROUND((_15_同援日０．５＿２．５*_15・２人),0)*(1+_15・盲ろう)),0)</f>
        <v>904</v>
      </c>
      <c r="AA108" s="48"/>
    </row>
    <row r="109" spans="1:27" ht="16.5" customHeight="1" x14ac:dyDescent="0.15">
      <c r="A109" s="41">
        <v>15</v>
      </c>
      <c r="B109" s="41" t="s">
        <v>1270</v>
      </c>
      <c r="C109" s="74" t="s">
        <v>22213</v>
      </c>
      <c r="D109" s="72"/>
      <c r="F109" s="57"/>
      <c r="G109" s="72"/>
      <c r="I109" s="57"/>
      <c r="J109" s="114" t="s">
        <v>17558</v>
      </c>
      <c r="K109" s="49"/>
      <c r="L109" s="50"/>
      <c r="M109" s="163"/>
      <c r="N109" s="45"/>
      <c r="O109" s="46"/>
      <c r="P109" s="512"/>
      <c r="Q109" s="57"/>
      <c r="R109" s="35"/>
      <c r="S109" s="12" t="s">
        <v>398</v>
      </c>
      <c r="T109" s="13">
        <v>0.25</v>
      </c>
      <c r="U109" s="57" t="s">
        <v>3575</v>
      </c>
      <c r="V109" s="35"/>
      <c r="Y109" s="57"/>
      <c r="Z109" s="208">
        <f>ROUND((ROUND((ROUND((_15_同援日０．５*_15・基礎２),0)*(1+_15・A深夜)),0)*(1+_15・盲ろう)),0)+ROUND((ROUND((_15_同援日０．５＿２．５*_15・基礎２),0)*(1+_15・盲ろう)),0)</f>
        <v>814</v>
      </c>
      <c r="AA109" s="48"/>
    </row>
    <row r="110" spans="1:27" ht="16.5" customHeight="1" x14ac:dyDescent="0.15">
      <c r="A110" s="41">
        <v>15</v>
      </c>
      <c r="B110" s="41" t="s">
        <v>1272</v>
      </c>
      <c r="C110" s="74" t="s">
        <v>22214</v>
      </c>
      <c r="D110" s="72"/>
      <c r="F110" s="57"/>
      <c r="G110" s="72"/>
      <c r="I110" s="57"/>
      <c r="J110" s="269" t="s">
        <v>17560</v>
      </c>
      <c r="K110" s="37" t="s">
        <v>398</v>
      </c>
      <c r="L110" s="38">
        <v>0.9</v>
      </c>
      <c r="M110" s="299" t="s">
        <v>17556</v>
      </c>
      <c r="N110" s="45" t="s">
        <v>398</v>
      </c>
      <c r="O110" s="46">
        <v>1</v>
      </c>
      <c r="P110" s="512"/>
      <c r="Q110" s="57"/>
      <c r="R110" s="43"/>
      <c r="S110" s="37"/>
      <c r="T110" s="38"/>
      <c r="U110" s="79"/>
      <c r="V110" s="43"/>
      <c r="W110" s="37"/>
      <c r="X110" s="38"/>
      <c r="Y110" s="79"/>
      <c r="Z110" s="208">
        <f>ROUND((ROUND((ROUND((ROUND((_15_同援日０．５*_15・基礎２),0)*_15・２人),0)*(1+_15・A深夜)),0)*(1+_15・盲ろう)),0)+ROUND((ROUND((ROUND((_15_同援日０．５＿２．５*_15・基礎２),0)*_15・２人),0)*(1+_15・盲ろう)),0)</f>
        <v>814</v>
      </c>
      <c r="AA110" s="48"/>
    </row>
    <row r="111" spans="1:27" ht="16.5" customHeight="1" x14ac:dyDescent="0.15">
      <c r="A111" s="41">
        <v>15</v>
      </c>
      <c r="B111" s="41" t="s">
        <v>1274</v>
      </c>
      <c r="C111" s="74" t="s">
        <v>22215</v>
      </c>
      <c r="D111" s="72"/>
      <c r="F111" s="57"/>
      <c r="G111" s="72"/>
      <c r="I111" s="57"/>
      <c r="J111" s="53"/>
      <c r="K111" s="49"/>
      <c r="L111" s="50"/>
      <c r="M111" s="163"/>
      <c r="N111" s="45"/>
      <c r="O111" s="46"/>
      <c r="P111" s="512"/>
      <c r="Q111" s="57"/>
      <c r="R111" s="53"/>
      <c r="S111" s="49"/>
      <c r="T111" s="50"/>
      <c r="U111" s="115"/>
      <c r="V111" s="53"/>
      <c r="W111" s="49"/>
      <c r="X111" s="50"/>
      <c r="Y111" s="115"/>
      <c r="Z111" s="208">
        <f>ROUND((ROUND((_15_同援日０．５*(1+_15・A深夜)),0)*(1+_15・区３)),0)+ROUND((_15_同援日０．５＿２．５*(1+_15・区３)),0)</f>
        <v>868</v>
      </c>
      <c r="AA111" s="48"/>
    </row>
    <row r="112" spans="1:27" ht="16.5" customHeight="1" x14ac:dyDescent="0.15">
      <c r="A112" s="41">
        <v>15</v>
      </c>
      <c r="B112" s="41" t="s">
        <v>1276</v>
      </c>
      <c r="C112" s="74" t="s">
        <v>22216</v>
      </c>
      <c r="D112" s="72"/>
      <c r="F112" s="57"/>
      <c r="G112" s="72"/>
      <c r="I112" s="57"/>
      <c r="J112" s="43"/>
      <c r="K112" s="37"/>
      <c r="L112" s="38"/>
      <c r="M112" s="299" t="s">
        <v>17556</v>
      </c>
      <c r="N112" s="45" t="s">
        <v>398</v>
      </c>
      <c r="O112" s="46">
        <v>1</v>
      </c>
      <c r="P112" s="512"/>
      <c r="Q112" s="57"/>
      <c r="R112" s="35"/>
      <c r="U112" s="57"/>
      <c r="V112" s="35"/>
      <c r="Y112" s="57"/>
      <c r="Z112" s="208">
        <f>ROUND((ROUND((ROUND((_15_同援日０．５*_15・２人),0)*(1+_15・A深夜)),0)*(1+_15・区３)),0)+ROUND((ROUND((_15_同援日０．５＿２．５*_15・２人),0)*(1+_15・区３)),0)</f>
        <v>868</v>
      </c>
      <c r="AA112" s="48"/>
    </row>
    <row r="113" spans="1:27" ht="16.5" customHeight="1" x14ac:dyDescent="0.15">
      <c r="A113" s="41">
        <v>15</v>
      </c>
      <c r="B113" s="41" t="s">
        <v>22217</v>
      </c>
      <c r="C113" s="74" t="s">
        <v>22218</v>
      </c>
      <c r="D113" s="72"/>
      <c r="F113" s="57"/>
      <c r="G113" s="72"/>
      <c r="I113" s="57"/>
      <c r="J113" s="114" t="s">
        <v>17558</v>
      </c>
      <c r="K113" s="49"/>
      <c r="L113" s="50"/>
      <c r="M113" s="163"/>
      <c r="N113" s="45"/>
      <c r="O113" s="46"/>
      <c r="P113" s="512"/>
      <c r="Q113" s="57"/>
      <c r="R113" s="35"/>
      <c r="U113" s="57"/>
      <c r="V113" s="72" t="s">
        <v>17570</v>
      </c>
      <c r="Y113" s="57"/>
      <c r="Z113" s="208">
        <f>ROUND((ROUND((ROUND((_15_同援日０．５*_15・基礎２),0)*(1+_15・A深夜)),0)*(1+_15・区３)),0)+ROUND((ROUND((_15_同援日０．５＿２．５*_15・基礎２),0)*(1+_15・区３)),0)</f>
        <v>781</v>
      </c>
      <c r="AA113" s="48"/>
    </row>
    <row r="114" spans="1:27" ht="16.5" customHeight="1" x14ac:dyDescent="0.15">
      <c r="A114" s="41">
        <v>15</v>
      </c>
      <c r="B114" s="41" t="s">
        <v>22219</v>
      </c>
      <c r="C114" s="74" t="s">
        <v>22220</v>
      </c>
      <c r="D114" s="72"/>
      <c r="F114" s="57"/>
      <c r="G114" s="72"/>
      <c r="I114" s="57"/>
      <c r="J114" s="269" t="s">
        <v>17560</v>
      </c>
      <c r="K114" s="37" t="s">
        <v>398</v>
      </c>
      <c r="L114" s="38">
        <v>0.9</v>
      </c>
      <c r="M114" s="299" t="s">
        <v>17556</v>
      </c>
      <c r="N114" s="45" t="s">
        <v>398</v>
      </c>
      <c r="O114" s="46">
        <v>1</v>
      </c>
      <c r="P114" s="512"/>
      <c r="Q114" s="57"/>
      <c r="R114" s="43"/>
      <c r="S114" s="37"/>
      <c r="T114" s="38"/>
      <c r="U114" s="79"/>
      <c r="V114" s="72" t="s">
        <v>17572</v>
      </c>
      <c r="Y114" s="57"/>
      <c r="Z114" s="208">
        <f>ROUND((ROUND((ROUND((ROUND((_15_同援日０．５*_15・基礎２),0)*_15・２人),0)*(1+_15・A深夜)),0)*(1+_15・区３)),0)+ROUND((ROUND((ROUND((_15_同援日０．５＿２．５*_15・基礎２),0)*_15・２人),0)*(1+_15・区３)),0)</f>
        <v>781</v>
      </c>
      <c r="AA114" s="48"/>
    </row>
    <row r="115" spans="1:27" ht="16.5" customHeight="1" x14ac:dyDescent="0.15">
      <c r="A115" s="41">
        <v>15</v>
      </c>
      <c r="B115" s="41" t="s">
        <v>22221</v>
      </c>
      <c r="C115" s="74" t="s">
        <v>22222</v>
      </c>
      <c r="D115" s="72"/>
      <c r="F115" s="57"/>
      <c r="G115" s="72"/>
      <c r="I115" s="57"/>
      <c r="J115" s="53"/>
      <c r="K115" s="49"/>
      <c r="L115" s="50"/>
      <c r="M115" s="163"/>
      <c r="N115" s="45"/>
      <c r="O115" s="46"/>
      <c r="P115" s="512"/>
      <c r="Q115" s="57"/>
      <c r="R115" s="114" t="s">
        <v>17562</v>
      </c>
      <c r="S115" s="49"/>
      <c r="T115" s="50"/>
      <c r="U115" s="115"/>
      <c r="V115" s="35"/>
      <c r="W115" s="12" t="s">
        <v>398</v>
      </c>
      <c r="X115" s="13">
        <v>0.2</v>
      </c>
      <c r="Y115" s="57" t="s">
        <v>3575</v>
      </c>
      <c r="Z115" s="208">
        <f>ROUND((ROUND((ROUND((_15_同援日０．５*(1+_15・A深夜)),0)*(1+_15・盲ろう)),0)*(1+_15・区３)),0)+ROUND((ROUND((_15_同援日０．５＿２．５*(1+_15・盲ろう)),0)*(1+_15・区３)),0)</f>
        <v>1085</v>
      </c>
      <c r="AA115" s="48"/>
    </row>
    <row r="116" spans="1:27" ht="16.5" customHeight="1" x14ac:dyDescent="0.15">
      <c r="A116" s="41">
        <v>15</v>
      </c>
      <c r="B116" s="41" t="s">
        <v>22223</v>
      </c>
      <c r="C116" s="74" t="s">
        <v>22224</v>
      </c>
      <c r="D116" s="72"/>
      <c r="F116" s="57"/>
      <c r="G116" s="72"/>
      <c r="I116" s="57"/>
      <c r="J116" s="43"/>
      <c r="K116" s="37"/>
      <c r="L116" s="38"/>
      <c r="M116" s="299" t="s">
        <v>17556</v>
      </c>
      <c r="N116" s="45" t="s">
        <v>398</v>
      </c>
      <c r="O116" s="46">
        <v>1</v>
      </c>
      <c r="P116" s="512"/>
      <c r="Q116" s="57"/>
      <c r="R116" s="92" t="s">
        <v>17564</v>
      </c>
      <c r="U116" s="57"/>
      <c r="V116" s="35"/>
      <c r="Y116" s="57"/>
      <c r="Z116" s="208">
        <f>ROUND((ROUND((ROUND((ROUND((_15_同援日０．５*_15・２人),0)*(1+_15・A深夜)),0)*(1+_15・盲ろう)),0)*(1+_15・区３)),0)+ROUND((ROUND((ROUND((_15_同援日０．５＿２．５*_15・２人),0)*(1+_15・盲ろう)),0)*(1+_15・区３)),0)</f>
        <v>1085</v>
      </c>
      <c r="AA116" s="48"/>
    </row>
    <row r="117" spans="1:27" ht="16.5" customHeight="1" x14ac:dyDescent="0.15">
      <c r="A117" s="41">
        <v>15</v>
      </c>
      <c r="B117" s="41" t="s">
        <v>22225</v>
      </c>
      <c r="C117" s="74" t="s">
        <v>22226</v>
      </c>
      <c r="D117" s="72"/>
      <c r="F117" s="57"/>
      <c r="G117" s="72"/>
      <c r="I117" s="57"/>
      <c r="J117" s="114" t="s">
        <v>17558</v>
      </c>
      <c r="K117" s="49"/>
      <c r="L117" s="50"/>
      <c r="M117" s="163"/>
      <c r="N117" s="45"/>
      <c r="O117" s="46"/>
      <c r="P117" s="512"/>
      <c r="Q117" s="57"/>
      <c r="R117" s="35"/>
      <c r="S117" s="12" t="s">
        <v>398</v>
      </c>
      <c r="T117" s="13">
        <v>0.25</v>
      </c>
      <c r="U117" s="57" t="s">
        <v>3575</v>
      </c>
      <c r="V117" s="35"/>
      <c r="Y117" s="57"/>
      <c r="Z117" s="208">
        <f>ROUND((ROUND((ROUND((ROUND((_15_同援日０．５*_15・基礎２),0)*(1+_15・A深夜)),0)*(1+_15・盲ろう)),0)*(1+_15・区３)),0)+ROUND((ROUND((ROUND((_15_同援日０．５＿２．５*_15・基礎２),0)*(1+_15・盲ろう)),0)*(1+_15・区３)),0)</f>
        <v>977</v>
      </c>
      <c r="AA117" s="48"/>
    </row>
    <row r="118" spans="1:27" ht="16.5" customHeight="1" x14ac:dyDescent="0.15">
      <c r="A118" s="41">
        <v>15</v>
      </c>
      <c r="B118" s="41" t="s">
        <v>22227</v>
      </c>
      <c r="C118" s="74" t="s">
        <v>22228</v>
      </c>
      <c r="D118" s="72"/>
      <c r="F118" s="57"/>
      <c r="G118" s="72"/>
      <c r="I118" s="57"/>
      <c r="J118" s="269" t="s">
        <v>17560</v>
      </c>
      <c r="K118" s="37" t="s">
        <v>398</v>
      </c>
      <c r="L118" s="38">
        <v>0.9</v>
      </c>
      <c r="M118" s="299" t="s">
        <v>17556</v>
      </c>
      <c r="N118" s="45" t="s">
        <v>398</v>
      </c>
      <c r="O118" s="46">
        <v>1</v>
      </c>
      <c r="P118" s="512"/>
      <c r="Q118" s="57"/>
      <c r="R118" s="43"/>
      <c r="S118" s="37"/>
      <c r="T118" s="38"/>
      <c r="U118" s="79"/>
      <c r="V118" s="43"/>
      <c r="W118" s="37"/>
      <c r="X118" s="38"/>
      <c r="Y118" s="79"/>
      <c r="Z118" s="208">
        <f>ROUND((ROUND((ROUND((ROUND((ROUND((_15_同援日０．５*_15・基礎２),0)*_15・２人),0)*(1+_15・A深夜)),0)*(1+_15・盲ろう)),0)*(1+_15・区３)),0)+ROUND((ROUND((ROUND((ROUND((_15_同援日０．５＿２．５*_15・基礎２),0)*_15・２人),0)*(1+_15・盲ろう)),0)*(1+_15・区３)),0)</f>
        <v>977</v>
      </c>
      <c r="AA118" s="48"/>
    </row>
    <row r="119" spans="1:27" ht="16.5" customHeight="1" x14ac:dyDescent="0.15">
      <c r="A119" s="41">
        <v>15</v>
      </c>
      <c r="B119" s="41" t="s">
        <v>22229</v>
      </c>
      <c r="C119" s="74" t="s">
        <v>22230</v>
      </c>
      <c r="D119" s="72"/>
      <c r="F119" s="57"/>
      <c r="G119" s="72"/>
      <c r="I119" s="57"/>
      <c r="J119" s="53"/>
      <c r="K119" s="49"/>
      <c r="L119" s="50"/>
      <c r="M119" s="163"/>
      <c r="N119" s="45"/>
      <c r="O119" s="46"/>
      <c r="P119" s="512"/>
      <c r="Q119" s="57"/>
      <c r="R119" s="53"/>
      <c r="S119" s="49"/>
      <c r="T119" s="50"/>
      <c r="U119" s="115"/>
      <c r="V119" s="53"/>
      <c r="W119" s="49"/>
      <c r="X119" s="50"/>
      <c r="Y119" s="115"/>
      <c r="Z119" s="208">
        <f>ROUND((ROUND((_15_同援日０．５*(1+_15・A深夜)),0)*(1+_15・区４)),0)+ROUND((_15_同援日０．５＿２．５*(1+_15・区４)),0)</f>
        <v>1012</v>
      </c>
      <c r="AA119" s="48"/>
    </row>
    <row r="120" spans="1:27" ht="16.5" customHeight="1" x14ac:dyDescent="0.15">
      <c r="A120" s="41">
        <v>15</v>
      </c>
      <c r="B120" s="41" t="s">
        <v>22231</v>
      </c>
      <c r="C120" s="74" t="s">
        <v>22232</v>
      </c>
      <c r="D120" s="72"/>
      <c r="F120" s="57"/>
      <c r="G120" s="72"/>
      <c r="I120" s="57"/>
      <c r="J120" s="43"/>
      <c r="K120" s="37"/>
      <c r="L120" s="38"/>
      <c r="M120" s="299" t="s">
        <v>17556</v>
      </c>
      <c r="N120" s="45" t="s">
        <v>398</v>
      </c>
      <c r="O120" s="46">
        <v>1</v>
      </c>
      <c r="P120" s="512"/>
      <c r="Q120" s="57"/>
      <c r="R120" s="35"/>
      <c r="U120" s="57"/>
      <c r="V120" s="35"/>
      <c r="Y120" s="57"/>
      <c r="Z120" s="208">
        <f>ROUND((ROUND((ROUND((_15_同援日０．５*_15・２人),0)*(1+_15・A深夜)),0)*(1+_15・区４)),0)+ROUND((ROUND((_15_同援日０．５＿２．５*_15・２人),0)*(1+_15・区４)),0)</f>
        <v>1012</v>
      </c>
      <c r="AA120" s="48"/>
    </row>
    <row r="121" spans="1:27" ht="16.5" customHeight="1" x14ac:dyDescent="0.15">
      <c r="A121" s="41">
        <v>15</v>
      </c>
      <c r="B121" s="41" t="s">
        <v>22233</v>
      </c>
      <c r="C121" s="74" t="s">
        <v>22234</v>
      </c>
      <c r="D121" s="72"/>
      <c r="F121" s="57"/>
      <c r="G121" s="72"/>
      <c r="I121" s="57"/>
      <c r="J121" s="114" t="s">
        <v>17558</v>
      </c>
      <c r="K121" s="49"/>
      <c r="L121" s="50"/>
      <c r="M121" s="163"/>
      <c r="N121" s="45"/>
      <c r="O121" s="46"/>
      <c r="P121" s="512"/>
      <c r="Q121" s="57"/>
      <c r="R121" s="35"/>
      <c r="U121" s="57"/>
      <c r="V121" s="72" t="s">
        <v>17580</v>
      </c>
      <c r="Y121" s="57"/>
      <c r="Z121" s="208">
        <f>ROUND((ROUND((ROUND((_15_同援日０．５*_15・基礎２),0)*(1+_15・A深夜)),0)*(1+_15・区４)),0)+ROUND((ROUND((_15_同援日０．５＿２．５*_15・基礎２),0)*(1+_15・区４)),0)</f>
        <v>912</v>
      </c>
      <c r="AA121" s="48"/>
    </row>
    <row r="122" spans="1:27" ht="16.5" customHeight="1" x14ac:dyDescent="0.15">
      <c r="A122" s="41">
        <v>15</v>
      </c>
      <c r="B122" s="41" t="s">
        <v>22235</v>
      </c>
      <c r="C122" s="74" t="s">
        <v>22236</v>
      </c>
      <c r="D122" s="72"/>
      <c r="F122" s="57"/>
      <c r="G122" s="72"/>
      <c r="I122" s="57"/>
      <c r="J122" s="269" t="s">
        <v>17560</v>
      </c>
      <c r="K122" s="37" t="s">
        <v>398</v>
      </c>
      <c r="L122" s="38">
        <v>0.9</v>
      </c>
      <c r="M122" s="299" t="s">
        <v>17556</v>
      </c>
      <c r="N122" s="45" t="s">
        <v>398</v>
      </c>
      <c r="O122" s="46">
        <v>1</v>
      </c>
      <c r="P122" s="512"/>
      <c r="Q122" s="57"/>
      <c r="R122" s="43"/>
      <c r="S122" s="37"/>
      <c r="T122" s="38"/>
      <c r="U122" s="79"/>
      <c r="V122" s="72" t="s">
        <v>17572</v>
      </c>
      <c r="Y122" s="57"/>
      <c r="Z122" s="208">
        <f>ROUND((ROUND((ROUND((ROUND((_15_同援日０．５*_15・基礎２),0)*_15・２人),0)*(1+_15・A深夜)),0)*(1+_15・区４)),0)+ROUND((ROUND((ROUND((_15_同援日０．５＿２．５*_15・基礎２),0)*_15・２人),0)*(1+_15・区４)),0)</f>
        <v>912</v>
      </c>
      <c r="AA122" s="48"/>
    </row>
    <row r="123" spans="1:27" ht="16.5" customHeight="1" x14ac:dyDescent="0.15">
      <c r="A123" s="41">
        <v>15</v>
      </c>
      <c r="B123" s="41" t="s">
        <v>22237</v>
      </c>
      <c r="C123" s="74" t="s">
        <v>22238</v>
      </c>
      <c r="D123" s="72"/>
      <c r="F123" s="57"/>
      <c r="G123" s="72"/>
      <c r="I123" s="57"/>
      <c r="J123" s="53"/>
      <c r="K123" s="49"/>
      <c r="L123" s="50"/>
      <c r="M123" s="163"/>
      <c r="N123" s="45"/>
      <c r="O123" s="46"/>
      <c r="P123" s="512"/>
      <c r="Q123" s="57"/>
      <c r="R123" s="114" t="s">
        <v>17562</v>
      </c>
      <c r="S123" s="49"/>
      <c r="T123" s="50"/>
      <c r="U123" s="115"/>
      <c r="V123" s="35"/>
      <c r="W123" s="12" t="s">
        <v>398</v>
      </c>
      <c r="X123" s="13">
        <v>0.4</v>
      </c>
      <c r="Y123" s="57" t="s">
        <v>3575</v>
      </c>
      <c r="Z123" s="208">
        <f>ROUND((ROUND((ROUND((_15_同援日０．５*(1+_15・A深夜)),0)*(1+_15・盲ろう)),0)*(1+_15・区４)),0)+ROUND((ROUND((_15_同援日０．５＿２．５*(1+_15・盲ろう)),0)*(1+_15・区４)),0)</f>
        <v>1265</v>
      </c>
      <c r="AA123" s="48"/>
    </row>
    <row r="124" spans="1:27" ht="16.5" customHeight="1" x14ac:dyDescent="0.15">
      <c r="A124" s="41">
        <v>15</v>
      </c>
      <c r="B124" s="41" t="s">
        <v>22239</v>
      </c>
      <c r="C124" s="74" t="s">
        <v>22240</v>
      </c>
      <c r="D124" s="72"/>
      <c r="F124" s="57"/>
      <c r="G124" s="72"/>
      <c r="I124" s="57"/>
      <c r="J124" s="43"/>
      <c r="K124" s="37"/>
      <c r="L124" s="38"/>
      <c r="M124" s="299" t="s">
        <v>17556</v>
      </c>
      <c r="N124" s="45" t="s">
        <v>398</v>
      </c>
      <c r="O124" s="46">
        <v>1</v>
      </c>
      <c r="P124" s="512"/>
      <c r="Q124" s="57"/>
      <c r="R124" s="92" t="s">
        <v>17564</v>
      </c>
      <c r="U124" s="57"/>
      <c r="V124" s="35"/>
      <c r="Y124" s="57"/>
      <c r="Z124" s="208">
        <f>ROUND((ROUND((ROUND((ROUND((_15_同援日０．５*_15・２人),0)*(1+_15・A深夜)),0)*(1+_15・盲ろう)),0)*(1+_15・区４)),0)+ROUND((ROUND((ROUND((_15_同援日０．５＿２．５*_15・２人),0)*(1+_15・盲ろう)),0)*(1+_15・区４)),0)</f>
        <v>1265</v>
      </c>
      <c r="AA124" s="48"/>
    </row>
    <row r="125" spans="1:27" ht="16.5" customHeight="1" x14ac:dyDescent="0.15">
      <c r="A125" s="41">
        <v>15</v>
      </c>
      <c r="B125" s="41" t="s">
        <v>22241</v>
      </c>
      <c r="C125" s="74" t="s">
        <v>22242</v>
      </c>
      <c r="D125" s="72"/>
      <c r="F125" s="57"/>
      <c r="G125" s="72"/>
      <c r="I125" s="57"/>
      <c r="J125" s="114" t="s">
        <v>17558</v>
      </c>
      <c r="K125" s="49"/>
      <c r="L125" s="50"/>
      <c r="M125" s="163"/>
      <c r="N125" s="45"/>
      <c r="O125" s="46"/>
      <c r="P125" s="512"/>
      <c r="Q125" s="57"/>
      <c r="R125" s="35"/>
      <c r="S125" s="12" t="s">
        <v>398</v>
      </c>
      <c r="T125" s="13">
        <v>0.25</v>
      </c>
      <c r="U125" s="57" t="s">
        <v>3575</v>
      </c>
      <c r="V125" s="35"/>
      <c r="Y125" s="57"/>
      <c r="Z125" s="208">
        <f>ROUND((ROUND((ROUND((ROUND((_15_同援日０．５*_15・基礎２),0)*(1+_15・A深夜)),0)*(1+_15・盲ろう)),0)*(1+_15・区４)),0)+ROUND((ROUND((ROUND((_15_同援日０．５＿２．５*_15・基礎２),0)*(1+_15・盲ろう)),0)*(1+_15・区４)),0)</f>
        <v>1139</v>
      </c>
      <c r="AA125" s="48"/>
    </row>
    <row r="126" spans="1:27" ht="16.5" customHeight="1" x14ac:dyDescent="0.15">
      <c r="A126" s="41">
        <v>15</v>
      </c>
      <c r="B126" s="41" t="s">
        <v>22243</v>
      </c>
      <c r="C126" s="74" t="s">
        <v>22244</v>
      </c>
      <c r="D126" s="122"/>
      <c r="E126" s="37"/>
      <c r="F126" s="79"/>
      <c r="G126" s="122"/>
      <c r="H126" s="37"/>
      <c r="I126" s="79"/>
      <c r="J126" s="269" t="s">
        <v>17560</v>
      </c>
      <c r="K126" s="37" t="s">
        <v>398</v>
      </c>
      <c r="L126" s="38">
        <v>0.9</v>
      </c>
      <c r="M126" s="299" t="s">
        <v>17556</v>
      </c>
      <c r="N126" s="45" t="s">
        <v>398</v>
      </c>
      <c r="O126" s="46">
        <v>1</v>
      </c>
      <c r="P126" s="512"/>
      <c r="Q126" s="57"/>
      <c r="R126" s="43"/>
      <c r="S126" s="37"/>
      <c r="T126" s="38"/>
      <c r="U126" s="79"/>
      <c r="V126" s="43"/>
      <c r="W126" s="37"/>
      <c r="X126" s="38"/>
      <c r="Y126" s="79"/>
      <c r="Z126" s="208">
        <f>ROUND((ROUND((ROUND((ROUND((ROUND((_15_同援日０．５*_15・基礎２),0)*_15・２人),0)*(1+_15・A深夜)),0)*(1+_15・盲ろう)),0)*(1+_15・区４)),0)+ROUND((ROUND((ROUND((ROUND((_15_同援日０．５＿２．５*_15・基礎２),0)*_15・２人),0)*(1+_15・盲ろう)),0)*(1+_15・区４)),0)</f>
        <v>1139</v>
      </c>
      <c r="AA126" s="48"/>
    </row>
    <row r="127" spans="1:27" ht="16.5" customHeight="1" x14ac:dyDescent="0.15">
      <c r="A127" s="41">
        <v>15</v>
      </c>
      <c r="B127" s="41" t="s">
        <v>22245</v>
      </c>
      <c r="C127" s="74" t="s">
        <v>22246</v>
      </c>
      <c r="D127" s="114" t="s">
        <v>18513</v>
      </c>
      <c r="E127" s="49"/>
      <c r="F127" s="115"/>
      <c r="G127" s="114" t="s">
        <v>19187</v>
      </c>
      <c r="H127" s="49"/>
      <c r="I127" s="115"/>
      <c r="J127" s="53"/>
      <c r="K127" s="49"/>
      <c r="L127" s="50"/>
      <c r="M127" s="163"/>
      <c r="N127" s="45"/>
      <c r="O127" s="46"/>
      <c r="P127" s="512"/>
      <c r="Q127" s="57"/>
      <c r="R127" s="53"/>
      <c r="S127" s="49"/>
      <c r="T127" s="50"/>
      <c r="U127" s="115"/>
      <c r="V127" s="53"/>
      <c r="W127" s="49"/>
      <c r="X127" s="50"/>
      <c r="Y127" s="115"/>
      <c r="Z127" s="208">
        <f>ROUND((_15_同援日１．０*(1+_15・A深夜)),0)+_15_同援日１．０＿０．５</f>
        <v>583</v>
      </c>
      <c r="AA127" s="48"/>
    </row>
    <row r="128" spans="1:27" ht="16.5" customHeight="1" x14ac:dyDescent="0.15">
      <c r="A128" s="41">
        <v>15</v>
      </c>
      <c r="B128" s="41" t="s">
        <v>22247</v>
      </c>
      <c r="C128" s="74" t="s">
        <v>22248</v>
      </c>
      <c r="D128" s="72" t="s">
        <v>17589</v>
      </c>
      <c r="F128" s="57"/>
      <c r="G128" s="72" t="s">
        <v>18259</v>
      </c>
      <c r="I128" s="57"/>
      <c r="J128" s="43"/>
      <c r="K128" s="37"/>
      <c r="L128" s="38"/>
      <c r="M128" s="299" t="s">
        <v>17556</v>
      </c>
      <c r="N128" s="45" t="s">
        <v>398</v>
      </c>
      <c r="O128" s="46">
        <v>1</v>
      </c>
      <c r="P128" s="512"/>
      <c r="Q128" s="57"/>
      <c r="R128" s="35"/>
      <c r="U128" s="57"/>
      <c r="V128" s="35"/>
      <c r="Y128" s="57"/>
      <c r="Z128" s="208">
        <f>ROUND((ROUND((_15_同援日１．０*_15・２人),0)*(1+_15・A深夜)),0)+ROUND((_15_同援日１．０＿０．５*_15・２人),0)</f>
        <v>583</v>
      </c>
      <c r="AA128" s="48"/>
    </row>
    <row r="129" spans="1:27" ht="16.5" customHeight="1" x14ac:dyDescent="0.15">
      <c r="A129" s="41">
        <v>15</v>
      </c>
      <c r="B129" s="41" t="s">
        <v>1283</v>
      </c>
      <c r="C129" s="74" t="s">
        <v>22249</v>
      </c>
      <c r="D129" s="72" t="s">
        <v>17591</v>
      </c>
      <c r="F129" s="57"/>
      <c r="G129" s="72"/>
      <c r="I129" s="57"/>
      <c r="J129" s="114" t="s">
        <v>17558</v>
      </c>
      <c r="K129" s="49"/>
      <c r="L129" s="50"/>
      <c r="M129" s="163"/>
      <c r="N129" s="45"/>
      <c r="O129" s="46"/>
      <c r="P129" s="512"/>
      <c r="Q129" s="57"/>
      <c r="R129" s="35"/>
      <c r="U129" s="57"/>
      <c r="V129" s="35"/>
      <c r="Y129" s="57"/>
      <c r="Z129" s="208">
        <f>ROUND((ROUND((_15_同援日１．０*_15・基礎２),0)*(1+_15・A深夜)),0)+ROUND((_15_同援日１．０＿０．５*_15・基礎２),0)</f>
        <v>525</v>
      </c>
      <c r="AA129" s="48"/>
    </row>
    <row r="130" spans="1:27" ht="16.5" customHeight="1" x14ac:dyDescent="0.15">
      <c r="A130" s="41">
        <v>15</v>
      </c>
      <c r="B130" s="41" t="s">
        <v>1285</v>
      </c>
      <c r="C130" s="74" t="s">
        <v>22250</v>
      </c>
      <c r="D130" s="72"/>
      <c r="E130" s="168">
        <f>_15_同援日１．０</f>
        <v>300</v>
      </c>
      <c r="F130" s="57" t="s">
        <v>392</v>
      </c>
      <c r="G130" s="72"/>
      <c r="H130" s="168">
        <f>_15_同援日１．０＿０．５</f>
        <v>133</v>
      </c>
      <c r="I130" s="57" t="s">
        <v>392</v>
      </c>
      <c r="J130" s="269" t="s">
        <v>17560</v>
      </c>
      <c r="K130" s="37" t="s">
        <v>398</v>
      </c>
      <c r="L130" s="38">
        <v>0.9</v>
      </c>
      <c r="M130" s="299" t="s">
        <v>17556</v>
      </c>
      <c r="N130" s="45" t="s">
        <v>398</v>
      </c>
      <c r="O130" s="46">
        <v>1</v>
      </c>
      <c r="P130" s="512"/>
      <c r="Q130" s="57"/>
      <c r="R130" s="43"/>
      <c r="S130" s="37"/>
      <c r="T130" s="38"/>
      <c r="U130" s="79"/>
      <c r="V130" s="35"/>
      <c r="Y130" s="57"/>
      <c r="Z130" s="208">
        <f>ROUND((ROUND((ROUND((_15_同援日１．０*_15・基礎２),0)*_15・２人),0)*(1+_15・A深夜)),0)+ROUND((ROUND((_15_同援日１．０＿０．５*_15・基礎２),0)*_15・２人),0)</f>
        <v>525</v>
      </c>
      <c r="AA130" s="48"/>
    </row>
    <row r="131" spans="1:27" ht="16.5" customHeight="1" x14ac:dyDescent="0.15">
      <c r="A131" s="41">
        <v>15</v>
      </c>
      <c r="B131" s="41" t="s">
        <v>1287</v>
      </c>
      <c r="C131" s="74" t="s">
        <v>22251</v>
      </c>
      <c r="D131" s="72"/>
      <c r="F131" s="57"/>
      <c r="G131" s="72"/>
      <c r="I131" s="57"/>
      <c r="J131" s="53"/>
      <c r="K131" s="49"/>
      <c r="L131" s="50"/>
      <c r="M131" s="163"/>
      <c r="N131" s="45"/>
      <c r="O131" s="46"/>
      <c r="P131" s="512"/>
      <c r="Q131" s="57"/>
      <c r="R131" s="114" t="s">
        <v>17562</v>
      </c>
      <c r="S131" s="49"/>
      <c r="T131" s="50"/>
      <c r="U131" s="115"/>
      <c r="V131" s="35"/>
      <c r="Y131" s="57"/>
      <c r="Z131" s="208">
        <f>ROUND((ROUND((_15_同援日１．０*(1+_15・A深夜)),0)*(1+_15・盲ろう)),0)+ROUND((_15_同援日１．０＿０．５*(1+_15・盲ろう)),0)</f>
        <v>729</v>
      </c>
      <c r="AA131" s="48"/>
    </row>
    <row r="132" spans="1:27" ht="16.5" customHeight="1" x14ac:dyDescent="0.15">
      <c r="A132" s="41">
        <v>15</v>
      </c>
      <c r="B132" s="41" t="s">
        <v>1289</v>
      </c>
      <c r="C132" s="74" t="s">
        <v>22252</v>
      </c>
      <c r="D132" s="72"/>
      <c r="F132" s="57"/>
      <c r="G132" s="72"/>
      <c r="I132" s="57"/>
      <c r="J132" s="43"/>
      <c r="K132" s="37"/>
      <c r="L132" s="38"/>
      <c r="M132" s="299" t="s">
        <v>17556</v>
      </c>
      <c r="N132" s="45" t="s">
        <v>398</v>
      </c>
      <c r="O132" s="46">
        <v>1</v>
      </c>
      <c r="P132" s="512"/>
      <c r="Q132" s="57"/>
      <c r="R132" s="92" t="s">
        <v>17564</v>
      </c>
      <c r="U132" s="57"/>
      <c r="V132" s="35"/>
      <c r="Y132" s="57"/>
      <c r="Z132" s="208">
        <f>ROUND((ROUND((ROUND((_15_同援日１．０*_15・２人),0)*(1+_15・A深夜)),0)*(1+_15・盲ろう)),0)+ROUND((ROUND((_15_同援日１．０＿０．５*_15・２人),0)*(1+_15・盲ろう)),0)</f>
        <v>729</v>
      </c>
      <c r="AA132" s="48"/>
    </row>
    <row r="133" spans="1:27" ht="16.5" customHeight="1" x14ac:dyDescent="0.15">
      <c r="A133" s="41">
        <v>15</v>
      </c>
      <c r="B133" s="41" t="s">
        <v>22253</v>
      </c>
      <c r="C133" s="74" t="s">
        <v>22254</v>
      </c>
      <c r="D133" s="72"/>
      <c r="F133" s="57"/>
      <c r="G133" s="72"/>
      <c r="I133" s="57"/>
      <c r="J133" s="114" t="s">
        <v>17558</v>
      </c>
      <c r="K133" s="49"/>
      <c r="L133" s="50"/>
      <c r="M133" s="163"/>
      <c r="N133" s="45"/>
      <c r="O133" s="46"/>
      <c r="P133" s="512"/>
      <c r="Q133" s="57"/>
      <c r="R133" s="35"/>
      <c r="S133" s="12" t="s">
        <v>398</v>
      </c>
      <c r="T133" s="13">
        <v>0.25</v>
      </c>
      <c r="U133" s="57" t="s">
        <v>3575</v>
      </c>
      <c r="V133" s="35"/>
      <c r="Y133" s="57"/>
      <c r="Z133" s="208">
        <f>ROUND((ROUND((ROUND((_15_同援日１．０*_15・基礎２),0)*(1+_15・A深夜)),0)*(1+_15・盲ろう)),0)+ROUND((ROUND((_15_同援日１．０＿０．５*_15・基礎２),0)*(1+_15・盲ろう)),0)</f>
        <v>656</v>
      </c>
      <c r="AA133" s="48"/>
    </row>
    <row r="134" spans="1:27" ht="16.5" customHeight="1" x14ac:dyDescent="0.15">
      <c r="A134" s="41">
        <v>15</v>
      </c>
      <c r="B134" s="41" t="s">
        <v>22255</v>
      </c>
      <c r="C134" s="74" t="s">
        <v>22256</v>
      </c>
      <c r="D134" s="72"/>
      <c r="F134" s="57"/>
      <c r="G134" s="72"/>
      <c r="I134" s="57"/>
      <c r="J134" s="269" t="s">
        <v>17560</v>
      </c>
      <c r="K134" s="37" t="s">
        <v>398</v>
      </c>
      <c r="L134" s="38">
        <v>0.9</v>
      </c>
      <c r="M134" s="299" t="s">
        <v>17556</v>
      </c>
      <c r="N134" s="45" t="s">
        <v>398</v>
      </c>
      <c r="O134" s="46">
        <v>1</v>
      </c>
      <c r="P134" s="512"/>
      <c r="Q134" s="57"/>
      <c r="R134" s="43"/>
      <c r="S134" s="37"/>
      <c r="T134" s="38"/>
      <c r="U134" s="79"/>
      <c r="V134" s="43"/>
      <c r="W134" s="37"/>
      <c r="X134" s="38"/>
      <c r="Y134" s="79"/>
      <c r="Z134" s="208">
        <f>ROUND((ROUND((ROUND((ROUND((_15_同援日１．０*_15・基礎２),0)*_15・２人),0)*(1+_15・A深夜)),0)*(1+_15・盲ろう)),0)+ROUND((ROUND((ROUND((_15_同援日１．０＿０．５*_15・基礎２),0)*_15・２人),0)*(1+_15・盲ろう)),0)</f>
        <v>656</v>
      </c>
      <c r="AA134" s="48"/>
    </row>
    <row r="135" spans="1:27" ht="16.5" customHeight="1" x14ac:dyDescent="0.15">
      <c r="A135" s="41">
        <v>15</v>
      </c>
      <c r="B135" s="41" t="s">
        <v>22257</v>
      </c>
      <c r="C135" s="74" t="s">
        <v>22258</v>
      </c>
      <c r="D135" s="72"/>
      <c r="F135" s="57"/>
      <c r="G135" s="72"/>
      <c r="I135" s="57"/>
      <c r="J135" s="53"/>
      <c r="K135" s="49"/>
      <c r="L135" s="50"/>
      <c r="M135" s="163"/>
      <c r="N135" s="45"/>
      <c r="O135" s="46"/>
      <c r="P135" s="512"/>
      <c r="Q135" s="57"/>
      <c r="R135" s="53"/>
      <c r="S135" s="49"/>
      <c r="T135" s="50"/>
      <c r="U135" s="115"/>
      <c r="V135" s="53"/>
      <c r="W135" s="49"/>
      <c r="X135" s="50"/>
      <c r="Y135" s="115"/>
      <c r="Z135" s="208">
        <f>ROUND((ROUND((_15_同援日１．０*(1+_15・A深夜)),0)*(1+_15・区３)),0)+ROUND((_15_同援日１．０＿０．５*(1+_15・区３)),0)</f>
        <v>700</v>
      </c>
      <c r="AA135" s="48"/>
    </row>
    <row r="136" spans="1:27" ht="16.5" customHeight="1" x14ac:dyDescent="0.15">
      <c r="A136" s="41">
        <v>15</v>
      </c>
      <c r="B136" s="41" t="s">
        <v>22259</v>
      </c>
      <c r="C136" s="74" t="s">
        <v>22260</v>
      </c>
      <c r="D136" s="72"/>
      <c r="F136" s="57"/>
      <c r="G136" s="72"/>
      <c r="I136" s="57"/>
      <c r="J136" s="43"/>
      <c r="K136" s="37"/>
      <c r="L136" s="38"/>
      <c r="M136" s="299" t="s">
        <v>17556</v>
      </c>
      <c r="N136" s="45" t="s">
        <v>398</v>
      </c>
      <c r="O136" s="46">
        <v>1</v>
      </c>
      <c r="P136" s="512"/>
      <c r="Q136" s="57"/>
      <c r="R136" s="35"/>
      <c r="U136" s="57"/>
      <c r="V136" s="35"/>
      <c r="Y136" s="57"/>
      <c r="Z136" s="208">
        <f>ROUND((ROUND((ROUND((_15_同援日１．０*_15・２人),0)*(1+_15・A深夜)),0)*(1+_15・区３)),0)+ROUND((ROUND((_15_同援日１．０＿０．５*_15・２人),0)*(1+_15・区３)),0)</f>
        <v>700</v>
      </c>
      <c r="AA136" s="48"/>
    </row>
    <row r="137" spans="1:27" ht="16.5" customHeight="1" x14ac:dyDescent="0.15">
      <c r="A137" s="41">
        <v>15</v>
      </c>
      <c r="B137" s="41" t="s">
        <v>22261</v>
      </c>
      <c r="C137" s="74" t="s">
        <v>22262</v>
      </c>
      <c r="D137" s="72"/>
      <c r="F137" s="57"/>
      <c r="G137" s="72"/>
      <c r="I137" s="57"/>
      <c r="J137" s="114" t="s">
        <v>17558</v>
      </c>
      <c r="K137" s="49"/>
      <c r="L137" s="50"/>
      <c r="M137" s="163"/>
      <c r="N137" s="45"/>
      <c r="O137" s="46"/>
      <c r="P137" s="512"/>
      <c r="Q137" s="57"/>
      <c r="R137" s="35"/>
      <c r="U137" s="57"/>
      <c r="V137" s="72" t="s">
        <v>17570</v>
      </c>
      <c r="Y137" s="57"/>
      <c r="Z137" s="208">
        <f>ROUND((ROUND((ROUND((_15_同援日１．０*_15・基礎２),0)*(1+_15・A深夜)),0)*(1+_15・区３)),0)+ROUND((ROUND((_15_同援日１．０＿０．５*_15・基礎２),0)*(1+_15・区３)),0)</f>
        <v>630</v>
      </c>
      <c r="AA137" s="48"/>
    </row>
    <row r="138" spans="1:27" ht="16.5" customHeight="1" x14ac:dyDescent="0.15">
      <c r="A138" s="41">
        <v>15</v>
      </c>
      <c r="B138" s="41" t="s">
        <v>22263</v>
      </c>
      <c r="C138" s="74" t="s">
        <v>22264</v>
      </c>
      <c r="D138" s="72"/>
      <c r="F138" s="57"/>
      <c r="G138" s="72"/>
      <c r="I138" s="57"/>
      <c r="J138" s="269" t="s">
        <v>17560</v>
      </c>
      <c r="K138" s="37" t="s">
        <v>398</v>
      </c>
      <c r="L138" s="38">
        <v>0.9</v>
      </c>
      <c r="M138" s="299" t="s">
        <v>17556</v>
      </c>
      <c r="N138" s="45" t="s">
        <v>398</v>
      </c>
      <c r="O138" s="46">
        <v>1</v>
      </c>
      <c r="P138" s="512"/>
      <c r="Q138" s="57"/>
      <c r="R138" s="43"/>
      <c r="S138" s="37"/>
      <c r="T138" s="38"/>
      <c r="U138" s="79"/>
      <c r="V138" s="72" t="s">
        <v>17572</v>
      </c>
      <c r="Y138" s="57"/>
      <c r="Z138" s="208">
        <f>ROUND((ROUND((ROUND((ROUND((_15_同援日１．０*_15・基礎２),0)*_15・２人),0)*(1+_15・A深夜)),0)*(1+_15・区３)),0)+ROUND((ROUND((ROUND((_15_同援日１．０＿０．５*_15・基礎２),0)*_15・２人),0)*(1+_15・区３)),0)</f>
        <v>630</v>
      </c>
      <c r="AA138" s="48"/>
    </row>
    <row r="139" spans="1:27" ht="16.5" customHeight="1" x14ac:dyDescent="0.15">
      <c r="A139" s="41">
        <v>15</v>
      </c>
      <c r="B139" s="41" t="s">
        <v>22265</v>
      </c>
      <c r="C139" s="74" t="s">
        <v>22266</v>
      </c>
      <c r="D139" s="72"/>
      <c r="F139" s="57"/>
      <c r="G139" s="72"/>
      <c r="I139" s="57"/>
      <c r="J139" s="53"/>
      <c r="K139" s="49"/>
      <c r="L139" s="50"/>
      <c r="M139" s="163"/>
      <c r="N139" s="45"/>
      <c r="O139" s="46"/>
      <c r="P139" s="512"/>
      <c r="Q139" s="57"/>
      <c r="R139" s="114" t="s">
        <v>17562</v>
      </c>
      <c r="S139" s="49"/>
      <c r="T139" s="50"/>
      <c r="U139" s="115"/>
      <c r="V139" s="35"/>
      <c r="W139" s="12" t="s">
        <v>398</v>
      </c>
      <c r="X139" s="13">
        <v>0.2</v>
      </c>
      <c r="Y139" s="57" t="s">
        <v>3575</v>
      </c>
      <c r="Z139" s="208">
        <f>ROUND((ROUND((ROUND((_15_同援日１．０*(1+_15・A深夜)),0)*(1+_15・盲ろう)),0)*(1+_15・区３)),0)+ROUND((ROUND((_15_同援日１．０＿０．５*(1+_15・盲ろう)),0)*(1+_15・区３)),0)</f>
        <v>875</v>
      </c>
      <c r="AA139" s="48"/>
    </row>
    <row r="140" spans="1:27" ht="16.5" customHeight="1" x14ac:dyDescent="0.15">
      <c r="A140" s="41">
        <v>15</v>
      </c>
      <c r="B140" s="41" t="s">
        <v>22267</v>
      </c>
      <c r="C140" s="74" t="s">
        <v>22268</v>
      </c>
      <c r="D140" s="72"/>
      <c r="F140" s="57"/>
      <c r="G140" s="72"/>
      <c r="I140" s="57"/>
      <c r="J140" s="43"/>
      <c r="K140" s="37"/>
      <c r="L140" s="38"/>
      <c r="M140" s="299" t="s">
        <v>17556</v>
      </c>
      <c r="N140" s="45" t="s">
        <v>398</v>
      </c>
      <c r="O140" s="46">
        <v>1</v>
      </c>
      <c r="P140" s="512"/>
      <c r="Q140" s="57"/>
      <c r="R140" s="92" t="s">
        <v>17564</v>
      </c>
      <c r="U140" s="57"/>
      <c r="V140" s="35"/>
      <c r="Y140" s="57"/>
      <c r="Z140" s="208">
        <f>ROUND((ROUND((ROUND((ROUND((_15_同援日１．０*_15・２人),0)*(1+_15・A深夜)),0)*(1+_15・盲ろう)),0)*(1+_15・区３)),0)+ROUND((ROUND((ROUND((_15_同援日１．０＿０．５*_15・２人),0)*(1+_15・盲ろう)),0)*(1+_15・区３)),0)</f>
        <v>875</v>
      </c>
      <c r="AA140" s="48"/>
    </row>
    <row r="141" spans="1:27" ht="16.5" customHeight="1" x14ac:dyDescent="0.15">
      <c r="A141" s="41">
        <v>15</v>
      </c>
      <c r="B141" s="41" t="s">
        <v>22269</v>
      </c>
      <c r="C141" s="74" t="s">
        <v>22270</v>
      </c>
      <c r="D141" s="72"/>
      <c r="F141" s="57"/>
      <c r="G141" s="72"/>
      <c r="I141" s="57"/>
      <c r="J141" s="114" t="s">
        <v>17558</v>
      </c>
      <c r="K141" s="49"/>
      <c r="L141" s="50"/>
      <c r="M141" s="163"/>
      <c r="N141" s="45"/>
      <c r="O141" s="46"/>
      <c r="P141" s="512"/>
      <c r="Q141" s="57"/>
      <c r="R141" s="35"/>
      <c r="S141" s="12" t="s">
        <v>398</v>
      </c>
      <c r="T141" s="13">
        <v>0.25</v>
      </c>
      <c r="U141" s="57" t="s">
        <v>3575</v>
      </c>
      <c r="V141" s="35"/>
      <c r="Y141" s="57"/>
      <c r="Z141" s="208">
        <f>ROUND((ROUND((ROUND((ROUND((_15_同援日１．０*_15・基礎２),0)*(1+_15・A深夜)),0)*(1+_15・盲ろう)),0)*(1+_15・区３)),0)+ROUND((ROUND((ROUND((_15_同援日１．０＿０．５*_15・基礎２),0)*(1+_15・盲ろう)),0)*(1+_15・区３)),0)</f>
        <v>787</v>
      </c>
      <c r="AA141" s="48"/>
    </row>
    <row r="142" spans="1:27" ht="16.5" customHeight="1" x14ac:dyDescent="0.15">
      <c r="A142" s="41">
        <v>15</v>
      </c>
      <c r="B142" s="41" t="s">
        <v>22271</v>
      </c>
      <c r="C142" s="74" t="s">
        <v>22272</v>
      </c>
      <c r="D142" s="72"/>
      <c r="F142" s="57"/>
      <c r="G142" s="72"/>
      <c r="I142" s="57"/>
      <c r="J142" s="269" t="s">
        <v>17560</v>
      </c>
      <c r="K142" s="37" t="s">
        <v>398</v>
      </c>
      <c r="L142" s="38">
        <v>0.9</v>
      </c>
      <c r="M142" s="299" t="s">
        <v>17556</v>
      </c>
      <c r="N142" s="45" t="s">
        <v>398</v>
      </c>
      <c r="O142" s="46">
        <v>1</v>
      </c>
      <c r="P142" s="512"/>
      <c r="Q142" s="57"/>
      <c r="R142" s="43"/>
      <c r="S142" s="37"/>
      <c r="T142" s="38"/>
      <c r="U142" s="79"/>
      <c r="V142" s="43"/>
      <c r="W142" s="37"/>
      <c r="X142" s="38"/>
      <c r="Y142" s="79"/>
      <c r="Z142" s="208">
        <f>ROUND((ROUND((ROUND((ROUND((ROUND((_15_同援日１．０*_15・基礎２),0)*_15・２人),0)*(1+_15・A深夜)),0)*(1+_15・盲ろう)),0)*(1+_15・区３)),0)+ROUND((ROUND((ROUND((ROUND((_15_同援日１．０＿０．５*_15・基礎２),0)*_15・２人),0)*(1+_15・盲ろう)),0)*(1+_15・区３)),0)</f>
        <v>787</v>
      </c>
      <c r="AA142" s="48"/>
    </row>
    <row r="143" spans="1:27" ht="16.5" customHeight="1" x14ac:dyDescent="0.15">
      <c r="A143" s="41">
        <v>15</v>
      </c>
      <c r="B143" s="41" t="s">
        <v>22273</v>
      </c>
      <c r="C143" s="74" t="s">
        <v>22274</v>
      </c>
      <c r="D143" s="72"/>
      <c r="F143" s="57"/>
      <c r="G143" s="72"/>
      <c r="I143" s="57"/>
      <c r="J143" s="53"/>
      <c r="K143" s="49"/>
      <c r="L143" s="50"/>
      <c r="M143" s="163"/>
      <c r="N143" s="45"/>
      <c r="O143" s="46"/>
      <c r="P143" s="512"/>
      <c r="Q143" s="57"/>
      <c r="R143" s="53"/>
      <c r="S143" s="49"/>
      <c r="T143" s="50"/>
      <c r="U143" s="115"/>
      <c r="V143" s="53"/>
      <c r="W143" s="49"/>
      <c r="X143" s="50"/>
      <c r="Y143" s="115"/>
      <c r="Z143" s="208">
        <f>ROUND((ROUND((_15_同援日１．０*(1+_15・A深夜)),0)*(1+_15・区４)),0)+ROUND((_15_同援日１．０＿０．５*(1+_15・区４)),0)</f>
        <v>816</v>
      </c>
      <c r="AA143" s="48"/>
    </row>
    <row r="144" spans="1:27" ht="16.5" customHeight="1" x14ac:dyDescent="0.15">
      <c r="A144" s="41">
        <v>15</v>
      </c>
      <c r="B144" s="41" t="s">
        <v>22275</v>
      </c>
      <c r="C144" s="74" t="s">
        <v>22276</v>
      </c>
      <c r="D144" s="72"/>
      <c r="F144" s="57"/>
      <c r="G144" s="72"/>
      <c r="I144" s="57"/>
      <c r="J144" s="43"/>
      <c r="K144" s="37"/>
      <c r="L144" s="38"/>
      <c r="M144" s="299" t="s">
        <v>17556</v>
      </c>
      <c r="N144" s="45" t="s">
        <v>398</v>
      </c>
      <c r="O144" s="46">
        <v>1</v>
      </c>
      <c r="P144" s="512"/>
      <c r="Q144" s="57"/>
      <c r="R144" s="35"/>
      <c r="U144" s="57"/>
      <c r="V144" s="35"/>
      <c r="Y144" s="57"/>
      <c r="Z144" s="208">
        <f>ROUND((ROUND((ROUND((_15_同援日１．０*_15・２人),0)*(1+_15・A深夜)),0)*(1+_15・区４)),0)+ROUND((ROUND((_15_同援日１．０＿０．５*_15・２人),0)*(1+_15・区４)),0)</f>
        <v>816</v>
      </c>
      <c r="AA144" s="48"/>
    </row>
    <row r="145" spans="1:27" ht="16.5" customHeight="1" x14ac:dyDescent="0.15">
      <c r="A145" s="41">
        <v>15</v>
      </c>
      <c r="B145" s="41" t="s">
        <v>22277</v>
      </c>
      <c r="C145" s="74" t="s">
        <v>22278</v>
      </c>
      <c r="D145" s="72"/>
      <c r="F145" s="57"/>
      <c r="G145" s="72"/>
      <c r="I145" s="57"/>
      <c r="J145" s="114" t="s">
        <v>17558</v>
      </c>
      <c r="K145" s="49"/>
      <c r="L145" s="50"/>
      <c r="M145" s="163"/>
      <c r="N145" s="45"/>
      <c r="O145" s="46"/>
      <c r="P145" s="512"/>
      <c r="Q145" s="57"/>
      <c r="R145" s="35"/>
      <c r="U145" s="57"/>
      <c r="V145" s="72" t="s">
        <v>17580</v>
      </c>
      <c r="Y145" s="57"/>
      <c r="Z145" s="208">
        <f>ROUND((ROUND((ROUND((_15_同援日１．０*_15・基礎２),0)*(1+_15・A深夜)),0)*(1+_15・区４)),0)+ROUND((ROUND((_15_同援日１．０＿０．５*_15・基礎２),0)*(1+_15・区４)),0)</f>
        <v>735</v>
      </c>
      <c r="AA145" s="48"/>
    </row>
    <row r="146" spans="1:27" ht="16.5" customHeight="1" x14ac:dyDescent="0.15">
      <c r="A146" s="41">
        <v>15</v>
      </c>
      <c r="B146" s="41" t="s">
        <v>22279</v>
      </c>
      <c r="C146" s="74" t="s">
        <v>22280</v>
      </c>
      <c r="D146" s="72"/>
      <c r="F146" s="57"/>
      <c r="G146" s="72"/>
      <c r="I146" s="57"/>
      <c r="J146" s="269" t="s">
        <v>17560</v>
      </c>
      <c r="K146" s="37" t="s">
        <v>398</v>
      </c>
      <c r="L146" s="38">
        <v>0.9</v>
      </c>
      <c r="M146" s="299" t="s">
        <v>17556</v>
      </c>
      <c r="N146" s="45" t="s">
        <v>398</v>
      </c>
      <c r="O146" s="46">
        <v>1</v>
      </c>
      <c r="P146" s="512"/>
      <c r="Q146" s="57"/>
      <c r="R146" s="43"/>
      <c r="S146" s="37"/>
      <c r="T146" s="38"/>
      <c r="U146" s="79"/>
      <c r="V146" s="72" t="s">
        <v>17572</v>
      </c>
      <c r="Y146" s="57"/>
      <c r="Z146" s="208">
        <f>ROUND((ROUND((ROUND((ROUND((_15_同援日１．０*_15・基礎２),0)*_15・２人),0)*(1+_15・A深夜)),0)*(1+_15・区４)),0)+ROUND((ROUND((ROUND((_15_同援日１．０＿０．５*_15・基礎２),0)*_15・２人),0)*(1+_15・区４)),0)</f>
        <v>735</v>
      </c>
      <c r="AA146" s="48"/>
    </row>
    <row r="147" spans="1:27" ht="16.5" customHeight="1" x14ac:dyDescent="0.15">
      <c r="A147" s="41">
        <v>15</v>
      </c>
      <c r="B147" s="41" t="s">
        <v>22281</v>
      </c>
      <c r="C147" s="74" t="s">
        <v>22282</v>
      </c>
      <c r="D147" s="72"/>
      <c r="F147" s="57"/>
      <c r="G147" s="72"/>
      <c r="I147" s="57"/>
      <c r="J147" s="53"/>
      <c r="K147" s="49"/>
      <c r="L147" s="50"/>
      <c r="M147" s="163"/>
      <c r="N147" s="45"/>
      <c r="O147" s="46"/>
      <c r="P147" s="512"/>
      <c r="Q147" s="57"/>
      <c r="R147" s="114" t="s">
        <v>17562</v>
      </c>
      <c r="S147" s="49"/>
      <c r="T147" s="50"/>
      <c r="U147" s="115"/>
      <c r="V147" s="35"/>
      <c r="W147" s="12" t="s">
        <v>398</v>
      </c>
      <c r="X147" s="13">
        <v>0.4</v>
      </c>
      <c r="Y147" s="57" t="s">
        <v>3575</v>
      </c>
      <c r="Z147" s="208">
        <f>ROUND((ROUND((ROUND((_15_同援日１．０*(1+_15・A深夜)),0)*(1+_15・盲ろう)),0)*(1+_15・区４)),0)+ROUND((ROUND((_15_同援日１．０＿０．５*(1+_15・盲ろう)),0)*(1+_15・区４)),0)</f>
        <v>1020</v>
      </c>
      <c r="AA147" s="48"/>
    </row>
    <row r="148" spans="1:27" ht="16.5" customHeight="1" x14ac:dyDescent="0.15">
      <c r="A148" s="41">
        <v>15</v>
      </c>
      <c r="B148" s="41" t="s">
        <v>22283</v>
      </c>
      <c r="C148" s="74" t="s">
        <v>22284</v>
      </c>
      <c r="D148" s="72"/>
      <c r="F148" s="57"/>
      <c r="G148" s="72"/>
      <c r="I148" s="57"/>
      <c r="J148" s="43"/>
      <c r="K148" s="37"/>
      <c r="L148" s="38"/>
      <c r="M148" s="299" t="s">
        <v>17556</v>
      </c>
      <c r="N148" s="45" t="s">
        <v>398</v>
      </c>
      <c r="O148" s="46">
        <v>1</v>
      </c>
      <c r="P148" s="512"/>
      <c r="Q148" s="57"/>
      <c r="R148" s="92" t="s">
        <v>17564</v>
      </c>
      <c r="U148" s="57"/>
      <c r="V148" s="35"/>
      <c r="Y148" s="57"/>
      <c r="Z148" s="208">
        <f>ROUND((ROUND((ROUND((ROUND((_15_同援日１．０*_15・２人),0)*(1+_15・A深夜)),0)*(1+_15・盲ろう)),0)*(1+_15・区４)),0)+ROUND((ROUND((ROUND((_15_同援日１．０＿０．５*_15・２人),0)*(1+_15・盲ろう)),0)*(1+_15・区４)),0)</f>
        <v>1020</v>
      </c>
      <c r="AA148" s="48"/>
    </row>
    <row r="149" spans="1:27" ht="16.5" customHeight="1" x14ac:dyDescent="0.15">
      <c r="A149" s="41">
        <v>15</v>
      </c>
      <c r="B149" s="41" t="s">
        <v>1295</v>
      </c>
      <c r="C149" s="74" t="s">
        <v>22285</v>
      </c>
      <c r="D149" s="72"/>
      <c r="F149" s="57"/>
      <c r="G149" s="72"/>
      <c r="I149" s="57"/>
      <c r="J149" s="114" t="s">
        <v>17558</v>
      </c>
      <c r="K149" s="49"/>
      <c r="L149" s="50"/>
      <c r="M149" s="163"/>
      <c r="N149" s="45"/>
      <c r="O149" s="46"/>
      <c r="P149" s="512"/>
      <c r="Q149" s="57"/>
      <c r="R149" s="35"/>
      <c r="S149" s="12" t="s">
        <v>398</v>
      </c>
      <c r="T149" s="13">
        <v>0.25</v>
      </c>
      <c r="U149" s="57" t="s">
        <v>3575</v>
      </c>
      <c r="V149" s="35"/>
      <c r="Y149" s="57"/>
      <c r="Z149" s="208">
        <f>ROUND((ROUND((ROUND((ROUND((_15_同援日１．０*_15・基礎２),0)*(1+_15・A深夜)),0)*(1+_15・盲ろう)),0)*(1+_15・区４)),0)+ROUND((ROUND((ROUND((_15_同援日１．０＿０．５*_15・基礎２),0)*(1+_15・盲ろう)),0)*(1+_15・区４)),0)</f>
        <v>918</v>
      </c>
      <c r="AA149" s="48"/>
    </row>
    <row r="150" spans="1:27" ht="16.5" customHeight="1" x14ac:dyDescent="0.15">
      <c r="A150" s="41">
        <v>15</v>
      </c>
      <c r="B150" s="41" t="s">
        <v>1297</v>
      </c>
      <c r="C150" s="74" t="s">
        <v>22286</v>
      </c>
      <c r="D150" s="72"/>
      <c r="F150" s="57"/>
      <c r="G150" s="122"/>
      <c r="H150" s="37"/>
      <c r="I150" s="79"/>
      <c r="J150" s="269" t="s">
        <v>17560</v>
      </c>
      <c r="K150" s="37" t="s">
        <v>398</v>
      </c>
      <c r="L150" s="38">
        <v>0.9</v>
      </c>
      <c r="M150" s="299" t="s">
        <v>17556</v>
      </c>
      <c r="N150" s="45" t="s">
        <v>398</v>
      </c>
      <c r="O150" s="46">
        <v>1</v>
      </c>
      <c r="P150" s="512"/>
      <c r="Q150" s="57"/>
      <c r="R150" s="43"/>
      <c r="S150" s="37"/>
      <c r="T150" s="38"/>
      <c r="U150" s="79"/>
      <c r="V150" s="43"/>
      <c r="W150" s="37"/>
      <c r="X150" s="38"/>
      <c r="Y150" s="79"/>
      <c r="Z150" s="208">
        <f>ROUND((ROUND((ROUND((ROUND((ROUND((_15_同援日１．０*_15・基礎２),0)*_15・２人),0)*(1+_15・A深夜)),0)*(1+_15・盲ろう)),0)*(1+_15・区４)),0)+ROUND((ROUND((ROUND((ROUND((_15_同援日１．０＿０．５*_15・基礎２),0)*_15・２人),0)*(1+_15・盲ろう)),0)*(1+_15・区４)),0)</f>
        <v>918</v>
      </c>
      <c r="AA150" s="48"/>
    </row>
    <row r="151" spans="1:27" ht="16.5" customHeight="1" x14ac:dyDescent="0.15">
      <c r="A151" s="41">
        <v>15</v>
      </c>
      <c r="B151" s="41" t="s">
        <v>1299</v>
      </c>
      <c r="C151" s="74" t="s">
        <v>22287</v>
      </c>
      <c r="D151" s="72"/>
      <c r="F151" s="57"/>
      <c r="G151" s="114" t="s">
        <v>19212</v>
      </c>
      <c r="H151" s="49"/>
      <c r="I151" s="115"/>
      <c r="J151" s="53"/>
      <c r="K151" s="49"/>
      <c r="L151" s="50"/>
      <c r="M151" s="163"/>
      <c r="N151" s="45"/>
      <c r="O151" s="46"/>
      <c r="P151" s="512"/>
      <c r="Q151" s="57"/>
      <c r="R151" s="53"/>
      <c r="S151" s="49"/>
      <c r="T151" s="50"/>
      <c r="U151" s="115"/>
      <c r="V151" s="53"/>
      <c r="W151" s="49"/>
      <c r="X151" s="50"/>
      <c r="Y151" s="115"/>
      <c r="Z151" s="208">
        <f>ROUND((_15_同援日１．０*(1+_15・A深夜)),0)+_15_同援日１．０＿１．０</f>
        <v>648</v>
      </c>
      <c r="AA151" s="48"/>
    </row>
    <row r="152" spans="1:27" ht="16.5" customHeight="1" x14ac:dyDescent="0.15">
      <c r="A152" s="41">
        <v>15</v>
      </c>
      <c r="B152" s="41" t="s">
        <v>1301</v>
      </c>
      <c r="C152" s="74" t="s">
        <v>22288</v>
      </c>
      <c r="D152" s="72"/>
      <c r="F152" s="57"/>
      <c r="G152" s="72" t="s">
        <v>17589</v>
      </c>
      <c r="I152" s="57"/>
      <c r="J152" s="43"/>
      <c r="K152" s="37"/>
      <c r="L152" s="38"/>
      <c r="M152" s="299" t="s">
        <v>17556</v>
      </c>
      <c r="N152" s="45" t="s">
        <v>398</v>
      </c>
      <c r="O152" s="46">
        <v>1</v>
      </c>
      <c r="P152" s="512"/>
      <c r="Q152" s="57"/>
      <c r="R152" s="35"/>
      <c r="U152" s="57"/>
      <c r="V152" s="35"/>
      <c r="Y152" s="57"/>
      <c r="Z152" s="208">
        <f>ROUND((ROUND((_15_同援日１．０*_15・２人),0)*(1+_15・A深夜)),0)+ROUND((_15_同援日１．０＿１．０*_15・２人),0)</f>
        <v>648</v>
      </c>
      <c r="AA152" s="48"/>
    </row>
    <row r="153" spans="1:27" ht="16.5" customHeight="1" x14ac:dyDescent="0.15">
      <c r="A153" s="41">
        <v>15</v>
      </c>
      <c r="B153" s="41" t="s">
        <v>22289</v>
      </c>
      <c r="C153" s="74" t="s">
        <v>22290</v>
      </c>
      <c r="D153" s="72"/>
      <c r="F153" s="57"/>
      <c r="G153" s="72" t="s">
        <v>17591</v>
      </c>
      <c r="I153" s="57"/>
      <c r="J153" s="114" t="s">
        <v>17558</v>
      </c>
      <c r="K153" s="49"/>
      <c r="L153" s="50"/>
      <c r="M153" s="163"/>
      <c r="N153" s="45"/>
      <c r="O153" s="46"/>
      <c r="P153" s="512"/>
      <c r="Q153" s="57"/>
      <c r="R153" s="35"/>
      <c r="U153" s="57"/>
      <c r="V153" s="35"/>
      <c r="Y153" s="57"/>
      <c r="Z153" s="208">
        <f>ROUND((ROUND((_15_同援日１．０*_15・基礎２),0)*(1+_15・A深夜)),0)+ROUND((_15_同援日１．０＿１．０*_15・基礎２),0)</f>
        <v>583</v>
      </c>
      <c r="AA153" s="48"/>
    </row>
    <row r="154" spans="1:27" ht="16.5" customHeight="1" x14ac:dyDescent="0.15">
      <c r="A154" s="41">
        <v>15</v>
      </c>
      <c r="B154" s="41" t="s">
        <v>22291</v>
      </c>
      <c r="C154" s="74" t="s">
        <v>22292</v>
      </c>
      <c r="D154" s="72"/>
      <c r="F154" s="57"/>
      <c r="G154" s="72"/>
      <c r="H154" s="168">
        <f>_15_同援日１．０＿１．０</f>
        <v>198</v>
      </c>
      <c r="I154" s="57" t="s">
        <v>392</v>
      </c>
      <c r="J154" s="269" t="s">
        <v>17560</v>
      </c>
      <c r="K154" s="37" t="s">
        <v>398</v>
      </c>
      <c r="L154" s="38">
        <v>0.9</v>
      </c>
      <c r="M154" s="299" t="s">
        <v>17556</v>
      </c>
      <c r="N154" s="45" t="s">
        <v>398</v>
      </c>
      <c r="O154" s="46">
        <v>1</v>
      </c>
      <c r="P154" s="512"/>
      <c r="Q154" s="57"/>
      <c r="R154" s="43"/>
      <c r="S154" s="37"/>
      <c r="T154" s="38"/>
      <c r="U154" s="79"/>
      <c r="V154" s="35"/>
      <c r="Y154" s="57"/>
      <c r="Z154" s="208">
        <f>ROUND((ROUND((ROUND((_15_同援日１．０*_15・基礎２),0)*_15・２人),0)*(1+_15・A深夜)),0)+ROUND((ROUND((_15_同援日１．０＿１．０*_15・基礎２),0)*_15・２人),0)</f>
        <v>583</v>
      </c>
      <c r="AA154" s="48"/>
    </row>
    <row r="155" spans="1:27" ht="16.5" customHeight="1" x14ac:dyDescent="0.15">
      <c r="A155" s="41">
        <v>15</v>
      </c>
      <c r="B155" s="41" t="s">
        <v>22293</v>
      </c>
      <c r="C155" s="74" t="s">
        <v>22294</v>
      </c>
      <c r="D155" s="72"/>
      <c r="F155" s="57"/>
      <c r="G155" s="72"/>
      <c r="I155" s="57"/>
      <c r="J155" s="53"/>
      <c r="K155" s="49"/>
      <c r="L155" s="50"/>
      <c r="M155" s="163"/>
      <c r="N155" s="45"/>
      <c r="O155" s="46"/>
      <c r="P155" s="512"/>
      <c r="Q155" s="57"/>
      <c r="R155" s="114" t="s">
        <v>17562</v>
      </c>
      <c r="S155" s="49"/>
      <c r="T155" s="50"/>
      <c r="U155" s="115"/>
      <c r="V155" s="35"/>
      <c r="Y155" s="57"/>
      <c r="Z155" s="208">
        <f>ROUND((ROUND((_15_同援日１．０*(1+_15・A深夜)),0)*(1+_15・盲ろう)),0)+ROUND((_15_同援日１．０＿１．０*(1+_15・盲ろう)),0)</f>
        <v>811</v>
      </c>
      <c r="AA155" s="48"/>
    </row>
    <row r="156" spans="1:27" ht="16.5" customHeight="1" x14ac:dyDescent="0.15">
      <c r="A156" s="41">
        <v>15</v>
      </c>
      <c r="B156" s="41" t="s">
        <v>22295</v>
      </c>
      <c r="C156" s="74" t="s">
        <v>22296</v>
      </c>
      <c r="D156" s="72"/>
      <c r="F156" s="57"/>
      <c r="G156" s="72"/>
      <c r="I156" s="57"/>
      <c r="J156" s="43"/>
      <c r="K156" s="37"/>
      <c r="L156" s="38"/>
      <c r="M156" s="299" t="s">
        <v>17556</v>
      </c>
      <c r="N156" s="45" t="s">
        <v>398</v>
      </c>
      <c r="O156" s="46">
        <v>1</v>
      </c>
      <c r="P156" s="512"/>
      <c r="Q156" s="57"/>
      <c r="R156" s="92" t="s">
        <v>17564</v>
      </c>
      <c r="U156" s="57"/>
      <c r="V156" s="35"/>
      <c r="Y156" s="57"/>
      <c r="Z156" s="208">
        <f>ROUND((ROUND((ROUND((_15_同援日１．０*_15・２人),0)*(1+_15・A深夜)),0)*(1+_15・盲ろう)),0)+ROUND((ROUND((_15_同援日１．０＿１．０*_15・２人),0)*(1+_15・盲ろう)),0)</f>
        <v>811</v>
      </c>
      <c r="AA156" s="48"/>
    </row>
    <row r="157" spans="1:27" ht="16.5" customHeight="1" x14ac:dyDescent="0.15">
      <c r="A157" s="41">
        <v>15</v>
      </c>
      <c r="B157" s="41" t="s">
        <v>22297</v>
      </c>
      <c r="C157" s="74" t="s">
        <v>22298</v>
      </c>
      <c r="D157" s="72"/>
      <c r="F157" s="57"/>
      <c r="G157" s="72"/>
      <c r="I157" s="57"/>
      <c r="J157" s="114" t="s">
        <v>17558</v>
      </c>
      <c r="K157" s="49"/>
      <c r="L157" s="50"/>
      <c r="M157" s="163"/>
      <c r="N157" s="45"/>
      <c r="O157" s="46"/>
      <c r="P157" s="512"/>
      <c r="Q157" s="57"/>
      <c r="R157" s="35"/>
      <c r="S157" s="12" t="s">
        <v>398</v>
      </c>
      <c r="T157" s="13">
        <v>0.25</v>
      </c>
      <c r="U157" s="57" t="s">
        <v>3575</v>
      </c>
      <c r="V157" s="35"/>
      <c r="Y157" s="57"/>
      <c r="Z157" s="208">
        <f>ROUND((ROUND((ROUND((_15_同援日１．０*_15・基礎２),0)*(1+_15・A深夜)),0)*(1+_15・盲ろう)),0)+ROUND((ROUND((_15_同援日１．０＿１．０*_15・基礎２),0)*(1+_15・盲ろう)),0)</f>
        <v>729</v>
      </c>
      <c r="AA157" s="48"/>
    </row>
    <row r="158" spans="1:27" ht="16.5" customHeight="1" x14ac:dyDescent="0.15">
      <c r="A158" s="41">
        <v>15</v>
      </c>
      <c r="B158" s="41" t="s">
        <v>22299</v>
      </c>
      <c r="C158" s="74" t="s">
        <v>22300</v>
      </c>
      <c r="D158" s="72"/>
      <c r="F158" s="57"/>
      <c r="G158" s="72"/>
      <c r="I158" s="57"/>
      <c r="J158" s="269" t="s">
        <v>17560</v>
      </c>
      <c r="K158" s="37" t="s">
        <v>398</v>
      </c>
      <c r="L158" s="38">
        <v>0.9</v>
      </c>
      <c r="M158" s="299" t="s">
        <v>17556</v>
      </c>
      <c r="N158" s="45" t="s">
        <v>398</v>
      </c>
      <c r="O158" s="46">
        <v>1</v>
      </c>
      <c r="P158" s="512"/>
      <c r="Q158" s="57"/>
      <c r="R158" s="43"/>
      <c r="S158" s="37"/>
      <c r="T158" s="38"/>
      <c r="U158" s="79"/>
      <c r="V158" s="43"/>
      <c r="W158" s="37"/>
      <c r="X158" s="38"/>
      <c r="Y158" s="79"/>
      <c r="Z158" s="208">
        <f>ROUND((ROUND((ROUND((ROUND((_15_同援日１．０*_15・基礎２),0)*_15・２人),0)*(1+_15・A深夜)),0)*(1+_15・盲ろう)),0)+ROUND((ROUND((ROUND((_15_同援日１．０＿１．０*_15・基礎２),0)*_15・２人),0)*(1+_15・盲ろう)),0)</f>
        <v>729</v>
      </c>
      <c r="AA158" s="48"/>
    </row>
    <row r="159" spans="1:27" ht="16.5" customHeight="1" x14ac:dyDescent="0.15">
      <c r="A159" s="41">
        <v>15</v>
      </c>
      <c r="B159" s="41" t="s">
        <v>22301</v>
      </c>
      <c r="C159" s="74" t="s">
        <v>22302</v>
      </c>
      <c r="D159" s="72"/>
      <c r="F159" s="57"/>
      <c r="G159" s="72"/>
      <c r="I159" s="57"/>
      <c r="J159" s="53"/>
      <c r="K159" s="49"/>
      <c r="L159" s="50"/>
      <c r="M159" s="163"/>
      <c r="N159" s="45"/>
      <c r="O159" s="46"/>
      <c r="P159" s="512"/>
      <c r="Q159" s="57"/>
      <c r="R159" s="53"/>
      <c r="S159" s="49"/>
      <c r="T159" s="50"/>
      <c r="U159" s="115"/>
      <c r="V159" s="53"/>
      <c r="W159" s="49"/>
      <c r="X159" s="50"/>
      <c r="Y159" s="115"/>
      <c r="Z159" s="208">
        <f>ROUND((ROUND((_15_同援日１．０*(1+_15・A深夜)),0)*(1+_15・区３)),0)+ROUND((_15_同援日１．０＿１．０*(1+_15・区３)),0)</f>
        <v>778</v>
      </c>
      <c r="AA159" s="48"/>
    </row>
    <row r="160" spans="1:27" ht="16.5" customHeight="1" x14ac:dyDescent="0.15">
      <c r="A160" s="41">
        <v>15</v>
      </c>
      <c r="B160" s="41" t="s">
        <v>22303</v>
      </c>
      <c r="C160" s="74" t="s">
        <v>22304</v>
      </c>
      <c r="D160" s="72"/>
      <c r="F160" s="57"/>
      <c r="G160" s="72"/>
      <c r="I160" s="57"/>
      <c r="J160" s="43"/>
      <c r="K160" s="37"/>
      <c r="L160" s="38"/>
      <c r="M160" s="299" t="s">
        <v>17556</v>
      </c>
      <c r="N160" s="45" t="s">
        <v>398</v>
      </c>
      <c r="O160" s="46">
        <v>1</v>
      </c>
      <c r="P160" s="512"/>
      <c r="Q160" s="57"/>
      <c r="R160" s="35"/>
      <c r="U160" s="57"/>
      <c r="V160" s="35"/>
      <c r="Y160" s="57"/>
      <c r="Z160" s="208">
        <f>ROUND((ROUND((ROUND((_15_同援日１．０*_15・２人),0)*(1+_15・A深夜)),0)*(1+_15・区３)),0)+ROUND((ROUND((_15_同援日１．０＿１．０*_15・２人),0)*(1+_15・区３)),0)</f>
        <v>778</v>
      </c>
      <c r="AA160" s="48"/>
    </row>
    <row r="161" spans="1:27" ht="16.5" customHeight="1" x14ac:dyDescent="0.15">
      <c r="A161" s="41">
        <v>15</v>
      </c>
      <c r="B161" s="41" t="s">
        <v>22305</v>
      </c>
      <c r="C161" s="74" t="s">
        <v>22306</v>
      </c>
      <c r="D161" s="72"/>
      <c r="F161" s="57"/>
      <c r="G161" s="72"/>
      <c r="I161" s="57"/>
      <c r="J161" s="114" t="s">
        <v>17558</v>
      </c>
      <c r="K161" s="49"/>
      <c r="L161" s="50"/>
      <c r="M161" s="163"/>
      <c r="N161" s="45"/>
      <c r="O161" s="46"/>
      <c r="P161" s="512"/>
      <c r="Q161" s="57"/>
      <c r="R161" s="35"/>
      <c r="U161" s="57"/>
      <c r="V161" s="72" t="s">
        <v>17570</v>
      </c>
      <c r="Y161" s="57"/>
      <c r="Z161" s="208">
        <f>ROUND((ROUND((ROUND((_15_同援日１．０*_15・基礎２),0)*(1+_15・A深夜)),0)*(1+_15・区３)),0)+ROUND((ROUND((_15_同援日１．０＿１．０*_15・基礎２),0)*(1+_15・区３)),0)</f>
        <v>700</v>
      </c>
      <c r="AA161" s="48"/>
    </row>
    <row r="162" spans="1:27" ht="16.5" customHeight="1" x14ac:dyDescent="0.15">
      <c r="A162" s="41">
        <v>15</v>
      </c>
      <c r="B162" s="41" t="s">
        <v>22307</v>
      </c>
      <c r="C162" s="74" t="s">
        <v>22308</v>
      </c>
      <c r="D162" s="72"/>
      <c r="F162" s="57"/>
      <c r="G162" s="72"/>
      <c r="I162" s="57"/>
      <c r="J162" s="269" t="s">
        <v>17560</v>
      </c>
      <c r="K162" s="37" t="s">
        <v>398</v>
      </c>
      <c r="L162" s="38">
        <v>0.9</v>
      </c>
      <c r="M162" s="299" t="s">
        <v>17556</v>
      </c>
      <c r="N162" s="45" t="s">
        <v>398</v>
      </c>
      <c r="O162" s="46">
        <v>1</v>
      </c>
      <c r="P162" s="512"/>
      <c r="Q162" s="57"/>
      <c r="R162" s="43"/>
      <c r="S162" s="37"/>
      <c r="T162" s="38"/>
      <c r="U162" s="79"/>
      <c r="V162" s="72" t="s">
        <v>17572</v>
      </c>
      <c r="Y162" s="57"/>
      <c r="Z162" s="208">
        <f>ROUND((ROUND((ROUND((ROUND((_15_同援日１．０*_15・基礎２),0)*_15・２人),0)*(1+_15・A深夜)),0)*(1+_15・区３)),0)+ROUND((ROUND((ROUND((_15_同援日１．０＿１．０*_15・基礎２),0)*_15・２人),0)*(1+_15・区３)),0)</f>
        <v>700</v>
      </c>
      <c r="AA162" s="48"/>
    </row>
    <row r="163" spans="1:27" ht="16.5" customHeight="1" x14ac:dyDescent="0.15">
      <c r="A163" s="41">
        <v>15</v>
      </c>
      <c r="B163" s="41" t="s">
        <v>22309</v>
      </c>
      <c r="C163" s="74" t="s">
        <v>22310</v>
      </c>
      <c r="D163" s="72"/>
      <c r="F163" s="57"/>
      <c r="G163" s="72"/>
      <c r="I163" s="57"/>
      <c r="J163" s="53"/>
      <c r="K163" s="49"/>
      <c r="L163" s="50"/>
      <c r="M163" s="163"/>
      <c r="N163" s="45"/>
      <c r="O163" s="46"/>
      <c r="P163" s="512"/>
      <c r="Q163" s="57"/>
      <c r="R163" s="114" t="s">
        <v>17562</v>
      </c>
      <c r="S163" s="49"/>
      <c r="T163" s="50"/>
      <c r="U163" s="115"/>
      <c r="V163" s="35"/>
      <c r="W163" s="12" t="s">
        <v>398</v>
      </c>
      <c r="X163" s="13">
        <v>0.2</v>
      </c>
      <c r="Y163" s="57" t="s">
        <v>3575</v>
      </c>
      <c r="Z163" s="208">
        <f>ROUND((ROUND((ROUND((_15_同援日１．０*(1+_15・A深夜)),0)*(1+_15・盲ろう)),0)*(1+_15・区３)),0)+ROUND((ROUND((_15_同援日１．０＿１．０*(1+_15・盲ろう)),0)*(1+_15・区３)),0)</f>
        <v>974</v>
      </c>
      <c r="AA163" s="48"/>
    </row>
    <row r="164" spans="1:27" ht="16.5" customHeight="1" x14ac:dyDescent="0.15">
      <c r="A164" s="41">
        <v>15</v>
      </c>
      <c r="B164" s="41" t="s">
        <v>22311</v>
      </c>
      <c r="C164" s="74" t="s">
        <v>22312</v>
      </c>
      <c r="D164" s="72"/>
      <c r="F164" s="57"/>
      <c r="G164" s="72"/>
      <c r="I164" s="57"/>
      <c r="J164" s="43"/>
      <c r="K164" s="37"/>
      <c r="L164" s="38"/>
      <c r="M164" s="299" t="s">
        <v>17556</v>
      </c>
      <c r="N164" s="45" t="s">
        <v>398</v>
      </c>
      <c r="O164" s="46">
        <v>1</v>
      </c>
      <c r="P164" s="512"/>
      <c r="Q164" s="57"/>
      <c r="R164" s="92" t="s">
        <v>17564</v>
      </c>
      <c r="U164" s="57"/>
      <c r="V164" s="35"/>
      <c r="Y164" s="57"/>
      <c r="Z164" s="208">
        <f>ROUND((ROUND((ROUND((ROUND((_15_同援日１．０*_15・２人),0)*(1+_15・A深夜)),0)*(1+_15・盲ろう)),0)*(1+_15・区３)),0)+ROUND((ROUND((ROUND((_15_同援日１．０＿１．０*_15・２人),0)*(1+_15・盲ろう)),0)*(1+_15・区３)),0)</f>
        <v>974</v>
      </c>
      <c r="AA164" s="48"/>
    </row>
    <row r="165" spans="1:27" ht="16.5" customHeight="1" x14ac:dyDescent="0.15">
      <c r="A165" s="41">
        <v>15</v>
      </c>
      <c r="B165" s="41" t="s">
        <v>22313</v>
      </c>
      <c r="C165" s="74" t="s">
        <v>22314</v>
      </c>
      <c r="D165" s="72"/>
      <c r="F165" s="57"/>
      <c r="G165" s="72"/>
      <c r="I165" s="57"/>
      <c r="J165" s="114" t="s">
        <v>17558</v>
      </c>
      <c r="K165" s="49"/>
      <c r="L165" s="50"/>
      <c r="M165" s="163"/>
      <c r="N165" s="45"/>
      <c r="O165" s="46"/>
      <c r="P165" s="512"/>
      <c r="Q165" s="57"/>
      <c r="R165" s="35"/>
      <c r="S165" s="12" t="s">
        <v>398</v>
      </c>
      <c r="T165" s="13">
        <v>0.25</v>
      </c>
      <c r="U165" s="57" t="s">
        <v>3575</v>
      </c>
      <c r="V165" s="35"/>
      <c r="Y165" s="57"/>
      <c r="Z165" s="208">
        <f>ROUND((ROUND((ROUND((ROUND((_15_同援日１．０*_15・基礎２),0)*(1+_15・A深夜)),0)*(1+_15・盲ろう)),0)*(1+_15・区３)),0)+ROUND((ROUND((ROUND((_15_同援日１．０＿１．０*_15・基礎２),0)*(1+_15・盲ろう)),0)*(1+_15・区３)),0)</f>
        <v>875</v>
      </c>
      <c r="AA165" s="48"/>
    </row>
    <row r="166" spans="1:27" ht="16.5" customHeight="1" x14ac:dyDescent="0.15">
      <c r="A166" s="41">
        <v>15</v>
      </c>
      <c r="B166" s="41" t="s">
        <v>22315</v>
      </c>
      <c r="C166" s="74" t="s">
        <v>22316</v>
      </c>
      <c r="D166" s="72"/>
      <c r="F166" s="57"/>
      <c r="G166" s="72"/>
      <c r="I166" s="57"/>
      <c r="J166" s="269" t="s">
        <v>17560</v>
      </c>
      <c r="K166" s="37" t="s">
        <v>398</v>
      </c>
      <c r="L166" s="38">
        <v>0.9</v>
      </c>
      <c r="M166" s="299" t="s">
        <v>17556</v>
      </c>
      <c r="N166" s="45" t="s">
        <v>398</v>
      </c>
      <c r="O166" s="46">
        <v>1</v>
      </c>
      <c r="P166" s="512"/>
      <c r="Q166" s="57"/>
      <c r="R166" s="43"/>
      <c r="S166" s="37"/>
      <c r="T166" s="38"/>
      <c r="U166" s="79"/>
      <c r="V166" s="43"/>
      <c r="W166" s="37"/>
      <c r="X166" s="38"/>
      <c r="Y166" s="79"/>
      <c r="Z166" s="208">
        <f>ROUND((ROUND((ROUND((ROUND((ROUND((_15_同援日１．０*_15・基礎２),0)*_15・２人),0)*(1+_15・A深夜)),0)*(1+_15・盲ろう)),0)*(1+_15・区３)),0)+ROUND((ROUND((ROUND((ROUND((_15_同援日１．０＿１．０*_15・基礎２),0)*_15・２人),0)*(1+_15・盲ろう)),0)*(1+_15・区３)),0)</f>
        <v>875</v>
      </c>
      <c r="AA166" s="48"/>
    </row>
    <row r="167" spans="1:27" ht="16.5" customHeight="1" x14ac:dyDescent="0.15">
      <c r="A167" s="41">
        <v>15</v>
      </c>
      <c r="B167" s="41" t="s">
        <v>22317</v>
      </c>
      <c r="C167" s="74" t="s">
        <v>22318</v>
      </c>
      <c r="D167" s="72"/>
      <c r="F167" s="57"/>
      <c r="G167" s="72"/>
      <c r="I167" s="57"/>
      <c r="J167" s="53"/>
      <c r="K167" s="49"/>
      <c r="L167" s="50"/>
      <c r="M167" s="163"/>
      <c r="N167" s="45"/>
      <c r="O167" s="46"/>
      <c r="P167" s="512"/>
      <c r="Q167" s="57"/>
      <c r="R167" s="53"/>
      <c r="S167" s="49"/>
      <c r="T167" s="50"/>
      <c r="U167" s="115"/>
      <c r="V167" s="53"/>
      <c r="W167" s="49"/>
      <c r="X167" s="50"/>
      <c r="Y167" s="115"/>
      <c r="Z167" s="208">
        <f>ROUND((ROUND((_15_同援日１．０*(1+_15・A深夜)),0)*(1+_15・区４)),0)+ROUND((_15_同援日１．０＿１．０*(1+_15・区４)),0)</f>
        <v>907</v>
      </c>
      <c r="AA167" s="48"/>
    </row>
    <row r="168" spans="1:27" ht="16.5" customHeight="1" x14ac:dyDescent="0.15">
      <c r="A168" s="41">
        <v>15</v>
      </c>
      <c r="B168" s="41" t="s">
        <v>22319</v>
      </c>
      <c r="C168" s="74" t="s">
        <v>22320</v>
      </c>
      <c r="D168" s="72"/>
      <c r="F168" s="57"/>
      <c r="G168" s="72"/>
      <c r="I168" s="57"/>
      <c r="J168" s="43"/>
      <c r="K168" s="37"/>
      <c r="L168" s="38"/>
      <c r="M168" s="299" t="s">
        <v>17556</v>
      </c>
      <c r="N168" s="45" t="s">
        <v>398</v>
      </c>
      <c r="O168" s="46">
        <v>1</v>
      </c>
      <c r="P168" s="512"/>
      <c r="Q168" s="57"/>
      <c r="R168" s="35"/>
      <c r="U168" s="57"/>
      <c r="V168" s="35"/>
      <c r="Y168" s="57"/>
      <c r="Z168" s="208">
        <f>ROUND((ROUND((ROUND((_15_同援日１．０*_15・２人),0)*(1+_15・A深夜)),0)*(1+_15・区４)),0)+ROUND((ROUND((_15_同援日１．０＿１．０*_15・２人),0)*(1+_15・区４)),0)</f>
        <v>907</v>
      </c>
      <c r="AA168" s="48"/>
    </row>
    <row r="169" spans="1:27" ht="16.5" customHeight="1" x14ac:dyDescent="0.15">
      <c r="A169" s="41">
        <v>15</v>
      </c>
      <c r="B169" s="41" t="s">
        <v>1308</v>
      </c>
      <c r="C169" s="74" t="s">
        <v>22321</v>
      </c>
      <c r="D169" s="72"/>
      <c r="F169" s="57"/>
      <c r="G169" s="72"/>
      <c r="I169" s="57"/>
      <c r="J169" s="114" t="s">
        <v>17558</v>
      </c>
      <c r="K169" s="49"/>
      <c r="L169" s="50"/>
      <c r="M169" s="163"/>
      <c r="N169" s="45"/>
      <c r="O169" s="46"/>
      <c r="P169" s="512"/>
      <c r="Q169" s="57"/>
      <c r="R169" s="35"/>
      <c r="U169" s="57"/>
      <c r="V169" s="72" t="s">
        <v>17580</v>
      </c>
      <c r="Y169" s="57"/>
      <c r="Z169" s="208">
        <f>ROUND((ROUND((ROUND((_15_同援日１．０*_15・基礎２),0)*(1+_15・A深夜)),0)*(1+_15・区４)),0)+ROUND((ROUND((_15_同援日１．０＿１．０*_15・基礎２),0)*(1+_15・区４)),0)</f>
        <v>816</v>
      </c>
      <c r="AA169" s="48"/>
    </row>
    <row r="170" spans="1:27" ht="16.5" customHeight="1" x14ac:dyDescent="0.15">
      <c r="A170" s="41">
        <v>15</v>
      </c>
      <c r="B170" s="41" t="s">
        <v>1310</v>
      </c>
      <c r="C170" s="74" t="s">
        <v>22322</v>
      </c>
      <c r="D170" s="72"/>
      <c r="F170" s="57"/>
      <c r="G170" s="72"/>
      <c r="I170" s="57"/>
      <c r="J170" s="269" t="s">
        <v>17560</v>
      </c>
      <c r="K170" s="37" t="s">
        <v>398</v>
      </c>
      <c r="L170" s="38">
        <v>0.9</v>
      </c>
      <c r="M170" s="299" t="s">
        <v>17556</v>
      </c>
      <c r="N170" s="45" t="s">
        <v>398</v>
      </c>
      <c r="O170" s="46">
        <v>1</v>
      </c>
      <c r="P170" s="512"/>
      <c r="Q170" s="57"/>
      <c r="R170" s="43"/>
      <c r="S170" s="37"/>
      <c r="T170" s="38"/>
      <c r="U170" s="79"/>
      <c r="V170" s="72" t="s">
        <v>17572</v>
      </c>
      <c r="Y170" s="57"/>
      <c r="Z170" s="208">
        <f>ROUND((ROUND((ROUND((ROUND((_15_同援日１．０*_15・基礎２),0)*_15・２人),0)*(1+_15・A深夜)),0)*(1+_15・区４)),0)+ROUND((ROUND((ROUND((_15_同援日１．０＿１．０*_15・基礎２),0)*_15・２人),0)*(1+_15・区４)),0)</f>
        <v>816</v>
      </c>
      <c r="AA170" s="48"/>
    </row>
    <row r="171" spans="1:27" ht="16.5" customHeight="1" x14ac:dyDescent="0.15">
      <c r="A171" s="41">
        <v>15</v>
      </c>
      <c r="B171" s="41" t="s">
        <v>1312</v>
      </c>
      <c r="C171" s="74" t="s">
        <v>22323</v>
      </c>
      <c r="D171" s="72"/>
      <c r="F171" s="57"/>
      <c r="G171" s="72"/>
      <c r="I171" s="57"/>
      <c r="J171" s="53"/>
      <c r="K171" s="49"/>
      <c r="L171" s="50"/>
      <c r="M171" s="163"/>
      <c r="N171" s="45"/>
      <c r="O171" s="46"/>
      <c r="P171" s="512"/>
      <c r="Q171" s="57"/>
      <c r="R171" s="114" t="s">
        <v>17562</v>
      </c>
      <c r="S171" s="49"/>
      <c r="T171" s="50"/>
      <c r="U171" s="115"/>
      <c r="V171" s="35"/>
      <c r="W171" s="12" t="s">
        <v>398</v>
      </c>
      <c r="X171" s="13">
        <v>0.4</v>
      </c>
      <c r="Y171" s="57" t="s">
        <v>3575</v>
      </c>
      <c r="Z171" s="208">
        <f>ROUND((ROUND((ROUND((_15_同援日１．０*(1+_15・A深夜)),0)*(1+_15・盲ろう)),0)*(1+_15・区４)),0)+ROUND((ROUND((_15_同援日１．０＿１．０*(1+_15・盲ろう)),0)*(1+_15・区４)),0)</f>
        <v>1135</v>
      </c>
      <c r="AA171" s="48"/>
    </row>
    <row r="172" spans="1:27" ht="16.5" customHeight="1" x14ac:dyDescent="0.15">
      <c r="A172" s="41">
        <v>15</v>
      </c>
      <c r="B172" s="41" t="s">
        <v>1314</v>
      </c>
      <c r="C172" s="74" t="s">
        <v>22324</v>
      </c>
      <c r="D172" s="72"/>
      <c r="F172" s="57"/>
      <c r="G172" s="72"/>
      <c r="I172" s="57"/>
      <c r="J172" s="43"/>
      <c r="K172" s="37"/>
      <c r="L172" s="38"/>
      <c r="M172" s="299" t="s">
        <v>17556</v>
      </c>
      <c r="N172" s="45" t="s">
        <v>398</v>
      </c>
      <c r="O172" s="46">
        <v>1</v>
      </c>
      <c r="P172" s="512"/>
      <c r="Q172" s="57"/>
      <c r="R172" s="92" t="s">
        <v>17564</v>
      </c>
      <c r="U172" s="57"/>
      <c r="V172" s="35"/>
      <c r="Y172" s="57"/>
      <c r="Z172" s="208">
        <f>ROUND((ROUND((ROUND((ROUND((_15_同援日１．０*_15・２人),0)*(1+_15・A深夜)),0)*(1+_15・盲ろう)),0)*(1+_15・区４)),0)+ROUND((ROUND((ROUND((_15_同援日１．０＿１．０*_15・２人),0)*(1+_15・盲ろう)),0)*(1+_15・区４)),0)</f>
        <v>1135</v>
      </c>
      <c r="AA172" s="48"/>
    </row>
    <row r="173" spans="1:27" ht="16.5" customHeight="1" x14ac:dyDescent="0.15">
      <c r="A173" s="41">
        <v>15</v>
      </c>
      <c r="B173" s="41" t="s">
        <v>22325</v>
      </c>
      <c r="C173" s="74" t="s">
        <v>22326</v>
      </c>
      <c r="D173" s="72"/>
      <c r="F173" s="57"/>
      <c r="G173" s="72"/>
      <c r="I173" s="57"/>
      <c r="J173" s="114" t="s">
        <v>17558</v>
      </c>
      <c r="K173" s="49"/>
      <c r="L173" s="50"/>
      <c r="M173" s="163"/>
      <c r="N173" s="45"/>
      <c r="O173" s="46"/>
      <c r="P173" s="512"/>
      <c r="Q173" s="57"/>
      <c r="R173" s="35"/>
      <c r="S173" s="12" t="s">
        <v>398</v>
      </c>
      <c r="T173" s="13">
        <v>0.25</v>
      </c>
      <c r="U173" s="57" t="s">
        <v>3575</v>
      </c>
      <c r="V173" s="35"/>
      <c r="Y173" s="57"/>
      <c r="Z173" s="208">
        <f>ROUND((ROUND((ROUND((ROUND((_15_同援日１．０*_15・基礎２),0)*(1+_15・A深夜)),0)*(1+_15・盲ろう)),0)*(1+_15・区４)),0)+ROUND((ROUND((ROUND((_15_同援日１．０＿１．０*_15・基礎２),0)*(1+_15・盲ろう)),0)*(1+_15・区４)),0)</f>
        <v>1020</v>
      </c>
      <c r="AA173" s="48"/>
    </row>
    <row r="174" spans="1:27" ht="16.5" customHeight="1" x14ac:dyDescent="0.15">
      <c r="A174" s="41">
        <v>15</v>
      </c>
      <c r="B174" s="41" t="s">
        <v>22327</v>
      </c>
      <c r="C174" s="74" t="s">
        <v>22328</v>
      </c>
      <c r="D174" s="72"/>
      <c r="F174" s="57"/>
      <c r="G174" s="122"/>
      <c r="H174" s="37"/>
      <c r="I174" s="79"/>
      <c r="J174" s="269" t="s">
        <v>17560</v>
      </c>
      <c r="K174" s="37" t="s">
        <v>398</v>
      </c>
      <c r="L174" s="38">
        <v>0.9</v>
      </c>
      <c r="M174" s="299" t="s">
        <v>17556</v>
      </c>
      <c r="N174" s="45" t="s">
        <v>398</v>
      </c>
      <c r="O174" s="46">
        <v>1</v>
      </c>
      <c r="P174" s="512"/>
      <c r="Q174" s="57"/>
      <c r="R174" s="43"/>
      <c r="S174" s="37"/>
      <c r="T174" s="38"/>
      <c r="U174" s="79"/>
      <c r="V174" s="43"/>
      <c r="W174" s="37"/>
      <c r="X174" s="38"/>
      <c r="Y174" s="79"/>
      <c r="Z174" s="208">
        <f>ROUND((ROUND((ROUND((ROUND((ROUND((_15_同援日１．０*_15・基礎２),0)*_15・２人),0)*(1+_15・A深夜)),0)*(1+_15・盲ろう)),0)*(1+_15・区４)),0)+ROUND((ROUND((ROUND((ROUND((_15_同援日１．０＿１．０*_15・基礎２),0)*_15・２人),0)*(1+_15・盲ろう)),0)*(1+_15・区４)),0)</f>
        <v>1020</v>
      </c>
      <c r="AA174" s="48"/>
    </row>
    <row r="175" spans="1:27" ht="16.5" customHeight="1" x14ac:dyDescent="0.15">
      <c r="A175" s="41">
        <v>15</v>
      </c>
      <c r="B175" s="41" t="s">
        <v>22329</v>
      </c>
      <c r="C175" s="74" t="s">
        <v>22330</v>
      </c>
      <c r="D175" s="72"/>
      <c r="F175" s="57"/>
      <c r="G175" s="114" t="s">
        <v>19237</v>
      </c>
      <c r="H175" s="49"/>
      <c r="I175" s="115"/>
      <c r="J175" s="53"/>
      <c r="K175" s="49"/>
      <c r="L175" s="50"/>
      <c r="M175" s="163"/>
      <c r="N175" s="45"/>
      <c r="O175" s="46"/>
      <c r="P175" s="512"/>
      <c r="Q175" s="57"/>
      <c r="R175" s="53"/>
      <c r="S175" s="49"/>
      <c r="T175" s="50"/>
      <c r="U175" s="115"/>
      <c r="V175" s="53"/>
      <c r="W175" s="49"/>
      <c r="X175" s="50"/>
      <c r="Y175" s="115"/>
      <c r="Z175" s="208">
        <f>ROUND((_15_同援日１．０*(1+_15・A深夜)),0)+_15_同援日１．０＿１．５</f>
        <v>713</v>
      </c>
      <c r="AA175" s="48"/>
    </row>
    <row r="176" spans="1:27" ht="16.5" customHeight="1" x14ac:dyDescent="0.15">
      <c r="A176" s="41">
        <v>15</v>
      </c>
      <c r="B176" s="41" t="s">
        <v>22331</v>
      </c>
      <c r="C176" s="74" t="s">
        <v>22332</v>
      </c>
      <c r="D176" s="72"/>
      <c r="F176" s="57"/>
      <c r="G176" s="72" t="s">
        <v>17616</v>
      </c>
      <c r="I176" s="57"/>
      <c r="J176" s="43"/>
      <c r="K176" s="37"/>
      <c r="L176" s="38"/>
      <c r="M176" s="299" t="s">
        <v>17556</v>
      </c>
      <c r="N176" s="45" t="s">
        <v>398</v>
      </c>
      <c r="O176" s="46">
        <v>1</v>
      </c>
      <c r="P176" s="512"/>
      <c r="Q176" s="57"/>
      <c r="R176" s="35"/>
      <c r="U176" s="57"/>
      <c r="V176" s="35"/>
      <c r="Y176" s="57"/>
      <c r="Z176" s="208">
        <f>ROUND((ROUND((_15_同援日１．０*_15・２人),0)*(1+_15・A深夜)),0)+ROUND((_15_同援日１．０＿１．５*_15・２人),0)</f>
        <v>713</v>
      </c>
      <c r="AA176" s="48"/>
    </row>
    <row r="177" spans="1:27" ht="16.5" customHeight="1" x14ac:dyDescent="0.15">
      <c r="A177" s="41">
        <v>15</v>
      </c>
      <c r="B177" s="41" t="s">
        <v>22333</v>
      </c>
      <c r="C177" s="74" t="s">
        <v>22334</v>
      </c>
      <c r="D177" s="72"/>
      <c r="F177" s="57"/>
      <c r="G177" s="72" t="s">
        <v>18183</v>
      </c>
      <c r="I177" s="57"/>
      <c r="J177" s="114" t="s">
        <v>17558</v>
      </c>
      <c r="K177" s="49"/>
      <c r="L177" s="50"/>
      <c r="M177" s="163"/>
      <c r="N177" s="45"/>
      <c r="O177" s="46"/>
      <c r="P177" s="512"/>
      <c r="Q177" s="57"/>
      <c r="R177" s="35"/>
      <c r="U177" s="57"/>
      <c r="V177" s="35"/>
      <c r="Y177" s="57"/>
      <c r="Z177" s="208">
        <f>ROUND((ROUND((_15_同援日１．０*_15・基礎２),0)*(1+_15・A深夜)),0)+ROUND((_15_同援日１．０＿１．５*_15・基礎２),0)</f>
        <v>642</v>
      </c>
      <c r="AA177" s="48"/>
    </row>
    <row r="178" spans="1:27" ht="16.5" customHeight="1" x14ac:dyDescent="0.15">
      <c r="A178" s="41">
        <v>15</v>
      </c>
      <c r="B178" s="41" t="s">
        <v>22335</v>
      </c>
      <c r="C178" s="74" t="s">
        <v>22336</v>
      </c>
      <c r="D178" s="72"/>
      <c r="F178" s="57"/>
      <c r="G178" s="72"/>
      <c r="H178" s="168">
        <f>_15_同援日１．０＿１．５</f>
        <v>263</v>
      </c>
      <c r="I178" s="57" t="s">
        <v>392</v>
      </c>
      <c r="J178" s="269" t="s">
        <v>17560</v>
      </c>
      <c r="K178" s="37" t="s">
        <v>398</v>
      </c>
      <c r="L178" s="38">
        <v>0.9</v>
      </c>
      <c r="M178" s="299" t="s">
        <v>17556</v>
      </c>
      <c r="N178" s="45" t="s">
        <v>398</v>
      </c>
      <c r="O178" s="46">
        <v>1</v>
      </c>
      <c r="P178" s="512"/>
      <c r="Q178" s="57"/>
      <c r="R178" s="43"/>
      <c r="S178" s="37"/>
      <c r="T178" s="38"/>
      <c r="U178" s="79"/>
      <c r="V178" s="35"/>
      <c r="Y178" s="57"/>
      <c r="Z178" s="208">
        <f>ROUND((ROUND((ROUND((_15_同援日１．０*_15・基礎２),0)*_15・２人),0)*(1+_15・A深夜)),0)+ROUND((ROUND((_15_同援日１．０＿１．５*_15・基礎２),0)*_15・２人),0)</f>
        <v>642</v>
      </c>
      <c r="AA178" s="48"/>
    </row>
    <row r="179" spans="1:27" ht="16.5" customHeight="1" x14ac:dyDescent="0.15">
      <c r="A179" s="41">
        <v>15</v>
      </c>
      <c r="B179" s="41" t="s">
        <v>22337</v>
      </c>
      <c r="C179" s="74" t="s">
        <v>22338</v>
      </c>
      <c r="D179" s="72"/>
      <c r="F179" s="57"/>
      <c r="G179" s="72"/>
      <c r="I179" s="57"/>
      <c r="J179" s="53"/>
      <c r="K179" s="49"/>
      <c r="L179" s="50"/>
      <c r="M179" s="163"/>
      <c r="N179" s="45"/>
      <c r="O179" s="46"/>
      <c r="P179" s="512"/>
      <c r="Q179" s="57"/>
      <c r="R179" s="114" t="s">
        <v>17562</v>
      </c>
      <c r="S179" s="49"/>
      <c r="T179" s="50"/>
      <c r="U179" s="115"/>
      <c r="V179" s="35"/>
      <c r="Y179" s="57"/>
      <c r="Z179" s="208">
        <f>ROUND((ROUND((_15_同援日１．０*(1+_15・A深夜)),0)*(1+_15・盲ろう)),0)+ROUND((_15_同援日１．０＿１．５*(1+_15・盲ろう)),0)</f>
        <v>892</v>
      </c>
      <c r="AA179" s="48"/>
    </row>
    <row r="180" spans="1:27" ht="16.5" customHeight="1" x14ac:dyDescent="0.15">
      <c r="A180" s="41">
        <v>15</v>
      </c>
      <c r="B180" s="41" t="s">
        <v>22339</v>
      </c>
      <c r="C180" s="74" t="s">
        <v>22340</v>
      </c>
      <c r="D180" s="72"/>
      <c r="F180" s="57"/>
      <c r="G180" s="72"/>
      <c r="I180" s="57"/>
      <c r="J180" s="43"/>
      <c r="K180" s="37"/>
      <c r="L180" s="38"/>
      <c r="M180" s="299" t="s">
        <v>17556</v>
      </c>
      <c r="N180" s="45" t="s">
        <v>398</v>
      </c>
      <c r="O180" s="46">
        <v>1</v>
      </c>
      <c r="P180" s="512"/>
      <c r="Q180" s="57"/>
      <c r="R180" s="92" t="s">
        <v>17564</v>
      </c>
      <c r="U180" s="57"/>
      <c r="V180" s="35"/>
      <c r="Y180" s="57"/>
      <c r="Z180" s="208">
        <f>ROUND((ROUND((ROUND((_15_同援日１．０*_15・２人),0)*(1+_15・A深夜)),0)*(1+_15・盲ろう)),0)+ROUND((ROUND((_15_同援日１．０＿１．５*_15・２人),0)*(1+_15・盲ろう)),0)</f>
        <v>892</v>
      </c>
      <c r="AA180" s="48"/>
    </row>
    <row r="181" spans="1:27" ht="16.5" customHeight="1" x14ac:dyDescent="0.15">
      <c r="A181" s="41">
        <v>15</v>
      </c>
      <c r="B181" s="41" t="s">
        <v>22341</v>
      </c>
      <c r="C181" s="74" t="s">
        <v>22342</v>
      </c>
      <c r="D181" s="72"/>
      <c r="F181" s="57"/>
      <c r="G181" s="72"/>
      <c r="I181" s="57"/>
      <c r="J181" s="114" t="s">
        <v>17558</v>
      </c>
      <c r="K181" s="49"/>
      <c r="L181" s="50"/>
      <c r="M181" s="163"/>
      <c r="N181" s="45"/>
      <c r="O181" s="46"/>
      <c r="P181" s="512"/>
      <c r="Q181" s="57"/>
      <c r="R181" s="35"/>
      <c r="S181" s="12" t="s">
        <v>398</v>
      </c>
      <c r="T181" s="13">
        <v>0.25</v>
      </c>
      <c r="U181" s="57" t="s">
        <v>3575</v>
      </c>
      <c r="V181" s="35"/>
      <c r="Y181" s="57"/>
      <c r="Z181" s="208">
        <f>ROUND((ROUND((ROUND((_15_同援日１．０*_15・基礎２),0)*(1+_15・A深夜)),0)*(1+_15・盲ろう)),0)+ROUND((ROUND((_15_同援日１．０＿１．５*_15・基礎２),0)*(1+_15・盲ろう)),0)</f>
        <v>802</v>
      </c>
      <c r="AA181" s="48"/>
    </row>
    <row r="182" spans="1:27" ht="16.5" customHeight="1" x14ac:dyDescent="0.15">
      <c r="A182" s="41">
        <v>15</v>
      </c>
      <c r="B182" s="41" t="s">
        <v>22343</v>
      </c>
      <c r="C182" s="74" t="s">
        <v>22344</v>
      </c>
      <c r="D182" s="72"/>
      <c r="F182" s="57"/>
      <c r="G182" s="72"/>
      <c r="I182" s="57"/>
      <c r="J182" s="269" t="s">
        <v>17560</v>
      </c>
      <c r="K182" s="37" t="s">
        <v>398</v>
      </c>
      <c r="L182" s="38">
        <v>0.9</v>
      </c>
      <c r="M182" s="299" t="s">
        <v>17556</v>
      </c>
      <c r="N182" s="45" t="s">
        <v>398</v>
      </c>
      <c r="O182" s="46">
        <v>1</v>
      </c>
      <c r="P182" s="512"/>
      <c r="Q182" s="57"/>
      <c r="R182" s="43"/>
      <c r="S182" s="37"/>
      <c r="T182" s="38"/>
      <c r="U182" s="79"/>
      <c r="V182" s="43"/>
      <c r="W182" s="37"/>
      <c r="X182" s="38"/>
      <c r="Y182" s="79"/>
      <c r="Z182" s="208">
        <f>ROUND((ROUND((ROUND((ROUND((_15_同援日１．０*_15・基礎２),0)*_15・２人),0)*(1+_15・A深夜)),0)*(1+_15・盲ろう)),0)+ROUND((ROUND((ROUND((_15_同援日１．０＿１．５*_15・基礎２),0)*_15・２人),0)*(1+_15・盲ろう)),0)</f>
        <v>802</v>
      </c>
      <c r="AA182" s="48"/>
    </row>
    <row r="183" spans="1:27" ht="16.5" customHeight="1" x14ac:dyDescent="0.15">
      <c r="A183" s="41">
        <v>15</v>
      </c>
      <c r="B183" s="41" t="s">
        <v>22345</v>
      </c>
      <c r="C183" s="74" t="s">
        <v>22346</v>
      </c>
      <c r="D183" s="72"/>
      <c r="F183" s="57"/>
      <c r="G183" s="72"/>
      <c r="I183" s="57"/>
      <c r="J183" s="53"/>
      <c r="K183" s="49"/>
      <c r="L183" s="50"/>
      <c r="M183" s="163"/>
      <c r="N183" s="45"/>
      <c r="O183" s="46"/>
      <c r="P183" s="512"/>
      <c r="Q183" s="57"/>
      <c r="R183" s="53"/>
      <c r="S183" s="49"/>
      <c r="T183" s="50"/>
      <c r="U183" s="115"/>
      <c r="V183" s="53"/>
      <c r="W183" s="49"/>
      <c r="X183" s="50"/>
      <c r="Y183" s="115"/>
      <c r="Z183" s="208">
        <f>ROUND((ROUND((_15_同援日１．０*(1+_15・A深夜)),0)*(1+_15・区３)),0)+ROUND((_15_同援日１．０＿１．５*(1+_15・区３)),0)</f>
        <v>856</v>
      </c>
      <c r="AA183" s="48"/>
    </row>
    <row r="184" spans="1:27" ht="16.5" customHeight="1" x14ac:dyDescent="0.15">
      <c r="A184" s="41">
        <v>15</v>
      </c>
      <c r="B184" s="41" t="s">
        <v>22347</v>
      </c>
      <c r="C184" s="74" t="s">
        <v>22348</v>
      </c>
      <c r="D184" s="72"/>
      <c r="F184" s="57"/>
      <c r="G184" s="72"/>
      <c r="I184" s="57"/>
      <c r="J184" s="43"/>
      <c r="K184" s="37"/>
      <c r="L184" s="38"/>
      <c r="M184" s="299" t="s">
        <v>17556</v>
      </c>
      <c r="N184" s="45" t="s">
        <v>398</v>
      </c>
      <c r="O184" s="46">
        <v>1</v>
      </c>
      <c r="P184" s="512"/>
      <c r="Q184" s="57"/>
      <c r="R184" s="35"/>
      <c r="U184" s="57"/>
      <c r="V184" s="35"/>
      <c r="Y184" s="57"/>
      <c r="Z184" s="208">
        <f>ROUND((ROUND((ROUND((_15_同援日１．０*_15・２人),0)*(1+_15・A深夜)),0)*(1+_15・区３)),0)+ROUND((ROUND((_15_同援日１．０＿１．５*_15・２人),0)*(1+_15・区３)),0)</f>
        <v>856</v>
      </c>
      <c r="AA184" s="48"/>
    </row>
    <row r="185" spans="1:27" ht="16.5" customHeight="1" x14ac:dyDescent="0.15">
      <c r="A185" s="41">
        <v>15</v>
      </c>
      <c r="B185" s="41" t="s">
        <v>22349</v>
      </c>
      <c r="C185" s="74" t="s">
        <v>22350</v>
      </c>
      <c r="D185" s="72"/>
      <c r="F185" s="57"/>
      <c r="G185" s="72"/>
      <c r="I185" s="57"/>
      <c r="J185" s="114" t="s">
        <v>17558</v>
      </c>
      <c r="K185" s="49"/>
      <c r="L185" s="50"/>
      <c r="M185" s="163"/>
      <c r="N185" s="45"/>
      <c r="O185" s="46"/>
      <c r="P185" s="512"/>
      <c r="Q185" s="57"/>
      <c r="R185" s="35"/>
      <c r="U185" s="57"/>
      <c r="V185" s="72" t="s">
        <v>17570</v>
      </c>
      <c r="Y185" s="57"/>
      <c r="Z185" s="208">
        <f>ROUND((ROUND((ROUND((_15_同援日１．０*_15・基礎２),0)*(1+_15・A深夜)),0)*(1+_15・区３)),0)+ROUND((ROUND((_15_同援日１．０＿１．５*_15・基礎２),0)*(1+_15・区３)),0)</f>
        <v>770</v>
      </c>
      <c r="AA185" s="48"/>
    </row>
    <row r="186" spans="1:27" ht="16.5" customHeight="1" x14ac:dyDescent="0.15">
      <c r="A186" s="41">
        <v>15</v>
      </c>
      <c r="B186" s="41" t="s">
        <v>22351</v>
      </c>
      <c r="C186" s="74" t="s">
        <v>22352</v>
      </c>
      <c r="D186" s="72"/>
      <c r="F186" s="57"/>
      <c r="G186" s="72"/>
      <c r="I186" s="57"/>
      <c r="J186" s="269" t="s">
        <v>17560</v>
      </c>
      <c r="K186" s="37" t="s">
        <v>398</v>
      </c>
      <c r="L186" s="38">
        <v>0.9</v>
      </c>
      <c r="M186" s="299" t="s">
        <v>17556</v>
      </c>
      <c r="N186" s="45" t="s">
        <v>398</v>
      </c>
      <c r="O186" s="46">
        <v>1</v>
      </c>
      <c r="P186" s="512"/>
      <c r="Q186" s="57"/>
      <c r="R186" s="43"/>
      <c r="S186" s="37"/>
      <c r="T186" s="38"/>
      <c r="U186" s="79"/>
      <c r="V186" s="72" t="s">
        <v>17572</v>
      </c>
      <c r="Y186" s="57"/>
      <c r="Z186" s="208">
        <f>ROUND((ROUND((ROUND((ROUND((_15_同援日１．０*_15・基礎２),0)*_15・２人),0)*(1+_15・A深夜)),0)*(1+_15・区３)),0)+ROUND((ROUND((ROUND((_15_同援日１．０＿１．５*_15・基礎２),0)*_15・２人),0)*(1+_15・区３)),0)</f>
        <v>770</v>
      </c>
      <c r="AA186" s="48"/>
    </row>
    <row r="187" spans="1:27" ht="16.5" customHeight="1" x14ac:dyDescent="0.15">
      <c r="A187" s="41">
        <v>15</v>
      </c>
      <c r="B187" s="41" t="s">
        <v>22353</v>
      </c>
      <c r="C187" s="74" t="s">
        <v>22354</v>
      </c>
      <c r="D187" s="72"/>
      <c r="F187" s="57"/>
      <c r="G187" s="72"/>
      <c r="I187" s="57"/>
      <c r="J187" s="53"/>
      <c r="K187" s="49"/>
      <c r="L187" s="50"/>
      <c r="M187" s="163"/>
      <c r="N187" s="45"/>
      <c r="O187" s="46"/>
      <c r="P187" s="512"/>
      <c r="Q187" s="57"/>
      <c r="R187" s="114" t="s">
        <v>17562</v>
      </c>
      <c r="S187" s="49"/>
      <c r="T187" s="50"/>
      <c r="U187" s="115"/>
      <c r="V187" s="35"/>
      <c r="W187" s="12" t="s">
        <v>398</v>
      </c>
      <c r="X187" s="13">
        <v>0.2</v>
      </c>
      <c r="Y187" s="57" t="s">
        <v>3575</v>
      </c>
      <c r="Z187" s="208">
        <f>ROUND((ROUND((ROUND((_15_同援日１．０*(1+_15・A深夜)),0)*(1+_15・盲ろう)),0)*(1+_15・区３)),0)+ROUND((ROUND((_15_同援日１．０＿１．５*(1+_15・盲ろう)),0)*(1+_15・区３)),0)</f>
        <v>1071</v>
      </c>
      <c r="AA187" s="48"/>
    </row>
    <row r="188" spans="1:27" ht="16.5" customHeight="1" x14ac:dyDescent="0.15">
      <c r="A188" s="41">
        <v>15</v>
      </c>
      <c r="B188" s="41" t="s">
        <v>22355</v>
      </c>
      <c r="C188" s="74" t="s">
        <v>22356</v>
      </c>
      <c r="D188" s="72"/>
      <c r="F188" s="57"/>
      <c r="G188" s="72"/>
      <c r="I188" s="57"/>
      <c r="J188" s="43"/>
      <c r="K188" s="37"/>
      <c r="L188" s="38"/>
      <c r="M188" s="299" t="s">
        <v>17556</v>
      </c>
      <c r="N188" s="45" t="s">
        <v>398</v>
      </c>
      <c r="O188" s="46">
        <v>1</v>
      </c>
      <c r="P188" s="512"/>
      <c r="Q188" s="57"/>
      <c r="R188" s="92" t="s">
        <v>17564</v>
      </c>
      <c r="U188" s="57"/>
      <c r="V188" s="35"/>
      <c r="Y188" s="57"/>
      <c r="Z188" s="208">
        <f>ROUND((ROUND((ROUND((ROUND((_15_同援日１．０*_15・２人),0)*(1+_15・A深夜)),0)*(1+_15・盲ろう)),0)*(1+_15・区３)),0)+ROUND((ROUND((ROUND((_15_同援日１．０＿１．５*_15・２人),0)*(1+_15・盲ろう)),0)*(1+_15・区３)),0)</f>
        <v>1071</v>
      </c>
      <c r="AA188" s="48"/>
    </row>
    <row r="189" spans="1:27" ht="16.5" customHeight="1" x14ac:dyDescent="0.15">
      <c r="A189" s="41">
        <v>15</v>
      </c>
      <c r="B189" s="41" t="s">
        <v>1321</v>
      </c>
      <c r="C189" s="74" t="s">
        <v>22357</v>
      </c>
      <c r="D189" s="72"/>
      <c r="F189" s="57"/>
      <c r="G189" s="72"/>
      <c r="I189" s="57"/>
      <c r="J189" s="114" t="s">
        <v>17558</v>
      </c>
      <c r="K189" s="49"/>
      <c r="L189" s="50"/>
      <c r="M189" s="163"/>
      <c r="N189" s="45"/>
      <c r="O189" s="46"/>
      <c r="P189" s="512"/>
      <c r="Q189" s="57"/>
      <c r="R189" s="35"/>
      <c r="S189" s="12" t="s">
        <v>398</v>
      </c>
      <c r="T189" s="13">
        <v>0.25</v>
      </c>
      <c r="U189" s="57" t="s">
        <v>3575</v>
      </c>
      <c r="V189" s="35"/>
      <c r="Y189" s="57"/>
      <c r="Z189" s="208">
        <f>ROUND((ROUND((ROUND((ROUND((_15_同援日１．０*_15・基礎２),0)*(1+_15・A深夜)),0)*(1+_15・盲ろう)),0)*(1+_15・区３)),0)+ROUND((ROUND((ROUND((_15_同援日１．０＿１．５*_15・基礎２),0)*(1+_15・盲ろう)),0)*(1+_15・区３)),0)</f>
        <v>962</v>
      </c>
      <c r="AA189" s="48"/>
    </row>
    <row r="190" spans="1:27" ht="16.5" customHeight="1" x14ac:dyDescent="0.15">
      <c r="A190" s="41">
        <v>15</v>
      </c>
      <c r="B190" s="41" t="s">
        <v>1323</v>
      </c>
      <c r="C190" s="74" t="s">
        <v>22358</v>
      </c>
      <c r="D190" s="72"/>
      <c r="F190" s="57"/>
      <c r="G190" s="72"/>
      <c r="I190" s="57"/>
      <c r="J190" s="269" t="s">
        <v>17560</v>
      </c>
      <c r="K190" s="37" t="s">
        <v>398</v>
      </c>
      <c r="L190" s="38">
        <v>0.9</v>
      </c>
      <c r="M190" s="299" t="s">
        <v>17556</v>
      </c>
      <c r="N190" s="45" t="s">
        <v>398</v>
      </c>
      <c r="O190" s="46">
        <v>1</v>
      </c>
      <c r="P190" s="512"/>
      <c r="Q190" s="57"/>
      <c r="R190" s="43"/>
      <c r="S190" s="37"/>
      <c r="T190" s="38"/>
      <c r="U190" s="79"/>
      <c r="V190" s="43"/>
      <c r="W190" s="37"/>
      <c r="X190" s="38"/>
      <c r="Y190" s="79"/>
      <c r="Z190" s="208">
        <f>ROUND((ROUND((ROUND((ROUND((ROUND((_15_同援日１．０*_15・基礎２),0)*_15・２人),0)*(1+_15・A深夜)),0)*(1+_15・盲ろう)),0)*(1+_15・区３)),0)+ROUND((ROUND((ROUND((ROUND((_15_同援日１．０＿１．５*_15・基礎２),0)*_15・２人),0)*(1+_15・盲ろう)),0)*(1+_15・区３)),0)</f>
        <v>962</v>
      </c>
      <c r="AA190" s="48"/>
    </row>
    <row r="191" spans="1:27" ht="16.5" customHeight="1" x14ac:dyDescent="0.15">
      <c r="A191" s="41">
        <v>15</v>
      </c>
      <c r="B191" s="41" t="s">
        <v>1325</v>
      </c>
      <c r="C191" s="74" t="s">
        <v>22359</v>
      </c>
      <c r="D191" s="72"/>
      <c r="F191" s="57"/>
      <c r="G191" s="72"/>
      <c r="I191" s="57"/>
      <c r="J191" s="53"/>
      <c r="K191" s="49"/>
      <c r="L191" s="50"/>
      <c r="M191" s="163"/>
      <c r="N191" s="45"/>
      <c r="O191" s="46"/>
      <c r="P191" s="512"/>
      <c r="Q191" s="57"/>
      <c r="R191" s="53"/>
      <c r="S191" s="49"/>
      <c r="T191" s="50"/>
      <c r="U191" s="115"/>
      <c r="V191" s="53"/>
      <c r="W191" s="49"/>
      <c r="X191" s="50"/>
      <c r="Y191" s="115"/>
      <c r="Z191" s="208">
        <f>ROUND((ROUND((_15_同援日１．０*(1+_15・A深夜)),0)*(1+_15・区４)),0)+ROUND((_15_同援日１．０＿１．５*(1+_15・区４)),0)</f>
        <v>998</v>
      </c>
      <c r="AA191" s="48"/>
    </row>
    <row r="192" spans="1:27" ht="16.5" customHeight="1" x14ac:dyDescent="0.15">
      <c r="A192" s="41">
        <v>15</v>
      </c>
      <c r="B192" s="41" t="s">
        <v>1327</v>
      </c>
      <c r="C192" s="74" t="s">
        <v>22360</v>
      </c>
      <c r="D192" s="72"/>
      <c r="F192" s="57"/>
      <c r="G192" s="72"/>
      <c r="I192" s="57"/>
      <c r="J192" s="43"/>
      <c r="K192" s="37"/>
      <c r="L192" s="38"/>
      <c r="M192" s="299" t="s">
        <v>17556</v>
      </c>
      <c r="N192" s="45" t="s">
        <v>398</v>
      </c>
      <c r="O192" s="46">
        <v>1</v>
      </c>
      <c r="P192" s="512"/>
      <c r="Q192" s="57"/>
      <c r="R192" s="35"/>
      <c r="U192" s="57"/>
      <c r="V192" s="35"/>
      <c r="Y192" s="57"/>
      <c r="Z192" s="208">
        <f>ROUND((ROUND((ROUND((_15_同援日１．０*_15・２人),0)*(1+_15・A深夜)),0)*(1+_15・区４)),0)+ROUND((ROUND((_15_同援日１．０＿１．５*_15・２人),0)*(1+_15・区４)),0)</f>
        <v>998</v>
      </c>
      <c r="AA192" s="48"/>
    </row>
    <row r="193" spans="1:27" ht="16.5" customHeight="1" x14ac:dyDescent="0.15">
      <c r="A193" s="41">
        <v>15</v>
      </c>
      <c r="B193" s="41" t="s">
        <v>22361</v>
      </c>
      <c r="C193" s="74" t="s">
        <v>22362</v>
      </c>
      <c r="D193" s="72"/>
      <c r="F193" s="57"/>
      <c r="G193" s="72"/>
      <c r="I193" s="57"/>
      <c r="J193" s="114" t="s">
        <v>17558</v>
      </c>
      <c r="K193" s="49"/>
      <c r="L193" s="50"/>
      <c r="M193" s="163"/>
      <c r="N193" s="45"/>
      <c r="O193" s="46"/>
      <c r="P193" s="512"/>
      <c r="Q193" s="57"/>
      <c r="R193" s="35"/>
      <c r="U193" s="57"/>
      <c r="V193" s="72" t="s">
        <v>17580</v>
      </c>
      <c r="Y193" s="57"/>
      <c r="Z193" s="208">
        <f>ROUND((ROUND((ROUND((_15_同援日１．０*_15・基礎２),0)*(1+_15・A深夜)),0)*(1+_15・区４)),0)+ROUND((ROUND((_15_同援日１．０＿１．５*_15・基礎２),0)*(1+_15・区４)),0)</f>
        <v>899</v>
      </c>
      <c r="AA193" s="48"/>
    </row>
    <row r="194" spans="1:27" ht="16.5" customHeight="1" x14ac:dyDescent="0.15">
      <c r="A194" s="41">
        <v>15</v>
      </c>
      <c r="B194" s="41" t="s">
        <v>22363</v>
      </c>
      <c r="C194" s="74" t="s">
        <v>22364</v>
      </c>
      <c r="D194" s="72"/>
      <c r="F194" s="57"/>
      <c r="G194" s="72"/>
      <c r="I194" s="57"/>
      <c r="J194" s="269" t="s">
        <v>17560</v>
      </c>
      <c r="K194" s="37" t="s">
        <v>398</v>
      </c>
      <c r="L194" s="38">
        <v>0.9</v>
      </c>
      <c r="M194" s="299" t="s">
        <v>17556</v>
      </c>
      <c r="N194" s="45" t="s">
        <v>398</v>
      </c>
      <c r="O194" s="46">
        <v>1</v>
      </c>
      <c r="P194" s="512"/>
      <c r="Q194" s="57"/>
      <c r="R194" s="43"/>
      <c r="S194" s="37"/>
      <c r="T194" s="38"/>
      <c r="U194" s="79"/>
      <c r="V194" s="72" t="s">
        <v>17572</v>
      </c>
      <c r="Y194" s="57"/>
      <c r="Z194" s="208">
        <f>ROUND((ROUND((ROUND((ROUND((_15_同援日１．０*_15・基礎２),0)*_15・２人),0)*(1+_15・A深夜)),0)*(1+_15・区４)),0)+ROUND((ROUND((ROUND((_15_同援日１．０＿１．５*_15・基礎２),0)*_15・２人),0)*(1+_15・区４)),0)</f>
        <v>899</v>
      </c>
      <c r="AA194" s="48"/>
    </row>
    <row r="195" spans="1:27" ht="16.5" customHeight="1" x14ac:dyDescent="0.15">
      <c r="A195" s="41">
        <v>15</v>
      </c>
      <c r="B195" s="41" t="s">
        <v>22365</v>
      </c>
      <c r="C195" s="74" t="s">
        <v>22366</v>
      </c>
      <c r="D195" s="72"/>
      <c r="F195" s="57"/>
      <c r="G195" s="72"/>
      <c r="I195" s="57"/>
      <c r="J195" s="53"/>
      <c r="K195" s="49"/>
      <c r="L195" s="50"/>
      <c r="M195" s="163"/>
      <c r="N195" s="45"/>
      <c r="O195" s="46"/>
      <c r="P195" s="512"/>
      <c r="Q195" s="57"/>
      <c r="R195" s="114" t="s">
        <v>17562</v>
      </c>
      <c r="S195" s="49"/>
      <c r="T195" s="50"/>
      <c r="U195" s="115"/>
      <c r="V195" s="35"/>
      <c r="W195" s="12" t="s">
        <v>398</v>
      </c>
      <c r="X195" s="13">
        <v>0.4</v>
      </c>
      <c r="Y195" s="57" t="s">
        <v>3575</v>
      </c>
      <c r="Z195" s="208">
        <f>ROUND((ROUND((ROUND((_15_同援日１．０*(1+_15・A深夜)),0)*(1+_15・盲ろう)),0)*(1+_15・区４)),0)+ROUND((ROUND((_15_同援日１．０＿１．５*(1+_15・盲ろう)),0)*(1+_15・区４)),0)</f>
        <v>1249</v>
      </c>
      <c r="AA195" s="48"/>
    </row>
    <row r="196" spans="1:27" ht="16.5" customHeight="1" x14ac:dyDescent="0.15">
      <c r="A196" s="41">
        <v>15</v>
      </c>
      <c r="B196" s="41" t="s">
        <v>22367</v>
      </c>
      <c r="C196" s="74" t="s">
        <v>22368</v>
      </c>
      <c r="D196" s="72"/>
      <c r="F196" s="57"/>
      <c r="G196" s="72"/>
      <c r="I196" s="57"/>
      <c r="J196" s="43"/>
      <c r="K196" s="37"/>
      <c r="L196" s="38"/>
      <c r="M196" s="299" t="s">
        <v>17556</v>
      </c>
      <c r="N196" s="45" t="s">
        <v>398</v>
      </c>
      <c r="O196" s="46">
        <v>1</v>
      </c>
      <c r="P196" s="512"/>
      <c r="Q196" s="57"/>
      <c r="R196" s="92" t="s">
        <v>17564</v>
      </c>
      <c r="U196" s="57"/>
      <c r="V196" s="35"/>
      <c r="Y196" s="57"/>
      <c r="Z196" s="208">
        <f>ROUND((ROUND((ROUND((ROUND((_15_同援日１．０*_15・２人),0)*(1+_15・A深夜)),0)*(1+_15・盲ろう)),0)*(1+_15・区４)),0)+ROUND((ROUND((ROUND((_15_同援日１．０＿１．５*_15・２人),0)*(1+_15・盲ろう)),0)*(1+_15・区４)),0)</f>
        <v>1249</v>
      </c>
      <c r="AA196" s="48"/>
    </row>
    <row r="197" spans="1:27" ht="16.5" customHeight="1" x14ac:dyDescent="0.15">
      <c r="A197" s="41">
        <v>15</v>
      </c>
      <c r="B197" s="41" t="s">
        <v>22369</v>
      </c>
      <c r="C197" s="74" t="s">
        <v>22370</v>
      </c>
      <c r="D197" s="72"/>
      <c r="F197" s="57"/>
      <c r="G197" s="72"/>
      <c r="I197" s="57"/>
      <c r="J197" s="114" t="s">
        <v>17558</v>
      </c>
      <c r="K197" s="49"/>
      <c r="L197" s="50"/>
      <c r="M197" s="163"/>
      <c r="N197" s="45"/>
      <c r="O197" s="46"/>
      <c r="P197" s="512"/>
      <c r="Q197" s="57"/>
      <c r="R197" s="35"/>
      <c r="S197" s="12" t="s">
        <v>398</v>
      </c>
      <c r="T197" s="13">
        <v>0.25</v>
      </c>
      <c r="U197" s="57" t="s">
        <v>3575</v>
      </c>
      <c r="V197" s="35"/>
      <c r="Y197" s="57"/>
      <c r="Z197" s="208">
        <f>ROUND((ROUND((ROUND((ROUND((_15_同援日１．０*_15・基礎２),0)*(1+_15・A深夜)),0)*(1+_15・盲ろう)),0)*(1+_15・区４)),0)+ROUND((ROUND((ROUND((_15_同援日１．０＿１．５*_15・基礎２),0)*(1+_15・盲ろう)),0)*(1+_15・区４)),0)</f>
        <v>1122</v>
      </c>
      <c r="AA197" s="48"/>
    </row>
    <row r="198" spans="1:27" ht="16.5" customHeight="1" x14ac:dyDescent="0.15">
      <c r="A198" s="41">
        <v>15</v>
      </c>
      <c r="B198" s="41" t="s">
        <v>22371</v>
      </c>
      <c r="C198" s="74" t="s">
        <v>22372</v>
      </c>
      <c r="D198" s="122"/>
      <c r="E198" s="37"/>
      <c r="F198" s="79"/>
      <c r="G198" s="122"/>
      <c r="H198" s="37"/>
      <c r="I198" s="79"/>
      <c r="J198" s="269" t="s">
        <v>17560</v>
      </c>
      <c r="K198" s="37" t="s">
        <v>398</v>
      </c>
      <c r="L198" s="38">
        <v>0.9</v>
      </c>
      <c r="M198" s="299" t="s">
        <v>17556</v>
      </c>
      <c r="N198" s="45" t="s">
        <v>398</v>
      </c>
      <c r="O198" s="46">
        <v>1</v>
      </c>
      <c r="P198" s="514"/>
      <c r="Q198" s="79"/>
      <c r="R198" s="43"/>
      <c r="S198" s="37"/>
      <c r="T198" s="38"/>
      <c r="U198" s="79"/>
      <c r="V198" s="43"/>
      <c r="W198" s="37"/>
      <c r="X198" s="38"/>
      <c r="Y198" s="79"/>
      <c r="Z198" s="208">
        <f>ROUND((ROUND((ROUND((ROUND((ROUND((_15_同援日１．０*_15・基礎２),0)*_15・２人),0)*(1+_15・A深夜)),0)*(1+_15・盲ろう)),0)*(1+_15・区４)),0)+ROUND((ROUND((ROUND((ROUND((_15_同援日１．０＿１．５*_15・基礎２),0)*_15・２人),0)*(1+_15・盲ろう)),0)*(1+_15・区４)),0)</f>
        <v>1122</v>
      </c>
      <c r="AA198" s="63"/>
    </row>
    <row r="199" spans="1:27" ht="16.5" customHeight="1" x14ac:dyDescent="0.15">
      <c r="A199" s="41">
        <v>15</v>
      </c>
      <c r="B199" s="41" t="s">
        <v>22373</v>
      </c>
      <c r="C199" s="74" t="s">
        <v>22374</v>
      </c>
      <c r="D199" s="114"/>
      <c r="E199" s="49"/>
      <c r="F199" s="115"/>
      <c r="G199" s="114" t="s">
        <v>19262</v>
      </c>
      <c r="H199" s="49"/>
      <c r="I199" s="115"/>
      <c r="J199" s="53"/>
      <c r="K199" s="49"/>
      <c r="L199" s="50"/>
      <c r="M199" s="163"/>
      <c r="N199" s="45"/>
      <c r="O199" s="46"/>
      <c r="P199" s="515"/>
      <c r="Q199" s="115"/>
      <c r="R199" s="53"/>
      <c r="S199" s="49"/>
      <c r="T199" s="50"/>
      <c r="U199" s="115"/>
      <c r="V199" s="53"/>
      <c r="W199" s="49"/>
      <c r="X199" s="50"/>
      <c r="Y199" s="115"/>
      <c r="Z199" s="208">
        <f>ROUND((_15_同援日１．０*(1+_15・A深夜)),0)+_15_同援日１．０＿２．０</f>
        <v>778</v>
      </c>
      <c r="AA199" s="64"/>
    </row>
    <row r="200" spans="1:27" ht="16.5" customHeight="1" x14ac:dyDescent="0.15">
      <c r="A200" s="41">
        <v>15</v>
      </c>
      <c r="B200" s="41" t="s">
        <v>22375</v>
      </c>
      <c r="C200" s="74" t="s">
        <v>22376</v>
      </c>
      <c r="D200" s="72"/>
      <c r="F200" s="57"/>
      <c r="G200" s="72" t="s">
        <v>17643</v>
      </c>
      <c r="I200" s="57"/>
      <c r="J200" s="43"/>
      <c r="K200" s="37"/>
      <c r="L200" s="38"/>
      <c r="M200" s="299" t="s">
        <v>17556</v>
      </c>
      <c r="N200" s="45" t="s">
        <v>398</v>
      </c>
      <c r="O200" s="46">
        <v>1</v>
      </c>
      <c r="P200" s="512"/>
      <c r="Q200" s="57"/>
      <c r="R200" s="35"/>
      <c r="U200" s="57"/>
      <c r="V200" s="35"/>
      <c r="Y200" s="57"/>
      <c r="Z200" s="208">
        <f>ROUND((ROUND((_15_同援日１．０*_15・２人),0)*(1+_15・A深夜)),0)+ROUND((_15_同援日１．０＿２．０*_15・２人),0)</f>
        <v>778</v>
      </c>
      <c r="AA200" s="48"/>
    </row>
    <row r="201" spans="1:27" ht="16.5" customHeight="1" x14ac:dyDescent="0.15">
      <c r="A201" s="41">
        <v>15</v>
      </c>
      <c r="B201" s="41" t="s">
        <v>22377</v>
      </c>
      <c r="C201" s="74" t="s">
        <v>22378</v>
      </c>
      <c r="D201" s="72"/>
      <c r="F201" s="57"/>
      <c r="G201" s="72" t="s">
        <v>17645</v>
      </c>
      <c r="I201" s="57"/>
      <c r="J201" s="114" t="s">
        <v>17558</v>
      </c>
      <c r="K201" s="49"/>
      <c r="L201" s="50"/>
      <c r="M201" s="163"/>
      <c r="N201" s="45"/>
      <c r="O201" s="46"/>
      <c r="P201" s="512"/>
      <c r="Q201" s="57"/>
      <c r="R201" s="35"/>
      <c r="U201" s="57"/>
      <c r="V201" s="35"/>
      <c r="Y201" s="57"/>
      <c r="Z201" s="208">
        <f>ROUND((ROUND((_15_同援日１．０*_15・基礎２),0)*(1+_15・A深夜)),0)+ROUND((_15_同援日１．０＿２．０*_15・基礎２),0)</f>
        <v>700</v>
      </c>
      <c r="AA201" s="48"/>
    </row>
    <row r="202" spans="1:27" ht="16.5" customHeight="1" x14ac:dyDescent="0.15">
      <c r="A202" s="41">
        <v>15</v>
      </c>
      <c r="B202" s="41" t="s">
        <v>22379</v>
      </c>
      <c r="C202" s="74" t="s">
        <v>22380</v>
      </c>
      <c r="D202" s="72"/>
      <c r="F202" s="57"/>
      <c r="G202" s="72"/>
      <c r="H202" s="168">
        <f>_15_同援日１．０＿２．０</f>
        <v>328</v>
      </c>
      <c r="I202" s="57" t="s">
        <v>392</v>
      </c>
      <c r="J202" s="269" t="s">
        <v>17560</v>
      </c>
      <c r="K202" s="37" t="s">
        <v>398</v>
      </c>
      <c r="L202" s="38">
        <v>0.9</v>
      </c>
      <c r="M202" s="299" t="s">
        <v>17556</v>
      </c>
      <c r="N202" s="45" t="s">
        <v>398</v>
      </c>
      <c r="O202" s="46">
        <v>1</v>
      </c>
      <c r="P202" s="512"/>
      <c r="Q202" s="57"/>
      <c r="R202" s="43"/>
      <c r="S202" s="37"/>
      <c r="T202" s="38"/>
      <c r="U202" s="79"/>
      <c r="V202" s="35"/>
      <c r="Y202" s="57"/>
      <c r="Z202" s="208">
        <f>ROUND((ROUND((ROUND((_15_同援日１．０*_15・基礎２),0)*_15・２人),0)*(1+_15・A深夜)),0)+ROUND((ROUND((_15_同援日１．０＿２．０*_15・基礎２),0)*_15・２人),0)</f>
        <v>700</v>
      </c>
      <c r="AA202" s="48"/>
    </row>
    <row r="203" spans="1:27" ht="16.5" customHeight="1" x14ac:dyDescent="0.15">
      <c r="A203" s="41">
        <v>15</v>
      </c>
      <c r="B203" s="41" t="s">
        <v>22381</v>
      </c>
      <c r="C203" s="74" t="s">
        <v>22382</v>
      </c>
      <c r="D203" s="72"/>
      <c r="F203" s="57"/>
      <c r="G203" s="72"/>
      <c r="I203" s="57"/>
      <c r="J203" s="53"/>
      <c r="K203" s="49"/>
      <c r="L203" s="50"/>
      <c r="M203" s="163"/>
      <c r="N203" s="45"/>
      <c r="O203" s="46"/>
      <c r="P203" s="512"/>
      <c r="Q203" s="57"/>
      <c r="R203" s="114" t="s">
        <v>17562</v>
      </c>
      <c r="S203" s="49"/>
      <c r="T203" s="50"/>
      <c r="U203" s="115"/>
      <c r="V203" s="35"/>
      <c r="Y203" s="57"/>
      <c r="Z203" s="208">
        <f>ROUND((ROUND((_15_同援日１．０*(1+_15・A深夜)),0)*(1+_15・盲ろう)),0)+ROUND((_15_同援日１．０＿２．０*(1+_15・盲ろう)),0)</f>
        <v>973</v>
      </c>
      <c r="AA203" s="48"/>
    </row>
    <row r="204" spans="1:27" ht="16.5" customHeight="1" x14ac:dyDescent="0.15">
      <c r="A204" s="41">
        <v>15</v>
      </c>
      <c r="B204" s="41" t="s">
        <v>22383</v>
      </c>
      <c r="C204" s="74" t="s">
        <v>22384</v>
      </c>
      <c r="D204" s="72"/>
      <c r="F204" s="57"/>
      <c r="G204" s="72"/>
      <c r="I204" s="57"/>
      <c r="J204" s="43"/>
      <c r="K204" s="37"/>
      <c r="L204" s="38"/>
      <c r="M204" s="299" t="s">
        <v>17556</v>
      </c>
      <c r="N204" s="45" t="s">
        <v>398</v>
      </c>
      <c r="O204" s="46">
        <v>1</v>
      </c>
      <c r="P204" s="512"/>
      <c r="Q204" s="57"/>
      <c r="R204" s="92" t="s">
        <v>17564</v>
      </c>
      <c r="U204" s="57"/>
      <c r="V204" s="35"/>
      <c r="Y204" s="57"/>
      <c r="Z204" s="208">
        <f>ROUND((ROUND((ROUND((_15_同援日１．０*_15・２人),0)*(1+_15・A深夜)),0)*(1+_15・盲ろう)),0)+ROUND((ROUND((_15_同援日１．０＿２．０*_15・２人),0)*(1+_15・盲ろう)),0)</f>
        <v>973</v>
      </c>
      <c r="AA204" s="48"/>
    </row>
    <row r="205" spans="1:27" ht="16.5" customHeight="1" x14ac:dyDescent="0.15">
      <c r="A205" s="41">
        <v>15</v>
      </c>
      <c r="B205" s="41" t="s">
        <v>22385</v>
      </c>
      <c r="C205" s="74" t="s">
        <v>22386</v>
      </c>
      <c r="D205" s="72"/>
      <c r="F205" s="57"/>
      <c r="G205" s="72"/>
      <c r="I205" s="57"/>
      <c r="J205" s="114" t="s">
        <v>17558</v>
      </c>
      <c r="K205" s="49"/>
      <c r="L205" s="50"/>
      <c r="M205" s="163"/>
      <c r="N205" s="45"/>
      <c r="O205" s="46"/>
      <c r="P205" s="512"/>
      <c r="Q205" s="57"/>
      <c r="R205" s="35"/>
      <c r="S205" s="12" t="s">
        <v>398</v>
      </c>
      <c r="T205" s="13">
        <v>0.25</v>
      </c>
      <c r="U205" s="57" t="s">
        <v>3575</v>
      </c>
      <c r="V205" s="35"/>
      <c r="Y205" s="57"/>
      <c r="Z205" s="208">
        <f>ROUND((ROUND((ROUND((_15_同援日１．０*_15・基礎２),0)*(1+_15・A深夜)),0)*(1+_15・盲ろう)),0)+ROUND((ROUND((_15_同援日１．０＿２．０*_15・基礎２),0)*(1+_15・盲ろう)),0)</f>
        <v>875</v>
      </c>
      <c r="AA205" s="48"/>
    </row>
    <row r="206" spans="1:27" ht="16.5" customHeight="1" x14ac:dyDescent="0.15">
      <c r="A206" s="41">
        <v>15</v>
      </c>
      <c r="B206" s="41" t="s">
        <v>22387</v>
      </c>
      <c r="C206" s="74" t="s">
        <v>22388</v>
      </c>
      <c r="D206" s="72"/>
      <c r="F206" s="57"/>
      <c r="G206" s="72"/>
      <c r="I206" s="57"/>
      <c r="J206" s="269" t="s">
        <v>17560</v>
      </c>
      <c r="K206" s="37" t="s">
        <v>398</v>
      </c>
      <c r="L206" s="38">
        <v>0.9</v>
      </c>
      <c r="M206" s="299" t="s">
        <v>17556</v>
      </c>
      <c r="N206" s="45" t="s">
        <v>398</v>
      </c>
      <c r="O206" s="46">
        <v>1</v>
      </c>
      <c r="P206" s="512"/>
      <c r="Q206" s="57"/>
      <c r="R206" s="43"/>
      <c r="S206" s="37"/>
      <c r="T206" s="38"/>
      <c r="U206" s="79"/>
      <c r="V206" s="43"/>
      <c r="W206" s="37"/>
      <c r="X206" s="38"/>
      <c r="Y206" s="79"/>
      <c r="Z206" s="208">
        <f>ROUND((ROUND((ROUND((ROUND((_15_同援日１．０*_15・基礎２),0)*_15・２人),0)*(1+_15・A深夜)),0)*(1+_15・盲ろう)),0)+ROUND((ROUND((ROUND((_15_同援日１．０＿２．０*_15・基礎２),0)*_15・２人),0)*(1+_15・盲ろう)),0)</f>
        <v>875</v>
      </c>
      <c r="AA206" s="48"/>
    </row>
    <row r="207" spans="1:27" ht="16.5" customHeight="1" x14ac:dyDescent="0.15">
      <c r="A207" s="41">
        <v>15</v>
      </c>
      <c r="B207" s="41" t="s">
        <v>22389</v>
      </c>
      <c r="C207" s="74" t="s">
        <v>22390</v>
      </c>
      <c r="D207" s="72"/>
      <c r="F207" s="57"/>
      <c r="G207" s="72"/>
      <c r="I207" s="57"/>
      <c r="J207" s="53"/>
      <c r="K207" s="49"/>
      <c r="L207" s="50"/>
      <c r="M207" s="163"/>
      <c r="N207" s="45"/>
      <c r="O207" s="46"/>
      <c r="P207" s="512"/>
      <c r="Q207" s="57"/>
      <c r="R207" s="53"/>
      <c r="S207" s="49"/>
      <c r="T207" s="50"/>
      <c r="U207" s="115"/>
      <c r="V207" s="53"/>
      <c r="W207" s="49"/>
      <c r="X207" s="50"/>
      <c r="Y207" s="115"/>
      <c r="Z207" s="208">
        <f>ROUND((ROUND((_15_同援日１．０*(1+_15・A深夜)),0)*(1+_15・区３)),0)+ROUND((_15_同援日１．０＿２．０*(1+_15・区３)),0)</f>
        <v>934</v>
      </c>
      <c r="AA207" s="48"/>
    </row>
    <row r="208" spans="1:27" ht="16.5" customHeight="1" x14ac:dyDescent="0.15">
      <c r="A208" s="41">
        <v>15</v>
      </c>
      <c r="B208" s="41" t="s">
        <v>22391</v>
      </c>
      <c r="C208" s="74" t="s">
        <v>22392</v>
      </c>
      <c r="D208" s="72"/>
      <c r="F208" s="57"/>
      <c r="G208" s="72"/>
      <c r="I208" s="57"/>
      <c r="J208" s="43"/>
      <c r="K208" s="37"/>
      <c r="L208" s="38"/>
      <c r="M208" s="299" t="s">
        <v>17556</v>
      </c>
      <c r="N208" s="45" t="s">
        <v>398</v>
      </c>
      <c r="O208" s="46">
        <v>1</v>
      </c>
      <c r="P208" s="512"/>
      <c r="Q208" s="57"/>
      <c r="R208" s="35"/>
      <c r="U208" s="57"/>
      <c r="V208" s="35"/>
      <c r="Y208" s="57"/>
      <c r="Z208" s="208">
        <f>ROUND((ROUND((ROUND((_15_同援日１．０*_15・２人),0)*(1+_15・A深夜)),0)*(1+_15・区３)),0)+ROUND((ROUND((_15_同援日１．０＿２．０*_15・２人),0)*(1+_15・区３)),0)</f>
        <v>934</v>
      </c>
      <c r="AA208" s="48"/>
    </row>
    <row r="209" spans="1:27" ht="16.5" customHeight="1" x14ac:dyDescent="0.15">
      <c r="A209" s="41">
        <v>15</v>
      </c>
      <c r="B209" s="41" t="s">
        <v>1333</v>
      </c>
      <c r="C209" s="74" t="s">
        <v>22393</v>
      </c>
      <c r="D209" s="72"/>
      <c r="F209" s="57"/>
      <c r="G209" s="72"/>
      <c r="I209" s="57"/>
      <c r="J209" s="114" t="s">
        <v>17558</v>
      </c>
      <c r="K209" s="49"/>
      <c r="L209" s="50"/>
      <c r="M209" s="163"/>
      <c r="N209" s="45"/>
      <c r="O209" s="46"/>
      <c r="P209" s="512"/>
      <c r="Q209" s="57"/>
      <c r="R209" s="35"/>
      <c r="U209" s="57"/>
      <c r="V209" s="72" t="s">
        <v>17570</v>
      </c>
      <c r="Y209" s="57"/>
      <c r="Z209" s="208">
        <f>ROUND((ROUND((ROUND((_15_同援日１．０*_15・基礎２),0)*(1+_15・A深夜)),0)*(1+_15・区３)),0)+ROUND((ROUND((_15_同援日１．０＿２．０*_15・基礎２),0)*(1+_15・区３)),0)</f>
        <v>840</v>
      </c>
      <c r="AA209" s="48"/>
    </row>
    <row r="210" spans="1:27" ht="16.5" customHeight="1" x14ac:dyDescent="0.15">
      <c r="A210" s="41">
        <v>15</v>
      </c>
      <c r="B210" s="41" t="s">
        <v>1335</v>
      </c>
      <c r="C210" s="74" t="s">
        <v>22394</v>
      </c>
      <c r="D210" s="72"/>
      <c r="F210" s="57"/>
      <c r="G210" s="72"/>
      <c r="I210" s="57"/>
      <c r="J210" s="269" t="s">
        <v>17560</v>
      </c>
      <c r="K210" s="37" t="s">
        <v>398</v>
      </c>
      <c r="L210" s="38">
        <v>0.9</v>
      </c>
      <c r="M210" s="299" t="s">
        <v>17556</v>
      </c>
      <c r="N210" s="45" t="s">
        <v>398</v>
      </c>
      <c r="O210" s="46">
        <v>1</v>
      </c>
      <c r="P210" s="512"/>
      <c r="Q210" s="57"/>
      <c r="R210" s="43"/>
      <c r="S210" s="37"/>
      <c r="T210" s="38"/>
      <c r="U210" s="79"/>
      <c r="V210" s="72" t="s">
        <v>17572</v>
      </c>
      <c r="Y210" s="57"/>
      <c r="Z210" s="208">
        <f>ROUND((ROUND((ROUND((ROUND((_15_同援日１．０*_15・基礎２),0)*_15・２人),0)*(1+_15・A深夜)),0)*(1+_15・区３)),0)+ROUND((ROUND((ROUND((_15_同援日１．０＿２．０*_15・基礎２),0)*_15・２人),0)*(1+_15・区３)),0)</f>
        <v>840</v>
      </c>
      <c r="AA210" s="48"/>
    </row>
    <row r="211" spans="1:27" ht="16.5" customHeight="1" x14ac:dyDescent="0.15">
      <c r="A211" s="41">
        <v>15</v>
      </c>
      <c r="B211" s="41" t="s">
        <v>1337</v>
      </c>
      <c r="C211" s="74" t="s">
        <v>22395</v>
      </c>
      <c r="D211" s="72"/>
      <c r="F211" s="57"/>
      <c r="G211" s="72"/>
      <c r="I211" s="57"/>
      <c r="J211" s="53"/>
      <c r="K211" s="49"/>
      <c r="L211" s="50"/>
      <c r="M211" s="163"/>
      <c r="N211" s="45"/>
      <c r="O211" s="46"/>
      <c r="P211" s="512"/>
      <c r="Q211" s="57"/>
      <c r="R211" s="114" t="s">
        <v>17562</v>
      </c>
      <c r="S211" s="49"/>
      <c r="T211" s="50"/>
      <c r="U211" s="115"/>
      <c r="V211" s="35"/>
      <c r="W211" s="12" t="s">
        <v>398</v>
      </c>
      <c r="X211" s="13">
        <v>0.2</v>
      </c>
      <c r="Y211" s="57" t="s">
        <v>3575</v>
      </c>
      <c r="Z211" s="208">
        <f>ROUND((ROUND((ROUND((_15_同援日１．０*(1+_15・A深夜)),0)*(1+_15・盲ろう)),0)*(1+_15・区３)),0)+ROUND((ROUND((_15_同援日１．０＿２．０*(1+_15・盲ろう)),0)*(1+_15・区３)),0)</f>
        <v>1168</v>
      </c>
      <c r="AA211" s="48"/>
    </row>
    <row r="212" spans="1:27" ht="16.5" customHeight="1" x14ac:dyDescent="0.15">
      <c r="A212" s="41">
        <v>15</v>
      </c>
      <c r="B212" s="41" t="s">
        <v>1339</v>
      </c>
      <c r="C212" s="74" t="s">
        <v>22396</v>
      </c>
      <c r="D212" s="72"/>
      <c r="F212" s="57"/>
      <c r="G212" s="72"/>
      <c r="I212" s="57"/>
      <c r="J212" s="43"/>
      <c r="K212" s="37"/>
      <c r="L212" s="38"/>
      <c r="M212" s="299" t="s">
        <v>17556</v>
      </c>
      <c r="N212" s="45" t="s">
        <v>398</v>
      </c>
      <c r="O212" s="46">
        <v>1</v>
      </c>
      <c r="P212" s="512"/>
      <c r="Q212" s="57"/>
      <c r="R212" s="92" t="s">
        <v>17564</v>
      </c>
      <c r="U212" s="57"/>
      <c r="V212" s="35"/>
      <c r="Y212" s="57"/>
      <c r="Z212" s="208">
        <f>ROUND((ROUND((ROUND((ROUND((_15_同援日１．０*_15・２人),0)*(1+_15・A深夜)),0)*(1+_15・盲ろう)),0)*(1+_15・区３)),0)+ROUND((ROUND((ROUND((_15_同援日１．０＿２．０*_15・２人),0)*(1+_15・盲ろう)),0)*(1+_15・区３)),0)</f>
        <v>1168</v>
      </c>
      <c r="AA212" s="48"/>
    </row>
    <row r="213" spans="1:27" ht="16.5" customHeight="1" x14ac:dyDescent="0.15">
      <c r="A213" s="41">
        <v>15</v>
      </c>
      <c r="B213" s="41" t="s">
        <v>22397</v>
      </c>
      <c r="C213" s="74" t="s">
        <v>22398</v>
      </c>
      <c r="D213" s="72"/>
      <c r="F213" s="57"/>
      <c r="G213" s="72"/>
      <c r="I213" s="57"/>
      <c r="J213" s="114" t="s">
        <v>17558</v>
      </c>
      <c r="K213" s="49"/>
      <c r="L213" s="50"/>
      <c r="M213" s="163"/>
      <c r="N213" s="45"/>
      <c r="O213" s="46"/>
      <c r="P213" s="512"/>
      <c r="Q213" s="57"/>
      <c r="R213" s="35"/>
      <c r="S213" s="12" t="s">
        <v>398</v>
      </c>
      <c r="T213" s="13">
        <v>0.25</v>
      </c>
      <c r="U213" s="57" t="s">
        <v>3575</v>
      </c>
      <c r="V213" s="35"/>
      <c r="Y213" s="57"/>
      <c r="Z213" s="208">
        <f>ROUND((ROUND((ROUND((ROUND((_15_同援日１．０*_15・基礎２),0)*(1+_15・A深夜)),0)*(1+_15・盲ろう)),0)*(1+_15・区３)),0)+ROUND((ROUND((ROUND((_15_同援日１．０＿２．０*_15・基礎２),0)*(1+_15・盲ろう)),0)*(1+_15・区３)),0)</f>
        <v>1050</v>
      </c>
      <c r="AA213" s="48"/>
    </row>
    <row r="214" spans="1:27" ht="16.5" customHeight="1" x14ac:dyDescent="0.15">
      <c r="A214" s="41">
        <v>15</v>
      </c>
      <c r="B214" s="41" t="s">
        <v>22399</v>
      </c>
      <c r="C214" s="74" t="s">
        <v>22400</v>
      </c>
      <c r="D214" s="72"/>
      <c r="F214" s="57"/>
      <c r="G214" s="72"/>
      <c r="I214" s="57"/>
      <c r="J214" s="269" t="s">
        <v>17560</v>
      </c>
      <c r="K214" s="37" t="s">
        <v>398</v>
      </c>
      <c r="L214" s="38">
        <v>0.9</v>
      </c>
      <c r="M214" s="299" t="s">
        <v>17556</v>
      </c>
      <c r="N214" s="45" t="s">
        <v>398</v>
      </c>
      <c r="O214" s="46">
        <v>1</v>
      </c>
      <c r="P214" s="512"/>
      <c r="Q214" s="57"/>
      <c r="R214" s="43"/>
      <c r="S214" s="37"/>
      <c r="T214" s="38"/>
      <c r="U214" s="79"/>
      <c r="V214" s="43"/>
      <c r="W214" s="37"/>
      <c r="X214" s="38"/>
      <c r="Y214" s="79"/>
      <c r="Z214" s="208">
        <f>ROUND((ROUND((ROUND((ROUND((ROUND((_15_同援日１．０*_15・基礎２),0)*_15・２人),0)*(1+_15・A深夜)),0)*(1+_15・盲ろう)),0)*(1+_15・区３)),0)+ROUND((ROUND((ROUND((ROUND((_15_同援日１．０＿２．０*_15・基礎２),0)*_15・２人),0)*(1+_15・盲ろう)),0)*(1+_15・区３)),0)</f>
        <v>1050</v>
      </c>
      <c r="AA214" s="48"/>
    </row>
    <row r="215" spans="1:27" ht="16.5" customHeight="1" x14ac:dyDescent="0.15">
      <c r="A215" s="41">
        <v>15</v>
      </c>
      <c r="B215" s="41" t="s">
        <v>22401</v>
      </c>
      <c r="C215" s="74" t="s">
        <v>22402</v>
      </c>
      <c r="D215" s="72"/>
      <c r="F215" s="57"/>
      <c r="G215" s="72"/>
      <c r="I215" s="57"/>
      <c r="J215" s="53"/>
      <c r="K215" s="49"/>
      <c r="L215" s="50"/>
      <c r="M215" s="163"/>
      <c r="N215" s="45"/>
      <c r="O215" s="46"/>
      <c r="P215" s="512"/>
      <c r="Q215" s="57"/>
      <c r="R215" s="53"/>
      <c r="S215" s="49"/>
      <c r="T215" s="50"/>
      <c r="U215" s="115"/>
      <c r="V215" s="53"/>
      <c r="W215" s="49"/>
      <c r="X215" s="50"/>
      <c r="Y215" s="115"/>
      <c r="Z215" s="208">
        <f>ROUND((ROUND((_15_同援日１．０*(1+_15・A深夜)),0)*(1+_15・区４)),0)+ROUND((_15_同援日１．０＿２．０*(1+_15・区４)),0)</f>
        <v>1089</v>
      </c>
      <c r="AA215" s="48"/>
    </row>
    <row r="216" spans="1:27" ht="16.5" customHeight="1" x14ac:dyDescent="0.15">
      <c r="A216" s="41">
        <v>15</v>
      </c>
      <c r="B216" s="41" t="s">
        <v>22403</v>
      </c>
      <c r="C216" s="74" t="s">
        <v>22404</v>
      </c>
      <c r="D216" s="72"/>
      <c r="F216" s="57"/>
      <c r="G216" s="72"/>
      <c r="I216" s="57"/>
      <c r="J216" s="43"/>
      <c r="K216" s="37"/>
      <c r="L216" s="38"/>
      <c r="M216" s="299" t="s">
        <v>17556</v>
      </c>
      <c r="N216" s="45" t="s">
        <v>398</v>
      </c>
      <c r="O216" s="46">
        <v>1</v>
      </c>
      <c r="P216" s="512"/>
      <c r="Q216" s="57"/>
      <c r="R216" s="35"/>
      <c r="U216" s="57"/>
      <c r="V216" s="35"/>
      <c r="Y216" s="57"/>
      <c r="Z216" s="208">
        <f>ROUND((ROUND((ROUND((_15_同援日１．０*_15・２人),0)*(1+_15・A深夜)),0)*(1+_15・区４)),0)+ROUND((ROUND((_15_同援日１．０＿２．０*_15・２人),0)*(1+_15・区４)),0)</f>
        <v>1089</v>
      </c>
      <c r="AA216" s="48"/>
    </row>
    <row r="217" spans="1:27" ht="16.5" customHeight="1" x14ac:dyDescent="0.15">
      <c r="A217" s="41">
        <v>15</v>
      </c>
      <c r="B217" s="41" t="s">
        <v>22405</v>
      </c>
      <c r="C217" s="74" t="s">
        <v>22406</v>
      </c>
      <c r="D217" s="72"/>
      <c r="F217" s="57"/>
      <c r="G217" s="72"/>
      <c r="I217" s="57"/>
      <c r="J217" s="114" t="s">
        <v>17558</v>
      </c>
      <c r="K217" s="49"/>
      <c r="L217" s="50"/>
      <c r="M217" s="163"/>
      <c r="N217" s="45"/>
      <c r="O217" s="46"/>
      <c r="P217" s="512"/>
      <c r="Q217" s="57"/>
      <c r="R217" s="35"/>
      <c r="U217" s="57"/>
      <c r="V217" s="72" t="s">
        <v>17580</v>
      </c>
      <c r="Y217" s="57"/>
      <c r="Z217" s="208">
        <f>ROUND((ROUND((ROUND((_15_同援日１．０*_15・基礎２),0)*(1+_15・A深夜)),0)*(1+_15・区４)),0)+ROUND((ROUND((_15_同援日１．０＿２．０*_15・基礎２),0)*(1+_15・区４)),0)</f>
        <v>980</v>
      </c>
      <c r="AA217" s="48"/>
    </row>
    <row r="218" spans="1:27" ht="16.5" customHeight="1" x14ac:dyDescent="0.15">
      <c r="A218" s="41">
        <v>15</v>
      </c>
      <c r="B218" s="41" t="s">
        <v>22407</v>
      </c>
      <c r="C218" s="74" t="s">
        <v>22408</v>
      </c>
      <c r="D218" s="72"/>
      <c r="F218" s="57"/>
      <c r="G218" s="72"/>
      <c r="I218" s="57"/>
      <c r="J218" s="269" t="s">
        <v>17560</v>
      </c>
      <c r="K218" s="37" t="s">
        <v>398</v>
      </c>
      <c r="L218" s="38">
        <v>0.9</v>
      </c>
      <c r="M218" s="299" t="s">
        <v>17556</v>
      </c>
      <c r="N218" s="45" t="s">
        <v>398</v>
      </c>
      <c r="O218" s="46">
        <v>1</v>
      </c>
      <c r="P218" s="512"/>
      <c r="Q218" s="57"/>
      <c r="R218" s="43"/>
      <c r="S218" s="37"/>
      <c r="T218" s="38"/>
      <c r="U218" s="79"/>
      <c r="V218" s="72" t="s">
        <v>17572</v>
      </c>
      <c r="Y218" s="57"/>
      <c r="Z218" s="208">
        <f>ROUND((ROUND((ROUND((ROUND((_15_同援日１．０*_15・基礎２),0)*_15・２人),0)*(1+_15・A深夜)),0)*(1+_15・区４)),0)+ROUND((ROUND((ROUND((_15_同援日１．０＿２．０*_15・基礎２),0)*_15・２人),0)*(1+_15・区４)),0)</f>
        <v>980</v>
      </c>
      <c r="AA218" s="48"/>
    </row>
    <row r="219" spans="1:27" ht="16.5" customHeight="1" x14ac:dyDescent="0.15">
      <c r="A219" s="41">
        <v>15</v>
      </c>
      <c r="B219" s="41" t="s">
        <v>22409</v>
      </c>
      <c r="C219" s="74" t="s">
        <v>22410</v>
      </c>
      <c r="D219" s="72"/>
      <c r="F219" s="57"/>
      <c r="G219" s="72"/>
      <c r="I219" s="57"/>
      <c r="J219" s="53"/>
      <c r="K219" s="49"/>
      <c r="L219" s="50"/>
      <c r="M219" s="163"/>
      <c r="N219" s="45"/>
      <c r="O219" s="46"/>
      <c r="P219" s="512"/>
      <c r="Q219" s="57"/>
      <c r="R219" s="114" t="s">
        <v>17562</v>
      </c>
      <c r="S219" s="49"/>
      <c r="T219" s="50"/>
      <c r="U219" s="115"/>
      <c r="V219" s="35"/>
      <c r="W219" s="12" t="s">
        <v>398</v>
      </c>
      <c r="X219" s="13">
        <v>0.4</v>
      </c>
      <c r="Y219" s="57" t="s">
        <v>3575</v>
      </c>
      <c r="Z219" s="208">
        <f>ROUND((ROUND((ROUND((_15_同援日１．０*(1+_15・A深夜)),0)*(1+_15・盲ろう)),0)*(1+_15・区４)),0)+ROUND((ROUND((_15_同援日１．０＿２．０*(1+_15・盲ろう)),0)*(1+_15・区４)),0)</f>
        <v>1362</v>
      </c>
      <c r="AA219" s="48"/>
    </row>
    <row r="220" spans="1:27" ht="16.5" customHeight="1" x14ac:dyDescent="0.15">
      <c r="A220" s="41">
        <v>15</v>
      </c>
      <c r="B220" s="41" t="s">
        <v>22411</v>
      </c>
      <c r="C220" s="74" t="s">
        <v>22412</v>
      </c>
      <c r="D220" s="72"/>
      <c r="F220" s="57"/>
      <c r="G220" s="72"/>
      <c r="I220" s="57"/>
      <c r="J220" s="43"/>
      <c r="K220" s="37"/>
      <c r="L220" s="38"/>
      <c r="M220" s="299" t="s">
        <v>17556</v>
      </c>
      <c r="N220" s="45" t="s">
        <v>398</v>
      </c>
      <c r="O220" s="46">
        <v>1</v>
      </c>
      <c r="P220" s="512"/>
      <c r="Q220" s="57"/>
      <c r="R220" s="92" t="s">
        <v>17564</v>
      </c>
      <c r="U220" s="57"/>
      <c r="V220" s="35"/>
      <c r="Y220" s="57"/>
      <c r="Z220" s="208">
        <f>ROUND((ROUND((ROUND((ROUND((_15_同援日１．０*_15・２人),0)*(1+_15・A深夜)),0)*(1+_15・盲ろう)),0)*(1+_15・区４)),0)+ROUND((ROUND((ROUND((_15_同援日１．０＿２．０*_15・２人),0)*(1+_15・盲ろう)),0)*(1+_15・区４)),0)</f>
        <v>1362</v>
      </c>
      <c r="AA220" s="48"/>
    </row>
    <row r="221" spans="1:27" ht="16.5" customHeight="1" x14ac:dyDescent="0.15">
      <c r="A221" s="41">
        <v>15</v>
      </c>
      <c r="B221" s="41" t="s">
        <v>22413</v>
      </c>
      <c r="C221" s="74" t="s">
        <v>22414</v>
      </c>
      <c r="D221" s="72"/>
      <c r="F221" s="57"/>
      <c r="G221" s="72"/>
      <c r="I221" s="57"/>
      <c r="J221" s="114" t="s">
        <v>17558</v>
      </c>
      <c r="K221" s="49"/>
      <c r="L221" s="50"/>
      <c r="M221" s="163"/>
      <c r="N221" s="45"/>
      <c r="O221" s="46"/>
      <c r="P221" s="512"/>
      <c r="Q221" s="57"/>
      <c r="R221" s="35"/>
      <c r="S221" s="12" t="s">
        <v>398</v>
      </c>
      <c r="T221" s="13">
        <v>0.25</v>
      </c>
      <c r="U221" s="57" t="s">
        <v>3575</v>
      </c>
      <c r="V221" s="35"/>
      <c r="Y221" s="57"/>
      <c r="Z221" s="208">
        <f>ROUND((ROUND((ROUND((ROUND((_15_同援日１．０*_15・基礎２),0)*(1+_15・A深夜)),0)*(1+_15・盲ろう)),0)*(1+_15・区４)),0)+ROUND((ROUND((ROUND((_15_同援日１．０＿２．０*_15・基礎２),0)*(1+_15・盲ろう)),0)*(1+_15・区４)),0)</f>
        <v>1225</v>
      </c>
      <c r="AA221" s="48"/>
    </row>
    <row r="222" spans="1:27" ht="16.5" customHeight="1" x14ac:dyDescent="0.15">
      <c r="A222" s="41">
        <v>15</v>
      </c>
      <c r="B222" s="41" t="s">
        <v>22415</v>
      </c>
      <c r="C222" s="74" t="s">
        <v>22416</v>
      </c>
      <c r="D222" s="122"/>
      <c r="E222" s="37"/>
      <c r="F222" s="79"/>
      <c r="G222" s="122"/>
      <c r="H222" s="37"/>
      <c r="I222" s="79"/>
      <c r="J222" s="269" t="s">
        <v>17560</v>
      </c>
      <c r="K222" s="37" t="s">
        <v>398</v>
      </c>
      <c r="L222" s="38">
        <v>0.9</v>
      </c>
      <c r="M222" s="299" t="s">
        <v>17556</v>
      </c>
      <c r="N222" s="45" t="s">
        <v>398</v>
      </c>
      <c r="O222" s="46">
        <v>1</v>
      </c>
      <c r="P222" s="512"/>
      <c r="Q222" s="57"/>
      <c r="R222" s="43"/>
      <c r="S222" s="37"/>
      <c r="T222" s="38"/>
      <c r="U222" s="79"/>
      <c r="V222" s="43"/>
      <c r="W222" s="37"/>
      <c r="X222" s="38"/>
      <c r="Y222" s="79"/>
      <c r="Z222" s="208">
        <f>ROUND((ROUND((ROUND((ROUND((ROUND((_15_同援日１．０*_15・基礎２),0)*_15・２人),0)*(1+_15・A深夜)),0)*(1+_15・盲ろう)),0)*(1+_15・区４)),0)+ROUND((ROUND((ROUND((ROUND((_15_同援日１．０＿２．０*_15・基礎２),0)*_15・２人),0)*(1+_15・盲ろう)),0)*(1+_15・区４)),0)</f>
        <v>1225</v>
      </c>
      <c r="AA222" s="48"/>
    </row>
    <row r="223" spans="1:27" ht="16.5" customHeight="1" x14ac:dyDescent="0.15">
      <c r="A223" s="41">
        <v>15</v>
      </c>
      <c r="B223" s="41" t="s">
        <v>22417</v>
      </c>
      <c r="C223" s="74" t="s">
        <v>22418</v>
      </c>
      <c r="D223" s="114" t="s">
        <v>18538</v>
      </c>
      <c r="E223" s="49"/>
      <c r="F223" s="115"/>
      <c r="G223" s="114" t="s">
        <v>19187</v>
      </c>
      <c r="H223" s="49"/>
      <c r="I223" s="115"/>
      <c r="J223" s="53"/>
      <c r="K223" s="49"/>
      <c r="L223" s="50"/>
      <c r="M223" s="163"/>
      <c r="N223" s="45"/>
      <c r="O223" s="46"/>
      <c r="P223" s="512"/>
      <c r="Q223" s="57"/>
      <c r="R223" s="53"/>
      <c r="S223" s="49"/>
      <c r="T223" s="50"/>
      <c r="U223" s="115"/>
      <c r="V223" s="53"/>
      <c r="W223" s="49"/>
      <c r="X223" s="50"/>
      <c r="Y223" s="115"/>
      <c r="Z223" s="208">
        <f>ROUND((_15_同援日１．５*(1+_15・A深夜)),0)+_15_同援日１．５＿０．５</f>
        <v>715</v>
      </c>
      <c r="AA223" s="48"/>
    </row>
    <row r="224" spans="1:27" ht="16.5" customHeight="1" x14ac:dyDescent="0.15">
      <c r="A224" s="41">
        <v>15</v>
      </c>
      <c r="B224" s="41" t="s">
        <v>22419</v>
      </c>
      <c r="C224" s="74" t="s">
        <v>22420</v>
      </c>
      <c r="D224" s="72" t="s">
        <v>17616</v>
      </c>
      <c r="F224" s="57"/>
      <c r="G224" s="72" t="s">
        <v>18259</v>
      </c>
      <c r="I224" s="57"/>
      <c r="J224" s="43"/>
      <c r="K224" s="37"/>
      <c r="L224" s="38"/>
      <c r="M224" s="299" t="s">
        <v>17556</v>
      </c>
      <c r="N224" s="45" t="s">
        <v>398</v>
      </c>
      <c r="O224" s="46">
        <v>1</v>
      </c>
      <c r="P224" s="512"/>
      <c r="Q224" s="57"/>
      <c r="R224" s="35"/>
      <c r="U224" s="57"/>
      <c r="V224" s="35"/>
      <c r="Y224" s="57"/>
      <c r="Z224" s="208">
        <f>ROUND((ROUND((_15_同援日１．５*_15・２人),0)*(1+_15・A深夜)),0)+ROUND((_15_同援日１．５＿０．５*_15・２人),0)</f>
        <v>715</v>
      </c>
      <c r="AA224" s="48"/>
    </row>
    <row r="225" spans="1:27" ht="16.5" customHeight="1" x14ac:dyDescent="0.15">
      <c r="A225" s="41">
        <v>15</v>
      </c>
      <c r="B225" s="41" t="s">
        <v>22421</v>
      </c>
      <c r="C225" s="74" t="s">
        <v>22422</v>
      </c>
      <c r="D225" s="72" t="s">
        <v>18183</v>
      </c>
      <c r="F225" s="57"/>
      <c r="G225" s="72"/>
      <c r="I225" s="57"/>
      <c r="J225" s="114" t="s">
        <v>17558</v>
      </c>
      <c r="K225" s="49"/>
      <c r="L225" s="50"/>
      <c r="M225" s="163"/>
      <c r="N225" s="45"/>
      <c r="O225" s="46"/>
      <c r="P225" s="512"/>
      <c r="Q225" s="57"/>
      <c r="R225" s="35"/>
      <c r="U225" s="57"/>
      <c r="V225" s="35"/>
      <c r="Y225" s="57"/>
      <c r="Z225" s="208">
        <f>ROUND((ROUND((_15_同援日１．５*_15・基礎２),0)*(1+_15・A深夜)),0)+ROUND((_15_同援日１．５＿０．５*_15・基礎２),0)</f>
        <v>644</v>
      </c>
      <c r="AA225" s="48"/>
    </row>
    <row r="226" spans="1:27" ht="16.5" customHeight="1" x14ac:dyDescent="0.15">
      <c r="A226" s="41">
        <v>15</v>
      </c>
      <c r="B226" s="41" t="s">
        <v>22423</v>
      </c>
      <c r="C226" s="74" t="s">
        <v>22424</v>
      </c>
      <c r="D226" s="72"/>
      <c r="E226" s="168">
        <f>_15_同援日１．５</f>
        <v>433</v>
      </c>
      <c r="F226" s="57" t="s">
        <v>392</v>
      </c>
      <c r="G226" s="72"/>
      <c r="H226" s="168">
        <f>_15_同援日１．５＿０．５</f>
        <v>65</v>
      </c>
      <c r="I226" s="57" t="s">
        <v>392</v>
      </c>
      <c r="J226" s="269" t="s">
        <v>17560</v>
      </c>
      <c r="K226" s="37" t="s">
        <v>398</v>
      </c>
      <c r="L226" s="38">
        <v>0.9</v>
      </c>
      <c r="M226" s="299" t="s">
        <v>17556</v>
      </c>
      <c r="N226" s="45" t="s">
        <v>398</v>
      </c>
      <c r="O226" s="46">
        <v>1</v>
      </c>
      <c r="P226" s="512"/>
      <c r="Q226" s="57"/>
      <c r="R226" s="43"/>
      <c r="S226" s="37"/>
      <c r="T226" s="38"/>
      <c r="U226" s="79"/>
      <c r="V226" s="35"/>
      <c r="Y226" s="57"/>
      <c r="Z226" s="208">
        <f>ROUND((ROUND((ROUND((_15_同援日１．５*_15・基礎２),0)*_15・２人),0)*(1+_15・A深夜)),0)+ROUND((ROUND((_15_同援日１．５＿０．５*_15・基礎２),0)*_15・２人),0)</f>
        <v>644</v>
      </c>
      <c r="AA226" s="48"/>
    </row>
    <row r="227" spans="1:27" ht="16.5" customHeight="1" x14ac:dyDescent="0.15">
      <c r="A227" s="41">
        <v>15</v>
      </c>
      <c r="B227" s="41" t="s">
        <v>22425</v>
      </c>
      <c r="C227" s="74" t="s">
        <v>22426</v>
      </c>
      <c r="D227" s="72"/>
      <c r="F227" s="57"/>
      <c r="G227" s="72"/>
      <c r="I227" s="57"/>
      <c r="J227" s="53"/>
      <c r="K227" s="49"/>
      <c r="L227" s="50"/>
      <c r="M227" s="163"/>
      <c r="N227" s="45"/>
      <c r="O227" s="46"/>
      <c r="P227" s="512"/>
      <c r="Q227" s="57"/>
      <c r="R227" s="114" t="s">
        <v>17562</v>
      </c>
      <c r="S227" s="49"/>
      <c r="T227" s="50"/>
      <c r="U227" s="115"/>
      <c r="V227" s="35"/>
      <c r="Y227" s="57"/>
      <c r="Z227" s="208">
        <f>ROUND((ROUND((_15_同援日１．５*(1+_15・A深夜)),0)*(1+_15・盲ろう)),0)+ROUND((_15_同援日１．５＿０．５*(1+_15・盲ろう)),0)</f>
        <v>894</v>
      </c>
      <c r="AA227" s="48"/>
    </row>
    <row r="228" spans="1:27" ht="16.5" customHeight="1" x14ac:dyDescent="0.15">
      <c r="A228" s="41">
        <v>15</v>
      </c>
      <c r="B228" s="41" t="s">
        <v>22427</v>
      </c>
      <c r="C228" s="74" t="s">
        <v>22428</v>
      </c>
      <c r="D228" s="72"/>
      <c r="F228" s="57"/>
      <c r="G228" s="72"/>
      <c r="I228" s="57"/>
      <c r="J228" s="43"/>
      <c r="K228" s="37"/>
      <c r="L228" s="38"/>
      <c r="M228" s="299" t="s">
        <v>17556</v>
      </c>
      <c r="N228" s="45" t="s">
        <v>398</v>
      </c>
      <c r="O228" s="46">
        <v>1</v>
      </c>
      <c r="P228" s="512"/>
      <c r="Q228" s="57"/>
      <c r="R228" s="92" t="s">
        <v>17564</v>
      </c>
      <c r="U228" s="57"/>
      <c r="V228" s="35"/>
      <c r="Y228" s="57"/>
      <c r="Z228" s="208">
        <f>ROUND((ROUND((ROUND((_15_同援日１．５*_15・２人),0)*(1+_15・A深夜)),0)*(1+_15・盲ろう)),0)+ROUND((ROUND((_15_同援日１．５＿０．５*_15・２人),0)*(1+_15・盲ろう)),0)</f>
        <v>894</v>
      </c>
      <c r="AA228" s="48"/>
    </row>
    <row r="229" spans="1:27" ht="16.5" customHeight="1" x14ac:dyDescent="0.15">
      <c r="A229" s="41">
        <v>15</v>
      </c>
      <c r="B229" s="41" t="s">
        <v>1345</v>
      </c>
      <c r="C229" s="74" t="s">
        <v>22429</v>
      </c>
      <c r="D229" s="72"/>
      <c r="F229" s="57"/>
      <c r="G229" s="72"/>
      <c r="I229" s="57"/>
      <c r="J229" s="114" t="s">
        <v>17558</v>
      </c>
      <c r="K229" s="49"/>
      <c r="L229" s="50"/>
      <c r="M229" s="163"/>
      <c r="N229" s="45"/>
      <c r="O229" s="46"/>
      <c r="P229" s="512"/>
      <c r="Q229" s="57"/>
      <c r="R229" s="35"/>
      <c r="S229" s="12" t="s">
        <v>398</v>
      </c>
      <c r="T229" s="13">
        <v>0.25</v>
      </c>
      <c r="U229" s="57" t="s">
        <v>3575</v>
      </c>
      <c r="V229" s="35"/>
      <c r="Y229" s="57"/>
      <c r="Z229" s="208">
        <f>ROUND((ROUND((ROUND((_15_同援日１．５*_15・基礎２),0)*(1+_15・A深夜)),0)*(1+_15・盲ろう)),0)+ROUND((ROUND((_15_同援日１．５＿０．５*_15・基礎２),0)*(1+_15・盲ろう)),0)</f>
        <v>805</v>
      </c>
      <c r="AA229" s="48"/>
    </row>
    <row r="230" spans="1:27" ht="16.5" customHeight="1" x14ac:dyDescent="0.15">
      <c r="A230" s="41">
        <v>15</v>
      </c>
      <c r="B230" s="41" t="s">
        <v>1347</v>
      </c>
      <c r="C230" s="74" t="s">
        <v>22430</v>
      </c>
      <c r="D230" s="72"/>
      <c r="F230" s="57"/>
      <c r="G230" s="72"/>
      <c r="I230" s="57"/>
      <c r="J230" s="269" t="s">
        <v>17560</v>
      </c>
      <c r="K230" s="37" t="s">
        <v>398</v>
      </c>
      <c r="L230" s="38">
        <v>0.9</v>
      </c>
      <c r="M230" s="299" t="s">
        <v>17556</v>
      </c>
      <c r="N230" s="45" t="s">
        <v>398</v>
      </c>
      <c r="O230" s="46">
        <v>1</v>
      </c>
      <c r="P230" s="512"/>
      <c r="Q230" s="57"/>
      <c r="R230" s="43"/>
      <c r="S230" s="37"/>
      <c r="T230" s="38"/>
      <c r="U230" s="79"/>
      <c r="V230" s="43"/>
      <c r="W230" s="37"/>
      <c r="X230" s="38"/>
      <c r="Y230" s="79"/>
      <c r="Z230" s="208">
        <f>ROUND((ROUND((ROUND((ROUND((_15_同援日１．５*_15・基礎２),0)*_15・２人),0)*(1+_15・A深夜)),0)*(1+_15・盲ろう)),0)+ROUND((ROUND((ROUND((_15_同援日１．５＿０．５*_15・基礎２),0)*_15・２人),0)*(1+_15・盲ろう)),0)</f>
        <v>805</v>
      </c>
      <c r="AA230" s="48"/>
    </row>
    <row r="231" spans="1:27" ht="16.5" customHeight="1" x14ac:dyDescent="0.15">
      <c r="A231" s="41">
        <v>15</v>
      </c>
      <c r="B231" s="41" t="s">
        <v>1349</v>
      </c>
      <c r="C231" s="74" t="s">
        <v>22431</v>
      </c>
      <c r="D231" s="72"/>
      <c r="F231" s="57"/>
      <c r="G231" s="72"/>
      <c r="I231" s="57"/>
      <c r="J231" s="53"/>
      <c r="K231" s="49"/>
      <c r="L231" s="50"/>
      <c r="M231" s="163"/>
      <c r="N231" s="45"/>
      <c r="O231" s="46"/>
      <c r="P231" s="512"/>
      <c r="Q231" s="57"/>
      <c r="R231" s="53"/>
      <c r="S231" s="49"/>
      <c r="T231" s="50"/>
      <c r="U231" s="115"/>
      <c r="V231" s="53"/>
      <c r="W231" s="49"/>
      <c r="X231" s="50"/>
      <c r="Y231" s="115"/>
      <c r="Z231" s="208">
        <f>ROUND((ROUND((_15_同援日１．５*(1+_15・A深夜)),0)*(1+_15・区３)),0)+ROUND((_15_同援日１．５＿０．５*(1+_15・区３)),0)</f>
        <v>858</v>
      </c>
      <c r="AA231" s="48"/>
    </row>
    <row r="232" spans="1:27" ht="16.5" customHeight="1" x14ac:dyDescent="0.15">
      <c r="A232" s="41">
        <v>15</v>
      </c>
      <c r="B232" s="41" t="s">
        <v>1351</v>
      </c>
      <c r="C232" s="74" t="s">
        <v>22432</v>
      </c>
      <c r="D232" s="72"/>
      <c r="F232" s="57"/>
      <c r="G232" s="72"/>
      <c r="I232" s="57"/>
      <c r="J232" s="43"/>
      <c r="K232" s="37"/>
      <c r="L232" s="38"/>
      <c r="M232" s="299" t="s">
        <v>17556</v>
      </c>
      <c r="N232" s="45" t="s">
        <v>398</v>
      </c>
      <c r="O232" s="46">
        <v>1</v>
      </c>
      <c r="P232" s="512"/>
      <c r="Q232" s="57"/>
      <c r="R232" s="35"/>
      <c r="U232" s="57"/>
      <c r="V232" s="35"/>
      <c r="Y232" s="57"/>
      <c r="Z232" s="208">
        <f>ROUND((ROUND((ROUND((_15_同援日１．５*_15・２人),0)*(1+_15・A深夜)),0)*(1+_15・区３)),0)+ROUND((ROUND((_15_同援日１．５＿０．５*_15・２人),0)*(1+_15・区３)),0)</f>
        <v>858</v>
      </c>
      <c r="AA232" s="48"/>
    </row>
    <row r="233" spans="1:27" ht="16.5" customHeight="1" x14ac:dyDescent="0.15">
      <c r="A233" s="41">
        <v>15</v>
      </c>
      <c r="B233" s="41" t="s">
        <v>22433</v>
      </c>
      <c r="C233" s="74" t="s">
        <v>22434</v>
      </c>
      <c r="D233" s="72"/>
      <c r="F233" s="57"/>
      <c r="G233" s="72"/>
      <c r="I233" s="57"/>
      <c r="J233" s="114" t="s">
        <v>17558</v>
      </c>
      <c r="K233" s="49"/>
      <c r="L233" s="50"/>
      <c r="M233" s="163"/>
      <c r="N233" s="45"/>
      <c r="O233" s="46"/>
      <c r="P233" s="512"/>
      <c r="Q233" s="57"/>
      <c r="R233" s="35"/>
      <c r="U233" s="57"/>
      <c r="V233" s="72" t="s">
        <v>17570</v>
      </c>
      <c r="Y233" s="57"/>
      <c r="Z233" s="208">
        <f>ROUND((ROUND((ROUND((_15_同援日１．５*_15・基礎２),0)*(1+_15・A深夜)),0)*(1+_15・区３)),0)+ROUND((ROUND((_15_同援日１．５＿０．５*_15・基礎２),0)*(1+_15・区３)),0)</f>
        <v>773</v>
      </c>
      <c r="AA233" s="48"/>
    </row>
    <row r="234" spans="1:27" ht="16.5" customHeight="1" x14ac:dyDescent="0.15">
      <c r="A234" s="41">
        <v>15</v>
      </c>
      <c r="B234" s="41" t="s">
        <v>22435</v>
      </c>
      <c r="C234" s="74" t="s">
        <v>22436</v>
      </c>
      <c r="D234" s="72"/>
      <c r="F234" s="57"/>
      <c r="G234" s="72"/>
      <c r="I234" s="57"/>
      <c r="J234" s="269" t="s">
        <v>17560</v>
      </c>
      <c r="K234" s="37" t="s">
        <v>398</v>
      </c>
      <c r="L234" s="38">
        <v>0.9</v>
      </c>
      <c r="M234" s="299" t="s">
        <v>17556</v>
      </c>
      <c r="N234" s="45" t="s">
        <v>398</v>
      </c>
      <c r="O234" s="46">
        <v>1</v>
      </c>
      <c r="P234" s="512"/>
      <c r="Q234" s="57"/>
      <c r="R234" s="43"/>
      <c r="S234" s="37"/>
      <c r="T234" s="38"/>
      <c r="U234" s="79"/>
      <c r="V234" s="72" t="s">
        <v>17572</v>
      </c>
      <c r="Y234" s="57"/>
      <c r="Z234" s="208">
        <f>ROUND((ROUND((ROUND((ROUND((_15_同援日１．５*_15・基礎２),0)*_15・２人),0)*(1+_15・A深夜)),0)*(1+_15・区３)),0)+ROUND((ROUND((ROUND((_15_同援日１．５＿０．５*_15・基礎２),0)*_15・２人),0)*(1+_15・区３)),0)</f>
        <v>773</v>
      </c>
      <c r="AA234" s="48"/>
    </row>
    <row r="235" spans="1:27" ht="16.5" customHeight="1" x14ac:dyDescent="0.15">
      <c r="A235" s="41">
        <v>15</v>
      </c>
      <c r="B235" s="41" t="s">
        <v>22437</v>
      </c>
      <c r="C235" s="74" t="s">
        <v>22438</v>
      </c>
      <c r="D235" s="72"/>
      <c r="F235" s="57"/>
      <c r="G235" s="72"/>
      <c r="I235" s="57"/>
      <c r="J235" s="53"/>
      <c r="K235" s="49"/>
      <c r="L235" s="50"/>
      <c r="M235" s="163"/>
      <c r="N235" s="45"/>
      <c r="O235" s="46"/>
      <c r="P235" s="512"/>
      <c r="Q235" s="57"/>
      <c r="R235" s="114" t="s">
        <v>17562</v>
      </c>
      <c r="S235" s="49"/>
      <c r="T235" s="50"/>
      <c r="U235" s="115"/>
      <c r="V235" s="35"/>
      <c r="W235" s="12" t="s">
        <v>398</v>
      </c>
      <c r="X235" s="13">
        <v>0.2</v>
      </c>
      <c r="Y235" s="57" t="s">
        <v>3575</v>
      </c>
      <c r="Z235" s="208">
        <f>ROUND((ROUND((ROUND((_15_同援日１．５*(1+_15・A深夜)),0)*(1+_15・盲ろう)),0)*(1+_15・区３)),0)+ROUND((ROUND((_15_同援日１．５＿０．５*(1+_15・盲ろう)),0)*(1+_15・区３)),0)</f>
        <v>1073</v>
      </c>
      <c r="AA235" s="48"/>
    </row>
    <row r="236" spans="1:27" ht="16.5" customHeight="1" x14ac:dyDescent="0.15">
      <c r="A236" s="41">
        <v>15</v>
      </c>
      <c r="B236" s="41" t="s">
        <v>22439</v>
      </c>
      <c r="C236" s="74" t="s">
        <v>22440</v>
      </c>
      <c r="D236" s="72"/>
      <c r="F236" s="57"/>
      <c r="G236" s="72"/>
      <c r="I236" s="57"/>
      <c r="J236" s="43"/>
      <c r="K236" s="37"/>
      <c r="L236" s="38"/>
      <c r="M236" s="299" t="s">
        <v>17556</v>
      </c>
      <c r="N236" s="45" t="s">
        <v>398</v>
      </c>
      <c r="O236" s="46">
        <v>1</v>
      </c>
      <c r="P236" s="512"/>
      <c r="Q236" s="57"/>
      <c r="R236" s="92" t="s">
        <v>17564</v>
      </c>
      <c r="U236" s="57"/>
      <c r="V236" s="35"/>
      <c r="Y236" s="57"/>
      <c r="Z236" s="208">
        <f>ROUND((ROUND((ROUND((ROUND((_15_同援日１．５*_15・２人),0)*(1+_15・A深夜)),0)*(1+_15・盲ろう)),0)*(1+_15・区３)),0)+ROUND((ROUND((ROUND((_15_同援日１．５＿０．５*_15・２人),0)*(1+_15・盲ろう)),0)*(1+_15・区３)),0)</f>
        <v>1073</v>
      </c>
      <c r="AA236" s="48"/>
    </row>
    <row r="237" spans="1:27" ht="16.5" customHeight="1" x14ac:dyDescent="0.15">
      <c r="A237" s="41">
        <v>15</v>
      </c>
      <c r="B237" s="41" t="s">
        <v>22441</v>
      </c>
      <c r="C237" s="74" t="s">
        <v>22442</v>
      </c>
      <c r="D237" s="72"/>
      <c r="F237" s="57"/>
      <c r="G237" s="72"/>
      <c r="I237" s="57"/>
      <c r="J237" s="114" t="s">
        <v>17558</v>
      </c>
      <c r="K237" s="49"/>
      <c r="L237" s="50"/>
      <c r="M237" s="163"/>
      <c r="N237" s="45"/>
      <c r="O237" s="46"/>
      <c r="P237" s="512"/>
      <c r="Q237" s="57"/>
      <c r="R237" s="35"/>
      <c r="S237" s="12" t="s">
        <v>398</v>
      </c>
      <c r="T237" s="13">
        <v>0.25</v>
      </c>
      <c r="U237" s="57" t="s">
        <v>3575</v>
      </c>
      <c r="V237" s="35"/>
      <c r="Y237" s="57"/>
      <c r="Z237" s="208">
        <f>ROUND((ROUND((ROUND((ROUND((_15_同援日１．５*_15・基礎２),0)*(1+_15・A深夜)),0)*(1+_15・盲ろう)),0)*(1+_15・区３)),0)+ROUND((ROUND((ROUND((_15_同援日１．５＿０．５*_15・基礎２),0)*(1+_15・盲ろう)),0)*(1+_15・区３)),0)</f>
        <v>966</v>
      </c>
      <c r="AA237" s="48"/>
    </row>
    <row r="238" spans="1:27" ht="16.5" customHeight="1" x14ac:dyDescent="0.15">
      <c r="A238" s="41">
        <v>15</v>
      </c>
      <c r="B238" s="41" t="s">
        <v>22443</v>
      </c>
      <c r="C238" s="74" t="s">
        <v>22444</v>
      </c>
      <c r="D238" s="72"/>
      <c r="F238" s="57"/>
      <c r="G238" s="72"/>
      <c r="I238" s="57"/>
      <c r="J238" s="269" t="s">
        <v>17560</v>
      </c>
      <c r="K238" s="37" t="s">
        <v>398</v>
      </c>
      <c r="L238" s="38">
        <v>0.9</v>
      </c>
      <c r="M238" s="299" t="s">
        <v>17556</v>
      </c>
      <c r="N238" s="45" t="s">
        <v>398</v>
      </c>
      <c r="O238" s="46">
        <v>1</v>
      </c>
      <c r="P238" s="512"/>
      <c r="Q238" s="57"/>
      <c r="R238" s="43"/>
      <c r="S238" s="37"/>
      <c r="T238" s="38"/>
      <c r="U238" s="79"/>
      <c r="V238" s="43"/>
      <c r="W238" s="37"/>
      <c r="X238" s="38"/>
      <c r="Y238" s="79"/>
      <c r="Z238" s="208">
        <f>ROUND((ROUND((ROUND((ROUND((ROUND((_15_同援日１．５*_15・基礎２),0)*_15・２人),0)*(1+_15・A深夜)),0)*(1+_15・盲ろう)),0)*(1+_15・区３)),0)+ROUND((ROUND((ROUND((ROUND((_15_同援日１．５＿０．５*_15・基礎２),0)*_15・２人),0)*(1+_15・盲ろう)),0)*(1+_15・区３)),0)</f>
        <v>966</v>
      </c>
      <c r="AA238" s="48"/>
    </row>
    <row r="239" spans="1:27" ht="16.5" customHeight="1" x14ac:dyDescent="0.15">
      <c r="A239" s="41">
        <v>15</v>
      </c>
      <c r="B239" s="41" t="s">
        <v>22445</v>
      </c>
      <c r="C239" s="74" t="s">
        <v>22446</v>
      </c>
      <c r="D239" s="72"/>
      <c r="F239" s="57"/>
      <c r="G239" s="72"/>
      <c r="I239" s="57"/>
      <c r="J239" s="53"/>
      <c r="K239" s="49"/>
      <c r="L239" s="50"/>
      <c r="M239" s="163"/>
      <c r="N239" s="45"/>
      <c r="O239" s="46"/>
      <c r="P239" s="512"/>
      <c r="Q239" s="57"/>
      <c r="R239" s="53"/>
      <c r="S239" s="49"/>
      <c r="T239" s="50"/>
      <c r="U239" s="115"/>
      <c r="V239" s="53"/>
      <c r="W239" s="49"/>
      <c r="X239" s="50"/>
      <c r="Y239" s="115"/>
      <c r="Z239" s="208">
        <f>ROUND((ROUND((_15_同援日１．５*(1+_15・A深夜)),0)*(1+_15・区４)),0)+ROUND((_15_同援日１．５＿０．５*(1+_15・区４)),0)</f>
        <v>1001</v>
      </c>
      <c r="AA239" s="48"/>
    </row>
    <row r="240" spans="1:27" ht="16.5" customHeight="1" x14ac:dyDescent="0.15">
      <c r="A240" s="41">
        <v>15</v>
      </c>
      <c r="B240" s="41" t="s">
        <v>22447</v>
      </c>
      <c r="C240" s="74" t="s">
        <v>22448</v>
      </c>
      <c r="D240" s="72"/>
      <c r="F240" s="57"/>
      <c r="G240" s="72"/>
      <c r="I240" s="57"/>
      <c r="J240" s="43"/>
      <c r="K240" s="37"/>
      <c r="L240" s="38"/>
      <c r="M240" s="299" t="s">
        <v>17556</v>
      </c>
      <c r="N240" s="45" t="s">
        <v>398</v>
      </c>
      <c r="O240" s="46">
        <v>1</v>
      </c>
      <c r="P240" s="512"/>
      <c r="Q240" s="57"/>
      <c r="R240" s="35"/>
      <c r="U240" s="57"/>
      <c r="V240" s="35"/>
      <c r="Y240" s="57"/>
      <c r="Z240" s="208">
        <f>ROUND((ROUND((ROUND((_15_同援日１．５*_15・２人),0)*(1+_15・A深夜)),0)*(1+_15・区４)),0)+ROUND((ROUND((_15_同援日１．５＿０．５*_15・２人),0)*(1+_15・区４)),0)</f>
        <v>1001</v>
      </c>
      <c r="AA240" s="48"/>
    </row>
    <row r="241" spans="1:27" ht="16.5" customHeight="1" x14ac:dyDescent="0.15">
      <c r="A241" s="41">
        <v>15</v>
      </c>
      <c r="B241" s="41" t="s">
        <v>22449</v>
      </c>
      <c r="C241" s="74" t="s">
        <v>22450</v>
      </c>
      <c r="D241" s="72"/>
      <c r="F241" s="57"/>
      <c r="G241" s="72"/>
      <c r="I241" s="57"/>
      <c r="J241" s="114" t="s">
        <v>17558</v>
      </c>
      <c r="K241" s="49"/>
      <c r="L241" s="50"/>
      <c r="M241" s="163"/>
      <c r="N241" s="45"/>
      <c r="O241" s="46"/>
      <c r="P241" s="512"/>
      <c r="Q241" s="57"/>
      <c r="R241" s="35"/>
      <c r="U241" s="57"/>
      <c r="V241" s="72" t="s">
        <v>17580</v>
      </c>
      <c r="Y241" s="57"/>
      <c r="Z241" s="208">
        <f>ROUND((ROUND((ROUND((_15_同援日１．５*_15・基礎２),0)*(1+_15・A深夜)),0)*(1+_15・区４)),0)+ROUND((ROUND((_15_同援日１．５＿０．５*_15・基礎２),0)*(1+_15・区４)),0)</f>
        <v>902</v>
      </c>
      <c r="AA241" s="48"/>
    </row>
    <row r="242" spans="1:27" ht="16.5" customHeight="1" x14ac:dyDescent="0.15">
      <c r="A242" s="41">
        <v>15</v>
      </c>
      <c r="B242" s="41" t="s">
        <v>22451</v>
      </c>
      <c r="C242" s="74" t="s">
        <v>22452</v>
      </c>
      <c r="D242" s="72"/>
      <c r="F242" s="57"/>
      <c r="G242" s="72"/>
      <c r="I242" s="57"/>
      <c r="J242" s="269" t="s">
        <v>17560</v>
      </c>
      <c r="K242" s="37" t="s">
        <v>398</v>
      </c>
      <c r="L242" s="38">
        <v>0.9</v>
      </c>
      <c r="M242" s="299" t="s">
        <v>17556</v>
      </c>
      <c r="N242" s="45" t="s">
        <v>398</v>
      </c>
      <c r="O242" s="46">
        <v>1</v>
      </c>
      <c r="P242" s="512"/>
      <c r="Q242" s="57"/>
      <c r="R242" s="43"/>
      <c r="S242" s="37"/>
      <c r="T242" s="38"/>
      <c r="U242" s="79"/>
      <c r="V242" s="72" t="s">
        <v>17572</v>
      </c>
      <c r="Y242" s="57"/>
      <c r="Z242" s="208">
        <f>ROUND((ROUND((ROUND((ROUND((_15_同援日１．５*_15・基礎２),0)*_15・２人),0)*(1+_15・A深夜)),0)*(1+_15・区４)),0)+ROUND((ROUND((ROUND((_15_同援日１．５＿０．５*_15・基礎２),0)*_15・２人),0)*(1+_15・区４)),0)</f>
        <v>902</v>
      </c>
      <c r="AA242" s="48"/>
    </row>
    <row r="243" spans="1:27" ht="16.5" customHeight="1" x14ac:dyDescent="0.15">
      <c r="A243" s="41">
        <v>15</v>
      </c>
      <c r="B243" s="41" t="s">
        <v>22453</v>
      </c>
      <c r="C243" s="74" t="s">
        <v>22454</v>
      </c>
      <c r="D243" s="72"/>
      <c r="F243" s="57"/>
      <c r="G243" s="72"/>
      <c r="I243" s="57"/>
      <c r="J243" s="53"/>
      <c r="K243" s="49"/>
      <c r="L243" s="50"/>
      <c r="M243" s="163"/>
      <c r="N243" s="45"/>
      <c r="O243" s="46"/>
      <c r="P243" s="512"/>
      <c r="Q243" s="57"/>
      <c r="R243" s="114" t="s">
        <v>17562</v>
      </c>
      <c r="S243" s="49"/>
      <c r="T243" s="50"/>
      <c r="U243" s="115"/>
      <c r="V243" s="35"/>
      <c r="W243" s="12" t="s">
        <v>398</v>
      </c>
      <c r="X243" s="13">
        <v>0.4</v>
      </c>
      <c r="Y243" s="57" t="s">
        <v>3575</v>
      </c>
      <c r="Z243" s="208">
        <f>ROUND((ROUND((ROUND((_15_同援日１．５*(1+_15・A深夜)),0)*(1+_15・盲ろう)),0)*(1+_15・区４)),0)+ROUND((ROUND((_15_同援日１．５＿０．５*(1+_15・盲ろう)),0)*(1+_15・区４)),0)</f>
        <v>1251</v>
      </c>
      <c r="AA243" s="48"/>
    </row>
    <row r="244" spans="1:27" ht="16.5" customHeight="1" x14ac:dyDescent="0.15">
      <c r="A244" s="41">
        <v>15</v>
      </c>
      <c r="B244" s="41" t="s">
        <v>22455</v>
      </c>
      <c r="C244" s="74" t="s">
        <v>22456</v>
      </c>
      <c r="D244" s="72"/>
      <c r="F244" s="57"/>
      <c r="G244" s="72"/>
      <c r="I244" s="57"/>
      <c r="J244" s="43"/>
      <c r="K244" s="37"/>
      <c r="L244" s="38"/>
      <c r="M244" s="299" t="s">
        <v>17556</v>
      </c>
      <c r="N244" s="45" t="s">
        <v>398</v>
      </c>
      <c r="O244" s="46">
        <v>1</v>
      </c>
      <c r="P244" s="512"/>
      <c r="Q244" s="57"/>
      <c r="R244" s="92" t="s">
        <v>17564</v>
      </c>
      <c r="U244" s="57"/>
      <c r="V244" s="35"/>
      <c r="Y244" s="57"/>
      <c r="Z244" s="208">
        <f>ROUND((ROUND((ROUND((ROUND((_15_同援日１．５*_15・２人),0)*(1+_15・A深夜)),0)*(1+_15・盲ろう)),0)*(1+_15・区４)),0)+ROUND((ROUND((ROUND((_15_同援日１．５＿０．５*_15・２人),0)*(1+_15・盲ろう)),0)*(1+_15・区４)),0)</f>
        <v>1251</v>
      </c>
      <c r="AA244" s="48"/>
    </row>
    <row r="245" spans="1:27" ht="16.5" customHeight="1" x14ac:dyDescent="0.15">
      <c r="A245" s="41">
        <v>15</v>
      </c>
      <c r="B245" s="41" t="s">
        <v>22457</v>
      </c>
      <c r="C245" s="74" t="s">
        <v>22458</v>
      </c>
      <c r="D245" s="72"/>
      <c r="F245" s="57"/>
      <c r="G245" s="72"/>
      <c r="I245" s="57"/>
      <c r="J245" s="114" t="s">
        <v>17558</v>
      </c>
      <c r="K245" s="49"/>
      <c r="L245" s="50"/>
      <c r="M245" s="163"/>
      <c r="N245" s="45"/>
      <c r="O245" s="46"/>
      <c r="P245" s="512"/>
      <c r="Q245" s="57"/>
      <c r="R245" s="35"/>
      <c r="S245" s="12" t="s">
        <v>398</v>
      </c>
      <c r="T245" s="13">
        <v>0.25</v>
      </c>
      <c r="U245" s="57" t="s">
        <v>3575</v>
      </c>
      <c r="V245" s="35"/>
      <c r="Y245" s="57"/>
      <c r="Z245" s="208">
        <f>ROUND((ROUND((ROUND((ROUND((_15_同援日１．５*_15・基礎２),0)*(1+_15・A深夜)),0)*(1+_15・盲ろう)),0)*(1+_15・区４)),0)+ROUND((ROUND((ROUND((_15_同援日１．５＿０．５*_15・基礎２),0)*(1+_15・盲ろう)),0)*(1+_15・区４)),0)</f>
        <v>1127</v>
      </c>
      <c r="AA245" s="48"/>
    </row>
    <row r="246" spans="1:27" ht="16.5" customHeight="1" x14ac:dyDescent="0.15">
      <c r="A246" s="41">
        <v>15</v>
      </c>
      <c r="B246" s="41" t="s">
        <v>22459</v>
      </c>
      <c r="C246" s="74" t="s">
        <v>22460</v>
      </c>
      <c r="D246" s="72"/>
      <c r="F246" s="57"/>
      <c r="G246" s="122"/>
      <c r="H246" s="37"/>
      <c r="I246" s="79"/>
      <c r="J246" s="269" t="s">
        <v>17560</v>
      </c>
      <c r="K246" s="37" t="s">
        <v>398</v>
      </c>
      <c r="L246" s="38">
        <v>0.9</v>
      </c>
      <c r="M246" s="299" t="s">
        <v>17556</v>
      </c>
      <c r="N246" s="45" t="s">
        <v>398</v>
      </c>
      <c r="O246" s="46">
        <v>1</v>
      </c>
      <c r="P246" s="512"/>
      <c r="Q246" s="57"/>
      <c r="R246" s="43"/>
      <c r="S246" s="37"/>
      <c r="T246" s="38"/>
      <c r="U246" s="79"/>
      <c r="V246" s="43"/>
      <c r="W246" s="37"/>
      <c r="X246" s="38"/>
      <c r="Y246" s="79"/>
      <c r="Z246" s="208">
        <f>ROUND((ROUND((ROUND((ROUND((ROUND((_15_同援日１．５*_15・基礎２),0)*_15・２人),0)*(1+_15・A深夜)),0)*(1+_15・盲ろう)),0)*(1+_15・区４)),0)+ROUND((ROUND((ROUND((ROUND((_15_同援日１．５＿０．５*_15・基礎２),0)*_15・２人),0)*(1+_15・盲ろう)),0)*(1+_15・区４)),0)</f>
        <v>1127</v>
      </c>
      <c r="AA246" s="48"/>
    </row>
    <row r="247" spans="1:27" ht="16.5" customHeight="1" x14ac:dyDescent="0.15">
      <c r="A247" s="41">
        <v>15</v>
      </c>
      <c r="B247" s="41" t="s">
        <v>22461</v>
      </c>
      <c r="C247" s="74" t="s">
        <v>22462</v>
      </c>
      <c r="D247" s="72"/>
      <c r="F247" s="57"/>
      <c r="G247" s="114" t="s">
        <v>19212</v>
      </c>
      <c r="H247" s="49"/>
      <c r="I247" s="115"/>
      <c r="J247" s="53"/>
      <c r="K247" s="49"/>
      <c r="L247" s="50"/>
      <c r="M247" s="163"/>
      <c r="N247" s="45"/>
      <c r="O247" s="46"/>
      <c r="P247" s="512"/>
      <c r="Q247" s="57"/>
      <c r="R247" s="53"/>
      <c r="S247" s="49"/>
      <c r="T247" s="50"/>
      <c r="U247" s="115"/>
      <c r="V247" s="53"/>
      <c r="W247" s="49"/>
      <c r="X247" s="50"/>
      <c r="Y247" s="115"/>
      <c r="Z247" s="208">
        <f>ROUND((_15_同援日１．５*(1+_15・A深夜)),0)+_15_同援日１．５＿１．０</f>
        <v>780</v>
      </c>
      <c r="AA247" s="48"/>
    </row>
    <row r="248" spans="1:27" ht="16.5" customHeight="1" x14ac:dyDescent="0.15">
      <c r="A248" s="41">
        <v>15</v>
      </c>
      <c r="B248" s="41" t="s">
        <v>22463</v>
      </c>
      <c r="C248" s="74" t="s">
        <v>22464</v>
      </c>
      <c r="D248" s="72"/>
      <c r="F248" s="57"/>
      <c r="G248" s="72" t="s">
        <v>17589</v>
      </c>
      <c r="I248" s="57"/>
      <c r="J248" s="43"/>
      <c r="K248" s="37"/>
      <c r="L248" s="38"/>
      <c r="M248" s="299" t="s">
        <v>17556</v>
      </c>
      <c r="N248" s="45" t="s">
        <v>398</v>
      </c>
      <c r="O248" s="46">
        <v>1</v>
      </c>
      <c r="P248" s="512"/>
      <c r="Q248" s="57"/>
      <c r="R248" s="35"/>
      <c r="U248" s="57"/>
      <c r="V248" s="35"/>
      <c r="Y248" s="57"/>
      <c r="Z248" s="208">
        <f>ROUND((ROUND((_15_同援日１．５*_15・２人),0)*(1+_15・A深夜)),0)+ROUND((_15_同援日１．５＿１．０*_15・２人),0)</f>
        <v>780</v>
      </c>
      <c r="AA248" s="48"/>
    </row>
    <row r="249" spans="1:27" ht="16.5" customHeight="1" x14ac:dyDescent="0.15">
      <c r="A249" s="41">
        <v>15</v>
      </c>
      <c r="B249" s="41" t="s">
        <v>1357</v>
      </c>
      <c r="C249" s="74" t="s">
        <v>22465</v>
      </c>
      <c r="D249" s="72"/>
      <c r="F249" s="57"/>
      <c r="G249" s="72" t="s">
        <v>17591</v>
      </c>
      <c r="I249" s="57"/>
      <c r="J249" s="114" t="s">
        <v>17558</v>
      </c>
      <c r="K249" s="49"/>
      <c r="L249" s="50"/>
      <c r="M249" s="163"/>
      <c r="N249" s="45"/>
      <c r="O249" s="46"/>
      <c r="P249" s="512"/>
      <c r="Q249" s="57"/>
      <c r="R249" s="35"/>
      <c r="U249" s="57"/>
      <c r="V249" s="35"/>
      <c r="Y249" s="57"/>
      <c r="Z249" s="208">
        <f>ROUND((ROUND((_15_同援日１．５*_15・基礎２),0)*(1+_15・A深夜)),0)+ROUND((_15_同援日１．５＿１．０*_15・基礎２),0)</f>
        <v>702</v>
      </c>
      <c r="AA249" s="48"/>
    </row>
    <row r="250" spans="1:27" ht="16.5" customHeight="1" x14ac:dyDescent="0.15">
      <c r="A250" s="41">
        <v>15</v>
      </c>
      <c r="B250" s="41" t="s">
        <v>1359</v>
      </c>
      <c r="C250" s="74" t="s">
        <v>22466</v>
      </c>
      <c r="D250" s="72"/>
      <c r="F250" s="57"/>
      <c r="G250" s="72"/>
      <c r="H250" s="168">
        <f>_15_同援日１．５＿１．０</f>
        <v>130</v>
      </c>
      <c r="I250" s="57" t="s">
        <v>392</v>
      </c>
      <c r="J250" s="269" t="s">
        <v>17560</v>
      </c>
      <c r="K250" s="37" t="s">
        <v>398</v>
      </c>
      <c r="L250" s="38">
        <v>0.9</v>
      </c>
      <c r="M250" s="299" t="s">
        <v>17556</v>
      </c>
      <c r="N250" s="45" t="s">
        <v>398</v>
      </c>
      <c r="O250" s="46">
        <v>1</v>
      </c>
      <c r="P250" s="512"/>
      <c r="Q250" s="57"/>
      <c r="R250" s="43"/>
      <c r="S250" s="37"/>
      <c r="T250" s="38"/>
      <c r="U250" s="79"/>
      <c r="V250" s="35"/>
      <c r="Y250" s="57"/>
      <c r="Z250" s="208">
        <f>ROUND((ROUND((ROUND((_15_同援日１．５*_15・基礎２),0)*_15・２人),0)*(1+_15・A深夜)),0)+ROUND((ROUND((_15_同援日１．５＿１．０*_15・基礎２),0)*_15・２人),0)</f>
        <v>702</v>
      </c>
      <c r="AA250" s="48"/>
    </row>
    <row r="251" spans="1:27" ht="16.5" customHeight="1" x14ac:dyDescent="0.15">
      <c r="A251" s="41">
        <v>15</v>
      </c>
      <c r="B251" s="41" t="s">
        <v>1361</v>
      </c>
      <c r="C251" s="74" t="s">
        <v>22467</v>
      </c>
      <c r="D251" s="72"/>
      <c r="F251" s="57"/>
      <c r="G251" s="72"/>
      <c r="I251" s="57"/>
      <c r="J251" s="53"/>
      <c r="K251" s="49"/>
      <c r="L251" s="50"/>
      <c r="M251" s="163"/>
      <c r="N251" s="45"/>
      <c r="O251" s="46"/>
      <c r="P251" s="512"/>
      <c r="Q251" s="57"/>
      <c r="R251" s="114" t="s">
        <v>17562</v>
      </c>
      <c r="S251" s="49"/>
      <c r="T251" s="50"/>
      <c r="U251" s="115"/>
      <c r="V251" s="35"/>
      <c r="Y251" s="57"/>
      <c r="Z251" s="208">
        <f>ROUND((ROUND((_15_同援日１．５*(1+_15・A深夜)),0)*(1+_15・盲ろう)),0)+ROUND((_15_同援日１．５＿１．０*(1+_15・盲ろう)),0)</f>
        <v>976</v>
      </c>
      <c r="AA251" s="48"/>
    </row>
    <row r="252" spans="1:27" ht="16.5" customHeight="1" x14ac:dyDescent="0.15">
      <c r="A252" s="41">
        <v>15</v>
      </c>
      <c r="B252" s="41" t="s">
        <v>1363</v>
      </c>
      <c r="C252" s="74" t="s">
        <v>22468</v>
      </c>
      <c r="D252" s="72"/>
      <c r="F252" s="57"/>
      <c r="G252" s="72"/>
      <c r="I252" s="57"/>
      <c r="J252" s="43"/>
      <c r="K252" s="37"/>
      <c r="L252" s="38"/>
      <c r="M252" s="299" t="s">
        <v>17556</v>
      </c>
      <c r="N252" s="45" t="s">
        <v>398</v>
      </c>
      <c r="O252" s="46">
        <v>1</v>
      </c>
      <c r="P252" s="512"/>
      <c r="Q252" s="57"/>
      <c r="R252" s="92" t="s">
        <v>17564</v>
      </c>
      <c r="U252" s="57"/>
      <c r="V252" s="35"/>
      <c r="Y252" s="57"/>
      <c r="Z252" s="208">
        <f>ROUND((ROUND((ROUND((_15_同援日１．５*_15・２人),0)*(1+_15・A深夜)),0)*(1+_15・盲ろう)),0)+ROUND((ROUND((_15_同援日１．５＿１．０*_15・２人),0)*(1+_15・盲ろう)),0)</f>
        <v>976</v>
      </c>
      <c r="AA252" s="48"/>
    </row>
    <row r="253" spans="1:27" ht="16.5" customHeight="1" x14ac:dyDescent="0.15">
      <c r="A253" s="41">
        <v>15</v>
      </c>
      <c r="B253" s="41" t="s">
        <v>22469</v>
      </c>
      <c r="C253" s="74" t="s">
        <v>22470</v>
      </c>
      <c r="D253" s="72"/>
      <c r="F253" s="57"/>
      <c r="G253" s="72"/>
      <c r="I253" s="57"/>
      <c r="J253" s="114" t="s">
        <v>17558</v>
      </c>
      <c r="K253" s="49"/>
      <c r="L253" s="50"/>
      <c r="M253" s="163"/>
      <c r="N253" s="45"/>
      <c r="O253" s="46"/>
      <c r="P253" s="512"/>
      <c r="Q253" s="57"/>
      <c r="R253" s="35"/>
      <c r="S253" s="12" t="s">
        <v>398</v>
      </c>
      <c r="T253" s="13">
        <v>0.25</v>
      </c>
      <c r="U253" s="57" t="s">
        <v>3575</v>
      </c>
      <c r="V253" s="35"/>
      <c r="Y253" s="57"/>
      <c r="Z253" s="208">
        <f>ROUND((ROUND((ROUND((_15_同援日１．５*_15・基礎２),0)*(1+_15・A深夜)),0)*(1+_15・盲ろう)),0)+ROUND((ROUND((_15_同援日１．５＿１．０*_15・基礎２),0)*(1+_15・盲ろう)),0)</f>
        <v>877</v>
      </c>
      <c r="AA253" s="48"/>
    </row>
    <row r="254" spans="1:27" ht="16.5" customHeight="1" x14ac:dyDescent="0.15">
      <c r="A254" s="41">
        <v>15</v>
      </c>
      <c r="B254" s="41" t="s">
        <v>22471</v>
      </c>
      <c r="C254" s="74" t="s">
        <v>22472</v>
      </c>
      <c r="D254" s="72"/>
      <c r="F254" s="57"/>
      <c r="G254" s="72"/>
      <c r="I254" s="57"/>
      <c r="J254" s="269" t="s">
        <v>17560</v>
      </c>
      <c r="K254" s="37" t="s">
        <v>398</v>
      </c>
      <c r="L254" s="38">
        <v>0.9</v>
      </c>
      <c r="M254" s="299" t="s">
        <v>17556</v>
      </c>
      <c r="N254" s="45" t="s">
        <v>398</v>
      </c>
      <c r="O254" s="46">
        <v>1</v>
      </c>
      <c r="P254" s="512"/>
      <c r="Q254" s="57"/>
      <c r="R254" s="43"/>
      <c r="S254" s="37"/>
      <c r="T254" s="38"/>
      <c r="U254" s="79"/>
      <c r="V254" s="43"/>
      <c r="W254" s="37"/>
      <c r="X254" s="38"/>
      <c r="Y254" s="79"/>
      <c r="Z254" s="208">
        <f>ROUND((ROUND((ROUND((ROUND((_15_同援日１．５*_15・基礎２),0)*_15・２人),0)*(1+_15・A深夜)),0)*(1+_15・盲ろう)),0)+ROUND((ROUND((ROUND((_15_同援日１．５＿１．０*_15・基礎２),0)*_15・２人),0)*(1+_15・盲ろう)),0)</f>
        <v>877</v>
      </c>
      <c r="AA254" s="48"/>
    </row>
    <row r="255" spans="1:27" ht="16.5" customHeight="1" x14ac:dyDescent="0.15">
      <c r="A255" s="41">
        <v>15</v>
      </c>
      <c r="B255" s="41" t="s">
        <v>22473</v>
      </c>
      <c r="C255" s="74" t="s">
        <v>22474</v>
      </c>
      <c r="D255" s="72"/>
      <c r="F255" s="57"/>
      <c r="G255" s="72"/>
      <c r="I255" s="57"/>
      <c r="J255" s="53"/>
      <c r="K255" s="49"/>
      <c r="L255" s="50"/>
      <c r="M255" s="163"/>
      <c r="N255" s="45"/>
      <c r="O255" s="46"/>
      <c r="P255" s="512"/>
      <c r="Q255" s="57"/>
      <c r="R255" s="53"/>
      <c r="S255" s="49"/>
      <c r="T255" s="50"/>
      <c r="U255" s="115"/>
      <c r="V255" s="53"/>
      <c r="W255" s="49"/>
      <c r="X255" s="50"/>
      <c r="Y255" s="115"/>
      <c r="Z255" s="208">
        <f>ROUND((ROUND((_15_同援日１．５*(1+_15・A深夜)),0)*(1+_15・区３)),0)+ROUND((_15_同援日１．５＿１．０*(1+_15・区３)),0)</f>
        <v>936</v>
      </c>
      <c r="AA255" s="48"/>
    </row>
    <row r="256" spans="1:27" ht="16.5" customHeight="1" x14ac:dyDescent="0.15">
      <c r="A256" s="41">
        <v>15</v>
      </c>
      <c r="B256" s="41" t="s">
        <v>22475</v>
      </c>
      <c r="C256" s="74" t="s">
        <v>22476</v>
      </c>
      <c r="D256" s="72"/>
      <c r="F256" s="57"/>
      <c r="G256" s="72"/>
      <c r="I256" s="57"/>
      <c r="J256" s="43"/>
      <c r="K256" s="37"/>
      <c r="L256" s="38"/>
      <c r="M256" s="299" t="s">
        <v>17556</v>
      </c>
      <c r="N256" s="45" t="s">
        <v>398</v>
      </c>
      <c r="O256" s="46">
        <v>1</v>
      </c>
      <c r="P256" s="512"/>
      <c r="Q256" s="57"/>
      <c r="R256" s="35"/>
      <c r="U256" s="57"/>
      <c r="V256" s="35"/>
      <c r="Y256" s="57"/>
      <c r="Z256" s="208">
        <f>ROUND((ROUND((ROUND((_15_同援日１．５*_15・２人),0)*(1+_15・A深夜)),0)*(1+_15・区３)),0)+ROUND((ROUND((_15_同援日１．５＿１．０*_15・２人),0)*(1+_15・区３)),0)</f>
        <v>936</v>
      </c>
      <c r="AA256" s="48"/>
    </row>
    <row r="257" spans="1:27" ht="16.5" customHeight="1" x14ac:dyDescent="0.15">
      <c r="A257" s="41">
        <v>15</v>
      </c>
      <c r="B257" s="41" t="s">
        <v>22477</v>
      </c>
      <c r="C257" s="74" t="s">
        <v>22478</v>
      </c>
      <c r="D257" s="72"/>
      <c r="F257" s="57"/>
      <c r="G257" s="72"/>
      <c r="I257" s="57"/>
      <c r="J257" s="114" t="s">
        <v>17558</v>
      </c>
      <c r="K257" s="49"/>
      <c r="L257" s="50"/>
      <c r="M257" s="163"/>
      <c r="N257" s="45"/>
      <c r="O257" s="46"/>
      <c r="P257" s="512"/>
      <c r="Q257" s="57"/>
      <c r="R257" s="35"/>
      <c r="U257" s="57"/>
      <c r="V257" s="72" t="s">
        <v>17570</v>
      </c>
      <c r="Y257" s="57"/>
      <c r="Z257" s="208">
        <f>ROUND((ROUND((ROUND((_15_同援日１．５*_15・基礎２),0)*(1+_15・A深夜)),0)*(1+_15・区３)),0)+ROUND((ROUND((_15_同援日１．５＿１．０*_15・基礎２),0)*(1+_15・区３)),0)</f>
        <v>842</v>
      </c>
      <c r="AA257" s="48"/>
    </row>
    <row r="258" spans="1:27" ht="16.5" customHeight="1" x14ac:dyDescent="0.15">
      <c r="A258" s="41">
        <v>15</v>
      </c>
      <c r="B258" s="41" t="s">
        <v>22479</v>
      </c>
      <c r="C258" s="74" t="s">
        <v>22480</v>
      </c>
      <c r="D258" s="72"/>
      <c r="F258" s="57"/>
      <c r="G258" s="72"/>
      <c r="I258" s="57"/>
      <c r="J258" s="269" t="s">
        <v>17560</v>
      </c>
      <c r="K258" s="37" t="s">
        <v>398</v>
      </c>
      <c r="L258" s="38">
        <v>0.9</v>
      </c>
      <c r="M258" s="299" t="s">
        <v>17556</v>
      </c>
      <c r="N258" s="45" t="s">
        <v>398</v>
      </c>
      <c r="O258" s="46">
        <v>1</v>
      </c>
      <c r="P258" s="512"/>
      <c r="Q258" s="57"/>
      <c r="R258" s="43"/>
      <c r="S258" s="37"/>
      <c r="T258" s="38"/>
      <c r="U258" s="79"/>
      <c r="V258" s="72" t="s">
        <v>17572</v>
      </c>
      <c r="Y258" s="57"/>
      <c r="Z258" s="208">
        <f>ROUND((ROUND((ROUND((ROUND((_15_同援日１．５*_15・基礎２),0)*_15・２人),0)*(1+_15・A深夜)),0)*(1+_15・区３)),0)+ROUND((ROUND((ROUND((_15_同援日１．５＿１．０*_15・基礎２),0)*_15・２人),0)*(1+_15・区３)),0)</f>
        <v>842</v>
      </c>
      <c r="AA258" s="48"/>
    </row>
    <row r="259" spans="1:27" ht="16.5" customHeight="1" x14ac:dyDescent="0.15">
      <c r="A259" s="41">
        <v>15</v>
      </c>
      <c r="B259" s="41" t="s">
        <v>22481</v>
      </c>
      <c r="C259" s="74" t="s">
        <v>22482</v>
      </c>
      <c r="D259" s="72"/>
      <c r="F259" s="57"/>
      <c r="G259" s="72"/>
      <c r="I259" s="57"/>
      <c r="J259" s="53"/>
      <c r="K259" s="49"/>
      <c r="L259" s="50"/>
      <c r="M259" s="163"/>
      <c r="N259" s="45"/>
      <c r="O259" s="46"/>
      <c r="P259" s="512"/>
      <c r="Q259" s="57"/>
      <c r="R259" s="114" t="s">
        <v>17562</v>
      </c>
      <c r="S259" s="49"/>
      <c r="T259" s="50"/>
      <c r="U259" s="115"/>
      <c r="V259" s="35"/>
      <c r="W259" s="12" t="s">
        <v>398</v>
      </c>
      <c r="X259" s="13">
        <v>0.2</v>
      </c>
      <c r="Y259" s="57" t="s">
        <v>3575</v>
      </c>
      <c r="Z259" s="208">
        <f>ROUND((ROUND((ROUND((_15_同援日１．５*(1+_15・A深夜)),0)*(1+_15・盲ろう)),0)*(1+_15・区３)),0)+ROUND((ROUND((_15_同援日１．５＿１．０*(1+_15・盲ろう)),0)*(1+_15・区３)),0)</f>
        <v>1172</v>
      </c>
      <c r="AA259" s="48"/>
    </row>
    <row r="260" spans="1:27" ht="16.5" customHeight="1" x14ac:dyDescent="0.15">
      <c r="A260" s="41">
        <v>15</v>
      </c>
      <c r="B260" s="41" t="s">
        <v>22483</v>
      </c>
      <c r="C260" s="74" t="s">
        <v>22484</v>
      </c>
      <c r="D260" s="72"/>
      <c r="F260" s="57"/>
      <c r="G260" s="72"/>
      <c r="I260" s="57"/>
      <c r="J260" s="43"/>
      <c r="K260" s="37"/>
      <c r="L260" s="38"/>
      <c r="M260" s="299" t="s">
        <v>17556</v>
      </c>
      <c r="N260" s="45" t="s">
        <v>398</v>
      </c>
      <c r="O260" s="46">
        <v>1</v>
      </c>
      <c r="P260" s="512"/>
      <c r="Q260" s="57"/>
      <c r="R260" s="92" t="s">
        <v>17564</v>
      </c>
      <c r="U260" s="57"/>
      <c r="V260" s="35"/>
      <c r="Y260" s="57"/>
      <c r="Z260" s="208">
        <f>ROUND((ROUND((ROUND((ROUND((_15_同援日１．５*_15・２人),0)*(1+_15・A深夜)),0)*(1+_15・盲ろう)),0)*(1+_15・区３)),0)+ROUND((ROUND((ROUND((_15_同援日１．５＿１．０*_15・２人),0)*(1+_15・盲ろう)),0)*(1+_15・区３)),0)</f>
        <v>1172</v>
      </c>
      <c r="AA260" s="48"/>
    </row>
    <row r="261" spans="1:27" ht="16.5" customHeight="1" x14ac:dyDescent="0.15">
      <c r="A261" s="41">
        <v>15</v>
      </c>
      <c r="B261" s="41" t="s">
        <v>22485</v>
      </c>
      <c r="C261" s="74" t="s">
        <v>22486</v>
      </c>
      <c r="D261" s="72"/>
      <c r="F261" s="57"/>
      <c r="G261" s="72"/>
      <c r="I261" s="57"/>
      <c r="J261" s="114" t="s">
        <v>17558</v>
      </c>
      <c r="K261" s="49"/>
      <c r="L261" s="50"/>
      <c r="M261" s="163"/>
      <c r="N261" s="45"/>
      <c r="O261" s="46"/>
      <c r="P261" s="512"/>
      <c r="Q261" s="57"/>
      <c r="R261" s="35"/>
      <c r="S261" s="12" t="s">
        <v>398</v>
      </c>
      <c r="T261" s="13">
        <v>0.25</v>
      </c>
      <c r="U261" s="57" t="s">
        <v>3575</v>
      </c>
      <c r="V261" s="35"/>
      <c r="Y261" s="57"/>
      <c r="Z261" s="208">
        <f>ROUND((ROUND((ROUND((ROUND((_15_同援日１．５*_15・基礎２),0)*(1+_15・A深夜)),0)*(1+_15・盲ろう)),0)*(1+_15・区３)),0)+ROUND((ROUND((ROUND((_15_同援日１．５＿１．０*_15・基礎２),0)*(1+_15・盲ろう)),0)*(1+_15・区３)),0)</f>
        <v>1052</v>
      </c>
      <c r="AA261" s="48"/>
    </row>
    <row r="262" spans="1:27" ht="16.5" customHeight="1" x14ac:dyDescent="0.15">
      <c r="A262" s="41">
        <v>15</v>
      </c>
      <c r="B262" s="41" t="s">
        <v>22487</v>
      </c>
      <c r="C262" s="74" t="s">
        <v>22488</v>
      </c>
      <c r="D262" s="72"/>
      <c r="F262" s="57"/>
      <c r="G262" s="72"/>
      <c r="I262" s="57"/>
      <c r="J262" s="269" t="s">
        <v>17560</v>
      </c>
      <c r="K262" s="37" t="s">
        <v>398</v>
      </c>
      <c r="L262" s="38">
        <v>0.9</v>
      </c>
      <c r="M262" s="299" t="s">
        <v>17556</v>
      </c>
      <c r="N262" s="45" t="s">
        <v>398</v>
      </c>
      <c r="O262" s="46">
        <v>1</v>
      </c>
      <c r="P262" s="512"/>
      <c r="Q262" s="57"/>
      <c r="R262" s="43"/>
      <c r="S262" s="37"/>
      <c r="T262" s="38"/>
      <c r="U262" s="79"/>
      <c r="V262" s="43"/>
      <c r="W262" s="37"/>
      <c r="X262" s="38"/>
      <c r="Y262" s="79"/>
      <c r="Z262" s="208">
        <f>ROUND((ROUND((ROUND((ROUND((ROUND((_15_同援日１．５*_15・基礎２),0)*_15・２人),0)*(1+_15・A深夜)),0)*(1+_15・盲ろう)),0)*(1+_15・区３)),0)+ROUND((ROUND((ROUND((ROUND((_15_同援日１．５＿１．０*_15・基礎２),0)*_15・２人),0)*(1+_15・盲ろう)),0)*(1+_15・区３)),0)</f>
        <v>1052</v>
      </c>
      <c r="AA262" s="48"/>
    </row>
    <row r="263" spans="1:27" ht="16.5" customHeight="1" x14ac:dyDescent="0.15">
      <c r="A263" s="41">
        <v>15</v>
      </c>
      <c r="B263" s="41" t="s">
        <v>22489</v>
      </c>
      <c r="C263" s="74" t="s">
        <v>22490</v>
      </c>
      <c r="D263" s="72"/>
      <c r="F263" s="57"/>
      <c r="G263" s="72"/>
      <c r="I263" s="57"/>
      <c r="J263" s="53"/>
      <c r="K263" s="49"/>
      <c r="L263" s="50"/>
      <c r="M263" s="163"/>
      <c r="N263" s="45"/>
      <c r="O263" s="46"/>
      <c r="P263" s="512"/>
      <c r="Q263" s="57"/>
      <c r="R263" s="53"/>
      <c r="S263" s="49"/>
      <c r="T263" s="50"/>
      <c r="U263" s="115"/>
      <c r="V263" s="53"/>
      <c r="W263" s="49"/>
      <c r="X263" s="50"/>
      <c r="Y263" s="115"/>
      <c r="Z263" s="208">
        <f>ROUND((ROUND((_15_同援日１．５*(1+_15・A深夜)),0)*(1+_15・区４)),0)+ROUND((_15_同援日１．５＿１．０*(1+_15・区４)),0)</f>
        <v>1092</v>
      </c>
      <c r="AA263" s="48"/>
    </row>
    <row r="264" spans="1:27" ht="16.5" customHeight="1" x14ac:dyDescent="0.15">
      <c r="A264" s="41">
        <v>15</v>
      </c>
      <c r="B264" s="41" t="s">
        <v>22491</v>
      </c>
      <c r="C264" s="74" t="s">
        <v>22492</v>
      </c>
      <c r="D264" s="72"/>
      <c r="F264" s="57"/>
      <c r="G264" s="72"/>
      <c r="I264" s="57"/>
      <c r="J264" s="43"/>
      <c r="K264" s="37"/>
      <c r="L264" s="38"/>
      <c r="M264" s="299" t="s">
        <v>17556</v>
      </c>
      <c r="N264" s="45" t="s">
        <v>398</v>
      </c>
      <c r="O264" s="46">
        <v>1</v>
      </c>
      <c r="P264" s="512"/>
      <c r="Q264" s="57"/>
      <c r="R264" s="35"/>
      <c r="U264" s="57"/>
      <c r="V264" s="35"/>
      <c r="Y264" s="57"/>
      <c r="Z264" s="208">
        <f>ROUND((ROUND((ROUND((_15_同援日１．５*_15・２人),0)*(1+_15・A深夜)),0)*(1+_15・区４)),0)+ROUND((ROUND((_15_同援日１．５＿１．０*_15・２人),0)*(1+_15・区４)),0)</f>
        <v>1092</v>
      </c>
      <c r="AA264" s="48"/>
    </row>
    <row r="265" spans="1:27" ht="16.5" customHeight="1" x14ac:dyDescent="0.15">
      <c r="A265" s="41">
        <v>15</v>
      </c>
      <c r="B265" s="41" t="s">
        <v>22493</v>
      </c>
      <c r="C265" s="74" t="s">
        <v>22494</v>
      </c>
      <c r="D265" s="72"/>
      <c r="F265" s="57"/>
      <c r="G265" s="72"/>
      <c r="I265" s="57"/>
      <c r="J265" s="114" t="s">
        <v>17558</v>
      </c>
      <c r="K265" s="49"/>
      <c r="L265" s="50"/>
      <c r="M265" s="163"/>
      <c r="N265" s="45"/>
      <c r="O265" s="46"/>
      <c r="P265" s="512"/>
      <c r="Q265" s="57"/>
      <c r="R265" s="35"/>
      <c r="U265" s="57"/>
      <c r="V265" s="72" t="s">
        <v>17580</v>
      </c>
      <c r="Y265" s="57"/>
      <c r="Z265" s="208">
        <f>ROUND((ROUND((ROUND((_15_同援日１．５*_15・基礎２),0)*(1+_15・A深夜)),0)*(1+_15・区４)),0)+ROUND((ROUND((_15_同援日１．５＿１．０*_15・基礎２),0)*(1+_15・区４)),0)</f>
        <v>983</v>
      </c>
      <c r="AA265" s="48"/>
    </row>
    <row r="266" spans="1:27" ht="16.5" customHeight="1" x14ac:dyDescent="0.15">
      <c r="A266" s="41">
        <v>15</v>
      </c>
      <c r="B266" s="41" t="s">
        <v>22495</v>
      </c>
      <c r="C266" s="74" t="s">
        <v>22496</v>
      </c>
      <c r="D266" s="72"/>
      <c r="F266" s="57"/>
      <c r="G266" s="72"/>
      <c r="I266" s="57"/>
      <c r="J266" s="269" t="s">
        <v>17560</v>
      </c>
      <c r="K266" s="37" t="s">
        <v>398</v>
      </c>
      <c r="L266" s="38">
        <v>0.9</v>
      </c>
      <c r="M266" s="299" t="s">
        <v>17556</v>
      </c>
      <c r="N266" s="45" t="s">
        <v>398</v>
      </c>
      <c r="O266" s="46">
        <v>1</v>
      </c>
      <c r="P266" s="512"/>
      <c r="Q266" s="57"/>
      <c r="R266" s="43"/>
      <c r="S266" s="37"/>
      <c r="T266" s="38"/>
      <c r="U266" s="79"/>
      <c r="V266" s="72" t="s">
        <v>17572</v>
      </c>
      <c r="Y266" s="57"/>
      <c r="Z266" s="208">
        <f>ROUND((ROUND((ROUND((ROUND((_15_同援日１．５*_15・基礎２),0)*_15・２人),0)*(1+_15・A深夜)),0)*(1+_15・区４)),0)+ROUND((ROUND((ROUND((_15_同援日１．５＿１．０*_15・基礎２),0)*_15・２人),0)*(1+_15・区４)),0)</f>
        <v>983</v>
      </c>
      <c r="AA266" s="48"/>
    </row>
    <row r="267" spans="1:27" ht="16.5" customHeight="1" x14ac:dyDescent="0.15">
      <c r="A267" s="41">
        <v>15</v>
      </c>
      <c r="B267" s="41" t="s">
        <v>22497</v>
      </c>
      <c r="C267" s="74" t="s">
        <v>22498</v>
      </c>
      <c r="D267" s="72"/>
      <c r="F267" s="57"/>
      <c r="G267" s="72"/>
      <c r="I267" s="57"/>
      <c r="J267" s="53"/>
      <c r="K267" s="49"/>
      <c r="L267" s="50"/>
      <c r="M267" s="163"/>
      <c r="N267" s="45"/>
      <c r="O267" s="46"/>
      <c r="P267" s="512"/>
      <c r="Q267" s="57"/>
      <c r="R267" s="114" t="s">
        <v>17562</v>
      </c>
      <c r="S267" s="49"/>
      <c r="T267" s="50"/>
      <c r="U267" s="115"/>
      <c r="V267" s="35"/>
      <c r="W267" s="12" t="s">
        <v>398</v>
      </c>
      <c r="X267" s="13">
        <v>0.4</v>
      </c>
      <c r="Y267" s="57" t="s">
        <v>3575</v>
      </c>
      <c r="Z267" s="208">
        <f>ROUND((ROUND((ROUND((_15_同援日１．５*(1+_15・A深夜)),0)*(1+_15・盲ろう)),0)*(1+_15・区４)),0)+ROUND((ROUND((_15_同援日１．５＿１．０*(1+_15・盲ろう)),0)*(1+_15・区４)),0)</f>
        <v>1366</v>
      </c>
      <c r="AA267" s="48"/>
    </row>
    <row r="268" spans="1:27" ht="16.5" customHeight="1" x14ac:dyDescent="0.15">
      <c r="A268" s="41">
        <v>15</v>
      </c>
      <c r="B268" s="41" t="s">
        <v>22499</v>
      </c>
      <c r="C268" s="74" t="s">
        <v>22500</v>
      </c>
      <c r="D268" s="72"/>
      <c r="F268" s="57"/>
      <c r="G268" s="72"/>
      <c r="I268" s="57"/>
      <c r="J268" s="43"/>
      <c r="K268" s="37"/>
      <c r="L268" s="38"/>
      <c r="M268" s="299" t="s">
        <v>17556</v>
      </c>
      <c r="N268" s="45" t="s">
        <v>398</v>
      </c>
      <c r="O268" s="46">
        <v>1</v>
      </c>
      <c r="P268" s="512"/>
      <c r="Q268" s="57"/>
      <c r="R268" s="92" t="s">
        <v>17564</v>
      </c>
      <c r="U268" s="57"/>
      <c r="V268" s="35"/>
      <c r="Y268" s="57"/>
      <c r="Z268" s="208">
        <f>ROUND((ROUND((ROUND((ROUND((_15_同援日１．５*_15・２人),0)*(1+_15・A深夜)),0)*(1+_15・盲ろう)),0)*(1+_15・区４)),0)+ROUND((ROUND((ROUND((_15_同援日１．５＿１．０*_15・２人),0)*(1+_15・盲ろう)),0)*(1+_15・区４)),0)</f>
        <v>1366</v>
      </c>
      <c r="AA268" s="48"/>
    </row>
    <row r="269" spans="1:27" ht="16.5" customHeight="1" x14ac:dyDescent="0.15">
      <c r="A269" s="41">
        <v>15</v>
      </c>
      <c r="B269" s="41" t="s">
        <v>1369</v>
      </c>
      <c r="C269" s="74" t="s">
        <v>22501</v>
      </c>
      <c r="D269" s="72"/>
      <c r="F269" s="57"/>
      <c r="G269" s="72"/>
      <c r="I269" s="57"/>
      <c r="J269" s="114" t="s">
        <v>17558</v>
      </c>
      <c r="K269" s="49"/>
      <c r="L269" s="50"/>
      <c r="M269" s="163"/>
      <c r="N269" s="45"/>
      <c r="O269" s="46"/>
      <c r="P269" s="512"/>
      <c r="Q269" s="57"/>
      <c r="R269" s="35"/>
      <c r="S269" s="12" t="s">
        <v>398</v>
      </c>
      <c r="T269" s="13">
        <v>0.25</v>
      </c>
      <c r="U269" s="57" t="s">
        <v>3575</v>
      </c>
      <c r="V269" s="35"/>
      <c r="Y269" s="57"/>
      <c r="Z269" s="208">
        <f>ROUND((ROUND((ROUND((ROUND((_15_同援日１．５*_15・基礎２),0)*(1+_15・A深夜)),0)*(1+_15・盲ろう)),0)*(1+_15・区４)),0)+ROUND((ROUND((ROUND((_15_同援日１．５＿１．０*_15・基礎２),0)*(1+_15・盲ろう)),0)*(1+_15・区４)),0)</f>
        <v>1227</v>
      </c>
      <c r="AA269" s="48"/>
    </row>
    <row r="270" spans="1:27" ht="16.5" customHeight="1" x14ac:dyDescent="0.15">
      <c r="A270" s="41">
        <v>15</v>
      </c>
      <c r="B270" s="41" t="s">
        <v>1371</v>
      </c>
      <c r="C270" s="74" t="s">
        <v>22502</v>
      </c>
      <c r="D270" s="72"/>
      <c r="F270" s="57"/>
      <c r="G270" s="122"/>
      <c r="H270" s="37"/>
      <c r="I270" s="79"/>
      <c r="J270" s="269" t="s">
        <v>17560</v>
      </c>
      <c r="K270" s="37" t="s">
        <v>398</v>
      </c>
      <c r="L270" s="38">
        <v>0.9</v>
      </c>
      <c r="M270" s="299" t="s">
        <v>17556</v>
      </c>
      <c r="N270" s="45" t="s">
        <v>398</v>
      </c>
      <c r="O270" s="46">
        <v>1</v>
      </c>
      <c r="P270" s="512"/>
      <c r="Q270" s="57"/>
      <c r="R270" s="43"/>
      <c r="S270" s="37"/>
      <c r="T270" s="38"/>
      <c r="U270" s="79"/>
      <c r="V270" s="43"/>
      <c r="W270" s="37"/>
      <c r="X270" s="38"/>
      <c r="Y270" s="79"/>
      <c r="Z270" s="208">
        <f>ROUND((ROUND((ROUND((ROUND((ROUND((_15_同援日１．５*_15・基礎２),0)*_15・２人),0)*(1+_15・A深夜)),0)*(1+_15・盲ろう)),0)*(1+_15・区４)),0)+ROUND((ROUND((ROUND((ROUND((_15_同援日１．５＿１．０*_15・基礎２),0)*_15・２人),0)*(1+_15・盲ろう)),0)*(1+_15・区４)),0)</f>
        <v>1227</v>
      </c>
      <c r="AA270" s="48"/>
    </row>
    <row r="271" spans="1:27" ht="16.5" customHeight="1" x14ac:dyDescent="0.15">
      <c r="A271" s="41">
        <v>15</v>
      </c>
      <c r="B271" s="41" t="s">
        <v>1373</v>
      </c>
      <c r="C271" s="74" t="s">
        <v>22503</v>
      </c>
      <c r="D271" s="72"/>
      <c r="F271" s="57"/>
      <c r="G271" s="114" t="s">
        <v>19237</v>
      </c>
      <c r="H271" s="49"/>
      <c r="I271" s="115"/>
      <c r="J271" s="53"/>
      <c r="K271" s="49"/>
      <c r="L271" s="50"/>
      <c r="M271" s="163"/>
      <c r="N271" s="45"/>
      <c r="O271" s="46"/>
      <c r="P271" s="512"/>
      <c r="Q271" s="57"/>
      <c r="R271" s="53"/>
      <c r="S271" s="49"/>
      <c r="T271" s="50"/>
      <c r="U271" s="115"/>
      <c r="V271" s="53"/>
      <c r="W271" s="49"/>
      <c r="X271" s="50"/>
      <c r="Y271" s="115"/>
      <c r="Z271" s="208">
        <f>ROUND((_15_同援日１．５*(1+_15・A深夜)),0)+_15_同援日１．５＿１．５</f>
        <v>845</v>
      </c>
      <c r="AA271" s="48"/>
    </row>
    <row r="272" spans="1:27" ht="16.5" customHeight="1" x14ac:dyDescent="0.15">
      <c r="A272" s="41">
        <v>15</v>
      </c>
      <c r="B272" s="41" t="s">
        <v>1375</v>
      </c>
      <c r="C272" s="74" t="s">
        <v>22504</v>
      </c>
      <c r="D272" s="72"/>
      <c r="F272" s="57"/>
      <c r="G272" s="72" t="s">
        <v>17616</v>
      </c>
      <c r="I272" s="57"/>
      <c r="J272" s="43"/>
      <c r="K272" s="37"/>
      <c r="L272" s="38"/>
      <c r="M272" s="299" t="s">
        <v>17556</v>
      </c>
      <c r="N272" s="45" t="s">
        <v>398</v>
      </c>
      <c r="O272" s="46">
        <v>1</v>
      </c>
      <c r="P272" s="512"/>
      <c r="Q272" s="57"/>
      <c r="R272" s="35"/>
      <c r="U272" s="57"/>
      <c r="V272" s="35"/>
      <c r="Y272" s="57"/>
      <c r="Z272" s="208">
        <f>ROUND((ROUND((_15_同援日１．５*_15・２人),0)*(1+_15・A深夜)),0)+ROUND((_15_同援日１．５＿１．５*_15・２人),0)</f>
        <v>845</v>
      </c>
      <c r="AA272" s="48"/>
    </row>
    <row r="273" spans="1:27" ht="16.5" customHeight="1" x14ac:dyDescent="0.15">
      <c r="A273" s="41">
        <v>15</v>
      </c>
      <c r="B273" s="41" t="s">
        <v>22505</v>
      </c>
      <c r="C273" s="74" t="s">
        <v>22506</v>
      </c>
      <c r="D273" s="72"/>
      <c r="F273" s="57"/>
      <c r="G273" s="72" t="s">
        <v>18183</v>
      </c>
      <c r="I273" s="57"/>
      <c r="J273" s="114" t="s">
        <v>17558</v>
      </c>
      <c r="K273" s="49"/>
      <c r="L273" s="50"/>
      <c r="M273" s="163"/>
      <c r="N273" s="45"/>
      <c r="O273" s="46"/>
      <c r="P273" s="512"/>
      <c r="Q273" s="57"/>
      <c r="R273" s="35"/>
      <c r="U273" s="57"/>
      <c r="V273" s="35"/>
      <c r="Y273" s="57"/>
      <c r="Z273" s="208">
        <f>ROUND((ROUND((_15_同援日１．５*_15・基礎２),0)*(1+_15・A深夜)),0)+ROUND((_15_同援日１．５＿１．５*_15・基礎２),0)</f>
        <v>761</v>
      </c>
      <c r="AA273" s="48"/>
    </row>
    <row r="274" spans="1:27" ht="16.5" customHeight="1" x14ac:dyDescent="0.15">
      <c r="A274" s="41">
        <v>15</v>
      </c>
      <c r="B274" s="41" t="s">
        <v>22507</v>
      </c>
      <c r="C274" s="74" t="s">
        <v>22508</v>
      </c>
      <c r="D274" s="72"/>
      <c r="F274" s="57"/>
      <c r="G274" s="72"/>
      <c r="H274" s="168">
        <f>_15_同援日１．５＿１．５</f>
        <v>195</v>
      </c>
      <c r="I274" s="57" t="s">
        <v>392</v>
      </c>
      <c r="J274" s="269" t="s">
        <v>17560</v>
      </c>
      <c r="K274" s="37" t="s">
        <v>398</v>
      </c>
      <c r="L274" s="38">
        <v>0.9</v>
      </c>
      <c r="M274" s="299" t="s">
        <v>17556</v>
      </c>
      <c r="N274" s="45" t="s">
        <v>398</v>
      </c>
      <c r="O274" s="46">
        <v>1</v>
      </c>
      <c r="P274" s="512"/>
      <c r="Q274" s="57"/>
      <c r="R274" s="43"/>
      <c r="S274" s="37"/>
      <c r="T274" s="38"/>
      <c r="U274" s="79"/>
      <c r="V274" s="35"/>
      <c r="Y274" s="57"/>
      <c r="Z274" s="208">
        <f>ROUND((ROUND((ROUND((_15_同援日１．５*_15・基礎２),0)*_15・２人),0)*(1+_15・A深夜)),0)+ROUND((ROUND((_15_同援日１．５＿１．５*_15・基礎２),0)*_15・２人),0)</f>
        <v>761</v>
      </c>
      <c r="AA274" s="48"/>
    </row>
    <row r="275" spans="1:27" ht="16.5" customHeight="1" x14ac:dyDescent="0.15">
      <c r="A275" s="41">
        <v>15</v>
      </c>
      <c r="B275" s="41" t="s">
        <v>22509</v>
      </c>
      <c r="C275" s="74" t="s">
        <v>22510</v>
      </c>
      <c r="D275" s="72"/>
      <c r="F275" s="57"/>
      <c r="G275" s="72"/>
      <c r="I275" s="57"/>
      <c r="J275" s="53"/>
      <c r="K275" s="49"/>
      <c r="L275" s="50"/>
      <c r="M275" s="163"/>
      <c r="N275" s="45"/>
      <c r="O275" s="46"/>
      <c r="P275" s="512"/>
      <c r="Q275" s="57"/>
      <c r="R275" s="114" t="s">
        <v>17562</v>
      </c>
      <c r="S275" s="49"/>
      <c r="T275" s="50"/>
      <c r="U275" s="115"/>
      <c r="V275" s="35"/>
      <c r="Y275" s="57"/>
      <c r="Z275" s="208">
        <f>ROUND((ROUND((_15_同援日１．５*(1+_15・A深夜)),0)*(1+_15・盲ろう)),0)+ROUND((_15_同援日１．５＿１．５*(1+_15・盲ろう)),0)</f>
        <v>1057</v>
      </c>
      <c r="AA275" s="48"/>
    </row>
    <row r="276" spans="1:27" ht="16.5" customHeight="1" x14ac:dyDescent="0.15">
      <c r="A276" s="41">
        <v>15</v>
      </c>
      <c r="B276" s="41" t="s">
        <v>22511</v>
      </c>
      <c r="C276" s="74" t="s">
        <v>22512</v>
      </c>
      <c r="D276" s="72"/>
      <c r="F276" s="57"/>
      <c r="G276" s="72"/>
      <c r="I276" s="57"/>
      <c r="J276" s="43"/>
      <c r="K276" s="37"/>
      <c r="L276" s="38"/>
      <c r="M276" s="299" t="s">
        <v>17556</v>
      </c>
      <c r="N276" s="45" t="s">
        <v>398</v>
      </c>
      <c r="O276" s="46">
        <v>1</v>
      </c>
      <c r="P276" s="512"/>
      <c r="Q276" s="57"/>
      <c r="R276" s="92" t="s">
        <v>17564</v>
      </c>
      <c r="U276" s="57"/>
      <c r="V276" s="35"/>
      <c r="Y276" s="57"/>
      <c r="Z276" s="208">
        <f>ROUND((ROUND((ROUND((_15_同援日１．５*_15・２人),0)*(1+_15・A深夜)),0)*(1+_15・盲ろう)),0)+ROUND((ROUND((_15_同援日１．５＿１．５*_15・２人),0)*(1+_15・盲ろう)),0)</f>
        <v>1057</v>
      </c>
      <c r="AA276" s="48"/>
    </row>
    <row r="277" spans="1:27" ht="16.5" customHeight="1" x14ac:dyDescent="0.15">
      <c r="A277" s="41">
        <v>15</v>
      </c>
      <c r="B277" s="41" t="s">
        <v>22513</v>
      </c>
      <c r="C277" s="74" t="s">
        <v>22514</v>
      </c>
      <c r="D277" s="72"/>
      <c r="F277" s="57"/>
      <c r="G277" s="72"/>
      <c r="I277" s="57"/>
      <c r="J277" s="114" t="s">
        <v>17558</v>
      </c>
      <c r="K277" s="49"/>
      <c r="L277" s="50"/>
      <c r="M277" s="163"/>
      <c r="N277" s="45"/>
      <c r="O277" s="46"/>
      <c r="P277" s="512"/>
      <c r="Q277" s="57"/>
      <c r="R277" s="35"/>
      <c r="S277" s="12" t="s">
        <v>398</v>
      </c>
      <c r="T277" s="13">
        <v>0.25</v>
      </c>
      <c r="U277" s="57" t="s">
        <v>3575</v>
      </c>
      <c r="V277" s="35"/>
      <c r="Y277" s="57"/>
      <c r="Z277" s="208">
        <f>ROUND((ROUND((ROUND((_15_同援日１．５*_15・基礎２),0)*(1+_15・A深夜)),0)*(1+_15・盲ろう)),0)+ROUND((ROUND((_15_同援日１．５＿１．５*_15・基礎２),0)*(1+_15・盲ろう)),0)</f>
        <v>951</v>
      </c>
      <c r="AA277" s="48"/>
    </row>
    <row r="278" spans="1:27" ht="16.5" customHeight="1" x14ac:dyDescent="0.15">
      <c r="A278" s="41">
        <v>15</v>
      </c>
      <c r="B278" s="41" t="s">
        <v>22515</v>
      </c>
      <c r="C278" s="74" t="s">
        <v>22516</v>
      </c>
      <c r="D278" s="72"/>
      <c r="F278" s="57"/>
      <c r="G278" s="72"/>
      <c r="I278" s="57"/>
      <c r="J278" s="269" t="s">
        <v>17560</v>
      </c>
      <c r="K278" s="37" t="s">
        <v>398</v>
      </c>
      <c r="L278" s="38">
        <v>0.9</v>
      </c>
      <c r="M278" s="299" t="s">
        <v>17556</v>
      </c>
      <c r="N278" s="45" t="s">
        <v>398</v>
      </c>
      <c r="O278" s="46">
        <v>1</v>
      </c>
      <c r="P278" s="512"/>
      <c r="Q278" s="57"/>
      <c r="R278" s="43"/>
      <c r="S278" s="37"/>
      <c r="T278" s="38"/>
      <c r="U278" s="79"/>
      <c r="V278" s="43"/>
      <c r="W278" s="37"/>
      <c r="X278" s="38"/>
      <c r="Y278" s="79"/>
      <c r="Z278" s="208">
        <f>ROUND((ROUND((ROUND((ROUND((_15_同援日１．５*_15・基礎２),0)*_15・２人),0)*(1+_15・A深夜)),0)*(1+_15・盲ろう)),0)+ROUND((ROUND((ROUND((_15_同援日１．５＿１．５*_15・基礎２),0)*_15・２人),0)*(1+_15・盲ろう)),0)</f>
        <v>951</v>
      </c>
      <c r="AA278" s="48"/>
    </row>
    <row r="279" spans="1:27" ht="16.5" customHeight="1" x14ac:dyDescent="0.15">
      <c r="A279" s="41">
        <v>15</v>
      </c>
      <c r="B279" s="41" t="s">
        <v>22517</v>
      </c>
      <c r="C279" s="74" t="s">
        <v>22518</v>
      </c>
      <c r="D279" s="72"/>
      <c r="F279" s="57"/>
      <c r="G279" s="72"/>
      <c r="I279" s="57"/>
      <c r="J279" s="53"/>
      <c r="K279" s="49"/>
      <c r="L279" s="50"/>
      <c r="M279" s="163"/>
      <c r="N279" s="45"/>
      <c r="O279" s="46"/>
      <c r="P279" s="512"/>
      <c r="Q279" s="57"/>
      <c r="R279" s="53"/>
      <c r="S279" s="49"/>
      <c r="T279" s="50"/>
      <c r="U279" s="115"/>
      <c r="V279" s="53"/>
      <c r="W279" s="49"/>
      <c r="X279" s="50"/>
      <c r="Y279" s="115"/>
      <c r="Z279" s="208">
        <f>ROUND((ROUND((_15_同援日１．５*(1+_15・A深夜)),0)*(1+_15・区３)),0)+ROUND((_15_同援日１．５＿１．５*(1+_15・区３)),0)</f>
        <v>1014</v>
      </c>
      <c r="AA279" s="48"/>
    </row>
    <row r="280" spans="1:27" ht="16.5" customHeight="1" x14ac:dyDescent="0.15">
      <c r="A280" s="41">
        <v>15</v>
      </c>
      <c r="B280" s="41" t="s">
        <v>22519</v>
      </c>
      <c r="C280" s="74" t="s">
        <v>22520</v>
      </c>
      <c r="D280" s="72"/>
      <c r="F280" s="57"/>
      <c r="G280" s="72"/>
      <c r="I280" s="57"/>
      <c r="J280" s="43"/>
      <c r="K280" s="37"/>
      <c r="L280" s="38"/>
      <c r="M280" s="299" t="s">
        <v>17556</v>
      </c>
      <c r="N280" s="45" t="s">
        <v>398</v>
      </c>
      <c r="O280" s="46">
        <v>1</v>
      </c>
      <c r="P280" s="512"/>
      <c r="Q280" s="57"/>
      <c r="R280" s="35"/>
      <c r="U280" s="57"/>
      <c r="V280" s="35"/>
      <c r="Y280" s="57"/>
      <c r="Z280" s="208">
        <f>ROUND((ROUND((ROUND((_15_同援日１．５*_15・２人),0)*(1+_15・A深夜)),0)*(1+_15・区３)),0)+ROUND((ROUND((_15_同援日１．５＿１．５*_15・２人),0)*(1+_15・区３)),0)</f>
        <v>1014</v>
      </c>
      <c r="AA280" s="48"/>
    </row>
    <row r="281" spans="1:27" ht="16.5" customHeight="1" x14ac:dyDescent="0.15">
      <c r="A281" s="41">
        <v>15</v>
      </c>
      <c r="B281" s="41" t="s">
        <v>22521</v>
      </c>
      <c r="C281" s="74" t="s">
        <v>22522</v>
      </c>
      <c r="D281" s="72"/>
      <c r="F281" s="57"/>
      <c r="G281" s="72"/>
      <c r="I281" s="57"/>
      <c r="J281" s="114" t="s">
        <v>17558</v>
      </c>
      <c r="K281" s="49"/>
      <c r="L281" s="50"/>
      <c r="M281" s="163"/>
      <c r="N281" s="45"/>
      <c r="O281" s="46"/>
      <c r="P281" s="512"/>
      <c r="Q281" s="57"/>
      <c r="R281" s="35"/>
      <c r="U281" s="57"/>
      <c r="V281" s="72" t="s">
        <v>17570</v>
      </c>
      <c r="Y281" s="57"/>
      <c r="Z281" s="208">
        <f>ROUND((ROUND((ROUND((_15_同援日１．５*_15・基礎２),0)*(1+_15・A深夜)),0)*(1+_15・区３)),0)+ROUND((ROUND((_15_同援日１．５＿１．５*_15・基礎２),0)*(1+_15・区３)),0)</f>
        <v>913</v>
      </c>
      <c r="AA281" s="48"/>
    </row>
    <row r="282" spans="1:27" ht="16.5" customHeight="1" x14ac:dyDescent="0.15">
      <c r="A282" s="41">
        <v>15</v>
      </c>
      <c r="B282" s="41" t="s">
        <v>22523</v>
      </c>
      <c r="C282" s="74" t="s">
        <v>22524</v>
      </c>
      <c r="D282" s="72"/>
      <c r="F282" s="57"/>
      <c r="G282" s="72"/>
      <c r="I282" s="57"/>
      <c r="J282" s="269" t="s">
        <v>17560</v>
      </c>
      <c r="K282" s="37" t="s">
        <v>398</v>
      </c>
      <c r="L282" s="38">
        <v>0.9</v>
      </c>
      <c r="M282" s="299" t="s">
        <v>17556</v>
      </c>
      <c r="N282" s="45" t="s">
        <v>398</v>
      </c>
      <c r="O282" s="46">
        <v>1</v>
      </c>
      <c r="P282" s="512"/>
      <c r="Q282" s="57"/>
      <c r="R282" s="43"/>
      <c r="S282" s="37"/>
      <c r="T282" s="38"/>
      <c r="U282" s="79"/>
      <c r="V282" s="72" t="s">
        <v>17572</v>
      </c>
      <c r="Y282" s="57"/>
      <c r="Z282" s="208">
        <f>ROUND((ROUND((ROUND((ROUND((_15_同援日１．５*_15・基礎２),0)*_15・２人),0)*(1+_15・A深夜)),0)*(1+_15・区３)),0)+ROUND((ROUND((ROUND((_15_同援日１．５＿１．５*_15・基礎２),0)*_15・２人),0)*(1+_15・区３)),0)</f>
        <v>913</v>
      </c>
      <c r="AA282" s="48"/>
    </row>
    <row r="283" spans="1:27" ht="16.5" customHeight="1" x14ac:dyDescent="0.15">
      <c r="A283" s="41">
        <v>15</v>
      </c>
      <c r="B283" s="41" t="s">
        <v>22525</v>
      </c>
      <c r="C283" s="74" t="s">
        <v>22526</v>
      </c>
      <c r="D283" s="72"/>
      <c r="F283" s="57"/>
      <c r="G283" s="72"/>
      <c r="I283" s="57"/>
      <c r="J283" s="53"/>
      <c r="K283" s="49"/>
      <c r="L283" s="50"/>
      <c r="M283" s="163"/>
      <c r="N283" s="45"/>
      <c r="O283" s="46"/>
      <c r="P283" s="512"/>
      <c r="Q283" s="57"/>
      <c r="R283" s="114" t="s">
        <v>17562</v>
      </c>
      <c r="S283" s="49"/>
      <c r="T283" s="50"/>
      <c r="U283" s="115"/>
      <c r="V283" s="35"/>
      <c r="W283" s="12" t="s">
        <v>398</v>
      </c>
      <c r="X283" s="13">
        <v>0.2</v>
      </c>
      <c r="Y283" s="57" t="s">
        <v>3575</v>
      </c>
      <c r="Z283" s="208">
        <f>ROUND((ROUND((ROUND((_15_同援日１．５*(1+_15・A深夜)),0)*(1+_15・盲ろう)),0)*(1+_15・区３)),0)+ROUND((ROUND((_15_同援日１．５＿１．５*(1+_15・盲ろう)),0)*(1+_15・区３)),0)</f>
        <v>1269</v>
      </c>
      <c r="AA283" s="48"/>
    </row>
    <row r="284" spans="1:27" ht="16.5" customHeight="1" x14ac:dyDescent="0.15">
      <c r="A284" s="41">
        <v>15</v>
      </c>
      <c r="B284" s="41" t="s">
        <v>22527</v>
      </c>
      <c r="C284" s="74" t="s">
        <v>22528</v>
      </c>
      <c r="D284" s="72"/>
      <c r="F284" s="57"/>
      <c r="G284" s="72"/>
      <c r="I284" s="57"/>
      <c r="J284" s="43"/>
      <c r="K284" s="37"/>
      <c r="L284" s="38"/>
      <c r="M284" s="299" t="s">
        <v>17556</v>
      </c>
      <c r="N284" s="45" t="s">
        <v>398</v>
      </c>
      <c r="O284" s="46">
        <v>1</v>
      </c>
      <c r="P284" s="512"/>
      <c r="Q284" s="57"/>
      <c r="R284" s="92" t="s">
        <v>17564</v>
      </c>
      <c r="U284" s="57"/>
      <c r="V284" s="35"/>
      <c r="Y284" s="57"/>
      <c r="Z284" s="208">
        <f>ROUND((ROUND((ROUND((ROUND((_15_同援日１．５*_15・２人),0)*(1+_15・A深夜)),0)*(1+_15・盲ろう)),0)*(1+_15・区３)),0)+ROUND((ROUND((ROUND((_15_同援日１．５＿１．５*_15・２人),0)*(1+_15・盲ろう)),0)*(1+_15・区３)),0)</f>
        <v>1269</v>
      </c>
      <c r="AA284" s="48"/>
    </row>
    <row r="285" spans="1:27" ht="16.5" customHeight="1" x14ac:dyDescent="0.15">
      <c r="A285" s="41">
        <v>15</v>
      </c>
      <c r="B285" s="41" t="s">
        <v>22529</v>
      </c>
      <c r="C285" s="74" t="s">
        <v>22530</v>
      </c>
      <c r="D285" s="72"/>
      <c r="F285" s="57"/>
      <c r="G285" s="72"/>
      <c r="I285" s="57"/>
      <c r="J285" s="114" t="s">
        <v>17558</v>
      </c>
      <c r="K285" s="49"/>
      <c r="L285" s="50"/>
      <c r="M285" s="163"/>
      <c r="N285" s="45"/>
      <c r="O285" s="46"/>
      <c r="P285" s="512"/>
      <c r="Q285" s="57"/>
      <c r="R285" s="35"/>
      <c r="S285" s="12" t="s">
        <v>398</v>
      </c>
      <c r="T285" s="13">
        <v>0.25</v>
      </c>
      <c r="U285" s="57" t="s">
        <v>3575</v>
      </c>
      <c r="V285" s="35"/>
      <c r="Y285" s="57"/>
      <c r="Z285" s="208">
        <f>ROUND((ROUND((ROUND((ROUND((_15_同援日１．５*_15・基礎２),0)*(1+_15・A深夜)),0)*(1+_15・盲ろう)),0)*(1+_15・区３)),0)+ROUND((ROUND((ROUND((_15_同援日１．５＿１．５*_15・基礎２),0)*(1+_15・盲ろう)),0)*(1+_15・区３)),0)</f>
        <v>1141</v>
      </c>
      <c r="AA285" s="48"/>
    </row>
    <row r="286" spans="1:27" ht="16.5" customHeight="1" x14ac:dyDescent="0.15">
      <c r="A286" s="41">
        <v>15</v>
      </c>
      <c r="B286" s="41" t="s">
        <v>22531</v>
      </c>
      <c r="C286" s="74" t="s">
        <v>22532</v>
      </c>
      <c r="D286" s="72"/>
      <c r="F286" s="57"/>
      <c r="G286" s="72"/>
      <c r="I286" s="57"/>
      <c r="J286" s="269" t="s">
        <v>17560</v>
      </c>
      <c r="K286" s="37" t="s">
        <v>398</v>
      </c>
      <c r="L286" s="38">
        <v>0.9</v>
      </c>
      <c r="M286" s="299" t="s">
        <v>17556</v>
      </c>
      <c r="N286" s="45" t="s">
        <v>398</v>
      </c>
      <c r="O286" s="46">
        <v>1</v>
      </c>
      <c r="P286" s="512"/>
      <c r="Q286" s="57"/>
      <c r="R286" s="43"/>
      <c r="S286" s="37"/>
      <c r="T286" s="38"/>
      <c r="U286" s="79"/>
      <c r="V286" s="43"/>
      <c r="W286" s="37"/>
      <c r="X286" s="38"/>
      <c r="Y286" s="79"/>
      <c r="Z286" s="208">
        <f>ROUND((ROUND((ROUND((ROUND((ROUND((_15_同援日１．５*_15・基礎２),0)*_15・２人),0)*(1+_15・A深夜)),0)*(1+_15・盲ろう)),0)*(1+_15・区３)),0)+ROUND((ROUND((ROUND((ROUND((_15_同援日１．５＿１．５*_15・基礎２),0)*_15・２人),0)*(1+_15・盲ろう)),0)*(1+_15・区３)),0)</f>
        <v>1141</v>
      </c>
      <c r="AA286" s="48"/>
    </row>
    <row r="287" spans="1:27" ht="16.5" customHeight="1" x14ac:dyDescent="0.15">
      <c r="A287" s="41">
        <v>15</v>
      </c>
      <c r="B287" s="41" t="s">
        <v>22533</v>
      </c>
      <c r="C287" s="74" t="s">
        <v>22534</v>
      </c>
      <c r="D287" s="72"/>
      <c r="F287" s="57"/>
      <c r="G287" s="72"/>
      <c r="I287" s="57"/>
      <c r="J287" s="53"/>
      <c r="K287" s="49"/>
      <c r="L287" s="50"/>
      <c r="M287" s="163"/>
      <c r="N287" s="45"/>
      <c r="O287" s="46"/>
      <c r="P287" s="512"/>
      <c r="Q287" s="57"/>
      <c r="R287" s="53"/>
      <c r="S287" s="49"/>
      <c r="T287" s="50"/>
      <c r="U287" s="115"/>
      <c r="V287" s="53"/>
      <c r="W287" s="49"/>
      <c r="X287" s="50"/>
      <c r="Y287" s="115"/>
      <c r="Z287" s="208">
        <f>ROUND((ROUND((_15_同援日１．５*(1+_15・A深夜)),0)*(1+_15・区４)),0)+ROUND((_15_同援日１．５＿１．５*(1+_15・区４)),0)</f>
        <v>1183</v>
      </c>
      <c r="AA287" s="48"/>
    </row>
    <row r="288" spans="1:27" ht="16.5" customHeight="1" x14ac:dyDescent="0.15">
      <c r="A288" s="41">
        <v>15</v>
      </c>
      <c r="B288" s="41" t="s">
        <v>22535</v>
      </c>
      <c r="C288" s="74" t="s">
        <v>22536</v>
      </c>
      <c r="D288" s="72"/>
      <c r="F288" s="57"/>
      <c r="G288" s="72"/>
      <c r="I288" s="57"/>
      <c r="J288" s="43"/>
      <c r="K288" s="37"/>
      <c r="L288" s="38"/>
      <c r="M288" s="299" t="s">
        <v>17556</v>
      </c>
      <c r="N288" s="45" t="s">
        <v>398</v>
      </c>
      <c r="O288" s="46">
        <v>1</v>
      </c>
      <c r="P288" s="512"/>
      <c r="Q288" s="57"/>
      <c r="R288" s="35"/>
      <c r="U288" s="57"/>
      <c r="V288" s="35"/>
      <c r="Y288" s="57"/>
      <c r="Z288" s="208">
        <f>ROUND((ROUND((ROUND((_15_同援日１．５*_15・２人),0)*(1+_15・A深夜)),0)*(1+_15・区４)),0)+ROUND((ROUND((_15_同援日１．５＿１．５*_15・２人),0)*(1+_15・区４)),0)</f>
        <v>1183</v>
      </c>
      <c r="AA288" s="48"/>
    </row>
    <row r="289" spans="1:27" ht="16.5" customHeight="1" x14ac:dyDescent="0.15">
      <c r="A289" s="41">
        <v>15</v>
      </c>
      <c r="B289" s="41" t="s">
        <v>1381</v>
      </c>
      <c r="C289" s="74" t="s">
        <v>22537</v>
      </c>
      <c r="D289" s="72"/>
      <c r="F289" s="57"/>
      <c r="G289" s="72"/>
      <c r="I289" s="57"/>
      <c r="J289" s="114" t="s">
        <v>17558</v>
      </c>
      <c r="K289" s="49"/>
      <c r="L289" s="50"/>
      <c r="M289" s="163"/>
      <c r="N289" s="45"/>
      <c r="O289" s="46"/>
      <c r="P289" s="512"/>
      <c r="Q289" s="57"/>
      <c r="R289" s="35"/>
      <c r="U289" s="57"/>
      <c r="V289" s="72" t="s">
        <v>17580</v>
      </c>
      <c r="Y289" s="57"/>
      <c r="Z289" s="208">
        <f>ROUND((ROUND((ROUND((_15_同援日１．５*_15・基礎２),0)*(1+_15・A深夜)),0)*(1+_15・区４)),0)+ROUND((ROUND((_15_同援日１．５＿１．５*_15・基礎２),0)*(1+_15・区４)),0)</f>
        <v>1065</v>
      </c>
      <c r="AA289" s="48"/>
    </row>
    <row r="290" spans="1:27" ht="16.5" customHeight="1" x14ac:dyDescent="0.15">
      <c r="A290" s="41">
        <v>15</v>
      </c>
      <c r="B290" s="41" t="s">
        <v>1383</v>
      </c>
      <c r="C290" s="74" t="s">
        <v>22538</v>
      </c>
      <c r="D290" s="72"/>
      <c r="F290" s="57"/>
      <c r="G290" s="72"/>
      <c r="I290" s="57"/>
      <c r="J290" s="269" t="s">
        <v>17560</v>
      </c>
      <c r="K290" s="37" t="s">
        <v>398</v>
      </c>
      <c r="L290" s="38">
        <v>0.9</v>
      </c>
      <c r="M290" s="299" t="s">
        <v>17556</v>
      </c>
      <c r="N290" s="45" t="s">
        <v>398</v>
      </c>
      <c r="O290" s="46">
        <v>1</v>
      </c>
      <c r="P290" s="512"/>
      <c r="Q290" s="57"/>
      <c r="R290" s="43"/>
      <c r="S290" s="37"/>
      <c r="T290" s="38"/>
      <c r="U290" s="79"/>
      <c r="V290" s="72" t="s">
        <v>17572</v>
      </c>
      <c r="Y290" s="57"/>
      <c r="Z290" s="208">
        <f>ROUND((ROUND((ROUND((ROUND((_15_同援日１．５*_15・基礎２),0)*_15・２人),0)*(1+_15・A深夜)),0)*(1+_15・区４)),0)+ROUND((ROUND((ROUND((_15_同援日１．５＿１．５*_15・基礎２),0)*_15・２人),0)*(1+_15・区４)),0)</f>
        <v>1065</v>
      </c>
      <c r="AA290" s="48"/>
    </row>
    <row r="291" spans="1:27" ht="16.5" customHeight="1" x14ac:dyDescent="0.15">
      <c r="A291" s="41">
        <v>15</v>
      </c>
      <c r="B291" s="41" t="s">
        <v>1385</v>
      </c>
      <c r="C291" s="74" t="s">
        <v>22539</v>
      </c>
      <c r="D291" s="72"/>
      <c r="F291" s="57"/>
      <c r="G291" s="72"/>
      <c r="I291" s="57"/>
      <c r="J291" s="53"/>
      <c r="K291" s="49"/>
      <c r="L291" s="50"/>
      <c r="M291" s="163"/>
      <c r="N291" s="45"/>
      <c r="O291" s="46"/>
      <c r="P291" s="512"/>
      <c r="Q291" s="57"/>
      <c r="R291" s="114" t="s">
        <v>17562</v>
      </c>
      <c r="S291" s="49"/>
      <c r="T291" s="50"/>
      <c r="U291" s="115"/>
      <c r="V291" s="35"/>
      <c r="W291" s="12" t="s">
        <v>398</v>
      </c>
      <c r="X291" s="13">
        <v>0.4</v>
      </c>
      <c r="Y291" s="57" t="s">
        <v>3575</v>
      </c>
      <c r="Z291" s="208">
        <f>ROUND((ROUND((ROUND((_15_同援日１．５*(1+_15・A深夜)),0)*(1+_15・盲ろう)),0)*(1+_15・区４)),0)+ROUND((ROUND((_15_同援日１．５＿１．５*(1+_15・盲ろう)),0)*(1+_15・区４)),0)</f>
        <v>1480</v>
      </c>
      <c r="AA291" s="48"/>
    </row>
    <row r="292" spans="1:27" ht="16.5" customHeight="1" x14ac:dyDescent="0.15">
      <c r="A292" s="41">
        <v>15</v>
      </c>
      <c r="B292" s="41" t="s">
        <v>1387</v>
      </c>
      <c r="C292" s="74" t="s">
        <v>22540</v>
      </c>
      <c r="D292" s="72"/>
      <c r="F292" s="57"/>
      <c r="G292" s="72"/>
      <c r="I292" s="57"/>
      <c r="J292" s="43"/>
      <c r="K292" s="37"/>
      <c r="L292" s="38"/>
      <c r="M292" s="299" t="s">
        <v>17556</v>
      </c>
      <c r="N292" s="45" t="s">
        <v>398</v>
      </c>
      <c r="O292" s="46">
        <v>1</v>
      </c>
      <c r="P292" s="512"/>
      <c r="Q292" s="57"/>
      <c r="R292" s="92" t="s">
        <v>17564</v>
      </c>
      <c r="U292" s="57"/>
      <c r="V292" s="35"/>
      <c r="Y292" s="57"/>
      <c r="Z292" s="208">
        <f>ROUND((ROUND((ROUND((ROUND((_15_同援日１．５*_15・２人),0)*(1+_15・A深夜)),0)*(1+_15・盲ろう)),0)*(1+_15・区４)),0)+ROUND((ROUND((ROUND((_15_同援日１．５＿１．５*_15・２人),0)*(1+_15・盲ろう)),0)*(1+_15・区４)),0)</f>
        <v>1480</v>
      </c>
      <c r="AA292" s="48"/>
    </row>
    <row r="293" spans="1:27" ht="16.5" customHeight="1" x14ac:dyDescent="0.15">
      <c r="A293" s="41">
        <v>15</v>
      </c>
      <c r="B293" s="41" t="s">
        <v>22541</v>
      </c>
      <c r="C293" s="74" t="s">
        <v>22542</v>
      </c>
      <c r="D293" s="72"/>
      <c r="F293" s="57"/>
      <c r="G293" s="72"/>
      <c r="I293" s="57"/>
      <c r="J293" s="114" t="s">
        <v>17558</v>
      </c>
      <c r="K293" s="49"/>
      <c r="L293" s="50"/>
      <c r="M293" s="163"/>
      <c r="N293" s="45"/>
      <c r="O293" s="46"/>
      <c r="P293" s="512"/>
      <c r="Q293" s="57"/>
      <c r="R293" s="35"/>
      <c r="S293" s="12" t="s">
        <v>398</v>
      </c>
      <c r="T293" s="13">
        <v>0.25</v>
      </c>
      <c r="U293" s="57" t="s">
        <v>3575</v>
      </c>
      <c r="V293" s="35"/>
      <c r="Y293" s="57"/>
      <c r="Z293" s="208">
        <f>ROUND((ROUND((ROUND((ROUND((_15_同援日１．５*_15・基礎２),0)*(1+_15・A深夜)),0)*(1+_15・盲ろう)),0)*(1+_15・区４)),0)+ROUND((ROUND((ROUND((_15_同援日１．５＿１．５*_15・基礎２),0)*(1+_15・盲ろう)),0)*(1+_15・区４)),0)</f>
        <v>1331</v>
      </c>
      <c r="AA293" s="48"/>
    </row>
    <row r="294" spans="1:27" ht="16.5" customHeight="1" x14ac:dyDescent="0.15">
      <c r="A294" s="41">
        <v>15</v>
      </c>
      <c r="B294" s="41" t="s">
        <v>22543</v>
      </c>
      <c r="C294" s="74" t="s">
        <v>22544</v>
      </c>
      <c r="D294" s="122"/>
      <c r="E294" s="37"/>
      <c r="F294" s="79"/>
      <c r="G294" s="122"/>
      <c r="H294" s="37"/>
      <c r="I294" s="79"/>
      <c r="J294" s="269" t="s">
        <v>17560</v>
      </c>
      <c r="K294" s="37" t="s">
        <v>398</v>
      </c>
      <c r="L294" s="38">
        <v>0.9</v>
      </c>
      <c r="M294" s="299" t="s">
        <v>17556</v>
      </c>
      <c r="N294" s="45" t="s">
        <v>398</v>
      </c>
      <c r="O294" s="46">
        <v>1</v>
      </c>
      <c r="P294" s="514"/>
      <c r="Q294" s="79"/>
      <c r="R294" s="43"/>
      <c r="S294" s="37"/>
      <c r="T294" s="38"/>
      <c r="U294" s="79"/>
      <c r="V294" s="43"/>
      <c r="W294" s="37"/>
      <c r="X294" s="38"/>
      <c r="Y294" s="79"/>
      <c r="Z294" s="208">
        <f>ROUND((ROUND((ROUND((ROUND((ROUND((_15_同援日１．５*_15・基礎２),0)*_15・２人),0)*(1+_15・A深夜)),0)*(1+_15・盲ろう)),0)*(1+_15・区４)),0)+ROUND((ROUND((ROUND((ROUND((_15_同援日１．５＿１．５*_15・基礎２),0)*_15・２人),0)*(1+_15・盲ろう)),0)*(1+_15・区４)),0)</f>
        <v>1331</v>
      </c>
      <c r="AA294" s="63"/>
    </row>
    <row r="295" spans="1:27" ht="16.5" customHeight="1" x14ac:dyDescent="0.15">
      <c r="A295" s="41">
        <v>15</v>
      </c>
      <c r="B295" s="41" t="s">
        <v>22545</v>
      </c>
      <c r="C295" s="74" t="s">
        <v>22546</v>
      </c>
      <c r="D295" s="114" t="s">
        <v>18563</v>
      </c>
      <c r="E295" s="49"/>
      <c r="F295" s="115"/>
      <c r="G295" s="114" t="s">
        <v>19187</v>
      </c>
      <c r="H295" s="49"/>
      <c r="I295" s="115"/>
      <c r="J295" s="53"/>
      <c r="K295" s="49"/>
      <c r="L295" s="50"/>
      <c r="M295" s="163"/>
      <c r="N295" s="45"/>
      <c r="O295" s="46"/>
      <c r="P295" s="515"/>
      <c r="Q295" s="115"/>
      <c r="R295" s="53"/>
      <c r="S295" s="49"/>
      <c r="T295" s="50"/>
      <c r="U295" s="115"/>
      <c r="V295" s="53"/>
      <c r="W295" s="49"/>
      <c r="X295" s="50"/>
      <c r="Y295" s="115"/>
      <c r="Z295" s="208">
        <f>ROUND((_15_同援日２．０*(1+_15・A深夜)),0)+_15_同援日２．０＿０．５</f>
        <v>812</v>
      </c>
      <c r="AA295" s="64"/>
    </row>
    <row r="296" spans="1:27" ht="16.5" customHeight="1" x14ac:dyDescent="0.15">
      <c r="A296" s="41">
        <v>15</v>
      </c>
      <c r="B296" s="41" t="s">
        <v>22547</v>
      </c>
      <c r="C296" s="74" t="s">
        <v>22548</v>
      </c>
      <c r="D296" s="72" t="s">
        <v>17643</v>
      </c>
      <c r="F296" s="57"/>
      <c r="G296" s="72" t="s">
        <v>18259</v>
      </c>
      <c r="I296" s="57"/>
      <c r="J296" s="43"/>
      <c r="K296" s="37"/>
      <c r="L296" s="38"/>
      <c r="M296" s="299" t="s">
        <v>17556</v>
      </c>
      <c r="N296" s="45" t="s">
        <v>398</v>
      </c>
      <c r="O296" s="46">
        <v>1</v>
      </c>
      <c r="P296" s="512"/>
      <c r="Q296" s="57"/>
      <c r="R296" s="35"/>
      <c r="U296" s="57"/>
      <c r="V296" s="35"/>
      <c r="Y296" s="57"/>
      <c r="Z296" s="208">
        <f>ROUND((ROUND((_15_同援日２．０*_15・２人),0)*(1+_15・A深夜)),0)+ROUND((_15_同援日２．０＿０．５*_15・２人),0)</f>
        <v>812</v>
      </c>
      <c r="AA296" s="48"/>
    </row>
    <row r="297" spans="1:27" ht="16.5" customHeight="1" x14ac:dyDescent="0.15">
      <c r="A297" s="41">
        <v>15</v>
      </c>
      <c r="B297" s="41" t="s">
        <v>22549</v>
      </c>
      <c r="C297" s="74" t="s">
        <v>22550</v>
      </c>
      <c r="D297" s="72" t="s">
        <v>17645</v>
      </c>
      <c r="F297" s="57"/>
      <c r="G297" s="72"/>
      <c r="I297" s="57"/>
      <c r="J297" s="114" t="s">
        <v>17558</v>
      </c>
      <c r="K297" s="49"/>
      <c r="L297" s="50"/>
      <c r="M297" s="163"/>
      <c r="N297" s="45"/>
      <c r="O297" s="46"/>
      <c r="P297" s="512"/>
      <c r="Q297" s="57"/>
      <c r="R297" s="35"/>
      <c r="U297" s="57"/>
      <c r="V297" s="35"/>
      <c r="Y297" s="57"/>
      <c r="Z297" s="208">
        <f>ROUND((ROUND((_15_同援日２．０*_15・基礎２),0)*(1+_15・A深夜)),0)+ROUND((_15_同援日２．０＿０．５*_15・基礎２),0)</f>
        <v>731</v>
      </c>
      <c r="AA297" s="48"/>
    </row>
    <row r="298" spans="1:27" ht="16.5" customHeight="1" x14ac:dyDescent="0.15">
      <c r="A298" s="41">
        <v>15</v>
      </c>
      <c r="B298" s="41" t="s">
        <v>22551</v>
      </c>
      <c r="C298" s="74" t="s">
        <v>22552</v>
      </c>
      <c r="D298" s="72"/>
      <c r="E298" s="168">
        <f>_15_同援日２．０</f>
        <v>498</v>
      </c>
      <c r="F298" s="57" t="s">
        <v>392</v>
      </c>
      <c r="G298" s="72"/>
      <c r="H298" s="168">
        <f>_15_同援日２．０＿０．５</f>
        <v>65</v>
      </c>
      <c r="I298" s="57" t="s">
        <v>392</v>
      </c>
      <c r="J298" s="269" t="s">
        <v>17560</v>
      </c>
      <c r="K298" s="37" t="s">
        <v>398</v>
      </c>
      <c r="L298" s="38">
        <v>0.9</v>
      </c>
      <c r="M298" s="299" t="s">
        <v>17556</v>
      </c>
      <c r="N298" s="45" t="s">
        <v>398</v>
      </c>
      <c r="O298" s="46">
        <v>1</v>
      </c>
      <c r="P298" s="512"/>
      <c r="Q298" s="57"/>
      <c r="R298" s="43"/>
      <c r="S298" s="37"/>
      <c r="T298" s="38"/>
      <c r="U298" s="79"/>
      <c r="V298" s="35"/>
      <c r="Y298" s="57"/>
      <c r="Z298" s="208">
        <f>ROUND((ROUND((ROUND((_15_同援日２．０*_15・基礎２),0)*_15・２人),0)*(1+_15・A深夜)),0)+ROUND((ROUND((_15_同援日２．０＿０．５*_15・基礎２),0)*_15・２人),0)</f>
        <v>731</v>
      </c>
      <c r="AA298" s="48"/>
    </row>
    <row r="299" spans="1:27" ht="16.5" customHeight="1" x14ac:dyDescent="0.15">
      <c r="A299" s="41">
        <v>15</v>
      </c>
      <c r="B299" s="41" t="s">
        <v>22553</v>
      </c>
      <c r="C299" s="74" t="s">
        <v>22554</v>
      </c>
      <c r="D299" s="72"/>
      <c r="F299" s="57"/>
      <c r="G299" s="72"/>
      <c r="I299" s="57"/>
      <c r="J299" s="53"/>
      <c r="K299" s="49"/>
      <c r="L299" s="50"/>
      <c r="M299" s="163"/>
      <c r="N299" s="45"/>
      <c r="O299" s="46"/>
      <c r="P299" s="512"/>
      <c r="Q299" s="57"/>
      <c r="R299" s="114" t="s">
        <v>17562</v>
      </c>
      <c r="S299" s="49"/>
      <c r="T299" s="50"/>
      <c r="U299" s="115"/>
      <c r="V299" s="35"/>
      <c r="Y299" s="57"/>
      <c r="Z299" s="208">
        <f>ROUND((ROUND((_15_同援日２．０*(1+_15・A深夜)),0)*(1+_15・盲ろう)),0)+ROUND((_15_同援日２．０＿０．５*(1+_15・盲ろう)),0)</f>
        <v>1015</v>
      </c>
      <c r="AA299" s="48"/>
    </row>
    <row r="300" spans="1:27" ht="16.5" customHeight="1" x14ac:dyDescent="0.15">
      <c r="A300" s="41">
        <v>15</v>
      </c>
      <c r="B300" s="41" t="s">
        <v>22555</v>
      </c>
      <c r="C300" s="74" t="s">
        <v>22556</v>
      </c>
      <c r="D300" s="72"/>
      <c r="F300" s="57"/>
      <c r="G300" s="72"/>
      <c r="I300" s="57"/>
      <c r="J300" s="43"/>
      <c r="K300" s="37"/>
      <c r="L300" s="38"/>
      <c r="M300" s="299" t="s">
        <v>17556</v>
      </c>
      <c r="N300" s="45" t="s">
        <v>398</v>
      </c>
      <c r="O300" s="46">
        <v>1</v>
      </c>
      <c r="P300" s="512"/>
      <c r="Q300" s="57"/>
      <c r="R300" s="92" t="s">
        <v>17564</v>
      </c>
      <c r="U300" s="57"/>
      <c r="V300" s="35"/>
      <c r="Y300" s="57"/>
      <c r="Z300" s="208">
        <f>ROUND((ROUND((ROUND((_15_同援日２．０*_15・２人),0)*(1+_15・A深夜)),0)*(1+_15・盲ろう)),0)+ROUND((ROUND((_15_同援日２．０＿０．５*_15・２人),0)*(1+_15・盲ろう)),0)</f>
        <v>1015</v>
      </c>
      <c r="AA300" s="48"/>
    </row>
    <row r="301" spans="1:27" ht="16.5" customHeight="1" x14ac:dyDescent="0.15">
      <c r="A301" s="41">
        <v>15</v>
      </c>
      <c r="B301" s="41" t="s">
        <v>22557</v>
      </c>
      <c r="C301" s="74" t="s">
        <v>22558</v>
      </c>
      <c r="D301" s="72"/>
      <c r="F301" s="57"/>
      <c r="G301" s="72"/>
      <c r="I301" s="57"/>
      <c r="J301" s="114" t="s">
        <v>17558</v>
      </c>
      <c r="K301" s="49"/>
      <c r="L301" s="50"/>
      <c r="M301" s="163"/>
      <c r="N301" s="45"/>
      <c r="O301" s="46"/>
      <c r="P301" s="512"/>
      <c r="Q301" s="57"/>
      <c r="R301" s="35"/>
      <c r="S301" s="12" t="s">
        <v>398</v>
      </c>
      <c r="T301" s="13">
        <v>0.25</v>
      </c>
      <c r="U301" s="57" t="s">
        <v>3575</v>
      </c>
      <c r="V301" s="35"/>
      <c r="Y301" s="57"/>
      <c r="Z301" s="208">
        <f>ROUND((ROUND((ROUND((_15_同援日２．０*_15・基礎２),0)*(1+_15・A深夜)),0)*(1+_15・盲ろう)),0)+ROUND((ROUND((_15_同援日２．０＿０．５*_15・基礎２),0)*(1+_15・盲ろう)),0)</f>
        <v>914</v>
      </c>
      <c r="AA301" s="48"/>
    </row>
    <row r="302" spans="1:27" ht="16.5" customHeight="1" x14ac:dyDescent="0.15">
      <c r="A302" s="41">
        <v>15</v>
      </c>
      <c r="B302" s="41" t="s">
        <v>22559</v>
      </c>
      <c r="C302" s="74" t="s">
        <v>22560</v>
      </c>
      <c r="D302" s="72"/>
      <c r="F302" s="57"/>
      <c r="G302" s="72"/>
      <c r="I302" s="57"/>
      <c r="J302" s="269" t="s">
        <v>17560</v>
      </c>
      <c r="K302" s="37" t="s">
        <v>398</v>
      </c>
      <c r="L302" s="38">
        <v>0.9</v>
      </c>
      <c r="M302" s="299" t="s">
        <v>17556</v>
      </c>
      <c r="N302" s="45" t="s">
        <v>398</v>
      </c>
      <c r="O302" s="46">
        <v>1</v>
      </c>
      <c r="P302" s="512"/>
      <c r="Q302" s="57"/>
      <c r="R302" s="43"/>
      <c r="S302" s="37"/>
      <c r="T302" s="38"/>
      <c r="U302" s="79"/>
      <c r="V302" s="43"/>
      <c r="W302" s="37"/>
      <c r="X302" s="38"/>
      <c r="Y302" s="79"/>
      <c r="Z302" s="208">
        <f>ROUND((ROUND((ROUND((ROUND((_15_同援日２．０*_15・基礎２),0)*_15・２人),0)*(1+_15・A深夜)),0)*(1+_15・盲ろう)),0)+ROUND((ROUND((ROUND((_15_同援日２．０＿０．５*_15・基礎２),0)*_15・２人),0)*(1+_15・盲ろう)),0)</f>
        <v>914</v>
      </c>
      <c r="AA302" s="48"/>
    </row>
    <row r="303" spans="1:27" ht="16.5" customHeight="1" x14ac:dyDescent="0.15">
      <c r="A303" s="41">
        <v>15</v>
      </c>
      <c r="B303" s="41" t="s">
        <v>22561</v>
      </c>
      <c r="C303" s="74" t="s">
        <v>22562</v>
      </c>
      <c r="D303" s="72"/>
      <c r="F303" s="57"/>
      <c r="G303" s="72"/>
      <c r="I303" s="57"/>
      <c r="J303" s="53"/>
      <c r="K303" s="49"/>
      <c r="L303" s="50"/>
      <c r="M303" s="163"/>
      <c r="N303" s="45"/>
      <c r="O303" s="46"/>
      <c r="P303" s="512"/>
      <c r="Q303" s="57"/>
      <c r="R303" s="53"/>
      <c r="S303" s="49"/>
      <c r="T303" s="50"/>
      <c r="U303" s="115"/>
      <c r="V303" s="53"/>
      <c r="W303" s="49"/>
      <c r="X303" s="50"/>
      <c r="Y303" s="115"/>
      <c r="Z303" s="208">
        <f>ROUND((ROUND((_15_同援日２．０*(1+_15・A深夜)),0)*(1+_15・区３)),0)+ROUND((_15_同援日２．０＿０．５*(1+_15・区３)),0)</f>
        <v>974</v>
      </c>
      <c r="AA303" s="48"/>
    </row>
    <row r="304" spans="1:27" ht="16.5" customHeight="1" x14ac:dyDescent="0.15">
      <c r="A304" s="41">
        <v>15</v>
      </c>
      <c r="B304" s="41" t="s">
        <v>22563</v>
      </c>
      <c r="C304" s="74" t="s">
        <v>22564</v>
      </c>
      <c r="D304" s="72"/>
      <c r="F304" s="57"/>
      <c r="G304" s="72"/>
      <c r="I304" s="57"/>
      <c r="J304" s="43"/>
      <c r="K304" s="37"/>
      <c r="L304" s="38"/>
      <c r="M304" s="299" t="s">
        <v>17556</v>
      </c>
      <c r="N304" s="45" t="s">
        <v>398</v>
      </c>
      <c r="O304" s="46">
        <v>1</v>
      </c>
      <c r="P304" s="512"/>
      <c r="Q304" s="57"/>
      <c r="R304" s="35"/>
      <c r="U304" s="57"/>
      <c r="V304" s="35"/>
      <c r="Y304" s="57"/>
      <c r="Z304" s="208">
        <f>ROUND((ROUND((ROUND((_15_同援日２．０*_15・２人),0)*(1+_15・A深夜)),0)*(1+_15・区３)),0)+ROUND((ROUND((_15_同援日２．０＿０．５*_15・２人),0)*(1+_15・区３)),0)</f>
        <v>974</v>
      </c>
      <c r="AA304" s="48"/>
    </row>
    <row r="305" spans="1:27" ht="16.5" customHeight="1" x14ac:dyDescent="0.15">
      <c r="A305" s="41">
        <v>15</v>
      </c>
      <c r="B305" s="41" t="s">
        <v>22565</v>
      </c>
      <c r="C305" s="74" t="s">
        <v>22566</v>
      </c>
      <c r="D305" s="72"/>
      <c r="F305" s="57"/>
      <c r="G305" s="72"/>
      <c r="I305" s="57"/>
      <c r="J305" s="114" t="s">
        <v>17558</v>
      </c>
      <c r="K305" s="49"/>
      <c r="L305" s="50"/>
      <c r="M305" s="163"/>
      <c r="N305" s="45"/>
      <c r="O305" s="46"/>
      <c r="P305" s="512"/>
      <c r="Q305" s="57"/>
      <c r="R305" s="35"/>
      <c r="U305" s="57"/>
      <c r="V305" s="72" t="s">
        <v>17570</v>
      </c>
      <c r="Y305" s="57"/>
      <c r="Z305" s="208">
        <f>ROUND((ROUND((ROUND((_15_同援日２．０*_15・基礎２),0)*(1+_15・A深夜)),0)*(1+_15・区３)),0)+ROUND((ROUND((_15_同援日２．０＿０．５*_15・基礎２),0)*(1+_15・区３)),0)</f>
        <v>877</v>
      </c>
      <c r="AA305" s="48"/>
    </row>
    <row r="306" spans="1:27" ht="16.5" customHeight="1" x14ac:dyDescent="0.15">
      <c r="A306" s="41">
        <v>15</v>
      </c>
      <c r="B306" s="41" t="s">
        <v>22567</v>
      </c>
      <c r="C306" s="74" t="s">
        <v>22568</v>
      </c>
      <c r="D306" s="72"/>
      <c r="F306" s="57"/>
      <c r="G306" s="72"/>
      <c r="I306" s="57"/>
      <c r="J306" s="269" t="s">
        <v>17560</v>
      </c>
      <c r="K306" s="37" t="s">
        <v>398</v>
      </c>
      <c r="L306" s="38">
        <v>0.9</v>
      </c>
      <c r="M306" s="299" t="s">
        <v>17556</v>
      </c>
      <c r="N306" s="45" t="s">
        <v>398</v>
      </c>
      <c r="O306" s="46">
        <v>1</v>
      </c>
      <c r="P306" s="512"/>
      <c r="Q306" s="57"/>
      <c r="R306" s="43"/>
      <c r="S306" s="37"/>
      <c r="T306" s="38"/>
      <c r="U306" s="79"/>
      <c r="V306" s="72" t="s">
        <v>17572</v>
      </c>
      <c r="Y306" s="57"/>
      <c r="Z306" s="208">
        <f>ROUND((ROUND((ROUND((ROUND((_15_同援日２．０*_15・基礎２),0)*_15・２人),0)*(1+_15・A深夜)),0)*(1+_15・区３)),0)+ROUND((ROUND((ROUND((_15_同援日２．０＿０．５*_15・基礎２),0)*_15・２人),0)*(1+_15・区３)),0)</f>
        <v>877</v>
      </c>
      <c r="AA306" s="48"/>
    </row>
    <row r="307" spans="1:27" ht="16.5" customHeight="1" x14ac:dyDescent="0.15">
      <c r="A307" s="41">
        <v>15</v>
      </c>
      <c r="B307" s="41" t="s">
        <v>22569</v>
      </c>
      <c r="C307" s="74" t="s">
        <v>22570</v>
      </c>
      <c r="D307" s="72"/>
      <c r="F307" s="57"/>
      <c r="G307" s="72"/>
      <c r="I307" s="57"/>
      <c r="J307" s="53"/>
      <c r="K307" s="49"/>
      <c r="L307" s="50"/>
      <c r="M307" s="163"/>
      <c r="N307" s="45"/>
      <c r="O307" s="46"/>
      <c r="P307" s="512"/>
      <c r="Q307" s="57"/>
      <c r="R307" s="114" t="s">
        <v>17562</v>
      </c>
      <c r="S307" s="49"/>
      <c r="T307" s="50"/>
      <c r="U307" s="115"/>
      <c r="V307" s="35"/>
      <c r="W307" s="12" t="s">
        <v>398</v>
      </c>
      <c r="X307" s="13">
        <v>0.2</v>
      </c>
      <c r="Y307" s="57" t="s">
        <v>3575</v>
      </c>
      <c r="Z307" s="208">
        <f>ROUND((ROUND((ROUND((_15_同援日２．０*(1+_15・A深夜)),0)*(1+_15・盲ろう)),0)*(1+_15・区３)),0)+ROUND((ROUND((_15_同援日２．０＿０．５*(1+_15・盲ろう)),0)*(1+_15・区３)),0)</f>
        <v>1218</v>
      </c>
      <c r="AA307" s="48"/>
    </row>
    <row r="308" spans="1:27" ht="16.5" customHeight="1" x14ac:dyDescent="0.15">
      <c r="A308" s="41">
        <v>15</v>
      </c>
      <c r="B308" s="41" t="s">
        <v>22571</v>
      </c>
      <c r="C308" s="74" t="s">
        <v>22572</v>
      </c>
      <c r="D308" s="72"/>
      <c r="F308" s="57"/>
      <c r="G308" s="72"/>
      <c r="I308" s="57"/>
      <c r="J308" s="43"/>
      <c r="K308" s="37"/>
      <c r="L308" s="38"/>
      <c r="M308" s="299" t="s">
        <v>17556</v>
      </c>
      <c r="N308" s="45" t="s">
        <v>398</v>
      </c>
      <c r="O308" s="46">
        <v>1</v>
      </c>
      <c r="P308" s="512"/>
      <c r="Q308" s="57"/>
      <c r="R308" s="92" t="s">
        <v>17564</v>
      </c>
      <c r="U308" s="57"/>
      <c r="V308" s="35"/>
      <c r="Y308" s="57"/>
      <c r="Z308" s="208">
        <f>ROUND((ROUND((ROUND((ROUND((_15_同援日２．０*_15・２人),0)*(1+_15・A深夜)),0)*(1+_15・盲ろう)),0)*(1+_15・区３)),0)+ROUND((ROUND((ROUND((_15_同援日２．０＿０．５*_15・２人),0)*(1+_15・盲ろう)),0)*(1+_15・区３)),0)</f>
        <v>1218</v>
      </c>
      <c r="AA308" s="48"/>
    </row>
    <row r="309" spans="1:27" ht="16.5" customHeight="1" x14ac:dyDescent="0.15">
      <c r="A309" s="41">
        <v>15</v>
      </c>
      <c r="B309" s="41" t="s">
        <v>1393</v>
      </c>
      <c r="C309" s="74" t="s">
        <v>22573</v>
      </c>
      <c r="D309" s="72"/>
      <c r="F309" s="57"/>
      <c r="G309" s="72"/>
      <c r="I309" s="57"/>
      <c r="J309" s="114" t="s">
        <v>17558</v>
      </c>
      <c r="K309" s="49"/>
      <c r="L309" s="50"/>
      <c r="M309" s="163"/>
      <c r="N309" s="45"/>
      <c r="O309" s="46"/>
      <c r="P309" s="512"/>
      <c r="Q309" s="57"/>
      <c r="R309" s="35"/>
      <c r="S309" s="12" t="s">
        <v>398</v>
      </c>
      <c r="T309" s="13">
        <v>0.25</v>
      </c>
      <c r="U309" s="57" t="s">
        <v>3575</v>
      </c>
      <c r="V309" s="35"/>
      <c r="Y309" s="57"/>
      <c r="Z309" s="208">
        <f>ROUND((ROUND((ROUND((ROUND((_15_同援日２．０*_15・基礎２),0)*(1+_15・A深夜)),0)*(1+_15・盲ろう)),0)*(1+_15・区３)),0)+ROUND((ROUND((ROUND((_15_同援日２．０＿０．５*_15・基礎２),0)*(1+_15・盲ろう)),0)*(1+_15・区３)),0)</f>
        <v>1097</v>
      </c>
      <c r="AA309" s="48"/>
    </row>
    <row r="310" spans="1:27" ht="16.5" customHeight="1" x14ac:dyDescent="0.15">
      <c r="A310" s="41">
        <v>15</v>
      </c>
      <c r="B310" s="41" t="s">
        <v>1395</v>
      </c>
      <c r="C310" s="74" t="s">
        <v>22574</v>
      </c>
      <c r="D310" s="72"/>
      <c r="F310" s="57"/>
      <c r="G310" s="72"/>
      <c r="I310" s="57"/>
      <c r="J310" s="269" t="s">
        <v>17560</v>
      </c>
      <c r="K310" s="37" t="s">
        <v>398</v>
      </c>
      <c r="L310" s="38">
        <v>0.9</v>
      </c>
      <c r="M310" s="299" t="s">
        <v>17556</v>
      </c>
      <c r="N310" s="45" t="s">
        <v>398</v>
      </c>
      <c r="O310" s="46">
        <v>1</v>
      </c>
      <c r="P310" s="512"/>
      <c r="Q310" s="57"/>
      <c r="R310" s="43"/>
      <c r="S310" s="37"/>
      <c r="T310" s="38"/>
      <c r="U310" s="79"/>
      <c r="V310" s="43"/>
      <c r="W310" s="37"/>
      <c r="X310" s="38"/>
      <c r="Y310" s="79"/>
      <c r="Z310" s="208">
        <f>ROUND((ROUND((ROUND((ROUND((ROUND((_15_同援日２．０*_15・基礎２),0)*_15・２人),0)*(1+_15・A深夜)),0)*(1+_15・盲ろう)),0)*(1+_15・区３)),0)+ROUND((ROUND((ROUND((ROUND((_15_同援日２．０＿０．５*_15・基礎２),0)*_15・２人),0)*(1+_15・盲ろう)),0)*(1+_15・区３)),0)</f>
        <v>1097</v>
      </c>
      <c r="AA310" s="48"/>
    </row>
    <row r="311" spans="1:27" ht="16.5" customHeight="1" x14ac:dyDescent="0.15">
      <c r="A311" s="41">
        <v>15</v>
      </c>
      <c r="B311" s="41" t="s">
        <v>1397</v>
      </c>
      <c r="C311" s="74" t="s">
        <v>22575</v>
      </c>
      <c r="D311" s="72"/>
      <c r="F311" s="57"/>
      <c r="G311" s="72"/>
      <c r="I311" s="57"/>
      <c r="J311" s="53"/>
      <c r="K311" s="49"/>
      <c r="L311" s="50"/>
      <c r="M311" s="163"/>
      <c r="N311" s="45"/>
      <c r="O311" s="46"/>
      <c r="P311" s="512"/>
      <c r="Q311" s="57"/>
      <c r="R311" s="53"/>
      <c r="S311" s="49"/>
      <c r="T311" s="50"/>
      <c r="U311" s="115"/>
      <c r="V311" s="53"/>
      <c r="W311" s="49"/>
      <c r="X311" s="50"/>
      <c r="Y311" s="115"/>
      <c r="Z311" s="208">
        <f>ROUND((ROUND((_15_同援日２．０*(1+_15・A深夜)),0)*(1+_15・区４)),0)+ROUND((_15_同援日２．０＿０．５*(1+_15・区４)),0)</f>
        <v>1137</v>
      </c>
      <c r="AA311" s="48"/>
    </row>
    <row r="312" spans="1:27" ht="16.5" customHeight="1" x14ac:dyDescent="0.15">
      <c r="A312" s="41">
        <v>15</v>
      </c>
      <c r="B312" s="41" t="s">
        <v>1399</v>
      </c>
      <c r="C312" s="74" t="s">
        <v>22576</v>
      </c>
      <c r="D312" s="72"/>
      <c r="F312" s="57"/>
      <c r="G312" s="72"/>
      <c r="I312" s="57"/>
      <c r="J312" s="43"/>
      <c r="K312" s="37"/>
      <c r="L312" s="38"/>
      <c r="M312" s="299" t="s">
        <v>17556</v>
      </c>
      <c r="N312" s="45" t="s">
        <v>398</v>
      </c>
      <c r="O312" s="46">
        <v>1</v>
      </c>
      <c r="P312" s="512"/>
      <c r="Q312" s="57"/>
      <c r="R312" s="35"/>
      <c r="U312" s="57"/>
      <c r="V312" s="35"/>
      <c r="Y312" s="57"/>
      <c r="Z312" s="208">
        <f>ROUND((ROUND((ROUND((_15_同援日２．０*_15・２人),0)*(1+_15・A深夜)),0)*(1+_15・区４)),0)+ROUND((ROUND((_15_同援日２．０＿０．５*_15・２人),0)*(1+_15・区４)),0)</f>
        <v>1137</v>
      </c>
      <c r="AA312" s="48"/>
    </row>
    <row r="313" spans="1:27" ht="16.5" customHeight="1" x14ac:dyDescent="0.15">
      <c r="A313" s="41">
        <v>15</v>
      </c>
      <c r="B313" s="41" t="s">
        <v>22577</v>
      </c>
      <c r="C313" s="74" t="s">
        <v>22578</v>
      </c>
      <c r="D313" s="72"/>
      <c r="F313" s="57"/>
      <c r="G313" s="72"/>
      <c r="I313" s="57"/>
      <c r="J313" s="114" t="s">
        <v>17558</v>
      </c>
      <c r="K313" s="49"/>
      <c r="L313" s="50"/>
      <c r="M313" s="163"/>
      <c r="N313" s="45"/>
      <c r="O313" s="46"/>
      <c r="P313" s="512"/>
      <c r="Q313" s="57"/>
      <c r="R313" s="35"/>
      <c r="U313" s="57"/>
      <c r="V313" s="72" t="s">
        <v>17580</v>
      </c>
      <c r="Y313" s="57"/>
      <c r="Z313" s="208">
        <f>ROUND((ROUND((ROUND((_15_同援日２．０*_15・基礎２),0)*(1+_15・A深夜)),0)*(1+_15・区４)),0)+ROUND((ROUND((_15_同援日２．０＿０．５*_15・基礎２),0)*(1+_15・区４)),0)</f>
        <v>1024</v>
      </c>
      <c r="AA313" s="48"/>
    </row>
    <row r="314" spans="1:27" ht="16.5" customHeight="1" x14ac:dyDescent="0.15">
      <c r="A314" s="41">
        <v>15</v>
      </c>
      <c r="B314" s="41" t="s">
        <v>22579</v>
      </c>
      <c r="C314" s="74" t="s">
        <v>22580</v>
      </c>
      <c r="D314" s="72"/>
      <c r="F314" s="57"/>
      <c r="G314" s="72"/>
      <c r="I314" s="57"/>
      <c r="J314" s="269" t="s">
        <v>17560</v>
      </c>
      <c r="K314" s="37" t="s">
        <v>398</v>
      </c>
      <c r="L314" s="38">
        <v>0.9</v>
      </c>
      <c r="M314" s="299" t="s">
        <v>17556</v>
      </c>
      <c r="N314" s="45" t="s">
        <v>398</v>
      </c>
      <c r="O314" s="46">
        <v>1</v>
      </c>
      <c r="P314" s="512"/>
      <c r="Q314" s="57"/>
      <c r="R314" s="43"/>
      <c r="S314" s="37"/>
      <c r="T314" s="38"/>
      <c r="U314" s="79"/>
      <c r="V314" s="72" t="s">
        <v>17572</v>
      </c>
      <c r="Y314" s="57"/>
      <c r="Z314" s="208">
        <f>ROUND((ROUND((ROUND((ROUND((_15_同援日２．０*_15・基礎２),0)*_15・２人),0)*(1+_15・A深夜)),0)*(1+_15・区４)),0)+ROUND((ROUND((ROUND((_15_同援日２．０＿０．５*_15・基礎２),0)*_15・２人),0)*(1+_15・区４)),0)</f>
        <v>1024</v>
      </c>
      <c r="AA314" s="48"/>
    </row>
    <row r="315" spans="1:27" ht="16.5" customHeight="1" x14ac:dyDescent="0.15">
      <c r="A315" s="41">
        <v>15</v>
      </c>
      <c r="B315" s="41" t="s">
        <v>22581</v>
      </c>
      <c r="C315" s="74" t="s">
        <v>22582</v>
      </c>
      <c r="D315" s="72"/>
      <c r="F315" s="57"/>
      <c r="G315" s="72"/>
      <c r="I315" s="57"/>
      <c r="J315" s="53"/>
      <c r="K315" s="49"/>
      <c r="L315" s="50"/>
      <c r="M315" s="163"/>
      <c r="N315" s="45"/>
      <c r="O315" s="46"/>
      <c r="P315" s="512"/>
      <c r="Q315" s="57"/>
      <c r="R315" s="114" t="s">
        <v>17562</v>
      </c>
      <c r="S315" s="49"/>
      <c r="T315" s="50"/>
      <c r="U315" s="115"/>
      <c r="V315" s="35"/>
      <c r="W315" s="12" t="s">
        <v>398</v>
      </c>
      <c r="X315" s="13">
        <v>0.4</v>
      </c>
      <c r="Y315" s="57" t="s">
        <v>3575</v>
      </c>
      <c r="Z315" s="208">
        <f>ROUND((ROUND((ROUND((_15_同援日２．０*(1+_15・A深夜)),0)*(1+_15・盲ろう)),0)*(1+_15・区４)),0)+ROUND((ROUND((_15_同援日２．０＿０．５*(1+_15・盲ろう)),0)*(1+_15・区４)),0)</f>
        <v>1421</v>
      </c>
      <c r="AA315" s="48"/>
    </row>
    <row r="316" spans="1:27" ht="16.5" customHeight="1" x14ac:dyDescent="0.15">
      <c r="A316" s="41">
        <v>15</v>
      </c>
      <c r="B316" s="41" t="s">
        <v>22583</v>
      </c>
      <c r="C316" s="74" t="s">
        <v>22584</v>
      </c>
      <c r="D316" s="72"/>
      <c r="F316" s="57"/>
      <c r="G316" s="72"/>
      <c r="I316" s="57"/>
      <c r="J316" s="43"/>
      <c r="K316" s="37"/>
      <c r="L316" s="38"/>
      <c r="M316" s="299" t="s">
        <v>17556</v>
      </c>
      <c r="N316" s="45" t="s">
        <v>398</v>
      </c>
      <c r="O316" s="46">
        <v>1</v>
      </c>
      <c r="P316" s="512"/>
      <c r="Q316" s="57"/>
      <c r="R316" s="92" t="s">
        <v>17564</v>
      </c>
      <c r="U316" s="57"/>
      <c r="V316" s="35"/>
      <c r="Y316" s="57"/>
      <c r="Z316" s="208">
        <f>ROUND((ROUND((ROUND((ROUND((_15_同援日２．０*_15・２人),0)*(1+_15・A深夜)),0)*(1+_15・盲ろう)),0)*(1+_15・区４)),0)+ROUND((ROUND((ROUND((_15_同援日２．０＿０．５*_15・２人),0)*(1+_15・盲ろう)),0)*(1+_15・区４)),0)</f>
        <v>1421</v>
      </c>
      <c r="AA316" s="48"/>
    </row>
    <row r="317" spans="1:27" ht="16.5" customHeight="1" x14ac:dyDescent="0.15">
      <c r="A317" s="41">
        <v>15</v>
      </c>
      <c r="B317" s="41" t="s">
        <v>22585</v>
      </c>
      <c r="C317" s="74" t="s">
        <v>22586</v>
      </c>
      <c r="D317" s="72"/>
      <c r="F317" s="57"/>
      <c r="G317" s="72"/>
      <c r="I317" s="57"/>
      <c r="J317" s="114" t="s">
        <v>17558</v>
      </c>
      <c r="K317" s="49"/>
      <c r="L317" s="50"/>
      <c r="M317" s="163"/>
      <c r="N317" s="45"/>
      <c r="O317" s="46"/>
      <c r="P317" s="512"/>
      <c r="Q317" s="57"/>
      <c r="R317" s="35"/>
      <c r="S317" s="12" t="s">
        <v>398</v>
      </c>
      <c r="T317" s="13">
        <v>0.25</v>
      </c>
      <c r="U317" s="57" t="s">
        <v>3575</v>
      </c>
      <c r="V317" s="35"/>
      <c r="Y317" s="57"/>
      <c r="Z317" s="208">
        <f>ROUND((ROUND((ROUND((ROUND((_15_同援日２．０*_15・基礎２),0)*(1+_15・A深夜)),0)*(1+_15・盲ろう)),0)*(1+_15・区４)),0)+ROUND((ROUND((ROUND((_15_同援日２．０＿０．５*_15・基礎２),0)*(1+_15・盲ろう)),0)*(1+_15・区４)),0)</f>
        <v>1280</v>
      </c>
      <c r="AA317" s="48"/>
    </row>
    <row r="318" spans="1:27" ht="16.5" customHeight="1" x14ac:dyDescent="0.15">
      <c r="A318" s="41">
        <v>15</v>
      </c>
      <c r="B318" s="41" t="s">
        <v>22587</v>
      </c>
      <c r="C318" s="74" t="s">
        <v>22588</v>
      </c>
      <c r="D318" s="72"/>
      <c r="F318" s="57"/>
      <c r="G318" s="122"/>
      <c r="H318" s="37"/>
      <c r="I318" s="79"/>
      <c r="J318" s="269" t="s">
        <v>17560</v>
      </c>
      <c r="K318" s="37" t="s">
        <v>398</v>
      </c>
      <c r="L318" s="38">
        <v>0.9</v>
      </c>
      <c r="M318" s="299" t="s">
        <v>17556</v>
      </c>
      <c r="N318" s="45" t="s">
        <v>398</v>
      </c>
      <c r="O318" s="46">
        <v>1</v>
      </c>
      <c r="P318" s="512"/>
      <c r="Q318" s="57"/>
      <c r="R318" s="43"/>
      <c r="S318" s="37"/>
      <c r="T318" s="38"/>
      <c r="U318" s="79"/>
      <c r="V318" s="43"/>
      <c r="W318" s="37"/>
      <c r="X318" s="38"/>
      <c r="Y318" s="79"/>
      <c r="Z318" s="208">
        <f>ROUND((ROUND((ROUND((ROUND((ROUND((_15_同援日２．０*_15・基礎２),0)*_15・２人),0)*(1+_15・A深夜)),0)*(1+_15・盲ろう)),0)*(1+_15・区４)),0)+ROUND((ROUND((ROUND((ROUND((_15_同援日２．０＿０．５*_15・基礎２),0)*_15・２人),0)*(1+_15・盲ろう)),0)*(1+_15・区４)),0)</f>
        <v>1280</v>
      </c>
      <c r="AA318" s="48"/>
    </row>
    <row r="319" spans="1:27" ht="16.5" customHeight="1" x14ac:dyDescent="0.15">
      <c r="A319" s="41">
        <v>15</v>
      </c>
      <c r="B319" s="41" t="s">
        <v>22589</v>
      </c>
      <c r="C319" s="74" t="s">
        <v>22590</v>
      </c>
      <c r="D319" s="72"/>
      <c r="F319" s="57"/>
      <c r="G319" s="114" t="s">
        <v>19212</v>
      </c>
      <c r="H319" s="49"/>
      <c r="I319" s="115"/>
      <c r="J319" s="53"/>
      <c r="K319" s="49"/>
      <c r="L319" s="50"/>
      <c r="M319" s="163"/>
      <c r="N319" s="45"/>
      <c r="O319" s="46"/>
      <c r="P319" s="512"/>
      <c r="Q319" s="57"/>
      <c r="R319" s="53"/>
      <c r="S319" s="49"/>
      <c r="T319" s="50"/>
      <c r="U319" s="115"/>
      <c r="V319" s="53"/>
      <c r="W319" s="49"/>
      <c r="X319" s="50"/>
      <c r="Y319" s="115"/>
      <c r="Z319" s="208">
        <f>ROUND((_15_同援日２．０*(1+_15・A深夜)),0)+_15_同援日２．０＿１．０</f>
        <v>877</v>
      </c>
      <c r="AA319" s="48"/>
    </row>
    <row r="320" spans="1:27" ht="16.5" customHeight="1" x14ac:dyDescent="0.15">
      <c r="A320" s="41">
        <v>15</v>
      </c>
      <c r="B320" s="41" t="s">
        <v>22591</v>
      </c>
      <c r="C320" s="74" t="s">
        <v>22592</v>
      </c>
      <c r="D320" s="72"/>
      <c r="F320" s="57"/>
      <c r="G320" s="72" t="s">
        <v>17589</v>
      </c>
      <c r="I320" s="57"/>
      <c r="J320" s="43"/>
      <c r="K320" s="37"/>
      <c r="L320" s="38"/>
      <c r="M320" s="299" t="s">
        <v>17556</v>
      </c>
      <c r="N320" s="45" t="s">
        <v>398</v>
      </c>
      <c r="O320" s="46">
        <v>1</v>
      </c>
      <c r="P320" s="512"/>
      <c r="Q320" s="57"/>
      <c r="R320" s="35"/>
      <c r="U320" s="57"/>
      <c r="V320" s="35"/>
      <c r="Y320" s="57"/>
      <c r="Z320" s="208">
        <f>ROUND((ROUND((_15_同援日２．０*_15・２人),0)*(1+_15・A深夜)),0)+ROUND((_15_同援日２．０＿１．０*_15・２人),0)</f>
        <v>877</v>
      </c>
      <c r="AA320" s="48"/>
    </row>
    <row r="321" spans="1:27" ht="16.5" customHeight="1" x14ac:dyDescent="0.15">
      <c r="A321" s="41">
        <v>15</v>
      </c>
      <c r="B321" s="41" t="s">
        <v>22593</v>
      </c>
      <c r="C321" s="74" t="s">
        <v>22594</v>
      </c>
      <c r="D321" s="72"/>
      <c r="F321" s="57"/>
      <c r="G321" s="72" t="s">
        <v>17591</v>
      </c>
      <c r="I321" s="57"/>
      <c r="J321" s="114" t="s">
        <v>17558</v>
      </c>
      <c r="K321" s="49"/>
      <c r="L321" s="50"/>
      <c r="M321" s="163"/>
      <c r="N321" s="45"/>
      <c r="O321" s="46"/>
      <c r="P321" s="512"/>
      <c r="Q321" s="57"/>
      <c r="R321" s="35"/>
      <c r="U321" s="57"/>
      <c r="V321" s="35"/>
      <c r="Y321" s="57"/>
      <c r="Z321" s="208">
        <f>ROUND((ROUND((_15_同援日２．０*_15・基礎２),0)*(1+_15・A深夜)),0)+ROUND((_15_同援日２．０＿１．０*_15・基礎２),0)</f>
        <v>789</v>
      </c>
      <c r="AA321" s="48"/>
    </row>
    <row r="322" spans="1:27" ht="16.5" customHeight="1" x14ac:dyDescent="0.15">
      <c r="A322" s="41">
        <v>15</v>
      </c>
      <c r="B322" s="41" t="s">
        <v>22595</v>
      </c>
      <c r="C322" s="74" t="s">
        <v>22596</v>
      </c>
      <c r="D322" s="72"/>
      <c r="F322" s="57"/>
      <c r="G322" s="72"/>
      <c r="H322" s="168">
        <f>_15_同援日２．０＿１．０</f>
        <v>130</v>
      </c>
      <c r="I322" s="57" t="s">
        <v>392</v>
      </c>
      <c r="J322" s="269" t="s">
        <v>17560</v>
      </c>
      <c r="K322" s="37" t="s">
        <v>398</v>
      </c>
      <c r="L322" s="38">
        <v>0.9</v>
      </c>
      <c r="M322" s="299" t="s">
        <v>17556</v>
      </c>
      <c r="N322" s="45" t="s">
        <v>398</v>
      </c>
      <c r="O322" s="46">
        <v>1</v>
      </c>
      <c r="P322" s="512"/>
      <c r="Q322" s="57"/>
      <c r="R322" s="43"/>
      <c r="S322" s="37"/>
      <c r="T322" s="38"/>
      <c r="U322" s="79"/>
      <c r="V322" s="35"/>
      <c r="Y322" s="57"/>
      <c r="Z322" s="208">
        <f>ROUND((ROUND((ROUND((_15_同援日２．０*_15・基礎２),0)*_15・２人),0)*(1+_15・A深夜)),0)+ROUND((ROUND((_15_同援日２．０＿１．０*_15・基礎２),0)*_15・２人),0)</f>
        <v>789</v>
      </c>
      <c r="AA322" s="48"/>
    </row>
    <row r="323" spans="1:27" ht="16.5" customHeight="1" x14ac:dyDescent="0.15">
      <c r="A323" s="41">
        <v>15</v>
      </c>
      <c r="B323" s="41" t="s">
        <v>22597</v>
      </c>
      <c r="C323" s="74" t="s">
        <v>22598</v>
      </c>
      <c r="D323" s="72"/>
      <c r="F323" s="57"/>
      <c r="G323" s="72"/>
      <c r="I323" s="57"/>
      <c r="J323" s="53"/>
      <c r="K323" s="49"/>
      <c r="L323" s="50"/>
      <c r="M323" s="163"/>
      <c r="N323" s="45"/>
      <c r="O323" s="46"/>
      <c r="P323" s="512"/>
      <c r="Q323" s="57"/>
      <c r="R323" s="114" t="s">
        <v>17562</v>
      </c>
      <c r="S323" s="49"/>
      <c r="T323" s="50"/>
      <c r="U323" s="115"/>
      <c r="V323" s="35"/>
      <c r="Y323" s="57"/>
      <c r="Z323" s="208">
        <f>ROUND((ROUND((_15_同援日２．０*(1+_15・A深夜)),0)*(1+_15・盲ろう)),0)+ROUND((_15_同援日２．０＿１．０*(1+_15・盲ろう)),0)</f>
        <v>1097</v>
      </c>
      <c r="AA323" s="48"/>
    </row>
    <row r="324" spans="1:27" ht="16.5" customHeight="1" x14ac:dyDescent="0.15">
      <c r="A324" s="41">
        <v>15</v>
      </c>
      <c r="B324" s="41" t="s">
        <v>22599</v>
      </c>
      <c r="C324" s="74" t="s">
        <v>22600</v>
      </c>
      <c r="D324" s="72"/>
      <c r="F324" s="57"/>
      <c r="G324" s="72"/>
      <c r="I324" s="57"/>
      <c r="J324" s="43"/>
      <c r="K324" s="37"/>
      <c r="L324" s="38"/>
      <c r="M324" s="299" t="s">
        <v>17556</v>
      </c>
      <c r="N324" s="45" t="s">
        <v>398</v>
      </c>
      <c r="O324" s="46">
        <v>1</v>
      </c>
      <c r="P324" s="512"/>
      <c r="Q324" s="57"/>
      <c r="R324" s="92" t="s">
        <v>17564</v>
      </c>
      <c r="U324" s="57"/>
      <c r="V324" s="35"/>
      <c r="Y324" s="57"/>
      <c r="Z324" s="208">
        <f>ROUND((ROUND((ROUND((_15_同援日２．０*_15・２人),0)*(1+_15・A深夜)),0)*(1+_15・盲ろう)),0)+ROUND((ROUND((_15_同援日２．０＿１．０*_15・２人),0)*(1+_15・盲ろう)),0)</f>
        <v>1097</v>
      </c>
      <c r="AA324" s="48"/>
    </row>
    <row r="325" spans="1:27" ht="16.5" customHeight="1" x14ac:dyDescent="0.15">
      <c r="A325" s="41">
        <v>15</v>
      </c>
      <c r="B325" s="41" t="s">
        <v>22601</v>
      </c>
      <c r="C325" s="74" t="s">
        <v>22602</v>
      </c>
      <c r="D325" s="72"/>
      <c r="F325" s="57"/>
      <c r="G325" s="72"/>
      <c r="I325" s="57"/>
      <c r="J325" s="114" t="s">
        <v>17558</v>
      </c>
      <c r="K325" s="49"/>
      <c r="L325" s="50"/>
      <c r="M325" s="163"/>
      <c r="N325" s="45"/>
      <c r="O325" s="46"/>
      <c r="P325" s="512"/>
      <c r="Q325" s="57"/>
      <c r="R325" s="35"/>
      <c r="S325" s="12" t="s">
        <v>398</v>
      </c>
      <c r="T325" s="13">
        <v>0.25</v>
      </c>
      <c r="U325" s="57" t="s">
        <v>3575</v>
      </c>
      <c r="V325" s="35"/>
      <c r="Y325" s="57"/>
      <c r="Z325" s="208">
        <f>ROUND((ROUND((ROUND((_15_同援日２．０*_15・基礎２),0)*(1+_15・A深夜)),0)*(1+_15・盲ろう)),0)+ROUND((ROUND((_15_同援日２．０＿１．０*_15・基礎２),0)*(1+_15・盲ろう)),0)</f>
        <v>986</v>
      </c>
      <c r="AA325" s="48"/>
    </row>
    <row r="326" spans="1:27" ht="16.5" customHeight="1" x14ac:dyDescent="0.15">
      <c r="A326" s="41">
        <v>15</v>
      </c>
      <c r="B326" s="41" t="s">
        <v>22603</v>
      </c>
      <c r="C326" s="74" t="s">
        <v>22604</v>
      </c>
      <c r="D326" s="72"/>
      <c r="F326" s="57"/>
      <c r="G326" s="72"/>
      <c r="I326" s="57"/>
      <c r="J326" s="269" t="s">
        <v>17560</v>
      </c>
      <c r="K326" s="37" t="s">
        <v>398</v>
      </c>
      <c r="L326" s="38">
        <v>0.9</v>
      </c>
      <c r="M326" s="299" t="s">
        <v>17556</v>
      </c>
      <c r="N326" s="45" t="s">
        <v>398</v>
      </c>
      <c r="O326" s="46">
        <v>1</v>
      </c>
      <c r="P326" s="512"/>
      <c r="Q326" s="57"/>
      <c r="R326" s="43"/>
      <c r="S326" s="37"/>
      <c r="T326" s="38"/>
      <c r="U326" s="79"/>
      <c r="V326" s="43"/>
      <c r="W326" s="37"/>
      <c r="X326" s="38"/>
      <c r="Y326" s="79"/>
      <c r="Z326" s="208">
        <f>ROUND((ROUND((ROUND((ROUND((_15_同援日２．０*_15・基礎２),0)*_15・２人),0)*(1+_15・A深夜)),0)*(1+_15・盲ろう)),0)+ROUND((ROUND((ROUND((_15_同援日２．０＿１．０*_15・基礎２),0)*_15・２人),0)*(1+_15・盲ろう)),0)</f>
        <v>986</v>
      </c>
      <c r="AA326" s="48"/>
    </row>
    <row r="327" spans="1:27" ht="16.5" customHeight="1" x14ac:dyDescent="0.15">
      <c r="A327" s="41">
        <v>15</v>
      </c>
      <c r="B327" s="41" t="s">
        <v>22605</v>
      </c>
      <c r="C327" s="74" t="s">
        <v>22606</v>
      </c>
      <c r="D327" s="72"/>
      <c r="F327" s="57"/>
      <c r="G327" s="72"/>
      <c r="I327" s="57"/>
      <c r="J327" s="53"/>
      <c r="K327" s="49"/>
      <c r="L327" s="50"/>
      <c r="M327" s="163"/>
      <c r="N327" s="45"/>
      <c r="O327" s="46"/>
      <c r="P327" s="512"/>
      <c r="Q327" s="57"/>
      <c r="R327" s="53"/>
      <c r="S327" s="49"/>
      <c r="T327" s="50"/>
      <c r="U327" s="115"/>
      <c r="V327" s="53"/>
      <c r="W327" s="49"/>
      <c r="X327" s="50"/>
      <c r="Y327" s="115"/>
      <c r="Z327" s="208">
        <f>ROUND((ROUND((_15_同援日２．０*(1+_15・A深夜)),0)*(1+_15・区３)),0)+ROUND((_15_同援日２．０＿１．０*(1+_15・区３)),0)</f>
        <v>1052</v>
      </c>
      <c r="AA327" s="48"/>
    </row>
    <row r="328" spans="1:27" ht="16.5" customHeight="1" x14ac:dyDescent="0.15">
      <c r="A328" s="41">
        <v>15</v>
      </c>
      <c r="B328" s="41" t="s">
        <v>22607</v>
      </c>
      <c r="C328" s="74" t="s">
        <v>22608</v>
      </c>
      <c r="D328" s="72"/>
      <c r="F328" s="57"/>
      <c r="G328" s="72"/>
      <c r="I328" s="57"/>
      <c r="J328" s="43"/>
      <c r="K328" s="37"/>
      <c r="L328" s="38"/>
      <c r="M328" s="299" t="s">
        <v>17556</v>
      </c>
      <c r="N328" s="45" t="s">
        <v>398</v>
      </c>
      <c r="O328" s="46">
        <v>1</v>
      </c>
      <c r="P328" s="512"/>
      <c r="Q328" s="57"/>
      <c r="R328" s="35"/>
      <c r="U328" s="57"/>
      <c r="V328" s="35"/>
      <c r="Y328" s="57"/>
      <c r="Z328" s="208">
        <f>ROUND((ROUND((ROUND((_15_同援日２．０*_15・２人),0)*(1+_15・A深夜)),0)*(1+_15・区３)),0)+ROUND((ROUND((_15_同援日２．０＿１．０*_15・２人),0)*(1+_15・区３)),0)</f>
        <v>1052</v>
      </c>
      <c r="AA328" s="48"/>
    </row>
    <row r="329" spans="1:27" ht="16.5" customHeight="1" x14ac:dyDescent="0.15">
      <c r="A329" s="41">
        <v>15</v>
      </c>
      <c r="B329" s="41" t="s">
        <v>1405</v>
      </c>
      <c r="C329" s="74" t="s">
        <v>22609</v>
      </c>
      <c r="D329" s="72"/>
      <c r="F329" s="57"/>
      <c r="G329" s="72"/>
      <c r="I329" s="57"/>
      <c r="J329" s="114" t="s">
        <v>17558</v>
      </c>
      <c r="K329" s="49"/>
      <c r="L329" s="50"/>
      <c r="M329" s="163"/>
      <c r="N329" s="45"/>
      <c r="O329" s="46"/>
      <c r="P329" s="512"/>
      <c r="Q329" s="57"/>
      <c r="R329" s="35"/>
      <c r="U329" s="57"/>
      <c r="V329" s="72" t="s">
        <v>17570</v>
      </c>
      <c r="Y329" s="57"/>
      <c r="Z329" s="208">
        <f>ROUND((ROUND((ROUND((_15_同援日２．０*_15・基礎２),0)*(1+_15・A深夜)),0)*(1+_15・区３)),0)+ROUND((ROUND((_15_同援日２．０＿１．０*_15・基礎２),0)*(1+_15・区３)),0)</f>
        <v>946</v>
      </c>
      <c r="AA329" s="48"/>
    </row>
    <row r="330" spans="1:27" ht="16.5" customHeight="1" x14ac:dyDescent="0.15">
      <c r="A330" s="41">
        <v>15</v>
      </c>
      <c r="B330" s="41" t="s">
        <v>1407</v>
      </c>
      <c r="C330" s="74" t="s">
        <v>22610</v>
      </c>
      <c r="D330" s="72"/>
      <c r="F330" s="57"/>
      <c r="G330" s="72"/>
      <c r="I330" s="57"/>
      <c r="J330" s="269" t="s">
        <v>17560</v>
      </c>
      <c r="K330" s="37" t="s">
        <v>398</v>
      </c>
      <c r="L330" s="38">
        <v>0.9</v>
      </c>
      <c r="M330" s="299" t="s">
        <v>17556</v>
      </c>
      <c r="N330" s="45" t="s">
        <v>398</v>
      </c>
      <c r="O330" s="46">
        <v>1</v>
      </c>
      <c r="P330" s="512"/>
      <c r="Q330" s="57"/>
      <c r="R330" s="43"/>
      <c r="S330" s="37"/>
      <c r="T330" s="38"/>
      <c r="U330" s="79"/>
      <c r="V330" s="72" t="s">
        <v>17572</v>
      </c>
      <c r="Y330" s="57"/>
      <c r="Z330" s="208">
        <f>ROUND((ROUND((ROUND((ROUND((_15_同援日２．０*_15・基礎２),0)*_15・２人),0)*(1+_15・A深夜)),0)*(1+_15・区３)),0)+ROUND((ROUND((ROUND((_15_同援日２．０＿１．０*_15・基礎２),0)*_15・２人),0)*(1+_15・区３)),0)</f>
        <v>946</v>
      </c>
      <c r="AA330" s="48"/>
    </row>
    <row r="331" spans="1:27" ht="16.5" customHeight="1" x14ac:dyDescent="0.15">
      <c r="A331" s="41">
        <v>15</v>
      </c>
      <c r="B331" s="41" t="s">
        <v>1409</v>
      </c>
      <c r="C331" s="74" t="s">
        <v>22611</v>
      </c>
      <c r="D331" s="72"/>
      <c r="F331" s="57"/>
      <c r="G331" s="72"/>
      <c r="I331" s="57"/>
      <c r="J331" s="53"/>
      <c r="K331" s="49"/>
      <c r="L331" s="50"/>
      <c r="M331" s="163"/>
      <c r="N331" s="45"/>
      <c r="O331" s="46"/>
      <c r="P331" s="512"/>
      <c r="Q331" s="57"/>
      <c r="R331" s="114" t="s">
        <v>17562</v>
      </c>
      <c r="S331" s="49"/>
      <c r="T331" s="50"/>
      <c r="U331" s="115"/>
      <c r="V331" s="35"/>
      <c r="W331" s="12" t="s">
        <v>398</v>
      </c>
      <c r="X331" s="13">
        <v>0.2</v>
      </c>
      <c r="Y331" s="57" t="s">
        <v>3575</v>
      </c>
      <c r="Z331" s="208">
        <f>ROUND((ROUND((ROUND((_15_同援日２．０*(1+_15・A深夜)),0)*(1+_15・盲ろう)),0)*(1+_15・区３)),0)+ROUND((ROUND((_15_同援日２．０＿１．０*(1+_15・盲ろう)),0)*(1+_15・区３)),0)</f>
        <v>1317</v>
      </c>
      <c r="AA331" s="48"/>
    </row>
    <row r="332" spans="1:27" ht="16.5" customHeight="1" x14ac:dyDescent="0.15">
      <c r="A332" s="41">
        <v>15</v>
      </c>
      <c r="B332" s="41" t="s">
        <v>1411</v>
      </c>
      <c r="C332" s="74" t="s">
        <v>22612</v>
      </c>
      <c r="D332" s="72"/>
      <c r="F332" s="57"/>
      <c r="G332" s="72"/>
      <c r="I332" s="57"/>
      <c r="J332" s="43"/>
      <c r="K332" s="37"/>
      <c r="L332" s="38"/>
      <c r="M332" s="299" t="s">
        <v>17556</v>
      </c>
      <c r="N332" s="45" t="s">
        <v>398</v>
      </c>
      <c r="O332" s="46">
        <v>1</v>
      </c>
      <c r="P332" s="512"/>
      <c r="Q332" s="57"/>
      <c r="R332" s="92" t="s">
        <v>17564</v>
      </c>
      <c r="U332" s="57"/>
      <c r="V332" s="35"/>
      <c r="Y332" s="57"/>
      <c r="Z332" s="208">
        <f>ROUND((ROUND((ROUND((ROUND((_15_同援日２．０*_15・２人),0)*(1+_15・A深夜)),0)*(1+_15・盲ろう)),0)*(1+_15・区３)),0)+ROUND((ROUND((ROUND((_15_同援日２．０＿１．０*_15・２人),0)*(1+_15・盲ろう)),0)*(1+_15・区３)),0)</f>
        <v>1317</v>
      </c>
      <c r="AA332" s="48"/>
    </row>
    <row r="333" spans="1:27" ht="16.5" customHeight="1" x14ac:dyDescent="0.15">
      <c r="A333" s="41">
        <v>15</v>
      </c>
      <c r="B333" s="41" t="s">
        <v>22613</v>
      </c>
      <c r="C333" s="74" t="s">
        <v>22614</v>
      </c>
      <c r="D333" s="72"/>
      <c r="F333" s="57"/>
      <c r="G333" s="72"/>
      <c r="I333" s="57"/>
      <c r="J333" s="114" t="s">
        <v>17558</v>
      </c>
      <c r="K333" s="49"/>
      <c r="L333" s="50"/>
      <c r="M333" s="163"/>
      <c r="N333" s="45"/>
      <c r="O333" s="46"/>
      <c r="P333" s="512"/>
      <c r="Q333" s="57"/>
      <c r="R333" s="35"/>
      <c r="S333" s="12" t="s">
        <v>398</v>
      </c>
      <c r="T333" s="13">
        <v>0.25</v>
      </c>
      <c r="U333" s="57" t="s">
        <v>3575</v>
      </c>
      <c r="V333" s="35"/>
      <c r="Y333" s="57"/>
      <c r="Z333" s="208">
        <f>ROUND((ROUND((ROUND((ROUND((_15_同援日２．０*_15・基礎２),0)*(1+_15・A深夜)),0)*(1+_15・盲ろう)),0)*(1+_15・区３)),0)+ROUND((ROUND((ROUND((_15_同援日２．０＿１．０*_15・基礎２),0)*(1+_15・盲ろう)),0)*(1+_15・区３)),0)</f>
        <v>1183</v>
      </c>
      <c r="AA333" s="48"/>
    </row>
    <row r="334" spans="1:27" ht="16.5" customHeight="1" x14ac:dyDescent="0.15">
      <c r="A334" s="41">
        <v>15</v>
      </c>
      <c r="B334" s="41" t="s">
        <v>22615</v>
      </c>
      <c r="C334" s="74" t="s">
        <v>22616</v>
      </c>
      <c r="D334" s="72"/>
      <c r="F334" s="57"/>
      <c r="G334" s="72"/>
      <c r="I334" s="57"/>
      <c r="J334" s="269" t="s">
        <v>17560</v>
      </c>
      <c r="K334" s="37" t="s">
        <v>398</v>
      </c>
      <c r="L334" s="38">
        <v>0.9</v>
      </c>
      <c r="M334" s="299" t="s">
        <v>17556</v>
      </c>
      <c r="N334" s="45" t="s">
        <v>398</v>
      </c>
      <c r="O334" s="46">
        <v>1</v>
      </c>
      <c r="P334" s="512"/>
      <c r="Q334" s="57"/>
      <c r="R334" s="43"/>
      <c r="S334" s="37"/>
      <c r="T334" s="38"/>
      <c r="U334" s="79"/>
      <c r="V334" s="43"/>
      <c r="W334" s="37"/>
      <c r="X334" s="38"/>
      <c r="Y334" s="79"/>
      <c r="Z334" s="208">
        <f>ROUND((ROUND((ROUND((ROUND((ROUND((_15_同援日２．０*_15・基礎２),0)*_15・２人),0)*(1+_15・A深夜)),0)*(1+_15・盲ろう)),0)*(1+_15・区３)),0)+ROUND((ROUND((ROUND((ROUND((_15_同援日２．０＿１．０*_15・基礎２),0)*_15・２人),0)*(1+_15・盲ろう)),0)*(1+_15・区３)),0)</f>
        <v>1183</v>
      </c>
      <c r="AA334" s="48"/>
    </row>
    <row r="335" spans="1:27" ht="16.5" customHeight="1" x14ac:dyDescent="0.15">
      <c r="A335" s="41">
        <v>15</v>
      </c>
      <c r="B335" s="41" t="s">
        <v>22617</v>
      </c>
      <c r="C335" s="74" t="s">
        <v>22618</v>
      </c>
      <c r="D335" s="72"/>
      <c r="F335" s="57"/>
      <c r="G335" s="72"/>
      <c r="I335" s="57"/>
      <c r="J335" s="53"/>
      <c r="K335" s="49"/>
      <c r="L335" s="50"/>
      <c r="M335" s="163"/>
      <c r="N335" s="45"/>
      <c r="O335" s="46"/>
      <c r="P335" s="512"/>
      <c r="Q335" s="57"/>
      <c r="R335" s="53"/>
      <c r="S335" s="49"/>
      <c r="T335" s="50"/>
      <c r="U335" s="115"/>
      <c r="V335" s="53"/>
      <c r="W335" s="49"/>
      <c r="X335" s="50"/>
      <c r="Y335" s="115"/>
      <c r="Z335" s="208">
        <f>ROUND((ROUND((_15_同援日２．０*(1+_15・A深夜)),0)*(1+_15・区４)),0)+ROUND((_15_同援日２．０＿１．０*(1+_15・区４)),0)</f>
        <v>1228</v>
      </c>
      <c r="AA335" s="48"/>
    </row>
    <row r="336" spans="1:27" ht="16.5" customHeight="1" x14ac:dyDescent="0.15">
      <c r="A336" s="41">
        <v>15</v>
      </c>
      <c r="B336" s="41" t="s">
        <v>22619</v>
      </c>
      <c r="C336" s="74" t="s">
        <v>22620</v>
      </c>
      <c r="D336" s="72"/>
      <c r="F336" s="57"/>
      <c r="G336" s="72"/>
      <c r="I336" s="57"/>
      <c r="J336" s="43"/>
      <c r="K336" s="37"/>
      <c r="L336" s="38"/>
      <c r="M336" s="299" t="s">
        <v>17556</v>
      </c>
      <c r="N336" s="45" t="s">
        <v>398</v>
      </c>
      <c r="O336" s="46">
        <v>1</v>
      </c>
      <c r="P336" s="512"/>
      <c r="Q336" s="57"/>
      <c r="R336" s="35"/>
      <c r="U336" s="57"/>
      <c r="V336" s="35"/>
      <c r="Y336" s="57"/>
      <c r="Z336" s="208">
        <f>ROUND((ROUND((ROUND((_15_同援日２．０*_15・２人),0)*(1+_15・A深夜)),0)*(1+_15・区４)),0)+ROUND((ROUND((_15_同援日２．０＿１．０*_15・２人),0)*(1+_15・区４)),0)</f>
        <v>1228</v>
      </c>
      <c r="AA336" s="48"/>
    </row>
    <row r="337" spans="1:27" ht="16.5" customHeight="1" x14ac:dyDescent="0.15">
      <c r="A337" s="41">
        <v>15</v>
      </c>
      <c r="B337" s="41" t="s">
        <v>22621</v>
      </c>
      <c r="C337" s="74" t="s">
        <v>22622</v>
      </c>
      <c r="D337" s="72"/>
      <c r="F337" s="57"/>
      <c r="G337" s="72"/>
      <c r="I337" s="57"/>
      <c r="J337" s="114" t="s">
        <v>17558</v>
      </c>
      <c r="K337" s="49"/>
      <c r="L337" s="50"/>
      <c r="M337" s="163"/>
      <c r="N337" s="45"/>
      <c r="O337" s="46"/>
      <c r="P337" s="512"/>
      <c r="Q337" s="57"/>
      <c r="R337" s="35"/>
      <c r="U337" s="57"/>
      <c r="V337" s="72" t="s">
        <v>17580</v>
      </c>
      <c r="Y337" s="57"/>
      <c r="Z337" s="208">
        <f>ROUND((ROUND((ROUND((_15_同援日２．０*_15・基礎２),0)*(1+_15・A深夜)),0)*(1+_15・区４)),0)+ROUND((ROUND((_15_同援日２．０＿１．０*_15・基礎２),0)*(1+_15・区４)),0)</f>
        <v>1105</v>
      </c>
      <c r="AA337" s="48"/>
    </row>
    <row r="338" spans="1:27" ht="16.5" customHeight="1" x14ac:dyDescent="0.15">
      <c r="A338" s="41">
        <v>15</v>
      </c>
      <c r="B338" s="41" t="s">
        <v>22623</v>
      </c>
      <c r="C338" s="74" t="s">
        <v>22624</v>
      </c>
      <c r="D338" s="72"/>
      <c r="F338" s="57"/>
      <c r="G338" s="72"/>
      <c r="I338" s="57"/>
      <c r="J338" s="269" t="s">
        <v>17560</v>
      </c>
      <c r="K338" s="37" t="s">
        <v>398</v>
      </c>
      <c r="L338" s="38">
        <v>0.9</v>
      </c>
      <c r="M338" s="299" t="s">
        <v>17556</v>
      </c>
      <c r="N338" s="45" t="s">
        <v>398</v>
      </c>
      <c r="O338" s="46">
        <v>1</v>
      </c>
      <c r="P338" s="512"/>
      <c r="Q338" s="57"/>
      <c r="R338" s="43"/>
      <c r="S338" s="37"/>
      <c r="T338" s="38"/>
      <c r="U338" s="79"/>
      <c r="V338" s="72" t="s">
        <v>17572</v>
      </c>
      <c r="Y338" s="57"/>
      <c r="Z338" s="208">
        <f>ROUND((ROUND((ROUND((ROUND((_15_同援日２．０*_15・基礎２),0)*_15・２人),0)*(1+_15・A深夜)),0)*(1+_15・区４)),0)+ROUND((ROUND((ROUND((_15_同援日２．０＿１．０*_15・基礎２),0)*_15・２人),0)*(1+_15・区４)),0)</f>
        <v>1105</v>
      </c>
      <c r="AA338" s="48"/>
    </row>
    <row r="339" spans="1:27" ht="16.5" customHeight="1" x14ac:dyDescent="0.15">
      <c r="A339" s="41">
        <v>15</v>
      </c>
      <c r="B339" s="41" t="s">
        <v>22625</v>
      </c>
      <c r="C339" s="74" t="s">
        <v>22626</v>
      </c>
      <c r="D339" s="72"/>
      <c r="F339" s="57"/>
      <c r="G339" s="72"/>
      <c r="I339" s="57"/>
      <c r="J339" s="53"/>
      <c r="K339" s="49"/>
      <c r="L339" s="50"/>
      <c r="M339" s="163"/>
      <c r="N339" s="45"/>
      <c r="O339" s="46"/>
      <c r="P339" s="512"/>
      <c r="Q339" s="57"/>
      <c r="R339" s="114" t="s">
        <v>17562</v>
      </c>
      <c r="S339" s="49"/>
      <c r="T339" s="50"/>
      <c r="U339" s="115"/>
      <c r="V339" s="35"/>
      <c r="W339" s="12" t="s">
        <v>398</v>
      </c>
      <c r="X339" s="13">
        <v>0.4</v>
      </c>
      <c r="Y339" s="57" t="s">
        <v>3575</v>
      </c>
      <c r="Z339" s="208">
        <f>ROUND((ROUND((ROUND((_15_同援日２．０*(1+_15・A深夜)),0)*(1+_15・盲ろう)),0)*(1+_15・区４)),0)+ROUND((ROUND((_15_同援日２．０＿１．０*(1+_15・盲ろう)),0)*(1+_15・区４)),0)</f>
        <v>1536</v>
      </c>
      <c r="AA339" s="48"/>
    </row>
    <row r="340" spans="1:27" ht="16.5" customHeight="1" x14ac:dyDescent="0.15">
      <c r="A340" s="41">
        <v>15</v>
      </c>
      <c r="B340" s="41" t="s">
        <v>22627</v>
      </c>
      <c r="C340" s="74" t="s">
        <v>22628</v>
      </c>
      <c r="D340" s="72"/>
      <c r="F340" s="57"/>
      <c r="G340" s="72"/>
      <c r="I340" s="57"/>
      <c r="J340" s="43"/>
      <c r="K340" s="37"/>
      <c r="L340" s="38"/>
      <c r="M340" s="299" t="s">
        <v>17556</v>
      </c>
      <c r="N340" s="45" t="s">
        <v>398</v>
      </c>
      <c r="O340" s="46">
        <v>1</v>
      </c>
      <c r="P340" s="512"/>
      <c r="Q340" s="57"/>
      <c r="R340" s="92" t="s">
        <v>17564</v>
      </c>
      <c r="U340" s="57"/>
      <c r="V340" s="35"/>
      <c r="Y340" s="57"/>
      <c r="Z340" s="208">
        <f>ROUND((ROUND((ROUND((ROUND((_15_同援日２．０*_15・２人),0)*(1+_15・A深夜)),0)*(1+_15・盲ろう)),0)*(1+_15・区４)),0)+ROUND((ROUND((ROUND((_15_同援日２．０＿１．０*_15・２人),0)*(1+_15・盲ろう)),0)*(1+_15・区４)),0)</f>
        <v>1536</v>
      </c>
      <c r="AA340" s="48"/>
    </row>
    <row r="341" spans="1:27" ht="16.5" customHeight="1" x14ac:dyDescent="0.15">
      <c r="A341" s="41">
        <v>15</v>
      </c>
      <c r="B341" s="41" t="s">
        <v>22629</v>
      </c>
      <c r="C341" s="74" t="s">
        <v>22630</v>
      </c>
      <c r="D341" s="72"/>
      <c r="F341" s="57"/>
      <c r="G341" s="72"/>
      <c r="I341" s="57"/>
      <c r="J341" s="114" t="s">
        <v>17558</v>
      </c>
      <c r="K341" s="49"/>
      <c r="L341" s="50"/>
      <c r="M341" s="163"/>
      <c r="N341" s="45"/>
      <c r="O341" s="46"/>
      <c r="P341" s="512"/>
      <c r="Q341" s="57"/>
      <c r="R341" s="35"/>
      <c r="S341" s="12" t="s">
        <v>398</v>
      </c>
      <c r="T341" s="13">
        <v>0.25</v>
      </c>
      <c r="U341" s="57" t="s">
        <v>3575</v>
      </c>
      <c r="V341" s="35"/>
      <c r="Y341" s="57"/>
      <c r="Z341" s="208">
        <f>ROUND((ROUND((ROUND((ROUND((_15_同援日２．０*_15・基礎２),0)*(1+_15・A深夜)),0)*(1+_15・盲ろう)),0)*(1+_15・区４)),0)+ROUND((ROUND((ROUND((_15_同援日２．０＿１．０*_15・基礎２),0)*(1+_15・盲ろう)),0)*(1+_15・区４)),0)</f>
        <v>1380</v>
      </c>
      <c r="AA341" s="48"/>
    </row>
    <row r="342" spans="1:27" ht="16.5" customHeight="1" x14ac:dyDescent="0.15">
      <c r="A342" s="41">
        <v>15</v>
      </c>
      <c r="B342" s="41" t="s">
        <v>22631</v>
      </c>
      <c r="C342" s="74" t="s">
        <v>22632</v>
      </c>
      <c r="D342" s="122"/>
      <c r="E342" s="37"/>
      <c r="F342" s="79"/>
      <c r="G342" s="122"/>
      <c r="H342" s="37"/>
      <c r="I342" s="79"/>
      <c r="J342" s="269" t="s">
        <v>17560</v>
      </c>
      <c r="K342" s="37" t="s">
        <v>398</v>
      </c>
      <c r="L342" s="38">
        <v>0.9</v>
      </c>
      <c r="M342" s="299" t="s">
        <v>17556</v>
      </c>
      <c r="N342" s="45" t="s">
        <v>398</v>
      </c>
      <c r="O342" s="46">
        <v>1</v>
      </c>
      <c r="P342" s="512"/>
      <c r="Q342" s="57"/>
      <c r="R342" s="43"/>
      <c r="S342" s="37"/>
      <c r="T342" s="38"/>
      <c r="U342" s="79"/>
      <c r="V342" s="43"/>
      <c r="W342" s="37"/>
      <c r="X342" s="38"/>
      <c r="Y342" s="79"/>
      <c r="Z342" s="208">
        <f>ROUND((ROUND((ROUND((ROUND((ROUND((_15_同援日２．０*_15・基礎２),0)*_15・２人),0)*(1+_15・A深夜)),0)*(1+_15・盲ろう)),0)*(1+_15・区４)),0)+ROUND((ROUND((ROUND((ROUND((_15_同援日２．０＿１．０*_15・基礎２),0)*_15・２人),0)*(1+_15・盲ろう)),0)*(1+_15・区４)),0)</f>
        <v>1380</v>
      </c>
      <c r="AA342" s="48"/>
    </row>
    <row r="343" spans="1:27" ht="16.5" customHeight="1" x14ac:dyDescent="0.15">
      <c r="A343" s="41">
        <v>15</v>
      </c>
      <c r="B343" s="41" t="s">
        <v>22633</v>
      </c>
      <c r="C343" s="74" t="s">
        <v>22634</v>
      </c>
      <c r="D343" s="114" t="s">
        <v>18588</v>
      </c>
      <c r="E343" s="49"/>
      <c r="F343" s="115"/>
      <c r="G343" s="114" t="s">
        <v>19187</v>
      </c>
      <c r="H343" s="49"/>
      <c r="I343" s="115"/>
      <c r="J343" s="53"/>
      <c r="K343" s="49"/>
      <c r="L343" s="50"/>
      <c r="M343" s="163"/>
      <c r="N343" s="45"/>
      <c r="O343" s="46"/>
      <c r="P343" s="512"/>
      <c r="Q343" s="57"/>
      <c r="R343" s="53"/>
      <c r="S343" s="49"/>
      <c r="T343" s="50"/>
      <c r="U343" s="115"/>
      <c r="V343" s="53"/>
      <c r="W343" s="49"/>
      <c r="X343" s="50"/>
      <c r="Y343" s="115"/>
      <c r="Z343" s="208">
        <f>ROUND((_15_同援日２．５*(1+_15・A深夜)),0)+_15_同援日２．５＿０．５</f>
        <v>910</v>
      </c>
      <c r="AA343" s="48"/>
    </row>
    <row r="344" spans="1:27" ht="16.5" customHeight="1" x14ac:dyDescent="0.15">
      <c r="A344" s="41">
        <v>15</v>
      </c>
      <c r="B344" s="41" t="s">
        <v>22635</v>
      </c>
      <c r="C344" s="74" t="s">
        <v>22636</v>
      </c>
      <c r="D344" s="72" t="s">
        <v>17670</v>
      </c>
      <c r="F344" s="57"/>
      <c r="G344" s="72" t="s">
        <v>18259</v>
      </c>
      <c r="I344" s="57"/>
      <c r="J344" s="43"/>
      <c r="K344" s="37"/>
      <c r="L344" s="38"/>
      <c r="M344" s="299" t="s">
        <v>17556</v>
      </c>
      <c r="N344" s="45" t="s">
        <v>398</v>
      </c>
      <c r="O344" s="46">
        <v>1</v>
      </c>
      <c r="P344" s="512"/>
      <c r="Q344" s="57"/>
      <c r="R344" s="35"/>
      <c r="U344" s="57"/>
      <c r="V344" s="35"/>
      <c r="Y344" s="57"/>
      <c r="Z344" s="208">
        <f>ROUND((ROUND((_15_同援日２．５*_15・２人),0)*(1+_15・A深夜)),0)+ROUND((_15_同援日２．５＿０．５*_15・２人),0)</f>
        <v>910</v>
      </c>
      <c r="AA344" s="48"/>
    </row>
    <row r="345" spans="1:27" ht="16.5" customHeight="1" x14ac:dyDescent="0.15">
      <c r="A345" s="41">
        <v>15</v>
      </c>
      <c r="B345" s="41" t="s">
        <v>22637</v>
      </c>
      <c r="C345" s="74" t="s">
        <v>22638</v>
      </c>
      <c r="D345" s="72" t="s">
        <v>17672</v>
      </c>
      <c r="F345" s="57"/>
      <c r="G345" s="72"/>
      <c r="I345" s="57"/>
      <c r="J345" s="114" t="s">
        <v>17558</v>
      </c>
      <c r="K345" s="49"/>
      <c r="L345" s="50"/>
      <c r="M345" s="163"/>
      <c r="N345" s="45"/>
      <c r="O345" s="46"/>
      <c r="P345" s="512"/>
      <c r="Q345" s="57"/>
      <c r="R345" s="35"/>
      <c r="U345" s="57"/>
      <c r="V345" s="35"/>
      <c r="Y345" s="57"/>
      <c r="Z345" s="208">
        <f>ROUND((ROUND((_15_同援日２．５*_15・基礎２),0)*(1+_15・A深夜)),0)+ROUND((_15_同援日２．５＿０．５*_15・基礎２),0)</f>
        <v>820</v>
      </c>
      <c r="AA345" s="48"/>
    </row>
    <row r="346" spans="1:27" ht="16.5" customHeight="1" x14ac:dyDescent="0.15">
      <c r="A346" s="41">
        <v>15</v>
      </c>
      <c r="B346" s="41" t="s">
        <v>22639</v>
      </c>
      <c r="C346" s="74" t="s">
        <v>22640</v>
      </c>
      <c r="D346" s="72"/>
      <c r="E346" s="168">
        <f>_15_同援日２．５</f>
        <v>563</v>
      </c>
      <c r="F346" s="57" t="s">
        <v>392</v>
      </c>
      <c r="G346" s="72"/>
      <c r="H346" s="168">
        <f>_15_同援日２．５＿０．５</f>
        <v>65</v>
      </c>
      <c r="I346" s="57" t="s">
        <v>392</v>
      </c>
      <c r="J346" s="269" t="s">
        <v>17560</v>
      </c>
      <c r="K346" s="37" t="s">
        <v>398</v>
      </c>
      <c r="L346" s="38">
        <v>0.9</v>
      </c>
      <c r="M346" s="299" t="s">
        <v>17556</v>
      </c>
      <c r="N346" s="45" t="s">
        <v>398</v>
      </c>
      <c r="O346" s="46">
        <v>1</v>
      </c>
      <c r="P346" s="512"/>
      <c r="Q346" s="57"/>
      <c r="R346" s="43"/>
      <c r="S346" s="37"/>
      <c r="T346" s="38"/>
      <c r="U346" s="79"/>
      <c r="V346" s="35"/>
      <c r="Y346" s="57"/>
      <c r="Z346" s="208">
        <f>ROUND((ROUND((ROUND((_15_同援日２．５*_15・基礎２),0)*_15・２人),0)*(1+_15・A深夜)),0)+ROUND((ROUND((_15_同援日２．５＿０．５*_15・基礎２),0)*_15・２人),0)</f>
        <v>820</v>
      </c>
      <c r="AA346" s="48"/>
    </row>
    <row r="347" spans="1:27" ht="16.5" customHeight="1" x14ac:dyDescent="0.15">
      <c r="A347" s="41">
        <v>15</v>
      </c>
      <c r="B347" s="41" t="s">
        <v>22641</v>
      </c>
      <c r="C347" s="74" t="s">
        <v>22642</v>
      </c>
      <c r="D347" s="72"/>
      <c r="F347" s="57"/>
      <c r="G347" s="72"/>
      <c r="I347" s="57"/>
      <c r="J347" s="53"/>
      <c r="K347" s="49"/>
      <c r="L347" s="50"/>
      <c r="M347" s="163"/>
      <c r="N347" s="45"/>
      <c r="O347" s="46"/>
      <c r="P347" s="512"/>
      <c r="Q347" s="57"/>
      <c r="R347" s="114" t="s">
        <v>17562</v>
      </c>
      <c r="S347" s="49"/>
      <c r="T347" s="50"/>
      <c r="U347" s="115"/>
      <c r="V347" s="35"/>
      <c r="Y347" s="57"/>
      <c r="Z347" s="208">
        <f>ROUND((ROUND((_15_同援日２．５*(1+_15・A深夜)),0)*(1+_15・盲ろう)),0)+ROUND((_15_同援日２．５＿０．５*(1+_15・盲ろう)),0)</f>
        <v>1137</v>
      </c>
      <c r="AA347" s="48"/>
    </row>
    <row r="348" spans="1:27" ht="16.5" customHeight="1" x14ac:dyDescent="0.15">
      <c r="A348" s="41">
        <v>15</v>
      </c>
      <c r="B348" s="41" t="s">
        <v>22643</v>
      </c>
      <c r="C348" s="74" t="s">
        <v>22644</v>
      </c>
      <c r="D348" s="72"/>
      <c r="F348" s="57"/>
      <c r="G348" s="72"/>
      <c r="I348" s="57"/>
      <c r="J348" s="43"/>
      <c r="K348" s="37"/>
      <c r="L348" s="38"/>
      <c r="M348" s="299" t="s">
        <v>17556</v>
      </c>
      <c r="N348" s="45" t="s">
        <v>398</v>
      </c>
      <c r="O348" s="46">
        <v>1</v>
      </c>
      <c r="P348" s="512"/>
      <c r="Q348" s="57"/>
      <c r="R348" s="92" t="s">
        <v>17564</v>
      </c>
      <c r="U348" s="57"/>
      <c r="V348" s="35"/>
      <c r="Y348" s="57"/>
      <c r="Z348" s="208">
        <f>ROUND((ROUND((ROUND((_15_同援日２．５*_15・２人),0)*(1+_15・A深夜)),0)*(1+_15・盲ろう)),0)+ROUND((ROUND((_15_同援日２．５＿０．５*_15・２人),0)*(1+_15・盲ろう)),0)</f>
        <v>1137</v>
      </c>
      <c r="AA348" s="48"/>
    </row>
    <row r="349" spans="1:27" ht="16.5" customHeight="1" x14ac:dyDescent="0.15">
      <c r="A349" s="41">
        <v>15</v>
      </c>
      <c r="B349" s="41" t="s">
        <v>1420</v>
      </c>
      <c r="C349" s="74" t="s">
        <v>22645</v>
      </c>
      <c r="D349" s="72"/>
      <c r="F349" s="57"/>
      <c r="G349" s="72"/>
      <c r="I349" s="57"/>
      <c r="J349" s="114" t="s">
        <v>17558</v>
      </c>
      <c r="K349" s="49"/>
      <c r="L349" s="50"/>
      <c r="M349" s="163"/>
      <c r="N349" s="45"/>
      <c r="O349" s="46"/>
      <c r="P349" s="512"/>
      <c r="Q349" s="57"/>
      <c r="R349" s="35"/>
      <c r="S349" s="12" t="s">
        <v>398</v>
      </c>
      <c r="T349" s="13">
        <v>0.25</v>
      </c>
      <c r="U349" s="57" t="s">
        <v>3575</v>
      </c>
      <c r="V349" s="35"/>
      <c r="Y349" s="57"/>
      <c r="Z349" s="208">
        <f>ROUND((ROUND((ROUND((_15_同援日２．５*_15・基礎２),0)*(1+_15・A深夜)),0)*(1+_15・盲ろう)),0)+ROUND((ROUND((_15_同援日２．５＿０．５*_15・基礎２),0)*(1+_15・盲ろう)),0)</f>
        <v>1025</v>
      </c>
      <c r="AA349" s="48"/>
    </row>
    <row r="350" spans="1:27" ht="16.5" customHeight="1" x14ac:dyDescent="0.15">
      <c r="A350" s="41">
        <v>15</v>
      </c>
      <c r="B350" s="41" t="s">
        <v>1422</v>
      </c>
      <c r="C350" s="74" t="s">
        <v>22646</v>
      </c>
      <c r="D350" s="72"/>
      <c r="F350" s="57"/>
      <c r="G350" s="72"/>
      <c r="I350" s="57"/>
      <c r="J350" s="269" t="s">
        <v>17560</v>
      </c>
      <c r="K350" s="37" t="s">
        <v>398</v>
      </c>
      <c r="L350" s="38">
        <v>0.9</v>
      </c>
      <c r="M350" s="299" t="s">
        <v>17556</v>
      </c>
      <c r="N350" s="45" t="s">
        <v>398</v>
      </c>
      <c r="O350" s="46">
        <v>1</v>
      </c>
      <c r="P350" s="512"/>
      <c r="Q350" s="57"/>
      <c r="R350" s="43"/>
      <c r="S350" s="37"/>
      <c r="T350" s="38"/>
      <c r="U350" s="79"/>
      <c r="V350" s="43"/>
      <c r="W350" s="37"/>
      <c r="X350" s="38"/>
      <c r="Y350" s="79"/>
      <c r="Z350" s="208">
        <f>ROUND((ROUND((ROUND((ROUND((_15_同援日２．５*_15・基礎２),0)*_15・２人),0)*(1+_15・A深夜)),0)*(1+_15・盲ろう)),0)+ROUND((ROUND((ROUND((_15_同援日２．５＿０．５*_15・基礎２),0)*_15・２人),0)*(1+_15・盲ろう)),0)</f>
        <v>1025</v>
      </c>
      <c r="AA350" s="48"/>
    </row>
    <row r="351" spans="1:27" ht="16.5" customHeight="1" x14ac:dyDescent="0.15">
      <c r="A351" s="41">
        <v>15</v>
      </c>
      <c r="B351" s="41" t="s">
        <v>1424</v>
      </c>
      <c r="C351" s="74" t="s">
        <v>22647</v>
      </c>
      <c r="D351" s="72"/>
      <c r="F351" s="57"/>
      <c r="G351" s="72"/>
      <c r="I351" s="57"/>
      <c r="J351" s="53"/>
      <c r="K351" s="49"/>
      <c r="L351" s="50"/>
      <c r="M351" s="163"/>
      <c r="N351" s="45"/>
      <c r="O351" s="46"/>
      <c r="P351" s="512"/>
      <c r="Q351" s="57"/>
      <c r="R351" s="53"/>
      <c r="S351" s="49"/>
      <c r="T351" s="50"/>
      <c r="U351" s="115"/>
      <c r="V351" s="53"/>
      <c r="W351" s="49"/>
      <c r="X351" s="50"/>
      <c r="Y351" s="115"/>
      <c r="Z351" s="208">
        <f>ROUND((ROUND((_15_同援日２．５*(1+_15・A深夜)),0)*(1+_15・区３)),0)+ROUND((_15_同援日２．５＿０．５*(1+_15・区３)),0)</f>
        <v>1092</v>
      </c>
      <c r="AA351" s="48"/>
    </row>
    <row r="352" spans="1:27" ht="16.5" customHeight="1" x14ac:dyDescent="0.15">
      <c r="A352" s="41">
        <v>15</v>
      </c>
      <c r="B352" s="41" t="s">
        <v>1426</v>
      </c>
      <c r="C352" s="74" t="s">
        <v>22648</v>
      </c>
      <c r="D352" s="72"/>
      <c r="F352" s="57"/>
      <c r="G352" s="72"/>
      <c r="I352" s="57"/>
      <c r="J352" s="43"/>
      <c r="K352" s="37"/>
      <c r="L352" s="38"/>
      <c r="M352" s="299" t="s">
        <v>17556</v>
      </c>
      <c r="N352" s="45" t="s">
        <v>398</v>
      </c>
      <c r="O352" s="46">
        <v>1</v>
      </c>
      <c r="P352" s="512"/>
      <c r="Q352" s="57"/>
      <c r="R352" s="35"/>
      <c r="U352" s="57"/>
      <c r="V352" s="35"/>
      <c r="Y352" s="57"/>
      <c r="Z352" s="208">
        <f>ROUND((ROUND((ROUND((_15_同援日２．５*_15・２人),0)*(1+_15・A深夜)),0)*(1+_15・区３)),0)+ROUND((ROUND((_15_同援日２．５＿０．５*_15・２人),0)*(1+_15・区３)),0)</f>
        <v>1092</v>
      </c>
      <c r="AA352" s="48"/>
    </row>
    <row r="353" spans="1:27" ht="16.5" customHeight="1" x14ac:dyDescent="0.15">
      <c r="A353" s="41">
        <v>15</v>
      </c>
      <c r="B353" s="41" t="s">
        <v>22649</v>
      </c>
      <c r="C353" s="74" t="s">
        <v>22650</v>
      </c>
      <c r="D353" s="72"/>
      <c r="F353" s="57"/>
      <c r="G353" s="72"/>
      <c r="I353" s="57"/>
      <c r="J353" s="114" t="s">
        <v>17558</v>
      </c>
      <c r="K353" s="49"/>
      <c r="L353" s="50"/>
      <c r="M353" s="163"/>
      <c r="N353" s="45"/>
      <c r="O353" s="46"/>
      <c r="P353" s="512"/>
      <c r="Q353" s="57"/>
      <c r="R353" s="35"/>
      <c r="U353" s="57"/>
      <c r="V353" s="72" t="s">
        <v>17570</v>
      </c>
      <c r="Y353" s="57"/>
      <c r="Z353" s="208">
        <f>ROUND((ROUND((ROUND((_15_同援日２．５*_15・基礎２),0)*(1+_15・A深夜)),0)*(1+_15・区３)),0)+ROUND((ROUND((_15_同援日２．５＿０．５*_15・基礎２),0)*(1+_15・区３)),0)</f>
        <v>984</v>
      </c>
      <c r="AA353" s="48"/>
    </row>
    <row r="354" spans="1:27" ht="16.5" customHeight="1" x14ac:dyDescent="0.15">
      <c r="A354" s="41">
        <v>15</v>
      </c>
      <c r="B354" s="41" t="s">
        <v>22651</v>
      </c>
      <c r="C354" s="74" t="s">
        <v>22652</v>
      </c>
      <c r="D354" s="72"/>
      <c r="F354" s="57"/>
      <c r="G354" s="72"/>
      <c r="I354" s="57"/>
      <c r="J354" s="269" t="s">
        <v>17560</v>
      </c>
      <c r="K354" s="37" t="s">
        <v>398</v>
      </c>
      <c r="L354" s="38">
        <v>0.9</v>
      </c>
      <c r="M354" s="299" t="s">
        <v>17556</v>
      </c>
      <c r="N354" s="45" t="s">
        <v>398</v>
      </c>
      <c r="O354" s="46">
        <v>1</v>
      </c>
      <c r="P354" s="512"/>
      <c r="Q354" s="57"/>
      <c r="R354" s="43"/>
      <c r="S354" s="37"/>
      <c r="T354" s="38"/>
      <c r="U354" s="79"/>
      <c r="V354" s="72" t="s">
        <v>17572</v>
      </c>
      <c r="Y354" s="57"/>
      <c r="Z354" s="208">
        <f>ROUND((ROUND((ROUND((ROUND((_15_同援日２．５*_15・基礎２),0)*_15・２人),0)*(1+_15・A深夜)),0)*(1+_15・区３)),0)+ROUND((ROUND((ROUND((_15_同援日２．５＿０．５*_15・基礎２),0)*_15・２人),0)*(1+_15・区３)),0)</f>
        <v>984</v>
      </c>
      <c r="AA354" s="48"/>
    </row>
    <row r="355" spans="1:27" ht="16.5" customHeight="1" x14ac:dyDescent="0.15">
      <c r="A355" s="41">
        <v>15</v>
      </c>
      <c r="B355" s="41" t="s">
        <v>22653</v>
      </c>
      <c r="C355" s="74" t="s">
        <v>22654</v>
      </c>
      <c r="D355" s="72"/>
      <c r="F355" s="57"/>
      <c r="G355" s="72"/>
      <c r="I355" s="57"/>
      <c r="J355" s="53"/>
      <c r="K355" s="49"/>
      <c r="L355" s="50"/>
      <c r="M355" s="163"/>
      <c r="N355" s="45"/>
      <c r="O355" s="46"/>
      <c r="P355" s="512"/>
      <c r="Q355" s="57"/>
      <c r="R355" s="114" t="s">
        <v>17562</v>
      </c>
      <c r="S355" s="49"/>
      <c r="T355" s="50"/>
      <c r="U355" s="115"/>
      <c r="V355" s="35"/>
      <c r="W355" s="12" t="s">
        <v>398</v>
      </c>
      <c r="X355" s="13">
        <v>0.2</v>
      </c>
      <c r="Y355" s="57" t="s">
        <v>3575</v>
      </c>
      <c r="Z355" s="208">
        <f>ROUND((ROUND((ROUND((_15_同援日２．５*(1+_15・A深夜)),0)*(1+_15・盲ろう)),0)*(1+_15・区３)),0)+ROUND((ROUND((_15_同援日２．５＿０．５*(1+_15・盲ろう)),0)*(1+_15・区３)),0)</f>
        <v>1364</v>
      </c>
      <c r="AA355" s="48"/>
    </row>
    <row r="356" spans="1:27" ht="16.5" customHeight="1" x14ac:dyDescent="0.15">
      <c r="A356" s="41">
        <v>15</v>
      </c>
      <c r="B356" s="41" t="s">
        <v>22655</v>
      </c>
      <c r="C356" s="74" t="s">
        <v>22656</v>
      </c>
      <c r="D356" s="72"/>
      <c r="F356" s="57"/>
      <c r="G356" s="72"/>
      <c r="I356" s="57"/>
      <c r="J356" s="43"/>
      <c r="K356" s="37"/>
      <c r="L356" s="38"/>
      <c r="M356" s="299" t="s">
        <v>17556</v>
      </c>
      <c r="N356" s="45" t="s">
        <v>398</v>
      </c>
      <c r="O356" s="46">
        <v>1</v>
      </c>
      <c r="P356" s="512"/>
      <c r="Q356" s="57"/>
      <c r="R356" s="92" t="s">
        <v>17564</v>
      </c>
      <c r="U356" s="57"/>
      <c r="V356" s="35"/>
      <c r="Y356" s="57"/>
      <c r="Z356" s="208">
        <f>ROUND((ROUND((ROUND((ROUND((_15_同援日２．５*_15・２人),0)*(1+_15・A深夜)),0)*(1+_15・盲ろう)),0)*(1+_15・区３)),0)+ROUND((ROUND((ROUND((_15_同援日２．５＿０．５*_15・２人),0)*(1+_15・盲ろう)),0)*(1+_15・区３)),0)</f>
        <v>1364</v>
      </c>
      <c r="AA356" s="48"/>
    </row>
    <row r="357" spans="1:27" ht="16.5" customHeight="1" x14ac:dyDescent="0.15">
      <c r="A357" s="41">
        <v>15</v>
      </c>
      <c r="B357" s="41" t="s">
        <v>22657</v>
      </c>
      <c r="C357" s="74" t="s">
        <v>22658</v>
      </c>
      <c r="D357" s="72"/>
      <c r="F357" s="57"/>
      <c r="G357" s="72"/>
      <c r="I357" s="57"/>
      <c r="J357" s="114" t="s">
        <v>17558</v>
      </c>
      <c r="K357" s="49"/>
      <c r="L357" s="50"/>
      <c r="M357" s="163"/>
      <c r="N357" s="45"/>
      <c r="O357" s="46"/>
      <c r="P357" s="512"/>
      <c r="Q357" s="57"/>
      <c r="R357" s="35"/>
      <c r="S357" s="12" t="s">
        <v>398</v>
      </c>
      <c r="T357" s="13">
        <v>0.25</v>
      </c>
      <c r="U357" s="57" t="s">
        <v>3575</v>
      </c>
      <c r="V357" s="35"/>
      <c r="Y357" s="57"/>
      <c r="Z357" s="208">
        <f>ROUND((ROUND((ROUND((ROUND((_15_同援日２．５*_15・基礎２),0)*(1+_15・A深夜)),0)*(1+_15・盲ろう)),0)*(1+_15・区３)),0)+ROUND((ROUND((ROUND((_15_同援日２．５＿０．５*_15・基礎２),0)*(1+_15・盲ろう)),0)*(1+_15・区３)),0)</f>
        <v>1230</v>
      </c>
      <c r="AA357" s="48"/>
    </row>
    <row r="358" spans="1:27" ht="16.5" customHeight="1" x14ac:dyDescent="0.15">
      <c r="A358" s="41">
        <v>15</v>
      </c>
      <c r="B358" s="41" t="s">
        <v>22659</v>
      </c>
      <c r="C358" s="74" t="s">
        <v>22660</v>
      </c>
      <c r="D358" s="72"/>
      <c r="F358" s="57"/>
      <c r="G358" s="72"/>
      <c r="I358" s="57"/>
      <c r="J358" s="269" t="s">
        <v>17560</v>
      </c>
      <c r="K358" s="37" t="s">
        <v>398</v>
      </c>
      <c r="L358" s="38">
        <v>0.9</v>
      </c>
      <c r="M358" s="299" t="s">
        <v>17556</v>
      </c>
      <c r="N358" s="45" t="s">
        <v>398</v>
      </c>
      <c r="O358" s="46">
        <v>1</v>
      </c>
      <c r="P358" s="512"/>
      <c r="Q358" s="57"/>
      <c r="R358" s="43"/>
      <c r="S358" s="37"/>
      <c r="T358" s="38"/>
      <c r="U358" s="79"/>
      <c r="V358" s="43"/>
      <c r="W358" s="37"/>
      <c r="X358" s="38"/>
      <c r="Y358" s="79"/>
      <c r="Z358" s="208">
        <f>ROUND((ROUND((ROUND((ROUND((ROUND((_15_同援日２．５*_15・基礎２),0)*_15・２人),0)*(1+_15・A深夜)),0)*(1+_15・盲ろう)),0)*(1+_15・区３)),0)+ROUND((ROUND((ROUND((ROUND((_15_同援日２．５＿０．５*_15・基礎２),0)*_15・２人),0)*(1+_15・盲ろう)),0)*(1+_15・区３)),0)</f>
        <v>1230</v>
      </c>
      <c r="AA358" s="48"/>
    </row>
    <row r="359" spans="1:27" ht="16.5" customHeight="1" x14ac:dyDescent="0.15">
      <c r="A359" s="41">
        <v>15</v>
      </c>
      <c r="B359" s="41" t="s">
        <v>22661</v>
      </c>
      <c r="C359" s="74" t="s">
        <v>22662</v>
      </c>
      <c r="D359" s="72"/>
      <c r="F359" s="57"/>
      <c r="G359" s="72"/>
      <c r="I359" s="57"/>
      <c r="J359" s="53"/>
      <c r="K359" s="49"/>
      <c r="L359" s="50"/>
      <c r="M359" s="163"/>
      <c r="N359" s="45"/>
      <c r="O359" s="46"/>
      <c r="P359" s="512"/>
      <c r="Q359" s="57"/>
      <c r="R359" s="53"/>
      <c r="S359" s="49"/>
      <c r="T359" s="50"/>
      <c r="U359" s="115"/>
      <c r="V359" s="53"/>
      <c r="W359" s="49"/>
      <c r="X359" s="50"/>
      <c r="Y359" s="115"/>
      <c r="Z359" s="208">
        <f>ROUND((ROUND((_15_同援日２．５*(1+_15・A深夜)),0)*(1+_15・区４)),0)+ROUND((_15_同援日２．５＿０．５*(1+_15・区４)),0)</f>
        <v>1274</v>
      </c>
      <c r="AA359" s="48"/>
    </row>
    <row r="360" spans="1:27" ht="16.5" customHeight="1" x14ac:dyDescent="0.15">
      <c r="A360" s="41">
        <v>15</v>
      </c>
      <c r="B360" s="41" t="s">
        <v>22663</v>
      </c>
      <c r="C360" s="74" t="s">
        <v>22664</v>
      </c>
      <c r="D360" s="72"/>
      <c r="F360" s="57"/>
      <c r="G360" s="72"/>
      <c r="I360" s="57"/>
      <c r="J360" s="43"/>
      <c r="K360" s="37"/>
      <c r="L360" s="38"/>
      <c r="M360" s="299" t="s">
        <v>17556</v>
      </c>
      <c r="N360" s="45" t="s">
        <v>398</v>
      </c>
      <c r="O360" s="46">
        <v>1</v>
      </c>
      <c r="P360" s="512"/>
      <c r="Q360" s="57"/>
      <c r="R360" s="35"/>
      <c r="U360" s="57"/>
      <c r="V360" s="35"/>
      <c r="Y360" s="57"/>
      <c r="Z360" s="208">
        <f>ROUND((ROUND((ROUND((_15_同援日２．５*_15・２人),0)*(1+_15・A深夜)),0)*(1+_15・区４)),0)+ROUND((ROUND((_15_同援日２．５＿０．５*_15・２人),0)*(1+_15・区４)),0)</f>
        <v>1274</v>
      </c>
      <c r="AA360" s="48"/>
    </row>
    <row r="361" spans="1:27" ht="16.5" customHeight="1" x14ac:dyDescent="0.15">
      <c r="A361" s="41">
        <v>15</v>
      </c>
      <c r="B361" s="41" t="s">
        <v>22665</v>
      </c>
      <c r="C361" s="74" t="s">
        <v>22666</v>
      </c>
      <c r="D361" s="72"/>
      <c r="F361" s="57"/>
      <c r="G361" s="72"/>
      <c r="I361" s="57"/>
      <c r="J361" s="114" t="s">
        <v>17558</v>
      </c>
      <c r="K361" s="49"/>
      <c r="L361" s="50"/>
      <c r="M361" s="163"/>
      <c r="N361" s="45"/>
      <c r="O361" s="46"/>
      <c r="P361" s="512"/>
      <c r="Q361" s="57"/>
      <c r="R361" s="35"/>
      <c r="U361" s="57"/>
      <c r="V361" s="72" t="s">
        <v>17580</v>
      </c>
      <c r="Y361" s="57"/>
      <c r="Z361" s="208">
        <f>ROUND((ROUND((ROUND((_15_同援日２．５*_15・基礎２),0)*(1+_15・A深夜)),0)*(1+_15・区４)),0)+ROUND((ROUND((_15_同援日２．５＿０．５*_15・基礎２),0)*(1+_15・区４)),0)</f>
        <v>1148</v>
      </c>
      <c r="AA361" s="48"/>
    </row>
    <row r="362" spans="1:27" ht="16.5" customHeight="1" x14ac:dyDescent="0.15">
      <c r="A362" s="41">
        <v>15</v>
      </c>
      <c r="B362" s="41" t="s">
        <v>22667</v>
      </c>
      <c r="C362" s="74" t="s">
        <v>22668</v>
      </c>
      <c r="D362" s="72"/>
      <c r="F362" s="57"/>
      <c r="G362" s="72"/>
      <c r="I362" s="57"/>
      <c r="J362" s="269" t="s">
        <v>17560</v>
      </c>
      <c r="K362" s="37" t="s">
        <v>398</v>
      </c>
      <c r="L362" s="38">
        <v>0.9</v>
      </c>
      <c r="M362" s="299" t="s">
        <v>17556</v>
      </c>
      <c r="N362" s="45" t="s">
        <v>398</v>
      </c>
      <c r="O362" s="46">
        <v>1</v>
      </c>
      <c r="P362" s="512"/>
      <c r="Q362" s="57"/>
      <c r="R362" s="43"/>
      <c r="S362" s="37"/>
      <c r="T362" s="38"/>
      <c r="U362" s="79"/>
      <c r="V362" s="72" t="s">
        <v>17572</v>
      </c>
      <c r="Y362" s="57"/>
      <c r="Z362" s="208">
        <f>ROUND((ROUND((ROUND((ROUND((_15_同援日２．５*_15・基礎２),0)*_15・２人),0)*(1+_15・A深夜)),0)*(1+_15・区４)),0)+ROUND((ROUND((ROUND((_15_同援日２．５＿０．５*_15・基礎２),0)*_15・２人),0)*(1+_15・区４)),0)</f>
        <v>1148</v>
      </c>
      <c r="AA362" s="48"/>
    </row>
    <row r="363" spans="1:27" ht="16.5" customHeight="1" x14ac:dyDescent="0.15">
      <c r="A363" s="41">
        <v>15</v>
      </c>
      <c r="B363" s="41" t="s">
        <v>22669</v>
      </c>
      <c r="C363" s="74" t="s">
        <v>22670</v>
      </c>
      <c r="D363" s="72"/>
      <c r="F363" s="57"/>
      <c r="G363" s="72"/>
      <c r="I363" s="57"/>
      <c r="J363" s="53"/>
      <c r="K363" s="49"/>
      <c r="L363" s="50"/>
      <c r="M363" s="163"/>
      <c r="N363" s="45"/>
      <c r="O363" s="46"/>
      <c r="P363" s="512"/>
      <c r="Q363" s="57"/>
      <c r="R363" s="114" t="s">
        <v>17562</v>
      </c>
      <c r="S363" s="49"/>
      <c r="T363" s="50"/>
      <c r="U363" s="115"/>
      <c r="V363" s="35"/>
      <c r="W363" s="12" t="s">
        <v>398</v>
      </c>
      <c r="X363" s="13">
        <v>0.4</v>
      </c>
      <c r="Y363" s="57" t="s">
        <v>3575</v>
      </c>
      <c r="Z363" s="208">
        <f>ROUND((ROUND((ROUND((_15_同援日２．５*(1+_15・A深夜)),0)*(1+_15・盲ろう)),0)*(1+_15・区４)),0)+ROUND((ROUND((_15_同援日２．５＿０．５*(1+_15・盲ろう)),0)*(1+_15・区４)),0)</f>
        <v>1591</v>
      </c>
      <c r="AA363" s="48"/>
    </row>
    <row r="364" spans="1:27" ht="16.5" customHeight="1" x14ac:dyDescent="0.15">
      <c r="A364" s="41">
        <v>15</v>
      </c>
      <c r="B364" s="41" t="s">
        <v>22671</v>
      </c>
      <c r="C364" s="74" t="s">
        <v>22672</v>
      </c>
      <c r="D364" s="72"/>
      <c r="F364" s="57"/>
      <c r="G364" s="72"/>
      <c r="I364" s="57"/>
      <c r="J364" s="43"/>
      <c r="K364" s="37"/>
      <c r="L364" s="38"/>
      <c r="M364" s="299" t="s">
        <v>17556</v>
      </c>
      <c r="N364" s="45" t="s">
        <v>398</v>
      </c>
      <c r="O364" s="46">
        <v>1</v>
      </c>
      <c r="P364" s="512"/>
      <c r="Q364" s="57"/>
      <c r="R364" s="92" t="s">
        <v>17564</v>
      </c>
      <c r="U364" s="57"/>
      <c r="V364" s="35"/>
      <c r="Y364" s="57"/>
      <c r="Z364" s="208">
        <f>ROUND((ROUND((ROUND((ROUND((_15_同援日２．５*_15・２人),0)*(1+_15・A深夜)),0)*(1+_15・盲ろう)),0)*(1+_15・区４)),0)+ROUND((ROUND((ROUND((_15_同援日２．５＿０．５*_15・２人),0)*(1+_15・盲ろう)),0)*(1+_15・区４)),0)</f>
        <v>1591</v>
      </c>
      <c r="AA364" s="48"/>
    </row>
    <row r="365" spans="1:27" ht="16.5" customHeight="1" x14ac:dyDescent="0.15">
      <c r="A365" s="41">
        <v>15</v>
      </c>
      <c r="B365" s="41" t="s">
        <v>22673</v>
      </c>
      <c r="C365" s="74" t="s">
        <v>22674</v>
      </c>
      <c r="D365" s="72"/>
      <c r="F365" s="57"/>
      <c r="G365" s="72"/>
      <c r="I365" s="57"/>
      <c r="J365" s="114" t="s">
        <v>17558</v>
      </c>
      <c r="K365" s="49"/>
      <c r="L365" s="50"/>
      <c r="M365" s="163"/>
      <c r="N365" s="45"/>
      <c r="O365" s="46"/>
      <c r="P365" s="512"/>
      <c r="Q365" s="57"/>
      <c r="R365" s="35"/>
      <c r="S365" s="12" t="s">
        <v>398</v>
      </c>
      <c r="T365" s="13">
        <v>0.25</v>
      </c>
      <c r="U365" s="57" t="s">
        <v>3575</v>
      </c>
      <c r="V365" s="35"/>
      <c r="Y365" s="57"/>
      <c r="Z365" s="208">
        <f>ROUND((ROUND((ROUND((ROUND((_15_同援日２．５*_15・基礎２),0)*(1+_15・A深夜)),0)*(1+_15・盲ろう)),0)*(1+_15・区４)),0)+ROUND((ROUND((ROUND((_15_同援日２．５＿０．５*_15・基礎２),0)*(1+_15・盲ろう)),0)*(1+_15・区４)),0)</f>
        <v>1435</v>
      </c>
      <c r="AA365" s="48"/>
    </row>
    <row r="366" spans="1:27" ht="16.5" customHeight="1" x14ac:dyDescent="0.15">
      <c r="A366" s="41">
        <v>15</v>
      </c>
      <c r="B366" s="41" t="s">
        <v>22675</v>
      </c>
      <c r="C366" s="74" t="s">
        <v>22676</v>
      </c>
      <c r="D366" s="122"/>
      <c r="E366" s="37"/>
      <c r="F366" s="79"/>
      <c r="G366" s="122"/>
      <c r="H366" s="37"/>
      <c r="I366" s="79"/>
      <c r="J366" s="269" t="s">
        <v>17560</v>
      </c>
      <c r="K366" s="37" t="s">
        <v>398</v>
      </c>
      <c r="L366" s="38">
        <v>0.9</v>
      </c>
      <c r="M366" s="299" t="s">
        <v>17556</v>
      </c>
      <c r="N366" s="45" t="s">
        <v>398</v>
      </c>
      <c r="O366" s="46">
        <v>1</v>
      </c>
      <c r="P366" s="514"/>
      <c r="Q366" s="79"/>
      <c r="R366" s="43"/>
      <c r="S366" s="37"/>
      <c r="T366" s="38"/>
      <c r="U366" s="79"/>
      <c r="V366" s="43"/>
      <c r="W366" s="37"/>
      <c r="X366" s="38"/>
      <c r="Y366" s="79"/>
      <c r="Z366" s="208">
        <f>ROUND((ROUND((ROUND((ROUND((ROUND((_15_同援日２．５*_15・基礎２),0)*_15・２人),0)*(1+_15・A深夜)),0)*(1+_15・盲ろう)),0)*(1+_15・区４)),0)+ROUND((ROUND((ROUND((ROUND((_15_同援日２．５＿０．５*_15・基礎２),0)*_15・２人),0)*(1+_15・盲ろう)),0)*(1+_15・区４)),0)</f>
        <v>1435</v>
      </c>
      <c r="AA366" s="63"/>
    </row>
    <row r="367" spans="1:27" ht="16.5" customHeight="1" x14ac:dyDescent="0.15"/>
    <row r="368" spans="1:27"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46" fitToHeight="0" orientation="portrait" r:id="rId1"/>
  <headerFooter>
    <oddHeader>&amp;R&amp;"ＭＳ Ｐゴシック"&amp;9同行援護</oddHeader>
    <oddFooter>&amp;C&amp;"ＭＳ Ｐゴシック"&amp;14&amp;P</oddFooter>
  </headerFooter>
  <rowBreaks count="3" manualBreakCount="3">
    <brk id="102" max="26" man="1"/>
    <brk id="198" max="26" man="1"/>
    <brk id="294" max="26"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1">
    <pageSetUpPr fitToPage="1"/>
  </sheetPr>
  <dimension ref="A1:AF517"/>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4.5" style="10" customWidth="1"/>
    <col min="5" max="5" width="4.125" style="12" bestFit="1" customWidth="1"/>
    <col min="6" max="6" width="4.875" style="12" bestFit="1" customWidth="1"/>
    <col min="7" max="7" width="4.5" style="10" customWidth="1"/>
    <col min="8" max="8" width="4.125" style="12" bestFit="1" customWidth="1"/>
    <col min="9" max="9" width="4.875" style="12" bestFit="1" customWidth="1"/>
    <col min="10" max="10" width="4.5" style="10" customWidth="1"/>
    <col min="11" max="11" width="4.125" style="12" bestFit="1" customWidth="1"/>
    <col min="12" max="12" width="4.875" style="12" bestFit="1" customWidth="1"/>
    <col min="13" max="13" width="14.5" style="12" customWidth="1"/>
    <col min="14" max="14" width="3.125" style="12" bestFit="1" customWidth="1"/>
    <col min="15" max="15" width="4.125" style="13" bestFit="1" customWidth="1"/>
    <col min="16" max="16" width="25.5" style="12" customWidth="1"/>
    <col min="17" max="17" width="3.125" style="12" bestFit="1" customWidth="1"/>
    <col min="18" max="18" width="5" style="13" bestFit="1" customWidth="1"/>
    <col min="19" max="19" width="4.125" style="13" bestFit="1" customWidth="1"/>
    <col min="20" max="20" width="4.875" style="12" bestFit="1" customWidth="1"/>
    <col min="21" max="21" width="4.125" style="13" bestFit="1" customWidth="1"/>
    <col min="22" max="22" width="4.875" style="12" bestFit="1" customWidth="1"/>
    <col min="23" max="23" width="10.5" style="12" customWidth="1"/>
    <col min="24" max="24" width="3.125" style="12" bestFit="1" customWidth="1"/>
    <col min="25" max="25" width="4.125" style="13" bestFit="1" customWidth="1"/>
    <col min="26" max="26" width="4.875" style="12" bestFit="1" customWidth="1"/>
    <col min="27" max="27" width="8.5" style="12" customWidth="1"/>
    <col min="28" max="28" width="3.125" style="12" bestFit="1" customWidth="1"/>
    <col min="29" max="29" width="4.125" style="13" bestFit="1" customWidth="1"/>
    <col min="30" max="30" width="4.875" style="12" bestFit="1" customWidth="1"/>
    <col min="31" max="31" width="7.125" style="206" customWidth="1"/>
    <col min="32" max="32" width="8.5" style="16" customWidth="1"/>
    <col min="33" max="16384" width="9" style="12"/>
  </cols>
  <sheetData>
    <row r="1" spans="1:32" ht="17.100000000000001" customHeight="1" x14ac:dyDescent="0.15"/>
    <row r="2" spans="1:32" ht="17.100000000000001" customHeight="1" x14ac:dyDescent="0.15"/>
    <row r="3" spans="1:32" ht="17.100000000000001" customHeight="1" x14ac:dyDescent="0.15"/>
    <row r="4" spans="1:32" ht="17.100000000000001" customHeight="1" x14ac:dyDescent="0.15">
      <c r="B4" s="17" t="s">
        <v>22677</v>
      </c>
      <c r="D4" s="71"/>
      <c r="I4" s="10"/>
    </row>
    <row r="5" spans="1:32" ht="16.5" customHeight="1" x14ac:dyDescent="0.15">
      <c r="A5" s="19" t="s">
        <v>384</v>
      </c>
      <c r="B5" s="20"/>
      <c r="C5" s="21" t="s">
        <v>385</v>
      </c>
      <c r="D5" s="23" t="s">
        <v>386</v>
      </c>
      <c r="E5" s="23"/>
      <c r="F5" s="23"/>
      <c r="G5" s="23"/>
      <c r="H5" s="23"/>
      <c r="I5" s="23"/>
      <c r="J5" s="23"/>
      <c r="K5" s="23"/>
      <c r="L5" s="23"/>
      <c r="M5" s="23"/>
      <c r="N5" s="23"/>
      <c r="O5" s="24"/>
      <c r="P5" s="23"/>
      <c r="Q5" s="23"/>
      <c r="R5" s="24"/>
      <c r="S5" s="24"/>
      <c r="T5" s="23"/>
      <c r="U5" s="24"/>
      <c r="V5" s="23"/>
      <c r="W5" s="23"/>
      <c r="X5" s="23"/>
      <c r="Y5" s="24"/>
      <c r="Z5" s="23"/>
      <c r="AA5" s="23"/>
      <c r="AB5" s="23"/>
      <c r="AC5" s="24"/>
      <c r="AD5" s="23"/>
      <c r="AE5" s="21" t="s">
        <v>387</v>
      </c>
      <c r="AF5" s="21" t="s">
        <v>388</v>
      </c>
    </row>
    <row r="6" spans="1:32" ht="16.5" customHeight="1" x14ac:dyDescent="0.15">
      <c r="A6" s="26" t="s">
        <v>22678</v>
      </c>
      <c r="B6" s="26" t="s">
        <v>390</v>
      </c>
      <c r="C6" s="27"/>
      <c r="D6" s="29"/>
      <c r="E6" s="29"/>
      <c r="F6" s="29"/>
      <c r="G6" s="87" t="s">
        <v>1032</v>
      </c>
      <c r="H6" s="187"/>
      <c r="I6" s="20"/>
      <c r="J6" s="87" t="s">
        <v>1033</v>
      </c>
      <c r="K6" s="187"/>
      <c r="L6" s="20"/>
      <c r="M6" s="29"/>
      <c r="N6" s="29"/>
      <c r="O6" s="30"/>
      <c r="P6" s="29"/>
      <c r="Q6" s="29"/>
      <c r="R6" s="30"/>
      <c r="S6" s="30"/>
      <c r="T6" s="29"/>
      <c r="U6" s="30"/>
      <c r="V6" s="29"/>
      <c r="W6" s="29"/>
      <c r="X6" s="29"/>
      <c r="Y6" s="30"/>
      <c r="Z6" s="29"/>
      <c r="AA6" s="29"/>
      <c r="AB6" s="29"/>
      <c r="AC6" s="30"/>
      <c r="AD6" s="29"/>
      <c r="AE6" s="32" t="s">
        <v>391</v>
      </c>
      <c r="AF6" s="32" t="s">
        <v>392</v>
      </c>
    </row>
    <row r="7" spans="1:32" ht="16.5" customHeight="1" x14ac:dyDescent="0.15">
      <c r="A7" s="33">
        <v>15</v>
      </c>
      <c r="B7" s="33" t="s">
        <v>22679</v>
      </c>
      <c r="C7" s="34" t="s">
        <v>22680</v>
      </c>
      <c r="D7" s="72" t="s">
        <v>17553</v>
      </c>
      <c r="F7" s="57"/>
      <c r="G7" s="72" t="s">
        <v>19553</v>
      </c>
      <c r="I7" s="57"/>
      <c r="J7" s="72" t="s">
        <v>22681</v>
      </c>
      <c r="L7" s="57"/>
      <c r="M7" s="72"/>
      <c r="P7" s="122"/>
      <c r="Q7" s="37"/>
      <c r="R7" s="38"/>
      <c r="S7" s="512"/>
      <c r="T7" s="57"/>
      <c r="U7" s="512"/>
      <c r="V7" s="57"/>
      <c r="W7" s="72"/>
      <c r="Z7" s="57"/>
      <c r="AA7" s="72"/>
      <c r="AD7" s="57"/>
      <c r="AE7" s="207">
        <f>_15_同援日０．５+ROUND((_15_同援日０．５＿０．５*(1+_15・B夜間)),0)+ROUND((_15_同援日０．５＿０．５＿０．５*(1+_15・C深夜)),0)</f>
        <v>528</v>
      </c>
      <c r="AF7" s="40" t="s">
        <v>395</v>
      </c>
    </row>
    <row r="8" spans="1:32" ht="16.5" customHeight="1" x14ac:dyDescent="0.15">
      <c r="A8" s="41">
        <v>15</v>
      </c>
      <c r="B8" s="41" t="s">
        <v>22682</v>
      </c>
      <c r="C8" s="74" t="s">
        <v>22683</v>
      </c>
      <c r="D8" s="72" t="s">
        <v>18259</v>
      </c>
      <c r="F8" s="57"/>
      <c r="G8" s="72" t="s">
        <v>18259</v>
      </c>
      <c r="I8" s="57"/>
      <c r="J8" s="72" t="s">
        <v>18259</v>
      </c>
      <c r="L8" s="57"/>
      <c r="M8" s="122"/>
      <c r="N8" s="37"/>
      <c r="O8" s="38"/>
      <c r="P8" s="299" t="s">
        <v>17556</v>
      </c>
      <c r="Q8" s="45" t="s">
        <v>398</v>
      </c>
      <c r="R8" s="46">
        <v>1</v>
      </c>
      <c r="S8" s="512"/>
      <c r="T8" s="57"/>
      <c r="U8" s="512"/>
      <c r="V8" s="57"/>
      <c r="W8" s="72"/>
      <c r="Z8" s="57"/>
      <c r="AA8" s="72"/>
      <c r="AD8" s="57"/>
      <c r="AE8" s="208">
        <f>ROUND((_15_同援日０．５*_15・２人),0)+ROUND((ROUND((_15_同援日０．５＿０．５*_15・２人),0)*(1+_15・B夜間)),0)+ROUND((ROUND((_15_同援日０．５＿０．５＿０．５*_15・２人),0)*(1+_15・C深夜)),0)</f>
        <v>528</v>
      </c>
      <c r="AF8" s="48"/>
    </row>
    <row r="9" spans="1:32" ht="16.5" customHeight="1" x14ac:dyDescent="0.15">
      <c r="A9" s="41">
        <v>15</v>
      </c>
      <c r="B9" s="41" t="s">
        <v>1433</v>
      </c>
      <c r="C9" s="74" t="s">
        <v>22684</v>
      </c>
      <c r="D9" s="72"/>
      <c r="F9" s="57"/>
      <c r="G9" s="72"/>
      <c r="I9" s="57"/>
      <c r="J9" s="72"/>
      <c r="L9" s="57"/>
      <c r="M9" s="114" t="s">
        <v>17558</v>
      </c>
      <c r="N9" s="49"/>
      <c r="O9" s="50"/>
      <c r="P9" s="299"/>
      <c r="Q9" s="45"/>
      <c r="R9" s="46"/>
      <c r="S9" s="512"/>
      <c r="T9" s="57"/>
      <c r="U9" s="512"/>
      <c r="V9" s="57"/>
      <c r="W9" s="72"/>
      <c r="Z9" s="57"/>
      <c r="AA9" s="72"/>
      <c r="AD9" s="57"/>
      <c r="AE9" s="208">
        <f>ROUND((_15_同援日０．５*_15・基礎２),0)+ROUND((ROUND((_15_同援日０．５＿０．５*_15・基礎２),0)*(1+_15・B夜間)),0)+ROUND((ROUND((_15_同援日０．５＿０．５＿０．５*_15・基礎２),0)*(1+_15・C深夜)),0)</f>
        <v>475</v>
      </c>
      <c r="AF9" s="48"/>
    </row>
    <row r="10" spans="1:32" ht="16.5" customHeight="1" x14ac:dyDescent="0.15">
      <c r="A10" s="41">
        <v>15</v>
      </c>
      <c r="B10" s="41" t="s">
        <v>1435</v>
      </c>
      <c r="C10" s="74" t="s">
        <v>22685</v>
      </c>
      <c r="D10" s="72"/>
      <c r="E10" s="168">
        <f>_15_同援日０．５</f>
        <v>190</v>
      </c>
      <c r="F10" s="57" t="s">
        <v>392</v>
      </c>
      <c r="G10" s="72"/>
      <c r="H10" s="168">
        <f>_15_同援日０．５＿０．５</f>
        <v>110</v>
      </c>
      <c r="I10" s="57" t="s">
        <v>392</v>
      </c>
      <c r="J10" s="72"/>
      <c r="K10" s="168">
        <f>_15_同援日０．５＿０．５＿０．５</f>
        <v>133</v>
      </c>
      <c r="L10" s="57" t="s">
        <v>392</v>
      </c>
      <c r="M10" s="122" t="s">
        <v>17560</v>
      </c>
      <c r="N10" s="37" t="s">
        <v>398</v>
      </c>
      <c r="O10" s="38">
        <v>0.9</v>
      </c>
      <c r="P10" s="299" t="s">
        <v>17556</v>
      </c>
      <c r="Q10" s="45" t="s">
        <v>398</v>
      </c>
      <c r="R10" s="46">
        <v>1</v>
      </c>
      <c r="S10" s="512"/>
      <c r="T10" s="57"/>
      <c r="U10" s="512"/>
      <c r="V10" s="57"/>
      <c r="W10" s="122"/>
      <c r="X10" s="37"/>
      <c r="Y10" s="38"/>
      <c r="Z10" s="79"/>
      <c r="AA10" s="72"/>
      <c r="AD10" s="57"/>
      <c r="AE10" s="208">
        <f>ROUND((ROUND((_15_同援日０．５*_15・基礎２),0)*_15・２人),0)+ROUND((ROUND((ROUND((_15_同援日０．５＿０．５*_15・基礎２),0)*_15・２人),0)*(1+_15・B夜間)),0)+ROUND((ROUND((ROUND((_15_同援日０．５＿０．５＿０．５*_15・基礎２),0)*_15・２人),0)*(1+_15・C深夜)),0)</f>
        <v>475</v>
      </c>
      <c r="AF10" s="48"/>
    </row>
    <row r="11" spans="1:32" ht="16.5" customHeight="1" x14ac:dyDescent="0.15">
      <c r="A11" s="41">
        <v>15</v>
      </c>
      <c r="B11" s="41" t="s">
        <v>1437</v>
      </c>
      <c r="C11" s="74" t="s">
        <v>22686</v>
      </c>
      <c r="D11" s="72"/>
      <c r="F11" s="57"/>
      <c r="G11" s="72"/>
      <c r="I11" s="57"/>
      <c r="J11" s="72"/>
      <c r="L11" s="57"/>
      <c r="M11" s="114"/>
      <c r="N11" s="49"/>
      <c r="O11" s="50"/>
      <c r="P11" s="299"/>
      <c r="Q11" s="45"/>
      <c r="R11" s="46"/>
      <c r="S11" s="512"/>
      <c r="T11" s="57"/>
      <c r="U11" s="512"/>
      <c r="V11" s="57"/>
      <c r="W11" s="114" t="s">
        <v>17562</v>
      </c>
      <c r="X11" s="49"/>
      <c r="Y11" s="50"/>
      <c r="Z11" s="115"/>
      <c r="AA11" s="72"/>
      <c r="AD11" s="57"/>
      <c r="AE11" s="208">
        <f>ROUND((_15_同援日０．５*(1+_15・盲ろう)),0)+ROUND((ROUND((_15_同援日０．５＿０．５*(1+_15・B夜間)),0)*(1+_15・盲ろう)),0)+ROUND((ROUND((_15_同援日０．５＿０．５＿０．５*(1+_15・C深夜)),0)*(1+_15・盲ろう)),0)</f>
        <v>661</v>
      </c>
      <c r="AF11" s="48"/>
    </row>
    <row r="12" spans="1:32" ht="16.5" customHeight="1" x14ac:dyDescent="0.15">
      <c r="A12" s="41">
        <v>15</v>
      </c>
      <c r="B12" s="41" t="s">
        <v>1439</v>
      </c>
      <c r="C12" s="74" t="s">
        <v>22687</v>
      </c>
      <c r="D12" s="72"/>
      <c r="F12" s="57"/>
      <c r="G12" s="72"/>
      <c r="I12" s="57"/>
      <c r="J12" s="72"/>
      <c r="L12" s="57"/>
      <c r="M12" s="122"/>
      <c r="N12" s="37"/>
      <c r="O12" s="38"/>
      <c r="P12" s="299" t="s">
        <v>17556</v>
      </c>
      <c r="Q12" s="45" t="s">
        <v>398</v>
      </c>
      <c r="R12" s="46">
        <v>1</v>
      </c>
      <c r="S12" s="517" t="s">
        <v>18264</v>
      </c>
      <c r="T12" s="57"/>
      <c r="U12" s="526" t="s">
        <v>18493</v>
      </c>
      <c r="V12" s="57"/>
      <c r="W12" s="72" t="s">
        <v>17564</v>
      </c>
      <c r="Z12" s="57"/>
      <c r="AA12" s="72"/>
      <c r="AD12" s="57"/>
      <c r="AE12" s="208">
        <f>ROUND((ROUND((_15_同援日０．５*_15・２人),0)*(1+_15・盲ろう)),0)+ROUND((ROUND((ROUND((_15_同援日０．５＿０．５*_15・２人),0)*(1+_15・B夜間)),0)*(1+_15・盲ろう)),0)+ROUND((ROUND((ROUND((_15_同援日０．５＿０．５＿０．５*_15・２人),0)*(1+_15・C深夜)),0)*(1+_15・盲ろう)),0)</f>
        <v>661</v>
      </c>
      <c r="AF12" s="48"/>
    </row>
    <row r="13" spans="1:32" ht="16.5" customHeight="1" x14ac:dyDescent="0.15">
      <c r="A13" s="41">
        <v>15</v>
      </c>
      <c r="B13" s="41" t="s">
        <v>22688</v>
      </c>
      <c r="C13" s="74" t="s">
        <v>22689</v>
      </c>
      <c r="D13" s="72"/>
      <c r="F13" s="57"/>
      <c r="G13" s="72"/>
      <c r="I13" s="57"/>
      <c r="J13" s="72"/>
      <c r="L13" s="57"/>
      <c r="M13" s="114" t="s">
        <v>17558</v>
      </c>
      <c r="N13" s="49"/>
      <c r="O13" s="50"/>
      <c r="P13" s="299"/>
      <c r="Q13" s="45"/>
      <c r="R13" s="46"/>
      <c r="S13" s="512"/>
      <c r="T13" s="519" t="s">
        <v>18826</v>
      </c>
      <c r="U13" s="512"/>
      <c r="V13" s="519" t="s">
        <v>18827</v>
      </c>
      <c r="W13" s="72"/>
      <c r="X13" s="12" t="s">
        <v>398</v>
      </c>
      <c r="Y13" s="13">
        <v>0.25</v>
      </c>
      <c r="Z13" s="57" t="s">
        <v>3575</v>
      </c>
      <c r="AA13" s="72"/>
      <c r="AD13" s="57"/>
      <c r="AE13" s="208">
        <f>ROUND((ROUND((_15_同援日０．５*_15・基礎２),0)*(1+_15・盲ろう)),0)+ROUND((ROUND((ROUND((_15_同援日０．５＿０．５*_15・基礎２),0)*(1+_15・B夜間)),0)*(1+_15・盲ろう)),0)+ROUND((ROUND((ROUND((_15_同援日０．５＿０．５＿０．５*_15・基礎２),0)*(1+_15・C深夜)),0)*(1+_15・盲ろう)),0)</f>
        <v>594</v>
      </c>
      <c r="AF13" s="48"/>
    </row>
    <row r="14" spans="1:32" ht="16.5" customHeight="1" x14ac:dyDescent="0.15">
      <c r="A14" s="41">
        <v>15</v>
      </c>
      <c r="B14" s="41" t="s">
        <v>22690</v>
      </c>
      <c r="C14" s="74" t="s">
        <v>22691</v>
      </c>
      <c r="D14" s="72"/>
      <c r="F14" s="57"/>
      <c r="G14" s="72"/>
      <c r="I14" s="57"/>
      <c r="J14" s="72"/>
      <c r="L14" s="57"/>
      <c r="M14" s="122" t="s">
        <v>17560</v>
      </c>
      <c r="N14" s="37" t="s">
        <v>398</v>
      </c>
      <c r="O14" s="38">
        <v>0.9</v>
      </c>
      <c r="P14" s="299" t="s">
        <v>17556</v>
      </c>
      <c r="Q14" s="45" t="s">
        <v>398</v>
      </c>
      <c r="R14" s="46">
        <v>1</v>
      </c>
      <c r="S14" s="512"/>
      <c r="T14" s="57"/>
      <c r="U14" s="512"/>
      <c r="V14" s="57"/>
      <c r="W14" s="122"/>
      <c r="X14" s="37"/>
      <c r="Y14" s="38"/>
      <c r="Z14" s="79"/>
      <c r="AA14" s="122"/>
      <c r="AB14" s="37"/>
      <c r="AC14" s="38"/>
      <c r="AD14" s="79"/>
      <c r="AE14" s="208">
        <f>ROUND((ROUND((ROUND((_15_同援日０．５*_15・基礎２),0)*_15・２人),0)*(1+_15・盲ろう)),0)+ROUND((ROUND((ROUND((ROUND((_15_同援日０．５＿０．５*_15・基礎２),0)*_15・２人),0)*(1+_15・B夜間)),0)*(1+_15・盲ろう)),0)+ROUND((ROUND((ROUND((ROUND((_15_同援日０．５＿０．５＿０．５*_15・基礎２),0)*_15・２人),0)*(1+_15・C深夜)),0)*(1+_15・盲ろう)),0)</f>
        <v>594</v>
      </c>
      <c r="AF14" s="48"/>
    </row>
    <row r="15" spans="1:32" ht="16.5" customHeight="1" x14ac:dyDescent="0.15">
      <c r="A15" s="41">
        <v>15</v>
      </c>
      <c r="B15" s="41" t="s">
        <v>22692</v>
      </c>
      <c r="C15" s="74" t="s">
        <v>22693</v>
      </c>
      <c r="D15" s="72"/>
      <c r="F15" s="57"/>
      <c r="G15" s="72"/>
      <c r="I15" s="57"/>
      <c r="J15" s="72"/>
      <c r="L15" s="57"/>
      <c r="M15" s="114"/>
      <c r="N15" s="49"/>
      <c r="O15" s="50"/>
      <c r="P15" s="299"/>
      <c r="Q15" s="45"/>
      <c r="R15" s="46"/>
      <c r="S15" s="35" t="s">
        <v>398</v>
      </c>
      <c r="T15" s="234">
        <v>0.25</v>
      </c>
      <c r="U15" s="35" t="s">
        <v>398</v>
      </c>
      <c r="V15" s="234">
        <v>0.5</v>
      </c>
      <c r="W15" s="114"/>
      <c r="X15" s="49"/>
      <c r="Y15" s="50"/>
      <c r="Z15" s="115"/>
      <c r="AA15" s="114"/>
      <c r="AB15" s="49"/>
      <c r="AC15" s="50"/>
      <c r="AD15" s="115"/>
      <c r="AE15" s="208">
        <f>ROUND((_15_同援日０．５*(1+_15・区３)),0)+ROUND((ROUND((_15_同援日０．５＿０．５*(1+_15・B夜間)),0)*(1+_15・区３)),0)+ROUND((ROUND((_15_同援日０．５＿０．５＿０．５*(1+_15・C深夜)),0)*(1+_15・区３)),0)</f>
        <v>634</v>
      </c>
      <c r="AF15" s="48"/>
    </row>
    <row r="16" spans="1:32" ht="16.5" customHeight="1" x14ac:dyDescent="0.15">
      <c r="A16" s="41">
        <v>15</v>
      </c>
      <c r="B16" s="41" t="s">
        <v>22694</v>
      </c>
      <c r="C16" s="74" t="s">
        <v>22695</v>
      </c>
      <c r="D16" s="72"/>
      <c r="F16" s="57"/>
      <c r="G16" s="72"/>
      <c r="I16" s="57"/>
      <c r="J16" s="72"/>
      <c r="L16" s="57"/>
      <c r="M16" s="122"/>
      <c r="N16" s="37"/>
      <c r="O16" s="38"/>
      <c r="P16" s="299" t="s">
        <v>17556</v>
      </c>
      <c r="Q16" s="45" t="s">
        <v>398</v>
      </c>
      <c r="R16" s="46">
        <v>1</v>
      </c>
      <c r="S16" s="512"/>
      <c r="T16" s="513" t="s">
        <v>3575</v>
      </c>
      <c r="U16" s="512"/>
      <c r="V16" s="513" t="s">
        <v>3575</v>
      </c>
      <c r="W16" s="72"/>
      <c r="Z16" s="57"/>
      <c r="AA16" s="72"/>
      <c r="AD16" s="57"/>
      <c r="AE16" s="208">
        <f>ROUND((ROUND((_15_同援日０．５*_15・２人),0)*(1+_15・区３)),0)+ROUND((ROUND((ROUND((_15_同援日０．５＿０．５*_15・２人),0)*(1+_15・B夜間)),0)*(1+_15・区３)),0)+ROUND((ROUND((ROUND((_15_同援日０．５＿０．５＿０．５*_15・２人),0)*(1+_15・C深夜)),0)*(1+_15・区３)),0)</f>
        <v>634</v>
      </c>
      <c r="AF16" s="48"/>
    </row>
    <row r="17" spans="1:32" ht="16.5" customHeight="1" x14ac:dyDescent="0.15">
      <c r="A17" s="41">
        <v>15</v>
      </c>
      <c r="B17" s="41" t="s">
        <v>22696</v>
      </c>
      <c r="C17" s="74" t="s">
        <v>22697</v>
      </c>
      <c r="D17" s="72"/>
      <c r="F17" s="57"/>
      <c r="G17" s="72"/>
      <c r="I17" s="57"/>
      <c r="J17" s="72"/>
      <c r="L17" s="57"/>
      <c r="M17" s="114" t="s">
        <v>17558</v>
      </c>
      <c r="N17" s="49"/>
      <c r="O17" s="50"/>
      <c r="P17" s="299"/>
      <c r="Q17" s="45"/>
      <c r="R17" s="46"/>
      <c r="S17" s="512"/>
      <c r="T17" s="57"/>
      <c r="U17" s="512"/>
      <c r="V17" s="57"/>
      <c r="W17" s="72"/>
      <c r="Z17" s="57"/>
      <c r="AA17" s="72" t="s">
        <v>17570</v>
      </c>
      <c r="AD17" s="57"/>
      <c r="AE17" s="208">
        <f>ROUND((ROUND((_15_同援日０．５*_15・基礎２),0)*(1+_15・区３)),0)+ROUND((ROUND((ROUND((_15_同援日０．５＿０．５*_15・基礎２),0)*(1+_15・B夜間)),0)*(1+_15・区３)),0)+ROUND((ROUND((ROUND((_15_同援日０．５＿０．５＿０．５*_15・基礎２),0)*(1+_15・C深夜)),0)*(1+_15・区３)),0)</f>
        <v>570</v>
      </c>
      <c r="AF17" s="48"/>
    </row>
    <row r="18" spans="1:32" ht="16.5" customHeight="1" x14ac:dyDescent="0.15">
      <c r="A18" s="41">
        <v>15</v>
      </c>
      <c r="B18" s="41" t="s">
        <v>22698</v>
      </c>
      <c r="C18" s="74" t="s">
        <v>22699</v>
      </c>
      <c r="D18" s="72"/>
      <c r="F18" s="57"/>
      <c r="G18" s="72"/>
      <c r="I18" s="57"/>
      <c r="J18" s="72"/>
      <c r="L18" s="57"/>
      <c r="M18" s="122" t="s">
        <v>17560</v>
      </c>
      <c r="N18" s="37" t="s">
        <v>398</v>
      </c>
      <c r="O18" s="38">
        <v>0.9</v>
      </c>
      <c r="P18" s="299" t="s">
        <v>17556</v>
      </c>
      <c r="Q18" s="45" t="s">
        <v>398</v>
      </c>
      <c r="R18" s="46">
        <v>1</v>
      </c>
      <c r="S18" s="512"/>
      <c r="T18" s="57"/>
      <c r="U18" s="512"/>
      <c r="V18" s="57"/>
      <c r="W18" s="122"/>
      <c r="X18" s="37"/>
      <c r="Y18" s="38"/>
      <c r="Z18" s="79"/>
      <c r="AA18" s="72" t="s">
        <v>17572</v>
      </c>
      <c r="AD18" s="57"/>
      <c r="AE18" s="208">
        <f>ROUND((ROUND((ROUND((_15_同援日０．５*_15・基礎２),0)*_15・２人),0)*(1+_15・区３)),0)+ROUND((ROUND((ROUND((ROUND((_15_同援日０．５＿０．５*_15・基礎２),0)*_15・２人),0)*(1+_15・B夜間)),0)*(1+_15・区３)),0)+ROUND((ROUND((ROUND((ROUND((_15_同援日０．５＿０．５＿０．５*_15・基礎２),0)*_15・２人),0)*(1+_15・C深夜)),0)*(1+_15・区３)),0)</f>
        <v>570</v>
      </c>
      <c r="AF18" s="48"/>
    </row>
    <row r="19" spans="1:32" ht="16.5" customHeight="1" x14ac:dyDescent="0.15">
      <c r="A19" s="41">
        <v>15</v>
      </c>
      <c r="B19" s="41" t="s">
        <v>22700</v>
      </c>
      <c r="C19" s="74" t="s">
        <v>22701</v>
      </c>
      <c r="D19" s="72"/>
      <c r="F19" s="57"/>
      <c r="G19" s="72"/>
      <c r="I19" s="57"/>
      <c r="J19" s="72"/>
      <c r="L19" s="57"/>
      <c r="M19" s="114"/>
      <c r="N19" s="49"/>
      <c r="O19" s="50"/>
      <c r="P19" s="299"/>
      <c r="Q19" s="45"/>
      <c r="R19" s="46"/>
      <c r="S19" s="512"/>
      <c r="T19" s="57"/>
      <c r="U19" s="512"/>
      <c r="V19" s="57"/>
      <c r="W19" s="114" t="s">
        <v>17562</v>
      </c>
      <c r="X19" s="49"/>
      <c r="Y19" s="50"/>
      <c r="Z19" s="115"/>
      <c r="AA19" s="72"/>
      <c r="AB19" s="12" t="s">
        <v>398</v>
      </c>
      <c r="AC19" s="13">
        <v>0.2</v>
      </c>
      <c r="AD19" s="57" t="s">
        <v>3575</v>
      </c>
      <c r="AE19" s="208">
        <f>ROUND((ROUND((_15_同援日０．５*(1+_15・盲ろう)),0)*(1+_15・区３)),0)+ROUND((ROUND((ROUND((_15_同援日０．５＿０．５*(1+_15・B夜間)),0)*(1+_15・盲ろう)),0)*(1+_15・区３)),0)+ROUND((ROUND((ROUND((_15_同援日０．５＿０．５＿０．５*(1+_15・C深夜)),0)*(1+_15・盲ろう)),0)*(1+_15・区３)),0)</f>
        <v>794</v>
      </c>
      <c r="AF19" s="48"/>
    </row>
    <row r="20" spans="1:32" ht="16.5" customHeight="1" x14ac:dyDescent="0.15">
      <c r="A20" s="41">
        <v>15</v>
      </c>
      <c r="B20" s="41" t="s">
        <v>22702</v>
      </c>
      <c r="C20" s="74" t="s">
        <v>22703</v>
      </c>
      <c r="D20" s="72"/>
      <c r="F20" s="57"/>
      <c r="G20" s="72"/>
      <c r="I20" s="57"/>
      <c r="J20" s="72"/>
      <c r="L20" s="57"/>
      <c r="M20" s="122"/>
      <c r="N20" s="37"/>
      <c r="O20" s="38"/>
      <c r="P20" s="299" t="s">
        <v>17556</v>
      </c>
      <c r="Q20" s="45" t="s">
        <v>398</v>
      </c>
      <c r="R20" s="46">
        <v>1</v>
      </c>
      <c r="S20" s="512"/>
      <c r="T20" s="57"/>
      <c r="U20" s="512"/>
      <c r="V20" s="57"/>
      <c r="W20" s="72" t="s">
        <v>17564</v>
      </c>
      <c r="Z20" s="57"/>
      <c r="AA20" s="72"/>
      <c r="AD20" s="57"/>
      <c r="AE20" s="208">
        <f>ROUND((ROUND((ROUND((_15_同援日０．５*_15・２人),0)*(1+_15・盲ろう)),0)*(1+_15・区３)),0)+ROUND((ROUND((ROUND((ROUND((_15_同援日０．５＿０．５*_15・２人),0)*(1+_15・B夜間)),0)*(1+_15・盲ろう)),0)*(1+_15・区３)),0)+ROUND((ROUND((ROUND((ROUND((_15_同援日０．５＿０．５＿０．５*_15・２人),0)*(1+_15・C深夜)),0)*(1+_15・盲ろう)),0)*(1+_15・区３)),0)</f>
        <v>794</v>
      </c>
      <c r="AF20" s="48"/>
    </row>
    <row r="21" spans="1:32" ht="16.5" customHeight="1" x14ac:dyDescent="0.15">
      <c r="A21" s="41">
        <v>15</v>
      </c>
      <c r="B21" s="41" t="s">
        <v>22704</v>
      </c>
      <c r="C21" s="74" t="s">
        <v>22705</v>
      </c>
      <c r="D21" s="72"/>
      <c r="F21" s="57"/>
      <c r="G21" s="72"/>
      <c r="I21" s="57"/>
      <c r="J21" s="72"/>
      <c r="L21" s="57"/>
      <c r="M21" s="114" t="s">
        <v>17558</v>
      </c>
      <c r="N21" s="49"/>
      <c r="O21" s="50"/>
      <c r="P21" s="299"/>
      <c r="Q21" s="45"/>
      <c r="R21" s="46"/>
      <c r="S21" s="512"/>
      <c r="T21" s="57"/>
      <c r="U21" s="512"/>
      <c r="V21" s="57"/>
      <c r="W21" s="72"/>
      <c r="X21" s="12" t="s">
        <v>398</v>
      </c>
      <c r="Y21" s="13">
        <v>0.25</v>
      </c>
      <c r="Z21" s="57" t="s">
        <v>3575</v>
      </c>
      <c r="AA21" s="72"/>
      <c r="AD21" s="57"/>
      <c r="AE21" s="208">
        <f>ROUND((ROUND((ROUND((_15_同援日０．５*_15・基礎２),0)*(1+_15・盲ろう)),0)*(1+_15・区３)),0)+ROUND((ROUND((ROUND((ROUND((_15_同援日０．５＿０．５*_15・基礎２),0)*(1+_15・B夜間)),0)*(1+_15・盲ろう)),0)*(1+_15・区３)),0)+ROUND((ROUND((ROUND((ROUND((_15_同援日０．５＿０．５＿０．５*_15・基礎２),0)*(1+_15・C深夜)),0)*(1+_15・盲ろう)),0)*(1+_15・区３)),0)</f>
        <v>713</v>
      </c>
      <c r="AF21" s="48"/>
    </row>
    <row r="22" spans="1:32" ht="16.5" customHeight="1" x14ac:dyDescent="0.15">
      <c r="A22" s="41">
        <v>15</v>
      </c>
      <c r="B22" s="41" t="s">
        <v>22706</v>
      </c>
      <c r="C22" s="74" t="s">
        <v>22707</v>
      </c>
      <c r="D22" s="72"/>
      <c r="F22" s="57"/>
      <c r="G22" s="72"/>
      <c r="I22" s="57"/>
      <c r="J22" s="72"/>
      <c r="L22" s="57"/>
      <c r="M22" s="122" t="s">
        <v>17560</v>
      </c>
      <c r="N22" s="37" t="s">
        <v>398</v>
      </c>
      <c r="O22" s="38">
        <v>0.9</v>
      </c>
      <c r="P22" s="299" t="s">
        <v>17556</v>
      </c>
      <c r="Q22" s="45" t="s">
        <v>398</v>
      </c>
      <c r="R22" s="46">
        <v>1</v>
      </c>
      <c r="S22" s="512"/>
      <c r="T22" s="57"/>
      <c r="U22" s="512"/>
      <c r="V22" s="57"/>
      <c r="W22" s="122"/>
      <c r="X22" s="37"/>
      <c r="Y22" s="38"/>
      <c r="Z22" s="79"/>
      <c r="AA22" s="122"/>
      <c r="AB22" s="37"/>
      <c r="AC22" s="38"/>
      <c r="AD22" s="79"/>
      <c r="AE22" s="208">
        <f>ROUND((ROUND((ROUND((ROUND((_15_同援日０．５*_15・基礎２),0)*_15・２人),0)*(1+_15・盲ろう)),0)*(1+_15・区３)),0)+ROUND((ROUND((ROUND((ROUND((ROUND((_15_同援日０．５＿０．５*_15・基礎２),0)*_15・２人),0)*(1+_15・B夜間)),0)*(1+_15・盲ろう)),0)*(1+_15・区３)),0)+ROUND((ROUND((ROUND((ROUND((ROUND((_15_同援日０．５＿０．５＿０．５*_15・基礎２),0)*_15・２人),0)*(1+_15・C深夜)),0)*(1+_15・盲ろう)),0)*(1+_15・区３)),0)</f>
        <v>713</v>
      </c>
      <c r="AF22" s="48"/>
    </row>
    <row r="23" spans="1:32" ht="16.5" customHeight="1" x14ac:dyDescent="0.15">
      <c r="A23" s="41">
        <v>15</v>
      </c>
      <c r="B23" s="41" t="s">
        <v>22708</v>
      </c>
      <c r="C23" s="74" t="s">
        <v>22709</v>
      </c>
      <c r="D23" s="72"/>
      <c r="F23" s="57"/>
      <c r="G23" s="72"/>
      <c r="I23" s="57"/>
      <c r="J23" s="72"/>
      <c r="L23" s="57"/>
      <c r="M23" s="114"/>
      <c r="N23" s="49"/>
      <c r="O23" s="50"/>
      <c r="P23" s="299"/>
      <c r="Q23" s="45"/>
      <c r="R23" s="46"/>
      <c r="S23" s="512"/>
      <c r="T23" s="57"/>
      <c r="U23" s="512"/>
      <c r="V23" s="57"/>
      <c r="W23" s="114"/>
      <c r="X23" s="49"/>
      <c r="Y23" s="50"/>
      <c r="Z23" s="115"/>
      <c r="AA23" s="114"/>
      <c r="AB23" s="49"/>
      <c r="AC23" s="50"/>
      <c r="AD23" s="115"/>
      <c r="AE23" s="208">
        <f>ROUND((_15_同援日０．５*(1+_15・区４)),0)+ROUND((ROUND((_15_同援日０．５＿０．５*(1+_15・B夜間)),0)*(1+_15・区４)),0)+ROUND((ROUND((_15_同援日０．５＿０．５＿０．５*(1+_15・C深夜)),0)*(1+_15・区４)),0)</f>
        <v>739</v>
      </c>
      <c r="AF23" s="48"/>
    </row>
    <row r="24" spans="1:32" ht="16.5" customHeight="1" x14ac:dyDescent="0.15">
      <c r="A24" s="41">
        <v>15</v>
      </c>
      <c r="B24" s="41" t="s">
        <v>22710</v>
      </c>
      <c r="C24" s="74" t="s">
        <v>22711</v>
      </c>
      <c r="D24" s="72"/>
      <c r="F24" s="57"/>
      <c r="G24" s="72"/>
      <c r="I24" s="57"/>
      <c r="J24" s="72"/>
      <c r="L24" s="57"/>
      <c r="M24" s="122"/>
      <c r="N24" s="37"/>
      <c r="O24" s="38"/>
      <c r="P24" s="299" t="s">
        <v>17556</v>
      </c>
      <c r="Q24" s="45" t="s">
        <v>398</v>
      </c>
      <c r="R24" s="46">
        <v>1</v>
      </c>
      <c r="S24" s="512"/>
      <c r="T24" s="57"/>
      <c r="U24" s="512"/>
      <c r="V24" s="57"/>
      <c r="W24" s="72"/>
      <c r="Z24" s="57"/>
      <c r="AA24" s="72"/>
      <c r="AD24" s="57"/>
      <c r="AE24" s="208">
        <f>ROUND((ROUND((_15_同援日０．５*_15・２人),0)*(1+_15・区４)),0)+ROUND((ROUND((ROUND((_15_同援日０．５＿０．５*_15・２人),0)*(1+_15・B夜間)),0)*(1+_15・区４)),0)+ROUND((ROUND((ROUND((_15_同援日０．５＿０．５＿０．５*_15・２人),0)*(1+_15・C深夜)),0)*(1+_15・区４)),0)</f>
        <v>739</v>
      </c>
      <c r="AF24" s="48"/>
    </row>
    <row r="25" spans="1:32" ht="16.5" customHeight="1" x14ac:dyDescent="0.15">
      <c r="A25" s="41">
        <v>15</v>
      </c>
      <c r="B25" s="41" t="s">
        <v>22712</v>
      </c>
      <c r="C25" s="74" t="s">
        <v>22713</v>
      </c>
      <c r="D25" s="72"/>
      <c r="F25" s="57"/>
      <c r="G25" s="72"/>
      <c r="I25" s="57"/>
      <c r="J25" s="72"/>
      <c r="L25" s="57"/>
      <c r="M25" s="114" t="s">
        <v>17558</v>
      </c>
      <c r="N25" s="49"/>
      <c r="O25" s="50"/>
      <c r="P25" s="299"/>
      <c r="Q25" s="45"/>
      <c r="R25" s="46"/>
      <c r="S25" s="512"/>
      <c r="T25" s="57"/>
      <c r="U25" s="512"/>
      <c r="V25" s="57"/>
      <c r="W25" s="72"/>
      <c r="Z25" s="57"/>
      <c r="AA25" s="72" t="s">
        <v>17580</v>
      </c>
      <c r="AD25" s="57"/>
      <c r="AE25" s="208">
        <f>ROUND((ROUND((_15_同援日０．５*_15・基礎２),0)*(1+_15・区４)),0)+ROUND((ROUND((ROUND((_15_同援日０．５＿０．５*_15・基礎２),0)*(1+_15・B夜間)),0)*(1+_15・区４)),0)+ROUND((ROUND((ROUND((_15_同援日０．５＿０．５＿０．５*_15・基礎２),0)*(1+_15・C深夜)),0)*(1+_15・区４)),0)</f>
        <v>665</v>
      </c>
      <c r="AF25" s="48"/>
    </row>
    <row r="26" spans="1:32" ht="16.5" customHeight="1" x14ac:dyDescent="0.15">
      <c r="A26" s="41">
        <v>15</v>
      </c>
      <c r="B26" s="41" t="s">
        <v>22714</v>
      </c>
      <c r="C26" s="74" t="s">
        <v>22715</v>
      </c>
      <c r="D26" s="72"/>
      <c r="F26" s="57"/>
      <c r="G26" s="72"/>
      <c r="I26" s="57"/>
      <c r="J26" s="72"/>
      <c r="L26" s="57"/>
      <c r="M26" s="122" t="s">
        <v>17560</v>
      </c>
      <c r="N26" s="37" t="s">
        <v>398</v>
      </c>
      <c r="O26" s="38">
        <v>0.9</v>
      </c>
      <c r="P26" s="299" t="s">
        <v>17556</v>
      </c>
      <c r="Q26" s="45" t="s">
        <v>398</v>
      </c>
      <c r="R26" s="46">
        <v>1</v>
      </c>
      <c r="S26" s="512"/>
      <c r="T26" s="57"/>
      <c r="U26" s="512"/>
      <c r="V26" s="57"/>
      <c r="W26" s="122"/>
      <c r="X26" s="37"/>
      <c r="Y26" s="38"/>
      <c r="Z26" s="79"/>
      <c r="AA26" s="72" t="s">
        <v>17572</v>
      </c>
      <c r="AD26" s="57"/>
      <c r="AE26" s="208">
        <f>ROUND((ROUND((ROUND((_15_同援日０．５*_15・基礎２),0)*_15・２人),0)*(1+_15・区４)),0)+ROUND((ROUND((ROUND((ROUND((_15_同援日０．５＿０．５*_15・基礎２),0)*_15・２人),0)*(1+_15・B夜間)),0)*(1+_15・区４)),0)+ROUND((ROUND((ROUND((ROUND((_15_同援日０．５＿０．５＿０．５*_15・基礎２),0)*_15・２人),0)*(1+_15・C深夜)),0)*(1+_15・区４)),0)</f>
        <v>665</v>
      </c>
      <c r="AF26" s="48"/>
    </row>
    <row r="27" spans="1:32" ht="16.5" customHeight="1" x14ac:dyDescent="0.15">
      <c r="A27" s="41">
        <v>15</v>
      </c>
      <c r="B27" s="41" t="s">
        <v>22716</v>
      </c>
      <c r="C27" s="74" t="s">
        <v>22717</v>
      </c>
      <c r="D27" s="72"/>
      <c r="F27" s="57"/>
      <c r="G27" s="72"/>
      <c r="I27" s="57"/>
      <c r="J27" s="72"/>
      <c r="L27" s="57"/>
      <c r="M27" s="114"/>
      <c r="N27" s="49"/>
      <c r="O27" s="50"/>
      <c r="P27" s="299"/>
      <c r="Q27" s="45"/>
      <c r="R27" s="46"/>
      <c r="S27" s="512"/>
      <c r="T27" s="57"/>
      <c r="U27" s="512"/>
      <c r="V27" s="57"/>
      <c r="W27" s="114" t="s">
        <v>17562</v>
      </c>
      <c r="X27" s="49"/>
      <c r="Y27" s="50"/>
      <c r="Z27" s="115"/>
      <c r="AA27" s="72"/>
      <c r="AB27" s="12" t="s">
        <v>398</v>
      </c>
      <c r="AC27" s="13">
        <v>0.4</v>
      </c>
      <c r="AD27" s="57" t="s">
        <v>3575</v>
      </c>
      <c r="AE27" s="208">
        <f>ROUND((ROUND((_15_同援日０．５*(1+_15・盲ろう)),0)*(1+_15・区４)),0)+ROUND((ROUND((ROUND((_15_同援日０．５＿０．５*(1+_15・B夜間)),0)*(1+_15・盲ろう)),0)*(1+_15・区４)),0)+ROUND((ROUND((ROUND((_15_同援日０．５＿０．５＿０．５*(1+_15・C深夜)),0)*(1+_15・盲ろう)),0)*(1+_15・区４)),0)</f>
        <v>925</v>
      </c>
      <c r="AF27" s="48"/>
    </row>
    <row r="28" spans="1:32" ht="16.5" customHeight="1" x14ac:dyDescent="0.15">
      <c r="A28" s="41">
        <v>15</v>
      </c>
      <c r="B28" s="41" t="s">
        <v>22718</v>
      </c>
      <c r="C28" s="74" t="s">
        <v>22719</v>
      </c>
      <c r="D28" s="72"/>
      <c r="F28" s="57"/>
      <c r="G28" s="72"/>
      <c r="I28" s="57"/>
      <c r="J28" s="72"/>
      <c r="L28" s="57"/>
      <c r="M28" s="122"/>
      <c r="N28" s="37"/>
      <c r="O28" s="38"/>
      <c r="P28" s="299" t="s">
        <v>17556</v>
      </c>
      <c r="Q28" s="45" t="s">
        <v>398</v>
      </c>
      <c r="R28" s="46">
        <v>1</v>
      </c>
      <c r="S28" s="512"/>
      <c r="T28" s="57"/>
      <c r="U28" s="512"/>
      <c r="V28" s="57"/>
      <c r="W28" s="72" t="s">
        <v>17564</v>
      </c>
      <c r="Z28" s="57"/>
      <c r="AA28" s="72"/>
      <c r="AD28" s="57"/>
      <c r="AE28" s="208">
        <f>ROUND((ROUND((ROUND((_15_同援日０．５*_15・２人),0)*(1+_15・盲ろう)),0)*(1+_15・区４)),0)+ROUND((ROUND((ROUND((ROUND((_15_同援日０．５＿０．５*_15・２人),0)*(1+_15・B夜間)),0)*(1+_15・盲ろう)),0)*(1+_15・区４)),0)+ROUND((ROUND((ROUND((ROUND((_15_同援日０．５＿０．５＿０．５*_15・２人),0)*(1+_15・C深夜)),0)*(1+_15・盲ろう)),0)*(1+_15・区４)),0)</f>
        <v>925</v>
      </c>
      <c r="AF28" s="48"/>
    </row>
    <row r="29" spans="1:32" ht="16.5" customHeight="1" x14ac:dyDescent="0.15">
      <c r="A29" s="41">
        <v>15</v>
      </c>
      <c r="B29" s="41" t="s">
        <v>1446</v>
      </c>
      <c r="C29" s="74" t="s">
        <v>22720</v>
      </c>
      <c r="D29" s="72"/>
      <c r="F29" s="57"/>
      <c r="G29" s="72"/>
      <c r="I29" s="57"/>
      <c r="J29" s="72"/>
      <c r="L29" s="57"/>
      <c r="M29" s="114" t="s">
        <v>17558</v>
      </c>
      <c r="N29" s="49"/>
      <c r="O29" s="50"/>
      <c r="P29" s="299"/>
      <c r="Q29" s="45"/>
      <c r="R29" s="46"/>
      <c r="S29" s="512"/>
      <c r="T29" s="57"/>
      <c r="U29" s="512"/>
      <c r="V29" s="57"/>
      <c r="W29" s="72"/>
      <c r="X29" s="12" t="s">
        <v>398</v>
      </c>
      <c r="Y29" s="13">
        <v>0.25</v>
      </c>
      <c r="Z29" s="57" t="s">
        <v>3575</v>
      </c>
      <c r="AA29" s="72"/>
      <c r="AD29" s="57"/>
      <c r="AE29" s="208">
        <f>ROUND((ROUND((ROUND((_15_同援日０．５*_15・基礎２),0)*(1+_15・盲ろう)),0)*(1+_15・区４)),0)+ROUND((ROUND((ROUND((ROUND((_15_同援日０．５＿０．５*_15・基礎２),0)*(1+_15・B夜間)),0)*(1+_15・盲ろう)),0)*(1+_15・区４)),0)+ROUND((ROUND((ROUND((ROUND((_15_同援日０．５＿０．５＿０．５*_15・基礎２),0)*(1+_15・C深夜)),0)*(1+_15・盲ろう)),0)*(1+_15・区４)),0)</f>
        <v>832</v>
      </c>
      <c r="AF29" s="48"/>
    </row>
    <row r="30" spans="1:32" ht="16.5" customHeight="1" x14ac:dyDescent="0.15">
      <c r="A30" s="41">
        <v>15</v>
      </c>
      <c r="B30" s="41" t="s">
        <v>1448</v>
      </c>
      <c r="C30" s="74" t="s">
        <v>22721</v>
      </c>
      <c r="D30" s="72"/>
      <c r="F30" s="57"/>
      <c r="G30" s="72"/>
      <c r="I30" s="57"/>
      <c r="J30" s="122"/>
      <c r="K30" s="37"/>
      <c r="L30" s="79"/>
      <c r="M30" s="122" t="s">
        <v>17560</v>
      </c>
      <c r="N30" s="37" t="s">
        <v>398</v>
      </c>
      <c r="O30" s="38">
        <v>0.9</v>
      </c>
      <c r="P30" s="299" t="s">
        <v>17556</v>
      </c>
      <c r="Q30" s="45" t="s">
        <v>398</v>
      </c>
      <c r="R30" s="46">
        <v>1</v>
      </c>
      <c r="S30" s="512"/>
      <c r="T30" s="57"/>
      <c r="U30" s="512"/>
      <c r="V30" s="57"/>
      <c r="W30" s="122"/>
      <c r="X30" s="37"/>
      <c r="Y30" s="38"/>
      <c r="Z30" s="79"/>
      <c r="AA30" s="122"/>
      <c r="AB30" s="37"/>
      <c r="AC30" s="38"/>
      <c r="AD30" s="79"/>
      <c r="AE30" s="208">
        <f>ROUND((ROUND((ROUND((ROUND((_15_同援日０．５*_15・基礎２),0)*_15・２人),0)*(1+_15・盲ろう)),0)*(1+_15・区４)),0)+ROUND((ROUND((ROUND((ROUND((ROUND((_15_同援日０．５＿０．５*_15・基礎２),0)*_15・２人),0)*(1+_15・B夜間)),0)*(1+_15・盲ろう)),0)*(1+_15・区４)),0)+ROUND((ROUND((ROUND((ROUND((ROUND((_15_同援日０．５＿０．５＿０．５*_15・基礎２),0)*_15・２人),0)*(1+_15・C深夜)),0)*(1+_15・盲ろう)),0)*(1+_15・区４)),0)</f>
        <v>832</v>
      </c>
      <c r="AF30" s="48"/>
    </row>
    <row r="31" spans="1:32" ht="16.5" customHeight="1" x14ac:dyDescent="0.15">
      <c r="A31" s="41">
        <v>15</v>
      </c>
      <c r="B31" s="41" t="s">
        <v>1450</v>
      </c>
      <c r="C31" s="74" t="s">
        <v>22722</v>
      </c>
      <c r="D31" s="72"/>
      <c r="F31" s="57"/>
      <c r="G31" s="72"/>
      <c r="I31" s="57"/>
      <c r="J31" s="114" t="s">
        <v>22723</v>
      </c>
      <c r="K31" s="49"/>
      <c r="L31" s="115"/>
      <c r="M31" s="114"/>
      <c r="N31" s="49"/>
      <c r="O31" s="50"/>
      <c r="P31" s="299"/>
      <c r="Q31" s="45"/>
      <c r="R31" s="46"/>
      <c r="S31" s="512"/>
      <c r="T31" s="57"/>
      <c r="U31" s="512"/>
      <c r="V31" s="57"/>
      <c r="W31" s="114"/>
      <c r="X31" s="49"/>
      <c r="Y31" s="50"/>
      <c r="Z31" s="115"/>
      <c r="AA31" s="114"/>
      <c r="AB31" s="49"/>
      <c r="AC31" s="50"/>
      <c r="AD31" s="115"/>
      <c r="AE31" s="208">
        <f>_15_同援日０．５+ROUND((_15_同援日０．５＿０．５*(1+_15・B夜間)),0)+ROUND((_15_同援日０．５＿０．５＿１．０*(1+_15・C深夜)),0)</f>
        <v>625</v>
      </c>
      <c r="AF31" s="48"/>
    </row>
    <row r="32" spans="1:32" ht="16.5" customHeight="1" x14ac:dyDescent="0.15">
      <c r="A32" s="41">
        <v>15</v>
      </c>
      <c r="B32" s="41" t="s">
        <v>1452</v>
      </c>
      <c r="C32" s="74" t="s">
        <v>22724</v>
      </c>
      <c r="D32" s="72"/>
      <c r="F32" s="57"/>
      <c r="G32" s="72"/>
      <c r="I32" s="57"/>
      <c r="J32" s="72" t="s">
        <v>17589</v>
      </c>
      <c r="L32" s="57"/>
      <c r="M32" s="122"/>
      <c r="N32" s="37"/>
      <c r="O32" s="38"/>
      <c r="P32" s="299" t="s">
        <v>17556</v>
      </c>
      <c r="Q32" s="45" t="s">
        <v>398</v>
      </c>
      <c r="R32" s="46">
        <v>1</v>
      </c>
      <c r="S32" s="512"/>
      <c r="T32" s="57"/>
      <c r="U32" s="512"/>
      <c r="V32" s="57"/>
      <c r="W32" s="72"/>
      <c r="Z32" s="57"/>
      <c r="AA32" s="72"/>
      <c r="AD32" s="57"/>
      <c r="AE32" s="208">
        <f>ROUND((_15_同援日０．５*_15・２人),0)+ROUND((ROUND((_15_同援日０．５＿０．５*_15・２人),0)*(1+_15・B夜間)),0)+ROUND((ROUND((_15_同援日０．５＿０．５＿１．０*_15・２人),0)*(1+_15・C深夜)),0)</f>
        <v>625</v>
      </c>
      <c r="AF32" s="48"/>
    </row>
    <row r="33" spans="1:32" ht="16.5" customHeight="1" x14ac:dyDescent="0.15">
      <c r="A33" s="41">
        <v>15</v>
      </c>
      <c r="B33" s="41" t="s">
        <v>22725</v>
      </c>
      <c r="C33" s="74" t="s">
        <v>22726</v>
      </c>
      <c r="D33" s="72"/>
      <c r="F33" s="57"/>
      <c r="G33" s="72"/>
      <c r="I33" s="57"/>
      <c r="J33" s="72" t="s">
        <v>17591</v>
      </c>
      <c r="L33" s="57"/>
      <c r="M33" s="114" t="s">
        <v>17558</v>
      </c>
      <c r="N33" s="49"/>
      <c r="O33" s="50"/>
      <c r="P33" s="299"/>
      <c r="Q33" s="45"/>
      <c r="R33" s="46"/>
      <c r="S33" s="512"/>
      <c r="T33" s="57"/>
      <c r="U33" s="512"/>
      <c r="V33" s="57"/>
      <c r="W33" s="72"/>
      <c r="Z33" s="57"/>
      <c r="AA33" s="72"/>
      <c r="AD33" s="57"/>
      <c r="AE33" s="208">
        <f>ROUND((_15_同援日０．５*_15・基礎２),0)+ROUND((ROUND((_15_同援日０．５＿０．５*_15・基礎２),0)*(1+_15・B夜間)),0)+ROUND((ROUND((_15_同援日０．５＿０．５＿１．０*_15・基礎２),0)*(1+_15・C深夜)),0)</f>
        <v>562</v>
      </c>
      <c r="AF33" s="48"/>
    </row>
    <row r="34" spans="1:32" ht="16.5" customHeight="1" x14ac:dyDescent="0.15">
      <c r="A34" s="41">
        <v>15</v>
      </c>
      <c r="B34" s="41" t="s">
        <v>22727</v>
      </c>
      <c r="C34" s="74" t="s">
        <v>22728</v>
      </c>
      <c r="D34" s="72"/>
      <c r="F34" s="57"/>
      <c r="G34" s="72"/>
      <c r="I34" s="57"/>
      <c r="J34" s="72"/>
      <c r="K34" s="168">
        <f>_15_同援日０．５＿０．５＿１．０</f>
        <v>198</v>
      </c>
      <c r="L34" s="57" t="s">
        <v>392</v>
      </c>
      <c r="M34" s="122" t="s">
        <v>17560</v>
      </c>
      <c r="N34" s="37" t="s">
        <v>398</v>
      </c>
      <c r="O34" s="38">
        <v>0.9</v>
      </c>
      <c r="P34" s="299" t="s">
        <v>17556</v>
      </c>
      <c r="Q34" s="45" t="s">
        <v>398</v>
      </c>
      <c r="R34" s="46">
        <v>1</v>
      </c>
      <c r="S34" s="512"/>
      <c r="T34" s="57"/>
      <c r="U34" s="512"/>
      <c r="V34" s="57"/>
      <c r="W34" s="122"/>
      <c r="X34" s="37"/>
      <c r="Y34" s="38"/>
      <c r="Z34" s="79"/>
      <c r="AA34" s="72"/>
      <c r="AD34" s="57"/>
      <c r="AE34" s="208">
        <f>ROUND((ROUND((_15_同援日０．５*_15・基礎２),0)*_15・２人),0)+ROUND((ROUND((ROUND((_15_同援日０．５＿０．５*_15・基礎２),0)*_15・２人),0)*(1+_15・B夜間)),0)+ROUND((ROUND((ROUND((_15_同援日０．５＿０．５＿１．０*_15・基礎２),0)*_15・２人),0)*(1+_15・C深夜)),0)</f>
        <v>562</v>
      </c>
      <c r="AF34" s="48"/>
    </row>
    <row r="35" spans="1:32" ht="16.5" customHeight="1" x14ac:dyDescent="0.15">
      <c r="A35" s="41">
        <v>15</v>
      </c>
      <c r="B35" s="41" t="s">
        <v>22729</v>
      </c>
      <c r="C35" s="74" t="s">
        <v>22730</v>
      </c>
      <c r="D35" s="72"/>
      <c r="F35" s="57"/>
      <c r="G35" s="72"/>
      <c r="I35" s="57"/>
      <c r="J35" s="72"/>
      <c r="L35" s="57"/>
      <c r="M35" s="114"/>
      <c r="N35" s="49"/>
      <c r="O35" s="50"/>
      <c r="P35" s="299"/>
      <c r="Q35" s="45"/>
      <c r="R35" s="46"/>
      <c r="S35" s="512"/>
      <c r="T35" s="57"/>
      <c r="U35" s="512"/>
      <c r="V35" s="57"/>
      <c r="W35" s="114" t="s">
        <v>17562</v>
      </c>
      <c r="X35" s="49"/>
      <c r="Y35" s="50"/>
      <c r="Z35" s="115"/>
      <c r="AA35" s="72"/>
      <c r="AD35" s="57"/>
      <c r="AE35" s="208">
        <f>ROUND((_15_同援日０．５*(1+_15・盲ろう)),0)+ROUND((ROUND((_15_同援日０．５＿０．５*(1+_15・B夜間)),0)*(1+_15・盲ろう)),0)+ROUND((ROUND((_15_同援日０．５＿０．５＿１．０*(1+_15・C深夜)),0)*(1+_15・盲ろう)),0)</f>
        <v>782</v>
      </c>
      <c r="AF35" s="48"/>
    </row>
    <row r="36" spans="1:32" ht="16.5" customHeight="1" x14ac:dyDescent="0.15">
      <c r="A36" s="41">
        <v>15</v>
      </c>
      <c r="B36" s="41" t="s">
        <v>22731</v>
      </c>
      <c r="C36" s="74" t="s">
        <v>22732</v>
      </c>
      <c r="D36" s="72"/>
      <c r="F36" s="57"/>
      <c r="G36" s="72"/>
      <c r="I36" s="57"/>
      <c r="J36" s="72"/>
      <c r="L36" s="57"/>
      <c r="M36" s="122"/>
      <c r="N36" s="37"/>
      <c r="O36" s="38"/>
      <c r="P36" s="299" t="s">
        <v>17556</v>
      </c>
      <c r="Q36" s="45" t="s">
        <v>398</v>
      </c>
      <c r="R36" s="46">
        <v>1</v>
      </c>
      <c r="S36" s="512"/>
      <c r="T36" s="57"/>
      <c r="U36" s="512"/>
      <c r="V36" s="57"/>
      <c r="W36" s="72" t="s">
        <v>17564</v>
      </c>
      <c r="Z36" s="57"/>
      <c r="AA36" s="72"/>
      <c r="AD36" s="57"/>
      <c r="AE36" s="208">
        <f>ROUND((ROUND((_15_同援日０．５*_15・２人),0)*(1+_15・盲ろう)),0)+ROUND((ROUND((ROUND((_15_同援日０．５＿０．５*_15・２人),0)*(1+_15・B夜間)),0)*(1+_15・盲ろう)),0)+ROUND((ROUND((ROUND((_15_同援日０．５＿０．５＿１．０*_15・２人),0)*(1+_15・C深夜)),0)*(1+_15・盲ろう)),0)</f>
        <v>782</v>
      </c>
      <c r="AF36" s="48"/>
    </row>
    <row r="37" spans="1:32" ht="16.5" customHeight="1" x14ac:dyDescent="0.15">
      <c r="A37" s="41">
        <v>15</v>
      </c>
      <c r="B37" s="41" t="s">
        <v>22733</v>
      </c>
      <c r="C37" s="74" t="s">
        <v>22734</v>
      </c>
      <c r="D37" s="72"/>
      <c r="F37" s="57"/>
      <c r="G37" s="72"/>
      <c r="I37" s="57"/>
      <c r="J37" s="72"/>
      <c r="L37" s="57"/>
      <c r="M37" s="114" t="s">
        <v>17558</v>
      </c>
      <c r="N37" s="49"/>
      <c r="O37" s="50"/>
      <c r="P37" s="299"/>
      <c r="Q37" s="45"/>
      <c r="R37" s="46"/>
      <c r="S37" s="512"/>
      <c r="T37" s="57"/>
      <c r="U37" s="512"/>
      <c r="V37" s="57"/>
      <c r="W37" s="72"/>
      <c r="X37" s="12" t="s">
        <v>398</v>
      </c>
      <c r="Y37" s="13">
        <v>0.25</v>
      </c>
      <c r="Z37" s="57" t="s">
        <v>3575</v>
      </c>
      <c r="AA37" s="72"/>
      <c r="AD37" s="57"/>
      <c r="AE37" s="208">
        <f>ROUND((ROUND((_15_同援日０．５*_15・基礎２),0)*(1+_15・盲ろう)),0)+ROUND((ROUND((ROUND((_15_同援日０．５＿０．５*_15・基礎２),0)*(1+_15・B夜間)),0)*(1+_15・盲ろう)),0)+ROUND((ROUND((ROUND((_15_同援日０．５＿０．５＿１．０*_15・基礎２),0)*(1+_15・C深夜)),0)*(1+_15・盲ろう)),0)</f>
        <v>703</v>
      </c>
      <c r="AF37" s="48"/>
    </row>
    <row r="38" spans="1:32" ht="16.5" customHeight="1" x14ac:dyDescent="0.15">
      <c r="A38" s="41">
        <v>15</v>
      </c>
      <c r="B38" s="41" t="s">
        <v>22735</v>
      </c>
      <c r="C38" s="74" t="s">
        <v>22736</v>
      </c>
      <c r="D38" s="72"/>
      <c r="F38" s="57"/>
      <c r="G38" s="72"/>
      <c r="I38" s="57"/>
      <c r="J38" s="72"/>
      <c r="L38" s="57"/>
      <c r="M38" s="122" t="s">
        <v>17560</v>
      </c>
      <c r="N38" s="37" t="s">
        <v>398</v>
      </c>
      <c r="O38" s="38">
        <v>0.9</v>
      </c>
      <c r="P38" s="299" t="s">
        <v>17556</v>
      </c>
      <c r="Q38" s="45" t="s">
        <v>398</v>
      </c>
      <c r="R38" s="46">
        <v>1</v>
      </c>
      <c r="S38" s="512"/>
      <c r="T38" s="57"/>
      <c r="U38" s="512"/>
      <c r="V38" s="57"/>
      <c r="W38" s="122"/>
      <c r="X38" s="37"/>
      <c r="Y38" s="38"/>
      <c r="Z38" s="79"/>
      <c r="AA38" s="122"/>
      <c r="AB38" s="37"/>
      <c r="AC38" s="38"/>
      <c r="AD38" s="79"/>
      <c r="AE38" s="208">
        <f>ROUND((ROUND((ROUND((_15_同援日０．５*_15・基礎２),0)*_15・２人),0)*(1+_15・盲ろう)),0)+ROUND((ROUND((ROUND((ROUND((_15_同援日０．５＿０．５*_15・基礎２),0)*_15・２人),0)*(1+_15・B夜間)),0)*(1+_15・盲ろう)),0)+ROUND((ROUND((ROUND((ROUND((_15_同援日０．５＿０．５＿１．０*_15・基礎２),0)*_15・２人),0)*(1+_15・C深夜)),0)*(1+_15・盲ろう)),0)</f>
        <v>703</v>
      </c>
      <c r="AF38" s="48"/>
    </row>
    <row r="39" spans="1:32" ht="16.5" customHeight="1" x14ac:dyDescent="0.15">
      <c r="A39" s="41">
        <v>15</v>
      </c>
      <c r="B39" s="41" t="s">
        <v>22737</v>
      </c>
      <c r="C39" s="74" t="s">
        <v>22738</v>
      </c>
      <c r="D39" s="72"/>
      <c r="F39" s="57"/>
      <c r="G39" s="72"/>
      <c r="I39" s="57"/>
      <c r="J39" s="72"/>
      <c r="L39" s="57"/>
      <c r="M39" s="114"/>
      <c r="N39" s="49"/>
      <c r="O39" s="50"/>
      <c r="P39" s="299"/>
      <c r="Q39" s="45"/>
      <c r="R39" s="46"/>
      <c r="S39" s="512"/>
      <c r="T39" s="57"/>
      <c r="U39" s="512"/>
      <c r="V39" s="57"/>
      <c r="W39" s="114"/>
      <c r="X39" s="49"/>
      <c r="Y39" s="50"/>
      <c r="Z39" s="115"/>
      <c r="AA39" s="114"/>
      <c r="AB39" s="49"/>
      <c r="AC39" s="50"/>
      <c r="AD39" s="115"/>
      <c r="AE39" s="208">
        <f>ROUND((_15_同援日０．５*(1+_15・区３)),0)+ROUND((ROUND((_15_同援日０．５＿０．５*(1+_15・B夜間)),0)*(1+_15・区３)),0)+ROUND((ROUND((_15_同援日０．５＿０．５＿１．０*(1+_15・C深夜)),0)*(1+_15・区３)),0)</f>
        <v>750</v>
      </c>
      <c r="AF39" s="48"/>
    </row>
    <row r="40" spans="1:32" ht="16.5" customHeight="1" x14ac:dyDescent="0.15">
      <c r="A40" s="41">
        <v>15</v>
      </c>
      <c r="B40" s="41" t="s">
        <v>22739</v>
      </c>
      <c r="C40" s="74" t="s">
        <v>22740</v>
      </c>
      <c r="D40" s="72"/>
      <c r="F40" s="57"/>
      <c r="G40" s="72"/>
      <c r="I40" s="57"/>
      <c r="J40" s="72"/>
      <c r="L40" s="57"/>
      <c r="M40" s="122"/>
      <c r="N40" s="37"/>
      <c r="O40" s="38"/>
      <c r="P40" s="299" t="s">
        <v>17556</v>
      </c>
      <c r="Q40" s="45" t="s">
        <v>398</v>
      </c>
      <c r="R40" s="46">
        <v>1</v>
      </c>
      <c r="S40" s="512"/>
      <c r="T40" s="57"/>
      <c r="U40" s="512"/>
      <c r="V40" s="57"/>
      <c r="W40" s="72"/>
      <c r="Z40" s="57"/>
      <c r="AA40" s="72"/>
      <c r="AD40" s="57"/>
      <c r="AE40" s="208">
        <f>ROUND((ROUND((_15_同援日０．５*_15・２人),0)*(1+_15・区３)),0)+ROUND((ROUND((ROUND((_15_同援日０．５＿０．５*_15・２人),0)*(1+_15・B夜間)),0)*(1+_15・区３)),0)+ROUND((ROUND((ROUND((_15_同援日０．５＿０．５＿１．０*_15・２人),0)*(1+_15・C深夜)),0)*(1+_15・区３)),0)</f>
        <v>750</v>
      </c>
      <c r="AF40" s="48"/>
    </row>
    <row r="41" spans="1:32" ht="16.5" customHeight="1" x14ac:dyDescent="0.15">
      <c r="A41" s="41">
        <v>15</v>
      </c>
      <c r="B41" s="41" t="s">
        <v>22741</v>
      </c>
      <c r="C41" s="74" t="s">
        <v>22742</v>
      </c>
      <c r="D41" s="72"/>
      <c r="F41" s="57"/>
      <c r="G41" s="72"/>
      <c r="I41" s="57"/>
      <c r="J41" s="72"/>
      <c r="L41" s="57"/>
      <c r="M41" s="114" t="s">
        <v>17558</v>
      </c>
      <c r="N41" s="49"/>
      <c r="O41" s="50"/>
      <c r="P41" s="299"/>
      <c r="Q41" s="45"/>
      <c r="R41" s="46"/>
      <c r="S41" s="512"/>
      <c r="T41" s="57"/>
      <c r="U41" s="512"/>
      <c r="V41" s="57"/>
      <c r="W41" s="72"/>
      <c r="Z41" s="57"/>
      <c r="AA41" s="72" t="s">
        <v>17570</v>
      </c>
      <c r="AD41" s="57"/>
      <c r="AE41" s="208">
        <f>ROUND((ROUND((_15_同援日０．５*_15・基礎２),0)*(1+_15・区３)),0)+ROUND((ROUND((ROUND((_15_同援日０．５＿０．５*_15・基礎２),0)*(1+_15・B夜間)),0)*(1+_15・区３)),0)+ROUND((ROUND((ROUND((_15_同援日０．５＿０．５＿１．０*_15・基礎２),0)*(1+_15・C深夜)),0)*(1+_15・区３)),0)</f>
        <v>674</v>
      </c>
      <c r="AF41" s="48"/>
    </row>
    <row r="42" spans="1:32" ht="16.5" customHeight="1" x14ac:dyDescent="0.15">
      <c r="A42" s="41">
        <v>15</v>
      </c>
      <c r="B42" s="41" t="s">
        <v>22743</v>
      </c>
      <c r="C42" s="74" t="s">
        <v>22744</v>
      </c>
      <c r="D42" s="72"/>
      <c r="F42" s="57"/>
      <c r="G42" s="72"/>
      <c r="I42" s="57"/>
      <c r="J42" s="72"/>
      <c r="L42" s="57"/>
      <c r="M42" s="122" t="s">
        <v>17560</v>
      </c>
      <c r="N42" s="37" t="s">
        <v>398</v>
      </c>
      <c r="O42" s="38">
        <v>0.9</v>
      </c>
      <c r="P42" s="299" t="s">
        <v>17556</v>
      </c>
      <c r="Q42" s="45" t="s">
        <v>398</v>
      </c>
      <c r="R42" s="46">
        <v>1</v>
      </c>
      <c r="S42" s="512"/>
      <c r="T42" s="57"/>
      <c r="U42" s="512"/>
      <c r="V42" s="57"/>
      <c r="W42" s="122"/>
      <c r="X42" s="37"/>
      <c r="Y42" s="38"/>
      <c r="Z42" s="79"/>
      <c r="AA42" s="72" t="s">
        <v>17572</v>
      </c>
      <c r="AD42" s="57"/>
      <c r="AE42" s="208">
        <f>ROUND((ROUND((ROUND((_15_同援日０．５*_15・基礎２),0)*_15・２人),0)*(1+_15・区３)),0)+ROUND((ROUND((ROUND((ROUND((_15_同援日０．５＿０．５*_15・基礎２),0)*_15・２人),0)*(1+_15・B夜間)),0)*(1+_15・区３)),0)+ROUND((ROUND((ROUND((ROUND((_15_同援日０．５＿０．５＿１．０*_15・基礎２),0)*_15・２人),0)*(1+_15・C深夜)),0)*(1+_15・区３)),0)</f>
        <v>674</v>
      </c>
      <c r="AF42" s="48"/>
    </row>
    <row r="43" spans="1:32" ht="16.5" customHeight="1" x14ac:dyDescent="0.15">
      <c r="A43" s="41">
        <v>15</v>
      </c>
      <c r="B43" s="41" t="s">
        <v>22745</v>
      </c>
      <c r="C43" s="74" t="s">
        <v>22746</v>
      </c>
      <c r="D43" s="72"/>
      <c r="F43" s="57"/>
      <c r="G43" s="72"/>
      <c r="I43" s="57"/>
      <c r="J43" s="72"/>
      <c r="L43" s="57"/>
      <c r="M43" s="114"/>
      <c r="N43" s="49"/>
      <c r="O43" s="50"/>
      <c r="P43" s="299"/>
      <c r="Q43" s="45"/>
      <c r="R43" s="46"/>
      <c r="S43" s="512"/>
      <c r="T43" s="57"/>
      <c r="U43" s="512"/>
      <c r="V43" s="57"/>
      <c r="W43" s="114" t="s">
        <v>17562</v>
      </c>
      <c r="X43" s="49"/>
      <c r="Y43" s="50"/>
      <c r="Z43" s="115"/>
      <c r="AA43" s="72"/>
      <c r="AB43" s="12" t="s">
        <v>398</v>
      </c>
      <c r="AC43" s="13">
        <v>0.2</v>
      </c>
      <c r="AD43" s="57" t="s">
        <v>3575</v>
      </c>
      <c r="AE43" s="208">
        <f>ROUND((ROUND((_15_同援日０．５*(1+_15・盲ろう)),0)*(1+_15・区３)),0)+ROUND((ROUND((ROUND((_15_同援日０．５＿０．５*(1+_15・B夜間)),0)*(1+_15・盲ろう)),0)*(1+_15・区３)),0)+ROUND((ROUND((ROUND((_15_同援日０．５＿０．５＿１．０*(1+_15・C深夜)),0)*(1+_15・盲ろう)),0)*(1+_15・区３)),0)</f>
        <v>939</v>
      </c>
      <c r="AF43" s="48"/>
    </row>
    <row r="44" spans="1:32" ht="16.5" customHeight="1" x14ac:dyDescent="0.15">
      <c r="A44" s="41">
        <v>15</v>
      </c>
      <c r="B44" s="41" t="s">
        <v>22747</v>
      </c>
      <c r="C44" s="74" t="s">
        <v>22748</v>
      </c>
      <c r="D44" s="72"/>
      <c r="F44" s="57"/>
      <c r="G44" s="72"/>
      <c r="I44" s="57"/>
      <c r="J44" s="72"/>
      <c r="L44" s="57"/>
      <c r="M44" s="122"/>
      <c r="N44" s="37"/>
      <c r="O44" s="38"/>
      <c r="P44" s="299" t="s">
        <v>17556</v>
      </c>
      <c r="Q44" s="45" t="s">
        <v>398</v>
      </c>
      <c r="R44" s="46">
        <v>1</v>
      </c>
      <c r="S44" s="512"/>
      <c r="T44" s="57"/>
      <c r="U44" s="512"/>
      <c r="V44" s="57"/>
      <c r="W44" s="72" t="s">
        <v>17564</v>
      </c>
      <c r="Z44" s="57"/>
      <c r="AA44" s="72"/>
      <c r="AD44" s="57"/>
      <c r="AE44" s="208">
        <f>ROUND((ROUND((ROUND((_15_同援日０．５*_15・２人),0)*(1+_15・盲ろう)),0)*(1+_15・区３)),0)+ROUND((ROUND((ROUND((ROUND((_15_同援日０．５＿０．５*_15・２人),0)*(1+_15・B夜間)),0)*(1+_15・盲ろう)),0)*(1+_15・区３)),0)+ROUND((ROUND((ROUND((ROUND((_15_同援日０．５＿０．５＿１．０*_15・２人),0)*(1+_15・C深夜)),0)*(1+_15・盲ろう)),0)*(1+_15・区３)),0)</f>
        <v>939</v>
      </c>
      <c r="AF44" s="48"/>
    </row>
    <row r="45" spans="1:32" ht="16.5" customHeight="1" x14ac:dyDescent="0.15">
      <c r="A45" s="41">
        <v>15</v>
      </c>
      <c r="B45" s="41" t="s">
        <v>22749</v>
      </c>
      <c r="C45" s="74" t="s">
        <v>22750</v>
      </c>
      <c r="D45" s="72"/>
      <c r="F45" s="57"/>
      <c r="G45" s="72"/>
      <c r="I45" s="57"/>
      <c r="J45" s="72"/>
      <c r="L45" s="57"/>
      <c r="M45" s="114" t="s">
        <v>17558</v>
      </c>
      <c r="N45" s="49"/>
      <c r="O45" s="50"/>
      <c r="P45" s="299"/>
      <c r="Q45" s="45"/>
      <c r="R45" s="46"/>
      <c r="S45" s="512"/>
      <c r="T45" s="57"/>
      <c r="U45" s="512"/>
      <c r="V45" s="57"/>
      <c r="W45" s="72"/>
      <c r="X45" s="12" t="s">
        <v>398</v>
      </c>
      <c r="Y45" s="13">
        <v>0.25</v>
      </c>
      <c r="Z45" s="57" t="s">
        <v>3575</v>
      </c>
      <c r="AA45" s="72"/>
      <c r="AD45" s="57"/>
      <c r="AE45" s="208">
        <f>ROUND((ROUND((ROUND((_15_同援日０．５*_15・基礎２),0)*(1+_15・盲ろう)),0)*(1+_15・区３)),0)+ROUND((ROUND((ROUND((ROUND((_15_同援日０．５＿０．５*_15・基礎２),0)*(1+_15・B夜間)),0)*(1+_15・盲ろう)),0)*(1+_15・区３)),0)+ROUND((ROUND((ROUND((ROUND((_15_同援日０．５＿０．５＿１．０*_15・基礎２),0)*(1+_15・C深夜)),0)*(1+_15・盲ろう)),0)*(1+_15・区３)),0)</f>
        <v>844</v>
      </c>
      <c r="AF45" s="48"/>
    </row>
    <row r="46" spans="1:32" ht="16.5" customHeight="1" x14ac:dyDescent="0.15">
      <c r="A46" s="41">
        <v>15</v>
      </c>
      <c r="B46" s="41" t="s">
        <v>22751</v>
      </c>
      <c r="C46" s="74" t="s">
        <v>22752</v>
      </c>
      <c r="D46" s="72"/>
      <c r="F46" s="57"/>
      <c r="G46" s="72"/>
      <c r="I46" s="57"/>
      <c r="J46" s="72"/>
      <c r="L46" s="57"/>
      <c r="M46" s="122" t="s">
        <v>17560</v>
      </c>
      <c r="N46" s="37" t="s">
        <v>398</v>
      </c>
      <c r="O46" s="38">
        <v>0.9</v>
      </c>
      <c r="P46" s="299" t="s">
        <v>17556</v>
      </c>
      <c r="Q46" s="45" t="s">
        <v>398</v>
      </c>
      <c r="R46" s="46">
        <v>1</v>
      </c>
      <c r="S46" s="512"/>
      <c r="T46" s="57"/>
      <c r="U46" s="512"/>
      <c r="V46" s="57"/>
      <c r="W46" s="122"/>
      <c r="X46" s="37"/>
      <c r="Y46" s="38"/>
      <c r="Z46" s="79"/>
      <c r="AA46" s="122"/>
      <c r="AB46" s="37"/>
      <c r="AC46" s="38"/>
      <c r="AD46" s="79"/>
      <c r="AE46" s="208">
        <f>ROUND((ROUND((ROUND((ROUND((_15_同援日０．５*_15・基礎２),0)*_15・２人),0)*(1+_15・盲ろう)),0)*(1+_15・区３)),0)+ROUND((ROUND((ROUND((ROUND((ROUND((_15_同援日０．５＿０．５*_15・基礎２),0)*_15・２人),0)*(1+_15・B夜間)),0)*(1+_15・盲ろう)),0)*(1+_15・区３)),0)+ROUND((ROUND((ROUND((ROUND((ROUND((_15_同援日０．５＿０．５＿１．０*_15・基礎２),0)*_15・２人),0)*(1+_15・C深夜)),0)*(1+_15・盲ろう)),0)*(1+_15・区３)),0)</f>
        <v>844</v>
      </c>
      <c r="AF46" s="48"/>
    </row>
    <row r="47" spans="1:32" ht="16.5" customHeight="1" x14ac:dyDescent="0.15">
      <c r="A47" s="41">
        <v>15</v>
      </c>
      <c r="B47" s="41" t="s">
        <v>22753</v>
      </c>
      <c r="C47" s="74" t="s">
        <v>22754</v>
      </c>
      <c r="D47" s="72"/>
      <c r="F47" s="57"/>
      <c r="G47" s="72"/>
      <c r="I47" s="57"/>
      <c r="J47" s="72"/>
      <c r="L47" s="57"/>
      <c r="M47" s="114"/>
      <c r="N47" s="49"/>
      <c r="O47" s="50"/>
      <c r="P47" s="299"/>
      <c r="Q47" s="45"/>
      <c r="R47" s="46"/>
      <c r="S47" s="512"/>
      <c r="T47" s="57"/>
      <c r="U47" s="512"/>
      <c r="V47" s="57"/>
      <c r="W47" s="114"/>
      <c r="X47" s="49"/>
      <c r="Y47" s="50"/>
      <c r="Z47" s="115"/>
      <c r="AA47" s="114"/>
      <c r="AB47" s="49"/>
      <c r="AC47" s="50"/>
      <c r="AD47" s="115"/>
      <c r="AE47" s="208">
        <f>ROUND((_15_同援日０．５*(1+_15・区４)),0)+ROUND((ROUND((_15_同援日０．５＿０．５*(1+_15・B夜間)),0)*(1+_15・区４)),0)+ROUND((ROUND((_15_同援日０．５＿０．５＿１．０*(1+_15・C深夜)),0)*(1+_15・区４)),0)</f>
        <v>875</v>
      </c>
      <c r="AF47" s="48"/>
    </row>
    <row r="48" spans="1:32" ht="16.5" customHeight="1" x14ac:dyDescent="0.15">
      <c r="A48" s="41">
        <v>15</v>
      </c>
      <c r="B48" s="41" t="s">
        <v>22755</v>
      </c>
      <c r="C48" s="74" t="s">
        <v>22756</v>
      </c>
      <c r="D48" s="72"/>
      <c r="F48" s="57"/>
      <c r="G48" s="72"/>
      <c r="I48" s="57"/>
      <c r="J48" s="72"/>
      <c r="L48" s="57"/>
      <c r="M48" s="122"/>
      <c r="N48" s="37"/>
      <c r="O48" s="38"/>
      <c r="P48" s="299" t="s">
        <v>17556</v>
      </c>
      <c r="Q48" s="45" t="s">
        <v>398</v>
      </c>
      <c r="R48" s="46">
        <v>1</v>
      </c>
      <c r="S48" s="512"/>
      <c r="T48" s="57"/>
      <c r="U48" s="512"/>
      <c r="V48" s="57"/>
      <c r="W48" s="72"/>
      <c r="Z48" s="57"/>
      <c r="AA48" s="72"/>
      <c r="AD48" s="57"/>
      <c r="AE48" s="208">
        <f>ROUND((ROUND((_15_同援日０．５*_15・２人),0)*(1+_15・区４)),0)+ROUND((ROUND((ROUND((_15_同援日０．５＿０．５*_15・２人),0)*(1+_15・B夜間)),0)*(1+_15・区４)),0)+ROUND((ROUND((ROUND((_15_同援日０．５＿０．５＿１．０*_15・２人),0)*(1+_15・C深夜)),0)*(1+_15・区４)),0)</f>
        <v>875</v>
      </c>
      <c r="AF48" s="48"/>
    </row>
    <row r="49" spans="1:32" ht="16.5" customHeight="1" x14ac:dyDescent="0.15">
      <c r="A49" s="41">
        <v>15</v>
      </c>
      <c r="B49" s="41" t="s">
        <v>1459</v>
      </c>
      <c r="C49" s="74" t="s">
        <v>22757</v>
      </c>
      <c r="D49" s="72"/>
      <c r="F49" s="57"/>
      <c r="G49" s="72"/>
      <c r="I49" s="57"/>
      <c r="J49" s="72"/>
      <c r="L49" s="57"/>
      <c r="M49" s="114" t="s">
        <v>17558</v>
      </c>
      <c r="N49" s="49"/>
      <c r="O49" s="50"/>
      <c r="P49" s="299"/>
      <c r="Q49" s="45"/>
      <c r="R49" s="46"/>
      <c r="S49" s="512"/>
      <c r="T49" s="57"/>
      <c r="U49" s="512"/>
      <c r="V49" s="57"/>
      <c r="W49" s="72"/>
      <c r="Z49" s="57"/>
      <c r="AA49" s="72" t="s">
        <v>17580</v>
      </c>
      <c r="AD49" s="57"/>
      <c r="AE49" s="208">
        <f>ROUND((ROUND((_15_同援日０．５*_15・基礎２),0)*(1+_15・区４)),0)+ROUND((ROUND((ROUND((_15_同援日０．５＿０．５*_15・基礎２),0)*(1+_15・B夜間)),0)*(1+_15・区４)),0)+ROUND((ROUND((ROUND((_15_同援日０．５＿０．５＿１．０*_15・基礎２),0)*(1+_15・C深夜)),0)*(1+_15・区４)),0)</f>
        <v>787</v>
      </c>
      <c r="AF49" s="48"/>
    </row>
    <row r="50" spans="1:32" ht="16.5" customHeight="1" x14ac:dyDescent="0.15">
      <c r="A50" s="41">
        <v>15</v>
      </c>
      <c r="B50" s="41" t="s">
        <v>1461</v>
      </c>
      <c r="C50" s="74" t="s">
        <v>22758</v>
      </c>
      <c r="D50" s="72"/>
      <c r="F50" s="57"/>
      <c r="G50" s="72"/>
      <c r="I50" s="57"/>
      <c r="J50" s="72"/>
      <c r="L50" s="57"/>
      <c r="M50" s="122" t="s">
        <v>17560</v>
      </c>
      <c r="N50" s="37" t="s">
        <v>398</v>
      </c>
      <c r="O50" s="38">
        <v>0.9</v>
      </c>
      <c r="P50" s="299" t="s">
        <v>17556</v>
      </c>
      <c r="Q50" s="45" t="s">
        <v>398</v>
      </c>
      <c r="R50" s="46">
        <v>1</v>
      </c>
      <c r="S50" s="512"/>
      <c r="T50" s="57"/>
      <c r="U50" s="512"/>
      <c r="V50" s="57"/>
      <c r="W50" s="122"/>
      <c r="X50" s="37"/>
      <c r="Y50" s="38"/>
      <c r="Z50" s="79"/>
      <c r="AA50" s="72" t="s">
        <v>17572</v>
      </c>
      <c r="AD50" s="57"/>
      <c r="AE50" s="208">
        <f>ROUND((ROUND((ROUND((_15_同援日０．５*_15・基礎２),0)*_15・２人),0)*(1+_15・区４)),0)+ROUND((ROUND((ROUND((ROUND((_15_同援日０．５＿０．５*_15・基礎２),0)*_15・２人),0)*(1+_15・B夜間)),0)*(1+_15・区４)),0)+ROUND((ROUND((ROUND((ROUND((_15_同援日０．５＿０．５＿１．０*_15・基礎２),0)*_15・２人),0)*(1+_15・C深夜)),0)*(1+_15・区４)),0)</f>
        <v>787</v>
      </c>
      <c r="AF50" s="48"/>
    </row>
    <row r="51" spans="1:32" ht="16.5" customHeight="1" x14ac:dyDescent="0.15">
      <c r="A51" s="41">
        <v>15</v>
      </c>
      <c r="B51" s="41" t="s">
        <v>1463</v>
      </c>
      <c r="C51" s="74" t="s">
        <v>22759</v>
      </c>
      <c r="D51" s="72"/>
      <c r="F51" s="57"/>
      <c r="G51" s="72"/>
      <c r="I51" s="57"/>
      <c r="J51" s="72"/>
      <c r="L51" s="57"/>
      <c r="M51" s="114"/>
      <c r="N51" s="49"/>
      <c r="O51" s="50"/>
      <c r="P51" s="299"/>
      <c r="Q51" s="45"/>
      <c r="R51" s="46"/>
      <c r="S51" s="512"/>
      <c r="T51" s="57"/>
      <c r="U51" s="512"/>
      <c r="V51" s="57"/>
      <c r="W51" s="114" t="s">
        <v>17562</v>
      </c>
      <c r="X51" s="49"/>
      <c r="Y51" s="50"/>
      <c r="Z51" s="115"/>
      <c r="AA51" s="72"/>
      <c r="AB51" s="12" t="s">
        <v>398</v>
      </c>
      <c r="AC51" s="13">
        <v>0.4</v>
      </c>
      <c r="AD51" s="57" t="s">
        <v>3575</v>
      </c>
      <c r="AE51" s="208">
        <f>ROUND((ROUND((_15_同援日０．５*(1+_15・盲ろう)),0)*(1+_15・区４)),0)+ROUND((ROUND((ROUND((_15_同援日０．５＿０．５*(1+_15・B夜間)),0)*(1+_15・盲ろう)),0)*(1+_15・区４)),0)+ROUND((ROUND((ROUND((_15_同援日０．５＿０．５＿１．０*(1+_15・C深夜)),0)*(1+_15・盲ろう)),0)*(1+_15・区４)),0)</f>
        <v>1094</v>
      </c>
      <c r="AF51" s="48"/>
    </row>
    <row r="52" spans="1:32" ht="16.5" customHeight="1" x14ac:dyDescent="0.15">
      <c r="A52" s="41">
        <v>15</v>
      </c>
      <c r="B52" s="41" t="s">
        <v>1465</v>
      </c>
      <c r="C52" s="74" t="s">
        <v>22760</v>
      </c>
      <c r="D52" s="72"/>
      <c r="F52" s="57"/>
      <c r="G52" s="72"/>
      <c r="I52" s="57"/>
      <c r="J52" s="72"/>
      <c r="L52" s="57"/>
      <c r="M52" s="122"/>
      <c r="N52" s="37"/>
      <c r="O52" s="38"/>
      <c r="P52" s="299" t="s">
        <v>17556</v>
      </c>
      <c r="Q52" s="45" t="s">
        <v>398</v>
      </c>
      <c r="R52" s="46">
        <v>1</v>
      </c>
      <c r="S52" s="512"/>
      <c r="T52" s="57"/>
      <c r="U52" s="512"/>
      <c r="V52" s="57"/>
      <c r="W52" s="72" t="s">
        <v>17564</v>
      </c>
      <c r="Z52" s="57"/>
      <c r="AA52" s="72"/>
      <c r="AD52" s="57"/>
      <c r="AE52" s="208">
        <f>ROUND((ROUND((ROUND((_15_同援日０．５*_15・２人),0)*(1+_15・盲ろう)),0)*(1+_15・区４)),0)+ROUND((ROUND((ROUND((ROUND((_15_同援日０．５＿０．５*_15・２人),0)*(1+_15・B夜間)),0)*(1+_15・盲ろう)),0)*(1+_15・区４)),0)+ROUND((ROUND((ROUND((ROUND((_15_同援日０．５＿０．５＿１．０*_15・２人),0)*(1+_15・C深夜)),0)*(1+_15・盲ろう)),0)*(1+_15・区４)),0)</f>
        <v>1094</v>
      </c>
      <c r="AF52" s="48"/>
    </row>
    <row r="53" spans="1:32" ht="16.5" customHeight="1" x14ac:dyDescent="0.15">
      <c r="A53" s="41">
        <v>15</v>
      </c>
      <c r="B53" s="41" t="s">
        <v>22761</v>
      </c>
      <c r="C53" s="74" t="s">
        <v>22762</v>
      </c>
      <c r="D53" s="72"/>
      <c r="F53" s="57"/>
      <c r="G53" s="72"/>
      <c r="I53" s="57"/>
      <c r="J53" s="72"/>
      <c r="L53" s="57"/>
      <c r="M53" s="114" t="s">
        <v>17558</v>
      </c>
      <c r="N53" s="49"/>
      <c r="O53" s="50"/>
      <c r="P53" s="299"/>
      <c r="Q53" s="45"/>
      <c r="R53" s="46"/>
      <c r="S53" s="512"/>
      <c r="T53" s="57"/>
      <c r="U53" s="512"/>
      <c r="V53" s="57"/>
      <c r="W53" s="72"/>
      <c r="X53" s="12" t="s">
        <v>398</v>
      </c>
      <c r="Y53" s="13">
        <v>0.25</v>
      </c>
      <c r="Z53" s="57" t="s">
        <v>3575</v>
      </c>
      <c r="AA53" s="72"/>
      <c r="AD53" s="57"/>
      <c r="AE53" s="208">
        <f>ROUND((ROUND((ROUND((_15_同援日０．５*_15・基礎２),0)*(1+_15・盲ろう)),0)*(1+_15・区４)),0)+ROUND((ROUND((ROUND((ROUND((_15_同援日０．５＿０．５*_15・基礎２),0)*(1+_15・B夜間)),0)*(1+_15・盲ろう)),0)*(1+_15・区４)),0)+ROUND((ROUND((ROUND((ROUND((_15_同援日０．５＿０．５＿１．０*_15・基礎２),0)*(1+_15・C深夜)),0)*(1+_15・盲ろう)),0)*(1+_15・区４)),0)</f>
        <v>985</v>
      </c>
      <c r="AF53" s="48"/>
    </row>
    <row r="54" spans="1:32" ht="16.5" customHeight="1" x14ac:dyDescent="0.15">
      <c r="A54" s="41">
        <v>15</v>
      </c>
      <c r="B54" s="41" t="s">
        <v>22763</v>
      </c>
      <c r="C54" s="74" t="s">
        <v>22764</v>
      </c>
      <c r="D54" s="72"/>
      <c r="F54" s="57"/>
      <c r="G54" s="72"/>
      <c r="I54" s="57"/>
      <c r="J54" s="122"/>
      <c r="K54" s="37"/>
      <c r="L54" s="79"/>
      <c r="M54" s="122" t="s">
        <v>17560</v>
      </c>
      <c r="N54" s="37" t="s">
        <v>398</v>
      </c>
      <c r="O54" s="38">
        <v>0.9</v>
      </c>
      <c r="P54" s="299" t="s">
        <v>17556</v>
      </c>
      <c r="Q54" s="45" t="s">
        <v>398</v>
      </c>
      <c r="R54" s="46">
        <v>1</v>
      </c>
      <c r="S54" s="512"/>
      <c r="T54" s="57"/>
      <c r="U54" s="512"/>
      <c r="V54" s="57"/>
      <c r="W54" s="122"/>
      <c r="X54" s="37"/>
      <c r="Y54" s="38"/>
      <c r="Z54" s="79"/>
      <c r="AA54" s="122"/>
      <c r="AB54" s="37"/>
      <c r="AC54" s="38"/>
      <c r="AD54" s="79"/>
      <c r="AE54" s="208">
        <f>ROUND((ROUND((ROUND((ROUND((_15_同援日０．５*_15・基礎２),0)*_15・２人),0)*(1+_15・盲ろう)),0)*(1+_15・区４)),0)+ROUND((ROUND((ROUND((ROUND((ROUND((_15_同援日０．５＿０．５*_15・基礎２),0)*_15・２人),0)*(1+_15・B夜間)),0)*(1+_15・盲ろう)),0)*(1+_15・区４)),0)+ROUND((ROUND((ROUND((ROUND((ROUND((_15_同援日０．５＿０．５＿１．０*_15・基礎２),0)*_15・２人),0)*(1+_15・C深夜)),0)*(1+_15・盲ろう)),0)*(1+_15・区４)),0)</f>
        <v>985</v>
      </c>
      <c r="AF54" s="48"/>
    </row>
    <row r="55" spans="1:32" ht="16.5" customHeight="1" x14ac:dyDescent="0.15">
      <c r="A55" s="41">
        <v>15</v>
      </c>
      <c r="B55" s="41" t="s">
        <v>22765</v>
      </c>
      <c r="C55" s="74" t="s">
        <v>22766</v>
      </c>
      <c r="D55" s="72"/>
      <c r="F55" s="57"/>
      <c r="G55" s="72"/>
      <c r="I55" s="57"/>
      <c r="J55" s="114" t="s">
        <v>22767</v>
      </c>
      <c r="K55" s="49"/>
      <c r="L55" s="115"/>
      <c r="M55" s="114"/>
      <c r="N55" s="49"/>
      <c r="O55" s="50"/>
      <c r="P55" s="299"/>
      <c r="Q55" s="45"/>
      <c r="R55" s="46"/>
      <c r="S55" s="512"/>
      <c r="T55" s="57"/>
      <c r="U55" s="512"/>
      <c r="V55" s="57"/>
      <c r="W55" s="114"/>
      <c r="X55" s="49"/>
      <c r="Y55" s="50"/>
      <c r="Z55" s="115"/>
      <c r="AA55" s="114"/>
      <c r="AB55" s="49"/>
      <c r="AC55" s="50"/>
      <c r="AD55" s="115"/>
      <c r="AE55" s="208">
        <f>_15_同援日０．５+ROUND((_15_同援日０．５＿０．５*(1+_15・B夜間)),0)+ROUND((_15_同援日０．５＿０．５＿１．５*(1+_15・C深夜)),0)</f>
        <v>723</v>
      </c>
      <c r="AF55" s="48"/>
    </row>
    <row r="56" spans="1:32" ht="16.5" customHeight="1" x14ac:dyDescent="0.15">
      <c r="A56" s="41">
        <v>15</v>
      </c>
      <c r="B56" s="41" t="s">
        <v>22768</v>
      </c>
      <c r="C56" s="74" t="s">
        <v>22769</v>
      </c>
      <c r="D56" s="72"/>
      <c r="F56" s="57"/>
      <c r="G56" s="72"/>
      <c r="I56" s="57"/>
      <c r="J56" s="72" t="s">
        <v>17616</v>
      </c>
      <c r="L56" s="57"/>
      <c r="M56" s="122"/>
      <c r="N56" s="37"/>
      <c r="O56" s="38"/>
      <c r="P56" s="299" t="s">
        <v>17556</v>
      </c>
      <c r="Q56" s="45" t="s">
        <v>398</v>
      </c>
      <c r="R56" s="46">
        <v>1</v>
      </c>
      <c r="S56" s="512"/>
      <c r="T56" s="57"/>
      <c r="U56" s="512"/>
      <c r="V56" s="57"/>
      <c r="W56" s="72"/>
      <c r="Z56" s="57"/>
      <c r="AA56" s="72"/>
      <c r="AD56" s="57"/>
      <c r="AE56" s="208">
        <f>ROUND((_15_同援日０．５*_15・２人),0)+ROUND((ROUND((_15_同援日０．５＿０．５*_15・２人),0)*(1+_15・B夜間)),0)+ROUND((ROUND((_15_同援日０．５＿０．５＿１．５*_15・２人),0)*(1+_15・C深夜)),0)</f>
        <v>723</v>
      </c>
      <c r="AF56" s="48"/>
    </row>
    <row r="57" spans="1:32" ht="16.5" customHeight="1" x14ac:dyDescent="0.15">
      <c r="A57" s="41">
        <v>15</v>
      </c>
      <c r="B57" s="41" t="s">
        <v>22770</v>
      </c>
      <c r="C57" s="74" t="s">
        <v>22771</v>
      </c>
      <c r="D57" s="72"/>
      <c r="F57" s="57"/>
      <c r="G57" s="72"/>
      <c r="I57" s="57"/>
      <c r="J57" s="72" t="s">
        <v>18183</v>
      </c>
      <c r="L57" s="57"/>
      <c r="M57" s="114" t="s">
        <v>17558</v>
      </c>
      <c r="N57" s="49"/>
      <c r="O57" s="50"/>
      <c r="P57" s="299"/>
      <c r="Q57" s="45"/>
      <c r="R57" s="46"/>
      <c r="S57" s="512"/>
      <c r="T57" s="57"/>
      <c r="U57" s="512"/>
      <c r="V57" s="57"/>
      <c r="W57" s="72"/>
      <c r="Z57" s="57"/>
      <c r="AA57" s="72"/>
      <c r="AD57" s="57"/>
      <c r="AE57" s="208">
        <f>ROUND((_15_同援日０．５*_15・基礎２),0)+ROUND((ROUND((_15_同援日０．５＿０．５*_15・基礎２),0)*(1+_15・B夜間)),0)+ROUND((ROUND((_15_同援日０．５＿０．５＿１．５*_15・基礎２),0)*(1+_15・C深夜)),0)</f>
        <v>651</v>
      </c>
      <c r="AF57" s="48"/>
    </row>
    <row r="58" spans="1:32" ht="16.5" customHeight="1" x14ac:dyDescent="0.15">
      <c r="A58" s="41">
        <v>15</v>
      </c>
      <c r="B58" s="41" t="s">
        <v>22772</v>
      </c>
      <c r="C58" s="74" t="s">
        <v>22773</v>
      </c>
      <c r="D58" s="72"/>
      <c r="F58" s="57"/>
      <c r="G58" s="72"/>
      <c r="I58" s="57"/>
      <c r="J58" s="72"/>
      <c r="K58" s="168">
        <f>_15_同援日０．５＿０．５＿１．５</f>
        <v>263</v>
      </c>
      <c r="L58" s="57" t="s">
        <v>392</v>
      </c>
      <c r="M58" s="122" t="s">
        <v>17560</v>
      </c>
      <c r="N58" s="37" t="s">
        <v>398</v>
      </c>
      <c r="O58" s="38">
        <v>0.9</v>
      </c>
      <c r="P58" s="299" t="s">
        <v>17556</v>
      </c>
      <c r="Q58" s="45" t="s">
        <v>398</v>
      </c>
      <c r="R58" s="46">
        <v>1</v>
      </c>
      <c r="S58" s="512"/>
      <c r="T58" s="57"/>
      <c r="U58" s="512"/>
      <c r="V58" s="57"/>
      <c r="W58" s="122"/>
      <c r="X58" s="37"/>
      <c r="Y58" s="38"/>
      <c r="Z58" s="79"/>
      <c r="AA58" s="72"/>
      <c r="AD58" s="57"/>
      <c r="AE58" s="208">
        <f>ROUND((ROUND((_15_同援日０．５*_15・基礎２),0)*_15・２人),0)+ROUND((ROUND((ROUND((_15_同援日０．５＿０．５*_15・基礎２),0)*_15・２人),0)*(1+_15・B夜間)),0)+ROUND((ROUND((ROUND((_15_同援日０．５＿０．５＿１．５*_15・基礎２),0)*_15・２人),0)*(1+_15・C深夜)),0)</f>
        <v>651</v>
      </c>
      <c r="AF58" s="48"/>
    </row>
    <row r="59" spans="1:32" ht="16.5" customHeight="1" x14ac:dyDescent="0.15">
      <c r="A59" s="41">
        <v>15</v>
      </c>
      <c r="B59" s="41" t="s">
        <v>22774</v>
      </c>
      <c r="C59" s="74" t="s">
        <v>22775</v>
      </c>
      <c r="D59" s="72"/>
      <c r="F59" s="57"/>
      <c r="G59" s="72"/>
      <c r="I59" s="57"/>
      <c r="J59" s="72"/>
      <c r="L59" s="57"/>
      <c r="M59" s="114"/>
      <c r="N59" s="49"/>
      <c r="O59" s="50"/>
      <c r="P59" s="299"/>
      <c r="Q59" s="45"/>
      <c r="R59" s="46"/>
      <c r="S59" s="512"/>
      <c r="T59" s="57"/>
      <c r="U59" s="512"/>
      <c r="V59" s="57"/>
      <c r="W59" s="114" t="s">
        <v>17562</v>
      </c>
      <c r="X59" s="49"/>
      <c r="Y59" s="50"/>
      <c r="Z59" s="115"/>
      <c r="AA59" s="72"/>
      <c r="AD59" s="57"/>
      <c r="AE59" s="208">
        <f>ROUND((_15_同援日０．５*(1+_15・盲ろう)),0)+ROUND((ROUND((_15_同援日０．５＿０．５*(1+_15・B夜間)),0)*(1+_15・盲ろう)),0)+ROUND((ROUND((_15_同援日０．５＿０．５＿１．５*(1+_15・C深夜)),0)*(1+_15・盲ろう)),0)</f>
        <v>905</v>
      </c>
      <c r="AF59" s="48"/>
    </row>
    <row r="60" spans="1:32" ht="16.5" customHeight="1" x14ac:dyDescent="0.15">
      <c r="A60" s="41">
        <v>15</v>
      </c>
      <c r="B60" s="41" t="s">
        <v>22776</v>
      </c>
      <c r="C60" s="74" t="s">
        <v>22777</v>
      </c>
      <c r="D60" s="72"/>
      <c r="F60" s="57"/>
      <c r="G60" s="72"/>
      <c r="I60" s="57"/>
      <c r="J60" s="72"/>
      <c r="L60" s="57"/>
      <c r="M60" s="122"/>
      <c r="N60" s="37"/>
      <c r="O60" s="38"/>
      <c r="P60" s="299" t="s">
        <v>17556</v>
      </c>
      <c r="Q60" s="45" t="s">
        <v>398</v>
      </c>
      <c r="R60" s="46">
        <v>1</v>
      </c>
      <c r="S60" s="512"/>
      <c r="T60" s="57"/>
      <c r="U60" s="512"/>
      <c r="V60" s="57"/>
      <c r="W60" s="72" t="s">
        <v>17564</v>
      </c>
      <c r="Z60" s="57"/>
      <c r="AA60" s="72"/>
      <c r="AD60" s="57"/>
      <c r="AE60" s="208">
        <f>ROUND((ROUND((_15_同援日０．５*_15・２人),0)*(1+_15・盲ろう)),0)+ROUND((ROUND((ROUND((_15_同援日０．５＿０．５*_15・２人),0)*(1+_15・B夜間)),0)*(1+_15・盲ろう)),0)+ROUND((ROUND((ROUND((_15_同援日０．５＿０．５＿１．５*_15・２人),0)*(1+_15・C深夜)),0)*(1+_15・盲ろう)),0)</f>
        <v>905</v>
      </c>
      <c r="AF60" s="48"/>
    </row>
    <row r="61" spans="1:32" ht="16.5" customHeight="1" x14ac:dyDescent="0.15">
      <c r="A61" s="41">
        <v>15</v>
      </c>
      <c r="B61" s="41" t="s">
        <v>22778</v>
      </c>
      <c r="C61" s="74" t="s">
        <v>22779</v>
      </c>
      <c r="D61" s="72"/>
      <c r="F61" s="57"/>
      <c r="G61" s="72"/>
      <c r="I61" s="57"/>
      <c r="J61" s="72"/>
      <c r="L61" s="57"/>
      <c r="M61" s="114" t="s">
        <v>17558</v>
      </c>
      <c r="N61" s="49"/>
      <c r="O61" s="50"/>
      <c r="P61" s="299"/>
      <c r="Q61" s="45"/>
      <c r="R61" s="46"/>
      <c r="S61" s="512"/>
      <c r="T61" s="57"/>
      <c r="U61" s="512"/>
      <c r="V61" s="57"/>
      <c r="W61" s="72"/>
      <c r="X61" s="12" t="s">
        <v>398</v>
      </c>
      <c r="Y61" s="13">
        <v>0.25</v>
      </c>
      <c r="Z61" s="57" t="s">
        <v>3575</v>
      </c>
      <c r="AA61" s="72"/>
      <c r="AD61" s="57"/>
      <c r="AE61" s="208">
        <f>ROUND((ROUND((_15_同援日０．５*_15・基礎２),0)*(1+_15・盲ろう)),0)+ROUND((ROUND((ROUND((_15_同援日０．５＿０．５*_15・基礎２),0)*(1+_15・B夜間)),0)*(1+_15・盲ろう)),0)+ROUND((ROUND((ROUND((_15_同援日０．５＿０．５＿１．５*_15・基礎２),0)*(1+_15・C深夜)),0)*(1+_15・盲ろう)),0)</f>
        <v>814</v>
      </c>
      <c r="AF61" s="48"/>
    </row>
    <row r="62" spans="1:32" ht="16.5" customHeight="1" x14ac:dyDescent="0.15">
      <c r="A62" s="41">
        <v>15</v>
      </c>
      <c r="B62" s="41" t="s">
        <v>22780</v>
      </c>
      <c r="C62" s="74" t="s">
        <v>22781</v>
      </c>
      <c r="D62" s="72"/>
      <c r="F62" s="57"/>
      <c r="G62" s="72"/>
      <c r="I62" s="57"/>
      <c r="J62" s="72"/>
      <c r="L62" s="57"/>
      <c r="M62" s="122" t="s">
        <v>17560</v>
      </c>
      <c r="N62" s="37" t="s">
        <v>398</v>
      </c>
      <c r="O62" s="38">
        <v>0.9</v>
      </c>
      <c r="P62" s="299" t="s">
        <v>17556</v>
      </c>
      <c r="Q62" s="45" t="s">
        <v>398</v>
      </c>
      <c r="R62" s="46">
        <v>1</v>
      </c>
      <c r="S62" s="512"/>
      <c r="T62" s="57"/>
      <c r="U62" s="512"/>
      <c r="V62" s="57"/>
      <c r="W62" s="122"/>
      <c r="X62" s="37"/>
      <c r="Y62" s="38"/>
      <c r="Z62" s="79"/>
      <c r="AA62" s="122"/>
      <c r="AB62" s="37"/>
      <c r="AC62" s="38"/>
      <c r="AD62" s="79"/>
      <c r="AE62" s="208">
        <f>ROUND((ROUND((ROUND((_15_同援日０．５*_15・基礎２),0)*_15・２人),0)*(1+_15・盲ろう)),0)+ROUND((ROUND((ROUND((ROUND((_15_同援日０．５＿０．５*_15・基礎２),0)*_15・２人),0)*(1+_15・B夜間)),0)*(1+_15・盲ろう)),0)+ROUND((ROUND((ROUND((ROUND((_15_同援日０．５＿０．５＿１．５*_15・基礎２),0)*_15・２人),0)*(1+_15・C深夜)),0)*(1+_15・盲ろう)),0)</f>
        <v>814</v>
      </c>
      <c r="AF62" s="48"/>
    </row>
    <row r="63" spans="1:32" ht="16.5" customHeight="1" x14ac:dyDescent="0.15">
      <c r="A63" s="41">
        <v>15</v>
      </c>
      <c r="B63" s="41" t="s">
        <v>22782</v>
      </c>
      <c r="C63" s="74" t="s">
        <v>22783</v>
      </c>
      <c r="D63" s="72"/>
      <c r="F63" s="57"/>
      <c r="G63" s="72"/>
      <c r="I63" s="57"/>
      <c r="J63" s="72"/>
      <c r="L63" s="57"/>
      <c r="M63" s="114"/>
      <c r="N63" s="49"/>
      <c r="O63" s="50"/>
      <c r="P63" s="299"/>
      <c r="Q63" s="45"/>
      <c r="R63" s="46"/>
      <c r="S63" s="512"/>
      <c r="T63" s="57"/>
      <c r="U63" s="512"/>
      <c r="V63" s="57"/>
      <c r="W63" s="114"/>
      <c r="X63" s="49"/>
      <c r="Y63" s="50"/>
      <c r="Z63" s="115"/>
      <c r="AA63" s="114"/>
      <c r="AB63" s="49"/>
      <c r="AC63" s="50"/>
      <c r="AD63" s="115"/>
      <c r="AE63" s="208">
        <f>ROUND((_15_同援日０．５*(1+_15・区３)),0)+ROUND((ROUND((_15_同援日０．５＿０．５*(1+_15・B夜間)),0)*(1+_15・区３)),0)+ROUND((ROUND((_15_同援日０．５＿０．５＿１．５*(1+_15・C深夜)),0)*(1+_15・区３)),0)</f>
        <v>868</v>
      </c>
      <c r="AF63" s="48"/>
    </row>
    <row r="64" spans="1:32" ht="16.5" customHeight="1" x14ac:dyDescent="0.15">
      <c r="A64" s="41">
        <v>15</v>
      </c>
      <c r="B64" s="41" t="s">
        <v>22784</v>
      </c>
      <c r="C64" s="74" t="s">
        <v>22785</v>
      </c>
      <c r="D64" s="72"/>
      <c r="F64" s="57"/>
      <c r="G64" s="72"/>
      <c r="I64" s="57"/>
      <c r="J64" s="72"/>
      <c r="L64" s="57"/>
      <c r="M64" s="122"/>
      <c r="N64" s="37"/>
      <c r="O64" s="38"/>
      <c r="P64" s="299" t="s">
        <v>17556</v>
      </c>
      <c r="Q64" s="45" t="s">
        <v>398</v>
      </c>
      <c r="R64" s="46">
        <v>1</v>
      </c>
      <c r="S64" s="512"/>
      <c r="T64" s="57"/>
      <c r="U64" s="512"/>
      <c r="V64" s="57"/>
      <c r="W64" s="72"/>
      <c r="Z64" s="57"/>
      <c r="AA64" s="72"/>
      <c r="AD64" s="57"/>
      <c r="AE64" s="208">
        <f>ROUND((ROUND((_15_同援日０．５*_15・２人),0)*(1+_15・区３)),0)+ROUND((ROUND((ROUND((_15_同援日０．５＿０．５*_15・２人),0)*(1+_15・B夜間)),0)*(1+_15・区３)),0)+ROUND((ROUND((ROUND((_15_同援日０．５＿０．５＿１．５*_15・２人),0)*(1+_15・C深夜)),0)*(1+_15・区３)),0)</f>
        <v>868</v>
      </c>
      <c r="AF64" s="48"/>
    </row>
    <row r="65" spans="1:32" ht="16.5" customHeight="1" x14ac:dyDescent="0.15">
      <c r="A65" s="41">
        <v>15</v>
      </c>
      <c r="B65" s="41" t="s">
        <v>22786</v>
      </c>
      <c r="C65" s="74" t="s">
        <v>22787</v>
      </c>
      <c r="D65" s="72"/>
      <c r="F65" s="57"/>
      <c r="G65" s="72"/>
      <c r="I65" s="57"/>
      <c r="J65" s="72"/>
      <c r="L65" s="57"/>
      <c r="M65" s="114" t="s">
        <v>17558</v>
      </c>
      <c r="N65" s="49"/>
      <c r="O65" s="50"/>
      <c r="P65" s="299"/>
      <c r="Q65" s="45"/>
      <c r="R65" s="46"/>
      <c r="S65" s="512"/>
      <c r="T65" s="57"/>
      <c r="U65" s="512"/>
      <c r="V65" s="57"/>
      <c r="W65" s="72"/>
      <c r="Z65" s="57"/>
      <c r="AA65" s="72" t="s">
        <v>17570</v>
      </c>
      <c r="AD65" s="57"/>
      <c r="AE65" s="208">
        <f>ROUND((ROUND((_15_同援日０．５*_15・基礎２),0)*(1+_15・区３)),0)+ROUND((ROUND((ROUND((_15_同援日０．５＿０．５*_15・基礎２),0)*(1+_15・B夜間)),0)*(1+_15・区３)),0)+ROUND((ROUND((ROUND((_15_同援日０．５＿０．５＿１．５*_15・基礎２),0)*(1+_15・C深夜)),0)*(1+_15・区３)),0)</f>
        <v>781</v>
      </c>
      <c r="AF65" s="48"/>
    </row>
    <row r="66" spans="1:32" ht="16.5" customHeight="1" x14ac:dyDescent="0.15">
      <c r="A66" s="41">
        <v>15</v>
      </c>
      <c r="B66" s="41" t="s">
        <v>22788</v>
      </c>
      <c r="C66" s="74" t="s">
        <v>22789</v>
      </c>
      <c r="D66" s="72"/>
      <c r="F66" s="57"/>
      <c r="G66" s="72"/>
      <c r="I66" s="57"/>
      <c r="J66" s="72"/>
      <c r="L66" s="57"/>
      <c r="M66" s="122" t="s">
        <v>17560</v>
      </c>
      <c r="N66" s="37" t="s">
        <v>398</v>
      </c>
      <c r="O66" s="38">
        <v>0.9</v>
      </c>
      <c r="P66" s="299" t="s">
        <v>17556</v>
      </c>
      <c r="Q66" s="45" t="s">
        <v>398</v>
      </c>
      <c r="R66" s="46">
        <v>1</v>
      </c>
      <c r="S66" s="512"/>
      <c r="T66" s="57"/>
      <c r="U66" s="512"/>
      <c r="V66" s="57"/>
      <c r="W66" s="122"/>
      <c r="X66" s="37"/>
      <c r="Y66" s="38"/>
      <c r="Z66" s="79"/>
      <c r="AA66" s="72" t="s">
        <v>17572</v>
      </c>
      <c r="AD66" s="57"/>
      <c r="AE66" s="208">
        <f>ROUND((ROUND((ROUND((_15_同援日０．５*_15・基礎２),0)*_15・２人),0)*(1+_15・区３)),0)+ROUND((ROUND((ROUND((ROUND((_15_同援日０．５＿０．５*_15・基礎２),0)*_15・２人),0)*(1+_15・B夜間)),0)*(1+_15・区３)),0)+ROUND((ROUND((ROUND((ROUND((_15_同援日０．５＿０．５＿１．５*_15・基礎２),0)*_15・２人),0)*(1+_15・C深夜)),0)*(1+_15・区３)),0)</f>
        <v>781</v>
      </c>
      <c r="AF66" s="48"/>
    </row>
    <row r="67" spans="1:32" ht="16.5" customHeight="1" x14ac:dyDescent="0.15">
      <c r="A67" s="41">
        <v>15</v>
      </c>
      <c r="B67" s="41" t="s">
        <v>22790</v>
      </c>
      <c r="C67" s="74" t="s">
        <v>22791</v>
      </c>
      <c r="D67" s="72"/>
      <c r="F67" s="57"/>
      <c r="G67" s="72"/>
      <c r="I67" s="57"/>
      <c r="J67" s="72"/>
      <c r="L67" s="57"/>
      <c r="M67" s="114"/>
      <c r="N67" s="49"/>
      <c r="O67" s="50"/>
      <c r="P67" s="299"/>
      <c r="Q67" s="45"/>
      <c r="R67" s="46"/>
      <c r="S67" s="512"/>
      <c r="T67" s="57"/>
      <c r="U67" s="512"/>
      <c r="V67" s="57"/>
      <c r="W67" s="114" t="s">
        <v>17562</v>
      </c>
      <c r="X67" s="49"/>
      <c r="Y67" s="50"/>
      <c r="Z67" s="115"/>
      <c r="AA67" s="72"/>
      <c r="AB67" s="12" t="s">
        <v>398</v>
      </c>
      <c r="AC67" s="13">
        <v>0.2</v>
      </c>
      <c r="AD67" s="57" t="s">
        <v>3575</v>
      </c>
      <c r="AE67" s="208">
        <f>ROUND((ROUND((_15_同援日０．５*(1+_15・盲ろう)),0)*(1+_15・区３)),0)+ROUND((ROUND((ROUND((_15_同援日０．５＿０．５*(1+_15・B夜間)),0)*(1+_15・盲ろう)),0)*(1+_15・区３)),0)+ROUND((ROUND((ROUND((_15_同援日０．５＿０．５＿１．５*(1+_15・C深夜)),0)*(1+_15・盲ろう)),0)*(1+_15・区３)),0)</f>
        <v>1087</v>
      </c>
      <c r="AF67" s="48"/>
    </row>
    <row r="68" spans="1:32" ht="16.5" customHeight="1" x14ac:dyDescent="0.15">
      <c r="A68" s="41">
        <v>15</v>
      </c>
      <c r="B68" s="41" t="s">
        <v>22792</v>
      </c>
      <c r="C68" s="74" t="s">
        <v>22793</v>
      </c>
      <c r="D68" s="72"/>
      <c r="F68" s="57"/>
      <c r="G68" s="72"/>
      <c r="I68" s="57"/>
      <c r="J68" s="72"/>
      <c r="L68" s="57"/>
      <c r="M68" s="122"/>
      <c r="N68" s="37"/>
      <c r="O68" s="38"/>
      <c r="P68" s="299" t="s">
        <v>17556</v>
      </c>
      <c r="Q68" s="45" t="s">
        <v>398</v>
      </c>
      <c r="R68" s="46">
        <v>1</v>
      </c>
      <c r="S68" s="512"/>
      <c r="T68" s="57"/>
      <c r="U68" s="512"/>
      <c r="V68" s="57"/>
      <c r="W68" s="72" t="s">
        <v>17564</v>
      </c>
      <c r="Z68" s="57"/>
      <c r="AA68" s="72"/>
      <c r="AD68" s="57"/>
      <c r="AE68" s="208">
        <f>ROUND((ROUND((ROUND((_15_同援日０．５*_15・２人),0)*(1+_15・盲ろう)),0)*(1+_15・区３)),0)+ROUND((ROUND((ROUND((ROUND((_15_同援日０．５＿０．５*_15・２人),0)*(1+_15・B夜間)),0)*(1+_15・盲ろう)),0)*(1+_15・区３)),0)+ROUND((ROUND((ROUND((ROUND((_15_同援日０．５＿０．５＿１．５*_15・２人),0)*(1+_15・C深夜)),0)*(1+_15・盲ろう)),0)*(1+_15・区３)),0)</f>
        <v>1087</v>
      </c>
      <c r="AF68" s="48"/>
    </row>
    <row r="69" spans="1:32" ht="16.5" customHeight="1" x14ac:dyDescent="0.15">
      <c r="A69" s="41">
        <v>15</v>
      </c>
      <c r="B69" s="41" t="s">
        <v>1472</v>
      </c>
      <c r="C69" s="74" t="s">
        <v>22794</v>
      </c>
      <c r="D69" s="72"/>
      <c r="F69" s="57"/>
      <c r="G69" s="72"/>
      <c r="I69" s="57"/>
      <c r="J69" s="72"/>
      <c r="L69" s="57"/>
      <c r="M69" s="114" t="s">
        <v>17558</v>
      </c>
      <c r="N69" s="49"/>
      <c r="O69" s="50"/>
      <c r="P69" s="299"/>
      <c r="Q69" s="45"/>
      <c r="R69" s="46"/>
      <c r="S69" s="512"/>
      <c r="T69" s="57"/>
      <c r="U69" s="512"/>
      <c r="V69" s="57"/>
      <c r="W69" s="72"/>
      <c r="X69" s="12" t="s">
        <v>398</v>
      </c>
      <c r="Y69" s="13">
        <v>0.25</v>
      </c>
      <c r="Z69" s="57" t="s">
        <v>3575</v>
      </c>
      <c r="AA69" s="72"/>
      <c r="AD69" s="57"/>
      <c r="AE69" s="208">
        <f>ROUND((ROUND((ROUND((_15_同援日０．５*_15・基礎２),0)*(1+_15・盲ろう)),0)*(1+_15・区３)),0)+ROUND((ROUND((ROUND((ROUND((_15_同援日０．５＿０．５*_15・基礎２),0)*(1+_15・B夜間)),0)*(1+_15・盲ろう)),0)*(1+_15・区３)),0)+ROUND((ROUND((ROUND((ROUND((_15_同援日０．５＿０．５＿１．５*_15・基礎２),0)*(1+_15・C深夜)),0)*(1+_15・盲ろう)),0)*(1+_15・区３)),0)</f>
        <v>977</v>
      </c>
      <c r="AF69" s="48"/>
    </row>
    <row r="70" spans="1:32" ht="16.5" customHeight="1" x14ac:dyDescent="0.15">
      <c r="A70" s="41">
        <v>15</v>
      </c>
      <c r="B70" s="41" t="s">
        <v>1474</v>
      </c>
      <c r="C70" s="74" t="s">
        <v>22795</v>
      </c>
      <c r="D70" s="72"/>
      <c r="F70" s="57"/>
      <c r="G70" s="72"/>
      <c r="I70" s="57"/>
      <c r="J70" s="72"/>
      <c r="L70" s="57"/>
      <c r="M70" s="122" t="s">
        <v>17560</v>
      </c>
      <c r="N70" s="37" t="s">
        <v>398</v>
      </c>
      <c r="O70" s="38">
        <v>0.9</v>
      </c>
      <c r="P70" s="299" t="s">
        <v>17556</v>
      </c>
      <c r="Q70" s="45" t="s">
        <v>398</v>
      </c>
      <c r="R70" s="46">
        <v>1</v>
      </c>
      <c r="S70" s="512"/>
      <c r="T70" s="57"/>
      <c r="U70" s="512"/>
      <c r="V70" s="57"/>
      <c r="W70" s="122"/>
      <c r="X70" s="37"/>
      <c r="Y70" s="38"/>
      <c r="Z70" s="79"/>
      <c r="AA70" s="122"/>
      <c r="AB70" s="37"/>
      <c r="AC70" s="38"/>
      <c r="AD70" s="79"/>
      <c r="AE70" s="208">
        <f>ROUND((ROUND((ROUND((ROUND((_15_同援日０．５*_15・基礎２),0)*_15・２人),0)*(1+_15・盲ろう)),0)*(1+_15・区３)),0)+ROUND((ROUND((ROUND((ROUND((ROUND((_15_同援日０．５＿０．５*_15・基礎２),0)*_15・２人),0)*(1+_15・B夜間)),0)*(1+_15・盲ろう)),0)*(1+_15・区３)),0)+ROUND((ROUND((ROUND((ROUND((ROUND((_15_同援日０．５＿０．５＿１．５*_15・基礎２),0)*_15・２人),0)*(1+_15・C深夜)),0)*(1+_15・盲ろう)),0)*(1+_15・区３)),0)</f>
        <v>977</v>
      </c>
      <c r="AF70" s="48"/>
    </row>
    <row r="71" spans="1:32" ht="16.5" customHeight="1" x14ac:dyDescent="0.15">
      <c r="A71" s="41">
        <v>15</v>
      </c>
      <c r="B71" s="41" t="s">
        <v>1476</v>
      </c>
      <c r="C71" s="74" t="s">
        <v>22796</v>
      </c>
      <c r="D71" s="72"/>
      <c r="F71" s="57"/>
      <c r="G71" s="72"/>
      <c r="I71" s="57"/>
      <c r="J71" s="72"/>
      <c r="L71" s="57"/>
      <c r="M71" s="114"/>
      <c r="N71" s="49"/>
      <c r="O71" s="50"/>
      <c r="P71" s="299"/>
      <c r="Q71" s="45"/>
      <c r="R71" s="46"/>
      <c r="S71" s="512"/>
      <c r="T71" s="57"/>
      <c r="U71" s="512"/>
      <c r="V71" s="57"/>
      <c r="W71" s="114"/>
      <c r="X71" s="49"/>
      <c r="Y71" s="50"/>
      <c r="Z71" s="115"/>
      <c r="AA71" s="114"/>
      <c r="AB71" s="49"/>
      <c r="AC71" s="50"/>
      <c r="AD71" s="115"/>
      <c r="AE71" s="208">
        <f>ROUND((_15_同援日０．５*(1+_15・区４)),0)+ROUND((ROUND((_15_同援日０．５＿０．５*(1+_15・B夜間)),0)*(1+_15・区４)),0)+ROUND((ROUND((_15_同援日０．５＿０．５＿１．５*(1+_15・C深夜)),0)*(1+_15・区４)),0)</f>
        <v>1012</v>
      </c>
      <c r="AF71" s="48"/>
    </row>
    <row r="72" spans="1:32" ht="16.5" customHeight="1" x14ac:dyDescent="0.15">
      <c r="A72" s="41">
        <v>15</v>
      </c>
      <c r="B72" s="41" t="s">
        <v>1478</v>
      </c>
      <c r="C72" s="74" t="s">
        <v>22797</v>
      </c>
      <c r="D72" s="72"/>
      <c r="F72" s="57"/>
      <c r="G72" s="72"/>
      <c r="I72" s="57"/>
      <c r="J72" s="72"/>
      <c r="L72" s="57"/>
      <c r="M72" s="122"/>
      <c r="N72" s="37"/>
      <c r="O72" s="38"/>
      <c r="P72" s="299" t="s">
        <v>17556</v>
      </c>
      <c r="Q72" s="45" t="s">
        <v>398</v>
      </c>
      <c r="R72" s="46">
        <v>1</v>
      </c>
      <c r="S72" s="512"/>
      <c r="T72" s="57"/>
      <c r="U72" s="512"/>
      <c r="V72" s="57"/>
      <c r="W72" s="72"/>
      <c r="Z72" s="57"/>
      <c r="AA72" s="72"/>
      <c r="AD72" s="57"/>
      <c r="AE72" s="208">
        <f>ROUND((ROUND((_15_同援日０．５*_15・２人),0)*(1+_15・区４)),0)+ROUND((ROUND((ROUND((_15_同援日０．５＿０．５*_15・２人),0)*(1+_15・B夜間)),0)*(1+_15・区４)),0)+ROUND((ROUND((ROUND((_15_同援日０．５＿０．５＿１．５*_15・２人),0)*(1+_15・C深夜)),0)*(1+_15・区４)),0)</f>
        <v>1012</v>
      </c>
      <c r="AF72" s="48"/>
    </row>
    <row r="73" spans="1:32" ht="16.5" customHeight="1" x14ac:dyDescent="0.15">
      <c r="A73" s="41">
        <v>15</v>
      </c>
      <c r="B73" s="41" t="s">
        <v>22798</v>
      </c>
      <c r="C73" s="74" t="s">
        <v>22799</v>
      </c>
      <c r="D73" s="72"/>
      <c r="F73" s="57"/>
      <c r="G73" s="72"/>
      <c r="I73" s="57"/>
      <c r="J73" s="72"/>
      <c r="L73" s="57"/>
      <c r="M73" s="114" t="s">
        <v>17558</v>
      </c>
      <c r="N73" s="49"/>
      <c r="O73" s="50"/>
      <c r="P73" s="299"/>
      <c r="Q73" s="45"/>
      <c r="R73" s="46"/>
      <c r="S73" s="512"/>
      <c r="T73" s="57"/>
      <c r="U73" s="512"/>
      <c r="V73" s="57"/>
      <c r="W73" s="72"/>
      <c r="Z73" s="57"/>
      <c r="AA73" s="72" t="s">
        <v>17580</v>
      </c>
      <c r="AD73" s="57"/>
      <c r="AE73" s="208">
        <f>ROUND((ROUND((_15_同援日０．５*_15・基礎２),0)*(1+_15・区４)),0)+ROUND((ROUND((ROUND((_15_同援日０．５＿０．５*_15・基礎２),0)*(1+_15・B夜間)),0)*(1+_15・区４)),0)+ROUND((ROUND((ROUND((_15_同援日０．５＿０．５＿１．５*_15・基礎２),0)*(1+_15・C深夜)),0)*(1+_15・区４)),0)</f>
        <v>911</v>
      </c>
      <c r="AF73" s="48"/>
    </row>
    <row r="74" spans="1:32" ht="16.5" customHeight="1" x14ac:dyDescent="0.15">
      <c r="A74" s="41">
        <v>15</v>
      </c>
      <c r="B74" s="41" t="s">
        <v>22800</v>
      </c>
      <c r="C74" s="74" t="s">
        <v>22801</v>
      </c>
      <c r="D74" s="72"/>
      <c r="F74" s="57"/>
      <c r="G74" s="72"/>
      <c r="I74" s="57"/>
      <c r="J74" s="72"/>
      <c r="L74" s="57"/>
      <c r="M74" s="122" t="s">
        <v>17560</v>
      </c>
      <c r="N74" s="37" t="s">
        <v>398</v>
      </c>
      <c r="O74" s="38">
        <v>0.9</v>
      </c>
      <c r="P74" s="299" t="s">
        <v>17556</v>
      </c>
      <c r="Q74" s="45" t="s">
        <v>398</v>
      </c>
      <c r="R74" s="46">
        <v>1</v>
      </c>
      <c r="S74" s="512"/>
      <c r="T74" s="57"/>
      <c r="U74" s="512"/>
      <c r="V74" s="57"/>
      <c r="W74" s="122"/>
      <c r="X74" s="37"/>
      <c r="Y74" s="38"/>
      <c r="Z74" s="79"/>
      <c r="AA74" s="72" t="s">
        <v>17572</v>
      </c>
      <c r="AD74" s="57"/>
      <c r="AE74" s="208">
        <f>ROUND((ROUND((ROUND((_15_同援日０．５*_15・基礎２),0)*_15・２人),0)*(1+_15・区４)),0)+ROUND((ROUND((ROUND((ROUND((_15_同援日０．５＿０．５*_15・基礎２),0)*_15・２人),0)*(1+_15・B夜間)),0)*(1+_15・区４)),0)+ROUND((ROUND((ROUND((ROUND((_15_同援日０．５＿０．５＿１．５*_15・基礎２),0)*_15・２人),0)*(1+_15・C深夜)),0)*(1+_15・区４)),0)</f>
        <v>911</v>
      </c>
      <c r="AF74" s="48"/>
    </row>
    <row r="75" spans="1:32" ht="16.5" customHeight="1" x14ac:dyDescent="0.15">
      <c r="A75" s="41">
        <v>15</v>
      </c>
      <c r="B75" s="41" t="s">
        <v>22802</v>
      </c>
      <c r="C75" s="74" t="s">
        <v>22803</v>
      </c>
      <c r="D75" s="72"/>
      <c r="F75" s="57"/>
      <c r="G75" s="72"/>
      <c r="I75" s="57"/>
      <c r="J75" s="72"/>
      <c r="L75" s="57"/>
      <c r="M75" s="114"/>
      <c r="N75" s="49"/>
      <c r="O75" s="50"/>
      <c r="P75" s="299"/>
      <c r="Q75" s="45"/>
      <c r="R75" s="46"/>
      <c r="S75" s="512"/>
      <c r="T75" s="57"/>
      <c r="U75" s="512"/>
      <c r="V75" s="57"/>
      <c r="W75" s="114" t="s">
        <v>17562</v>
      </c>
      <c r="X75" s="49"/>
      <c r="Y75" s="50"/>
      <c r="Z75" s="115"/>
      <c r="AA75" s="72"/>
      <c r="AB75" s="12" t="s">
        <v>398</v>
      </c>
      <c r="AC75" s="13">
        <v>0.4</v>
      </c>
      <c r="AD75" s="57" t="s">
        <v>3575</v>
      </c>
      <c r="AE75" s="208">
        <f>ROUND((ROUND((_15_同援日０．５*(1+_15・盲ろう)),0)*(1+_15・区４)),0)+ROUND((ROUND((ROUND((_15_同援日０．５＿０．５*(1+_15・B夜間)),0)*(1+_15・盲ろう)),0)*(1+_15・区４)),0)+ROUND((ROUND((ROUND((_15_同援日０．５＿０．５＿１．５*(1+_15・C深夜)),0)*(1+_15・盲ろう)),0)*(1+_15・区４)),0)</f>
        <v>1267</v>
      </c>
      <c r="AF75" s="48"/>
    </row>
    <row r="76" spans="1:32" ht="16.5" customHeight="1" x14ac:dyDescent="0.15">
      <c r="A76" s="41">
        <v>15</v>
      </c>
      <c r="B76" s="41" t="s">
        <v>22804</v>
      </c>
      <c r="C76" s="74" t="s">
        <v>22805</v>
      </c>
      <c r="D76" s="72"/>
      <c r="F76" s="57"/>
      <c r="G76" s="72"/>
      <c r="I76" s="57"/>
      <c r="J76" s="72"/>
      <c r="L76" s="57"/>
      <c r="M76" s="122"/>
      <c r="N76" s="37"/>
      <c r="O76" s="38"/>
      <c r="P76" s="299" t="s">
        <v>17556</v>
      </c>
      <c r="Q76" s="45" t="s">
        <v>398</v>
      </c>
      <c r="R76" s="46">
        <v>1</v>
      </c>
      <c r="S76" s="512"/>
      <c r="T76" s="57"/>
      <c r="U76" s="512"/>
      <c r="V76" s="57"/>
      <c r="W76" s="72" t="s">
        <v>17564</v>
      </c>
      <c r="Z76" s="57"/>
      <c r="AA76" s="72"/>
      <c r="AD76" s="57"/>
      <c r="AE76" s="208">
        <f>ROUND((ROUND((ROUND((_15_同援日０．５*_15・２人),0)*(1+_15・盲ろう)),0)*(1+_15・区４)),0)+ROUND((ROUND((ROUND((ROUND((_15_同援日０．５＿０．５*_15・２人),0)*(1+_15・B夜間)),0)*(1+_15・盲ろう)),0)*(1+_15・区４)),0)+ROUND((ROUND((ROUND((ROUND((_15_同援日０．５＿０．５＿１．５*_15・２人),0)*(1+_15・C深夜)),0)*(1+_15・盲ろう)),0)*(1+_15・区４)),0)</f>
        <v>1267</v>
      </c>
      <c r="AF76" s="48"/>
    </row>
    <row r="77" spans="1:32" ht="16.5" customHeight="1" x14ac:dyDescent="0.15">
      <c r="A77" s="41">
        <v>15</v>
      </c>
      <c r="B77" s="41" t="s">
        <v>22806</v>
      </c>
      <c r="C77" s="74" t="s">
        <v>22807</v>
      </c>
      <c r="D77" s="72"/>
      <c r="F77" s="57"/>
      <c r="G77" s="72"/>
      <c r="I77" s="57"/>
      <c r="J77" s="72"/>
      <c r="L77" s="57"/>
      <c r="M77" s="114" t="s">
        <v>17558</v>
      </c>
      <c r="N77" s="49"/>
      <c r="O77" s="50"/>
      <c r="P77" s="299"/>
      <c r="Q77" s="45"/>
      <c r="R77" s="46"/>
      <c r="S77" s="512"/>
      <c r="T77" s="57"/>
      <c r="U77" s="512"/>
      <c r="V77" s="57"/>
      <c r="W77" s="72"/>
      <c r="X77" s="12" t="s">
        <v>398</v>
      </c>
      <c r="Y77" s="13">
        <v>0.25</v>
      </c>
      <c r="Z77" s="57" t="s">
        <v>3575</v>
      </c>
      <c r="AA77" s="72"/>
      <c r="AD77" s="57"/>
      <c r="AE77" s="208">
        <f>ROUND((ROUND((ROUND((_15_同援日０．５*_15・基礎２),0)*(1+_15・盲ろう)),0)*(1+_15・区４)),0)+ROUND((ROUND((ROUND((ROUND((_15_同援日０．５＿０．５*_15・基礎２),0)*(1+_15・B夜間)),0)*(1+_15・盲ろう)),0)*(1+_15・区４)),0)+ROUND((ROUND((ROUND((ROUND((_15_同援日０．５＿０．５＿１．５*_15・基礎２),0)*(1+_15・C深夜)),0)*(1+_15・盲ろう)),0)*(1+_15・区４)),0)</f>
        <v>1140</v>
      </c>
      <c r="AF77" s="48"/>
    </row>
    <row r="78" spans="1:32" ht="16.5" customHeight="1" x14ac:dyDescent="0.15">
      <c r="A78" s="41">
        <v>15</v>
      </c>
      <c r="B78" s="41" t="s">
        <v>22808</v>
      </c>
      <c r="C78" s="74" t="s">
        <v>22809</v>
      </c>
      <c r="D78" s="72"/>
      <c r="F78" s="57"/>
      <c r="G78" s="72"/>
      <c r="I78" s="57"/>
      <c r="J78" s="122"/>
      <c r="K78" s="37"/>
      <c r="L78" s="79"/>
      <c r="M78" s="122" t="s">
        <v>17560</v>
      </c>
      <c r="N78" s="37" t="s">
        <v>398</v>
      </c>
      <c r="O78" s="38">
        <v>0.9</v>
      </c>
      <c r="P78" s="299" t="s">
        <v>17556</v>
      </c>
      <c r="Q78" s="45" t="s">
        <v>398</v>
      </c>
      <c r="R78" s="46">
        <v>1</v>
      </c>
      <c r="S78" s="512"/>
      <c r="T78" s="57"/>
      <c r="U78" s="512"/>
      <c r="V78" s="57"/>
      <c r="W78" s="122"/>
      <c r="X78" s="37"/>
      <c r="Y78" s="38"/>
      <c r="Z78" s="79"/>
      <c r="AA78" s="122"/>
      <c r="AB78" s="37"/>
      <c r="AC78" s="38"/>
      <c r="AD78" s="79"/>
      <c r="AE78" s="208">
        <f>ROUND((ROUND((ROUND((ROUND((_15_同援日０．５*_15・基礎２),0)*_15・２人),0)*(1+_15・盲ろう)),0)*(1+_15・区４)),0)+ROUND((ROUND((ROUND((ROUND((ROUND((_15_同援日０．５＿０．５*_15・基礎２),0)*_15・２人),0)*(1+_15・B夜間)),0)*(1+_15・盲ろう)),0)*(1+_15・区４)),0)+ROUND((ROUND((ROUND((ROUND((ROUND((_15_同援日０．５＿０．５＿１．５*_15・基礎２),0)*_15・２人),0)*(1+_15・C深夜)),0)*(1+_15・盲ろう)),0)*(1+_15・区４)),0)</f>
        <v>1140</v>
      </c>
      <c r="AF78" s="48"/>
    </row>
    <row r="79" spans="1:32" ht="16.5" customHeight="1" x14ac:dyDescent="0.15">
      <c r="A79" s="41">
        <v>15</v>
      </c>
      <c r="B79" s="41" t="s">
        <v>22810</v>
      </c>
      <c r="C79" s="74" t="s">
        <v>22811</v>
      </c>
      <c r="D79" s="72"/>
      <c r="F79" s="57"/>
      <c r="G79" s="72"/>
      <c r="I79" s="57"/>
      <c r="J79" s="114" t="s">
        <v>22812</v>
      </c>
      <c r="K79" s="49"/>
      <c r="L79" s="115"/>
      <c r="M79" s="114"/>
      <c r="N79" s="49"/>
      <c r="O79" s="50"/>
      <c r="P79" s="299"/>
      <c r="Q79" s="45"/>
      <c r="R79" s="46"/>
      <c r="S79" s="512"/>
      <c r="T79" s="57"/>
      <c r="U79" s="512"/>
      <c r="V79" s="57"/>
      <c r="W79" s="114"/>
      <c r="X79" s="49"/>
      <c r="Y79" s="50"/>
      <c r="Z79" s="115"/>
      <c r="AA79" s="114"/>
      <c r="AB79" s="49"/>
      <c r="AC79" s="50"/>
      <c r="AD79" s="115"/>
      <c r="AE79" s="208">
        <f>_15_同援日０．５+ROUND((_15_同援日０．５＿０．５*(1+_15・B夜間)),0)+ROUND((_15_同援日０．５＿０．５＿２．０*(1+_15・C深夜)),0)</f>
        <v>820</v>
      </c>
      <c r="AF79" s="48"/>
    </row>
    <row r="80" spans="1:32" ht="16.5" customHeight="1" x14ac:dyDescent="0.15">
      <c r="A80" s="41">
        <v>15</v>
      </c>
      <c r="B80" s="41" t="s">
        <v>22813</v>
      </c>
      <c r="C80" s="74" t="s">
        <v>22814</v>
      </c>
      <c r="D80" s="72"/>
      <c r="F80" s="57"/>
      <c r="G80" s="72"/>
      <c r="I80" s="57"/>
      <c r="J80" s="72" t="s">
        <v>17643</v>
      </c>
      <c r="L80" s="57"/>
      <c r="M80" s="122"/>
      <c r="N80" s="37"/>
      <c r="O80" s="38"/>
      <c r="P80" s="299" t="s">
        <v>17556</v>
      </c>
      <c r="Q80" s="45" t="s">
        <v>398</v>
      </c>
      <c r="R80" s="46">
        <v>1</v>
      </c>
      <c r="S80" s="512"/>
      <c r="T80" s="57"/>
      <c r="U80" s="512"/>
      <c r="V80" s="57"/>
      <c r="W80" s="72"/>
      <c r="Z80" s="57"/>
      <c r="AA80" s="72"/>
      <c r="AD80" s="57"/>
      <c r="AE80" s="208">
        <f>ROUND((_15_同援日０．５*_15・２人),0)+ROUND((ROUND((_15_同援日０．５＿０．５*_15・２人),0)*(1+_15・B夜間)),0)+ROUND((ROUND((_15_同援日０．５＿０．５＿２．０*_15・２人),0)*(1+_15・C深夜)),0)</f>
        <v>820</v>
      </c>
      <c r="AF80" s="48"/>
    </row>
    <row r="81" spans="1:32" ht="16.5" customHeight="1" x14ac:dyDescent="0.15">
      <c r="A81" s="41">
        <v>15</v>
      </c>
      <c r="B81" s="41" t="s">
        <v>22815</v>
      </c>
      <c r="C81" s="74" t="s">
        <v>22816</v>
      </c>
      <c r="D81" s="72"/>
      <c r="F81" s="57"/>
      <c r="G81" s="72"/>
      <c r="I81" s="57"/>
      <c r="J81" s="72" t="s">
        <v>17645</v>
      </c>
      <c r="L81" s="57"/>
      <c r="M81" s="114" t="s">
        <v>17558</v>
      </c>
      <c r="N81" s="49"/>
      <c r="O81" s="50"/>
      <c r="P81" s="299"/>
      <c r="Q81" s="45"/>
      <c r="R81" s="46"/>
      <c r="S81" s="512"/>
      <c r="T81" s="57"/>
      <c r="U81" s="512"/>
      <c r="V81" s="57"/>
      <c r="W81" s="72"/>
      <c r="Z81" s="57"/>
      <c r="AA81" s="72"/>
      <c r="AD81" s="57"/>
      <c r="AE81" s="208">
        <f>ROUND((_15_同援日０．５*_15・基礎２),0)+ROUND((ROUND((_15_同援日０．５＿０．５*_15・基礎２),0)*(1+_15・B夜間)),0)+ROUND((ROUND((_15_同援日０．５＿０．５＿２．０*_15・基礎２),0)*(1+_15・C深夜)),0)</f>
        <v>738</v>
      </c>
      <c r="AF81" s="48"/>
    </row>
    <row r="82" spans="1:32" ht="16.5" customHeight="1" x14ac:dyDescent="0.15">
      <c r="A82" s="41">
        <v>15</v>
      </c>
      <c r="B82" s="41" t="s">
        <v>22817</v>
      </c>
      <c r="C82" s="74" t="s">
        <v>22818</v>
      </c>
      <c r="D82" s="72"/>
      <c r="F82" s="57"/>
      <c r="G82" s="72"/>
      <c r="I82" s="57"/>
      <c r="J82" s="72"/>
      <c r="K82" s="168">
        <f>_15_同援日０．５＿０．５＿２．０</f>
        <v>328</v>
      </c>
      <c r="L82" s="57" t="s">
        <v>392</v>
      </c>
      <c r="M82" s="122" t="s">
        <v>17560</v>
      </c>
      <c r="N82" s="37" t="s">
        <v>398</v>
      </c>
      <c r="O82" s="38">
        <v>0.9</v>
      </c>
      <c r="P82" s="299" t="s">
        <v>17556</v>
      </c>
      <c r="Q82" s="45" t="s">
        <v>398</v>
      </c>
      <c r="R82" s="46">
        <v>1</v>
      </c>
      <c r="S82" s="512"/>
      <c r="T82" s="57"/>
      <c r="U82" s="512"/>
      <c r="V82" s="57"/>
      <c r="W82" s="122"/>
      <c r="X82" s="37"/>
      <c r="Y82" s="38"/>
      <c r="Z82" s="79"/>
      <c r="AA82" s="72"/>
      <c r="AD82" s="57"/>
      <c r="AE82" s="208">
        <f>ROUND((ROUND((_15_同援日０．５*_15・基礎２),0)*_15・２人),0)+ROUND((ROUND((ROUND((_15_同援日０．５＿０．５*_15・基礎２),0)*_15・２人),0)*(1+_15・B夜間)),0)+ROUND((ROUND((ROUND((_15_同援日０．５＿０．５＿２．０*_15・基礎２),0)*_15・２人),0)*(1+_15・C深夜)),0)</f>
        <v>738</v>
      </c>
      <c r="AF82" s="48"/>
    </row>
    <row r="83" spans="1:32" ht="16.5" customHeight="1" x14ac:dyDescent="0.15">
      <c r="A83" s="41">
        <v>15</v>
      </c>
      <c r="B83" s="41" t="s">
        <v>22819</v>
      </c>
      <c r="C83" s="74" t="s">
        <v>22820</v>
      </c>
      <c r="D83" s="72"/>
      <c r="F83" s="57"/>
      <c r="G83" s="72"/>
      <c r="I83" s="57"/>
      <c r="J83" s="72"/>
      <c r="L83" s="57"/>
      <c r="M83" s="114"/>
      <c r="N83" s="49"/>
      <c r="O83" s="50"/>
      <c r="P83" s="299"/>
      <c r="Q83" s="45"/>
      <c r="R83" s="46"/>
      <c r="S83" s="512"/>
      <c r="T83" s="57"/>
      <c r="U83" s="512"/>
      <c r="V83" s="57"/>
      <c r="W83" s="114" t="s">
        <v>17562</v>
      </c>
      <c r="X83" s="49"/>
      <c r="Y83" s="50"/>
      <c r="Z83" s="115"/>
      <c r="AA83" s="72"/>
      <c r="AD83" s="57"/>
      <c r="AE83" s="208">
        <f>ROUND((_15_同援日０．５*(1+_15・盲ろう)),0)+ROUND((ROUND((_15_同援日０．５＿０．５*(1+_15・B夜間)),0)*(1+_15・盲ろう)),0)+ROUND((ROUND((_15_同援日０．５＿０．５＿２．０*(1+_15・C深夜)),0)*(1+_15・盲ろう)),0)</f>
        <v>1026</v>
      </c>
      <c r="AF83" s="48"/>
    </row>
    <row r="84" spans="1:32" ht="16.5" customHeight="1" x14ac:dyDescent="0.15">
      <c r="A84" s="41">
        <v>15</v>
      </c>
      <c r="B84" s="41" t="s">
        <v>22821</v>
      </c>
      <c r="C84" s="74" t="s">
        <v>22822</v>
      </c>
      <c r="D84" s="72"/>
      <c r="F84" s="57"/>
      <c r="G84" s="72"/>
      <c r="I84" s="57"/>
      <c r="J84" s="72"/>
      <c r="L84" s="57"/>
      <c r="M84" s="122"/>
      <c r="N84" s="37"/>
      <c r="O84" s="38"/>
      <c r="P84" s="299" t="s">
        <v>17556</v>
      </c>
      <c r="Q84" s="45" t="s">
        <v>398</v>
      </c>
      <c r="R84" s="46">
        <v>1</v>
      </c>
      <c r="S84" s="512"/>
      <c r="T84" s="57"/>
      <c r="U84" s="512"/>
      <c r="V84" s="57"/>
      <c r="W84" s="72" t="s">
        <v>17564</v>
      </c>
      <c r="Z84" s="57"/>
      <c r="AA84" s="72"/>
      <c r="AD84" s="57"/>
      <c r="AE84" s="208">
        <f>ROUND((ROUND((_15_同援日０．５*_15・２人),0)*(1+_15・盲ろう)),0)+ROUND((ROUND((ROUND((_15_同援日０．５＿０．５*_15・２人),0)*(1+_15・B夜間)),0)*(1+_15・盲ろう)),0)+ROUND((ROUND((ROUND((_15_同援日０．５＿０．５＿２．０*_15・２人),0)*(1+_15・C深夜)),0)*(1+_15・盲ろう)),0)</f>
        <v>1026</v>
      </c>
      <c r="AF84" s="48"/>
    </row>
    <row r="85" spans="1:32" ht="16.5" customHeight="1" x14ac:dyDescent="0.15">
      <c r="A85" s="41">
        <v>15</v>
      </c>
      <c r="B85" s="41" t="s">
        <v>22823</v>
      </c>
      <c r="C85" s="74" t="s">
        <v>22824</v>
      </c>
      <c r="D85" s="72"/>
      <c r="F85" s="57"/>
      <c r="G85" s="72"/>
      <c r="I85" s="57"/>
      <c r="J85" s="72"/>
      <c r="L85" s="57"/>
      <c r="M85" s="114" t="s">
        <v>17558</v>
      </c>
      <c r="N85" s="49"/>
      <c r="O85" s="50"/>
      <c r="P85" s="299"/>
      <c r="Q85" s="45"/>
      <c r="R85" s="46"/>
      <c r="S85" s="512"/>
      <c r="T85" s="57"/>
      <c r="U85" s="512"/>
      <c r="V85" s="57"/>
      <c r="W85" s="72"/>
      <c r="X85" s="12" t="s">
        <v>398</v>
      </c>
      <c r="Y85" s="13">
        <v>0.25</v>
      </c>
      <c r="Z85" s="57" t="s">
        <v>3575</v>
      </c>
      <c r="AA85" s="72"/>
      <c r="AD85" s="57"/>
      <c r="AE85" s="208">
        <f>ROUND((ROUND((_15_同援日０．５*_15・基礎２),0)*(1+_15・盲ろう)),0)+ROUND((ROUND((ROUND((_15_同援日０．５＿０．５*_15・基礎２),0)*(1+_15・B夜間)),0)*(1+_15・盲ろう)),0)+ROUND((ROUND((ROUND((_15_同援日０．５＿０．５＿２．０*_15・基礎２),0)*(1+_15・C深夜)),0)*(1+_15・盲ろう)),0)</f>
        <v>923</v>
      </c>
      <c r="AF85" s="48"/>
    </row>
    <row r="86" spans="1:32" ht="16.5" customHeight="1" x14ac:dyDescent="0.15">
      <c r="A86" s="41">
        <v>15</v>
      </c>
      <c r="B86" s="41" t="s">
        <v>22825</v>
      </c>
      <c r="C86" s="74" t="s">
        <v>22826</v>
      </c>
      <c r="D86" s="72"/>
      <c r="F86" s="57"/>
      <c r="G86" s="72"/>
      <c r="I86" s="57"/>
      <c r="J86" s="72"/>
      <c r="L86" s="57"/>
      <c r="M86" s="122" t="s">
        <v>17560</v>
      </c>
      <c r="N86" s="37" t="s">
        <v>398</v>
      </c>
      <c r="O86" s="38">
        <v>0.9</v>
      </c>
      <c r="P86" s="299" t="s">
        <v>17556</v>
      </c>
      <c r="Q86" s="45" t="s">
        <v>398</v>
      </c>
      <c r="R86" s="46">
        <v>1</v>
      </c>
      <c r="S86" s="512"/>
      <c r="T86" s="57"/>
      <c r="U86" s="512"/>
      <c r="V86" s="57"/>
      <c r="W86" s="122"/>
      <c r="X86" s="37"/>
      <c r="Y86" s="38"/>
      <c r="Z86" s="79"/>
      <c r="AA86" s="122"/>
      <c r="AB86" s="37"/>
      <c r="AC86" s="38"/>
      <c r="AD86" s="79"/>
      <c r="AE86" s="208">
        <f>ROUND((ROUND((ROUND((_15_同援日０．５*_15・基礎２),0)*_15・２人),0)*(1+_15・盲ろう)),0)+ROUND((ROUND((ROUND((ROUND((_15_同援日０．５＿０．５*_15・基礎２),0)*_15・２人),0)*(1+_15・B夜間)),0)*(1+_15・盲ろう)),0)+ROUND((ROUND((ROUND((ROUND((_15_同援日０．５＿０．５＿２．０*_15・基礎２),0)*_15・２人),0)*(1+_15・C深夜)),0)*(1+_15・盲ろう)),0)</f>
        <v>923</v>
      </c>
      <c r="AF86" s="48"/>
    </row>
    <row r="87" spans="1:32" ht="16.5" customHeight="1" x14ac:dyDescent="0.15">
      <c r="A87" s="41">
        <v>15</v>
      </c>
      <c r="B87" s="41" t="s">
        <v>22827</v>
      </c>
      <c r="C87" s="74" t="s">
        <v>22828</v>
      </c>
      <c r="D87" s="72"/>
      <c r="F87" s="57"/>
      <c r="G87" s="72"/>
      <c r="I87" s="57"/>
      <c r="J87" s="72"/>
      <c r="L87" s="57"/>
      <c r="M87" s="114"/>
      <c r="N87" s="49"/>
      <c r="O87" s="50"/>
      <c r="P87" s="299"/>
      <c r="Q87" s="45"/>
      <c r="R87" s="46"/>
      <c r="S87" s="512"/>
      <c r="T87" s="57"/>
      <c r="U87" s="512"/>
      <c r="V87" s="57"/>
      <c r="W87" s="114"/>
      <c r="X87" s="49"/>
      <c r="Y87" s="50"/>
      <c r="Z87" s="115"/>
      <c r="AA87" s="114"/>
      <c r="AB87" s="49"/>
      <c r="AC87" s="50"/>
      <c r="AD87" s="115"/>
      <c r="AE87" s="208">
        <f>ROUND((_15_同援日０．５*(1+_15・区３)),0)+ROUND((ROUND((_15_同援日０．５＿０．５*(1+_15・B夜間)),0)*(1+_15・区３)),0)+ROUND((ROUND((_15_同援日０．５＿０．５＿２．０*(1+_15・C深夜)),0)*(1+_15・区３)),0)</f>
        <v>984</v>
      </c>
      <c r="AF87" s="48"/>
    </row>
    <row r="88" spans="1:32" ht="16.5" customHeight="1" x14ac:dyDescent="0.15">
      <c r="A88" s="41">
        <v>15</v>
      </c>
      <c r="B88" s="41" t="s">
        <v>22829</v>
      </c>
      <c r="C88" s="74" t="s">
        <v>22830</v>
      </c>
      <c r="D88" s="72"/>
      <c r="F88" s="57"/>
      <c r="G88" s="72"/>
      <c r="I88" s="57"/>
      <c r="J88" s="72"/>
      <c r="L88" s="57"/>
      <c r="M88" s="122"/>
      <c r="N88" s="37"/>
      <c r="O88" s="38"/>
      <c r="P88" s="299" t="s">
        <v>17556</v>
      </c>
      <c r="Q88" s="45" t="s">
        <v>398</v>
      </c>
      <c r="R88" s="46">
        <v>1</v>
      </c>
      <c r="S88" s="512"/>
      <c r="T88" s="57"/>
      <c r="U88" s="512"/>
      <c r="V88" s="57"/>
      <c r="W88" s="72"/>
      <c r="Z88" s="57"/>
      <c r="AA88" s="72"/>
      <c r="AD88" s="57"/>
      <c r="AE88" s="208">
        <f>ROUND((ROUND((_15_同援日０．５*_15・２人),0)*(1+_15・区３)),0)+ROUND((ROUND((ROUND((_15_同援日０．５＿０．５*_15・２人),0)*(1+_15・B夜間)),0)*(1+_15・区３)),0)+ROUND((ROUND((ROUND((_15_同援日０．５＿０．５＿２．０*_15・２人),0)*(1+_15・C深夜)),0)*(1+_15・区３)),0)</f>
        <v>984</v>
      </c>
      <c r="AF88" s="48"/>
    </row>
    <row r="89" spans="1:32" ht="16.5" customHeight="1" x14ac:dyDescent="0.15">
      <c r="A89" s="41">
        <v>15</v>
      </c>
      <c r="B89" s="41" t="s">
        <v>1484</v>
      </c>
      <c r="C89" s="74" t="s">
        <v>22831</v>
      </c>
      <c r="D89" s="72"/>
      <c r="F89" s="57"/>
      <c r="G89" s="72"/>
      <c r="I89" s="57"/>
      <c r="J89" s="72"/>
      <c r="L89" s="57"/>
      <c r="M89" s="114" t="s">
        <v>17558</v>
      </c>
      <c r="N89" s="49"/>
      <c r="O89" s="50"/>
      <c r="P89" s="299"/>
      <c r="Q89" s="45"/>
      <c r="R89" s="46"/>
      <c r="S89" s="512"/>
      <c r="T89" s="57"/>
      <c r="U89" s="512"/>
      <c r="V89" s="57"/>
      <c r="W89" s="72"/>
      <c r="Z89" s="57"/>
      <c r="AA89" s="72" t="s">
        <v>17570</v>
      </c>
      <c r="AD89" s="57"/>
      <c r="AE89" s="208">
        <f>ROUND((ROUND((_15_同援日０．５*_15・基礎２),0)*(1+_15・区３)),0)+ROUND((ROUND((ROUND((_15_同援日０．５＿０．５*_15・基礎２),0)*(1+_15・B夜間)),0)*(1+_15・区３)),0)+ROUND((ROUND((ROUND((_15_同援日０．５＿０．５＿２．０*_15・基礎２),0)*(1+_15・C深夜)),0)*(1+_15・区３)),0)</f>
        <v>886</v>
      </c>
      <c r="AF89" s="48"/>
    </row>
    <row r="90" spans="1:32" ht="16.5" customHeight="1" x14ac:dyDescent="0.15">
      <c r="A90" s="41">
        <v>15</v>
      </c>
      <c r="B90" s="41" t="s">
        <v>1486</v>
      </c>
      <c r="C90" s="74" t="s">
        <v>22832</v>
      </c>
      <c r="D90" s="72"/>
      <c r="F90" s="57"/>
      <c r="G90" s="72"/>
      <c r="I90" s="57"/>
      <c r="J90" s="72"/>
      <c r="L90" s="57"/>
      <c r="M90" s="122" t="s">
        <v>17560</v>
      </c>
      <c r="N90" s="37" t="s">
        <v>398</v>
      </c>
      <c r="O90" s="38">
        <v>0.9</v>
      </c>
      <c r="P90" s="299" t="s">
        <v>17556</v>
      </c>
      <c r="Q90" s="45" t="s">
        <v>398</v>
      </c>
      <c r="R90" s="46">
        <v>1</v>
      </c>
      <c r="S90" s="512"/>
      <c r="T90" s="57"/>
      <c r="U90" s="512"/>
      <c r="V90" s="57"/>
      <c r="W90" s="122"/>
      <c r="X90" s="37"/>
      <c r="Y90" s="38"/>
      <c r="Z90" s="79"/>
      <c r="AA90" s="72" t="s">
        <v>17572</v>
      </c>
      <c r="AD90" s="57"/>
      <c r="AE90" s="208">
        <f>ROUND((ROUND((ROUND((_15_同援日０．５*_15・基礎２),0)*_15・２人),0)*(1+_15・区３)),0)+ROUND((ROUND((ROUND((ROUND((_15_同援日０．５＿０．５*_15・基礎２),0)*_15・２人),0)*(1+_15・B夜間)),0)*(1+_15・区３)),0)+ROUND((ROUND((ROUND((ROUND((_15_同援日０．５＿０．５＿２．０*_15・基礎２),0)*_15・２人),0)*(1+_15・C深夜)),0)*(1+_15・区３)),0)</f>
        <v>886</v>
      </c>
      <c r="AF90" s="48"/>
    </row>
    <row r="91" spans="1:32" ht="16.5" customHeight="1" x14ac:dyDescent="0.15">
      <c r="A91" s="41">
        <v>15</v>
      </c>
      <c r="B91" s="41" t="s">
        <v>1488</v>
      </c>
      <c r="C91" s="74" t="s">
        <v>22833</v>
      </c>
      <c r="D91" s="72"/>
      <c r="F91" s="57"/>
      <c r="G91" s="72"/>
      <c r="I91" s="57"/>
      <c r="J91" s="72"/>
      <c r="L91" s="57"/>
      <c r="M91" s="114"/>
      <c r="N91" s="49"/>
      <c r="O91" s="50"/>
      <c r="P91" s="299"/>
      <c r="Q91" s="45"/>
      <c r="R91" s="46"/>
      <c r="S91" s="512"/>
      <c r="T91" s="57"/>
      <c r="U91" s="512"/>
      <c r="V91" s="57"/>
      <c r="W91" s="114" t="s">
        <v>17562</v>
      </c>
      <c r="X91" s="49"/>
      <c r="Y91" s="50"/>
      <c r="Z91" s="115"/>
      <c r="AA91" s="72"/>
      <c r="AB91" s="12" t="s">
        <v>398</v>
      </c>
      <c r="AC91" s="13">
        <v>0.2</v>
      </c>
      <c r="AD91" s="57" t="s">
        <v>3575</v>
      </c>
      <c r="AE91" s="208">
        <f>ROUND((ROUND((_15_同援日０．５*(1+_15・盲ろう)),0)*(1+_15・区３)),0)+ROUND((ROUND((ROUND((_15_同援日０．５＿０．５*(1+_15・B夜間)),0)*(1+_15・盲ろう)),0)*(1+_15・区３)),0)+ROUND((ROUND((ROUND((_15_同援日０．５＿０．５＿２．０*(1+_15・C深夜)),0)*(1+_15・盲ろう)),0)*(1+_15・区３)),0)</f>
        <v>1232</v>
      </c>
      <c r="AF91" s="48"/>
    </row>
    <row r="92" spans="1:32" ht="16.5" customHeight="1" x14ac:dyDescent="0.15">
      <c r="A92" s="41">
        <v>15</v>
      </c>
      <c r="B92" s="41" t="s">
        <v>1490</v>
      </c>
      <c r="C92" s="74" t="s">
        <v>22834</v>
      </c>
      <c r="D92" s="72"/>
      <c r="F92" s="57"/>
      <c r="G92" s="72"/>
      <c r="I92" s="57"/>
      <c r="J92" s="72"/>
      <c r="L92" s="57"/>
      <c r="M92" s="122"/>
      <c r="N92" s="37"/>
      <c r="O92" s="38"/>
      <c r="P92" s="299" t="s">
        <v>17556</v>
      </c>
      <c r="Q92" s="45" t="s">
        <v>398</v>
      </c>
      <c r="R92" s="46">
        <v>1</v>
      </c>
      <c r="S92" s="512"/>
      <c r="T92" s="57"/>
      <c r="U92" s="512"/>
      <c r="V92" s="57"/>
      <c r="W92" s="72" t="s">
        <v>17564</v>
      </c>
      <c r="Z92" s="57"/>
      <c r="AA92" s="72"/>
      <c r="AD92" s="57"/>
      <c r="AE92" s="208">
        <f>ROUND((ROUND((ROUND((_15_同援日０．５*_15・２人),0)*(1+_15・盲ろう)),0)*(1+_15・区３)),0)+ROUND((ROUND((ROUND((ROUND((_15_同援日０．５＿０．５*_15・２人),0)*(1+_15・B夜間)),0)*(1+_15・盲ろう)),0)*(1+_15・区３)),0)+ROUND((ROUND((ROUND((ROUND((_15_同援日０．５＿０．５＿２．０*_15・２人),0)*(1+_15・C深夜)),0)*(1+_15・盲ろう)),0)*(1+_15・区３)),0)</f>
        <v>1232</v>
      </c>
      <c r="AF92" s="48"/>
    </row>
    <row r="93" spans="1:32" ht="16.5" customHeight="1" x14ac:dyDescent="0.15">
      <c r="A93" s="41">
        <v>15</v>
      </c>
      <c r="B93" s="41" t="s">
        <v>22835</v>
      </c>
      <c r="C93" s="74" t="s">
        <v>22836</v>
      </c>
      <c r="D93" s="72"/>
      <c r="F93" s="57"/>
      <c r="G93" s="72"/>
      <c r="I93" s="57"/>
      <c r="J93" s="72"/>
      <c r="L93" s="57"/>
      <c r="M93" s="114" t="s">
        <v>17558</v>
      </c>
      <c r="N93" s="49"/>
      <c r="O93" s="50"/>
      <c r="P93" s="299"/>
      <c r="Q93" s="45"/>
      <c r="R93" s="46"/>
      <c r="S93" s="512"/>
      <c r="T93" s="57"/>
      <c r="U93" s="512"/>
      <c r="V93" s="57"/>
      <c r="W93" s="72"/>
      <c r="X93" s="12" t="s">
        <v>398</v>
      </c>
      <c r="Y93" s="13">
        <v>0.25</v>
      </c>
      <c r="Z93" s="57" t="s">
        <v>3575</v>
      </c>
      <c r="AA93" s="72"/>
      <c r="AD93" s="57"/>
      <c r="AE93" s="208">
        <f>ROUND((ROUND((ROUND((_15_同援日０．５*_15・基礎２),0)*(1+_15・盲ろう)),0)*(1+_15・区３)),0)+ROUND((ROUND((ROUND((ROUND((_15_同援日０．５＿０．５*_15・基礎２),0)*(1+_15・B夜間)),0)*(1+_15・盲ろう)),0)*(1+_15・区３)),0)+ROUND((ROUND((ROUND((ROUND((_15_同援日０．５＿０．５＿２．０*_15・基礎２),0)*(1+_15・C深夜)),0)*(1+_15・盲ろう)),0)*(1+_15・区３)),0)</f>
        <v>1108</v>
      </c>
      <c r="AF93" s="48"/>
    </row>
    <row r="94" spans="1:32" ht="16.5" customHeight="1" x14ac:dyDescent="0.15">
      <c r="A94" s="41">
        <v>15</v>
      </c>
      <c r="B94" s="41" t="s">
        <v>22837</v>
      </c>
      <c r="C94" s="74" t="s">
        <v>22838</v>
      </c>
      <c r="D94" s="72"/>
      <c r="F94" s="57"/>
      <c r="G94" s="72"/>
      <c r="I94" s="57"/>
      <c r="J94" s="72"/>
      <c r="L94" s="57"/>
      <c r="M94" s="122" t="s">
        <v>17560</v>
      </c>
      <c r="N94" s="37" t="s">
        <v>398</v>
      </c>
      <c r="O94" s="38">
        <v>0.9</v>
      </c>
      <c r="P94" s="299" t="s">
        <v>17556</v>
      </c>
      <c r="Q94" s="45" t="s">
        <v>398</v>
      </c>
      <c r="R94" s="46">
        <v>1</v>
      </c>
      <c r="S94" s="512"/>
      <c r="T94" s="57"/>
      <c r="U94" s="512"/>
      <c r="V94" s="57"/>
      <c r="W94" s="122"/>
      <c r="X94" s="37"/>
      <c r="Y94" s="38"/>
      <c r="Z94" s="79"/>
      <c r="AA94" s="122"/>
      <c r="AB94" s="37"/>
      <c r="AC94" s="38"/>
      <c r="AD94" s="79"/>
      <c r="AE94" s="208">
        <f>ROUND((ROUND((ROUND((ROUND((_15_同援日０．５*_15・基礎２),0)*_15・２人),0)*(1+_15・盲ろう)),0)*(1+_15・区３)),0)+ROUND((ROUND((ROUND((ROUND((ROUND((_15_同援日０．５＿０．５*_15・基礎２),0)*_15・２人),0)*(1+_15・B夜間)),0)*(1+_15・盲ろう)),0)*(1+_15・区３)),0)+ROUND((ROUND((ROUND((ROUND((ROUND((_15_同援日０．５＿０．５＿２．０*_15・基礎２),0)*_15・２人),0)*(1+_15・C深夜)),0)*(1+_15・盲ろう)),0)*(1+_15・区３)),0)</f>
        <v>1108</v>
      </c>
      <c r="AF94" s="48"/>
    </row>
    <row r="95" spans="1:32" ht="16.5" customHeight="1" x14ac:dyDescent="0.15">
      <c r="A95" s="41">
        <v>15</v>
      </c>
      <c r="B95" s="41" t="s">
        <v>22839</v>
      </c>
      <c r="C95" s="74" t="s">
        <v>22840</v>
      </c>
      <c r="D95" s="72"/>
      <c r="F95" s="57"/>
      <c r="G95" s="72"/>
      <c r="I95" s="57"/>
      <c r="J95" s="72"/>
      <c r="L95" s="57"/>
      <c r="M95" s="114"/>
      <c r="N95" s="49"/>
      <c r="O95" s="50"/>
      <c r="P95" s="299"/>
      <c r="Q95" s="45"/>
      <c r="R95" s="46"/>
      <c r="S95" s="512"/>
      <c r="T95" s="57"/>
      <c r="U95" s="512"/>
      <c r="V95" s="57"/>
      <c r="W95" s="114"/>
      <c r="X95" s="49"/>
      <c r="Y95" s="50"/>
      <c r="Z95" s="115"/>
      <c r="AA95" s="114"/>
      <c r="AB95" s="49"/>
      <c r="AC95" s="50"/>
      <c r="AD95" s="115"/>
      <c r="AE95" s="208">
        <f>ROUND((_15_同援日０．５*(1+_15・区４)),0)+ROUND((ROUND((_15_同援日０．５＿０．５*(1+_15・B夜間)),0)*(1+_15・区４)),0)+ROUND((ROUND((_15_同援日０．５＿０．５＿２．０*(1+_15・C深夜)),0)*(1+_15・区４)),0)</f>
        <v>1148</v>
      </c>
      <c r="AF95" s="48"/>
    </row>
    <row r="96" spans="1:32" ht="16.5" customHeight="1" x14ac:dyDescent="0.15">
      <c r="A96" s="41">
        <v>15</v>
      </c>
      <c r="B96" s="41" t="s">
        <v>22841</v>
      </c>
      <c r="C96" s="74" t="s">
        <v>22842</v>
      </c>
      <c r="D96" s="72"/>
      <c r="F96" s="57"/>
      <c r="G96" s="72"/>
      <c r="I96" s="57"/>
      <c r="J96" s="72"/>
      <c r="L96" s="57"/>
      <c r="M96" s="122"/>
      <c r="N96" s="37"/>
      <c r="O96" s="38"/>
      <c r="P96" s="299" t="s">
        <v>17556</v>
      </c>
      <c r="Q96" s="45" t="s">
        <v>398</v>
      </c>
      <c r="R96" s="46">
        <v>1</v>
      </c>
      <c r="S96" s="512"/>
      <c r="T96" s="57"/>
      <c r="U96" s="512"/>
      <c r="V96" s="57"/>
      <c r="W96" s="72"/>
      <c r="Z96" s="57"/>
      <c r="AA96" s="72"/>
      <c r="AD96" s="57"/>
      <c r="AE96" s="208">
        <f>ROUND((ROUND((_15_同援日０．５*_15・２人),0)*(1+_15・区４)),0)+ROUND((ROUND((ROUND((_15_同援日０．５＿０．５*_15・２人),0)*(1+_15・B夜間)),0)*(1+_15・区４)),0)+ROUND((ROUND((ROUND((_15_同援日０．５＿０．５＿２．０*_15・２人),0)*(1+_15・C深夜)),0)*(1+_15・区４)),0)</f>
        <v>1148</v>
      </c>
      <c r="AF96" s="48"/>
    </row>
    <row r="97" spans="1:32" ht="16.5" customHeight="1" x14ac:dyDescent="0.15">
      <c r="A97" s="41">
        <v>15</v>
      </c>
      <c r="B97" s="41" t="s">
        <v>22843</v>
      </c>
      <c r="C97" s="74" t="s">
        <v>22844</v>
      </c>
      <c r="D97" s="72"/>
      <c r="F97" s="57"/>
      <c r="G97" s="72"/>
      <c r="I97" s="57"/>
      <c r="J97" s="72"/>
      <c r="L97" s="57"/>
      <c r="M97" s="114" t="s">
        <v>17558</v>
      </c>
      <c r="N97" s="49"/>
      <c r="O97" s="50"/>
      <c r="P97" s="299"/>
      <c r="Q97" s="45"/>
      <c r="R97" s="46"/>
      <c r="S97" s="512"/>
      <c r="T97" s="57"/>
      <c r="U97" s="512"/>
      <c r="V97" s="57"/>
      <c r="W97" s="72"/>
      <c r="Z97" s="57"/>
      <c r="AA97" s="72" t="s">
        <v>17580</v>
      </c>
      <c r="AD97" s="57"/>
      <c r="AE97" s="208">
        <f>ROUND((ROUND((_15_同援日０．５*_15・基礎２),0)*(1+_15・区４)),0)+ROUND((ROUND((ROUND((_15_同援日０．５＿０．５*_15・基礎２),0)*(1+_15・B夜間)),0)*(1+_15・区４)),0)+ROUND((ROUND((ROUND((_15_同援日０．５＿０．５＿２．０*_15・基礎２),0)*(1+_15・C深夜)),0)*(1+_15・区４)),0)</f>
        <v>1033</v>
      </c>
      <c r="AF97" s="48"/>
    </row>
    <row r="98" spans="1:32" ht="16.5" customHeight="1" x14ac:dyDescent="0.15">
      <c r="A98" s="41">
        <v>15</v>
      </c>
      <c r="B98" s="41" t="s">
        <v>22845</v>
      </c>
      <c r="C98" s="74" t="s">
        <v>22846</v>
      </c>
      <c r="D98" s="72"/>
      <c r="F98" s="57"/>
      <c r="G98" s="72"/>
      <c r="I98" s="57"/>
      <c r="J98" s="72"/>
      <c r="L98" s="57"/>
      <c r="M98" s="122" t="s">
        <v>17560</v>
      </c>
      <c r="N98" s="37" t="s">
        <v>398</v>
      </c>
      <c r="O98" s="38">
        <v>0.9</v>
      </c>
      <c r="P98" s="299" t="s">
        <v>17556</v>
      </c>
      <c r="Q98" s="45" t="s">
        <v>398</v>
      </c>
      <c r="R98" s="46">
        <v>1</v>
      </c>
      <c r="S98" s="512"/>
      <c r="T98" s="57"/>
      <c r="U98" s="512"/>
      <c r="V98" s="57"/>
      <c r="W98" s="122"/>
      <c r="X98" s="37"/>
      <c r="Y98" s="38"/>
      <c r="Z98" s="79"/>
      <c r="AA98" s="72" t="s">
        <v>17572</v>
      </c>
      <c r="AD98" s="57"/>
      <c r="AE98" s="208">
        <f>ROUND((ROUND((ROUND((_15_同援日０．５*_15・基礎２),0)*_15・２人),0)*(1+_15・区４)),0)+ROUND((ROUND((ROUND((ROUND((_15_同援日０．５＿０．５*_15・基礎２),0)*_15・２人),0)*(1+_15・B夜間)),0)*(1+_15・区４)),0)+ROUND((ROUND((ROUND((ROUND((_15_同援日０．５＿０．５＿２．０*_15・基礎２),0)*_15・２人),0)*(1+_15・C深夜)),0)*(1+_15・区４)),0)</f>
        <v>1033</v>
      </c>
      <c r="AF98" s="48"/>
    </row>
    <row r="99" spans="1:32" ht="16.5" customHeight="1" x14ac:dyDescent="0.15">
      <c r="A99" s="41">
        <v>15</v>
      </c>
      <c r="B99" s="41" t="s">
        <v>22847</v>
      </c>
      <c r="C99" s="74" t="s">
        <v>22848</v>
      </c>
      <c r="D99" s="72"/>
      <c r="F99" s="57"/>
      <c r="G99" s="72"/>
      <c r="I99" s="57"/>
      <c r="J99" s="72"/>
      <c r="L99" s="57"/>
      <c r="M99" s="114"/>
      <c r="N99" s="49"/>
      <c r="O99" s="50"/>
      <c r="P99" s="299"/>
      <c r="Q99" s="45"/>
      <c r="R99" s="46"/>
      <c r="S99" s="512"/>
      <c r="T99" s="57"/>
      <c r="U99" s="512"/>
      <c r="V99" s="57"/>
      <c r="W99" s="114" t="s">
        <v>17562</v>
      </c>
      <c r="X99" s="49"/>
      <c r="Y99" s="50"/>
      <c r="Z99" s="115"/>
      <c r="AA99" s="72"/>
      <c r="AB99" s="12" t="s">
        <v>398</v>
      </c>
      <c r="AC99" s="13">
        <v>0.4</v>
      </c>
      <c r="AD99" s="57" t="s">
        <v>3575</v>
      </c>
      <c r="AE99" s="208">
        <f>ROUND((ROUND((_15_同援日０．５*(1+_15・盲ろう)),0)*(1+_15・区４)),0)+ROUND((ROUND((ROUND((_15_同援日０．５＿０．５*(1+_15・B夜間)),0)*(1+_15・盲ろう)),0)*(1+_15・区４)),0)+ROUND((ROUND((ROUND((_15_同援日０．５＿０．５＿２．０*(1+_15・C深夜)),0)*(1+_15・盲ろう)),0)*(1+_15・区４)),0)</f>
        <v>1436</v>
      </c>
      <c r="AF99" s="48"/>
    </row>
    <row r="100" spans="1:32" ht="16.5" customHeight="1" x14ac:dyDescent="0.15">
      <c r="A100" s="41">
        <v>15</v>
      </c>
      <c r="B100" s="41" t="s">
        <v>22849</v>
      </c>
      <c r="C100" s="74" t="s">
        <v>22850</v>
      </c>
      <c r="D100" s="72"/>
      <c r="F100" s="57"/>
      <c r="G100" s="72"/>
      <c r="I100" s="57"/>
      <c r="J100" s="72"/>
      <c r="L100" s="57"/>
      <c r="M100" s="122"/>
      <c r="N100" s="37"/>
      <c r="O100" s="38"/>
      <c r="P100" s="299" t="s">
        <v>17556</v>
      </c>
      <c r="Q100" s="45" t="s">
        <v>398</v>
      </c>
      <c r="R100" s="46">
        <v>1</v>
      </c>
      <c r="S100" s="512"/>
      <c r="T100" s="57"/>
      <c r="U100" s="512"/>
      <c r="V100" s="57"/>
      <c r="W100" s="72" t="s">
        <v>17564</v>
      </c>
      <c r="Z100" s="57"/>
      <c r="AA100" s="72"/>
      <c r="AD100" s="57"/>
      <c r="AE100" s="208">
        <f>ROUND((ROUND((ROUND((_15_同援日０．５*_15・２人),0)*(1+_15・盲ろう)),0)*(1+_15・区４)),0)+ROUND((ROUND((ROUND((ROUND((_15_同援日０．５＿０．５*_15・２人),0)*(1+_15・B夜間)),0)*(1+_15・盲ろう)),0)*(1+_15・区４)),0)+ROUND((ROUND((ROUND((ROUND((_15_同援日０．５＿０．５＿２．０*_15・２人),0)*(1+_15・C深夜)),0)*(1+_15・盲ろう)),0)*(1+_15・区４)),0)</f>
        <v>1436</v>
      </c>
      <c r="AF100" s="48"/>
    </row>
    <row r="101" spans="1:32" ht="16.5" customHeight="1" x14ac:dyDescent="0.15">
      <c r="A101" s="41">
        <v>15</v>
      </c>
      <c r="B101" s="41" t="s">
        <v>22851</v>
      </c>
      <c r="C101" s="74" t="s">
        <v>22852</v>
      </c>
      <c r="D101" s="72"/>
      <c r="F101" s="57"/>
      <c r="G101" s="72"/>
      <c r="I101" s="57"/>
      <c r="J101" s="72"/>
      <c r="L101" s="57"/>
      <c r="M101" s="114" t="s">
        <v>17558</v>
      </c>
      <c r="N101" s="49"/>
      <c r="O101" s="50"/>
      <c r="P101" s="299"/>
      <c r="Q101" s="45"/>
      <c r="R101" s="46"/>
      <c r="S101" s="512"/>
      <c r="T101" s="57"/>
      <c r="U101" s="512"/>
      <c r="V101" s="57"/>
      <c r="W101" s="72"/>
      <c r="X101" s="12" t="s">
        <v>398</v>
      </c>
      <c r="Y101" s="13">
        <v>0.25</v>
      </c>
      <c r="Z101" s="57" t="s">
        <v>3575</v>
      </c>
      <c r="AA101" s="72"/>
      <c r="AD101" s="57"/>
      <c r="AE101" s="208">
        <f>ROUND((ROUND((ROUND((_15_同援日０．５*_15・基礎２),0)*(1+_15・盲ろう)),0)*(1+_15・区４)),0)+ROUND((ROUND((ROUND((ROUND((_15_同援日０．５＿０．５*_15・基礎２),0)*(1+_15・B夜間)),0)*(1+_15・盲ろう)),0)*(1+_15・区４)),0)+ROUND((ROUND((ROUND((ROUND((_15_同援日０．５＿０．５＿２．０*_15・基礎２),0)*(1+_15・C深夜)),0)*(1+_15・盲ろう)),0)*(1+_15・区４)),0)</f>
        <v>1293</v>
      </c>
      <c r="AF101" s="48"/>
    </row>
    <row r="102" spans="1:32" ht="16.5" customHeight="1" x14ac:dyDescent="0.15">
      <c r="A102" s="41">
        <v>15</v>
      </c>
      <c r="B102" s="41" t="s">
        <v>22853</v>
      </c>
      <c r="C102" s="74" t="s">
        <v>22854</v>
      </c>
      <c r="D102" s="122"/>
      <c r="E102" s="37"/>
      <c r="F102" s="79"/>
      <c r="G102" s="122"/>
      <c r="H102" s="37"/>
      <c r="I102" s="79"/>
      <c r="J102" s="122"/>
      <c r="K102" s="37"/>
      <c r="L102" s="79"/>
      <c r="M102" s="122" t="s">
        <v>17560</v>
      </c>
      <c r="N102" s="37" t="s">
        <v>398</v>
      </c>
      <c r="O102" s="38">
        <v>0.9</v>
      </c>
      <c r="P102" s="299" t="s">
        <v>17556</v>
      </c>
      <c r="Q102" s="45" t="s">
        <v>398</v>
      </c>
      <c r="R102" s="46">
        <v>1</v>
      </c>
      <c r="S102" s="514"/>
      <c r="T102" s="79"/>
      <c r="U102" s="514"/>
      <c r="V102" s="79"/>
      <c r="W102" s="122"/>
      <c r="X102" s="37"/>
      <c r="Y102" s="38"/>
      <c r="Z102" s="79"/>
      <c r="AA102" s="122"/>
      <c r="AB102" s="37"/>
      <c r="AC102" s="38"/>
      <c r="AD102" s="79"/>
      <c r="AE102" s="208">
        <f>ROUND((ROUND((ROUND((ROUND((_15_同援日０．５*_15・基礎２),0)*_15・２人),0)*(1+_15・盲ろう)),0)*(1+_15・区４)),0)+ROUND((ROUND((ROUND((ROUND((ROUND((_15_同援日０．５＿０．５*_15・基礎２),0)*_15・２人),0)*(1+_15・B夜間)),0)*(1+_15・盲ろう)),0)*(1+_15・区４)),0)+ROUND((ROUND((ROUND((ROUND((ROUND((_15_同援日０．５＿０．５＿２．０*_15・基礎２),0)*_15・２人),0)*(1+_15・C深夜)),0)*(1+_15・盲ろう)),0)*(1+_15・区４)),0)</f>
        <v>1293</v>
      </c>
      <c r="AF102" s="63"/>
    </row>
    <row r="103" spans="1:32" ht="16.5" customHeight="1" x14ac:dyDescent="0.15">
      <c r="A103" s="41">
        <v>15</v>
      </c>
      <c r="B103" s="41" t="s">
        <v>22855</v>
      </c>
      <c r="C103" s="74" t="s">
        <v>22856</v>
      </c>
      <c r="D103" s="114"/>
      <c r="E103" s="49"/>
      <c r="F103" s="115"/>
      <c r="G103" s="114" t="s">
        <v>19578</v>
      </c>
      <c r="H103" s="49"/>
      <c r="I103" s="115"/>
      <c r="J103" s="114" t="s">
        <v>22681</v>
      </c>
      <c r="K103" s="49"/>
      <c r="L103" s="115"/>
      <c r="M103" s="114"/>
      <c r="N103" s="49"/>
      <c r="O103" s="50"/>
      <c r="P103" s="299"/>
      <c r="Q103" s="45"/>
      <c r="R103" s="46"/>
      <c r="S103" s="515"/>
      <c r="T103" s="115"/>
      <c r="U103" s="515"/>
      <c r="V103" s="115"/>
      <c r="W103" s="114"/>
      <c r="X103" s="49"/>
      <c r="Y103" s="50"/>
      <c r="Z103" s="115"/>
      <c r="AA103" s="114"/>
      <c r="AB103" s="49"/>
      <c r="AC103" s="50"/>
      <c r="AD103" s="115"/>
      <c r="AE103" s="208">
        <f>_15_同援日０．５+ROUND((_15_同援日０．５＿１．０*(1+_15・B夜間)),0)+ROUND((_15_同援日０．５＿１．０＿０．５*(1+_15・C深夜)),0)</f>
        <v>592</v>
      </c>
      <c r="AF103" s="64"/>
    </row>
    <row r="104" spans="1:32" ht="16.5" customHeight="1" x14ac:dyDescent="0.15">
      <c r="A104" s="41">
        <v>15</v>
      </c>
      <c r="B104" s="41" t="s">
        <v>22857</v>
      </c>
      <c r="C104" s="74" t="s">
        <v>22858</v>
      </c>
      <c r="D104" s="72"/>
      <c r="F104" s="57"/>
      <c r="G104" s="72" t="s">
        <v>17589</v>
      </c>
      <c r="I104" s="57"/>
      <c r="J104" s="72" t="s">
        <v>18259</v>
      </c>
      <c r="L104" s="57"/>
      <c r="M104" s="122"/>
      <c r="N104" s="37"/>
      <c r="O104" s="38"/>
      <c r="P104" s="299" t="s">
        <v>17556</v>
      </c>
      <c r="Q104" s="45" t="s">
        <v>398</v>
      </c>
      <c r="R104" s="46">
        <v>1</v>
      </c>
      <c r="S104" s="512"/>
      <c r="T104" s="57"/>
      <c r="U104" s="512"/>
      <c r="V104" s="57"/>
      <c r="W104" s="72"/>
      <c r="Z104" s="57"/>
      <c r="AA104" s="72"/>
      <c r="AD104" s="57"/>
      <c r="AE104" s="208">
        <f>ROUND((_15_同援日０．５*_15・２人),0)+ROUND((ROUND((_15_同援日０．５＿１．０*_15・２人),0)*(1+_15・B夜間)),0)+ROUND((ROUND((_15_同援日０．５＿１．０＿０．５*_15・２人),0)*(1+_15・C深夜)),0)</f>
        <v>592</v>
      </c>
      <c r="AF104" s="48"/>
    </row>
    <row r="105" spans="1:32" ht="16.5" customHeight="1" x14ac:dyDescent="0.15">
      <c r="A105" s="41">
        <v>15</v>
      </c>
      <c r="B105" s="41" t="s">
        <v>22859</v>
      </c>
      <c r="C105" s="74" t="s">
        <v>22860</v>
      </c>
      <c r="D105" s="72"/>
      <c r="F105" s="57"/>
      <c r="G105" s="72" t="s">
        <v>17591</v>
      </c>
      <c r="I105" s="57"/>
      <c r="J105" s="72"/>
      <c r="L105" s="57"/>
      <c r="M105" s="114" t="s">
        <v>17558</v>
      </c>
      <c r="N105" s="49"/>
      <c r="O105" s="50"/>
      <c r="P105" s="299"/>
      <c r="Q105" s="45"/>
      <c r="R105" s="46"/>
      <c r="S105" s="512"/>
      <c r="T105" s="57"/>
      <c r="U105" s="512"/>
      <c r="V105" s="57"/>
      <c r="W105" s="72"/>
      <c r="Z105" s="57"/>
      <c r="AA105" s="72"/>
      <c r="AD105" s="57"/>
      <c r="AE105" s="208">
        <f>ROUND((_15_同援日０．５*_15・基礎２),0)+ROUND((ROUND((_15_同援日０．５＿１．０*_15・基礎２),0)*(1+_15・B夜間)),0)+ROUND((ROUND((_15_同援日０．５＿１．０＿０．５*_15・基礎２),0)*(1+_15・C深夜)),0)</f>
        <v>534</v>
      </c>
      <c r="AF105" s="48"/>
    </row>
    <row r="106" spans="1:32" ht="16.5" customHeight="1" x14ac:dyDescent="0.15">
      <c r="A106" s="41">
        <v>15</v>
      </c>
      <c r="B106" s="41" t="s">
        <v>22861</v>
      </c>
      <c r="C106" s="74" t="s">
        <v>22862</v>
      </c>
      <c r="D106" s="72"/>
      <c r="F106" s="57"/>
      <c r="G106" s="72"/>
      <c r="H106" s="168">
        <f>_15_同援日０．５＿１．０</f>
        <v>243</v>
      </c>
      <c r="I106" s="57" t="s">
        <v>392</v>
      </c>
      <c r="J106" s="72"/>
      <c r="K106" s="168">
        <f>_15_同援日０．５＿１．０＿０．５</f>
        <v>65</v>
      </c>
      <c r="L106" s="57" t="s">
        <v>392</v>
      </c>
      <c r="M106" s="122" t="s">
        <v>17560</v>
      </c>
      <c r="N106" s="37" t="s">
        <v>398</v>
      </c>
      <c r="O106" s="38">
        <v>0.9</v>
      </c>
      <c r="P106" s="299" t="s">
        <v>17556</v>
      </c>
      <c r="Q106" s="45" t="s">
        <v>398</v>
      </c>
      <c r="R106" s="46">
        <v>1</v>
      </c>
      <c r="S106" s="512"/>
      <c r="T106" s="57"/>
      <c r="U106" s="512"/>
      <c r="V106" s="57"/>
      <c r="W106" s="122"/>
      <c r="X106" s="37"/>
      <c r="Y106" s="38"/>
      <c r="Z106" s="79"/>
      <c r="AA106" s="72"/>
      <c r="AD106" s="57"/>
      <c r="AE106" s="208">
        <f>ROUND((ROUND((_15_同援日０．５*_15・基礎２),0)*_15・２人),0)+ROUND((ROUND((ROUND((_15_同援日０．５＿１．０*_15・基礎２),0)*_15・２人),0)*(1+_15・B夜間)),0)+ROUND((ROUND((ROUND((_15_同援日０．５＿１．０＿０．５*_15・基礎２),0)*_15・２人),0)*(1+_15・C深夜)),0)</f>
        <v>534</v>
      </c>
      <c r="AF106" s="48"/>
    </row>
    <row r="107" spans="1:32" ht="16.5" customHeight="1" x14ac:dyDescent="0.15">
      <c r="A107" s="41">
        <v>15</v>
      </c>
      <c r="B107" s="41" t="s">
        <v>22863</v>
      </c>
      <c r="C107" s="74" t="s">
        <v>22864</v>
      </c>
      <c r="D107" s="72"/>
      <c r="F107" s="57"/>
      <c r="G107" s="72"/>
      <c r="I107" s="57"/>
      <c r="J107" s="72"/>
      <c r="L107" s="57"/>
      <c r="M107" s="114"/>
      <c r="N107" s="49"/>
      <c r="O107" s="50"/>
      <c r="P107" s="299"/>
      <c r="Q107" s="45"/>
      <c r="R107" s="46"/>
      <c r="S107" s="512"/>
      <c r="T107" s="57"/>
      <c r="U107" s="512"/>
      <c r="V107" s="57"/>
      <c r="W107" s="114" t="s">
        <v>17562</v>
      </c>
      <c r="X107" s="49"/>
      <c r="Y107" s="50"/>
      <c r="Z107" s="115"/>
      <c r="AA107" s="72"/>
      <c r="AD107" s="57"/>
      <c r="AE107" s="208">
        <f>ROUND((_15_同援日０．５*(1+_15・盲ろう)),0)+ROUND((ROUND((_15_同援日０．５＿１．０*(1+_15・B夜間)),0)*(1+_15・盲ろう)),0)+ROUND((ROUND((_15_同援日０．５＿１．０＿０．５*(1+_15・C深夜)),0)*(1+_15・盲ろう)),0)</f>
        <v>741</v>
      </c>
      <c r="AF107" s="48"/>
    </row>
    <row r="108" spans="1:32" ht="16.5" customHeight="1" x14ac:dyDescent="0.15">
      <c r="A108" s="41">
        <v>15</v>
      </c>
      <c r="B108" s="41" t="s">
        <v>22865</v>
      </c>
      <c r="C108" s="74" t="s">
        <v>22866</v>
      </c>
      <c r="D108" s="72"/>
      <c r="F108" s="57"/>
      <c r="G108" s="72"/>
      <c r="I108" s="57"/>
      <c r="J108" s="72"/>
      <c r="L108" s="57"/>
      <c r="M108" s="122"/>
      <c r="N108" s="37"/>
      <c r="O108" s="38"/>
      <c r="P108" s="299" t="s">
        <v>17556</v>
      </c>
      <c r="Q108" s="45" t="s">
        <v>398</v>
      </c>
      <c r="R108" s="46">
        <v>1</v>
      </c>
      <c r="S108" s="512"/>
      <c r="T108" s="57"/>
      <c r="U108" s="512"/>
      <c r="V108" s="57"/>
      <c r="W108" s="72" t="s">
        <v>17564</v>
      </c>
      <c r="Z108" s="57"/>
      <c r="AA108" s="72"/>
      <c r="AD108" s="57"/>
      <c r="AE108" s="208">
        <f>ROUND((ROUND((_15_同援日０．５*_15・２人),0)*(1+_15・盲ろう)),0)+ROUND((ROUND((ROUND((_15_同援日０．５＿１．０*_15・２人),0)*(1+_15・B夜間)),0)*(1+_15・盲ろう)),0)+ROUND((ROUND((ROUND((_15_同援日０．５＿１．０＿０．５*_15・２人),0)*(1+_15・C深夜)),0)*(1+_15・盲ろう)),0)</f>
        <v>741</v>
      </c>
      <c r="AF108" s="48"/>
    </row>
    <row r="109" spans="1:32" ht="16.5" customHeight="1" x14ac:dyDescent="0.15">
      <c r="A109" s="41">
        <v>15</v>
      </c>
      <c r="B109" s="41" t="s">
        <v>1497</v>
      </c>
      <c r="C109" s="74" t="s">
        <v>22867</v>
      </c>
      <c r="D109" s="72"/>
      <c r="F109" s="57"/>
      <c r="G109" s="72"/>
      <c r="I109" s="57"/>
      <c r="J109" s="72"/>
      <c r="L109" s="57"/>
      <c r="M109" s="114" t="s">
        <v>17558</v>
      </c>
      <c r="N109" s="49"/>
      <c r="O109" s="50"/>
      <c r="P109" s="299"/>
      <c r="Q109" s="45"/>
      <c r="R109" s="46"/>
      <c r="S109" s="512"/>
      <c r="T109" s="57"/>
      <c r="U109" s="512"/>
      <c r="V109" s="57"/>
      <c r="W109" s="72"/>
      <c r="X109" s="12" t="s">
        <v>398</v>
      </c>
      <c r="Y109" s="13">
        <v>0.25</v>
      </c>
      <c r="Z109" s="57" t="s">
        <v>3575</v>
      </c>
      <c r="AA109" s="72"/>
      <c r="AD109" s="57"/>
      <c r="AE109" s="208">
        <f>ROUND((ROUND((_15_同援日０．５*_15・基礎２),0)*(1+_15・盲ろう)),0)+ROUND((ROUND((ROUND((_15_同援日０．５＿１．０*_15・基礎２),0)*(1+_15・B夜間)),0)*(1+_15・盲ろう)),0)+ROUND((ROUND((ROUND((_15_同援日０．５＿１．０＿０．５*_15・基礎２),0)*(1+_15・C深夜)),0)*(1+_15・盲ろう)),0)</f>
        <v>668</v>
      </c>
      <c r="AF109" s="48"/>
    </row>
    <row r="110" spans="1:32" ht="16.5" customHeight="1" x14ac:dyDescent="0.15">
      <c r="A110" s="41">
        <v>15</v>
      </c>
      <c r="B110" s="41" t="s">
        <v>1499</v>
      </c>
      <c r="C110" s="74" t="s">
        <v>22868</v>
      </c>
      <c r="D110" s="72"/>
      <c r="F110" s="57"/>
      <c r="G110" s="72"/>
      <c r="I110" s="57"/>
      <c r="J110" s="72"/>
      <c r="L110" s="57"/>
      <c r="M110" s="122" t="s">
        <v>17560</v>
      </c>
      <c r="N110" s="37" t="s">
        <v>398</v>
      </c>
      <c r="O110" s="38">
        <v>0.9</v>
      </c>
      <c r="P110" s="299" t="s">
        <v>17556</v>
      </c>
      <c r="Q110" s="45" t="s">
        <v>398</v>
      </c>
      <c r="R110" s="46">
        <v>1</v>
      </c>
      <c r="S110" s="512"/>
      <c r="T110" s="57"/>
      <c r="U110" s="512"/>
      <c r="V110" s="57"/>
      <c r="W110" s="122"/>
      <c r="X110" s="37"/>
      <c r="Y110" s="38"/>
      <c r="Z110" s="79"/>
      <c r="AA110" s="122"/>
      <c r="AB110" s="37"/>
      <c r="AC110" s="38"/>
      <c r="AD110" s="79"/>
      <c r="AE110" s="208">
        <f>ROUND((ROUND((ROUND((_15_同援日０．５*_15・基礎２),0)*_15・２人),0)*(1+_15・盲ろう)),0)+ROUND((ROUND((ROUND((ROUND((_15_同援日０．５＿１．０*_15・基礎２),0)*_15・２人),0)*(1+_15・B夜間)),0)*(1+_15・盲ろう)),0)+ROUND((ROUND((ROUND((ROUND((_15_同援日０．５＿１．０＿０．５*_15・基礎２),0)*_15・２人),0)*(1+_15・C深夜)),0)*(1+_15・盲ろう)),0)</f>
        <v>668</v>
      </c>
      <c r="AF110" s="48"/>
    </row>
    <row r="111" spans="1:32" ht="16.5" customHeight="1" x14ac:dyDescent="0.15">
      <c r="A111" s="41">
        <v>15</v>
      </c>
      <c r="B111" s="41" t="s">
        <v>1501</v>
      </c>
      <c r="C111" s="74" t="s">
        <v>22869</v>
      </c>
      <c r="D111" s="72"/>
      <c r="F111" s="57"/>
      <c r="G111" s="72"/>
      <c r="I111" s="57"/>
      <c r="J111" s="72"/>
      <c r="L111" s="57"/>
      <c r="M111" s="114"/>
      <c r="N111" s="49"/>
      <c r="O111" s="50"/>
      <c r="P111" s="299"/>
      <c r="Q111" s="45"/>
      <c r="R111" s="46"/>
      <c r="S111" s="512"/>
      <c r="T111" s="57"/>
      <c r="U111" s="512"/>
      <c r="V111" s="57"/>
      <c r="W111" s="114"/>
      <c r="X111" s="49"/>
      <c r="Y111" s="50"/>
      <c r="Z111" s="115"/>
      <c r="AA111" s="114"/>
      <c r="AB111" s="49"/>
      <c r="AC111" s="50"/>
      <c r="AD111" s="115"/>
      <c r="AE111" s="208">
        <f>ROUND((_15_同援日０．５*(1+_15・区３)),0)+ROUND((ROUND((_15_同援日０．５＿１．０*(1+_15・B夜間)),0)*(1+_15・区３)),0)+ROUND((ROUND((_15_同援日０．５＿１．０＿０．５*(1+_15・C深夜)),0)*(1+_15・区３)),0)</f>
        <v>711</v>
      </c>
      <c r="AF111" s="48"/>
    </row>
    <row r="112" spans="1:32" ht="16.5" customHeight="1" x14ac:dyDescent="0.15">
      <c r="A112" s="41">
        <v>15</v>
      </c>
      <c r="B112" s="41" t="s">
        <v>1503</v>
      </c>
      <c r="C112" s="74" t="s">
        <v>22870</v>
      </c>
      <c r="D112" s="72"/>
      <c r="F112" s="57"/>
      <c r="G112" s="72"/>
      <c r="I112" s="57"/>
      <c r="J112" s="72"/>
      <c r="L112" s="57"/>
      <c r="M112" s="122"/>
      <c r="N112" s="37"/>
      <c r="O112" s="38"/>
      <c r="P112" s="299" t="s">
        <v>17556</v>
      </c>
      <c r="Q112" s="45" t="s">
        <v>398</v>
      </c>
      <c r="R112" s="46">
        <v>1</v>
      </c>
      <c r="S112" s="512"/>
      <c r="T112" s="57"/>
      <c r="U112" s="512"/>
      <c r="V112" s="57"/>
      <c r="W112" s="72"/>
      <c r="Z112" s="57"/>
      <c r="AA112" s="72"/>
      <c r="AD112" s="57"/>
      <c r="AE112" s="208">
        <f>ROUND((ROUND((_15_同援日０．５*_15・２人),0)*(1+_15・区３)),0)+ROUND((ROUND((ROUND((_15_同援日０．５＿１．０*_15・２人),0)*(1+_15・B夜間)),0)*(1+_15・区３)),0)+ROUND((ROUND((ROUND((_15_同援日０．５＿１．０＿０．５*_15・２人),0)*(1+_15・C深夜)),0)*(1+_15・区３)),0)</f>
        <v>711</v>
      </c>
      <c r="AF112" s="48"/>
    </row>
    <row r="113" spans="1:32" ht="16.5" customHeight="1" x14ac:dyDescent="0.15">
      <c r="A113" s="41">
        <v>15</v>
      </c>
      <c r="B113" s="41" t="s">
        <v>22871</v>
      </c>
      <c r="C113" s="74" t="s">
        <v>22872</v>
      </c>
      <c r="D113" s="72"/>
      <c r="F113" s="57"/>
      <c r="G113" s="72"/>
      <c r="I113" s="57"/>
      <c r="J113" s="72"/>
      <c r="L113" s="57"/>
      <c r="M113" s="114" t="s">
        <v>17558</v>
      </c>
      <c r="N113" s="49"/>
      <c r="O113" s="50"/>
      <c r="P113" s="299"/>
      <c r="Q113" s="45"/>
      <c r="R113" s="46"/>
      <c r="S113" s="512"/>
      <c r="T113" s="57"/>
      <c r="U113" s="512"/>
      <c r="V113" s="57"/>
      <c r="W113" s="72"/>
      <c r="Z113" s="57"/>
      <c r="AA113" s="72" t="s">
        <v>17570</v>
      </c>
      <c r="AD113" s="57"/>
      <c r="AE113" s="208">
        <f>ROUND((ROUND((_15_同援日０．５*_15・基礎２),0)*(1+_15・区３)),0)+ROUND((ROUND((ROUND((_15_同援日０．５＿１．０*_15・基礎２),0)*(1+_15・B夜間)),0)*(1+_15・区３)),0)+ROUND((ROUND((ROUND((_15_同援日０．５＿１．０＿０．５*_15・基礎２),0)*(1+_15・C深夜)),0)*(1+_15・区３)),0)</f>
        <v>641</v>
      </c>
      <c r="AF113" s="48"/>
    </row>
    <row r="114" spans="1:32" ht="16.5" customHeight="1" x14ac:dyDescent="0.15">
      <c r="A114" s="41">
        <v>15</v>
      </c>
      <c r="B114" s="41" t="s">
        <v>22873</v>
      </c>
      <c r="C114" s="74" t="s">
        <v>22874</v>
      </c>
      <c r="D114" s="72"/>
      <c r="F114" s="57"/>
      <c r="G114" s="72"/>
      <c r="I114" s="57"/>
      <c r="J114" s="72"/>
      <c r="L114" s="57"/>
      <c r="M114" s="122" t="s">
        <v>17560</v>
      </c>
      <c r="N114" s="37" t="s">
        <v>398</v>
      </c>
      <c r="O114" s="38">
        <v>0.9</v>
      </c>
      <c r="P114" s="299" t="s">
        <v>17556</v>
      </c>
      <c r="Q114" s="45" t="s">
        <v>398</v>
      </c>
      <c r="R114" s="46">
        <v>1</v>
      </c>
      <c r="S114" s="512"/>
      <c r="T114" s="57"/>
      <c r="U114" s="512"/>
      <c r="V114" s="57"/>
      <c r="W114" s="122"/>
      <c r="X114" s="37"/>
      <c r="Y114" s="38"/>
      <c r="Z114" s="79"/>
      <c r="AA114" s="72" t="s">
        <v>17572</v>
      </c>
      <c r="AD114" s="57"/>
      <c r="AE114" s="208">
        <f>ROUND((ROUND((ROUND((_15_同援日０．５*_15・基礎２),0)*_15・２人),0)*(1+_15・区３)),0)+ROUND((ROUND((ROUND((ROUND((_15_同援日０．５＿１．０*_15・基礎２),0)*_15・２人),0)*(1+_15・B夜間)),0)*(1+_15・区３)),0)+ROUND((ROUND((ROUND((ROUND((_15_同援日０．５＿１．０＿０．５*_15・基礎２),0)*_15・２人),0)*(1+_15・C深夜)),0)*(1+_15・区３)),0)</f>
        <v>641</v>
      </c>
      <c r="AF114" s="48"/>
    </row>
    <row r="115" spans="1:32" ht="16.5" customHeight="1" x14ac:dyDescent="0.15">
      <c r="A115" s="41">
        <v>15</v>
      </c>
      <c r="B115" s="41" t="s">
        <v>22875</v>
      </c>
      <c r="C115" s="74" t="s">
        <v>22876</v>
      </c>
      <c r="D115" s="72"/>
      <c r="F115" s="57"/>
      <c r="G115" s="72"/>
      <c r="I115" s="57"/>
      <c r="J115" s="72"/>
      <c r="L115" s="57"/>
      <c r="M115" s="114"/>
      <c r="N115" s="49"/>
      <c r="O115" s="50"/>
      <c r="P115" s="299"/>
      <c r="Q115" s="45"/>
      <c r="R115" s="46"/>
      <c r="S115" s="512"/>
      <c r="T115" s="57"/>
      <c r="U115" s="512"/>
      <c r="V115" s="57"/>
      <c r="W115" s="114" t="s">
        <v>17562</v>
      </c>
      <c r="X115" s="49"/>
      <c r="Y115" s="50"/>
      <c r="Z115" s="115"/>
      <c r="AA115" s="72"/>
      <c r="AB115" s="12" t="s">
        <v>398</v>
      </c>
      <c r="AC115" s="13">
        <v>0.2</v>
      </c>
      <c r="AD115" s="57" t="s">
        <v>3575</v>
      </c>
      <c r="AE115" s="208">
        <f>ROUND((ROUND((_15_同援日０．５*(1+_15・盲ろう)),0)*(1+_15・区３)),0)+ROUND((ROUND((ROUND((_15_同援日０．５＿１．０*(1+_15・B夜間)),0)*(1+_15・盲ろう)),0)*(1+_15・区３)),0)+ROUND((ROUND((ROUND((_15_同援日０．５＿１．０＿０．５*(1+_15・C深夜)),0)*(1+_15・盲ろう)),0)*(1+_15・区３)),0)</f>
        <v>890</v>
      </c>
      <c r="AF115" s="48"/>
    </row>
    <row r="116" spans="1:32" ht="16.5" customHeight="1" x14ac:dyDescent="0.15">
      <c r="A116" s="41">
        <v>15</v>
      </c>
      <c r="B116" s="41" t="s">
        <v>22877</v>
      </c>
      <c r="C116" s="74" t="s">
        <v>22878</v>
      </c>
      <c r="D116" s="72"/>
      <c r="F116" s="57"/>
      <c r="G116" s="72"/>
      <c r="I116" s="57"/>
      <c r="J116" s="72"/>
      <c r="L116" s="57"/>
      <c r="M116" s="122"/>
      <c r="N116" s="37"/>
      <c r="O116" s="38"/>
      <c r="P116" s="299" t="s">
        <v>17556</v>
      </c>
      <c r="Q116" s="45" t="s">
        <v>398</v>
      </c>
      <c r="R116" s="46">
        <v>1</v>
      </c>
      <c r="S116" s="512"/>
      <c r="T116" s="57"/>
      <c r="U116" s="512"/>
      <c r="V116" s="57"/>
      <c r="W116" s="72" t="s">
        <v>17564</v>
      </c>
      <c r="Z116" s="57"/>
      <c r="AA116" s="72"/>
      <c r="AD116" s="57"/>
      <c r="AE116" s="208">
        <f>ROUND((ROUND((ROUND((_15_同援日０．５*_15・２人),0)*(1+_15・盲ろう)),0)*(1+_15・区３)),0)+ROUND((ROUND((ROUND((ROUND((_15_同援日０．５＿１．０*_15・２人),0)*(1+_15・B夜間)),0)*(1+_15・盲ろう)),0)*(1+_15・区３)),0)+ROUND((ROUND((ROUND((ROUND((_15_同援日０．５＿１．０＿０．５*_15・２人),0)*(1+_15・C深夜)),0)*(1+_15・盲ろう)),0)*(1+_15・区３)),0)</f>
        <v>890</v>
      </c>
      <c r="AF116" s="48"/>
    </row>
    <row r="117" spans="1:32" ht="16.5" customHeight="1" x14ac:dyDescent="0.15">
      <c r="A117" s="41">
        <v>15</v>
      </c>
      <c r="B117" s="41" t="s">
        <v>22879</v>
      </c>
      <c r="C117" s="74" t="s">
        <v>22880</v>
      </c>
      <c r="D117" s="72"/>
      <c r="F117" s="57"/>
      <c r="G117" s="72"/>
      <c r="I117" s="57"/>
      <c r="J117" s="72"/>
      <c r="L117" s="57"/>
      <c r="M117" s="114" t="s">
        <v>17558</v>
      </c>
      <c r="N117" s="49"/>
      <c r="O117" s="50"/>
      <c r="P117" s="299"/>
      <c r="Q117" s="45"/>
      <c r="R117" s="46"/>
      <c r="S117" s="512"/>
      <c r="T117" s="57"/>
      <c r="U117" s="512"/>
      <c r="V117" s="57"/>
      <c r="W117" s="72"/>
      <c r="X117" s="12" t="s">
        <v>398</v>
      </c>
      <c r="Y117" s="13">
        <v>0.25</v>
      </c>
      <c r="Z117" s="57" t="s">
        <v>3575</v>
      </c>
      <c r="AA117" s="72"/>
      <c r="AD117" s="57"/>
      <c r="AE117" s="208">
        <f>ROUND((ROUND((ROUND((_15_同援日０．５*_15・基礎２),0)*(1+_15・盲ろう)),0)*(1+_15・区３)),0)+ROUND((ROUND((ROUND((ROUND((_15_同援日０．５＿１．０*_15・基礎２),0)*(1+_15・B夜間)),0)*(1+_15・盲ろう)),0)*(1+_15・区３)),0)+ROUND((ROUND((ROUND((ROUND((_15_同援日０．５＿１．０＿０．５*_15・基礎２),0)*(1+_15・C深夜)),0)*(1+_15・盲ろう)),0)*(1+_15・区３)),0)</f>
        <v>802</v>
      </c>
      <c r="AF117" s="48"/>
    </row>
    <row r="118" spans="1:32" ht="16.5" customHeight="1" x14ac:dyDescent="0.15">
      <c r="A118" s="41">
        <v>15</v>
      </c>
      <c r="B118" s="41" t="s">
        <v>22881</v>
      </c>
      <c r="C118" s="74" t="s">
        <v>22882</v>
      </c>
      <c r="D118" s="72"/>
      <c r="F118" s="57"/>
      <c r="G118" s="72"/>
      <c r="I118" s="57"/>
      <c r="J118" s="72"/>
      <c r="L118" s="57"/>
      <c r="M118" s="122" t="s">
        <v>17560</v>
      </c>
      <c r="N118" s="37" t="s">
        <v>398</v>
      </c>
      <c r="O118" s="38">
        <v>0.9</v>
      </c>
      <c r="P118" s="299" t="s">
        <v>17556</v>
      </c>
      <c r="Q118" s="45" t="s">
        <v>398</v>
      </c>
      <c r="R118" s="46">
        <v>1</v>
      </c>
      <c r="S118" s="512"/>
      <c r="T118" s="57"/>
      <c r="U118" s="512"/>
      <c r="V118" s="57"/>
      <c r="W118" s="122"/>
      <c r="X118" s="37"/>
      <c r="Y118" s="38"/>
      <c r="Z118" s="79"/>
      <c r="AA118" s="122"/>
      <c r="AB118" s="37"/>
      <c r="AC118" s="38"/>
      <c r="AD118" s="79"/>
      <c r="AE118" s="208">
        <f>ROUND((ROUND((ROUND((ROUND((_15_同援日０．５*_15・基礎２),0)*_15・２人),0)*(1+_15・盲ろう)),0)*(1+_15・区３)),0)+ROUND((ROUND((ROUND((ROUND((ROUND((_15_同援日０．５＿１．０*_15・基礎２),0)*_15・２人),0)*(1+_15・B夜間)),0)*(1+_15・盲ろう)),0)*(1+_15・区３)),0)+ROUND((ROUND((ROUND((ROUND((ROUND((_15_同援日０．５＿１．０＿０．５*_15・基礎２),0)*_15・２人),0)*(1+_15・C深夜)),0)*(1+_15・盲ろう)),0)*(1+_15・区３)),0)</f>
        <v>802</v>
      </c>
      <c r="AF118" s="48"/>
    </row>
    <row r="119" spans="1:32" ht="16.5" customHeight="1" x14ac:dyDescent="0.15">
      <c r="A119" s="41">
        <v>15</v>
      </c>
      <c r="B119" s="41" t="s">
        <v>22883</v>
      </c>
      <c r="C119" s="74" t="s">
        <v>22884</v>
      </c>
      <c r="D119" s="72"/>
      <c r="F119" s="57"/>
      <c r="G119" s="72"/>
      <c r="I119" s="57"/>
      <c r="J119" s="72"/>
      <c r="L119" s="57"/>
      <c r="M119" s="114"/>
      <c r="N119" s="49"/>
      <c r="O119" s="50"/>
      <c r="P119" s="299"/>
      <c r="Q119" s="45"/>
      <c r="R119" s="46"/>
      <c r="S119" s="512"/>
      <c r="T119" s="57"/>
      <c r="U119" s="512"/>
      <c r="V119" s="57"/>
      <c r="W119" s="114"/>
      <c r="X119" s="49"/>
      <c r="Y119" s="50"/>
      <c r="Z119" s="115"/>
      <c r="AA119" s="114"/>
      <c r="AB119" s="49"/>
      <c r="AC119" s="50"/>
      <c r="AD119" s="115"/>
      <c r="AE119" s="208">
        <f>ROUND((_15_同援日０．５*(1+_15・区４)),0)+ROUND((ROUND((_15_同援日０．５＿１．０*(1+_15・B夜間)),0)*(1+_15・区４)),0)+ROUND((ROUND((_15_同援日０．５＿１．０＿０．５*(1+_15・C深夜)),0)*(1+_15・区４)),0)</f>
        <v>829</v>
      </c>
      <c r="AF119" s="48"/>
    </row>
    <row r="120" spans="1:32" ht="16.5" customHeight="1" x14ac:dyDescent="0.15">
      <c r="A120" s="41">
        <v>15</v>
      </c>
      <c r="B120" s="41" t="s">
        <v>22885</v>
      </c>
      <c r="C120" s="74" t="s">
        <v>22886</v>
      </c>
      <c r="D120" s="72"/>
      <c r="F120" s="57"/>
      <c r="G120" s="72"/>
      <c r="I120" s="57"/>
      <c r="J120" s="72"/>
      <c r="L120" s="57"/>
      <c r="M120" s="122"/>
      <c r="N120" s="37"/>
      <c r="O120" s="38"/>
      <c r="P120" s="299" t="s">
        <v>17556</v>
      </c>
      <c r="Q120" s="45" t="s">
        <v>398</v>
      </c>
      <c r="R120" s="46">
        <v>1</v>
      </c>
      <c r="S120" s="512"/>
      <c r="T120" s="57"/>
      <c r="U120" s="512"/>
      <c r="V120" s="57"/>
      <c r="W120" s="72"/>
      <c r="Z120" s="57"/>
      <c r="AA120" s="72"/>
      <c r="AD120" s="57"/>
      <c r="AE120" s="208">
        <f>ROUND((ROUND((_15_同援日０．５*_15・２人),0)*(1+_15・区４)),0)+ROUND((ROUND((ROUND((_15_同援日０．５＿１．０*_15・２人),0)*(1+_15・B夜間)),0)*(1+_15・区４)),0)+ROUND((ROUND((ROUND((_15_同援日０．５＿１．０＿０．５*_15・２人),0)*(1+_15・C深夜)),0)*(1+_15・区４)),0)</f>
        <v>829</v>
      </c>
      <c r="AF120" s="48"/>
    </row>
    <row r="121" spans="1:32" ht="16.5" customHeight="1" x14ac:dyDescent="0.15">
      <c r="A121" s="41">
        <v>15</v>
      </c>
      <c r="B121" s="41" t="s">
        <v>22887</v>
      </c>
      <c r="C121" s="74" t="s">
        <v>22888</v>
      </c>
      <c r="D121" s="72"/>
      <c r="F121" s="57"/>
      <c r="G121" s="72"/>
      <c r="I121" s="57"/>
      <c r="J121" s="72"/>
      <c r="L121" s="57"/>
      <c r="M121" s="114" t="s">
        <v>17558</v>
      </c>
      <c r="N121" s="49"/>
      <c r="O121" s="50"/>
      <c r="P121" s="299"/>
      <c r="Q121" s="45"/>
      <c r="R121" s="46"/>
      <c r="S121" s="512"/>
      <c r="T121" s="57"/>
      <c r="U121" s="512"/>
      <c r="V121" s="57"/>
      <c r="W121" s="72"/>
      <c r="Z121" s="57"/>
      <c r="AA121" s="72" t="s">
        <v>17580</v>
      </c>
      <c r="AD121" s="57"/>
      <c r="AE121" s="208">
        <f>ROUND((ROUND((_15_同援日０．５*_15・基礎２),0)*(1+_15・区４)),0)+ROUND((ROUND((ROUND((_15_同援日０．５＿１．０*_15・基礎２),0)*(1+_15・B夜間)),0)*(1+_15・区４)),0)+ROUND((ROUND((ROUND((_15_同援日０．５＿１．０＿０．５*_15・基礎２),0)*(1+_15・C深夜)),0)*(1+_15・区４)),0)</f>
        <v>748</v>
      </c>
      <c r="AF121" s="48"/>
    </row>
    <row r="122" spans="1:32" ht="16.5" customHeight="1" x14ac:dyDescent="0.15">
      <c r="A122" s="41">
        <v>15</v>
      </c>
      <c r="B122" s="41" t="s">
        <v>22889</v>
      </c>
      <c r="C122" s="74" t="s">
        <v>22890</v>
      </c>
      <c r="D122" s="72"/>
      <c r="F122" s="57"/>
      <c r="G122" s="72"/>
      <c r="I122" s="57"/>
      <c r="J122" s="72"/>
      <c r="L122" s="57"/>
      <c r="M122" s="122" t="s">
        <v>17560</v>
      </c>
      <c r="N122" s="37" t="s">
        <v>398</v>
      </c>
      <c r="O122" s="38">
        <v>0.9</v>
      </c>
      <c r="P122" s="299" t="s">
        <v>17556</v>
      </c>
      <c r="Q122" s="45" t="s">
        <v>398</v>
      </c>
      <c r="R122" s="46">
        <v>1</v>
      </c>
      <c r="S122" s="512"/>
      <c r="T122" s="57"/>
      <c r="U122" s="512"/>
      <c r="V122" s="57"/>
      <c r="W122" s="122"/>
      <c r="X122" s="37"/>
      <c r="Y122" s="38"/>
      <c r="Z122" s="79"/>
      <c r="AA122" s="72" t="s">
        <v>17572</v>
      </c>
      <c r="AD122" s="57"/>
      <c r="AE122" s="208">
        <f>ROUND((ROUND((ROUND((_15_同援日０．５*_15・基礎２),0)*_15・２人),0)*(1+_15・区４)),0)+ROUND((ROUND((ROUND((ROUND((_15_同援日０．５＿１．０*_15・基礎２),0)*_15・２人),0)*(1+_15・B夜間)),0)*(1+_15・区４)),0)+ROUND((ROUND((ROUND((ROUND((_15_同援日０．５＿１．０＿０．５*_15・基礎２),0)*_15・２人),0)*(1+_15・C深夜)),0)*(1+_15・区４)),0)</f>
        <v>748</v>
      </c>
      <c r="AF122" s="48"/>
    </row>
    <row r="123" spans="1:32" ht="16.5" customHeight="1" x14ac:dyDescent="0.15">
      <c r="A123" s="41">
        <v>15</v>
      </c>
      <c r="B123" s="41" t="s">
        <v>22891</v>
      </c>
      <c r="C123" s="74" t="s">
        <v>22892</v>
      </c>
      <c r="D123" s="72"/>
      <c r="F123" s="57"/>
      <c r="G123" s="72"/>
      <c r="I123" s="57"/>
      <c r="J123" s="72"/>
      <c r="L123" s="57"/>
      <c r="M123" s="114"/>
      <c r="N123" s="49"/>
      <c r="O123" s="50"/>
      <c r="P123" s="299"/>
      <c r="Q123" s="45"/>
      <c r="R123" s="46"/>
      <c r="S123" s="512"/>
      <c r="T123" s="57"/>
      <c r="U123" s="512"/>
      <c r="V123" s="57"/>
      <c r="W123" s="114" t="s">
        <v>17562</v>
      </c>
      <c r="X123" s="49"/>
      <c r="Y123" s="50"/>
      <c r="Z123" s="115"/>
      <c r="AA123" s="72"/>
      <c r="AB123" s="12" t="s">
        <v>398</v>
      </c>
      <c r="AC123" s="13">
        <v>0.4</v>
      </c>
      <c r="AD123" s="57" t="s">
        <v>3575</v>
      </c>
      <c r="AE123" s="208">
        <f>ROUND((ROUND((_15_同援日０．５*(1+_15・盲ろう)),0)*(1+_15・区４)),0)+ROUND((ROUND((ROUND((_15_同援日０．５＿１．０*(1+_15・B夜間)),0)*(1+_15・盲ろう)),0)*(1+_15・区４)),0)+ROUND((ROUND((ROUND((_15_同援日０．５＿１．０＿０．５*(1+_15・C深夜)),0)*(1+_15・盲ろう)),0)*(1+_15・区４)),0)</f>
        <v>1037</v>
      </c>
      <c r="AF123" s="48"/>
    </row>
    <row r="124" spans="1:32" ht="16.5" customHeight="1" x14ac:dyDescent="0.15">
      <c r="A124" s="41">
        <v>15</v>
      </c>
      <c r="B124" s="41" t="s">
        <v>22893</v>
      </c>
      <c r="C124" s="74" t="s">
        <v>22894</v>
      </c>
      <c r="D124" s="72"/>
      <c r="F124" s="57"/>
      <c r="G124" s="72"/>
      <c r="I124" s="57"/>
      <c r="J124" s="72"/>
      <c r="L124" s="57"/>
      <c r="M124" s="122"/>
      <c r="N124" s="37"/>
      <c r="O124" s="38"/>
      <c r="P124" s="299" t="s">
        <v>17556</v>
      </c>
      <c r="Q124" s="45" t="s">
        <v>398</v>
      </c>
      <c r="R124" s="46">
        <v>1</v>
      </c>
      <c r="S124" s="512"/>
      <c r="T124" s="57"/>
      <c r="U124" s="512"/>
      <c r="V124" s="57"/>
      <c r="W124" s="72" t="s">
        <v>17564</v>
      </c>
      <c r="Z124" s="57"/>
      <c r="AA124" s="72"/>
      <c r="AD124" s="57"/>
      <c r="AE124" s="208">
        <f>ROUND((ROUND((ROUND((_15_同援日０．５*_15・２人),0)*(1+_15・盲ろう)),0)*(1+_15・区４)),0)+ROUND((ROUND((ROUND((ROUND((_15_同援日０．５＿１．０*_15・２人),0)*(1+_15・B夜間)),0)*(1+_15・盲ろう)),0)*(1+_15・区４)),0)+ROUND((ROUND((ROUND((ROUND((_15_同援日０．５＿１．０＿０．５*_15・２人),0)*(1+_15・C深夜)),0)*(1+_15・盲ろう)),0)*(1+_15・区４)),0)</f>
        <v>1037</v>
      </c>
      <c r="AF124" s="48"/>
    </row>
    <row r="125" spans="1:32" ht="16.5" customHeight="1" x14ac:dyDescent="0.15">
      <c r="A125" s="41">
        <v>15</v>
      </c>
      <c r="B125" s="41" t="s">
        <v>22895</v>
      </c>
      <c r="C125" s="74" t="s">
        <v>22896</v>
      </c>
      <c r="D125" s="72"/>
      <c r="F125" s="57"/>
      <c r="G125" s="72"/>
      <c r="I125" s="57"/>
      <c r="J125" s="72"/>
      <c r="L125" s="57"/>
      <c r="M125" s="114" t="s">
        <v>17558</v>
      </c>
      <c r="N125" s="49"/>
      <c r="O125" s="50"/>
      <c r="P125" s="299"/>
      <c r="Q125" s="45"/>
      <c r="R125" s="46"/>
      <c r="S125" s="512"/>
      <c r="T125" s="57"/>
      <c r="U125" s="512"/>
      <c r="V125" s="57"/>
      <c r="W125" s="72"/>
      <c r="X125" s="12" t="s">
        <v>398</v>
      </c>
      <c r="Y125" s="13">
        <v>0.25</v>
      </c>
      <c r="Z125" s="57" t="s">
        <v>3575</v>
      </c>
      <c r="AA125" s="72"/>
      <c r="AD125" s="57"/>
      <c r="AE125" s="208">
        <f>ROUND((ROUND((ROUND((_15_同援日０．５*_15・基礎２),0)*(1+_15・盲ろう)),0)*(1+_15・区４)),0)+ROUND((ROUND((ROUND((ROUND((_15_同援日０．５＿１．０*_15・基礎２),0)*(1+_15・B夜間)),0)*(1+_15・盲ろう)),0)*(1+_15・区４)),0)+ROUND((ROUND((ROUND((ROUND((_15_同援日０．５＿１．０＿０．５*_15・基礎２),0)*(1+_15・C深夜)),0)*(1+_15・盲ろう)),0)*(1+_15・区４)),0)</f>
        <v>935</v>
      </c>
      <c r="AF125" s="48"/>
    </row>
    <row r="126" spans="1:32" ht="16.5" customHeight="1" x14ac:dyDescent="0.15">
      <c r="A126" s="41">
        <v>15</v>
      </c>
      <c r="B126" s="41" t="s">
        <v>22897</v>
      </c>
      <c r="C126" s="74" t="s">
        <v>22898</v>
      </c>
      <c r="D126" s="72"/>
      <c r="F126" s="57"/>
      <c r="G126" s="72"/>
      <c r="I126" s="57"/>
      <c r="J126" s="72"/>
      <c r="L126" s="57"/>
      <c r="M126" s="122" t="s">
        <v>17560</v>
      </c>
      <c r="N126" s="37" t="s">
        <v>398</v>
      </c>
      <c r="O126" s="38">
        <v>0.9</v>
      </c>
      <c r="P126" s="299" t="s">
        <v>17556</v>
      </c>
      <c r="Q126" s="45" t="s">
        <v>398</v>
      </c>
      <c r="R126" s="46">
        <v>1</v>
      </c>
      <c r="S126" s="512"/>
      <c r="T126" s="57"/>
      <c r="U126" s="512"/>
      <c r="V126" s="57"/>
      <c r="W126" s="122"/>
      <c r="X126" s="37"/>
      <c r="Y126" s="38"/>
      <c r="Z126" s="79"/>
      <c r="AA126" s="122"/>
      <c r="AB126" s="37"/>
      <c r="AC126" s="38"/>
      <c r="AD126" s="79"/>
      <c r="AE126" s="208">
        <f>ROUND((ROUND((ROUND((ROUND((_15_同援日０．５*_15・基礎２),0)*_15・２人),0)*(1+_15・盲ろう)),0)*(1+_15・区４)),0)+ROUND((ROUND((ROUND((ROUND((ROUND((_15_同援日０．５＿１．０*_15・基礎２),0)*_15・２人),0)*(1+_15・B夜間)),0)*(1+_15・盲ろう)),0)*(1+_15・区４)),0)+ROUND((ROUND((ROUND((ROUND((ROUND((_15_同援日０．５＿１．０＿０．５*_15・基礎２),0)*_15・２人),0)*(1+_15・C深夜)),0)*(1+_15・盲ろう)),0)*(1+_15・区４)),0)</f>
        <v>935</v>
      </c>
      <c r="AF126" s="48"/>
    </row>
    <row r="127" spans="1:32" ht="16.5" customHeight="1" x14ac:dyDescent="0.15">
      <c r="A127" s="41">
        <v>15</v>
      </c>
      <c r="B127" s="41" t="s">
        <v>22899</v>
      </c>
      <c r="C127" s="74" t="s">
        <v>22900</v>
      </c>
      <c r="D127" s="72"/>
      <c r="F127" s="57"/>
      <c r="G127" s="72"/>
      <c r="I127" s="57"/>
      <c r="J127" s="114" t="s">
        <v>22723</v>
      </c>
      <c r="K127" s="49"/>
      <c r="L127" s="115"/>
      <c r="M127" s="114"/>
      <c r="N127" s="49"/>
      <c r="O127" s="50"/>
      <c r="P127" s="299"/>
      <c r="Q127" s="45"/>
      <c r="R127" s="46"/>
      <c r="S127" s="512"/>
      <c r="T127" s="57"/>
      <c r="U127" s="512"/>
      <c r="V127" s="57"/>
      <c r="W127" s="114"/>
      <c r="X127" s="49"/>
      <c r="Y127" s="50"/>
      <c r="Z127" s="115"/>
      <c r="AA127" s="114"/>
      <c r="AB127" s="49"/>
      <c r="AC127" s="50"/>
      <c r="AD127" s="115"/>
      <c r="AE127" s="208">
        <f>_15_同援日０．５+ROUND((_15_同援日０．５＿１．０*(1+_15・B夜間)),0)+ROUND((_15_同援日０．５＿１．０＿１．０*(1+_15・C深夜)),0)</f>
        <v>689</v>
      </c>
      <c r="AF127" s="48"/>
    </row>
    <row r="128" spans="1:32" ht="16.5" customHeight="1" x14ac:dyDescent="0.15">
      <c r="A128" s="41">
        <v>15</v>
      </c>
      <c r="B128" s="41" t="s">
        <v>22901</v>
      </c>
      <c r="C128" s="74" t="s">
        <v>22902</v>
      </c>
      <c r="D128" s="72"/>
      <c r="F128" s="57"/>
      <c r="G128" s="72"/>
      <c r="I128" s="57"/>
      <c r="J128" s="72" t="s">
        <v>17589</v>
      </c>
      <c r="L128" s="57"/>
      <c r="M128" s="122"/>
      <c r="N128" s="37"/>
      <c r="O128" s="38"/>
      <c r="P128" s="299" t="s">
        <v>17556</v>
      </c>
      <c r="Q128" s="45" t="s">
        <v>398</v>
      </c>
      <c r="R128" s="46">
        <v>1</v>
      </c>
      <c r="S128" s="512"/>
      <c r="T128" s="57"/>
      <c r="U128" s="512"/>
      <c r="V128" s="57"/>
      <c r="W128" s="72"/>
      <c r="Z128" s="57"/>
      <c r="AA128" s="72"/>
      <c r="AD128" s="57"/>
      <c r="AE128" s="208">
        <f>ROUND((_15_同援日０．５*_15・２人),0)+ROUND((ROUND((_15_同援日０．５＿１．０*_15・２人),0)*(1+_15・B夜間)),0)+ROUND((ROUND((_15_同援日０．５＿１．０＿１．０*_15・２人),0)*(1+_15・C深夜)),0)</f>
        <v>689</v>
      </c>
      <c r="AF128" s="48"/>
    </row>
    <row r="129" spans="1:32" ht="16.5" customHeight="1" x14ac:dyDescent="0.15">
      <c r="A129" s="41">
        <v>15</v>
      </c>
      <c r="B129" s="41" t="s">
        <v>1509</v>
      </c>
      <c r="C129" s="74" t="s">
        <v>22903</v>
      </c>
      <c r="D129" s="72"/>
      <c r="F129" s="57"/>
      <c r="G129" s="72"/>
      <c r="I129" s="57"/>
      <c r="J129" s="72" t="s">
        <v>17591</v>
      </c>
      <c r="L129" s="57"/>
      <c r="M129" s="114" t="s">
        <v>17558</v>
      </c>
      <c r="N129" s="49"/>
      <c r="O129" s="50"/>
      <c r="P129" s="299"/>
      <c r="Q129" s="45"/>
      <c r="R129" s="46"/>
      <c r="S129" s="512"/>
      <c r="T129" s="57"/>
      <c r="U129" s="512"/>
      <c r="V129" s="57"/>
      <c r="W129" s="72"/>
      <c r="Z129" s="57"/>
      <c r="AA129" s="72"/>
      <c r="AD129" s="57"/>
      <c r="AE129" s="208">
        <f>ROUND((_15_同援日０．５*_15・基礎２),0)+ROUND((ROUND((_15_同援日０．５＿１．０*_15・基礎２),0)*(1+_15・B夜間)),0)+ROUND((ROUND((_15_同援日０．５＿１．０＿１．０*_15・基礎２),0)*(1+_15・C深夜)),0)</f>
        <v>621</v>
      </c>
      <c r="AF129" s="48"/>
    </row>
    <row r="130" spans="1:32" ht="16.5" customHeight="1" x14ac:dyDescent="0.15">
      <c r="A130" s="41">
        <v>15</v>
      </c>
      <c r="B130" s="41" t="s">
        <v>1511</v>
      </c>
      <c r="C130" s="74" t="s">
        <v>22904</v>
      </c>
      <c r="D130" s="72"/>
      <c r="F130" s="57"/>
      <c r="G130" s="72"/>
      <c r="I130" s="57"/>
      <c r="J130" s="72"/>
      <c r="K130" s="168">
        <f>_15_同援日０．５＿１．０＿１．０</f>
        <v>130</v>
      </c>
      <c r="L130" s="57" t="s">
        <v>392</v>
      </c>
      <c r="M130" s="122" t="s">
        <v>17560</v>
      </c>
      <c r="N130" s="37" t="s">
        <v>398</v>
      </c>
      <c r="O130" s="38">
        <v>0.9</v>
      </c>
      <c r="P130" s="299" t="s">
        <v>17556</v>
      </c>
      <c r="Q130" s="45" t="s">
        <v>398</v>
      </c>
      <c r="R130" s="46">
        <v>1</v>
      </c>
      <c r="S130" s="512"/>
      <c r="T130" s="57"/>
      <c r="U130" s="512"/>
      <c r="V130" s="57"/>
      <c r="W130" s="122"/>
      <c r="X130" s="37"/>
      <c r="Y130" s="38"/>
      <c r="Z130" s="79"/>
      <c r="AA130" s="72"/>
      <c r="AD130" s="57"/>
      <c r="AE130" s="208">
        <f>ROUND((ROUND((_15_同援日０．５*_15・基礎２),0)*_15・２人),0)+ROUND((ROUND((ROUND((_15_同援日０．５＿１．０*_15・基礎２),0)*_15・２人),0)*(1+_15・B夜間)),0)+ROUND((ROUND((ROUND((_15_同援日０．５＿１．０＿１．０*_15・基礎２),0)*_15・２人),0)*(1+_15・C深夜)),0)</f>
        <v>621</v>
      </c>
      <c r="AF130" s="48"/>
    </row>
    <row r="131" spans="1:32" ht="16.5" customHeight="1" x14ac:dyDescent="0.15">
      <c r="A131" s="41">
        <v>15</v>
      </c>
      <c r="B131" s="41" t="s">
        <v>1513</v>
      </c>
      <c r="C131" s="74" t="s">
        <v>22905</v>
      </c>
      <c r="D131" s="72"/>
      <c r="F131" s="57"/>
      <c r="G131" s="72"/>
      <c r="I131" s="57"/>
      <c r="J131" s="72"/>
      <c r="L131" s="57"/>
      <c r="M131" s="114"/>
      <c r="N131" s="49"/>
      <c r="O131" s="50"/>
      <c r="P131" s="299"/>
      <c r="Q131" s="45"/>
      <c r="R131" s="46"/>
      <c r="S131" s="512"/>
      <c r="T131" s="57"/>
      <c r="U131" s="512"/>
      <c r="V131" s="57"/>
      <c r="W131" s="114" t="s">
        <v>17562</v>
      </c>
      <c r="X131" s="49"/>
      <c r="Y131" s="50"/>
      <c r="Z131" s="115"/>
      <c r="AA131" s="72"/>
      <c r="AD131" s="57"/>
      <c r="AE131" s="208">
        <f>ROUND((_15_同援日０．５*(1+_15・盲ろう)),0)+ROUND((ROUND((_15_同援日０．５＿１．０*(1+_15・B夜間)),0)*(1+_15・盲ろう)),0)+ROUND((ROUND((_15_同援日０．５＿１．０＿１．０*(1+_15・C深夜)),0)*(1+_15・盲ろう)),0)</f>
        <v>862</v>
      </c>
      <c r="AF131" s="48"/>
    </row>
    <row r="132" spans="1:32" ht="16.5" customHeight="1" x14ac:dyDescent="0.15">
      <c r="A132" s="41">
        <v>15</v>
      </c>
      <c r="B132" s="41" t="s">
        <v>1515</v>
      </c>
      <c r="C132" s="74" t="s">
        <v>22906</v>
      </c>
      <c r="D132" s="72"/>
      <c r="F132" s="57"/>
      <c r="G132" s="72"/>
      <c r="I132" s="57"/>
      <c r="J132" s="72"/>
      <c r="L132" s="57"/>
      <c r="M132" s="122"/>
      <c r="N132" s="37"/>
      <c r="O132" s="38"/>
      <c r="P132" s="299" t="s">
        <v>17556</v>
      </c>
      <c r="Q132" s="45" t="s">
        <v>398</v>
      </c>
      <c r="R132" s="46">
        <v>1</v>
      </c>
      <c r="S132" s="512"/>
      <c r="T132" s="57"/>
      <c r="U132" s="512"/>
      <c r="V132" s="57"/>
      <c r="W132" s="72" t="s">
        <v>17564</v>
      </c>
      <c r="Z132" s="57"/>
      <c r="AA132" s="72"/>
      <c r="AD132" s="57"/>
      <c r="AE132" s="208">
        <f>ROUND((ROUND((_15_同援日０．５*_15・２人),0)*(1+_15・盲ろう)),0)+ROUND((ROUND((ROUND((_15_同援日０．５＿１．０*_15・２人),0)*(1+_15・B夜間)),0)*(1+_15・盲ろう)),0)+ROUND((ROUND((ROUND((_15_同援日０．５＿１．０＿１．０*_15・２人),0)*(1+_15・C深夜)),0)*(1+_15・盲ろう)),0)</f>
        <v>862</v>
      </c>
      <c r="AF132" s="48"/>
    </row>
    <row r="133" spans="1:32" ht="16.5" customHeight="1" x14ac:dyDescent="0.15">
      <c r="A133" s="41">
        <v>15</v>
      </c>
      <c r="B133" s="41" t="s">
        <v>22907</v>
      </c>
      <c r="C133" s="74" t="s">
        <v>22908</v>
      </c>
      <c r="D133" s="72"/>
      <c r="F133" s="57"/>
      <c r="G133" s="72"/>
      <c r="I133" s="57"/>
      <c r="J133" s="72"/>
      <c r="L133" s="57"/>
      <c r="M133" s="114" t="s">
        <v>17558</v>
      </c>
      <c r="N133" s="49"/>
      <c r="O133" s="50"/>
      <c r="P133" s="299"/>
      <c r="Q133" s="45"/>
      <c r="R133" s="46"/>
      <c r="S133" s="512"/>
      <c r="T133" s="57"/>
      <c r="U133" s="512"/>
      <c r="V133" s="57"/>
      <c r="W133" s="72"/>
      <c r="X133" s="12" t="s">
        <v>398</v>
      </c>
      <c r="Y133" s="13">
        <v>0.25</v>
      </c>
      <c r="Z133" s="57" t="s">
        <v>3575</v>
      </c>
      <c r="AA133" s="72"/>
      <c r="AD133" s="57"/>
      <c r="AE133" s="208">
        <f>ROUND((ROUND((_15_同援日０．５*_15・基礎２),0)*(1+_15・盲ろう)),0)+ROUND((ROUND((ROUND((_15_同援日０．５＿１．０*_15・基礎２),0)*(1+_15・B夜間)),0)*(1+_15・盲ろう)),0)+ROUND((ROUND((ROUND((_15_同援日０．５＿１．０＿１．０*_15・基礎２),0)*(1+_15・C深夜)),0)*(1+_15・盲ろう)),0)</f>
        <v>777</v>
      </c>
      <c r="AF133" s="48"/>
    </row>
    <row r="134" spans="1:32" ht="16.5" customHeight="1" x14ac:dyDescent="0.15">
      <c r="A134" s="41">
        <v>15</v>
      </c>
      <c r="B134" s="41" t="s">
        <v>22909</v>
      </c>
      <c r="C134" s="74" t="s">
        <v>22910</v>
      </c>
      <c r="D134" s="72"/>
      <c r="F134" s="57"/>
      <c r="G134" s="72"/>
      <c r="I134" s="57"/>
      <c r="J134" s="72"/>
      <c r="L134" s="57"/>
      <c r="M134" s="122" t="s">
        <v>17560</v>
      </c>
      <c r="N134" s="37" t="s">
        <v>398</v>
      </c>
      <c r="O134" s="38">
        <v>0.9</v>
      </c>
      <c r="P134" s="299" t="s">
        <v>17556</v>
      </c>
      <c r="Q134" s="45" t="s">
        <v>398</v>
      </c>
      <c r="R134" s="46">
        <v>1</v>
      </c>
      <c r="S134" s="512"/>
      <c r="T134" s="57"/>
      <c r="U134" s="512"/>
      <c r="V134" s="57"/>
      <c r="W134" s="122"/>
      <c r="X134" s="37"/>
      <c r="Y134" s="38"/>
      <c r="Z134" s="79"/>
      <c r="AA134" s="122"/>
      <c r="AB134" s="37"/>
      <c r="AC134" s="38"/>
      <c r="AD134" s="79"/>
      <c r="AE134" s="208">
        <f>ROUND((ROUND((ROUND((_15_同援日０．５*_15・基礎２),0)*_15・２人),0)*(1+_15・盲ろう)),0)+ROUND((ROUND((ROUND((ROUND((_15_同援日０．５＿１．０*_15・基礎２),0)*_15・２人),0)*(1+_15・B夜間)),0)*(1+_15・盲ろう)),0)+ROUND((ROUND((ROUND((ROUND((_15_同援日０．５＿１．０＿１．０*_15・基礎２),0)*_15・２人),0)*(1+_15・C深夜)),0)*(1+_15・盲ろう)),0)</f>
        <v>777</v>
      </c>
      <c r="AF134" s="48"/>
    </row>
    <row r="135" spans="1:32" ht="16.5" customHeight="1" x14ac:dyDescent="0.15">
      <c r="A135" s="41">
        <v>15</v>
      </c>
      <c r="B135" s="41" t="s">
        <v>22911</v>
      </c>
      <c r="C135" s="74" t="s">
        <v>22912</v>
      </c>
      <c r="D135" s="72"/>
      <c r="F135" s="57"/>
      <c r="G135" s="72"/>
      <c r="I135" s="57"/>
      <c r="J135" s="72"/>
      <c r="L135" s="57"/>
      <c r="M135" s="114"/>
      <c r="N135" s="49"/>
      <c r="O135" s="50"/>
      <c r="P135" s="299"/>
      <c r="Q135" s="45"/>
      <c r="R135" s="46"/>
      <c r="S135" s="512"/>
      <c r="T135" s="57"/>
      <c r="U135" s="512"/>
      <c r="V135" s="57"/>
      <c r="W135" s="114"/>
      <c r="X135" s="49"/>
      <c r="Y135" s="50"/>
      <c r="Z135" s="115"/>
      <c r="AA135" s="114"/>
      <c r="AB135" s="49"/>
      <c r="AC135" s="50"/>
      <c r="AD135" s="115"/>
      <c r="AE135" s="208">
        <f>ROUND((_15_同援日０．５*(1+_15・区３)),0)+ROUND((ROUND((_15_同援日０．５＿１．０*(1+_15・B夜間)),0)*(1+_15・区３)),0)+ROUND((ROUND((_15_同援日０．５＿１．０＿１．０*(1+_15・C深夜)),0)*(1+_15・区３)),0)</f>
        <v>827</v>
      </c>
      <c r="AF135" s="48"/>
    </row>
    <row r="136" spans="1:32" ht="16.5" customHeight="1" x14ac:dyDescent="0.15">
      <c r="A136" s="41">
        <v>15</v>
      </c>
      <c r="B136" s="41" t="s">
        <v>22913</v>
      </c>
      <c r="C136" s="74" t="s">
        <v>22914</v>
      </c>
      <c r="D136" s="72"/>
      <c r="F136" s="57"/>
      <c r="G136" s="72"/>
      <c r="I136" s="57"/>
      <c r="J136" s="72"/>
      <c r="L136" s="57"/>
      <c r="M136" s="122"/>
      <c r="N136" s="37"/>
      <c r="O136" s="38"/>
      <c r="P136" s="299" t="s">
        <v>17556</v>
      </c>
      <c r="Q136" s="45" t="s">
        <v>398</v>
      </c>
      <c r="R136" s="46">
        <v>1</v>
      </c>
      <c r="S136" s="512"/>
      <c r="T136" s="57"/>
      <c r="U136" s="512"/>
      <c r="V136" s="57"/>
      <c r="W136" s="72"/>
      <c r="Z136" s="57"/>
      <c r="AA136" s="72"/>
      <c r="AD136" s="57"/>
      <c r="AE136" s="208">
        <f>ROUND((ROUND((_15_同援日０．５*_15・２人),0)*(1+_15・区３)),0)+ROUND((ROUND((ROUND((_15_同援日０．５＿１．０*_15・２人),0)*(1+_15・B夜間)),0)*(1+_15・区３)),0)+ROUND((ROUND((ROUND((_15_同援日０．５＿１．０＿１．０*_15・２人),0)*(1+_15・C深夜)),0)*(1+_15・区３)),0)</f>
        <v>827</v>
      </c>
      <c r="AF136" s="48"/>
    </row>
    <row r="137" spans="1:32" ht="16.5" customHeight="1" x14ac:dyDescent="0.15">
      <c r="A137" s="41">
        <v>15</v>
      </c>
      <c r="B137" s="41" t="s">
        <v>22915</v>
      </c>
      <c r="C137" s="74" t="s">
        <v>22916</v>
      </c>
      <c r="D137" s="72"/>
      <c r="F137" s="57"/>
      <c r="G137" s="72"/>
      <c r="I137" s="57"/>
      <c r="J137" s="72"/>
      <c r="L137" s="57"/>
      <c r="M137" s="114" t="s">
        <v>17558</v>
      </c>
      <c r="N137" s="49"/>
      <c r="O137" s="50"/>
      <c r="P137" s="299"/>
      <c r="Q137" s="45"/>
      <c r="R137" s="46"/>
      <c r="S137" s="512"/>
      <c r="T137" s="57"/>
      <c r="U137" s="512"/>
      <c r="V137" s="57"/>
      <c r="W137" s="72"/>
      <c r="Z137" s="57"/>
      <c r="AA137" s="72" t="s">
        <v>17570</v>
      </c>
      <c r="AD137" s="57"/>
      <c r="AE137" s="208">
        <f>ROUND((ROUND((_15_同援日０．５*_15・基礎２),0)*(1+_15・区３)),0)+ROUND((ROUND((ROUND((_15_同援日０．５＿１．０*_15・基礎２),0)*(1+_15・B夜間)),0)*(1+_15・区３)),0)+ROUND((ROUND((ROUND((_15_同援日０．５＿１．０＿１．０*_15・基礎２),0)*(1+_15・C深夜)),0)*(1+_15・区３)),0)</f>
        <v>745</v>
      </c>
      <c r="AF137" s="48"/>
    </row>
    <row r="138" spans="1:32" ht="16.5" customHeight="1" x14ac:dyDescent="0.15">
      <c r="A138" s="41">
        <v>15</v>
      </c>
      <c r="B138" s="41" t="s">
        <v>22917</v>
      </c>
      <c r="C138" s="74" t="s">
        <v>22918</v>
      </c>
      <c r="D138" s="72"/>
      <c r="F138" s="57"/>
      <c r="G138" s="72"/>
      <c r="I138" s="57"/>
      <c r="J138" s="72"/>
      <c r="L138" s="57"/>
      <c r="M138" s="122" t="s">
        <v>17560</v>
      </c>
      <c r="N138" s="37" t="s">
        <v>398</v>
      </c>
      <c r="O138" s="38">
        <v>0.9</v>
      </c>
      <c r="P138" s="299" t="s">
        <v>17556</v>
      </c>
      <c r="Q138" s="45" t="s">
        <v>398</v>
      </c>
      <c r="R138" s="46">
        <v>1</v>
      </c>
      <c r="S138" s="512"/>
      <c r="T138" s="57"/>
      <c r="U138" s="512"/>
      <c r="V138" s="57"/>
      <c r="W138" s="122"/>
      <c r="X138" s="37"/>
      <c r="Y138" s="38"/>
      <c r="Z138" s="79"/>
      <c r="AA138" s="72" t="s">
        <v>17572</v>
      </c>
      <c r="AD138" s="57"/>
      <c r="AE138" s="208">
        <f>ROUND((ROUND((ROUND((_15_同援日０．５*_15・基礎２),0)*_15・２人),0)*(1+_15・区３)),0)+ROUND((ROUND((ROUND((ROUND((_15_同援日０．５＿１．０*_15・基礎２),0)*_15・２人),0)*(1+_15・B夜間)),0)*(1+_15・区３)),0)+ROUND((ROUND((ROUND((ROUND((_15_同援日０．５＿１．０＿１．０*_15・基礎２),0)*_15・２人),0)*(1+_15・C深夜)),0)*(1+_15・区３)),0)</f>
        <v>745</v>
      </c>
      <c r="AF138" s="48"/>
    </row>
    <row r="139" spans="1:32" ht="16.5" customHeight="1" x14ac:dyDescent="0.15">
      <c r="A139" s="41">
        <v>15</v>
      </c>
      <c r="B139" s="41" t="s">
        <v>22919</v>
      </c>
      <c r="C139" s="74" t="s">
        <v>22920</v>
      </c>
      <c r="D139" s="72"/>
      <c r="F139" s="57"/>
      <c r="G139" s="72"/>
      <c r="I139" s="57"/>
      <c r="J139" s="72"/>
      <c r="L139" s="57"/>
      <c r="M139" s="114"/>
      <c r="N139" s="49"/>
      <c r="O139" s="50"/>
      <c r="P139" s="299"/>
      <c r="Q139" s="45"/>
      <c r="R139" s="46"/>
      <c r="S139" s="512"/>
      <c r="T139" s="57"/>
      <c r="U139" s="512"/>
      <c r="V139" s="57"/>
      <c r="W139" s="114" t="s">
        <v>17562</v>
      </c>
      <c r="X139" s="49"/>
      <c r="Y139" s="50"/>
      <c r="Z139" s="115"/>
      <c r="AA139" s="72"/>
      <c r="AB139" s="12" t="s">
        <v>398</v>
      </c>
      <c r="AC139" s="13">
        <v>0.2</v>
      </c>
      <c r="AD139" s="57" t="s">
        <v>3575</v>
      </c>
      <c r="AE139" s="208">
        <f>ROUND((ROUND((_15_同援日０．５*(1+_15・盲ろう)),0)*(1+_15・区３)),0)+ROUND((ROUND((ROUND((_15_同援日０．５＿１．０*(1+_15・B夜間)),0)*(1+_15・盲ろう)),0)*(1+_15・区３)),0)+ROUND((ROUND((ROUND((_15_同援日０．５＿１．０＿１．０*(1+_15・C深夜)),0)*(1+_15・盲ろう)),0)*(1+_15・区３)),0)</f>
        <v>1035</v>
      </c>
      <c r="AF139" s="48"/>
    </row>
    <row r="140" spans="1:32" ht="16.5" customHeight="1" x14ac:dyDescent="0.15">
      <c r="A140" s="41">
        <v>15</v>
      </c>
      <c r="B140" s="41" t="s">
        <v>22921</v>
      </c>
      <c r="C140" s="74" t="s">
        <v>22922</v>
      </c>
      <c r="D140" s="72"/>
      <c r="F140" s="57"/>
      <c r="G140" s="72"/>
      <c r="I140" s="57"/>
      <c r="J140" s="72"/>
      <c r="L140" s="57"/>
      <c r="M140" s="122"/>
      <c r="N140" s="37"/>
      <c r="O140" s="38"/>
      <c r="P140" s="299" t="s">
        <v>17556</v>
      </c>
      <c r="Q140" s="45" t="s">
        <v>398</v>
      </c>
      <c r="R140" s="46">
        <v>1</v>
      </c>
      <c r="S140" s="512"/>
      <c r="T140" s="57"/>
      <c r="U140" s="512"/>
      <c r="V140" s="57"/>
      <c r="W140" s="72" t="s">
        <v>17564</v>
      </c>
      <c r="Z140" s="57"/>
      <c r="AA140" s="72"/>
      <c r="AD140" s="57"/>
      <c r="AE140" s="208">
        <f>ROUND((ROUND((ROUND((_15_同援日０．５*_15・２人),0)*(1+_15・盲ろう)),0)*(1+_15・区３)),0)+ROUND((ROUND((ROUND((ROUND((_15_同援日０．５＿１．０*_15・２人),0)*(1+_15・B夜間)),0)*(1+_15・盲ろう)),0)*(1+_15・区３)),0)+ROUND((ROUND((ROUND((ROUND((_15_同援日０．５＿１．０＿１．０*_15・２人),0)*(1+_15・C深夜)),0)*(1+_15・盲ろう)),0)*(1+_15・区３)),0)</f>
        <v>1035</v>
      </c>
      <c r="AF140" s="48"/>
    </row>
    <row r="141" spans="1:32" ht="16.5" customHeight="1" x14ac:dyDescent="0.15">
      <c r="A141" s="41">
        <v>15</v>
      </c>
      <c r="B141" s="41" t="s">
        <v>22923</v>
      </c>
      <c r="C141" s="74" t="s">
        <v>22924</v>
      </c>
      <c r="D141" s="72"/>
      <c r="F141" s="57"/>
      <c r="G141" s="72"/>
      <c r="I141" s="57"/>
      <c r="J141" s="72"/>
      <c r="L141" s="57"/>
      <c r="M141" s="114" t="s">
        <v>17558</v>
      </c>
      <c r="N141" s="49"/>
      <c r="O141" s="50"/>
      <c r="P141" s="299"/>
      <c r="Q141" s="45"/>
      <c r="R141" s="46"/>
      <c r="S141" s="512"/>
      <c r="T141" s="57"/>
      <c r="U141" s="512"/>
      <c r="V141" s="57"/>
      <c r="W141" s="72"/>
      <c r="X141" s="12" t="s">
        <v>398</v>
      </c>
      <c r="Y141" s="13">
        <v>0.25</v>
      </c>
      <c r="Z141" s="57" t="s">
        <v>3575</v>
      </c>
      <c r="AA141" s="72"/>
      <c r="AD141" s="57"/>
      <c r="AE141" s="208">
        <f>ROUND((ROUND((ROUND((_15_同援日０．５*_15・基礎２),0)*(1+_15・盲ろう)),0)*(1+_15・区３)),0)+ROUND((ROUND((ROUND((ROUND((_15_同援日０．５＿１．０*_15・基礎２),0)*(1+_15・B夜間)),0)*(1+_15・盲ろう)),0)*(1+_15・区３)),0)+ROUND((ROUND((ROUND((ROUND((_15_同援日０．５＿１．０＿１．０*_15・基礎２),0)*(1+_15・C深夜)),0)*(1+_15・盲ろう)),0)*(1+_15・区３)),0)</f>
        <v>933</v>
      </c>
      <c r="AF141" s="48"/>
    </row>
    <row r="142" spans="1:32" ht="16.5" customHeight="1" x14ac:dyDescent="0.15">
      <c r="A142" s="41">
        <v>15</v>
      </c>
      <c r="B142" s="41" t="s">
        <v>22925</v>
      </c>
      <c r="C142" s="74" t="s">
        <v>22926</v>
      </c>
      <c r="D142" s="72"/>
      <c r="F142" s="57"/>
      <c r="G142" s="72"/>
      <c r="I142" s="57"/>
      <c r="J142" s="72"/>
      <c r="L142" s="57"/>
      <c r="M142" s="122" t="s">
        <v>17560</v>
      </c>
      <c r="N142" s="37" t="s">
        <v>398</v>
      </c>
      <c r="O142" s="38">
        <v>0.9</v>
      </c>
      <c r="P142" s="299" t="s">
        <v>17556</v>
      </c>
      <c r="Q142" s="45" t="s">
        <v>398</v>
      </c>
      <c r="R142" s="46">
        <v>1</v>
      </c>
      <c r="S142" s="512"/>
      <c r="T142" s="57"/>
      <c r="U142" s="512"/>
      <c r="V142" s="57"/>
      <c r="W142" s="122"/>
      <c r="X142" s="37"/>
      <c r="Y142" s="38"/>
      <c r="Z142" s="79"/>
      <c r="AA142" s="122"/>
      <c r="AB142" s="37"/>
      <c r="AC142" s="38"/>
      <c r="AD142" s="79"/>
      <c r="AE142" s="208">
        <f>ROUND((ROUND((ROUND((ROUND((_15_同援日０．５*_15・基礎２),0)*_15・２人),0)*(1+_15・盲ろう)),0)*(1+_15・区３)),0)+ROUND((ROUND((ROUND((ROUND((ROUND((_15_同援日０．５＿１．０*_15・基礎２),0)*_15・２人),0)*(1+_15・B夜間)),0)*(1+_15・盲ろう)),0)*(1+_15・区３)),0)+ROUND((ROUND((ROUND((ROUND((ROUND((_15_同援日０．５＿１．０＿１．０*_15・基礎２),0)*_15・２人),0)*(1+_15・C深夜)),0)*(1+_15・盲ろう)),0)*(1+_15・区３)),0)</f>
        <v>933</v>
      </c>
      <c r="AF142" s="48"/>
    </row>
    <row r="143" spans="1:32" ht="16.5" customHeight="1" x14ac:dyDescent="0.15">
      <c r="A143" s="41">
        <v>15</v>
      </c>
      <c r="B143" s="41" t="s">
        <v>22927</v>
      </c>
      <c r="C143" s="74" t="s">
        <v>22928</v>
      </c>
      <c r="D143" s="72"/>
      <c r="F143" s="57"/>
      <c r="G143" s="72"/>
      <c r="I143" s="57"/>
      <c r="J143" s="72"/>
      <c r="L143" s="57"/>
      <c r="M143" s="114"/>
      <c r="N143" s="49"/>
      <c r="O143" s="50"/>
      <c r="P143" s="299"/>
      <c r="Q143" s="45"/>
      <c r="R143" s="46"/>
      <c r="S143" s="512"/>
      <c r="T143" s="57"/>
      <c r="U143" s="512"/>
      <c r="V143" s="57"/>
      <c r="W143" s="114"/>
      <c r="X143" s="49"/>
      <c r="Y143" s="50"/>
      <c r="Z143" s="115"/>
      <c r="AA143" s="114"/>
      <c r="AB143" s="49"/>
      <c r="AC143" s="50"/>
      <c r="AD143" s="115"/>
      <c r="AE143" s="208">
        <f>ROUND((_15_同援日０．５*(1+_15・区４)),0)+ROUND((ROUND((_15_同援日０．５＿１．０*(1+_15・B夜間)),0)*(1+_15・区４)),0)+ROUND((ROUND((_15_同援日０．５＿１．０＿１．０*(1+_15・C深夜)),0)*(1+_15・区４)),0)</f>
        <v>965</v>
      </c>
      <c r="AF143" s="48"/>
    </row>
    <row r="144" spans="1:32" ht="16.5" customHeight="1" x14ac:dyDescent="0.15">
      <c r="A144" s="41">
        <v>15</v>
      </c>
      <c r="B144" s="41" t="s">
        <v>22929</v>
      </c>
      <c r="C144" s="74" t="s">
        <v>22930</v>
      </c>
      <c r="D144" s="72"/>
      <c r="F144" s="57"/>
      <c r="G144" s="72"/>
      <c r="I144" s="57"/>
      <c r="J144" s="72"/>
      <c r="L144" s="57"/>
      <c r="M144" s="122"/>
      <c r="N144" s="37"/>
      <c r="O144" s="38"/>
      <c r="P144" s="299" t="s">
        <v>17556</v>
      </c>
      <c r="Q144" s="45" t="s">
        <v>398</v>
      </c>
      <c r="R144" s="46">
        <v>1</v>
      </c>
      <c r="S144" s="512"/>
      <c r="T144" s="57"/>
      <c r="U144" s="512"/>
      <c r="V144" s="57"/>
      <c r="W144" s="72"/>
      <c r="Z144" s="57"/>
      <c r="AA144" s="72"/>
      <c r="AD144" s="57"/>
      <c r="AE144" s="208">
        <f>ROUND((ROUND((_15_同援日０．５*_15・２人),0)*(1+_15・区４)),0)+ROUND((ROUND((ROUND((_15_同援日０．５＿１．０*_15・２人),0)*(1+_15・B夜間)),0)*(1+_15・区４)),0)+ROUND((ROUND((ROUND((_15_同援日０．５＿１．０＿１．０*_15・２人),0)*(1+_15・C深夜)),0)*(1+_15・区４)),0)</f>
        <v>965</v>
      </c>
      <c r="AF144" s="48"/>
    </row>
    <row r="145" spans="1:32" ht="16.5" customHeight="1" x14ac:dyDescent="0.15">
      <c r="A145" s="41">
        <v>15</v>
      </c>
      <c r="B145" s="41" t="s">
        <v>22931</v>
      </c>
      <c r="C145" s="74" t="s">
        <v>22932</v>
      </c>
      <c r="D145" s="72"/>
      <c r="F145" s="57"/>
      <c r="G145" s="72"/>
      <c r="I145" s="57"/>
      <c r="J145" s="72"/>
      <c r="L145" s="57"/>
      <c r="M145" s="114" t="s">
        <v>17558</v>
      </c>
      <c r="N145" s="49"/>
      <c r="O145" s="50"/>
      <c r="P145" s="299"/>
      <c r="Q145" s="45"/>
      <c r="R145" s="46"/>
      <c r="S145" s="512"/>
      <c r="T145" s="57"/>
      <c r="U145" s="512"/>
      <c r="V145" s="57"/>
      <c r="W145" s="72"/>
      <c r="Z145" s="57"/>
      <c r="AA145" s="72" t="s">
        <v>17580</v>
      </c>
      <c r="AD145" s="57"/>
      <c r="AE145" s="208">
        <f>ROUND((ROUND((_15_同援日０．５*_15・基礎２),0)*(1+_15・区４)),0)+ROUND((ROUND((ROUND((_15_同援日０．５＿１．０*_15・基礎２),0)*(1+_15・B夜間)),0)*(1+_15・区４)),0)+ROUND((ROUND((ROUND((_15_同援日０．５＿１．０＿１．０*_15・基礎２),0)*(1+_15・C深夜)),0)*(1+_15・区４)),0)</f>
        <v>869</v>
      </c>
      <c r="AF145" s="48"/>
    </row>
    <row r="146" spans="1:32" ht="16.5" customHeight="1" x14ac:dyDescent="0.15">
      <c r="A146" s="41">
        <v>15</v>
      </c>
      <c r="B146" s="41" t="s">
        <v>22933</v>
      </c>
      <c r="C146" s="74" t="s">
        <v>22934</v>
      </c>
      <c r="D146" s="72"/>
      <c r="F146" s="57"/>
      <c r="G146" s="72"/>
      <c r="I146" s="57"/>
      <c r="J146" s="72"/>
      <c r="L146" s="57"/>
      <c r="M146" s="122" t="s">
        <v>17560</v>
      </c>
      <c r="N146" s="37" t="s">
        <v>398</v>
      </c>
      <c r="O146" s="38">
        <v>0.9</v>
      </c>
      <c r="P146" s="299" t="s">
        <v>17556</v>
      </c>
      <c r="Q146" s="45" t="s">
        <v>398</v>
      </c>
      <c r="R146" s="46">
        <v>1</v>
      </c>
      <c r="S146" s="512"/>
      <c r="T146" s="57"/>
      <c r="U146" s="512"/>
      <c r="V146" s="57"/>
      <c r="W146" s="122"/>
      <c r="X146" s="37"/>
      <c r="Y146" s="38"/>
      <c r="Z146" s="79"/>
      <c r="AA146" s="72" t="s">
        <v>17572</v>
      </c>
      <c r="AD146" s="57"/>
      <c r="AE146" s="208">
        <f>ROUND((ROUND((ROUND((_15_同援日０．５*_15・基礎２),0)*_15・２人),0)*(1+_15・区４)),0)+ROUND((ROUND((ROUND((ROUND((_15_同援日０．５＿１．０*_15・基礎２),0)*_15・２人),0)*(1+_15・B夜間)),0)*(1+_15・区４)),0)+ROUND((ROUND((ROUND((ROUND((_15_同援日０．５＿１．０＿１．０*_15・基礎２),0)*_15・２人),0)*(1+_15・C深夜)),0)*(1+_15・区４)),0)</f>
        <v>869</v>
      </c>
      <c r="AF146" s="48"/>
    </row>
    <row r="147" spans="1:32" ht="16.5" customHeight="1" x14ac:dyDescent="0.15">
      <c r="A147" s="41">
        <v>15</v>
      </c>
      <c r="B147" s="41" t="s">
        <v>22935</v>
      </c>
      <c r="C147" s="74" t="s">
        <v>22936</v>
      </c>
      <c r="D147" s="72"/>
      <c r="F147" s="57"/>
      <c r="G147" s="72"/>
      <c r="I147" s="57"/>
      <c r="J147" s="72"/>
      <c r="L147" s="57"/>
      <c r="M147" s="114"/>
      <c r="N147" s="49"/>
      <c r="O147" s="50"/>
      <c r="P147" s="299"/>
      <c r="Q147" s="45"/>
      <c r="R147" s="46"/>
      <c r="S147" s="512"/>
      <c r="T147" s="57"/>
      <c r="U147" s="512"/>
      <c r="V147" s="57"/>
      <c r="W147" s="114" t="s">
        <v>17562</v>
      </c>
      <c r="X147" s="49"/>
      <c r="Y147" s="50"/>
      <c r="Z147" s="115"/>
      <c r="AA147" s="72"/>
      <c r="AB147" s="12" t="s">
        <v>398</v>
      </c>
      <c r="AC147" s="13">
        <v>0.4</v>
      </c>
      <c r="AD147" s="57" t="s">
        <v>3575</v>
      </c>
      <c r="AE147" s="208">
        <f>ROUND((ROUND((_15_同援日０．５*(1+_15・盲ろう)),0)*(1+_15・区４)),0)+ROUND((ROUND((ROUND((_15_同援日０．５＿１．０*(1+_15・B夜間)),0)*(1+_15・盲ろう)),0)*(1+_15・区４)),0)+ROUND((ROUND((ROUND((_15_同援日０．５＿１．０＿１．０*(1+_15・C深夜)),0)*(1+_15・盲ろう)),0)*(1+_15・区４)),0)</f>
        <v>1207</v>
      </c>
      <c r="AF147" s="48"/>
    </row>
    <row r="148" spans="1:32" ht="16.5" customHeight="1" x14ac:dyDescent="0.15">
      <c r="A148" s="41">
        <v>15</v>
      </c>
      <c r="B148" s="41" t="s">
        <v>22937</v>
      </c>
      <c r="C148" s="74" t="s">
        <v>22938</v>
      </c>
      <c r="D148" s="72"/>
      <c r="F148" s="57"/>
      <c r="G148" s="72"/>
      <c r="I148" s="57"/>
      <c r="J148" s="72"/>
      <c r="L148" s="57"/>
      <c r="M148" s="122"/>
      <c r="N148" s="37"/>
      <c r="O148" s="38"/>
      <c r="P148" s="299" t="s">
        <v>17556</v>
      </c>
      <c r="Q148" s="45" t="s">
        <v>398</v>
      </c>
      <c r="R148" s="46">
        <v>1</v>
      </c>
      <c r="S148" s="512"/>
      <c r="T148" s="57"/>
      <c r="U148" s="512"/>
      <c r="V148" s="57"/>
      <c r="W148" s="72" t="s">
        <v>17564</v>
      </c>
      <c r="Z148" s="57"/>
      <c r="AA148" s="72"/>
      <c r="AD148" s="57"/>
      <c r="AE148" s="208">
        <f>ROUND((ROUND((ROUND((_15_同援日０．５*_15・２人),0)*(1+_15・盲ろう)),0)*(1+_15・区４)),0)+ROUND((ROUND((ROUND((ROUND((_15_同援日０．５＿１．０*_15・２人),0)*(1+_15・B夜間)),0)*(1+_15・盲ろう)),0)*(1+_15・区４)),0)+ROUND((ROUND((ROUND((ROUND((_15_同援日０．５＿１．０＿１．０*_15・２人),0)*(1+_15・C深夜)),0)*(1+_15・盲ろう)),0)*(1+_15・区４)),0)</f>
        <v>1207</v>
      </c>
      <c r="AF148" s="48"/>
    </row>
    <row r="149" spans="1:32" ht="16.5" customHeight="1" x14ac:dyDescent="0.15">
      <c r="A149" s="41">
        <v>15</v>
      </c>
      <c r="B149" s="41" t="s">
        <v>1521</v>
      </c>
      <c r="C149" s="74" t="s">
        <v>22939</v>
      </c>
      <c r="D149" s="72"/>
      <c r="F149" s="57"/>
      <c r="G149" s="72"/>
      <c r="I149" s="57"/>
      <c r="J149" s="72"/>
      <c r="L149" s="57"/>
      <c r="M149" s="114" t="s">
        <v>17558</v>
      </c>
      <c r="N149" s="49"/>
      <c r="O149" s="50"/>
      <c r="P149" s="299"/>
      <c r="Q149" s="45"/>
      <c r="R149" s="46"/>
      <c r="S149" s="512"/>
      <c r="T149" s="57"/>
      <c r="U149" s="512"/>
      <c r="V149" s="57"/>
      <c r="W149" s="72"/>
      <c r="X149" s="12" t="s">
        <v>398</v>
      </c>
      <c r="Y149" s="13">
        <v>0.25</v>
      </c>
      <c r="Z149" s="57" t="s">
        <v>3575</v>
      </c>
      <c r="AA149" s="72"/>
      <c r="AD149" s="57"/>
      <c r="AE149" s="208">
        <f>ROUND((ROUND((ROUND((_15_同援日０．５*_15・基礎２),0)*(1+_15・盲ろう)),0)*(1+_15・区４)),0)+ROUND((ROUND((ROUND((ROUND((_15_同援日０．５＿１．０*_15・基礎２),0)*(1+_15・B夜間)),0)*(1+_15・盲ろう)),0)*(1+_15・区４)),0)+ROUND((ROUND((ROUND((ROUND((_15_同援日０．５＿１．０＿１．０*_15・基礎２),0)*(1+_15・C深夜)),0)*(1+_15・盲ろう)),0)*(1+_15・区４)),0)</f>
        <v>1088</v>
      </c>
      <c r="AF149" s="48"/>
    </row>
    <row r="150" spans="1:32" ht="16.5" customHeight="1" x14ac:dyDescent="0.15">
      <c r="A150" s="41">
        <v>15</v>
      </c>
      <c r="B150" s="41" t="s">
        <v>1523</v>
      </c>
      <c r="C150" s="74" t="s">
        <v>22940</v>
      </c>
      <c r="D150" s="72"/>
      <c r="F150" s="57"/>
      <c r="G150" s="72"/>
      <c r="I150" s="57"/>
      <c r="J150" s="72"/>
      <c r="L150" s="57"/>
      <c r="M150" s="122" t="s">
        <v>17560</v>
      </c>
      <c r="N150" s="37" t="s">
        <v>398</v>
      </c>
      <c r="O150" s="38">
        <v>0.9</v>
      </c>
      <c r="P150" s="299" t="s">
        <v>17556</v>
      </c>
      <c r="Q150" s="45" t="s">
        <v>398</v>
      </c>
      <c r="R150" s="46">
        <v>1</v>
      </c>
      <c r="S150" s="512"/>
      <c r="T150" s="57"/>
      <c r="U150" s="512"/>
      <c r="V150" s="57"/>
      <c r="W150" s="122"/>
      <c r="X150" s="37"/>
      <c r="Y150" s="38"/>
      <c r="Z150" s="79"/>
      <c r="AA150" s="122"/>
      <c r="AB150" s="37"/>
      <c r="AC150" s="38"/>
      <c r="AD150" s="79"/>
      <c r="AE150" s="208">
        <f>ROUND((ROUND((ROUND((ROUND((_15_同援日０．５*_15・基礎２),0)*_15・２人),0)*(1+_15・盲ろう)),0)*(1+_15・区４)),0)+ROUND((ROUND((ROUND((ROUND((ROUND((_15_同援日０．５＿１．０*_15・基礎２),0)*_15・２人),0)*(1+_15・B夜間)),0)*(1+_15・盲ろう)),0)*(1+_15・区４)),0)+ROUND((ROUND((ROUND((ROUND((ROUND((_15_同援日０．５＿１．０＿１．０*_15・基礎２),0)*_15・２人),0)*(1+_15・C深夜)),0)*(1+_15・盲ろう)),0)*(1+_15・区４)),0)</f>
        <v>1088</v>
      </c>
      <c r="AF150" s="48"/>
    </row>
    <row r="151" spans="1:32" ht="16.5" customHeight="1" x14ac:dyDescent="0.15">
      <c r="A151" s="41">
        <v>15</v>
      </c>
      <c r="B151" s="41" t="s">
        <v>1525</v>
      </c>
      <c r="C151" s="74" t="s">
        <v>22941</v>
      </c>
      <c r="D151" s="72"/>
      <c r="F151" s="57"/>
      <c r="G151" s="72"/>
      <c r="I151" s="57"/>
      <c r="J151" s="114" t="s">
        <v>22767</v>
      </c>
      <c r="K151" s="49"/>
      <c r="L151" s="115"/>
      <c r="M151" s="114"/>
      <c r="N151" s="49"/>
      <c r="O151" s="50"/>
      <c r="P151" s="299"/>
      <c r="Q151" s="45"/>
      <c r="R151" s="46"/>
      <c r="S151" s="512"/>
      <c r="T151" s="57"/>
      <c r="U151" s="512"/>
      <c r="V151" s="57"/>
      <c r="W151" s="114"/>
      <c r="X151" s="49"/>
      <c r="Y151" s="50"/>
      <c r="Z151" s="115"/>
      <c r="AA151" s="114"/>
      <c r="AB151" s="49"/>
      <c r="AC151" s="50"/>
      <c r="AD151" s="115"/>
      <c r="AE151" s="208">
        <f>_15_同援日０．５+ROUND((_15_同援日０．５＿１．０*(1+_15・B夜間)),0)+ROUND((_15_同援日０．５＿１．０＿１．５*(1+_15・C深夜)),0)</f>
        <v>787</v>
      </c>
      <c r="AF151" s="48"/>
    </row>
    <row r="152" spans="1:32" ht="16.5" customHeight="1" x14ac:dyDescent="0.15">
      <c r="A152" s="41">
        <v>15</v>
      </c>
      <c r="B152" s="41" t="s">
        <v>1527</v>
      </c>
      <c r="C152" s="74" t="s">
        <v>22942</v>
      </c>
      <c r="D152" s="72"/>
      <c r="F152" s="57"/>
      <c r="G152" s="72"/>
      <c r="I152" s="57"/>
      <c r="J152" s="72" t="s">
        <v>17616</v>
      </c>
      <c r="L152" s="57"/>
      <c r="M152" s="122"/>
      <c r="N152" s="37"/>
      <c r="O152" s="38"/>
      <c r="P152" s="299" t="s">
        <v>17556</v>
      </c>
      <c r="Q152" s="45" t="s">
        <v>398</v>
      </c>
      <c r="R152" s="46">
        <v>1</v>
      </c>
      <c r="S152" s="512"/>
      <c r="T152" s="57"/>
      <c r="U152" s="512"/>
      <c r="V152" s="57"/>
      <c r="W152" s="72"/>
      <c r="Z152" s="57"/>
      <c r="AA152" s="72"/>
      <c r="AD152" s="57"/>
      <c r="AE152" s="208">
        <f>ROUND((_15_同援日０．５*_15・２人),0)+ROUND((ROUND((_15_同援日０．５＿１．０*_15・２人),0)*(1+_15・B夜間)),0)+ROUND((ROUND((_15_同援日０．５＿１．０＿１．５*_15・２人),0)*(1+_15・C深夜)),0)</f>
        <v>787</v>
      </c>
      <c r="AF152" s="48"/>
    </row>
    <row r="153" spans="1:32" ht="16.5" customHeight="1" x14ac:dyDescent="0.15">
      <c r="A153" s="41">
        <v>15</v>
      </c>
      <c r="B153" s="41" t="s">
        <v>22943</v>
      </c>
      <c r="C153" s="74" t="s">
        <v>22944</v>
      </c>
      <c r="D153" s="72"/>
      <c r="F153" s="57"/>
      <c r="G153" s="72"/>
      <c r="I153" s="57"/>
      <c r="J153" s="72" t="s">
        <v>18183</v>
      </c>
      <c r="L153" s="57"/>
      <c r="M153" s="114" t="s">
        <v>17558</v>
      </c>
      <c r="N153" s="49"/>
      <c r="O153" s="50"/>
      <c r="P153" s="299"/>
      <c r="Q153" s="45"/>
      <c r="R153" s="46"/>
      <c r="S153" s="512"/>
      <c r="T153" s="57"/>
      <c r="U153" s="512"/>
      <c r="V153" s="57"/>
      <c r="W153" s="72"/>
      <c r="Z153" s="57"/>
      <c r="AA153" s="72"/>
      <c r="AD153" s="57"/>
      <c r="AE153" s="208">
        <f>ROUND((_15_同援日０．５*_15・基礎２),0)+ROUND((ROUND((_15_同援日０．５＿１．０*_15・基礎２),0)*(1+_15・B夜間)),0)+ROUND((ROUND((_15_同援日０．５＿１．０＿１．５*_15・基礎２),0)*(1+_15・C深夜)),0)</f>
        <v>709</v>
      </c>
      <c r="AF153" s="48"/>
    </row>
    <row r="154" spans="1:32" ht="16.5" customHeight="1" x14ac:dyDescent="0.15">
      <c r="A154" s="41">
        <v>15</v>
      </c>
      <c r="B154" s="41" t="s">
        <v>22945</v>
      </c>
      <c r="C154" s="74" t="s">
        <v>22946</v>
      </c>
      <c r="D154" s="72"/>
      <c r="F154" s="57"/>
      <c r="G154" s="72"/>
      <c r="I154" s="57"/>
      <c r="J154" s="72"/>
      <c r="K154" s="168">
        <f>_15_同援日０．５＿１．０＿１．５</f>
        <v>195</v>
      </c>
      <c r="L154" s="57" t="s">
        <v>392</v>
      </c>
      <c r="M154" s="122" t="s">
        <v>17560</v>
      </c>
      <c r="N154" s="37" t="s">
        <v>398</v>
      </c>
      <c r="O154" s="38">
        <v>0.9</v>
      </c>
      <c r="P154" s="299" t="s">
        <v>17556</v>
      </c>
      <c r="Q154" s="45" t="s">
        <v>398</v>
      </c>
      <c r="R154" s="46">
        <v>1</v>
      </c>
      <c r="S154" s="512"/>
      <c r="T154" s="57"/>
      <c r="U154" s="512"/>
      <c r="V154" s="57"/>
      <c r="W154" s="122"/>
      <c r="X154" s="37"/>
      <c r="Y154" s="38"/>
      <c r="Z154" s="79"/>
      <c r="AA154" s="72"/>
      <c r="AD154" s="57"/>
      <c r="AE154" s="208">
        <f>ROUND((ROUND((_15_同援日０．５*_15・基礎２),0)*_15・２人),0)+ROUND((ROUND((ROUND((_15_同援日０．５＿１．０*_15・基礎２),0)*_15・２人),0)*(1+_15・B夜間)),0)+ROUND((ROUND((ROUND((_15_同援日０．５＿１．０＿１．５*_15・基礎２),0)*_15・２人),0)*(1+_15・C深夜)),0)</f>
        <v>709</v>
      </c>
      <c r="AF154" s="48"/>
    </row>
    <row r="155" spans="1:32" ht="16.5" customHeight="1" x14ac:dyDescent="0.15">
      <c r="A155" s="41">
        <v>15</v>
      </c>
      <c r="B155" s="41" t="s">
        <v>22947</v>
      </c>
      <c r="C155" s="74" t="s">
        <v>22948</v>
      </c>
      <c r="D155" s="72"/>
      <c r="F155" s="57"/>
      <c r="G155" s="72"/>
      <c r="I155" s="57"/>
      <c r="J155" s="72"/>
      <c r="L155" s="57"/>
      <c r="M155" s="114"/>
      <c r="N155" s="49"/>
      <c r="O155" s="50"/>
      <c r="P155" s="299"/>
      <c r="Q155" s="45"/>
      <c r="R155" s="46"/>
      <c r="S155" s="512"/>
      <c r="T155" s="57"/>
      <c r="U155" s="512"/>
      <c r="V155" s="57"/>
      <c r="W155" s="114" t="s">
        <v>17562</v>
      </c>
      <c r="X155" s="49"/>
      <c r="Y155" s="50"/>
      <c r="Z155" s="115"/>
      <c r="AA155" s="72"/>
      <c r="AD155" s="57"/>
      <c r="AE155" s="208">
        <f>ROUND((_15_同援日０．５*(1+_15・盲ろう)),0)+ROUND((ROUND((_15_同援日０．５＿１．０*(1+_15・B夜間)),0)*(1+_15・盲ろう)),0)+ROUND((ROUND((_15_同援日０．５＿１．０＿１．５*(1+_15・C深夜)),0)*(1+_15・盲ろう)),0)</f>
        <v>984</v>
      </c>
      <c r="AF155" s="48"/>
    </row>
    <row r="156" spans="1:32" ht="16.5" customHeight="1" x14ac:dyDescent="0.15">
      <c r="A156" s="41">
        <v>15</v>
      </c>
      <c r="B156" s="41" t="s">
        <v>22949</v>
      </c>
      <c r="C156" s="74" t="s">
        <v>22950</v>
      </c>
      <c r="D156" s="72"/>
      <c r="F156" s="57"/>
      <c r="G156" s="72"/>
      <c r="I156" s="57"/>
      <c r="J156" s="72"/>
      <c r="L156" s="57"/>
      <c r="M156" s="122"/>
      <c r="N156" s="37"/>
      <c r="O156" s="38"/>
      <c r="P156" s="299" t="s">
        <v>17556</v>
      </c>
      <c r="Q156" s="45" t="s">
        <v>398</v>
      </c>
      <c r="R156" s="46">
        <v>1</v>
      </c>
      <c r="S156" s="512"/>
      <c r="T156" s="57"/>
      <c r="U156" s="512"/>
      <c r="V156" s="57"/>
      <c r="W156" s="72" t="s">
        <v>17564</v>
      </c>
      <c r="Z156" s="57"/>
      <c r="AA156" s="72"/>
      <c r="AD156" s="57"/>
      <c r="AE156" s="208">
        <f>ROUND((ROUND((_15_同援日０．５*_15・２人),0)*(1+_15・盲ろう)),0)+ROUND((ROUND((ROUND((_15_同援日０．５＿１．０*_15・２人),0)*(1+_15・B夜間)),0)*(1+_15・盲ろう)),0)+ROUND((ROUND((ROUND((_15_同援日０．５＿１．０＿１．５*_15・２人),0)*(1+_15・C深夜)),0)*(1+_15・盲ろう)),0)</f>
        <v>984</v>
      </c>
      <c r="AF156" s="48"/>
    </row>
    <row r="157" spans="1:32" ht="16.5" customHeight="1" x14ac:dyDescent="0.15">
      <c r="A157" s="41">
        <v>15</v>
      </c>
      <c r="B157" s="41" t="s">
        <v>22951</v>
      </c>
      <c r="C157" s="74" t="s">
        <v>22952</v>
      </c>
      <c r="D157" s="72"/>
      <c r="F157" s="57"/>
      <c r="G157" s="72"/>
      <c r="I157" s="57"/>
      <c r="J157" s="72"/>
      <c r="L157" s="57"/>
      <c r="M157" s="114" t="s">
        <v>17558</v>
      </c>
      <c r="N157" s="49"/>
      <c r="O157" s="50"/>
      <c r="P157" s="299"/>
      <c r="Q157" s="45"/>
      <c r="R157" s="46"/>
      <c r="S157" s="512"/>
      <c r="T157" s="57"/>
      <c r="U157" s="512"/>
      <c r="V157" s="57"/>
      <c r="W157" s="72"/>
      <c r="X157" s="12" t="s">
        <v>398</v>
      </c>
      <c r="Y157" s="13">
        <v>0.25</v>
      </c>
      <c r="Z157" s="57" t="s">
        <v>3575</v>
      </c>
      <c r="AA157" s="72"/>
      <c r="AD157" s="57"/>
      <c r="AE157" s="208">
        <f>ROUND((ROUND((_15_同援日０．５*_15・基礎２),0)*(1+_15・盲ろう)),0)+ROUND((ROUND((ROUND((_15_同援日０．５＿１．０*_15・基礎２),0)*(1+_15・B夜間)),0)*(1+_15・盲ろう)),0)+ROUND((ROUND((ROUND((_15_同援日０．５＿１．０＿１．５*_15・基礎２),0)*(1+_15・C深夜)),0)*(1+_15・盲ろう)),0)</f>
        <v>887</v>
      </c>
      <c r="AF157" s="48"/>
    </row>
    <row r="158" spans="1:32" ht="16.5" customHeight="1" x14ac:dyDescent="0.15">
      <c r="A158" s="41">
        <v>15</v>
      </c>
      <c r="B158" s="41" t="s">
        <v>22953</v>
      </c>
      <c r="C158" s="74" t="s">
        <v>22954</v>
      </c>
      <c r="D158" s="72"/>
      <c r="F158" s="57"/>
      <c r="G158" s="72"/>
      <c r="I158" s="57"/>
      <c r="J158" s="72"/>
      <c r="L158" s="57"/>
      <c r="M158" s="122" t="s">
        <v>17560</v>
      </c>
      <c r="N158" s="37" t="s">
        <v>398</v>
      </c>
      <c r="O158" s="38">
        <v>0.9</v>
      </c>
      <c r="P158" s="299" t="s">
        <v>17556</v>
      </c>
      <c r="Q158" s="45" t="s">
        <v>398</v>
      </c>
      <c r="R158" s="46">
        <v>1</v>
      </c>
      <c r="S158" s="512"/>
      <c r="T158" s="57"/>
      <c r="U158" s="512"/>
      <c r="V158" s="57"/>
      <c r="W158" s="122"/>
      <c r="X158" s="37"/>
      <c r="Y158" s="38"/>
      <c r="Z158" s="79"/>
      <c r="AA158" s="122"/>
      <c r="AB158" s="37"/>
      <c r="AC158" s="38"/>
      <c r="AD158" s="79"/>
      <c r="AE158" s="208">
        <f>ROUND((ROUND((ROUND((_15_同援日０．５*_15・基礎２),0)*_15・２人),0)*(1+_15・盲ろう)),0)+ROUND((ROUND((ROUND((ROUND((_15_同援日０．５＿１．０*_15・基礎２),0)*_15・２人),0)*(1+_15・B夜間)),0)*(1+_15・盲ろう)),0)+ROUND((ROUND((ROUND((ROUND((_15_同援日０．５＿１．０＿１．５*_15・基礎２),0)*_15・２人),0)*(1+_15・C深夜)),0)*(1+_15・盲ろう)),0)</f>
        <v>887</v>
      </c>
      <c r="AF158" s="48"/>
    </row>
    <row r="159" spans="1:32" ht="16.5" customHeight="1" x14ac:dyDescent="0.15">
      <c r="A159" s="41">
        <v>15</v>
      </c>
      <c r="B159" s="41" t="s">
        <v>22955</v>
      </c>
      <c r="C159" s="74" t="s">
        <v>22956</v>
      </c>
      <c r="D159" s="72"/>
      <c r="F159" s="57"/>
      <c r="G159" s="72"/>
      <c r="I159" s="57"/>
      <c r="J159" s="72"/>
      <c r="L159" s="57"/>
      <c r="M159" s="114"/>
      <c r="N159" s="49"/>
      <c r="O159" s="50"/>
      <c r="P159" s="299"/>
      <c r="Q159" s="45"/>
      <c r="R159" s="46"/>
      <c r="S159" s="512"/>
      <c r="T159" s="57"/>
      <c r="U159" s="512"/>
      <c r="V159" s="57"/>
      <c r="W159" s="114"/>
      <c r="X159" s="49"/>
      <c r="Y159" s="50"/>
      <c r="Z159" s="115"/>
      <c r="AA159" s="114"/>
      <c r="AB159" s="49"/>
      <c r="AC159" s="50"/>
      <c r="AD159" s="115"/>
      <c r="AE159" s="208">
        <f>ROUND((_15_同援日０．５*(1+_15・区３)),0)+ROUND((ROUND((_15_同援日０．５＿１．０*(1+_15・B夜間)),0)*(1+_15・区３)),0)+ROUND((ROUND((_15_同援日０．５＿１．０＿１．５*(1+_15・C深夜)),0)*(1+_15・区３)),0)</f>
        <v>945</v>
      </c>
      <c r="AF159" s="48"/>
    </row>
    <row r="160" spans="1:32" ht="16.5" customHeight="1" x14ac:dyDescent="0.15">
      <c r="A160" s="41">
        <v>15</v>
      </c>
      <c r="B160" s="41" t="s">
        <v>22957</v>
      </c>
      <c r="C160" s="74" t="s">
        <v>22958</v>
      </c>
      <c r="D160" s="72"/>
      <c r="F160" s="57"/>
      <c r="G160" s="72"/>
      <c r="I160" s="57"/>
      <c r="J160" s="72"/>
      <c r="L160" s="57"/>
      <c r="M160" s="122"/>
      <c r="N160" s="37"/>
      <c r="O160" s="38"/>
      <c r="P160" s="299" t="s">
        <v>17556</v>
      </c>
      <c r="Q160" s="45" t="s">
        <v>398</v>
      </c>
      <c r="R160" s="46">
        <v>1</v>
      </c>
      <c r="S160" s="512"/>
      <c r="T160" s="57"/>
      <c r="U160" s="512"/>
      <c r="V160" s="57"/>
      <c r="W160" s="72"/>
      <c r="Z160" s="57"/>
      <c r="AA160" s="72"/>
      <c r="AD160" s="57"/>
      <c r="AE160" s="208">
        <f>ROUND((ROUND((_15_同援日０．５*_15・２人),0)*(1+_15・区３)),0)+ROUND((ROUND((ROUND((_15_同援日０．５＿１．０*_15・２人),0)*(1+_15・B夜間)),0)*(1+_15・区３)),0)+ROUND((ROUND((ROUND((_15_同援日０．５＿１．０＿１．５*_15・２人),0)*(1+_15・C深夜)),0)*(1+_15・区３)),0)</f>
        <v>945</v>
      </c>
      <c r="AF160" s="48"/>
    </row>
    <row r="161" spans="1:32" ht="16.5" customHeight="1" x14ac:dyDescent="0.15">
      <c r="A161" s="41">
        <v>15</v>
      </c>
      <c r="B161" s="41" t="s">
        <v>22959</v>
      </c>
      <c r="C161" s="74" t="s">
        <v>22960</v>
      </c>
      <c r="D161" s="72"/>
      <c r="F161" s="57"/>
      <c r="G161" s="72"/>
      <c r="I161" s="57"/>
      <c r="J161" s="72"/>
      <c r="L161" s="57"/>
      <c r="M161" s="114" t="s">
        <v>17558</v>
      </c>
      <c r="N161" s="49"/>
      <c r="O161" s="50"/>
      <c r="P161" s="299"/>
      <c r="Q161" s="45"/>
      <c r="R161" s="46"/>
      <c r="S161" s="512"/>
      <c r="T161" s="57"/>
      <c r="U161" s="512"/>
      <c r="V161" s="57"/>
      <c r="W161" s="72"/>
      <c r="Z161" s="57"/>
      <c r="AA161" s="72" t="s">
        <v>17570</v>
      </c>
      <c r="AD161" s="57"/>
      <c r="AE161" s="208">
        <f>ROUND((ROUND((_15_同援日０．５*_15・基礎２),0)*(1+_15・区３)),0)+ROUND((ROUND((ROUND((_15_同援日０．５＿１．０*_15・基礎２),0)*(1+_15・B夜間)),0)*(1+_15・区３)),0)+ROUND((ROUND((ROUND((_15_同援日０．５＿１．０＿１．５*_15・基礎２),0)*(1+_15・C深夜)),0)*(1+_15・区３)),0)</f>
        <v>851</v>
      </c>
      <c r="AF161" s="48"/>
    </row>
    <row r="162" spans="1:32" ht="16.5" customHeight="1" x14ac:dyDescent="0.15">
      <c r="A162" s="41">
        <v>15</v>
      </c>
      <c r="B162" s="41" t="s">
        <v>22961</v>
      </c>
      <c r="C162" s="74" t="s">
        <v>22962</v>
      </c>
      <c r="D162" s="72"/>
      <c r="F162" s="57"/>
      <c r="G162" s="72"/>
      <c r="I162" s="57"/>
      <c r="J162" s="72"/>
      <c r="L162" s="57"/>
      <c r="M162" s="122" t="s">
        <v>17560</v>
      </c>
      <c r="N162" s="37" t="s">
        <v>398</v>
      </c>
      <c r="O162" s="38">
        <v>0.9</v>
      </c>
      <c r="P162" s="299" t="s">
        <v>17556</v>
      </c>
      <c r="Q162" s="45" t="s">
        <v>398</v>
      </c>
      <c r="R162" s="46">
        <v>1</v>
      </c>
      <c r="S162" s="512"/>
      <c r="T162" s="57"/>
      <c r="U162" s="512"/>
      <c r="V162" s="57"/>
      <c r="W162" s="122"/>
      <c r="X162" s="37"/>
      <c r="Y162" s="38"/>
      <c r="Z162" s="79"/>
      <c r="AA162" s="72" t="s">
        <v>17572</v>
      </c>
      <c r="AD162" s="57"/>
      <c r="AE162" s="208">
        <f>ROUND((ROUND((ROUND((_15_同援日０．５*_15・基礎２),0)*_15・２人),0)*(1+_15・区３)),0)+ROUND((ROUND((ROUND((ROUND((_15_同援日０．５＿１．０*_15・基礎２),0)*_15・２人),0)*(1+_15・B夜間)),0)*(1+_15・区３)),0)+ROUND((ROUND((ROUND((ROUND((_15_同援日０．５＿１．０＿１．５*_15・基礎２),0)*_15・２人),0)*(1+_15・C深夜)),0)*(1+_15・区３)),0)</f>
        <v>851</v>
      </c>
      <c r="AF162" s="48"/>
    </row>
    <row r="163" spans="1:32" ht="16.5" customHeight="1" x14ac:dyDescent="0.15">
      <c r="A163" s="41">
        <v>15</v>
      </c>
      <c r="B163" s="41" t="s">
        <v>22963</v>
      </c>
      <c r="C163" s="74" t="s">
        <v>22964</v>
      </c>
      <c r="D163" s="72"/>
      <c r="F163" s="57"/>
      <c r="G163" s="72"/>
      <c r="I163" s="57"/>
      <c r="J163" s="72"/>
      <c r="L163" s="57"/>
      <c r="M163" s="114"/>
      <c r="N163" s="49"/>
      <c r="O163" s="50"/>
      <c r="P163" s="299"/>
      <c r="Q163" s="45"/>
      <c r="R163" s="46"/>
      <c r="S163" s="512"/>
      <c r="T163" s="57"/>
      <c r="U163" s="512"/>
      <c r="V163" s="57"/>
      <c r="W163" s="114" t="s">
        <v>17562</v>
      </c>
      <c r="X163" s="49"/>
      <c r="Y163" s="50"/>
      <c r="Z163" s="115"/>
      <c r="AA163" s="72"/>
      <c r="AB163" s="12" t="s">
        <v>398</v>
      </c>
      <c r="AC163" s="13">
        <v>0.2</v>
      </c>
      <c r="AD163" s="57" t="s">
        <v>3575</v>
      </c>
      <c r="AE163" s="208">
        <f>ROUND((ROUND((_15_同援日０．５*(1+_15・盲ろう)),0)*(1+_15・区３)),0)+ROUND((ROUND((ROUND((_15_同援日０．５＿１．０*(1+_15・B夜間)),0)*(1+_15・盲ろう)),0)*(1+_15・区３)),0)+ROUND((ROUND((ROUND((_15_同援日０．５＿１．０＿１．５*(1+_15・C深夜)),0)*(1+_15・盲ろう)),0)*(1+_15・区３)),0)</f>
        <v>1181</v>
      </c>
      <c r="AF163" s="48"/>
    </row>
    <row r="164" spans="1:32" ht="16.5" customHeight="1" x14ac:dyDescent="0.15">
      <c r="A164" s="41">
        <v>15</v>
      </c>
      <c r="B164" s="41" t="s">
        <v>22965</v>
      </c>
      <c r="C164" s="74" t="s">
        <v>22966</v>
      </c>
      <c r="D164" s="72"/>
      <c r="F164" s="57"/>
      <c r="G164" s="72"/>
      <c r="I164" s="57"/>
      <c r="J164" s="72"/>
      <c r="L164" s="57"/>
      <c r="M164" s="122"/>
      <c r="N164" s="37"/>
      <c r="O164" s="38"/>
      <c r="P164" s="299" t="s">
        <v>17556</v>
      </c>
      <c r="Q164" s="45" t="s">
        <v>398</v>
      </c>
      <c r="R164" s="46">
        <v>1</v>
      </c>
      <c r="S164" s="512"/>
      <c r="T164" s="57"/>
      <c r="U164" s="512"/>
      <c r="V164" s="57"/>
      <c r="W164" s="72" t="s">
        <v>17564</v>
      </c>
      <c r="Z164" s="57"/>
      <c r="AA164" s="72"/>
      <c r="AD164" s="57"/>
      <c r="AE164" s="208">
        <f>ROUND((ROUND((ROUND((_15_同援日０．５*_15・２人),0)*(1+_15・盲ろう)),0)*(1+_15・区３)),0)+ROUND((ROUND((ROUND((ROUND((_15_同援日０．５＿１．０*_15・２人),0)*(1+_15・B夜間)),0)*(1+_15・盲ろう)),0)*(1+_15・区３)),0)+ROUND((ROUND((ROUND((ROUND((_15_同援日０．５＿１．０＿１．５*_15・２人),0)*(1+_15・C深夜)),0)*(1+_15・盲ろう)),0)*(1+_15・区３)),0)</f>
        <v>1181</v>
      </c>
      <c r="AF164" s="48"/>
    </row>
    <row r="165" spans="1:32" ht="16.5" customHeight="1" x14ac:dyDescent="0.15">
      <c r="A165" s="41">
        <v>15</v>
      </c>
      <c r="B165" s="41" t="s">
        <v>22967</v>
      </c>
      <c r="C165" s="74" t="s">
        <v>22968</v>
      </c>
      <c r="D165" s="72"/>
      <c r="F165" s="57"/>
      <c r="G165" s="72"/>
      <c r="I165" s="57"/>
      <c r="J165" s="72"/>
      <c r="L165" s="57"/>
      <c r="M165" s="114" t="s">
        <v>17558</v>
      </c>
      <c r="N165" s="49"/>
      <c r="O165" s="50"/>
      <c r="P165" s="299"/>
      <c r="Q165" s="45"/>
      <c r="R165" s="46"/>
      <c r="S165" s="512"/>
      <c r="T165" s="57"/>
      <c r="U165" s="512"/>
      <c r="V165" s="57"/>
      <c r="W165" s="72"/>
      <c r="X165" s="12" t="s">
        <v>398</v>
      </c>
      <c r="Y165" s="13">
        <v>0.25</v>
      </c>
      <c r="Z165" s="57" t="s">
        <v>3575</v>
      </c>
      <c r="AA165" s="72"/>
      <c r="AD165" s="57"/>
      <c r="AE165" s="208">
        <f>ROUND((ROUND((ROUND((_15_同援日０．５*_15・基礎２),0)*(1+_15・盲ろう)),0)*(1+_15・区３)),0)+ROUND((ROUND((ROUND((ROUND((_15_同援日０．５＿１．０*_15・基礎２),0)*(1+_15・B夜間)),0)*(1+_15・盲ろう)),0)*(1+_15・区３)),0)+ROUND((ROUND((ROUND((ROUND((_15_同援日０．５＿１．０＿１．５*_15・基礎２),0)*(1+_15・C深夜)),0)*(1+_15・盲ろう)),0)*(1+_15・区３)),0)</f>
        <v>1065</v>
      </c>
      <c r="AF165" s="48"/>
    </row>
    <row r="166" spans="1:32" ht="16.5" customHeight="1" x14ac:dyDescent="0.15">
      <c r="A166" s="41">
        <v>15</v>
      </c>
      <c r="B166" s="41" t="s">
        <v>22969</v>
      </c>
      <c r="C166" s="74" t="s">
        <v>22970</v>
      </c>
      <c r="D166" s="72"/>
      <c r="F166" s="57"/>
      <c r="G166" s="72"/>
      <c r="I166" s="57"/>
      <c r="J166" s="72"/>
      <c r="L166" s="57"/>
      <c r="M166" s="122" t="s">
        <v>17560</v>
      </c>
      <c r="N166" s="37" t="s">
        <v>398</v>
      </c>
      <c r="O166" s="38">
        <v>0.9</v>
      </c>
      <c r="P166" s="299" t="s">
        <v>17556</v>
      </c>
      <c r="Q166" s="45" t="s">
        <v>398</v>
      </c>
      <c r="R166" s="46">
        <v>1</v>
      </c>
      <c r="S166" s="512"/>
      <c r="T166" s="57"/>
      <c r="U166" s="512"/>
      <c r="V166" s="57"/>
      <c r="W166" s="122"/>
      <c r="X166" s="37"/>
      <c r="Y166" s="38"/>
      <c r="Z166" s="79"/>
      <c r="AA166" s="122"/>
      <c r="AB166" s="37"/>
      <c r="AC166" s="38"/>
      <c r="AD166" s="79"/>
      <c r="AE166" s="208">
        <f>ROUND((ROUND((ROUND((ROUND((_15_同援日０．５*_15・基礎２),0)*_15・２人),0)*(1+_15・盲ろう)),0)*(1+_15・区３)),0)+ROUND((ROUND((ROUND((ROUND((ROUND((_15_同援日０．５＿１．０*_15・基礎２),0)*_15・２人),0)*(1+_15・B夜間)),0)*(1+_15・盲ろう)),0)*(1+_15・区３)),0)+ROUND((ROUND((ROUND((ROUND((ROUND((_15_同援日０．５＿１．０＿１．５*_15・基礎２),0)*_15・２人),0)*(1+_15・C深夜)),0)*(1+_15・盲ろう)),0)*(1+_15・区３)),0)</f>
        <v>1065</v>
      </c>
      <c r="AF166" s="48"/>
    </row>
    <row r="167" spans="1:32" ht="16.5" customHeight="1" x14ac:dyDescent="0.15">
      <c r="A167" s="41">
        <v>15</v>
      </c>
      <c r="B167" s="41" t="s">
        <v>22971</v>
      </c>
      <c r="C167" s="74" t="s">
        <v>22972</v>
      </c>
      <c r="D167" s="72"/>
      <c r="F167" s="57"/>
      <c r="G167" s="72"/>
      <c r="I167" s="57"/>
      <c r="J167" s="72"/>
      <c r="L167" s="57"/>
      <c r="M167" s="114"/>
      <c r="N167" s="49"/>
      <c r="O167" s="50"/>
      <c r="P167" s="299"/>
      <c r="Q167" s="45"/>
      <c r="R167" s="46"/>
      <c r="S167" s="512"/>
      <c r="T167" s="57"/>
      <c r="U167" s="512"/>
      <c r="V167" s="57"/>
      <c r="W167" s="114"/>
      <c r="X167" s="49"/>
      <c r="Y167" s="50"/>
      <c r="Z167" s="115"/>
      <c r="AA167" s="114"/>
      <c r="AB167" s="49"/>
      <c r="AC167" s="50"/>
      <c r="AD167" s="115"/>
      <c r="AE167" s="208">
        <f>ROUND((_15_同援日０．５*(1+_15・区４)),0)+ROUND((ROUND((_15_同援日０．５＿１．０*(1+_15・B夜間)),0)*(1+_15・区４)),0)+ROUND((ROUND((_15_同援日０．５＿１．０＿１．５*(1+_15・C深夜)),0)*(1+_15・区４)),0)</f>
        <v>1102</v>
      </c>
      <c r="AF167" s="48"/>
    </row>
    <row r="168" spans="1:32" ht="16.5" customHeight="1" x14ac:dyDescent="0.15">
      <c r="A168" s="41">
        <v>15</v>
      </c>
      <c r="B168" s="41" t="s">
        <v>22973</v>
      </c>
      <c r="C168" s="74" t="s">
        <v>22974</v>
      </c>
      <c r="D168" s="72"/>
      <c r="F168" s="57"/>
      <c r="G168" s="72"/>
      <c r="I168" s="57"/>
      <c r="J168" s="72"/>
      <c r="L168" s="57"/>
      <c r="M168" s="122"/>
      <c r="N168" s="37"/>
      <c r="O168" s="38"/>
      <c r="P168" s="299" t="s">
        <v>17556</v>
      </c>
      <c r="Q168" s="45" t="s">
        <v>398</v>
      </c>
      <c r="R168" s="46">
        <v>1</v>
      </c>
      <c r="S168" s="512"/>
      <c r="T168" s="57"/>
      <c r="U168" s="512"/>
      <c r="V168" s="57"/>
      <c r="W168" s="72"/>
      <c r="Z168" s="57"/>
      <c r="AA168" s="72"/>
      <c r="AD168" s="57"/>
      <c r="AE168" s="208">
        <f>ROUND((ROUND((_15_同援日０．５*_15・２人),0)*(1+_15・区４)),0)+ROUND((ROUND((ROUND((_15_同援日０．５＿１．０*_15・２人),0)*(1+_15・B夜間)),0)*(1+_15・区４)),0)+ROUND((ROUND((ROUND((_15_同援日０．５＿１．０＿１．５*_15・２人),0)*(1+_15・C深夜)),0)*(1+_15・区４)),0)</f>
        <v>1102</v>
      </c>
      <c r="AF168" s="48"/>
    </row>
    <row r="169" spans="1:32" ht="16.5" customHeight="1" x14ac:dyDescent="0.15">
      <c r="A169" s="41">
        <v>15</v>
      </c>
      <c r="B169" s="41" t="s">
        <v>1533</v>
      </c>
      <c r="C169" s="74" t="s">
        <v>22975</v>
      </c>
      <c r="D169" s="72"/>
      <c r="F169" s="57"/>
      <c r="G169" s="72"/>
      <c r="I169" s="57"/>
      <c r="J169" s="72"/>
      <c r="L169" s="57"/>
      <c r="M169" s="114" t="s">
        <v>17558</v>
      </c>
      <c r="N169" s="49"/>
      <c r="O169" s="50"/>
      <c r="P169" s="299"/>
      <c r="Q169" s="45"/>
      <c r="R169" s="46"/>
      <c r="S169" s="512"/>
      <c r="T169" s="57"/>
      <c r="U169" s="512"/>
      <c r="V169" s="57"/>
      <c r="W169" s="72"/>
      <c r="Z169" s="57"/>
      <c r="AA169" s="72" t="s">
        <v>17580</v>
      </c>
      <c r="AD169" s="57"/>
      <c r="AE169" s="208">
        <f>ROUND((ROUND((_15_同援日０．５*_15・基礎２),0)*(1+_15・区４)),0)+ROUND((ROUND((ROUND((_15_同援日０．５＿１．０*_15・基礎２),0)*(1+_15・B夜間)),0)*(1+_15・区４)),0)+ROUND((ROUND((ROUND((_15_同援日０．５＿１．０＿１．５*_15・基礎２),0)*(1+_15・C深夜)),0)*(1+_15・区４)),0)</f>
        <v>993</v>
      </c>
      <c r="AF169" s="48"/>
    </row>
    <row r="170" spans="1:32" ht="16.5" customHeight="1" x14ac:dyDescent="0.15">
      <c r="A170" s="41">
        <v>15</v>
      </c>
      <c r="B170" s="41" t="s">
        <v>1535</v>
      </c>
      <c r="C170" s="74" t="s">
        <v>22976</v>
      </c>
      <c r="D170" s="72"/>
      <c r="F170" s="57"/>
      <c r="G170" s="72"/>
      <c r="I170" s="57"/>
      <c r="J170" s="72"/>
      <c r="L170" s="57"/>
      <c r="M170" s="122" t="s">
        <v>17560</v>
      </c>
      <c r="N170" s="37" t="s">
        <v>398</v>
      </c>
      <c r="O170" s="38">
        <v>0.9</v>
      </c>
      <c r="P170" s="299" t="s">
        <v>17556</v>
      </c>
      <c r="Q170" s="45" t="s">
        <v>398</v>
      </c>
      <c r="R170" s="46">
        <v>1</v>
      </c>
      <c r="S170" s="512"/>
      <c r="T170" s="57"/>
      <c r="U170" s="512"/>
      <c r="V170" s="57"/>
      <c r="W170" s="122"/>
      <c r="X170" s="37"/>
      <c r="Y170" s="38"/>
      <c r="Z170" s="79"/>
      <c r="AA170" s="72" t="s">
        <v>17572</v>
      </c>
      <c r="AD170" s="57"/>
      <c r="AE170" s="208">
        <f>ROUND((ROUND((ROUND((_15_同援日０．５*_15・基礎２),0)*_15・２人),0)*(1+_15・区４)),0)+ROUND((ROUND((ROUND((ROUND((_15_同援日０．５＿１．０*_15・基礎２),0)*_15・２人),0)*(1+_15・B夜間)),0)*(1+_15・区４)),0)+ROUND((ROUND((ROUND((ROUND((_15_同援日０．５＿１．０＿１．５*_15・基礎２),0)*_15・２人),0)*(1+_15・C深夜)),0)*(1+_15・区４)),0)</f>
        <v>993</v>
      </c>
      <c r="AF170" s="48"/>
    </row>
    <row r="171" spans="1:32" ht="16.5" customHeight="1" x14ac:dyDescent="0.15">
      <c r="A171" s="41">
        <v>15</v>
      </c>
      <c r="B171" s="41" t="s">
        <v>1537</v>
      </c>
      <c r="C171" s="74" t="s">
        <v>22977</v>
      </c>
      <c r="D171" s="72"/>
      <c r="F171" s="57"/>
      <c r="G171" s="72"/>
      <c r="I171" s="57"/>
      <c r="J171" s="72"/>
      <c r="L171" s="57"/>
      <c r="M171" s="114"/>
      <c r="N171" s="49"/>
      <c r="O171" s="50"/>
      <c r="P171" s="299"/>
      <c r="Q171" s="45"/>
      <c r="R171" s="46"/>
      <c r="S171" s="512"/>
      <c r="T171" s="57"/>
      <c r="U171" s="512"/>
      <c r="V171" s="57"/>
      <c r="W171" s="114" t="s">
        <v>17562</v>
      </c>
      <c r="X171" s="49"/>
      <c r="Y171" s="50"/>
      <c r="Z171" s="115"/>
      <c r="AA171" s="72"/>
      <c r="AB171" s="12" t="s">
        <v>398</v>
      </c>
      <c r="AC171" s="13">
        <v>0.4</v>
      </c>
      <c r="AD171" s="57" t="s">
        <v>3575</v>
      </c>
      <c r="AE171" s="208">
        <f>ROUND((ROUND((_15_同援日０．５*(1+_15・盲ろう)),0)*(1+_15・区４)),0)+ROUND((ROUND((ROUND((_15_同援日０．５＿１．０*(1+_15・B夜間)),0)*(1+_15・盲ろう)),0)*(1+_15・区４)),0)+ROUND((ROUND((ROUND((_15_同援日０．５＿１．０＿１．５*(1+_15・C深夜)),0)*(1+_15・盲ろう)),0)*(1+_15・区４)),0)</f>
        <v>1377</v>
      </c>
      <c r="AF171" s="48"/>
    </row>
    <row r="172" spans="1:32" ht="16.5" customHeight="1" x14ac:dyDescent="0.15">
      <c r="A172" s="41">
        <v>15</v>
      </c>
      <c r="B172" s="41" t="s">
        <v>1539</v>
      </c>
      <c r="C172" s="74" t="s">
        <v>22978</v>
      </c>
      <c r="D172" s="72"/>
      <c r="F172" s="57"/>
      <c r="G172" s="72"/>
      <c r="I172" s="57"/>
      <c r="J172" s="72"/>
      <c r="L172" s="57"/>
      <c r="M172" s="122"/>
      <c r="N172" s="37"/>
      <c r="O172" s="38"/>
      <c r="P172" s="299" t="s">
        <v>17556</v>
      </c>
      <c r="Q172" s="45" t="s">
        <v>398</v>
      </c>
      <c r="R172" s="46">
        <v>1</v>
      </c>
      <c r="S172" s="512"/>
      <c r="T172" s="57"/>
      <c r="U172" s="512"/>
      <c r="V172" s="57"/>
      <c r="W172" s="72" t="s">
        <v>17564</v>
      </c>
      <c r="Z172" s="57"/>
      <c r="AA172" s="72"/>
      <c r="AD172" s="57"/>
      <c r="AE172" s="208">
        <f>ROUND((ROUND((ROUND((_15_同援日０．５*_15・２人),0)*(1+_15・盲ろう)),0)*(1+_15・区４)),0)+ROUND((ROUND((ROUND((ROUND((_15_同援日０．５＿１．０*_15・２人),0)*(1+_15・B夜間)),0)*(1+_15・盲ろう)),0)*(1+_15・区４)),0)+ROUND((ROUND((ROUND((ROUND((_15_同援日０．５＿１．０＿１．５*_15・２人),0)*(1+_15・C深夜)),0)*(1+_15・盲ろう)),0)*(1+_15・区４)),0)</f>
        <v>1377</v>
      </c>
      <c r="AF172" s="48"/>
    </row>
    <row r="173" spans="1:32" ht="16.5" customHeight="1" x14ac:dyDescent="0.15">
      <c r="A173" s="41">
        <v>15</v>
      </c>
      <c r="B173" s="41" t="s">
        <v>22979</v>
      </c>
      <c r="C173" s="74" t="s">
        <v>22980</v>
      </c>
      <c r="D173" s="72"/>
      <c r="F173" s="57"/>
      <c r="G173" s="72"/>
      <c r="I173" s="57"/>
      <c r="J173" s="72"/>
      <c r="L173" s="57"/>
      <c r="M173" s="114" t="s">
        <v>17558</v>
      </c>
      <c r="N173" s="49"/>
      <c r="O173" s="50"/>
      <c r="P173" s="299"/>
      <c r="Q173" s="45"/>
      <c r="R173" s="46"/>
      <c r="S173" s="512"/>
      <c r="T173" s="57"/>
      <c r="U173" s="512"/>
      <c r="V173" s="57"/>
      <c r="W173" s="72"/>
      <c r="X173" s="12" t="s">
        <v>398</v>
      </c>
      <c r="Y173" s="13">
        <v>0.25</v>
      </c>
      <c r="Z173" s="57" t="s">
        <v>3575</v>
      </c>
      <c r="AA173" s="72"/>
      <c r="AD173" s="57"/>
      <c r="AE173" s="208">
        <f>ROUND((ROUND((ROUND((_15_同援日０．５*_15・基礎２),0)*(1+_15・盲ろう)),0)*(1+_15・区４)),0)+ROUND((ROUND((ROUND((ROUND((_15_同援日０．５＿１．０*_15・基礎２),0)*(1+_15・B夜間)),0)*(1+_15・盲ろう)),0)*(1+_15・区４)),0)+ROUND((ROUND((ROUND((ROUND((_15_同援日０．５＿１．０＿１．５*_15・基礎２),0)*(1+_15・C深夜)),0)*(1+_15・盲ろう)),0)*(1+_15・区４)),0)</f>
        <v>1242</v>
      </c>
      <c r="AF173" s="48"/>
    </row>
    <row r="174" spans="1:32" ht="16.5" customHeight="1" x14ac:dyDescent="0.15">
      <c r="A174" s="41">
        <v>15</v>
      </c>
      <c r="B174" s="41" t="s">
        <v>22981</v>
      </c>
      <c r="C174" s="74" t="s">
        <v>22982</v>
      </c>
      <c r="D174" s="122"/>
      <c r="E174" s="37"/>
      <c r="F174" s="79"/>
      <c r="G174" s="122"/>
      <c r="H174" s="37"/>
      <c r="I174" s="79"/>
      <c r="J174" s="122"/>
      <c r="K174" s="37"/>
      <c r="L174" s="79"/>
      <c r="M174" s="122" t="s">
        <v>17560</v>
      </c>
      <c r="N174" s="37" t="s">
        <v>398</v>
      </c>
      <c r="O174" s="38">
        <v>0.9</v>
      </c>
      <c r="P174" s="299" t="s">
        <v>17556</v>
      </c>
      <c r="Q174" s="45" t="s">
        <v>398</v>
      </c>
      <c r="R174" s="46">
        <v>1</v>
      </c>
      <c r="S174" s="514"/>
      <c r="T174" s="79"/>
      <c r="U174" s="514"/>
      <c r="V174" s="79"/>
      <c r="W174" s="122"/>
      <c r="X174" s="37"/>
      <c r="Y174" s="38"/>
      <c r="Z174" s="79"/>
      <c r="AA174" s="122"/>
      <c r="AB174" s="37"/>
      <c r="AC174" s="38"/>
      <c r="AD174" s="79"/>
      <c r="AE174" s="208">
        <f>ROUND((ROUND((ROUND((ROUND((_15_同援日０．５*_15・基礎２),0)*_15・２人),0)*(1+_15・盲ろう)),0)*(1+_15・区４)),0)+ROUND((ROUND((ROUND((ROUND((ROUND((_15_同援日０．５＿１．０*_15・基礎２),0)*_15・２人),0)*(1+_15・B夜間)),0)*(1+_15・盲ろう)),0)*(1+_15・区４)),0)+ROUND((ROUND((ROUND((ROUND((ROUND((_15_同援日０．５＿１．０＿１．５*_15・基礎２),0)*_15・２人),0)*(1+_15・C深夜)),0)*(1+_15・盲ろう)),0)*(1+_15・区４)),0)</f>
        <v>1242</v>
      </c>
      <c r="AF174" s="63"/>
    </row>
    <row r="175" spans="1:32" ht="16.5" customHeight="1" x14ac:dyDescent="0.15">
      <c r="A175" s="41">
        <v>15</v>
      </c>
      <c r="B175" s="41" t="s">
        <v>22983</v>
      </c>
      <c r="C175" s="74" t="s">
        <v>22984</v>
      </c>
      <c r="D175" s="114"/>
      <c r="E175" s="49"/>
      <c r="F175" s="115"/>
      <c r="G175" s="114" t="s">
        <v>19603</v>
      </c>
      <c r="H175" s="49"/>
      <c r="I175" s="115"/>
      <c r="J175" s="114" t="s">
        <v>22681</v>
      </c>
      <c r="K175" s="49"/>
      <c r="L175" s="115"/>
      <c r="M175" s="114"/>
      <c r="N175" s="49"/>
      <c r="O175" s="50"/>
      <c r="P175" s="299"/>
      <c r="Q175" s="45"/>
      <c r="R175" s="46"/>
      <c r="S175" s="515"/>
      <c r="T175" s="115"/>
      <c r="U175" s="515"/>
      <c r="V175" s="115"/>
      <c r="W175" s="114"/>
      <c r="X175" s="49"/>
      <c r="Y175" s="50"/>
      <c r="Z175" s="115"/>
      <c r="AA175" s="114"/>
      <c r="AB175" s="49"/>
      <c r="AC175" s="50"/>
      <c r="AD175" s="115"/>
      <c r="AE175" s="208">
        <f>_15_同援日０．５+ROUND((_15_同援日０．５＿１．５*(1+_15・B夜間)),0)+ROUND((_15_同援日０．５＿１．５＿０．５*(1+_15・C深夜)),0)</f>
        <v>673</v>
      </c>
      <c r="AF175" s="64"/>
    </row>
    <row r="176" spans="1:32" ht="16.5" customHeight="1" x14ac:dyDescent="0.15">
      <c r="A176" s="41">
        <v>15</v>
      </c>
      <c r="B176" s="41" t="s">
        <v>22985</v>
      </c>
      <c r="C176" s="74" t="s">
        <v>22986</v>
      </c>
      <c r="D176" s="72"/>
      <c r="F176" s="57"/>
      <c r="G176" s="72" t="s">
        <v>17616</v>
      </c>
      <c r="I176" s="57"/>
      <c r="J176" s="72" t="s">
        <v>18259</v>
      </c>
      <c r="L176" s="57"/>
      <c r="M176" s="122"/>
      <c r="N176" s="37"/>
      <c r="O176" s="38"/>
      <c r="P176" s="299" t="s">
        <v>17556</v>
      </c>
      <c r="Q176" s="45" t="s">
        <v>398</v>
      </c>
      <c r="R176" s="46">
        <v>1</v>
      </c>
      <c r="S176" s="512"/>
      <c r="T176" s="57"/>
      <c r="U176" s="512"/>
      <c r="V176" s="57"/>
      <c r="W176" s="72"/>
      <c r="Z176" s="57"/>
      <c r="AA176" s="72"/>
      <c r="AD176" s="57"/>
      <c r="AE176" s="208">
        <f>ROUND((_15_同援日０．５*_15・２人),0)+ROUND((ROUND((_15_同援日０．５＿１．５*_15・２人),0)*(1+_15・B夜間)),0)+ROUND((ROUND((_15_同援日０．５＿１．５＿０．５*_15・２人),0)*(1+_15・C深夜)),0)</f>
        <v>673</v>
      </c>
      <c r="AF176" s="48"/>
    </row>
    <row r="177" spans="1:32" ht="16.5" customHeight="1" x14ac:dyDescent="0.15">
      <c r="A177" s="41">
        <v>15</v>
      </c>
      <c r="B177" s="41" t="s">
        <v>22987</v>
      </c>
      <c r="C177" s="74" t="s">
        <v>22988</v>
      </c>
      <c r="D177" s="72"/>
      <c r="F177" s="57"/>
      <c r="G177" s="72" t="s">
        <v>18183</v>
      </c>
      <c r="I177" s="57"/>
      <c r="J177" s="72"/>
      <c r="L177" s="57"/>
      <c r="M177" s="114" t="s">
        <v>17558</v>
      </c>
      <c r="N177" s="49"/>
      <c r="O177" s="50"/>
      <c r="P177" s="299"/>
      <c r="Q177" s="45"/>
      <c r="R177" s="46"/>
      <c r="S177" s="512"/>
      <c r="T177" s="57"/>
      <c r="U177" s="512"/>
      <c r="V177" s="57"/>
      <c r="W177" s="72"/>
      <c r="Z177" s="57"/>
      <c r="AA177" s="72"/>
      <c r="AD177" s="57"/>
      <c r="AE177" s="208">
        <f>ROUND((_15_同援日０．５*_15・基礎２),0)+ROUND((ROUND((_15_同援日０．５＿１．５*_15・基礎２),0)*(1+_15・B夜間)),0)+ROUND((ROUND((_15_同援日０．５＿１．５＿０．５*_15・基礎２),0)*(1+_15・C深夜)),0)</f>
        <v>606</v>
      </c>
      <c r="AF177" s="48"/>
    </row>
    <row r="178" spans="1:32" ht="16.5" customHeight="1" x14ac:dyDescent="0.15">
      <c r="A178" s="41">
        <v>15</v>
      </c>
      <c r="B178" s="41" t="s">
        <v>22989</v>
      </c>
      <c r="C178" s="74" t="s">
        <v>22990</v>
      </c>
      <c r="D178" s="72"/>
      <c r="F178" s="57"/>
      <c r="G178" s="72"/>
      <c r="H178" s="168">
        <f>_15_同援日０．５＿１．５</f>
        <v>308</v>
      </c>
      <c r="I178" s="57" t="s">
        <v>392</v>
      </c>
      <c r="J178" s="72"/>
      <c r="K178" s="168">
        <f>_15_同援日０．５＿１．５＿０．５</f>
        <v>65</v>
      </c>
      <c r="L178" s="57" t="s">
        <v>392</v>
      </c>
      <c r="M178" s="122" t="s">
        <v>17560</v>
      </c>
      <c r="N178" s="37" t="s">
        <v>398</v>
      </c>
      <c r="O178" s="38">
        <v>0.9</v>
      </c>
      <c r="P178" s="299" t="s">
        <v>17556</v>
      </c>
      <c r="Q178" s="45" t="s">
        <v>398</v>
      </c>
      <c r="R178" s="46">
        <v>1</v>
      </c>
      <c r="S178" s="512"/>
      <c r="T178" s="57"/>
      <c r="U178" s="512"/>
      <c r="V178" s="57"/>
      <c r="W178" s="122"/>
      <c r="X178" s="37"/>
      <c r="Y178" s="38"/>
      <c r="Z178" s="79"/>
      <c r="AA178" s="72"/>
      <c r="AD178" s="57"/>
      <c r="AE178" s="208">
        <f>ROUND((ROUND((_15_同援日０．５*_15・基礎２),0)*_15・２人),0)+ROUND((ROUND((ROUND((_15_同援日０．５＿１．５*_15・基礎２),0)*_15・２人),0)*(1+_15・B夜間)),0)+ROUND((ROUND((ROUND((_15_同援日０．５＿１．５＿０．５*_15・基礎２),0)*_15・２人),0)*(1+_15・C深夜)),0)</f>
        <v>606</v>
      </c>
      <c r="AF178" s="48"/>
    </row>
    <row r="179" spans="1:32" ht="16.5" customHeight="1" x14ac:dyDescent="0.15">
      <c r="A179" s="41">
        <v>15</v>
      </c>
      <c r="B179" s="41" t="s">
        <v>22991</v>
      </c>
      <c r="C179" s="74" t="s">
        <v>22992</v>
      </c>
      <c r="D179" s="72"/>
      <c r="F179" s="57"/>
      <c r="G179" s="72"/>
      <c r="I179" s="57"/>
      <c r="J179" s="72"/>
      <c r="L179" s="57"/>
      <c r="M179" s="114"/>
      <c r="N179" s="49"/>
      <c r="O179" s="50"/>
      <c r="P179" s="299"/>
      <c r="Q179" s="45"/>
      <c r="R179" s="46"/>
      <c r="S179" s="512"/>
      <c r="T179" s="57"/>
      <c r="U179" s="512"/>
      <c r="V179" s="57"/>
      <c r="W179" s="114" t="s">
        <v>17562</v>
      </c>
      <c r="X179" s="49"/>
      <c r="Y179" s="50"/>
      <c r="Z179" s="115"/>
      <c r="AA179" s="72"/>
      <c r="AD179" s="57"/>
      <c r="AE179" s="208">
        <f>ROUND((_15_同援日０．５*(1+_15・盲ろう)),0)+ROUND((ROUND((_15_同援日０．５＿１．５*(1+_15・B夜間)),0)*(1+_15・盲ろう)),0)+ROUND((ROUND((_15_同援日０．５＿１．５＿０．５*(1+_15・C深夜)),0)*(1+_15・盲ろう)),0)</f>
        <v>842</v>
      </c>
      <c r="AF179" s="48"/>
    </row>
    <row r="180" spans="1:32" ht="16.5" customHeight="1" x14ac:dyDescent="0.15">
      <c r="A180" s="41">
        <v>15</v>
      </c>
      <c r="B180" s="41" t="s">
        <v>22993</v>
      </c>
      <c r="C180" s="74" t="s">
        <v>22994</v>
      </c>
      <c r="D180" s="72"/>
      <c r="F180" s="57"/>
      <c r="G180" s="72"/>
      <c r="I180" s="57"/>
      <c r="J180" s="72"/>
      <c r="L180" s="57"/>
      <c r="M180" s="122"/>
      <c r="N180" s="37"/>
      <c r="O180" s="38"/>
      <c r="P180" s="299" t="s">
        <v>17556</v>
      </c>
      <c r="Q180" s="45" t="s">
        <v>398</v>
      </c>
      <c r="R180" s="46">
        <v>1</v>
      </c>
      <c r="S180" s="512"/>
      <c r="T180" s="57"/>
      <c r="U180" s="512"/>
      <c r="V180" s="57"/>
      <c r="W180" s="72" t="s">
        <v>17564</v>
      </c>
      <c r="Z180" s="57"/>
      <c r="AA180" s="72"/>
      <c r="AD180" s="57"/>
      <c r="AE180" s="208">
        <f>ROUND((ROUND((_15_同援日０．５*_15・２人),0)*(1+_15・盲ろう)),0)+ROUND((ROUND((ROUND((_15_同援日０．５＿１．５*_15・２人),0)*(1+_15・B夜間)),0)*(1+_15・盲ろう)),0)+ROUND((ROUND((ROUND((_15_同援日０．５＿１．５＿０．５*_15・２人),0)*(1+_15・C深夜)),0)*(1+_15・盲ろう)),0)</f>
        <v>842</v>
      </c>
      <c r="AF180" s="48"/>
    </row>
    <row r="181" spans="1:32" ht="16.5" customHeight="1" x14ac:dyDescent="0.15">
      <c r="A181" s="41">
        <v>15</v>
      </c>
      <c r="B181" s="41" t="s">
        <v>22995</v>
      </c>
      <c r="C181" s="74" t="s">
        <v>22996</v>
      </c>
      <c r="D181" s="72"/>
      <c r="F181" s="57"/>
      <c r="G181" s="72"/>
      <c r="I181" s="57"/>
      <c r="J181" s="72"/>
      <c r="L181" s="57"/>
      <c r="M181" s="114" t="s">
        <v>17558</v>
      </c>
      <c r="N181" s="49"/>
      <c r="O181" s="50"/>
      <c r="P181" s="299"/>
      <c r="Q181" s="45"/>
      <c r="R181" s="46"/>
      <c r="S181" s="512"/>
      <c r="T181" s="57"/>
      <c r="U181" s="512"/>
      <c r="V181" s="57"/>
      <c r="W181" s="72"/>
      <c r="X181" s="12" t="s">
        <v>398</v>
      </c>
      <c r="Y181" s="13">
        <v>0.25</v>
      </c>
      <c r="Z181" s="57" t="s">
        <v>3575</v>
      </c>
      <c r="AA181" s="72"/>
      <c r="AD181" s="57"/>
      <c r="AE181" s="208">
        <f>ROUND((ROUND((_15_同援日０．５*_15・基礎２),0)*(1+_15・盲ろう)),0)+ROUND((ROUND((ROUND((_15_同援日０．５＿１．５*_15・基礎２),0)*(1+_15・B夜間)),0)*(1+_15・盲ろう)),0)+ROUND((ROUND((ROUND((_15_同援日０．５＿１．５＿０．５*_15・基礎２),0)*(1+_15・C深夜)),0)*(1+_15・盲ろう)),0)</f>
        <v>758</v>
      </c>
      <c r="AF181" s="48"/>
    </row>
    <row r="182" spans="1:32" ht="16.5" customHeight="1" x14ac:dyDescent="0.15">
      <c r="A182" s="41">
        <v>15</v>
      </c>
      <c r="B182" s="41" t="s">
        <v>22997</v>
      </c>
      <c r="C182" s="74" t="s">
        <v>22998</v>
      </c>
      <c r="D182" s="72"/>
      <c r="F182" s="57"/>
      <c r="G182" s="72"/>
      <c r="I182" s="57"/>
      <c r="J182" s="72"/>
      <c r="L182" s="57"/>
      <c r="M182" s="122" t="s">
        <v>17560</v>
      </c>
      <c r="N182" s="37" t="s">
        <v>398</v>
      </c>
      <c r="O182" s="38">
        <v>0.9</v>
      </c>
      <c r="P182" s="299" t="s">
        <v>17556</v>
      </c>
      <c r="Q182" s="45" t="s">
        <v>398</v>
      </c>
      <c r="R182" s="46">
        <v>1</v>
      </c>
      <c r="S182" s="512"/>
      <c r="T182" s="57"/>
      <c r="U182" s="512"/>
      <c r="V182" s="57"/>
      <c r="W182" s="122"/>
      <c r="X182" s="37"/>
      <c r="Y182" s="38"/>
      <c r="Z182" s="79"/>
      <c r="AA182" s="122"/>
      <c r="AB182" s="37"/>
      <c r="AC182" s="38"/>
      <c r="AD182" s="79"/>
      <c r="AE182" s="208">
        <f>ROUND((ROUND((ROUND((_15_同援日０．５*_15・基礎２),0)*_15・２人),0)*(1+_15・盲ろう)),0)+ROUND((ROUND((ROUND((ROUND((_15_同援日０．５＿１．５*_15・基礎２),0)*_15・２人),0)*(1+_15・B夜間)),0)*(1+_15・盲ろう)),0)+ROUND((ROUND((ROUND((ROUND((_15_同援日０．５＿１．５＿０．５*_15・基礎２),0)*_15・２人),0)*(1+_15・C深夜)),0)*(1+_15・盲ろう)),0)</f>
        <v>758</v>
      </c>
      <c r="AF182" s="48"/>
    </row>
    <row r="183" spans="1:32" ht="16.5" customHeight="1" x14ac:dyDescent="0.15">
      <c r="A183" s="41">
        <v>15</v>
      </c>
      <c r="B183" s="41" t="s">
        <v>22999</v>
      </c>
      <c r="C183" s="74" t="s">
        <v>23000</v>
      </c>
      <c r="D183" s="72"/>
      <c r="F183" s="57"/>
      <c r="G183" s="72"/>
      <c r="I183" s="57"/>
      <c r="J183" s="72"/>
      <c r="L183" s="57"/>
      <c r="M183" s="114"/>
      <c r="N183" s="49"/>
      <c r="O183" s="50"/>
      <c r="P183" s="299"/>
      <c r="Q183" s="45"/>
      <c r="R183" s="46"/>
      <c r="S183" s="512"/>
      <c r="T183" s="57"/>
      <c r="U183" s="512"/>
      <c r="V183" s="57"/>
      <c r="W183" s="114"/>
      <c r="X183" s="49"/>
      <c r="Y183" s="50"/>
      <c r="Z183" s="115"/>
      <c r="AA183" s="114"/>
      <c r="AB183" s="49"/>
      <c r="AC183" s="50"/>
      <c r="AD183" s="115"/>
      <c r="AE183" s="208">
        <f>ROUND((_15_同援日０．５*(1+_15・区３)),0)+ROUND((ROUND((_15_同援日０．５＿１．５*(1+_15・B夜間)),0)*(1+_15・区３)),0)+ROUND((ROUND((_15_同援日０．５＿１．５＿０．５*(1+_15・C深夜)),0)*(1+_15・区３)),0)</f>
        <v>808</v>
      </c>
      <c r="AF183" s="48"/>
    </row>
    <row r="184" spans="1:32" ht="16.5" customHeight="1" x14ac:dyDescent="0.15">
      <c r="A184" s="41">
        <v>15</v>
      </c>
      <c r="B184" s="41" t="s">
        <v>23001</v>
      </c>
      <c r="C184" s="74" t="s">
        <v>23002</v>
      </c>
      <c r="D184" s="72"/>
      <c r="F184" s="57"/>
      <c r="G184" s="72"/>
      <c r="I184" s="57"/>
      <c r="J184" s="72"/>
      <c r="L184" s="57"/>
      <c r="M184" s="122"/>
      <c r="N184" s="37"/>
      <c r="O184" s="38"/>
      <c r="P184" s="299" t="s">
        <v>17556</v>
      </c>
      <c r="Q184" s="45" t="s">
        <v>398</v>
      </c>
      <c r="R184" s="46">
        <v>1</v>
      </c>
      <c r="S184" s="512"/>
      <c r="T184" s="57"/>
      <c r="U184" s="512"/>
      <c r="V184" s="57"/>
      <c r="W184" s="72"/>
      <c r="Z184" s="57"/>
      <c r="AA184" s="72"/>
      <c r="AD184" s="57"/>
      <c r="AE184" s="208">
        <f>ROUND((ROUND((_15_同援日０．５*_15・２人),0)*(1+_15・区３)),0)+ROUND((ROUND((ROUND((_15_同援日０．５＿１．５*_15・２人),0)*(1+_15・B夜間)),0)*(1+_15・区３)),0)+ROUND((ROUND((ROUND((_15_同援日０．５＿１．５＿０．５*_15・２人),0)*(1+_15・C深夜)),0)*(1+_15・区３)),0)</f>
        <v>808</v>
      </c>
      <c r="AF184" s="48"/>
    </row>
    <row r="185" spans="1:32" ht="16.5" customHeight="1" x14ac:dyDescent="0.15">
      <c r="A185" s="41">
        <v>15</v>
      </c>
      <c r="B185" s="41" t="s">
        <v>23003</v>
      </c>
      <c r="C185" s="74" t="s">
        <v>23004</v>
      </c>
      <c r="D185" s="72"/>
      <c r="F185" s="57"/>
      <c r="G185" s="72"/>
      <c r="I185" s="57"/>
      <c r="J185" s="72"/>
      <c r="L185" s="57"/>
      <c r="M185" s="114" t="s">
        <v>17558</v>
      </c>
      <c r="N185" s="49"/>
      <c r="O185" s="50"/>
      <c r="P185" s="299"/>
      <c r="Q185" s="45"/>
      <c r="R185" s="46"/>
      <c r="S185" s="512"/>
      <c r="T185" s="57"/>
      <c r="U185" s="512"/>
      <c r="V185" s="57"/>
      <c r="W185" s="72"/>
      <c r="Z185" s="57"/>
      <c r="AA185" s="72" t="s">
        <v>17570</v>
      </c>
      <c r="AD185" s="57"/>
      <c r="AE185" s="208">
        <f>ROUND((ROUND((_15_同援日０．５*_15・基礎２),0)*(1+_15・区３)),0)+ROUND((ROUND((ROUND((_15_同援日０．５＿１．５*_15・基礎２),0)*(1+_15・B夜間)),0)*(1+_15・区３)),0)+ROUND((ROUND((ROUND((_15_同援日０．５＿１．５＿０．５*_15・基礎２),0)*(1+_15・C深夜)),0)*(1+_15・区３)),0)</f>
        <v>727</v>
      </c>
      <c r="AF185" s="48"/>
    </row>
    <row r="186" spans="1:32" ht="16.5" customHeight="1" x14ac:dyDescent="0.15">
      <c r="A186" s="41">
        <v>15</v>
      </c>
      <c r="B186" s="41" t="s">
        <v>23005</v>
      </c>
      <c r="C186" s="74" t="s">
        <v>23006</v>
      </c>
      <c r="D186" s="72"/>
      <c r="F186" s="57"/>
      <c r="G186" s="72"/>
      <c r="I186" s="57"/>
      <c r="J186" s="72"/>
      <c r="L186" s="57"/>
      <c r="M186" s="122" t="s">
        <v>17560</v>
      </c>
      <c r="N186" s="37" t="s">
        <v>398</v>
      </c>
      <c r="O186" s="38">
        <v>0.9</v>
      </c>
      <c r="P186" s="299" t="s">
        <v>17556</v>
      </c>
      <c r="Q186" s="45" t="s">
        <v>398</v>
      </c>
      <c r="R186" s="46">
        <v>1</v>
      </c>
      <c r="S186" s="512"/>
      <c r="T186" s="57"/>
      <c r="U186" s="512"/>
      <c r="V186" s="57"/>
      <c r="W186" s="122"/>
      <c r="X186" s="37"/>
      <c r="Y186" s="38"/>
      <c r="Z186" s="79"/>
      <c r="AA186" s="72" t="s">
        <v>17572</v>
      </c>
      <c r="AD186" s="57"/>
      <c r="AE186" s="208">
        <f>ROUND((ROUND((ROUND((_15_同援日０．５*_15・基礎２),0)*_15・２人),0)*(1+_15・区３)),0)+ROUND((ROUND((ROUND((ROUND((_15_同援日０．５＿１．５*_15・基礎２),0)*_15・２人),0)*(1+_15・B夜間)),0)*(1+_15・区３)),0)+ROUND((ROUND((ROUND((ROUND((_15_同援日０．５＿１．５＿０．５*_15・基礎２),0)*_15・２人),0)*(1+_15・C深夜)),0)*(1+_15・区３)),0)</f>
        <v>727</v>
      </c>
      <c r="AF186" s="48"/>
    </row>
    <row r="187" spans="1:32" ht="16.5" customHeight="1" x14ac:dyDescent="0.15">
      <c r="A187" s="41">
        <v>15</v>
      </c>
      <c r="B187" s="41" t="s">
        <v>23007</v>
      </c>
      <c r="C187" s="74" t="s">
        <v>23008</v>
      </c>
      <c r="D187" s="72"/>
      <c r="F187" s="57"/>
      <c r="G187" s="72"/>
      <c r="I187" s="57"/>
      <c r="J187" s="72"/>
      <c r="L187" s="57"/>
      <c r="M187" s="114"/>
      <c r="N187" s="49"/>
      <c r="O187" s="50"/>
      <c r="P187" s="299"/>
      <c r="Q187" s="45"/>
      <c r="R187" s="46"/>
      <c r="S187" s="512"/>
      <c r="T187" s="57"/>
      <c r="U187" s="512"/>
      <c r="V187" s="57"/>
      <c r="W187" s="114" t="s">
        <v>17562</v>
      </c>
      <c r="X187" s="49"/>
      <c r="Y187" s="50"/>
      <c r="Z187" s="115"/>
      <c r="AA187" s="72"/>
      <c r="AB187" s="12" t="s">
        <v>398</v>
      </c>
      <c r="AC187" s="13">
        <v>0.2</v>
      </c>
      <c r="AD187" s="57" t="s">
        <v>3575</v>
      </c>
      <c r="AE187" s="208">
        <f>ROUND((ROUND((_15_同援日０．５*(1+_15・盲ろう)),0)*(1+_15・区３)),0)+ROUND((ROUND((ROUND((_15_同援日０．５＿１．５*(1+_15・B夜間)),0)*(1+_15・盲ろう)),0)*(1+_15・区３)),0)+ROUND((ROUND((ROUND((_15_同援日０．５＿１．５＿０．５*(1+_15・C深夜)),0)*(1+_15・盲ろう)),0)*(1+_15・区３)),0)</f>
        <v>1011</v>
      </c>
      <c r="AF187" s="48"/>
    </row>
    <row r="188" spans="1:32" ht="16.5" customHeight="1" x14ac:dyDescent="0.15">
      <c r="A188" s="41">
        <v>15</v>
      </c>
      <c r="B188" s="41" t="s">
        <v>23009</v>
      </c>
      <c r="C188" s="74" t="s">
        <v>23010</v>
      </c>
      <c r="D188" s="72"/>
      <c r="F188" s="57"/>
      <c r="G188" s="72"/>
      <c r="I188" s="57"/>
      <c r="J188" s="72"/>
      <c r="L188" s="57"/>
      <c r="M188" s="122"/>
      <c r="N188" s="37"/>
      <c r="O188" s="38"/>
      <c r="P188" s="299" t="s">
        <v>17556</v>
      </c>
      <c r="Q188" s="45" t="s">
        <v>398</v>
      </c>
      <c r="R188" s="46">
        <v>1</v>
      </c>
      <c r="S188" s="512"/>
      <c r="T188" s="57"/>
      <c r="U188" s="512"/>
      <c r="V188" s="57"/>
      <c r="W188" s="72" t="s">
        <v>17564</v>
      </c>
      <c r="Z188" s="57"/>
      <c r="AA188" s="72"/>
      <c r="AD188" s="57"/>
      <c r="AE188" s="208">
        <f>ROUND((ROUND((ROUND((_15_同援日０．５*_15・２人),0)*(1+_15・盲ろう)),0)*(1+_15・区３)),0)+ROUND((ROUND((ROUND((ROUND((_15_同援日０．５＿１．５*_15・２人),0)*(1+_15・B夜間)),0)*(1+_15・盲ろう)),0)*(1+_15・区３)),0)+ROUND((ROUND((ROUND((ROUND((_15_同援日０．５＿１．５＿０．５*_15・２人),0)*(1+_15・C深夜)),0)*(1+_15・盲ろう)),0)*(1+_15・区３)),0)</f>
        <v>1011</v>
      </c>
      <c r="AF188" s="48"/>
    </row>
    <row r="189" spans="1:32" ht="16.5" customHeight="1" x14ac:dyDescent="0.15">
      <c r="A189" s="41">
        <v>15</v>
      </c>
      <c r="B189" s="41" t="s">
        <v>1545</v>
      </c>
      <c r="C189" s="74" t="s">
        <v>23011</v>
      </c>
      <c r="D189" s="72"/>
      <c r="F189" s="57"/>
      <c r="G189" s="72"/>
      <c r="I189" s="57"/>
      <c r="J189" s="72"/>
      <c r="L189" s="57"/>
      <c r="M189" s="114" t="s">
        <v>17558</v>
      </c>
      <c r="N189" s="49"/>
      <c r="O189" s="50"/>
      <c r="P189" s="299"/>
      <c r="Q189" s="45"/>
      <c r="R189" s="46"/>
      <c r="S189" s="512"/>
      <c r="T189" s="57"/>
      <c r="U189" s="512"/>
      <c r="V189" s="57"/>
      <c r="W189" s="72"/>
      <c r="X189" s="12" t="s">
        <v>398</v>
      </c>
      <c r="Y189" s="13">
        <v>0.25</v>
      </c>
      <c r="Z189" s="57" t="s">
        <v>3575</v>
      </c>
      <c r="AA189" s="72"/>
      <c r="AD189" s="57"/>
      <c r="AE189" s="208">
        <f>ROUND((ROUND((ROUND((_15_同援日０．５*_15・基礎２),0)*(1+_15・盲ろう)),0)*(1+_15・区３)),0)+ROUND((ROUND((ROUND((ROUND((_15_同援日０．５＿１．５*_15・基礎２),0)*(1+_15・B夜間)),0)*(1+_15・盲ろう)),0)*(1+_15・区３)),0)+ROUND((ROUND((ROUND((ROUND((_15_同援日０．５＿１．５＿０．５*_15・基礎２),0)*(1+_15・C深夜)),0)*(1+_15・盲ろう)),0)*(1+_15・区３)),0)</f>
        <v>910</v>
      </c>
      <c r="AF189" s="48"/>
    </row>
    <row r="190" spans="1:32" ht="16.5" customHeight="1" x14ac:dyDescent="0.15">
      <c r="A190" s="41">
        <v>15</v>
      </c>
      <c r="B190" s="41" t="s">
        <v>1547</v>
      </c>
      <c r="C190" s="74" t="s">
        <v>23012</v>
      </c>
      <c r="D190" s="72"/>
      <c r="F190" s="57"/>
      <c r="G190" s="72"/>
      <c r="I190" s="57"/>
      <c r="J190" s="72"/>
      <c r="L190" s="57"/>
      <c r="M190" s="122" t="s">
        <v>17560</v>
      </c>
      <c r="N190" s="37" t="s">
        <v>398</v>
      </c>
      <c r="O190" s="38">
        <v>0.9</v>
      </c>
      <c r="P190" s="299" t="s">
        <v>17556</v>
      </c>
      <c r="Q190" s="45" t="s">
        <v>398</v>
      </c>
      <c r="R190" s="46">
        <v>1</v>
      </c>
      <c r="S190" s="512"/>
      <c r="T190" s="57"/>
      <c r="U190" s="512"/>
      <c r="V190" s="57"/>
      <c r="W190" s="122"/>
      <c r="X190" s="37"/>
      <c r="Y190" s="38"/>
      <c r="Z190" s="79"/>
      <c r="AA190" s="122"/>
      <c r="AB190" s="37"/>
      <c r="AC190" s="38"/>
      <c r="AD190" s="79"/>
      <c r="AE190" s="208">
        <f>ROUND((ROUND((ROUND((ROUND((_15_同援日０．５*_15・基礎２),0)*_15・２人),0)*(1+_15・盲ろう)),0)*(1+_15・区３)),0)+ROUND((ROUND((ROUND((ROUND((ROUND((_15_同援日０．５＿１．５*_15・基礎２),0)*_15・２人),0)*(1+_15・B夜間)),0)*(1+_15・盲ろう)),0)*(1+_15・区３)),0)+ROUND((ROUND((ROUND((ROUND((ROUND((_15_同援日０．５＿１．５＿０．５*_15・基礎２),0)*_15・２人),0)*(1+_15・C深夜)),0)*(1+_15・盲ろう)),0)*(1+_15・区３)),0)</f>
        <v>910</v>
      </c>
      <c r="AF190" s="48"/>
    </row>
    <row r="191" spans="1:32" ht="16.5" customHeight="1" x14ac:dyDescent="0.15">
      <c r="A191" s="41">
        <v>15</v>
      </c>
      <c r="B191" s="41" t="s">
        <v>1549</v>
      </c>
      <c r="C191" s="74" t="s">
        <v>23013</v>
      </c>
      <c r="D191" s="72"/>
      <c r="F191" s="57"/>
      <c r="G191" s="72"/>
      <c r="I191" s="57"/>
      <c r="J191" s="72"/>
      <c r="L191" s="57"/>
      <c r="M191" s="114"/>
      <c r="N191" s="49"/>
      <c r="O191" s="50"/>
      <c r="P191" s="299"/>
      <c r="Q191" s="45"/>
      <c r="R191" s="46"/>
      <c r="S191" s="512"/>
      <c r="T191" s="57"/>
      <c r="U191" s="512"/>
      <c r="V191" s="57"/>
      <c r="W191" s="114"/>
      <c r="X191" s="49"/>
      <c r="Y191" s="50"/>
      <c r="Z191" s="115"/>
      <c r="AA191" s="114"/>
      <c r="AB191" s="49"/>
      <c r="AC191" s="50"/>
      <c r="AD191" s="115"/>
      <c r="AE191" s="208">
        <f>ROUND((_15_同援日０．５*(1+_15・区４)),0)+ROUND((ROUND((_15_同援日０．５＿１．５*(1+_15・B夜間)),0)*(1+_15・区４)),0)+ROUND((ROUND((_15_同援日０．５＿１．５＿０．５*(1+_15・C深夜)),0)*(1+_15・区４)),0)</f>
        <v>942</v>
      </c>
      <c r="AF191" s="48"/>
    </row>
    <row r="192" spans="1:32" ht="16.5" customHeight="1" x14ac:dyDescent="0.15">
      <c r="A192" s="41">
        <v>15</v>
      </c>
      <c r="B192" s="41" t="s">
        <v>1551</v>
      </c>
      <c r="C192" s="74" t="s">
        <v>23014</v>
      </c>
      <c r="D192" s="72"/>
      <c r="F192" s="57"/>
      <c r="G192" s="72"/>
      <c r="I192" s="57"/>
      <c r="J192" s="72"/>
      <c r="L192" s="57"/>
      <c r="M192" s="122"/>
      <c r="N192" s="37"/>
      <c r="O192" s="38"/>
      <c r="P192" s="299" t="s">
        <v>17556</v>
      </c>
      <c r="Q192" s="45" t="s">
        <v>398</v>
      </c>
      <c r="R192" s="46">
        <v>1</v>
      </c>
      <c r="S192" s="512"/>
      <c r="T192" s="57"/>
      <c r="U192" s="512"/>
      <c r="V192" s="57"/>
      <c r="W192" s="72"/>
      <c r="Z192" s="57"/>
      <c r="AA192" s="72"/>
      <c r="AD192" s="57"/>
      <c r="AE192" s="208">
        <f>ROUND((ROUND((_15_同援日０．５*_15・２人),0)*(1+_15・区４)),0)+ROUND((ROUND((ROUND((_15_同援日０．５＿１．５*_15・２人),0)*(1+_15・B夜間)),0)*(1+_15・区４)),0)+ROUND((ROUND((ROUND((_15_同援日０．５＿１．５＿０．５*_15・２人),0)*(1+_15・C深夜)),0)*(1+_15・区４)),0)</f>
        <v>942</v>
      </c>
      <c r="AF192" s="48"/>
    </row>
    <row r="193" spans="1:32" ht="16.5" customHeight="1" x14ac:dyDescent="0.15">
      <c r="A193" s="41">
        <v>15</v>
      </c>
      <c r="B193" s="41" t="s">
        <v>23015</v>
      </c>
      <c r="C193" s="74" t="s">
        <v>23016</v>
      </c>
      <c r="D193" s="72"/>
      <c r="F193" s="57"/>
      <c r="G193" s="72"/>
      <c r="I193" s="57"/>
      <c r="J193" s="72"/>
      <c r="L193" s="57"/>
      <c r="M193" s="114" t="s">
        <v>17558</v>
      </c>
      <c r="N193" s="49"/>
      <c r="O193" s="50"/>
      <c r="P193" s="299"/>
      <c r="Q193" s="45"/>
      <c r="R193" s="46"/>
      <c r="S193" s="512"/>
      <c r="T193" s="57"/>
      <c r="U193" s="512"/>
      <c r="V193" s="57"/>
      <c r="W193" s="72"/>
      <c r="Z193" s="57"/>
      <c r="AA193" s="72" t="s">
        <v>17580</v>
      </c>
      <c r="AD193" s="57"/>
      <c r="AE193" s="208">
        <f>ROUND((ROUND((_15_同援日０．５*_15・基礎２),0)*(1+_15・区４)),0)+ROUND((ROUND((ROUND((_15_同援日０．５＿１．５*_15・基礎２),0)*(1+_15・B夜間)),0)*(1+_15・区４)),0)+ROUND((ROUND((ROUND((_15_同援日０．５＿１．５＿０．５*_15・基礎２),0)*(1+_15・C深夜)),0)*(1+_15・区４)),0)</f>
        <v>848</v>
      </c>
      <c r="AF193" s="48"/>
    </row>
    <row r="194" spans="1:32" ht="16.5" customHeight="1" x14ac:dyDescent="0.15">
      <c r="A194" s="41">
        <v>15</v>
      </c>
      <c r="B194" s="41" t="s">
        <v>23017</v>
      </c>
      <c r="C194" s="74" t="s">
        <v>23018</v>
      </c>
      <c r="D194" s="72"/>
      <c r="F194" s="57"/>
      <c r="G194" s="72"/>
      <c r="I194" s="57"/>
      <c r="J194" s="72"/>
      <c r="L194" s="57"/>
      <c r="M194" s="122" t="s">
        <v>17560</v>
      </c>
      <c r="N194" s="37" t="s">
        <v>398</v>
      </c>
      <c r="O194" s="38">
        <v>0.9</v>
      </c>
      <c r="P194" s="299" t="s">
        <v>17556</v>
      </c>
      <c r="Q194" s="45" t="s">
        <v>398</v>
      </c>
      <c r="R194" s="46">
        <v>1</v>
      </c>
      <c r="S194" s="512"/>
      <c r="T194" s="57"/>
      <c r="U194" s="512"/>
      <c r="V194" s="57"/>
      <c r="W194" s="122"/>
      <c r="X194" s="37"/>
      <c r="Y194" s="38"/>
      <c r="Z194" s="79"/>
      <c r="AA194" s="72" t="s">
        <v>17572</v>
      </c>
      <c r="AD194" s="57"/>
      <c r="AE194" s="208">
        <f>ROUND((ROUND((ROUND((_15_同援日０．５*_15・基礎２),0)*_15・２人),0)*(1+_15・区４)),0)+ROUND((ROUND((ROUND((ROUND((_15_同援日０．５＿１．５*_15・基礎２),0)*_15・２人),0)*(1+_15・B夜間)),0)*(1+_15・区４)),0)+ROUND((ROUND((ROUND((ROUND((_15_同援日０．５＿１．５＿０．５*_15・基礎２),0)*_15・２人),0)*(1+_15・C深夜)),0)*(1+_15・区４)),0)</f>
        <v>848</v>
      </c>
      <c r="AF194" s="48"/>
    </row>
    <row r="195" spans="1:32" ht="16.5" customHeight="1" x14ac:dyDescent="0.15">
      <c r="A195" s="41">
        <v>15</v>
      </c>
      <c r="B195" s="41" t="s">
        <v>23019</v>
      </c>
      <c r="C195" s="74" t="s">
        <v>23020</v>
      </c>
      <c r="D195" s="72"/>
      <c r="F195" s="57"/>
      <c r="G195" s="72"/>
      <c r="I195" s="57"/>
      <c r="J195" s="72"/>
      <c r="L195" s="57"/>
      <c r="M195" s="114"/>
      <c r="N195" s="49"/>
      <c r="O195" s="50"/>
      <c r="P195" s="299"/>
      <c r="Q195" s="45"/>
      <c r="R195" s="46"/>
      <c r="S195" s="512"/>
      <c r="T195" s="57"/>
      <c r="U195" s="512"/>
      <c r="V195" s="57"/>
      <c r="W195" s="114" t="s">
        <v>17562</v>
      </c>
      <c r="X195" s="49"/>
      <c r="Y195" s="50"/>
      <c r="Z195" s="115"/>
      <c r="AA195" s="72"/>
      <c r="AB195" s="12" t="s">
        <v>398</v>
      </c>
      <c r="AC195" s="13">
        <v>0.4</v>
      </c>
      <c r="AD195" s="57" t="s">
        <v>3575</v>
      </c>
      <c r="AE195" s="208">
        <f>ROUND((ROUND((_15_同援日０．５*(1+_15・盲ろう)),0)*(1+_15・区４)),0)+ROUND((ROUND((ROUND((_15_同援日０．５＿１．５*(1+_15・B夜間)),0)*(1+_15・盲ろう)),0)*(1+_15・区４)),0)+ROUND((ROUND((ROUND((_15_同援日０．５＿１．５＿０．５*(1+_15・C深夜)),0)*(1+_15・盲ろう)),0)*(1+_15・区４)),0)</f>
        <v>1178</v>
      </c>
      <c r="AF195" s="48"/>
    </row>
    <row r="196" spans="1:32" ht="16.5" customHeight="1" x14ac:dyDescent="0.15">
      <c r="A196" s="41">
        <v>15</v>
      </c>
      <c r="B196" s="41" t="s">
        <v>23021</v>
      </c>
      <c r="C196" s="74" t="s">
        <v>23022</v>
      </c>
      <c r="D196" s="72"/>
      <c r="F196" s="57"/>
      <c r="G196" s="72"/>
      <c r="I196" s="57"/>
      <c r="J196" s="72"/>
      <c r="L196" s="57"/>
      <c r="M196" s="122"/>
      <c r="N196" s="37"/>
      <c r="O196" s="38"/>
      <c r="P196" s="299" t="s">
        <v>17556</v>
      </c>
      <c r="Q196" s="45" t="s">
        <v>398</v>
      </c>
      <c r="R196" s="46">
        <v>1</v>
      </c>
      <c r="S196" s="512"/>
      <c r="T196" s="57"/>
      <c r="U196" s="512"/>
      <c r="V196" s="57"/>
      <c r="W196" s="72" t="s">
        <v>17564</v>
      </c>
      <c r="Z196" s="57"/>
      <c r="AA196" s="72"/>
      <c r="AD196" s="57"/>
      <c r="AE196" s="208">
        <f>ROUND((ROUND((ROUND((_15_同援日０．５*_15・２人),0)*(1+_15・盲ろう)),0)*(1+_15・区４)),0)+ROUND((ROUND((ROUND((ROUND((_15_同援日０．５＿１．５*_15・２人),0)*(1+_15・B夜間)),0)*(1+_15・盲ろう)),0)*(1+_15・区４)),0)+ROUND((ROUND((ROUND((ROUND((_15_同援日０．５＿１．５＿０．５*_15・２人),0)*(1+_15・C深夜)),0)*(1+_15・盲ろう)),0)*(1+_15・区４)),0)</f>
        <v>1178</v>
      </c>
      <c r="AF196" s="48"/>
    </row>
    <row r="197" spans="1:32" ht="16.5" customHeight="1" x14ac:dyDescent="0.15">
      <c r="A197" s="41">
        <v>15</v>
      </c>
      <c r="B197" s="41" t="s">
        <v>23023</v>
      </c>
      <c r="C197" s="74" t="s">
        <v>23024</v>
      </c>
      <c r="D197" s="72"/>
      <c r="F197" s="57"/>
      <c r="G197" s="72"/>
      <c r="I197" s="57"/>
      <c r="J197" s="72"/>
      <c r="L197" s="57"/>
      <c r="M197" s="114" t="s">
        <v>17558</v>
      </c>
      <c r="N197" s="49"/>
      <c r="O197" s="50"/>
      <c r="P197" s="299"/>
      <c r="Q197" s="45"/>
      <c r="R197" s="46"/>
      <c r="S197" s="512"/>
      <c r="T197" s="57"/>
      <c r="U197" s="512"/>
      <c r="V197" s="57"/>
      <c r="W197" s="72"/>
      <c r="X197" s="12" t="s">
        <v>398</v>
      </c>
      <c r="Y197" s="13">
        <v>0.25</v>
      </c>
      <c r="Z197" s="57" t="s">
        <v>3575</v>
      </c>
      <c r="AA197" s="72"/>
      <c r="AD197" s="57"/>
      <c r="AE197" s="208">
        <f>ROUND((ROUND((ROUND((_15_同援日０．５*_15・基礎２),0)*(1+_15・盲ろう)),0)*(1+_15・区４)),0)+ROUND((ROUND((ROUND((ROUND((_15_同援日０．５＿１．５*_15・基礎２),0)*(1+_15・B夜間)),0)*(1+_15・盲ろう)),0)*(1+_15・区４)),0)+ROUND((ROUND((ROUND((ROUND((_15_同援日０．５＿１．５＿０．５*_15・基礎２),0)*(1+_15・C深夜)),0)*(1+_15・盲ろう)),0)*(1+_15・区４)),0)</f>
        <v>1061</v>
      </c>
      <c r="AF197" s="48"/>
    </row>
    <row r="198" spans="1:32" ht="16.5" customHeight="1" x14ac:dyDescent="0.15">
      <c r="A198" s="41">
        <v>15</v>
      </c>
      <c r="B198" s="41" t="s">
        <v>23025</v>
      </c>
      <c r="C198" s="74" t="s">
        <v>23026</v>
      </c>
      <c r="D198" s="72"/>
      <c r="F198" s="57"/>
      <c r="G198" s="72"/>
      <c r="I198" s="57"/>
      <c r="J198" s="122"/>
      <c r="K198" s="37"/>
      <c r="L198" s="79"/>
      <c r="M198" s="122" t="s">
        <v>17560</v>
      </c>
      <c r="N198" s="37" t="s">
        <v>398</v>
      </c>
      <c r="O198" s="38">
        <v>0.9</v>
      </c>
      <c r="P198" s="299" t="s">
        <v>17556</v>
      </c>
      <c r="Q198" s="45" t="s">
        <v>398</v>
      </c>
      <c r="R198" s="46">
        <v>1</v>
      </c>
      <c r="S198" s="512"/>
      <c r="T198" s="57"/>
      <c r="U198" s="512"/>
      <c r="V198" s="57"/>
      <c r="W198" s="122"/>
      <c r="X198" s="37"/>
      <c r="Y198" s="38"/>
      <c r="Z198" s="79"/>
      <c r="AA198" s="122"/>
      <c r="AB198" s="37"/>
      <c r="AC198" s="38"/>
      <c r="AD198" s="79"/>
      <c r="AE198" s="208">
        <f>ROUND((ROUND((ROUND((ROUND((_15_同援日０．５*_15・基礎２),0)*_15・２人),0)*(1+_15・盲ろう)),0)*(1+_15・区４)),0)+ROUND((ROUND((ROUND((ROUND((ROUND((_15_同援日０．５＿１．５*_15・基礎２),0)*_15・２人),0)*(1+_15・B夜間)),0)*(1+_15・盲ろう)),0)*(1+_15・区４)),0)+ROUND((ROUND((ROUND((ROUND((ROUND((_15_同援日０．５＿１．５＿０．５*_15・基礎２),0)*_15・２人),0)*(1+_15・C深夜)),0)*(1+_15・盲ろう)),0)*(1+_15・区４)),0)</f>
        <v>1061</v>
      </c>
      <c r="AF198" s="48"/>
    </row>
    <row r="199" spans="1:32" ht="16.5" customHeight="1" x14ac:dyDescent="0.15">
      <c r="A199" s="41">
        <v>15</v>
      </c>
      <c r="B199" s="41" t="s">
        <v>23027</v>
      </c>
      <c r="C199" s="74" t="s">
        <v>23028</v>
      </c>
      <c r="D199" s="72"/>
      <c r="F199" s="57"/>
      <c r="G199" s="72"/>
      <c r="I199" s="57"/>
      <c r="J199" s="114" t="s">
        <v>22723</v>
      </c>
      <c r="K199" s="49"/>
      <c r="L199" s="115"/>
      <c r="M199" s="114"/>
      <c r="N199" s="49"/>
      <c r="O199" s="50"/>
      <c r="P199" s="299"/>
      <c r="Q199" s="45"/>
      <c r="R199" s="46"/>
      <c r="S199" s="512"/>
      <c r="T199" s="57"/>
      <c r="U199" s="512"/>
      <c r="V199" s="57"/>
      <c r="W199" s="114"/>
      <c r="X199" s="49"/>
      <c r="Y199" s="50"/>
      <c r="Z199" s="115"/>
      <c r="AA199" s="114"/>
      <c r="AB199" s="49"/>
      <c r="AC199" s="50"/>
      <c r="AD199" s="115"/>
      <c r="AE199" s="208">
        <f>_15_同援日０．５+ROUND((_15_同援日０．５＿１．５*(1+_15・B夜間)),0)+ROUND((_15_同援日０．５＿１．５＿１．０*(1+_15・C深夜)),0)</f>
        <v>770</v>
      </c>
      <c r="AF199" s="48"/>
    </row>
    <row r="200" spans="1:32" ht="16.5" customHeight="1" x14ac:dyDescent="0.15">
      <c r="A200" s="41">
        <v>15</v>
      </c>
      <c r="B200" s="41" t="s">
        <v>23029</v>
      </c>
      <c r="C200" s="74" t="s">
        <v>23030</v>
      </c>
      <c r="D200" s="72"/>
      <c r="F200" s="57"/>
      <c r="G200" s="72"/>
      <c r="I200" s="57"/>
      <c r="J200" s="72" t="s">
        <v>17589</v>
      </c>
      <c r="L200" s="57"/>
      <c r="M200" s="122"/>
      <c r="N200" s="37"/>
      <c r="O200" s="38"/>
      <c r="P200" s="299" t="s">
        <v>17556</v>
      </c>
      <c r="Q200" s="45" t="s">
        <v>398</v>
      </c>
      <c r="R200" s="46">
        <v>1</v>
      </c>
      <c r="S200" s="512"/>
      <c r="T200" s="57"/>
      <c r="U200" s="512"/>
      <c r="V200" s="57"/>
      <c r="W200" s="72"/>
      <c r="Z200" s="57"/>
      <c r="AA200" s="72"/>
      <c r="AD200" s="57"/>
      <c r="AE200" s="208">
        <f>ROUND((_15_同援日０．５*_15・２人),0)+ROUND((ROUND((_15_同援日０．５＿１．５*_15・２人),0)*(1+_15・B夜間)),0)+ROUND((ROUND((_15_同援日０．５＿１．５＿１．０*_15・２人),0)*(1+_15・C深夜)),0)</f>
        <v>770</v>
      </c>
      <c r="AF200" s="48"/>
    </row>
    <row r="201" spans="1:32" ht="16.5" customHeight="1" x14ac:dyDescent="0.15">
      <c r="A201" s="41">
        <v>15</v>
      </c>
      <c r="B201" s="41" t="s">
        <v>23031</v>
      </c>
      <c r="C201" s="74" t="s">
        <v>23032</v>
      </c>
      <c r="D201" s="72"/>
      <c r="F201" s="57"/>
      <c r="G201" s="72"/>
      <c r="I201" s="57"/>
      <c r="J201" s="72" t="s">
        <v>17591</v>
      </c>
      <c r="L201" s="57"/>
      <c r="M201" s="114" t="s">
        <v>17558</v>
      </c>
      <c r="N201" s="49"/>
      <c r="O201" s="50"/>
      <c r="P201" s="299"/>
      <c r="Q201" s="45"/>
      <c r="R201" s="46"/>
      <c r="S201" s="512"/>
      <c r="T201" s="57"/>
      <c r="U201" s="512"/>
      <c r="V201" s="57"/>
      <c r="W201" s="72"/>
      <c r="Z201" s="57"/>
      <c r="AA201" s="72"/>
      <c r="AD201" s="57"/>
      <c r="AE201" s="208">
        <f>ROUND((_15_同援日０．５*_15・基礎２),0)+ROUND((ROUND((_15_同援日０．５＿１．５*_15・基礎２),0)*(1+_15・B夜間)),0)+ROUND((ROUND((_15_同援日０．５＿１．５＿１．０*_15・基礎２),0)*(1+_15・C深夜)),0)</f>
        <v>693</v>
      </c>
      <c r="AF201" s="48"/>
    </row>
    <row r="202" spans="1:32" ht="16.5" customHeight="1" x14ac:dyDescent="0.15">
      <c r="A202" s="41">
        <v>15</v>
      </c>
      <c r="B202" s="41" t="s">
        <v>23033</v>
      </c>
      <c r="C202" s="74" t="s">
        <v>23034</v>
      </c>
      <c r="D202" s="72"/>
      <c r="F202" s="57"/>
      <c r="G202" s="72"/>
      <c r="I202" s="57"/>
      <c r="J202" s="72"/>
      <c r="K202" s="168">
        <f>_15_同援日０．５＿１．５＿１．０</f>
        <v>130</v>
      </c>
      <c r="L202" s="57" t="s">
        <v>392</v>
      </c>
      <c r="M202" s="122" t="s">
        <v>17560</v>
      </c>
      <c r="N202" s="37" t="s">
        <v>398</v>
      </c>
      <c r="O202" s="38">
        <v>0.9</v>
      </c>
      <c r="P202" s="299" t="s">
        <v>17556</v>
      </c>
      <c r="Q202" s="45" t="s">
        <v>398</v>
      </c>
      <c r="R202" s="46">
        <v>1</v>
      </c>
      <c r="S202" s="512"/>
      <c r="T202" s="57"/>
      <c r="U202" s="512"/>
      <c r="V202" s="57"/>
      <c r="W202" s="122"/>
      <c r="X202" s="37"/>
      <c r="Y202" s="38"/>
      <c r="Z202" s="79"/>
      <c r="AA202" s="72"/>
      <c r="AD202" s="57"/>
      <c r="AE202" s="208">
        <f>ROUND((ROUND((_15_同援日０．５*_15・基礎２),0)*_15・２人),0)+ROUND((ROUND((ROUND((_15_同援日０．５＿１．５*_15・基礎２),0)*_15・２人),0)*(1+_15・B夜間)),0)+ROUND((ROUND((ROUND((_15_同援日０．５＿１．５＿１．０*_15・基礎２),0)*_15・２人),0)*(1+_15・C深夜)),0)</f>
        <v>693</v>
      </c>
      <c r="AF202" s="48"/>
    </row>
    <row r="203" spans="1:32" ht="16.5" customHeight="1" x14ac:dyDescent="0.15">
      <c r="A203" s="41">
        <v>15</v>
      </c>
      <c r="B203" s="41" t="s">
        <v>23035</v>
      </c>
      <c r="C203" s="74" t="s">
        <v>23036</v>
      </c>
      <c r="D203" s="72"/>
      <c r="F203" s="57"/>
      <c r="G203" s="72"/>
      <c r="I203" s="57"/>
      <c r="J203" s="72"/>
      <c r="L203" s="57"/>
      <c r="M203" s="114"/>
      <c r="N203" s="49"/>
      <c r="O203" s="50"/>
      <c r="P203" s="299"/>
      <c r="Q203" s="45"/>
      <c r="R203" s="46"/>
      <c r="S203" s="512"/>
      <c r="T203" s="57"/>
      <c r="U203" s="512"/>
      <c r="V203" s="57"/>
      <c r="W203" s="114" t="s">
        <v>17562</v>
      </c>
      <c r="X203" s="49"/>
      <c r="Y203" s="50"/>
      <c r="Z203" s="115"/>
      <c r="AA203" s="72"/>
      <c r="AD203" s="57"/>
      <c r="AE203" s="208">
        <f>ROUND((_15_同援日０．５*(1+_15・盲ろう)),0)+ROUND((ROUND((_15_同援日０．５＿１．５*(1+_15・B夜間)),0)*(1+_15・盲ろう)),0)+ROUND((ROUND((_15_同援日０．５＿１．５＿１．０*(1+_15・C深夜)),0)*(1+_15・盲ろう)),0)</f>
        <v>963</v>
      </c>
      <c r="AF203" s="48"/>
    </row>
    <row r="204" spans="1:32" ht="16.5" customHeight="1" x14ac:dyDescent="0.15">
      <c r="A204" s="41">
        <v>15</v>
      </c>
      <c r="B204" s="41" t="s">
        <v>23037</v>
      </c>
      <c r="C204" s="74" t="s">
        <v>23038</v>
      </c>
      <c r="D204" s="72"/>
      <c r="F204" s="57"/>
      <c r="G204" s="72"/>
      <c r="I204" s="57"/>
      <c r="J204" s="72"/>
      <c r="L204" s="57"/>
      <c r="M204" s="122"/>
      <c r="N204" s="37"/>
      <c r="O204" s="38"/>
      <c r="P204" s="299" t="s">
        <v>17556</v>
      </c>
      <c r="Q204" s="45" t="s">
        <v>398</v>
      </c>
      <c r="R204" s="46">
        <v>1</v>
      </c>
      <c r="S204" s="512"/>
      <c r="T204" s="57"/>
      <c r="U204" s="512"/>
      <c r="V204" s="57"/>
      <c r="W204" s="72" t="s">
        <v>17564</v>
      </c>
      <c r="Z204" s="57"/>
      <c r="AA204" s="72"/>
      <c r="AD204" s="57"/>
      <c r="AE204" s="208">
        <f>ROUND((ROUND((_15_同援日０．５*_15・２人),0)*(1+_15・盲ろう)),0)+ROUND((ROUND((ROUND((_15_同援日０．５＿１．５*_15・２人),0)*(1+_15・B夜間)),0)*(1+_15・盲ろう)),0)+ROUND((ROUND((ROUND((_15_同援日０．５＿１．５＿１．０*_15・２人),0)*(1+_15・C深夜)),0)*(1+_15・盲ろう)),0)</f>
        <v>963</v>
      </c>
      <c r="AF204" s="48"/>
    </row>
    <row r="205" spans="1:32" ht="16.5" customHeight="1" x14ac:dyDescent="0.15">
      <c r="A205" s="41">
        <v>15</v>
      </c>
      <c r="B205" s="41" t="s">
        <v>23039</v>
      </c>
      <c r="C205" s="74" t="s">
        <v>23040</v>
      </c>
      <c r="D205" s="72"/>
      <c r="F205" s="57"/>
      <c r="G205" s="72"/>
      <c r="I205" s="57"/>
      <c r="J205" s="72"/>
      <c r="L205" s="57"/>
      <c r="M205" s="114" t="s">
        <v>17558</v>
      </c>
      <c r="N205" s="49"/>
      <c r="O205" s="50"/>
      <c r="P205" s="299"/>
      <c r="Q205" s="45"/>
      <c r="R205" s="46"/>
      <c r="S205" s="512"/>
      <c r="T205" s="57"/>
      <c r="U205" s="512"/>
      <c r="V205" s="57"/>
      <c r="W205" s="72"/>
      <c r="X205" s="12" t="s">
        <v>398</v>
      </c>
      <c r="Y205" s="13">
        <v>0.25</v>
      </c>
      <c r="Z205" s="57" t="s">
        <v>3575</v>
      </c>
      <c r="AA205" s="72"/>
      <c r="AD205" s="57"/>
      <c r="AE205" s="208">
        <f>ROUND((ROUND((_15_同援日０．５*_15・基礎２),0)*(1+_15・盲ろう)),0)+ROUND((ROUND((ROUND((_15_同援日０．５＿１．５*_15・基礎２),0)*(1+_15・B夜間)),0)*(1+_15・盲ろう)),0)+ROUND((ROUND((ROUND((_15_同援日０．５＿１．５＿１．０*_15・基礎２),0)*(1+_15・C深夜)),0)*(1+_15・盲ろう)),0)</f>
        <v>867</v>
      </c>
      <c r="AF205" s="48"/>
    </row>
    <row r="206" spans="1:32" ht="16.5" customHeight="1" x14ac:dyDescent="0.15">
      <c r="A206" s="41">
        <v>15</v>
      </c>
      <c r="B206" s="41" t="s">
        <v>23041</v>
      </c>
      <c r="C206" s="74" t="s">
        <v>23042</v>
      </c>
      <c r="D206" s="72"/>
      <c r="F206" s="57"/>
      <c r="G206" s="72"/>
      <c r="I206" s="57"/>
      <c r="J206" s="72"/>
      <c r="L206" s="57"/>
      <c r="M206" s="122" t="s">
        <v>17560</v>
      </c>
      <c r="N206" s="37" t="s">
        <v>398</v>
      </c>
      <c r="O206" s="38">
        <v>0.9</v>
      </c>
      <c r="P206" s="299" t="s">
        <v>17556</v>
      </c>
      <c r="Q206" s="45" t="s">
        <v>398</v>
      </c>
      <c r="R206" s="46">
        <v>1</v>
      </c>
      <c r="S206" s="512"/>
      <c r="T206" s="57"/>
      <c r="U206" s="512"/>
      <c r="V206" s="57"/>
      <c r="W206" s="122"/>
      <c r="X206" s="37"/>
      <c r="Y206" s="38"/>
      <c r="Z206" s="79"/>
      <c r="AA206" s="122"/>
      <c r="AB206" s="37"/>
      <c r="AC206" s="38"/>
      <c r="AD206" s="79"/>
      <c r="AE206" s="208">
        <f>ROUND((ROUND((ROUND((_15_同援日０．５*_15・基礎２),0)*_15・２人),0)*(1+_15・盲ろう)),0)+ROUND((ROUND((ROUND((ROUND((_15_同援日０．５＿１．５*_15・基礎２),0)*_15・２人),0)*(1+_15・B夜間)),0)*(1+_15・盲ろう)),0)+ROUND((ROUND((ROUND((ROUND((_15_同援日０．５＿１．５＿１．０*_15・基礎２),0)*_15・２人),0)*(1+_15・C深夜)),0)*(1+_15・盲ろう)),0)</f>
        <v>867</v>
      </c>
      <c r="AF206" s="48"/>
    </row>
    <row r="207" spans="1:32" ht="16.5" customHeight="1" x14ac:dyDescent="0.15">
      <c r="A207" s="41">
        <v>15</v>
      </c>
      <c r="B207" s="41" t="s">
        <v>23043</v>
      </c>
      <c r="C207" s="74" t="s">
        <v>23044</v>
      </c>
      <c r="D207" s="72"/>
      <c r="F207" s="57"/>
      <c r="G207" s="72"/>
      <c r="I207" s="57"/>
      <c r="J207" s="72"/>
      <c r="L207" s="57"/>
      <c r="M207" s="114"/>
      <c r="N207" s="49"/>
      <c r="O207" s="50"/>
      <c r="P207" s="299"/>
      <c r="Q207" s="45"/>
      <c r="R207" s="46"/>
      <c r="S207" s="512"/>
      <c r="T207" s="57"/>
      <c r="U207" s="512"/>
      <c r="V207" s="57"/>
      <c r="W207" s="114"/>
      <c r="X207" s="49"/>
      <c r="Y207" s="50"/>
      <c r="Z207" s="115"/>
      <c r="AA207" s="114"/>
      <c r="AB207" s="49"/>
      <c r="AC207" s="50"/>
      <c r="AD207" s="115"/>
      <c r="AE207" s="208">
        <f>ROUND((_15_同援日０．５*(1+_15・区３)),0)+ROUND((ROUND((_15_同援日０．５＿１．５*(1+_15・B夜間)),0)*(1+_15・区３)),0)+ROUND((ROUND((_15_同援日０．５＿１．５＿１．０*(1+_15・C深夜)),0)*(1+_15・区３)),0)</f>
        <v>924</v>
      </c>
      <c r="AF207" s="48"/>
    </row>
    <row r="208" spans="1:32" ht="16.5" customHeight="1" x14ac:dyDescent="0.15">
      <c r="A208" s="41">
        <v>15</v>
      </c>
      <c r="B208" s="41" t="s">
        <v>23045</v>
      </c>
      <c r="C208" s="74" t="s">
        <v>23046</v>
      </c>
      <c r="D208" s="72"/>
      <c r="F208" s="57"/>
      <c r="G208" s="72"/>
      <c r="I208" s="57"/>
      <c r="J208" s="72"/>
      <c r="L208" s="57"/>
      <c r="M208" s="122"/>
      <c r="N208" s="37"/>
      <c r="O208" s="38"/>
      <c r="P208" s="299" t="s">
        <v>17556</v>
      </c>
      <c r="Q208" s="45" t="s">
        <v>398</v>
      </c>
      <c r="R208" s="46">
        <v>1</v>
      </c>
      <c r="S208" s="512"/>
      <c r="T208" s="57"/>
      <c r="U208" s="512"/>
      <c r="V208" s="57"/>
      <c r="W208" s="72"/>
      <c r="Z208" s="57"/>
      <c r="AA208" s="72"/>
      <c r="AD208" s="57"/>
      <c r="AE208" s="208">
        <f>ROUND((ROUND((_15_同援日０．５*_15・２人),0)*(1+_15・区３)),0)+ROUND((ROUND((ROUND((_15_同援日０．５＿１．５*_15・２人),0)*(1+_15・B夜間)),0)*(1+_15・区３)),0)+ROUND((ROUND((ROUND((_15_同援日０．５＿１．５＿１．０*_15・２人),0)*(1+_15・C深夜)),0)*(1+_15・区３)),0)</f>
        <v>924</v>
      </c>
      <c r="AF208" s="48"/>
    </row>
    <row r="209" spans="1:32" ht="16.5" customHeight="1" x14ac:dyDescent="0.15">
      <c r="A209" s="41">
        <v>15</v>
      </c>
      <c r="B209" s="41" t="s">
        <v>1557</v>
      </c>
      <c r="C209" s="74" t="s">
        <v>23047</v>
      </c>
      <c r="D209" s="72"/>
      <c r="F209" s="57"/>
      <c r="G209" s="72"/>
      <c r="I209" s="57"/>
      <c r="J209" s="72"/>
      <c r="L209" s="57"/>
      <c r="M209" s="114" t="s">
        <v>17558</v>
      </c>
      <c r="N209" s="49"/>
      <c r="O209" s="50"/>
      <c r="P209" s="299"/>
      <c r="Q209" s="45"/>
      <c r="R209" s="46"/>
      <c r="S209" s="512"/>
      <c r="T209" s="57"/>
      <c r="U209" s="512"/>
      <c r="V209" s="57"/>
      <c r="W209" s="72"/>
      <c r="Z209" s="57"/>
      <c r="AA209" s="72" t="s">
        <v>17570</v>
      </c>
      <c r="AD209" s="57"/>
      <c r="AE209" s="208">
        <f>ROUND((ROUND((_15_同援日０．５*_15・基礎２),0)*(1+_15・区３)),0)+ROUND((ROUND((ROUND((_15_同援日０．５＿１．５*_15・基礎２),0)*(1+_15・B夜間)),0)*(1+_15・区３)),0)+ROUND((ROUND((ROUND((_15_同援日０．５＿１．５＿１．０*_15・基礎２),0)*(1+_15・C深夜)),0)*(1+_15・区３)),0)</f>
        <v>831</v>
      </c>
      <c r="AF209" s="48"/>
    </row>
    <row r="210" spans="1:32" ht="16.5" customHeight="1" x14ac:dyDescent="0.15">
      <c r="A210" s="41">
        <v>15</v>
      </c>
      <c r="B210" s="41" t="s">
        <v>1559</v>
      </c>
      <c r="C210" s="74" t="s">
        <v>23048</v>
      </c>
      <c r="D210" s="72"/>
      <c r="F210" s="57"/>
      <c r="G210" s="72"/>
      <c r="I210" s="57"/>
      <c r="J210" s="72"/>
      <c r="L210" s="57"/>
      <c r="M210" s="122" t="s">
        <v>17560</v>
      </c>
      <c r="N210" s="37" t="s">
        <v>398</v>
      </c>
      <c r="O210" s="38">
        <v>0.9</v>
      </c>
      <c r="P210" s="299" t="s">
        <v>17556</v>
      </c>
      <c r="Q210" s="45" t="s">
        <v>398</v>
      </c>
      <c r="R210" s="46">
        <v>1</v>
      </c>
      <c r="S210" s="512"/>
      <c r="T210" s="57"/>
      <c r="U210" s="512"/>
      <c r="V210" s="57"/>
      <c r="W210" s="122"/>
      <c r="X210" s="37"/>
      <c r="Y210" s="38"/>
      <c r="Z210" s="79"/>
      <c r="AA210" s="72" t="s">
        <v>17572</v>
      </c>
      <c r="AD210" s="57"/>
      <c r="AE210" s="208">
        <f>ROUND((ROUND((ROUND((_15_同援日０．５*_15・基礎２),0)*_15・２人),0)*(1+_15・区３)),0)+ROUND((ROUND((ROUND((ROUND((_15_同援日０．５＿１．５*_15・基礎２),0)*_15・２人),0)*(1+_15・B夜間)),0)*(1+_15・区３)),0)+ROUND((ROUND((ROUND((ROUND((_15_同援日０．５＿１．５＿１．０*_15・基礎２),0)*_15・２人),0)*(1+_15・C深夜)),0)*(1+_15・区３)),0)</f>
        <v>831</v>
      </c>
      <c r="AF210" s="48"/>
    </row>
    <row r="211" spans="1:32" ht="16.5" customHeight="1" x14ac:dyDescent="0.15">
      <c r="A211" s="41">
        <v>15</v>
      </c>
      <c r="B211" s="41" t="s">
        <v>1561</v>
      </c>
      <c r="C211" s="74" t="s">
        <v>23049</v>
      </c>
      <c r="D211" s="72"/>
      <c r="F211" s="57"/>
      <c r="G211" s="72"/>
      <c r="I211" s="57"/>
      <c r="J211" s="72"/>
      <c r="L211" s="57"/>
      <c r="M211" s="114"/>
      <c r="N211" s="49"/>
      <c r="O211" s="50"/>
      <c r="P211" s="299"/>
      <c r="Q211" s="45"/>
      <c r="R211" s="46"/>
      <c r="S211" s="512"/>
      <c r="T211" s="57"/>
      <c r="U211" s="512"/>
      <c r="V211" s="57"/>
      <c r="W211" s="114" t="s">
        <v>17562</v>
      </c>
      <c r="X211" s="49"/>
      <c r="Y211" s="50"/>
      <c r="Z211" s="115"/>
      <c r="AA211" s="72"/>
      <c r="AB211" s="12" t="s">
        <v>398</v>
      </c>
      <c r="AC211" s="13">
        <v>0.2</v>
      </c>
      <c r="AD211" s="57" t="s">
        <v>3575</v>
      </c>
      <c r="AE211" s="208">
        <f>ROUND((ROUND((_15_同援日０．５*(1+_15・盲ろう)),0)*(1+_15・区３)),0)+ROUND((ROUND((ROUND((_15_同援日０．５＿１．５*(1+_15・B夜間)),0)*(1+_15・盲ろう)),0)*(1+_15・区３)),0)+ROUND((ROUND((ROUND((_15_同援日０．５＿１．５＿１．０*(1+_15・C深夜)),0)*(1+_15・盲ろう)),0)*(1+_15・区３)),0)</f>
        <v>1156</v>
      </c>
      <c r="AF211" s="48"/>
    </row>
    <row r="212" spans="1:32" ht="16.5" customHeight="1" x14ac:dyDescent="0.15">
      <c r="A212" s="41">
        <v>15</v>
      </c>
      <c r="B212" s="41" t="s">
        <v>1563</v>
      </c>
      <c r="C212" s="74" t="s">
        <v>23050</v>
      </c>
      <c r="D212" s="72"/>
      <c r="F212" s="57"/>
      <c r="G212" s="72"/>
      <c r="I212" s="57"/>
      <c r="J212" s="72"/>
      <c r="L212" s="57"/>
      <c r="M212" s="122"/>
      <c r="N212" s="37"/>
      <c r="O212" s="38"/>
      <c r="P212" s="299" t="s">
        <v>17556</v>
      </c>
      <c r="Q212" s="45" t="s">
        <v>398</v>
      </c>
      <c r="R212" s="46">
        <v>1</v>
      </c>
      <c r="S212" s="512"/>
      <c r="T212" s="57"/>
      <c r="U212" s="512"/>
      <c r="V212" s="57"/>
      <c r="W212" s="72" t="s">
        <v>17564</v>
      </c>
      <c r="Z212" s="57"/>
      <c r="AA212" s="72"/>
      <c r="AD212" s="57"/>
      <c r="AE212" s="208">
        <f>ROUND((ROUND((ROUND((_15_同援日０．５*_15・２人),0)*(1+_15・盲ろう)),0)*(1+_15・区３)),0)+ROUND((ROUND((ROUND((ROUND((_15_同援日０．５＿１．５*_15・２人),0)*(1+_15・B夜間)),0)*(1+_15・盲ろう)),0)*(1+_15・区３)),0)+ROUND((ROUND((ROUND((ROUND((_15_同援日０．５＿１．５＿１．０*_15・２人),0)*(1+_15・C深夜)),0)*(1+_15・盲ろう)),0)*(1+_15・区３)),0)</f>
        <v>1156</v>
      </c>
      <c r="AF212" s="48"/>
    </row>
    <row r="213" spans="1:32" ht="16.5" customHeight="1" x14ac:dyDescent="0.15">
      <c r="A213" s="41">
        <v>15</v>
      </c>
      <c r="B213" s="41" t="s">
        <v>23051</v>
      </c>
      <c r="C213" s="74" t="s">
        <v>23052</v>
      </c>
      <c r="D213" s="72"/>
      <c r="F213" s="57"/>
      <c r="G213" s="72"/>
      <c r="I213" s="57"/>
      <c r="J213" s="72"/>
      <c r="L213" s="57"/>
      <c r="M213" s="114" t="s">
        <v>17558</v>
      </c>
      <c r="N213" s="49"/>
      <c r="O213" s="50"/>
      <c r="P213" s="299"/>
      <c r="Q213" s="45"/>
      <c r="R213" s="46"/>
      <c r="S213" s="512"/>
      <c r="T213" s="57"/>
      <c r="U213" s="512"/>
      <c r="V213" s="57"/>
      <c r="W213" s="72"/>
      <c r="X213" s="12" t="s">
        <v>398</v>
      </c>
      <c r="Y213" s="13">
        <v>0.25</v>
      </c>
      <c r="Z213" s="57" t="s">
        <v>3575</v>
      </c>
      <c r="AA213" s="72"/>
      <c r="AD213" s="57"/>
      <c r="AE213" s="208">
        <f>ROUND((ROUND((ROUND((_15_同援日０．５*_15・基礎２),0)*(1+_15・盲ろう)),0)*(1+_15・区３)),0)+ROUND((ROUND((ROUND((ROUND((_15_同援日０．５＿１．５*_15・基礎２),0)*(1+_15・B夜間)),0)*(1+_15・盲ろう)),0)*(1+_15・区３)),0)+ROUND((ROUND((ROUND((ROUND((_15_同援日０．５＿１．５＿１．０*_15・基礎２),0)*(1+_15・C深夜)),0)*(1+_15・盲ろう)),0)*(1+_15・区３)),0)</f>
        <v>1041</v>
      </c>
      <c r="AF213" s="48"/>
    </row>
    <row r="214" spans="1:32" ht="16.5" customHeight="1" x14ac:dyDescent="0.15">
      <c r="A214" s="41">
        <v>15</v>
      </c>
      <c r="B214" s="41" t="s">
        <v>23053</v>
      </c>
      <c r="C214" s="74" t="s">
        <v>23054</v>
      </c>
      <c r="D214" s="72"/>
      <c r="F214" s="57"/>
      <c r="G214" s="72"/>
      <c r="I214" s="57"/>
      <c r="J214" s="72"/>
      <c r="L214" s="57"/>
      <c r="M214" s="122" t="s">
        <v>17560</v>
      </c>
      <c r="N214" s="37" t="s">
        <v>398</v>
      </c>
      <c r="O214" s="38">
        <v>0.9</v>
      </c>
      <c r="P214" s="299" t="s">
        <v>17556</v>
      </c>
      <c r="Q214" s="45" t="s">
        <v>398</v>
      </c>
      <c r="R214" s="46">
        <v>1</v>
      </c>
      <c r="S214" s="512"/>
      <c r="T214" s="57"/>
      <c r="U214" s="512"/>
      <c r="V214" s="57"/>
      <c r="W214" s="122"/>
      <c r="X214" s="37"/>
      <c r="Y214" s="38"/>
      <c r="Z214" s="79"/>
      <c r="AA214" s="122"/>
      <c r="AB214" s="37"/>
      <c r="AC214" s="38"/>
      <c r="AD214" s="79"/>
      <c r="AE214" s="208">
        <f>ROUND((ROUND((ROUND((ROUND((_15_同援日０．５*_15・基礎２),0)*_15・２人),0)*(1+_15・盲ろう)),0)*(1+_15・区３)),0)+ROUND((ROUND((ROUND((ROUND((ROUND((_15_同援日０．５＿１．５*_15・基礎２),0)*_15・２人),0)*(1+_15・B夜間)),0)*(1+_15・盲ろう)),0)*(1+_15・区３)),0)+ROUND((ROUND((ROUND((ROUND((ROUND((_15_同援日０．５＿１．５＿１．０*_15・基礎２),0)*_15・２人),0)*(1+_15・C深夜)),0)*(1+_15・盲ろう)),0)*(1+_15・区３)),0)</f>
        <v>1041</v>
      </c>
      <c r="AF214" s="48"/>
    </row>
    <row r="215" spans="1:32" ht="16.5" customHeight="1" x14ac:dyDescent="0.15">
      <c r="A215" s="41">
        <v>15</v>
      </c>
      <c r="B215" s="41" t="s">
        <v>23055</v>
      </c>
      <c r="C215" s="74" t="s">
        <v>23056</v>
      </c>
      <c r="D215" s="72"/>
      <c r="F215" s="57"/>
      <c r="G215" s="72"/>
      <c r="I215" s="57"/>
      <c r="J215" s="72"/>
      <c r="L215" s="57"/>
      <c r="M215" s="114"/>
      <c r="N215" s="49"/>
      <c r="O215" s="50"/>
      <c r="P215" s="299"/>
      <c r="Q215" s="45"/>
      <c r="R215" s="46"/>
      <c r="S215" s="512"/>
      <c r="T215" s="57"/>
      <c r="U215" s="512"/>
      <c r="V215" s="57"/>
      <c r="W215" s="114"/>
      <c r="X215" s="49"/>
      <c r="Y215" s="50"/>
      <c r="Z215" s="115"/>
      <c r="AA215" s="114"/>
      <c r="AB215" s="49"/>
      <c r="AC215" s="50"/>
      <c r="AD215" s="115"/>
      <c r="AE215" s="208">
        <f>ROUND((_15_同援日０．５*(1+_15・区４)),0)+ROUND((ROUND((_15_同援日０．５＿１．５*(1+_15・B夜間)),0)*(1+_15・区４)),0)+ROUND((ROUND((_15_同援日０．５＿１．５＿１．０*(1+_15・C深夜)),0)*(1+_15・区４)),0)</f>
        <v>1078</v>
      </c>
      <c r="AF215" s="48"/>
    </row>
    <row r="216" spans="1:32" ht="16.5" customHeight="1" x14ac:dyDescent="0.15">
      <c r="A216" s="41">
        <v>15</v>
      </c>
      <c r="B216" s="41" t="s">
        <v>23057</v>
      </c>
      <c r="C216" s="74" t="s">
        <v>23058</v>
      </c>
      <c r="D216" s="72"/>
      <c r="F216" s="57"/>
      <c r="G216" s="72"/>
      <c r="I216" s="57"/>
      <c r="J216" s="72"/>
      <c r="L216" s="57"/>
      <c r="M216" s="122"/>
      <c r="N216" s="37"/>
      <c r="O216" s="38"/>
      <c r="P216" s="299" t="s">
        <v>17556</v>
      </c>
      <c r="Q216" s="45" t="s">
        <v>398</v>
      </c>
      <c r="R216" s="46">
        <v>1</v>
      </c>
      <c r="S216" s="512"/>
      <c r="T216" s="57"/>
      <c r="U216" s="512"/>
      <c r="V216" s="57"/>
      <c r="W216" s="72"/>
      <c r="Z216" s="57"/>
      <c r="AA216" s="72"/>
      <c r="AD216" s="57"/>
      <c r="AE216" s="208">
        <f>ROUND((ROUND((_15_同援日０．５*_15・２人),0)*(1+_15・区４)),0)+ROUND((ROUND((ROUND((_15_同援日０．５＿１．５*_15・２人),0)*(1+_15・B夜間)),0)*(1+_15・区４)),0)+ROUND((ROUND((ROUND((_15_同援日０．５＿１．５＿１．０*_15・２人),0)*(1+_15・C深夜)),0)*(1+_15・区４)),0)</f>
        <v>1078</v>
      </c>
      <c r="AF216" s="48"/>
    </row>
    <row r="217" spans="1:32" ht="16.5" customHeight="1" x14ac:dyDescent="0.15">
      <c r="A217" s="41">
        <v>15</v>
      </c>
      <c r="B217" s="41" t="s">
        <v>23059</v>
      </c>
      <c r="C217" s="74" t="s">
        <v>23060</v>
      </c>
      <c r="D217" s="72"/>
      <c r="F217" s="57"/>
      <c r="G217" s="72"/>
      <c r="I217" s="57"/>
      <c r="J217" s="72"/>
      <c r="L217" s="57"/>
      <c r="M217" s="114" t="s">
        <v>17558</v>
      </c>
      <c r="N217" s="49"/>
      <c r="O217" s="50"/>
      <c r="P217" s="299"/>
      <c r="Q217" s="45"/>
      <c r="R217" s="46"/>
      <c r="S217" s="512"/>
      <c r="T217" s="57"/>
      <c r="U217" s="512"/>
      <c r="V217" s="57"/>
      <c r="W217" s="72"/>
      <c r="Z217" s="57"/>
      <c r="AA217" s="72" t="s">
        <v>17580</v>
      </c>
      <c r="AD217" s="57"/>
      <c r="AE217" s="208">
        <f>ROUND((ROUND((_15_同援日０．５*_15・基礎２),0)*(1+_15・区４)),0)+ROUND((ROUND((ROUND((_15_同援日０．５＿１．５*_15・基礎２),0)*(1+_15・B夜間)),0)*(1+_15・区４)),0)+ROUND((ROUND((ROUND((_15_同援日０．５＿１．５＿１．０*_15・基礎２),0)*(1+_15・C深夜)),0)*(1+_15・区４)),0)</f>
        <v>969</v>
      </c>
      <c r="AF217" s="48"/>
    </row>
    <row r="218" spans="1:32" ht="16.5" customHeight="1" x14ac:dyDescent="0.15">
      <c r="A218" s="41">
        <v>15</v>
      </c>
      <c r="B218" s="41" t="s">
        <v>23061</v>
      </c>
      <c r="C218" s="74" t="s">
        <v>23062</v>
      </c>
      <c r="D218" s="72"/>
      <c r="F218" s="57"/>
      <c r="G218" s="72"/>
      <c r="I218" s="57"/>
      <c r="J218" s="72"/>
      <c r="L218" s="57"/>
      <c r="M218" s="122" t="s">
        <v>17560</v>
      </c>
      <c r="N218" s="37" t="s">
        <v>398</v>
      </c>
      <c r="O218" s="38">
        <v>0.9</v>
      </c>
      <c r="P218" s="299" t="s">
        <v>17556</v>
      </c>
      <c r="Q218" s="45" t="s">
        <v>398</v>
      </c>
      <c r="R218" s="46">
        <v>1</v>
      </c>
      <c r="S218" s="512"/>
      <c r="T218" s="57"/>
      <c r="U218" s="512"/>
      <c r="V218" s="57"/>
      <c r="W218" s="122"/>
      <c r="X218" s="37"/>
      <c r="Y218" s="38"/>
      <c r="Z218" s="79"/>
      <c r="AA218" s="72" t="s">
        <v>17572</v>
      </c>
      <c r="AD218" s="57"/>
      <c r="AE218" s="208">
        <f>ROUND((ROUND((ROUND((_15_同援日０．５*_15・基礎２),0)*_15・２人),0)*(1+_15・区４)),0)+ROUND((ROUND((ROUND((ROUND((_15_同援日０．５＿１．５*_15・基礎２),0)*_15・２人),0)*(1+_15・B夜間)),0)*(1+_15・区４)),0)+ROUND((ROUND((ROUND((ROUND((_15_同援日０．５＿１．５＿１．０*_15・基礎２),0)*_15・２人),0)*(1+_15・C深夜)),0)*(1+_15・区４)),0)</f>
        <v>969</v>
      </c>
      <c r="AF218" s="48"/>
    </row>
    <row r="219" spans="1:32" ht="16.5" customHeight="1" x14ac:dyDescent="0.15">
      <c r="A219" s="41">
        <v>15</v>
      </c>
      <c r="B219" s="41" t="s">
        <v>23063</v>
      </c>
      <c r="C219" s="74" t="s">
        <v>23064</v>
      </c>
      <c r="D219" s="72"/>
      <c r="F219" s="57"/>
      <c r="G219" s="72"/>
      <c r="I219" s="57"/>
      <c r="J219" s="72"/>
      <c r="L219" s="57"/>
      <c r="M219" s="114"/>
      <c r="N219" s="49"/>
      <c r="O219" s="50"/>
      <c r="P219" s="299"/>
      <c r="Q219" s="45"/>
      <c r="R219" s="46"/>
      <c r="S219" s="512"/>
      <c r="T219" s="57"/>
      <c r="U219" s="512"/>
      <c r="V219" s="57"/>
      <c r="W219" s="114" t="s">
        <v>17562</v>
      </c>
      <c r="X219" s="49"/>
      <c r="Y219" s="50"/>
      <c r="Z219" s="115"/>
      <c r="AA219" s="72"/>
      <c r="AB219" s="12" t="s">
        <v>398</v>
      </c>
      <c r="AC219" s="13">
        <v>0.4</v>
      </c>
      <c r="AD219" s="57" t="s">
        <v>3575</v>
      </c>
      <c r="AE219" s="208">
        <f>ROUND((ROUND((_15_同援日０．５*(1+_15・盲ろう)),0)*(1+_15・区４)),0)+ROUND((ROUND((ROUND((_15_同援日０．５＿１．５*(1+_15・B夜間)),0)*(1+_15・盲ろう)),0)*(1+_15・区４)),0)+ROUND((ROUND((ROUND((_15_同援日０．５＿１．５＿１．０*(1+_15・C深夜)),0)*(1+_15・盲ろう)),0)*(1+_15・区４)),0)</f>
        <v>1348</v>
      </c>
      <c r="AF219" s="48"/>
    </row>
    <row r="220" spans="1:32" ht="16.5" customHeight="1" x14ac:dyDescent="0.15">
      <c r="A220" s="41">
        <v>15</v>
      </c>
      <c r="B220" s="41" t="s">
        <v>23065</v>
      </c>
      <c r="C220" s="74" t="s">
        <v>23066</v>
      </c>
      <c r="D220" s="72"/>
      <c r="F220" s="57"/>
      <c r="G220" s="72"/>
      <c r="I220" s="57"/>
      <c r="J220" s="72"/>
      <c r="L220" s="57"/>
      <c r="M220" s="122"/>
      <c r="N220" s="37"/>
      <c r="O220" s="38"/>
      <c r="P220" s="299" t="s">
        <v>17556</v>
      </c>
      <c r="Q220" s="45" t="s">
        <v>398</v>
      </c>
      <c r="R220" s="46">
        <v>1</v>
      </c>
      <c r="S220" s="512"/>
      <c r="T220" s="57"/>
      <c r="U220" s="512"/>
      <c r="V220" s="57"/>
      <c r="W220" s="72" t="s">
        <v>17564</v>
      </c>
      <c r="Z220" s="57"/>
      <c r="AA220" s="72"/>
      <c r="AD220" s="57"/>
      <c r="AE220" s="208">
        <f>ROUND((ROUND((ROUND((_15_同援日０．５*_15・２人),0)*(1+_15・盲ろう)),0)*(1+_15・区４)),0)+ROUND((ROUND((ROUND((ROUND((_15_同援日０．５＿１．５*_15・２人),0)*(1+_15・B夜間)),0)*(1+_15・盲ろう)),0)*(1+_15・区４)),0)+ROUND((ROUND((ROUND((ROUND((_15_同援日０．５＿１．５＿１．０*_15・２人),0)*(1+_15・C深夜)),0)*(1+_15・盲ろう)),0)*(1+_15・区４)),0)</f>
        <v>1348</v>
      </c>
      <c r="AF220" s="48"/>
    </row>
    <row r="221" spans="1:32" ht="16.5" customHeight="1" x14ac:dyDescent="0.15">
      <c r="A221" s="41">
        <v>15</v>
      </c>
      <c r="B221" s="41" t="s">
        <v>23067</v>
      </c>
      <c r="C221" s="74" t="s">
        <v>23068</v>
      </c>
      <c r="D221" s="72"/>
      <c r="F221" s="57"/>
      <c r="G221" s="72"/>
      <c r="I221" s="57"/>
      <c r="J221" s="72"/>
      <c r="L221" s="57"/>
      <c r="M221" s="114" t="s">
        <v>17558</v>
      </c>
      <c r="N221" s="49"/>
      <c r="O221" s="50"/>
      <c r="P221" s="299"/>
      <c r="Q221" s="45"/>
      <c r="R221" s="46"/>
      <c r="S221" s="512"/>
      <c r="T221" s="57"/>
      <c r="U221" s="512"/>
      <c r="V221" s="57"/>
      <c r="W221" s="72"/>
      <c r="X221" s="12" t="s">
        <v>398</v>
      </c>
      <c r="Y221" s="13">
        <v>0.25</v>
      </c>
      <c r="Z221" s="57" t="s">
        <v>3575</v>
      </c>
      <c r="AA221" s="72"/>
      <c r="AD221" s="57"/>
      <c r="AE221" s="208">
        <f>ROUND((ROUND((ROUND((_15_同援日０．５*_15・基礎２),0)*(1+_15・盲ろう)),0)*(1+_15・区４)),0)+ROUND((ROUND((ROUND((ROUND((_15_同援日０．５＿１．５*_15・基礎２),0)*(1+_15・B夜間)),0)*(1+_15・盲ろう)),0)*(1+_15・区４)),0)+ROUND((ROUND((ROUND((ROUND((_15_同援日０．５＿１．５＿１．０*_15・基礎２),0)*(1+_15・C深夜)),0)*(1+_15・盲ろう)),0)*(1+_15・区４)),0)</f>
        <v>1214</v>
      </c>
      <c r="AF221" s="48"/>
    </row>
    <row r="222" spans="1:32" ht="16.5" customHeight="1" x14ac:dyDescent="0.15">
      <c r="A222" s="41">
        <v>15</v>
      </c>
      <c r="B222" s="41" t="s">
        <v>23069</v>
      </c>
      <c r="C222" s="74" t="s">
        <v>23070</v>
      </c>
      <c r="D222" s="72"/>
      <c r="F222" s="57"/>
      <c r="G222" s="122"/>
      <c r="H222" s="37"/>
      <c r="I222" s="79"/>
      <c r="J222" s="122"/>
      <c r="K222" s="37"/>
      <c r="L222" s="79"/>
      <c r="M222" s="122" t="s">
        <v>17560</v>
      </c>
      <c r="N222" s="37" t="s">
        <v>398</v>
      </c>
      <c r="O222" s="38">
        <v>0.9</v>
      </c>
      <c r="P222" s="299" t="s">
        <v>17556</v>
      </c>
      <c r="Q222" s="45" t="s">
        <v>398</v>
      </c>
      <c r="R222" s="46">
        <v>1</v>
      </c>
      <c r="S222" s="512"/>
      <c r="T222" s="57"/>
      <c r="U222" s="512"/>
      <c r="V222" s="57"/>
      <c r="W222" s="122"/>
      <c r="X222" s="37"/>
      <c r="Y222" s="38"/>
      <c r="Z222" s="79"/>
      <c r="AA222" s="122"/>
      <c r="AB222" s="37"/>
      <c r="AC222" s="38"/>
      <c r="AD222" s="79"/>
      <c r="AE222" s="208">
        <f>ROUND((ROUND((ROUND((ROUND((_15_同援日０．５*_15・基礎２),0)*_15・２人),0)*(1+_15・盲ろう)),0)*(1+_15・区４)),0)+ROUND((ROUND((ROUND((ROUND((ROUND((_15_同援日０．５＿１．５*_15・基礎２),0)*_15・２人),0)*(1+_15・B夜間)),0)*(1+_15・盲ろう)),0)*(1+_15・区４)),0)+ROUND((ROUND((ROUND((ROUND((ROUND((_15_同援日０．５＿１．５＿１．０*_15・基礎２),0)*_15・２人),0)*(1+_15・C深夜)),0)*(1+_15・盲ろう)),0)*(1+_15・区４)),0)</f>
        <v>1214</v>
      </c>
      <c r="AF222" s="48"/>
    </row>
    <row r="223" spans="1:32" ht="16.5" customHeight="1" x14ac:dyDescent="0.15">
      <c r="A223" s="41">
        <v>15</v>
      </c>
      <c r="B223" s="41" t="s">
        <v>23071</v>
      </c>
      <c r="C223" s="74" t="s">
        <v>23072</v>
      </c>
      <c r="D223" s="72"/>
      <c r="F223" s="57"/>
      <c r="G223" s="114" t="s">
        <v>19628</v>
      </c>
      <c r="H223" s="49"/>
      <c r="I223" s="115"/>
      <c r="J223" s="114" t="s">
        <v>22681</v>
      </c>
      <c r="K223" s="49"/>
      <c r="L223" s="115"/>
      <c r="M223" s="114"/>
      <c r="N223" s="49"/>
      <c r="O223" s="50"/>
      <c r="P223" s="299"/>
      <c r="Q223" s="45"/>
      <c r="R223" s="46"/>
      <c r="S223" s="512"/>
      <c r="T223" s="57"/>
      <c r="U223" s="512"/>
      <c r="V223" s="57"/>
      <c r="W223" s="114"/>
      <c r="X223" s="49"/>
      <c r="Y223" s="50"/>
      <c r="Z223" s="115"/>
      <c r="AA223" s="114"/>
      <c r="AB223" s="49"/>
      <c r="AC223" s="50"/>
      <c r="AD223" s="115"/>
      <c r="AE223" s="208">
        <f>_15_同援日０．５+ROUND((_15_同援日０．５＿２．０*(1+_15・B夜間)),0)+ROUND((_15_同援日０．５＿２．０＿０．５*(1+_15・C深夜)),0)</f>
        <v>754</v>
      </c>
      <c r="AF223" s="48"/>
    </row>
    <row r="224" spans="1:32" ht="16.5" customHeight="1" x14ac:dyDescent="0.15">
      <c r="A224" s="41">
        <v>15</v>
      </c>
      <c r="B224" s="41" t="s">
        <v>23073</v>
      </c>
      <c r="C224" s="74" t="s">
        <v>23074</v>
      </c>
      <c r="D224" s="72"/>
      <c r="F224" s="57"/>
      <c r="G224" s="72" t="s">
        <v>17643</v>
      </c>
      <c r="I224" s="57"/>
      <c r="J224" s="72" t="s">
        <v>18259</v>
      </c>
      <c r="L224" s="57"/>
      <c r="M224" s="122"/>
      <c r="N224" s="37"/>
      <c r="O224" s="38"/>
      <c r="P224" s="299" t="s">
        <v>17556</v>
      </c>
      <c r="Q224" s="45" t="s">
        <v>398</v>
      </c>
      <c r="R224" s="46">
        <v>1</v>
      </c>
      <c r="S224" s="512"/>
      <c r="T224" s="57"/>
      <c r="U224" s="512"/>
      <c r="V224" s="57"/>
      <c r="W224" s="72"/>
      <c r="Z224" s="57"/>
      <c r="AA224" s="72"/>
      <c r="AD224" s="57"/>
      <c r="AE224" s="208">
        <f>ROUND((_15_同援日０．５*_15・２人),0)+ROUND((ROUND((_15_同援日０．５＿２．０*_15・２人),0)*(1+_15・B夜間)),0)+ROUND((ROUND((_15_同援日０．５＿２．０＿０．５*_15・２人),0)*(1+_15・C深夜)),0)</f>
        <v>754</v>
      </c>
      <c r="AF224" s="48"/>
    </row>
    <row r="225" spans="1:32" ht="16.5" customHeight="1" x14ac:dyDescent="0.15">
      <c r="A225" s="41">
        <v>15</v>
      </c>
      <c r="B225" s="41" t="s">
        <v>23075</v>
      </c>
      <c r="C225" s="74" t="s">
        <v>23076</v>
      </c>
      <c r="D225" s="72"/>
      <c r="F225" s="57"/>
      <c r="G225" s="72" t="s">
        <v>17645</v>
      </c>
      <c r="I225" s="57"/>
      <c r="J225" s="72"/>
      <c r="L225" s="57"/>
      <c r="M225" s="114" t="s">
        <v>17558</v>
      </c>
      <c r="N225" s="49"/>
      <c r="O225" s="50"/>
      <c r="P225" s="299"/>
      <c r="Q225" s="45"/>
      <c r="R225" s="46"/>
      <c r="S225" s="512"/>
      <c r="T225" s="57"/>
      <c r="U225" s="512"/>
      <c r="V225" s="57"/>
      <c r="W225" s="72"/>
      <c r="Z225" s="57"/>
      <c r="AA225" s="72"/>
      <c r="AD225" s="57"/>
      <c r="AE225" s="208">
        <f>ROUND((_15_同援日０．５*_15・基礎２),0)+ROUND((ROUND((_15_同援日０．５＿２．０*_15・基礎２),0)*(1+_15・B夜間)),0)+ROUND((ROUND((_15_同援日０．５＿２．０＿０．５*_15・基礎２),0)*(1+_15・C深夜)),0)</f>
        <v>680</v>
      </c>
      <c r="AF225" s="48"/>
    </row>
    <row r="226" spans="1:32" ht="16.5" customHeight="1" x14ac:dyDescent="0.15">
      <c r="A226" s="41">
        <v>15</v>
      </c>
      <c r="B226" s="41" t="s">
        <v>23077</v>
      </c>
      <c r="C226" s="74" t="s">
        <v>23078</v>
      </c>
      <c r="D226" s="72"/>
      <c r="F226" s="57"/>
      <c r="G226" s="72"/>
      <c r="H226" s="168">
        <f>_15_同援日０．５＿２．０</f>
        <v>373</v>
      </c>
      <c r="I226" s="57" t="s">
        <v>392</v>
      </c>
      <c r="J226" s="72"/>
      <c r="K226" s="168">
        <f>_15_同援日０．５＿２．０＿０．５</f>
        <v>65</v>
      </c>
      <c r="L226" s="57" t="s">
        <v>392</v>
      </c>
      <c r="M226" s="122" t="s">
        <v>17560</v>
      </c>
      <c r="N226" s="37" t="s">
        <v>398</v>
      </c>
      <c r="O226" s="38">
        <v>0.9</v>
      </c>
      <c r="P226" s="299" t="s">
        <v>17556</v>
      </c>
      <c r="Q226" s="45" t="s">
        <v>398</v>
      </c>
      <c r="R226" s="46">
        <v>1</v>
      </c>
      <c r="S226" s="512"/>
      <c r="T226" s="57"/>
      <c r="U226" s="512"/>
      <c r="V226" s="57"/>
      <c r="W226" s="122"/>
      <c r="X226" s="37"/>
      <c r="Y226" s="38"/>
      <c r="Z226" s="79"/>
      <c r="AA226" s="72"/>
      <c r="AD226" s="57"/>
      <c r="AE226" s="208">
        <f>ROUND((ROUND((_15_同援日０．５*_15・基礎２),0)*_15・２人),0)+ROUND((ROUND((ROUND((_15_同援日０．５＿２．０*_15・基礎２),0)*_15・２人),0)*(1+_15・B夜間)),0)+ROUND((ROUND((ROUND((_15_同援日０．５＿２．０＿０．５*_15・基礎２),0)*_15・２人),0)*(1+_15・C深夜)),0)</f>
        <v>680</v>
      </c>
      <c r="AF226" s="48"/>
    </row>
    <row r="227" spans="1:32" ht="16.5" customHeight="1" x14ac:dyDescent="0.15">
      <c r="A227" s="41">
        <v>15</v>
      </c>
      <c r="B227" s="41" t="s">
        <v>23079</v>
      </c>
      <c r="C227" s="74" t="s">
        <v>23080</v>
      </c>
      <c r="D227" s="72"/>
      <c r="F227" s="57"/>
      <c r="G227" s="72"/>
      <c r="I227" s="57"/>
      <c r="J227" s="72"/>
      <c r="L227" s="57"/>
      <c r="M227" s="114"/>
      <c r="N227" s="49"/>
      <c r="O227" s="50"/>
      <c r="P227" s="299"/>
      <c r="Q227" s="45"/>
      <c r="R227" s="46"/>
      <c r="S227" s="512"/>
      <c r="T227" s="57"/>
      <c r="U227" s="512"/>
      <c r="V227" s="57"/>
      <c r="W227" s="114" t="s">
        <v>17562</v>
      </c>
      <c r="X227" s="49"/>
      <c r="Y227" s="50"/>
      <c r="Z227" s="115"/>
      <c r="AA227" s="72"/>
      <c r="AD227" s="57"/>
      <c r="AE227" s="208">
        <f>ROUND((_15_同援日０．５*(1+_15・盲ろう)),0)+ROUND((ROUND((_15_同援日０．５＿２．０*(1+_15・B夜間)),0)*(1+_15・盲ろう)),0)+ROUND((ROUND((_15_同援日０．５＿２．０＿０．５*(1+_15・C深夜)),0)*(1+_15・盲ろう)),0)</f>
        <v>944</v>
      </c>
      <c r="AF227" s="48"/>
    </row>
    <row r="228" spans="1:32" ht="16.5" customHeight="1" x14ac:dyDescent="0.15">
      <c r="A228" s="41">
        <v>15</v>
      </c>
      <c r="B228" s="41" t="s">
        <v>23081</v>
      </c>
      <c r="C228" s="74" t="s">
        <v>23082</v>
      </c>
      <c r="D228" s="72"/>
      <c r="F228" s="57"/>
      <c r="G228" s="72"/>
      <c r="I228" s="57"/>
      <c r="J228" s="72"/>
      <c r="L228" s="57"/>
      <c r="M228" s="122"/>
      <c r="N228" s="37"/>
      <c r="O228" s="38"/>
      <c r="P228" s="299" t="s">
        <v>17556</v>
      </c>
      <c r="Q228" s="45" t="s">
        <v>398</v>
      </c>
      <c r="R228" s="46">
        <v>1</v>
      </c>
      <c r="S228" s="512"/>
      <c r="T228" s="57"/>
      <c r="U228" s="512"/>
      <c r="V228" s="57"/>
      <c r="W228" s="72" t="s">
        <v>17564</v>
      </c>
      <c r="Z228" s="57"/>
      <c r="AA228" s="72"/>
      <c r="AD228" s="57"/>
      <c r="AE228" s="208">
        <f>ROUND((ROUND((_15_同援日０．５*_15・２人),0)*(1+_15・盲ろう)),0)+ROUND((ROUND((ROUND((_15_同援日０．５＿２．０*_15・２人),0)*(1+_15・B夜間)),0)*(1+_15・盲ろう)),0)+ROUND((ROUND((ROUND((_15_同援日０．５＿２．０＿０．５*_15・２人),0)*(1+_15・C深夜)),0)*(1+_15・盲ろう)),0)</f>
        <v>944</v>
      </c>
      <c r="AF228" s="48"/>
    </row>
    <row r="229" spans="1:32" ht="16.5" customHeight="1" x14ac:dyDescent="0.15">
      <c r="A229" s="41">
        <v>15</v>
      </c>
      <c r="B229" s="41" t="s">
        <v>1569</v>
      </c>
      <c r="C229" s="74" t="s">
        <v>23083</v>
      </c>
      <c r="D229" s="72"/>
      <c r="F229" s="57"/>
      <c r="G229" s="72"/>
      <c r="I229" s="57"/>
      <c r="J229" s="72"/>
      <c r="L229" s="57"/>
      <c r="M229" s="114" t="s">
        <v>17558</v>
      </c>
      <c r="N229" s="49"/>
      <c r="O229" s="50"/>
      <c r="P229" s="299"/>
      <c r="Q229" s="45"/>
      <c r="R229" s="46"/>
      <c r="S229" s="512"/>
      <c r="T229" s="57"/>
      <c r="U229" s="512"/>
      <c r="V229" s="57"/>
      <c r="W229" s="72"/>
      <c r="X229" s="12" t="s">
        <v>398</v>
      </c>
      <c r="Y229" s="13">
        <v>0.25</v>
      </c>
      <c r="Z229" s="57" t="s">
        <v>3575</v>
      </c>
      <c r="AA229" s="72"/>
      <c r="AD229" s="57"/>
      <c r="AE229" s="208">
        <f>ROUND((ROUND((_15_同援日０．５*_15・基礎２),0)*(1+_15・盲ろう)),0)+ROUND((ROUND((ROUND((_15_同援日０．５＿２．０*_15・基礎２),0)*(1+_15・B夜間)),0)*(1+_15・盲ろう)),0)+ROUND((ROUND((ROUND((_15_同援日０．５＿２．０＿０．５*_15・基礎２),0)*(1+_15・C深夜)),0)*(1+_15・盲ろう)),0)</f>
        <v>850</v>
      </c>
      <c r="AF229" s="48"/>
    </row>
    <row r="230" spans="1:32" ht="16.5" customHeight="1" x14ac:dyDescent="0.15">
      <c r="A230" s="41">
        <v>15</v>
      </c>
      <c r="B230" s="41" t="s">
        <v>1571</v>
      </c>
      <c r="C230" s="74" t="s">
        <v>23084</v>
      </c>
      <c r="D230" s="72"/>
      <c r="F230" s="57"/>
      <c r="G230" s="72"/>
      <c r="I230" s="57"/>
      <c r="J230" s="72"/>
      <c r="L230" s="57"/>
      <c r="M230" s="122" t="s">
        <v>17560</v>
      </c>
      <c r="N230" s="37" t="s">
        <v>398</v>
      </c>
      <c r="O230" s="38">
        <v>0.9</v>
      </c>
      <c r="P230" s="299" t="s">
        <v>17556</v>
      </c>
      <c r="Q230" s="45" t="s">
        <v>398</v>
      </c>
      <c r="R230" s="46">
        <v>1</v>
      </c>
      <c r="S230" s="512"/>
      <c r="T230" s="57"/>
      <c r="U230" s="512"/>
      <c r="V230" s="57"/>
      <c r="W230" s="122"/>
      <c r="X230" s="37"/>
      <c r="Y230" s="38"/>
      <c r="Z230" s="79"/>
      <c r="AA230" s="122"/>
      <c r="AB230" s="37"/>
      <c r="AC230" s="38"/>
      <c r="AD230" s="79"/>
      <c r="AE230" s="208">
        <f>ROUND((ROUND((ROUND((_15_同援日０．５*_15・基礎２),0)*_15・２人),0)*(1+_15・盲ろう)),0)+ROUND((ROUND((ROUND((ROUND((_15_同援日０．５＿２．０*_15・基礎２),0)*_15・２人),0)*(1+_15・B夜間)),0)*(1+_15・盲ろう)),0)+ROUND((ROUND((ROUND((ROUND((_15_同援日０．５＿２．０＿０．５*_15・基礎２),0)*_15・２人),0)*(1+_15・C深夜)),0)*(1+_15・盲ろう)),0)</f>
        <v>850</v>
      </c>
      <c r="AF230" s="48"/>
    </row>
    <row r="231" spans="1:32" ht="16.5" customHeight="1" x14ac:dyDescent="0.15">
      <c r="A231" s="41">
        <v>15</v>
      </c>
      <c r="B231" s="41" t="s">
        <v>1573</v>
      </c>
      <c r="C231" s="74" t="s">
        <v>23085</v>
      </c>
      <c r="D231" s="72"/>
      <c r="F231" s="57"/>
      <c r="G231" s="72"/>
      <c r="I231" s="57"/>
      <c r="J231" s="72"/>
      <c r="L231" s="57"/>
      <c r="M231" s="114"/>
      <c r="N231" s="49"/>
      <c r="O231" s="50"/>
      <c r="P231" s="299"/>
      <c r="Q231" s="45"/>
      <c r="R231" s="46"/>
      <c r="S231" s="512"/>
      <c r="T231" s="57"/>
      <c r="U231" s="512"/>
      <c r="V231" s="57"/>
      <c r="W231" s="114"/>
      <c r="X231" s="49"/>
      <c r="Y231" s="50"/>
      <c r="Z231" s="115"/>
      <c r="AA231" s="114"/>
      <c r="AB231" s="49"/>
      <c r="AC231" s="50"/>
      <c r="AD231" s="115"/>
      <c r="AE231" s="208">
        <f>ROUND((_15_同援日０．５*(1+_15・区３)),0)+ROUND((ROUND((_15_同援日０．５＿２．０*(1+_15・B夜間)),0)*(1+_15・区３)),0)+ROUND((ROUND((_15_同援日０．５＿２．０＿０．５*(1+_15・C深夜)),0)*(1+_15・区３)),0)</f>
        <v>905</v>
      </c>
      <c r="AF231" s="48"/>
    </row>
    <row r="232" spans="1:32" ht="16.5" customHeight="1" x14ac:dyDescent="0.15">
      <c r="A232" s="41">
        <v>15</v>
      </c>
      <c r="B232" s="41" t="s">
        <v>1575</v>
      </c>
      <c r="C232" s="74" t="s">
        <v>23086</v>
      </c>
      <c r="D232" s="72"/>
      <c r="F232" s="57"/>
      <c r="G232" s="72"/>
      <c r="I232" s="57"/>
      <c r="J232" s="72"/>
      <c r="L232" s="57"/>
      <c r="M232" s="122"/>
      <c r="N232" s="37"/>
      <c r="O232" s="38"/>
      <c r="P232" s="299" t="s">
        <v>17556</v>
      </c>
      <c r="Q232" s="45" t="s">
        <v>398</v>
      </c>
      <c r="R232" s="46">
        <v>1</v>
      </c>
      <c r="S232" s="512"/>
      <c r="T232" s="57"/>
      <c r="U232" s="512"/>
      <c r="V232" s="57"/>
      <c r="W232" s="72"/>
      <c r="Z232" s="57"/>
      <c r="AA232" s="72"/>
      <c r="AD232" s="57"/>
      <c r="AE232" s="208">
        <f>ROUND((ROUND((_15_同援日０．５*_15・２人),0)*(1+_15・区３)),0)+ROUND((ROUND((ROUND((_15_同援日０．５＿２．０*_15・２人),0)*(1+_15・B夜間)),0)*(1+_15・区３)),0)+ROUND((ROUND((ROUND((_15_同援日０．５＿２．０＿０．５*_15・２人),0)*(1+_15・C深夜)),0)*(1+_15・区３)),0)</f>
        <v>905</v>
      </c>
      <c r="AF232" s="48"/>
    </row>
    <row r="233" spans="1:32" ht="16.5" customHeight="1" x14ac:dyDescent="0.15">
      <c r="A233" s="41">
        <v>15</v>
      </c>
      <c r="B233" s="41" t="s">
        <v>23087</v>
      </c>
      <c r="C233" s="74" t="s">
        <v>23088</v>
      </c>
      <c r="D233" s="72"/>
      <c r="F233" s="57"/>
      <c r="G233" s="72"/>
      <c r="I233" s="57"/>
      <c r="J233" s="72"/>
      <c r="L233" s="57"/>
      <c r="M233" s="114" t="s">
        <v>17558</v>
      </c>
      <c r="N233" s="49"/>
      <c r="O233" s="50"/>
      <c r="P233" s="299"/>
      <c r="Q233" s="45"/>
      <c r="R233" s="46"/>
      <c r="S233" s="512"/>
      <c r="T233" s="57"/>
      <c r="U233" s="512"/>
      <c r="V233" s="57"/>
      <c r="W233" s="72"/>
      <c r="Z233" s="57"/>
      <c r="AA233" s="72" t="s">
        <v>17570</v>
      </c>
      <c r="AD233" s="57"/>
      <c r="AE233" s="208">
        <f>ROUND((ROUND((_15_同援日０．５*_15・基礎２),0)*(1+_15・区３)),0)+ROUND((ROUND((ROUND((_15_同援日０．５＿２．０*_15・基礎２),0)*(1+_15・B夜間)),0)*(1+_15・区３)),0)+ROUND((ROUND((ROUND((_15_同援日０．５＿２．０＿０．５*_15・基礎２),0)*(1+_15・C深夜)),0)*(1+_15・区３)),0)</f>
        <v>816</v>
      </c>
      <c r="AF233" s="48"/>
    </row>
    <row r="234" spans="1:32" ht="16.5" customHeight="1" x14ac:dyDescent="0.15">
      <c r="A234" s="41">
        <v>15</v>
      </c>
      <c r="B234" s="41" t="s">
        <v>23089</v>
      </c>
      <c r="C234" s="74" t="s">
        <v>23090</v>
      </c>
      <c r="D234" s="72"/>
      <c r="F234" s="57"/>
      <c r="G234" s="72"/>
      <c r="I234" s="57"/>
      <c r="J234" s="72"/>
      <c r="L234" s="57"/>
      <c r="M234" s="122" t="s">
        <v>17560</v>
      </c>
      <c r="N234" s="37" t="s">
        <v>398</v>
      </c>
      <c r="O234" s="38">
        <v>0.9</v>
      </c>
      <c r="P234" s="299" t="s">
        <v>17556</v>
      </c>
      <c r="Q234" s="45" t="s">
        <v>398</v>
      </c>
      <c r="R234" s="46">
        <v>1</v>
      </c>
      <c r="S234" s="512"/>
      <c r="T234" s="57"/>
      <c r="U234" s="512"/>
      <c r="V234" s="57"/>
      <c r="W234" s="122"/>
      <c r="X234" s="37"/>
      <c r="Y234" s="38"/>
      <c r="Z234" s="79"/>
      <c r="AA234" s="72" t="s">
        <v>17572</v>
      </c>
      <c r="AD234" s="57"/>
      <c r="AE234" s="208">
        <f>ROUND((ROUND((ROUND((_15_同援日０．５*_15・基礎２),0)*_15・２人),0)*(1+_15・区３)),0)+ROUND((ROUND((ROUND((ROUND((_15_同援日０．５＿２．０*_15・基礎２),0)*_15・２人),0)*(1+_15・B夜間)),0)*(1+_15・区３)),0)+ROUND((ROUND((ROUND((ROUND((_15_同援日０．５＿２．０＿０．５*_15・基礎２),0)*_15・２人),0)*(1+_15・C深夜)),0)*(1+_15・区３)),0)</f>
        <v>816</v>
      </c>
      <c r="AF234" s="48"/>
    </row>
    <row r="235" spans="1:32" ht="16.5" customHeight="1" x14ac:dyDescent="0.15">
      <c r="A235" s="41">
        <v>15</v>
      </c>
      <c r="B235" s="41" t="s">
        <v>23091</v>
      </c>
      <c r="C235" s="74" t="s">
        <v>23092</v>
      </c>
      <c r="D235" s="72"/>
      <c r="F235" s="57"/>
      <c r="G235" s="72"/>
      <c r="I235" s="57"/>
      <c r="J235" s="72"/>
      <c r="L235" s="57"/>
      <c r="M235" s="114"/>
      <c r="N235" s="49"/>
      <c r="O235" s="50"/>
      <c r="P235" s="299"/>
      <c r="Q235" s="45"/>
      <c r="R235" s="46"/>
      <c r="S235" s="512"/>
      <c r="T235" s="57"/>
      <c r="U235" s="512"/>
      <c r="V235" s="57"/>
      <c r="W235" s="114" t="s">
        <v>17562</v>
      </c>
      <c r="X235" s="49"/>
      <c r="Y235" s="50"/>
      <c r="Z235" s="115"/>
      <c r="AA235" s="72"/>
      <c r="AB235" s="12" t="s">
        <v>398</v>
      </c>
      <c r="AC235" s="13">
        <v>0.2</v>
      </c>
      <c r="AD235" s="57" t="s">
        <v>3575</v>
      </c>
      <c r="AE235" s="208">
        <f>ROUND((ROUND((_15_同援日０．５*(1+_15・盲ろう)),0)*(1+_15・区３)),0)+ROUND((ROUND((ROUND((_15_同援日０．５＿２．０*(1+_15・B夜間)),0)*(1+_15・盲ろう)),0)*(1+_15・区３)),0)+ROUND((ROUND((ROUND((_15_同援日０．５＿２．０＿０．５*(1+_15・C深夜)),0)*(1+_15・盲ろう)),0)*(1+_15・区３)),0)</f>
        <v>1134</v>
      </c>
      <c r="AF235" s="48"/>
    </row>
    <row r="236" spans="1:32" ht="16.5" customHeight="1" x14ac:dyDescent="0.15">
      <c r="A236" s="41">
        <v>15</v>
      </c>
      <c r="B236" s="41" t="s">
        <v>23093</v>
      </c>
      <c r="C236" s="74" t="s">
        <v>23094</v>
      </c>
      <c r="D236" s="72"/>
      <c r="F236" s="57"/>
      <c r="G236" s="72"/>
      <c r="I236" s="57"/>
      <c r="J236" s="72"/>
      <c r="L236" s="57"/>
      <c r="M236" s="122"/>
      <c r="N236" s="37"/>
      <c r="O236" s="38"/>
      <c r="P236" s="299" t="s">
        <v>17556</v>
      </c>
      <c r="Q236" s="45" t="s">
        <v>398</v>
      </c>
      <c r="R236" s="46">
        <v>1</v>
      </c>
      <c r="S236" s="512"/>
      <c r="T236" s="57"/>
      <c r="U236" s="512"/>
      <c r="V236" s="57"/>
      <c r="W236" s="72" t="s">
        <v>17564</v>
      </c>
      <c r="Z236" s="57"/>
      <c r="AA236" s="72"/>
      <c r="AD236" s="57"/>
      <c r="AE236" s="208">
        <f>ROUND((ROUND((ROUND((_15_同援日０．５*_15・２人),0)*(1+_15・盲ろう)),0)*(1+_15・区３)),0)+ROUND((ROUND((ROUND((ROUND((_15_同援日０．５＿２．０*_15・２人),0)*(1+_15・B夜間)),0)*(1+_15・盲ろう)),0)*(1+_15・区３)),0)+ROUND((ROUND((ROUND((ROUND((_15_同援日０．５＿２．０＿０．５*_15・２人),0)*(1+_15・C深夜)),0)*(1+_15・盲ろう)),0)*(1+_15・区３)),0)</f>
        <v>1134</v>
      </c>
      <c r="AF236" s="48"/>
    </row>
    <row r="237" spans="1:32" ht="16.5" customHeight="1" x14ac:dyDescent="0.15">
      <c r="A237" s="41">
        <v>15</v>
      </c>
      <c r="B237" s="41" t="s">
        <v>23095</v>
      </c>
      <c r="C237" s="74" t="s">
        <v>23096</v>
      </c>
      <c r="D237" s="72"/>
      <c r="F237" s="57"/>
      <c r="G237" s="72"/>
      <c r="I237" s="57"/>
      <c r="J237" s="72"/>
      <c r="L237" s="57"/>
      <c r="M237" s="114" t="s">
        <v>17558</v>
      </c>
      <c r="N237" s="49"/>
      <c r="O237" s="50"/>
      <c r="P237" s="299"/>
      <c r="Q237" s="45"/>
      <c r="R237" s="46"/>
      <c r="S237" s="512"/>
      <c r="T237" s="57"/>
      <c r="U237" s="512"/>
      <c r="V237" s="57"/>
      <c r="W237" s="72"/>
      <c r="X237" s="12" t="s">
        <v>398</v>
      </c>
      <c r="Y237" s="13">
        <v>0.25</v>
      </c>
      <c r="Z237" s="57" t="s">
        <v>3575</v>
      </c>
      <c r="AA237" s="72"/>
      <c r="AD237" s="57"/>
      <c r="AE237" s="208">
        <f>ROUND((ROUND((ROUND((_15_同援日０．５*_15・基礎２),0)*(1+_15・盲ろう)),0)*(1+_15・区３)),0)+ROUND((ROUND((ROUND((ROUND((_15_同援日０．５＿２．０*_15・基礎２),0)*(1+_15・B夜間)),0)*(1+_15・盲ろう)),0)*(1+_15・区３)),0)+ROUND((ROUND((ROUND((ROUND((_15_同援日０．５＿２．０＿０．５*_15・基礎２),0)*(1+_15・C深夜)),0)*(1+_15・盲ろう)),0)*(1+_15・区３)),0)</f>
        <v>1020</v>
      </c>
      <c r="AF237" s="48"/>
    </row>
    <row r="238" spans="1:32" ht="16.5" customHeight="1" x14ac:dyDescent="0.15">
      <c r="A238" s="41">
        <v>15</v>
      </c>
      <c r="B238" s="41" t="s">
        <v>23097</v>
      </c>
      <c r="C238" s="74" t="s">
        <v>23098</v>
      </c>
      <c r="D238" s="72"/>
      <c r="F238" s="57"/>
      <c r="G238" s="72"/>
      <c r="I238" s="57"/>
      <c r="J238" s="72"/>
      <c r="L238" s="57"/>
      <c r="M238" s="122" t="s">
        <v>17560</v>
      </c>
      <c r="N238" s="37" t="s">
        <v>398</v>
      </c>
      <c r="O238" s="38">
        <v>0.9</v>
      </c>
      <c r="P238" s="299" t="s">
        <v>17556</v>
      </c>
      <c r="Q238" s="45" t="s">
        <v>398</v>
      </c>
      <c r="R238" s="46">
        <v>1</v>
      </c>
      <c r="S238" s="512"/>
      <c r="T238" s="57"/>
      <c r="U238" s="512"/>
      <c r="V238" s="57"/>
      <c r="W238" s="122"/>
      <c r="X238" s="37"/>
      <c r="Y238" s="38"/>
      <c r="Z238" s="79"/>
      <c r="AA238" s="122"/>
      <c r="AB238" s="37"/>
      <c r="AC238" s="38"/>
      <c r="AD238" s="79"/>
      <c r="AE238" s="208">
        <f>ROUND((ROUND((ROUND((ROUND((_15_同援日０．５*_15・基礎２),0)*_15・２人),0)*(1+_15・盲ろう)),0)*(1+_15・区３)),0)+ROUND((ROUND((ROUND((ROUND((ROUND((_15_同援日０．５＿２．０*_15・基礎２),0)*_15・２人),0)*(1+_15・B夜間)),0)*(1+_15・盲ろう)),0)*(1+_15・区３)),0)+ROUND((ROUND((ROUND((ROUND((ROUND((_15_同援日０．５＿２．０＿０．５*_15・基礎２),0)*_15・２人),0)*(1+_15・C深夜)),0)*(1+_15・盲ろう)),0)*(1+_15・区３)),0)</f>
        <v>1020</v>
      </c>
      <c r="AF238" s="48"/>
    </row>
    <row r="239" spans="1:32" ht="16.5" customHeight="1" x14ac:dyDescent="0.15">
      <c r="A239" s="41">
        <v>15</v>
      </c>
      <c r="B239" s="41" t="s">
        <v>23099</v>
      </c>
      <c r="C239" s="74" t="s">
        <v>23100</v>
      </c>
      <c r="D239" s="72"/>
      <c r="F239" s="57"/>
      <c r="G239" s="72"/>
      <c r="I239" s="57"/>
      <c r="J239" s="72"/>
      <c r="L239" s="57"/>
      <c r="M239" s="114"/>
      <c r="N239" s="49"/>
      <c r="O239" s="50"/>
      <c r="P239" s="299"/>
      <c r="Q239" s="45"/>
      <c r="R239" s="46"/>
      <c r="S239" s="512"/>
      <c r="T239" s="57"/>
      <c r="U239" s="512"/>
      <c r="V239" s="57"/>
      <c r="W239" s="114"/>
      <c r="X239" s="49"/>
      <c r="Y239" s="50"/>
      <c r="Z239" s="115"/>
      <c r="AA239" s="114"/>
      <c r="AB239" s="49"/>
      <c r="AC239" s="50"/>
      <c r="AD239" s="115"/>
      <c r="AE239" s="208">
        <f>ROUND((_15_同援日０．５*(1+_15・区４)),0)+ROUND((ROUND((_15_同援日０．５＿２．０*(1+_15・B夜間)),0)*(1+_15・区４)),0)+ROUND((ROUND((_15_同援日０．５＿２．０＿０．５*(1+_15・C深夜)),0)*(1+_15・区４)),0)</f>
        <v>1055</v>
      </c>
      <c r="AF239" s="48"/>
    </row>
    <row r="240" spans="1:32" ht="16.5" customHeight="1" x14ac:dyDescent="0.15">
      <c r="A240" s="41">
        <v>15</v>
      </c>
      <c r="B240" s="41" t="s">
        <v>23101</v>
      </c>
      <c r="C240" s="74" t="s">
        <v>23102</v>
      </c>
      <c r="D240" s="72"/>
      <c r="F240" s="57"/>
      <c r="G240" s="72"/>
      <c r="I240" s="57"/>
      <c r="J240" s="72"/>
      <c r="L240" s="57"/>
      <c r="M240" s="122"/>
      <c r="N240" s="37"/>
      <c r="O240" s="38"/>
      <c r="P240" s="299" t="s">
        <v>17556</v>
      </c>
      <c r="Q240" s="45" t="s">
        <v>398</v>
      </c>
      <c r="R240" s="46">
        <v>1</v>
      </c>
      <c r="S240" s="512"/>
      <c r="T240" s="57"/>
      <c r="U240" s="512"/>
      <c r="V240" s="57"/>
      <c r="W240" s="72"/>
      <c r="Z240" s="57"/>
      <c r="AA240" s="72"/>
      <c r="AD240" s="57"/>
      <c r="AE240" s="208">
        <f>ROUND((ROUND((_15_同援日０．５*_15・２人),0)*(1+_15・区４)),0)+ROUND((ROUND((ROUND((_15_同援日０．５＿２．０*_15・２人),0)*(1+_15・B夜間)),0)*(1+_15・区４)),0)+ROUND((ROUND((ROUND((_15_同援日０．５＿２．０＿０．５*_15・２人),0)*(1+_15・C深夜)),0)*(1+_15・区４)),0)</f>
        <v>1055</v>
      </c>
      <c r="AF240" s="48"/>
    </row>
    <row r="241" spans="1:32" ht="16.5" customHeight="1" x14ac:dyDescent="0.15">
      <c r="A241" s="41">
        <v>15</v>
      </c>
      <c r="B241" s="41" t="s">
        <v>23103</v>
      </c>
      <c r="C241" s="74" t="s">
        <v>23104</v>
      </c>
      <c r="D241" s="72"/>
      <c r="F241" s="57"/>
      <c r="G241" s="72"/>
      <c r="I241" s="57"/>
      <c r="J241" s="72"/>
      <c r="L241" s="57"/>
      <c r="M241" s="114" t="s">
        <v>17558</v>
      </c>
      <c r="N241" s="49"/>
      <c r="O241" s="50"/>
      <c r="P241" s="299"/>
      <c r="Q241" s="45"/>
      <c r="R241" s="46"/>
      <c r="S241" s="512"/>
      <c r="T241" s="57"/>
      <c r="U241" s="512"/>
      <c r="V241" s="57"/>
      <c r="W241" s="72"/>
      <c r="Z241" s="57"/>
      <c r="AA241" s="72" t="s">
        <v>17580</v>
      </c>
      <c r="AD241" s="57"/>
      <c r="AE241" s="208">
        <f>ROUND((ROUND((_15_同援日０．５*_15・基礎２),0)*(1+_15・区４)),0)+ROUND((ROUND((ROUND((_15_同援日０．５＿２．０*_15・基礎２),0)*(1+_15・B夜間)),0)*(1+_15・区４)),0)+ROUND((ROUND((ROUND((_15_同援日０．５＿２．０＿０．５*_15・基礎２),0)*(1+_15・C深夜)),0)*(1+_15・区４)),0)</f>
        <v>952</v>
      </c>
      <c r="AF241" s="48"/>
    </row>
    <row r="242" spans="1:32" ht="16.5" customHeight="1" x14ac:dyDescent="0.15">
      <c r="A242" s="41">
        <v>15</v>
      </c>
      <c r="B242" s="41" t="s">
        <v>23105</v>
      </c>
      <c r="C242" s="74" t="s">
        <v>23106</v>
      </c>
      <c r="D242" s="72"/>
      <c r="F242" s="57"/>
      <c r="G242" s="72"/>
      <c r="I242" s="57"/>
      <c r="J242" s="72"/>
      <c r="L242" s="57"/>
      <c r="M242" s="122" t="s">
        <v>17560</v>
      </c>
      <c r="N242" s="37" t="s">
        <v>398</v>
      </c>
      <c r="O242" s="38">
        <v>0.9</v>
      </c>
      <c r="P242" s="299" t="s">
        <v>17556</v>
      </c>
      <c r="Q242" s="45" t="s">
        <v>398</v>
      </c>
      <c r="R242" s="46">
        <v>1</v>
      </c>
      <c r="S242" s="512"/>
      <c r="T242" s="57"/>
      <c r="U242" s="512"/>
      <c r="V242" s="57"/>
      <c r="W242" s="122"/>
      <c r="X242" s="37"/>
      <c r="Y242" s="38"/>
      <c r="Z242" s="79"/>
      <c r="AA242" s="72" t="s">
        <v>17572</v>
      </c>
      <c r="AD242" s="57"/>
      <c r="AE242" s="208">
        <f>ROUND((ROUND((ROUND((_15_同援日０．５*_15・基礎２),0)*_15・２人),0)*(1+_15・区４)),0)+ROUND((ROUND((ROUND((ROUND((_15_同援日０．５＿２．０*_15・基礎２),0)*_15・２人),0)*(1+_15・B夜間)),0)*(1+_15・区４)),0)+ROUND((ROUND((ROUND((ROUND((_15_同援日０．５＿２．０＿０．５*_15・基礎２),0)*_15・２人),0)*(1+_15・C深夜)),0)*(1+_15・区４)),0)</f>
        <v>952</v>
      </c>
      <c r="AF242" s="48"/>
    </row>
    <row r="243" spans="1:32" ht="16.5" customHeight="1" x14ac:dyDescent="0.15">
      <c r="A243" s="41">
        <v>15</v>
      </c>
      <c r="B243" s="41" t="s">
        <v>23107</v>
      </c>
      <c r="C243" s="74" t="s">
        <v>23108</v>
      </c>
      <c r="D243" s="72"/>
      <c r="F243" s="57"/>
      <c r="G243" s="72"/>
      <c r="I243" s="57"/>
      <c r="J243" s="72"/>
      <c r="L243" s="57"/>
      <c r="M243" s="114"/>
      <c r="N243" s="49"/>
      <c r="O243" s="50"/>
      <c r="P243" s="299"/>
      <c r="Q243" s="45"/>
      <c r="R243" s="46"/>
      <c r="S243" s="512"/>
      <c r="T243" s="57"/>
      <c r="U243" s="512"/>
      <c r="V243" s="57"/>
      <c r="W243" s="114" t="s">
        <v>17562</v>
      </c>
      <c r="X243" s="49"/>
      <c r="Y243" s="50"/>
      <c r="Z243" s="115"/>
      <c r="AA243" s="72"/>
      <c r="AB243" s="12" t="s">
        <v>398</v>
      </c>
      <c r="AC243" s="13">
        <v>0.4</v>
      </c>
      <c r="AD243" s="57" t="s">
        <v>3575</v>
      </c>
      <c r="AE243" s="208">
        <f>ROUND((ROUND((_15_同援日０．５*(1+_15・盲ろう)),0)*(1+_15・区４)),0)+ROUND((ROUND((ROUND((_15_同援日０．５＿２．０*(1+_15・B夜間)),0)*(1+_15・盲ろう)),0)*(1+_15・区４)),0)+ROUND((ROUND((ROUND((_15_同援日０．５＿２．０＿０．５*(1+_15・C深夜)),0)*(1+_15・盲ろう)),0)*(1+_15・区４)),0)</f>
        <v>1321</v>
      </c>
      <c r="AF243" s="48"/>
    </row>
    <row r="244" spans="1:32" ht="16.5" customHeight="1" x14ac:dyDescent="0.15">
      <c r="A244" s="41">
        <v>15</v>
      </c>
      <c r="B244" s="41" t="s">
        <v>23109</v>
      </c>
      <c r="C244" s="74" t="s">
        <v>23110</v>
      </c>
      <c r="D244" s="72"/>
      <c r="F244" s="57"/>
      <c r="G244" s="72"/>
      <c r="I244" s="57"/>
      <c r="J244" s="72"/>
      <c r="L244" s="57"/>
      <c r="M244" s="122"/>
      <c r="N244" s="37"/>
      <c r="O244" s="38"/>
      <c r="P244" s="299" t="s">
        <v>17556</v>
      </c>
      <c r="Q244" s="45" t="s">
        <v>398</v>
      </c>
      <c r="R244" s="46">
        <v>1</v>
      </c>
      <c r="S244" s="512"/>
      <c r="T244" s="57"/>
      <c r="U244" s="512"/>
      <c r="V244" s="57"/>
      <c r="W244" s="72" t="s">
        <v>17564</v>
      </c>
      <c r="Z244" s="57"/>
      <c r="AA244" s="72"/>
      <c r="AD244" s="57"/>
      <c r="AE244" s="208">
        <f>ROUND((ROUND((ROUND((_15_同援日０．５*_15・２人),0)*(1+_15・盲ろう)),0)*(1+_15・区４)),0)+ROUND((ROUND((ROUND((ROUND((_15_同援日０．５＿２．０*_15・２人),0)*(1+_15・B夜間)),0)*(1+_15・盲ろう)),0)*(1+_15・区４)),0)+ROUND((ROUND((ROUND((ROUND((_15_同援日０．５＿２．０＿０．５*_15・２人),0)*(1+_15・C深夜)),0)*(1+_15・盲ろう)),0)*(1+_15・区４)),0)</f>
        <v>1321</v>
      </c>
      <c r="AF244" s="48"/>
    </row>
    <row r="245" spans="1:32" ht="16.5" customHeight="1" x14ac:dyDescent="0.15">
      <c r="A245" s="41">
        <v>15</v>
      </c>
      <c r="B245" s="41" t="s">
        <v>23111</v>
      </c>
      <c r="C245" s="74" t="s">
        <v>23112</v>
      </c>
      <c r="D245" s="72"/>
      <c r="F245" s="57"/>
      <c r="G245" s="72"/>
      <c r="I245" s="57"/>
      <c r="J245" s="72"/>
      <c r="L245" s="57"/>
      <c r="M245" s="114" t="s">
        <v>17558</v>
      </c>
      <c r="N245" s="49"/>
      <c r="O245" s="50"/>
      <c r="P245" s="299"/>
      <c r="Q245" s="45"/>
      <c r="R245" s="46"/>
      <c r="S245" s="512"/>
      <c r="T245" s="57"/>
      <c r="U245" s="512"/>
      <c r="V245" s="57"/>
      <c r="W245" s="72"/>
      <c r="X245" s="12" t="s">
        <v>398</v>
      </c>
      <c r="Y245" s="13">
        <v>0.25</v>
      </c>
      <c r="Z245" s="57" t="s">
        <v>3575</v>
      </c>
      <c r="AA245" s="72"/>
      <c r="AD245" s="57"/>
      <c r="AE245" s="208">
        <f>ROUND((ROUND((ROUND((_15_同援日０．５*_15・基礎２),0)*(1+_15・盲ろう)),0)*(1+_15・区４)),0)+ROUND((ROUND((ROUND((ROUND((_15_同援日０．５＿２．０*_15・基礎２),0)*(1+_15・B夜間)),0)*(1+_15・盲ろう)),0)*(1+_15・区４)),0)+ROUND((ROUND((ROUND((ROUND((_15_同援日０．５＿２．０＿０．５*_15・基礎２),0)*(1+_15・C深夜)),0)*(1+_15・盲ろう)),0)*(1+_15・区４)),0)</f>
        <v>1190</v>
      </c>
      <c r="AF245" s="48"/>
    </row>
    <row r="246" spans="1:32" ht="16.5" customHeight="1" x14ac:dyDescent="0.15">
      <c r="A246" s="41">
        <v>15</v>
      </c>
      <c r="B246" s="41" t="s">
        <v>23113</v>
      </c>
      <c r="C246" s="74" t="s">
        <v>23114</v>
      </c>
      <c r="D246" s="122"/>
      <c r="E246" s="37"/>
      <c r="F246" s="79"/>
      <c r="G246" s="122"/>
      <c r="H246" s="37"/>
      <c r="I246" s="79"/>
      <c r="J246" s="122"/>
      <c r="K246" s="37"/>
      <c r="L246" s="79"/>
      <c r="M246" s="122" t="s">
        <v>17560</v>
      </c>
      <c r="N246" s="37" t="s">
        <v>398</v>
      </c>
      <c r="O246" s="38">
        <v>0.9</v>
      </c>
      <c r="P246" s="299" t="s">
        <v>17556</v>
      </c>
      <c r="Q246" s="45" t="s">
        <v>398</v>
      </c>
      <c r="R246" s="46">
        <v>1</v>
      </c>
      <c r="S246" s="514"/>
      <c r="T246" s="79"/>
      <c r="U246" s="514"/>
      <c r="V246" s="79"/>
      <c r="W246" s="122"/>
      <c r="X246" s="37"/>
      <c r="Y246" s="38"/>
      <c r="Z246" s="79"/>
      <c r="AA246" s="122"/>
      <c r="AB246" s="37"/>
      <c r="AC246" s="38"/>
      <c r="AD246" s="79"/>
      <c r="AE246" s="208">
        <f>ROUND((ROUND((ROUND((ROUND((_15_同援日０．５*_15・基礎２),0)*_15・２人),0)*(1+_15・盲ろう)),0)*(1+_15・区４)),0)+ROUND((ROUND((ROUND((ROUND((ROUND((_15_同援日０．５＿２．０*_15・基礎２),0)*_15・２人),0)*(1+_15・B夜間)),0)*(1+_15・盲ろう)),0)*(1+_15・区４)),0)+ROUND((ROUND((ROUND((ROUND((ROUND((_15_同援日０．５＿２．０＿０．５*_15・基礎２),0)*_15・２人),0)*(1+_15・C深夜)),0)*(1+_15・盲ろう)),0)*(1+_15・区４)),0)</f>
        <v>1190</v>
      </c>
      <c r="AF246" s="63"/>
    </row>
    <row r="247" spans="1:32" ht="16.5" customHeight="1" x14ac:dyDescent="0.15">
      <c r="A247" s="41">
        <v>15</v>
      </c>
      <c r="B247" s="41" t="s">
        <v>23115</v>
      </c>
      <c r="C247" s="74" t="s">
        <v>23116</v>
      </c>
      <c r="D247" s="114" t="s">
        <v>17587</v>
      </c>
      <c r="E247" s="49"/>
      <c r="F247" s="115"/>
      <c r="G247" s="114" t="s">
        <v>19553</v>
      </c>
      <c r="H247" s="49"/>
      <c r="I247" s="115"/>
      <c r="J247" s="114" t="s">
        <v>22681</v>
      </c>
      <c r="K247" s="49"/>
      <c r="L247" s="115"/>
      <c r="M247" s="114"/>
      <c r="N247" s="49"/>
      <c r="O247" s="50"/>
      <c r="P247" s="299"/>
      <c r="Q247" s="45"/>
      <c r="R247" s="46"/>
      <c r="S247" s="515"/>
      <c r="T247" s="115"/>
      <c r="U247" s="515"/>
      <c r="V247" s="115"/>
      <c r="W247" s="114"/>
      <c r="X247" s="49"/>
      <c r="Y247" s="50"/>
      <c r="Z247" s="115"/>
      <c r="AA247" s="114"/>
      <c r="AB247" s="49"/>
      <c r="AC247" s="50"/>
      <c r="AD247" s="115"/>
      <c r="AE247" s="208">
        <f>_15_同援日１．０+ROUND((_15_同援日１．０＿０．５*(1+_15・B夜間)),0)+ROUND((_15_同援日１．０＿０．５＿０．５*(1+_15・C深夜)),0)</f>
        <v>564</v>
      </c>
      <c r="AF247" s="64"/>
    </row>
    <row r="248" spans="1:32" ht="16.5" customHeight="1" x14ac:dyDescent="0.15">
      <c r="A248" s="41">
        <v>15</v>
      </c>
      <c r="B248" s="41" t="s">
        <v>23117</v>
      </c>
      <c r="C248" s="74" t="s">
        <v>23118</v>
      </c>
      <c r="D248" s="72" t="s">
        <v>17589</v>
      </c>
      <c r="F248" s="57"/>
      <c r="G248" s="72" t="s">
        <v>18259</v>
      </c>
      <c r="I248" s="57"/>
      <c r="J248" s="72" t="s">
        <v>18259</v>
      </c>
      <c r="L248" s="57"/>
      <c r="M248" s="122"/>
      <c r="N248" s="37"/>
      <c r="O248" s="38"/>
      <c r="P248" s="299" t="s">
        <v>17556</v>
      </c>
      <c r="Q248" s="45" t="s">
        <v>398</v>
      </c>
      <c r="R248" s="46">
        <v>1</v>
      </c>
      <c r="S248" s="512"/>
      <c r="T248" s="57"/>
      <c r="U248" s="512"/>
      <c r="V248" s="57"/>
      <c r="W248" s="72"/>
      <c r="Z248" s="57"/>
      <c r="AA248" s="72"/>
      <c r="AD248" s="57"/>
      <c r="AE248" s="208">
        <f>ROUND((_15_同援日１．０*_15・２人),0)+ROUND((ROUND((_15_同援日１．０＿０．５*_15・２人),0)*(1+_15・B夜間)),0)+ROUND((ROUND((_15_同援日１．０＿０．５＿０．５*_15・２人),0)*(1+_15・C深夜)),0)</f>
        <v>564</v>
      </c>
      <c r="AF248" s="48"/>
    </row>
    <row r="249" spans="1:32" ht="16.5" customHeight="1" x14ac:dyDescent="0.15">
      <c r="A249" s="41">
        <v>15</v>
      </c>
      <c r="B249" s="41" t="s">
        <v>1581</v>
      </c>
      <c r="C249" s="74" t="s">
        <v>23119</v>
      </c>
      <c r="D249" s="72" t="s">
        <v>17591</v>
      </c>
      <c r="F249" s="57"/>
      <c r="G249" s="72"/>
      <c r="I249" s="57"/>
      <c r="J249" s="72"/>
      <c r="L249" s="57"/>
      <c r="M249" s="114" t="s">
        <v>17558</v>
      </c>
      <c r="N249" s="49"/>
      <c r="O249" s="50"/>
      <c r="P249" s="299"/>
      <c r="Q249" s="45"/>
      <c r="R249" s="46"/>
      <c r="S249" s="512"/>
      <c r="T249" s="57"/>
      <c r="U249" s="512"/>
      <c r="V249" s="57"/>
      <c r="W249" s="72"/>
      <c r="Z249" s="57"/>
      <c r="AA249" s="72"/>
      <c r="AD249" s="57"/>
      <c r="AE249" s="208">
        <f>ROUND((_15_同援日１．０*_15・基礎２),0)+ROUND((ROUND((_15_同援日１．０＿０．５*_15・基礎２),0)*(1+_15・B夜間)),0)+ROUND((ROUND((_15_同援日１．０＿０．５＿０．５*_15・基礎２),0)*(1+_15・C深夜)),0)</f>
        <v>509</v>
      </c>
      <c r="AF249" s="48"/>
    </row>
    <row r="250" spans="1:32" ht="16.5" customHeight="1" x14ac:dyDescent="0.15">
      <c r="A250" s="41">
        <v>15</v>
      </c>
      <c r="B250" s="41" t="s">
        <v>1583</v>
      </c>
      <c r="C250" s="74" t="s">
        <v>23120</v>
      </c>
      <c r="D250" s="72"/>
      <c r="E250" s="168">
        <f>_15_同援日１．０</f>
        <v>300</v>
      </c>
      <c r="F250" s="57" t="s">
        <v>392</v>
      </c>
      <c r="G250" s="72"/>
      <c r="H250" s="168">
        <f>_15_同援日１．０＿０．５</f>
        <v>133</v>
      </c>
      <c r="I250" s="57" t="s">
        <v>392</v>
      </c>
      <c r="J250" s="72"/>
      <c r="K250" s="168">
        <f>_15_同援日１．０＿０．５＿０．５</f>
        <v>65</v>
      </c>
      <c r="L250" s="57" t="s">
        <v>392</v>
      </c>
      <c r="M250" s="122" t="s">
        <v>17560</v>
      </c>
      <c r="N250" s="37" t="s">
        <v>398</v>
      </c>
      <c r="O250" s="38">
        <v>0.9</v>
      </c>
      <c r="P250" s="299" t="s">
        <v>17556</v>
      </c>
      <c r="Q250" s="45" t="s">
        <v>398</v>
      </c>
      <c r="R250" s="46">
        <v>1</v>
      </c>
      <c r="S250" s="512"/>
      <c r="T250" s="57"/>
      <c r="U250" s="512"/>
      <c r="V250" s="57"/>
      <c r="W250" s="122"/>
      <c r="X250" s="37"/>
      <c r="Y250" s="38"/>
      <c r="Z250" s="79"/>
      <c r="AA250" s="72"/>
      <c r="AD250" s="57"/>
      <c r="AE250" s="208">
        <f>ROUND((ROUND((_15_同援日１．０*_15・基礎２),0)*_15・２人),0)+ROUND((ROUND((ROUND((_15_同援日１．０＿０．５*_15・基礎２),0)*_15・２人),0)*(1+_15・B夜間)),0)+ROUND((ROUND((ROUND((_15_同援日１．０＿０．５＿０．５*_15・基礎２),0)*_15・２人),0)*(1+_15・C深夜)),0)</f>
        <v>509</v>
      </c>
      <c r="AF250" s="48"/>
    </row>
    <row r="251" spans="1:32" ht="16.5" customHeight="1" x14ac:dyDescent="0.15">
      <c r="A251" s="41">
        <v>15</v>
      </c>
      <c r="B251" s="41" t="s">
        <v>1585</v>
      </c>
      <c r="C251" s="74" t="s">
        <v>23121</v>
      </c>
      <c r="D251" s="72"/>
      <c r="F251" s="57"/>
      <c r="G251" s="72"/>
      <c r="I251" s="57"/>
      <c r="J251" s="72"/>
      <c r="L251" s="57"/>
      <c r="M251" s="114"/>
      <c r="N251" s="49"/>
      <c r="O251" s="50"/>
      <c r="P251" s="299"/>
      <c r="Q251" s="45"/>
      <c r="R251" s="46"/>
      <c r="S251" s="512"/>
      <c r="T251" s="57"/>
      <c r="U251" s="512"/>
      <c r="V251" s="57"/>
      <c r="W251" s="114" t="s">
        <v>17562</v>
      </c>
      <c r="X251" s="49"/>
      <c r="Y251" s="50"/>
      <c r="Z251" s="115"/>
      <c r="AA251" s="72"/>
      <c r="AD251" s="57"/>
      <c r="AE251" s="208">
        <f>ROUND((_15_同援日１．０*(1+_15・盲ろう)),0)+ROUND((ROUND((_15_同援日１．０＿０．５*(1+_15・B夜間)),0)*(1+_15・盲ろう)),0)+ROUND((ROUND((_15_同援日１．０＿０．５＿０．５*(1+_15・C深夜)),0)*(1+_15・盲ろう)),0)</f>
        <v>706</v>
      </c>
      <c r="AF251" s="48"/>
    </row>
    <row r="252" spans="1:32" ht="16.5" customHeight="1" x14ac:dyDescent="0.15">
      <c r="A252" s="41">
        <v>15</v>
      </c>
      <c r="B252" s="41" t="s">
        <v>1587</v>
      </c>
      <c r="C252" s="74" t="s">
        <v>23122</v>
      </c>
      <c r="D252" s="72"/>
      <c r="F252" s="57"/>
      <c r="G252" s="72"/>
      <c r="I252" s="57"/>
      <c r="J252" s="72"/>
      <c r="L252" s="57"/>
      <c r="M252" s="122"/>
      <c r="N252" s="37"/>
      <c r="O252" s="38"/>
      <c r="P252" s="299" t="s">
        <v>17556</v>
      </c>
      <c r="Q252" s="45" t="s">
        <v>398</v>
      </c>
      <c r="R252" s="46">
        <v>1</v>
      </c>
      <c r="S252" s="512"/>
      <c r="T252" s="57"/>
      <c r="U252" s="512"/>
      <c r="V252" s="57"/>
      <c r="W252" s="72" t="s">
        <v>17564</v>
      </c>
      <c r="Z252" s="57"/>
      <c r="AA252" s="72"/>
      <c r="AD252" s="57"/>
      <c r="AE252" s="208">
        <f>ROUND((ROUND((_15_同援日１．０*_15・２人),0)*(1+_15・盲ろう)),0)+ROUND((ROUND((ROUND((_15_同援日１．０＿０．５*_15・２人),0)*(1+_15・B夜間)),0)*(1+_15・盲ろう)),0)+ROUND((ROUND((ROUND((_15_同援日１．０＿０．５＿０．５*_15・２人),0)*(1+_15・C深夜)),0)*(1+_15・盲ろう)),0)</f>
        <v>706</v>
      </c>
      <c r="AF252" s="48"/>
    </row>
    <row r="253" spans="1:32" ht="16.5" customHeight="1" x14ac:dyDescent="0.15">
      <c r="A253" s="41">
        <v>15</v>
      </c>
      <c r="B253" s="41" t="s">
        <v>23123</v>
      </c>
      <c r="C253" s="74" t="s">
        <v>23124</v>
      </c>
      <c r="D253" s="72"/>
      <c r="F253" s="57"/>
      <c r="G253" s="72"/>
      <c r="I253" s="57"/>
      <c r="J253" s="72"/>
      <c r="L253" s="57"/>
      <c r="M253" s="114" t="s">
        <v>17558</v>
      </c>
      <c r="N253" s="49"/>
      <c r="O253" s="50"/>
      <c r="P253" s="299"/>
      <c r="Q253" s="45"/>
      <c r="R253" s="46"/>
      <c r="S253" s="512"/>
      <c r="T253" s="57"/>
      <c r="U253" s="512"/>
      <c r="V253" s="57"/>
      <c r="W253" s="72"/>
      <c r="X253" s="12" t="s">
        <v>398</v>
      </c>
      <c r="Y253" s="13">
        <v>0.25</v>
      </c>
      <c r="Z253" s="57" t="s">
        <v>3575</v>
      </c>
      <c r="AA253" s="72"/>
      <c r="AD253" s="57"/>
      <c r="AE253" s="208">
        <f>ROUND((ROUND((_15_同援日１．０*_15・基礎２),0)*(1+_15・盲ろう)),0)+ROUND((ROUND((ROUND((_15_同援日１．０＿０．５*_15・基礎２),0)*(1+_15・B夜間)),0)*(1+_15・盲ろう)),0)+ROUND((ROUND((ROUND((_15_同援日１．０＿０．５＿０．５*_15・基礎２),0)*(1+_15・C深夜)),0)*(1+_15・盲ろう)),0)</f>
        <v>637</v>
      </c>
      <c r="AF253" s="48"/>
    </row>
    <row r="254" spans="1:32" ht="16.5" customHeight="1" x14ac:dyDescent="0.15">
      <c r="A254" s="41">
        <v>15</v>
      </c>
      <c r="B254" s="41" t="s">
        <v>23125</v>
      </c>
      <c r="C254" s="74" t="s">
        <v>23126</v>
      </c>
      <c r="D254" s="72"/>
      <c r="F254" s="57"/>
      <c r="G254" s="72"/>
      <c r="I254" s="57"/>
      <c r="J254" s="72"/>
      <c r="L254" s="57"/>
      <c r="M254" s="122" t="s">
        <v>17560</v>
      </c>
      <c r="N254" s="37" t="s">
        <v>398</v>
      </c>
      <c r="O254" s="38">
        <v>0.9</v>
      </c>
      <c r="P254" s="299" t="s">
        <v>17556</v>
      </c>
      <c r="Q254" s="45" t="s">
        <v>398</v>
      </c>
      <c r="R254" s="46">
        <v>1</v>
      </c>
      <c r="S254" s="512"/>
      <c r="T254" s="57"/>
      <c r="U254" s="512"/>
      <c r="V254" s="57"/>
      <c r="W254" s="122"/>
      <c r="X254" s="37"/>
      <c r="Y254" s="38"/>
      <c r="Z254" s="79"/>
      <c r="AA254" s="122"/>
      <c r="AB254" s="37"/>
      <c r="AC254" s="38"/>
      <c r="AD254" s="79"/>
      <c r="AE254" s="208">
        <f>ROUND((ROUND((ROUND((_15_同援日１．０*_15・基礎２),0)*_15・２人),0)*(1+_15・盲ろう)),0)+ROUND((ROUND((ROUND((ROUND((_15_同援日１．０＿０．５*_15・基礎２),0)*_15・２人),0)*(1+_15・B夜間)),0)*(1+_15・盲ろう)),0)+ROUND((ROUND((ROUND((ROUND((_15_同援日１．０＿０．５＿０．５*_15・基礎２),0)*_15・２人),0)*(1+_15・C深夜)),0)*(1+_15・盲ろう)),0)</f>
        <v>637</v>
      </c>
      <c r="AF254" s="48"/>
    </row>
    <row r="255" spans="1:32" ht="16.5" customHeight="1" x14ac:dyDescent="0.15">
      <c r="A255" s="41">
        <v>15</v>
      </c>
      <c r="B255" s="41" t="s">
        <v>23127</v>
      </c>
      <c r="C255" s="74" t="s">
        <v>23128</v>
      </c>
      <c r="D255" s="72"/>
      <c r="F255" s="57"/>
      <c r="G255" s="72"/>
      <c r="I255" s="57"/>
      <c r="J255" s="72"/>
      <c r="L255" s="57"/>
      <c r="M255" s="114"/>
      <c r="N255" s="49"/>
      <c r="O255" s="50"/>
      <c r="P255" s="299"/>
      <c r="Q255" s="45"/>
      <c r="R255" s="46"/>
      <c r="S255" s="512"/>
      <c r="T255" s="57"/>
      <c r="U255" s="512"/>
      <c r="V255" s="57"/>
      <c r="W255" s="114"/>
      <c r="X255" s="49"/>
      <c r="Y255" s="50"/>
      <c r="Z255" s="115"/>
      <c r="AA255" s="114"/>
      <c r="AB255" s="49"/>
      <c r="AC255" s="50"/>
      <c r="AD255" s="115"/>
      <c r="AE255" s="208">
        <f>ROUND((_15_同援日１．０*(1+_15・区３)),0)+ROUND((ROUND((_15_同援日１．０＿０．５*(1+_15・B夜間)),0)*(1+_15・区３)),0)+ROUND((ROUND((_15_同援日１．０＿０．５＿０．５*(1+_15・C深夜)),0)*(1+_15・区３)),0)</f>
        <v>677</v>
      </c>
      <c r="AF255" s="48"/>
    </row>
    <row r="256" spans="1:32" ht="16.5" customHeight="1" x14ac:dyDescent="0.15">
      <c r="A256" s="41">
        <v>15</v>
      </c>
      <c r="B256" s="41" t="s">
        <v>23129</v>
      </c>
      <c r="C256" s="74" t="s">
        <v>23130</v>
      </c>
      <c r="D256" s="72"/>
      <c r="F256" s="57"/>
      <c r="G256" s="72"/>
      <c r="I256" s="57"/>
      <c r="J256" s="72"/>
      <c r="L256" s="57"/>
      <c r="M256" s="122"/>
      <c r="N256" s="37"/>
      <c r="O256" s="38"/>
      <c r="P256" s="299" t="s">
        <v>17556</v>
      </c>
      <c r="Q256" s="45" t="s">
        <v>398</v>
      </c>
      <c r="R256" s="46">
        <v>1</v>
      </c>
      <c r="S256" s="512"/>
      <c r="T256" s="57"/>
      <c r="U256" s="512"/>
      <c r="V256" s="57"/>
      <c r="W256" s="72"/>
      <c r="Z256" s="57"/>
      <c r="AA256" s="72"/>
      <c r="AD256" s="57"/>
      <c r="AE256" s="208">
        <f>ROUND((ROUND((_15_同援日１．０*_15・２人),0)*(1+_15・区３)),0)+ROUND((ROUND((ROUND((_15_同援日１．０＿０．５*_15・２人),0)*(1+_15・B夜間)),0)*(1+_15・区３)),0)+ROUND((ROUND((ROUND((_15_同援日１．０＿０．５＿０．５*_15・２人),0)*(1+_15・C深夜)),0)*(1+_15・区３)),0)</f>
        <v>677</v>
      </c>
      <c r="AF256" s="48"/>
    </row>
    <row r="257" spans="1:32" ht="16.5" customHeight="1" x14ac:dyDescent="0.15">
      <c r="A257" s="41">
        <v>15</v>
      </c>
      <c r="B257" s="41" t="s">
        <v>23131</v>
      </c>
      <c r="C257" s="74" t="s">
        <v>23132</v>
      </c>
      <c r="D257" s="72"/>
      <c r="F257" s="57"/>
      <c r="G257" s="72"/>
      <c r="I257" s="57"/>
      <c r="J257" s="72"/>
      <c r="L257" s="57"/>
      <c r="M257" s="114" t="s">
        <v>17558</v>
      </c>
      <c r="N257" s="49"/>
      <c r="O257" s="50"/>
      <c r="P257" s="299"/>
      <c r="Q257" s="45"/>
      <c r="R257" s="46"/>
      <c r="S257" s="512"/>
      <c r="T257" s="57"/>
      <c r="U257" s="512"/>
      <c r="V257" s="57"/>
      <c r="W257" s="72"/>
      <c r="Z257" s="57"/>
      <c r="AA257" s="72" t="s">
        <v>17570</v>
      </c>
      <c r="AD257" s="57"/>
      <c r="AE257" s="208">
        <f>ROUND((ROUND((_15_同援日１．０*_15・基礎２),0)*(1+_15・区３)),0)+ROUND((ROUND((ROUND((_15_同援日１．０＿０．５*_15・基礎２),0)*(1+_15・B夜間)),0)*(1+_15・区３)),0)+ROUND((ROUND((ROUND((_15_同援日１．０＿０．５＿０．５*_15・基礎２),0)*(1+_15・C深夜)),0)*(1+_15・区３)),0)</f>
        <v>611</v>
      </c>
      <c r="AF257" s="48"/>
    </row>
    <row r="258" spans="1:32" ht="16.5" customHeight="1" x14ac:dyDescent="0.15">
      <c r="A258" s="41">
        <v>15</v>
      </c>
      <c r="B258" s="41" t="s">
        <v>23133</v>
      </c>
      <c r="C258" s="74" t="s">
        <v>23134</v>
      </c>
      <c r="D258" s="72"/>
      <c r="F258" s="57"/>
      <c r="G258" s="72"/>
      <c r="I258" s="57"/>
      <c r="J258" s="72"/>
      <c r="L258" s="57"/>
      <c r="M258" s="122" t="s">
        <v>17560</v>
      </c>
      <c r="N258" s="37" t="s">
        <v>398</v>
      </c>
      <c r="O258" s="38">
        <v>0.9</v>
      </c>
      <c r="P258" s="299" t="s">
        <v>17556</v>
      </c>
      <c r="Q258" s="45" t="s">
        <v>398</v>
      </c>
      <c r="R258" s="46">
        <v>1</v>
      </c>
      <c r="S258" s="512"/>
      <c r="T258" s="57"/>
      <c r="U258" s="512"/>
      <c r="V258" s="57"/>
      <c r="W258" s="122"/>
      <c r="X258" s="37"/>
      <c r="Y258" s="38"/>
      <c r="Z258" s="79"/>
      <c r="AA258" s="72" t="s">
        <v>17572</v>
      </c>
      <c r="AD258" s="57"/>
      <c r="AE258" s="208">
        <f>ROUND((ROUND((ROUND((_15_同援日１．０*_15・基礎２),0)*_15・２人),0)*(1+_15・区３)),0)+ROUND((ROUND((ROUND((ROUND((_15_同援日１．０＿０．５*_15・基礎２),0)*_15・２人),0)*(1+_15・B夜間)),0)*(1+_15・区３)),0)+ROUND((ROUND((ROUND((ROUND((_15_同援日１．０＿０．５＿０．５*_15・基礎２),0)*_15・２人),0)*(1+_15・C深夜)),0)*(1+_15・区３)),0)</f>
        <v>611</v>
      </c>
      <c r="AF258" s="48"/>
    </row>
    <row r="259" spans="1:32" ht="16.5" customHeight="1" x14ac:dyDescent="0.15">
      <c r="A259" s="41">
        <v>15</v>
      </c>
      <c r="B259" s="41" t="s">
        <v>23135</v>
      </c>
      <c r="C259" s="74" t="s">
        <v>23136</v>
      </c>
      <c r="D259" s="72"/>
      <c r="F259" s="57"/>
      <c r="G259" s="72"/>
      <c r="I259" s="57"/>
      <c r="J259" s="72"/>
      <c r="L259" s="57"/>
      <c r="M259" s="114"/>
      <c r="N259" s="49"/>
      <c r="O259" s="50"/>
      <c r="P259" s="299"/>
      <c r="Q259" s="45"/>
      <c r="R259" s="46"/>
      <c r="S259" s="512"/>
      <c r="T259" s="57"/>
      <c r="U259" s="512"/>
      <c r="V259" s="57"/>
      <c r="W259" s="114" t="s">
        <v>17562</v>
      </c>
      <c r="X259" s="49"/>
      <c r="Y259" s="50"/>
      <c r="Z259" s="115"/>
      <c r="AA259" s="72"/>
      <c r="AB259" s="12" t="s">
        <v>398</v>
      </c>
      <c r="AC259" s="13">
        <v>0.2</v>
      </c>
      <c r="AD259" s="57" t="s">
        <v>3575</v>
      </c>
      <c r="AE259" s="208">
        <f>ROUND((ROUND((_15_同援日１．０*(1+_15・盲ろう)),0)*(1+_15・区３)),0)+ROUND((ROUND((ROUND((_15_同援日１．０＿０．５*(1+_15・B夜間)),0)*(1+_15・盲ろう)),0)*(1+_15・区３)),0)+ROUND((ROUND((ROUND((_15_同援日１．０＿０．５＿０．５*(1+_15・C深夜)),0)*(1+_15・盲ろう)),0)*(1+_15・区３)),0)</f>
        <v>848</v>
      </c>
      <c r="AF259" s="48"/>
    </row>
    <row r="260" spans="1:32" ht="16.5" customHeight="1" x14ac:dyDescent="0.15">
      <c r="A260" s="41">
        <v>15</v>
      </c>
      <c r="B260" s="41" t="s">
        <v>23137</v>
      </c>
      <c r="C260" s="74" t="s">
        <v>23138</v>
      </c>
      <c r="D260" s="72"/>
      <c r="F260" s="57"/>
      <c r="G260" s="72"/>
      <c r="I260" s="57"/>
      <c r="J260" s="72"/>
      <c r="L260" s="57"/>
      <c r="M260" s="122"/>
      <c r="N260" s="37"/>
      <c r="O260" s="38"/>
      <c r="P260" s="299" t="s">
        <v>17556</v>
      </c>
      <c r="Q260" s="45" t="s">
        <v>398</v>
      </c>
      <c r="R260" s="46">
        <v>1</v>
      </c>
      <c r="S260" s="512"/>
      <c r="T260" s="57"/>
      <c r="U260" s="512"/>
      <c r="V260" s="57"/>
      <c r="W260" s="72" t="s">
        <v>17564</v>
      </c>
      <c r="Z260" s="57"/>
      <c r="AA260" s="72"/>
      <c r="AD260" s="57"/>
      <c r="AE260" s="208">
        <f>ROUND((ROUND((ROUND((_15_同援日１．０*_15・２人),0)*(1+_15・盲ろう)),0)*(1+_15・区３)),0)+ROUND((ROUND((ROUND((ROUND((_15_同援日１．０＿０．５*_15・２人),0)*(1+_15・B夜間)),0)*(1+_15・盲ろう)),0)*(1+_15・区３)),0)+ROUND((ROUND((ROUND((ROUND((_15_同援日１．０＿０．５＿０．５*_15・２人),0)*(1+_15・C深夜)),0)*(1+_15・盲ろう)),0)*(1+_15・区３)),0)</f>
        <v>848</v>
      </c>
      <c r="AF260" s="48"/>
    </row>
    <row r="261" spans="1:32" ht="16.5" customHeight="1" x14ac:dyDescent="0.15">
      <c r="A261" s="41">
        <v>15</v>
      </c>
      <c r="B261" s="41" t="s">
        <v>23139</v>
      </c>
      <c r="C261" s="74" t="s">
        <v>23140</v>
      </c>
      <c r="D261" s="72"/>
      <c r="F261" s="57"/>
      <c r="G261" s="72"/>
      <c r="I261" s="57"/>
      <c r="J261" s="72"/>
      <c r="L261" s="57"/>
      <c r="M261" s="114" t="s">
        <v>17558</v>
      </c>
      <c r="N261" s="49"/>
      <c r="O261" s="50"/>
      <c r="P261" s="299"/>
      <c r="Q261" s="45"/>
      <c r="R261" s="46"/>
      <c r="S261" s="512"/>
      <c r="T261" s="57"/>
      <c r="U261" s="512"/>
      <c r="V261" s="57"/>
      <c r="W261" s="72"/>
      <c r="X261" s="12" t="s">
        <v>398</v>
      </c>
      <c r="Y261" s="13">
        <v>0.25</v>
      </c>
      <c r="Z261" s="57" t="s">
        <v>3575</v>
      </c>
      <c r="AA261" s="72"/>
      <c r="AD261" s="57"/>
      <c r="AE261" s="208">
        <f>ROUND((ROUND((ROUND((_15_同援日１．０*_15・基礎２),0)*(1+_15・盲ろう)),0)*(1+_15・区３)),0)+ROUND((ROUND((ROUND((ROUND((_15_同援日１．０＿０．５*_15・基礎２),0)*(1+_15・B夜間)),0)*(1+_15・盲ろう)),0)*(1+_15・区３)),0)+ROUND((ROUND((ROUND((ROUND((_15_同援日１．０＿０．５＿０．５*_15・基礎２),0)*(1+_15・C深夜)),0)*(1+_15・盲ろう)),0)*(1+_15・区３)),0)</f>
        <v>765</v>
      </c>
      <c r="AF261" s="48"/>
    </row>
    <row r="262" spans="1:32" ht="16.5" customHeight="1" x14ac:dyDescent="0.15">
      <c r="A262" s="41">
        <v>15</v>
      </c>
      <c r="B262" s="41" t="s">
        <v>23141</v>
      </c>
      <c r="C262" s="74" t="s">
        <v>23142</v>
      </c>
      <c r="D262" s="72"/>
      <c r="F262" s="57"/>
      <c r="G262" s="72"/>
      <c r="I262" s="57"/>
      <c r="J262" s="72"/>
      <c r="L262" s="57"/>
      <c r="M262" s="122" t="s">
        <v>17560</v>
      </c>
      <c r="N262" s="37" t="s">
        <v>398</v>
      </c>
      <c r="O262" s="38">
        <v>0.9</v>
      </c>
      <c r="P262" s="299" t="s">
        <v>17556</v>
      </c>
      <c r="Q262" s="45" t="s">
        <v>398</v>
      </c>
      <c r="R262" s="46">
        <v>1</v>
      </c>
      <c r="S262" s="512"/>
      <c r="T262" s="57"/>
      <c r="U262" s="512"/>
      <c r="V262" s="57"/>
      <c r="W262" s="122"/>
      <c r="X262" s="37"/>
      <c r="Y262" s="38"/>
      <c r="Z262" s="79"/>
      <c r="AA262" s="122"/>
      <c r="AB262" s="37"/>
      <c r="AC262" s="38"/>
      <c r="AD262" s="79"/>
      <c r="AE262" s="208">
        <f>ROUND((ROUND((ROUND((ROUND((_15_同援日１．０*_15・基礎２),0)*_15・２人),0)*(1+_15・盲ろう)),0)*(1+_15・区３)),0)+ROUND((ROUND((ROUND((ROUND((ROUND((_15_同援日１．０＿０．５*_15・基礎２),0)*_15・２人),0)*(1+_15・B夜間)),0)*(1+_15・盲ろう)),0)*(1+_15・区３)),0)+ROUND((ROUND((ROUND((ROUND((ROUND((_15_同援日１．０＿０．５＿０．５*_15・基礎２),0)*_15・２人),0)*(1+_15・C深夜)),0)*(1+_15・盲ろう)),0)*(1+_15・区３)),0)</f>
        <v>765</v>
      </c>
      <c r="AF262" s="48"/>
    </row>
    <row r="263" spans="1:32" ht="16.5" customHeight="1" x14ac:dyDescent="0.15">
      <c r="A263" s="41">
        <v>15</v>
      </c>
      <c r="B263" s="41" t="s">
        <v>23143</v>
      </c>
      <c r="C263" s="74" t="s">
        <v>23144</v>
      </c>
      <c r="D263" s="72"/>
      <c r="F263" s="57"/>
      <c r="G263" s="72"/>
      <c r="I263" s="57"/>
      <c r="J263" s="72"/>
      <c r="L263" s="57"/>
      <c r="M263" s="114"/>
      <c r="N263" s="49"/>
      <c r="O263" s="50"/>
      <c r="P263" s="299"/>
      <c r="Q263" s="45"/>
      <c r="R263" s="46"/>
      <c r="S263" s="512"/>
      <c r="T263" s="57"/>
      <c r="U263" s="512"/>
      <c r="V263" s="57"/>
      <c r="W263" s="114"/>
      <c r="X263" s="49"/>
      <c r="Y263" s="50"/>
      <c r="Z263" s="115"/>
      <c r="AA263" s="114"/>
      <c r="AB263" s="49"/>
      <c r="AC263" s="50"/>
      <c r="AD263" s="115"/>
      <c r="AE263" s="208">
        <f>ROUND((_15_同援日１．０*(1+_15・区４)),0)+ROUND((ROUND((_15_同援日１．０＿０．５*(1+_15・B夜間)),0)*(1+_15・区４)),0)+ROUND((ROUND((_15_同援日１．０＿０．５＿０．５*(1+_15・C深夜)),0)*(1+_15・区４)),0)</f>
        <v>789</v>
      </c>
      <c r="AF263" s="48"/>
    </row>
    <row r="264" spans="1:32" ht="16.5" customHeight="1" x14ac:dyDescent="0.15">
      <c r="A264" s="41">
        <v>15</v>
      </c>
      <c r="B264" s="41" t="s">
        <v>23145</v>
      </c>
      <c r="C264" s="74" t="s">
        <v>23146</v>
      </c>
      <c r="D264" s="72"/>
      <c r="F264" s="57"/>
      <c r="G264" s="72"/>
      <c r="I264" s="57"/>
      <c r="J264" s="72"/>
      <c r="L264" s="57"/>
      <c r="M264" s="122"/>
      <c r="N264" s="37"/>
      <c r="O264" s="38"/>
      <c r="P264" s="299" t="s">
        <v>17556</v>
      </c>
      <c r="Q264" s="45" t="s">
        <v>398</v>
      </c>
      <c r="R264" s="46">
        <v>1</v>
      </c>
      <c r="S264" s="512"/>
      <c r="T264" s="57"/>
      <c r="U264" s="512"/>
      <c r="V264" s="57"/>
      <c r="W264" s="72"/>
      <c r="Z264" s="57"/>
      <c r="AA264" s="72"/>
      <c r="AD264" s="57"/>
      <c r="AE264" s="208">
        <f>ROUND((ROUND((_15_同援日１．０*_15・２人),0)*(1+_15・区４)),0)+ROUND((ROUND((ROUND((_15_同援日１．０＿０．５*_15・２人),0)*(1+_15・B夜間)),0)*(1+_15・区４)),0)+ROUND((ROUND((ROUND((_15_同援日１．０＿０．５＿０．５*_15・２人),0)*(1+_15・C深夜)),0)*(1+_15・区４)),0)</f>
        <v>789</v>
      </c>
      <c r="AF264" s="48"/>
    </row>
    <row r="265" spans="1:32" ht="16.5" customHeight="1" x14ac:dyDescent="0.15">
      <c r="A265" s="41">
        <v>15</v>
      </c>
      <c r="B265" s="41" t="s">
        <v>23147</v>
      </c>
      <c r="C265" s="74" t="s">
        <v>23148</v>
      </c>
      <c r="D265" s="72"/>
      <c r="F265" s="57"/>
      <c r="G265" s="72"/>
      <c r="I265" s="57"/>
      <c r="J265" s="72"/>
      <c r="L265" s="57"/>
      <c r="M265" s="114" t="s">
        <v>17558</v>
      </c>
      <c r="N265" s="49"/>
      <c r="O265" s="50"/>
      <c r="P265" s="299"/>
      <c r="Q265" s="45"/>
      <c r="R265" s="46"/>
      <c r="S265" s="512"/>
      <c r="T265" s="57"/>
      <c r="U265" s="512"/>
      <c r="V265" s="57"/>
      <c r="W265" s="72"/>
      <c r="Z265" s="57"/>
      <c r="AA265" s="72" t="s">
        <v>17580</v>
      </c>
      <c r="AD265" s="57"/>
      <c r="AE265" s="208">
        <f>ROUND((ROUND((_15_同援日１．０*_15・基礎２),0)*(1+_15・区４)),0)+ROUND((ROUND((ROUND((_15_同援日１．０＿０．５*_15・基礎２),0)*(1+_15・B夜間)),0)*(1+_15・区４)),0)+ROUND((ROUND((ROUND((_15_同援日１．０＿０．５＿０．５*_15・基礎２),0)*(1+_15・C深夜)),0)*(1+_15・区４)),0)</f>
        <v>713</v>
      </c>
      <c r="AF265" s="48"/>
    </row>
    <row r="266" spans="1:32" ht="16.5" customHeight="1" x14ac:dyDescent="0.15">
      <c r="A266" s="41">
        <v>15</v>
      </c>
      <c r="B266" s="41" t="s">
        <v>23149</v>
      </c>
      <c r="C266" s="74" t="s">
        <v>23150</v>
      </c>
      <c r="D266" s="72"/>
      <c r="F266" s="57"/>
      <c r="G266" s="72"/>
      <c r="I266" s="57"/>
      <c r="J266" s="72"/>
      <c r="L266" s="57"/>
      <c r="M266" s="122" t="s">
        <v>17560</v>
      </c>
      <c r="N266" s="37" t="s">
        <v>398</v>
      </c>
      <c r="O266" s="38">
        <v>0.9</v>
      </c>
      <c r="P266" s="299" t="s">
        <v>17556</v>
      </c>
      <c r="Q266" s="45" t="s">
        <v>398</v>
      </c>
      <c r="R266" s="46">
        <v>1</v>
      </c>
      <c r="S266" s="512"/>
      <c r="T266" s="57"/>
      <c r="U266" s="512"/>
      <c r="V266" s="57"/>
      <c r="W266" s="122"/>
      <c r="X266" s="37"/>
      <c r="Y266" s="38"/>
      <c r="Z266" s="79"/>
      <c r="AA266" s="72" t="s">
        <v>17572</v>
      </c>
      <c r="AD266" s="57"/>
      <c r="AE266" s="208">
        <f>ROUND((ROUND((ROUND((_15_同援日１．０*_15・基礎２),0)*_15・２人),0)*(1+_15・区４)),0)+ROUND((ROUND((ROUND((ROUND((_15_同援日１．０＿０．５*_15・基礎２),0)*_15・２人),0)*(1+_15・B夜間)),0)*(1+_15・区４)),0)+ROUND((ROUND((ROUND((ROUND((_15_同援日１．０＿０．５＿０．５*_15・基礎２),0)*_15・２人),0)*(1+_15・C深夜)),0)*(1+_15・区４)),0)</f>
        <v>713</v>
      </c>
      <c r="AF266" s="48"/>
    </row>
    <row r="267" spans="1:32" ht="16.5" customHeight="1" x14ac:dyDescent="0.15">
      <c r="A267" s="41">
        <v>15</v>
      </c>
      <c r="B267" s="41" t="s">
        <v>23151</v>
      </c>
      <c r="C267" s="74" t="s">
        <v>23152</v>
      </c>
      <c r="D267" s="72"/>
      <c r="F267" s="57"/>
      <c r="G267" s="72"/>
      <c r="I267" s="57"/>
      <c r="J267" s="72"/>
      <c r="L267" s="57"/>
      <c r="M267" s="114"/>
      <c r="N267" s="49"/>
      <c r="O267" s="50"/>
      <c r="P267" s="299"/>
      <c r="Q267" s="45"/>
      <c r="R267" s="46"/>
      <c r="S267" s="512"/>
      <c r="T267" s="57"/>
      <c r="U267" s="512"/>
      <c r="V267" s="57"/>
      <c r="W267" s="114" t="s">
        <v>17562</v>
      </c>
      <c r="X267" s="49"/>
      <c r="Y267" s="50"/>
      <c r="Z267" s="115"/>
      <c r="AA267" s="72"/>
      <c r="AB267" s="12" t="s">
        <v>398</v>
      </c>
      <c r="AC267" s="13">
        <v>0.4</v>
      </c>
      <c r="AD267" s="57" t="s">
        <v>3575</v>
      </c>
      <c r="AE267" s="208">
        <f>ROUND((ROUND((_15_同援日１．０*(1+_15・盲ろう)),0)*(1+_15・区４)),0)+ROUND((ROUND((ROUND((_15_同援日１．０＿０．５*(1+_15・B夜間)),0)*(1+_15・盲ろう)),0)*(1+_15・区４)),0)+ROUND((ROUND((ROUND((_15_同援日１．０＿０．５＿０．５*(1+_15・C深夜)),0)*(1+_15・盲ろう)),0)*(1+_15・区４)),0)</f>
        <v>988</v>
      </c>
      <c r="AF267" s="48"/>
    </row>
    <row r="268" spans="1:32" ht="16.5" customHeight="1" x14ac:dyDescent="0.15">
      <c r="A268" s="41">
        <v>15</v>
      </c>
      <c r="B268" s="41" t="s">
        <v>23153</v>
      </c>
      <c r="C268" s="74" t="s">
        <v>23154</v>
      </c>
      <c r="D268" s="72"/>
      <c r="F268" s="57"/>
      <c r="G268" s="72"/>
      <c r="I268" s="57"/>
      <c r="J268" s="72"/>
      <c r="L268" s="57"/>
      <c r="M268" s="122"/>
      <c r="N268" s="37"/>
      <c r="O268" s="38"/>
      <c r="P268" s="299" t="s">
        <v>17556</v>
      </c>
      <c r="Q268" s="45" t="s">
        <v>398</v>
      </c>
      <c r="R268" s="46">
        <v>1</v>
      </c>
      <c r="S268" s="512"/>
      <c r="T268" s="57"/>
      <c r="U268" s="512"/>
      <c r="V268" s="57"/>
      <c r="W268" s="72" t="s">
        <v>17564</v>
      </c>
      <c r="Z268" s="57"/>
      <c r="AA268" s="72"/>
      <c r="AD268" s="57"/>
      <c r="AE268" s="208">
        <f>ROUND((ROUND((ROUND((_15_同援日１．０*_15・２人),0)*(1+_15・盲ろう)),0)*(1+_15・区４)),0)+ROUND((ROUND((ROUND((ROUND((_15_同援日１．０＿０．５*_15・２人),0)*(1+_15・B夜間)),0)*(1+_15・盲ろう)),0)*(1+_15・区４)),0)+ROUND((ROUND((ROUND((ROUND((_15_同援日１．０＿０．５＿０．５*_15・２人),0)*(1+_15・C深夜)),0)*(1+_15・盲ろう)),0)*(1+_15・区４)),0)</f>
        <v>988</v>
      </c>
      <c r="AF268" s="48"/>
    </row>
    <row r="269" spans="1:32" ht="16.5" customHeight="1" x14ac:dyDescent="0.15">
      <c r="A269" s="41">
        <v>15</v>
      </c>
      <c r="B269" s="41" t="s">
        <v>1593</v>
      </c>
      <c r="C269" s="74" t="s">
        <v>23155</v>
      </c>
      <c r="D269" s="72"/>
      <c r="F269" s="57"/>
      <c r="G269" s="72"/>
      <c r="I269" s="57"/>
      <c r="J269" s="72"/>
      <c r="L269" s="57"/>
      <c r="M269" s="114" t="s">
        <v>17558</v>
      </c>
      <c r="N269" s="49"/>
      <c r="O269" s="50"/>
      <c r="P269" s="299"/>
      <c r="Q269" s="45"/>
      <c r="R269" s="46"/>
      <c r="S269" s="512"/>
      <c r="T269" s="57"/>
      <c r="U269" s="512"/>
      <c r="V269" s="57"/>
      <c r="W269" s="72"/>
      <c r="X269" s="12" t="s">
        <v>398</v>
      </c>
      <c r="Y269" s="13">
        <v>0.25</v>
      </c>
      <c r="Z269" s="57" t="s">
        <v>3575</v>
      </c>
      <c r="AA269" s="72"/>
      <c r="AD269" s="57"/>
      <c r="AE269" s="208">
        <f>ROUND((ROUND((ROUND((_15_同援日１．０*_15・基礎２),0)*(1+_15・盲ろう)),0)*(1+_15・区４)),0)+ROUND((ROUND((ROUND((ROUND((_15_同援日１．０＿０．５*_15・基礎２),0)*(1+_15・B夜間)),0)*(1+_15・盲ろう)),0)*(1+_15・区４)),0)+ROUND((ROUND((ROUND((ROUND((_15_同援日１．０＿０．５＿０．５*_15・基礎２),0)*(1+_15・C深夜)),0)*(1+_15・盲ろう)),0)*(1+_15・区４)),0)</f>
        <v>891</v>
      </c>
      <c r="AF269" s="48"/>
    </row>
    <row r="270" spans="1:32" ht="16.5" customHeight="1" x14ac:dyDescent="0.15">
      <c r="A270" s="41">
        <v>15</v>
      </c>
      <c r="B270" s="41" t="s">
        <v>1595</v>
      </c>
      <c r="C270" s="74" t="s">
        <v>23156</v>
      </c>
      <c r="D270" s="72"/>
      <c r="F270" s="57"/>
      <c r="G270" s="72"/>
      <c r="I270" s="57"/>
      <c r="J270" s="122"/>
      <c r="K270" s="37"/>
      <c r="L270" s="79"/>
      <c r="M270" s="122" t="s">
        <v>17560</v>
      </c>
      <c r="N270" s="37" t="s">
        <v>398</v>
      </c>
      <c r="O270" s="38">
        <v>0.9</v>
      </c>
      <c r="P270" s="299" t="s">
        <v>17556</v>
      </c>
      <c r="Q270" s="45" t="s">
        <v>398</v>
      </c>
      <c r="R270" s="46">
        <v>1</v>
      </c>
      <c r="S270" s="512"/>
      <c r="T270" s="57"/>
      <c r="U270" s="512"/>
      <c r="V270" s="57"/>
      <c r="W270" s="122"/>
      <c r="X270" s="37"/>
      <c r="Y270" s="38"/>
      <c r="Z270" s="79"/>
      <c r="AA270" s="122"/>
      <c r="AB270" s="37"/>
      <c r="AC270" s="38"/>
      <c r="AD270" s="79"/>
      <c r="AE270" s="208">
        <f>ROUND((ROUND((ROUND((ROUND((_15_同援日１．０*_15・基礎２),0)*_15・２人),0)*(1+_15・盲ろう)),0)*(1+_15・区４)),0)+ROUND((ROUND((ROUND((ROUND((ROUND((_15_同援日１．０＿０．５*_15・基礎２),0)*_15・２人),0)*(1+_15・B夜間)),0)*(1+_15・盲ろう)),0)*(1+_15・区４)),0)+ROUND((ROUND((ROUND((ROUND((ROUND((_15_同援日１．０＿０．５＿０．５*_15・基礎２),0)*_15・２人),0)*(1+_15・C深夜)),0)*(1+_15・盲ろう)),0)*(1+_15・区４)),0)</f>
        <v>891</v>
      </c>
      <c r="AF270" s="48"/>
    </row>
    <row r="271" spans="1:32" ht="16.5" customHeight="1" x14ac:dyDescent="0.15">
      <c r="A271" s="41">
        <v>15</v>
      </c>
      <c r="B271" s="41" t="s">
        <v>1597</v>
      </c>
      <c r="C271" s="74" t="s">
        <v>23157</v>
      </c>
      <c r="D271" s="72"/>
      <c r="F271" s="57"/>
      <c r="G271" s="72"/>
      <c r="I271" s="57"/>
      <c r="J271" s="114" t="s">
        <v>22723</v>
      </c>
      <c r="K271" s="49"/>
      <c r="L271" s="115"/>
      <c r="M271" s="114"/>
      <c r="N271" s="49"/>
      <c r="O271" s="50"/>
      <c r="P271" s="299"/>
      <c r="Q271" s="45"/>
      <c r="R271" s="46"/>
      <c r="S271" s="512"/>
      <c r="T271" s="57"/>
      <c r="U271" s="512"/>
      <c r="V271" s="57"/>
      <c r="W271" s="114"/>
      <c r="X271" s="49"/>
      <c r="Y271" s="50"/>
      <c r="Z271" s="115"/>
      <c r="AA271" s="114"/>
      <c r="AB271" s="49"/>
      <c r="AC271" s="50"/>
      <c r="AD271" s="115"/>
      <c r="AE271" s="208">
        <f>_15_同援日１．０+ROUND((_15_同援日１．０＿０．５*(1+_15・B夜間)),0)+ROUND((_15_同援日１．０＿０．５＿１．０*(1+_15・C深夜)),0)</f>
        <v>661</v>
      </c>
      <c r="AF271" s="48"/>
    </row>
    <row r="272" spans="1:32" ht="16.5" customHeight="1" x14ac:dyDescent="0.15">
      <c r="A272" s="41">
        <v>15</v>
      </c>
      <c r="B272" s="41" t="s">
        <v>1599</v>
      </c>
      <c r="C272" s="74" t="s">
        <v>23158</v>
      </c>
      <c r="D272" s="72"/>
      <c r="F272" s="57"/>
      <c r="G272" s="72"/>
      <c r="I272" s="57"/>
      <c r="J272" s="72" t="s">
        <v>17589</v>
      </c>
      <c r="L272" s="57"/>
      <c r="M272" s="122"/>
      <c r="N272" s="37"/>
      <c r="O272" s="38"/>
      <c r="P272" s="299" t="s">
        <v>17556</v>
      </c>
      <c r="Q272" s="45" t="s">
        <v>398</v>
      </c>
      <c r="R272" s="46">
        <v>1</v>
      </c>
      <c r="S272" s="512"/>
      <c r="T272" s="57"/>
      <c r="U272" s="512"/>
      <c r="V272" s="57"/>
      <c r="W272" s="72"/>
      <c r="Z272" s="57"/>
      <c r="AA272" s="72"/>
      <c r="AD272" s="57"/>
      <c r="AE272" s="208">
        <f>ROUND((_15_同援日１．０*_15・２人),0)+ROUND((ROUND((_15_同援日１．０＿０．５*_15・２人),0)*(1+_15・B夜間)),0)+ROUND((ROUND((_15_同援日１．０＿０．５＿１．０*_15・２人),0)*(1+_15・C深夜)),0)</f>
        <v>661</v>
      </c>
      <c r="AF272" s="48"/>
    </row>
    <row r="273" spans="1:32" ht="16.5" customHeight="1" x14ac:dyDescent="0.15">
      <c r="A273" s="41">
        <v>15</v>
      </c>
      <c r="B273" s="41" t="s">
        <v>23159</v>
      </c>
      <c r="C273" s="74" t="s">
        <v>23160</v>
      </c>
      <c r="D273" s="72"/>
      <c r="F273" s="57"/>
      <c r="G273" s="72"/>
      <c r="I273" s="57"/>
      <c r="J273" s="72" t="s">
        <v>17591</v>
      </c>
      <c r="L273" s="57"/>
      <c r="M273" s="114" t="s">
        <v>17558</v>
      </c>
      <c r="N273" s="49"/>
      <c r="O273" s="50"/>
      <c r="P273" s="299"/>
      <c r="Q273" s="45"/>
      <c r="R273" s="46"/>
      <c r="S273" s="512"/>
      <c r="T273" s="57"/>
      <c r="U273" s="512"/>
      <c r="V273" s="57"/>
      <c r="W273" s="72"/>
      <c r="Z273" s="57"/>
      <c r="AA273" s="72"/>
      <c r="AD273" s="57"/>
      <c r="AE273" s="208">
        <f>ROUND((_15_同援日１．０*_15・基礎２),0)+ROUND((ROUND((_15_同援日１．０＿０．５*_15・基礎２),0)*(1+_15・B夜間)),0)+ROUND((ROUND((_15_同援日１．０＿０．５＿１．０*_15・基礎２),0)*(1+_15・C深夜)),0)</f>
        <v>596</v>
      </c>
      <c r="AF273" s="48"/>
    </row>
    <row r="274" spans="1:32" ht="16.5" customHeight="1" x14ac:dyDescent="0.15">
      <c r="A274" s="41">
        <v>15</v>
      </c>
      <c r="B274" s="41" t="s">
        <v>23161</v>
      </c>
      <c r="C274" s="74" t="s">
        <v>23162</v>
      </c>
      <c r="D274" s="72"/>
      <c r="F274" s="57"/>
      <c r="G274" s="72"/>
      <c r="I274" s="57"/>
      <c r="J274" s="72"/>
      <c r="K274" s="168">
        <f>_15_同援日１．０＿０．５＿１．０</f>
        <v>130</v>
      </c>
      <c r="L274" s="57" t="s">
        <v>392</v>
      </c>
      <c r="M274" s="122" t="s">
        <v>17560</v>
      </c>
      <c r="N274" s="37" t="s">
        <v>398</v>
      </c>
      <c r="O274" s="38">
        <v>0.9</v>
      </c>
      <c r="P274" s="299" t="s">
        <v>17556</v>
      </c>
      <c r="Q274" s="45" t="s">
        <v>398</v>
      </c>
      <c r="R274" s="46">
        <v>1</v>
      </c>
      <c r="S274" s="512"/>
      <c r="T274" s="57"/>
      <c r="U274" s="512"/>
      <c r="V274" s="57"/>
      <c r="W274" s="122"/>
      <c r="X274" s="37"/>
      <c r="Y274" s="38"/>
      <c r="Z274" s="79"/>
      <c r="AA274" s="72"/>
      <c r="AD274" s="57"/>
      <c r="AE274" s="208">
        <f>ROUND((ROUND((_15_同援日１．０*_15・基礎２),0)*_15・２人),0)+ROUND((ROUND((ROUND((_15_同援日１．０＿０．５*_15・基礎２),0)*_15・２人),0)*(1+_15・B夜間)),0)+ROUND((ROUND((ROUND((_15_同援日１．０＿０．５＿１．０*_15・基礎２),0)*_15・２人),0)*(1+_15・C深夜)),0)</f>
        <v>596</v>
      </c>
      <c r="AF274" s="48"/>
    </row>
    <row r="275" spans="1:32" ht="16.5" customHeight="1" x14ac:dyDescent="0.15">
      <c r="A275" s="41">
        <v>15</v>
      </c>
      <c r="B275" s="41" t="s">
        <v>23163</v>
      </c>
      <c r="C275" s="74" t="s">
        <v>23164</v>
      </c>
      <c r="D275" s="72"/>
      <c r="F275" s="57"/>
      <c r="G275" s="72"/>
      <c r="I275" s="57"/>
      <c r="J275" s="72"/>
      <c r="L275" s="57"/>
      <c r="M275" s="114"/>
      <c r="N275" s="49"/>
      <c r="O275" s="50"/>
      <c r="P275" s="299"/>
      <c r="Q275" s="45"/>
      <c r="R275" s="46"/>
      <c r="S275" s="512"/>
      <c r="T275" s="57"/>
      <c r="U275" s="512"/>
      <c r="V275" s="57"/>
      <c r="W275" s="114" t="s">
        <v>17562</v>
      </c>
      <c r="X275" s="49"/>
      <c r="Y275" s="50"/>
      <c r="Z275" s="115"/>
      <c r="AA275" s="72"/>
      <c r="AD275" s="57"/>
      <c r="AE275" s="208">
        <f>ROUND((_15_同援日１．０*(1+_15・盲ろう)),0)+ROUND((ROUND((_15_同援日１．０＿０．５*(1+_15・B夜間)),0)*(1+_15・盲ろう)),0)+ROUND((ROUND((_15_同援日１．０＿０．５＿１．０*(1+_15・C深夜)),0)*(1+_15・盲ろう)),0)</f>
        <v>827</v>
      </c>
      <c r="AF275" s="48"/>
    </row>
    <row r="276" spans="1:32" ht="16.5" customHeight="1" x14ac:dyDescent="0.15">
      <c r="A276" s="41">
        <v>15</v>
      </c>
      <c r="B276" s="41" t="s">
        <v>23165</v>
      </c>
      <c r="C276" s="74" t="s">
        <v>23166</v>
      </c>
      <c r="D276" s="72"/>
      <c r="F276" s="57"/>
      <c r="G276" s="72"/>
      <c r="I276" s="57"/>
      <c r="J276" s="72"/>
      <c r="L276" s="57"/>
      <c r="M276" s="122"/>
      <c r="N276" s="37"/>
      <c r="O276" s="38"/>
      <c r="P276" s="299" t="s">
        <v>17556</v>
      </c>
      <c r="Q276" s="45" t="s">
        <v>398</v>
      </c>
      <c r="R276" s="46">
        <v>1</v>
      </c>
      <c r="S276" s="512"/>
      <c r="T276" s="57"/>
      <c r="U276" s="512"/>
      <c r="V276" s="57"/>
      <c r="W276" s="72" t="s">
        <v>17564</v>
      </c>
      <c r="Z276" s="57"/>
      <c r="AA276" s="72"/>
      <c r="AD276" s="57"/>
      <c r="AE276" s="208">
        <f>ROUND((ROUND((_15_同援日１．０*_15・２人),0)*(1+_15・盲ろう)),0)+ROUND((ROUND((ROUND((_15_同援日１．０＿０．５*_15・２人),0)*(1+_15・B夜間)),0)*(1+_15・盲ろう)),0)+ROUND((ROUND((ROUND((_15_同援日１．０＿０．５＿１．０*_15・２人),0)*(1+_15・C深夜)),0)*(1+_15・盲ろう)),0)</f>
        <v>827</v>
      </c>
      <c r="AF276" s="48"/>
    </row>
    <row r="277" spans="1:32" ht="16.5" customHeight="1" x14ac:dyDescent="0.15">
      <c r="A277" s="41">
        <v>15</v>
      </c>
      <c r="B277" s="41" t="s">
        <v>23167</v>
      </c>
      <c r="C277" s="74" t="s">
        <v>23168</v>
      </c>
      <c r="D277" s="72"/>
      <c r="F277" s="57"/>
      <c r="G277" s="72"/>
      <c r="I277" s="57"/>
      <c r="J277" s="72"/>
      <c r="L277" s="57"/>
      <c r="M277" s="114" t="s">
        <v>17558</v>
      </c>
      <c r="N277" s="49"/>
      <c r="O277" s="50"/>
      <c r="P277" s="299"/>
      <c r="Q277" s="45"/>
      <c r="R277" s="46"/>
      <c r="S277" s="512"/>
      <c r="T277" s="57"/>
      <c r="U277" s="512"/>
      <c r="V277" s="57"/>
      <c r="W277" s="72"/>
      <c r="X277" s="12" t="s">
        <v>398</v>
      </c>
      <c r="Y277" s="13">
        <v>0.25</v>
      </c>
      <c r="Z277" s="57" t="s">
        <v>3575</v>
      </c>
      <c r="AA277" s="72"/>
      <c r="AD277" s="57"/>
      <c r="AE277" s="208">
        <f>ROUND((ROUND((_15_同援日１．０*_15・基礎２),0)*(1+_15・盲ろう)),0)+ROUND((ROUND((ROUND((_15_同援日１．０＿０．５*_15・基礎２),0)*(1+_15・B夜間)),0)*(1+_15・盲ろう)),0)+ROUND((ROUND((ROUND((_15_同援日１．０＿０．５＿１．０*_15・基礎２),0)*(1+_15・C深夜)),0)*(1+_15・盲ろう)),0)</f>
        <v>746</v>
      </c>
      <c r="AF277" s="48"/>
    </row>
    <row r="278" spans="1:32" ht="16.5" customHeight="1" x14ac:dyDescent="0.15">
      <c r="A278" s="41">
        <v>15</v>
      </c>
      <c r="B278" s="41" t="s">
        <v>23169</v>
      </c>
      <c r="C278" s="74" t="s">
        <v>23170</v>
      </c>
      <c r="D278" s="72"/>
      <c r="F278" s="57"/>
      <c r="G278" s="72"/>
      <c r="I278" s="57"/>
      <c r="J278" s="72"/>
      <c r="L278" s="57"/>
      <c r="M278" s="122" t="s">
        <v>17560</v>
      </c>
      <c r="N278" s="37" t="s">
        <v>398</v>
      </c>
      <c r="O278" s="38">
        <v>0.9</v>
      </c>
      <c r="P278" s="299" t="s">
        <v>17556</v>
      </c>
      <c r="Q278" s="45" t="s">
        <v>398</v>
      </c>
      <c r="R278" s="46">
        <v>1</v>
      </c>
      <c r="S278" s="512"/>
      <c r="T278" s="57"/>
      <c r="U278" s="512"/>
      <c r="V278" s="57"/>
      <c r="W278" s="122"/>
      <c r="X278" s="37"/>
      <c r="Y278" s="38"/>
      <c r="Z278" s="79"/>
      <c r="AA278" s="122"/>
      <c r="AB278" s="37"/>
      <c r="AC278" s="38"/>
      <c r="AD278" s="79"/>
      <c r="AE278" s="208">
        <f>ROUND((ROUND((ROUND((_15_同援日１．０*_15・基礎２),0)*_15・２人),0)*(1+_15・盲ろう)),0)+ROUND((ROUND((ROUND((ROUND((_15_同援日１．０＿０．５*_15・基礎２),0)*_15・２人),0)*(1+_15・B夜間)),0)*(1+_15・盲ろう)),0)+ROUND((ROUND((ROUND((ROUND((_15_同援日１．０＿０．５＿１．０*_15・基礎２),0)*_15・２人),0)*(1+_15・C深夜)),0)*(1+_15・盲ろう)),0)</f>
        <v>746</v>
      </c>
      <c r="AF278" s="48"/>
    </row>
    <row r="279" spans="1:32" ht="16.5" customHeight="1" x14ac:dyDescent="0.15">
      <c r="A279" s="41">
        <v>15</v>
      </c>
      <c r="B279" s="41" t="s">
        <v>23171</v>
      </c>
      <c r="C279" s="74" t="s">
        <v>23172</v>
      </c>
      <c r="D279" s="72"/>
      <c r="F279" s="57"/>
      <c r="G279" s="72"/>
      <c r="I279" s="57"/>
      <c r="J279" s="72"/>
      <c r="L279" s="57"/>
      <c r="M279" s="114"/>
      <c r="N279" s="49"/>
      <c r="O279" s="50"/>
      <c r="P279" s="299"/>
      <c r="Q279" s="45"/>
      <c r="R279" s="46"/>
      <c r="S279" s="512"/>
      <c r="T279" s="57"/>
      <c r="U279" s="512"/>
      <c r="V279" s="57"/>
      <c r="W279" s="114"/>
      <c r="X279" s="49"/>
      <c r="Y279" s="50"/>
      <c r="Z279" s="115"/>
      <c r="AA279" s="114"/>
      <c r="AB279" s="49"/>
      <c r="AC279" s="50"/>
      <c r="AD279" s="115"/>
      <c r="AE279" s="208">
        <f>ROUND((_15_同援日１．０*(1+_15・区３)),0)+ROUND((ROUND((_15_同援日１．０＿０．５*(1+_15・B夜間)),0)*(1+_15・区３)),0)+ROUND((ROUND((_15_同援日１．０＿０．５＿１．０*(1+_15・C深夜)),0)*(1+_15・区３)),0)</f>
        <v>793</v>
      </c>
      <c r="AF279" s="48"/>
    </row>
    <row r="280" spans="1:32" ht="16.5" customHeight="1" x14ac:dyDescent="0.15">
      <c r="A280" s="41">
        <v>15</v>
      </c>
      <c r="B280" s="41" t="s">
        <v>23173</v>
      </c>
      <c r="C280" s="74" t="s">
        <v>23174</v>
      </c>
      <c r="D280" s="72"/>
      <c r="F280" s="57"/>
      <c r="G280" s="72"/>
      <c r="I280" s="57"/>
      <c r="J280" s="72"/>
      <c r="L280" s="57"/>
      <c r="M280" s="122"/>
      <c r="N280" s="37"/>
      <c r="O280" s="38"/>
      <c r="P280" s="299" t="s">
        <v>17556</v>
      </c>
      <c r="Q280" s="45" t="s">
        <v>398</v>
      </c>
      <c r="R280" s="46">
        <v>1</v>
      </c>
      <c r="S280" s="512"/>
      <c r="T280" s="57"/>
      <c r="U280" s="512"/>
      <c r="V280" s="57"/>
      <c r="W280" s="72"/>
      <c r="Z280" s="57"/>
      <c r="AA280" s="72"/>
      <c r="AD280" s="57"/>
      <c r="AE280" s="208">
        <f>ROUND((ROUND((_15_同援日１．０*_15・２人),0)*(1+_15・区３)),0)+ROUND((ROUND((ROUND((_15_同援日１．０＿０．５*_15・２人),0)*(1+_15・B夜間)),0)*(1+_15・区３)),0)+ROUND((ROUND((ROUND((_15_同援日１．０＿０．５＿１．０*_15・２人),0)*(1+_15・C深夜)),0)*(1+_15・区３)),0)</f>
        <v>793</v>
      </c>
      <c r="AF280" s="48"/>
    </row>
    <row r="281" spans="1:32" ht="16.5" customHeight="1" x14ac:dyDescent="0.15">
      <c r="A281" s="41">
        <v>15</v>
      </c>
      <c r="B281" s="41" t="s">
        <v>23175</v>
      </c>
      <c r="C281" s="74" t="s">
        <v>23176</v>
      </c>
      <c r="D281" s="72"/>
      <c r="F281" s="57"/>
      <c r="G281" s="72"/>
      <c r="I281" s="57"/>
      <c r="J281" s="72"/>
      <c r="L281" s="57"/>
      <c r="M281" s="114" t="s">
        <v>17558</v>
      </c>
      <c r="N281" s="49"/>
      <c r="O281" s="50"/>
      <c r="P281" s="299"/>
      <c r="Q281" s="45"/>
      <c r="R281" s="46"/>
      <c r="S281" s="512"/>
      <c r="T281" s="57"/>
      <c r="U281" s="512"/>
      <c r="V281" s="57"/>
      <c r="W281" s="72"/>
      <c r="Z281" s="57"/>
      <c r="AA281" s="72" t="s">
        <v>17570</v>
      </c>
      <c r="AD281" s="57"/>
      <c r="AE281" s="208">
        <f>ROUND((ROUND((_15_同援日１．０*_15・基礎２),0)*(1+_15・区３)),0)+ROUND((ROUND((ROUND((_15_同援日１．０＿０．５*_15・基礎２),0)*(1+_15・B夜間)),0)*(1+_15・区３)),0)+ROUND((ROUND((ROUND((_15_同援日１．０＿０．５＿１．０*_15・基礎２),0)*(1+_15・C深夜)),0)*(1+_15・区３)),0)</f>
        <v>715</v>
      </c>
      <c r="AF281" s="48"/>
    </row>
    <row r="282" spans="1:32" ht="16.5" customHeight="1" x14ac:dyDescent="0.15">
      <c r="A282" s="41">
        <v>15</v>
      </c>
      <c r="B282" s="41" t="s">
        <v>23177</v>
      </c>
      <c r="C282" s="74" t="s">
        <v>23178</v>
      </c>
      <c r="D282" s="72"/>
      <c r="F282" s="57"/>
      <c r="G282" s="72"/>
      <c r="I282" s="57"/>
      <c r="J282" s="72"/>
      <c r="L282" s="57"/>
      <c r="M282" s="122" t="s">
        <v>17560</v>
      </c>
      <c r="N282" s="37" t="s">
        <v>398</v>
      </c>
      <c r="O282" s="38">
        <v>0.9</v>
      </c>
      <c r="P282" s="299" t="s">
        <v>17556</v>
      </c>
      <c r="Q282" s="45" t="s">
        <v>398</v>
      </c>
      <c r="R282" s="46">
        <v>1</v>
      </c>
      <c r="S282" s="512"/>
      <c r="T282" s="57"/>
      <c r="U282" s="512"/>
      <c r="V282" s="57"/>
      <c r="W282" s="122"/>
      <c r="X282" s="37"/>
      <c r="Y282" s="38"/>
      <c r="Z282" s="79"/>
      <c r="AA282" s="72" t="s">
        <v>17572</v>
      </c>
      <c r="AD282" s="57"/>
      <c r="AE282" s="208">
        <f>ROUND((ROUND((ROUND((_15_同援日１．０*_15・基礎２),0)*_15・２人),0)*(1+_15・区３)),0)+ROUND((ROUND((ROUND((ROUND((_15_同援日１．０＿０．５*_15・基礎２),0)*_15・２人),0)*(1+_15・B夜間)),0)*(1+_15・区３)),0)+ROUND((ROUND((ROUND((ROUND((_15_同援日１．０＿０．５＿１．０*_15・基礎２),0)*_15・２人),0)*(1+_15・C深夜)),0)*(1+_15・区３)),0)</f>
        <v>715</v>
      </c>
      <c r="AF282" s="48"/>
    </row>
    <row r="283" spans="1:32" ht="16.5" customHeight="1" x14ac:dyDescent="0.15">
      <c r="A283" s="41">
        <v>15</v>
      </c>
      <c r="B283" s="41" t="s">
        <v>23179</v>
      </c>
      <c r="C283" s="74" t="s">
        <v>23180</v>
      </c>
      <c r="D283" s="72"/>
      <c r="F283" s="57"/>
      <c r="G283" s="72"/>
      <c r="I283" s="57"/>
      <c r="J283" s="72"/>
      <c r="L283" s="57"/>
      <c r="M283" s="114"/>
      <c r="N283" s="49"/>
      <c r="O283" s="50"/>
      <c r="P283" s="299"/>
      <c r="Q283" s="45"/>
      <c r="R283" s="46"/>
      <c r="S283" s="512"/>
      <c r="T283" s="57"/>
      <c r="U283" s="512"/>
      <c r="V283" s="57"/>
      <c r="W283" s="114" t="s">
        <v>17562</v>
      </c>
      <c r="X283" s="49"/>
      <c r="Y283" s="50"/>
      <c r="Z283" s="115"/>
      <c r="AA283" s="72"/>
      <c r="AB283" s="12" t="s">
        <v>398</v>
      </c>
      <c r="AC283" s="13">
        <v>0.2</v>
      </c>
      <c r="AD283" s="57" t="s">
        <v>3575</v>
      </c>
      <c r="AE283" s="208">
        <f>ROUND((ROUND((_15_同援日１．０*(1+_15・盲ろう)),0)*(1+_15・区３)),0)+ROUND((ROUND((ROUND((_15_同援日１．０＿０．５*(1+_15・B夜間)),0)*(1+_15・盲ろう)),0)*(1+_15・区３)),0)+ROUND((ROUND((ROUND((_15_同援日１．０＿０．５＿１．０*(1+_15・C深夜)),0)*(1+_15・盲ろう)),0)*(1+_15・区３)),0)</f>
        <v>993</v>
      </c>
      <c r="AF283" s="48"/>
    </row>
    <row r="284" spans="1:32" ht="16.5" customHeight="1" x14ac:dyDescent="0.15">
      <c r="A284" s="41">
        <v>15</v>
      </c>
      <c r="B284" s="41" t="s">
        <v>23181</v>
      </c>
      <c r="C284" s="74" t="s">
        <v>23182</v>
      </c>
      <c r="D284" s="72"/>
      <c r="F284" s="57"/>
      <c r="G284" s="72"/>
      <c r="I284" s="57"/>
      <c r="J284" s="72"/>
      <c r="L284" s="57"/>
      <c r="M284" s="122"/>
      <c r="N284" s="37"/>
      <c r="O284" s="38"/>
      <c r="P284" s="299" t="s">
        <v>17556</v>
      </c>
      <c r="Q284" s="45" t="s">
        <v>398</v>
      </c>
      <c r="R284" s="46">
        <v>1</v>
      </c>
      <c r="S284" s="512"/>
      <c r="T284" s="57"/>
      <c r="U284" s="512"/>
      <c r="V284" s="57"/>
      <c r="W284" s="72" t="s">
        <v>17564</v>
      </c>
      <c r="Z284" s="57"/>
      <c r="AA284" s="72"/>
      <c r="AD284" s="57"/>
      <c r="AE284" s="208">
        <f>ROUND((ROUND((ROUND((_15_同援日１．０*_15・２人),0)*(1+_15・盲ろう)),0)*(1+_15・区３)),0)+ROUND((ROUND((ROUND((ROUND((_15_同援日１．０＿０．５*_15・２人),0)*(1+_15・B夜間)),0)*(1+_15・盲ろう)),0)*(1+_15・区３)),0)+ROUND((ROUND((ROUND((ROUND((_15_同援日１．０＿０．５＿１．０*_15・２人),0)*(1+_15・C深夜)),0)*(1+_15・盲ろう)),0)*(1+_15・区３)),0)</f>
        <v>993</v>
      </c>
      <c r="AF284" s="48"/>
    </row>
    <row r="285" spans="1:32" ht="16.5" customHeight="1" x14ac:dyDescent="0.15">
      <c r="A285" s="41">
        <v>15</v>
      </c>
      <c r="B285" s="41" t="s">
        <v>23183</v>
      </c>
      <c r="C285" s="74" t="s">
        <v>23184</v>
      </c>
      <c r="D285" s="72"/>
      <c r="F285" s="57"/>
      <c r="G285" s="72"/>
      <c r="I285" s="57"/>
      <c r="J285" s="72"/>
      <c r="L285" s="57"/>
      <c r="M285" s="114" t="s">
        <v>17558</v>
      </c>
      <c r="N285" s="49"/>
      <c r="O285" s="50"/>
      <c r="P285" s="299"/>
      <c r="Q285" s="45"/>
      <c r="R285" s="46"/>
      <c r="S285" s="512"/>
      <c r="T285" s="57"/>
      <c r="U285" s="512"/>
      <c r="V285" s="57"/>
      <c r="W285" s="72"/>
      <c r="X285" s="12" t="s">
        <v>398</v>
      </c>
      <c r="Y285" s="13">
        <v>0.25</v>
      </c>
      <c r="Z285" s="57" t="s">
        <v>3575</v>
      </c>
      <c r="AA285" s="72"/>
      <c r="AD285" s="57"/>
      <c r="AE285" s="208">
        <f>ROUND((ROUND((ROUND((_15_同援日１．０*_15・基礎２),0)*(1+_15・盲ろう)),0)*(1+_15・区３)),0)+ROUND((ROUND((ROUND((ROUND((_15_同援日１．０＿０．５*_15・基礎２),0)*(1+_15・B夜間)),0)*(1+_15・盲ろう)),0)*(1+_15・区３)),0)+ROUND((ROUND((ROUND((ROUND((_15_同援日１．０＿０．５＿１．０*_15・基礎２),0)*(1+_15・C深夜)),0)*(1+_15・盲ろう)),0)*(1+_15・区３)),0)</f>
        <v>896</v>
      </c>
      <c r="AF285" s="48"/>
    </row>
    <row r="286" spans="1:32" ht="16.5" customHeight="1" x14ac:dyDescent="0.15">
      <c r="A286" s="41">
        <v>15</v>
      </c>
      <c r="B286" s="41" t="s">
        <v>23185</v>
      </c>
      <c r="C286" s="74" t="s">
        <v>23186</v>
      </c>
      <c r="D286" s="72"/>
      <c r="F286" s="57"/>
      <c r="G286" s="72"/>
      <c r="I286" s="57"/>
      <c r="J286" s="72"/>
      <c r="L286" s="57"/>
      <c r="M286" s="122" t="s">
        <v>17560</v>
      </c>
      <c r="N286" s="37" t="s">
        <v>398</v>
      </c>
      <c r="O286" s="38">
        <v>0.9</v>
      </c>
      <c r="P286" s="299" t="s">
        <v>17556</v>
      </c>
      <c r="Q286" s="45" t="s">
        <v>398</v>
      </c>
      <c r="R286" s="46">
        <v>1</v>
      </c>
      <c r="S286" s="512"/>
      <c r="T286" s="57"/>
      <c r="U286" s="512"/>
      <c r="V286" s="57"/>
      <c r="W286" s="122"/>
      <c r="X286" s="37"/>
      <c r="Y286" s="38"/>
      <c r="Z286" s="79"/>
      <c r="AA286" s="122"/>
      <c r="AB286" s="37"/>
      <c r="AC286" s="38"/>
      <c r="AD286" s="79"/>
      <c r="AE286" s="208">
        <f>ROUND((ROUND((ROUND((ROUND((_15_同援日１．０*_15・基礎２),0)*_15・２人),0)*(1+_15・盲ろう)),0)*(1+_15・区３)),0)+ROUND((ROUND((ROUND((ROUND((ROUND((_15_同援日１．０＿０．５*_15・基礎２),0)*_15・２人),0)*(1+_15・B夜間)),0)*(1+_15・盲ろう)),0)*(1+_15・区３)),0)+ROUND((ROUND((ROUND((ROUND((ROUND((_15_同援日１．０＿０．５＿１．０*_15・基礎２),0)*_15・２人),0)*(1+_15・C深夜)),0)*(1+_15・盲ろう)),0)*(1+_15・区３)),0)</f>
        <v>896</v>
      </c>
      <c r="AF286" s="48"/>
    </row>
    <row r="287" spans="1:32" ht="16.5" customHeight="1" x14ac:dyDescent="0.15">
      <c r="A287" s="41">
        <v>15</v>
      </c>
      <c r="B287" s="41" t="s">
        <v>23187</v>
      </c>
      <c r="C287" s="74" t="s">
        <v>23188</v>
      </c>
      <c r="D287" s="72"/>
      <c r="F287" s="57"/>
      <c r="G287" s="72"/>
      <c r="I287" s="57"/>
      <c r="J287" s="72"/>
      <c r="L287" s="57"/>
      <c r="M287" s="114"/>
      <c r="N287" s="49"/>
      <c r="O287" s="50"/>
      <c r="P287" s="299"/>
      <c r="Q287" s="45"/>
      <c r="R287" s="46"/>
      <c r="S287" s="512"/>
      <c r="T287" s="57"/>
      <c r="U287" s="512"/>
      <c r="V287" s="57"/>
      <c r="W287" s="114"/>
      <c r="X287" s="49"/>
      <c r="Y287" s="50"/>
      <c r="Z287" s="115"/>
      <c r="AA287" s="114"/>
      <c r="AB287" s="49"/>
      <c r="AC287" s="50"/>
      <c r="AD287" s="115"/>
      <c r="AE287" s="208">
        <f>ROUND((_15_同援日１．０*(1+_15・区４)),0)+ROUND((ROUND((_15_同援日１．０＿０．５*(1+_15・B夜間)),0)*(1+_15・区４)),0)+ROUND((ROUND((_15_同援日１．０＿０．５＿１．０*(1+_15・C深夜)),0)*(1+_15・区４)),0)</f>
        <v>925</v>
      </c>
      <c r="AF287" s="48"/>
    </row>
    <row r="288" spans="1:32" ht="16.5" customHeight="1" x14ac:dyDescent="0.15">
      <c r="A288" s="41">
        <v>15</v>
      </c>
      <c r="B288" s="41" t="s">
        <v>23189</v>
      </c>
      <c r="C288" s="74" t="s">
        <v>23190</v>
      </c>
      <c r="D288" s="72"/>
      <c r="F288" s="57"/>
      <c r="G288" s="72"/>
      <c r="I288" s="57"/>
      <c r="J288" s="72"/>
      <c r="L288" s="57"/>
      <c r="M288" s="122"/>
      <c r="N288" s="37"/>
      <c r="O288" s="38"/>
      <c r="P288" s="299" t="s">
        <v>17556</v>
      </c>
      <c r="Q288" s="45" t="s">
        <v>398</v>
      </c>
      <c r="R288" s="46">
        <v>1</v>
      </c>
      <c r="S288" s="512"/>
      <c r="T288" s="57"/>
      <c r="U288" s="512"/>
      <c r="V288" s="57"/>
      <c r="W288" s="72"/>
      <c r="Z288" s="57"/>
      <c r="AA288" s="72"/>
      <c r="AD288" s="57"/>
      <c r="AE288" s="208">
        <f>ROUND((ROUND((_15_同援日１．０*_15・２人),0)*(1+_15・区４)),0)+ROUND((ROUND((ROUND((_15_同援日１．０＿０．５*_15・２人),0)*(1+_15・B夜間)),0)*(1+_15・区４)),0)+ROUND((ROUND((ROUND((_15_同援日１．０＿０．５＿１．０*_15・２人),0)*(1+_15・C深夜)),0)*(1+_15・区４)),0)</f>
        <v>925</v>
      </c>
      <c r="AF288" s="48"/>
    </row>
    <row r="289" spans="1:32" ht="16.5" customHeight="1" x14ac:dyDescent="0.15">
      <c r="A289" s="41">
        <v>15</v>
      </c>
      <c r="B289" s="41" t="s">
        <v>1607</v>
      </c>
      <c r="C289" s="74" t="s">
        <v>23191</v>
      </c>
      <c r="D289" s="72"/>
      <c r="F289" s="57"/>
      <c r="G289" s="72"/>
      <c r="I289" s="57"/>
      <c r="J289" s="72"/>
      <c r="L289" s="57"/>
      <c r="M289" s="114" t="s">
        <v>17558</v>
      </c>
      <c r="N289" s="49"/>
      <c r="O289" s="50"/>
      <c r="P289" s="299"/>
      <c r="Q289" s="45"/>
      <c r="R289" s="46"/>
      <c r="S289" s="512"/>
      <c r="T289" s="57"/>
      <c r="U289" s="512"/>
      <c r="V289" s="57"/>
      <c r="W289" s="72"/>
      <c r="Z289" s="57"/>
      <c r="AA289" s="72" t="s">
        <v>17580</v>
      </c>
      <c r="AD289" s="57"/>
      <c r="AE289" s="208">
        <f>ROUND((ROUND((_15_同援日１．０*_15・基礎２),0)*(1+_15・区４)),0)+ROUND((ROUND((ROUND((_15_同援日１．０＿０．５*_15・基礎２),0)*(1+_15・B夜間)),0)*(1+_15・区４)),0)+ROUND((ROUND((ROUND((_15_同援日１．０＿０．５＿１．０*_15・基礎２),0)*(1+_15・C深夜)),0)*(1+_15・区４)),0)</f>
        <v>834</v>
      </c>
      <c r="AF289" s="48"/>
    </row>
    <row r="290" spans="1:32" ht="16.5" customHeight="1" x14ac:dyDescent="0.15">
      <c r="A290" s="41">
        <v>15</v>
      </c>
      <c r="B290" s="41" t="s">
        <v>1609</v>
      </c>
      <c r="C290" s="74" t="s">
        <v>23192</v>
      </c>
      <c r="D290" s="72"/>
      <c r="F290" s="57"/>
      <c r="G290" s="72"/>
      <c r="I290" s="57"/>
      <c r="J290" s="72"/>
      <c r="L290" s="57"/>
      <c r="M290" s="122" t="s">
        <v>17560</v>
      </c>
      <c r="N290" s="37" t="s">
        <v>398</v>
      </c>
      <c r="O290" s="38">
        <v>0.9</v>
      </c>
      <c r="P290" s="299" t="s">
        <v>17556</v>
      </c>
      <c r="Q290" s="45" t="s">
        <v>398</v>
      </c>
      <c r="R290" s="46">
        <v>1</v>
      </c>
      <c r="S290" s="512"/>
      <c r="T290" s="57"/>
      <c r="U290" s="512"/>
      <c r="V290" s="57"/>
      <c r="W290" s="122"/>
      <c r="X290" s="37"/>
      <c r="Y290" s="38"/>
      <c r="Z290" s="79"/>
      <c r="AA290" s="72" t="s">
        <v>17572</v>
      </c>
      <c r="AD290" s="57"/>
      <c r="AE290" s="208">
        <f>ROUND((ROUND((ROUND((_15_同援日１．０*_15・基礎２),0)*_15・２人),0)*(1+_15・区４)),0)+ROUND((ROUND((ROUND((ROUND((_15_同援日１．０＿０．５*_15・基礎２),0)*_15・２人),0)*(1+_15・B夜間)),0)*(1+_15・区４)),0)+ROUND((ROUND((ROUND((ROUND((_15_同援日１．０＿０．５＿１．０*_15・基礎２),0)*_15・２人),0)*(1+_15・C深夜)),0)*(1+_15・区４)),0)</f>
        <v>834</v>
      </c>
      <c r="AF290" s="48"/>
    </row>
    <row r="291" spans="1:32" ht="16.5" customHeight="1" x14ac:dyDescent="0.15">
      <c r="A291" s="41">
        <v>15</v>
      </c>
      <c r="B291" s="41" t="s">
        <v>1611</v>
      </c>
      <c r="C291" s="74" t="s">
        <v>23193</v>
      </c>
      <c r="D291" s="72"/>
      <c r="F291" s="57"/>
      <c r="G291" s="72"/>
      <c r="I291" s="57"/>
      <c r="J291" s="72"/>
      <c r="L291" s="57"/>
      <c r="M291" s="114"/>
      <c r="N291" s="49"/>
      <c r="O291" s="50"/>
      <c r="P291" s="299"/>
      <c r="Q291" s="45"/>
      <c r="R291" s="46"/>
      <c r="S291" s="512"/>
      <c r="T291" s="57"/>
      <c r="U291" s="512"/>
      <c r="V291" s="57"/>
      <c r="W291" s="114" t="s">
        <v>17562</v>
      </c>
      <c r="X291" s="49"/>
      <c r="Y291" s="50"/>
      <c r="Z291" s="115"/>
      <c r="AA291" s="72"/>
      <c r="AB291" s="12" t="s">
        <v>398</v>
      </c>
      <c r="AC291" s="13">
        <v>0.4</v>
      </c>
      <c r="AD291" s="57" t="s">
        <v>3575</v>
      </c>
      <c r="AE291" s="208">
        <f>ROUND((ROUND((_15_同援日１．０*(1+_15・盲ろう)),0)*(1+_15・区４)),0)+ROUND((ROUND((ROUND((_15_同援日１．０＿０．５*(1+_15・B夜間)),0)*(1+_15・盲ろう)),0)*(1+_15・区４)),0)+ROUND((ROUND((ROUND((_15_同援日１．０＿０．５＿１．０*(1+_15・C深夜)),0)*(1+_15・盲ろう)),0)*(1+_15・区４)),0)</f>
        <v>1158</v>
      </c>
      <c r="AF291" s="48"/>
    </row>
    <row r="292" spans="1:32" ht="16.5" customHeight="1" x14ac:dyDescent="0.15">
      <c r="A292" s="41">
        <v>15</v>
      </c>
      <c r="B292" s="41" t="s">
        <v>1613</v>
      </c>
      <c r="C292" s="74" t="s">
        <v>23194</v>
      </c>
      <c r="D292" s="72"/>
      <c r="F292" s="57"/>
      <c r="G292" s="72"/>
      <c r="I292" s="57"/>
      <c r="J292" s="72"/>
      <c r="L292" s="57"/>
      <c r="M292" s="122"/>
      <c r="N292" s="37"/>
      <c r="O292" s="38"/>
      <c r="P292" s="299" t="s">
        <v>17556</v>
      </c>
      <c r="Q292" s="45" t="s">
        <v>398</v>
      </c>
      <c r="R292" s="46">
        <v>1</v>
      </c>
      <c r="S292" s="512"/>
      <c r="T292" s="57"/>
      <c r="U292" s="512"/>
      <c r="V292" s="57"/>
      <c r="W292" s="72" t="s">
        <v>17564</v>
      </c>
      <c r="Z292" s="57"/>
      <c r="AA292" s="72"/>
      <c r="AD292" s="57"/>
      <c r="AE292" s="208">
        <f>ROUND((ROUND((ROUND((_15_同援日１．０*_15・２人),0)*(1+_15・盲ろう)),0)*(1+_15・区４)),0)+ROUND((ROUND((ROUND((ROUND((_15_同援日１．０＿０．５*_15・２人),0)*(1+_15・B夜間)),0)*(1+_15・盲ろう)),0)*(1+_15・区４)),0)+ROUND((ROUND((ROUND((ROUND((_15_同援日１．０＿０．５＿１．０*_15・２人),0)*(1+_15・C深夜)),0)*(1+_15・盲ろう)),0)*(1+_15・区４)),0)</f>
        <v>1158</v>
      </c>
      <c r="AF292" s="48"/>
    </row>
    <row r="293" spans="1:32" ht="16.5" customHeight="1" x14ac:dyDescent="0.15">
      <c r="A293" s="41">
        <v>15</v>
      </c>
      <c r="B293" s="41" t="s">
        <v>23195</v>
      </c>
      <c r="C293" s="74" t="s">
        <v>23196</v>
      </c>
      <c r="D293" s="72"/>
      <c r="F293" s="57"/>
      <c r="G293" s="72"/>
      <c r="I293" s="57"/>
      <c r="J293" s="72"/>
      <c r="L293" s="57"/>
      <c r="M293" s="114" t="s">
        <v>17558</v>
      </c>
      <c r="N293" s="49"/>
      <c r="O293" s="50"/>
      <c r="P293" s="299"/>
      <c r="Q293" s="45"/>
      <c r="R293" s="46"/>
      <c r="S293" s="512"/>
      <c r="T293" s="57"/>
      <c r="U293" s="512"/>
      <c r="V293" s="57"/>
      <c r="W293" s="72"/>
      <c r="X293" s="12" t="s">
        <v>398</v>
      </c>
      <c r="Y293" s="13">
        <v>0.25</v>
      </c>
      <c r="Z293" s="57" t="s">
        <v>3575</v>
      </c>
      <c r="AA293" s="72"/>
      <c r="AD293" s="57"/>
      <c r="AE293" s="208">
        <f>ROUND((ROUND((ROUND((_15_同援日１．０*_15・基礎２),0)*(1+_15・盲ろう)),0)*(1+_15・区４)),0)+ROUND((ROUND((ROUND((ROUND((_15_同援日１．０＿０．５*_15・基礎２),0)*(1+_15・B夜間)),0)*(1+_15・盲ろう)),0)*(1+_15・区４)),0)+ROUND((ROUND((ROUND((ROUND((_15_同援日１．０＿０．５＿１．０*_15・基礎２),0)*(1+_15・C深夜)),0)*(1+_15・盲ろう)),0)*(1+_15・区４)),0)</f>
        <v>1044</v>
      </c>
      <c r="AF293" s="48"/>
    </row>
    <row r="294" spans="1:32" ht="16.5" customHeight="1" x14ac:dyDescent="0.15">
      <c r="A294" s="41">
        <v>15</v>
      </c>
      <c r="B294" s="41" t="s">
        <v>23197</v>
      </c>
      <c r="C294" s="74" t="s">
        <v>23198</v>
      </c>
      <c r="D294" s="72"/>
      <c r="F294" s="57"/>
      <c r="G294" s="72"/>
      <c r="I294" s="57"/>
      <c r="J294" s="122"/>
      <c r="K294" s="37"/>
      <c r="L294" s="79"/>
      <c r="M294" s="122" t="s">
        <v>17560</v>
      </c>
      <c r="N294" s="37" t="s">
        <v>398</v>
      </c>
      <c r="O294" s="38">
        <v>0.9</v>
      </c>
      <c r="P294" s="299" t="s">
        <v>17556</v>
      </c>
      <c r="Q294" s="45" t="s">
        <v>398</v>
      </c>
      <c r="R294" s="46">
        <v>1</v>
      </c>
      <c r="S294" s="512"/>
      <c r="T294" s="57"/>
      <c r="U294" s="512"/>
      <c r="V294" s="57"/>
      <c r="W294" s="122"/>
      <c r="X294" s="37"/>
      <c r="Y294" s="38"/>
      <c r="Z294" s="79"/>
      <c r="AA294" s="122"/>
      <c r="AB294" s="37"/>
      <c r="AC294" s="38"/>
      <c r="AD294" s="79"/>
      <c r="AE294" s="208">
        <f>ROUND((ROUND((ROUND((ROUND((_15_同援日１．０*_15・基礎２),0)*_15・２人),0)*(1+_15・盲ろう)),0)*(1+_15・区４)),0)+ROUND((ROUND((ROUND((ROUND((ROUND((_15_同援日１．０＿０．５*_15・基礎２),0)*_15・２人),0)*(1+_15・B夜間)),0)*(1+_15・盲ろう)),0)*(1+_15・区４)),0)+ROUND((ROUND((ROUND((ROUND((ROUND((_15_同援日１．０＿０．５＿１．０*_15・基礎２),0)*_15・２人),0)*(1+_15・C深夜)),0)*(1+_15・盲ろう)),0)*(1+_15・区４)),0)</f>
        <v>1044</v>
      </c>
      <c r="AF294" s="48"/>
    </row>
    <row r="295" spans="1:32" ht="16.5" customHeight="1" x14ac:dyDescent="0.15">
      <c r="A295" s="41">
        <v>15</v>
      </c>
      <c r="B295" s="41" t="s">
        <v>23199</v>
      </c>
      <c r="C295" s="74" t="s">
        <v>23200</v>
      </c>
      <c r="D295" s="72"/>
      <c r="F295" s="57"/>
      <c r="G295" s="72"/>
      <c r="I295" s="57"/>
      <c r="J295" s="114" t="s">
        <v>22767</v>
      </c>
      <c r="K295" s="49"/>
      <c r="L295" s="115"/>
      <c r="M295" s="114"/>
      <c r="N295" s="49"/>
      <c r="O295" s="50"/>
      <c r="P295" s="299"/>
      <c r="Q295" s="45"/>
      <c r="R295" s="46"/>
      <c r="S295" s="512"/>
      <c r="T295" s="57"/>
      <c r="U295" s="512"/>
      <c r="V295" s="57"/>
      <c r="W295" s="114"/>
      <c r="X295" s="49"/>
      <c r="Y295" s="50"/>
      <c r="Z295" s="115"/>
      <c r="AA295" s="114"/>
      <c r="AB295" s="49"/>
      <c r="AC295" s="50"/>
      <c r="AD295" s="115"/>
      <c r="AE295" s="208">
        <f>_15_同援日１．０+ROUND((_15_同援日１．０＿０．５*(1+_15・B夜間)),0)+ROUND((_15_同援日１．０＿０．５＿１．５*(1+_15・C深夜)),0)</f>
        <v>759</v>
      </c>
      <c r="AF295" s="48"/>
    </row>
    <row r="296" spans="1:32" ht="16.5" customHeight="1" x14ac:dyDescent="0.15">
      <c r="A296" s="41">
        <v>15</v>
      </c>
      <c r="B296" s="41" t="s">
        <v>23201</v>
      </c>
      <c r="C296" s="74" t="s">
        <v>23202</v>
      </c>
      <c r="D296" s="72"/>
      <c r="F296" s="57"/>
      <c r="G296" s="72"/>
      <c r="I296" s="57"/>
      <c r="J296" s="72" t="s">
        <v>17616</v>
      </c>
      <c r="L296" s="57"/>
      <c r="M296" s="122"/>
      <c r="N296" s="37"/>
      <c r="O296" s="38"/>
      <c r="P296" s="299" t="s">
        <v>17556</v>
      </c>
      <c r="Q296" s="45" t="s">
        <v>398</v>
      </c>
      <c r="R296" s="46">
        <v>1</v>
      </c>
      <c r="S296" s="512"/>
      <c r="T296" s="57"/>
      <c r="U296" s="512"/>
      <c r="V296" s="57"/>
      <c r="W296" s="72"/>
      <c r="Z296" s="57"/>
      <c r="AA296" s="72"/>
      <c r="AD296" s="57"/>
      <c r="AE296" s="208">
        <f>ROUND((_15_同援日１．０*_15・２人),0)+ROUND((ROUND((_15_同援日１．０＿０．５*_15・２人),0)*(1+_15・B夜間)),0)+ROUND((ROUND((_15_同援日１．０＿０．５＿１．５*_15・２人),0)*(1+_15・C深夜)),0)</f>
        <v>759</v>
      </c>
      <c r="AF296" s="48"/>
    </row>
    <row r="297" spans="1:32" ht="16.5" customHeight="1" x14ac:dyDescent="0.15">
      <c r="A297" s="41">
        <v>15</v>
      </c>
      <c r="B297" s="41" t="s">
        <v>23203</v>
      </c>
      <c r="C297" s="74" t="s">
        <v>23204</v>
      </c>
      <c r="D297" s="72"/>
      <c r="F297" s="57"/>
      <c r="G297" s="72"/>
      <c r="I297" s="57"/>
      <c r="J297" s="72" t="s">
        <v>18183</v>
      </c>
      <c r="L297" s="57"/>
      <c r="M297" s="114" t="s">
        <v>17558</v>
      </c>
      <c r="N297" s="49"/>
      <c r="O297" s="50"/>
      <c r="P297" s="299"/>
      <c r="Q297" s="45"/>
      <c r="R297" s="46"/>
      <c r="S297" s="512"/>
      <c r="T297" s="57"/>
      <c r="U297" s="512"/>
      <c r="V297" s="57"/>
      <c r="W297" s="72"/>
      <c r="Z297" s="57"/>
      <c r="AA297" s="72"/>
      <c r="AD297" s="57"/>
      <c r="AE297" s="208">
        <f>ROUND((_15_同援日１．０*_15・基礎２),0)+ROUND((ROUND((_15_同援日１．０＿０．５*_15・基礎２),0)*(1+_15・B夜間)),0)+ROUND((ROUND((_15_同援日１．０＿０．５＿１．５*_15・基礎２),0)*(1+_15・C深夜)),0)</f>
        <v>684</v>
      </c>
      <c r="AF297" s="48"/>
    </row>
    <row r="298" spans="1:32" ht="16.5" customHeight="1" x14ac:dyDescent="0.15">
      <c r="A298" s="41">
        <v>15</v>
      </c>
      <c r="B298" s="41" t="s">
        <v>23205</v>
      </c>
      <c r="C298" s="74" t="s">
        <v>23206</v>
      </c>
      <c r="D298" s="72"/>
      <c r="F298" s="57"/>
      <c r="G298" s="72"/>
      <c r="I298" s="57"/>
      <c r="J298" s="72"/>
      <c r="K298" s="168">
        <f>_15_同援日１．０＿０．５＿１．５</f>
        <v>195</v>
      </c>
      <c r="L298" s="57" t="s">
        <v>392</v>
      </c>
      <c r="M298" s="122" t="s">
        <v>17560</v>
      </c>
      <c r="N298" s="37" t="s">
        <v>398</v>
      </c>
      <c r="O298" s="38">
        <v>0.9</v>
      </c>
      <c r="P298" s="299" t="s">
        <v>17556</v>
      </c>
      <c r="Q298" s="45" t="s">
        <v>398</v>
      </c>
      <c r="R298" s="46">
        <v>1</v>
      </c>
      <c r="S298" s="512"/>
      <c r="T298" s="57"/>
      <c r="U298" s="512"/>
      <c r="V298" s="57"/>
      <c r="W298" s="122"/>
      <c r="X298" s="37"/>
      <c r="Y298" s="38"/>
      <c r="Z298" s="79"/>
      <c r="AA298" s="72"/>
      <c r="AD298" s="57"/>
      <c r="AE298" s="208">
        <f>ROUND((ROUND((_15_同援日１．０*_15・基礎２),0)*_15・２人),0)+ROUND((ROUND((ROUND((_15_同援日１．０＿０．５*_15・基礎２),0)*_15・２人),0)*(1+_15・B夜間)),0)+ROUND((ROUND((ROUND((_15_同援日１．０＿０．５＿１．５*_15・基礎２),0)*_15・２人),0)*(1+_15・C深夜)),0)</f>
        <v>684</v>
      </c>
      <c r="AF298" s="48"/>
    </row>
    <row r="299" spans="1:32" ht="16.5" customHeight="1" x14ac:dyDescent="0.15">
      <c r="A299" s="41">
        <v>15</v>
      </c>
      <c r="B299" s="41" t="s">
        <v>23207</v>
      </c>
      <c r="C299" s="74" t="s">
        <v>23208</v>
      </c>
      <c r="D299" s="72"/>
      <c r="F299" s="57"/>
      <c r="G299" s="72"/>
      <c r="I299" s="57"/>
      <c r="J299" s="72"/>
      <c r="L299" s="57"/>
      <c r="M299" s="114"/>
      <c r="N299" s="49"/>
      <c r="O299" s="50"/>
      <c r="P299" s="299"/>
      <c r="Q299" s="45"/>
      <c r="R299" s="46"/>
      <c r="S299" s="512"/>
      <c r="T299" s="57"/>
      <c r="U299" s="512"/>
      <c r="V299" s="57"/>
      <c r="W299" s="114" t="s">
        <v>17562</v>
      </c>
      <c r="X299" s="49"/>
      <c r="Y299" s="50"/>
      <c r="Z299" s="115"/>
      <c r="AA299" s="72"/>
      <c r="AD299" s="57"/>
      <c r="AE299" s="208">
        <f>ROUND((_15_同援日１．０*(1+_15・盲ろう)),0)+ROUND((ROUND((_15_同援日１．０＿０．５*(1+_15・B夜間)),0)*(1+_15・盲ろう)),0)+ROUND((ROUND((_15_同援日１．０＿０．５＿１．５*(1+_15・C深夜)),0)*(1+_15・盲ろう)),0)</f>
        <v>949</v>
      </c>
      <c r="AF299" s="48"/>
    </row>
    <row r="300" spans="1:32" ht="16.5" customHeight="1" x14ac:dyDescent="0.15">
      <c r="A300" s="41">
        <v>15</v>
      </c>
      <c r="B300" s="41" t="s">
        <v>23209</v>
      </c>
      <c r="C300" s="74" t="s">
        <v>23210</v>
      </c>
      <c r="D300" s="72"/>
      <c r="F300" s="57"/>
      <c r="G300" s="72"/>
      <c r="I300" s="57"/>
      <c r="J300" s="72"/>
      <c r="L300" s="57"/>
      <c r="M300" s="122"/>
      <c r="N300" s="37"/>
      <c r="O300" s="38"/>
      <c r="P300" s="299" t="s">
        <v>17556</v>
      </c>
      <c r="Q300" s="45" t="s">
        <v>398</v>
      </c>
      <c r="R300" s="46">
        <v>1</v>
      </c>
      <c r="S300" s="512"/>
      <c r="T300" s="57"/>
      <c r="U300" s="512"/>
      <c r="V300" s="57"/>
      <c r="W300" s="72" t="s">
        <v>17564</v>
      </c>
      <c r="Z300" s="57"/>
      <c r="AA300" s="72"/>
      <c r="AD300" s="57"/>
      <c r="AE300" s="208">
        <f>ROUND((ROUND((_15_同援日１．０*_15・２人),0)*(1+_15・盲ろう)),0)+ROUND((ROUND((ROUND((_15_同援日１．０＿０．５*_15・２人),0)*(1+_15・B夜間)),0)*(1+_15・盲ろう)),0)+ROUND((ROUND((ROUND((_15_同援日１．０＿０．５＿１．５*_15・２人),0)*(1+_15・C深夜)),0)*(1+_15・盲ろう)),0)</f>
        <v>949</v>
      </c>
      <c r="AF300" s="48"/>
    </row>
    <row r="301" spans="1:32" ht="16.5" customHeight="1" x14ac:dyDescent="0.15">
      <c r="A301" s="41">
        <v>15</v>
      </c>
      <c r="B301" s="41" t="s">
        <v>23211</v>
      </c>
      <c r="C301" s="74" t="s">
        <v>23212</v>
      </c>
      <c r="D301" s="72"/>
      <c r="F301" s="57"/>
      <c r="G301" s="72"/>
      <c r="I301" s="57"/>
      <c r="J301" s="72"/>
      <c r="L301" s="57"/>
      <c r="M301" s="114" t="s">
        <v>17558</v>
      </c>
      <c r="N301" s="49"/>
      <c r="O301" s="50"/>
      <c r="P301" s="299"/>
      <c r="Q301" s="45"/>
      <c r="R301" s="46"/>
      <c r="S301" s="512"/>
      <c r="T301" s="57"/>
      <c r="U301" s="512"/>
      <c r="V301" s="57"/>
      <c r="W301" s="72"/>
      <c r="X301" s="12" t="s">
        <v>398</v>
      </c>
      <c r="Y301" s="13">
        <v>0.25</v>
      </c>
      <c r="Z301" s="57" t="s">
        <v>3575</v>
      </c>
      <c r="AA301" s="72"/>
      <c r="AD301" s="57"/>
      <c r="AE301" s="208">
        <f>ROUND((ROUND((_15_同援日１．０*_15・基礎２),0)*(1+_15・盲ろう)),0)+ROUND((ROUND((ROUND((_15_同援日１．０＿０．５*_15・基礎２),0)*(1+_15・B夜間)),0)*(1+_15・盲ろう)),0)+ROUND((ROUND((ROUND((_15_同援日１．０＿０．５＿１．５*_15・基礎２),0)*(1+_15・C深夜)),0)*(1+_15・盲ろう)),0)</f>
        <v>856</v>
      </c>
      <c r="AF301" s="48"/>
    </row>
    <row r="302" spans="1:32" ht="16.5" customHeight="1" x14ac:dyDescent="0.15">
      <c r="A302" s="41">
        <v>15</v>
      </c>
      <c r="B302" s="41" t="s">
        <v>23213</v>
      </c>
      <c r="C302" s="74" t="s">
        <v>23214</v>
      </c>
      <c r="D302" s="72"/>
      <c r="F302" s="57"/>
      <c r="G302" s="72"/>
      <c r="I302" s="57"/>
      <c r="J302" s="72"/>
      <c r="L302" s="57"/>
      <c r="M302" s="122" t="s">
        <v>17560</v>
      </c>
      <c r="N302" s="37" t="s">
        <v>398</v>
      </c>
      <c r="O302" s="38">
        <v>0.9</v>
      </c>
      <c r="P302" s="299" t="s">
        <v>17556</v>
      </c>
      <c r="Q302" s="45" t="s">
        <v>398</v>
      </c>
      <c r="R302" s="46">
        <v>1</v>
      </c>
      <c r="S302" s="512"/>
      <c r="T302" s="57"/>
      <c r="U302" s="512"/>
      <c r="V302" s="57"/>
      <c r="W302" s="122"/>
      <c r="X302" s="37"/>
      <c r="Y302" s="38"/>
      <c r="Z302" s="79"/>
      <c r="AA302" s="122"/>
      <c r="AB302" s="37"/>
      <c r="AC302" s="38"/>
      <c r="AD302" s="79"/>
      <c r="AE302" s="208">
        <f>ROUND((ROUND((ROUND((_15_同援日１．０*_15・基礎２),0)*_15・２人),0)*(1+_15・盲ろう)),0)+ROUND((ROUND((ROUND((ROUND((_15_同援日１．０＿０．５*_15・基礎２),0)*_15・２人),0)*(1+_15・B夜間)),0)*(1+_15・盲ろう)),0)+ROUND((ROUND((ROUND((ROUND((_15_同援日１．０＿０．５＿１．５*_15・基礎２),0)*_15・２人),0)*(1+_15・C深夜)),0)*(1+_15・盲ろう)),0)</f>
        <v>856</v>
      </c>
      <c r="AF302" s="48"/>
    </row>
    <row r="303" spans="1:32" ht="16.5" customHeight="1" x14ac:dyDescent="0.15">
      <c r="A303" s="41">
        <v>15</v>
      </c>
      <c r="B303" s="41" t="s">
        <v>23215</v>
      </c>
      <c r="C303" s="74" t="s">
        <v>23216</v>
      </c>
      <c r="D303" s="72"/>
      <c r="F303" s="57"/>
      <c r="G303" s="72"/>
      <c r="I303" s="57"/>
      <c r="J303" s="72"/>
      <c r="L303" s="57"/>
      <c r="M303" s="114"/>
      <c r="N303" s="49"/>
      <c r="O303" s="50"/>
      <c r="P303" s="299"/>
      <c r="Q303" s="45"/>
      <c r="R303" s="46"/>
      <c r="S303" s="512"/>
      <c r="T303" s="57"/>
      <c r="U303" s="512"/>
      <c r="V303" s="57"/>
      <c r="W303" s="114"/>
      <c r="X303" s="49"/>
      <c r="Y303" s="50"/>
      <c r="Z303" s="115"/>
      <c r="AA303" s="114"/>
      <c r="AB303" s="49"/>
      <c r="AC303" s="50"/>
      <c r="AD303" s="115"/>
      <c r="AE303" s="208">
        <f>ROUND((_15_同援日１．０*(1+_15・区３)),0)+ROUND((ROUND((_15_同援日１．０＿０．５*(1+_15・B夜間)),0)*(1+_15・区３)),0)+ROUND((ROUND((_15_同援日１．０＿０．５＿１．５*(1+_15・C深夜)),0)*(1+_15・区３)),0)</f>
        <v>911</v>
      </c>
      <c r="AF303" s="48"/>
    </row>
    <row r="304" spans="1:32" ht="16.5" customHeight="1" x14ac:dyDescent="0.15">
      <c r="A304" s="41">
        <v>15</v>
      </c>
      <c r="B304" s="41" t="s">
        <v>23217</v>
      </c>
      <c r="C304" s="74" t="s">
        <v>23218</v>
      </c>
      <c r="D304" s="72"/>
      <c r="F304" s="57"/>
      <c r="G304" s="72"/>
      <c r="I304" s="57"/>
      <c r="J304" s="72"/>
      <c r="L304" s="57"/>
      <c r="M304" s="122"/>
      <c r="N304" s="37"/>
      <c r="O304" s="38"/>
      <c r="P304" s="299" t="s">
        <v>17556</v>
      </c>
      <c r="Q304" s="45" t="s">
        <v>398</v>
      </c>
      <c r="R304" s="46">
        <v>1</v>
      </c>
      <c r="S304" s="512"/>
      <c r="T304" s="57"/>
      <c r="U304" s="512"/>
      <c r="V304" s="57"/>
      <c r="W304" s="72"/>
      <c r="Z304" s="57"/>
      <c r="AA304" s="72"/>
      <c r="AD304" s="57"/>
      <c r="AE304" s="208">
        <f>ROUND((ROUND((_15_同援日１．０*_15・２人),0)*(1+_15・区３)),0)+ROUND((ROUND((ROUND((_15_同援日１．０＿０．５*_15・２人),0)*(1+_15・B夜間)),0)*(1+_15・区３)),0)+ROUND((ROUND((ROUND((_15_同援日１．０＿０．５＿１．５*_15・２人),0)*(1+_15・C深夜)),0)*(1+_15・区３)),0)</f>
        <v>911</v>
      </c>
      <c r="AF304" s="48"/>
    </row>
    <row r="305" spans="1:32" ht="16.5" customHeight="1" x14ac:dyDescent="0.15">
      <c r="A305" s="41">
        <v>15</v>
      </c>
      <c r="B305" s="41" t="s">
        <v>23219</v>
      </c>
      <c r="C305" s="74" t="s">
        <v>23220</v>
      </c>
      <c r="D305" s="72"/>
      <c r="F305" s="57"/>
      <c r="G305" s="72"/>
      <c r="I305" s="57"/>
      <c r="J305" s="72"/>
      <c r="L305" s="57"/>
      <c r="M305" s="114" t="s">
        <v>17558</v>
      </c>
      <c r="N305" s="49"/>
      <c r="O305" s="50"/>
      <c r="P305" s="299"/>
      <c r="Q305" s="45"/>
      <c r="R305" s="46"/>
      <c r="S305" s="512"/>
      <c r="T305" s="57"/>
      <c r="U305" s="512"/>
      <c r="V305" s="57"/>
      <c r="W305" s="72"/>
      <c r="Z305" s="57"/>
      <c r="AA305" s="72" t="s">
        <v>17570</v>
      </c>
      <c r="AD305" s="57"/>
      <c r="AE305" s="208">
        <f>ROUND((ROUND((_15_同援日１．０*_15・基礎２),0)*(1+_15・区３)),0)+ROUND((ROUND((ROUND((_15_同援日１．０＿０．５*_15・基礎２),0)*(1+_15・B夜間)),0)*(1+_15・区３)),0)+ROUND((ROUND((ROUND((_15_同援日１．０＿０．５＿１．５*_15・基礎２),0)*(1+_15・C深夜)),0)*(1+_15・区３)),0)</f>
        <v>821</v>
      </c>
      <c r="AF305" s="48"/>
    </row>
    <row r="306" spans="1:32" ht="16.5" customHeight="1" x14ac:dyDescent="0.15">
      <c r="A306" s="41">
        <v>15</v>
      </c>
      <c r="B306" s="41" t="s">
        <v>23221</v>
      </c>
      <c r="C306" s="74" t="s">
        <v>23222</v>
      </c>
      <c r="D306" s="72"/>
      <c r="F306" s="57"/>
      <c r="G306" s="72"/>
      <c r="I306" s="57"/>
      <c r="J306" s="72"/>
      <c r="L306" s="57"/>
      <c r="M306" s="122" t="s">
        <v>17560</v>
      </c>
      <c r="N306" s="37" t="s">
        <v>398</v>
      </c>
      <c r="O306" s="38">
        <v>0.9</v>
      </c>
      <c r="P306" s="299" t="s">
        <v>17556</v>
      </c>
      <c r="Q306" s="45" t="s">
        <v>398</v>
      </c>
      <c r="R306" s="46">
        <v>1</v>
      </c>
      <c r="S306" s="512"/>
      <c r="T306" s="57"/>
      <c r="U306" s="512"/>
      <c r="V306" s="57"/>
      <c r="W306" s="122"/>
      <c r="X306" s="37"/>
      <c r="Y306" s="38"/>
      <c r="Z306" s="79"/>
      <c r="AA306" s="72" t="s">
        <v>17572</v>
      </c>
      <c r="AD306" s="57"/>
      <c r="AE306" s="208">
        <f>ROUND((ROUND((ROUND((_15_同援日１．０*_15・基礎２),0)*_15・２人),0)*(1+_15・区３)),0)+ROUND((ROUND((ROUND((ROUND((_15_同援日１．０＿０．５*_15・基礎２),0)*_15・２人),0)*(1+_15・B夜間)),0)*(1+_15・区３)),0)+ROUND((ROUND((ROUND((ROUND((_15_同援日１．０＿０．５＿１．５*_15・基礎２),0)*_15・２人),0)*(1+_15・C深夜)),0)*(1+_15・区３)),0)</f>
        <v>821</v>
      </c>
      <c r="AF306" s="48"/>
    </row>
    <row r="307" spans="1:32" ht="16.5" customHeight="1" x14ac:dyDescent="0.15">
      <c r="A307" s="41">
        <v>15</v>
      </c>
      <c r="B307" s="41" t="s">
        <v>23223</v>
      </c>
      <c r="C307" s="74" t="s">
        <v>23224</v>
      </c>
      <c r="D307" s="72"/>
      <c r="F307" s="57"/>
      <c r="G307" s="72"/>
      <c r="I307" s="57"/>
      <c r="J307" s="72"/>
      <c r="L307" s="57"/>
      <c r="M307" s="114"/>
      <c r="N307" s="49"/>
      <c r="O307" s="50"/>
      <c r="P307" s="299"/>
      <c r="Q307" s="45"/>
      <c r="R307" s="46"/>
      <c r="S307" s="512"/>
      <c r="T307" s="57"/>
      <c r="U307" s="512"/>
      <c r="V307" s="57"/>
      <c r="W307" s="114" t="s">
        <v>17562</v>
      </c>
      <c r="X307" s="49"/>
      <c r="Y307" s="50"/>
      <c r="Z307" s="115"/>
      <c r="AA307" s="72"/>
      <c r="AB307" s="12" t="s">
        <v>398</v>
      </c>
      <c r="AC307" s="13">
        <v>0.2</v>
      </c>
      <c r="AD307" s="57" t="s">
        <v>3575</v>
      </c>
      <c r="AE307" s="208">
        <f>ROUND((ROUND((_15_同援日１．０*(1+_15・盲ろう)),0)*(1+_15・区３)),0)+ROUND((ROUND((ROUND((_15_同援日１．０＿０．５*(1+_15・B夜間)),0)*(1+_15・盲ろう)),0)*(1+_15・区３)),0)+ROUND((ROUND((ROUND((_15_同援日１．０＿０．５＿１．５*(1+_15・C深夜)),0)*(1+_15・盲ろう)),0)*(1+_15・区３)),0)</f>
        <v>1139</v>
      </c>
      <c r="AF307" s="48"/>
    </row>
    <row r="308" spans="1:32" ht="16.5" customHeight="1" x14ac:dyDescent="0.15">
      <c r="A308" s="41">
        <v>15</v>
      </c>
      <c r="B308" s="41" t="s">
        <v>23225</v>
      </c>
      <c r="C308" s="74" t="s">
        <v>23226</v>
      </c>
      <c r="D308" s="72"/>
      <c r="F308" s="57"/>
      <c r="G308" s="72"/>
      <c r="I308" s="57"/>
      <c r="J308" s="72"/>
      <c r="L308" s="57"/>
      <c r="M308" s="122"/>
      <c r="N308" s="37"/>
      <c r="O308" s="38"/>
      <c r="P308" s="299" t="s">
        <v>17556</v>
      </c>
      <c r="Q308" s="45" t="s">
        <v>398</v>
      </c>
      <c r="R308" s="46">
        <v>1</v>
      </c>
      <c r="S308" s="512"/>
      <c r="T308" s="57"/>
      <c r="U308" s="512"/>
      <c r="V308" s="57"/>
      <c r="W308" s="72" t="s">
        <v>17564</v>
      </c>
      <c r="Z308" s="57"/>
      <c r="AA308" s="72"/>
      <c r="AD308" s="57"/>
      <c r="AE308" s="208">
        <f>ROUND((ROUND((ROUND((_15_同援日１．０*_15・２人),0)*(1+_15・盲ろう)),0)*(1+_15・区３)),0)+ROUND((ROUND((ROUND((ROUND((_15_同援日１．０＿０．５*_15・２人),0)*(1+_15・B夜間)),0)*(1+_15・盲ろう)),0)*(1+_15・区３)),0)+ROUND((ROUND((ROUND((ROUND((_15_同援日１．０＿０．５＿１．５*_15・２人),0)*(1+_15・C深夜)),0)*(1+_15・盲ろう)),0)*(1+_15・区３)),0)</f>
        <v>1139</v>
      </c>
      <c r="AF308" s="48"/>
    </row>
    <row r="309" spans="1:32" ht="16.5" customHeight="1" x14ac:dyDescent="0.15">
      <c r="A309" s="41">
        <v>15</v>
      </c>
      <c r="B309" s="41" t="s">
        <v>1622</v>
      </c>
      <c r="C309" s="74" t="s">
        <v>23227</v>
      </c>
      <c r="D309" s="72"/>
      <c r="F309" s="57"/>
      <c r="G309" s="72"/>
      <c r="I309" s="57"/>
      <c r="J309" s="72"/>
      <c r="L309" s="57"/>
      <c r="M309" s="114" t="s">
        <v>17558</v>
      </c>
      <c r="N309" s="49"/>
      <c r="O309" s="50"/>
      <c r="P309" s="299"/>
      <c r="Q309" s="45"/>
      <c r="R309" s="46"/>
      <c r="S309" s="512"/>
      <c r="T309" s="57"/>
      <c r="U309" s="512"/>
      <c r="V309" s="57"/>
      <c r="W309" s="72"/>
      <c r="X309" s="12" t="s">
        <v>398</v>
      </c>
      <c r="Y309" s="13">
        <v>0.25</v>
      </c>
      <c r="Z309" s="57" t="s">
        <v>3575</v>
      </c>
      <c r="AA309" s="72"/>
      <c r="AD309" s="57"/>
      <c r="AE309" s="208">
        <f>ROUND((ROUND((ROUND((_15_同援日１．０*_15・基礎２),0)*(1+_15・盲ろう)),0)*(1+_15・区３)),0)+ROUND((ROUND((ROUND((ROUND((_15_同援日１．０＿０．５*_15・基礎２),0)*(1+_15・B夜間)),0)*(1+_15・盲ろう)),0)*(1+_15・区３)),0)+ROUND((ROUND((ROUND((ROUND((_15_同援日１．０＿０．５＿１．５*_15・基礎２),0)*(1+_15・C深夜)),0)*(1+_15・盲ろう)),0)*(1+_15・区３)),0)</f>
        <v>1028</v>
      </c>
      <c r="AF309" s="48"/>
    </row>
    <row r="310" spans="1:32" ht="16.5" customHeight="1" x14ac:dyDescent="0.15">
      <c r="A310" s="41">
        <v>15</v>
      </c>
      <c r="B310" s="41" t="s">
        <v>1624</v>
      </c>
      <c r="C310" s="74" t="s">
        <v>23228</v>
      </c>
      <c r="D310" s="72"/>
      <c r="F310" s="57"/>
      <c r="G310" s="72"/>
      <c r="I310" s="57"/>
      <c r="J310" s="72"/>
      <c r="L310" s="57"/>
      <c r="M310" s="122" t="s">
        <v>17560</v>
      </c>
      <c r="N310" s="37" t="s">
        <v>398</v>
      </c>
      <c r="O310" s="38">
        <v>0.9</v>
      </c>
      <c r="P310" s="299" t="s">
        <v>17556</v>
      </c>
      <c r="Q310" s="45" t="s">
        <v>398</v>
      </c>
      <c r="R310" s="46">
        <v>1</v>
      </c>
      <c r="S310" s="512"/>
      <c r="T310" s="57"/>
      <c r="U310" s="512"/>
      <c r="V310" s="57"/>
      <c r="W310" s="122"/>
      <c r="X310" s="37"/>
      <c r="Y310" s="38"/>
      <c r="Z310" s="79"/>
      <c r="AA310" s="122"/>
      <c r="AB310" s="37"/>
      <c r="AC310" s="38"/>
      <c r="AD310" s="79"/>
      <c r="AE310" s="208">
        <f>ROUND((ROUND((ROUND((ROUND((_15_同援日１．０*_15・基礎２),0)*_15・２人),0)*(1+_15・盲ろう)),0)*(1+_15・区３)),0)+ROUND((ROUND((ROUND((ROUND((ROUND((_15_同援日１．０＿０．５*_15・基礎２),0)*_15・２人),0)*(1+_15・B夜間)),0)*(1+_15・盲ろう)),0)*(1+_15・区３)),0)+ROUND((ROUND((ROUND((ROUND((ROUND((_15_同援日１．０＿０．５＿１．５*_15・基礎２),0)*_15・２人),0)*(1+_15・C深夜)),0)*(1+_15・盲ろう)),0)*(1+_15・区３)),0)</f>
        <v>1028</v>
      </c>
      <c r="AF310" s="48"/>
    </row>
    <row r="311" spans="1:32" ht="16.5" customHeight="1" x14ac:dyDescent="0.15">
      <c r="A311" s="41">
        <v>15</v>
      </c>
      <c r="B311" s="41" t="s">
        <v>1626</v>
      </c>
      <c r="C311" s="74" t="s">
        <v>23229</v>
      </c>
      <c r="D311" s="72"/>
      <c r="F311" s="57"/>
      <c r="G311" s="72"/>
      <c r="I311" s="57"/>
      <c r="J311" s="72"/>
      <c r="L311" s="57"/>
      <c r="M311" s="114"/>
      <c r="N311" s="49"/>
      <c r="O311" s="50"/>
      <c r="P311" s="299"/>
      <c r="Q311" s="45"/>
      <c r="R311" s="46"/>
      <c r="S311" s="512"/>
      <c r="T311" s="57"/>
      <c r="U311" s="512"/>
      <c r="V311" s="57"/>
      <c r="W311" s="114"/>
      <c r="X311" s="49"/>
      <c r="Y311" s="50"/>
      <c r="Z311" s="115"/>
      <c r="AA311" s="114"/>
      <c r="AB311" s="49"/>
      <c r="AC311" s="50"/>
      <c r="AD311" s="115"/>
      <c r="AE311" s="208">
        <f>ROUND((_15_同援日１．０*(1+_15・区４)),0)+ROUND((ROUND((_15_同援日１．０＿０．５*(1+_15・B夜間)),0)*(1+_15・区４)),0)+ROUND((ROUND((_15_同援日１．０＿０．５＿１．５*(1+_15・C深夜)),0)*(1+_15・区４)),0)</f>
        <v>1062</v>
      </c>
      <c r="AF311" s="48"/>
    </row>
    <row r="312" spans="1:32" ht="16.5" customHeight="1" x14ac:dyDescent="0.15">
      <c r="A312" s="41">
        <v>15</v>
      </c>
      <c r="B312" s="41" t="s">
        <v>1628</v>
      </c>
      <c r="C312" s="74" t="s">
        <v>23230</v>
      </c>
      <c r="D312" s="72"/>
      <c r="F312" s="57"/>
      <c r="G312" s="72"/>
      <c r="I312" s="57"/>
      <c r="J312" s="72"/>
      <c r="L312" s="57"/>
      <c r="M312" s="122"/>
      <c r="N312" s="37"/>
      <c r="O312" s="38"/>
      <c r="P312" s="299" t="s">
        <v>17556</v>
      </c>
      <c r="Q312" s="45" t="s">
        <v>398</v>
      </c>
      <c r="R312" s="46">
        <v>1</v>
      </c>
      <c r="S312" s="512"/>
      <c r="T312" s="57"/>
      <c r="U312" s="512"/>
      <c r="V312" s="57"/>
      <c r="W312" s="72"/>
      <c r="Z312" s="57"/>
      <c r="AA312" s="72"/>
      <c r="AD312" s="57"/>
      <c r="AE312" s="208">
        <f>ROUND((ROUND((_15_同援日１．０*_15・２人),0)*(1+_15・区４)),0)+ROUND((ROUND((ROUND((_15_同援日１．０＿０．５*_15・２人),0)*(1+_15・B夜間)),0)*(1+_15・区４)),0)+ROUND((ROUND((ROUND((_15_同援日１．０＿０．５＿１．５*_15・２人),0)*(1+_15・C深夜)),0)*(1+_15・区４)),0)</f>
        <v>1062</v>
      </c>
      <c r="AF312" s="48"/>
    </row>
    <row r="313" spans="1:32" ht="16.5" customHeight="1" x14ac:dyDescent="0.15">
      <c r="A313" s="41">
        <v>15</v>
      </c>
      <c r="B313" s="41" t="s">
        <v>23231</v>
      </c>
      <c r="C313" s="74" t="s">
        <v>23232</v>
      </c>
      <c r="D313" s="72"/>
      <c r="F313" s="57"/>
      <c r="G313" s="72"/>
      <c r="I313" s="57"/>
      <c r="J313" s="72"/>
      <c r="L313" s="57"/>
      <c r="M313" s="114" t="s">
        <v>17558</v>
      </c>
      <c r="N313" s="49"/>
      <c r="O313" s="50"/>
      <c r="P313" s="299"/>
      <c r="Q313" s="45"/>
      <c r="R313" s="46"/>
      <c r="S313" s="512"/>
      <c r="T313" s="57"/>
      <c r="U313" s="512"/>
      <c r="V313" s="57"/>
      <c r="W313" s="72"/>
      <c r="Z313" s="57"/>
      <c r="AA313" s="72" t="s">
        <v>17580</v>
      </c>
      <c r="AD313" s="57"/>
      <c r="AE313" s="208">
        <f>ROUND((ROUND((_15_同援日１．０*_15・基礎２),0)*(1+_15・区４)),0)+ROUND((ROUND((ROUND((_15_同援日１．０＿０．５*_15・基礎２),0)*(1+_15・B夜間)),0)*(1+_15・区４)),0)+ROUND((ROUND((ROUND((_15_同援日１．０＿０．５＿１．５*_15・基礎２),0)*(1+_15・C深夜)),0)*(1+_15・区４)),0)</f>
        <v>958</v>
      </c>
      <c r="AF313" s="48"/>
    </row>
    <row r="314" spans="1:32" ht="16.5" customHeight="1" x14ac:dyDescent="0.15">
      <c r="A314" s="41">
        <v>15</v>
      </c>
      <c r="B314" s="41" t="s">
        <v>23233</v>
      </c>
      <c r="C314" s="74" t="s">
        <v>23234</v>
      </c>
      <c r="D314" s="72"/>
      <c r="F314" s="57"/>
      <c r="G314" s="72"/>
      <c r="I314" s="57"/>
      <c r="J314" s="72"/>
      <c r="L314" s="57"/>
      <c r="M314" s="122" t="s">
        <v>17560</v>
      </c>
      <c r="N314" s="37" t="s">
        <v>398</v>
      </c>
      <c r="O314" s="38">
        <v>0.9</v>
      </c>
      <c r="P314" s="299" t="s">
        <v>17556</v>
      </c>
      <c r="Q314" s="45" t="s">
        <v>398</v>
      </c>
      <c r="R314" s="46">
        <v>1</v>
      </c>
      <c r="S314" s="512"/>
      <c r="T314" s="57"/>
      <c r="U314" s="512"/>
      <c r="V314" s="57"/>
      <c r="W314" s="122"/>
      <c r="X314" s="37"/>
      <c r="Y314" s="38"/>
      <c r="Z314" s="79"/>
      <c r="AA314" s="72" t="s">
        <v>17572</v>
      </c>
      <c r="AD314" s="57"/>
      <c r="AE314" s="208">
        <f>ROUND((ROUND((ROUND((_15_同援日１．０*_15・基礎２),0)*_15・２人),0)*(1+_15・区４)),0)+ROUND((ROUND((ROUND((ROUND((_15_同援日１．０＿０．５*_15・基礎２),0)*_15・２人),0)*(1+_15・B夜間)),0)*(1+_15・区４)),0)+ROUND((ROUND((ROUND((ROUND((_15_同援日１．０＿０．５＿１．５*_15・基礎２),0)*_15・２人),0)*(1+_15・C深夜)),0)*(1+_15・区４)),0)</f>
        <v>958</v>
      </c>
      <c r="AF314" s="48"/>
    </row>
    <row r="315" spans="1:32" ht="16.5" customHeight="1" x14ac:dyDescent="0.15">
      <c r="A315" s="41">
        <v>15</v>
      </c>
      <c r="B315" s="41" t="s">
        <v>23235</v>
      </c>
      <c r="C315" s="74" t="s">
        <v>23236</v>
      </c>
      <c r="D315" s="72"/>
      <c r="F315" s="57"/>
      <c r="G315" s="72"/>
      <c r="I315" s="57"/>
      <c r="J315" s="72"/>
      <c r="L315" s="57"/>
      <c r="M315" s="114"/>
      <c r="N315" s="49"/>
      <c r="O315" s="50"/>
      <c r="P315" s="299"/>
      <c r="Q315" s="45"/>
      <c r="R315" s="46"/>
      <c r="S315" s="512"/>
      <c r="T315" s="57"/>
      <c r="U315" s="512"/>
      <c r="V315" s="57"/>
      <c r="W315" s="114" t="s">
        <v>17562</v>
      </c>
      <c r="X315" s="49"/>
      <c r="Y315" s="50"/>
      <c r="Z315" s="115"/>
      <c r="AA315" s="72"/>
      <c r="AB315" s="12" t="s">
        <v>398</v>
      </c>
      <c r="AC315" s="13">
        <v>0.4</v>
      </c>
      <c r="AD315" s="57" t="s">
        <v>3575</v>
      </c>
      <c r="AE315" s="208">
        <f>ROUND((ROUND((_15_同援日１．０*(1+_15・盲ろう)),0)*(1+_15・区４)),0)+ROUND((ROUND((ROUND((_15_同援日１．０＿０．５*(1+_15・B夜間)),0)*(1+_15・盲ろう)),0)*(1+_15・区４)),0)+ROUND((ROUND((ROUND((_15_同援日１．０＿０．５＿１．５*(1+_15・C深夜)),0)*(1+_15・盲ろう)),0)*(1+_15・区４)),0)</f>
        <v>1328</v>
      </c>
      <c r="AF315" s="48"/>
    </row>
    <row r="316" spans="1:32" ht="16.5" customHeight="1" x14ac:dyDescent="0.15">
      <c r="A316" s="41">
        <v>15</v>
      </c>
      <c r="B316" s="41" t="s">
        <v>23237</v>
      </c>
      <c r="C316" s="74" t="s">
        <v>23238</v>
      </c>
      <c r="D316" s="72"/>
      <c r="F316" s="57"/>
      <c r="G316" s="72"/>
      <c r="I316" s="57"/>
      <c r="J316" s="72"/>
      <c r="L316" s="57"/>
      <c r="M316" s="122"/>
      <c r="N316" s="37"/>
      <c r="O316" s="38"/>
      <c r="P316" s="299" t="s">
        <v>17556</v>
      </c>
      <c r="Q316" s="45" t="s">
        <v>398</v>
      </c>
      <c r="R316" s="46">
        <v>1</v>
      </c>
      <c r="S316" s="512"/>
      <c r="T316" s="57"/>
      <c r="U316" s="512"/>
      <c r="V316" s="57"/>
      <c r="W316" s="72" t="s">
        <v>17564</v>
      </c>
      <c r="Z316" s="57"/>
      <c r="AA316" s="72"/>
      <c r="AD316" s="57"/>
      <c r="AE316" s="208">
        <f>ROUND((ROUND((ROUND((_15_同援日１．０*_15・２人),0)*(1+_15・盲ろう)),0)*(1+_15・区４)),0)+ROUND((ROUND((ROUND((ROUND((_15_同援日１．０＿０．５*_15・２人),0)*(1+_15・B夜間)),0)*(1+_15・盲ろう)),0)*(1+_15・区４)),0)+ROUND((ROUND((ROUND((ROUND((_15_同援日１．０＿０．５＿１．５*_15・２人),0)*(1+_15・C深夜)),0)*(1+_15・盲ろう)),0)*(1+_15・区４)),0)</f>
        <v>1328</v>
      </c>
      <c r="AF316" s="48"/>
    </row>
    <row r="317" spans="1:32" ht="16.5" customHeight="1" x14ac:dyDescent="0.15">
      <c r="A317" s="41">
        <v>15</v>
      </c>
      <c r="B317" s="41" t="s">
        <v>23239</v>
      </c>
      <c r="C317" s="74" t="s">
        <v>23240</v>
      </c>
      <c r="D317" s="72"/>
      <c r="F317" s="57"/>
      <c r="G317" s="72"/>
      <c r="I317" s="57"/>
      <c r="J317" s="72"/>
      <c r="L317" s="57"/>
      <c r="M317" s="114" t="s">
        <v>17558</v>
      </c>
      <c r="N317" s="49"/>
      <c r="O317" s="50"/>
      <c r="P317" s="299"/>
      <c r="Q317" s="45"/>
      <c r="R317" s="46"/>
      <c r="S317" s="512"/>
      <c r="T317" s="57"/>
      <c r="U317" s="512"/>
      <c r="V317" s="57"/>
      <c r="W317" s="72"/>
      <c r="X317" s="12" t="s">
        <v>398</v>
      </c>
      <c r="Y317" s="13">
        <v>0.25</v>
      </c>
      <c r="Z317" s="57" t="s">
        <v>3575</v>
      </c>
      <c r="AA317" s="72"/>
      <c r="AD317" s="57"/>
      <c r="AE317" s="208">
        <f>ROUND((ROUND((ROUND((_15_同援日１．０*_15・基礎２),0)*(1+_15・盲ろう)),0)*(1+_15・区４)),0)+ROUND((ROUND((ROUND((ROUND((_15_同援日１．０＿０．５*_15・基礎２),0)*(1+_15・B夜間)),0)*(1+_15・盲ろう)),0)*(1+_15・区４)),0)+ROUND((ROUND((ROUND((ROUND((_15_同援日１．０＿０．５＿１．５*_15・基礎２),0)*(1+_15・C深夜)),0)*(1+_15・盲ろう)),0)*(1+_15・区４)),0)</f>
        <v>1198</v>
      </c>
      <c r="AF317" s="48"/>
    </row>
    <row r="318" spans="1:32" ht="16.5" customHeight="1" x14ac:dyDescent="0.15">
      <c r="A318" s="41">
        <v>15</v>
      </c>
      <c r="B318" s="41" t="s">
        <v>23241</v>
      </c>
      <c r="C318" s="74" t="s">
        <v>23242</v>
      </c>
      <c r="D318" s="122"/>
      <c r="E318" s="37"/>
      <c r="F318" s="79"/>
      <c r="G318" s="122"/>
      <c r="H318" s="37"/>
      <c r="I318" s="79"/>
      <c r="J318" s="122"/>
      <c r="K318" s="37"/>
      <c r="L318" s="79"/>
      <c r="M318" s="122" t="s">
        <v>17560</v>
      </c>
      <c r="N318" s="37" t="s">
        <v>398</v>
      </c>
      <c r="O318" s="38">
        <v>0.9</v>
      </c>
      <c r="P318" s="299" t="s">
        <v>17556</v>
      </c>
      <c r="Q318" s="45" t="s">
        <v>398</v>
      </c>
      <c r="R318" s="46">
        <v>1</v>
      </c>
      <c r="S318" s="514"/>
      <c r="T318" s="79"/>
      <c r="U318" s="514"/>
      <c r="V318" s="79"/>
      <c r="W318" s="122"/>
      <c r="X318" s="37"/>
      <c r="Y318" s="38"/>
      <c r="Z318" s="79"/>
      <c r="AA318" s="122"/>
      <c r="AB318" s="37"/>
      <c r="AC318" s="38"/>
      <c r="AD318" s="79"/>
      <c r="AE318" s="208">
        <f>ROUND((ROUND((ROUND((ROUND((_15_同援日１．０*_15・基礎２),0)*_15・２人),0)*(1+_15・盲ろう)),0)*(1+_15・区４)),0)+ROUND((ROUND((ROUND((ROUND((ROUND((_15_同援日１．０＿０．５*_15・基礎２),0)*_15・２人),0)*(1+_15・B夜間)),0)*(1+_15・盲ろう)),0)*(1+_15・区４)),0)+ROUND((ROUND((ROUND((ROUND((ROUND((_15_同援日１．０＿０．５＿１．５*_15・基礎２),0)*_15・２人),0)*(1+_15・C深夜)),0)*(1+_15・盲ろう)),0)*(1+_15・区４)),0)</f>
        <v>1198</v>
      </c>
      <c r="AF318" s="63"/>
    </row>
    <row r="319" spans="1:32" ht="16.5" customHeight="1" x14ac:dyDescent="0.15">
      <c r="A319" s="41">
        <v>15</v>
      </c>
      <c r="B319" s="41" t="s">
        <v>23243</v>
      </c>
      <c r="C319" s="74" t="s">
        <v>23244</v>
      </c>
      <c r="D319" s="114"/>
      <c r="E319" s="49"/>
      <c r="F319" s="115"/>
      <c r="G319" s="114" t="s">
        <v>19578</v>
      </c>
      <c r="H319" s="49"/>
      <c r="I319" s="115"/>
      <c r="J319" s="114" t="s">
        <v>22681</v>
      </c>
      <c r="K319" s="49"/>
      <c r="L319" s="115"/>
      <c r="M319" s="114"/>
      <c r="N319" s="49"/>
      <c r="O319" s="50"/>
      <c r="P319" s="299"/>
      <c r="Q319" s="45"/>
      <c r="R319" s="46"/>
      <c r="S319" s="515"/>
      <c r="T319" s="115"/>
      <c r="U319" s="515"/>
      <c r="V319" s="115"/>
      <c r="W319" s="114"/>
      <c r="X319" s="49"/>
      <c r="Y319" s="50"/>
      <c r="Z319" s="115"/>
      <c r="AA319" s="114"/>
      <c r="AB319" s="49"/>
      <c r="AC319" s="50"/>
      <c r="AD319" s="115"/>
      <c r="AE319" s="208">
        <f>_15_同援日１．０+ROUND((_15_同援日１．０＿１．０*(1+_15・B夜間)),0)+ROUND((_15_同援日１．０＿１．０＿０．５*(1+_15・C深夜)),0)</f>
        <v>646</v>
      </c>
      <c r="AF319" s="64"/>
    </row>
    <row r="320" spans="1:32" ht="16.5" customHeight="1" x14ac:dyDescent="0.15">
      <c r="A320" s="41">
        <v>15</v>
      </c>
      <c r="B320" s="41" t="s">
        <v>23245</v>
      </c>
      <c r="C320" s="74" t="s">
        <v>23246</v>
      </c>
      <c r="D320" s="72"/>
      <c r="F320" s="57"/>
      <c r="G320" s="72" t="s">
        <v>17589</v>
      </c>
      <c r="I320" s="57"/>
      <c r="J320" s="72" t="s">
        <v>18259</v>
      </c>
      <c r="L320" s="57"/>
      <c r="M320" s="122"/>
      <c r="N320" s="37"/>
      <c r="O320" s="38"/>
      <c r="P320" s="299" t="s">
        <v>17556</v>
      </c>
      <c r="Q320" s="45" t="s">
        <v>398</v>
      </c>
      <c r="R320" s="46">
        <v>1</v>
      </c>
      <c r="S320" s="512"/>
      <c r="T320" s="57"/>
      <c r="U320" s="512"/>
      <c r="V320" s="57"/>
      <c r="W320" s="72"/>
      <c r="Z320" s="57"/>
      <c r="AA320" s="72"/>
      <c r="AD320" s="57"/>
      <c r="AE320" s="208">
        <f>ROUND((_15_同援日１．０*_15・２人),0)+ROUND((ROUND((_15_同援日１．０＿１．０*_15・２人),0)*(1+_15・B夜間)),0)+ROUND((ROUND((_15_同援日１．０＿１．０＿０．５*_15・２人),0)*(1+_15・C深夜)),0)</f>
        <v>646</v>
      </c>
      <c r="AF320" s="48"/>
    </row>
    <row r="321" spans="1:32" ht="16.5" customHeight="1" x14ac:dyDescent="0.15">
      <c r="A321" s="41">
        <v>15</v>
      </c>
      <c r="B321" s="41" t="s">
        <v>23247</v>
      </c>
      <c r="C321" s="74" t="s">
        <v>23248</v>
      </c>
      <c r="D321" s="72"/>
      <c r="F321" s="57"/>
      <c r="G321" s="72" t="s">
        <v>17591</v>
      </c>
      <c r="I321" s="57"/>
      <c r="J321" s="72"/>
      <c r="L321" s="57"/>
      <c r="M321" s="114" t="s">
        <v>17558</v>
      </c>
      <c r="N321" s="49"/>
      <c r="O321" s="50"/>
      <c r="P321" s="299"/>
      <c r="Q321" s="45"/>
      <c r="R321" s="46"/>
      <c r="S321" s="512"/>
      <c r="T321" s="57"/>
      <c r="U321" s="512"/>
      <c r="V321" s="57"/>
      <c r="W321" s="72"/>
      <c r="Z321" s="57"/>
      <c r="AA321" s="72"/>
      <c r="AD321" s="57"/>
      <c r="AE321" s="208">
        <f>ROUND((_15_同援日１．０*_15・基礎２),0)+ROUND((ROUND((_15_同援日１．０＿１．０*_15・基礎２),0)*(1+_15・B夜間)),0)+ROUND((ROUND((_15_同援日１．０＿１．０＿０．５*_15・基礎２),0)*(1+_15・C深夜)),0)</f>
        <v>582</v>
      </c>
      <c r="AF321" s="48"/>
    </row>
    <row r="322" spans="1:32" ht="16.5" customHeight="1" x14ac:dyDescent="0.15">
      <c r="A322" s="41">
        <v>15</v>
      </c>
      <c r="B322" s="41" t="s">
        <v>23249</v>
      </c>
      <c r="C322" s="74" t="s">
        <v>23250</v>
      </c>
      <c r="D322" s="72"/>
      <c r="F322" s="57"/>
      <c r="G322" s="72"/>
      <c r="H322" s="168">
        <f>_15_同援日１．０＿１．０</f>
        <v>198</v>
      </c>
      <c r="I322" s="57" t="s">
        <v>392</v>
      </c>
      <c r="J322" s="72"/>
      <c r="K322" s="168">
        <f>_15_同援日１．０＿１．０＿０．５</f>
        <v>65</v>
      </c>
      <c r="L322" s="57" t="s">
        <v>392</v>
      </c>
      <c r="M322" s="122" t="s">
        <v>17560</v>
      </c>
      <c r="N322" s="37" t="s">
        <v>398</v>
      </c>
      <c r="O322" s="38">
        <v>0.9</v>
      </c>
      <c r="P322" s="299" t="s">
        <v>17556</v>
      </c>
      <c r="Q322" s="45" t="s">
        <v>398</v>
      </c>
      <c r="R322" s="46">
        <v>1</v>
      </c>
      <c r="S322" s="512"/>
      <c r="T322" s="57"/>
      <c r="U322" s="512"/>
      <c r="V322" s="57"/>
      <c r="W322" s="122"/>
      <c r="X322" s="37"/>
      <c r="Y322" s="38"/>
      <c r="Z322" s="79"/>
      <c r="AA322" s="72"/>
      <c r="AD322" s="57"/>
      <c r="AE322" s="208">
        <f>ROUND((ROUND((_15_同援日１．０*_15・基礎２),0)*_15・２人),0)+ROUND((ROUND((ROUND((_15_同援日１．０＿１．０*_15・基礎２),0)*_15・２人),0)*(1+_15・B夜間)),0)+ROUND((ROUND((ROUND((_15_同援日１．０＿１．０＿０．５*_15・基礎２),0)*_15・２人),0)*(1+_15・C深夜)),0)</f>
        <v>582</v>
      </c>
      <c r="AF322" s="48"/>
    </row>
    <row r="323" spans="1:32" ht="16.5" customHeight="1" x14ac:dyDescent="0.15">
      <c r="A323" s="41">
        <v>15</v>
      </c>
      <c r="B323" s="41" t="s">
        <v>23251</v>
      </c>
      <c r="C323" s="74" t="s">
        <v>23252</v>
      </c>
      <c r="D323" s="72"/>
      <c r="F323" s="57"/>
      <c r="G323" s="72"/>
      <c r="I323" s="57"/>
      <c r="J323" s="72"/>
      <c r="L323" s="57"/>
      <c r="M323" s="114"/>
      <c r="N323" s="49"/>
      <c r="O323" s="50"/>
      <c r="P323" s="299"/>
      <c r="Q323" s="45"/>
      <c r="R323" s="46"/>
      <c r="S323" s="512"/>
      <c r="T323" s="57"/>
      <c r="U323" s="512"/>
      <c r="V323" s="57"/>
      <c r="W323" s="114" t="s">
        <v>17562</v>
      </c>
      <c r="X323" s="49"/>
      <c r="Y323" s="50"/>
      <c r="Z323" s="115"/>
      <c r="AA323" s="72"/>
      <c r="AD323" s="57"/>
      <c r="AE323" s="208">
        <f>ROUND((_15_同援日１．０*(1+_15・盲ろう)),0)+ROUND((ROUND((_15_同援日１．０＿１．０*(1+_15・B夜間)),0)*(1+_15・盲ろう)),0)+ROUND((ROUND((_15_同援日１．０＿１．０＿０．５*(1+_15・C深夜)),0)*(1+_15・盲ろう)),0)</f>
        <v>808</v>
      </c>
      <c r="AF323" s="48"/>
    </row>
    <row r="324" spans="1:32" ht="16.5" customHeight="1" x14ac:dyDescent="0.15">
      <c r="A324" s="41">
        <v>15</v>
      </c>
      <c r="B324" s="41" t="s">
        <v>23253</v>
      </c>
      <c r="C324" s="74" t="s">
        <v>23254</v>
      </c>
      <c r="D324" s="72"/>
      <c r="F324" s="57"/>
      <c r="G324" s="72"/>
      <c r="I324" s="57"/>
      <c r="J324" s="72"/>
      <c r="L324" s="57"/>
      <c r="M324" s="122"/>
      <c r="N324" s="37"/>
      <c r="O324" s="38"/>
      <c r="P324" s="299" t="s">
        <v>17556</v>
      </c>
      <c r="Q324" s="45" t="s">
        <v>398</v>
      </c>
      <c r="R324" s="46">
        <v>1</v>
      </c>
      <c r="S324" s="512"/>
      <c r="T324" s="57"/>
      <c r="U324" s="512"/>
      <c r="V324" s="57"/>
      <c r="W324" s="72" t="s">
        <v>17564</v>
      </c>
      <c r="Z324" s="57"/>
      <c r="AA324" s="72"/>
      <c r="AD324" s="57"/>
      <c r="AE324" s="208">
        <f>ROUND((ROUND((_15_同援日１．０*_15・２人),0)*(1+_15・盲ろう)),0)+ROUND((ROUND((ROUND((_15_同援日１．０＿１．０*_15・２人),0)*(1+_15・B夜間)),0)*(1+_15・盲ろう)),0)+ROUND((ROUND((ROUND((_15_同援日１．０＿１．０＿０．５*_15・２人),0)*(1+_15・C深夜)),0)*(1+_15・盲ろう)),0)</f>
        <v>808</v>
      </c>
      <c r="AF324" s="48"/>
    </row>
    <row r="325" spans="1:32" ht="16.5" customHeight="1" x14ac:dyDescent="0.15">
      <c r="A325" s="41">
        <v>15</v>
      </c>
      <c r="B325" s="41" t="s">
        <v>23255</v>
      </c>
      <c r="C325" s="74" t="s">
        <v>23256</v>
      </c>
      <c r="D325" s="72"/>
      <c r="F325" s="57"/>
      <c r="G325" s="72"/>
      <c r="I325" s="57"/>
      <c r="J325" s="72"/>
      <c r="L325" s="57"/>
      <c r="M325" s="114" t="s">
        <v>17558</v>
      </c>
      <c r="N325" s="49"/>
      <c r="O325" s="50"/>
      <c r="P325" s="299"/>
      <c r="Q325" s="45"/>
      <c r="R325" s="46"/>
      <c r="S325" s="512"/>
      <c r="T325" s="57"/>
      <c r="U325" s="512"/>
      <c r="V325" s="57"/>
      <c r="W325" s="72"/>
      <c r="X325" s="12" t="s">
        <v>398</v>
      </c>
      <c r="Y325" s="13">
        <v>0.25</v>
      </c>
      <c r="Z325" s="57" t="s">
        <v>3575</v>
      </c>
      <c r="AA325" s="72"/>
      <c r="AD325" s="57"/>
      <c r="AE325" s="208">
        <f>ROUND((ROUND((_15_同援日１．０*_15・基礎２),0)*(1+_15・盲ろう)),0)+ROUND((ROUND((ROUND((_15_同援日１．０＿１．０*_15・基礎２),0)*(1+_15・B夜間)),0)*(1+_15・盲ろう)),0)+ROUND((ROUND((ROUND((_15_同援日１．０＿１．０＿０．５*_15・基礎２),0)*(1+_15・C深夜)),0)*(1+_15・盲ろう)),0)</f>
        <v>728</v>
      </c>
      <c r="AF325" s="48"/>
    </row>
    <row r="326" spans="1:32" ht="16.5" customHeight="1" x14ac:dyDescent="0.15">
      <c r="A326" s="41">
        <v>15</v>
      </c>
      <c r="B326" s="41" t="s">
        <v>23257</v>
      </c>
      <c r="C326" s="74" t="s">
        <v>23258</v>
      </c>
      <c r="D326" s="72"/>
      <c r="F326" s="57"/>
      <c r="G326" s="72"/>
      <c r="I326" s="57"/>
      <c r="J326" s="72"/>
      <c r="L326" s="57"/>
      <c r="M326" s="122" t="s">
        <v>17560</v>
      </c>
      <c r="N326" s="37" t="s">
        <v>398</v>
      </c>
      <c r="O326" s="38">
        <v>0.9</v>
      </c>
      <c r="P326" s="299" t="s">
        <v>17556</v>
      </c>
      <c r="Q326" s="45" t="s">
        <v>398</v>
      </c>
      <c r="R326" s="46">
        <v>1</v>
      </c>
      <c r="S326" s="512"/>
      <c r="T326" s="57"/>
      <c r="U326" s="512"/>
      <c r="V326" s="57"/>
      <c r="W326" s="122"/>
      <c r="X326" s="37"/>
      <c r="Y326" s="38"/>
      <c r="Z326" s="79"/>
      <c r="AA326" s="122"/>
      <c r="AB326" s="37"/>
      <c r="AC326" s="38"/>
      <c r="AD326" s="79"/>
      <c r="AE326" s="208">
        <f>ROUND((ROUND((ROUND((_15_同援日１．０*_15・基礎２),0)*_15・２人),0)*(1+_15・盲ろう)),0)+ROUND((ROUND((ROUND((ROUND((_15_同援日１．０＿１．０*_15・基礎２),0)*_15・２人),0)*(1+_15・B夜間)),0)*(1+_15・盲ろう)),0)+ROUND((ROUND((ROUND((ROUND((_15_同援日１．０＿１．０＿０．５*_15・基礎２),0)*_15・２人),0)*(1+_15・C深夜)),0)*(1+_15・盲ろう)),0)</f>
        <v>728</v>
      </c>
      <c r="AF326" s="48"/>
    </row>
    <row r="327" spans="1:32" ht="16.5" customHeight="1" x14ac:dyDescent="0.15">
      <c r="A327" s="41">
        <v>15</v>
      </c>
      <c r="B327" s="41" t="s">
        <v>23259</v>
      </c>
      <c r="C327" s="74" t="s">
        <v>23260</v>
      </c>
      <c r="D327" s="72"/>
      <c r="F327" s="57"/>
      <c r="G327" s="72"/>
      <c r="I327" s="57"/>
      <c r="J327" s="72"/>
      <c r="L327" s="57"/>
      <c r="M327" s="114"/>
      <c r="N327" s="49"/>
      <c r="O327" s="50"/>
      <c r="P327" s="299"/>
      <c r="Q327" s="45"/>
      <c r="R327" s="46"/>
      <c r="S327" s="512"/>
      <c r="T327" s="57"/>
      <c r="U327" s="512"/>
      <c r="V327" s="57"/>
      <c r="W327" s="114"/>
      <c r="X327" s="49"/>
      <c r="Y327" s="50"/>
      <c r="Z327" s="115"/>
      <c r="AA327" s="114"/>
      <c r="AB327" s="49"/>
      <c r="AC327" s="50"/>
      <c r="AD327" s="115"/>
      <c r="AE327" s="208">
        <f>ROUND((_15_同援日１．０*(1+_15・区３)),0)+ROUND((ROUND((_15_同援日１．０＿１．０*(1+_15・B夜間)),0)*(1+_15・区３)),0)+ROUND((ROUND((_15_同援日１．０＿１．０＿０．５*(1+_15・C深夜)),0)*(1+_15・区３)),0)</f>
        <v>776</v>
      </c>
      <c r="AF327" s="48"/>
    </row>
    <row r="328" spans="1:32" ht="16.5" customHeight="1" x14ac:dyDescent="0.15">
      <c r="A328" s="41">
        <v>15</v>
      </c>
      <c r="B328" s="41" t="s">
        <v>23261</v>
      </c>
      <c r="C328" s="74" t="s">
        <v>23262</v>
      </c>
      <c r="D328" s="72"/>
      <c r="F328" s="57"/>
      <c r="G328" s="72"/>
      <c r="I328" s="57"/>
      <c r="J328" s="72"/>
      <c r="L328" s="57"/>
      <c r="M328" s="122"/>
      <c r="N328" s="37"/>
      <c r="O328" s="38"/>
      <c r="P328" s="299" t="s">
        <v>17556</v>
      </c>
      <c r="Q328" s="45" t="s">
        <v>398</v>
      </c>
      <c r="R328" s="46">
        <v>1</v>
      </c>
      <c r="S328" s="512"/>
      <c r="T328" s="57"/>
      <c r="U328" s="512"/>
      <c r="V328" s="57"/>
      <c r="W328" s="72"/>
      <c r="Z328" s="57"/>
      <c r="AA328" s="72"/>
      <c r="AD328" s="57"/>
      <c r="AE328" s="208">
        <f>ROUND((ROUND((_15_同援日１．０*_15・２人),0)*(1+_15・区３)),0)+ROUND((ROUND((ROUND((_15_同援日１．０＿１．０*_15・２人),0)*(1+_15・B夜間)),0)*(1+_15・区３)),0)+ROUND((ROUND((ROUND((_15_同援日１．０＿１．０＿０．５*_15・２人),0)*(1+_15・C深夜)),0)*(1+_15・区３)),0)</f>
        <v>776</v>
      </c>
      <c r="AF328" s="48"/>
    </row>
    <row r="329" spans="1:32" ht="16.5" customHeight="1" x14ac:dyDescent="0.15">
      <c r="A329" s="41">
        <v>15</v>
      </c>
      <c r="B329" s="41" t="s">
        <v>1635</v>
      </c>
      <c r="C329" s="74" t="s">
        <v>23263</v>
      </c>
      <c r="D329" s="72"/>
      <c r="F329" s="57"/>
      <c r="G329" s="72"/>
      <c r="I329" s="57"/>
      <c r="J329" s="72"/>
      <c r="L329" s="57"/>
      <c r="M329" s="114" t="s">
        <v>17558</v>
      </c>
      <c r="N329" s="49"/>
      <c r="O329" s="50"/>
      <c r="P329" s="299"/>
      <c r="Q329" s="45"/>
      <c r="R329" s="46"/>
      <c r="S329" s="512"/>
      <c r="T329" s="57"/>
      <c r="U329" s="512"/>
      <c r="V329" s="57"/>
      <c r="W329" s="72"/>
      <c r="Z329" s="57"/>
      <c r="AA329" s="72" t="s">
        <v>17570</v>
      </c>
      <c r="AD329" s="57"/>
      <c r="AE329" s="208">
        <f>ROUND((ROUND((_15_同援日１．０*_15・基礎２),0)*(1+_15・区３)),0)+ROUND((ROUND((ROUND((_15_同援日１．０＿１．０*_15・基礎２),0)*(1+_15・B夜間)),0)*(1+_15・区３)),0)+ROUND((ROUND((ROUND((_15_同援日１．０＿１．０＿０．５*_15・基礎２),0)*(1+_15・C深夜)),0)*(1+_15・区３)),0)</f>
        <v>699</v>
      </c>
      <c r="AF329" s="48"/>
    </row>
    <row r="330" spans="1:32" ht="16.5" customHeight="1" x14ac:dyDescent="0.15">
      <c r="A330" s="41">
        <v>15</v>
      </c>
      <c r="B330" s="41" t="s">
        <v>1637</v>
      </c>
      <c r="C330" s="74" t="s">
        <v>23264</v>
      </c>
      <c r="D330" s="72"/>
      <c r="F330" s="57"/>
      <c r="G330" s="72"/>
      <c r="I330" s="57"/>
      <c r="J330" s="72"/>
      <c r="L330" s="57"/>
      <c r="M330" s="122" t="s">
        <v>17560</v>
      </c>
      <c r="N330" s="37" t="s">
        <v>398</v>
      </c>
      <c r="O330" s="38">
        <v>0.9</v>
      </c>
      <c r="P330" s="299" t="s">
        <v>17556</v>
      </c>
      <c r="Q330" s="45" t="s">
        <v>398</v>
      </c>
      <c r="R330" s="46">
        <v>1</v>
      </c>
      <c r="S330" s="512"/>
      <c r="T330" s="57"/>
      <c r="U330" s="512"/>
      <c r="V330" s="57"/>
      <c r="W330" s="122"/>
      <c r="X330" s="37"/>
      <c r="Y330" s="38"/>
      <c r="Z330" s="79"/>
      <c r="AA330" s="72" t="s">
        <v>17572</v>
      </c>
      <c r="AD330" s="57"/>
      <c r="AE330" s="208">
        <f>ROUND((ROUND((ROUND((_15_同援日１．０*_15・基礎２),0)*_15・２人),0)*(1+_15・区３)),0)+ROUND((ROUND((ROUND((ROUND((_15_同援日１．０＿１．０*_15・基礎２),0)*_15・２人),0)*(1+_15・B夜間)),0)*(1+_15・区３)),0)+ROUND((ROUND((ROUND((ROUND((_15_同援日１．０＿１．０＿０．５*_15・基礎２),0)*_15・２人),0)*(1+_15・C深夜)),0)*(1+_15・区３)),0)</f>
        <v>699</v>
      </c>
      <c r="AF330" s="48"/>
    </row>
    <row r="331" spans="1:32" ht="16.5" customHeight="1" x14ac:dyDescent="0.15">
      <c r="A331" s="41">
        <v>15</v>
      </c>
      <c r="B331" s="41" t="s">
        <v>1639</v>
      </c>
      <c r="C331" s="74" t="s">
        <v>23265</v>
      </c>
      <c r="D331" s="72"/>
      <c r="F331" s="57"/>
      <c r="G331" s="72"/>
      <c r="I331" s="57"/>
      <c r="J331" s="72"/>
      <c r="L331" s="57"/>
      <c r="M331" s="114"/>
      <c r="N331" s="49"/>
      <c r="O331" s="50"/>
      <c r="P331" s="299"/>
      <c r="Q331" s="45"/>
      <c r="R331" s="46"/>
      <c r="S331" s="512"/>
      <c r="T331" s="57"/>
      <c r="U331" s="512"/>
      <c r="V331" s="57"/>
      <c r="W331" s="114" t="s">
        <v>17562</v>
      </c>
      <c r="X331" s="49"/>
      <c r="Y331" s="50"/>
      <c r="Z331" s="115"/>
      <c r="AA331" s="72"/>
      <c r="AB331" s="12" t="s">
        <v>398</v>
      </c>
      <c r="AC331" s="13">
        <v>0.2</v>
      </c>
      <c r="AD331" s="57" t="s">
        <v>3575</v>
      </c>
      <c r="AE331" s="208">
        <f>ROUND((ROUND((_15_同援日１．０*(1+_15・盲ろう)),0)*(1+_15・区３)),0)+ROUND((ROUND((ROUND((_15_同援日１．０＿１．０*(1+_15・B夜間)),0)*(1+_15・盲ろう)),0)*(1+_15・区３)),0)+ROUND((ROUND((ROUND((_15_同援日１．０＿１．０＿０．５*(1+_15・C深夜)),0)*(1+_15・盲ろう)),0)*(1+_15・区３)),0)</f>
        <v>970</v>
      </c>
      <c r="AF331" s="48"/>
    </row>
    <row r="332" spans="1:32" ht="16.5" customHeight="1" x14ac:dyDescent="0.15">
      <c r="A332" s="41">
        <v>15</v>
      </c>
      <c r="B332" s="41" t="s">
        <v>1641</v>
      </c>
      <c r="C332" s="74" t="s">
        <v>23266</v>
      </c>
      <c r="D332" s="72"/>
      <c r="F332" s="57"/>
      <c r="G332" s="72"/>
      <c r="I332" s="57"/>
      <c r="J332" s="72"/>
      <c r="L332" s="57"/>
      <c r="M332" s="122"/>
      <c r="N332" s="37"/>
      <c r="O332" s="38"/>
      <c r="P332" s="299" t="s">
        <v>17556</v>
      </c>
      <c r="Q332" s="45" t="s">
        <v>398</v>
      </c>
      <c r="R332" s="46">
        <v>1</v>
      </c>
      <c r="S332" s="512"/>
      <c r="T332" s="57"/>
      <c r="U332" s="512"/>
      <c r="V332" s="57"/>
      <c r="W332" s="72" t="s">
        <v>17564</v>
      </c>
      <c r="Z332" s="57"/>
      <c r="AA332" s="72"/>
      <c r="AD332" s="57"/>
      <c r="AE332" s="208">
        <f>ROUND((ROUND((ROUND((_15_同援日１．０*_15・２人),0)*(1+_15・盲ろう)),0)*(1+_15・区３)),0)+ROUND((ROUND((ROUND((ROUND((_15_同援日１．０＿１．０*_15・２人),0)*(1+_15・B夜間)),0)*(1+_15・盲ろう)),0)*(1+_15・区３)),0)+ROUND((ROUND((ROUND((ROUND((_15_同援日１．０＿１．０＿０．５*_15・２人),0)*(1+_15・C深夜)),0)*(1+_15・盲ろう)),0)*(1+_15・区３)),0)</f>
        <v>970</v>
      </c>
      <c r="AF332" s="48"/>
    </row>
    <row r="333" spans="1:32" ht="16.5" customHeight="1" x14ac:dyDescent="0.15">
      <c r="A333" s="41">
        <v>15</v>
      </c>
      <c r="B333" s="41" t="s">
        <v>23267</v>
      </c>
      <c r="C333" s="74" t="s">
        <v>23268</v>
      </c>
      <c r="D333" s="72"/>
      <c r="F333" s="57"/>
      <c r="G333" s="72"/>
      <c r="I333" s="57"/>
      <c r="J333" s="72"/>
      <c r="L333" s="57"/>
      <c r="M333" s="114" t="s">
        <v>17558</v>
      </c>
      <c r="N333" s="49"/>
      <c r="O333" s="50"/>
      <c r="P333" s="299"/>
      <c r="Q333" s="45"/>
      <c r="R333" s="46"/>
      <c r="S333" s="512"/>
      <c r="T333" s="57"/>
      <c r="U333" s="512"/>
      <c r="V333" s="57"/>
      <c r="W333" s="72"/>
      <c r="X333" s="12" t="s">
        <v>398</v>
      </c>
      <c r="Y333" s="13">
        <v>0.25</v>
      </c>
      <c r="Z333" s="57" t="s">
        <v>3575</v>
      </c>
      <c r="AA333" s="72"/>
      <c r="AD333" s="57"/>
      <c r="AE333" s="208">
        <f>ROUND((ROUND((ROUND((_15_同援日１．０*_15・基礎２),0)*(1+_15・盲ろう)),0)*(1+_15・区３)),0)+ROUND((ROUND((ROUND((ROUND((_15_同援日１．０＿１．０*_15・基礎２),0)*(1+_15・B夜間)),0)*(1+_15・盲ろう)),0)*(1+_15・区３)),0)+ROUND((ROUND((ROUND((ROUND((_15_同援日１．０＿１．０＿０．５*_15・基礎２),0)*(1+_15・C深夜)),0)*(1+_15・盲ろう)),0)*(1+_15・区３)),0)</f>
        <v>874</v>
      </c>
      <c r="AF333" s="48"/>
    </row>
    <row r="334" spans="1:32" ht="16.5" customHeight="1" x14ac:dyDescent="0.15">
      <c r="A334" s="41">
        <v>15</v>
      </c>
      <c r="B334" s="41" t="s">
        <v>23269</v>
      </c>
      <c r="C334" s="74" t="s">
        <v>23270</v>
      </c>
      <c r="D334" s="72"/>
      <c r="F334" s="57"/>
      <c r="G334" s="72"/>
      <c r="I334" s="57"/>
      <c r="J334" s="72"/>
      <c r="L334" s="57"/>
      <c r="M334" s="122" t="s">
        <v>17560</v>
      </c>
      <c r="N334" s="37" t="s">
        <v>398</v>
      </c>
      <c r="O334" s="38">
        <v>0.9</v>
      </c>
      <c r="P334" s="299" t="s">
        <v>17556</v>
      </c>
      <c r="Q334" s="45" t="s">
        <v>398</v>
      </c>
      <c r="R334" s="46">
        <v>1</v>
      </c>
      <c r="S334" s="512"/>
      <c r="T334" s="57"/>
      <c r="U334" s="512"/>
      <c r="V334" s="57"/>
      <c r="W334" s="122"/>
      <c r="X334" s="37"/>
      <c r="Y334" s="38"/>
      <c r="Z334" s="79"/>
      <c r="AA334" s="122"/>
      <c r="AB334" s="37"/>
      <c r="AC334" s="38"/>
      <c r="AD334" s="79"/>
      <c r="AE334" s="208">
        <f>ROUND((ROUND((ROUND((ROUND((_15_同援日１．０*_15・基礎２),0)*_15・２人),0)*(1+_15・盲ろう)),0)*(1+_15・区３)),0)+ROUND((ROUND((ROUND((ROUND((ROUND((_15_同援日１．０＿１．０*_15・基礎２),0)*_15・２人),0)*(1+_15・B夜間)),0)*(1+_15・盲ろう)),0)*(1+_15・区３)),0)+ROUND((ROUND((ROUND((ROUND((ROUND((_15_同援日１．０＿１．０＿０．５*_15・基礎２),0)*_15・２人),0)*(1+_15・C深夜)),0)*(1+_15・盲ろう)),0)*(1+_15・区３)),0)</f>
        <v>874</v>
      </c>
      <c r="AF334" s="48"/>
    </row>
    <row r="335" spans="1:32" ht="16.5" customHeight="1" x14ac:dyDescent="0.15">
      <c r="A335" s="41">
        <v>15</v>
      </c>
      <c r="B335" s="41" t="s">
        <v>23271</v>
      </c>
      <c r="C335" s="74" t="s">
        <v>23272</v>
      </c>
      <c r="D335" s="72"/>
      <c r="F335" s="57"/>
      <c r="G335" s="72"/>
      <c r="I335" s="57"/>
      <c r="J335" s="72"/>
      <c r="L335" s="57"/>
      <c r="M335" s="114"/>
      <c r="N335" s="49"/>
      <c r="O335" s="50"/>
      <c r="P335" s="299"/>
      <c r="Q335" s="45"/>
      <c r="R335" s="46"/>
      <c r="S335" s="512"/>
      <c r="T335" s="57"/>
      <c r="U335" s="512"/>
      <c r="V335" s="57"/>
      <c r="W335" s="114"/>
      <c r="X335" s="49"/>
      <c r="Y335" s="50"/>
      <c r="Z335" s="115"/>
      <c r="AA335" s="114"/>
      <c r="AB335" s="49"/>
      <c r="AC335" s="50"/>
      <c r="AD335" s="115"/>
      <c r="AE335" s="208">
        <f>ROUND((_15_同援日１．０*(1+_15・区４)),0)+ROUND((ROUND((_15_同援日１．０＿１．０*(1+_15・B夜間)),0)*(1+_15・区４)),0)+ROUND((ROUND((_15_同援日１．０＿１．０＿０．５*(1+_15・C深夜)),0)*(1+_15・区４)),0)</f>
        <v>904</v>
      </c>
      <c r="AF335" s="48"/>
    </row>
    <row r="336" spans="1:32" ht="16.5" customHeight="1" x14ac:dyDescent="0.15">
      <c r="A336" s="41">
        <v>15</v>
      </c>
      <c r="B336" s="41" t="s">
        <v>23273</v>
      </c>
      <c r="C336" s="74" t="s">
        <v>23274</v>
      </c>
      <c r="D336" s="72"/>
      <c r="F336" s="57"/>
      <c r="G336" s="72"/>
      <c r="I336" s="57"/>
      <c r="J336" s="72"/>
      <c r="L336" s="57"/>
      <c r="M336" s="122"/>
      <c r="N336" s="37"/>
      <c r="O336" s="38"/>
      <c r="P336" s="299" t="s">
        <v>17556</v>
      </c>
      <c r="Q336" s="45" t="s">
        <v>398</v>
      </c>
      <c r="R336" s="46">
        <v>1</v>
      </c>
      <c r="S336" s="512"/>
      <c r="T336" s="57"/>
      <c r="U336" s="512"/>
      <c r="V336" s="57"/>
      <c r="W336" s="72"/>
      <c r="Z336" s="57"/>
      <c r="AA336" s="72"/>
      <c r="AD336" s="57"/>
      <c r="AE336" s="208">
        <f>ROUND((ROUND((_15_同援日１．０*_15・２人),0)*(1+_15・区４)),0)+ROUND((ROUND((ROUND((_15_同援日１．０＿１．０*_15・２人),0)*(1+_15・B夜間)),0)*(1+_15・区４)),0)+ROUND((ROUND((ROUND((_15_同援日１．０＿１．０＿０．５*_15・２人),0)*(1+_15・C深夜)),0)*(1+_15・区４)),0)</f>
        <v>904</v>
      </c>
      <c r="AF336" s="48"/>
    </row>
    <row r="337" spans="1:32" ht="16.5" customHeight="1" x14ac:dyDescent="0.15">
      <c r="A337" s="41">
        <v>15</v>
      </c>
      <c r="B337" s="41" t="s">
        <v>23275</v>
      </c>
      <c r="C337" s="74" t="s">
        <v>23276</v>
      </c>
      <c r="D337" s="72"/>
      <c r="F337" s="57"/>
      <c r="G337" s="72"/>
      <c r="I337" s="57"/>
      <c r="J337" s="72"/>
      <c r="L337" s="57"/>
      <c r="M337" s="114" t="s">
        <v>17558</v>
      </c>
      <c r="N337" s="49"/>
      <c r="O337" s="50"/>
      <c r="P337" s="299"/>
      <c r="Q337" s="45"/>
      <c r="R337" s="46"/>
      <c r="S337" s="512"/>
      <c r="T337" s="57"/>
      <c r="U337" s="512"/>
      <c r="V337" s="57"/>
      <c r="W337" s="72"/>
      <c r="Z337" s="57"/>
      <c r="AA337" s="72" t="s">
        <v>17580</v>
      </c>
      <c r="AD337" s="57"/>
      <c r="AE337" s="208">
        <f>ROUND((ROUND((_15_同援日１．０*_15・基礎２),0)*(1+_15・区４)),0)+ROUND((ROUND((ROUND((_15_同援日１．０＿１．０*_15・基礎２),0)*(1+_15・B夜間)),0)*(1+_15・区４)),0)+ROUND((ROUND((ROUND((_15_同援日１．０＿１．０＿０．５*_15・基礎２),0)*(1+_15・C深夜)),0)*(1+_15・区４)),0)</f>
        <v>815</v>
      </c>
      <c r="AF337" s="48"/>
    </row>
    <row r="338" spans="1:32" ht="16.5" customHeight="1" x14ac:dyDescent="0.15">
      <c r="A338" s="41">
        <v>15</v>
      </c>
      <c r="B338" s="41" t="s">
        <v>23277</v>
      </c>
      <c r="C338" s="74" t="s">
        <v>23278</v>
      </c>
      <c r="D338" s="72"/>
      <c r="F338" s="57"/>
      <c r="G338" s="72"/>
      <c r="I338" s="57"/>
      <c r="J338" s="72"/>
      <c r="L338" s="57"/>
      <c r="M338" s="122" t="s">
        <v>17560</v>
      </c>
      <c r="N338" s="37" t="s">
        <v>398</v>
      </c>
      <c r="O338" s="38">
        <v>0.9</v>
      </c>
      <c r="P338" s="299" t="s">
        <v>17556</v>
      </c>
      <c r="Q338" s="45" t="s">
        <v>398</v>
      </c>
      <c r="R338" s="46">
        <v>1</v>
      </c>
      <c r="S338" s="512"/>
      <c r="T338" s="57"/>
      <c r="U338" s="512"/>
      <c r="V338" s="57"/>
      <c r="W338" s="122"/>
      <c r="X338" s="37"/>
      <c r="Y338" s="38"/>
      <c r="Z338" s="79"/>
      <c r="AA338" s="72" t="s">
        <v>17572</v>
      </c>
      <c r="AD338" s="57"/>
      <c r="AE338" s="208">
        <f>ROUND((ROUND((ROUND((_15_同援日１．０*_15・基礎２),0)*_15・２人),0)*(1+_15・区４)),0)+ROUND((ROUND((ROUND((ROUND((_15_同援日１．０＿１．０*_15・基礎２),0)*_15・２人),0)*(1+_15・B夜間)),0)*(1+_15・区４)),0)+ROUND((ROUND((ROUND((ROUND((_15_同援日１．０＿１．０＿０．５*_15・基礎２),0)*_15・２人),0)*(1+_15・C深夜)),0)*(1+_15・区４)),0)</f>
        <v>815</v>
      </c>
      <c r="AF338" s="48"/>
    </row>
    <row r="339" spans="1:32" ht="16.5" customHeight="1" x14ac:dyDescent="0.15">
      <c r="A339" s="41">
        <v>15</v>
      </c>
      <c r="B339" s="41" t="s">
        <v>23279</v>
      </c>
      <c r="C339" s="74" t="s">
        <v>23280</v>
      </c>
      <c r="D339" s="72"/>
      <c r="F339" s="57"/>
      <c r="G339" s="72"/>
      <c r="I339" s="57"/>
      <c r="J339" s="72"/>
      <c r="L339" s="57"/>
      <c r="M339" s="114"/>
      <c r="N339" s="49"/>
      <c r="O339" s="50"/>
      <c r="P339" s="299"/>
      <c r="Q339" s="45"/>
      <c r="R339" s="46"/>
      <c r="S339" s="512"/>
      <c r="T339" s="57"/>
      <c r="U339" s="512"/>
      <c r="V339" s="57"/>
      <c r="W339" s="114" t="s">
        <v>17562</v>
      </c>
      <c r="X339" s="49"/>
      <c r="Y339" s="50"/>
      <c r="Z339" s="115"/>
      <c r="AA339" s="72"/>
      <c r="AB339" s="12" t="s">
        <v>398</v>
      </c>
      <c r="AC339" s="13">
        <v>0.4</v>
      </c>
      <c r="AD339" s="57" t="s">
        <v>3575</v>
      </c>
      <c r="AE339" s="208">
        <f>ROUND((ROUND((_15_同援日１．０*(1+_15・盲ろう)),0)*(1+_15・区４)),0)+ROUND((ROUND((ROUND((_15_同援日１．０＿１．０*(1+_15・B夜間)),0)*(1+_15・盲ろう)),0)*(1+_15・区４)),0)+ROUND((ROUND((ROUND((_15_同援日１．０＿１．０＿０．５*(1+_15・C深夜)),0)*(1+_15・盲ろう)),0)*(1+_15・区４)),0)</f>
        <v>1131</v>
      </c>
      <c r="AF339" s="48"/>
    </row>
    <row r="340" spans="1:32" ht="16.5" customHeight="1" x14ac:dyDescent="0.15">
      <c r="A340" s="41">
        <v>15</v>
      </c>
      <c r="B340" s="41" t="s">
        <v>23281</v>
      </c>
      <c r="C340" s="74" t="s">
        <v>23282</v>
      </c>
      <c r="D340" s="72"/>
      <c r="F340" s="57"/>
      <c r="G340" s="72"/>
      <c r="I340" s="57"/>
      <c r="J340" s="72"/>
      <c r="L340" s="57"/>
      <c r="M340" s="122"/>
      <c r="N340" s="37"/>
      <c r="O340" s="38"/>
      <c r="P340" s="299" t="s">
        <v>17556</v>
      </c>
      <c r="Q340" s="45" t="s">
        <v>398</v>
      </c>
      <c r="R340" s="46">
        <v>1</v>
      </c>
      <c r="S340" s="512"/>
      <c r="T340" s="57"/>
      <c r="U340" s="512"/>
      <c r="V340" s="57"/>
      <c r="W340" s="72" t="s">
        <v>17564</v>
      </c>
      <c r="Z340" s="57"/>
      <c r="AA340" s="72"/>
      <c r="AD340" s="57"/>
      <c r="AE340" s="208">
        <f>ROUND((ROUND((ROUND((_15_同援日１．０*_15・２人),0)*(1+_15・盲ろう)),0)*(1+_15・区４)),0)+ROUND((ROUND((ROUND((ROUND((_15_同援日１．０＿１．０*_15・２人),0)*(1+_15・B夜間)),0)*(1+_15・盲ろう)),0)*(1+_15・区４)),0)+ROUND((ROUND((ROUND((ROUND((_15_同援日１．０＿１．０＿０．５*_15・２人),0)*(1+_15・C深夜)),0)*(1+_15・盲ろう)),0)*(1+_15・区４)),0)</f>
        <v>1131</v>
      </c>
      <c r="AF340" s="48"/>
    </row>
    <row r="341" spans="1:32" ht="16.5" customHeight="1" x14ac:dyDescent="0.15">
      <c r="A341" s="41">
        <v>15</v>
      </c>
      <c r="B341" s="41" t="s">
        <v>23283</v>
      </c>
      <c r="C341" s="74" t="s">
        <v>23284</v>
      </c>
      <c r="D341" s="72"/>
      <c r="F341" s="57"/>
      <c r="G341" s="72"/>
      <c r="I341" s="57"/>
      <c r="J341" s="72"/>
      <c r="L341" s="57"/>
      <c r="M341" s="114" t="s">
        <v>17558</v>
      </c>
      <c r="N341" s="49"/>
      <c r="O341" s="50"/>
      <c r="P341" s="299"/>
      <c r="Q341" s="45"/>
      <c r="R341" s="46"/>
      <c r="S341" s="512"/>
      <c r="T341" s="57"/>
      <c r="U341" s="512"/>
      <c r="V341" s="57"/>
      <c r="W341" s="72"/>
      <c r="X341" s="12" t="s">
        <v>398</v>
      </c>
      <c r="Y341" s="13">
        <v>0.25</v>
      </c>
      <c r="Z341" s="57" t="s">
        <v>3575</v>
      </c>
      <c r="AA341" s="72"/>
      <c r="AD341" s="57"/>
      <c r="AE341" s="208">
        <f>ROUND((ROUND((ROUND((_15_同援日１．０*_15・基礎２),0)*(1+_15・盲ろう)),0)*(1+_15・区４)),0)+ROUND((ROUND((ROUND((ROUND((_15_同援日１．０＿１．０*_15・基礎２),0)*(1+_15・B夜間)),0)*(1+_15・盲ろう)),0)*(1+_15・区４)),0)+ROUND((ROUND((ROUND((ROUND((_15_同援日１．０＿１．０＿０．５*_15・基礎２),0)*(1+_15・C深夜)),0)*(1+_15・盲ろう)),0)*(1+_15・区４)),0)</f>
        <v>1019</v>
      </c>
      <c r="AF341" s="48"/>
    </row>
    <row r="342" spans="1:32" ht="16.5" customHeight="1" x14ac:dyDescent="0.15">
      <c r="A342" s="41">
        <v>15</v>
      </c>
      <c r="B342" s="41" t="s">
        <v>23285</v>
      </c>
      <c r="C342" s="74" t="s">
        <v>23286</v>
      </c>
      <c r="D342" s="72"/>
      <c r="F342" s="57"/>
      <c r="G342" s="72"/>
      <c r="I342" s="57"/>
      <c r="J342" s="122"/>
      <c r="K342" s="37"/>
      <c r="L342" s="79"/>
      <c r="M342" s="122" t="s">
        <v>17560</v>
      </c>
      <c r="N342" s="37" t="s">
        <v>398</v>
      </c>
      <c r="O342" s="38">
        <v>0.9</v>
      </c>
      <c r="P342" s="299" t="s">
        <v>17556</v>
      </c>
      <c r="Q342" s="45" t="s">
        <v>398</v>
      </c>
      <c r="R342" s="46">
        <v>1</v>
      </c>
      <c r="S342" s="512"/>
      <c r="T342" s="57"/>
      <c r="U342" s="512"/>
      <c r="V342" s="57"/>
      <c r="W342" s="122"/>
      <c r="X342" s="37"/>
      <c r="Y342" s="38"/>
      <c r="Z342" s="79"/>
      <c r="AA342" s="122"/>
      <c r="AB342" s="37"/>
      <c r="AC342" s="38"/>
      <c r="AD342" s="79"/>
      <c r="AE342" s="208">
        <f>ROUND((ROUND((ROUND((ROUND((_15_同援日１．０*_15・基礎２),0)*_15・２人),0)*(1+_15・盲ろう)),0)*(1+_15・区４)),0)+ROUND((ROUND((ROUND((ROUND((ROUND((_15_同援日１．０＿１．０*_15・基礎２),0)*_15・２人),0)*(1+_15・B夜間)),0)*(1+_15・盲ろう)),0)*(1+_15・区４)),0)+ROUND((ROUND((ROUND((ROUND((ROUND((_15_同援日１．０＿１．０＿０．５*_15・基礎２),0)*_15・２人),0)*(1+_15・C深夜)),0)*(1+_15・盲ろう)),0)*(1+_15・区４)),0)</f>
        <v>1019</v>
      </c>
      <c r="AF342" s="48"/>
    </row>
    <row r="343" spans="1:32" ht="16.5" customHeight="1" x14ac:dyDescent="0.15">
      <c r="A343" s="41">
        <v>15</v>
      </c>
      <c r="B343" s="41" t="s">
        <v>23287</v>
      </c>
      <c r="C343" s="74" t="s">
        <v>23288</v>
      </c>
      <c r="D343" s="72"/>
      <c r="F343" s="57"/>
      <c r="G343" s="72"/>
      <c r="I343" s="57"/>
      <c r="J343" s="114" t="s">
        <v>22723</v>
      </c>
      <c r="K343" s="49"/>
      <c r="L343" s="115"/>
      <c r="M343" s="114"/>
      <c r="N343" s="49"/>
      <c r="O343" s="50"/>
      <c r="P343" s="299"/>
      <c r="Q343" s="45"/>
      <c r="R343" s="46"/>
      <c r="S343" s="512"/>
      <c r="T343" s="57"/>
      <c r="U343" s="512"/>
      <c r="V343" s="57"/>
      <c r="W343" s="114"/>
      <c r="X343" s="49"/>
      <c r="Y343" s="50"/>
      <c r="Z343" s="115"/>
      <c r="AA343" s="114"/>
      <c r="AB343" s="49"/>
      <c r="AC343" s="50"/>
      <c r="AD343" s="115"/>
      <c r="AE343" s="208">
        <f>_15_同援日１．０+ROUND((_15_同援日１．０＿１．０*(1+_15・B夜間)),0)+ROUND((_15_同援日１．０＿１．０＿１．０*(1+_15・C深夜)),0)</f>
        <v>743</v>
      </c>
      <c r="AF343" s="48"/>
    </row>
    <row r="344" spans="1:32" ht="16.5" customHeight="1" x14ac:dyDescent="0.15">
      <c r="A344" s="41">
        <v>15</v>
      </c>
      <c r="B344" s="41" t="s">
        <v>23289</v>
      </c>
      <c r="C344" s="74" t="s">
        <v>23290</v>
      </c>
      <c r="D344" s="72"/>
      <c r="F344" s="57"/>
      <c r="G344" s="72"/>
      <c r="I344" s="57"/>
      <c r="J344" s="72" t="s">
        <v>17589</v>
      </c>
      <c r="L344" s="57"/>
      <c r="M344" s="122"/>
      <c r="N344" s="37"/>
      <c r="O344" s="38"/>
      <c r="P344" s="299" t="s">
        <v>17556</v>
      </c>
      <c r="Q344" s="45" t="s">
        <v>398</v>
      </c>
      <c r="R344" s="46">
        <v>1</v>
      </c>
      <c r="S344" s="512"/>
      <c r="T344" s="57"/>
      <c r="U344" s="512"/>
      <c r="V344" s="57"/>
      <c r="W344" s="72"/>
      <c r="Z344" s="57"/>
      <c r="AA344" s="72"/>
      <c r="AD344" s="57"/>
      <c r="AE344" s="208">
        <f>ROUND((_15_同援日１．０*_15・２人),0)+ROUND((ROUND((_15_同援日１．０＿１．０*_15・２人),0)*(1+_15・B夜間)),0)+ROUND((ROUND((_15_同援日１．０＿１．０＿１．０*_15・２人),0)*(1+_15・C深夜)),0)</f>
        <v>743</v>
      </c>
      <c r="AF344" s="48"/>
    </row>
    <row r="345" spans="1:32" ht="16.5" customHeight="1" x14ac:dyDescent="0.15">
      <c r="A345" s="41">
        <v>15</v>
      </c>
      <c r="B345" s="41" t="s">
        <v>23291</v>
      </c>
      <c r="C345" s="74" t="s">
        <v>23292</v>
      </c>
      <c r="D345" s="72"/>
      <c r="F345" s="57"/>
      <c r="G345" s="72"/>
      <c r="I345" s="57"/>
      <c r="J345" s="72" t="s">
        <v>17591</v>
      </c>
      <c r="L345" s="57"/>
      <c r="M345" s="114" t="s">
        <v>17558</v>
      </c>
      <c r="N345" s="49"/>
      <c r="O345" s="50"/>
      <c r="P345" s="299"/>
      <c r="Q345" s="45"/>
      <c r="R345" s="46"/>
      <c r="S345" s="512"/>
      <c r="T345" s="57"/>
      <c r="U345" s="512"/>
      <c r="V345" s="57"/>
      <c r="W345" s="72"/>
      <c r="Z345" s="57"/>
      <c r="AA345" s="72"/>
      <c r="AD345" s="57"/>
      <c r="AE345" s="208">
        <f>ROUND((_15_同援日１．０*_15・基礎２),0)+ROUND((ROUND((_15_同援日１．０＿１．０*_15・基礎２),0)*(1+_15・B夜間)),0)+ROUND((ROUND((_15_同援日１．０＿１．０＿１．０*_15・基礎２),0)*(1+_15・C深夜)),0)</f>
        <v>669</v>
      </c>
      <c r="AF345" s="48"/>
    </row>
    <row r="346" spans="1:32" ht="16.5" customHeight="1" x14ac:dyDescent="0.15">
      <c r="A346" s="41">
        <v>15</v>
      </c>
      <c r="B346" s="41" t="s">
        <v>23293</v>
      </c>
      <c r="C346" s="74" t="s">
        <v>23294</v>
      </c>
      <c r="D346" s="72"/>
      <c r="F346" s="57"/>
      <c r="G346" s="72"/>
      <c r="I346" s="57"/>
      <c r="J346" s="72"/>
      <c r="K346" s="168">
        <f>_15_同援日１．０＿１．０＿１．０</f>
        <v>130</v>
      </c>
      <c r="L346" s="57" t="s">
        <v>392</v>
      </c>
      <c r="M346" s="122" t="s">
        <v>17560</v>
      </c>
      <c r="N346" s="37" t="s">
        <v>398</v>
      </c>
      <c r="O346" s="38">
        <v>0.9</v>
      </c>
      <c r="P346" s="299" t="s">
        <v>17556</v>
      </c>
      <c r="Q346" s="45" t="s">
        <v>398</v>
      </c>
      <c r="R346" s="46">
        <v>1</v>
      </c>
      <c r="S346" s="512"/>
      <c r="T346" s="57"/>
      <c r="U346" s="512"/>
      <c r="V346" s="57"/>
      <c r="W346" s="122"/>
      <c r="X346" s="37"/>
      <c r="Y346" s="38"/>
      <c r="Z346" s="79"/>
      <c r="AA346" s="72"/>
      <c r="AD346" s="57"/>
      <c r="AE346" s="208">
        <f>ROUND((ROUND((_15_同援日１．０*_15・基礎２),0)*_15・２人),0)+ROUND((ROUND((ROUND((_15_同援日１．０＿１．０*_15・基礎２),0)*_15・２人),0)*(1+_15・B夜間)),0)+ROUND((ROUND((ROUND((_15_同援日１．０＿１．０＿１．０*_15・基礎２),0)*_15・２人),0)*(1+_15・C深夜)),0)</f>
        <v>669</v>
      </c>
      <c r="AF346" s="48"/>
    </row>
    <row r="347" spans="1:32" ht="16.5" customHeight="1" x14ac:dyDescent="0.15">
      <c r="A347" s="41">
        <v>15</v>
      </c>
      <c r="B347" s="41" t="s">
        <v>23295</v>
      </c>
      <c r="C347" s="74" t="s">
        <v>23296</v>
      </c>
      <c r="D347" s="72"/>
      <c r="F347" s="57"/>
      <c r="G347" s="72"/>
      <c r="I347" s="57"/>
      <c r="J347" s="72"/>
      <c r="L347" s="57"/>
      <c r="M347" s="114"/>
      <c r="N347" s="49"/>
      <c r="O347" s="50"/>
      <c r="P347" s="299"/>
      <c r="Q347" s="45"/>
      <c r="R347" s="46"/>
      <c r="S347" s="512"/>
      <c r="T347" s="57"/>
      <c r="U347" s="512"/>
      <c r="V347" s="57"/>
      <c r="W347" s="114" t="s">
        <v>17562</v>
      </c>
      <c r="X347" s="49"/>
      <c r="Y347" s="50"/>
      <c r="Z347" s="115"/>
      <c r="AA347" s="72"/>
      <c r="AD347" s="57"/>
      <c r="AE347" s="208">
        <f>ROUND((_15_同援日１．０*(1+_15・盲ろう)),0)+ROUND((ROUND((_15_同援日１．０＿１．０*(1+_15・B夜間)),0)*(1+_15・盲ろう)),0)+ROUND((ROUND((_15_同援日１．０＿１．０＿１．０*(1+_15・C深夜)),0)*(1+_15・盲ろう)),0)</f>
        <v>929</v>
      </c>
      <c r="AF347" s="48"/>
    </row>
    <row r="348" spans="1:32" ht="16.5" customHeight="1" x14ac:dyDescent="0.15">
      <c r="A348" s="41">
        <v>15</v>
      </c>
      <c r="B348" s="41" t="s">
        <v>23297</v>
      </c>
      <c r="C348" s="74" t="s">
        <v>23298</v>
      </c>
      <c r="D348" s="72"/>
      <c r="F348" s="57"/>
      <c r="G348" s="72"/>
      <c r="I348" s="57"/>
      <c r="J348" s="72"/>
      <c r="L348" s="57"/>
      <c r="M348" s="122"/>
      <c r="N348" s="37"/>
      <c r="O348" s="38"/>
      <c r="P348" s="299" t="s">
        <v>17556</v>
      </c>
      <c r="Q348" s="45" t="s">
        <v>398</v>
      </c>
      <c r="R348" s="46">
        <v>1</v>
      </c>
      <c r="S348" s="512"/>
      <c r="T348" s="57"/>
      <c r="U348" s="512"/>
      <c r="V348" s="57"/>
      <c r="W348" s="72" t="s">
        <v>17564</v>
      </c>
      <c r="Z348" s="57"/>
      <c r="AA348" s="72"/>
      <c r="AD348" s="57"/>
      <c r="AE348" s="208">
        <f>ROUND((ROUND((_15_同援日１．０*_15・２人),0)*(1+_15・盲ろう)),0)+ROUND((ROUND((ROUND((_15_同援日１．０＿１．０*_15・２人),0)*(1+_15・B夜間)),0)*(1+_15・盲ろう)),0)+ROUND((ROUND((ROUND((_15_同援日１．０＿１．０＿１．０*_15・２人),0)*(1+_15・C深夜)),0)*(1+_15・盲ろう)),0)</f>
        <v>929</v>
      </c>
      <c r="AF348" s="48"/>
    </row>
    <row r="349" spans="1:32" ht="16.5" customHeight="1" x14ac:dyDescent="0.15">
      <c r="A349" s="41">
        <v>15</v>
      </c>
      <c r="B349" s="41" t="s">
        <v>1648</v>
      </c>
      <c r="C349" s="74" t="s">
        <v>23299</v>
      </c>
      <c r="D349" s="72"/>
      <c r="F349" s="57"/>
      <c r="G349" s="72"/>
      <c r="I349" s="57"/>
      <c r="J349" s="72"/>
      <c r="L349" s="57"/>
      <c r="M349" s="114" t="s">
        <v>17558</v>
      </c>
      <c r="N349" s="49"/>
      <c r="O349" s="50"/>
      <c r="P349" s="299"/>
      <c r="Q349" s="45"/>
      <c r="R349" s="46"/>
      <c r="S349" s="512"/>
      <c r="T349" s="57"/>
      <c r="U349" s="512"/>
      <c r="V349" s="57"/>
      <c r="W349" s="72"/>
      <c r="X349" s="12" t="s">
        <v>398</v>
      </c>
      <c r="Y349" s="13">
        <v>0.25</v>
      </c>
      <c r="Z349" s="57" t="s">
        <v>3575</v>
      </c>
      <c r="AA349" s="72"/>
      <c r="AD349" s="57"/>
      <c r="AE349" s="208">
        <f>ROUND((ROUND((_15_同援日１．０*_15・基礎２),0)*(1+_15・盲ろう)),0)+ROUND((ROUND((ROUND((_15_同援日１．０＿１．０*_15・基礎２),0)*(1+_15・B夜間)),0)*(1+_15・盲ろう)),0)+ROUND((ROUND((ROUND((_15_同援日１．０＿１．０＿１．０*_15・基礎２),0)*(1+_15・C深夜)),0)*(1+_15・盲ろう)),0)</f>
        <v>837</v>
      </c>
      <c r="AF349" s="48"/>
    </row>
    <row r="350" spans="1:32" ht="16.5" customHeight="1" x14ac:dyDescent="0.15">
      <c r="A350" s="41">
        <v>15</v>
      </c>
      <c r="B350" s="41" t="s">
        <v>1650</v>
      </c>
      <c r="C350" s="74" t="s">
        <v>23300</v>
      </c>
      <c r="D350" s="72"/>
      <c r="F350" s="57"/>
      <c r="G350" s="72"/>
      <c r="I350" s="57"/>
      <c r="J350" s="72"/>
      <c r="L350" s="57"/>
      <c r="M350" s="122" t="s">
        <v>17560</v>
      </c>
      <c r="N350" s="37" t="s">
        <v>398</v>
      </c>
      <c r="O350" s="38">
        <v>0.9</v>
      </c>
      <c r="P350" s="299" t="s">
        <v>17556</v>
      </c>
      <c r="Q350" s="45" t="s">
        <v>398</v>
      </c>
      <c r="R350" s="46">
        <v>1</v>
      </c>
      <c r="S350" s="512"/>
      <c r="T350" s="57"/>
      <c r="U350" s="512"/>
      <c r="V350" s="57"/>
      <c r="W350" s="122"/>
      <c r="X350" s="37"/>
      <c r="Y350" s="38"/>
      <c r="Z350" s="79"/>
      <c r="AA350" s="122"/>
      <c r="AB350" s="37"/>
      <c r="AC350" s="38"/>
      <c r="AD350" s="79"/>
      <c r="AE350" s="208">
        <f>ROUND((ROUND((ROUND((_15_同援日１．０*_15・基礎２),0)*_15・２人),0)*(1+_15・盲ろう)),0)+ROUND((ROUND((ROUND((ROUND((_15_同援日１．０＿１．０*_15・基礎２),0)*_15・２人),0)*(1+_15・B夜間)),0)*(1+_15・盲ろう)),0)+ROUND((ROUND((ROUND((ROUND((_15_同援日１．０＿１．０＿１．０*_15・基礎２),0)*_15・２人),0)*(1+_15・C深夜)),0)*(1+_15・盲ろう)),0)</f>
        <v>837</v>
      </c>
      <c r="AF350" s="48"/>
    </row>
    <row r="351" spans="1:32" ht="16.5" customHeight="1" x14ac:dyDescent="0.15">
      <c r="A351" s="41">
        <v>15</v>
      </c>
      <c r="B351" s="41" t="s">
        <v>1652</v>
      </c>
      <c r="C351" s="74" t="s">
        <v>23301</v>
      </c>
      <c r="D351" s="72"/>
      <c r="F351" s="57"/>
      <c r="G351" s="72"/>
      <c r="I351" s="57"/>
      <c r="J351" s="72"/>
      <c r="L351" s="57"/>
      <c r="M351" s="114"/>
      <c r="N351" s="49"/>
      <c r="O351" s="50"/>
      <c r="P351" s="299"/>
      <c r="Q351" s="45"/>
      <c r="R351" s="46"/>
      <c r="S351" s="512"/>
      <c r="T351" s="57"/>
      <c r="U351" s="512"/>
      <c r="V351" s="57"/>
      <c r="W351" s="114"/>
      <c r="X351" s="49"/>
      <c r="Y351" s="50"/>
      <c r="Z351" s="115"/>
      <c r="AA351" s="114"/>
      <c r="AB351" s="49"/>
      <c r="AC351" s="50"/>
      <c r="AD351" s="115"/>
      <c r="AE351" s="208">
        <f>ROUND((_15_同援日１．０*(1+_15・区３)),0)+ROUND((ROUND((_15_同援日１．０＿１．０*(1+_15・B夜間)),0)*(1+_15・区３)),0)+ROUND((ROUND((_15_同援日１．０＿１．０＿１．０*(1+_15・C深夜)),0)*(1+_15・区３)),0)</f>
        <v>892</v>
      </c>
      <c r="AF351" s="48"/>
    </row>
    <row r="352" spans="1:32" ht="16.5" customHeight="1" x14ac:dyDescent="0.15">
      <c r="A352" s="41">
        <v>15</v>
      </c>
      <c r="B352" s="41" t="s">
        <v>1654</v>
      </c>
      <c r="C352" s="74" t="s">
        <v>23302</v>
      </c>
      <c r="D352" s="72"/>
      <c r="F352" s="57"/>
      <c r="G352" s="72"/>
      <c r="I352" s="57"/>
      <c r="J352" s="72"/>
      <c r="L352" s="57"/>
      <c r="M352" s="122"/>
      <c r="N352" s="37"/>
      <c r="O352" s="38"/>
      <c r="P352" s="299" t="s">
        <v>17556</v>
      </c>
      <c r="Q352" s="45" t="s">
        <v>398</v>
      </c>
      <c r="R352" s="46">
        <v>1</v>
      </c>
      <c r="S352" s="512"/>
      <c r="T352" s="57"/>
      <c r="U352" s="512"/>
      <c r="V352" s="57"/>
      <c r="W352" s="72"/>
      <c r="Z352" s="57"/>
      <c r="AA352" s="72"/>
      <c r="AD352" s="57"/>
      <c r="AE352" s="208">
        <f>ROUND((ROUND((_15_同援日１．０*_15・２人),0)*(1+_15・区３)),0)+ROUND((ROUND((ROUND((_15_同援日１．０＿１．０*_15・２人),0)*(1+_15・B夜間)),0)*(1+_15・区３)),0)+ROUND((ROUND((ROUND((_15_同援日１．０＿１．０＿１．０*_15・２人),0)*(1+_15・C深夜)),0)*(1+_15・区３)),0)</f>
        <v>892</v>
      </c>
      <c r="AF352" s="48"/>
    </row>
    <row r="353" spans="1:32" ht="16.5" customHeight="1" x14ac:dyDescent="0.15">
      <c r="A353" s="41">
        <v>15</v>
      </c>
      <c r="B353" s="41" t="s">
        <v>23303</v>
      </c>
      <c r="C353" s="74" t="s">
        <v>23304</v>
      </c>
      <c r="D353" s="72"/>
      <c r="F353" s="57"/>
      <c r="G353" s="72"/>
      <c r="I353" s="57"/>
      <c r="J353" s="72"/>
      <c r="L353" s="57"/>
      <c r="M353" s="114" t="s">
        <v>17558</v>
      </c>
      <c r="N353" s="49"/>
      <c r="O353" s="50"/>
      <c r="P353" s="299"/>
      <c r="Q353" s="45"/>
      <c r="R353" s="46"/>
      <c r="S353" s="512"/>
      <c r="T353" s="57"/>
      <c r="U353" s="512"/>
      <c r="V353" s="57"/>
      <c r="W353" s="72"/>
      <c r="Z353" s="57"/>
      <c r="AA353" s="72" t="s">
        <v>17570</v>
      </c>
      <c r="AD353" s="57"/>
      <c r="AE353" s="208">
        <f>ROUND((ROUND((_15_同援日１．０*_15・基礎２),0)*(1+_15・区３)),0)+ROUND((ROUND((ROUND((_15_同援日１．０＿１．０*_15・基礎２),0)*(1+_15・B夜間)),0)*(1+_15・区３)),0)+ROUND((ROUND((ROUND((_15_同援日１．０＿１．０＿１．０*_15・基礎２),0)*(1+_15・C深夜)),0)*(1+_15・区３)),0)</f>
        <v>803</v>
      </c>
      <c r="AF353" s="48"/>
    </row>
    <row r="354" spans="1:32" ht="16.5" customHeight="1" x14ac:dyDescent="0.15">
      <c r="A354" s="41">
        <v>15</v>
      </c>
      <c r="B354" s="41" t="s">
        <v>23305</v>
      </c>
      <c r="C354" s="74" t="s">
        <v>23306</v>
      </c>
      <c r="D354" s="72"/>
      <c r="F354" s="57"/>
      <c r="G354" s="72"/>
      <c r="I354" s="57"/>
      <c r="J354" s="72"/>
      <c r="L354" s="57"/>
      <c r="M354" s="122" t="s">
        <v>17560</v>
      </c>
      <c r="N354" s="37" t="s">
        <v>398</v>
      </c>
      <c r="O354" s="38">
        <v>0.9</v>
      </c>
      <c r="P354" s="299" t="s">
        <v>17556</v>
      </c>
      <c r="Q354" s="45" t="s">
        <v>398</v>
      </c>
      <c r="R354" s="46">
        <v>1</v>
      </c>
      <c r="S354" s="512"/>
      <c r="T354" s="57"/>
      <c r="U354" s="512"/>
      <c r="V354" s="57"/>
      <c r="W354" s="122"/>
      <c r="X354" s="37"/>
      <c r="Y354" s="38"/>
      <c r="Z354" s="79"/>
      <c r="AA354" s="72" t="s">
        <v>17572</v>
      </c>
      <c r="AD354" s="57"/>
      <c r="AE354" s="208">
        <f>ROUND((ROUND((ROUND((_15_同援日１．０*_15・基礎２),0)*_15・２人),0)*(1+_15・区３)),0)+ROUND((ROUND((ROUND((ROUND((_15_同援日１．０＿１．０*_15・基礎２),0)*_15・２人),0)*(1+_15・B夜間)),0)*(1+_15・区３)),0)+ROUND((ROUND((ROUND((ROUND((_15_同援日１．０＿１．０＿１．０*_15・基礎２),0)*_15・２人),0)*(1+_15・C深夜)),0)*(1+_15・区３)),0)</f>
        <v>803</v>
      </c>
      <c r="AF354" s="48"/>
    </row>
    <row r="355" spans="1:32" ht="16.5" customHeight="1" x14ac:dyDescent="0.15">
      <c r="A355" s="41">
        <v>15</v>
      </c>
      <c r="B355" s="41" t="s">
        <v>23307</v>
      </c>
      <c r="C355" s="74" t="s">
        <v>23308</v>
      </c>
      <c r="D355" s="72"/>
      <c r="F355" s="57"/>
      <c r="G355" s="72"/>
      <c r="I355" s="57"/>
      <c r="J355" s="72"/>
      <c r="L355" s="57"/>
      <c r="M355" s="114"/>
      <c r="N355" s="49"/>
      <c r="O355" s="50"/>
      <c r="P355" s="299"/>
      <c r="Q355" s="45"/>
      <c r="R355" s="46"/>
      <c r="S355" s="512"/>
      <c r="T355" s="57"/>
      <c r="U355" s="512"/>
      <c r="V355" s="57"/>
      <c r="W355" s="114" t="s">
        <v>17562</v>
      </c>
      <c r="X355" s="49"/>
      <c r="Y355" s="50"/>
      <c r="Z355" s="115"/>
      <c r="AA355" s="72"/>
      <c r="AB355" s="12" t="s">
        <v>398</v>
      </c>
      <c r="AC355" s="13">
        <v>0.2</v>
      </c>
      <c r="AD355" s="57" t="s">
        <v>3575</v>
      </c>
      <c r="AE355" s="208">
        <f>ROUND((ROUND((_15_同援日１．０*(1+_15・盲ろう)),0)*(1+_15・区３)),0)+ROUND((ROUND((ROUND((_15_同援日１．０＿１．０*(1+_15・B夜間)),0)*(1+_15・盲ろう)),0)*(1+_15・区３)),0)+ROUND((ROUND((ROUND((_15_同援日１．０＿１．０＿１．０*(1+_15・C深夜)),0)*(1+_15・盲ろう)),0)*(1+_15・区３)),0)</f>
        <v>1115</v>
      </c>
      <c r="AF355" s="48"/>
    </row>
    <row r="356" spans="1:32" ht="16.5" customHeight="1" x14ac:dyDescent="0.15">
      <c r="A356" s="41">
        <v>15</v>
      </c>
      <c r="B356" s="41" t="s">
        <v>23309</v>
      </c>
      <c r="C356" s="74" t="s">
        <v>23310</v>
      </c>
      <c r="D356" s="72"/>
      <c r="F356" s="57"/>
      <c r="G356" s="72"/>
      <c r="I356" s="57"/>
      <c r="J356" s="72"/>
      <c r="L356" s="57"/>
      <c r="M356" s="122"/>
      <c r="N356" s="37"/>
      <c r="O356" s="38"/>
      <c r="P356" s="299" t="s">
        <v>17556</v>
      </c>
      <c r="Q356" s="45" t="s">
        <v>398</v>
      </c>
      <c r="R356" s="46">
        <v>1</v>
      </c>
      <c r="S356" s="512"/>
      <c r="T356" s="57"/>
      <c r="U356" s="512"/>
      <c r="V356" s="57"/>
      <c r="W356" s="72" t="s">
        <v>17564</v>
      </c>
      <c r="Z356" s="57"/>
      <c r="AA356" s="72"/>
      <c r="AD356" s="57"/>
      <c r="AE356" s="208">
        <f>ROUND((ROUND((ROUND((_15_同援日１．０*_15・２人),0)*(1+_15・盲ろう)),0)*(1+_15・区３)),0)+ROUND((ROUND((ROUND((ROUND((_15_同援日１．０＿１．０*_15・２人),0)*(1+_15・B夜間)),0)*(1+_15・盲ろう)),0)*(1+_15・区３)),0)+ROUND((ROUND((ROUND((ROUND((_15_同援日１．０＿１．０＿１．０*_15・２人),0)*(1+_15・C深夜)),0)*(1+_15・盲ろう)),0)*(1+_15・区３)),0)</f>
        <v>1115</v>
      </c>
      <c r="AF356" s="48"/>
    </row>
    <row r="357" spans="1:32" ht="16.5" customHeight="1" x14ac:dyDescent="0.15">
      <c r="A357" s="41">
        <v>15</v>
      </c>
      <c r="B357" s="41" t="s">
        <v>23311</v>
      </c>
      <c r="C357" s="74" t="s">
        <v>23312</v>
      </c>
      <c r="D357" s="72"/>
      <c r="F357" s="57"/>
      <c r="G357" s="72"/>
      <c r="I357" s="57"/>
      <c r="J357" s="72"/>
      <c r="L357" s="57"/>
      <c r="M357" s="114" t="s">
        <v>17558</v>
      </c>
      <c r="N357" s="49"/>
      <c r="O357" s="50"/>
      <c r="P357" s="299"/>
      <c r="Q357" s="45"/>
      <c r="R357" s="46"/>
      <c r="S357" s="512"/>
      <c r="T357" s="57"/>
      <c r="U357" s="512"/>
      <c r="V357" s="57"/>
      <c r="W357" s="72"/>
      <c r="X357" s="12" t="s">
        <v>398</v>
      </c>
      <c r="Y357" s="13">
        <v>0.25</v>
      </c>
      <c r="Z357" s="57" t="s">
        <v>3575</v>
      </c>
      <c r="AA357" s="72"/>
      <c r="AD357" s="57"/>
      <c r="AE357" s="208">
        <f>ROUND((ROUND((ROUND((_15_同援日１．０*_15・基礎２),0)*(1+_15・盲ろう)),0)*(1+_15・区３)),0)+ROUND((ROUND((ROUND((ROUND((_15_同援日１．０＿１．０*_15・基礎２),0)*(1+_15・B夜間)),0)*(1+_15・盲ろう)),0)*(1+_15・区３)),0)+ROUND((ROUND((ROUND((ROUND((_15_同援日１．０＿１．０＿１．０*_15・基礎２),0)*(1+_15・C深夜)),0)*(1+_15・盲ろう)),0)*(1+_15・区３)),0)</f>
        <v>1005</v>
      </c>
      <c r="AF357" s="48"/>
    </row>
    <row r="358" spans="1:32" ht="16.5" customHeight="1" x14ac:dyDescent="0.15">
      <c r="A358" s="41">
        <v>15</v>
      </c>
      <c r="B358" s="41" t="s">
        <v>23313</v>
      </c>
      <c r="C358" s="74" t="s">
        <v>23314</v>
      </c>
      <c r="D358" s="72"/>
      <c r="F358" s="57"/>
      <c r="G358" s="72"/>
      <c r="I358" s="57"/>
      <c r="J358" s="72"/>
      <c r="L358" s="57"/>
      <c r="M358" s="122" t="s">
        <v>17560</v>
      </c>
      <c r="N358" s="37" t="s">
        <v>398</v>
      </c>
      <c r="O358" s="38">
        <v>0.9</v>
      </c>
      <c r="P358" s="299" t="s">
        <v>17556</v>
      </c>
      <c r="Q358" s="45" t="s">
        <v>398</v>
      </c>
      <c r="R358" s="46">
        <v>1</v>
      </c>
      <c r="S358" s="512"/>
      <c r="T358" s="57"/>
      <c r="U358" s="512"/>
      <c r="V358" s="57"/>
      <c r="W358" s="122"/>
      <c r="X358" s="37"/>
      <c r="Y358" s="38"/>
      <c r="Z358" s="79"/>
      <c r="AA358" s="122"/>
      <c r="AB358" s="37"/>
      <c r="AC358" s="38"/>
      <c r="AD358" s="79"/>
      <c r="AE358" s="208">
        <f>ROUND((ROUND((ROUND((ROUND((_15_同援日１．０*_15・基礎２),0)*_15・２人),0)*(1+_15・盲ろう)),0)*(1+_15・区３)),0)+ROUND((ROUND((ROUND((ROUND((ROUND((_15_同援日１．０＿１．０*_15・基礎２),0)*_15・２人),0)*(1+_15・B夜間)),0)*(1+_15・盲ろう)),0)*(1+_15・区３)),0)+ROUND((ROUND((ROUND((ROUND((ROUND((_15_同援日１．０＿１．０＿１．０*_15・基礎２),0)*_15・２人),0)*(1+_15・C深夜)),0)*(1+_15・盲ろう)),0)*(1+_15・区３)),0)</f>
        <v>1005</v>
      </c>
      <c r="AF358" s="48"/>
    </row>
    <row r="359" spans="1:32" ht="16.5" customHeight="1" x14ac:dyDescent="0.15">
      <c r="A359" s="41">
        <v>15</v>
      </c>
      <c r="B359" s="41" t="s">
        <v>23315</v>
      </c>
      <c r="C359" s="74" t="s">
        <v>23316</v>
      </c>
      <c r="D359" s="72"/>
      <c r="F359" s="57"/>
      <c r="G359" s="72"/>
      <c r="I359" s="57"/>
      <c r="J359" s="72"/>
      <c r="L359" s="57"/>
      <c r="M359" s="114"/>
      <c r="N359" s="49"/>
      <c r="O359" s="50"/>
      <c r="P359" s="299"/>
      <c r="Q359" s="45"/>
      <c r="R359" s="46"/>
      <c r="S359" s="512"/>
      <c r="T359" s="57"/>
      <c r="U359" s="512"/>
      <c r="V359" s="57"/>
      <c r="W359" s="114"/>
      <c r="X359" s="49"/>
      <c r="Y359" s="50"/>
      <c r="Z359" s="115"/>
      <c r="AA359" s="114"/>
      <c r="AB359" s="49"/>
      <c r="AC359" s="50"/>
      <c r="AD359" s="115"/>
      <c r="AE359" s="208">
        <f>ROUND((_15_同援日１．０*(1+_15・区４)),0)+ROUND((ROUND((_15_同援日１．０＿１．０*(1+_15・B夜間)),0)*(1+_15・区４)),0)+ROUND((ROUND((_15_同援日１．０＿１．０＿１．０*(1+_15・C深夜)),0)*(1+_15・区４)),0)</f>
        <v>1040</v>
      </c>
      <c r="AF359" s="48"/>
    </row>
    <row r="360" spans="1:32" ht="16.5" customHeight="1" x14ac:dyDescent="0.15">
      <c r="A360" s="41">
        <v>15</v>
      </c>
      <c r="B360" s="41" t="s">
        <v>23317</v>
      </c>
      <c r="C360" s="74" t="s">
        <v>23318</v>
      </c>
      <c r="D360" s="72"/>
      <c r="F360" s="57"/>
      <c r="G360" s="72"/>
      <c r="I360" s="57"/>
      <c r="J360" s="72"/>
      <c r="L360" s="57"/>
      <c r="M360" s="122"/>
      <c r="N360" s="37"/>
      <c r="O360" s="38"/>
      <c r="P360" s="299" t="s">
        <v>17556</v>
      </c>
      <c r="Q360" s="45" t="s">
        <v>398</v>
      </c>
      <c r="R360" s="46">
        <v>1</v>
      </c>
      <c r="S360" s="512"/>
      <c r="T360" s="57"/>
      <c r="U360" s="512"/>
      <c r="V360" s="57"/>
      <c r="W360" s="72"/>
      <c r="Z360" s="57"/>
      <c r="AA360" s="72"/>
      <c r="AD360" s="57"/>
      <c r="AE360" s="208">
        <f>ROUND((ROUND((_15_同援日１．０*_15・２人),0)*(1+_15・区４)),0)+ROUND((ROUND((ROUND((_15_同援日１．０＿１．０*_15・２人),0)*(1+_15・B夜間)),0)*(1+_15・区４)),0)+ROUND((ROUND((ROUND((_15_同援日１．０＿１．０＿１．０*_15・２人),0)*(1+_15・C深夜)),0)*(1+_15・区４)),0)</f>
        <v>1040</v>
      </c>
      <c r="AF360" s="48"/>
    </row>
    <row r="361" spans="1:32" ht="16.5" customHeight="1" x14ac:dyDescent="0.15">
      <c r="A361" s="41">
        <v>15</v>
      </c>
      <c r="B361" s="41" t="s">
        <v>23319</v>
      </c>
      <c r="C361" s="74" t="s">
        <v>23320</v>
      </c>
      <c r="D361" s="72"/>
      <c r="F361" s="57"/>
      <c r="G361" s="72"/>
      <c r="I361" s="57"/>
      <c r="J361" s="72"/>
      <c r="L361" s="57"/>
      <c r="M361" s="114" t="s">
        <v>17558</v>
      </c>
      <c r="N361" s="49"/>
      <c r="O361" s="50"/>
      <c r="P361" s="299"/>
      <c r="Q361" s="45"/>
      <c r="R361" s="46"/>
      <c r="S361" s="512"/>
      <c r="T361" s="57"/>
      <c r="U361" s="512"/>
      <c r="V361" s="57"/>
      <c r="W361" s="72"/>
      <c r="Z361" s="57"/>
      <c r="AA361" s="72" t="s">
        <v>17580</v>
      </c>
      <c r="AD361" s="57"/>
      <c r="AE361" s="208">
        <f>ROUND((ROUND((_15_同援日１．０*_15・基礎２),0)*(1+_15・区４)),0)+ROUND((ROUND((ROUND((_15_同援日１．０＿１．０*_15・基礎２),0)*(1+_15・B夜間)),0)*(1+_15・区４)),0)+ROUND((ROUND((ROUND((_15_同援日１．０＿１．０＿１．０*_15・基礎２),0)*(1+_15・C深夜)),0)*(1+_15・区４)),0)</f>
        <v>936</v>
      </c>
      <c r="AF361" s="48"/>
    </row>
    <row r="362" spans="1:32" ht="16.5" customHeight="1" x14ac:dyDescent="0.15">
      <c r="A362" s="41">
        <v>15</v>
      </c>
      <c r="B362" s="41" t="s">
        <v>23321</v>
      </c>
      <c r="C362" s="74" t="s">
        <v>23322</v>
      </c>
      <c r="D362" s="72"/>
      <c r="F362" s="57"/>
      <c r="G362" s="72"/>
      <c r="I362" s="57"/>
      <c r="J362" s="72"/>
      <c r="L362" s="57"/>
      <c r="M362" s="122" t="s">
        <v>17560</v>
      </c>
      <c r="N362" s="37" t="s">
        <v>398</v>
      </c>
      <c r="O362" s="38">
        <v>0.9</v>
      </c>
      <c r="P362" s="299" t="s">
        <v>17556</v>
      </c>
      <c r="Q362" s="45" t="s">
        <v>398</v>
      </c>
      <c r="R362" s="46">
        <v>1</v>
      </c>
      <c r="S362" s="512"/>
      <c r="T362" s="57"/>
      <c r="U362" s="512"/>
      <c r="V362" s="57"/>
      <c r="W362" s="122"/>
      <c r="X362" s="37"/>
      <c r="Y362" s="38"/>
      <c r="Z362" s="79"/>
      <c r="AA362" s="72" t="s">
        <v>17572</v>
      </c>
      <c r="AD362" s="57"/>
      <c r="AE362" s="208">
        <f>ROUND((ROUND((ROUND((_15_同援日１．０*_15・基礎２),0)*_15・２人),0)*(1+_15・区４)),0)+ROUND((ROUND((ROUND((ROUND((_15_同援日１．０＿１．０*_15・基礎２),0)*_15・２人),0)*(1+_15・B夜間)),0)*(1+_15・区４)),0)+ROUND((ROUND((ROUND((ROUND((_15_同援日１．０＿１．０＿１．０*_15・基礎２),0)*_15・２人),0)*(1+_15・C深夜)),0)*(1+_15・区４)),0)</f>
        <v>936</v>
      </c>
      <c r="AF362" s="48"/>
    </row>
    <row r="363" spans="1:32" ht="16.5" customHeight="1" x14ac:dyDescent="0.15">
      <c r="A363" s="41">
        <v>15</v>
      </c>
      <c r="B363" s="41" t="s">
        <v>23323</v>
      </c>
      <c r="C363" s="74" t="s">
        <v>23324</v>
      </c>
      <c r="D363" s="72"/>
      <c r="F363" s="57"/>
      <c r="G363" s="72"/>
      <c r="I363" s="57"/>
      <c r="J363" s="72"/>
      <c r="L363" s="57"/>
      <c r="M363" s="114"/>
      <c r="N363" s="49"/>
      <c r="O363" s="50"/>
      <c r="P363" s="299"/>
      <c r="Q363" s="45"/>
      <c r="R363" s="46"/>
      <c r="S363" s="512"/>
      <c r="T363" s="57"/>
      <c r="U363" s="512"/>
      <c r="V363" s="57"/>
      <c r="W363" s="114" t="s">
        <v>17562</v>
      </c>
      <c r="X363" s="49"/>
      <c r="Y363" s="50"/>
      <c r="Z363" s="115"/>
      <c r="AA363" s="72"/>
      <c r="AB363" s="12" t="s">
        <v>398</v>
      </c>
      <c r="AC363" s="13">
        <v>0.4</v>
      </c>
      <c r="AD363" s="57" t="s">
        <v>3575</v>
      </c>
      <c r="AE363" s="208">
        <f>ROUND((ROUND((_15_同援日１．０*(1+_15・盲ろう)),0)*(1+_15・区４)),0)+ROUND((ROUND((ROUND((_15_同援日１．０＿１．０*(1+_15・B夜間)),0)*(1+_15・盲ろう)),0)*(1+_15・区４)),0)+ROUND((ROUND((ROUND((_15_同援日１．０＿１．０＿１．０*(1+_15・C深夜)),0)*(1+_15・盲ろう)),0)*(1+_15・区４)),0)</f>
        <v>1301</v>
      </c>
      <c r="AF363" s="48"/>
    </row>
    <row r="364" spans="1:32" ht="16.5" customHeight="1" x14ac:dyDescent="0.15">
      <c r="A364" s="41">
        <v>15</v>
      </c>
      <c r="B364" s="41" t="s">
        <v>23325</v>
      </c>
      <c r="C364" s="74" t="s">
        <v>23326</v>
      </c>
      <c r="D364" s="72"/>
      <c r="F364" s="57"/>
      <c r="G364" s="72"/>
      <c r="I364" s="57"/>
      <c r="J364" s="72"/>
      <c r="L364" s="57"/>
      <c r="M364" s="122"/>
      <c r="N364" s="37"/>
      <c r="O364" s="38"/>
      <c r="P364" s="299" t="s">
        <v>17556</v>
      </c>
      <c r="Q364" s="45" t="s">
        <v>398</v>
      </c>
      <c r="R364" s="46">
        <v>1</v>
      </c>
      <c r="S364" s="512"/>
      <c r="T364" s="57"/>
      <c r="U364" s="512"/>
      <c r="V364" s="57"/>
      <c r="W364" s="72" t="s">
        <v>17564</v>
      </c>
      <c r="Z364" s="57"/>
      <c r="AA364" s="72"/>
      <c r="AD364" s="57"/>
      <c r="AE364" s="208">
        <f>ROUND((ROUND((ROUND((_15_同援日１．０*_15・２人),0)*(1+_15・盲ろう)),0)*(1+_15・区４)),0)+ROUND((ROUND((ROUND((ROUND((_15_同援日１．０＿１．０*_15・２人),0)*(1+_15・B夜間)),0)*(1+_15・盲ろう)),0)*(1+_15・区４)),0)+ROUND((ROUND((ROUND((ROUND((_15_同援日１．０＿１．０＿１．０*_15・２人),0)*(1+_15・C深夜)),0)*(1+_15・盲ろう)),0)*(1+_15・区４)),0)</f>
        <v>1301</v>
      </c>
      <c r="AF364" s="48"/>
    </row>
    <row r="365" spans="1:32" ht="16.5" customHeight="1" x14ac:dyDescent="0.15">
      <c r="A365" s="41">
        <v>15</v>
      </c>
      <c r="B365" s="41" t="s">
        <v>23327</v>
      </c>
      <c r="C365" s="74" t="s">
        <v>23328</v>
      </c>
      <c r="D365" s="72"/>
      <c r="F365" s="57"/>
      <c r="G365" s="72"/>
      <c r="I365" s="57"/>
      <c r="J365" s="72"/>
      <c r="L365" s="57"/>
      <c r="M365" s="114" t="s">
        <v>17558</v>
      </c>
      <c r="N365" s="49"/>
      <c r="O365" s="50"/>
      <c r="P365" s="299"/>
      <c r="Q365" s="45"/>
      <c r="R365" s="46"/>
      <c r="S365" s="512"/>
      <c r="T365" s="57"/>
      <c r="U365" s="512"/>
      <c r="V365" s="57"/>
      <c r="W365" s="72"/>
      <c r="X365" s="12" t="s">
        <v>398</v>
      </c>
      <c r="Y365" s="13">
        <v>0.25</v>
      </c>
      <c r="Z365" s="57" t="s">
        <v>3575</v>
      </c>
      <c r="AA365" s="72"/>
      <c r="AD365" s="57"/>
      <c r="AE365" s="208">
        <f>ROUND((ROUND((ROUND((_15_同援日１．０*_15・基礎２),0)*(1+_15・盲ろう)),0)*(1+_15・区４)),0)+ROUND((ROUND((ROUND((ROUND((_15_同援日１．０＿１．０*_15・基礎２),0)*(1+_15・B夜間)),0)*(1+_15・盲ろう)),0)*(1+_15・区４)),0)+ROUND((ROUND((ROUND((ROUND((_15_同援日１．０＿１．０＿１．０*_15・基礎２),0)*(1+_15・C深夜)),0)*(1+_15・盲ろう)),0)*(1+_15・区４)),0)</f>
        <v>1172</v>
      </c>
      <c r="AF365" s="48"/>
    </row>
    <row r="366" spans="1:32" ht="16.5" customHeight="1" x14ac:dyDescent="0.15">
      <c r="A366" s="41">
        <v>15</v>
      </c>
      <c r="B366" s="41" t="s">
        <v>23329</v>
      </c>
      <c r="C366" s="74" t="s">
        <v>23330</v>
      </c>
      <c r="D366" s="72"/>
      <c r="F366" s="57"/>
      <c r="G366" s="122"/>
      <c r="H366" s="37"/>
      <c r="I366" s="79"/>
      <c r="J366" s="122"/>
      <c r="K366" s="37"/>
      <c r="L366" s="79"/>
      <c r="M366" s="122" t="s">
        <v>17560</v>
      </c>
      <c r="N366" s="37" t="s">
        <v>398</v>
      </c>
      <c r="O366" s="38">
        <v>0.9</v>
      </c>
      <c r="P366" s="299" t="s">
        <v>17556</v>
      </c>
      <c r="Q366" s="45" t="s">
        <v>398</v>
      </c>
      <c r="R366" s="46">
        <v>1</v>
      </c>
      <c r="S366" s="512"/>
      <c r="T366" s="57"/>
      <c r="U366" s="512"/>
      <c r="V366" s="57"/>
      <c r="W366" s="122"/>
      <c r="X366" s="37"/>
      <c r="Y366" s="38"/>
      <c r="Z366" s="79"/>
      <c r="AA366" s="122"/>
      <c r="AB366" s="37"/>
      <c r="AC366" s="38"/>
      <c r="AD366" s="79"/>
      <c r="AE366" s="208">
        <f>ROUND((ROUND((ROUND((ROUND((_15_同援日１．０*_15・基礎２),0)*_15・２人),0)*(1+_15・盲ろう)),0)*(1+_15・区４)),0)+ROUND((ROUND((ROUND((ROUND((ROUND((_15_同援日１．０＿１．０*_15・基礎２),0)*_15・２人),0)*(1+_15・B夜間)),0)*(1+_15・盲ろう)),0)*(1+_15・区４)),0)+ROUND((ROUND((ROUND((ROUND((ROUND((_15_同援日１．０＿１．０＿１．０*_15・基礎２),0)*_15・２人),0)*(1+_15・C深夜)),0)*(1+_15・盲ろう)),0)*(1+_15・区４)),0)</f>
        <v>1172</v>
      </c>
      <c r="AF366" s="48"/>
    </row>
    <row r="367" spans="1:32" ht="16.5" customHeight="1" x14ac:dyDescent="0.15">
      <c r="A367" s="41">
        <v>15</v>
      </c>
      <c r="B367" s="41" t="s">
        <v>23331</v>
      </c>
      <c r="C367" s="74" t="s">
        <v>23332</v>
      </c>
      <c r="D367" s="72"/>
      <c r="F367" s="57"/>
      <c r="G367" s="114" t="s">
        <v>19603</v>
      </c>
      <c r="H367" s="49"/>
      <c r="I367" s="115"/>
      <c r="J367" s="114" t="s">
        <v>22681</v>
      </c>
      <c r="K367" s="49"/>
      <c r="L367" s="115"/>
      <c r="M367" s="114"/>
      <c r="N367" s="49"/>
      <c r="O367" s="50"/>
      <c r="P367" s="299"/>
      <c r="Q367" s="45"/>
      <c r="R367" s="46"/>
      <c r="S367" s="512"/>
      <c r="T367" s="57"/>
      <c r="U367" s="512"/>
      <c r="V367" s="57"/>
      <c r="W367" s="114"/>
      <c r="X367" s="49"/>
      <c r="Y367" s="50"/>
      <c r="Z367" s="115"/>
      <c r="AA367" s="114"/>
      <c r="AB367" s="49"/>
      <c r="AC367" s="50"/>
      <c r="AD367" s="115"/>
      <c r="AE367" s="208">
        <f>_15_同援日１．０+ROUND((_15_同援日１．０＿１．５*(1+_15・B夜間)),0)+ROUND((_15_同援日１．０＿１．５＿０．５*(1+_15・C深夜)),0)</f>
        <v>727</v>
      </c>
      <c r="AF367" s="48"/>
    </row>
    <row r="368" spans="1:32" ht="16.5" customHeight="1" x14ac:dyDescent="0.15">
      <c r="A368" s="41">
        <v>15</v>
      </c>
      <c r="B368" s="41" t="s">
        <v>23333</v>
      </c>
      <c r="C368" s="74" t="s">
        <v>23334</v>
      </c>
      <c r="D368" s="72"/>
      <c r="F368" s="57"/>
      <c r="G368" s="72" t="s">
        <v>17616</v>
      </c>
      <c r="I368" s="57"/>
      <c r="J368" s="72" t="s">
        <v>18259</v>
      </c>
      <c r="L368" s="57"/>
      <c r="M368" s="122"/>
      <c r="N368" s="37"/>
      <c r="O368" s="38"/>
      <c r="P368" s="299" t="s">
        <v>17556</v>
      </c>
      <c r="Q368" s="45" t="s">
        <v>398</v>
      </c>
      <c r="R368" s="46">
        <v>1</v>
      </c>
      <c r="S368" s="512"/>
      <c r="T368" s="57"/>
      <c r="U368" s="512"/>
      <c r="V368" s="57"/>
      <c r="W368" s="72"/>
      <c r="Z368" s="57"/>
      <c r="AA368" s="72"/>
      <c r="AD368" s="57"/>
      <c r="AE368" s="208">
        <f>ROUND((_15_同援日１．０*_15・２人),0)+ROUND((ROUND((_15_同援日１．０＿１．５*_15・２人),0)*(1+_15・B夜間)),0)+ROUND((ROUND((_15_同援日１．０＿１．５＿０．５*_15・２人),0)*(1+_15・C深夜)),0)</f>
        <v>727</v>
      </c>
      <c r="AF368" s="48"/>
    </row>
    <row r="369" spans="1:32" ht="16.5" customHeight="1" x14ac:dyDescent="0.15">
      <c r="A369" s="41">
        <v>15</v>
      </c>
      <c r="B369" s="41" t="s">
        <v>1661</v>
      </c>
      <c r="C369" s="74" t="s">
        <v>23335</v>
      </c>
      <c r="D369" s="72"/>
      <c r="F369" s="57"/>
      <c r="G369" s="72" t="s">
        <v>18183</v>
      </c>
      <c r="I369" s="57"/>
      <c r="J369" s="72"/>
      <c r="L369" s="57"/>
      <c r="M369" s="114" t="s">
        <v>17558</v>
      </c>
      <c r="N369" s="49"/>
      <c r="O369" s="50"/>
      <c r="P369" s="299"/>
      <c r="Q369" s="45"/>
      <c r="R369" s="46"/>
      <c r="S369" s="512"/>
      <c r="T369" s="57"/>
      <c r="U369" s="512"/>
      <c r="V369" s="57"/>
      <c r="W369" s="72"/>
      <c r="Z369" s="57"/>
      <c r="AA369" s="72"/>
      <c r="AD369" s="57"/>
      <c r="AE369" s="208">
        <f>ROUND((_15_同援日１．０*_15・基礎２),0)+ROUND((ROUND((_15_同援日１．０＿１．５*_15・基礎２),0)*(1+_15・B夜間)),0)+ROUND((ROUND((_15_同援日１．０＿１．５＿０．５*_15・基礎２),0)*(1+_15・C深夜)),0)</f>
        <v>655</v>
      </c>
      <c r="AF369" s="48"/>
    </row>
    <row r="370" spans="1:32" ht="16.5" customHeight="1" x14ac:dyDescent="0.15">
      <c r="A370" s="41">
        <v>15</v>
      </c>
      <c r="B370" s="41" t="s">
        <v>1663</v>
      </c>
      <c r="C370" s="74" t="s">
        <v>23336</v>
      </c>
      <c r="D370" s="72"/>
      <c r="F370" s="57"/>
      <c r="G370" s="72"/>
      <c r="H370" s="168">
        <f>_15_同援日１．０＿１．５</f>
        <v>263</v>
      </c>
      <c r="I370" s="57" t="s">
        <v>392</v>
      </c>
      <c r="J370" s="72"/>
      <c r="K370" s="168">
        <f>_15_同援日１．０＿１．５＿０．５</f>
        <v>65</v>
      </c>
      <c r="L370" s="57" t="s">
        <v>392</v>
      </c>
      <c r="M370" s="122" t="s">
        <v>17560</v>
      </c>
      <c r="N370" s="37" t="s">
        <v>398</v>
      </c>
      <c r="O370" s="38">
        <v>0.9</v>
      </c>
      <c r="P370" s="299" t="s">
        <v>17556</v>
      </c>
      <c r="Q370" s="45" t="s">
        <v>398</v>
      </c>
      <c r="R370" s="46">
        <v>1</v>
      </c>
      <c r="S370" s="512"/>
      <c r="T370" s="57"/>
      <c r="U370" s="512"/>
      <c r="V370" s="57"/>
      <c r="W370" s="122"/>
      <c r="X370" s="37"/>
      <c r="Y370" s="38"/>
      <c r="Z370" s="79"/>
      <c r="AA370" s="72"/>
      <c r="AD370" s="57"/>
      <c r="AE370" s="208">
        <f>ROUND((ROUND((_15_同援日１．０*_15・基礎２),0)*_15・２人),0)+ROUND((ROUND((ROUND((_15_同援日１．０＿１．５*_15・基礎２),0)*_15・２人),0)*(1+_15・B夜間)),0)+ROUND((ROUND((ROUND((_15_同援日１．０＿１．５＿０．５*_15・基礎２),0)*_15・２人),0)*(1+_15・C深夜)),0)</f>
        <v>655</v>
      </c>
      <c r="AF370" s="48"/>
    </row>
    <row r="371" spans="1:32" ht="16.5" customHeight="1" x14ac:dyDescent="0.15">
      <c r="A371" s="41">
        <v>15</v>
      </c>
      <c r="B371" s="41" t="s">
        <v>1665</v>
      </c>
      <c r="C371" s="74" t="s">
        <v>23337</v>
      </c>
      <c r="D371" s="72"/>
      <c r="F371" s="57"/>
      <c r="G371" s="72"/>
      <c r="I371" s="57"/>
      <c r="J371" s="72"/>
      <c r="L371" s="57"/>
      <c r="M371" s="114"/>
      <c r="N371" s="49"/>
      <c r="O371" s="50"/>
      <c r="P371" s="299"/>
      <c r="Q371" s="45"/>
      <c r="R371" s="46"/>
      <c r="S371" s="512"/>
      <c r="T371" s="57"/>
      <c r="U371" s="512"/>
      <c r="V371" s="57"/>
      <c r="W371" s="114" t="s">
        <v>17562</v>
      </c>
      <c r="X371" s="49"/>
      <c r="Y371" s="50"/>
      <c r="Z371" s="115"/>
      <c r="AA371" s="72"/>
      <c r="AD371" s="57"/>
      <c r="AE371" s="208">
        <f>ROUND((_15_同援日１．０*(1+_15・盲ろう)),0)+ROUND((ROUND((_15_同援日１．０＿１．５*(1+_15・B夜間)),0)*(1+_15・盲ろう)),0)+ROUND((ROUND((_15_同援日１．０＿１．５＿０．５*(1+_15・C深夜)),0)*(1+_15・盲ろう)),0)</f>
        <v>909</v>
      </c>
      <c r="AF371" s="48"/>
    </row>
    <row r="372" spans="1:32" ht="16.5" customHeight="1" x14ac:dyDescent="0.15">
      <c r="A372" s="41">
        <v>15</v>
      </c>
      <c r="B372" s="41" t="s">
        <v>1667</v>
      </c>
      <c r="C372" s="74" t="s">
        <v>23338</v>
      </c>
      <c r="D372" s="72"/>
      <c r="F372" s="57"/>
      <c r="G372" s="72"/>
      <c r="I372" s="57"/>
      <c r="J372" s="72"/>
      <c r="L372" s="57"/>
      <c r="M372" s="122"/>
      <c r="N372" s="37"/>
      <c r="O372" s="38"/>
      <c r="P372" s="299" t="s">
        <v>17556</v>
      </c>
      <c r="Q372" s="45" t="s">
        <v>398</v>
      </c>
      <c r="R372" s="46">
        <v>1</v>
      </c>
      <c r="S372" s="512"/>
      <c r="T372" s="57"/>
      <c r="U372" s="512"/>
      <c r="V372" s="57"/>
      <c r="W372" s="72" t="s">
        <v>17564</v>
      </c>
      <c r="Z372" s="57"/>
      <c r="AA372" s="72"/>
      <c r="AD372" s="57"/>
      <c r="AE372" s="208">
        <f>ROUND((ROUND((_15_同援日１．０*_15・２人),0)*(1+_15・盲ろう)),0)+ROUND((ROUND((ROUND((_15_同援日１．０＿１．５*_15・２人),0)*(1+_15・B夜間)),0)*(1+_15・盲ろう)),0)+ROUND((ROUND((ROUND((_15_同援日１．０＿１．５＿０．５*_15・２人),0)*(1+_15・C深夜)),0)*(1+_15・盲ろう)),0)</f>
        <v>909</v>
      </c>
      <c r="AF372" s="48"/>
    </row>
    <row r="373" spans="1:32" ht="16.5" customHeight="1" x14ac:dyDescent="0.15">
      <c r="A373" s="41">
        <v>15</v>
      </c>
      <c r="B373" s="41" t="s">
        <v>23339</v>
      </c>
      <c r="C373" s="74" t="s">
        <v>23340</v>
      </c>
      <c r="D373" s="72"/>
      <c r="F373" s="57"/>
      <c r="G373" s="72"/>
      <c r="I373" s="57"/>
      <c r="J373" s="72"/>
      <c r="L373" s="57"/>
      <c r="M373" s="114" t="s">
        <v>17558</v>
      </c>
      <c r="N373" s="49"/>
      <c r="O373" s="50"/>
      <c r="P373" s="299"/>
      <c r="Q373" s="45"/>
      <c r="R373" s="46"/>
      <c r="S373" s="512"/>
      <c r="T373" s="57"/>
      <c r="U373" s="512"/>
      <c r="V373" s="57"/>
      <c r="W373" s="72"/>
      <c r="X373" s="12" t="s">
        <v>398</v>
      </c>
      <c r="Y373" s="13">
        <v>0.25</v>
      </c>
      <c r="Z373" s="57" t="s">
        <v>3575</v>
      </c>
      <c r="AA373" s="72"/>
      <c r="AD373" s="57"/>
      <c r="AE373" s="208">
        <f>ROUND((ROUND((_15_同援日１．０*_15・基礎２),0)*(1+_15・盲ろう)),0)+ROUND((ROUND((ROUND((_15_同援日１．０＿１．５*_15・基礎２),0)*(1+_15・B夜間)),0)*(1+_15・盲ろう)),0)+ROUND((ROUND((ROUND((_15_同援日１．０＿１．５＿０．５*_15・基礎２),0)*(1+_15・C深夜)),0)*(1+_15・盲ろう)),0)</f>
        <v>819</v>
      </c>
      <c r="AF373" s="48"/>
    </row>
    <row r="374" spans="1:32" ht="16.5" customHeight="1" x14ac:dyDescent="0.15">
      <c r="A374" s="41">
        <v>15</v>
      </c>
      <c r="B374" s="41" t="s">
        <v>23341</v>
      </c>
      <c r="C374" s="74" t="s">
        <v>23342</v>
      </c>
      <c r="D374" s="72"/>
      <c r="F374" s="57"/>
      <c r="G374" s="72"/>
      <c r="I374" s="57"/>
      <c r="J374" s="72"/>
      <c r="L374" s="57"/>
      <c r="M374" s="122" t="s">
        <v>17560</v>
      </c>
      <c r="N374" s="37" t="s">
        <v>398</v>
      </c>
      <c r="O374" s="38">
        <v>0.9</v>
      </c>
      <c r="P374" s="299" t="s">
        <v>17556</v>
      </c>
      <c r="Q374" s="45" t="s">
        <v>398</v>
      </c>
      <c r="R374" s="46">
        <v>1</v>
      </c>
      <c r="S374" s="512"/>
      <c r="T374" s="57"/>
      <c r="U374" s="512"/>
      <c r="V374" s="57"/>
      <c r="W374" s="122"/>
      <c r="X374" s="37"/>
      <c r="Y374" s="38"/>
      <c r="Z374" s="79"/>
      <c r="AA374" s="122"/>
      <c r="AB374" s="37"/>
      <c r="AC374" s="38"/>
      <c r="AD374" s="79"/>
      <c r="AE374" s="208">
        <f>ROUND((ROUND((ROUND((_15_同援日１．０*_15・基礎２),0)*_15・２人),0)*(1+_15・盲ろう)),0)+ROUND((ROUND((ROUND((ROUND((_15_同援日１．０＿１．５*_15・基礎２),0)*_15・２人),0)*(1+_15・B夜間)),0)*(1+_15・盲ろう)),0)+ROUND((ROUND((ROUND((ROUND((_15_同援日１．０＿１．５＿０．５*_15・基礎２),0)*_15・２人),0)*(1+_15・C深夜)),0)*(1+_15・盲ろう)),0)</f>
        <v>819</v>
      </c>
      <c r="AF374" s="48"/>
    </row>
    <row r="375" spans="1:32" ht="16.5" customHeight="1" x14ac:dyDescent="0.15">
      <c r="A375" s="41">
        <v>15</v>
      </c>
      <c r="B375" s="41" t="s">
        <v>23343</v>
      </c>
      <c r="C375" s="74" t="s">
        <v>23344</v>
      </c>
      <c r="D375" s="72"/>
      <c r="F375" s="57"/>
      <c r="G375" s="72"/>
      <c r="I375" s="57"/>
      <c r="J375" s="72"/>
      <c r="L375" s="57"/>
      <c r="M375" s="114"/>
      <c r="N375" s="49"/>
      <c r="O375" s="50"/>
      <c r="P375" s="299"/>
      <c r="Q375" s="45"/>
      <c r="R375" s="46"/>
      <c r="S375" s="512"/>
      <c r="T375" s="57"/>
      <c r="U375" s="512"/>
      <c r="V375" s="57"/>
      <c r="W375" s="114"/>
      <c r="X375" s="49"/>
      <c r="Y375" s="50"/>
      <c r="Z375" s="115"/>
      <c r="AA375" s="114"/>
      <c r="AB375" s="49"/>
      <c r="AC375" s="50"/>
      <c r="AD375" s="115"/>
      <c r="AE375" s="208">
        <f>ROUND((_15_同援日１．０*(1+_15・区３)),0)+ROUND((ROUND((_15_同援日１．０＿１．５*(1+_15・B夜間)),0)*(1+_15・区３)),0)+ROUND((ROUND((_15_同援日１．０＿１．５＿０．５*(1+_15・C深夜)),0)*(1+_15・区３)),0)</f>
        <v>873</v>
      </c>
      <c r="AF375" s="48"/>
    </row>
    <row r="376" spans="1:32" ht="16.5" customHeight="1" x14ac:dyDescent="0.15">
      <c r="A376" s="41">
        <v>15</v>
      </c>
      <c r="B376" s="41" t="s">
        <v>23345</v>
      </c>
      <c r="C376" s="74" t="s">
        <v>23346</v>
      </c>
      <c r="D376" s="72"/>
      <c r="F376" s="57"/>
      <c r="G376" s="72"/>
      <c r="I376" s="57"/>
      <c r="J376" s="72"/>
      <c r="L376" s="57"/>
      <c r="M376" s="122"/>
      <c r="N376" s="37"/>
      <c r="O376" s="38"/>
      <c r="P376" s="299" t="s">
        <v>17556</v>
      </c>
      <c r="Q376" s="45" t="s">
        <v>398</v>
      </c>
      <c r="R376" s="46">
        <v>1</v>
      </c>
      <c r="S376" s="512"/>
      <c r="T376" s="57"/>
      <c r="U376" s="512"/>
      <c r="V376" s="57"/>
      <c r="W376" s="72"/>
      <c r="Z376" s="57"/>
      <c r="AA376" s="72"/>
      <c r="AD376" s="57"/>
      <c r="AE376" s="208">
        <f>ROUND((ROUND((_15_同援日１．０*_15・２人),0)*(1+_15・区３)),0)+ROUND((ROUND((ROUND((_15_同援日１．０＿１．５*_15・２人),0)*(1+_15・B夜間)),0)*(1+_15・区３)),0)+ROUND((ROUND((ROUND((_15_同援日１．０＿１．５＿０．５*_15・２人),0)*(1+_15・C深夜)),0)*(1+_15・区３)),0)</f>
        <v>873</v>
      </c>
      <c r="AF376" s="48"/>
    </row>
    <row r="377" spans="1:32" ht="16.5" customHeight="1" x14ac:dyDescent="0.15">
      <c r="A377" s="41">
        <v>15</v>
      </c>
      <c r="B377" s="41" t="s">
        <v>23347</v>
      </c>
      <c r="C377" s="74" t="s">
        <v>23348</v>
      </c>
      <c r="D377" s="72"/>
      <c r="F377" s="57"/>
      <c r="G377" s="72"/>
      <c r="I377" s="57"/>
      <c r="J377" s="72"/>
      <c r="L377" s="57"/>
      <c r="M377" s="114" t="s">
        <v>17558</v>
      </c>
      <c r="N377" s="49"/>
      <c r="O377" s="50"/>
      <c r="P377" s="299"/>
      <c r="Q377" s="45"/>
      <c r="R377" s="46"/>
      <c r="S377" s="512"/>
      <c r="T377" s="57"/>
      <c r="U377" s="512"/>
      <c r="V377" s="57"/>
      <c r="W377" s="72"/>
      <c r="Z377" s="57"/>
      <c r="AA377" s="72" t="s">
        <v>17570</v>
      </c>
      <c r="AD377" s="57"/>
      <c r="AE377" s="208">
        <f>ROUND((ROUND((_15_同援日１．０*_15・基礎２),0)*(1+_15・区３)),0)+ROUND((ROUND((ROUND((_15_同援日１．０＿１．５*_15・基礎２),0)*(1+_15・B夜間)),0)*(1+_15・区３)),0)+ROUND((ROUND((ROUND((_15_同援日１．０＿１．５＿０．５*_15・基礎２),0)*(1+_15・C深夜)),0)*(1+_15・区３)),0)</f>
        <v>786</v>
      </c>
      <c r="AF377" s="48"/>
    </row>
    <row r="378" spans="1:32" ht="16.5" customHeight="1" x14ac:dyDescent="0.15">
      <c r="A378" s="41">
        <v>15</v>
      </c>
      <c r="B378" s="41" t="s">
        <v>23349</v>
      </c>
      <c r="C378" s="74" t="s">
        <v>23350</v>
      </c>
      <c r="D378" s="72"/>
      <c r="F378" s="57"/>
      <c r="G378" s="72"/>
      <c r="I378" s="57"/>
      <c r="J378" s="72"/>
      <c r="L378" s="57"/>
      <c r="M378" s="122" t="s">
        <v>17560</v>
      </c>
      <c r="N378" s="37" t="s">
        <v>398</v>
      </c>
      <c r="O378" s="38">
        <v>0.9</v>
      </c>
      <c r="P378" s="299" t="s">
        <v>17556</v>
      </c>
      <c r="Q378" s="45" t="s">
        <v>398</v>
      </c>
      <c r="R378" s="46">
        <v>1</v>
      </c>
      <c r="S378" s="512"/>
      <c r="T378" s="57"/>
      <c r="U378" s="512"/>
      <c r="V378" s="57"/>
      <c r="W378" s="122"/>
      <c r="X378" s="37"/>
      <c r="Y378" s="38"/>
      <c r="Z378" s="79"/>
      <c r="AA378" s="72" t="s">
        <v>17572</v>
      </c>
      <c r="AD378" s="57"/>
      <c r="AE378" s="208">
        <f>ROUND((ROUND((ROUND((_15_同援日１．０*_15・基礎２),0)*_15・２人),0)*(1+_15・区３)),0)+ROUND((ROUND((ROUND((ROUND((_15_同援日１．０＿１．５*_15・基礎２),0)*_15・２人),0)*(1+_15・B夜間)),0)*(1+_15・区３)),0)+ROUND((ROUND((ROUND((ROUND((_15_同援日１．０＿１．５＿０．５*_15・基礎２),0)*_15・２人),0)*(1+_15・C深夜)),0)*(1+_15・区３)),0)</f>
        <v>786</v>
      </c>
      <c r="AF378" s="48"/>
    </row>
    <row r="379" spans="1:32" ht="16.5" customHeight="1" x14ac:dyDescent="0.15">
      <c r="A379" s="41">
        <v>15</v>
      </c>
      <c r="B379" s="41" t="s">
        <v>23351</v>
      </c>
      <c r="C379" s="74" t="s">
        <v>23352</v>
      </c>
      <c r="D379" s="72"/>
      <c r="F379" s="57"/>
      <c r="G379" s="72"/>
      <c r="I379" s="57"/>
      <c r="J379" s="72"/>
      <c r="L379" s="57"/>
      <c r="M379" s="114"/>
      <c r="N379" s="49"/>
      <c r="O379" s="50"/>
      <c r="P379" s="299"/>
      <c r="Q379" s="45"/>
      <c r="R379" s="46"/>
      <c r="S379" s="512"/>
      <c r="T379" s="57"/>
      <c r="U379" s="512"/>
      <c r="V379" s="57"/>
      <c r="W379" s="114" t="s">
        <v>17562</v>
      </c>
      <c r="X379" s="49"/>
      <c r="Y379" s="50"/>
      <c r="Z379" s="115"/>
      <c r="AA379" s="72"/>
      <c r="AB379" s="12" t="s">
        <v>398</v>
      </c>
      <c r="AC379" s="13">
        <v>0.2</v>
      </c>
      <c r="AD379" s="57" t="s">
        <v>3575</v>
      </c>
      <c r="AE379" s="208">
        <f>ROUND((ROUND((_15_同援日１．０*(1+_15・盲ろう)),0)*(1+_15・区３)),0)+ROUND((ROUND((ROUND((_15_同援日１．０＿１．５*(1+_15・B夜間)),0)*(1+_15・盲ろう)),0)*(1+_15・区３)),0)+ROUND((ROUND((ROUND((_15_同援日１．０＿１．５＿０．５*(1+_15・C深夜)),0)*(1+_15・盲ろう)),0)*(1+_15・区３)),0)</f>
        <v>1091</v>
      </c>
      <c r="AF379" s="48"/>
    </row>
    <row r="380" spans="1:32" ht="16.5" customHeight="1" x14ac:dyDescent="0.15">
      <c r="A380" s="41">
        <v>15</v>
      </c>
      <c r="B380" s="41" t="s">
        <v>23353</v>
      </c>
      <c r="C380" s="74" t="s">
        <v>23354</v>
      </c>
      <c r="D380" s="72"/>
      <c r="F380" s="57"/>
      <c r="G380" s="72"/>
      <c r="I380" s="57"/>
      <c r="J380" s="72"/>
      <c r="L380" s="57"/>
      <c r="M380" s="122"/>
      <c r="N380" s="37"/>
      <c r="O380" s="38"/>
      <c r="P380" s="299" t="s">
        <v>17556</v>
      </c>
      <c r="Q380" s="45" t="s">
        <v>398</v>
      </c>
      <c r="R380" s="46">
        <v>1</v>
      </c>
      <c r="S380" s="512"/>
      <c r="T380" s="57"/>
      <c r="U380" s="512"/>
      <c r="V380" s="57"/>
      <c r="W380" s="72" t="s">
        <v>17564</v>
      </c>
      <c r="Z380" s="57"/>
      <c r="AA380" s="72"/>
      <c r="AD380" s="57"/>
      <c r="AE380" s="208">
        <f>ROUND((ROUND((ROUND((_15_同援日１．０*_15・２人),0)*(1+_15・盲ろう)),0)*(1+_15・区３)),0)+ROUND((ROUND((ROUND((ROUND((_15_同援日１．０＿１．５*_15・２人),0)*(1+_15・B夜間)),0)*(1+_15・盲ろう)),0)*(1+_15・区３)),0)+ROUND((ROUND((ROUND((ROUND((_15_同援日１．０＿１．５＿０．５*_15・２人),0)*(1+_15・C深夜)),0)*(1+_15・盲ろう)),0)*(1+_15・区３)),0)</f>
        <v>1091</v>
      </c>
      <c r="AF380" s="48"/>
    </row>
    <row r="381" spans="1:32" ht="16.5" customHeight="1" x14ac:dyDescent="0.15">
      <c r="A381" s="41">
        <v>15</v>
      </c>
      <c r="B381" s="41" t="s">
        <v>23355</v>
      </c>
      <c r="C381" s="74" t="s">
        <v>23356</v>
      </c>
      <c r="D381" s="72"/>
      <c r="F381" s="57"/>
      <c r="G381" s="72"/>
      <c r="I381" s="57"/>
      <c r="J381" s="72"/>
      <c r="L381" s="57"/>
      <c r="M381" s="114" t="s">
        <v>17558</v>
      </c>
      <c r="N381" s="49"/>
      <c r="O381" s="50"/>
      <c r="P381" s="299"/>
      <c r="Q381" s="45"/>
      <c r="R381" s="46"/>
      <c r="S381" s="512"/>
      <c r="T381" s="57"/>
      <c r="U381" s="512"/>
      <c r="V381" s="57"/>
      <c r="W381" s="72"/>
      <c r="X381" s="12" t="s">
        <v>398</v>
      </c>
      <c r="Y381" s="13">
        <v>0.25</v>
      </c>
      <c r="Z381" s="57" t="s">
        <v>3575</v>
      </c>
      <c r="AA381" s="72"/>
      <c r="AD381" s="57"/>
      <c r="AE381" s="208">
        <f>ROUND((ROUND((ROUND((_15_同援日１．０*_15・基礎２),0)*(1+_15・盲ろう)),0)*(1+_15・区３)),0)+ROUND((ROUND((ROUND((ROUND((_15_同援日１．０＿１．５*_15・基礎２),0)*(1+_15・B夜間)),0)*(1+_15・盲ろう)),0)*(1+_15・区３)),0)+ROUND((ROUND((ROUND((ROUND((_15_同援日１．０＿１．５＿０．５*_15・基礎２),0)*(1+_15・C深夜)),0)*(1+_15・盲ろう)),0)*(1+_15・区３)),0)</f>
        <v>983</v>
      </c>
      <c r="AF381" s="48"/>
    </row>
    <row r="382" spans="1:32" ht="16.5" customHeight="1" x14ac:dyDescent="0.15">
      <c r="A382" s="41">
        <v>15</v>
      </c>
      <c r="B382" s="41" t="s">
        <v>23357</v>
      </c>
      <c r="C382" s="74" t="s">
        <v>23358</v>
      </c>
      <c r="D382" s="72"/>
      <c r="F382" s="57"/>
      <c r="G382" s="72"/>
      <c r="I382" s="57"/>
      <c r="J382" s="72"/>
      <c r="L382" s="57"/>
      <c r="M382" s="122" t="s">
        <v>17560</v>
      </c>
      <c r="N382" s="37" t="s">
        <v>398</v>
      </c>
      <c r="O382" s="38">
        <v>0.9</v>
      </c>
      <c r="P382" s="299" t="s">
        <v>17556</v>
      </c>
      <c r="Q382" s="45" t="s">
        <v>398</v>
      </c>
      <c r="R382" s="46">
        <v>1</v>
      </c>
      <c r="S382" s="512"/>
      <c r="T382" s="57"/>
      <c r="U382" s="512"/>
      <c r="V382" s="57"/>
      <c r="W382" s="122"/>
      <c r="X382" s="37"/>
      <c r="Y382" s="38"/>
      <c r="Z382" s="79"/>
      <c r="AA382" s="122"/>
      <c r="AB382" s="37"/>
      <c r="AC382" s="38"/>
      <c r="AD382" s="79"/>
      <c r="AE382" s="208">
        <f>ROUND((ROUND((ROUND((ROUND((_15_同援日１．０*_15・基礎２),0)*_15・２人),0)*(1+_15・盲ろう)),0)*(1+_15・区３)),0)+ROUND((ROUND((ROUND((ROUND((ROUND((_15_同援日１．０＿１．５*_15・基礎２),0)*_15・２人),0)*(1+_15・B夜間)),0)*(1+_15・盲ろう)),0)*(1+_15・区３)),0)+ROUND((ROUND((ROUND((ROUND((ROUND((_15_同援日１．０＿１．５＿０．５*_15・基礎２),0)*_15・２人),0)*(1+_15・C深夜)),0)*(1+_15・盲ろう)),0)*(1+_15・区３)),0)</f>
        <v>983</v>
      </c>
      <c r="AF382" s="48"/>
    </row>
    <row r="383" spans="1:32" ht="16.5" customHeight="1" x14ac:dyDescent="0.15">
      <c r="A383" s="41">
        <v>15</v>
      </c>
      <c r="B383" s="41" t="s">
        <v>23359</v>
      </c>
      <c r="C383" s="74" t="s">
        <v>23360</v>
      </c>
      <c r="D383" s="72"/>
      <c r="F383" s="57"/>
      <c r="G383" s="72"/>
      <c r="I383" s="57"/>
      <c r="J383" s="72"/>
      <c r="L383" s="57"/>
      <c r="M383" s="114"/>
      <c r="N383" s="49"/>
      <c r="O383" s="50"/>
      <c r="P383" s="299"/>
      <c r="Q383" s="45"/>
      <c r="R383" s="46"/>
      <c r="S383" s="512"/>
      <c r="T383" s="57"/>
      <c r="U383" s="512"/>
      <c r="V383" s="57"/>
      <c r="W383" s="114"/>
      <c r="X383" s="49"/>
      <c r="Y383" s="50"/>
      <c r="Z383" s="115"/>
      <c r="AA383" s="114"/>
      <c r="AB383" s="49"/>
      <c r="AC383" s="50"/>
      <c r="AD383" s="115"/>
      <c r="AE383" s="208">
        <f>ROUND((_15_同援日１．０*(1+_15・区４)),0)+ROUND((ROUND((_15_同援日１．０＿１．５*(1+_15・B夜間)),0)*(1+_15・区４)),0)+ROUND((ROUND((_15_同援日１．０＿１．５＿０．５*(1+_15・C深夜)),0)*(1+_15・区４)),0)</f>
        <v>1018</v>
      </c>
      <c r="AF383" s="48"/>
    </row>
    <row r="384" spans="1:32" ht="16.5" customHeight="1" x14ac:dyDescent="0.15">
      <c r="A384" s="41">
        <v>15</v>
      </c>
      <c r="B384" s="41" t="s">
        <v>23361</v>
      </c>
      <c r="C384" s="74" t="s">
        <v>23362</v>
      </c>
      <c r="D384" s="72"/>
      <c r="F384" s="57"/>
      <c r="G384" s="72"/>
      <c r="I384" s="57"/>
      <c r="J384" s="72"/>
      <c r="L384" s="57"/>
      <c r="M384" s="122"/>
      <c r="N384" s="37"/>
      <c r="O384" s="38"/>
      <c r="P384" s="299" t="s">
        <v>17556</v>
      </c>
      <c r="Q384" s="45" t="s">
        <v>398</v>
      </c>
      <c r="R384" s="46">
        <v>1</v>
      </c>
      <c r="S384" s="512"/>
      <c r="T384" s="57"/>
      <c r="U384" s="512"/>
      <c r="V384" s="57"/>
      <c r="W384" s="72"/>
      <c r="Z384" s="57"/>
      <c r="AA384" s="72"/>
      <c r="AD384" s="57"/>
      <c r="AE384" s="208">
        <f>ROUND((ROUND((_15_同援日１．０*_15・２人),0)*(1+_15・区４)),0)+ROUND((ROUND((ROUND((_15_同援日１．０＿１．５*_15・２人),0)*(1+_15・B夜間)),0)*(1+_15・区４)),0)+ROUND((ROUND((ROUND((_15_同援日１．０＿１．５＿０．５*_15・２人),0)*(1+_15・C深夜)),0)*(1+_15・区４)),0)</f>
        <v>1018</v>
      </c>
      <c r="AF384" s="48"/>
    </row>
    <row r="385" spans="1:32" ht="16.5" customHeight="1" x14ac:dyDescent="0.15">
      <c r="A385" s="41">
        <v>15</v>
      </c>
      <c r="B385" s="41" t="s">
        <v>23363</v>
      </c>
      <c r="C385" s="74" t="s">
        <v>23364</v>
      </c>
      <c r="D385" s="72"/>
      <c r="F385" s="57"/>
      <c r="G385" s="72"/>
      <c r="I385" s="57"/>
      <c r="J385" s="72"/>
      <c r="L385" s="57"/>
      <c r="M385" s="114" t="s">
        <v>17558</v>
      </c>
      <c r="N385" s="49"/>
      <c r="O385" s="50"/>
      <c r="P385" s="299"/>
      <c r="Q385" s="45"/>
      <c r="R385" s="46"/>
      <c r="S385" s="512"/>
      <c r="T385" s="57"/>
      <c r="U385" s="512"/>
      <c r="V385" s="57"/>
      <c r="W385" s="72"/>
      <c r="Z385" s="57"/>
      <c r="AA385" s="72" t="s">
        <v>17580</v>
      </c>
      <c r="AD385" s="57"/>
      <c r="AE385" s="208">
        <f>ROUND((ROUND((_15_同援日１．０*_15・基礎２),0)*(1+_15・区４)),0)+ROUND((ROUND((ROUND((_15_同援日１．０＿１．５*_15・基礎２),0)*(1+_15・B夜間)),0)*(1+_15・区４)),0)+ROUND((ROUND((ROUND((_15_同援日１．０＿１．５＿０．５*_15・基礎２),0)*(1+_15・C深夜)),0)*(1+_15・区４)),0)</f>
        <v>917</v>
      </c>
      <c r="AF385" s="48"/>
    </row>
    <row r="386" spans="1:32" ht="16.5" customHeight="1" x14ac:dyDescent="0.15">
      <c r="A386" s="41">
        <v>15</v>
      </c>
      <c r="B386" s="41" t="s">
        <v>23365</v>
      </c>
      <c r="C386" s="74" t="s">
        <v>23366</v>
      </c>
      <c r="D386" s="72"/>
      <c r="F386" s="57"/>
      <c r="G386" s="72"/>
      <c r="I386" s="57"/>
      <c r="J386" s="72"/>
      <c r="L386" s="57"/>
      <c r="M386" s="122" t="s">
        <v>17560</v>
      </c>
      <c r="N386" s="37" t="s">
        <v>398</v>
      </c>
      <c r="O386" s="38">
        <v>0.9</v>
      </c>
      <c r="P386" s="299" t="s">
        <v>17556</v>
      </c>
      <c r="Q386" s="45" t="s">
        <v>398</v>
      </c>
      <c r="R386" s="46">
        <v>1</v>
      </c>
      <c r="S386" s="512"/>
      <c r="T386" s="57"/>
      <c r="U386" s="512"/>
      <c r="V386" s="57"/>
      <c r="W386" s="122"/>
      <c r="X386" s="37"/>
      <c r="Y386" s="38"/>
      <c r="Z386" s="79"/>
      <c r="AA386" s="72" t="s">
        <v>17572</v>
      </c>
      <c r="AD386" s="57"/>
      <c r="AE386" s="208">
        <f>ROUND((ROUND((ROUND((_15_同援日１．０*_15・基礎２),0)*_15・２人),0)*(1+_15・区４)),0)+ROUND((ROUND((ROUND((ROUND((_15_同援日１．０＿１．５*_15・基礎２),0)*_15・２人),0)*(1+_15・B夜間)),0)*(1+_15・区４)),0)+ROUND((ROUND((ROUND((ROUND((_15_同援日１．０＿１．５＿０．５*_15・基礎２),0)*_15・２人),0)*(1+_15・C深夜)),0)*(1+_15・区４)),0)</f>
        <v>917</v>
      </c>
      <c r="AF386" s="48"/>
    </row>
    <row r="387" spans="1:32" ht="16.5" customHeight="1" x14ac:dyDescent="0.15">
      <c r="A387" s="41">
        <v>15</v>
      </c>
      <c r="B387" s="41" t="s">
        <v>23367</v>
      </c>
      <c r="C387" s="74" t="s">
        <v>23368</v>
      </c>
      <c r="D387" s="72"/>
      <c r="F387" s="57"/>
      <c r="G387" s="72"/>
      <c r="I387" s="57"/>
      <c r="J387" s="72"/>
      <c r="L387" s="57"/>
      <c r="M387" s="114"/>
      <c r="N387" s="49"/>
      <c r="O387" s="50"/>
      <c r="P387" s="299"/>
      <c r="Q387" s="45"/>
      <c r="R387" s="46"/>
      <c r="S387" s="512"/>
      <c r="T387" s="57"/>
      <c r="U387" s="512"/>
      <c r="V387" s="57"/>
      <c r="W387" s="114" t="s">
        <v>17562</v>
      </c>
      <c r="X387" s="49"/>
      <c r="Y387" s="50"/>
      <c r="Z387" s="115"/>
      <c r="AA387" s="72"/>
      <c r="AB387" s="12" t="s">
        <v>398</v>
      </c>
      <c r="AC387" s="13">
        <v>0.4</v>
      </c>
      <c r="AD387" s="57" t="s">
        <v>3575</v>
      </c>
      <c r="AE387" s="208">
        <f>ROUND((ROUND((_15_同援日１．０*(1+_15・盲ろう)),0)*(1+_15・区４)),0)+ROUND((ROUND((ROUND((_15_同援日１．０＿１．５*(1+_15・B夜間)),0)*(1+_15・盲ろう)),0)*(1+_15・区４)),0)+ROUND((ROUND((ROUND((_15_同援日１．０＿１．５＿０．５*(1+_15・C深夜)),0)*(1+_15・盲ろう)),0)*(1+_15・区４)),0)</f>
        <v>1272</v>
      </c>
      <c r="AF387" s="48"/>
    </row>
    <row r="388" spans="1:32" ht="16.5" customHeight="1" x14ac:dyDescent="0.15">
      <c r="A388" s="41">
        <v>15</v>
      </c>
      <c r="B388" s="41" t="s">
        <v>23369</v>
      </c>
      <c r="C388" s="74" t="s">
        <v>23370</v>
      </c>
      <c r="D388" s="72"/>
      <c r="F388" s="57"/>
      <c r="G388" s="72"/>
      <c r="I388" s="57"/>
      <c r="J388" s="72"/>
      <c r="L388" s="57"/>
      <c r="M388" s="122"/>
      <c r="N388" s="37"/>
      <c r="O388" s="38"/>
      <c r="P388" s="299" t="s">
        <v>17556</v>
      </c>
      <c r="Q388" s="45" t="s">
        <v>398</v>
      </c>
      <c r="R388" s="46">
        <v>1</v>
      </c>
      <c r="S388" s="512"/>
      <c r="T388" s="57"/>
      <c r="U388" s="512"/>
      <c r="V388" s="57"/>
      <c r="W388" s="72" t="s">
        <v>17564</v>
      </c>
      <c r="Z388" s="57"/>
      <c r="AA388" s="72"/>
      <c r="AD388" s="57"/>
      <c r="AE388" s="208">
        <f>ROUND((ROUND((ROUND((_15_同援日１．０*_15・２人),0)*(1+_15・盲ろう)),0)*(1+_15・区４)),0)+ROUND((ROUND((ROUND((ROUND((_15_同援日１．０＿１．５*_15・２人),0)*(1+_15・B夜間)),0)*(1+_15・盲ろう)),0)*(1+_15・区４)),0)+ROUND((ROUND((ROUND((ROUND((_15_同援日１．０＿１．５＿０．５*_15・２人),0)*(1+_15・C深夜)),0)*(1+_15・盲ろう)),0)*(1+_15・区４)),0)</f>
        <v>1272</v>
      </c>
      <c r="AF388" s="48"/>
    </row>
    <row r="389" spans="1:32" ht="16.5" customHeight="1" x14ac:dyDescent="0.15">
      <c r="A389" s="41">
        <v>15</v>
      </c>
      <c r="B389" s="41" t="s">
        <v>1674</v>
      </c>
      <c r="C389" s="74" t="s">
        <v>23371</v>
      </c>
      <c r="D389" s="72"/>
      <c r="F389" s="57"/>
      <c r="G389" s="72"/>
      <c r="I389" s="57"/>
      <c r="J389" s="72"/>
      <c r="L389" s="57"/>
      <c r="M389" s="114" t="s">
        <v>17558</v>
      </c>
      <c r="N389" s="49"/>
      <c r="O389" s="50"/>
      <c r="P389" s="299"/>
      <c r="Q389" s="45"/>
      <c r="R389" s="46"/>
      <c r="S389" s="512"/>
      <c r="T389" s="57"/>
      <c r="U389" s="512"/>
      <c r="V389" s="57"/>
      <c r="W389" s="72"/>
      <c r="X389" s="12" t="s">
        <v>398</v>
      </c>
      <c r="Y389" s="13">
        <v>0.25</v>
      </c>
      <c r="Z389" s="57" t="s">
        <v>3575</v>
      </c>
      <c r="AA389" s="72"/>
      <c r="AD389" s="57"/>
      <c r="AE389" s="208">
        <f>ROUND((ROUND((ROUND((_15_同援日１．０*_15・基礎２),0)*(1+_15・盲ろう)),0)*(1+_15・区４)),0)+ROUND((ROUND((ROUND((ROUND((_15_同援日１．０＿１．５*_15・基礎２),0)*(1+_15・B夜間)),0)*(1+_15・盲ろう)),0)*(1+_15・区４)),0)+ROUND((ROUND((ROUND((ROUND((_15_同援日１．０＿１．５＿０．５*_15・基礎２),0)*(1+_15・C深夜)),0)*(1+_15・盲ろう)),0)*(1+_15・区４)),0)</f>
        <v>1146</v>
      </c>
      <c r="AF389" s="48"/>
    </row>
    <row r="390" spans="1:32" ht="16.5" customHeight="1" x14ac:dyDescent="0.15">
      <c r="A390" s="41">
        <v>15</v>
      </c>
      <c r="B390" s="41" t="s">
        <v>1676</v>
      </c>
      <c r="C390" s="74" t="s">
        <v>23372</v>
      </c>
      <c r="D390" s="122"/>
      <c r="E390" s="37"/>
      <c r="F390" s="79"/>
      <c r="G390" s="122"/>
      <c r="H390" s="37"/>
      <c r="I390" s="79"/>
      <c r="J390" s="122"/>
      <c r="K390" s="37"/>
      <c r="L390" s="79"/>
      <c r="M390" s="122" t="s">
        <v>17560</v>
      </c>
      <c r="N390" s="37" t="s">
        <v>398</v>
      </c>
      <c r="O390" s="38">
        <v>0.9</v>
      </c>
      <c r="P390" s="299" t="s">
        <v>17556</v>
      </c>
      <c r="Q390" s="45" t="s">
        <v>398</v>
      </c>
      <c r="R390" s="46">
        <v>1</v>
      </c>
      <c r="S390" s="514"/>
      <c r="T390" s="79"/>
      <c r="U390" s="514"/>
      <c r="V390" s="79"/>
      <c r="W390" s="122"/>
      <c r="X390" s="37"/>
      <c r="Y390" s="38"/>
      <c r="Z390" s="79"/>
      <c r="AA390" s="122"/>
      <c r="AB390" s="37"/>
      <c r="AC390" s="38"/>
      <c r="AD390" s="79"/>
      <c r="AE390" s="208">
        <f>ROUND((ROUND((ROUND((ROUND((_15_同援日１．０*_15・基礎２),0)*_15・２人),0)*(1+_15・盲ろう)),0)*(1+_15・区４)),0)+ROUND((ROUND((ROUND((ROUND((ROUND((_15_同援日１．０＿１．５*_15・基礎２),0)*_15・２人),0)*(1+_15・B夜間)),0)*(1+_15・盲ろう)),0)*(1+_15・区４)),0)+ROUND((ROUND((ROUND((ROUND((ROUND((_15_同援日１．０＿１．５＿０．５*_15・基礎２),0)*_15・２人),0)*(1+_15・C深夜)),0)*(1+_15・盲ろう)),0)*(1+_15・区４)),0)</f>
        <v>1146</v>
      </c>
      <c r="AF390" s="63"/>
    </row>
    <row r="391" spans="1:32" ht="16.5" customHeight="1" x14ac:dyDescent="0.15">
      <c r="A391" s="41">
        <v>15</v>
      </c>
      <c r="B391" s="41" t="s">
        <v>1678</v>
      </c>
      <c r="C391" s="74" t="s">
        <v>23373</v>
      </c>
      <c r="D391" s="114" t="s">
        <v>17614</v>
      </c>
      <c r="E391" s="49"/>
      <c r="F391" s="115"/>
      <c r="G391" s="114" t="s">
        <v>19553</v>
      </c>
      <c r="H391" s="49"/>
      <c r="I391" s="115"/>
      <c r="J391" s="114" t="s">
        <v>22681</v>
      </c>
      <c r="K391" s="49"/>
      <c r="L391" s="115"/>
      <c r="M391" s="114"/>
      <c r="N391" s="49"/>
      <c r="O391" s="50"/>
      <c r="P391" s="299"/>
      <c r="Q391" s="45"/>
      <c r="R391" s="46"/>
      <c r="S391" s="515"/>
      <c r="T391" s="115"/>
      <c r="U391" s="515"/>
      <c r="V391" s="115"/>
      <c r="W391" s="114"/>
      <c r="X391" s="49"/>
      <c r="Y391" s="50"/>
      <c r="Z391" s="115"/>
      <c r="AA391" s="114"/>
      <c r="AB391" s="49"/>
      <c r="AC391" s="50"/>
      <c r="AD391" s="115"/>
      <c r="AE391" s="208">
        <f>_15_同援日１．５+ROUND((_15_同援日１．５＿０．５*(1+_15・B夜間)),0)+ROUND((_15_同援日１．５＿０．５＿０．５*(1+_15・C深夜)),0)</f>
        <v>612</v>
      </c>
      <c r="AF391" s="64"/>
    </row>
    <row r="392" spans="1:32" ht="16.5" customHeight="1" x14ac:dyDescent="0.15">
      <c r="A392" s="41">
        <v>15</v>
      </c>
      <c r="B392" s="41" t="s">
        <v>1680</v>
      </c>
      <c r="C392" s="74" t="s">
        <v>23374</v>
      </c>
      <c r="D392" s="72" t="s">
        <v>17616</v>
      </c>
      <c r="F392" s="57"/>
      <c r="G392" s="72" t="s">
        <v>18259</v>
      </c>
      <c r="I392" s="57"/>
      <c r="J392" s="72" t="s">
        <v>18259</v>
      </c>
      <c r="L392" s="57"/>
      <c r="M392" s="122"/>
      <c r="N392" s="37"/>
      <c r="O392" s="38"/>
      <c r="P392" s="299" t="s">
        <v>17556</v>
      </c>
      <c r="Q392" s="45" t="s">
        <v>398</v>
      </c>
      <c r="R392" s="46">
        <v>1</v>
      </c>
      <c r="S392" s="512"/>
      <c r="T392" s="57"/>
      <c r="U392" s="512"/>
      <c r="V392" s="57"/>
      <c r="W392" s="72"/>
      <c r="Z392" s="57"/>
      <c r="AA392" s="72"/>
      <c r="AD392" s="57"/>
      <c r="AE392" s="208">
        <f>ROUND((_15_同援日１．５*_15・２人),0)+ROUND((ROUND((_15_同援日１．５＿０．５*_15・２人),0)*(1+_15・B夜間)),0)+ROUND((ROUND((_15_同援日１．５＿０．５＿０．５*_15・２人),0)*(1+_15・C深夜)),0)</f>
        <v>612</v>
      </c>
      <c r="AF392" s="48"/>
    </row>
    <row r="393" spans="1:32" ht="16.5" customHeight="1" x14ac:dyDescent="0.15">
      <c r="A393" s="41">
        <v>15</v>
      </c>
      <c r="B393" s="41" t="s">
        <v>23375</v>
      </c>
      <c r="C393" s="74" t="s">
        <v>23376</v>
      </c>
      <c r="D393" s="72" t="s">
        <v>18183</v>
      </c>
      <c r="F393" s="57"/>
      <c r="G393" s="72"/>
      <c r="I393" s="57"/>
      <c r="J393" s="72"/>
      <c r="L393" s="57"/>
      <c r="M393" s="114" t="s">
        <v>17558</v>
      </c>
      <c r="N393" s="49"/>
      <c r="O393" s="50"/>
      <c r="P393" s="299"/>
      <c r="Q393" s="45"/>
      <c r="R393" s="46"/>
      <c r="S393" s="512"/>
      <c r="T393" s="57"/>
      <c r="U393" s="512"/>
      <c r="V393" s="57"/>
      <c r="W393" s="72"/>
      <c r="Z393" s="57"/>
      <c r="AA393" s="72"/>
      <c r="AD393" s="57"/>
      <c r="AE393" s="208">
        <f>ROUND((_15_同援日１．５*_15・基礎２),0)+ROUND((ROUND((_15_同援日１．５＿０．５*_15・基礎２),0)*(1+_15・B夜間)),0)+ROUND((ROUND((_15_同援日１．５＿０．５＿０．５*_15・基礎２),0)*(1+_15・C深夜)),0)</f>
        <v>553</v>
      </c>
      <c r="AF393" s="48"/>
    </row>
    <row r="394" spans="1:32" ht="16.5" customHeight="1" x14ac:dyDescent="0.15">
      <c r="A394" s="41">
        <v>15</v>
      </c>
      <c r="B394" s="41" t="s">
        <v>23377</v>
      </c>
      <c r="C394" s="74" t="s">
        <v>23378</v>
      </c>
      <c r="D394" s="72"/>
      <c r="E394" s="168">
        <f>_15_同援日１．５</f>
        <v>433</v>
      </c>
      <c r="F394" s="57" t="s">
        <v>392</v>
      </c>
      <c r="G394" s="72"/>
      <c r="H394" s="168">
        <f>_15_同援日１．５＿０．５</f>
        <v>65</v>
      </c>
      <c r="I394" s="57" t="s">
        <v>392</v>
      </c>
      <c r="J394" s="72"/>
      <c r="K394" s="168">
        <f>_15_同援日１．５＿０．５＿０．５</f>
        <v>65</v>
      </c>
      <c r="L394" s="57" t="s">
        <v>392</v>
      </c>
      <c r="M394" s="122" t="s">
        <v>17560</v>
      </c>
      <c r="N394" s="37" t="s">
        <v>398</v>
      </c>
      <c r="O394" s="38">
        <v>0.9</v>
      </c>
      <c r="P394" s="299" t="s">
        <v>17556</v>
      </c>
      <c r="Q394" s="45" t="s">
        <v>398</v>
      </c>
      <c r="R394" s="46">
        <v>1</v>
      </c>
      <c r="S394" s="512"/>
      <c r="T394" s="57"/>
      <c r="U394" s="512"/>
      <c r="V394" s="57"/>
      <c r="W394" s="122"/>
      <c r="X394" s="37"/>
      <c r="Y394" s="38"/>
      <c r="Z394" s="79"/>
      <c r="AA394" s="72"/>
      <c r="AD394" s="57"/>
      <c r="AE394" s="208">
        <f>ROUND((ROUND((_15_同援日１．５*_15・基礎２),0)*_15・２人),0)+ROUND((ROUND((ROUND((_15_同援日１．５＿０．５*_15・基礎２),0)*_15・２人),0)*(1+_15・B夜間)),0)+ROUND((ROUND((ROUND((_15_同援日１．５＿０．５＿０．５*_15・基礎２),0)*_15・２人),0)*(1+_15・C深夜)),0)</f>
        <v>553</v>
      </c>
      <c r="AF394" s="48"/>
    </row>
    <row r="395" spans="1:32" ht="16.5" customHeight="1" x14ac:dyDescent="0.15">
      <c r="A395" s="41">
        <v>15</v>
      </c>
      <c r="B395" s="41" t="s">
        <v>23379</v>
      </c>
      <c r="C395" s="74" t="s">
        <v>23380</v>
      </c>
      <c r="D395" s="72"/>
      <c r="F395" s="57"/>
      <c r="G395" s="72"/>
      <c r="I395" s="57"/>
      <c r="J395" s="72"/>
      <c r="L395" s="57"/>
      <c r="M395" s="114"/>
      <c r="N395" s="49"/>
      <c r="O395" s="50"/>
      <c r="P395" s="299"/>
      <c r="Q395" s="45"/>
      <c r="R395" s="46"/>
      <c r="S395" s="512"/>
      <c r="T395" s="57"/>
      <c r="U395" s="512"/>
      <c r="V395" s="57"/>
      <c r="W395" s="114" t="s">
        <v>17562</v>
      </c>
      <c r="X395" s="49"/>
      <c r="Y395" s="50"/>
      <c r="Z395" s="115"/>
      <c r="AA395" s="72"/>
      <c r="AD395" s="57"/>
      <c r="AE395" s="208">
        <f>ROUND((_15_同援日１．５*(1+_15・盲ろう)),0)+ROUND((ROUND((_15_同援日１．５＿０．５*(1+_15・B夜間)),0)*(1+_15・盲ろう)),0)+ROUND((ROUND((_15_同援日１．５＿０．５＿０．５*(1+_15・C深夜)),0)*(1+_15・盲ろう)),0)</f>
        <v>765</v>
      </c>
      <c r="AF395" s="48"/>
    </row>
    <row r="396" spans="1:32" ht="16.5" customHeight="1" x14ac:dyDescent="0.15">
      <c r="A396" s="41">
        <v>15</v>
      </c>
      <c r="B396" s="41" t="s">
        <v>23381</v>
      </c>
      <c r="C396" s="74" t="s">
        <v>23382</v>
      </c>
      <c r="D396" s="72"/>
      <c r="F396" s="57"/>
      <c r="G396" s="72"/>
      <c r="I396" s="57"/>
      <c r="J396" s="72"/>
      <c r="L396" s="57"/>
      <c r="M396" s="122"/>
      <c r="N396" s="37"/>
      <c r="O396" s="38"/>
      <c r="P396" s="299" t="s">
        <v>17556</v>
      </c>
      <c r="Q396" s="45" t="s">
        <v>398</v>
      </c>
      <c r="R396" s="46">
        <v>1</v>
      </c>
      <c r="S396" s="512"/>
      <c r="T396" s="57"/>
      <c r="U396" s="512"/>
      <c r="V396" s="57"/>
      <c r="W396" s="72" t="s">
        <v>17564</v>
      </c>
      <c r="Z396" s="57"/>
      <c r="AA396" s="72"/>
      <c r="AD396" s="57"/>
      <c r="AE396" s="208">
        <f>ROUND((ROUND((_15_同援日１．５*_15・２人),0)*(1+_15・盲ろう)),0)+ROUND((ROUND((ROUND((_15_同援日１．５＿０．５*_15・２人),0)*(1+_15・B夜間)),0)*(1+_15・盲ろう)),0)+ROUND((ROUND((ROUND((_15_同援日１．５＿０．５＿０．５*_15・２人),0)*(1+_15・C深夜)),0)*(1+_15・盲ろう)),0)</f>
        <v>765</v>
      </c>
      <c r="AF396" s="48"/>
    </row>
    <row r="397" spans="1:32" ht="16.5" customHeight="1" x14ac:dyDescent="0.15">
      <c r="A397" s="41">
        <v>15</v>
      </c>
      <c r="B397" s="41" t="s">
        <v>23383</v>
      </c>
      <c r="C397" s="74" t="s">
        <v>23384</v>
      </c>
      <c r="D397" s="72"/>
      <c r="F397" s="57"/>
      <c r="G397" s="72"/>
      <c r="I397" s="57"/>
      <c r="J397" s="72"/>
      <c r="L397" s="57"/>
      <c r="M397" s="114" t="s">
        <v>17558</v>
      </c>
      <c r="N397" s="49"/>
      <c r="O397" s="50"/>
      <c r="P397" s="299"/>
      <c r="Q397" s="45"/>
      <c r="R397" s="46"/>
      <c r="S397" s="512"/>
      <c r="T397" s="57"/>
      <c r="U397" s="512"/>
      <c r="V397" s="57"/>
      <c r="W397" s="72"/>
      <c r="X397" s="12" t="s">
        <v>398</v>
      </c>
      <c r="Y397" s="13">
        <v>0.25</v>
      </c>
      <c r="Z397" s="57" t="s">
        <v>3575</v>
      </c>
      <c r="AA397" s="72"/>
      <c r="AD397" s="57"/>
      <c r="AE397" s="208">
        <f>ROUND((ROUND((_15_同援日１．５*_15・基礎２),0)*(1+_15・盲ろう)),0)+ROUND((ROUND((ROUND((_15_同援日１．５＿０．５*_15・基礎２),0)*(1+_15・B夜間)),0)*(1+_15・盲ろう)),0)+ROUND((ROUND((ROUND((_15_同援日１．５＿０．５＿０．５*_15・基礎２),0)*(1+_15・C深夜)),0)*(1+_15・盲ろう)),0)</f>
        <v>692</v>
      </c>
      <c r="AF397" s="48"/>
    </row>
    <row r="398" spans="1:32" ht="16.5" customHeight="1" x14ac:dyDescent="0.15">
      <c r="A398" s="41">
        <v>15</v>
      </c>
      <c r="B398" s="41" t="s">
        <v>23385</v>
      </c>
      <c r="C398" s="74" t="s">
        <v>23386</v>
      </c>
      <c r="D398" s="72"/>
      <c r="F398" s="57"/>
      <c r="G398" s="72"/>
      <c r="I398" s="57"/>
      <c r="J398" s="72"/>
      <c r="L398" s="57"/>
      <c r="M398" s="122" t="s">
        <v>17560</v>
      </c>
      <c r="N398" s="37" t="s">
        <v>398</v>
      </c>
      <c r="O398" s="38">
        <v>0.9</v>
      </c>
      <c r="P398" s="299" t="s">
        <v>17556</v>
      </c>
      <c r="Q398" s="45" t="s">
        <v>398</v>
      </c>
      <c r="R398" s="46">
        <v>1</v>
      </c>
      <c r="S398" s="512"/>
      <c r="T398" s="57"/>
      <c r="U398" s="512"/>
      <c r="V398" s="57"/>
      <c r="W398" s="122"/>
      <c r="X398" s="37"/>
      <c r="Y398" s="38"/>
      <c r="Z398" s="79"/>
      <c r="AA398" s="122"/>
      <c r="AB398" s="37"/>
      <c r="AC398" s="38"/>
      <c r="AD398" s="79"/>
      <c r="AE398" s="208">
        <f>ROUND((ROUND((ROUND((_15_同援日１．５*_15・基礎２),0)*_15・２人),0)*(1+_15・盲ろう)),0)+ROUND((ROUND((ROUND((ROUND((_15_同援日１．５＿０．５*_15・基礎２),0)*_15・２人),0)*(1+_15・B夜間)),0)*(1+_15・盲ろう)),0)+ROUND((ROUND((ROUND((ROUND((_15_同援日１．５＿０．５＿０．５*_15・基礎２),0)*_15・２人),0)*(1+_15・C深夜)),0)*(1+_15・盲ろう)),0)</f>
        <v>692</v>
      </c>
      <c r="AF398" s="48"/>
    </row>
    <row r="399" spans="1:32" ht="16.5" customHeight="1" x14ac:dyDescent="0.15">
      <c r="A399" s="41">
        <v>15</v>
      </c>
      <c r="B399" s="41" t="s">
        <v>23387</v>
      </c>
      <c r="C399" s="74" t="s">
        <v>23388</v>
      </c>
      <c r="D399" s="72"/>
      <c r="F399" s="57"/>
      <c r="G399" s="72"/>
      <c r="I399" s="57"/>
      <c r="J399" s="72"/>
      <c r="L399" s="57"/>
      <c r="M399" s="114"/>
      <c r="N399" s="49"/>
      <c r="O399" s="50"/>
      <c r="P399" s="299"/>
      <c r="Q399" s="45"/>
      <c r="R399" s="46"/>
      <c r="S399" s="512"/>
      <c r="T399" s="57"/>
      <c r="U399" s="512"/>
      <c r="V399" s="57"/>
      <c r="W399" s="114"/>
      <c r="X399" s="49"/>
      <c r="Y399" s="50"/>
      <c r="Z399" s="115"/>
      <c r="AA399" s="114"/>
      <c r="AB399" s="49"/>
      <c r="AC399" s="50"/>
      <c r="AD399" s="115"/>
      <c r="AE399" s="208">
        <f>ROUND((_15_同援日１．５*(1+_15・区３)),0)+ROUND((ROUND((_15_同援日１．５＿０．５*(1+_15・B夜間)),0)*(1+_15・区３)),0)+ROUND((ROUND((_15_同援日１．５＿０．５＿０．５*(1+_15・C深夜)),0)*(1+_15・区３)),0)</f>
        <v>735</v>
      </c>
      <c r="AF399" s="48"/>
    </row>
    <row r="400" spans="1:32" ht="16.5" customHeight="1" x14ac:dyDescent="0.15">
      <c r="A400" s="41">
        <v>15</v>
      </c>
      <c r="B400" s="41" t="s">
        <v>23389</v>
      </c>
      <c r="C400" s="74" t="s">
        <v>23390</v>
      </c>
      <c r="D400" s="72"/>
      <c r="F400" s="57"/>
      <c r="G400" s="72"/>
      <c r="I400" s="57"/>
      <c r="J400" s="72"/>
      <c r="L400" s="57"/>
      <c r="M400" s="122"/>
      <c r="N400" s="37"/>
      <c r="O400" s="38"/>
      <c r="P400" s="299" t="s">
        <v>17556</v>
      </c>
      <c r="Q400" s="45" t="s">
        <v>398</v>
      </c>
      <c r="R400" s="46">
        <v>1</v>
      </c>
      <c r="S400" s="512"/>
      <c r="T400" s="57"/>
      <c r="U400" s="512"/>
      <c r="V400" s="57"/>
      <c r="W400" s="72"/>
      <c r="Z400" s="57"/>
      <c r="AA400" s="72"/>
      <c r="AD400" s="57"/>
      <c r="AE400" s="208">
        <f>ROUND((ROUND((_15_同援日１．５*_15・２人),0)*(1+_15・区３)),0)+ROUND((ROUND((ROUND((_15_同援日１．５＿０．５*_15・２人),0)*(1+_15・B夜間)),0)*(1+_15・区３)),0)+ROUND((ROUND((ROUND((_15_同援日１．５＿０．５＿０．５*_15・２人),0)*(1+_15・C深夜)),0)*(1+_15・区３)),0)</f>
        <v>735</v>
      </c>
      <c r="AF400" s="48"/>
    </row>
    <row r="401" spans="1:32" ht="16.5" customHeight="1" x14ac:dyDescent="0.15">
      <c r="A401" s="41">
        <v>15</v>
      </c>
      <c r="B401" s="41" t="s">
        <v>23391</v>
      </c>
      <c r="C401" s="74" t="s">
        <v>23392</v>
      </c>
      <c r="D401" s="72"/>
      <c r="F401" s="57"/>
      <c r="G401" s="72"/>
      <c r="I401" s="57"/>
      <c r="J401" s="72"/>
      <c r="L401" s="57"/>
      <c r="M401" s="114" t="s">
        <v>17558</v>
      </c>
      <c r="N401" s="49"/>
      <c r="O401" s="50"/>
      <c r="P401" s="299"/>
      <c r="Q401" s="45"/>
      <c r="R401" s="46"/>
      <c r="S401" s="512"/>
      <c r="T401" s="57"/>
      <c r="U401" s="512"/>
      <c r="V401" s="57"/>
      <c r="W401" s="72"/>
      <c r="Z401" s="57"/>
      <c r="AA401" s="72" t="s">
        <v>17570</v>
      </c>
      <c r="AD401" s="57"/>
      <c r="AE401" s="208">
        <f>ROUND((ROUND((_15_同援日１．５*_15・基礎２),0)*(1+_15・区３)),0)+ROUND((ROUND((ROUND((_15_同援日１．５＿０．５*_15・基礎２),0)*(1+_15・B夜間)),0)*(1+_15・区３)),0)+ROUND((ROUND((ROUND((_15_同援日１．５＿０．５＿０．５*_15・基礎２),0)*(1+_15・C深夜)),0)*(1+_15・区３)),0)</f>
        <v>664</v>
      </c>
      <c r="AF401" s="48"/>
    </row>
    <row r="402" spans="1:32" ht="16.5" customHeight="1" x14ac:dyDescent="0.15">
      <c r="A402" s="41">
        <v>15</v>
      </c>
      <c r="B402" s="41" t="s">
        <v>23393</v>
      </c>
      <c r="C402" s="74" t="s">
        <v>23394</v>
      </c>
      <c r="D402" s="72"/>
      <c r="F402" s="57"/>
      <c r="G402" s="72"/>
      <c r="I402" s="57"/>
      <c r="J402" s="72"/>
      <c r="L402" s="57"/>
      <c r="M402" s="122" t="s">
        <v>17560</v>
      </c>
      <c r="N402" s="37" t="s">
        <v>398</v>
      </c>
      <c r="O402" s="38">
        <v>0.9</v>
      </c>
      <c r="P402" s="299" t="s">
        <v>17556</v>
      </c>
      <c r="Q402" s="45" t="s">
        <v>398</v>
      </c>
      <c r="R402" s="46">
        <v>1</v>
      </c>
      <c r="S402" s="512"/>
      <c r="T402" s="57"/>
      <c r="U402" s="512"/>
      <c r="V402" s="57"/>
      <c r="W402" s="122"/>
      <c r="X402" s="37"/>
      <c r="Y402" s="38"/>
      <c r="Z402" s="79"/>
      <c r="AA402" s="72" t="s">
        <v>17572</v>
      </c>
      <c r="AD402" s="57"/>
      <c r="AE402" s="208">
        <f>ROUND((ROUND((ROUND((_15_同援日１．５*_15・基礎２),0)*_15・２人),0)*(1+_15・区３)),0)+ROUND((ROUND((ROUND((ROUND((_15_同援日１．５＿０．５*_15・基礎２),0)*_15・２人),0)*(1+_15・B夜間)),0)*(1+_15・区３)),0)+ROUND((ROUND((ROUND((ROUND((_15_同援日１．５＿０．５＿０．５*_15・基礎２),0)*_15・２人),0)*(1+_15・C深夜)),0)*(1+_15・区３)),0)</f>
        <v>664</v>
      </c>
      <c r="AF402" s="48"/>
    </row>
    <row r="403" spans="1:32" ht="16.5" customHeight="1" x14ac:dyDescent="0.15">
      <c r="A403" s="41">
        <v>15</v>
      </c>
      <c r="B403" s="41" t="s">
        <v>23395</v>
      </c>
      <c r="C403" s="74" t="s">
        <v>23396</v>
      </c>
      <c r="D403" s="72"/>
      <c r="F403" s="57"/>
      <c r="G403" s="72"/>
      <c r="I403" s="57"/>
      <c r="J403" s="72"/>
      <c r="L403" s="57"/>
      <c r="M403" s="114"/>
      <c r="N403" s="49"/>
      <c r="O403" s="50"/>
      <c r="P403" s="299"/>
      <c r="Q403" s="45"/>
      <c r="R403" s="46"/>
      <c r="S403" s="512"/>
      <c r="T403" s="57"/>
      <c r="U403" s="512"/>
      <c r="V403" s="57"/>
      <c r="W403" s="114" t="s">
        <v>17562</v>
      </c>
      <c r="X403" s="49"/>
      <c r="Y403" s="50"/>
      <c r="Z403" s="115"/>
      <c r="AA403" s="72"/>
      <c r="AB403" s="12" t="s">
        <v>398</v>
      </c>
      <c r="AC403" s="13">
        <v>0.2</v>
      </c>
      <c r="AD403" s="57" t="s">
        <v>3575</v>
      </c>
      <c r="AE403" s="208">
        <f>ROUND((ROUND((_15_同援日１．５*(1+_15・盲ろう)),0)*(1+_15・区３)),0)+ROUND((ROUND((ROUND((_15_同援日１．５＿０．５*(1+_15・B夜間)),0)*(1+_15・盲ろう)),0)*(1+_15・区３)),0)+ROUND((ROUND((ROUND((_15_同援日１．５＿０．５＿０．５*(1+_15・C深夜)),0)*(1+_15・盲ろう)),0)*(1+_15・区３)),0)</f>
        <v>918</v>
      </c>
      <c r="AF403" s="48"/>
    </row>
    <row r="404" spans="1:32" ht="16.5" customHeight="1" x14ac:dyDescent="0.15">
      <c r="A404" s="41">
        <v>15</v>
      </c>
      <c r="B404" s="41" t="s">
        <v>23397</v>
      </c>
      <c r="C404" s="74" t="s">
        <v>23398</v>
      </c>
      <c r="D404" s="72"/>
      <c r="F404" s="57"/>
      <c r="G404" s="72"/>
      <c r="I404" s="57"/>
      <c r="J404" s="72"/>
      <c r="L404" s="57"/>
      <c r="M404" s="122"/>
      <c r="N404" s="37"/>
      <c r="O404" s="38"/>
      <c r="P404" s="299" t="s">
        <v>17556</v>
      </c>
      <c r="Q404" s="45" t="s">
        <v>398</v>
      </c>
      <c r="R404" s="46">
        <v>1</v>
      </c>
      <c r="S404" s="512"/>
      <c r="T404" s="57"/>
      <c r="U404" s="512"/>
      <c r="V404" s="57"/>
      <c r="W404" s="72" t="s">
        <v>17564</v>
      </c>
      <c r="Z404" s="57"/>
      <c r="AA404" s="72"/>
      <c r="AD404" s="57"/>
      <c r="AE404" s="208">
        <f>ROUND((ROUND((ROUND((_15_同援日１．５*_15・２人),0)*(1+_15・盲ろう)),0)*(1+_15・区３)),0)+ROUND((ROUND((ROUND((ROUND((_15_同援日１．５＿０．５*_15・２人),0)*(1+_15・B夜間)),0)*(1+_15・盲ろう)),0)*(1+_15・区３)),0)+ROUND((ROUND((ROUND((ROUND((_15_同援日１．５＿０．５＿０．５*_15・２人),0)*(1+_15・C深夜)),0)*(1+_15・盲ろう)),0)*(1+_15・区３)),0)</f>
        <v>918</v>
      </c>
      <c r="AF404" s="48"/>
    </row>
    <row r="405" spans="1:32" ht="16.5" customHeight="1" x14ac:dyDescent="0.15">
      <c r="A405" s="41">
        <v>15</v>
      </c>
      <c r="B405" s="41" t="s">
        <v>23399</v>
      </c>
      <c r="C405" s="74" t="s">
        <v>23400</v>
      </c>
      <c r="D405" s="72"/>
      <c r="F405" s="57"/>
      <c r="G405" s="72"/>
      <c r="I405" s="57"/>
      <c r="J405" s="72"/>
      <c r="L405" s="57"/>
      <c r="M405" s="114" t="s">
        <v>17558</v>
      </c>
      <c r="N405" s="49"/>
      <c r="O405" s="50"/>
      <c r="P405" s="299"/>
      <c r="Q405" s="45"/>
      <c r="R405" s="46"/>
      <c r="S405" s="512"/>
      <c r="T405" s="57"/>
      <c r="U405" s="512"/>
      <c r="V405" s="57"/>
      <c r="W405" s="72"/>
      <c r="X405" s="12" t="s">
        <v>398</v>
      </c>
      <c r="Y405" s="13">
        <v>0.25</v>
      </c>
      <c r="Z405" s="57" t="s">
        <v>3575</v>
      </c>
      <c r="AA405" s="72"/>
      <c r="AD405" s="57"/>
      <c r="AE405" s="208">
        <f>ROUND((ROUND((ROUND((_15_同援日１．５*_15・基礎２),0)*(1+_15・盲ろう)),0)*(1+_15・区３)),0)+ROUND((ROUND((ROUND((ROUND((_15_同援日１．５＿０．５*_15・基礎２),0)*(1+_15・B夜間)),0)*(1+_15・盲ろう)),0)*(1+_15・区３)),0)+ROUND((ROUND((ROUND((ROUND((_15_同援日１．５＿０．５＿０．５*_15・基礎２),0)*(1+_15・C深夜)),0)*(1+_15・盲ろう)),0)*(1+_15・区３)),0)</f>
        <v>831</v>
      </c>
      <c r="AF405" s="48"/>
    </row>
    <row r="406" spans="1:32" ht="16.5" customHeight="1" x14ac:dyDescent="0.15">
      <c r="A406" s="41">
        <v>15</v>
      </c>
      <c r="B406" s="41" t="s">
        <v>23401</v>
      </c>
      <c r="C406" s="74" t="s">
        <v>23402</v>
      </c>
      <c r="D406" s="72"/>
      <c r="F406" s="57"/>
      <c r="G406" s="72"/>
      <c r="I406" s="57"/>
      <c r="J406" s="72"/>
      <c r="L406" s="57"/>
      <c r="M406" s="122" t="s">
        <v>17560</v>
      </c>
      <c r="N406" s="37" t="s">
        <v>398</v>
      </c>
      <c r="O406" s="38">
        <v>0.9</v>
      </c>
      <c r="P406" s="299" t="s">
        <v>17556</v>
      </c>
      <c r="Q406" s="45" t="s">
        <v>398</v>
      </c>
      <c r="R406" s="46">
        <v>1</v>
      </c>
      <c r="S406" s="512"/>
      <c r="T406" s="57"/>
      <c r="U406" s="512"/>
      <c r="V406" s="57"/>
      <c r="W406" s="122"/>
      <c r="X406" s="37"/>
      <c r="Y406" s="38"/>
      <c r="Z406" s="79"/>
      <c r="AA406" s="122"/>
      <c r="AB406" s="37"/>
      <c r="AC406" s="38"/>
      <c r="AD406" s="79"/>
      <c r="AE406" s="208">
        <f>ROUND((ROUND((ROUND((ROUND((_15_同援日１．５*_15・基礎２),0)*_15・２人),0)*(1+_15・盲ろう)),0)*(1+_15・区３)),0)+ROUND((ROUND((ROUND((ROUND((ROUND((_15_同援日１．５＿０．５*_15・基礎２),0)*_15・２人),0)*(1+_15・B夜間)),0)*(1+_15・盲ろう)),0)*(1+_15・区３)),0)+ROUND((ROUND((ROUND((ROUND((ROUND((_15_同援日１．５＿０．５＿０．５*_15・基礎２),0)*_15・２人),0)*(1+_15・C深夜)),0)*(1+_15・盲ろう)),0)*(1+_15・区３)),0)</f>
        <v>831</v>
      </c>
      <c r="AF406" s="48"/>
    </row>
    <row r="407" spans="1:32" ht="16.5" customHeight="1" x14ac:dyDescent="0.15">
      <c r="A407" s="41">
        <v>15</v>
      </c>
      <c r="B407" s="41" t="s">
        <v>23403</v>
      </c>
      <c r="C407" s="74" t="s">
        <v>23404</v>
      </c>
      <c r="D407" s="72"/>
      <c r="F407" s="57"/>
      <c r="G407" s="72"/>
      <c r="I407" s="57"/>
      <c r="J407" s="72"/>
      <c r="L407" s="57"/>
      <c r="M407" s="114"/>
      <c r="N407" s="49"/>
      <c r="O407" s="50"/>
      <c r="P407" s="299"/>
      <c r="Q407" s="45"/>
      <c r="R407" s="46"/>
      <c r="S407" s="512"/>
      <c r="T407" s="57"/>
      <c r="U407" s="512"/>
      <c r="V407" s="57"/>
      <c r="W407" s="114"/>
      <c r="X407" s="49"/>
      <c r="Y407" s="50"/>
      <c r="Z407" s="115"/>
      <c r="AA407" s="114"/>
      <c r="AB407" s="49"/>
      <c r="AC407" s="50"/>
      <c r="AD407" s="115"/>
      <c r="AE407" s="208">
        <f>ROUND((_15_同援日１．５*(1+_15・区４)),0)+ROUND((ROUND((_15_同援日１．５＿０．５*(1+_15・B夜間)),0)*(1+_15・区４)),0)+ROUND((ROUND((_15_同援日１．５＿０．５＿０．５*(1+_15・C深夜)),0)*(1+_15・区４)),0)</f>
        <v>856</v>
      </c>
      <c r="AF407" s="48"/>
    </row>
    <row r="408" spans="1:32" ht="16.5" customHeight="1" x14ac:dyDescent="0.15">
      <c r="A408" s="41">
        <v>15</v>
      </c>
      <c r="B408" s="41" t="s">
        <v>23405</v>
      </c>
      <c r="C408" s="74" t="s">
        <v>23406</v>
      </c>
      <c r="D408" s="72"/>
      <c r="F408" s="57"/>
      <c r="G408" s="72"/>
      <c r="I408" s="57"/>
      <c r="J408" s="72"/>
      <c r="L408" s="57"/>
      <c r="M408" s="122"/>
      <c r="N408" s="37"/>
      <c r="O408" s="38"/>
      <c r="P408" s="299" t="s">
        <v>17556</v>
      </c>
      <c r="Q408" s="45" t="s">
        <v>398</v>
      </c>
      <c r="R408" s="46">
        <v>1</v>
      </c>
      <c r="S408" s="512"/>
      <c r="T408" s="57"/>
      <c r="U408" s="512"/>
      <c r="V408" s="57"/>
      <c r="W408" s="72"/>
      <c r="Z408" s="57"/>
      <c r="AA408" s="72"/>
      <c r="AD408" s="57"/>
      <c r="AE408" s="208">
        <f>ROUND((ROUND((_15_同援日１．５*_15・２人),0)*(1+_15・区４)),0)+ROUND((ROUND((ROUND((_15_同援日１．５＿０．５*_15・２人),0)*(1+_15・B夜間)),0)*(1+_15・区４)),0)+ROUND((ROUND((ROUND((_15_同援日１．５＿０．５＿０．５*_15・２人),0)*(1+_15・C深夜)),0)*(1+_15・区４)),0)</f>
        <v>856</v>
      </c>
      <c r="AF408" s="48"/>
    </row>
    <row r="409" spans="1:32" ht="16.5" customHeight="1" x14ac:dyDescent="0.15">
      <c r="A409" s="41">
        <v>15</v>
      </c>
      <c r="B409" s="41" t="s">
        <v>1686</v>
      </c>
      <c r="C409" s="74" t="s">
        <v>23407</v>
      </c>
      <c r="D409" s="72"/>
      <c r="F409" s="57"/>
      <c r="G409" s="72"/>
      <c r="I409" s="57"/>
      <c r="J409" s="72"/>
      <c r="L409" s="57"/>
      <c r="M409" s="114" t="s">
        <v>17558</v>
      </c>
      <c r="N409" s="49"/>
      <c r="O409" s="50"/>
      <c r="P409" s="299"/>
      <c r="Q409" s="45"/>
      <c r="R409" s="46"/>
      <c r="S409" s="512"/>
      <c r="T409" s="57"/>
      <c r="U409" s="512"/>
      <c r="V409" s="57"/>
      <c r="W409" s="72"/>
      <c r="Z409" s="57"/>
      <c r="AA409" s="72" t="s">
        <v>17580</v>
      </c>
      <c r="AD409" s="57"/>
      <c r="AE409" s="208">
        <f>ROUND((ROUND((_15_同援日１．５*_15・基礎２),0)*(1+_15・区４)),0)+ROUND((ROUND((ROUND((_15_同援日１．５＿０．５*_15・基礎２),0)*(1+_15・B夜間)),0)*(1+_15・区４)),0)+ROUND((ROUND((ROUND((_15_同援日１．５＿０．５＿０．５*_15・基礎２),0)*(1+_15・C深夜)),0)*(1+_15・区４)),0)</f>
        <v>775</v>
      </c>
      <c r="AF409" s="48"/>
    </row>
    <row r="410" spans="1:32" ht="16.5" customHeight="1" x14ac:dyDescent="0.15">
      <c r="A410" s="41">
        <v>15</v>
      </c>
      <c r="B410" s="41" t="s">
        <v>1688</v>
      </c>
      <c r="C410" s="74" t="s">
        <v>23408</v>
      </c>
      <c r="D410" s="72"/>
      <c r="F410" s="57"/>
      <c r="G410" s="72"/>
      <c r="I410" s="57"/>
      <c r="J410" s="72"/>
      <c r="L410" s="57"/>
      <c r="M410" s="122" t="s">
        <v>17560</v>
      </c>
      <c r="N410" s="37" t="s">
        <v>398</v>
      </c>
      <c r="O410" s="38">
        <v>0.9</v>
      </c>
      <c r="P410" s="299" t="s">
        <v>17556</v>
      </c>
      <c r="Q410" s="45" t="s">
        <v>398</v>
      </c>
      <c r="R410" s="46">
        <v>1</v>
      </c>
      <c r="S410" s="512"/>
      <c r="T410" s="57"/>
      <c r="U410" s="512"/>
      <c r="V410" s="57"/>
      <c r="W410" s="122"/>
      <c r="X410" s="37"/>
      <c r="Y410" s="38"/>
      <c r="Z410" s="79"/>
      <c r="AA410" s="72" t="s">
        <v>17572</v>
      </c>
      <c r="AD410" s="57"/>
      <c r="AE410" s="208">
        <f>ROUND((ROUND((ROUND((_15_同援日１．５*_15・基礎２),0)*_15・２人),0)*(1+_15・区４)),0)+ROUND((ROUND((ROUND((ROUND((_15_同援日１．５＿０．５*_15・基礎２),0)*_15・２人),0)*(1+_15・B夜間)),0)*(1+_15・区４)),0)+ROUND((ROUND((ROUND((ROUND((_15_同援日１．５＿０．５＿０．５*_15・基礎２),0)*_15・２人),0)*(1+_15・C深夜)),0)*(1+_15・区４)),0)</f>
        <v>775</v>
      </c>
      <c r="AF410" s="48"/>
    </row>
    <row r="411" spans="1:32" ht="16.5" customHeight="1" x14ac:dyDescent="0.15">
      <c r="A411" s="41">
        <v>15</v>
      </c>
      <c r="B411" s="41" t="s">
        <v>1690</v>
      </c>
      <c r="C411" s="74" t="s">
        <v>23409</v>
      </c>
      <c r="D411" s="72"/>
      <c r="F411" s="57"/>
      <c r="G411" s="72"/>
      <c r="I411" s="57"/>
      <c r="J411" s="72"/>
      <c r="L411" s="57"/>
      <c r="M411" s="114"/>
      <c r="N411" s="49"/>
      <c r="O411" s="50"/>
      <c r="P411" s="299"/>
      <c r="Q411" s="45"/>
      <c r="R411" s="46"/>
      <c r="S411" s="512"/>
      <c r="T411" s="57"/>
      <c r="U411" s="512"/>
      <c r="V411" s="57"/>
      <c r="W411" s="114" t="s">
        <v>17562</v>
      </c>
      <c r="X411" s="49"/>
      <c r="Y411" s="50"/>
      <c r="Z411" s="115"/>
      <c r="AA411" s="72"/>
      <c r="AB411" s="12" t="s">
        <v>398</v>
      </c>
      <c r="AC411" s="13">
        <v>0.4</v>
      </c>
      <c r="AD411" s="57" t="s">
        <v>3575</v>
      </c>
      <c r="AE411" s="208">
        <f>ROUND((ROUND((_15_同援日１．５*(1+_15・盲ろう)),0)*(1+_15・区４)),0)+ROUND((ROUND((ROUND((_15_同援日１．５＿０．５*(1+_15・B夜間)),0)*(1+_15・盲ろう)),0)*(1+_15・区４)),0)+ROUND((ROUND((ROUND((_15_同援日１．５＿０．５＿０．５*(1+_15・C深夜)),0)*(1+_15・盲ろう)),0)*(1+_15・区４)),0)</f>
        <v>1070</v>
      </c>
      <c r="AF411" s="48"/>
    </row>
    <row r="412" spans="1:32" ht="16.5" customHeight="1" x14ac:dyDescent="0.15">
      <c r="A412" s="41">
        <v>15</v>
      </c>
      <c r="B412" s="41" t="s">
        <v>1692</v>
      </c>
      <c r="C412" s="74" t="s">
        <v>23410</v>
      </c>
      <c r="D412" s="72"/>
      <c r="F412" s="57"/>
      <c r="G412" s="72"/>
      <c r="I412" s="57"/>
      <c r="J412" s="72"/>
      <c r="L412" s="57"/>
      <c r="M412" s="122"/>
      <c r="N412" s="37"/>
      <c r="O412" s="38"/>
      <c r="P412" s="299" t="s">
        <v>17556</v>
      </c>
      <c r="Q412" s="45" t="s">
        <v>398</v>
      </c>
      <c r="R412" s="46">
        <v>1</v>
      </c>
      <c r="S412" s="512"/>
      <c r="T412" s="57"/>
      <c r="U412" s="512"/>
      <c r="V412" s="57"/>
      <c r="W412" s="72" t="s">
        <v>17564</v>
      </c>
      <c r="Z412" s="57"/>
      <c r="AA412" s="72"/>
      <c r="AD412" s="57"/>
      <c r="AE412" s="208">
        <f>ROUND((ROUND((ROUND((_15_同援日１．５*_15・２人),0)*(1+_15・盲ろう)),0)*(1+_15・区４)),0)+ROUND((ROUND((ROUND((ROUND((_15_同援日１．５＿０．５*_15・２人),0)*(1+_15・B夜間)),0)*(1+_15・盲ろう)),0)*(1+_15・区４)),0)+ROUND((ROUND((ROUND((ROUND((_15_同援日１．５＿０．５＿０．５*_15・２人),0)*(1+_15・C深夜)),0)*(1+_15・盲ろう)),0)*(1+_15・区４)),0)</f>
        <v>1070</v>
      </c>
      <c r="AF412" s="48"/>
    </row>
    <row r="413" spans="1:32" ht="16.5" customHeight="1" x14ac:dyDescent="0.15">
      <c r="A413" s="41">
        <v>15</v>
      </c>
      <c r="B413" s="41" t="s">
        <v>23411</v>
      </c>
      <c r="C413" s="74" t="s">
        <v>23412</v>
      </c>
      <c r="D413" s="72"/>
      <c r="F413" s="57"/>
      <c r="G413" s="72"/>
      <c r="I413" s="57"/>
      <c r="J413" s="72"/>
      <c r="L413" s="57"/>
      <c r="M413" s="114" t="s">
        <v>17558</v>
      </c>
      <c r="N413" s="49"/>
      <c r="O413" s="50"/>
      <c r="P413" s="299"/>
      <c r="Q413" s="45"/>
      <c r="R413" s="46"/>
      <c r="S413" s="512"/>
      <c r="T413" s="57"/>
      <c r="U413" s="512"/>
      <c r="V413" s="57"/>
      <c r="W413" s="72"/>
      <c r="X413" s="12" t="s">
        <v>398</v>
      </c>
      <c r="Y413" s="13">
        <v>0.25</v>
      </c>
      <c r="Z413" s="57" t="s">
        <v>3575</v>
      </c>
      <c r="AA413" s="72"/>
      <c r="AD413" s="57"/>
      <c r="AE413" s="208">
        <f>ROUND((ROUND((ROUND((_15_同援日１．５*_15・基礎２),0)*(1+_15・盲ろう)),0)*(1+_15・区４)),0)+ROUND((ROUND((ROUND((ROUND((_15_同援日１．５＿０．５*_15・基礎２),0)*(1+_15・B夜間)),0)*(1+_15・盲ろう)),0)*(1+_15・区４)),0)+ROUND((ROUND((ROUND((ROUND((_15_同援日１．５＿０．５＿０．５*_15・基礎２),0)*(1+_15・C深夜)),0)*(1+_15・盲ろう)),0)*(1+_15・区４)),0)</f>
        <v>968</v>
      </c>
      <c r="AF413" s="48"/>
    </row>
    <row r="414" spans="1:32" ht="16.5" customHeight="1" x14ac:dyDescent="0.15">
      <c r="A414" s="41">
        <v>15</v>
      </c>
      <c r="B414" s="41" t="s">
        <v>23413</v>
      </c>
      <c r="C414" s="74" t="s">
        <v>23414</v>
      </c>
      <c r="D414" s="72"/>
      <c r="F414" s="57"/>
      <c r="G414" s="72"/>
      <c r="I414" s="57"/>
      <c r="J414" s="122"/>
      <c r="K414" s="37"/>
      <c r="L414" s="79"/>
      <c r="M414" s="122" t="s">
        <v>17560</v>
      </c>
      <c r="N414" s="37" t="s">
        <v>398</v>
      </c>
      <c r="O414" s="38">
        <v>0.9</v>
      </c>
      <c r="P414" s="299" t="s">
        <v>17556</v>
      </c>
      <c r="Q414" s="45" t="s">
        <v>398</v>
      </c>
      <c r="R414" s="46">
        <v>1</v>
      </c>
      <c r="S414" s="512"/>
      <c r="T414" s="57"/>
      <c r="U414" s="512"/>
      <c r="V414" s="57"/>
      <c r="W414" s="122"/>
      <c r="X414" s="37"/>
      <c r="Y414" s="38"/>
      <c r="Z414" s="79"/>
      <c r="AA414" s="122"/>
      <c r="AB414" s="37"/>
      <c r="AC414" s="38"/>
      <c r="AD414" s="79"/>
      <c r="AE414" s="208">
        <f>ROUND((ROUND((ROUND((ROUND((_15_同援日１．５*_15・基礎２),0)*_15・２人),0)*(1+_15・盲ろう)),0)*(1+_15・区４)),0)+ROUND((ROUND((ROUND((ROUND((ROUND((_15_同援日１．５＿０．５*_15・基礎２),0)*_15・２人),0)*(1+_15・B夜間)),0)*(1+_15・盲ろう)),0)*(1+_15・区４)),0)+ROUND((ROUND((ROUND((ROUND((ROUND((_15_同援日１．５＿０．５＿０．５*_15・基礎２),0)*_15・２人),0)*(1+_15・C深夜)),0)*(1+_15・盲ろう)),0)*(1+_15・区４)),0)</f>
        <v>968</v>
      </c>
      <c r="AF414" s="48"/>
    </row>
    <row r="415" spans="1:32" ht="16.5" customHeight="1" x14ac:dyDescent="0.15">
      <c r="A415" s="41">
        <v>15</v>
      </c>
      <c r="B415" s="41" t="s">
        <v>23415</v>
      </c>
      <c r="C415" s="74" t="s">
        <v>23416</v>
      </c>
      <c r="D415" s="72"/>
      <c r="F415" s="57"/>
      <c r="G415" s="72"/>
      <c r="I415" s="57"/>
      <c r="J415" s="114" t="s">
        <v>22723</v>
      </c>
      <c r="K415" s="49"/>
      <c r="L415" s="115"/>
      <c r="M415" s="114"/>
      <c r="N415" s="49"/>
      <c r="O415" s="50"/>
      <c r="P415" s="299"/>
      <c r="Q415" s="45"/>
      <c r="R415" s="46"/>
      <c r="S415" s="512"/>
      <c r="T415" s="57"/>
      <c r="U415" s="512"/>
      <c r="V415" s="57"/>
      <c r="W415" s="114"/>
      <c r="X415" s="49"/>
      <c r="Y415" s="50"/>
      <c r="Z415" s="115"/>
      <c r="AA415" s="114"/>
      <c r="AB415" s="49"/>
      <c r="AC415" s="50"/>
      <c r="AD415" s="115"/>
      <c r="AE415" s="208">
        <f>_15_同援日１．５+ROUND((_15_同援日１．５＿０．５*(1+_15・B夜間)),0)+ROUND((_15_同援日１．５＿０．５＿１．０*(1+_15・C深夜)),0)</f>
        <v>709</v>
      </c>
      <c r="AF415" s="48"/>
    </row>
    <row r="416" spans="1:32" ht="16.5" customHeight="1" x14ac:dyDescent="0.15">
      <c r="A416" s="41">
        <v>15</v>
      </c>
      <c r="B416" s="41" t="s">
        <v>23417</v>
      </c>
      <c r="C416" s="74" t="s">
        <v>23418</v>
      </c>
      <c r="D416" s="72"/>
      <c r="F416" s="57"/>
      <c r="G416" s="72"/>
      <c r="I416" s="57"/>
      <c r="J416" s="72" t="s">
        <v>17589</v>
      </c>
      <c r="L416" s="57"/>
      <c r="M416" s="122"/>
      <c r="N416" s="37"/>
      <c r="O416" s="38"/>
      <c r="P416" s="299" t="s">
        <v>17556</v>
      </c>
      <c r="Q416" s="45" t="s">
        <v>398</v>
      </c>
      <c r="R416" s="46">
        <v>1</v>
      </c>
      <c r="S416" s="512"/>
      <c r="T416" s="57"/>
      <c r="U416" s="512"/>
      <c r="V416" s="57"/>
      <c r="W416" s="72"/>
      <c r="Z416" s="57"/>
      <c r="AA416" s="72"/>
      <c r="AD416" s="57"/>
      <c r="AE416" s="208">
        <f>ROUND((_15_同援日１．５*_15・２人),0)+ROUND((ROUND((_15_同援日１．５＿０．５*_15・２人),0)*(1+_15・B夜間)),0)+ROUND((ROUND((_15_同援日１．５＿０．５＿１．０*_15・２人),0)*(1+_15・C深夜)),0)</f>
        <v>709</v>
      </c>
      <c r="AF416" s="48"/>
    </row>
    <row r="417" spans="1:32" ht="16.5" customHeight="1" x14ac:dyDescent="0.15">
      <c r="A417" s="41">
        <v>15</v>
      </c>
      <c r="B417" s="41" t="s">
        <v>23419</v>
      </c>
      <c r="C417" s="74" t="s">
        <v>23420</v>
      </c>
      <c r="D417" s="72"/>
      <c r="F417" s="57"/>
      <c r="G417" s="72"/>
      <c r="I417" s="57"/>
      <c r="J417" s="72" t="s">
        <v>17591</v>
      </c>
      <c r="L417" s="57"/>
      <c r="M417" s="114" t="s">
        <v>17558</v>
      </c>
      <c r="N417" s="49"/>
      <c r="O417" s="50"/>
      <c r="P417" s="299"/>
      <c r="Q417" s="45"/>
      <c r="R417" s="46"/>
      <c r="S417" s="512"/>
      <c r="T417" s="57"/>
      <c r="U417" s="512"/>
      <c r="V417" s="57"/>
      <c r="W417" s="72"/>
      <c r="Z417" s="57"/>
      <c r="AA417" s="72"/>
      <c r="AD417" s="57"/>
      <c r="AE417" s="208">
        <f>ROUND((_15_同援日１．５*_15・基礎２),0)+ROUND((ROUND((_15_同援日１．５＿０．５*_15・基礎２),0)*(1+_15・B夜間)),0)+ROUND((ROUND((_15_同援日１．５＿０．５＿１．０*_15・基礎２),0)*(1+_15・C深夜)),0)</f>
        <v>640</v>
      </c>
      <c r="AF417" s="48"/>
    </row>
    <row r="418" spans="1:32" ht="16.5" customHeight="1" x14ac:dyDescent="0.15">
      <c r="A418" s="41">
        <v>15</v>
      </c>
      <c r="B418" s="41" t="s">
        <v>23421</v>
      </c>
      <c r="C418" s="74" t="s">
        <v>23422</v>
      </c>
      <c r="D418" s="72"/>
      <c r="F418" s="57"/>
      <c r="G418" s="72"/>
      <c r="I418" s="57"/>
      <c r="J418" s="72"/>
      <c r="K418" s="168">
        <f>_15_同援日１．５＿０．５＿１．０</f>
        <v>130</v>
      </c>
      <c r="L418" s="57" t="s">
        <v>392</v>
      </c>
      <c r="M418" s="122" t="s">
        <v>17560</v>
      </c>
      <c r="N418" s="37" t="s">
        <v>398</v>
      </c>
      <c r="O418" s="38">
        <v>0.9</v>
      </c>
      <c r="P418" s="299" t="s">
        <v>17556</v>
      </c>
      <c r="Q418" s="45" t="s">
        <v>398</v>
      </c>
      <c r="R418" s="46">
        <v>1</v>
      </c>
      <c r="S418" s="512"/>
      <c r="T418" s="57"/>
      <c r="U418" s="512"/>
      <c r="V418" s="57"/>
      <c r="W418" s="122"/>
      <c r="X418" s="37"/>
      <c r="Y418" s="38"/>
      <c r="Z418" s="79"/>
      <c r="AA418" s="72"/>
      <c r="AD418" s="57"/>
      <c r="AE418" s="208">
        <f>ROUND((ROUND((_15_同援日１．５*_15・基礎２),0)*_15・２人),0)+ROUND((ROUND((ROUND((_15_同援日１．５＿０．５*_15・基礎２),0)*_15・２人),0)*(1+_15・B夜間)),0)+ROUND((ROUND((ROUND((_15_同援日１．５＿０．５＿１．０*_15・基礎２),0)*_15・２人),0)*(1+_15・C深夜)),0)</f>
        <v>640</v>
      </c>
      <c r="AF418" s="48"/>
    </row>
    <row r="419" spans="1:32" ht="16.5" customHeight="1" x14ac:dyDescent="0.15">
      <c r="A419" s="41">
        <v>15</v>
      </c>
      <c r="B419" s="41" t="s">
        <v>23423</v>
      </c>
      <c r="C419" s="74" t="s">
        <v>23424</v>
      </c>
      <c r="D419" s="72"/>
      <c r="F419" s="57"/>
      <c r="G419" s="72"/>
      <c r="I419" s="57"/>
      <c r="J419" s="72"/>
      <c r="L419" s="57"/>
      <c r="M419" s="114"/>
      <c r="N419" s="49"/>
      <c r="O419" s="50"/>
      <c r="P419" s="299"/>
      <c r="Q419" s="45"/>
      <c r="R419" s="46"/>
      <c r="S419" s="512"/>
      <c r="T419" s="57"/>
      <c r="U419" s="512"/>
      <c r="V419" s="57"/>
      <c r="W419" s="114" t="s">
        <v>17562</v>
      </c>
      <c r="X419" s="49"/>
      <c r="Y419" s="50"/>
      <c r="Z419" s="115"/>
      <c r="AA419" s="72"/>
      <c r="AD419" s="57"/>
      <c r="AE419" s="208">
        <f>ROUND((_15_同援日１．５*(1+_15・盲ろう)),0)+ROUND((ROUND((_15_同援日１．５＿０．５*(1+_15・B夜間)),0)*(1+_15・盲ろう)),0)+ROUND((ROUND((_15_同援日１．５＿０．５＿１．０*(1+_15・C深夜)),0)*(1+_15・盲ろう)),0)</f>
        <v>886</v>
      </c>
      <c r="AF419" s="48"/>
    </row>
    <row r="420" spans="1:32" ht="16.5" customHeight="1" x14ac:dyDescent="0.15">
      <c r="A420" s="41">
        <v>15</v>
      </c>
      <c r="B420" s="41" t="s">
        <v>23425</v>
      </c>
      <c r="C420" s="74" t="s">
        <v>23426</v>
      </c>
      <c r="D420" s="72"/>
      <c r="F420" s="57"/>
      <c r="G420" s="72"/>
      <c r="I420" s="57"/>
      <c r="J420" s="72"/>
      <c r="L420" s="57"/>
      <c r="M420" s="122"/>
      <c r="N420" s="37"/>
      <c r="O420" s="38"/>
      <c r="P420" s="299" t="s">
        <v>17556</v>
      </c>
      <c r="Q420" s="45" t="s">
        <v>398</v>
      </c>
      <c r="R420" s="46">
        <v>1</v>
      </c>
      <c r="S420" s="512"/>
      <c r="T420" s="57"/>
      <c r="U420" s="512"/>
      <c r="V420" s="57"/>
      <c r="W420" s="72" t="s">
        <v>17564</v>
      </c>
      <c r="Z420" s="57"/>
      <c r="AA420" s="72"/>
      <c r="AD420" s="57"/>
      <c r="AE420" s="208">
        <f>ROUND((ROUND((_15_同援日１．５*_15・２人),0)*(1+_15・盲ろう)),0)+ROUND((ROUND((ROUND((_15_同援日１．５＿０．５*_15・２人),0)*(1+_15・B夜間)),0)*(1+_15・盲ろう)),0)+ROUND((ROUND((ROUND((_15_同援日１．５＿０．５＿１．０*_15・２人),0)*(1+_15・C深夜)),0)*(1+_15・盲ろう)),0)</f>
        <v>886</v>
      </c>
      <c r="AF420" s="48"/>
    </row>
    <row r="421" spans="1:32" ht="16.5" customHeight="1" x14ac:dyDescent="0.15">
      <c r="A421" s="41">
        <v>15</v>
      </c>
      <c r="B421" s="41" t="s">
        <v>23427</v>
      </c>
      <c r="C421" s="74" t="s">
        <v>23428</v>
      </c>
      <c r="D421" s="72"/>
      <c r="F421" s="57"/>
      <c r="G421" s="72"/>
      <c r="I421" s="57"/>
      <c r="J421" s="72"/>
      <c r="L421" s="57"/>
      <c r="M421" s="114" t="s">
        <v>17558</v>
      </c>
      <c r="N421" s="49"/>
      <c r="O421" s="50"/>
      <c r="P421" s="299"/>
      <c r="Q421" s="45"/>
      <c r="R421" s="46"/>
      <c r="S421" s="512"/>
      <c r="T421" s="57"/>
      <c r="U421" s="512"/>
      <c r="V421" s="57"/>
      <c r="W421" s="72"/>
      <c r="X421" s="12" t="s">
        <v>398</v>
      </c>
      <c r="Y421" s="13">
        <v>0.25</v>
      </c>
      <c r="Z421" s="57" t="s">
        <v>3575</v>
      </c>
      <c r="AA421" s="72"/>
      <c r="AD421" s="57"/>
      <c r="AE421" s="208">
        <f>ROUND((ROUND((_15_同援日１．５*_15・基礎２),0)*(1+_15・盲ろう)),0)+ROUND((ROUND((ROUND((_15_同援日１．５＿０．５*_15・基礎２),0)*(1+_15・B夜間)),0)*(1+_15・盲ろう)),0)+ROUND((ROUND((ROUND((_15_同援日１．５＿０．５＿１．０*_15・基礎２),0)*(1+_15・C深夜)),0)*(1+_15・盲ろう)),0)</f>
        <v>801</v>
      </c>
      <c r="AF421" s="48"/>
    </row>
    <row r="422" spans="1:32" ht="16.5" customHeight="1" x14ac:dyDescent="0.15">
      <c r="A422" s="41">
        <v>15</v>
      </c>
      <c r="B422" s="41" t="s">
        <v>23429</v>
      </c>
      <c r="C422" s="74" t="s">
        <v>23430</v>
      </c>
      <c r="D422" s="72"/>
      <c r="F422" s="57"/>
      <c r="G422" s="72"/>
      <c r="I422" s="57"/>
      <c r="J422" s="72"/>
      <c r="L422" s="57"/>
      <c r="M422" s="122" t="s">
        <v>17560</v>
      </c>
      <c r="N422" s="37" t="s">
        <v>398</v>
      </c>
      <c r="O422" s="38">
        <v>0.9</v>
      </c>
      <c r="P422" s="299" t="s">
        <v>17556</v>
      </c>
      <c r="Q422" s="45" t="s">
        <v>398</v>
      </c>
      <c r="R422" s="46">
        <v>1</v>
      </c>
      <c r="S422" s="512"/>
      <c r="T422" s="57"/>
      <c r="U422" s="512"/>
      <c r="V422" s="57"/>
      <c r="W422" s="122"/>
      <c r="X422" s="37"/>
      <c r="Y422" s="38"/>
      <c r="Z422" s="79"/>
      <c r="AA422" s="122"/>
      <c r="AB422" s="37"/>
      <c r="AC422" s="38"/>
      <c r="AD422" s="79"/>
      <c r="AE422" s="208">
        <f>ROUND((ROUND((ROUND((_15_同援日１．５*_15・基礎２),0)*_15・２人),0)*(1+_15・盲ろう)),0)+ROUND((ROUND((ROUND((ROUND((_15_同援日１．５＿０．５*_15・基礎２),0)*_15・２人),0)*(1+_15・B夜間)),0)*(1+_15・盲ろう)),0)+ROUND((ROUND((ROUND((ROUND((_15_同援日１．５＿０．５＿１．０*_15・基礎２),0)*_15・２人),0)*(1+_15・C深夜)),0)*(1+_15・盲ろう)),0)</f>
        <v>801</v>
      </c>
      <c r="AF422" s="48"/>
    </row>
    <row r="423" spans="1:32" ht="16.5" customHeight="1" x14ac:dyDescent="0.15">
      <c r="A423" s="41">
        <v>15</v>
      </c>
      <c r="B423" s="41" t="s">
        <v>23431</v>
      </c>
      <c r="C423" s="74" t="s">
        <v>23432</v>
      </c>
      <c r="D423" s="72"/>
      <c r="F423" s="57"/>
      <c r="G423" s="72"/>
      <c r="I423" s="57"/>
      <c r="J423" s="72"/>
      <c r="L423" s="57"/>
      <c r="M423" s="114"/>
      <c r="N423" s="49"/>
      <c r="O423" s="50"/>
      <c r="P423" s="299"/>
      <c r="Q423" s="45"/>
      <c r="R423" s="46"/>
      <c r="S423" s="512"/>
      <c r="T423" s="57"/>
      <c r="U423" s="512"/>
      <c r="V423" s="57"/>
      <c r="W423" s="114"/>
      <c r="X423" s="49"/>
      <c r="Y423" s="50"/>
      <c r="Z423" s="115"/>
      <c r="AA423" s="114"/>
      <c r="AB423" s="49"/>
      <c r="AC423" s="50"/>
      <c r="AD423" s="115"/>
      <c r="AE423" s="208">
        <f>ROUND((_15_同援日１．５*(1+_15・区３)),0)+ROUND((ROUND((_15_同援日１．５＿０．５*(1+_15・B夜間)),0)*(1+_15・区３)),0)+ROUND((ROUND((_15_同援日１．５＿０．５＿１．０*(1+_15・C深夜)),0)*(1+_15・区３)),0)</f>
        <v>851</v>
      </c>
      <c r="AF423" s="48"/>
    </row>
    <row r="424" spans="1:32" ht="16.5" customHeight="1" x14ac:dyDescent="0.15">
      <c r="A424" s="41">
        <v>15</v>
      </c>
      <c r="B424" s="41" t="s">
        <v>23433</v>
      </c>
      <c r="C424" s="74" t="s">
        <v>23434</v>
      </c>
      <c r="D424" s="72"/>
      <c r="F424" s="57"/>
      <c r="G424" s="72"/>
      <c r="I424" s="57"/>
      <c r="J424" s="72"/>
      <c r="L424" s="57"/>
      <c r="M424" s="122"/>
      <c r="N424" s="37"/>
      <c r="O424" s="38"/>
      <c r="P424" s="299" t="s">
        <v>17556</v>
      </c>
      <c r="Q424" s="45" t="s">
        <v>398</v>
      </c>
      <c r="R424" s="46">
        <v>1</v>
      </c>
      <c r="S424" s="512"/>
      <c r="T424" s="57"/>
      <c r="U424" s="512"/>
      <c r="V424" s="57"/>
      <c r="W424" s="72"/>
      <c r="Z424" s="57"/>
      <c r="AA424" s="72"/>
      <c r="AD424" s="57"/>
      <c r="AE424" s="208">
        <f>ROUND((ROUND((_15_同援日１．５*_15・２人),0)*(1+_15・区３)),0)+ROUND((ROUND((ROUND((_15_同援日１．５＿０．５*_15・２人),0)*(1+_15・B夜間)),0)*(1+_15・区３)),0)+ROUND((ROUND((ROUND((_15_同援日１．５＿０．５＿１．０*_15・２人),0)*(1+_15・C深夜)),0)*(1+_15・区３)),0)</f>
        <v>851</v>
      </c>
      <c r="AF424" s="48"/>
    </row>
    <row r="425" spans="1:32" ht="16.5" customHeight="1" x14ac:dyDescent="0.15">
      <c r="A425" s="41">
        <v>15</v>
      </c>
      <c r="B425" s="41" t="s">
        <v>23435</v>
      </c>
      <c r="C425" s="74" t="s">
        <v>23436</v>
      </c>
      <c r="D425" s="72"/>
      <c r="F425" s="57"/>
      <c r="G425" s="72"/>
      <c r="I425" s="57"/>
      <c r="J425" s="72"/>
      <c r="L425" s="57"/>
      <c r="M425" s="114" t="s">
        <v>17558</v>
      </c>
      <c r="N425" s="49"/>
      <c r="O425" s="50"/>
      <c r="P425" s="299"/>
      <c r="Q425" s="45"/>
      <c r="R425" s="46"/>
      <c r="S425" s="512"/>
      <c r="T425" s="57"/>
      <c r="U425" s="512"/>
      <c r="V425" s="57"/>
      <c r="W425" s="72"/>
      <c r="Z425" s="57"/>
      <c r="AA425" s="72" t="s">
        <v>17570</v>
      </c>
      <c r="AD425" s="57"/>
      <c r="AE425" s="208">
        <f>ROUND((ROUND((_15_同援日１．５*_15・基礎２),0)*(1+_15・区３)),0)+ROUND((ROUND((ROUND((_15_同援日１．５＿０．５*_15・基礎２),0)*(1+_15・B夜間)),0)*(1+_15・区３)),0)+ROUND((ROUND((ROUND((_15_同援日１．５＿０．５＿１．０*_15・基礎２),0)*(1+_15・C深夜)),0)*(1+_15・区３)),0)</f>
        <v>768</v>
      </c>
      <c r="AF425" s="48"/>
    </row>
    <row r="426" spans="1:32" ht="16.5" customHeight="1" x14ac:dyDescent="0.15">
      <c r="A426" s="41">
        <v>15</v>
      </c>
      <c r="B426" s="41" t="s">
        <v>23437</v>
      </c>
      <c r="C426" s="74" t="s">
        <v>23438</v>
      </c>
      <c r="D426" s="72"/>
      <c r="F426" s="57"/>
      <c r="G426" s="72"/>
      <c r="I426" s="57"/>
      <c r="J426" s="72"/>
      <c r="L426" s="57"/>
      <c r="M426" s="122" t="s">
        <v>17560</v>
      </c>
      <c r="N426" s="37" t="s">
        <v>398</v>
      </c>
      <c r="O426" s="38">
        <v>0.9</v>
      </c>
      <c r="P426" s="299" t="s">
        <v>17556</v>
      </c>
      <c r="Q426" s="45" t="s">
        <v>398</v>
      </c>
      <c r="R426" s="46">
        <v>1</v>
      </c>
      <c r="S426" s="512"/>
      <c r="T426" s="57"/>
      <c r="U426" s="512"/>
      <c r="V426" s="57"/>
      <c r="W426" s="122"/>
      <c r="X426" s="37"/>
      <c r="Y426" s="38"/>
      <c r="Z426" s="79"/>
      <c r="AA426" s="72" t="s">
        <v>17572</v>
      </c>
      <c r="AD426" s="57"/>
      <c r="AE426" s="208">
        <f>ROUND((ROUND((ROUND((_15_同援日１．５*_15・基礎２),0)*_15・２人),0)*(1+_15・区３)),0)+ROUND((ROUND((ROUND((ROUND((_15_同援日１．５＿０．５*_15・基礎２),0)*_15・２人),0)*(1+_15・B夜間)),0)*(1+_15・区３)),0)+ROUND((ROUND((ROUND((ROUND((_15_同援日１．５＿０．５＿１．０*_15・基礎２),0)*_15・２人),0)*(1+_15・C深夜)),0)*(1+_15・区３)),0)</f>
        <v>768</v>
      </c>
      <c r="AF426" s="48"/>
    </row>
    <row r="427" spans="1:32" ht="16.5" customHeight="1" x14ac:dyDescent="0.15">
      <c r="A427" s="41">
        <v>15</v>
      </c>
      <c r="B427" s="41" t="s">
        <v>23439</v>
      </c>
      <c r="C427" s="74" t="s">
        <v>23440</v>
      </c>
      <c r="D427" s="72"/>
      <c r="F427" s="57"/>
      <c r="G427" s="72"/>
      <c r="I427" s="57"/>
      <c r="J427" s="72"/>
      <c r="L427" s="57"/>
      <c r="M427" s="114"/>
      <c r="N427" s="49"/>
      <c r="O427" s="50"/>
      <c r="P427" s="299"/>
      <c r="Q427" s="45"/>
      <c r="R427" s="46"/>
      <c r="S427" s="512"/>
      <c r="T427" s="57"/>
      <c r="U427" s="512"/>
      <c r="V427" s="57"/>
      <c r="W427" s="114" t="s">
        <v>17562</v>
      </c>
      <c r="X427" s="49"/>
      <c r="Y427" s="50"/>
      <c r="Z427" s="115"/>
      <c r="AA427" s="72"/>
      <c r="AB427" s="12" t="s">
        <v>398</v>
      </c>
      <c r="AC427" s="13">
        <v>0.2</v>
      </c>
      <c r="AD427" s="57" t="s">
        <v>3575</v>
      </c>
      <c r="AE427" s="208">
        <f>ROUND((ROUND((_15_同援日１．５*(1+_15・盲ろう)),0)*(1+_15・区３)),0)+ROUND((ROUND((ROUND((_15_同援日１．５＿０．５*(1+_15・B夜間)),0)*(1+_15・盲ろう)),0)*(1+_15・区３)),0)+ROUND((ROUND((ROUND((_15_同援日１．５＿０．５＿１．０*(1+_15・C深夜)),0)*(1+_15・盲ろう)),0)*(1+_15・区３)),0)</f>
        <v>1063</v>
      </c>
      <c r="AF427" s="48"/>
    </row>
    <row r="428" spans="1:32" ht="16.5" customHeight="1" x14ac:dyDescent="0.15">
      <c r="A428" s="41">
        <v>15</v>
      </c>
      <c r="B428" s="41" t="s">
        <v>23441</v>
      </c>
      <c r="C428" s="74" t="s">
        <v>23442</v>
      </c>
      <c r="D428" s="72"/>
      <c r="F428" s="57"/>
      <c r="G428" s="72"/>
      <c r="I428" s="57"/>
      <c r="J428" s="72"/>
      <c r="L428" s="57"/>
      <c r="M428" s="122"/>
      <c r="N428" s="37"/>
      <c r="O428" s="38"/>
      <c r="P428" s="299" t="s">
        <v>17556</v>
      </c>
      <c r="Q428" s="45" t="s">
        <v>398</v>
      </c>
      <c r="R428" s="46">
        <v>1</v>
      </c>
      <c r="S428" s="512"/>
      <c r="T428" s="57"/>
      <c r="U428" s="512"/>
      <c r="V428" s="57"/>
      <c r="W428" s="72" t="s">
        <v>17564</v>
      </c>
      <c r="Z428" s="57"/>
      <c r="AA428" s="72"/>
      <c r="AD428" s="57"/>
      <c r="AE428" s="208">
        <f>ROUND((ROUND((ROUND((_15_同援日１．５*_15・２人),0)*(1+_15・盲ろう)),0)*(1+_15・区３)),0)+ROUND((ROUND((ROUND((ROUND((_15_同援日１．５＿０．５*_15・２人),0)*(1+_15・B夜間)),0)*(1+_15・盲ろう)),0)*(1+_15・区３)),0)+ROUND((ROUND((ROUND((ROUND((_15_同援日１．５＿０．５＿１．０*_15・２人),0)*(1+_15・C深夜)),0)*(1+_15・盲ろう)),0)*(1+_15・区３)),0)</f>
        <v>1063</v>
      </c>
      <c r="AF428" s="48"/>
    </row>
    <row r="429" spans="1:32" ht="16.5" customHeight="1" x14ac:dyDescent="0.15">
      <c r="A429" s="41">
        <v>15</v>
      </c>
      <c r="B429" s="41" t="s">
        <v>1699</v>
      </c>
      <c r="C429" s="74" t="s">
        <v>23443</v>
      </c>
      <c r="D429" s="72"/>
      <c r="F429" s="57"/>
      <c r="G429" s="72"/>
      <c r="I429" s="57"/>
      <c r="J429" s="72"/>
      <c r="L429" s="57"/>
      <c r="M429" s="114" t="s">
        <v>17558</v>
      </c>
      <c r="N429" s="49"/>
      <c r="O429" s="50"/>
      <c r="P429" s="299"/>
      <c r="Q429" s="45"/>
      <c r="R429" s="46"/>
      <c r="S429" s="512"/>
      <c r="T429" s="57"/>
      <c r="U429" s="512"/>
      <c r="V429" s="57"/>
      <c r="W429" s="72"/>
      <c r="X429" s="12" t="s">
        <v>398</v>
      </c>
      <c r="Y429" s="13">
        <v>0.25</v>
      </c>
      <c r="Z429" s="57" t="s">
        <v>3575</v>
      </c>
      <c r="AA429" s="72"/>
      <c r="AD429" s="57"/>
      <c r="AE429" s="208">
        <f>ROUND((ROUND((ROUND((_15_同援日１．５*_15・基礎２),0)*(1+_15・盲ろう)),0)*(1+_15・区３)),0)+ROUND((ROUND((ROUND((ROUND((_15_同援日１．５＿０．５*_15・基礎２),0)*(1+_15・B夜間)),0)*(1+_15・盲ろう)),0)*(1+_15・区３)),0)+ROUND((ROUND((ROUND((ROUND((_15_同援日１．５＿０．５＿１．０*_15・基礎２),0)*(1+_15・C深夜)),0)*(1+_15・盲ろう)),0)*(1+_15・区３)),0)</f>
        <v>962</v>
      </c>
      <c r="AF429" s="48"/>
    </row>
    <row r="430" spans="1:32" ht="16.5" customHeight="1" x14ac:dyDescent="0.15">
      <c r="A430" s="41">
        <v>15</v>
      </c>
      <c r="B430" s="41" t="s">
        <v>1701</v>
      </c>
      <c r="C430" s="74" t="s">
        <v>23444</v>
      </c>
      <c r="D430" s="72"/>
      <c r="F430" s="57"/>
      <c r="G430" s="72"/>
      <c r="I430" s="57"/>
      <c r="J430" s="72"/>
      <c r="L430" s="57"/>
      <c r="M430" s="122" t="s">
        <v>17560</v>
      </c>
      <c r="N430" s="37" t="s">
        <v>398</v>
      </c>
      <c r="O430" s="38">
        <v>0.9</v>
      </c>
      <c r="P430" s="299" t="s">
        <v>17556</v>
      </c>
      <c r="Q430" s="45" t="s">
        <v>398</v>
      </c>
      <c r="R430" s="46">
        <v>1</v>
      </c>
      <c r="S430" s="512"/>
      <c r="T430" s="57"/>
      <c r="U430" s="512"/>
      <c r="V430" s="57"/>
      <c r="W430" s="122"/>
      <c r="X430" s="37"/>
      <c r="Y430" s="38"/>
      <c r="Z430" s="79"/>
      <c r="AA430" s="122"/>
      <c r="AB430" s="37"/>
      <c r="AC430" s="38"/>
      <c r="AD430" s="79"/>
      <c r="AE430" s="208">
        <f>ROUND((ROUND((ROUND((ROUND((_15_同援日１．５*_15・基礎２),0)*_15・２人),0)*(1+_15・盲ろう)),0)*(1+_15・区３)),0)+ROUND((ROUND((ROUND((ROUND((ROUND((_15_同援日１．５＿０．５*_15・基礎２),0)*_15・２人),0)*(1+_15・B夜間)),0)*(1+_15・盲ろう)),0)*(1+_15・区３)),0)+ROUND((ROUND((ROUND((ROUND((ROUND((_15_同援日１．５＿０．５＿１．０*_15・基礎２),0)*_15・２人),0)*(1+_15・C深夜)),0)*(1+_15・盲ろう)),0)*(1+_15・区３)),0)</f>
        <v>962</v>
      </c>
      <c r="AF430" s="48"/>
    </row>
    <row r="431" spans="1:32" ht="16.5" customHeight="1" x14ac:dyDescent="0.15">
      <c r="A431" s="41">
        <v>15</v>
      </c>
      <c r="B431" s="41" t="s">
        <v>1703</v>
      </c>
      <c r="C431" s="74" t="s">
        <v>23445</v>
      </c>
      <c r="D431" s="72"/>
      <c r="F431" s="57"/>
      <c r="G431" s="72"/>
      <c r="I431" s="57"/>
      <c r="J431" s="72"/>
      <c r="L431" s="57"/>
      <c r="M431" s="114"/>
      <c r="N431" s="49"/>
      <c r="O431" s="50"/>
      <c r="P431" s="299"/>
      <c r="Q431" s="45"/>
      <c r="R431" s="46"/>
      <c r="S431" s="512"/>
      <c r="T431" s="57"/>
      <c r="U431" s="512"/>
      <c r="V431" s="57"/>
      <c r="W431" s="114"/>
      <c r="X431" s="49"/>
      <c r="Y431" s="50"/>
      <c r="Z431" s="115"/>
      <c r="AA431" s="114"/>
      <c r="AB431" s="49"/>
      <c r="AC431" s="50"/>
      <c r="AD431" s="115"/>
      <c r="AE431" s="208">
        <f>ROUND((_15_同援日１．５*(1+_15・区４)),0)+ROUND((ROUND((_15_同援日１．５＿０．５*(1+_15・B夜間)),0)*(1+_15・区４)),0)+ROUND((ROUND((_15_同援日１．５＿０．５＿１．０*(1+_15・C深夜)),0)*(1+_15・区４)),0)</f>
        <v>992</v>
      </c>
      <c r="AF431" s="48"/>
    </row>
    <row r="432" spans="1:32" ht="16.5" customHeight="1" x14ac:dyDescent="0.15">
      <c r="A432" s="41">
        <v>15</v>
      </c>
      <c r="B432" s="41" t="s">
        <v>1705</v>
      </c>
      <c r="C432" s="74" t="s">
        <v>23446</v>
      </c>
      <c r="D432" s="72"/>
      <c r="F432" s="57"/>
      <c r="G432" s="72"/>
      <c r="I432" s="57"/>
      <c r="J432" s="72"/>
      <c r="L432" s="57"/>
      <c r="M432" s="122"/>
      <c r="N432" s="37"/>
      <c r="O432" s="38"/>
      <c r="P432" s="299" t="s">
        <v>17556</v>
      </c>
      <c r="Q432" s="45" t="s">
        <v>398</v>
      </c>
      <c r="R432" s="46">
        <v>1</v>
      </c>
      <c r="S432" s="512"/>
      <c r="T432" s="57"/>
      <c r="U432" s="512"/>
      <c r="V432" s="57"/>
      <c r="W432" s="72"/>
      <c r="Z432" s="57"/>
      <c r="AA432" s="72"/>
      <c r="AD432" s="57"/>
      <c r="AE432" s="208">
        <f>ROUND((ROUND((_15_同援日１．５*_15・２人),0)*(1+_15・区４)),0)+ROUND((ROUND((ROUND((_15_同援日１．５＿０．５*_15・２人),0)*(1+_15・B夜間)),0)*(1+_15・区４)),0)+ROUND((ROUND((ROUND((_15_同援日１．５＿０．５＿１．０*_15・２人),0)*(1+_15・C深夜)),0)*(1+_15・区４)),0)</f>
        <v>992</v>
      </c>
      <c r="AF432" s="48"/>
    </row>
    <row r="433" spans="1:32" ht="16.5" customHeight="1" x14ac:dyDescent="0.15">
      <c r="A433" s="41">
        <v>15</v>
      </c>
      <c r="B433" s="41" t="s">
        <v>23447</v>
      </c>
      <c r="C433" s="74" t="s">
        <v>23448</v>
      </c>
      <c r="D433" s="72"/>
      <c r="F433" s="57"/>
      <c r="G433" s="72"/>
      <c r="I433" s="57"/>
      <c r="J433" s="72"/>
      <c r="L433" s="57"/>
      <c r="M433" s="114" t="s">
        <v>17558</v>
      </c>
      <c r="N433" s="49"/>
      <c r="O433" s="50"/>
      <c r="P433" s="299"/>
      <c r="Q433" s="45"/>
      <c r="R433" s="46"/>
      <c r="S433" s="512"/>
      <c r="T433" s="57"/>
      <c r="U433" s="512"/>
      <c r="V433" s="57"/>
      <c r="W433" s="72"/>
      <c r="Z433" s="57"/>
      <c r="AA433" s="72" t="s">
        <v>17580</v>
      </c>
      <c r="AD433" s="57"/>
      <c r="AE433" s="208">
        <f>ROUND((ROUND((_15_同援日１．５*_15・基礎２),0)*(1+_15・区４)),0)+ROUND((ROUND((ROUND((_15_同援日１．５＿０．５*_15・基礎２),0)*(1+_15・B夜間)),0)*(1+_15・区４)),0)+ROUND((ROUND((ROUND((_15_同援日１．５＿０．５＿１．０*_15・基礎２),0)*(1+_15・C深夜)),0)*(1+_15・区４)),0)</f>
        <v>896</v>
      </c>
      <c r="AF433" s="48"/>
    </row>
    <row r="434" spans="1:32" ht="16.5" customHeight="1" x14ac:dyDescent="0.15">
      <c r="A434" s="41">
        <v>15</v>
      </c>
      <c r="B434" s="41" t="s">
        <v>23449</v>
      </c>
      <c r="C434" s="74" t="s">
        <v>23450</v>
      </c>
      <c r="D434" s="72"/>
      <c r="F434" s="57"/>
      <c r="G434" s="72"/>
      <c r="I434" s="57"/>
      <c r="J434" s="72"/>
      <c r="L434" s="57"/>
      <c r="M434" s="122" t="s">
        <v>17560</v>
      </c>
      <c r="N434" s="37" t="s">
        <v>398</v>
      </c>
      <c r="O434" s="38">
        <v>0.9</v>
      </c>
      <c r="P434" s="299" t="s">
        <v>17556</v>
      </c>
      <c r="Q434" s="45" t="s">
        <v>398</v>
      </c>
      <c r="R434" s="46">
        <v>1</v>
      </c>
      <c r="S434" s="512"/>
      <c r="T434" s="57"/>
      <c r="U434" s="512"/>
      <c r="V434" s="57"/>
      <c r="W434" s="122"/>
      <c r="X434" s="37"/>
      <c r="Y434" s="38"/>
      <c r="Z434" s="79"/>
      <c r="AA434" s="72" t="s">
        <v>17572</v>
      </c>
      <c r="AD434" s="57"/>
      <c r="AE434" s="208">
        <f>ROUND((ROUND((ROUND((_15_同援日１．５*_15・基礎２),0)*_15・２人),0)*(1+_15・区４)),0)+ROUND((ROUND((ROUND((ROUND((_15_同援日１．５＿０．５*_15・基礎２),0)*_15・２人),0)*(1+_15・B夜間)),0)*(1+_15・区４)),0)+ROUND((ROUND((ROUND((ROUND((_15_同援日１．５＿０．５＿１．０*_15・基礎２),0)*_15・２人),0)*(1+_15・C深夜)),0)*(1+_15・区４)),0)</f>
        <v>896</v>
      </c>
      <c r="AF434" s="48"/>
    </row>
    <row r="435" spans="1:32" ht="16.5" customHeight="1" x14ac:dyDescent="0.15">
      <c r="A435" s="41">
        <v>15</v>
      </c>
      <c r="B435" s="41" t="s">
        <v>23451</v>
      </c>
      <c r="C435" s="74" t="s">
        <v>23452</v>
      </c>
      <c r="D435" s="72"/>
      <c r="F435" s="57"/>
      <c r="G435" s="72"/>
      <c r="I435" s="57"/>
      <c r="J435" s="72"/>
      <c r="L435" s="57"/>
      <c r="M435" s="114"/>
      <c r="N435" s="49"/>
      <c r="O435" s="50"/>
      <c r="P435" s="299"/>
      <c r="Q435" s="45"/>
      <c r="R435" s="46"/>
      <c r="S435" s="512"/>
      <c r="T435" s="57"/>
      <c r="U435" s="512"/>
      <c r="V435" s="57"/>
      <c r="W435" s="114" t="s">
        <v>17562</v>
      </c>
      <c r="X435" s="49"/>
      <c r="Y435" s="50"/>
      <c r="Z435" s="115"/>
      <c r="AA435" s="72"/>
      <c r="AB435" s="12" t="s">
        <v>398</v>
      </c>
      <c r="AC435" s="13">
        <v>0.4</v>
      </c>
      <c r="AD435" s="57" t="s">
        <v>3575</v>
      </c>
      <c r="AE435" s="208">
        <f>ROUND((ROUND((_15_同援日１．５*(1+_15・盲ろう)),0)*(1+_15・区４)),0)+ROUND((ROUND((ROUND((_15_同援日１．５＿０．５*(1+_15・B夜間)),0)*(1+_15・盲ろう)),0)*(1+_15・区４)),0)+ROUND((ROUND((ROUND((_15_同援日１．５＿０．５＿１．０*(1+_15・C深夜)),0)*(1+_15・盲ろう)),0)*(1+_15・区４)),0)</f>
        <v>1240</v>
      </c>
      <c r="AF435" s="48"/>
    </row>
    <row r="436" spans="1:32" ht="16.5" customHeight="1" x14ac:dyDescent="0.15">
      <c r="A436" s="41">
        <v>15</v>
      </c>
      <c r="B436" s="41" t="s">
        <v>23453</v>
      </c>
      <c r="C436" s="74" t="s">
        <v>23454</v>
      </c>
      <c r="D436" s="72"/>
      <c r="F436" s="57"/>
      <c r="G436" s="72"/>
      <c r="I436" s="57"/>
      <c r="J436" s="72"/>
      <c r="L436" s="57"/>
      <c r="M436" s="122"/>
      <c r="N436" s="37"/>
      <c r="O436" s="38"/>
      <c r="P436" s="299" t="s">
        <v>17556</v>
      </c>
      <c r="Q436" s="45" t="s">
        <v>398</v>
      </c>
      <c r="R436" s="46">
        <v>1</v>
      </c>
      <c r="S436" s="512"/>
      <c r="T436" s="57"/>
      <c r="U436" s="512"/>
      <c r="V436" s="57"/>
      <c r="W436" s="72" t="s">
        <v>17564</v>
      </c>
      <c r="Z436" s="57"/>
      <c r="AA436" s="72"/>
      <c r="AD436" s="57"/>
      <c r="AE436" s="208">
        <f>ROUND((ROUND((ROUND((_15_同援日１．５*_15・２人),0)*(1+_15・盲ろう)),0)*(1+_15・区４)),0)+ROUND((ROUND((ROUND((ROUND((_15_同援日１．５＿０．５*_15・２人),0)*(1+_15・B夜間)),0)*(1+_15・盲ろう)),0)*(1+_15・区４)),0)+ROUND((ROUND((ROUND((ROUND((_15_同援日１．５＿０．５＿１．０*_15・２人),0)*(1+_15・C深夜)),0)*(1+_15・盲ろう)),0)*(1+_15・区４)),0)</f>
        <v>1240</v>
      </c>
      <c r="AF436" s="48"/>
    </row>
    <row r="437" spans="1:32" ht="16.5" customHeight="1" x14ac:dyDescent="0.15">
      <c r="A437" s="41">
        <v>15</v>
      </c>
      <c r="B437" s="41" t="s">
        <v>23455</v>
      </c>
      <c r="C437" s="74" t="s">
        <v>23456</v>
      </c>
      <c r="D437" s="72"/>
      <c r="F437" s="57"/>
      <c r="G437" s="72"/>
      <c r="I437" s="57"/>
      <c r="J437" s="72"/>
      <c r="L437" s="57"/>
      <c r="M437" s="114" t="s">
        <v>17558</v>
      </c>
      <c r="N437" s="49"/>
      <c r="O437" s="50"/>
      <c r="P437" s="299"/>
      <c r="Q437" s="45"/>
      <c r="R437" s="46"/>
      <c r="S437" s="512"/>
      <c r="T437" s="57"/>
      <c r="U437" s="512"/>
      <c r="V437" s="57"/>
      <c r="W437" s="72"/>
      <c r="X437" s="12" t="s">
        <v>398</v>
      </c>
      <c r="Y437" s="13">
        <v>0.25</v>
      </c>
      <c r="Z437" s="57" t="s">
        <v>3575</v>
      </c>
      <c r="AA437" s="72"/>
      <c r="AD437" s="57"/>
      <c r="AE437" s="208">
        <f>ROUND((ROUND((ROUND((_15_同援日１．５*_15・基礎２),0)*(1+_15・盲ろう)),0)*(1+_15・区４)),0)+ROUND((ROUND((ROUND((ROUND((_15_同援日１．５＿０．５*_15・基礎２),0)*(1+_15・B夜間)),0)*(1+_15・盲ろう)),0)*(1+_15・区４)),0)+ROUND((ROUND((ROUND((ROUND((_15_同援日１．５＿０．５＿１．０*_15・基礎２),0)*(1+_15・C深夜)),0)*(1+_15・盲ろう)),0)*(1+_15・区４)),0)</f>
        <v>1121</v>
      </c>
      <c r="AF437" s="48"/>
    </row>
    <row r="438" spans="1:32" ht="16.5" customHeight="1" x14ac:dyDescent="0.15">
      <c r="A438" s="41">
        <v>15</v>
      </c>
      <c r="B438" s="41" t="s">
        <v>23457</v>
      </c>
      <c r="C438" s="74" t="s">
        <v>23458</v>
      </c>
      <c r="D438" s="72"/>
      <c r="F438" s="57"/>
      <c r="G438" s="122"/>
      <c r="H438" s="37"/>
      <c r="I438" s="79"/>
      <c r="J438" s="122"/>
      <c r="K438" s="37"/>
      <c r="L438" s="79"/>
      <c r="M438" s="122" t="s">
        <v>17560</v>
      </c>
      <c r="N438" s="37" t="s">
        <v>398</v>
      </c>
      <c r="O438" s="38">
        <v>0.9</v>
      </c>
      <c r="P438" s="299" t="s">
        <v>17556</v>
      </c>
      <c r="Q438" s="45" t="s">
        <v>398</v>
      </c>
      <c r="R438" s="46">
        <v>1</v>
      </c>
      <c r="S438" s="512"/>
      <c r="T438" s="57"/>
      <c r="U438" s="512"/>
      <c r="V438" s="57"/>
      <c r="W438" s="122"/>
      <c r="X438" s="37"/>
      <c r="Y438" s="38"/>
      <c r="Z438" s="79"/>
      <c r="AA438" s="122"/>
      <c r="AB438" s="37"/>
      <c r="AC438" s="38"/>
      <c r="AD438" s="79"/>
      <c r="AE438" s="208">
        <f>ROUND((ROUND((ROUND((ROUND((_15_同援日１．５*_15・基礎２),0)*_15・２人),0)*(1+_15・盲ろう)),0)*(1+_15・区４)),0)+ROUND((ROUND((ROUND((ROUND((ROUND((_15_同援日１．５＿０．５*_15・基礎２),0)*_15・２人),0)*(1+_15・B夜間)),0)*(1+_15・盲ろう)),0)*(1+_15・区４)),0)+ROUND((ROUND((ROUND((ROUND((ROUND((_15_同援日１．５＿０．５＿１．０*_15・基礎２),0)*_15・２人),0)*(1+_15・C深夜)),0)*(1+_15・盲ろう)),0)*(1+_15・区４)),0)</f>
        <v>1121</v>
      </c>
      <c r="AF438" s="48"/>
    </row>
    <row r="439" spans="1:32" ht="16.5" customHeight="1" x14ac:dyDescent="0.15">
      <c r="A439" s="41">
        <v>15</v>
      </c>
      <c r="B439" s="41" t="s">
        <v>23459</v>
      </c>
      <c r="C439" s="74" t="s">
        <v>23460</v>
      </c>
      <c r="D439" s="72"/>
      <c r="F439" s="57"/>
      <c r="G439" s="114" t="s">
        <v>19578</v>
      </c>
      <c r="H439" s="49"/>
      <c r="I439" s="115"/>
      <c r="J439" s="114" t="s">
        <v>22681</v>
      </c>
      <c r="K439" s="49"/>
      <c r="L439" s="115"/>
      <c r="M439" s="114"/>
      <c r="N439" s="49"/>
      <c r="O439" s="50"/>
      <c r="P439" s="299"/>
      <c r="Q439" s="45"/>
      <c r="R439" s="46"/>
      <c r="S439" s="512"/>
      <c r="T439" s="57"/>
      <c r="U439" s="512"/>
      <c r="V439" s="57"/>
      <c r="W439" s="114"/>
      <c r="X439" s="49"/>
      <c r="Y439" s="50"/>
      <c r="Z439" s="115"/>
      <c r="AA439" s="114"/>
      <c r="AB439" s="49"/>
      <c r="AC439" s="50"/>
      <c r="AD439" s="115"/>
      <c r="AE439" s="208">
        <f>_15_同援日１．５+ROUND((_15_同援日１．５＿１．０*(1+_15・B夜間)),0)+ROUND((_15_同援日１．５＿１．０＿０．５*(1+_15・C深夜)),0)</f>
        <v>694</v>
      </c>
      <c r="AF439" s="48"/>
    </row>
    <row r="440" spans="1:32" ht="16.5" customHeight="1" x14ac:dyDescent="0.15">
      <c r="A440" s="41">
        <v>15</v>
      </c>
      <c r="B440" s="41" t="s">
        <v>23461</v>
      </c>
      <c r="C440" s="74" t="s">
        <v>23462</v>
      </c>
      <c r="D440" s="72"/>
      <c r="F440" s="57"/>
      <c r="G440" s="72" t="s">
        <v>17589</v>
      </c>
      <c r="I440" s="57"/>
      <c r="J440" s="72" t="s">
        <v>18259</v>
      </c>
      <c r="L440" s="57"/>
      <c r="M440" s="122"/>
      <c r="N440" s="37"/>
      <c r="O440" s="38"/>
      <c r="P440" s="299" t="s">
        <v>17556</v>
      </c>
      <c r="Q440" s="45" t="s">
        <v>398</v>
      </c>
      <c r="R440" s="46">
        <v>1</v>
      </c>
      <c r="S440" s="512"/>
      <c r="T440" s="57"/>
      <c r="U440" s="512"/>
      <c r="V440" s="57"/>
      <c r="W440" s="72"/>
      <c r="Z440" s="57"/>
      <c r="AA440" s="72"/>
      <c r="AD440" s="57"/>
      <c r="AE440" s="208">
        <f>ROUND((_15_同援日１．５*_15・２人),0)+ROUND((ROUND((_15_同援日１．５＿１．０*_15・２人),0)*(1+_15・B夜間)),0)+ROUND((ROUND((_15_同援日１．５＿１．０＿０．５*_15・２人),0)*(1+_15・C深夜)),0)</f>
        <v>694</v>
      </c>
      <c r="AF440" s="48"/>
    </row>
    <row r="441" spans="1:32" ht="16.5" customHeight="1" x14ac:dyDescent="0.15">
      <c r="A441" s="41">
        <v>15</v>
      </c>
      <c r="B441" s="41" t="s">
        <v>23463</v>
      </c>
      <c r="C441" s="74" t="s">
        <v>23464</v>
      </c>
      <c r="D441" s="72"/>
      <c r="F441" s="57"/>
      <c r="G441" s="72" t="s">
        <v>17591</v>
      </c>
      <c r="I441" s="57"/>
      <c r="J441" s="72"/>
      <c r="L441" s="57"/>
      <c r="M441" s="114" t="s">
        <v>17558</v>
      </c>
      <c r="N441" s="49"/>
      <c r="O441" s="50"/>
      <c r="P441" s="299"/>
      <c r="Q441" s="45"/>
      <c r="R441" s="46"/>
      <c r="S441" s="512"/>
      <c r="T441" s="57"/>
      <c r="U441" s="512"/>
      <c r="V441" s="57"/>
      <c r="W441" s="72"/>
      <c r="Z441" s="57"/>
      <c r="AA441" s="72"/>
      <c r="AD441" s="57"/>
      <c r="AE441" s="208">
        <f>ROUND((_15_同援日１．５*_15・基礎２),0)+ROUND((ROUND((_15_同援日１．５＿１．０*_15・基礎２),0)*(1+_15・B夜間)),0)+ROUND((ROUND((_15_同援日１．５＿１．０＿０．５*_15・基礎２),0)*(1+_15・C深夜)),0)</f>
        <v>625</v>
      </c>
      <c r="AF441" s="48"/>
    </row>
    <row r="442" spans="1:32" ht="16.5" customHeight="1" x14ac:dyDescent="0.15">
      <c r="A442" s="41">
        <v>15</v>
      </c>
      <c r="B442" s="41" t="s">
        <v>23465</v>
      </c>
      <c r="C442" s="74" t="s">
        <v>23466</v>
      </c>
      <c r="D442" s="72"/>
      <c r="F442" s="57"/>
      <c r="G442" s="72"/>
      <c r="H442" s="168">
        <f>_15_同援日１．５＿１．０</f>
        <v>130</v>
      </c>
      <c r="I442" s="57" t="s">
        <v>392</v>
      </c>
      <c r="J442" s="72"/>
      <c r="K442" s="168">
        <f>_15_同援日１．５＿１．０＿０．５</f>
        <v>65</v>
      </c>
      <c r="L442" s="57" t="s">
        <v>392</v>
      </c>
      <c r="M442" s="122" t="s">
        <v>17560</v>
      </c>
      <c r="N442" s="37" t="s">
        <v>398</v>
      </c>
      <c r="O442" s="38">
        <v>0.9</v>
      </c>
      <c r="P442" s="299" t="s">
        <v>17556</v>
      </c>
      <c r="Q442" s="45" t="s">
        <v>398</v>
      </c>
      <c r="R442" s="46">
        <v>1</v>
      </c>
      <c r="S442" s="512"/>
      <c r="T442" s="57"/>
      <c r="U442" s="512"/>
      <c r="V442" s="57"/>
      <c r="W442" s="122"/>
      <c r="X442" s="37"/>
      <c r="Y442" s="38"/>
      <c r="Z442" s="79"/>
      <c r="AA442" s="72"/>
      <c r="AD442" s="57"/>
      <c r="AE442" s="208">
        <f>ROUND((ROUND((_15_同援日１．５*_15・基礎２),0)*_15・２人),0)+ROUND((ROUND((ROUND((_15_同援日１．５＿１．０*_15・基礎２),0)*_15・２人),0)*(1+_15・B夜間)),0)+ROUND((ROUND((ROUND((_15_同援日１．５＿１．０＿０．５*_15・基礎２),0)*_15・２人),0)*(1+_15・C深夜)),0)</f>
        <v>625</v>
      </c>
      <c r="AF442" s="48"/>
    </row>
    <row r="443" spans="1:32" ht="16.5" customHeight="1" x14ac:dyDescent="0.15">
      <c r="A443" s="41">
        <v>15</v>
      </c>
      <c r="B443" s="41" t="s">
        <v>23467</v>
      </c>
      <c r="C443" s="74" t="s">
        <v>23468</v>
      </c>
      <c r="D443" s="72"/>
      <c r="F443" s="57"/>
      <c r="G443" s="72"/>
      <c r="I443" s="57"/>
      <c r="J443" s="72"/>
      <c r="L443" s="57"/>
      <c r="M443" s="114"/>
      <c r="N443" s="49"/>
      <c r="O443" s="50"/>
      <c r="P443" s="299"/>
      <c r="Q443" s="45"/>
      <c r="R443" s="46"/>
      <c r="S443" s="512"/>
      <c r="T443" s="57"/>
      <c r="U443" s="512"/>
      <c r="V443" s="57"/>
      <c r="W443" s="114" t="s">
        <v>17562</v>
      </c>
      <c r="X443" s="49"/>
      <c r="Y443" s="50"/>
      <c r="Z443" s="115"/>
      <c r="AA443" s="72"/>
      <c r="AD443" s="57"/>
      <c r="AE443" s="208">
        <f>ROUND((_15_同援日１．５*(1+_15・盲ろう)),0)+ROUND((ROUND((_15_同援日１．５＿１．０*(1+_15・B夜間)),0)*(1+_15・盲ろう)),0)+ROUND((ROUND((_15_同援日１．５＿１．０＿０．５*(1+_15・C深夜)),0)*(1+_15・盲ろう)),0)</f>
        <v>868</v>
      </c>
      <c r="AF443" s="48"/>
    </row>
    <row r="444" spans="1:32" ht="16.5" customHeight="1" x14ac:dyDescent="0.15">
      <c r="A444" s="41">
        <v>15</v>
      </c>
      <c r="B444" s="41" t="s">
        <v>23469</v>
      </c>
      <c r="C444" s="74" t="s">
        <v>23470</v>
      </c>
      <c r="D444" s="72"/>
      <c r="F444" s="57"/>
      <c r="G444" s="72"/>
      <c r="I444" s="57"/>
      <c r="J444" s="72"/>
      <c r="L444" s="57"/>
      <c r="M444" s="122"/>
      <c r="N444" s="37"/>
      <c r="O444" s="38"/>
      <c r="P444" s="299" t="s">
        <v>17556</v>
      </c>
      <c r="Q444" s="45" t="s">
        <v>398</v>
      </c>
      <c r="R444" s="46">
        <v>1</v>
      </c>
      <c r="S444" s="512"/>
      <c r="T444" s="57"/>
      <c r="U444" s="512"/>
      <c r="V444" s="57"/>
      <c r="W444" s="72" t="s">
        <v>17564</v>
      </c>
      <c r="Z444" s="57"/>
      <c r="AA444" s="72"/>
      <c r="AD444" s="57"/>
      <c r="AE444" s="208">
        <f>ROUND((ROUND((_15_同援日１．５*_15・２人),0)*(1+_15・盲ろう)),0)+ROUND((ROUND((ROUND((_15_同援日１．５＿１．０*_15・２人),0)*(1+_15・B夜間)),0)*(1+_15・盲ろう)),0)+ROUND((ROUND((ROUND((_15_同援日１．５＿１．０＿０．５*_15・２人),0)*(1+_15・C深夜)),0)*(1+_15・盲ろう)),0)</f>
        <v>868</v>
      </c>
      <c r="AF444" s="48"/>
    </row>
    <row r="445" spans="1:32" ht="16.5" customHeight="1" x14ac:dyDescent="0.15">
      <c r="A445" s="41">
        <v>15</v>
      </c>
      <c r="B445" s="41" t="s">
        <v>23471</v>
      </c>
      <c r="C445" s="74" t="s">
        <v>23472</v>
      </c>
      <c r="D445" s="72"/>
      <c r="F445" s="57"/>
      <c r="G445" s="72"/>
      <c r="I445" s="57"/>
      <c r="J445" s="72"/>
      <c r="L445" s="57"/>
      <c r="M445" s="114" t="s">
        <v>17558</v>
      </c>
      <c r="N445" s="49"/>
      <c r="O445" s="50"/>
      <c r="P445" s="299"/>
      <c r="Q445" s="45"/>
      <c r="R445" s="46"/>
      <c r="S445" s="512"/>
      <c r="T445" s="57"/>
      <c r="U445" s="512"/>
      <c r="V445" s="57"/>
      <c r="W445" s="72"/>
      <c r="X445" s="12" t="s">
        <v>398</v>
      </c>
      <c r="Y445" s="13">
        <v>0.25</v>
      </c>
      <c r="Z445" s="57" t="s">
        <v>3575</v>
      </c>
      <c r="AA445" s="72"/>
      <c r="AD445" s="57"/>
      <c r="AE445" s="208">
        <f>ROUND((ROUND((_15_同援日１．５*_15・基礎２),0)*(1+_15・盲ろう)),0)+ROUND((ROUND((ROUND((_15_同援日１．５＿１．０*_15・基礎２),0)*(1+_15・B夜間)),0)*(1+_15・盲ろう)),0)+ROUND((ROUND((ROUND((_15_同援日１．５＿１．０＿０．５*_15・基礎２),0)*(1+_15・C深夜)),0)*(1+_15・盲ろう)),0)</f>
        <v>782</v>
      </c>
      <c r="AF445" s="48"/>
    </row>
    <row r="446" spans="1:32" ht="16.5" customHeight="1" x14ac:dyDescent="0.15">
      <c r="A446" s="41">
        <v>15</v>
      </c>
      <c r="B446" s="41" t="s">
        <v>23473</v>
      </c>
      <c r="C446" s="74" t="s">
        <v>23474</v>
      </c>
      <c r="D446" s="72"/>
      <c r="F446" s="57"/>
      <c r="G446" s="72"/>
      <c r="I446" s="57"/>
      <c r="J446" s="72"/>
      <c r="L446" s="57"/>
      <c r="M446" s="122" t="s">
        <v>17560</v>
      </c>
      <c r="N446" s="37" t="s">
        <v>398</v>
      </c>
      <c r="O446" s="38">
        <v>0.9</v>
      </c>
      <c r="P446" s="299" t="s">
        <v>17556</v>
      </c>
      <c r="Q446" s="45" t="s">
        <v>398</v>
      </c>
      <c r="R446" s="46">
        <v>1</v>
      </c>
      <c r="S446" s="512"/>
      <c r="T446" s="57"/>
      <c r="U446" s="512"/>
      <c r="V446" s="57"/>
      <c r="W446" s="122"/>
      <c r="X446" s="37"/>
      <c r="Y446" s="38"/>
      <c r="Z446" s="79"/>
      <c r="AA446" s="122"/>
      <c r="AB446" s="37"/>
      <c r="AC446" s="38"/>
      <c r="AD446" s="79"/>
      <c r="AE446" s="208">
        <f>ROUND((ROUND((ROUND((_15_同援日１．５*_15・基礎２),0)*_15・２人),0)*(1+_15・盲ろう)),0)+ROUND((ROUND((ROUND((ROUND((_15_同援日１．５＿１．０*_15・基礎２),0)*_15・２人),0)*(1+_15・B夜間)),0)*(1+_15・盲ろう)),0)+ROUND((ROUND((ROUND((ROUND((_15_同援日１．５＿１．０＿０．５*_15・基礎２),0)*_15・２人),0)*(1+_15・C深夜)),0)*(1+_15・盲ろう)),0)</f>
        <v>782</v>
      </c>
      <c r="AF446" s="48"/>
    </row>
    <row r="447" spans="1:32" ht="16.5" customHeight="1" x14ac:dyDescent="0.15">
      <c r="A447" s="41">
        <v>15</v>
      </c>
      <c r="B447" s="41" t="s">
        <v>23475</v>
      </c>
      <c r="C447" s="74" t="s">
        <v>23476</v>
      </c>
      <c r="D447" s="72"/>
      <c r="F447" s="57"/>
      <c r="G447" s="72"/>
      <c r="I447" s="57"/>
      <c r="J447" s="72"/>
      <c r="L447" s="57"/>
      <c r="M447" s="114"/>
      <c r="N447" s="49"/>
      <c r="O447" s="50"/>
      <c r="P447" s="299"/>
      <c r="Q447" s="45"/>
      <c r="R447" s="46"/>
      <c r="S447" s="512"/>
      <c r="T447" s="57"/>
      <c r="U447" s="512"/>
      <c r="V447" s="57"/>
      <c r="W447" s="114"/>
      <c r="X447" s="49"/>
      <c r="Y447" s="50"/>
      <c r="Z447" s="115"/>
      <c r="AA447" s="114"/>
      <c r="AB447" s="49"/>
      <c r="AC447" s="50"/>
      <c r="AD447" s="115"/>
      <c r="AE447" s="208">
        <f>ROUND((_15_同援日１．５*(1+_15・区３)),0)+ROUND((ROUND((_15_同援日１．５＿１．０*(1+_15・B夜間)),0)*(1+_15・区３)),0)+ROUND((ROUND((_15_同援日１．５＿１．０＿０．５*(1+_15・C深夜)),0)*(1+_15・区３)),0)</f>
        <v>834</v>
      </c>
      <c r="AF447" s="48"/>
    </row>
    <row r="448" spans="1:32" ht="16.5" customHeight="1" x14ac:dyDescent="0.15">
      <c r="A448" s="41">
        <v>15</v>
      </c>
      <c r="B448" s="41" t="s">
        <v>23477</v>
      </c>
      <c r="C448" s="74" t="s">
        <v>23478</v>
      </c>
      <c r="D448" s="72"/>
      <c r="F448" s="57"/>
      <c r="G448" s="72"/>
      <c r="I448" s="57"/>
      <c r="J448" s="72"/>
      <c r="L448" s="57"/>
      <c r="M448" s="122"/>
      <c r="N448" s="37"/>
      <c r="O448" s="38"/>
      <c r="P448" s="299" t="s">
        <v>17556</v>
      </c>
      <c r="Q448" s="45" t="s">
        <v>398</v>
      </c>
      <c r="R448" s="46">
        <v>1</v>
      </c>
      <c r="S448" s="512"/>
      <c r="T448" s="57"/>
      <c r="U448" s="512"/>
      <c r="V448" s="57"/>
      <c r="W448" s="72"/>
      <c r="Z448" s="57"/>
      <c r="AA448" s="72"/>
      <c r="AD448" s="57"/>
      <c r="AE448" s="208">
        <f>ROUND((ROUND((_15_同援日１．５*_15・２人),0)*(1+_15・区３)),0)+ROUND((ROUND((ROUND((_15_同援日１．５＿１．０*_15・２人),0)*(1+_15・B夜間)),0)*(1+_15・区３)),0)+ROUND((ROUND((ROUND((_15_同援日１．５＿１．０＿０．５*_15・２人),0)*(1+_15・C深夜)),0)*(1+_15・区３)),0)</f>
        <v>834</v>
      </c>
      <c r="AF448" s="48"/>
    </row>
    <row r="449" spans="1:32" ht="16.5" customHeight="1" x14ac:dyDescent="0.15">
      <c r="A449" s="41">
        <v>15</v>
      </c>
      <c r="B449" s="41" t="s">
        <v>1711</v>
      </c>
      <c r="C449" s="74" t="s">
        <v>23479</v>
      </c>
      <c r="D449" s="72"/>
      <c r="F449" s="57"/>
      <c r="G449" s="72"/>
      <c r="I449" s="57"/>
      <c r="J449" s="72"/>
      <c r="L449" s="57"/>
      <c r="M449" s="114" t="s">
        <v>17558</v>
      </c>
      <c r="N449" s="49"/>
      <c r="O449" s="50"/>
      <c r="P449" s="299"/>
      <c r="Q449" s="45"/>
      <c r="R449" s="46"/>
      <c r="S449" s="512"/>
      <c r="T449" s="57"/>
      <c r="U449" s="512"/>
      <c r="V449" s="57"/>
      <c r="W449" s="72"/>
      <c r="Z449" s="57"/>
      <c r="AA449" s="72" t="s">
        <v>17570</v>
      </c>
      <c r="AD449" s="57"/>
      <c r="AE449" s="208">
        <f>ROUND((ROUND((_15_同援日１．５*_15・基礎２),0)*(1+_15・区３)),0)+ROUND((ROUND((ROUND((_15_同援日１．５＿１．０*_15・基礎２),0)*(1+_15・B夜間)),0)*(1+_15・区３)),0)+ROUND((ROUND((ROUND((_15_同援日１．５＿１．０＿０．５*_15・基礎２),0)*(1+_15・C深夜)),0)*(1+_15・区３)),0)</f>
        <v>750</v>
      </c>
      <c r="AF449" s="48"/>
    </row>
    <row r="450" spans="1:32" ht="16.5" customHeight="1" x14ac:dyDescent="0.15">
      <c r="A450" s="41">
        <v>15</v>
      </c>
      <c r="B450" s="41" t="s">
        <v>1713</v>
      </c>
      <c r="C450" s="74" t="s">
        <v>23480</v>
      </c>
      <c r="D450" s="72"/>
      <c r="F450" s="57"/>
      <c r="G450" s="72"/>
      <c r="I450" s="57"/>
      <c r="J450" s="72"/>
      <c r="L450" s="57"/>
      <c r="M450" s="122" t="s">
        <v>17560</v>
      </c>
      <c r="N450" s="37" t="s">
        <v>398</v>
      </c>
      <c r="O450" s="38">
        <v>0.9</v>
      </c>
      <c r="P450" s="299" t="s">
        <v>17556</v>
      </c>
      <c r="Q450" s="45" t="s">
        <v>398</v>
      </c>
      <c r="R450" s="46">
        <v>1</v>
      </c>
      <c r="S450" s="512"/>
      <c r="T450" s="57"/>
      <c r="U450" s="512"/>
      <c r="V450" s="57"/>
      <c r="W450" s="122"/>
      <c r="X450" s="37"/>
      <c r="Y450" s="38"/>
      <c r="Z450" s="79"/>
      <c r="AA450" s="72" t="s">
        <v>17572</v>
      </c>
      <c r="AD450" s="57"/>
      <c r="AE450" s="208">
        <f>ROUND((ROUND((ROUND((_15_同援日１．５*_15・基礎２),0)*_15・２人),0)*(1+_15・区３)),0)+ROUND((ROUND((ROUND((ROUND((_15_同援日１．５＿１．０*_15・基礎２),0)*_15・２人),0)*(1+_15・B夜間)),0)*(1+_15・区３)),0)+ROUND((ROUND((ROUND((ROUND((_15_同援日１．５＿１．０＿０．５*_15・基礎２),0)*_15・２人),0)*(1+_15・C深夜)),0)*(1+_15・区３)),0)</f>
        <v>750</v>
      </c>
      <c r="AF450" s="48"/>
    </row>
    <row r="451" spans="1:32" ht="16.5" customHeight="1" x14ac:dyDescent="0.15">
      <c r="A451" s="41">
        <v>15</v>
      </c>
      <c r="B451" s="41" t="s">
        <v>1715</v>
      </c>
      <c r="C451" s="74" t="s">
        <v>23481</v>
      </c>
      <c r="D451" s="72"/>
      <c r="F451" s="57"/>
      <c r="G451" s="72"/>
      <c r="I451" s="57"/>
      <c r="J451" s="72"/>
      <c r="L451" s="57"/>
      <c r="M451" s="114"/>
      <c r="N451" s="49"/>
      <c r="O451" s="50"/>
      <c r="P451" s="299"/>
      <c r="Q451" s="45"/>
      <c r="R451" s="46"/>
      <c r="S451" s="512"/>
      <c r="T451" s="57"/>
      <c r="U451" s="512"/>
      <c r="V451" s="57"/>
      <c r="W451" s="114" t="s">
        <v>17562</v>
      </c>
      <c r="X451" s="49"/>
      <c r="Y451" s="50"/>
      <c r="Z451" s="115"/>
      <c r="AA451" s="72"/>
      <c r="AB451" s="12" t="s">
        <v>398</v>
      </c>
      <c r="AC451" s="13">
        <v>0.2</v>
      </c>
      <c r="AD451" s="57" t="s">
        <v>3575</v>
      </c>
      <c r="AE451" s="208">
        <f>ROUND((ROUND((_15_同援日１．５*(1+_15・盲ろう)),0)*(1+_15・区３)),0)+ROUND((ROUND((ROUND((_15_同援日１．５＿１．０*(1+_15・B夜間)),0)*(1+_15・盲ろう)),0)*(1+_15・区３)),0)+ROUND((ROUND((ROUND((_15_同援日１．５＿１．０＿０．５*(1+_15・C深夜)),0)*(1+_15・盲ろう)),0)*(1+_15・区３)),0)</f>
        <v>1042</v>
      </c>
      <c r="AF451" s="48"/>
    </row>
    <row r="452" spans="1:32" ht="16.5" customHeight="1" x14ac:dyDescent="0.15">
      <c r="A452" s="41">
        <v>15</v>
      </c>
      <c r="B452" s="41" t="s">
        <v>1717</v>
      </c>
      <c r="C452" s="74" t="s">
        <v>23482</v>
      </c>
      <c r="D452" s="72"/>
      <c r="F452" s="57"/>
      <c r="G452" s="72"/>
      <c r="I452" s="57"/>
      <c r="J452" s="72"/>
      <c r="L452" s="57"/>
      <c r="M452" s="122"/>
      <c r="N452" s="37"/>
      <c r="O452" s="38"/>
      <c r="P452" s="299" t="s">
        <v>17556</v>
      </c>
      <c r="Q452" s="45" t="s">
        <v>398</v>
      </c>
      <c r="R452" s="46">
        <v>1</v>
      </c>
      <c r="S452" s="512"/>
      <c r="T452" s="57"/>
      <c r="U452" s="512"/>
      <c r="V452" s="57"/>
      <c r="W452" s="72" t="s">
        <v>17564</v>
      </c>
      <c r="Z452" s="57"/>
      <c r="AA452" s="72"/>
      <c r="AD452" s="57"/>
      <c r="AE452" s="208">
        <f>ROUND((ROUND((ROUND((_15_同援日１．５*_15・２人),0)*(1+_15・盲ろう)),0)*(1+_15・区３)),0)+ROUND((ROUND((ROUND((ROUND((_15_同援日１．５＿１．０*_15・２人),0)*(1+_15・B夜間)),0)*(1+_15・盲ろう)),0)*(1+_15・区３)),0)+ROUND((ROUND((ROUND((ROUND((_15_同援日１．５＿１．０＿０．５*_15・２人),0)*(1+_15・C深夜)),0)*(1+_15・盲ろう)),0)*(1+_15・区３)),0)</f>
        <v>1042</v>
      </c>
      <c r="AF452" s="48"/>
    </row>
    <row r="453" spans="1:32" ht="16.5" customHeight="1" x14ac:dyDescent="0.15">
      <c r="A453" s="41">
        <v>15</v>
      </c>
      <c r="B453" s="41" t="s">
        <v>23483</v>
      </c>
      <c r="C453" s="74" t="s">
        <v>23484</v>
      </c>
      <c r="D453" s="72"/>
      <c r="F453" s="57"/>
      <c r="G453" s="72"/>
      <c r="I453" s="57"/>
      <c r="J453" s="72"/>
      <c r="L453" s="57"/>
      <c r="M453" s="114" t="s">
        <v>17558</v>
      </c>
      <c r="N453" s="49"/>
      <c r="O453" s="50"/>
      <c r="P453" s="299"/>
      <c r="Q453" s="45"/>
      <c r="R453" s="46"/>
      <c r="S453" s="512"/>
      <c r="T453" s="57"/>
      <c r="U453" s="512"/>
      <c r="V453" s="57"/>
      <c r="W453" s="72"/>
      <c r="X453" s="12" t="s">
        <v>398</v>
      </c>
      <c r="Y453" s="13">
        <v>0.25</v>
      </c>
      <c r="Z453" s="57" t="s">
        <v>3575</v>
      </c>
      <c r="AA453" s="72"/>
      <c r="AD453" s="57"/>
      <c r="AE453" s="208">
        <f>ROUND((ROUND((ROUND((_15_同援日１．５*_15・基礎２),0)*(1+_15・盲ろう)),0)*(1+_15・区３)),0)+ROUND((ROUND((ROUND((ROUND((_15_同援日１．５＿１．０*_15・基礎２),0)*(1+_15・B夜間)),0)*(1+_15・盲ろう)),0)*(1+_15・区３)),0)+ROUND((ROUND((ROUND((ROUND((_15_同援日１．５＿１．０＿０．５*_15・基礎２),0)*(1+_15・C深夜)),0)*(1+_15・盲ろう)),0)*(1+_15・区３)),0)</f>
        <v>939</v>
      </c>
      <c r="AF453" s="48"/>
    </row>
    <row r="454" spans="1:32" ht="16.5" customHeight="1" x14ac:dyDescent="0.15">
      <c r="A454" s="41">
        <v>15</v>
      </c>
      <c r="B454" s="41" t="s">
        <v>23485</v>
      </c>
      <c r="C454" s="74" t="s">
        <v>23486</v>
      </c>
      <c r="D454" s="72"/>
      <c r="F454" s="57"/>
      <c r="G454" s="72"/>
      <c r="I454" s="57"/>
      <c r="J454" s="72"/>
      <c r="L454" s="57"/>
      <c r="M454" s="122" t="s">
        <v>17560</v>
      </c>
      <c r="N454" s="37" t="s">
        <v>398</v>
      </c>
      <c r="O454" s="38">
        <v>0.9</v>
      </c>
      <c r="P454" s="299" t="s">
        <v>17556</v>
      </c>
      <c r="Q454" s="45" t="s">
        <v>398</v>
      </c>
      <c r="R454" s="46">
        <v>1</v>
      </c>
      <c r="S454" s="512"/>
      <c r="T454" s="57"/>
      <c r="U454" s="512"/>
      <c r="V454" s="57"/>
      <c r="W454" s="122"/>
      <c r="X454" s="37"/>
      <c r="Y454" s="38"/>
      <c r="Z454" s="79"/>
      <c r="AA454" s="122"/>
      <c r="AB454" s="37"/>
      <c r="AC454" s="38"/>
      <c r="AD454" s="79"/>
      <c r="AE454" s="208">
        <f>ROUND((ROUND((ROUND((ROUND((_15_同援日１．５*_15・基礎２),0)*_15・２人),0)*(1+_15・盲ろう)),0)*(1+_15・区３)),0)+ROUND((ROUND((ROUND((ROUND((ROUND((_15_同援日１．５＿１．０*_15・基礎２),0)*_15・２人),0)*(1+_15・B夜間)),0)*(1+_15・盲ろう)),0)*(1+_15・区３)),0)+ROUND((ROUND((ROUND((ROUND((ROUND((_15_同援日１．５＿１．０＿０．５*_15・基礎２),0)*_15・２人),0)*(1+_15・C深夜)),0)*(1+_15・盲ろう)),0)*(1+_15・区３)),0)</f>
        <v>939</v>
      </c>
      <c r="AF454" s="48"/>
    </row>
    <row r="455" spans="1:32" ht="16.5" customHeight="1" x14ac:dyDescent="0.15">
      <c r="A455" s="41">
        <v>15</v>
      </c>
      <c r="B455" s="41" t="s">
        <v>23487</v>
      </c>
      <c r="C455" s="74" t="s">
        <v>23488</v>
      </c>
      <c r="D455" s="72"/>
      <c r="F455" s="57"/>
      <c r="G455" s="72"/>
      <c r="I455" s="57"/>
      <c r="J455" s="72"/>
      <c r="L455" s="57"/>
      <c r="M455" s="114"/>
      <c r="N455" s="49"/>
      <c r="O455" s="50"/>
      <c r="P455" s="299"/>
      <c r="Q455" s="45"/>
      <c r="R455" s="46"/>
      <c r="S455" s="512"/>
      <c r="T455" s="57"/>
      <c r="U455" s="512"/>
      <c r="V455" s="57"/>
      <c r="W455" s="114"/>
      <c r="X455" s="49"/>
      <c r="Y455" s="50"/>
      <c r="Z455" s="115"/>
      <c r="AA455" s="114"/>
      <c r="AB455" s="49"/>
      <c r="AC455" s="50"/>
      <c r="AD455" s="115"/>
      <c r="AE455" s="208">
        <f>ROUND((_15_同援日１．５*(1+_15・区４)),0)+ROUND((ROUND((_15_同援日１．５＿１．０*(1+_15・B夜間)),0)*(1+_15・区４)),0)+ROUND((ROUND((_15_同援日１．５＿１．０＿０．５*(1+_15・C深夜)),0)*(1+_15・区４)),0)</f>
        <v>971</v>
      </c>
      <c r="AF455" s="48"/>
    </row>
    <row r="456" spans="1:32" ht="16.5" customHeight="1" x14ac:dyDescent="0.15">
      <c r="A456" s="41">
        <v>15</v>
      </c>
      <c r="B456" s="41" t="s">
        <v>23489</v>
      </c>
      <c r="C456" s="74" t="s">
        <v>23490</v>
      </c>
      <c r="D456" s="72"/>
      <c r="F456" s="57"/>
      <c r="G456" s="72"/>
      <c r="I456" s="57"/>
      <c r="J456" s="72"/>
      <c r="L456" s="57"/>
      <c r="M456" s="122"/>
      <c r="N456" s="37"/>
      <c r="O456" s="38"/>
      <c r="P456" s="299" t="s">
        <v>17556</v>
      </c>
      <c r="Q456" s="45" t="s">
        <v>398</v>
      </c>
      <c r="R456" s="46">
        <v>1</v>
      </c>
      <c r="S456" s="512"/>
      <c r="T456" s="57"/>
      <c r="U456" s="512"/>
      <c r="V456" s="57"/>
      <c r="W456" s="72"/>
      <c r="Z456" s="57"/>
      <c r="AA456" s="72"/>
      <c r="AD456" s="57"/>
      <c r="AE456" s="208">
        <f>ROUND((ROUND((_15_同援日１．５*_15・２人),0)*(1+_15・区４)),0)+ROUND((ROUND((ROUND((_15_同援日１．５＿１．０*_15・２人),0)*(1+_15・B夜間)),0)*(1+_15・区４)),0)+ROUND((ROUND((ROUND((_15_同援日１．５＿１．０＿０．５*_15・２人),0)*(1+_15・C深夜)),0)*(1+_15・区４)),0)</f>
        <v>971</v>
      </c>
      <c r="AF456" s="48"/>
    </row>
    <row r="457" spans="1:32" ht="16.5" customHeight="1" x14ac:dyDescent="0.15">
      <c r="A457" s="41">
        <v>15</v>
      </c>
      <c r="B457" s="41" t="s">
        <v>23491</v>
      </c>
      <c r="C457" s="74" t="s">
        <v>23492</v>
      </c>
      <c r="D457" s="72"/>
      <c r="F457" s="57"/>
      <c r="G457" s="72"/>
      <c r="I457" s="57"/>
      <c r="J457" s="72"/>
      <c r="L457" s="57"/>
      <c r="M457" s="114" t="s">
        <v>17558</v>
      </c>
      <c r="N457" s="49"/>
      <c r="O457" s="50"/>
      <c r="P457" s="299"/>
      <c r="Q457" s="45"/>
      <c r="R457" s="46"/>
      <c r="S457" s="512"/>
      <c r="T457" s="57"/>
      <c r="U457" s="512"/>
      <c r="V457" s="57"/>
      <c r="W457" s="72"/>
      <c r="Z457" s="57"/>
      <c r="AA457" s="72" t="s">
        <v>17580</v>
      </c>
      <c r="AD457" s="57"/>
      <c r="AE457" s="208">
        <f>ROUND((ROUND((_15_同援日１．５*_15・基礎２),0)*(1+_15・区４)),0)+ROUND((ROUND((ROUND((_15_同援日１．５＿１．０*_15・基礎２),0)*(1+_15・B夜間)),0)*(1+_15・区４)),0)+ROUND((ROUND((ROUND((_15_同援日１．５＿１．０＿０．５*_15・基礎２),0)*(1+_15・C深夜)),0)*(1+_15・区４)),0)</f>
        <v>875</v>
      </c>
      <c r="AF457" s="48"/>
    </row>
    <row r="458" spans="1:32" ht="16.5" customHeight="1" x14ac:dyDescent="0.15">
      <c r="A458" s="41">
        <v>15</v>
      </c>
      <c r="B458" s="41" t="s">
        <v>23493</v>
      </c>
      <c r="C458" s="74" t="s">
        <v>23494</v>
      </c>
      <c r="D458" s="72"/>
      <c r="F458" s="57"/>
      <c r="G458" s="72"/>
      <c r="I458" s="57"/>
      <c r="J458" s="72"/>
      <c r="L458" s="57"/>
      <c r="M458" s="122" t="s">
        <v>17560</v>
      </c>
      <c r="N458" s="37" t="s">
        <v>398</v>
      </c>
      <c r="O458" s="38">
        <v>0.9</v>
      </c>
      <c r="P458" s="299" t="s">
        <v>17556</v>
      </c>
      <c r="Q458" s="45" t="s">
        <v>398</v>
      </c>
      <c r="R458" s="46">
        <v>1</v>
      </c>
      <c r="S458" s="512"/>
      <c r="T458" s="57"/>
      <c r="U458" s="512"/>
      <c r="V458" s="57"/>
      <c r="W458" s="122"/>
      <c r="X458" s="37"/>
      <c r="Y458" s="38"/>
      <c r="Z458" s="79"/>
      <c r="AA458" s="72" t="s">
        <v>17572</v>
      </c>
      <c r="AD458" s="57"/>
      <c r="AE458" s="208">
        <f>ROUND((ROUND((ROUND((_15_同援日１．５*_15・基礎２),0)*_15・２人),0)*(1+_15・区４)),0)+ROUND((ROUND((ROUND((ROUND((_15_同援日１．５＿１．０*_15・基礎２),0)*_15・２人),0)*(1+_15・B夜間)),0)*(1+_15・区４)),0)+ROUND((ROUND((ROUND((ROUND((_15_同援日１．５＿１．０＿０．５*_15・基礎２),0)*_15・２人),0)*(1+_15・C深夜)),0)*(1+_15・区４)),0)</f>
        <v>875</v>
      </c>
      <c r="AF458" s="48"/>
    </row>
    <row r="459" spans="1:32" ht="16.5" customHeight="1" x14ac:dyDescent="0.15">
      <c r="A459" s="41">
        <v>15</v>
      </c>
      <c r="B459" s="41" t="s">
        <v>23495</v>
      </c>
      <c r="C459" s="74" t="s">
        <v>23496</v>
      </c>
      <c r="D459" s="72"/>
      <c r="F459" s="57"/>
      <c r="G459" s="72"/>
      <c r="I459" s="57"/>
      <c r="J459" s="72"/>
      <c r="L459" s="57"/>
      <c r="M459" s="114"/>
      <c r="N459" s="49"/>
      <c r="O459" s="50"/>
      <c r="P459" s="299"/>
      <c r="Q459" s="45"/>
      <c r="R459" s="46"/>
      <c r="S459" s="512"/>
      <c r="T459" s="57"/>
      <c r="U459" s="512"/>
      <c r="V459" s="57"/>
      <c r="W459" s="114" t="s">
        <v>17562</v>
      </c>
      <c r="X459" s="49"/>
      <c r="Y459" s="50"/>
      <c r="Z459" s="115"/>
      <c r="AA459" s="72"/>
      <c r="AB459" s="12" t="s">
        <v>398</v>
      </c>
      <c r="AC459" s="13">
        <v>0.4</v>
      </c>
      <c r="AD459" s="57" t="s">
        <v>3575</v>
      </c>
      <c r="AE459" s="208">
        <f>ROUND((ROUND((_15_同援日１．５*(1+_15・盲ろう)),0)*(1+_15・区４)),0)+ROUND((ROUND((ROUND((_15_同援日１．５＿１．０*(1+_15・B夜間)),0)*(1+_15・盲ろう)),0)*(1+_15・区４)),0)+ROUND((ROUND((ROUND((_15_同援日１．５＿１．０＿０．５*(1+_15・C深夜)),0)*(1+_15・盲ろう)),0)*(1+_15・区４)),0)</f>
        <v>1215</v>
      </c>
      <c r="AF459" s="48"/>
    </row>
    <row r="460" spans="1:32" ht="16.5" customHeight="1" x14ac:dyDescent="0.15">
      <c r="A460" s="41">
        <v>15</v>
      </c>
      <c r="B460" s="41" t="s">
        <v>23497</v>
      </c>
      <c r="C460" s="74" t="s">
        <v>23498</v>
      </c>
      <c r="D460" s="72"/>
      <c r="F460" s="57"/>
      <c r="G460" s="72"/>
      <c r="I460" s="57"/>
      <c r="J460" s="72"/>
      <c r="L460" s="57"/>
      <c r="M460" s="122"/>
      <c r="N460" s="37"/>
      <c r="O460" s="38"/>
      <c r="P460" s="299" t="s">
        <v>17556</v>
      </c>
      <c r="Q460" s="45" t="s">
        <v>398</v>
      </c>
      <c r="R460" s="46">
        <v>1</v>
      </c>
      <c r="S460" s="512"/>
      <c r="T460" s="57"/>
      <c r="U460" s="512"/>
      <c r="V460" s="57"/>
      <c r="W460" s="72" t="s">
        <v>17564</v>
      </c>
      <c r="Z460" s="57"/>
      <c r="AA460" s="72"/>
      <c r="AD460" s="57"/>
      <c r="AE460" s="208">
        <f>ROUND((ROUND((ROUND((_15_同援日１．５*_15・２人),0)*(1+_15・盲ろう)),0)*(1+_15・区４)),0)+ROUND((ROUND((ROUND((ROUND((_15_同援日１．５＿１．０*_15・２人),0)*(1+_15・B夜間)),0)*(1+_15・盲ろう)),0)*(1+_15・区４)),0)+ROUND((ROUND((ROUND((ROUND((_15_同援日１．５＿１．０＿０．５*_15・２人),0)*(1+_15・C深夜)),0)*(1+_15・盲ろう)),0)*(1+_15・区４)),0)</f>
        <v>1215</v>
      </c>
      <c r="AF460" s="48"/>
    </row>
    <row r="461" spans="1:32" ht="16.5" customHeight="1" x14ac:dyDescent="0.15">
      <c r="A461" s="41">
        <v>15</v>
      </c>
      <c r="B461" s="41" t="s">
        <v>23499</v>
      </c>
      <c r="C461" s="74" t="s">
        <v>23500</v>
      </c>
      <c r="D461" s="72"/>
      <c r="F461" s="57"/>
      <c r="G461" s="72"/>
      <c r="I461" s="57"/>
      <c r="J461" s="72"/>
      <c r="L461" s="57"/>
      <c r="M461" s="114" t="s">
        <v>17558</v>
      </c>
      <c r="N461" s="49"/>
      <c r="O461" s="50"/>
      <c r="P461" s="299"/>
      <c r="Q461" s="45"/>
      <c r="R461" s="46"/>
      <c r="S461" s="512"/>
      <c r="T461" s="57"/>
      <c r="U461" s="512"/>
      <c r="V461" s="57"/>
      <c r="W461" s="72"/>
      <c r="X461" s="12" t="s">
        <v>398</v>
      </c>
      <c r="Y461" s="13">
        <v>0.25</v>
      </c>
      <c r="Z461" s="57" t="s">
        <v>3575</v>
      </c>
      <c r="AA461" s="72"/>
      <c r="AD461" s="57"/>
      <c r="AE461" s="208">
        <f>ROUND((ROUND((ROUND((_15_同援日１．５*_15・基礎２),0)*(1+_15・盲ろう)),0)*(1+_15・区４)),0)+ROUND((ROUND((ROUND((ROUND((_15_同援日１．５＿１．０*_15・基礎２),0)*(1+_15・B夜間)),0)*(1+_15・盲ろう)),0)*(1+_15・区４)),0)+ROUND((ROUND((ROUND((ROUND((_15_同援日１．５＿１．０＿０．５*_15・基礎２),0)*(1+_15・C深夜)),0)*(1+_15・盲ろう)),0)*(1+_15・区４)),0)</f>
        <v>1094</v>
      </c>
      <c r="AF461" s="48"/>
    </row>
    <row r="462" spans="1:32" ht="16.5" customHeight="1" x14ac:dyDescent="0.15">
      <c r="A462" s="41">
        <v>15</v>
      </c>
      <c r="B462" s="41" t="s">
        <v>23501</v>
      </c>
      <c r="C462" s="74" t="s">
        <v>23502</v>
      </c>
      <c r="D462" s="122"/>
      <c r="E462" s="37"/>
      <c r="F462" s="79"/>
      <c r="G462" s="122"/>
      <c r="H462" s="37"/>
      <c r="I462" s="79"/>
      <c r="J462" s="122"/>
      <c r="K462" s="37"/>
      <c r="L462" s="79"/>
      <c r="M462" s="122" t="s">
        <v>17560</v>
      </c>
      <c r="N462" s="37" t="s">
        <v>398</v>
      </c>
      <c r="O462" s="38">
        <v>0.9</v>
      </c>
      <c r="P462" s="299" t="s">
        <v>17556</v>
      </c>
      <c r="Q462" s="45" t="s">
        <v>398</v>
      </c>
      <c r="R462" s="46">
        <v>1</v>
      </c>
      <c r="S462" s="514"/>
      <c r="T462" s="79"/>
      <c r="U462" s="514"/>
      <c r="V462" s="79"/>
      <c r="W462" s="122"/>
      <c r="X462" s="37"/>
      <c r="Y462" s="38"/>
      <c r="Z462" s="79"/>
      <c r="AA462" s="122"/>
      <c r="AB462" s="37"/>
      <c r="AC462" s="38"/>
      <c r="AD462" s="79"/>
      <c r="AE462" s="208">
        <f>ROUND((ROUND((ROUND((ROUND((_15_同援日１．５*_15・基礎２),0)*_15・２人),0)*(1+_15・盲ろう)),0)*(1+_15・区４)),0)+ROUND((ROUND((ROUND((ROUND((ROUND((_15_同援日１．５＿１．０*_15・基礎２),0)*_15・２人),0)*(1+_15・B夜間)),0)*(1+_15・盲ろう)),0)*(1+_15・区４)),0)+ROUND((ROUND((ROUND((ROUND((ROUND((_15_同援日１．５＿１．０＿０．５*_15・基礎２),0)*_15・２人),0)*(1+_15・C深夜)),0)*(1+_15・盲ろう)),0)*(1+_15・区４)),0)</f>
        <v>1094</v>
      </c>
      <c r="AF462" s="63"/>
    </row>
    <row r="463" spans="1:32" ht="16.5" customHeight="1" x14ac:dyDescent="0.15">
      <c r="A463" s="41">
        <v>15</v>
      </c>
      <c r="B463" s="41" t="s">
        <v>23503</v>
      </c>
      <c r="C463" s="74" t="s">
        <v>23504</v>
      </c>
      <c r="D463" s="114" t="s">
        <v>17641</v>
      </c>
      <c r="E463" s="49"/>
      <c r="F463" s="115"/>
      <c r="G463" s="114" t="s">
        <v>19553</v>
      </c>
      <c r="H463" s="49"/>
      <c r="I463" s="115"/>
      <c r="J463" s="114" t="s">
        <v>22681</v>
      </c>
      <c r="K463" s="49"/>
      <c r="L463" s="115"/>
      <c r="M463" s="114"/>
      <c r="N463" s="49"/>
      <c r="O463" s="50"/>
      <c r="P463" s="299"/>
      <c r="Q463" s="45"/>
      <c r="R463" s="46"/>
      <c r="S463" s="515"/>
      <c r="T463" s="115"/>
      <c r="U463" s="515"/>
      <c r="V463" s="115"/>
      <c r="W463" s="114"/>
      <c r="X463" s="49"/>
      <c r="Y463" s="50"/>
      <c r="Z463" s="115"/>
      <c r="AA463" s="114"/>
      <c r="AB463" s="49"/>
      <c r="AC463" s="50"/>
      <c r="AD463" s="115"/>
      <c r="AE463" s="208">
        <f>_15_同援日２．０+ROUND((_15_同援日２．０＿０．５*(1+_15・B夜間)),0)+ROUND((_15_同援日２．０＿０．５＿０．５*(1+_15・C深夜)),0)</f>
        <v>677</v>
      </c>
      <c r="AF463" s="64"/>
    </row>
    <row r="464" spans="1:32" ht="16.5" customHeight="1" x14ac:dyDescent="0.15">
      <c r="A464" s="41">
        <v>15</v>
      </c>
      <c r="B464" s="41" t="s">
        <v>23505</v>
      </c>
      <c r="C464" s="74" t="s">
        <v>23506</v>
      </c>
      <c r="D464" s="72" t="s">
        <v>17643</v>
      </c>
      <c r="F464" s="57"/>
      <c r="G464" s="72" t="s">
        <v>18259</v>
      </c>
      <c r="I464" s="57"/>
      <c r="J464" s="72" t="s">
        <v>18259</v>
      </c>
      <c r="L464" s="57"/>
      <c r="M464" s="122"/>
      <c r="N464" s="37"/>
      <c r="O464" s="38"/>
      <c r="P464" s="299" t="s">
        <v>17556</v>
      </c>
      <c r="Q464" s="45" t="s">
        <v>398</v>
      </c>
      <c r="R464" s="46">
        <v>1</v>
      </c>
      <c r="S464" s="512"/>
      <c r="T464" s="57"/>
      <c r="U464" s="512"/>
      <c r="V464" s="57"/>
      <c r="W464" s="72"/>
      <c r="Z464" s="57"/>
      <c r="AA464" s="72"/>
      <c r="AD464" s="57"/>
      <c r="AE464" s="208">
        <f>ROUND((_15_同援日２．０*_15・２人),0)+ROUND((ROUND((_15_同援日２．０＿０．５*_15・２人),0)*(1+_15・B夜間)),0)+ROUND((ROUND((_15_同援日２．０＿０．５＿０．５*_15・２人),0)*(1+_15・C深夜)),0)</f>
        <v>677</v>
      </c>
      <c r="AF464" s="48"/>
    </row>
    <row r="465" spans="1:32" ht="16.5" customHeight="1" x14ac:dyDescent="0.15">
      <c r="A465" s="41">
        <v>15</v>
      </c>
      <c r="B465" s="41" t="s">
        <v>23507</v>
      </c>
      <c r="C465" s="74" t="s">
        <v>23508</v>
      </c>
      <c r="D465" s="72" t="s">
        <v>17645</v>
      </c>
      <c r="F465" s="57"/>
      <c r="G465" s="72"/>
      <c r="I465" s="57"/>
      <c r="J465" s="72"/>
      <c r="L465" s="57"/>
      <c r="M465" s="114" t="s">
        <v>17558</v>
      </c>
      <c r="N465" s="49"/>
      <c r="O465" s="50"/>
      <c r="P465" s="299"/>
      <c r="Q465" s="45"/>
      <c r="R465" s="46"/>
      <c r="S465" s="512"/>
      <c r="T465" s="57"/>
      <c r="U465" s="512"/>
      <c r="V465" s="57"/>
      <c r="W465" s="72"/>
      <c r="Z465" s="57"/>
      <c r="AA465" s="72"/>
      <c r="AD465" s="57"/>
      <c r="AE465" s="208">
        <f>ROUND((_15_同援日２．０*_15・基礎２),0)+ROUND((ROUND((_15_同援日２．０＿０．５*_15・基礎２),0)*(1+_15・B夜間)),0)+ROUND((ROUND((_15_同援日２．０＿０．５＿０．５*_15・基礎２),0)*(1+_15・C深夜)),0)</f>
        <v>611</v>
      </c>
      <c r="AF465" s="48"/>
    </row>
    <row r="466" spans="1:32" ht="16.5" customHeight="1" x14ac:dyDescent="0.15">
      <c r="A466" s="41">
        <v>15</v>
      </c>
      <c r="B466" s="41" t="s">
        <v>23509</v>
      </c>
      <c r="C466" s="74" t="s">
        <v>23510</v>
      </c>
      <c r="D466" s="72"/>
      <c r="E466" s="168">
        <f>_15_同援日２．０</f>
        <v>498</v>
      </c>
      <c r="F466" s="57" t="s">
        <v>392</v>
      </c>
      <c r="G466" s="72"/>
      <c r="H466" s="168">
        <f>_15_同援日２．０＿０．５</f>
        <v>65</v>
      </c>
      <c r="I466" s="57" t="s">
        <v>392</v>
      </c>
      <c r="J466" s="72"/>
      <c r="K466" s="168">
        <f>_15_同援日２．０＿０．５＿０．５</f>
        <v>65</v>
      </c>
      <c r="L466" s="57" t="s">
        <v>392</v>
      </c>
      <c r="M466" s="122" t="s">
        <v>17560</v>
      </c>
      <c r="N466" s="37" t="s">
        <v>398</v>
      </c>
      <c r="O466" s="38">
        <v>0.9</v>
      </c>
      <c r="P466" s="299" t="s">
        <v>17556</v>
      </c>
      <c r="Q466" s="45" t="s">
        <v>398</v>
      </c>
      <c r="R466" s="46">
        <v>1</v>
      </c>
      <c r="S466" s="512"/>
      <c r="T466" s="57"/>
      <c r="U466" s="512"/>
      <c r="V466" s="57"/>
      <c r="W466" s="122"/>
      <c r="X466" s="37"/>
      <c r="Y466" s="38"/>
      <c r="Z466" s="79"/>
      <c r="AA466" s="72"/>
      <c r="AD466" s="57"/>
      <c r="AE466" s="208">
        <f>ROUND((ROUND((_15_同援日２．０*_15・基礎２),0)*_15・２人),0)+ROUND((ROUND((ROUND((_15_同援日２．０＿０．５*_15・基礎２),0)*_15・２人),0)*(1+_15・B夜間)),0)+ROUND((ROUND((ROUND((_15_同援日２．０＿０．５＿０．５*_15・基礎２),0)*_15・２人),0)*(1+_15・C深夜)),0)</f>
        <v>611</v>
      </c>
      <c r="AF466" s="48"/>
    </row>
    <row r="467" spans="1:32" ht="16.5" customHeight="1" x14ac:dyDescent="0.15">
      <c r="A467" s="41">
        <v>15</v>
      </c>
      <c r="B467" s="41" t="s">
        <v>23511</v>
      </c>
      <c r="C467" s="74" t="s">
        <v>23512</v>
      </c>
      <c r="D467" s="72"/>
      <c r="F467" s="57"/>
      <c r="G467" s="72"/>
      <c r="I467" s="57"/>
      <c r="J467" s="72"/>
      <c r="L467" s="57"/>
      <c r="M467" s="114"/>
      <c r="N467" s="49"/>
      <c r="O467" s="50"/>
      <c r="P467" s="299"/>
      <c r="Q467" s="45"/>
      <c r="R467" s="46"/>
      <c r="S467" s="512"/>
      <c r="T467" s="57"/>
      <c r="U467" s="512"/>
      <c r="V467" s="57"/>
      <c r="W467" s="114" t="s">
        <v>17562</v>
      </c>
      <c r="X467" s="49"/>
      <c r="Y467" s="50"/>
      <c r="Z467" s="115"/>
      <c r="AA467" s="72"/>
      <c r="AD467" s="57"/>
      <c r="AE467" s="208">
        <f>ROUND((_15_同援日２．０*(1+_15・盲ろう)),0)+ROUND((ROUND((_15_同援日２．０＿０．５*(1+_15・B夜間)),0)*(1+_15・盲ろう)),0)+ROUND((ROUND((_15_同援日２．０＿０．５＿０．５*(1+_15・C深夜)),0)*(1+_15・盲ろう)),0)</f>
        <v>847</v>
      </c>
      <c r="AF467" s="48"/>
    </row>
    <row r="468" spans="1:32" ht="16.5" customHeight="1" x14ac:dyDescent="0.15">
      <c r="A468" s="41">
        <v>15</v>
      </c>
      <c r="B468" s="41" t="s">
        <v>23513</v>
      </c>
      <c r="C468" s="74" t="s">
        <v>23514</v>
      </c>
      <c r="D468" s="72"/>
      <c r="F468" s="57"/>
      <c r="G468" s="72"/>
      <c r="I468" s="57"/>
      <c r="J468" s="72"/>
      <c r="L468" s="57"/>
      <c r="M468" s="122"/>
      <c r="N468" s="37"/>
      <c r="O468" s="38"/>
      <c r="P468" s="299" t="s">
        <v>17556</v>
      </c>
      <c r="Q468" s="45" t="s">
        <v>398</v>
      </c>
      <c r="R468" s="46">
        <v>1</v>
      </c>
      <c r="S468" s="512"/>
      <c r="T468" s="57"/>
      <c r="U468" s="512"/>
      <c r="V468" s="57"/>
      <c r="W468" s="72" t="s">
        <v>17564</v>
      </c>
      <c r="Z468" s="57"/>
      <c r="AA468" s="72"/>
      <c r="AD468" s="57"/>
      <c r="AE468" s="208">
        <f>ROUND((ROUND((_15_同援日２．０*_15・２人),0)*(1+_15・盲ろう)),0)+ROUND((ROUND((ROUND((_15_同援日２．０＿０．５*_15・２人),0)*(1+_15・B夜間)),0)*(1+_15・盲ろう)),0)+ROUND((ROUND((ROUND((_15_同援日２．０＿０．５＿０．５*_15・２人),0)*(1+_15・C深夜)),0)*(1+_15・盲ろう)),0)</f>
        <v>847</v>
      </c>
      <c r="AF468" s="48"/>
    </row>
    <row r="469" spans="1:32" ht="16.5" customHeight="1" x14ac:dyDescent="0.15">
      <c r="A469" s="41">
        <v>15</v>
      </c>
      <c r="B469" s="41" t="s">
        <v>1723</v>
      </c>
      <c r="C469" s="74" t="s">
        <v>23515</v>
      </c>
      <c r="D469" s="72"/>
      <c r="F469" s="57"/>
      <c r="G469" s="72"/>
      <c r="I469" s="57"/>
      <c r="J469" s="72"/>
      <c r="L469" s="57"/>
      <c r="M469" s="114" t="s">
        <v>17558</v>
      </c>
      <c r="N469" s="49"/>
      <c r="O469" s="50"/>
      <c r="P469" s="299"/>
      <c r="Q469" s="45"/>
      <c r="R469" s="46"/>
      <c r="S469" s="512"/>
      <c r="T469" s="57"/>
      <c r="U469" s="512"/>
      <c r="V469" s="57"/>
      <c r="W469" s="72"/>
      <c r="X469" s="12" t="s">
        <v>398</v>
      </c>
      <c r="Y469" s="13">
        <v>0.25</v>
      </c>
      <c r="Z469" s="57" t="s">
        <v>3575</v>
      </c>
      <c r="AA469" s="72"/>
      <c r="AD469" s="57"/>
      <c r="AE469" s="208">
        <f>ROUND((ROUND((_15_同援日２．０*_15・基礎２),0)*(1+_15・盲ろう)),0)+ROUND((ROUND((ROUND((_15_同援日２．０＿０．５*_15・基礎２),0)*(1+_15・B夜間)),0)*(1+_15・盲ろう)),0)+ROUND((ROUND((ROUND((_15_同援日２．０＿０．５＿０．５*_15・基礎２),0)*(1+_15・C深夜)),0)*(1+_15・盲ろう)),0)</f>
        <v>764</v>
      </c>
      <c r="AF469" s="48"/>
    </row>
    <row r="470" spans="1:32" ht="16.5" customHeight="1" x14ac:dyDescent="0.15">
      <c r="A470" s="41">
        <v>15</v>
      </c>
      <c r="B470" s="41" t="s">
        <v>1725</v>
      </c>
      <c r="C470" s="74" t="s">
        <v>23516</v>
      </c>
      <c r="D470" s="72"/>
      <c r="F470" s="57"/>
      <c r="G470" s="72"/>
      <c r="I470" s="57"/>
      <c r="J470" s="72"/>
      <c r="L470" s="57"/>
      <c r="M470" s="122" t="s">
        <v>17560</v>
      </c>
      <c r="N470" s="37" t="s">
        <v>398</v>
      </c>
      <c r="O470" s="38">
        <v>0.9</v>
      </c>
      <c r="P470" s="299" t="s">
        <v>17556</v>
      </c>
      <c r="Q470" s="45" t="s">
        <v>398</v>
      </c>
      <c r="R470" s="46">
        <v>1</v>
      </c>
      <c r="S470" s="512"/>
      <c r="T470" s="57"/>
      <c r="U470" s="512"/>
      <c r="V470" s="57"/>
      <c r="W470" s="122"/>
      <c r="X470" s="37"/>
      <c r="Y470" s="38"/>
      <c r="Z470" s="79"/>
      <c r="AA470" s="122"/>
      <c r="AB470" s="37"/>
      <c r="AC470" s="38"/>
      <c r="AD470" s="79"/>
      <c r="AE470" s="208">
        <f>ROUND((ROUND((ROUND((_15_同援日２．０*_15・基礎２),0)*_15・２人),0)*(1+_15・盲ろう)),0)+ROUND((ROUND((ROUND((ROUND((_15_同援日２．０＿０．５*_15・基礎２),0)*_15・２人),0)*(1+_15・B夜間)),0)*(1+_15・盲ろう)),0)+ROUND((ROUND((ROUND((ROUND((_15_同援日２．０＿０．５＿０．５*_15・基礎２),0)*_15・２人),0)*(1+_15・C深夜)),0)*(1+_15・盲ろう)),0)</f>
        <v>764</v>
      </c>
      <c r="AF470" s="48"/>
    </row>
    <row r="471" spans="1:32" ht="16.5" customHeight="1" x14ac:dyDescent="0.15">
      <c r="A471" s="41">
        <v>15</v>
      </c>
      <c r="B471" s="41" t="s">
        <v>1727</v>
      </c>
      <c r="C471" s="74" t="s">
        <v>23517</v>
      </c>
      <c r="D471" s="72"/>
      <c r="F471" s="57"/>
      <c r="G471" s="72"/>
      <c r="I471" s="57"/>
      <c r="J471" s="72"/>
      <c r="L471" s="57"/>
      <c r="M471" s="114"/>
      <c r="N471" s="49"/>
      <c r="O471" s="50"/>
      <c r="P471" s="299"/>
      <c r="Q471" s="45"/>
      <c r="R471" s="46"/>
      <c r="S471" s="512"/>
      <c r="T471" s="57"/>
      <c r="U471" s="512"/>
      <c r="V471" s="57"/>
      <c r="W471" s="114"/>
      <c r="X471" s="49"/>
      <c r="Y471" s="50"/>
      <c r="Z471" s="115"/>
      <c r="AA471" s="114"/>
      <c r="AB471" s="49"/>
      <c r="AC471" s="50"/>
      <c r="AD471" s="115"/>
      <c r="AE471" s="208">
        <f>ROUND((_15_同援日２．０*(1+_15・区３)),0)+ROUND((ROUND((_15_同援日２．０＿０．５*(1+_15・B夜間)),0)*(1+_15・区３)),0)+ROUND((ROUND((_15_同援日２．０＿０．５＿０．５*(1+_15・C深夜)),0)*(1+_15・区３)),0)</f>
        <v>813</v>
      </c>
      <c r="AF471" s="48"/>
    </row>
    <row r="472" spans="1:32" ht="16.5" customHeight="1" x14ac:dyDescent="0.15">
      <c r="A472" s="41">
        <v>15</v>
      </c>
      <c r="B472" s="41" t="s">
        <v>1729</v>
      </c>
      <c r="C472" s="74" t="s">
        <v>23518</v>
      </c>
      <c r="D472" s="72"/>
      <c r="F472" s="57"/>
      <c r="G472" s="72"/>
      <c r="I472" s="57"/>
      <c r="J472" s="72"/>
      <c r="L472" s="57"/>
      <c r="M472" s="122"/>
      <c r="N472" s="37"/>
      <c r="O472" s="38"/>
      <c r="P472" s="299" t="s">
        <v>17556</v>
      </c>
      <c r="Q472" s="45" t="s">
        <v>398</v>
      </c>
      <c r="R472" s="46">
        <v>1</v>
      </c>
      <c r="S472" s="512"/>
      <c r="T472" s="57"/>
      <c r="U472" s="512"/>
      <c r="V472" s="57"/>
      <c r="W472" s="72"/>
      <c r="Z472" s="57"/>
      <c r="AA472" s="72"/>
      <c r="AD472" s="57"/>
      <c r="AE472" s="208">
        <f>ROUND((ROUND((_15_同援日２．０*_15・２人),0)*(1+_15・区３)),0)+ROUND((ROUND((ROUND((_15_同援日２．０＿０．５*_15・２人),0)*(1+_15・B夜間)),0)*(1+_15・区３)),0)+ROUND((ROUND((ROUND((_15_同援日２．０＿０．５＿０．５*_15・２人),0)*(1+_15・C深夜)),0)*(1+_15・区３)),0)</f>
        <v>813</v>
      </c>
      <c r="AF472" s="48"/>
    </row>
    <row r="473" spans="1:32" ht="16.5" customHeight="1" x14ac:dyDescent="0.15">
      <c r="A473" s="41">
        <v>15</v>
      </c>
      <c r="B473" s="41" t="s">
        <v>23519</v>
      </c>
      <c r="C473" s="74" t="s">
        <v>23520</v>
      </c>
      <c r="D473" s="72"/>
      <c r="F473" s="57"/>
      <c r="G473" s="72"/>
      <c r="I473" s="57"/>
      <c r="J473" s="72"/>
      <c r="L473" s="57"/>
      <c r="M473" s="114" t="s">
        <v>17558</v>
      </c>
      <c r="N473" s="49"/>
      <c r="O473" s="50"/>
      <c r="P473" s="299"/>
      <c r="Q473" s="45"/>
      <c r="R473" s="46"/>
      <c r="S473" s="512"/>
      <c r="T473" s="57"/>
      <c r="U473" s="512"/>
      <c r="V473" s="57"/>
      <c r="W473" s="72"/>
      <c r="Z473" s="57"/>
      <c r="AA473" s="72" t="s">
        <v>17570</v>
      </c>
      <c r="AD473" s="57"/>
      <c r="AE473" s="208">
        <f>ROUND((ROUND((_15_同援日２．０*_15・基礎２),0)*(1+_15・区３)),0)+ROUND((ROUND((ROUND((_15_同援日２．０＿０．５*_15・基礎２),0)*(1+_15・B夜間)),0)*(1+_15・区３)),0)+ROUND((ROUND((ROUND((_15_同援日２．０＿０．５＿０．５*_15・基礎２),0)*(1+_15・C深夜)),0)*(1+_15・区３)),0)</f>
        <v>734</v>
      </c>
      <c r="AF473" s="48"/>
    </row>
    <row r="474" spans="1:32" ht="16.5" customHeight="1" x14ac:dyDescent="0.15">
      <c r="A474" s="41">
        <v>15</v>
      </c>
      <c r="B474" s="41" t="s">
        <v>23521</v>
      </c>
      <c r="C474" s="74" t="s">
        <v>23522</v>
      </c>
      <c r="D474" s="72"/>
      <c r="F474" s="57"/>
      <c r="G474" s="72"/>
      <c r="I474" s="57"/>
      <c r="J474" s="72"/>
      <c r="L474" s="57"/>
      <c r="M474" s="122" t="s">
        <v>17560</v>
      </c>
      <c r="N474" s="37" t="s">
        <v>398</v>
      </c>
      <c r="O474" s="38">
        <v>0.9</v>
      </c>
      <c r="P474" s="299" t="s">
        <v>17556</v>
      </c>
      <c r="Q474" s="45" t="s">
        <v>398</v>
      </c>
      <c r="R474" s="46">
        <v>1</v>
      </c>
      <c r="S474" s="512"/>
      <c r="T474" s="57"/>
      <c r="U474" s="512"/>
      <c r="V474" s="57"/>
      <c r="W474" s="122"/>
      <c r="X474" s="37"/>
      <c r="Y474" s="38"/>
      <c r="Z474" s="79"/>
      <c r="AA474" s="72" t="s">
        <v>17572</v>
      </c>
      <c r="AD474" s="57"/>
      <c r="AE474" s="208">
        <f>ROUND((ROUND((ROUND((_15_同援日２．０*_15・基礎２),0)*_15・２人),0)*(1+_15・区３)),0)+ROUND((ROUND((ROUND((ROUND((_15_同援日２．０＿０．５*_15・基礎２),0)*_15・２人),0)*(1+_15・B夜間)),0)*(1+_15・区３)),0)+ROUND((ROUND((ROUND((ROUND((_15_同援日２．０＿０．５＿０．５*_15・基礎２),0)*_15・２人),0)*(1+_15・C深夜)),0)*(1+_15・区３)),0)</f>
        <v>734</v>
      </c>
      <c r="AF474" s="48"/>
    </row>
    <row r="475" spans="1:32" ht="16.5" customHeight="1" x14ac:dyDescent="0.15">
      <c r="A475" s="41">
        <v>15</v>
      </c>
      <c r="B475" s="41" t="s">
        <v>23523</v>
      </c>
      <c r="C475" s="74" t="s">
        <v>23524</v>
      </c>
      <c r="D475" s="72"/>
      <c r="F475" s="57"/>
      <c r="G475" s="72"/>
      <c r="I475" s="57"/>
      <c r="J475" s="72"/>
      <c r="L475" s="57"/>
      <c r="M475" s="114"/>
      <c r="N475" s="49"/>
      <c r="O475" s="50"/>
      <c r="P475" s="299"/>
      <c r="Q475" s="45"/>
      <c r="R475" s="46"/>
      <c r="S475" s="512"/>
      <c r="T475" s="57"/>
      <c r="U475" s="512"/>
      <c r="V475" s="57"/>
      <c r="W475" s="114" t="s">
        <v>17562</v>
      </c>
      <c r="X475" s="49"/>
      <c r="Y475" s="50"/>
      <c r="Z475" s="115"/>
      <c r="AA475" s="72"/>
      <c r="AB475" s="12" t="s">
        <v>398</v>
      </c>
      <c r="AC475" s="13">
        <v>0.2</v>
      </c>
      <c r="AD475" s="57" t="s">
        <v>3575</v>
      </c>
      <c r="AE475" s="208">
        <f>ROUND((ROUND((_15_同援日２．０*(1+_15・盲ろう)),0)*(1+_15・区３)),0)+ROUND((ROUND((ROUND((_15_同援日２．０＿０．５*(1+_15・B夜間)),0)*(1+_15・盲ろう)),0)*(1+_15・区３)),0)+ROUND((ROUND((ROUND((_15_同援日２．０＿０．５＿０．５*(1+_15・C深夜)),0)*(1+_15・盲ろう)),0)*(1+_15・区３)),0)</f>
        <v>1017</v>
      </c>
      <c r="AF475" s="48"/>
    </row>
    <row r="476" spans="1:32" ht="16.5" customHeight="1" x14ac:dyDescent="0.15">
      <c r="A476" s="41">
        <v>15</v>
      </c>
      <c r="B476" s="41" t="s">
        <v>23525</v>
      </c>
      <c r="C476" s="74" t="s">
        <v>23526</v>
      </c>
      <c r="D476" s="72"/>
      <c r="F476" s="57"/>
      <c r="G476" s="72"/>
      <c r="I476" s="57"/>
      <c r="J476" s="72"/>
      <c r="L476" s="57"/>
      <c r="M476" s="122"/>
      <c r="N476" s="37"/>
      <c r="O476" s="38"/>
      <c r="P476" s="299" t="s">
        <v>17556</v>
      </c>
      <c r="Q476" s="45" t="s">
        <v>398</v>
      </c>
      <c r="R476" s="46">
        <v>1</v>
      </c>
      <c r="S476" s="512"/>
      <c r="T476" s="57"/>
      <c r="U476" s="512"/>
      <c r="V476" s="57"/>
      <c r="W476" s="72" t="s">
        <v>17564</v>
      </c>
      <c r="Z476" s="57"/>
      <c r="AA476" s="72"/>
      <c r="AD476" s="57"/>
      <c r="AE476" s="208">
        <f>ROUND((ROUND((ROUND((_15_同援日２．０*_15・２人),0)*(1+_15・盲ろう)),0)*(1+_15・区３)),0)+ROUND((ROUND((ROUND((ROUND((_15_同援日２．０＿０．５*_15・２人),0)*(1+_15・B夜間)),0)*(1+_15・盲ろう)),0)*(1+_15・区３)),0)+ROUND((ROUND((ROUND((ROUND((_15_同援日２．０＿０．５＿０．５*_15・２人),0)*(1+_15・C深夜)),0)*(1+_15・盲ろう)),0)*(1+_15・区３)),0)</f>
        <v>1017</v>
      </c>
      <c r="AF476" s="48"/>
    </row>
    <row r="477" spans="1:32" ht="16.5" customHeight="1" x14ac:dyDescent="0.15">
      <c r="A477" s="41">
        <v>15</v>
      </c>
      <c r="B477" s="41" t="s">
        <v>23527</v>
      </c>
      <c r="C477" s="74" t="s">
        <v>23528</v>
      </c>
      <c r="D477" s="72"/>
      <c r="F477" s="57"/>
      <c r="G477" s="72"/>
      <c r="I477" s="57"/>
      <c r="J477" s="72"/>
      <c r="L477" s="57"/>
      <c r="M477" s="114" t="s">
        <v>17558</v>
      </c>
      <c r="N477" s="49"/>
      <c r="O477" s="50"/>
      <c r="P477" s="299"/>
      <c r="Q477" s="45"/>
      <c r="R477" s="46"/>
      <c r="S477" s="512"/>
      <c r="T477" s="57"/>
      <c r="U477" s="512"/>
      <c r="V477" s="57"/>
      <c r="W477" s="72"/>
      <c r="X477" s="12" t="s">
        <v>398</v>
      </c>
      <c r="Y477" s="13">
        <v>0.25</v>
      </c>
      <c r="Z477" s="57" t="s">
        <v>3575</v>
      </c>
      <c r="AA477" s="72"/>
      <c r="AD477" s="57"/>
      <c r="AE477" s="208">
        <f>ROUND((ROUND((ROUND((_15_同援日２．０*_15・基礎２),0)*(1+_15・盲ろう)),0)*(1+_15・区３)),0)+ROUND((ROUND((ROUND((ROUND((_15_同援日２．０＿０．５*_15・基礎２),0)*(1+_15・B夜間)),0)*(1+_15・盲ろう)),0)*(1+_15・区３)),0)+ROUND((ROUND((ROUND((ROUND((_15_同援日２．０＿０．５＿０．５*_15・基礎２),0)*(1+_15・C深夜)),0)*(1+_15・盲ろう)),0)*(1+_15・区３)),0)</f>
        <v>917</v>
      </c>
      <c r="AF477" s="48"/>
    </row>
    <row r="478" spans="1:32" ht="16.5" customHeight="1" x14ac:dyDescent="0.15">
      <c r="A478" s="41">
        <v>15</v>
      </c>
      <c r="B478" s="41" t="s">
        <v>23529</v>
      </c>
      <c r="C478" s="74" t="s">
        <v>23530</v>
      </c>
      <c r="D478" s="72"/>
      <c r="F478" s="57"/>
      <c r="G478" s="72"/>
      <c r="I478" s="57"/>
      <c r="J478" s="72"/>
      <c r="L478" s="57"/>
      <c r="M478" s="122" t="s">
        <v>17560</v>
      </c>
      <c r="N478" s="37" t="s">
        <v>398</v>
      </c>
      <c r="O478" s="38">
        <v>0.9</v>
      </c>
      <c r="P478" s="299" t="s">
        <v>17556</v>
      </c>
      <c r="Q478" s="45" t="s">
        <v>398</v>
      </c>
      <c r="R478" s="46">
        <v>1</v>
      </c>
      <c r="S478" s="512"/>
      <c r="T478" s="57"/>
      <c r="U478" s="512"/>
      <c r="V478" s="57"/>
      <c r="W478" s="122"/>
      <c r="X478" s="37"/>
      <c r="Y478" s="38"/>
      <c r="Z478" s="79"/>
      <c r="AA478" s="122"/>
      <c r="AB478" s="37"/>
      <c r="AC478" s="38"/>
      <c r="AD478" s="79"/>
      <c r="AE478" s="208">
        <f>ROUND((ROUND((ROUND((ROUND((_15_同援日２．０*_15・基礎２),0)*_15・２人),0)*(1+_15・盲ろう)),0)*(1+_15・区３)),0)+ROUND((ROUND((ROUND((ROUND((ROUND((_15_同援日２．０＿０．５*_15・基礎２),0)*_15・２人),0)*(1+_15・B夜間)),0)*(1+_15・盲ろう)),0)*(1+_15・区３)),0)+ROUND((ROUND((ROUND((ROUND((ROUND((_15_同援日２．０＿０．５＿０．５*_15・基礎２),0)*_15・２人),0)*(1+_15・C深夜)),0)*(1+_15・盲ろう)),0)*(1+_15・区３)),0)</f>
        <v>917</v>
      </c>
      <c r="AF478" s="48"/>
    </row>
    <row r="479" spans="1:32" ht="16.5" customHeight="1" x14ac:dyDescent="0.15">
      <c r="A479" s="41">
        <v>15</v>
      </c>
      <c r="B479" s="41" t="s">
        <v>23531</v>
      </c>
      <c r="C479" s="74" t="s">
        <v>23532</v>
      </c>
      <c r="F479" s="57"/>
      <c r="G479" s="72"/>
      <c r="I479" s="57"/>
      <c r="J479" s="72"/>
      <c r="L479" s="57"/>
      <c r="M479" s="114"/>
      <c r="N479" s="49"/>
      <c r="O479" s="50"/>
      <c r="P479" s="299"/>
      <c r="Q479" s="45"/>
      <c r="R479" s="46"/>
      <c r="S479" s="512"/>
      <c r="T479" s="57"/>
      <c r="U479" s="512"/>
      <c r="V479" s="57"/>
      <c r="W479" s="114"/>
      <c r="X479" s="49"/>
      <c r="Y479" s="50"/>
      <c r="Z479" s="115"/>
      <c r="AA479" s="114"/>
      <c r="AB479" s="49"/>
      <c r="AC479" s="50"/>
      <c r="AD479" s="115"/>
      <c r="AE479" s="208">
        <f>ROUND((_15_同援日２．０*(1+_15・区４)),0)+ROUND((ROUND((_15_同援日２．０＿０．５*(1+_15・B夜間)),0)*(1+_15・区４)),0)+ROUND((ROUND((_15_同援日２．０＿０．５＿０．５*(1+_15・C深夜)),0)*(1+_15・区４)),0)</f>
        <v>947</v>
      </c>
      <c r="AF479" s="48"/>
    </row>
    <row r="480" spans="1:32" ht="16.5" customHeight="1" x14ac:dyDescent="0.15">
      <c r="A480" s="41">
        <v>15</v>
      </c>
      <c r="B480" s="41" t="s">
        <v>23533</v>
      </c>
      <c r="C480" s="74" t="s">
        <v>23534</v>
      </c>
      <c r="F480" s="57"/>
      <c r="G480" s="72"/>
      <c r="I480" s="57"/>
      <c r="J480" s="72"/>
      <c r="L480" s="57"/>
      <c r="M480" s="122"/>
      <c r="N480" s="37"/>
      <c r="O480" s="38"/>
      <c r="P480" s="299" t="s">
        <v>17556</v>
      </c>
      <c r="Q480" s="45" t="s">
        <v>398</v>
      </c>
      <c r="R480" s="46">
        <v>1</v>
      </c>
      <c r="S480" s="512"/>
      <c r="T480" s="57"/>
      <c r="U480" s="512"/>
      <c r="V480" s="57"/>
      <c r="W480" s="72"/>
      <c r="Z480" s="57"/>
      <c r="AA480" s="72"/>
      <c r="AD480" s="57"/>
      <c r="AE480" s="208">
        <f>ROUND((ROUND((_15_同援日２．０*_15・２人),0)*(1+_15・区４)),0)+ROUND((ROUND((ROUND((_15_同援日２．０＿０．５*_15・２人),0)*(1+_15・B夜間)),0)*(1+_15・区４)),0)+ROUND((ROUND((ROUND((_15_同援日２．０＿０．５＿０．５*_15・２人),0)*(1+_15・C深夜)),0)*(1+_15・区４)),0)</f>
        <v>947</v>
      </c>
      <c r="AF480" s="48"/>
    </row>
    <row r="481" spans="1:32" ht="16.5" customHeight="1" x14ac:dyDescent="0.15">
      <c r="A481" s="41">
        <v>15</v>
      </c>
      <c r="B481" s="41" t="s">
        <v>23535</v>
      </c>
      <c r="C481" s="74" t="s">
        <v>23536</v>
      </c>
      <c r="D481" s="72"/>
      <c r="F481" s="57"/>
      <c r="G481" s="72"/>
      <c r="I481" s="57"/>
      <c r="J481" s="72"/>
      <c r="L481" s="57"/>
      <c r="M481" s="114" t="s">
        <v>17558</v>
      </c>
      <c r="N481" s="49"/>
      <c r="O481" s="50"/>
      <c r="P481" s="299"/>
      <c r="Q481" s="45"/>
      <c r="R481" s="46"/>
      <c r="S481" s="512"/>
      <c r="T481" s="57"/>
      <c r="U481" s="512"/>
      <c r="V481" s="57"/>
      <c r="W481" s="72"/>
      <c r="Z481" s="57"/>
      <c r="AA481" s="72" t="s">
        <v>17580</v>
      </c>
      <c r="AD481" s="57"/>
      <c r="AE481" s="208">
        <f>ROUND((ROUND((_15_同援日２．０*_15・基礎２),0)*(1+_15・区４)),0)+ROUND((ROUND((ROUND((_15_同援日２．０＿０．５*_15・基礎２),0)*(1+_15・B夜間)),0)*(1+_15・区４)),0)+ROUND((ROUND((ROUND((_15_同援日２．０＿０．５＿０．５*_15・基礎２),0)*(1+_15・C深夜)),0)*(1+_15・区４)),0)</f>
        <v>856</v>
      </c>
      <c r="AF481" s="48"/>
    </row>
    <row r="482" spans="1:32" ht="16.5" customHeight="1" x14ac:dyDescent="0.15">
      <c r="A482" s="41">
        <v>15</v>
      </c>
      <c r="B482" s="41" t="s">
        <v>23537</v>
      </c>
      <c r="C482" s="74" t="s">
        <v>23538</v>
      </c>
      <c r="D482" s="72"/>
      <c r="F482" s="57"/>
      <c r="G482" s="72"/>
      <c r="I482" s="57"/>
      <c r="J482" s="72"/>
      <c r="L482" s="57"/>
      <c r="M482" s="122" t="s">
        <v>17560</v>
      </c>
      <c r="N482" s="37" t="s">
        <v>398</v>
      </c>
      <c r="O482" s="38">
        <v>0.9</v>
      </c>
      <c r="P482" s="299" t="s">
        <v>17556</v>
      </c>
      <c r="Q482" s="45" t="s">
        <v>398</v>
      </c>
      <c r="R482" s="46">
        <v>1</v>
      </c>
      <c r="S482" s="512"/>
      <c r="T482" s="57"/>
      <c r="U482" s="512"/>
      <c r="V482" s="57"/>
      <c r="W482" s="122"/>
      <c r="X482" s="37"/>
      <c r="Y482" s="38"/>
      <c r="Z482" s="79"/>
      <c r="AA482" s="72" t="s">
        <v>17572</v>
      </c>
      <c r="AD482" s="57"/>
      <c r="AE482" s="208">
        <f>ROUND((ROUND((ROUND((_15_同援日２．０*_15・基礎２),0)*_15・２人),0)*(1+_15・区４)),0)+ROUND((ROUND((ROUND((ROUND((_15_同援日２．０＿０．５*_15・基礎２),0)*_15・２人),0)*(1+_15・B夜間)),0)*(1+_15・区４)),0)+ROUND((ROUND((ROUND((ROUND((_15_同援日２．０＿０．５＿０．５*_15・基礎２),0)*_15・２人),0)*(1+_15・C深夜)),0)*(1+_15・区４)),0)</f>
        <v>856</v>
      </c>
      <c r="AF482" s="48"/>
    </row>
    <row r="483" spans="1:32" ht="16.5" customHeight="1" x14ac:dyDescent="0.15">
      <c r="A483" s="41">
        <v>15</v>
      </c>
      <c r="B483" s="41" t="s">
        <v>23539</v>
      </c>
      <c r="C483" s="74" t="s">
        <v>23540</v>
      </c>
      <c r="D483" s="72"/>
      <c r="F483" s="57"/>
      <c r="G483" s="72"/>
      <c r="I483" s="57"/>
      <c r="J483" s="72"/>
      <c r="L483" s="57"/>
      <c r="M483" s="114"/>
      <c r="N483" s="49"/>
      <c r="O483" s="50"/>
      <c r="P483" s="299"/>
      <c r="Q483" s="45"/>
      <c r="R483" s="46"/>
      <c r="S483" s="512"/>
      <c r="T483" s="57"/>
      <c r="U483" s="512"/>
      <c r="V483" s="57"/>
      <c r="W483" s="114" t="s">
        <v>17562</v>
      </c>
      <c r="X483" s="49"/>
      <c r="Y483" s="50"/>
      <c r="Z483" s="115"/>
      <c r="AA483" s="72"/>
      <c r="AB483" s="12" t="s">
        <v>398</v>
      </c>
      <c r="AC483" s="13">
        <v>0.4</v>
      </c>
      <c r="AD483" s="57" t="s">
        <v>3575</v>
      </c>
      <c r="AE483" s="208">
        <f>ROUND((ROUND((_15_同援日２．０*(1+_15・盲ろう)),0)*(1+_15・区４)),0)+ROUND((ROUND((ROUND((_15_同援日２．０＿０．５*(1+_15・B夜間)),0)*(1+_15・盲ろう)),0)*(1+_15・区４)),0)+ROUND((ROUND((ROUND((_15_同援日２．０＿０．５＿０．５*(1+_15・C深夜)),0)*(1+_15・盲ろう)),0)*(1+_15・区４)),0)</f>
        <v>1185</v>
      </c>
      <c r="AF483" s="48"/>
    </row>
    <row r="484" spans="1:32" ht="16.5" customHeight="1" x14ac:dyDescent="0.15">
      <c r="A484" s="41">
        <v>15</v>
      </c>
      <c r="B484" s="41" t="s">
        <v>23541</v>
      </c>
      <c r="C484" s="74" t="s">
        <v>23542</v>
      </c>
      <c r="D484" s="72"/>
      <c r="F484" s="57"/>
      <c r="G484" s="72"/>
      <c r="I484" s="57"/>
      <c r="J484" s="72"/>
      <c r="L484" s="57"/>
      <c r="M484" s="122"/>
      <c r="N484" s="37"/>
      <c r="O484" s="38"/>
      <c r="P484" s="299" t="s">
        <v>17556</v>
      </c>
      <c r="Q484" s="45" t="s">
        <v>398</v>
      </c>
      <c r="R484" s="46">
        <v>1</v>
      </c>
      <c r="S484" s="512"/>
      <c r="T484" s="57"/>
      <c r="U484" s="512"/>
      <c r="V484" s="57"/>
      <c r="W484" s="72" t="s">
        <v>17564</v>
      </c>
      <c r="Z484" s="57"/>
      <c r="AA484" s="72"/>
      <c r="AD484" s="57"/>
      <c r="AE484" s="208">
        <f>ROUND((ROUND((ROUND((_15_同援日２．０*_15・２人),0)*(1+_15・盲ろう)),0)*(1+_15・区４)),0)+ROUND((ROUND((ROUND((ROUND((_15_同援日２．０＿０．５*_15・２人),0)*(1+_15・B夜間)),0)*(1+_15・盲ろう)),0)*(1+_15・区４)),0)+ROUND((ROUND((ROUND((ROUND((_15_同援日２．０＿０．５＿０．５*_15・２人),0)*(1+_15・C深夜)),0)*(1+_15・盲ろう)),0)*(1+_15・区４)),0)</f>
        <v>1185</v>
      </c>
      <c r="AF484" s="48"/>
    </row>
    <row r="485" spans="1:32" ht="16.5" customHeight="1" x14ac:dyDescent="0.15">
      <c r="A485" s="41">
        <v>15</v>
      </c>
      <c r="B485" s="41" t="s">
        <v>23543</v>
      </c>
      <c r="C485" s="74" t="s">
        <v>23544</v>
      </c>
      <c r="D485" s="72"/>
      <c r="F485" s="57"/>
      <c r="G485" s="72"/>
      <c r="I485" s="57"/>
      <c r="J485" s="72"/>
      <c r="L485" s="57"/>
      <c r="M485" s="114" t="s">
        <v>17558</v>
      </c>
      <c r="N485" s="49"/>
      <c r="O485" s="50"/>
      <c r="P485" s="299"/>
      <c r="Q485" s="45"/>
      <c r="R485" s="46"/>
      <c r="S485" s="512"/>
      <c r="T485" s="57"/>
      <c r="U485" s="512"/>
      <c r="V485" s="57"/>
      <c r="W485" s="72"/>
      <c r="X485" s="12" t="s">
        <v>398</v>
      </c>
      <c r="Y485" s="13">
        <v>0.25</v>
      </c>
      <c r="Z485" s="57" t="s">
        <v>3575</v>
      </c>
      <c r="AA485" s="72"/>
      <c r="AD485" s="57"/>
      <c r="AE485" s="208">
        <f>ROUND((ROUND((ROUND((_15_同援日２．０*_15・基礎２),0)*(1+_15・盲ろう)),0)*(1+_15・区４)),0)+ROUND((ROUND((ROUND((ROUND((_15_同援日２．０＿０．５*_15・基礎２),0)*(1+_15・B夜間)),0)*(1+_15・盲ろう)),0)*(1+_15・区４)),0)+ROUND((ROUND((ROUND((ROUND((_15_同援日２．０＿０．５＿０．５*_15・基礎２),0)*(1+_15・C深夜)),0)*(1+_15・盲ろう)),0)*(1+_15・区４)),0)</f>
        <v>1069</v>
      </c>
      <c r="AF485" s="48"/>
    </row>
    <row r="486" spans="1:32" ht="16.5" customHeight="1" x14ac:dyDescent="0.15">
      <c r="A486" s="41">
        <v>15</v>
      </c>
      <c r="B486" s="41" t="s">
        <v>23545</v>
      </c>
      <c r="C486" s="74" t="s">
        <v>23546</v>
      </c>
      <c r="D486" s="122"/>
      <c r="E486" s="37"/>
      <c r="F486" s="79"/>
      <c r="G486" s="122"/>
      <c r="H486" s="37"/>
      <c r="I486" s="79"/>
      <c r="J486" s="122"/>
      <c r="K486" s="37"/>
      <c r="L486" s="79"/>
      <c r="M486" s="122" t="s">
        <v>17560</v>
      </c>
      <c r="N486" s="37" t="s">
        <v>398</v>
      </c>
      <c r="O486" s="38">
        <v>0.9</v>
      </c>
      <c r="P486" s="299" t="s">
        <v>17556</v>
      </c>
      <c r="Q486" s="45" t="s">
        <v>398</v>
      </c>
      <c r="R486" s="46">
        <v>1</v>
      </c>
      <c r="S486" s="514"/>
      <c r="T486" s="79"/>
      <c r="U486" s="514"/>
      <c r="V486" s="79"/>
      <c r="W486" s="122"/>
      <c r="X486" s="37"/>
      <c r="Y486" s="38"/>
      <c r="Z486" s="79"/>
      <c r="AA486" s="122"/>
      <c r="AB486" s="37"/>
      <c r="AC486" s="38"/>
      <c r="AD486" s="79"/>
      <c r="AE486" s="208">
        <f>ROUND((ROUND((ROUND((ROUND((_15_同援日２．０*_15・基礎２),0)*_15・２人),0)*(1+_15・盲ろう)),0)*(1+_15・区４)),0)+ROUND((ROUND((ROUND((ROUND((ROUND((_15_同援日２．０＿０．５*_15・基礎２),0)*_15・２人),0)*(1+_15・B夜間)),0)*(1+_15・盲ろう)),0)*(1+_15・区４)),0)+ROUND((ROUND((ROUND((ROUND((ROUND((_15_同援日２．０＿０．５＿０．５*_15・基礎２),0)*_15・２人),0)*(1+_15・C深夜)),0)*(1+_15・盲ろう)),0)*(1+_15・区４)),0)</f>
        <v>1069</v>
      </c>
      <c r="AF486" s="63"/>
    </row>
    <row r="487" spans="1:32" ht="16.5" customHeight="1" x14ac:dyDescent="0.15">
      <c r="A487" s="80"/>
      <c r="B487" s="80"/>
      <c r="C487" s="81"/>
      <c r="M487" s="254"/>
      <c r="P487" s="254"/>
      <c r="W487" s="254"/>
      <c r="AA487" s="254"/>
      <c r="AE487" s="209"/>
      <c r="AF487" s="85"/>
    </row>
    <row r="488" spans="1:32" ht="16.5" customHeight="1" x14ac:dyDescent="0.15">
      <c r="A488" s="80"/>
      <c r="B488" s="80"/>
      <c r="C488" s="81"/>
      <c r="M488" s="254"/>
      <c r="P488" s="254"/>
      <c r="W488" s="254"/>
      <c r="AA488" s="254"/>
      <c r="AE488" s="209"/>
      <c r="AF488" s="85"/>
    </row>
    <row r="489" spans="1:32" ht="16.5" customHeight="1" x14ac:dyDescent="0.15">
      <c r="A489" s="80"/>
      <c r="B489" s="157" t="s">
        <v>23547</v>
      </c>
      <c r="C489" s="81"/>
      <c r="D489" s="71"/>
      <c r="M489" s="254"/>
      <c r="P489" s="254"/>
      <c r="W489" s="254"/>
      <c r="AA489" s="254"/>
      <c r="AE489" s="209"/>
      <c r="AF489" s="85"/>
    </row>
    <row r="490" spans="1:32" ht="16.5" customHeight="1" x14ac:dyDescent="0.15">
      <c r="A490" s="87" t="s">
        <v>384</v>
      </c>
      <c r="B490" s="20"/>
      <c r="C490" s="88" t="s">
        <v>385</v>
      </c>
      <c r="D490" s="23" t="s">
        <v>386</v>
      </c>
      <c r="E490" s="23"/>
      <c r="F490" s="23"/>
      <c r="G490" s="23"/>
      <c r="H490" s="23"/>
      <c r="I490" s="23"/>
      <c r="J490" s="23"/>
      <c r="K490" s="23"/>
      <c r="L490" s="23"/>
      <c r="M490" s="23"/>
      <c r="N490" s="23"/>
      <c r="O490" s="24"/>
      <c r="P490" s="23"/>
      <c r="Q490" s="23"/>
      <c r="R490" s="24"/>
      <c r="S490" s="24"/>
      <c r="T490" s="23"/>
      <c r="U490" s="24"/>
      <c r="V490" s="23"/>
      <c r="W490" s="23"/>
      <c r="X490" s="23"/>
      <c r="Y490" s="24"/>
      <c r="Z490" s="23"/>
      <c r="AA490" s="23"/>
      <c r="AB490" s="23"/>
      <c r="AC490" s="24"/>
      <c r="AD490" s="23"/>
      <c r="AE490" s="21" t="s">
        <v>387</v>
      </c>
      <c r="AF490" s="21" t="s">
        <v>388</v>
      </c>
    </row>
    <row r="491" spans="1:32" ht="16.5" customHeight="1" x14ac:dyDescent="0.15">
      <c r="A491" s="26" t="s">
        <v>389</v>
      </c>
      <c r="B491" s="26" t="s">
        <v>390</v>
      </c>
      <c r="C491" s="89"/>
      <c r="D491" s="87" t="s">
        <v>1032</v>
      </c>
      <c r="E491" s="187"/>
      <c r="F491" s="20"/>
      <c r="G491" s="29"/>
      <c r="H491" s="29"/>
      <c r="I491" s="29"/>
      <c r="J491" s="87" t="s">
        <v>18817</v>
      </c>
      <c r="K491" s="187"/>
      <c r="L491" s="20"/>
      <c r="M491" s="29"/>
      <c r="N491" s="29"/>
      <c r="O491" s="30"/>
      <c r="P491" s="29"/>
      <c r="Q491" s="29"/>
      <c r="R491" s="30"/>
      <c r="S491" s="30"/>
      <c r="T491" s="29"/>
      <c r="U491" s="30"/>
      <c r="V491" s="29"/>
      <c r="W491" s="29"/>
      <c r="X491" s="29"/>
      <c r="Y491" s="30"/>
      <c r="Z491" s="29"/>
      <c r="AA491" s="29"/>
      <c r="AB491" s="29"/>
      <c r="AC491" s="30"/>
      <c r="AD491" s="29"/>
      <c r="AE491" s="32" t="s">
        <v>391</v>
      </c>
      <c r="AF491" s="32" t="s">
        <v>392</v>
      </c>
    </row>
    <row r="492" spans="1:32" ht="16.5" customHeight="1" x14ac:dyDescent="0.15">
      <c r="A492" s="33">
        <v>15</v>
      </c>
      <c r="B492" s="33" t="s">
        <v>23548</v>
      </c>
      <c r="C492" s="34" t="s">
        <v>23549</v>
      </c>
      <c r="D492" s="72" t="s">
        <v>18128</v>
      </c>
      <c r="F492" s="57"/>
      <c r="G492" s="72" t="s">
        <v>19187</v>
      </c>
      <c r="I492" s="57"/>
      <c r="J492" s="72" t="s">
        <v>23550</v>
      </c>
      <c r="L492" s="57"/>
      <c r="M492" s="72"/>
      <c r="P492" s="122"/>
      <c r="Q492" s="37"/>
      <c r="R492" s="38"/>
      <c r="S492" s="512"/>
      <c r="T492" s="57"/>
      <c r="U492" s="512"/>
      <c r="V492" s="57"/>
      <c r="W492" s="72"/>
      <c r="Z492" s="57"/>
      <c r="AA492" s="72"/>
      <c r="AD492" s="57"/>
      <c r="AE492" s="207">
        <f>ROUND((_15_同援日０．５*(1+_15・A早朝)),0)+_15_同援日０．５＿２．０+ROUND((_15_同援日０．５＿２．０＿０．５*(1+_15・C夜間)),0)</f>
        <v>692</v>
      </c>
      <c r="AF492" s="40" t="s">
        <v>395</v>
      </c>
    </row>
    <row r="493" spans="1:32" ht="16.5" customHeight="1" x14ac:dyDescent="0.15">
      <c r="A493" s="41">
        <v>15</v>
      </c>
      <c r="B493" s="41" t="s">
        <v>23551</v>
      </c>
      <c r="C493" s="74" t="s">
        <v>23552</v>
      </c>
      <c r="D493" s="72" t="s">
        <v>18259</v>
      </c>
      <c r="F493" s="57"/>
      <c r="G493" s="72" t="s">
        <v>17643</v>
      </c>
      <c r="I493" s="57"/>
      <c r="J493" s="72" t="s">
        <v>18259</v>
      </c>
      <c r="L493" s="57"/>
      <c r="M493" s="122"/>
      <c r="N493" s="37"/>
      <c r="O493" s="38"/>
      <c r="P493" s="299" t="s">
        <v>17556</v>
      </c>
      <c r="Q493" s="45" t="s">
        <v>398</v>
      </c>
      <c r="R493" s="46">
        <v>1</v>
      </c>
      <c r="S493" s="512"/>
      <c r="T493" s="57"/>
      <c r="U493" s="512"/>
      <c r="V493" s="57"/>
      <c r="W493" s="72"/>
      <c r="Z493" s="57"/>
      <c r="AA493" s="72"/>
      <c r="AD493" s="57"/>
      <c r="AE493" s="208">
        <f>ROUND((ROUND((_15_同援日０．５*_15・２人),0)*(1+_15・A早朝)),0)+ROUND((_15_同援日０．５＿２．０*_15・２人),0)+ROUND((ROUND((_15_同援日０．５＿２．０＿０．５*_15・２人),0)*(1+_15・C夜間)),0)</f>
        <v>692</v>
      </c>
      <c r="AF493" s="48"/>
    </row>
    <row r="494" spans="1:32" ht="16.5" customHeight="1" x14ac:dyDescent="0.15">
      <c r="A494" s="41">
        <v>15</v>
      </c>
      <c r="B494" s="41" t="s">
        <v>1736</v>
      </c>
      <c r="C494" s="74" t="s">
        <v>23553</v>
      </c>
      <c r="D494" s="72"/>
      <c r="F494" s="57"/>
      <c r="G494" s="72" t="s">
        <v>17645</v>
      </c>
      <c r="I494" s="57"/>
      <c r="J494" s="72"/>
      <c r="L494" s="57"/>
      <c r="M494" s="114" t="s">
        <v>17558</v>
      </c>
      <c r="N494" s="49"/>
      <c r="O494" s="50"/>
      <c r="P494" s="299"/>
      <c r="Q494" s="45"/>
      <c r="R494" s="46"/>
      <c r="S494" s="512"/>
      <c r="T494" s="57"/>
      <c r="U494" s="512"/>
      <c r="V494" s="57"/>
      <c r="W494" s="72"/>
      <c r="Z494" s="57"/>
      <c r="AA494" s="72"/>
      <c r="AD494" s="57"/>
      <c r="AE494" s="208">
        <f>ROUND((ROUND((_15_同援日０．５*_15・基礎２),0)*(1+_15・A早朝)),0)+ROUND((_15_同援日０．５＿２．０*_15・基礎２),0)+ROUND((ROUND((_15_同援日０．５＿２．０＿０．５*_15・基礎２),0)*(1+_15・C夜間)),0)</f>
        <v>624</v>
      </c>
      <c r="AF494" s="48"/>
    </row>
    <row r="495" spans="1:32" ht="16.5" customHeight="1" x14ac:dyDescent="0.15">
      <c r="A495" s="41">
        <v>15</v>
      </c>
      <c r="B495" s="41" t="s">
        <v>1738</v>
      </c>
      <c r="C495" s="74" t="s">
        <v>23554</v>
      </c>
      <c r="D495" s="72"/>
      <c r="E495" s="168">
        <f>_15_同援日０．５</f>
        <v>190</v>
      </c>
      <c r="F495" s="57" t="s">
        <v>392</v>
      </c>
      <c r="G495" s="72"/>
      <c r="H495" s="168">
        <f>_15_同援日０．５＿２．０</f>
        <v>373</v>
      </c>
      <c r="I495" s="57" t="s">
        <v>392</v>
      </c>
      <c r="J495" s="72"/>
      <c r="K495" s="168">
        <f>_15_同援日０．５＿２．０＿０．５</f>
        <v>65</v>
      </c>
      <c r="L495" s="57" t="s">
        <v>392</v>
      </c>
      <c r="M495" s="122" t="s">
        <v>17560</v>
      </c>
      <c r="N495" s="37" t="s">
        <v>398</v>
      </c>
      <c r="O495" s="38">
        <v>0.9</v>
      </c>
      <c r="P495" s="299" t="s">
        <v>17556</v>
      </c>
      <c r="Q495" s="45" t="s">
        <v>398</v>
      </c>
      <c r="R495" s="46">
        <v>1</v>
      </c>
      <c r="S495" s="512"/>
      <c r="T495" s="57"/>
      <c r="U495" s="512"/>
      <c r="V495" s="57"/>
      <c r="W495" s="122"/>
      <c r="X495" s="37"/>
      <c r="Y495" s="38"/>
      <c r="Z495" s="79"/>
      <c r="AA495" s="72"/>
      <c r="AD495" s="57"/>
      <c r="AE495" s="208">
        <f>ROUND((ROUND((ROUND((_15_同援日０．５*_15・基礎２),0)*_15・２人),0)*(1+_15・A早朝)),0)+ROUND((ROUND((_15_同援日０．５＿２．０*_15・基礎２),0)*_15・２人),0)+ROUND((ROUND((ROUND((_15_同援日０．５＿２．０＿０．５*_15・基礎２),0)*_15・２人),0)*(1+_15・C夜間)),0)</f>
        <v>624</v>
      </c>
      <c r="AF495" s="48"/>
    </row>
    <row r="496" spans="1:32" ht="16.5" customHeight="1" x14ac:dyDescent="0.15">
      <c r="A496" s="41">
        <v>15</v>
      </c>
      <c r="B496" s="41" t="s">
        <v>1740</v>
      </c>
      <c r="C496" s="74" t="s">
        <v>23555</v>
      </c>
      <c r="D496" s="72"/>
      <c r="F496" s="57"/>
      <c r="G496" s="72"/>
      <c r="I496" s="57"/>
      <c r="J496" s="72"/>
      <c r="L496" s="57"/>
      <c r="M496" s="114"/>
      <c r="N496" s="49"/>
      <c r="O496" s="50"/>
      <c r="P496" s="299"/>
      <c r="Q496" s="45"/>
      <c r="R496" s="46"/>
      <c r="S496" s="512"/>
      <c r="T496" s="57"/>
      <c r="U496" s="512"/>
      <c r="V496" s="57"/>
      <c r="W496" s="114" t="s">
        <v>17562</v>
      </c>
      <c r="X496" s="49"/>
      <c r="Y496" s="50"/>
      <c r="Z496" s="115"/>
      <c r="AA496" s="72"/>
      <c r="AD496" s="57"/>
      <c r="AE496" s="208">
        <f>ROUND((ROUND((_15_同援日０．５*(1+_15・A早朝)),0)*(1+_15・盲ろう)),0)+ROUND((_15_同援日０．５＿２．０*(1+_15・盲ろう)),0)+ROUND((ROUND((_15_同援日０．５＿２．０＿０．５*(1+_15・C夜間)),0)*(1+_15・盲ろう)),0)</f>
        <v>865</v>
      </c>
      <c r="AF496" s="48"/>
    </row>
    <row r="497" spans="1:32" ht="16.5" customHeight="1" x14ac:dyDescent="0.15">
      <c r="A497" s="41">
        <v>15</v>
      </c>
      <c r="B497" s="41" t="s">
        <v>1742</v>
      </c>
      <c r="C497" s="74" t="s">
        <v>23556</v>
      </c>
      <c r="D497" s="72"/>
      <c r="F497" s="57"/>
      <c r="G497" s="72"/>
      <c r="I497" s="57"/>
      <c r="J497" s="72"/>
      <c r="L497" s="57"/>
      <c r="M497" s="122"/>
      <c r="N497" s="37"/>
      <c r="O497" s="38"/>
      <c r="P497" s="299" t="s">
        <v>17556</v>
      </c>
      <c r="Q497" s="45" t="s">
        <v>398</v>
      </c>
      <c r="R497" s="46">
        <v>1</v>
      </c>
      <c r="S497" s="526" t="s">
        <v>18134</v>
      </c>
      <c r="T497" s="57"/>
      <c r="U497" s="517" t="s">
        <v>18264</v>
      </c>
      <c r="V497" s="57"/>
      <c r="W497" s="72" t="s">
        <v>17564</v>
      </c>
      <c r="Z497" s="57"/>
      <c r="AA497" s="72"/>
      <c r="AD497" s="57"/>
      <c r="AE497" s="208">
        <f>ROUND((ROUND((ROUND((_15_同援日０．５*_15・２人),0)*(1+_15・A早朝)),0)*(1+_15・盲ろう)),0)+ROUND((ROUND((_15_同援日０．５＿２．０*_15・２人),0)*(1+_15・盲ろう)),0)+ROUND((ROUND((ROUND((_15_同援日０．５＿２．０＿０．５*_15・２人),0)*(1+_15・C夜間)),0)*(1+_15・盲ろう)),0)</f>
        <v>865</v>
      </c>
      <c r="AF497" s="48"/>
    </row>
    <row r="498" spans="1:32" ht="16.5" customHeight="1" x14ac:dyDescent="0.15">
      <c r="A498" s="41">
        <v>15</v>
      </c>
      <c r="B498" s="41" t="s">
        <v>23557</v>
      </c>
      <c r="C498" s="74" t="s">
        <v>23558</v>
      </c>
      <c r="D498" s="72"/>
      <c r="F498" s="57"/>
      <c r="G498" s="72"/>
      <c r="I498" s="57"/>
      <c r="J498" s="72"/>
      <c r="L498" s="57"/>
      <c r="M498" s="114" t="s">
        <v>17558</v>
      </c>
      <c r="N498" s="49"/>
      <c r="O498" s="50"/>
      <c r="P498" s="299"/>
      <c r="Q498" s="45"/>
      <c r="R498" s="46"/>
      <c r="S498" s="512"/>
      <c r="T498" s="519" t="s">
        <v>18826</v>
      </c>
      <c r="U498" s="512"/>
      <c r="V498" s="519" t="s">
        <v>18827</v>
      </c>
      <c r="W498" s="72"/>
      <c r="X498" s="12" t="s">
        <v>398</v>
      </c>
      <c r="Y498" s="13">
        <v>0.25</v>
      </c>
      <c r="Z498" s="57" t="s">
        <v>3575</v>
      </c>
      <c r="AA498" s="72"/>
      <c r="AD498" s="57"/>
      <c r="AE498" s="208">
        <f>ROUND((ROUND((ROUND((_15_同援日０．５*_15・基礎２),0)*(1+_15・A早朝)),0)*(1+_15・盲ろう)),0)+ROUND((ROUND((_15_同援日０．５＿２．０*_15・基礎２),0)*(1+_15・盲ろう)),0)+ROUND((ROUND((ROUND((_15_同援日０．５＿２．０＿０．５*_15・基礎２),0)*(1+_15・C夜間)),0)*(1+_15・盲ろう)),0)</f>
        <v>781</v>
      </c>
      <c r="AF498" s="48"/>
    </row>
    <row r="499" spans="1:32" ht="16.5" customHeight="1" x14ac:dyDescent="0.15">
      <c r="A499" s="41">
        <v>15</v>
      </c>
      <c r="B499" s="41" t="s">
        <v>23559</v>
      </c>
      <c r="C499" s="74" t="s">
        <v>23560</v>
      </c>
      <c r="D499" s="72"/>
      <c r="F499" s="57"/>
      <c r="G499" s="72"/>
      <c r="I499" s="57"/>
      <c r="J499" s="72"/>
      <c r="L499" s="57"/>
      <c r="M499" s="122" t="s">
        <v>17560</v>
      </c>
      <c r="N499" s="37" t="s">
        <v>398</v>
      </c>
      <c r="O499" s="38">
        <v>0.9</v>
      </c>
      <c r="P499" s="299" t="s">
        <v>17556</v>
      </c>
      <c r="Q499" s="45" t="s">
        <v>398</v>
      </c>
      <c r="R499" s="46">
        <v>1</v>
      </c>
      <c r="S499" s="512"/>
      <c r="T499" s="57"/>
      <c r="U499" s="512"/>
      <c r="V499" s="57"/>
      <c r="W499" s="122"/>
      <c r="X499" s="37"/>
      <c r="Y499" s="38"/>
      <c r="Z499" s="79"/>
      <c r="AA499" s="122"/>
      <c r="AB499" s="37"/>
      <c r="AC499" s="38"/>
      <c r="AD499" s="79"/>
      <c r="AE499" s="208">
        <f>ROUND((ROUND((ROUND((ROUND((_15_同援日０．５*_15・基礎２),0)*_15・２人),0)*(1+_15・A早朝)),0)*(1+_15・盲ろう)),0)+ROUND((ROUND((ROUND((_15_同援日０．５＿２．０*_15・基礎２),0)*_15・２人),0)*(1+_15・盲ろう)),0)+ROUND((ROUND((ROUND((ROUND((_15_同援日０．５＿２．０＿０．５*_15・基礎２),0)*_15・２人),0)*(1+_15・C夜間)),0)*(1+_15・盲ろう)),0)</f>
        <v>781</v>
      </c>
      <c r="AF499" s="48"/>
    </row>
    <row r="500" spans="1:32" ht="16.5" customHeight="1" x14ac:dyDescent="0.15">
      <c r="A500" s="41">
        <v>15</v>
      </c>
      <c r="B500" s="41" t="s">
        <v>23561</v>
      </c>
      <c r="C500" s="74" t="s">
        <v>23562</v>
      </c>
      <c r="D500" s="72"/>
      <c r="F500" s="57"/>
      <c r="G500" s="72"/>
      <c r="I500" s="57"/>
      <c r="J500" s="72"/>
      <c r="L500" s="57"/>
      <c r="M500" s="114"/>
      <c r="N500" s="49"/>
      <c r="O500" s="50"/>
      <c r="P500" s="299"/>
      <c r="Q500" s="45"/>
      <c r="R500" s="46"/>
      <c r="S500" s="35" t="s">
        <v>398</v>
      </c>
      <c r="T500" s="234">
        <v>0.25</v>
      </c>
      <c r="U500" s="35" t="s">
        <v>398</v>
      </c>
      <c r="V500" s="234">
        <v>0.25</v>
      </c>
      <c r="W500" s="114"/>
      <c r="X500" s="49"/>
      <c r="Y500" s="50"/>
      <c r="Z500" s="115"/>
      <c r="AA500" s="114"/>
      <c r="AB500" s="49"/>
      <c r="AC500" s="50"/>
      <c r="AD500" s="115"/>
      <c r="AE500" s="208">
        <f>ROUND((ROUND((_15_同援日０．５*(1+_15・A早朝)),0)*(1+_15・区３)),0)+ROUND((_15_同援日０．５＿２．０*(1+_15・区３)),0)+ROUND((ROUND((_15_同援日０．５＿２．０＿０．５*(1+_15・C夜間)),0)*(1+_15・区３)),0)</f>
        <v>831</v>
      </c>
      <c r="AF500" s="48"/>
    </row>
    <row r="501" spans="1:32" ht="16.5" customHeight="1" x14ac:dyDescent="0.15">
      <c r="A501" s="41">
        <v>15</v>
      </c>
      <c r="B501" s="41" t="s">
        <v>23563</v>
      </c>
      <c r="C501" s="74" t="s">
        <v>23564</v>
      </c>
      <c r="D501" s="72"/>
      <c r="F501" s="57"/>
      <c r="G501" s="72"/>
      <c r="I501" s="57"/>
      <c r="J501" s="72"/>
      <c r="L501" s="57"/>
      <c r="M501" s="122"/>
      <c r="N501" s="37"/>
      <c r="O501" s="38"/>
      <c r="P501" s="299" t="s">
        <v>17556</v>
      </c>
      <c r="Q501" s="45" t="s">
        <v>398</v>
      </c>
      <c r="R501" s="46">
        <v>1</v>
      </c>
      <c r="S501" s="512"/>
      <c r="T501" s="513" t="s">
        <v>3575</v>
      </c>
      <c r="U501" s="512"/>
      <c r="V501" s="513" t="s">
        <v>3575</v>
      </c>
      <c r="W501" s="72"/>
      <c r="Z501" s="57"/>
      <c r="AA501" s="72"/>
      <c r="AD501" s="57"/>
      <c r="AE501" s="208">
        <f>ROUND((ROUND((ROUND((_15_同援日０．５*_15・２人),0)*(1+_15・A早朝)),0)*(1+_15・区３)),0)+ROUND((ROUND((_15_同援日０．５＿２．０*_15・２人),0)*(1+_15・区３)),0)+ROUND((ROUND((ROUND((_15_同援日０．５＿２．０＿０．５*_15・２人),0)*(1+_15・C夜間)),0)*(1+_15・区３)),0)</f>
        <v>831</v>
      </c>
      <c r="AF501" s="48"/>
    </row>
    <row r="502" spans="1:32" ht="16.5" customHeight="1" x14ac:dyDescent="0.15">
      <c r="A502" s="41">
        <v>15</v>
      </c>
      <c r="B502" s="41" t="s">
        <v>23565</v>
      </c>
      <c r="C502" s="74" t="s">
        <v>23566</v>
      </c>
      <c r="D502" s="72"/>
      <c r="F502" s="57"/>
      <c r="G502" s="72"/>
      <c r="I502" s="57"/>
      <c r="J502" s="72"/>
      <c r="L502" s="57"/>
      <c r="M502" s="114" t="s">
        <v>17558</v>
      </c>
      <c r="N502" s="49"/>
      <c r="O502" s="50"/>
      <c r="P502" s="299"/>
      <c r="Q502" s="45"/>
      <c r="R502" s="46"/>
      <c r="S502" s="512"/>
      <c r="T502" s="57"/>
      <c r="U502" s="512"/>
      <c r="V502" s="57"/>
      <c r="W502" s="72"/>
      <c r="Z502" s="57"/>
      <c r="AA502" s="72" t="s">
        <v>17570</v>
      </c>
      <c r="AD502" s="57"/>
      <c r="AE502" s="208">
        <f>ROUND((ROUND((ROUND((_15_同援日０．５*_15・基礎２),0)*(1+_15・A早朝)),0)*(1+_15・区３)),0)+ROUND((ROUND((_15_同援日０．５＿２．０*_15・基礎２),0)*(1+_15・区３)),0)+ROUND((ROUND((ROUND((_15_同援日０．５＿２．０＿０．５*_15・基礎２),0)*(1+_15・C夜間)),0)*(1+_15・区３)),0)</f>
        <v>749</v>
      </c>
      <c r="AF502" s="48"/>
    </row>
    <row r="503" spans="1:32" ht="16.5" customHeight="1" x14ac:dyDescent="0.15">
      <c r="A503" s="41">
        <v>15</v>
      </c>
      <c r="B503" s="41" t="s">
        <v>23567</v>
      </c>
      <c r="C503" s="74" t="s">
        <v>23568</v>
      </c>
      <c r="D503" s="72"/>
      <c r="F503" s="57"/>
      <c r="G503" s="72"/>
      <c r="I503" s="57"/>
      <c r="J503" s="72"/>
      <c r="L503" s="57"/>
      <c r="M503" s="122" t="s">
        <v>17560</v>
      </c>
      <c r="N503" s="37" t="s">
        <v>398</v>
      </c>
      <c r="O503" s="38">
        <v>0.9</v>
      </c>
      <c r="P503" s="299" t="s">
        <v>17556</v>
      </c>
      <c r="Q503" s="45" t="s">
        <v>398</v>
      </c>
      <c r="R503" s="46">
        <v>1</v>
      </c>
      <c r="S503" s="512"/>
      <c r="T503" s="57"/>
      <c r="U503" s="512"/>
      <c r="V503" s="57"/>
      <c r="W503" s="122"/>
      <c r="X503" s="37"/>
      <c r="Y503" s="38"/>
      <c r="Z503" s="79"/>
      <c r="AA503" s="72" t="s">
        <v>17572</v>
      </c>
      <c r="AD503" s="57"/>
      <c r="AE503" s="208">
        <f>ROUND((ROUND((ROUND((ROUND((_15_同援日０．５*_15・基礎２),0)*_15・２人),0)*(1+_15・A早朝)),0)*(1+_15・区３)),0)+ROUND((ROUND((ROUND((_15_同援日０．５＿２．０*_15・基礎２),0)*_15・２人),0)*(1+_15・区３)),0)+ROUND((ROUND((ROUND((ROUND((_15_同援日０．５＿２．０＿０．５*_15・基礎２),0)*_15・２人),0)*(1+_15・C夜間)),0)*(1+_15・区３)),0)</f>
        <v>749</v>
      </c>
      <c r="AF503" s="48"/>
    </row>
    <row r="504" spans="1:32" ht="16.5" customHeight="1" x14ac:dyDescent="0.15">
      <c r="A504" s="41">
        <v>15</v>
      </c>
      <c r="B504" s="41" t="s">
        <v>23569</v>
      </c>
      <c r="C504" s="74" t="s">
        <v>23570</v>
      </c>
      <c r="D504" s="72"/>
      <c r="F504" s="57"/>
      <c r="G504" s="72"/>
      <c r="I504" s="57"/>
      <c r="J504" s="72"/>
      <c r="L504" s="57"/>
      <c r="M504" s="114"/>
      <c r="N504" s="49"/>
      <c r="O504" s="50"/>
      <c r="P504" s="299"/>
      <c r="Q504" s="45"/>
      <c r="R504" s="46"/>
      <c r="S504" s="512"/>
      <c r="T504" s="57"/>
      <c r="U504" s="512"/>
      <c r="V504" s="57"/>
      <c r="W504" s="114" t="s">
        <v>17562</v>
      </c>
      <c r="X504" s="49"/>
      <c r="Y504" s="50"/>
      <c r="Z504" s="115"/>
      <c r="AA504" s="72"/>
      <c r="AB504" s="12" t="s">
        <v>398</v>
      </c>
      <c r="AC504" s="13">
        <v>0.2</v>
      </c>
      <c r="AD504" s="57" t="s">
        <v>3575</v>
      </c>
      <c r="AE504" s="208">
        <f>ROUND((ROUND((ROUND((_15_同援日０．５*(1+_15・A早朝)),0)*(1+_15・盲ろう)),0)*(1+_15・区３)),0)+ROUND((ROUND((_15_同援日０．５＿２．０*(1+_15・盲ろう)),0)*(1+_15・区３)),0)+ROUND((ROUND((ROUND((_15_同援日０．５＿２．０＿０．５*(1+_15・C夜間)),0)*(1+_15・盲ろう)),0)*(1+_15・区３)),0)</f>
        <v>1038</v>
      </c>
      <c r="AF504" s="48"/>
    </row>
    <row r="505" spans="1:32" ht="16.5" customHeight="1" x14ac:dyDescent="0.15">
      <c r="A505" s="41">
        <v>15</v>
      </c>
      <c r="B505" s="41" t="s">
        <v>23571</v>
      </c>
      <c r="C505" s="74" t="s">
        <v>23572</v>
      </c>
      <c r="D505" s="72"/>
      <c r="F505" s="57"/>
      <c r="G505" s="72"/>
      <c r="I505" s="57"/>
      <c r="J505" s="72"/>
      <c r="L505" s="57"/>
      <c r="M505" s="122"/>
      <c r="N505" s="37"/>
      <c r="O505" s="38"/>
      <c r="P505" s="299" t="s">
        <v>17556</v>
      </c>
      <c r="Q505" s="45" t="s">
        <v>398</v>
      </c>
      <c r="R505" s="46">
        <v>1</v>
      </c>
      <c r="S505" s="512"/>
      <c r="T505" s="57"/>
      <c r="U505" s="512"/>
      <c r="V505" s="57"/>
      <c r="W505" s="72" t="s">
        <v>17564</v>
      </c>
      <c r="Z505" s="57"/>
      <c r="AA505" s="72"/>
      <c r="AD505" s="57"/>
      <c r="AE505" s="208">
        <f>ROUND((ROUND((ROUND((ROUND((_15_同援日０．５*_15・２人),0)*(1+_15・A早朝)),0)*(1+_15・盲ろう)),0)*(1+_15・区３)),0)+ROUND((ROUND((ROUND((_15_同援日０．５＿２．０*_15・２人),0)*(1+_15・盲ろう)),0)*(1+_15・区３)),0)+ROUND((ROUND((ROUND((ROUND((_15_同援日０．５＿２．０＿０．５*_15・２人),0)*(1+_15・C夜間)),0)*(1+_15・盲ろう)),0)*(1+_15・区３)),0)</f>
        <v>1038</v>
      </c>
      <c r="AF505" s="48"/>
    </row>
    <row r="506" spans="1:32" ht="16.5" customHeight="1" x14ac:dyDescent="0.15">
      <c r="A506" s="41">
        <v>15</v>
      </c>
      <c r="B506" s="41" t="s">
        <v>23573</v>
      </c>
      <c r="C506" s="74" t="s">
        <v>23574</v>
      </c>
      <c r="D506" s="72"/>
      <c r="F506" s="57"/>
      <c r="G506" s="72"/>
      <c r="I506" s="57"/>
      <c r="J506" s="72"/>
      <c r="L506" s="57"/>
      <c r="M506" s="114" t="s">
        <v>17558</v>
      </c>
      <c r="N506" s="49"/>
      <c r="O506" s="50"/>
      <c r="P506" s="299"/>
      <c r="Q506" s="45"/>
      <c r="R506" s="46"/>
      <c r="S506" s="512"/>
      <c r="T506" s="57"/>
      <c r="U506" s="512"/>
      <c r="V506" s="57"/>
      <c r="W506" s="72"/>
      <c r="X506" s="12" t="s">
        <v>398</v>
      </c>
      <c r="Y506" s="13">
        <v>0.25</v>
      </c>
      <c r="Z506" s="57" t="s">
        <v>3575</v>
      </c>
      <c r="AA506" s="72"/>
      <c r="AD506" s="57"/>
      <c r="AE506" s="208">
        <f>ROUND((ROUND((ROUND((ROUND((_15_同援日０．５*_15・基礎２),0)*(1+_15・A早朝)),0)*(1+_15・盲ろう)),0)*(1+_15・区３)),0)+ROUND((ROUND((ROUND((_15_同援日０．５＿２．０*_15・基礎２),0)*(1+_15・盲ろう)),0)*(1+_15・区３)),0)+ROUND((ROUND((ROUND((ROUND((_15_同援日０．５＿２．０＿０．５*_15・基礎２),0)*(1+_15・C夜間)),0)*(1+_15・盲ろう)),0)*(1+_15・区３)),0)</f>
        <v>938</v>
      </c>
      <c r="AF506" s="48"/>
    </row>
    <row r="507" spans="1:32" ht="16.5" customHeight="1" x14ac:dyDescent="0.15">
      <c r="A507" s="41">
        <v>15</v>
      </c>
      <c r="B507" s="41" t="s">
        <v>23575</v>
      </c>
      <c r="C507" s="74" t="s">
        <v>23576</v>
      </c>
      <c r="D507" s="72"/>
      <c r="F507" s="57"/>
      <c r="G507" s="72"/>
      <c r="I507" s="57"/>
      <c r="J507" s="72"/>
      <c r="L507" s="57"/>
      <c r="M507" s="122" t="s">
        <v>17560</v>
      </c>
      <c r="N507" s="37" t="s">
        <v>398</v>
      </c>
      <c r="O507" s="38">
        <v>0.9</v>
      </c>
      <c r="P507" s="299" t="s">
        <v>17556</v>
      </c>
      <c r="Q507" s="45" t="s">
        <v>398</v>
      </c>
      <c r="R507" s="46">
        <v>1</v>
      </c>
      <c r="S507" s="512"/>
      <c r="T507" s="57"/>
      <c r="U507" s="512"/>
      <c r="V507" s="57"/>
      <c r="W507" s="122"/>
      <c r="X507" s="37"/>
      <c r="Y507" s="38"/>
      <c r="Z507" s="79"/>
      <c r="AA507" s="122"/>
      <c r="AB507" s="37"/>
      <c r="AC507" s="38"/>
      <c r="AD507" s="79"/>
      <c r="AE507" s="208">
        <f>ROUND((ROUND((ROUND((ROUND((ROUND((_15_同援日０．５*_15・基礎２),0)*_15・２人),0)*(1+_15・A早朝)),0)*(1+_15・盲ろう)),0)*(1+_15・区３)),0)+ROUND((ROUND((ROUND((ROUND((_15_同援日０．５＿２．０*_15・基礎２),0)*_15・２人),0)*(1+_15・盲ろう)),0)*(1+_15・区３)),0)+ROUND((ROUND((ROUND((ROUND((ROUND((_15_同援日０．５＿２．０＿０．５*_15・基礎２),0)*_15・２人),0)*(1+_15・C夜間)),0)*(1+_15・盲ろう)),0)*(1+_15・区３)),0)</f>
        <v>938</v>
      </c>
      <c r="AF507" s="48"/>
    </row>
    <row r="508" spans="1:32" ht="16.5" customHeight="1" x14ac:dyDescent="0.15">
      <c r="A508" s="41">
        <v>15</v>
      </c>
      <c r="B508" s="41" t="s">
        <v>23577</v>
      </c>
      <c r="C508" s="74" t="s">
        <v>23578</v>
      </c>
      <c r="D508" s="72"/>
      <c r="F508" s="57"/>
      <c r="G508" s="72"/>
      <c r="I508" s="57"/>
      <c r="J508" s="72"/>
      <c r="L508" s="57"/>
      <c r="M508" s="114"/>
      <c r="N508" s="49"/>
      <c r="O508" s="50"/>
      <c r="P508" s="299"/>
      <c r="Q508" s="45"/>
      <c r="R508" s="46"/>
      <c r="S508" s="512"/>
      <c r="T508" s="57"/>
      <c r="U508" s="512"/>
      <c r="V508" s="57"/>
      <c r="W508" s="114"/>
      <c r="X508" s="49"/>
      <c r="Y508" s="50"/>
      <c r="Z508" s="115"/>
      <c r="AA508" s="114"/>
      <c r="AB508" s="49"/>
      <c r="AC508" s="50"/>
      <c r="AD508" s="115"/>
      <c r="AE508" s="208">
        <f>ROUND((ROUND((_15_同援日０．５*(1+_15・A早朝)),0)*(1+_15・区４)),0)+ROUND((_15_同援日０．５＿２．０*(1+_15・区４)),0)+ROUND((ROUND((_15_同援日０．５＿２．０＿０．５*(1+_15・C夜間)),0)*(1+_15・区４)),0)</f>
        <v>968</v>
      </c>
      <c r="AF508" s="48"/>
    </row>
    <row r="509" spans="1:32" ht="16.5" customHeight="1" x14ac:dyDescent="0.15">
      <c r="A509" s="41">
        <v>15</v>
      </c>
      <c r="B509" s="41" t="s">
        <v>23579</v>
      </c>
      <c r="C509" s="74" t="s">
        <v>23580</v>
      </c>
      <c r="D509" s="72"/>
      <c r="F509" s="57"/>
      <c r="G509" s="72"/>
      <c r="I509" s="57"/>
      <c r="J509" s="72"/>
      <c r="L509" s="57"/>
      <c r="M509" s="122"/>
      <c r="N509" s="37"/>
      <c r="O509" s="38"/>
      <c r="P509" s="299" t="s">
        <v>17556</v>
      </c>
      <c r="Q509" s="45" t="s">
        <v>398</v>
      </c>
      <c r="R509" s="46">
        <v>1</v>
      </c>
      <c r="S509" s="512"/>
      <c r="T509" s="57"/>
      <c r="U509" s="512"/>
      <c r="V509" s="57"/>
      <c r="W509" s="72"/>
      <c r="Z509" s="57"/>
      <c r="AA509" s="72"/>
      <c r="AD509" s="57"/>
      <c r="AE509" s="208">
        <f>ROUND((ROUND((ROUND((_15_同援日０．５*_15・２人),0)*(1+_15・A早朝)),0)*(1+_15・区４)),0)+ROUND((ROUND((_15_同援日０．５＿２．０*_15・２人),0)*(1+_15・区４)),0)+ROUND((ROUND((ROUND((_15_同援日０．５＿２．０＿０．５*_15・２人),0)*(1+_15・C夜間)),0)*(1+_15・区４)),0)</f>
        <v>968</v>
      </c>
      <c r="AF509" s="48"/>
    </row>
    <row r="510" spans="1:32" ht="16.5" customHeight="1" x14ac:dyDescent="0.15">
      <c r="A510" s="41">
        <v>15</v>
      </c>
      <c r="B510" s="41" t="s">
        <v>23581</v>
      </c>
      <c r="C510" s="74" t="s">
        <v>23582</v>
      </c>
      <c r="D510" s="72"/>
      <c r="F510" s="57"/>
      <c r="G510" s="72"/>
      <c r="I510" s="57"/>
      <c r="J510" s="72"/>
      <c r="L510" s="57"/>
      <c r="M510" s="114" t="s">
        <v>17558</v>
      </c>
      <c r="N510" s="49"/>
      <c r="O510" s="50"/>
      <c r="P510" s="299"/>
      <c r="Q510" s="45"/>
      <c r="R510" s="46"/>
      <c r="S510" s="512"/>
      <c r="T510" s="57"/>
      <c r="U510" s="512"/>
      <c r="V510" s="57"/>
      <c r="W510" s="72"/>
      <c r="Z510" s="57"/>
      <c r="AA510" s="72" t="s">
        <v>17580</v>
      </c>
      <c r="AD510" s="57"/>
      <c r="AE510" s="208">
        <f>ROUND((ROUND((ROUND((_15_同援日０．５*_15・基礎２),0)*(1+_15・A早朝)),0)*(1+_15・区４)),0)+ROUND((ROUND((_15_同援日０．５＿２．０*_15・基礎２),0)*(1+_15・区４)),0)+ROUND((ROUND((ROUND((_15_同援日０．５＿２．０＿０．５*_15・基礎２),0)*(1+_15・C夜間)),0)*(1+_15・区４)),0)</f>
        <v>874</v>
      </c>
      <c r="AF510" s="48"/>
    </row>
    <row r="511" spans="1:32" ht="16.5" customHeight="1" x14ac:dyDescent="0.15">
      <c r="A511" s="41">
        <v>15</v>
      </c>
      <c r="B511" s="41" t="s">
        <v>23583</v>
      </c>
      <c r="C511" s="74" t="s">
        <v>23584</v>
      </c>
      <c r="D511" s="72"/>
      <c r="F511" s="57"/>
      <c r="G511" s="72"/>
      <c r="I511" s="57"/>
      <c r="J511" s="72"/>
      <c r="L511" s="57"/>
      <c r="M511" s="122" t="s">
        <v>17560</v>
      </c>
      <c r="N511" s="37" t="s">
        <v>398</v>
      </c>
      <c r="O511" s="38">
        <v>0.9</v>
      </c>
      <c r="P511" s="299" t="s">
        <v>17556</v>
      </c>
      <c r="Q511" s="45" t="s">
        <v>398</v>
      </c>
      <c r="R511" s="46">
        <v>1</v>
      </c>
      <c r="S511" s="512"/>
      <c r="T511" s="57"/>
      <c r="U511" s="512"/>
      <c r="V511" s="57"/>
      <c r="W511" s="122"/>
      <c r="X511" s="37"/>
      <c r="Y511" s="38"/>
      <c r="Z511" s="79"/>
      <c r="AA511" s="72" t="s">
        <v>17572</v>
      </c>
      <c r="AD511" s="57"/>
      <c r="AE511" s="208">
        <f>ROUND((ROUND((ROUND((ROUND((_15_同援日０．５*_15・基礎２),0)*_15・２人),0)*(1+_15・A早朝)),0)*(1+_15・区４)),0)+ROUND((ROUND((ROUND((_15_同援日０．５＿２．０*_15・基礎２),0)*_15・２人),0)*(1+_15・区４)),0)+ROUND((ROUND((ROUND((ROUND((_15_同援日０．５＿２．０＿０．５*_15・基礎２),0)*_15・２人),0)*(1+_15・C夜間)),0)*(1+_15・区４)),0)</f>
        <v>874</v>
      </c>
      <c r="AF511" s="48"/>
    </row>
    <row r="512" spans="1:32" ht="16.5" customHeight="1" x14ac:dyDescent="0.15">
      <c r="A512" s="41">
        <v>15</v>
      </c>
      <c r="B512" s="41" t="s">
        <v>23585</v>
      </c>
      <c r="C512" s="74" t="s">
        <v>23586</v>
      </c>
      <c r="D512" s="72"/>
      <c r="F512" s="57"/>
      <c r="G512" s="72"/>
      <c r="I512" s="57"/>
      <c r="J512" s="72"/>
      <c r="L512" s="57"/>
      <c r="M512" s="114"/>
      <c r="N512" s="49"/>
      <c r="O512" s="50"/>
      <c r="P512" s="299"/>
      <c r="Q512" s="45"/>
      <c r="R512" s="46"/>
      <c r="S512" s="512"/>
      <c r="T512" s="57"/>
      <c r="U512" s="512"/>
      <c r="V512" s="57"/>
      <c r="W512" s="114" t="s">
        <v>17562</v>
      </c>
      <c r="X512" s="49"/>
      <c r="Y512" s="50"/>
      <c r="Z512" s="115"/>
      <c r="AA512" s="72"/>
      <c r="AB512" s="12" t="s">
        <v>398</v>
      </c>
      <c r="AC512" s="13">
        <v>0.4</v>
      </c>
      <c r="AD512" s="57" t="s">
        <v>3575</v>
      </c>
      <c r="AE512" s="208">
        <f>ROUND((ROUND((ROUND((_15_同援日０．５*(1+_15・A早朝)),0)*(1+_15・盲ろう)),0)*(1+_15・区４)),0)+ROUND((ROUND((_15_同援日０．５＿２．０*(1+_15・盲ろう)),0)*(1+_15・区４)),0)+ROUND((ROUND((ROUND((_15_同援日０．５＿２．０＿０．５*(1+_15・C夜間)),0)*(1+_15・盲ろう)),0)*(1+_15・区４)),0)</f>
        <v>1210</v>
      </c>
      <c r="AF512" s="48"/>
    </row>
    <row r="513" spans="1:32" ht="16.5" customHeight="1" x14ac:dyDescent="0.15">
      <c r="A513" s="41">
        <v>15</v>
      </c>
      <c r="B513" s="41" t="s">
        <v>23587</v>
      </c>
      <c r="C513" s="74" t="s">
        <v>23588</v>
      </c>
      <c r="D513" s="72"/>
      <c r="F513" s="57"/>
      <c r="G513" s="72"/>
      <c r="I513" s="57"/>
      <c r="J513" s="72"/>
      <c r="L513" s="57"/>
      <c r="M513" s="122"/>
      <c r="N513" s="37"/>
      <c r="O513" s="38"/>
      <c r="P513" s="299" t="s">
        <v>17556</v>
      </c>
      <c r="Q513" s="45" t="s">
        <v>398</v>
      </c>
      <c r="R513" s="46">
        <v>1</v>
      </c>
      <c r="S513" s="512"/>
      <c r="T513" s="57"/>
      <c r="U513" s="512"/>
      <c r="V513" s="57"/>
      <c r="W513" s="72" t="s">
        <v>17564</v>
      </c>
      <c r="Z513" s="57"/>
      <c r="AA513" s="72"/>
      <c r="AD513" s="57"/>
      <c r="AE513" s="208">
        <f>ROUND((ROUND((ROUND((ROUND((_15_同援日０．５*_15・２人),0)*(1+_15・A早朝)),0)*(1+_15・盲ろう)),0)*(1+_15・区４)),0)+ROUND((ROUND((ROUND((_15_同援日０．５＿２．０*_15・２人),0)*(1+_15・盲ろう)),0)*(1+_15・区４)),0)+ROUND((ROUND((ROUND((ROUND((_15_同援日０．５＿２．０＿０．５*_15・２人),0)*(1+_15・C夜間)),0)*(1+_15・盲ろう)),0)*(1+_15・区４)),0)</f>
        <v>1210</v>
      </c>
      <c r="AF513" s="48"/>
    </row>
    <row r="514" spans="1:32" ht="16.5" customHeight="1" x14ac:dyDescent="0.15">
      <c r="A514" s="41">
        <v>15</v>
      </c>
      <c r="B514" s="41" t="s">
        <v>1748</v>
      </c>
      <c r="C514" s="74" t="s">
        <v>23589</v>
      </c>
      <c r="D514" s="72"/>
      <c r="F514" s="57"/>
      <c r="G514" s="72"/>
      <c r="I514" s="57"/>
      <c r="J514" s="72"/>
      <c r="L514" s="57"/>
      <c r="M514" s="114" t="s">
        <v>17558</v>
      </c>
      <c r="N514" s="49"/>
      <c r="O514" s="50"/>
      <c r="P514" s="299"/>
      <c r="Q514" s="45"/>
      <c r="R514" s="46"/>
      <c r="S514" s="512"/>
      <c r="T514" s="57"/>
      <c r="U514" s="512"/>
      <c r="V514" s="57"/>
      <c r="W514" s="72"/>
      <c r="X514" s="12" t="s">
        <v>398</v>
      </c>
      <c r="Y514" s="13">
        <v>0.25</v>
      </c>
      <c r="Z514" s="57" t="s">
        <v>3575</v>
      </c>
      <c r="AA514" s="72"/>
      <c r="AD514" s="57"/>
      <c r="AE514" s="208">
        <f>ROUND((ROUND((ROUND((ROUND((_15_同援日０．５*_15・基礎２),0)*(1+_15・A早朝)),0)*(1+_15・盲ろう)),0)*(1+_15・区４)),0)+ROUND((ROUND((ROUND((_15_同援日０．５＿２．０*_15・基礎２),0)*(1+_15・盲ろう)),0)*(1+_15・区４)),0)+ROUND((ROUND((ROUND((ROUND((_15_同援日０．５＿２．０＿０．５*_15・基礎２),0)*(1+_15・C夜間)),0)*(1+_15・盲ろう)),0)*(1+_15・区４)),0)</f>
        <v>1093</v>
      </c>
      <c r="AF514" s="48"/>
    </row>
    <row r="515" spans="1:32" ht="16.5" customHeight="1" x14ac:dyDescent="0.15">
      <c r="A515" s="41">
        <v>15</v>
      </c>
      <c r="B515" s="41" t="s">
        <v>1750</v>
      </c>
      <c r="C515" s="74" t="s">
        <v>23590</v>
      </c>
      <c r="D515" s="122"/>
      <c r="E515" s="37"/>
      <c r="F515" s="79"/>
      <c r="G515" s="122"/>
      <c r="H515" s="37"/>
      <c r="I515" s="79"/>
      <c r="J515" s="122"/>
      <c r="K515" s="37"/>
      <c r="L515" s="79"/>
      <c r="M515" s="122" t="s">
        <v>17560</v>
      </c>
      <c r="N515" s="37" t="s">
        <v>398</v>
      </c>
      <c r="O515" s="38">
        <v>0.9</v>
      </c>
      <c r="P515" s="299" t="s">
        <v>17556</v>
      </c>
      <c r="Q515" s="45" t="s">
        <v>398</v>
      </c>
      <c r="R515" s="46">
        <v>1</v>
      </c>
      <c r="S515" s="514"/>
      <c r="T515" s="79"/>
      <c r="U515" s="514"/>
      <c r="V515" s="79"/>
      <c r="W515" s="122"/>
      <c r="X515" s="37"/>
      <c r="Y515" s="38"/>
      <c r="Z515" s="79"/>
      <c r="AA515" s="122"/>
      <c r="AB515" s="37"/>
      <c r="AC515" s="38"/>
      <c r="AD515" s="79"/>
      <c r="AE515" s="208">
        <f>ROUND((ROUND((ROUND((ROUND((ROUND((_15_同援日０．５*_15・基礎２),0)*_15・２人),0)*(1+_15・A早朝)),0)*(1+_15・盲ろう)),0)*(1+_15・区４)),0)+ROUND((ROUND((ROUND((ROUND((_15_同援日０．５＿２．０*_15・基礎２),0)*_15・２人),0)*(1+_15・盲ろう)),0)*(1+_15・区４)),0)+ROUND((ROUND((ROUND((ROUND((ROUND((_15_同援日０．５＿２．０＿０．５*_15・基礎２),0)*_15・２人),0)*(1+_15・C夜間)),0)*(1+_15・盲ろう)),0)*(1+_15・区４)),0)</f>
        <v>1093</v>
      </c>
      <c r="AF515" s="63"/>
    </row>
    <row r="516" spans="1:32" ht="16.5" customHeight="1" x14ac:dyDescent="0.15"/>
    <row r="517" spans="1:32"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41" fitToHeight="0" orientation="portrait" r:id="rId1"/>
  <headerFooter>
    <oddHeader>&amp;R&amp;"ＭＳ Ｐゴシック"&amp;9同行援護</oddHeader>
    <oddFooter>&amp;C&amp;"ＭＳ Ｐゴシック"&amp;14&amp;P</oddFooter>
  </headerFooter>
  <rowBreaks count="6" manualBreakCount="6">
    <brk id="102" max="31" man="1"/>
    <brk id="174" max="31" man="1"/>
    <brk id="246" max="31" man="1"/>
    <brk id="318" max="31" man="1"/>
    <brk id="390" max="31" man="1"/>
    <brk id="462" max="31"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2">
    <pageSetUpPr fitToPage="1"/>
  </sheetPr>
  <dimension ref="A1:V512"/>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8.5" style="10" customWidth="1"/>
    <col min="5" max="5" width="5.875" style="12" bestFit="1" customWidth="1"/>
    <col min="6" max="6" width="4.875" style="12" bestFit="1" customWidth="1"/>
    <col min="7" max="7" width="14.5" style="12" customWidth="1"/>
    <col min="8" max="8" width="3.125" style="12" bestFit="1" customWidth="1"/>
    <col min="9" max="9" width="4.125" style="13" bestFit="1" customWidth="1"/>
    <col min="10" max="10" width="26.5" style="12" customWidth="1"/>
    <col min="11" max="11" width="3.125" style="12" bestFit="1" customWidth="1"/>
    <col min="12" max="12" width="5" style="13" bestFit="1" customWidth="1"/>
    <col min="13" max="13" width="10.5" style="12" customWidth="1"/>
    <col min="14" max="14" width="3.125" style="12" bestFit="1" customWidth="1"/>
    <col min="15" max="15" width="4.125" style="13" bestFit="1" customWidth="1"/>
    <col min="16" max="16" width="4.875" style="12" bestFit="1" customWidth="1"/>
    <col min="17" max="17" width="8.5" style="12" customWidth="1"/>
    <col min="18" max="18" width="3.125" style="12" bestFit="1" customWidth="1"/>
    <col min="19" max="19" width="4.125" style="13" bestFit="1" customWidth="1"/>
    <col min="20" max="20" width="4.875" style="12" bestFit="1" customWidth="1"/>
    <col min="21" max="21" width="7.125" style="206" customWidth="1"/>
    <col min="22" max="22" width="8.5" style="16" customWidth="1"/>
    <col min="23" max="16384" width="9" style="12"/>
  </cols>
  <sheetData>
    <row r="1" spans="1:22" ht="17.100000000000001" customHeight="1" x14ac:dyDescent="0.15"/>
    <row r="2" spans="1:22" ht="17.100000000000001" customHeight="1" x14ac:dyDescent="0.15"/>
    <row r="3" spans="1:22" ht="17.100000000000001" customHeight="1" x14ac:dyDescent="0.15"/>
    <row r="4" spans="1:22" ht="17.100000000000001" customHeight="1" x14ac:dyDescent="0.15">
      <c r="B4" s="17" t="s">
        <v>23591</v>
      </c>
      <c r="D4" s="71"/>
    </row>
    <row r="5" spans="1:22" ht="16.5" customHeight="1" x14ac:dyDescent="0.15">
      <c r="A5" s="19" t="s">
        <v>384</v>
      </c>
      <c r="B5" s="20"/>
      <c r="C5" s="21" t="s">
        <v>385</v>
      </c>
      <c r="D5" s="23" t="s">
        <v>386</v>
      </c>
      <c r="E5" s="23"/>
      <c r="F5" s="23"/>
      <c r="G5" s="23"/>
      <c r="H5" s="23"/>
      <c r="I5" s="24"/>
      <c r="J5" s="23"/>
      <c r="K5" s="23"/>
      <c r="L5" s="24"/>
      <c r="M5" s="23"/>
      <c r="N5" s="23"/>
      <c r="O5" s="24"/>
      <c r="P5" s="23"/>
      <c r="Q5" s="23"/>
      <c r="R5" s="23"/>
      <c r="S5" s="24"/>
      <c r="T5" s="23"/>
      <c r="U5" s="21" t="s">
        <v>387</v>
      </c>
      <c r="V5" s="21" t="s">
        <v>388</v>
      </c>
    </row>
    <row r="6" spans="1:22" ht="16.5" customHeight="1" x14ac:dyDescent="0.15">
      <c r="A6" s="26" t="s">
        <v>389</v>
      </c>
      <c r="B6" s="26" t="s">
        <v>390</v>
      </c>
      <c r="C6" s="27"/>
      <c r="D6" s="29"/>
      <c r="E6" s="29"/>
      <c r="F6" s="29"/>
      <c r="G6" s="29"/>
      <c r="H6" s="29"/>
      <c r="I6" s="30"/>
      <c r="J6" s="29"/>
      <c r="K6" s="29"/>
      <c r="L6" s="30"/>
      <c r="M6" s="29"/>
      <c r="N6" s="29"/>
      <c r="O6" s="30"/>
      <c r="P6" s="29"/>
      <c r="Q6" s="29"/>
      <c r="R6" s="29"/>
      <c r="S6" s="30"/>
      <c r="T6" s="29"/>
      <c r="U6" s="32" t="s">
        <v>391</v>
      </c>
      <c r="V6" s="32" t="s">
        <v>392</v>
      </c>
    </row>
    <row r="7" spans="1:22" ht="16.5" customHeight="1" x14ac:dyDescent="0.15">
      <c r="A7" s="33">
        <v>15</v>
      </c>
      <c r="B7" s="33" t="s">
        <v>1752</v>
      </c>
      <c r="C7" s="34" t="s">
        <v>23592</v>
      </c>
      <c r="D7" s="72" t="s">
        <v>23593</v>
      </c>
      <c r="F7" s="57"/>
      <c r="G7" s="35"/>
      <c r="J7" s="43"/>
      <c r="K7" s="37"/>
      <c r="L7" s="38"/>
      <c r="M7" s="35"/>
      <c r="P7" s="57"/>
      <c r="Q7" s="35"/>
      <c r="T7" s="57"/>
      <c r="U7" s="207">
        <f>_15_同援日増０．５</f>
        <v>65</v>
      </c>
      <c r="V7" s="40" t="s">
        <v>395</v>
      </c>
    </row>
    <row r="8" spans="1:22" ht="16.5" customHeight="1" x14ac:dyDescent="0.15">
      <c r="A8" s="41">
        <v>15</v>
      </c>
      <c r="B8" s="41" t="s">
        <v>1754</v>
      </c>
      <c r="C8" s="74" t="s">
        <v>23594</v>
      </c>
      <c r="D8" s="72" t="s">
        <v>18259</v>
      </c>
      <c r="F8" s="57"/>
      <c r="G8" s="43"/>
      <c r="H8" s="37"/>
      <c r="I8" s="38"/>
      <c r="J8" s="299" t="s">
        <v>17556</v>
      </c>
      <c r="K8" s="45" t="s">
        <v>398</v>
      </c>
      <c r="L8" s="46">
        <v>1</v>
      </c>
      <c r="M8" s="35"/>
      <c r="P8" s="57"/>
      <c r="Q8" s="35"/>
      <c r="T8" s="57"/>
      <c r="U8" s="208">
        <f>ROUND((_15_同援日増０．５*_15・２人),0)</f>
        <v>65</v>
      </c>
      <c r="V8" s="48"/>
    </row>
    <row r="9" spans="1:22" ht="16.5" customHeight="1" x14ac:dyDescent="0.15">
      <c r="A9" s="41">
        <v>15</v>
      </c>
      <c r="B9" s="41" t="s">
        <v>23595</v>
      </c>
      <c r="C9" s="74" t="s">
        <v>23596</v>
      </c>
      <c r="D9" s="72"/>
      <c r="F9" s="57"/>
      <c r="G9" s="114" t="s">
        <v>17558</v>
      </c>
      <c r="H9" s="49"/>
      <c r="I9" s="50"/>
      <c r="J9" s="163"/>
      <c r="K9" s="45"/>
      <c r="L9" s="46"/>
      <c r="M9" s="35"/>
      <c r="P9" s="57"/>
      <c r="Q9" s="35"/>
      <c r="T9" s="57"/>
      <c r="U9" s="208">
        <f>ROUND((_15_同援日増０．５*_15・基礎２),0)</f>
        <v>59</v>
      </c>
      <c r="V9" s="48"/>
    </row>
    <row r="10" spans="1:22" ht="16.5" customHeight="1" x14ac:dyDescent="0.15">
      <c r="A10" s="41">
        <v>15</v>
      </c>
      <c r="B10" s="41" t="s">
        <v>23597</v>
      </c>
      <c r="C10" s="74" t="s">
        <v>23598</v>
      </c>
      <c r="D10" s="72"/>
      <c r="E10" s="168">
        <f>_15_同援日増０．５</f>
        <v>65</v>
      </c>
      <c r="F10" s="57" t="s">
        <v>392</v>
      </c>
      <c r="G10" s="269" t="s">
        <v>17560</v>
      </c>
      <c r="H10" s="37" t="s">
        <v>398</v>
      </c>
      <c r="I10" s="38">
        <v>0.9</v>
      </c>
      <c r="J10" s="299" t="s">
        <v>17556</v>
      </c>
      <c r="K10" s="45" t="s">
        <v>398</v>
      </c>
      <c r="L10" s="46">
        <v>1</v>
      </c>
      <c r="M10" s="43"/>
      <c r="N10" s="37"/>
      <c r="O10" s="38"/>
      <c r="P10" s="79"/>
      <c r="Q10" s="35"/>
      <c r="T10" s="57"/>
      <c r="U10" s="208">
        <f>ROUND((ROUND((_15_同援日増０．５*_15・基礎２),0)*_15・２人),0)</f>
        <v>59</v>
      </c>
      <c r="V10" s="48"/>
    </row>
    <row r="11" spans="1:22" ht="16.5" customHeight="1" x14ac:dyDescent="0.15">
      <c r="A11" s="41">
        <v>15</v>
      </c>
      <c r="B11" s="41" t="s">
        <v>23599</v>
      </c>
      <c r="C11" s="74" t="s">
        <v>23600</v>
      </c>
      <c r="D11" s="72"/>
      <c r="F11" s="57"/>
      <c r="G11" s="53"/>
      <c r="H11" s="49"/>
      <c r="I11" s="50"/>
      <c r="J11" s="163"/>
      <c r="K11" s="45"/>
      <c r="L11" s="46"/>
      <c r="M11" s="114" t="s">
        <v>17562</v>
      </c>
      <c r="N11" s="49"/>
      <c r="O11" s="50"/>
      <c r="P11" s="115"/>
      <c r="Q11" s="35"/>
      <c r="T11" s="57"/>
      <c r="U11" s="208">
        <f>ROUND((_15_同援日増０．５*(1+_15・盲ろう)),0)</f>
        <v>81</v>
      </c>
      <c r="V11" s="48"/>
    </row>
    <row r="12" spans="1:22" ht="16.5" customHeight="1" x14ac:dyDescent="0.15">
      <c r="A12" s="41">
        <v>15</v>
      </c>
      <c r="B12" s="41" t="s">
        <v>23601</v>
      </c>
      <c r="C12" s="74" t="s">
        <v>23602</v>
      </c>
      <c r="D12" s="72"/>
      <c r="F12" s="57"/>
      <c r="G12" s="43"/>
      <c r="H12" s="37"/>
      <c r="I12" s="38"/>
      <c r="J12" s="299" t="s">
        <v>17556</v>
      </c>
      <c r="K12" s="45" t="s">
        <v>398</v>
      </c>
      <c r="L12" s="46">
        <v>1</v>
      </c>
      <c r="M12" s="92" t="s">
        <v>17564</v>
      </c>
      <c r="P12" s="57"/>
      <c r="Q12" s="35"/>
      <c r="T12" s="57"/>
      <c r="U12" s="208">
        <f>ROUND((ROUND((_15_同援日増０．５*_15・２人),0)*(1+_15・盲ろう)),0)</f>
        <v>81</v>
      </c>
      <c r="V12" s="48"/>
    </row>
    <row r="13" spans="1:22" ht="16.5" customHeight="1" x14ac:dyDescent="0.15">
      <c r="A13" s="41">
        <v>15</v>
      </c>
      <c r="B13" s="41" t="s">
        <v>23603</v>
      </c>
      <c r="C13" s="74" t="s">
        <v>23604</v>
      </c>
      <c r="D13" s="72"/>
      <c r="F13" s="57"/>
      <c r="G13" s="114" t="s">
        <v>17558</v>
      </c>
      <c r="H13" s="49"/>
      <c r="I13" s="50"/>
      <c r="J13" s="163"/>
      <c r="K13" s="45"/>
      <c r="L13" s="46"/>
      <c r="M13" s="35"/>
      <c r="N13" s="12" t="s">
        <v>398</v>
      </c>
      <c r="O13" s="13">
        <v>0.25</v>
      </c>
      <c r="P13" s="57" t="s">
        <v>3575</v>
      </c>
      <c r="Q13" s="35"/>
      <c r="T13" s="57"/>
      <c r="U13" s="208">
        <f>ROUND((ROUND((_15_同援日増０．５*_15・基礎２),0)*(1+_15・盲ろう)),0)</f>
        <v>74</v>
      </c>
      <c r="V13" s="48"/>
    </row>
    <row r="14" spans="1:22" ht="16.5" customHeight="1" x14ac:dyDescent="0.15">
      <c r="A14" s="41">
        <v>15</v>
      </c>
      <c r="B14" s="41" t="s">
        <v>23605</v>
      </c>
      <c r="C14" s="74" t="s">
        <v>23606</v>
      </c>
      <c r="D14" s="72"/>
      <c r="F14" s="57"/>
      <c r="G14" s="269" t="s">
        <v>17560</v>
      </c>
      <c r="H14" s="37" t="s">
        <v>398</v>
      </c>
      <c r="I14" s="38">
        <v>0.9</v>
      </c>
      <c r="J14" s="299" t="s">
        <v>17556</v>
      </c>
      <c r="K14" s="45" t="s">
        <v>398</v>
      </c>
      <c r="L14" s="46">
        <v>1</v>
      </c>
      <c r="M14" s="43"/>
      <c r="N14" s="37"/>
      <c r="O14" s="38"/>
      <c r="P14" s="79"/>
      <c r="Q14" s="43"/>
      <c r="R14" s="37"/>
      <c r="S14" s="38"/>
      <c r="T14" s="79"/>
      <c r="U14" s="208">
        <f>ROUND((ROUND((ROUND((_15_同援日増０．５*_15・基礎２),0)*_15・２人),0)*(1+_15・盲ろう)),0)</f>
        <v>74</v>
      </c>
      <c r="V14" s="48"/>
    </row>
    <row r="15" spans="1:22" ht="16.5" customHeight="1" x14ac:dyDescent="0.15">
      <c r="A15" s="41">
        <v>15</v>
      </c>
      <c r="B15" s="41" t="s">
        <v>23607</v>
      </c>
      <c r="C15" s="74" t="s">
        <v>23608</v>
      </c>
      <c r="D15" s="72"/>
      <c r="F15" s="57"/>
      <c r="G15" s="53"/>
      <c r="H15" s="49"/>
      <c r="I15" s="50"/>
      <c r="J15" s="163"/>
      <c r="K15" s="45"/>
      <c r="L15" s="46"/>
      <c r="M15" s="53"/>
      <c r="N15" s="49"/>
      <c r="O15" s="50"/>
      <c r="P15" s="115"/>
      <c r="Q15" s="53"/>
      <c r="R15" s="49"/>
      <c r="S15" s="50"/>
      <c r="T15" s="115"/>
      <c r="U15" s="208">
        <f>ROUND((_15_同援日増０．５*(1+_15・区３)),0)</f>
        <v>78</v>
      </c>
      <c r="V15" s="48"/>
    </row>
    <row r="16" spans="1:22" ht="16.5" customHeight="1" x14ac:dyDescent="0.15">
      <c r="A16" s="41">
        <v>15</v>
      </c>
      <c r="B16" s="41" t="s">
        <v>23609</v>
      </c>
      <c r="C16" s="74" t="s">
        <v>23610</v>
      </c>
      <c r="D16" s="72"/>
      <c r="F16" s="57"/>
      <c r="G16" s="43"/>
      <c r="H16" s="37"/>
      <c r="I16" s="38"/>
      <c r="J16" s="299" t="s">
        <v>17556</v>
      </c>
      <c r="K16" s="45" t="s">
        <v>398</v>
      </c>
      <c r="L16" s="46">
        <v>1</v>
      </c>
      <c r="M16" s="35"/>
      <c r="P16" s="57"/>
      <c r="Q16" s="35"/>
      <c r="T16" s="57"/>
      <c r="U16" s="208">
        <f>ROUND((ROUND((_15_同援日増０．５*_15・２人),0)*(1+_15・区３)),0)</f>
        <v>78</v>
      </c>
      <c r="V16" s="48"/>
    </row>
    <row r="17" spans="1:22" ht="16.5" customHeight="1" x14ac:dyDescent="0.15">
      <c r="A17" s="41">
        <v>15</v>
      </c>
      <c r="B17" s="41" t="s">
        <v>23611</v>
      </c>
      <c r="C17" s="74" t="s">
        <v>23612</v>
      </c>
      <c r="D17" s="72"/>
      <c r="F17" s="57"/>
      <c r="G17" s="114" t="s">
        <v>17558</v>
      </c>
      <c r="H17" s="49"/>
      <c r="I17" s="50"/>
      <c r="J17" s="163"/>
      <c r="K17" s="45"/>
      <c r="L17" s="46"/>
      <c r="M17" s="35"/>
      <c r="P17" s="57"/>
      <c r="Q17" s="72" t="s">
        <v>17570</v>
      </c>
      <c r="T17" s="57"/>
      <c r="U17" s="208">
        <f>ROUND((ROUND((_15_同援日増０．５*_15・基礎２),0)*(1+_15・区３)),0)</f>
        <v>71</v>
      </c>
      <c r="V17" s="48"/>
    </row>
    <row r="18" spans="1:22" ht="16.5" customHeight="1" x14ac:dyDescent="0.15">
      <c r="A18" s="41">
        <v>15</v>
      </c>
      <c r="B18" s="41" t="s">
        <v>23613</v>
      </c>
      <c r="C18" s="74" t="s">
        <v>23614</v>
      </c>
      <c r="D18" s="72"/>
      <c r="F18" s="57"/>
      <c r="G18" s="269" t="s">
        <v>17560</v>
      </c>
      <c r="H18" s="37" t="s">
        <v>398</v>
      </c>
      <c r="I18" s="38">
        <v>0.9</v>
      </c>
      <c r="J18" s="299" t="s">
        <v>17556</v>
      </c>
      <c r="K18" s="45" t="s">
        <v>398</v>
      </c>
      <c r="L18" s="46">
        <v>1</v>
      </c>
      <c r="M18" s="43"/>
      <c r="N18" s="37"/>
      <c r="O18" s="38"/>
      <c r="P18" s="79"/>
      <c r="Q18" s="72" t="s">
        <v>17572</v>
      </c>
      <c r="T18" s="57"/>
      <c r="U18" s="208">
        <f>ROUND((ROUND((ROUND((_15_同援日増０．５*_15・基礎２),0)*_15・２人),0)*(1+_15・区３)),0)</f>
        <v>71</v>
      </c>
      <c r="V18" s="48"/>
    </row>
    <row r="19" spans="1:22" ht="16.5" customHeight="1" x14ac:dyDescent="0.15">
      <c r="A19" s="41">
        <v>15</v>
      </c>
      <c r="B19" s="41" t="s">
        <v>23615</v>
      </c>
      <c r="C19" s="74" t="s">
        <v>23616</v>
      </c>
      <c r="D19" s="72"/>
      <c r="F19" s="57"/>
      <c r="G19" s="53"/>
      <c r="H19" s="49"/>
      <c r="I19" s="50"/>
      <c r="J19" s="163"/>
      <c r="K19" s="45"/>
      <c r="L19" s="46"/>
      <c r="M19" s="114" t="s">
        <v>17562</v>
      </c>
      <c r="N19" s="49"/>
      <c r="O19" s="50"/>
      <c r="P19" s="115"/>
      <c r="Q19" s="35"/>
      <c r="R19" s="12" t="s">
        <v>398</v>
      </c>
      <c r="S19" s="13">
        <v>0.2</v>
      </c>
      <c r="T19" s="57" t="s">
        <v>3575</v>
      </c>
      <c r="U19" s="208">
        <f>ROUND((ROUND((_15_同援日増０．５*(1+_15・盲ろう)),0)*(1+_15・区３)),0)</f>
        <v>97</v>
      </c>
      <c r="V19" s="48"/>
    </row>
    <row r="20" spans="1:22" ht="16.5" customHeight="1" x14ac:dyDescent="0.15">
      <c r="A20" s="41">
        <v>15</v>
      </c>
      <c r="B20" s="41" t="s">
        <v>23617</v>
      </c>
      <c r="C20" s="74" t="s">
        <v>23618</v>
      </c>
      <c r="D20" s="72"/>
      <c r="F20" s="57"/>
      <c r="G20" s="43"/>
      <c r="H20" s="37"/>
      <c r="I20" s="38"/>
      <c r="J20" s="299" t="s">
        <v>17556</v>
      </c>
      <c r="K20" s="45" t="s">
        <v>398</v>
      </c>
      <c r="L20" s="46">
        <v>1</v>
      </c>
      <c r="M20" s="92" t="s">
        <v>17564</v>
      </c>
      <c r="P20" s="57"/>
      <c r="Q20" s="35"/>
      <c r="T20" s="57"/>
      <c r="U20" s="208">
        <f>ROUND((ROUND((ROUND((_15_同援日増０．５*_15・２人),0)*(1+_15・盲ろう)),0)*(1+_15・区３)),0)</f>
        <v>97</v>
      </c>
      <c r="V20" s="48"/>
    </row>
    <row r="21" spans="1:22" ht="16.5" customHeight="1" x14ac:dyDescent="0.15">
      <c r="A21" s="41">
        <v>15</v>
      </c>
      <c r="B21" s="41" t="s">
        <v>23619</v>
      </c>
      <c r="C21" s="74" t="s">
        <v>23620</v>
      </c>
      <c r="D21" s="72"/>
      <c r="F21" s="57"/>
      <c r="G21" s="114" t="s">
        <v>17558</v>
      </c>
      <c r="H21" s="49"/>
      <c r="I21" s="50"/>
      <c r="J21" s="163"/>
      <c r="K21" s="45"/>
      <c r="L21" s="46"/>
      <c r="M21" s="35"/>
      <c r="N21" s="12" t="s">
        <v>398</v>
      </c>
      <c r="O21" s="13">
        <v>0.25</v>
      </c>
      <c r="P21" s="57" t="s">
        <v>3575</v>
      </c>
      <c r="Q21" s="35"/>
      <c r="T21" s="57"/>
      <c r="U21" s="208">
        <f>ROUND((ROUND((ROUND((_15_同援日増０．５*_15・基礎２),0)*(1+_15・盲ろう)),0)*(1+_15・区３)),0)</f>
        <v>89</v>
      </c>
      <c r="V21" s="48"/>
    </row>
    <row r="22" spans="1:22" ht="16.5" customHeight="1" x14ac:dyDescent="0.15">
      <c r="A22" s="41">
        <v>15</v>
      </c>
      <c r="B22" s="41" t="s">
        <v>23621</v>
      </c>
      <c r="C22" s="74" t="s">
        <v>23622</v>
      </c>
      <c r="D22" s="72"/>
      <c r="F22" s="57"/>
      <c r="G22" s="269" t="s">
        <v>17560</v>
      </c>
      <c r="H22" s="37" t="s">
        <v>398</v>
      </c>
      <c r="I22" s="38">
        <v>0.9</v>
      </c>
      <c r="J22" s="299" t="s">
        <v>17556</v>
      </c>
      <c r="K22" s="45" t="s">
        <v>398</v>
      </c>
      <c r="L22" s="46">
        <v>1</v>
      </c>
      <c r="M22" s="43"/>
      <c r="N22" s="37"/>
      <c r="O22" s="38"/>
      <c r="P22" s="79"/>
      <c r="Q22" s="43"/>
      <c r="R22" s="37"/>
      <c r="S22" s="38"/>
      <c r="T22" s="79"/>
      <c r="U22" s="208">
        <f>ROUND((ROUND((ROUND((ROUND((_15_同援日増０．５*_15・基礎２),0)*_15・２人),0)*(1+_15・盲ろう)),0)*(1+_15・区３)),0)</f>
        <v>89</v>
      </c>
      <c r="V22" s="48"/>
    </row>
    <row r="23" spans="1:22" ht="16.5" customHeight="1" x14ac:dyDescent="0.15">
      <c r="A23" s="41">
        <v>15</v>
      </c>
      <c r="B23" s="41" t="s">
        <v>23623</v>
      </c>
      <c r="C23" s="74" t="s">
        <v>23624</v>
      </c>
      <c r="D23" s="72"/>
      <c r="F23" s="57"/>
      <c r="G23" s="53"/>
      <c r="H23" s="49"/>
      <c r="I23" s="50"/>
      <c r="J23" s="163"/>
      <c r="K23" s="45"/>
      <c r="L23" s="46"/>
      <c r="M23" s="53"/>
      <c r="N23" s="49"/>
      <c r="O23" s="50"/>
      <c r="P23" s="115"/>
      <c r="Q23" s="53"/>
      <c r="R23" s="49"/>
      <c r="S23" s="50"/>
      <c r="T23" s="115"/>
      <c r="U23" s="208">
        <f>ROUND((_15_同援日増０．５*(1+_15・区４)),0)</f>
        <v>91</v>
      </c>
      <c r="V23" s="48"/>
    </row>
    <row r="24" spans="1:22" ht="16.5" customHeight="1" x14ac:dyDescent="0.15">
      <c r="A24" s="41">
        <v>15</v>
      </c>
      <c r="B24" s="41" t="s">
        <v>23625</v>
      </c>
      <c r="C24" s="74" t="s">
        <v>23626</v>
      </c>
      <c r="D24" s="72"/>
      <c r="F24" s="57"/>
      <c r="G24" s="43"/>
      <c r="H24" s="37"/>
      <c r="I24" s="38"/>
      <c r="J24" s="299" t="s">
        <v>17556</v>
      </c>
      <c r="K24" s="45" t="s">
        <v>398</v>
      </c>
      <c r="L24" s="46">
        <v>1</v>
      </c>
      <c r="M24" s="35"/>
      <c r="P24" s="57"/>
      <c r="Q24" s="35"/>
      <c r="T24" s="57"/>
      <c r="U24" s="208">
        <f>ROUND((ROUND((_15_同援日増０．５*_15・２人),0)*(1+_15・区４)),0)</f>
        <v>91</v>
      </c>
      <c r="V24" s="48"/>
    </row>
    <row r="25" spans="1:22" ht="16.5" customHeight="1" x14ac:dyDescent="0.15">
      <c r="A25" s="41">
        <v>15</v>
      </c>
      <c r="B25" s="41" t="s">
        <v>1760</v>
      </c>
      <c r="C25" s="74" t="s">
        <v>23627</v>
      </c>
      <c r="D25" s="72"/>
      <c r="F25" s="57"/>
      <c r="G25" s="114" t="s">
        <v>17558</v>
      </c>
      <c r="H25" s="49"/>
      <c r="I25" s="50"/>
      <c r="J25" s="163"/>
      <c r="K25" s="45"/>
      <c r="L25" s="46"/>
      <c r="M25" s="35"/>
      <c r="P25" s="57"/>
      <c r="Q25" s="72" t="s">
        <v>17580</v>
      </c>
      <c r="T25" s="57"/>
      <c r="U25" s="208">
        <f>ROUND((ROUND((_15_同援日増０．５*_15・基礎２),0)*(1+_15・区４)),0)</f>
        <v>83</v>
      </c>
      <c r="V25" s="48"/>
    </row>
    <row r="26" spans="1:22" ht="16.5" customHeight="1" x14ac:dyDescent="0.15">
      <c r="A26" s="41">
        <v>15</v>
      </c>
      <c r="B26" s="41" t="s">
        <v>1762</v>
      </c>
      <c r="C26" s="74" t="s">
        <v>23628</v>
      </c>
      <c r="D26" s="72"/>
      <c r="F26" s="57"/>
      <c r="G26" s="269" t="s">
        <v>17560</v>
      </c>
      <c r="H26" s="37" t="s">
        <v>398</v>
      </c>
      <c r="I26" s="38">
        <v>0.9</v>
      </c>
      <c r="J26" s="299" t="s">
        <v>17556</v>
      </c>
      <c r="K26" s="45" t="s">
        <v>398</v>
      </c>
      <c r="L26" s="46">
        <v>1</v>
      </c>
      <c r="M26" s="43"/>
      <c r="N26" s="37"/>
      <c r="O26" s="38"/>
      <c r="P26" s="79"/>
      <c r="Q26" s="72" t="s">
        <v>17572</v>
      </c>
      <c r="T26" s="57"/>
      <c r="U26" s="208">
        <f>ROUND((ROUND((ROUND((_15_同援日増０．５*_15・基礎２),0)*_15・２人),0)*(1+_15・区４)),0)</f>
        <v>83</v>
      </c>
      <c r="V26" s="48"/>
    </row>
    <row r="27" spans="1:22" ht="16.5" customHeight="1" x14ac:dyDescent="0.15">
      <c r="A27" s="41">
        <v>15</v>
      </c>
      <c r="B27" s="41" t="s">
        <v>1764</v>
      </c>
      <c r="C27" s="74" t="s">
        <v>23629</v>
      </c>
      <c r="D27" s="72"/>
      <c r="F27" s="57"/>
      <c r="G27" s="53"/>
      <c r="H27" s="49"/>
      <c r="I27" s="50"/>
      <c r="J27" s="163"/>
      <c r="K27" s="45"/>
      <c r="L27" s="46"/>
      <c r="M27" s="114" t="s">
        <v>17562</v>
      </c>
      <c r="N27" s="49"/>
      <c r="O27" s="50"/>
      <c r="P27" s="115"/>
      <c r="Q27" s="35"/>
      <c r="R27" s="12" t="s">
        <v>398</v>
      </c>
      <c r="S27" s="13">
        <v>0.4</v>
      </c>
      <c r="T27" s="57" t="s">
        <v>3575</v>
      </c>
      <c r="U27" s="208">
        <f>ROUND((ROUND((_15_同援日増０．５*(1+_15・盲ろう)),0)*(1+_15・区４)),0)</f>
        <v>113</v>
      </c>
      <c r="V27" s="48"/>
    </row>
    <row r="28" spans="1:22" ht="16.5" customHeight="1" x14ac:dyDescent="0.15">
      <c r="A28" s="41">
        <v>15</v>
      </c>
      <c r="B28" s="41" t="s">
        <v>1766</v>
      </c>
      <c r="C28" s="74" t="s">
        <v>23630</v>
      </c>
      <c r="D28" s="72"/>
      <c r="F28" s="57"/>
      <c r="G28" s="43"/>
      <c r="H28" s="37"/>
      <c r="I28" s="38"/>
      <c r="J28" s="299" t="s">
        <v>17556</v>
      </c>
      <c r="K28" s="45" t="s">
        <v>398</v>
      </c>
      <c r="L28" s="46">
        <v>1</v>
      </c>
      <c r="M28" s="92" t="s">
        <v>17564</v>
      </c>
      <c r="P28" s="57"/>
      <c r="Q28" s="35"/>
      <c r="T28" s="57"/>
      <c r="U28" s="208">
        <f>ROUND((ROUND((ROUND((_15_同援日増０．５*_15・２人),0)*(1+_15・盲ろう)),0)*(1+_15・区４)),0)</f>
        <v>113</v>
      </c>
      <c r="V28" s="48"/>
    </row>
    <row r="29" spans="1:22" ht="16.5" customHeight="1" x14ac:dyDescent="0.15">
      <c r="A29" s="41">
        <v>15</v>
      </c>
      <c r="B29" s="41" t="s">
        <v>23631</v>
      </c>
      <c r="C29" s="74" t="s">
        <v>23632</v>
      </c>
      <c r="D29" s="72"/>
      <c r="F29" s="57"/>
      <c r="G29" s="114" t="s">
        <v>17558</v>
      </c>
      <c r="H29" s="49"/>
      <c r="I29" s="50"/>
      <c r="J29" s="163"/>
      <c r="K29" s="45"/>
      <c r="L29" s="46"/>
      <c r="M29" s="35"/>
      <c r="N29" s="12" t="s">
        <v>398</v>
      </c>
      <c r="O29" s="13">
        <v>0.25</v>
      </c>
      <c r="P29" s="57" t="s">
        <v>3575</v>
      </c>
      <c r="Q29" s="35"/>
      <c r="T29" s="57"/>
      <c r="U29" s="208">
        <f>ROUND((ROUND((ROUND((_15_同援日増０．５*_15・基礎２),0)*(1+_15・盲ろう)),0)*(1+_15・区４)),0)</f>
        <v>104</v>
      </c>
      <c r="V29" s="48"/>
    </row>
    <row r="30" spans="1:22" ht="16.5" customHeight="1" x14ac:dyDescent="0.15">
      <c r="A30" s="41">
        <v>15</v>
      </c>
      <c r="B30" s="41" t="s">
        <v>23633</v>
      </c>
      <c r="C30" s="74" t="s">
        <v>23634</v>
      </c>
      <c r="D30" s="122"/>
      <c r="E30" s="37"/>
      <c r="F30" s="79"/>
      <c r="G30" s="269" t="s">
        <v>17560</v>
      </c>
      <c r="H30" s="37" t="s">
        <v>398</v>
      </c>
      <c r="I30" s="38">
        <v>0.9</v>
      </c>
      <c r="J30" s="299" t="s">
        <v>17556</v>
      </c>
      <c r="K30" s="45" t="s">
        <v>398</v>
      </c>
      <c r="L30" s="46">
        <v>1</v>
      </c>
      <c r="M30" s="43"/>
      <c r="N30" s="37"/>
      <c r="O30" s="38"/>
      <c r="P30" s="79"/>
      <c r="Q30" s="43"/>
      <c r="R30" s="37"/>
      <c r="S30" s="38"/>
      <c r="T30" s="79"/>
      <c r="U30" s="208">
        <f>ROUND((ROUND((ROUND((ROUND((_15_同援日増０．５*_15・基礎２),0)*_15・２人),0)*(1+_15・盲ろう)),0)*(1+_15・区４)),0)</f>
        <v>104</v>
      </c>
      <c r="V30" s="48"/>
    </row>
    <row r="31" spans="1:22" ht="16.5" customHeight="1" x14ac:dyDescent="0.15">
      <c r="A31" s="41">
        <v>15</v>
      </c>
      <c r="B31" s="41" t="s">
        <v>23635</v>
      </c>
      <c r="C31" s="74" t="s">
        <v>23636</v>
      </c>
      <c r="D31" s="114" t="s">
        <v>23637</v>
      </c>
      <c r="E31" s="49"/>
      <c r="F31" s="115"/>
      <c r="G31" s="53"/>
      <c r="H31" s="49"/>
      <c r="I31" s="50"/>
      <c r="J31" s="163"/>
      <c r="K31" s="45"/>
      <c r="L31" s="46"/>
      <c r="M31" s="53"/>
      <c r="N31" s="49"/>
      <c r="O31" s="50"/>
      <c r="P31" s="115"/>
      <c r="Q31" s="53"/>
      <c r="R31" s="49"/>
      <c r="S31" s="50"/>
      <c r="T31" s="115"/>
      <c r="U31" s="208">
        <f>_15_同援日増１．０</f>
        <v>130</v>
      </c>
      <c r="V31" s="48"/>
    </row>
    <row r="32" spans="1:22" ht="16.5" customHeight="1" x14ac:dyDescent="0.15">
      <c r="A32" s="41">
        <v>15</v>
      </c>
      <c r="B32" s="41" t="s">
        <v>23638</v>
      </c>
      <c r="C32" s="74" t="s">
        <v>23639</v>
      </c>
      <c r="D32" s="72" t="s">
        <v>17589</v>
      </c>
      <c r="F32" s="57"/>
      <c r="G32" s="43"/>
      <c r="H32" s="37"/>
      <c r="I32" s="38"/>
      <c r="J32" s="299" t="s">
        <v>17556</v>
      </c>
      <c r="K32" s="45" t="s">
        <v>398</v>
      </c>
      <c r="L32" s="46">
        <v>1</v>
      </c>
      <c r="M32" s="35"/>
      <c r="P32" s="57"/>
      <c r="Q32" s="35"/>
      <c r="T32" s="57"/>
      <c r="U32" s="208">
        <f>ROUND((_15_同援日増１．０*_15・２人),0)</f>
        <v>130</v>
      </c>
      <c r="V32" s="48"/>
    </row>
    <row r="33" spans="1:22" ht="16.5" customHeight="1" x14ac:dyDescent="0.15">
      <c r="A33" s="41">
        <v>15</v>
      </c>
      <c r="B33" s="41" t="s">
        <v>23640</v>
      </c>
      <c r="C33" s="74" t="s">
        <v>23641</v>
      </c>
      <c r="D33" s="72" t="s">
        <v>17591</v>
      </c>
      <c r="F33" s="57"/>
      <c r="G33" s="114" t="s">
        <v>17558</v>
      </c>
      <c r="H33" s="49"/>
      <c r="I33" s="50"/>
      <c r="J33" s="163"/>
      <c r="K33" s="45"/>
      <c r="L33" s="46"/>
      <c r="M33" s="35"/>
      <c r="P33" s="57"/>
      <c r="Q33" s="35"/>
      <c r="T33" s="57"/>
      <c r="U33" s="208">
        <f>ROUND((_15_同援日増１．０*_15・基礎２),0)</f>
        <v>117</v>
      </c>
      <c r="V33" s="48"/>
    </row>
    <row r="34" spans="1:22" ht="16.5" customHeight="1" x14ac:dyDescent="0.15">
      <c r="A34" s="41">
        <v>15</v>
      </c>
      <c r="B34" s="41" t="s">
        <v>23642</v>
      </c>
      <c r="C34" s="74" t="s">
        <v>23643</v>
      </c>
      <c r="D34" s="72"/>
      <c r="E34" s="168">
        <f>_15_同援日増１．０</f>
        <v>130</v>
      </c>
      <c r="F34" s="57" t="s">
        <v>392</v>
      </c>
      <c r="G34" s="269" t="s">
        <v>17560</v>
      </c>
      <c r="H34" s="37" t="s">
        <v>398</v>
      </c>
      <c r="I34" s="38">
        <v>0.9</v>
      </c>
      <c r="J34" s="299" t="s">
        <v>17556</v>
      </c>
      <c r="K34" s="45" t="s">
        <v>398</v>
      </c>
      <c r="L34" s="46">
        <v>1</v>
      </c>
      <c r="M34" s="43"/>
      <c r="N34" s="37"/>
      <c r="O34" s="38"/>
      <c r="P34" s="79"/>
      <c r="Q34" s="35"/>
      <c r="T34" s="57"/>
      <c r="U34" s="208">
        <f>ROUND((ROUND((_15_同援日増１．０*_15・基礎２),0)*_15・２人),0)</f>
        <v>117</v>
      </c>
      <c r="V34" s="48"/>
    </row>
    <row r="35" spans="1:22" ht="16.5" customHeight="1" x14ac:dyDescent="0.15">
      <c r="A35" s="41">
        <v>15</v>
      </c>
      <c r="B35" s="41" t="s">
        <v>23644</v>
      </c>
      <c r="C35" s="74" t="s">
        <v>23645</v>
      </c>
      <c r="D35" s="72"/>
      <c r="F35" s="57"/>
      <c r="G35" s="53"/>
      <c r="H35" s="49"/>
      <c r="I35" s="50"/>
      <c r="J35" s="163"/>
      <c r="K35" s="45"/>
      <c r="L35" s="46"/>
      <c r="M35" s="114" t="s">
        <v>17562</v>
      </c>
      <c r="N35" s="49"/>
      <c r="O35" s="50"/>
      <c r="P35" s="115"/>
      <c r="Q35" s="35"/>
      <c r="T35" s="57"/>
      <c r="U35" s="208">
        <f>ROUND((_15_同援日増１．０*(1+_15・盲ろう)),0)</f>
        <v>163</v>
      </c>
      <c r="V35" s="48"/>
    </row>
    <row r="36" spans="1:22" ht="16.5" customHeight="1" x14ac:dyDescent="0.15">
      <c r="A36" s="41">
        <v>15</v>
      </c>
      <c r="B36" s="41" t="s">
        <v>23646</v>
      </c>
      <c r="C36" s="74" t="s">
        <v>23647</v>
      </c>
      <c r="D36" s="72"/>
      <c r="F36" s="57"/>
      <c r="G36" s="43"/>
      <c r="H36" s="37"/>
      <c r="I36" s="38"/>
      <c r="J36" s="299" t="s">
        <v>17556</v>
      </c>
      <c r="K36" s="45" t="s">
        <v>398</v>
      </c>
      <c r="L36" s="46">
        <v>1</v>
      </c>
      <c r="M36" s="92" t="s">
        <v>17564</v>
      </c>
      <c r="P36" s="57"/>
      <c r="Q36" s="35"/>
      <c r="T36" s="57"/>
      <c r="U36" s="208">
        <f>ROUND((ROUND((_15_同援日増１．０*_15・２人),0)*(1+_15・盲ろう)),0)</f>
        <v>163</v>
      </c>
      <c r="V36" s="48"/>
    </row>
    <row r="37" spans="1:22" ht="16.5" customHeight="1" x14ac:dyDescent="0.15">
      <c r="A37" s="41">
        <v>15</v>
      </c>
      <c r="B37" s="41" t="s">
        <v>23648</v>
      </c>
      <c r="C37" s="74" t="s">
        <v>23649</v>
      </c>
      <c r="D37" s="72"/>
      <c r="F37" s="57"/>
      <c r="G37" s="114" t="s">
        <v>17558</v>
      </c>
      <c r="H37" s="49"/>
      <c r="I37" s="50"/>
      <c r="J37" s="163"/>
      <c r="K37" s="45"/>
      <c r="L37" s="46"/>
      <c r="M37" s="35"/>
      <c r="N37" s="12" t="s">
        <v>398</v>
      </c>
      <c r="O37" s="13">
        <v>0.25</v>
      </c>
      <c r="P37" s="57" t="s">
        <v>3575</v>
      </c>
      <c r="Q37" s="35"/>
      <c r="T37" s="57"/>
      <c r="U37" s="208">
        <f>ROUND((ROUND((_15_同援日増１．０*_15・基礎２),0)*(1+_15・盲ろう)),0)</f>
        <v>146</v>
      </c>
      <c r="V37" s="48"/>
    </row>
    <row r="38" spans="1:22" ht="16.5" customHeight="1" x14ac:dyDescent="0.15">
      <c r="A38" s="41">
        <v>15</v>
      </c>
      <c r="B38" s="41" t="s">
        <v>23650</v>
      </c>
      <c r="C38" s="74" t="s">
        <v>23651</v>
      </c>
      <c r="D38" s="72"/>
      <c r="F38" s="57"/>
      <c r="G38" s="269" t="s">
        <v>17560</v>
      </c>
      <c r="H38" s="37" t="s">
        <v>398</v>
      </c>
      <c r="I38" s="38">
        <v>0.9</v>
      </c>
      <c r="J38" s="299" t="s">
        <v>17556</v>
      </c>
      <c r="K38" s="45" t="s">
        <v>398</v>
      </c>
      <c r="L38" s="46">
        <v>1</v>
      </c>
      <c r="M38" s="43"/>
      <c r="N38" s="37"/>
      <c r="O38" s="38"/>
      <c r="P38" s="79"/>
      <c r="Q38" s="43"/>
      <c r="R38" s="37"/>
      <c r="S38" s="38"/>
      <c r="T38" s="79"/>
      <c r="U38" s="208">
        <f>ROUND((ROUND((ROUND((_15_同援日増１．０*_15・基礎２),0)*_15・２人),0)*(1+_15・盲ろう)),0)</f>
        <v>146</v>
      </c>
      <c r="V38" s="48"/>
    </row>
    <row r="39" spans="1:22" ht="16.5" customHeight="1" x14ac:dyDescent="0.15">
      <c r="A39" s="41">
        <v>15</v>
      </c>
      <c r="B39" s="41" t="s">
        <v>23652</v>
      </c>
      <c r="C39" s="74" t="s">
        <v>23653</v>
      </c>
      <c r="D39" s="72"/>
      <c r="F39" s="57"/>
      <c r="G39" s="53"/>
      <c r="H39" s="49"/>
      <c r="I39" s="50"/>
      <c r="J39" s="163"/>
      <c r="K39" s="45"/>
      <c r="L39" s="46"/>
      <c r="M39" s="53"/>
      <c r="N39" s="49"/>
      <c r="O39" s="50"/>
      <c r="P39" s="115"/>
      <c r="Q39" s="53"/>
      <c r="R39" s="49"/>
      <c r="S39" s="50"/>
      <c r="T39" s="115"/>
      <c r="U39" s="208">
        <f>ROUND((_15_同援日増１．０*(1+_15・区３)),0)</f>
        <v>156</v>
      </c>
      <c r="V39" s="48"/>
    </row>
    <row r="40" spans="1:22" ht="16.5" customHeight="1" x14ac:dyDescent="0.15">
      <c r="A40" s="41">
        <v>15</v>
      </c>
      <c r="B40" s="41" t="s">
        <v>23654</v>
      </c>
      <c r="C40" s="74" t="s">
        <v>23655</v>
      </c>
      <c r="D40" s="72"/>
      <c r="F40" s="57"/>
      <c r="G40" s="43"/>
      <c r="H40" s="37"/>
      <c r="I40" s="38"/>
      <c r="J40" s="299" t="s">
        <v>17556</v>
      </c>
      <c r="K40" s="45" t="s">
        <v>398</v>
      </c>
      <c r="L40" s="46">
        <v>1</v>
      </c>
      <c r="M40" s="35"/>
      <c r="P40" s="57"/>
      <c r="Q40" s="35"/>
      <c r="T40" s="57"/>
      <c r="U40" s="208">
        <f>ROUND((ROUND((_15_同援日増１．０*_15・２人),0)*(1+_15・区３)),0)</f>
        <v>156</v>
      </c>
      <c r="V40" s="48"/>
    </row>
    <row r="41" spans="1:22" ht="16.5" customHeight="1" x14ac:dyDescent="0.15">
      <c r="A41" s="41">
        <v>15</v>
      </c>
      <c r="B41" s="41" t="s">
        <v>23656</v>
      </c>
      <c r="C41" s="74" t="s">
        <v>23657</v>
      </c>
      <c r="D41" s="72"/>
      <c r="F41" s="57"/>
      <c r="G41" s="114" t="s">
        <v>17558</v>
      </c>
      <c r="H41" s="49"/>
      <c r="I41" s="50"/>
      <c r="J41" s="163"/>
      <c r="K41" s="45"/>
      <c r="L41" s="46"/>
      <c r="M41" s="35"/>
      <c r="P41" s="57"/>
      <c r="Q41" s="72" t="s">
        <v>17570</v>
      </c>
      <c r="T41" s="57"/>
      <c r="U41" s="208">
        <f>ROUND((ROUND((_15_同援日増１．０*_15・基礎２),0)*(1+_15・区３)),0)</f>
        <v>140</v>
      </c>
      <c r="V41" s="48"/>
    </row>
    <row r="42" spans="1:22" ht="16.5" customHeight="1" x14ac:dyDescent="0.15">
      <c r="A42" s="41">
        <v>15</v>
      </c>
      <c r="B42" s="41" t="s">
        <v>23658</v>
      </c>
      <c r="C42" s="74" t="s">
        <v>23659</v>
      </c>
      <c r="D42" s="72"/>
      <c r="F42" s="57"/>
      <c r="G42" s="269" t="s">
        <v>17560</v>
      </c>
      <c r="H42" s="37" t="s">
        <v>398</v>
      </c>
      <c r="I42" s="38">
        <v>0.9</v>
      </c>
      <c r="J42" s="299" t="s">
        <v>17556</v>
      </c>
      <c r="K42" s="45" t="s">
        <v>398</v>
      </c>
      <c r="L42" s="46">
        <v>1</v>
      </c>
      <c r="M42" s="43"/>
      <c r="N42" s="37"/>
      <c r="O42" s="38"/>
      <c r="P42" s="79"/>
      <c r="Q42" s="72" t="s">
        <v>17572</v>
      </c>
      <c r="T42" s="57"/>
      <c r="U42" s="208">
        <f>ROUND((ROUND((ROUND((_15_同援日増１．０*_15・基礎２),0)*_15・２人),0)*(1+_15・区３)),0)</f>
        <v>140</v>
      </c>
      <c r="V42" s="48"/>
    </row>
    <row r="43" spans="1:22" ht="16.5" customHeight="1" x14ac:dyDescent="0.15">
      <c r="A43" s="41">
        <v>15</v>
      </c>
      <c r="B43" s="41" t="s">
        <v>23660</v>
      </c>
      <c r="C43" s="74" t="s">
        <v>23661</v>
      </c>
      <c r="D43" s="72"/>
      <c r="F43" s="57"/>
      <c r="G43" s="53"/>
      <c r="H43" s="49"/>
      <c r="I43" s="50"/>
      <c r="J43" s="163"/>
      <c r="K43" s="45"/>
      <c r="L43" s="46"/>
      <c r="M43" s="114" t="s">
        <v>17562</v>
      </c>
      <c r="N43" s="49"/>
      <c r="O43" s="50"/>
      <c r="P43" s="115"/>
      <c r="Q43" s="35"/>
      <c r="R43" s="12" t="s">
        <v>398</v>
      </c>
      <c r="S43" s="13">
        <v>0.2</v>
      </c>
      <c r="T43" s="57" t="s">
        <v>3575</v>
      </c>
      <c r="U43" s="208">
        <f>ROUND((ROUND((_15_同援日増１．０*(1+_15・盲ろう)),0)*(1+_15・区３)),0)</f>
        <v>196</v>
      </c>
      <c r="V43" s="48"/>
    </row>
    <row r="44" spans="1:22" ht="16.5" customHeight="1" x14ac:dyDescent="0.15">
      <c r="A44" s="41">
        <v>15</v>
      </c>
      <c r="B44" s="41" t="s">
        <v>23662</v>
      </c>
      <c r="C44" s="74" t="s">
        <v>23663</v>
      </c>
      <c r="D44" s="72"/>
      <c r="F44" s="57"/>
      <c r="G44" s="43"/>
      <c r="H44" s="37"/>
      <c r="I44" s="38"/>
      <c r="J44" s="299" t="s">
        <v>17556</v>
      </c>
      <c r="K44" s="45" t="s">
        <v>398</v>
      </c>
      <c r="L44" s="46">
        <v>1</v>
      </c>
      <c r="M44" s="92" t="s">
        <v>17564</v>
      </c>
      <c r="P44" s="57"/>
      <c r="Q44" s="35"/>
      <c r="T44" s="57"/>
      <c r="U44" s="208">
        <f>ROUND((ROUND((ROUND((_15_同援日増１．０*_15・２人),0)*(1+_15・盲ろう)),0)*(1+_15・区３)),0)</f>
        <v>196</v>
      </c>
      <c r="V44" s="48"/>
    </row>
    <row r="45" spans="1:22" ht="16.5" customHeight="1" x14ac:dyDescent="0.15">
      <c r="A45" s="41">
        <v>15</v>
      </c>
      <c r="B45" s="41" t="s">
        <v>1772</v>
      </c>
      <c r="C45" s="74" t="s">
        <v>23664</v>
      </c>
      <c r="D45" s="72"/>
      <c r="F45" s="57"/>
      <c r="G45" s="114" t="s">
        <v>17558</v>
      </c>
      <c r="H45" s="49"/>
      <c r="I45" s="50"/>
      <c r="J45" s="163"/>
      <c r="K45" s="45"/>
      <c r="L45" s="46"/>
      <c r="M45" s="35"/>
      <c r="N45" s="12" t="s">
        <v>398</v>
      </c>
      <c r="O45" s="13">
        <v>0.25</v>
      </c>
      <c r="P45" s="57" t="s">
        <v>3575</v>
      </c>
      <c r="Q45" s="35"/>
      <c r="T45" s="57"/>
      <c r="U45" s="208">
        <f>ROUND((ROUND((ROUND((_15_同援日増１．０*_15・基礎２),0)*(1+_15・盲ろう)),0)*(1+_15・区３)),0)</f>
        <v>175</v>
      </c>
      <c r="V45" s="48"/>
    </row>
    <row r="46" spans="1:22" ht="16.5" customHeight="1" x14ac:dyDescent="0.15">
      <c r="A46" s="41">
        <v>15</v>
      </c>
      <c r="B46" s="41" t="s">
        <v>1774</v>
      </c>
      <c r="C46" s="74" t="s">
        <v>23665</v>
      </c>
      <c r="D46" s="72"/>
      <c r="F46" s="57"/>
      <c r="G46" s="269" t="s">
        <v>17560</v>
      </c>
      <c r="H46" s="37" t="s">
        <v>398</v>
      </c>
      <c r="I46" s="38">
        <v>0.9</v>
      </c>
      <c r="J46" s="299" t="s">
        <v>17556</v>
      </c>
      <c r="K46" s="45" t="s">
        <v>398</v>
      </c>
      <c r="L46" s="46">
        <v>1</v>
      </c>
      <c r="M46" s="43"/>
      <c r="N46" s="37"/>
      <c r="O46" s="38"/>
      <c r="P46" s="79"/>
      <c r="Q46" s="43"/>
      <c r="R46" s="37"/>
      <c r="S46" s="38"/>
      <c r="T46" s="79"/>
      <c r="U46" s="208">
        <f>ROUND((ROUND((ROUND((ROUND((_15_同援日増１．０*_15・基礎２),0)*_15・２人),0)*(1+_15・盲ろう)),0)*(1+_15・区３)),0)</f>
        <v>175</v>
      </c>
      <c r="V46" s="48"/>
    </row>
    <row r="47" spans="1:22" ht="16.5" customHeight="1" x14ac:dyDescent="0.15">
      <c r="A47" s="41">
        <v>15</v>
      </c>
      <c r="B47" s="41" t="s">
        <v>1776</v>
      </c>
      <c r="C47" s="74" t="s">
        <v>23666</v>
      </c>
      <c r="D47" s="72"/>
      <c r="F47" s="57"/>
      <c r="G47" s="53"/>
      <c r="H47" s="49"/>
      <c r="I47" s="50"/>
      <c r="J47" s="163"/>
      <c r="K47" s="45"/>
      <c r="L47" s="46"/>
      <c r="M47" s="53"/>
      <c r="N47" s="49"/>
      <c r="O47" s="50"/>
      <c r="P47" s="115"/>
      <c r="Q47" s="53"/>
      <c r="R47" s="49"/>
      <c r="S47" s="50"/>
      <c r="T47" s="115"/>
      <c r="U47" s="208">
        <f>ROUND((_15_同援日増１．０*(1+_15・区４)),0)</f>
        <v>182</v>
      </c>
      <c r="V47" s="48"/>
    </row>
    <row r="48" spans="1:22" ht="16.5" customHeight="1" x14ac:dyDescent="0.15">
      <c r="A48" s="41">
        <v>15</v>
      </c>
      <c r="B48" s="41" t="s">
        <v>1778</v>
      </c>
      <c r="C48" s="74" t="s">
        <v>23667</v>
      </c>
      <c r="D48" s="72"/>
      <c r="F48" s="57"/>
      <c r="G48" s="43"/>
      <c r="H48" s="37"/>
      <c r="I48" s="38"/>
      <c r="J48" s="299" t="s">
        <v>17556</v>
      </c>
      <c r="K48" s="45" t="s">
        <v>398</v>
      </c>
      <c r="L48" s="46">
        <v>1</v>
      </c>
      <c r="M48" s="35"/>
      <c r="P48" s="57"/>
      <c r="Q48" s="35"/>
      <c r="T48" s="57"/>
      <c r="U48" s="208">
        <f>ROUND((ROUND((_15_同援日増１．０*_15・２人),0)*(1+_15・区４)),0)</f>
        <v>182</v>
      </c>
      <c r="V48" s="48"/>
    </row>
    <row r="49" spans="1:22" ht="16.5" customHeight="1" x14ac:dyDescent="0.15">
      <c r="A49" s="41">
        <v>15</v>
      </c>
      <c r="B49" s="41" t="s">
        <v>23668</v>
      </c>
      <c r="C49" s="74" t="s">
        <v>23669</v>
      </c>
      <c r="D49" s="72"/>
      <c r="F49" s="57"/>
      <c r="G49" s="114" t="s">
        <v>17558</v>
      </c>
      <c r="H49" s="49"/>
      <c r="I49" s="50"/>
      <c r="J49" s="163"/>
      <c r="K49" s="45"/>
      <c r="L49" s="46"/>
      <c r="M49" s="35"/>
      <c r="P49" s="57"/>
      <c r="Q49" s="72" t="s">
        <v>17580</v>
      </c>
      <c r="T49" s="57"/>
      <c r="U49" s="208">
        <f>ROUND((ROUND((_15_同援日増１．０*_15・基礎２),0)*(1+_15・区４)),0)</f>
        <v>164</v>
      </c>
      <c r="V49" s="48"/>
    </row>
    <row r="50" spans="1:22" ht="16.5" customHeight="1" x14ac:dyDescent="0.15">
      <c r="A50" s="41">
        <v>15</v>
      </c>
      <c r="B50" s="41" t="s">
        <v>23670</v>
      </c>
      <c r="C50" s="74" t="s">
        <v>23671</v>
      </c>
      <c r="D50" s="72"/>
      <c r="F50" s="57"/>
      <c r="G50" s="269" t="s">
        <v>17560</v>
      </c>
      <c r="H50" s="37" t="s">
        <v>398</v>
      </c>
      <c r="I50" s="38">
        <v>0.9</v>
      </c>
      <c r="J50" s="299" t="s">
        <v>17556</v>
      </c>
      <c r="K50" s="45" t="s">
        <v>398</v>
      </c>
      <c r="L50" s="46">
        <v>1</v>
      </c>
      <c r="M50" s="43"/>
      <c r="N50" s="37"/>
      <c r="O50" s="38"/>
      <c r="P50" s="79"/>
      <c r="Q50" s="72" t="s">
        <v>17572</v>
      </c>
      <c r="T50" s="57"/>
      <c r="U50" s="208">
        <f>ROUND((ROUND((ROUND((_15_同援日増１．０*_15・基礎２),0)*_15・２人),0)*(1+_15・区４)),0)</f>
        <v>164</v>
      </c>
      <c r="V50" s="48"/>
    </row>
    <row r="51" spans="1:22" ht="16.5" customHeight="1" x14ac:dyDescent="0.15">
      <c r="A51" s="41">
        <v>15</v>
      </c>
      <c r="B51" s="41" t="s">
        <v>23672</v>
      </c>
      <c r="C51" s="74" t="s">
        <v>23673</v>
      </c>
      <c r="D51" s="72"/>
      <c r="F51" s="57"/>
      <c r="G51" s="53"/>
      <c r="H51" s="49"/>
      <c r="I51" s="50"/>
      <c r="J51" s="163"/>
      <c r="K51" s="45"/>
      <c r="L51" s="46"/>
      <c r="M51" s="114" t="s">
        <v>17562</v>
      </c>
      <c r="N51" s="49"/>
      <c r="O51" s="50"/>
      <c r="P51" s="115"/>
      <c r="Q51" s="35"/>
      <c r="R51" s="12" t="s">
        <v>398</v>
      </c>
      <c r="S51" s="13">
        <v>0.4</v>
      </c>
      <c r="T51" s="57" t="s">
        <v>3575</v>
      </c>
      <c r="U51" s="208">
        <f>ROUND((ROUND((_15_同援日増１．０*(1+_15・盲ろう)),0)*(1+_15・区４)),0)</f>
        <v>228</v>
      </c>
      <c r="V51" s="48"/>
    </row>
    <row r="52" spans="1:22" ht="16.5" customHeight="1" x14ac:dyDescent="0.15">
      <c r="A52" s="41">
        <v>15</v>
      </c>
      <c r="B52" s="41" t="s">
        <v>23674</v>
      </c>
      <c r="C52" s="74" t="s">
        <v>23675</v>
      </c>
      <c r="D52" s="72"/>
      <c r="F52" s="57"/>
      <c r="G52" s="43"/>
      <c r="H52" s="37"/>
      <c r="I52" s="38"/>
      <c r="J52" s="299" t="s">
        <v>17556</v>
      </c>
      <c r="K52" s="45" t="s">
        <v>398</v>
      </c>
      <c r="L52" s="46">
        <v>1</v>
      </c>
      <c r="M52" s="92" t="s">
        <v>17564</v>
      </c>
      <c r="P52" s="57"/>
      <c r="Q52" s="35"/>
      <c r="T52" s="57"/>
      <c r="U52" s="208">
        <f>ROUND((ROUND((ROUND((_15_同援日増１．０*_15・２人),0)*(1+_15・盲ろう)),0)*(1+_15・区４)),0)</f>
        <v>228</v>
      </c>
      <c r="V52" s="48"/>
    </row>
    <row r="53" spans="1:22" ht="16.5" customHeight="1" x14ac:dyDescent="0.15">
      <c r="A53" s="41">
        <v>15</v>
      </c>
      <c r="B53" s="41" t="s">
        <v>23676</v>
      </c>
      <c r="C53" s="74" t="s">
        <v>23677</v>
      </c>
      <c r="D53" s="72"/>
      <c r="F53" s="57"/>
      <c r="G53" s="114" t="s">
        <v>17558</v>
      </c>
      <c r="H53" s="49"/>
      <c r="I53" s="50"/>
      <c r="J53" s="163"/>
      <c r="K53" s="45"/>
      <c r="L53" s="46"/>
      <c r="M53" s="35"/>
      <c r="N53" s="12" t="s">
        <v>398</v>
      </c>
      <c r="O53" s="13">
        <v>0.25</v>
      </c>
      <c r="P53" s="57" t="s">
        <v>3575</v>
      </c>
      <c r="Q53" s="35"/>
      <c r="T53" s="57"/>
      <c r="U53" s="208">
        <f>ROUND((ROUND((ROUND((_15_同援日増１．０*_15・基礎２),0)*(1+_15・盲ろう)),0)*(1+_15・区４)),0)</f>
        <v>204</v>
      </c>
      <c r="V53" s="48"/>
    </row>
    <row r="54" spans="1:22" ht="16.5" customHeight="1" x14ac:dyDescent="0.15">
      <c r="A54" s="41">
        <v>15</v>
      </c>
      <c r="B54" s="41" t="s">
        <v>23678</v>
      </c>
      <c r="C54" s="74" t="s">
        <v>23679</v>
      </c>
      <c r="D54" s="122"/>
      <c r="E54" s="37"/>
      <c r="F54" s="79"/>
      <c r="G54" s="269" t="s">
        <v>17560</v>
      </c>
      <c r="H54" s="37" t="s">
        <v>398</v>
      </c>
      <c r="I54" s="38">
        <v>0.9</v>
      </c>
      <c r="J54" s="299" t="s">
        <v>17556</v>
      </c>
      <c r="K54" s="45" t="s">
        <v>398</v>
      </c>
      <c r="L54" s="46">
        <v>1</v>
      </c>
      <c r="M54" s="43"/>
      <c r="N54" s="37"/>
      <c r="O54" s="38"/>
      <c r="P54" s="79"/>
      <c r="Q54" s="43"/>
      <c r="R54" s="37"/>
      <c r="S54" s="38"/>
      <c r="T54" s="79"/>
      <c r="U54" s="208">
        <f>ROUND((ROUND((ROUND((ROUND((_15_同援日増１．０*_15・基礎２),0)*_15・２人),0)*(1+_15・盲ろう)),0)*(1+_15・区４)),0)</f>
        <v>204</v>
      </c>
      <c r="V54" s="48"/>
    </row>
    <row r="55" spans="1:22" ht="16.5" customHeight="1" x14ac:dyDescent="0.15">
      <c r="A55" s="41">
        <v>15</v>
      </c>
      <c r="B55" s="41" t="s">
        <v>23680</v>
      </c>
      <c r="C55" s="74" t="s">
        <v>23681</v>
      </c>
      <c r="D55" s="114" t="s">
        <v>23682</v>
      </c>
      <c r="E55" s="49"/>
      <c r="F55" s="115"/>
      <c r="G55" s="53"/>
      <c r="H55" s="49"/>
      <c r="I55" s="50"/>
      <c r="J55" s="163"/>
      <c r="K55" s="45"/>
      <c r="L55" s="46"/>
      <c r="M55" s="53"/>
      <c r="N55" s="49"/>
      <c r="O55" s="50"/>
      <c r="P55" s="115"/>
      <c r="Q55" s="53"/>
      <c r="R55" s="49"/>
      <c r="S55" s="50"/>
      <c r="T55" s="115"/>
      <c r="U55" s="208">
        <f>_15_同援日増１．５</f>
        <v>195</v>
      </c>
      <c r="V55" s="48"/>
    </row>
    <row r="56" spans="1:22" ht="16.5" customHeight="1" x14ac:dyDescent="0.15">
      <c r="A56" s="41">
        <v>15</v>
      </c>
      <c r="B56" s="41" t="s">
        <v>23683</v>
      </c>
      <c r="C56" s="74" t="s">
        <v>23684</v>
      </c>
      <c r="D56" s="72" t="s">
        <v>17616</v>
      </c>
      <c r="F56" s="57"/>
      <c r="G56" s="43"/>
      <c r="H56" s="37"/>
      <c r="I56" s="38"/>
      <c r="J56" s="299" t="s">
        <v>17556</v>
      </c>
      <c r="K56" s="45" t="s">
        <v>398</v>
      </c>
      <c r="L56" s="46">
        <v>1</v>
      </c>
      <c r="M56" s="35"/>
      <c r="P56" s="57"/>
      <c r="Q56" s="35"/>
      <c r="T56" s="57"/>
      <c r="U56" s="208">
        <f>ROUND((_15_同援日増１．５*_15・２人),0)</f>
        <v>195</v>
      </c>
      <c r="V56" s="48"/>
    </row>
    <row r="57" spans="1:22" ht="16.5" customHeight="1" x14ac:dyDescent="0.15">
      <c r="A57" s="41">
        <v>15</v>
      </c>
      <c r="B57" s="41" t="s">
        <v>23685</v>
      </c>
      <c r="C57" s="74" t="s">
        <v>23686</v>
      </c>
      <c r="D57" s="72" t="s">
        <v>18183</v>
      </c>
      <c r="F57" s="57"/>
      <c r="G57" s="114" t="s">
        <v>17558</v>
      </c>
      <c r="H57" s="49"/>
      <c r="I57" s="50"/>
      <c r="J57" s="163"/>
      <c r="K57" s="45"/>
      <c r="L57" s="46"/>
      <c r="M57" s="35"/>
      <c r="P57" s="57"/>
      <c r="Q57" s="35"/>
      <c r="T57" s="57"/>
      <c r="U57" s="208">
        <f>ROUND((_15_同援日増１．５*_15・基礎２),0)</f>
        <v>176</v>
      </c>
      <c r="V57" s="48"/>
    </row>
    <row r="58" spans="1:22" ht="16.5" customHeight="1" x14ac:dyDescent="0.15">
      <c r="A58" s="41">
        <v>15</v>
      </c>
      <c r="B58" s="41" t="s">
        <v>23687</v>
      </c>
      <c r="C58" s="74" t="s">
        <v>23688</v>
      </c>
      <c r="D58" s="72"/>
      <c r="E58" s="168">
        <f>_15_同援日増１．５</f>
        <v>195</v>
      </c>
      <c r="F58" s="57" t="s">
        <v>392</v>
      </c>
      <c r="G58" s="269" t="s">
        <v>17560</v>
      </c>
      <c r="H58" s="37" t="s">
        <v>398</v>
      </c>
      <c r="I58" s="38">
        <v>0.9</v>
      </c>
      <c r="J58" s="299" t="s">
        <v>17556</v>
      </c>
      <c r="K58" s="45" t="s">
        <v>398</v>
      </c>
      <c r="L58" s="46">
        <v>1</v>
      </c>
      <c r="M58" s="43"/>
      <c r="N58" s="37"/>
      <c r="O58" s="38"/>
      <c r="P58" s="79"/>
      <c r="Q58" s="35"/>
      <c r="T58" s="57"/>
      <c r="U58" s="208">
        <f>ROUND((ROUND((_15_同援日増１．５*_15・基礎２),0)*_15・２人),0)</f>
        <v>176</v>
      </c>
      <c r="V58" s="48"/>
    </row>
    <row r="59" spans="1:22" ht="16.5" customHeight="1" x14ac:dyDescent="0.15">
      <c r="A59" s="41">
        <v>15</v>
      </c>
      <c r="B59" s="41" t="s">
        <v>23689</v>
      </c>
      <c r="C59" s="74" t="s">
        <v>23690</v>
      </c>
      <c r="D59" s="72"/>
      <c r="F59" s="57"/>
      <c r="G59" s="53"/>
      <c r="H59" s="49"/>
      <c r="I59" s="50"/>
      <c r="J59" s="163"/>
      <c r="K59" s="45"/>
      <c r="L59" s="46"/>
      <c r="M59" s="114" t="s">
        <v>17562</v>
      </c>
      <c r="N59" s="49"/>
      <c r="O59" s="50"/>
      <c r="P59" s="115"/>
      <c r="Q59" s="35"/>
      <c r="T59" s="57"/>
      <c r="U59" s="208">
        <f>ROUND((_15_同援日増１．５*(1+_15・盲ろう)),0)</f>
        <v>244</v>
      </c>
      <c r="V59" s="48"/>
    </row>
    <row r="60" spans="1:22" ht="16.5" customHeight="1" x14ac:dyDescent="0.15">
      <c r="A60" s="41">
        <v>15</v>
      </c>
      <c r="B60" s="41" t="s">
        <v>23691</v>
      </c>
      <c r="C60" s="74" t="s">
        <v>23692</v>
      </c>
      <c r="D60" s="72"/>
      <c r="F60" s="57"/>
      <c r="G60" s="43"/>
      <c r="H60" s="37"/>
      <c r="I60" s="38"/>
      <c r="J60" s="299" t="s">
        <v>17556</v>
      </c>
      <c r="K60" s="45" t="s">
        <v>398</v>
      </c>
      <c r="L60" s="46">
        <v>1</v>
      </c>
      <c r="M60" s="92" t="s">
        <v>17564</v>
      </c>
      <c r="P60" s="57"/>
      <c r="Q60" s="35"/>
      <c r="T60" s="57"/>
      <c r="U60" s="208">
        <f>ROUND((ROUND((_15_同援日増１．５*_15・２人),0)*(1+_15・盲ろう)),0)</f>
        <v>244</v>
      </c>
      <c r="V60" s="48"/>
    </row>
    <row r="61" spans="1:22" ht="16.5" customHeight="1" x14ac:dyDescent="0.15">
      <c r="A61" s="41">
        <v>15</v>
      </c>
      <c r="B61" s="41" t="s">
        <v>23693</v>
      </c>
      <c r="C61" s="74" t="s">
        <v>23694</v>
      </c>
      <c r="D61" s="72"/>
      <c r="F61" s="57"/>
      <c r="G61" s="114" t="s">
        <v>17558</v>
      </c>
      <c r="H61" s="49"/>
      <c r="I61" s="50"/>
      <c r="J61" s="163"/>
      <c r="K61" s="45"/>
      <c r="L61" s="46"/>
      <c r="M61" s="35"/>
      <c r="N61" s="12" t="s">
        <v>398</v>
      </c>
      <c r="O61" s="13">
        <v>0.25</v>
      </c>
      <c r="P61" s="57" t="s">
        <v>3575</v>
      </c>
      <c r="Q61" s="35"/>
      <c r="T61" s="57"/>
      <c r="U61" s="208">
        <f>ROUND((ROUND((_15_同援日増１．５*_15・基礎２),0)*(1+_15・盲ろう)),0)</f>
        <v>220</v>
      </c>
      <c r="V61" s="48"/>
    </row>
    <row r="62" spans="1:22" ht="16.5" customHeight="1" x14ac:dyDescent="0.15">
      <c r="A62" s="41">
        <v>15</v>
      </c>
      <c r="B62" s="41" t="s">
        <v>23695</v>
      </c>
      <c r="C62" s="74" t="s">
        <v>23696</v>
      </c>
      <c r="D62" s="72"/>
      <c r="F62" s="57"/>
      <c r="G62" s="269" t="s">
        <v>17560</v>
      </c>
      <c r="H62" s="37" t="s">
        <v>398</v>
      </c>
      <c r="I62" s="38">
        <v>0.9</v>
      </c>
      <c r="J62" s="299" t="s">
        <v>17556</v>
      </c>
      <c r="K62" s="45" t="s">
        <v>398</v>
      </c>
      <c r="L62" s="46">
        <v>1</v>
      </c>
      <c r="M62" s="43"/>
      <c r="N62" s="37"/>
      <c r="O62" s="38"/>
      <c r="P62" s="79"/>
      <c r="Q62" s="43"/>
      <c r="R62" s="37"/>
      <c r="S62" s="38"/>
      <c r="T62" s="79"/>
      <c r="U62" s="208">
        <f>ROUND((ROUND((ROUND((_15_同援日増１．５*_15・基礎２),0)*_15・２人),0)*(1+_15・盲ろう)),0)</f>
        <v>220</v>
      </c>
      <c r="V62" s="48"/>
    </row>
    <row r="63" spans="1:22" ht="16.5" customHeight="1" x14ac:dyDescent="0.15">
      <c r="A63" s="41">
        <v>15</v>
      </c>
      <c r="B63" s="41" t="s">
        <v>23697</v>
      </c>
      <c r="C63" s="74" t="s">
        <v>23698</v>
      </c>
      <c r="D63" s="72"/>
      <c r="F63" s="57"/>
      <c r="G63" s="53"/>
      <c r="H63" s="49"/>
      <c r="I63" s="50"/>
      <c r="J63" s="163"/>
      <c r="K63" s="45"/>
      <c r="L63" s="46"/>
      <c r="M63" s="53"/>
      <c r="N63" s="49"/>
      <c r="O63" s="50"/>
      <c r="P63" s="115"/>
      <c r="Q63" s="53"/>
      <c r="R63" s="49"/>
      <c r="S63" s="50"/>
      <c r="T63" s="115"/>
      <c r="U63" s="208">
        <f>ROUND((_15_同援日増１．５*(1+_15・区３)),0)</f>
        <v>234</v>
      </c>
      <c r="V63" s="48"/>
    </row>
    <row r="64" spans="1:22" ht="16.5" customHeight="1" x14ac:dyDescent="0.15">
      <c r="A64" s="41">
        <v>15</v>
      </c>
      <c r="B64" s="41" t="s">
        <v>23699</v>
      </c>
      <c r="C64" s="74" t="s">
        <v>23700</v>
      </c>
      <c r="D64" s="72"/>
      <c r="F64" s="57"/>
      <c r="G64" s="43"/>
      <c r="H64" s="37"/>
      <c r="I64" s="38"/>
      <c r="J64" s="299" t="s">
        <v>17556</v>
      </c>
      <c r="K64" s="45" t="s">
        <v>398</v>
      </c>
      <c r="L64" s="46">
        <v>1</v>
      </c>
      <c r="M64" s="35"/>
      <c r="P64" s="57"/>
      <c r="Q64" s="35"/>
      <c r="T64" s="57"/>
      <c r="U64" s="208">
        <f>ROUND((ROUND((_15_同援日増１．５*_15・２人),0)*(1+_15・区３)),0)</f>
        <v>234</v>
      </c>
      <c r="V64" s="48"/>
    </row>
    <row r="65" spans="1:22" ht="16.5" customHeight="1" x14ac:dyDescent="0.15">
      <c r="A65" s="41">
        <v>15</v>
      </c>
      <c r="B65" s="41" t="s">
        <v>1784</v>
      </c>
      <c r="C65" s="74" t="s">
        <v>23701</v>
      </c>
      <c r="D65" s="72"/>
      <c r="F65" s="57"/>
      <c r="G65" s="114" t="s">
        <v>17558</v>
      </c>
      <c r="H65" s="49"/>
      <c r="I65" s="50"/>
      <c r="J65" s="163"/>
      <c r="K65" s="45"/>
      <c r="L65" s="46"/>
      <c r="M65" s="35"/>
      <c r="P65" s="57"/>
      <c r="Q65" s="72" t="s">
        <v>17570</v>
      </c>
      <c r="T65" s="57"/>
      <c r="U65" s="208">
        <f>ROUND((ROUND((_15_同援日増１．５*_15・基礎２),0)*(1+_15・区３)),0)</f>
        <v>211</v>
      </c>
      <c r="V65" s="48"/>
    </row>
    <row r="66" spans="1:22" ht="16.5" customHeight="1" x14ac:dyDescent="0.15">
      <c r="A66" s="41">
        <v>15</v>
      </c>
      <c r="B66" s="41" t="s">
        <v>1786</v>
      </c>
      <c r="C66" s="74" t="s">
        <v>23702</v>
      </c>
      <c r="D66" s="72"/>
      <c r="F66" s="57"/>
      <c r="G66" s="269" t="s">
        <v>17560</v>
      </c>
      <c r="H66" s="37" t="s">
        <v>398</v>
      </c>
      <c r="I66" s="38">
        <v>0.9</v>
      </c>
      <c r="J66" s="299" t="s">
        <v>17556</v>
      </c>
      <c r="K66" s="45" t="s">
        <v>398</v>
      </c>
      <c r="L66" s="46">
        <v>1</v>
      </c>
      <c r="M66" s="43"/>
      <c r="N66" s="37"/>
      <c r="O66" s="38"/>
      <c r="P66" s="79"/>
      <c r="Q66" s="72" t="s">
        <v>17572</v>
      </c>
      <c r="T66" s="57"/>
      <c r="U66" s="208">
        <f>ROUND((ROUND((ROUND((_15_同援日増１．５*_15・基礎２),0)*_15・２人),0)*(1+_15・区３)),0)</f>
        <v>211</v>
      </c>
      <c r="V66" s="48"/>
    </row>
    <row r="67" spans="1:22" ht="16.5" customHeight="1" x14ac:dyDescent="0.15">
      <c r="A67" s="41">
        <v>15</v>
      </c>
      <c r="B67" s="41" t="s">
        <v>1788</v>
      </c>
      <c r="C67" s="74" t="s">
        <v>23703</v>
      </c>
      <c r="D67" s="72"/>
      <c r="F67" s="57"/>
      <c r="G67" s="53"/>
      <c r="H67" s="49"/>
      <c r="I67" s="50"/>
      <c r="J67" s="163"/>
      <c r="K67" s="45"/>
      <c r="L67" s="46"/>
      <c r="M67" s="114" t="s">
        <v>17562</v>
      </c>
      <c r="N67" s="49"/>
      <c r="O67" s="50"/>
      <c r="P67" s="115"/>
      <c r="Q67" s="35"/>
      <c r="R67" s="12" t="s">
        <v>398</v>
      </c>
      <c r="S67" s="13">
        <v>0.2</v>
      </c>
      <c r="T67" s="57" t="s">
        <v>3575</v>
      </c>
      <c r="U67" s="208">
        <f>ROUND((ROUND((_15_同援日増１．５*(1+_15・盲ろう)),0)*(1+_15・区３)),0)</f>
        <v>293</v>
      </c>
      <c r="V67" s="48"/>
    </row>
    <row r="68" spans="1:22" ht="16.5" customHeight="1" x14ac:dyDescent="0.15">
      <c r="A68" s="41">
        <v>15</v>
      </c>
      <c r="B68" s="41" t="s">
        <v>1790</v>
      </c>
      <c r="C68" s="74" t="s">
        <v>23704</v>
      </c>
      <c r="D68" s="72"/>
      <c r="F68" s="57"/>
      <c r="G68" s="43"/>
      <c r="H68" s="37"/>
      <c r="I68" s="38"/>
      <c r="J68" s="299" t="s">
        <v>17556</v>
      </c>
      <c r="K68" s="45" t="s">
        <v>398</v>
      </c>
      <c r="L68" s="46">
        <v>1</v>
      </c>
      <c r="M68" s="92" t="s">
        <v>17564</v>
      </c>
      <c r="P68" s="57"/>
      <c r="Q68" s="35"/>
      <c r="T68" s="57"/>
      <c r="U68" s="208">
        <f>ROUND((ROUND((ROUND((_15_同援日増１．５*_15・２人),0)*(1+_15・盲ろう)),0)*(1+_15・区３)),0)</f>
        <v>293</v>
      </c>
      <c r="V68" s="48"/>
    </row>
    <row r="69" spans="1:22" ht="16.5" customHeight="1" x14ac:dyDescent="0.15">
      <c r="A69" s="41">
        <v>15</v>
      </c>
      <c r="B69" s="41" t="s">
        <v>23705</v>
      </c>
      <c r="C69" s="74" t="s">
        <v>23706</v>
      </c>
      <c r="D69" s="72"/>
      <c r="F69" s="57"/>
      <c r="G69" s="114" t="s">
        <v>17558</v>
      </c>
      <c r="H69" s="49"/>
      <c r="I69" s="50"/>
      <c r="J69" s="163"/>
      <c r="K69" s="45"/>
      <c r="L69" s="46"/>
      <c r="M69" s="35"/>
      <c r="N69" s="12" t="s">
        <v>398</v>
      </c>
      <c r="O69" s="13">
        <v>0.25</v>
      </c>
      <c r="P69" s="57" t="s">
        <v>3575</v>
      </c>
      <c r="Q69" s="35"/>
      <c r="T69" s="57"/>
      <c r="U69" s="208">
        <f>ROUND((ROUND((ROUND((_15_同援日増１．５*_15・基礎２),0)*(1+_15・盲ろう)),0)*(1+_15・区３)),0)</f>
        <v>264</v>
      </c>
      <c r="V69" s="48"/>
    </row>
    <row r="70" spans="1:22" ht="16.5" customHeight="1" x14ac:dyDescent="0.15">
      <c r="A70" s="41">
        <v>15</v>
      </c>
      <c r="B70" s="41" t="s">
        <v>23707</v>
      </c>
      <c r="C70" s="74" t="s">
        <v>23708</v>
      </c>
      <c r="D70" s="72"/>
      <c r="F70" s="57"/>
      <c r="G70" s="269" t="s">
        <v>17560</v>
      </c>
      <c r="H70" s="37" t="s">
        <v>398</v>
      </c>
      <c r="I70" s="38">
        <v>0.9</v>
      </c>
      <c r="J70" s="299" t="s">
        <v>17556</v>
      </c>
      <c r="K70" s="45" t="s">
        <v>398</v>
      </c>
      <c r="L70" s="46">
        <v>1</v>
      </c>
      <c r="M70" s="43"/>
      <c r="N70" s="37"/>
      <c r="O70" s="38"/>
      <c r="P70" s="79"/>
      <c r="Q70" s="43"/>
      <c r="R70" s="37"/>
      <c r="S70" s="38"/>
      <c r="T70" s="79"/>
      <c r="U70" s="208">
        <f>ROUND((ROUND((ROUND((ROUND((_15_同援日増１．５*_15・基礎２),0)*_15・２人),0)*(1+_15・盲ろう)),0)*(1+_15・区３)),0)</f>
        <v>264</v>
      </c>
      <c r="V70" s="48"/>
    </row>
    <row r="71" spans="1:22" ht="16.5" customHeight="1" x14ac:dyDescent="0.15">
      <c r="A71" s="41">
        <v>15</v>
      </c>
      <c r="B71" s="41" t="s">
        <v>23709</v>
      </c>
      <c r="C71" s="74" t="s">
        <v>23710</v>
      </c>
      <c r="D71" s="72"/>
      <c r="F71" s="57"/>
      <c r="G71" s="53"/>
      <c r="H71" s="49"/>
      <c r="I71" s="50"/>
      <c r="J71" s="163"/>
      <c r="K71" s="45"/>
      <c r="L71" s="46"/>
      <c r="M71" s="53"/>
      <c r="N71" s="49"/>
      <c r="O71" s="50"/>
      <c r="P71" s="115"/>
      <c r="Q71" s="53"/>
      <c r="R71" s="49"/>
      <c r="S71" s="50"/>
      <c r="T71" s="115"/>
      <c r="U71" s="208">
        <f>ROUND((_15_同援日増１．５*(1+_15・区４)),0)</f>
        <v>273</v>
      </c>
      <c r="V71" s="48"/>
    </row>
    <row r="72" spans="1:22" ht="16.5" customHeight="1" x14ac:dyDescent="0.15">
      <c r="A72" s="41">
        <v>15</v>
      </c>
      <c r="B72" s="41" t="s">
        <v>23711</v>
      </c>
      <c r="C72" s="74" t="s">
        <v>23712</v>
      </c>
      <c r="D72" s="72"/>
      <c r="F72" s="57"/>
      <c r="G72" s="43"/>
      <c r="H72" s="37"/>
      <c r="I72" s="38"/>
      <c r="J72" s="299" t="s">
        <v>17556</v>
      </c>
      <c r="K72" s="45" t="s">
        <v>398</v>
      </c>
      <c r="L72" s="46">
        <v>1</v>
      </c>
      <c r="M72" s="35"/>
      <c r="P72" s="57"/>
      <c r="Q72" s="35"/>
      <c r="T72" s="57"/>
      <c r="U72" s="208">
        <f>ROUND((ROUND((_15_同援日増１．５*_15・２人),0)*(1+_15・区４)),0)</f>
        <v>273</v>
      </c>
      <c r="V72" s="48"/>
    </row>
    <row r="73" spans="1:22" ht="16.5" customHeight="1" x14ac:dyDescent="0.15">
      <c r="A73" s="41">
        <v>15</v>
      </c>
      <c r="B73" s="41" t="s">
        <v>23713</v>
      </c>
      <c r="C73" s="74" t="s">
        <v>23714</v>
      </c>
      <c r="D73" s="72"/>
      <c r="F73" s="57"/>
      <c r="G73" s="114" t="s">
        <v>17558</v>
      </c>
      <c r="H73" s="49"/>
      <c r="I73" s="50"/>
      <c r="J73" s="163"/>
      <c r="K73" s="45"/>
      <c r="L73" s="46"/>
      <c r="M73" s="35"/>
      <c r="P73" s="57"/>
      <c r="Q73" s="72" t="s">
        <v>17580</v>
      </c>
      <c r="T73" s="57"/>
      <c r="U73" s="208">
        <f>ROUND((ROUND((_15_同援日増１．５*_15・基礎２),0)*(1+_15・区４)),0)</f>
        <v>246</v>
      </c>
      <c r="V73" s="48"/>
    </row>
    <row r="74" spans="1:22" ht="16.5" customHeight="1" x14ac:dyDescent="0.15">
      <c r="A74" s="41">
        <v>15</v>
      </c>
      <c r="B74" s="41" t="s">
        <v>23715</v>
      </c>
      <c r="C74" s="74" t="s">
        <v>23716</v>
      </c>
      <c r="D74" s="72"/>
      <c r="F74" s="57"/>
      <c r="G74" s="269" t="s">
        <v>17560</v>
      </c>
      <c r="H74" s="37" t="s">
        <v>398</v>
      </c>
      <c r="I74" s="38">
        <v>0.9</v>
      </c>
      <c r="J74" s="299" t="s">
        <v>17556</v>
      </c>
      <c r="K74" s="45" t="s">
        <v>398</v>
      </c>
      <c r="L74" s="46">
        <v>1</v>
      </c>
      <c r="M74" s="43"/>
      <c r="N74" s="37"/>
      <c r="O74" s="38"/>
      <c r="P74" s="79"/>
      <c r="Q74" s="72" t="s">
        <v>17572</v>
      </c>
      <c r="T74" s="57"/>
      <c r="U74" s="208">
        <f>ROUND((ROUND((ROUND((_15_同援日増１．５*_15・基礎２),0)*_15・２人),0)*(1+_15・区４)),0)</f>
        <v>246</v>
      </c>
      <c r="V74" s="48"/>
    </row>
    <row r="75" spans="1:22" ht="16.5" customHeight="1" x14ac:dyDescent="0.15">
      <c r="A75" s="41">
        <v>15</v>
      </c>
      <c r="B75" s="41" t="s">
        <v>23717</v>
      </c>
      <c r="C75" s="74" t="s">
        <v>23718</v>
      </c>
      <c r="D75" s="72"/>
      <c r="F75" s="57"/>
      <c r="G75" s="53"/>
      <c r="H75" s="49"/>
      <c r="I75" s="50"/>
      <c r="J75" s="163"/>
      <c r="K75" s="45"/>
      <c r="L75" s="46"/>
      <c r="M75" s="114" t="s">
        <v>17562</v>
      </c>
      <c r="N75" s="49"/>
      <c r="O75" s="50"/>
      <c r="P75" s="115"/>
      <c r="Q75" s="35"/>
      <c r="R75" s="12" t="s">
        <v>398</v>
      </c>
      <c r="S75" s="13">
        <v>0.4</v>
      </c>
      <c r="T75" s="57" t="s">
        <v>3575</v>
      </c>
      <c r="U75" s="208">
        <f>ROUND((ROUND((_15_同援日増１．５*(1+_15・盲ろう)),0)*(1+_15・区４)),0)</f>
        <v>342</v>
      </c>
      <c r="V75" s="48"/>
    </row>
    <row r="76" spans="1:22" ht="16.5" customHeight="1" x14ac:dyDescent="0.15">
      <c r="A76" s="41">
        <v>15</v>
      </c>
      <c r="B76" s="41" t="s">
        <v>23719</v>
      </c>
      <c r="C76" s="74" t="s">
        <v>23720</v>
      </c>
      <c r="D76" s="72"/>
      <c r="F76" s="57"/>
      <c r="G76" s="43"/>
      <c r="H76" s="37"/>
      <c r="I76" s="38"/>
      <c r="J76" s="299" t="s">
        <v>17556</v>
      </c>
      <c r="K76" s="45" t="s">
        <v>398</v>
      </c>
      <c r="L76" s="46">
        <v>1</v>
      </c>
      <c r="M76" s="92" t="s">
        <v>17564</v>
      </c>
      <c r="P76" s="57"/>
      <c r="Q76" s="35"/>
      <c r="T76" s="57"/>
      <c r="U76" s="208">
        <f>ROUND((ROUND((ROUND((_15_同援日増１．５*_15・２人),0)*(1+_15・盲ろう)),0)*(1+_15・区４)),0)</f>
        <v>342</v>
      </c>
      <c r="V76" s="48"/>
    </row>
    <row r="77" spans="1:22" ht="16.5" customHeight="1" x14ac:dyDescent="0.15">
      <c r="A77" s="41">
        <v>15</v>
      </c>
      <c r="B77" s="41" t="s">
        <v>23721</v>
      </c>
      <c r="C77" s="74" t="s">
        <v>23722</v>
      </c>
      <c r="D77" s="72"/>
      <c r="F77" s="57"/>
      <c r="G77" s="114" t="s">
        <v>17558</v>
      </c>
      <c r="H77" s="49"/>
      <c r="I77" s="50"/>
      <c r="J77" s="163"/>
      <c r="K77" s="45"/>
      <c r="L77" s="46"/>
      <c r="M77" s="35"/>
      <c r="N77" s="12" t="s">
        <v>398</v>
      </c>
      <c r="O77" s="13">
        <v>0.25</v>
      </c>
      <c r="P77" s="57" t="s">
        <v>3575</v>
      </c>
      <c r="Q77" s="35"/>
      <c r="T77" s="57"/>
      <c r="U77" s="208">
        <f>ROUND((ROUND((ROUND((_15_同援日増１．５*_15・基礎２),0)*(1+_15・盲ろう)),0)*(1+_15・区４)),0)</f>
        <v>308</v>
      </c>
      <c r="V77" s="48"/>
    </row>
    <row r="78" spans="1:22" ht="16.5" customHeight="1" x14ac:dyDescent="0.15">
      <c r="A78" s="41">
        <v>15</v>
      </c>
      <c r="B78" s="41" t="s">
        <v>23723</v>
      </c>
      <c r="C78" s="74" t="s">
        <v>23724</v>
      </c>
      <c r="D78" s="122"/>
      <c r="E78" s="37"/>
      <c r="F78" s="79"/>
      <c r="G78" s="269" t="s">
        <v>17560</v>
      </c>
      <c r="H78" s="37" t="s">
        <v>398</v>
      </c>
      <c r="I78" s="38">
        <v>0.9</v>
      </c>
      <c r="J78" s="299" t="s">
        <v>17556</v>
      </c>
      <c r="K78" s="45" t="s">
        <v>398</v>
      </c>
      <c r="L78" s="46">
        <v>1</v>
      </c>
      <c r="M78" s="43"/>
      <c r="N78" s="37"/>
      <c r="O78" s="38"/>
      <c r="P78" s="79"/>
      <c r="Q78" s="43"/>
      <c r="R78" s="37"/>
      <c r="S78" s="38"/>
      <c r="T78" s="79"/>
      <c r="U78" s="208">
        <f>ROUND((ROUND((ROUND((ROUND((_15_同援日増１．５*_15・基礎２),0)*_15・２人),0)*(1+_15・盲ろう)),0)*(1+_15・区４)),0)</f>
        <v>308</v>
      </c>
      <c r="V78" s="63"/>
    </row>
    <row r="79" spans="1:22" ht="16.5" customHeight="1" x14ac:dyDescent="0.15">
      <c r="A79" s="41">
        <v>15</v>
      </c>
      <c r="B79" s="41" t="s">
        <v>23725</v>
      </c>
      <c r="C79" s="74" t="s">
        <v>23726</v>
      </c>
      <c r="D79" s="114" t="s">
        <v>23727</v>
      </c>
      <c r="E79" s="49"/>
      <c r="F79" s="115"/>
      <c r="G79" s="53"/>
      <c r="H79" s="49"/>
      <c r="I79" s="50"/>
      <c r="J79" s="163"/>
      <c r="K79" s="45"/>
      <c r="L79" s="46"/>
      <c r="M79" s="53"/>
      <c r="N79" s="49"/>
      <c r="O79" s="50"/>
      <c r="P79" s="115"/>
      <c r="Q79" s="53"/>
      <c r="R79" s="49"/>
      <c r="S79" s="50"/>
      <c r="T79" s="115"/>
      <c r="U79" s="208">
        <f>_15_同援日増２．０</f>
        <v>260</v>
      </c>
      <c r="V79" s="64"/>
    </row>
    <row r="80" spans="1:22" ht="16.5" customHeight="1" x14ac:dyDescent="0.15">
      <c r="A80" s="41">
        <v>15</v>
      </c>
      <c r="B80" s="41" t="s">
        <v>23728</v>
      </c>
      <c r="C80" s="74" t="s">
        <v>23729</v>
      </c>
      <c r="D80" s="72" t="s">
        <v>17643</v>
      </c>
      <c r="F80" s="57"/>
      <c r="G80" s="43"/>
      <c r="H80" s="37"/>
      <c r="I80" s="38"/>
      <c r="J80" s="299" t="s">
        <v>17556</v>
      </c>
      <c r="K80" s="45" t="s">
        <v>398</v>
      </c>
      <c r="L80" s="46">
        <v>1</v>
      </c>
      <c r="M80" s="35"/>
      <c r="P80" s="57"/>
      <c r="Q80" s="35"/>
      <c r="T80" s="57"/>
      <c r="U80" s="208">
        <f>ROUND((_15_同援日増２．０*_15・２人),0)</f>
        <v>260</v>
      </c>
      <c r="V80" s="48"/>
    </row>
    <row r="81" spans="1:22" ht="16.5" customHeight="1" x14ac:dyDescent="0.15">
      <c r="A81" s="41">
        <v>15</v>
      </c>
      <c r="B81" s="41" t="s">
        <v>23730</v>
      </c>
      <c r="C81" s="74" t="s">
        <v>23731</v>
      </c>
      <c r="D81" s="72" t="s">
        <v>17645</v>
      </c>
      <c r="F81" s="57"/>
      <c r="G81" s="114" t="s">
        <v>17558</v>
      </c>
      <c r="H81" s="49"/>
      <c r="I81" s="50"/>
      <c r="J81" s="163"/>
      <c r="K81" s="45"/>
      <c r="L81" s="46"/>
      <c r="M81" s="35"/>
      <c r="P81" s="57"/>
      <c r="Q81" s="35"/>
      <c r="T81" s="57"/>
      <c r="U81" s="208">
        <f>ROUND((_15_同援日増２．０*_15・基礎２),0)</f>
        <v>234</v>
      </c>
      <c r="V81" s="48"/>
    </row>
    <row r="82" spans="1:22" ht="16.5" customHeight="1" x14ac:dyDescent="0.15">
      <c r="A82" s="41">
        <v>15</v>
      </c>
      <c r="B82" s="41" t="s">
        <v>23732</v>
      </c>
      <c r="C82" s="74" t="s">
        <v>23733</v>
      </c>
      <c r="D82" s="72"/>
      <c r="E82" s="168">
        <f>_15_同援日増２．０</f>
        <v>260</v>
      </c>
      <c r="F82" s="57" t="s">
        <v>392</v>
      </c>
      <c r="G82" s="269" t="s">
        <v>17560</v>
      </c>
      <c r="H82" s="37" t="s">
        <v>398</v>
      </c>
      <c r="I82" s="38">
        <v>0.9</v>
      </c>
      <c r="J82" s="299" t="s">
        <v>17556</v>
      </c>
      <c r="K82" s="45" t="s">
        <v>398</v>
      </c>
      <c r="L82" s="46">
        <v>1</v>
      </c>
      <c r="M82" s="43"/>
      <c r="N82" s="37"/>
      <c r="O82" s="38"/>
      <c r="P82" s="79"/>
      <c r="Q82" s="35"/>
      <c r="T82" s="57"/>
      <c r="U82" s="208">
        <f>ROUND((ROUND((_15_同援日増２．０*_15・基礎２),0)*_15・２人),0)</f>
        <v>234</v>
      </c>
      <c r="V82" s="48"/>
    </row>
    <row r="83" spans="1:22" ht="16.5" customHeight="1" x14ac:dyDescent="0.15">
      <c r="A83" s="41">
        <v>15</v>
      </c>
      <c r="B83" s="41" t="s">
        <v>23734</v>
      </c>
      <c r="C83" s="74" t="s">
        <v>23735</v>
      </c>
      <c r="D83" s="72"/>
      <c r="F83" s="57"/>
      <c r="G83" s="53"/>
      <c r="H83" s="49"/>
      <c r="I83" s="50"/>
      <c r="J83" s="163"/>
      <c r="K83" s="45"/>
      <c r="L83" s="46"/>
      <c r="M83" s="114" t="s">
        <v>17562</v>
      </c>
      <c r="N83" s="49"/>
      <c r="O83" s="50"/>
      <c r="P83" s="115"/>
      <c r="Q83" s="35"/>
      <c r="T83" s="57"/>
      <c r="U83" s="208">
        <f>ROUND((_15_同援日増２．０*(1+_15・盲ろう)),0)</f>
        <v>325</v>
      </c>
      <c r="V83" s="48"/>
    </row>
    <row r="84" spans="1:22" ht="16.5" customHeight="1" x14ac:dyDescent="0.15">
      <c r="A84" s="41">
        <v>15</v>
      </c>
      <c r="B84" s="41" t="s">
        <v>23736</v>
      </c>
      <c r="C84" s="74" t="s">
        <v>23737</v>
      </c>
      <c r="D84" s="72"/>
      <c r="F84" s="57"/>
      <c r="G84" s="43"/>
      <c r="H84" s="37"/>
      <c r="I84" s="38"/>
      <c r="J84" s="299" t="s">
        <v>17556</v>
      </c>
      <c r="K84" s="45" t="s">
        <v>398</v>
      </c>
      <c r="L84" s="46">
        <v>1</v>
      </c>
      <c r="M84" s="92" t="s">
        <v>17564</v>
      </c>
      <c r="P84" s="57"/>
      <c r="Q84" s="35"/>
      <c r="T84" s="57"/>
      <c r="U84" s="208">
        <f>ROUND((ROUND((_15_同援日増２．０*_15・２人),0)*(1+_15・盲ろう)),0)</f>
        <v>325</v>
      </c>
      <c r="V84" s="48"/>
    </row>
    <row r="85" spans="1:22" ht="16.5" customHeight="1" x14ac:dyDescent="0.15">
      <c r="A85" s="41">
        <v>15</v>
      </c>
      <c r="B85" s="41" t="s">
        <v>1796</v>
      </c>
      <c r="C85" s="74" t="s">
        <v>23738</v>
      </c>
      <c r="D85" s="72"/>
      <c r="F85" s="57"/>
      <c r="G85" s="114" t="s">
        <v>17558</v>
      </c>
      <c r="H85" s="49"/>
      <c r="I85" s="50"/>
      <c r="J85" s="163"/>
      <c r="K85" s="45"/>
      <c r="L85" s="46"/>
      <c r="M85" s="35"/>
      <c r="N85" s="12" t="s">
        <v>398</v>
      </c>
      <c r="O85" s="13">
        <v>0.25</v>
      </c>
      <c r="P85" s="57" t="s">
        <v>3575</v>
      </c>
      <c r="Q85" s="35"/>
      <c r="T85" s="57"/>
      <c r="U85" s="208">
        <f>ROUND((ROUND((_15_同援日増２．０*_15・基礎２),0)*(1+_15・盲ろう)),0)</f>
        <v>293</v>
      </c>
      <c r="V85" s="48"/>
    </row>
    <row r="86" spans="1:22" ht="16.5" customHeight="1" x14ac:dyDescent="0.15">
      <c r="A86" s="41">
        <v>15</v>
      </c>
      <c r="B86" s="41" t="s">
        <v>1798</v>
      </c>
      <c r="C86" s="74" t="s">
        <v>23739</v>
      </c>
      <c r="D86" s="72"/>
      <c r="F86" s="57"/>
      <c r="G86" s="269" t="s">
        <v>17560</v>
      </c>
      <c r="H86" s="37" t="s">
        <v>398</v>
      </c>
      <c r="I86" s="38">
        <v>0.9</v>
      </c>
      <c r="J86" s="299" t="s">
        <v>17556</v>
      </c>
      <c r="K86" s="45" t="s">
        <v>398</v>
      </c>
      <c r="L86" s="46">
        <v>1</v>
      </c>
      <c r="M86" s="43"/>
      <c r="N86" s="37"/>
      <c r="O86" s="38"/>
      <c r="P86" s="79"/>
      <c r="Q86" s="43"/>
      <c r="R86" s="37"/>
      <c r="S86" s="38"/>
      <c r="T86" s="79"/>
      <c r="U86" s="208">
        <f>ROUND((ROUND((ROUND((_15_同援日増２．０*_15・基礎２),0)*_15・２人),0)*(1+_15・盲ろう)),0)</f>
        <v>293</v>
      </c>
      <c r="V86" s="48"/>
    </row>
    <row r="87" spans="1:22" ht="16.5" customHeight="1" x14ac:dyDescent="0.15">
      <c r="A87" s="41">
        <v>15</v>
      </c>
      <c r="B87" s="41" t="s">
        <v>1800</v>
      </c>
      <c r="C87" s="74" t="s">
        <v>23740</v>
      </c>
      <c r="D87" s="72"/>
      <c r="F87" s="57"/>
      <c r="G87" s="53"/>
      <c r="H87" s="49"/>
      <c r="I87" s="50"/>
      <c r="J87" s="163"/>
      <c r="K87" s="45"/>
      <c r="L87" s="46"/>
      <c r="M87" s="53"/>
      <c r="N87" s="49"/>
      <c r="O87" s="50"/>
      <c r="P87" s="115"/>
      <c r="Q87" s="53"/>
      <c r="R87" s="49"/>
      <c r="S87" s="50"/>
      <c r="T87" s="115"/>
      <c r="U87" s="208">
        <f>ROUND((_15_同援日増２．０*(1+_15・区３)),0)</f>
        <v>312</v>
      </c>
      <c r="V87" s="48"/>
    </row>
    <row r="88" spans="1:22" ht="16.5" customHeight="1" x14ac:dyDescent="0.15">
      <c r="A88" s="41">
        <v>15</v>
      </c>
      <c r="B88" s="41" t="s">
        <v>1802</v>
      </c>
      <c r="C88" s="74" t="s">
        <v>23741</v>
      </c>
      <c r="D88" s="72"/>
      <c r="F88" s="57"/>
      <c r="G88" s="43"/>
      <c r="H88" s="37"/>
      <c r="I88" s="38"/>
      <c r="J88" s="299" t="s">
        <v>17556</v>
      </c>
      <c r="K88" s="45" t="s">
        <v>398</v>
      </c>
      <c r="L88" s="46">
        <v>1</v>
      </c>
      <c r="M88" s="35"/>
      <c r="P88" s="57"/>
      <c r="Q88" s="35"/>
      <c r="T88" s="57"/>
      <c r="U88" s="208">
        <f>ROUND((ROUND((_15_同援日増２．０*_15・２人),0)*(1+_15・区３)),0)</f>
        <v>312</v>
      </c>
      <c r="V88" s="48"/>
    </row>
    <row r="89" spans="1:22" ht="16.5" customHeight="1" x14ac:dyDescent="0.15">
      <c r="A89" s="41">
        <v>15</v>
      </c>
      <c r="B89" s="41" t="s">
        <v>23742</v>
      </c>
      <c r="C89" s="74" t="s">
        <v>23743</v>
      </c>
      <c r="D89" s="72"/>
      <c r="F89" s="57"/>
      <c r="G89" s="114" t="s">
        <v>17558</v>
      </c>
      <c r="H89" s="49"/>
      <c r="I89" s="50"/>
      <c r="J89" s="163"/>
      <c r="K89" s="45"/>
      <c r="L89" s="46"/>
      <c r="M89" s="35"/>
      <c r="P89" s="57"/>
      <c r="Q89" s="72" t="s">
        <v>17570</v>
      </c>
      <c r="T89" s="57"/>
      <c r="U89" s="208">
        <f>ROUND((ROUND((_15_同援日増２．０*_15・基礎２),0)*(1+_15・区３)),0)</f>
        <v>281</v>
      </c>
      <c r="V89" s="48"/>
    </row>
    <row r="90" spans="1:22" ht="16.5" customHeight="1" x14ac:dyDescent="0.15">
      <c r="A90" s="41">
        <v>15</v>
      </c>
      <c r="B90" s="41" t="s">
        <v>23744</v>
      </c>
      <c r="C90" s="74" t="s">
        <v>23745</v>
      </c>
      <c r="D90" s="72"/>
      <c r="F90" s="57"/>
      <c r="G90" s="269" t="s">
        <v>17560</v>
      </c>
      <c r="H90" s="37" t="s">
        <v>398</v>
      </c>
      <c r="I90" s="38">
        <v>0.9</v>
      </c>
      <c r="J90" s="299" t="s">
        <v>17556</v>
      </c>
      <c r="K90" s="45" t="s">
        <v>398</v>
      </c>
      <c r="L90" s="46">
        <v>1</v>
      </c>
      <c r="M90" s="43"/>
      <c r="N90" s="37"/>
      <c r="O90" s="38"/>
      <c r="P90" s="79"/>
      <c r="Q90" s="72" t="s">
        <v>17572</v>
      </c>
      <c r="T90" s="57"/>
      <c r="U90" s="208">
        <f>ROUND((ROUND((ROUND((_15_同援日増２．０*_15・基礎２),0)*_15・２人),0)*(1+_15・区３)),0)</f>
        <v>281</v>
      </c>
      <c r="V90" s="48"/>
    </row>
    <row r="91" spans="1:22" ht="16.5" customHeight="1" x14ac:dyDescent="0.15">
      <c r="A91" s="41">
        <v>15</v>
      </c>
      <c r="B91" s="41" t="s">
        <v>23746</v>
      </c>
      <c r="C91" s="74" t="s">
        <v>23747</v>
      </c>
      <c r="D91" s="72"/>
      <c r="F91" s="57"/>
      <c r="G91" s="53"/>
      <c r="H91" s="49"/>
      <c r="I91" s="50"/>
      <c r="J91" s="163"/>
      <c r="K91" s="45"/>
      <c r="L91" s="46"/>
      <c r="M91" s="114" t="s">
        <v>17562</v>
      </c>
      <c r="N91" s="49"/>
      <c r="O91" s="50"/>
      <c r="P91" s="115"/>
      <c r="Q91" s="35"/>
      <c r="R91" s="12" t="s">
        <v>398</v>
      </c>
      <c r="S91" s="13">
        <v>0.2</v>
      </c>
      <c r="T91" s="57" t="s">
        <v>3575</v>
      </c>
      <c r="U91" s="208">
        <f>ROUND((ROUND((_15_同援日増２．０*(1+_15・盲ろう)),0)*(1+_15・区３)),0)</f>
        <v>390</v>
      </c>
      <c r="V91" s="48"/>
    </row>
    <row r="92" spans="1:22" ht="16.5" customHeight="1" x14ac:dyDescent="0.15">
      <c r="A92" s="41">
        <v>15</v>
      </c>
      <c r="B92" s="41" t="s">
        <v>23748</v>
      </c>
      <c r="C92" s="74" t="s">
        <v>23749</v>
      </c>
      <c r="D92" s="72"/>
      <c r="F92" s="57"/>
      <c r="G92" s="43"/>
      <c r="H92" s="37"/>
      <c r="I92" s="38"/>
      <c r="J92" s="299" t="s">
        <v>17556</v>
      </c>
      <c r="K92" s="45" t="s">
        <v>398</v>
      </c>
      <c r="L92" s="46">
        <v>1</v>
      </c>
      <c r="M92" s="92" t="s">
        <v>17564</v>
      </c>
      <c r="P92" s="57"/>
      <c r="Q92" s="35"/>
      <c r="T92" s="57"/>
      <c r="U92" s="208">
        <f>ROUND((ROUND((ROUND((_15_同援日増２．０*_15・２人),0)*(1+_15・盲ろう)),0)*(1+_15・区３)),0)</f>
        <v>390</v>
      </c>
      <c r="V92" s="48"/>
    </row>
    <row r="93" spans="1:22" ht="16.5" customHeight="1" x14ac:dyDescent="0.15">
      <c r="A93" s="41">
        <v>15</v>
      </c>
      <c r="B93" s="41" t="s">
        <v>23750</v>
      </c>
      <c r="C93" s="74" t="s">
        <v>23751</v>
      </c>
      <c r="D93" s="72"/>
      <c r="F93" s="57"/>
      <c r="G93" s="114" t="s">
        <v>17558</v>
      </c>
      <c r="H93" s="49"/>
      <c r="I93" s="50"/>
      <c r="J93" s="163"/>
      <c r="K93" s="45"/>
      <c r="L93" s="46"/>
      <c r="M93" s="35"/>
      <c r="N93" s="12" t="s">
        <v>398</v>
      </c>
      <c r="O93" s="13">
        <v>0.25</v>
      </c>
      <c r="P93" s="57" t="s">
        <v>3575</v>
      </c>
      <c r="Q93" s="35"/>
      <c r="T93" s="57"/>
      <c r="U93" s="208">
        <f>ROUND((ROUND((ROUND((_15_同援日増２．０*_15・基礎２),0)*(1+_15・盲ろう)),0)*(1+_15・区３)),0)</f>
        <v>352</v>
      </c>
      <c r="V93" s="48"/>
    </row>
    <row r="94" spans="1:22" ht="16.5" customHeight="1" x14ac:dyDescent="0.15">
      <c r="A94" s="41">
        <v>15</v>
      </c>
      <c r="B94" s="41" t="s">
        <v>23752</v>
      </c>
      <c r="C94" s="74" t="s">
        <v>23753</v>
      </c>
      <c r="D94" s="72"/>
      <c r="F94" s="57"/>
      <c r="G94" s="269" t="s">
        <v>17560</v>
      </c>
      <c r="H94" s="37" t="s">
        <v>398</v>
      </c>
      <c r="I94" s="38">
        <v>0.9</v>
      </c>
      <c r="J94" s="299" t="s">
        <v>17556</v>
      </c>
      <c r="K94" s="45" t="s">
        <v>398</v>
      </c>
      <c r="L94" s="46">
        <v>1</v>
      </c>
      <c r="M94" s="43"/>
      <c r="N94" s="37"/>
      <c r="O94" s="38"/>
      <c r="P94" s="79"/>
      <c r="Q94" s="43"/>
      <c r="R94" s="37"/>
      <c r="S94" s="38"/>
      <c r="T94" s="79"/>
      <c r="U94" s="208">
        <f>ROUND((ROUND((ROUND((ROUND((_15_同援日増２．０*_15・基礎２),0)*_15・２人),0)*(1+_15・盲ろう)),0)*(1+_15・区３)),0)</f>
        <v>352</v>
      </c>
      <c r="V94" s="48"/>
    </row>
    <row r="95" spans="1:22" ht="16.5" customHeight="1" x14ac:dyDescent="0.15">
      <c r="A95" s="41">
        <v>15</v>
      </c>
      <c r="B95" s="41" t="s">
        <v>23754</v>
      </c>
      <c r="C95" s="74" t="s">
        <v>23755</v>
      </c>
      <c r="D95" s="72"/>
      <c r="F95" s="57"/>
      <c r="G95" s="53"/>
      <c r="H95" s="49"/>
      <c r="I95" s="50"/>
      <c r="J95" s="163"/>
      <c r="K95" s="45"/>
      <c r="L95" s="46"/>
      <c r="M95" s="53"/>
      <c r="N95" s="49"/>
      <c r="O95" s="50"/>
      <c r="P95" s="115"/>
      <c r="Q95" s="53"/>
      <c r="R95" s="49"/>
      <c r="S95" s="50"/>
      <c r="T95" s="115"/>
      <c r="U95" s="208">
        <f>ROUND((_15_同援日増２．０*(1+_15・区４)),0)</f>
        <v>364</v>
      </c>
      <c r="V95" s="48"/>
    </row>
    <row r="96" spans="1:22" ht="16.5" customHeight="1" x14ac:dyDescent="0.15">
      <c r="A96" s="41">
        <v>15</v>
      </c>
      <c r="B96" s="41" t="s">
        <v>23756</v>
      </c>
      <c r="C96" s="74" t="s">
        <v>23757</v>
      </c>
      <c r="D96" s="72"/>
      <c r="F96" s="57"/>
      <c r="G96" s="43"/>
      <c r="H96" s="37"/>
      <c r="I96" s="38"/>
      <c r="J96" s="299" t="s">
        <v>17556</v>
      </c>
      <c r="K96" s="45" t="s">
        <v>398</v>
      </c>
      <c r="L96" s="46">
        <v>1</v>
      </c>
      <c r="M96" s="35"/>
      <c r="P96" s="57"/>
      <c r="Q96" s="35"/>
      <c r="T96" s="57"/>
      <c r="U96" s="208">
        <f>ROUND((ROUND((_15_同援日増２．０*_15・２人),0)*(1+_15・区４)),0)</f>
        <v>364</v>
      </c>
      <c r="V96" s="48"/>
    </row>
    <row r="97" spans="1:22" ht="16.5" customHeight="1" x14ac:dyDescent="0.15">
      <c r="A97" s="41">
        <v>15</v>
      </c>
      <c r="B97" s="41" t="s">
        <v>23758</v>
      </c>
      <c r="C97" s="74" t="s">
        <v>23759</v>
      </c>
      <c r="D97" s="72"/>
      <c r="F97" s="57"/>
      <c r="G97" s="114" t="s">
        <v>17558</v>
      </c>
      <c r="H97" s="49"/>
      <c r="I97" s="50"/>
      <c r="J97" s="163"/>
      <c r="K97" s="45"/>
      <c r="L97" s="46"/>
      <c r="M97" s="35"/>
      <c r="P97" s="57"/>
      <c r="Q97" s="72" t="s">
        <v>17580</v>
      </c>
      <c r="T97" s="57"/>
      <c r="U97" s="208">
        <f>ROUND((ROUND((_15_同援日増２．０*_15・基礎２),0)*(1+_15・区４)),0)</f>
        <v>328</v>
      </c>
      <c r="V97" s="48"/>
    </row>
    <row r="98" spans="1:22" ht="16.5" customHeight="1" x14ac:dyDescent="0.15">
      <c r="A98" s="41">
        <v>15</v>
      </c>
      <c r="B98" s="41" t="s">
        <v>23760</v>
      </c>
      <c r="C98" s="74" t="s">
        <v>23761</v>
      </c>
      <c r="D98" s="72"/>
      <c r="F98" s="57"/>
      <c r="G98" s="269" t="s">
        <v>17560</v>
      </c>
      <c r="H98" s="37" t="s">
        <v>398</v>
      </c>
      <c r="I98" s="38">
        <v>0.9</v>
      </c>
      <c r="J98" s="299" t="s">
        <v>17556</v>
      </c>
      <c r="K98" s="45" t="s">
        <v>398</v>
      </c>
      <c r="L98" s="46">
        <v>1</v>
      </c>
      <c r="M98" s="43"/>
      <c r="N98" s="37"/>
      <c r="O98" s="38"/>
      <c r="P98" s="79"/>
      <c r="Q98" s="72" t="s">
        <v>17572</v>
      </c>
      <c r="T98" s="57"/>
      <c r="U98" s="208">
        <f>ROUND((ROUND((ROUND((_15_同援日増２．０*_15・基礎２),0)*_15・２人),0)*(1+_15・区４)),0)</f>
        <v>328</v>
      </c>
      <c r="V98" s="48"/>
    </row>
    <row r="99" spans="1:22" ht="16.5" customHeight="1" x14ac:dyDescent="0.15">
      <c r="A99" s="41">
        <v>15</v>
      </c>
      <c r="B99" s="41" t="s">
        <v>23762</v>
      </c>
      <c r="C99" s="74" t="s">
        <v>23763</v>
      </c>
      <c r="D99" s="72"/>
      <c r="F99" s="57"/>
      <c r="G99" s="53"/>
      <c r="H99" s="49"/>
      <c r="I99" s="50"/>
      <c r="J99" s="163"/>
      <c r="K99" s="45"/>
      <c r="L99" s="46"/>
      <c r="M99" s="114" t="s">
        <v>17562</v>
      </c>
      <c r="N99" s="49"/>
      <c r="O99" s="50"/>
      <c r="P99" s="115"/>
      <c r="Q99" s="35"/>
      <c r="R99" s="12" t="s">
        <v>398</v>
      </c>
      <c r="S99" s="13">
        <v>0.4</v>
      </c>
      <c r="T99" s="57" t="s">
        <v>3575</v>
      </c>
      <c r="U99" s="208">
        <f>ROUND((ROUND((_15_同援日増２．０*(1+_15・盲ろう)),0)*(1+_15・区４)),0)</f>
        <v>455</v>
      </c>
      <c r="V99" s="48"/>
    </row>
    <row r="100" spans="1:22" ht="16.5" customHeight="1" x14ac:dyDescent="0.15">
      <c r="A100" s="41">
        <v>15</v>
      </c>
      <c r="B100" s="41" t="s">
        <v>23764</v>
      </c>
      <c r="C100" s="74" t="s">
        <v>23765</v>
      </c>
      <c r="D100" s="72"/>
      <c r="F100" s="57"/>
      <c r="G100" s="43"/>
      <c r="H100" s="37"/>
      <c r="I100" s="38"/>
      <c r="J100" s="299" t="s">
        <v>17556</v>
      </c>
      <c r="K100" s="45" t="s">
        <v>398</v>
      </c>
      <c r="L100" s="46">
        <v>1</v>
      </c>
      <c r="M100" s="92" t="s">
        <v>17564</v>
      </c>
      <c r="P100" s="57"/>
      <c r="Q100" s="35"/>
      <c r="T100" s="57"/>
      <c r="U100" s="208">
        <f>ROUND((ROUND((ROUND((_15_同援日増２．０*_15・２人),0)*(1+_15・盲ろう)),0)*(1+_15・区４)),0)</f>
        <v>455</v>
      </c>
      <c r="V100" s="48"/>
    </row>
    <row r="101" spans="1:22" ht="16.5" customHeight="1" x14ac:dyDescent="0.15">
      <c r="A101" s="41">
        <v>15</v>
      </c>
      <c r="B101" s="41" t="s">
        <v>23766</v>
      </c>
      <c r="C101" s="74" t="s">
        <v>23767</v>
      </c>
      <c r="D101" s="72"/>
      <c r="F101" s="57"/>
      <c r="G101" s="114" t="s">
        <v>17558</v>
      </c>
      <c r="H101" s="49"/>
      <c r="I101" s="50"/>
      <c r="J101" s="163"/>
      <c r="K101" s="45"/>
      <c r="L101" s="46"/>
      <c r="M101" s="35"/>
      <c r="N101" s="12" t="s">
        <v>398</v>
      </c>
      <c r="O101" s="13">
        <v>0.25</v>
      </c>
      <c r="P101" s="57" t="s">
        <v>3575</v>
      </c>
      <c r="Q101" s="35"/>
      <c r="T101" s="57"/>
      <c r="U101" s="208">
        <f>ROUND((ROUND((ROUND((_15_同援日増２．０*_15・基礎２),0)*(1+_15・盲ろう)),0)*(1+_15・区４)),0)</f>
        <v>410</v>
      </c>
      <c r="V101" s="48"/>
    </row>
    <row r="102" spans="1:22" ht="16.5" customHeight="1" x14ac:dyDescent="0.15">
      <c r="A102" s="41">
        <v>15</v>
      </c>
      <c r="B102" s="41" t="s">
        <v>23768</v>
      </c>
      <c r="C102" s="74" t="s">
        <v>23769</v>
      </c>
      <c r="D102" s="122"/>
      <c r="E102" s="37"/>
      <c r="F102" s="79"/>
      <c r="G102" s="269" t="s">
        <v>17560</v>
      </c>
      <c r="H102" s="37" t="s">
        <v>398</v>
      </c>
      <c r="I102" s="38">
        <v>0.9</v>
      </c>
      <c r="J102" s="299" t="s">
        <v>17556</v>
      </c>
      <c r="K102" s="45" t="s">
        <v>398</v>
      </c>
      <c r="L102" s="46">
        <v>1</v>
      </c>
      <c r="M102" s="43"/>
      <c r="N102" s="37"/>
      <c r="O102" s="38"/>
      <c r="P102" s="79"/>
      <c r="Q102" s="43"/>
      <c r="R102" s="37"/>
      <c r="S102" s="38"/>
      <c r="T102" s="79"/>
      <c r="U102" s="208">
        <f>ROUND((ROUND((ROUND((ROUND((_15_同援日増２．０*_15・基礎２),0)*_15・２人),0)*(1+_15・盲ろう)),0)*(1+_15・区４)),0)</f>
        <v>410</v>
      </c>
      <c r="V102" s="48"/>
    </row>
    <row r="103" spans="1:22" ht="16.5" customHeight="1" x14ac:dyDescent="0.15">
      <c r="A103" s="41">
        <v>15</v>
      </c>
      <c r="B103" s="41" t="s">
        <v>23770</v>
      </c>
      <c r="C103" s="74" t="s">
        <v>23771</v>
      </c>
      <c r="D103" s="114" t="s">
        <v>23772</v>
      </c>
      <c r="E103" s="49"/>
      <c r="F103" s="115"/>
      <c r="G103" s="53"/>
      <c r="H103" s="49"/>
      <c r="I103" s="50"/>
      <c r="J103" s="163"/>
      <c r="K103" s="45"/>
      <c r="L103" s="46"/>
      <c r="M103" s="53"/>
      <c r="N103" s="49"/>
      <c r="O103" s="50"/>
      <c r="P103" s="115"/>
      <c r="Q103" s="53"/>
      <c r="R103" s="49"/>
      <c r="S103" s="50"/>
      <c r="T103" s="115"/>
      <c r="U103" s="208">
        <f>_15_同援日増２．５</f>
        <v>325</v>
      </c>
      <c r="V103" s="48"/>
    </row>
    <row r="104" spans="1:22" ht="16.5" customHeight="1" x14ac:dyDescent="0.15">
      <c r="A104" s="41">
        <v>15</v>
      </c>
      <c r="B104" s="41" t="s">
        <v>23773</v>
      </c>
      <c r="C104" s="74" t="s">
        <v>23774</v>
      </c>
      <c r="D104" s="72" t="s">
        <v>17670</v>
      </c>
      <c r="F104" s="57"/>
      <c r="G104" s="43"/>
      <c r="H104" s="37"/>
      <c r="I104" s="38"/>
      <c r="J104" s="299" t="s">
        <v>17556</v>
      </c>
      <c r="K104" s="45" t="s">
        <v>398</v>
      </c>
      <c r="L104" s="46">
        <v>1</v>
      </c>
      <c r="M104" s="35"/>
      <c r="P104" s="57"/>
      <c r="Q104" s="35"/>
      <c r="T104" s="57"/>
      <c r="U104" s="208">
        <f>ROUND((_15_同援日増２．５*_15・２人),0)</f>
        <v>325</v>
      </c>
      <c r="V104" s="48"/>
    </row>
    <row r="105" spans="1:22" ht="16.5" customHeight="1" x14ac:dyDescent="0.15">
      <c r="A105" s="41">
        <v>15</v>
      </c>
      <c r="B105" s="41" t="s">
        <v>1811</v>
      </c>
      <c r="C105" s="74" t="s">
        <v>23775</v>
      </c>
      <c r="D105" s="72" t="s">
        <v>17672</v>
      </c>
      <c r="F105" s="57"/>
      <c r="G105" s="114" t="s">
        <v>17558</v>
      </c>
      <c r="H105" s="49"/>
      <c r="I105" s="50"/>
      <c r="J105" s="163"/>
      <c r="K105" s="45"/>
      <c r="L105" s="46"/>
      <c r="M105" s="35"/>
      <c r="P105" s="57"/>
      <c r="Q105" s="35"/>
      <c r="T105" s="57"/>
      <c r="U105" s="208">
        <f>ROUND((_15_同援日増２．５*_15・基礎２),0)</f>
        <v>293</v>
      </c>
      <c r="V105" s="48"/>
    </row>
    <row r="106" spans="1:22" ht="16.5" customHeight="1" x14ac:dyDescent="0.15">
      <c r="A106" s="41">
        <v>15</v>
      </c>
      <c r="B106" s="41" t="s">
        <v>1813</v>
      </c>
      <c r="C106" s="74" t="s">
        <v>23776</v>
      </c>
      <c r="D106" s="72"/>
      <c r="E106" s="168">
        <f>_15_同援日増２．５</f>
        <v>325</v>
      </c>
      <c r="F106" s="57" t="s">
        <v>392</v>
      </c>
      <c r="G106" s="269" t="s">
        <v>17560</v>
      </c>
      <c r="H106" s="37" t="s">
        <v>398</v>
      </c>
      <c r="I106" s="38">
        <v>0.9</v>
      </c>
      <c r="J106" s="299" t="s">
        <v>17556</v>
      </c>
      <c r="K106" s="45" t="s">
        <v>398</v>
      </c>
      <c r="L106" s="46">
        <v>1</v>
      </c>
      <c r="M106" s="43"/>
      <c r="N106" s="37"/>
      <c r="O106" s="38"/>
      <c r="P106" s="79"/>
      <c r="Q106" s="35"/>
      <c r="T106" s="57"/>
      <c r="U106" s="208">
        <f>ROUND((ROUND((_15_同援日増２．５*_15・基礎２),0)*_15・２人),0)</f>
        <v>293</v>
      </c>
      <c r="V106" s="48"/>
    </row>
    <row r="107" spans="1:22" ht="16.5" customHeight="1" x14ac:dyDescent="0.15">
      <c r="A107" s="41">
        <v>15</v>
      </c>
      <c r="B107" s="41" t="s">
        <v>1815</v>
      </c>
      <c r="C107" s="74" t="s">
        <v>23777</v>
      </c>
      <c r="D107" s="72"/>
      <c r="F107" s="57"/>
      <c r="G107" s="53"/>
      <c r="H107" s="49"/>
      <c r="I107" s="50"/>
      <c r="J107" s="163"/>
      <c r="K107" s="45"/>
      <c r="L107" s="46"/>
      <c r="M107" s="114" t="s">
        <v>17562</v>
      </c>
      <c r="N107" s="49"/>
      <c r="O107" s="50"/>
      <c r="P107" s="115"/>
      <c r="Q107" s="35"/>
      <c r="T107" s="57"/>
      <c r="U107" s="208">
        <f>ROUND((_15_同援日増２．５*(1+_15・盲ろう)),0)</f>
        <v>406</v>
      </c>
      <c r="V107" s="48"/>
    </row>
    <row r="108" spans="1:22" ht="16.5" customHeight="1" x14ac:dyDescent="0.15">
      <c r="A108" s="41">
        <v>15</v>
      </c>
      <c r="B108" s="41" t="s">
        <v>1817</v>
      </c>
      <c r="C108" s="74" t="s">
        <v>23778</v>
      </c>
      <c r="D108" s="72"/>
      <c r="F108" s="57"/>
      <c r="G108" s="43"/>
      <c r="H108" s="37"/>
      <c r="I108" s="38"/>
      <c r="J108" s="299" t="s">
        <v>17556</v>
      </c>
      <c r="K108" s="45" t="s">
        <v>398</v>
      </c>
      <c r="L108" s="46">
        <v>1</v>
      </c>
      <c r="M108" s="92" t="s">
        <v>17564</v>
      </c>
      <c r="P108" s="57"/>
      <c r="Q108" s="35"/>
      <c r="T108" s="57"/>
      <c r="U108" s="208">
        <f>ROUND((ROUND((_15_同援日増２．５*_15・２人),0)*(1+_15・盲ろう)),0)</f>
        <v>406</v>
      </c>
      <c r="V108" s="48"/>
    </row>
    <row r="109" spans="1:22" ht="16.5" customHeight="1" x14ac:dyDescent="0.15">
      <c r="A109" s="41">
        <v>15</v>
      </c>
      <c r="B109" s="41" t="s">
        <v>23779</v>
      </c>
      <c r="C109" s="74" t="s">
        <v>23780</v>
      </c>
      <c r="D109" s="72"/>
      <c r="F109" s="57"/>
      <c r="G109" s="114" t="s">
        <v>17558</v>
      </c>
      <c r="H109" s="49"/>
      <c r="I109" s="50"/>
      <c r="J109" s="163"/>
      <c r="K109" s="45"/>
      <c r="L109" s="46"/>
      <c r="M109" s="35"/>
      <c r="N109" s="12" t="s">
        <v>398</v>
      </c>
      <c r="O109" s="13">
        <v>0.25</v>
      </c>
      <c r="P109" s="57" t="s">
        <v>3575</v>
      </c>
      <c r="Q109" s="35"/>
      <c r="T109" s="57"/>
      <c r="U109" s="208">
        <f>ROUND((ROUND((_15_同援日増２．５*_15・基礎２),0)*(1+_15・盲ろう)),0)</f>
        <v>366</v>
      </c>
      <c r="V109" s="48"/>
    </row>
    <row r="110" spans="1:22" ht="16.5" customHeight="1" x14ac:dyDescent="0.15">
      <c r="A110" s="41">
        <v>15</v>
      </c>
      <c r="B110" s="41" t="s">
        <v>23781</v>
      </c>
      <c r="C110" s="74" t="s">
        <v>23782</v>
      </c>
      <c r="D110" s="72"/>
      <c r="F110" s="57"/>
      <c r="G110" s="269" t="s">
        <v>17560</v>
      </c>
      <c r="H110" s="37" t="s">
        <v>398</v>
      </c>
      <c r="I110" s="38">
        <v>0.9</v>
      </c>
      <c r="J110" s="299" t="s">
        <v>17556</v>
      </c>
      <c r="K110" s="45" t="s">
        <v>398</v>
      </c>
      <c r="L110" s="46">
        <v>1</v>
      </c>
      <c r="M110" s="43"/>
      <c r="N110" s="37"/>
      <c r="O110" s="38"/>
      <c r="P110" s="79"/>
      <c r="Q110" s="43"/>
      <c r="R110" s="37"/>
      <c r="S110" s="38"/>
      <c r="T110" s="79"/>
      <c r="U110" s="208">
        <f>ROUND((ROUND((ROUND((_15_同援日増２．５*_15・基礎２),0)*_15・２人),0)*(1+_15・盲ろう)),0)</f>
        <v>366</v>
      </c>
      <c r="V110" s="48"/>
    </row>
    <row r="111" spans="1:22" ht="16.5" customHeight="1" x14ac:dyDescent="0.15">
      <c r="A111" s="41">
        <v>15</v>
      </c>
      <c r="B111" s="41" t="s">
        <v>23783</v>
      </c>
      <c r="C111" s="74" t="s">
        <v>23784</v>
      </c>
      <c r="D111" s="72"/>
      <c r="F111" s="57"/>
      <c r="G111" s="53"/>
      <c r="H111" s="49"/>
      <c r="I111" s="50"/>
      <c r="J111" s="163"/>
      <c r="K111" s="45"/>
      <c r="L111" s="46"/>
      <c r="M111" s="53"/>
      <c r="N111" s="49"/>
      <c r="O111" s="50"/>
      <c r="P111" s="115"/>
      <c r="Q111" s="53"/>
      <c r="R111" s="49"/>
      <c r="S111" s="50"/>
      <c r="T111" s="115"/>
      <c r="U111" s="208">
        <f>ROUND((_15_同援日増２．５*(1+_15・区３)),0)</f>
        <v>390</v>
      </c>
      <c r="V111" s="48"/>
    </row>
    <row r="112" spans="1:22" ht="16.5" customHeight="1" x14ac:dyDescent="0.15">
      <c r="A112" s="41">
        <v>15</v>
      </c>
      <c r="B112" s="41" t="s">
        <v>23785</v>
      </c>
      <c r="C112" s="74" t="s">
        <v>23786</v>
      </c>
      <c r="D112" s="72"/>
      <c r="F112" s="57"/>
      <c r="G112" s="43"/>
      <c r="H112" s="37"/>
      <c r="I112" s="38"/>
      <c r="J112" s="299" t="s">
        <v>17556</v>
      </c>
      <c r="K112" s="45" t="s">
        <v>398</v>
      </c>
      <c r="L112" s="46">
        <v>1</v>
      </c>
      <c r="M112" s="35"/>
      <c r="P112" s="57"/>
      <c r="Q112" s="35"/>
      <c r="T112" s="57"/>
      <c r="U112" s="208">
        <f>ROUND((ROUND((_15_同援日増２．５*_15・２人),0)*(1+_15・区３)),0)</f>
        <v>390</v>
      </c>
      <c r="V112" s="48"/>
    </row>
    <row r="113" spans="1:22" ht="16.5" customHeight="1" x14ac:dyDescent="0.15">
      <c r="A113" s="41">
        <v>15</v>
      </c>
      <c r="B113" s="41" t="s">
        <v>23787</v>
      </c>
      <c r="C113" s="74" t="s">
        <v>23788</v>
      </c>
      <c r="D113" s="72"/>
      <c r="F113" s="57"/>
      <c r="G113" s="114" t="s">
        <v>17558</v>
      </c>
      <c r="H113" s="49"/>
      <c r="I113" s="50"/>
      <c r="J113" s="163"/>
      <c r="K113" s="45"/>
      <c r="L113" s="46"/>
      <c r="M113" s="35"/>
      <c r="P113" s="57"/>
      <c r="Q113" s="72" t="s">
        <v>17570</v>
      </c>
      <c r="T113" s="57"/>
      <c r="U113" s="208">
        <f>ROUND((ROUND((_15_同援日増２．５*_15・基礎２),0)*(1+_15・区３)),0)</f>
        <v>352</v>
      </c>
      <c r="V113" s="48"/>
    </row>
    <row r="114" spans="1:22" ht="16.5" customHeight="1" x14ac:dyDescent="0.15">
      <c r="A114" s="41">
        <v>15</v>
      </c>
      <c r="B114" s="41" t="s">
        <v>23789</v>
      </c>
      <c r="C114" s="74" t="s">
        <v>23790</v>
      </c>
      <c r="D114" s="72"/>
      <c r="F114" s="57"/>
      <c r="G114" s="269" t="s">
        <v>17560</v>
      </c>
      <c r="H114" s="37" t="s">
        <v>398</v>
      </c>
      <c r="I114" s="38">
        <v>0.9</v>
      </c>
      <c r="J114" s="299" t="s">
        <v>17556</v>
      </c>
      <c r="K114" s="45" t="s">
        <v>398</v>
      </c>
      <c r="L114" s="46">
        <v>1</v>
      </c>
      <c r="M114" s="43"/>
      <c r="N114" s="37"/>
      <c r="O114" s="38"/>
      <c r="P114" s="79"/>
      <c r="Q114" s="72" t="s">
        <v>17572</v>
      </c>
      <c r="T114" s="57"/>
      <c r="U114" s="208">
        <f>ROUND((ROUND((ROUND((_15_同援日増２．５*_15・基礎２),0)*_15・２人),0)*(1+_15・区３)),0)</f>
        <v>352</v>
      </c>
      <c r="V114" s="48"/>
    </row>
    <row r="115" spans="1:22" ht="16.5" customHeight="1" x14ac:dyDescent="0.15">
      <c r="A115" s="41">
        <v>15</v>
      </c>
      <c r="B115" s="41" t="s">
        <v>23791</v>
      </c>
      <c r="C115" s="74" t="s">
        <v>23792</v>
      </c>
      <c r="D115" s="72"/>
      <c r="F115" s="57"/>
      <c r="G115" s="53"/>
      <c r="H115" s="49"/>
      <c r="I115" s="50"/>
      <c r="J115" s="163"/>
      <c r="K115" s="45"/>
      <c r="L115" s="46"/>
      <c r="M115" s="114" t="s">
        <v>17562</v>
      </c>
      <c r="N115" s="49"/>
      <c r="O115" s="50"/>
      <c r="P115" s="115"/>
      <c r="Q115" s="35"/>
      <c r="R115" s="12" t="s">
        <v>398</v>
      </c>
      <c r="S115" s="13">
        <v>0.2</v>
      </c>
      <c r="T115" s="57" t="s">
        <v>3575</v>
      </c>
      <c r="U115" s="208">
        <f>ROUND((ROUND((_15_同援日増２．５*(1+_15・盲ろう)),0)*(1+_15・区３)),0)</f>
        <v>487</v>
      </c>
      <c r="V115" s="48"/>
    </row>
    <row r="116" spans="1:22" ht="16.5" customHeight="1" x14ac:dyDescent="0.15">
      <c r="A116" s="41">
        <v>15</v>
      </c>
      <c r="B116" s="41" t="s">
        <v>23793</v>
      </c>
      <c r="C116" s="74" t="s">
        <v>23794</v>
      </c>
      <c r="D116" s="72"/>
      <c r="F116" s="57"/>
      <c r="G116" s="43"/>
      <c r="H116" s="37"/>
      <c r="I116" s="38"/>
      <c r="J116" s="299" t="s">
        <v>17556</v>
      </c>
      <c r="K116" s="45" t="s">
        <v>398</v>
      </c>
      <c r="L116" s="46">
        <v>1</v>
      </c>
      <c r="M116" s="92" t="s">
        <v>17564</v>
      </c>
      <c r="P116" s="57"/>
      <c r="Q116" s="35"/>
      <c r="T116" s="57"/>
      <c r="U116" s="208">
        <f>ROUND((ROUND((ROUND((_15_同援日増２．５*_15・２人),0)*(1+_15・盲ろう)),0)*(1+_15・区３)),0)</f>
        <v>487</v>
      </c>
      <c r="V116" s="48"/>
    </row>
    <row r="117" spans="1:22" ht="16.5" customHeight="1" x14ac:dyDescent="0.15">
      <c r="A117" s="41">
        <v>15</v>
      </c>
      <c r="B117" s="41" t="s">
        <v>23795</v>
      </c>
      <c r="C117" s="74" t="s">
        <v>23796</v>
      </c>
      <c r="D117" s="72"/>
      <c r="F117" s="57"/>
      <c r="G117" s="114" t="s">
        <v>17558</v>
      </c>
      <c r="H117" s="49"/>
      <c r="I117" s="50"/>
      <c r="J117" s="163"/>
      <c r="K117" s="45"/>
      <c r="L117" s="46"/>
      <c r="M117" s="35"/>
      <c r="N117" s="12" t="s">
        <v>398</v>
      </c>
      <c r="O117" s="13">
        <v>0.25</v>
      </c>
      <c r="P117" s="57" t="s">
        <v>3575</v>
      </c>
      <c r="Q117" s="35"/>
      <c r="T117" s="57"/>
      <c r="U117" s="208">
        <f>ROUND((ROUND((ROUND((_15_同援日増２．５*_15・基礎２),0)*(1+_15・盲ろう)),0)*(1+_15・区３)),0)</f>
        <v>439</v>
      </c>
      <c r="V117" s="48"/>
    </row>
    <row r="118" spans="1:22" ht="16.5" customHeight="1" x14ac:dyDescent="0.15">
      <c r="A118" s="41">
        <v>15</v>
      </c>
      <c r="B118" s="41" t="s">
        <v>23797</v>
      </c>
      <c r="C118" s="74" t="s">
        <v>23798</v>
      </c>
      <c r="D118" s="72"/>
      <c r="F118" s="57"/>
      <c r="G118" s="269" t="s">
        <v>17560</v>
      </c>
      <c r="H118" s="37" t="s">
        <v>398</v>
      </c>
      <c r="I118" s="38">
        <v>0.9</v>
      </c>
      <c r="J118" s="299" t="s">
        <v>17556</v>
      </c>
      <c r="K118" s="45" t="s">
        <v>398</v>
      </c>
      <c r="L118" s="46">
        <v>1</v>
      </c>
      <c r="M118" s="43"/>
      <c r="N118" s="37"/>
      <c r="O118" s="38"/>
      <c r="P118" s="79"/>
      <c r="Q118" s="43"/>
      <c r="R118" s="37"/>
      <c r="S118" s="38"/>
      <c r="T118" s="79"/>
      <c r="U118" s="208">
        <f>ROUND((ROUND((ROUND((ROUND((_15_同援日増２．５*_15・基礎２),0)*_15・２人),0)*(1+_15・盲ろう)),0)*(1+_15・区３)),0)</f>
        <v>439</v>
      </c>
      <c r="V118" s="48"/>
    </row>
    <row r="119" spans="1:22" ht="16.5" customHeight="1" x14ac:dyDescent="0.15">
      <c r="A119" s="41">
        <v>15</v>
      </c>
      <c r="B119" s="41" t="s">
        <v>23799</v>
      </c>
      <c r="C119" s="74" t="s">
        <v>23800</v>
      </c>
      <c r="D119" s="72"/>
      <c r="F119" s="57"/>
      <c r="G119" s="53"/>
      <c r="H119" s="49"/>
      <c r="I119" s="50"/>
      <c r="J119" s="163"/>
      <c r="K119" s="45"/>
      <c r="L119" s="46"/>
      <c r="M119" s="53"/>
      <c r="N119" s="49"/>
      <c r="O119" s="50"/>
      <c r="P119" s="115"/>
      <c r="Q119" s="53"/>
      <c r="R119" s="49"/>
      <c r="S119" s="50"/>
      <c r="T119" s="115"/>
      <c r="U119" s="208">
        <f>ROUND((_15_同援日増２．５*(1+_15・区４)),0)</f>
        <v>455</v>
      </c>
      <c r="V119" s="48"/>
    </row>
    <row r="120" spans="1:22" ht="16.5" customHeight="1" x14ac:dyDescent="0.15">
      <c r="A120" s="41">
        <v>15</v>
      </c>
      <c r="B120" s="41" t="s">
        <v>23801</v>
      </c>
      <c r="C120" s="74" t="s">
        <v>23802</v>
      </c>
      <c r="D120" s="72"/>
      <c r="F120" s="57"/>
      <c r="G120" s="43"/>
      <c r="H120" s="37"/>
      <c r="I120" s="38"/>
      <c r="J120" s="299" t="s">
        <v>17556</v>
      </c>
      <c r="K120" s="45" t="s">
        <v>398</v>
      </c>
      <c r="L120" s="46">
        <v>1</v>
      </c>
      <c r="M120" s="35"/>
      <c r="P120" s="57"/>
      <c r="Q120" s="35"/>
      <c r="T120" s="57"/>
      <c r="U120" s="208">
        <f>ROUND((ROUND((_15_同援日増２．５*_15・２人),0)*(1+_15・区４)),0)</f>
        <v>455</v>
      </c>
      <c r="V120" s="48"/>
    </row>
    <row r="121" spans="1:22" ht="16.5" customHeight="1" x14ac:dyDescent="0.15">
      <c r="A121" s="41">
        <v>15</v>
      </c>
      <c r="B121" s="41" t="s">
        <v>23803</v>
      </c>
      <c r="C121" s="74" t="s">
        <v>23804</v>
      </c>
      <c r="D121" s="72"/>
      <c r="F121" s="57"/>
      <c r="G121" s="114" t="s">
        <v>17558</v>
      </c>
      <c r="H121" s="49"/>
      <c r="I121" s="50"/>
      <c r="J121" s="163"/>
      <c r="K121" s="45"/>
      <c r="L121" s="46"/>
      <c r="M121" s="35"/>
      <c r="P121" s="57"/>
      <c r="Q121" s="72" t="s">
        <v>17580</v>
      </c>
      <c r="T121" s="57"/>
      <c r="U121" s="208">
        <f>ROUND((ROUND((_15_同援日増２．５*_15・基礎２),0)*(1+_15・区４)),0)</f>
        <v>410</v>
      </c>
      <c r="V121" s="48"/>
    </row>
    <row r="122" spans="1:22" ht="16.5" customHeight="1" x14ac:dyDescent="0.15">
      <c r="A122" s="41">
        <v>15</v>
      </c>
      <c r="B122" s="41" t="s">
        <v>23805</v>
      </c>
      <c r="C122" s="74" t="s">
        <v>23806</v>
      </c>
      <c r="D122" s="72"/>
      <c r="F122" s="57"/>
      <c r="G122" s="269" t="s">
        <v>17560</v>
      </c>
      <c r="H122" s="37" t="s">
        <v>398</v>
      </c>
      <c r="I122" s="38">
        <v>0.9</v>
      </c>
      <c r="J122" s="299" t="s">
        <v>17556</v>
      </c>
      <c r="K122" s="45" t="s">
        <v>398</v>
      </c>
      <c r="L122" s="46">
        <v>1</v>
      </c>
      <c r="M122" s="43"/>
      <c r="N122" s="37"/>
      <c r="O122" s="38"/>
      <c r="P122" s="79"/>
      <c r="Q122" s="72" t="s">
        <v>17572</v>
      </c>
      <c r="T122" s="57"/>
      <c r="U122" s="208">
        <f>ROUND((ROUND((ROUND((_15_同援日増２．５*_15・基礎２),0)*_15・２人),0)*(1+_15・区４)),0)</f>
        <v>410</v>
      </c>
      <c r="V122" s="48"/>
    </row>
    <row r="123" spans="1:22" ht="16.5" customHeight="1" x14ac:dyDescent="0.15">
      <c r="A123" s="41">
        <v>15</v>
      </c>
      <c r="B123" s="41" t="s">
        <v>23807</v>
      </c>
      <c r="C123" s="74" t="s">
        <v>23808</v>
      </c>
      <c r="D123" s="72"/>
      <c r="F123" s="57"/>
      <c r="G123" s="53"/>
      <c r="H123" s="49"/>
      <c r="I123" s="50"/>
      <c r="J123" s="163"/>
      <c r="K123" s="45"/>
      <c r="L123" s="46"/>
      <c r="M123" s="114" t="s">
        <v>17562</v>
      </c>
      <c r="N123" s="49"/>
      <c r="O123" s="50"/>
      <c r="P123" s="115"/>
      <c r="Q123" s="35"/>
      <c r="R123" s="12" t="s">
        <v>398</v>
      </c>
      <c r="S123" s="13">
        <v>0.4</v>
      </c>
      <c r="T123" s="57" t="s">
        <v>3575</v>
      </c>
      <c r="U123" s="208">
        <f>ROUND((ROUND((_15_同援日増２．５*(1+_15・盲ろう)),0)*(1+_15・区４)),0)</f>
        <v>568</v>
      </c>
      <c r="V123" s="48"/>
    </row>
    <row r="124" spans="1:22" ht="16.5" customHeight="1" x14ac:dyDescent="0.15">
      <c r="A124" s="41">
        <v>15</v>
      </c>
      <c r="B124" s="41" t="s">
        <v>23809</v>
      </c>
      <c r="C124" s="74" t="s">
        <v>23810</v>
      </c>
      <c r="D124" s="72"/>
      <c r="F124" s="57"/>
      <c r="G124" s="43"/>
      <c r="H124" s="37"/>
      <c r="I124" s="38"/>
      <c r="J124" s="299" t="s">
        <v>17556</v>
      </c>
      <c r="K124" s="45" t="s">
        <v>398</v>
      </c>
      <c r="L124" s="46">
        <v>1</v>
      </c>
      <c r="M124" s="92" t="s">
        <v>17564</v>
      </c>
      <c r="P124" s="57"/>
      <c r="Q124" s="35"/>
      <c r="T124" s="57"/>
      <c r="U124" s="208">
        <f>ROUND((ROUND((ROUND((_15_同援日増２．５*_15・２人),0)*(1+_15・盲ろう)),0)*(1+_15・区４)),0)</f>
        <v>568</v>
      </c>
      <c r="V124" s="48"/>
    </row>
    <row r="125" spans="1:22" ht="16.5" customHeight="1" x14ac:dyDescent="0.15">
      <c r="A125" s="41">
        <v>15</v>
      </c>
      <c r="B125" s="41" t="s">
        <v>1823</v>
      </c>
      <c r="C125" s="74" t="s">
        <v>23811</v>
      </c>
      <c r="D125" s="72"/>
      <c r="F125" s="57"/>
      <c r="G125" s="114" t="s">
        <v>17558</v>
      </c>
      <c r="H125" s="49"/>
      <c r="I125" s="50"/>
      <c r="J125" s="163"/>
      <c r="K125" s="45"/>
      <c r="L125" s="46"/>
      <c r="M125" s="35"/>
      <c r="N125" s="12" t="s">
        <v>398</v>
      </c>
      <c r="O125" s="13">
        <v>0.25</v>
      </c>
      <c r="P125" s="57" t="s">
        <v>3575</v>
      </c>
      <c r="Q125" s="35"/>
      <c r="T125" s="57"/>
      <c r="U125" s="208">
        <f>ROUND((ROUND((ROUND((_15_同援日増２．５*_15・基礎２),0)*(1+_15・盲ろう)),0)*(1+_15・区４)),0)</f>
        <v>512</v>
      </c>
      <c r="V125" s="48"/>
    </row>
    <row r="126" spans="1:22" ht="16.5" customHeight="1" x14ac:dyDescent="0.15">
      <c r="A126" s="41">
        <v>15</v>
      </c>
      <c r="B126" s="41" t="s">
        <v>1825</v>
      </c>
      <c r="C126" s="74" t="s">
        <v>23812</v>
      </c>
      <c r="D126" s="122"/>
      <c r="E126" s="37"/>
      <c r="F126" s="79"/>
      <c r="G126" s="269" t="s">
        <v>17560</v>
      </c>
      <c r="H126" s="37" t="s">
        <v>398</v>
      </c>
      <c r="I126" s="38">
        <v>0.9</v>
      </c>
      <c r="J126" s="299" t="s">
        <v>17556</v>
      </c>
      <c r="K126" s="45" t="s">
        <v>398</v>
      </c>
      <c r="L126" s="46">
        <v>1</v>
      </c>
      <c r="M126" s="43"/>
      <c r="N126" s="37"/>
      <c r="O126" s="38"/>
      <c r="P126" s="79"/>
      <c r="Q126" s="43"/>
      <c r="R126" s="37"/>
      <c r="S126" s="38"/>
      <c r="T126" s="79"/>
      <c r="U126" s="208">
        <f>ROUND((ROUND((ROUND((ROUND((_15_同援日増２．５*_15・基礎２),0)*_15・２人),0)*(1+_15・盲ろう)),0)*(1+_15・区４)),0)</f>
        <v>512</v>
      </c>
      <c r="V126" s="48"/>
    </row>
    <row r="127" spans="1:22" ht="16.5" customHeight="1" x14ac:dyDescent="0.15">
      <c r="A127" s="41">
        <v>15</v>
      </c>
      <c r="B127" s="41" t="s">
        <v>1827</v>
      </c>
      <c r="C127" s="74" t="s">
        <v>23813</v>
      </c>
      <c r="D127" s="114" t="s">
        <v>23814</v>
      </c>
      <c r="E127" s="49"/>
      <c r="F127" s="115"/>
      <c r="G127" s="53"/>
      <c r="H127" s="49"/>
      <c r="I127" s="50"/>
      <c r="J127" s="163"/>
      <c r="K127" s="45"/>
      <c r="L127" s="46"/>
      <c r="M127" s="53"/>
      <c r="N127" s="49"/>
      <c r="O127" s="50"/>
      <c r="P127" s="115"/>
      <c r="Q127" s="53"/>
      <c r="R127" s="49"/>
      <c r="S127" s="50"/>
      <c r="T127" s="115"/>
      <c r="U127" s="208">
        <f>_15_同援日増３．０</f>
        <v>390</v>
      </c>
      <c r="V127" s="48"/>
    </row>
    <row r="128" spans="1:22" ht="16.5" customHeight="1" x14ac:dyDescent="0.15">
      <c r="A128" s="41">
        <v>15</v>
      </c>
      <c r="B128" s="41" t="s">
        <v>1829</v>
      </c>
      <c r="C128" s="74" t="s">
        <v>23815</v>
      </c>
      <c r="D128" s="72" t="s">
        <v>17697</v>
      </c>
      <c r="F128" s="57"/>
      <c r="G128" s="43"/>
      <c r="H128" s="37"/>
      <c r="I128" s="38"/>
      <c r="J128" s="299" t="s">
        <v>17556</v>
      </c>
      <c r="K128" s="45" t="s">
        <v>398</v>
      </c>
      <c r="L128" s="46">
        <v>1</v>
      </c>
      <c r="M128" s="35"/>
      <c r="P128" s="57"/>
      <c r="Q128" s="35"/>
      <c r="T128" s="57"/>
      <c r="U128" s="208">
        <f>ROUND((_15_同援日増３．０*_15・２人),0)</f>
        <v>390</v>
      </c>
      <c r="V128" s="48"/>
    </row>
    <row r="129" spans="1:22" ht="16.5" customHeight="1" x14ac:dyDescent="0.15">
      <c r="A129" s="41">
        <v>15</v>
      </c>
      <c r="B129" s="41" t="s">
        <v>23816</v>
      </c>
      <c r="C129" s="74" t="s">
        <v>23817</v>
      </c>
      <c r="D129" s="72" t="s">
        <v>18387</v>
      </c>
      <c r="F129" s="57"/>
      <c r="G129" s="114" t="s">
        <v>17558</v>
      </c>
      <c r="H129" s="49"/>
      <c r="I129" s="50"/>
      <c r="J129" s="163"/>
      <c r="K129" s="45"/>
      <c r="L129" s="46"/>
      <c r="M129" s="35"/>
      <c r="P129" s="57"/>
      <c r="Q129" s="35"/>
      <c r="T129" s="57"/>
      <c r="U129" s="208">
        <f>ROUND((_15_同援日増３．０*_15・基礎２),0)</f>
        <v>351</v>
      </c>
      <c r="V129" s="48"/>
    </row>
    <row r="130" spans="1:22" ht="16.5" customHeight="1" x14ac:dyDescent="0.15">
      <c r="A130" s="41">
        <v>15</v>
      </c>
      <c r="B130" s="41" t="s">
        <v>23818</v>
      </c>
      <c r="C130" s="74" t="s">
        <v>23819</v>
      </c>
      <c r="D130" s="72"/>
      <c r="E130" s="168">
        <f>_15_同援日増３．０</f>
        <v>390</v>
      </c>
      <c r="F130" s="57" t="s">
        <v>392</v>
      </c>
      <c r="G130" s="269" t="s">
        <v>17560</v>
      </c>
      <c r="H130" s="37" t="s">
        <v>398</v>
      </c>
      <c r="I130" s="38">
        <v>0.9</v>
      </c>
      <c r="J130" s="299" t="s">
        <v>17556</v>
      </c>
      <c r="K130" s="45" t="s">
        <v>398</v>
      </c>
      <c r="L130" s="46">
        <v>1</v>
      </c>
      <c r="M130" s="43"/>
      <c r="N130" s="37"/>
      <c r="O130" s="38"/>
      <c r="P130" s="79"/>
      <c r="Q130" s="35"/>
      <c r="T130" s="57"/>
      <c r="U130" s="208">
        <f>ROUND((ROUND((_15_同援日増３．０*_15・基礎２),0)*_15・２人),0)</f>
        <v>351</v>
      </c>
      <c r="V130" s="48"/>
    </row>
    <row r="131" spans="1:22" ht="16.5" customHeight="1" x14ac:dyDescent="0.15">
      <c r="A131" s="41">
        <v>15</v>
      </c>
      <c r="B131" s="41" t="s">
        <v>23820</v>
      </c>
      <c r="C131" s="74" t="s">
        <v>23821</v>
      </c>
      <c r="D131" s="72"/>
      <c r="F131" s="57"/>
      <c r="G131" s="53"/>
      <c r="H131" s="49"/>
      <c r="I131" s="50"/>
      <c r="J131" s="163"/>
      <c r="K131" s="45"/>
      <c r="L131" s="46"/>
      <c r="M131" s="114" t="s">
        <v>17562</v>
      </c>
      <c r="N131" s="49"/>
      <c r="O131" s="50"/>
      <c r="P131" s="115"/>
      <c r="Q131" s="35"/>
      <c r="T131" s="57"/>
      <c r="U131" s="208">
        <f>ROUND((_15_同援日増３．０*(1+_15・盲ろう)),0)</f>
        <v>488</v>
      </c>
      <c r="V131" s="48"/>
    </row>
    <row r="132" spans="1:22" ht="16.5" customHeight="1" x14ac:dyDescent="0.15">
      <c r="A132" s="41">
        <v>15</v>
      </c>
      <c r="B132" s="41" t="s">
        <v>23822</v>
      </c>
      <c r="C132" s="74" t="s">
        <v>23823</v>
      </c>
      <c r="D132" s="72"/>
      <c r="F132" s="57"/>
      <c r="G132" s="43"/>
      <c r="H132" s="37"/>
      <c r="I132" s="38"/>
      <c r="J132" s="299" t="s">
        <v>17556</v>
      </c>
      <c r="K132" s="45" t="s">
        <v>398</v>
      </c>
      <c r="L132" s="46">
        <v>1</v>
      </c>
      <c r="M132" s="92" t="s">
        <v>17564</v>
      </c>
      <c r="P132" s="57"/>
      <c r="Q132" s="35"/>
      <c r="T132" s="57"/>
      <c r="U132" s="208">
        <f>ROUND((ROUND((_15_同援日増３．０*_15・２人),0)*(1+_15・盲ろう)),0)</f>
        <v>488</v>
      </c>
      <c r="V132" s="48"/>
    </row>
    <row r="133" spans="1:22" ht="16.5" customHeight="1" x14ac:dyDescent="0.15">
      <c r="A133" s="41">
        <v>15</v>
      </c>
      <c r="B133" s="41" t="s">
        <v>23824</v>
      </c>
      <c r="C133" s="74" t="s">
        <v>23825</v>
      </c>
      <c r="D133" s="72"/>
      <c r="F133" s="57"/>
      <c r="G133" s="114" t="s">
        <v>17558</v>
      </c>
      <c r="H133" s="49"/>
      <c r="I133" s="50"/>
      <c r="J133" s="163"/>
      <c r="K133" s="45"/>
      <c r="L133" s="46"/>
      <c r="M133" s="35"/>
      <c r="N133" s="12" t="s">
        <v>398</v>
      </c>
      <c r="O133" s="13">
        <v>0.25</v>
      </c>
      <c r="P133" s="57" t="s">
        <v>3575</v>
      </c>
      <c r="Q133" s="35"/>
      <c r="T133" s="57"/>
      <c r="U133" s="208">
        <f>ROUND((ROUND((_15_同援日増３．０*_15・基礎２),0)*(1+_15・盲ろう)),0)</f>
        <v>439</v>
      </c>
      <c r="V133" s="48"/>
    </row>
    <row r="134" spans="1:22" ht="16.5" customHeight="1" x14ac:dyDescent="0.15">
      <c r="A134" s="41">
        <v>15</v>
      </c>
      <c r="B134" s="41" t="s">
        <v>23826</v>
      </c>
      <c r="C134" s="74" t="s">
        <v>23827</v>
      </c>
      <c r="D134" s="72"/>
      <c r="F134" s="57"/>
      <c r="G134" s="269" t="s">
        <v>17560</v>
      </c>
      <c r="H134" s="37" t="s">
        <v>398</v>
      </c>
      <c r="I134" s="38">
        <v>0.9</v>
      </c>
      <c r="J134" s="299" t="s">
        <v>17556</v>
      </c>
      <c r="K134" s="45" t="s">
        <v>398</v>
      </c>
      <c r="L134" s="46">
        <v>1</v>
      </c>
      <c r="M134" s="43"/>
      <c r="N134" s="37"/>
      <c r="O134" s="38"/>
      <c r="P134" s="79"/>
      <c r="Q134" s="43"/>
      <c r="R134" s="37"/>
      <c r="S134" s="38"/>
      <c r="T134" s="79"/>
      <c r="U134" s="208">
        <f>ROUND((ROUND((ROUND((_15_同援日増３．０*_15・基礎２),0)*_15・２人),0)*(1+_15・盲ろう)),0)</f>
        <v>439</v>
      </c>
      <c r="V134" s="48"/>
    </row>
    <row r="135" spans="1:22" ht="16.5" customHeight="1" x14ac:dyDescent="0.15">
      <c r="A135" s="41">
        <v>15</v>
      </c>
      <c r="B135" s="41" t="s">
        <v>23828</v>
      </c>
      <c r="C135" s="74" t="s">
        <v>23829</v>
      </c>
      <c r="D135" s="72"/>
      <c r="F135" s="57"/>
      <c r="G135" s="53"/>
      <c r="H135" s="49"/>
      <c r="I135" s="50"/>
      <c r="J135" s="163"/>
      <c r="K135" s="45"/>
      <c r="L135" s="46"/>
      <c r="M135" s="53"/>
      <c r="N135" s="49"/>
      <c r="O135" s="50"/>
      <c r="P135" s="115"/>
      <c r="Q135" s="53"/>
      <c r="R135" s="49"/>
      <c r="S135" s="50"/>
      <c r="T135" s="115"/>
      <c r="U135" s="208">
        <f>ROUND((_15_同援日増３．０*(1+_15・区３)),0)</f>
        <v>468</v>
      </c>
      <c r="V135" s="48"/>
    </row>
    <row r="136" spans="1:22" ht="16.5" customHeight="1" x14ac:dyDescent="0.15">
      <c r="A136" s="41">
        <v>15</v>
      </c>
      <c r="B136" s="41" t="s">
        <v>23830</v>
      </c>
      <c r="C136" s="74" t="s">
        <v>23831</v>
      </c>
      <c r="D136" s="72"/>
      <c r="F136" s="57"/>
      <c r="G136" s="43"/>
      <c r="H136" s="37"/>
      <c r="I136" s="38"/>
      <c r="J136" s="299" t="s">
        <v>17556</v>
      </c>
      <c r="K136" s="45" t="s">
        <v>398</v>
      </c>
      <c r="L136" s="46">
        <v>1</v>
      </c>
      <c r="M136" s="35"/>
      <c r="P136" s="57"/>
      <c r="Q136" s="35"/>
      <c r="T136" s="57"/>
      <c r="U136" s="208">
        <f>ROUND((ROUND((_15_同援日増３．０*_15・２人),0)*(1+_15・区３)),0)</f>
        <v>468</v>
      </c>
      <c r="V136" s="48"/>
    </row>
    <row r="137" spans="1:22" ht="16.5" customHeight="1" x14ac:dyDescent="0.15">
      <c r="A137" s="41">
        <v>15</v>
      </c>
      <c r="B137" s="41" t="s">
        <v>23832</v>
      </c>
      <c r="C137" s="74" t="s">
        <v>23833</v>
      </c>
      <c r="D137" s="72"/>
      <c r="F137" s="57"/>
      <c r="G137" s="114" t="s">
        <v>17558</v>
      </c>
      <c r="H137" s="49"/>
      <c r="I137" s="50"/>
      <c r="J137" s="163"/>
      <c r="K137" s="45"/>
      <c r="L137" s="46"/>
      <c r="M137" s="35"/>
      <c r="P137" s="57"/>
      <c r="Q137" s="72" t="s">
        <v>17570</v>
      </c>
      <c r="T137" s="57"/>
      <c r="U137" s="208">
        <f>ROUND((ROUND((_15_同援日増３．０*_15・基礎２),0)*(1+_15・区３)),0)</f>
        <v>421</v>
      </c>
      <c r="V137" s="48"/>
    </row>
    <row r="138" spans="1:22" ht="16.5" customHeight="1" x14ac:dyDescent="0.15">
      <c r="A138" s="41">
        <v>15</v>
      </c>
      <c r="B138" s="41" t="s">
        <v>23834</v>
      </c>
      <c r="C138" s="74" t="s">
        <v>23835</v>
      </c>
      <c r="D138" s="72"/>
      <c r="F138" s="57"/>
      <c r="G138" s="269" t="s">
        <v>17560</v>
      </c>
      <c r="H138" s="37" t="s">
        <v>398</v>
      </c>
      <c r="I138" s="38">
        <v>0.9</v>
      </c>
      <c r="J138" s="299" t="s">
        <v>17556</v>
      </c>
      <c r="K138" s="45" t="s">
        <v>398</v>
      </c>
      <c r="L138" s="46">
        <v>1</v>
      </c>
      <c r="M138" s="43"/>
      <c r="N138" s="37"/>
      <c r="O138" s="38"/>
      <c r="P138" s="79"/>
      <c r="Q138" s="72" t="s">
        <v>17572</v>
      </c>
      <c r="T138" s="57"/>
      <c r="U138" s="208">
        <f>ROUND((ROUND((ROUND((_15_同援日増３．０*_15・基礎２),0)*_15・２人),0)*(1+_15・区３)),0)</f>
        <v>421</v>
      </c>
      <c r="V138" s="48"/>
    </row>
    <row r="139" spans="1:22" ht="16.5" customHeight="1" x14ac:dyDescent="0.15">
      <c r="A139" s="41">
        <v>15</v>
      </c>
      <c r="B139" s="41" t="s">
        <v>23836</v>
      </c>
      <c r="C139" s="74" t="s">
        <v>23837</v>
      </c>
      <c r="D139" s="72"/>
      <c r="F139" s="57"/>
      <c r="G139" s="53"/>
      <c r="H139" s="49"/>
      <c r="I139" s="50"/>
      <c r="J139" s="163"/>
      <c r="K139" s="45"/>
      <c r="L139" s="46"/>
      <c r="M139" s="114" t="s">
        <v>17562</v>
      </c>
      <c r="N139" s="49"/>
      <c r="O139" s="50"/>
      <c r="P139" s="115"/>
      <c r="Q139" s="35"/>
      <c r="R139" s="12" t="s">
        <v>398</v>
      </c>
      <c r="S139" s="13">
        <v>0.2</v>
      </c>
      <c r="T139" s="57" t="s">
        <v>3575</v>
      </c>
      <c r="U139" s="208">
        <f>ROUND((ROUND((_15_同援日増３．０*(1+_15・盲ろう)),0)*(1+_15・区３)),0)</f>
        <v>586</v>
      </c>
      <c r="V139" s="48"/>
    </row>
    <row r="140" spans="1:22" ht="16.5" customHeight="1" x14ac:dyDescent="0.15">
      <c r="A140" s="41">
        <v>15</v>
      </c>
      <c r="B140" s="41" t="s">
        <v>23838</v>
      </c>
      <c r="C140" s="74" t="s">
        <v>23839</v>
      </c>
      <c r="D140" s="72"/>
      <c r="F140" s="57"/>
      <c r="G140" s="43"/>
      <c r="H140" s="37"/>
      <c r="I140" s="38"/>
      <c r="J140" s="299" t="s">
        <v>17556</v>
      </c>
      <c r="K140" s="45" t="s">
        <v>398</v>
      </c>
      <c r="L140" s="46">
        <v>1</v>
      </c>
      <c r="M140" s="92" t="s">
        <v>17564</v>
      </c>
      <c r="P140" s="57"/>
      <c r="Q140" s="35"/>
      <c r="T140" s="57"/>
      <c r="U140" s="208">
        <f>ROUND((ROUND((ROUND((_15_同援日増３．０*_15・２人),0)*(1+_15・盲ろう)),0)*(1+_15・区３)),0)</f>
        <v>586</v>
      </c>
      <c r="V140" s="48"/>
    </row>
    <row r="141" spans="1:22" ht="16.5" customHeight="1" x14ac:dyDescent="0.15">
      <c r="A141" s="41">
        <v>15</v>
      </c>
      <c r="B141" s="41" t="s">
        <v>23840</v>
      </c>
      <c r="C141" s="74" t="s">
        <v>23841</v>
      </c>
      <c r="D141" s="72"/>
      <c r="F141" s="57"/>
      <c r="G141" s="114" t="s">
        <v>17558</v>
      </c>
      <c r="H141" s="49"/>
      <c r="I141" s="50"/>
      <c r="J141" s="163"/>
      <c r="K141" s="45"/>
      <c r="L141" s="46"/>
      <c r="M141" s="35"/>
      <c r="N141" s="12" t="s">
        <v>398</v>
      </c>
      <c r="O141" s="13">
        <v>0.25</v>
      </c>
      <c r="P141" s="57" t="s">
        <v>3575</v>
      </c>
      <c r="Q141" s="35"/>
      <c r="T141" s="57"/>
      <c r="U141" s="208">
        <f>ROUND((ROUND((ROUND((_15_同援日増３．０*_15・基礎２),0)*(1+_15・盲ろう)),0)*(1+_15・区３)),0)</f>
        <v>527</v>
      </c>
      <c r="V141" s="48"/>
    </row>
    <row r="142" spans="1:22" ht="16.5" customHeight="1" x14ac:dyDescent="0.15">
      <c r="A142" s="41">
        <v>15</v>
      </c>
      <c r="B142" s="41" t="s">
        <v>23842</v>
      </c>
      <c r="C142" s="74" t="s">
        <v>23843</v>
      </c>
      <c r="D142" s="72"/>
      <c r="F142" s="57"/>
      <c r="G142" s="269" t="s">
        <v>17560</v>
      </c>
      <c r="H142" s="37" t="s">
        <v>398</v>
      </c>
      <c r="I142" s="38">
        <v>0.9</v>
      </c>
      <c r="J142" s="299" t="s">
        <v>17556</v>
      </c>
      <c r="K142" s="45" t="s">
        <v>398</v>
      </c>
      <c r="L142" s="46">
        <v>1</v>
      </c>
      <c r="M142" s="43"/>
      <c r="N142" s="37"/>
      <c r="O142" s="38"/>
      <c r="P142" s="79"/>
      <c r="Q142" s="43"/>
      <c r="R142" s="37"/>
      <c r="S142" s="38"/>
      <c r="T142" s="79"/>
      <c r="U142" s="208">
        <f>ROUND((ROUND((ROUND((ROUND((_15_同援日増３．０*_15・基礎２),0)*_15・２人),0)*(1+_15・盲ろう)),0)*(1+_15・区３)),0)</f>
        <v>527</v>
      </c>
      <c r="V142" s="48"/>
    </row>
    <row r="143" spans="1:22" ht="16.5" customHeight="1" x14ac:dyDescent="0.15">
      <c r="A143" s="41">
        <v>15</v>
      </c>
      <c r="B143" s="41" t="s">
        <v>23844</v>
      </c>
      <c r="C143" s="74" t="s">
        <v>23845</v>
      </c>
      <c r="D143" s="72"/>
      <c r="F143" s="57"/>
      <c r="G143" s="53"/>
      <c r="H143" s="49"/>
      <c r="I143" s="50"/>
      <c r="J143" s="163"/>
      <c r="K143" s="45"/>
      <c r="L143" s="46"/>
      <c r="M143" s="53"/>
      <c r="N143" s="49"/>
      <c r="O143" s="50"/>
      <c r="P143" s="115"/>
      <c r="Q143" s="53"/>
      <c r="R143" s="49"/>
      <c r="S143" s="50"/>
      <c r="T143" s="115"/>
      <c r="U143" s="208">
        <f>ROUND((_15_同援日増３．０*(1+_15・区４)),0)</f>
        <v>546</v>
      </c>
      <c r="V143" s="48"/>
    </row>
    <row r="144" spans="1:22" ht="16.5" customHeight="1" x14ac:dyDescent="0.15">
      <c r="A144" s="41">
        <v>15</v>
      </c>
      <c r="B144" s="41" t="s">
        <v>23846</v>
      </c>
      <c r="C144" s="74" t="s">
        <v>23847</v>
      </c>
      <c r="D144" s="72"/>
      <c r="F144" s="57"/>
      <c r="G144" s="43"/>
      <c r="H144" s="37"/>
      <c r="I144" s="38"/>
      <c r="J144" s="299" t="s">
        <v>17556</v>
      </c>
      <c r="K144" s="45" t="s">
        <v>398</v>
      </c>
      <c r="L144" s="46">
        <v>1</v>
      </c>
      <c r="M144" s="35"/>
      <c r="P144" s="57"/>
      <c r="Q144" s="35"/>
      <c r="T144" s="57"/>
      <c r="U144" s="208">
        <f>ROUND((ROUND((_15_同援日増３．０*_15・２人),0)*(1+_15・区４)),0)</f>
        <v>546</v>
      </c>
      <c r="V144" s="48"/>
    </row>
    <row r="145" spans="1:22" ht="16.5" customHeight="1" x14ac:dyDescent="0.15">
      <c r="A145" s="41">
        <v>15</v>
      </c>
      <c r="B145" s="41" t="s">
        <v>1835</v>
      </c>
      <c r="C145" s="74" t="s">
        <v>23848</v>
      </c>
      <c r="D145" s="72"/>
      <c r="F145" s="57"/>
      <c r="G145" s="114" t="s">
        <v>17558</v>
      </c>
      <c r="H145" s="49"/>
      <c r="I145" s="50"/>
      <c r="J145" s="163"/>
      <c r="K145" s="45"/>
      <c r="L145" s="46"/>
      <c r="M145" s="35"/>
      <c r="P145" s="57"/>
      <c r="Q145" s="72" t="s">
        <v>17580</v>
      </c>
      <c r="T145" s="57"/>
      <c r="U145" s="208">
        <f>ROUND((ROUND((_15_同援日増３．０*_15・基礎２),0)*(1+_15・区４)),0)</f>
        <v>491</v>
      </c>
      <c r="V145" s="48"/>
    </row>
    <row r="146" spans="1:22" ht="16.5" customHeight="1" x14ac:dyDescent="0.15">
      <c r="A146" s="41">
        <v>15</v>
      </c>
      <c r="B146" s="41" t="s">
        <v>1837</v>
      </c>
      <c r="C146" s="74" t="s">
        <v>23849</v>
      </c>
      <c r="D146" s="72"/>
      <c r="F146" s="57"/>
      <c r="G146" s="269" t="s">
        <v>17560</v>
      </c>
      <c r="H146" s="37" t="s">
        <v>398</v>
      </c>
      <c r="I146" s="38">
        <v>0.9</v>
      </c>
      <c r="J146" s="299" t="s">
        <v>17556</v>
      </c>
      <c r="K146" s="45" t="s">
        <v>398</v>
      </c>
      <c r="L146" s="46">
        <v>1</v>
      </c>
      <c r="M146" s="43"/>
      <c r="N146" s="37"/>
      <c r="O146" s="38"/>
      <c r="P146" s="79"/>
      <c r="Q146" s="72" t="s">
        <v>17572</v>
      </c>
      <c r="T146" s="57"/>
      <c r="U146" s="208">
        <f>ROUND((ROUND((ROUND((_15_同援日増３．０*_15・基礎２),0)*_15・２人),0)*(1+_15・区４)),0)</f>
        <v>491</v>
      </c>
      <c r="V146" s="48"/>
    </row>
    <row r="147" spans="1:22" ht="16.5" customHeight="1" x14ac:dyDescent="0.15">
      <c r="A147" s="41">
        <v>15</v>
      </c>
      <c r="B147" s="41" t="s">
        <v>1839</v>
      </c>
      <c r="C147" s="74" t="s">
        <v>23850</v>
      </c>
      <c r="D147" s="72"/>
      <c r="F147" s="57"/>
      <c r="G147" s="53"/>
      <c r="H147" s="49"/>
      <c r="I147" s="50"/>
      <c r="J147" s="163"/>
      <c r="K147" s="45"/>
      <c r="L147" s="46"/>
      <c r="M147" s="114" t="s">
        <v>17562</v>
      </c>
      <c r="N147" s="49"/>
      <c r="O147" s="50"/>
      <c r="P147" s="115"/>
      <c r="Q147" s="35"/>
      <c r="R147" s="12" t="s">
        <v>398</v>
      </c>
      <c r="S147" s="13">
        <v>0.4</v>
      </c>
      <c r="T147" s="57" t="s">
        <v>3575</v>
      </c>
      <c r="U147" s="208">
        <f>ROUND((ROUND((_15_同援日増３．０*(1+_15・盲ろう)),0)*(1+_15・区４)),0)</f>
        <v>683</v>
      </c>
      <c r="V147" s="48"/>
    </row>
    <row r="148" spans="1:22" ht="16.5" customHeight="1" x14ac:dyDescent="0.15">
      <c r="A148" s="41">
        <v>15</v>
      </c>
      <c r="B148" s="41" t="s">
        <v>1841</v>
      </c>
      <c r="C148" s="74" t="s">
        <v>23851</v>
      </c>
      <c r="D148" s="72"/>
      <c r="F148" s="57"/>
      <c r="G148" s="43"/>
      <c r="H148" s="37"/>
      <c r="I148" s="38"/>
      <c r="J148" s="299" t="s">
        <v>17556</v>
      </c>
      <c r="K148" s="45" t="s">
        <v>398</v>
      </c>
      <c r="L148" s="46">
        <v>1</v>
      </c>
      <c r="M148" s="92" t="s">
        <v>17564</v>
      </c>
      <c r="P148" s="57"/>
      <c r="Q148" s="35"/>
      <c r="T148" s="57"/>
      <c r="U148" s="208">
        <f>ROUND((ROUND((ROUND((_15_同援日増３．０*_15・２人),0)*(1+_15・盲ろう)),0)*(1+_15・区４)),0)</f>
        <v>683</v>
      </c>
      <c r="V148" s="48"/>
    </row>
    <row r="149" spans="1:22" ht="16.5" customHeight="1" x14ac:dyDescent="0.15">
      <c r="A149" s="41">
        <v>15</v>
      </c>
      <c r="B149" s="41" t="s">
        <v>23852</v>
      </c>
      <c r="C149" s="74" t="s">
        <v>23853</v>
      </c>
      <c r="D149" s="72"/>
      <c r="F149" s="57"/>
      <c r="G149" s="114" t="s">
        <v>17558</v>
      </c>
      <c r="H149" s="49"/>
      <c r="I149" s="50"/>
      <c r="J149" s="163"/>
      <c r="K149" s="45"/>
      <c r="L149" s="46"/>
      <c r="M149" s="35"/>
      <c r="N149" s="12" t="s">
        <v>398</v>
      </c>
      <c r="O149" s="13">
        <v>0.25</v>
      </c>
      <c r="P149" s="57" t="s">
        <v>3575</v>
      </c>
      <c r="Q149" s="35"/>
      <c r="T149" s="57"/>
      <c r="U149" s="208">
        <f>ROUND((ROUND((ROUND((_15_同援日増３．０*_15・基礎２),0)*(1+_15・盲ろう)),0)*(1+_15・区４)),0)</f>
        <v>615</v>
      </c>
      <c r="V149" s="48"/>
    </row>
    <row r="150" spans="1:22" ht="16.5" customHeight="1" x14ac:dyDescent="0.15">
      <c r="A150" s="41">
        <v>15</v>
      </c>
      <c r="B150" s="41" t="s">
        <v>23854</v>
      </c>
      <c r="C150" s="74" t="s">
        <v>23855</v>
      </c>
      <c r="D150" s="122"/>
      <c r="E150" s="37"/>
      <c r="F150" s="79"/>
      <c r="G150" s="269" t="s">
        <v>17560</v>
      </c>
      <c r="H150" s="37" t="s">
        <v>398</v>
      </c>
      <c r="I150" s="38">
        <v>0.9</v>
      </c>
      <c r="J150" s="299" t="s">
        <v>17556</v>
      </c>
      <c r="K150" s="45" t="s">
        <v>398</v>
      </c>
      <c r="L150" s="46">
        <v>1</v>
      </c>
      <c r="M150" s="43"/>
      <c r="N150" s="37"/>
      <c r="O150" s="38"/>
      <c r="P150" s="79"/>
      <c r="Q150" s="43"/>
      <c r="R150" s="37"/>
      <c r="S150" s="38"/>
      <c r="T150" s="79"/>
      <c r="U150" s="208">
        <f>ROUND((ROUND((ROUND((ROUND((_15_同援日増３．０*_15・基礎２),0)*_15・２人),0)*(1+_15・盲ろう)),0)*(1+_15・区４)),0)</f>
        <v>615</v>
      </c>
      <c r="V150" s="63"/>
    </row>
    <row r="151" spans="1:22" ht="16.5" customHeight="1" x14ac:dyDescent="0.15">
      <c r="A151" s="41">
        <v>15</v>
      </c>
      <c r="B151" s="41" t="s">
        <v>23856</v>
      </c>
      <c r="C151" s="74" t="s">
        <v>23857</v>
      </c>
      <c r="D151" s="114" t="s">
        <v>23858</v>
      </c>
      <c r="E151" s="49"/>
      <c r="F151" s="115"/>
      <c r="G151" s="53"/>
      <c r="H151" s="49"/>
      <c r="I151" s="50"/>
      <c r="J151" s="163"/>
      <c r="K151" s="45"/>
      <c r="L151" s="46"/>
      <c r="M151" s="53"/>
      <c r="N151" s="49"/>
      <c r="O151" s="50"/>
      <c r="P151" s="115"/>
      <c r="Q151" s="53"/>
      <c r="R151" s="49"/>
      <c r="S151" s="50"/>
      <c r="T151" s="115"/>
      <c r="U151" s="208">
        <f>_15_同援日増３．５</f>
        <v>455</v>
      </c>
      <c r="V151" s="64"/>
    </row>
    <row r="152" spans="1:22" ht="16.5" customHeight="1" x14ac:dyDescent="0.15">
      <c r="A152" s="41">
        <v>15</v>
      </c>
      <c r="B152" s="41" t="s">
        <v>23859</v>
      </c>
      <c r="C152" s="74" t="s">
        <v>23860</v>
      </c>
      <c r="D152" s="72" t="s">
        <v>17724</v>
      </c>
      <c r="F152" s="57"/>
      <c r="G152" s="43"/>
      <c r="H152" s="37"/>
      <c r="I152" s="38"/>
      <c r="J152" s="299" t="s">
        <v>17556</v>
      </c>
      <c r="K152" s="45" t="s">
        <v>398</v>
      </c>
      <c r="L152" s="46">
        <v>1</v>
      </c>
      <c r="M152" s="35"/>
      <c r="P152" s="57"/>
      <c r="Q152" s="35"/>
      <c r="T152" s="57"/>
      <c r="U152" s="208">
        <f>ROUND((_15_同援日増３．５*_15・２人),0)</f>
        <v>455</v>
      </c>
      <c r="V152" s="48"/>
    </row>
    <row r="153" spans="1:22" ht="16.5" customHeight="1" x14ac:dyDescent="0.15">
      <c r="A153" s="41">
        <v>15</v>
      </c>
      <c r="B153" s="41" t="s">
        <v>23861</v>
      </c>
      <c r="C153" s="74" t="s">
        <v>23862</v>
      </c>
      <c r="D153" s="72" t="s">
        <v>17726</v>
      </c>
      <c r="F153" s="57"/>
      <c r="G153" s="114" t="s">
        <v>17558</v>
      </c>
      <c r="H153" s="49"/>
      <c r="I153" s="50"/>
      <c r="J153" s="163"/>
      <c r="K153" s="45"/>
      <c r="L153" s="46"/>
      <c r="M153" s="35"/>
      <c r="P153" s="57"/>
      <c r="Q153" s="35"/>
      <c r="T153" s="57"/>
      <c r="U153" s="208">
        <f>ROUND((_15_同援日増３．５*_15・基礎２),0)</f>
        <v>410</v>
      </c>
      <c r="V153" s="48"/>
    </row>
    <row r="154" spans="1:22" ht="16.5" customHeight="1" x14ac:dyDescent="0.15">
      <c r="A154" s="41">
        <v>15</v>
      </c>
      <c r="B154" s="41" t="s">
        <v>23863</v>
      </c>
      <c r="C154" s="74" t="s">
        <v>23864</v>
      </c>
      <c r="D154" s="72"/>
      <c r="E154" s="168">
        <f>_15_同援日増３．５</f>
        <v>455</v>
      </c>
      <c r="F154" s="57" t="s">
        <v>392</v>
      </c>
      <c r="G154" s="269" t="s">
        <v>17560</v>
      </c>
      <c r="H154" s="37" t="s">
        <v>398</v>
      </c>
      <c r="I154" s="38">
        <v>0.9</v>
      </c>
      <c r="J154" s="299" t="s">
        <v>17556</v>
      </c>
      <c r="K154" s="45" t="s">
        <v>398</v>
      </c>
      <c r="L154" s="46">
        <v>1</v>
      </c>
      <c r="M154" s="43"/>
      <c r="N154" s="37"/>
      <c r="O154" s="38"/>
      <c r="P154" s="79"/>
      <c r="Q154" s="35"/>
      <c r="T154" s="57"/>
      <c r="U154" s="208">
        <f>ROUND((ROUND((_15_同援日増３．５*_15・基礎２),0)*_15・２人),0)</f>
        <v>410</v>
      </c>
      <c r="V154" s="48"/>
    </row>
    <row r="155" spans="1:22" ht="16.5" customHeight="1" x14ac:dyDescent="0.15">
      <c r="A155" s="41">
        <v>15</v>
      </c>
      <c r="B155" s="41" t="s">
        <v>23865</v>
      </c>
      <c r="C155" s="74" t="s">
        <v>23866</v>
      </c>
      <c r="D155" s="72"/>
      <c r="F155" s="57"/>
      <c r="G155" s="53"/>
      <c r="H155" s="49"/>
      <c r="I155" s="50"/>
      <c r="J155" s="163"/>
      <c r="K155" s="45"/>
      <c r="L155" s="46"/>
      <c r="M155" s="114" t="s">
        <v>17562</v>
      </c>
      <c r="N155" s="49"/>
      <c r="O155" s="50"/>
      <c r="P155" s="115"/>
      <c r="Q155" s="35"/>
      <c r="T155" s="57"/>
      <c r="U155" s="208">
        <f>ROUND((_15_同援日増３．５*(1+_15・盲ろう)),0)</f>
        <v>569</v>
      </c>
      <c r="V155" s="48"/>
    </row>
    <row r="156" spans="1:22" ht="16.5" customHeight="1" x14ac:dyDescent="0.15">
      <c r="A156" s="41">
        <v>15</v>
      </c>
      <c r="B156" s="41" t="s">
        <v>23867</v>
      </c>
      <c r="C156" s="74" t="s">
        <v>23868</v>
      </c>
      <c r="D156" s="72"/>
      <c r="F156" s="57"/>
      <c r="G156" s="43"/>
      <c r="H156" s="37"/>
      <c r="I156" s="38"/>
      <c r="J156" s="299" t="s">
        <v>17556</v>
      </c>
      <c r="K156" s="45" t="s">
        <v>398</v>
      </c>
      <c r="L156" s="46">
        <v>1</v>
      </c>
      <c r="M156" s="92" t="s">
        <v>17564</v>
      </c>
      <c r="P156" s="57"/>
      <c r="Q156" s="35"/>
      <c r="T156" s="57"/>
      <c r="U156" s="208">
        <f>ROUND((ROUND((_15_同援日増３．５*_15・２人),0)*(1+_15・盲ろう)),0)</f>
        <v>569</v>
      </c>
      <c r="V156" s="48"/>
    </row>
    <row r="157" spans="1:22" ht="16.5" customHeight="1" x14ac:dyDescent="0.15">
      <c r="A157" s="41">
        <v>15</v>
      </c>
      <c r="B157" s="41" t="s">
        <v>23869</v>
      </c>
      <c r="C157" s="74" t="s">
        <v>23870</v>
      </c>
      <c r="D157" s="72"/>
      <c r="F157" s="57"/>
      <c r="G157" s="114" t="s">
        <v>17558</v>
      </c>
      <c r="H157" s="49"/>
      <c r="I157" s="50"/>
      <c r="J157" s="163"/>
      <c r="K157" s="45"/>
      <c r="L157" s="46"/>
      <c r="M157" s="35"/>
      <c r="N157" s="12" t="s">
        <v>398</v>
      </c>
      <c r="O157" s="13">
        <v>0.25</v>
      </c>
      <c r="P157" s="57" t="s">
        <v>3575</v>
      </c>
      <c r="Q157" s="35"/>
      <c r="T157" s="57"/>
      <c r="U157" s="208">
        <f>ROUND((ROUND((_15_同援日増３．５*_15・基礎２),0)*(1+_15・盲ろう)),0)</f>
        <v>513</v>
      </c>
      <c r="V157" s="48"/>
    </row>
    <row r="158" spans="1:22" ht="16.5" customHeight="1" x14ac:dyDescent="0.15">
      <c r="A158" s="41">
        <v>15</v>
      </c>
      <c r="B158" s="41" t="s">
        <v>23871</v>
      </c>
      <c r="C158" s="74" t="s">
        <v>23872</v>
      </c>
      <c r="D158" s="72"/>
      <c r="F158" s="57"/>
      <c r="G158" s="269" t="s">
        <v>17560</v>
      </c>
      <c r="H158" s="37" t="s">
        <v>398</v>
      </c>
      <c r="I158" s="38">
        <v>0.9</v>
      </c>
      <c r="J158" s="299" t="s">
        <v>17556</v>
      </c>
      <c r="K158" s="45" t="s">
        <v>398</v>
      </c>
      <c r="L158" s="46">
        <v>1</v>
      </c>
      <c r="M158" s="43"/>
      <c r="N158" s="37"/>
      <c r="O158" s="38"/>
      <c r="P158" s="79"/>
      <c r="Q158" s="43"/>
      <c r="R158" s="37"/>
      <c r="S158" s="38"/>
      <c r="T158" s="79"/>
      <c r="U158" s="208">
        <f>ROUND((ROUND((ROUND((_15_同援日増３．５*_15・基礎２),0)*_15・２人),0)*(1+_15・盲ろう)),0)</f>
        <v>513</v>
      </c>
      <c r="V158" s="48"/>
    </row>
    <row r="159" spans="1:22" ht="16.5" customHeight="1" x14ac:dyDescent="0.15">
      <c r="A159" s="41">
        <v>15</v>
      </c>
      <c r="B159" s="41" t="s">
        <v>23873</v>
      </c>
      <c r="C159" s="74" t="s">
        <v>23874</v>
      </c>
      <c r="D159" s="72"/>
      <c r="F159" s="57"/>
      <c r="G159" s="53"/>
      <c r="H159" s="49"/>
      <c r="I159" s="50"/>
      <c r="J159" s="163"/>
      <c r="K159" s="45"/>
      <c r="L159" s="46"/>
      <c r="M159" s="53"/>
      <c r="N159" s="49"/>
      <c r="O159" s="50"/>
      <c r="P159" s="115"/>
      <c r="Q159" s="53"/>
      <c r="R159" s="49"/>
      <c r="S159" s="50"/>
      <c r="T159" s="115"/>
      <c r="U159" s="208">
        <f>ROUND((_15_同援日増３．５*(1+_15・区３)),0)</f>
        <v>546</v>
      </c>
      <c r="V159" s="48"/>
    </row>
    <row r="160" spans="1:22" ht="16.5" customHeight="1" x14ac:dyDescent="0.15">
      <c r="A160" s="41">
        <v>15</v>
      </c>
      <c r="B160" s="41" t="s">
        <v>23875</v>
      </c>
      <c r="C160" s="74" t="s">
        <v>23876</v>
      </c>
      <c r="D160" s="72"/>
      <c r="F160" s="57"/>
      <c r="G160" s="43"/>
      <c r="H160" s="37"/>
      <c r="I160" s="38"/>
      <c r="J160" s="299" t="s">
        <v>17556</v>
      </c>
      <c r="K160" s="45" t="s">
        <v>398</v>
      </c>
      <c r="L160" s="46">
        <v>1</v>
      </c>
      <c r="M160" s="35"/>
      <c r="P160" s="57"/>
      <c r="Q160" s="35"/>
      <c r="T160" s="57"/>
      <c r="U160" s="208">
        <f>ROUND((ROUND((_15_同援日増３．５*_15・２人),0)*(1+_15・区３)),0)</f>
        <v>546</v>
      </c>
      <c r="V160" s="48"/>
    </row>
    <row r="161" spans="1:22" ht="16.5" customHeight="1" x14ac:dyDescent="0.15">
      <c r="A161" s="41">
        <v>15</v>
      </c>
      <c r="B161" s="41" t="s">
        <v>23877</v>
      </c>
      <c r="C161" s="74" t="s">
        <v>23878</v>
      </c>
      <c r="D161" s="72"/>
      <c r="F161" s="57"/>
      <c r="G161" s="114" t="s">
        <v>17558</v>
      </c>
      <c r="H161" s="49"/>
      <c r="I161" s="50"/>
      <c r="J161" s="163"/>
      <c r="K161" s="45"/>
      <c r="L161" s="46"/>
      <c r="M161" s="35"/>
      <c r="P161" s="57"/>
      <c r="Q161" s="72" t="s">
        <v>17570</v>
      </c>
      <c r="T161" s="57"/>
      <c r="U161" s="208">
        <f>ROUND((ROUND((_15_同援日増３．５*_15・基礎２),0)*(1+_15・区３)),0)</f>
        <v>492</v>
      </c>
      <c r="V161" s="48"/>
    </row>
    <row r="162" spans="1:22" ht="16.5" customHeight="1" x14ac:dyDescent="0.15">
      <c r="A162" s="41">
        <v>15</v>
      </c>
      <c r="B162" s="41" t="s">
        <v>23879</v>
      </c>
      <c r="C162" s="74" t="s">
        <v>23880</v>
      </c>
      <c r="D162" s="72"/>
      <c r="F162" s="57"/>
      <c r="G162" s="269" t="s">
        <v>17560</v>
      </c>
      <c r="H162" s="37" t="s">
        <v>398</v>
      </c>
      <c r="I162" s="38">
        <v>0.9</v>
      </c>
      <c r="J162" s="299" t="s">
        <v>17556</v>
      </c>
      <c r="K162" s="45" t="s">
        <v>398</v>
      </c>
      <c r="L162" s="46">
        <v>1</v>
      </c>
      <c r="M162" s="43"/>
      <c r="N162" s="37"/>
      <c r="O162" s="38"/>
      <c r="P162" s="79"/>
      <c r="Q162" s="72" t="s">
        <v>17572</v>
      </c>
      <c r="T162" s="57"/>
      <c r="U162" s="208">
        <f>ROUND((ROUND((ROUND((_15_同援日増３．５*_15・基礎２),0)*_15・２人),0)*(1+_15・区３)),0)</f>
        <v>492</v>
      </c>
      <c r="V162" s="48"/>
    </row>
    <row r="163" spans="1:22" ht="16.5" customHeight="1" x14ac:dyDescent="0.15">
      <c r="A163" s="41">
        <v>15</v>
      </c>
      <c r="B163" s="41" t="s">
        <v>23881</v>
      </c>
      <c r="C163" s="74" t="s">
        <v>23882</v>
      </c>
      <c r="D163" s="72"/>
      <c r="F163" s="57"/>
      <c r="G163" s="53"/>
      <c r="H163" s="49"/>
      <c r="I163" s="50"/>
      <c r="J163" s="163"/>
      <c r="K163" s="45"/>
      <c r="L163" s="46"/>
      <c r="M163" s="114" t="s">
        <v>17562</v>
      </c>
      <c r="N163" s="49"/>
      <c r="O163" s="50"/>
      <c r="P163" s="115"/>
      <c r="Q163" s="35"/>
      <c r="R163" s="12" t="s">
        <v>398</v>
      </c>
      <c r="S163" s="13">
        <v>0.2</v>
      </c>
      <c r="T163" s="57" t="s">
        <v>3575</v>
      </c>
      <c r="U163" s="208">
        <f>ROUND((ROUND((_15_同援日増３．５*(1+_15・盲ろう)),0)*(1+_15・区３)),0)</f>
        <v>683</v>
      </c>
      <c r="V163" s="48"/>
    </row>
    <row r="164" spans="1:22" ht="16.5" customHeight="1" x14ac:dyDescent="0.15">
      <c r="A164" s="41">
        <v>15</v>
      </c>
      <c r="B164" s="41" t="s">
        <v>23883</v>
      </c>
      <c r="C164" s="74" t="s">
        <v>23884</v>
      </c>
      <c r="D164" s="72"/>
      <c r="F164" s="57"/>
      <c r="G164" s="43"/>
      <c r="H164" s="37"/>
      <c r="I164" s="38"/>
      <c r="J164" s="299" t="s">
        <v>17556</v>
      </c>
      <c r="K164" s="45" t="s">
        <v>398</v>
      </c>
      <c r="L164" s="46">
        <v>1</v>
      </c>
      <c r="M164" s="92" t="s">
        <v>17564</v>
      </c>
      <c r="P164" s="57"/>
      <c r="Q164" s="35"/>
      <c r="T164" s="57"/>
      <c r="U164" s="208">
        <f>ROUND((ROUND((ROUND((_15_同援日増３．５*_15・２人),0)*(1+_15・盲ろう)),0)*(1+_15・区３)),0)</f>
        <v>683</v>
      </c>
      <c r="V164" s="48"/>
    </row>
    <row r="165" spans="1:22" ht="16.5" customHeight="1" x14ac:dyDescent="0.15">
      <c r="A165" s="41">
        <v>15</v>
      </c>
      <c r="B165" s="41" t="s">
        <v>1847</v>
      </c>
      <c r="C165" s="74" t="s">
        <v>23885</v>
      </c>
      <c r="D165" s="72"/>
      <c r="F165" s="57"/>
      <c r="G165" s="114" t="s">
        <v>17558</v>
      </c>
      <c r="H165" s="49"/>
      <c r="I165" s="50"/>
      <c r="J165" s="163"/>
      <c r="K165" s="45"/>
      <c r="L165" s="46"/>
      <c r="M165" s="35"/>
      <c r="N165" s="12" t="s">
        <v>398</v>
      </c>
      <c r="O165" s="13">
        <v>0.25</v>
      </c>
      <c r="P165" s="57" t="s">
        <v>3575</v>
      </c>
      <c r="Q165" s="35"/>
      <c r="T165" s="57"/>
      <c r="U165" s="208">
        <f>ROUND((ROUND((ROUND((_15_同援日増３．５*_15・基礎２),0)*(1+_15・盲ろう)),0)*(1+_15・区３)),0)</f>
        <v>616</v>
      </c>
      <c r="V165" s="48"/>
    </row>
    <row r="166" spans="1:22" ht="16.5" customHeight="1" x14ac:dyDescent="0.15">
      <c r="A166" s="41">
        <v>15</v>
      </c>
      <c r="B166" s="41" t="s">
        <v>1849</v>
      </c>
      <c r="C166" s="74" t="s">
        <v>23886</v>
      </c>
      <c r="D166" s="72"/>
      <c r="F166" s="57"/>
      <c r="G166" s="269" t="s">
        <v>17560</v>
      </c>
      <c r="H166" s="37" t="s">
        <v>398</v>
      </c>
      <c r="I166" s="38">
        <v>0.9</v>
      </c>
      <c r="J166" s="299" t="s">
        <v>17556</v>
      </c>
      <c r="K166" s="45" t="s">
        <v>398</v>
      </c>
      <c r="L166" s="46">
        <v>1</v>
      </c>
      <c r="M166" s="43"/>
      <c r="N166" s="37"/>
      <c r="O166" s="38"/>
      <c r="P166" s="79"/>
      <c r="Q166" s="43"/>
      <c r="R166" s="37"/>
      <c r="S166" s="38"/>
      <c r="T166" s="79"/>
      <c r="U166" s="208">
        <f>ROUND((ROUND((ROUND((ROUND((_15_同援日増３．５*_15・基礎２),0)*_15・２人),0)*(1+_15・盲ろう)),0)*(1+_15・区３)),0)</f>
        <v>616</v>
      </c>
      <c r="V166" s="48"/>
    </row>
    <row r="167" spans="1:22" ht="16.5" customHeight="1" x14ac:dyDescent="0.15">
      <c r="A167" s="41">
        <v>15</v>
      </c>
      <c r="B167" s="41" t="s">
        <v>1851</v>
      </c>
      <c r="C167" s="74" t="s">
        <v>23887</v>
      </c>
      <c r="D167" s="72"/>
      <c r="F167" s="57"/>
      <c r="G167" s="53"/>
      <c r="H167" s="49"/>
      <c r="I167" s="50"/>
      <c r="J167" s="163"/>
      <c r="K167" s="45"/>
      <c r="L167" s="46"/>
      <c r="M167" s="53"/>
      <c r="N167" s="49"/>
      <c r="O167" s="50"/>
      <c r="P167" s="115"/>
      <c r="Q167" s="53"/>
      <c r="R167" s="49"/>
      <c r="S167" s="50"/>
      <c r="T167" s="115"/>
      <c r="U167" s="208">
        <f>ROUND((_15_同援日増３．５*(1+_15・区４)),0)</f>
        <v>637</v>
      </c>
      <c r="V167" s="48"/>
    </row>
    <row r="168" spans="1:22" ht="16.5" customHeight="1" x14ac:dyDescent="0.15">
      <c r="A168" s="41">
        <v>15</v>
      </c>
      <c r="B168" s="41" t="s">
        <v>1853</v>
      </c>
      <c r="C168" s="74" t="s">
        <v>23888</v>
      </c>
      <c r="D168" s="72"/>
      <c r="F168" s="57"/>
      <c r="G168" s="43"/>
      <c r="H168" s="37"/>
      <c r="I168" s="38"/>
      <c r="J168" s="299" t="s">
        <v>17556</v>
      </c>
      <c r="K168" s="45" t="s">
        <v>398</v>
      </c>
      <c r="L168" s="46">
        <v>1</v>
      </c>
      <c r="M168" s="35"/>
      <c r="P168" s="57"/>
      <c r="Q168" s="35"/>
      <c r="T168" s="57"/>
      <c r="U168" s="208">
        <f>ROUND((ROUND((_15_同援日増３．５*_15・２人),0)*(1+_15・区４)),0)</f>
        <v>637</v>
      </c>
      <c r="V168" s="48"/>
    </row>
    <row r="169" spans="1:22" ht="16.5" customHeight="1" x14ac:dyDescent="0.15">
      <c r="A169" s="41">
        <v>15</v>
      </c>
      <c r="B169" s="41" t="s">
        <v>23889</v>
      </c>
      <c r="C169" s="74" t="s">
        <v>23890</v>
      </c>
      <c r="D169" s="72"/>
      <c r="F169" s="57"/>
      <c r="G169" s="114" t="s">
        <v>17558</v>
      </c>
      <c r="H169" s="49"/>
      <c r="I169" s="50"/>
      <c r="J169" s="163"/>
      <c r="K169" s="45"/>
      <c r="L169" s="46"/>
      <c r="M169" s="35"/>
      <c r="P169" s="57"/>
      <c r="Q169" s="72" t="s">
        <v>17580</v>
      </c>
      <c r="T169" s="57"/>
      <c r="U169" s="208">
        <f>ROUND((ROUND((_15_同援日増３．５*_15・基礎２),0)*(1+_15・区４)),0)</f>
        <v>574</v>
      </c>
      <c r="V169" s="48"/>
    </row>
    <row r="170" spans="1:22" ht="16.5" customHeight="1" x14ac:dyDescent="0.15">
      <c r="A170" s="41">
        <v>15</v>
      </c>
      <c r="B170" s="41" t="s">
        <v>23891</v>
      </c>
      <c r="C170" s="74" t="s">
        <v>23892</v>
      </c>
      <c r="D170" s="72"/>
      <c r="F170" s="57"/>
      <c r="G170" s="269" t="s">
        <v>17560</v>
      </c>
      <c r="H170" s="37" t="s">
        <v>398</v>
      </c>
      <c r="I170" s="38">
        <v>0.9</v>
      </c>
      <c r="J170" s="299" t="s">
        <v>17556</v>
      </c>
      <c r="K170" s="45" t="s">
        <v>398</v>
      </c>
      <c r="L170" s="46">
        <v>1</v>
      </c>
      <c r="M170" s="43"/>
      <c r="N170" s="37"/>
      <c r="O170" s="38"/>
      <c r="P170" s="79"/>
      <c r="Q170" s="72" t="s">
        <v>17572</v>
      </c>
      <c r="T170" s="57"/>
      <c r="U170" s="208">
        <f>ROUND((ROUND((ROUND((_15_同援日増３．５*_15・基礎２),0)*_15・２人),0)*(1+_15・区４)),0)</f>
        <v>574</v>
      </c>
      <c r="V170" s="48"/>
    </row>
    <row r="171" spans="1:22" ht="16.5" customHeight="1" x14ac:dyDescent="0.15">
      <c r="A171" s="41">
        <v>15</v>
      </c>
      <c r="B171" s="41" t="s">
        <v>23893</v>
      </c>
      <c r="C171" s="74" t="s">
        <v>23894</v>
      </c>
      <c r="D171" s="72"/>
      <c r="F171" s="57"/>
      <c r="G171" s="53"/>
      <c r="H171" s="49"/>
      <c r="I171" s="50"/>
      <c r="J171" s="163"/>
      <c r="K171" s="45"/>
      <c r="L171" s="46"/>
      <c r="M171" s="114" t="s">
        <v>17562</v>
      </c>
      <c r="N171" s="49"/>
      <c r="O171" s="50"/>
      <c r="P171" s="115"/>
      <c r="Q171" s="35"/>
      <c r="R171" s="12" t="s">
        <v>398</v>
      </c>
      <c r="S171" s="13">
        <v>0.4</v>
      </c>
      <c r="T171" s="57" t="s">
        <v>3575</v>
      </c>
      <c r="U171" s="208">
        <f>ROUND((ROUND((_15_同援日増３．５*(1+_15・盲ろう)),0)*(1+_15・区４)),0)</f>
        <v>797</v>
      </c>
      <c r="V171" s="48"/>
    </row>
    <row r="172" spans="1:22" ht="16.5" customHeight="1" x14ac:dyDescent="0.15">
      <c r="A172" s="41">
        <v>15</v>
      </c>
      <c r="B172" s="41" t="s">
        <v>23895</v>
      </c>
      <c r="C172" s="74" t="s">
        <v>23896</v>
      </c>
      <c r="D172" s="72"/>
      <c r="F172" s="57"/>
      <c r="G172" s="43"/>
      <c r="H172" s="37"/>
      <c r="I172" s="38"/>
      <c r="J172" s="299" t="s">
        <v>17556</v>
      </c>
      <c r="K172" s="45" t="s">
        <v>398</v>
      </c>
      <c r="L172" s="46">
        <v>1</v>
      </c>
      <c r="M172" s="92" t="s">
        <v>17564</v>
      </c>
      <c r="P172" s="57"/>
      <c r="Q172" s="35"/>
      <c r="T172" s="57"/>
      <c r="U172" s="208">
        <f>ROUND((ROUND((ROUND((_15_同援日増３．５*_15・２人),0)*(1+_15・盲ろう)),0)*(1+_15・区４)),0)</f>
        <v>797</v>
      </c>
      <c r="V172" s="48"/>
    </row>
    <row r="173" spans="1:22" ht="16.5" customHeight="1" x14ac:dyDescent="0.15">
      <c r="A173" s="41">
        <v>15</v>
      </c>
      <c r="B173" s="41" t="s">
        <v>23897</v>
      </c>
      <c r="C173" s="74" t="s">
        <v>23898</v>
      </c>
      <c r="D173" s="72"/>
      <c r="F173" s="57"/>
      <c r="G173" s="114" t="s">
        <v>17558</v>
      </c>
      <c r="H173" s="49"/>
      <c r="I173" s="50"/>
      <c r="J173" s="163"/>
      <c r="K173" s="45"/>
      <c r="L173" s="46"/>
      <c r="M173" s="35"/>
      <c r="N173" s="12" t="s">
        <v>398</v>
      </c>
      <c r="O173" s="13">
        <v>0.25</v>
      </c>
      <c r="P173" s="57" t="s">
        <v>3575</v>
      </c>
      <c r="Q173" s="35"/>
      <c r="T173" s="57"/>
      <c r="U173" s="208">
        <f>ROUND((ROUND((ROUND((_15_同援日増３．５*_15・基礎２),0)*(1+_15・盲ろう)),0)*(1+_15・区４)),0)</f>
        <v>718</v>
      </c>
      <c r="V173" s="48"/>
    </row>
    <row r="174" spans="1:22" ht="16.5" customHeight="1" x14ac:dyDescent="0.15">
      <c r="A174" s="41">
        <v>15</v>
      </c>
      <c r="B174" s="41" t="s">
        <v>23899</v>
      </c>
      <c r="C174" s="74" t="s">
        <v>23900</v>
      </c>
      <c r="D174" s="122"/>
      <c r="E174" s="37"/>
      <c r="F174" s="79"/>
      <c r="G174" s="269" t="s">
        <v>17560</v>
      </c>
      <c r="H174" s="37" t="s">
        <v>398</v>
      </c>
      <c r="I174" s="38">
        <v>0.9</v>
      </c>
      <c r="J174" s="299" t="s">
        <v>17556</v>
      </c>
      <c r="K174" s="45" t="s">
        <v>398</v>
      </c>
      <c r="L174" s="46">
        <v>1</v>
      </c>
      <c r="M174" s="43"/>
      <c r="N174" s="37"/>
      <c r="O174" s="38"/>
      <c r="P174" s="79"/>
      <c r="Q174" s="43"/>
      <c r="R174" s="37"/>
      <c r="S174" s="38"/>
      <c r="T174" s="79"/>
      <c r="U174" s="208">
        <f>ROUND((ROUND((ROUND((ROUND((_15_同援日増３．５*_15・基礎２),0)*_15・２人),0)*(1+_15・盲ろう)),0)*(1+_15・区４)),0)</f>
        <v>718</v>
      </c>
      <c r="V174" s="48"/>
    </row>
    <row r="175" spans="1:22" ht="16.5" customHeight="1" x14ac:dyDescent="0.15">
      <c r="A175" s="41">
        <v>15</v>
      </c>
      <c r="B175" s="41" t="s">
        <v>23901</v>
      </c>
      <c r="C175" s="74" t="s">
        <v>23902</v>
      </c>
      <c r="D175" s="114" t="s">
        <v>23903</v>
      </c>
      <c r="E175" s="49"/>
      <c r="F175" s="115"/>
      <c r="G175" s="53"/>
      <c r="H175" s="49"/>
      <c r="I175" s="50"/>
      <c r="J175" s="163"/>
      <c r="K175" s="45"/>
      <c r="L175" s="46"/>
      <c r="M175" s="53"/>
      <c r="N175" s="49"/>
      <c r="O175" s="50"/>
      <c r="P175" s="115"/>
      <c r="Q175" s="53"/>
      <c r="R175" s="49"/>
      <c r="S175" s="50"/>
      <c r="T175" s="115"/>
      <c r="U175" s="208">
        <f>_15_同援日増４．０</f>
        <v>520</v>
      </c>
      <c r="V175" s="48"/>
    </row>
    <row r="176" spans="1:22" ht="16.5" customHeight="1" x14ac:dyDescent="0.15">
      <c r="A176" s="41">
        <v>15</v>
      </c>
      <c r="B176" s="41" t="s">
        <v>23904</v>
      </c>
      <c r="C176" s="74" t="s">
        <v>23905</v>
      </c>
      <c r="D176" s="72" t="s">
        <v>17751</v>
      </c>
      <c r="F176" s="57"/>
      <c r="G176" s="43"/>
      <c r="H176" s="37"/>
      <c r="I176" s="38"/>
      <c r="J176" s="299" t="s">
        <v>17556</v>
      </c>
      <c r="K176" s="45" t="s">
        <v>398</v>
      </c>
      <c r="L176" s="46">
        <v>1</v>
      </c>
      <c r="M176" s="35"/>
      <c r="P176" s="57"/>
      <c r="Q176" s="35"/>
      <c r="T176" s="57"/>
      <c r="U176" s="208">
        <f>ROUND((_15_同援日増４．０*_15・２人),0)</f>
        <v>520</v>
      </c>
      <c r="V176" s="48"/>
    </row>
    <row r="177" spans="1:22" ht="16.5" customHeight="1" x14ac:dyDescent="0.15">
      <c r="A177" s="41">
        <v>15</v>
      </c>
      <c r="B177" s="41" t="s">
        <v>23906</v>
      </c>
      <c r="C177" s="74" t="s">
        <v>23907</v>
      </c>
      <c r="D177" s="72" t="s">
        <v>17753</v>
      </c>
      <c r="F177" s="57"/>
      <c r="G177" s="114" t="s">
        <v>17558</v>
      </c>
      <c r="H177" s="49"/>
      <c r="I177" s="50"/>
      <c r="J177" s="163"/>
      <c r="K177" s="45"/>
      <c r="L177" s="46"/>
      <c r="M177" s="35"/>
      <c r="P177" s="57"/>
      <c r="Q177" s="35"/>
      <c r="T177" s="57"/>
      <c r="U177" s="208">
        <f>ROUND((_15_同援日増４．０*_15・基礎２),0)</f>
        <v>468</v>
      </c>
      <c r="V177" s="48"/>
    </row>
    <row r="178" spans="1:22" ht="16.5" customHeight="1" x14ac:dyDescent="0.15">
      <c r="A178" s="41">
        <v>15</v>
      </c>
      <c r="B178" s="41" t="s">
        <v>23908</v>
      </c>
      <c r="C178" s="74" t="s">
        <v>23909</v>
      </c>
      <c r="D178" s="72"/>
      <c r="E178" s="168">
        <f>_15_同援日増４．０</f>
        <v>520</v>
      </c>
      <c r="F178" s="57" t="s">
        <v>392</v>
      </c>
      <c r="G178" s="269" t="s">
        <v>17560</v>
      </c>
      <c r="H178" s="37" t="s">
        <v>398</v>
      </c>
      <c r="I178" s="38">
        <v>0.9</v>
      </c>
      <c r="J178" s="299" t="s">
        <v>17556</v>
      </c>
      <c r="K178" s="45" t="s">
        <v>398</v>
      </c>
      <c r="L178" s="46">
        <v>1</v>
      </c>
      <c r="M178" s="43"/>
      <c r="N178" s="37"/>
      <c r="O178" s="38"/>
      <c r="P178" s="79"/>
      <c r="Q178" s="35"/>
      <c r="T178" s="57"/>
      <c r="U178" s="208">
        <f>ROUND((ROUND((_15_同援日増４．０*_15・基礎２),0)*_15・２人),0)</f>
        <v>468</v>
      </c>
      <c r="V178" s="48"/>
    </row>
    <row r="179" spans="1:22" ht="16.5" customHeight="1" x14ac:dyDescent="0.15">
      <c r="A179" s="41">
        <v>15</v>
      </c>
      <c r="B179" s="41" t="s">
        <v>23910</v>
      </c>
      <c r="C179" s="74" t="s">
        <v>23911</v>
      </c>
      <c r="D179" s="72"/>
      <c r="F179" s="57"/>
      <c r="G179" s="53"/>
      <c r="H179" s="49"/>
      <c r="I179" s="50"/>
      <c r="J179" s="163"/>
      <c r="K179" s="45"/>
      <c r="L179" s="46"/>
      <c r="M179" s="114" t="s">
        <v>17562</v>
      </c>
      <c r="N179" s="49"/>
      <c r="O179" s="50"/>
      <c r="P179" s="115"/>
      <c r="Q179" s="35"/>
      <c r="T179" s="57"/>
      <c r="U179" s="208">
        <f>ROUND((_15_同援日増４．０*(1+_15・盲ろう)),0)</f>
        <v>650</v>
      </c>
      <c r="V179" s="48"/>
    </row>
    <row r="180" spans="1:22" ht="16.5" customHeight="1" x14ac:dyDescent="0.15">
      <c r="A180" s="41">
        <v>15</v>
      </c>
      <c r="B180" s="41" t="s">
        <v>23912</v>
      </c>
      <c r="C180" s="74" t="s">
        <v>23913</v>
      </c>
      <c r="D180" s="72"/>
      <c r="F180" s="57"/>
      <c r="G180" s="43"/>
      <c r="H180" s="37"/>
      <c r="I180" s="38"/>
      <c r="J180" s="299" t="s">
        <v>17556</v>
      </c>
      <c r="K180" s="45" t="s">
        <v>398</v>
      </c>
      <c r="L180" s="46">
        <v>1</v>
      </c>
      <c r="M180" s="92" t="s">
        <v>17564</v>
      </c>
      <c r="P180" s="57"/>
      <c r="Q180" s="35"/>
      <c r="T180" s="57"/>
      <c r="U180" s="208">
        <f>ROUND((ROUND((_15_同援日増４．０*_15・２人),0)*(1+_15・盲ろう)),0)</f>
        <v>650</v>
      </c>
      <c r="V180" s="48"/>
    </row>
    <row r="181" spans="1:22" ht="16.5" customHeight="1" x14ac:dyDescent="0.15">
      <c r="A181" s="41">
        <v>15</v>
      </c>
      <c r="B181" s="41" t="s">
        <v>23914</v>
      </c>
      <c r="C181" s="74" t="s">
        <v>23915</v>
      </c>
      <c r="D181" s="72"/>
      <c r="F181" s="57"/>
      <c r="G181" s="114" t="s">
        <v>17558</v>
      </c>
      <c r="H181" s="49"/>
      <c r="I181" s="50"/>
      <c r="J181" s="163"/>
      <c r="K181" s="45"/>
      <c r="L181" s="46"/>
      <c r="M181" s="35"/>
      <c r="N181" s="12" t="s">
        <v>398</v>
      </c>
      <c r="O181" s="13">
        <v>0.25</v>
      </c>
      <c r="P181" s="57" t="s">
        <v>3575</v>
      </c>
      <c r="Q181" s="35"/>
      <c r="T181" s="57"/>
      <c r="U181" s="208">
        <f>ROUND((ROUND((_15_同援日増４．０*_15・基礎２),0)*(1+_15・盲ろう)),0)</f>
        <v>585</v>
      </c>
      <c r="V181" s="48"/>
    </row>
    <row r="182" spans="1:22" ht="16.5" customHeight="1" x14ac:dyDescent="0.15">
      <c r="A182" s="41">
        <v>15</v>
      </c>
      <c r="B182" s="41" t="s">
        <v>23916</v>
      </c>
      <c r="C182" s="74" t="s">
        <v>23917</v>
      </c>
      <c r="D182" s="72"/>
      <c r="F182" s="57"/>
      <c r="G182" s="269" t="s">
        <v>17560</v>
      </c>
      <c r="H182" s="37" t="s">
        <v>398</v>
      </c>
      <c r="I182" s="38">
        <v>0.9</v>
      </c>
      <c r="J182" s="299" t="s">
        <v>17556</v>
      </c>
      <c r="K182" s="45" t="s">
        <v>398</v>
      </c>
      <c r="L182" s="46">
        <v>1</v>
      </c>
      <c r="M182" s="43"/>
      <c r="N182" s="37"/>
      <c r="O182" s="38"/>
      <c r="P182" s="79"/>
      <c r="Q182" s="43"/>
      <c r="R182" s="37"/>
      <c r="S182" s="38"/>
      <c r="T182" s="79"/>
      <c r="U182" s="208">
        <f>ROUND((ROUND((ROUND((_15_同援日増４．０*_15・基礎２),0)*_15・２人),0)*(1+_15・盲ろう)),0)</f>
        <v>585</v>
      </c>
      <c r="V182" s="48"/>
    </row>
    <row r="183" spans="1:22" ht="16.5" customHeight="1" x14ac:dyDescent="0.15">
      <c r="A183" s="41">
        <v>15</v>
      </c>
      <c r="B183" s="41" t="s">
        <v>23918</v>
      </c>
      <c r="C183" s="74" t="s">
        <v>23919</v>
      </c>
      <c r="D183" s="72"/>
      <c r="F183" s="57"/>
      <c r="G183" s="53"/>
      <c r="H183" s="49"/>
      <c r="I183" s="50"/>
      <c r="J183" s="163"/>
      <c r="K183" s="45"/>
      <c r="L183" s="46"/>
      <c r="M183" s="53"/>
      <c r="N183" s="49"/>
      <c r="O183" s="50"/>
      <c r="P183" s="115"/>
      <c r="Q183" s="53"/>
      <c r="R183" s="49"/>
      <c r="S183" s="50"/>
      <c r="T183" s="115"/>
      <c r="U183" s="208">
        <f>ROUND((_15_同援日増４．０*(1+_15・区３)),0)</f>
        <v>624</v>
      </c>
      <c r="V183" s="48"/>
    </row>
    <row r="184" spans="1:22" ht="16.5" customHeight="1" x14ac:dyDescent="0.15">
      <c r="A184" s="41">
        <v>15</v>
      </c>
      <c r="B184" s="41" t="s">
        <v>23920</v>
      </c>
      <c r="C184" s="74" t="s">
        <v>23921</v>
      </c>
      <c r="D184" s="72"/>
      <c r="F184" s="57"/>
      <c r="G184" s="43"/>
      <c r="H184" s="37"/>
      <c r="I184" s="38"/>
      <c r="J184" s="299" t="s">
        <v>17556</v>
      </c>
      <c r="K184" s="45" t="s">
        <v>398</v>
      </c>
      <c r="L184" s="46">
        <v>1</v>
      </c>
      <c r="M184" s="35"/>
      <c r="P184" s="57"/>
      <c r="Q184" s="35"/>
      <c r="T184" s="57"/>
      <c r="U184" s="208">
        <f>ROUND((ROUND((_15_同援日増４．０*_15・２人),0)*(1+_15・区３)),0)</f>
        <v>624</v>
      </c>
      <c r="V184" s="48"/>
    </row>
    <row r="185" spans="1:22" ht="16.5" customHeight="1" x14ac:dyDescent="0.15">
      <c r="A185" s="41">
        <v>15</v>
      </c>
      <c r="B185" s="41" t="s">
        <v>1859</v>
      </c>
      <c r="C185" s="74" t="s">
        <v>23922</v>
      </c>
      <c r="D185" s="72"/>
      <c r="F185" s="57"/>
      <c r="G185" s="114" t="s">
        <v>17558</v>
      </c>
      <c r="H185" s="49"/>
      <c r="I185" s="50"/>
      <c r="J185" s="163"/>
      <c r="K185" s="45"/>
      <c r="L185" s="46"/>
      <c r="M185" s="35"/>
      <c r="P185" s="57"/>
      <c r="Q185" s="72" t="s">
        <v>17570</v>
      </c>
      <c r="T185" s="57"/>
      <c r="U185" s="208">
        <f>ROUND((ROUND((_15_同援日増４．０*_15・基礎２),0)*(1+_15・区３)),0)</f>
        <v>562</v>
      </c>
      <c r="V185" s="48"/>
    </row>
    <row r="186" spans="1:22" ht="16.5" customHeight="1" x14ac:dyDescent="0.15">
      <c r="A186" s="41">
        <v>15</v>
      </c>
      <c r="B186" s="41" t="s">
        <v>1861</v>
      </c>
      <c r="C186" s="74" t="s">
        <v>23923</v>
      </c>
      <c r="D186" s="72"/>
      <c r="F186" s="57"/>
      <c r="G186" s="269" t="s">
        <v>17560</v>
      </c>
      <c r="H186" s="37" t="s">
        <v>398</v>
      </c>
      <c r="I186" s="38">
        <v>0.9</v>
      </c>
      <c r="J186" s="299" t="s">
        <v>17556</v>
      </c>
      <c r="K186" s="45" t="s">
        <v>398</v>
      </c>
      <c r="L186" s="46">
        <v>1</v>
      </c>
      <c r="M186" s="43"/>
      <c r="N186" s="37"/>
      <c r="O186" s="38"/>
      <c r="P186" s="79"/>
      <c r="Q186" s="72" t="s">
        <v>17572</v>
      </c>
      <c r="T186" s="57"/>
      <c r="U186" s="208">
        <f>ROUND((ROUND((ROUND((_15_同援日増４．０*_15・基礎２),0)*_15・２人),0)*(1+_15・区３)),0)</f>
        <v>562</v>
      </c>
      <c r="V186" s="48"/>
    </row>
    <row r="187" spans="1:22" ht="16.5" customHeight="1" x14ac:dyDescent="0.15">
      <c r="A187" s="41">
        <v>15</v>
      </c>
      <c r="B187" s="41" t="s">
        <v>1863</v>
      </c>
      <c r="C187" s="74" t="s">
        <v>23924</v>
      </c>
      <c r="D187" s="72"/>
      <c r="F187" s="57"/>
      <c r="G187" s="53"/>
      <c r="H187" s="49"/>
      <c r="I187" s="50"/>
      <c r="J187" s="163"/>
      <c r="K187" s="45"/>
      <c r="L187" s="46"/>
      <c r="M187" s="114" t="s">
        <v>17562</v>
      </c>
      <c r="N187" s="49"/>
      <c r="O187" s="50"/>
      <c r="P187" s="115"/>
      <c r="Q187" s="35"/>
      <c r="R187" s="12" t="s">
        <v>398</v>
      </c>
      <c r="S187" s="13">
        <v>0.2</v>
      </c>
      <c r="T187" s="57" t="s">
        <v>3575</v>
      </c>
      <c r="U187" s="208">
        <f>ROUND((ROUND((_15_同援日増４．０*(1+_15・盲ろう)),0)*(1+_15・区３)),0)</f>
        <v>780</v>
      </c>
      <c r="V187" s="48"/>
    </row>
    <row r="188" spans="1:22" ht="16.5" customHeight="1" x14ac:dyDescent="0.15">
      <c r="A188" s="41">
        <v>15</v>
      </c>
      <c r="B188" s="41" t="s">
        <v>1865</v>
      </c>
      <c r="C188" s="74" t="s">
        <v>23925</v>
      </c>
      <c r="D188" s="72"/>
      <c r="F188" s="57"/>
      <c r="G188" s="43"/>
      <c r="H188" s="37"/>
      <c r="I188" s="38"/>
      <c r="J188" s="299" t="s">
        <v>17556</v>
      </c>
      <c r="K188" s="45" t="s">
        <v>398</v>
      </c>
      <c r="L188" s="46">
        <v>1</v>
      </c>
      <c r="M188" s="92" t="s">
        <v>17564</v>
      </c>
      <c r="P188" s="57"/>
      <c r="Q188" s="35"/>
      <c r="T188" s="57"/>
      <c r="U188" s="208">
        <f>ROUND((ROUND((ROUND((_15_同援日増４．０*_15・２人),0)*(1+_15・盲ろう)),0)*(1+_15・区３)),0)</f>
        <v>780</v>
      </c>
      <c r="V188" s="48"/>
    </row>
    <row r="189" spans="1:22" ht="16.5" customHeight="1" x14ac:dyDescent="0.15">
      <c r="A189" s="41">
        <v>15</v>
      </c>
      <c r="B189" s="41" t="s">
        <v>23926</v>
      </c>
      <c r="C189" s="74" t="s">
        <v>23927</v>
      </c>
      <c r="D189" s="72"/>
      <c r="F189" s="57"/>
      <c r="G189" s="114" t="s">
        <v>17558</v>
      </c>
      <c r="H189" s="49"/>
      <c r="I189" s="50"/>
      <c r="J189" s="163"/>
      <c r="K189" s="45"/>
      <c r="L189" s="46"/>
      <c r="M189" s="35"/>
      <c r="N189" s="12" t="s">
        <v>398</v>
      </c>
      <c r="O189" s="13">
        <v>0.25</v>
      </c>
      <c r="P189" s="57" t="s">
        <v>3575</v>
      </c>
      <c r="Q189" s="35"/>
      <c r="T189" s="57"/>
      <c r="U189" s="208">
        <f>ROUND((ROUND((ROUND((_15_同援日増４．０*_15・基礎２),0)*(1+_15・盲ろう)),0)*(1+_15・区３)),0)</f>
        <v>702</v>
      </c>
      <c r="V189" s="48"/>
    </row>
    <row r="190" spans="1:22" ht="16.5" customHeight="1" x14ac:dyDescent="0.15">
      <c r="A190" s="41">
        <v>15</v>
      </c>
      <c r="B190" s="41" t="s">
        <v>23928</v>
      </c>
      <c r="C190" s="74" t="s">
        <v>23929</v>
      </c>
      <c r="D190" s="72"/>
      <c r="F190" s="57"/>
      <c r="G190" s="269" t="s">
        <v>17560</v>
      </c>
      <c r="H190" s="37" t="s">
        <v>398</v>
      </c>
      <c r="I190" s="38">
        <v>0.9</v>
      </c>
      <c r="J190" s="299" t="s">
        <v>17556</v>
      </c>
      <c r="K190" s="45" t="s">
        <v>398</v>
      </c>
      <c r="L190" s="46">
        <v>1</v>
      </c>
      <c r="M190" s="43"/>
      <c r="N190" s="37"/>
      <c r="O190" s="38"/>
      <c r="P190" s="79"/>
      <c r="Q190" s="43"/>
      <c r="R190" s="37"/>
      <c r="S190" s="38"/>
      <c r="T190" s="79"/>
      <c r="U190" s="208">
        <f>ROUND((ROUND((ROUND((ROUND((_15_同援日増４．０*_15・基礎２),0)*_15・２人),0)*(1+_15・盲ろう)),0)*(1+_15・区３)),0)</f>
        <v>702</v>
      </c>
      <c r="V190" s="48"/>
    </row>
    <row r="191" spans="1:22" ht="16.5" customHeight="1" x14ac:dyDescent="0.15">
      <c r="A191" s="41">
        <v>15</v>
      </c>
      <c r="B191" s="41" t="s">
        <v>23930</v>
      </c>
      <c r="C191" s="74" t="s">
        <v>23931</v>
      </c>
      <c r="D191" s="72"/>
      <c r="F191" s="57"/>
      <c r="G191" s="53"/>
      <c r="H191" s="49"/>
      <c r="I191" s="50"/>
      <c r="J191" s="163"/>
      <c r="K191" s="45"/>
      <c r="L191" s="46"/>
      <c r="M191" s="53"/>
      <c r="N191" s="49"/>
      <c r="O191" s="50"/>
      <c r="P191" s="115"/>
      <c r="Q191" s="53"/>
      <c r="R191" s="49"/>
      <c r="S191" s="50"/>
      <c r="T191" s="115"/>
      <c r="U191" s="208">
        <f>ROUND((_15_同援日増４．０*(1+_15・区４)),0)</f>
        <v>728</v>
      </c>
      <c r="V191" s="48"/>
    </row>
    <row r="192" spans="1:22" ht="16.5" customHeight="1" x14ac:dyDescent="0.15">
      <c r="A192" s="41">
        <v>15</v>
      </c>
      <c r="B192" s="41" t="s">
        <v>23932</v>
      </c>
      <c r="C192" s="74" t="s">
        <v>23933</v>
      </c>
      <c r="D192" s="72"/>
      <c r="F192" s="57"/>
      <c r="G192" s="43"/>
      <c r="H192" s="37"/>
      <c r="I192" s="38"/>
      <c r="J192" s="299" t="s">
        <v>17556</v>
      </c>
      <c r="K192" s="45" t="s">
        <v>398</v>
      </c>
      <c r="L192" s="46">
        <v>1</v>
      </c>
      <c r="M192" s="35"/>
      <c r="P192" s="57"/>
      <c r="Q192" s="35"/>
      <c r="T192" s="57"/>
      <c r="U192" s="208">
        <f>ROUND((ROUND((_15_同援日増４．０*_15・２人),0)*(1+_15・区４)),0)</f>
        <v>728</v>
      </c>
      <c r="V192" s="48"/>
    </row>
    <row r="193" spans="1:22" ht="16.5" customHeight="1" x14ac:dyDescent="0.15">
      <c r="A193" s="41">
        <v>15</v>
      </c>
      <c r="B193" s="41" t="s">
        <v>23934</v>
      </c>
      <c r="C193" s="74" t="s">
        <v>23935</v>
      </c>
      <c r="D193" s="72"/>
      <c r="F193" s="57"/>
      <c r="G193" s="114" t="s">
        <v>17558</v>
      </c>
      <c r="H193" s="49"/>
      <c r="I193" s="50"/>
      <c r="J193" s="163"/>
      <c r="K193" s="45"/>
      <c r="L193" s="46"/>
      <c r="M193" s="35"/>
      <c r="P193" s="57"/>
      <c r="Q193" s="72" t="s">
        <v>17580</v>
      </c>
      <c r="T193" s="57"/>
      <c r="U193" s="208">
        <f>ROUND((ROUND((_15_同援日増４．０*_15・基礎２),0)*(1+_15・区４)),0)</f>
        <v>655</v>
      </c>
      <c r="V193" s="48"/>
    </row>
    <row r="194" spans="1:22" ht="16.5" customHeight="1" x14ac:dyDescent="0.15">
      <c r="A194" s="41">
        <v>15</v>
      </c>
      <c r="B194" s="41" t="s">
        <v>23936</v>
      </c>
      <c r="C194" s="74" t="s">
        <v>23937</v>
      </c>
      <c r="D194" s="72"/>
      <c r="F194" s="57"/>
      <c r="G194" s="269" t="s">
        <v>17560</v>
      </c>
      <c r="H194" s="37" t="s">
        <v>398</v>
      </c>
      <c r="I194" s="38">
        <v>0.9</v>
      </c>
      <c r="J194" s="299" t="s">
        <v>17556</v>
      </c>
      <c r="K194" s="45" t="s">
        <v>398</v>
      </c>
      <c r="L194" s="46">
        <v>1</v>
      </c>
      <c r="M194" s="43"/>
      <c r="N194" s="37"/>
      <c r="O194" s="38"/>
      <c r="P194" s="79"/>
      <c r="Q194" s="72" t="s">
        <v>17572</v>
      </c>
      <c r="T194" s="57"/>
      <c r="U194" s="208">
        <f>ROUND((ROUND((ROUND((_15_同援日増４．０*_15・基礎２),0)*_15・２人),0)*(1+_15・区４)),0)</f>
        <v>655</v>
      </c>
      <c r="V194" s="48"/>
    </row>
    <row r="195" spans="1:22" ht="16.5" customHeight="1" x14ac:dyDescent="0.15">
      <c r="A195" s="41">
        <v>15</v>
      </c>
      <c r="B195" s="41" t="s">
        <v>23938</v>
      </c>
      <c r="C195" s="74" t="s">
        <v>23939</v>
      </c>
      <c r="D195" s="72"/>
      <c r="F195" s="57"/>
      <c r="G195" s="53"/>
      <c r="H195" s="49"/>
      <c r="I195" s="50"/>
      <c r="J195" s="163"/>
      <c r="K195" s="45"/>
      <c r="L195" s="46"/>
      <c r="M195" s="114" t="s">
        <v>17562</v>
      </c>
      <c r="N195" s="49"/>
      <c r="O195" s="50"/>
      <c r="P195" s="115"/>
      <c r="Q195" s="35"/>
      <c r="R195" s="12" t="s">
        <v>398</v>
      </c>
      <c r="S195" s="13">
        <v>0.4</v>
      </c>
      <c r="T195" s="57" t="s">
        <v>3575</v>
      </c>
      <c r="U195" s="208">
        <f>ROUND((ROUND((_15_同援日増４．０*(1+_15・盲ろう)),0)*(1+_15・区４)),0)</f>
        <v>910</v>
      </c>
      <c r="V195" s="48"/>
    </row>
    <row r="196" spans="1:22" ht="16.5" customHeight="1" x14ac:dyDescent="0.15">
      <c r="A196" s="41">
        <v>15</v>
      </c>
      <c r="B196" s="41" t="s">
        <v>23940</v>
      </c>
      <c r="C196" s="74" t="s">
        <v>23941</v>
      </c>
      <c r="D196" s="72"/>
      <c r="F196" s="57"/>
      <c r="G196" s="43"/>
      <c r="H196" s="37"/>
      <c r="I196" s="38"/>
      <c r="J196" s="299" t="s">
        <v>17556</v>
      </c>
      <c r="K196" s="45" t="s">
        <v>398</v>
      </c>
      <c r="L196" s="46">
        <v>1</v>
      </c>
      <c r="M196" s="92" t="s">
        <v>17564</v>
      </c>
      <c r="P196" s="57"/>
      <c r="Q196" s="35"/>
      <c r="T196" s="57"/>
      <c r="U196" s="208">
        <f>ROUND((ROUND((ROUND((_15_同援日増４．０*_15・２人),0)*(1+_15・盲ろう)),0)*(1+_15・区４)),0)</f>
        <v>910</v>
      </c>
      <c r="V196" s="48"/>
    </row>
    <row r="197" spans="1:22" ht="16.5" customHeight="1" x14ac:dyDescent="0.15">
      <c r="A197" s="41">
        <v>15</v>
      </c>
      <c r="B197" s="41" t="s">
        <v>23942</v>
      </c>
      <c r="C197" s="74" t="s">
        <v>23943</v>
      </c>
      <c r="D197" s="72"/>
      <c r="F197" s="57"/>
      <c r="G197" s="114" t="s">
        <v>17558</v>
      </c>
      <c r="H197" s="49"/>
      <c r="I197" s="50"/>
      <c r="J197" s="163"/>
      <c r="K197" s="45"/>
      <c r="L197" s="46"/>
      <c r="M197" s="35"/>
      <c r="N197" s="12" t="s">
        <v>398</v>
      </c>
      <c r="O197" s="13">
        <v>0.25</v>
      </c>
      <c r="P197" s="57" t="s">
        <v>3575</v>
      </c>
      <c r="Q197" s="35"/>
      <c r="T197" s="57"/>
      <c r="U197" s="208">
        <f>ROUND((ROUND((ROUND((_15_同援日増４．０*_15・基礎２),0)*(1+_15・盲ろう)),0)*(1+_15・区４)),0)</f>
        <v>819</v>
      </c>
      <c r="V197" s="48"/>
    </row>
    <row r="198" spans="1:22" ht="16.5" customHeight="1" x14ac:dyDescent="0.15">
      <c r="A198" s="41">
        <v>15</v>
      </c>
      <c r="B198" s="41" t="s">
        <v>23944</v>
      </c>
      <c r="C198" s="74" t="s">
        <v>23945</v>
      </c>
      <c r="D198" s="122"/>
      <c r="E198" s="37"/>
      <c r="F198" s="79"/>
      <c r="G198" s="269" t="s">
        <v>17560</v>
      </c>
      <c r="H198" s="37" t="s">
        <v>398</v>
      </c>
      <c r="I198" s="38">
        <v>0.9</v>
      </c>
      <c r="J198" s="299" t="s">
        <v>17556</v>
      </c>
      <c r="K198" s="45" t="s">
        <v>398</v>
      </c>
      <c r="L198" s="46">
        <v>1</v>
      </c>
      <c r="M198" s="43"/>
      <c r="N198" s="37"/>
      <c r="O198" s="38"/>
      <c r="P198" s="79"/>
      <c r="Q198" s="43"/>
      <c r="R198" s="37"/>
      <c r="S198" s="38"/>
      <c r="T198" s="79"/>
      <c r="U198" s="208">
        <f>ROUND((ROUND((ROUND((ROUND((_15_同援日増４．０*_15・基礎２),0)*_15・２人),0)*(1+_15・盲ろう)),0)*(1+_15・区４)),0)</f>
        <v>819</v>
      </c>
      <c r="V198" s="48"/>
    </row>
    <row r="199" spans="1:22" ht="16.5" customHeight="1" x14ac:dyDescent="0.15">
      <c r="A199" s="41">
        <v>15</v>
      </c>
      <c r="B199" s="41" t="s">
        <v>23946</v>
      </c>
      <c r="C199" s="74" t="s">
        <v>23947</v>
      </c>
      <c r="D199" s="114" t="s">
        <v>23948</v>
      </c>
      <c r="E199" s="49"/>
      <c r="F199" s="115"/>
      <c r="G199" s="53"/>
      <c r="H199" s="49"/>
      <c r="I199" s="50"/>
      <c r="J199" s="163"/>
      <c r="K199" s="45"/>
      <c r="L199" s="46"/>
      <c r="M199" s="53"/>
      <c r="N199" s="49"/>
      <c r="O199" s="50"/>
      <c r="P199" s="115"/>
      <c r="Q199" s="53"/>
      <c r="R199" s="49"/>
      <c r="S199" s="50"/>
      <c r="T199" s="115"/>
      <c r="U199" s="208">
        <f>_15_同援日増４．５</f>
        <v>585</v>
      </c>
      <c r="V199" s="48"/>
    </row>
    <row r="200" spans="1:22" ht="16.5" customHeight="1" x14ac:dyDescent="0.15">
      <c r="A200" s="41">
        <v>15</v>
      </c>
      <c r="B200" s="41" t="s">
        <v>23949</v>
      </c>
      <c r="C200" s="74" t="s">
        <v>23950</v>
      </c>
      <c r="D200" s="72" t="s">
        <v>17778</v>
      </c>
      <c r="F200" s="57"/>
      <c r="G200" s="43"/>
      <c r="H200" s="37"/>
      <c r="I200" s="38"/>
      <c r="J200" s="299" t="s">
        <v>17556</v>
      </c>
      <c r="K200" s="45" t="s">
        <v>398</v>
      </c>
      <c r="L200" s="46">
        <v>1</v>
      </c>
      <c r="M200" s="35"/>
      <c r="P200" s="57"/>
      <c r="Q200" s="35"/>
      <c r="T200" s="57"/>
      <c r="U200" s="208">
        <f>ROUND((_15_同援日増４．５*_15・２人),0)</f>
        <v>585</v>
      </c>
      <c r="V200" s="48"/>
    </row>
    <row r="201" spans="1:22" ht="16.5" customHeight="1" x14ac:dyDescent="0.15">
      <c r="A201" s="41">
        <v>15</v>
      </c>
      <c r="B201" s="41" t="s">
        <v>23951</v>
      </c>
      <c r="C201" s="74" t="s">
        <v>23952</v>
      </c>
      <c r="D201" s="72" t="s">
        <v>18463</v>
      </c>
      <c r="F201" s="57"/>
      <c r="G201" s="114" t="s">
        <v>17558</v>
      </c>
      <c r="H201" s="49"/>
      <c r="I201" s="50"/>
      <c r="J201" s="163"/>
      <c r="K201" s="45"/>
      <c r="L201" s="46"/>
      <c r="M201" s="35"/>
      <c r="P201" s="57"/>
      <c r="Q201" s="35"/>
      <c r="T201" s="57"/>
      <c r="U201" s="208">
        <f>ROUND((_15_同援日増４．５*_15・基礎２),0)</f>
        <v>527</v>
      </c>
      <c r="V201" s="48"/>
    </row>
    <row r="202" spans="1:22" ht="16.5" customHeight="1" x14ac:dyDescent="0.15">
      <c r="A202" s="41">
        <v>15</v>
      </c>
      <c r="B202" s="41" t="s">
        <v>23953</v>
      </c>
      <c r="C202" s="74" t="s">
        <v>23954</v>
      </c>
      <c r="D202" s="72"/>
      <c r="E202" s="168">
        <f>_15_同援日増４．５</f>
        <v>585</v>
      </c>
      <c r="F202" s="57" t="s">
        <v>392</v>
      </c>
      <c r="G202" s="269" t="s">
        <v>17560</v>
      </c>
      <c r="H202" s="37" t="s">
        <v>398</v>
      </c>
      <c r="I202" s="38">
        <v>0.9</v>
      </c>
      <c r="J202" s="299" t="s">
        <v>17556</v>
      </c>
      <c r="K202" s="45" t="s">
        <v>398</v>
      </c>
      <c r="L202" s="46">
        <v>1</v>
      </c>
      <c r="M202" s="43"/>
      <c r="N202" s="37"/>
      <c r="O202" s="38"/>
      <c r="P202" s="79"/>
      <c r="Q202" s="35"/>
      <c r="T202" s="57"/>
      <c r="U202" s="208">
        <f>ROUND((ROUND((_15_同援日増４．５*_15・基礎２),0)*_15・２人),0)</f>
        <v>527</v>
      </c>
      <c r="V202" s="48"/>
    </row>
    <row r="203" spans="1:22" ht="16.5" customHeight="1" x14ac:dyDescent="0.15">
      <c r="A203" s="41">
        <v>15</v>
      </c>
      <c r="B203" s="41" t="s">
        <v>23955</v>
      </c>
      <c r="C203" s="74" t="s">
        <v>23956</v>
      </c>
      <c r="D203" s="72"/>
      <c r="F203" s="57"/>
      <c r="G203" s="53"/>
      <c r="H203" s="49"/>
      <c r="I203" s="50"/>
      <c r="J203" s="163"/>
      <c r="K203" s="45"/>
      <c r="L203" s="46"/>
      <c r="M203" s="114" t="s">
        <v>17562</v>
      </c>
      <c r="N203" s="49"/>
      <c r="O203" s="50"/>
      <c r="P203" s="115"/>
      <c r="Q203" s="35"/>
      <c r="T203" s="57"/>
      <c r="U203" s="208">
        <f>ROUND((_15_同援日増４．５*(1+_15・盲ろう)),0)</f>
        <v>731</v>
      </c>
      <c r="V203" s="48"/>
    </row>
    <row r="204" spans="1:22" ht="16.5" customHeight="1" x14ac:dyDescent="0.15">
      <c r="A204" s="41">
        <v>15</v>
      </c>
      <c r="B204" s="41" t="s">
        <v>23957</v>
      </c>
      <c r="C204" s="74" t="s">
        <v>23958</v>
      </c>
      <c r="D204" s="72"/>
      <c r="F204" s="57"/>
      <c r="G204" s="43"/>
      <c r="H204" s="37"/>
      <c r="I204" s="38"/>
      <c r="J204" s="299" t="s">
        <v>17556</v>
      </c>
      <c r="K204" s="45" t="s">
        <v>398</v>
      </c>
      <c r="L204" s="46">
        <v>1</v>
      </c>
      <c r="M204" s="92" t="s">
        <v>17564</v>
      </c>
      <c r="P204" s="57"/>
      <c r="Q204" s="35"/>
      <c r="T204" s="57"/>
      <c r="U204" s="208">
        <f>ROUND((ROUND((_15_同援日増４．５*_15・２人),0)*(1+_15・盲ろう)),0)</f>
        <v>731</v>
      </c>
      <c r="V204" s="48"/>
    </row>
    <row r="205" spans="1:22" ht="16.5" customHeight="1" x14ac:dyDescent="0.15">
      <c r="A205" s="41">
        <v>15</v>
      </c>
      <c r="B205" s="41" t="s">
        <v>1871</v>
      </c>
      <c r="C205" s="74" t="s">
        <v>23959</v>
      </c>
      <c r="D205" s="72"/>
      <c r="F205" s="57"/>
      <c r="G205" s="114" t="s">
        <v>17558</v>
      </c>
      <c r="H205" s="49"/>
      <c r="I205" s="50"/>
      <c r="J205" s="163"/>
      <c r="K205" s="45"/>
      <c r="L205" s="46"/>
      <c r="M205" s="35"/>
      <c r="N205" s="12" t="s">
        <v>398</v>
      </c>
      <c r="O205" s="13">
        <v>0.25</v>
      </c>
      <c r="P205" s="57" t="s">
        <v>3575</v>
      </c>
      <c r="Q205" s="35"/>
      <c r="T205" s="57"/>
      <c r="U205" s="208">
        <f>ROUND((ROUND((_15_同援日増４．５*_15・基礎２),0)*(1+_15・盲ろう)),0)</f>
        <v>659</v>
      </c>
      <c r="V205" s="48"/>
    </row>
    <row r="206" spans="1:22" ht="16.5" customHeight="1" x14ac:dyDescent="0.15">
      <c r="A206" s="41">
        <v>15</v>
      </c>
      <c r="B206" s="41" t="s">
        <v>1873</v>
      </c>
      <c r="C206" s="74" t="s">
        <v>23960</v>
      </c>
      <c r="D206" s="72"/>
      <c r="F206" s="57"/>
      <c r="G206" s="269" t="s">
        <v>17560</v>
      </c>
      <c r="H206" s="37" t="s">
        <v>398</v>
      </c>
      <c r="I206" s="38">
        <v>0.9</v>
      </c>
      <c r="J206" s="299" t="s">
        <v>17556</v>
      </c>
      <c r="K206" s="45" t="s">
        <v>398</v>
      </c>
      <c r="L206" s="46">
        <v>1</v>
      </c>
      <c r="M206" s="43"/>
      <c r="N206" s="37"/>
      <c r="O206" s="38"/>
      <c r="P206" s="79"/>
      <c r="Q206" s="43"/>
      <c r="R206" s="37"/>
      <c r="S206" s="38"/>
      <c r="T206" s="79"/>
      <c r="U206" s="208">
        <f>ROUND((ROUND((ROUND((_15_同援日増４．５*_15・基礎２),0)*_15・２人),0)*(1+_15・盲ろう)),0)</f>
        <v>659</v>
      </c>
      <c r="V206" s="48"/>
    </row>
    <row r="207" spans="1:22" ht="16.5" customHeight="1" x14ac:dyDescent="0.15">
      <c r="A207" s="41">
        <v>15</v>
      </c>
      <c r="B207" s="41" t="s">
        <v>1875</v>
      </c>
      <c r="C207" s="74" t="s">
        <v>23961</v>
      </c>
      <c r="D207" s="72"/>
      <c r="F207" s="57"/>
      <c r="G207" s="53"/>
      <c r="H207" s="49"/>
      <c r="I207" s="50"/>
      <c r="J207" s="163"/>
      <c r="K207" s="45"/>
      <c r="L207" s="46"/>
      <c r="M207" s="53"/>
      <c r="N207" s="49"/>
      <c r="O207" s="50"/>
      <c r="P207" s="115"/>
      <c r="Q207" s="53"/>
      <c r="R207" s="49"/>
      <c r="S207" s="50"/>
      <c r="T207" s="115"/>
      <c r="U207" s="208">
        <f>ROUND((_15_同援日増４．５*(1+_15・区３)),0)</f>
        <v>702</v>
      </c>
      <c r="V207" s="48"/>
    </row>
    <row r="208" spans="1:22" ht="16.5" customHeight="1" x14ac:dyDescent="0.15">
      <c r="A208" s="41">
        <v>15</v>
      </c>
      <c r="B208" s="41" t="s">
        <v>1877</v>
      </c>
      <c r="C208" s="74" t="s">
        <v>23962</v>
      </c>
      <c r="D208" s="72"/>
      <c r="F208" s="57"/>
      <c r="G208" s="43"/>
      <c r="H208" s="37"/>
      <c r="I208" s="38"/>
      <c r="J208" s="299" t="s">
        <v>17556</v>
      </c>
      <c r="K208" s="45" t="s">
        <v>398</v>
      </c>
      <c r="L208" s="46">
        <v>1</v>
      </c>
      <c r="M208" s="35"/>
      <c r="P208" s="57"/>
      <c r="Q208" s="35"/>
      <c r="T208" s="57"/>
      <c r="U208" s="208">
        <f>ROUND((ROUND((_15_同援日増４．５*_15・２人),0)*(1+_15・区３)),0)</f>
        <v>702</v>
      </c>
      <c r="V208" s="48"/>
    </row>
    <row r="209" spans="1:22" ht="16.5" customHeight="1" x14ac:dyDescent="0.15">
      <c r="A209" s="41">
        <v>15</v>
      </c>
      <c r="B209" s="41" t="s">
        <v>23963</v>
      </c>
      <c r="C209" s="74" t="s">
        <v>23964</v>
      </c>
      <c r="D209" s="72"/>
      <c r="F209" s="57"/>
      <c r="G209" s="114" t="s">
        <v>17558</v>
      </c>
      <c r="H209" s="49"/>
      <c r="I209" s="50"/>
      <c r="J209" s="163"/>
      <c r="K209" s="45"/>
      <c r="L209" s="46"/>
      <c r="M209" s="35"/>
      <c r="P209" s="57"/>
      <c r="Q209" s="72" t="s">
        <v>17570</v>
      </c>
      <c r="T209" s="57"/>
      <c r="U209" s="208">
        <f>ROUND((ROUND((_15_同援日増４．５*_15・基礎２),0)*(1+_15・区３)),0)</f>
        <v>632</v>
      </c>
      <c r="V209" s="48"/>
    </row>
    <row r="210" spans="1:22" ht="16.5" customHeight="1" x14ac:dyDescent="0.15">
      <c r="A210" s="41">
        <v>15</v>
      </c>
      <c r="B210" s="41" t="s">
        <v>23965</v>
      </c>
      <c r="C210" s="74" t="s">
        <v>23966</v>
      </c>
      <c r="D210" s="72"/>
      <c r="F210" s="57"/>
      <c r="G210" s="269" t="s">
        <v>17560</v>
      </c>
      <c r="H210" s="37" t="s">
        <v>398</v>
      </c>
      <c r="I210" s="38">
        <v>0.9</v>
      </c>
      <c r="J210" s="299" t="s">
        <v>17556</v>
      </c>
      <c r="K210" s="45" t="s">
        <v>398</v>
      </c>
      <c r="L210" s="46">
        <v>1</v>
      </c>
      <c r="M210" s="43"/>
      <c r="N210" s="37"/>
      <c r="O210" s="38"/>
      <c r="P210" s="79"/>
      <c r="Q210" s="72" t="s">
        <v>17572</v>
      </c>
      <c r="T210" s="57"/>
      <c r="U210" s="208">
        <f>ROUND((ROUND((ROUND((_15_同援日増４．５*_15・基礎２),0)*_15・２人),0)*(1+_15・区３)),0)</f>
        <v>632</v>
      </c>
      <c r="V210" s="48"/>
    </row>
    <row r="211" spans="1:22" ht="16.5" customHeight="1" x14ac:dyDescent="0.15">
      <c r="A211" s="41">
        <v>15</v>
      </c>
      <c r="B211" s="41" t="s">
        <v>23967</v>
      </c>
      <c r="C211" s="74" t="s">
        <v>23968</v>
      </c>
      <c r="D211" s="72"/>
      <c r="F211" s="57"/>
      <c r="G211" s="53"/>
      <c r="H211" s="49"/>
      <c r="I211" s="50"/>
      <c r="J211" s="163"/>
      <c r="K211" s="45"/>
      <c r="L211" s="46"/>
      <c r="M211" s="114" t="s">
        <v>17562</v>
      </c>
      <c r="N211" s="49"/>
      <c r="O211" s="50"/>
      <c r="P211" s="115"/>
      <c r="Q211" s="35"/>
      <c r="R211" s="12" t="s">
        <v>398</v>
      </c>
      <c r="S211" s="13">
        <v>0.2</v>
      </c>
      <c r="T211" s="57" t="s">
        <v>3575</v>
      </c>
      <c r="U211" s="208">
        <f>ROUND((ROUND((_15_同援日増４．５*(1+_15・盲ろう)),0)*(1+_15・区３)),0)</f>
        <v>877</v>
      </c>
      <c r="V211" s="48"/>
    </row>
    <row r="212" spans="1:22" ht="16.5" customHeight="1" x14ac:dyDescent="0.15">
      <c r="A212" s="41">
        <v>15</v>
      </c>
      <c r="B212" s="41" t="s">
        <v>23969</v>
      </c>
      <c r="C212" s="74" t="s">
        <v>23970</v>
      </c>
      <c r="D212" s="72"/>
      <c r="F212" s="57"/>
      <c r="G212" s="43"/>
      <c r="H212" s="37"/>
      <c r="I212" s="38"/>
      <c r="J212" s="299" t="s">
        <v>17556</v>
      </c>
      <c r="K212" s="45" t="s">
        <v>398</v>
      </c>
      <c r="L212" s="46">
        <v>1</v>
      </c>
      <c r="M212" s="92" t="s">
        <v>17564</v>
      </c>
      <c r="P212" s="57"/>
      <c r="Q212" s="35"/>
      <c r="T212" s="57"/>
      <c r="U212" s="208">
        <f>ROUND((ROUND((ROUND((_15_同援日増４．５*_15・２人),0)*(1+_15・盲ろう)),0)*(1+_15・区３)),0)</f>
        <v>877</v>
      </c>
      <c r="V212" s="48"/>
    </row>
    <row r="213" spans="1:22" ht="16.5" customHeight="1" x14ac:dyDescent="0.15">
      <c r="A213" s="41">
        <v>15</v>
      </c>
      <c r="B213" s="41" t="s">
        <v>23971</v>
      </c>
      <c r="C213" s="74" t="s">
        <v>23972</v>
      </c>
      <c r="D213" s="72"/>
      <c r="F213" s="57"/>
      <c r="G213" s="114" t="s">
        <v>17558</v>
      </c>
      <c r="H213" s="49"/>
      <c r="I213" s="50"/>
      <c r="J213" s="163"/>
      <c r="K213" s="45"/>
      <c r="L213" s="46"/>
      <c r="M213" s="35"/>
      <c r="N213" s="12" t="s">
        <v>398</v>
      </c>
      <c r="O213" s="13">
        <v>0.25</v>
      </c>
      <c r="P213" s="57" t="s">
        <v>3575</v>
      </c>
      <c r="Q213" s="35"/>
      <c r="T213" s="57"/>
      <c r="U213" s="208">
        <f>ROUND((ROUND((ROUND((_15_同援日増４．５*_15・基礎２),0)*(1+_15・盲ろう)),0)*(1+_15・区３)),0)</f>
        <v>791</v>
      </c>
      <c r="V213" s="48"/>
    </row>
    <row r="214" spans="1:22" ht="16.5" customHeight="1" x14ac:dyDescent="0.15">
      <c r="A214" s="41">
        <v>15</v>
      </c>
      <c r="B214" s="41" t="s">
        <v>23973</v>
      </c>
      <c r="C214" s="74" t="s">
        <v>23974</v>
      </c>
      <c r="D214" s="72"/>
      <c r="F214" s="57"/>
      <c r="G214" s="269" t="s">
        <v>17560</v>
      </c>
      <c r="H214" s="37" t="s">
        <v>398</v>
      </c>
      <c r="I214" s="38">
        <v>0.9</v>
      </c>
      <c r="J214" s="299" t="s">
        <v>17556</v>
      </c>
      <c r="K214" s="45" t="s">
        <v>398</v>
      </c>
      <c r="L214" s="46">
        <v>1</v>
      </c>
      <c r="M214" s="43"/>
      <c r="N214" s="37"/>
      <c r="O214" s="38"/>
      <c r="P214" s="79"/>
      <c r="Q214" s="43"/>
      <c r="R214" s="37"/>
      <c r="S214" s="38"/>
      <c r="T214" s="79"/>
      <c r="U214" s="208">
        <f>ROUND((ROUND((ROUND((ROUND((_15_同援日増４．５*_15・基礎２),0)*_15・２人),0)*(1+_15・盲ろう)),0)*(1+_15・区３)),0)</f>
        <v>791</v>
      </c>
      <c r="V214" s="48"/>
    </row>
    <row r="215" spans="1:22" ht="16.5" customHeight="1" x14ac:dyDescent="0.15">
      <c r="A215" s="41">
        <v>15</v>
      </c>
      <c r="B215" s="41" t="s">
        <v>23975</v>
      </c>
      <c r="C215" s="74" t="s">
        <v>23976</v>
      </c>
      <c r="D215" s="72"/>
      <c r="F215" s="57"/>
      <c r="G215" s="53"/>
      <c r="H215" s="49"/>
      <c r="I215" s="50"/>
      <c r="J215" s="163"/>
      <c r="K215" s="45"/>
      <c r="L215" s="46"/>
      <c r="M215" s="53"/>
      <c r="N215" s="49"/>
      <c r="O215" s="50"/>
      <c r="P215" s="115"/>
      <c r="Q215" s="53"/>
      <c r="R215" s="49"/>
      <c r="S215" s="50"/>
      <c r="T215" s="115"/>
      <c r="U215" s="208">
        <f>ROUND((_15_同援日増４．５*(1+_15・区４)),0)</f>
        <v>819</v>
      </c>
      <c r="V215" s="48"/>
    </row>
    <row r="216" spans="1:22" ht="16.5" customHeight="1" x14ac:dyDescent="0.15">
      <c r="A216" s="41">
        <v>15</v>
      </c>
      <c r="B216" s="41" t="s">
        <v>23977</v>
      </c>
      <c r="C216" s="74" t="s">
        <v>23978</v>
      </c>
      <c r="D216" s="72"/>
      <c r="F216" s="57"/>
      <c r="G216" s="43"/>
      <c r="H216" s="37"/>
      <c r="I216" s="38"/>
      <c r="J216" s="299" t="s">
        <v>17556</v>
      </c>
      <c r="K216" s="45" t="s">
        <v>398</v>
      </c>
      <c r="L216" s="46">
        <v>1</v>
      </c>
      <c r="M216" s="35"/>
      <c r="P216" s="57"/>
      <c r="Q216" s="35"/>
      <c r="T216" s="57"/>
      <c r="U216" s="208">
        <f>ROUND((ROUND((_15_同援日増４．５*_15・２人),0)*(1+_15・区４)),0)</f>
        <v>819</v>
      </c>
      <c r="V216" s="48"/>
    </row>
    <row r="217" spans="1:22" ht="16.5" customHeight="1" x14ac:dyDescent="0.15">
      <c r="A217" s="41">
        <v>15</v>
      </c>
      <c r="B217" s="41" t="s">
        <v>23979</v>
      </c>
      <c r="C217" s="74" t="s">
        <v>23980</v>
      </c>
      <c r="D217" s="72"/>
      <c r="F217" s="57"/>
      <c r="G217" s="114" t="s">
        <v>17558</v>
      </c>
      <c r="H217" s="49"/>
      <c r="I217" s="50"/>
      <c r="J217" s="163"/>
      <c r="K217" s="45"/>
      <c r="L217" s="46"/>
      <c r="M217" s="35"/>
      <c r="P217" s="57"/>
      <c r="Q217" s="72" t="s">
        <v>17580</v>
      </c>
      <c r="T217" s="57"/>
      <c r="U217" s="208">
        <f>ROUND((ROUND((_15_同援日増４．５*_15・基礎２),0)*(1+_15・区４)),0)</f>
        <v>738</v>
      </c>
      <c r="V217" s="48"/>
    </row>
    <row r="218" spans="1:22" ht="16.5" customHeight="1" x14ac:dyDescent="0.15">
      <c r="A218" s="41">
        <v>15</v>
      </c>
      <c r="B218" s="41" t="s">
        <v>23981</v>
      </c>
      <c r="C218" s="74" t="s">
        <v>23982</v>
      </c>
      <c r="D218" s="72"/>
      <c r="F218" s="57"/>
      <c r="G218" s="269" t="s">
        <v>17560</v>
      </c>
      <c r="H218" s="37" t="s">
        <v>398</v>
      </c>
      <c r="I218" s="38">
        <v>0.9</v>
      </c>
      <c r="J218" s="299" t="s">
        <v>17556</v>
      </c>
      <c r="K218" s="45" t="s">
        <v>398</v>
      </c>
      <c r="L218" s="46">
        <v>1</v>
      </c>
      <c r="M218" s="43"/>
      <c r="N218" s="37"/>
      <c r="O218" s="38"/>
      <c r="P218" s="79"/>
      <c r="Q218" s="72" t="s">
        <v>17572</v>
      </c>
      <c r="T218" s="57"/>
      <c r="U218" s="208">
        <f>ROUND((ROUND((ROUND((_15_同援日増４．５*_15・基礎２),0)*_15・２人),0)*(1+_15・区４)),0)</f>
        <v>738</v>
      </c>
      <c r="V218" s="48"/>
    </row>
    <row r="219" spans="1:22" ht="16.5" customHeight="1" x14ac:dyDescent="0.15">
      <c r="A219" s="41">
        <v>15</v>
      </c>
      <c r="B219" s="41" t="s">
        <v>23983</v>
      </c>
      <c r="C219" s="74" t="s">
        <v>23984</v>
      </c>
      <c r="D219" s="72"/>
      <c r="F219" s="57"/>
      <c r="G219" s="53"/>
      <c r="H219" s="49"/>
      <c r="I219" s="50"/>
      <c r="J219" s="163"/>
      <c r="K219" s="45"/>
      <c r="L219" s="46"/>
      <c r="M219" s="114" t="s">
        <v>17562</v>
      </c>
      <c r="N219" s="49"/>
      <c r="O219" s="50"/>
      <c r="P219" s="115"/>
      <c r="Q219" s="35"/>
      <c r="R219" s="12" t="s">
        <v>398</v>
      </c>
      <c r="S219" s="13">
        <v>0.4</v>
      </c>
      <c r="T219" s="57" t="s">
        <v>3575</v>
      </c>
      <c r="U219" s="208">
        <f>ROUND((ROUND((_15_同援日増４．５*(1+_15・盲ろう)),0)*(1+_15・区４)),0)</f>
        <v>1023</v>
      </c>
      <c r="V219" s="48"/>
    </row>
    <row r="220" spans="1:22" ht="16.5" customHeight="1" x14ac:dyDescent="0.15">
      <c r="A220" s="41">
        <v>15</v>
      </c>
      <c r="B220" s="41" t="s">
        <v>23985</v>
      </c>
      <c r="C220" s="74" t="s">
        <v>23986</v>
      </c>
      <c r="D220" s="72"/>
      <c r="F220" s="57"/>
      <c r="G220" s="43"/>
      <c r="H220" s="37"/>
      <c r="I220" s="38"/>
      <c r="J220" s="299" t="s">
        <v>17556</v>
      </c>
      <c r="K220" s="45" t="s">
        <v>398</v>
      </c>
      <c r="L220" s="46">
        <v>1</v>
      </c>
      <c r="M220" s="92" t="s">
        <v>17564</v>
      </c>
      <c r="P220" s="57"/>
      <c r="Q220" s="35"/>
      <c r="T220" s="57"/>
      <c r="U220" s="208">
        <f>ROUND((ROUND((ROUND((_15_同援日増４．５*_15・２人),0)*(1+_15・盲ろう)),0)*(1+_15・区４)),0)</f>
        <v>1023</v>
      </c>
      <c r="V220" s="48"/>
    </row>
    <row r="221" spans="1:22" ht="16.5" customHeight="1" x14ac:dyDescent="0.15">
      <c r="A221" s="41">
        <v>15</v>
      </c>
      <c r="B221" s="41" t="s">
        <v>23987</v>
      </c>
      <c r="C221" s="74" t="s">
        <v>23988</v>
      </c>
      <c r="D221" s="72"/>
      <c r="F221" s="57"/>
      <c r="G221" s="114" t="s">
        <v>17558</v>
      </c>
      <c r="H221" s="49"/>
      <c r="I221" s="50"/>
      <c r="J221" s="163"/>
      <c r="K221" s="45"/>
      <c r="L221" s="46"/>
      <c r="M221" s="35"/>
      <c r="N221" s="12" t="s">
        <v>398</v>
      </c>
      <c r="O221" s="13">
        <v>0.25</v>
      </c>
      <c r="P221" s="57" t="s">
        <v>3575</v>
      </c>
      <c r="Q221" s="35"/>
      <c r="T221" s="57"/>
      <c r="U221" s="208">
        <f>ROUND((ROUND((ROUND((_15_同援日増４．５*_15・基礎２),0)*(1+_15・盲ろう)),0)*(1+_15・区４)),0)</f>
        <v>923</v>
      </c>
      <c r="V221" s="48"/>
    </row>
    <row r="222" spans="1:22" ht="16.5" customHeight="1" x14ac:dyDescent="0.15">
      <c r="A222" s="41">
        <v>15</v>
      </c>
      <c r="B222" s="41" t="s">
        <v>23989</v>
      </c>
      <c r="C222" s="74" t="s">
        <v>23990</v>
      </c>
      <c r="D222" s="122"/>
      <c r="E222" s="37"/>
      <c r="F222" s="79"/>
      <c r="G222" s="269" t="s">
        <v>17560</v>
      </c>
      <c r="H222" s="37" t="s">
        <v>398</v>
      </c>
      <c r="I222" s="38">
        <v>0.9</v>
      </c>
      <c r="J222" s="299" t="s">
        <v>17556</v>
      </c>
      <c r="K222" s="45" t="s">
        <v>398</v>
      </c>
      <c r="L222" s="46">
        <v>1</v>
      </c>
      <c r="M222" s="43"/>
      <c r="N222" s="37"/>
      <c r="O222" s="38"/>
      <c r="P222" s="79"/>
      <c r="Q222" s="43"/>
      <c r="R222" s="37"/>
      <c r="S222" s="38"/>
      <c r="T222" s="79"/>
      <c r="U222" s="208">
        <f>ROUND((ROUND((ROUND((ROUND((_15_同援日増４．５*_15・基礎２),0)*_15・２人),0)*(1+_15・盲ろう)),0)*(1+_15・区４)),0)</f>
        <v>923</v>
      </c>
      <c r="V222" s="63"/>
    </row>
    <row r="223" spans="1:22" ht="16.5" customHeight="1" x14ac:dyDescent="0.15">
      <c r="A223" s="41">
        <v>15</v>
      </c>
      <c r="B223" s="41" t="s">
        <v>23991</v>
      </c>
      <c r="C223" s="74" t="s">
        <v>23992</v>
      </c>
      <c r="D223" s="114" t="s">
        <v>23993</v>
      </c>
      <c r="E223" s="49"/>
      <c r="F223" s="115"/>
      <c r="G223" s="53"/>
      <c r="H223" s="49"/>
      <c r="I223" s="50"/>
      <c r="J223" s="163"/>
      <c r="K223" s="45"/>
      <c r="L223" s="46"/>
      <c r="M223" s="53"/>
      <c r="N223" s="49"/>
      <c r="O223" s="50"/>
      <c r="P223" s="115"/>
      <c r="Q223" s="53"/>
      <c r="R223" s="49"/>
      <c r="S223" s="50"/>
      <c r="T223" s="115"/>
      <c r="U223" s="208">
        <f>_15_同援日増５．０</f>
        <v>650</v>
      </c>
      <c r="V223" s="64"/>
    </row>
    <row r="224" spans="1:22" ht="16.5" customHeight="1" x14ac:dyDescent="0.15">
      <c r="A224" s="41">
        <v>15</v>
      </c>
      <c r="B224" s="41" t="s">
        <v>23994</v>
      </c>
      <c r="C224" s="74" t="s">
        <v>23995</v>
      </c>
      <c r="D224" s="72" t="s">
        <v>17805</v>
      </c>
      <c r="F224" s="57"/>
      <c r="G224" s="43"/>
      <c r="H224" s="37"/>
      <c r="I224" s="38"/>
      <c r="J224" s="299" t="s">
        <v>17556</v>
      </c>
      <c r="K224" s="45" t="s">
        <v>398</v>
      </c>
      <c r="L224" s="46">
        <v>1</v>
      </c>
      <c r="M224" s="35"/>
      <c r="P224" s="57"/>
      <c r="Q224" s="35"/>
      <c r="T224" s="57"/>
      <c r="U224" s="208">
        <f>ROUND((_15_同援日増５．０*_15・２人),0)</f>
        <v>650</v>
      </c>
      <c r="V224" s="48"/>
    </row>
    <row r="225" spans="1:22" ht="16.5" customHeight="1" x14ac:dyDescent="0.15">
      <c r="A225" s="41">
        <v>15</v>
      </c>
      <c r="B225" s="41" t="s">
        <v>1883</v>
      </c>
      <c r="C225" s="74" t="s">
        <v>23996</v>
      </c>
      <c r="D225" s="72" t="s">
        <v>18716</v>
      </c>
      <c r="F225" s="57"/>
      <c r="G225" s="114" t="s">
        <v>17558</v>
      </c>
      <c r="H225" s="49"/>
      <c r="I225" s="50"/>
      <c r="J225" s="163"/>
      <c r="K225" s="45"/>
      <c r="L225" s="46"/>
      <c r="M225" s="35"/>
      <c r="P225" s="57"/>
      <c r="Q225" s="35"/>
      <c r="T225" s="57"/>
      <c r="U225" s="208">
        <f>ROUND((_15_同援日増５．０*_15・基礎２),0)</f>
        <v>585</v>
      </c>
      <c r="V225" s="48"/>
    </row>
    <row r="226" spans="1:22" ht="16.5" customHeight="1" x14ac:dyDescent="0.15">
      <c r="A226" s="41">
        <v>15</v>
      </c>
      <c r="B226" s="41" t="s">
        <v>1885</v>
      </c>
      <c r="C226" s="74" t="s">
        <v>23997</v>
      </c>
      <c r="D226" s="72"/>
      <c r="E226" s="168">
        <f>_15_同援日増５．０</f>
        <v>650</v>
      </c>
      <c r="F226" s="57" t="s">
        <v>392</v>
      </c>
      <c r="G226" s="269" t="s">
        <v>17560</v>
      </c>
      <c r="H226" s="37" t="s">
        <v>398</v>
      </c>
      <c r="I226" s="38">
        <v>0.9</v>
      </c>
      <c r="J226" s="299" t="s">
        <v>17556</v>
      </c>
      <c r="K226" s="45" t="s">
        <v>398</v>
      </c>
      <c r="L226" s="46">
        <v>1</v>
      </c>
      <c r="M226" s="43"/>
      <c r="N226" s="37"/>
      <c r="O226" s="38"/>
      <c r="P226" s="79"/>
      <c r="Q226" s="35"/>
      <c r="T226" s="57"/>
      <c r="U226" s="208">
        <f>ROUND((ROUND((_15_同援日増５．０*_15・基礎２),0)*_15・２人),0)</f>
        <v>585</v>
      </c>
      <c r="V226" s="48"/>
    </row>
    <row r="227" spans="1:22" ht="16.5" customHeight="1" x14ac:dyDescent="0.15">
      <c r="A227" s="41">
        <v>15</v>
      </c>
      <c r="B227" s="41" t="s">
        <v>1887</v>
      </c>
      <c r="C227" s="74" t="s">
        <v>23998</v>
      </c>
      <c r="D227" s="72"/>
      <c r="F227" s="57"/>
      <c r="G227" s="53"/>
      <c r="H227" s="49"/>
      <c r="I227" s="50"/>
      <c r="J227" s="163"/>
      <c r="K227" s="45"/>
      <c r="L227" s="46"/>
      <c r="M227" s="114" t="s">
        <v>17562</v>
      </c>
      <c r="N227" s="49"/>
      <c r="O227" s="50"/>
      <c r="P227" s="115"/>
      <c r="Q227" s="35"/>
      <c r="T227" s="57"/>
      <c r="U227" s="208">
        <f>ROUND((_15_同援日増５．０*(1+_15・盲ろう)),0)</f>
        <v>813</v>
      </c>
      <c r="V227" s="48"/>
    </row>
    <row r="228" spans="1:22" ht="16.5" customHeight="1" x14ac:dyDescent="0.15">
      <c r="A228" s="41">
        <v>15</v>
      </c>
      <c r="B228" s="41" t="s">
        <v>1889</v>
      </c>
      <c r="C228" s="74" t="s">
        <v>23999</v>
      </c>
      <c r="D228" s="72"/>
      <c r="F228" s="57"/>
      <c r="G228" s="43"/>
      <c r="H228" s="37"/>
      <c r="I228" s="38"/>
      <c r="J228" s="299" t="s">
        <v>17556</v>
      </c>
      <c r="K228" s="45" t="s">
        <v>398</v>
      </c>
      <c r="L228" s="46">
        <v>1</v>
      </c>
      <c r="M228" s="92" t="s">
        <v>17564</v>
      </c>
      <c r="P228" s="57"/>
      <c r="Q228" s="35"/>
      <c r="T228" s="57"/>
      <c r="U228" s="208">
        <f>ROUND((ROUND((_15_同援日増５．０*_15・２人),0)*(1+_15・盲ろう)),0)</f>
        <v>813</v>
      </c>
      <c r="V228" s="48"/>
    </row>
    <row r="229" spans="1:22" ht="16.5" customHeight="1" x14ac:dyDescent="0.15">
      <c r="A229" s="41">
        <v>15</v>
      </c>
      <c r="B229" s="41" t="s">
        <v>24000</v>
      </c>
      <c r="C229" s="74" t="s">
        <v>24001</v>
      </c>
      <c r="D229" s="72"/>
      <c r="F229" s="57"/>
      <c r="G229" s="114" t="s">
        <v>17558</v>
      </c>
      <c r="H229" s="49"/>
      <c r="I229" s="50"/>
      <c r="J229" s="163"/>
      <c r="K229" s="45"/>
      <c r="L229" s="46"/>
      <c r="M229" s="35"/>
      <c r="N229" s="12" t="s">
        <v>398</v>
      </c>
      <c r="O229" s="13">
        <v>0.25</v>
      </c>
      <c r="P229" s="57" t="s">
        <v>3575</v>
      </c>
      <c r="Q229" s="35"/>
      <c r="T229" s="57"/>
      <c r="U229" s="208">
        <f>ROUND((ROUND((_15_同援日増５．０*_15・基礎２),0)*(1+_15・盲ろう)),0)</f>
        <v>731</v>
      </c>
      <c r="V229" s="48"/>
    </row>
    <row r="230" spans="1:22" ht="16.5" customHeight="1" x14ac:dyDescent="0.15">
      <c r="A230" s="41">
        <v>15</v>
      </c>
      <c r="B230" s="41" t="s">
        <v>24002</v>
      </c>
      <c r="C230" s="74" t="s">
        <v>24003</v>
      </c>
      <c r="D230" s="72"/>
      <c r="F230" s="57"/>
      <c r="G230" s="269" t="s">
        <v>17560</v>
      </c>
      <c r="H230" s="37" t="s">
        <v>398</v>
      </c>
      <c r="I230" s="38">
        <v>0.9</v>
      </c>
      <c r="J230" s="299" t="s">
        <v>17556</v>
      </c>
      <c r="K230" s="45" t="s">
        <v>398</v>
      </c>
      <c r="L230" s="46">
        <v>1</v>
      </c>
      <c r="M230" s="43"/>
      <c r="N230" s="37"/>
      <c r="O230" s="38"/>
      <c r="P230" s="79"/>
      <c r="Q230" s="43"/>
      <c r="R230" s="37"/>
      <c r="S230" s="38"/>
      <c r="T230" s="79"/>
      <c r="U230" s="208">
        <f>ROUND((ROUND((ROUND((_15_同援日増５．０*_15・基礎２),0)*_15・２人),0)*(1+_15・盲ろう)),0)</f>
        <v>731</v>
      </c>
      <c r="V230" s="48"/>
    </row>
    <row r="231" spans="1:22" ht="16.5" customHeight="1" x14ac:dyDescent="0.15">
      <c r="A231" s="41">
        <v>15</v>
      </c>
      <c r="B231" s="41" t="s">
        <v>24004</v>
      </c>
      <c r="C231" s="74" t="s">
        <v>24005</v>
      </c>
      <c r="D231" s="72"/>
      <c r="F231" s="57"/>
      <c r="G231" s="53"/>
      <c r="H231" s="49"/>
      <c r="I231" s="50"/>
      <c r="J231" s="163"/>
      <c r="K231" s="45"/>
      <c r="L231" s="46"/>
      <c r="M231" s="53"/>
      <c r="N231" s="49"/>
      <c r="O231" s="50"/>
      <c r="P231" s="115"/>
      <c r="Q231" s="53"/>
      <c r="R231" s="49"/>
      <c r="S231" s="50"/>
      <c r="T231" s="115"/>
      <c r="U231" s="208">
        <f>ROUND((_15_同援日増５．０*(1+_15・区３)),0)</f>
        <v>780</v>
      </c>
      <c r="V231" s="48"/>
    </row>
    <row r="232" spans="1:22" ht="16.5" customHeight="1" x14ac:dyDescent="0.15">
      <c r="A232" s="41">
        <v>15</v>
      </c>
      <c r="B232" s="41" t="s">
        <v>24006</v>
      </c>
      <c r="C232" s="74" t="s">
        <v>24007</v>
      </c>
      <c r="D232" s="72"/>
      <c r="F232" s="57"/>
      <c r="G232" s="43"/>
      <c r="H232" s="37"/>
      <c r="I232" s="38"/>
      <c r="J232" s="299" t="s">
        <v>17556</v>
      </c>
      <c r="K232" s="45" t="s">
        <v>398</v>
      </c>
      <c r="L232" s="46">
        <v>1</v>
      </c>
      <c r="M232" s="35"/>
      <c r="P232" s="57"/>
      <c r="Q232" s="35"/>
      <c r="T232" s="57"/>
      <c r="U232" s="208">
        <f>ROUND((ROUND((_15_同援日増５．０*_15・２人),0)*(1+_15・区３)),0)</f>
        <v>780</v>
      </c>
      <c r="V232" s="48"/>
    </row>
    <row r="233" spans="1:22" ht="16.5" customHeight="1" x14ac:dyDescent="0.15">
      <c r="A233" s="41">
        <v>15</v>
      </c>
      <c r="B233" s="41" t="s">
        <v>24008</v>
      </c>
      <c r="C233" s="74" t="s">
        <v>24009</v>
      </c>
      <c r="D233" s="72"/>
      <c r="F233" s="57"/>
      <c r="G233" s="114" t="s">
        <v>17558</v>
      </c>
      <c r="H233" s="49"/>
      <c r="I233" s="50"/>
      <c r="J233" s="163"/>
      <c r="K233" s="45"/>
      <c r="L233" s="46"/>
      <c r="M233" s="35"/>
      <c r="P233" s="57"/>
      <c r="Q233" s="72" t="s">
        <v>17570</v>
      </c>
      <c r="T233" s="57"/>
      <c r="U233" s="208">
        <f>ROUND((ROUND((_15_同援日増５．０*_15・基礎２),0)*(1+_15・区３)),0)</f>
        <v>702</v>
      </c>
      <c r="V233" s="48"/>
    </row>
    <row r="234" spans="1:22" ht="16.5" customHeight="1" x14ac:dyDescent="0.15">
      <c r="A234" s="41">
        <v>15</v>
      </c>
      <c r="B234" s="41" t="s">
        <v>24010</v>
      </c>
      <c r="C234" s="74" t="s">
        <v>24011</v>
      </c>
      <c r="D234" s="72"/>
      <c r="F234" s="57"/>
      <c r="G234" s="269" t="s">
        <v>17560</v>
      </c>
      <c r="H234" s="37" t="s">
        <v>398</v>
      </c>
      <c r="I234" s="38">
        <v>0.9</v>
      </c>
      <c r="J234" s="299" t="s">
        <v>17556</v>
      </c>
      <c r="K234" s="45" t="s">
        <v>398</v>
      </c>
      <c r="L234" s="46">
        <v>1</v>
      </c>
      <c r="M234" s="43"/>
      <c r="N234" s="37"/>
      <c r="O234" s="38"/>
      <c r="P234" s="79"/>
      <c r="Q234" s="72" t="s">
        <v>17572</v>
      </c>
      <c r="T234" s="57"/>
      <c r="U234" s="208">
        <f>ROUND((ROUND((ROUND((_15_同援日増５．０*_15・基礎２),0)*_15・２人),0)*(1+_15・区３)),0)</f>
        <v>702</v>
      </c>
      <c r="V234" s="48"/>
    </row>
    <row r="235" spans="1:22" ht="16.5" customHeight="1" x14ac:dyDescent="0.15">
      <c r="A235" s="41">
        <v>15</v>
      </c>
      <c r="B235" s="41" t="s">
        <v>24012</v>
      </c>
      <c r="C235" s="74" t="s">
        <v>24013</v>
      </c>
      <c r="D235" s="72"/>
      <c r="F235" s="57"/>
      <c r="G235" s="53"/>
      <c r="H235" s="49"/>
      <c r="I235" s="50"/>
      <c r="J235" s="163"/>
      <c r="K235" s="45"/>
      <c r="L235" s="46"/>
      <c r="M235" s="114" t="s">
        <v>17562</v>
      </c>
      <c r="N235" s="49"/>
      <c r="O235" s="50"/>
      <c r="P235" s="115"/>
      <c r="Q235" s="35"/>
      <c r="R235" s="12" t="s">
        <v>398</v>
      </c>
      <c r="S235" s="13">
        <v>0.2</v>
      </c>
      <c r="T235" s="57" t="s">
        <v>3575</v>
      </c>
      <c r="U235" s="208">
        <f>ROUND((ROUND((_15_同援日増５．０*(1+_15・盲ろう)),0)*(1+_15・区３)),0)</f>
        <v>976</v>
      </c>
      <c r="V235" s="48"/>
    </row>
    <row r="236" spans="1:22" ht="16.5" customHeight="1" x14ac:dyDescent="0.15">
      <c r="A236" s="41">
        <v>15</v>
      </c>
      <c r="B236" s="41" t="s">
        <v>24014</v>
      </c>
      <c r="C236" s="74" t="s">
        <v>24015</v>
      </c>
      <c r="D236" s="72"/>
      <c r="F236" s="57"/>
      <c r="G236" s="43"/>
      <c r="H236" s="37"/>
      <c r="I236" s="38"/>
      <c r="J236" s="299" t="s">
        <v>17556</v>
      </c>
      <c r="K236" s="45" t="s">
        <v>398</v>
      </c>
      <c r="L236" s="46">
        <v>1</v>
      </c>
      <c r="M236" s="92" t="s">
        <v>17564</v>
      </c>
      <c r="P236" s="57"/>
      <c r="Q236" s="35"/>
      <c r="T236" s="57"/>
      <c r="U236" s="208">
        <f>ROUND((ROUND((ROUND((_15_同援日増５．０*_15・２人),0)*(1+_15・盲ろう)),0)*(1+_15・区３)),0)</f>
        <v>976</v>
      </c>
      <c r="V236" s="48"/>
    </row>
    <row r="237" spans="1:22" ht="16.5" customHeight="1" x14ac:dyDescent="0.15">
      <c r="A237" s="41">
        <v>15</v>
      </c>
      <c r="B237" s="41" t="s">
        <v>24016</v>
      </c>
      <c r="C237" s="74" t="s">
        <v>24017</v>
      </c>
      <c r="D237" s="72"/>
      <c r="F237" s="57"/>
      <c r="G237" s="114" t="s">
        <v>17558</v>
      </c>
      <c r="H237" s="49"/>
      <c r="I237" s="50"/>
      <c r="J237" s="163"/>
      <c r="K237" s="45"/>
      <c r="L237" s="46"/>
      <c r="M237" s="35"/>
      <c r="N237" s="12" t="s">
        <v>398</v>
      </c>
      <c r="O237" s="13">
        <v>0.25</v>
      </c>
      <c r="P237" s="57" t="s">
        <v>3575</v>
      </c>
      <c r="Q237" s="35"/>
      <c r="T237" s="57"/>
      <c r="U237" s="208">
        <f>ROUND((ROUND((ROUND((_15_同援日増５．０*_15・基礎２),0)*(1+_15・盲ろう)),0)*(1+_15・区３)),0)</f>
        <v>877</v>
      </c>
      <c r="V237" s="48"/>
    </row>
    <row r="238" spans="1:22" ht="16.5" customHeight="1" x14ac:dyDescent="0.15">
      <c r="A238" s="41">
        <v>15</v>
      </c>
      <c r="B238" s="41" t="s">
        <v>24018</v>
      </c>
      <c r="C238" s="74" t="s">
        <v>24019</v>
      </c>
      <c r="D238" s="72"/>
      <c r="F238" s="57"/>
      <c r="G238" s="269" t="s">
        <v>17560</v>
      </c>
      <c r="H238" s="37" t="s">
        <v>398</v>
      </c>
      <c r="I238" s="38">
        <v>0.9</v>
      </c>
      <c r="J238" s="299" t="s">
        <v>17556</v>
      </c>
      <c r="K238" s="45" t="s">
        <v>398</v>
      </c>
      <c r="L238" s="46">
        <v>1</v>
      </c>
      <c r="M238" s="43"/>
      <c r="N238" s="37"/>
      <c r="O238" s="38"/>
      <c r="P238" s="79"/>
      <c r="Q238" s="43"/>
      <c r="R238" s="37"/>
      <c r="S238" s="38"/>
      <c r="T238" s="79"/>
      <c r="U238" s="208">
        <f>ROUND((ROUND((ROUND((ROUND((_15_同援日増５．０*_15・基礎２),0)*_15・２人),0)*(1+_15・盲ろう)),0)*(1+_15・区３)),0)</f>
        <v>877</v>
      </c>
      <c r="V238" s="48"/>
    </row>
    <row r="239" spans="1:22" ht="16.5" customHeight="1" x14ac:dyDescent="0.15">
      <c r="A239" s="41">
        <v>15</v>
      </c>
      <c r="B239" s="41" t="s">
        <v>24020</v>
      </c>
      <c r="C239" s="74" t="s">
        <v>24021</v>
      </c>
      <c r="D239" s="72"/>
      <c r="F239" s="57"/>
      <c r="G239" s="53"/>
      <c r="H239" s="49"/>
      <c r="I239" s="50"/>
      <c r="J239" s="163"/>
      <c r="K239" s="45"/>
      <c r="L239" s="46"/>
      <c r="M239" s="53"/>
      <c r="N239" s="49"/>
      <c r="O239" s="50"/>
      <c r="P239" s="115"/>
      <c r="Q239" s="53"/>
      <c r="R239" s="49"/>
      <c r="S239" s="50"/>
      <c r="T239" s="115"/>
      <c r="U239" s="208">
        <f>ROUND((_15_同援日増５．０*(1+_15・区４)),0)</f>
        <v>910</v>
      </c>
      <c r="V239" s="48"/>
    </row>
    <row r="240" spans="1:22" ht="16.5" customHeight="1" x14ac:dyDescent="0.15">
      <c r="A240" s="41">
        <v>15</v>
      </c>
      <c r="B240" s="41" t="s">
        <v>24022</v>
      </c>
      <c r="C240" s="74" t="s">
        <v>24023</v>
      </c>
      <c r="D240" s="72"/>
      <c r="F240" s="57"/>
      <c r="G240" s="43"/>
      <c r="H240" s="37"/>
      <c r="I240" s="38"/>
      <c r="J240" s="299" t="s">
        <v>17556</v>
      </c>
      <c r="K240" s="45" t="s">
        <v>398</v>
      </c>
      <c r="L240" s="46">
        <v>1</v>
      </c>
      <c r="M240" s="35"/>
      <c r="P240" s="57"/>
      <c r="Q240" s="35"/>
      <c r="T240" s="57"/>
      <c r="U240" s="208">
        <f>ROUND((ROUND((_15_同援日増５．０*_15・２人),0)*(1+_15・区４)),0)</f>
        <v>910</v>
      </c>
      <c r="V240" s="48"/>
    </row>
    <row r="241" spans="1:22" ht="16.5" customHeight="1" x14ac:dyDescent="0.15">
      <c r="A241" s="41">
        <v>15</v>
      </c>
      <c r="B241" s="41" t="s">
        <v>24024</v>
      </c>
      <c r="C241" s="74" t="s">
        <v>24025</v>
      </c>
      <c r="D241" s="72"/>
      <c r="F241" s="57"/>
      <c r="G241" s="114" t="s">
        <v>17558</v>
      </c>
      <c r="H241" s="49"/>
      <c r="I241" s="50"/>
      <c r="J241" s="163"/>
      <c r="K241" s="45"/>
      <c r="L241" s="46"/>
      <c r="M241" s="35"/>
      <c r="P241" s="57"/>
      <c r="Q241" s="72" t="s">
        <v>17580</v>
      </c>
      <c r="T241" s="57"/>
      <c r="U241" s="208">
        <f>ROUND((ROUND((_15_同援日増５．０*_15・基礎２),0)*(1+_15・区４)),0)</f>
        <v>819</v>
      </c>
      <c r="V241" s="48"/>
    </row>
    <row r="242" spans="1:22" ht="16.5" customHeight="1" x14ac:dyDescent="0.15">
      <c r="A242" s="41">
        <v>15</v>
      </c>
      <c r="B242" s="41" t="s">
        <v>24026</v>
      </c>
      <c r="C242" s="74" t="s">
        <v>24027</v>
      </c>
      <c r="D242" s="72"/>
      <c r="F242" s="57"/>
      <c r="G242" s="269" t="s">
        <v>17560</v>
      </c>
      <c r="H242" s="37" t="s">
        <v>398</v>
      </c>
      <c r="I242" s="38">
        <v>0.9</v>
      </c>
      <c r="J242" s="299" t="s">
        <v>17556</v>
      </c>
      <c r="K242" s="45" t="s">
        <v>398</v>
      </c>
      <c r="L242" s="46">
        <v>1</v>
      </c>
      <c r="M242" s="43"/>
      <c r="N242" s="37"/>
      <c r="O242" s="38"/>
      <c r="P242" s="79"/>
      <c r="Q242" s="72" t="s">
        <v>17572</v>
      </c>
      <c r="T242" s="57"/>
      <c r="U242" s="208">
        <f>ROUND((ROUND((ROUND((_15_同援日増５．０*_15・基礎２),0)*_15・２人),0)*(1+_15・区４)),0)</f>
        <v>819</v>
      </c>
      <c r="V242" s="48"/>
    </row>
    <row r="243" spans="1:22" ht="16.5" customHeight="1" x14ac:dyDescent="0.15">
      <c r="A243" s="41">
        <v>15</v>
      </c>
      <c r="B243" s="41" t="s">
        <v>24028</v>
      </c>
      <c r="C243" s="74" t="s">
        <v>24029</v>
      </c>
      <c r="D243" s="72"/>
      <c r="F243" s="57"/>
      <c r="G243" s="53"/>
      <c r="H243" s="49"/>
      <c r="I243" s="50"/>
      <c r="J243" s="163"/>
      <c r="K243" s="45"/>
      <c r="L243" s="46"/>
      <c r="M243" s="114" t="s">
        <v>17562</v>
      </c>
      <c r="N243" s="49"/>
      <c r="O243" s="50"/>
      <c r="P243" s="115"/>
      <c r="Q243" s="35"/>
      <c r="R243" s="12" t="s">
        <v>398</v>
      </c>
      <c r="S243" s="13">
        <v>0.4</v>
      </c>
      <c r="T243" s="57" t="s">
        <v>3575</v>
      </c>
      <c r="U243" s="208">
        <f>ROUND((ROUND((_15_同援日増５．０*(1+_15・盲ろう)),0)*(1+_15・区４)),0)</f>
        <v>1138</v>
      </c>
      <c r="V243" s="48"/>
    </row>
    <row r="244" spans="1:22" ht="16.5" customHeight="1" x14ac:dyDescent="0.15">
      <c r="A244" s="41">
        <v>15</v>
      </c>
      <c r="B244" s="41" t="s">
        <v>24030</v>
      </c>
      <c r="C244" s="74" t="s">
        <v>24031</v>
      </c>
      <c r="D244" s="72"/>
      <c r="F244" s="57"/>
      <c r="G244" s="43"/>
      <c r="H244" s="37"/>
      <c r="I244" s="38"/>
      <c r="J244" s="299" t="s">
        <v>17556</v>
      </c>
      <c r="K244" s="45" t="s">
        <v>398</v>
      </c>
      <c r="L244" s="46">
        <v>1</v>
      </c>
      <c r="M244" s="92" t="s">
        <v>17564</v>
      </c>
      <c r="P244" s="57"/>
      <c r="Q244" s="35"/>
      <c r="T244" s="57"/>
      <c r="U244" s="208">
        <f>ROUND((ROUND((ROUND((_15_同援日増５．０*_15・２人),0)*(1+_15・盲ろう)),0)*(1+_15・区４)),0)</f>
        <v>1138</v>
      </c>
      <c r="V244" s="48"/>
    </row>
    <row r="245" spans="1:22" ht="16.5" customHeight="1" x14ac:dyDescent="0.15">
      <c r="A245" s="41">
        <v>15</v>
      </c>
      <c r="B245" s="41" t="s">
        <v>1895</v>
      </c>
      <c r="C245" s="74" t="s">
        <v>24032</v>
      </c>
      <c r="D245" s="72"/>
      <c r="F245" s="57"/>
      <c r="G245" s="114" t="s">
        <v>17558</v>
      </c>
      <c r="H245" s="49"/>
      <c r="I245" s="50"/>
      <c r="J245" s="163"/>
      <c r="K245" s="45"/>
      <c r="L245" s="46"/>
      <c r="M245" s="35"/>
      <c r="N245" s="12" t="s">
        <v>398</v>
      </c>
      <c r="O245" s="13">
        <v>0.25</v>
      </c>
      <c r="P245" s="57" t="s">
        <v>3575</v>
      </c>
      <c r="Q245" s="35"/>
      <c r="T245" s="57"/>
      <c r="U245" s="208">
        <f>ROUND((ROUND((ROUND((_15_同援日増５．０*_15・基礎２),0)*(1+_15・盲ろう)),0)*(1+_15・区４)),0)</f>
        <v>1023</v>
      </c>
      <c r="V245" s="48"/>
    </row>
    <row r="246" spans="1:22" ht="16.5" customHeight="1" x14ac:dyDescent="0.15">
      <c r="A246" s="41">
        <v>15</v>
      </c>
      <c r="B246" s="41" t="s">
        <v>1897</v>
      </c>
      <c r="C246" s="74" t="s">
        <v>24033</v>
      </c>
      <c r="D246" s="122"/>
      <c r="E246" s="37"/>
      <c r="F246" s="79"/>
      <c r="G246" s="269" t="s">
        <v>17560</v>
      </c>
      <c r="H246" s="37" t="s">
        <v>398</v>
      </c>
      <c r="I246" s="38">
        <v>0.9</v>
      </c>
      <c r="J246" s="299" t="s">
        <v>17556</v>
      </c>
      <c r="K246" s="45" t="s">
        <v>398</v>
      </c>
      <c r="L246" s="46">
        <v>1</v>
      </c>
      <c r="M246" s="43"/>
      <c r="N246" s="37"/>
      <c r="O246" s="38"/>
      <c r="P246" s="79"/>
      <c r="Q246" s="43"/>
      <c r="R246" s="37"/>
      <c r="S246" s="38"/>
      <c r="T246" s="79"/>
      <c r="U246" s="208">
        <f>ROUND((ROUND((ROUND((ROUND((_15_同援日増５．０*_15・基礎２),0)*_15・２人),0)*(1+_15・盲ろう)),0)*(1+_15・区４)),0)</f>
        <v>1023</v>
      </c>
      <c r="V246" s="48"/>
    </row>
    <row r="247" spans="1:22" ht="16.5" customHeight="1" x14ac:dyDescent="0.15">
      <c r="A247" s="41">
        <v>15</v>
      </c>
      <c r="B247" s="41" t="s">
        <v>1899</v>
      </c>
      <c r="C247" s="74" t="s">
        <v>24034</v>
      </c>
      <c r="D247" s="114" t="s">
        <v>24035</v>
      </c>
      <c r="E247" s="49"/>
      <c r="F247" s="115"/>
      <c r="G247" s="53"/>
      <c r="H247" s="49"/>
      <c r="I247" s="50"/>
      <c r="J247" s="163"/>
      <c r="K247" s="45"/>
      <c r="L247" s="46"/>
      <c r="M247" s="53"/>
      <c r="N247" s="49"/>
      <c r="O247" s="50"/>
      <c r="P247" s="115"/>
      <c r="Q247" s="53"/>
      <c r="R247" s="49"/>
      <c r="S247" s="50"/>
      <c r="T247" s="115"/>
      <c r="U247" s="208">
        <f>_15_同援日増５．５</f>
        <v>715</v>
      </c>
      <c r="V247" s="48"/>
    </row>
    <row r="248" spans="1:22" ht="16.5" customHeight="1" x14ac:dyDescent="0.15">
      <c r="A248" s="41">
        <v>15</v>
      </c>
      <c r="B248" s="41" t="s">
        <v>1901</v>
      </c>
      <c r="C248" s="74" t="s">
        <v>24036</v>
      </c>
      <c r="D248" s="72" t="s">
        <v>17832</v>
      </c>
      <c r="F248" s="57"/>
      <c r="G248" s="43"/>
      <c r="H248" s="37"/>
      <c r="I248" s="38"/>
      <c r="J248" s="299" t="s">
        <v>17556</v>
      </c>
      <c r="K248" s="45" t="s">
        <v>398</v>
      </c>
      <c r="L248" s="46">
        <v>1</v>
      </c>
      <c r="M248" s="35"/>
      <c r="P248" s="57"/>
      <c r="Q248" s="35"/>
      <c r="T248" s="57"/>
      <c r="U248" s="208">
        <f>ROUND((_15_同援日増５．５*_15・２人),0)</f>
        <v>715</v>
      </c>
      <c r="V248" s="48"/>
    </row>
    <row r="249" spans="1:22" ht="16.5" customHeight="1" x14ac:dyDescent="0.15">
      <c r="A249" s="41">
        <v>15</v>
      </c>
      <c r="B249" s="41" t="s">
        <v>24037</v>
      </c>
      <c r="C249" s="74" t="s">
        <v>24038</v>
      </c>
      <c r="D249" s="72" t="s">
        <v>18742</v>
      </c>
      <c r="F249" s="57"/>
      <c r="G249" s="114" t="s">
        <v>17558</v>
      </c>
      <c r="H249" s="49"/>
      <c r="I249" s="50"/>
      <c r="J249" s="163"/>
      <c r="K249" s="45"/>
      <c r="L249" s="46"/>
      <c r="M249" s="35"/>
      <c r="P249" s="57"/>
      <c r="Q249" s="35"/>
      <c r="T249" s="57"/>
      <c r="U249" s="208">
        <f>ROUND((_15_同援日増５．５*_15・基礎２),0)</f>
        <v>644</v>
      </c>
      <c r="V249" s="48"/>
    </row>
    <row r="250" spans="1:22" ht="16.5" customHeight="1" x14ac:dyDescent="0.15">
      <c r="A250" s="41">
        <v>15</v>
      </c>
      <c r="B250" s="41" t="s">
        <v>24039</v>
      </c>
      <c r="C250" s="74" t="s">
        <v>24040</v>
      </c>
      <c r="D250" s="72"/>
      <c r="E250" s="168">
        <f>_15_同援日増５．５</f>
        <v>715</v>
      </c>
      <c r="F250" s="57" t="s">
        <v>392</v>
      </c>
      <c r="G250" s="269" t="s">
        <v>17560</v>
      </c>
      <c r="H250" s="37" t="s">
        <v>398</v>
      </c>
      <c r="I250" s="38">
        <v>0.9</v>
      </c>
      <c r="J250" s="299" t="s">
        <v>17556</v>
      </c>
      <c r="K250" s="45" t="s">
        <v>398</v>
      </c>
      <c r="L250" s="46">
        <v>1</v>
      </c>
      <c r="M250" s="43"/>
      <c r="N250" s="37"/>
      <c r="O250" s="38"/>
      <c r="P250" s="79"/>
      <c r="Q250" s="35"/>
      <c r="T250" s="57"/>
      <c r="U250" s="208">
        <f>ROUND((ROUND((_15_同援日増５．５*_15・基礎２),0)*_15・２人),0)</f>
        <v>644</v>
      </c>
      <c r="V250" s="48"/>
    </row>
    <row r="251" spans="1:22" ht="16.5" customHeight="1" x14ac:dyDescent="0.15">
      <c r="A251" s="41">
        <v>15</v>
      </c>
      <c r="B251" s="41" t="s">
        <v>24041</v>
      </c>
      <c r="C251" s="74" t="s">
        <v>24042</v>
      </c>
      <c r="D251" s="72"/>
      <c r="F251" s="57"/>
      <c r="G251" s="53"/>
      <c r="H251" s="49"/>
      <c r="I251" s="50"/>
      <c r="J251" s="163"/>
      <c r="K251" s="45"/>
      <c r="L251" s="46"/>
      <c r="M251" s="114" t="s">
        <v>17562</v>
      </c>
      <c r="N251" s="49"/>
      <c r="O251" s="50"/>
      <c r="P251" s="115"/>
      <c r="Q251" s="35"/>
      <c r="T251" s="57"/>
      <c r="U251" s="208">
        <f>ROUND((_15_同援日増５．５*(1+_15・盲ろう)),0)</f>
        <v>894</v>
      </c>
      <c r="V251" s="48"/>
    </row>
    <row r="252" spans="1:22" ht="16.5" customHeight="1" x14ac:dyDescent="0.15">
      <c r="A252" s="41">
        <v>15</v>
      </c>
      <c r="B252" s="41" t="s">
        <v>24043</v>
      </c>
      <c r="C252" s="74" t="s">
        <v>24044</v>
      </c>
      <c r="D252" s="72"/>
      <c r="F252" s="57"/>
      <c r="G252" s="43"/>
      <c r="H252" s="37"/>
      <c r="I252" s="38"/>
      <c r="J252" s="299" t="s">
        <v>17556</v>
      </c>
      <c r="K252" s="45" t="s">
        <v>398</v>
      </c>
      <c r="L252" s="46">
        <v>1</v>
      </c>
      <c r="M252" s="92" t="s">
        <v>17564</v>
      </c>
      <c r="P252" s="57"/>
      <c r="Q252" s="35"/>
      <c r="T252" s="57"/>
      <c r="U252" s="208">
        <f>ROUND((ROUND((_15_同援日増５．５*_15・２人),0)*(1+_15・盲ろう)),0)</f>
        <v>894</v>
      </c>
      <c r="V252" s="48"/>
    </row>
    <row r="253" spans="1:22" ht="16.5" customHeight="1" x14ac:dyDescent="0.15">
      <c r="A253" s="41">
        <v>15</v>
      </c>
      <c r="B253" s="41" t="s">
        <v>24045</v>
      </c>
      <c r="C253" s="74" t="s">
        <v>24046</v>
      </c>
      <c r="D253" s="72"/>
      <c r="F253" s="57"/>
      <c r="G253" s="114" t="s">
        <v>17558</v>
      </c>
      <c r="H253" s="49"/>
      <c r="I253" s="50"/>
      <c r="J253" s="163"/>
      <c r="K253" s="45"/>
      <c r="L253" s="46"/>
      <c r="M253" s="35"/>
      <c r="N253" s="12" t="s">
        <v>398</v>
      </c>
      <c r="O253" s="13">
        <v>0.25</v>
      </c>
      <c r="P253" s="57" t="s">
        <v>3575</v>
      </c>
      <c r="Q253" s="35"/>
      <c r="T253" s="57"/>
      <c r="U253" s="208">
        <f>ROUND((ROUND((_15_同援日増５．５*_15・基礎２),0)*(1+_15・盲ろう)),0)</f>
        <v>805</v>
      </c>
      <c r="V253" s="48"/>
    </row>
    <row r="254" spans="1:22" ht="16.5" customHeight="1" x14ac:dyDescent="0.15">
      <c r="A254" s="41">
        <v>15</v>
      </c>
      <c r="B254" s="41" t="s">
        <v>24047</v>
      </c>
      <c r="C254" s="74" t="s">
        <v>24048</v>
      </c>
      <c r="D254" s="72"/>
      <c r="F254" s="57"/>
      <c r="G254" s="269" t="s">
        <v>17560</v>
      </c>
      <c r="H254" s="37" t="s">
        <v>398</v>
      </c>
      <c r="I254" s="38">
        <v>0.9</v>
      </c>
      <c r="J254" s="299" t="s">
        <v>17556</v>
      </c>
      <c r="K254" s="45" t="s">
        <v>398</v>
      </c>
      <c r="L254" s="46">
        <v>1</v>
      </c>
      <c r="M254" s="43"/>
      <c r="N254" s="37"/>
      <c r="O254" s="38"/>
      <c r="P254" s="79"/>
      <c r="Q254" s="43"/>
      <c r="R254" s="37"/>
      <c r="S254" s="38"/>
      <c r="T254" s="79"/>
      <c r="U254" s="208">
        <f>ROUND((ROUND((ROUND((_15_同援日増５．５*_15・基礎２),0)*_15・２人),0)*(1+_15・盲ろう)),0)</f>
        <v>805</v>
      </c>
      <c r="V254" s="48"/>
    </row>
    <row r="255" spans="1:22" ht="16.5" customHeight="1" x14ac:dyDescent="0.15">
      <c r="A255" s="41">
        <v>15</v>
      </c>
      <c r="B255" s="41" t="s">
        <v>24049</v>
      </c>
      <c r="C255" s="74" t="s">
        <v>24050</v>
      </c>
      <c r="D255" s="72"/>
      <c r="F255" s="57"/>
      <c r="G255" s="53"/>
      <c r="H255" s="49"/>
      <c r="I255" s="50"/>
      <c r="J255" s="163"/>
      <c r="K255" s="45"/>
      <c r="L255" s="46"/>
      <c r="M255" s="53"/>
      <c r="N255" s="49"/>
      <c r="O255" s="50"/>
      <c r="P255" s="115"/>
      <c r="Q255" s="53"/>
      <c r="R255" s="49"/>
      <c r="S255" s="50"/>
      <c r="T255" s="115"/>
      <c r="U255" s="208">
        <f>ROUND((_15_同援日増５．５*(1+_15・区３)),0)</f>
        <v>858</v>
      </c>
      <c r="V255" s="48"/>
    </row>
    <row r="256" spans="1:22" ht="16.5" customHeight="1" x14ac:dyDescent="0.15">
      <c r="A256" s="41">
        <v>15</v>
      </c>
      <c r="B256" s="41" t="s">
        <v>24051</v>
      </c>
      <c r="C256" s="74" t="s">
        <v>24052</v>
      </c>
      <c r="D256" s="72"/>
      <c r="F256" s="57"/>
      <c r="G256" s="43"/>
      <c r="H256" s="37"/>
      <c r="I256" s="38"/>
      <c r="J256" s="299" t="s">
        <v>17556</v>
      </c>
      <c r="K256" s="45" t="s">
        <v>398</v>
      </c>
      <c r="L256" s="46">
        <v>1</v>
      </c>
      <c r="M256" s="35"/>
      <c r="P256" s="57"/>
      <c r="Q256" s="35"/>
      <c r="T256" s="57"/>
      <c r="U256" s="208">
        <f>ROUND((ROUND((_15_同援日増５．５*_15・２人),0)*(1+_15・区３)),0)</f>
        <v>858</v>
      </c>
      <c r="V256" s="48"/>
    </row>
    <row r="257" spans="1:22" ht="16.5" customHeight="1" x14ac:dyDescent="0.15">
      <c r="A257" s="41">
        <v>15</v>
      </c>
      <c r="B257" s="41" t="s">
        <v>24053</v>
      </c>
      <c r="C257" s="74" t="s">
        <v>24054</v>
      </c>
      <c r="D257" s="72"/>
      <c r="F257" s="57"/>
      <c r="G257" s="114" t="s">
        <v>17558</v>
      </c>
      <c r="H257" s="49"/>
      <c r="I257" s="50"/>
      <c r="J257" s="163"/>
      <c r="K257" s="45"/>
      <c r="L257" s="46"/>
      <c r="M257" s="35"/>
      <c r="P257" s="57"/>
      <c r="Q257" s="72" t="s">
        <v>17570</v>
      </c>
      <c r="T257" s="57"/>
      <c r="U257" s="208">
        <f>ROUND((ROUND((_15_同援日増５．５*_15・基礎２),0)*(1+_15・区３)),0)</f>
        <v>773</v>
      </c>
      <c r="V257" s="48"/>
    </row>
    <row r="258" spans="1:22" ht="16.5" customHeight="1" x14ac:dyDescent="0.15">
      <c r="A258" s="41">
        <v>15</v>
      </c>
      <c r="B258" s="41" t="s">
        <v>24055</v>
      </c>
      <c r="C258" s="74" t="s">
        <v>24056</v>
      </c>
      <c r="D258" s="72"/>
      <c r="F258" s="57"/>
      <c r="G258" s="269" t="s">
        <v>17560</v>
      </c>
      <c r="H258" s="37" t="s">
        <v>398</v>
      </c>
      <c r="I258" s="38">
        <v>0.9</v>
      </c>
      <c r="J258" s="299" t="s">
        <v>17556</v>
      </c>
      <c r="K258" s="45" t="s">
        <v>398</v>
      </c>
      <c r="L258" s="46">
        <v>1</v>
      </c>
      <c r="M258" s="43"/>
      <c r="N258" s="37"/>
      <c r="O258" s="38"/>
      <c r="P258" s="79"/>
      <c r="Q258" s="72" t="s">
        <v>17572</v>
      </c>
      <c r="T258" s="57"/>
      <c r="U258" s="208">
        <f>ROUND((ROUND((ROUND((_15_同援日増５．５*_15・基礎２),0)*_15・２人),0)*(1+_15・区３)),0)</f>
        <v>773</v>
      </c>
      <c r="V258" s="48"/>
    </row>
    <row r="259" spans="1:22" ht="16.5" customHeight="1" x14ac:dyDescent="0.15">
      <c r="A259" s="41">
        <v>15</v>
      </c>
      <c r="B259" s="41" t="s">
        <v>24057</v>
      </c>
      <c r="C259" s="74" t="s">
        <v>24058</v>
      </c>
      <c r="D259" s="72"/>
      <c r="F259" s="57"/>
      <c r="G259" s="53"/>
      <c r="H259" s="49"/>
      <c r="I259" s="50"/>
      <c r="J259" s="163"/>
      <c r="K259" s="45"/>
      <c r="L259" s="46"/>
      <c r="M259" s="114" t="s">
        <v>17562</v>
      </c>
      <c r="N259" s="49"/>
      <c r="O259" s="50"/>
      <c r="P259" s="115"/>
      <c r="Q259" s="35"/>
      <c r="R259" s="12" t="s">
        <v>398</v>
      </c>
      <c r="S259" s="13">
        <v>0.2</v>
      </c>
      <c r="T259" s="57" t="s">
        <v>3575</v>
      </c>
      <c r="U259" s="208">
        <f>ROUND((ROUND((_15_同援日増５．５*(1+_15・盲ろう)),0)*(1+_15・区３)),0)</f>
        <v>1073</v>
      </c>
      <c r="V259" s="48"/>
    </row>
    <row r="260" spans="1:22" ht="16.5" customHeight="1" x14ac:dyDescent="0.15">
      <c r="A260" s="41">
        <v>15</v>
      </c>
      <c r="B260" s="41" t="s">
        <v>24059</v>
      </c>
      <c r="C260" s="74" t="s">
        <v>24060</v>
      </c>
      <c r="D260" s="72"/>
      <c r="F260" s="57"/>
      <c r="G260" s="43"/>
      <c r="H260" s="37"/>
      <c r="I260" s="38"/>
      <c r="J260" s="299" t="s">
        <v>17556</v>
      </c>
      <c r="K260" s="45" t="s">
        <v>398</v>
      </c>
      <c r="L260" s="46">
        <v>1</v>
      </c>
      <c r="M260" s="92" t="s">
        <v>17564</v>
      </c>
      <c r="P260" s="57"/>
      <c r="Q260" s="35"/>
      <c r="T260" s="57"/>
      <c r="U260" s="208">
        <f>ROUND((ROUND((ROUND((_15_同援日増５．５*_15・２人),0)*(1+_15・盲ろう)),0)*(1+_15・区３)),0)</f>
        <v>1073</v>
      </c>
      <c r="V260" s="48"/>
    </row>
    <row r="261" spans="1:22" ht="16.5" customHeight="1" x14ac:dyDescent="0.15">
      <c r="A261" s="41">
        <v>15</v>
      </c>
      <c r="B261" s="41" t="s">
        <v>24061</v>
      </c>
      <c r="C261" s="74" t="s">
        <v>24062</v>
      </c>
      <c r="D261" s="72"/>
      <c r="F261" s="57"/>
      <c r="G261" s="114" t="s">
        <v>17558</v>
      </c>
      <c r="H261" s="49"/>
      <c r="I261" s="50"/>
      <c r="J261" s="163"/>
      <c r="K261" s="45"/>
      <c r="L261" s="46"/>
      <c r="M261" s="35"/>
      <c r="N261" s="12" t="s">
        <v>398</v>
      </c>
      <c r="O261" s="13">
        <v>0.25</v>
      </c>
      <c r="P261" s="57" t="s">
        <v>3575</v>
      </c>
      <c r="Q261" s="35"/>
      <c r="T261" s="57"/>
      <c r="U261" s="208">
        <f>ROUND((ROUND((ROUND((_15_同援日増５．５*_15・基礎２),0)*(1+_15・盲ろう)),0)*(1+_15・区３)),0)</f>
        <v>966</v>
      </c>
      <c r="V261" s="48"/>
    </row>
    <row r="262" spans="1:22" ht="16.5" customHeight="1" x14ac:dyDescent="0.15">
      <c r="A262" s="41">
        <v>15</v>
      </c>
      <c r="B262" s="41" t="s">
        <v>24063</v>
      </c>
      <c r="C262" s="74" t="s">
        <v>24064</v>
      </c>
      <c r="D262" s="72"/>
      <c r="F262" s="57"/>
      <c r="G262" s="269" t="s">
        <v>17560</v>
      </c>
      <c r="H262" s="37" t="s">
        <v>398</v>
      </c>
      <c r="I262" s="38">
        <v>0.9</v>
      </c>
      <c r="J262" s="299" t="s">
        <v>17556</v>
      </c>
      <c r="K262" s="45" t="s">
        <v>398</v>
      </c>
      <c r="L262" s="46">
        <v>1</v>
      </c>
      <c r="M262" s="43"/>
      <c r="N262" s="37"/>
      <c r="O262" s="38"/>
      <c r="P262" s="79"/>
      <c r="Q262" s="43"/>
      <c r="R262" s="37"/>
      <c r="S262" s="38"/>
      <c r="T262" s="79"/>
      <c r="U262" s="208">
        <f>ROUND((ROUND((ROUND((ROUND((_15_同援日増５．５*_15・基礎２),0)*_15・２人),0)*(1+_15・盲ろう)),0)*(1+_15・区３)),0)</f>
        <v>966</v>
      </c>
      <c r="V262" s="48"/>
    </row>
    <row r="263" spans="1:22" ht="16.5" customHeight="1" x14ac:dyDescent="0.15">
      <c r="A263" s="41">
        <v>15</v>
      </c>
      <c r="B263" s="41" t="s">
        <v>24065</v>
      </c>
      <c r="C263" s="74" t="s">
        <v>24066</v>
      </c>
      <c r="D263" s="72"/>
      <c r="F263" s="57"/>
      <c r="G263" s="53"/>
      <c r="H263" s="49"/>
      <c r="I263" s="50"/>
      <c r="J263" s="163"/>
      <c r="K263" s="45"/>
      <c r="L263" s="46"/>
      <c r="M263" s="53"/>
      <c r="N263" s="49"/>
      <c r="O263" s="50"/>
      <c r="P263" s="115"/>
      <c r="Q263" s="53"/>
      <c r="R263" s="49"/>
      <c r="S263" s="50"/>
      <c r="T263" s="115"/>
      <c r="U263" s="208">
        <f>ROUND((_15_同援日増５．５*(1+_15・区４)),0)</f>
        <v>1001</v>
      </c>
      <c r="V263" s="48"/>
    </row>
    <row r="264" spans="1:22" ht="16.5" customHeight="1" x14ac:dyDescent="0.15">
      <c r="A264" s="41">
        <v>15</v>
      </c>
      <c r="B264" s="41" t="s">
        <v>24067</v>
      </c>
      <c r="C264" s="74" t="s">
        <v>24068</v>
      </c>
      <c r="D264" s="72"/>
      <c r="F264" s="57"/>
      <c r="G264" s="43"/>
      <c r="H264" s="37"/>
      <c r="I264" s="38"/>
      <c r="J264" s="299" t="s">
        <v>17556</v>
      </c>
      <c r="K264" s="45" t="s">
        <v>398</v>
      </c>
      <c r="L264" s="46">
        <v>1</v>
      </c>
      <c r="M264" s="35"/>
      <c r="P264" s="57"/>
      <c r="Q264" s="35"/>
      <c r="T264" s="57"/>
      <c r="U264" s="208">
        <f>ROUND((ROUND((_15_同援日増５．５*_15・２人),0)*(1+_15・区４)),0)</f>
        <v>1001</v>
      </c>
      <c r="V264" s="48"/>
    </row>
    <row r="265" spans="1:22" ht="16.5" customHeight="1" x14ac:dyDescent="0.15">
      <c r="A265" s="41">
        <v>15</v>
      </c>
      <c r="B265" s="41" t="s">
        <v>1907</v>
      </c>
      <c r="C265" s="74" t="s">
        <v>24069</v>
      </c>
      <c r="D265" s="72"/>
      <c r="F265" s="57"/>
      <c r="G265" s="114" t="s">
        <v>17558</v>
      </c>
      <c r="H265" s="49"/>
      <c r="I265" s="50"/>
      <c r="J265" s="163"/>
      <c r="K265" s="45"/>
      <c r="L265" s="46"/>
      <c r="M265" s="35"/>
      <c r="P265" s="57"/>
      <c r="Q265" s="72" t="s">
        <v>17580</v>
      </c>
      <c r="T265" s="57"/>
      <c r="U265" s="208">
        <f>ROUND((ROUND((_15_同援日増５．５*_15・基礎２),0)*(1+_15・区４)),0)</f>
        <v>902</v>
      </c>
      <c r="V265" s="48"/>
    </row>
    <row r="266" spans="1:22" ht="16.5" customHeight="1" x14ac:dyDescent="0.15">
      <c r="A266" s="41">
        <v>15</v>
      </c>
      <c r="B266" s="41" t="s">
        <v>1909</v>
      </c>
      <c r="C266" s="74" t="s">
        <v>24070</v>
      </c>
      <c r="D266" s="72"/>
      <c r="F266" s="57"/>
      <c r="G266" s="269" t="s">
        <v>17560</v>
      </c>
      <c r="H266" s="37" t="s">
        <v>398</v>
      </c>
      <c r="I266" s="38">
        <v>0.9</v>
      </c>
      <c r="J266" s="299" t="s">
        <v>17556</v>
      </c>
      <c r="K266" s="45" t="s">
        <v>398</v>
      </c>
      <c r="L266" s="46">
        <v>1</v>
      </c>
      <c r="M266" s="43"/>
      <c r="N266" s="37"/>
      <c r="O266" s="38"/>
      <c r="P266" s="79"/>
      <c r="Q266" s="72" t="s">
        <v>17572</v>
      </c>
      <c r="T266" s="57"/>
      <c r="U266" s="208">
        <f>ROUND((ROUND((ROUND((_15_同援日増５．５*_15・基礎２),0)*_15・２人),0)*(1+_15・区４)),0)</f>
        <v>902</v>
      </c>
      <c r="V266" s="48"/>
    </row>
    <row r="267" spans="1:22" ht="16.5" customHeight="1" x14ac:dyDescent="0.15">
      <c r="A267" s="41">
        <v>15</v>
      </c>
      <c r="B267" s="41" t="s">
        <v>1911</v>
      </c>
      <c r="C267" s="74" t="s">
        <v>24071</v>
      </c>
      <c r="D267" s="72"/>
      <c r="F267" s="57"/>
      <c r="G267" s="53"/>
      <c r="H267" s="49"/>
      <c r="I267" s="50"/>
      <c r="J267" s="163"/>
      <c r="K267" s="45"/>
      <c r="L267" s="46"/>
      <c r="M267" s="114" t="s">
        <v>17562</v>
      </c>
      <c r="N267" s="49"/>
      <c r="O267" s="50"/>
      <c r="P267" s="115"/>
      <c r="Q267" s="35"/>
      <c r="R267" s="12" t="s">
        <v>398</v>
      </c>
      <c r="S267" s="13">
        <v>0.4</v>
      </c>
      <c r="T267" s="57" t="s">
        <v>3575</v>
      </c>
      <c r="U267" s="208">
        <f>ROUND((ROUND((_15_同援日増５．５*(1+_15・盲ろう)),0)*(1+_15・区４)),0)</f>
        <v>1252</v>
      </c>
      <c r="V267" s="48"/>
    </row>
    <row r="268" spans="1:22" ht="16.5" customHeight="1" x14ac:dyDescent="0.15">
      <c r="A268" s="41">
        <v>15</v>
      </c>
      <c r="B268" s="41" t="s">
        <v>1913</v>
      </c>
      <c r="C268" s="74" t="s">
        <v>24072</v>
      </c>
      <c r="D268" s="72"/>
      <c r="F268" s="57"/>
      <c r="G268" s="43"/>
      <c r="H268" s="37"/>
      <c r="I268" s="38"/>
      <c r="J268" s="299" t="s">
        <v>17556</v>
      </c>
      <c r="K268" s="45" t="s">
        <v>398</v>
      </c>
      <c r="L268" s="46">
        <v>1</v>
      </c>
      <c r="M268" s="92" t="s">
        <v>17564</v>
      </c>
      <c r="P268" s="57"/>
      <c r="Q268" s="35"/>
      <c r="T268" s="57"/>
      <c r="U268" s="208">
        <f>ROUND((ROUND((ROUND((_15_同援日増５．５*_15・２人),0)*(1+_15・盲ろう)),0)*(1+_15・区４)),0)</f>
        <v>1252</v>
      </c>
      <c r="V268" s="48"/>
    </row>
    <row r="269" spans="1:22" ht="16.5" customHeight="1" x14ac:dyDescent="0.15">
      <c r="A269" s="41">
        <v>15</v>
      </c>
      <c r="B269" s="41" t="s">
        <v>24073</v>
      </c>
      <c r="C269" s="74" t="s">
        <v>24074</v>
      </c>
      <c r="D269" s="72"/>
      <c r="F269" s="57"/>
      <c r="G269" s="114" t="s">
        <v>17558</v>
      </c>
      <c r="H269" s="49"/>
      <c r="I269" s="50"/>
      <c r="J269" s="163"/>
      <c r="K269" s="45"/>
      <c r="L269" s="46"/>
      <c r="M269" s="35"/>
      <c r="N269" s="12" t="s">
        <v>398</v>
      </c>
      <c r="O269" s="13">
        <v>0.25</v>
      </c>
      <c r="P269" s="57" t="s">
        <v>3575</v>
      </c>
      <c r="Q269" s="35"/>
      <c r="T269" s="57"/>
      <c r="U269" s="208">
        <f>ROUND((ROUND((ROUND((_15_同援日増５．５*_15・基礎２),0)*(1+_15・盲ろう)),0)*(1+_15・区４)),0)</f>
        <v>1127</v>
      </c>
      <c r="V269" s="48"/>
    </row>
    <row r="270" spans="1:22" ht="16.5" customHeight="1" x14ac:dyDescent="0.15">
      <c r="A270" s="41">
        <v>15</v>
      </c>
      <c r="B270" s="41" t="s">
        <v>24075</v>
      </c>
      <c r="C270" s="74" t="s">
        <v>24076</v>
      </c>
      <c r="D270" s="122"/>
      <c r="E270" s="37"/>
      <c r="F270" s="79"/>
      <c r="G270" s="269" t="s">
        <v>17560</v>
      </c>
      <c r="H270" s="37" t="s">
        <v>398</v>
      </c>
      <c r="I270" s="38">
        <v>0.9</v>
      </c>
      <c r="J270" s="299" t="s">
        <v>17556</v>
      </c>
      <c r="K270" s="45" t="s">
        <v>398</v>
      </c>
      <c r="L270" s="46">
        <v>1</v>
      </c>
      <c r="M270" s="43"/>
      <c r="N270" s="37"/>
      <c r="O270" s="38"/>
      <c r="P270" s="79"/>
      <c r="Q270" s="43"/>
      <c r="R270" s="37"/>
      <c r="S270" s="38"/>
      <c r="T270" s="79"/>
      <c r="U270" s="208">
        <f>ROUND((ROUND((ROUND((ROUND((_15_同援日増５．５*_15・基礎２),0)*_15・２人),0)*(1+_15・盲ろう)),0)*(1+_15・区４)),0)</f>
        <v>1127</v>
      </c>
      <c r="V270" s="48"/>
    </row>
    <row r="271" spans="1:22" ht="16.5" customHeight="1" x14ac:dyDescent="0.15">
      <c r="A271" s="41">
        <v>15</v>
      </c>
      <c r="B271" s="41" t="s">
        <v>24077</v>
      </c>
      <c r="C271" s="74" t="s">
        <v>24078</v>
      </c>
      <c r="D271" s="114" t="s">
        <v>24079</v>
      </c>
      <c r="E271" s="49"/>
      <c r="F271" s="115"/>
      <c r="G271" s="53"/>
      <c r="H271" s="49"/>
      <c r="I271" s="50"/>
      <c r="J271" s="163"/>
      <c r="K271" s="45"/>
      <c r="L271" s="46"/>
      <c r="M271" s="53"/>
      <c r="N271" s="49"/>
      <c r="O271" s="50"/>
      <c r="P271" s="115"/>
      <c r="Q271" s="53"/>
      <c r="R271" s="49"/>
      <c r="S271" s="50"/>
      <c r="T271" s="115"/>
      <c r="U271" s="208">
        <f>_15_同援日増６．０</f>
        <v>780</v>
      </c>
      <c r="V271" s="48"/>
    </row>
    <row r="272" spans="1:22" ht="16.5" customHeight="1" x14ac:dyDescent="0.15">
      <c r="A272" s="41">
        <v>15</v>
      </c>
      <c r="B272" s="41" t="s">
        <v>24080</v>
      </c>
      <c r="C272" s="74" t="s">
        <v>24081</v>
      </c>
      <c r="D272" s="72" t="s">
        <v>17859</v>
      </c>
      <c r="F272" s="57"/>
      <c r="G272" s="43"/>
      <c r="H272" s="37"/>
      <c r="I272" s="38"/>
      <c r="J272" s="299" t="s">
        <v>17556</v>
      </c>
      <c r="K272" s="45" t="s">
        <v>398</v>
      </c>
      <c r="L272" s="46">
        <v>1</v>
      </c>
      <c r="M272" s="35"/>
      <c r="P272" s="57"/>
      <c r="Q272" s="35"/>
      <c r="T272" s="57"/>
      <c r="U272" s="208">
        <f>ROUND((_15_同援日増６．０*_15・２人),0)</f>
        <v>780</v>
      </c>
      <c r="V272" s="48"/>
    </row>
    <row r="273" spans="1:22" ht="16.5" customHeight="1" x14ac:dyDescent="0.15">
      <c r="A273" s="41">
        <v>15</v>
      </c>
      <c r="B273" s="41" t="s">
        <v>24082</v>
      </c>
      <c r="C273" s="74" t="s">
        <v>24083</v>
      </c>
      <c r="D273" s="72" t="s">
        <v>18768</v>
      </c>
      <c r="F273" s="57"/>
      <c r="G273" s="114" t="s">
        <v>17558</v>
      </c>
      <c r="H273" s="49"/>
      <c r="I273" s="50"/>
      <c r="J273" s="163"/>
      <c r="K273" s="45"/>
      <c r="L273" s="46"/>
      <c r="M273" s="35"/>
      <c r="P273" s="57"/>
      <c r="Q273" s="35"/>
      <c r="T273" s="57"/>
      <c r="U273" s="208">
        <f>ROUND((_15_同援日増６．０*_15・基礎２),0)</f>
        <v>702</v>
      </c>
      <c r="V273" s="48"/>
    </row>
    <row r="274" spans="1:22" ht="16.5" customHeight="1" x14ac:dyDescent="0.15">
      <c r="A274" s="41">
        <v>15</v>
      </c>
      <c r="B274" s="41" t="s">
        <v>24084</v>
      </c>
      <c r="C274" s="74" t="s">
        <v>24085</v>
      </c>
      <c r="D274" s="72"/>
      <c r="E274" s="168">
        <f>_15_同援日増６．０</f>
        <v>780</v>
      </c>
      <c r="F274" s="57" t="s">
        <v>392</v>
      </c>
      <c r="G274" s="269" t="s">
        <v>17560</v>
      </c>
      <c r="H274" s="37" t="s">
        <v>398</v>
      </c>
      <c r="I274" s="38">
        <v>0.9</v>
      </c>
      <c r="J274" s="299" t="s">
        <v>17556</v>
      </c>
      <c r="K274" s="45" t="s">
        <v>398</v>
      </c>
      <c r="L274" s="46">
        <v>1</v>
      </c>
      <c r="M274" s="43"/>
      <c r="N274" s="37"/>
      <c r="O274" s="38"/>
      <c r="P274" s="79"/>
      <c r="Q274" s="35"/>
      <c r="T274" s="57"/>
      <c r="U274" s="208">
        <f>ROUND((ROUND((_15_同援日増６．０*_15・基礎２),0)*_15・２人),0)</f>
        <v>702</v>
      </c>
      <c r="V274" s="48"/>
    </row>
    <row r="275" spans="1:22" ht="16.5" customHeight="1" x14ac:dyDescent="0.15">
      <c r="A275" s="41">
        <v>15</v>
      </c>
      <c r="B275" s="41" t="s">
        <v>24086</v>
      </c>
      <c r="C275" s="74" t="s">
        <v>24087</v>
      </c>
      <c r="D275" s="72"/>
      <c r="F275" s="57"/>
      <c r="G275" s="53"/>
      <c r="H275" s="49"/>
      <c r="I275" s="50"/>
      <c r="J275" s="163"/>
      <c r="K275" s="45"/>
      <c r="L275" s="46"/>
      <c r="M275" s="114" t="s">
        <v>17562</v>
      </c>
      <c r="N275" s="49"/>
      <c r="O275" s="50"/>
      <c r="P275" s="115"/>
      <c r="Q275" s="35"/>
      <c r="T275" s="57"/>
      <c r="U275" s="208">
        <f>ROUND((_15_同援日増６．０*(1+_15・盲ろう)),0)</f>
        <v>975</v>
      </c>
      <c r="V275" s="48"/>
    </row>
    <row r="276" spans="1:22" ht="16.5" customHeight="1" x14ac:dyDescent="0.15">
      <c r="A276" s="41">
        <v>15</v>
      </c>
      <c r="B276" s="41" t="s">
        <v>24088</v>
      </c>
      <c r="C276" s="74" t="s">
        <v>24089</v>
      </c>
      <c r="D276" s="72"/>
      <c r="F276" s="57"/>
      <c r="G276" s="43"/>
      <c r="H276" s="37"/>
      <c r="I276" s="38"/>
      <c r="J276" s="299" t="s">
        <v>17556</v>
      </c>
      <c r="K276" s="45" t="s">
        <v>398</v>
      </c>
      <c r="L276" s="46">
        <v>1</v>
      </c>
      <c r="M276" s="92" t="s">
        <v>17564</v>
      </c>
      <c r="P276" s="57"/>
      <c r="Q276" s="35"/>
      <c r="T276" s="57"/>
      <c r="U276" s="208">
        <f>ROUND((ROUND((_15_同援日増６．０*_15・２人),0)*(1+_15・盲ろう)),0)</f>
        <v>975</v>
      </c>
      <c r="V276" s="48"/>
    </row>
    <row r="277" spans="1:22" ht="16.5" customHeight="1" x14ac:dyDescent="0.15">
      <c r="A277" s="41">
        <v>15</v>
      </c>
      <c r="B277" s="41" t="s">
        <v>24090</v>
      </c>
      <c r="C277" s="74" t="s">
        <v>24091</v>
      </c>
      <c r="D277" s="72"/>
      <c r="F277" s="57"/>
      <c r="G277" s="114" t="s">
        <v>17558</v>
      </c>
      <c r="H277" s="49"/>
      <c r="I277" s="50"/>
      <c r="J277" s="163"/>
      <c r="K277" s="45"/>
      <c r="L277" s="46"/>
      <c r="M277" s="35"/>
      <c r="N277" s="12" t="s">
        <v>398</v>
      </c>
      <c r="O277" s="13">
        <v>0.25</v>
      </c>
      <c r="P277" s="57" t="s">
        <v>3575</v>
      </c>
      <c r="Q277" s="35"/>
      <c r="T277" s="57"/>
      <c r="U277" s="208">
        <f>ROUND((ROUND((_15_同援日増６．０*_15・基礎２),0)*(1+_15・盲ろう)),0)</f>
        <v>878</v>
      </c>
      <c r="V277" s="48"/>
    </row>
    <row r="278" spans="1:22" ht="16.5" customHeight="1" x14ac:dyDescent="0.15">
      <c r="A278" s="41">
        <v>15</v>
      </c>
      <c r="B278" s="41" t="s">
        <v>24092</v>
      </c>
      <c r="C278" s="74" t="s">
        <v>24093</v>
      </c>
      <c r="D278" s="72"/>
      <c r="F278" s="57"/>
      <c r="G278" s="269" t="s">
        <v>17560</v>
      </c>
      <c r="H278" s="37" t="s">
        <v>398</v>
      </c>
      <c r="I278" s="38">
        <v>0.9</v>
      </c>
      <c r="J278" s="299" t="s">
        <v>17556</v>
      </c>
      <c r="K278" s="45" t="s">
        <v>398</v>
      </c>
      <c r="L278" s="46">
        <v>1</v>
      </c>
      <c r="M278" s="43"/>
      <c r="N278" s="37"/>
      <c r="O278" s="38"/>
      <c r="P278" s="79"/>
      <c r="Q278" s="43"/>
      <c r="R278" s="37"/>
      <c r="S278" s="38"/>
      <c r="T278" s="79"/>
      <c r="U278" s="208">
        <f>ROUND((ROUND((ROUND((_15_同援日増６．０*_15・基礎２),0)*_15・２人),0)*(1+_15・盲ろう)),0)</f>
        <v>878</v>
      </c>
      <c r="V278" s="48"/>
    </row>
    <row r="279" spans="1:22" ht="16.5" customHeight="1" x14ac:dyDescent="0.15">
      <c r="A279" s="41">
        <v>15</v>
      </c>
      <c r="B279" s="41" t="s">
        <v>24094</v>
      </c>
      <c r="C279" s="74" t="s">
        <v>24095</v>
      </c>
      <c r="D279" s="72"/>
      <c r="F279" s="57"/>
      <c r="G279" s="53"/>
      <c r="H279" s="49"/>
      <c r="I279" s="50"/>
      <c r="J279" s="163"/>
      <c r="K279" s="45"/>
      <c r="L279" s="46"/>
      <c r="M279" s="53"/>
      <c r="N279" s="49"/>
      <c r="O279" s="50"/>
      <c r="P279" s="115"/>
      <c r="Q279" s="53"/>
      <c r="R279" s="49"/>
      <c r="S279" s="50"/>
      <c r="T279" s="115"/>
      <c r="U279" s="208">
        <f>ROUND((_15_同援日増６．０*(1+_15・区３)),0)</f>
        <v>936</v>
      </c>
      <c r="V279" s="48"/>
    </row>
    <row r="280" spans="1:22" ht="16.5" customHeight="1" x14ac:dyDescent="0.15">
      <c r="A280" s="41">
        <v>15</v>
      </c>
      <c r="B280" s="41" t="s">
        <v>24096</v>
      </c>
      <c r="C280" s="74" t="s">
        <v>24097</v>
      </c>
      <c r="D280" s="72"/>
      <c r="F280" s="57"/>
      <c r="G280" s="43"/>
      <c r="H280" s="37"/>
      <c r="I280" s="38"/>
      <c r="J280" s="299" t="s">
        <v>17556</v>
      </c>
      <c r="K280" s="45" t="s">
        <v>398</v>
      </c>
      <c r="L280" s="46">
        <v>1</v>
      </c>
      <c r="M280" s="35"/>
      <c r="P280" s="57"/>
      <c r="Q280" s="35"/>
      <c r="T280" s="57"/>
      <c r="U280" s="208">
        <f>ROUND((ROUND((_15_同援日増６．０*_15・２人),0)*(1+_15・区３)),0)</f>
        <v>936</v>
      </c>
      <c r="V280" s="48"/>
    </row>
    <row r="281" spans="1:22" ht="16.5" customHeight="1" x14ac:dyDescent="0.15">
      <c r="A281" s="41">
        <v>15</v>
      </c>
      <c r="B281" s="41" t="s">
        <v>24098</v>
      </c>
      <c r="C281" s="74" t="s">
        <v>24099</v>
      </c>
      <c r="D281" s="72"/>
      <c r="F281" s="57"/>
      <c r="G281" s="114" t="s">
        <v>17558</v>
      </c>
      <c r="H281" s="49"/>
      <c r="I281" s="50"/>
      <c r="J281" s="163"/>
      <c r="K281" s="45"/>
      <c r="L281" s="46"/>
      <c r="M281" s="35"/>
      <c r="P281" s="57"/>
      <c r="Q281" s="72" t="s">
        <v>17570</v>
      </c>
      <c r="T281" s="57"/>
      <c r="U281" s="208">
        <f>ROUND((ROUND((_15_同援日増６．０*_15・基礎２),0)*(1+_15・区３)),0)</f>
        <v>842</v>
      </c>
      <c r="V281" s="48"/>
    </row>
    <row r="282" spans="1:22" ht="16.5" customHeight="1" x14ac:dyDescent="0.15">
      <c r="A282" s="41">
        <v>15</v>
      </c>
      <c r="B282" s="41" t="s">
        <v>24100</v>
      </c>
      <c r="C282" s="74" t="s">
        <v>24101</v>
      </c>
      <c r="D282" s="72"/>
      <c r="F282" s="57"/>
      <c r="G282" s="269" t="s">
        <v>17560</v>
      </c>
      <c r="H282" s="37" t="s">
        <v>398</v>
      </c>
      <c r="I282" s="38">
        <v>0.9</v>
      </c>
      <c r="J282" s="299" t="s">
        <v>17556</v>
      </c>
      <c r="K282" s="45" t="s">
        <v>398</v>
      </c>
      <c r="L282" s="46">
        <v>1</v>
      </c>
      <c r="M282" s="43"/>
      <c r="N282" s="37"/>
      <c r="O282" s="38"/>
      <c r="P282" s="79"/>
      <c r="Q282" s="72" t="s">
        <v>17572</v>
      </c>
      <c r="T282" s="57"/>
      <c r="U282" s="208">
        <f>ROUND((ROUND((ROUND((_15_同援日増６．０*_15・基礎２),0)*_15・２人),0)*(1+_15・区３)),0)</f>
        <v>842</v>
      </c>
      <c r="V282" s="48"/>
    </row>
    <row r="283" spans="1:22" ht="16.5" customHeight="1" x14ac:dyDescent="0.15">
      <c r="A283" s="41">
        <v>15</v>
      </c>
      <c r="B283" s="41" t="s">
        <v>24102</v>
      </c>
      <c r="C283" s="74" t="s">
        <v>24103</v>
      </c>
      <c r="D283" s="72"/>
      <c r="F283" s="57"/>
      <c r="G283" s="53"/>
      <c r="H283" s="49"/>
      <c r="I283" s="50"/>
      <c r="J283" s="163"/>
      <c r="K283" s="45"/>
      <c r="L283" s="46"/>
      <c r="M283" s="114" t="s">
        <v>17562</v>
      </c>
      <c r="N283" s="49"/>
      <c r="O283" s="50"/>
      <c r="P283" s="115"/>
      <c r="Q283" s="35"/>
      <c r="R283" s="12" t="s">
        <v>398</v>
      </c>
      <c r="S283" s="13">
        <v>0.2</v>
      </c>
      <c r="T283" s="57" t="s">
        <v>3575</v>
      </c>
      <c r="U283" s="208">
        <f>ROUND((ROUND((_15_同援日増６．０*(1+_15・盲ろう)),0)*(1+_15・区３)),0)</f>
        <v>1170</v>
      </c>
      <c r="V283" s="48"/>
    </row>
    <row r="284" spans="1:22" ht="16.5" customHeight="1" x14ac:dyDescent="0.15">
      <c r="A284" s="41">
        <v>15</v>
      </c>
      <c r="B284" s="41" t="s">
        <v>24104</v>
      </c>
      <c r="C284" s="74" t="s">
        <v>24105</v>
      </c>
      <c r="D284" s="72"/>
      <c r="F284" s="57"/>
      <c r="G284" s="43"/>
      <c r="H284" s="37"/>
      <c r="I284" s="38"/>
      <c r="J284" s="299" t="s">
        <v>17556</v>
      </c>
      <c r="K284" s="45" t="s">
        <v>398</v>
      </c>
      <c r="L284" s="46">
        <v>1</v>
      </c>
      <c r="M284" s="92" t="s">
        <v>17564</v>
      </c>
      <c r="P284" s="57"/>
      <c r="Q284" s="35"/>
      <c r="T284" s="57"/>
      <c r="U284" s="208">
        <f>ROUND((ROUND((ROUND((_15_同援日増６．０*_15・２人),0)*(1+_15・盲ろう)),0)*(1+_15・区３)),0)</f>
        <v>1170</v>
      </c>
      <c r="V284" s="48"/>
    </row>
    <row r="285" spans="1:22" ht="16.5" customHeight="1" x14ac:dyDescent="0.15">
      <c r="A285" s="41">
        <v>15</v>
      </c>
      <c r="B285" s="41" t="s">
        <v>1919</v>
      </c>
      <c r="C285" s="74" t="s">
        <v>24106</v>
      </c>
      <c r="D285" s="72"/>
      <c r="F285" s="57"/>
      <c r="G285" s="114" t="s">
        <v>17558</v>
      </c>
      <c r="H285" s="49"/>
      <c r="I285" s="50"/>
      <c r="J285" s="163"/>
      <c r="K285" s="45"/>
      <c r="L285" s="46"/>
      <c r="M285" s="35"/>
      <c r="N285" s="12" t="s">
        <v>398</v>
      </c>
      <c r="O285" s="13">
        <v>0.25</v>
      </c>
      <c r="P285" s="57" t="s">
        <v>3575</v>
      </c>
      <c r="Q285" s="35"/>
      <c r="T285" s="57"/>
      <c r="U285" s="208">
        <f>ROUND((ROUND((ROUND((_15_同援日増６．０*_15・基礎２),0)*(1+_15・盲ろう)),0)*(1+_15・区３)),0)</f>
        <v>1054</v>
      </c>
      <c r="V285" s="48"/>
    </row>
    <row r="286" spans="1:22" ht="16.5" customHeight="1" x14ac:dyDescent="0.15">
      <c r="A286" s="41">
        <v>15</v>
      </c>
      <c r="B286" s="41" t="s">
        <v>1921</v>
      </c>
      <c r="C286" s="74" t="s">
        <v>24107</v>
      </c>
      <c r="D286" s="72"/>
      <c r="F286" s="57"/>
      <c r="G286" s="269" t="s">
        <v>17560</v>
      </c>
      <c r="H286" s="37" t="s">
        <v>398</v>
      </c>
      <c r="I286" s="38">
        <v>0.9</v>
      </c>
      <c r="J286" s="299" t="s">
        <v>17556</v>
      </c>
      <c r="K286" s="45" t="s">
        <v>398</v>
      </c>
      <c r="L286" s="46">
        <v>1</v>
      </c>
      <c r="M286" s="43"/>
      <c r="N286" s="37"/>
      <c r="O286" s="38"/>
      <c r="P286" s="79"/>
      <c r="Q286" s="43"/>
      <c r="R286" s="37"/>
      <c r="S286" s="38"/>
      <c r="T286" s="79"/>
      <c r="U286" s="208">
        <f>ROUND((ROUND((ROUND((ROUND((_15_同援日増６．０*_15・基礎２),0)*_15・２人),0)*(1+_15・盲ろう)),0)*(1+_15・区３)),0)</f>
        <v>1054</v>
      </c>
      <c r="V286" s="48"/>
    </row>
    <row r="287" spans="1:22" ht="16.5" customHeight="1" x14ac:dyDescent="0.15">
      <c r="A287" s="41">
        <v>15</v>
      </c>
      <c r="B287" s="41" t="s">
        <v>1923</v>
      </c>
      <c r="C287" s="74" t="s">
        <v>24108</v>
      </c>
      <c r="D287" s="72"/>
      <c r="F287" s="57"/>
      <c r="G287" s="53"/>
      <c r="H287" s="49"/>
      <c r="I287" s="50"/>
      <c r="J287" s="163"/>
      <c r="K287" s="45"/>
      <c r="L287" s="46"/>
      <c r="M287" s="53"/>
      <c r="N287" s="49"/>
      <c r="O287" s="50"/>
      <c r="P287" s="115"/>
      <c r="Q287" s="53"/>
      <c r="R287" s="49"/>
      <c r="S287" s="50"/>
      <c r="T287" s="115"/>
      <c r="U287" s="208">
        <f>ROUND((_15_同援日増６．０*(1+_15・区４)),0)</f>
        <v>1092</v>
      </c>
      <c r="V287" s="48"/>
    </row>
    <row r="288" spans="1:22" ht="16.5" customHeight="1" x14ac:dyDescent="0.15">
      <c r="A288" s="41">
        <v>15</v>
      </c>
      <c r="B288" s="41" t="s">
        <v>1925</v>
      </c>
      <c r="C288" s="74" t="s">
        <v>24109</v>
      </c>
      <c r="D288" s="72"/>
      <c r="F288" s="57"/>
      <c r="G288" s="43"/>
      <c r="H288" s="37"/>
      <c r="I288" s="38"/>
      <c r="J288" s="299" t="s">
        <v>17556</v>
      </c>
      <c r="K288" s="45" t="s">
        <v>398</v>
      </c>
      <c r="L288" s="46">
        <v>1</v>
      </c>
      <c r="M288" s="35"/>
      <c r="P288" s="57"/>
      <c r="Q288" s="35"/>
      <c r="T288" s="57"/>
      <c r="U288" s="208">
        <f>ROUND((ROUND((_15_同援日増６．０*_15・２人),0)*(1+_15・区４)),0)</f>
        <v>1092</v>
      </c>
      <c r="V288" s="48"/>
    </row>
    <row r="289" spans="1:22" ht="16.5" customHeight="1" x14ac:dyDescent="0.15">
      <c r="A289" s="41">
        <v>15</v>
      </c>
      <c r="B289" s="41" t="s">
        <v>24110</v>
      </c>
      <c r="C289" s="74" t="s">
        <v>24111</v>
      </c>
      <c r="D289" s="72"/>
      <c r="F289" s="57"/>
      <c r="G289" s="114" t="s">
        <v>17558</v>
      </c>
      <c r="H289" s="49"/>
      <c r="I289" s="50"/>
      <c r="J289" s="163"/>
      <c r="K289" s="45"/>
      <c r="L289" s="46"/>
      <c r="M289" s="35"/>
      <c r="P289" s="57"/>
      <c r="Q289" s="72" t="s">
        <v>17580</v>
      </c>
      <c r="T289" s="57"/>
      <c r="U289" s="208">
        <f>ROUND((ROUND((_15_同援日増６．０*_15・基礎２),0)*(1+_15・区４)),0)</f>
        <v>983</v>
      </c>
      <c r="V289" s="48"/>
    </row>
    <row r="290" spans="1:22" ht="16.5" customHeight="1" x14ac:dyDescent="0.15">
      <c r="A290" s="41">
        <v>15</v>
      </c>
      <c r="B290" s="41" t="s">
        <v>24112</v>
      </c>
      <c r="C290" s="74" t="s">
        <v>24113</v>
      </c>
      <c r="D290" s="72"/>
      <c r="F290" s="57"/>
      <c r="G290" s="269" t="s">
        <v>17560</v>
      </c>
      <c r="H290" s="37" t="s">
        <v>398</v>
      </c>
      <c r="I290" s="38">
        <v>0.9</v>
      </c>
      <c r="J290" s="299" t="s">
        <v>17556</v>
      </c>
      <c r="K290" s="45" t="s">
        <v>398</v>
      </c>
      <c r="L290" s="46">
        <v>1</v>
      </c>
      <c r="M290" s="43"/>
      <c r="N290" s="37"/>
      <c r="O290" s="38"/>
      <c r="P290" s="79"/>
      <c r="Q290" s="72" t="s">
        <v>17572</v>
      </c>
      <c r="T290" s="57"/>
      <c r="U290" s="208">
        <f>ROUND((ROUND((ROUND((_15_同援日増６．０*_15・基礎２),0)*_15・２人),0)*(1+_15・区４)),0)</f>
        <v>983</v>
      </c>
      <c r="V290" s="48"/>
    </row>
    <row r="291" spans="1:22" ht="16.5" customHeight="1" x14ac:dyDescent="0.15">
      <c r="A291" s="41">
        <v>15</v>
      </c>
      <c r="B291" s="41" t="s">
        <v>24114</v>
      </c>
      <c r="C291" s="74" t="s">
        <v>24115</v>
      </c>
      <c r="D291" s="72"/>
      <c r="F291" s="57"/>
      <c r="G291" s="53"/>
      <c r="H291" s="49"/>
      <c r="I291" s="50"/>
      <c r="J291" s="163"/>
      <c r="K291" s="45"/>
      <c r="L291" s="46"/>
      <c r="M291" s="114" t="s">
        <v>17562</v>
      </c>
      <c r="N291" s="49"/>
      <c r="O291" s="50"/>
      <c r="P291" s="115"/>
      <c r="Q291" s="35"/>
      <c r="R291" s="12" t="s">
        <v>398</v>
      </c>
      <c r="S291" s="13">
        <v>0.4</v>
      </c>
      <c r="T291" s="57" t="s">
        <v>3575</v>
      </c>
      <c r="U291" s="208">
        <f>ROUND((ROUND((_15_同援日増６．０*(1+_15・盲ろう)),0)*(1+_15・区４)),0)</f>
        <v>1365</v>
      </c>
      <c r="V291" s="48"/>
    </row>
    <row r="292" spans="1:22" ht="16.5" customHeight="1" x14ac:dyDescent="0.15">
      <c r="A292" s="41">
        <v>15</v>
      </c>
      <c r="B292" s="41" t="s">
        <v>24116</v>
      </c>
      <c r="C292" s="74" t="s">
        <v>24117</v>
      </c>
      <c r="D292" s="72"/>
      <c r="F292" s="57"/>
      <c r="G292" s="43"/>
      <c r="H292" s="37"/>
      <c r="I292" s="38"/>
      <c r="J292" s="299" t="s">
        <v>17556</v>
      </c>
      <c r="K292" s="45" t="s">
        <v>398</v>
      </c>
      <c r="L292" s="46">
        <v>1</v>
      </c>
      <c r="M292" s="92" t="s">
        <v>17564</v>
      </c>
      <c r="P292" s="57"/>
      <c r="Q292" s="35"/>
      <c r="T292" s="57"/>
      <c r="U292" s="208">
        <f>ROUND((ROUND((ROUND((_15_同援日増６．０*_15・２人),0)*(1+_15・盲ろう)),0)*(1+_15・区４)),0)</f>
        <v>1365</v>
      </c>
      <c r="V292" s="48"/>
    </row>
    <row r="293" spans="1:22" ht="16.5" customHeight="1" x14ac:dyDescent="0.15">
      <c r="A293" s="41">
        <v>15</v>
      </c>
      <c r="B293" s="41" t="s">
        <v>24118</v>
      </c>
      <c r="C293" s="74" t="s">
        <v>24119</v>
      </c>
      <c r="D293" s="72"/>
      <c r="F293" s="57"/>
      <c r="G293" s="114" t="s">
        <v>17558</v>
      </c>
      <c r="H293" s="49"/>
      <c r="I293" s="50"/>
      <c r="J293" s="163"/>
      <c r="K293" s="45"/>
      <c r="L293" s="46"/>
      <c r="M293" s="35"/>
      <c r="N293" s="12" t="s">
        <v>398</v>
      </c>
      <c r="O293" s="13">
        <v>0.25</v>
      </c>
      <c r="P293" s="57" t="s">
        <v>3575</v>
      </c>
      <c r="Q293" s="35"/>
      <c r="T293" s="57"/>
      <c r="U293" s="208">
        <f>ROUND((ROUND((ROUND((_15_同援日増６．０*_15・基礎２),0)*(1+_15・盲ろう)),0)*(1+_15・区４)),0)</f>
        <v>1229</v>
      </c>
      <c r="V293" s="48"/>
    </row>
    <row r="294" spans="1:22" ht="16.5" customHeight="1" x14ac:dyDescent="0.15">
      <c r="A294" s="41">
        <v>15</v>
      </c>
      <c r="B294" s="41" t="s">
        <v>24120</v>
      </c>
      <c r="C294" s="74" t="s">
        <v>24121</v>
      </c>
      <c r="D294" s="122"/>
      <c r="E294" s="37"/>
      <c r="F294" s="79"/>
      <c r="G294" s="269" t="s">
        <v>17560</v>
      </c>
      <c r="H294" s="37" t="s">
        <v>398</v>
      </c>
      <c r="I294" s="38">
        <v>0.9</v>
      </c>
      <c r="J294" s="299" t="s">
        <v>17556</v>
      </c>
      <c r="K294" s="45" t="s">
        <v>398</v>
      </c>
      <c r="L294" s="46">
        <v>1</v>
      </c>
      <c r="M294" s="43"/>
      <c r="N294" s="37"/>
      <c r="O294" s="38"/>
      <c r="P294" s="79"/>
      <c r="Q294" s="43"/>
      <c r="R294" s="37"/>
      <c r="S294" s="38"/>
      <c r="T294" s="79"/>
      <c r="U294" s="208">
        <f>ROUND((ROUND((ROUND((ROUND((_15_同援日増６．０*_15・基礎２),0)*_15・２人),0)*(1+_15・盲ろう)),0)*(1+_15・区４)),0)</f>
        <v>1229</v>
      </c>
      <c r="V294" s="63"/>
    </row>
    <row r="295" spans="1:22" ht="16.5" customHeight="1" x14ac:dyDescent="0.15">
      <c r="A295" s="41">
        <v>15</v>
      </c>
      <c r="B295" s="41" t="s">
        <v>24122</v>
      </c>
      <c r="C295" s="74" t="s">
        <v>24123</v>
      </c>
      <c r="D295" s="114" t="s">
        <v>24124</v>
      </c>
      <c r="E295" s="49"/>
      <c r="F295" s="115"/>
      <c r="G295" s="53"/>
      <c r="H295" s="49"/>
      <c r="I295" s="50"/>
      <c r="J295" s="163"/>
      <c r="K295" s="45"/>
      <c r="L295" s="46"/>
      <c r="M295" s="53"/>
      <c r="N295" s="49"/>
      <c r="O295" s="50"/>
      <c r="P295" s="115"/>
      <c r="Q295" s="53"/>
      <c r="R295" s="49"/>
      <c r="S295" s="50"/>
      <c r="T295" s="115"/>
      <c r="U295" s="208">
        <f>_15_同援日増６．５</f>
        <v>845</v>
      </c>
      <c r="V295" s="64"/>
    </row>
    <row r="296" spans="1:22" ht="16.5" customHeight="1" x14ac:dyDescent="0.15">
      <c r="A296" s="41">
        <v>15</v>
      </c>
      <c r="B296" s="41" t="s">
        <v>24125</v>
      </c>
      <c r="C296" s="74" t="s">
        <v>24126</v>
      </c>
      <c r="D296" s="72" t="s">
        <v>17886</v>
      </c>
      <c r="F296" s="57"/>
      <c r="G296" s="43"/>
      <c r="H296" s="37"/>
      <c r="I296" s="38"/>
      <c r="J296" s="299" t="s">
        <v>17556</v>
      </c>
      <c r="K296" s="45" t="s">
        <v>398</v>
      </c>
      <c r="L296" s="46">
        <v>1</v>
      </c>
      <c r="M296" s="35"/>
      <c r="P296" s="57"/>
      <c r="Q296" s="35"/>
      <c r="T296" s="57"/>
      <c r="U296" s="208">
        <f>ROUND((_15_同援日増６．５*_15・２人),0)</f>
        <v>845</v>
      </c>
      <c r="V296" s="48"/>
    </row>
    <row r="297" spans="1:22" ht="16.5" customHeight="1" x14ac:dyDescent="0.15">
      <c r="A297" s="41">
        <v>15</v>
      </c>
      <c r="B297" s="41" t="s">
        <v>24127</v>
      </c>
      <c r="C297" s="74" t="s">
        <v>24128</v>
      </c>
      <c r="D297" s="72" t="s">
        <v>18794</v>
      </c>
      <c r="F297" s="57"/>
      <c r="G297" s="114" t="s">
        <v>17558</v>
      </c>
      <c r="H297" s="49"/>
      <c r="I297" s="50"/>
      <c r="J297" s="163"/>
      <c r="K297" s="45"/>
      <c r="L297" s="46"/>
      <c r="M297" s="35"/>
      <c r="P297" s="57"/>
      <c r="Q297" s="35"/>
      <c r="T297" s="57"/>
      <c r="U297" s="208">
        <f>ROUND((_15_同援日増６．５*_15・基礎２),0)</f>
        <v>761</v>
      </c>
      <c r="V297" s="48"/>
    </row>
    <row r="298" spans="1:22" ht="16.5" customHeight="1" x14ac:dyDescent="0.15">
      <c r="A298" s="41">
        <v>15</v>
      </c>
      <c r="B298" s="41" t="s">
        <v>24129</v>
      </c>
      <c r="C298" s="74" t="s">
        <v>24130</v>
      </c>
      <c r="D298" s="72"/>
      <c r="E298" s="168">
        <f>_15_同援日増６．５</f>
        <v>845</v>
      </c>
      <c r="F298" s="57" t="s">
        <v>392</v>
      </c>
      <c r="G298" s="269" t="s">
        <v>17560</v>
      </c>
      <c r="H298" s="37" t="s">
        <v>398</v>
      </c>
      <c r="I298" s="38">
        <v>0.9</v>
      </c>
      <c r="J298" s="299" t="s">
        <v>17556</v>
      </c>
      <c r="K298" s="45" t="s">
        <v>398</v>
      </c>
      <c r="L298" s="46">
        <v>1</v>
      </c>
      <c r="M298" s="43"/>
      <c r="N298" s="37"/>
      <c r="O298" s="38"/>
      <c r="P298" s="79"/>
      <c r="Q298" s="35"/>
      <c r="T298" s="57"/>
      <c r="U298" s="208">
        <f>ROUND((ROUND((_15_同援日増６．５*_15・基礎２),0)*_15・２人),0)</f>
        <v>761</v>
      </c>
      <c r="V298" s="48"/>
    </row>
    <row r="299" spans="1:22" ht="16.5" customHeight="1" x14ac:dyDescent="0.15">
      <c r="A299" s="41">
        <v>15</v>
      </c>
      <c r="B299" s="41" t="s">
        <v>24131</v>
      </c>
      <c r="C299" s="74" t="s">
        <v>24132</v>
      </c>
      <c r="D299" s="72"/>
      <c r="F299" s="57"/>
      <c r="G299" s="53"/>
      <c r="H299" s="49"/>
      <c r="I299" s="50"/>
      <c r="J299" s="163"/>
      <c r="K299" s="45"/>
      <c r="L299" s="46"/>
      <c r="M299" s="114" t="s">
        <v>17562</v>
      </c>
      <c r="N299" s="49"/>
      <c r="O299" s="50"/>
      <c r="P299" s="115"/>
      <c r="Q299" s="35"/>
      <c r="T299" s="57"/>
      <c r="U299" s="208">
        <f>ROUND((_15_同援日増６．５*(1+_15・盲ろう)),0)</f>
        <v>1056</v>
      </c>
      <c r="V299" s="48"/>
    </row>
    <row r="300" spans="1:22" ht="16.5" customHeight="1" x14ac:dyDescent="0.15">
      <c r="A300" s="41">
        <v>15</v>
      </c>
      <c r="B300" s="41" t="s">
        <v>24133</v>
      </c>
      <c r="C300" s="74" t="s">
        <v>24134</v>
      </c>
      <c r="D300" s="72"/>
      <c r="F300" s="57"/>
      <c r="G300" s="43"/>
      <c r="H300" s="37"/>
      <c r="I300" s="38"/>
      <c r="J300" s="299" t="s">
        <v>17556</v>
      </c>
      <c r="K300" s="45" t="s">
        <v>398</v>
      </c>
      <c r="L300" s="46">
        <v>1</v>
      </c>
      <c r="M300" s="92" t="s">
        <v>17564</v>
      </c>
      <c r="P300" s="57"/>
      <c r="Q300" s="35"/>
      <c r="T300" s="57"/>
      <c r="U300" s="208">
        <f>ROUND((ROUND((_15_同援日増６．５*_15・２人),0)*(1+_15・盲ろう)),0)</f>
        <v>1056</v>
      </c>
      <c r="V300" s="48"/>
    </row>
    <row r="301" spans="1:22" ht="16.5" customHeight="1" x14ac:dyDescent="0.15">
      <c r="A301" s="41">
        <v>15</v>
      </c>
      <c r="B301" s="41" t="s">
        <v>24135</v>
      </c>
      <c r="C301" s="74" t="s">
        <v>24136</v>
      </c>
      <c r="D301" s="72"/>
      <c r="F301" s="57"/>
      <c r="G301" s="114" t="s">
        <v>17558</v>
      </c>
      <c r="H301" s="49"/>
      <c r="I301" s="50"/>
      <c r="J301" s="163"/>
      <c r="K301" s="45"/>
      <c r="L301" s="46"/>
      <c r="M301" s="35"/>
      <c r="N301" s="12" t="s">
        <v>398</v>
      </c>
      <c r="O301" s="13">
        <v>0.25</v>
      </c>
      <c r="P301" s="57" t="s">
        <v>3575</v>
      </c>
      <c r="Q301" s="35"/>
      <c r="T301" s="57"/>
      <c r="U301" s="208">
        <f>ROUND((ROUND((_15_同援日増６．５*_15・基礎２),0)*(1+_15・盲ろう)),0)</f>
        <v>951</v>
      </c>
      <c r="V301" s="48"/>
    </row>
    <row r="302" spans="1:22" ht="16.5" customHeight="1" x14ac:dyDescent="0.15">
      <c r="A302" s="41">
        <v>15</v>
      </c>
      <c r="B302" s="41" t="s">
        <v>24137</v>
      </c>
      <c r="C302" s="74" t="s">
        <v>24138</v>
      </c>
      <c r="D302" s="72"/>
      <c r="F302" s="57"/>
      <c r="G302" s="269" t="s">
        <v>17560</v>
      </c>
      <c r="H302" s="37" t="s">
        <v>398</v>
      </c>
      <c r="I302" s="38">
        <v>0.9</v>
      </c>
      <c r="J302" s="299" t="s">
        <v>17556</v>
      </c>
      <c r="K302" s="45" t="s">
        <v>398</v>
      </c>
      <c r="L302" s="46">
        <v>1</v>
      </c>
      <c r="M302" s="43"/>
      <c r="N302" s="37"/>
      <c r="O302" s="38"/>
      <c r="P302" s="79"/>
      <c r="Q302" s="43"/>
      <c r="R302" s="37"/>
      <c r="S302" s="38"/>
      <c r="T302" s="79"/>
      <c r="U302" s="208">
        <f>ROUND((ROUND((ROUND((_15_同援日増６．５*_15・基礎２),0)*_15・２人),0)*(1+_15・盲ろう)),0)</f>
        <v>951</v>
      </c>
      <c r="V302" s="48"/>
    </row>
    <row r="303" spans="1:22" ht="16.5" customHeight="1" x14ac:dyDescent="0.15">
      <c r="A303" s="41">
        <v>15</v>
      </c>
      <c r="B303" s="41" t="s">
        <v>24139</v>
      </c>
      <c r="C303" s="74" t="s">
        <v>24140</v>
      </c>
      <c r="D303" s="72"/>
      <c r="F303" s="57"/>
      <c r="G303" s="53"/>
      <c r="H303" s="49"/>
      <c r="I303" s="50"/>
      <c r="J303" s="163"/>
      <c r="K303" s="45"/>
      <c r="L303" s="46"/>
      <c r="M303" s="53"/>
      <c r="N303" s="49"/>
      <c r="O303" s="50"/>
      <c r="P303" s="115"/>
      <c r="Q303" s="53"/>
      <c r="R303" s="49"/>
      <c r="S303" s="50"/>
      <c r="T303" s="115"/>
      <c r="U303" s="208">
        <f>ROUND((_15_同援日増６．５*(1+_15・区３)),0)</f>
        <v>1014</v>
      </c>
      <c r="V303" s="48"/>
    </row>
    <row r="304" spans="1:22" ht="16.5" customHeight="1" x14ac:dyDescent="0.15">
      <c r="A304" s="41">
        <v>15</v>
      </c>
      <c r="B304" s="41" t="s">
        <v>24141</v>
      </c>
      <c r="C304" s="74" t="s">
        <v>24142</v>
      </c>
      <c r="D304" s="72"/>
      <c r="F304" s="57"/>
      <c r="G304" s="43"/>
      <c r="H304" s="37"/>
      <c r="I304" s="38"/>
      <c r="J304" s="299" t="s">
        <v>17556</v>
      </c>
      <c r="K304" s="45" t="s">
        <v>398</v>
      </c>
      <c r="L304" s="46">
        <v>1</v>
      </c>
      <c r="M304" s="35"/>
      <c r="P304" s="57"/>
      <c r="Q304" s="35"/>
      <c r="T304" s="57"/>
      <c r="U304" s="208">
        <f>ROUND((ROUND((_15_同援日増６．５*_15・２人),0)*(1+_15・区３)),0)</f>
        <v>1014</v>
      </c>
      <c r="V304" s="48"/>
    </row>
    <row r="305" spans="1:22" ht="16.5" customHeight="1" x14ac:dyDescent="0.15">
      <c r="A305" s="41">
        <v>15</v>
      </c>
      <c r="B305" s="41" t="s">
        <v>1931</v>
      </c>
      <c r="C305" s="74" t="s">
        <v>24143</v>
      </c>
      <c r="D305" s="72"/>
      <c r="F305" s="57"/>
      <c r="G305" s="114" t="s">
        <v>17558</v>
      </c>
      <c r="H305" s="49"/>
      <c r="I305" s="50"/>
      <c r="J305" s="163"/>
      <c r="K305" s="45"/>
      <c r="L305" s="46"/>
      <c r="M305" s="35"/>
      <c r="P305" s="57"/>
      <c r="Q305" s="72" t="s">
        <v>17570</v>
      </c>
      <c r="T305" s="57"/>
      <c r="U305" s="208">
        <f>ROUND((ROUND((_15_同援日増６．５*_15・基礎２),0)*(1+_15・区３)),0)</f>
        <v>913</v>
      </c>
      <c r="V305" s="48"/>
    </row>
    <row r="306" spans="1:22" ht="16.5" customHeight="1" x14ac:dyDescent="0.15">
      <c r="A306" s="41">
        <v>15</v>
      </c>
      <c r="B306" s="41" t="s">
        <v>1933</v>
      </c>
      <c r="C306" s="74" t="s">
        <v>24144</v>
      </c>
      <c r="D306" s="72"/>
      <c r="F306" s="57"/>
      <c r="G306" s="269" t="s">
        <v>17560</v>
      </c>
      <c r="H306" s="37" t="s">
        <v>398</v>
      </c>
      <c r="I306" s="38">
        <v>0.9</v>
      </c>
      <c r="J306" s="299" t="s">
        <v>17556</v>
      </c>
      <c r="K306" s="45" t="s">
        <v>398</v>
      </c>
      <c r="L306" s="46">
        <v>1</v>
      </c>
      <c r="M306" s="43"/>
      <c r="N306" s="37"/>
      <c r="O306" s="38"/>
      <c r="P306" s="79"/>
      <c r="Q306" s="72" t="s">
        <v>17572</v>
      </c>
      <c r="T306" s="57"/>
      <c r="U306" s="208">
        <f>ROUND((ROUND((ROUND((_15_同援日増６．５*_15・基礎２),0)*_15・２人),0)*(1+_15・区３)),0)</f>
        <v>913</v>
      </c>
      <c r="V306" s="48"/>
    </row>
    <row r="307" spans="1:22" ht="16.5" customHeight="1" x14ac:dyDescent="0.15">
      <c r="A307" s="41">
        <v>15</v>
      </c>
      <c r="B307" s="41" t="s">
        <v>1935</v>
      </c>
      <c r="C307" s="74" t="s">
        <v>24145</v>
      </c>
      <c r="D307" s="72"/>
      <c r="F307" s="57"/>
      <c r="G307" s="53"/>
      <c r="H307" s="49"/>
      <c r="I307" s="50"/>
      <c r="J307" s="163"/>
      <c r="K307" s="45"/>
      <c r="L307" s="46"/>
      <c r="M307" s="114" t="s">
        <v>17562</v>
      </c>
      <c r="N307" s="49"/>
      <c r="O307" s="50"/>
      <c r="P307" s="115"/>
      <c r="Q307" s="35"/>
      <c r="R307" s="12" t="s">
        <v>398</v>
      </c>
      <c r="S307" s="13">
        <v>0.2</v>
      </c>
      <c r="T307" s="57" t="s">
        <v>3575</v>
      </c>
      <c r="U307" s="208">
        <f>ROUND((ROUND((_15_同援日増６．５*(1+_15・盲ろう)),0)*(1+_15・区３)),0)</f>
        <v>1267</v>
      </c>
      <c r="V307" s="48"/>
    </row>
    <row r="308" spans="1:22" ht="16.5" customHeight="1" x14ac:dyDescent="0.15">
      <c r="A308" s="41">
        <v>15</v>
      </c>
      <c r="B308" s="41" t="s">
        <v>1937</v>
      </c>
      <c r="C308" s="74" t="s">
        <v>24146</v>
      </c>
      <c r="D308" s="72"/>
      <c r="F308" s="57"/>
      <c r="G308" s="43"/>
      <c r="H308" s="37"/>
      <c r="I308" s="38"/>
      <c r="J308" s="299" t="s">
        <v>17556</v>
      </c>
      <c r="K308" s="45" t="s">
        <v>398</v>
      </c>
      <c r="L308" s="46">
        <v>1</v>
      </c>
      <c r="M308" s="92" t="s">
        <v>17564</v>
      </c>
      <c r="P308" s="57"/>
      <c r="Q308" s="35"/>
      <c r="T308" s="57"/>
      <c r="U308" s="208">
        <f>ROUND((ROUND((ROUND((_15_同援日増６．５*_15・２人),0)*(1+_15・盲ろう)),0)*(1+_15・区３)),0)</f>
        <v>1267</v>
      </c>
      <c r="V308" s="48"/>
    </row>
    <row r="309" spans="1:22" ht="16.5" customHeight="1" x14ac:dyDescent="0.15">
      <c r="A309" s="41">
        <v>15</v>
      </c>
      <c r="B309" s="41" t="s">
        <v>24147</v>
      </c>
      <c r="C309" s="74" t="s">
        <v>24148</v>
      </c>
      <c r="D309" s="72"/>
      <c r="F309" s="57"/>
      <c r="G309" s="114" t="s">
        <v>17558</v>
      </c>
      <c r="H309" s="49"/>
      <c r="I309" s="50"/>
      <c r="J309" s="163"/>
      <c r="K309" s="45"/>
      <c r="L309" s="46"/>
      <c r="M309" s="35"/>
      <c r="N309" s="12" t="s">
        <v>398</v>
      </c>
      <c r="O309" s="13">
        <v>0.25</v>
      </c>
      <c r="P309" s="57" t="s">
        <v>3575</v>
      </c>
      <c r="Q309" s="35"/>
      <c r="T309" s="57"/>
      <c r="U309" s="208">
        <f>ROUND((ROUND((ROUND((_15_同援日増６．５*_15・基礎２),0)*(1+_15・盲ろう)),0)*(1+_15・区３)),0)</f>
        <v>1141</v>
      </c>
      <c r="V309" s="48"/>
    </row>
    <row r="310" spans="1:22" ht="16.5" customHeight="1" x14ac:dyDescent="0.15">
      <c r="A310" s="41">
        <v>15</v>
      </c>
      <c r="B310" s="41" t="s">
        <v>24149</v>
      </c>
      <c r="C310" s="74" t="s">
        <v>24150</v>
      </c>
      <c r="D310" s="72"/>
      <c r="F310" s="57"/>
      <c r="G310" s="269" t="s">
        <v>17560</v>
      </c>
      <c r="H310" s="37" t="s">
        <v>398</v>
      </c>
      <c r="I310" s="38">
        <v>0.9</v>
      </c>
      <c r="J310" s="299" t="s">
        <v>17556</v>
      </c>
      <c r="K310" s="45" t="s">
        <v>398</v>
      </c>
      <c r="L310" s="46">
        <v>1</v>
      </c>
      <c r="M310" s="43"/>
      <c r="N310" s="37"/>
      <c r="O310" s="38"/>
      <c r="P310" s="79"/>
      <c r="Q310" s="43"/>
      <c r="R310" s="37"/>
      <c r="S310" s="38"/>
      <c r="T310" s="79"/>
      <c r="U310" s="208">
        <f>ROUND((ROUND((ROUND((ROUND((_15_同援日増６．５*_15・基礎２),0)*_15・２人),0)*(1+_15・盲ろう)),0)*(1+_15・区３)),0)</f>
        <v>1141</v>
      </c>
      <c r="V310" s="48"/>
    </row>
    <row r="311" spans="1:22" ht="16.5" customHeight="1" x14ac:dyDescent="0.15">
      <c r="A311" s="41">
        <v>15</v>
      </c>
      <c r="B311" s="41" t="s">
        <v>24151</v>
      </c>
      <c r="C311" s="74" t="s">
        <v>24152</v>
      </c>
      <c r="D311" s="72"/>
      <c r="F311" s="57"/>
      <c r="G311" s="53"/>
      <c r="H311" s="49"/>
      <c r="I311" s="50"/>
      <c r="J311" s="163"/>
      <c r="K311" s="45"/>
      <c r="L311" s="46"/>
      <c r="M311" s="53"/>
      <c r="N311" s="49"/>
      <c r="O311" s="50"/>
      <c r="P311" s="115"/>
      <c r="Q311" s="53"/>
      <c r="R311" s="49"/>
      <c r="S311" s="50"/>
      <c r="T311" s="115"/>
      <c r="U311" s="208">
        <f>ROUND((_15_同援日増６．５*(1+_15・区４)),0)</f>
        <v>1183</v>
      </c>
      <c r="V311" s="48"/>
    </row>
    <row r="312" spans="1:22" ht="16.5" customHeight="1" x14ac:dyDescent="0.15">
      <c r="A312" s="41">
        <v>15</v>
      </c>
      <c r="B312" s="41" t="s">
        <v>24153</v>
      </c>
      <c r="C312" s="74" t="s">
        <v>24154</v>
      </c>
      <c r="D312" s="72"/>
      <c r="F312" s="57"/>
      <c r="G312" s="43"/>
      <c r="H312" s="37"/>
      <c r="I312" s="38"/>
      <c r="J312" s="299" t="s">
        <v>17556</v>
      </c>
      <c r="K312" s="45" t="s">
        <v>398</v>
      </c>
      <c r="L312" s="46">
        <v>1</v>
      </c>
      <c r="M312" s="35"/>
      <c r="P312" s="57"/>
      <c r="Q312" s="35"/>
      <c r="T312" s="57"/>
      <c r="U312" s="208">
        <f>ROUND((ROUND((_15_同援日増６．５*_15・２人),0)*(1+_15・区４)),0)</f>
        <v>1183</v>
      </c>
      <c r="V312" s="48"/>
    </row>
    <row r="313" spans="1:22" ht="16.5" customHeight="1" x14ac:dyDescent="0.15">
      <c r="A313" s="41">
        <v>15</v>
      </c>
      <c r="B313" s="41" t="s">
        <v>24155</v>
      </c>
      <c r="C313" s="74" t="s">
        <v>24156</v>
      </c>
      <c r="D313" s="72"/>
      <c r="F313" s="57"/>
      <c r="G313" s="114" t="s">
        <v>17558</v>
      </c>
      <c r="H313" s="49"/>
      <c r="I313" s="50"/>
      <c r="J313" s="163"/>
      <c r="K313" s="45"/>
      <c r="L313" s="46"/>
      <c r="M313" s="35"/>
      <c r="P313" s="57"/>
      <c r="Q313" s="72" t="s">
        <v>17580</v>
      </c>
      <c r="T313" s="57"/>
      <c r="U313" s="208">
        <f>ROUND((ROUND((_15_同援日増６．５*_15・基礎２),0)*(1+_15・区４)),0)</f>
        <v>1065</v>
      </c>
      <c r="V313" s="48"/>
    </row>
    <row r="314" spans="1:22" ht="16.5" customHeight="1" x14ac:dyDescent="0.15">
      <c r="A314" s="41">
        <v>15</v>
      </c>
      <c r="B314" s="41" t="s">
        <v>24157</v>
      </c>
      <c r="C314" s="74" t="s">
        <v>24158</v>
      </c>
      <c r="D314" s="72"/>
      <c r="F314" s="57"/>
      <c r="G314" s="269" t="s">
        <v>17560</v>
      </c>
      <c r="H314" s="37" t="s">
        <v>398</v>
      </c>
      <c r="I314" s="38">
        <v>0.9</v>
      </c>
      <c r="J314" s="299" t="s">
        <v>17556</v>
      </c>
      <c r="K314" s="45" t="s">
        <v>398</v>
      </c>
      <c r="L314" s="46">
        <v>1</v>
      </c>
      <c r="M314" s="43"/>
      <c r="N314" s="37"/>
      <c r="O314" s="38"/>
      <c r="P314" s="79"/>
      <c r="Q314" s="72" t="s">
        <v>17572</v>
      </c>
      <c r="T314" s="57"/>
      <c r="U314" s="208">
        <f>ROUND((ROUND((ROUND((_15_同援日増６．５*_15・基礎２),0)*_15・２人),0)*(1+_15・区４)),0)</f>
        <v>1065</v>
      </c>
      <c r="V314" s="48"/>
    </row>
    <row r="315" spans="1:22" ht="16.5" customHeight="1" x14ac:dyDescent="0.15">
      <c r="A315" s="41">
        <v>15</v>
      </c>
      <c r="B315" s="41" t="s">
        <v>24159</v>
      </c>
      <c r="C315" s="74" t="s">
        <v>24160</v>
      </c>
      <c r="D315" s="72"/>
      <c r="F315" s="57"/>
      <c r="G315" s="53"/>
      <c r="H315" s="49"/>
      <c r="I315" s="50"/>
      <c r="J315" s="163"/>
      <c r="K315" s="45"/>
      <c r="L315" s="46"/>
      <c r="M315" s="114" t="s">
        <v>17562</v>
      </c>
      <c r="N315" s="49"/>
      <c r="O315" s="50"/>
      <c r="P315" s="115"/>
      <c r="Q315" s="35"/>
      <c r="R315" s="12" t="s">
        <v>398</v>
      </c>
      <c r="S315" s="13">
        <v>0.4</v>
      </c>
      <c r="T315" s="57" t="s">
        <v>3575</v>
      </c>
      <c r="U315" s="208">
        <f>ROUND((ROUND((_15_同援日増６．５*(1+_15・盲ろう)),0)*(1+_15・区４)),0)</f>
        <v>1478</v>
      </c>
      <c r="V315" s="48"/>
    </row>
    <row r="316" spans="1:22" ht="16.5" customHeight="1" x14ac:dyDescent="0.15">
      <c r="A316" s="41">
        <v>15</v>
      </c>
      <c r="B316" s="41" t="s">
        <v>24161</v>
      </c>
      <c r="C316" s="74" t="s">
        <v>24162</v>
      </c>
      <c r="D316" s="72"/>
      <c r="F316" s="57"/>
      <c r="G316" s="43"/>
      <c r="H316" s="37"/>
      <c r="I316" s="38"/>
      <c r="J316" s="299" t="s">
        <v>17556</v>
      </c>
      <c r="K316" s="45" t="s">
        <v>398</v>
      </c>
      <c r="L316" s="46">
        <v>1</v>
      </c>
      <c r="M316" s="92" t="s">
        <v>17564</v>
      </c>
      <c r="P316" s="57"/>
      <c r="Q316" s="35"/>
      <c r="T316" s="57"/>
      <c r="U316" s="208">
        <f>ROUND((ROUND((ROUND((_15_同援日増６．５*_15・２人),0)*(1+_15・盲ろう)),0)*(1+_15・区４)),0)</f>
        <v>1478</v>
      </c>
      <c r="V316" s="48"/>
    </row>
    <row r="317" spans="1:22" ht="16.5" customHeight="1" x14ac:dyDescent="0.15">
      <c r="A317" s="41">
        <v>15</v>
      </c>
      <c r="B317" s="41" t="s">
        <v>24163</v>
      </c>
      <c r="C317" s="74" t="s">
        <v>24164</v>
      </c>
      <c r="D317" s="72"/>
      <c r="F317" s="57"/>
      <c r="G317" s="114" t="s">
        <v>17558</v>
      </c>
      <c r="H317" s="49"/>
      <c r="I317" s="50"/>
      <c r="J317" s="163"/>
      <c r="K317" s="45"/>
      <c r="L317" s="46"/>
      <c r="M317" s="35"/>
      <c r="N317" s="12" t="s">
        <v>398</v>
      </c>
      <c r="O317" s="13">
        <v>0.25</v>
      </c>
      <c r="P317" s="57" t="s">
        <v>3575</v>
      </c>
      <c r="Q317" s="35"/>
      <c r="T317" s="57"/>
      <c r="U317" s="208">
        <f>ROUND((ROUND((ROUND((_15_同援日増６．５*_15・基礎２),0)*(1+_15・盲ろう)),0)*(1+_15・区４)),0)</f>
        <v>1331</v>
      </c>
      <c r="V317" s="48"/>
    </row>
    <row r="318" spans="1:22" ht="16.5" customHeight="1" x14ac:dyDescent="0.15">
      <c r="A318" s="41">
        <v>15</v>
      </c>
      <c r="B318" s="41" t="s">
        <v>24165</v>
      </c>
      <c r="C318" s="74" t="s">
        <v>24166</v>
      </c>
      <c r="D318" s="122"/>
      <c r="E318" s="37"/>
      <c r="F318" s="79"/>
      <c r="G318" s="269" t="s">
        <v>17560</v>
      </c>
      <c r="H318" s="37" t="s">
        <v>398</v>
      </c>
      <c r="I318" s="38">
        <v>0.9</v>
      </c>
      <c r="J318" s="299" t="s">
        <v>17556</v>
      </c>
      <c r="K318" s="45" t="s">
        <v>398</v>
      </c>
      <c r="L318" s="46">
        <v>1</v>
      </c>
      <c r="M318" s="43"/>
      <c r="N318" s="37"/>
      <c r="O318" s="38"/>
      <c r="P318" s="79"/>
      <c r="Q318" s="43"/>
      <c r="R318" s="37"/>
      <c r="S318" s="38"/>
      <c r="T318" s="79"/>
      <c r="U318" s="208">
        <f>ROUND((ROUND((ROUND((ROUND((_15_同援日増６．５*_15・基礎２),0)*_15・２人),0)*(1+_15・盲ろう)),0)*(1+_15・区４)),0)</f>
        <v>1331</v>
      </c>
      <c r="V318" s="48"/>
    </row>
    <row r="319" spans="1:22" ht="16.5" customHeight="1" x14ac:dyDescent="0.15">
      <c r="A319" s="41">
        <v>15</v>
      </c>
      <c r="B319" s="41" t="s">
        <v>24167</v>
      </c>
      <c r="C319" s="74" t="s">
        <v>24168</v>
      </c>
      <c r="D319" s="114" t="s">
        <v>24169</v>
      </c>
      <c r="E319" s="49"/>
      <c r="F319" s="115"/>
      <c r="G319" s="53"/>
      <c r="H319" s="49"/>
      <c r="I319" s="50"/>
      <c r="J319" s="163"/>
      <c r="K319" s="45"/>
      <c r="L319" s="46"/>
      <c r="M319" s="53"/>
      <c r="N319" s="49"/>
      <c r="O319" s="50"/>
      <c r="P319" s="115"/>
      <c r="Q319" s="53"/>
      <c r="R319" s="49"/>
      <c r="S319" s="50"/>
      <c r="T319" s="115"/>
      <c r="U319" s="208">
        <f>_15_同援日増７．０</f>
        <v>910</v>
      </c>
      <c r="V319" s="48"/>
    </row>
    <row r="320" spans="1:22" ht="16.5" customHeight="1" x14ac:dyDescent="0.15">
      <c r="A320" s="41">
        <v>15</v>
      </c>
      <c r="B320" s="41" t="s">
        <v>24170</v>
      </c>
      <c r="C320" s="74" t="s">
        <v>24171</v>
      </c>
      <c r="D320" s="72" t="s">
        <v>17913</v>
      </c>
      <c r="F320" s="57"/>
      <c r="G320" s="43"/>
      <c r="H320" s="37"/>
      <c r="I320" s="38"/>
      <c r="J320" s="299" t="s">
        <v>17556</v>
      </c>
      <c r="K320" s="45" t="s">
        <v>398</v>
      </c>
      <c r="L320" s="46">
        <v>1</v>
      </c>
      <c r="M320" s="35"/>
      <c r="P320" s="57"/>
      <c r="Q320" s="35"/>
      <c r="T320" s="57"/>
      <c r="U320" s="208">
        <f>ROUND((_15_同援日増７．０*_15・２人),0)</f>
        <v>910</v>
      </c>
      <c r="V320" s="48"/>
    </row>
    <row r="321" spans="1:22" ht="16.5" customHeight="1" x14ac:dyDescent="0.15">
      <c r="A321" s="41">
        <v>15</v>
      </c>
      <c r="B321" s="41" t="s">
        <v>24172</v>
      </c>
      <c r="C321" s="74" t="s">
        <v>24173</v>
      </c>
      <c r="D321" s="72" t="s">
        <v>24174</v>
      </c>
      <c r="F321" s="57"/>
      <c r="G321" s="114" t="s">
        <v>17558</v>
      </c>
      <c r="H321" s="49"/>
      <c r="I321" s="50"/>
      <c r="J321" s="163"/>
      <c r="K321" s="45"/>
      <c r="L321" s="46"/>
      <c r="M321" s="35"/>
      <c r="P321" s="57"/>
      <c r="Q321" s="35"/>
      <c r="T321" s="57"/>
      <c r="U321" s="208">
        <f>ROUND((_15_同援日増７．０*_15・基礎２),0)</f>
        <v>819</v>
      </c>
      <c r="V321" s="48"/>
    </row>
    <row r="322" spans="1:22" ht="16.5" customHeight="1" x14ac:dyDescent="0.15">
      <c r="A322" s="41">
        <v>15</v>
      </c>
      <c r="B322" s="41" t="s">
        <v>24175</v>
      </c>
      <c r="C322" s="74" t="s">
        <v>24176</v>
      </c>
      <c r="D322" s="72"/>
      <c r="E322" s="168">
        <f>_15_同援日増７．０</f>
        <v>910</v>
      </c>
      <c r="F322" s="57" t="s">
        <v>392</v>
      </c>
      <c r="G322" s="269" t="s">
        <v>17560</v>
      </c>
      <c r="H322" s="37" t="s">
        <v>398</v>
      </c>
      <c r="I322" s="38">
        <v>0.9</v>
      </c>
      <c r="J322" s="299" t="s">
        <v>17556</v>
      </c>
      <c r="K322" s="45" t="s">
        <v>398</v>
      </c>
      <c r="L322" s="46">
        <v>1</v>
      </c>
      <c r="M322" s="43"/>
      <c r="N322" s="37"/>
      <c r="O322" s="38"/>
      <c r="P322" s="79"/>
      <c r="Q322" s="35"/>
      <c r="T322" s="57"/>
      <c r="U322" s="208">
        <f>ROUND((ROUND((_15_同援日増７．０*_15・基礎２),0)*_15・２人),0)</f>
        <v>819</v>
      </c>
      <c r="V322" s="48"/>
    </row>
    <row r="323" spans="1:22" ht="16.5" customHeight="1" x14ac:dyDescent="0.15">
      <c r="A323" s="41">
        <v>15</v>
      </c>
      <c r="B323" s="41" t="s">
        <v>24177</v>
      </c>
      <c r="C323" s="74" t="s">
        <v>24178</v>
      </c>
      <c r="D323" s="72"/>
      <c r="F323" s="57"/>
      <c r="G323" s="53"/>
      <c r="H323" s="49"/>
      <c r="I323" s="50"/>
      <c r="J323" s="163"/>
      <c r="K323" s="45"/>
      <c r="L323" s="46"/>
      <c r="M323" s="114" t="s">
        <v>17562</v>
      </c>
      <c r="N323" s="49"/>
      <c r="O323" s="50"/>
      <c r="P323" s="115"/>
      <c r="Q323" s="35"/>
      <c r="T323" s="57"/>
      <c r="U323" s="208">
        <f>ROUND((_15_同援日増７．０*(1+_15・盲ろう)),0)</f>
        <v>1138</v>
      </c>
      <c r="V323" s="48"/>
    </row>
    <row r="324" spans="1:22" ht="16.5" customHeight="1" x14ac:dyDescent="0.15">
      <c r="A324" s="41">
        <v>15</v>
      </c>
      <c r="B324" s="41" t="s">
        <v>24179</v>
      </c>
      <c r="C324" s="74" t="s">
        <v>24180</v>
      </c>
      <c r="D324" s="72"/>
      <c r="F324" s="57"/>
      <c r="G324" s="43"/>
      <c r="H324" s="37"/>
      <c r="I324" s="38"/>
      <c r="J324" s="299" t="s">
        <v>17556</v>
      </c>
      <c r="K324" s="45" t="s">
        <v>398</v>
      </c>
      <c r="L324" s="46">
        <v>1</v>
      </c>
      <c r="M324" s="92" t="s">
        <v>17564</v>
      </c>
      <c r="P324" s="57"/>
      <c r="Q324" s="35"/>
      <c r="T324" s="57"/>
      <c r="U324" s="208">
        <f>ROUND((ROUND((_15_同援日増７．０*_15・２人),0)*(1+_15・盲ろう)),0)</f>
        <v>1138</v>
      </c>
      <c r="V324" s="48"/>
    </row>
    <row r="325" spans="1:22" ht="16.5" customHeight="1" x14ac:dyDescent="0.15">
      <c r="A325" s="41">
        <v>15</v>
      </c>
      <c r="B325" s="41" t="s">
        <v>1943</v>
      </c>
      <c r="C325" s="74" t="s">
        <v>24181</v>
      </c>
      <c r="D325" s="72"/>
      <c r="F325" s="57"/>
      <c r="G325" s="114" t="s">
        <v>17558</v>
      </c>
      <c r="H325" s="49"/>
      <c r="I325" s="50"/>
      <c r="J325" s="163"/>
      <c r="K325" s="45"/>
      <c r="L325" s="46"/>
      <c r="M325" s="35"/>
      <c r="N325" s="12" t="s">
        <v>398</v>
      </c>
      <c r="O325" s="13">
        <v>0.25</v>
      </c>
      <c r="P325" s="57" t="s">
        <v>3575</v>
      </c>
      <c r="Q325" s="35"/>
      <c r="T325" s="57"/>
      <c r="U325" s="208">
        <f>ROUND((ROUND((_15_同援日増７．０*_15・基礎２),0)*(1+_15・盲ろう)),0)</f>
        <v>1024</v>
      </c>
      <c r="V325" s="48"/>
    </row>
    <row r="326" spans="1:22" ht="16.5" customHeight="1" x14ac:dyDescent="0.15">
      <c r="A326" s="41">
        <v>15</v>
      </c>
      <c r="B326" s="41" t="s">
        <v>1945</v>
      </c>
      <c r="C326" s="74" t="s">
        <v>24182</v>
      </c>
      <c r="D326" s="72"/>
      <c r="F326" s="57"/>
      <c r="G326" s="269" t="s">
        <v>17560</v>
      </c>
      <c r="H326" s="37" t="s">
        <v>398</v>
      </c>
      <c r="I326" s="38">
        <v>0.9</v>
      </c>
      <c r="J326" s="299" t="s">
        <v>17556</v>
      </c>
      <c r="K326" s="45" t="s">
        <v>398</v>
      </c>
      <c r="L326" s="46">
        <v>1</v>
      </c>
      <c r="M326" s="43"/>
      <c r="N326" s="37"/>
      <c r="O326" s="38"/>
      <c r="P326" s="79"/>
      <c r="Q326" s="43"/>
      <c r="R326" s="37"/>
      <c r="S326" s="38"/>
      <c r="T326" s="79"/>
      <c r="U326" s="208">
        <f>ROUND((ROUND((ROUND((_15_同援日増７．０*_15・基礎２),0)*_15・２人),0)*(1+_15・盲ろう)),0)</f>
        <v>1024</v>
      </c>
      <c r="V326" s="48"/>
    </row>
    <row r="327" spans="1:22" ht="16.5" customHeight="1" x14ac:dyDescent="0.15">
      <c r="A327" s="41">
        <v>15</v>
      </c>
      <c r="B327" s="41" t="s">
        <v>1947</v>
      </c>
      <c r="C327" s="74" t="s">
        <v>24183</v>
      </c>
      <c r="D327" s="72"/>
      <c r="F327" s="57"/>
      <c r="G327" s="53"/>
      <c r="H327" s="49"/>
      <c r="I327" s="50"/>
      <c r="J327" s="163"/>
      <c r="K327" s="45"/>
      <c r="L327" s="46"/>
      <c r="M327" s="53"/>
      <c r="N327" s="49"/>
      <c r="O327" s="50"/>
      <c r="P327" s="115"/>
      <c r="Q327" s="53"/>
      <c r="R327" s="49"/>
      <c r="S327" s="50"/>
      <c r="T327" s="115"/>
      <c r="U327" s="208">
        <f>ROUND((_15_同援日増７．０*(1+_15・区３)),0)</f>
        <v>1092</v>
      </c>
      <c r="V327" s="48"/>
    </row>
    <row r="328" spans="1:22" ht="16.5" customHeight="1" x14ac:dyDescent="0.15">
      <c r="A328" s="41">
        <v>15</v>
      </c>
      <c r="B328" s="41" t="s">
        <v>1949</v>
      </c>
      <c r="C328" s="74" t="s">
        <v>24184</v>
      </c>
      <c r="D328" s="72"/>
      <c r="F328" s="57"/>
      <c r="G328" s="43"/>
      <c r="H328" s="37"/>
      <c r="I328" s="38"/>
      <c r="J328" s="299" t="s">
        <v>17556</v>
      </c>
      <c r="K328" s="45" t="s">
        <v>398</v>
      </c>
      <c r="L328" s="46">
        <v>1</v>
      </c>
      <c r="M328" s="35"/>
      <c r="P328" s="57"/>
      <c r="Q328" s="35"/>
      <c r="T328" s="57"/>
      <c r="U328" s="208">
        <f>ROUND((ROUND((_15_同援日増７．０*_15・２人),0)*(1+_15・区３)),0)</f>
        <v>1092</v>
      </c>
      <c r="V328" s="48"/>
    </row>
    <row r="329" spans="1:22" ht="16.5" customHeight="1" x14ac:dyDescent="0.15">
      <c r="A329" s="41">
        <v>15</v>
      </c>
      <c r="B329" s="41" t="s">
        <v>24185</v>
      </c>
      <c r="C329" s="74" t="s">
        <v>24186</v>
      </c>
      <c r="D329" s="72"/>
      <c r="F329" s="57"/>
      <c r="G329" s="114" t="s">
        <v>17558</v>
      </c>
      <c r="H329" s="49"/>
      <c r="I329" s="50"/>
      <c r="J329" s="163"/>
      <c r="K329" s="45"/>
      <c r="L329" s="46"/>
      <c r="M329" s="35"/>
      <c r="P329" s="57"/>
      <c r="Q329" s="72" t="s">
        <v>17570</v>
      </c>
      <c r="T329" s="57"/>
      <c r="U329" s="208">
        <f>ROUND((ROUND((_15_同援日増７．０*_15・基礎２),0)*(1+_15・区３)),0)</f>
        <v>983</v>
      </c>
      <c r="V329" s="48"/>
    </row>
    <row r="330" spans="1:22" ht="16.5" customHeight="1" x14ac:dyDescent="0.15">
      <c r="A330" s="41">
        <v>15</v>
      </c>
      <c r="B330" s="41" t="s">
        <v>24187</v>
      </c>
      <c r="C330" s="74" t="s">
        <v>24188</v>
      </c>
      <c r="D330" s="72"/>
      <c r="F330" s="57"/>
      <c r="G330" s="269" t="s">
        <v>17560</v>
      </c>
      <c r="H330" s="37" t="s">
        <v>398</v>
      </c>
      <c r="I330" s="38">
        <v>0.9</v>
      </c>
      <c r="J330" s="299" t="s">
        <v>17556</v>
      </c>
      <c r="K330" s="45" t="s">
        <v>398</v>
      </c>
      <c r="L330" s="46">
        <v>1</v>
      </c>
      <c r="M330" s="43"/>
      <c r="N330" s="37"/>
      <c r="O330" s="38"/>
      <c r="P330" s="79"/>
      <c r="Q330" s="72" t="s">
        <v>17572</v>
      </c>
      <c r="T330" s="57"/>
      <c r="U330" s="208">
        <f>ROUND((ROUND((ROUND((_15_同援日増７．０*_15・基礎２),0)*_15・２人),0)*(1+_15・区３)),0)</f>
        <v>983</v>
      </c>
      <c r="V330" s="48"/>
    </row>
    <row r="331" spans="1:22" ht="16.5" customHeight="1" x14ac:dyDescent="0.15">
      <c r="A331" s="41">
        <v>15</v>
      </c>
      <c r="B331" s="41" t="s">
        <v>24189</v>
      </c>
      <c r="C331" s="74" t="s">
        <v>24190</v>
      </c>
      <c r="D331" s="72"/>
      <c r="F331" s="57"/>
      <c r="G331" s="53"/>
      <c r="H331" s="49"/>
      <c r="I331" s="50"/>
      <c r="J331" s="163"/>
      <c r="K331" s="45"/>
      <c r="L331" s="46"/>
      <c r="M331" s="114" t="s">
        <v>17562</v>
      </c>
      <c r="N331" s="49"/>
      <c r="O331" s="50"/>
      <c r="P331" s="115"/>
      <c r="Q331" s="35"/>
      <c r="R331" s="12" t="s">
        <v>398</v>
      </c>
      <c r="S331" s="13">
        <v>0.2</v>
      </c>
      <c r="T331" s="57" t="s">
        <v>3575</v>
      </c>
      <c r="U331" s="208">
        <f>ROUND((ROUND((_15_同援日増７．０*(1+_15・盲ろう)),0)*(1+_15・区３)),0)</f>
        <v>1366</v>
      </c>
      <c r="V331" s="48"/>
    </row>
    <row r="332" spans="1:22" ht="16.5" customHeight="1" x14ac:dyDescent="0.15">
      <c r="A332" s="41">
        <v>15</v>
      </c>
      <c r="B332" s="41" t="s">
        <v>24191</v>
      </c>
      <c r="C332" s="74" t="s">
        <v>24192</v>
      </c>
      <c r="D332" s="72"/>
      <c r="F332" s="57"/>
      <c r="G332" s="43"/>
      <c r="H332" s="37"/>
      <c r="I332" s="38"/>
      <c r="J332" s="299" t="s">
        <v>17556</v>
      </c>
      <c r="K332" s="45" t="s">
        <v>398</v>
      </c>
      <c r="L332" s="46">
        <v>1</v>
      </c>
      <c r="M332" s="92" t="s">
        <v>17564</v>
      </c>
      <c r="P332" s="57"/>
      <c r="Q332" s="35"/>
      <c r="T332" s="57"/>
      <c r="U332" s="208">
        <f>ROUND((ROUND((ROUND((_15_同援日増７．０*_15・２人),0)*(1+_15・盲ろう)),0)*(1+_15・区３)),0)</f>
        <v>1366</v>
      </c>
      <c r="V332" s="48"/>
    </row>
    <row r="333" spans="1:22" ht="16.5" customHeight="1" x14ac:dyDescent="0.15">
      <c r="A333" s="41">
        <v>15</v>
      </c>
      <c r="B333" s="41" t="s">
        <v>24193</v>
      </c>
      <c r="C333" s="74" t="s">
        <v>24194</v>
      </c>
      <c r="D333" s="72"/>
      <c r="F333" s="57"/>
      <c r="G333" s="114" t="s">
        <v>17558</v>
      </c>
      <c r="H333" s="49"/>
      <c r="I333" s="50"/>
      <c r="J333" s="163"/>
      <c r="K333" s="45"/>
      <c r="L333" s="46"/>
      <c r="M333" s="35"/>
      <c r="N333" s="12" t="s">
        <v>398</v>
      </c>
      <c r="O333" s="13">
        <v>0.25</v>
      </c>
      <c r="P333" s="57" t="s">
        <v>3575</v>
      </c>
      <c r="Q333" s="35"/>
      <c r="T333" s="57"/>
      <c r="U333" s="208">
        <f>ROUND((ROUND((ROUND((_15_同援日増７．０*_15・基礎２),0)*(1+_15・盲ろう)),0)*(1+_15・区３)),0)</f>
        <v>1229</v>
      </c>
      <c r="V333" s="48"/>
    </row>
    <row r="334" spans="1:22" ht="16.5" customHeight="1" x14ac:dyDescent="0.15">
      <c r="A334" s="41">
        <v>15</v>
      </c>
      <c r="B334" s="41" t="s">
        <v>24195</v>
      </c>
      <c r="C334" s="74" t="s">
        <v>24196</v>
      </c>
      <c r="D334" s="72"/>
      <c r="F334" s="57"/>
      <c r="G334" s="269" t="s">
        <v>17560</v>
      </c>
      <c r="H334" s="37" t="s">
        <v>398</v>
      </c>
      <c r="I334" s="38">
        <v>0.9</v>
      </c>
      <c r="J334" s="299" t="s">
        <v>17556</v>
      </c>
      <c r="K334" s="45" t="s">
        <v>398</v>
      </c>
      <c r="L334" s="46">
        <v>1</v>
      </c>
      <c r="M334" s="43"/>
      <c r="N334" s="37"/>
      <c r="O334" s="38"/>
      <c r="P334" s="79"/>
      <c r="Q334" s="43"/>
      <c r="R334" s="37"/>
      <c r="S334" s="38"/>
      <c r="T334" s="79"/>
      <c r="U334" s="208">
        <f>ROUND((ROUND((ROUND((ROUND((_15_同援日増７．０*_15・基礎２),0)*_15・２人),0)*(1+_15・盲ろう)),0)*(1+_15・区３)),0)</f>
        <v>1229</v>
      </c>
      <c r="V334" s="48"/>
    </row>
    <row r="335" spans="1:22" ht="16.5" customHeight="1" x14ac:dyDescent="0.15">
      <c r="A335" s="41">
        <v>15</v>
      </c>
      <c r="B335" s="41" t="s">
        <v>24197</v>
      </c>
      <c r="C335" s="74" t="s">
        <v>24198</v>
      </c>
      <c r="D335" s="72"/>
      <c r="F335" s="57"/>
      <c r="G335" s="53"/>
      <c r="H335" s="49"/>
      <c r="I335" s="50"/>
      <c r="J335" s="163"/>
      <c r="K335" s="45"/>
      <c r="L335" s="46"/>
      <c r="M335" s="53"/>
      <c r="N335" s="49"/>
      <c r="O335" s="50"/>
      <c r="P335" s="115"/>
      <c r="Q335" s="53"/>
      <c r="R335" s="49"/>
      <c r="S335" s="50"/>
      <c r="T335" s="115"/>
      <c r="U335" s="208">
        <f>ROUND((_15_同援日増７．０*(1+_15・区４)),0)</f>
        <v>1274</v>
      </c>
      <c r="V335" s="48"/>
    </row>
    <row r="336" spans="1:22" ht="16.5" customHeight="1" x14ac:dyDescent="0.15">
      <c r="A336" s="41">
        <v>15</v>
      </c>
      <c r="B336" s="41" t="s">
        <v>24199</v>
      </c>
      <c r="C336" s="74" t="s">
        <v>24200</v>
      </c>
      <c r="D336" s="72"/>
      <c r="F336" s="57"/>
      <c r="G336" s="43"/>
      <c r="H336" s="37"/>
      <c r="I336" s="38"/>
      <c r="J336" s="299" t="s">
        <v>17556</v>
      </c>
      <c r="K336" s="45" t="s">
        <v>398</v>
      </c>
      <c r="L336" s="46">
        <v>1</v>
      </c>
      <c r="M336" s="35"/>
      <c r="P336" s="57"/>
      <c r="Q336" s="35"/>
      <c r="T336" s="57"/>
      <c r="U336" s="208">
        <f>ROUND((ROUND((_15_同援日増７．０*_15・２人),0)*(1+_15・区４)),0)</f>
        <v>1274</v>
      </c>
      <c r="V336" s="48"/>
    </row>
    <row r="337" spans="1:22" ht="16.5" customHeight="1" x14ac:dyDescent="0.15">
      <c r="A337" s="41">
        <v>15</v>
      </c>
      <c r="B337" s="41" t="s">
        <v>24201</v>
      </c>
      <c r="C337" s="74" t="s">
        <v>24202</v>
      </c>
      <c r="D337" s="72"/>
      <c r="F337" s="57"/>
      <c r="G337" s="114" t="s">
        <v>17558</v>
      </c>
      <c r="H337" s="49"/>
      <c r="I337" s="50"/>
      <c r="J337" s="163"/>
      <c r="K337" s="45"/>
      <c r="L337" s="46"/>
      <c r="M337" s="35"/>
      <c r="P337" s="57"/>
      <c r="Q337" s="72" t="s">
        <v>17580</v>
      </c>
      <c r="T337" s="57"/>
      <c r="U337" s="208">
        <f>ROUND((ROUND((_15_同援日増７．０*_15・基礎２),0)*(1+_15・区４)),0)</f>
        <v>1147</v>
      </c>
      <c r="V337" s="48"/>
    </row>
    <row r="338" spans="1:22" ht="16.5" customHeight="1" x14ac:dyDescent="0.15">
      <c r="A338" s="41">
        <v>15</v>
      </c>
      <c r="B338" s="41" t="s">
        <v>24203</v>
      </c>
      <c r="C338" s="74" t="s">
        <v>24204</v>
      </c>
      <c r="D338" s="72"/>
      <c r="F338" s="57"/>
      <c r="G338" s="269" t="s">
        <v>17560</v>
      </c>
      <c r="H338" s="37" t="s">
        <v>398</v>
      </c>
      <c r="I338" s="38">
        <v>0.9</v>
      </c>
      <c r="J338" s="299" t="s">
        <v>17556</v>
      </c>
      <c r="K338" s="45" t="s">
        <v>398</v>
      </c>
      <c r="L338" s="46">
        <v>1</v>
      </c>
      <c r="M338" s="43"/>
      <c r="N338" s="37"/>
      <c r="O338" s="38"/>
      <c r="P338" s="79"/>
      <c r="Q338" s="72" t="s">
        <v>17572</v>
      </c>
      <c r="T338" s="57"/>
      <c r="U338" s="208">
        <f>ROUND((ROUND((ROUND((_15_同援日増７．０*_15・基礎２),0)*_15・２人),0)*(1+_15・区４)),0)</f>
        <v>1147</v>
      </c>
      <c r="V338" s="48"/>
    </row>
    <row r="339" spans="1:22" ht="16.5" customHeight="1" x14ac:dyDescent="0.15">
      <c r="A339" s="41">
        <v>15</v>
      </c>
      <c r="B339" s="41" t="s">
        <v>24205</v>
      </c>
      <c r="C339" s="74" t="s">
        <v>24206</v>
      </c>
      <c r="D339" s="72"/>
      <c r="F339" s="57"/>
      <c r="G339" s="53"/>
      <c r="H339" s="49"/>
      <c r="I339" s="50"/>
      <c r="J339" s="163"/>
      <c r="K339" s="45"/>
      <c r="L339" s="46"/>
      <c r="M339" s="114" t="s">
        <v>17562</v>
      </c>
      <c r="N339" s="49"/>
      <c r="O339" s="50"/>
      <c r="P339" s="115"/>
      <c r="Q339" s="35"/>
      <c r="R339" s="12" t="s">
        <v>398</v>
      </c>
      <c r="S339" s="13">
        <v>0.4</v>
      </c>
      <c r="T339" s="57" t="s">
        <v>3575</v>
      </c>
      <c r="U339" s="208">
        <f>ROUND((ROUND((_15_同援日増７．０*(1+_15・盲ろう)),0)*(1+_15・区４)),0)</f>
        <v>1593</v>
      </c>
      <c r="V339" s="48"/>
    </row>
    <row r="340" spans="1:22" ht="16.5" customHeight="1" x14ac:dyDescent="0.15">
      <c r="A340" s="41">
        <v>15</v>
      </c>
      <c r="B340" s="41" t="s">
        <v>24207</v>
      </c>
      <c r="C340" s="74" t="s">
        <v>24208</v>
      </c>
      <c r="D340" s="72"/>
      <c r="F340" s="57"/>
      <c r="G340" s="43"/>
      <c r="H340" s="37"/>
      <c r="I340" s="38"/>
      <c r="J340" s="299" t="s">
        <v>17556</v>
      </c>
      <c r="K340" s="45" t="s">
        <v>398</v>
      </c>
      <c r="L340" s="46">
        <v>1</v>
      </c>
      <c r="M340" s="92" t="s">
        <v>17564</v>
      </c>
      <c r="P340" s="57"/>
      <c r="Q340" s="35"/>
      <c r="T340" s="57"/>
      <c r="U340" s="208">
        <f>ROUND((ROUND((ROUND((_15_同援日増７．０*_15・２人),0)*(1+_15・盲ろう)),0)*(1+_15・区４)),0)</f>
        <v>1593</v>
      </c>
      <c r="V340" s="48"/>
    </row>
    <row r="341" spans="1:22" ht="16.5" customHeight="1" x14ac:dyDescent="0.15">
      <c r="A341" s="41">
        <v>15</v>
      </c>
      <c r="B341" s="41" t="s">
        <v>24209</v>
      </c>
      <c r="C341" s="74" t="s">
        <v>24210</v>
      </c>
      <c r="D341" s="72"/>
      <c r="F341" s="57"/>
      <c r="G341" s="114" t="s">
        <v>17558</v>
      </c>
      <c r="H341" s="49"/>
      <c r="I341" s="50"/>
      <c r="J341" s="163"/>
      <c r="K341" s="45"/>
      <c r="L341" s="46"/>
      <c r="M341" s="35"/>
      <c r="N341" s="12" t="s">
        <v>398</v>
      </c>
      <c r="O341" s="13">
        <v>0.25</v>
      </c>
      <c r="P341" s="57" t="s">
        <v>3575</v>
      </c>
      <c r="Q341" s="35"/>
      <c r="T341" s="57"/>
      <c r="U341" s="208">
        <f>ROUND((ROUND((ROUND((_15_同援日増７．０*_15・基礎２),0)*(1+_15・盲ろう)),0)*(1+_15・区４)),0)</f>
        <v>1434</v>
      </c>
      <c r="V341" s="48"/>
    </row>
    <row r="342" spans="1:22" ht="16.5" customHeight="1" x14ac:dyDescent="0.15">
      <c r="A342" s="41">
        <v>15</v>
      </c>
      <c r="B342" s="41" t="s">
        <v>24211</v>
      </c>
      <c r="C342" s="74" t="s">
        <v>24212</v>
      </c>
      <c r="D342" s="122"/>
      <c r="E342" s="37"/>
      <c r="F342" s="79"/>
      <c r="G342" s="269" t="s">
        <v>17560</v>
      </c>
      <c r="H342" s="37" t="s">
        <v>398</v>
      </c>
      <c r="I342" s="38">
        <v>0.9</v>
      </c>
      <c r="J342" s="299" t="s">
        <v>17556</v>
      </c>
      <c r="K342" s="45" t="s">
        <v>398</v>
      </c>
      <c r="L342" s="46">
        <v>1</v>
      </c>
      <c r="M342" s="43"/>
      <c r="N342" s="37"/>
      <c r="O342" s="38"/>
      <c r="P342" s="79"/>
      <c r="Q342" s="43"/>
      <c r="R342" s="37"/>
      <c r="S342" s="38"/>
      <c r="T342" s="79"/>
      <c r="U342" s="208">
        <f>ROUND((ROUND((ROUND((ROUND((_15_同援日増７．０*_15・基礎２),0)*_15・２人),0)*(1+_15・盲ろう)),0)*(1+_15・区４)),0)</f>
        <v>1434</v>
      </c>
      <c r="V342" s="48"/>
    </row>
    <row r="343" spans="1:22" ht="16.5" customHeight="1" x14ac:dyDescent="0.15">
      <c r="A343" s="41">
        <v>15</v>
      </c>
      <c r="B343" s="41" t="s">
        <v>24213</v>
      </c>
      <c r="C343" s="74" t="s">
        <v>24214</v>
      </c>
      <c r="D343" s="114" t="s">
        <v>24215</v>
      </c>
      <c r="E343" s="49"/>
      <c r="F343" s="115"/>
      <c r="G343" s="53"/>
      <c r="H343" s="49"/>
      <c r="I343" s="50"/>
      <c r="J343" s="163"/>
      <c r="K343" s="45"/>
      <c r="L343" s="46"/>
      <c r="M343" s="53"/>
      <c r="N343" s="49"/>
      <c r="O343" s="50"/>
      <c r="P343" s="115"/>
      <c r="Q343" s="53"/>
      <c r="R343" s="49"/>
      <c r="S343" s="50"/>
      <c r="T343" s="115"/>
      <c r="U343" s="208">
        <f>_15_同援日増７．５</f>
        <v>975</v>
      </c>
      <c r="V343" s="48"/>
    </row>
    <row r="344" spans="1:22" ht="16.5" customHeight="1" x14ac:dyDescent="0.15">
      <c r="A344" s="41">
        <v>15</v>
      </c>
      <c r="B344" s="41" t="s">
        <v>24216</v>
      </c>
      <c r="C344" s="74" t="s">
        <v>24217</v>
      </c>
      <c r="D344" s="72" t="s">
        <v>17940</v>
      </c>
      <c r="F344" s="57"/>
      <c r="G344" s="43"/>
      <c r="H344" s="37"/>
      <c r="I344" s="38"/>
      <c r="J344" s="299" t="s">
        <v>17556</v>
      </c>
      <c r="K344" s="45" t="s">
        <v>398</v>
      </c>
      <c r="L344" s="46">
        <v>1</v>
      </c>
      <c r="M344" s="35"/>
      <c r="P344" s="57"/>
      <c r="Q344" s="35"/>
      <c r="T344" s="57"/>
      <c r="U344" s="208">
        <f>ROUND((_15_同援日増７．５*_15・２人),0)</f>
        <v>975</v>
      </c>
      <c r="V344" s="48"/>
    </row>
    <row r="345" spans="1:22" ht="16.5" customHeight="1" x14ac:dyDescent="0.15">
      <c r="A345" s="41">
        <v>15</v>
      </c>
      <c r="B345" s="41" t="s">
        <v>1955</v>
      </c>
      <c r="C345" s="74" t="s">
        <v>24218</v>
      </c>
      <c r="D345" s="72" t="s">
        <v>24219</v>
      </c>
      <c r="F345" s="57"/>
      <c r="G345" s="114" t="s">
        <v>17558</v>
      </c>
      <c r="H345" s="49"/>
      <c r="I345" s="50"/>
      <c r="J345" s="163"/>
      <c r="K345" s="45"/>
      <c r="L345" s="46"/>
      <c r="M345" s="35"/>
      <c r="P345" s="57"/>
      <c r="Q345" s="35"/>
      <c r="T345" s="57"/>
      <c r="U345" s="208">
        <f>ROUND((_15_同援日増７．５*_15・基礎２),0)</f>
        <v>878</v>
      </c>
      <c r="V345" s="48"/>
    </row>
    <row r="346" spans="1:22" ht="16.5" customHeight="1" x14ac:dyDescent="0.15">
      <c r="A346" s="41">
        <v>15</v>
      </c>
      <c r="B346" s="41" t="s">
        <v>1957</v>
      </c>
      <c r="C346" s="74" t="s">
        <v>24220</v>
      </c>
      <c r="D346" s="72"/>
      <c r="E346" s="168">
        <f>_15_同援日増７．５</f>
        <v>975</v>
      </c>
      <c r="F346" s="57" t="s">
        <v>392</v>
      </c>
      <c r="G346" s="269" t="s">
        <v>17560</v>
      </c>
      <c r="H346" s="37" t="s">
        <v>398</v>
      </c>
      <c r="I346" s="38">
        <v>0.9</v>
      </c>
      <c r="J346" s="299" t="s">
        <v>17556</v>
      </c>
      <c r="K346" s="45" t="s">
        <v>398</v>
      </c>
      <c r="L346" s="46">
        <v>1</v>
      </c>
      <c r="M346" s="43"/>
      <c r="N346" s="37"/>
      <c r="O346" s="38"/>
      <c r="P346" s="79"/>
      <c r="Q346" s="35"/>
      <c r="T346" s="57"/>
      <c r="U346" s="208">
        <f>ROUND((ROUND((_15_同援日増７．５*_15・基礎２),0)*_15・２人),0)</f>
        <v>878</v>
      </c>
      <c r="V346" s="48"/>
    </row>
    <row r="347" spans="1:22" ht="16.5" customHeight="1" x14ac:dyDescent="0.15">
      <c r="A347" s="41">
        <v>15</v>
      </c>
      <c r="B347" s="41" t="s">
        <v>1959</v>
      </c>
      <c r="C347" s="74" t="s">
        <v>24221</v>
      </c>
      <c r="D347" s="72"/>
      <c r="F347" s="57"/>
      <c r="G347" s="53"/>
      <c r="H347" s="49"/>
      <c r="I347" s="50"/>
      <c r="J347" s="163"/>
      <c r="K347" s="45"/>
      <c r="L347" s="46"/>
      <c r="M347" s="114" t="s">
        <v>17562</v>
      </c>
      <c r="N347" s="49"/>
      <c r="O347" s="50"/>
      <c r="P347" s="115"/>
      <c r="Q347" s="35"/>
      <c r="T347" s="57"/>
      <c r="U347" s="208">
        <f>ROUND((_15_同援日増７．５*(1+_15・盲ろう)),0)</f>
        <v>1219</v>
      </c>
      <c r="V347" s="48"/>
    </row>
    <row r="348" spans="1:22" ht="16.5" customHeight="1" x14ac:dyDescent="0.15">
      <c r="A348" s="41">
        <v>15</v>
      </c>
      <c r="B348" s="41" t="s">
        <v>1961</v>
      </c>
      <c r="C348" s="74" t="s">
        <v>24222</v>
      </c>
      <c r="D348" s="72"/>
      <c r="F348" s="57"/>
      <c r="G348" s="43"/>
      <c r="H348" s="37"/>
      <c r="I348" s="38"/>
      <c r="J348" s="299" t="s">
        <v>17556</v>
      </c>
      <c r="K348" s="45" t="s">
        <v>398</v>
      </c>
      <c r="L348" s="46">
        <v>1</v>
      </c>
      <c r="M348" s="92" t="s">
        <v>17564</v>
      </c>
      <c r="P348" s="57"/>
      <c r="Q348" s="35"/>
      <c r="T348" s="57"/>
      <c r="U348" s="208">
        <f>ROUND((ROUND((_15_同援日増７．５*_15・２人),0)*(1+_15・盲ろう)),0)</f>
        <v>1219</v>
      </c>
      <c r="V348" s="48"/>
    </row>
    <row r="349" spans="1:22" ht="16.5" customHeight="1" x14ac:dyDescent="0.15">
      <c r="A349" s="41">
        <v>15</v>
      </c>
      <c r="B349" s="41" t="s">
        <v>24223</v>
      </c>
      <c r="C349" s="74" t="s">
        <v>24224</v>
      </c>
      <c r="D349" s="72"/>
      <c r="F349" s="57"/>
      <c r="G349" s="114" t="s">
        <v>17558</v>
      </c>
      <c r="H349" s="49"/>
      <c r="I349" s="50"/>
      <c r="J349" s="163"/>
      <c r="K349" s="45"/>
      <c r="L349" s="46"/>
      <c r="M349" s="35"/>
      <c r="N349" s="12" t="s">
        <v>398</v>
      </c>
      <c r="O349" s="13">
        <v>0.25</v>
      </c>
      <c r="P349" s="57" t="s">
        <v>3575</v>
      </c>
      <c r="Q349" s="35"/>
      <c r="T349" s="57"/>
      <c r="U349" s="208">
        <f>ROUND((ROUND((_15_同援日増７．５*_15・基礎２),0)*(1+_15・盲ろう)),0)</f>
        <v>1098</v>
      </c>
      <c r="V349" s="48"/>
    </row>
    <row r="350" spans="1:22" ht="16.5" customHeight="1" x14ac:dyDescent="0.15">
      <c r="A350" s="41">
        <v>15</v>
      </c>
      <c r="B350" s="41" t="s">
        <v>24225</v>
      </c>
      <c r="C350" s="74" t="s">
        <v>24226</v>
      </c>
      <c r="D350" s="72"/>
      <c r="F350" s="57"/>
      <c r="G350" s="269" t="s">
        <v>17560</v>
      </c>
      <c r="H350" s="37" t="s">
        <v>398</v>
      </c>
      <c r="I350" s="38">
        <v>0.9</v>
      </c>
      <c r="J350" s="299" t="s">
        <v>17556</v>
      </c>
      <c r="K350" s="45" t="s">
        <v>398</v>
      </c>
      <c r="L350" s="46">
        <v>1</v>
      </c>
      <c r="M350" s="43"/>
      <c r="N350" s="37"/>
      <c r="O350" s="38"/>
      <c r="P350" s="79"/>
      <c r="Q350" s="43"/>
      <c r="R350" s="37"/>
      <c r="S350" s="38"/>
      <c r="T350" s="79"/>
      <c r="U350" s="208">
        <f>ROUND((ROUND((ROUND((_15_同援日増７．５*_15・基礎２),0)*_15・２人),0)*(1+_15・盲ろう)),0)</f>
        <v>1098</v>
      </c>
      <c r="V350" s="48"/>
    </row>
    <row r="351" spans="1:22" ht="16.5" customHeight="1" x14ac:dyDescent="0.15">
      <c r="A351" s="41">
        <v>15</v>
      </c>
      <c r="B351" s="41" t="s">
        <v>24227</v>
      </c>
      <c r="C351" s="74" t="s">
        <v>24228</v>
      </c>
      <c r="D351" s="72"/>
      <c r="F351" s="57"/>
      <c r="G351" s="53"/>
      <c r="H351" s="49"/>
      <c r="I351" s="50"/>
      <c r="J351" s="163"/>
      <c r="K351" s="45"/>
      <c r="L351" s="46"/>
      <c r="M351" s="53"/>
      <c r="N351" s="49"/>
      <c r="O351" s="50"/>
      <c r="P351" s="115"/>
      <c r="Q351" s="53"/>
      <c r="R351" s="49"/>
      <c r="S351" s="50"/>
      <c r="T351" s="115"/>
      <c r="U351" s="208">
        <f>ROUND((_15_同援日増７．５*(1+_15・区３)),0)</f>
        <v>1170</v>
      </c>
      <c r="V351" s="48"/>
    </row>
    <row r="352" spans="1:22" ht="16.5" customHeight="1" x14ac:dyDescent="0.15">
      <c r="A352" s="41">
        <v>15</v>
      </c>
      <c r="B352" s="41" t="s">
        <v>24229</v>
      </c>
      <c r="C352" s="74" t="s">
        <v>24230</v>
      </c>
      <c r="D352" s="72"/>
      <c r="F352" s="57"/>
      <c r="G352" s="43"/>
      <c r="H352" s="37"/>
      <c r="I352" s="38"/>
      <c r="J352" s="299" t="s">
        <v>17556</v>
      </c>
      <c r="K352" s="45" t="s">
        <v>398</v>
      </c>
      <c r="L352" s="46">
        <v>1</v>
      </c>
      <c r="M352" s="35"/>
      <c r="P352" s="57"/>
      <c r="Q352" s="35"/>
      <c r="T352" s="57"/>
      <c r="U352" s="208">
        <f>ROUND((ROUND((_15_同援日増７．５*_15・２人),0)*(1+_15・区３)),0)</f>
        <v>1170</v>
      </c>
      <c r="V352" s="48"/>
    </row>
    <row r="353" spans="1:22" ht="16.5" customHeight="1" x14ac:dyDescent="0.15">
      <c r="A353" s="41">
        <v>15</v>
      </c>
      <c r="B353" s="41" t="s">
        <v>24231</v>
      </c>
      <c r="C353" s="74" t="s">
        <v>24232</v>
      </c>
      <c r="D353" s="72"/>
      <c r="F353" s="57"/>
      <c r="G353" s="114" t="s">
        <v>17558</v>
      </c>
      <c r="H353" s="49"/>
      <c r="I353" s="50"/>
      <c r="J353" s="163"/>
      <c r="K353" s="45"/>
      <c r="L353" s="46"/>
      <c r="M353" s="35"/>
      <c r="P353" s="57"/>
      <c r="Q353" s="72" t="s">
        <v>17570</v>
      </c>
      <c r="T353" s="57"/>
      <c r="U353" s="208">
        <f>ROUND((ROUND((_15_同援日増７．５*_15・基礎２),0)*(1+_15・区３)),0)</f>
        <v>1054</v>
      </c>
      <c r="V353" s="48"/>
    </row>
    <row r="354" spans="1:22" ht="16.5" customHeight="1" x14ac:dyDescent="0.15">
      <c r="A354" s="41">
        <v>15</v>
      </c>
      <c r="B354" s="41" t="s">
        <v>24233</v>
      </c>
      <c r="C354" s="74" t="s">
        <v>24234</v>
      </c>
      <c r="D354" s="72"/>
      <c r="F354" s="57"/>
      <c r="G354" s="269" t="s">
        <v>17560</v>
      </c>
      <c r="H354" s="37" t="s">
        <v>398</v>
      </c>
      <c r="I354" s="38">
        <v>0.9</v>
      </c>
      <c r="J354" s="299" t="s">
        <v>17556</v>
      </c>
      <c r="K354" s="45" t="s">
        <v>398</v>
      </c>
      <c r="L354" s="46">
        <v>1</v>
      </c>
      <c r="M354" s="43"/>
      <c r="N354" s="37"/>
      <c r="O354" s="38"/>
      <c r="P354" s="79"/>
      <c r="Q354" s="72" t="s">
        <v>17572</v>
      </c>
      <c r="T354" s="57"/>
      <c r="U354" s="208">
        <f>ROUND((ROUND((ROUND((_15_同援日増７．５*_15・基礎２),0)*_15・２人),0)*(1+_15・区３)),0)</f>
        <v>1054</v>
      </c>
      <c r="V354" s="48"/>
    </row>
    <row r="355" spans="1:22" ht="16.5" customHeight="1" x14ac:dyDescent="0.15">
      <c r="A355" s="41">
        <v>15</v>
      </c>
      <c r="B355" s="41" t="s">
        <v>24235</v>
      </c>
      <c r="C355" s="74" t="s">
        <v>24236</v>
      </c>
      <c r="D355" s="72"/>
      <c r="F355" s="57"/>
      <c r="G355" s="53"/>
      <c r="H355" s="49"/>
      <c r="I355" s="50"/>
      <c r="J355" s="163"/>
      <c r="K355" s="45"/>
      <c r="L355" s="46"/>
      <c r="M355" s="114" t="s">
        <v>17562</v>
      </c>
      <c r="N355" s="49"/>
      <c r="O355" s="50"/>
      <c r="P355" s="115"/>
      <c r="Q355" s="35"/>
      <c r="R355" s="12" t="s">
        <v>398</v>
      </c>
      <c r="S355" s="13">
        <v>0.2</v>
      </c>
      <c r="T355" s="57" t="s">
        <v>3575</v>
      </c>
      <c r="U355" s="208">
        <f>ROUND((ROUND((_15_同援日増７．５*(1+_15・盲ろう)),0)*(1+_15・区３)),0)</f>
        <v>1463</v>
      </c>
      <c r="V355" s="48"/>
    </row>
    <row r="356" spans="1:22" ht="16.5" customHeight="1" x14ac:dyDescent="0.15">
      <c r="A356" s="41">
        <v>15</v>
      </c>
      <c r="B356" s="41" t="s">
        <v>24237</v>
      </c>
      <c r="C356" s="74" t="s">
        <v>24238</v>
      </c>
      <c r="D356" s="72"/>
      <c r="F356" s="57"/>
      <c r="G356" s="43"/>
      <c r="H356" s="37"/>
      <c r="I356" s="38"/>
      <c r="J356" s="299" t="s">
        <v>17556</v>
      </c>
      <c r="K356" s="45" t="s">
        <v>398</v>
      </c>
      <c r="L356" s="46">
        <v>1</v>
      </c>
      <c r="M356" s="92" t="s">
        <v>17564</v>
      </c>
      <c r="P356" s="57"/>
      <c r="Q356" s="35"/>
      <c r="T356" s="57"/>
      <c r="U356" s="208">
        <f>ROUND((ROUND((ROUND((_15_同援日増７．５*_15・２人),0)*(1+_15・盲ろう)),0)*(1+_15・区３)),0)</f>
        <v>1463</v>
      </c>
      <c r="V356" s="48"/>
    </row>
    <row r="357" spans="1:22" ht="16.5" customHeight="1" x14ac:dyDescent="0.15">
      <c r="A357" s="41">
        <v>15</v>
      </c>
      <c r="B357" s="41" t="s">
        <v>24239</v>
      </c>
      <c r="C357" s="74" t="s">
        <v>24240</v>
      </c>
      <c r="D357" s="72"/>
      <c r="F357" s="57"/>
      <c r="G357" s="114" t="s">
        <v>17558</v>
      </c>
      <c r="H357" s="49"/>
      <c r="I357" s="50"/>
      <c r="J357" s="163"/>
      <c r="K357" s="45"/>
      <c r="L357" s="46"/>
      <c r="M357" s="35"/>
      <c r="N357" s="12" t="s">
        <v>398</v>
      </c>
      <c r="O357" s="13">
        <v>0.25</v>
      </c>
      <c r="P357" s="57" t="s">
        <v>3575</v>
      </c>
      <c r="Q357" s="35"/>
      <c r="T357" s="57"/>
      <c r="U357" s="208">
        <f>ROUND((ROUND((ROUND((_15_同援日増７．５*_15・基礎２),0)*(1+_15・盲ろう)),0)*(1+_15・区３)),0)</f>
        <v>1318</v>
      </c>
      <c r="V357" s="48"/>
    </row>
    <row r="358" spans="1:22" ht="16.5" customHeight="1" x14ac:dyDescent="0.15">
      <c r="A358" s="41">
        <v>15</v>
      </c>
      <c r="B358" s="41" t="s">
        <v>24241</v>
      </c>
      <c r="C358" s="74" t="s">
        <v>24242</v>
      </c>
      <c r="D358" s="72"/>
      <c r="F358" s="57"/>
      <c r="G358" s="269" t="s">
        <v>17560</v>
      </c>
      <c r="H358" s="37" t="s">
        <v>398</v>
      </c>
      <c r="I358" s="38">
        <v>0.9</v>
      </c>
      <c r="J358" s="299" t="s">
        <v>17556</v>
      </c>
      <c r="K358" s="45" t="s">
        <v>398</v>
      </c>
      <c r="L358" s="46">
        <v>1</v>
      </c>
      <c r="M358" s="43"/>
      <c r="N358" s="37"/>
      <c r="O358" s="38"/>
      <c r="P358" s="79"/>
      <c r="Q358" s="43"/>
      <c r="R358" s="37"/>
      <c r="S358" s="38"/>
      <c r="T358" s="79"/>
      <c r="U358" s="208">
        <f>ROUND((ROUND((ROUND((ROUND((_15_同援日増７．５*_15・基礎２),0)*_15・２人),0)*(1+_15・盲ろう)),0)*(1+_15・区３)),0)</f>
        <v>1318</v>
      </c>
      <c r="V358" s="48"/>
    </row>
    <row r="359" spans="1:22" ht="16.5" customHeight="1" x14ac:dyDescent="0.15">
      <c r="A359" s="41">
        <v>15</v>
      </c>
      <c r="B359" s="41" t="s">
        <v>24243</v>
      </c>
      <c r="C359" s="74" t="s">
        <v>24244</v>
      </c>
      <c r="D359" s="72"/>
      <c r="F359" s="57"/>
      <c r="G359" s="53"/>
      <c r="H359" s="49"/>
      <c r="I359" s="50"/>
      <c r="J359" s="163"/>
      <c r="K359" s="45"/>
      <c r="L359" s="46"/>
      <c r="M359" s="53"/>
      <c r="N359" s="49"/>
      <c r="O359" s="50"/>
      <c r="P359" s="115"/>
      <c r="Q359" s="53"/>
      <c r="R359" s="49"/>
      <c r="S359" s="50"/>
      <c r="T359" s="115"/>
      <c r="U359" s="208">
        <f>ROUND((_15_同援日増７．５*(1+_15・区４)),0)</f>
        <v>1365</v>
      </c>
      <c r="V359" s="48"/>
    </row>
    <row r="360" spans="1:22" ht="16.5" customHeight="1" x14ac:dyDescent="0.15">
      <c r="A360" s="41">
        <v>15</v>
      </c>
      <c r="B360" s="41" t="s">
        <v>24245</v>
      </c>
      <c r="C360" s="74" t="s">
        <v>24246</v>
      </c>
      <c r="D360" s="72"/>
      <c r="F360" s="57"/>
      <c r="G360" s="43"/>
      <c r="H360" s="37"/>
      <c r="I360" s="38"/>
      <c r="J360" s="299" t="s">
        <v>17556</v>
      </c>
      <c r="K360" s="45" t="s">
        <v>398</v>
      </c>
      <c r="L360" s="46">
        <v>1</v>
      </c>
      <c r="M360" s="35"/>
      <c r="P360" s="57"/>
      <c r="Q360" s="35"/>
      <c r="T360" s="57"/>
      <c r="U360" s="208">
        <f>ROUND((ROUND((_15_同援日増７．５*_15・２人),0)*(1+_15・区４)),0)</f>
        <v>1365</v>
      </c>
      <c r="V360" s="48"/>
    </row>
    <row r="361" spans="1:22" ht="16.5" customHeight="1" x14ac:dyDescent="0.15">
      <c r="A361" s="41">
        <v>15</v>
      </c>
      <c r="B361" s="41" t="s">
        <v>24247</v>
      </c>
      <c r="C361" s="74" t="s">
        <v>24248</v>
      </c>
      <c r="D361" s="72"/>
      <c r="F361" s="57"/>
      <c r="G361" s="114" t="s">
        <v>17558</v>
      </c>
      <c r="H361" s="49"/>
      <c r="I361" s="50"/>
      <c r="J361" s="163"/>
      <c r="K361" s="45"/>
      <c r="L361" s="46"/>
      <c r="M361" s="35"/>
      <c r="P361" s="57"/>
      <c r="Q361" s="72" t="s">
        <v>17580</v>
      </c>
      <c r="T361" s="57"/>
      <c r="U361" s="208">
        <f>ROUND((ROUND((_15_同援日増７．５*_15・基礎２),0)*(1+_15・区４)),0)</f>
        <v>1229</v>
      </c>
      <c r="V361" s="48"/>
    </row>
    <row r="362" spans="1:22" ht="16.5" customHeight="1" x14ac:dyDescent="0.15">
      <c r="A362" s="41">
        <v>15</v>
      </c>
      <c r="B362" s="41" t="s">
        <v>24249</v>
      </c>
      <c r="C362" s="74" t="s">
        <v>24250</v>
      </c>
      <c r="D362" s="72"/>
      <c r="F362" s="57"/>
      <c r="G362" s="269" t="s">
        <v>17560</v>
      </c>
      <c r="H362" s="37" t="s">
        <v>398</v>
      </c>
      <c r="I362" s="38">
        <v>0.9</v>
      </c>
      <c r="J362" s="299" t="s">
        <v>17556</v>
      </c>
      <c r="K362" s="45" t="s">
        <v>398</v>
      </c>
      <c r="L362" s="46">
        <v>1</v>
      </c>
      <c r="M362" s="43"/>
      <c r="N362" s="37"/>
      <c r="O362" s="38"/>
      <c r="P362" s="79"/>
      <c r="Q362" s="72" t="s">
        <v>17572</v>
      </c>
      <c r="T362" s="57"/>
      <c r="U362" s="208">
        <f>ROUND((ROUND((ROUND((_15_同援日増７．５*_15・基礎２),0)*_15・２人),0)*(1+_15・区４)),0)</f>
        <v>1229</v>
      </c>
      <c r="V362" s="48"/>
    </row>
    <row r="363" spans="1:22" ht="16.5" customHeight="1" x14ac:dyDescent="0.15">
      <c r="A363" s="41">
        <v>15</v>
      </c>
      <c r="B363" s="41" t="s">
        <v>24251</v>
      </c>
      <c r="C363" s="74" t="s">
        <v>24252</v>
      </c>
      <c r="D363" s="72"/>
      <c r="F363" s="57"/>
      <c r="G363" s="53"/>
      <c r="H363" s="49"/>
      <c r="I363" s="50"/>
      <c r="J363" s="163"/>
      <c r="K363" s="45"/>
      <c r="L363" s="46"/>
      <c r="M363" s="114" t="s">
        <v>17562</v>
      </c>
      <c r="N363" s="49"/>
      <c r="O363" s="50"/>
      <c r="P363" s="115"/>
      <c r="Q363" s="35"/>
      <c r="R363" s="12" t="s">
        <v>398</v>
      </c>
      <c r="S363" s="13">
        <v>0.4</v>
      </c>
      <c r="T363" s="57" t="s">
        <v>3575</v>
      </c>
      <c r="U363" s="208">
        <f>ROUND((ROUND((_15_同援日増７．５*(1+_15・盲ろう)),0)*(1+_15・区４)),0)</f>
        <v>1707</v>
      </c>
      <c r="V363" s="48"/>
    </row>
    <row r="364" spans="1:22" ht="16.5" customHeight="1" x14ac:dyDescent="0.15">
      <c r="A364" s="41">
        <v>15</v>
      </c>
      <c r="B364" s="41" t="s">
        <v>24253</v>
      </c>
      <c r="C364" s="74" t="s">
        <v>24254</v>
      </c>
      <c r="D364" s="72"/>
      <c r="F364" s="57"/>
      <c r="G364" s="43"/>
      <c r="H364" s="37"/>
      <c r="I364" s="38"/>
      <c r="J364" s="299" t="s">
        <v>17556</v>
      </c>
      <c r="K364" s="45" t="s">
        <v>398</v>
      </c>
      <c r="L364" s="46">
        <v>1</v>
      </c>
      <c r="M364" s="92" t="s">
        <v>17564</v>
      </c>
      <c r="P364" s="57"/>
      <c r="Q364" s="35"/>
      <c r="T364" s="57"/>
      <c r="U364" s="208">
        <f>ROUND((ROUND((ROUND((_15_同援日増７．５*_15・２人),0)*(1+_15・盲ろう)),0)*(1+_15・区４)),0)</f>
        <v>1707</v>
      </c>
      <c r="V364" s="48"/>
    </row>
    <row r="365" spans="1:22" ht="16.5" customHeight="1" x14ac:dyDescent="0.15">
      <c r="A365" s="41">
        <v>15</v>
      </c>
      <c r="B365" s="41" t="s">
        <v>1967</v>
      </c>
      <c r="C365" s="74" t="s">
        <v>24255</v>
      </c>
      <c r="D365" s="72"/>
      <c r="F365" s="57"/>
      <c r="G365" s="114" t="s">
        <v>17558</v>
      </c>
      <c r="H365" s="49"/>
      <c r="I365" s="50"/>
      <c r="J365" s="163"/>
      <c r="K365" s="45"/>
      <c r="L365" s="46"/>
      <c r="M365" s="35"/>
      <c r="N365" s="12" t="s">
        <v>398</v>
      </c>
      <c r="O365" s="13">
        <v>0.25</v>
      </c>
      <c r="P365" s="57" t="s">
        <v>3575</v>
      </c>
      <c r="Q365" s="35"/>
      <c r="T365" s="57"/>
      <c r="U365" s="208">
        <f>ROUND((ROUND((ROUND((_15_同援日増７．５*_15・基礎２),0)*(1+_15・盲ろう)),0)*(1+_15・区４)),0)</f>
        <v>1537</v>
      </c>
      <c r="V365" s="48"/>
    </row>
    <row r="366" spans="1:22" ht="16.5" customHeight="1" x14ac:dyDescent="0.15">
      <c r="A366" s="41">
        <v>15</v>
      </c>
      <c r="B366" s="41" t="s">
        <v>1969</v>
      </c>
      <c r="C366" s="74" t="s">
        <v>24256</v>
      </c>
      <c r="D366" s="122"/>
      <c r="E366" s="37"/>
      <c r="F366" s="79"/>
      <c r="G366" s="269" t="s">
        <v>17560</v>
      </c>
      <c r="H366" s="37" t="s">
        <v>398</v>
      </c>
      <c r="I366" s="38">
        <v>0.9</v>
      </c>
      <c r="J366" s="299" t="s">
        <v>17556</v>
      </c>
      <c r="K366" s="45" t="s">
        <v>398</v>
      </c>
      <c r="L366" s="46">
        <v>1</v>
      </c>
      <c r="M366" s="43"/>
      <c r="N366" s="37"/>
      <c r="O366" s="38"/>
      <c r="P366" s="79"/>
      <c r="Q366" s="43"/>
      <c r="R366" s="37"/>
      <c r="S366" s="38"/>
      <c r="T366" s="79"/>
      <c r="U366" s="208">
        <f>ROUND((ROUND((ROUND((ROUND((_15_同援日増７．５*_15・基礎２),0)*_15・２人),0)*(1+_15・盲ろう)),0)*(1+_15・区４)),0)</f>
        <v>1537</v>
      </c>
      <c r="V366" s="48"/>
    </row>
    <row r="367" spans="1:22" ht="16.5" customHeight="1" x14ac:dyDescent="0.15">
      <c r="A367" s="41">
        <v>15</v>
      </c>
      <c r="B367" s="41" t="s">
        <v>1971</v>
      </c>
      <c r="C367" s="74" t="s">
        <v>24257</v>
      </c>
      <c r="D367" s="114" t="s">
        <v>24258</v>
      </c>
      <c r="E367" s="49"/>
      <c r="F367" s="115"/>
      <c r="G367" s="53"/>
      <c r="H367" s="49"/>
      <c r="I367" s="50"/>
      <c r="J367" s="163"/>
      <c r="K367" s="45"/>
      <c r="L367" s="46"/>
      <c r="M367" s="53"/>
      <c r="N367" s="49"/>
      <c r="O367" s="50"/>
      <c r="P367" s="115"/>
      <c r="Q367" s="53"/>
      <c r="R367" s="49"/>
      <c r="S367" s="50"/>
      <c r="T367" s="115"/>
      <c r="U367" s="208">
        <f>_15_同援日増８．０</f>
        <v>1040</v>
      </c>
      <c r="V367" s="48"/>
    </row>
    <row r="368" spans="1:22" ht="16.5" customHeight="1" x14ac:dyDescent="0.15">
      <c r="A368" s="41">
        <v>15</v>
      </c>
      <c r="B368" s="41" t="s">
        <v>1973</v>
      </c>
      <c r="C368" s="74" t="s">
        <v>24259</v>
      </c>
      <c r="D368" s="72" t="s">
        <v>17967</v>
      </c>
      <c r="F368" s="57"/>
      <c r="G368" s="43"/>
      <c r="H368" s="37"/>
      <c r="I368" s="38"/>
      <c r="J368" s="299" t="s">
        <v>17556</v>
      </c>
      <c r="K368" s="45" t="s">
        <v>398</v>
      </c>
      <c r="L368" s="46">
        <v>1</v>
      </c>
      <c r="M368" s="35"/>
      <c r="P368" s="57"/>
      <c r="Q368" s="35"/>
      <c r="T368" s="57"/>
      <c r="U368" s="208">
        <f>ROUND((_15_同援日増８．０*_15・２人),0)</f>
        <v>1040</v>
      </c>
      <c r="V368" s="48"/>
    </row>
    <row r="369" spans="1:22" ht="16.5" customHeight="1" x14ac:dyDescent="0.15">
      <c r="A369" s="41">
        <v>15</v>
      </c>
      <c r="B369" s="41" t="s">
        <v>24260</v>
      </c>
      <c r="C369" s="74" t="s">
        <v>24261</v>
      </c>
      <c r="D369" s="72" t="s">
        <v>17969</v>
      </c>
      <c r="F369" s="57"/>
      <c r="G369" s="114" t="s">
        <v>17558</v>
      </c>
      <c r="H369" s="49"/>
      <c r="I369" s="50"/>
      <c r="J369" s="163"/>
      <c r="K369" s="45"/>
      <c r="L369" s="46"/>
      <c r="M369" s="35"/>
      <c r="P369" s="57"/>
      <c r="Q369" s="35"/>
      <c r="T369" s="57"/>
      <c r="U369" s="208">
        <f>ROUND((_15_同援日増８．０*_15・基礎２),0)</f>
        <v>936</v>
      </c>
      <c r="V369" s="48"/>
    </row>
    <row r="370" spans="1:22" ht="16.5" customHeight="1" x14ac:dyDescent="0.15">
      <c r="A370" s="41">
        <v>15</v>
      </c>
      <c r="B370" s="41" t="s">
        <v>24262</v>
      </c>
      <c r="C370" s="74" t="s">
        <v>24263</v>
      </c>
      <c r="D370" s="72"/>
      <c r="E370" s="168">
        <f>_15_同援日増８．０</f>
        <v>1040</v>
      </c>
      <c r="F370" s="57" t="s">
        <v>392</v>
      </c>
      <c r="G370" s="269" t="s">
        <v>17560</v>
      </c>
      <c r="H370" s="37" t="s">
        <v>398</v>
      </c>
      <c r="I370" s="38">
        <v>0.9</v>
      </c>
      <c r="J370" s="299" t="s">
        <v>17556</v>
      </c>
      <c r="K370" s="45" t="s">
        <v>398</v>
      </c>
      <c r="L370" s="46">
        <v>1</v>
      </c>
      <c r="M370" s="43"/>
      <c r="N370" s="37"/>
      <c r="O370" s="38"/>
      <c r="P370" s="79"/>
      <c r="Q370" s="35"/>
      <c r="T370" s="57"/>
      <c r="U370" s="208">
        <f>ROUND((ROUND((_15_同援日増８．０*_15・基礎２),0)*_15・２人),0)</f>
        <v>936</v>
      </c>
      <c r="V370" s="48"/>
    </row>
    <row r="371" spans="1:22" ht="16.5" customHeight="1" x14ac:dyDescent="0.15">
      <c r="A371" s="41">
        <v>15</v>
      </c>
      <c r="B371" s="41" t="s">
        <v>24264</v>
      </c>
      <c r="C371" s="74" t="s">
        <v>24265</v>
      </c>
      <c r="D371" s="72"/>
      <c r="F371" s="57"/>
      <c r="G371" s="53"/>
      <c r="H371" s="49"/>
      <c r="I371" s="50"/>
      <c r="J371" s="163"/>
      <c r="K371" s="45"/>
      <c r="L371" s="46"/>
      <c r="M371" s="114" t="s">
        <v>17562</v>
      </c>
      <c r="N371" s="49"/>
      <c r="O371" s="50"/>
      <c r="P371" s="115"/>
      <c r="Q371" s="35"/>
      <c r="T371" s="57"/>
      <c r="U371" s="208">
        <f>ROUND((_15_同援日増８．０*(1+_15・盲ろう)),0)</f>
        <v>1300</v>
      </c>
      <c r="V371" s="48"/>
    </row>
    <row r="372" spans="1:22" ht="16.5" customHeight="1" x14ac:dyDescent="0.15">
      <c r="A372" s="41">
        <v>15</v>
      </c>
      <c r="B372" s="41" t="s">
        <v>24266</v>
      </c>
      <c r="C372" s="74" t="s">
        <v>24267</v>
      </c>
      <c r="D372" s="72"/>
      <c r="F372" s="57"/>
      <c r="G372" s="43"/>
      <c r="H372" s="37"/>
      <c r="I372" s="38"/>
      <c r="J372" s="299" t="s">
        <v>17556</v>
      </c>
      <c r="K372" s="45" t="s">
        <v>398</v>
      </c>
      <c r="L372" s="46">
        <v>1</v>
      </c>
      <c r="M372" s="92" t="s">
        <v>17564</v>
      </c>
      <c r="P372" s="57"/>
      <c r="Q372" s="35"/>
      <c r="T372" s="57"/>
      <c r="U372" s="208">
        <f>ROUND((ROUND((_15_同援日増８．０*_15・２人),0)*(1+_15・盲ろう)),0)</f>
        <v>1300</v>
      </c>
      <c r="V372" s="48"/>
    </row>
    <row r="373" spans="1:22" ht="16.5" customHeight="1" x14ac:dyDescent="0.15">
      <c r="A373" s="41">
        <v>15</v>
      </c>
      <c r="B373" s="41" t="s">
        <v>24268</v>
      </c>
      <c r="C373" s="74" t="s">
        <v>24269</v>
      </c>
      <c r="D373" s="72"/>
      <c r="F373" s="57"/>
      <c r="G373" s="114" t="s">
        <v>17558</v>
      </c>
      <c r="H373" s="49"/>
      <c r="I373" s="50"/>
      <c r="J373" s="163"/>
      <c r="K373" s="45"/>
      <c r="L373" s="46"/>
      <c r="M373" s="35"/>
      <c r="N373" s="12" t="s">
        <v>398</v>
      </c>
      <c r="O373" s="13">
        <v>0.25</v>
      </c>
      <c r="P373" s="57" t="s">
        <v>3575</v>
      </c>
      <c r="Q373" s="35"/>
      <c r="T373" s="57"/>
      <c r="U373" s="208">
        <f>ROUND((ROUND((_15_同援日増８．０*_15・基礎２),0)*(1+_15・盲ろう)),0)</f>
        <v>1170</v>
      </c>
      <c r="V373" s="48"/>
    </row>
    <row r="374" spans="1:22" ht="16.5" customHeight="1" x14ac:dyDescent="0.15">
      <c r="A374" s="41">
        <v>15</v>
      </c>
      <c r="B374" s="41" t="s">
        <v>24270</v>
      </c>
      <c r="C374" s="74" t="s">
        <v>24271</v>
      </c>
      <c r="D374" s="72"/>
      <c r="F374" s="57"/>
      <c r="G374" s="269" t="s">
        <v>17560</v>
      </c>
      <c r="H374" s="37" t="s">
        <v>398</v>
      </c>
      <c r="I374" s="38">
        <v>0.9</v>
      </c>
      <c r="J374" s="299" t="s">
        <v>17556</v>
      </c>
      <c r="K374" s="45" t="s">
        <v>398</v>
      </c>
      <c r="L374" s="46">
        <v>1</v>
      </c>
      <c r="M374" s="43"/>
      <c r="N374" s="37"/>
      <c r="O374" s="38"/>
      <c r="P374" s="79"/>
      <c r="Q374" s="43"/>
      <c r="R374" s="37"/>
      <c r="S374" s="38"/>
      <c r="T374" s="79"/>
      <c r="U374" s="208">
        <f>ROUND((ROUND((ROUND((_15_同援日増８．０*_15・基礎２),0)*_15・２人),0)*(1+_15・盲ろう)),0)</f>
        <v>1170</v>
      </c>
      <c r="V374" s="48"/>
    </row>
    <row r="375" spans="1:22" ht="16.5" customHeight="1" x14ac:dyDescent="0.15">
      <c r="A375" s="41">
        <v>15</v>
      </c>
      <c r="B375" s="41" t="s">
        <v>24272</v>
      </c>
      <c r="C375" s="74" t="s">
        <v>24273</v>
      </c>
      <c r="D375" s="72"/>
      <c r="F375" s="57"/>
      <c r="G375" s="53"/>
      <c r="H375" s="49"/>
      <c r="I375" s="50"/>
      <c r="J375" s="163"/>
      <c r="K375" s="45"/>
      <c r="L375" s="46"/>
      <c r="M375" s="53"/>
      <c r="N375" s="49"/>
      <c r="O375" s="50"/>
      <c r="P375" s="115"/>
      <c r="Q375" s="53"/>
      <c r="R375" s="49"/>
      <c r="S375" s="50"/>
      <c r="T375" s="115"/>
      <c r="U375" s="208">
        <f>ROUND((_15_同援日増８．０*(1+_15・区３)),0)</f>
        <v>1248</v>
      </c>
      <c r="V375" s="48"/>
    </row>
    <row r="376" spans="1:22" ht="16.5" customHeight="1" x14ac:dyDescent="0.15">
      <c r="A376" s="41">
        <v>15</v>
      </c>
      <c r="B376" s="41" t="s">
        <v>24274</v>
      </c>
      <c r="C376" s="74" t="s">
        <v>24275</v>
      </c>
      <c r="D376" s="72"/>
      <c r="F376" s="57"/>
      <c r="G376" s="43"/>
      <c r="H376" s="37"/>
      <c r="I376" s="38"/>
      <c r="J376" s="299" t="s">
        <v>17556</v>
      </c>
      <c r="K376" s="45" t="s">
        <v>398</v>
      </c>
      <c r="L376" s="46">
        <v>1</v>
      </c>
      <c r="M376" s="35"/>
      <c r="P376" s="57"/>
      <c r="Q376" s="35"/>
      <c r="T376" s="57"/>
      <c r="U376" s="208">
        <f>ROUND((ROUND((_15_同援日増８．０*_15・２人),0)*(1+_15・区３)),0)</f>
        <v>1248</v>
      </c>
      <c r="V376" s="48"/>
    </row>
    <row r="377" spans="1:22" ht="16.5" customHeight="1" x14ac:dyDescent="0.15">
      <c r="A377" s="41">
        <v>15</v>
      </c>
      <c r="B377" s="41" t="s">
        <v>24276</v>
      </c>
      <c r="C377" s="74" t="s">
        <v>24277</v>
      </c>
      <c r="D377" s="72"/>
      <c r="F377" s="57"/>
      <c r="G377" s="114" t="s">
        <v>17558</v>
      </c>
      <c r="H377" s="49"/>
      <c r="I377" s="50"/>
      <c r="J377" s="163"/>
      <c r="K377" s="45"/>
      <c r="L377" s="46"/>
      <c r="M377" s="35"/>
      <c r="P377" s="57"/>
      <c r="Q377" s="72" t="s">
        <v>17570</v>
      </c>
      <c r="T377" s="57"/>
      <c r="U377" s="208">
        <f>ROUND((ROUND((_15_同援日増８．０*_15・基礎２),0)*(1+_15・区３)),0)</f>
        <v>1123</v>
      </c>
      <c r="V377" s="48"/>
    </row>
    <row r="378" spans="1:22" ht="16.5" customHeight="1" x14ac:dyDescent="0.15">
      <c r="A378" s="41">
        <v>15</v>
      </c>
      <c r="B378" s="41" t="s">
        <v>24278</v>
      </c>
      <c r="C378" s="74" t="s">
        <v>24279</v>
      </c>
      <c r="D378" s="72"/>
      <c r="F378" s="57"/>
      <c r="G378" s="269" t="s">
        <v>17560</v>
      </c>
      <c r="H378" s="37" t="s">
        <v>398</v>
      </c>
      <c r="I378" s="38">
        <v>0.9</v>
      </c>
      <c r="J378" s="299" t="s">
        <v>17556</v>
      </c>
      <c r="K378" s="45" t="s">
        <v>398</v>
      </c>
      <c r="L378" s="46">
        <v>1</v>
      </c>
      <c r="M378" s="43"/>
      <c r="N378" s="37"/>
      <c r="O378" s="38"/>
      <c r="P378" s="79"/>
      <c r="Q378" s="72" t="s">
        <v>17572</v>
      </c>
      <c r="T378" s="57"/>
      <c r="U378" s="208">
        <f>ROUND((ROUND((ROUND((_15_同援日増８．０*_15・基礎２),0)*_15・２人),0)*(1+_15・区３)),0)</f>
        <v>1123</v>
      </c>
      <c r="V378" s="48"/>
    </row>
    <row r="379" spans="1:22" ht="16.5" customHeight="1" x14ac:dyDescent="0.15">
      <c r="A379" s="41">
        <v>15</v>
      </c>
      <c r="B379" s="41" t="s">
        <v>24280</v>
      </c>
      <c r="C379" s="74" t="s">
        <v>24281</v>
      </c>
      <c r="D379" s="72"/>
      <c r="F379" s="57"/>
      <c r="G379" s="53"/>
      <c r="H379" s="49"/>
      <c r="I379" s="50"/>
      <c r="J379" s="163"/>
      <c r="K379" s="45"/>
      <c r="L379" s="46"/>
      <c r="M379" s="114" t="s">
        <v>17562</v>
      </c>
      <c r="N379" s="49"/>
      <c r="O379" s="50"/>
      <c r="P379" s="115"/>
      <c r="Q379" s="35"/>
      <c r="R379" s="12" t="s">
        <v>398</v>
      </c>
      <c r="S379" s="13">
        <v>0.2</v>
      </c>
      <c r="T379" s="57" t="s">
        <v>3575</v>
      </c>
      <c r="U379" s="208">
        <f>ROUND((ROUND((_15_同援日増８．０*(1+_15・盲ろう)),0)*(1+_15・区３)),0)</f>
        <v>1560</v>
      </c>
      <c r="V379" s="48"/>
    </row>
    <row r="380" spans="1:22" ht="16.5" customHeight="1" x14ac:dyDescent="0.15">
      <c r="A380" s="41">
        <v>15</v>
      </c>
      <c r="B380" s="41" t="s">
        <v>24282</v>
      </c>
      <c r="C380" s="74" t="s">
        <v>24283</v>
      </c>
      <c r="D380" s="72"/>
      <c r="F380" s="57"/>
      <c r="G380" s="43"/>
      <c r="H380" s="37"/>
      <c r="I380" s="38"/>
      <c r="J380" s="299" t="s">
        <v>17556</v>
      </c>
      <c r="K380" s="45" t="s">
        <v>398</v>
      </c>
      <c r="L380" s="46">
        <v>1</v>
      </c>
      <c r="M380" s="92" t="s">
        <v>17564</v>
      </c>
      <c r="P380" s="57"/>
      <c r="Q380" s="35"/>
      <c r="T380" s="57"/>
      <c r="U380" s="208">
        <f>ROUND((ROUND((ROUND((_15_同援日増８．０*_15・２人),0)*(1+_15・盲ろう)),0)*(1+_15・区３)),0)</f>
        <v>1560</v>
      </c>
      <c r="V380" s="48"/>
    </row>
    <row r="381" spans="1:22" ht="16.5" customHeight="1" x14ac:dyDescent="0.15">
      <c r="A381" s="41">
        <v>15</v>
      </c>
      <c r="B381" s="41" t="s">
        <v>24284</v>
      </c>
      <c r="C381" s="74" t="s">
        <v>24285</v>
      </c>
      <c r="D381" s="72"/>
      <c r="F381" s="57"/>
      <c r="G381" s="114" t="s">
        <v>17558</v>
      </c>
      <c r="H381" s="49"/>
      <c r="I381" s="50"/>
      <c r="J381" s="163"/>
      <c r="K381" s="45"/>
      <c r="L381" s="46"/>
      <c r="M381" s="35"/>
      <c r="N381" s="12" t="s">
        <v>398</v>
      </c>
      <c r="O381" s="13">
        <v>0.25</v>
      </c>
      <c r="P381" s="57" t="s">
        <v>3575</v>
      </c>
      <c r="Q381" s="35"/>
      <c r="T381" s="57"/>
      <c r="U381" s="208">
        <f>ROUND((ROUND((ROUND((_15_同援日増８．０*_15・基礎２),0)*(1+_15・盲ろう)),0)*(1+_15・区３)),0)</f>
        <v>1404</v>
      </c>
      <c r="V381" s="48"/>
    </row>
    <row r="382" spans="1:22" ht="16.5" customHeight="1" x14ac:dyDescent="0.15">
      <c r="A382" s="41">
        <v>15</v>
      </c>
      <c r="B382" s="41" t="s">
        <v>24286</v>
      </c>
      <c r="C382" s="74" t="s">
        <v>24287</v>
      </c>
      <c r="D382" s="72"/>
      <c r="F382" s="57"/>
      <c r="G382" s="269" t="s">
        <v>17560</v>
      </c>
      <c r="H382" s="37" t="s">
        <v>398</v>
      </c>
      <c r="I382" s="38">
        <v>0.9</v>
      </c>
      <c r="J382" s="299" t="s">
        <v>17556</v>
      </c>
      <c r="K382" s="45" t="s">
        <v>398</v>
      </c>
      <c r="L382" s="46">
        <v>1</v>
      </c>
      <c r="M382" s="43"/>
      <c r="N382" s="37"/>
      <c r="O382" s="38"/>
      <c r="P382" s="79"/>
      <c r="Q382" s="43"/>
      <c r="R382" s="37"/>
      <c r="S382" s="38"/>
      <c r="T382" s="79"/>
      <c r="U382" s="208">
        <f>ROUND((ROUND((ROUND((ROUND((_15_同援日増８．０*_15・基礎２),0)*_15・２人),0)*(1+_15・盲ろう)),0)*(1+_15・区３)),0)</f>
        <v>1404</v>
      </c>
      <c r="V382" s="48"/>
    </row>
    <row r="383" spans="1:22" ht="16.5" customHeight="1" x14ac:dyDescent="0.15">
      <c r="A383" s="41">
        <v>15</v>
      </c>
      <c r="B383" s="41" t="s">
        <v>24288</v>
      </c>
      <c r="C383" s="74" t="s">
        <v>24289</v>
      </c>
      <c r="D383" s="72"/>
      <c r="F383" s="57"/>
      <c r="G383" s="53"/>
      <c r="H383" s="49"/>
      <c r="I383" s="50"/>
      <c r="J383" s="163"/>
      <c r="K383" s="45"/>
      <c r="L383" s="46"/>
      <c r="M383" s="53"/>
      <c r="N383" s="49"/>
      <c r="O383" s="50"/>
      <c r="P383" s="115"/>
      <c r="Q383" s="53"/>
      <c r="R383" s="49"/>
      <c r="S383" s="50"/>
      <c r="T383" s="115"/>
      <c r="U383" s="208">
        <f>ROUND((_15_同援日増８．０*(1+_15・区４)),0)</f>
        <v>1456</v>
      </c>
      <c r="V383" s="48"/>
    </row>
    <row r="384" spans="1:22" ht="16.5" customHeight="1" x14ac:dyDescent="0.15">
      <c r="A384" s="41">
        <v>15</v>
      </c>
      <c r="B384" s="41" t="s">
        <v>24290</v>
      </c>
      <c r="C384" s="74" t="s">
        <v>24291</v>
      </c>
      <c r="D384" s="72"/>
      <c r="F384" s="57"/>
      <c r="G384" s="43"/>
      <c r="H384" s="37"/>
      <c r="I384" s="38"/>
      <c r="J384" s="299" t="s">
        <v>17556</v>
      </c>
      <c r="K384" s="45" t="s">
        <v>398</v>
      </c>
      <c r="L384" s="46">
        <v>1</v>
      </c>
      <c r="M384" s="35"/>
      <c r="P384" s="57"/>
      <c r="Q384" s="35"/>
      <c r="T384" s="57"/>
      <c r="U384" s="208">
        <f>ROUND((ROUND((_15_同援日増８．０*_15・２人),0)*(1+_15・区４)),0)</f>
        <v>1456</v>
      </c>
      <c r="V384" s="48"/>
    </row>
    <row r="385" spans="1:22" ht="16.5" customHeight="1" x14ac:dyDescent="0.15">
      <c r="A385" s="41">
        <v>15</v>
      </c>
      <c r="B385" s="41" t="s">
        <v>1979</v>
      </c>
      <c r="C385" s="74" t="s">
        <v>24292</v>
      </c>
      <c r="D385" s="72"/>
      <c r="F385" s="57"/>
      <c r="G385" s="114" t="s">
        <v>17558</v>
      </c>
      <c r="H385" s="49"/>
      <c r="I385" s="50"/>
      <c r="J385" s="163"/>
      <c r="K385" s="45"/>
      <c r="L385" s="46"/>
      <c r="M385" s="35"/>
      <c r="P385" s="57"/>
      <c r="Q385" s="72" t="s">
        <v>17580</v>
      </c>
      <c r="T385" s="57"/>
      <c r="U385" s="208">
        <f>ROUND((ROUND((_15_同援日増８．０*_15・基礎２),0)*(1+_15・区４)),0)</f>
        <v>1310</v>
      </c>
      <c r="V385" s="48"/>
    </row>
    <row r="386" spans="1:22" ht="16.5" customHeight="1" x14ac:dyDescent="0.15">
      <c r="A386" s="41">
        <v>15</v>
      </c>
      <c r="B386" s="41" t="s">
        <v>1981</v>
      </c>
      <c r="C386" s="74" t="s">
        <v>24293</v>
      </c>
      <c r="D386" s="72"/>
      <c r="F386" s="57"/>
      <c r="G386" s="269" t="s">
        <v>17560</v>
      </c>
      <c r="H386" s="37" t="s">
        <v>398</v>
      </c>
      <c r="I386" s="38">
        <v>0.9</v>
      </c>
      <c r="J386" s="299" t="s">
        <v>17556</v>
      </c>
      <c r="K386" s="45" t="s">
        <v>398</v>
      </c>
      <c r="L386" s="46">
        <v>1</v>
      </c>
      <c r="M386" s="43"/>
      <c r="N386" s="37"/>
      <c r="O386" s="38"/>
      <c r="P386" s="79"/>
      <c r="Q386" s="72" t="s">
        <v>17572</v>
      </c>
      <c r="T386" s="57"/>
      <c r="U386" s="208">
        <f>ROUND((ROUND((ROUND((_15_同援日増８．０*_15・基礎２),0)*_15・２人),0)*(1+_15・区４)),0)</f>
        <v>1310</v>
      </c>
      <c r="V386" s="48"/>
    </row>
    <row r="387" spans="1:22" ht="16.5" customHeight="1" x14ac:dyDescent="0.15">
      <c r="A387" s="41">
        <v>15</v>
      </c>
      <c r="B387" s="41" t="s">
        <v>1983</v>
      </c>
      <c r="C387" s="74" t="s">
        <v>24294</v>
      </c>
      <c r="D387" s="72"/>
      <c r="F387" s="57"/>
      <c r="G387" s="53"/>
      <c r="H387" s="49"/>
      <c r="I387" s="50"/>
      <c r="J387" s="163"/>
      <c r="K387" s="45"/>
      <c r="L387" s="46"/>
      <c r="M387" s="114" t="s">
        <v>17562</v>
      </c>
      <c r="N387" s="49"/>
      <c r="O387" s="50"/>
      <c r="P387" s="115"/>
      <c r="Q387" s="35"/>
      <c r="R387" s="12" t="s">
        <v>398</v>
      </c>
      <c r="S387" s="13">
        <v>0.4</v>
      </c>
      <c r="T387" s="57" t="s">
        <v>3575</v>
      </c>
      <c r="U387" s="208">
        <f>ROUND((ROUND((_15_同援日増８．０*(1+_15・盲ろう)),0)*(1+_15・区４)),0)</f>
        <v>1820</v>
      </c>
      <c r="V387" s="48"/>
    </row>
    <row r="388" spans="1:22" ht="16.5" customHeight="1" x14ac:dyDescent="0.15">
      <c r="A388" s="41">
        <v>15</v>
      </c>
      <c r="B388" s="41" t="s">
        <v>1985</v>
      </c>
      <c r="C388" s="74" t="s">
        <v>24295</v>
      </c>
      <c r="D388" s="72"/>
      <c r="F388" s="57"/>
      <c r="G388" s="43"/>
      <c r="H388" s="37"/>
      <c r="I388" s="38"/>
      <c r="J388" s="299" t="s">
        <v>17556</v>
      </c>
      <c r="K388" s="45" t="s">
        <v>398</v>
      </c>
      <c r="L388" s="46">
        <v>1</v>
      </c>
      <c r="M388" s="92" t="s">
        <v>17564</v>
      </c>
      <c r="P388" s="57"/>
      <c r="Q388" s="35"/>
      <c r="T388" s="57"/>
      <c r="U388" s="208">
        <f>ROUND((ROUND((ROUND((_15_同援日増８．０*_15・２人),0)*(1+_15・盲ろう)),0)*(1+_15・区４)),0)</f>
        <v>1820</v>
      </c>
      <c r="V388" s="48"/>
    </row>
    <row r="389" spans="1:22" ht="16.5" customHeight="1" x14ac:dyDescent="0.15">
      <c r="A389" s="41">
        <v>15</v>
      </c>
      <c r="B389" s="41" t="s">
        <v>24296</v>
      </c>
      <c r="C389" s="74" t="s">
        <v>24297</v>
      </c>
      <c r="D389" s="72"/>
      <c r="F389" s="57"/>
      <c r="G389" s="114" t="s">
        <v>17558</v>
      </c>
      <c r="H389" s="49"/>
      <c r="I389" s="50"/>
      <c r="J389" s="163"/>
      <c r="K389" s="45"/>
      <c r="L389" s="46"/>
      <c r="M389" s="35"/>
      <c r="N389" s="12" t="s">
        <v>398</v>
      </c>
      <c r="O389" s="13">
        <v>0.25</v>
      </c>
      <c r="P389" s="57" t="s">
        <v>3575</v>
      </c>
      <c r="Q389" s="35"/>
      <c r="T389" s="57"/>
      <c r="U389" s="208">
        <f>ROUND((ROUND((ROUND((_15_同援日増８．０*_15・基礎２),0)*(1+_15・盲ろう)),0)*(1+_15・区４)),0)</f>
        <v>1638</v>
      </c>
      <c r="V389" s="48"/>
    </row>
    <row r="390" spans="1:22" ht="16.5" customHeight="1" x14ac:dyDescent="0.15">
      <c r="A390" s="41">
        <v>15</v>
      </c>
      <c r="B390" s="41" t="s">
        <v>24298</v>
      </c>
      <c r="C390" s="74" t="s">
        <v>24299</v>
      </c>
      <c r="D390" s="122"/>
      <c r="E390" s="37"/>
      <c r="F390" s="79"/>
      <c r="G390" s="269" t="s">
        <v>17560</v>
      </c>
      <c r="H390" s="37" t="s">
        <v>398</v>
      </c>
      <c r="I390" s="38">
        <v>0.9</v>
      </c>
      <c r="J390" s="299" t="s">
        <v>17556</v>
      </c>
      <c r="K390" s="45" t="s">
        <v>398</v>
      </c>
      <c r="L390" s="46">
        <v>1</v>
      </c>
      <c r="M390" s="43"/>
      <c r="N390" s="37"/>
      <c r="O390" s="38"/>
      <c r="P390" s="79"/>
      <c r="Q390" s="43"/>
      <c r="R390" s="37"/>
      <c r="S390" s="38"/>
      <c r="T390" s="79"/>
      <c r="U390" s="208">
        <f>ROUND((ROUND((ROUND((ROUND((_15_同援日増８．０*_15・基礎２),0)*_15・２人),0)*(1+_15・盲ろう)),0)*(1+_15・区４)),0)</f>
        <v>1638</v>
      </c>
      <c r="V390" s="63"/>
    </row>
    <row r="391" spans="1:22" ht="16.5" customHeight="1" x14ac:dyDescent="0.15">
      <c r="A391" s="41">
        <v>15</v>
      </c>
      <c r="B391" s="41" t="s">
        <v>24300</v>
      </c>
      <c r="C391" s="74" t="s">
        <v>24301</v>
      </c>
      <c r="D391" s="114" t="s">
        <v>24302</v>
      </c>
      <c r="E391" s="49"/>
      <c r="F391" s="115"/>
      <c r="G391" s="53"/>
      <c r="H391" s="49"/>
      <c r="I391" s="50"/>
      <c r="J391" s="163"/>
      <c r="K391" s="45"/>
      <c r="L391" s="46"/>
      <c r="M391" s="53"/>
      <c r="N391" s="49"/>
      <c r="O391" s="50"/>
      <c r="P391" s="115"/>
      <c r="Q391" s="53"/>
      <c r="R391" s="49"/>
      <c r="S391" s="50"/>
      <c r="T391" s="115"/>
      <c r="U391" s="208">
        <f>_15_同援日増８．５</f>
        <v>1105</v>
      </c>
      <c r="V391" s="64"/>
    </row>
    <row r="392" spans="1:22" ht="16.5" customHeight="1" x14ac:dyDescent="0.15">
      <c r="A392" s="41">
        <v>15</v>
      </c>
      <c r="B392" s="41" t="s">
        <v>24303</v>
      </c>
      <c r="C392" s="74" t="s">
        <v>24304</v>
      </c>
      <c r="D392" s="72" t="s">
        <v>17994</v>
      </c>
      <c r="F392" s="57"/>
      <c r="G392" s="43"/>
      <c r="H392" s="37"/>
      <c r="I392" s="38"/>
      <c r="J392" s="299" t="s">
        <v>17556</v>
      </c>
      <c r="K392" s="45" t="s">
        <v>398</v>
      </c>
      <c r="L392" s="46">
        <v>1</v>
      </c>
      <c r="M392" s="35"/>
      <c r="P392" s="57"/>
      <c r="Q392" s="35"/>
      <c r="T392" s="57"/>
      <c r="U392" s="208">
        <f>ROUND((_15_同援日増８．５*_15・２人),0)</f>
        <v>1105</v>
      </c>
      <c r="V392" s="48"/>
    </row>
    <row r="393" spans="1:22" ht="16.5" customHeight="1" x14ac:dyDescent="0.15">
      <c r="A393" s="41">
        <v>15</v>
      </c>
      <c r="B393" s="41" t="s">
        <v>24305</v>
      </c>
      <c r="C393" s="74" t="s">
        <v>24306</v>
      </c>
      <c r="D393" s="72" t="s">
        <v>17996</v>
      </c>
      <c r="F393" s="57"/>
      <c r="G393" s="114" t="s">
        <v>17558</v>
      </c>
      <c r="H393" s="49"/>
      <c r="I393" s="50"/>
      <c r="J393" s="163"/>
      <c r="K393" s="45"/>
      <c r="L393" s="46"/>
      <c r="M393" s="35"/>
      <c r="P393" s="57"/>
      <c r="Q393" s="35"/>
      <c r="T393" s="57"/>
      <c r="U393" s="208">
        <f>ROUND((_15_同援日増８．５*_15・基礎２),0)</f>
        <v>995</v>
      </c>
      <c r="V393" s="48"/>
    </row>
    <row r="394" spans="1:22" ht="16.5" customHeight="1" x14ac:dyDescent="0.15">
      <c r="A394" s="41">
        <v>15</v>
      </c>
      <c r="B394" s="41" t="s">
        <v>24307</v>
      </c>
      <c r="C394" s="74" t="s">
        <v>24308</v>
      </c>
      <c r="D394" s="72"/>
      <c r="E394" s="168">
        <f>_15_同援日増８．５</f>
        <v>1105</v>
      </c>
      <c r="F394" s="57" t="s">
        <v>392</v>
      </c>
      <c r="G394" s="269" t="s">
        <v>17560</v>
      </c>
      <c r="H394" s="37" t="s">
        <v>398</v>
      </c>
      <c r="I394" s="38">
        <v>0.9</v>
      </c>
      <c r="J394" s="299" t="s">
        <v>17556</v>
      </c>
      <c r="K394" s="45" t="s">
        <v>398</v>
      </c>
      <c r="L394" s="46">
        <v>1</v>
      </c>
      <c r="M394" s="43"/>
      <c r="N394" s="37"/>
      <c r="O394" s="38"/>
      <c r="P394" s="79"/>
      <c r="Q394" s="35"/>
      <c r="T394" s="57"/>
      <c r="U394" s="208">
        <f>ROUND((ROUND((_15_同援日増８．５*_15・基礎２),0)*_15・２人),0)</f>
        <v>995</v>
      </c>
      <c r="V394" s="48"/>
    </row>
    <row r="395" spans="1:22" ht="16.5" customHeight="1" x14ac:dyDescent="0.15">
      <c r="A395" s="41">
        <v>15</v>
      </c>
      <c r="B395" s="41" t="s">
        <v>24309</v>
      </c>
      <c r="C395" s="74" t="s">
        <v>24310</v>
      </c>
      <c r="D395" s="72"/>
      <c r="F395" s="57"/>
      <c r="G395" s="53"/>
      <c r="H395" s="49"/>
      <c r="I395" s="50"/>
      <c r="J395" s="163"/>
      <c r="K395" s="45"/>
      <c r="L395" s="46"/>
      <c r="M395" s="114" t="s">
        <v>17562</v>
      </c>
      <c r="N395" s="49"/>
      <c r="O395" s="50"/>
      <c r="P395" s="115"/>
      <c r="Q395" s="35"/>
      <c r="T395" s="57"/>
      <c r="U395" s="208">
        <f>ROUND((_15_同援日増８．５*(1+_15・盲ろう)),0)</f>
        <v>1381</v>
      </c>
      <c r="V395" s="48"/>
    </row>
    <row r="396" spans="1:22" ht="16.5" customHeight="1" x14ac:dyDescent="0.15">
      <c r="A396" s="41">
        <v>15</v>
      </c>
      <c r="B396" s="41" t="s">
        <v>24311</v>
      </c>
      <c r="C396" s="74" t="s">
        <v>24312</v>
      </c>
      <c r="D396" s="72"/>
      <c r="F396" s="57"/>
      <c r="G396" s="43"/>
      <c r="H396" s="37"/>
      <c r="I396" s="38"/>
      <c r="J396" s="299" t="s">
        <v>17556</v>
      </c>
      <c r="K396" s="45" t="s">
        <v>398</v>
      </c>
      <c r="L396" s="46">
        <v>1</v>
      </c>
      <c r="M396" s="92" t="s">
        <v>17564</v>
      </c>
      <c r="P396" s="57"/>
      <c r="Q396" s="35"/>
      <c r="T396" s="57"/>
      <c r="U396" s="208">
        <f>ROUND((ROUND((_15_同援日増８．５*_15・２人),0)*(1+_15・盲ろう)),0)</f>
        <v>1381</v>
      </c>
      <c r="V396" s="48"/>
    </row>
    <row r="397" spans="1:22" ht="16.5" customHeight="1" x14ac:dyDescent="0.15">
      <c r="A397" s="41">
        <v>15</v>
      </c>
      <c r="B397" s="41" t="s">
        <v>24313</v>
      </c>
      <c r="C397" s="74" t="s">
        <v>24314</v>
      </c>
      <c r="D397" s="72"/>
      <c r="F397" s="57"/>
      <c r="G397" s="114" t="s">
        <v>17558</v>
      </c>
      <c r="H397" s="49"/>
      <c r="I397" s="50"/>
      <c r="J397" s="163"/>
      <c r="K397" s="45"/>
      <c r="L397" s="46"/>
      <c r="M397" s="35"/>
      <c r="N397" s="12" t="s">
        <v>398</v>
      </c>
      <c r="O397" s="13">
        <v>0.25</v>
      </c>
      <c r="P397" s="57" t="s">
        <v>3575</v>
      </c>
      <c r="Q397" s="35"/>
      <c r="T397" s="57"/>
      <c r="U397" s="208">
        <f>ROUND((ROUND((_15_同援日増８．５*_15・基礎２),0)*(1+_15・盲ろう)),0)</f>
        <v>1244</v>
      </c>
      <c r="V397" s="48"/>
    </row>
    <row r="398" spans="1:22" ht="16.5" customHeight="1" x14ac:dyDescent="0.15">
      <c r="A398" s="41">
        <v>15</v>
      </c>
      <c r="B398" s="41" t="s">
        <v>24315</v>
      </c>
      <c r="C398" s="74" t="s">
        <v>24316</v>
      </c>
      <c r="D398" s="72"/>
      <c r="F398" s="57"/>
      <c r="G398" s="269" t="s">
        <v>17560</v>
      </c>
      <c r="H398" s="37" t="s">
        <v>398</v>
      </c>
      <c r="I398" s="38">
        <v>0.9</v>
      </c>
      <c r="J398" s="299" t="s">
        <v>17556</v>
      </c>
      <c r="K398" s="45" t="s">
        <v>398</v>
      </c>
      <c r="L398" s="46">
        <v>1</v>
      </c>
      <c r="M398" s="43"/>
      <c r="N398" s="37"/>
      <c r="O398" s="38"/>
      <c r="P398" s="79"/>
      <c r="Q398" s="43"/>
      <c r="R398" s="37"/>
      <c r="S398" s="38"/>
      <c r="T398" s="79"/>
      <c r="U398" s="208">
        <f>ROUND((ROUND((ROUND((_15_同援日増８．５*_15・基礎２),0)*_15・２人),0)*(1+_15・盲ろう)),0)</f>
        <v>1244</v>
      </c>
      <c r="V398" s="48"/>
    </row>
    <row r="399" spans="1:22" ht="16.5" customHeight="1" x14ac:dyDescent="0.15">
      <c r="A399" s="41">
        <v>15</v>
      </c>
      <c r="B399" s="41" t="s">
        <v>24317</v>
      </c>
      <c r="C399" s="74" t="s">
        <v>24318</v>
      </c>
      <c r="D399" s="72"/>
      <c r="F399" s="57"/>
      <c r="G399" s="53"/>
      <c r="H399" s="49"/>
      <c r="I399" s="50"/>
      <c r="J399" s="163"/>
      <c r="K399" s="45"/>
      <c r="L399" s="46"/>
      <c r="M399" s="53"/>
      <c r="N399" s="49"/>
      <c r="O399" s="50"/>
      <c r="P399" s="115"/>
      <c r="Q399" s="53"/>
      <c r="R399" s="49"/>
      <c r="S399" s="50"/>
      <c r="T399" s="115"/>
      <c r="U399" s="208">
        <f>ROUND((_15_同援日増８．５*(1+_15・区３)),0)</f>
        <v>1326</v>
      </c>
      <c r="V399" s="48"/>
    </row>
    <row r="400" spans="1:22" ht="16.5" customHeight="1" x14ac:dyDescent="0.15">
      <c r="A400" s="41">
        <v>15</v>
      </c>
      <c r="B400" s="41" t="s">
        <v>24319</v>
      </c>
      <c r="C400" s="74" t="s">
        <v>24320</v>
      </c>
      <c r="D400" s="72"/>
      <c r="F400" s="57"/>
      <c r="G400" s="43"/>
      <c r="H400" s="37"/>
      <c r="I400" s="38"/>
      <c r="J400" s="299" t="s">
        <v>17556</v>
      </c>
      <c r="K400" s="45" t="s">
        <v>398</v>
      </c>
      <c r="L400" s="46">
        <v>1</v>
      </c>
      <c r="M400" s="35"/>
      <c r="P400" s="57"/>
      <c r="Q400" s="35"/>
      <c r="T400" s="57"/>
      <c r="U400" s="208">
        <f>ROUND((ROUND((_15_同援日増８．５*_15・２人),0)*(1+_15・区３)),0)</f>
        <v>1326</v>
      </c>
      <c r="V400" s="48"/>
    </row>
    <row r="401" spans="1:22" ht="16.5" customHeight="1" x14ac:dyDescent="0.15">
      <c r="A401" s="41">
        <v>15</v>
      </c>
      <c r="B401" s="41" t="s">
        <v>24321</v>
      </c>
      <c r="C401" s="74" t="s">
        <v>24322</v>
      </c>
      <c r="D401" s="72"/>
      <c r="F401" s="57"/>
      <c r="G401" s="114" t="s">
        <v>17558</v>
      </c>
      <c r="H401" s="49"/>
      <c r="I401" s="50"/>
      <c r="J401" s="163"/>
      <c r="K401" s="45"/>
      <c r="L401" s="46"/>
      <c r="M401" s="35"/>
      <c r="P401" s="57"/>
      <c r="Q401" s="72" t="s">
        <v>17570</v>
      </c>
      <c r="T401" s="57"/>
      <c r="U401" s="208">
        <f>ROUND((ROUND((_15_同援日増８．５*_15・基礎２),0)*(1+_15・区３)),0)</f>
        <v>1194</v>
      </c>
      <c r="V401" s="48"/>
    </row>
    <row r="402" spans="1:22" ht="16.5" customHeight="1" x14ac:dyDescent="0.15">
      <c r="A402" s="41">
        <v>15</v>
      </c>
      <c r="B402" s="41" t="s">
        <v>24323</v>
      </c>
      <c r="C402" s="74" t="s">
        <v>24324</v>
      </c>
      <c r="D402" s="72"/>
      <c r="F402" s="57"/>
      <c r="G402" s="269" t="s">
        <v>17560</v>
      </c>
      <c r="H402" s="37" t="s">
        <v>398</v>
      </c>
      <c r="I402" s="38">
        <v>0.9</v>
      </c>
      <c r="J402" s="299" t="s">
        <v>17556</v>
      </c>
      <c r="K402" s="45" t="s">
        <v>398</v>
      </c>
      <c r="L402" s="46">
        <v>1</v>
      </c>
      <c r="M402" s="43"/>
      <c r="N402" s="37"/>
      <c r="O402" s="38"/>
      <c r="P402" s="79"/>
      <c r="Q402" s="72" t="s">
        <v>17572</v>
      </c>
      <c r="T402" s="57"/>
      <c r="U402" s="208">
        <f>ROUND((ROUND((ROUND((_15_同援日増８．５*_15・基礎２),0)*_15・２人),0)*(1+_15・区３)),0)</f>
        <v>1194</v>
      </c>
      <c r="V402" s="48"/>
    </row>
    <row r="403" spans="1:22" ht="16.5" customHeight="1" x14ac:dyDescent="0.15">
      <c r="A403" s="41">
        <v>15</v>
      </c>
      <c r="B403" s="41" t="s">
        <v>24325</v>
      </c>
      <c r="C403" s="74" t="s">
        <v>24326</v>
      </c>
      <c r="D403" s="72"/>
      <c r="F403" s="57"/>
      <c r="G403" s="53"/>
      <c r="H403" s="49"/>
      <c r="I403" s="50"/>
      <c r="J403" s="163"/>
      <c r="K403" s="45"/>
      <c r="L403" s="46"/>
      <c r="M403" s="114" t="s">
        <v>17562</v>
      </c>
      <c r="N403" s="49"/>
      <c r="O403" s="50"/>
      <c r="P403" s="115"/>
      <c r="Q403" s="35"/>
      <c r="R403" s="12" t="s">
        <v>398</v>
      </c>
      <c r="S403" s="13">
        <v>0.2</v>
      </c>
      <c r="T403" s="57" t="s">
        <v>3575</v>
      </c>
      <c r="U403" s="208">
        <f>ROUND((ROUND((_15_同援日増８．５*(1+_15・盲ろう)),0)*(1+_15・区３)),0)</f>
        <v>1657</v>
      </c>
      <c r="V403" s="48"/>
    </row>
    <row r="404" spans="1:22" ht="16.5" customHeight="1" x14ac:dyDescent="0.15">
      <c r="A404" s="41">
        <v>15</v>
      </c>
      <c r="B404" s="41" t="s">
        <v>24327</v>
      </c>
      <c r="C404" s="74" t="s">
        <v>24328</v>
      </c>
      <c r="D404" s="72"/>
      <c r="F404" s="57"/>
      <c r="G404" s="43"/>
      <c r="H404" s="37"/>
      <c r="I404" s="38"/>
      <c r="J404" s="299" t="s">
        <v>17556</v>
      </c>
      <c r="K404" s="45" t="s">
        <v>398</v>
      </c>
      <c r="L404" s="46">
        <v>1</v>
      </c>
      <c r="M404" s="92" t="s">
        <v>17564</v>
      </c>
      <c r="P404" s="57"/>
      <c r="Q404" s="35"/>
      <c r="T404" s="57"/>
      <c r="U404" s="208">
        <f>ROUND((ROUND((ROUND((_15_同援日増８．５*_15・２人),0)*(1+_15・盲ろう)),0)*(1+_15・区３)),0)</f>
        <v>1657</v>
      </c>
      <c r="V404" s="48"/>
    </row>
    <row r="405" spans="1:22" ht="16.5" customHeight="1" x14ac:dyDescent="0.15">
      <c r="A405" s="41">
        <v>15</v>
      </c>
      <c r="B405" s="41" t="s">
        <v>1994</v>
      </c>
      <c r="C405" s="74" t="s">
        <v>24329</v>
      </c>
      <c r="D405" s="72"/>
      <c r="F405" s="57"/>
      <c r="G405" s="114" t="s">
        <v>17558</v>
      </c>
      <c r="H405" s="49"/>
      <c r="I405" s="50"/>
      <c r="J405" s="163"/>
      <c r="K405" s="45"/>
      <c r="L405" s="46"/>
      <c r="M405" s="35"/>
      <c r="N405" s="12" t="s">
        <v>398</v>
      </c>
      <c r="O405" s="13">
        <v>0.25</v>
      </c>
      <c r="P405" s="57" t="s">
        <v>3575</v>
      </c>
      <c r="Q405" s="35"/>
      <c r="T405" s="57"/>
      <c r="U405" s="208">
        <f>ROUND((ROUND((ROUND((_15_同援日増８．５*_15・基礎２),0)*(1+_15・盲ろう)),0)*(1+_15・区３)),0)</f>
        <v>1493</v>
      </c>
      <c r="V405" s="48"/>
    </row>
    <row r="406" spans="1:22" ht="16.5" customHeight="1" x14ac:dyDescent="0.15">
      <c r="A406" s="41">
        <v>15</v>
      </c>
      <c r="B406" s="41" t="s">
        <v>1996</v>
      </c>
      <c r="C406" s="74" t="s">
        <v>24330</v>
      </c>
      <c r="D406" s="72"/>
      <c r="F406" s="57"/>
      <c r="G406" s="269" t="s">
        <v>17560</v>
      </c>
      <c r="H406" s="37" t="s">
        <v>398</v>
      </c>
      <c r="I406" s="38">
        <v>0.9</v>
      </c>
      <c r="J406" s="299" t="s">
        <v>17556</v>
      </c>
      <c r="K406" s="45" t="s">
        <v>398</v>
      </c>
      <c r="L406" s="46">
        <v>1</v>
      </c>
      <c r="M406" s="43"/>
      <c r="N406" s="37"/>
      <c r="O406" s="38"/>
      <c r="P406" s="79"/>
      <c r="Q406" s="43"/>
      <c r="R406" s="37"/>
      <c r="S406" s="38"/>
      <c r="T406" s="79"/>
      <c r="U406" s="208">
        <f>ROUND((ROUND((ROUND((ROUND((_15_同援日増８．５*_15・基礎２),0)*_15・２人),0)*(1+_15・盲ろう)),0)*(1+_15・区３)),0)</f>
        <v>1493</v>
      </c>
      <c r="V406" s="48"/>
    </row>
    <row r="407" spans="1:22" ht="16.5" customHeight="1" x14ac:dyDescent="0.15">
      <c r="A407" s="41">
        <v>15</v>
      </c>
      <c r="B407" s="41" t="s">
        <v>1998</v>
      </c>
      <c r="C407" s="74" t="s">
        <v>24331</v>
      </c>
      <c r="D407" s="72"/>
      <c r="F407" s="57"/>
      <c r="G407" s="53"/>
      <c r="H407" s="49"/>
      <c r="I407" s="50"/>
      <c r="J407" s="163"/>
      <c r="K407" s="45"/>
      <c r="L407" s="46"/>
      <c r="M407" s="53"/>
      <c r="N407" s="49"/>
      <c r="O407" s="50"/>
      <c r="P407" s="115"/>
      <c r="Q407" s="53"/>
      <c r="R407" s="49"/>
      <c r="S407" s="50"/>
      <c r="T407" s="115"/>
      <c r="U407" s="208">
        <f>ROUND((_15_同援日増８．５*(1+_15・区４)),0)</f>
        <v>1547</v>
      </c>
      <c r="V407" s="48"/>
    </row>
    <row r="408" spans="1:22" ht="16.5" customHeight="1" x14ac:dyDescent="0.15">
      <c r="A408" s="41">
        <v>15</v>
      </c>
      <c r="B408" s="41" t="s">
        <v>2000</v>
      </c>
      <c r="C408" s="74" t="s">
        <v>24332</v>
      </c>
      <c r="D408" s="72"/>
      <c r="F408" s="57"/>
      <c r="G408" s="43"/>
      <c r="H408" s="37"/>
      <c r="I408" s="38"/>
      <c r="J408" s="299" t="s">
        <v>17556</v>
      </c>
      <c r="K408" s="45" t="s">
        <v>398</v>
      </c>
      <c r="L408" s="46">
        <v>1</v>
      </c>
      <c r="M408" s="35"/>
      <c r="P408" s="57"/>
      <c r="Q408" s="35"/>
      <c r="T408" s="57"/>
      <c r="U408" s="208">
        <f>ROUND((ROUND((_15_同援日増８．５*_15・２人),0)*(1+_15・区４)),0)</f>
        <v>1547</v>
      </c>
      <c r="V408" s="48"/>
    </row>
    <row r="409" spans="1:22" ht="16.5" customHeight="1" x14ac:dyDescent="0.15">
      <c r="A409" s="41">
        <v>15</v>
      </c>
      <c r="B409" s="41" t="s">
        <v>24333</v>
      </c>
      <c r="C409" s="74" t="s">
        <v>24334</v>
      </c>
      <c r="D409" s="72"/>
      <c r="F409" s="57"/>
      <c r="G409" s="114" t="s">
        <v>17558</v>
      </c>
      <c r="H409" s="49"/>
      <c r="I409" s="50"/>
      <c r="J409" s="163"/>
      <c r="K409" s="45"/>
      <c r="L409" s="46"/>
      <c r="M409" s="35"/>
      <c r="P409" s="57"/>
      <c r="Q409" s="72" t="s">
        <v>17580</v>
      </c>
      <c r="T409" s="57"/>
      <c r="U409" s="208">
        <f>ROUND((ROUND((_15_同援日増８．５*_15・基礎２),0)*(1+_15・区４)),0)</f>
        <v>1393</v>
      </c>
      <c r="V409" s="48"/>
    </row>
    <row r="410" spans="1:22" ht="16.5" customHeight="1" x14ac:dyDescent="0.15">
      <c r="A410" s="41">
        <v>15</v>
      </c>
      <c r="B410" s="41" t="s">
        <v>24335</v>
      </c>
      <c r="C410" s="74" t="s">
        <v>24336</v>
      </c>
      <c r="D410" s="72"/>
      <c r="F410" s="57"/>
      <c r="G410" s="269" t="s">
        <v>17560</v>
      </c>
      <c r="H410" s="37" t="s">
        <v>398</v>
      </c>
      <c r="I410" s="38">
        <v>0.9</v>
      </c>
      <c r="J410" s="299" t="s">
        <v>17556</v>
      </c>
      <c r="K410" s="45" t="s">
        <v>398</v>
      </c>
      <c r="L410" s="46">
        <v>1</v>
      </c>
      <c r="M410" s="43"/>
      <c r="N410" s="37"/>
      <c r="O410" s="38"/>
      <c r="P410" s="79"/>
      <c r="Q410" s="72" t="s">
        <v>17572</v>
      </c>
      <c r="T410" s="57"/>
      <c r="U410" s="208">
        <f>ROUND((ROUND((ROUND((_15_同援日増８．５*_15・基礎２),0)*_15・２人),0)*(1+_15・区４)),0)</f>
        <v>1393</v>
      </c>
      <c r="V410" s="48"/>
    </row>
    <row r="411" spans="1:22" ht="16.5" customHeight="1" x14ac:dyDescent="0.15">
      <c r="A411" s="41">
        <v>15</v>
      </c>
      <c r="B411" s="41" t="s">
        <v>24337</v>
      </c>
      <c r="C411" s="74" t="s">
        <v>24338</v>
      </c>
      <c r="D411" s="72"/>
      <c r="F411" s="57"/>
      <c r="G411" s="53"/>
      <c r="H411" s="49"/>
      <c r="I411" s="50"/>
      <c r="J411" s="163"/>
      <c r="K411" s="45"/>
      <c r="L411" s="46"/>
      <c r="M411" s="114" t="s">
        <v>17562</v>
      </c>
      <c r="N411" s="49"/>
      <c r="O411" s="50"/>
      <c r="P411" s="115"/>
      <c r="Q411" s="35"/>
      <c r="R411" s="12" t="s">
        <v>398</v>
      </c>
      <c r="S411" s="13">
        <v>0.4</v>
      </c>
      <c r="T411" s="57" t="s">
        <v>3575</v>
      </c>
      <c r="U411" s="208">
        <f>ROUND((ROUND((_15_同援日増８．５*(1+_15・盲ろう)),0)*(1+_15・区４)),0)</f>
        <v>1933</v>
      </c>
      <c r="V411" s="48"/>
    </row>
    <row r="412" spans="1:22" ht="16.5" customHeight="1" x14ac:dyDescent="0.15">
      <c r="A412" s="41">
        <v>15</v>
      </c>
      <c r="B412" s="41" t="s">
        <v>24339</v>
      </c>
      <c r="C412" s="74" t="s">
        <v>24340</v>
      </c>
      <c r="D412" s="72"/>
      <c r="F412" s="57"/>
      <c r="G412" s="43"/>
      <c r="H412" s="37"/>
      <c r="I412" s="38"/>
      <c r="J412" s="299" t="s">
        <v>17556</v>
      </c>
      <c r="K412" s="45" t="s">
        <v>398</v>
      </c>
      <c r="L412" s="46">
        <v>1</v>
      </c>
      <c r="M412" s="92" t="s">
        <v>17564</v>
      </c>
      <c r="P412" s="57"/>
      <c r="Q412" s="35"/>
      <c r="T412" s="57"/>
      <c r="U412" s="208">
        <f>ROUND((ROUND((ROUND((_15_同援日増８．５*_15・２人),0)*(1+_15・盲ろう)),0)*(1+_15・区４)),0)</f>
        <v>1933</v>
      </c>
      <c r="V412" s="48"/>
    </row>
    <row r="413" spans="1:22" ht="16.5" customHeight="1" x14ac:dyDescent="0.15">
      <c r="A413" s="41">
        <v>15</v>
      </c>
      <c r="B413" s="41" t="s">
        <v>24341</v>
      </c>
      <c r="C413" s="74" t="s">
        <v>24342</v>
      </c>
      <c r="D413" s="72"/>
      <c r="F413" s="57"/>
      <c r="G413" s="114" t="s">
        <v>17558</v>
      </c>
      <c r="H413" s="49"/>
      <c r="I413" s="50"/>
      <c r="J413" s="163"/>
      <c r="K413" s="45"/>
      <c r="L413" s="46"/>
      <c r="M413" s="35"/>
      <c r="N413" s="12" t="s">
        <v>398</v>
      </c>
      <c r="O413" s="13">
        <v>0.25</v>
      </c>
      <c r="P413" s="57" t="s">
        <v>3575</v>
      </c>
      <c r="Q413" s="35"/>
      <c r="T413" s="57"/>
      <c r="U413" s="208">
        <f>ROUND((ROUND((ROUND((_15_同援日増８．５*_15・基礎２),0)*(1+_15・盲ろう)),0)*(1+_15・区４)),0)</f>
        <v>1742</v>
      </c>
      <c r="V413" s="48"/>
    </row>
    <row r="414" spans="1:22" ht="16.5" customHeight="1" x14ac:dyDescent="0.15">
      <c r="A414" s="41">
        <v>15</v>
      </c>
      <c r="B414" s="41" t="s">
        <v>24343</v>
      </c>
      <c r="C414" s="74" t="s">
        <v>24344</v>
      </c>
      <c r="D414" s="122"/>
      <c r="E414" s="37"/>
      <c r="F414" s="79"/>
      <c r="G414" s="269" t="s">
        <v>17560</v>
      </c>
      <c r="H414" s="37" t="s">
        <v>398</v>
      </c>
      <c r="I414" s="38">
        <v>0.9</v>
      </c>
      <c r="J414" s="299" t="s">
        <v>17556</v>
      </c>
      <c r="K414" s="45" t="s">
        <v>398</v>
      </c>
      <c r="L414" s="46">
        <v>1</v>
      </c>
      <c r="M414" s="43"/>
      <c r="N414" s="37"/>
      <c r="O414" s="38"/>
      <c r="P414" s="79"/>
      <c r="Q414" s="43"/>
      <c r="R414" s="37"/>
      <c r="S414" s="38"/>
      <c r="T414" s="79"/>
      <c r="U414" s="208">
        <f>ROUND((ROUND((ROUND((ROUND((_15_同援日増８．５*_15・基礎２),0)*_15・２人),0)*(1+_15・盲ろう)),0)*(1+_15・区４)),0)</f>
        <v>1742</v>
      </c>
      <c r="V414" s="48"/>
    </row>
    <row r="415" spans="1:22" ht="16.5" customHeight="1" x14ac:dyDescent="0.15">
      <c r="A415" s="41">
        <v>15</v>
      </c>
      <c r="B415" s="41" t="s">
        <v>24345</v>
      </c>
      <c r="C415" s="74" t="s">
        <v>24346</v>
      </c>
      <c r="D415" s="114" t="s">
        <v>24347</v>
      </c>
      <c r="E415" s="49"/>
      <c r="F415" s="115"/>
      <c r="G415" s="53"/>
      <c r="H415" s="49"/>
      <c r="I415" s="50"/>
      <c r="J415" s="163"/>
      <c r="K415" s="45"/>
      <c r="L415" s="46"/>
      <c r="M415" s="53"/>
      <c r="N415" s="49"/>
      <c r="O415" s="50"/>
      <c r="P415" s="115"/>
      <c r="Q415" s="53"/>
      <c r="R415" s="49"/>
      <c r="S415" s="50"/>
      <c r="T415" s="115"/>
      <c r="U415" s="208">
        <f>_15_同援日増９．０</f>
        <v>1170</v>
      </c>
      <c r="V415" s="48"/>
    </row>
    <row r="416" spans="1:22" ht="16.5" customHeight="1" x14ac:dyDescent="0.15">
      <c r="A416" s="41">
        <v>15</v>
      </c>
      <c r="B416" s="41" t="s">
        <v>24348</v>
      </c>
      <c r="C416" s="74" t="s">
        <v>24349</v>
      </c>
      <c r="D416" s="72" t="s">
        <v>18021</v>
      </c>
      <c r="F416" s="57"/>
      <c r="G416" s="43"/>
      <c r="H416" s="37"/>
      <c r="I416" s="38"/>
      <c r="J416" s="299" t="s">
        <v>17556</v>
      </c>
      <c r="K416" s="45" t="s">
        <v>398</v>
      </c>
      <c r="L416" s="46">
        <v>1</v>
      </c>
      <c r="M416" s="35"/>
      <c r="P416" s="57"/>
      <c r="Q416" s="35"/>
      <c r="T416" s="57"/>
      <c r="U416" s="208">
        <f>ROUND((_15_同援日増９．０*_15・２人),0)</f>
        <v>1170</v>
      </c>
      <c r="V416" s="48"/>
    </row>
    <row r="417" spans="1:22" ht="16.5" customHeight="1" x14ac:dyDescent="0.15">
      <c r="A417" s="41">
        <v>15</v>
      </c>
      <c r="B417" s="41" t="s">
        <v>24350</v>
      </c>
      <c r="C417" s="74" t="s">
        <v>24351</v>
      </c>
      <c r="D417" s="72" t="s">
        <v>18023</v>
      </c>
      <c r="F417" s="57"/>
      <c r="G417" s="114" t="s">
        <v>17558</v>
      </c>
      <c r="H417" s="49"/>
      <c r="I417" s="50"/>
      <c r="J417" s="163"/>
      <c r="K417" s="45"/>
      <c r="L417" s="46"/>
      <c r="M417" s="35"/>
      <c r="P417" s="57"/>
      <c r="Q417" s="35"/>
      <c r="T417" s="57"/>
      <c r="U417" s="208">
        <f>ROUND((_15_同援日増９．０*_15・基礎２),0)</f>
        <v>1053</v>
      </c>
      <c r="V417" s="48"/>
    </row>
    <row r="418" spans="1:22" ht="16.5" customHeight="1" x14ac:dyDescent="0.15">
      <c r="A418" s="41">
        <v>15</v>
      </c>
      <c r="B418" s="41" t="s">
        <v>24352</v>
      </c>
      <c r="C418" s="74" t="s">
        <v>24353</v>
      </c>
      <c r="D418" s="72"/>
      <c r="E418" s="168">
        <f>_15_同援日増９．０</f>
        <v>1170</v>
      </c>
      <c r="F418" s="57" t="s">
        <v>392</v>
      </c>
      <c r="G418" s="269" t="s">
        <v>17560</v>
      </c>
      <c r="H418" s="37" t="s">
        <v>398</v>
      </c>
      <c r="I418" s="38">
        <v>0.9</v>
      </c>
      <c r="J418" s="299" t="s">
        <v>17556</v>
      </c>
      <c r="K418" s="45" t="s">
        <v>398</v>
      </c>
      <c r="L418" s="46">
        <v>1</v>
      </c>
      <c r="M418" s="43"/>
      <c r="N418" s="37"/>
      <c r="O418" s="38"/>
      <c r="P418" s="79"/>
      <c r="Q418" s="35"/>
      <c r="T418" s="57"/>
      <c r="U418" s="208">
        <f>ROUND((ROUND((_15_同援日増９．０*_15・基礎２),0)*_15・２人),0)</f>
        <v>1053</v>
      </c>
      <c r="V418" s="48"/>
    </row>
    <row r="419" spans="1:22" ht="16.5" customHeight="1" x14ac:dyDescent="0.15">
      <c r="A419" s="41">
        <v>15</v>
      </c>
      <c r="B419" s="41" t="s">
        <v>24354</v>
      </c>
      <c r="C419" s="74" t="s">
        <v>24355</v>
      </c>
      <c r="D419" s="72"/>
      <c r="F419" s="57"/>
      <c r="G419" s="53"/>
      <c r="H419" s="49"/>
      <c r="I419" s="50"/>
      <c r="J419" s="163"/>
      <c r="K419" s="45"/>
      <c r="L419" s="46"/>
      <c r="M419" s="114" t="s">
        <v>17562</v>
      </c>
      <c r="N419" s="49"/>
      <c r="O419" s="50"/>
      <c r="P419" s="115"/>
      <c r="Q419" s="35"/>
      <c r="T419" s="57"/>
      <c r="U419" s="208">
        <f>ROUND((_15_同援日増９．０*(1+_15・盲ろう)),0)</f>
        <v>1463</v>
      </c>
      <c r="V419" s="48"/>
    </row>
    <row r="420" spans="1:22" ht="16.5" customHeight="1" x14ac:dyDescent="0.15">
      <c r="A420" s="41">
        <v>15</v>
      </c>
      <c r="B420" s="41" t="s">
        <v>24356</v>
      </c>
      <c r="C420" s="74" t="s">
        <v>24357</v>
      </c>
      <c r="D420" s="72"/>
      <c r="F420" s="57"/>
      <c r="G420" s="43"/>
      <c r="H420" s="37"/>
      <c r="I420" s="38"/>
      <c r="J420" s="299" t="s">
        <v>17556</v>
      </c>
      <c r="K420" s="45" t="s">
        <v>398</v>
      </c>
      <c r="L420" s="46">
        <v>1</v>
      </c>
      <c r="M420" s="92" t="s">
        <v>17564</v>
      </c>
      <c r="P420" s="57"/>
      <c r="Q420" s="35"/>
      <c r="T420" s="57"/>
      <c r="U420" s="208">
        <f>ROUND((ROUND((_15_同援日増９．０*_15・２人),0)*(1+_15・盲ろう)),0)</f>
        <v>1463</v>
      </c>
      <c r="V420" s="48"/>
    </row>
    <row r="421" spans="1:22" ht="16.5" customHeight="1" x14ac:dyDescent="0.15">
      <c r="A421" s="41">
        <v>15</v>
      </c>
      <c r="B421" s="41" t="s">
        <v>24358</v>
      </c>
      <c r="C421" s="74" t="s">
        <v>24359</v>
      </c>
      <c r="D421" s="72"/>
      <c r="F421" s="57"/>
      <c r="G421" s="114" t="s">
        <v>17558</v>
      </c>
      <c r="H421" s="49"/>
      <c r="I421" s="50"/>
      <c r="J421" s="163"/>
      <c r="K421" s="45"/>
      <c r="L421" s="46"/>
      <c r="M421" s="35"/>
      <c r="N421" s="12" t="s">
        <v>398</v>
      </c>
      <c r="O421" s="13">
        <v>0.25</v>
      </c>
      <c r="P421" s="57" t="s">
        <v>3575</v>
      </c>
      <c r="Q421" s="35"/>
      <c r="T421" s="57"/>
      <c r="U421" s="208">
        <f>ROUND((ROUND((_15_同援日増９．０*_15・基礎２),0)*(1+_15・盲ろう)),0)</f>
        <v>1316</v>
      </c>
      <c r="V421" s="48"/>
    </row>
    <row r="422" spans="1:22" ht="16.5" customHeight="1" x14ac:dyDescent="0.15">
      <c r="A422" s="41">
        <v>15</v>
      </c>
      <c r="B422" s="41" t="s">
        <v>24360</v>
      </c>
      <c r="C422" s="74" t="s">
        <v>24361</v>
      </c>
      <c r="D422" s="72"/>
      <c r="F422" s="57"/>
      <c r="G422" s="269" t="s">
        <v>17560</v>
      </c>
      <c r="H422" s="37" t="s">
        <v>398</v>
      </c>
      <c r="I422" s="38">
        <v>0.9</v>
      </c>
      <c r="J422" s="299" t="s">
        <v>17556</v>
      </c>
      <c r="K422" s="45" t="s">
        <v>398</v>
      </c>
      <c r="L422" s="46">
        <v>1</v>
      </c>
      <c r="M422" s="43"/>
      <c r="N422" s="37"/>
      <c r="O422" s="38"/>
      <c r="P422" s="79"/>
      <c r="Q422" s="43"/>
      <c r="R422" s="37"/>
      <c r="S422" s="38"/>
      <c r="T422" s="79"/>
      <c r="U422" s="208">
        <f>ROUND((ROUND((ROUND((_15_同援日増９．０*_15・基礎２),0)*_15・２人),0)*(1+_15・盲ろう)),0)</f>
        <v>1316</v>
      </c>
      <c r="V422" s="48"/>
    </row>
    <row r="423" spans="1:22" ht="16.5" customHeight="1" x14ac:dyDescent="0.15">
      <c r="A423" s="41">
        <v>15</v>
      </c>
      <c r="B423" s="41" t="s">
        <v>24362</v>
      </c>
      <c r="C423" s="74" t="s">
        <v>24363</v>
      </c>
      <c r="D423" s="72"/>
      <c r="F423" s="57"/>
      <c r="G423" s="53"/>
      <c r="H423" s="49"/>
      <c r="I423" s="50"/>
      <c r="J423" s="163"/>
      <c r="K423" s="45"/>
      <c r="L423" s="46"/>
      <c r="M423" s="53"/>
      <c r="N423" s="49"/>
      <c r="O423" s="50"/>
      <c r="P423" s="115"/>
      <c r="Q423" s="53"/>
      <c r="R423" s="49"/>
      <c r="S423" s="50"/>
      <c r="T423" s="115"/>
      <c r="U423" s="208">
        <f>ROUND((_15_同援日増９．０*(1+_15・区３)),0)</f>
        <v>1404</v>
      </c>
      <c r="V423" s="48"/>
    </row>
    <row r="424" spans="1:22" ht="16.5" customHeight="1" x14ac:dyDescent="0.15">
      <c r="A424" s="41">
        <v>15</v>
      </c>
      <c r="B424" s="41" t="s">
        <v>24364</v>
      </c>
      <c r="C424" s="74" t="s">
        <v>24365</v>
      </c>
      <c r="D424" s="72"/>
      <c r="F424" s="57"/>
      <c r="G424" s="43"/>
      <c r="H424" s="37"/>
      <c r="I424" s="38"/>
      <c r="J424" s="299" t="s">
        <v>17556</v>
      </c>
      <c r="K424" s="45" t="s">
        <v>398</v>
      </c>
      <c r="L424" s="46">
        <v>1</v>
      </c>
      <c r="M424" s="35"/>
      <c r="P424" s="57"/>
      <c r="Q424" s="35"/>
      <c r="T424" s="57"/>
      <c r="U424" s="208">
        <f>ROUND((ROUND((_15_同援日増９．０*_15・２人),0)*(1+_15・区３)),0)</f>
        <v>1404</v>
      </c>
      <c r="V424" s="48"/>
    </row>
    <row r="425" spans="1:22" ht="16.5" customHeight="1" x14ac:dyDescent="0.15">
      <c r="A425" s="41">
        <v>15</v>
      </c>
      <c r="B425" s="41" t="s">
        <v>2006</v>
      </c>
      <c r="C425" s="74" t="s">
        <v>24366</v>
      </c>
      <c r="D425" s="72"/>
      <c r="F425" s="57"/>
      <c r="G425" s="114" t="s">
        <v>17558</v>
      </c>
      <c r="H425" s="49"/>
      <c r="I425" s="50"/>
      <c r="J425" s="163"/>
      <c r="K425" s="45"/>
      <c r="L425" s="46"/>
      <c r="M425" s="35"/>
      <c r="P425" s="57"/>
      <c r="Q425" s="72" t="s">
        <v>17570</v>
      </c>
      <c r="T425" s="57"/>
      <c r="U425" s="208">
        <f>ROUND((ROUND((_15_同援日増９．０*_15・基礎２),0)*(1+_15・区３)),0)</f>
        <v>1264</v>
      </c>
      <c r="V425" s="48"/>
    </row>
    <row r="426" spans="1:22" ht="16.5" customHeight="1" x14ac:dyDescent="0.15">
      <c r="A426" s="41">
        <v>15</v>
      </c>
      <c r="B426" s="41" t="s">
        <v>2008</v>
      </c>
      <c r="C426" s="74" t="s">
        <v>24367</v>
      </c>
      <c r="D426" s="72"/>
      <c r="F426" s="57"/>
      <c r="G426" s="269" t="s">
        <v>17560</v>
      </c>
      <c r="H426" s="37" t="s">
        <v>398</v>
      </c>
      <c r="I426" s="38">
        <v>0.9</v>
      </c>
      <c r="J426" s="299" t="s">
        <v>17556</v>
      </c>
      <c r="K426" s="45" t="s">
        <v>398</v>
      </c>
      <c r="L426" s="46">
        <v>1</v>
      </c>
      <c r="M426" s="43"/>
      <c r="N426" s="37"/>
      <c r="O426" s="38"/>
      <c r="P426" s="79"/>
      <c r="Q426" s="72" t="s">
        <v>17572</v>
      </c>
      <c r="T426" s="57"/>
      <c r="U426" s="208">
        <f>ROUND((ROUND((ROUND((_15_同援日増９．０*_15・基礎２),0)*_15・２人),0)*(1+_15・区３)),0)</f>
        <v>1264</v>
      </c>
      <c r="V426" s="48"/>
    </row>
    <row r="427" spans="1:22" ht="16.5" customHeight="1" x14ac:dyDescent="0.15">
      <c r="A427" s="41">
        <v>15</v>
      </c>
      <c r="B427" s="41" t="s">
        <v>2010</v>
      </c>
      <c r="C427" s="74" t="s">
        <v>24368</v>
      </c>
      <c r="D427" s="72"/>
      <c r="F427" s="57"/>
      <c r="G427" s="53"/>
      <c r="H427" s="49"/>
      <c r="I427" s="50"/>
      <c r="J427" s="163"/>
      <c r="K427" s="45"/>
      <c r="L427" s="46"/>
      <c r="M427" s="114" t="s">
        <v>17562</v>
      </c>
      <c r="N427" s="49"/>
      <c r="O427" s="50"/>
      <c r="P427" s="115"/>
      <c r="Q427" s="35"/>
      <c r="R427" s="12" t="s">
        <v>398</v>
      </c>
      <c r="S427" s="13">
        <v>0.2</v>
      </c>
      <c r="T427" s="57" t="s">
        <v>3575</v>
      </c>
      <c r="U427" s="208">
        <f>ROUND((ROUND((_15_同援日増９．０*(1+_15・盲ろう)),0)*(1+_15・区３)),0)</f>
        <v>1756</v>
      </c>
      <c r="V427" s="48"/>
    </row>
    <row r="428" spans="1:22" ht="16.5" customHeight="1" x14ac:dyDescent="0.15">
      <c r="A428" s="41">
        <v>15</v>
      </c>
      <c r="B428" s="41" t="s">
        <v>2012</v>
      </c>
      <c r="C428" s="74" t="s">
        <v>24369</v>
      </c>
      <c r="D428" s="72"/>
      <c r="F428" s="57"/>
      <c r="G428" s="43"/>
      <c r="H428" s="37"/>
      <c r="I428" s="38"/>
      <c r="J428" s="299" t="s">
        <v>17556</v>
      </c>
      <c r="K428" s="45" t="s">
        <v>398</v>
      </c>
      <c r="L428" s="46">
        <v>1</v>
      </c>
      <c r="M428" s="92" t="s">
        <v>17564</v>
      </c>
      <c r="P428" s="57"/>
      <c r="Q428" s="35"/>
      <c r="T428" s="57"/>
      <c r="U428" s="208">
        <f>ROUND((ROUND((ROUND((_15_同援日増９．０*_15・２人),0)*(1+_15・盲ろう)),0)*(1+_15・区３)),0)</f>
        <v>1756</v>
      </c>
      <c r="V428" s="48"/>
    </row>
    <row r="429" spans="1:22" ht="16.5" customHeight="1" x14ac:dyDescent="0.15">
      <c r="A429" s="41">
        <v>15</v>
      </c>
      <c r="B429" s="41" t="s">
        <v>24370</v>
      </c>
      <c r="C429" s="74" t="s">
        <v>24371</v>
      </c>
      <c r="D429" s="72"/>
      <c r="F429" s="57"/>
      <c r="G429" s="114" t="s">
        <v>17558</v>
      </c>
      <c r="H429" s="49"/>
      <c r="I429" s="50"/>
      <c r="J429" s="163"/>
      <c r="K429" s="45"/>
      <c r="L429" s="46"/>
      <c r="M429" s="35"/>
      <c r="N429" s="12" t="s">
        <v>398</v>
      </c>
      <c r="O429" s="13">
        <v>0.25</v>
      </c>
      <c r="P429" s="57" t="s">
        <v>3575</v>
      </c>
      <c r="Q429" s="35"/>
      <c r="T429" s="57"/>
      <c r="U429" s="208">
        <f>ROUND((ROUND((ROUND((_15_同援日増９．０*_15・基礎２),0)*(1+_15・盲ろう)),0)*(1+_15・区３)),0)</f>
        <v>1579</v>
      </c>
      <c r="V429" s="48"/>
    </row>
    <row r="430" spans="1:22" ht="16.5" customHeight="1" x14ac:dyDescent="0.15">
      <c r="A430" s="41">
        <v>15</v>
      </c>
      <c r="B430" s="41" t="s">
        <v>24372</v>
      </c>
      <c r="C430" s="74" t="s">
        <v>24373</v>
      </c>
      <c r="D430" s="72"/>
      <c r="F430" s="57"/>
      <c r="G430" s="269" t="s">
        <v>17560</v>
      </c>
      <c r="H430" s="37" t="s">
        <v>398</v>
      </c>
      <c r="I430" s="38">
        <v>0.9</v>
      </c>
      <c r="J430" s="299" t="s">
        <v>17556</v>
      </c>
      <c r="K430" s="45" t="s">
        <v>398</v>
      </c>
      <c r="L430" s="46">
        <v>1</v>
      </c>
      <c r="M430" s="43"/>
      <c r="N430" s="37"/>
      <c r="O430" s="38"/>
      <c r="P430" s="79"/>
      <c r="Q430" s="43"/>
      <c r="R430" s="37"/>
      <c r="S430" s="38"/>
      <c r="T430" s="79"/>
      <c r="U430" s="208">
        <f>ROUND((ROUND((ROUND((ROUND((_15_同援日増９．０*_15・基礎２),0)*_15・２人),0)*(1+_15・盲ろう)),0)*(1+_15・区３)),0)</f>
        <v>1579</v>
      </c>
      <c r="V430" s="48"/>
    </row>
    <row r="431" spans="1:22" ht="16.5" customHeight="1" x14ac:dyDescent="0.15">
      <c r="A431" s="41">
        <v>15</v>
      </c>
      <c r="B431" s="41" t="s">
        <v>24374</v>
      </c>
      <c r="C431" s="74" t="s">
        <v>24375</v>
      </c>
      <c r="D431" s="72"/>
      <c r="F431" s="57"/>
      <c r="G431" s="53"/>
      <c r="H431" s="49"/>
      <c r="I431" s="50"/>
      <c r="J431" s="163"/>
      <c r="K431" s="45"/>
      <c r="L431" s="46"/>
      <c r="M431" s="53"/>
      <c r="N431" s="49"/>
      <c r="O431" s="50"/>
      <c r="P431" s="115"/>
      <c r="Q431" s="53"/>
      <c r="R431" s="49"/>
      <c r="S431" s="50"/>
      <c r="T431" s="115"/>
      <c r="U431" s="208">
        <f>ROUND((_15_同援日増９．０*(1+_15・区４)),0)</f>
        <v>1638</v>
      </c>
      <c r="V431" s="48"/>
    </row>
    <row r="432" spans="1:22" ht="16.5" customHeight="1" x14ac:dyDescent="0.15">
      <c r="A432" s="41">
        <v>15</v>
      </c>
      <c r="B432" s="41" t="s">
        <v>24376</v>
      </c>
      <c r="C432" s="74" t="s">
        <v>24377</v>
      </c>
      <c r="D432" s="72"/>
      <c r="F432" s="57"/>
      <c r="G432" s="43"/>
      <c r="H432" s="37"/>
      <c r="I432" s="38"/>
      <c r="J432" s="299" t="s">
        <v>17556</v>
      </c>
      <c r="K432" s="45" t="s">
        <v>398</v>
      </c>
      <c r="L432" s="46">
        <v>1</v>
      </c>
      <c r="M432" s="35"/>
      <c r="P432" s="57"/>
      <c r="Q432" s="35"/>
      <c r="T432" s="57"/>
      <c r="U432" s="208">
        <f>ROUND((ROUND((_15_同援日増９．０*_15・２人),0)*(1+_15・区４)),0)</f>
        <v>1638</v>
      </c>
      <c r="V432" s="48"/>
    </row>
    <row r="433" spans="1:22" ht="16.5" customHeight="1" x14ac:dyDescent="0.15">
      <c r="A433" s="41">
        <v>15</v>
      </c>
      <c r="B433" s="41" t="s">
        <v>24378</v>
      </c>
      <c r="C433" s="74" t="s">
        <v>24379</v>
      </c>
      <c r="D433" s="72"/>
      <c r="F433" s="57"/>
      <c r="G433" s="114" t="s">
        <v>17558</v>
      </c>
      <c r="H433" s="49"/>
      <c r="I433" s="50"/>
      <c r="J433" s="163"/>
      <c r="K433" s="45"/>
      <c r="L433" s="46"/>
      <c r="M433" s="35"/>
      <c r="P433" s="57"/>
      <c r="Q433" s="72" t="s">
        <v>17580</v>
      </c>
      <c r="T433" s="57"/>
      <c r="U433" s="208">
        <f>ROUND((ROUND((_15_同援日増９．０*_15・基礎２),0)*(1+_15・区４)),0)</f>
        <v>1474</v>
      </c>
      <c r="V433" s="48"/>
    </row>
    <row r="434" spans="1:22" ht="16.5" customHeight="1" x14ac:dyDescent="0.15">
      <c r="A434" s="41">
        <v>15</v>
      </c>
      <c r="B434" s="41" t="s">
        <v>24380</v>
      </c>
      <c r="C434" s="74" t="s">
        <v>24381</v>
      </c>
      <c r="D434" s="72"/>
      <c r="F434" s="57"/>
      <c r="G434" s="269" t="s">
        <v>17560</v>
      </c>
      <c r="H434" s="37" t="s">
        <v>398</v>
      </c>
      <c r="I434" s="38">
        <v>0.9</v>
      </c>
      <c r="J434" s="299" t="s">
        <v>17556</v>
      </c>
      <c r="K434" s="45" t="s">
        <v>398</v>
      </c>
      <c r="L434" s="46">
        <v>1</v>
      </c>
      <c r="M434" s="43"/>
      <c r="N434" s="37"/>
      <c r="O434" s="38"/>
      <c r="P434" s="79"/>
      <c r="Q434" s="72" t="s">
        <v>17572</v>
      </c>
      <c r="T434" s="57"/>
      <c r="U434" s="208">
        <f>ROUND((ROUND((ROUND((_15_同援日増９．０*_15・基礎２),0)*_15・２人),0)*(1+_15・区４)),0)</f>
        <v>1474</v>
      </c>
      <c r="V434" s="48"/>
    </row>
    <row r="435" spans="1:22" ht="16.5" customHeight="1" x14ac:dyDescent="0.15">
      <c r="A435" s="41">
        <v>15</v>
      </c>
      <c r="B435" s="41" t="s">
        <v>24382</v>
      </c>
      <c r="C435" s="74" t="s">
        <v>24383</v>
      </c>
      <c r="D435" s="72"/>
      <c r="F435" s="57"/>
      <c r="G435" s="53"/>
      <c r="H435" s="49"/>
      <c r="I435" s="50"/>
      <c r="J435" s="163"/>
      <c r="K435" s="45"/>
      <c r="L435" s="46"/>
      <c r="M435" s="114" t="s">
        <v>17562</v>
      </c>
      <c r="N435" s="49"/>
      <c r="O435" s="50"/>
      <c r="P435" s="115"/>
      <c r="Q435" s="35"/>
      <c r="R435" s="12" t="s">
        <v>398</v>
      </c>
      <c r="S435" s="13">
        <v>0.4</v>
      </c>
      <c r="T435" s="57" t="s">
        <v>3575</v>
      </c>
      <c r="U435" s="208">
        <f>ROUND((ROUND((_15_同援日増９．０*(1+_15・盲ろう)),0)*(1+_15・区４)),0)</f>
        <v>2048</v>
      </c>
      <c r="V435" s="48"/>
    </row>
    <row r="436" spans="1:22" ht="16.5" customHeight="1" x14ac:dyDescent="0.15">
      <c r="A436" s="41">
        <v>15</v>
      </c>
      <c r="B436" s="41" t="s">
        <v>24384</v>
      </c>
      <c r="C436" s="74" t="s">
        <v>24385</v>
      </c>
      <c r="D436" s="72"/>
      <c r="F436" s="57"/>
      <c r="G436" s="43"/>
      <c r="H436" s="37"/>
      <c r="I436" s="38"/>
      <c r="J436" s="299" t="s">
        <v>17556</v>
      </c>
      <c r="K436" s="45" t="s">
        <v>398</v>
      </c>
      <c r="L436" s="46">
        <v>1</v>
      </c>
      <c r="M436" s="92" t="s">
        <v>17564</v>
      </c>
      <c r="P436" s="57"/>
      <c r="Q436" s="35"/>
      <c r="T436" s="57"/>
      <c r="U436" s="208">
        <f>ROUND((ROUND((ROUND((_15_同援日増９．０*_15・２人),0)*(1+_15・盲ろう)),0)*(1+_15・区４)),0)</f>
        <v>2048</v>
      </c>
      <c r="V436" s="48"/>
    </row>
    <row r="437" spans="1:22" ht="16.5" customHeight="1" x14ac:dyDescent="0.15">
      <c r="A437" s="41">
        <v>15</v>
      </c>
      <c r="B437" s="41" t="s">
        <v>24386</v>
      </c>
      <c r="C437" s="74" t="s">
        <v>24387</v>
      </c>
      <c r="D437" s="72"/>
      <c r="F437" s="57"/>
      <c r="G437" s="114" t="s">
        <v>17558</v>
      </c>
      <c r="H437" s="49"/>
      <c r="I437" s="50"/>
      <c r="J437" s="163"/>
      <c r="K437" s="45"/>
      <c r="L437" s="46"/>
      <c r="M437" s="35"/>
      <c r="N437" s="12" t="s">
        <v>398</v>
      </c>
      <c r="O437" s="13">
        <v>0.25</v>
      </c>
      <c r="P437" s="57" t="s">
        <v>3575</v>
      </c>
      <c r="Q437" s="35"/>
      <c r="T437" s="57"/>
      <c r="U437" s="208">
        <f>ROUND((ROUND((ROUND((_15_同援日増９．０*_15・基礎２),0)*(1+_15・盲ろう)),0)*(1+_15・区４)),0)</f>
        <v>1842</v>
      </c>
      <c r="V437" s="48"/>
    </row>
    <row r="438" spans="1:22" ht="16.5" customHeight="1" x14ac:dyDescent="0.15">
      <c r="A438" s="41">
        <v>15</v>
      </c>
      <c r="B438" s="41" t="s">
        <v>24388</v>
      </c>
      <c r="C438" s="74" t="s">
        <v>24389</v>
      </c>
      <c r="D438" s="122"/>
      <c r="E438" s="37"/>
      <c r="F438" s="79"/>
      <c r="G438" s="269" t="s">
        <v>17560</v>
      </c>
      <c r="H438" s="37" t="s">
        <v>398</v>
      </c>
      <c r="I438" s="38">
        <v>0.9</v>
      </c>
      <c r="J438" s="299" t="s">
        <v>17556</v>
      </c>
      <c r="K438" s="45" t="s">
        <v>398</v>
      </c>
      <c r="L438" s="46">
        <v>1</v>
      </c>
      <c r="M438" s="43"/>
      <c r="N438" s="37"/>
      <c r="O438" s="38"/>
      <c r="P438" s="79"/>
      <c r="Q438" s="43"/>
      <c r="R438" s="37"/>
      <c r="S438" s="38"/>
      <c r="T438" s="79"/>
      <c r="U438" s="208">
        <f>ROUND((ROUND((ROUND((ROUND((_15_同援日増９．０*_15・基礎２),0)*_15・２人),0)*(1+_15・盲ろう)),0)*(1+_15・区４)),0)</f>
        <v>1842</v>
      </c>
      <c r="V438" s="48"/>
    </row>
    <row r="439" spans="1:22" ht="16.5" customHeight="1" x14ac:dyDescent="0.15">
      <c r="A439" s="41">
        <v>15</v>
      </c>
      <c r="B439" s="41" t="s">
        <v>24390</v>
      </c>
      <c r="C439" s="74" t="s">
        <v>24391</v>
      </c>
      <c r="D439" s="114" t="s">
        <v>24392</v>
      </c>
      <c r="E439" s="49"/>
      <c r="F439" s="115"/>
      <c r="G439" s="53"/>
      <c r="H439" s="49"/>
      <c r="I439" s="50"/>
      <c r="J439" s="163"/>
      <c r="K439" s="45"/>
      <c r="L439" s="46"/>
      <c r="M439" s="53"/>
      <c r="N439" s="49"/>
      <c r="O439" s="50"/>
      <c r="P439" s="115"/>
      <c r="Q439" s="53"/>
      <c r="R439" s="49"/>
      <c r="S439" s="50"/>
      <c r="T439" s="115"/>
      <c r="U439" s="208">
        <f>_15_同援日増９．５</f>
        <v>1235</v>
      </c>
      <c r="V439" s="48"/>
    </row>
    <row r="440" spans="1:22" ht="16.5" customHeight="1" x14ac:dyDescent="0.15">
      <c r="A440" s="41">
        <v>15</v>
      </c>
      <c r="B440" s="41" t="s">
        <v>24393</v>
      </c>
      <c r="C440" s="74" t="s">
        <v>24394</v>
      </c>
      <c r="D440" s="72" t="s">
        <v>18048</v>
      </c>
      <c r="F440" s="57"/>
      <c r="G440" s="43"/>
      <c r="H440" s="37"/>
      <c r="I440" s="38"/>
      <c r="J440" s="299" t="s">
        <v>17556</v>
      </c>
      <c r="K440" s="45" t="s">
        <v>398</v>
      </c>
      <c r="L440" s="46">
        <v>1</v>
      </c>
      <c r="M440" s="35"/>
      <c r="P440" s="57"/>
      <c r="Q440" s="35"/>
      <c r="T440" s="57"/>
      <c r="U440" s="208">
        <f>ROUND((_15_同援日増９．５*_15・２人),0)</f>
        <v>1235</v>
      </c>
      <c r="V440" s="48"/>
    </row>
    <row r="441" spans="1:22" ht="16.5" customHeight="1" x14ac:dyDescent="0.15">
      <c r="A441" s="41">
        <v>15</v>
      </c>
      <c r="B441" s="41" t="s">
        <v>24395</v>
      </c>
      <c r="C441" s="74" t="s">
        <v>24396</v>
      </c>
      <c r="D441" s="72" t="s">
        <v>18050</v>
      </c>
      <c r="F441" s="57"/>
      <c r="G441" s="114" t="s">
        <v>17558</v>
      </c>
      <c r="H441" s="49"/>
      <c r="I441" s="50"/>
      <c r="J441" s="163"/>
      <c r="K441" s="45"/>
      <c r="L441" s="46"/>
      <c r="M441" s="35"/>
      <c r="P441" s="57"/>
      <c r="Q441" s="35"/>
      <c r="T441" s="57"/>
      <c r="U441" s="208">
        <f>ROUND((_15_同援日増９．５*_15・基礎２),0)</f>
        <v>1112</v>
      </c>
      <c r="V441" s="48"/>
    </row>
    <row r="442" spans="1:22" ht="16.5" customHeight="1" x14ac:dyDescent="0.15">
      <c r="A442" s="41">
        <v>15</v>
      </c>
      <c r="B442" s="41" t="s">
        <v>24397</v>
      </c>
      <c r="C442" s="74" t="s">
        <v>24398</v>
      </c>
      <c r="D442" s="72"/>
      <c r="E442" s="168">
        <f>_15_同援日増９．５</f>
        <v>1235</v>
      </c>
      <c r="F442" s="57" t="s">
        <v>392</v>
      </c>
      <c r="G442" s="269" t="s">
        <v>17560</v>
      </c>
      <c r="H442" s="37" t="s">
        <v>398</v>
      </c>
      <c r="I442" s="38">
        <v>0.9</v>
      </c>
      <c r="J442" s="299" t="s">
        <v>17556</v>
      </c>
      <c r="K442" s="45" t="s">
        <v>398</v>
      </c>
      <c r="L442" s="46">
        <v>1</v>
      </c>
      <c r="M442" s="43"/>
      <c r="N442" s="37"/>
      <c r="O442" s="38"/>
      <c r="P442" s="79"/>
      <c r="Q442" s="35"/>
      <c r="T442" s="57"/>
      <c r="U442" s="208">
        <f>ROUND((ROUND((_15_同援日増９．５*_15・基礎２),0)*_15・２人),0)</f>
        <v>1112</v>
      </c>
      <c r="V442" s="48"/>
    </row>
    <row r="443" spans="1:22" ht="16.5" customHeight="1" x14ac:dyDescent="0.15">
      <c r="A443" s="41">
        <v>15</v>
      </c>
      <c r="B443" s="41" t="s">
        <v>24399</v>
      </c>
      <c r="C443" s="74" t="s">
        <v>24400</v>
      </c>
      <c r="D443" s="72"/>
      <c r="F443" s="57"/>
      <c r="G443" s="53"/>
      <c r="H443" s="49"/>
      <c r="I443" s="50"/>
      <c r="J443" s="163"/>
      <c r="K443" s="45"/>
      <c r="L443" s="46"/>
      <c r="M443" s="114" t="s">
        <v>17562</v>
      </c>
      <c r="N443" s="49"/>
      <c r="O443" s="50"/>
      <c r="P443" s="115"/>
      <c r="Q443" s="35"/>
      <c r="T443" s="57"/>
      <c r="U443" s="208">
        <f>ROUND((_15_同援日増９．５*(1+_15・盲ろう)),0)</f>
        <v>1544</v>
      </c>
      <c r="V443" s="48"/>
    </row>
    <row r="444" spans="1:22" ht="16.5" customHeight="1" x14ac:dyDescent="0.15">
      <c r="A444" s="41">
        <v>15</v>
      </c>
      <c r="B444" s="41" t="s">
        <v>24401</v>
      </c>
      <c r="C444" s="74" t="s">
        <v>24402</v>
      </c>
      <c r="D444" s="72"/>
      <c r="F444" s="57"/>
      <c r="G444" s="43"/>
      <c r="H444" s="37"/>
      <c r="I444" s="38"/>
      <c r="J444" s="299" t="s">
        <v>17556</v>
      </c>
      <c r="K444" s="45" t="s">
        <v>398</v>
      </c>
      <c r="L444" s="46">
        <v>1</v>
      </c>
      <c r="M444" s="92" t="s">
        <v>17564</v>
      </c>
      <c r="P444" s="57"/>
      <c r="Q444" s="35"/>
      <c r="T444" s="57"/>
      <c r="U444" s="208">
        <f>ROUND((ROUND((_15_同援日増９．５*_15・２人),0)*(1+_15・盲ろう)),0)</f>
        <v>1544</v>
      </c>
      <c r="V444" s="48"/>
    </row>
    <row r="445" spans="1:22" ht="16.5" customHeight="1" x14ac:dyDescent="0.15">
      <c r="A445" s="41">
        <v>15</v>
      </c>
      <c r="B445" s="41" t="s">
        <v>2018</v>
      </c>
      <c r="C445" s="74" t="s">
        <v>24403</v>
      </c>
      <c r="D445" s="72"/>
      <c r="F445" s="57"/>
      <c r="G445" s="114" t="s">
        <v>17558</v>
      </c>
      <c r="H445" s="49"/>
      <c r="I445" s="50"/>
      <c r="J445" s="163"/>
      <c r="K445" s="45"/>
      <c r="L445" s="46"/>
      <c r="M445" s="35"/>
      <c r="N445" s="12" t="s">
        <v>398</v>
      </c>
      <c r="O445" s="13">
        <v>0.25</v>
      </c>
      <c r="P445" s="57" t="s">
        <v>3575</v>
      </c>
      <c r="Q445" s="35"/>
      <c r="T445" s="57"/>
      <c r="U445" s="208">
        <f>ROUND((ROUND((_15_同援日増９．５*_15・基礎２),0)*(1+_15・盲ろう)),0)</f>
        <v>1390</v>
      </c>
      <c r="V445" s="48"/>
    </row>
    <row r="446" spans="1:22" ht="16.5" customHeight="1" x14ac:dyDescent="0.15">
      <c r="A446" s="41">
        <v>15</v>
      </c>
      <c r="B446" s="41" t="s">
        <v>2020</v>
      </c>
      <c r="C446" s="74" t="s">
        <v>24404</v>
      </c>
      <c r="D446" s="72"/>
      <c r="F446" s="57"/>
      <c r="G446" s="269" t="s">
        <v>17560</v>
      </c>
      <c r="H446" s="37" t="s">
        <v>398</v>
      </c>
      <c r="I446" s="38">
        <v>0.9</v>
      </c>
      <c r="J446" s="299" t="s">
        <v>17556</v>
      </c>
      <c r="K446" s="45" t="s">
        <v>398</v>
      </c>
      <c r="L446" s="46">
        <v>1</v>
      </c>
      <c r="M446" s="43"/>
      <c r="N446" s="37"/>
      <c r="O446" s="38"/>
      <c r="P446" s="79"/>
      <c r="Q446" s="43"/>
      <c r="R446" s="37"/>
      <c r="S446" s="38"/>
      <c r="T446" s="79"/>
      <c r="U446" s="208">
        <f>ROUND((ROUND((ROUND((_15_同援日増９．５*_15・基礎２),0)*_15・２人),0)*(1+_15・盲ろう)),0)</f>
        <v>1390</v>
      </c>
      <c r="V446" s="48"/>
    </row>
    <row r="447" spans="1:22" ht="16.5" customHeight="1" x14ac:dyDescent="0.15">
      <c r="A447" s="41">
        <v>15</v>
      </c>
      <c r="B447" s="41" t="s">
        <v>2022</v>
      </c>
      <c r="C447" s="74" t="s">
        <v>24405</v>
      </c>
      <c r="D447" s="72"/>
      <c r="F447" s="57"/>
      <c r="G447" s="53"/>
      <c r="H447" s="49"/>
      <c r="I447" s="50"/>
      <c r="J447" s="163"/>
      <c r="K447" s="45"/>
      <c r="L447" s="46"/>
      <c r="M447" s="53"/>
      <c r="N447" s="49"/>
      <c r="O447" s="50"/>
      <c r="P447" s="115"/>
      <c r="Q447" s="53"/>
      <c r="R447" s="49"/>
      <c r="S447" s="50"/>
      <c r="T447" s="115"/>
      <c r="U447" s="208">
        <f>ROUND((_15_同援日増９．５*(1+_15・区３)),0)</f>
        <v>1482</v>
      </c>
      <c r="V447" s="48"/>
    </row>
    <row r="448" spans="1:22" ht="16.5" customHeight="1" x14ac:dyDescent="0.15">
      <c r="A448" s="41">
        <v>15</v>
      </c>
      <c r="B448" s="41" t="s">
        <v>2024</v>
      </c>
      <c r="C448" s="74" t="s">
        <v>24406</v>
      </c>
      <c r="D448" s="72"/>
      <c r="F448" s="57"/>
      <c r="G448" s="43"/>
      <c r="H448" s="37"/>
      <c r="I448" s="38"/>
      <c r="J448" s="299" t="s">
        <v>17556</v>
      </c>
      <c r="K448" s="45" t="s">
        <v>398</v>
      </c>
      <c r="L448" s="46">
        <v>1</v>
      </c>
      <c r="M448" s="35"/>
      <c r="P448" s="57"/>
      <c r="Q448" s="35"/>
      <c r="T448" s="57"/>
      <c r="U448" s="208">
        <f>ROUND((ROUND((_15_同援日増９．５*_15・２人),0)*(1+_15・区３)),0)</f>
        <v>1482</v>
      </c>
      <c r="V448" s="48"/>
    </row>
    <row r="449" spans="1:22" ht="16.5" customHeight="1" x14ac:dyDescent="0.15">
      <c r="A449" s="41">
        <v>15</v>
      </c>
      <c r="B449" s="41" t="s">
        <v>24407</v>
      </c>
      <c r="C449" s="74" t="s">
        <v>24408</v>
      </c>
      <c r="D449" s="72"/>
      <c r="F449" s="57"/>
      <c r="G449" s="114" t="s">
        <v>17558</v>
      </c>
      <c r="H449" s="49"/>
      <c r="I449" s="50"/>
      <c r="J449" s="163"/>
      <c r="K449" s="45"/>
      <c r="L449" s="46"/>
      <c r="M449" s="35"/>
      <c r="P449" s="57"/>
      <c r="Q449" s="72" t="s">
        <v>17570</v>
      </c>
      <c r="T449" s="57"/>
      <c r="U449" s="208">
        <f>ROUND((ROUND((_15_同援日増９．５*_15・基礎２),0)*(1+_15・区３)),0)</f>
        <v>1334</v>
      </c>
      <c r="V449" s="48"/>
    </row>
    <row r="450" spans="1:22" ht="16.5" customHeight="1" x14ac:dyDescent="0.15">
      <c r="A450" s="41">
        <v>15</v>
      </c>
      <c r="B450" s="41" t="s">
        <v>24409</v>
      </c>
      <c r="C450" s="74" t="s">
        <v>24410</v>
      </c>
      <c r="D450" s="72"/>
      <c r="F450" s="57"/>
      <c r="G450" s="269" t="s">
        <v>17560</v>
      </c>
      <c r="H450" s="37" t="s">
        <v>398</v>
      </c>
      <c r="I450" s="38">
        <v>0.9</v>
      </c>
      <c r="J450" s="299" t="s">
        <v>17556</v>
      </c>
      <c r="K450" s="45" t="s">
        <v>398</v>
      </c>
      <c r="L450" s="46">
        <v>1</v>
      </c>
      <c r="M450" s="43"/>
      <c r="N450" s="37"/>
      <c r="O450" s="38"/>
      <c r="P450" s="79"/>
      <c r="Q450" s="72" t="s">
        <v>17572</v>
      </c>
      <c r="T450" s="57"/>
      <c r="U450" s="208">
        <f>ROUND((ROUND((ROUND((_15_同援日増９．５*_15・基礎２),0)*_15・２人),0)*(1+_15・区３)),0)</f>
        <v>1334</v>
      </c>
      <c r="V450" s="48"/>
    </row>
    <row r="451" spans="1:22" ht="16.5" customHeight="1" x14ac:dyDescent="0.15">
      <c r="A451" s="41">
        <v>15</v>
      </c>
      <c r="B451" s="41" t="s">
        <v>24411</v>
      </c>
      <c r="C451" s="74" t="s">
        <v>24412</v>
      </c>
      <c r="D451" s="72"/>
      <c r="F451" s="57"/>
      <c r="G451" s="53"/>
      <c r="H451" s="49"/>
      <c r="I451" s="50"/>
      <c r="J451" s="163"/>
      <c r="K451" s="45"/>
      <c r="L451" s="46"/>
      <c r="M451" s="114" t="s">
        <v>17562</v>
      </c>
      <c r="N451" s="49"/>
      <c r="O451" s="50"/>
      <c r="P451" s="115"/>
      <c r="Q451" s="35"/>
      <c r="R451" s="12" t="s">
        <v>398</v>
      </c>
      <c r="S451" s="13">
        <v>0.2</v>
      </c>
      <c r="T451" s="57" t="s">
        <v>3575</v>
      </c>
      <c r="U451" s="208">
        <f>ROUND((ROUND((_15_同援日増９．５*(1+_15・盲ろう)),0)*(1+_15・区３)),0)</f>
        <v>1853</v>
      </c>
      <c r="V451" s="48"/>
    </row>
    <row r="452" spans="1:22" ht="16.5" customHeight="1" x14ac:dyDescent="0.15">
      <c r="A452" s="41">
        <v>15</v>
      </c>
      <c r="B452" s="41" t="s">
        <v>24413</v>
      </c>
      <c r="C452" s="74" t="s">
        <v>24414</v>
      </c>
      <c r="D452" s="72"/>
      <c r="F452" s="57"/>
      <c r="G452" s="43"/>
      <c r="H452" s="37"/>
      <c r="I452" s="38"/>
      <c r="J452" s="299" t="s">
        <v>17556</v>
      </c>
      <c r="K452" s="45" t="s">
        <v>398</v>
      </c>
      <c r="L452" s="46">
        <v>1</v>
      </c>
      <c r="M452" s="92" t="s">
        <v>17564</v>
      </c>
      <c r="P452" s="57"/>
      <c r="Q452" s="35"/>
      <c r="T452" s="57"/>
      <c r="U452" s="208">
        <f>ROUND((ROUND((ROUND((_15_同援日増９．５*_15・２人),0)*(1+_15・盲ろう)),0)*(1+_15・区３)),0)</f>
        <v>1853</v>
      </c>
      <c r="V452" s="48"/>
    </row>
    <row r="453" spans="1:22" ht="16.5" customHeight="1" x14ac:dyDescent="0.15">
      <c r="A453" s="41">
        <v>15</v>
      </c>
      <c r="B453" s="41" t="s">
        <v>24415</v>
      </c>
      <c r="C453" s="74" t="s">
        <v>24416</v>
      </c>
      <c r="D453" s="72"/>
      <c r="F453" s="57"/>
      <c r="G453" s="114" t="s">
        <v>17558</v>
      </c>
      <c r="H453" s="49"/>
      <c r="I453" s="50"/>
      <c r="J453" s="163"/>
      <c r="K453" s="45"/>
      <c r="L453" s="46"/>
      <c r="M453" s="35"/>
      <c r="N453" s="12" t="s">
        <v>398</v>
      </c>
      <c r="O453" s="13">
        <v>0.25</v>
      </c>
      <c r="P453" s="57" t="s">
        <v>3575</v>
      </c>
      <c r="Q453" s="35"/>
      <c r="T453" s="57"/>
      <c r="U453" s="208">
        <f>ROUND((ROUND((ROUND((_15_同援日増９．５*_15・基礎２),0)*(1+_15・盲ろう)),0)*(1+_15・区３)),0)</f>
        <v>1668</v>
      </c>
      <c r="V453" s="48"/>
    </row>
    <row r="454" spans="1:22" ht="16.5" customHeight="1" x14ac:dyDescent="0.15">
      <c r="A454" s="41">
        <v>15</v>
      </c>
      <c r="B454" s="41" t="s">
        <v>24417</v>
      </c>
      <c r="C454" s="74" t="s">
        <v>24418</v>
      </c>
      <c r="D454" s="72"/>
      <c r="F454" s="57"/>
      <c r="G454" s="269" t="s">
        <v>17560</v>
      </c>
      <c r="H454" s="37" t="s">
        <v>398</v>
      </c>
      <c r="I454" s="38">
        <v>0.9</v>
      </c>
      <c r="J454" s="299" t="s">
        <v>17556</v>
      </c>
      <c r="K454" s="45" t="s">
        <v>398</v>
      </c>
      <c r="L454" s="46">
        <v>1</v>
      </c>
      <c r="M454" s="43"/>
      <c r="N454" s="37"/>
      <c r="O454" s="38"/>
      <c r="P454" s="79"/>
      <c r="Q454" s="43"/>
      <c r="R454" s="37"/>
      <c r="S454" s="38"/>
      <c r="T454" s="79"/>
      <c r="U454" s="208">
        <f>ROUND((ROUND((ROUND((ROUND((_15_同援日増９．５*_15・基礎２),0)*_15・２人),0)*(1+_15・盲ろう)),0)*(1+_15・区３)),0)</f>
        <v>1668</v>
      </c>
      <c r="V454" s="48"/>
    </row>
    <row r="455" spans="1:22" ht="16.5" customHeight="1" x14ac:dyDescent="0.15">
      <c r="A455" s="41">
        <v>15</v>
      </c>
      <c r="B455" s="41" t="s">
        <v>24419</v>
      </c>
      <c r="C455" s="74" t="s">
        <v>24420</v>
      </c>
      <c r="D455" s="72"/>
      <c r="F455" s="57"/>
      <c r="G455" s="53"/>
      <c r="H455" s="49"/>
      <c r="I455" s="50"/>
      <c r="J455" s="163"/>
      <c r="K455" s="45"/>
      <c r="L455" s="46"/>
      <c r="M455" s="53"/>
      <c r="N455" s="49"/>
      <c r="O455" s="50"/>
      <c r="P455" s="115"/>
      <c r="Q455" s="53"/>
      <c r="R455" s="49"/>
      <c r="S455" s="50"/>
      <c r="T455" s="115"/>
      <c r="U455" s="208">
        <f>ROUND((_15_同援日増９．５*(1+_15・区４)),0)</f>
        <v>1729</v>
      </c>
      <c r="V455" s="48"/>
    </row>
    <row r="456" spans="1:22" ht="16.5" customHeight="1" x14ac:dyDescent="0.15">
      <c r="A456" s="41">
        <v>15</v>
      </c>
      <c r="B456" s="41" t="s">
        <v>24421</v>
      </c>
      <c r="C456" s="74" t="s">
        <v>24422</v>
      </c>
      <c r="D456" s="72"/>
      <c r="F456" s="57"/>
      <c r="G456" s="43"/>
      <c r="H456" s="37"/>
      <c r="I456" s="38"/>
      <c r="J456" s="299" t="s">
        <v>17556</v>
      </c>
      <c r="K456" s="45" t="s">
        <v>398</v>
      </c>
      <c r="L456" s="46">
        <v>1</v>
      </c>
      <c r="M456" s="35"/>
      <c r="P456" s="57"/>
      <c r="Q456" s="35"/>
      <c r="T456" s="57"/>
      <c r="U456" s="208">
        <f>ROUND((ROUND((_15_同援日増９．５*_15・２人),0)*(1+_15・区４)),0)</f>
        <v>1729</v>
      </c>
      <c r="V456" s="48"/>
    </row>
    <row r="457" spans="1:22" ht="16.5" customHeight="1" x14ac:dyDescent="0.15">
      <c r="A457" s="41">
        <v>15</v>
      </c>
      <c r="B457" s="41" t="s">
        <v>24423</v>
      </c>
      <c r="C457" s="74" t="s">
        <v>24424</v>
      </c>
      <c r="D457" s="72"/>
      <c r="F457" s="57"/>
      <c r="G457" s="114" t="s">
        <v>17558</v>
      </c>
      <c r="H457" s="49"/>
      <c r="I457" s="50"/>
      <c r="J457" s="163"/>
      <c r="K457" s="45"/>
      <c r="L457" s="46"/>
      <c r="M457" s="35"/>
      <c r="P457" s="57"/>
      <c r="Q457" s="72" t="s">
        <v>17580</v>
      </c>
      <c r="T457" s="57"/>
      <c r="U457" s="208">
        <f>ROUND((ROUND((_15_同援日増９．５*_15・基礎２),0)*(1+_15・区４)),0)</f>
        <v>1557</v>
      </c>
      <c r="V457" s="48"/>
    </row>
    <row r="458" spans="1:22" ht="16.5" customHeight="1" x14ac:dyDescent="0.15">
      <c r="A458" s="41">
        <v>15</v>
      </c>
      <c r="B458" s="41" t="s">
        <v>24425</v>
      </c>
      <c r="C458" s="74" t="s">
        <v>24426</v>
      </c>
      <c r="D458" s="72"/>
      <c r="F458" s="57"/>
      <c r="G458" s="269" t="s">
        <v>17560</v>
      </c>
      <c r="H458" s="37" t="s">
        <v>398</v>
      </c>
      <c r="I458" s="38">
        <v>0.9</v>
      </c>
      <c r="J458" s="299" t="s">
        <v>17556</v>
      </c>
      <c r="K458" s="45" t="s">
        <v>398</v>
      </c>
      <c r="L458" s="46">
        <v>1</v>
      </c>
      <c r="M458" s="43"/>
      <c r="N458" s="37"/>
      <c r="O458" s="38"/>
      <c r="P458" s="79"/>
      <c r="Q458" s="72" t="s">
        <v>17572</v>
      </c>
      <c r="T458" s="57"/>
      <c r="U458" s="208">
        <f>ROUND((ROUND((ROUND((_15_同援日増９．５*_15・基礎２),0)*_15・２人),0)*(1+_15・区４)),0)</f>
        <v>1557</v>
      </c>
      <c r="V458" s="48"/>
    </row>
    <row r="459" spans="1:22" ht="16.5" customHeight="1" x14ac:dyDescent="0.15">
      <c r="A459" s="41">
        <v>15</v>
      </c>
      <c r="B459" s="41" t="s">
        <v>24427</v>
      </c>
      <c r="C459" s="74" t="s">
        <v>24428</v>
      </c>
      <c r="D459" s="72"/>
      <c r="F459" s="57"/>
      <c r="G459" s="53"/>
      <c r="H459" s="49"/>
      <c r="I459" s="50"/>
      <c r="J459" s="163"/>
      <c r="K459" s="45"/>
      <c r="L459" s="46"/>
      <c r="M459" s="114" t="s">
        <v>17562</v>
      </c>
      <c r="N459" s="49"/>
      <c r="O459" s="50"/>
      <c r="P459" s="115"/>
      <c r="Q459" s="35"/>
      <c r="R459" s="12" t="s">
        <v>398</v>
      </c>
      <c r="S459" s="13">
        <v>0.4</v>
      </c>
      <c r="T459" s="57" t="s">
        <v>3575</v>
      </c>
      <c r="U459" s="208">
        <f>ROUND((ROUND((_15_同援日増９．５*(1+_15・盲ろう)),0)*(1+_15・区４)),0)</f>
        <v>2162</v>
      </c>
      <c r="V459" s="48"/>
    </row>
    <row r="460" spans="1:22" ht="16.5" customHeight="1" x14ac:dyDescent="0.15">
      <c r="A460" s="41">
        <v>15</v>
      </c>
      <c r="B460" s="41" t="s">
        <v>24429</v>
      </c>
      <c r="C460" s="74" t="s">
        <v>24430</v>
      </c>
      <c r="D460" s="72"/>
      <c r="F460" s="57"/>
      <c r="G460" s="43"/>
      <c r="H460" s="37"/>
      <c r="I460" s="38"/>
      <c r="J460" s="299" t="s">
        <v>17556</v>
      </c>
      <c r="K460" s="45" t="s">
        <v>398</v>
      </c>
      <c r="L460" s="46">
        <v>1</v>
      </c>
      <c r="M460" s="92" t="s">
        <v>17564</v>
      </c>
      <c r="P460" s="57"/>
      <c r="Q460" s="35"/>
      <c r="T460" s="57"/>
      <c r="U460" s="208">
        <f>ROUND((ROUND((ROUND((_15_同援日増９．５*_15・２人),0)*(1+_15・盲ろう)),0)*(1+_15・区４)),0)</f>
        <v>2162</v>
      </c>
      <c r="V460" s="48"/>
    </row>
    <row r="461" spans="1:22" ht="16.5" customHeight="1" x14ac:dyDescent="0.15">
      <c r="A461" s="41">
        <v>15</v>
      </c>
      <c r="B461" s="41" t="s">
        <v>24431</v>
      </c>
      <c r="C461" s="74" t="s">
        <v>24432</v>
      </c>
      <c r="D461" s="72"/>
      <c r="F461" s="57"/>
      <c r="G461" s="114" t="s">
        <v>17558</v>
      </c>
      <c r="H461" s="49"/>
      <c r="I461" s="50"/>
      <c r="J461" s="163"/>
      <c r="K461" s="45"/>
      <c r="L461" s="46"/>
      <c r="M461" s="35"/>
      <c r="N461" s="12" t="s">
        <v>398</v>
      </c>
      <c r="O461" s="13">
        <v>0.25</v>
      </c>
      <c r="P461" s="57" t="s">
        <v>3575</v>
      </c>
      <c r="Q461" s="35"/>
      <c r="T461" s="57"/>
      <c r="U461" s="208">
        <f>ROUND((ROUND((ROUND((_15_同援日増９．５*_15・基礎２),0)*(1+_15・盲ろう)),0)*(1+_15・区４)),0)</f>
        <v>1946</v>
      </c>
      <c r="V461" s="48"/>
    </row>
    <row r="462" spans="1:22" ht="16.5" customHeight="1" x14ac:dyDescent="0.15">
      <c r="A462" s="41">
        <v>15</v>
      </c>
      <c r="B462" s="41" t="s">
        <v>24433</v>
      </c>
      <c r="C462" s="74" t="s">
        <v>24434</v>
      </c>
      <c r="D462" s="122"/>
      <c r="E462" s="37"/>
      <c r="F462" s="79"/>
      <c r="G462" s="269" t="s">
        <v>17560</v>
      </c>
      <c r="H462" s="37" t="s">
        <v>398</v>
      </c>
      <c r="I462" s="38">
        <v>0.9</v>
      </c>
      <c r="J462" s="299" t="s">
        <v>17556</v>
      </c>
      <c r="K462" s="45" t="s">
        <v>398</v>
      </c>
      <c r="L462" s="46">
        <v>1</v>
      </c>
      <c r="M462" s="43"/>
      <c r="N462" s="37"/>
      <c r="O462" s="38"/>
      <c r="P462" s="79"/>
      <c r="Q462" s="43"/>
      <c r="R462" s="37"/>
      <c r="S462" s="38"/>
      <c r="T462" s="79"/>
      <c r="U462" s="208">
        <f>ROUND((ROUND((ROUND((ROUND((_15_同援日増９．５*_15・基礎２),0)*_15・２人),0)*(1+_15・盲ろう)),0)*(1+_15・区４)),0)</f>
        <v>1946</v>
      </c>
      <c r="V462" s="63"/>
    </row>
    <row r="463" spans="1:22" ht="16.5" customHeight="1" x14ac:dyDescent="0.15">
      <c r="A463" s="41">
        <v>15</v>
      </c>
      <c r="B463" s="41" t="s">
        <v>24435</v>
      </c>
      <c r="C463" s="74" t="s">
        <v>24436</v>
      </c>
      <c r="D463" s="114" t="s">
        <v>24437</v>
      </c>
      <c r="E463" s="49"/>
      <c r="F463" s="115"/>
      <c r="G463" s="53"/>
      <c r="H463" s="49"/>
      <c r="I463" s="50"/>
      <c r="J463" s="163"/>
      <c r="K463" s="45"/>
      <c r="L463" s="46"/>
      <c r="M463" s="53"/>
      <c r="N463" s="49"/>
      <c r="O463" s="50"/>
      <c r="P463" s="115"/>
      <c r="Q463" s="53"/>
      <c r="R463" s="49"/>
      <c r="S463" s="50"/>
      <c r="T463" s="115"/>
      <c r="U463" s="208">
        <f>_15_同援日増１０．０</f>
        <v>1300</v>
      </c>
      <c r="V463" s="64"/>
    </row>
    <row r="464" spans="1:22" ht="16.5" customHeight="1" x14ac:dyDescent="0.15">
      <c r="A464" s="41">
        <v>15</v>
      </c>
      <c r="B464" s="41" t="s">
        <v>24438</v>
      </c>
      <c r="C464" s="74" t="s">
        <v>24439</v>
      </c>
      <c r="D464" s="72" t="s">
        <v>18075</v>
      </c>
      <c r="F464" s="57"/>
      <c r="G464" s="43"/>
      <c r="H464" s="37"/>
      <c r="I464" s="38"/>
      <c r="J464" s="299" t="s">
        <v>17556</v>
      </c>
      <c r="K464" s="45" t="s">
        <v>398</v>
      </c>
      <c r="L464" s="46">
        <v>1</v>
      </c>
      <c r="M464" s="35"/>
      <c r="P464" s="57"/>
      <c r="Q464" s="35"/>
      <c r="T464" s="57"/>
      <c r="U464" s="208">
        <f>ROUND((_15_同援日増１０．０*_15・２人),0)</f>
        <v>1300</v>
      </c>
      <c r="V464" s="48"/>
    </row>
    <row r="465" spans="1:22" ht="16.5" customHeight="1" x14ac:dyDescent="0.15">
      <c r="A465" s="41">
        <v>15</v>
      </c>
      <c r="B465" s="41" t="s">
        <v>2032</v>
      </c>
      <c r="C465" s="74" t="s">
        <v>24440</v>
      </c>
      <c r="D465" s="72" t="s">
        <v>18077</v>
      </c>
      <c r="F465" s="57"/>
      <c r="G465" s="114" t="s">
        <v>17558</v>
      </c>
      <c r="H465" s="49"/>
      <c r="I465" s="50"/>
      <c r="J465" s="163"/>
      <c r="K465" s="45"/>
      <c r="L465" s="46"/>
      <c r="M465" s="35"/>
      <c r="P465" s="57"/>
      <c r="Q465" s="35"/>
      <c r="T465" s="57"/>
      <c r="U465" s="208">
        <f>ROUND((_15_同援日増１０．０*_15・基礎２),0)</f>
        <v>1170</v>
      </c>
      <c r="V465" s="48"/>
    </row>
    <row r="466" spans="1:22" ht="16.5" customHeight="1" x14ac:dyDescent="0.15">
      <c r="A466" s="41">
        <v>15</v>
      </c>
      <c r="B466" s="41" t="s">
        <v>2034</v>
      </c>
      <c r="C466" s="74" t="s">
        <v>24441</v>
      </c>
      <c r="D466" s="72"/>
      <c r="E466" s="168">
        <f>_15_同援日増１０．０</f>
        <v>1300</v>
      </c>
      <c r="F466" s="57" t="s">
        <v>392</v>
      </c>
      <c r="G466" s="269" t="s">
        <v>17560</v>
      </c>
      <c r="H466" s="37" t="s">
        <v>398</v>
      </c>
      <c r="I466" s="38">
        <v>0.9</v>
      </c>
      <c r="J466" s="299" t="s">
        <v>17556</v>
      </c>
      <c r="K466" s="45" t="s">
        <v>398</v>
      </c>
      <c r="L466" s="46">
        <v>1</v>
      </c>
      <c r="M466" s="43"/>
      <c r="N466" s="37"/>
      <c r="O466" s="38"/>
      <c r="P466" s="79"/>
      <c r="Q466" s="35"/>
      <c r="T466" s="57"/>
      <c r="U466" s="208">
        <f>ROUND((ROUND((_15_同援日増１０．０*_15・基礎２),0)*_15・２人),0)</f>
        <v>1170</v>
      </c>
      <c r="V466" s="48"/>
    </row>
    <row r="467" spans="1:22" ht="16.5" customHeight="1" x14ac:dyDescent="0.15">
      <c r="A467" s="41">
        <v>15</v>
      </c>
      <c r="B467" s="41" t="s">
        <v>2036</v>
      </c>
      <c r="C467" s="74" t="s">
        <v>24442</v>
      </c>
      <c r="D467" s="72"/>
      <c r="F467" s="57"/>
      <c r="G467" s="53"/>
      <c r="H467" s="49"/>
      <c r="I467" s="50"/>
      <c r="J467" s="163"/>
      <c r="K467" s="45"/>
      <c r="L467" s="46"/>
      <c r="M467" s="114" t="s">
        <v>17562</v>
      </c>
      <c r="N467" s="49"/>
      <c r="O467" s="50"/>
      <c r="P467" s="115"/>
      <c r="Q467" s="35"/>
      <c r="T467" s="57"/>
      <c r="U467" s="208">
        <f>ROUND((_15_同援日増１０．０*(1+_15・盲ろう)),0)</f>
        <v>1625</v>
      </c>
      <c r="V467" s="48"/>
    </row>
    <row r="468" spans="1:22" ht="16.5" customHeight="1" x14ac:dyDescent="0.15">
      <c r="A468" s="41">
        <v>15</v>
      </c>
      <c r="B468" s="41" t="s">
        <v>2038</v>
      </c>
      <c r="C468" s="74" t="s">
        <v>24443</v>
      </c>
      <c r="D468" s="72"/>
      <c r="F468" s="57"/>
      <c r="G468" s="43"/>
      <c r="H468" s="37"/>
      <c r="I468" s="38"/>
      <c r="J468" s="299" t="s">
        <v>17556</v>
      </c>
      <c r="K468" s="45" t="s">
        <v>398</v>
      </c>
      <c r="L468" s="46">
        <v>1</v>
      </c>
      <c r="M468" s="92" t="s">
        <v>17564</v>
      </c>
      <c r="P468" s="57"/>
      <c r="Q468" s="35"/>
      <c r="T468" s="57"/>
      <c r="U468" s="208">
        <f>ROUND((ROUND((_15_同援日増１０．０*_15・２人),0)*(1+_15・盲ろう)),0)</f>
        <v>1625</v>
      </c>
      <c r="V468" s="48"/>
    </row>
    <row r="469" spans="1:22" ht="16.5" customHeight="1" x14ac:dyDescent="0.15">
      <c r="A469" s="41">
        <v>15</v>
      </c>
      <c r="B469" s="41" t="s">
        <v>24444</v>
      </c>
      <c r="C469" s="74" t="s">
        <v>24445</v>
      </c>
      <c r="D469" s="72"/>
      <c r="F469" s="57"/>
      <c r="G469" s="114" t="s">
        <v>17558</v>
      </c>
      <c r="H469" s="49"/>
      <c r="I469" s="50"/>
      <c r="J469" s="163"/>
      <c r="K469" s="45"/>
      <c r="L469" s="46"/>
      <c r="M469" s="35"/>
      <c r="N469" s="12" t="s">
        <v>398</v>
      </c>
      <c r="O469" s="13">
        <v>0.25</v>
      </c>
      <c r="P469" s="57" t="s">
        <v>3575</v>
      </c>
      <c r="Q469" s="35"/>
      <c r="T469" s="57"/>
      <c r="U469" s="208">
        <f>ROUND((ROUND((_15_同援日増１０．０*_15・基礎２),0)*(1+_15・盲ろう)),0)</f>
        <v>1463</v>
      </c>
      <c r="V469" s="48"/>
    </row>
    <row r="470" spans="1:22" ht="16.5" customHeight="1" x14ac:dyDescent="0.15">
      <c r="A470" s="41">
        <v>15</v>
      </c>
      <c r="B470" s="41" t="s">
        <v>24446</v>
      </c>
      <c r="C470" s="74" t="s">
        <v>24447</v>
      </c>
      <c r="D470" s="72"/>
      <c r="F470" s="57"/>
      <c r="G470" s="269" t="s">
        <v>17560</v>
      </c>
      <c r="H470" s="37" t="s">
        <v>398</v>
      </c>
      <c r="I470" s="38">
        <v>0.9</v>
      </c>
      <c r="J470" s="299" t="s">
        <v>17556</v>
      </c>
      <c r="K470" s="45" t="s">
        <v>398</v>
      </c>
      <c r="L470" s="46">
        <v>1</v>
      </c>
      <c r="M470" s="43"/>
      <c r="N470" s="37"/>
      <c r="O470" s="38"/>
      <c r="P470" s="79"/>
      <c r="Q470" s="43"/>
      <c r="R470" s="37"/>
      <c r="S470" s="38"/>
      <c r="T470" s="79"/>
      <c r="U470" s="208">
        <f>ROUND((ROUND((ROUND((_15_同援日増１０．０*_15・基礎２),0)*_15・２人),0)*(1+_15・盲ろう)),0)</f>
        <v>1463</v>
      </c>
      <c r="V470" s="48"/>
    </row>
    <row r="471" spans="1:22" ht="16.5" customHeight="1" x14ac:dyDescent="0.15">
      <c r="A471" s="41">
        <v>15</v>
      </c>
      <c r="B471" s="41" t="s">
        <v>24448</v>
      </c>
      <c r="C471" s="74" t="s">
        <v>24449</v>
      </c>
      <c r="D471" s="72"/>
      <c r="F471" s="57"/>
      <c r="G471" s="53"/>
      <c r="H471" s="49"/>
      <c r="I471" s="50"/>
      <c r="J471" s="163"/>
      <c r="K471" s="45"/>
      <c r="L471" s="46"/>
      <c r="M471" s="53"/>
      <c r="N471" s="49"/>
      <c r="O471" s="50"/>
      <c r="P471" s="115"/>
      <c r="Q471" s="53"/>
      <c r="R471" s="49"/>
      <c r="S471" s="50"/>
      <c r="T471" s="115"/>
      <c r="U471" s="208">
        <f>ROUND((_15_同援日増１０．０*(1+_15・区３)),0)</f>
        <v>1560</v>
      </c>
      <c r="V471" s="48"/>
    </row>
    <row r="472" spans="1:22" ht="16.5" customHeight="1" x14ac:dyDescent="0.15">
      <c r="A472" s="41">
        <v>15</v>
      </c>
      <c r="B472" s="41" t="s">
        <v>24450</v>
      </c>
      <c r="C472" s="74" t="s">
        <v>24451</v>
      </c>
      <c r="D472" s="72"/>
      <c r="F472" s="57"/>
      <c r="G472" s="43"/>
      <c r="H472" s="37"/>
      <c r="I472" s="38"/>
      <c r="J472" s="299" t="s">
        <v>17556</v>
      </c>
      <c r="K472" s="45" t="s">
        <v>398</v>
      </c>
      <c r="L472" s="46">
        <v>1</v>
      </c>
      <c r="M472" s="35"/>
      <c r="P472" s="57"/>
      <c r="Q472" s="35"/>
      <c r="T472" s="57"/>
      <c r="U472" s="208">
        <f>ROUND((ROUND((_15_同援日増１０．０*_15・２人),0)*(1+_15・区３)),0)</f>
        <v>1560</v>
      </c>
      <c r="V472" s="48"/>
    </row>
    <row r="473" spans="1:22" ht="16.5" customHeight="1" x14ac:dyDescent="0.15">
      <c r="A473" s="41">
        <v>15</v>
      </c>
      <c r="B473" s="41" t="s">
        <v>24452</v>
      </c>
      <c r="C473" s="74" t="s">
        <v>24453</v>
      </c>
      <c r="D473" s="72"/>
      <c r="F473" s="57"/>
      <c r="G473" s="114" t="s">
        <v>17558</v>
      </c>
      <c r="H473" s="49"/>
      <c r="I473" s="50"/>
      <c r="J473" s="163"/>
      <c r="K473" s="45"/>
      <c r="L473" s="46"/>
      <c r="M473" s="35"/>
      <c r="P473" s="57"/>
      <c r="Q473" s="72" t="s">
        <v>17570</v>
      </c>
      <c r="T473" s="57"/>
      <c r="U473" s="208">
        <f>ROUND((ROUND((_15_同援日増１０．０*_15・基礎２),0)*(1+_15・区３)),0)</f>
        <v>1404</v>
      </c>
      <c r="V473" s="48"/>
    </row>
    <row r="474" spans="1:22" ht="16.5" customHeight="1" x14ac:dyDescent="0.15">
      <c r="A474" s="41">
        <v>15</v>
      </c>
      <c r="B474" s="41" t="s">
        <v>24454</v>
      </c>
      <c r="C474" s="74" t="s">
        <v>24455</v>
      </c>
      <c r="D474" s="72"/>
      <c r="F474" s="57"/>
      <c r="G474" s="269" t="s">
        <v>17560</v>
      </c>
      <c r="H474" s="37" t="s">
        <v>398</v>
      </c>
      <c r="I474" s="38">
        <v>0.9</v>
      </c>
      <c r="J474" s="299" t="s">
        <v>17556</v>
      </c>
      <c r="K474" s="45" t="s">
        <v>398</v>
      </c>
      <c r="L474" s="46">
        <v>1</v>
      </c>
      <c r="M474" s="43"/>
      <c r="N474" s="37"/>
      <c r="O474" s="38"/>
      <c r="P474" s="79"/>
      <c r="Q474" s="72" t="s">
        <v>17572</v>
      </c>
      <c r="T474" s="57"/>
      <c r="U474" s="208">
        <f>ROUND((ROUND((ROUND((_15_同援日増１０．０*_15・基礎２),0)*_15・２人),0)*(1+_15・区３)),0)</f>
        <v>1404</v>
      </c>
      <c r="V474" s="48"/>
    </row>
    <row r="475" spans="1:22" ht="16.5" customHeight="1" x14ac:dyDescent="0.15">
      <c r="A475" s="41">
        <v>15</v>
      </c>
      <c r="B475" s="41" t="s">
        <v>24456</v>
      </c>
      <c r="C475" s="74" t="s">
        <v>24457</v>
      </c>
      <c r="D475" s="72"/>
      <c r="F475" s="57"/>
      <c r="G475" s="53"/>
      <c r="H475" s="49"/>
      <c r="I475" s="50"/>
      <c r="J475" s="163"/>
      <c r="K475" s="45"/>
      <c r="L475" s="46"/>
      <c r="M475" s="114" t="s">
        <v>17562</v>
      </c>
      <c r="N475" s="49"/>
      <c r="O475" s="50"/>
      <c r="P475" s="115"/>
      <c r="Q475" s="35"/>
      <c r="R475" s="12" t="s">
        <v>398</v>
      </c>
      <c r="S475" s="13">
        <v>0.2</v>
      </c>
      <c r="T475" s="57" t="s">
        <v>3575</v>
      </c>
      <c r="U475" s="208">
        <f>ROUND((ROUND((_15_同援日増１０．０*(1+_15・盲ろう)),0)*(1+_15・区３)),0)</f>
        <v>1950</v>
      </c>
      <c r="V475" s="48"/>
    </row>
    <row r="476" spans="1:22" ht="16.5" customHeight="1" x14ac:dyDescent="0.15">
      <c r="A476" s="41">
        <v>15</v>
      </c>
      <c r="B476" s="41" t="s">
        <v>24458</v>
      </c>
      <c r="C476" s="74" t="s">
        <v>24459</v>
      </c>
      <c r="D476" s="72"/>
      <c r="F476" s="57"/>
      <c r="G476" s="43"/>
      <c r="H476" s="37"/>
      <c r="I476" s="38"/>
      <c r="J476" s="299" t="s">
        <v>17556</v>
      </c>
      <c r="K476" s="45" t="s">
        <v>398</v>
      </c>
      <c r="L476" s="46">
        <v>1</v>
      </c>
      <c r="M476" s="92" t="s">
        <v>17564</v>
      </c>
      <c r="P476" s="57"/>
      <c r="Q476" s="35"/>
      <c r="T476" s="57"/>
      <c r="U476" s="208">
        <f>ROUND((ROUND((ROUND((_15_同援日増１０．０*_15・２人),0)*(1+_15・盲ろう)),0)*(1+_15・区３)),0)</f>
        <v>1950</v>
      </c>
      <c r="V476" s="48"/>
    </row>
    <row r="477" spans="1:22" ht="16.5" customHeight="1" x14ac:dyDescent="0.15">
      <c r="A477" s="41">
        <v>15</v>
      </c>
      <c r="B477" s="41" t="s">
        <v>24460</v>
      </c>
      <c r="C477" s="74" t="s">
        <v>24461</v>
      </c>
      <c r="D477" s="72"/>
      <c r="F477" s="57"/>
      <c r="G477" s="114" t="s">
        <v>17558</v>
      </c>
      <c r="H477" s="49"/>
      <c r="I477" s="50"/>
      <c r="J477" s="163"/>
      <c r="K477" s="45"/>
      <c r="L477" s="46"/>
      <c r="M477" s="35"/>
      <c r="N477" s="12" t="s">
        <v>398</v>
      </c>
      <c r="O477" s="13">
        <v>0.25</v>
      </c>
      <c r="P477" s="57" t="s">
        <v>3575</v>
      </c>
      <c r="Q477" s="35"/>
      <c r="T477" s="57"/>
      <c r="U477" s="208">
        <f>ROUND((ROUND((ROUND((_15_同援日増１０．０*_15・基礎２),0)*(1+_15・盲ろう)),0)*(1+_15・区３)),0)</f>
        <v>1756</v>
      </c>
      <c r="V477" s="48"/>
    </row>
    <row r="478" spans="1:22" ht="16.5" customHeight="1" x14ac:dyDescent="0.15">
      <c r="A478" s="41">
        <v>15</v>
      </c>
      <c r="B478" s="41" t="s">
        <v>24462</v>
      </c>
      <c r="C478" s="74" t="s">
        <v>24463</v>
      </c>
      <c r="D478" s="72"/>
      <c r="F478" s="57"/>
      <c r="G478" s="269" t="s">
        <v>17560</v>
      </c>
      <c r="H478" s="37" t="s">
        <v>398</v>
      </c>
      <c r="I478" s="38">
        <v>0.9</v>
      </c>
      <c r="J478" s="299" t="s">
        <v>17556</v>
      </c>
      <c r="K478" s="45" t="s">
        <v>398</v>
      </c>
      <c r="L478" s="46">
        <v>1</v>
      </c>
      <c r="M478" s="43"/>
      <c r="N478" s="37"/>
      <c r="O478" s="38"/>
      <c r="P478" s="79"/>
      <c r="Q478" s="43"/>
      <c r="R478" s="37"/>
      <c r="S478" s="38"/>
      <c r="T478" s="79"/>
      <c r="U478" s="208">
        <f>ROUND((ROUND((ROUND((ROUND((_15_同援日増１０．０*_15・基礎２),0)*_15・２人),0)*(1+_15・盲ろう)),0)*(1+_15・区３)),0)</f>
        <v>1756</v>
      </c>
      <c r="V478" s="48"/>
    </row>
    <row r="479" spans="1:22" ht="16.5" customHeight="1" x14ac:dyDescent="0.15">
      <c r="A479" s="41">
        <v>15</v>
      </c>
      <c r="B479" s="41" t="s">
        <v>24464</v>
      </c>
      <c r="C479" s="74" t="s">
        <v>24465</v>
      </c>
      <c r="D479" s="72"/>
      <c r="F479" s="57"/>
      <c r="G479" s="53"/>
      <c r="H479" s="49"/>
      <c r="I479" s="50"/>
      <c r="J479" s="163"/>
      <c r="K479" s="45"/>
      <c r="L479" s="46"/>
      <c r="M479" s="53"/>
      <c r="N479" s="49"/>
      <c r="O479" s="50"/>
      <c r="P479" s="115"/>
      <c r="Q479" s="53"/>
      <c r="R479" s="49"/>
      <c r="S479" s="50"/>
      <c r="T479" s="115"/>
      <c r="U479" s="208">
        <f>ROUND((_15_同援日増１０．０*(1+_15・区４)),0)</f>
        <v>1820</v>
      </c>
      <c r="V479" s="48"/>
    </row>
    <row r="480" spans="1:22" ht="16.5" customHeight="1" x14ac:dyDescent="0.15">
      <c r="A480" s="41">
        <v>15</v>
      </c>
      <c r="B480" s="41" t="s">
        <v>24466</v>
      </c>
      <c r="C480" s="74" t="s">
        <v>24467</v>
      </c>
      <c r="D480" s="72"/>
      <c r="F480" s="57"/>
      <c r="G480" s="43"/>
      <c r="H480" s="37"/>
      <c r="I480" s="38"/>
      <c r="J480" s="299" t="s">
        <v>17556</v>
      </c>
      <c r="K480" s="45" t="s">
        <v>398</v>
      </c>
      <c r="L480" s="46">
        <v>1</v>
      </c>
      <c r="M480" s="35"/>
      <c r="P480" s="57"/>
      <c r="Q480" s="35"/>
      <c r="T480" s="57"/>
      <c r="U480" s="208">
        <f>ROUND((ROUND((_15_同援日増１０．０*_15・２人),0)*(1+_15・区４)),0)</f>
        <v>1820</v>
      </c>
      <c r="V480" s="48"/>
    </row>
    <row r="481" spans="1:22" ht="16.5" customHeight="1" x14ac:dyDescent="0.15">
      <c r="A481" s="41">
        <v>15</v>
      </c>
      <c r="B481" s="41" t="s">
        <v>24468</v>
      </c>
      <c r="C481" s="74" t="s">
        <v>24469</v>
      </c>
      <c r="D481" s="72"/>
      <c r="F481" s="57"/>
      <c r="G481" s="114" t="s">
        <v>17558</v>
      </c>
      <c r="H481" s="49"/>
      <c r="I481" s="50"/>
      <c r="J481" s="163"/>
      <c r="K481" s="45"/>
      <c r="L481" s="46"/>
      <c r="M481" s="35"/>
      <c r="P481" s="57"/>
      <c r="Q481" s="72" t="s">
        <v>17580</v>
      </c>
      <c r="T481" s="57"/>
      <c r="U481" s="208">
        <f>ROUND((ROUND((_15_同援日増１０．０*_15・基礎２),0)*(1+_15・区４)),0)</f>
        <v>1638</v>
      </c>
      <c r="V481" s="48"/>
    </row>
    <row r="482" spans="1:22" ht="16.5" customHeight="1" x14ac:dyDescent="0.15">
      <c r="A482" s="41">
        <v>15</v>
      </c>
      <c r="B482" s="41" t="s">
        <v>24470</v>
      </c>
      <c r="C482" s="74" t="s">
        <v>24471</v>
      </c>
      <c r="D482" s="72"/>
      <c r="F482" s="57"/>
      <c r="G482" s="269" t="s">
        <v>17560</v>
      </c>
      <c r="H482" s="37" t="s">
        <v>398</v>
      </c>
      <c r="I482" s="38">
        <v>0.9</v>
      </c>
      <c r="J482" s="299" t="s">
        <v>17556</v>
      </c>
      <c r="K482" s="45" t="s">
        <v>398</v>
      </c>
      <c r="L482" s="46">
        <v>1</v>
      </c>
      <c r="M482" s="43"/>
      <c r="N482" s="37"/>
      <c r="O482" s="38"/>
      <c r="P482" s="79"/>
      <c r="Q482" s="72" t="s">
        <v>17572</v>
      </c>
      <c r="T482" s="57"/>
      <c r="U482" s="208">
        <f>ROUND((ROUND((ROUND((_15_同援日増１０．０*_15・基礎２),0)*_15・２人),0)*(1+_15・区４)),0)</f>
        <v>1638</v>
      </c>
      <c r="V482" s="48"/>
    </row>
    <row r="483" spans="1:22" ht="16.5" customHeight="1" x14ac:dyDescent="0.15">
      <c r="A483" s="41">
        <v>15</v>
      </c>
      <c r="B483" s="41" t="s">
        <v>24472</v>
      </c>
      <c r="C483" s="74" t="s">
        <v>24473</v>
      </c>
      <c r="D483" s="72"/>
      <c r="F483" s="57"/>
      <c r="G483" s="53"/>
      <c r="H483" s="49"/>
      <c r="I483" s="50"/>
      <c r="J483" s="163"/>
      <c r="K483" s="45"/>
      <c r="L483" s="46"/>
      <c r="M483" s="114" t="s">
        <v>17562</v>
      </c>
      <c r="N483" s="49"/>
      <c r="O483" s="50"/>
      <c r="P483" s="115"/>
      <c r="Q483" s="35"/>
      <c r="R483" s="12" t="s">
        <v>398</v>
      </c>
      <c r="S483" s="13">
        <v>0.4</v>
      </c>
      <c r="T483" s="57" t="s">
        <v>3575</v>
      </c>
      <c r="U483" s="208">
        <f>ROUND((ROUND((_15_同援日増１０．０*(1+_15・盲ろう)),0)*(1+_15・区４)),0)</f>
        <v>2275</v>
      </c>
      <c r="V483" s="48"/>
    </row>
    <row r="484" spans="1:22" ht="16.5" customHeight="1" x14ac:dyDescent="0.15">
      <c r="A484" s="41">
        <v>15</v>
      </c>
      <c r="B484" s="41" t="s">
        <v>24474</v>
      </c>
      <c r="C484" s="74" t="s">
        <v>24475</v>
      </c>
      <c r="D484" s="72"/>
      <c r="F484" s="57"/>
      <c r="G484" s="43"/>
      <c r="H484" s="37"/>
      <c r="I484" s="38"/>
      <c r="J484" s="299" t="s">
        <v>17556</v>
      </c>
      <c r="K484" s="45" t="s">
        <v>398</v>
      </c>
      <c r="L484" s="46">
        <v>1</v>
      </c>
      <c r="M484" s="92" t="s">
        <v>17564</v>
      </c>
      <c r="P484" s="57"/>
      <c r="Q484" s="35"/>
      <c r="T484" s="57"/>
      <c r="U484" s="208">
        <f>ROUND((ROUND((ROUND((_15_同援日増１０．０*_15・２人),0)*(1+_15・盲ろう)),0)*(1+_15・区４)),0)</f>
        <v>2275</v>
      </c>
      <c r="V484" s="48"/>
    </row>
    <row r="485" spans="1:22" ht="16.5" customHeight="1" x14ac:dyDescent="0.15">
      <c r="A485" s="41">
        <v>15</v>
      </c>
      <c r="B485" s="41" t="s">
        <v>2044</v>
      </c>
      <c r="C485" s="74" t="s">
        <v>24476</v>
      </c>
      <c r="D485" s="72"/>
      <c r="F485" s="57"/>
      <c r="G485" s="114" t="s">
        <v>17558</v>
      </c>
      <c r="H485" s="49"/>
      <c r="I485" s="50"/>
      <c r="J485" s="163"/>
      <c r="K485" s="45"/>
      <c r="L485" s="46"/>
      <c r="M485" s="35"/>
      <c r="N485" s="12" t="s">
        <v>398</v>
      </c>
      <c r="O485" s="13">
        <v>0.25</v>
      </c>
      <c r="P485" s="57" t="s">
        <v>3575</v>
      </c>
      <c r="Q485" s="35"/>
      <c r="T485" s="57"/>
      <c r="U485" s="208">
        <f>ROUND((ROUND((ROUND((_15_同援日増１０．０*_15・基礎２),0)*(1+_15・盲ろう)),0)*(1+_15・区４)),0)</f>
        <v>2048</v>
      </c>
      <c r="V485" s="48"/>
    </row>
    <row r="486" spans="1:22" ht="16.5" customHeight="1" x14ac:dyDescent="0.15">
      <c r="A486" s="41">
        <v>15</v>
      </c>
      <c r="B486" s="41" t="s">
        <v>2046</v>
      </c>
      <c r="C486" s="74" t="s">
        <v>24477</v>
      </c>
      <c r="D486" s="122"/>
      <c r="E486" s="37"/>
      <c r="F486" s="79"/>
      <c r="G486" s="269" t="s">
        <v>17560</v>
      </c>
      <c r="H486" s="37" t="s">
        <v>398</v>
      </c>
      <c r="I486" s="38">
        <v>0.9</v>
      </c>
      <c r="J486" s="299" t="s">
        <v>17556</v>
      </c>
      <c r="K486" s="45" t="s">
        <v>398</v>
      </c>
      <c r="L486" s="46">
        <v>1</v>
      </c>
      <c r="M486" s="43"/>
      <c r="N486" s="37"/>
      <c r="O486" s="38"/>
      <c r="P486" s="79"/>
      <c r="Q486" s="43"/>
      <c r="R486" s="37"/>
      <c r="S486" s="38"/>
      <c r="T486" s="79"/>
      <c r="U486" s="208">
        <f>ROUND((ROUND((ROUND((ROUND((_15_同援日増１０．０*_15・基礎２),0)*_15・２人),0)*(1+_15・盲ろう)),0)*(1+_15・区４)),0)</f>
        <v>2048</v>
      </c>
      <c r="V486" s="48"/>
    </row>
    <row r="487" spans="1:22" ht="16.5" customHeight="1" x14ac:dyDescent="0.15">
      <c r="A487" s="41">
        <v>15</v>
      </c>
      <c r="B487" s="41" t="s">
        <v>2048</v>
      </c>
      <c r="C487" s="74" t="s">
        <v>24478</v>
      </c>
      <c r="D487" s="114" t="s">
        <v>24479</v>
      </c>
      <c r="E487" s="49"/>
      <c r="F487" s="115"/>
      <c r="G487" s="53"/>
      <c r="H487" s="49"/>
      <c r="I487" s="50"/>
      <c r="J487" s="163"/>
      <c r="K487" s="45"/>
      <c r="L487" s="46"/>
      <c r="M487" s="53"/>
      <c r="N487" s="49"/>
      <c r="O487" s="50"/>
      <c r="P487" s="115"/>
      <c r="Q487" s="53"/>
      <c r="R487" s="49"/>
      <c r="S487" s="50"/>
      <c r="T487" s="115"/>
      <c r="U487" s="208">
        <f>_15_同援日増１０．５</f>
        <v>1365</v>
      </c>
      <c r="V487" s="48"/>
    </row>
    <row r="488" spans="1:22" ht="16.5" customHeight="1" x14ac:dyDescent="0.15">
      <c r="A488" s="41">
        <v>15</v>
      </c>
      <c r="B488" s="41" t="s">
        <v>2050</v>
      </c>
      <c r="C488" s="74" t="s">
        <v>24480</v>
      </c>
      <c r="D488" s="72" t="s">
        <v>18102</v>
      </c>
      <c r="F488" s="57"/>
      <c r="G488" s="43"/>
      <c r="H488" s="37"/>
      <c r="I488" s="38"/>
      <c r="J488" s="299" t="s">
        <v>17556</v>
      </c>
      <c r="K488" s="45" t="s">
        <v>398</v>
      </c>
      <c r="L488" s="46">
        <v>1</v>
      </c>
      <c r="M488" s="35"/>
      <c r="P488" s="57"/>
      <c r="Q488" s="35"/>
      <c r="T488" s="57"/>
      <c r="U488" s="208">
        <f>ROUND((_15_同援日増１０．５*_15・２人),0)</f>
        <v>1365</v>
      </c>
      <c r="V488" s="48"/>
    </row>
    <row r="489" spans="1:22" ht="16.5" customHeight="1" x14ac:dyDescent="0.15">
      <c r="A489" s="41">
        <v>15</v>
      </c>
      <c r="B489" s="41" t="s">
        <v>24481</v>
      </c>
      <c r="C489" s="74" t="s">
        <v>24482</v>
      </c>
      <c r="D489" s="72" t="s">
        <v>18104</v>
      </c>
      <c r="F489" s="57"/>
      <c r="G489" s="114" t="s">
        <v>17558</v>
      </c>
      <c r="H489" s="49"/>
      <c r="I489" s="50"/>
      <c r="J489" s="163"/>
      <c r="K489" s="45"/>
      <c r="L489" s="46"/>
      <c r="M489" s="35"/>
      <c r="P489" s="57"/>
      <c r="Q489" s="35"/>
      <c r="T489" s="57"/>
      <c r="U489" s="208">
        <f>ROUND((_15_同援日増１０．５*_15・基礎２),0)</f>
        <v>1229</v>
      </c>
      <c r="V489" s="48"/>
    </row>
    <row r="490" spans="1:22" ht="16.5" customHeight="1" x14ac:dyDescent="0.15">
      <c r="A490" s="41">
        <v>15</v>
      </c>
      <c r="B490" s="41" t="s">
        <v>24483</v>
      </c>
      <c r="C490" s="74" t="s">
        <v>24484</v>
      </c>
      <c r="D490" s="72"/>
      <c r="E490" s="168">
        <f>_15_同援日増１０．５</f>
        <v>1365</v>
      </c>
      <c r="F490" s="57" t="s">
        <v>392</v>
      </c>
      <c r="G490" s="269" t="s">
        <v>17560</v>
      </c>
      <c r="H490" s="37" t="s">
        <v>398</v>
      </c>
      <c r="I490" s="38">
        <v>0.9</v>
      </c>
      <c r="J490" s="299" t="s">
        <v>17556</v>
      </c>
      <c r="K490" s="45" t="s">
        <v>398</v>
      </c>
      <c r="L490" s="46">
        <v>1</v>
      </c>
      <c r="M490" s="43"/>
      <c r="N490" s="37"/>
      <c r="O490" s="38"/>
      <c r="P490" s="79"/>
      <c r="Q490" s="35"/>
      <c r="T490" s="57"/>
      <c r="U490" s="208">
        <f>ROUND((ROUND((_15_同援日増１０．５*_15・基礎２),0)*_15・２人),0)</f>
        <v>1229</v>
      </c>
      <c r="V490" s="48"/>
    </row>
    <row r="491" spans="1:22" ht="16.5" customHeight="1" x14ac:dyDescent="0.15">
      <c r="A491" s="41">
        <v>15</v>
      </c>
      <c r="B491" s="41" t="s">
        <v>24485</v>
      </c>
      <c r="C491" s="74" t="s">
        <v>24486</v>
      </c>
      <c r="D491" s="72"/>
      <c r="F491" s="57"/>
      <c r="G491" s="53"/>
      <c r="H491" s="49"/>
      <c r="I491" s="50"/>
      <c r="J491" s="163"/>
      <c r="K491" s="45"/>
      <c r="L491" s="46"/>
      <c r="M491" s="114" t="s">
        <v>17562</v>
      </c>
      <c r="N491" s="49"/>
      <c r="O491" s="50"/>
      <c r="P491" s="115"/>
      <c r="Q491" s="35"/>
      <c r="T491" s="57"/>
      <c r="U491" s="208">
        <f>ROUND((_15_同援日増１０．５*(1+_15・盲ろう)),0)</f>
        <v>1706</v>
      </c>
      <c r="V491" s="48"/>
    </row>
    <row r="492" spans="1:22" ht="16.5" customHeight="1" x14ac:dyDescent="0.15">
      <c r="A492" s="41">
        <v>15</v>
      </c>
      <c r="B492" s="41" t="s">
        <v>24487</v>
      </c>
      <c r="C492" s="74" t="s">
        <v>24488</v>
      </c>
      <c r="D492" s="72"/>
      <c r="F492" s="57"/>
      <c r="G492" s="43"/>
      <c r="H492" s="37"/>
      <c r="I492" s="38"/>
      <c r="J492" s="299" t="s">
        <v>17556</v>
      </c>
      <c r="K492" s="45" t="s">
        <v>398</v>
      </c>
      <c r="L492" s="46">
        <v>1</v>
      </c>
      <c r="M492" s="92" t="s">
        <v>17564</v>
      </c>
      <c r="P492" s="57"/>
      <c r="Q492" s="35"/>
      <c r="T492" s="57"/>
      <c r="U492" s="208">
        <f>ROUND((ROUND((_15_同援日増１０．５*_15・２人),0)*(1+_15・盲ろう)),0)</f>
        <v>1706</v>
      </c>
      <c r="V492" s="48"/>
    </row>
    <row r="493" spans="1:22" ht="16.5" customHeight="1" x14ac:dyDescent="0.15">
      <c r="A493" s="41">
        <v>15</v>
      </c>
      <c r="B493" s="41" t="s">
        <v>24489</v>
      </c>
      <c r="C493" s="74" t="s">
        <v>24490</v>
      </c>
      <c r="D493" s="72"/>
      <c r="F493" s="57"/>
      <c r="G493" s="114" t="s">
        <v>17558</v>
      </c>
      <c r="H493" s="49"/>
      <c r="I493" s="50"/>
      <c r="J493" s="163"/>
      <c r="K493" s="45"/>
      <c r="L493" s="46"/>
      <c r="M493" s="35"/>
      <c r="N493" s="12" t="s">
        <v>398</v>
      </c>
      <c r="O493" s="13">
        <v>0.25</v>
      </c>
      <c r="P493" s="57" t="s">
        <v>3575</v>
      </c>
      <c r="Q493" s="35"/>
      <c r="T493" s="57"/>
      <c r="U493" s="208">
        <f>ROUND((ROUND((_15_同援日増１０．５*_15・基礎２),0)*(1+_15・盲ろう)),0)</f>
        <v>1536</v>
      </c>
      <c r="V493" s="48"/>
    </row>
    <row r="494" spans="1:22" ht="16.5" customHeight="1" x14ac:dyDescent="0.15">
      <c r="A494" s="41">
        <v>15</v>
      </c>
      <c r="B494" s="41" t="s">
        <v>24491</v>
      </c>
      <c r="C494" s="74" t="s">
        <v>24492</v>
      </c>
      <c r="D494" s="72"/>
      <c r="F494" s="57"/>
      <c r="G494" s="269" t="s">
        <v>17560</v>
      </c>
      <c r="H494" s="37" t="s">
        <v>398</v>
      </c>
      <c r="I494" s="38">
        <v>0.9</v>
      </c>
      <c r="J494" s="299" t="s">
        <v>17556</v>
      </c>
      <c r="K494" s="45" t="s">
        <v>398</v>
      </c>
      <c r="L494" s="46">
        <v>1</v>
      </c>
      <c r="M494" s="43"/>
      <c r="N494" s="37"/>
      <c r="O494" s="38"/>
      <c r="P494" s="79"/>
      <c r="Q494" s="43"/>
      <c r="R494" s="37"/>
      <c r="S494" s="38"/>
      <c r="T494" s="79"/>
      <c r="U494" s="208">
        <f>ROUND((ROUND((ROUND((_15_同援日増１０．５*_15・基礎２),0)*_15・２人),0)*(1+_15・盲ろう)),0)</f>
        <v>1536</v>
      </c>
      <c r="V494" s="48"/>
    </row>
    <row r="495" spans="1:22" ht="16.5" customHeight="1" x14ac:dyDescent="0.15">
      <c r="A495" s="41">
        <v>15</v>
      </c>
      <c r="B495" s="41" t="s">
        <v>24493</v>
      </c>
      <c r="C495" s="74" t="s">
        <v>24494</v>
      </c>
      <c r="D495" s="72"/>
      <c r="F495" s="57"/>
      <c r="G495" s="53"/>
      <c r="H495" s="49"/>
      <c r="I495" s="50"/>
      <c r="J495" s="163"/>
      <c r="K495" s="45"/>
      <c r="L495" s="46"/>
      <c r="M495" s="53"/>
      <c r="N495" s="49"/>
      <c r="O495" s="50"/>
      <c r="P495" s="115"/>
      <c r="Q495" s="53"/>
      <c r="R495" s="49"/>
      <c r="S495" s="50"/>
      <c r="T495" s="115"/>
      <c r="U495" s="208">
        <f>ROUND((_15_同援日増１０．５*(1+_15・区３)),0)</f>
        <v>1638</v>
      </c>
      <c r="V495" s="48"/>
    </row>
    <row r="496" spans="1:22" ht="16.5" customHeight="1" x14ac:dyDescent="0.15">
      <c r="A496" s="41">
        <v>15</v>
      </c>
      <c r="B496" s="41" t="s">
        <v>24495</v>
      </c>
      <c r="C496" s="74" t="s">
        <v>24496</v>
      </c>
      <c r="D496" s="72"/>
      <c r="F496" s="57"/>
      <c r="G496" s="43"/>
      <c r="H496" s="37"/>
      <c r="I496" s="38"/>
      <c r="J496" s="299" t="s">
        <v>17556</v>
      </c>
      <c r="K496" s="45" t="s">
        <v>398</v>
      </c>
      <c r="L496" s="46">
        <v>1</v>
      </c>
      <c r="M496" s="35"/>
      <c r="P496" s="57"/>
      <c r="Q496" s="35"/>
      <c r="T496" s="57"/>
      <c r="U496" s="208">
        <f>ROUND((ROUND((_15_同援日増１０．５*_15・２人),0)*(1+_15・区３)),0)</f>
        <v>1638</v>
      </c>
      <c r="V496" s="48"/>
    </row>
    <row r="497" spans="1:22" ht="16.5" customHeight="1" x14ac:dyDescent="0.15">
      <c r="A497" s="41">
        <v>15</v>
      </c>
      <c r="B497" s="41" t="s">
        <v>24497</v>
      </c>
      <c r="C497" s="74" t="s">
        <v>24498</v>
      </c>
      <c r="D497" s="72"/>
      <c r="F497" s="57"/>
      <c r="G497" s="114" t="s">
        <v>17558</v>
      </c>
      <c r="H497" s="49"/>
      <c r="I497" s="50"/>
      <c r="J497" s="163"/>
      <c r="K497" s="45"/>
      <c r="L497" s="46"/>
      <c r="M497" s="35"/>
      <c r="P497" s="57"/>
      <c r="Q497" s="72" t="s">
        <v>17570</v>
      </c>
      <c r="T497" s="57"/>
      <c r="U497" s="208">
        <f>ROUND((ROUND((_15_同援日増１０．５*_15・基礎２),0)*(1+_15・区３)),0)</f>
        <v>1475</v>
      </c>
      <c r="V497" s="48"/>
    </row>
    <row r="498" spans="1:22" ht="16.5" customHeight="1" x14ac:dyDescent="0.15">
      <c r="A498" s="41">
        <v>15</v>
      </c>
      <c r="B498" s="41" t="s">
        <v>24499</v>
      </c>
      <c r="C498" s="74" t="s">
        <v>24500</v>
      </c>
      <c r="D498" s="72"/>
      <c r="F498" s="57"/>
      <c r="G498" s="269" t="s">
        <v>17560</v>
      </c>
      <c r="H498" s="37" t="s">
        <v>398</v>
      </c>
      <c r="I498" s="38">
        <v>0.9</v>
      </c>
      <c r="J498" s="299" t="s">
        <v>17556</v>
      </c>
      <c r="K498" s="45" t="s">
        <v>398</v>
      </c>
      <c r="L498" s="46">
        <v>1</v>
      </c>
      <c r="M498" s="43"/>
      <c r="N498" s="37"/>
      <c r="O498" s="38"/>
      <c r="P498" s="79"/>
      <c r="Q498" s="72" t="s">
        <v>17572</v>
      </c>
      <c r="T498" s="57"/>
      <c r="U498" s="208">
        <f>ROUND((ROUND((ROUND((_15_同援日増１０．５*_15・基礎２),0)*_15・２人),0)*(1+_15・区３)),0)</f>
        <v>1475</v>
      </c>
      <c r="V498" s="48"/>
    </row>
    <row r="499" spans="1:22" ht="16.5" customHeight="1" x14ac:dyDescent="0.15">
      <c r="A499" s="41">
        <v>15</v>
      </c>
      <c r="B499" s="41" t="s">
        <v>24501</v>
      </c>
      <c r="C499" s="74" t="s">
        <v>24502</v>
      </c>
      <c r="D499" s="72"/>
      <c r="F499" s="57"/>
      <c r="G499" s="53"/>
      <c r="H499" s="49"/>
      <c r="I499" s="50"/>
      <c r="J499" s="163"/>
      <c r="K499" s="45"/>
      <c r="L499" s="46"/>
      <c r="M499" s="114" t="s">
        <v>17562</v>
      </c>
      <c r="N499" s="49"/>
      <c r="O499" s="50"/>
      <c r="P499" s="115"/>
      <c r="Q499" s="35"/>
      <c r="R499" s="12" t="s">
        <v>398</v>
      </c>
      <c r="S499" s="13">
        <v>0.2</v>
      </c>
      <c r="T499" s="57" t="s">
        <v>3575</v>
      </c>
      <c r="U499" s="208">
        <f>ROUND((ROUND((_15_同援日増１０．５*(1+_15・盲ろう)),0)*(1+_15・区３)),0)</f>
        <v>2047</v>
      </c>
      <c r="V499" s="48"/>
    </row>
    <row r="500" spans="1:22" ht="16.5" customHeight="1" x14ac:dyDescent="0.15">
      <c r="A500" s="41">
        <v>15</v>
      </c>
      <c r="B500" s="41" t="s">
        <v>24503</v>
      </c>
      <c r="C500" s="74" t="s">
        <v>24504</v>
      </c>
      <c r="D500" s="72"/>
      <c r="F500" s="57"/>
      <c r="G500" s="43"/>
      <c r="H500" s="37"/>
      <c r="I500" s="38"/>
      <c r="J500" s="299" t="s">
        <v>17556</v>
      </c>
      <c r="K500" s="45" t="s">
        <v>398</v>
      </c>
      <c r="L500" s="46">
        <v>1</v>
      </c>
      <c r="M500" s="92" t="s">
        <v>17564</v>
      </c>
      <c r="P500" s="57"/>
      <c r="Q500" s="35"/>
      <c r="T500" s="57"/>
      <c r="U500" s="208">
        <f>ROUND((ROUND((ROUND((_15_同援日増１０．５*_15・２人),0)*(1+_15・盲ろう)),0)*(1+_15・区３)),0)</f>
        <v>2047</v>
      </c>
      <c r="V500" s="48"/>
    </row>
    <row r="501" spans="1:22" ht="16.5" customHeight="1" x14ac:dyDescent="0.15">
      <c r="A501" s="41">
        <v>15</v>
      </c>
      <c r="B501" s="41" t="s">
        <v>24505</v>
      </c>
      <c r="C501" s="74" t="s">
        <v>24506</v>
      </c>
      <c r="D501" s="72"/>
      <c r="F501" s="57"/>
      <c r="G501" s="114" t="s">
        <v>17558</v>
      </c>
      <c r="H501" s="49"/>
      <c r="I501" s="50"/>
      <c r="J501" s="163"/>
      <c r="K501" s="45"/>
      <c r="L501" s="46"/>
      <c r="M501" s="35"/>
      <c r="N501" s="12" t="s">
        <v>398</v>
      </c>
      <c r="O501" s="13">
        <v>0.25</v>
      </c>
      <c r="P501" s="57" t="s">
        <v>3575</v>
      </c>
      <c r="Q501" s="35"/>
      <c r="T501" s="57"/>
      <c r="U501" s="208">
        <f>ROUND((ROUND((ROUND((_15_同援日増１０．５*_15・基礎２),0)*(1+_15・盲ろう)),0)*(1+_15・区３)),0)</f>
        <v>1843</v>
      </c>
      <c r="V501" s="48"/>
    </row>
    <row r="502" spans="1:22" ht="16.5" customHeight="1" x14ac:dyDescent="0.15">
      <c r="A502" s="41">
        <v>15</v>
      </c>
      <c r="B502" s="41" t="s">
        <v>24507</v>
      </c>
      <c r="C502" s="74" t="s">
        <v>24508</v>
      </c>
      <c r="D502" s="72"/>
      <c r="F502" s="57"/>
      <c r="G502" s="269" t="s">
        <v>17560</v>
      </c>
      <c r="H502" s="37" t="s">
        <v>398</v>
      </c>
      <c r="I502" s="38">
        <v>0.9</v>
      </c>
      <c r="J502" s="299" t="s">
        <v>17556</v>
      </c>
      <c r="K502" s="45" t="s">
        <v>398</v>
      </c>
      <c r="L502" s="46">
        <v>1</v>
      </c>
      <c r="M502" s="43"/>
      <c r="N502" s="37"/>
      <c r="O502" s="38"/>
      <c r="P502" s="79"/>
      <c r="Q502" s="43"/>
      <c r="R502" s="37"/>
      <c r="S502" s="38"/>
      <c r="T502" s="79"/>
      <c r="U502" s="208">
        <f>ROUND((ROUND((ROUND((ROUND((_15_同援日増１０．５*_15・基礎２),0)*_15・２人),0)*(1+_15・盲ろう)),0)*(1+_15・区３)),0)</f>
        <v>1843</v>
      </c>
      <c r="V502" s="48"/>
    </row>
    <row r="503" spans="1:22" ht="16.5" customHeight="1" x14ac:dyDescent="0.15">
      <c r="A503" s="41">
        <v>15</v>
      </c>
      <c r="B503" s="41" t="s">
        <v>24509</v>
      </c>
      <c r="C503" s="74" t="s">
        <v>24510</v>
      </c>
      <c r="D503" s="72"/>
      <c r="F503" s="57"/>
      <c r="G503" s="53"/>
      <c r="H503" s="49"/>
      <c r="I503" s="50"/>
      <c r="J503" s="163"/>
      <c r="K503" s="45"/>
      <c r="L503" s="46"/>
      <c r="M503" s="53"/>
      <c r="N503" s="49"/>
      <c r="O503" s="50"/>
      <c r="P503" s="115"/>
      <c r="Q503" s="53"/>
      <c r="R503" s="49"/>
      <c r="S503" s="50"/>
      <c r="T503" s="115"/>
      <c r="U503" s="208">
        <f>ROUND((_15_同援日増１０．５*(1+_15・区４)),0)</f>
        <v>1911</v>
      </c>
      <c r="V503" s="48"/>
    </row>
    <row r="504" spans="1:22" ht="16.5" customHeight="1" x14ac:dyDescent="0.15">
      <c r="A504" s="41">
        <v>15</v>
      </c>
      <c r="B504" s="41" t="s">
        <v>24511</v>
      </c>
      <c r="C504" s="74" t="s">
        <v>24512</v>
      </c>
      <c r="D504" s="72"/>
      <c r="F504" s="57"/>
      <c r="G504" s="43"/>
      <c r="H504" s="37"/>
      <c r="I504" s="38"/>
      <c r="J504" s="299" t="s">
        <v>17556</v>
      </c>
      <c r="K504" s="45" t="s">
        <v>398</v>
      </c>
      <c r="L504" s="46">
        <v>1</v>
      </c>
      <c r="M504" s="35"/>
      <c r="P504" s="57"/>
      <c r="Q504" s="35"/>
      <c r="T504" s="57"/>
      <c r="U504" s="208">
        <f>ROUND((ROUND((_15_同援日増１０．５*_15・２人),0)*(1+_15・区４)),0)</f>
        <v>1911</v>
      </c>
      <c r="V504" s="48"/>
    </row>
    <row r="505" spans="1:22" ht="16.5" customHeight="1" x14ac:dyDescent="0.15">
      <c r="A505" s="41">
        <v>15</v>
      </c>
      <c r="B505" s="41" t="s">
        <v>2056</v>
      </c>
      <c r="C505" s="74" t="s">
        <v>24513</v>
      </c>
      <c r="D505" s="72"/>
      <c r="F505" s="57"/>
      <c r="G505" s="114" t="s">
        <v>17558</v>
      </c>
      <c r="H505" s="49"/>
      <c r="I505" s="50"/>
      <c r="J505" s="163"/>
      <c r="K505" s="45"/>
      <c r="L505" s="46"/>
      <c r="M505" s="35"/>
      <c r="P505" s="57"/>
      <c r="Q505" s="72" t="s">
        <v>17580</v>
      </c>
      <c r="T505" s="57"/>
      <c r="U505" s="208">
        <f>ROUND((ROUND((_15_同援日増１０．５*_15・基礎２),0)*(1+_15・区４)),0)</f>
        <v>1721</v>
      </c>
      <c r="V505" s="48"/>
    </row>
    <row r="506" spans="1:22" ht="16.5" customHeight="1" x14ac:dyDescent="0.15">
      <c r="A506" s="41">
        <v>15</v>
      </c>
      <c r="B506" s="41" t="s">
        <v>2058</v>
      </c>
      <c r="C506" s="74" t="s">
        <v>24514</v>
      </c>
      <c r="D506" s="72"/>
      <c r="F506" s="57"/>
      <c r="G506" s="269" t="s">
        <v>17560</v>
      </c>
      <c r="H506" s="37" t="s">
        <v>398</v>
      </c>
      <c r="I506" s="38">
        <v>0.9</v>
      </c>
      <c r="J506" s="299" t="s">
        <v>17556</v>
      </c>
      <c r="K506" s="45" t="s">
        <v>398</v>
      </c>
      <c r="L506" s="46">
        <v>1</v>
      </c>
      <c r="M506" s="43"/>
      <c r="N506" s="37"/>
      <c r="O506" s="38"/>
      <c r="P506" s="79"/>
      <c r="Q506" s="72" t="s">
        <v>17572</v>
      </c>
      <c r="T506" s="57"/>
      <c r="U506" s="208">
        <f>ROUND((ROUND((ROUND((_15_同援日増１０．５*_15・基礎２),0)*_15・２人),0)*(1+_15・区４)),0)</f>
        <v>1721</v>
      </c>
      <c r="V506" s="48"/>
    </row>
    <row r="507" spans="1:22" ht="16.5" customHeight="1" x14ac:dyDescent="0.15">
      <c r="A507" s="41">
        <v>15</v>
      </c>
      <c r="B507" s="41" t="s">
        <v>2060</v>
      </c>
      <c r="C507" s="74" t="s">
        <v>24515</v>
      </c>
      <c r="D507" s="72"/>
      <c r="F507" s="57"/>
      <c r="G507" s="53"/>
      <c r="H507" s="49"/>
      <c r="I507" s="50"/>
      <c r="J507" s="163"/>
      <c r="K507" s="45"/>
      <c r="L507" s="46"/>
      <c r="M507" s="114" t="s">
        <v>17562</v>
      </c>
      <c r="N507" s="49"/>
      <c r="O507" s="50"/>
      <c r="P507" s="115"/>
      <c r="Q507" s="35"/>
      <c r="R507" s="12" t="s">
        <v>398</v>
      </c>
      <c r="S507" s="13">
        <v>0.4</v>
      </c>
      <c r="T507" s="57" t="s">
        <v>3575</v>
      </c>
      <c r="U507" s="208">
        <f>ROUND((ROUND((_15_同援日増１０．５*(1+_15・盲ろう)),0)*(1+_15・区４)),0)</f>
        <v>2388</v>
      </c>
      <c r="V507" s="48"/>
    </row>
    <row r="508" spans="1:22" ht="16.5" customHeight="1" x14ac:dyDescent="0.15">
      <c r="A508" s="41">
        <v>15</v>
      </c>
      <c r="B508" s="41" t="s">
        <v>2062</v>
      </c>
      <c r="C508" s="74" t="s">
        <v>24516</v>
      </c>
      <c r="D508" s="72"/>
      <c r="F508" s="57"/>
      <c r="G508" s="43"/>
      <c r="H508" s="37"/>
      <c r="I508" s="38"/>
      <c r="J508" s="299" t="s">
        <v>17556</v>
      </c>
      <c r="K508" s="45" t="s">
        <v>398</v>
      </c>
      <c r="L508" s="46">
        <v>1</v>
      </c>
      <c r="M508" s="92" t="s">
        <v>17564</v>
      </c>
      <c r="P508" s="57"/>
      <c r="Q508" s="35"/>
      <c r="T508" s="57"/>
      <c r="U508" s="208">
        <f>ROUND((ROUND((ROUND((_15_同援日増１０．５*_15・２人),0)*(1+_15・盲ろう)),0)*(1+_15・区４)),0)</f>
        <v>2388</v>
      </c>
      <c r="V508" s="48"/>
    </row>
    <row r="509" spans="1:22" ht="16.5" customHeight="1" x14ac:dyDescent="0.15">
      <c r="A509" s="41">
        <v>15</v>
      </c>
      <c r="B509" s="41" t="s">
        <v>24517</v>
      </c>
      <c r="C509" s="74" t="s">
        <v>24518</v>
      </c>
      <c r="D509" s="72"/>
      <c r="F509" s="57"/>
      <c r="G509" s="114" t="s">
        <v>17558</v>
      </c>
      <c r="H509" s="49"/>
      <c r="I509" s="50"/>
      <c r="J509" s="163"/>
      <c r="K509" s="45"/>
      <c r="L509" s="46"/>
      <c r="M509" s="35"/>
      <c r="N509" s="12" t="s">
        <v>398</v>
      </c>
      <c r="O509" s="13">
        <v>0.25</v>
      </c>
      <c r="P509" s="57" t="s">
        <v>3575</v>
      </c>
      <c r="Q509" s="35"/>
      <c r="T509" s="57"/>
      <c r="U509" s="208">
        <f>ROUND((ROUND((ROUND((_15_同援日増１０．５*_15・基礎２),0)*(1+_15・盲ろう)),0)*(1+_15・区４)),0)</f>
        <v>2150</v>
      </c>
      <c r="V509" s="48"/>
    </row>
    <row r="510" spans="1:22" ht="16.5" customHeight="1" x14ac:dyDescent="0.15">
      <c r="A510" s="41">
        <v>15</v>
      </c>
      <c r="B510" s="41" t="s">
        <v>24519</v>
      </c>
      <c r="C510" s="74" t="s">
        <v>24520</v>
      </c>
      <c r="D510" s="122"/>
      <c r="E510" s="37"/>
      <c r="F510" s="79"/>
      <c r="G510" s="269" t="s">
        <v>17560</v>
      </c>
      <c r="H510" s="37" t="s">
        <v>398</v>
      </c>
      <c r="I510" s="38">
        <v>0.9</v>
      </c>
      <c r="J510" s="299" t="s">
        <v>17556</v>
      </c>
      <c r="K510" s="45" t="s">
        <v>398</v>
      </c>
      <c r="L510" s="46">
        <v>1</v>
      </c>
      <c r="M510" s="43"/>
      <c r="N510" s="37"/>
      <c r="O510" s="38"/>
      <c r="P510" s="79"/>
      <c r="Q510" s="43"/>
      <c r="R510" s="37"/>
      <c r="S510" s="38"/>
      <c r="T510" s="79"/>
      <c r="U510" s="208">
        <f>ROUND((ROUND((ROUND((ROUND((_15_同援日増１０．５*_15・基礎２),0)*_15・２人),0)*(1+_15・盲ろう)),0)*(1+_15・区４)),0)</f>
        <v>2150</v>
      </c>
      <c r="V510" s="63"/>
    </row>
    <row r="511" spans="1:22" ht="16.5" customHeight="1" x14ac:dyDescent="0.15"/>
    <row r="512" spans="1:22"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50" fitToHeight="0" orientation="portrait" r:id="rId1"/>
  <headerFooter>
    <oddHeader>&amp;R&amp;"ＭＳ Ｐゴシック"&amp;9同行援護</oddHeader>
    <oddFooter>&amp;C&amp;"ＭＳ Ｐゴシック"&amp;14&amp;P</oddFooter>
  </headerFooter>
  <rowBreaks count="6" manualBreakCount="6">
    <brk id="78" max="21" man="1"/>
    <brk id="150" max="21" man="1"/>
    <brk id="222" max="21" man="1"/>
    <brk id="294" max="21" man="1"/>
    <brk id="390" max="21" man="1"/>
    <brk id="462" max="21"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3">
    <pageSetUpPr fitToPage="1"/>
  </sheetPr>
  <dimension ref="A1:X349"/>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12.875" style="10" customWidth="1"/>
    <col min="5" max="5" width="4.125" style="12" bestFit="1" customWidth="1"/>
    <col min="6" max="6" width="4.875" style="12" bestFit="1" customWidth="1"/>
    <col min="7" max="7" width="14.5" style="12" customWidth="1"/>
    <col min="8" max="8" width="3.125" style="12" bestFit="1" customWidth="1"/>
    <col min="9" max="9" width="4.125" style="13" bestFit="1" customWidth="1"/>
    <col min="10" max="10" width="26.5" style="12" bestFit="1" customWidth="1"/>
    <col min="11" max="11" width="3.125" style="12" bestFit="1" customWidth="1"/>
    <col min="12" max="12" width="5" style="13" bestFit="1" customWidth="1"/>
    <col min="13" max="13" width="4.125" style="13" bestFit="1" customWidth="1"/>
    <col min="14" max="14" width="4.875" style="12" bestFit="1" customWidth="1"/>
    <col min="15" max="15" width="10.5" style="12" customWidth="1"/>
    <col min="16" max="16" width="3.125" style="12" bestFit="1" customWidth="1"/>
    <col min="17" max="17" width="4.125" style="13" bestFit="1" customWidth="1"/>
    <col min="18" max="18" width="4.875" style="12" bestFit="1" customWidth="1"/>
    <col min="19" max="19" width="8.5" style="12" customWidth="1"/>
    <col min="20" max="20" width="3.125" style="12" bestFit="1" customWidth="1"/>
    <col min="21" max="21" width="4.125" style="13" bestFit="1" customWidth="1"/>
    <col min="22" max="22" width="4.875" style="12" bestFit="1" customWidth="1"/>
    <col min="23" max="23" width="7.125" style="206" customWidth="1"/>
    <col min="24" max="24" width="8.5" style="16" customWidth="1"/>
    <col min="25" max="16384" width="9" style="12"/>
  </cols>
  <sheetData>
    <row r="1" spans="1:24" ht="17.100000000000001" customHeight="1" x14ac:dyDescent="0.15"/>
    <row r="2" spans="1:24" ht="17.100000000000001" customHeight="1" x14ac:dyDescent="0.15"/>
    <row r="3" spans="1:24" ht="17.100000000000001" customHeight="1" x14ac:dyDescent="0.15"/>
    <row r="4" spans="1:24" ht="17.100000000000001" customHeight="1" x14ac:dyDescent="0.15">
      <c r="B4" s="17" t="s">
        <v>24521</v>
      </c>
      <c r="D4" s="71"/>
    </row>
    <row r="5" spans="1:24" ht="16.5" customHeight="1" x14ac:dyDescent="0.15">
      <c r="A5" s="19" t="s">
        <v>384</v>
      </c>
      <c r="B5" s="20"/>
      <c r="C5" s="21" t="s">
        <v>385</v>
      </c>
      <c r="D5" s="23" t="s">
        <v>386</v>
      </c>
      <c r="E5" s="23"/>
      <c r="F5" s="23"/>
      <c r="G5" s="23"/>
      <c r="H5" s="23"/>
      <c r="I5" s="24"/>
      <c r="J5" s="23"/>
      <c r="K5" s="23"/>
      <c r="L5" s="24"/>
      <c r="M5" s="24"/>
      <c r="N5" s="23"/>
      <c r="O5" s="23"/>
      <c r="P5" s="23"/>
      <c r="Q5" s="24"/>
      <c r="R5" s="23"/>
      <c r="S5" s="23"/>
      <c r="T5" s="23"/>
      <c r="U5" s="24"/>
      <c r="V5" s="23"/>
      <c r="W5" s="21" t="s">
        <v>387</v>
      </c>
      <c r="X5" s="21" t="s">
        <v>388</v>
      </c>
    </row>
    <row r="6" spans="1:24" ht="16.5" customHeight="1" x14ac:dyDescent="0.15">
      <c r="A6" s="26" t="s">
        <v>389</v>
      </c>
      <c r="B6" s="26" t="s">
        <v>390</v>
      </c>
      <c r="C6" s="27"/>
      <c r="D6" s="29"/>
      <c r="E6" s="29"/>
      <c r="F6" s="29"/>
      <c r="G6" s="29"/>
      <c r="H6" s="29"/>
      <c r="I6" s="30"/>
      <c r="J6" s="29"/>
      <c r="K6" s="29"/>
      <c r="L6" s="30"/>
      <c r="M6" s="30"/>
      <c r="N6" s="29"/>
      <c r="O6" s="29"/>
      <c r="P6" s="29"/>
      <c r="Q6" s="30"/>
      <c r="R6" s="29"/>
      <c r="S6" s="29"/>
      <c r="T6" s="29"/>
      <c r="U6" s="30"/>
      <c r="V6" s="29"/>
      <c r="W6" s="32" t="s">
        <v>391</v>
      </c>
      <c r="X6" s="32" t="s">
        <v>392</v>
      </c>
    </row>
    <row r="7" spans="1:24" ht="16.5" customHeight="1" x14ac:dyDescent="0.15">
      <c r="A7" s="33">
        <v>15</v>
      </c>
      <c r="B7" s="33" t="s">
        <v>24522</v>
      </c>
      <c r="C7" s="34" t="s">
        <v>24523</v>
      </c>
      <c r="D7" s="72" t="s">
        <v>24524</v>
      </c>
      <c r="F7" s="57"/>
      <c r="G7" s="35"/>
      <c r="J7" s="43"/>
      <c r="K7" s="37"/>
      <c r="L7" s="38"/>
      <c r="M7" s="512"/>
      <c r="N7" s="57"/>
      <c r="O7" s="35"/>
      <c r="R7" s="57"/>
      <c r="S7" s="35"/>
      <c r="V7" s="57"/>
      <c r="W7" s="207">
        <f>ROUND((_15_同援日増０．５*(1+_15・A早朝)),0)</f>
        <v>81</v>
      </c>
      <c r="X7" s="40" t="s">
        <v>395</v>
      </c>
    </row>
    <row r="8" spans="1:24" ht="16.5" customHeight="1" x14ac:dyDescent="0.15">
      <c r="A8" s="41">
        <v>15</v>
      </c>
      <c r="B8" s="41" t="s">
        <v>24525</v>
      </c>
      <c r="C8" s="74" t="s">
        <v>24526</v>
      </c>
      <c r="D8" s="72" t="s">
        <v>18259</v>
      </c>
      <c r="F8" s="57"/>
      <c r="G8" s="43"/>
      <c r="H8" s="37"/>
      <c r="I8" s="38"/>
      <c r="J8" s="299" t="s">
        <v>17556</v>
      </c>
      <c r="K8" s="45" t="s">
        <v>398</v>
      </c>
      <c r="L8" s="46">
        <v>1</v>
      </c>
      <c r="M8" s="512"/>
      <c r="N8" s="57"/>
      <c r="O8" s="35"/>
      <c r="R8" s="57"/>
      <c r="S8" s="35"/>
      <c r="V8" s="57"/>
      <c r="W8" s="208">
        <f>ROUND((ROUND((_15_同援日増０．５*_15・２人),0)*(1+_15・A早朝)),0)</f>
        <v>81</v>
      </c>
      <c r="X8" s="48"/>
    </row>
    <row r="9" spans="1:24" ht="16.5" customHeight="1" x14ac:dyDescent="0.15">
      <c r="A9" s="41">
        <v>15</v>
      </c>
      <c r="B9" s="41" t="s">
        <v>24527</v>
      </c>
      <c r="C9" s="74" t="s">
        <v>24528</v>
      </c>
      <c r="D9" s="72"/>
      <c r="F9" s="57"/>
      <c r="G9" s="114" t="s">
        <v>17558</v>
      </c>
      <c r="H9" s="49"/>
      <c r="I9" s="50"/>
      <c r="J9" s="163"/>
      <c r="K9" s="45"/>
      <c r="L9" s="46"/>
      <c r="M9" s="512"/>
      <c r="N9" s="57"/>
      <c r="O9" s="35"/>
      <c r="R9" s="57"/>
      <c r="S9" s="35"/>
      <c r="V9" s="57"/>
      <c r="W9" s="208">
        <f>ROUND((ROUND((_15_同援日増０．５*_15・基礎２),0)*(1+_15・A早朝)),0)</f>
        <v>74</v>
      </c>
      <c r="X9" s="48"/>
    </row>
    <row r="10" spans="1:24" ht="16.5" customHeight="1" x14ac:dyDescent="0.15">
      <c r="A10" s="41">
        <v>15</v>
      </c>
      <c r="B10" s="41" t="s">
        <v>24529</v>
      </c>
      <c r="C10" s="74" t="s">
        <v>24530</v>
      </c>
      <c r="D10" s="72"/>
      <c r="E10" s="168">
        <f>_15_同援日増０．５</f>
        <v>65</v>
      </c>
      <c r="F10" s="57" t="s">
        <v>392</v>
      </c>
      <c r="G10" s="269" t="s">
        <v>17560</v>
      </c>
      <c r="H10" s="37" t="s">
        <v>398</v>
      </c>
      <c r="I10" s="38">
        <v>0.9</v>
      </c>
      <c r="J10" s="299" t="s">
        <v>17556</v>
      </c>
      <c r="K10" s="45" t="s">
        <v>398</v>
      </c>
      <c r="L10" s="46">
        <v>1</v>
      </c>
      <c r="M10" s="512"/>
      <c r="N10" s="57"/>
      <c r="O10" s="43"/>
      <c r="P10" s="37"/>
      <c r="Q10" s="38"/>
      <c r="R10" s="79"/>
      <c r="S10" s="35"/>
      <c r="V10" s="57"/>
      <c r="W10" s="208">
        <f>ROUND((ROUND((ROUND((_15_同援日増０．５*_15・基礎２),0)*_15・２人),0)*(1+_15・A早朝)),0)</f>
        <v>74</v>
      </c>
      <c r="X10" s="48"/>
    </row>
    <row r="11" spans="1:24" ht="16.5" customHeight="1" x14ac:dyDescent="0.15">
      <c r="A11" s="41">
        <v>15</v>
      </c>
      <c r="B11" s="41" t="s">
        <v>24531</v>
      </c>
      <c r="C11" s="74" t="s">
        <v>24532</v>
      </c>
      <c r="D11" s="72"/>
      <c r="F11" s="57"/>
      <c r="G11" s="53"/>
      <c r="H11" s="49"/>
      <c r="I11" s="50"/>
      <c r="J11" s="163"/>
      <c r="K11" s="45"/>
      <c r="L11" s="46"/>
      <c r="M11" s="512"/>
      <c r="N11" s="57"/>
      <c r="O11" s="114" t="s">
        <v>17562</v>
      </c>
      <c r="P11" s="49"/>
      <c r="Q11" s="50"/>
      <c r="R11" s="115"/>
      <c r="S11" s="35"/>
      <c r="V11" s="57"/>
      <c r="W11" s="208">
        <f>ROUND((ROUND((_15_同援日増０．５*(1+_15・A早朝)),0)*(1+_15・盲ろう)),0)</f>
        <v>101</v>
      </c>
      <c r="X11" s="48"/>
    </row>
    <row r="12" spans="1:24" ht="16.5" customHeight="1" x14ac:dyDescent="0.15">
      <c r="A12" s="41">
        <v>15</v>
      </c>
      <c r="B12" s="41" t="s">
        <v>24533</v>
      </c>
      <c r="C12" s="74" t="s">
        <v>24534</v>
      </c>
      <c r="D12" s="72"/>
      <c r="F12" s="57"/>
      <c r="G12" s="43"/>
      <c r="H12" s="37"/>
      <c r="I12" s="38"/>
      <c r="J12" s="299" t="s">
        <v>17556</v>
      </c>
      <c r="K12" s="45" t="s">
        <v>398</v>
      </c>
      <c r="L12" s="46">
        <v>1</v>
      </c>
      <c r="M12" s="517" t="s">
        <v>18134</v>
      </c>
      <c r="N12" s="57"/>
      <c r="O12" s="92" t="s">
        <v>17564</v>
      </c>
      <c r="R12" s="57"/>
      <c r="S12" s="35"/>
      <c r="V12" s="57"/>
      <c r="W12" s="208">
        <f>ROUND((ROUND((ROUND((_15_同援日増０．５*_15・２人),0)*(1+_15・A早朝)),0)*(1+_15・盲ろう)),0)</f>
        <v>101</v>
      </c>
      <c r="X12" s="48"/>
    </row>
    <row r="13" spans="1:24" ht="16.5" customHeight="1" x14ac:dyDescent="0.15">
      <c r="A13" s="41">
        <v>15</v>
      </c>
      <c r="B13" s="41" t="s">
        <v>24535</v>
      </c>
      <c r="C13" s="74" t="s">
        <v>24536</v>
      </c>
      <c r="D13" s="72"/>
      <c r="F13" s="57"/>
      <c r="G13" s="114" t="s">
        <v>17558</v>
      </c>
      <c r="H13" s="49"/>
      <c r="I13" s="50"/>
      <c r="J13" s="163"/>
      <c r="K13" s="45"/>
      <c r="L13" s="46"/>
      <c r="M13" s="512"/>
      <c r="N13" s="519" t="s">
        <v>18136</v>
      </c>
      <c r="O13" s="35"/>
      <c r="P13" s="12" t="s">
        <v>398</v>
      </c>
      <c r="Q13" s="13">
        <v>0.25</v>
      </c>
      <c r="R13" s="57" t="s">
        <v>3575</v>
      </c>
      <c r="S13" s="35"/>
      <c r="V13" s="57"/>
      <c r="W13" s="208">
        <f>ROUND((ROUND((ROUND((_15_同援日増０．５*_15・基礎２),0)*(1+_15・A早朝)),0)*(1+_15・盲ろう)),0)</f>
        <v>93</v>
      </c>
      <c r="X13" s="48"/>
    </row>
    <row r="14" spans="1:24" ht="16.5" customHeight="1" x14ac:dyDescent="0.15">
      <c r="A14" s="41">
        <v>15</v>
      </c>
      <c r="B14" s="41" t="s">
        <v>24537</v>
      </c>
      <c r="C14" s="74" t="s">
        <v>24538</v>
      </c>
      <c r="D14" s="72"/>
      <c r="F14" s="57"/>
      <c r="G14" s="269" t="s">
        <v>17560</v>
      </c>
      <c r="H14" s="37" t="s">
        <v>398</v>
      </c>
      <c r="I14" s="38">
        <v>0.9</v>
      </c>
      <c r="J14" s="299" t="s">
        <v>17556</v>
      </c>
      <c r="K14" s="45" t="s">
        <v>398</v>
      </c>
      <c r="L14" s="46">
        <v>1</v>
      </c>
      <c r="M14" s="512"/>
      <c r="N14" s="57"/>
      <c r="O14" s="43"/>
      <c r="P14" s="37"/>
      <c r="Q14" s="38"/>
      <c r="R14" s="79"/>
      <c r="S14" s="43"/>
      <c r="T14" s="37"/>
      <c r="U14" s="38"/>
      <c r="V14" s="79"/>
      <c r="W14" s="208">
        <f>ROUND((ROUND((ROUND((ROUND((_15_同援日増０．５*_15・基礎２),0)*_15・２人),0)*(1+_15・A早朝)),0)*(1+_15・盲ろう)),0)</f>
        <v>93</v>
      </c>
      <c r="X14" s="48"/>
    </row>
    <row r="15" spans="1:24" ht="16.5" customHeight="1" x14ac:dyDescent="0.15">
      <c r="A15" s="41">
        <v>15</v>
      </c>
      <c r="B15" s="41" t="s">
        <v>24539</v>
      </c>
      <c r="C15" s="74" t="s">
        <v>24540</v>
      </c>
      <c r="D15" s="72"/>
      <c r="F15" s="57"/>
      <c r="G15" s="53"/>
      <c r="H15" s="49"/>
      <c r="I15" s="50"/>
      <c r="J15" s="163"/>
      <c r="K15" s="45"/>
      <c r="L15" s="46"/>
      <c r="M15" s="35" t="s">
        <v>398</v>
      </c>
      <c r="N15" s="234">
        <v>0.25</v>
      </c>
      <c r="O15" s="53"/>
      <c r="P15" s="49"/>
      <c r="Q15" s="50"/>
      <c r="R15" s="115"/>
      <c r="S15" s="53"/>
      <c r="T15" s="49"/>
      <c r="U15" s="50"/>
      <c r="V15" s="115"/>
      <c r="W15" s="208">
        <f>ROUND((ROUND((_15_同援日増０．５*(1+_15・A早朝)),0)*(1+_15・区３)),0)</f>
        <v>97</v>
      </c>
      <c r="X15" s="48"/>
    </row>
    <row r="16" spans="1:24" ht="16.5" customHeight="1" x14ac:dyDescent="0.15">
      <c r="A16" s="41">
        <v>15</v>
      </c>
      <c r="B16" s="41" t="s">
        <v>24541</v>
      </c>
      <c r="C16" s="74" t="s">
        <v>24542</v>
      </c>
      <c r="D16" s="72"/>
      <c r="F16" s="57"/>
      <c r="G16" s="43"/>
      <c r="H16" s="37"/>
      <c r="I16" s="38"/>
      <c r="J16" s="299" t="s">
        <v>17556</v>
      </c>
      <c r="K16" s="45" t="s">
        <v>398</v>
      </c>
      <c r="L16" s="46">
        <v>1</v>
      </c>
      <c r="M16" s="512"/>
      <c r="N16" s="513" t="s">
        <v>3575</v>
      </c>
      <c r="O16" s="35"/>
      <c r="R16" s="57"/>
      <c r="S16" s="35"/>
      <c r="V16" s="57"/>
      <c r="W16" s="208">
        <f>ROUND((ROUND((ROUND((_15_同援日増０．５*_15・２人),0)*(1+_15・A早朝)),0)*(1+_15・区３)),0)</f>
        <v>97</v>
      </c>
      <c r="X16" s="48"/>
    </row>
    <row r="17" spans="1:24" ht="16.5" customHeight="1" x14ac:dyDescent="0.15">
      <c r="A17" s="41">
        <v>15</v>
      </c>
      <c r="B17" s="41" t="s">
        <v>24543</v>
      </c>
      <c r="C17" s="74" t="s">
        <v>24544</v>
      </c>
      <c r="D17" s="72"/>
      <c r="F17" s="57"/>
      <c r="G17" s="114" t="s">
        <v>17558</v>
      </c>
      <c r="H17" s="49"/>
      <c r="I17" s="50"/>
      <c r="J17" s="163"/>
      <c r="K17" s="45"/>
      <c r="L17" s="46"/>
      <c r="M17" s="512"/>
      <c r="N17" s="57"/>
      <c r="O17" s="35"/>
      <c r="R17" s="57"/>
      <c r="S17" s="72" t="s">
        <v>17570</v>
      </c>
      <c r="V17" s="57"/>
      <c r="W17" s="208">
        <f>ROUND((ROUND((ROUND((_15_同援日増０．５*_15・基礎２),0)*(1+_15・A早朝)),0)*(1+_15・区３)),0)</f>
        <v>89</v>
      </c>
      <c r="X17" s="48"/>
    </row>
    <row r="18" spans="1:24" ht="16.5" customHeight="1" x14ac:dyDescent="0.15">
      <c r="A18" s="41">
        <v>15</v>
      </c>
      <c r="B18" s="41" t="s">
        <v>24545</v>
      </c>
      <c r="C18" s="74" t="s">
        <v>24546</v>
      </c>
      <c r="D18" s="72"/>
      <c r="F18" s="57"/>
      <c r="G18" s="269" t="s">
        <v>17560</v>
      </c>
      <c r="H18" s="37" t="s">
        <v>398</v>
      </c>
      <c r="I18" s="38">
        <v>0.9</v>
      </c>
      <c r="J18" s="299" t="s">
        <v>17556</v>
      </c>
      <c r="K18" s="45" t="s">
        <v>398</v>
      </c>
      <c r="L18" s="46">
        <v>1</v>
      </c>
      <c r="M18" s="512"/>
      <c r="N18" s="57"/>
      <c r="O18" s="43"/>
      <c r="P18" s="37"/>
      <c r="Q18" s="38"/>
      <c r="R18" s="79"/>
      <c r="S18" s="72" t="s">
        <v>17572</v>
      </c>
      <c r="V18" s="57"/>
      <c r="W18" s="208">
        <f>ROUND((ROUND((ROUND((ROUND((_15_同援日増０．５*_15・基礎２),0)*_15・２人),0)*(1+_15・A早朝)),0)*(1+_15・区３)),0)</f>
        <v>89</v>
      </c>
      <c r="X18" s="48"/>
    </row>
    <row r="19" spans="1:24" ht="16.5" customHeight="1" x14ac:dyDescent="0.15">
      <c r="A19" s="41">
        <v>15</v>
      </c>
      <c r="B19" s="41" t="s">
        <v>24547</v>
      </c>
      <c r="C19" s="74" t="s">
        <v>24548</v>
      </c>
      <c r="D19" s="72"/>
      <c r="F19" s="57"/>
      <c r="G19" s="53"/>
      <c r="H19" s="49"/>
      <c r="I19" s="50"/>
      <c r="J19" s="163"/>
      <c r="K19" s="45"/>
      <c r="L19" s="46"/>
      <c r="M19" s="512"/>
      <c r="N19" s="57"/>
      <c r="O19" s="114" t="s">
        <v>17562</v>
      </c>
      <c r="P19" s="49"/>
      <c r="Q19" s="50"/>
      <c r="R19" s="115"/>
      <c r="S19" s="35"/>
      <c r="T19" s="12" t="s">
        <v>398</v>
      </c>
      <c r="U19" s="13">
        <v>0.2</v>
      </c>
      <c r="V19" s="57" t="s">
        <v>3575</v>
      </c>
      <c r="W19" s="208">
        <f>ROUND((ROUND((ROUND((_15_同援日増０．５*(1+_15・A早朝)),0)*(1+_15・盲ろう)),0)*(1+_15・区３)),0)</f>
        <v>121</v>
      </c>
      <c r="X19" s="48"/>
    </row>
    <row r="20" spans="1:24" ht="16.5" customHeight="1" x14ac:dyDescent="0.15">
      <c r="A20" s="41">
        <v>15</v>
      </c>
      <c r="B20" s="41" t="s">
        <v>24549</v>
      </c>
      <c r="C20" s="74" t="s">
        <v>24550</v>
      </c>
      <c r="D20" s="72"/>
      <c r="F20" s="57"/>
      <c r="G20" s="43"/>
      <c r="H20" s="37"/>
      <c r="I20" s="38"/>
      <c r="J20" s="299" t="s">
        <v>17556</v>
      </c>
      <c r="K20" s="45" t="s">
        <v>398</v>
      </c>
      <c r="L20" s="46">
        <v>1</v>
      </c>
      <c r="M20" s="512"/>
      <c r="N20" s="57"/>
      <c r="O20" s="92" t="s">
        <v>17564</v>
      </c>
      <c r="R20" s="57"/>
      <c r="S20" s="35"/>
      <c r="V20" s="57"/>
      <c r="W20" s="208">
        <f>ROUND((ROUND((ROUND((ROUND((_15_同援日増０．５*_15・２人),0)*(1+_15・A早朝)),0)*(1+_15・盲ろう)),0)*(1+_15・区３)),0)</f>
        <v>121</v>
      </c>
      <c r="X20" s="48"/>
    </row>
    <row r="21" spans="1:24" ht="16.5" customHeight="1" x14ac:dyDescent="0.15">
      <c r="A21" s="41">
        <v>15</v>
      </c>
      <c r="B21" s="41" t="s">
        <v>2069</v>
      </c>
      <c r="C21" s="74" t="s">
        <v>24551</v>
      </c>
      <c r="D21" s="72"/>
      <c r="F21" s="57"/>
      <c r="G21" s="114" t="s">
        <v>17558</v>
      </c>
      <c r="H21" s="49"/>
      <c r="I21" s="50"/>
      <c r="J21" s="163"/>
      <c r="K21" s="45"/>
      <c r="L21" s="46"/>
      <c r="M21" s="512"/>
      <c r="N21" s="57"/>
      <c r="O21" s="35"/>
      <c r="P21" s="12" t="s">
        <v>398</v>
      </c>
      <c r="Q21" s="13">
        <v>0.25</v>
      </c>
      <c r="R21" s="57" t="s">
        <v>3575</v>
      </c>
      <c r="S21" s="35"/>
      <c r="V21" s="57"/>
      <c r="W21" s="208">
        <f>ROUND((ROUND((ROUND((ROUND((_15_同援日増０．５*_15・基礎２),0)*(1+_15・A早朝)),0)*(1+_15・盲ろう)),0)*(1+_15・区３)),0)</f>
        <v>112</v>
      </c>
      <c r="X21" s="48"/>
    </row>
    <row r="22" spans="1:24" ht="16.5" customHeight="1" x14ac:dyDescent="0.15">
      <c r="A22" s="41">
        <v>15</v>
      </c>
      <c r="B22" s="41" t="s">
        <v>2071</v>
      </c>
      <c r="C22" s="74" t="s">
        <v>24552</v>
      </c>
      <c r="D22" s="72"/>
      <c r="F22" s="57"/>
      <c r="G22" s="269" t="s">
        <v>17560</v>
      </c>
      <c r="H22" s="37" t="s">
        <v>398</v>
      </c>
      <c r="I22" s="38">
        <v>0.9</v>
      </c>
      <c r="J22" s="299" t="s">
        <v>17556</v>
      </c>
      <c r="K22" s="45" t="s">
        <v>398</v>
      </c>
      <c r="L22" s="46">
        <v>1</v>
      </c>
      <c r="M22" s="512"/>
      <c r="N22" s="57"/>
      <c r="O22" s="43"/>
      <c r="P22" s="37"/>
      <c r="Q22" s="38"/>
      <c r="R22" s="79"/>
      <c r="S22" s="43"/>
      <c r="T22" s="37"/>
      <c r="U22" s="38"/>
      <c r="V22" s="79"/>
      <c r="W22" s="208">
        <f>ROUND((ROUND((ROUND((ROUND((ROUND((_15_同援日増０．５*_15・基礎２),0)*_15・２人),0)*(1+_15・A早朝)),0)*(1+_15・盲ろう)),0)*(1+_15・区３)),0)</f>
        <v>112</v>
      </c>
      <c r="X22" s="48"/>
    </row>
    <row r="23" spans="1:24" ht="16.5" customHeight="1" x14ac:dyDescent="0.15">
      <c r="A23" s="41">
        <v>15</v>
      </c>
      <c r="B23" s="41" t="s">
        <v>2073</v>
      </c>
      <c r="C23" s="74" t="s">
        <v>24553</v>
      </c>
      <c r="D23" s="72"/>
      <c r="F23" s="57"/>
      <c r="G23" s="53"/>
      <c r="H23" s="49"/>
      <c r="I23" s="50"/>
      <c r="J23" s="163"/>
      <c r="K23" s="45"/>
      <c r="L23" s="46"/>
      <c r="M23" s="512"/>
      <c r="N23" s="57"/>
      <c r="O23" s="53"/>
      <c r="P23" s="49"/>
      <c r="Q23" s="50"/>
      <c r="R23" s="115"/>
      <c r="S23" s="53"/>
      <c r="T23" s="49"/>
      <c r="U23" s="50"/>
      <c r="V23" s="115"/>
      <c r="W23" s="208">
        <f>ROUND((ROUND((_15_同援日増０．５*(1+_15・A早朝)),0)*(1+_15・区４)),0)</f>
        <v>113</v>
      </c>
      <c r="X23" s="48"/>
    </row>
    <row r="24" spans="1:24" ht="16.5" customHeight="1" x14ac:dyDescent="0.15">
      <c r="A24" s="41">
        <v>15</v>
      </c>
      <c r="B24" s="41" t="s">
        <v>2075</v>
      </c>
      <c r="C24" s="74" t="s">
        <v>24554</v>
      </c>
      <c r="D24" s="72"/>
      <c r="F24" s="57"/>
      <c r="G24" s="43"/>
      <c r="H24" s="37"/>
      <c r="I24" s="38"/>
      <c r="J24" s="299" t="s">
        <v>17556</v>
      </c>
      <c r="K24" s="45" t="s">
        <v>398</v>
      </c>
      <c r="L24" s="46">
        <v>1</v>
      </c>
      <c r="M24" s="512"/>
      <c r="N24" s="57"/>
      <c r="O24" s="35"/>
      <c r="R24" s="57"/>
      <c r="S24" s="35"/>
      <c r="V24" s="57"/>
      <c r="W24" s="208">
        <f>ROUND((ROUND((ROUND((_15_同援日増０．５*_15・２人),0)*(1+_15・A早朝)),0)*(1+_15・区４)),0)</f>
        <v>113</v>
      </c>
      <c r="X24" s="48"/>
    </row>
    <row r="25" spans="1:24" ht="16.5" customHeight="1" x14ac:dyDescent="0.15">
      <c r="A25" s="41">
        <v>15</v>
      </c>
      <c r="B25" s="41" t="s">
        <v>24555</v>
      </c>
      <c r="C25" s="74" t="s">
        <v>24556</v>
      </c>
      <c r="D25" s="72"/>
      <c r="F25" s="57"/>
      <c r="G25" s="114" t="s">
        <v>17558</v>
      </c>
      <c r="H25" s="49"/>
      <c r="I25" s="50"/>
      <c r="J25" s="163"/>
      <c r="K25" s="45"/>
      <c r="L25" s="46"/>
      <c r="M25" s="512"/>
      <c r="N25" s="57"/>
      <c r="O25" s="35"/>
      <c r="R25" s="57"/>
      <c r="S25" s="72" t="s">
        <v>17580</v>
      </c>
      <c r="V25" s="57"/>
      <c r="W25" s="208">
        <f>ROUND((ROUND((ROUND((_15_同援日増０．５*_15・基礎２),0)*(1+_15・A早朝)),0)*(1+_15・区４)),0)</f>
        <v>104</v>
      </c>
      <c r="X25" s="48"/>
    </row>
    <row r="26" spans="1:24" ht="16.5" customHeight="1" x14ac:dyDescent="0.15">
      <c r="A26" s="41">
        <v>15</v>
      </c>
      <c r="B26" s="41" t="s">
        <v>24557</v>
      </c>
      <c r="C26" s="74" t="s">
        <v>24558</v>
      </c>
      <c r="D26" s="72"/>
      <c r="F26" s="57"/>
      <c r="G26" s="269" t="s">
        <v>17560</v>
      </c>
      <c r="H26" s="37" t="s">
        <v>398</v>
      </c>
      <c r="I26" s="38">
        <v>0.9</v>
      </c>
      <c r="J26" s="299" t="s">
        <v>17556</v>
      </c>
      <c r="K26" s="45" t="s">
        <v>398</v>
      </c>
      <c r="L26" s="46">
        <v>1</v>
      </c>
      <c r="M26" s="512"/>
      <c r="N26" s="57"/>
      <c r="O26" s="43"/>
      <c r="P26" s="37"/>
      <c r="Q26" s="38"/>
      <c r="R26" s="79"/>
      <c r="S26" s="72" t="s">
        <v>17572</v>
      </c>
      <c r="V26" s="57"/>
      <c r="W26" s="208">
        <f>ROUND((ROUND((ROUND((ROUND((_15_同援日増０．５*_15・基礎２),0)*_15・２人),0)*(1+_15・A早朝)),0)*(1+_15・区４)),0)</f>
        <v>104</v>
      </c>
      <c r="X26" s="48"/>
    </row>
    <row r="27" spans="1:24" ht="16.5" customHeight="1" x14ac:dyDescent="0.15">
      <c r="A27" s="41">
        <v>15</v>
      </c>
      <c r="B27" s="41" t="s">
        <v>24559</v>
      </c>
      <c r="C27" s="74" t="s">
        <v>24560</v>
      </c>
      <c r="D27" s="72"/>
      <c r="F27" s="57"/>
      <c r="G27" s="53"/>
      <c r="H27" s="49"/>
      <c r="I27" s="50"/>
      <c r="J27" s="163"/>
      <c r="K27" s="45"/>
      <c r="L27" s="46"/>
      <c r="M27" s="512"/>
      <c r="N27" s="57"/>
      <c r="O27" s="114" t="s">
        <v>17562</v>
      </c>
      <c r="P27" s="49"/>
      <c r="Q27" s="50"/>
      <c r="R27" s="115"/>
      <c r="S27" s="35"/>
      <c r="T27" s="12" t="s">
        <v>398</v>
      </c>
      <c r="U27" s="13">
        <v>0.4</v>
      </c>
      <c r="V27" s="57" t="s">
        <v>3575</v>
      </c>
      <c r="W27" s="208">
        <f>ROUND((ROUND((ROUND((_15_同援日増０．５*(1+_15・A早朝)),0)*(1+_15・盲ろう)),0)*(1+_15・区４)),0)</f>
        <v>141</v>
      </c>
      <c r="X27" s="48"/>
    </row>
    <row r="28" spans="1:24" ht="16.5" customHeight="1" x14ac:dyDescent="0.15">
      <c r="A28" s="41">
        <v>15</v>
      </c>
      <c r="B28" s="41" t="s">
        <v>24561</v>
      </c>
      <c r="C28" s="74" t="s">
        <v>24562</v>
      </c>
      <c r="D28" s="72"/>
      <c r="F28" s="57"/>
      <c r="G28" s="43"/>
      <c r="H28" s="37"/>
      <c r="I28" s="38"/>
      <c r="J28" s="299" t="s">
        <v>17556</v>
      </c>
      <c r="K28" s="45" t="s">
        <v>398</v>
      </c>
      <c r="L28" s="46">
        <v>1</v>
      </c>
      <c r="M28" s="512"/>
      <c r="N28" s="57"/>
      <c r="O28" s="92" t="s">
        <v>17564</v>
      </c>
      <c r="R28" s="57"/>
      <c r="S28" s="35"/>
      <c r="V28" s="57"/>
      <c r="W28" s="208">
        <f>ROUND((ROUND((ROUND((ROUND((_15_同援日増０．５*_15・２人),0)*(1+_15・A早朝)),0)*(1+_15・盲ろう)),0)*(1+_15・区４)),0)</f>
        <v>141</v>
      </c>
      <c r="X28" s="48"/>
    </row>
    <row r="29" spans="1:24" ht="16.5" customHeight="1" x14ac:dyDescent="0.15">
      <c r="A29" s="41">
        <v>15</v>
      </c>
      <c r="B29" s="41" t="s">
        <v>24563</v>
      </c>
      <c r="C29" s="74" t="s">
        <v>24564</v>
      </c>
      <c r="D29" s="72"/>
      <c r="F29" s="57"/>
      <c r="G29" s="114" t="s">
        <v>17558</v>
      </c>
      <c r="H29" s="49"/>
      <c r="I29" s="50"/>
      <c r="J29" s="163"/>
      <c r="K29" s="45"/>
      <c r="L29" s="46"/>
      <c r="M29" s="512"/>
      <c r="N29" s="57"/>
      <c r="O29" s="35"/>
      <c r="P29" s="12" t="s">
        <v>398</v>
      </c>
      <c r="Q29" s="13">
        <v>0.25</v>
      </c>
      <c r="R29" s="57" t="s">
        <v>3575</v>
      </c>
      <c r="S29" s="35"/>
      <c r="V29" s="57"/>
      <c r="W29" s="208">
        <f>ROUND((ROUND((ROUND((ROUND((_15_同援日増０．５*_15・基礎２),0)*(1+_15・A早朝)),0)*(1+_15・盲ろう)),0)*(1+_15・区４)),0)</f>
        <v>130</v>
      </c>
      <c r="X29" s="48"/>
    </row>
    <row r="30" spans="1:24" ht="16.5" customHeight="1" x14ac:dyDescent="0.15">
      <c r="A30" s="41">
        <v>15</v>
      </c>
      <c r="B30" s="41" t="s">
        <v>24565</v>
      </c>
      <c r="C30" s="74" t="s">
        <v>24566</v>
      </c>
      <c r="D30" s="122"/>
      <c r="E30" s="37"/>
      <c r="F30" s="79"/>
      <c r="G30" s="269" t="s">
        <v>17560</v>
      </c>
      <c r="H30" s="37" t="s">
        <v>398</v>
      </c>
      <c r="I30" s="38">
        <v>0.9</v>
      </c>
      <c r="J30" s="299" t="s">
        <v>17556</v>
      </c>
      <c r="K30" s="45" t="s">
        <v>398</v>
      </c>
      <c r="L30" s="46">
        <v>1</v>
      </c>
      <c r="M30" s="512"/>
      <c r="N30" s="57"/>
      <c r="O30" s="43"/>
      <c r="P30" s="37"/>
      <c r="Q30" s="38"/>
      <c r="R30" s="79"/>
      <c r="S30" s="43"/>
      <c r="T30" s="37"/>
      <c r="U30" s="38"/>
      <c r="V30" s="79"/>
      <c r="W30" s="208">
        <f>ROUND((ROUND((ROUND((ROUND((ROUND((_15_同援日増０．５*_15・基礎２),0)*_15・２人),0)*(1+_15・A早朝)),0)*(1+_15・盲ろう)),0)*(1+_15・区４)),0)</f>
        <v>130</v>
      </c>
      <c r="X30" s="48"/>
    </row>
    <row r="31" spans="1:24" ht="16.5" customHeight="1" x14ac:dyDescent="0.15">
      <c r="A31" s="41">
        <v>15</v>
      </c>
      <c r="B31" s="41" t="s">
        <v>24567</v>
      </c>
      <c r="C31" s="74" t="s">
        <v>24568</v>
      </c>
      <c r="D31" s="114" t="s">
        <v>24569</v>
      </c>
      <c r="E31" s="49"/>
      <c r="F31" s="115"/>
      <c r="G31" s="53"/>
      <c r="H31" s="49"/>
      <c r="I31" s="50"/>
      <c r="J31" s="163"/>
      <c r="K31" s="45"/>
      <c r="L31" s="46"/>
      <c r="M31" s="512"/>
      <c r="N31" s="57"/>
      <c r="O31" s="53"/>
      <c r="P31" s="49"/>
      <c r="Q31" s="50"/>
      <c r="R31" s="115"/>
      <c r="S31" s="53"/>
      <c r="T31" s="49"/>
      <c r="U31" s="50"/>
      <c r="V31" s="115"/>
      <c r="W31" s="208">
        <f>ROUND((_15_同援日増１．０*(1+_15・A早朝)),0)</f>
        <v>163</v>
      </c>
      <c r="X31" s="48"/>
    </row>
    <row r="32" spans="1:24" ht="16.5" customHeight="1" x14ac:dyDescent="0.15">
      <c r="A32" s="41">
        <v>15</v>
      </c>
      <c r="B32" s="41" t="s">
        <v>24570</v>
      </c>
      <c r="C32" s="74" t="s">
        <v>24571</v>
      </c>
      <c r="D32" s="72" t="s">
        <v>17589</v>
      </c>
      <c r="F32" s="57"/>
      <c r="G32" s="43"/>
      <c r="H32" s="37"/>
      <c r="I32" s="38"/>
      <c r="J32" s="299" t="s">
        <v>17556</v>
      </c>
      <c r="K32" s="45" t="s">
        <v>398</v>
      </c>
      <c r="L32" s="46">
        <v>1</v>
      </c>
      <c r="M32" s="512"/>
      <c r="N32" s="57"/>
      <c r="O32" s="35"/>
      <c r="R32" s="57"/>
      <c r="S32" s="35"/>
      <c r="V32" s="57"/>
      <c r="W32" s="208">
        <f>ROUND((ROUND((_15_同援日増１．０*_15・２人),0)*(1+_15・A早朝)),0)</f>
        <v>163</v>
      </c>
      <c r="X32" s="48"/>
    </row>
    <row r="33" spans="1:24" ht="16.5" customHeight="1" x14ac:dyDescent="0.15">
      <c r="A33" s="41">
        <v>15</v>
      </c>
      <c r="B33" s="41" t="s">
        <v>24572</v>
      </c>
      <c r="C33" s="74" t="s">
        <v>24573</v>
      </c>
      <c r="D33" s="72" t="s">
        <v>17591</v>
      </c>
      <c r="F33" s="57"/>
      <c r="G33" s="114" t="s">
        <v>17558</v>
      </c>
      <c r="H33" s="49"/>
      <c r="I33" s="50"/>
      <c r="J33" s="163"/>
      <c r="K33" s="45"/>
      <c r="L33" s="46"/>
      <c r="M33" s="512"/>
      <c r="N33" s="57"/>
      <c r="O33" s="35"/>
      <c r="R33" s="57"/>
      <c r="S33" s="35"/>
      <c r="V33" s="57"/>
      <c r="W33" s="208">
        <f>ROUND((ROUND((_15_同援日増１．０*_15・基礎２),0)*(1+_15・A早朝)),0)</f>
        <v>146</v>
      </c>
      <c r="X33" s="48"/>
    </row>
    <row r="34" spans="1:24" ht="16.5" customHeight="1" x14ac:dyDescent="0.15">
      <c r="A34" s="41">
        <v>15</v>
      </c>
      <c r="B34" s="41" t="s">
        <v>24574</v>
      </c>
      <c r="C34" s="74" t="s">
        <v>24575</v>
      </c>
      <c r="D34" s="72"/>
      <c r="E34" s="168">
        <f>_15_同援日増１．０</f>
        <v>130</v>
      </c>
      <c r="F34" s="57" t="s">
        <v>392</v>
      </c>
      <c r="G34" s="269" t="s">
        <v>17560</v>
      </c>
      <c r="H34" s="37" t="s">
        <v>398</v>
      </c>
      <c r="I34" s="38">
        <v>0.9</v>
      </c>
      <c r="J34" s="299" t="s">
        <v>17556</v>
      </c>
      <c r="K34" s="45" t="s">
        <v>398</v>
      </c>
      <c r="L34" s="46">
        <v>1</v>
      </c>
      <c r="M34" s="512"/>
      <c r="N34" s="57"/>
      <c r="O34" s="43"/>
      <c r="P34" s="37"/>
      <c r="Q34" s="38"/>
      <c r="R34" s="79"/>
      <c r="S34" s="35"/>
      <c r="V34" s="57"/>
      <c r="W34" s="208">
        <f>ROUND((ROUND((ROUND((_15_同援日増１．０*_15・基礎２),0)*_15・２人),0)*(1+_15・A早朝)),0)</f>
        <v>146</v>
      </c>
      <c r="X34" s="48"/>
    </row>
    <row r="35" spans="1:24" ht="16.5" customHeight="1" x14ac:dyDescent="0.15">
      <c r="A35" s="41">
        <v>15</v>
      </c>
      <c r="B35" s="41" t="s">
        <v>24576</v>
      </c>
      <c r="C35" s="74" t="s">
        <v>24577</v>
      </c>
      <c r="D35" s="72"/>
      <c r="F35" s="57"/>
      <c r="G35" s="53"/>
      <c r="H35" s="49"/>
      <c r="I35" s="50"/>
      <c r="J35" s="163"/>
      <c r="K35" s="45"/>
      <c r="L35" s="46"/>
      <c r="M35" s="512"/>
      <c r="N35" s="57"/>
      <c r="O35" s="114" t="s">
        <v>17562</v>
      </c>
      <c r="P35" s="49"/>
      <c r="Q35" s="50"/>
      <c r="R35" s="115"/>
      <c r="S35" s="35"/>
      <c r="V35" s="57"/>
      <c r="W35" s="208">
        <f>ROUND((ROUND((_15_同援日増１．０*(1+_15・A早朝)),0)*(1+_15・盲ろう)),0)</f>
        <v>204</v>
      </c>
      <c r="X35" s="48"/>
    </row>
    <row r="36" spans="1:24" ht="16.5" customHeight="1" x14ac:dyDescent="0.15">
      <c r="A36" s="41">
        <v>15</v>
      </c>
      <c r="B36" s="41" t="s">
        <v>24578</v>
      </c>
      <c r="C36" s="74" t="s">
        <v>24579</v>
      </c>
      <c r="D36" s="72"/>
      <c r="F36" s="57"/>
      <c r="G36" s="43"/>
      <c r="H36" s="37"/>
      <c r="I36" s="38"/>
      <c r="J36" s="299" t="s">
        <v>17556</v>
      </c>
      <c r="K36" s="45" t="s">
        <v>398</v>
      </c>
      <c r="L36" s="46">
        <v>1</v>
      </c>
      <c r="M36" s="512"/>
      <c r="N36" s="57"/>
      <c r="O36" s="92" t="s">
        <v>17564</v>
      </c>
      <c r="R36" s="57"/>
      <c r="S36" s="35"/>
      <c r="V36" s="57"/>
      <c r="W36" s="208">
        <f>ROUND((ROUND((ROUND((_15_同援日増１．０*_15・２人),0)*(1+_15・A早朝)),0)*(1+_15・盲ろう)),0)</f>
        <v>204</v>
      </c>
      <c r="X36" s="48"/>
    </row>
    <row r="37" spans="1:24" ht="16.5" customHeight="1" x14ac:dyDescent="0.15">
      <c r="A37" s="41">
        <v>15</v>
      </c>
      <c r="B37" s="41" t="s">
        <v>24580</v>
      </c>
      <c r="C37" s="74" t="s">
        <v>24581</v>
      </c>
      <c r="D37" s="72"/>
      <c r="F37" s="57"/>
      <c r="G37" s="114" t="s">
        <v>17558</v>
      </c>
      <c r="H37" s="49"/>
      <c r="I37" s="50"/>
      <c r="J37" s="163"/>
      <c r="K37" s="45"/>
      <c r="L37" s="46"/>
      <c r="M37" s="512"/>
      <c r="N37" s="57"/>
      <c r="O37" s="35"/>
      <c r="P37" s="12" t="s">
        <v>398</v>
      </c>
      <c r="Q37" s="13">
        <v>0.25</v>
      </c>
      <c r="R37" s="57" t="s">
        <v>3575</v>
      </c>
      <c r="S37" s="35"/>
      <c r="V37" s="57"/>
      <c r="W37" s="208">
        <f>ROUND((ROUND((ROUND((_15_同援日増１．０*_15・基礎２),0)*(1+_15・A早朝)),0)*(1+_15・盲ろう)),0)</f>
        <v>183</v>
      </c>
      <c r="X37" s="48"/>
    </row>
    <row r="38" spans="1:24" ht="16.5" customHeight="1" x14ac:dyDescent="0.15">
      <c r="A38" s="41">
        <v>15</v>
      </c>
      <c r="B38" s="41" t="s">
        <v>24582</v>
      </c>
      <c r="C38" s="74" t="s">
        <v>24583</v>
      </c>
      <c r="D38" s="72"/>
      <c r="F38" s="57"/>
      <c r="G38" s="269" t="s">
        <v>17560</v>
      </c>
      <c r="H38" s="37" t="s">
        <v>398</v>
      </c>
      <c r="I38" s="38">
        <v>0.9</v>
      </c>
      <c r="J38" s="299" t="s">
        <v>17556</v>
      </c>
      <c r="K38" s="45" t="s">
        <v>398</v>
      </c>
      <c r="L38" s="46">
        <v>1</v>
      </c>
      <c r="M38" s="512"/>
      <c r="N38" s="57"/>
      <c r="O38" s="43"/>
      <c r="P38" s="37"/>
      <c r="Q38" s="38"/>
      <c r="R38" s="79"/>
      <c r="S38" s="43"/>
      <c r="T38" s="37"/>
      <c r="U38" s="38"/>
      <c r="V38" s="79"/>
      <c r="W38" s="208">
        <f>ROUND((ROUND((ROUND((ROUND((_15_同援日増１．０*_15・基礎２),0)*_15・２人),0)*(1+_15・A早朝)),0)*(1+_15・盲ろう)),0)</f>
        <v>183</v>
      </c>
      <c r="X38" s="48"/>
    </row>
    <row r="39" spans="1:24" ht="16.5" customHeight="1" x14ac:dyDescent="0.15">
      <c r="A39" s="41">
        <v>15</v>
      </c>
      <c r="B39" s="41" t="s">
        <v>24584</v>
      </c>
      <c r="C39" s="74" t="s">
        <v>24585</v>
      </c>
      <c r="D39" s="72"/>
      <c r="F39" s="57"/>
      <c r="G39" s="53"/>
      <c r="H39" s="49"/>
      <c r="I39" s="50"/>
      <c r="J39" s="163"/>
      <c r="K39" s="45"/>
      <c r="L39" s="46"/>
      <c r="M39" s="512"/>
      <c r="N39" s="57"/>
      <c r="O39" s="53"/>
      <c r="P39" s="49"/>
      <c r="Q39" s="50"/>
      <c r="R39" s="115"/>
      <c r="S39" s="53"/>
      <c r="T39" s="49"/>
      <c r="U39" s="50"/>
      <c r="V39" s="115"/>
      <c r="W39" s="208">
        <f>ROUND((ROUND((_15_同援日増１．０*(1+_15・A早朝)),0)*(1+_15・区３)),0)</f>
        <v>196</v>
      </c>
      <c r="X39" s="48"/>
    </row>
    <row r="40" spans="1:24" ht="16.5" customHeight="1" x14ac:dyDescent="0.15">
      <c r="A40" s="41">
        <v>15</v>
      </c>
      <c r="B40" s="41" t="s">
        <v>24586</v>
      </c>
      <c r="C40" s="74" t="s">
        <v>24587</v>
      </c>
      <c r="D40" s="72"/>
      <c r="F40" s="57"/>
      <c r="G40" s="43"/>
      <c r="H40" s="37"/>
      <c r="I40" s="38"/>
      <c r="J40" s="299" t="s">
        <v>17556</v>
      </c>
      <c r="K40" s="45" t="s">
        <v>398</v>
      </c>
      <c r="L40" s="46">
        <v>1</v>
      </c>
      <c r="M40" s="512"/>
      <c r="N40" s="57"/>
      <c r="O40" s="35"/>
      <c r="R40" s="57"/>
      <c r="S40" s="35"/>
      <c r="V40" s="57"/>
      <c r="W40" s="208">
        <f>ROUND((ROUND((ROUND((_15_同援日増１．０*_15・２人),0)*(1+_15・A早朝)),0)*(1+_15・区３)),0)</f>
        <v>196</v>
      </c>
      <c r="X40" s="48"/>
    </row>
    <row r="41" spans="1:24" ht="16.5" customHeight="1" x14ac:dyDescent="0.15">
      <c r="A41" s="41">
        <v>15</v>
      </c>
      <c r="B41" s="41" t="s">
        <v>2081</v>
      </c>
      <c r="C41" s="74" t="s">
        <v>24588</v>
      </c>
      <c r="D41" s="72"/>
      <c r="F41" s="57"/>
      <c r="G41" s="114" t="s">
        <v>17558</v>
      </c>
      <c r="H41" s="49"/>
      <c r="I41" s="50"/>
      <c r="J41" s="163"/>
      <c r="K41" s="45"/>
      <c r="L41" s="46"/>
      <c r="M41" s="512"/>
      <c r="N41" s="57"/>
      <c r="O41" s="35"/>
      <c r="R41" s="57"/>
      <c r="S41" s="72" t="s">
        <v>17570</v>
      </c>
      <c r="V41" s="57"/>
      <c r="W41" s="208">
        <f>ROUND((ROUND((ROUND((_15_同援日増１．０*_15・基礎２),0)*(1+_15・A早朝)),0)*(1+_15・区３)),0)</f>
        <v>175</v>
      </c>
      <c r="X41" s="48"/>
    </row>
    <row r="42" spans="1:24" ht="16.5" customHeight="1" x14ac:dyDescent="0.15">
      <c r="A42" s="41">
        <v>15</v>
      </c>
      <c r="B42" s="41" t="s">
        <v>2083</v>
      </c>
      <c r="C42" s="74" t="s">
        <v>24589</v>
      </c>
      <c r="D42" s="72"/>
      <c r="F42" s="57"/>
      <c r="G42" s="269" t="s">
        <v>17560</v>
      </c>
      <c r="H42" s="37" t="s">
        <v>398</v>
      </c>
      <c r="I42" s="38">
        <v>0.9</v>
      </c>
      <c r="J42" s="299" t="s">
        <v>17556</v>
      </c>
      <c r="K42" s="45" t="s">
        <v>398</v>
      </c>
      <c r="L42" s="46">
        <v>1</v>
      </c>
      <c r="M42" s="512"/>
      <c r="N42" s="57"/>
      <c r="O42" s="43"/>
      <c r="P42" s="37"/>
      <c r="Q42" s="38"/>
      <c r="R42" s="79"/>
      <c r="S42" s="72" t="s">
        <v>17572</v>
      </c>
      <c r="V42" s="57"/>
      <c r="W42" s="208">
        <f>ROUND((ROUND((ROUND((ROUND((_15_同援日増１．０*_15・基礎２),0)*_15・２人),0)*(1+_15・A早朝)),0)*(1+_15・区３)),0)</f>
        <v>175</v>
      </c>
      <c r="X42" s="48"/>
    </row>
    <row r="43" spans="1:24" ht="16.5" customHeight="1" x14ac:dyDescent="0.15">
      <c r="A43" s="41">
        <v>15</v>
      </c>
      <c r="B43" s="41" t="s">
        <v>2085</v>
      </c>
      <c r="C43" s="74" t="s">
        <v>24590</v>
      </c>
      <c r="D43" s="72"/>
      <c r="F43" s="57"/>
      <c r="G43" s="53"/>
      <c r="H43" s="49"/>
      <c r="I43" s="50"/>
      <c r="J43" s="163"/>
      <c r="K43" s="45"/>
      <c r="L43" s="46"/>
      <c r="M43" s="512"/>
      <c r="N43" s="57"/>
      <c r="O43" s="114" t="s">
        <v>17562</v>
      </c>
      <c r="P43" s="49"/>
      <c r="Q43" s="50"/>
      <c r="R43" s="115"/>
      <c r="S43" s="35"/>
      <c r="T43" s="12" t="s">
        <v>398</v>
      </c>
      <c r="U43" s="13">
        <v>0.2</v>
      </c>
      <c r="V43" s="57" t="s">
        <v>3575</v>
      </c>
      <c r="W43" s="208">
        <f>ROUND((ROUND((ROUND((_15_同援日増１．０*(1+_15・A早朝)),0)*(1+_15・盲ろう)),0)*(1+_15・区３)),0)</f>
        <v>245</v>
      </c>
      <c r="X43" s="48"/>
    </row>
    <row r="44" spans="1:24" ht="16.5" customHeight="1" x14ac:dyDescent="0.15">
      <c r="A44" s="41">
        <v>15</v>
      </c>
      <c r="B44" s="41" t="s">
        <v>2087</v>
      </c>
      <c r="C44" s="74" t="s">
        <v>24591</v>
      </c>
      <c r="D44" s="72"/>
      <c r="F44" s="57"/>
      <c r="G44" s="43"/>
      <c r="H44" s="37"/>
      <c r="I44" s="38"/>
      <c r="J44" s="299" t="s">
        <v>17556</v>
      </c>
      <c r="K44" s="45" t="s">
        <v>398</v>
      </c>
      <c r="L44" s="46">
        <v>1</v>
      </c>
      <c r="M44" s="512"/>
      <c r="N44" s="57"/>
      <c r="O44" s="92" t="s">
        <v>17564</v>
      </c>
      <c r="R44" s="57"/>
      <c r="S44" s="35"/>
      <c r="V44" s="57"/>
      <c r="W44" s="208">
        <f>ROUND((ROUND((ROUND((ROUND((_15_同援日増１．０*_15・２人),0)*(1+_15・A早朝)),0)*(1+_15・盲ろう)),0)*(1+_15・区３)),0)</f>
        <v>245</v>
      </c>
      <c r="X44" s="48"/>
    </row>
    <row r="45" spans="1:24" ht="16.5" customHeight="1" x14ac:dyDescent="0.15">
      <c r="A45" s="41">
        <v>15</v>
      </c>
      <c r="B45" s="41" t="s">
        <v>24592</v>
      </c>
      <c r="C45" s="74" t="s">
        <v>24593</v>
      </c>
      <c r="D45" s="72"/>
      <c r="F45" s="57"/>
      <c r="G45" s="114" t="s">
        <v>17558</v>
      </c>
      <c r="H45" s="49"/>
      <c r="I45" s="50"/>
      <c r="J45" s="163"/>
      <c r="K45" s="45"/>
      <c r="L45" s="46"/>
      <c r="M45" s="512"/>
      <c r="N45" s="57"/>
      <c r="O45" s="35"/>
      <c r="P45" s="12" t="s">
        <v>398</v>
      </c>
      <c r="Q45" s="13">
        <v>0.25</v>
      </c>
      <c r="R45" s="57" t="s">
        <v>3575</v>
      </c>
      <c r="S45" s="35"/>
      <c r="V45" s="57"/>
      <c r="W45" s="208">
        <f>ROUND((ROUND((ROUND((ROUND((_15_同援日増１．０*_15・基礎２),0)*(1+_15・A早朝)),0)*(1+_15・盲ろう)),0)*(1+_15・区３)),0)</f>
        <v>220</v>
      </c>
      <c r="X45" s="48"/>
    </row>
    <row r="46" spans="1:24" ht="16.5" customHeight="1" x14ac:dyDescent="0.15">
      <c r="A46" s="41">
        <v>15</v>
      </c>
      <c r="B46" s="41" t="s">
        <v>24594</v>
      </c>
      <c r="C46" s="74" t="s">
        <v>24595</v>
      </c>
      <c r="D46" s="72"/>
      <c r="F46" s="57"/>
      <c r="G46" s="269" t="s">
        <v>17560</v>
      </c>
      <c r="H46" s="37" t="s">
        <v>398</v>
      </c>
      <c r="I46" s="38">
        <v>0.9</v>
      </c>
      <c r="J46" s="299" t="s">
        <v>17556</v>
      </c>
      <c r="K46" s="45" t="s">
        <v>398</v>
      </c>
      <c r="L46" s="46">
        <v>1</v>
      </c>
      <c r="M46" s="512"/>
      <c r="N46" s="57"/>
      <c r="O46" s="43"/>
      <c r="P46" s="37"/>
      <c r="Q46" s="38"/>
      <c r="R46" s="79"/>
      <c r="S46" s="43"/>
      <c r="T46" s="37"/>
      <c r="U46" s="38"/>
      <c r="V46" s="79"/>
      <c r="W46" s="208">
        <f>ROUND((ROUND((ROUND((ROUND((ROUND((_15_同援日増１．０*_15・基礎２),0)*_15・２人),0)*(1+_15・A早朝)),0)*(1+_15・盲ろう)),0)*(1+_15・区３)),0)</f>
        <v>220</v>
      </c>
      <c r="X46" s="48"/>
    </row>
    <row r="47" spans="1:24" ht="16.5" customHeight="1" x14ac:dyDescent="0.15">
      <c r="A47" s="41">
        <v>15</v>
      </c>
      <c r="B47" s="41" t="s">
        <v>24596</v>
      </c>
      <c r="C47" s="74" t="s">
        <v>24597</v>
      </c>
      <c r="D47" s="72"/>
      <c r="F47" s="57"/>
      <c r="G47" s="53"/>
      <c r="H47" s="49"/>
      <c r="I47" s="50"/>
      <c r="J47" s="163"/>
      <c r="K47" s="45"/>
      <c r="L47" s="46"/>
      <c r="M47" s="512"/>
      <c r="N47" s="57"/>
      <c r="O47" s="53"/>
      <c r="P47" s="49"/>
      <c r="Q47" s="50"/>
      <c r="R47" s="115"/>
      <c r="S47" s="53"/>
      <c r="T47" s="49"/>
      <c r="U47" s="50"/>
      <c r="V47" s="115"/>
      <c r="W47" s="208">
        <f>ROUND((ROUND((_15_同援日増１．０*(1+_15・A早朝)),0)*(1+_15・区４)),0)</f>
        <v>228</v>
      </c>
      <c r="X47" s="48"/>
    </row>
    <row r="48" spans="1:24" ht="16.5" customHeight="1" x14ac:dyDescent="0.15">
      <c r="A48" s="41">
        <v>15</v>
      </c>
      <c r="B48" s="41" t="s">
        <v>24598</v>
      </c>
      <c r="C48" s="74" t="s">
        <v>24599</v>
      </c>
      <c r="D48" s="72"/>
      <c r="F48" s="57"/>
      <c r="G48" s="43"/>
      <c r="H48" s="37"/>
      <c r="I48" s="38"/>
      <c r="J48" s="299" t="s">
        <v>17556</v>
      </c>
      <c r="K48" s="45" t="s">
        <v>398</v>
      </c>
      <c r="L48" s="46">
        <v>1</v>
      </c>
      <c r="M48" s="512"/>
      <c r="N48" s="57"/>
      <c r="O48" s="35"/>
      <c r="R48" s="57"/>
      <c r="S48" s="35"/>
      <c r="V48" s="57"/>
      <c r="W48" s="208">
        <f>ROUND((ROUND((ROUND((_15_同援日増１．０*_15・２人),0)*(1+_15・A早朝)),0)*(1+_15・区４)),0)</f>
        <v>228</v>
      </c>
      <c r="X48" s="48"/>
    </row>
    <row r="49" spans="1:24" ht="16.5" customHeight="1" x14ac:dyDescent="0.15">
      <c r="A49" s="41">
        <v>15</v>
      </c>
      <c r="B49" s="41" t="s">
        <v>24600</v>
      </c>
      <c r="C49" s="74" t="s">
        <v>24601</v>
      </c>
      <c r="D49" s="72"/>
      <c r="F49" s="57"/>
      <c r="G49" s="114" t="s">
        <v>17558</v>
      </c>
      <c r="H49" s="49"/>
      <c r="I49" s="50"/>
      <c r="J49" s="163"/>
      <c r="K49" s="45"/>
      <c r="L49" s="46"/>
      <c r="M49" s="512"/>
      <c r="N49" s="57"/>
      <c r="O49" s="35"/>
      <c r="R49" s="57"/>
      <c r="S49" s="72" t="s">
        <v>17580</v>
      </c>
      <c r="V49" s="57"/>
      <c r="W49" s="208">
        <f>ROUND((ROUND((ROUND((_15_同援日増１．０*_15・基礎２),0)*(1+_15・A早朝)),0)*(1+_15・区４)),0)</f>
        <v>204</v>
      </c>
      <c r="X49" s="48"/>
    </row>
    <row r="50" spans="1:24" ht="16.5" customHeight="1" x14ac:dyDescent="0.15">
      <c r="A50" s="41">
        <v>15</v>
      </c>
      <c r="B50" s="41" t="s">
        <v>24602</v>
      </c>
      <c r="C50" s="74" t="s">
        <v>24603</v>
      </c>
      <c r="D50" s="72"/>
      <c r="F50" s="57"/>
      <c r="G50" s="269" t="s">
        <v>17560</v>
      </c>
      <c r="H50" s="37" t="s">
        <v>398</v>
      </c>
      <c r="I50" s="38">
        <v>0.9</v>
      </c>
      <c r="J50" s="299" t="s">
        <v>17556</v>
      </c>
      <c r="K50" s="45" t="s">
        <v>398</v>
      </c>
      <c r="L50" s="46">
        <v>1</v>
      </c>
      <c r="M50" s="512"/>
      <c r="N50" s="57"/>
      <c r="O50" s="43"/>
      <c r="P50" s="37"/>
      <c r="Q50" s="38"/>
      <c r="R50" s="79"/>
      <c r="S50" s="72" t="s">
        <v>17572</v>
      </c>
      <c r="V50" s="57"/>
      <c r="W50" s="208">
        <f>ROUND((ROUND((ROUND((ROUND((_15_同援日増１．０*_15・基礎２),0)*_15・２人),0)*(1+_15・A早朝)),0)*(1+_15・区４)),0)</f>
        <v>204</v>
      </c>
      <c r="X50" s="48"/>
    </row>
    <row r="51" spans="1:24" ht="16.5" customHeight="1" x14ac:dyDescent="0.15">
      <c r="A51" s="41">
        <v>15</v>
      </c>
      <c r="B51" s="41" t="s">
        <v>24604</v>
      </c>
      <c r="C51" s="74" t="s">
        <v>24605</v>
      </c>
      <c r="D51" s="72"/>
      <c r="F51" s="57"/>
      <c r="G51" s="53"/>
      <c r="H51" s="49"/>
      <c r="I51" s="50"/>
      <c r="J51" s="163"/>
      <c r="K51" s="45"/>
      <c r="L51" s="46"/>
      <c r="M51" s="512"/>
      <c r="N51" s="57"/>
      <c r="O51" s="114" t="s">
        <v>17562</v>
      </c>
      <c r="P51" s="49"/>
      <c r="Q51" s="50"/>
      <c r="R51" s="115"/>
      <c r="S51" s="35"/>
      <c r="T51" s="12" t="s">
        <v>398</v>
      </c>
      <c r="U51" s="13">
        <v>0.4</v>
      </c>
      <c r="V51" s="57" t="s">
        <v>3575</v>
      </c>
      <c r="W51" s="208">
        <f>ROUND((ROUND((ROUND((_15_同援日増１．０*(1+_15・A早朝)),0)*(1+_15・盲ろう)),0)*(1+_15・区４)),0)</f>
        <v>286</v>
      </c>
      <c r="X51" s="48"/>
    </row>
    <row r="52" spans="1:24" ht="16.5" customHeight="1" x14ac:dyDescent="0.15">
      <c r="A52" s="41">
        <v>15</v>
      </c>
      <c r="B52" s="41" t="s">
        <v>24606</v>
      </c>
      <c r="C52" s="74" t="s">
        <v>24607</v>
      </c>
      <c r="D52" s="72"/>
      <c r="F52" s="57"/>
      <c r="G52" s="43"/>
      <c r="H52" s="37"/>
      <c r="I52" s="38"/>
      <c r="J52" s="299" t="s">
        <v>17556</v>
      </c>
      <c r="K52" s="45" t="s">
        <v>398</v>
      </c>
      <c r="L52" s="46">
        <v>1</v>
      </c>
      <c r="M52" s="512"/>
      <c r="N52" s="57"/>
      <c r="O52" s="92" t="s">
        <v>17564</v>
      </c>
      <c r="R52" s="57"/>
      <c r="S52" s="35"/>
      <c r="V52" s="57"/>
      <c r="W52" s="208">
        <f>ROUND((ROUND((ROUND((ROUND((_15_同援日増１．０*_15・２人),0)*(1+_15・A早朝)),0)*(1+_15・盲ろう)),0)*(1+_15・区４)),0)</f>
        <v>286</v>
      </c>
      <c r="X52" s="48"/>
    </row>
    <row r="53" spans="1:24" ht="16.5" customHeight="1" x14ac:dyDescent="0.15">
      <c r="A53" s="41">
        <v>15</v>
      </c>
      <c r="B53" s="41" t="s">
        <v>24608</v>
      </c>
      <c r="C53" s="74" t="s">
        <v>24609</v>
      </c>
      <c r="D53" s="72"/>
      <c r="F53" s="57"/>
      <c r="G53" s="114" t="s">
        <v>17558</v>
      </c>
      <c r="H53" s="49"/>
      <c r="I53" s="50"/>
      <c r="J53" s="163"/>
      <c r="K53" s="45"/>
      <c r="L53" s="46"/>
      <c r="M53" s="512"/>
      <c r="N53" s="57"/>
      <c r="O53" s="35"/>
      <c r="P53" s="12" t="s">
        <v>398</v>
      </c>
      <c r="Q53" s="13">
        <v>0.25</v>
      </c>
      <c r="R53" s="57" t="s">
        <v>3575</v>
      </c>
      <c r="S53" s="35"/>
      <c r="V53" s="57"/>
      <c r="W53" s="208">
        <f>ROUND((ROUND((ROUND((ROUND((_15_同援日増１．０*_15・基礎２),0)*(1+_15・A早朝)),0)*(1+_15・盲ろう)),0)*(1+_15・区４)),0)</f>
        <v>256</v>
      </c>
      <c r="X53" s="48"/>
    </row>
    <row r="54" spans="1:24" ht="16.5" customHeight="1" x14ac:dyDescent="0.15">
      <c r="A54" s="41">
        <v>15</v>
      </c>
      <c r="B54" s="41" t="s">
        <v>24610</v>
      </c>
      <c r="C54" s="74" t="s">
        <v>24611</v>
      </c>
      <c r="D54" s="122"/>
      <c r="E54" s="37"/>
      <c r="F54" s="79"/>
      <c r="G54" s="269" t="s">
        <v>17560</v>
      </c>
      <c r="H54" s="37" t="s">
        <v>398</v>
      </c>
      <c r="I54" s="38">
        <v>0.9</v>
      </c>
      <c r="J54" s="299" t="s">
        <v>17556</v>
      </c>
      <c r="K54" s="45" t="s">
        <v>398</v>
      </c>
      <c r="L54" s="46">
        <v>1</v>
      </c>
      <c r="M54" s="512"/>
      <c r="N54" s="57"/>
      <c r="O54" s="43"/>
      <c r="P54" s="37"/>
      <c r="Q54" s="38"/>
      <c r="R54" s="79"/>
      <c r="S54" s="43"/>
      <c r="T54" s="37"/>
      <c r="U54" s="38"/>
      <c r="V54" s="79"/>
      <c r="W54" s="208">
        <f>ROUND((ROUND((ROUND((ROUND((ROUND((_15_同援日増１．０*_15・基礎２),0)*_15・２人),0)*(1+_15・A早朝)),0)*(1+_15・盲ろう)),0)*(1+_15・区４)),0)</f>
        <v>256</v>
      </c>
      <c r="X54" s="48"/>
    </row>
    <row r="55" spans="1:24" ht="16.5" customHeight="1" x14ac:dyDescent="0.15">
      <c r="A55" s="41">
        <v>15</v>
      </c>
      <c r="B55" s="41" t="s">
        <v>24612</v>
      </c>
      <c r="C55" s="74" t="s">
        <v>24613</v>
      </c>
      <c r="D55" s="114" t="s">
        <v>24614</v>
      </c>
      <c r="E55" s="49"/>
      <c r="F55" s="115"/>
      <c r="G55" s="53"/>
      <c r="H55" s="49"/>
      <c r="I55" s="50"/>
      <c r="J55" s="163"/>
      <c r="K55" s="45"/>
      <c r="L55" s="46"/>
      <c r="M55" s="512"/>
      <c r="N55" s="57"/>
      <c r="O55" s="53"/>
      <c r="P55" s="49"/>
      <c r="Q55" s="50"/>
      <c r="R55" s="115"/>
      <c r="S55" s="53"/>
      <c r="T55" s="49"/>
      <c r="U55" s="50"/>
      <c r="V55" s="115"/>
      <c r="W55" s="208">
        <f>ROUND((_15_同援日増１．５*(1+_15・A早朝)),0)</f>
        <v>244</v>
      </c>
      <c r="X55" s="48"/>
    </row>
    <row r="56" spans="1:24" ht="16.5" customHeight="1" x14ac:dyDescent="0.15">
      <c r="A56" s="41">
        <v>15</v>
      </c>
      <c r="B56" s="41" t="s">
        <v>24615</v>
      </c>
      <c r="C56" s="74" t="s">
        <v>24616</v>
      </c>
      <c r="D56" s="72" t="s">
        <v>17616</v>
      </c>
      <c r="F56" s="57"/>
      <c r="G56" s="43"/>
      <c r="H56" s="37"/>
      <c r="I56" s="38"/>
      <c r="J56" s="299" t="s">
        <v>17556</v>
      </c>
      <c r="K56" s="45" t="s">
        <v>398</v>
      </c>
      <c r="L56" s="46">
        <v>1</v>
      </c>
      <c r="M56" s="512"/>
      <c r="N56" s="57"/>
      <c r="O56" s="35"/>
      <c r="R56" s="57"/>
      <c r="S56" s="35"/>
      <c r="V56" s="57"/>
      <c r="W56" s="208">
        <f>ROUND((ROUND((_15_同援日増１．５*_15・２人),0)*(1+_15・A早朝)),0)</f>
        <v>244</v>
      </c>
      <c r="X56" s="48"/>
    </row>
    <row r="57" spans="1:24" ht="16.5" customHeight="1" x14ac:dyDescent="0.15">
      <c r="A57" s="41">
        <v>15</v>
      </c>
      <c r="B57" s="41" t="s">
        <v>24617</v>
      </c>
      <c r="C57" s="74" t="s">
        <v>24618</v>
      </c>
      <c r="D57" s="72" t="s">
        <v>18183</v>
      </c>
      <c r="F57" s="57"/>
      <c r="G57" s="114" t="s">
        <v>17558</v>
      </c>
      <c r="H57" s="49"/>
      <c r="I57" s="50"/>
      <c r="J57" s="163"/>
      <c r="K57" s="45"/>
      <c r="L57" s="46"/>
      <c r="M57" s="512"/>
      <c r="N57" s="57"/>
      <c r="O57" s="35"/>
      <c r="R57" s="57"/>
      <c r="S57" s="35"/>
      <c r="V57" s="57"/>
      <c r="W57" s="208">
        <f>ROUND((ROUND((_15_同援日増１．５*_15・基礎２),0)*(1+_15・A早朝)),0)</f>
        <v>220</v>
      </c>
      <c r="X57" s="48"/>
    </row>
    <row r="58" spans="1:24" ht="16.5" customHeight="1" x14ac:dyDescent="0.15">
      <c r="A58" s="41">
        <v>15</v>
      </c>
      <c r="B58" s="41" t="s">
        <v>24619</v>
      </c>
      <c r="C58" s="74" t="s">
        <v>24620</v>
      </c>
      <c r="D58" s="72"/>
      <c r="E58" s="168">
        <f>_15_同援日増１．５</f>
        <v>195</v>
      </c>
      <c r="F58" s="57" t="s">
        <v>392</v>
      </c>
      <c r="G58" s="269" t="s">
        <v>17560</v>
      </c>
      <c r="H58" s="37" t="s">
        <v>398</v>
      </c>
      <c r="I58" s="38">
        <v>0.9</v>
      </c>
      <c r="J58" s="299" t="s">
        <v>17556</v>
      </c>
      <c r="K58" s="45" t="s">
        <v>398</v>
      </c>
      <c r="L58" s="46">
        <v>1</v>
      </c>
      <c r="M58" s="512"/>
      <c r="N58" s="57"/>
      <c r="O58" s="43"/>
      <c r="P58" s="37"/>
      <c r="Q58" s="38"/>
      <c r="R58" s="79"/>
      <c r="S58" s="35"/>
      <c r="V58" s="57"/>
      <c r="W58" s="208">
        <f>ROUND((ROUND((ROUND((_15_同援日増１．５*_15・基礎２),0)*_15・２人),0)*(1+_15・A早朝)),0)</f>
        <v>220</v>
      </c>
      <c r="X58" s="48"/>
    </row>
    <row r="59" spans="1:24" ht="16.5" customHeight="1" x14ac:dyDescent="0.15">
      <c r="A59" s="41">
        <v>15</v>
      </c>
      <c r="B59" s="41" t="s">
        <v>24621</v>
      </c>
      <c r="C59" s="74" t="s">
        <v>24622</v>
      </c>
      <c r="D59" s="72"/>
      <c r="F59" s="57"/>
      <c r="G59" s="53"/>
      <c r="H59" s="49"/>
      <c r="I59" s="50"/>
      <c r="J59" s="163"/>
      <c r="K59" s="45"/>
      <c r="L59" s="46"/>
      <c r="M59" s="512"/>
      <c r="N59" s="57"/>
      <c r="O59" s="114" t="s">
        <v>17562</v>
      </c>
      <c r="P59" s="49"/>
      <c r="Q59" s="50"/>
      <c r="R59" s="115"/>
      <c r="S59" s="35"/>
      <c r="V59" s="57"/>
      <c r="W59" s="208">
        <f>ROUND((ROUND((_15_同援日増１．５*(1+_15・A早朝)),0)*(1+_15・盲ろう)),0)</f>
        <v>305</v>
      </c>
      <c r="X59" s="48"/>
    </row>
    <row r="60" spans="1:24" ht="16.5" customHeight="1" x14ac:dyDescent="0.15">
      <c r="A60" s="41">
        <v>15</v>
      </c>
      <c r="B60" s="41" t="s">
        <v>24623</v>
      </c>
      <c r="C60" s="74" t="s">
        <v>24624</v>
      </c>
      <c r="D60" s="72"/>
      <c r="F60" s="57"/>
      <c r="G60" s="43"/>
      <c r="H60" s="37"/>
      <c r="I60" s="38"/>
      <c r="J60" s="299" t="s">
        <v>17556</v>
      </c>
      <c r="K60" s="45" t="s">
        <v>398</v>
      </c>
      <c r="L60" s="46">
        <v>1</v>
      </c>
      <c r="M60" s="512"/>
      <c r="N60" s="57"/>
      <c r="O60" s="92" t="s">
        <v>17564</v>
      </c>
      <c r="R60" s="57"/>
      <c r="S60" s="35"/>
      <c r="V60" s="57"/>
      <c r="W60" s="208">
        <f>ROUND((ROUND((ROUND((_15_同援日増１．５*_15・２人),0)*(1+_15・A早朝)),0)*(1+_15・盲ろう)),0)</f>
        <v>305</v>
      </c>
      <c r="X60" s="48"/>
    </row>
    <row r="61" spans="1:24" ht="16.5" customHeight="1" x14ac:dyDescent="0.15">
      <c r="A61" s="41">
        <v>15</v>
      </c>
      <c r="B61" s="41" t="s">
        <v>2094</v>
      </c>
      <c r="C61" s="74" t="s">
        <v>24625</v>
      </c>
      <c r="D61" s="72"/>
      <c r="F61" s="57"/>
      <c r="G61" s="114" t="s">
        <v>17558</v>
      </c>
      <c r="H61" s="49"/>
      <c r="I61" s="50"/>
      <c r="J61" s="163"/>
      <c r="K61" s="45"/>
      <c r="L61" s="46"/>
      <c r="M61" s="512"/>
      <c r="N61" s="57"/>
      <c r="O61" s="35"/>
      <c r="P61" s="12" t="s">
        <v>398</v>
      </c>
      <c r="Q61" s="13">
        <v>0.25</v>
      </c>
      <c r="R61" s="57" t="s">
        <v>3575</v>
      </c>
      <c r="S61" s="35"/>
      <c r="V61" s="57"/>
      <c r="W61" s="208">
        <f>ROUND((ROUND((ROUND((_15_同援日増１．５*_15・基礎２),0)*(1+_15・A早朝)),0)*(1+_15・盲ろう)),0)</f>
        <v>275</v>
      </c>
      <c r="X61" s="48"/>
    </row>
    <row r="62" spans="1:24" ht="16.5" customHeight="1" x14ac:dyDescent="0.15">
      <c r="A62" s="41">
        <v>15</v>
      </c>
      <c r="B62" s="41" t="s">
        <v>2096</v>
      </c>
      <c r="C62" s="74" t="s">
        <v>24626</v>
      </c>
      <c r="D62" s="72"/>
      <c r="F62" s="57"/>
      <c r="G62" s="269" t="s">
        <v>17560</v>
      </c>
      <c r="H62" s="37" t="s">
        <v>398</v>
      </c>
      <c r="I62" s="38">
        <v>0.9</v>
      </c>
      <c r="J62" s="299" t="s">
        <v>17556</v>
      </c>
      <c r="K62" s="45" t="s">
        <v>398</v>
      </c>
      <c r="L62" s="46">
        <v>1</v>
      </c>
      <c r="M62" s="512"/>
      <c r="N62" s="57"/>
      <c r="O62" s="43"/>
      <c r="P62" s="37"/>
      <c r="Q62" s="38"/>
      <c r="R62" s="79"/>
      <c r="S62" s="43"/>
      <c r="T62" s="37"/>
      <c r="U62" s="38"/>
      <c r="V62" s="79"/>
      <c r="W62" s="208">
        <f>ROUND((ROUND((ROUND((ROUND((_15_同援日増１．５*_15・基礎２),0)*_15・２人),0)*(1+_15・A早朝)),0)*(1+_15・盲ろう)),0)</f>
        <v>275</v>
      </c>
      <c r="X62" s="48"/>
    </row>
    <row r="63" spans="1:24" ht="16.5" customHeight="1" x14ac:dyDescent="0.15">
      <c r="A63" s="41">
        <v>15</v>
      </c>
      <c r="B63" s="41" t="s">
        <v>2098</v>
      </c>
      <c r="C63" s="74" t="s">
        <v>24627</v>
      </c>
      <c r="D63" s="72"/>
      <c r="F63" s="57"/>
      <c r="G63" s="53"/>
      <c r="H63" s="49"/>
      <c r="I63" s="50"/>
      <c r="J63" s="163"/>
      <c r="K63" s="45"/>
      <c r="L63" s="46"/>
      <c r="M63" s="512"/>
      <c r="N63" s="57"/>
      <c r="O63" s="53"/>
      <c r="P63" s="49"/>
      <c r="Q63" s="50"/>
      <c r="R63" s="115"/>
      <c r="S63" s="53"/>
      <c r="T63" s="49"/>
      <c r="U63" s="50"/>
      <c r="V63" s="115"/>
      <c r="W63" s="208">
        <f>ROUND((ROUND((_15_同援日増１．５*(1+_15・A早朝)),0)*(1+_15・区３)),0)</f>
        <v>293</v>
      </c>
      <c r="X63" s="48"/>
    </row>
    <row r="64" spans="1:24" ht="16.5" customHeight="1" x14ac:dyDescent="0.15">
      <c r="A64" s="41">
        <v>15</v>
      </c>
      <c r="B64" s="41" t="s">
        <v>2100</v>
      </c>
      <c r="C64" s="74" t="s">
        <v>24628</v>
      </c>
      <c r="D64" s="72"/>
      <c r="F64" s="57"/>
      <c r="G64" s="43"/>
      <c r="H64" s="37"/>
      <c r="I64" s="38"/>
      <c r="J64" s="299" t="s">
        <v>17556</v>
      </c>
      <c r="K64" s="45" t="s">
        <v>398</v>
      </c>
      <c r="L64" s="46">
        <v>1</v>
      </c>
      <c r="M64" s="512"/>
      <c r="N64" s="57"/>
      <c r="O64" s="35"/>
      <c r="R64" s="57"/>
      <c r="S64" s="35"/>
      <c r="V64" s="57"/>
      <c r="W64" s="208">
        <f>ROUND((ROUND((ROUND((_15_同援日増１．５*_15・２人),0)*(1+_15・A早朝)),0)*(1+_15・区３)),0)</f>
        <v>293</v>
      </c>
      <c r="X64" s="48"/>
    </row>
    <row r="65" spans="1:24" ht="16.5" customHeight="1" x14ac:dyDescent="0.15">
      <c r="A65" s="41">
        <v>15</v>
      </c>
      <c r="B65" s="41" t="s">
        <v>24629</v>
      </c>
      <c r="C65" s="74" t="s">
        <v>24630</v>
      </c>
      <c r="D65" s="72"/>
      <c r="F65" s="57"/>
      <c r="G65" s="114" t="s">
        <v>17558</v>
      </c>
      <c r="H65" s="49"/>
      <c r="I65" s="50"/>
      <c r="J65" s="163"/>
      <c r="K65" s="45"/>
      <c r="L65" s="46"/>
      <c r="M65" s="512"/>
      <c r="N65" s="57"/>
      <c r="O65" s="35"/>
      <c r="R65" s="57"/>
      <c r="S65" s="72" t="s">
        <v>17570</v>
      </c>
      <c r="V65" s="57"/>
      <c r="W65" s="208">
        <f>ROUND((ROUND((ROUND((_15_同援日増１．５*_15・基礎２),0)*(1+_15・A早朝)),0)*(1+_15・区３)),0)</f>
        <v>264</v>
      </c>
      <c r="X65" s="48"/>
    </row>
    <row r="66" spans="1:24" ht="16.5" customHeight="1" x14ac:dyDescent="0.15">
      <c r="A66" s="41">
        <v>15</v>
      </c>
      <c r="B66" s="41" t="s">
        <v>24631</v>
      </c>
      <c r="C66" s="74" t="s">
        <v>24632</v>
      </c>
      <c r="D66" s="72"/>
      <c r="F66" s="57"/>
      <c r="G66" s="269" t="s">
        <v>17560</v>
      </c>
      <c r="H66" s="37" t="s">
        <v>398</v>
      </c>
      <c r="I66" s="38">
        <v>0.9</v>
      </c>
      <c r="J66" s="299" t="s">
        <v>17556</v>
      </c>
      <c r="K66" s="45" t="s">
        <v>398</v>
      </c>
      <c r="L66" s="46">
        <v>1</v>
      </c>
      <c r="M66" s="512"/>
      <c r="N66" s="57"/>
      <c r="O66" s="43"/>
      <c r="P66" s="37"/>
      <c r="Q66" s="38"/>
      <c r="R66" s="79"/>
      <c r="S66" s="72" t="s">
        <v>17572</v>
      </c>
      <c r="V66" s="57"/>
      <c r="W66" s="208">
        <f>ROUND((ROUND((ROUND((ROUND((_15_同援日増１．５*_15・基礎２),0)*_15・２人),0)*(1+_15・A早朝)),0)*(1+_15・区３)),0)</f>
        <v>264</v>
      </c>
      <c r="X66" s="48"/>
    </row>
    <row r="67" spans="1:24" ht="16.5" customHeight="1" x14ac:dyDescent="0.15">
      <c r="A67" s="41">
        <v>15</v>
      </c>
      <c r="B67" s="41" t="s">
        <v>24633</v>
      </c>
      <c r="C67" s="74" t="s">
        <v>24634</v>
      </c>
      <c r="D67" s="72"/>
      <c r="F67" s="57"/>
      <c r="G67" s="53"/>
      <c r="H67" s="49"/>
      <c r="I67" s="50"/>
      <c r="J67" s="163"/>
      <c r="K67" s="45"/>
      <c r="L67" s="46"/>
      <c r="M67" s="512"/>
      <c r="N67" s="57"/>
      <c r="O67" s="114" t="s">
        <v>17562</v>
      </c>
      <c r="P67" s="49"/>
      <c r="Q67" s="50"/>
      <c r="R67" s="115"/>
      <c r="S67" s="35"/>
      <c r="T67" s="12" t="s">
        <v>398</v>
      </c>
      <c r="U67" s="13">
        <v>0.2</v>
      </c>
      <c r="V67" s="57" t="s">
        <v>3575</v>
      </c>
      <c r="W67" s="208">
        <f>ROUND((ROUND((ROUND((_15_同援日増１．５*(1+_15・A早朝)),0)*(1+_15・盲ろう)),0)*(1+_15・区３)),0)</f>
        <v>366</v>
      </c>
      <c r="X67" s="48"/>
    </row>
    <row r="68" spans="1:24" ht="16.5" customHeight="1" x14ac:dyDescent="0.15">
      <c r="A68" s="41">
        <v>15</v>
      </c>
      <c r="B68" s="41" t="s">
        <v>24635</v>
      </c>
      <c r="C68" s="74" t="s">
        <v>24636</v>
      </c>
      <c r="D68" s="72"/>
      <c r="F68" s="57"/>
      <c r="G68" s="43"/>
      <c r="H68" s="37"/>
      <c r="I68" s="38"/>
      <c r="J68" s="299" t="s">
        <v>17556</v>
      </c>
      <c r="K68" s="45" t="s">
        <v>398</v>
      </c>
      <c r="L68" s="46">
        <v>1</v>
      </c>
      <c r="M68" s="512"/>
      <c r="N68" s="57"/>
      <c r="O68" s="92" t="s">
        <v>17564</v>
      </c>
      <c r="R68" s="57"/>
      <c r="S68" s="35"/>
      <c r="V68" s="57"/>
      <c r="W68" s="208">
        <f>ROUND((ROUND((ROUND((ROUND((_15_同援日増１．５*_15・２人),0)*(1+_15・A早朝)),0)*(1+_15・盲ろう)),0)*(1+_15・区３)),0)</f>
        <v>366</v>
      </c>
      <c r="X68" s="48"/>
    </row>
    <row r="69" spans="1:24" ht="16.5" customHeight="1" x14ac:dyDescent="0.15">
      <c r="A69" s="41">
        <v>15</v>
      </c>
      <c r="B69" s="41" t="s">
        <v>24637</v>
      </c>
      <c r="C69" s="74" t="s">
        <v>24638</v>
      </c>
      <c r="D69" s="72"/>
      <c r="F69" s="57"/>
      <c r="G69" s="114" t="s">
        <v>17558</v>
      </c>
      <c r="H69" s="49"/>
      <c r="I69" s="50"/>
      <c r="J69" s="163"/>
      <c r="K69" s="45"/>
      <c r="L69" s="46"/>
      <c r="M69" s="512"/>
      <c r="N69" s="57"/>
      <c r="O69" s="35"/>
      <c r="P69" s="12" t="s">
        <v>398</v>
      </c>
      <c r="Q69" s="13">
        <v>0.25</v>
      </c>
      <c r="R69" s="57" t="s">
        <v>3575</v>
      </c>
      <c r="S69" s="35"/>
      <c r="V69" s="57"/>
      <c r="W69" s="208">
        <f>ROUND((ROUND((ROUND((ROUND((_15_同援日増１．５*_15・基礎２),0)*(1+_15・A早朝)),0)*(1+_15・盲ろう)),0)*(1+_15・区３)),0)</f>
        <v>330</v>
      </c>
      <c r="X69" s="48"/>
    </row>
    <row r="70" spans="1:24" ht="16.5" customHeight="1" x14ac:dyDescent="0.15">
      <c r="A70" s="41">
        <v>15</v>
      </c>
      <c r="B70" s="41" t="s">
        <v>24639</v>
      </c>
      <c r="C70" s="74" t="s">
        <v>24640</v>
      </c>
      <c r="D70" s="72"/>
      <c r="F70" s="57"/>
      <c r="G70" s="269" t="s">
        <v>17560</v>
      </c>
      <c r="H70" s="37" t="s">
        <v>398</v>
      </c>
      <c r="I70" s="38">
        <v>0.9</v>
      </c>
      <c r="J70" s="299" t="s">
        <v>17556</v>
      </c>
      <c r="K70" s="45" t="s">
        <v>398</v>
      </c>
      <c r="L70" s="46">
        <v>1</v>
      </c>
      <c r="M70" s="512"/>
      <c r="N70" s="57"/>
      <c r="O70" s="43"/>
      <c r="P70" s="37"/>
      <c r="Q70" s="38"/>
      <c r="R70" s="79"/>
      <c r="S70" s="43"/>
      <c r="T70" s="37"/>
      <c r="U70" s="38"/>
      <c r="V70" s="79"/>
      <c r="W70" s="208">
        <f>ROUND((ROUND((ROUND((ROUND((ROUND((_15_同援日増１．５*_15・基礎２),0)*_15・２人),0)*(1+_15・A早朝)),0)*(1+_15・盲ろう)),0)*(1+_15・区３)),0)</f>
        <v>330</v>
      </c>
      <c r="X70" s="48"/>
    </row>
    <row r="71" spans="1:24" ht="16.5" customHeight="1" x14ac:dyDescent="0.15">
      <c r="A71" s="41">
        <v>15</v>
      </c>
      <c r="B71" s="41" t="s">
        <v>24641</v>
      </c>
      <c r="C71" s="74" t="s">
        <v>24642</v>
      </c>
      <c r="D71" s="72"/>
      <c r="F71" s="57"/>
      <c r="G71" s="53"/>
      <c r="H71" s="49"/>
      <c r="I71" s="50"/>
      <c r="J71" s="163"/>
      <c r="K71" s="45"/>
      <c r="L71" s="46"/>
      <c r="M71" s="512"/>
      <c r="N71" s="57"/>
      <c r="O71" s="53"/>
      <c r="P71" s="49"/>
      <c r="Q71" s="50"/>
      <c r="R71" s="115"/>
      <c r="S71" s="53"/>
      <c r="T71" s="49"/>
      <c r="U71" s="50"/>
      <c r="V71" s="115"/>
      <c r="W71" s="208">
        <f>ROUND((ROUND((_15_同援日増１．５*(1+_15・A早朝)),0)*(1+_15・区４)),0)</f>
        <v>342</v>
      </c>
      <c r="X71" s="48"/>
    </row>
    <row r="72" spans="1:24" ht="16.5" customHeight="1" x14ac:dyDescent="0.15">
      <c r="A72" s="41">
        <v>15</v>
      </c>
      <c r="B72" s="41" t="s">
        <v>24643</v>
      </c>
      <c r="C72" s="74" t="s">
        <v>24644</v>
      </c>
      <c r="D72" s="72"/>
      <c r="F72" s="57"/>
      <c r="G72" s="43"/>
      <c r="H72" s="37"/>
      <c r="I72" s="38"/>
      <c r="J72" s="299" t="s">
        <v>17556</v>
      </c>
      <c r="K72" s="45" t="s">
        <v>398</v>
      </c>
      <c r="L72" s="46">
        <v>1</v>
      </c>
      <c r="M72" s="512"/>
      <c r="N72" s="57"/>
      <c r="O72" s="35"/>
      <c r="R72" s="57"/>
      <c r="S72" s="35"/>
      <c r="V72" s="57"/>
      <c r="W72" s="208">
        <f>ROUND((ROUND((ROUND((_15_同援日増１．５*_15・２人),0)*(1+_15・A早朝)),0)*(1+_15・区４)),0)</f>
        <v>342</v>
      </c>
      <c r="X72" s="48"/>
    </row>
    <row r="73" spans="1:24" ht="16.5" customHeight="1" x14ac:dyDescent="0.15">
      <c r="A73" s="41">
        <v>15</v>
      </c>
      <c r="B73" s="41" t="s">
        <v>24645</v>
      </c>
      <c r="C73" s="74" t="s">
        <v>24646</v>
      </c>
      <c r="D73" s="72"/>
      <c r="F73" s="57"/>
      <c r="G73" s="114" t="s">
        <v>17558</v>
      </c>
      <c r="H73" s="49"/>
      <c r="I73" s="50"/>
      <c r="J73" s="163"/>
      <c r="K73" s="45"/>
      <c r="L73" s="46"/>
      <c r="M73" s="512"/>
      <c r="N73" s="57"/>
      <c r="O73" s="35"/>
      <c r="R73" s="57"/>
      <c r="S73" s="72" t="s">
        <v>17580</v>
      </c>
      <c r="V73" s="57"/>
      <c r="W73" s="208">
        <f>ROUND((ROUND((ROUND((_15_同援日増１．５*_15・基礎２),0)*(1+_15・A早朝)),0)*(1+_15・区４)),0)</f>
        <v>308</v>
      </c>
      <c r="X73" s="48"/>
    </row>
    <row r="74" spans="1:24" ht="16.5" customHeight="1" x14ac:dyDescent="0.15">
      <c r="A74" s="41">
        <v>15</v>
      </c>
      <c r="B74" s="41" t="s">
        <v>24647</v>
      </c>
      <c r="C74" s="74" t="s">
        <v>24648</v>
      </c>
      <c r="D74" s="72"/>
      <c r="F74" s="57"/>
      <c r="G74" s="269" t="s">
        <v>17560</v>
      </c>
      <c r="H74" s="37" t="s">
        <v>398</v>
      </c>
      <c r="I74" s="38">
        <v>0.9</v>
      </c>
      <c r="J74" s="299" t="s">
        <v>17556</v>
      </c>
      <c r="K74" s="45" t="s">
        <v>398</v>
      </c>
      <c r="L74" s="46">
        <v>1</v>
      </c>
      <c r="M74" s="512"/>
      <c r="N74" s="57"/>
      <c r="O74" s="43"/>
      <c r="P74" s="37"/>
      <c r="Q74" s="38"/>
      <c r="R74" s="79"/>
      <c r="S74" s="72" t="s">
        <v>17572</v>
      </c>
      <c r="V74" s="57"/>
      <c r="W74" s="208">
        <f>ROUND((ROUND((ROUND((ROUND((_15_同援日増１．５*_15・基礎２),0)*_15・２人),0)*(1+_15・A早朝)),0)*(1+_15・区４)),0)</f>
        <v>308</v>
      </c>
      <c r="X74" s="48"/>
    </row>
    <row r="75" spans="1:24" ht="16.5" customHeight="1" x14ac:dyDescent="0.15">
      <c r="A75" s="41">
        <v>15</v>
      </c>
      <c r="B75" s="41" t="s">
        <v>24649</v>
      </c>
      <c r="C75" s="74" t="s">
        <v>24650</v>
      </c>
      <c r="D75" s="72"/>
      <c r="F75" s="57"/>
      <c r="G75" s="53"/>
      <c r="H75" s="49"/>
      <c r="I75" s="50"/>
      <c r="J75" s="163"/>
      <c r="K75" s="45"/>
      <c r="L75" s="46"/>
      <c r="M75" s="512"/>
      <c r="N75" s="57"/>
      <c r="O75" s="114" t="s">
        <v>17562</v>
      </c>
      <c r="P75" s="49"/>
      <c r="Q75" s="50"/>
      <c r="R75" s="115"/>
      <c r="S75" s="35"/>
      <c r="T75" s="12" t="s">
        <v>398</v>
      </c>
      <c r="U75" s="13">
        <v>0.4</v>
      </c>
      <c r="V75" s="57" t="s">
        <v>3575</v>
      </c>
      <c r="W75" s="208">
        <f>ROUND((ROUND((ROUND((_15_同援日増１．５*(1+_15・A早朝)),0)*(1+_15・盲ろう)),0)*(1+_15・区４)),0)</f>
        <v>427</v>
      </c>
      <c r="X75" s="48"/>
    </row>
    <row r="76" spans="1:24" ht="16.5" customHeight="1" x14ac:dyDescent="0.15">
      <c r="A76" s="41">
        <v>15</v>
      </c>
      <c r="B76" s="41" t="s">
        <v>24651</v>
      </c>
      <c r="C76" s="74" t="s">
        <v>24652</v>
      </c>
      <c r="D76" s="72"/>
      <c r="F76" s="57"/>
      <c r="G76" s="43"/>
      <c r="H76" s="37"/>
      <c r="I76" s="38"/>
      <c r="J76" s="299" t="s">
        <v>17556</v>
      </c>
      <c r="K76" s="45" t="s">
        <v>398</v>
      </c>
      <c r="L76" s="46">
        <v>1</v>
      </c>
      <c r="M76" s="512"/>
      <c r="N76" s="57"/>
      <c r="O76" s="92" t="s">
        <v>17564</v>
      </c>
      <c r="R76" s="57"/>
      <c r="S76" s="35"/>
      <c r="V76" s="57"/>
      <c r="W76" s="208">
        <f>ROUND((ROUND((ROUND((ROUND((_15_同援日増１．５*_15・２人),0)*(1+_15・A早朝)),0)*(1+_15・盲ろう)),0)*(1+_15・区４)),0)</f>
        <v>427</v>
      </c>
      <c r="X76" s="48"/>
    </row>
    <row r="77" spans="1:24" ht="16.5" customHeight="1" x14ac:dyDescent="0.15">
      <c r="A77" s="41">
        <v>15</v>
      </c>
      <c r="B77" s="41" t="s">
        <v>24653</v>
      </c>
      <c r="C77" s="74" t="s">
        <v>24654</v>
      </c>
      <c r="D77" s="72"/>
      <c r="F77" s="57"/>
      <c r="G77" s="114" t="s">
        <v>17558</v>
      </c>
      <c r="H77" s="49"/>
      <c r="I77" s="50"/>
      <c r="J77" s="163"/>
      <c r="K77" s="45"/>
      <c r="L77" s="46"/>
      <c r="M77" s="512"/>
      <c r="N77" s="57"/>
      <c r="O77" s="35"/>
      <c r="P77" s="12" t="s">
        <v>398</v>
      </c>
      <c r="Q77" s="13">
        <v>0.25</v>
      </c>
      <c r="R77" s="57" t="s">
        <v>3575</v>
      </c>
      <c r="S77" s="35"/>
      <c r="V77" s="57"/>
      <c r="W77" s="208">
        <f>ROUND((ROUND((ROUND((ROUND((_15_同援日増１．５*_15・基礎２),0)*(1+_15・A早朝)),0)*(1+_15・盲ろう)),0)*(1+_15・区４)),0)</f>
        <v>385</v>
      </c>
      <c r="X77" s="48"/>
    </row>
    <row r="78" spans="1:24" ht="16.5" customHeight="1" x14ac:dyDescent="0.15">
      <c r="A78" s="41">
        <v>15</v>
      </c>
      <c r="B78" s="41" t="s">
        <v>24655</v>
      </c>
      <c r="C78" s="74" t="s">
        <v>24656</v>
      </c>
      <c r="D78" s="122"/>
      <c r="E78" s="37"/>
      <c r="F78" s="79"/>
      <c r="G78" s="269" t="s">
        <v>17560</v>
      </c>
      <c r="H78" s="37" t="s">
        <v>398</v>
      </c>
      <c r="I78" s="38">
        <v>0.9</v>
      </c>
      <c r="J78" s="299" t="s">
        <v>17556</v>
      </c>
      <c r="K78" s="45" t="s">
        <v>398</v>
      </c>
      <c r="L78" s="46">
        <v>1</v>
      </c>
      <c r="M78" s="514"/>
      <c r="N78" s="79"/>
      <c r="O78" s="43"/>
      <c r="P78" s="37"/>
      <c r="Q78" s="38"/>
      <c r="R78" s="79"/>
      <c r="S78" s="43"/>
      <c r="T78" s="37"/>
      <c r="U78" s="38"/>
      <c r="V78" s="79"/>
      <c r="W78" s="208">
        <f>ROUND((ROUND((ROUND((ROUND((ROUND((_15_同援日増１．５*_15・基礎２),0)*_15・２人),0)*(1+_15・A早朝)),0)*(1+_15・盲ろう)),0)*(1+_15・区４)),0)</f>
        <v>385</v>
      </c>
      <c r="X78" s="63"/>
    </row>
    <row r="79" spans="1:24" ht="16.5" customHeight="1" x14ac:dyDescent="0.15">
      <c r="A79" s="41">
        <v>15</v>
      </c>
      <c r="B79" s="41" t="s">
        <v>24657</v>
      </c>
      <c r="C79" s="74" t="s">
        <v>24658</v>
      </c>
      <c r="D79" s="114" t="s">
        <v>24659</v>
      </c>
      <c r="E79" s="49"/>
      <c r="F79" s="115"/>
      <c r="G79" s="53"/>
      <c r="H79" s="49"/>
      <c r="I79" s="50"/>
      <c r="J79" s="163"/>
      <c r="K79" s="45"/>
      <c r="L79" s="46"/>
      <c r="M79" s="515"/>
      <c r="N79" s="115"/>
      <c r="O79" s="53"/>
      <c r="P79" s="49"/>
      <c r="Q79" s="50"/>
      <c r="R79" s="115"/>
      <c r="S79" s="53"/>
      <c r="T79" s="49"/>
      <c r="U79" s="50"/>
      <c r="V79" s="115"/>
      <c r="W79" s="208">
        <f>ROUND((_15_同援日増２．０*(1+_15・A早朝)),0)</f>
        <v>325</v>
      </c>
      <c r="X79" s="64"/>
    </row>
    <row r="80" spans="1:24" ht="16.5" customHeight="1" x14ac:dyDescent="0.15">
      <c r="A80" s="41">
        <v>15</v>
      </c>
      <c r="B80" s="41" t="s">
        <v>24660</v>
      </c>
      <c r="C80" s="74" t="s">
        <v>24661</v>
      </c>
      <c r="D80" s="72" t="s">
        <v>17643</v>
      </c>
      <c r="F80" s="57"/>
      <c r="G80" s="43"/>
      <c r="H80" s="37"/>
      <c r="I80" s="38"/>
      <c r="J80" s="299" t="s">
        <v>17556</v>
      </c>
      <c r="K80" s="45" t="s">
        <v>398</v>
      </c>
      <c r="L80" s="46">
        <v>1</v>
      </c>
      <c r="M80" s="512"/>
      <c r="N80" s="57"/>
      <c r="O80" s="35"/>
      <c r="R80" s="57"/>
      <c r="S80" s="35"/>
      <c r="V80" s="57"/>
      <c r="W80" s="208">
        <f>ROUND((ROUND((_15_同援日増２．０*_15・２人),0)*(1+_15・A早朝)),0)</f>
        <v>325</v>
      </c>
      <c r="X80" s="48"/>
    </row>
    <row r="81" spans="1:24" ht="16.5" customHeight="1" x14ac:dyDescent="0.15">
      <c r="A81" s="41">
        <v>15</v>
      </c>
      <c r="B81" s="41" t="s">
        <v>2107</v>
      </c>
      <c r="C81" s="74" t="s">
        <v>24662</v>
      </c>
      <c r="D81" s="72" t="s">
        <v>17645</v>
      </c>
      <c r="F81" s="57"/>
      <c r="G81" s="114" t="s">
        <v>17558</v>
      </c>
      <c r="H81" s="49"/>
      <c r="I81" s="50"/>
      <c r="J81" s="163"/>
      <c r="K81" s="45"/>
      <c r="L81" s="46"/>
      <c r="M81" s="512"/>
      <c r="N81" s="57"/>
      <c r="O81" s="35"/>
      <c r="R81" s="57"/>
      <c r="S81" s="35"/>
      <c r="V81" s="57"/>
      <c r="W81" s="208">
        <f>ROUND((ROUND((_15_同援日増２．０*_15・基礎２),0)*(1+_15・A早朝)),0)</f>
        <v>293</v>
      </c>
      <c r="X81" s="48"/>
    </row>
    <row r="82" spans="1:24" ht="16.5" customHeight="1" x14ac:dyDescent="0.15">
      <c r="A82" s="41">
        <v>15</v>
      </c>
      <c r="B82" s="41" t="s">
        <v>2109</v>
      </c>
      <c r="C82" s="74" t="s">
        <v>24663</v>
      </c>
      <c r="D82" s="72"/>
      <c r="E82" s="168">
        <f>_15_同援日増２．０</f>
        <v>260</v>
      </c>
      <c r="F82" s="57" t="s">
        <v>392</v>
      </c>
      <c r="G82" s="269" t="s">
        <v>17560</v>
      </c>
      <c r="H82" s="37" t="s">
        <v>398</v>
      </c>
      <c r="I82" s="38">
        <v>0.9</v>
      </c>
      <c r="J82" s="299" t="s">
        <v>17556</v>
      </c>
      <c r="K82" s="45" t="s">
        <v>398</v>
      </c>
      <c r="L82" s="46">
        <v>1</v>
      </c>
      <c r="M82" s="512"/>
      <c r="N82" s="57"/>
      <c r="O82" s="43"/>
      <c r="P82" s="37"/>
      <c r="Q82" s="38"/>
      <c r="R82" s="79"/>
      <c r="S82" s="35"/>
      <c r="V82" s="57"/>
      <c r="W82" s="208">
        <f>ROUND((ROUND((ROUND((_15_同援日増２．０*_15・基礎２),0)*_15・２人),0)*(1+_15・A早朝)),0)</f>
        <v>293</v>
      </c>
      <c r="X82" s="48"/>
    </row>
    <row r="83" spans="1:24" ht="16.5" customHeight="1" x14ac:dyDescent="0.15">
      <c r="A83" s="41">
        <v>15</v>
      </c>
      <c r="B83" s="41" t="s">
        <v>2111</v>
      </c>
      <c r="C83" s="74" t="s">
        <v>24664</v>
      </c>
      <c r="D83" s="72"/>
      <c r="F83" s="57"/>
      <c r="G83" s="53"/>
      <c r="H83" s="49"/>
      <c r="I83" s="50"/>
      <c r="J83" s="163"/>
      <c r="K83" s="45"/>
      <c r="L83" s="46"/>
      <c r="M83" s="512"/>
      <c r="N83" s="57"/>
      <c r="O83" s="114" t="s">
        <v>17562</v>
      </c>
      <c r="P83" s="49"/>
      <c r="Q83" s="50"/>
      <c r="R83" s="115"/>
      <c r="S83" s="35"/>
      <c r="V83" s="57"/>
      <c r="W83" s="208">
        <f>ROUND((ROUND((_15_同援日増２．０*(1+_15・A早朝)),0)*(1+_15・盲ろう)),0)</f>
        <v>406</v>
      </c>
      <c r="X83" s="48"/>
    </row>
    <row r="84" spans="1:24" ht="16.5" customHeight="1" x14ac:dyDescent="0.15">
      <c r="A84" s="41">
        <v>15</v>
      </c>
      <c r="B84" s="41" t="s">
        <v>2113</v>
      </c>
      <c r="C84" s="74" t="s">
        <v>24665</v>
      </c>
      <c r="D84" s="72"/>
      <c r="F84" s="57"/>
      <c r="G84" s="43"/>
      <c r="H84" s="37"/>
      <c r="I84" s="38"/>
      <c r="J84" s="299" t="s">
        <v>17556</v>
      </c>
      <c r="K84" s="45" t="s">
        <v>398</v>
      </c>
      <c r="L84" s="46">
        <v>1</v>
      </c>
      <c r="M84" s="512"/>
      <c r="N84" s="57"/>
      <c r="O84" s="92" t="s">
        <v>17564</v>
      </c>
      <c r="R84" s="57"/>
      <c r="S84" s="35"/>
      <c r="V84" s="57"/>
      <c r="W84" s="208">
        <f>ROUND((ROUND((ROUND((_15_同援日増２．０*_15・２人),0)*(1+_15・A早朝)),0)*(1+_15・盲ろう)),0)</f>
        <v>406</v>
      </c>
      <c r="X84" s="48"/>
    </row>
    <row r="85" spans="1:24" ht="16.5" customHeight="1" x14ac:dyDescent="0.15">
      <c r="A85" s="41">
        <v>15</v>
      </c>
      <c r="B85" s="41" t="s">
        <v>24666</v>
      </c>
      <c r="C85" s="74" t="s">
        <v>24667</v>
      </c>
      <c r="D85" s="72"/>
      <c r="F85" s="57"/>
      <c r="G85" s="114" t="s">
        <v>17558</v>
      </c>
      <c r="H85" s="49"/>
      <c r="I85" s="50"/>
      <c r="J85" s="163"/>
      <c r="K85" s="45"/>
      <c r="L85" s="46"/>
      <c r="M85" s="512"/>
      <c r="N85" s="57"/>
      <c r="O85" s="35"/>
      <c r="P85" s="12" t="s">
        <v>398</v>
      </c>
      <c r="Q85" s="13">
        <v>0.25</v>
      </c>
      <c r="R85" s="57" t="s">
        <v>3575</v>
      </c>
      <c r="S85" s="35"/>
      <c r="V85" s="57"/>
      <c r="W85" s="208">
        <f>ROUND((ROUND((ROUND((_15_同援日増２．０*_15・基礎２),0)*(1+_15・A早朝)),0)*(1+_15・盲ろう)),0)</f>
        <v>366</v>
      </c>
      <c r="X85" s="48"/>
    </row>
    <row r="86" spans="1:24" ht="16.5" customHeight="1" x14ac:dyDescent="0.15">
      <c r="A86" s="41">
        <v>15</v>
      </c>
      <c r="B86" s="41" t="s">
        <v>24668</v>
      </c>
      <c r="C86" s="74" t="s">
        <v>24669</v>
      </c>
      <c r="D86" s="72"/>
      <c r="F86" s="57"/>
      <c r="G86" s="269" t="s">
        <v>17560</v>
      </c>
      <c r="H86" s="37" t="s">
        <v>398</v>
      </c>
      <c r="I86" s="38">
        <v>0.9</v>
      </c>
      <c r="J86" s="299" t="s">
        <v>17556</v>
      </c>
      <c r="K86" s="45" t="s">
        <v>398</v>
      </c>
      <c r="L86" s="46">
        <v>1</v>
      </c>
      <c r="M86" s="512"/>
      <c r="N86" s="57"/>
      <c r="O86" s="43"/>
      <c r="P86" s="37"/>
      <c r="Q86" s="38"/>
      <c r="R86" s="79"/>
      <c r="S86" s="43"/>
      <c r="T86" s="37"/>
      <c r="U86" s="38"/>
      <c r="V86" s="79"/>
      <c r="W86" s="208">
        <f>ROUND((ROUND((ROUND((ROUND((_15_同援日増２．０*_15・基礎２),0)*_15・２人),0)*(1+_15・A早朝)),0)*(1+_15・盲ろう)),0)</f>
        <v>366</v>
      </c>
      <c r="X86" s="48"/>
    </row>
    <row r="87" spans="1:24" ht="16.5" customHeight="1" x14ac:dyDescent="0.15">
      <c r="A87" s="41">
        <v>15</v>
      </c>
      <c r="B87" s="41" t="s">
        <v>24670</v>
      </c>
      <c r="C87" s="74" t="s">
        <v>24671</v>
      </c>
      <c r="D87" s="72"/>
      <c r="F87" s="57"/>
      <c r="G87" s="53"/>
      <c r="H87" s="49"/>
      <c r="I87" s="50"/>
      <c r="J87" s="163"/>
      <c r="K87" s="45"/>
      <c r="L87" s="46"/>
      <c r="M87" s="512"/>
      <c r="N87" s="57"/>
      <c r="O87" s="53"/>
      <c r="P87" s="49"/>
      <c r="Q87" s="50"/>
      <c r="R87" s="115"/>
      <c r="S87" s="53"/>
      <c r="T87" s="49"/>
      <c r="U87" s="50"/>
      <c r="V87" s="115"/>
      <c r="W87" s="208">
        <f>ROUND((ROUND((_15_同援日増２．０*(1+_15・A早朝)),0)*(1+_15・区３)),0)</f>
        <v>390</v>
      </c>
      <c r="X87" s="48"/>
    </row>
    <row r="88" spans="1:24" ht="16.5" customHeight="1" x14ac:dyDescent="0.15">
      <c r="A88" s="41">
        <v>15</v>
      </c>
      <c r="B88" s="41" t="s">
        <v>24672</v>
      </c>
      <c r="C88" s="74" t="s">
        <v>24673</v>
      </c>
      <c r="D88" s="72"/>
      <c r="F88" s="57"/>
      <c r="G88" s="43"/>
      <c r="H88" s="37"/>
      <c r="I88" s="38"/>
      <c r="J88" s="299" t="s">
        <v>17556</v>
      </c>
      <c r="K88" s="45" t="s">
        <v>398</v>
      </c>
      <c r="L88" s="46">
        <v>1</v>
      </c>
      <c r="M88" s="512"/>
      <c r="N88" s="57"/>
      <c r="O88" s="35"/>
      <c r="R88" s="57"/>
      <c r="S88" s="35"/>
      <c r="V88" s="57"/>
      <c r="W88" s="208">
        <f>ROUND((ROUND((ROUND((_15_同援日増２．０*_15・２人),0)*(1+_15・A早朝)),0)*(1+_15・区３)),0)</f>
        <v>390</v>
      </c>
      <c r="X88" s="48"/>
    </row>
    <row r="89" spans="1:24" ht="16.5" customHeight="1" x14ac:dyDescent="0.15">
      <c r="A89" s="41">
        <v>15</v>
      </c>
      <c r="B89" s="41" t="s">
        <v>24674</v>
      </c>
      <c r="C89" s="74" t="s">
        <v>24675</v>
      </c>
      <c r="D89" s="72"/>
      <c r="F89" s="57"/>
      <c r="G89" s="114" t="s">
        <v>17558</v>
      </c>
      <c r="H89" s="49"/>
      <c r="I89" s="50"/>
      <c r="J89" s="163"/>
      <c r="K89" s="45"/>
      <c r="L89" s="46"/>
      <c r="M89" s="512"/>
      <c r="N89" s="57"/>
      <c r="O89" s="35"/>
      <c r="R89" s="57"/>
      <c r="S89" s="72" t="s">
        <v>17570</v>
      </c>
      <c r="V89" s="57"/>
      <c r="W89" s="208">
        <f>ROUND((ROUND((ROUND((_15_同援日増２．０*_15・基礎２),0)*(1+_15・A早朝)),0)*(1+_15・区３)),0)</f>
        <v>352</v>
      </c>
      <c r="X89" s="48"/>
    </row>
    <row r="90" spans="1:24" ht="16.5" customHeight="1" x14ac:dyDescent="0.15">
      <c r="A90" s="41">
        <v>15</v>
      </c>
      <c r="B90" s="41" t="s">
        <v>24676</v>
      </c>
      <c r="C90" s="74" t="s">
        <v>24677</v>
      </c>
      <c r="D90" s="72"/>
      <c r="F90" s="57"/>
      <c r="G90" s="269" t="s">
        <v>17560</v>
      </c>
      <c r="H90" s="37" t="s">
        <v>398</v>
      </c>
      <c r="I90" s="38">
        <v>0.9</v>
      </c>
      <c r="J90" s="299" t="s">
        <v>17556</v>
      </c>
      <c r="K90" s="45" t="s">
        <v>398</v>
      </c>
      <c r="L90" s="46">
        <v>1</v>
      </c>
      <c r="M90" s="512"/>
      <c r="N90" s="57"/>
      <c r="O90" s="43"/>
      <c r="P90" s="37"/>
      <c r="Q90" s="38"/>
      <c r="R90" s="79"/>
      <c r="S90" s="72" t="s">
        <v>17572</v>
      </c>
      <c r="V90" s="57"/>
      <c r="W90" s="208">
        <f>ROUND((ROUND((ROUND((ROUND((_15_同援日増２．０*_15・基礎２),0)*_15・２人),0)*(1+_15・A早朝)),0)*(1+_15・区３)),0)</f>
        <v>352</v>
      </c>
      <c r="X90" s="48"/>
    </row>
    <row r="91" spans="1:24" ht="16.5" customHeight="1" x14ac:dyDescent="0.15">
      <c r="A91" s="41">
        <v>15</v>
      </c>
      <c r="B91" s="41" t="s">
        <v>24678</v>
      </c>
      <c r="C91" s="74" t="s">
        <v>24679</v>
      </c>
      <c r="D91" s="72"/>
      <c r="F91" s="57"/>
      <c r="G91" s="53"/>
      <c r="H91" s="49"/>
      <c r="I91" s="50"/>
      <c r="J91" s="163"/>
      <c r="K91" s="45"/>
      <c r="L91" s="46"/>
      <c r="M91" s="512"/>
      <c r="N91" s="57"/>
      <c r="O91" s="114" t="s">
        <v>17562</v>
      </c>
      <c r="P91" s="49"/>
      <c r="Q91" s="50"/>
      <c r="R91" s="115"/>
      <c r="S91" s="35"/>
      <c r="T91" s="12" t="s">
        <v>398</v>
      </c>
      <c r="U91" s="13">
        <v>0.2</v>
      </c>
      <c r="V91" s="57" t="s">
        <v>3575</v>
      </c>
      <c r="W91" s="208">
        <f>ROUND((ROUND((ROUND((_15_同援日増２．０*(1+_15・A早朝)),0)*(1+_15・盲ろう)),0)*(1+_15・区３)),0)</f>
        <v>487</v>
      </c>
      <c r="X91" s="48"/>
    </row>
    <row r="92" spans="1:24" ht="16.5" customHeight="1" x14ac:dyDescent="0.15">
      <c r="A92" s="41">
        <v>15</v>
      </c>
      <c r="B92" s="41" t="s">
        <v>24680</v>
      </c>
      <c r="C92" s="74" t="s">
        <v>24681</v>
      </c>
      <c r="D92" s="72"/>
      <c r="F92" s="57"/>
      <c r="G92" s="43"/>
      <c r="H92" s="37"/>
      <c r="I92" s="38"/>
      <c r="J92" s="299" t="s">
        <v>17556</v>
      </c>
      <c r="K92" s="45" t="s">
        <v>398</v>
      </c>
      <c r="L92" s="46">
        <v>1</v>
      </c>
      <c r="M92" s="512"/>
      <c r="N92" s="57"/>
      <c r="O92" s="92" t="s">
        <v>17564</v>
      </c>
      <c r="R92" s="57"/>
      <c r="S92" s="35"/>
      <c r="V92" s="57"/>
      <c r="W92" s="208">
        <f>ROUND((ROUND((ROUND((ROUND((_15_同援日増２．０*_15・２人),0)*(1+_15・A早朝)),0)*(1+_15・盲ろう)),0)*(1+_15・区３)),0)</f>
        <v>487</v>
      </c>
      <c r="X92" s="48"/>
    </row>
    <row r="93" spans="1:24" ht="16.5" customHeight="1" x14ac:dyDescent="0.15">
      <c r="A93" s="41">
        <v>15</v>
      </c>
      <c r="B93" s="41" t="s">
        <v>24682</v>
      </c>
      <c r="C93" s="74" t="s">
        <v>24683</v>
      </c>
      <c r="D93" s="72"/>
      <c r="F93" s="57"/>
      <c r="G93" s="114" t="s">
        <v>17558</v>
      </c>
      <c r="H93" s="49"/>
      <c r="I93" s="50"/>
      <c r="J93" s="163"/>
      <c r="K93" s="45"/>
      <c r="L93" s="46"/>
      <c r="M93" s="512"/>
      <c r="N93" s="57"/>
      <c r="O93" s="35"/>
      <c r="P93" s="12" t="s">
        <v>398</v>
      </c>
      <c r="Q93" s="13">
        <v>0.25</v>
      </c>
      <c r="R93" s="57" t="s">
        <v>3575</v>
      </c>
      <c r="S93" s="35"/>
      <c r="V93" s="57"/>
      <c r="W93" s="208">
        <f>ROUND((ROUND((ROUND((ROUND((_15_同援日増２．０*_15・基礎２),0)*(1+_15・A早朝)),0)*(1+_15・盲ろう)),0)*(1+_15・区３)),0)</f>
        <v>439</v>
      </c>
      <c r="X93" s="48"/>
    </row>
    <row r="94" spans="1:24" ht="16.5" customHeight="1" x14ac:dyDescent="0.15">
      <c r="A94" s="41">
        <v>15</v>
      </c>
      <c r="B94" s="41" t="s">
        <v>24684</v>
      </c>
      <c r="C94" s="74" t="s">
        <v>24685</v>
      </c>
      <c r="D94" s="72"/>
      <c r="F94" s="57"/>
      <c r="G94" s="269" t="s">
        <v>17560</v>
      </c>
      <c r="H94" s="37" t="s">
        <v>398</v>
      </c>
      <c r="I94" s="38">
        <v>0.9</v>
      </c>
      <c r="J94" s="299" t="s">
        <v>17556</v>
      </c>
      <c r="K94" s="45" t="s">
        <v>398</v>
      </c>
      <c r="L94" s="46">
        <v>1</v>
      </c>
      <c r="M94" s="512"/>
      <c r="N94" s="57"/>
      <c r="O94" s="43"/>
      <c r="P94" s="37"/>
      <c r="Q94" s="38"/>
      <c r="R94" s="79"/>
      <c r="S94" s="43"/>
      <c r="T94" s="37"/>
      <c r="U94" s="38"/>
      <c r="V94" s="79"/>
      <c r="W94" s="208">
        <f>ROUND((ROUND((ROUND((ROUND((ROUND((_15_同援日増２．０*_15・基礎２),0)*_15・２人),0)*(1+_15・A早朝)),0)*(1+_15・盲ろう)),0)*(1+_15・区３)),0)</f>
        <v>439</v>
      </c>
      <c r="X94" s="48"/>
    </row>
    <row r="95" spans="1:24" ht="16.5" customHeight="1" x14ac:dyDescent="0.15">
      <c r="A95" s="41">
        <v>15</v>
      </c>
      <c r="B95" s="41" t="s">
        <v>24686</v>
      </c>
      <c r="C95" s="74" t="s">
        <v>24687</v>
      </c>
      <c r="D95" s="72"/>
      <c r="F95" s="57"/>
      <c r="G95" s="53"/>
      <c r="H95" s="49"/>
      <c r="I95" s="50"/>
      <c r="J95" s="163"/>
      <c r="K95" s="45"/>
      <c r="L95" s="46"/>
      <c r="M95" s="512"/>
      <c r="N95" s="57"/>
      <c r="O95" s="53"/>
      <c r="P95" s="49"/>
      <c r="Q95" s="50"/>
      <c r="R95" s="115"/>
      <c r="S95" s="53"/>
      <c r="T95" s="49"/>
      <c r="U95" s="50"/>
      <c r="V95" s="115"/>
      <c r="W95" s="208">
        <f>ROUND((ROUND((_15_同援日増２．０*(1+_15・A早朝)),0)*(1+_15・区４)),0)</f>
        <v>455</v>
      </c>
      <c r="X95" s="48"/>
    </row>
    <row r="96" spans="1:24" ht="16.5" customHeight="1" x14ac:dyDescent="0.15">
      <c r="A96" s="41">
        <v>15</v>
      </c>
      <c r="B96" s="41" t="s">
        <v>24688</v>
      </c>
      <c r="C96" s="74" t="s">
        <v>24689</v>
      </c>
      <c r="D96" s="72"/>
      <c r="F96" s="57"/>
      <c r="G96" s="43"/>
      <c r="H96" s="37"/>
      <c r="I96" s="38"/>
      <c r="J96" s="299" t="s">
        <v>17556</v>
      </c>
      <c r="K96" s="45" t="s">
        <v>398</v>
      </c>
      <c r="L96" s="46">
        <v>1</v>
      </c>
      <c r="M96" s="512"/>
      <c r="N96" s="57"/>
      <c r="O96" s="35"/>
      <c r="R96" s="57"/>
      <c r="S96" s="35"/>
      <c r="V96" s="57"/>
      <c r="W96" s="208">
        <f>ROUND((ROUND((ROUND((_15_同援日増２．０*_15・２人),0)*(1+_15・A早朝)),0)*(1+_15・区４)),0)</f>
        <v>455</v>
      </c>
      <c r="X96" s="48"/>
    </row>
    <row r="97" spans="1:24" ht="16.5" customHeight="1" x14ac:dyDescent="0.15">
      <c r="A97" s="41">
        <v>15</v>
      </c>
      <c r="B97" s="41" t="s">
        <v>24690</v>
      </c>
      <c r="C97" s="74" t="s">
        <v>24691</v>
      </c>
      <c r="D97" s="72"/>
      <c r="F97" s="57"/>
      <c r="G97" s="114" t="s">
        <v>17558</v>
      </c>
      <c r="H97" s="49"/>
      <c r="I97" s="50"/>
      <c r="J97" s="163"/>
      <c r="K97" s="45"/>
      <c r="L97" s="46"/>
      <c r="M97" s="512"/>
      <c r="N97" s="57"/>
      <c r="O97" s="35"/>
      <c r="R97" s="57"/>
      <c r="S97" s="72" t="s">
        <v>17580</v>
      </c>
      <c r="V97" s="57"/>
      <c r="W97" s="208">
        <f>ROUND((ROUND((ROUND((_15_同援日増２．０*_15・基礎２),0)*(1+_15・A早朝)),0)*(1+_15・区４)),0)</f>
        <v>410</v>
      </c>
      <c r="X97" s="48"/>
    </row>
    <row r="98" spans="1:24" ht="16.5" customHeight="1" x14ac:dyDescent="0.15">
      <c r="A98" s="41">
        <v>15</v>
      </c>
      <c r="B98" s="41" t="s">
        <v>24692</v>
      </c>
      <c r="C98" s="74" t="s">
        <v>24693</v>
      </c>
      <c r="D98" s="72"/>
      <c r="F98" s="57"/>
      <c r="G98" s="269" t="s">
        <v>17560</v>
      </c>
      <c r="H98" s="37" t="s">
        <v>398</v>
      </c>
      <c r="I98" s="38">
        <v>0.9</v>
      </c>
      <c r="J98" s="299" t="s">
        <v>17556</v>
      </c>
      <c r="K98" s="45" t="s">
        <v>398</v>
      </c>
      <c r="L98" s="46">
        <v>1</v>
      </c>
      <c r="M98" s="512"/>
      <c r="N98" s="57"/>
      <c r="O98" s="43"/>
      <c r="P98" s="37"/>
      <c r="Q98" s="38"/>
      <c r="R98" s="79"/>
      <c r="S98" s="72" t="s">
        <v>17572</v>
      </c>
      <c r="V98" s="57"/>
      <c r="W98" s="208">
        <f>ROUND((ROUND((ROUND((ROUND((_15_同援日増２．０*_15・基礎２),0)*_15・２人),0)*(1+_15・A早朝)),0)*(1+_15・区４)),0)</f>
        <v>410</v>
      </c>
      <c r="X98" s="48"/>
    </row>
    <row r="99" spans="1:24" ht="16.5" customHeight="1" x14ac:dyDescent="0.15">
      <c r="A99" s="41">
        <v>15</v>
      </c>
      <c r="B99" s="41" t="s">
        <v>24694</v>
      </c>
      <c r="C99" s="74" t="s">
        <v>24695</v>
      </c>
      <c r="D99" s="72"/>
      <c r="F99" s="57"/>
      <c r="G99" s="53"/>
      <c r="H99" s="49"/>
      <c r="I99" s="50"/>
      <c r="J99" s="163"/>
      <c r="K99" s="45"/>
      <c r="L99" s="46"/>
      <c r="M99" s="512"/>
      <c r="N99" s="57"/>
      <c r="O99" s="114" t="s">
        <v>17562</v>
      </c>
      <c r="P99" s="49"/>
      <c r="Q99" s="50"/>
      <c r="R99" s="115"/>
      <c r="S99" s="35"/>
      <c r="T99" s="12" t="s">
        <v>398</v>
      </c>
      <c r="U99" s="13">
        <v>0.4</v>
      </c>
      <c r="V99" s="57" t="s">
        <v>3575</v>
      </c>
      <c r="W99" s="208">
        <f>ROUND((ROUND((ROUND((_15_同援日増２．０*(1+_15・A早朝)),0)*(1+_15・盲ろう)),0)*(1+_15・区４)),0)</f>
        <v>568</v>
      </c>
      <c r="X99" s="48"/>
    </row>
    <row r="100" spans="1:24" ht="16.5" customHeight="1" x14ac:dyDescent="0.15">
      <c r="A100" s="41">
        <v>15</v>
      </c>
      <c r="B100" s="41" t="s">
        <v>24696</v>
      </c>
      <c r="C100" s="74" t="s">
        <v>24697</v>
      </c>
      <c r="D100" s="72"/>
      <c r="F100" s="57"/>
      <c r="G100" s="43"/>
      <c r="H100" s="37"/>
      <c r="I100" s="38"/>
      <c r="J100" s="299" t="s">
        <v>17556</v>
      </c>
      <c r="K100" s="45" t="s">
        <v>398</v>
      </c>
      <c r="L100" s="46">
        <v>1</v>
      </c>
      <c r="M100" s="512"/>
      <c r="N100" s="57"/>
      <c r="O100" s="92" t="s">
        <v>17564</v>
      </c>
      <c r="R100" s="57"/>
      <c r="S100" s="35"/>
      <c r="V100" s="57"/>
      <c r="W100" s="208">
        <f>ROUND((ROUND((ROUND((ROUND((_15_同援日増２．０*_15・２人),0)*(1+_15・A早朝)),0)*(1+_15・盲ろう)),0)*(1+_15・区４)),0)</f>
        <v>568</v>
      </c>
      <c r="X100" s="48"/>
    </row>
    <row r="101" spans="1:24" ht="16.5" customHeight="1" x14ac:dyDescent="0.15">
      <c r="A101" s="41">
        <v>15</v>
      </c>
      <c r="B101" s="41" t="s">
        <v>2119</v>
      </c>
      <c r="C101" s="74" t="s">
        <v>24698</v>
      </c>
      <c r="D101" s="72"/>
      <c r="F101" s="57"/>
      <c r="G101" s="114" t="s">
        <v>17558</v>
      </c>
      <c r="H101" s="49"/>
      <c r="I101" s="50"/>
      <c r="J101" s="163"/>
      <c r="K101" s="45"/>
      <c r="L101" s="46"/>
      <c r="M101" s="512"/>
      <c r="N101" s="57"/>
      <c r="O101" s="35"/>
      <c r="P101" s="12" t="s">
        <v>398</v>
      </c>
      <c r="Q101" s="13">
        <v>0.25</v>
      </c>
      <c r="R101" s="57" t="s">
        <v>3575</v>
      </c>
      <c r="S101" s="35"/>
      <c r="V101" s="57"/>
      <c r="W101" s="208">
        <f>ROUND((ROUND((ROUND((ROUND((_15_同援日増２．０*_15・基礎２),0)*(1+_15・A早朝)),0)*(1+_15・盲ろう)),0)*(1+_15・区４)),0)</f>
        <v>512</v>
      </c>
      <c r="X101" s="48"/>
    </row>
    <row r="102" spans="1:24" ht="16.5" customHeight="1" x14ac:dyDescent="0.15">
      <c r="A102" s="41">
        <v>15</v>
      </c>
      <c r="B102" s="41" t="s">
        <v>2121</v>
      </c>
      <c r="C102" s="74" t="s">
        <v>24699</v>
      </c>
      <c r="D102" s="122"/>
      <c r="E102" s="37"/>
      <c r="F102" s="79"/>
      <c r="G102" s="269" t="s">
        <v>17560</v>
      </c>
      <c r="H102" s="37" t="s">
        <v>398</v>
      </c>
      <c r="I102" s="38">
        <v>0.9</v>
      </c>
      <c r="J102" s="299" t="s">
        <v>17556</v>
      </c>
      <c r="K102" s="45" t="s">
        <v>398</v>
      </c>
      <c r="L102" s="46">
        <v>1</v>
      </c>
      <c r="M102" s="512"/>
      <c r="N102" s="57"/>
      <c r="O102" s="43"/>
      <c r="P102" s="37"/>
      <c r="Q102" s="38"/>
      <c r="R102" s="79"/>
      <c r="S102" s="43"/>
      <c r="T102" s="37"/>
      <c r="U102" s="38"/>
      <c r="V102" s="79"/>
      <c r="W102" s="208">
        <f>ROUND((ROUND((ROUND((ROUND((ROUND((_15_同援日増２．０*_15・基礎２),0)*_15・２人),0)*(1+_15・A早朝)),0)*(1+_15・盲ろう)),0)*(1+_15・区４)),0)</f>
        <v>512</v>
      </c>
      <c r="X102" s="48"/>
    </row>
    <row r="103" spans="1:24" ht="16.5" customHeight="1" x14ac:dyDescent="0.15">
      <c r="A103" s="41">
        <v>15</v>
      </c>
      <c r="B103" s="41" t="s">
        <v>2123</v>
      </c>
      <c r="C103" s="74" t="s">
        <v>24700</v>
      </c>
      <c r="D103" s="114" t="s">
        <v>24701</v>
      </c>
      <c r="E103" s="49"/>
      <c r="F103" s="115"/>
      <c r="G103" s="53"/>
      <c r="H103" s="49"/>
      <c r="I103" s="50"/>
      <c r="J103" s="163"/>
      <c r="K103" s="45"/>
      <c r="L103" s="46"/>
      <c r="M103" s="512"/>
      <c r="N103" s="57"/>
      <c r="O103" s="53"/>
      <c r="P103" s="49"/>
      <c r="Q103" s="50"/>
      <c r="R103" s="115"/>
      <c r="S103" s="53"/>
      <c r="T103" s="49"/>
      <c r="U103" s="50"/>
      <c r="V103" s="115"/>
      <c r="W103" s="208">
        <f>ROUND((_15_同援日増２．５*(1+_15・A早朝)),0)</f>
        <v>406</v>
      </c>
      <c r="X103" s="48"/>
    </row>
    <row r="104" spans="1:24" ht="16.5" customHeight="1" x14ac:dyDescent="0.15">
      <c r="A104" s="41">
        <v>15</v>
      </c>
      <c r="B104" s="41" t="s">
        <v>2125</v>
      </c>
      <c r="C104" s="74" t="s">
        <v>24702</v>
      </c>
      <c r="D104" s="72" t="s">
        <v>17670</v>
      </c>
      <c r="F104" s="57"/>
      <c r="G104" s="43"/>
      <c r="H104" s="37"/>
      <c r="I104" s="38"/>
      <c r="J104" s="299" t="s">
        <v>17556</v>
      </c>
      <c r="K104" s="45" t="s">
        <v>398</v>
      </c>
      <c r="L104" s="46">
        <v>1</v>
      </c>
      <c r="M104" s="512"/>
      <c r="N104" s="57"/>
      <c r="O104" s="35"/>
      <c r="R104" s="57"/>
      <c r="S104" s="35"/>
      <c r="V104" s="57"/>
      <c r="W104" s="208">
        <f>ROUND((ROUND((_15_同援日増２．５*_15・２人),0)*(1+_15・A早朝)),0)</f>
        <v>406</v>
      </c>
      <c r="X104" s="48"/>
    </row>
    <row r="105" spans="1:24" ht="16.5" customHeight="1" x14ac:dyDescent="0.15">
      <c r="A105" s="41">
        <v>15</v>
      </c>
      <c r="B105" s="41" t="s">
        <v>24703</v>
      </c>
      <c r="C105" s="74" t="s">
        <v>24704</v>
      </c>
      <c r="D105" s="72" t="s">
        <v>17672</v>
      </c>
      <c r="F105" s="57"/>
      <c r="G105" s="114" t="s">
        <v>17558</v>
      </c>
      <c r="H105" s="49"/>
      <c r="I105" s="50"/>
      <c r="J105" s="163"/>
      <c r="K105" s="45"/>
      <c r="L105" s="46"/>
      <c r="M105" s="512"/>
      <c r="N105" s="57"/>
      <c r="O105" s="35"/>
      <c r="R105" s="57"/>
      <c r="S105" s="35"/>
      <c r="V105" s="57"/>
      <c r="W105" s="208">
        <f>ROUND((ROUND((_15_同援日増２．５*_15・基礎２),0)*(1+_15・A早朝)),0)</f>
        <v>366</v>
      </c>
      <c r="X105" s="48"/>
    </row>
    <row r="106" spans="1:24" ht="16.5" customHeight="1" x14ac:dyDescent="0.15">
      <c r="A106" s="41">
        <v>15</v>
      </c>
      <c r="B106" s="41" t="s">
        <v>24705</v>
      </c>
      <c r="C106" s="74" t="s">
        <v>24706</v>
      </c>
      <c r="D106" s="72"/>
      <c r="E106" s="168">
        <f>_15_同援日増２．５</f>
        <v>325</v>
      </c>
      <c r="F106" s="57" t="s">
        <v>392</v>
      </c>
      <c r="G106" s="269" t="s">
        <v>17560</v>
      </c>
      <c r="H106" s="37" t="s">
        <v>398</v>
      </c>
      <c r="I106" s="38">
        <v>0.9</v>
      </c>
      <c r="J106" s="299" t="s">
        <v>17556</v>
      </c>
      <c r="K106" s="45" t="s">
        <v>398</v>
      </c>
      <c r="L106" s="46">
        <v>1</v>
      </c>
      <c r="M106" s="512"/>
      <c r="N106" s="57"/>
      <c r="O106" s="43"/>
      <c r="P106" s="37"/>
      <c r="Q106" s="38"/>
      <c r="R106" s="79"/>
      <c r="S106" s="35"/>
      <c r="V106" s="57"/>
      <c r="W106" s="208">
        <f>ROUND((ROUND((ROUND((_15_同援日増２．５*_15・基礎２),0)*_15・２人),0)*(1+_15・A早朝)),0)</f>
        <v>366</v>
      </c>
      <c r="X106" s="48"/>
    </row>
    <row r="107" spans="1:24" ht="16.5" customHeight="1" x14ac:dyDescent="0.15">
      <c r="A107" s="41">
        <v>15</v>
      </c>
      <c r="B107" s="41" t="s">
        <v>24707</v>
      </c>
      <c r="C107" s="74" t="s">
        <v>24708</v>
      </c>
      <c r="D107" s="72"/>
      <c r="F107" s="57"/>
      <c r="G107" s="53"/>
      <c r="H107" s="49"/>
      <c r="I107" s="50"/>
      <c r="J107" s="163"/>
      <c r="K107" s="45"/>
      <c r="L107" s="46"/>
      <c r="M107" s="512"/>
      <c r="N107" s="57"/>
      <c r="O107" s="114" t="s">
        <v>17562</v>
      </c>
      <c r="P107" s="49"/>
      <c r="Q107" s="50"/>
      <c r="R107" s="115"/>
      <c r="S107" s="35"/>
      <c r="V107" s="57"/>
      <c r="W107" s="208">
        <f>ROUND((ROUND((_15_同援日増２．５*(1+_15・A早朝)),0)*(1+_15・盲ろう)),0)</f>
        <v>508</v>
      </c>
      <c r="X107" s="48"/>
    </row>
    <row r="108" spans="1:24" ht="16.5" customHeight="1" x14ac:dyDescent="0.15">
      <c r="A108" s="41">
        <v>15</v>
      </c>
      <c r="B108" s="41" t="s">
        <v>24709</v>
      </c>
      <c r="C108" s="74" t="s">
        <v>24710</v>
      </c>
      <c r="D108" s="72"/>
      <c r="F108" s="57"/>
      <c r="G108" s="43"/>
      <c r="H108" s="37"/>
      <c r="I108" s="38"/>
      <c r="J108" s="299" t="s">
        <v>17556</v>
      </c>
      <c r="K108" s="45" t="s">
        <v>398</v>
      </c>
      <c r="L108" s="46">
        <v>1</v>
      </c>
      <c r="M108" s="512"/>
      <c r="N108" s="57"/>
      <c r="O108" s="92" t="s">
        <v>17564</v>
      </c>
      <c r="R108" s="57"/>
      <c r="S108" s="35"/>
      <c r="V108" s="57"/>
      <c r="W108" s="208">
        <f>ROUND((ROUND((ROUND((_15_同援日増２．５*_15・２人),0)*(1+_15・A早朝)),0)*(1+_15・盲ろう)),0)</f>
        <v>508</v>
      </c>
      <c r="X108" s="48"/>
    </row>
    <row r="109" spans="1:24" ht="16.5" customHeight="1" x14ac:dyDescent="0.15">
      <c r="A109" s="41">
        <v>15</v>
      </c>
      <c r="B109" s="41" t="s">
        <v>24711</v>
      </c>
      <c r="C109" s="74" t="s">
        <v>24712</v>
      </c>
      <c r="D109" s="72"/>
      <c r="F109" s="57"/>
      <c r="G109" s="114" t="s">
        <v>17558</v>
      </c>
      <c r="H109" s="49"/>
      <c r="I109" s="50"/>
      <c r="J109" s="163"/>
      <c r="K109" s="45"/>
      <c r="L109" s="46"/>
      <c r="M109" s="512"/>
      <c r="N109" s="57"/>
      <c r="O109" s="35"/>
      <c r="P109" s="12" t="s">
        <v>398</v>
      </c>
      <c r="Q109" s="13">
        <v>0.25</v>
      </c>
      <c r="R109" s="57" t="s">
        <v>3575</v>
      </c>
      <c r="S109" s="35"/>
      <c r="V109" s="57"/>
      <c r="W109" s="208">
        <f>ROUND((ROUND((ROUND((_15_同援日増２．５*_15・基礎２),0)*(1+_15・A早朝)),0)*(1+_15・盲ろう)),0)</f>
        <v>458</v>
      </c>
      <c r="X109" s="48"/>
    </row>
    <row r="110" spans="1:24" ht="16.5" customHeight="1" x14ac:dyDescent="0.15">
      <c r="A110" s="41">
        <v>15</v>
      </c>
      <c r="B110" s="41" t="s">
        <v>24713</v>
      </c>
      <c r="C110" s="74" t="s">
        <v>24714</v>
      </c>
      <c r="D110" s="72"/>
      <c r="F110" s="57"/>
      <c r="G110" s="269" t="s">
        <v>17560</v>
      </c>
      <c r="H110" s="37" t="s">
        <v>398</v>
      </c>
      <c r="I110" s="38">
        <v>0.9</v>
      </c>
      <c r="J110" s="299" t="s">
        <v>17556</v>
      </c>
      <c r="K110" s="45" t="s">
        <v>398</v>
      </c>
      <c r="L110" s="46">
        <v>1</v>
      </c>
      <c r="M110" s="512"/>
      <c r="N110" s="57"/>
      <c r="O110" s="43"/>
      <c r="P110" s="37"/>
      <c r="Q110" s="38"/>
      <c r="R110" s="79"/>
      <c r="S110" s="43"/>
      <c r="T110" s="37"/>
      <c r="U110" s="38"/>
      <c r="V110" s="79"/>
      <c r="W110" s="208">
        <f>ROUND((ROUND((ROUND((ROUND((_15_同援日増２．５*_15・基礎２),0)*_15・２人),0)*(1+_15・A早朝)),0)*(1+_15・盲ろう)),0)</f>
        <v>458</v>
      </c>
      <c r="X110" s="48"/>
    </row>
    <row r="111" spans="1:24" ht="16.5" customHeight="1" x14ac:dyDescent="0.15">
      <c r="A111" s="41">
        <v>15</v>
      </c>
      <c r="B111" s="41" t="s">
        <v>24715</v>
      </c>
      <c r="C111" s="74" t="s">
        <v>24716</v>
      </c>
      <c r="D111" s="72"/>
      <c r="F111" s="57"/>
      <c r="G111" s="53"/>
      <c r="H111" s="49"/>
      <c r="I111" s="50"/>
      <c r="J111" s="163"/>
      <c r="K111" s="45"/>
      <c r="L111" s="46"/>
      <c r="M111" s="512"/>
      <c r="N111" s="57"/>
      <c r="O111" s="53"/>
      <c r="P111" s="49"/>
      <c r="Q111" s="50"/>
      <c r="R111" s="115"/>
      <c r="S111" s="53"/>
      <c r="T111" s="49"/>
      <c r="U111" s="50"/>
      <c r="V111" s="115"/>
      <c r="W111" s="208">
        <f>ROUND((ROUND((_15_同援日増２．５*(1+_15・A早朝)),0)*(1+_15・区３)),0)</f>
        <v>487</v>
      </c>
      <c r="X111" s="48"/>
    </row>
    <row r="112" spans="1:24" ht="16.5" customHeight="1" x14ac:dyDescent="0.15">
      <c r="A112" s="41">
        <v>15</v>
      </c>
      <c r="B112" s="41" t="s">
        <v>24717</v>
      </c>
      <c r="C112" s="74" t="s">
        <v>24718</v>
      </c>
      <c r="D112" s="72"/>
      <c r="F112" s="57"/>
      <c r="G112" s="43"/>
      <c r="H112" s="37"/>
      <c r="I112" s="38"/>
      <c r="J112" s="299" t="s">
        <v>17556</v>
      </c>
      <c r="K112" s="45" t="s">
        <v>398</v>
      </c>
      <c r="L112" s="46">
        <v>1</v>
      </c>
      <c r="M112" s="512"/>
      <c r="N112" s="57"/>
      <c r="O112" s="35"/>
      <c r="R112" s="57"/>
      <c r="S112" s="35"/>
      <c r="V112" s="57"/>
      <c r="W112" s="208">
        <f>ROUND((ROUND((ROUND((_15_同援日増２．５*_15・２人),0)*(1+_15・A早朝)),0)*(1+_15・区３)),0)</f>
        <v>487</v>
      </c>
      <c r="X112" s="48"/>
    </row>
    <row r="113" spans="1:24" ht="16.5" customHeight="1" x14ac:dyDescent="0.15">
      <c r="A113" s="41">
        <v>15</v>
      </c>
      <c r="B113" s="41" t="s">
        <v>24719</v>
      </c>
      <c r="C113" s="74" t="s">
        <v>24720</v>
      </c>
      <c r="D113" s="72"/>
      <c r="F113" s="57"/>
      <c r="G113" s="114" t="s">
        <v>17558</v>
      </c>
      <c r="H113" s="49"/>
      <c r="I113" s="50"/>
      <c r="J113" s="163"/>
      <c r="K113" s="45"/>
      <c r="L113" s="46"/>
      <c r="M113" s="512"/>
      <c r="N113" s="57"/>
      <c r="O113" s="35"/>
      <c r="R113" s="57"/>
      <c r="S113" s="72" t="s">
        <v>17570</v>
      </c>
      <c r="V113" s="57"/>
      <c r="W113" s="208">
        <f>ROUND((ROUND((ROUND((_15_同援日増２．５*_15・基礎２),0)*(1+_15・A早朝)),0)*(1+_15・区３)),0)</f>
        <v>439</v>
      </c>
      <c r="X113" s="48"/>
    </row>
    <row r="114" spans="1:24" ht="16.5" customHeight="1" x14ac:dyDescent="0.15">
      <c r="A114" s="41">
        <v>15</v>
      </c>
      <c r="B114" s="41" t="s">
        <v>24721</v>
      </c>
      <c r="C114" s="74" t="s">
        <v>24722</v>
      </c>
      <c r="D114" s="72"/>
      <c r="F114" s="57"/>
      <c r="G114" s="269" t="s">
        <v>17560</v>
      </c>
      <c r="H114" s="37" t="s">
        <v>398</v>
      </c>
      <c r="I114" s="38">
        <v>0.9</v>
      </c>
      <c r="J114" s="299" t="s">
        <v>17556</v>
      </c>
      <c r="K114" s="45" t="s">
        <v>398</v>
      </c>
      <c r="L114" s="46">
        <v>1</v>
      </c>
      <c r="M114" s="512"/>
      <c r="N114" s="57"/>
      <c r="O114" s="43"/>
      <c r="P114" s="37"/>
      <c r="Q114" s="38"/>
      <c r="R114" s="79"/>
      <c r="S114" s="72" t="s">
        <v>17572</v>
      </c>
      <c r="V114" s="57"/>
      <c r="W114" s="208">
        <f>ROUND((ROUND((ROUND((ROUND((_15_同援日増２．５*_15・基礎２),0)*_15・２人),0)*(1+_15・A早朝)),0)*(1+_15・区３)),0)</f>
        <v>439</v>
      </c>
      <c r="X114" s="48"/>
    </row>
    <row r="115" spans="1:24" ht="16.5" customHeight="1" x14ac:dyDescent="0.15">
      <c r="A115" s="41">
        <v>15</v>
      </c>
      <c r="B115" s="41" t="s">
        <v>24723</v>
      </c>
      <c r="C115" s="74" t="s">
        <v>24724</v>
      </c>
      <c r="D115" s="72"/>
      <c r="F115" s="57"/>
      <c r="G115" s="53"/>
      <c r="H115" s="49"/>
      <c r="I115" s="50"/>
      <c r="J115" s="163"/>
      <c r="K115" s="45"/>
      <c r="L115" s="46"/>
      <c r="M115" s="512"/>
      <c r="N115" s="57"/>
      <c r="O115" s="114" t="s">
        <v>17562</v>
      </c>
      <c r="P115" s="49"/>
      <c r="Q115" s="50"/>
      <c r="R115" s="115"/>
      <c r="S115" s="35"/>
      <c r="T115" s="12" t="s">
        <v>398</v>
      </c>
      <c r="U115" s="13">
        <v>0.2</v>
      </c>
      <c r="V115" s="57" t="s">
        <v>3575</v>
      </c>
      <c r="W115" s="208">
        <f>ROUND((ROUND((ROUND((_15_同援日増２．５*(1+_15・A早朝)),0)*(1+_15・盲ろう)),0)*(1+_15・区３)),0)</f>
        <v>610</v>
      </c>
      <c r="X115" s="48"/>
    </row>
    <row r="116" spans="1:24" ht="16.5" customHeight="1" x14ac:dyDescent="0.15">
      <c r="A116" s="41">
        <v>15</v>
      </c>
      <c r="B116" s="41" t="s">
        <v>24725</v>
      </c>
      <c r="C116" s="74" t="s">
        <v>24726</v>
      </c>
      <c r="D116" s="72"/>
      <c r="F116" s="57"/>
      <c r="G116" s="43"/>
      <c r="H116" s="37"/>
      <c r="I116" s="38"/>
      <c r="J116" s="299" t="s">
        <v>17556</v>
      </c>
      <c r="K116" s="45" t="s">
        <v>398</v>
      </c>
      <c r="L116" s="46">
        <v>1</v>
      </c>
      <c r="M116" s="512"/>
      <c r="N116" s="57"/>
      <c r="O116" s="92" t="s">
        <v>17564</v>
      </c>
      <c r="R116" s="57"/>
      <c r="S116" s="35"/>
      <c r="V116" s="57"/>
      <c r="W116" s="208">
        <f>ROUND((ROUND((ROUND((ROUND((_15_同援日増２．５*_15・２人),0)*(1+_15・A早朝)),0)*(1+_15・盲ろう)),0)*(1+_15・区３)),0)</f>
        <v>610</v>
      </c>
      <c r="X116" s="48"/>
    </row>
    <row r="117" spans="1:24" ht="16.5" customHeight="1" x14ac:dyDescent="0.15">
      <c r="A117" s="41">
        <v>15</v>
      </c>
      <c r="B117" s="41" t="s">
        <v>24727</v>
      </c>
      <c r="C117" s="74" t="s">
        <v>24728</v>
      </c>
      <c r="D117" s="72"/>
      <c r="F117" s="57"/>
      <c r="G117" s="114" t="s">
        <v>17558</v>
      </c>
      <c r="H117" s="49"/>
      <c r="I117" s="50"/>
      <c r="J117" s="163"/>
      <c r="K117" s="45"/>
      <c r="L117" s="46"/>
      <c r="M117" s="512"/>
      <c r="N117" s="57"/>
      <c r="O117" s="35"/>
      <c r="P117" s="12" t="s">
        <v>398</v>
      </c>
      <c r="Q117" s="13">
        <v>0.25</v>
      </c>
      <c r="R117" s="57" t="s">
        <v>3575</v>
      </c>
      <c r="S117" s="35"/>
      <c r="V117" s="57"/>
      <c r="W117" s="208">
        <f>ROUND((ROUND((ROUND((ROUND((_15_同援日増２．５*_15・基礎２),0)*(1+_15・A早朝)),0)*(1+_15・盲ろう)),0)*(1+_15・区３)),0)</f>
        <v>550</v>
      </c>
      <c r="X117" s="48"/>
    </row>
    <row r="118" spans="1:24" ht="16.5" customHeight="1" x14ac:dyDescent="0.15">
      <c r="A118" s="41">
        <v>15</v>
      </c>
      <c r="B118" s="41" t="s">
        <v>24729</v>
      </c>
      <c r="C118" s="74" t="s">
        <v>24730</v>
      </c>
      <c r="D118" s="72"/>
      <c r="F118" s="57"/>
      <c r="G118" s="269" t="s">
        <v>17560</v>
      </c>
      <c r="H118" s="37" t="s">
        <v>398</v>
      </c>
      <c r="I118" s="38">
        <v>0.9</v>
      </c>
      <c r="J118" s="299" t="s">
        <v>17556</v>
      </c>
      <c r="K118" s="45" t="s">
        <v>398</v>
      </c>
      <c r="L118" s="46">
        <v>1</v>
      </c>
      <c r="M118" s="512"/>
      <c r="N118" s="57"/>
      <c r="O118" s="43"/>
      <c r="P118" s="37"/>
      <c r="Q118" s="38"/>
      <c r="R118" s="79"/>
      <c r="S118" s="43"/>
      <c r="T118" s="37"/>
      <c r="U118" s="38"/>
      <c r="V118" s="79"/>
      <c r="W118" s="208">
        <f>ROUND((ROUND((ROUND((ROUND((ROUND((_15_同援日増２．５*_15・基礎２),0)*_15・２人),0)*(1+_15・A早朝)),0)*(1+_15・盲ろう)),0)*(1+_15・区３)),0)</f>
        <v>550</v>
      </c>
      <c r="X118" s="48"/>
    </row>
    <row r="119" spans="1:24" ht="16.5" customHeight="1" x14ac:dyDescent="0.15">
      <c r="A119" s="41">
        <v>15</v>
      </c>
      <c r="B119" s="41" t="s">
        <v>24731</v>
      </c>
      <c r="C119" s="74" t="s">
        <v>24732</v>
      </c>
      <c r="D119" s="72"/>
      <c r="F119" s="57"/>
      <c r="G119" s="53"/>
      <c r="H119" s="49"/>
      <c r="I119" s="50"/>
      <c r="J119" s="163"/>
      <c r="K119" s="45"/>
      <c r="L119" s="46"/>
      <c r="M119" s="512"/>
      <c r="N119" s="57"/>
      <c r="O119" s="53"/>
      <c r="P119" s="49"/>
      <c r="Q119" s="50"/>
      <c r="R119" s="115"/>
      <c r="S119" s="53"/>
      <c r="T119" s="49"/>
      <c r="U119" s="50"/>
      <c r="V119" s="115"/>
      <c r="W119" s="208">
        <f>ROUND((ROUND((_15_同援日増２．５*(1+_15・A早朝)),0)*(1+_15・区４)),0)</f>
        <v>568</v>
      </c>
      <c r="X119" s="48"/>
    </row>
    <row r="120" spans="1:24" ht="16.5" customHeight="1" x14ac:dyDescent="0.15">
      <c r="A120" s="41">
        <v>15</v>
      </c>
      <c r="B120" s="41" t="s">
        <v>24733</v>
      </c>
      <c r="C120" s="74" t="s">
        <v>24734</v>
      </c>
      <c r="D120" s="72"/>
      <c r="F120" s="57"/>
      <c r="G120" s="43"/>
      <c r="H120" s="37"/>
      <c r="I120" s="38"/>
      <c r="J120" s="299" t="s">
        <v>17556</v>
      </c>
      <c r="K120" s="45" t="s">
        <v>398</v>
      </c>
      <c r="L120" s="46">
        <v>1</v>
      </c>
      <c r="M120" s="512"/>
      <c r="N120" s="57"/>
      <c r="O120" s="35"/>
      <c r="R120" s="57"/>
      <c r="S120" s="35"/>
      <c r="V120" s="57"/>
      <c r="W120" s="208">
        <f>ROUND((ROUND((ROUND((_15_同援日増２．５*_15・２人),0)*(1+_15・A早朝)),0)*(1+_15・区４)),0)</f>
        <v>568</v>
      </c>
      <c r="X120" s="48"/>
    </row>
    <row r="121" spans="1:24" ht="16.5" customHeight="1" x14ac:dyDescent="0.15">
      <c r="A121" s="41">
        <v>15</v>
      </c>
      <c r="B121" s="41" t="s">
        <v>2131</v>
      </c>
      <c r="C121" s="74" t="s">
        <v>24735</v>
      </c>
      <c r="D121" s="72"/>
      <c r="F121" s="57"/>
      <c r="G121" s="114" t="s">
        <v>17558</v>
      </c>
      <c r="H121" s="49"/>
      <c r="I121" s="50"/>
      <c r="J121" s="163"/>
      <c r="K121" s="45"/>
      <c r="L121" s="46"/>
      <c r="M121" s="512"/>
      <c r="N121" s="57"/>
      <c r="O121" s="35"/>
      <c r="R121" s="57"/>
      <c r="S121" s="72" t="s">
        <v>17580</v>
      </c>
      <c r="V121" s="57"/>
      <c r="W121" s="208">
        <f>ROUND((ROUND((ROUND((_15_同援日増２．５*_15・基礎２),0)*(1+_15・A早朝)),0)*(1+_15・区４)),0)</f>
        <v>512</v>
      </c>
      <c r="X121" s="48"/>
    </row>
    <row r="122" spans="1:24" ht="16.5" customHeight="1" x14ac:dyDescent="0.15">
      <c r="A122" s="41">
        <v>15</v>
      </c>
      <c r="B122" s="41" t="s">
        <v>2133</v>
      </c>
      <c r="C122" s="74" t="s">
        <v>24736</v>
      </c>
      <c r="D122" s="72"/>
      <c r="F122" s="57"/>
      <c r="G122" s="269" t="s">
        <v>17560</v>
      </c>
      <c r="H122" s="37" t="s">
        <v>398</v>
      </c>
      <c r="I122" s="38">
        <v>0.9</v>
      </c>
      <c r="J122" s="299" t="s">
        <v>17556</v>
      </c>
      <c r="K122" s="45" t="s">
        <v>398</v>
      </c>
      <c r="L122" s="46">
        <v>1</v>
      </c>
      <c r="M122" s="512"/>
      <c r="N122" s="57"/>
      <c r="O122" s="43"/>
      <c r="P122" s="37"/>
      <c r="Q122" s="38"/>
      <c r="R122" s="79"/>
      <c r="S122" s="72" t="s">
        <v>17572</v>
      </c>
      <c r="V122" s="57"/>
      <c r="W122" s="208">
        <f>ROUND((ROUND((ROUND((ROUND((_15_同援日増２．５*_15・基礎２),0)*_15・２人),0)*(1+_15・A早朝)),0)*(1+_15・区４)),0)</f>
        <v>512</v>
      </c>
      <c r="X122" s="48"/>
    </row>
    <row r="123" spans="1:24" ht="16.5" customHeight="1" x14ac:dyDescent="0.15">
      <c r="A123" s="41">
        <v>15</v>
      </c>
      <c r="B123" s="41" t="s">
        <v>2135</v>
      </c>
      <c r="C123" s="74" t="s">
        <v>24737</v>
      </c>
      <c r="D123" s="72"/>
      <c r="F123" s="57"/>
      <c r="G123" s="53"/>
      <c r="H123" s="49"/>
      <c r="I123" s="50"/>
      <c r="J123" s="163"/>
      <c r="K123" s="45"/>
      <c r="L123" s="46"/>
      <c r="M123" s="512"/>
      <c r="N123" s="57"/>
      <c r="O123" s="114" t="s">
        <v>17562</v>
      </c>
      <c r="P123" s="49"/>
      <c r="Q123" s="50"/>
      <c r="R123" s="115"/>
      <c r="S123" s="35"/>
      <c r="T123" s="12" t="s">
        <v>398</v>
      </c>
      <c r="U123" s="13">
        <v>0.4</v>
      </c>
      <c r="V123" s="57" t="s">
        <v>3575</v>
      </c>
      <c r="W123" s="208">
        <f>ROUND((ROUND((ROUND((_15_同援日増２．５*(1+_15・A早朝)),0)*(1+_15・盲ろう)),0)*(1+_15・区４)),0)</f>
        <v>711</v>
      </c>
      <c r="X123" s="48"/>
    </row>
    <row r="124" spans="1:24" ht="16.5" customHeight="1" x14ac:dyDescent="0.15">
      <c r="A124" s="41">
        <v>15</v>
      </c>
      <c r="B124" s="41" t="s">
        <v>2137</v>
      </c>
      <c r="C124" s="74" t="s">
        <v>24738</v>
      </c>
      <c r="D124" s="72"/>
      <c r="F124" s="57"/>
      <c r="G124" s="43"/>
      <c r="H124" s="37"/>
      <c r="I124" s="38"/>
      <c r="J124" s="299" t="s">
        <v>17556</v>
      </c>
      <c r="K124" s="45" t="s">
        <v>398</v>
      </c>
      <c r="L124" s="46">
        <v>1</v>
      </c>
      <c r="M124" s="512"/>
      <c r="N124" s="57"/>
      <c r="O124" s="92" t="s">
        <v>17564</v>
      </c>
      <c r="R124" s="57"/>
      <c r="S124" s="35"/>
      <c r="V124" s="57"/>
      <c r="W124" s="208">
        <f>ROUND((ROUND((ROUND((ROUND((_15_同援日増２．５*_15・２人),0)*(1+_15・A早朝)),0)*(1+_15・盲ろう)),0)*(1+_15・区４)),0)</f>
        <v>711</v>
      </c>
      <c r="X124" s="48"/>
    </row>
    <row r="125" spans="1:24" ht="16.5" customHeight="1" x14ac:dyDescent="0.15">
      <c r="A125" s="41">
        <v>15</v>
      </c>
      <c r="B125" s="41" t="s">
        <v>24739</v>
      </c>
      <c r="C125" s="74" t="s">
        <v>24740</v>
      </c>
      <c r="D125" s="72"/>
      <c r="F125" s="57"/>
      <c r="G125" s="114" t="s">
        <v>17558</v>
      </c>
      <c r="H125" s="49"/>
      <c r="I125" s="50"/>
      <c r="J125" s="163"/>
      <c r="K125" s="45"/>
      <c r="L125" s="46"/>
      <c r="M125" s="512"/>
      <c r="N125" s="57"/>
      <c r="O125" s="35"/>
      <c r="P125" s="12" t="s">
        <v>398</v>
      </c>
      <c r="Q125" s="13">
        <v>0.25</v>
      </c>
      <c r="R125" s="57" t="s">
        <v>3575</v>
      </c>
      <c r="S125" s="35"/>
      <c r="V125" s="57"/>
      <c r="W125" s="208">
        <f>ROUND((ROUND((ROUND((ROUND((_15_同援日増２．５*_15・基礎２),0)*(1+_15・A早朝)),0)*(1+_15・盲ろう)),0)*(1+_15・区４)),0)</f>
        <v>641</v>
      </c>
      <c r="X125" s="48"/>
    </row>
    <row r="126" spans="1:24" ht="16.5" customHeight="1" x14ac:dyDescent="0.15">
      <c r="A126" s="41">
        <v>15</v>
      </c>
      <c r="B126" s="41" t="s">
        <v>24741</v>
      </c>
      <c r="C126" s="74" t="s">
        <v>24742</v>
      </c>
      <c r="D126" s="122"/>
      <c r="E126" s="37"/>
      <c r="F126" s="79"/>
      <c r="G126" s="269" t="s">
        <v>17560</v>
      </c>
      <c r="H126" s="37" t="s">
        <v>398</v>
      </c>
      <c r="I126" s="38">
        <v>0.9</v>
      </c>
      <c r="J126" s="299" t="s">
        <v>17556</v>
      </c>
      <c r="K126" s="45" t="s">
        <v>398</v>
      </c>
      <c r="L126" s="46">
        <v>1</v>
      </c>
      <c r="M126" s="514"/>
      <c r="N126" s="79"/>
      <c r="O126" s="43"/>
      <c r="P126" s="37"/>
      <c r="Q126" s="38"/>
      <c r="R126" s="79"/>
      <c r="S126" s="43"/>
      <c r="T126" s="37"/>
      <c r="U126" s="38"/>
      <c r="V126" s="79"/>
      <c r="W126" s="208">
        <f>ROUND((ROUND((ROUND((ROUND((ROUND((_15_同援日増２．５*_15・基礎２),0)*_15・２人),0)*(1+_15・A早朝)),0)*(1+_15・盲ろう)),0)*(1+_15・区４)),0)</f>
        <v>641</v>
      </c>
      <c r="X126" s="63"/>
    </row>
    <row r="127" spans="1:24" ht="16.5" customHeight="1" x14ac:dyDescent="0.15">
      <c r="A127" s="527"/>
      <c r="B127" s="527"/>
      <c r="C127" s="528"/>
      <c r="D127" s="253"/>
      <c r="E127" s="49"/>
      <c r="F127" s="49"/>
      <c r="G127" s="49"/>
      <c r="H127" s="49"/>
      <c r="I127" s="50"/>
      <c r="J127" s="49"/>
      <c r="K127" s="49"/>
      <c r="L127" s="50"/>
      <c r="M127" s="50"/>
      <c r="N127" s="49"/>
      <c r="O127" s="49"/>
      <c r="P127" s="49"/>
      <c r="Q127" s="50"/>
      <c r="R127" s="49"/>
      <c r="S127" s="49"/>
      <c r="T127" s="49"/>
      <c r="U127" s="50"/>
      <c r="V127" s="49"/>
      <c r="W127" s="529"/>
      <c r="X127" s="530"/>
    </row>
    <row r="128" spans="1:24" ht="16.5" customHeight="1" x14ac:dyDescent="0.15">
      <c r="A128" s="80"/>
      <c r="B128" s="80"/>
      <c r="C128" s="81"/>
      <c r="W128" s="209"/>
      <c r="X128" s="85"/>
    </row>
    <row r="129" spans="1:24" ht="16.5" customHeight="1" x14ac:dyDescent="0.15">
      <c r="A129" s="80"/>
      <c r="B129" s="157" t="s">
        <v>24743</v>
      </c>
      <c r="C129" s="81"/>
      <c r="D129" s="71"/>
      <c r="W129" s="209"/>
      <c r="X129" s="85"/>
    </row>
    <row r="130" spans="1:24" ht="16.5" customHeight="1" x14ac:dyDescent="0.15">
      <c r="A130" s="87" t="s">
        <v>384</v>
      </c>
      <c r="B130" s="20"/>
      <c r="C130" s="88" t="s">
        <v>385</v>
      </c>
      <c r="D130" s="23" t="s">
        <v>386</v>
      </c>
      <c r="E130" s="23"/>
      <c r="F130" s="23"/>
      <c r="G130" s="23"/>
      <c r="H130" s="23"/>
      <c r="I130" s="24"/>
      <c r="J130" s="23"/>
      <c r="K130" s="23"/>
      <c r="L130" s="24"/>
      <c r="M130" s="24"/>
      <c r="N130" s="23"/>
      <c r="O130" s="23"/>
      <c r="P130" s="23"/>
      <c r="Q130" s="24"/>
      <c r="R130" s="23"/>
      <c r="S130" s="23"/>
      <c r="T130" s="23"/>
      <c r="U130" s="24"/>
      <c r="V130" s="23"/>
      <c r="W130" s="21" t="s">
        <v>387</v>
      </c>
      <c r="X130" s="21" t="s">
        <v>388</v>
      </c>
    </row>
    <row r="131" spans="1:24" ht="16.5" customHeight="1" x14ac:dyDescent="0.15">
      <c r="A131" s="26" t="s">
        <v>389</v>
      </c>
      <c r="B131" s="26" t="s">
        <v>390</v>
      </c>
      <c r="C131" s="89"/>
      <c r="D131" s="29"/>
      <c r="E131" s="29"/>
      <c r="F131" s="29"/>
      <c r="G131" s="29"/>
      <c r="H131" s="29"/>
      <c r="I131" s="30"/>
      <c r="J131" s="29"/>
      <c r="K131" s="29"/>
      <c r="L131" s="30"/>
      <c r="M131" s="30"/>
      <c r="N131" s="29"/>
      <c r="O131" s="29"/>
      <c r="P131" s="29"/>
      <c r="Q131" s="30"/>
      <c r="R131" s="29"/>
      <c r="S131" s="29"/>
      <c r="T131" s="29"/>
      <c r="U131" s="30"/>
      <c r="V131" s="29"/>
      <c r="W131" s="32" t="s">
        <v>391</v>
      </c>
      <c r="X131" s="32" t="s">
        <v>392</v>
      </c>
    </row>
    <row r="132" spans="1:24" ht="16.5" customHeight="1" x14ac:dyDescent="0.15">
      <c r="A132" s="33">
        <v>15</v>
      </c>
      <c r="B132" s="33" t="s">
        <v>24744</v>
      </c>
      <c r="C132" s="34" t="s">
        <v>24745</v>
      </c>
      <c r="D132" s="72" t="s">
        <v>24746</v>
      </c>
      <c r="F132" s="57"/>
      <c r="G132" s="35"/>
      <c r="J132" s="43"/>
      <c r="K132" s="37"/>
      <c r="L132" s="38"/>
      <c r="M132" s="512"/>
      <c r="N132" s="57"/>
      <c r="O132" s="35"/>
      <c r="R132" s="57"/>
      <c r="S132" s="35"/>
      <c r="V132" s="57"/>
      <c r="W132" s="207">
        <f>ROUND((_15_同援日増０．５*(1+_15・A夜間)),0)</f>
        <v>81</v>
      </c>
      <c r="X132" s="40" t="s">
        <v>395</v>
      </c>
    </row>
    <row r="133" spans="1:24" ht="16.5" customHeight="1" x14ac:dyDescent="0.15">
      <c r="A133" s="41">
        <v>15</v>
      </c>
      <c r="B133" s="41" t="s">
        <v>24747</v>
      </c>
      <c r="C133" s="74" t="s">
        <v>24748</v>
      </c>
      <c r="D133" s="72" t="s">
        <v>18259</v>
      </c>
      <c r="F133" s="57"/>
      <c r="G133" s="43"/>
      <c r="H133" s="37"/>
      <c r="I133" s="38"/>
      <c r="J133" s="299" t="s">
        <v>17556</v>
      </c>
      <c r="K133" s="45" t="s">
        <v>398</v>
      </c>
      <c r="L133" s="46">
        <v>1</v>
      </c>
      <c r="M133" s="512"/>
      <c r="N133" s="57"/>
      <c r="O133" s="35"/>
      <c r="R133" s="57"/>
      <c r="S133" s="35"/>
      <c r="V133" s="57"/>
      <c r="W133" s="208">
        <f>ROUND((ROUND((_15_同援日増０．５*_15・２人),0)*(1+_15・A夜間)),0)</f>
        <v>81</v>
      </c>
      <c r="X133" s="48"/>
    </row>
    <row r="134" spans="1:24" ht="16.5" customHeight="1" x14ac:dyDescent="0.15">
      <c r="A134" s="41">
        <v>15</v>
      </c>
      <c r="B134" s="41" t="s">
        <v>24749</v>
      </c>
      <c r="C134" s="74" t="s">
        <v>24750</v>
      </c>
      <c r="D134" s="72"/>
      <c r="F134" s="57"/>
      <c r="G134" s="114" t="s">
        <v>17558</v>
      </c>
      <c r="H134" s="49"/>
      <c r="I134" s="50"/>
      <c r="J134" s="163"/>
      <c r="K134" s="45"/>
      <c r="L134" s="46"/>
      <c r="M134" s="512"/>
      <c r="N134" s="57"/>
      <c r="O134" s="35"/>
      <c r="R134" s="57"/>
      <c r="S134" s="35"/>
      <c r="V134" s="57"/>
      <c r="W134" s="208">
        <f>ROUND((ROUND((_15_同援日増０．５*_15・基礎２),0)*(1+_15・A夜間)),0)</f>
        <v>74</v>
      </c>
      <c r="X134" s="48"/>
    </row>
    <row r="135" spans="1:24" ht="16.5" customHeight="1" x14ac:dyDescent="0.15">
      <c r="A135" s="41">
        <v>15</v>
      </c>
      <c r="B135" s="41" t="s">
        <v>24751</v>
      </c>
      <c r="C135" s="74" t="s">
        <v>24752</v>
      </c>
      <c r="D135" s="72"/>
      <c r="E135" s="168">
        <f>_15_同援日増０．５</f>
        <v>65</v>
      </c>
      <c r="F135" s="57" t="s">
        <v>392</v>
      </c>
      <c r="G135" s="269" t="s">
        <v>17560</v>
      </c>
      <c r="H135" s="37" t="s">
        <v>398</v>
      </c>
      <c r="I135" s="38">
        <v>0.9</v>
      </c>
      <c r="J135" s="299" t="s">
        <v>17556</v>
      </c>
      <c r="K135" s="45" t="s">
        <v>398</v>
      </c>
      <c r="L135" s="46">
        <v>1</v>
      </c>
      <c r="M135" s="512"/>
      <c r="N135" s="57"/>
      <c r="O135" s="43"/>
      <c r="P135" s="37"/>
      <c r="Q135" s="38"/>
      <c r="R135" s="79"/>
      <c r="S135" s="35"/>
      <c r="V135" s="57"/>
      <c r="W135" s="208">
        <f>ROUND((ROUND((ROUND((_15_同援日増０．５*_15・基礎２),0)*_15・２人),0)*(1+_15・A夜間)),0)</f>
        <v>74</v>
      </c>
      <c r="X135" s="48"/>
    </row>
    <row r="136" spans="1:24" ht="16.5" customHeight="1" x14ac:dyDescent="0.15">
      <c r="A136" s="41">
        <v>15</v>
      </c>
      <c r="B136" s="41" t="s">
        <v>24753</v>
      </c>
      <c r="C136" s="74" t="s">
        <v>24754</v>
      </c>
      <c r="D136" s="72"/>
      <c r="F136" s="57"/>
      <c r="G136" s="53"/>
      <c r="H136" s="49"/>
      <c r="I136" s="50"/>
      <c r="J136" s="163"/>
      <c r="K136" s="45"/>
      <c r="L136" s="46"/>
      <c r="M136" s="512"/>
      <c r="N136" s="57"/>
      <c r="O136" s="114" t="s">
        <v>17562</v>
      </c>
      <c r="P136" s="49"/>
      <c r="Q136" s="50"/>
      <c r="R136" s="115"/>
      <c r="S136" s="35"/>
      <c r="V136" s="57"/>
      <c r="W136" s="208">
        <f>ROUND((ROUND((_15_同援日増０．５*(1+_15・A夜間)),0)*(1+_15・盲ろう)),0)</f>
        <v>101</v>
      </c>
      <c r="X136" s="48"/>
    </row>
    <row r="137" spans="1:24" ht="16.5" customHeight="1" x14ac:dyDescent="0.15">
      <c r="A137" s="41">
        <v>15</v>
      </c>
      <c r="B137" s="41" t="s">
        <v>24755</v>
      </c>
      <c r="C137" s="74" t="s">
        <v>24756</v>
      </c>
      <c r="D137" s="72"/>
      <c r="F137" s="57"/>
      <c r="G137" s="43"/>
      <c r="H137" s="37"/>
      <c r="I137" s="38"/>
      <c r="J137" s="299" t="s">
        <v>17556</v>
      </c>
      <c r="K137" s="45" t="s">
        <v>398</v>
      </c>
      <c r="L137" s="46">
        <v>1</v>
      </c>
      <c r="M137" s="512" t="s">
        <v>18264</v>
      </c>
      <c r="N137" s="57"/>
      <c r="O137" s="92" t="s">
        <v>17564</v>
      </c>
      <c r="R137" s="57"/>
      <c r="S137" s="35"/>
      <c r="V137" s="57"/>
      <c r="W137" s="208">
        <f>ROUND((ROUND((ROUND((_15_同援日増０．５*_15・２人),0)*(1+_15・A夜間)),0)*(1+_15・盲ろう)),0)</f>
        <v>101</v>
      </c>
      <c r="X137" s="48"/>
    </row>
    <row r="138" spans="1:24" ht="16.5" customHeight="1" x14ac:dyDescent="0.15">
      <c r="A138" s="41">
        <v>15</v>
      </c>
      <c r="B138" s="41" t="s">
        <v>24757</v>
      </c>
      <c r="C138" s="74" t="s">
        <v>24758</v>
      </c>
      <c r="D138" s="72"/>
      <c r="F138" s="57"/>
      <c r="G138" s="114" t="s">
        <v>17558</v>
      </c>
      <c r="H138" s="49"/>
      <c r="I138" s="50"/>
      <c r="J138" s="163"/>
      <c r="K138" s="45"/>
      <c r="L138" s="46"/>
      <c r="M138" s="512"/>
      <c r="N138" s="513" t="s">
        <v>18136</v>
      </c>
      <c r="O138" s="35"/>
      <c r="P138" s="12" t="s">
        <v>398</v>
      </c>
      <c r="Q138" s="13">
        <v>0.25</v>
      </c>
      <c r="R138" s="57" t="s">
        <v>3575</v>
      </c>
      <c r="S138" s="35"/>
      <c r="V138" s="57"/>
      <c r="W138" s="208">
        <f>ROUND((ROUND((ROUND((_15_同援日増０．５*_15・基礎２),0)*(1+_15・A夜間)),0)*(1+_15・盲ろう)),0)</f>
        <v>93</v>
      </c>
      <c r="X138" s="48"/>
    </row>
    <row r="139" spans="1:24" ht="16.5" customHeight="1" x14ac:dyDescent="0.15">
      <c r="A139" s="41">
        <v>15</v>
      </c>
      <c r="B139" s="41" t="s">
        <v>24759</v>
      </c>
      <c r="C139" s="74" t="s">
        <v>24760</v>
      </c>
      <c r="D139" s="72"/>
      <c r="F139" s="57"/>
      <c r="G139" s="269" t="s">
        <v>17560</v>
      </c>
      <c r="H139" s="37" t="s">
        <v>398</v>
      </c>
      <c r="I139" s="38">
        <v>0.9</v>
      </c>
      <c r="J139" s="299" t="s">
        <v>17556</v>
      </c>
      <c r="K139" s="45" t="s">
        <v>398</v>
      </c>
      <c r="L139" s="46">
        <v>1</v>
      </c>
      <c r="M139" s="512"/>
      <c r="N139" s="57"/>
      <c r="O139" s="43"/>
      <c r="P139" s="37"/>
      <c r="Q139" s="38"/>
      <c r="R139" s="79"/>
      <c r="S139" s="43"/>
      <c r="T139" s="37"/>
      <c r="U139" s="38"/>
      <c r="V139" s="79"/>
      <c r="W139" s="208">
        <f>ROUND((ROUND((ROUND((ROUND((_15_同援日増０．５*_15・基礎２),0)*_15・２人),0)*(1+_15・A夜間)),0)*(1+_15・盲ろう)),0)</f>
        <v>93</v>
      </c>
      <c r="X139" s="48"/>
    </row>
    <row r="140" spans="1:24" ht="16.5" customHeight="1" x14ac:dyDescent="0.15">
      <c r="A140" s="41">
        <v>15</v>
      </c>
      <c r="B140" s="41" t="s">
        <v>24761</v>
      </c>
      <c r="C140" s="74" t="s">
        <v>24762</v>
      </c>
      <c r="D140" s="72"/>
      <c r="F140" s="57"/>
      <c r="G140" s="53"/>
      <c r="H140" s="49"/>
      <c r="I140" s="50"/>
      <c r="J140" s="163"/>
      <c r="K140" s="45"/>
      <c r="L140" s="46"/>
      <c r="M140" s="35" t="s">
        <v>398</v>
      </c>
      <c r="N140" s="234">
        <v>0.25</v>
      </c>
      <c r="O140" s="53"/>
      <c r="P140" s="49"/>
      <c r="Q140" s="50"/>
      <c r="R140" s="115"/>
      <c r="S140" s="53"/>
      <c r="T140" s="49"/>
      <c r="U140" s="50"/>
      <c r="V140" s="115"/>
      <c r="W140" s="208">
        <f>ROUND((ROUND((_15_同援日増０．５*(1+_15・A夜間)),0)*(1+_15・区３)),0)</f>
        <v>97</v>
      </c>
      <c r="X140" s="48"/>
    </row>
    <row r="141" spans="1:24" ht="16.5" customHeight="1" x14ac:dyDescent="0.15">
      <c r="A141" s="41">
        <v>15</v>
      </c>
      <c r="B141" s="41" t="s">
        <v>24763</v>
      </c>
      <c r="C141" s="74" t="s">
        <v>24764</v>
      </c>
      <c r="D141" s="72"/>
      <c r="F141" s="57"/>
      <c r="G141" s="43"/>
      <c r="H141" s="37"/>
      <c r="I141" s="38"/>
      <c r="J141" s="299" t="s">
        <v>17556</v>
      </c>
      <c r="K141" s="45" t="s">
        <v>398</v>
      </c>
      <c r="L141" s="46">
        <v>1</v>
      </c>
      <c r="M141" s="512"/>
      <c r="N141" s="513" t="s">
        <v>3575</v>
      </c>
      <c r="O141" s="35"/>
      <c r="R141" s="57"/>
      <c r="S141" s="35"/>
      <c r="V141" s="57"/>
      <c r="W141" s="208">
        <f>ROUND((ROUND((ROUND((_15_同援日増０．５*_15・２人),0)*(1+_15・A夜間)),0)*(1+_15・区３)),0)</f>
        <v>97</v>
      </c>
      <c r="X141" s="48"/>
    </row>
    <row r="142" spans="1:24" ht="16.5" customHeight="1" x14ac:dyDescent="0.15">
      <c r="A142" s="41">
        <v>15</v>
      </c>
      <c r="B142" s="41" t="s">
        <v>24765</v>
      </c>
      <c r="C142" s="74" t="s">
        <v>24766</v>
      </c>
      <c r="D142" s="72"/>
      <c r="F142" s="57"/>
      <c r="G142" s="114" t="s">
        <v>17558</v>
      </c>
      <c r="H142" s="49"/>
      <c r="I142" s="50"/>
      <c r="J142" s="163"/>
      <c r="K142" s="45"/>
      <c r="L142" s="46"/>
      <c r="M142" s="512"/>
      <c r="N142" s="57"/>
      <c r="O142" s="35"/>
      <c r="R142" s="57"/>
      <c r="S142" s="72" t="s">
        <v>17570</v>
      </c>
      <c r="V142" s="57"/>
      <c r="W142" s="208">
        <f>ROUND((ROUND((ROUND((_15_同援日増０．５*_15・基礎２),0)*(1+_15・A夜間)),0)*(1+_15・区３)),0)</f>
        <v>89</v>
      </c>
      <c r="X142" s="48"/>
    </row>
    <row r="143" spans="1:24" ht="16.5" customHeight="1" x14ac:dyDescent="0.15">
      <c r="A143" s="41">
        <v>15</v>
      </c>
      <c r="B143" s="41" t="s">
        <v>24767</v>
      </c>
      <c r="C143" s="74" t="s">
        <v>24768</v>
      </c>
      <c r="D143" s="72"/>
      <c r="F143" s="57"/>
      <c r="G143" s="269" t="s">
        <v>17560</v>
      </c>
      <c r="H143" s="37" t="s">
        <v>398</v>
      </c>
      <c r="I143" s="38">
        <v>0.9</v>
      </c>
      <c r="J143" s="299" t="s">
        <v>17556</v>
      </c>
      <c r="K143" s="45" t="s">
        <v>398</v>
      </c>
      <c r="L143" s="46">
        <v>1</v>
      </c>
      <c r="M143" s="512"/>
      <c r="N143" s="57"/>
      <c r="O143" s="43"/>
      <c r="P143" s="37"/>
      <c r="Q143" s="38"/>
      <c r="R143" s="79"/>
      <c r="S143" s="72" t="s">
        <v>17572</v>
      </c>
      <c r="V143" s="57"/>
      <c r="W143" s="208">
        <f>ROUND((ROUND((ROUND((ROUND((_15_同援日増０．５*_15・基礎２),0)*_15・２人),0)*(1+_15・A夜間)),0)*(1+_15・区３)),0)</f>
        <v>89</v>
      </c>
      <c r="X143" s="48"/>
    </row>
    <row r="144" spans="1:24" ht="16.5" customHeight="1" x14ac:dyDescent="0.15">
      <c r="A144" s="41">
        <v>15</v>
      </c>
      <c r="B144" s="41" t="s">
        <v>24769</v>
      </c>
      <c r="C144" s="74" t="s">
        <v>24770</v>
      </c>
      <c r="D144" s="72"/>
      <c r="F144" s="57"/>
      <c r="G144" s="53"/>
      <c r="H144" s="49"/>
      <c r="I144" s="50"/>
      <c r="J144" s="163"/>
      <c r="K144" s="45"/>
      <c r="L144" s="46"/>
      <c r="M144" s="512"/>
      <c r="N144" s="57"/>
      <c r="O144" s="114" t="s">
        <v>17562</v>
      </c>
      <c r="P144" s="49"/>
      <c r="Q144" s="50"/>
      <c r="R144" s="115"/>
      <c r="S144" s="35"/>
      <c r="T144" s="12" t="s">
        <v>398</v>
      </c>
      <c r="U144" s="13">
        <v>0.2</v>
      </c>
      <c r="V144" s="57" t="s">
        <v>3575</v>
      </c>
      <c r="W144" s="208">
        <f>ROUND((ROUND((ROUND((_15_同援日増０．５*(1+_15・A夜間)),0)*(1+_15・盲ろう)),0)*(1+_15・区３)),0)</f>
        <v>121</v>
      </c>
      <c r="X144" s="48"/>
    </row>
    <row r="145" spans="1:24" ht="16.5" customHeight="1" x14ac:dyDescent="0.15">
      <c r="A145" s="41">
        <v>15</v>
      </c>
      <c r="B145" s="41" t="s">
        <v>24771</v>
      </c>
      <c r="C145" s="74" t="s">
        <v>24772</v>
      </c>
      <c r="D145" s="72"/>
      <c r="F145" s="57"/>
      <c r="G145" s="43"/>
      <c r="H145" s="37"/>
      <c r="I145" s="38"/>
      <c r="J145" s="299" t="s">
        <v>17556</v>
      </c>
      <c r="K145" s="45" t="s">
        <v>398</v>
      </c>
      <c r="L145" s="46">
        <v>1</v>
      </c>
      <c r="M145" s="512"/>
      <c r="N145" s="57"/>
      <c r="O145" s="92" t="s">
        <v>17564</v>
      </c>
      <c r="R145" s="57"/>
      <c r="S145" s="35"/>
      <c r="V145" s="57"/>
      <c r="W145" s="208">
        <f>ROUND((ROUND((ROUND((ROUND((_15_同援日増０．５*_15・２人),0)*(1+_15・A夜間)),0)*(1+_15・盲ろう)),0)*(1+_15・区３)),0)</f>
        <v>121</v>
      </c>
      <c r="X145" s="48"/>
    </row>
    <row r="146" spans="1:24" ht="16.5" customHeight="1" x14ac:dyDescent="0.15">
      <c r="A146" s="41">
        <v>15</v>
      </c>
      <c r="B146" s="41" t="s">
        <v>2143</v>
      </c>
      <c r="C146" s="74" t="s">
        <v>24773</v>
      </c>
      <c r="D146" s="72"/>
      <c r="F146" s="57"/>
      <c r="G146" s="114" t="s">
        <v>17558</v>
      </c>
      <c r="H146" s="49"/>
      <c r="I146" s="50"/>
      <c r="J146" s="163"/>
      <c r="K146" s="45"/>
      <c r="L146" s="46"/>
      <c r="M146" s="512"/>
      <c r="N146" s="57"/>
      <c r="O146" s="35"/>
      <c r="P146" s="12" t="s">
        <v>398</v>
      </c>
      <c r="Q146" s="13">
        <v>0.25</v>
      </c>
      <c r="R146" s="57" t="s">
        <v>3575</v>
      </c>
      <c r="S146" s="35"/>
      <c r="V146" s="57"/>
      <c r="W146" s="208">
        <f>ROUND((ROUND((ROUND((ROUND((_15_同援日増０．５*_15・基礎２),0)*(1+_15・A夜間)),0)*(1+_15・盲ろう)),0)*(1+_15・区３)),0)</f>
        <v>112</v>
      </c>
      <c r="X146" s="48"/>
    </row>
    <row r="147" spans="1:24" ht="16.5" customHeight="1" x14ac:dyDescent="0.15">
      <c r="A147" s="41">
        <v>15</v>
      </c>
      <c r="B147" s="41" t="s">
        <v>2145</v>
      </c>
      <c r="C147" s="74" t="s">
        <v>24774</v>
      </c>
      <c r="D147" s="72"/>
      <c r="F147" s="57"/>
      <c r="G147" s="269" t="s">
        <v>17560</v>
      </c>
      <c r="H147" s="37" t="s">
        <v>398</v>
      </c>
      <c r="I147" s="38">
        <v>0.9</v>
      </c>
      <c r="J147" s="299" t="s">
        <v>17556</v>
      </c>
      <c r="K147" s="45" t="s">
        <v>398</v>
      </c>
      <c r="L147" s="46">
        <v>1</v>
      </c>
      <c r="M147" s="512"/>
      <c r="N147" s="57"/>
      <c r="O147" s="43"/>
      <c r="P147" s="37"/>
      <c r="Q147" s="38"/>
      <c r="R147" s="79"/>
      <c r="S147" s="43"/>
      <c r="T147" s="37"/>
      <c r="U147" s="38"/>
      <c r="V147" s="79"/>
      <c r="W147" s="208">
        <f>ROUND((ROUND((ROUND((ROUND((ROUND((_15_同援日増０．５*_15・基礎２),0)*_15・２人),0)*(1+_15・A夜間)),0)*(1+_15・盲ろう)),0)*(1+_15・区３)),0)</f>
        <v>112</v>
      </c>
      <c r="X147" s="48"/>
    </row>
    <row r="148" spans="1:24" ht="16.5" customHeight="1" x14ac:dyDescent="0.15">
      <c r="A148" s="41">
        <v>15</v>
      </c>
      <c r="B148" s="41" t="s">
        <v>2147</v>
      </c>
      <c r="C148" s="74" t="s">
        <v>24775</v>
      </c>
      <c r="D148" s="72"/>
      <c r="F148" s="57"/>
      <c r="G148" s="53"/>
      <c r="H148" s="49"/>
      <c r="I148" s="50"/>
      <c r="J148" s="163"/>
      <c r="K148" s="45"/>
      <c r="L148" s="46"/>
      <c r="M148" s="512"/>
      <c r="N148" s="57"/>
      <c r="O148" s="53"/>
      <c r="P148" s="49"/>
      <c r="Q148" s="50"/>
      <c r="R148" s="115"/>
      <c r="S148" s="53"/>
      <c r="T148" s="49"/>
      <c r="U148" s="50"/>
      <c r="V148" s="115"/>
      <c r="W148" s="208">
        <f>ROUND((ROUND((_15_同援日増０．５*(1+_15・A夜間)),0)*(1+_15・区４)),0)</f>
        <v>113</v>
      </c>
      <c r="X148" s="48"/>
    </row>
    <row r="149" spans="1:24" ht="16.5" customHeight="1" x14ac:dyDescent="0.15">
      <c r="A149" s="41">
        <v>15</v>
      </c>
      <c r="B149" s="41" t="s">
        <v>2149</v>
      </c>
      <c r="C149" s="74" t="s">
        <v>24776</v>
      </c>
      <c r="D149" s="72"/>
      <c r="F149" s="57"/>
      <c r="G149" s="43"/>
      <c r="H149" s="37"/>
      <c r="I149" s="38"/>
      <c r="J149" s="299" t="s">
        <v>17556</v>
      </c>
      <c r="K149" s="45" t="s">
        <v>398</v>
      </c>
      <c r="L149" s="46">
        <v>1</v>
      </c>
      <c r="M149" s="512"/>
      <c r="N149" s="57"/>
      <c r="O149" s="35"/>
      <c r="R149" s="57"/>
      <c r="S149" s="35"/>
      <c r="V149" s="57"/>
      <c r="W149" s="208">
        <f>ROUND((ROUND((ROUND((_15_同援日増０．５*_15・２人),0)*(1+_15・A夜間)),0)*(1+_15・区４)),0)</f>
        <v>113</v>
      </c>
      <c r="X149" s="48"/>
    </row>
    <row r="150" spans="1:24" ht="16.5" customHeight="1" x14ac:dyDescent="0.15">
      <c r="A150" s="41">
        <v>15</v>
      </c>
      <c r="B150" s="41" t="s">
        <v>24777</v>
      </c>
      <c r="C150" s="74" t="s">
        <v>24778</v>
      </c>
      <c r="D150" s="72"/>
      <c r="F150" s="57"/>
      <c r="G150" s="114" t="s">
        <v>17558</v>
      </c>
      <c r="H150" s="49"/>
      <c r="I150" s="50"/>
      <c r="J150" s="163"/>
      <c r="K150" s="45"/>
      <c r="L150" s="46"/>
      <c r="M150" s="512"/>
      <c r="N150" s="57"/>
      <c r="O150" s="35"/>
      <c r="R150" s="57"/>
      <c r="S150" s="72" t="s">
        <v>17580</v>
      </c>
      <c r="V150" s="57"/>
      <c r="W150" s="208">
        <f>ROUND((ROUND((ROUND((_15_同援日増０．５*_15・基礎２),0)*(1+_15・A夜間)),0)*(1+_15・区４)),0)</f>
        <v>104</v>
      </c>
      <c r="X150" s="48"/>
    </row>
    <row r="151" spans="1:24" ht="16.5" customHeight="1" x14ac:dyDescent="0.15">
      <c r="A151" s="41">
        <v>15</v>
      </c>
      <c r="B151" s="41" t="s">
        <v>24779</v>
      </c>
      <c r="C151" s="74" t="s">
        <v>24780</v>
      </c>
      <c r="D151" s="72"/>
      <c r="F151" s="57"/>
      <c r="G151" s="269" t="s">
        <v>17560</v>
      </c>
      <c r="H151" s="37" t="s">
        <v>398</v>
      </c>
      <c r="I151" s="38">
        <v>0.9</v>
      </c>
      <c r="J151" s="299" t="s">
        <v>17556</v>
      </c>
      <c r="K151" s="45" t="s">
        <v>398</v>
      </c>
      <c r="L151" s="46">
        <v>1</v>
      </c>
      <c r="M151" s="512"/>
      <c r="N151" s="57"/>
      <c r="O151" s="43"/>
      <c r="P151" s="37"/>
      <c r="Q151" s="38"/>
      <c r="R151" s="79"/>
      <c r="S151" s="72" t="s">
        <v>17572</v>
      </c>
      <c r="V151" s="57"/>
      <c r="W151" s="208">
        <f>ROUND((ROUND((ROUND((ROUND((_15_同援日増０．５*_15・基礎２),0)*_15・２人),0)*(1+_15・A夜間)),0)*(1+_15・区４)),0)</f>
        <v>104</v>
      </c>
      <c r="X151" s="48"/>
    </row>
    <row r="152" spans="1:24" ht="16.5" customHeight="1" x14ac:dyDescent="0.15">
      <c r="A152" s="41">
        <v>15</v>
      </c>
      <c r="B152" s="41" t="s">
        <v>24781</v>
      </c>
      <c r="C152" s="74" t="s">
        <v>24782</v>
      </c>
      <c r="D152" s="72"/>
      <c r="F152" s="57"/>
      <c r="G152" s="53"/>
      <c r="H152" s="49"/>
      <c r="I152" s="50"/>
      <c r="J152" s="163"/>
      <c r="K152" s="45"/>
      <c r="L152" s="46"/>
      <c r="M152" s="512"/>
      <c r="N152" s="57"/>
      <c r="O152" s="114" t="s">
        <v>17562</v>
      </c>
      <c r="P152" s="49"/>
      <c r="Q152" s="50"/>
      <c r="R152" s="115"/>
      <c r="S152" s="35"/>
      <c r="T152" s="12" t="s">
        <v>398</v>
      </c>
      <c r="U152" s="13">
        <v>0.4</v>
      </c>
      <c r="V152" s="57" t="s">
        <v>3575</v>
      </c>
      <c r="W152" s="208">
        <f>ROUND((ROUND((ROUND((_15_同援日増０．５*(1+_15・A夜間)),0)*(1+_15・盲ろう)),0)*(1+_15・区４)),0)</f>
        <v>141</v>
      </c>
      <c r="X152" s="48"/>
    </row>
    <row r="153" spans="1:24" ht="16.5" customHeight="1" x14ac:dyDescent="0.15">
      <c r="A153" s="41">
        <v>15</v>
      </c>
      <c r="B153" s="41" t="s">
        <v>24783</v>
      </c>
      <c r="C153" s="74" t="s">
        <v>24784</v>
      </c>
      <c r="D153" s="72"/>
      <c r="F153" s="57"/>
      <c r="G153" s="43"/>
      <c r="H153" s="37"/>
      <c r="I153" s="38"/>
      <c r="J153" s="299" t="s">
        <v>17556</v>
      </c>
      <c r="K153" s="45" t="s">
        <v>398</v>
      </c>
      <c r="L153" s="46">
        <v>1</v>
      </c>
      <c r="M153" s="512"/>
      <c r="N153" s="57"/>
      <c r="O153" s="92" t="s">
        <v>17564</v>
      </c>
      <c r="R153" s="57"/>
      <c r="S153" s="35"/>
      <c r="V153" s="57"/>
      <c r="W153" s="208">
        <f>ROUND((ROUND((ROUND((ROUND((_15_同援日増０．５*_15・２人),0)*(1+_15・A夜間)),0)*(1+_15・盲ろう)),0)*(1+_15・区４)),0)</f>
        <v>141</v>
      </c>
      <c r="X153" s="48"/>
    </row>
    <row r="154" spans="1:24" ht="16.5" customHeight="1" x14ac:dyDescent="0.15">
      <c r="A154" s="41">
        <v>15</v>
      </c>
      <c r="B154" s="41" t="s">
        <v>24785</v>
      </c>
      <c r="C154" s="74" t="s">
        <v>24786</v>
      </c>
      <c r="D154" s="72"/>
      <c r="F154" s="57"/>
      <c r="G154" s="114" t="s">
        <v>17558</v>
      </c>
      <c r="H154" s="49"/>
      <c r="I154" s="50"/>
      <c r="J154" s="163"/>
      <c r="K154" s="45"/>
      <c r="L154" s="46"/>
      <c r="M154" s="512"/>
      <c r="N154" s="57"/>
      <c r="O154" s="35"/>
      <c r="P154" s="12" t="s">
        <v>398</v>
      </c>
      <c r="Q154" s="13">
        <v>0.25</v>
      </c>
      <c r="R154" s="57" t="s">
        <v>3575</v>
      </c>
      <c r="S154" s="35"/>
      <c r="V154" s="57"/>
      <c r="W154" s="208">
        <f>ROUND((ROUND((ROUND((ROUND((_15_同援日増０．５*_15・基礎２),0)*(1+_15・A夜間)),0)*(1+_15・盲ろう)),0)*(1+_15・区４)),0)</f>
        <v>130</v>
      </c>
      <c r="X154" s="48"/>
    </row>
    <row r="155" spans="1:24" ht="16.5" customHeight="1" x14ac:dyDescent="0.15">
      <c r="A155" s="41">
        <v>15</v>
      </c>
      <c r="B155" s="41" t="s">
        <v>24787</v>
      </c>
      <c r="C155" s="74" t="s">
        <v>24788</v>
      </c>
      <c r="D155" s="122"/>
      <c r="E155" s="37"/>
      <c r="F155" s="79"/>
      <c r="G155" s="269" t="s">
        <v>17560</v>
      </c>
      <c r="H155" s="37" t="s">
        <v>398</v>
      </c>
      <c r="I155" s="38">
        <v>0.9</v>
      </c>
      <c r="J155" s="299" t="s">
        <v>17556</v>
      </c>
      <c r="K155" s="45" t="s">
        <v>398</v>
      </c>
      <c r="L155" s="46">
        <v>1</v>
      </c>
      <c r="M155" s="514"/>
      <c r="N155" s="79"/>
      <c r="O155" s="43"/>
      <c r="P155" s="37"/>
      <c r="Q155" s="38"/>
      <c r="R155" s="79"/>
      <c r="S155" s="43"/>
      <c r="T155" s="37"/>
      <c r="U155" s="38"/>
      <c r="V155" s="79"/>
      <c r="W155" s="208">
        <f>ROUND((ROUND((ROUND((ROUND((ROUND((_15_同援日増０．５*_15・基礎２),0)*_15・２人),0)*(1+_15・A夜間)),0)*(1+_15・盲ろう)),0)*(1+_15・区４)),0)</f>
        <v>130</v>
      </c>
      <c r="X155" s="63"/>
    </row>
    <row r="156" spans="1:24" ht="16.5" customHeight="1" x14ac:dyDescent="0.15">
      <c r="A156" s="41">
        <v>15</v>
      </c>
      <c r="B156" s="41" t="s">
        <v>24789</v>
      </c>
      <c r="C156" s="74" t="s">
        <v>24790</v>
      </c>
      <c r="D156" s="72" t="s">
        <v>24791</v>
      </c>
      <c r="F156" s="57"/>
      <c r="G156" s="35"/>
      <c r="J156" s="43"/>
      <c r="K156" s="37"/>
      <c r="L156" s="38"/>
      <c r="M156" s="512"/>
      <c r="N156" s="57"/>
      <c r="O156" s="35"/>
      <c r="R156" s="57"/>
      <c r="S156" s="35"/>
      <c r="V156" s="57"/>
      <c r="W156" s="207">
        <f>ROUND((_15_同援日増１．０*(1+_15・A夜間)),0)</f>
        <v>163</v>
      </c>
      <c r="X156" s="48"/>
    </row>
    <row r="157" spans="1:24" ht="16.5" customHeight="1" x14ac:dyDescent="0.15">
      <c r="A157" s="41">
        <v>15</v>
      </c>
      <c r="B157" s="41" t="s">
        <v>24792</v>
      </c>
      <c r="C157" s="74" t="s">
        <v>24793</v>
      </c>
      <c r="D157" s="72" t="s">
        <v>17589</v>
      </c>
      <c r="F157" s="57"/>
      <c r="G157" s="43"/>
      <c r="H157" s="37"/>
      <c r="I157" s="38"/>
      <c r="J157" s="299" t="s">
        <v>17556</v>
      </c>
      <c r="K157" s="45" t="s">
        <v>398</v>
      </c>
      <c r="L157" s="46">
        <v>1</v>
      </c>
      <c r="M157" s="512"/>
      <c r="N157" s="57"/>
      <c r="O157" s="35"/>
      <c r="R157" s="57"/>
      <c r="S157" s="35"/>
      <c r="V157" s="57"/>
      <c r="W157" s="208">
        <f>ROUND((ROUND((_15_同援日増１．０*_15・２人),0)*(1+_15・A夜間)),0)</f>
        <v>163</v>
      </c>
      <c r="X157" s="48"/>
    </row>
    <row r="158" spans="1:24" ht="16.5" customHeight="1" x14ac:dyDescent="0.15">
      <c r="A158" s="41">
        <v>15</v>
      </c>
      <c r="B158" s="41" t="s">
        <v>24794</v>
      </c>
      <c r="C158" s="74" t="s">
        <v>24795</v>
      </c>
      <c r="D158" s="72" t="s">
        <v>17591</v>
      </c>
      <c r="F158" s="57"/>
      <c r="G158" s="114" t="s">
        <v>17558</v>
      </c>
      <c r="H158" s="49"/>
      <c r="I158" s="50"/>
      <c r="J158" s="163"/>
      <c r="K158" s="45"/>
      <c r="L158" s="46"/>
      <c r="M158" s="512"/>
      <c r="N158" s="57"/>
      <c r="O158" s="35"/>
      <c r="R158" s="57"/>
      <c r="S158" s="35"/>
      <c r="V158" s="57"/>
      <c r="W158" s="208">
        <f>ROUND((ROUND((_15_同援日増１．０*_15・基礎２),0)*(1+_15・A夜間)),0)</f>
        <v>146</v>
      </c>
      <c r="X158" s="48"/>
    </row>
    <row r="159" spans="1:24" ht="16.5" customHeight="1" x14ac:dyDescent="0.15">
      <c r="A159" s="41">
        <v>15</v>
      </c>
      <c r="B159" s="41" t="s">
        <v>24796</v>
      </c>
      <c r="C159" s="74" t="s">
        <v>24797</v>
      </c>
      <c r="D159" s="72"/>
      <c r="E159" s="168">
        <f>_15_同援日増１．０</f>
        <v>130</v>
      </c>
      <c r="F159" s="57" t="s">
        <v>392</v>
      </c>
      <c r="G159" s="269" t="s">
        <v>17560</v>
      </c>
      <c r="H159" s="37" t="s">
        <v>398</v>
      </c>
      <c r="I159" s="38">
        <v>0.9</v>
      </c>
      <c r="J159" s="299" t="s">
        <v>17556</v>
      </c>
      <c r="K159" s="45" t="s">
        <v>398</v>
      </c>
      <c r="L159" s="46">
        <v>1</v>
      </c>
      <c r="M159" s="512"/>
      <c r="N159" s="57"/>
      <c r="O159" s="43"/>
      <c r="P159" s="37"/>
      <c r="Q159" s="38"/>
      <c r="R159" s="79"/>
      <c r="S159" s="35"/>
      <c r="V159" s="57"/>
      <c r="W159" s="208">
        <f>ROUND((ROUND((ROUND((_15_同援日増１．０*_15・基礎２),0)*_15・２人),0)*(1+_15・A夜間)),0)</f>
        <v>146</v>
      </c>
      <c r="X159" s="48"/>
    </row>
    <row r="160" spans="1:24" ht="16.5" customHeight="1" x14ac:dyDescent="0.15">
      <c r="A160" s="41">
        <v>15</v>
      </c>
      <c r="B160" s="41" t="s">
        <v>24798</v>
      </c>
      <c r="C160" s="74" t="s">
        <v>24799</v>
      </c>
      <c r="D160" s="72"/>
      <c r="F160" s="57"/>
      <c r="G160" s="53"/>
      <c r="H160" s="49"/>
      <c r="I160" s="50"/>
      <c r="J160" s="163"/>
      <c r="K160" s="45"/>
      <c r="L160" s="46"/>
      <c r="M160" s="512"/>
      <c r="N160" s="57"/>
      <c r="O160" s="114" t="s">
        <v>17562</v>
      </c>
      <c r="P160" s="49"/>
      <c r="Q160" s="50"/>
      <c r="R160" s="115"/>
      <c r="S160" s="35"/>
      <c r="V160" s="57"/>
      <c r="W160" s="208">
        <f>ROUND((ROUND((_15_同援日増１．０*(1+_15・A夜間)),0)*(1+_15・盲ろう)),0)</f>
        <v>204</v>
      </c>
      <c r="X160" s="48"/>
    </row>
    <row r="161" spans="1:24" ht="16.5" customHeight="1" x14ac:dyDescent="0.15">
      <c r="A161" s="41">
        <v>15</v>
      </c>
      <c r="B161" s="41" t="s">
        <v>24800</v>
      </c>
      <c r="C161" s="74" t="s">
        <v>24801</v>
      </c>
      <c r="D161" s="72"/>
      <c r="F161" s="57"/>
      <c r="G161" s="43"/>
      <c r="H161" s="37"/>
      <c r="I161" s="38"/>
      <c r="J161" s="299" t="s">
        <v>17556</v>
      </c>
      <c r="K161" s="45" t="s">
        <v>398</v>
      </c>
      <c r="L161" s="46">
        <v>1</v>
      </c>
      <c r="M161" s="512"/>
      <c r="N161" s="57"/>
      <c r="O161" s="92" t="s">
        <v>17564</v>
      </c>
      <c r="R161" s="57"/>
      <c r="S161" s="35"/>
      <c r="V161" s="57"/>
      <c r="W161" s="208">
        <f>ROUND((ROUND((ROUND((_15_同援日増１．０*_15・２人),0)*(1+_15・A夜間)),0)*(1+_15・盲ろう)),0)</f>
        <v>204</v>
      </c>
      <c r="X161" s="48"/>
    </row>
    <row r="162" spans="1:24" ht="16.5" customHeight="1" x14ac:dyDescent="0.15">
      <c r="A162" s="41">
        <v>15</v>
      </c>
      <c r="B162" s="41" t="s">
        <v>24802</v>
      </c>
      <c r="C162" s="74" t="s">
        <v>24803</v>
      </c>
      <c r="D162" s="72"/>
      <c r="F162" s="57"/>
      <c r="G162" s="114" t="s">
        <v>17558</v>
      </c>
      <c r="H162" s="49"/>
      <c r="I162" s="50"/>
      <c r="J162" s="163"/>
      <c r="K162" s="45"/>
      <c r="L162" s="46"/>
      <c r="M162" s="512"/>
      <c r="N162" s="57"/>
      <c r="O162" s="35"/>
      <c r="P162" s="12" t="s">
        <v>398</v>
      </c>
      <c r="Q162" s="13">
        <v>0.25</v>
      </c>
      <c r="R162" s="57" t="s">
        <v>3575</v>
      </c>
      <c r="S162" s="35"/>
      <c r="V162" s="57"/>
      <c r="W162" s="208">
        <f>ROUND((ROUND((ROUND((_15_同援日増１．０*_15・基礎２),0)*(1+_15・A夜間)),0)*(1+_15・盲ろう)),0)</f>
        <v>183</v>
      </c>
      <c r="X162" s="48"/>
    </row>
    <row r="163" spans="1:24" ht="16.5" customHeight="1" x14ac:dyDescent="0.15">
      <c r="A163" s="41">
        <v>15</v>
      </c>
      <c r="B163" s="41" t="s">
        <v>24804</v>
      </c>
      <c r="C163" s="74" t="s">
        <v>24805</v>
      </c>
      <c r="D163" s="72"/>
      <c r="F163" s="57"/>
      <c r="G163" s="269" t="s">
        <v>17560</v>
      </c>
      <c r="H163" s="37" t="s">
        <v>398</v>
      </c>
      <c r="I163" s="38">
        <v>0.9</v>
      </c>
      <c r="J163" s="299" t="s">
        <v>17556</v>
      </c>
      <c r="K163" s="45" t="s">
        <v>398</v>
      </c>
      <c r="L163" s="46">
        <v>1</v>
      </c>
      <c r="M163" s="512"/>
      <c r="N163" s="57"/>
      <c r="O163" s="43"/>
      <c r="P163" s="37"/>
      <c r="Q163" s="38"/>
      <c r="R163" s="79"/>
      <c r="S163" s="43"/>
      <c r="T163" s="37"/>
      <c r="U163" s="38"/>
      <c r="V163" s="79"/>
      <c r="W163" s="208">
        <f>ROUND((ROUND((ROUND((ROUND((_15_同援日増１．０*_15・基礎２),0)*_15・２人),0)*(1+_15・A夜間)),0)*(1+_15・盲ろう)),0)</f>
        <v>183</v>
      </c>
      <c r="X163" s="48"/>
    </row>
    <row r="164" spans="1:24" ht="16.5" customHeight="1" x14ac:dyDescent="0.15">
      <c r="A164" s="41">
        <v>15</v>
      </c>
      <c r="B164" s="41" t="s">
        <v>24806</v>
      </c>
      <c r="C164" s="74" t="s">
        <v>24807</v>
      </c>
      <c r="D164" s="72"/>
      <c r="F164" s="57"/>
      <c r="G164" s="53"/>
      <c r="H164" s="49"/>
      <c r="I164" s="50"/>
      <c r="J164" s="163"/>
      <c r="K164" s="45"/>
      <c r="L164" s="46"/>
      <c r="M164" s="512"/>
      <c r="N164" s="57"/>
      <c r="O164" s="53"/>
      <c r="P164" s="49"/>
      <c r="Q164" s="50"/>
      <c r="R164" s="115"/>
      <c r="S164" s="53"/>
      <c r="T164" s="49"/>
      <c r="U164" s="50"/>
      <c r="V164" s="115"/>
      <c r="W164" s="208">
        <f>ROUND((ROUND((_15_同援日増１．０*(1+_15・A夜間)),0)*(1+_15・区３)),0)</f>
        <v>196</v>
      </c>
      <c r="X164" s="48"/>
    </row>
    <row r="165" spans="1:24" ht="16.5" customHeight="1" x14ac:dyDescent="0.15">
      <c r="A165" s="41">
        <v>15</v>
      </c>
      <c r="B165" s="41" t="s">
        <v>24808</v>
      </c>
      <c r="C165" s="74" t="s">
        <v>24809</v>
      </c>
      <c r="D165" s="72"/>
      <c r="F165" s="57"/>
      <c r="G165" s="43"/>
      <c r="H165" s="37"/>
      <c r="I165" s="38"/>
      <c r="J165" s="299" t="s">
        <v>17556</v>
      </c>
      <c r="K165" s="45" t="s">
        <v>398</v>
      </c>
      <c r="L165" s="46">
        <v>1</v>
      </c>
      <c r="M165" s="512"/>
      <c r="N165" s="57"/>
      <c r="O165" s="35"/>
      <c r="R165" s="57"/>
      <c r="S165" s="35"/>
      <c r="V165" s="57"/>
      <c r="W165" s="208">
        <f>ROUND((ROUND((ROUND((_15_同援日増１．０*_15・２人),0)*(1+_15・A夜間)),0)*(1+_15・区３)),0)</f>
        <v>196</v>
      </c>
      <c r="X165" s="48"/>
    </row>
    <row r="166" spans="1:24" ht="16.5" customHeight="1" x14ac:dyDescent="0.15">
      <c r="A166" s="41">
        <v>15</v>
      </c>
      <c r="B166" s="41" t="s">
        <v>2156</v>
      </c>
      <c r="C166" s="74" t="s">
        <v>24810</v>
      </c>
      <c r="D166" s="72"/>
      <c r="F166" s="57"/>
      <c r="G166" s="114" t="s">
        <v>17558</v>
      </c>
      <c r="H166" s="49"/>
      <c r="I166" s="50"/>
      <c r="J166" s="163"/>
      <c r="K166" s="45"/>
      <c r="L166" s="46"/>
      <c r="M166" s="512"/>
      <c r="N166" s="57"/>
      <c r="O166" s="35"/>
      <c r="R166" s="57"/>
      <c r="S166" s="72" t="s">
        <v>17570</v>
      </c>
      <c r="V166" s="57"/>
      <c r="W166" s="208">
        <f>ROUND((ROUND((ROUND((_15_同援日増１．０*_15・基礎２),0)*(1+_15・A夜間)),0)*(1+_15・区３)),0)</f>
        <v>175</v>
      </c>
      <c r="X166" s="48"/>
    </row>
    <row r="167" spans="1:24" ht="16.5" customHeight="1" x14ac:dyDescent="0.15">
      <c r="A167" s="41">
        <v>15</v>
      </c>
      <c r="B167" s="41" t="s">
        <v>2158</v>
      </c>
      <c r="C167" s="74" t="s">
        <v>24811</v>
      </c>
      <c r="D167" s="72"/>
      <c r="F167" s="57"/>
      <c r="G167" s="269" t="s">
        <v>17560</v>
      </c>
      <c r="H167" s="37" t="s">
        <v>398</v>
      </c>
      <c r="I167" s="38">
        <v>0.9</v>
      </c>
      <c r="J167" s="299" t="s">
        <v>17556</v>
      </c>
      <c r="K167" s="45" t="s">
        <v>398</v>
      </c>
      <c r="L167" s="46">
        <v>1</v>
      </c>
      <c r="M167" s="512"/>
      <c r="N167" s="57"/>
      <c r="O167" s="43"/>
      <c r="P167" s="37"/>
      <c r="Q167" s="38"/>
      <c r="R167" s="79"/>
      <c r="S167" s="72" t="s">
        <v>17572</v>
      </c>
      <c r="V167" s="57"/>
      <c r="W167" s="208">
        <f>ROUND((ROUND((ROUND((ROUND((_15_同援日増１．０*_15・基礎２),0)*_15・２人),0)*(1+_15・A夜間)),0)*(1+_15・区３)),0)</f>
        <v>175</v>
      </c>
      <c r="X167" s="48"/>
    </row>
    <row r="168" spans="1:24" ht="16.5" customHeight="1" x14ac:dyDescent="0.15">
      <c r="A168" s="41">
        <v>15</v>
      </c>
      <c r="B168" s="41" t="s">
        <v>2160</v>
      </c>
      <c r="C168" s="74" t="s">
        <v>24812</v>
      </c>
      <c r="D168" s="72"/>
      <c r="F168" s="57"/>
      <c r="G168" s="53"/>
      <c r="H168" s="49"/>
      <c r="I168" s="50"/>
      <c r="J168" s="163"/>
      <c r="K168" s="45"/>
      <c r="L168" s="46"/>
      <c r="M168" s="512"/>
      <c r="N168" s="57"/>
      <c r="O168" s="114" t="s">
        <v>17562</v>
      </c>
      <c r="P168" s="49"/>
      <c r="Q168" s="50"/>
      <c r="R168" s="115"/>
      <c r="S168" s="35"/>
      <c r="T168" s="12" t="s">
        <v>398</v>
      </c>
      <c r="U168" s="13">
        <v>0.2</v>
      </c>
      <c r="V168" s="57" t="s">
        <v>3575</v>
      </c>
      <c r="W168" s="208">
        <f>ROUND((ROUND((ROUND((_15_同援日増１．０*(1+_15・A夜間)),0)*(1+_15・盲ろう)),0)*(1+_15・区３)),0)</f>
        <v>245</v>
      </c>
      <c r="X168" s="48"/>
    </row>
    <row r="169" spans="1:24" ht="16.5" customHeight="1" x14ac:dyDescent="0.15">
      <c r="A169" s="41">
        <v>15</v>
      </c>
      <c r="B169" s="41" t="s">
        <v>2162</v>
      </c>
      <c r="C169" s="74" t="s">
        <v>24813</v>
      </c>
      <c r="D169" s="72"/>
      <c r="F169" s="57"/>
      <c r="G169" s="43"/>
      <c r="H169" s="37"/>
      <c r="I169" s="38"/>
      <c r="J169" s="299" t="s">
        <v>17556</v>
      </c>
      <c r="K169" s="45" t="s">
        <v>398</v>
      </c>
      <c r="L169" s="46">
        <v>1</v>
      </c>
      <c r="M169" s="512"/>
      <c r="N169" s="57"/>
      <c r="O169" s="92" t="s">
        <v>17564</v>
      </c>
      <c r="R169" s="57"/>
      <c r="S169" s="35"/>
      <c r="V169" s="57"/>
      <c r="W169" s="208">
        <f>ROUND((ROUND((ROUND((ROUND((_15_同援日増１．０*_15・２人),0)*(1+_15・A夜間)),0)*(1+_15・盲ろう)),0)*(1+_15・区３)),0)</f>
        <v>245</v>
      </c>
      <c r="X169" s="48"/>
    </row>
    <row r="170" spans="1:24" ht="16.5" customHeight="1" x14ac:dyDescent="0.15">
      <c r="A170" s="41">
        <v>15</v>
      </c>
      <c r="B170" s="41" t="s">
        <v>24814</v>
      </c>
      <c r="C170" s="74" t="s">
        <v>24815</v>
      </c>
      <c r="D170" s="72"/>
      <c r="F170" s="57"/>
      <c r="G170" s="114" t="s">
        <v>17558</v>
      </c>
      <c r="H170" s="49"/>
      <c r="I170" s="50"/>
      <c r="J170" s="163"/>
      <c r="K170" s="45"/>
      <c r="L170" s="46"/>
      <c r="M170" s="512"/>
      <c r="N170" s="57"/>
      <c r="O170" s="35"/>
      <c r="P170" s="12" t="s">
        <v>398</v>
      </c>
      <c r="Q170" s="13">
        <v>0.25</v>
      </c>
      <c r="R170" s="57" t="s">
        <v>3575</v>
      </c>
      <c r="S170" s="35"/>
      <c r="V170" s="57"/>
      <c r="W170" s="208">
        <f>ROUND((ROUND((ROUND((ROUND((_15_同援日増１．０*_15・基礎２),0)*(1+_15・A夜間)),0)*(1+_15・盲ろう)),0)*(1+_15・区３)),0)</f>
        <v>220</v>
      </c>
      <c r="X170" s="48"/>
    </row>
    <row r="171" spans="1:24" ht="16.5" customHeight="1" x14ac:dyDescent="0.15">
      <c r="A171" s="41">
        <v>15</v>
      </c>
      <c r="B171" s="41" t="s">
        <v>24816</v>
      </c>
      <c r="C171" s="74" t="s">
        <v>24817</v>
      </c>
      <c r="D171" s="72"/>
      <c r="F171" s="57"/>
      <c r="G171" s="269" t="s">
        <v>17560</v>
      </c>
      <c r="H171" s="37" t="s">
        <v>398</v>
      </c>
      <c r="I171" s="38">
        <v>0.9</v>
      </c>
      <c r="J171" s="299" t="s">
        <v>17556</v>
      </c>
      <c r="K171" s="45" t="s">
        <v>398</v>
      </c>
      <c r="L171" s="46">
        <v>1</v>
      </c>
      <c r="M171" s="512"/>
      <c r="N171" s="57"/>
      <c r="O171" s="43"/>
      <c r="P171" s="37"/>
      <c r="Q171" s="38"/>
      <c r="R171" s="79"/>
      <c r="S171" s="43"/>
      <c r="T171" s="37"/>
      <c r="U171" s="38"/>
      <c r="V171" s="79"/>
      <c r="W171" s="208">
        <f>ROUND((ROUND((ROUND((ROUND((ROUND((_15_同援日増１．０*_15・基礎２),0)*_15・２人),0)*(1+_15・A夜間)),0)*(1+_15・盲ろう)),0)*(1+_15・区３)),0)</f>
        <v>220</v>
      </c>
      <c r="X171" s="48"/>
    </row>
    <row r="172" spans="1:24" ht="16.5" customHeight="1" x14ac:dyDescent="0.15">
      <c r="A172" s="41">
        <v>15</v>
      </c>
      <c r="B172" s="41" t="s">
        <v>24818</v>
      </c>
      <c r="C172" s="74" t="s">
        <v>24819</v>
      </c>
      <c r="D172" s="72"/>
      <c r="F172" s="57"/>
      <c r="G172" s="53"/>
      <c r="H172" s="49"/>
      <c r="I172" s="50"/>
      <c r="J172" s="163"/>
      <c r="K172" s="45"/>
      <c r="L172" s="46"/>
      <c r="M172" s="512"/>
      <c r="N172" s="57"/>
      <c r="O172" s="53"/>
      <c r="P172" s="49"/>
      <c r="Q172" s="50"/>
      <c r="R172" s="115"/>
      <c r="S172" s="53"/>
      <c r="T172" s="49"/>
      <c r="U172" s="50"/>
      <c r="V172" s="115"/>
      <c r="W172" s="208">
        <f>ROUND((ROUND((_15_同援日増１．０*(1+_15・A夜間)),0)*(1+_15・区４)),0)</f>
        <v>228</v>
      </c>
      <c r="X172" s="48"/>
    </row>
    <row r="173" spans="1:24" ht="16.5" customHeight="1" x14ac:dyDescent="0.15">
      <c r="A173" s="41">
        <v>15</v>
      </c>
      <c r="B173" s="41" t="s">
        <v>24820</v>
      </c>
      <c r="C173" s="74" t="s">
        <v>24821</v>
      </c>
      <c r="D173" s="72"/>
      <c r="F173" s="57"/>
      <c r="G173" s="43"/>
      <c r="H173" s="37"/>
      <c r="I173" s="38"/>
      <c r="J173" s="299" t="s">
        <v>17556</v>
      </c>
      <c r="K173" s="45" t="s">
        <v>398</v>
      </c>
      <c r="L173" s="46">
        <v>1</v>
      </c>
      <c r="M173" s="512"/>
      <c r="N173" s="57"/>
      <c r="O173" s="35"/>
      <c r="R173" s="57"/>
      <c r="S173" s="35"/>
      <c r="V173" s="57"/>
      <c r="W173" s="208">
        <f>ROUND((ROUND((ROUND((_15_同援日増１．０*_15・２人),0)*(1+_15・A夜間)),0)*(1+_15・区４)),0)</f>
        <v>228</v>
      </c>
      <c r="X173" s="48"/>
    </row>
    <row r="174" spans="1:24" ht="16.5" customHeight="1" x14ac:dyDescent="0.15">
      <c r="A174" s="41">
        <v>15</v>
      </c>
      <c r="B174" s="41" t="s">
        <v>24822</v>
      </c>
      <c r="C174" s="74" t="s">
        <v>24823</v>
      </c>
      <c r="D174" s="72"/>
      <c r="F174" s="57"/>
      <c r="G174" s="114" t="s">
        <v>17558</v>
      </c>
      <c r="H174" s="49"/>
      <c r="I174" s="50"/>
      <c r="J174" s="163"/>
      <c r="K174" s="45"/>
      <c r="L174" s="46"/>
      <c r="M174" s="512"/>
      <c r="N174" s="57"/>
      <c r="O174" s="35"/>
      <c r="R174" s="57"/>
      <c r="S174" s="72" t="s">
        <v>17580</v>
      </c>
      <c r="V174" s="57"/>
      <c r="W174" s="208">
        <f>ROUND((ROUND((ROUND((_15_同援日増１．０*_15・基礎２),0)*(1+_15・A夜間)),0)*(1+_15・区４)),0)</f>
        <v>204</v>
      </c>
      <c r="X174" s="48"/>
    </row>
    <row r="175" spans="1:24" ht="16.5" customHeight="1" x14ac:dyDescent="0.15">
      <c r="A175" s="41">
        <v>15</v>
      </c>
      <c r="B175" s="41" t="s">
        <v>24824</v>
      </c>
      <c r="C175" s="74" t="s">
        <v>24825</v>
      </c>
      <c r="D175" s="72"/>
      <c r="F175" s="57"/>
      <c r="G175" s="269" t="s">
        <v>17560</v>
      </c>
      <c r="H175" s="37" t="s">
        <v>398</v>
      </c>
      <c r="I175" s="38">
        <v>0.9</v>
      </c>
      <c r="J175" s="299" t="s">
        <v>17556</v>
      </c>
      <c r="K175" s="45" t="s">
        <v>398</v>
      </c>
      <c r="L175" s="46">
        <v>1</v>
      </c>
      <c r="M175" s="512"/>
      <c r="N175" s="57"/>
      <c r="O175" s="43"/>
      <c r="P175" s="37"/>
      <c r="Q175" s="38"/>
      <c r="R175" s="79"/>
      <c r="S175" s="72" t="s">
        <v>17572</v>
      </c>
      <c r="V175" s="57"/>
      <c r="W175" s="208">
        <f>ROUND((ROUND((ROUND((ROUND((_15_同援日増１．０*_15・基礎２),0)*_15・２人),0)*(1+_15・A夜間)),0)*(1+_15・区４)),0)</f>
        <v>204</v>
      </c>
      <c r="X175" s="48"/>
    </row>
    <row r="176" spans="1:24" ht="16.5" customHeight="1" x14ac:dyDescent="0.15">
      <c r="A176" s="41">
        <v>15</v>
      </c>
      <c r="B176" s="41" t="s">
        <v>24826</v>
      </c>
      <c r="C176" s="74" t="s">
        <v>24827</v>
      </c>
      <c r="D176" s="72"/>
      <c r="F176" s="57"/>
      <c r="G176" s="53"/>
      <c r="H176" s="49"/>
      <c r="I176" s="50"/>
      <c r="J176" s="163"/>
      <c r="K176" s="45"/>
      <c r="L176" s="46"/>
      <c r="M176" s="512"/>
      <c r="N176" s="57"/>
      <c r="O176" s="114" t="s">
        <v>17562</v>
      </c>
      <c r="P176" s="49"/>
      <c r="Q176" s="50"/>
      <c r="R176" s="115"/>
      <c r="S176" s="35"/>
      <c r="T176" s="12" t="s">
        <v>398</v>
      </c>
      <c r="U176" s="13">
        <v>0.4</v>
      </c>
      <c r="V176" s="57" t="s">
        <v>3575</v>
      </c>
      <c r="W176" s="208">
        <f>ROUND((ROUND((ROUND((_15_同援日増１．０*(1+_15・A夜間)),0)*(1+_15・盲ろう)),0)*(1+_15・区４)),0)</f>
        <v>286</v>
      </c>
      <c r="X176" s="48"/>
    </row>
    <row r="177" spans="1:24" ht="16.5" customHeight="1" x14ac:dyDescent="0.15">
      <c r="A177" s="41">
        <v>15</v>
      </c>
      <c r="B177" s="41" t="s">
        <v>24828</v>
      </c>
      <c r="C177" s="74" t="s">
        <v>24829</v>
      </c>
      <c r="D177" s="72"/>
      <c r="F177" s="57"/>
      <c r="G177" s="43"/>
      <c r="H177" s="37"/>
      <c r="I177" s="38"/>
      <c r="J177" s="299" t="s">
        <v>17556</v>
      </c>
      <c r="K177" s="45" t="s">
        <v>398</v>
      </c>
      <c r="L177" s="46">
        <v>1</v>
      </c>
      <c r="M177" s="512"/>
      <c r="N177" s="57"/>
      <c r="O177" s="92" t="s">
        <v>17564</v>
      </c>
      <c r="R177" s="57"/>
      <c r="S177" s="35"/>
      <c r="V177" s="57"/>
      <c r="W177" s="208">
        <f>ROUND((ROUND((ROUND((ROUND((_15_同援日増１．０*_15・２人),0)*(1+_15・A夜間)),0)*(1+_15・盲ろう)),0)*(1+_15・区４)),0)</f>
        <v>286</v>
      </c>
      <c r="X177" s="48"/>
    </row>
    <row r="178" spans="1:24" ht="16.5" customHeight="1" x14ac:dyDescent="0.15">
      <c r="A178" s="41">
        <v>15</v>
      </c>
      <c r="B178" s="41" t="s">
        <v>24830</v>
      </c>
      <c r="C178" s="74" t="s">
        <v>24831</v>
      </c>
      <c r="D178" s="72"/>
      <c r="F178" s="57"/>
      <c r="G178" s="114" t="s">
        <v>17558</v>
      </c>
      <c r="H178" s="49"/>
      <c r="I178" s="50"/>
      <c r="J178" s="163"/>
      <c r="K178" s="45"/>
      <c r="L178" s="46"/>
      <c r="M178" s="512"/>
      <c r="N178" s="57"/>
      <c r="O178" s="35"/>
      <c r="P178" s="12" t="s">
        <v>398</v>
      </c>
      <c r="Q178" s="13">
        <v>0.25</v>
      </c>
      <c r="R178" s="57" t="s">
        <v>3575</v>
      </c>
      <c r="S178" s="35"/>
      <c r="V178" s="57"/>
      <c r="W178" s="208">
        <f>ROUND((ROUND((ROUND((ROUND((_15_同援日増１．０*_15・基礎２),0)*(1+_15・A夜間)),0)*(1+_15・盲ろう)),0)*(1+_15・区４)),0)</f>
        <v>256</v>
      </c>
      <c r="X178" s="48"/>
    </row>
    <row r="179" spans="1:24" ht="16.5" customHeight="1" x14ac:dyDescent="0.15">
      <c r="A179" s="41">
        <v>15</v>
      </c>
      <c r="B179" s="41" t="s">
        <v>24832</v>
      </c>
      <c r="C179" s="74" t="s">
        <v>24833</v>
      </c>
      <c r="D179" s="122"/>
      <c r="E179" s="37"/>
      <c r="F179" s="79"/>
      <c r="G179" s="269" t="s">
        <v>17560</v>
      </c>
      <c r="H179" s="37" t="s">
        <v>398</v>
      </c>
      <c r="I179" s="38">
        <v>0.9</v>
      </c>
      <c r="J179" s="299" t="s">
        <v>17556</v>
      </c>
      <c r="K179" s="45" t="s">
        <v>398</v>
      </c>
      <c r="L179" s="46">
        <v>1</v>
      </c>
      <c r="M179" s="512"/>
      <c r="N179" s="57"/>
      <c r="O179" s="43"/>
      <c r="P179" s="37"/>
      <c r="Q179" s="38"/>
      <c r="R179" s="79"/>
      <c r="S179" s="43"/>
      <c r="T179" s="37"/>
      <c r="U179" s="38"/>
      <c r="V179" s="79"/>
      <c r="W179" s="208">
        <f>ROUND((ROUND((ROUND((ROUND((ROUND((_15_同援日増１．０*_15・基礎２),0)*_15・２人),0)*(1+_15・A夜間)),0)*(1+_15・盲ろう)),0)*(1+_15・区４)),0)</f>
        <v>256</v>
      </c>
      <c r="X179" s="48"/>
    </row>
    <row r="180" spans="1:24" ht="16.5" customHeight="1" x14ac:dyDescent="0.15">
      <c r="A180" s="41">
        <v>15</v>
      </c>
      <c r="B180" s="41" t="s">
        <v>24834</v>
      </c>
      <c r="C180" s="74" t="s">
        <v>24835</v>
      </c>
      <c r="D180" s="114" t="s">
        <v>24836</v>
      </c>
      <c r="E180" s="49"/>
      <c r="F180" s="115"/>
      <c r="G180" s="53"/>
      <c r="H180" s="49"/>
      <c r="I180" s="50"/>
      <c r="J180" s="163"/>
      <c r="K180" s="45"/>
      <c r="L180" s="46"/>
      <c r="M180" s="512"/>
      <c r="N180" s="57"/>
      <c r="O180" s="53"/>
      <c r="P180" s="49"/>
      <c r="Q180" s="50"/>
      <c r="R180" s="115"/>
      <c r="S180" s="53"/>
      <c r="T180" s="49"/>
      <c r="U180" s="50"/>
      <c r="V180" s="115"/>
      <c r="W180" s="208">
        <f>ROUND((_15_同援日増１．５*(1+_15・A夜間)),0)</f>
        <v>244</v>
      </c>
      <c r="X180" s="48"/>
    </row>
    <row r="181" spans="1:24" ht="16.5" customHeight="1" x14ac:dyDescent="0.15">
      <c r="A181" s="41">
        <v>15</v>
      </c>
      <c r="B181" s="41" t="s">
        <v>24837</v>
      </c>
      <c r="C181" s="74" t="s">
        <v>24838</v>
      </c>
      <c r="D181" s="72" t="s">
        <v>17616</v>
      </c>
      <c r="F181" s="57"/>
      <c r="G181" s="43"/>
      <c r="H181" s="37"/>
      <c r="I181" s="38"/>
      <c r="J181" s="299" t="s">
        <v>17556</v>
      </c>
      <c r="K181" s="45" t="s">
        <v>398</v>
      </c>
      <c r="L181" s="46">
        <v>1</v>
      </c>
      <c r="M181" s="512"/>
      <c r="N181" s="57"/>
      <c r="O181" s="35"/>
      <c r="R181" s="57"/>
      <c r="S181" s="35"/>
      <c r="V181" s="57"/>
      <c r="W181" s="208">
        <f>ROUND((ROUND((_15_同援日増１．５*_15・２人),0)*(1+_15・A夜間)),0)</f>
        <v>244</v>
      </c>
      <c r="X181" s="48"/>
    </row>
    <row r="182" spans="1:24" ht="16.5" customHeight="1" x14ac:dyDescent="0.15">
      <c r="A182" s="41">
        <v>15</v>
      </c>
      <c r="B182" s="41" t="s">
        <v>24839</v>
      </c>
      <c r="C182" s="74" t="s">
        <v>24840</v>
      </c>
      <c r="D182" s="72" t="s">
        <v>18183</v>
      </c>
      <c r="F182" s="57"/>
      <c r="G182" s="114" t="s">
        <v>17558</v>
      </c>
      <c r="H182" s="49"/>
      <c r="I182" s="50"/>
      <c r="J182" s="163"/>
      <c r="K182" s="45"/>
      <c r="L182" s="46"/>
      <c r="M182" s="512"/>
      <c r="N182" s="57"/>
      <c r="O182" s="35"/>
      <c r="R182" s="57"/>
      <c r="S182" s="35"/>
      <c r="V182" s="57"/>
      <c r="W182" s="208">
        <f>ROUND((ROUND((_15_同援日増１．５*_15・基礎２),0)*(1+_15・A夜間)),0)</f>
        <v>220</v>
      </c>
      <c r="X182" s="48"/>
    </row>
    <row r="183" spans="1:24" ht="16.5" customHeight="1" x14ac:dyDescent="0.15">
      <c r="A183" s="41">
        <v>15</v>
      </c>
      <c r="B183" s="41" t="s">
        <v>24841</v>
      </c>
      <c r="C183" s="74" t="s">
        <v>24842</v>
      </c>
      <c r="D183" s="72"/>
      <c r="E183" s="168">
        <f>_15_同援日増１．５</f>
        <v>195</v>
      </c>
      <c r="F183" s="57" t="s">
        <v>392</v>
      </c>
      <c r="G183" s="269" t="s">
        <v>17560</v>
      </c>
      <c r="H183" s="37" t="s">
        <v>398</v>
      </c>
      <c r="I183" s="38">
        <v>0.9</v>
      </c>
      <c r="J183" s="299" t="s">
        <v>17556</v>
      </c>
      <c r="K183" s="45" t="s">
        <v>398</v>
      </c>
      <c r="L183" s="46">
        <v>1</v>
      </c>
      <c r="M183" s="512"/>
      <c r="N183" s="57"/>
      <c r="O183" s="43"/>
      <c r="P183" s="37"/>
      <c r="Q183" s="38"/>
      <c r="R183" s="79"/>
      <c r="S183" s="35"/>
      <c r="V183" s="57"/>
      <c r="W183" s="208">
        <f>ROUND((ROUND((ROUND((_15_同援日増１．５*_15・基礎２),0)*_15・２人),0)*(1+_15・A夜間)),0)</f>
        <v>220</v>
      </c>
      <c r="X183" s="48"/>
    </row>
    <row r="184" spans="1:24" ht="16.5" customHeight="1" x14ac:dyDescent="0.15">
      <c r="A184" s="41">
        <v>15</v>
      </c>
      <c r="B184" s="41" t="s">
        <v>24843</v>
      </c>
      <c r="C184" s="74" t="s">
        <v>24844</v>
      </c>
      <c r="D184" s="72"/>
      <c r="F184" s="57"/>
      <c r="G184" s="53"/>
      <c r="H184" s="49"/>
      <c r="I184" s="50"/>
      <c r="J184" s="163"/>
      <c r="K184" s="45"/>
      <c r="L184" s="46"/>
      <c r="M184" s="512"/>
      <c r="N184" s="57"/>
      <c r="O184" s="114" t="s">
        <v>17562</v>
      </c>
      <c r="P184" s="49"/>
      <c r="Q184" s="50"/>
      <c r="R184" s="115"/>
      <c r="S184" s="35"/>
      <c r="V184" s="57"/>
      <c r="W184" s="208">
        <f>ROUND((ROUND((_15_同援日増１．５*(1+_15・A夜間)),0)*(1+_15・盲ろう)),0)</f>
        <v>305</v>
      </c>
      <c r="X184" s="48"/>
    </row>
    <row r="185" spans="1:24" ht="16.5" customHeight="1" x14ac:dyDescent="0.15">
      <c r="A185" s="41">
        <v>15</v>
      </c>
      <c r="B185" s="41" t="s">
        <v>24845</v>
      </c>
      <c r="C185" s="74" t="s">
        <v>24846</v>
      </c>
      <c r="D185" s="72"/>
      <c r="F185" s="57"/>
      <c r="G185" s="43"/>
      <c r="H185" s="37"/>
      <c r="I185" s="38"/>
      <c r="J185" s="299" t="s">
        <v>17556</v>
      </c>
      <c r="K185" s="45" t="s">
        <v>398</v>
      </c>
      <c r="L185" s="46">
        <v>1</v>
      </c>
      <c r="M185" s="512"/>
      <c r="N185" s="57"/>
      <c r="O185" s="92" t="s">
        <v>17564</v>
      </c>
      <c r="R185" s="57"/>
      <c r="S185" s="35"/>
      <c r="V185" s="57"/>
      <c r="W185" s="208">
        <f>ROUND((ROUND((ROUND((_15_同援日増１．５*_15・２人),0)*(1+_15・A夜間)),0)*(1+_15・盲ろう)),0)</f>
        <v>305</v>
      </c>
      <c r="X185" s="48"/>
    </row>
    <row r="186" spans="1:24" ht="16.5" customHeight="1" x14ac:dyDescent="0.15">
      <c r="A186" s="41">
        <v>15</v>
      </c>
      <c r="B186" s="41" t="s">
        <v>2168</v>
      </c>
      <c r="C186" s="74" t="s">
        <v>24847</v>
      </c>
      <c r="D186" s="72"/>
      <c r="F186" s="57"/>
      <c r="G186" s="114" t="s">
        <v>17558</v>
      </c>
      <c r="H186" s="49"/>
      <c r="I186" s="50"/>
      <c r="J186" s="163"/>
      <c r="K186" s="45"/>
      <c r="L186" s="46"/>
      <c r="M186" s="512"/>
      <c r="N186" s="57"/>
      <c r="O186" s="35"/>
      <c r="P186" s="12" t="s">
        <v>398</v>
      </c>
      <c r="Q186" s="13">
        <v>0.25</v>
      </c>
      <c r="R186" s="57" t="s">
        <v>3575</v>
      </c>
      <c r="S186" s="35"/>
      <c r="V186" s="57"/>
      <c r="W186" s="208">
        <f>ROUND((ROUND((ROUND((_15_同援日増１．５*_15・基礎２),0)*(1+_15・A夜間)),0)*(1+_15・盲ろう)),0)</f>
        <v>275</v>
      </c>
      <c r="X186" s="48"/>
    </row>
    <row r="187" spans="1:24" ht="16.5" customHeight="1" x14ac:dyDescent="0.15">
      <c r="A187" s="41">
        <v>15</v>
      </c>
      <c r="B187" s="41" t="s">
        <v>2170</v>
      </c>
      <c r="C187" s="74" t="s">
        <v>24848</v>
      </c>
      <c r="D187" s="72"/>
      <c r="F187" s="57"/>
      <c r="G187" s="269" t="s">
        <v>17560</v>
      </c>
      <c r="H187" s="37" t="s">
        <v>398</v>
      </c>
      <c r="I187" s="38">
        <v>0.9</v>
      </c>
      <c r="J187" s="299" t="s">
        <v>17556</v>
      </c>
      <c r="K187" s="45" t="s">
        <v>398</v>
      </c>
      <c r="L187" s="46">
        <v>1</v>
      </c>
      <c r="M187" s="512"/>
      <c r="N187" s="57"/>
      <c r="O187" s="43"/>
      <c r="P187" s="37"/>
      <c r="Q187" s="38"/>
      <c r="R187" s="79"/>
      <c r="S187" s="43"/>
      <c r="T187" s="37"/>
      <c r="U187" s="38"/>
      <c r="V187" s="79"/>
      <c r="W187" s="208">
        <f>ROUND((ROUND((ROUND((ROUND((_15_同援日増１．５*_15・基礎２),0)*_15・２人),0)*(1+_15・A夜間)),0)*(1+_15・盲ろう)),0)</f>
        <v>275</v>
      </c>
      <c r="X187" s="48"/>
    </row>
    <row r="188" spans="1:24" ht="16.5" customHeight="1" x14ac:dyDescent="0.15">
      <c r="A188" s="41">
        <v>15</v>
      </c>
      <c r="B188" s="41" t="s">
        <v>2172</v>
      </c>
      <c r="C188" s="74" t="s">
        <v>24849</v>
      </c>
      <c r="D188" s="72"/>
      <c r="F188" s="57"/>
      <c r="G188" s="53"/>
      <c r="H188" s="49"/>
      <c r="I188" s="50"/>
      <c r="J188" s="163"/>
      <c r="K188" s="45"/>
      <c r="L188" s="46"/>
      <c r="M188" s="512"/>
      <c r="N188" s="57"/>
      <c r="O188" s="53"/>
      <c r="P188" s="49"/>
      <c r="Q188" s="50"/>
      <c r="R188" s="115"/>
      <c r="S188" s="53"/>
      <c r="T188" s="49"/>
      <c r="U188" s="50"/>
      <c r="V188" s="115"/>
      <c r="W188" s="208">
        <f>ROUND((ROUND((_15_同援日増１．５*(1+_15・A夜間)),0)*(1+_15・区３)),0)</f>
        <v>293</v>
      </c>
      <c r="X188" s="48"/>
    </row>
    <row r="189" spans="1:24" ht="16.5" customHeight="1" x14ac:dyDescent="0.15">
      <c r="A189" s="41">
        <v>15</v>
      </c>
      <c r="B189" s="41" t="s">
        <v>2174</v>
      </c>
      <c r="C189" s="74" t="s">
        <v>24850</v>
      </c>
      <c r="D189" s="72"/>
      <c r="F189" s="57"/>
      <c r="G189" s="43"/>
      <c r="H189" s="37"/>
      <c r="I189" s="38"/>
      <c r="J189" s="299" t="s">
        <v>17556</v>
      </c>
      <c r="K189" s="45" t="s">
        <v>398</v>
      </c>
      <c r="L189" s="46">
        <v>1</v>
      </c>
      <c r="M189" s="512"/>
      <c r="N189" s="57"/>
      <c r="O189" s="35"/>
      <c r="R189" s="57"/>
      <c r="S189" s="35"/>
      <c r="V189" s="57"/>
      <c r="W189" s="208">
        <f>ROUND((ROUND((ROUND((_15_同援日増１．５*_15・２人),0)*(1+_15・A夜間)),0)*(1+_15・区３)),0)</f>
        <v>293</v>
      </c>
      <c r="X189" s="48"/>
    </row>
    <row r="190" spans="1:24" ht="16.5" customHeight="1" x14ac:dyDescent="0.15">
      <c r="A190" s="41">
        <v>15</v>
      </c>
      <c r="B190" s="41" t="s">
        <v>24851</v>
      </c>
      <c r="C190" s="74" t="s">
        <v>24852</v>
      </c>
      <c r="D190" s="72"/>
      <c r="F190" s="57"/>
      <c r="G190" s="114" t="s">
        <v>17558</v>
      </c>
      <c r="H190" s="49"/>
      <c r="I190" s="50"/>
      <c r="J190" s="163"/>
      <c r="K190" s="45"/>
      <c r="L190" s="46"/>
      <c r="M190" s="512"/>
      <c r="N190" s="57"/>
      <c r="O190" s="35"/>
      <c r="R190" s="57"/>
      <c r="S190" s="72" t="s">
        <v>17570</v>
      </c>
      <c r="V190" s="57"/>
      <c r="W190" s="208">
        <f>ROUND((ROUND((ROUND((_15_同援日増１．５*_15・基礎２),0)*(1+_15・A夜間)),0)*(1+_15・区３)),0)</f>
        <v>264</v>
      </c>
      <c r="X190" s="48"/>
    </row>
    <row r="191" spans="1:24" ht="16.5" customHeight="1" x14ac:dyDescent="0.15">
      <c r="A191" s="41">
        <v>15</v>
      </c>
      <c r="B191" s="41" t="s">
        <v>24853</v>
      </c>
      <c r="C191" s="74" t="s">
        <v>24854</v>
      </c>
      <c r="D191" s="72"/>
      <c r="F191" s="57"/>
      <c r="G191" s="269" t="s">
        <v>17560</v>
      </c>
      <c r="H191" s="37" t="s">
        <v>398</v>
      </c>
      <c r="I191" s="38">
        <v>0.9</v>
      </c>
      <c r="J191" s="299" t="s">
        <v>17556</v>
      </c>
      <c r="K191" s="45" t="s">
        <v>398</v>
      </c>
      <c r="L191" s="46">
        <v>1</v>
      </c>
      <c r="M191" s="512"/>
      <c r="N191" s="57"/>
      <c r="O191" s="43"/>
      <c r="P191" s="37"/>
      <c r="Q191" s="38"/>
      <c r="R191" s="79"/>
      <c r="S191" s="72" t="s">
        <v>17572</v>
      </c>
      <c r="V191" s="57"/>
      <c r="W191" s="208">
        <f>ROUND((ROUND((ROUND((ROUND((_15_同援日増１．５*_15・基礎２),0)*_15・２人),0)*(1+_15・A夜間)),0)*(1+_15・区３)),0)</f>
        <v>264</v>
      </c>
      <c r="X191" s="48"/>
    </row>
    <row r="192" spans="1:24" ht="16.5" customHeight="1" x14ac:dyDescent="0.15">
      <c r="A192" s="41">
        <v>15</v>
      </c>
      <c r="B192" s="41" t="s">
        <v>24855</v>
      </c>
      <c r="C192" s="74" t="s">
        <v>24856</v>
      </c>
      <c r="D192" s="72"/>
      <c r="F192" s="57"/>
      <c r="G192" s="53"/>
      <c r="H192" s="49"/>
      <c r="I192" s="50"/>
      <c r="J192" s="163"/>
      <c r="K192" s="45"/>
      <c r="L192" s="46"/>
      <c r="M192" s="512"/>
      <c r="N192" s="57"/>
      <c r="O192" s="114" t="s">
        <v>17562</v>
      </c>
      <c r="P192" s="49"/>
      <c r="Q192" s="50"/>
      <c r="R192" s="115"/>
      <c r="S192" s="35"/>
      <c r="T192" s="12" t="s">
        <v>398</v>
      </c>
      <c r="U192" s="13">
        <v>0.2</v>
      </c>
      <c r="V192" s="57" t="s">
        <v>3575</v>
      </c>
      <c r="W192" s="208">
        <f>ROUND((ROUND((ROUND((_15_同援日増１．５*(1+_15・A夜間)),0)*(1+_15・盲ろう)),0)*(1+_15・区３)),0)</f>
        <v>366</v>
      </c>
      <c r="X192" s="48"/>
    </row>
    <row r="193" spans="1:24" ht="16.5" customHeight="1" x14ac:dyDescent="0.15">
      <c r="A193" s="41">
        <v>15</v>
      </c>
      <c r="B193" s="41" t="s">
        <v>24857</v>
      </c>
      <c r="C193" s="74" t="s">
        <v>24858</v>
      </c>
      <c r="D193" s="72"/>
      <c r="F193" s="57"/>
      <c r="G193" s="43"/>
      <c r="H193" s="37"/>
      <c r="I193" s="38"/>
      <c r="J193" s="299" t="s">
        <v>17556</v>
      </c>
      <c r="K193" s="45" t="s">
        <v>398</v>
      </c>
      <c r="L193" s="46">
        <v>1</v>
      </c>
      <c r="M193" s="512"/>
      <c r="N193" s="57"/>
      <c r="O193" s="92" t="s">
        <v>17564</v>
      </c>
      <c r="R193" s="57"/>
      <c r="S193" s="35"/>
      <c r="V193" s="57"/>
      <c r="W193" s="208">
        <f>ROUND((ROUND((ROUND((ROUND((_15_同援日増１．５*_15・２人),0)*(1+_15・A夜間)),0)*(1+_15・盲ろう)),0)*(1+_15・区３)),0)</f>
        <v>366</v>
      </c>
      <c r="X193" s="48"/>
    </row>
    <row r="194" spans="1:24" ht="16.5" customHeight="1" x14ac:dyDescent="0.15">
      <c r="A194" s="41">
        <v>15</v>
      </c>
      <c r="B194" s="41" t="s">
        <v>24859</v>
      </c>
      <c r="C194" s="74" t="s">
        <v>24860</v>
      </c>
      <c r="D194" s="72"/>
      <c r="F194" s="57"/>
      <c r="G194" s="114" t="s">
        <v>17558</v>
      </c>
      <c r="H194" s="49"/>
      <c r="I194" s="50"/>
      <c r="J194" s="163"/>
      <c r="K194" s="45"/>
      <c r="L194" s="46"/>
      <c r="M194" s="512"/>
      <c r="N194" s="57"/>
      <c r="O194" s="35"/>
      <c r="P194" s="12" t="s">
        <v>398</v>
      </c>
      <c r="Q194" s="13">
        <v>0.25</v>
      </c>
      <c r="R194" s="57" t="s">
        <v>3575</v>
      </c>
      <c r="S194" s="35"/>
      <c r="V194" s="57"/>
      <c r="W194" s="208">
        <f>ROUND((ROUND((ROUND((ROUND((_15_同援日増１．５*_15・基礎２),0)*(1+_15・A夜間)),0)*(1+_15・盲ろう)),0)*(1+_15・区３)),0)</f>
        <v>330</v>
      </c>
      <c r="X194" s="48"/>
    </row>
    <row r="195" spans="1:24" ht="16.5" customHeight="1" x14ac:dyDescent="0.15">
      <c r="A195" s="41">
        <v>15</v>
      </c>
      <c r="B195" s="41" t="s">
        <v>24861</v>
      </c>
      <c r="C195" s="74" t="s">
        <v>24862</v>
      </c>
      <c r="D195" s="72"/>
      <c r="F195" s="57"/>
      <c r="G195" s="269" t="s">
        <v>17560</v>
      </c>
      <c r="H195" s="37" t="s">
        <v>398</v>
      </c>
      <c r="I195" s="38">
        <v>0.9</v>
      </c>
      <c r="J195" s="299" t="s">
        <v>17556</v>
      </c>
      <c r="K195" s="45" t="s">
        <v>398</v>
      </c>
      <c r="L195" s="46">
        <v>1</v>
      </c>
      <c r="M195" s="512"/>
      <c r="N195" s="57"/>
      <c r="O195" s="43"/>
      <c r="P195" s="37"/>
      <c r="Q195" s="38"/>
      <c r="R195" s="79"/>
      <c r="S195" s="43"/>
      <c r="T195" s="37"/>
      <c r="U195" s="38"/>
      <c r="V195" s="79"/>
      <c r="W195" s="208">
        <f>ROUND((ROUND((ROUND((ROUND((ROUND((_15_同援日増１．５*_15・基礎２),0)*_15・２人),0)*(1+_15・A夜間)),0)*(1+_15・盲ろう)),0)*(1+_15・区３)),0)</f>
        <v>330</v>
      </c>
      <c r="X195" s="48"/>
    </row>
    <row r="196" spans="1:24" ht="16.5" customHeight="1" x14ac:dyDescent="0.15">
      <c r="A196" s="41">
        <v>15</v>
      </c>
      <c r="B196" s="41" t="s">
        <v>24863</v>
      </c>
      <c r="C196" s="74" t="s">
        <v>24864</v>
      </c>
      <c r="D196" s="72"/>
      <c r="F196" s="57"/>
      <c r="G196" s="53"/>
      <c r="H196" s="49"/>
      <c r="I196" s="50"/>
      <c r="J196" s="163"/>
      <c r="K196" s="45"/>
      <c r="L196" s="46"/>
      <c r="M196" s="512"/>
      <c r="N196" s="57"/>
      <c r="O196" s="53"/>
      <c r="P196" s="49"/>
      <c r="Q196" s="50"/>
      <c r="R196" s="115"/>
      <c r="S196" s="53"/>
      <c r="T196" s="49"/>
      <c r="U196" s="50"/>
      <c r="V196" s="115"/>
      <c r="W196" s="208">
        <f>ROUND((ROUND((_15_同援日増１．５*(1+_15・A夜間)),0)*(1+_15・区４)),0)</f>
        <v>342</v>
      </c>
      <c r="X196" s="48"/>
    </row>
    <row r="197" spans="1:24" ht="16.5" customHeight="1" x14ac:dyDescent="0.15">
      <c r="A197" s="41">
        <v>15</v>
      </c>
      <c r="B197" s="41" t="s">
        <v>24865</v>
      </c>
      <c r="C197" s="74" t="s">
        <v>24866</v>
      </c>
      <c r="D197" s="72"/>
      <c r="F197" s="57"/>
      <c r="G197" s="43"/>
      <c r="H197" s="37"/>
      <c r="I197" s="38"/>
      <c r="J197" s="299" t="s">
        <v>17556</v>
      </c>
      <c r="K197" s="45" t="s">
        <v>398</v>
      </c>
      <c r="L197" s="46">
        <v>1</v>
      </c>
      <c r="M197" s="512"/>
      <c r="N197" s="57"/>
      <c r="O197" s="35"/>
      <c r="R197" s="57"/>
      <c r="S197" s="35"/>
      <c r="V197" s="57"/>
      <c r="W197" s="208">
        <f>ROUND((ROUND((ROUND((_15_同援日増１．５*_15・２人),0)*(1+_15・A夜間)),0)*(1+_15・区４)),0)</f>
        <v>342</v>
      </c>
      <c r="X197" s="48"/>
    </row>
    <row r="198" spans="1:24" ht="16.5" customHeight="1" x14ac:dyDescent="0.15">
      <c r="A198" s="41">
        <v>15</v>
      </c>
      <c r="B198" s="41" t="s">
        <v>24867</v>
      </c>
      <c r="C198" s="74" t="s">
        <v>24868</v>
      </c>
      <c r="D198" s="72"/>
      <c r="F198" s="57"/>
      <c r="G198" s="114" t="s">
        <v>17558</v>
      </c>
      <c r="H198" s="49"/>
      <c r="I198" s="50"/>
      <c r="J198" s="163"/>
      <c r="K198" s="45"/>
      <c r="L198" s="46"/>
      <c r="M198" s="512"/>
      <c r="N198" s="57"/>
      <c r="O198" s="35"/>
      <c r="R198" s="57"/>
      <c r="S198" s="72" t="s">
        <v>17580</v>
      </c>
      <c r="V198" s="57"/>
      <c r="W198" s="208">
        <f>ROUND((ROUND((ROUND((_15_同援日増１．５*_15・基礎２),0)*(1+_15・A夜間)),0)*(1+_15・区４)),0)</f>
        <v>308</v>
      </c>
      <c r="X198" s="48"/>
    </row>
    <row r="199" spans="1:24" ht="16.5" customHeight="1" x14ac:dyDescent="0.15">
      <c r="A199" s="41">
        <v>15</v>
      </c>
      <c r="B199" s="41" t="s">
        <v>24869</v>
      </c>
      <c r="C199" s="74" t="s">
        <v>24870</v>
      </c>
      <c r="D199" s="72"/>
      <c r="F199" s="57"/>
      <c r="G199" s="269" t="s">
        <v>17560</v>
      </c>
      <c r="H199" s="37" t="s">
        <v>398</v>
      </c>
      <c r="I199" s="38">
        <v>0.9</v>
      </c>
      <c r="J199" s="299" t="s">
        <v>17556</v>
      </c>
      <c r="K199" s="45" t="s">
        <v>398</v>
      </c>
      <c r="L199" s="46">
        <v>1</v>
      </c>
      <c r="M199" s="512"/>
      <c r="N199" s="57"/>
      <c r="O199" s="43"/>
      <c r="P199" s="37"/>
      <c r="Q199" s="38"/>
      <c r="R199" s="79"/>
      <c r="S199" s="72" t="s">
        <v>17572</v>
      </c>
      <c r="V199" s="57"/>
      <c r="W199" s="208">
        <f>ROUND((ROUND((ROUND((ROUND((_15_同援日増１．５*_15・基礎２),0)*_15・２人),0)*(1+_15・A夜間)),0)*(1+_15・区４)),0)</f>
        <v>308</v>
      </c>
      <c r="X199" s="48"/>
    </row>
    <row r="200" spans="1:24" ht="16.5" customHeight="1" x14ac:dyDescent="0.15">
      <c r="A200" s="41">
        <v>15</v>
      </c>
      <c r="B200" s="41" t="s">
        <v>24871</v>
      </c>
      <c r="C200" s="74" t="s">
        <v>24872</v>
      </c>
      <c r="D200" s="72"/>
      <c r="F200" s="57"/>
      <c r="G200" s="53"/>
      <c r="H200" s="49"/>
      <c r="I200" s="50"/>
      <c r="J200" s="163"/>
      <c r="K200" s="45"/>
      <c r="L200" s="46"/>
      <c r="M200" s="512"/>
      <c r="N200" s="57"/>
      <c r="O200" s="114" t="s">
        <v>17562</v>
      </c>
      <c r="P200" s="49"/>
      <c r="Q200" s="50"/>
      <c r="R200" s="115"/>
      <c r="S200" s="35"/>
      <c r="T200" s="12" t="s">
        <v>398</v>
      </c>
      <c r="U200" s="13">
        <v>0.4</v>
      </c>
      <c r="V200" s="57" t="s">
        <v>3575</v>
      </c>
      <c r="W200" s="208">
        <f>ROUND((ROUND((ROUND((_15_同援日増１．５*(1+_15・A夜間)),0)*(1+_15・盲ろう)),0)*(1+_15・区４)),0)</f>
        <v>427</v>
      </c>
      <c r="X200" s="48"/>
    </row>
    <row r="201" spans="1:24" ht="16.5" customHeight="1" x14ac:dyDescent="0.15">
      <c r="A201" s="41">
        <v>15</v>
      </c>
      <c r="B201" s="41" t="s">
        <v>24873</v>
      </c>
      <c r="C201" s="74" t="s">
        <v>24874</v>
      </c>
      <c r="D201" s="72"/>
      <c r="F201" s="57"/>
      <c r="G201" s="43"/>
      <c r="H201" s="37"/>
      <c r="I201" s="38"/>
      <c r="J201" s="299" t="s">
        <v>17556</v>
      </c>
      <c r="K201" s="45" t="s">
        <v>398</v>
      </c>
      <c r="L201" s="46">
        <v>1</v>
      </c>
      <c r="M201" s="512"/>
      <c r="N201" s="57"/>
      <c r="O201" s="92" t="s">
        <v>17564</v>
      </c>
      <c r="R201" s="57"/>
      <c r="S201" s="35"/>
      <c r="V201" s="57"/>
      <c r="W201" s="208">
        <f>ROUND((ROUND((ROUND((ROUND((_15_同援日増１．５*_15・２人),0)*(1+_15・A夜間)),0)*(1+_15・盲ろう)),0)*(1+_15・区４)),0)</f>
        <v>427</v>
      </c>
      <c r="X201" s="48"/>
    </row>
    <row r="202" spans="1:24" ht="16.5" customHeight="1" x14ac:dyDescent="0.15">
      <c r="A202" s="41">
        <v>15</v>
      </c>
      <c r="B202" s="41" t="s">
        <v>24875</v>
      </c>
      <c r="C202" s="74" t="s">
        <v>24876</v>
      </c>
      <c r="D202" s="72"/>
      <c r="F202" s="57"/>
      <c r="G202" s="114" t="s">
        <v>17558</v>
      </c>
      <c r="H202" s="49"/>
      <c r="I202" s="50"/>
      <c r="J202" s="163"/>
      <c r="K202" s="45"/>
      <c r="L202" s="46"/>
      <c r="M202" s="512"/>
      <c r="N202" s="57"/>
      <c r="O202" s="35"/>
      <c r="P202" s="12" t="s">
        <v>398</v>
      </c>
      <c r="Q202" s="13">
        <v>0.25</v>
      </c>
      <c r="R202" s="57" t="s">
        <v>3575</v>
      </c>
      <c r="S202" s="35"/>
      <c r="V202" s="57"/>
      <c r="W202" s="208">
        <f>ROUND((ROUND((ROUND((ROUND((_15_同援日増１．５*_15・基礎２),0)*(1+_15・A夜間)),0)*(1+_15・盲ろう)),0)*(1+_15・区４)),0)</f>
        <v>385</v>
      </c>
      <c r="X202" s="48"/>
    </row>
    <row r="203" spans="1:24" ht="16.5" customHeight="1" x14ac:dyDescent="0.15">
      <c r="A203" s="41">
        <v>15</v>
      </c>
      <c r="B203" s="41" t="s">
        <v>24877</v>
      </c>
      <c r="C203" s="74" t="s">
        <v>24878</v>
      </c>
      <c r="D203" s="122"/>
      <c r="E203" s="37"/>
      <c r="F203" s="79"/>
      <c r="G203" s="269" t="s">
        <v>17560</v>
      </c>
      <c r="H203" s="37" t="s">
        <v>398</v>
      </c>
      <c r="I203" s="38">
        <v>0.9</v>
      </c>
      <c r="J203" s="299" t="s">
        <v>17556</v>
      </c>
      <c r="K203" s="45" t="s">
        <v>398</v>
      </c>
      <c r="L203" s="46">
        <v>1</v>
      </c>
      <c r="M203" s="512"/>
      <c r="N203" s="57"/>
      <c r="O203" s="43"/>
      <c r="P203" s="37"/>
      <c r="Q203" s="38"/>
      <c r="R203" s="79"/>
      <c r="S203" s="43"/>
      <c r="T203" s="37"/>
      <c r="U203" s="38"/>
      <c r="V203" s="79"/>
      <c r="W203" s="208">
        <f>ROUND((ROUND((ROUND((ROUND((ROUND((_15_同援日増１．５*_15・基礎２),0)*_15・２人),0)*(1+_15・A夜間)),0)*(1+_15・盲ろう)),0)*(1+_15・区４)),0)</f>
        <v>385</v>
      </c>
      <c r="X203" s="48"/>
    </row>
    <row r="204" spans="1:24" ht="16.5" customHeight="1" x14ac:dyDescent="0.15">
      <c r="A204" s="41">
        <v>15</v>
      </c>
      <c r="B204" s="41" t="s">
        <v>24879</v>
      </c>
      <c r="C204" s="74" t="s">
        <v>24880</v>
      </c>
      <c r="D204" s="114" t="s">
        <v>24881</v>
      </c>
      <c r="E204" s="49"/>
      <c r="F204" s="115"/>
      <c r="G204" s="53"/>
      <c r="H204" s="49"/>
      <c r="I204" s="50"/>
      <c r="J204" s="163"/>
      <c r="K204" s="45"/>
      <c r="L204" s="46"/>
      <c r="M204" s="512"/>
      <c r="N204" s="57"/>
      <c r="O204" s="53"/>
      <c r="P204" s="49"/>
      <c r="Q204" s="50"/>
      <c r="R204" s="115"/>
      <c r="S204" s="53"/>
      <c r="T204" s="49"/>
      <c r="U204" s="50"/>
      <c r="V204" s="115"/>
      <c r="W204" s="208">
        <f>ROUND((_15_同援日増２．０*(1+_15・A夜間)),0)</f>
        <v>325</v>
      </c>
      <c r="X204" s="48"/>
    </row>
    <row r="205" spans="1:24" ht="16.5" customHeight="1" x14ac:dyDescent="0.15">
      <c r="A205" s="41">
        <v>15</v>
      </c>
      <c r="B205" s="41" t="s">
        <v>24882</v>
      </c>
      <c r="C205" s="74" t="s">
        <v>24883</v>
      </c>
      <c r="D205" s="72" t="s">
        <v>17643</v>
      </c>
      <c r="F205" s="57"/>
      <c r="G205" s="43"/>
      <c r="H205" s="37"/>
      <c r="I205" s="38"/>
      <c r="J205" s="299" t="s">
        <v>17556</v>
      </c>
      <c r="K205" s="45" t="s">
        <v>398</v>
      </c>
      <c r="L205" s="46">
        <v>1</v>
      </c>
      <c r="M205" s="512"/>
      <c r="N205" s="57"/>
      <c r="O205" s="35"/>
      <c r="R205" s="57"/>
      <c r="S205" s="35"/>
      <c r="V205" s="57"/>
      <c r="W205" s="208">
        <f>ROUND((ROUND((_15_同援日増２．０*_15・２人),0)*(1+_15・A夜間)),0)</f>
        <v>325</v>
      </c>
      <c r="X205" s="48"/>
    </row>
    <row r="206" spans="1:24" ht="16.5" customHeight="1" x14ac:dyDescent="0.15">
      <c r="A206" s="41">
        <v>15</v>
      </c>
      <c r="B206" s="41" t="s">
        <v>2180</v>
      </c>
      <c r="C206" s="74" t="s">
        <v>24884</v>
      </c>
      <c r="D206" s="72" t="s">
        <v>17645</v>
      </c>
      <c r="F206" s="57"/>
      <c r="G206" s="114" t="s">
        <v>17558</v>
      </c>
      <c r="H206" s="49"/>
      <c r="I206" s="50"/>
      <c r="J206" s="163"/>
      <c r="K206" s="45"/>
      <c r="L206" s="46"/>
      <c r="M206" s="512"/>
      <c r="N206" s="57"/>
      <c r="O206" s="35"/>
      <c r="R206" s="57"/>
      <c r="S206" s="35"/>
      <c r="V206" s="57"/>
      <c r="W206" s="208">
        <f>ROUND((ROUND((_15_同援日増２．０*_15・基礎２),0)*(1+_15・A夜間)),0)</f>
        <v>293</v>
      </c>
      <c r="X206" s="48"/>
    </row>
    <row r="207" spans="1:24" ht="16.5" customHeight="1" x14ac:dyDescent="0.15">
      <c r="A207" s="41">
        <v>15</v>
      </c>
      <c r="B207" s="41" t="s">
        <v>2182</v>
      </c>
      <c r="C207" s="74" t="s">
        <v>24885</v>
      </c>
      <c r="D207" s="72"/>
      <c r="E207" s="168">
        <f>_15_同援日増２．０</f>
        <v>260</v>
      </c>
      <c r="F207" s="57" t="s">
        <v>392</v>
      </c>
      <c r="G207" s="269" t="s">
        <v>17560</v>
      </c>
      <c r="H207" s="37" t="s">
        <v>398</v>
      </c>
      <c r="I207" s="38">
        <v>0.9</v>
      </c>
      <c r="J207" s="299" t="s">
        <v>17556</v>
      </c>
      <c r="K207" s="45" t="s">
        <v>398</v>
      </c>
      <c r="L207" s="46">
        <v>1</v>
      </c>
      <c r="M207" s="512"/>
      <c r="N207" s="57"/>
      <c r="O207" s="43"/>
      <c r="P207" s="37"/>
      <c r="Q207" s="38"/>
      <c r="R207" s="79"/>
      <c r="S207" s="35"/>
      <c r="V207" s="57"/>
      <c r="W207" s="208">
        <f>ROUND((ROUND((ROUND((_15_同援日増２．０*_15・基礎２),0)*_15・２人),0)*(1+_15・A夜間)),0)</f>
        <v>293</v>
      </c>
      <c r="X207" s="48"/>
    </row>
    <row r="208" spans="1:24" ht="16.5" customHeight="1" x14ac:dyDescent="0.15">
      <c r="A208" s="41">
        <v>15</v>
      </c>
      <c r="B208" s="41" t="s">
        <v>2184</v>
      </c>
      <c r="C208" s="74" t="s">
        <v>24886</v>
      </c>
      <c r="D208" s="72"/>
      <c r="F208" s="57"/>
      <c r="G208" s="53"/>
      <c r="H208" s="49"/>
      <c r="I208" s="50"/>
      <c r="J208" s="163"/>
      <c r="K208" s="45"/>
      <c r="L208" s="46"/>
      <c r="M208" s="512"/>
      <c r="N208" s="57"/>
      <c r="O208" s="114" t="s">
        <v>17562</v>
      </c>
      <c r="P208" s="49"/>
      <c r="Q208" s="50"/>
      <c r="R208" s="115"/>
      <c r="S208" s="35"/>
      <c r="V208" s="57"/>
      <c r="W208" s="208">
        <f>ROUND((ROUND((_15_同援日増２．０*(1+_15・A夜間)),0)*(1+_15・盲ろう)),0)</f>
        <v>406</v>
      </c>
      <c r="X208" s="48"/>
    </row>
    <row r="209" spans="1:24" ht="16.5" customHeight="1" x14ac:dyDescent="0.15">
      <c r="A209" s="41">
        <v>15</v>
      </c>
      <c r="B209" s="41" t="s">
        <v>2186</v>
      </c>
      <c r="C209" s="74" t="s">
        <v>24887</v>
      </c>
      <c r="D209" s="72"/>
      <c r="F209" s="57"/>
      <c r="G209" s="43"/>
      <c r="H209" s="37"/>
      <c r="I209" s="38"/>
      <c r="J209" s="299" t="s">
        <v>17556</v>
      </c>
      <c r="K209" s="45" t="s">
        <v>398</v>
      </c>
      <c r="L209" s="46">
        <v>1</v>
      </c>
      <c r="M209" s="512"/>
      <c r="N209" s="57"/>
      <c r="O209" s="92" t="s">
        <v>17564</v>
      </c>
      <c r="R209" s="57"/>
      <c r="S209" s="35"/>
      <c r="V209" s="57"/>
      <c r="W209" s="208">
        <f>ROUND((ROUND((ROUND((_15_同援日増２．０*_15・２人),0)*(1+_15・A夜間)),0)*(1+_15・盲ろう)),0)</f>
        <v>406</v>
      </c>
      <c r="X209" s="48"/>
    </row>
    <row r="210" spans="1:24" ht="16.5" customHeight="1" x14ac:dyDescent="0.15">
      <c r="A210" s="41">
        <v>15</v>
      </c>
      <c r="B210" s="41" t="s">
        <v>24888</v>
      </c>
      <c r="C210" s="74" t="s">
        <v>24889</v>
      </c>
      <c r="D210" s="72"/>
      <c r="F210" s="57"/>
      <c r="G210" s="114" t="s">
        <v>17558</v>
      </c>
      <c r="H210" s="49"/>
      <c r="I210" s="50"/>
      <c r="J210" s="163"/>
      <c r="K210" s="45"/>
      <c r="L210" s="46"/>
      <c r="M210" s="512"/>
      <c r="N210" s="57"/>
      <c r="O210" s="35"/>
      <c r="P210" s="12" t="s">
        <v>398</v>
      </c>
      <c r="Q210" s="13">
        <v>0.25</v>
      </c>
      <c r="R210" s="57" t="s">
        <v>3575</v>
      </c>
      <c r="S210" s="35"/>
      <c r="V210" s="57"/>
      <c r="W210" s="208">
        <f>ROUND((ROUND((ROUND((_15_同援日増２．０*_15・基礎２),0)*(1+_15・A夜間)),0)*(1+_15・盲ろう)),0)</f>
        <v>366</v>
      </c>
      <c r="X210" s="48"/>
    </row>
    <row r="211" spans="1:24" ht="16.5" customHeight="1" x14ac:dyDescent="0.15">
      <c r="A211" s="41">
        <v>15</v>
      </c>
      <c r="B211" s="41" t="s">
        <v>24890</v>
      </c>
      <c r="C211" s="74" t="s">
        <v>24891</v>
      </c>
      <c r="D211" s="72"/>
      <c r="F211" s="57"/>
      <c r="G211" s="269" t="s">
        <v>17560</v>
      </c>
      <c r="H211" s="37" t="s">
        <v>398</v>
      </c>
      <c r="I211" s="38">
        <v>0.9</v>
      </c>
      <c r="J211" s="299" t="s">
        <v>17556</v>
      </c>
      <c r="K211" s="45" t="s">
        <v>398</v>
      </c>
      <c r="L211" s="46">
        <v>1</v>
      </c>
      <c r="M211" s="512"/>
      <c r="N211" s="57"/>
      <c r="O211" s="43"/>
      <c r="P211" s="37"/>
      <c r="Q211" s="38"/>
      <c r="R211" s="79"/>
      <c r="S211" s="43"/>
      <c r="T211" s="37"/>
      <c r="U211" s="38"/>
      <c r="V211" s="79"/>
      <c r="W211" s="208">
        <f>ROUND((ROUND((ROUND((ROUND((_15_同援日増２．０*_15・基礎２),0)*_15・２人),0)*(1+_15・A夜間)),0)*(1+_15・盲ろう)),0)</f>
        <v>366</v>
      </c>
      <c r="X211" s="48"/>
    </row>
    <row r="212" spans="1:24" ht="16.5" customHeight="1" x14ac:dyDescent="0.15">
      <c r="A212" s="41">
        <v>15</v>
      </c>
      <c r="B212" s="41" t="s">
        <v>24892</v>
      </c>
      <c r="C212" s="74" t="s">
        <v>24893</v>
      </c>
      <c r="D212" s="72"/>
      <c r="F212" s="57"/>
      <c r="G212" s="53"/>
      <c r="H212" s="49"/>
      <c r="I212" s="50"/>
      <c r="J212" s="163"/>
      <c r="K212" s="45"/>
      <c r="L212" s="46"/>
      <c r="M212" s="512"/>
      <c r="N212" s="57"/>
      <c r="O212" s="53"/>
      <c r="P212" s="49"/>
      <c r="Q212" s="50"/>
      <c r="R212" s="115"/>
      <c r="S212" s="53"/>
      <c r="T212" s="49"/>
      <c r="U212" s="50"/>
      <c r="V212" s="115"/>
      <c r="W212" s="208">
        <f>ROUND((ROUND((_15_同援日増２．０*(1+_15・A夜間)),0)*(1+_15・区３)),0)</f>
        <v>390</v>
      </c>
      <c r="X212" s="48"/>
    </row>
    <row r="213" spans="1:24" ht="16.5" customHeight="1" x14ac:dyDescent="0.15">
      <c r="A213" s="41">
        <v>15</v>
      </c>
      <c r="B213" s="41" t="s">
        <v>24894</v>
      </c>
      <c r="C213" s="74" t="s">
        <v>24895</v>
      </c>
      <c r="D213" s="72"/>
      <c r="F213" s="57"/>
      <c r="G213" s="43"/>
      <c r="H213" s="37"/>
      <c r="I213" s="38"/>
      <c r="J213" s="299" t="s">
        <v>17556</v>
      </c>
      <c r="K213" s="45" t="s">
        <v>398</v>
      </c>
      <c r="L213" s="46">
        <v>1</v>
      </c>
      <c r="M213" s="512"/>
      <c r="N213" s="57"/>
      <c r="O213" s="35"/>
      <c r="R213" s="57"/>
      <c r="S213" s="35"/>
      <c r="V213" s="57"/>
      <c r="W213" s="208">
        <f>ROUND((ROUND((ROUND((_15_同援日増２．０*_15・２人),0)*(1+_15・A夜間)),0)*(1+_15・区３)),0)</f>
        <v>390</v>
      </c>
      <c r="X213" s="48"/>
    </row>
    <row r="214" spans="1:24" ht="16.5" customHeight="1" x14ac:dyDescent="0.15">
      <c r="A214" s="41">
        <v>15</v>
      </c>
      <c r="B214" s="41" t="s">
        <v>24896</v>
      </c>
      <c r="C214" s="74" t="s">
        <v>24897</v>
      </c>
      <c r="D214" s="72"/>
      <c r="F214" s="57"/>
      <c r="G214" s="114" t="s">
        <v>17558</v>
      </c>
      <c r="H214" s="49"/>
      <c r="I214" s="50"/>
      <c r="J214" s="163"/>
      <c r="K214" s="45"/>
      <c r="L214" s="46"/>
      <c r="M214" s="512"/>
      <c r="N214" s="57"/>
      <c r="O214" s="35"/>
      <c r="R214" s="57"/>
      <c r="S214" s="72" t="s">
        <v>17570</v>
      </c>
      <c r="V214" s="57"/>
      <c r="W214" s="208">
        <f>ROUND((ROUND((ROUND((_15_同援日増２．０*_15・基礎２),0)*(1+_15・A夜間)),0)*(1+_15・区３)),0)</f>
        <v>352</v>
      </c>
      <c r="X214" s="48"/>
    </row>
    <row r="215" spans="1:24" ht="16.5" customHeight="1" x14ac:dyDescent="0.15">
      <c r="A215" s="41">
        <v>15</v>
      </c>
      <c r="B215" s="41" t="s">
        <v>24898</v>
      </c>
      <c r="C215" s="74" t="s">
        <v>24899</v>
      </c>
      <c r="D215" s="72"/>
      <c r="F215" s="57"/>
      <c r="G215" s="269" t="s">
        <v>17560</v>
      </c>
      <c r="H215" s="37" t="s">
        <v>398</v>
      </c>
      <c r="I215" s="38">
        <v>0.9</v>
      </c>
      <c r="J215" s="299" t="s">
        <v>17556</v>
      </c>
      <c r="K215" s="45" t="s">
        <v>398</v>
      </c>
      <c r="L215" s="46">
        <v>1</v>
      </c>
      <c r="M215" s="512"/>
      <c r="N215" s="57"/>
      <c r="O215" s="43"/>
      <c r="P215" s="37"/>
      <c r="Q215" s="38"/>
      <c r="R215" s="79"/>
      <c r="S215" s="72" t="s">
        <v>17572</v>
      </c>
      <c r="V215" s="57"/>
      <c r="W215" s="208">
        <f>ROUND((ROUND((ROUND((ROUND((_15_同援日増２．０*_15・基礎２),0)*_15・２人),0)*(1+_15・A夜間)),0)*(1+_15・区３)),0)</f>
        <v>352</v>
      </c>
      <c r="X215" s="48"/>
    </row>
    <row r="216" spans="1:24" ht="16.5" customHeight="1" x14ac:dyDescent="0.15">
      <c r="A216" s="41">
        <v>15</v>
      </c>
      <c r="B216" s="41" t="s">
        <v>24900</v>
      </c>
      <c r="C216" s="74" t="s">
        <v>24901</v>
      </c>
      <c r="D216" s="72"/>
      <c r="F216" s="57"/>
      <c r="G216" s="53"/>
      <c r="H216" s="49"/>
      <c r="I216" s="50"/>
      <c r="J216" s="163"/>
      <c r="K216" s="45"/>
      <c r="L216" s="46"/>
      <c r="M216" s="512"/>
      <c r="N216" s="57"/>
      <c r="O216" s="114" t="s">
        <v>17562</v>
      </c>
      <c r="P216" s="49"/>
      <c r="Q216" s="50"/>
      <c r="R216" s="115"/>
      <c r="S216" s="35"/>
      <c r="T216" s="12" t="s">
        <v>398</v>
      </c>
      <c r="U216" s="13">
        <v>0.2</v>
      </c>
      <c r="V216" s="57" t="s">
        <v>3575</v>
      </c>
      <c r="W216" s="208">
        <f>ROUND((ROUND((ROUND((_15_同援日増２．０*(1+_15・A夜間)),0)*(1+_15・盲ろう)),0)*(1+_15・区３)),0)</f>
        <v>487</v>
      </c>
      <c r="X216" s="48"/>
    </row>
    <row r="217" spans="1:24" ht="16.5" customHeight="1" x14ac:dyDescent="0.15">
      <c r="A217" s="41">
        <v>15</v>
      </c>
      <c r="B217" s="41" t="s">
        <v>24902</v>
      </c>
      <c r="C217" s="74" t="s">
        <v>24903</v>
      </c>
      <c r="D217" s="72"/>
      <c r="F217" s="57"/>
      <c r="G217" s="43"/>
      <c r="H217" s="37"/>
      <c r="I217" s="38"/>
      <c r="J217" s="299" t="s">
        <v>17556</v>
      </c>
      <c r="K217" s="45" t="s">
        <v>398</v>
      </c>
      <c r="L217" s="46">
        <v>1</v>
      </c>
      <c r="M217" s="512"/>
      <c r="N217" s="57"/>
      <c r="O217" s="92" t="s">
        <v>17564</v>
      </c>
      <c r="R217" s="57"/>
      <c r="S217" s="35"/>
      <c r="V217" s="57"/>
      <c r="W217" s="208">
        <f>ROUND((ROUND((ROUND((ROUND((_15_同援日増２．０*_15・２人),0)*(1+_15・A夜間)),0)*(1+_15・盲ろう)),0)*(1+_15・区３)),0)</f>
        <v>487</v>
      </c>
      <c r="X217" s="48"/>
    </row>
    <row r="218" spans="1:24" ht="16.5" customHeight="1" x14ac:dyDescent="0.15">
      <c r="A218" s="41">
        <v>15</v>
      </c>
      <c r="B218" s="41" t="s">
        <v>24904</v>
      </c>
      <c r="C218" s="74" t="s">
        <v>24905</v>
      </c>
      <c r="D218" s="72"/>
      <c r="F218" s="57"/>
      <c r="G218" s="114" t="s">
        <v>17558</v>
      </c>
      <c r="H218" s="49"/>
      <c r="I218" s="50"/>
      <c r="J218" s="163"/>
      <c r="K218" s="45"/>
      <c r="L218" s="46"/>
      <c r="M218" s="512"/>
      <c r="N218" s="57"/>
      <c r="O218" s="35"/>
      <c r="P218" s="12" t="s">
        <v>398</v>
      </c>
      <c r="Q218" s="13">
        <v>0.25</v>
      </c>
      <c r="R218" s="57" t="s">
        <v>3575</v>
      </c>
      <c r="S218" s="35"/>
      <c r="V218" s="57"/>
      <c r="W218" s="208">
        <f>ROUND((ROUND((ROUND((ROUND((_15_同援日増２．０*_15・基礎２),0)*(1+_15・A夜間)),0)*(1+_15・盲ろう)),0)*(1+_15・区３)),0)</f>
        <v>439</v>
      </c>
      <c r="X218" s="48"/>
    </row>
    <row r="219" spans="1:24" ht="16.5" customHeight="1" x14ac:dyDescent="0.15">
      <c r="A219" s="41">
        <v>15</v>
      </c>
      <c r="B219" s="41" t="s">
        <v>24906</v>
      </c>
      <c r="C219" s="74" t="s">
        <v>24907</v>
      </c>
      <c r="D219" s="72"/>
      <c r="F219" s="57"/>
      <c r="G219" s="269" t="s">
        <v>17560</v>
      </c>
      <c r="H219" s="37" t="s">
        <v>398</v>
      </c>
      <c r="I219" s="38">
        <v>0.9</v>
      </c>
      <c r="J219" s="299" t="s">
        <v>17556</v>
      </c>
      <c r="K219" s="45" t="s">
        <v>398</v>
      </c>
      <c r="L219" s="46">
        <v>1</v>
      </c>
      <c r="M219" s="512"/>
      <c r="N219" s="57"/>
      <c r="O219" s="43"/>
      <c r="P219" s="37"/>
      <c r="Q219" s="38"/>
      <c r="R219" s="79"/>
      <c r="S219" s="43"/>
      <c r="T219" s="37"/>
      <c r="U219" s="38"/>
      <c r="V219" s="79"/>
      <c r="W219" s="208">
        <f>ROUND((ROUND((ROUND((ROUND((ROUND((_15_同援日増２．０*_15・基礎２),0)*_15・２人),0)*(1+_15・A夜間)),0)*(1+_15・盲ろう)),0)*(1+_15・区３)),0)</f>
        <v>439</v>
      </c>
      <c r="X219" s="48"/>
    </row>
    <row r="220" spans="1:24" ht="16.5" customHeight="1" x14ac:dyDescent="0.15">
      <c r="A220" s="41">
        <v>15</v>
      </c>
      <c r="B220" s="41" t="s">
        <v>24908</v>
      </c>
      <c r="C220" s="74" t="s">
        <v>24909</v>
      </c>
      <c r="D220" s="72"/>
      <c r="F220" s="57"/>
      <c r="G220" s="53"/>
      <c r="H220" s="49"/>
      <c r="I220" s="50"/>
      <c r="J220" s="163"/>
      <c r="K220" s="45"/>
      <c r="L220" s="46"/>
      <c r="M220" s="512"/>
      <c r="N220" s="57"/>
      <c r="O220" s="53"/>
      <c r="P220" s="49"/>
      <c r="Q220" s="50"/>
      <c r="R220" s="115"/>
      <c r="S220" s="53"/>
      <c r="T220" s="49"/>
      <c r="U220" s="50"/>
      <c r="V220" s="115"/>
      <c r="W220" s="208">
        <f>ROUND((ROUND((_15_同援日増２．０*(1+_15・A夜間)),0)*(1+_15・区４)),0)</f>
        <v>455</v>
      </c>
      <c r="X220" s="48"/>
    </row>
    <row r="221" spans="1:24" ht="16.5" customHeight="1" x14ac:dyDescent="0.15">
      <c r="A221" s="41">
        <v>15</v>
      </c>
      <c r="B221" s="41" t="s">
        <v>24910</v>
      </c>
      <c r="C221" s="74" t="s">
        <v>24911</v>
      </c>
      <c r="D221" s="72"/>
      <c r="F221" s="57"/>
      <c r="G221" s="43"/>
      <c r="H221" s="37"/>
      <c r="I221" s="38"/>
      <c r="J221" s="299" t="s">
        <v>17556</v>
      </c>
      <c r="K221" s="45" t="s">
        <v>398</v>
      </c>
      <c r="L221" s="46">
        <v>1</v>
      </c>
      <c r="M221" s="512"/>
      <c r="N221" s="57"/>
      <c r="O221" s="35"/>
      <c r="R221" s="57"/>
      <c r="S221" s="35"/>
      <c r="V221" s="57"/>
      <c r="W221" s="208">
        <f>ROUND((ROUND((ROUND((_15_同援日増２．０*_15・２人),0)*(1+_15・A夜間)),0)*(1+_15・区４)),0)</f>
        <v>455</v>
      </c>
      <c r="X221" s="48"/>
    </row>
    <row r="222" spans="1:24" ht="16.5" customHeight="1" x14ac:dyDescent="0.15">
      <c r="A222" s="41">
        <v>15</v>
      </c>
      <c r="B222" s="41" t="s">
        <v>24912</v>
      </c>
      <c r="C222" s="74" t="s">
        <v>24913</v>
      </c>
      <c r="D222" s="72"/>
      <c r="F222" s="57"/>
      <c r="G222" s="114" t="s">
        <v>17558</v>
      </c>
      <c r="H222" s="49"/>
      <c r="I222" s="50"/>
      <c r="J222" s="163"/>
      <c r="K222" s="45"/>
      <c r="L222" s="46"/>
      <c r="M222" s="512"/>
      <c r="N222" s="57"/>
      <c r="O222" s="35"/>
      <c r="R222" s="57"/>
      <c r="S222" s="72" t="s">
        <v>17580</v>
      </c>
      <c r="V222" s="57"/>
      <c r="W222" s="208">
        <f>ROUND((ROUND((ROUND((_15_同援日増２．０*_15・基礎２),0)*(1+_15・A夜間)),0)*(1+_15・区４)),0)</f>
        <v>410</v>
      </c>
      <c r="X222" s="48"/>
    </row>
    <row r="223" spans="1:24" ht="16.5" customHeight="1" x14ac:dyDescent="0.15">
      <c r="A223" s="41">
        <v>15</v>
      </c>
      <c r="B223" s="41" t="s">
        <v>24914</v>
      </c>
      <c r="C223" s="74" t="s">
        <v>24915</v>
      </c>
      <c r="D223" s="72"/>
      <c r="F223" s="57"/>
      <c r="G223" s="269" t="s">
        <v>17560</v>
      </c>
      <c r="H223" s="37" t="s">
        <v>398</v>
      </c>
      <c r="I223" s="38">
        <v>0.9</v>
      </c>
      <c r="J223" s="299" t="s">
        <v>17556</v>
      </c>
      <c r="K223" s="45" t="s">
        <v>398</v>
      </c>
      <c r="L223" s="46">
        <v>1</v>
      </c>
      <c r="M223" s="512"/>
      <c r="N223" s="57"/>
      <c r="O223" s="43"/>
      <c r="P223" s="37"/>
      <c r="Q223" s="38"/>
      <c r="R223" s="79"/>
      <c r="S223" s="72" t="s">
        <v>17572</v>
      </c>
      <c r="V223" s="57"/>
      <c r="W223" s="208">
        <f>ROUND((ROUND((ROUND((ROUND((_15_同援日増２．０*_15・基礎２),0)*_15・２人),0)*(1+_15・A夜間)),0)*(1+_15・区４)),0)</f>
        <v>410</v>
      </c>
      <c r="X223" s="48"/>
    </row>
    <row r="224" spans="1:24" ht="16.5" customHeight="1" x14ac:dyDescent="0.15">
      <c r="A224" s="41">
        <v>15</v>
      </c>
      <c r="B224" s="41" t="s">
        <v>24916</v>
      </c>
      <c r="C224" s="74" t="s">
        <v>24917</v>
      </c>
      <c r="D224" s="72"/>
      <c r="F224" s="57"/>
      <c r="G224" s="53"/>
      <c r="H224" s="49"/>
      <c r="I224" s="50"/>
      <c r="J224" s="163"/>
      <c r="K224" s="45"/>
      <c r="L224" s="46"/>
      <c r="M224" s="512"/>
      <c r="N224" s="57"/>
      <c r="O224" s="114" t="s">
        <v>17562</v>
      </c>
      <c r="P224" s="49"/>
      <c r="Q224" s="50"/>
      <c r="R224" s="115"/>
      <c r="S224" s="35"/>
      <c r="T224" s="12" t="s">
        <v>398</v>
      </c>
      <c r="U224" s="13">
        <v>0.4</v>
      </c>
      <c r="V224" s="57" t="s">
        <v>3575</v>
      </c>
      <c r="W224" s="208">
        <f>ROUND((ROUND((ROUND((_15_同援日増２．０*(1+_15・A夜間)),0)*(1+_15・盲ろう)),0)*(1+_15・区４)),0)</f>
        <v>568</v>
      </c>
      <c r="X224" s="48"/>
    </row>
    <row r="225" spans="1:24" ht="16.5" customHeight="1" x14ac:dyDescent="0.15">
      <c r="A225" s="41">
        <v>15</v>
      </c>
      <c r="B225" s="41" t="s">
        <v>24918</v>
      </c>
      <c r="C225" s="74" t="s">
        <v>24919</v>
      </c>
      <c r="D225" s="72"/>
      <c r="F225" s="57"/>
      <c r="G225" s="43"/>
      <c r="H225" s="37"/>
      <c r="I225" s="38"/>
      <c r="J225" s="299" t="s">
        <v>17556</v>
      </c>
      <c r="K225" s="45" t="s">
        <v>398</v>
      </c>
      <c r="L225" s="46">
        <v>1</v>
      </c>
      <c r="M225" s="512"/>
      <c r="N225" s="57"/>
      <c r="O225" s="92" t="s">
        <v>17564</v>
      </c>
      <c r="R225" s="57"/>
      <c r="S225" s="35"/>
      <c r="V225" s="57"/>
      <c r="W225" s="208">
        <f>ROUND((ROUND((ROUND((ROUND((_15_同援日増２．０*_15・２人),0)*(1+_15・A夜間)),0)*(1+_15・盲ろう)),0)*(1+_15・区４)),0)</f>
        <v>568</v>
      </c>
      <c r="X225" s="48"/>
    </row>
    <row r="226" spans="1:24" ht="16.5" customHeight="1" x14ac:dyDescent="0.15">
      <c r="A226" s="41">
        <v>15</v>
      </c>
      <c r="B226" s="41" t="s">
        <v>2193</v>
      </c>
      <c r="C226" s="74" t="s">
        <v>24920</v>
      </c>
      <c r="D226" s="72"/>
      <c r="F226" s="57"/>
      <c r="G226" s="114" t="s">
        <v>17558</v>
      </c>
      <c r="H226" s="49"/>
      <c r="I226" s="50"/>
      <c r="J226" s="163"/>
      <c r="K226" s="45"/>
      <c r="L226" s="46"/>
      <c r="M226" s="512"/>
      <c r="N226" s="57"/>
      <c r="O226" s="35"/>
      <c r="P226" s="12" t="s">
        <v>398</v>
      </c>
      <c r="Q226" s="13">
        <v>0.25</v>
      </c>
      <c r="R226" s="57" t="s">
        <v>3575</v>
      </c>
      <c r="S226" s="35"/>
      <c r="V226" s="57"/>
      <c r="W226" s="208">
        <f>ROUND((ROUND((ROUND((ROUND((_15_同援日増２．０*_15・基礎２),0)*(1+_15・A夜間)),0)*(1+_15・盲ろう)),0)*(1+_15・区４)),0)</f>
        <v>512</v>
      </c>
      <c r="X226" s="48"/>
    </row>
    <row r="227" spans="1:24" ht="16.5" customHeight="1" x14ac:dyDescent="0.15">
      <c r="A227" s="41">
        <v>15</v>
      </c>
      <c r="B227" s="41" t="s">
        <v>2195</v>
      </c>
      <c r="C227" s="74" t="s">
        <v>24921</v>
      </c>
      <c r="D227" s="122"/>
      <c r="E227" s="37"/>
      <c r="F227" s="79"/>
      <c r="G227" s="269" t="s">
        <v>17560</v>
      </c>
      <c r="H227" s="37" t="s">
        <v>398</v>
      </c>
      <c r="I227" s="38">
        <v>0.9</v>
      </c>
      <c r="J227" s="299" t="s">
        <v>17556</v>
      </c>
      <c r="K227" s="45" t="s">
        <v>398</v>
      </c>
      <c r="L227" s="46">
        <v>1</v>
      </c>
      <c r="M227" s="514"/>
      <c r="N227" s="79"/>
      <c r="O227" s="43"/>
      <c r="P227" s="37"/>
      <c r="Q227" s="38"/>
      <c r="R227" s="79"/>
      <c r="S227" s="43"/>
      <c r="T227" s="37"/>
      <c r="U227" s="38"/>
      <c r="V227" s="79"/>
      <c r="W227" s="208">
        <f>ROUND((ROUND((ROUND((ROUND((ROUND((_15_同援日増２．０*_15・基礎２),0)*_15・２人),0)*(1+_15・A夜間)),0)*(1+_15・盲ろう)),0)*(1+_15・区４)),0)</f>
        <v>512</v>
      </c>
      <c r="X227" s="63"/>
    </row>
    <row r="228" spans="1:24" ht="16.5" customHeight="1" x14ac:dyDescent="0.15">
      <c r="A228" s="41">
        <v>15</v>
      </c>
      <c r="B228" s="41" t="s">
        <v>2197</v>
      </c>
      <c r="C228" s="74" t="s">
        <v>24922</v>
      </c>
      <c r="D228" s="114" t="s">
        <v>24923</v>
      </c>
      <c r="E228" s="49"/>
      <c r="F228" s="115"/>
      <c r="G228" s="53"/>
      <c r="H228" s="49"/>
      <c r="I228" s="50"/>
      <c r="J228" s="163"/>
      <c r="K228" s="45"/>
      <c r="L228" s="46"/>
      <c r="M228" s="512"/>
      <c r="N228" s="57"/>
      <c r="O228" s="53"/>
      <c r="P228" s="49"/>
      <c r="Q228" s="50"/>
      <c r="R228" s="115"/>
      <c r="S228" s="53"/>
      <c r="T228" s="49"/>
      <c r="U228" s="50"/>
      <c r="V228" s="115"/>
      <c r="W228" s="208">
        <f>ROUND((_15_同援日増２．５*(1+_15・A夜間)),0)</f>
        <v>406</v>
      </c>
      <c r="X228" s="48"/>
    </row>
    <row r="229" spans="1:24" ht="16.5" customHeight="1" x14ac:dyDescent="0.15">
      <c r="A229" s="41">
        <v>15</v>
      </c>
      <c r="B229" s="41" t="s">
        <v>2199</v>
      </c>
      <c r="C229" s="74" t="s">
        <v>24924</v>
      </c>
      <c r="D229" s="72" t="s">
        <v>17670</v>
      </c>
      <c r="F229" s="57"/>
      <c r="G229" s="43"/>
      <c r="H229" s="37"/>
      <c r="I229" s="38"/>
      <c r="J229" s="299" t="s">
        <v>17556</v>
      </c>
      <c r="K229" s="45" t="s">
        <v>398</v>
      </c>
      <c r="L229" s="46">
        <v>1</v>
      </c>
      <c r="M229" s="512"/>
      <c r="N229" s="57"/>
      <c r="O229" s="35"/>
      <c r="R229" s="57"/>
      <c r="S229" s="35"/>
      <c r="V229" s="57"/>
      <c r="W229" s="208">
        <f>ROUND((ROUND((_15_同援日増２．５*_15・２人),0)*(1+_15・A夜間)),0)</f>
        <v>406</v>
      </c>
      <c r="X229" s="48"/>
    </row>
    <row r="230" spans="1:24" ht="16.5" customHeight="1" x14ac:dyDescent="0.15">
      <c r="A230" s="41">
        <v>15</v>
      </c>
      <c r="B230" s="41" t="s">
        <v>24925</v>
      </c>
      <c r="C230" s="74" t="s">
        <v>24926</v>
      </c>
      <c r="D230" s="72" t="s">
        <v>17672</v>
      </c>
      <c r="F230" s="57"/>
      <c r="G230" s="114" t="s">
        <v>17558</v>
      </c>
      <c r="H230" s="49"/>
      <c r="I230" s="50"/>
      <c r="J230" s="163"/>
      <c r="K230" s="45"/>
      <c r="L230" s="46"/>
      <c r="M230" s="512"/>
      <c r="N230" s="57"/>
      <c r="O230" s="35"/>
      <c r="R230" s="57"/>
      <c r="S230" s="35"/>
      <c r="V230" s="57"/>
      <c r="W230" s="208">
        <f>ROUND((ROUND((_15_同援日増２．５*_15・基礎２),0)*(1+_15・A夜間)),0)</f>
        <v>366</v>
      </c>
      <c r="X230" s="48"/>
    </row>
    <row r="231" spans="1:24" ht="16.5" customHeight="1" x14ac:dyDescent="0.15">
      <c r="A231" s="41">
        <v>15</v>
      </c>
      <c r="B231" s="41" t="s">
        <v>24927</v>
      </c>
      <c r="C231" s="74" t="s">
        <v>24928</v>
      </c>
      <c r="D231" s="72"/>
      <c r="E231" s="168">
        <f>_15_同援日増２．５</f>
        <v>325</v>
      </c>
      <c r="F231" s="57" t="s">
        <v>392</v>
      </c>
      <c r="G231" s="269" t="s">
        <v>17560</v>
      </c>
      <c r="H231" s="37" t="s">
        <v>398</v>
      </c>
      <c r="I231" s="38">
        <v>0.9</v>
      </c>
      <c r="J231" s="299" t="s">
        <v>17556</v>
      </c>
      <c r="K231" s="45" t="s">
        <v>398</v>
      </c>
      <c r="L231" s="46">
        <v>1</v>
      </c>
      <c r="M231" s="512"/>
      <c r="N231" s="57"/>
      <c r="O231" s="43"/>
      <c r="P231" s="37"/>
      <c r="Q231" s="38"/>
      <c r="R231" s="79"/>
      <c r="S231" s="35"/>
      <c r="V231" s="57"/>
      <c r="W231" s="208">
        <f>ROUND((ROUND((ROUND((_15_同援日増２．５*_15・基礎２),0)*_15・２人),0)*(1+_15・A夜間)),0)</f>
        <v>366</v>
      </c>
      <c r="X231" s="48"/>
    </row>
    <row r="232" spans="1:24" ht="16.5" customHeight="1" x14ac:dyDescent="0.15">
      <c r="A232" s="41">
        <v>15</v>
      </c>
      <c r="B232" s="41" t="s">
        <v>24929</v>
      </c>
      <c r="C232" s="74" t="s">
        <v>24930</v>
      </c>
      <c r="D232" s="72"/>
      <c r="F232" s="57"/>
      <c r="G232" s="53"/>
      <c r="H232" s="49"/>
      <c r="I232" s="50"/>
      <c r="J232" s="163"/>
      <c r="K232" s="45"/>
      <c r="L232" s="46"/>
      <c r="M232" s="512"/>
      <c r="N232" s="57"/>
      <c r="O232" s="114" t="s">
        <v>17562</v>
      </c>
      <c r="P232" s="49"/>
      <c r="Q232" s="50"/>
      <c r="R232" s="115"/>
      <c r="S232" s="35"/>
      <c r="V232" s="57"/>
      <c r="W232" s="208">
        <f>ROUND((ROUND((_15_同援日増２．５*(1+_15・A夜間)),0)*(1+_15・盲ろう)),0)</f>
        <v>508</v>
      </c>
      <c r="X232" s="48"/>
    </row>
    <row r="233" spans="1:24" ht="16.5" customHeight="1" x14ac:dyDescent="0.15">
      <c r="A233" s="41">
        <v>15</v>
      </c>
      <c r="B233" s="41" t="s">
        <v>24931</v>
      </c>
      <c r="C233" s="74" t="s">
        <v>24932</v>
      </c>
      <c r="D233" s="72"/>
      <c r="F233" s="57"/>
      <c r="G233" s="43"/>
      <c r="H233" s="37"/>
      <c r="I233" s="38"/>
      <c r="J233" s="299" t="s">
        <v>17556</v>
      </c>
      <c r="K233" s="45" t="s">
        <v>398</v>
      </c>
      <c r="L233" s="46">
        <v>1</v>
      </c>
      <c r="M233" s="512"/>
      <c r="N233" s="57"/>
      <c r="O233" s="92" t="s">
        <v>17564</v>
      </c>
      <c r="R233" s="57"/>
      <c r="S233" s="35"/>
      <c r="V233" s="57"/>
      <c r="W233" s="208">
        <f>ROUND((ROUND((ROUND((_15_同援日増２．５*_15・２人),0)*(1+_15・A夜間)),0)*(1+_15・盲ろう)),0)</f>
        <v>508</v>
      </c>
      <c r="X233" s="48"/>
    </row>
    <row r="234" spans="1:24" ht="16.5" customHeight="1" x14ac:dyDescent="0.15">
      <c r="A234" s="41">
        <v>15</v>
      </c>
      <c r="B234" s="41" t="s">
        <v>24933</v>
      </c>
      <c r="C234" s="74" t="s">
        <v>24934</v>
      </c>
      <c r="D234" s="72"/>
      <c r="F234" s="57"/>
      <c r="G234" s="114" t="s">
        <v>17558</v>
      </c>
      <c r="H234" s="49"/>
      <c r="I234" s="50"/>
      <c r="J234" s="163"/>
      <c r="K234" s="45"/>
      <c r="L234" s="46"/>
      <c r="M234" s="512"/>
      <c r="N234" s="57"/>
      <c r="O234" s="35"/>
      <c r="P234" s="12" t="s">
        <v>398</v>
      </c>
      <c r="Q234" s="13">
        <v>0.25</v>
      </c>
      <c r="R234" s="57" t="s">
        <v>3575</v>
      </c>
      <c r="S234" s="35"/>
      <c r="V234" s="57"/>
      <c r="W234" s="208">
        <f>ROUND((ROUND((ROUND((_15_同援日増２．５*_15・基礎２),0)*(1+_15・A夜間)),0)*(1+_15・盲ろう)),0)</f>
        <v>458</v>
      </c>
      <c r="X234" s="48"/>
    </row>
    <row r="235" spans="1:24" ht="16.5" customHeight="1" x14ac:dyDescent="0.15">
      <c r="A235" s="41">
        <v>15</v>
      </c>
      <c r="B235" s="41" t="s">
        <v>24935</v>
      </c>
      <c r="C235" s="74" t="s">
        <v>24936</v>
      </c>
      <c r="D235" s="72"/>
      <c r="F235" s="57"/>
      <c r="G235" s="269" t="s">
        <v>17560</v>
      </c>
      <c r="H235" s="37" t="s">
        <v>398</v>
      </c>
      <c r="I235" s="38">
        <v>0.9</v>
      </c>
      <c r="J235" s="299" t="s">
        <v>17556</v>
      </c>
      <c r="K235" s="45" t="s">
        <v>398</v>
      </c>
      <c r="L235" s="46">
        <v>1</v>
      </c>
      <c r="M235" s="512"/>
      <c r="N235" s="57"/>
      <c r="O235" s="43"/>
      <c r="P235" s="37"/>
      <c r="Q235" s="38"/>
      <c r="R235" s="79"/>
      <c r="S235" s="43"/>
      <c r="T235" s="37"/>
      <c r="U235" s="38"/>
      <c r="V235" s="79"/>
      <c r="W235" s="208">
        <f>ROUND((ROUND((ROUND((ROUND((_15_同援日増２．５*_15・基礎２),0)*_15・２人),0)*(1+_15・A夜間)),0)*(1+_15・盲ろう)),0)</f>
        <v>458</v>
      </c>
      <c r="X235" s="48"/>
    </row>
    <row r="236" spans="1:24" ht="16.5" customHeight="1" x14ac:dyDescent="0.15">
      <c r="A236" s="41">
        <v>15</v>
      </c>
      <c r="B236" s="41" t="s">
        <v>24937</v>
      </c>
      <c r="C236" s="74" t="s">
        <v>24938</v>
      </c>
      <c r="D236" s="72"/>
      <c r="F236" s="57"/>
      <c r="G236" s="53"/>
      <c r="H236" s="49"/>
      <c r="I236" s="50"/>
      <c r="J236" s="163"/>
      <c r="K236" s="45"/>
      <c r="L236" s="46"/>
      <c r="M236" s="512"/>
      <c r="N236" s="57"/>
      <c r="O236" s="53"/>
      <c r="P236" s="49"/>
      <c r="Q236" s="50"/>
      <c r="R236" s="115"/>
      <c r="S236" s="53"/>
      <c r="T236" s="49"/>
      <c r="U236" s="50"/>
      <c r="V236" s="115"/>
      <c r="W236" s="208">
        <f>ROUND((ROUND((_15_同援日増２．５*(1+_15・A夜間)),0)*(1+_15・区３)),0)</f>
        <v>487</v>
      </c>
      <c r="X236" s="48"/>
    </row>
    <row r="237" spans="1:24" ht="16.5" customHeight="1" x14ac:dyDescent="0.15">
      <c r="A237" s="41">
        <v>15</v>
      </c>
      <c r="B237" s="41" t="s">
        <v>24939</v>
      </c>
      <c r="C237" s="74" t="s">
        <v>24940</v>
      </c>
      <c r="D237" s="72"/>
      <c r="F237" s="57"/>
      <c r="G237" s="43"/>
      <c r="H237" s="37"/>
      <c r="I237" s="38"/>
      <c r="J237" s="299" t="s">
        <v>17556</v>
      </c>
      <c r="K237" s="45" t="s">
        <v>398</v>
      </c>
      <c r="L237" s="46">
        <v>1</v>
      </c>
      <c r="M237" s="512"/>
      <c r="N237" s="57"/>
      <c r="O237" s="35"/>
      <c r="R237" s="57"/>
      <c r="S237" s="35"/>
      <c r="V237" s="57"/>
      <c r="W237" s="208">
        <f>ROUND((ROUND((ROUND((_15_同援日増２．５*_15・２人),0)*(1+_15・A夜間)),0)*(1+_15・区３)),0)</f>
        <v>487</v>
      </c>
      <c r="X237" s="48"/>
    </row>
    <row r="238" spans="1:24" ht="16.5" customHeight="1" x14ac:dyDescent="0.15">
      <c r="A238" s="41">
        <v>15</v>
      </c>
      <c r="B238" s="41" t="s">
        <v>24941</v>
      </c>
      <c r="C238" s="74" t="s">
        <v>24942</v>
      </c>
      <c r="D238" s="72"/>
      <c r="F238" s="57"/>
      <c r="G238" s="114" t="s">
        <v>17558</v>
      </c>
      <c r="H238" s="49"/>
      <c r="I238" s="50"/>
      <c r="J238" s="163"/>
      <c r="K238" s="45"/>
      <c r="L238" s="46"/>
      <c r="M238" s="512"/>
      <c r="N238" s="57"/>
      <c r="O238" s="35"/>
      <c r="R238" s="57"/>
      <c r="S238" s="72" t="s">
        <v>17570</v>
      </c>
      <c r="V238" s="57"/>
      <c r="W238" s="208">
        <f>ROUND((ROUND((ROUND((_15_同援日増２．５*_15・基礎２),0)*(1+_15・A夜間)),0)*(1+_15・区３)),0)</f>
        <v>439</v>
      </c>
      <c r="X238" s="48"/>
    </row>
    <row r="239" spans="1:24" ht="16.5" customHeight="1" x14ac:dyDescent="0.15">
      <c r="A239" s="41">
        <v>15</v>
      </c>
      <c r="B239" s="41" t="s">
        <v>24943</v>
      </c>
      <c r="C239" s="74" t="s">
        <v>24944</v>
      </c>
      <c r="D239" s="72"/>
      <c r="F239" s="57"/>
      <c r="G239" s="269" t="s">
        <v>17560</v>
      </c>
      <c r="H239" s="37" t="s">
        <v>398</v>
      </c>
      <c r="I239" s="38">
        <v>0.9</v>
      </c>
      <c r="J239" s="299" t="s">
        <v>17556</v>
      </c>
      <c r="K239" s="45" t="s">
        <v>398</v>
      </c>
      <c r="L239" s="46">
        <v>1</v>
      </c>
      <c r="M239" s="512"/>
      <c r="N239" s="57"/>
      <c r="O239" s="43"/>
      <c r="P239" s="37"/>
      <c r="Q239" s="38"/>
      <c r="R239" s="79"/>
      <c r="S239" s="72" t="s">
        <v>17572</v>
      </c>
      <c r="V239" s="57"/>
      <c r="W239" s="208">
        <f>ROUND((ROUND((ROUND((ROUND((_15_同援日増２．５*_15・基礎２),0)*_15・２人),0)*(1+_15・A夜間)),0)*(1+_15・区３)),0)</f>
        <v>439</v>
      </c>
      <c r="X239" s="48"/>
    </row>
    <row r="240" spans="1:24" ht="16.5" customHeight="1" x14ac:dyDescent="0.15">
      <c r="A240" s="41">
        <v>15</v>
      </c>
      <c r="B240" s="41" t="s">
        <v>24945</v>
      </c>
      <c r="C240" s="74" t="s">
        <v>24946</v>
      </c>
      <c r="D240" s="72"/>
      <c r="F240" s="57"/>
      <c r="G240" s="53"/>
      <c r="H240" s="49"/>
      <c r="I240" s="50"/>
      <c r="J240" s="163"/>
      <c r="K240" s="45"/>
      <c r="L240" s="46"/>
      <c r="M240" s="512"/>
      <c r="N240" s="57"/>
      <c r="O240" s="114" t="s">
        <v>17562</v>
      </c>
      <c r="P240" s="49"/>
      <c r="Q240" s="50"/>
      <c r="R240" s="115"/>
      <c r="S240" s="35"/>
      <c r="T240" s="12" t="s">
        <v>398</v>
      </c>
      <c r="U240" s="13">
        <v>0.2</v>
      </c>
      <c r="V240" s="57" t="s">
        <v>3575</v>
      </c>
      <c r="W240" s="208">
        <f>ROUND((ROUND((ROUND((_15_同援日増２．５*(1+_15・A夜間)),0)*(1+_15・盲ろう)),0)*(1+_15・区３)),0)</f>
        <v>610</v>
      </c>
      <c r="X240" s="48"/>
    </row>
    <row r="241" spans="1:24" ht="16.5" customHeight="1" x14ac:dyDescent="0.15">
      <c r="A241" s="41">
        <v>15</v>
      </c>
      <c r="B241" s="41" t="s">
        <v>24947</v>
      </c>
      <c r="C241" s="74" t="s">
        <v>24948</v>
      </c>
      <c r="D241" s="72"/>
      <c r="F241" s="57"/>
      <c r="G241" s="43"/>
      <c r="H241" s="37"/>
      <c r="I241" s="38"/>
      <c r="J241" s="299" t="s">
        <v>17556</v>
      </c>
      <c r="K241" s="45" t="s">
        <v>398</v>
      </c>
      <c r="L241" s="46">
        <v>1</v>
      </c>
      <c r="M241" s="512"/>
      <c r="N241" s="57"/>
      <c r="O241" s="92" t="s">
        <v>17564</v>
      </c>
      <c r="R241" s="57"/>
      <c r="S241" s="35"/>
      <c r="V241" s="57"/>
      <c r="W241" s="208">
        <f>ROUND((ROUND((ROUND((ROUND((_15_同援日増２．５*_15・２人),0)*(1+_15・A夜間)),0)*(1+_15・盲ろう)),0)*(1+_15・区３)),0)</f>
        <v>610</v>
      </c>
      <c r="X241" s="48"/>
    </row>
    <row r="242" spans="1:24" ht="16.5" customHeight="1" x14ac:dyDescent="0.15">
      <c r="A242" s="41">
        <v>15</v>
      </c>
      <c r="B242" s="41" t="s">
        <v>24949</v>
      </c>
      <c r="C242" s="74" t="s">
        <v>24950</v>
      </c>
      <c r="D242" s="72"/>
      <c r="F242" s="57"/>
      <c r="G242" s="114" t="s">
        <v>17558</v>
      </c>
      <c r="H242" s="49"/>
      <c r="I242" s="50"/>
      <c r="J242" s="163"/>
      <c r="K242" s="45"/>
      <c r="L242" s="46"/>
      <c r="M242" s="512"/>
      <c r="N242" s="57"/>
      <c r="O242" s="35"/>
      <c r="P242" s="12" t="s">
        <v>398</v>
      </c>
      <c r="Q242" s="13">
        <v>0.25</v>
      </c>
      <c r="R242" s="57" t="s">
        <v>3575</v>
      </c>
      <c r="S242" s="35"/>
      <c r="V242" s="57"/>
      <c r="W242" s="208">
        <f>ROUND((ROUND((ROUND((ROUND((_15_同援日増２．５*_15・基礎２),0)*(1+_15・A夜間)),0)*(1+_15・盲ろう)),0)*(1+_15・区３)),0)</f>
        <v>550</v>
      </c>
      <c r="X242" s="48"/>
    </row>
    <row r="243" spans="1:24" ht="16.5" customHeight="1" x14ac:dyDescent="0.15">
      <c r="A243" s="41">
        <v>15</v>
      </c>
      <c r="B243" s="41" t="s">
        <v>24951</v>
      </c>
      <c r="C243" s="74" t="s">
        <v>24952</v>
      </c>
      <c r="D243" s="72"/>
      <c r="F243" s="57"/>
      <c r="G243" s="269" t="s">
        <v>17560</v>
      </c>
      <c r="H243" s="37" t="s">
        <v>398</v>
      </c>
      <c r="I243" s="38">
        <v>0.9</v>
      </c>
      <c r="J243" s="299" t="s">
        <v>17556</v>
      </c>
      <c r="K243" s="45" t="s">
        <v>398</v>
      </c>
      <c r="L243" s="46">
        <v>1</v>
      </c>
      <c r="M243" s="512"/>
      <c r="N243" s="57"/>
      <c r="O243" s="43"/>
      <c r="P243" s="37"/>
      <c r="Q243" s="38"/>
      <c r="R243" s="79"/>
      <c r="S243" s="43"/>
      <c r="T243" s="37"/>
      <c r="U243" s="38"/>
      <c r="V243" s="79"/>
      <c r="W243" s="208">
        <f>ROUND((ROUND((ROUND((ROUND((ROUND((_15_同援日増２．５*_15・基礎２),0)*_15・２人),0)*(1+_15・A夜間)),0)*(1+_15・盲ろう)),0)*(1+_15・区３)),0)</f>
        <v>550</v>
      </c>
      <c r="X243" s="48"/>
    </row>
    <row r="244" spans="1:24" ht="16.5" customHeight="1" x14ac:dyDescent="0.15">
      <c r="A244" s="41">
        <v>15</v>
      </c>
      <c r="B244" s="41" t="s">
        <v>24953</v>
      </c>
      <c r="C244" s="74" t="s">
        <v>24954</v>
      </c>
      <c r="D244" s="72"/>
      <c r="F244" s="57"/>
      <c r="G244" s="53"/>
      <c r="H244" s="49"/>
      <c r="I244" s="50"/>
      <c r="J244" s="163"/>
      <c r="K244" s="45"/>
      <c r="L244" s="46"/>
      <c r="M244" s="512"/>
      <c r="N244" s="57"/>
      <c r="O244" s="53"/>
      <c r="P244" s="49"/>
      <c r="Q244" s="50"/>
      <c r="R244" s="115"/>
      <c r="S244" s="53"/>
      <c r="T244" s="49"/>
      <c r="U244" s="50"/>
      <c r="V244" s="115"/>
      <c r="W244" s="208">
        <f>ROUND((ROUND((_15_同援日増２．５*(1+_15・A夜間)),0)*(1+_15・区４)),0)</f>
        <v>568</v>
      </c>
      <c r="X244" s="48"/>
    </row>
    <row r="245" spans="1:24" ht="16.5" customHeight="1" x14ac:dyDescent="0.15">
      <c r="A245" s="41">
        <v>15</v>
      </c>
      <c r="B245" s="41" t="s">
        <v>24955</v>
      </c>
      <c r="C245" s="74" t="s">
        <v>24956</v>
      </c>
      <c r="D245" s="72"/>
      <c r="F245" s="57"/>
      <c r="G245" s="43"/>
      <c r="H245" s="37"/>
      <c r="I245" s="38"/>
      <c r="J245" s="299" t="s">
        <v>17556</v>
      </c>
      <c r="K245" s="45" t="s">
        <v>398</v>
      </c>
      <c r="L245" s="46">
        <v>1</v>
      </c>
      <c r="M245" s="512"/>
      <c r="N245" s="57"/>
      <c r="O245" s="35"/>
      <c r="R245" s="57"/>
      <c r="S245" s="35"/>
      <c r="V245" s="57"/>
      <c r="W245" s="208">
        <f>ROUND((ROUND((ROUND((_15_同援日増２．５*_15・２人),0)*(1+_15・A夜間)),0)*(1+_15・区４)),0)</f>
        <v>568</v>
      </c>
      <c r="X245" s="48"/>
    </row>
    <row r="246" spans="1:24" ht="16.5" customHeight="1" x14ac:dyDescent="0.15">
      <c r="A246" s="41">
        <v>15</v>
      </c>
      <c r="B246" s="41" t="s">
        <v>2205</v>
      </c>
      <c r="C246" s="74" t="s">
        <v>24957</v>
      </c>
      <c r="D246" s="72"/>
      <c r="F246" s="57"/>
      <c r="G246" s="114" t="s">
        <v>17558</v>
      </c>
      <c r="H246" s="49"/>
      <c r="I246" s="50"/>
      <c r="J246" s="163"/>
      <c r="K246" s="45"/>
      <c r="L246" s="46"/>
      <c r="M246" s="512"/>
      <c r="N246" s="57"/>
      <c r="O246" s="35"/>
      <c r="R246" s="57"/>
      <c r="S246" s="72" t="s">
        <v>17580</v>
      </c>
      <c r="V246" s="57"/>
      <c r="W246" s="208">
        <f>ROUND((ROUND((ROUND((_15_同援日増２．５*_15・基礎２),0)*(1+_15・A夜間)),0)*(1+_15・区４)),0)</f>
        <v>512</v>
      </c>
      <c r="X246" s="48"/>
    </row>
    <row r="247" spans="1:24" ht="16.5" customHeight="1" x14ac:dyDescent="0.15">
      <c r="A247" s="41">
        <v>15</v>
      </c>
      <c r="B247" s="41" t="s">
        <v>2207</v>
      </c>
      <c r="C247" s="74" t="s">
        <v>24958</v>
      </c>
      <c r="D247" s="72"/>
      <c r="F247" s="57"/>
      <c r="G247" s="269" t="s">
        <v>17560</v>
      </c>
      <c r="H247" s="37" t="s">
        <v>398</v>
      </c>
      <c r="I247" s="38">
        <v>0.9</v>
      </c>
      <c r="J247" s="299" t="s">
        <v>17556</v>
      </c>
      <c r="K247" s="45" t="s">
        <v>398</v>
      </c>
      <c r="L247" s="46">
        <v>1</v>
      </c>
      <c r="M247" s="512"/>
      <c r="N247" s="57"/>
      <c r="O247" s="43"/>
      <c r="P247" s="37"/>
      <c r="Q247" s="38"/>
      <c r="R247" s="79"/>
      <c r="S247" s="72" t="s">
        <v>17572</v>
      </c>
      <c r="V247" s="57"/>
      <c r="W247" s="208">
        <f>ROUND((ROUND((ROUND((ROUND((_15_同援日増２．５*_15・基礎２),0)*_15・２人),0)*(1+_15・A夜間)),0)*(1+_15・区４)),0)</f>
        <v>512</v>
      </c>
      <c r="X247" s="48"/>
    </row>
    <row r="248" spans="1:24" ht="16.5" customHeight="1" x14ac:dyDescent="0.15">
      <c r="A248" s="41">
        <v>15</v>
      </c>
      <c r="B248" s="41" t="s">
        <v>2209</v>
      </c>
      <c r="C248" s="74" t="s">
        <v>24959</v>
      </c>
      <c r="D248" s="72"/>
      <c r="F248" s="57"/>
      <c r="G248" s="53"/>
      <c r="H248" s="49"/>
      <c r="I248" s="50"/>
      <c r="J248" s="163"/>
      <c r="K248" s="45"/>
      <c r="L248" s="46"/>
      <c r="M248" s="512"/>
      <c r="N248" s="57"/>
      <c r="O248" s="114" t="s">
        <v>17562</v>
      </c>
      <c r="P248" s="49"/>
      <c r="Q248" s="50"/>
      <c r="R248" s="115"/>
      <c r="S248" s="35"/>
      <c r="T248" s="12" t="s">
        <v>398</v>
      </c>
      <c r="U248" s="13">
        <v>0.4</v>
      </c>
      <c r="V248" s="57" t="s">
        <v>3575</v>
      </c>
      <c r="W248" s="208">
        <f>ROUND((ROUND((ROUND((_15_同援日増２．５*(1+_15・A夜間)),0)*(1+_15・盲ろう)),0)*(1+_15・区４)),0)</f>
        <v>711</v>
      </c>
      <c r="X248" s="48"/>
    </row>
    <row r="249" spans="1:24" ht="16.5" customHeight="1" x14ac:dyDescent="0.15">
      <c r="A249" s="41">
        <v>15</v>
      </c>
      <c r="B249" s="41" t="s">
        <v>2211</v>
      </c>
      <c r="C249" s="74" t="s">
        <v>24960</v>
      </c>
      <c r="D249" s="72"/>
      <c r="F249" s="57"/>
      <c r="G249" s="43"/>
      <c r="H249" s="37"/>
      <c r="I249" s="38"/>
      <c r="J249" s="299" t="s">
        <v>17556</v>
      </c>
      <c r="K249" s="45" t="s">
        <v>398</v>
      </c>
      <c r="L249" s="46">
        <v>1</v>
      </c>
      <c r="M249" s="512"/>
      <c r="N249" s="57"/>
      <c r="O249" s="92" t="s">
        <v>17564</v>
      </c>
      <c r="R249" s="57"/>
      <c r="S249" s="35"/>
      <c r="V249" s="57"/>
      <c r="W249" s="208">
        <f>ROUND((ROUND((ROUND((ROUND((_15_同援日増２．５*_15・２人),0)*(1+_15・A夜間)),0)*(1+_15・盲ろう)),0)*(1+_15・区４)),0)</f>
        <v>711</v>
      </c>
      <c r="X249" s="48"/>
    </row>
    <row r="250" spans="1:24" ht="16.5" customHeight="1" x14ac:dyDescent="0.15">
      <c r="A250" s="41">
        <v>15</v>
      </c>
      <c r="B250" s="41" t="s">
        <v>24961</v>
      </c>
      <c r="C250" s="74" t="s">
        <v>24962</v>
      </c>
      <c r="D250" s="72"/>
      <c r="F250" s="57"/>
      <c r="G250" s="114" t="s">
        <v>17558</v>
      </c>
      <c r="H250" s="49"/>
      <c r="I250" s="50"/>
      <c r="J250" s="163"/>
      <c r="K250" s="45"/>
      <c r="L250" s="46"/>
      <c r="M250" s="512"/>
      <c r="N250" s="57"/>
      <c r="O250" s="35"/>
      <c r="P250" s="12" t="s">
        <v>398</v>
      </c>
      <c r="Q250" s="13">
        <v>0.25</v>
      </c>
      <c r="R250" s="57" t="s">
        <v>3575</v>
      </c>
      <c r="S250" s="35"/>
      <c r="V250" s="57"/>
      <c r="W250" s="208">
        <f>ROUND((ROUND((ROUND((ROUND((_15_同援日増２．５*_15・基礎２),0)*(1+_15・A夜間)),0)*(1+_15・盲ろう)),0)*(1+_15・区４)),0)</f>
        <v>641</v>
      </c>
      <c r="X250" s="48"/>
    </row>
    <row r="251" spans="1:24" ht="16.5" customHeight="1" x14ac:dyDescent="0.15">
      <c r="A251" s="41">
        <v>15</v>
      </c>
      <c r="B251" s="41" t="s">
        <v>24963</v>
      </c>
      <c r="C251" s="74" t="s">
        <v>24964</v>
      </c>
      <c r="D251" s="122"/>
      <c r="E251" s="37"/>
      <c r="F251" s="79"/>
      <c r="G251" s="269" t="s">
        <v>17560</v>
      </c>
      <c r="H251" s="37" t="s">
        <v>398</v>
      </c>
      <c r="I251" s="38">
        <v>0.9</v>
      </c>
      <c r="J251" s="299" t="s">
        <v>17556</v>
      </c>
      <c r="K251" s="45" t="s">
        <v>398</v>
      </c>
      <c r="L251" s="46">
        <v>1</v>
      </c>
      <c r="M251" s="512"/>
      <c r="N251" s="57"/>
      <c r="O251" s="43"/>
      <c r="P251" s="37"/>
      <c r="Q251" s="38"/>
      <c r="R251" s="79"/>
      <c r="S251" s="43"/>
      <c r="T251" s="37"/>
      <c r="U251" s="38"/>
      <c r="V251" s="79"/>
      <c r="W251" s="208">
        <f>ROUND((ROUND((ROUND((ROUND((ROUND((_15_同援日増２．５*_15・基礎２),0)*_15・２人),0)*(1+_15・A夜間)),0)*(1+_15・盲ろう)),0)*(1+_15・区４)),0)</f>
        <v>641</v>
      </c>
      <c r="X251" s="48"/>
    </row>
    <row r="252" spans="1:24" ht="16.5" customHeight="1" x14ac:dyDescent="0.15">
      <c r="A252" s="41">
        <v>15</v>
      </c>
      <c r="B252" s="41" t="s">
        <v>24965</v>
      </c>
      <c r="C252" s="74" t="s">
        <v>24966</v>
      </c>
      <c r="D252" s="114" t="s">
        <v>24967</v>
      </c>
      <c r="E252" s="49"/>
      <c r="F252" s="115"/>
      <c r="G252" s="53"/>
      <c r="H252" s="49"/>
      <c r="I252" s="50"/>
      <c r="J252" s="163"/>
      <c r="K252" s="45"/>
      <c r="L252" s="46"/>
      <c r="M252" s="512"/>
      <c r="N252" s="57"/>
      <c r="O252" s="53"/>
      <c r="P252" s="49"/>
      <c r="Q252" s="50"/>
      <c r="R252" s="115"/>
      <c r="S252" s="53"/>
      <c r="T252" s="49"/>
      <c r="U252" s="50"/>
      <c r="V252" s="115"/>
      <c r="W252" s="208">
        <f>ROUND((_15_同援日増３．０*(1+_15・A夜間)),0)</f>
        <v>488</v>
      </c>
      <c r="X252" s="48"/>
    </row>
    <row r="253" spans="1:24" ht="16.5" customHeight="1" x14ac:dyDescent="0.15">
      <c r="A253" s="41">
        <v>15</v>
      </c>
      <c r="B253" s="41" t="s">
        <v>24968</v>
      </c>
      <c r="C253" s="74" t="s">
        <v>24969</v>
      </c>
      <c r="D253" s="72" t="s">
        <v>17697</v>
      </c>
      <c r="F253" s="57"/>
      <c r="G253" s="43"/>
      <c r="H253" s="37"/>
      <c r="I253" s="38"/>
      <c r="J253" s="299" t="s">
        <v>17556</v>
      </c>
      <c r="K253" s="45" t="s">
        <v>398</v>
      </c>
      <c r="L253" s="46">
        <v>1</v>
      </c>
      <c r="M253" s="512"/>
      <c r="N253" s="57"/>
      <c r="O253" s="35"/>
      <c r="R253" s="57"/>
      <c r="S253" s="35"/>
      <c r="V253" s="57"/>
      <c r="W253" s="208">
        <f>ROUND((ROUND((_15_同援日増３．０*_15・２人),0)*(1+_15・A夜間)),0)</f>
        <v>488</v>
      </c>
      <c r="X253" s="48"/>
    </row>
    <row r="254" spans="1:24" ht="16.5" customHeight="1" x14ac:dyDescent="0.15">
      <c r="A254" s="41">
        <v>15</v>
      </c>
      <c r="B254" s="41" t="s">
        <v>24970</v>
      </c>
      <c r="C254" s="74" t="s">
        <v>24971</v>
      </c>
      <c r="D254" s="72" t="s">
        <v>18387</v>
      </c>
      <c r="F254" s="57"/>
      <c r="G254" s="114" t="s">
        <v>17558</v>
      </c>
      <c r="H254" s="49"/>
      <c r="I254" s="50"/>
      <c r="J254" s="163"/>
      <c r="K254" s="45"/>
      <c r="L254" s="46"/>
      <c r="M254" s="512"/>
      <c r="N254" s="57"/>
      <c r="O254" s="35"/>
      <c r="R254" s="57"/>
      <c r="S254" s="35"/>
      <c r="V254" s="57"/>
      <c r="W254" s="208">
        <f>ROUND((ROUND((_15_同援日増３．０*_15・基礎２),0)*(1+_15・A夜間)),0)</f>
        <v>439</v>
      </c>
      <c r="X254" s="48"/>
    </row>
    <row r="255" spans="1:24" ht="16.5" customHeight="1" x14ac:dyDescent="0.15">
      <c r="A255" s="41">
        <v>15</v>
      </c>
      <c r="B255" s="41" t="s">
        <v>24972</v>
      </c>
      <c r="C255" s="74" t="s">
        <v>24973</v>
      </c>
      <c r="D255" s="72"/>
      <c r="E255" s="168">
        <f>_15_同援日増３．０</f>
        <v>390</v>
      </c>
      <c r="F255" s="57" t="s">
        <v>392</v>
      </c>
      <c r="G255" s="269" t="s">
        <v>17560</v>
      </c>
      <c r="H255" s="37" t="s">
        <v>398</v>
      </c>
      <c r="I255" s="38">
        <v>0.9</v>
      </c>
      <c r="J255" s="299" t="s">
        <v>17556</v>
      </c>
      <c r="K255" s="45" t="s">
        <v>398</v>
      </c>
      <c r="L255" s="46">
        <v>1</v>
      </c>
      <c r="M255" s="512"/>
      <c r="N255" s="57"/>
      <c r="O255" s="43"/>
      <c r="P255" s="37"/>
      <c r="Q255" s="38"/>
      <c r="R255" s="79"/>
      <c r="S255" s="35"/>
      <c r="V255" s="57"/>
      <c r="W255" s="208">
        <f>ROUND((ROUND((ROUND((_15_同援日増３．０*_15・基礎２),0)*_15・２人),0)*(1+_15・A夜間)),0)</f>
        <v>439</v>
      </c>
      <c r="X255" s="48"/>
    </row>
    <row r="256" spans="1:24" ht="16.5" customHeight="1" x14ac:dyDescent="0.15">
      <c r="A256" s="41">
        <v>15</v>
      </c>
      <c r="B256" s="41" t="s">
        <v>24974</v>
      </c>
      <c r="C256" s="74" t="s">
        <v>24975</v>
      </c>
      <c r="D256" s="72"/>
      <c r="F256" s="57"/>
      <c r="G256" s="53"/>
      <c r="H256" s="49"/>
      <c r="I256" s="50"/>
      <c r="J256" s="163"/>
      <c r="K256" s="45"/>
      <c r="L256" s="46"/>
      <c r="M256" s="512"/>
      <c r="N256" s="57"/>
      <c r="O256" s="114" t="s">
        <v>17562</v>
      </c>
      <c r="P256" s="49"/>
      <c r="Q256" s="50"/>
      <c r="R256" s="115"/>
      <c r="S256" s="35"/>
      <c r="V256" s="57"/>
      <c r="W256" s="208">
        <f>ROUND((ROUND((_15_同援日増３．０*(1+_15・A夜間)),0)*(1+_15・盲ろう)),0)</f>
        <v>610</v>
      </c>
      <c r="X256" s="48"/>
    </row>
    <row r="257" spans="1:24" ht="16.5" customHeight="1" x14ac:dyDescent="0.15">
      <c r="A257" s="41">
        <v>15</v>
      </c>
      <c r="B257" s="41" t="s">
        <v>24976</v>
      </c>
      <c r="C257" s="74" t="s">
        <v>24977</v>
      </c>
      <c r="D257" s="72"/>
      <c r="F257" s="57"/>
      <c r="G257" s="43"/>
      <c r="H257" s="37"/>
      <c r="I257" s="38"/>
      <c r="J257" s="299" t="s">
        <v>17556</v>
      </c>
      <c r="K257" s="45" t="s">
        <v>398</v>
      </c>
      <c r="L257" s="46">
        <v>1</v>
      </c>
      <c r="M257" s="512"/>
      <c r="N257" s="57"/>
      <c r="O257" s="92" t="s">
        <v>17564</v>
      </c>
      <c r="R257" s="57"/>
      <c r="S257" s="35"/>
      <c r="V257" s="57"/>
      <c r="W257" s="208">
        <f>ROUND((ROUND((ROUND((_15_同援日増３．０*_15・２人),0)*(1+_15・A夜間)),0)*(1+_15・盲ろう)),0)</f>
        <v>610</v>
      </c>
      <c r="X257" s="48"/>
    </row>
    <row r="258" spans="1:24" ht="16.5" customHeight="1" x14ac:dyDescent="0.15">
      <c r="A258" s="41">
        <v>15</v>
      </c>
      <c r="B258" s="41" t="s">
        <v>24978</v>
      </c>
      <c r="C258" s="74" t="s">
        <v>24979</v>
      </c>
      <c r="D258" s="72"/>
      <c r="F258" s="57"/>
      <c r="G258" s="114" t="s">
        <v>17558</v>
      </c>
      <c r="H258" s="49"/>
      <c r="I258" s="50"/>
      <c r="J258" s="163"/>
      <c r="K258" s="45"/>
      <c r="L258" s="46"/>
      <c r="M258" s="512"/>
      <c r="N258" s="57"/>
      <c r="O258" s="35"/>
      <c r="P258" s="12" t="s">
        <v>398</v>
      </c>
      <c r="Q258" s="13">
        <v>0.25</v>
      </c>
      <c r="R258" s="57" t="s">
        <v>3575</v>
      </c>
      <c r="S258" s="35"/>
      <c r="V258" s="57"/>
      <c r="W258" s="208">
        <f>ROUND((ROUND((ROUND((_15_同援日増３．０*_15・基礎２),0)*(1+_15・A夜間)),0)*(1+_15・盲ろう)),0)</f>
        <v>549</v>
      </c>
      <c r="X258" s="48"/>
    </row>
    <row r="259" spans="1:24" ht="16.5" customHeight="1" x14ac:dyDescent="0.15">
      <c r="A259" s="41">
        <v>15</v>
      </c>
      <c r="B259" s="41" t="s">
        <v>24980</v>
      </c>
      <c r="C259" s="74" t="s">
        <v>24981</v>
      </c>
      <c r="D259" s="72"/>
      <c r="F259" s="57"/>
      <c r="G259" s="269" t="s">
        <v>17560</v>
      </c>
      <c r="H259" s="37" t="s">
        <v>398</v>
      </c>
      <c r="I259" s="38">
        <v>0.9</v>
      </c>
      <c r="J259" s="299" t="s">
        <v>17556</v>
      </c>
      <c r="K259" s="45" t="s">
        <v>398</v>
      </c>
      <c r="L259" s="46">
        <v>1</v>
      </c>
      <c r="M259" s="512"/>
      <c r="N259" s="57"/>
      <c r="O259" s="43"/>
      <c r="P259" s="37"/>
      <c r="Q259" s="38"/>
      <c r="R259" s="79"/>
      <c r="S259" s="43"/>
      <c r="T259" s="37"/>
      <c r="U259" s="38"/>
      <c r="V259" s="79"/>
      <c r="W259" s="208">
        <f>ROUND((ROUND((ROUND((ROUND((_15_同援日増３．０*_15・基礎２),0)*_15・２人),0)*(1+_15・A夜間)),0)*(1+_15・盲ろう)),0)</f>
        <v>549</v>
      </c>
      <c r="X259" s="48"/>
    </row>
    <row r="260" spans="1:24" ht="16.5" customHeight="1" x14ac:dyDescent="0.15">
      <c r="A260" s="41">
        <v>15</v>
      </c>
      <c r="B260" s="41" t="s">
        <v>24982</v>
      </c>
      <c r="C260" s="74" t="s">
        <v>24983</v>
      </c>
      <c r="D260" s="72"/>
      <c r="F260" s="57"/>
      <c r="G260" s="53"/>
      <c r="H260" s="49"/>
      <c r="I260" s="50"/>
      <c r="J260" s="163"/>
      <c r="K260" s="45"/>
      <c r="L260" s="46"/>
      <c r="M260" s="512"/>
      <c r="N260" s="57"/>
      <c r="O260" s="53"/>
      <c r="P260" s="49"/>
      <c r="Q260" s="50"/>
      <c r="R260" s="115"/>
      <c r="S260" s="53"/>
      <c r="T260" s="49"/>
      <c r="U260" s="50"/>
      <c r="V260" s="115"/>
      <c r="W260" s="208">
        <f>ROUND((ROUND((_15_同援日増３．０*(1+_15・A夜間)),0)*(1+_15・区３)),0)</f>
        <v>586</v>
      </c>
      <c r="X260" s="48"/>
    </row>
    <row r="261" spans="1:24" ht="16.5" customHeight="1" x14ac:dyDescent="0.15">
      <c r="A261" s="41">
        <v>15</v>
      </c>
      <c r="B261" s="41" t="s">
        <v>24984</v>
      </c>
      <c r="C261" s="74" t="s">
        <v>24985</v>
      </c>
      <c r="D261" s="72"/>
      <c r="F261" s="57"/>
      <c r="G261" s="43"/>
      <c r="H261" s="37"/>
      <c r="I261" s="38"/>
      <c r="J261" s="299" t="s">
        <v>17556</v>
      </c>
      <c r="K261" s="45" t="s">
        <v>398</v>
      </c>
      <c r="L261" s="46">
        <v>1</v>
      </c>
      <c r="M261" s="512"/>
      <c r="N261" s="57"/>
      <c r="O261" s="35"/>
      <c r="R261" s="57"/>
      <c r="S261" s="35"/>
      <c r="V261" s="57"/>
      <c r="W261" s="208">
        <f>ROUND((ROUND((ROUND((_15_同援日増３．０*_15・２人),0)*(1+_15・A夜間)),0)*(1+_15・区３)),0)</f>
        <v>586</v>
      </c>
      <c r="X261" s="48"/>
    </row>
    <row r="262" spans="1:24" ht="16.5" customHeight="1" x14ac:dyDescent="0.15">
      <c r="A262" s="41">
        <v>15</v>
      </c>
      <c r="B262" s="41" t="s">
        <v>24986</v>
      </c>
      <c r="C262" s="74" t="s">
        <v>24987</v>
      </c>
      <c r="D262" s="72"/>
      <c r="F262" s="57"/>
      <c r="G262" s="114" t="s">
        <v>17558</v>
      </c>
      <c r="H262" s="49"/>
      <c r="I262" s="50"/>
      <c r="J262" s="163"/>
      <c r="K262" s="45"/>
      <c r="L262" s="46"/>
      <c r="M262" s="512"/>
      <c r="N262" s="57"/>
      <c r="O262" s="35"/>
      <c r="R262" s="57"/>
      <c r="S262" s="72" t="s">
        <v>17570</v>
      </c>
      <c r="V262" s="57"/>
      <c r="W262" s="208">
        <f>ROUND((ROUND((ROUND((_15_同援日増３．０*_15・基礎２),0)*(1+_15・A夜間)),0)*(1+_15・区３)),0)</f>
        <v>527</v>
      </c>
      <c r="X262" s="48"/>
    </row>
    <row r="263" spans="1:24" ht="16.5" customHeight="1" x14ac:dyDescent="0.15">
      <c r="A263" s="41">
        <v>15</v>
      </c>
      <c r="B263" s="41" t="s">
        <v>24988</v>
      </c>
      <c r="C263" s="74" t="s">
        <v>24989</v>
      </c>
      <c r="D263" s="72"/>
      <c r="F263" s="57"/>
      <c r="G263" s="269" t="s">
        <v>17560</v>
      </c>
      <c r="H263" s="37" t="s">
        <v>398</v>
      </c>
      <c r="I263" s="38">
        <v>0.9</v>
      </c>
      <c r="J263" s="299" t="s">
        <v>17556</v>
      </c>
      <c r="K263" s="45" t="s">
        <v>398</v>
      </c>
      <c r="L263" s="46">
        <v>1</v>
      </c>
      <c r="M263" s="512"/>
      <c r="N263" s="57"/>
      <c r="O263" s="43"/>
      <c r="P263" s="37"/>
      <c r="Q263" s="38"/>
      <c r="R263" s="79"/>
      <c r="S263" s="72" t="s">
        <v>17572</v>
      </c>
      <c r="V263" s="57"/>
      <c r="W263" s="208">
        <f>ROUND((ROUND((ROUND((ROUND((_15_同援日増３．０*_15・基礎２),0)*_15・２人),0)*(1+_15・A夜間)),0)*(1+_15・区３)),0)</f>
        <v>527</v>
      </c>
      <c r="X263" s="48"/>
    </row>
    <row r="264" spans="1:24" ht="16.5" customHeight="1" x14ac:dyDescent="0.15">
      <c r="A264" s="41">
        <v>15</v>
      </c>
      <c r="B264" s="41" t="s">
        <v>24990</v>
      </c>
      <c r="C264" s="74" t="s">
        <v>24991</v>
      </c>
      <c r="D264" s="72"/>
      <c r="F264" s="57"/>
      <c r="G264" s="53"/>
      <c r="H264" s="49"/>
      <c r="I264" s="50"/>
      <c r="J264" s="163"/>
      <c r="K264" s="45"/>
      <c r="L264" s="46"/>
      <c r="M264" s="512"/>
      <c r="N264" s="57"/>
      <c r="O264" s="114" t="s">
        <v>17562</v>
      </c>
      <c r="P264" s="49"/>
      <c r="Q264" s="50"/>
      <c r="R264" s="115"/>
      <c r="S264" s="35"/>
      <c r="T264" s="12" t="s">
        <v>398</v>
      </c>
      <c r="U264" s="13">
        <v>0.2</v>
      </c>
      <c r="V264" s="57" t="s">
        <v>3575</v>
      </c>
      <c r="W264" s="208">
        <f>ROUND((ROUND((ROUND((_15_同援日増３．０*(1+_15・A夜間)),0)*(1+_15・盲ろう)),0)*(1+_15・区３)),0)</f>
        <v>732</v>
      </c>
      <c r="X264" s="48"/>
    </row>
    <row r="265" spans="1:24" ht="16.5" customHeight="1" x14ac:dyDescent="0.15">
      <c r="A265" s="41">
        <v>15</v>
      </c>
      <c r="B265" s="41" t="s">
        <v>24992</v>
      </c>
      <c r="C265" s="74" t="s">
        <v>24993</v>
      </c>
      <c r="D265" s="72"/>
      <c r="F265" s="57"/>
      <c r="G265" s="43"/>
      <c r="H265" s="37"/>
      <c r="I265" s="38"/>
      <c r="J265" s="299" t="s">
        <v>17556</v>
      </c>
      <c r="K265" s="45" t="s">
        <v>398</v>
      </c>
      <c r="L265" s="46">
        <v>1</v>
      </c>
      <c r="M265" s="512"/>
      <c r="N265" s="57"/>
      <c r="O265" s="92" t="s">
        <v>17564</v>
      </c>
      <c r="R265" s="57"/>
      <c r="S265" s="35"/>
      <c r="V265" s="57"/>
      <c r="W265" s="208">
        <f>ROUND((ROUND((ROUND((ROUND((_15_同援日増３．０*_15・２人),0)*(1+_15・A夜間)),0)*(1+_15・盲ろう)),0)*(1+_15・区３)),0)</f>
        <v>732</v>
      </c>
      <c r="X265" s="48"/>
    </row>
    <row r="266" spans="1:24" ht="16.5" customHeight="1" x14ac:dyDescent="0.15">
      <c r="A266" s="41">
        <v>15</v>
      </c>
      <c r="B266" s="41" t="s">
        <v>2218</v>
      </c>
      <c r="C266" s="74" t="s">
        <v>24994</v>
      </c>
      <c r="D266" s="72"/>
      <c r="F266" s="57"/>
      <c r="G266" s="114" t="s">
        <v>17558</v>
      </c>
      <c r="H266" s="49"/>
      <c r="I266" s="50"/>
      <c r="J266" s="163"/>
      <c r="K266" s="45"/>
      <c r="L266" s="46"/>
      <c r="M266" s="512"/>
      <c r="N266" s="57"/>
      <c r="O266" s="35"/>
      <c r="P266" s="12" t="s">
        <v>398</v>
      </c>
      <c r="Q266" s="13">
        <v>0.25</v>
      </c>
      <c r="R266" s="57" t="s">
        <v>3575</v>
      </c>
      <c r="S266" s="35"/>
      <c r="V266" s="57"/>
      <c r="W266" s="208">
        <f>ROUND((ROUND((ROUND((ROUND((_15_同援日増３．０*_15・基礎２),0)*(1+_15・A夜間)),0)*(1+_15・盲ろう)),0)*(1+_15・区３)),0)</f>
        <v>659</v>
      </c>
      <c r="X266" s="48"/>
    </row>
    <row r="267" spans="1:24" ht="16.5" customHeight="1" x14ac:dyDescent="0.15">
      <c r="A267" s="41">
        <v>15</v>
      </c>
      <c r="B267" s="41" t="s">
        <v>2220</v>
      </c>
      <c r="C267" s="74" t="s">
        <v>24995</v>
      </c>
      <c r="D267" s="72"/>
      <c r="F267" s="57"/>
      <c r="G267" s="269" t="s">
        <v>17560</v>
      </c>
      <c r="H267" s="37" t="s">
        <v>398</v>
      </c>
      <c r="I267" s="38">
        <v>0.9</v>
      </c>
      <c r="J267" s="299" t="s">
        <v>17556</v>
      </c>
      <c r="K267" s="45" t="s">
        <v>398</v>
      </c>
      <c r="L267" s="46">
        <v>1</v>
      </c>
      <c r="M267" s="512"/>
      <c r="N267" s="57"/>
      <c r="O267" s="43"/>
      <c r="P267" s="37"/>
      <c r="Q267" s="38"/>
      <c r="R267" s="79"/>
      <c r="S267" s="43"/>
      <c r="T267" s="37"/>
      <c r="U267" s="38"/>
      <c r="V267" s="79"/>
      <c r="W267" s="208">
        <f>ROUND((ROUND((ROUND((ROUND((ROUND((_15_同援日増３．０*_15・基礎２),0)*_15・２人),0)*(1+_15・A夜間)),0)*(1+_15・盲ろう)),0)*(1+_15・区３)),0)</f>
        <v>659</v>
      </c>
      <c r="X267" s="48"/>
    </row>
    <row r="268" spans="1:24" ht="16.5" customHeight="1" x14ac:dyDescent="0.15">
      <c r="A268" s="41">
        <v>15</v>
      </c>
      <c r="B268" s="41" t="s">
        <v>2222</v>
      </c>
      <c r="C268" s="74" t="s">
        <v>24996</v>
      </c>
      <c r="D268" s="72"/>
      <c r="F268" s="57"/>
      <c r="G268" s="53"/>
      <c r="H268" s="49"/>
      <c r="I268" s="50"/>
      <c r="J268" s="163"/>
      <c r="K268" s="45"/>
      <c r="L268" s="46"/>
      <c r="M268" s="512"/>
      <c r="N268" s="57"/>
      <c r="O268" s="53"/>
      <c r="P268" s="49"/>
      <c r="Q268" s="50"/>
      <c r="R268" s="115"/>
      <c r="S268" s="53"/>
      <c r="T268" s="49"/>
      <c r="U268" s="50"/>
      <c r="V268" s="115"/>
      <c r="W268" s="208">
        <f>ROUND((ROUND((_15_同援日増３．０*(1+_15・A夜間)),0)*(1+_15・区４)),0)</f>
        <v>683</v>
      </c>
      <c r="X268" s="48"/>
    </row>
    <row r="269" spans="1:24" ht="16.5" customHeight="1" x14ac:dyDescent="0.15">
      <c r="A269" s="41">
        <v>15</v>
      </c>
      <c r="B269" s="41" t="s">
        <v>2224</v>
      </c>
      <c r="C269" s="74" t="s">
        <v>24997</v>
      </c>
      <c r="D269" s="72"/>
      <c r="F269" s="57"/>
      <c r="G269" s="43"/>
      <c r="H269" s="37"/>
      <c r="I269" s="38"/>
      <c r="J269" s="299" t="s">
        <v>17556</v>
      </c>
      <c r="K269" s="45" t="s">
        <v>398</v>
      </c>
      <c r="L269" s="46">
        <v>1</v>
      </c>
      <c r="M269" s="512"/>
      <c r="N269" s="57"/>
      <c r="O269" s="35"/>
      <c r="R269" s="57"/>
      <c r="S269" s="35"/>
      <c r="V269" s="57"/>
      <c r="W269" s="208">
        <f>ROUND((ROUND((ROUND((_15_同援日増３．０*_15・２人),0)*(1+_15・A夜間)),0)*(1+_15・区４)),0)</f>
        <v>683</v>
      </c>
      <c r="X269" s="48"/>
    </row>
    <row r="270" spans="1:24" ht="16.5" customHeight="1" x14ac:dyDescent="0.15">
      <c r="A270" s="41">
        <v>15</v>
      </c>
      <c r="B270" s="41" t="s">
        <v>24998</v>
      </c>
      <c r="C270" s="74" t="s">
        <v>24999</v>
      </c>
      <c r="D270" s="72"/>
      <c r="F270" s="57"/>
      <c r="G270" s="114" t="s">
        <v>17558</v>
      </c>
      <c r="H270" s="49"/>
      <c r="I270" s="50"/>
      <c r="J270" s="163"/>
      <c r="K270" s="45"/>
      <c r="L270" s="46"/>
      <c r="M270" s="512"/>
      <c r="N270" s="57"/>
      <c r="O270" s="35"/>
      <c r="R270" s="57"/>
      <c r="S270" s="72" t="s">
        <v>17580</v>
      </c>
      <c r="V270" s="57"/>
      <c r="W270" s="208">
        <f>ROUND((ROUND((ROUND((_15_同援日増３．０*_15・基礎２),0)*(1+_15・A夜間)),0)*(1+_15・区４)),0)</f>
        <v>615</v>
      </c>
      <c r="X270" s="48"/>
    </row>
    <row r="271" spans="1:24" ht="16.5" customHeight="1" x14ac:dyDescent="0.15">
      <c r="A271" s="41">
        <v>15</v>
      </c>
      <c r="B271" s="41" t="s">
        <v>25000</v>
      </c>
      <c r="C271" s="74" t="s">
        <v>25001</v>
      </c>
      <c r="D271" s="72"/>
      <c r="F271" s="57"/>
      <c r="G271" s="269" t="s">
        <v>17560</v>
      </c>
      <c r="H271" s="37" t="s">
        <v>398</v>
      </c>
      <c r="I271" s="38">
        <v>0.9</v>
      </c>
      <c r="J271" s="299" t="s">
        <v>17556</v>
      </c>
      <c r="K271" s="45" t="s">
        <v>398</v>
      </c>
      <c r="L271" s="46">
        <v>1</v>
      </c>
      <c r="M271" s="512"/>
      <c r="N271" s="57"/>
      <c r="O271" s="43"/>
      <c r="P271" s="37"/>
      <c r="Q271" s="38"/>
      <c r="R271" s="79"/>
      <c r="S271" s="72" t="s">
        <v>17572</v>
      </c>
      <c r="V271" s="57"/>
      <c r="W271" s="208">
        <f>ROUND((ROUND((ROUND((ROUND((_15_同援日増３．０*_15・基礎２),0)*_15・２人),0)*(1+_15・A夜間)),0)*(1+_15・区４)),0)</f>
        <v>615</v>
      </c>
      <c r="X271" s="48"/>
    </row>
    <row r="272" spans="1:24" ht="16.5" customHeight="1" x14ac:dyDescent="0.15">
      <c r="A272" s="41">
        <v>15</v>
      </c>
      <c r="B272" s="41" t="s">
        <v>25002</v>
      </c>
      <c r="C272" s="74" t="s">
        <v>25003</v>
      </c>
      <c r="D272" s="72"/>
      <c r="F272" s="57"/>
      <c r="G272" s="53"/>
      <c r="H272" s="49"/>
      <c r="I272" s="50"/>
      <c r="J272" s="163"/>
      <c r="K272" s="45"/>
      <c r="L272" s="46"/>
      <c r="M272" s="512"/>
      <c r="N272" s="57"/>
      <c r="O272" s="114" t="s">
        <v>17562</v>
      </c>
      <c r="P272" s="49"/>
      <c r="Q272" s="50"/>
      <c r="R272" s="115"/>
      <c r="S272" s="35"/>
      <c r="T272" s="12" t="s">
        <v>398</v>
      </c>
      <c r="U272" s="13">
        <v>0.4</v>
      </c>
      <c r="V272" s="57" t="s">
        <v>3575</v>
      </c>
      <c r="W272" s="208">
        <f>ROUND((ROUND((ROUND((_15_同援日増３．０*(1+_15・A夜間)),0)*(1+_15・盲ろう)),0)*(1+_15・区４)),0)</f>
        <v>854</v>
      </c>
      <c r="X272" s="48"/>
    </row>
    <row r="273" spans="1:24" ht="16.5" customHeight="1" x14ac:dyDescent="0.15">
      <c r="A273" s="41">
        <v>15</v>
      </c>
      <c r="B273" s="41" t="s">
        <v>25004</v>
      </c>
      <c r="C273" s="74" t="s">
        <v>25005</v>
      </c>
      <c r="D273" s="72"/>
      <c r="F273" s="57"/>
      <c r="G273" s="43"/>
      <c r="H273" s="37"/>
      <c r="I273" s="38"/>
      <c r="J273" s="299" t="s">
        <v>17556</v>
      </c>
      <c r="K273" s="45" t="s">
        <v>398</v>
      </c>
      <c r="L273" s="46">
        <v>1</v>
      </c>
      <c r="M273" s="512"/>
      <c r="N273" s="57"/>
      <c r="O273" s="92" t="s">
        <v>17564</v>
      </c>
      <c r="R273" s="57"/>
      <c r="S273" s="35"/>
      <c r="V273" s="57"/>
      <c r="W273" s="208">
        <f>ROUND((ROUND((ROUND((ROUND((_15_同援日増３．０*_15・２人),0)*(1+_15・A夜間)),0)*(1+_15・盲ろう)),0)*(1+_15・区４)),0)</f>
        <v>854</v>
      </c>
      <c r="X273" s="48"/>
    </row>
    <row r="274" spans="1:24" ht="16.5" customHeight="1" x14ac:dyDescent="0.15">
      <c r="A274" s="41">
        <v>15</v>
      </c>
      <c r="B274" s="41" t="s">
        <v>25006</v>
      </c>
      <c r="C274" s="74" t="s">
        <v>25007</v>
      </c>
      <c r="D274" s="72"/>
      <c r="F274" s="57"/>
      <c r="G274" s="114" t="s">
        <v>17558</v>
      </c>
      <c r="H274" s="49"/>
      <c r="I274" s="50"/>
      <c r="J274" s="163"/>
      <c r="K274" s="45"/>
      <c r="L274" s="46"/>
      <c r="M274" s="512"/>
      <c r="N274" s="57"/>
      <c r="O274" s="35"/>
      <c r="P274" s="12" t="s">
        <v>398</v>
      </c>
      <c r="Q274" s="13">
        <v>0.25</v>
      </c>
      <c r="R274" s="57" t="s">
        <v>3575</v>
      </c>
      <c r="S274" s="35"/>
      <c r="V274" s="57"/>
      <c r="W274" s="208">
        <f>ROUND((ROUND((ROUND((ROUND((_15_同援日増３．０*_15・基礎２),0)*(1+_15・A夜間)),0)*(1+_15・盲ろう)),0)*(1+_15・区４)),0)</f>
        <v>769</v>
      </c>
      <c r="X274" s="48"/>
    </row>
    <row r="275" spans="1:24" ht="16.5" customHeight="1" x14ac:dyDescent="0.15">
      <c r="A275" s="41">
        <v>15</v>
      </c>
      <c r="B275" s="41" t="s">
        <v>25008</v>
      </c>
      <c r="C275" s="74" t="s">
        <v>25009</v>
      </c>
      <c r="D275" s="122"/>
      <c r="E275" s="37"/>
      <c r="F275" s="79"/>
      <c r="G275" s="269" t="s">
        <v>17560</v>
      </c>
      <c r="H275" s="37" t="s">
        <v>398</v>
      </c>
      <c r="I275" s="38">
        <v>0.9</v>
      </c>
      <c r="J275" s="299" t="s">
        <v>17556</v>
      </c>
      <c r="K275" s="45" t="s">
        <v>398</v>
      </c>
      <c r="L275" s="46">
        <v>1</v>
      </c>
      <c r="M275" s="512"/>
      <c r="N275" s="57"/>
      <c r="O275" s="43"/>
      <c r="P275" s="37"/>
      <c r="Q275" s="38"/>
      <c r="R275" s="79"/>
      <c r="S275" s="43"/>
      <c r="T275" s="37"/>
      <c r="U275" s="38"/>
      <c r="V275" s="79"/>
      <c r="W275" s="208">
        <f>ROUND((ROUND((ROUND((ROUND((ROUND((_15_同援日増３．０*_15・基礎２),0)*_15・２人),0)*(1+_15・A夜間)),0)*(1+_15・盲ろう)),0)*(1+_15・区４)),0)</f>
        <v>769</v>
      </c>
      <c r="X275" s="48"/>
    </row>
    <row r="276" spans="1:24" ht="16.5" customHeight="1" x14ac:dyDescent="0.15">
      <c r="A276" s="41">
        <v>15</v>
      </c>
      <c r="B276" s="41" t="s">
        <v>25010</v>
      </c>
      <c r="C276" s="74" t="s">
        <v>25011</v>
      </c>
      <c r="D276" s="114" t="s">
        <v>25012</v>
      </c>
      <c r="E276" s="49"/>
      <c r="F276" s="115"/>
      <c r="G276" s="53"/>
      <c r="H276" s="49"/>
      <c r="I276" s="50"/>
      <c r="J276" s="163"/>
      <c r="K276" s="45"/>
      <c r="L276" s="46"/>
      <c r="M276" s="512"/>
      <c r="N276" s="57"/>
      <c r="O276" s="53"/>
      <c r="P276" s="49"/>
      <c r="Q276" s="50"/>
      <c r="R276" s="115"/>
      <c r="S276" s="53"/>
      <c r="T276" s="49"/>
      <c r="U276" s="50"/>
      <c r="V276" s="115"/>
      <c r="W276" s="208">
        <f>ROUND((_15_同援日増３．５*(1+_15・A夜間)),0)</f>
        <v>569</v>
      </c>
      <c r="X276" s="48"/>
    </row>
    <row r="277" spans="1:24" ht="16.5" customHeight="1" x14ac:dyDescent="0.15">
      <c r="A277" s="41">
        <v>15</v>
      </c>
      <c r="B277" s="41" t="s">
        <v>25013</v>
      </c>
      <c r="C277" s="74" t="s">
        <v>25014</v>
      </c>
      <c r="D277" s="72" t="s">
        <v>17724</v>
      </c>
      <c r="F277" s="57"/>
      <c r="G277" s="43"/>
      <c r="H277" s="37"/>
      <c r="I277" s="38"/>
      <c r="J277" s="299" t="s">
        <v>17556</v>
      </c>
      <c r="K277" s="45" t="s">
        <v>398</v>
      </c>
      <c r="L277" s="46">
        <v>1</v>
      </c>
      <c r="M277" s="512"/>
      <c r="N277" s="57"/>
      <c r="O277" s="35"/>
      <c r="R277" s="57"/>
      <c r="S277" s="35"/>
      <c r="V277" s="57"/>
      <c r="W277" s="208">
        <f>ROUND((ROUND((_15_同援日増３．５*_15・２人),0)*(1+_15・A夜間)),0)</f>
        <v>569</v>
      </c>
      <c r="X277" s="48"/>
    </row>
    <row r="278" spans="1:24" ht="16.5" customHeight="1" x14ac:dyDescent="0.15">
      <c r="A278" s="41">
        <v>15</v>
      </c>
      <c r="B278" s="41" t="s">
        <v>25015</v>
      </c>
      <c r="C278" s="74" t="s">
        <v>25016</v>
      </c>
      <c r="D278" s="72" t="s">
        <v>17726</v>
      </c>
      <c r="F278" s="57"/>
      <c r="G278" s="114" t="s">
        <v>17558</v>
      </c>
      <c r="H278" s="49"/>
      <c r="I278" s="50"/>
      <c r="J278" s="163"/>
      <c r="K278" s="45"/>
      <c r="L278" s="46"/>
      <c r="M278" s="512"/>
      <c r="N278" s="57"/>
      <c r="O278" s="35"/>
      <c r="R278" s="57"/>
      <c r="S278" s="35"/>
      <c r="V278" s="57"/>
      <c r="W278" s="208">
        <f>ROUND((ROUND((_15_同援日増３．５*_15・基礎２),0)*(1+_15・A夜間)),0)</f>
        <v>513</v>
      </c>
      <c r="X278" s="48"/>
    </row>
    <row r="279" spans="1:24" ht="16.5" customHeight="1" x14ac:dyDescent="0.15">
      <c r="A279" s="41">
        <v>15</v>
      </c>
      <c r="B279" s="41" t="s">
        <v>25017</v>
      </c>
      <c r="C279" s="74" t="s">
        <v>25018</v>
      </c>
      <c r="D279" s="72"/>
      <c r="E279" s="168">
        <f>_15_同援日増３．５</f>
        <v>455</v>
      </c>
      <c r="F279" s="57" t="s">
        <v>392</v>
      </c>
      <c r="G279" s="269" t="s">
        <v>17560</v>
      </c>
      <c r="H279" s="37" t="s">
        <v>398</v>
      </c>
      <c r="I279" s="38">
        <v>0.9</v>
      </c>
      <c r="J279" s="299" t="s">
        <v>17556</v>
      </c>
      <c r="K279" s="45" t="s">
        <v>398</v>
      </c>
      <c r="L279" s="46">
        <v>1</v>
      </c>
      <c r="M279" s="512"/>
      <c r="N279" s="57"/>
      <c r="O279" s="43"/>
      <c r="P279" s="37"/>
      <c r="Q279" s="38"/>
      <c r="R279" s="79"/>
      <c r="S279" s="35"/>
      <c r="V279" s="57"/>
      <c r="W279" s="208">
        <f>ROUND((ROUND((ROUND((_15_同援日増３．５*_15・基礎２),0)*_15・２人),0)*(1+_15・A夜間)),0)</f>
        <v>513</v>
      </c>
      <c r="X279" s="48"/>
    </row>
    <row r="280" spans="1:24" ht="16.5" customHeight="1" x14ac:dyDescent="0.15">
      <c r="A280" s="41">
        <v>15</v>
      </c>
      <c r="B280" s="41" t="s">
        <v>25019</v>
      </c>
      <c r="C280" s="74" t="s">
        <v>25020</v>
      </c>
      <c r="D280" s="72"/>
      <c r="F280" s="57"/>
      <c r="G280" s="53"/>
      <c r="H280" s="49"/>
      <c r="I280" s="50"/>
      <c r="J280" s="163"/>
      <c r="K280" s="45"/>
      <c r="L280" s="46"/>
      <c r="M280" s="512"/>
      <c r="N280" s="57"/>
      <c r="O280" s="114" t="s">
        <v>17562</v>
      </c>
      <c r="P280" s="49"/>
      <c r="Q280" s="50"/>
      <c r="R280" s="115"/>
      <c r="S280" s="35"/>
      <c r="V280" s="57"/>
      <c r="W280" s="208">
        <f>ROUND((ROUND((_15_同援日増３．５*(1+_15・A夜間)),0)*(1+_15・盲ろう)),0)</f>
        <v>711</v>
      </c>
      <c r="X280" s="48"/>
    </row>
    <row r="281" spans="1:24" ht="16.5" customHeight="1" x14ac:dyDescent="0.15">
      <c r="A281" s="41">
        <v>15</v>
      </c>
      <c r="B281" s="41" t="s">
        <v>25021</v>
      </c>
      <c r="C281" s="74" t="s">
        <v>25022</v>
      </c>
      <c r="D281" s="72"/>
      <c r="F281" s="57"/>
      <c r="G281" s="43"/>
      <c r="H281" s="37"/>
      <c r="I281" s="38"/>
      <c r="J281" s="299" t="s">
        <v>17556</v>
      </c>
      <c r="K281" s="45" t="s">
        <v>398</v>
      </c>
      <c r="L281" s="46">
        <v>1</v>
      </c>
      <c r="M281" s="512"/>
      <c r="N281" s="57"/>
      <c r="O281" s="92" t="s">
        <v>17564</v>
      </c>
      <c r="R281" s="57"/>
      <c r="S281" s="35"/>
      <c r="V281" s="57"/>
      <c r="W281" s="208">
        <f>ROUND((ROUND((ROUND((_15_同援日増３．５*_15・２人),0)*(1+_15・A夜間)),0)*(1+_15・盲ろう)),0)</f>
        <v>711</v>
      </c>
      <c r="X281" s="48"/>
    </row>
    <row r="282" spans="1:24" ht="16.5" customHeight="1" x14ac:dyDescent="0.15">
      <c r="A282" s="41">
        <v>15</v>
      </c>
      <c r="B282" s="41" t="s">
        <v>25023</v>
      </c>
      <c r="C282" s="74" t="s">
        <v>25024</v>
      </c>
      <c r="D282" s="72"/>
      <c r="F282" s="57"/>
      <c r="G282" s="114" t="s">
        <v>17558</v>
      </c>
      <c r="H282" s="49"/>
      <c r="I282" s="50"/>
      <c r="J282" s="163"/>
      <c r="K282" s="45"/>
      <c r="L282" s="46"/>
      <c r="M282" s="512"/>
      <c r="N282" s="57"/>
      <c r="O282" s="35"/>
      <c r="P282" s="12" t="s">
        <v>398</v>
      </c>
      <c r="Q282" s="13">
        <v>0.25</v>
      </c>
      <c r="R282" s="57" t="s">
        <v>3575</v>
      </c>
      <c r="S282" s="35"/>
      <c r="V282" s="57"/>
      <c r="W282" s="208">
        <f>ROUND((ROUND((ROUND((_15_同援日増３．５*_15・基礎２),0)*(1+_15・A夜間)),0)*(1+_15・盲ろう)),0)</f>
        <v>641</v>
      </c>
      <c r="X282" s="48"/>
    </row>
    <row r="283" spans="1:24" ht="16.5" customHeight="1" x14ac:dyDescent="0.15">
      <c r="A283" s="41">
        <v>15</v>
      </c>
      <c r="B283" s="41" t="s">
        <v>25025</v>
      </c>
      <c r="C283" s="74" t="s">
        <v>25026</v>
      </c>
      <c r="D283" s="72"/>
      <c r="F283" s="57"/>
      <c r="G283" s="269" t="s">
        <v>17560</v>
      </c>
      <c r="H283" s="37" t="s">
        <v>398</v>
      </c>
      <c r="I283" s="38">
        <v>0.9</v>
      </c>
      <c r="J283" s="299" t="s">
        <v>17556</v>
      </c>
      <c r="K283" s="45" t="s">
        <v>398</v>
      </c>
      <c r="L283" s="46">
        <v>1</v>
      </c>
      <c r="M283" s="512"/>
      <c r="N283" s="57"/>
      <c r="O283" s="43"/>
      <c r="P283" s="37"/>
      <c r="Q283" s="38"/>
      <c r="R283" s="79"/>
      <c r="S283" s="43"/>
      <c r="T283" s="37"/>
      <c r="U283" s="38"/>
      <c r="V283" s="79"/>
      <c r="W283" s="208">
        <f>ROUND((ROUND((ROUND((ROUND((_15_同援日増３．５*_15・基礎２),0)*_15・２人),0)*(1+_15・A夜間)),0)*(1+_15・盲ろう)),0)</f>
        <v>641</v>
      </c>
      <c r="X283" s="48"/>
    </row>
    <row r="284" spans="1:24" ht="16.5" customHeight="1" x14ac:dyDescent="0.15">
      <c r="A284" s="41">
        <v>15</v>
      </c>
      <c r="B284" s="41" t="s">
        <v>25027</v>
      </c>
      <c r="C284" s="74" t="s">
        <v>25028</v>
      </c>
      <c r="D284" s="72"/>
      <c r="F284" s="57"/>
      <c r="G284" s="53"/>
      <c r="H284" s="49"/>
      <c r="I284" s="50"/>
      <c r="J284" s="163"/>
      <c r="K284" s="45"/>
      <c r="L284" s="46"/>
      <c r="M284" s="512"/>
      <c r="N284" s="57"/>
      <c r="O284" s="53"/>
      <c r="P284" s="49"/>
      <c r="Q284" s="50"/>
      <c r="R284" s="115"/>
      <c r="S284" s="53"/>
      <c r="T284" s="49"/>
      <c r="U284" s="50"/>
      <c r="V284" s="115"/>
      <c r="W284" s="208">
        <f>ROUND((ROUND((_15_同援日増３．５*(1+_15・A夜間)),0)*(1+_15・区３)),0)</f>
        <v>683</v>
      </c>
      <c r="X284" s="48"/>
    </row>
    <row r="285" spans="1:24" ht="16.5" customHeight="1" x14ac:dyDescent="0.15">
      <c r="A285" s="41">
        <v>15</v>
      </c>
      <c r="B285" s="41" t="s">
        <v>25029</v>
      </c>
      <c r="C285" s="74" t="s">
        <v>25030</v>
      </c>
      <c r="D285" s="72"/>
      <c r="F285" s="57"/>
      <c r="G285" s="43"/>
      <c r="H285" s="37"/>
      <c r="I285" s="38"/>
      <c r="J285" s="299" t="s">
        <v>17556</v>
      </c>
      <c r="K285" s="45" t="s">
        <v>398</v>
      </c>
      <c r="L285" s="46">
        <v>1</v>
      </c>
      <c r="M285" s="512"/>
      <c r="N285" s="57"/>
      <c r="O285" s="35"/>
      <c r="R285" s="57"/>
      <c r="S285" s="35"/>
      <c r="V285" s="57"/>
      <c r="W285" s="208">
        <f>ROUND((ROUND((ROUND((_15_同援日増３．５*_15・２人),0)*(1+_15・A夜間)),0)*(1+_15・区３)),0)</f>
        <v>683</v>
      </c>
      <c r="X285" s="48"/>
    </row>
    <row r="286" spans="1:24" ht="16.5" customHeight="1" x14ac:dyDescent="0.15">
      <c r="A286" s="41">
        <v>15</v>
      </c>
      <c r="B286" s="41" t="s">
        <v>2231</v>
      </c>
      <c r="C286" s="74" t="s">
        <v>25031</v>
      </c>
      <c r="D286" s="72"/>
      <c r="F286" s="57"/>
      <c r="G286" s="114" t="s">
        <v>17558</v>
      </c>
      <c r="H286" s="49"/>
      <c r="I286" s="50"/>
      <c r="J286" s="163"/>
      <c r="K286" s="45"/>
      <c r="L286" s="46"/>
      <c r="M286" s="512"/>
      <c r="N286" s="57"/>
      <c r="O286" s="35"/>
      <c r="R286" s="57"/>
      <c r="S286" s="72" t="s">
        <v>17570</v>
      </c>
      <c r="V286" s="57"/>
      <c r="W286" s="208">
        <f>ROUND((ROUND((ROUND((_15_同援日増３．５*_15・基礎２),0)*(1+_15・A夜間)),0)*(1+_15・区３)),0)</f>
        <v>616</v>
      </c>
      <c r="X286" s="48"/>
    </row>
    <row r="287" spans="1:24" ht="16.5" customHeight="1" x14ac:dyDescent="0.15">
      <c r="A287" s="41">
        <v>15</v>
      </c>
      <c r="B287" s="41" t="s">
        <v>2233</v>
      </c>
      <c r="C287" s="74" t="s">
        <v>25032</v>
      </c>
      <c r="D287" s="72"/>
      <c r="F287" s="57"/>
      <c r="G287" s="269" t="s">
        <v>17560</v>
      </c>
      <c r="H287" s="37" t="s">
        <v>398</v>
      </c>
      <c r="I287" s="38">
        <v>0.9</v>
      </c>
      <c r="J287" s="299" t="s">
        <v>17556</v>
      </c>
      <c r="K287" s="45" t="s">
        <v>398</v>
      </c>
      <c r="L287" s="46">
        <v>1</v>
      </c>
      <c r="M287" s="512"/>
      <c r="N287" s="57"/>
      <c r="O287" s="43"/>
      <c r="P287" s="37"/>
      <c r="Q287" s="38"/>
      <c r="R287" s="79"/>
      <c r="S287" s="72" t="s">
        <v>17572</v>
      </c>
      <c r="V287" s="57"/>
      <c r="W287" s="208">
        <f>ROUND((ROUND((ROUND((ROUND((_15_同援日増３．５*_15・基礎２),0)*_15・２人),0)*(1+_15・A夜間)),0)*(1+_15・区３)),0)</f>
        <v>616</v>
      </c>
      <c r="X287" s="48"/>
    </row>
    <row r="288" spans="1:24" ht="16.5" customHeight="1" x14ac:dyDescent="0.15">
      <c r="A288" s="41">
        <v>15</v>
      </c>
      <c r="B288" s="41" t="s">
        <v>2235</v>
      </c>
      <c r="C288" s="74" t="s">
        <v>25033</v>
      </c>
      <c r="D288" s="72"/>
      <c r="F288" s="57"/>
      <c r="G288" s="53"/>
      <c r="H288" s="49"/>
      <c r="I288" s="50"/>
      <c r="J288" s="163"/>
      <c r="K288" s="45"/>
      <c r="L288" s="46"/>
      <c r="M288" s="512"/>
      <c r="N288" s="57"/>
      <c r="O288" s="114" t="s">
        <v>17562</v>
      </c>
      <c r="P288" s="49"/>
      <c r="Q288" s="50"/>
      <c r="R288" s="115"/>
      <c r="S288" s="35"/>
      <c r="T288" s="12" t="s">
        <v>398</v>
      </c>
      <c r="U288" s="13">
        <v>0.2</v>
      </c>
      <c r="V288" s="57" t="s">
        <v>3575</v>
      </c>
      <c r="W288" s="208">
        <f>ROUND((ROUND((ROUND((_15_同援日増３．５*(1+_15・A夜間)),0)*(1+_15・盲ろう)),0)*(1+_15・区３)),0)</f>
        <v>853</v>
      </c>
      <c r="X288" s="48"/>
    </row>
    <row r="289" spans="1:24" ht="16.5" customHeight="1" x14ac:dyDescent="0.15">
      <c r="A289" s="41">
        <v>15</v>
      </c>
      <c r="B289" s="41" t="s">
        <v>2237</v>
      </c>
      <c r="C289" s="74" t="s">
        <v>25034</v>
      </c>
      <c r="D289" s="72"/>
      <c r="F289" s="57"/>
      <c r="G289" s="43"/>
      <c r="H289" s="37"/>
      <c r="I289" s="38"/>
      <c r="J289" s="299" t="s">
        <v>17556</v>
      </c>
      <c r="K289" s="45" t="s">
        <v>398</v>
      </c>
      <c r="L289" s="46">
        <v>1</v>
      </c>
      <c r="M289" s="512"/>
      <c r="N289" s="57"/>
      <c r="O289" s="92" t="s">
        <v>17564</v>
      </c>
      <c r="R289" s="57"/>
      <c r="S289" s="35"/>
      <c r="V289" s="57"/>
      <c r="W289" s="208">
        <f>ROUND((ROUND((ROUND((ROUND((_15_同援日増３．５*_15・２人),0)*(1+_15・A夜間)),0)*(1+_15・盲ろう)),0)*(1+_15・区３)),0)</f>
        <v>853</v>
      </c>
      <c r="X289" s="48"/>
    </row>
    <row r="290" spans="1:24" ht="16.5" customHeight="1" x14ac:dyDescent="0.15">
      <c r="A290" s="41">
        <v>15</v>
      </c>
      <c r="B290" s="41" t="s">
        <v>25035</v>
      </c>
      <c r="C290" s="74" t="s">
        <v>25036</v>
      </c>
      <c r="D290" s="72"/>
      <c r="F290" s="57"/>
      <c r="G290" s="114" t="s">
        <v>17558</v>
      </c>
      <c r="H290" s="49"/>
      <c r="I290" s="50"/>
      <c r="J290" s="163"/>
      <c r="K290" s="45"/>
      <c r="L290" s="46"/>
      <c r="M290" s="512"/>
      <c r="N290" s="57"/>
      <c r="O290" s="35"/>
      <c r="P290" s="12" t="s">
        <v>398</v>
      </c>
      <c r="Q290" s="13">
        <v>0.25</v>
      </c>
      <c r="R290" s="57" t="s">
        <v>3575</v>
      </c>
      <c r="S290" s="35"/>
      <c r="V290" s="57"/>
      <c r="W290" s="208">
        <f>ROUND((ROUND((ROUND((ROUND((_15_同援日増３．５*_15・基礎２),0)*(1+_15・A夜間)),0)*(1+_15・盲ろう)),0)*(1+_15・区３)),0)</f>
        <v>769</v>
      </c>
      <c r="X290" s="48"/>
    </row>
    <row r="291" spans="1:24" ht="16.5" customHeight="1" x14ac:dyDescent="0.15">
      <c r="A291" s="41">
        <v>15</v>
      </c>
      <c r="B291" s="41" t="s">
        <v>25037</v>
      </c>
      <c r="C291" s="74" t="s">
        <v>25038</v>
      </c>
      <c r="D291" s="72"/>
      <c r="F291" s="57"/>
      <c r="G291" s="269" t="s">
        <v>17560</v>
      </c>
      <c r="H291" s="37" t="s">
        <v>398</v>
      </c>
      <c r="I291" s="38">
        <v>0.9</v>
      </c>
      <c r="J291" s="299" t="s">
        <v>17556</v>
      </c>
      <c r="K291" s="45" t="s">
        <v>398</v>
      </c>
      <c r="L291" s="46">
        <v>1</v>
      </c>
      <c r="M291" s="512"/>
      <c r="N291" s="57"/>
      <c r="O291" s="43"/>
      <c r="P291" s="37"/>
      <c r="Q291" s="38"/>
      <c r="R291" s="79"/>
      <c r="S291" s="43"/>
      <c r="T291" s="37"/>
      <c r="U291" s="38"/>
      <c r="V291" s="79"/>
      <c r="W291" s="208">
        <f>ROUND((ROUND((ROUND((ROUND((ROUND((_15_同援日増３．５*_15・基礎２),0)*_15・２人),0)*(1+_15・A夜間)),0)*(1+_15・盲ろう)),0)*(1+_15・区３)),0)</f>
        <v>769</v>
      </c>
      <c r="X291" s="48"/>
    </row>
    <row r="292" spans="1:24" ht="16.5" customHeight="1" x14ac:dyDescent="0.15">
      <c r="A292" s="41">
        <v>15</v>
      </c>
      <c r="B292" s="41" t="s">
        <v>25039</v>
      </c>
      <c r="C292" s="74" t="s">
        <v>25040</v>
      </c>
      <c r="D292" s="72"/>
      <c r="F292" s="57"/>
      <c r="G292" s="53"/>
      <c r="H292" s="49"/>
      <c r="I292" s="50"/>
      <c r="J292" s="163"/>
      <c r="K292" s="45"/>
      <c r="L292" s="46"/>
      <c r="M292" s="512"/>
      <c r="N292" s="57"/>
      <c r="O292" s="53"/>
      <c r="P292" s="49"/>
      <c r="Q292" s="50"/>
      <c r="R292" s="115"/>
      <c r="S292" s="53"/>
      <c r="T292" s="49"/>
      <c r="U292" s="50"/>
      <c r="V292" s="115"/>
      <c r="W292" s="208">
        <f>ROUND((ROUND((_15_同援日増３．５*(1+_15・A夜間)),0)*(1+_15・区４)),0)</f>
        <v>797</v>
      </c>
      <c r="X292" s="48"/>
    </row>
    <row r="293" spans="1:24" ht="16.5" customHeight="1" x14ac:dyDescent="0.15">
      <c r="A293" s="41">
        <v>15</v>
      </c>
      <c r="B293" s="41" t="s">
        <v>25041</v>
      </c>
      <c r="C293" s="74" t="s">
        <v>25042</v>
      </c>
      <c r="D293" s="72"/>
      <c r="F293" s="57"/>
      <c r="G293" s="43"/>
      <c r="H293" s="37"/>
      <c r="I293" s="38"/>
      <c r="J293" s="299" t="s">
        <v>17556</v>
      </c>
      <c r="K293" s="45" t="s">
        <v>398</v>
      </c>
      <c r="L293" s="46">
        <v>1</v>
      </c>
      <c r="M293" s="512"/>
      <c r="N293" s="57"/>
      <c r="O293" s="35"/>
      <c r="R293" s="57"/>
      <c r="S293" s="35"/>
      <c r="V293" s="57"/>
      <c r="W293" s="208">
        <f>ROUND((ROUND((ROUND((_15_同援日増３．５*_15・２人),0)*(1+_15・A夜間)),0)*(1+_15・区４)),0)</f>
        <v>797</v>
      </c>
      <c r="X293" s="48"/>
    </row>
    <row r="294" spans="1:24" ht="16.5" customHeight="1" x14ac:dyDescent="0.15">
      <c r="A294" s="41">
        <v>15</v>
      </c>
      <c r="B294" s="41" t="s">
        <v>25043</v>
      </c>
      <c r="C294" s="74" t="s">
        <v>25044</v>
      </c>
      <c r="D294" s="72"/>
      <c r="F294" s="57"/>
      <c r="G294" s="114" t="s">
        <v>17558</v>
      </c>
      <c r="H294" s="49"/>
      <c r="I294" s="50"/>
      <c r="J294" s="163"/>
      <c r="K294" s="45"/>
      <c r="L294" s="46"/>
      <c r="M294" s="512"/>
      <c r="N294" s="57"/>
      <c r="O294" s="35"/>
      <c r="R294" s="57"/>
      <c r="S294" s="72" t="s">
        <v>17580</v>
      </c>
      <c r="V294" s="57"/>
      <c r="W294" s="208">
        <f>ROUND((ROUND((ROUND((_15_同援日増３．５*_15・基礎２),0)*(1+_15・A夜間)),0)*(1+_15・区４)),0)</f>
        <v>718</v>
      </c>
      <c r="X294" s="48"/>
    </row>
    <row r="295" spans="1:24" ht="16.5" customHeight="1" x14ac:dyDescent="0.15">
      <c r="A295" s="41">
        <v>15</v>
      </c>
      <c r="B295" s="41" t="s">
        <v>25045</v>
      </c>
      <c r="C295" s="74" t="s">
        <v>25046</v>
      </c>
      <c r="D295" s="72"/>
      <c r="F295" s="57"/>
      <c r="G295" s="269" t="s">
        <v>17560</v>
      </c>
      <c r="H295" s="37" t="s">
        <v>398</v>
      </c>
      <c r="I295" s="38">
        <v>0.9</v>
      </c>
      <c r="J295" s="299" t="s">
        <v>17556</v>
      </c>
      <c r="K295" s="45" t="s">
        <v>398</v>
      </c>
      <c r="L295" s="46">
        <v>1</v>
      </c>
      <c r="M295" s="512"/>
      <c r="N295" s="57"/>
      <c r="O295" s="43"/>
      <c r="P295" s="37"/>
      <c r="Q295" s="38"/>
      <c r="R295" s="79"/>
      <c r="S295" s="72" t="s">
        <v>17572</v>
      </c>
      <c r="V295" s="57"/>
      <c r="W295" s="208">
        <f>ROUND((ROUND((ROUND((ROUND((_15_同援日増３．５*_15・基礎２),0)*_15・２人),0)*(1+_15・A夜間)),0)*(1+_15・区４)),0)</f>
        <v>718</v>
      </c>
      <c r="X295" s="48"/>
    </row>
    <row r="296" spans="1:24" ht="16.5" customHeight="1" x14ac:dyDescent="0.15">
      <c r="A296" s="41">
        <v>15</v>
      </c>
      <c r="B296" s="41" t="s">
        <v>25047</v>
      </c>
      <c r="C296" s="74" t="s">
        <v>25048</v>
      </c>
      <c r="D296" s="72"/>
      <c r="F296" s="57"/>
      <c r="G296" s="53"/>
      <c r="H296" s="49"/>
      <c r="I296" s="50"/>
      <c r="J296" s="163"/>
      <c r="K296" s="45"/>
      <c r="L296" s="46"/>
      <c r="M296" s="512"/>
      <c r="N296" s="57"/>
      <c r="O296" s="114" t="s">
        <v>17562</v>
      </c>
      <c r="P296" s="49"/>
      <c r="Q296" s="50"/>
      <c r="R296" s="115"/>
      <c r="S296" s="35"/>
      <c r="T296" s="12" t="s">
        <v>398</v>
      </c>
      <c r="U296" s="13">
        <v>0.4</v>
      </c>
      <c r="V296" s="57" t="s">
        <v>3575</v>
      </c>
      <c r="W296" s="208">
        <f>ROUND((ROUND((ROUND((_15_同援日増３．５*(1+_15・A夜間)),0)*(1+_15・盲ろう)),0)*(1+_15・区４)),0)</f>
        <v>995</v>
      </c>
      <c r="X296" s="48"/>
    </row>
    <row r="297" spans="1:24" ht="16.5" customHeight="1" x14ac:dyDescent="0.15">
      <c r="A297" s="41">
        <v>15</v>
      </c>
      <c r="B297" s="41" t="s">
        <v>25049</v>
      </c>
      <c r="C297" s="74" t="s">
        <v>25050</v>
      </c>
      <c r="D297" s="72"/>
      <c r="F297" s="57"/>
      <c r="G297" s="43"/>
      <c r="H297" s="37"/>
      <c r="I297" s="38"/>
      <c r="J297" s="299" t="s">
        <v>17556</v>
      </c>
      <c r="K297" s="45" t="s">
        <v>398</v>
      </c>
      <c r="L297" s="46">
        <v>1</v>
      </c>
      <c r="M297" s="512"/>
      <c r="N297" s="57"/>
      <c r="O297" s="92" t="s">
        <v>17564</v>
      </c>
      <c r="R297" s="57"/>
      <c r="S297" s="35"/>
      <c r="V297" s="57"/>
      <c r="W297" s="208">
        <f>ROUND((ROUND((ROUND((ROUND((_15_同援日増３．５*_15・２人),0)*(1+_15・A夜間)),0)*(1+_15・盲ろう)),0)*(1+_15・区４)),0)</f>
        <v>995</v>
      </c>
      <c r="X297" s="48"/>
    </row>
    <row r="298" spans="1:24" ht="16.5" customHeight="1" x14ac:dyDescent="0.15">
      <c r="A298" s="41">
        <v>15</v>
      </c>
      <c r="B298" s="41" t="s">
        <v>25051</v>
      </c>
      <c r="C298" s="74" t="s">
        <v>25052</v>
      </c>
      <c r="D298" s="72"/>
      <c r="F298" s="57"/>
      <c r="G298" s="114" t="s">
        <v>17558</v>
      </c>
      <c r="H298" s="49"/>
      <c r="I298" s="50"/>
      <c r="J298" s="163"/>
      <c r="K298" s="45"/>
      <c r="L298" s="46"/>
      <c r="M298" s="512"/>
      <c r="N298" s="57"/>
      <c r="O298" s="35"/>
      <c r="P298" s="12" t="s">
        <v>398</v>
      </c>
      <c r="Q298" s="13">
        <v>0.25</v>
      </c>
      <c r="R298" s="57" t="s">
        <v>3575</v>
      </c>
      <c r="S298" s="35"/>
      <c r="V298" s="57"/>
      <c r="W298" s="208">
        <f>ROUND((ROUND((ROUND((ROUND((_15_同援日増３．５*_15・基礎２),0)*(1+_15・A夜間)),0)*(1+_15・盲ろう)),0)*(1+_15・区４)),0)</f>
        <v>897</v>
      </c>
      <c r="X298" s="48"/>
    </row>
    <row r="299" spans="1:24" ht="16.5" customHeight="1" x14ac:dyDescent="0.15">
      <c r="A299" s="41">
        <v>15</v>
      </c>
      <c r="B299" s="41" t="s">
        <v>25053</v>
      </c>
      <c r="C299" s="74" t="s">
        <v>25054</v>
      </c>
      <c r="D299" s="122"/>
      <c r="E299" s="37"/>
      <c r="F299" s="79"/>
      <c r="G299" s="269" t="s">
        <v>17560</v>
      </c>
      <c r="H299" s="37" t="s">
        <v>398</v>
      </c>
      <c r="I299" s="38">
        <v>0.9</v>
      </c>
      <c r="J299" s="299" t="s">
        <v>17556</v>
      </c>
      <c r="K299" s="45" t="s">
        <v>398</v>
      </c>
      <c r="L299" s="46">
        <v>1</v>
      </c>
      <c r="M299" s="514"/>
      <c r="N299" s="79"/>
      <c r="O299" s="43"/>
      <c r="P299" s="37"/>
      <c r="Q299" s="38"/>
      <c r="R299" s="79"/>
      <c r="S299" s="43"/>
      <c r="T299" s="37"/>
      <c r="U299" s="38"/>
      <c r="V299" s="79"/>
      <c r="W299" s="208">
        <f>ROUND((ROUND((ROUND((ROUND((ROUND((_15_同援日増３．５*_15・基礎２),0)*_15・２人),0)*(1+_15・A夜間)),0)*(1+_15・盲ろう)),0)*(1+_15・区４)),0)</f>
        <v>897</v>
      </c>
      <c r="X299" s="63"/>
    </row>
    <row r="300" spans="1:24" ht="16.5" customHeight="1" x14ac:dyDescent="0.15">
      <c r="A300" s="41">
        <v>15</v>
      </c>
      <c r="B300" s="41" t="s">
        <v>25055</v>
      </c>
      <c r="C300" s="74" t="s">
        <v>25056</v>
      </c>
      <c r="D300" s="114" t="s">
        <v>25057</v>
      </c>
      <c r="E300" s="49"/>
      <c r="F300" s="115"/>
      <c r="G300" s="53"/>
      <c r="H300" s="49"/>
      <c r="I300" s="50"/>
      <c r="J300" s="163"/>
      <c r="K300" s="45"/>
      <c r="L300" s="46"/>
      <c r="M300" s="512"/>
      <c r="N300" s="57"/>
      <c r="O300" s="53"/>
      <c r="P300" s="49"/>
      <c r="Q300" s="50"/>
      <c r="R300" s="115"/>
      <c r="S300" s="53"/>
      <c r="T300" s="49"/>
      <c r="U300" s="50"/>
      <c r="V300" s="115"/>
      <c r="W300" s="208">
        <f>ROUND((_15_同援日増４．０*(1+_15・A夜間)),0)</f>
        <v>650</v>
      </c>
      <c r="X300" s="48"/>
    </row>
    <row r="301" spans="1:24" ht="16.5" customHeight="1" x14ac:dyDescent="0.15">
      <c r="A301" s="41">
        <v>15</v>
      </c>
      <c r="B301" s="41" t="s">
        <v>25058</v>
      </c>
      <c r="C301" s="74" t="s">
        <v>25059</v>
      </c>
      <c r="D301" s="72" t="s">
        <v>17751</v>
      </c>
      <c r="F301" s="57"/>
      <c r="G301" s="43"/>
      <c r="H301" s="37"/>
      <c r="I301" s="38"/>
      <c r="J301" s="299" t="s">
        <v>17556</v>
      </c>
      <c r="K301" s="45" t="s">
        <v>398</v>
      </c>
      <c r="L301" s="46">
        <v>1</v>
      </c>
      <c r="M301" s="512"/>
      <c r="N301" s="57"/>
      <c r="O301" s="35"/>
      <c r="R301" s="57"/>
      <c r="S301" s="35"/>
      <c r="V301" s="57"/>
      <c r="W301" s="208">
        <f>ROUND((ROUND((_15_同援日増４．０*_15・２人),0)*(1+_15・A夜間)),0)</f>
        <v>650</v>
      </c>
      <c r="X301" s="48"/>
    </row>
    <row r="302" spans="1:24" ht="16.5" customHeight="1" x14ac:dyDescent="0.15">
      <c r="A302" s="41">
        <v>15</v>
      </c>
      <c r="B302" s="41" t="s">
        <v>25060</v>
      </c>
      <c r="C302" s="74" t="s">
        <v>25061</v>
      </c>
      <c r="D302" s="72" t="s">
        <v>17753</v>
      </c>
      <c r="F302" s="57"/>
      <c r="G302" s="114" t="s">
        <v>17558</v>
      </c>
      <c r="H302" s="49"/>
      <c r="I302" s="50"/>
      <c r="J302" s="163"/>
      <c r="K302" s="45"/>
      <c r="L302" s="46"/>
      <c r="M302" s="512"/>
      <c r="N302" s="57"/>
      <c r="O302" s="35"/>
      <c r="R302" s="57"/>
      <c r="S302" s="35"/>
      <c r="V302" s="57"/>
      <c r="W302" s="208">
        <f>ROUND((ROUND((_15_同援日増４．０*_15・基礎２),0)*(1+_15・A夜間)),0)</f>
        <v>585</v>
      </c>
      <c r="X302" s="48"/>
    </row>
    <row r="303" spans="1:24" ht="16.5" customHeight="1" x14ac:dyDescent="0.15">
      <c r="A303" s="41">
        <v>15</v>
      </c>
      <c r="B303" s="41" t="s">
        <v>25062</v>
      </c>
      <c r="C303" s="74" t="s">
        <v>25063</v>
      </c>
      <c r="D303" s="72"/>
      <c r="E303" s="168">
        <f>_15_同援日増４．０</f>
        <v>520</v>
      </c>
      <c r="F303" s="57" t="s">
        <v>392</v>
      </c>
      <c r="G303" s="269" t="s">
        <v>17560</v>
      </c>
      <c r="H303" s="37" t="s">
        <v>398</v>
      </c>
      <c r="I303" s="38">
        <v>0.9</v>
      </c>
      <c r="J303" s="299" t="s">
        <v>17556</v>
      </c>
      <c r="K303" s="45" t="s">
        <v>398</v>
      </c>
      <c r="L303" s="46">
        <v>1</v>
      </c>
      <c r="M303" s="512"/>
      <c r="N303" s="57"/>
      <c r="O303" s="43"/>
      <c r="P303" s="37"/>
      <c r="Q303" s="38"/>
      <c r="R303" s="79"/>
      <c r="S303" s="35"/>
      <c r="V303" s="57"/>
      <c r="W303" s="208">
        <f>ROUND((ROUND((ROUND((_15_同援日増４．０*_15・基礎２),0)*_15・２人),0)*(1+_15・A夜間)),0)</f>
        <v>585</v>
      </c>
      <c r="X303" s="48"/>
    </row>
    <row r="304" spans="1:24" ht="16.5" customHeight="1" x14ac:dyDescent="0.15">
      <c r="A304" s="41">
        <v>15</v>
      </c>
      <c r="B304" s="41" t="s">
        <v>25064</v>
      </c>
      <c r="C304" s="74" t="s">
        <v>25065</v>
      </c>
      <c r="D304" s="72"/>
      <c r="F304" s="57"/>
      <c r="G304" s="53"/>
      <c r="H304" s="49"/>
      <c r="I304" s="50"/>
      <c r="J304" s="163"/>
      <c r="K304" s="45"/>
      <c r="L304" s="46"/>
      <c r="M304" s="512"/>
      <c r="N304" s="57"/>
      <c r="O304" s="114" t="s">
        <v>17562</v>
      </c>
      <c r="P304" s="49"/>
      <c r="Q304" s="50"/>
      <c r="R304" s="115"/>
      <c r="S304" s="35"/>
      <c r="V304" s="57"/>
      <c r="W304" s="208">
        <f>ROUND((ROUND((_15_同援日増４．０*(1+_15・A夜間)),0)*(1+_15・盲ろう)),0)</f>
        <v>813</v>
      </c>
      <c r="X304" s="48"/>
    </row>
    <row r="305" spans="1:24" ht="16.5" customHeight="1" x14ac:dyDescent="0.15">
      <c r="A305" s="41">
        <v>15</v>
      </c>
      <c r="B305" s="41" t="s">
        <v>25066</v>
      </c>
      <c r="C305" s="74" t="s">
        <v>25067</v>
      </c>
      <c r="D305" s="72"/>
      <c r="F305" s="57"/>
      <c r="G305" s="43"/>
      <c r="H305" s="37"/>
      <c r="I305" s="38"/>
      <c r="J305" s="299" t="s">
        <v>17556</v>
      </c>
      <c r="K305" s="45" t="s">
        <v>398</v>
      </c>
      <c r="L305" s="46">
        <v>1</v>
      </c>
      <c r="M305" s="512"/>
      <c r="N305" s="57"/>
      <c r="O305" s="92" t="s">
        <v>17564</v>
      </c>
      <c r="R305" s="57"/>
      <c r="S305" s="35"/>
      <c r="V305" s="57"/>
      <c r="W305" s="208">
        <f>ROUND((ROUND((ROUND((_15_同援日増４．０*_15・２人),0)*(1+_15・A夜間)),0)*(1+_15・盲ろう)),0)</f>
        <v>813</v>
      </c>
      <c r="X305" s="48"/>
    </row>
    <row r="306" spans="1:24" ht="16.5" customHeight="1" x14ac:dyDescent="0.15">
      <c r="A306" s="41">
        <v>15</v>
      </c>
      <c r="B306" s="41" t="s">
        <v>2243</v>
      </c>
      <c r="C306" s="74" t="s">
        <v>25068</v>
      </c>
      <c r="D306" s="72"/>
      <c r="F306" s="57"/>
      <c r="G306" s="114" t="s">
        <v>17558</v>
      </c>
      <c r="H306" s="49"/>
      <c r="I306" s="50"/>
      <c r="J306" s="163"/>
      <c r="K306" s="45"/>
      <c r="L306" s="46"/>
      <c r="M306" s="512"/>
      <c r="N306" s="57"/>
      <c r="O306" s="35"/>
      <c r="P306" s="12" t="s">
        <v>398</v>
      </c>
      <c r="Q306" s="13">
        <v>0.25</v>
      </c>
      <c r="R306" s="57" t="s">
        <v>3575</v>
      </c>
      <c r="S306" s="35"/>
      <c r="V306" s="57"/>
      <c r="W306" s="208">
        <f>ROUND((ROUND((ROUND((_15_同援日増４．０*_15・基礎２),0)*(1+_15・A夜間)),0)*(1+_15・盲ろう)),0)</f>
        <v>731</v>
      </c>
      <c r="X306" s="48"/>
    </row>
    <row r="307" spans="1:24" ht="16.5" customHeight="1" x14ac:dyDescent="0.15">
      <c r="A307" s="41">
        <v>15</v>
      </c>
      <c r="B307" s="41" t="s">
        <v>2245</v>
      </c>
      <c r="C307" s="74" t="s">
        <v>25069</v>
      </c>
      <c r="D307" s="72"/>
      <c r="F307" s="57"/>
      <c r="G307" s="269" t="s">
        <v>17560</v>
      </c>
      <c r="H307" s="37" t="s">
        <v>398</v>
      </c>
      <c r="I307" s="38">
        <v>0.9</v>
      </c>
      <c r="J307" s="299" t="s">
        <v>17556</v>
      </c>
      <c r="K307" s="45" t="s">
        <v>398</v>
      </c>
      <c r="L307" s="46">
        <v>1</v>
      </c>
      <c r="M307" s="512"/>
      <c r="N307" s="57"/>
      <c r="O307" s="43"/>
      <c r="P307" s="37"/>
      <c r="Q307" s="38"/>
      <c r="R307" s="79"/>
      <c r="S307" s="43"/>
      <c r="T307" s="37"/>
      <c r="U307" s="38"/>
      <c r="V307" s="79"/>
      <c r="W307" s="208">
        <f>ROUND((ROUND((ROUND((ROUND((_15_同援日増４．０*_15・基礎２),0)*_15・２人),0)*(1+_15・A夜間)),0)*(1+_15・盲ろう)),0)</f>
        <v>731</v>
      </c>
      <c r="X307" s="48"/>
    </row>
    <row r="308" spans="1:24" ht="16.5" customHeight="1" x14ac:dyDescent="0.15">
      <c r="A308" s="41">
        <v>15</v>
      </c>
      <c r="B308" s="41" t="s">
        <v>2247</v>
      </c>
      <c r="C308" s="74" t="s">
        <v>25070</v>
      </c>
      <c r="D308" s="72"/>
      <c r="F308" s="57"/>
      <c r="G308" s="53"/>
      <c r="H308" s="49"/>
      <c r="I308" s="50"/>
      <c r="J308" s="163"/>
      <c r="K308" s="45"/>
      <c r="L308" s="46"/>
      <c r="M308" s="512"/>
      <c r="N308" s="57"/>
      <c r="O308" s="53"/>
      <c r="P308" s="49"/>
      <c r="Q308" s="50"/>
      <c r="R308" s="115"/>
      <c r="S308" s="53"/>
      <c r="T308" s="49"/>
      <c r="U308" s="50"/>
      <c r="V308" s="115"/>
      <c r="W308" s="208">
        <f>ROUND((ROUND((_15_同援日増４．０*(1+_15・A夜間)),0)*(1+_15・区３)),0)</f>
        <v>780</v>
      </c>
      <c r="X308" s="48"/>
    </row>
    <row r="309" spans="1:24" ht="16.5" customHeight="1" x14ac:dyDescent="0.15">
      <c r="A309" s="41">
        <v>15</v>
      </c>
      <c r="B309" s="41" t="s">
        <v>2249</v>
      </c>
      <c r="C309" s="74" t="s">
        <v>25071</v>
      </c>
      <c r="D309" s="72"/>
      <c r="F309" s="57"/>
      <c r="G309" s="43"/>
      <c r="H309" s="37"/>
      <c r="I309" s="38"/>
      <c r="J309" s="299" t="s">
        <v>17556</v>
      </c>
      <c r="K309" s="45" t="s">
        <v>398</v>
      </c>
      <c r="L309" s="46">
        <v>1</v>
      </c>
      <c r="M309" s="512"/>
      <c r="N309" s="57"/>
      <c r="O309" s="35"/>
      <c r="R309" s="57"/>
      <c r="S309" s="35"/>
      <c r="V309" s="57"/>
      <c r="W309" s="208">
        <f>ROUND((ROUND((ROUND((_15_同援日増４．０*_15・２人),0)*(1+_15・A夜間)),0)*(1+_15・区３)),0)</f>
        <v>780</v>
      </c>
      <c r="X309" s="48"/>
    </row>
    <row r="310" spans="1:24" ht="16.5" customHeight="1" x14ac:dyDescent="0.15">
      <c r="A310" s="41">
        <v>15</v>
      </c>
      <c r="B310" s="41" t="s">
        <v>25072</v>
      </c>
      <c r="C310" s="74" t="s">
        <v>25073</v>
      </c>
      <c r="D310" s="72"/>
      <c r="F310" s="57"/>
      <c r="G310" s="114" t="s">
        <v>17558</v>
      </c>
      <c r="H310" s="49"/>
      <c r="I310" s="50"/>
      <c r="J310" s="163"/>
      <c r="K310" s="45"/>
      <c r="L310" s="46"/>
      <c r="M310" s="512"/>
      <c r="N310" s="57"/>
      <c r="O310" s="35"/>
      <c r="R310" s="57"/>
      <c r="S310" s="72" t="s">
        <v>17570</v>
      </c>
      <c r="V310" s="57"/>
      <c r="W310" s="208">
        <f>ROUND((ROUND((ROUND((_15_同援日増４．０*_15・基礎２),0)*(1+_15・A夜間)),0)*(1+_15・区３)),0)</f>
        <v>702</v>
      </c>
      <c r="X310" s="48"/>
    </row>
    <row r="311" spans="1:24" ht="16.5" customHeight="1" x14ac:dyDescent="0.15">
      <c r="A311" s="41">
        <v>15</v>
      </c>
      <c r="B311" s="41" t="s">
        <v>25074</v>
      </c>
      <c r="C311" s="74" t="s">
        <v>25075</v>
      </c>
      <c r="D311" s="72"/>
      <c r="F311" s="57"/>
      <c r="G311" s="269" t="s">
        <v>17560</v>
      </c>
      <c r="H311" s="37" t="s">
        <v>398</v>
      </c>
      <c r="I311" s="38">
        <v>0.9</v>
      </c>
      <c r="J311" s="299" t="s">
        <v>17556</v>
      </c>
      <c r="K311" s="45" t="s">
        <v>398</v>
      </c>
      <c r="L311" s="46">
        <v>1</v>
      </c>
      <c r="M311" s="512"/>
      <c r="N311" s="57"/>
      <c r="O311" s="43"/>
      <c r="P311" s="37"/>
      <c r="Q311" s="38"/>
      <c r="R311" s="79"/>
      <c r="S311" s="72" t="s">
        <v>17572</v>
      </c>
      <c r="V311" s="57"/>
      <c r="W311" s="208">
        <f>ROUND((ROUND((ROUND((ROUND((_15_同援日増４．０*_15・基礎２),0)*_15・２人),0)*(1+_15・A夜間)),0)*(1+_15・区３)),0)</f>
        <v>702</v>
      </c>
      <c r="X311" s="48"/>
    </row>
    <row r="312" spans="1:24" ht="16.5" customHeight="1" x14ac:dyDescent="0.15">
      <c r="A312" s="41">
        <v>15</v>
      </c>
      <c r="B312" s="41" t="s">
        <v>25076</v>
      </c>
      <c r="C312" s="74" t="s">
        <v>25077</v>
      </c>
      <c r="D312" s="72"/>
      <c r="F312" s="57"/>
      <c r="G312" s="53"/>
      <c r="H312" s="49"/>
      <c r="I312" s="50"/>
      <c r="J312" s="163"/>
      <c r="K312" s="45"/>
      <c r="L312" s="46"/>
      <c r="M312" s="512"/>
      <c r="N312" s="57"/>
      <c r="O312" s="114" t="s">
        <v>17562</v>
      </c>
      <c r="P312" s="49"/>
      <c r="Q312" s="50"/>
      <c r="R312" s="115"/>
      <c r="S312" s="35"/>
      <c r="T312" s="12" t="s">
        <v>398</v>
      </c>
      <c r="U312" s="13">
        <v>0.2</v>
      </c>
      <c r="V312" s="57" t="s">
        <v>3575</v>
      </c>
      <c r="W312" s="208">
        <f>ROUND((ROUND((ROUND((_15_同援日増４．０*(1+_15・A夜間)),0)*(1+_15・盲ろう)),0)*(1+_15・区３)),0)</f>
        <v>976</v>
      </c>
      <c r="X312" s="48"/>
    </row>
    <row r="313" spans="1:24" ht="16.5" customHeight="1" x14ac:dyDescent="0.15">
      <c r="A313" s="41">
        <v>15</v>
      </c>
      <c r="B313" s="41" t="s">
        <v>25078</v>
      </c>
      <c r="C313" s="74" t="s">
        <v>25079</v>
      </c>
      <c r="D313" s="72"/>
      <c r="F313" s="57"/>
      <c r="G313" s="43"/>
      <c r="H313" s="37"/>
      <c r="I313" s="38"/>
      <c r="J313" s="299" t="s">
        <v>17556</v>
      </c>
      <c r="K313" s="45" t="s">
        <v>398</v>
      </c>
      <c r="L313" s="46">
        <v>1</v>
      </c>
      <c r="M313" s="512"/>
      <c r="N313" s="57"/>
      <c r="O313" s="92" t="s">
        <v>17564</v>
      </c>
      <c r="R313" s="57"/>
      <c r="S313" s="35"/>
      <c r="V313" s="57"/>
      <c r="W313" s="208">
        <f>ROUND((ROUND((ROUND((ROUND((_15_同援日増４．０*_15・２人),0)*(1+_15・A夜間)),0)*(1+_15・盲ろう)),0)*(1+_15・区３)),0)</f>
        <v>976</v>
      </c>
      <c r="X313" s="48"/>
    </row>
    <row r="314" spans="1:24" ht="16.5" customHeight="1" x14ac:dyDescent="0.15">
      <c r="A314" s="41">
        <v>15</v>
      </c>
      <c r="B314" s="41" t="s">
        <v>25080</v>
      </c>
      <c r="C314" s="74" t="s">
        <v>25081</v>
      </c>
      <c r="D314" s="72"/>
      <c r="F314" s="57"/>
      <c r="G314" s="114" t="s">
        <v>17558</v>
      </c>
      <c r="H314" s="49"/>
      <c r="I314" s="50"/>
      <c r="J314" s="163"/>
      <c r="K314" s="45"/>
      <c r="L314" s="46"/>
      <c r="M314" s="512"/>
      <c r="N314" s="57"/>
      <c r="O314" s="35"/>
      <c r="P314" s="12" t="s">
        <v>398</v>
      </c>
      <c r="Q314" s="13">
        <v>0.25</v>
      </c>
      <c r="R314" s="57" t="s">
        <v>3575</v>
      </c>
      <c r="S314" s="35"/>
      <c r="V314" s="57"/>
      <c r="W314" s="208">
        <f>ROUND((ROUND((ROUND((ROUND((_15_同援日増４．０*_15・基礎２),0)*(1+_15・A夜間)),0)*(1+_15・盲ろう)),0)*(1+_15・区３)),0)</f>
        <v>877</v>
      </c>
      <c r="X314" s="48"/>
    </row>
    <row r="315" spans="1:24" ht="16.5" customHeight="1" x14ac:dyDescent="0.15">
      <c r="A315" s="41">
        <v>15</v>
      </c>
      <c r="B315" s="41" t="s">
        <v>25082</v>
      </c>
      <c r="C315" s="74" t="s">
        <v>25083</v>
      </c>
      <c r="D315" s="72"/>
      <c r="F315" s="57"/>
      <c r="G315" s="269" t="s">
        <v>17560</v>
      </c>
      <c r="H315" s="37" t="s">
        <v>398</v>
      </c>
      <c r="I315" s="38">
        <v>0.9</v>
      </c>
      <c r="J315" s="299" t="s">
        <v>17556</v>
      </c>
      <c r="K315" s="45" t="s">
        <v>398</v>
      </c>
      <c r="L315" s="46">
        <v>1</v>
      </c>
      <c r="M315" s="512"/>
      <c r="N315" s="57"/>
      <c r="O315" s="43"/>
      <c r="P315" s="37"/>
      <c r="Q315" s="38"/>
      <c r="R315" s="79"/>
      <c r="S315" s="43"/>
      <c r="T315" s="37"/>
      <c r="U315" s="38"/>
      <c r="V315" s="79"/>
      <c r="W315" s="208">
        <f>ROUND((ROUND((ROUND((ROUND((ROUND((_15_同援日増４．０*_15・基礎２),0)*_15・２人),0)*(1+_15・A夜間)),0)*(1+_15・盲ろう)),0)*(1+_15・区３)),0)</f>
        <v>877</v>
      </c>
      <c r="X315" s="48"/>
    </row>
    <row r="316" spans="1:24" ht="16.5" customHeight="1" x14ac:dyDescent="0.15">
      <c r="A316" s="41">
        <v>15</v>
      </c>
      <c r="B316" s="41" t="s">
        <v>25084</v>
      </c>
      <c r="C316" s="74" t="s">
        <v>25085</v>
      </c>
      <c r="D316" s="72"/>
      <c r="F316" s="57"/>
      <c r="G316" s="53"/>
      <c r="H316" s="49"/>
      <c r="I316" s="50"/>
      <c r="J316" s="163"/>
      <c r="K316" s="45"/>
      <c r="L316" s="46"/>
      <c r="M316" s="512"/>
      <c r="N316" s="57"/>
      <c r="O316" s="53"/>
      <c r="P316" s="49"/>
      <c r="Q316" s="50"/>
      <c r="R316" s="115"/>
      <c r="S316" s="53"/>
      <c r="T316" s="49"/>
      <c r="U316" s="50"/>
      <c r="V316" s="115"/>
      <c r="W316" s="208">
        <f>ROUND((ROUND((_15_同援日増４．０*(1+_15・A夜間)),0)*(1+_15・区４)),0)</f>
        <v>910</v>
      </c>
      <c r="X316" s="48"/>
    </row>
    <row r="317" spans="1:24" ht="16.5" customHeight="1" x14ac:dyDescent="0.15">
      <c r="A317" s="41">
        <v>15</v>
      </c>
      <c r="B317" s="41" t="s">
        <v>25086</v>
      </c>
      <c r="C317" s="74" t="s">
        <v>25087</v>
      </c>
      <c r="D317" s="72"/>
      <c r="F317" s="57"/>
      <c r="G317" s="43"/>
      <c r="H317" s="37"/>
      <c r="I317" s="38"/>
      <c r="J317" s="299" t="s">
        <v>17556</v>
      </c>
      <c r="K317" s="45" t="s">
        <v>398</v>
      </c>
      <c r="L317" s="46">
        <v>1</v>
      </c>
      <c r="M317" s="512"/>
      <c r="N317" s="57"/>
      <c r="O317" s="35"/>
      <c r="R317" s="57"/>
      <c r="S317" s="35"/>
      <c r="V317" s="57"/>
      <c r="W317" s="208">
        <f>ROUND((ROUND((ROUND((_15_同援日増４．０*_15・２人),0)*(1+_15・A夜間)),0)*(1+_15・区４)),0)</f>
        <v>910</v>
      </c>
      <c r="X317" s="48"/>
    </row>
    <row r="318" spans="1:24" ht="16.5" customHeight="1" x14ac:dyDescent="0.15">
      <c r="A318" s="41">
        <v>15</v>
      </c>
      <c r="B318" s="41" t="s">
        <v>25088</v>
      </c>
      <c r="C318" s="74" t="s">
        <v>25089</v>
      </c>
      <c r="D318" s="72"/>
      <c r="F318" s="57"/>
      <c r="G318" s="114" t="s">
        <v>17558</v>
      </c>
      <c r="H318" s="49"/>
      <c r="I318" s="50"/>
      <c r="J318" s="163"/>
      <c r="K318" s="45"/>
      <c r="L318" s="46"/>
      <c r="M318" s="512"/>
      <c r="N318" s="57"/>
      <c r="O318" s="35"/>
      <c r="R318" s="57"/>
      <c r="S318" s="72" t="s">
        <v>17580</v>
      </c>
      <c r="V318" s="57"/>
      <c r="W318" s="208">
        <f>ROUND((ROUND((ROUND((_15_同援日増４．０*_15・基礎２),0)*(1+_15・A夜間)),0)*(1+_15・区４)),0)</f>
        <v>819</v>
      </c>
      <c r="X318" s="48"/>
    </row>
    <row r="319" spans="1:24" ht="16.5" customHeight="1" x14ac:dyDescent="0.15">
      <c r="A319" s="41">
        <v>15</v>
      </c>
      <c r="B319" s="41" t="s">
        <v>25090</v>
      </c>
      <c r="C319" s="74" t="s">
        <v>25091</v>
      </c>
      <c r="D319" s="72"/>
      <c r="F319" s="57"/>
      <c r="G319" s="269" t="s">
        <v>17560</v>
      </c>
      <c r="H319" s="37" t="s">
        <v>398</v>
      </c>
      <c r="I319" s="38">
        <v>0.9</v>
      </c>
      <c r="J319" s="299" t="s">
        <v>17556</v>
      </c>
      <c r="K319" s="45" t="s">
        <v>398</v>
      </c>
      <c r="L319" s="46">
        <v>1</v>
      </c>
      <c r="M319" s="512"/>
      <c r="N319" s="57"/>
      <c r="O319" s="43"/>
      <c r="P319" s="37"/>
      <c r="Q319" s="38"/>
      <c r="R319" s="79"/>
      <c r="S319" s="72" t="s">
        <v>17572</v>
      </c>
      <c r="V319" s="57"/>
      <c r="W319" s="208">
        <f>ROUND((ROUND((ROUND((ROUND((_15_同援日増４．０*_15・基礎２),0)*_15・２人),0)*(1+_15・A夜間)),0)*(1+_15・区４)),0)</f>
        <v>819</v>
      </c>
      <c r="X319" s="48"/>
    </row>
    <row r="320" spans="1:24" ht="16.5" customHeight="1" x14ac:dyDescent="0.15">
      <c r="A320" s="41">
        <v>15</v>
      </c>
      <c r="B320" s="41" t="s">
        <v>25092</v>
      </c>
      <c r="C320" s="74" t="s">
        <v>25093</v>
      </c>
      <c r="D320" s="72"/>
      <c r="F320" s="57"/>
      <c r="G320" s="53"/>
      <c r="H320" s="49"/>
      <c r="I320" s="50"/>
      <c r="J320" s="163"/>
      <c r="K320" s="45"/>
      <c r="L320" s="46"/>
      <c r="M320" s="512"/>
      <c r="N320" s="57"/>
      <c r="O320" s="114" t="s">
        <v>17562</v>
      </c>
      <c r="P320" s="49"/>
      <c r="Q320" s="50"/>
      <c r="R320" s="115"/>
      <c r="S320" s="35"/>
      <c r="T320" s="12" t="s">
        <v>398</v>
      </c>
      <c r="U320" s="13">
        <v>0.4</v>
      </c>
      <c r="V320" s="57" t="s">
        <v>3575</v>
      </c>
      <c r="W320" s="208">
        <f>ROUND((ROUND((ROUND((_15_同援日増４．０*(1+_15・A夜間)),0)*(1+_15・盲ろう)),0)*(1+_15・区４)),0)</f>
        <v>1138</v>
      </c>
      <c r="X320" s="48"/>
    </row>
    <row r="321" spans="1:24" ht="16.5" customHeight="1" x14ac:dyDescent="0.15">
      <c r="A321" s="41">
        <v>15</v>
      </c>
      <c r="B321" s="41" t="s">
        <v>25094</v>
      </c>
      <c r="C321" s="74" t="s">
        <v>25095</v>
      </c>
      <c r="D321" s="72"/>
      <c r="F321" s="57"/>
      <c r="G321" s="43"/>
      <c r="H321" s="37"/>
      <c r="I321" s="38"/>
      <c r="J321" s="299" t="s">
        <v>17556</v>
      </c>
      <c r="K321" s="45" t="s">
        <v>398</v>
      </c>
      <c r="L321" s="46">
        <v>1</v>
      </c>
      <c r="M321" s="512"/>
      <c r="N321" s="57"/>
      <c r="O321" s="92" t="s">
        <v>17564</v>
      </c>
      <c r="R321" s="57"/>
      <c r="S321" s="35"/>
      <c r="V321" s="57"/>
      <c r="W321" s="208">
        <f>ROUND((ROUND((ROUND((ROUND((_15_同援日増４．０*_15・２人),0)*(1+_15・A夜間)),0)*(1+_15・盲ろう)),0)*(1+_15・区４)),0)</f>
        <v>1138</v>
      </c>
      <c r="X321" s="48"/>
    </row>
    <row r="322" spans="1:24" ht="16.5" customHeight="1" x14ac:dyDescent="0.15">
      <c r="A322" s="41">
        <v>15</v>
      </c>
      <c r="B322" s="41" t="s">
        <v>25096</v>
      </c>
      <c r="C322" s="74" t="s">
        <v>25097</v>
      </c>
      <c r="D322" s="72"/>
      <c r="F322" s="57"/>
      <c r="G322" s="114" t="s">
        <v>17558</v>
      </c>
      <c r="H322" s="49"/>
      <c r="I322" s="50"/>
      <c r="J322" s="163"/>
      <c r="K322" s="45"/>
      <c r="L322" s="46"/>
      <c r="M322" s="512"/>
      <c r="N322" s="57"/>
      <c r="O322" s="35"/>
      <c r="P322" s="12" t="s">
        <v>398</v>
      </c>
      <c r="Q322" s="13">
        <v>0.25</v>
      </c>
      <c r="R322" s="57" t="s">
        <v>3575</v>
      </c>
      <c r="S322" s="35"/>
      <c r="V322" s="57"/>
      <c r="W322" s="208">
        <f>ROUND((ROUND((ROUND((ROUND((_15_同援日増４．０*_15・基礎２),0)*(1+_15・A夜間)),0)*(1+_15・盲ろう)),0)*(1+_15・区４)),0)</f>
        <v>1023</v>
      </c>
      <c r="X322" s="48"/>
    </row>
    <row r="323" spans="1:24" ht="16.5" customHeight="1" x14ac:dyDescent="0.15">
      <c r="A323" s="41">
        <v>15</v>
      </c>
      <c r="B323" s="41" t="s">
        <v>25098</v>
      </c>
      <c r="C323" s="74" t="s">
        <v>25099</v>
      </c>
      <c r="D323" s="122"/>
      <c r="E323" s="37"/>
      <c r="F323" s="79"/>
      <c r="G323" s="269" t="s">
        <v>17560</v>
      </c>
      <c r="H323" s="37" t="s">
        <v>398</v>
      </c>
      <c r="I323" s="38">
        <v>0.9</v>
      </c>
      <c r="J323" s="299" t="s">
        <v>17556</v>
      </c>
      <c r="K323" s="45" t="s">
        <v>398</v>
      </c>
      <c r="L323" s="46">
        <v>1</v>
      </c>
      <c r="M323" s="512"/>
      <c r="N323" s="57"/>
      <c r="O323" s="43"/>
      <c r="P323" s="37"/>
      <c r="Q323" s="38"/>
      <c r="R323" s="79"/>
      <c r="S323" s="43"/>
      <c r="T323" s="37"/>
      <c r="U323" s="38"/>
      <c r="V323" s="79"/>
      <c r="W323" s="208">
        <f>ROUND((ROUND((ROUND((ROUND((ROUND((_15_同援日増４．０*_15・基礎２),0)*_15・２人),0)*(1+_15・A夜間)),0)*(1+_15・盲ろう)),0)*(1+_15・区４)),0)</f>
        <v>1023</v>
      </c>
      <c r="X323" s="48"/>
    </row>
    <row r="324" spans="1:24" ht="16.5" customHeight="1" x14ac:dyDescent="0.15">
      <c r="A324" s="41">
        <v>15</v>
      </c>
      <c r="B324" s="41" t="s">
        <v>25100</v>
      </c>
      <c r="C324" s="74" t="s">
        <v>25101</v>
      </c>
      <c r="D324" s="114" t="s">
        <v>25102</v>
      </c>
      <c r="E324" s="49"/>
      <c r="F324" s="115"/>
      <c r="G324" s="53"/>
      <c r="H324" s="49"/>
      <c r="I324" s="50"/>
      <c r="J324" s="163"/>
      <c r="K324" s="45"/>
      <c r="L324" s="46"/>
      <c r="M324" s="512"/>
      <c r="N324" s="57"/>
      <c r="O324" s="53"/>
      <c r="P324" s="49"/>
      <c r="Q324" s="50"/>
      <c r="R324" s="115"/>
      <c r="S324" s="53"/>
      <c r="T324" s="49"/>
      <c r="U324" s="50"/>
      <c r="V324" s="115"/>
      <c r="W324" s="208">
        <f>ROUND((_15_同援日増４．５*(1+_15・A夜間)),0)</f>
        <v>731</v>
      </c>
      <c r="X324" s="48"/>
    </row>
    <row r="325" spans="1:24" ht="16.5" customHeight="1" x14ac:dyDescent="0.15">
      <c r="A325" s="41">
        <v>15</v>
      </c>
      <c r="B325" s="41" t="s">
        <v>25103</v>
      </c>
      <c r="C325" s="74" t="s">
        <v>25104</v>
      </c>
      <c r="D325" s="72" t="s">
        <v>17778</v>
      </c>
      <c r="F325" s="57"/>
      <c r="G325" s="43"/>
      <c r="H325" s="37"/>
      <c r="I325" s="38"/>
      <c r="J325" s="299" t="s">
        <v>17556</v>
      </c>
      <c r="K325" s="45" t="s">
        <v>398</v>
      </c>
      <c r="L325" s="46">
        <v>1</v>
      </c>
      <c r="M325" s="512"/>
      <c r="N325" s="57"/>
      <c r="O325" s="35"/>
      <c r="R325" s="57"/>
      <c r="S325" s="35"/>
      <c r="V325" s="57"/>
      <c r="W325" s="208">
        <f>ROUND((ROUND((_15_同援日増４．５*_15・２人),0)*(1+_15・A夜間)),0)</f>
        <v>731</v>
      </c>
      <c r="X325" s="48"/>
    </row>
    <row r="326" spans="1:24" ht="16.5" customHeight="1" x14ac:dyDescent="0.15">
      <c r="A326" s="41">
        <v>15</v>
      </c>
      <c r="B326" s="41" t="s">
        <v>2255</v>
      </c>
      <c r="C326" s="74" t="s">
        <v>25105</v>
      </c>
      <c r="D326" s="72" t="s">
        <v>18463</v>
      </c>
      <c r="F326" s="57"/>
      <c r="G326" s="114" t="s">
        <v>17558</v>
      </c>
      <c r="H326" s="49"/>
      <c r="I326" s="50"/>
      <c r="J326" s="163"/>
      <c r="K326" s="45"/>
      <c r="L326" s="46"/>
      <c r="M326" s="512"/>
      <c r="N326" s="57"/>
      <c r="O326" s="35"/>
      <c r="R326" s="57"/>
      <c r="S326" s="35"/>
      <c r="V326" s="57"/>
      <c r="W326" s="208">
        <f>ROUND((ROUND((_15_同援日増４．５*_15・基礎２),0)*(1+_15・A夜間)),0)</f>
        <v>659</v>
      </c>
      <c r="X326" s="48"/>
    </row>
    <row r="327" spans="1:24" ht="16.5" customHeight="1" x14ac:dyDescent="0.15">
      <c r="A327" s="41">
        <v>15</v>
      </c>
      <c r="B327" s="41" t="s">
        <v>2257</v>
      </c>
      <c r="C327" s="74" t="s">
        <v>25106</v>
      </c>
      <c r="D327" s="72"/>
      <c r="E327" s="168">
        <f>_15_同援日増４．５</f>
        <v>585</v>
      </c>
      <c r="F327" s="57" t="s">
        <v>392</v>
      </c>
      <c r="G327" s="269" t="s">
        <v>17560</v>
      </c>
      <c r="H327" s="37" t="s">
        <v>398</v>
      </c>
      <c r="I327" s="38">
        <v>0.9</v>
      </c>
      <c r="J327" s="299" t="s">
        <v>17556</v>
      </c>
      <c r="K327" s="45" t="s">
        <v>398</v>
      </c>
      <c r="L327" s="46">
        <v>1</v>
      </c>
      <c r="M327" s="512"/>
      <c r="N327" s="57"/>
      <c r="O327" s="43"/>
      <c r="P327" s="37"/>
      <c r="Q327" s="38"/>
      <c r="R327" s="79"/>
      <c r="S327" s="35"/>
      <c r="V327" s="57"/>
      <c r="W327" s="208">
        <f>ROUND((ROUND((ROUND((_15_同援日増４．５*_15・基礎２),0)*_15・２人),0)*(1+_15・A夜間)),0)</f>
        <v>659</v>
      </c>
      <c r="X327" s="48"/>
    </row>
    <row r="328" spans="1:24" ht="16.5" customHeight="1" x14ac:dyDescent="0.15">
      <c r="A328" s="41">
        <v>15</v>
      </c>
      <c r="B328" s="41" t="s">
        <v>2259</v>
      </c>
      <c r="C328" s="74" t="s">
        <v>25107</v>
      </c>
      <c r="D328" s="72"/>
      <c r="F328" s="57"/>
      <c r="G328" s="53"/>
      <c r="H328" s="49"/>
      <c r="I328" s="50"/>
      <c r="J328" s="163"/>
      <c r="K328" s="45"/>
      <c r="L328" s="46"/>
      <c r="M328" s="512"/>
      <c r="N328" s="57"/>
      <c r="O328" s="114" t="s">
        <v>17562</v>
      </c>
      <c r="P328" s="49"/>
      <c r="Q328" s="50"/>
      <c r="R328" s="115"/>
      <c r="S328" s="35"/>
      <c r="V328" s="57"/>
      <c r="W328" s="208">
        <f>ROUND((ROUND((_15_同援日増４．５*(1+_15・A夜間)),0)*(1+_15・盲ろう)),0)</f>
        <v>914</v>
      </c>
      <c r="X328" s="48"/>
    </row>
    <row r="329" spans="1:24" ht="16.5" customHeight="1" x14ac:dyDescent="0.15">
      <c r="A329" s="41">
        <v>15</v>
      </c>
      <c r="B329" s="41" t="s">
        <v>2261</v>
      </c>
      <c r="C329" s="74" t="s">
        <v>25108</v>
      </c>
      <c r="D329" s="72"/>
      <c r="F329" s="57"/>
      <c r="G329" s="43"/>
      <c r="H329" s="37"/>
      <c r="I329" s="38"/>
      <c r="J329" s="299" t="s">
        <v>17556</v>
      </c>
      <c r="K329" s="45" t="s">
        <v>398</v>
      </c>
      <c r="L329" s="46">
        <v>1</v>
      </c>
      <c r="M329" s="512"/>
      <c r="N329" s="57"/>
      <c r="O329" s="92" t="s">
        <v>17564</v>
      </c>
      <c r="R329" s="57"/>
      <c r="S329" s="35"/>
      <c r="V329" s="57"/>
      <c r="W329" s="208">
        <f>ROUND((ROUND((ROUND((_15_同援日増４．５*_15・２人),0)*(1+_15・A夜間)),0)*(1+_15・盲ろう)),0)</f>
        <v>914</v>
      </c>
      <c r="X329" s="48"/>
    </row>
    <row r="330" spans="1:24" ht="16.5" customHeight="1" x14ac:dyDescent="0.15">
      <c r="A330" s="41">
        <v>15</v>
      </c>
      <c r="B330" s="41" t="s">
        <v>25109</v>
      </c>
      <c r="C330" s="74" t="s">
        <v>25110</v>
      </c>
      <c r="D330" s="72"/>
      <c r="F330" s="57"/>
      <c r="G330" s="114" t="s">
        <v>17558</v>
      </c>
      <c r="H330" s="49"/>
      <c r="I330" s="50"/>
      <c r="J330" s="163"/>
      <c r="K330" s="45"/>
      <c r="L330" s="46"/>
      <c r="M330" s="512"/>
      <c r="N330" s="57"/>
      <c r="O330" s="35"/>
      <c r="P330" s="12" t="s">
        <v>398</v>
      </c>
      <c r="Q330" s="13">
        <v>0.25</v>
      </c>
      <c r="R330" s="57" t="s">
        <v>3575</v>
      </c>
      <c r="S330" s="35"/>
      <c r="V330" s="57"/>
      <c r="W330" s="208">
        <f>ROUND((ROUND((ROUND((_15_同援日増４．５*_15・基礎２),0)*(1+_15・A夜間)),0)*(1+_15・盲ろう)),0)</f>
        <v>824</v>
      </c>
      <c r="X330" s="48"/>
    </row>
    <row r="331" spans="1:24" ht="16.5" customHeight="1" x14ac:dyDescent="0.15">
      <c r="A331" s="41">
        <v>15</v>
      </c>
      <c r="B331" s="41" t="s">
        <v>25111</v>
      </c>
      <c r="C331" s="74" t="s">
        <v>25112</v>
      </c>
      <c r="D331" s="72"/>
      <c r="F331" s="57"/>
      <c r="G331" s="269" t="s">
        <v>17560</v>
      </c>
      <c r="H331" s="37" t="s">
        <v>398</v>
      </c>
      <c r="I331" s="38">
        <v>0.9</v>
      </c>
      <c r="J331" s="299" t="s">
        <v>17556</v>
      </c>
      <c r="K331" s="45" t="s">
        <v>398</v>
      </c>
      <c r="L331" s="46">
        <v>1</v>
      </c>
      <c r="M331" s="512"/>
      <c r="N331" s="57"/>
      <c r="O331" s="43"/>
      <c r="P331" s="37"/>
      <c r="Q331" s="38"/>
      <c r="R331" s="79"/>
      <c r="S331" s="43"/>
      <c r="T331" s="37"/>
      <c r="U331" s="38"/>
      <c r="V331" s="79"/>
      <c r="W331" s="208">
        <f>ROUND((ROUND((ROUND((ROUND((_15_同援日増４．５*_15・基礎２),0)*_15・２人),0)*(1+_15・A夜間)),0)*(1+_15・盲ろう)),0)</f>
        <v>824</v>
      </c>
      <c r="X331" s="48"/>
    </row>
    <row r="332" spans="1:24" ht="16.5" customHeight="1" x14ac:dyDescent="0.15">
      <c r="A332" s="41">
        <v>15</v>
      </c>
      <c r="B332" s="41" t="s">
        <v>25113</v>
      </c>
      <c r="C332" s="74" t="s">
        <v>25114</v>
      </c>
      <c r="D332" s="72"/>
      <c r="F332" s="57"/>
      <c r="G332" s="53"/>
      <c r="H332" s="49"/>
      <c r="I332" s="50"/>
      <c r="J332" s="163"/>
      <c r="K332" s="45"/>
      <c r="L332" s="46"/>
      <c r="M332" s="512"/>
      <c r="N332" s="57"/>
      <c r="O332" s="53"/>
      <c r="P332" s="49"/>
      <c r="Q332" s="50"/>
      <c r="R332" s="115"/>
      <c r="S332" s="53"/>
      <c r="T332" s="49"/>
      <c r="U332" s="50"/>
      <c r="V332" s="115"/>
      <c r="W332" s="208">
        <f>ROUND((ROUND((_15_同援日増４．５*(1+_15・A夜間)),0)*(1+_15・区３)),0)</f>
        <v>877</v>
      </c>
      <c r="X332" s="48"/>
    </row>
    <row r="333" spans="1:24" ht="16.5" customHeight="1" x14ac:dyDescent="0.15">
      <c r="A333" s="41">
        <v>15</v>
      </c>
      <c r="B333" s="41" t="s">
        <v>25115</v>
      </c>
      <c r="C333" s="74" t="s">
        <v>25116</v>
      </c>
      <c r="D333" s="72"/>
      <c r="F333" s="57"/>
      <c r="G333" s="43"/>
      <c r="H333" s="37"/>
      <c r="I333" s="38"/>
      <c r="J333" s="299" t="s">
        <v>17556</v>
      </c>
      <c r="K333" s="45" t="s">
        <v>398</v>
      </c>
      <c r="L333" s="46">
        <v>1</v>
      </c>
      <c r="M333" s="512"/>
      <c r="N333" s="57"/>
      <c r="O333" s="35"/>
      <c r="R333" s="57"/>
      <c r="S333" s="35"/>
      <c r="V333" s="57"/>
      <c r="W333" s="208">
        <f>ROUND((ROUND((ROUND((_15_同援日増４．５*_15・２人),0)*(1+_15・A夜間)),0)*(1+_15・区３)),0)</f>
        <v>877</v>
      </c>
      <c r="X333" s="48"/>
    </row>
    <row r="334" spans="1:24" ht="16.5" customHeight="1" x14ac:dyDescent="0.15">
      <c r="A334" s="41">
        <v>15</v>
      </c>
      <c r="B334" s="41" t="s">
        <v>25117</v>
      </c>
      <c r="C334" s="74" t="s">
        <v>25118</v>
      </c>
      <c r="D334" s="72"/>
      <c r="F334" s="57"/>
      <c r="G334" s="114" t="s">
        <v>17558</v>
      </c>
      <c r="H334" s="49"/>
      <c r="I334" s="50"/>
      <c r="J334" s="163"/>
      <c r="K334" s="45"/>
      <c r="L334" s="46"/>
      <c r="M334" s="512"/>
      <c r="N334" s="57"/>
      <c r="O334" s="35"/>
      <c r="R334" s="57"/>
      <c r="S334" s="72" t="s">
        <v>17570</v>
      </c>
      <c r="V334" s="57"/>
      <c r="W334" s="208">
        <f>ROUND((ROUND((ROUND((_15_同援日増４．５*_15・基礎２),0)*(1+_15・A夜間)),0)*(1+_15・区３)),0)</f>
        <v>791</v>
      </c>
      <c r="X334" s="48"/>
    </row>
    <row r="335" spans="1:24" ht="16.5" customHeight="1" x14ac:dyDescent="0.15">
      <c r="A335" s="41">
        <v>15</v>
      </c>
      <c r="B335" s="41" t="s">
        <v>25119</v>
      </c>
      <c r="C335" s="74" t="s">
        <v>25120</v>
      </c>
      <c r="D335" s="72"/>
      <c r="F335" s="57"/>
      <c r="G335" s="269" t="s">
        <v>17560</v>
      </c>
      <c r="H335" s="37" t="s">
        <v>398</v>
      </c>
      <c r="I335" s="38">
        <v>0.9</v>
      </c>
      <c r="J335" s="299" t="s">
        <v>17556</v>
      </c>
      <c r="K335" s="45" t="s">
        <v>398</v>
      </c>
      <c r="L335" s="46">
        <v>1</v>
      </c>
      <c r="M335" s="512"/>
      <c r="N335" s="57"/>
      <c r="O335" s="43"/>
      <c r="P335" s="37"/>
      <c r="Q335" s="38"/>
      <c r="R335" s="79"/>
      <c r="S335" s="72" t="s">
        <v>17572</v>
      </c>
      <c r="V335" s="57"/>
      <c r="W335" s="208">
        <f>ROUND((ROUND((ROUND((ROUND((_15_同援日増４．５*_15・基礎２),0)*_15・２人),0)*(1+_15・A夜間)),0)*(1+_15・区３)),0)</f>
        <v>791</v>
      </c>
      <c r="X335" s="48"/>
    </row>
    <row r="336" spans="1:24" ht="16.5" customHeight="1" x14ac:dyDescent="0.15">
      <c r="A336" s="41">
        <v>15</v>
      </c>
      <c r="B336" s="41" t="s">
        <v>25121</v>
      </c>
      <c r="C336" s="74" t="s">
        <v>25122</v>
      </c>
      <c r="D336" s="72"/>
      <c r="F336" s="57"/>
      <c r="G336" s="53"/>
      <c r="H336" s="49"/>
      <c r="I336" s="50"/>
      <c r="J336" s="163"/>
      <c r="K336" s="45"/>
      <c r="L336" s="46"/>
      <c r="M336" s="512"/>
      <c r="N336" s="57"/>
      <c r="O336" s="114" t="s">
        <v>17562</v>
      </c>
      <c r="P336" s="49"/>
      <c r="Q336" s="50"/>
      <c r="R336" s="115"/>
      <c r="S336" s="35"/>
      <c r="T336" s="12" t="s">
        <v>398</v>
      </c>
      <c r="U336" s="13">
        <v>0.2</v>
      </c>
      <c r="V336" s="57" t="s">
        <v>3575</v>
      </c>
      <c r="W336" s="208">
        <f>ROUND((ROUND((ROUND((_15_同援日増４．５*(1+_15・A夜間)),0)*(1+_15・盲ろう)),0)*(1+_15・区３)),0)</f>
        <v>1097</v>
      </c>
      <c r="X336" s="48"/>
    </row>
    <row r="337" spans="1:24" ht="16.5" customHeight="1" x14ac:dyDescent="0.15">
      <c r="A337" s="41">
        <v>15</v>
      </c>
      <c r="B337" s="41" t="s">
        <v>25123</v>
      </c>
      <c r="C337" s="74" t="s">
        <v>25124</v>
      </c>
      <c r="D337" s="72"/>
      <c r="F337" s="57"/>
      <c r="G337" s="43"/>
      <c r="H337" s="37"/>
      <c r="I337" s="38"/>
      <c r="J337" s="299" t="s">
        <v>17556</v>
      </c>
      <c r="K337" s="45" t="s">
        <v>398</v>
      </c>
      <c r="L337" s="46">
        <v>1</v>
      </c>
      <c r="M337" s="512"/>
      <c r="N337" s="57"/>
      <c r="O337" s="92" t="s">
        <v>17564</v>
      </c>
      <c r="R337" s="57"/>
      <c r="S337" s="35"/>
      <c r="V337" s="57"/>
      <c r="W337" s="208">
        <f>ROUND((ROUND((ROUND((ROUND((_15_同援日増４．５*_15・２人),0)*(1+_15・A夜間)),0)*(1+_15・盲ろう)),0)*(1+_15・区３)),0)</f>
        <v>1097</v>
      </c>
      <c r="X337" s="48"/>
    </row>
    <row r="338" spans="1:24" ht="16.5" customHeight="1" x14ac:dyDescent="0.15">
      <c r="A338" s="41">
        <v>15</v>
      </c>
      <c r="B338" s="41" t="s">
        <v>25125</v>
      </c>
      <c r="C338" s="74" t="s">
        <v>25126</v>
      </c>
      <c r="D338" s="72"/>
      <c r="F338" s="57"/>
      <c r="G338" s="114" t="s">
        <v>17558</v>
      </c>
      <c r="H338" s="49"/>
      <c r="I338" s="50"/>
      <c r="J338" s="163"/>
      <c r="K338" s="45"/>
      <c r="L338" s="46"/>
      <c r="M338" s="512"/>
      <c r="N338" s="57"/>
      <c r="O338" s="35"/>
      <c r="P338" s="12" t="s">
        <v>398</v>
      </c>
      <c r="Q338" s="13">
        <v>0.25</v>
      </c>
      <c r="R338" s="57" t="s">
        <v>3575</v>
      </c>
      <c r="S338" s="35"/>
      <c r="V338" s="57"/>
      <c r="W338" s="208">
        <f>ROUND((ROUND((ROUND((ROUND((_15_同援日増４．５*_15・基礎２),0)*(1+_15・A夜間)),0)*(1+_15・盲ろう)),0)*(1+_15・区３)),0)</f>
        <v>989</v>
      </c>
      <c r="X338" s="48"/>
    </row>
    <row r="339" spans="1:24" ht="16.5" customHeight="1" x14ac:dyDescent="0.15">
      <c r="A339" s="41">
        <v>15</v>
      </c>
      <c r="B339" s="41" t="s">
        <v>25127</v>
      </c>
      <c r="C339" s="74" t="s">
        <v>25128</v>
      </c>
      <c r="D339" s="72"/>
      <c r="F339" s="57"/>
      <c r="G339" s="269" t="s">
        <v>17560</v>
      </c>
      <c r="H339" s="37" t="s">
        <v>398</v>
      </c>
      <c r="I339" s="38">
        <v>0.9</v>
      </c>
      <c r="J339" s="299" t="s">
        <v>17556</v>
      </c>
      <c r="K339" s="45" t="s">
        <v>398</v>
      </c>
      <c r="L339" s="46">
        <v>1</v>
      </c>
      <c r="M339" s="512"/>
      <c r="N339" s="57"/>
      <c r="O339" s="43"/>
      <c r="P339" s="37"/>
      <c r="Q339" s="38"/>
      <c r="R339" s="79"/>
      <c r="S339" s="43"/>
      <c r="T339" s="37"/>
      <c r="U339" s="38"/>
      <c r="V339" s="79"/>
      <c r="W339" s="208">
        <f>ROUND((ROUND((ROUND((ROUND((ROUND((_15_同援日増４．５*_15・基礎２),0)*_15・２人),0)*(1+_15・A夜間)),0)*(1+_15・盲ろう)),0)*(1+_15・区３)),0)</f>
        <v>989</v>
      </c>
      <c r="X339" s="48"/>
    </row>
    <row r="340" spans="1:24" ht="16.5" customHeight="1" x14ac:dyDescent="0.15">
      <c r="A340" s="41">
        <v>15</v>
      </c>
      <c r="B340" s="41" t="s">
        <v>25129</v>
      </c>
      <c r="C340" s="74" t="s">
        <v>25130</v>
      </c>
      <c r="D340" s="72"/>
      <c r="F340" s="57"/>
      <c r="G340" s="53"/>
      <c r="H340" s="49"/>
      <c r="I340" s="50"/>
      <c r="J340" s="163"/>
      <c r="K340" s="45"/>
      <c r="L340" s="46"/>
      <c r="M340" s="512"/>
      <c r="N340" s="57"/>
      <c r="O340" s="53"/>
      <c r="P340" s="49"/>
      <c r="Q340" s="50"/>
      <c r="R340" s="115"/>
      <c r="S340" s="53"/>
      <c r="T340" s="49"/>
      <c r="U340" s="50"/>
      <c r="V340" s="115"/>
      <c r="W340" s="208">
        <f>ROUND((ROUND((_15_同援日増４．５*(1+_15・A夜間)),0)*(1+_15・区４)),0)</f>
        <v>1023</v>
      </c>
      <c r="X340" s="48"/>
    </row>
    <row r="341" spans="1:24" ht="16.5" customHeight="1" x14ac:dyDescent="0.15">
      <c r="A341" s="41">
        <v>15</v>
      </c>
      <c r="B341" s="41" t="s">
        <v>25131</v>
      </c>
      <c r="C341" s="74" t="s">
        <v>25132</v>
      </c>
      <c r="D341" s="72"/>
      <c r="F341" s="57"/>
      <c r="G341" s="43"/>
      <c r="H341" s="37"/>
      <c r="I341" s="38"/>
      <c r="J341" s="299" t="s">
        <v>17556</v>
      </c>
      <c r="K341" s="45" t="s">
        <v>398</v>
      </c>
      <c r="L341" s="46">
        <v>1</v>
      </c>
      <c r="M341" s="512"/>
      <c r="N341" s="57"/>
      <c r="O341" s="35"/>
      <c r="R341" s="57"/>
      <c r="S341" s="35"/>
      <c r="V341" s="57"/>
      <c r="W341" s="208">
        <f>ROUND((ROUND((ROUND((_15_同援日増４．５*_15・２人),0)*(1+_15・A夜間)),0)*(1+_15・区４)),0)</f>
        <v>1023</v>
      </c>
      <c r="X341" s="48"/>
    </row>
    <row r="342" spans="1:24" ht="16.5" customHeight="1" x14ac:dyDescent="0.15">
      <c r="A342" s="41">
        <v>15</v>
      </c>
      <c r="B342" s="41" t="s">
        <v>25133</v>
      </c>
      <c r="C342" s="74" t="s">
        <v>25134</v>
      </c>
      <c r="D342" s="72"/>
      <c r="F342" s="57"/>
      <c r="G342" s="114" t="s">
        <v>17558</v>
      </c>
      <c r="H342" s="49"/>
      <c r="I342" s="50"/>
      <c r="J342" s="163"/>
      <c r="K342" s="45"/>
      <c r="L342" s="46"/>
      <c r="M342" s="512"/>
      <c r="N342" s="57"/>
      <c r="O342" s="35"/>
      <c r="R342" s="57"/>
      <c r="S342" s="72" t="s">
        <v>17580</v>
      </c>
      <c r="V342" s="57"/>
      <c r="W342" s="208">
        <f>ROUND((ROUND((ROUND((_15_同援日増４．５*_15・基礎２),0)*(1+_15・A夜間)),0)*(1+_15・区４)),0)</f>
        <v>923</v>
      </c>
      <c r="X342" s="48"/>
    </row>
    <row r="343" spans="1:24" ht="16.5" customHeight="1" x14ac:dyDescent="0.15">
      <c r="A343" s="41">
        <v>15</v>
      </c>
      <c r="B343" s="41" t="s">
        <v>25135</v>
      </c>
      <c r="C343" s="74" t="s">
        <v>25136</v>
      </c>
      <c r="D343" s="72"/>
      <c r="F343" s="57"/>
      <c r="G343" s="269" t="s">
        <v>17560</v>
      </c>
      <c r="H343" s="37" t="s">
        <v>398</v>
      </c>
      <c r="I343" s="38">
        <v>0.9</v>
      </c>
      <c r="J343" s="299" t="s">
        <v>17556</v>
      </c>
      <c r="K343" s="45" t="s">
        <v>398</v>
      </c>
      <c r="L343" s="46">
        <v>1</v>
      </c>
      <c r="M343" s="512"/>
      <c r="N343" s="57"/>
      <c r="O343" s="43"/>
      <c r="P343" s="37"/>
      <c r="Q343" s="38"/>
      <c r="R343" s="79"/>
      <c r="S343" s="72" t="s">
        <v>17572</v>
      </c>
      <c r="V343" s="57"/>
      <c r="W343" s="208">
        <f>ROUND((ROUND((ROUND((ROUND((_15_同援日増４．５*_15・基礎２),0)*_15・２人),0)*(1+_15・A夜間)),0)*(1+_15・区４)),0)</f>
        <v>923</v>
      </c>
      <c r="X343" s="48"/>
    </row>
    <row r="344" spans="1:24" ht="16.5" customHeight="1" x14ac:dyDescent="0.15">
      <c r="A344" s="41">
        <v>15</v>
      </c>
      <c r="B344" s="41" t="s">
        <v>25137</v>
      </c>
      <c r="C344" s="74" t="s">
        <v>25138</v>
      </c>
      <c r="D344" s="72"/>
      <c r="F344" s="57"/>
      <c r="G344" s="53"/>
      <c r="H344" s="49"/>
      <c r="I344" s="50"/>
      <c r="J344" s="163"/>
      <c r="K344" s="45"/>
      <c r="L344" s="46"/>
      <c r="M344" s="512"/>
      <c r="N344" s="57"/>
      <c r="O344" s="114" t="s">
        <v>17562</v>
      </c>
      <c r="P344" s="49"/>
      <c r="Q344" s="50"/>
      <c r="R344" s="115"/>
      <c r="S344" s="35"/>
      <c r="T344" s="12" t="s">
        <v>398</v>
      </c>
      <c r="U344" s="13">
        <v>0.4</v>
      </c>
      <c r="V344" s="57" t="s">
        <v>3575</v>
      </c>
      <c r="W344" s="208">
        <f>ROUND((ROUND((ROUND((_15_同援日増４．５*(1+_15・A夜間)),0)*(1+_15・盲ろう)),0)*(1+_15・区４)),0)</f>
        <v>1280</v>
      </c>
      <c r="X344" s="48"/>
    </row>
    <row r="345" spans="1:24" ht="16.5" customHeight="1" x14ac:dyDescent="0.15">
      <c r="A345" s="41">
        <v>15</v>
      </c>
      <c r="B345" s="41" t="s">
        <v>25139</v>
      </c>
      <c r="C345" s="74" t="s">
        <v>25140</v>
      </c>
      <c r="D345" s="72"/>
      <c r="F345" s="57"/>
      <c r="G345" s="43"/>
      <c r="H345" s="37"/>
      <c r="I345" s="38"/>
      <c r="J345" s="299" t="s">
        <v>17556</v>
      </c>
      <c r="K345" s="45" t="s">
        <v>398</v>
      </c>
      <c r="L345" s="46">
        <v>1</v>
      </c>
      <c r="M345" s="512"/>
      <c r="N345" s="57"/>
      <c r="O345" s="92" t="s">
        <v>17564</v>
      </c>
      <c r="R345" s="57"/>
      <c r="S345" s="35"/>
      <c r="V345" s="57"/>
      <c r="W345" s="208">
        <f>ROUND((ROUND((ROUND((ROUND((_15_同援日増４．５*_15・２人),0)*(1+_15・A夜間)),0)*(1+_15・盲ろう)),0)*(1+_15・区４)),0)</f>
        <v>1280</v>
      </c>
      <c r="X345" s="48"/>
    </row>
    <row r="346" spans="1:24" ht="16.5" customHeight="1" x14ac:dyDescent="0.15">
      <c r="A346" s="41">
        <v>15</v>
      </c>
      <c r="B346" s="41" t="s">
        <v>2267</v>
      </c>
      <c r="C346" s="74" t="s">
        <v>25141</v>
      </c>
      <c r="D346" s="72"/>
      <c r="F346" s="57"/>
      <c r="G346" s="114" t="s">
        <v>17558</v>
      </c>
      <c r="H346" s="49"/>
      <c r="I346" s="50"/>
      <c r="J346" s="163"/>
      <c r="K346" s="45"/>
      <c r="L346" s="46"/>
      <c r="M346" s="512"/>
      <c r="N346" s="57"/>
      <c r="O346" s="35"/>
      <c r="P346" s="12" t="s">
        <v>398</v>
      </c>
      <c r="Q346" s="13">
        <v>0.25</v>
      </c>
      <c r="R346" s="57" t="s">
        <v>3575</v>
      </c>
      <c r="S346" s="35"/>
      <c r="V346" s="57"/>
      <c r="W346" s="208">
        <f>ROUND((ROUND((ROUND((ROUND((_15_同援日増４．５*_15・基礎２),0)*(1+_15・A夜間)),0)*(1+_15・盲ろう)),0)*(1+_15・区４)),0)</f>
        <v>1154</v>
      </c>
      <c r="X346" s="48"/>
    </row>
    <row r="347" spans="1:24" ht="16.5" customHeight="1" x14ac:dyDescent="0.15">
      <c r="A347" s="41">
        <v>15</v>
      </c>
      <c r="B347" s="41" t="s">
        <v>2269</v>
      </c>
      <c r="C347" s="74" t="s">
        <v>25142</v>
      </c>
      <c r="D347" s="122"/>
      <c r="E347" s="37"/>
      <c r="F347" s="79"/>
      <c r="G347" s="269" t="s">
        <v>17560</v>
      </c>
      <c r="H347" s="37" t="s">
        <v>398</v>
      </c>
      <c r="I347" s="38">
        <v>0.9</v>
      </c>
      <c r="J347" s="299" t="s">
        <v>17556</v>
      </c>
      <c r="K347" s="45" t="s">
        <v>398</v>
      </c>
      <c r="L347" s="46">
        <v>1</v>
      </c>
      <c r="M347" s="514"/>
      <c r="N347" s="79"/>
      <c r="O347" s="43"/>
      <c r="P347" s="37"/>
      <c r="Q347" s="38"/>
      <c r="R347" s="79"/>
      <c r="S347" s="43"/>
      <c r="T347" s="37"/>
      <c r="U347" s="38"/>
      <c r="V347" s="79"/>
      <c r="W347" s="208">
        <f>ROUND((ROUND((ROUND((ROUND((ROUND((_15_同援日増４．５*_15・基礎２),0)*_15・２人),0)*(1+_15・A夜間)),0)*(1+_15・盲ろう)),0)*(1+_15・区４)),0)</f>
        <v>1154</v>
      </c>
      <c r="X347" s="63"/>
    </row>
    <row r="348" spans="1:24" ht="16.5" customHeight="1" x14ac:dyDescent="0.15"/>
    <row r="349" spans="1:24"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47" fitToHeight="0" orientation="portrait" r:id="rId1"/>
  <headerFooter>
    <oddHeader>&amp;R&amp;"ＭＳ Ｐゴシック"&amp;9同行援護</oddHeader>
    <oddFooter>&amp;C&amp;"ＭＳ Ｐゴシック"&amp;14&amp;P</oddFooter>
  </headerFooter>
  <rowBreaks count="4" manualBreakCount="4">
    <brk id="78" max="23" man="1"/>
    <brk id="155" max="23" man="1"/>
    <brk id="227" max="23" man="1"/>
    <brk id="299" max="23"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4">
    <pageSetUpPr fitToPage="1"/>
  </sheetPr>
  <dimension ref="A1:X320"/>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13.125" style="10" bestFit="1" customWidth="1"/>
    <col min="5" max="5" width="4.125" style="12" bestFit="1" customWidth="1"/>
    <col min="6" max="6" width="4.875" style="12" bestFit="1" customWidth="1"/>
    <col min="7" max="7" width="14.5" style="12" customWidth="1"/>
    <col min="8" max="8" width="3.125" style="12" bestFit="1" customWidth="1"/>
    <col min="9" max="9" width="4.125" style="13" bestFit="1" customWidth="1"/>
    <col min="10" max="10" width="26.5" style="12" bestFit="1" customWidth="1"/>
    <col min="11" max="11" width="3.125" style="12" bestFit="1" customWidth="1"/>
    <col min="12" max="12" width="5" style="13" bestFit="1" customWidth="1"/>
    <col min="13" max="13" width="4.125" style="13" bestFit="1" customWidth="1"/>
    <col min="14" max="14" width="4.875" style="12" bestFit="1" customWidth="1"/>
    <col min="15" max="15" width="10.5" style="12" customWidth="1"/>
    <col min="16" max="16" width="3.125" style="12" bestFit="1" customWidth="1"/>
    <col min="17" max="17" width="4.125" style="13" bestFit="1" customWidth="1"/>
    <col min="18" max="18" width="4.875" style="12" bestFit="1" customWidth="1"/>
    <col min="19" max="19" width="8.5" style="12" customWidth="1"/>
    <col min="20" max="20" width="3.125" style="12" bestFit="1" customWidth="1"/>
    <col min="21" max="21" width="4.125" style="13" bestFit="1" customWidth="1"/>
    <col min="22" max="22" width="4.875" style="12" bestFit="1" customWidth="1"/>
    <col min="23" max="23" width="7.125" style="206" customWidth="1"/>
    <col min="24" max="24" width="8.5" style="16" customWidth="1"/>
    <col min="25" max="16384" width="9" style="12"/>
  </cols>
  <sheetData>
    <row r="1" spans="1:24" ht="17.100000000000001" customHeight="1" x14ac:dyDescent="0.15"/>
    <row r="2" spans="1:24" ht="17.100000000000001" customHeight="1" x14ac:dyDescent="0.15"/>
    <row r="3" spans="1:24" ht="17.100000000000001" customHeight="1" x14ac:dyDescent="0.15"/>
    <row r="4" spans="1:24" ht="17.100000000000001" customHeight="1" x14ac:dyDescent="0.15">
      <c r="B4" s="17" t="s">
        <v>25143</v>
      </c>
      <c r="D4" s="71"/>
    </row>
    <row r="5" spans="1:24" ht="16.5" customHeight="1" x14ac:dyDescent="0.15">
      <c r="A5" s="19" t="s">
        <v>384</v>
      </c>
      <c r="B5" s="20"/>
      <c r="C5" s="21" t="s">
        <v>385</v>
      </c>
      <c r="D5" s="23" t="s">
        <v>386</v>
      </c>
      <c r="E5" s="23"/>
      <c r="F5" s="23"/>
      <c r="G5" s="23"/>
      <c r="H5" s="23"/>
      <c r="I5" s="24"/>
      <c r="J5" s="23"/>
      <c r="K5" s="23"/>
      <c r="L5" s="24"/>
      <c r="M5" s="24"/>
      <c r="N5" s="23"/>
      <c r="O5" s="23"/>
      <c r="P5" s="23"/>
      <c r="Q5" s="24"/>
      <c r="R5" s="23"/>
      <c r="S5" s="23"/>
      <c r="T5" s="23"/>
      <c r="U5" s="24"/>
      <c r="V5" s="23"/>
      <c r="W5" s="21" t="s">
        <v>387</v>
      </c>
      <c r="X5" s="21" t="s">
        <v>388</v>
      </c>
    </row>
    <row r="6" spans="1:24" ht="16.5" customHeight="1" x14ac:dyDescent="0.15">
      <c r="A6" s="26" t="s">
        <v>389</v>
      </c>
      <c r="B6" s="26" t="s">
        <v>390</v>
      </c>
      <c r="C6" s="27"/>
      <c r="D6" s="29"/>
      <c r="E6" s="29"/>
      <c r="F6" s="29"/>
      <c r="G6" s="29"/>
      <c r="H6" s="29"/>
      <c r="I6" s="30"/>
      <c r="J6" s="29"/>
      <c r="K6" s="29"/>
      <c r="L6" s="30"/>
      <c r="M6" s="30"/>
      <c r="N6" s="29"/>
      <c r="O6" s="29"/>
      <c r="P6" s="29"/>
      <c r="Q6" s="30"/>
      <c r="R6" s="29"/>
      <c r="S6" s="29"/>
      <c r="T6" s="29"/>
      <c r="U6" s="30"/>
      <c r="V6" s="29"/>
      <c r="W6" s="32" t="s">
        <v>391</v>
      </c>
      <c r="X6" s="32" t="s">
        <v>392</v>
      </c>
    </row>
    <row r="7" spans="1:24" ht="16.5" customHeight="1" x14ac:dyDescent="0.15">
      <c r="A7" s="33">
        <v>15</v>
      </c>
      <c r="B7" s="33" t="s">
        <v>2271</v>
      </c>
      <c r="C7" s="34" t="s">
        <v>25144</v>
      </c>
      <c r="D7" s="72" t="s">
        <v>25145</v>
      </c>
      <c r="F7" s="57"/>
      <c r="G7" s="35"/>
      <c r="J7" s="43"/>
      <c r="K7" s="37"/>
      <c r="L7" s="38"/>
      <c r="M7" s="512"/>
      <c r="N7" s="57"/>
      <c r="O7" s="35"/>
      <c r="R7" s="57"/>
      <c r="S7" s="35"/>
      <c r="V7" s="57"/>
      <c r="W7" s="207">
        <f>ROUND((_15_同援日増０．５*(1+_15・A深夜)),0)</f>
        <v>98</v>
      </c>
      <c r="X7" s="40" t="s">
        <v>395</v>
      </c>
    </row>
    <row r="8" spans="1:24" ht="16.5" customHeight="1" x14ac:dyDescent="0.15">
      <c r="A8" s="41">
        <v>15</v>
      </c>
      <c r="B8" s="41" t="s">
        <v>2273</v>
      </c>
      <c r="C8" s="74" t="s">
        <v>25146</v>
      </c>
      <c r="D8" s="72" t="s">
        <v>18259</v>
      </c>
      <c r="F8" s="57"/>
      <c r="G8" s="43"/>
      <c r="H8" s="37"/>
      <c r="I8" s="38"/>
      <c r="J8" s="299" t="s">
        <v>17556</v>
      </c>
      <c r="K8" s="45" t="s">
        <v>398</v>
      </c>
      <c r="L8" s="46">
        <v>1</v>
      </c>
      <c r="M8" s="512"/>
      <c r="N8" s="57"/>
      <c r="O8" s="35"/>
      <c r="R8" s="57"/>
      <c r="S8" s="35"/>
      <c r="V8" s="57"/>
      <c r="W8" s="208">
        <f>ROUND((ROUND((_15_同援日増０．５*_15・２人),0)*(1+_15・A深夜)),0)</f>
        <v>98</v>
      </c>
      <c r="X8" s="48"/>
    </row>
    <row r="9" spans="1:24" ht="16.5" customHeight="1" x14ac:dyDescent="0.15">
      <c r="A9" s="41">
        <v>15</v>
      </c>
      <c r="B9" s="41" t="s">
        <v>25147</v>
      </c>
      <c r="C9" s="74" t="s">
        <v>25148</v>
      </c>
      <c r="D9" s="72"/>
      <c r="F9" s="57"/>
      <c r="G9" s="114" t="s">
        <v>17558</v>
      </c>
      <c r="H9" s="49"/>
      <c r="I9" s="50"/>
      <c r="J9" s="163"/>
      <c r="K9" s="45"/>
      <c r="L9" s="46"/>
      <c r="M9" s="512"/>
      <c r="N9" s="57"/>
      <c r="O9" s="35"/>
      <c r="R9" s="57"/>
      <c r="S9" s="35"/>
      <c r="V9" s="57"/>
      <c r="W9" s="208">
        <f>ROUND((ROUND((_15_同援日増０．５*_15・基礎２),0)*(1+_15・A深夜)),0)</f>
        <v>89</v>
      </c>
      <c r="X9" s="48"/>
    </row>
    <row r="10" spans="1:24" ht="16.5" customHeight="1" x14ac:dyDescent="0.15">
      <c r="A10" s="41">
        <v>15</v>
      </c>
      <c r="B10" s="41" t="s">
        <v>25149</v>
      </c>
      <c r="C10" s="74" t="s">
        <v>25150</v>
      </c>
      <c r="D10" s="72"/>
      <c r="E10" s="168">
        <f>_15_同援日増０．５</f>
        <v>65</v>
      </c>
      <c r="F10" s="57" t="s">
        <v>392</v>
      </c>
      <c r="G10" s="269" t="s">
        <v>17560</v>
      </c>
      <c r="H10" s="37" t="s">
        <v>398</v>
      </c>
      <c r="I10" s="38">
        <v>0.9</v>
      </c>
      <c r="J10" s="299" t="s">
        <v>17556</v>
      </c>
      <c r="K10" s="45" t="s">
        <v>398</v>
      </c>
      <c r="L10" s="46">
        <v>1</v>
      </c>
      <c r="M10" s="512"/>
      <c r="N10" s="57"/>
      <c r="O10" s="43"/>
      <c r="P10" s="37"/>
      <c r="Q10" s="38"/>
      <c r="R10" s="79"/>
      <c r="S10" s="35"/>
      <c r="V10" s="57"/>
      <c r="W10" s="208">
        <f>ROUND((ROUND((ROUND((_15_同援日増０．５*_15・基礎２),0)*_15・２人),0)*(1+_15・A深夜)),0)</f>
        <v>89</v>
      </c>
      <c r="X10" s="48"/>
    </row>
    <row r="11" spans="1:24" ht="16.5" customHeight="1" x14ac:dyDescent="0.15">
      <c r="A11" s="41">
        <v>15</v>
      </c>
      <c r="B11" s="41" t="s">
        <v>25151</v>
      </c>
      <c r="C11" s="74" t="s">
        <v>25152</v>
      </c>
      <c r="D11" s="72"/>
      <c r="F11" s="57"/>
      <c r="G11" s="53"/>
      <c r="H11" s="49"/>
      <c r="I11" s="50"/>
      <c r="J11" s="163"/>
      <c r="K11" s="45"/>
      <c r="L11" s="46"/>
      <c r="M11" s="512"/>
      <c r="N11" s="57"/>
      <c r="O11" s="114" t="s">
        <v>17562</v>
      </c>
      <c r="P11" s="49"/>
      <c r="Q11" s="50"/>
      <c r="R11" s="115"/>
      <c r="S11" s="35"/>
      <c r="V11" s="57"/>
      <c r="W11" s="208">
        <f>ROUND((ROUND((_15_同援日増０．５*(1+_15・A深夜)),0)*(1+_15・盲ろう)),0)</f>
        <v>123</v>
      </c>
      <c r="X11" s="48"/>
    </row>
    <row r="12" spans="1:24" ht="16.5" customHeight="1" x14ac:dyDescent="0.15">
      <c r="A12" s="41">
        <v>15</v>
      </c>
      <c r="B12" s="41" t="s">
        <v>25153</v>
      </c>
      <c r="C12" s="74" t="s">
        <v>25154</v>
      </c>
      <c r="D12" s="72"/>
      <c r="F12" s="57"/>
      <c r="G12" s="43"/>
      <c r="H12" s="37"/>
      <c r="I12" s="38"/>
      <c r="J12" s="299" t="s">
        <v>17556</v>
      </c>
      <c r="K12" s="45" t="s">
        <v>398</v>
      </c>
      <c r="L12" s="46">
        <v>1</v>
      </c>
      <c r="M12" s="512" t="s">
        <v>18493</v>
      </c>
      <c r="N12" s="57"/>
      <c r="O12" s="92" t="s">
        <v>17564</v>
      </c>
      <c r="R12" s="57"/>
      <c r="S12" s="35"/>
      <c r="V12" s="57"/>
      <c r="W12" s="208">
        <f>ROUND((ROUND((ROUND((_15_同援日増０．５*_15・２人),0)*(1+_15・A深夜)),0)*(1+_15・盲ろう)),0)</f>
        <v>123</v>
      </c>
      <c r="X12" s="48"/>
    </row>
    <row r="13" spans="1:24" ht="16.5" customHeight="1" x14ac:dyDescent="0.15">
      <c r="A13" s="41">
        <v>15</v>
      </c>
      <c r="B13" s="41" t="s">
        <v>25155</v>
      </c>
      <c r="C13" s="74" t="s">
        <v>25156</v>
      </c>
      <c r="D13" s="72"/>
      <c r="F13" s="57"/>
      <c r="G13" s="114" t="s">
        <v>17558</v>
      </c>
      <c r="H13" s="49"/>
      <c r="I13" s="50"/>
      <c r="J13" s="163"/>
      <c r="K13" s="45"/>
      <c r="L13" s="46"/>
      <c r="M13" s="512"/>
      <c r="N13" s="518" t="s">
        <v>18136</v>
      </c>
      <c r="O13" s="35"/>
      <c r="P13" s="12" t="s">
        <v>398</v>
      </c>
      <c r="Q13" s="13">
        <v>0.25</v>
      </c>
      <c r="R13" s="57" t="s">
        <v>3575</v>
      </c>
      <c r="S13" s="35"/>
      <c r="V13" s="57"/>
      <c r="W13" s="208">
        <f>ROUND((ROUND((ROUND((_15_同援日増０．５*_15・基礎２),0)*(1+_15・A深夜)),0)*(1+_15・盲ろう)),0)</f>
        <v>111</v>
      </c>
      <c r="X13" s="48"/>
    </row>
    <row r="14" spans="1:24" ht="16.5" customHeight="1" x14ac:dyDescent="0.15">
      <c r="A14" s="41">
        <v>15</v>
      </c>
      <c r="B14" s="41" t="s">
        <v>25157</v>
      </c>
      <c r="C14" s="74" t="s">
        <v>25158</v>
      </c>
      <c r="D14" s="72"/>
      <c r="F14" s="57"/>
      <c r="G14" s="269" t="s">
        <v>17560</v>
      </c>
      <c r="H14" s="37" t="s">
        <v>398</v>
      </c>
      <c r="I14" s="38">
        <v>0.9</v>
      </c>
      <c r="J14" s="299" t="s">
        <v>17556</v>
      </c>
      <c r="K14" s="45" t="s">
        <v>398</v>
      </c>
      <c r="L14" s="46">
        <v>1</v>
      </c>
      <c r="M14" s="512"/>
      <c r="N14" s="57"/>
      <c r="O14" s="43"/>
      <c r="P14" s="37"/>
      <c r="Q14" s="38"/>
      <c r="R14" s="79"/>
      <c r="S14" s="43"/>
      <c r="T14" s="37"/>
      <c r="U14" s="38"/>
      <c r="V14" s="79"/>
      <c r="W14" s="208">
        <f>ROUND((ROUND((ROUND((ROUND((_15_同援日増０．５*_15・基礎２),0)*_15・２人),0)*(1+_15・A深夜)),0)*(1+_15・盲ろう)),0)</f>
        <v>111</v>
      </c>
      <c r="X14" s="48"/>
    </row>
    <row r="15" spans="1:24" ht="16.5" customHeight="1" x14ac:dyDescent="0.15">
      <c r="A15" s="41">
        <v>15</v>
      </c>
      <c r="B15" s="41" t="s">
        <v>25159</v>
      </c>
      <c r="C15" s="74" t="s">
        <v>25160</v>
      </c>
      <c r="D15" s="72"/>
      <c r="F15" s="57"/>
      <c r="G15" s="53"/>
      <c r="H15" s="49"/>
      <c r="I15" s="50"/>
      <c r="J15" s="163"/>
      <c r="K15" s="45"/>
      <c r="L15" s="46"/>
      <c r="M15" s="35" t="s">
        <v>398</v>
      </c>
      <c r="N15" s="234">
        <v>0.5</v>
      </c>
      <c r="O15" s="53"/>
      <c r="P15" s="49"/>
      <c r="Q15" s="50"/>
      <c r="R15" s="115"/>
      <c r="S15" s="53"/>
      <c r="T15" s="49"/>
      <c r="U15" s="50"/>
      <c r="V15" s="115"/>
      <c r="W15" s="208">
        <f>ROUND((ROUND((_15_同援日増０．５*(1+_15・A深夜)),0)*(1+_15・区３)),0)</f>
        <v>118</v>
      </c>
      <c r="X15" s="48"/>
    </row>
    <row r="16" spans="1:24" ht="16.5" customHeight="1" x14ac:dyDescent="0.15">
      <c r="A16" s="41">
        <v>15</v>
      </c>
      <c r="B16" s="41" t="s">
        <v>25161</v>
      </c>
      <c r="C16" s="74" t="s">
        <v>25162</v>
      </c>
      <c r="D16" s="72"/>
      <c r="F16" s="57"/>
      <c r="G16" s="43"/>
      <c r="H16" s="37"/>
      <c r="I16" s="38"/>
      <c r="J16" s="299" t="s">
        <v>17556</v>
      </c>
      <c r="K16" s="45" t="s">
        <v>398</v>
      </c>
      <c r="L16" s="46">
        <v>1</v>
      </c>
      <c r="M16" s="512"/>
      <c r="N16" s="513" t="s">
        <v>3575</v>
      </c>
      <c r="O16" s="35"/>
      <c r="R16" s="57"/>
      <c r="S16" s="35"/>
      <c r="V16" s="57"/>
      <c r="W16" s="208">
        <f>ROUND((ROUND((ROUND((_15_同援日増０．５*_15・２人),0)*(1+_15・A深夜)),0)*(1+_15・区３)),0)</f>
        <v>118</v>
      </c>
      <c r="X16" s="48"/>
    </row>
    <row r="17" spans="1:24" ht="16.5" customHeight="1" x14ac:dyDescent="0.15">
      <c r="A17" s="41">
        <v>15</v>
      </c>
      <c r="B17" s="41" t="s">
        <v>25163</v>
      </c>
      <c r="C17" s="74" t="s">
        <v>25164</v>
      </c>
      <c r="D17" s="72"/>
      <c r="F17" s="57"/>
      <c r="G17" s="114" t="s">
        <v>17558</v>
      </c>
      <c r="H17" s="49"/>
      <c r="I17" s="50"/>
      <c r="J17" s="163"/>
      <c r="K17" s="45"/>
      <c r="L17" s="46"/>
      <c r="M17" s="512"/>
      <c r="N17" s="57"/>
      <c r="O17" s="35"/>
      <c r="R17" s="57"/>
      <c r="S17" s="72" t="s">
        <v>17570</v>
      </c>
      <c r="V17" s="57"/>
      <c r="W17" s="208">
        <f>ROUND((ROUND((ROUND((_15_同援日増０．５*_15・基礎２),0)*(1+_15・A深夜)),0)*(1+_15・区３)),0)</f>
        <v>107</v>
      </c>
      <c r="X17" s="48"/>
    </row>
    <row r="18" spans="1:24" ht="16.5" customHeight="1" x14ac:dyDescent="0.15">
      <c r="A18" s="41">
        <v>15</v>
      </c>
      <c r="B18" s="41" t="s">
        <v>25165</v>
      </c>
      <c r="C18" s="74" t="s">
        <v>25166</v>
      </c>
      <c r="D18" s="72"/>
      <c r="F18" s="57"/>
      <c r="G18" s="269" t="s">
        <v>17560</v>
      </c>
      <c r="H18" s="37" t="s">
        <v>398</v>
      </c>
      <c r="I18" s="38">
        <v>0.9</v>
      </c>
      <c r="J18" s="299" t="s">
        <v>17556</v>
      </c>
      <c r="K18" s="45" t="s">
        <v>398</v>
      </c>
      <c r="L18" s="46">
        <v>1</v>
      </c>
      <c r="M18" s="512"/>
      <c r="N18" s="57"/>
      <c r="O18" s="43"/>
      <c r="P18" s="37"/>
      <c r="Q18" s="38"/>
      <c r="R18" s="79"/>
      <c r="S18" s="72" t="s">
        <v>17572</v>
      </c>
      <c r="V18" s="57"/>
      <c r="W18" s="208">
        <f>ROUND((ROUND((ROUND((ROUND((_15_同援日増０．５*_15・基礎２),0)*_15・２人),0)*(1+_15・A深夜)),0)*(1+_15・区３)),0)</f>
        <v>107</v>
      </c>
      <c r="X18" s="48"/>
    </row>
    <row r="19" spans="1:24" ht="16.5" customHeight="1" x14ac:dyDescent="0.15">
      <c r="A19" s="41">
        <v>15</v>
      </c>
      <c r="B19" s="41" t="s">
        <v>25167</v>
      </c>
      <c r="C19" s="74" t="s">
        <v>25168</v>
      </c>
      <c r="D19" s="72"/>
      <c r="F19" s="57"/>
      <c r="G19" s="53"/>
      <c r="H19" s="49"/>
      <c r="I19" s="50"/>
      <c r="J19" s="163"/>
      <c r="K19" s="45"/>
      <c r="L19" s="46"/>
      <c r="M19" s="512"/>
      <c r="N19" s="57"/>
      <c r="O19" s="114" t="s">
        <v>17562</v>
      </c>
      <c r="P19" s="49"/>
      <c r="Q19" s="50"/>
      <c r="R19" s="115"/>
      <c r="S19" s="35"/>
      <c r="T19" s="12" t="s">
        <v>398</v>
      </c>
      <c r="U19" s="13">
        <v>0.2</v>
      </c>
      <c r="V19" s="57" t="s">
        <v>3575</v>
      </c>
      <c r="W19" s="208">
        <f>ROUND((ROUND((ROUND((_15_同援日増０．５*(1+_15・A深夜)),0)*(1+_15・盲ろう)),0)*(1+_15・区３)),0)</f>
        <v>148</v>
      </c>
      <c r="X19" s="48"/>
    </row>
    <row r="20" spans="1:24" ht="16.5" customHeight="1" x14ac:dyDescent="0.15">
      <c r="A20" s="41">
        <v>15</v>
      </c>
      <c r="B20" s="41" t="s">
        <v>25169</v>
      </c>
      <c r="C20" s="74" t="s">
        <v>25170</v>
      </c>
      <c r="D20" s="72"/>
      <c r="F20" s="57"/>
      <c r="G20" s="43"/>
      <c r="H20" s="37"/>
      <c r="I20" s="38"/>
      <c r="J20" s="299" t="s">
        <v>17556</v>
      </c>
      <c r="K20" s="45" t="s">
        <v>398</v>
      </c>
      <c r="L20" s="46">
        <v>1</v>
      </c>
      <c r="M20" s="512"/>
      <c r="N20" s="57"/>
      <c r="O20" s="92" t="s">
        <v>17564</v>
      </c>
      <c r="R20" s="57"/>
      <c r="S20" s="35"/>
      <c r="V20" s="57"/>
      <c r="W20" s="208">
        <f>ROUND((ROUND((ROUND((ROUND((_15_同援日増０．５*_15・２人),0)*(1+_15・A深夜)),0)*(1+_15・盲ろう)),0)*(1+_15・区３)),0)</f>
        <v>148</v>
      </c>
      <c r="X20" s="48"/>
    </row>
    <row r="21" spans="1:24" ht="16.5" customHeight="1" x14ac:dyDescent="0.15">
      <c r="A21" s="41">
        <v>15</v>
      </c>
      <c r="B21" s="41" t="s">
        <v>25171</v>
      </c>
      <c r="C21" s="74" t="s">
        <v>25172</v>
      </c>
      <c r="D21" s="72"/>
      <c r="F21" s="57"/>
      <c r="G21" s="114" t="s">
        <v>17558</v>
      </c>
      <c r="H21" s="49"/>
      <c r="I21" s="50"/>
      <c r="J21" s="163"/>
      <c r="K21" s="45"/>
      <c r="L21" s="46"/>
      <c r="M21" s="512"/>
      <c r="N21" s="57"/>
      <c r="O21" s="35"/>
      <c r="P21" s="12" t="s">
        <v>398</v>
      </c>
      <c r="Q21" s="13">
        <v>0.25</v>
      </c>
      <c r="R21" s="57" t="s">
        <v>3575</v>
      </c>
      <c r="S21" s="35"/>
      <c r="V21" s="57"/>
      <c r="W21" s="208">
        <f>ROUND((ROUND((ROUND((ROUND((_15_同援日増０．５*_15・基礎２),0)*(1+_15・A深夜)),0)*(1+_15・盲ろう)),0)*(1+_15・区３)),0)</f>
        <v>133</v>
      </c>
      <c r="X21" s="48"/>
    </row>
    <row r="22" spans="1:24" ht="16.5" customHeight="1" x14ac:dyDescent="0.15">
      <c r="A22" s="41">
        <v>15</v>
      </c>
      <c r="B22" s="41" t="s">
        <v>25173</v>
      </c>
      <c r="C22" s="74" t="s">
        <v>25174</v>
      </c>
      <c r="D22" s="72"/>
      <c r="F22" s="57"/>
      <c r="G22" s="269" t="s">
        <v>17560</v>
      </c>
      <c r="H22" s="37" t="s">
        <v>398</v>
      </c>
      <c r="I22" s="38">
        <v>0.9</v>
      </c>
      <c r="J22" s="299" t="s">
        <v>17556</v>
      </c>
      <c r="K22" s="45" t="s">
        <v>398</v>
      </c>
      <c r="L22" s="46">
        <v>1</v>
      </c>
      <c r="M22" s="512"/>
      <c r="N22" s="57"/>
      <c r="O22" s="43"/>
      <c r="P22" s="37"/>
      <c r="Q22" s="38"/>
      <c r="R22" s="79"/>
      <c r="S22" s="43"/>
      <c r="T22" s="37"/>
      <c r="U22" s="38"/>
      <c r="V22" s="79"/>
      <c r="W22" s="208">
        <f>ROUND((ROUND((ROUND((ROUND((ROUND((_15_同援日増０．５*_15・基礎２),0)*_15・２人),0)*(1+_15・A深夜)),0)*(1+_15・盲ろう)),0)*(1+_15・区３)),0)</f>
        <v>133</v>
      </c>
      <c r="X22" s="48"/>
    </row>
    <row r="23" spans="1:24" ht="16.5" customHeight="1" x14ac:dyDescent="0.15">
      <c r="A23" s="41">
        <v>15</v>
      </c>
      <c r="B23" s="41" t="s">
        <v>25175</v>
      </c>
      <c r="C23" s="74" t="s">
        <v>25176</v>
      </c>
      <c r="D23" s="72"/>
      <c r="F23" s="57"/>
      <c r="G23" s="53"/>
      <c r="H23" s="49"/>
      <c r="I23" s="50"/>
      <c r="J23" s="163"/>
      <c r="K23" s="45"/>
      <c r="L23" s="46"/>
      <c r="M23" s="512"/>
      <c r="N23" s="57"/>
      <c r="O23" s="53"/>
      <c r="P23" s="49"/>
      <c r="Q23" s="50"/>
      <c r="R23" s="115"/>
      <c r="S23" s="53"/>
      <c r="T23" s="49"/>
      <c r="U23" s="50"/>
      <c r="V23" s="115"/>
      <c r="W23" s="208">
        <f>ROUND((ROUND((_15_同援日増０．５*(1+_15・A深夜)),0)*(1+_15・区４)),0)</f>
        <v>137</v>
      </c>
      <c r="X23" s="48"/>
    </row>
    <row r="24" spans="1:24" ht="16.5" customHeight="1" x14ac:dyDescent="0.15">
      <c r="A24" s="41">
        <v>15</v>
      </c>
      <c r="B24" s="41" t="s">
        <v>25177</v>
      </c>
      <c r="C24" s="74" t="s">
        <v>25178</v>
      </c>
      <c r="D24" s="72"/>
      <c r="F24" s="57"/>
      <c r="G24" s="43"/>
      <c r="H24" s="37"/>
      <c r="I24" s="38"/>
      <c r="J24" s="299" t="s">
        <v>17556</v>
      </c>
      <c r="K24" s="45" t="s">
        <v>398</v>
      </c>
      <c r="L24" s="46">
        <v>1</v>
      </c>
      <c r="M24" s="512"/>
      <c r="N24" s="57"/>
      <c r="O24" s="35"/>
      <c r="R24" s="57"/>
      <c r="S24" s="35"/>
      <c r="V24" s="57"/>
      <c r="W24" s="208">
        <f>ROUND((ROUND((ROUND((_15_同援日増０．５*_15・２人),0)*(1+_15・A深夜)),0)*(1+_15・区４)),0)</f>
        <v>137</v>
      </c>
      <c r="X24" s="48"/>
    </row>
    <row r="25" spans="1:24" ht="16.5" customHeight="1" x14ac:dyDescent="0.15">
      <c r="A25" s="41">
        <v>15</v>
      </c>
      <c r="B25" s="41" t="s">
        <v>2279</v>
      </c>
      <c r="C25" s="74" t="s">
        <v>25179</v>
      </c>
      <c r="D25" s="72"/>
      <c r="F25" s="57"/>
      <c r="G25" s="114" t="s">
        <v>17558</v>
      </c>
      <c r="H25" s="49"/>
      <c r="I25" s="50"/>
      <c r="J25" s="163"/>
      <c r="K25" s="45"/>
      <c r="L25" s="46"/>
      <c r="M25" s="512"/>
      <c r="N25" s="57"/>
      <c r="O25" s="35"/>
      <c r="R25" s="57"/>
      <c r="S25" s="72" t="s">
        <v>17580</v>
      </c>
      <c r="V25" s="57"/>
      <c r="W25" s="208">
        <f>ROUND((ROUND((ROUND((_15_同援日増０．５*_15・基礎２),0)*(1+_15・A深夜)),0)*(1+_15・区４)),0)</f>
        <v>125</v>
      </c>
      <c r="X25" s="48"/>
    </row>
    <row r="26" spans="1:24" ht="16.5" customHeight="1" x14ac:dyDescent="0.15">
      <c r="A26" s="41">
        <v>15</v>
      </c>
      <c r="B26" s="41" t="s">
        <v>2281</v>
      </c>
      <c r="C26" s="74" t="s">
        <v>25180</v>
      </c>
      <c r="D26" s="72"/>
      <c r="F26" s="57"/>
      <c r="G26" s="269" t="s">
        <v>17560</v>
      </c>
      <c r="H26" s="37" t="s">
        <v>398</v>
      </c>
      <c r="I26" s="38">
        <v>0.9</v>
      </c>
      <c r="J26" s="299" t="s">
        <v>17556</v>
      </c>
      <c r="K26" s="45" t="s">
        <v>398</v>
      </c>
      <c r="L26" s="46">
        <v>1</v>
      </c>
      <c r="M26" s="512"/>
      <c r="N26" s="57"/>
      <c r="O26" s="43"/>
      <c r="P26" s="37"/>
      <c r="Q26" s="38"/>
      <c r="R26" s="79"/>
      <c r="S26" s="72" t="s">
        <v>17572</v>
      </c>
      <c r="V26" s="57"/>
      <c r="W26" s="208">
        <f>ROUND((ROUND((ROUND((ROUND((_15_同援日増０．５*_15・基礎２),0)*_15・２人),0)*(1+_15・A深夜)),0)*(1+_15・区４)),0)</f>
        <v>125</v>
      </c>
      <c r="X26" s="48"/>
    </row>
    <row r="27" spans="1:24" ht="16.5" customHeight="1" x14ac:dyDescent="0.15">
      <c r="A27" s="41">
        <v>15</v>
      </c>
      <c r="B27" s="41" t="s">
        <v>2283</v>
      </c>
      <c r="C27" s="74" t="s">
        <v>25181</v>
      </c>
      <c r="D27" s="72"/>
      <c r="F27" s="57"/>
      <c r="G27" s="53"/>
      <c r="H27" s="49"/>
      <c r="I27" s="50"/>
      <c r="J27" s="163"/>
      <c r="K27" s="45"/>
      <c r="L27" s="46"/>
      <c r="M27" s="512"/>
      <c r="N27" s="57"/>
      <c r="O27" s="114" t="s">
        <v>17562</v>
      </c>
      <c r="P27" s="49"/>
      <c r="Q27" s="50"/>
      <c r="R27" s="115"/>
      <c r="S27" s="35"/>
      <c r="T27" s="12" t="s">
        <v>398</v>
      </c>
      <c r="U27" s="13">
        <v>0.4</v>
      </c>
      <c r="V27" s="57" t="s">
        <v>3575</v>
      </c>
      <c r="W27" s="208">
        <f>ROUND((ROUND((ROUND((_15_同援日増０．５*(1+_15・A深夜)),0)*(1+_15・盲ろう)),0)*(1+_15・区４)),0)</f>
        <v>172</v>
      </c>
      <c r="X27" s="48"/>
    </row>
    <row r="28" spans="1:24" ht="16.5" customHeight="1" x14ac:dyDescent="0.15">
      <c r="A28" s="41">
        <v>15</v>
      </c>
      <c r="B28" s="41" t="s">
        <v>2285</v>
      </c>
      <c r="C28" s="74" t="s">
        <v>25182</v>
      </c>
      <c r="D28" s="72"/>
      <c r="F28" s="57"/>
      <c r="G28" s="43"/>
      <c r="H28" s="37"/>
      <c r="I28" s="38"/>
      <c r="J28" s="299" t="s">
        <v>17556</v>
      </c>
      <c r="K28" s="45" t="s">
        <v>398</v>
      </c>
      <c r="L28" s="46">
        <v>1</v>
      </c>
      <c r="M28" s="512"/>
      <c r="N28" s="57"/>
      <c r="O28" s="92" t="s">
        <v>17564</v>
      </c>
      <c r="R28" s="57"/>
      <c r="S28" s="35"/>
      <c r="V28" s="57"/>
      <c r="W28" s="208">
        <f>ROUND((ROUND((ROUND((ROUND((_15_同援日増０．５*_15・２人),0)*(1+_15・A深夜)),0)*(1+_15・盲ろう)),0)*(1+_15・区４)),0)</f>
        <v>172</v>
      </c>
      <c r="X28" s="48"/>
    </row>
    <row r="29" spans="1:24" ht="16.5" customHeight="1" x14ac:dyDescent="0.15">
      <c r="A29" s="41">
        <v>15</v>
      </c>
      <c r="B29" s="41" t="s">
        <v>25183</v>
      </c>
      <c r="C29" s="74" t="s">
        <v>25184</v>
      </c>
      <c r="D29" s="72"/>
      <c r="F29" s="57"/>
      <c r="G29" s="114" t="s">
        <v>17558</v>
      </c>
      <c r="H29" s="49"/>
      <c r="I29" s="50"/>
      <c r="J29" s="163"/>
      <c r="K29" s="45"/>
      <c r="L29" s="46"/>
      <c r="M29" s="512"/>
      <c r="N29" s="57"/>
      <c r="O29" s="35"/>
      <c r="P29" s="12" t="s">
        <v>398</v>
      </c>
      <c r="Q29" s="13">
        <v>0.25</v>
      </c>
      <c r="R29" s="57" t="s">
        <v>3575</v>
      </c>
      <c r="S29" s="35"/>
      <c r="V29" s="57"/>
      <c r="W29" s="208">
        <f>ROUND((ROUND((ROUND((ROUND((_15_同援日増０．５*_15・基礎２),0)*(1+_15・A深夜)),0)*(1+_15・盲ろう)),0)*(1+_15・区４)),0)</f>
        <v>155</v>
      </c>
      <c r="X29" s="48"/>
    </row>
    <row r="30" spans="1:24" ht="16.5" customHeight="1" x14ac:dyDescent="0.15">
      <c r="A30" s="41">
        <v>15</v>
      </c>
      <c r="B30" s="41" t="s">
        <v>25185</v>
      </c>
      <c r="C30" s="74" t="s">
        <v>25186</v>
      </c>
      <c r="D30" s="122"/>
      <c r="E30" s="37"/>
      <c r="F30" s="79"/>
      <c r="G30" s="269" t="s">
        <v>17560</v>
      </c>
      <c r="H30" s="37" t="s">
        <v>398</v>
      </c>
      <c r="I30" s="38">
        <v>0.9</v>
      </c>
      <c r="J30" s="299" t="s">
        <v>17556</v>
      </c>
      <c r="K30" s="45" t="s">
        <v>398</v>
      </c>
      <c r="L30" s="46">
        <v>1</v>
      </c>
      <c r="M30" s="512"/>
      <c r="N30" s="57"/>
      <c r="O30" s="43"/>
      <c r="P30" s="37"/>
      <c r="Q30" s="38"/>
      <c r="R30" s="79"/>
      <c r="S30" s="43"/>
      <c r="T30" s="37"/>
      <c r="U30" s="38"/>
      <c r="V30" s="79"/>
      <c r="W30" s="208">
        <f>ROUND((ROUND((ROUND((ROUND((ROUND((_15_同援日増０．５*_15・基礎２),0)*_15・２人),0)*(1+_15・A深夜)),0)*(1+_15・盲ろう)),0)*(1+_15・区４)),0)</f>
        <v>155</v>
      </c>
      <c r="X30" s="48"/>
    </row>
    <row r="31" spans="1:24" ht="16.5" customHeight="1" x14ac:dyDescent="0.15">
      <c r="A31" s="41">
        <v>15</v>
      </c>
      <c r="B31" s="41" t="s">
        <v>25187</v>
      </c>
      <c r="C31" s="74" t="s">
        <v>25188</v>
      </c>
      <c r="D31" s="114" t="s">
        <v>25189</v>
      </c>
      <c r="E31" s="49"/>
      <c r="F31" s="115"/>
      <c r="G31" s="53"/>
      <c r="H31" s="49"/>
      <c r="I31" s="50"/>
      <c r="J31" s="163"/>
      <c r="K31" s="45"/>
      <c r="L31" s="46"/>
      <c r="M31" s="512"/>
      <c r="N31" s="57"/>
      <c r="O31" s="53"/>
      <c r="P31" s="49"/>
      <c r="Q31" s="50"/>
      <c r="R31" s="115"/>
      <c r="S31" s="53"/>
      <c r="T31" s="49"/>
      <c r="U31" s="50"/>
      <c r="V31" s="115"/>
      <c r="W31" s="208">
        <f>ROUND((_15_同援日増１．０*(1+_15・A深夜)),0)</f>
        <v>195</v>
      </c>
      <c r="X31" s="48"/>
    </row>
    <row r="32" spans="1:24" ht="16.5" customHeight="1" x14ac:dyDescent="0.15">
      <c r="A32" s="41">
        <v>15</v>
      </c>
      <c r="B32" s="41" t="s">
        <v>25190</v>
      </c>
      <c r="C32" s="74" t="s">
        <v>25191</v>
      </c>
      <c r="D32" s="72" t="s">
        <v>17589</v>
      </c>
      <c r="F32" s="57"/>
      <c r="G32" s="43"/>
      <c r="H32" s="37"/>
      <c r="I32" s="38"/>
      <c r="J32" s="299" t="s">
        <v>17556</v>
      </c>
      <c r="K32" s="45" t="s">
        <v>398</v>
      </c>
      <c r="L32" s="46">
        <v>1</v>
      </c>
      <c r="M32" s="512"/>
      <c r="N32" s="57"/>
      <c r="O32" s="35"/>
      <c r="R32" s="57"/>
      <c r="S32" s="35"/>
      <c r="V32" s="57"/>
      <c r="W32" s="208">
        <f>ROUND((ROUND((_15_同援日増１．０*_15・２人),0)*(1+_15・A深夜)),0)</f>
        <v>195</v>
      </c>
      <c r="X32" s="48"/>
    </row>
    <row r="33" spans="1:24" ht="16.5" customHeight="1" x14ac:dyDescent="0.15">
      <c r="A33" s="41">
        <v>15</v>
      </c>
      <c r="B33" s="41" t="s">
        <v>25192</v>
      </c>
      <c r="C33" s="74" t="s">
        <v>25193</v>
      </c>
      <c r="D33" s="72" t="s">
        <v>17591</v>
      </c>
      <c r="F33" s="57"/>
      <c r="G33" s="114" t="s">
        <v>17558</v>
      </c>
      <c r="H33" s="49"/>
      <c r="I33" s="50"/>
      <c r="J33" s="163"/>
      <c r="K33" s="45"/>
      <c r="L33" s="46"/>
      <c r="M33" s="512"/>
      <c r="N33" s="57"/>
      <c r="O33" s="35"/>
      <c r="R33" s="57"/>
      <c r="S33" s="35"/>
      <c r="V33" s="57"/>
      <c r="W33" s="208">
        <f>ROUND((ROUND((_15_同援日増１．０*_15・基礎２),0)*(1+_15・A深夜)),0)</f>
        <v>176</v>
      </c>
      <c r="X33" s="48"/>
    </row>
    <row r="34" spans="1:24" ht="16.5" customHeight="1" x14ac:dyDescent="0.15">
      <c r="A34" s="41">
        <v>15</v>
      </c>
      <c r="B34" s="41" t="s">
        <v>25194</v>
      </c>
      <c r="C34" s="74" t="s">
        <v>25195</v>
      </c>
      <c r="D34" s="72"/>
      <c r="E34" s="168">
        <f>_15_同援日増１．０</f>
        <v>130</v>
      </c>
      <c r="F34" s="57" t="s">
        <v>392</v>
      </c>
      <c r="G34" s="269" t="s">
        <v>17560</v>
      </c>
      <c r="H34" s="37" t="s">
        <v>398</v>
      </c>
      <c r="I34" s="38">
        <v>0.9</v>
      </c>
      <c r="J34" s="299" t="s">
        <v>17556</v>
      </c>
      <c r="K34" s="45" t="s">
        <v>398</v>
      </c>
      <c r="L34" s="46">
        <v>1</v>
      </c>
      <c r="M34" s="512"/>
      <c r="N34" s="57"/>
      <c r="O34" s="43"/>
      <c r="P34" s="37"/>
      <c r="Q34" s="38"/>
      <c r="R34" s="79"/>
      <c r="S34" s="35"/>
      <c r="V34" s="57"/>
      <c r="W34" s="208">
        <f>ROUND((ROUND((ROUND((_15_同援日増１．０*_15・基礎２),0)*_15・２人),0)*(1+_15・A深夜)),0)</f>
        <v>176</v>
      </c>
      <c r="X34" s="48"/>
    </row>
    <row r="35" spans="1:24" ht="16.5" customHeight="1" x14ac:dyDescent="0.15">
      <c r="A35" s="41">
        <v>15</v>
      </c>
      <c r="B35" s="41" t="s">
        <v>25196</v>
      </c>
      <c r="C35" s="74" t="s">
        <v>25197</v>
      </c>
      <c r="D35" s="72"/>
      <c r="F35" s="57"/>
      <c r="G35" s="53"/>
      <c r="H35" s="49"/>
      <c r="I35" s="50"/>
      <c r="J35" s="163"/>
      <c r="K35" s="45"/>
      <c r="L35" s="46"/>
      <c r="M35" s="512"/>
      <c r="N35" s="57"/>
      <c r="O35" s="114" t="s">
        <v>17562</v>
      </c>
      <c r="P35" s="49"/>
      <c r="Q35" s="50"/>
      <c r="R35" s="115"/>
      <c r="S35" s="35"/>
      <c r="V35" s="57"/>
      <c r="W35" s="208">
        <f>ROUND((ROUND((_15_同援日増１．０*(1+_15・A深夜)),0)*(1+_15・盲ろう)),0)</f>
        <v>244</v>
      </c>
      <c r="X35" s="48"/>
    </row>
    <row r="36" spans="1:24" ht="16.5" customHeight="1" x14ac:dyDescent="0.15">
      <c r="A36" s="41">
        <v>15</v>
      </c>
      <c r="B36" s="41" t="s">
        <v>25198</v>
      </c>
      <c r="C36" s="74" t="s">
        <v>25199</v>
      </c>
      <c r="D36" s="72"/>
      <c r="F36" s="57"/>
      <c r="G36" s="43"/>
      <c r="H36" s="37"/>
      <c r="I36" s="38"/>
      <c r="J36" s="299" t="s">
        <v>17556</v>
      </c>
      <c r="K36" s="45" t="s">
        <v>398</v>
      </c>
      <c r="L36" s="46">
        <v>1</v>
      </c>
      <c r="M36" s="512"/>
      <c r="N36" s="57"/>
      <c r="O36" s="92" t="s">
        <v>17564</v>
      </c>
      <c r="R36" s="57"/>
      <c r="S36" s="35"/>
      <c r="V36" s="57"/>
      <c r="W36" s="208">
        <f>ROUND((ROUND((ROUND((_15_同援日増１．０*_15・２人),0)*(1+_15・A深夜)),0)*(1+_15・盲ろう)),0)</f>
        <v>244</v>
      </c>
      <c r="X36" s="48"/>
    </row>
    <row r="37" spans="1:24" ht="16.5" customHeight="1" x14ac:dyDescent="0.15">
      <c r="A37" s="41">
        <v>15</v>
      </c>
      <c r="B37" s="41" t="s">
        <v>25200</v>
      </c>
      <c r="C37" s="74" t="s">
        <v>25201</v>
      </c>
      <c r="D37" s="72"/>
      <c r="F37" s="57"/>
      <c r="G37" s="114" t="s">
        <v>17558</v>
      </c>
      <c r="H37" s="49"/>
      <c r="I37" s="50"/>
      <c r="J37" s="163"/>
      <c r="K37" s="45"/>
      <c r="L37" s="46"/>
      <c r="M37" s="512"/>
      <c r="N37" s="57"/>
      <c r="O37" s="35"/>
      <c r="P37" s="12" t="s">
        <v>398</v>
      </c>
      <c r="Q37" s="13">
        <v>0.25</v>
      </c>
      <c r="R37" s="57" t="s">
        <v>3575</v>
      </c>
      <c r="S37" s="35"/>
      <c r="V37" s="57"/>
      <c r="W37" s="208">
        <f>ROUND((ROUND((ROUND((_15_同援日増１．０*_15・基礎２),0)*(1+_15・A深夜)),0)*(1+_15・盲ろう)),0)</f>
        <v>220</v>
      </c>
      <c r="X37" s="48"/>
    </row>
    <row r="38" spans="1:24" ht="16.5" customHeight="1" x14ac:dyDescent="0.15">
      <c r="A38" s="41">
        <v>15</v>
      </c>
      <c r="B38" s="41" t="s">
        <v>25202</v>
      </c>
      <c r="C38" s="74" t="s">
        <v>25203</v>
      </c>
      <c r="D38" s="72"/>
      <c r="F38" s="57"/>
      <c r="G38" s="269" t="s">
        <v>17560</v>
      </c>
      <c r="H38" s="37" t="s">
        <v>398</v>
      </c>
      <c r="I38" s="38">
        <v>0.9</v>
      </c>
      <c r="J38" s="299" t="s">
        <v>17556</v>
      </c>
      <c r="K38" s="45" t="s">
        <v>398</v>
      </c>
      <c r="L38" s="46">
        <v>1</v>
      </c>
      <c r="M38" s="512"/>
      <c r="N38" s="57"/>
      <c r="O38" s="43"/>
      <c r="P38" s="37"/>
      <c r="Q38" s="38"/>
      <c r="R38" s="79"/>
      <c r="S38" s="43"/>
      <c r="T38" s="37"/>
      <c r="U38" s="38"/>
      <c r="V38" s="79"/>
      <c r="W38" s="208">
        <f>ROUND((ROUND((ROUND((ROUND((_15_同援日増１．０*_15・基礎２),0)*_15・２人),0)*(1+_15・A深夜)),0)*(1+_15・盲ろう)),0)</f>
        <v>220</v>
      </c>
      <c r="X38" s="48"/>
    </row>
    <row r="39" spans="1:24" ht="16.5" customHeight="1" x14ac:dyDescent="0.15">
      <c r="A39" s="41">
        <v>15</v>
      </c>
      <c r="B39" s="41" t="s">
        <v>25204</v>
      </c>
      <c r="C39" s="74" t="s">
        <v>25205</v>
      </c>
      <c r="D39" s="72"/>
      <c r="F39" s="57"/>
      <c r="G39" s="53"/>
      <c r="H39" s="49"/>
      <c r="I39" s="50"/>
      <c r="J39" s="163"/>
      <c r="K39" s="45"/>
      <c r="L39" s="46"/>
      <c r="M39" s="512"/>
      <c r="N39" s="57"/>
      <c r="O39" s="53"/>
      <c r="P39" s="49"/>
      <c r="Q39" s="50"/>
      <c r="R39" s="115"/>
      <c r="S39" s="53"/>
      <c r="T39" s="49"/>
      <c r="U39" s="50"/>
      <c r="V39" s="115"/>
      <c r="W39" s="208">
        <f>ROUND((ROUND((_15_同援日増１．０*(1+_15・A深夜)),0)*(1+_15・区３)),0)</f>
        <v>234</v>
      </c>
      <c r="X39" s="48"/>
    </row>
    <row r="40" spans="1:24" ht="16.5" customHeight="1" x14ac:dyDescent="0.15">
      <c r="A40" s="41">
        <v>15</v>
      </c>
      <c r="B40" s="41" t="s">
        <v>25206</v>
      </c>
      <c r="C40" s="74" t="s">
        <v>25207</v>
      </c>
      <c r="D40" s="72"/>
      <c r="F40" s="57"/>
      <c r="G40" s="43"/>
      <c r="H40" s="37"/>
      <c r="I40" s="38"/>
      <c r="J40" s="299" t="s">
        <v>17556</v>
      </c>
      <c r="K40" s="45" t="s">
        <v>398</v>
      </c>
      <c r="L40" s="46">
        <v>1</v>
      </c>
      <c r="M40" s="512"/>
      <c r="N40" s="57"/>
      <c r="O40" s="35"/>
      <c r="R40" s="57"/>
      <c r="S40" s="35"/>
      <c r="V40" s="57"/>
      <c r="W40" s="208">
        <f>ROUND((ROUND((ROUND((_15_同援日増１．０*_15・２人),0)*(1+_15・A深夜)),0)*(1+_15・区３)),0)</f>
        <v>234</v>
      </c>
      <c r="X40" s="48"/>
    </row>
    <row r="41" spans="1:24" ht="16.5" customHeight="1" x14ac:dyDescent="0.15">
      <c r="A41" s="41">
        <v>15</v>
      </c>
      <c r="B41" s="41" t="s">
        <v>25208</v>
      </c>
      <c r="C41" s="74" t="s">
        <v>25209</v>
      </c>
      <c r="D41" s="72"/>
      <c r="F41" s="57"/>
      <c r="G41" s="114" t="s">
        <v>17558</v>
      </c>
      <c r="H41" s="49"/>
      <c r="I41" s="50"/>
      <c r="J41" s="163"/>
      <c r="K41" s="45"/>
      <c r="L41" s="46"/>
      <c r="M41" s="512"/>
      <c r="N41" s="57"/>
      <c r="O41" s="35"/>
      <c r="R41" s="57"/>
      <c r="S41" s="72" t="s">
        <v>17570</v>
      </c>
      <c r="V41" s="57"/>
      <c r="W41" s="208">
        <f>ROUND((ROUND((ROUND((_15_同援日増１．０*_15・基礎２),0)*(1+_15・A深夜)),0)*(1+_15・区３)),0)</f>
        <v>211</v>
      </c>
      <c r="X41" s="48"/>
    </row>
    <row r="42" spans="1:24" ht="16.5" customHeight="1" x14ac:dyDescent="0.15">
      <c r="A42" s="41">
        <v>15</v>
      </c>
      <c r="B42" s="41" t="s">
        <v>25210</v>
      </c>
      <c r="C42" s="74" t="s">
        <v>25211</v>
      </c>
      <c r="D42" s="72"/>
      <c r="F42" s="57"/>
      <c r="G42" s="269" t="s">
        <v>17560</v>
      </c>
      <c r="H42" s="37" t="s">
        <v>398</v>
      </c>
      <c r="I42" s="38">
        <v>0.9</v>
      </c>
      <c r="J42" s="299" t="s">
        <v>17556</v>
      </c>
      <c r="K42" s="45" t="s">
        <v>398</v>
      </c>
      <c r="L42" s="46">
        <v>1</v>
      </c>
      <c r="M42" s="512"/>
      <c r="N42" s="57"/>
      <c r="O42" s="43"/>
      <c r="P42" s="37"/>
      <c r="Q42" s="38"/>
      <c r="R42" s="79"/>
      <c r="S42" s="72" t="s">
        <v>17572</v>
      </c>
      <c r="V42" s="57"/>
      <c r="W42" s="208">
        <f>ROUND((ROUND((ROUND((ROUND((_15_同援日増１．０*_15・基礎２),0)*_15・２人),0)*(1+_15・A深夜)),0)*(1+_15・区３)),0)</f>
        <v>211</v>
      </c>
      <c r="X42" s="48"/>
    </row>
    <row r="43" spans="1:24" ht="16.5" customHeight="1" x14ac:dyDescent="0.15">
      <c r="A43" s="41">
        <v>15</v>
      </c>
      <c r="B43" s="41" t="s">
        <v>25212</v>
      </c>
      <c r="C43" s="74" t="s">
        <v>25213</v>
      </c>
      <c r="D43" s="72"/>
      <c r="F43" s="57"/>
      <c r="G43" s="53"/>
      <c r="H43" s="49"/>
      <c r="I43" s="50"/>
      <c r="J43" s="163"/>
      <c r="K43" s="45"/>
      <c r="L43" s="46"/>
      <c r="M43" s="512"/>
      <c r="N43" s="57"/>
      <c r="O43" s="114" t="s">
        <v>17562</v>
      </c>
      <c r="P43" s="49"/>
      <c r="Q43" s="50"/>
      <c r="R43" s="115"/>
      <c r="S43" s="35"/>
      <c r="T43" s="12" t="s">
        <v>398</v>
      </c>
      <c r="U43" s="13">
        <v>0.2</v>
      </c>
      <c r="V43" s="57" t="s">
        <v>3575</v>
      </c>
      <c r="W43" s="208">
        <f>ROUND((ROUND((ROUND((_15_同援日増１．０*(1+_15・A深夜)),0)*(1+_15・盲ろう)),0)*(1+_15・区３)),0)</f>
        <v>293</v>
      </c>
      <c r="X43" s="48"/>
    </row>
    <row r="44" spans="1:24" ht="16.5" customHeight="1" x14ac:dyDescent="0.15">
      <c r="A44" s="41">
        <v>15</v>
      </c>
      <c r="B44" s="41" t="s">
        <v>25214</v>
      </c>
      <c r="C44" s="74" t="s">
        <v>25215</v>
      </c>
      <c r="D44" s="72"/>
      <c r="F44" s="57"/>
      <c r="G44" s="43"/>
      <c r="H44" s="37"/>
      <c r="I44" s="38"/>
      <c r="J44" s="299" t="s">
        <v>17556</v>
      </c>
      <c r="K44" s="45" t="s">
        <v>398</v>
      </c>
      <c r="L44" s="46">
        <v>1</v>
      </c>
      <c r="M44" s="512"/>
      <c r="N44" s="57"/>
      <c r="O44" s="92" t="s">
        <v>17564</v>
      </c>
      <c r="R44" s="57"/>
      <c r="S44" s="35"/>
      <c r="V44" s="57"/>
      <c r="W44" s="208">
        <f>ROUND((ROUND((ROUND((ROUND((_15_同援日増１．０*_15・２人),0)*(1+_15・A深夜)),0)*(1+_15・盲ろう)),0)*(1+_15・区３)),0)</f>
        <v>293</v>
      </c>
      <c r="X44" s="48"/>
    </row>
    <row r="45" spans="1:24" ht="16.5" customHeight="1" x14ac:dyDescent="0.15">
      <c r="A45" s="41">
        <v>15</v>
      </c>
      <c r="B45" s="41" t="s">
        <v>2291</v>
      </c>
      <c r="C45" s="74" t="s">
        <v>25216</v>
      </c>
      <c r="D45" s="72"/>
      <c r="F45" s="57"/>
      <c r="G45" s="114" t="s">
        <v>17558</v>
      </c>
      <c r="H45" s="49"/>
      <c r="I45" s="50"/>
      <c r="J45" s="163"/>
      <c r="K45" s="45"/>
      <c r="L45" s="46"/>
      <c r="M45" s="512"/>
      <c r="N45" s="57"/>
      <c r="O45" s="35"/>
      <c r="P45" s="12" t="s">
        <v>398</v>
      </c>
      <c r="Q45" s="13">
        <v>0.25</v>
      </c>
      <c r="R45" s="57" t="s">
        <v>3575</v>
      </c>
      <c r="S45" s="35"/>
      <c r="V45" s="57"/>
      <c r="W45" s="208">
        <f>ROUND((ROUND((ROUND((ROUND((_15_同援日増１．０*_15・基礎２),0)*(1+_15・A深夜)),0)*(1+_15・盲ろう)),0)*(1+_15・区３)),0)</f>
        <v>264</v>
      </c>
      <c r="X45" s="48"/>
    </row>
    <row r="46" spans="1:24" ht="16.5" customHeight="1" x14ac:dyDescent="0.15">
      <c r="A46" s="41">
        <v>15</v>
      </c>
      <c r="B46" s="41" t="s">
        <v>2293</v>
      </c>
      <c r="C46" s="74" t="s">
        <v>25217</v>
      </c>
      <c r="D46" s="72"/>
      <c r="F46" s="57"/>
      <c r="G46" s="269" t="s">
        <v>17560</v>
      </c>
      <c r="H46" s="37" t="s">
        <v>398</v>
      </c>
      <c r="I46" s="38">
        <v>0.9</v>
      </c>
      <c r="J46" s="299" t="s">
        <v>17556</v>
      </c>
      <c r="K46" s="45" t="s">
        <v>398</v>
      </c>
      <c r="L46" s="46">
        <v>1</v>
      </c>
      <c r="M46" s="512"/>
      <c r="N46" s="57"/>
      <c r="O46" s="43"/>
      <c r="P46" s="37"/>
      <c r="Q46" s="38"/>
      <c r="R46" s="79"/>
      <c r="S46" s="43"/>
      <c r="T46" s="37"/>
      <c r="U46" s="38"/>
      <c r="V46" s="79"/>
      <c r="W46" s="208">
        <f>ROUND((ROUND((ROUND((ROUND((ROUND((_15_同援日増１．０*_15・基礎２),0)*_15・２人),0)*(1+_15・A深夜)),0)*(1+_15・盲ろう)),0)*(1+_15・区３)),0)</f>
        <v>264</v>
      </c>
      <c r="X46" s="48"/>
    </row>
    <row r="47" spans="1:24" ht="16.5" customHeight="1" x14ac:dyDescent="0.15">
      <c r="A47" s="41">
        <v>15</v>
      </c>
      <c r="B47" s="41" t="s">
        <v>2295</v>
      </c>
      <c r="C47" s="74" t="s">
        <v>25218</v>
      </c>
      <c r="D47" s="72"/>
      <c r="F47" s="57"/>
      <c r="G47" s="53"/>
      <c r="H47" s="49"/>
      <c r="I47" s="50"/>
      <c r="J47" s="163"/>
      <c r="K47" s="45"/>
      <c r="L47" s="46"/>
      <c r="M47" s="512"/>
      <c r="N47" s="57"/>
      <c r="O47" s="53"/>
      <c r="P47" s="49"/>
      <c r="Q47" s="50"/>
      <c r="R47" s="115"/>
      <c r="S47" s="53"/>
      <c r="T47" s="49"/>
      <c r="U47" s="50"/>
      <c r="V47" s="115"/>
      <c r="W47" s="208">
        <f>ROUND((ROUND((_15_同援日増１．０*(1+_15・A深夜)),0)*(1+_15・区４)),0)</f>
        <v>273</v>
      </c>
      <c r="X47" s="48"/>
    </row>
    <row r="48" spans="1:24" ht="16.5" customHeight="1" x14ac:dyDescent="0.15">
      <c r="A48" s="41">
        <v>15</v>
      </c>
      <c r="B48" s="41" t="s">
        <v>2297</v>
      </c>
      <c r="C48" s="74" t="s">
        <v>25219</v>
      </c>
      <c r="D48" s="72"/>
      <c r="F48" s="57"/>
      <c r="G48" s="43"/>
      <c r="H48" s="37"/>
      <c r="I48" s="38"/>
      <c r="J48" s="299" t="s">
        <v>17556</v>
      </c>
      <c r="K48" s="45" t="s">
        <v>398</v>
      </c>
      <c r="L48" s="46">
        <v>1</v>
      </c>
      <c r="M48" s="512"/>
      <c r="N48" s="57"/>
      <c r="O48" s="35"/>
      <c r="R48" s="57"/>
      <c r="S48" s="35"/>
      <c r="V48" s="57"/>
      <c r="W48" s="208">
        <f>ROUND((ROUND((ROUND((_15_同援日増１．０*_15・２人),0)*(1+_15・A深夜)),0)*(1+_15・区４)),0)</f>
        <v>273</v>
      </c>
      <c r="X48" s="48"/>
    </row>
    <row r="49" spans="1:24" ht="16.5" customHeight="1" x14ac:dyDescent="0.15">
      <c r="A49" s="41">
        <v>15</v>
      </c>
      <c r="B49" s="41" t="s">
        <v>25220</v>
      </c>
      <c r="C49" s="74" t="s">
        <v>25221</v>
      </c>
      <c r="D49" s="72"/>
      <c r="F49" s="57"/>
      <c r="G49" s="114" t="s">
        <v>17558</v>
      </c>
      <c r="H49" s="49"/>
      <c r="I49" s="50"/>
      <c r="J49" s="163"/>
      <c r="K49" s="45"/>
      <c r="L49" s="46"/>
      <c r="M49" s="512"/>
      <c r="N49" s="57"/>
      <c r="O49" s="35"/>
      <c r="R49" s="57"/>
      <c r="S49" s="72" t="s">
        <v>17580</v>
      </c>
      <c r="V49" s="57"/>
      <c r="W49" s="208">
        <f>ROUND((ROUND((ROUND((_15_同援日増１．０*_15・基礎２),0)*(1+_15・A深夜)),0)*(1+_15・区４)),0)</f>
        <v>246</v>
      </c>
      <c r="X49" s="48"/>
    </row>
    <row r="50" spans="1:24" ht="16.5" customHeight="1" x14ac:dyDescent="0.15">
      <c r="A50" s="41">
        <v>15</v>
      </c>
      <c r="B50" s="41" t="s">
        <v>25222</v>
      </c>
      <c r="C50" s="74" t="s">
        <v>25223</v>
      </c>
      <c r="D50" s="72"/>
      <c r="F50" s="57"/>
      <c r="G50" s="269" t="s">
        <v>17560</v>
      </c>
      <c r="H50" s="37" t="s">
        <v>398</v>
      </c>
      <c r="I50" s="38">
        <v>0.9</v>
      </c>
      <c r="J50" s="299" t="s">
        <v>17556</v>
      </c>
      <c r="K50" s="45" t="s">
        <v>398</v>
      </c>
      <c r="L50" s="46">
        <v>1</v>
      </c>
      <c r="M50" s="512"/>
      <c r="N50" s="57"/>
      <c r="O50" s="43"/>
      <c r="P50" s="37"/>
      <c r="Q50" s="38"/>
      <c r="R50" s="79"/>
      <c r="S50" s="72" t="s">
        <v>17572</v>
      </c>
      <c r="V50" s="57"/>
      <c r="W50" s="208">
        <f>ROUND((ROUND((ROUND((ROUND((_15_同援日増１．０*_15・基礎２),0)*_15・２人),0)*(1+_15・A深夜)),0)*(1+_15・区４)),0)</f>
        <v>246</v>
      </c>
      <c r="X50" s="48"/>
    </row>
    <row r="51" spans="1:24" ht="16.5" customHeight="1" x14ac:dyDescent="0.15">
      <c r="A51" s="41">
        <v>15</v>
      </c>
      <c r="B51" s="41" t="s">
        <v>25224</v>
      </c>
      <c r="C51" s="74" t="s">
        <v>25225</v>
      </c>
      <c r="D51" s="72"/>
      <c r="F51" s="57"/>
      <c r="G51" s="53"/>
      <c r="H51" s="49"/>
      <c r="I51" s="50"/>
      <c r="J51" s="163"/>
      <c r="K51" s="45"/>
      <c r="L51" s="46"/>
      <c r="M51" s="512"/>
      <c r="N51" s="57"/>
      <c r="O51" s="114" t="s">
        <v>17562</v>
      </c>
      <c r="P51" s="49"/>
      <c r="Q51" s="50"/>
      <c r="R51" s="115"/>
      <c r="S51" s="35"/>
      <c r="T51" s="12" t="s">
        <v>398</v>
      </c>
      <c r="U51" s="13">
        <v>0.4</v>
      </c>
      <c r="V51" s="57" t="s">
        <v>3575</v>
      </c>
      <c r="W51" s="208">
        <f>ROUND((ROUND((ROUND((_15_同援日増１．０*(1+_15・A深夜)),0)*(1+_15・盲ろう)),0)*(1+_15・区４)),0)</f>
        <v>342</v>
      </c>
      <c r="X51" s="48"/>
    </row>
    <row r="52" spans="1:24" ht="16.5" customHeight="1" x14ac:dyDescent="0.15">
      <c r="A52" s="41">
        <v>15</v>
      </c>
      <c r="B52" s="41" t="s">
        <v>25226</v>
      </c>
      <c r="C52" s="74" t="s">
        <v>25227</v>
      </c>
      <c r="D52" s="72"/>
      <c r="F52" s="57"/>
      <c r="G52" s="43"/>
      <c r="H52" s="37"/>
      <c r="I52" s="38"/>
      <c r="J52" s="299" t="s">
        <v>17556</v>
      </c>
      <c r="K52" s="45" t="s">
        <v>398</v>
      </c>
      <c r="L52" s="46">
        <v>1</v>
      </c>
      <c r="M52" s="512"/>
      <c r="N52" s="57"/>
      <c r="O52" s="92" t="s">
        <v>17564</v>
      </c>
      <c r="R52" s="57"/>
      <c r="S52" s="35"/>
      <c r="V52" s="57"/>
      <c r="W52" s="208">
        <f>ROUND((ROUND((ROUND((ROUND((_15_同援日増１．０*_15・２人),0)*(1+_15・A深夜)),0)*(1+_15・盲ろう)),0)*(1+_15・区４)),0)</f>
        <v>342</v>
      </c>
      <c r="X52" s="48"/>
    </row>
    <row r="53" spans="1:24" ht="16.5" customHeight="1" x14ac:dyDescent="0.15">
      <c r="A53" s="41">
        <v>15</v>
      </c>
      <c r="B53" s="41" t="s">
        <v>25228</v>
      </c>
      <c r="C53" s="74" t="s">
        <v>25229</v>
      </c>
      <c r="D53" s="72"/>
      <c r="F53" s="57"/>
      <c r="G53" s="114" t="s">
        <v>17558</v>
      </c>
      <c r="H53" s="49"/>
      <c r="I53" s="50"/>
      <c r="J53" s="163"/>
      <c r="K53" s="45"/>
      <c r="L53" s="46"/>
      <c r="M53" s="512"/>
      <c r="N53" s="57"/>
      <c r="O53" s="35"/>
      <c r="P53" s="12" t="s">
        <v>398</v>
      </c>
      <c r="Q53" s="13">
        <v>0.25</v>
      </c>
      <c r="R53" s="57" t="s">
        <v>3575</v>
      </c>
      <c r="S53" s="35"/>
      <c r="V53" s="57"/>
      <c r="W53" s="208">
        <f>ROUND((ROUND((ROUND((ROUND((_15_同援日増１．０*_15・基礎２),0)*(1+_15・A深夜)),0)*(1+_15・盲ろう)),0)*(1+_15・区４)),0)</f>
        <v>308</v>
      </c>
      <c r="X53" s="48"/>
    </row>
    <row r="54" spans="1:24" ht="16.5" customHeight="1" x14ac:dyDescent="0.15">
      <c r="A54" s="41">
        <v>15</v>
      </c>
      <c r="B54" s="41" t="s">
        <v>25230</v>
      </c>
      <c r="C54" s="74" t="s">
        <v>25231</v>
      </c>
      <c r="D54" s="122"/>
      <c r="E54" s="37"/>
      <c r="F54" s="79"/>
      <c r="G54" s="269" t="s">
        <v>17560</v>
      </c>
      <c r="H54" s="37" t="s">
        <v>398</v>
      </c>
      <c r="I54" s="38">
        <v>0.9</v>
      </c>
      <c r="J54" s="299" t="s">
        <v>17556</v>
      </c>
      <c r="K54" s="45" t="s">
        <v>398</v>
      </c>
      <c r="L54" s="46">
        <v>1</v>
      </c>
      <c r="M54" s="512"/>
      <c r="N54" s="57"/>
      <c r="O54" s="43"/>
      <c r="P54" s="37"/>
      <c r="Q54" s="38"/>
      <c r="R54" s="79"/>
      <c r="S54" s="43"/>
      <c r="T54" s="37"/>
      <c r="U54" s="38"/>
      <c r="V54" s="79"/>
      <c r="W54" s="208">
        <f>ROUND((ROUND((ROUND((ROUND((ROUND((_15_同援日増１．０*_15・基礎２),0)*_15・２人),0)*(1+_15・A深夜)),0)*(1+_15・盲ろう)),0)*(1+_15・区４)),0)</f>
        <v>308</v>
      </c>
      <c r="X54" s="48"/>
    </row>
    <row r="55" spans="1:24" ht="16.5" customHeight="1" x14ac:dyDescent="0.15">
      <c r="A55" s="41">
        <v>15</v>
      </c>
      <c r="B55" s="41" t="s">
        <v>25232</v>
      </c>
      <c r="C55" s="74" t="s">
        <v>25233</v>
      </c>
      <c r="D55" s="114" t="s">
        <v>25234</v>
      </c>
      <c r="E55" s="49"/>
      <c r="F55" s="115"/>
      <c r="G55" s="53"/>
      <c r="H55" s="49"/>
      <c r="I55" s="50"/>
      <c r="J55" s="163"/>
      <c r="K55" s="45"/>
      <c r="L55" s="46"/>
      <c r="M55" s="512"/>
      <c r="N55" s="57"/>
      <c r="O55" s="53"/>
      <c r="P55" s="49"/>
      <c r="Q55" s="50"/>
      <c r="R55" s="115"/>
      <c r="S55" s="53"/>
      <c r="T55" s="49"/>
      <c r="U55" s="50"/>
      <c r="V55" s="115"/>
      <c r="W55" s="208">
        <f>ROUND((_15_同援日増１．５*(1+_15・A深夜)),0)</f>
        <v>293</v>
      </c>
      <c r="X55" s="48"/>
    </row>
    <row r="56" spans="1:24" ht="16.5" customHeight="1" x14ac:dyDescent="0.15">
      <c r="A56" s="41">
        <v>15</v>
      </c>
      <c r="B56" s="41" t="s">
        <v>25235</v>
      </c>
      <c r="C56" s="74" t="s">
        <v>25236</v>
      </c>
      <c r="D56" s="72" t="s">
        <v>17616</v>
      </c>
      <c r="F56" s="57"/>
      <c r="G56" s="43"/>
      <c r="H56" s="37"/>
      <c r="I56" s="38"/>
      <c r="J56" s="299" t="s">
        <v>17556</v>
      </c>
      <c r="K56" s="45" t="s">
        <v>398</v>
      </c>
      <c r="L56" s="46">
        <v>1</v>
      </c>
      <c r="M56" s="512"/>
      <c r="N56" s="57"/>
      <c r="O56" s="35"/>
      <c r="R56" s="57"/>
      <c r="S56" s="35"/>
      <c r="V56" s="57"/>
      <c r="W56" s="208">
        <f>ROUND((ROUND((_15_同援日増１．５*_15・２人),0)*(1+_15・A深夜)),0)</f>
        <v>293</v>
      </c>
      <c r="X56" s="48"/>
    </row>
    <row r="57" spans="1:24" ht="16.5" customHeight="1" x14ac:dyDescent="0.15">
      <c r="A57" s="41">
        <v>15</v>
      </c>
      <c r="B57" s="41" t="s">
        <v>25237</v>
      </c>
      <c r="C57" s="74" t="s">
        <v>25238</v>
      </c>
      <c r="D57" s="72" t="s">
        <v>18183</v>
      </c>
      <c r="F57" s="57"/>
      <c r="G57" s="114" t="s">
        <v>17558</v>
      </c>
      <c r="H57" s="49"/>
      <c r="I57" s="50"/>
      <c r="J57" s="163"/>
      <c r="K57" s="45"/>
      <c r="L57" s="46"/>
      <c r="M57" s="512"/>
      <c r="N57" s="57"/>
      <c r="O57" s="35"/>
      <c r="R57" s="57"/>
      <c r="S57" s="35"/>
      <c r="V57" s="57"/>
      <c r="W57" s="208">
        <f>ROUND((ROUND((_15_同援日増１．５*_15・基礎２),0)*(1+_15・A深夜)),0)</f>
        <v>264</v>
      </c>
      <c r="X57" s="48"/>
    </row>
    <row r="58" spans="1:24" ht="16.5" customHeight="1" x14ac:dyDescent="0.15">
      <c r="A58" s="41">
        <v>15</v>
      </c>
      <c r="B58" s="41" t="s">
        <v>25239</v>
      </c>
      <c r="C58" s="74" t="s">
        <v>25240</v>
      </c>
      <c r="D58" s="72"/>
      <c r="E58" s="168">
        <f>_15_同援日増１．５</f>
        <v>195</v>
      </c>
      <c r="F58" s="57" t="s">
        <v>392</v>
      </c>
      <c r="G58" s="269" t="s">
        <v>17560</v>
      </c>
      <c r="H58" s="37" t="s">
        <v>398</v>
      </c>
      <c r="I58" s="38">
        <v>0.9</v>
      </c>
      <c r="J58" s="299" t="s">
        <v>17556</v>
      </c>
      <c r="K58" s="45" t="s">
        <v>398</v>
      </c>
      <c r="L58" s="46">
        <v>1</v>
      </c>
      <c r="M58" s="512"/>
      <c r="N58" s="57"/>
      <c r="O58" s="43"/>
      <c r="P58" s="37"/>
      <c r="Q58" s="38"/>
      <c r="R58" s="79"/>
      <c r="S58" s="35"/>
      <c r="V58" s="57"/>
      <c r="W58" s="208">
        <f>ROUND((ROUND((ROUND((_15_同援日増１．５*_15・基礎２),0)*_15・２人),0)*(1+_15・A深夜)),0)</f>
        <v>264</v>
      </c>
      <c r="X58" s="48"/>
    </row>
    <row r="59" spans="1:24" ht="16.5" customHeight="1" x14ac:dyDescent="0.15">
      <c r="A59" s="41">
        <v>15</v>
      </c>
      <c r="B59" s="41" t="s">
        <v>25241</v>
      </c>
      <c r="C59" s="74" t="s">
        <v>25242</v>
      </c>
      <c r="D59" s="72"/>
      <c r="F59" s="57"/>
      <c r="G59" s="53"/>
      <c r="H59" s="49"/>
      <c r="I59" s="50"/>
      <c r="J59" s="163"/>
      <c r="K59" s="45"/>
      <c r="L59" s="46"/>
      <c r="M59" s="512"/>
      <c r="N59" s="57"/>
      <c r="O59" s="114" t="s">
        <v>17562</v>
      </c>
      <c r="P59" s="49"/>
      <c r="Q59" s="50"/>
      <c r="R59" s="115"/>
      <c r="S59" s="35"/>
      <c r="V59" s="57"/>
      <c r="W59" s="208">
        <f>ROUND((ROUND((_15_同援日増１．５*(1+_15・A深夜)),0)*(1+_15・盲ろう)),0)</f>
        <v>366</v>
      </c>
      <c r="X59" s="48"/>
    </row>
    <row r="60" spans="1:24" ht="16.5" customHeight="1" x14ac:dyDescent="0.15">
      <c r="A60" s="41">
        <v>15</v>
      </c>
      <c r="B60" s="41" t="s">
        <v>25243</v>
      </c>
      <c r="C60" s="74" t="s">
        <v>25244</v>
      </c>
      <c r="D60" s="72"/>
      <c r="F60" s="57"/>
      <c r="G60" s="43"/>
      <c r="H60" s="37"/>
      <c r="I60" s="38"/>
      <c r="J60" s="299" t="s">
        <v>17556</v>
      </c>
      <c r="K60" s="45" t="s">
        <v>398</v>
      </c>
      <c r="L60" s="46">
        <v>1</v>
      </c>
      <c r="M60" s="512"/>
      <c r="N60" s="57"/>
      <c r="O60" s="92" t="s">
        <v>17564</v>
      </c>
      <c r="R60" s="57"/>
      <c r="S60" s="35"/>
      <c r="V60" s="57"/>
      <c r="W60" s="208">
        <f>ROUND((ROUND((ROUND((_15_同援日増１．５*_15・２人),0)*(1+_15・A深夜)),0)*(1+_15・盲ろう)),0)</f>
        <v>366</v>
      </c>
      <c r="X60" s="48"/>
    </row>
    <row r="61" spans="1:24" ht="16.5" customHeight="1" x14ac:dyDescent="0.15">
      <c r="A61" s="41">
        <v>15</v>
      </c>
      <c r="B61" s="41" t="s">
        <v>25245</v>
      </c>
      <c r="C61" s="74" t="s">
        <v>25246</v>
      </c>
      <c r="D61" s="72"/>
      <c r="F61" s="57"/>
      <c r="G61" s="114" t="s">
        <v>17558</v>
      </c>
      <c r="H61" s="49"/>
      <c r="I61" s="50"/>
      <c r="J61" s="163"/>
      <c r="K61" s="45"/>
      <c r="L61" s="46"/>
      <c r="M61" s="512"/>
      <c r="N61" s="57"/>
      <c r="O61" s="35"/>
      <c r="P61" s="12" t="s">
        <v>398</v>
      </c>
      <c r="Q61" s="13">
        <v>0.25</v>
      </c>
      <c r="R61" s="57" t="s">
        <v>3575</v>
      </c>
      <c r="S61" s="35"/>
      <c r="V61" s="57"/>
      <c r="W61" s="208">
        <f>ROUND((ROUND((ROUND((_15_同援日増１．５*_15・基礎２),0)*(1+_15・A深夜)),0)*(1+_15・盲ろう)),0)</f>
        <v>330</v>
      </c>
      <c r="X61" s="48"/>
    </row>
    <row r="62" spans="1:24" ht="16.5" customHeight="1" x14ac:dyDescent="0.15">
      <c r="A62" s="41">
        <v>15</v>
      </c>
      <c r="B62" s="41" t="s">
        <v>25247</v>
      </c>
      <c r="C62" s="74" t="s">
        <v>25248</v>
      </c>
      <c r="D62" s="72"/>
      <c r="F62" s="57"/>
      <c r="G62" s="269" t="s">
        <v>17560</v>
      </c>
      <c r="H62" s="37" t="s">
        <v>398</v>
      </c>
      <c r="I62" s="38">
        <v>0.9</v>
      </c>
      <c r="J62" s="299" t="s">
        <v>17556</v>
      </c>
      <c r="K62" s="45" t="s">
        <v>398</v>
      </c>
      <c r="L62" s="46">
        <v>1</v>
      </c>
      <c r="M62" s="512"/>
      <c r="N62" s="57"/>
      <c r="O62" s="43"/>
      <c r="P62" s="37"/>
      <c r="Q62" s="38"/>
      <c r="R62" s="79"/>
      <c r="S62" s="43"/>
      <c r="T62" s="37"/>
      <c r="U62" s="38"/>
      <c r="V62" s="79"/>
      <c r="W62" s="208">
        <f>ROUND((ROUND((ROUND((ROUND((_15_同援日増１．５*_15・基礎２),0)*_15・２人),0)*(1+_15・A深夜)),0)*(1+_15・盲ろう)),0)</f>
        <v>330</v>
      </c>
      <c r="X62" s="48"/>
    </row>
    <row r="63" spans="1:24" ht="16.5" customHeight="1" x14ac:dyDescent="0.15">
      <c r="A63" s="41">
        <v>15</v>
      </c>
      <c r="B63" s="41" t="s">
        <v>25249</v>
      </c>
      <c r="C63" s="74" t="s">
        <v>25250</v>
      </c>
      <c r="D63" s="72"/>
      <c r="F63" s="57"/>
      <c r="G63" s="53"/>
      <c r="H63" s="49"/>
      <c r="I63" s="50"/>
      <c r="J63" s="163"/>
      <c r="K63" s="45"/>
      <c r="L63" s="46"/>
      <c r="M63" s="512"/>
      <c r="N63" s="57"/>
      <c r="O63" s="53"/>
      <c r="P63" s="49"/>
      <c r="Q63" s="50"/>
      <c r="R63" s="115"/>
      <c r="S63" s="53"/>
      <c r="T63" s="49"/>
      <c r="U63" s="50"/>
      <c r="V63" s="115"/>
      <c r="W63" s="208">
        <f>ROUND((ROUND((_15_同援日増１．５*(1+_15・A深夜)),0)*(1+_15・区３)),0)</f>
        <v>352</v>
      </c>
      <c r="X63" s="48"/>
    </row>
    <row r="64" spans="1:24" ht="16.5" customHeight="1" x14ac:dyDescent="0.15">
      <c r="A64" s="41">
        <v>15</v>
      </c>
      <c r="B64" s="41" t="s">
        <v>25251</v>
      </c>
      <c r="C64" s="74" t="s">
        <v>25252</v>
      </c>
      <c r="D64" s="72"/>
      <c r="F64" s="57"/>
      <c r="G64" s="43"/>
      <c r="H64" s="37"/>
      <c r="I64" s="38"/>
      <c r="J64" s="299" t="s">
        <v>17556</v>
      </c>
      <c r="K64" s="45" t="s">
        <v>398</v>
      </c>
      <c r="L64" s="46">
        <v>1</v>
      </c>
      <c r="M64" s="512"/>
      <c r="N64" s="57"/>
      <c r="O64" s="35"/>
      <c r="R64" s="57"/>
      <c r="S64" s="35"/>
      <c r="V64" s="57"/>
      <c r="W64" s="208">
        <f>ROUND((ROUND((ROUND((_15_同援日増１．５*_15・２人),0)*(1+_15・A深夜)),0)*(1+_15・区３)),0)</f>
        <v>352</v>
      </c>
      <c r="X64" s="48"/>
    </row>
    <row r="65" spans="1:24" ht="16.5" customHeight="1" x14ac:dyDescent="0.15">
      <c r="A65" s="41">
        <v>15</v>
      </c>
      <c r="B65" s="41" t="s">
        <v>2303</v>
      </c>
      <c r="C65" s="74" t="s">
        <v>25253</v>
      </c>
      <c r="D65" s="72"/>
      <c r="F65" s="57"/>
      <c r="G65" s="114" t="s">
        <v>17558</v>
      </c>
      <c r="H65" s="49"/>
      <c r="I65" s="50"/>
      <c r="J65" s="163"/>
      <c r="K65" s="45"/>
      <c r="L65" s="46"/>
      <c r="M65" s="512"/>
      <c r="N65" s="57"/>
      <c r="O65" s="35"/>
      <c r="R65" s="57"/>
      <c r="S65" s="72" t="s">
        <v>17570</v>
      </c>
      <c r="V65" s="57"/>
      <c r="W65" s="208">
        <f>ROUND((ROUND((ROUND((_15_同援日増１．５*_15・基礎２),0)*(1+_15・A深夜)),0)*(1+_15・区３)),0)</f>
        <v>317</v>
      </c>
      <c r="X65" s="48"/>
    </row>
    <row r="66" spans="1:24" ht="16.5" customHeight="1" x14ac:dyDescent="0.15">
      <c r="A66" s="41">
        <v>15</v>
      </c>
      <c r="B66" s="41" t="s">
        <v>2305</v>
      </c>
      <c r="C66" s="74" t="s">
        <v>25254</v>
      </c>
      <c r="D66" s="72"/>
      <c r="F66" s="57"/>
      <c r="G66" s="269" t="s">
        <v>17560</v>
      </c>
      <c r="H66" s="37" t="s">
        <v>398</v>
      </c>
      <c r="I66" s="38">
        <v>0.9</v>
      </c>
      <c r="J66" s="299" t="s">
        <v>17556</v>
      </c>
      <c r="K66" s="45" t="s">
        <v>398</v>
      </c>
      <c r="L66" s="46">
        <v>1</v>
      </c>
      <c r="M66" s="512"/>
      <c r="N66" s="57"/>
      <c r="O66" s="43"/>
      <c r="P66" s="37"/>
      <c r="Q66" s="38"/>
      <c r="R66" s="79"/>
      <c r="S66" s="72" t="s">
        <v>17572</v>
      </c>
      <c r="V66" s="57"/>
      <c r="W66" s="208">
        <f>ROUND((ROUND((ROUND((ROUND((_15_同援日増１．５*_15・基礎２),0)*_15・２人),0)*(1+_15・A深夜)),0)*(1+_15・区３)),0)</f>
        <v>317</v>
      </c>
      <c r="X66" s="48"/>
    </row>
    <row r="67" spans="1:24" ht="16.5" customHeight="1" x14ac:dyDescent="0.15">
      <c r="A67" s="41">
        <v>15</v>
      </c>
      <c r="B67" s="41" t="s">
        <v>2307</v>
      </c>
      <c r="C67" s="74" t="s">
        <v>25255</v>
      </c>
      <c r="D67" s="72"/>
      <c r="F67" s="57"/>
      <c r="G67" s="53"/>
      <c r="H67" s="49"/>
      <c r="I67" s="50"/>
      <c r="J67" s="163"/>
      <c r="K67" s="45"/>
      <c r="L67" s="46"/>
      <c r="M67" s="512"/>
      <c r="N67" s="57"/>
      <c r="O67" s="114" t="s">
        <v>17562</v>
      </c>
      <c r="P67" s="49"/>
      <c r="Q67" s="50"/>
      <c r="R67" s="115"/>
      <c r="S67" s="35"/>
      <c r="T67" s="12" t="s">
        <v>398</v>
      </c>
      <c r="U67" s="13">
        <v>0.2</v>
      </c>
      <c r="V67" s="57" t="s">
        <v>3575</v>
      </c>
      <c r="W67" s="208">
        <f>ROUND((ROUND((ROUND((_15_同援日増１．５*(1+_15・A深夜)),0)*(1+_15・盲ろう)),0)*(1+_15・区３)),0)</f>
        <v>439</v>
      </c>
      <c r="X67" s="48"/>
    </row>
    <row r="68" spans="1:24" ht="16.5" customHeight="1" x14ac:dyDescent="0.15">
      <c r="A68" s="41">
        <v>15</v>
      </c>
      <c r="B68" s="41" t="s">
        <v>2309</v>
      </c>
      <c r="C68" s="74" t="s">
        <v>25256</v>
      </c>
      <c r="D68" s="72"/>
      <c r="F68" s="57"/>
      <c r="G68" s="43"/>
      <c r="H68" s="37"/>
      <c r="I68" s="38"/>
      <c r="J68" s="299" t="s">
        <v>17556</v>
      </c>
      <c r="K68" s="45" t="s">
        <v>398</v>
      </c>
      <c r="L68" s="46">
        <v>1</v>
      </c>
      <c r="M68" s="512"/>
      <c r="N68" s="57"/>
      <c r="O68" s="92" t="s">
        <v>17564</v>
      </c>
      <c r="R68" s="57"/>
      <c r="S68" s="35"/>
      <c r="V68" s="57"/>
      <c r="W68" s="208">
        <f>ROUND((ROUND((ROUND((ROUND((_15_同援日増１．５*_15・２人),0)*(1+_15・A深夜)),0)*(1+_15・盲ろう)),0)*(1+_15・区３)),0)</f>
        <v>439</v>
      </c>
      <c r="X68" s="48"/>
    </row>
    <row r="69" spans="1:24" ht="16.5" customHeight="1" x14ac:dyDescent="0.15">
      <c r="A69" s="41">
        <v>15</v>
      </c>
      <c r="B69" s="41" t="s">
        <v>25257</v>
      </c>
      <c r="C69" s="74" t="s">
        <v>25258</v>
      </c>
      <c r="D69" s="72"/>
      <c r="F69" s="57"/>
      <c r="G69" s="114" t="s">
        <v>17558</v>
      </c>
      <c r="H69" s="49"/>
      <c r="I69" s="50"/>
      <c r="J69" s="163"/>
      <c r="K69" s="45"/>
      <c r="L69" s="46"/>
      <c r="M69" s="512"/>
      <c r="N69" s="57"/>
      <c r="O69" s="35"/>
      <c r="P69" s="12" t="s">
        <v>398</v>
      </c>
      <c r="Q69" s="13">
        <v>0.25</v>
      </c>
      <c r="R69" s="57" t="s">
        <v>3575</v>
      </c>
      <c r="S69" s="35"/>
      <c r="V69" s="57"/>
      <c r="W69" s="208">
        <f>ROUND((ROUND((ROUND((ROUND((_15_同援日増１．５*_15・基礎２),0)*(1+_15・A深夜)),0)*(1+_15・盲ろう)),0)*(1+_15・区３)),0)</f>
        <v>396</v>
      </c>
      <c r="X69" s="48"/>
    </row>
    <row r="70" spans="1:24" ht="16.5" customHeight="1" x14ac:dyDescent="0.15">
      <c r="A70" s="41">
        <v>15</v>
      </c>
      <c r="B70" s="41" t="s">
        <v>25259</v>
      </c>
      <c r="C70" s="74" t="s">
        <v>25260</v>
      </c>
      <c r="D70" s="72"/>
      <c r="F70" s="57"/>
      <c r="G70" s="269" t="s">
        <v>17560</v>
      </c>
      <c r="H70" s="37" t="s">
        <v>398</v>
      </c>
      <c r="I70" s="38">
        <v>0.9</v>
      </c>
      <c r="J70" s="299" t="s">
        <v>17556</v>
      </c>
      <c r="K70" s="45" t="s">
        <v>398</v>
      </c>
      <c r="L70" s="46">
        <v>1</v>
      </c>
      <c r="M70" s="512"/>
      <c r="N70" s="57"/>
      <c r="O70" s="43"/>
      <c r="P70" s="37"/>
      <c r="Q70" s="38"/>
      <c r="R70" s="79"/>
      <c r="S70" s="43"/>
      <c r="T70" s="37"/>
      <c r="U70" s="38"/>
      <c r="V70" s="79"/>
      <c r="W70" s="208">
        <f>ROUND((ROUND((ROUND((ROUND((ROUND((_15_同援日増１．５*_15・基礎２),0)*_15・２人),0)*(1+_15・A深夜)),0)*(1+_15・盲ろう)),0)*(1+_15・区３)),0)</f>
        <v>396</v>
      </c>
      <c r="X70" s="48"/>
    </row>
    <row r="71" spans="1:24" ht="16.5" customHeight="1" x14ac:dyDescent="0.15">
      <c r="A71" s="41">
        <v>15</v>
      </c>
      <c r="B71" s="41" t="s">
        <v>25261</v>
      </c>
      <c r="C71" s="74" t="s">
        <v>25262</v>
      </c>
      <c r="D71" s="72"/>
      <c r="F71" s="57"/>
      <c r="G71" s="53"/>
      <c r="H71" s="49"/>
      <c r="I71" s="50"/>
      <c r="J71" s="163"/>
      <c r="K71" s="45"/>
      <c r="L71" s="46"/>
      <c r="M71" s="512"/>
      <c r="N71" s="57"/>
      <c r="O71" s="53"/>
      <c r="P71" s="49"/>
      <c r="Q71" s="50"/>
      <c r="R71" s="115"/>
      <c r="S71" s="53"/>
      <c r="T71" s="49"/>
      <c r="U71" s="50"/>
      <c r="V71" s="115"/>
      <c r="W71" s="208">
        <f>ROUND((ROUND((_15_同援日増１．５*(1+_15・A深夜)),0)*(1+_15・区４)),0)</f>
        <v>410</v>
      </c>
      <c r="X71" s="48"/>
    </row>
    <row r="72" spans="1:24" ht="16.5" customHeight="1" x14ac:dyDescent="0.15">
      <c r="A72" s="41">
        <v>15</v>
      </c>
      <c r="B72" s="41" t="s">
        <v>25263</v>
      </c>
      <c r="C72" s="74" t="s">
        <v>25264</v>
      </c>
      <c r="D72" s="72"/>
      <c r="F72" s="57"/>
      <c r="G72" s="43"/>
      <c r="H72" s="37"/>
      <c r="I72" s="38"/>
      <c r="J72" s="299" t="s">
        <v>17556</v>
      </c>
      <c r="K72" s="45" t="s">
        <v>398</v>
      </c>
      <c r="L72" s="46">
        <v>1</v>
      </c>
      <c r="M72" s="512"/>
      <c r="N72" s="57"/>
      <c r="O72" s="35"/>
      <c r="R72" s="57"/>
      <c r="S72" s="35"/>
      <c r="V72" s="57"/>
      <c r="W72" s="208">
        <f>ROUND((ROUND((ROUND((_15_同援日増１．５*_15・２人),0)*(1+_15・A深夜)),0)*(1+_15・区４)),0)</f>
        <v>410</v>
      </c>
      <c r="X72" s="48"/>
    </row>
    <row r="73" spans="1:24" ht="16.5" customHeight="1" x14ac:dyDescent="0.15">
      <c r="A73" s="41">
        <v>15</v>
      </c>
      <c r="B73" s="41" t="s">
        <v>25265</v>
      </c>
      <c r="C73" s="74" t="s">
        <v>25266</v>
      </c>
      <c r="D73" s="72"/>
      <c r="F73" s="57"/>
      <c r="G73" s="114" t="s">
        <v>17558</v>
      </c>
      <c r="H73" s="49"/>
      <c r="I73" s="50"/>
      <c r="J73" s="163"/>
      <c r="K73" s="45"/>
      <c r="L73" s="46"/>
      <c r="M73" s="512"/>
      <c r="N73" s="57"/>
      <c r="O73" s="35"/>
      <c r="R73" s="57"/>
      <c r="S73" s="72" t="s">
        <v>17580</v>
      </c>
      <c r="V73" s="57"/>
      <c r="W73" s="208">
        <f>ROUND((ROUND((ROUND((_15_同援日増１．５*_15・基礎２),0)*(1+_15・A深夜)),0)*(1+_15・区４)),0)</f>
        <v>370</v>
      </c>
      <c r="X73" s="48"/>
    </row>
    <row r="74" spans="1:24" ht="16.5" customHeight="1" x14ac:dyDescent="0.15">
      <c r="A74" s="41">
        <v>15</v>
      </c>
      <c r="B74" s="41" t="s">
        <v>25267</v>
      </c>
      <c r="C74" s="74" t="s">
        <v>25268</v>
      </c>
      <c r="D74" s="72"/>
      <c r="F74" s="57"/>
      <c r="G74" s="269" t="s">
        <v>17560</v>
      </c>
      <c r="H74" s="37" t="s">
        <v>398</v>
      </c>
      <c r="I74" s="38">
        <v>0.9</v>
      </c>
      <c r="J74" s="299" t="s">
        <v>17556</v>
      </c>
      <c r="K74" s="45" t="s">
        <v>398</v>
      </c>
      <c r="L74" s="46">
        <v>1</v>
      </c>
      <c r="M74" s="512"/>
      <c r="N74" s="57"/>
      <c r="O74" s="43"/>
      <c r="P74" s="37"/>
      <c r="Q74" s="38"/>
      <c r="R74" s="79"/>
      <c r="S74" s="72" t="s">
        <v>17572</v>
      </c>
      <c r="V74" s="57"/>
      <c r="W74" s="208">
        <f>ROUND((ROUND((ROUND((ROUND((_15_同援日増１．５*_15・基礎２),0)*_15・２人),0)*(1+_15・A深夜)),0)*(1+_15・区４)),0)</f>
        <v>370</v>
      </c>
      <c r="X74" s="48"/>
    </row>
    <row r="75" spans="1:24" ht="16.5" customHeight="1" x14ac:dyDescent="0.15">
      <c r="A75" s="41">
        <v>15</v>
      </c>
      <c r="B75" s="41" t="s">
        <v>25269</v>
      </c>
      <c r="C75" s="74" t="s">
        <v>25270</v>
      </c>
      <c r="D75" s="72"/>
      <c r="F75" s="57"/>
      <c r="G75" s="53"/>
      <c r="H75" s="49"/>
      <c r="I75" s="50"/>
      <c r="J75" s="163"/>
      <c r="K75" s="45"/>
      <c r="L75" s="46"/>
      <c r="M75" s="512"/>
      <c r="N75" s="57"/>
      <c r="O75" s="114" t="s">
        <v>17562</v>
      </c>
      <c r="P75" s="49"/>
      <c r="Q75" s="50"/>
      <c r="R75" s="115"/>
      <c r="S75" s="35"/>
      <c r="T75" s="12" t="s">
        <v>398</v>
      </c>
      <c r="U75" s="13">
        <v>0.4</v>
      </c>
      <c r="V75" s="57" t="s">
        <v>3575</v>
      </c>
      <c r="W75" s="208">
        <f>ROUND((ROUND((ROUND((_15_同援日増１．５*(1+_15・A深夜)),0)*(1+_15・盲ろう)),0)*(1+_15・区４)),0)</f>
        <v>512</v>
      </c>
      <c r="X75" s="48"/>
    </row>
    <row r="76" spans="1:24" ht="16.5" customHeight="1" x14ac:dyDescent="0.15">
      <c r="A76" s="41">
        <v>15</v>
      </c>
      <c r="B76" s="41" t="s">
        <v>25271</v>
      </c>
      <c r="C76" s="74" t="s">
        <v>25272</v>
      </c>
      <c r="D76" s="72"/>
      <c r="F76" s="57"/>
      <c r="G76" s="43"/>
      <c r="H76" s="37"/>
      <c r="I76" s="38"/>
      <c r="J76" s="299" t="s">
        <v>17556</v>
      </c>
      <c r="K76" s="45" t="s">
        <v>398</v>
      </c>
      <c r="L76" s="46">
        <v>1</v>
      </c>
      <c r="M76" s="512"/>
      <c r="N76" s="57"/>
      <c r="O76" s="92" t="s">
        <v>17564</v>
      </c>
      <c r="R76" s="57"/>
      <c r="S76" s="35"/>
      <c r="V76" s="57"/>
      <c r="W76" s="208">
        <f>ROUND((ROUND((ROUND((ROUND((_15_同援日増１．５*_15・２人),0)*(1+_15・A深夜)),0)*(1+_15・盲ろう)),0)*(1+_15・区４)),0)</f>
        <v>512</v>
      </c>
      <c r="X76" s="48"/>
    </row>
    <row r="77" spans="1:24" ht="16.5" customHeight="1" x14ac:dyDescent="0.15">
      <c r="A77" s="41">
        <v>15</v>
      </c>
      <c r="B77" s="41" t="s">
        <v>25273</v>
      </c>
      <c r="C77" s="74" t="s">
        <v>25274</v>
      </c>
      <c r="D77" s="72"/>
      <c r="F77" s="57"/>
      <c r="G77" s="114" t="s">
        <v>17558</v>
      </c>
      <c r="H77" s="49"/>
      <c r="I77" s="50"/>
      <c r="J77" s="163"/>
      <c r="K77" s="45"/>
      <c r="L77" s="46"/>
      <c r="M77" s="512"/>
      <c r="N77" s="57"/>
      <c r="O77" s="35"/>
      <c r="P77" s="12" t="s">
        <v>398</v>
      </c>
      <c r="Q77" s="13">
        <v>0.25</v>
      </c>
      <c r="R77" s="57" t="s">
        <v>3575</v>
      </c>
      <c r="S77" s="35"/>
      <c r="V77" s="57"/>
      <c r="W77" s="208">
        <f>ROUND((ROUND((ROUND((ROUND((_15_同援日増１．５*_15・基礎２),0)*(1+_15・A深夜)),0)*(1+_15・盲ろう)),0)*(1+_15・区４)),0)</f>
        <v>462</v>
      </c>
      <c r="X77" s="48"/>
    </row>
    <row r="78" spans="1:24" ht="16.5" customHeight="1" x14ac:dyDescent="0.15">
      <c r="A78" s="41">
        <v>15</v>
      </c>
      <c r="B78" s="41" t="s">
        <v>25275</v>
      </c>
      <c r="C78" s="74" t="s">
        <v>25276</v>
      </c>
      <c r="D78" s="122"/>
      <c r="E78" s="37"/>
      <c r="F78" s="79"/>
      <c r="G78" s="269" t="s">
        <v>17560</v>
      </c>
      <c r="H78" s="37" t="s">
        <v>398</v>
      </c>
      <c r="I78" s="38">
        <v>0.9</v>
      </c>
      <c r="J78" s="299" t="s">
        <v>17556</v>
      </c>
      <c r="K78" s="45" t="s">
        <v>398</v>
      </c>
      <c r="L78" s="46">
        <v>1</v>
      </c>
      <c r="M78" s="512"/>
      <c r="N78" s="57"/>
      <c r="O78" s="43"/>
      <c r="P78" s="37"/>
      <c r="Q78" s="38"/>
      <c r="R78" s="79"/>
      <c r="S78" s="43"/>
      <c r="T78" s="37"/>
      <c r="U78" s="38"/>
      <c r="V78" s="79"/>
      <c r="W78" s="208">
        <f>ROUND((ROUND((ROUND((ROUND((ROUND((_15_同援日増１．５*_15・基礎２),0)*_15・２人),0)*(1+_15・A深夜)),0)*(1+_15・盲ろう)),0)*(1+_15・区４)),0)</f>
        <v>462</v>
      </c>
      <c r="X78" s="48"/>
    </row>
    <row r="79" spans="1:24" ht="16.5" customHeight="1" x14ac:dyDescent="0.15">
      <c r="A79" s="41">
        <v>15</v>
      </c>
      <c r="B79" s="41" t="s">
        <v>25277</v>
      </c>
      <c r="C79" s="74" t="s">
        <v>25278</v>
      </c>
      <c r="D79" s="114" t="s">
        <v>25279</v>
      </c>
      <c r="E79" s="49"/>
      <c r="F79" s="115"/>
      <c r="G79" s="53"/>
      <c r="H79" s="49"/>
      <c r="I79" s="50"/>
      <c r="J79" s="163"/>
      <c r="K79" s="45"/>
      <c r="L79" s="46"/>
      <c r="M79" s="512"/>
      <c r="N79" s="57"/>
      <c r="O79" s="53"/>
      <c r="P79" s="49"/>
      <c r="Q79" s="50"/>
      <c r="R79" s="115"/>
      <c r="S79" s="53"/>
      <c r="T79" s="49"/>
      <c r="U79" s="50"/>
      <c r="V79" s="115"/>
      <c r="W79" s="208">
        <f>ROUND((_15_同援日増２．０*(1+_15・A深夜)),0)</f>
        <v>390</v>
      </c>
      <c r="X79" s="48"/>
    </row>
    <row r="80" spans="1:24" ht="16.5" customHeight="1" x14ac:dyDescent="0.15">
      <c r="A80" s="41">
        <v>15</v>
      </c>
      <c r="B80" s="41" t="s">
        <v>25280</v>
      </c>
      <c r="C80" s="74" t="s">
        <v>25281</v>
      </c>
      <c r="D80" s="92" t="s">
        <v>17643</v>
      </c>
      <c r="F80" s="57"/>
      <c r="G80" s="43"/>
      <c r="H80" s="37"/>
      <c r="I80" s="38"/>
      <c r="J80" s="299" t="s">
        <v>17556</v>
      </c>
      <c r="K80" s="45" t="s">
        <v>398</v>
      </c>
      <c r="L80" s="46">
        <v>1</v>
      </c>
      <c r="M80" s="512"/>
      <c r="N80" s="57"/>
      <c r="O80" s="35"/>
      <c r="R80" s="57"/>
      <c r="S80" s="35"/>
      <c r="V80" s="57"/>
      <c r="W80" s="208">
        <f>ROUND((ROUND((_15_同援日増２．０*_15・２人),0)*(1+_15・A深夜)),0)</f>
        <v>390</v>
      </c>
      <c r="X80" s="48"/>
    </row>
    <row r="81" spans="1:24" ht="16.5" customHeight="1" x14ac:dyDescent="0.15">
      <c r="A81" s="41">
        <v>15</v>
      </c>
      <c r="B81" s="41" t="s">
        <v>25282</v>
      </c>
      <c r="C81" s="74" t="s">
        <v>25283</v>
      </c>
      <c r="D81" s="72" t="s">
        <v>17645</v>
      </c>
      <c r="F81" s="57"/>
      <c r="G81" s="114" t="s">
        <v>17558</v>
      </c>
      <c r="H81" s="49"/>
      <c r="I81" s="50"/>
      <c r="J81" s="163"/>
      <c r="K81" s="45"/>
      <c r="L81" s="46"/>
      <c r="M81" s="512"/>
      <c r="N81" s="57"/>
      <c r="O81" s="35"/>
      <c r="R81" s="57"/>
      <c r="S81" s="35"/>
      <c r="V81" s="57"/>
      <c r="W81" s="208">
        <f>ROUND((ROUND((_15_同援日増２．０*_15・基礎２),0)*(1+_15・A深夜)),0)</f>
        <v>351</v>
      </c>
      <c r="X81" s="48"/>
    </row>
    <row r="82" spans="1:24" ht="16.5" customHeight="1" x14ac:dyDescent="0.15">
      <c r="A82" s="41">
        <v>15</v>
      </c>
      <c r="B82" s="41" t="s">
        <v>25284</v>
      </c>
      <c r="C82" s="74" t="s">
        <v>25285</v>
      </c>
      <c r="D82" s="72"/>
      <c r="E82" s="168">
        <f>_15_同援日増２．０</f>
        <v>260</v>
      </c>
      <c r="F82" s="57" t="s">
        <v>392</v>
      </c>
      <c r="G82" s="269" t="s">
        <v>17560</v>
      </c>
      <c r="H82" s="37" t="s">
        <v>398</v>
      </c>
      <c r="I82" s="38">
        <v>0.9</v>
      </c>
      <c r="J82" s="299" t="s">
        <v>17556</v>
      </c>
      <c r="K82" s="45" t="s">
        <v>398</v>
      </c>
      <c r="L82" s="46">
        <v>1</v>
      </c>
      <c r="M82" s="512"/>
      <c r="N82" s="57"/>
      <c r="O82" s="43"/>
      <c r="P82" s="37"/>
      <c r="Q82" s="38"/>
      <c r="R82" s="79"/>
      <c r="S82" s="35"/>
      <c r="V82" s="57"/>
      <c r="W82" s="208">
        <f>ROUND((ROUND((ROUND((_15_同援日増２．０*_15・基礎２),0)*_15・２人),0)*(1+_15・A深夜)),0)</f>
        <v>351</v>
      </c>
      <c r="X82" s="48"/>
    </row>
    <row r="83" spans="1:24" ht="16.5" customHeight="1" x14ac:dyDescent="0.15">
      <c r="A83" s="41">
        <v>15</v>
      </c>
      <c r="B83" s="41" t="s">
        <v>25286</v>
      </c>
      <c r="C83" s="74" t="s">
        <v>25287</v>
      </c>
      <c r="D83" s="72"/>
      <c r="F83" s="57"/>
      <c r="G83" s="53"/>
      <c r="H83" s="49"/>
      <c r="I83" s="50"/>
      <c r="J83" s="163"/>
      <c r="K83" s="45"/>
      <c r="L83" s="46"/>
      <c r="M83" s="512"/>
      <c r="N83" s="57"/>
      <c r="O83" s="114" t="s">
        <v>17562</v>
      </c>
      <c r="P83" s="49"/>
      <c r="Q83" s="50"/>
      <c r="R83" s="115"/>
      <c r="S83" s="35"/>
      <c r="V83" s="57"/>
      <c r="W83" s="208">
        <f>ROUND((ROUND((_15_同援日増２．０*(1+_15・A深夜)),0)*(1+_15・盲ろう)),0)</f>
        <v>488</v>
      </c>
      <c r="X83" s="48"/>
    </row>
    <row r="84" spans="1:24" ht="16.5" customHeight="1" x14ac:dyDescent="0.15">
      <c r="A84" s="41">
        <v>15</v>
      </c>
      <c r="B84" s="41" t="s">
        <v>25288</v>
      </c>
      <c r="C84" s="74" t="s">
        <v>25289</v>
      </c>
      <c r="D84" s="72"/>
      <c r="F84" s="57"/>
      <c r="G84" s="43"/>
      <c r="H84" s="37"/>
      <c r="I84" s="38"/>
      <c r="J84" s="299" t="s">
        <v>17556</v>
      </c>
      <c r="K84" s="45" t="s">
        <v>398</v>
      </c>
      <c r="L84" s="46">
        <v>1</v>
      </c>
      <c r="M84" s="512"/>
      <c r="N84" s="57"/>
      <c r="O84" s="92" t="s">
        <v>17564</v>
      </c>
      <c r="R84" s="57"/>
      <c r="S84" s="35"/>
      <c r="V84" s="57"/>
      <c r="W84" s="208">
        <f>ROUND((ROUND((ROUND((_15_同援日増２．０*_15・２人),0)*(1+_15・A深夜)),0)*(1+_15・盲ろう)),0)</f>
        <v>488</v>
      </c>
      <c r="X84" s="48"/>
    </row>
    <row r="85" spans="1:24" ht="16.5" customHeight="1" x14ac:dyDescent="0.15">
      <c r="A85" s="41">
        <v>15</v>
      </c>
      <c r="B85" s="41" t="s">
        <v>2315</v>
      </c>
      <c r="C85" s="74" t="s">
        <v>25290</v>
      </c>
      <c r="D85" s="72"/>
      <c r="F85" s="57"/>
      <c r="G85" s="114" t="s">
        <v>17558</v>
      </c>
      <c r="H85" s="49"/>
      <c r="I85" s="50"/>
      <c r="J85" s="163"/>
      <c r="K85" s="45"/>
      <c r="L85" s="46"/>
      <c r="M85" s="512"/>
      <c r="N85" s="57"/>
      <c r="O85" s="35"/>
      <c r="P85" s="12" t="s">
        <v>398</v>
      </c>
      <c r="Q85" s="13">
        <v>0.25</v>
      </c>
      <c r="R85" s="57" t="s">
        <v>3575</v>
      </c>
      <c r="S85" s="35"/>
      <c r="V85" s="57"/>
      <c r="W85" s="208">
        <f>ROUND((ROUND((ROUND((_15_同援日増２．０*_15・基礎２),0)*(1+_15・A深夜)),0)*(1+_15・盲ろう)),0)</f>
        <v>439</v>
      </c>
      <c r="X85" s="48"/>
    </row>
    <row r="86" spans="1:24" ht="16.5" customHeight="1" x14ac:dyDescent="0.15">
      <c r="A86" s="41">
        <v>15</v>
      </c>
      <c r="B86" s="41" t="s">
        <v>2317</v>
      </c>
      <c r="C86" s="74" t="s">
        <v>25291</v>
      </c>
      <c r="D86" s="72"/>
      <c r="F86" s="57"/>
      <c r="G86" s="269" t="s">
        <v>17560</v>
      </c>
      <c r="H86" s="37" t="s">
        <v>398</v>
      </c>
      <c r="I86" s="38">
        <v>0.9</v>
      </c>
      <c r="J86" s="299" t="s">
        <v>17556</v>
      </c>
      <c r="K86" s="45" t="s">
        <v>398</v>
      </c>
      <c r="L86" s="46">
        <v>1</v>
      </c>
      <c r="M86" s="512"/>
      <c r="N86" s="57"/>
      <c r="O86" s="43"/>
      <c r="P86" s="37"/>
      <c r="Q86" s="38"/>
      <c r="R86" s="79"/>
      <c r="S86" s="43"/>
      <c r="T86" s="37"/>
      <c r="U86" s="38"/>
      <c r="V86" s="79"/>
      <c r="W86" s="208">
        <f>ROUND((ROUND((ROUND((ROUND((_15_同援日増２．０*_15・基礎２),0)*_15・２人),0)*(1+_15・A深夜)),0)*(1+_15・盲ろう)),0)</f>
        <v>439</v>
      </c>
      <c r="X86" s="48"/>
    </row>
    <row r="87" spans="1:24" ht="16.5" customHeight="1" x14ac:dyDescent="0.15">
      <c r="A87" s="41">
        <v>15</v>
      </c>
      <c r="B87" s="41" t="s">
        <v>2319</v>
      </c>
      <c r="C87" s="74" t="s">
        <v>25292</v>
      </c>
      <c r="D87" s="72"/>
      <c r="F87" s="57"/>
      <c r="G87" s="53"/>
      <c r="H87" s="49"/>
      <c r="I87" s="50"/>
      <c r="J87" s="163"/>
      <c r="K87" s="45"/>
      <c r="L87" s="46"/>
      <c r="M87" s="512"/>
      <c r="N87" s="57"/>
      <c r="O87" s="53"/>
      <c r="P87" s="49"/>
      <c r="Q87" s="50"/>
      <c r="R87" s="115"/>
      <c r="S87" s="53"/>
      <c r="T87" s="49"/>
      <c r="U87" s="50"/>
      <c r="V87" s="115"/>
      <c r="W87" s="208">
        <f>ROUND((ROUND((_15_同援日増２．０*(1+_15・A深夜)),0)*(1+_15・区３)),0)</f>
        <v>468</v>
      </c>
      <c r="X87" s="48"/>
    </row>
    <row r="88" spans="1:24" ht="16.5" customHeight="1" x14ac:dyDescent="0.15">
      <c r="A88" s="41">
        <v>15</v>
      </c>
      <c r="B88" s="41" t="s">
        <v>2321</v>
      </c>
      <c r="C88" s="74" t="s">
        <v>25293</v>
      </c>
      <c r="D88" s="72"/>
      <c r="F88" s="57"/>
      <c r="G88" s="43"/>
      <c r="H88" s="37"/>
      <c r="I88" s="38"/>
      <c r="J88" s="299" t="s">
        <v>17556</v>
      </c>
      <c r="K88" s="45" t="s">
        <v>398</v>
      </c>
      <c r="L88" s="46">
        <v>1</v>
      </c>
      <c r="M88" s="512"/>
      <c r="N88" s="57"/>
      <c r="O88" s="35"/>
      <c r="R88" s="57"/>
      <c r="S88" s="35"/>
      <c r="V88" s="57"/>
      <c r="W88" s="208">
        <f>ROUND((ROUND((ROUND((_15_同援日増２．０*_15・２人),0)*(1+_15・A深夜)),0)*(1+_15・区３)),0)</f>
        <v>468</v>
      </c>
      <c r="X88" s="48"/>
    </row>
    <row r="89" spans="1:24" ht="16.5" customHeight="1" x14ac:dyDescent="0.15">
      <c r="A89" s="41">
        <v>15</v>
      </c>
      <c r="B89" s="41" t="s">
        <v>25294</v>
      </c>
      <c r="C89" s="74" t="s">
        <v>25295</v>
      </c>
      <c r="D89" s="72"/>
      <c r="F89" s="57"/>
      <c r="G89" s="114" t="s">
        <v>17558</v>
      </c>
      <c r="H89" s="49"/>
      <c r="I89" s="50"/>
      <c r="J89" s="163"/>
      <c r="K89" s="45"/>
      <c r="L89" s="46"/>
      <c r="M89" s="512"/>
      <c r="N89" s="57"/>
      <c r="O89" s="35"/>
      <c r="R89" s="57"/>
      <c r="S89" s="72" t="s">
        <v>17570</v>
      </c>
      <c r="V89" s="57"/>
      <c r="W89" s="208">
        <f>ROUND((ROUND((ROUND((_15_同援日増２．０*_15・基礎２),0)*(1+_15・A深夜)),0)*(1+_15・区３)),0)</f>
        <v>421</v>
      </c>
      <c r="X89" s="48"/>
    </row>
    <row r="90" spans="1:24" ht="16.5" customHeight="1" x14ac:dyDescent="0.15">
      <c r="A90" s="41">
        <v>15</v>
      </c>
      <c r="B90" s="41" t="s">
        <v>25296</v>
      </c>
      <c r="C90" s="74" t="s">
        <v>25297</v>
      </c>
      <c r="D90" s="72"/>
      <c r="F90" s="57"/>
      <c r="G90" s="269" t="s">
        <v>17560</v>
      </c>
      <c r="H90" s="37" t="s">
        <v>398</v>
      </c>
      <c r="I90" s="38">
        <v>0.9</v>
      </c>
      <c r="J90" s="299" t="s">
        <v>17556</v>
      </c>
      <c r="K90" s="45" t="s">
        <v>398</v>
      </c>
      <c r="L90" s="46">
        <v>1</v>
      </c>
      <c r="M90" s="512"/>
      <c r="N90" s="57"/>
      <c r="O90" s="43"/>
      <c r="P90" s="37"/>
      <c r="Q90" s="38"/>
      <c r="R90" s="79"/>
      <c r="S90" s="72" t="s">
        <v>17572</v>
      </c>
      <c r="V90" s="57"/>
      <c r="W90" s="208">
        <f>ROUND((ROUND((ROUND((ROUND((_15_同援日増２．０*_15・基礎２),0)*_15・２人),0)*(1+_15・A深夜)),0)*(1+_15・区３)),0)</f>
        <v>421</v>
      </c>
      <c r="X90" s="48"/>
    </row>
    <row r="91" spans="1:24" ht="16.5" customHeight="1" x14ac:dyDescent="0.15">
      <c r="A91" s="41">
        <v>15</v>
      </c>
      <c r="B91" s="41" t="s">
        <v>25298</v>
      </c>
      <c r="C91" s="74" t="s">
        <v>25299</v>
      </c>
      <c r="D91" s="72"/>
      <c r="F91" s="57"/>
      <c r="G91" s="53"/>
      <c r="H91" s="49"/>
      <c r="I91" s="50"/>
      <c r="J91" s="163"/>
      <c r="K91" s="45"/>
      <c r="L91" s="46"/>
      <c r="M91" s="512"/>
      <c r="N91" s="57"/>
      <c r="O91" s="114" t="s">
        <v>17562</v>
      </c>
      <c r="P91" s="49"/>
      <c r="Q91" s="50"/>
      <c r="R91" s="115"/>
      <c r="S91" s="35"/>
      <c r="T91" s="12" t="s">
        <v>398</v>
      </c>
      <c r="U91" s="13">
        <v>0.2</v>
      </c>
      <c r="V91" s="57" t="s">
        <v>3575</v>
      </c>
      <c r="W91" s="208">
        <f>ROUND((ROUND((ROUND((_15_同援日増２．０*(1+_15・A深夜)),0)*(1+_15・盲ろう)),0)*(1+_15・区３)),0)</f>
        <v>586</v>
      </c>
      <c r="X91" s="48"/>
    </row>
    <row r="92" spans="1:24" ht="16.5" customHeight="1" x14ac:dyDescent="0.15">
      <c r="A92" s="41">
        <v>15</v>
      </c>
      <c r="B92" s="41" t="s">
        <v>25300</v>
      </c>
      <c r="C92" s="74" t="s">
        <v>25301</v>
      </c>
      <c r="D92" s="72"/>
      <c r="F92" s="57"/>
      <c r="G92" s="43"/>
      <c r="H92" s="37"/>
      <c r="I92" s="38"/>
      <c r="J92" s="299" t="s">
        <v>17556</v>
      </c>
      <c r="K92" s="45" t="s">
        <v>398</v>
      </c>
      <c r="L92" s="46">
        <v>1</v>
      </c>
      <c r="M92" s="512"/>
      <c r="N92" s="57"/>
      <c r="O92" s="92" t="s">
        <v>17564</v>
      </c>
      <c r="R92" s="57"/>
      <c r="S92" s="35"/>
      <c r="V92" s="57"/>
      <c r="W92" s="208">
        <f>ROUND((ROUND((ROUND((ROUND((_15_同援日増２．０*_15・２人),0)*(1+_15・A深夜)),0)*(1+_15・盲ろう)),0)*(1+_15・区３)),0)</f>
        <v>586</v>
      </c>
      <c r="X92" s="48"/>
    </row>
    <row r="93" spans="1:24" ht="16.5" customHeight="1" x14ac:dyDescent="0.15">
      <c r="A93" s="41">
        <v>15</v>
      </c>
      <c r="B93" s="41" t="s">
        <v>25302</v>
      </c>
      <c r="C93" s="74" t="s">
        <v>25303</v>
      </c>
      <c r="D93" s="72"/>
      <c r="F93" s="57"/>
      <c r="G93" s="114" t="s">
        <v>17558</v>
      </c>
      <c r="H93" s="49"/>
      <c r="I93" s="50"/>
      <c r="J93" s="163"/>
      <c r="K93" s="45"/>
      <c r="L93" s="46"/>
      <c r="M93" s="512"/>
      <c r="N93" s="57"/>
      <c r="O93" s="35"/>
      <c r="P93" s="12" t="s">
        <v>398</v>
      </c>
      <c r="Q93" s="13">
        <v>0.25</v>
      </c>
      <c r="R93" s="57" t="s">
        <v>3575</v>
      </c>
      <c r="S93" s="35"/>
      <c r="V93" s="57"/>
      <c r="W93" s="208">
        <f>ROUND((ROUND((ROUND((ROUND((_15_同援日増２．０*_15・基礎２),0)*(1+_15・A深夜)),0)*(1+_15・盲ろう)),0)*(1+_15・区３)),0)</f>
        <v>527</v>
      </c>
      <c r="X93" s="48"/>
    </row>
    <row r="94" spans="1:24" ht="16.5" customHeight="1" x14ac:dyDescent="0.15">
      <c r="A94" s="41">
        <v>15</v>
      </c>
      <c r="B94" s="41" t="s">
        <v>25304</v>
      </c>
      <c r="C94" s="74" t="s">
        <v>25305</v>
      </c>
      <c r="D94" s="72"/>
      <c r="F94" s="57"/>
      <c r="G94" s="269" t="s">
        <v>17560</v>
      </c>
      <c r="H94" s="37" t="s">
        <v>398</v>
      </c>
      <c r="I94" s="38">
        <v>0.9</v>
      </c>
      <c r="J94" s="299" t="s">
        <v>17556</v>
      </c>
      <c r="K94" s="45" t="s">
        <v>398</v>
      </c>
      <c r="L94" s="46">
        <v>1</v>
      </c>
      <c r="M94" s="512"/>
      <c r="N94" s="57"/>
      <c r="O94" s="43"/>
      <c r="P94" s="37"/>
      <c r="Q94" s="38"/>
      <c r="R94" s="79"/>
      <c r="S94" s="43"/>
      <c r="T94" s="37"/>
      <c r="U94" s="38"/>
      <c r="V94" s="79"/>
      <c r="W94" s="208">
        <f>ROUND((ROUND((ROUND((ROUND((ROUND((_15_同援日増２．０*_15・基礎２),0)*_15・２人),0)*(1+_15・A深夜)),0)*(1+_15・盲ろう)),0)*(1+_15・区３)),0)</f>
        <v>527</v>
      </c>
      <c r="X94" s="48"/>
    </row>
    <row r="95" spans="1:24" ht="16.5" customHeight="1" x14ac:dyDescent="0.15">
      <c r="A95" s="41">
        <v>15</v>
      </c>
      <c r="B95" s="41" t="s">
        <v>25306</v>
      </c>
      <c r="C95" s="74" t="s">
        <v>25307</v>
      </c>
      <c r="D95" s="72"/>
      <c r="F95" s="57"/>
      <c r="G95" s="53"/>
      <c r="H95" s="49"/>
      <c r="I95" s="50"/>
      <c r="J95" s="163"/>
      <c r="K95" s="45"/>
      <c r="L95" s="46"/>
      <c r="M95" s="512"/>
      <c r="N95" s="57"/>
      <c r="O95" s="53"/>
      <c r="P95" s="49"/>
      <c r="Q95" s="50"/>
      <c r="R95" s="115"/>
      <c r="S95" s="53"/>
      <c r="T95" s="49"/>
      <c r="U95" s="50"/>
      <c r="V95" s="115"/>
      <c r="W95" s="208">
        <f>ROUND((ROUND((_15_同援日増２．０*(1+_15・A深夜)),0)*(1+_15・区４)),0)</f>
        <v>546</v>
      </c>
      <c r="X95" s="48"/>
    </row>
    <row r="96" spans="1:24" ht="16.5" customHeight="1" x14ac:dyDescent="0.15">
      <c r="A96" s="41">
        <v>15</v>
      </c>
      <c r="B96" s="41" t="s">
        <v>25308</v>
      </c>
      <c r="C96" s="74" t="s">
        <v>25309</v>
      </c>
      <c r="D96" s="72"/>
      <c r="F96" s="57"/>
      <c r="G96" s="43"/>
      <c r="H96" s="37"/>
      <c r="I96" s="38"/>
      <c r="J96" s="299" t="s">
        <v>17556</v>
      </c>
      <c r="K96" s="45" t="s">
        <v>398</v>
      </c>
      <c r="L96" s="46">
        <v>1</v>
      </c>
      <c r="M96" s="512"/>
      <c r="N96" s="57"/>
      <c r="O96" s="35"/>
      <c r="R96" s="57"/>
      <c r="S96" s="35"/>
      <c r="V96" s="57"/>
      <c r="W96" s="208">
        <f>ROUND((ROUND((ROUND((_15_同援日増２．０*_15・２人),0)*(1+_15・A深夜)),0)*(1+_15・区４)),0)</f>
        <v>546</v>
      </c>
      <c r="X96" s="48"/>
    </row>
    <row r="97" spans="1:24" ht="16.5" customHeight="1" x14ac:dyDescent="0.15">
      <c r="A97" s="41">
        <v>15</v>
      </c>
      <c r="B97" s="41" t="s">
        <v>25310</v>
      </c>
      <c r="C97" s="74" t="s">
        <v>25311</v>
      </c>
      <c r="D97" s="72"/>
      <c r="F97" s="57"/>
      <c r="G97" s="114" t="s">
        <v>17558</v>
      </c>
      <c r="H97" s="49"/>
      <c r="I97" s="50"/>
      <c r="J97" s="163"/>
      <c r="K97" s="45"/>
      <c r="L97" s="46"/>
      <c r="M97" s="512"/>
      <c r="N97" s="57"/>
      <c r="O97" s="35"/>
      <c r="R97" s="57"/>
      <c r="S97" s="72" t="s">
        <v>17580</v>
      </c>
      <c r="V97" s="57"/>
      <c r="W97" s="208">
        <f>ROUND((ROUND((ROUND((_15_同援日増２．０*_15・基礎２),0)*(1+_15・A深夜)),0)*(1+_15・区４)),0)</f>
        <v>491</v>
      </c>
      <c r="X97" s="48"/>
    </row>
    <row r="98" spans="1:24" ht="16.5" customHeight="1" x14ac:dyDescent="0.15">
      <c r="A98" s="41">
        <v>15</v>
      </c>
      <c r="B98" s="41" t="s">
        <v>25312</v>
      </c>
      <c r="C98" s="74" t="s">
        <v>25313</v>
      </c>
      <c r="D98" s="72"/>
      <c r="F98" s="57"/>
      <c r="G98" s="269" t="s">
        <v>17560</v>
      </c>
      <c r="H98" s="37" t="s">
        <v>398</v>
      </c>
      <c r="I98" s="38">
        <v>0.9</v>
      </c>
      <c r="J98" s="299" t="s">
        <v>17556</v>
      </c>
      <c r="K98" s="45" t="s">
        <v>398</v>
      </c>
      <c r="L98" s="46">
        <v>1</v>
      </c>
      <c r="M98" s="512"/>
      <c r="N98" s="57"/>
      <c r="O98" s="43"/>
      <c r="P98" s="37"/>
      <c r="Q98" s="38"/>
      <c r="R98" s="79"/>
      <c r="S98" s="72" t="s">
        <v>17572</v>
      </c>
      <c r="V98" s="57"/>
      <c r="W98" s="208">
        <f>ROUND((ROUND((ROUND((ROUND((_15_同援日増２．０*_15・基礎２),0)*_15・２人),0)*(1+_15・A深夜)),0)*(1+_15・区４)),0)</f>
        <v>491</v>
      </c>
      <c r="X98" s="48"/>
    </row>
    <row r="99" spans="1:24" ht="16.5" customHeight="1" x14ac:dyDescent="0.15">
      <c r="A99" s="41">
        <v>15</v>
      </c>
      <c r="B99" s="41" t="s">
        <v>25314</v>
      </c>
      <c r="C99" s="74" t="s">
        <v>25315</v>
      </c>
      <c r="D99" s="72"/>
      <c r="F99" s="57"/>
      <c r="G99" s="53"/>
      <c r="H99" s="49"/>
      <c r="I99" s="50"/>
      <c r="J99" s="163"/>
      <c r="K99" s="45"/>
      <c r="L99" s="46"/>
      <c r="M99" s="512"/>
      <c r="N99" s="57"/>
      <c r="O99" s="114" t="s">
        <v>17562</v>
      </c>
      <c r="P99" s="49"/>
      <c r="Q99" s="50"/>
      <c r="R99" s="115"/>
      <c r="S99" s="35"/>
      <c r="T99" s="12" t="s">
        <v>398</v>
      </c>
      <c r="U99" s="13">
        <v>0.4</v>
      </c>
      <c r="V99" s="57" t="s">
        <v>3575</v>
      </c>
      <c r="W99" s="208">
        <f>ROUND((ROUND((ROUND((_15_同援日増２．０*(1+_15・A深夜)),0)*(1+_15・盲ろう)),0)*(1+_15・区４)),0)</f>
        <v>683</v>
      </c>
      <c r="X99" s="48"/>
    </row>
    <row r="100" spans="1:24" ht="16.5" customHeight="1" x14ac:dyDescent="0.15">
      <c r="A100" s="41">
        <v>15</v>
      </c>
      <c r="B100" s="41" t="s">
        <v>25316</v>
      </c>
      <c r="C100" s="74" t="s">
        <v>25317</v>
      </c>
      <c r="D100" s="72"/>
      <c r="F100" s="57"/>
      <c r="G100" s="43"/>
      <c r="H100" s="37"/>
      <c r="I100" s="38"/>
      <c r="J100" s="299" t="s">
        <v>17556</v>
      </c>
      <c r="K100" s="45" t="s">
        <v>398</v>
      </c>
      <c r="L100" s="46">
        <v>1</v>
      </c>
      <c r="M100" s="512"/>
      <c r="N100" s="57"/>
      <c r="O100" s="92" t="s">
        <v>17564</v>
      </c>
      <c r="R100" s="57"/>
      <c r="S100" s="35"/>
      <c r="V100" s="57"/>
      <c r="W100" s="208">
        <f>ROUND((ROUND((ROUND((ROUND((_15_同援日増２．０*_15・２人),0)*(1+_15・A深夜)),0)*(1+_15・盲ろう)),0)*(1+_15・区４)),0)</f>
        <v>683</v>
      </c>
      <c r="X100" s="48"/>
    </row>
    <row r="101" spans="1:24" ht="16.5" customHeight="1" x14ac:dyDescent="0.15">
      <c r="A101" s="41">
        <v>15</v>
      </c>
      <c r="B101" s="41" t="s">
        <v>25318</v>
      </c>
      <c r="C101" s="74" t="s">
        <v>25319</v>
      </c>
      <c r="D101" s="72"/>
      <c r="F101" s="57"/>
      <c r="G101" s="114" t="s">
        <v>17558</v>
      </c>
      <c r="H101" s="49"/>
      <c r="I101" s="50"/>
      <c r="J101" s="163"/>
      <c r="K101" s="45"/>
      <c r="L101" s="46"/>
      <c r="M101" s="512"/>
      <c r="N101" s="57"/>
      <c r="O101" s="35"/>
      <c r="P101" s="12" t="s">
        <v>398</v>
      </c>
      <c r="Q101" s="13">
        <v>0.25</v>
      </c>
      <c r="R101" s="57" t="s">
        <v>3575</v>
      </c>
      <c r="S101" s="35"/>
      <c r="V101" s="57"/>
      <c r="W101" s="208">
        <f>ROUND((ROUND((ROUND((ROUND((_15_同援日増２．０*_15・基礎２),0)*(1+_15・A深夜)),0)*(1+_15・盲ろう)),0)*(1+_15・区４)),0)</f>
        <v>615</v>
      </c>
      <c r="X101" s="48"/>
    </row>
    <row r="102" spans="1:24" ht="16.5" customHeight="1" x14ac:dyDescent="0.15">
      <c r="A102" s="41">
        <v>15</v>
      </c>
      <c r="B102" s="41" t="s">
        <v>25320</v>
      </c>
      <c r="C102" s="74" t="s">
        <v>25321</v>
      </c>
      <c r="D102" s="122"/>
      <c r="E102" s="37"/>
      <c r="F102" s="79"/>
      <c r="G102" s="269" t="s">
        <v>17560</v>
      </c>
      <c r="H102" s="37" t="s">
        <v>398</v>
      </c>
      <c r="I102" s="38">
        <v>0.9</v>
      </c>
      <c r="J102" s="299" t="s">
        <v>17556</v>
      </c>
      <c r="K102" s="45" t="s">
        <v>398</v>
      </c>
      <c r="L102" s="46">
        <v>1</v>
      </c>
      <c r="M102" s="514"/>
      <c r="N102" s="79"/>
      <c r="O102" s="43"/>
      <c r="P102" s="37"/>
      <c r="Q102" s="38"/>
      <c r="R102" s="79"/>
      <c r="S102" s="43"/>
      <c r="T102" s="37"/>
      <c r="U102" s="38"/>
      <c r="V102" s="79"/>
      <c r="W102" s="208">
        <f>ROUND((ROUND((ROUND((ROUND((ROUND((_15_同援日増２．０*_15・基礎２),0)*_15・２人),0)*(1+_15・A深夜)),0)*(1+_15・盲ろう)),0)*(1+_15・区４)),0)</f>
        <v>615</v>
      </c>
      <c r="X102" s="63"/>
    </row>
    <row r="103" spans="1:24" ht="16.5" customHeight="1" x14ac:dyDescent="0.15">
      <c r="A103" s="41">
        <v>15</v>
      </c>
      <c r="B103" s="41" t="s">
        <v>25322</v>
      </c>
      <c r="C103" s="74" t="s">
        <v>25323</v>
      </c>
      <c r="D103" s="114" t="s">
        <v>25324</v>
      </c>
      <c r="E103" s="49"/>
      <c r="F103" s="115"/>
      <c r="G103" s="53"/>
      <c r="H103" s="49"/>
      <c r="I103" s="50"/>
      <c r="J103" s="163"/>
      <c r="K103" s="45"/>
      <c r="L103" s="46"/>
      <c r="M103" s="515"/>
      <c r="N103" s="115"/>
      <c r="O103" s="53"/>
      <c r="P103" s="49"/>
      <c r="Q103" s="50"/>
      <c r="R103" s="115"/>
      <c r="S103" s="53"/>
      <c r="T103" s="49"/>
      <c r="U103" s="50"/>
      <c r="V103" s="115"/>
      <c r="W103" s="208">
        <f>ROUND((_15_同援日増２．５*(1+_15・A深夜)),0)</f>
        <v>488</v>
      </c>
      <c r="X103" s="64"/>
    </row>
    <row r="104" spans="1:24" ht="16.5" customHeight="1" x14ac:dyDescent="0.15">
      <c r="A104" s="41">
        <v>15</v>
      </c>
      <c r="B104" s="41" t="s">
        <v>25325</v>
      </c>
      <c r="C104" s="74" t="s">
        <v>25326</v>
      </c>
      <c r="D104" s="72" t="s">
        <v>17670</v>
      </c>
      <c r="F104" s="57"/>
      <c r="G104" s="43"/>
      <c r="H104" s="37"/>
      <c r="I104" s="38"/>
      <c r="J104" s="299" t="s">
        <v>17556</v>
      </c>
      <c r="K104" s="45" t="s">
        <v>398</v>
      </c>
      <c r="L104" s="46">
        <v>1</v>
      </c>
      <c r="M104" s="512"/>
      <c r="N104" s="57"/>
      <c r="O104" s="35"/>
      <c r="R104" s="57"/>
      <c r="S104" s="35"/>
      <c r="V104" s="57"/>
      <c r="W104" s="208">
        <f>ROUND((ROUND((_15_同援日増２．５*_15・２人),0)*(1+_15・A深夜)),0)</f>
        <v>488</v>
      </c>
      <c r="X104" s="48"/>
    </row>
    <row r="105" spans="1:24" ht="16.5" customHeight="1" x14ac:dyDescent="0.15">
      <c r="A105" s="41">
        <v>15</v>
      </c>
      <c r="B105" s="41" t="s">
        <v>2327</v>
      </c>
      <c r="C105" s="74" t="s">
        <v>25327</v>
      </c>
      <c r="D105" s="72" t="s">
        <v>17672</v>
      </c>
      <c r="F105" s="57"/>
      <c r="G105" s="114" t="s">
        <v>17558</v>
      </c>
      <c r="H105" s="49"/>
      <c r="I105" s="50"/>
      <c r="J105" s="163"/>
      <c r="K105" s="45"/>
      <c r="L105" s="46"/>
      <c r="M105" s="512"/>
      <c r="N105" s="57"/>
      <c r="O105" s="35"/>
      <c r="R105" s="57"/>
      <c r="S105" s="35"/>
      <c r="V105" s="57"/>
      <c r="W105" s="208">
        <f>ROUND((ROUND((_15_同援日増２．５*_15・基礎２),0)*(1+_15・A深夜)),0)</f>
        <v>440</v>
      </c>
      <c r="X105" s="48"/>
    </row>
    <row r="106" spans="1:24" ht="16.5" customHeight="1" x14ac:dyDescent="0.15">
      <c r="A106" s="41">
        <v>15</v>
      </c>
      <c r="B106" s="41" t="s">
        <v>2329</v>
      </c>
      <c r="C106" s="74" t="s">
        <v>25328</v>
      </c>
      <c r="D106" s="72"/>
      <c r="E106" s="168">
        <f>_15_同援日増２．５</f>
        <v>325</v>
      </c>
      <c r="F106" s="57" t="s">
        <v>392</v>
      </c>
      <c r="G106" s="269" t="s">
        <v>17560</v>
      </c>
      <c r="H106" s="37" t="s">
        <v>398</v>
      </c>
      <c r="I106" s="38">
        <v>0.9</v>
      </c>
      <c r="J106" s="299" t="s">
        <v>17556</v>
      </c>
      <c r="K106" s="45" t="s">
        <v>398</v>
      </c>
      <c r="L106" s="46">
        <v>1</v>
      </c>
      <c r="M106" s="512"/>
      <c r="N106" s="57"/>
      <c r="O106" s="43"/>
      <c r="P106" s="37"/>
      <c r="Q106" s="38"/>
      <c r="R106" s="79"/>
      <c r="S106" s="35"/>
      <c r="V106" s="57"/>
      <c r="W106" s="208">
        <f>ROUND((ROUND((ROUND((_15_同援日増２．５*_15・基礎２),0)*_15・２人),0)*(1+_15・A深夜)),0)</f>
        <v>440</v>
      </c>
      <c r="X106" s="48"/>
    </row>
    <row r="107" spans="1:24" ht="16.5" customHeight="1" x14ac:dyDescent="0.15">
      <c r="A107" s="41">
        <v>15</v>
      </c>
      <c r="B107" s="41" t="s">
        <v>2331</v>
      </c>
      <c r="C107" s="74" t="s">
        <v>25329</v>
      </c>
      <c r="D107" s="72"/>
      <c r="F107" s="57"/>
      <c r="G107" s="53"/>
      <c r="H107" s="49"/>
      <c r="I107" s="50"/>
      <c r="J107" s="163"/>
      <c r="K107" s="45"/>
      <c r="L107" s="46"/>
      <c r="M107" s="512"/>
      <c r="N107" s="57"/>
      <c r="O107" s="114" t="s">
        <v>17562</v>
      </c>
      <c r="P107" s="49"/>
      <c r="Q107" s="50"/>
      <c r="R107" s="115"/>
      <c r="S107" s="35"/>
      <c r="V107" s="57"/>
      <c r="W107" s="208">
        <f>ROUND((ROUND((_15_同援日増２．５*(1+_15・A深夜)),0)*(1+_15・盲ろう)),0)</f>
        <v>610</v>
      </c>
      <c r="X107" s="48"/>
    </row>
    <row r="108" spans="1:24" ht="16.5" customHeight="1" x14ac:dyDescent="0.15">
      <c r="A108" s="41">
        <v>15</v>
      </c>
      <c r="B108" s="41" t="s">
        <v>2333</v>
      </c>
      <c r="C108" s="74" t="s">
        <v>25330</v>
      </c>
      <c r="D108" s="72"/>
      <c r="F108" s="57"/>
      <c r="G108" s="43"/>
      <c r="H108" s="37"/>
      <c r="I108" s="38"/>
      <c r="J108" s="299" t="s">
        <v>17556</v>
      </c>
      <c r="K108" s="45" t="s">
        <v>398</v>
      </c>
      <c r="L108" s="46">
        <v>1</v>
      </c>
      <c r="M108" s="512"/>
      <c r="N108" s="57"/>
      <c r="O108" s="92" t="s">
        <v>17564</v>
      </c>
      <c r="R108" s="57"/>
      <c r="S108" s="35"/>
      <c r="V108" s="57"/>
      <c r="W108" s="208">
        <f>ROUND((ROUND((ROUND((_15_同援日増２．５*_15・２人),0)*(1+_15・A深夜)),0)*(1+_15・盲ろう)),0)</f>
        <v>610</v>
      </c>
      <c r="X108" s="48"/>
    </row>
    <row r="109" spans="1:24" ht="16.5" customHeight="1" x14ac:dyDescent="0.15">
      <c r="A109" s="41">
        <v>15</v>
      </c>
      <c r="B109" s="41" t="s">
        <v>25331</v>
      </c>
      <c r="C109" s="74" t="s">
        <v>25332</v>
      </c>
      <c r="D109" s="72"/>
      <c r="F109" s="57"/>
      <c r="G109" s="114" t="s">
        <v>17558</v>
      </c>
      <c r="H109" s="49"/>
      <c r="I109" s="50"/>
      <c r="J109" s="163"/>
      <c r="K109" s="45"/>
      <c r="L109" s="46"/>
      <c r="M109" s="512"/>
      <c r="N109" s="57"/>
      <c r="O109" s="35"/>
      <c r="P109" s="12" t="s">
        <v>398</v>
      </c>
      <c r="Q109" s="13">
        <v>0.25</v>
      </c>
      <c r="R109" s="57" t="s">
        <v>3575</v>
      </c>
      <c r="S109" s="35"/>
      <c r="V109" s="57"/>
      <c r="W109" s="208">
        <f>ROUND((ROUND((ROUND((_15_同援日増２．５*_15・基礎２),0)*(1+_15・A深夜)),0)*(1+_15・盲ろう)),0)</f>
        <v>550</v>
      </c>
      <c r="X109" s="48"/>
    </row>
    <row r="110" spans="1:24" ht="16.5" customHeight="1" x14ac:dyDescent="0.15">
      <c r="A110" s="41">
        <v>15</v>
      </c>
      <c r="B110" s="41" t="s">
        <v>25333</v>
      </c>
      <c r="C110" s="74" t="s">
        <v>25334</v>
      </c>
      <c r="D110" s="72"/>
      <c r="F110" s="57"/>
      <c r="G110" s="269" t="s">
        <v>17560</v>
      </c>
      <c r="H110" s="37" t="s">
        <v>398</v>
      </c>
      <c r="I110" s="38">
        <v>0.9</v>
      </c>
      <c r="J110" s="299" t="s">
        <v>17556</v>
      </c>
      <c r="K110" s="45" t="s">
        <v>398</v>
      </c>
      <c r="L110" s="46">
        <v>1</v>
      </c>
      <c r="M110" s="512"/>
      <c r="N110" s="57"/>
      <c r="O110" s="43"/>
      <c r="P110" s="37"/>
      <c r="Q110" s="38"/>
      <c r="R110" s="79"/>
      <c r="S110" s="43"/>
      <c r="T110" s="37"/>
      <c r="U110" s="38"/>
      <c r="V110" s="79"/>
      <c r="W110" s="208">
        <f>ROUND((ROUND((ROUND((ROUND((_15_同援日増２．５*_15・基礎２),0)*_15・２人),0)*(1+_15・A深夜)),0)*(1+_15・盲ろう)),0)</f>
        <v>550</v>
      </c>
      <c r="X110" s="48"/>
    </row>
    <row r="111" spans="1:24" ht="16.5" customHeight="1" x14ac:dyDescent="0.15">
      <c r="A111" s="41">
        <v>15</v>
      </c>
      <c r="B111" s="41" t="s">
        <v>25335</v>
      </c>
      <c r="C111" s="74" t="s">
        <v>25336</v>
      </c>
      <c r="D111" s="72"/>
      <c r="F111" s="57"/>
      <c r="G111" s="53"/>
      <c r="H111" s="49"/>
      <c r="I111" s="50"/>
      <c r="J111" s="163"/>
      <c r="K111" s="45"/>
      <c r="L111" s="46"/>
      <c r="M111" s="512"/>
      <c r="N111" s="57"/>
      <c r="O111" s="53"/>
      <c r="P111" s="49"/>
      <c r="Q111" s="50"/>
      <c r="R111" s="115"/>
      <c r="S111" s="53"/>
      <c r="T111" s="49"/>
      <c r="U111" s="50"/>
      <c r="V111" s="115"/>
      <c r="W111" s="208">
        <f>ROUND((ROUND((_15_同援日増２．５*(1+_15・A深夜)),0)*(1+_15・区３)),0)</f>
        <v>586</v>
      </c>
      <c r="X111" s="48"/>
    </row>
    <row r="112" spans="1:24" ht="16.5" customHeight="1" x14ac:dyDescent="0.15">
      <c r="A112" s="41">
        <v>15</v>
      </c>
      <c r="B112" s="41" t="s">
        <v>25337</v>
      </c>
      <c r="C112" s="74" t="s">
        <v>25338</v>
      </c>
      <c r="D112" s="72"/>
      <c r="F112" s="57"/>
      <c r="G112" s="43"/>
      <c r="H112" s="37"/>
      <c r="I112" s="38"/>
      <c r="J112" s="299" t="s">
        <v>17556</v>
      </c>
      <c r="K112" s="45" t="s">
        <v>398</v>
      </c>
      <c r="L112" s="46">
        <v>1</v>
      </c>
      <c r="M112" s="512"/>
      <c r="N112" s="57"/>
      <c r="O112" s="35"/>
      <c r="R112" s="57"/>
      <c r="S112" s="35"/>
      <c r="V112" s="57"/>
      <c r="W112" s="208">
        <f>ROUND((ROUND((ROUND((_15_同援日増２．５*_15・２人),0)*(1+_15・A深夜)),0)*(1+_15・区３)),0)</f>
        <v>586</v>
      </c>
      <c r="X112" s="48"/>
    </row>
    <row r="113" spans="1:24" ht="16.5" customHeight="1" x14ac:dyDescent="0.15">
      <c r="A113" s="41">
        <v>15</v>
      </c>
      <c r="B113" s="41" t="s">
        <v>25339</v>
      </c>
      <c r="C113" s="74" t="s">
        <v>25340</v>
      </c>
      <c r="D113" s="72"/>
      <c r="F113" s="57"/>
      <c r="G113" s="114" t="s">
        <v>17558</v>
      </c>
      <c r="H113" s="49"/>
      <c r="I113" s="50"/>
      <c r="J113" s="163"/>
      <c r="K113" s="45"/>
      <c r="L113" s="46"/>
      <c r="M113" s="512"/>
      <c r="N113" s="57"/>
      <c r="O113" s="35"/>
      <c r="R113" s="57"/>
      <c r="S113" s="72" t="s">
        <v>17570</v>
      </c>
      <c r="V113" s="57"/>
      <c r="W113" s="208">
        <f>ROUND((ROUND((ROUND((_15_同援日増２．５*_15・基礎２),0)*(1+_15・A深夜)),0)*(1+_15・区３)),0)</f>
        <v>528</v>
      </c>
      <c r="X113" s="48"/>
    </row>
    <row r="114" spans="1:24" ht="16.5" customHeight="1" x14ac:dyDescent="0.15">
      <c r="A114" s="41">
        <v>15</v>
      </c>
      <c r="B114" s="41" t="s">
        <v>25341</v>
      </c>
      <c r="C114" s="74" t="s">
        <v>25342</v>
      </c>
      <c r="D114" s="72"/>
      <c r="F114" s="57"/>
      <c r="G114" s="269" t="s">
        <v>17560</v>
      </c>
      <c r="H114" s="37" t="s">
        <v>398</v>
      </c>
      <c r="I114" s="38">
        <v>0.9</v>
      </c>
      <c r="J114" s="299" t="s">
        <v>17556</v>
      </c>
      <c r="K114" s="45" t="s">
        <v>398</v>
      </c>
      <c r="L114" s="46">
        <v>1</v>
      </c>
      <c r="M114" s="512"/>
      <c r="N114" s="57"/>
      <c r="O114" s="43"/>
      <c r="P114" s="37"/>
      <c r="Q114" s="38"/>
      <c r="R114" s="79"/>
      <c r="S114" s="72" t="s">
        <v>17572</v>
      </c>
      <c r="V114" s="57"/>
      <c r="W114" s="208">
        <f>ROUND((ROUND((ROUND((ROUND((_15_同援日増２．５*_15・基礎２),0)*_15・２人),0)*(1+_15・A深夜)),0)*(1+_15・区３)),0)</f>
        <v>528</v>
      </c>
      <c r="X114" s="48"/>
    </row>
    <row r="115" spans="1:24" ht="16.5" customHeight="1" x14ac:dyDescent="0.15">
      <c r="A115" s="41">
        <v>15</v>
      </c>
      <c r="B115" s="41" t="s">
        <v>25343</v>
      </c>
      <c r="C115" s="74" t="s">
        <v>25344</v>
      </c>
      <c r="D115" s="72"/>
      <c r="F115" s="57"/>
      <c r="G115" s="53"/>
      <c r="H115" s="49"/>
      <c r="I115" s="50"/>
      <c r="J115" s="163"/>
      <c r="K115" s="45"/>
      <c r="L115" s="46"/>
      <c r="M115" s="512"/>
      <c r="N115" s="57"/>
      <c r="O115" s="114" t="s">
        <v>17562</v>
      </c>
      <c r="P115" s="49"/>
      <c r="Q115" s="50"/>
      <c r="R115" s="115"/>
      <c r="S115" s="35"/>
      <c r="T115" s="12" t="s">
        <v>398</v>
      </c>
      <c r="U115" s="13">
        <v>0.2</v>
      </c>
      <c r="V115" s="57" t="s">
        <v>3575</v>
      </c>
      <c r="W115" s="208">
        <f>ROUND((ROUND((ROUND((_15_同援日増２．５*(1+_15・A深夜)),0)*(1+_15・盲ろう)),0)*(1+_15・区３)),0)</f>
        <v>732</v>
      </c>
      <c r="X115" s="48"/>
    </row>
    <row r="116" spans="1:24" ht="16.5" customHeight="1" x14ac:dyDescent="0.15">
      <c r="A116" s="41">
        <v>15</v>
      </c>
      <c r="B116" s="41" t="s">
        <v>25345</v>
      </c>
      <c r="C116" s="74" t="s">
        <v>25346</v>
      </c>
      <c r="D116" s="72"/>
      <c r="F116" s="57"/>
      <c r="G116" s="43"/>
      <c r="H116" s="37"/>
      <c r="I116" s="38"/>
      <c r="J116" s="299" t="s">
        <v>17556</v>
      </c>
      <c r="K116" s="45" t="s">
        <v>398</v>
      </c>
      <c r="L116" s="46">
        <v>1</v>
      </c>
      <c r="M116" s="512"/>
      <c r="N116" s="57"/>
      <c r="O116" s="92" t="s">
        <v>17564</v>
      </c>
      <c r="R116" s="57"/>
      <c r="S116" s="35"/>
      <c r="V116" s="57"/>
      <c r="W116" s="208">
        <f>ROUND((ROUND((ROUND((ROUND((_15_同援日増２．５*_15・２人),0)*(1+_15・A深夜)),0)*(1+_15・盲ろう)),0)*(1+_15・区３)),0)</f>
        <v>732</v>
      </c>
      <c r="X116" s="48"/>
    </row>
    <row r="117" spans="1:24" ht="16.5" customHeight="1" x14ac:dyDescent="0.15">
      <c r="A117" s="41">
        <v>15</v>
      </c>
      <c r="B117" s="41" t="s">
        <v>25347</v>
      </c>
      <c r="C117" s="74" t="s">
        <v>25348</v>
      </c>
      <c r="D117" s="72"/>
      <c r="F117" s="57"/>
      <c r="G117" s="114" t="s">
        <v>17558</v>
      </c>
      <c r="H117" s="49"/>
      <c r="I117" s="50"/>
      <c r="J117" s="163"/>
      <c r="K117" s="45"/>
      <c r="L117" s="46"/>
      <c r="M117" s="512"/>
      <c r="N117" s="57"/>
      <c r="O117" s="35"/>
      <c r="P117" s="12" t="s">
        <v>398</v>
      </c>
      <c r="Q117" s="13">
        <v>0.25</v>
      </c>
      <c r="R117" s="57" t="s">
        <v>3575</v>
      </c>
      <c r="S117" s="35"/>
      <c r="V117" s="57"/>
      <c r="W117" s="208">
        <f>ROUND((ROUND((ROUND((ROUND((_15_同援日増２．５*_15・基礎２),0)*(1+_15・A深夜)),0)*(1+_15・盲ろう)),0)*(1+_15・区３)),0)</f>
        <v>660</v>
      </c>
      <c r="X117" s="48"/>
    </row>
    <row r="118" spans="1:24" ht="16.5" customHeight="1" x14ac:dyDescent="0.15">
      <c r="A118" s="41">
        <v>15</v>
      </c>
      <c r="B118" s="41" t="s">
        <v>25349</v>
      </c>
      <c r="C118" s="74" t="s">
        <v>25350</v>
      </c>
      <c r="D118" s="72"/>
      <c r="F118" s="57"/>
      <c r="G118" s="269" t="s">
        <v>17560</v>
      </c>
      <c r="H118" s="37" t="s">
        <v>398</v>
      </c>
      <c r="I118" s="38">
        <v>0.9</v>
      </c>
      <c r="J118" s="299" t="s">
        <v>17556</v>
      </c>
      <c r="K118" s="45" t="s">
        <v>398</v>
      </c>
      <c r="L118" s="46">
        <v>1</v>
      </c>
      <c r="M118" s="512"/>
      <c r="N118" s="57"/>
      <c r="O118" s="43"/>
      <c r="P118" s="37"/>
      <c r="Q118" s="38"/>
      <c r="R118" s="79"/>
      <c r="S118" s="43"/>
      <c r="T118" s="37"/>
      <c r="U118" s="38"/>
      <c r="V118" s="79"/>
      <c r="W118" s="208">
        <f>ROUND((ROUND((ROUND((ROUND((ROUND((_15_同援日増２．５*_15・基礎２),0)*_15・２人),0)*(1+_15・A深夜)),0)*(1+_15・盲ろう)),0)*(1+_15・区３)),0)</f>
        <v>660</v>
      </c>
      <c r="X118" s="48"/>
    </row>
    <row r="119" spans="1:24" ht="16.5" customHeight="1" x14ac:dyDescent="0.15">
      <c r="A119" s="41">
        <v>15</v>
      </c>
      <c r="B119" s="41" t="s">
        <v>25351</v>
      </c>
      <c r="C119" s="74" t="s">
        <v>25352</v>
      </c>
      <c r="D119" s="72"/>
      <c r="F119" s="57"/>
      <c r="G119" s="53"/>
      <c r="H119" s="49"/>
      <c r="I119" s="50"/>
      <c r="J119" s="163"/>
      <c r="K119" s="45"/>
      <c r="L119" s="46"/>
      <c r="M119" s="512"/>
      <c r="N119" s="57"/>
      <c r="O119" s="53"/>
      <c r="P119" s="49"/>
      <c r="Q119" s="50"/>
      <c r="R119" s="115"/>
      <c r="S119" s="53"/>
      <c r="T119" s="49"/>
      <c r="U119" s="50"/>
      <c r="V119" s="115"/>
      <c r="W119" s="208">
        <f>ROUND((ROUND((_15_同援日増２．５*(1+_15・A深夜)),0)*(1+_15・区４)),0)</f>
        <v>683</v>
      </c>
      <c r="X119" s="48"/>
    </row>
    <row r="120" spans="1:24" ht="16.5" customHeight="1" x14ac:dyDescent="0.15">
      <c r="A120" s="41">
        <v>15</v>
      </c>
      <c r="B120" s="41" t="s">
        <v>25353</v>
      </c>
      <c r="C120" s="74" t="s">
        <v>25354</v>
      </c>
      <c r="D120" s="72"/>
      <c r="F120" s="57"/>
      <c r="G120" s="43"/>
      <c r="H120" s="37"/>
      <c r="I120" s="38"/>
      <c r="J120" s="299" t="s">
        <v>17556</v>
      </c>
      <c r="K120" s="45" t="s">
        <v>398</v>
      </c>
      <c r="L120" s="46">
        <v>1</v>
      </c>
      <c r="M120" s="512"/>
      <c r="N120" s="57"/>
      <c r="O120" s="35"/>
      <c r="R120" s="57"/>
      <c r="S120" s="35"/>
      <c r="V120" s="57"/>
      <c r="W120" s="208">
        <f>ROUND((ROUND((ROUND((_15_同援日増２．５*_15・２人),0)*(1+_15・A深夜)),0)*(1+_15・区４)),0)</f>
        <v>683</v>
      </c>
      <c r="X120" s="48"/>
    </row>
    <row r="121" spans="1:24" ht="16.5" customHeight="1" x14ac:dyDescent="0.15">
      <c r="A121" s="41">
        <v>15</v>
      </c>
      <c r="B121" s="41" t="s">
        <v>25355</v>
      </c>
      <c r="C121" s="74" t="s">
        <v>25356</v>
      </c>
      <c r="D121" s="72"/>
      <c r="F121" s="57"/>
      <c r="G121" s="114" t="s">
        <v>17558</v>
      </c>
      <c r="H121" s="49"/>
      <c r="I121" s="50"/>
      <c r="J121" s="163"/>
      <c r="K121" s="45"/>
      <c r="L121" s="46"/>
      <c r="M121" s="512"/>
      <c r="N121" s="57"/>
      <c r="O121" s="35"/>
      <c r="R121" s="57"/>
      <c r="S121" s="72" t="s">
        <v>17580</v>
      </c>
      <c r="V121" s="57"/>
      <c r="W121" s="208">
        <f>ROUND((ROUND((ROUND((_15_同援日増２．５*_15・基礎２),0)*(1+_15・A深夜)),0)*(1+_15・区４)),0)</f>
        <v>616</v>
      </c>
      <c r="X121" s="48"/>
    </row>
    <row r="122" spans="1:24" ht="16.5" customHeight="1" x14ac:dyDescent="0.15">
      <c r="A122" s="41">
        <v>15</v>
      </c>
      <c r="B122" s="41" t="s">
        <v>25357</v>
      </c>
      <c r="C122" s="74" t="s">
        <v>25358</v>
      </c>
      <c r="D122" s="72"/>
      <c r="F122" s="57"/>
      <c r="G122" s="269" t="s">
        <v>17560</v>
      </c>
      <c r="H122" s="37" t="s">
        <v>398</v>
      </c>
      <c r="I122" s="38">
        <v>0.9</v>
      </c>
      <c r="J122" s="299" t="s">
        <v>17556</v>
      </c>
      <c r="K122" s="45" t="s">
        <v>398</v>
      </c>
      <c r="L122" s="46">
        <v>1</v>
      </c>
      <c r="M122" s="512"/>
      <c r="N122" s="57"/>
      <c r="O122" s="43"/>
      <c r="P122" s="37"/>
      <c r="Q122" s="38"/>
      <c r="R122" s="79"/>
      <c r="S122" s="72" t="s">
        <v>17572</v>
      </c>
      <c r="V122" s="57"/>
      <c r="W122" s="208">
        <f>ROUND((ROUND((ROUND((ROUND((_15_同援日増２．５*_15・基礎２),0)*_15・２人),0)*(1+_15・A深夜)),0)*(1+_15・区４)),0)</f>
        <v>616</v>
      </c>
      <c r="X122" s="48"/>
    </row>
    <row r="123" spans="1:24" ht="16.5" customHeight="1" x14ac:dyDescent="0.15">
      <c r="A123" s="41">
        <v>15</v>
      </c>
      <c r="B123" s="41" t="s">
        <v>25359</v>
      </c>
      <c r="C123" s="74" t="s">
        <v>25360</v>
      </c>
      <c r="D123" s="72"/>
      <c r="F123" s="57"/>
      <c r="G123" s="53"/>
      <c r="H123" s="49"/>
      <c r="I123" s="50"/>
      <c r="J123" s="163"/>
      <c r="K123" s="45"/>
      <c r="L123" s="46"/>
      <c r="M123" s="512"/>
      <c r="N123" s="57"/>
      <c r="O123" s="114" t="s">
        <v>17562</v>
      </c>
      <c r="P123" s="49"/>
      <c r="Q123" s="50"/>
      <c r="R123" s="115"/>
      <c r="S123" s="35"/>
      <c r="T123" s="12" t="s">
        <v>398</v>
      </c>
      <c r="U123" s="13">
        <v>0.4</v>
      </c>
      <c r="V123" s="57" t="s">
        <v>3575</v>
      </c>
      <c r="W123" s="208">
        <f>ROUND((ROUND((ROUND((_15_同援日増２．５*(1+_15・A深夜)),0)*(1+_15・盲ろう)),0)*(1+_15・区４)),0)</f>
        <v>854</v>
      </c>
      <c r="X123" s="48"/>
    </row>
    <row r="124" spans="1:24" ht="16.5" customHeight="1" x14ac:dyDescent="0.15">
      <c r="A124" s="41">
        <v>15</v>
      </c>
      <c r="B124" s="41" t="s">
        <v>25361</v>
      </c>
      <c r="C124" s="74" t="s">
        <v>25362</v>
      </c>
      <c r="D124" s="72"/>
      <c r="F124" s="57"/>
      <c r="G124" s="43"/>
      <c r="H124" s="37"/>
      <c r="I124" s="38"/>
      <c r="J124" s="299" t="s">
        <v>17556</v>
      </c>
      <c r="K124" s="45" t="s">
        <v>398</v>
      </c>
      <c r="L124" s="46">
        <v>1</v>
      </c>
      <c r="M124" s="512"/>
      <c r="N124" s="57"/>
      <c r="O124" s="92" t="s">
        <v>17564</v>
      </c>
      <c r="R124" s="57"/>
      <c r="S124" s="35"/>
      <c r="V124" s="57"/>
      <c r="W124" s="208">
        <f>ROUND((ROUND((ROUND((ROUND((_15_同援日増２．５*_15・２人),0)*(1+_15・A深夜)),0)*(1+_15・盲ろう)),0)*(1+_15・区４)),0)</f>
        <v>854</v>
      </c>
      <c r="X124" s="48"/>
    </row>
    <row r="125" spans="1:24" ht="16.5" customHeight="1" x14ac:dyDescent="0.15">
      <c r="A125" s="41">
        <v>15</v>
      </c>
      <c r="B125" s="41" t="s">
        <v>2339</v>
      </c>
      <c r="C125" s="74" t="s">
        <v>25363</v>
      </c>
      <c r="D125" s="72"/>
      <c r="F125" s="57"/>
      <c r="G125" s="114" t="s">
        <v>17558</v>
      </c>
      <c r="H125" s="49"/>
      <c r="I125" s="50"/>
      <c r="J125" s="163"/>
      <c r="K125" s="45"/>
      <c r="L125" s="46"/>
      <c r="M125" s="512"/>
      <c r="N125" s="57"/>
      <c r="O125" s="35"/>
      <c r="P125" s="12" t="s">
        <v>398</v>
      </c>
      <c r="Q125" s="13">
        <v>0.25</v>
      </c>
      <c r="R125" s="57" t="s">
        <v>3575</v>
      </c>
      <c r="S125" s="35"/>
      <c r="V125" s="57"/>
      <c r="W125" s="208">
        <f>ROUND((ROUND((ROUND((ROUND((_15_同援日増２．５*_15・基礎２),0)*(1+_15・A深夜)),0)*(1+_15・盲ろう)),0)*(1+_15・区４)),0)</f>
        <v>770</v>
      </c>
      <c r="X125" s="48"/>
    </row>
    <row r="126" spans="1:24" ht="16.5" customHeight="1" x14ac:dyDescent="0.15">
      <c r="A126" s="41">
        <v>15</v>
      </c>
      <c r="B126" s="41" t="s">
        <v>2341</v>
      </c>
      <c r="C126" s="74" t="s">
        <v>25364</v>
      </c>
      <c r="D126" s="122"/>
      <c r="E126" s="37"/>
      <c r="F126" s="79"/>
      <c r="G126" s="269" t="s">
        <v>17560</v>
      </c>
      <c r="H126" s="37" t="s">
        <v>398</v>
      </c>
      <c r="I126" s="38">
        <v>0.9</v>
      </c>
      <c r="J126" s="299" t="s">
        <v>17556</v>
      </c>
      <c r="K126" s="45" t="s">
        <v>398</v>
      </c>
      <c r="L126" s="46">
        <v>1</v>
      </c>
      <c r="M126" s="512"/>
      <c r="N126" s="57"/>
      <c r="O126" s="43"/>
      <c r="P126" s="37"/>
      <c r="Q126" s="38"/>
      <c r="R126" s="79"/>
      <c r="S126" s="43"/>
      <c r="T126" s="37"/>
      <c r="U126" s="38"/>
      <c r="V126" s="79"/>
      <c r="W126" s="208">
        <f>ROUND((ROUND((ROUND((ROUND((ROUND((_15_同援日増２．５*_15・基礎２),0)*_15・２人),0)*(1+_15・A深夜)),0)*(1+_15・盲ろう)),0)*(1+_15・区４)),0)</f>
        <v>770</v>
      </c>
      <c r="X126" s="48"/>
    </row>
    <row r="127" spans="1:24" ht="16.5" customHeight="1" x14ac:dyDescent="0.15">
      <c r="A127" s="41">
        <v>15</v>
      </c>
      <c r="B127" s="41" t="s">
        <v>2343</v>
      </c>
      <c r="C127" s="74" t="s">
        <v>25365</v>
      </c>
      <c r="D127" s="114" t="s">
        <v>25366</v>
      </c>
      <c r="E127" s="49"/>
      <c r="F127" s="115"/>
      <c r="G127" s="53"/>
      <c r="H127" s="49"/>
      <c r="I127" s="50"/>
      <c r="J127" s="163"/>
      <c r="K127" s="45"/>
      <c r="L127" s="46"/>
      <c r="M127" s="512"/>
      <c r="N127" s="57"/>
      <c r="O127" s="53"/>
      <c r="P127" s="49"/>
      <c r="Q127" s="50"/>
      <c r="R127" s="115"/>
      <c r="S127" s="53"/>
      <c r="T127" s="49"/>
      <c r="U127" s="50"/>
      <c r="V127" s="115"/>
      <c r="W127" s="208">
        <f>ROUND((_15_同援日増３．０*(1+_15・A深夜)),0)</f>
        <v>585</v>
      </c>
      <c r="X127" s="48"/>
    </row>
    <row r="128" spans="1:24" ht="16.5" customHeight="1" x14ac:dyDescent="0.15">
      <c r="A128" s="41">
        <v>15</v>
      </c>
      <c r="B128" s="41" t="s">
        <v>2345</v>
      </c>
      <c r="C128" s="74" t="s">
        <v>25367</v>
      </c>
      <c r="D128" s="72" t="s">
        <v>17697</v>
      </c>
      <c r="F128" s="57"/>
      <c r="G128" s="43"/>
      <c r="H128" s="37"/>
      <c r="I128" s="38"/>
      <c r="J128" s="299" t="s">
        <v>17556</v>
      </c>
      <c r="K128" s="45" t="s">
        <v>398</v>
      </c>
      <c r="L128" s="46">
        <v>1</v>
      </c>
      <c r="M128" s="512"/>
      <c r="N128" s="57"/>
      <c r="O128" s="35"/>
      <c r="R128" s="57"/>
      <c r="S128" s="35"/>
      <c r="V128" s="57"/>
      <c r="W128" s="208">
        <f>ROUND((ROUND((_15_同援日増３．０*_15・２人),0)*(1+_15・A深夜)),0)</f>
        <v>585</v>
      </c>
      <c r="X128" s="48"/>
    </row>
    <row r="129" spans="1:24" ht="16.5" customHeight="1" x14ac:dyDescent="0.15">
      <c r="A129" s="41">
        <v>15</v>
      </c>
      <c r="B129" s="41" t="s">
        <v>25368</v>
      </c>
      <c r="C129" s="74" t="s">
        <v>25369</v>
      </c>
      <c r="D129" s="72" t="s">
        <v>18387</v>
      </c>
      <c r="F129" s="57"/>
      <c r="G129" s="114" t="s">
        <v>17558</v>
      </c>
      <c r="H129" s="49"/>
      <c r="I129" s="50"/>
      <c r="J129" s="163"/>
      <c r="K129" s="45"/>
      <c r="L129" s="46"/>
      <c r="M129" s="512"/>
      <c r="N129" s="57"/>
      <c r="O129" s="35"/>
      <c r="R129" s="57"/>
      <c r="S129" s="35"/>
      <c r="V129" s="57"/>
      <c r="W129" s="208">
        <f>ROUND((ROUND((_15_同援日増３．０*_15・基礎２),0)*(1+_15・A深夜)),0)</f>
        <v>527</v>
      </c>
      <c r="X129" s="48"/>
    </row>
    <row r="130" spans="1:24" ht="16.5" customHeight="1" x14ac:dyDescent="0.15">
      <c r="A130" s="41">
        <v>15</v>
      </c>
      <c r="B130" s="41" t="s">
        <v>25370</v>
      </c>
      <c r="C130" s="74" t="s">
        <v>25371</v>
      </c>
      <c r="D130" s="72"/>
      <c r="E130" s="168">
        <f>_15_同援日増３．０</f>
        <v>390</v>
      </c>
      <c r="F130" s="57" t="s">
        <v>392</v>
      </c>
      <c r="G130" s="269" t="s">
        <v>17560</v>
      </c>
      <c r="H130" s="37" t="s">
        <v>398</v>
      </c>
      <c r="I130" s="38">
        <v>0.9</v>
      </c>
      <c r="J130" s="299" t="s">
        <v>17556</v>
      </c>
      <c r="K130" s="45" t="s">
        <v>398</v>
      </c>
      <c r="L130" s="46">
        <v>1</v>
      </c>
      <c r="M130" s="512"/>
      <c r="N130" s="57"/>
      <c r="O130" s="43"/>
      <c r="P130" s="37"/>
      <c r="Q130" s="38"/>
      <c r="R130" s="79"/>
      <c r="S130" s="35"/>
      <c r="V130" s="57"/>
      <c r="W130" s="208">
        <f>ROUND((ROUND((ROUND((_15_同援日増３．０*_15・基礎２),0)*_15・２人),0)*(1+_15・A深夜)),0)</f>
        <v>527</v>
      </c>
      <c r="X130" s="48"/>
    </row>
    <row r="131" spans="1:24" ht="16.5" customHeight="1" x14ac:dyDescent="0.15">
      <c r="A131" s="41">
        <v>15</v>
      </c>
      <c r="B131" s="41" t="s">
        <v>25372</v>
      </c>
      <c r="C131" s="74" t="s">
        <v>25373</v>
      </c>
      <c r="D131" s="72"/>
      <c r="F131" s="57"/>
      <c r="G131" s="53"/>
      <c r="H131" s="49"/>
      <c r="I131" s="50"/>
      <c r="J131" s="163"/>
      <c r="K131" s="45"/>
      <c r="L131" s="46"/>
      <c r="M131" s="512"/>
      <c r="N131" s="57"/>
      <c r="O131" s="114" t="s">
        <v>17562</v>
      </c>
      <c r="P131" s="49"/>
      <c r="Q131" s="50"/>
      <c r="R131" s="115"/>
      <c r="S131" s="35"/>
      <c r="V131" s="57"/>
      <c r="W131" s="208">
        <f>ROUND((ROUND((_15_同援日増３．０*(1+_15・A深夜)),0)*(1+_15・盲ろう)),0)</f>
        <v>731</v>
      </c>
      <c r="X131" s="48"/>
    </row>
    <row r="132" spans="1:24" ht="16.5" customHeight="1" x14ac:dyDescent="0.15">
      <c r="A132" s="41">
        <v>15</v>
      </c>
      <c r="B132" s="41" t="s">
        <v>25374</v>
      </c>
      <c r="C132" s="74" t="s">
        <v>25375</v>
      </c>
      <c r="D132" s="72"/>
      <c r="F132" s="57"/>
      <c r="G132" s="43"/>
      <c r="H132" s="37"/>
      <c r="I132" s="38"/>
      <c r="J132" s="299" t="s">
        <v>17556</v>
      </c>
      <c r="K132" s="45" t="s">
        <v>398</v>
      </c>
      <c r="L132" s="46">
        <v>1</v>
      </c>
      <c r="M132" s="512"/>
      <c r="N132" s="57"/>
      <c r="O132" s="92" t="s">
        <v>17564</v>
      </c>
      <c r="R132" s="57"/>
      <c r="S132" s="35"/>
      <c r="V132" s="57"/>
      <c r="W132" s="208">
        <f>ROUND((ROUND((ROUND((_15_同援日増３．０*_15・２人),0)*(1+_15・A深夜)),0)*(1+_15・盲ろう)),0)</f>
        <v>731</v>
      </c>
      <c r="X132" s="48"/>
    </row>
    <row r="133" spans="1:24" ht="16.5" customHeight="1" x14ac:dyDescent="0.15">
      <c r="A133" s="41">
        <v>15</v>
      </c>
      <c r="B133" s="41" t="s">
        <v>25376</v>
      </c>
      <c r="C133" s="74" t="s">
        <v>25377</v>
      </c>
      <c r="D133" s="72"/>
      <c r="F133" s="57"/>
      <c r="G133" s="114" t="s">
        <v>17558</v>
      </c>
      <c r="H133" s="49"/>
      <c r="I133" s="50"/>
      <c r="J133" s="163"/>
      <c r="K133" s="45"/>
      <c r="L133" s="46"/>
      <c r="M133" s="512"/>
      <c r="N133" s="57"/>
      <c r="O133" s="35"/>
      <c r="P133" s="12" t="s">
        <v>398</v>
      </c>
      <c r="Q133" s="13">
        <v>0.25</v>
      </c>
      <c r="R133" s="57" t="s">
        <v>3575</v>
      </c>
      <c r="S133" s="35"/>
      <c r="V133" s="57"/>
      <c r="W133" s="208">
        <f>ROUND((ROUND((ROUND((_15_同援日増３．０*_15・基礎２),0)*(1+_15・A深夜)),0)*(1+_15・盲ろう)),0)</f>
        <v>659</v>
      </c>
      <c r="X133" s="48"/>
    </row>
    <row r="134" spans="1:24" ht="16.5" customHeight="1" x14ac:dyDescent="0.15">
      <c r="A134" s="41">
        <v>15</v>
      </c>
      <c r="B134" s="41" t="s">
        <v>25378</v>
      </c>
      <c r="C134" s="74" t="s">
        <v>25379</v>
      </c>
      <c r="D134" s="72"/>
      <c r="F134" s="57"/>
      <c r="G134" s="269" t="s">
        <v>17560</v>
      </c>
      <c r="H134" s="37" t="s">
        <v>398</v>
      </c>
      <c r="I134" s="38">
        <v>0.9</v>
      </c>
      <c r="J134" s="299" t="s">
        <v>17556</v>
      </c>
      <c r="K134" s="45" t="s">
        <v>398</v>
      </c>
      <c r="L134" s="46">
        <v>1</v>
      </c>
      <c r="M134" s="512"/>
      <c r="N134" s="57"/>
      <c r="O134" s="43"/>
      <c r="P134" s="37"/>
      <c r="Q134" s="38"/>
      <c r="R134" s="79"/>
      <c r="S134" s="43"/>
      <c r="T134" s="37"/>
      <c r="U134" s="38"/>
      <c r="V134" s="79"/>
      <c r="W134" s="208">
        <f>ROUND((ROUND((ROUND((ROUND((_15_同援日増３．０*_15・基礎２),0)*_15・２人),0)*(1+_15・A深夜)),0)*(1+_15・盲ろう)),0)</f>
        <v>659</v>
      </c>
      <c r="X134" s="48"/>
    </row>
    <row r="135" spans="1:24" ht="16.5" customHeight="1" x14ac:dyDescent="0.15">
      <c r="A135" s="41">
        <v>15</v>
      </c>
      <c r="B135" s="41" t="s">
        <v>25380</v>
      </c>
      <c r="C135" s="74" t="s">
        <v>25381</v>
      </c>
      <c r="D135" s="72"/>
      <c r="F135" s="57"/>
      <c r="G135" s="53"/>
      <c r="H135" s="49"/>
      <c r="I135" s="50"/>
      <c r="J135" s="163"/>
      <c r="K135" s="45"/>
      <c r="L135" s="46"/>
      <c r="M135" s="512"/>
      <c r="N135" s="57"/>
      <c r="O135" s="53"/>
      <c r="P135" s="49"/>
      <c r="Q135" s="50"/>
      <c r="R135" s="115"/>
      <c r="S135" s="53"/>
      <c r="T135" s="49"/>
      <c r="U135" s="50"/>
      <c r="V135" s="115"/>
      <c r="W135" s="208">
        <f>ROUND((ROUND((_15_同援日増３．０*(1+_15・A深夜)),0)*(1+_15・区３)),0)</f>
        <v>702</v>
      </c>
      <c r="X135" s="48"/>
    </row>
    <row r="136" spans="1:24" ht="16.5" customHeight="1" x14ac:dyDescent="0.15">
      <c r="A136" s="41">
        <v>15</v>
      </c>
      <c r="B136" s="41" t="s">
        <v>25382</v>
      </c>
      <c r="C136" s="74" t="s">
        <v>25383</v>
      </c>
      <c r="D136" s="72"/>
      <c r="F136" s="57"/>
      <c r="G136" s="43"/>
      <c r="H136" s="37"/>
      <c r="I136" s="38"/>
      <c r="J136" s="299" t="s">
        <v>17556</v>
      </c>
      <c r="K136" s="45" t="s">
        <v>398</v>
      </c>
      <c r="L136" s="46">
        <v>1</v>
      </c>
      <c r="M136" s="512"/>
      <c r="N136" s="57"/>
      <c r="O136" s="35"/>
      <c r="R136" s="57"/>
      <c r="S136" s="35"/>
      <c r="V136" s="57"/>
      <c r="W136" s="208">
        <f>ROUND((ROUND((ROUND((_15_同援日増３．０*_15・２人),0)*(1+_15・A深夜)),0)*(1+_15・区３)),0)</f>
        <v>702</v>
      </c>
      <c r="X136" s="48"/>
    </row>
    <row r="137" spans="1:24" ht="16.5" customHeight="1" x14ac:dyDescent="0.15">
      <c r="A137" s="41">
        <v>15</v>
      </c>
      <c r="B137" s="41" t="s">
        <v>25384</v>
      </c>
      <c r="C137" s="74" t="s">
        <v>25385</v>
      </c>
      <c r="D137" s="72"/>
      <c r="F137" s="57"/>
      <c r="G137" s="114" t="s">
        <v>17558</v>
      </c>
      <c r="H137" s="49"/>
      <c r="I137" s="50"/>
      <c r="J137" s="163"/>
      <c r="K137" s="45"/>
      <c r="L137" s="46"/>
      <c r="M137" s="512"/>
      <c r="N137" s="57"/>
      <c r="O137" s="35"/>
      <c r="R137" s="57"/>
      <c r="S137" s="72" t="s">
        <v>17570</v>
      </c>
      <c r="V137" s="57"/>
      <c r="W137" s="208">
        <f>ROUND((ROUND((ROUND((_15_同援日増３．０*_15・基礎２),0)*(1+_15・A深夜)),0)*(1+_15・区３)),0)</f>
        <v>632</v>
      </c>
      <c r="X137" s="48"/>
    </row>
    <row r="138" spans="1:24" ht="16.5" customHeight="1" x14ac:dyDescent="0.15">
      <c r="A138" s="41">
        <v>15</v>
      </c>
      <c r="B138" s="41" t="s">
        <v>25386</v>
      </c>
      <c r="C138" s="74" t="s">
        <v>25387</v>
      </c>
      <c r="D138" s="72"/>
      <c r="F138" s="57"/>
      <c r="G138" s="269" t="s">
        <v>17560</v>
      </c>
      <c r="H138" s="37" t="s">
        <v>398</v>
      </c>
      <c r="I138" s="38">
        <v>0.9</v>
      </c>
      <c r="J138" s="299" t="s">
        <v>17556</v>
      </c>
      <c r="K138" s="45" t="s">
        <v>398</v>
      </c>
      <c r="L138" s="46">
        <v>1</v>
      </c>
      <c r="M138" s="512"/>
      <c r="N138" s="57"/>
      <c r="O138" s="43"/>
      <c r="P138" s="37"/>
      <c r="Q138" s="38"/>
      <c r="R138" s="79"/>
      <c r="S138" s="72" t="s">
        <v>17572</v>
      </c>
      <c r="V138" s="57"/>
      <c r="W138" s="208">
        <f>ROUND((ROUND((ROUND((ROUND((_15_同援日増３．０*_15・基礎２),0)*_15・２人),0)*(1+_15・A深夜)),0)*(1+_15・区３)),0)</f>
        <v>632</v>
      </c>
      <c r="X138" s="48"/>
    </row>
    <row r="139" spans="1:24" ht="16.5" customHeight="1" x14ac:dyDescent="0.15">
      <c r="A139" s="41">
        <v>15</v>
      </c>
      <c r="B139" s="41" t="s">
        <v>25388</v>
      </c>
      <c r="C139" s="74" t="s">
        <v>25389</v>
      </c>
      <c r="D139" s="72"/>
      <c r="F139" s="57"/>
      <c r="G139" s="53"/>
      <c r="H139" s="49"/>
      <c r="I139" s="50"/>
      <c r="J139" s="163"/>
      <c r="K139" s="45"/>
      <c r="L139" s="46"/>
      <c r="M139" s="512"/>
      <c r="N139" s="57"/>
      <c r="O139" s="114" t="s">
        <v>17562</v>
      </c>
      <c r="P139" s="49"/>
      <c r="Q139" s="50"/>
      <c r="R139" s="115"/>
      <c r="S139" s="35"/>
      <c r="T139" s="12" t="s">
        <v>398</v>
      </c>
      <c r="U139" s="13">
        <v>0.2</v>
      </c>
      <c r="V139" s="57" t="s">
        <v>3575</v>
      </c>
      <c r="W139" s="208">
        <f>ROUND((ROUND((ROUND((_15_同援日増３．０*(1+_15・A深夜)),0)*(1+_15・盲ろう)),0)*(1+_15・区３)),0)</f>
        <v>877</v>
      </c>
      <c r="X139" s="48"/>
    </row>
    <row r="140" spans="1:24" ht="16.5" customHeight="1" x14ac:dyDescent="0.15">
      <c r="A140" s="41">
        <v>15</v>
      </c>
      <c r="B140" s="41" t="s">
        <v>25390</v>
      </c>
      <c r="C140" s="74" t="s">
        <v>25391</v>
      </c>
      <c r="D140" s="72"/>
      <c r="F140" s="57"/>
      <c r="G140" s="43"/>
      <c r="H140" s="37"/>
      <c r="I140" s="38"/>
      <c r="J140" s="299" t="s">
        <v>17556</v>
      </c>
      <c r="K140" s="45" t="s">
        <v>398</v>
      </c>
      <c r="L140" s="46">
        <v>1</v>
      </c>
      <c r="M140" s="512"/>
      <c r="N140" s="57"/>
      <c r="O140" s="92" t="s">
        <v>17564</v>
      </c>
      <c r="R140" s="57"/>
      <c r="S140" s="35"/>
      <c r="V140" s="57"/>
      <c r="W140" s="208">
        <f>ROUND((ROUND((ROUND((ROUND((_15_同援日増３．０*_15・２人),0)*(1+_15・A深夜)),0)*(1+_15・盲ろう)),0)*(1+_15・区３)),0)</f>
        <v>877</v>
      </c>
      <c r="X140" s="48"/>
    </row>
    <row r="141" spans="1:24" ht="16.5" customHeight="1" x14ac:dyDescent="0.15">
      <c r="A141" s="41">
        <v>15</v>
      </c>
      <c r="B141" s="41" t="s">
        <v>25392</v>
      </c>
      <c r="C141" s="74" t="s">
        <v>25393</v>
      </c>
      <c r="D141" s="72"/>
      <c r="F141" s="57"/>
      <c r="G141" s="114" t="s">
        <v>17558</v>
      </c>
      <c r="H141" s="49"/>
      <c r="I141" s="50"/>
      <c r="J141" s="163"/>
      <c r="K141" s="45"/>
      <c r="L141" s="46"/>
      <c r="M141" s="512"/>
      <c r="N141" s="57"/>
      <c r="O141" s="35"/>
      <c r="P141" s="12" t="s">
        <v>398</v>
      </c>
      <c r="Q141" s="13">
        <v>0.25</v>
      </c>
      <c r="R141" s="57" t="s">
        <v>3575</v>
      </c>
      <c r="S141" s="35"/>
      <c r="V141" s="57"/>
      <c r="W141" s="208">
        <f>ROUND((ROUND((ROUND((ROUND((_15_同援日増３．０*_15・基礎２),0)*(1+_15・A深夜)),0)*(1+_15・盲ろう)),0)*(1+_15・区３)),0)</f>
        <v>791</v>
      </c>
      <c r="X141" s="48"/>
    </row>
    <row r="142" spans="1:24" ht="16.5" customHeight="1" x14ac:dyDescent="0.15">
      <c r="A142" s="41">
        <v>15</v>
      </c>
      <c r="B142" s="41" t="s">
        <v>25394</v>
      </c>
      <c r="C142" s="74" t="s">
        <v>25395</v>
      </c>
      <c r="D142" s="72"/>
      <c r="F142" s="57"/>
      <c r="G142" s="269" t="s">
        <v>17560</v>
      </c>
      <c r="H142" s="37" t="s">
        <v>398</v>
      </c>
      <c r="I142" s="38">
        <v>0.9</v>
      </c>
      <c r="J142" s="299" t="s">
        <v>17556</v>
      </c>
      <c r="K142" s="45" t="s">
        <v>398</v>
      </c>
      <c r="L142" s="46">
        <v>1</v>
      </c>
      <c r="M142" s="512"/>
      <c r="N142" s="57"/>
      <c r="O142" s="43"/>
      <c r="P142" s="37"/>
      <c r="Q142" s="38"/>
      <c r="R142" s="79"/>
      <c r="S142" s="43"/>
      <c r="T142" s="37"/>
      <c r="U142" s="38"/>
      <c r="V142" s="79"/>
      <c r="W142" s="208">
        <f>ROUND((ROUND((ROUND((ROUND((ROUND((_15_同援日増３．０*_15・基礎２),0)*_15・２人),0)*(1+_15・A深夜)),0)*(1+_15・盲ろう)),0)*(1+_15・区３)),0)</f>
        <v>791</v>
      </c>
      <c r="X142" s="48"/>
    </row>
    <row r="143" spans="1:24" ht="16.5" customHeight="1" x14ac:dyDescent="0.15">
      <c r="A143" s="41">
        <v>15</v>
      </c>
      <c r="B143" s="41" t="s">
        <v>25396</v>
      </c>
      <c r="C143" s="74" t="s">
        <v>25397</v>
      </c>
      <c r="D143" s="72"/>
      <c r="F143" s="57"/>
      <c r="G143" s="53"/>
      <c r="H143" s="49"/>
      <c r="I143" s="50"/>
      <c r="J143" s="163"/>
      <c r="K143" s="45"/>
      <c r="L143" s="46"/>
      <c r="M143" s="512"/>
      <c r="N143" s="57"/>
      <c r="O143" s="53"/>
      <c r="P143" s="49"/>
      <c r="Q143" s="50"/>
      <c r="R143" s="115"/>
      <c r="S143" s="53"/>
      <c r="T143" s="49"/>
      <c r="U143" s="50"/>
      <c r="V143" s="115"/>
      <c r="W143" s="208">
        <f>ROUND((ROUND((_15_同援日増３．０*(1+_15・A深夜)),0)*(1+_15・区４)),0)</f>
        <v>819</v>
      </c>
      <c r="X143" s="48"/>
    </row>
    <row r="144" spans="1:24" ht="16.5" customHeight="1" x14ac:dyDescent="0.15">
      <c r="A144" s="41">
        <v>15</v>
      </c>
      <c r="B144" s="41" t="s">
        <v>25398</v>
      </c>
      <c r="C144" s="74" t="s">
        <v>25399</v>
      </c>
      <c r="D144" s="72"/>
      <c r="F144" s="57"/>
      <c r="G144" s="43"/>
      <c r="H144" s="37"/>
      <c r="I144" s="38"/>
      <c r="J144" s="299" t="s">
        <v>17556</v>
      </c>
      <c r="K144" s="45" t="s">
        <v>398</v>
      </c>
      <c r="L144" s="46">
        <v>1</v>
      </c>
      <c r="M144" s="512"/>
      <c r="N144" s="57"/>
      <c r="O144" s="35"/>
      <c r="R144" s="57"/>
      <c r="S144" s="35"/>
      <c r="V144" s="57"/>
      <c r="W144" s="208">
        <f>ROUND((ROUND((ROUND((_15_同援日増３．０*_15・２人),0)*(1+_15・A深夜)),0)*(1+_15・区４)),0)</f>
        <v>819</v>
      </c>
      <c r="X144" s="48"/>
    </row>
    <row r="145" spans="1:24" ht="16.5" customHeight="1" x14ac:dyDescent="0.15">
      <c r="A145" s="41">
        <v>15</v>
      </c>
      <c r="B145" s="41" t="s">
        <v>2351</v>
      </c>
      <c r="C145" s="74" t="s">
        <v>25400</v>
      </c>
      <c r="D145" s="72"/>
      <c r="F145" s="57"/>
      <c r="G145" s="114" t="s">
        <v>17558</v>
      </c>
      <c r="H145" s="49"/>
      <c r="I145" s="50"/>
      <c r="J145" s="163"/>
      <c r="K145" s="45"/>
      <c r="L145" s="46"/>
      <c r="M145" s="512"/>
      <c r="N145" s="57"/>
      <c r="O145" s="35"/>
      <c r="R145" s="57"/>
      <c r="S145" s="72" t="s">
        <v>17580</v>
      </c>
      <c r="V145" s="57"/>
      <c r="W145" s="208">
        <f>ROUND((ROUND((ROUND((_15_同援日増３．０*_15・基礎２),0)*(1+_15・A深夜)),0)*(1+_15・区４)),0)</f>
        <v>738</v>
      </c>
      <c r="X145" s="48"/>
    </row>
    <row r="146" spans="1:24" ht="16.5" customHeight="1" x14ac:dyDescent="0.15">
      <c r="A146" s="41">
        <v>15</v>
      </c>
      <c r="B146" s="41" t="s">
        <v>2353</v>
      </c>
      <c r="C146" s="74" t="s">
        <v>25401</v>
      </c>
      <c r="D146" s="72"/>
      <c r="F146" s="57"/>
      <c r="G146" s="269" t="s">
        <v>17560</v>
      </c>
      <c r="H146" s="37" t="s">
        <v>398</v>
      </c>
      <c r="I146" s="38">
        <v>0.9</v>
      </c>
      <c r="J146" s="299" t="s">
        <v>17556</v>
      </c>
      <c r="K146" s="45" t="s">
        <v>398</v>
      </c>
      <c r="L146" s="46">
        <v>1</v>
      </c>
      <c r="M146" s="512"/>
      <c r="N146" s="57"/>
      <c r="O146" s="43"/>
      <c r="P146" s="37"/>
      <c r="Q146" s="38"/>
      <c r="R146" s="79"/>
      <c r="S146" s="72" t="s">
        <v>17572</v>
      </c>
      <c r="V146" s="57"/>
      <c r="W146" s="208">
        <f>ROUND((ROUND((ROUND((ROUND((_15_同援日増３．０*_15・基礎２),0)*_15・２人),0)*(1+_15・A深夜)),0)*(1+_15・区４)),0)</f>
        <v>738</v>
      </c>
      <c r="X146" s="48"/>
    </row>
    <row r="147" spans="1:24" ht="16.5" customHeight="1" x14ac:dyDescent="0.15">
      <c r="A147" s="41">
        <v>15</v>
      </c>
      <c r="B147" s="41" t="s">
        <v>2355</v>
      </c>
      <c r="C147" s="74" t="s">
        <v>25402</v>
      </c>
      <c r="D147" s="72"/>
      <c r="F147" s="57"/>
      <c r="G147" s="53"/>
      <c r="H147" s="49"/>
      <c r="I147" s="50"/>
      <c r="J147" s="163"/>
      <c r="K147" s="45"/>
      <c r="L147" s="46"/>
      <c r="M147" s="512"/>
      <c r="N147" s="57"/>
      <c r="O147" s="114" t="s">
        <v>17562</v>
      </c>
      <c r="P147" s="49"/>
      <c r="Q147" s="50"/>
      <c r="R147" s="115"/>
      <c r="S147" s="35"/>
      <c r="T147" s="12" t="s">
        <v>398</v>
      </c>
      <c r="U147" s="13">
        <v>0.4</v>
      </c>
      <c r="V147" s="57" t="s">
        <v>3575</v>
      </c>
      <c r="W147" s="208">
        <f>ROUND((ROUND((ROUND((_15_同援日増３．０*(1+_15・A深夜)),0)*(1+_15・盲ろう)),0)*(1+_15・区４)),0)</f>
        <v>1023</v>
      </c>
      <c r="X147" s="48"/>
    </row>
    <row r="148" spans="1:24" ht="16.5" customHeight="1" x14ac:dyDescent="0.15">
      <c r="A148" s="41">
        <v>15</v>
      </c>
      <c r="B148" s="41" t="s">
        <v>2357</v>
      </c>
      <c r="C148" s="74" t="s">
        <v>25403</v>
      </c>
      <c r="D148" s="72"/>
      <c r="F148" s="57"/>
      <c r="G148" s="43"/>
      <c r="H148" s="37"/>
      <c r="I148" s="38"/>
      <c r="J148" s="299" t="s">
        <v>17556</v>
      </c>
      <c r="K148" s="45" t="s">
        <v>398</v>
      </c>
      <c r="L148" s="46">
        <v>1</v>
      </c>
      <c r="M148" s="512"/>
      <c r="N148" s="57"/>
      <c r="O148" s="92" t="s">
        <v>17564</v>
      </c>
      <c r="R148" s="57"/>
      <c r="S148" s="35"/>
      <c r="V148" s="57"/>
      <c r="W148" s="208">
        <f>ROUND((ROUND((ROUND((ROUND((_15_同援日増３．０*_15・２人),0)*(1+_15・A深夜)),0)*(1+_15・盲ろう)),0)*(1+_15・区４)),0)</f>
        <v>1023</v>
      </c>
      <c r="X148" s="48"/>
    </row>
    <row r="149" spans="1:24" ht="16.5" customHeight="1" x14ac:dyDescent="0.15">
      <c r="A149" s="41">
        <v>15</v>
      </c>
      <c r="B149" s="41" t="s">
        <v>25404</v>
      </c>
      <c r="C149" s="74" t="s">
        <v>25405</v>
      </c>
      <c r="D149" s="72"/>
      <c r="F149" s="57"/>
      <c r="G149" s="114" t="s">
        <v>17558</v>
      </c>
      <c r="H149" s="49"/>
      <c r="I149" s="50"/>
      <c r="J149" s="163"/>
      <c r="K149" s="45"/>
      <c r="L149" s="46"/>
      <c r="M149" s="512"/>
      <c r="N149" s="57"/>
      <c r="O149" s="35"/>
      <c r="P149" s="12" t="s">
        <v>398</v>
      </c>
      <c r="Q149" s="13">
        <v>0.25</v>
      </c>
      <c r="R149" s="57" t="s">
        <v>3575</v>
      </c>
      <c r="S149" s="35"/>
      <c r="V149" s="57"/>
      <c r="W149" s="208">
        <f>ROUND((ROUND((ROUND((ROUND((_15_同援日増３．０*_15・基礎２),0)*(1+_15・A深夜)),0)*(1+_15・盲ろう)),0)*(1+_15・区４)),0)</f>
        <v>923</v>
      </c>
      <c r="X149" s="48"/>
    </row>
    <row r="150" spans="1:24" ht="16.5" customHeight="1" x14ac:dyDescent="0.15">
      <c r="A150" s="41">
        <v>15</v>
      </c>
      <c r="B150" s="41" t="s">
        <v>25406</v>
      </c>
      <c r="C150" s="74" t="s">
        <v>25407</v>
      </c>
      <c r="D150" s="122"/>
      <c r="E150" s="37"/>
      <c r="F150" s="79"/>
      <c r="G150" s="269" t="s">
        <v>17560</v>
      </c>
      <c r="H150" s="37" t="s">
        <v>398</v>
      </c>
      <c r="I150" s="38">
        <v>0.9</v>
      </c>
      <c r="J150" s="299" t="s">
        <v>17556</v>
      </c>
      <c r="K150" s="45" t="s">
        <v>398</v>
      </c>
      <c r="L150" s="46">
        <v>1</v>
      </c>
      <c r="M150" s="512"/>
      <c r="N150" s="57"/>
      <c r="O150" s="43"/>
      <c r="P150" s="37"/>
      <c r="Q150" s="38"/>
      <c r="R150" s="79"/>
      <c r="S150" s="43"/>
      <c r="T150" s="37"/>
      <c r="U150" s="38"/>
      <c r="V150" s="79"/>
      <c r="W150" s="208">
        <f>ROUND((ROUND((ROUND((ROUND((ROUND((_15_同援日増３．０*_15・基礎２),0)*_15・２人),0)*(1+_15・A深夜)),0)*(1+_15・盲ろう)),0)*(1+_15・区４)),0)</f>
        <v>923</v>
      </c>
      <c r="X150" s="48"/>
    </row>
    <row r="151" spans="1:24" ht="16.5" customHeight="1" x14ac:dyDescent="0.15">
      <c r="A151" s="41">
        <v>15</v>
      </c>
      <c r="B151" s="41" t="s">
        <v>25408</v>
      </c>
      <c r="C151" s="74" t="s">
        <v>25409</v>
      </c>
      <c r="D151" s="114" t="s">
        <v>25410</v>
      </c>
      <c r="E151" s="49"/>
      <c r="F151" s="115"/>
      <c r="G151" s="53"/>
      <c r="H151" s="49"/>
      <c r="I151" s="50"/>
      <c r="J151" s="163"/>
      <c r="K151" s="45"/>
      <c r="L151" s="46"/>
      <c r="M151" s="512"/>
      <c r="N151" s="57"/>
      <c r="O151" s="53"/>
      <c r="P151" s="49"/>
      <c r="Q151" s="50"/>
      <c r="R151" s="115"/>
      <c r="S151" s="53"/>
      <c r="T151" s="49"/>
      <c r="U151" s="50"/>
      <c r="V151" s="115"/>
      <c r="W151" s="208">
        <f>ROUND((_15_同援日増３．５*(1+_15・A深夜)),0)</f>
        <v>683</v>
      </c>
      <c r="X151" s="48"/>
    </row>
    <row r="152" spans="1:24" ht="16.5" customHeight="1" x14ac:dyDescent="0.15">
      <c r="A152" s="41">
        <v>15</v>
      </c>
      <c r="B152" s="41" t="s">
        <v>25411</v>
      </c>
      <c r="C152" s="74" t="s">
        <v>25412</v>
      </c>
      <c r="D152" s="72" t="s">
        <v>17724</v>
      </c>
      <c r="F152" s="57"/>
      <c r="G152" s="43"/>
      <c r="H152" s="37"/>
      <c r="I152" s="38"/>
      <c r="J152" s="299" t="s">
        <v>17556</v>
      </c>
      <c r="K152" s="45" t="s">
        <v>398</v>
      </c>
      <c r="L152" s="46">
        <v>1</v>
      </c>
      <c r="M152" s="512"/>
      <c r="N152" s="57"/>
      <c r="O152" s="35"/>
      <c r="R152" s="57"/>
      <c r="S152" s="35"/>
      <c r="V152" s="57"/>
      <c r="W152" s="208">
        <f>ROUND((ROUND((_15_同援日増３．５*_15・２人),0)*(1+_15・A深夜)),0)</f>
        <v>683</v>
      </c>
      <c r="X152" s="48"/>
    </row>
    <row r="153" spans="1:24" ht="16.5" customHeight="1" x14ac:dyDescent="0.15">
      <c r="A153" s="41">
        <v>15</v>
      </c>
      <c r="B153" s="41" t="s">
        <v>25413</v>
      </c>
      <c r="C153" s="74" t="s">
        <v>25414</v>
      </c>
      <c r="D153" s="72" t="s">
        <v>17726</v>
      </c>
      <c r="F153" s="57"/>
      <c r="G153" s="114" t="s">
        <v>17558</v>
      </c>
      <c r="H153" s="49"/>
      <c r="I153" s="50"/>
      <c r="J153" s="163"/>
      <c r="K153" s="45"/>
      <c r="L153" s="46"/>
      <c r="M153" s="512"/>
      <c r="N153" s="57"/>
      <c r="O153" s="35"/>
      <c r="R153" s="57"/>
      <c r="S153" s="35"/>
      <c r="V153" s="57"/>
      <c r="W153" s="208">
        <f>ROUND((ROUND((_15_同援日増３．５*_15・基礎２),0)*(1+_15・A深夜)),0)</f>
        <v>615</v>
      </c>
      <c r="X153" s="48"/>
    </row>
    <row r="154" spans="1:24" ht="16.5" customHeight="1" x14ac:dyDescent="0.15">
      <c r="A154" s="41">
        <v>15</v>
      </c>
      <c r="B154" s="41" t="s">
        <v>25415</v>
      </c>
      <c r="C154" s="74" t="s">
        <v>25416</v>
      </c>
      <c r="D154" s="72"/>
      <c r="E154" s="168">
        <f>_15_同援日増３．５</f>
        <v>455</v>
      </c>
      <c r="F154" s="57" t="s">
        <v>392</v>
      </c>
      <c r="G154" s="269" t="s">
        <v>17560</v>
      </c>
      <c r="H154" s="37" t="s">
        <v>398</v>
      </c>
      <c r="I154" s="38">
        <v>0.9</v>
      </c>
      <c r="J154" s="299" t="s">
        <v>17556</v>
      </c>
      <c r="K154" s="45" t="s">
        <v>398</v>
      </c>
      <c r="L154" s="46">
        <v>1</v>
      </c>
      <c r="M154" s="512"/>
      <c r="N154" s="57"/>
      <c r="O154" s="43"/>
      <c r="P154" s="37"/>
      <c r="Q154" s="38"/>
      <c r="R154" s="79"/>
      <c r="S154" s="35"/>
      <c r="V154" s="57"/>
      <c r="W154" s="208">
        <f>ROUND((ROUND((ROUND((_15_同援日増３．５*_15・基礎２),0)*_15・２人),0)*(1+_15・A深夜)),0)</f>
        <v>615</v>
      </c>
      <c r="X154" s="48"/>
    </row>
    <row r="155" spans="1:24" ht="16.5" customHeight="1" x14ac:dyDescent="0.15">
      <c r="A155" s="41">
        <v>15</v>
      </c>
      <c r="B155" s="41" t="s">
        <v>25417</v>
      </c>
      <c r="C155" s="74" t="s">
        <v>25418</v>
      </c>
      <c r="D155" s="72"/>
      <c r="F155" s="57"/>
      <c r="G155" s="53"/>
      <c r="H155" s="49"/>
      <c r="I155" s="50"/>
      <c r="J155" s="163"/>
      <c r="K155" s="45"/>
      <c r="L155" s="46"/>
      <c r="M155" s="512"/>
      <c r="N155" s="57"/>
      <c r="O155" s="114" t="s">
        <v>17562</v>
      </c>
      <c r="P155" s="49"/>
      <c r="Q155" s="50"/>
      <c r="R155" s="115"/>
      <c r="S155" s="35"/>
      <c r="V155" s="57"/>
      <c r="W155" s="208">
        <f>ROUND((ROUND((_15_同援日増３．５*(1+_15・A深夜)),0)*(1+_15・盲ろう)),0)</f>
        <v>854</v>
      </c>
      <c r="X155" s="48"/>
    </row>
    <row r="156" spans="1:24" ht="16.5" customHeight="1" x14ac:dyDescent="0.15">
      <c r="A156" s="41">
        <v>15</v>
      </c>
      <c r="B156" s="41" t="s">
        <v>25419</v>
      </c>
      <c r="C156" s="74" t="s">
        <v>25420</v>
      </c>
      <c r="D156" s="72"/>
      <c r="F156" s="57"/>
      <c r="G156" s="43"/>
      <c r="H156" s="37"/>
      <c r="I156" s="38"/>
      <c r="J156" s="299" t="s">
        <v>17556</v>
      </c>
      <c r="K156" s="45" t="s">
        <v>398</v>
      </c>
      <c r="L156" s="46">
        <v>1</v>
      </c>
      <c r="M156" s="512"/>
      <c r="N156" s="57"/>
      <c r="O156" s="92" t="s">
        <v>17564</v>
      </c>
      <c r="R156" s="57"/>
      <c r="S156" s="35"/>
      <c r="V156" s="57"/>
      <c r="W156" s="208">
        <f>ROUND((ROUND((ROUND((_15_同援日増３．５*_15・２人),0)*(1+_15・A深夜)),0)*(1+_15・盲ろう)),0)</f>
        <v>854</v>
      </c>
      <c r="X156" s="48"/>
    </row>
    <row r="157" spans="1:24" ht="16.5" customHeight="1" x14ac:dyDescent="0.15">
      <c r="A157" s="41">
        <v>15</v>
      </c>
      <c r="B157" s="41" t="s">
        <v>25421</v>
      </c>
      <c r="C157" s="74" t="s">
        <v>25422</v>
      </c>
      <c r="D157" s="72"/>
      <c r="F157" s="57"/>
      <c r="G157" s="114" t="s">
        <v>17558</v>
      </c>
      <c r="H157" s="49"/>
      <c r="I157" s="50"/>
      <c r="J157" s="163"/>
      <c r="K157" s="45"/>
      <c r="L157" s="46"/>
      <c r="M157" s="512"/>
      <c r="N157" s="57"/>
      <c r="O157" s="35"/>
      <c r="P157" s="12" t="s">
        <v>398</v>
      </c>
      <c r="Q157" s="13">
        <v>0.25</v>
      </c>
      <c r="R157" s="57" t="s">
        <v>3575</v>
      </c>
      <c r="S157" s="35"/>
      <c r="V157" s="57"/>
      <c r="W157" s="208">
        <f>ROUND((ROUND((ROUND((_15_同援日増３．５*_15・基礎２),0)*(1+_15・A深夜)),0)*(1+_15・盲ろう)),0)</f>
        <v>769</v>
      </c>
      <c r="X157" s="48"/>
    </row>
    <row r="158" spans="1:24" ht="16.5" customHeight="1" x14ac:dyDescent="0.15">
      <c r="A158" s="41">
        <v>15</v>
      </c>
      <c r="B158" s="41" t="s">
        <v>25423</v>
      </c>
      <c r="C158" s="74" t="s">
        <v>25424</v>
      </c>
      <c r="D158" s="72"/>
      <c r="F158" s="57"/>
      <c r="G158" s="269" t="s">
        <v>17560</v>
      </c>
      <c r="H158" s="37" t="s">
        <v>398</v>
      </c>
      <c r="I158" s="38">
        <v>0.9</v>
      </c>
      <c r="J158" s="299" t="s">
        <v>17556</v>
      </c>
      <c r="K158" s="45" t="s">
        <v>398</v>
      </c>
      <c r="L158" s="46">
        <v>1</v>
      </c>
      <c r="M158" s="512"/>
      <c r="N158" s="57"/>
      <c r="O158" s="43"/>
      <c r="P158" s="37"/>
      <c r="Q158" s="38"/>
      <c r="R158" s="79"/>
      <c r="S158" s="43"/>
      <c r="T158" s="37"/>
      <c r="U158" s="38"/>
      <c r="V158" s="79"/>
      <c r="W158" s="208">
        <f>ROUND((ROUND((ROUND((ROUND((_15_同援日増３．５*_15・基礎２),0)*_15・２人),0)*(1+_15・A深夜)),0)*(1+_15・盲ろう)),0)</f>
        <v>769</v>
      </c>
      <c r="X158" s="48"/>
    </row>
    <row r="159" spans="1:24" ht="16.5" customHeight="1" x14ac:dyDescent="0.15">
      <c r="A159" s="41">
        <v>15</v>
      </c>
      <c r="B159" s="41" t="s">
        <v>25425</v>
      </c>
      <c r="C159" s="74" t="s">
        <v>25426</v>
      </c>
      <c r="D159" s="72"/>
      <c r="F159" s="57"/>
      <c r="G159" s="53"/>
      <c r="H159" s="49"/>
      <c r="I159" s="50"/>
      <c r="J159" s="163"/>
      <c r="K159" s="45"/>
      <c r="L159" s="46"/>
      <c r="M159" s="512"/>
      <c r="N159" s="57"/>
      <c r="O159" s="53"/>
      <c r="P159" s="49"/>
      <c r="Q159" s="50"/>
      <c r="R159" s="115"/>
      <c r="S159" s="53"/>
      <c r="T159" s="49"/>
      <c r="U159" s="50"/>
      <c r="V159" s="115"/>
      <c r="W159" s="208">
        <f>ROUND((ROUND((_15_同援日増３．５*(1+_15・A深夜)),0)*(1+_15・区３)),0)</f>
        <v>820</v>
      </c>
      <c r="X159" s="48"/>
    </row>
    <row r="160" spans="1:24" ht="16.5" customHeight="1" x14ac:dyDescent="0.15">
      <c r="A160" s="41">
        <v>15</v>
      </c>
      <c r="B160" s="41" t="s">
        <v>25427</v>
      </c>
      <c r="C160" s="74" t="s">
        <v>25428</v>
      </c>
      <c r="D160" s="72"/>
      <c r="F160" s="57"/>
      <c r="G160" s="43"/>
      <c r="H160" s="37"/>
      <c r="I160" s="38"/>
      <c r="J160" s="299" t="s">
        <v>17556</v>
      </c>
      <c r="K160" s="45" t="s">
        <v>398</v>
      </c>
      <c r="L160" s="46">
        <v>1</v>
      </c>
      <c r="M160" s="512"/>
      <c r="N160" s="57"/>
      <c r="O160" s="35"/>
      <c r="R160" s="57"/>
      <c r="S160" s="35"/>
      <c r="V160" s="57"/>
      <c r="W160" s="208">
        <f>ROUND((ROUND((ROUND((_15_同援日増３．５*_15・２人),0)*(1+_15・A深夜)),0)*(1+_15・区３)),0)</f>
        <v>820</v>
      </c>
      <c r="X160" s="48"/>
    </row>
    <row r="161" spans="1:24" ht="16.5" customHeight="1" x14ac:dyDescent="0.15">
      <c r="A161" s="41">
        <v>15</v>
      </c>
      <c r="B161" s="41" t="s">
        <v>25429</v>
      </c>
      <c r="C161" s="74" t="s">
        <v>25430</v>
      </c>
      <c r="D161" s="72"/>
      <c r="F161" s="57"/>
      <c r="G161" s="114" t="s">
        <v>17558</v>
      </c>
      <c r="H161" s="49"/>
      <c r="I161" s="50"/>
      <c r="J161" s="163"/>
      <c r="K161" s="45"/>
      <c r="L161" s="46"/>
      <c r="M161" s="512"/>
      <c r="N161" s="57"/>
      <c r="O161" s="35"/>
      <c r="R161" s="57"/>
      <c r="S161" s="72" t="s">
        <v>17570</v>
      </c>
      <c r="V161" s="57"/>
      <c r="W161" s="208">
        <f>ROUND((ROUND((ROUND((_15_同援日増３．５*_15・基礎２),0)*(1+_15・A深夜)),0)*(1+_15・区３)),0)</f>
        <v>738</v>
      </c>
      <c r="X161" s="48"/>
    </row>
    <row r="162" spans="1:24" ht="16.5" customHeight="1" x14ac:dyDescent="0.15">
      <c r="A162" s="41">
        <v>15</v>
      </c>
      <c r="B162" s="41" t="s">
        <v>25431</v>
      </c>
      <c r="C162" s="74" t="s">
        <v>25432</v>
      </c>
      <c r="D162" s="72"/>
      <c r="F162" s="57"/>
      <c r="G162" s="269" t="s">
        <v>17560</v>
      </c>
      <c r="H162" s="37" t="s">
        <v>398</v>
      </c>
      <c r="I162" s="38">
        <v>0.9</v>
      </c>
      <c r="J162" s="299" t="s">
        <v>17556</v>
      </c>
      <c r="K162" s="45" t="s">
        <v>398</v>
      </c>
      <c r="L162" s="46">
        <v>1</v>
      </c>
      <c r="M162" s="512"/>
      <c r="N162" s="57"/>
      <c r="O162" s="43"/>
      <c r="P162" s="37"/>
      <c r="Q162" s="38"/>
      <c r="R162" s="79"/>
      <c r="S162" s="72" t="s">
        <v>17572</v>
      </c>
      <c r="V162" s="57"/>
      <c r="W162" s="208">
        <f>ROUND((ROUND((ROUND((ROUND((_15_同援日増３．５*_15・基礎２),0)*_15・２人),0)*(1+_15・A深夜)),0)*(1+_15・区３)),0)</f>
        <v>738</v>
      </c>
      <c r="X162" s="48"/>
    </row>
    <row r="163" spans="1:24" ht="16.5" customHeight="1" x14ac:dyDescent="0.15">
      <c r="A163" s="41">
        <v>15</v>
      </c>
      <c r="B163" s="41" t="s">
        <v>25433</v>
      </c>
      <c r="C163" s="74" t="s">
        <v>25434</v>
      </c>
      <c r="D163" s="72"/>
      <c r="F163" s="57"/>
      <c r="G163" s="53"/>
      <c r="H163" s="49"/>
      <c r="I163" s="50"/>
      <c r="J163" s="163"/>
      <c r="K163" s="45"/>
      <c r="L163" s="46"/>
      <c r="M163" s="512"/>
      <c r="N163" s="57"/>
      <c r="O163" s="114" t="s">
        <v>17562</v>
      </c>
      <c r="P163" s="49"/>
      <c r="Q163" s="50"/>
      <c r="R163" s="115"/>
      <c r="S163" s="35"/>
      <c r="T163" s="12" t="s">
        <v>398</v>
      </c>
      <c r="U163" s="13">
        <v>0.2</v>
      </c>
      <c r="V163" s="57" t="s">
        <v>3575</v>
      </c>
      <c r="W163" s="208">
        <f>ROUND((ROUND((ROUND((_15_同援日増３．５*(1+_15・A深夜)),0)*(1+_15・盲ろう)),0)*(1+_15・区３)),0)</f>
        <v>1025</v>
      </c>
      <c r="X163" s="48"/>
    </row>
    <row r="164" spans="1:24" ht="16.5" customHeight="1" x14ac:dyDescent="0.15">
      <c r="A164" s="41">
        <v>15</v>
      </c>
      <c r="B164" s="41" t="s">
        <v>25435</v>
      </c>
      <c r="C164" s="74" t="s">
        <v>25436</v>
      </c>
      <c r="D164" s="72"/>
      <c r="F164" s="57"/>
      <c r="G164" s="43"/>
      <c r="H164" s="37"/>
      <c r="I164" s="38"/>
      <c r="J164" s="299" t="s">
        <v>17556</v>
      </c>
      <c r="K164" s="45" t="s">
        <v>398</v>
      </c>
      <c r="L164" s="46">
        <v>1</v>
      </c>
      <c r="M164" s="512"/>
      <c r="N164" s="57"/>
      <c r="O164" s="92" t="s">
        <v>17564</v>
      </c>
      <c r="R164" s="57"/>
      <c r="S164" s="35"/>
      <c r="V164" s="57"/>
      <c r="W164" s="208">
        <f>ROUND((ROUND((ROUND((ROUND((_15_同援日増３．５*_15・２人),0)*(1+_15・A深夜)),0)*(1+_15・盲ろう)),0)*(1+_15・区３)),0)</f>
        <v>1025</v>
      </c>
      <c r="X164" s="48"/>
    </row>
    <row r="165" spans="1:24" ht="16.5" customHeight="1" x14ac:dyDescent="0.15">
      <c r="A165" s="41">
        <v>15</v>
      </c>
      <c r="B165" s="41" t="s">
        <v>2363</v>
      </c>
      <c r="C165" s="74" t="s">
        <v>25437</v>
      </c>
      <c r="D165" s="72"/>
      <c r="F165" s="57"/>
      <c r="G165" s="114" t="s">
        <v>17558</v>
      </c>
      <c r="H165" s="49"/>
      <c r="I165" s="50"/>
      <c r="J165" s="163"/>
      <c r="K165" s="45"/>
      <c r="L165" s="46"/>
      <c r="M165" s="512"/>
      <c r="N165" s="57"/>
      <c r="O165" s="35"/>
      <c r="P165" s="12" t="s">
        <v>398</v>
      </c>
      <c r="Q165" s="13">
        <v>0.25</v>
      </c>
      <c r="R165" s="57" t="s">
        <v>3575</v>
      </c>
      <c r="S165" s="35"/>
      <c r="V165" s="57"/>
      <c r="W165" s="208">
        <f>ROUND((ROUND((ROUND((ROUND((_15_同援日増３．５*_15・基礎２),0)*(1+_15・A深夜)),0)*(1+_15・盲ろう)),0)*(1+_15・区３)),0)</f>
        <v>923</v>
      </c>
      <c r="X165" s="48"/>
    </row>
    <row r="166" spans="1:24" ht="16.5" customHeight="1" x14ac:dyDescent="0.15">
      <c r="A166" s="41">
        <v>15</v>
      </c>
      <c r="B166" s="41" t="s">
        <v>2365</v>
      </c>
      <c r="C166" s="74" t="s">
        <v>25438</v>
      </c>
      <c r="D166" s="72"/>
      <c r="F166" s="57"/>
      <c r="G166" s="269" t="s">
        <v>17560</v>
      </c>
      <c r="H166" s="37" t="s">
        <v>398</v>
      </c>
      <c r="I166" s="38">
        <v>0.9</v>
      </c>
      <c r="J166" s="299" t="s">
        <v>17556</v>
      </c>
      <c r="K166" s="45" t="s">
        <v>398</v>
      </c>
      <c r="L166" s="46">
        <v>1</v>
      </c>
      <c r="M166" s="512"/>
      <c r="N166" s="57"/>
      <c r="O166" s="43"/>
      <c r="P166" s="37"/>
      <c r="Q166" s="38"/>
      <c r="R166" s="79"/>
      <c r="S166" s="43"/>
      <c r="T166" s="37"/>
      <c r="U166" s="38"/>
      <c r="V166" s="79"/>
      <c r="W166" s="208">
        <f>ROUND((ROUND((ROUND((ROUND((ROUND((_15_同援日増３．５*_15・基礎２),0)*_15・２人),0)*(1+_15・A深夜)),0)*(1+_15・盲ろう)),0)*(1+_15・区３)),0)</f>
        <v>923</v>
      </c>
      <c r="X166" s="48"/>
    </row>
    <row r="167" spans="1:24" ht="16.5" customHeight="1" x14ac:dyDescent="0.15">
      <c r="A167" s="41">
        <v>15</v>
      </c>
      <c r="B167" s="41" t="s">
        <v>2367</v>
      </c>
      <c r="C167" s="74" t="s">
        <v>25439</v>
      </c>
      <c r="D167" s="72"/>
      <c r="F167" s="57"/>
      <c r="G167" s="53"/>
      <c r="H167" s="49"/>
      <c r="I167" s="50"/>
      <c r="J167" s="163"/>
      <c r="K167" s="45"/>
      <c r="L167" s="46"/>
      <c r="M167" s="512"/>
      <c r="N167" s="57"/>
      <c r="O167" s="53"/>
      <c r="P167" s="49"/>
      <c r="Q167" s="50"/>
      <c r="R167" s="115"/>
      <c r="S167" s="53"/>
      <c r="T167" s="49"/>
      <c r="U167" s="50"/>
      <c r="V167" s="115"/>
      <c r="W167" s="208">
        <f>ROUND((ROUND((_15_同援日増３．５*(1+_15・A深夜)),0)*(1+_15・区４)),0)</f>
        <v>956</v>
      </c>
      <c r="X167" s="48"/>
    </row>
    <row r="168" spans="1:24" ht="16.5" customHeight="1" x14ac:dyDescent="0.15">
      <c r="A168" s="41">
        <v>15</v>
      </c>
      <c r="B168" s="41" t="s">
        <v>2369</v>
      </c>
      <c r="C168" s="74" t="s">
        <v>25440</v>
      </c>
      <c r="D168" s="72"/>
      <c r="F168" s="57"/>
      <c r="G168" s="43"/>
      <c r="H168" s="37"/>
      <c r="I168" s="38"/>
      <c r="J168" s="299" t="s">
        <v>17556</v>
      </c>
      <c r="K168" s="45" t="s">
        <v>398</v>
      </c>
      <c r="L168" s="46">
        <v>1</v>
      </c>
      <c r="M168" s="512"/>
      <c r="N168" s="57"/>
      <c r="O168" s="35"/>
      <c r="R168" s="57"/>
      <c r="S168" s="35"/>
      <c r="V168" s="57"/>
      <c r="W168" s="208">
        <f>ROUND((ROUND((ROUND((_15_同援日増３．５*_15・２人),0)*(1+_15・A深夜)),0)*(1+_15・区４)),0)</f>
        <v>956</v>
      </c>
      <c r="X168" s="48"/>
    </row>
    <row r="169" spans="1:24" ht="16.5" customHeight="1" x14ac:dyDescent="0.15">
      <c r="A169" s="41">
        <v>15</v>
      </c>
      <c r="B169" s="41" t="s">
        <v>25441</v>
      </c>
      <c r="C169" s="74" t="s">
        <v>25442</v>
      </c>
      <c r="D169" s="72"/>
      <c r="F169" s="57"/>
      <c r="G169" s="114" t="s">
        <v>17558</v>
      </c>
      <c r="H169" s="49"/>
      <c r="I169" s="50"/>
      <c r="J169" s="163"/>
      <c r="K169" s="45"/>
      <c r="L169" s="46"/>
      <c r="M169" s="512"/>
      <c r="N169" s="57"/>
      <c r="O169" s="35"/>
      <c r="R169" s="57"/>
      <c r="S169" s="72" t="s">
        <v>17580</v>
      </c>
      <c r="V169" s="57"/>
      <c r="W169" s="208">
        <f>ROUND((ROUND((ROUND((_15_同援日増３．５*_15・基礎２),0)*(1+_15・A深夜)),0)*(1+_15・区４)),0)</f>
        <v>861</v>
      </c>
      <c r="X169" s="48"/>
    </row>
    <row r="170" spans="1:24" ht="16.5" customHeight="1" x14ac:dyDescent="0.15">
      <c r="A170" s="41">
        <v>15</v>
      </c>
      <c r="B170" s="41" t="s">
        <v>25443</v>
      </c>
      <c r="C170" s="74" t="s">
        <v>25444</v>
      </c>
      <c r="D170" s="72"/>
      <c r="F170" s="57"/>
      <c r="G170" s="269" t="s">
        <v>17560</v>
      </c>
      <c r="H170" s="37" t="s">
        <v>398</v>
      </c>
      <c r="I170" s="38">
        <v>0.9</v>
      </c>
      <c r="J170" s="299" t="s">
        <v>17556</v>
      </c>
      <c r="K170" s="45" t="s">
        <v>398</v>
      </c>
      <c r="L170" s="46">
        <v>1</v>
      </c>
      <c r="M170" s="512"/>
      <c r="N170" s="57"/>
      <c r="O170" s="43"/>
      <c r="P170" s="37"/>
      <c r="Q170" s="38"/>
      <c r="R170" s="79"/>
      <c r="S170" s="72" t="s">
        <v>17572</v>
      </c>
      <c r="V170" s="57"/>
      <c r="W170" s="208">
        <f>ROUND((ROUND((ROUND((ROUND((_15_同援日増３．５*_15・基礎２),0)*_15・２人),0)*(1+_15・A深夜)),0)*(1+_15・区４)),0)</f>
        <v>861</v>
      </c>
      <c r="X170" s="48"/>
    </row>
    <row r="171" spans="1:24" ht="16.5" customHeight="1" x14ac:dyDescent="0.15">
      <c r="A171" s="41">
        <v>15</v>
      </c>
      <c r="B171" s="41" t="s">
        <v>25445</v>
      </c>
      <c r="C171" s="74" t="s">
        <v>25446</v>
      </c>
      <c r="D171" s="72"/>
      <c r="F171" s="57"/>
      <c r="G171" s="53"/>
      <c r="H171" s="49"/>
      <c r="I171" s="50"/>
      <c r="J171" s="163"/>
      <c r="K171" s="45"/>
      <c r="L171" s="46"/>
      <c r="M171" s="512"/>
      <c r="N171" s="57"/>
      <c r="O171" s="114" t="s">
        <v>17562</v>
      </c>
      <c r="P171" s="49"/>
      <c r="Q171" s="50"/>
      <c r="R171" s="115"/>
      <c r="S171" s="35"/>
      <c r="T171" s="12" t="s">
        <v>398</v>
      </c>
      <c r="U171" s="13">
        <v>0.4</v>
      </c>
      <c r="V171" s="57" t="s">
        <v>3575</v>
      </c>
      <c r="W171" s="208">
        <f>ROUND((ROUND((ROUND((_15_同援日増３．５*(1+_15・A深夜)),0)*(1+_15・盲ろう)),0)*(1+_15・区４)),0)</f>
        <v>1196</v>
      </c>
      <c r="X171" s="48"/>
    </row>
    <row r="172" spans="1:24" ht="16.5" customHeight="1" x14ac:dyDescent="0.15">
      <c r="A172" s="41">
        <v>15</v>
      </c>
      <c r="B172" s="41" t="s">
        <v>25447</v>
      </c>
      <c r="C172" s="74" t="s">
        <v>25448</v>
      </c>
      <c r="D172" s="72"/>
      <c r="F172" s="57"/>
      <c r="G172" s="43"/>
      <c r="H172" s="37"/>
      <c r="I172" s="38"/>
      <c r="J172" s="299" t="s">
        <v>17556</v>
      </c>
      <c r="K172" s="45" t="s">
        <v>398</v>
      </c>
      <c r="L172" s="46">
        <v>1</v>
      </c>
      <c r="M172" s="512"/>
      <c r="N172" s="57"/>
      <c r="O172" s="92" t="s">
        <v>17564</v>
      </c>
      <c r="R172" s="57"/>
      <c r="S172" s="35"/>
      <c r="V172" s="57"/>
      <c r="W172" s="208">
        <f>ROUND((ROUND((ROUND((ROUND((_15_同援日増３．５*_15・２人),0)*(1+_15・A深夜)),0)*(1+_15・盲ろう)),0)*(1+_15・区４)),0)</f>
        <v>1196</v>
      </c>
      <c r="X172" s="48"/>
    </row>
    <row r="173" spans="1:24" ht="16.5" customHeight="1" x14ac:dyDescent="0.15">
      <c r="A173" s="41">
        <v>15</v>
      </c>
      <c r="B173" s="41" t="s">
        <v>25449</v>
      </c>
      <c r="C173" s="74" t="s">
        <v>25450</v>
      </c>
      <c r="D173" s="72"/>
      <c r="F173" s="57"/>
      <c r="G173" s="114" t="s">
        <v>17558</v>
      </c>
      <c r="H173" s="49"/>
      <c r="I173" s="50"/>
      <c r="J173" s="163"/>
      <c r="K173" s="45"/>
      <c r="L173" s="46"/>
      <c r="M173" s="512"/>
      <c r="N173" s="57"/>
      <c r="O173" s="35"/>
      <c r="P173" s="12" t="s">
        <v>398</v>
      </c>
      <c r="Q173" s="13">
        <v>0.25</v>
      </c>
      <c r="R173" s="57" t="s">
        <v>3575</v>
      </c>
      <c r="S173" s="35"/>
      <c r="V173" s="57"/>
      <c r="W173" s="208">
        <f>ROUND((ROUND((ROUND((ROUND((_15_同援日増３．５*_15・基礎２),0)*(1+_15・A深夜)),0)*(1+_15・盲ろう)),0)*(1+_15・区４)),0)</f>
        <v>1077</v>
      </c>
      <c r="X173" s="48"/>
    </row>
    <row r="174" spans="1:24" ht="16.5" customHeight="1" x14ac:dyDescent="0.15">
      <c r="A174" s="41">
        <v>15</v>
      </c>
      <c r="B174" s="41" t="s">
        <v>25451</v>
      </c>
      <c r="C174" s="74" t="s">
        <v>25452</v>
      </c>
      <c r="D174" s="122"/>
      <c r="E174" s="37"/>
      <c r="F174" s="79"/>
      <c r="G174" s="269" t="s">
        <v>17560</v>
      </c>
      <c r="H174" s="37" t="s">
        <v>398</v>
      </c>
      <c r="I174" s="38">
        <v>0.9</v>
      </c>
      <c r="J174" s="299" t="s">
        <v>17556</v>
      </c>
      <c r="K174" s="45" t="s">
        <v>398</v>
      </c>
      <c r="L174" s="46">
        <v>1</v>
      </c>
      <c r="M174" s="512"/>
      <c r="N174" s="57"/>
      <c r="O174" s="43"/>
      <c r="P174" s="37"/>
      <c r="Q174" s="38"/>
      <c r="R174" s="79"/>
      <c r="S174" s="43"/>
      <c r="T174" s="37"/>
      <c r="U174" s="38"/>
      <c r="V174" s="79"/>
      <c r="W174" s="208">
        <f>ROUND((ROUND((ROUND((ROUND((ROUND((_15_同援日増３．５*_15・基礎２),0)*_15・２人),0)*(1+_15・A深夜)),0)*(1+_15・盲ろう)),0)*(1+_15・区４)),0)</f>
        <v>1077</v>
      </c>
      <c r="X174" s="48"/>
    </row>
    <row r="175" spans="1:24" ht="16.5" customHeight="1" x14ac:dyDescent="0.15">
      <c r="A175" s="41">
        <v>15</v>
      </c>
      <c r="B175" s="41" t="s">
        <v>25453</v>
      </c>
      <c r="C175" s="74" t="s">
        <v>25454</v>
      </c>
      <c r="D175" s="114" t="s">
        <v>25455</v>
      </c>
      <c r="E175" s="49"/>
      <c r="F175" s="115"/>
      <c r="G175" s="53"/>
      <c r="H175" s="49"/>
      <c r="I175" s="50"/>
      <c r="J175" s="163"/>
      <c r="K175" s="45"/>
      <c r="L175" s="46"/>
      <c r="M175" s="512"/>
      <c r="N175" s="57"/>
      <c r="O175" s="53"/>
      <c r="P175" s="49"/>
      <c r="Q175" s="50"/>
      <c r="R175" s="115"/>
      <c r="S175" s="53"/>
      <c r="T175" s="49"/>
      <c r="U175" s="50"/>
      <c r="V175" s="115"/>
      <c r="W175" s="208">
        <f>ROUND((_15_同援日増４．０*(1+_15・A深夜)),0)</f>
        <v>780</v>
      </c>
      <c r="X175" s="48"/>
    </row>
    <row r="176" spans="1:24" ht="16.5" customHeight="1" x14ac:dyDescent="0.15">
      <c r="A176" s="41">
        <v>15</v>
      </c>
      <c r="B176" s="41" t="s">
        <v>25456</v>
      </c>
      <c r="C176" s="74" t="s">
        <v>25457</v>
      </c>
      <c r="D176" s="72" t="s">
        <v>17751</v>
      </c>
      <c r="F176" s="57"/>
      <c r="G176" s="43"/>
      <c r="H176" s="37"/>
      <c r="I176" s="38"/>
      <c r="J176" s="299" t="s">
        <v>17556</v>
      </c>
      <c r="K176" s="45" t="s">
        <v>398</v>
      </c>
      <c r="L176" s="46">
        <v>1</v>
      </c>
      <c r="M176" s="512"/>
      <c r="N176" s="57"/>
      <c r="O176" s="35"/>
      <c r="R176" s="57"/>
      <c r="S176" s="35"/>
      <c r="V176" s="57"/>
      <c r="W176" s="208">
        <f>ROUND((ROUND((_15_同援日増４．０*_15・２人),0)*(1+_15・A深夜)),0)</f>
        <v>780</v>
      </c>
      <c r="X176" s="48"/>
    </row>
    <row r="177" spans="1:24" ht="16.5" customHeight="1" x14ac:dyDescent="0.15">
      <c r="A177" s="41">
        <v>15</v>
      </c>
      <c r="B177" s="41" t="s">
        <v>25458</v>
      </c>
      <c r="C177" s="74" t="s">
        <v>25459</v>
      </c>
      <c r="D177" s="72" t="s">
        <v>17753</v>
      </c>
      <c r="F177" s="57"/>
      <c r="G177" s="114" t="s">
        <v>17558</v>
      </c>
      <c r="H177" s="49"/>
      <c r="I177" s="50"/>
      <c r="J177" s="163"/>
      <c r="K177" s="45"/>
      <c r="L177" s="46"/>
      <c r="M177" s="512"/>
      <c r="N177" s="57"/>
      <c r="O177" s="35"/>
      <c r="R177" s="57"/>
      <c r="S177" s="35"/>
      <c r="V177" s="57"/>
      <c r="W177" s="208">
        <f>ROUND((ROUND((_15_同援日増４．０*_15・基礎２),0)*(1+_15・A深夜)),0)</f>
        <v>702</v>
      </c>
      <c r="X177" s="48"/>
    </row>
    <row r="178" spans="1:24" ht="16.5" customHeight="1" x14ac:dyDescent="0.15">
      <c r="A178" s="41">
        <v>15</v>
      </c>
      <c r="B178" s="41" t="s">
        <v>25460</v>
      </c>
      <c r="C178" s="74" t="s">
        <v>25461</v>
      </c>
      <c r="D178" s="72"/>
      <c r="E178" s="168">
        <f>_15_同援日増４．０</f>
        <v>520</v>
      </c>
      <c r="F178" s="57" t="s">
        <v>392</v>
      </c>
      <c r="G178" s="269" t="s">
        <v>17560</v>
      </c>
      <c r="H178" s="37" t="s">
        <v>398</v>
      </c>
      <c r="I178" s="38">
        <v>0.9</v>
      </c>
      <c r="J178" s="299" t="s">
        <v>17556</v>
      </c>
      <c r="K178" s="45" t="s">
        <v>398</v>
      </c>
      <c r="L178" s="46">
        <v>1</v>
      </c>
      <c r="M178" s="512"/>
      <c r="N178" s="57"/>
      <c r="O178" s="43"/>
      <c r="P178" s="37"/>
      <c r="Q178" s="38"/>
      <c r="R178" s="79"/>
      <c r="S178" s="35"/>
      <c r="V178" s="57"/>
      <c r="W178" s="208">
        <f>ROUND((ROUND((ROUND((_15_同援日増４．０*_15・基礎２),0)*_15・２人),0)*(1+_15・A深夜)),0)</f>
        <v>702</v>
      </c>
      <c r="X178" s="48"/>
    </row>
    <row r="179" spans="1:24" ht="16.5" customHeight="1" x14ac:dyDescent="0.15">
      <c r="A179" s="41">
        <v>15</v>
      </c>
      <c r="B179" s="41" t="s">
        <v>25462</v>
      </c>
      <c r="C179" s="74" t="s">
        <v>25463</v>
      </c>
      <c r="D179" s="72"/>
      <c r="F179" s="57"/>
      <c r="G179" s="53"/>
      <c r="H179" s="49"/>
      <c r="I179" s="50"/>
      <c r="J179" s="163"/>
      <c r="K179" s="45"/>
      <c r="L179" s="46"/>
      <c r="M179" s="512"/>
      <c r="N179" s="57"/>
      <c r="O179" s="114" t="s">
        <v>17562</v>
      </c>
      <c r="P179" s="49"/>
      <c r="Q179" s="50"/>
      <c r="R179" s="115"/>
      <c r="S179" s="35"/>
      <c r="V179" s="57"/>
      <c r="W179" s="208">
        <f>ROUND((ROUND((_15_同援日増４．０*(1+_15・A深夜)),0)*(1+_15・盲ろう)),0)</f>
        <v>975</v>
      </c>
      <c r="X179" s="48"/>
    </row>
    <row r="180" spans="1:24" ht="16.5" customHeight="1" x14ac:dyDescent="0.15">
      <c r="A180" s="41">
        <v>15</v>
      </c>
      <c r="B180" s="41" t="s">
        <v>25464</v>
      </c>
      <c r="C180" s="74" t="s">
        <v>25465</v>
      </c>
      <c r="D180" s="72"/>
      <c r="F180" s="57"/>
      <c r="G180" s="43"/>
      <c r="H180" s="37"/>
      <c r="I180" s="38"/>
      <c r="J180" s="299" t="s">
        <v>17556</v>
      </c>
      <c r="K180" s="45" t="s">
        <v>398</v>
      </c>
      <c r="L180" s="46">
        <v>1</v>
      </c>
      <c r="M180" s="512"/>
      <c r="N180" s="57"/>
      <c r="O180" s="92" t="s">
        <v>17564</v>
      </c>
      <c r="R180" s="57"/>
      <c r="S180" s="35"/>
      <c r="V180" s="57"/>
      <c r="W180" s="208">
        <f>ROUND((ROUND((ROUND((_15_同援日増４．０*_15・２人),0)*(1+_15・A深夜)),0)*(1+_15・盲ろう)),0)</f>
        <v>975</v>
      </c>
      <c r="X180" s="48"/>
    </row>
    <row r="181" spans="1:24" ht="16.5" customHeight="1" x14ac:dyDescent="0.15">
      <c r="A181" s="41">
        <v>15</v>
      </c>
      <c r="B181" s="41" t="s">
        <v>25466</v>
      </c>
      <c r="C181" s="74" t="s">
        <v>25467</v>
      </c>
      <c r="D181" s="72"/>
      <c r="F181" s="57"/>
      <c r="G181" s="114" t="s">
        <v>17558</v>
      </c>
      <c r="H181" s="49"/>
      <c r="I181" s="50"/>
      <c r="J181" s="163"/>
      <c r="K181" s="45"/>
      <c r="L181" s="46"/>
      <c r="M181" s="512"/>
      <c r="N181" s="57"/>
      <c r="O181" s="35"/>
      <c r="P181" s="12" t="s">
        <v>398</v>
      </c>
      <c r="Q181" s="13">
        <v>0.25</v>
      </c>
      <c r="R181" s="57" t="s">
        <v>3575</v>
      </c>
      <c r="S181" s="35"/>
      <c r="V181" s="57"/>
      <c r="W181" s="208">
        <f>ROUND((ROUND((ROUND((_15_同援日増４．０*_15・基礎２),0)*(1+_15・A深夜)),0)*(1+_15・盲ろう)),0)</f>
        <v>878</v>
      </c>
      <c r="X181" s="48"/>
    </row>
    <row r="182" spans="1:24" ht="16.5" customHeight="1" x14ac:dyDescent="0.15">
      <c r="A182" s="41">
        <v>15</v>
      </c>
      <c r="B182" s="41" t="s">
        <v>25468</v>
      </c>
      <c r="C182" s="74" t="s">
        <v>25469</v>
      </c>
      <c r="D182" s="72"/>
      <c r="F182" s="57"/>
      <c r="G182" s="269" t="s">
        <v>17560</v>
      </c>
      <c r="H182" s="37" t="s">
        <v>398</v>
      </c>
      <c r="I182" s="38">
        <v>0.9</v>
      </c>
      <c r="J182" s="299" t="s">
        <v>17556</v>
      </c>
      <c r="K182" s="45" t="s">
        <v>398</v>
      </c>
      <c r="L182" s="46">
        <v>1</v>
      </c>
      <c r="M182" s="512"/>
      <c r="N182" s="57"/>
      <c r="O182" s="43"/>
      <c r="P182" s="37"/>
      <c r="Q182" s="38"/>
      <c r="R182" s="79"/>
      <c r="S182" s="43"/>
      <c r="T182" s="37"/>
      <c r="U182" s="38"/>
      <c r="V182" s="79"/>
      <c r="W182" s="208">
        <f>ROUND((ROUND((ROUND((ROUND((_15_同援日増４．０*_15・基礎２),0)*_15・２人),0)*(1+_15・A深夜)),0)*(1+_15・盲ろう)),0)</f>
        <v>878</v>
      </c>
      <c r="X182" s="48"/>
    </row>
    <row r="183" spans="1:24" ht="16.5" customHeight="1" x14ac:dyDescent="0.15">
      <c r="A183" s="41">
        <v>15</v>
      </c>
      <c r="B183" s="41" t="s">
        <v>25470</v>
      </c>
      <c r="C183" s="74" t="s">
        <v>25471</v>
      </c>
      <c r="D183" s="72"/>
      <c r="F183" s="57"/>
      <c r="G183" s="53"/>
      <c r="H183" s="49"/>
      <c r="I183" s="50"/>
      <c r="J183" s="163"/>
      <c r="K183" s="45"/>
      <c r="L183" s="46"/>
      <c r="M183" s="512"/>
      <c r="N183" s="57"/>
      <c r="O183" s="53"/>
      <c r="P183" s="49"/>
      <c r="Q183" s="50"/>
      <c r="R183" s="115"/>
      <c r="S183" s="53"/>
      <c r="T183" s="49"/>
      <c r="U183" s="50"/>
      <c r="V183" s="115"/>
      <c r="W183" s="208">
        <f>ROUND((ROUND((_15_同援日増４．０*(1+_15・A深夜)),0)*(1+_15・区３)),0)</f>
        <v>936</v>
      </c>
      <c r="X183" s="48"/>
    </row>
    <row r="184" spans="1:24" ht="16.5" customHeight="1" x14ac:dyDescent="0.15">
      <c r="A184" s="41">
        <v>15</v>
      </c>
      <c r="B184" s="41" t="s">
        <v>25472</v>
      </c>
      <c r="C184" s="74" t="s">
        <v>25473</v>
      </c>
      <c r="D184" s="72"/>
      <c r="F184" s="57"/>
      <c r="G184" s="43"/>
      <c r="H184" s="37"/>
      <c r="I184" s="38"/>
      <c r="J184" s="299" t="s">
        <v>17556</v>
      </c>
      <c r="K184" s="45" t="s">
        <v>398</v>
      </c>
      <c r="L184" s="46">
        <v>1</v>
      </c>
      <c r="M184" s="512"/>
      <c r="N184" s="57"/>
      <c r="O184" s="35"/>
      <c r="R184" s="57"/>
      <c r="S184" s="35"/>
      <c r="V184" s="57"/>
      <c r="W184" s="208">
        <f>ROUND((ROUND((ROUND((_15_同援日増４．０*_15・２人),0)*(1+_15・A深夜)),0)*(1+_15・区３)),0)</f>
        <v>936</v>
      </c>
      <c r="X184" s="48"/>
    </row>
    <row r="185" spans="1:24" ht="16.5" customHeight="1" x14ac:dyDescent="0.15">
      <c r="A185" s="41">
        <v>15</v>
      </c>
      <c r="B185" s="41" t="s">
        <v>2375</v>
      </c>
      <c r="C185" s="74" t="s">
        <v>25474</v>
      </c>
      <c r="D185" s="72"/>
      <c r="F185" s="57"/>
      <c r="G185" s="114" t="s">
        <v>17558</v>
      </c>
      <c r="H185" s="49"/>
      <c r="I185" s="50"/>
      <c r="J185" s="163"/>
      <c r="K185" s="45"/>
      <c r="L185" s="46"/>
      <c r="M185" s="512"/>
      <c r="N185" s="57"/>
      <c r="O185" s="35"/>
      <c r="R185" s="57"/>
      <c r="S185" s="72" t="s">
        <v>17570</v>
      </c>
      <c r="V185" s="57"/>
      <c r="W185" s="208">
        <f>ROUND((ROUND((ROUND((_15_同援日増４．０*_15・基礎２),0)*(1+_15・A深夜)),0)*(1+_15・区３)),0)</f>
        <v>842</v>
      </c>
      <c r="X185" s="48"/>
    </row>
    <row r="186" spans="1:24" ht="16.5" customHeight="1" x14ac:dyDescent="0.15">
      <c r="A186" s="41">
        <v>15</v>
      </c>
      <c r="B186" s="41" t="s">
        <v>2377</v>
      </c>
      <c r="C186" s="74" t="s">
        <v>25475</v>
      </c>
      <c r="D186" s="72"/>
      <c r="F186" s="57"/>
      <c r="G186" s="269" t="s">
        <v>17560</v>
      </c>
      <c r="H186" s="37" t="s">
        <v>398</v>
      </c>
      <c r="I186" s="38">
        <v>0.9</v>
      </c>
      <c r="J186" s="299" t="s">
        <v>17556</v>
      </c>
      <c r="K186" s="45" t="s">
        <v>398</v>
      </c>
      <c r="L186" s="46">
        <v>1</v>
      </c>
      <c r="M186" s="512"/>
      <c r="N186" s="57"/>
      <c r="O186" s="43"/>
      <c r="P186" s="37"/>
      <c r="Q186" s="38"/>
      <c r="R186" s="79"/>
      <c r="S186" s="72" t="s">
        <v>17572</v>
      </c>
      <c r="V186" s="57"/>
      <c r="W186" s="208">
        <f>ROUND((ROUND((ROUND((ROUND((_15_同援日増４．０*_15・基礎２),0)*_15・２人),0)*(1+_15・A深夜)),0)*(1+_15・区３)),0)</f>
        <v>842</v>
      </c>
      <c r="X186" s="48"/>
    </row>
    <row r="187" spans="1:24" ht="16.5" customHeight="1" x14ac:dyDescent="0.15">
      <c r="A187" s="41">
        <v>15</v>
      </c>
      <c r="B187" s="41" t="s">
        <v>2379</v>
      </c>
      <c r="C187" s="74" t="s">
        <v>25476</v>
      </c>
      <c r="D187" s="72"/>
      <c r="F187" s="57"/>
      <c r="G187" s="53"/>
      <c r="H187" s="49"/>
      <c r="I187" s="50"/>
      <c r="J187" s="163"/>
      <c r="K187" s="45"/>
      <c r="L187" s="46"/>
      <c r="M187" s="512"/>
      <c r="N187" s="57"/>
      <c r="O187" s="114" t="s">
        <v>17562</v>
      </c>
      <c r="P187" s="49"/>
      <c r="Q187" s="50"/>
      <c r="R187" s="115"/>
      <c r="S187" s="35"/>
      <c r="T187" s="12" t="s">
        <v>398</v>
      </c>
      <c r="U187" s="13">
        <v>0.2</v>
      </c>
      <c r="V187" s="57" t="s">
        <v>3575</v>
      </c>
      <c r="W187" s="208">
        <f>ROUND((ROUND((ROUND((_15_同援日増４．０*(1+_15・A深夜)),0)*(1+_15・盲ろう)),0)*(1+_15・区３)),0)</f>
        <v>1170</v>
      </c>
      <c r="X187" s="48"/>
    </row>
    <row r="188" spans="1:24" ht="16.5" customHeight="1" x14ac:dyDescent="0.15">
      <c r="A188" s="41">
        <v>15</v>
      </c>
      <c r="B188" s="41" t="s">
        <v>2381</v>
      </c>
      <c r="C188" s="74" t="s">
        <v>25477</v>
      </c>
      <c r="D188" s="72"/>
      <c r="F188" s="57"/>
      <c r="G188" s="43"/>
      <c r="H188" s="37"/>
      <c r="I188" s="38"/>
      <c r="J188" s="299" t="s">
        <v>17556</v>
      </c>
      <c r="K188" s="45" t="s">
        <v>398</v>
      </c>
      <c r="L188" s="46">
        <v>1</v>
      </c>
      <c r="M188" s="512"/>
      <c r="N188" s="57"/>
      <c r="O188" s="92" t="s">
        <v>17564</v>
      </c>
      <c r="R188" s="57"/>
      <c r="S188" s="35"/>
      <c r="V188" s="57"/>
      <c r="W188" s="208">
        <f>ROUND((ROUND((ROUND((ROUND((_15_同援日増４．０*_15・２人),0)*(1+_15・A深夜)),0)*(1+_15・盲ろう)),0)*(1+_15・区３)),0)</f>
        <v>1170</v>
      </c>
      <c r="X188" s="48"/>
    </row>
    <row r="189" spans="1:24" ht="16.5" customHeight="1" x14ac:dyDescent="0.15">
      <c r="A189" s="41">
        <v>15</v>
      </c>
      <c r="B189" s="41" t="s">
        <v>25478</v>
      </c>
      <c r="C189" s="74" t="s">
        <v>25479</v>
      </c>
      <c r="D189" s="72"/>
      <c r="F189" s="57"/>
      <c r="G189" s="114" t="s">
        <v>17558</v>
      </c>
      <c r="H189" s="49"/>
      <c r="I189" s="50"/>
      <c r="J189" s="163"/>
      <c r="K189" s="45"/>
      <c r="L189" s="46"/>
      <c r="M189" s="512"/>
      <c r="N189" s="57"/>
      <c r="O189" s="35"/>
      <c r="P189" s="12" t="s">
        <v>398</v>
      </c>
      <c r="Q189" s="13">
        <v>0.25</v>
      </c>
      <c r="R189" s="57" t="s">
        <v>3575</v>
      </c>
      <c r="S189" s="35"/>
      <c r="V189" s="57"/>
      <c r="W189" s="208">
        <f>ROUND((ROUND((ROUND((ROUND((_15_同援日増４．０*_15・基礎２),0)*(1+_15・A深夜)),0)*(1+_15・盲ろう)),0)*(1+_15・区３)),0)</f>
        <v>1054</v>
      </c>
      <c r="X189" s="48"/>
    </row>
    <row r="190" spans="1:24" ht="16.5" customHeight="1" x14ac:dyDescent="0.15">
      <c r="A190" s="41">
        <v>15</v>
      </c>
      <c r="B190" s="41" t="s">
        <v>25480</v>
      </c>
      <c r="C190" s="74" t="s">
        <v>25481</v>
      </c>
      <c r="D190" s="72"/>
      <c r="F190" s="57"/>
      <c r="G190" s="269" t="s">
        <v>17560</v>
      </c>
      <c r="H190" s="37" t="s">
        <v>398</v>
      </c>
      <c r="I190" s="38">
        <v>0.9</v>
      </c>
      <c r="J190" s="299" t="s">
        <v>17556</v>
      </c>
      <c r="K190" s="45" t="s">
        <v>398</v>
      </c>
      <c r="L190" s="46">
        <v>1</v>
      </c>
      <c r="M190" s="512"/>
      <c r="N190" s="57"/>
      <c r="O190" s="43"/>
      <c r="P190" s="37"/>
      <c r="Q190" s="38"/>
      <c r="R190" s="79"/>
      <c r="S190" s="43"/>
      <c r="T190" s="37"/>
      <c r="U190" s="38"/>
      <c r="V190" s="79"/>
      <c r="W190" s="208">
        <f>ROUND((ROUND((ROUND((ROUND((ROUND((_15_同援日増４．０*_15・基礎２),0)*_15・２人),0)*(1+_15・A深夜)),0)*(1+_15・盲ろう)),0)*(1+_15・区３)),0)</f>
        <v>1054</v>
      </c>
      <c r="X190" s="48"/>
    </row>
    <row r="191" spans="1:24" ht="16.5" customHeight="1" x14ac:dyDescent="0.15">
      <c r="A191" s="41">
        <v>15</v>
      </c>
      <c r="B191" s="41" t="s">
        <v>25482</v>
      </c>
      <c r="C191" s="74" t="s">
        <v>25483</v>
      </c>
      <c r="D191" s="72"/>
      <c r="F191" s="57"/>
      <c r="G191" s="53"/>
      <c r="H191" s="49"/>
      <c r="I191" s="50"/>
      <c r="J191" s="163"/>
      <c r="K191" s="45"/>
      <c r="L191" s="46"/>
      <c r="M191" s="512"/>
      <c r="N191" s="57"/>
      <c r="O191" s="53"/>
      <c r="P191" s="49"/>
      <c r="Q191" s="50"/>
      <c r="R191" s="115"/>
      <c r="S191" s="53"/>
      <c r="T191" s="49"/>
      <c r="U191" s="50"/>
      <c r="V191" s="115"/>
      <c r="W191" s="208">
        <f>ROUND((ROUND((_15_同援日増４．０*(1+_15・A深夜)),0)*(1+_15・区４)),0)</f>
        <v>1092</v>
      </c>
      <c r="X191" s="48"/>
    </row>
    <row r="192" spans="1:24" ht="16.5" customHeight="1" x14ac:dyDescent="0.15">
      <c r="A192" s="41">
        <v>15</v>
      </c>
      <c r="B192" s="41" t="s">
        <v>25484</v>
      </c>
      <c r="C192" s="74" t="s">
        <v>25485</v>
      </c>
      <c r="D192" s="72"/>
      <c r="F192" s="57"/>
      <c r="G192" s="43"/>
      <c r="H192" s="37"/>
      <c r="I192" s="38"/>
      <c r="J192" s="299" t="s">
        <v>17556</v>
      </c>
      <c r="K192" s="45" t="s">
        <v>398</v>
      </c>
      <c r="L192" s="46">
        <v>1</v>
      </c>
      <c r="M192" s="512"/>
      <c r="N192" s="57"/>
      <c r="O192" s="35"/>
      <c r="R192" s="57"/>
      <c r="S192" s="35"/>
      <c r="V192" s="57"/>
      <c r="W192" s="208">
        <f>ROUND((ROUND((ROUND((_15_同援日増４．０*_15・２人),0)*(1+_15・A深夜)),0)*(1+_15・区４)),0)</f>
        <v>1092</v>
      </c>
      <c r="X192" s="48"/>
    </row>
    <row r="193" spans="1:24" ht="16.5" customHeight="1" x14ac:dyDescent="0.15">
      <c r="A193" s="41">
        <v>15</v>
      </c>
      <c r="B193" s="41" t="s">
        <v>25486</v>
      </c>
      <c r="C193" s="74" t="s">
        <v>25487</v>
      </c>
      <c r="D193" s="72"/>
      <c r="F193" s="57"/>
      <c r="G193" s="114" t="s">
        <v>17558</v>
      </c>
      <c r="H193" s="49"/>
      <c r="I193" s="50"/>
      <c r="J193" s="163"/>
      <c r="K193" s="45"/>
      <c r="L193" s="46"/>
      <c r="M193" s="512"/>
      <c r="N193" s="57"/>
      <c r="O193" s="35"/>
      <c r="R193" s="57"/>
      <c r="S193" s="72" t="s">
        <v>17580</v>
      </c>
      <c r="V193" s="57"/>
      <c r="W193" s="208">
        <f>ROUND((ROUND((ROUND((_15_同援日増４．０*_15・基礎２),0)*(1+_15・A深夜)),0)*(1+_15・区４)),0)</f>
        <v>983</v>
      </c>
      <c r="X193" s="48"/>
    </row>
    <row r="194" spans="1:24" ht="16.5" customHeight="1" x14ac:dyDescent="0.15">
      <c r="A194" s="41">
        <v>15</v>
      </c>
      <c r="B194" s="41" t="s">
        <v>25488</v>
      </c>
      <c r="C194" s="74" t="s">
        <v>25489</v>
      </c>
      <c r="D194" s="72"/>
      <c r="F194" s="57"/>
      <c r="G194" s="269" t="s">
        <v>17560</v>
      </c>
      <c r="H194" s="37" t="s">
        <v>398</v>
      </c>
      <c r="I194" s="38">
        <v>0.9</v>
      </c>
      <c r="J194" s="299" t="s">
        <v>17556</v>
      </c>
      <c r="K194" s="45" t="s">
        <v>398</v>
      </c>
      <c r="L194" s="46">
        <v>1</v>
      </c>
      <c r="M194" s="512"/>
      <c r="N194" s="57"/>
      <c r="O194" s="43"/>
      <c r="P194" s="37"/>
      <c r="Q194" s="38"/>
      <c r="R194" s="79"/>
      <c r="S194" s="72" t="s">
        <v>17572</v>
      </c>
      <c r="V194" s="57"/>
      <c r="W194" s="208">
        <f>ROUND((ROUND((ROUND((ROUND((_15_同援日増４．０*_15・基礎２),0)*_15・２人),0)*(1+_15・A深夜)),0)*(1+_15・区４)),0)</f>
        <v>983</v>
      </c>
      <c r="X194" s="48"/>
    </row>
    <row r="195" spans="1:24" ht="16.5" customHeight="1" x14ac:dyDescent="0.15">
      <c r="A195" s="41">
        <v>15</v>
      </c>
      <c r="B195" s="41" t="s">
        <v>25490</v>
      </c>
      <c r="C195" s="74" t="s">
        <v>25491</v>
      </c>
      <c r="D195" s="72"/>
      <c r="F195" s="57"/>
      <c r="G195" s="53"/>
      <c r="H195" s="49"/>
      <c r="I195" s="50"/>
      <c r="J195" s="163"/>
      <c r="K195" s="45"/>
      <c r="L195" s="46"/>
      <c r="M195" s="512"/>
      <c r="N195" s="57"/>
      <c r="O195" s="114" t="s">
        <v>17562</v>
      </c>
      <c r="P195" s="49"/>
      <c r="Q195" s="50"/>
      <c r="R195" s="115"/>
      <c r="S195" s="35"/>
      <c r="T195" s="12" t="s">
        <v>398</v>
      </c>
      <c r="U195" s="13">
        <v>0.4</v>
      </c>
      <c r="V195" s="57" t="s">
        <v>3575</v>
      </c>
      <c r="W195" s="208">
        <f>ROUND((ROUND((ROUND((_15_同援日増４．０*(1+_15・A深夜)),0)*(1+_15・盲ろう)),0)*(1+_15・区４)),0)</f>
        <v>1365</v>
      </c>
      <c r="X195" s="48"/>
    </row>
    <row r="196" spans="1:24" ht="16.5" customHeight="1" x14ac:dyDescent="0.15">
      <c r="A196" s="41">
        <v>15</v>
      </c>
      <c r="B196" s="41" t="s">
        <v>25492</v>
      </c>
      <c r="C196" s="74" t="s">
        <v>25493</v>
      </c>
      <c r="D196" s="72"/>
      <c r="F196" s="57"/>
      <c r="G196" s="43"/>
      <c r="H196" s="37"/>
      <c r="I196" s="38"/>
      <c r="J196" s="299" t="s">
        <v>17556</v>
      </c>
      <c r="K196" s="45" t="s">
        <v>398</v>
      </c>
      <c r="L196" s="46">
        <v>1</v>
      </c>
      <c r="M196" s="512"/>
      <c r="N196" s="57"/>
      <c r="O196" s="92" t="s">
        <v>17564</v>
      </c>
      <c r="R196" s="57"/>
      <c r="S196" s="35"/>
      <c r="V196" s="57"/>
      <c r="W196" s="208">
        <f>ROUND((ROUND((ROUND((ROUND((_15_同援日増４．０*_15・２人),0)*(1+_15・A深夜)),0)*(1+_15・盲ろう)),0)*(1+_15・区４)),0)</f>
        <v>1365</v>
      </c>
      <c r="X196" s="48"/>
    </row>
    <row r="197" spans="1:24" ht="16.5" customHeight="1" x14ac:dyDescent="0.15">
      <c r="A197" s="41">
        <v>15</v>
      </c>
      <c r="B197" s="41" t="s">
        <v>25494</v>
      </c>
      <c r="C197" s="74" t="s">
        <v>25495</v>
      </c>
      <c r="D197" s="72"/>
      <c r="F197" s="57"/>
      <c r="G197" s="114" t="s">
        <v>17558</v>
      </c>
      <c r="H197" s="49"/>
      <c r="I197" s="50"/>
      <c r="J197" s="163"/>
      <c r="K197" s="45"/>
      <c r="L197" s="46"/>
      <c r="M197" s="512"/>
      <c r="N197" s="57"/>
      <c r="O197" s="35"/>
      <c r="P197" s="12" t="s">
        <v>398</v>
      </c>
      <c r="Q197" s="13">
        <v>0.25</v>
      </c>
      <c r="R197" s="57" t="s">
        <v>3575</v>
      </c>
      <c r="S197" s="35"/>
      <c r="V197" s="57"/>
      <c r="W197" s="208">
        <f>ROUND((ROUND((ROUND((ROUND((_15_同援日増４．０*_15・基礎２),0)*(1+_15・A深夜)),0)*(1+_15・盲ろう)),0)*(1+_15・区４)),0)</f>
        <v>1229</v>
      </c>
      <c r="X197" s="48"/>
    </row>
    <row r="198" spans="1:24" ht="16.5" customHeight="1" x14ac:dyDescent="0.15">
      <c r="A198" s="41">
        <v>15</v>
      </c>
      <c r="B198" s="41" t="s">
        <v>25496</v>
      </c>
      <c r="C198" s="74" t="s">
        <v>25497</v>
      </c>
      <c r="D198" s="122"/>
      <c r="E198" s="37"/>
      <c r="F198" s="79"/>
      <c r="G198" s="269" t="s">
        <v>17560</v>
      </c>
      <c r="H198" s="37" t="s">
        <v>398</v>
      </c>
      <c r="I198" s="38">
        <v>0.9</v>
      </c>
      <c r="J198" s="299" t="s">
        <v>17556</v>
      </c>
      <c r="K198" s="45" t="s">
        <v>398</v>
      </c>
      <c r="L198" s="46">
        <v>1</v>
      </c>
      <c r="M198" s="514"/>
      <c r="N198" s="79"/>
      <c r="O198" s="43"/>
      <c r="P198" s="37"/>
      <c r="Q198" s="38"/>
      <c r="R198" s="79"/>
      <c r="S198" s="43"/>
      <c r="T198" s="37"/>
      <c r="U198" s="38"/>
      <c r="V198" s="79"/>
      <c r="W198" s="208">
        <f>ROUND((ROUND((ROUND((ROUND((ROUND((_15_同援日増４．０*_15・基礎２),0)*_15・２人),0)*(1+_15・A深夜)),0)*(1+_15・盲ろう)),0)*(1+_15・区４)),0)</f>
        <v>1229</v>
      </c>
      <c r="X198" s="63"/>
    </row>
    <row r="199" spans="1:24" ht="16.5" customHeight="1" x14ac:dyDescent="0.15">
      <c r="A199" s="41">
        <v>15</v>
      </c>
      <c r="B199" s="41" t="s">
        <v>25498</v>
      </c>
      <c r="C199" s="74" t="s">
        <v>25499</v>
      </c>
      <c r="D199" s="114" t="s">
        <v>25500</v>
      </c>
      <c r="E199" s="49"/>
      <c r="F199" s="115"/>
      <c r="G199" s="53"/>
      <c r="H199" s="49"/>
      <c r="I199" s="50"/>
      <c r="J199" s="163"/>
      <c r="K199" s="45"/>
      <c r="L199" s="46"/>
      <c r="M199" s="515"/>
      <c r="N199" s="115"/>
      <c r="O199" s="53"/>
      <c r="P199" s="49"/>
      <c r="Q199" s="50"/>
      <c r="R199" s="115"/>
      <c r="S199" s="53"/>
      <c r="T199" s="49"/>
      <c r="U199" s="50"/>
      <c r="V199" s="115"/>
      <c r="W199" s="208">
        <f>ROUND((_15_同援日増４．５*(1+_15・A深夜)),0)</f>
        <v>878</v>
      </c>
      <c r="X199" s="64"/>
    </row>
    <row r="200" spans="1:24" ht="16.5" customHeight="1" x14ac:dyDescent="0.15">
      <c r="A200" s="41">
        <v>15</v>
      </c>
      <c r="B200" s="41" t="s">
        <v>25501</v>
      </c>
      <c r="C200" s="74" t="s">
        <v>25502</v>
      </c>
      <c r="D200" s="72" t="s">
        <v>17778</v>
      </c>
      <c r="F200" s="57"/>
      <c r="G200" s="43"/>
      <c r="H200" s="37"/>
      <c r="I200" s="38"/>
      <c r="J200" s="299" t="s">
        <v>17556</v>
      </c>
      <c r="K200" s="45" t="s">
        <v>398</v>
      </c>
      <c r="L200" s="46">
        <v>1</v>
      </c>
      <c r="M200" s="512"/>
      <c r="N200" s="57"/>
      <c r="O200" s="35"/>
      <c r="R200" s="57"/>
      <c r="S200" s="35"/>
      <c r="V200" s="57"/>
      <c r="W200" s="208">
        <f>ROUND((ROUND((_15_同援日増４．５*_15・２人),0)*(1+_15・A深夜)),0)</f>
        <v>878</v>
      </c>
      <c r="X200" s="48"/>
    </row>
    <row r="201" spans="1:24" ht="16.5" customHeight="1" x14ac:dyDescent="0.15">
      <c r="A201" s="41">
        <v>15</v>
      </c>
      <c r="B201" s="41" t="s">
        <v>25503</v>
      </c>
      <c r="C201" s="74" t="s">
        <v>25504</v>
      </c>
      <c r="D201" s="72" t="s">
        <v>18463</v>
      </c>
      <c r="F201" s="57"/>
      <c r="G201" s="114" t="s">
        <v>17558</v>
      </c>
      <c r="H201" s="49"/>
      <c r="I201" s="50"/>
      <c r="J201" s="163"/>
      <c r="K201" s="45"/>
      <c r="L201" s="46"/>
      <c r="M201" s="512"/>
      <c r="N201" s="57"/>
      <c r="O201" s="35"/>
      <c r="R201" s="57"/>
      <c r="S201" s="35"/>
      <c r="V201" s="57"/>
      <c r="W201" s="208">
        <f>ROUND((ROUND((_15_同援日増４．５*_15・基礎２),0)*(1+_15・A深夜)),0)</f>
        <v>791</v>
      </c>
      <c r="X201" s="48"/>
    </row>
    <row r="202" spans="1:24" ht="16.5" customHeight="1" x14ac:dyDescent="0.15">
      <c r="A202" s="41">
        <v>15</v>
      </c>
      <c r="B202" s="41" t="s">
        <v>25505</v>
      </c>
      <c r="C202" s="74" t="s">
        <v>25506</v>
      </c>
      <c r="D202" s="72"/>
      <c r="E202" s="168">
        <f>_15_同援日増４．５</f>
        <v>585</v>
      </c>
      <c r="F202" s="57" t="s">
        <v>392</v>
      </c>
      <c r="G202" s="269" t="s">
        <v>17560</v>
      </c>
      <c r="H202" s="37" t="s">
        <v>398</v>
      </c>
      <c r="I202" s="38">
        <v>0.9</v>
      </c>
      <c r="J202" s="299" t="s">
        <v>17556</v>
      </c>
      <c r="K202" s="45" t="s">
        <v>398</v>
      </c>
      <c r="L202" s="46">
        <v>1</v>
      </c>
      <c r="M202" s="512"/>
      <c r="N202" s="57"/>
      <c r="O202" s="43"/>
      <c r="P202" s="37"/>
      <c r="Q202" s="38"/>
      <c r="R202" s="79"/>
      <c r="S202" s="35"/>
      <c r="V202" s="57"/>
      <c r="W202" s="208">
        <f>ROUND((ROUND((ROUND((_15_同援日増４．５*_15・基礎２),0)*_15・２人),0)*(1+_15・A深夜)),0)</f>
        <v>791</v>
      </c>
      <c r="X202" s="48"/>
    </row>
    <row r="203" spans="1:24" ht="16.5" customHeight="1" x14ac:dyDescent="0.15">
      <c r="A203" s="41">
        <v>15</v>
      </c>
      <c r="B203" s="41" t="s">
        <v>25507</v>
      </c>
      <c r="C203" s="74" t="s">
        <v>25508</v>
      </c>
      <c r="D203" s="72"/>
      <c r="F203" s="57"/>
      <c r="G203" s="53"/>
      <c r="H203" s="49"/>
      <c r="I203" s="50"/>
      <c r="J203" s="163"/>
      <c r="K203" s="45"/>
      <c r="L203" s="46"/>
      <c r="M203" s="512"/>
      <c r="N203" s="57"/>
      <c r="O203" s="114" t="s">
        <v>17562</v>
      </c>
      <c r="P203" s="49"/>
      <c r="Q203" s="50"/>
      <c r="R203" s="115"/>
      <c r="S203" s="35"/>
      <c r="V203" s="57"/>
      <c r="W203" s="208">
        <f>ROUND((ROUND((_15_同援日増４．５*(1+_15・A深夜)),0)*(1+_15・盲ろう)),0)</f>
        <v>1098</v>
      </c>
      <c r="X203" s="48"/>
    </row>
    <row r="204" spans="1:24" ht="16.5" customHeight="1" x14ac:dyDescent="0.15">
      <c r="A204" s="41">
        <v>15</v>
      </c>
      <c r="B204" s="41" t="s">
        <v>25509</v>
      </c>
      <c r="C204" s="74" t="s">
        <v>25510</v>
      </c>
      <c r="D204" s="72"/>
      <c r="F204" s="57"/>
      <c r="G204" s="43"/>
      <c r="H204" s="37"/>
      <c r="I204" s="38"/>
      <c r="J204" s="299" t="s">
        <v>17556</v>
      </c>
      <c r="K204" s="45" t="s">
        <v>398</v>
      </c>
      <c r="L204" s="46">
        <v>1</v>
      </c>
      <c r="M204" s="512"/>
      <c r="N204" s="57"/>
      <c r="O204" s="92" t="s">
        <v>17564</v>
      </c>
      <c r="R204" s="57"/>
      <c r="S204" s="35"/>
      <c r="V204" s="57"/>
      <c r="W204" s="208">
        <f>ROUND((ROUND((ROUND((_15_同援日増４．５*_15・２人),0)*(1+_15・A深夜)),0)*(1+_15・盲ろう)),0)</f>
        <v>1098</v>
      </c>
      <c r="X204" s="48"/>
    </row>
    <row r="205" spans="1:24" ht="16.5" customHeight="1" x14ac:dyDescent="0.15">
      <c r="A205" s="41">
        <v>15</v>
      </c>
      <c r="B205" s="41" t="s">
        <v>2387</v>
      </c>
      <c r="C205" s="74" t="s">
        <v>25511</v>
      </c>
      <c r="D205" s="72"/>
      <c r="F205" s="57"/>
      <c r="G205" s="114" t="s">
        <v>17558</v>
      </c>
      <c r="H205" s="49"/>
      <c r="I205" s="50"/>
      <c r="J205" s="163"/>
      <c r="K205" s="45"/>
      <c r="L205" s="46"/>
      <c r="M205" s="512"/>
      <c r="N205" s="57"/>
      <c r="O205" s="35"/>
      <c r="P205" s="12" t="s">
        <v>398</v>
      </c>
      <c r="Q205" s="13">
        <v>0.25</v>
      </c>
      <c r="R205" s="57" t="s">
        <v>3575</v>
      </c>
      <c r="S205" s="35"/>
      <c r="V205" s="57"/>
      <c r="W205" s="208">
        <f>ROUND((ROUND((ROUND((_15_同援日増４．５*_15・基礎２),0)*(1+_15・A深夜)),0)*(1+_15・盲ろう)),0)</f>
        <v>989</v>
      </c>
      <c r="X205" s="48"/>
    </row>
    <row r="206" spans="1:24" ht="16.5" customHeight="1" x14ac:dyDescent="0.15">
      <c r="A206" s="41">
        <v>15</v>
      </c>
      <c r="B206" s="41" t="s">
        <v>2389</v>
      </c>
      <c r="C206" s="74" t="s">
        <v>25512</v>
      </c>
      <c r="D206" s="72"/>
      <c r="F206" s="57"/>
      <c r="G206" s="269" t="s">
        <v>17560</v>
      </c>
      <c r="H206" s="37" t="s">
        <v>398</v>
      </c>
      <c r="I206" s="38">
        <v>0.9</v>
      </c>
      <c r="J206" s="299" t="s">
        <v>17556</v>
      </c>
      <c r="K206" s="45" t="s">
        <v>398</v>
      </c>
      <c r="L206" s="46">
        <v>1</v>
      </c>
      <c r="M206" s="512"/>
      <c r="N206" s="57"/>
      <c r="O206" s="43"/>
      <c r="P206" s="37"/>
      <c r="Q206" s="38"/>
      <c r="R206" s="79"/>
      <c r="S206" s="43"/>
      <c r="T206" s="37"/>
      <c r="U206" s="38"/>
      <c r="V206" s="79"/>
      <c r="W206" s="208">
        <f>ROUND((ROUND((ROUND((ROUND((_15_同援日増４．５*_15・基礎２),0)*_15・２人),0)*(1+_15・A深夜)),0)*(1+_15・盲ろう)),0)</f>
        <v>989</v>
      </c>
      <c r="X206" s="48"/>
    </row>
    <row r="207" spans="1:24" ht="16.5" customHeight="1" x14ac:dyDescent="0.15">
      <c r="A207" s="41">
        <v>15</v>
      </c>
      <c r="B207" s="41" t="s">
        <v>2391</v>
      </c>
      <c r="C207" s="74" t="s">
        <v>25513</v>
      </c>
      <c r="D207" s="72"/>
      <c r="F207" s="57"/>
      <c r="G207" s="53"/>
      <c r="H207" s="49"/>
      <c r="I207" s="50"/>
      <c r="J207" s="163"/>
      <c r="K207" s="45"/>
      <c r="L207" s="46"/>
      <c r="M207" s="512"/>
      <c r="N207" s="57"/>
      <c r="O207" s="53"/>
      <c r="P207" s="49"/>
      <c r="Q207" s="50"/>
      <c r="R207" s="115"/>
      <c r="S207" s="53"/>
      <c r="T207" s="49"/>
      <c r="U207" s="50"/>
      <c r="V207" s="115"/>
      <c r="W207" s="208">
        <f>ROUND((ROUND((_15_同援日増４．５*(1+_15・A深夜)),0)*(1+_15・区３)),0)</f>
        <v>1054</v>
      </c>
      <c r="X207" s="48"/>
    </row>
    <row r="208" spans="1:24" ht="16.5" customHeight="1" x14ac:dyDescent="0.15">
      <c r="A208" s="41">
        <v>15</v>
      </c>
      <c r="B208" s="41" t="s">
        <v>2393</v>
      </c>
      <c r="C208" s="74" t="s">
        <v>25514</v>
      </c>
      <c r="D208" s="72"/>
      <c r="F208" s="57"/>
      <c r="G208" s="43"/>
      <c r="H208" s="37"/>
      <c r="I208" s="38"/>
      <c r="J208" s="299" t="s">
        <v>17556</v>
      </c>
      <c r="K208" s="45" t="s">
        <v>398</v>
      </c>
      <c r="L208" s="46">
        <v>1</v>
      </c>
      <c r="M208" s="512"/>
      <c r="N208" s="57"/>
      <c r="O208" s="35"/>
      <c r="R208" s="57"/>
      <c r="S208" s="35"/>
      <c r="V208" s="57"/>
      <c r="W208" s="208">
        <f>ROUND((ROUND((ROUND((_15_同援日増４．５*_15・２人),0)*(1+_15・A深夜)),0)*(1+_15・区３)),0)</f>
        <v>1054</v>
      </c>
      <c r="X208" s="48"/>
    </row>
    <row r="209" spans="1:24" ht="16.5" customHeight="1" x14ac:dyDescent="0.15">
      <c r="A209" s="41">
        <v>15</v>
      </c>
      <c r="B209" s="41" t="s">
        <v>25515</v>
      </c>
      <c r="C209" s="74" t="s">
        <v>25516</v>
      </c>
      <c r="D209" s="72"/>
      <c r="F209" s="57"/>
      <c r="G209" s="114" t="s">
        <v>17558</v>
      </c>
      <c r="H209" s="49"/>
      <c r="I209" s="50"/>
      <c r="J209" s="163"/>
      <c r="K209" s="45"/>
      <c r="L209" s="46"/>
      <c r="M209" s="512"/>
      <c r="N209" s="57"/>
      <c r="O209" s="35"/>
      <c r="R209" s="57"/>
      <c r="S209" s="72" t="s">
        <v>17570</v>
      </c>
      <c r="V209" s="57"/>
      <c r="W209" s="208">
        <f>ROUND((ROUND((ROUND((_15_同援日増４．５*_15・基礎２),0)*(1+_15・A深夜)),0)*(1+_15・区３)),0)</f>
        <v>949</v>
      </c>
      <c r="X209" s="48"/>
    </row>
    <row r="210" spans="1:24" ht="16.5" customHeight="1" x14ac:dyDescent="0.15">
      <c r="A210" s="41">
        <v>15</v>
      </c>
      <c r="B210" s="41" t="s">
        <v>25517</v>
      </c>
      <c r="C210" s="74" t="s">
        <v>25518</v>
      </c>
      <c r="D210" s="72"/>
      <c r="F210" s="57"/>
      <c r="G210" s="269" t="s">
        <v>17560</v>
      </c>
      <c r="H210" s="37" t="s">
        <v>398</v>
      </c>
      <c r="I210" s="38">
        <v>0.9</v>
      </c>
      <c r="J210" s="299" t="s">
        <v>17556</v>
      </c>
      <c r="K210" s="45" t="s">
        <v>398</v>
      </c>
      <c r="L210" s="46">
        <v>1</v>
      </c>
      <c r="M210" s="512"/>
      <c r="N210" s="57"/>
      <c r="O210" s="43"/>
      <c r="P210" s="37"/>
      <c r="Q210" s="38"/>
      <c r="R210" s="79"/>
      <c r="S210" s="72" t="s">
        <v>17572</v>
      </c>
      <c r="V210" s="57"/>
      <c r="W210" s="208">
        <f>ROUND((ROUND((ROUND((ROUND((_15_同援日増４．５*_15・基礎２),0)*_15・２人),0)*(1+_15・A深夜)),0)*(1+_15・区３)),0)</f>
        <v>949</v>
      </c>
      <c r="X210" s="48"/>
    </row>
    <row r="211" spans="1:24" ht="16.5" customHeight="1" x14ac:dyDescent="0.15">
      <c r="A211" s="41">
        <v>15</v>
      </c>
      <c r="B211" s="41" t="s">
        <v>25519</v>
      </c>
      <c r="C211" s="74" t="s">
        <v>25520</v>
      </c>
      <c r="D211" s="72"/>
      <c r="F211" s="57"/>
      <c r="G211" s="53"/>
      <c r="H211" s="49"/>
      <c r="I211" s="50"/>
      <c r="J211" s="163"/>
      <c r="K211" s="45"/>
      <c r="L211" s="46"/>
      <c r="M211" s="512"/>
      <c r="N211" s="57"/>
      <c r="O211" s="114" t="s">
        <v>17562</v>
      </c>
      <c r="P211" s="49"/>
      <c r="Q211" s="50"/>
      <c r="R211" s="115"/>
      <c r="S211" s="35"/>
      <c r="T211" s="12" t="s">
        <v>398</v>
      </c>
      <c r="U211" s="13">
        <v>0.2</v>
      </c>
      <c r="V211" s="57" t="s">
        <v>3575</v>
      </c>
      <c r="W211" s="208">
        <f>ROUND((ROUND((ROUND((_15_同援日増４．５*(1+_15・A深夜)),0)*(1+_15・盲ろう)),0)*(1+_15・区３)),0)</f>
        <v>1318</v>
      </c>
      <c r="X211" s="48"/>
    </row>
    <row r="212" spans="1:24" ht="16.5" customHeight="1" x14ac:dyDescent="0.15">
      <c r="A212" s="41">
        <v>15</v>
      </c>
      <c r="B212" s="41" t="s">
        <v>25521</v>
      </c>
      <c r="C212" s="74" t="s">
        <v>25522</v>
      </c>
      <c r="D212" s="72"/>
      <c r="F212" s="57"/>
      <c r="G212" s="43"/>
      <c r="H212" s="37"/>
      <c r="I212" s="38"/>
      <c r="J212" s="299" t="s">
        <v>17556</v>
      </c>
      <c r="K212" s="45" t="s">
        <v>398</v>
      </c>
      <c r="L212" s="46">
        <v>1</v>
      </c>
      <c r="M212" s="512"/>
      <c r="N212" s="57"/>
      <c r="O212" s="92" t="s">
        <v>17564</v>
      </c>
      <c r="R212" s="57"/>
      <c r="S212" s="35"/>
      <c r="V212" s="57"/>
      <c r="W212" s="208">
        <f>ROUND((ROUND((ROUND((ROUND((_15_同援日増４．５*_15・２人),0)*(1+_15・A深夜)),0)*(1+_15・盲ろう)),0)*(1+_15・区３)),0)</f>
        <v>1318</v>
      </c>
      <c r="X212" s="48"/>
    </row>
    <row r="213" spans="1:24" ht="16.5" customHeight="1" x14ac:dyDescent="0.15">
      <c r="A213" s="41">
        <v>15</v>
      </c>
      <c r="B213" s="41" t="s">
        <v>25523</v>
      </c>
      <c r="C213" s="74" t="s">
        <v>25524</v>
      </c>
      <c r="D213" s="72"/>
      <c r="F213" s="57"/>
      <c r="G213" s="114" t="s">
        <v>17558</v>
      </c>
      <c r="H213" s="49"/>
      <c r="I213" s="50"/>
      <c r="J213" s="163"/>
      <c r="K213" s="45"/>
      <c r="L213" s="46"/>
      <c r="M213" s="512"/>
      <c r="N213" s="57"/>
      <c r="O213" s="35"/>
      <c r="P213" s="12" t="s">
        <v>398</v>
      </c>
      <c r="Q213" s="13">
        <v>0.25</v>
      </c>
      <c r="R213" s="57" t="s">
        <v>3575</v>
      </c>
      <c r="S213" s="35"/>
      <c r="V213" s="57"/>
      <c r="W213" s="208">
        <f>ROUND((ROUND((ROUND((ROUND((_15_同援日増４．５*_15・基礎２),0)*(1+_15・A深夜)),0)*(1+_15・盲ろう)),0)*(1+_15・区３)),0)</f>
        <v>1187</v>
      </c>
      <c r="X213" s="48"/>
    </row>
    <row r="214" spans="1:24" ht="16.5" customHeight="1" x14ac:dyDescent="0.15">
      <c r="A214" s="41">
        <v>15</v>
      </c>
      <c r="B214" s="41" t="s">
        <v>25525</v>
      </c>
      <c r="C214" s="74" t="s">
        <v>25526</v>
      </c>
      <c r="D214" s="72"/>
      <c r="F214" s="57"/>
      <c r="G214" s="269" t="s">
        <v>17560</v>
      </c>
      <c r="H214" s="37" t="s">
        <v>398</v>
      </c>
      <c r="I214" s="38">
        <v>0.9</v>
      </c>
      <c r="J214" s="299" t="s">
        <v>17556</v>
      </c>
      <c r="K214" s="45" t="s">
        <v>398</v>
      </c>
      <c r="L214" s="46">
        <v>1</v>
      </c>
      <c r="M214" s="512"/>
      <c r="N214" s="57"/>
      <c r="O214" s="43"/>
      <c r="P214" s="37"/>
      <c r="Q214" s="38"/>
      <c r="R214" s="79"/>
      <c r="S214" s="43"/>
      <c r="T214" s="37"/>
      <c r="U214" s="38"/>
      <c r="V214" s="79"/>
      <c r="W214" s="208">
        <f>ROUND((ROUND((ROUND((ROUND((ROUND((_15_同援日増４．５*_15・基礎２),0)*_15・２人),0)*(1+_15・A深夜)),0)*(1+_15・盲ろう)),0)*(1+_15・区３)),0)</f>
        <v>1187</v>
      </c>
      <c r="X214" s="48"/>
    </row>
    <row r="215" spans="1:24" ht="16.5" customHeight="1" x14ac:dyDescent="0.15">
      <c r="A215" s="41">
        <v>15</v>
      </c>
      <c r="B215" s="41" t="s">
        <v>25527</v>
      </c>
      <c r="C215" s="74" t="s">
        <v>25528</v>
      </c>
      <c r="D215" s="72"/>
      <c r="F215" s="57"/>
      <c r="G215" s="53"/>
      <c r="H215" s="49"/>
      <c r="I215" s="50"/>
      <c r="J215" s="163"/>
      <c r="K215" s="45"/>
      <c r="L215" s="46"/>
      <c r="M215" s="512"/>
      <c r="N215" s="57"/>
      <c r="O215" s="53"/>
      <c r="P215" s="49"/>
      <c r="Q215" s="50"/>
      <c r="R215" s="115"/>
      <c r="S215" s="53"/>
      <c r="T215" s="49"/>
      <c r="U215" s="50"/>
      <c r="V215" s="115"/>
      <c r="W215" s="208">
        <f>ROUND((ROUND((_15_同援日増４．５*(1+_15・A深夜)),0)*(1+_15・区４)),0)</f>
        <v>1229</v>
      </c>
      <c r="X215" s="48"/>
    </row>
    <row r="216" spans="1:24" ht="16.5" customHeight="1" x14ac:dyDescent="0.15">
      <c r="A216" s="41">
        <v>15</v>
      </c>
      <c r="B216" s="41" t="s">
        <v>25529</v>
      </c>
      <c r="C216" s="74" t="s">
        <v>25530</v>
      </c>
      <c r="D216" s="72"/>
      <c r="F216" s="57"/>
      <c r="G216" s="43"/>
      <c r="H216" s="37"/>
      <c r="I216" s="38"/>
      <c r="J216" s="299" t="s">
        <v>17556</v>
      </c>
      <c r="K216" s="45" t="s">
        <v>398</v>
      </c>
      <c r="L216" s="46">
        <v>1</v>
      </c>
      <c r="M216" s="512"/>
      <c r="N216" s="57"/>
      <c r="O216" s="35"/>
      <c r="R216" s="57"/>
      <c r="S216" s="35"/>
      <c r="V216" s="57"/>
      <c r="W216" s="208">
        <f>ROUND((ROUND((ROUND((_15_同援日増４．５*_15・２人),0)*(1+_15・A深夜)),0)*(1+_15・区４)),0)</f>
        <v>1229</v>
      </c>
      <c r="X216" s="48"/>
    </row>
    <row r="217" spans="1:24" ht="16.5" customHeight="1" x14ac:dyDescent="0.15">
      <c r="A217" s="41">
        <v>15</v>
      </c>
      <c r="B217" s="41" t="s">
        <v>25531</v>
      </c>
      <c r="C217" s="74" t="s">
        <v>25532</v>
      </c>
      <c r="D217" s="72"/>
      <c r="F217" s="57"/>
      <c r="G217" s="114" t="s">
        <v>17558</v>
      </c>
      <c r="H217" s="49"/>
      <c r="I217" s="50"/>
      <c r="J217" s="163"/>
      <c r="K217" s="45"/>
      <c r="L217" s="46"/>
      <c r="M217" s="512"/>
      <c r="N217" s="57"/>
      <c r="O217" s="35"/>
      <c r="R217" s="57"/>
      <c r="S217" s="72" t="s">
        <v>17580</v>
      </c>
      <c r="V217" s="57"/>
      <c r="W217" s="208">
        <f>ROUND((ROUND((ROUND((_15_同援日増４．５*_15・基礎２),0)*(1+_15・A深夜)),0)*(1+_15・区４)),0)</f>
        <v>1107</v>
      </c>
      <c r="X217" s="48"/>
    </row>
    <row r="218" spans="1:24" ht="16.5" customHeight="1" x14ac:dyDescent="0.15">
      <c r="A218" s="41">
        <v>15</v>
      </c>
      <c r="B218" s="41" t="s">
        <v>25533</v>
      </c>
      <c r="C218" s="74" t="s">
        <v>25534</v>
      </c>
      <c r="D218" s="72"/>
      <c r="F218" s="57"/>
      <c r="G218" s="269" t="s">
        <v>17560</v>
      </c>
      <c r="H218" s="37" t="s">
        <v>398</v>
      </c>
      <c r="I218" s="38">
        <v>0.9</v>
      </c>
      <c r="J218" s="299" t="s">
        <v>17556</v>
      </c>
      <c r="K218" s="45" t="s">
        <v>398</v>
      </c>
      <c r="L218" s="46">
        <v>1</v>
      </c>
      <c r="M218" s="512"/>
      <c r="N218" s="57"/>
      <c r="O218" s="43"/>
      <c r="P218" s="37"/>
      <c r="Q218" s="38"/>
      <c r="R218" s="79"/>
      <c r="S218" s="72" t="s">
        <v>17572</v>
      </c>
      <c r="V218" s="57"/>
      <c r="W218" s="208">
        <f>ROUND((ROUND((ROUND((ROUND((_15_同援日増４．５*_15・基礎２),0)*_15・２人),0)*(1+_15・A深夜)),0)*(1+_15・区４)),0)</f>
        <v>1107</v>
      </c>
      <c r="X218" s="48"/>
    </row>
    <row r="219" spans="1:24" ht="16.5" customHeight="1" x14ac:dyDescent="0.15">
      <c r="A219" s="41">
        <v>15</v>
      </c>
      <c r="B219" s="41" t="s">
        <v>25535</v>
      </c>
      <c r="C219" s="74" t="s">
        <v>25536</v>
      </c>
      <c r="D219" s="72"/>
      <c r="F219" s="57"/>
      <c r="G219" s="53"/>
      <c r="H219" s="49"/>
      <c r="I219" s="50"/>
      <c r="J219" s="163"/>
      <c r="K219" s="45"/>
      <c r="L219" s="46"/>
      <c r="M219" s="512"/>
      <c r="N219" s="57"/>
      <c r="O219" s="114" t="s">
        <v>17562</v>
      </c>
      <c r="P219" s="49"/>
      <c r="Q219" s="50"/>
      <c r="R219" s="115"/>
      <c r="S219" s="35"/>
      <c r="T219" s="12" t="s">
        <v>398</v>
      </c>
      <c r="U219" s="13">
        <v>0.4</v>
      </c>
      <c r="V219" s="57" t="s">
        <v>3575</v>
      </c>
      <c r="W219" s="208">
        <f>ROUND((ROUND((ROUND((_15_同援日増４．５*(1+_15・A深夜)),0)*(1+_15・盲ろう)),0)*(1+_15・区４)),0)</f>
        <v>1537</v>
      </c>
      <c r="X219" s="48"/>
    </row>
    <row r="220" spans="1:24" ht="16.5" customHeight="1" x14ac:dyDescent="0.15">
      <c r="A220" s="41">
        <v>15</v>
      </c>
      <c r="B220" s="41" t="s">
        <v>25537</v>
      </c>
      <c r="C220" s="74" t="s">
        <v>25538</v>
      </c>
      <c r="D220" s="72"/>
      <c r="F220" s="57"/>
      <c r="G220" s="43"/>
      <c r="H220" s="37"/>
      <c r="I220" s="38"/>
      <c r="J220" s="299" t="s">
        <v>17556</v>
      </c>
      <c r="K220" s="45" t="s">
        <v>398</v>
      </c>
      <c r="L220" s="46">
        <v>1</v>
      </c>
      <c r="M220" s="512"/>
      <c r="N220" s="57"/>
      <c r="O220" s="92" t="s">
        <v>17564</v>
      </c>
      <c r="R220" s="57"/>
      <c r="S220" s="35"/>
      <c r="V220" s="57"/>
      <c r="W220" s="208">
        <f>ROUND((ROUND((ROUND((ROUND((_15_同援日増４．５*_15・２人),0)*(1+_15・A深夜)),0)*(1+_15・盲ろう)),0)*(1+_15・区４)),0)</f>
        <v>1537</v>
      </c>
      <c r="X220" s="48"/>
    </row>
    <row r="221" spans="1:24" ht="16.5" customHeight="1" x14ac:dyDescent="0.15">
      <c r="A221" s="41">
        <v>15</v>
      </c>
      <c r="B221" s="41" t="s">
        <v>25539</v>
      </c>
      <c r="C221" s="74" t="s">
        <v>25540</v>
      </c>
      <c r="D221" s="72"/>
      <c r="F221" s="57"/>
      <c r="G221" s="114" t="s">
        <v>17558</v>
      </c>
      <c r="H221" s="49"/>
      <c r="I221" s="50"/>
      <c r="J221" s="163"/>
      <c r="K221" s="45"/>
      <c r="L221" s="46"/>
      <c r="M221" s="512"/>
      <c r="N221" s="57"/>
      <c r="O221" s="35"/>
      <c r="P221" s="12" t="s">
        <v>398</v>
      </c>
      <c r="Q221" s="13">
        <v>0.25</v>
      </c>
      <c r="R221" s="57" t="s">
        <v>3575</v>
      </c>
      <c r="S221" s="35"/>
      <c r="V221" s="57"/>
      <c r="W221" s="208">
        <f>ROUND((ROUND((ROUND((ROUND((_15_同援日増４．５*_15・基礎２),0)*(1+_15・A深夜)),0)*(1+_15・盲ろう)),0)*(1+_15・区４)),0)</f>
        <v>1385</v>
      </c>
      <c r="X221" s="48"/>
    </row>
    <row r="222" spans="1:24" ht="16.5" customHeight="1" x14ac:dyDescent="0.15">
      <c r="A222" s="41">
        <v>15</v>
      </c>
      <c r="B222" s="41" t="s">
        <v>25541</v>
      </c>
      <c r="C222" s="74" t="s">
        <v>25542</v>
      </c>
      <c r="D222" s="122"/>
      <c r="E222" s="37"/>
      <c r="F222" s="79"/>
      <c r="G222" s="269" t="s">
        <v>17560</v>
      </c>
      <c r="H222" s="37" t="s">
        <v>398</v>
      </c>
      <c r="I222" s="38">
        <v>0.9</v>
      </c>
      <c r="J222" s="299" t="s">
        <v>17556</v>
      </c>
      <c r="K222" s="45" t="s">
        <v>398</v>
      </c>
      <c r="L222" s="46">
        <v>1</v>
      </c>
      <c r="M222" s="512"/>
      <c r="N222" s="57"/>
      <c r="O222" s="43"/>
      <c r="P222" s="37"/>
      <c r="Q222" s="38"/>
      <c r="R222" s="79"/>
      <c r="S222" s="43"/>
      <c r="T222" s="37"/>
      <c r="U222" s="38"/>
      <c r="V222" s="79"/>
      <c r="W222" s="208">
        <f>ROUND((ROUND((ROUND((ROUND((ROUND((_15_同援日増４．５*_15・基礎２),0)*_15・２人),0)*(1+_15・A深夜)),0)*(1+_15・盲ろう)),0)*(1+_15・区４)),0)</f>
        <v>1385</v>
      </c>
      <c r="X222" s="48"/>
    </row>
    <row r="223" spans="1:24" ht="16.5" customHeight="1" x14ac:dyDescent="0.15">
      <c r="A223" s="41">
        <v>15</v>
      </c>
      <c r="B223" s="41" t="s">
        <v>25543</v>
      </c>
      <c r="C223" s="74" t="s">
        <v>25544</v>
      </c>
      <c r="D223" s="114" t="s">
        <v>25545</v>
      </c>
      <c r="E223" s="49"/>
      <c r="F223" s="115"/>
      <c r="G223" s="53"/>
      <c r="H223" s="49"/>
      <c r="I223" s="50"/>
      <c r="J223" s="163"/>
      <c r="K223" s="45"/>
      <c r="L223" s="46"/>
      <c r="M223" s="512"/>
      <c r="N223" s="57"/>
      <c r="O223" s="53"/>
      <c r="P223" s="49"/>
      <c r="Q223" s="50"/>
      <c r="R223" s="115"/>
      <c r="S223" s="53"/>
      <c r="T223" s="49"/>
      <c r="U223" s="50"/>
      <c r="V223" s="115"/>
      <c r="W223" s="208">
        <f>ROUND((_15_同援日増５．０*(1+_15・A深夜)),0)</f>
        <v>975</v>
      </c>
      <c r="X223" s="48"/>
    </row>
    <row r="224" spans="1:24" ht="16.5" customHeight="1" x14ac:dyDescent="0.15">
      <c r="A224" s="41">
        <v>15</v>
      </c>
      <c r="B224" s="41" t="s">
        <v>25546</v>
      </c>
      <c r="C224" s="74" t="s">
        <v>25547</v>
      </c>
      <c r="D224" s="72" t="s">
        <v>17805</v>
      </c>
      <c r="F224" s="57"/>
      <c r="G224" s="43"/>
      <c r="H224" s="37"/>
      <c r="I224" s="38"/>
      <c r="J224" s="299" t="s">
        <v>17556</v>
      </c>
      <c r="K224" s="45" t="s">
        <v>398</v>
      </c>
      <c r="L224" s="46">
        <v>1</v>
      </c>
      <c r="M224" s="512"/>
      <c r="N224" s="57"/>
      <c r="O224" s="35"/>
      <c r="R224" s="57"/>
      <c r="S224" s="35"/>
      <c r="V224" s="57"/>
      <c r="W224" s="208">
        <f>ROUND((ROUND((_15_同援日増５．０*_15・２人),0)*(1+_15・A深夜)),0)</f>
        <v>975</v>
      </c>
      <c r="X224" s="48"/>
    </row>
    <row r="225" spans="1:24" ht="16.5" customHeight="1" x14ac:dyDescent="0.15">
      <c r="A225" s="41">
        <v>15</v>
      </c>
      <c r="B225" s="41" t="s">
        <v>2399</v>
      </c>
      <c r="C225" s="74" t="s">
        <v>25548</v>
      </c>
      <c r="D225" s="72" t="s">
        <v>18716</v>
      </c>
      <c r="F225" s="57"/>
      <c r="G225" s="114" t="s">
        <v>17558</v>
      </c>
      <c r="H225" s="49"/>
      <c r="I225" s="50"/>
      <c r="J225" s="163"/>
      <c r="K225" s="45"/>
      <c r="L225" s="46"/>
      <c r="M225" s="512"/>
      <c r="N225" s="57"/>
      <c r="O225" s="35"/>
      <c r="R225" s="57"/>
      <c r="S225" s="35"/>
      <c r="V225" s="57"/>
      <c r="W225" s="208">
        <f>ROUND((ROUND((_15_同援日増５．０*_15・基礎２),0)*(1+_15・A深夜)),0)</f>
        <v>878</v>
      </c>
      <c r="X225" s="48"/>
    </row>
    <row r="226" spans="1:24" ht="16.5" customHeight="1" x14ac:dyDescent="0.15">
      <c r="A226" s="41">
        <v>15</v>
      </c>
      <c r="B226" s="41" t="s">
        <v>2401</v>
      </c>
      <c r="C226" s="74" t="s">
        <v>25549</v>
      </c>
      <c r="D226" s="72"/>
      <c r="E226" s="168">
        <f>_15_同援日増５．０</f>
        <v>650</v>
      </c>
      <c r="F226" s="57" t="s">
        <v>392</v>
      </c>
      <c r="G226" s="269" t="s">
        <v>17560</v>
      </c>
      <c r="H226" s="37" t="s">
        <v>398</v>
      </c>
      <c r="I226" s="38">
        <v>0.9</v>
      </c>
      <c r="J226" s="299" t="s">
        <v>17556</v>
      </c>
      <c r="K226" s="45" t="s">
        <v>398</v>
      </c>
      <c r="L226" s="46">
        <v>1</v>
      </c>
      <c r="M226" s="512"/>
      <c r="N226" s="57"/>
      <c r="O226" s="43"/>
      <c r="P226" s="37"/>
      <c r="Q226" s="38"/>
      <c r="R226" s="79"/>
      <c r="S226" s="35"/>
      <c r="V226" s="57"/>
      <c r="W226" s="208">
        <f>ROUND((ROUND((ROUND((_15_同援日増５．０*_15・基礎２),0)*_15・２人),0)*(1+_15・A深夜)),0)</f>
        <v>878</v>
      </c>
      <c r="X226" s="48"/>
    </row>
    <row r="227" spans="1:24" ht="16.5" customHeight="1" x14ac:dyDescent="0.15">
      <c r="A227" s="41">
        <v>15</v>
      </c>
      <c r="B227" s="41" t="s">
        <v>2403</v>
      </c>
      <c r="C227" s="74" t="s">
        <v>25550</v>
      </c>
      <c r="D227" s="72"/>
      <c r="F227" s="57"/>
      <c r="G227" s="53"/>
      <c r="H227" s="49"/>
      <c r="I227" s="50"/>
      <c r="J227" s="163"/>
      <c r="K227" s="45"/>
      <c r="L227" s="46"/>
      <c r="M227" s="512"/>
      <c r="N227" s="57"/>
      <c r="O227" s="114" t="s">
        <v>17562</v>
      </c>
      <c r="P227" s="49"/>
      <c r="Q227" s="50"/>
      <c r="R227" s="115"/>
      <c r="S227" s="35"/>
      <c r="V227" s="57"/>
      <c r="W227" s="208">
        <f>ROUND((ROUND((_15_同援日増５．０*(1+_15・A深夜)),0)*(1+_15・盲ろう)),0)</f>
        <v>1219</v>
      </c>
      <c r="X227" s="48"/>
    </row>
    <row r="228" spans="1:24" ht="16.5" customHeight="1" x14ac:dyDescent="0.15">
      <c r="A228" s="41">
        <v>15</v>
      </c>
      <c r="B228" s="41" t="s">
        <v>2405</v>
      </c>
      <c r="C228" s="74" t="s">
        <v>25551</v>
      </c>
      <c r="D228" s="72"/>
      <c r="F228" s="57"/>
      <c r="G228" s="43"/>
      <c r="H228" s="37"/>
      <c r="I228" s="38"/>
      <c r="J228" s="299" t="s">
        <v>17556</v>
      </c>
      <c r="K228" s="45" t="s">
        <v>398</v>
      </c>
      <c r="L228" s="46">
        <v>1</v>
      </c>
      <c r="M228" s="512"/>
      <c r="N228" s="57"/>
      <c r="O228" s="92" t="s">
        <v>17564</v>
      </c>
      <c r="R228" s="57"/>
      <c r="S228" s="35"/>
      <c r="V228" s="57"/>
      <c r="W228" s="208">
        <f>ROUND((ROUND((ROUND((_15_同援日増５．０*_15・２人),0)*(1+_15・A深夜)),0)*(1+_15・盲ろう)),0)</f>
        <v>1219</v>
      </c>
      <c r="X228" s="48"/>
    </row>
    <row r="229" spans="1:24" ht="16.5" customHeight="1" x14ac:dyDescent="0.15">
      <c r="A229" s="41">
        <v>15</v>
      </c>
      <c r="B229" s="41" t="s">
        <v>25552</v>
      </c>
      <c r="C229" s="74" t="s">
        <v>25553</v>
      </c>
      <c r="D229" s="72"/>
      <c r="F229" s="57"/>
      <c r="G229" s="114" t="s">
        <v>17558</v>
      </c>
      <c r="H229" s="49"/>
      <c r="I229" s="50"/>
      <c r="J229" s="163"/>
      <c r="K229" s="45"/>
      <c r="L229" s="46"/>
      <c r="M229" s="512"/>
      <c r="N229" s="57"/>
      <c r="O229" s="35"/>
      <c r="P229" s="12" t="s">
        <v>398</v>
      </c>
      <c r="Q229" s="13">
        <v>0.25</v>
      </c>
      <c r="R229" s="57" t="s">
        <v>3575</v>
      </c>
      <c r="S229" s="35"/>
      <c r="V229" s="57"/>
      <c r="W229" s="208">
        <f>ROUND((ROUND((ROUND((_15_同援日増５．０*_15・基礎２),0)*(1+_15・A深夜)),0)*(1+_15・盲ろう)),0)</f>
        <v>1098</v>
      </c>
      <c r="X229" s="48"/>
    </row>
    <row r="230" spans="1:24" ht="16.5" customHeight="1" x14ac:dyDescent="0.15">
      <c r="A230" s="41">
        <v>15</v>
      </c>
      <c r="B230" s="41" t="s">
        <v>25554</v>
      </c>
      <c r="C230" s="74" t="s">
        <v>25555</v>
      </c>
      <c r="D230" s="72"/>
      <c r="F230" s="57"/>
      <c r="G230" s="269" t="s">
        <v>17560</v>
      </c>
      <c r="H230" s="37" t="s">
        <v>398</v>
      </c>
      <c r="I230" s="38">
        <v>0.9</v>
      </c>
      <c r="J230" s="299" t="s">
        <v>17556</v>
      </c>
      <c r="K230" s="45" t="s">
        <v>398</v>
      </c>
      <c r="L230" s="46">
        <v>1</v>
      </c>
      <c r="M230" s="512"/>
      <c r="N230" s="57"/>
      <c r="O230" s="43"/>
      <c r="P230" s="37"/>
      <c r="Q230" s="38"/>
      <c r="R230" s="79"/>
      <c r="S230" s="43"/>
      <c r="T230" s="37"/>
      <c r="U230" s="38"/>
      <c r="V230" s="79"/>
      <c r="W230" s="208">
        <f>ROUND((ROUND((ROUND((ROUND((_15_同援日増５．０*_15・基礎２),0)*_15・２人),0)*(1+_15・A深夜)),0)*(1+_15・盲ろう)),0)</f>
        <v>1098</v>
      </c>
      <c r="X230" s="48"/>
    </row>
    <row r="231" spans="1:24" ht="16.5" customHeight="1" x14ac:dyDescent="0.15">
      <c r="A231" s="41">
        <v>15</v>
      </c>
      <c r="B231" s="41" t="s">
        <v>25556</v>
      </c>
      <c r="C231" s="74" t="s">
        <v>25557</v>
      </c>
      <c r="D231" s="72"/>
      <c r="F231" s="57"/>
      <c r="G231" s="53"/>
      <c r="H231" s="49"/>
      <c r="I231" s="50"/>
      <c r="J231" s="163"/>
      <c r="K231" s="45"/>
      <c r="L231" s="46"/>
      <c r="M231" s="512"/>
      <c r="N231" s="57"/>
      <c r="O231" s="53"/>
      <c r="P231" s="49"/>
      <c r="Q231" s="50"/>
      <c r="R231" s="115"/>
      <c r="S231" s="53"/>
      <c r="T231" s="49"/>
      <c r="U231" s="50"/>
      <c r="V231" s="115"/>
      <c r="W231" s="208">
        <f>ROUND((ROUND((_15_同援日増５．０*(1+_15・A深夜)),0)*(1+_15・区３)),0)</f>
        <v>1170</v>
      </c>
      <c r="X231" s="48"/>
    </row>
    <row r="232" spans="1:24" ht="16.5" customHeight="1" x14ac:dyDescent="0.15">
      <c r="A232" s="41">
        <v>15</v>
      </c>
      <c r="B232" s="41" t="s">
        <v>25558</v>
      </c>
      <c r="C232" s="74" t="s">
        <v>25559</v>
      </c>
      <c r="D232" s="72"/>
      <c r="F232" s="57"/>
      <c r="G232" s="43"/>
      <c r="H232" s="37"/>
      <c r="I232" s="38"/>
      <c r="J232" s="299" t="s">
        <v>17556</v>
      </c>
      <c r="K232" s="45" t="s">
        <v>398</v>
      </c>
      <c r="L232" s="46">
        <v>1</v>
      </c>
      <c r="M232" s="512"/>
      <c r="N232" s="57"/>
      <c r="O232" s="35"/>
      <c r="R232" s="57"/>
      <c r="S232" s="35"/>
      <c r="V232" s="57"/>
      <c r="W232" s="208">
        <f>ROUND((ROUND((ROUND((_15_同援日増５．０*_15・２人),0)*(1+_15・A深夜)),0)*(1+_15・区３)),0)</f>
        <v>1170</v>
      </c>
      <c r="X232" s="48"/>
    </row>
    <row r="233" spans="1:24" ht="16.5" customHeight="1" x14ac:dyDescent="0.15">
      <c r="A233" s="41">
        <v>15</v>
      </c>
      <c r="B233" s="41" t="s">
        <v>25560</v>
      </c>
      <c r="C233" s="74" t="s">
        <v>25561</v>
      </c>
      <c r="D233" s="72"/>
      <c r="F233" s="57"/>
      <c r="G233" s="114" t="s">
        <v>17558</v>
      </c>
      <c r="H233" s="49"/>
      <c r="I233" s="50"/>
      <c r="J233" s="163"/>
      <c r="K233" s="45"/>
      <c r="L233" s="46"/>
      <c r="M233" s="512"/>
      <c r="N233" s="57"/>
      <c r="O233" s="35"/>
      <c r="R233" s="57"/>
      <c r="S233" s="72" t="s">
        <v>17570</v>
      </c>
      <c r="V233" s="57"/>
      <c r="W233" s="208">
        <f>ROUND((ROUND((ROUND((_15_同援日増５．０*_15・基礎２),0)*(1+_15・A深夜)),0)*(1+_15・区３)),0)</f>
        <v>1054</v>
      </c>
      <c r="X233" s="48"/>
    </row>
    <row r="234" spans="1:24" ht="16.5" customHeight="1" x14ac:dyDescent="0.15">
      <c r="A234" s="41">
        <v>15</v>
      </c>
      <c r="B234" s="41" t="s">
        <v>25562</v>
      </c>
      <c r="C234" s="74" t="s">
        <v>25563</v>
      </c>
      <c r="D234" s="72"/>
      <c r="F234" s="57"/>
      <c r="G234" s="269" t="s">
        <v>17560</v>
      </c>
      <c r="H234" s="37" t="s">
        <v>398</v>
      </c>
      <c r="I234" s="38">
        <v>0.9</v>
      </c>
      <c r="J234" s="299" t="s">
        <v>17556</v>
      </c>
      <c r="K234" s="45" t="s">
        <v>398</v>
      </c>
      <c r="L234" s="46">
        <v>1</v>
      </c>
      <c r="M234" s="512"/>
      <c r="N234" s="57"/>
      <c r="O234" s="43"/>
      <c r="P234" s="37"/>
      <c r="Q234" s="38"/>
      <c r="R234" s="79"/>
      <c r="S234" s="72" t="s">
        <v>17572</v>
      </c>
      <c r="V234" s="57"/>
      <c r="W234" s="208">
        <f>ROUND((ROUND((ROUND((ROUND((_15_同援日増５．０*_15・基礎２),0)*_15・２人),0)*(1+_15・A深夜)),0)*(1+_15・区３)),0)</f>
        <v>1054</v>
      </c>
      <c r="X234" s="48"/>
    </row>
    <row r="235" spans="1:24" ht="16.5" customHeight="1" x14ac:dyDescent="0.15">
      <c r="A235" s="41">
        <v>15</v>
      </c>
      <c r="B235" s="41" t="s">
        <v>25564</v>
      </c>
      <c r="C235" s="74" t="s">
        <v>25565</v>
      </c>
      <c r="D235" s="72"/>
      <c r="F235" s="57"/>
      <c r="G235" s="53"/>
      <c r="H235" s="49"/>
      <c r="I235" s="50"/>
      <c r="J235" s="163"/>
      <c r="K235" s="45"/>
      <c r="L235" s="46"/>
      <c r="M235" s="512"/>
      <c r="N235" s="57"/>
      <c r="O235" s="114" t="s">
        <v>17562</v>
      </c>
      <c r="P235" s="49"/>
      <c r="Q235" s="50"/>
      <c r="R235" s="115"/>
      <c r="S235" s="35"/>
      <c r="T235" s="12" t="s">
        <v>398</v>
      </c>
      <c r="U235" s="13">
        <v>0.2</v>
      </c>
      <c r="V235" s="57" t="s">
        <v>3575</v>
      </c>
      <c r="W235" s="208">
        <f>ROUND((ROUND((ROUND((_15_同援日増５．０*(1+_15・A深夜)),0)*(1+_15・盲ろう)),0)*(1+_15・区３)),0)</f>
        <v>1463</v>
      </c>
      <c r="X235" s="48"/>
    </row>
    <row r="236" spans="1:24" ht="16.5" customHeight="1" x14ac:dyDescent="0.15">
      <c r="A236" s="41">
        <v>15</v>
      </c>
      <c r="B236" s="41" t="s">
        <v>25566</v>
      </c>
      <c r="C236" s="74" t="s">
        <v>25567</v>
      </c>
      <c r="D236" s="72"/>
      <c r="F236" s="57"/>
      <c r="G236" s="43"/>
      <c r="H236" s="37"/>
      <c r="I236" s="38"/>
      <c r="J236" s="299" t="s">
        <v>17556</v>
      </c>
      <c r="K236" s="45" t="s">
        <v>398</v>
      </c>
      <c r="L236" s="46">
        <v>1</v>
      </c>
      <c r="M236" s="512"/>
      <c r="N236" s="57"/>
      <c r="O236" s="92" t="s">
        <v>17564</v>
      </c>
      <c r="R236" s="57"/>
      <c r="S236" s="35"/>
      <c r="V236" s="57"/>
      <c r="W236" s="208">
        <f>ROUND((ROUND((ROUND((ROUND((_15_同援日増５．０*_15・２人),0)*(1+_15・A深夜)),0)*(1+_15・盲ろう)),0)*(1+_15・区３)),0)</f>
        <v>1463</v>
      </c>
      <c r="X236" s="48"/>
    </row>
    <row r="237" spans="1:24" ht="16.5" customHeight="1" x14ac:dyDescent="0.15">
      <c r="A237" s="41">
        <v>15</v>
      </c>
      <c r="B237" s="41" t="s">
        <v>25568</v>
      </c>
      <c r="C237" s="74" t="s">
        <v>25569</v>
      </c>
      <c r="D237" s="72"/>
      <c r="F237" s="57"/>
      <c r="G237" s="114" t="s">
        <v>17558</v>
      </c>
      <c r="H237" s="49"/>
      <c r="I237" s="50"/>
      <c r="J237" s="163"/>
      <c r="K237" s="45"/>
      <c r="L237" s="46"/>
      <c r="M237" s="512"/>
      <c r="N237" s="57"/>
      <c r="O237" s="35"/>
      <c r="P237" s="12" t="s">
        <v>398</v>
      </c>
      <c r="Q237" s="13">
        <v>0.25</v>
      </c>
      <c r="R237" s="57" t="s">
        <v>3575</v>
      </c>
      <c r="S237" s="35"/>
      <c r="V237" s="57"/>
      <c r="W237" s="208">
        <f>ROUND((ROUND((ROUND((ROUND((_15_同援日増５．０*_15・基礎２),0)*(1+_15・A深夜)),0)*(1+_15・盲ろう)),0)*(1+_15・区３)),0)</f>
        <v>1318</v>
      </c>
      <c r="X237" s="48"/>
    </row>
    <row r="238" spans="1:24" ht="16.5" customHeight="1" x14ac:dyDescent="0.15">
      <c r="A238" s="41">
        <v>15</v>
      </c>
      <c r="B238" s="41" t="s">
        <v>25570</v>
      </c>
      <c r="C238" s="74" t="s">
        <v>25571</v>
      </c>
      <c r="D238" s="72"/>
      <c r="F238" s="57"/>
      <c r="G238" s="269" t="s">
        <v>17560</v>
      </c>
      <c r="H238" s="37" t="s">
        <v>398</v>
      </c>
      <c r="I238" s="38">
        <v>0.9</v>
      </c>
      <c r="J238" s="299" t="s">
        <v>17556</v>
      </c>
      <c r="K238" s="45" t="s">
        <v>398</v>
      </c>
      <c r="L238" s="46">
        <v>1</v>
      </c>
      <c r="M238" s="512"/>
      <c r="N238" s="57"/>
      <c r="O238" s="43"/>
      <c r="P238" s="37"/>
      <c r="Q238" s="38"/>
      <c r="R238" s="79"/>
      <c r="S238" s="43"/>
      <c r="T238" s="37"/>
      <c r="U238" s="38"/>
      <c r="V238" s="79"/>
      <c r="W238" s="208">
        <f>ROUND((ROUND((ROUND((ROUND((ROUND((_15_同援日増５．０*_15・基礎２),0)*_15・２人),0)*(1+_15・A深夜)),0)*(1+_15・盲ろう)),0)*(1+_15・区３)),0)</f>
        <v>1318</v>
      </c>
      <c r="X238" s="48"/>
    </row>
    <row r="239" spans="1:24" ht="16.5" customHeight="1" x14ac:dyDescent="0.15">
      <c r="A239" s="41">
        <v>15</v>
      </c>
      <c r="B239" s="41" t="s">
        <v>25572</v>
      </c>
      <c r="C239" s="74" t="s">
        <v>25573</v>
      </c>
      <c r="D239" s="72"/>
      <c r="F239" s="57"/>
      <c r="G239" s="53"/>
      <c r="H239" s="49"/>
      <c r="I239" s="50"/>
      <c r="J239" s="163"/>
      <c r="K239" s="45"/>
      <c r="L239" s="46"/>
      <c r="M239" s="512"/>
      <c r="N239" s="57"/>
      <c r="O239" s="53"/>
      <c r="P239" s="49"/>
      <c r="Q239" s="50"/>
      <c r="R239" s="115"/>
      <c r="S239" s="53"/>
      <c r="T239" s="49"/>
      <c r="U239" s="50"/>
      <c r="V239" s="115"/>
      <c r="W239" s="208">
        <f>ROUND((ROUND((_15_同援日増５．０*(1+_15・A深夜)),0)*(1+_15・区４)),0)</f>
        <v>1365</v>
      </c>
      <c r="X239" s="48"/>
    </row>
    <row r="240" spans="1:24" ht="16.5" customHeight="1" x14ac:dyDescent="0.15">
      <c r="A240" s="41">
        <v>15</v>
      </c>
      <c r="B240" s="41" t="s">
        <v>25574</v>
      </c>
      <c r="C240" s="74" t="s">
        <v>25575</v>
      </c>
      <c r="D240" s="72"/>
      <c r="F240" s="57"/>
      <c r="G240" s="43"/>
      <c r="H240" s="37"/>
      <c r="I240" s="38"/>
      <c r="J240" s="299" t="s">
        <v>17556</v>
      </c>
      <c r="K240" s="45" t="s">
        <v>398</v>
      </c>
      <c r="L240" s="46">
        <v>1</v>
      </c>
      <c r="M240" s="512"/>
      <c r="N240" s="57"/>
      <c r="O240" s="35"/>
      <c r="R240" s="57"/>
      <c r="S240" s="35"/>
      <c r="V240" s="57"/>
      <c r="W240" s="208">
        <f>ROUND((ROUND((ROUND((_15_同援日増５．０*_15・２人),0)*(1+_15・A深夜)),0)*(1+_15・区４)),0)</f>
        <v>1365</v>
      </c>
      <c r="X240" s="48"/>
    </row>
    <row r="241" spans="1:24" ht="16.5" customHeight="1" x14ac:dyDescent="0.15">
      <c r="A241" s="41">
        <v>15</v>
      </c>
      <c r="B241" s="41" t="s">
        <v>25576</v>
      </c>
      <c r="C241" s="74" t="s">
        <v>25577</v>
      </c>
      <c r="D241" s="72"/>
      <c r="F241" s="57"/>
      <c r="G241" s="114" t="s">
        <v>17558</v>
      </c>
      <c r="H241" s="49"/>
      <c r="I241" s="50"/>
      <c r="J241" s="163"/>
      <c r="K241" s="45"/>
      <c r="L241" s="46"/>
      <c r="M241" s="512"/>
      <c r="N241" s="57"/>
      <c r="O241" s="35"/>
      <c r="R241" s="57"/>
      <c r="S241" s="72" t="s">
        <v>17580</v>
      </c>
      <c r="V241" s="57"/>
      <c r="W241" s="208">
        <f>ROUND((ROUND((ROUND((_15_同援日増５．０*_15・基礎２),0)*(1+_15・A深夜)),0)*(1+_15・区４)),0)</f>
        <v>1229</v>
      </c>
      <c r="X241" s="48"/>
    </row>
    <row r="242" spans="1:24" ht="16.5" customHeight="1" x14ac:dyDescent="0.15">
      <c r="A242" s="41">
        <v>15</v>
      </c>
      <c r="B242" s="41" t="s">
        <v>25578</v>
      </c>
      <c r="C242" s="74" t="s">
        <v>25579</v>
      </c>
      <c r="D242" s="72"/>
      <c r="F242" s="57"/>
      <c r="G242" s="269" t="s">
        <v>17560</v>
      </c>
      <c r="H242" s="37" t="s">
        <v>398</v>
      </c>
      <c r="I242" s="38">
        <v>0.9</v>
      </c>
      <c r="J242" s="299" t="s">
        <v>17556</v>
      </c>
      <c r="K242" s="45" t="s">
        <v>398</v>
      </c>
      <c r="L242" s="46">
        <v>1</v>
      </c>
      <c r="M242" s="512"/>
      <c r="N242" s="57"/>
      <c r="O242" s="43"/>
      <c r="P242" s="37"/>
      <c r="Q242" s="38"/>
      <c r="R242" s="79"/>
      <c r="S242" s="72" t="s">
        <v>17572</v>
      </c>
      <c r="V242" s="57"/>
      <c r="W242" s="208">
        <f>ROUND((ROUND((ROUND((ROUND((_15_同援日増５．０*_15・基礎２),0)*_15・２人),0)*(1+_15・A深夜)),0)*(1+_15・区４)),0)</f>
        <v>1229</v>
      </c>
      <c r="X242" s="48"/>
    </row>
    <row r="243" spans="1:24" ht="16.5" customHeight="1" x14ac:dyDescent="0.15">
      <c r="A243" s="41">
        <v>15</v>
      </c>
      <c r="B243" s="41" t="s">
        <v>25580</v>
      </c>
      <c r="C243" s="74" t="s">
        <v>25581</v>
      </c>
      <c r="D243" s="72"/>
      <c r="F243" s="57"/>
      <c r="G243" s="53"/>
      <c r="H243" s="49"/>
      <c r="I243" s="50"/>
      <c r="J243" s="163"/>
      <c r="K243" s="45"/>
      <c r="L243" s="46"/>
      <c r="M243" s="512"/>
      <c r="N243" s="57"/>
      <c r="O243" s="114" t="s">
        <v>17562</v>
      </c>
      <c r="P243" s="49"/>
      <c r="Q243" s="50"/>
      <c r="R243" s="115"/>
      <c r="S243" s="35"/>
      <c r="T243" s="12" t="s">
        <v>398</v>
      </c>
      <c r="U243" s="13">
        <v>0.4</v>
      </c>
      <c r="V243" s="57" t="s">
        <v>3575</v>
      </c>
      <c r="W243" s="208">
        <f>ROUND((ROUND((ROUND((_15_同援日増５．０*(1+_15・A深夜)),0)*(1+_15・盲ろう)),0)*(1+_15・区４)),0)</f>
        <v>1707</v>
      </c>
      <c r="X243" s="48"/>
    </row>
    <row r="244" spans="1:24" ht="16.5" customHeight="1" x14ac:dyDescent="0.15">
      <c r="A244" s="41">
        <v>15</v>
      </c>
      <c r="B244" s="41" t="s">
        <v>25582</v>
      </c>
      <c r="C244" s="74" t="s">
        <v>25583</v>
      </c>
      <c r="D244" s="72"/>
      <c r="F244" s="57"/>
      <c r="G244" s="43"/>
      <c r="H244" s="37"/>
      <c r="I244" s="38"/>
      <c r="J244" s="299" t="s">
        <v>17556</v>
      </c>
      <c r="K244" s="45" t="s">
        <v>398</v>
      </c>
      <c r="L244" s="46">
        <v>1</v>
      </c>
      <c r="M244" s="512"/>
      <c r="N244" s="57"/>
      <c r="O244" s="92" t="s">
        <v>17564</v>
      </c>
      <c r="R244" s="57"/>
      <c r="S244" s="35"/>
      <c r="V244" s="57"/>
      <c r="W244" s="208">
        <f>ROUND((ROUND((ROUND((ROUND((_15_同援日増５．０*_15・２人),0)*(1+_15・A深夜)),0)*(1+_15・盲ろう)),0)*(1+_15・区４)),0)</f>
        <v>1707</v>
      </c>
      <c r="X244" s="48"/>
    </row>
    <row r="245" spans="1:24" ht="16.5" customHeight="1" x14ac:dyDescent="0.15">
      <c r="A245" s="41">
        <v>15</v>
      </c>
      <c r="B245" s="41" t="s">
        <v>2413</v>
      </c>
      <c r="C245" s="74" t="s">
        <v>25584</v>
      </c>
      <c r="D245" s="72"/>
      <c r="F245" s="57"/>
      <c r="G245" s="114" t="s">
        <v>17558</v>
      </c>
      <c r="H245" s="49"/>
      <c r="I245" s="50"/>
      <c r="J245" s="163"/>
      <c r="K245" s="45"/>
      <c r="L245" s="46"/>
      <c r="M245" s="512"/>
      <c r="N245" s="57"/>
      <c r="O245" s="35"/>
      <c r="P245" s="12" t="s">
        <v>398</v>
      </c>
      <c r="Q245" s="13">
        <v>0.25</v>
      </c>
      <c r="R245" s="57" t="s">
        <v>3575</v>
      </c>
      <c r="S245" s="35"/>
      <c r="V245" s="57"/>
      <c r="W245" s="208">
        <f>ROUND((ROUND((ROUND((ROUND((_15_同援日増５．０*_15・基礎２),0)*(1+_15・A深夜)),0)*(1+_15・盲ろう)),0)*(1+_15・区４)),0)</f>
        <v>1537</v>
      </c>
      <c r="X245" s="48"/>
    </row>
    <row r="246" spans="1:24" ht="16.5" customHeight="1" x14ac:dyDescent="0.15">
      <c r="A246" s="41">
        <v>15</v>
      </c>
      <c r="B246" s="41" t="s">
        <v>2415</v>
      </c>
      <c r="C246" s="74" t="s">
        <v>25585</v>
      </c>
      <c r="D246" s="122"/>
      <c r="E246" s="37"/>
      <c r="F246" s="79"/>
      <c r="G246" s="269" t="s">
        <v>17560</v>
      </c>
      <c r="H246" s="37" t="s">
        <v>398</v>
      </c>
      <c r="I246" s="38">
        <v>0.9</v>
      </c>
      <c r="J246" s="299" t="s">
        <v>17556</v>
      </c>
      <c r="K246" s="45" t="s">
        <v>398</v>
      </c>
      <c r="L246" s="46">
        <v>1</v>
      </c>
      <c r="M246" s="512"/>
      <c r="N246" s="57"/>
      <c r="O246" s="43"/>
      <c r="P246" s="37"/>
      <c r="Q246" s="38"/>
      <c r="R246" s="79"/>
      <c r="S246" s="43"/>
      <c r="T246" s="37"/>
      <c r="U246" s="38"/>
      <c r="V246" s="79"/>
      <c r="W246" s="208">
        <f>ROUND((ROUND((ROUND((ROUND((ROUND((_15_同援日増５．０*_15・基礎２),0)*_15・２人),0)*(1+_15・A深夜)),0)*(1+_15・盲ろう)),0)*(1+_15・区４)),0)</f>
        <v>1537</v>
      </c>
      <c r="X246" s="48"/>
    </row>
    <row r="247" spans="1:24" ht="16.5" customHeight="1" x14ac:dyDescent="0.15">
      <c r="A247" s="41">
        <v>15</v>
      </c>
      <c r="B247" s="41" t="s">
        <v>2417</v>
      </c>
      <c r="C247" s="74" t="s">
        <v>25586</v>
      </c>
      <c r="D247" s="114" t="s">
        <v>25587</v>
      </c>
      <c r="E247" s="49"/>
      <c r="F247" s="115"/>
      <c r="G247" s="53"/>
      <c r="H247" s="49"/>
      <c r="I247" s="50"/>
      <c r="J247" s="163"/>
      <c r="K247" s="45"/>
      <c r="L247" s="46"/>
      <c r="M247" s="512"/>
      <c r="N247" s="57"/>
      <c r="O247" s="53"/>
      <c r="P247" s="49"/>
      <c r="Q247" s="50"/>
      <c r="R247" s="115"/>
      <c r="S247" s="53"/>
      <c r="T247" s="49"/>
      <c r="U247" s="50"/>
      <c r="V247" s="115"/>
      <c r="W247" s="208">
        <f>ROUND((_15_同援日増５．５*(1+_15・A深夜)),0)</f>
        <v>1073</v>
      </c>
      <c r="X247" s="48"/>
    </row>
    <row r="248" spans="1:24" ht="16.5" customHeight="1" x14ac:dyDescent="0.15">
      <c r="A248" s="41">
        <v>15</v>
      </c>
      <c r="B248" s="41" t="s">
        <v>2419</v>
      </c>
      <c r="C248" s="74" t="s">
        <v>25588</v>
      </c>
      <c r="D248" s="72" t="s">
        <v>17832</v>
      </c>
      <c r="F248" s="57"/>
      <c r="G248" s="43"/>
      <c r="H248" s="37"/>
      <c r="I248" s="38"/>
      <c r="J248" s="299" t="s">
        <v>17556</v>
      </c>
      <c r="K248" s="45" t="s">
        <v>398</v>
      </c>
      <c r="L248" s="46">
        <v>1</v>
      </c>
      <c r="M248" s="512"/>
      <c r="N248" s="57"/>
      <c r="O248" s="35"/>
      <c r="R248" s="57"/>
      <c r="S248" s="35"/>
      <c r="V248" s="57"/>
      <c r="W248" s="208">
        <f>ROUND((ROUND((_15_同援日増５．５*_15・２人),0)*(1+_15・A深夜)),0)</f>
        <v>1073</v>
      </c>
      <c r="X248" s="48"/>
    </row>
    <row r="249" spans="1:24" ht="16.5" customHeight="1" x14ac:dyDescent="0.15">
      <c r="A249" s="41">
        <v>15</v>
      </c>
      <c r="B249" s="41" t="s">
        <v>25589</v>
      </c>
      <c r="C249" s="74" t="s">
        <v>25590</v>
      </c>
      <c r="D249" s="72" t="s">
        <v>18742</v>
      </c>
      <c r="F249" s="57"/>
      <c r="G249" s="114" t="s">
        <v>17558</v>
      </c>
      <c r="H249" s="49"/>
      <c r="I249" s="50"/>
      <c r="J249" s="163"/>
      <c r="K249" s="45"/>
      <c r="L249" s="46"/>
      <c r="M249" s="512"/>
      <c r="N249" s="57"/>
      <c r="O249" s="35"/>
      <c r="R249" s="57"/>
      <c r="S249" s="35"/>
      <c r="V249" s="57"/>
      <c r="W249" s="208">
        <f>ROUND((ROUND((_15_同援日増５．５*_15・基礎２),0)*(1+_15・A深夜)),0)</f>
        <v>966</v>
      </c>
      <c r="X249" s="48"/>
    </row>
    <row r="250" spans="1:24" ht="16.5" customHeight="1" x14ac:dyDescent="0.15">
      <c r="A250" s="41">
        <v>15</v>
      </c>
      <c r="B250" s="41" t="s">
        <v>25591</v>
      </c>
      <c r="C250" s="74" t="s">
        <v>25592</v>
      </c>
      <c r="D250" s="72"/>
      <c r="E250" s="168">
        <f>_15_同援日増５．５</f>
        <v>715</v>
      </c>
      <c r="F250" s="57" t="s">
        <v>392</v>
      </c>
      <c r="G250" s="269" t="s">
        <v>17560</v>
      </c>
      <c r="H250" s="37" t="s">
        <v>398</v>
      </c>
      <c r="I250" s="38">
        <v>0.9</v>
      </c>
      <c r="J250" s="299" t="s">
        <v>17556</v>
      </c>
      <c r="K250" s="45" t="s">
        <v>398</v>
      </c>
      <c r="L250" s="46">
        <v>1</v>
      </c>
      <c r="M250" s="512"/>
      <c r="N250" s="57"/>
      <c r="O250" s="43"/>
      <c r="P250" s="37"/>
      <c r="Q250" s="38"/>
      <c r="R250" s="79"/>
      <c r="S250" s="35"/>
      <c r="V250" s="57"/>
      <c r="W250" s="208">
        <f>ROUND((ROUND((ROUND((_15_同援日増５．５*_15・基礎２),0)*_15・２人),0)*(1+_15・A深夜)),0)</f>
        <v>966</v>
      </c>
      <c r="X250" s="48"/>
    </row>
    <row r="251" spans="1:24" ht="16.5" customHeight="1" x14ac:dyDescent="0.15">
      <c r="A251" s="41">
        <v>15</v>
      </c>
      <c r="B251" s="41" t="s">
        <v>25593</v>
      </c>
      <c r="C251" s="74" t="s">
        <v>25594</v>
      </c>
      <c r="D251" s="72"/>
      <c r="F251" s="57"/>
      <c r="G251" s="53"/>
      <c r="H251" s="49"/>
      <c r="I251" s="50"/>
      <c r="J251" s="163"/>
      <c r="K251" s="45"/>
      <c r="L251" s="46"/>
      <c r="M251" s="512"/>
      <c r="N251" s="57"/>
      <c r="O251" s="114" t="s">
        <v>17562</v>
      </c>
      <c r="P251" s="49"/>
      <c r="Q251" s="50"/>
      <c r="R251" s="115"/>
      <c r="S251" s="35"/>
      <c r="V251" s="57"/>
      <c r="W251" s="208">
        <f>ROUND((ROUND((_15_同援日増５．５*(1+_15・A深夜)),0)*(1+_15・盲ろう)),0)</f>
        <v>1341</v>
      </c>
      <c r="X251" s="48"/>
    </row>
    <row r="252" spans="1:24" ht="16.5" customHeight="1" x14ac:dyDescent="0.15">
      <c r="A252" s="41">
        <v>15</v>
      </c>
      <c r="B252" s="41" t="s">
        <v>25595</v>
      </c>
      <c r="C252" s="74" t="s">
        <v>25596</v>
      </c>
      <c r="D252" s="72"/>
      <c r="F252" s="57"/>
      <c r="G252" s="43"/>
      <c r="H252" s="37"/>
      <c r="I252" s="38"/>
      <c r="J252" s="299" t="s">
        <v>17556</v>
      </c>
      <c r="K252" s="45" t="s">
        <v>398</v>
      </c>
      <c r="L252" s="46">
        <v>1</v>
      </c>
      <c r="M252" s="512"/>
      <c r="N252" s="57"/>
      <c r="O252" s="92" t="s">
        <v>17564</v>
      </c>
      <c r="R252" s="57"/>
      <c r="S252" s="35"/>
      <c r="V252" s="57"/>
      <c r="W252" s="208">
        <f>ROUND((ROUND((ROUND((_15_同援日増５．５*_15・２人),0)*(1+_15・A深夜)),0)*(1+_15・盲ろう)),0)</f>
        <v>1341</v>
      </c>
      <c r="X252" s="48"/>
    </row>
    <row r="253" spans="1:24" ht="16.5" customHeight="1" x14ac:dyDescent="0.15">
      <c r="A253" s="41">
        <v>15</v>
      </c>
      <c r="B253" s="41" t="s">
        <v>25597</v>
      </c>
      <c r="C253" s="74" t="s">
        <v>25598</v>
      </c>
      <c r="D253" s="72"/>
      <c r="F253" s="57"/>
      <c r="G253" s="114" t="s">
        <v>17558</v>
      </c>
      <c r="H253" s="49"/>
      <c r="I253" s="50"/>
      <c r="J253" s="163"/>
      <c r="K253" s="45"/>
      <c r="L253" s="46"/>
      <c r="M253" s="512"/>
      <c r="N253" s="57"/>
      <c r="O253" s="35"/>
      <c r="P253" s="12" t="s">
        <v>398</v>
      </c>
      <c r="Q253" s="13">
        <v>0.25</v>
      </c>
      <c r="R253" s="57" t="s">
        <v>3575</v>
      </c>
      <c r="S253" s="35"/>
      <c r="V253" s="57"/>
      <c r="W253" s="208">
        <f>ROUND((ROUND((ROUND((_15_同援日増５．５*_15・基礎２),0)*(1+_15・A深夜)),0)*(1+_15・盲ろう)),0)</f>
        <v>1208</v>
      </c>
      <c r="X253" s="48"/>
    </row>
    <row r="254" spans="1:24" ht="16.5" customHeight="1" x14ac:dyDescent="0.15">
      <c r="A254" s="41">
        <v>15</v>
      </c>
      <c r="B254" s="41" t="s">
        <v>25599</v>
      </c>
      <c r="C254" s="74" t="s">
        <v>25600</v>
      </c>
      <c r="D254" s="72"/>
      <c r="F254" s="57"/>
      <c r="G254" s="269" t="s">
        <v>17560</v>
      </c>
      <c r="H254" s="37" t="s">
        <v>398</v>
      </c>
      <c r="I254" s="38">
        <v>0.9</v>
      </c>
      <c r="J254" s="299" t="s">
        <v>17556</v>
      </c>
      <c r="K254" s="45" t="s">
        <v>398</v>
      </c>
      <c r="L254" s="46">
        <v>1</v>
      </c>
      <c r="M254" s="512"/>
      <c r="N254" s="57"/>
      <c r="O254" s="43"/>
      <c r="P254" s="37"/>
      <c r="Q254" s="38"/>
      <c r="R254" s="79"/>
      <c r="S254" s="43"/>
      <c r="T254" s="37"/>
      <c r="U254" s="38"/>
      <c r="V254" s="79"/>
      <c r="W254" s="208">
        <f>ROUND((ROUND((ROUND((ROUND((_15_同援日増５．５*_15・基礎２),0)*_15・２人),0)*(1+_15・A深夜)),0)*(1+_15・盲ろう)),0)</f>
        <v>1208</v>
      </c>
      <c r="X254" s="48"/>
    </row>
    <row r="255" spans="1:24" ht="16.5" customHeight="1" x14ac:dyDescent="0.15">
      <c r="A255" s="41">
        <v>15</v>
      </c>
      <c r="B255" s="41" t="s">
        <v>25601</v>
      </c>
      <c r="C255" s="74" t="s">
        <v>25602</v>
      </c>
      <c r="D255" s="72"/>
      <c r="F255" s="57"/>
      <c r="G255" s="53"/>
      <c r="H255" s="49"/>
      <c r="I255" s="50"/>
      <c r="J255" s="163"/>
      <c r="K255" s="45"/>
      <c r="L255" s="46"/>
      <c r="M255" s="512"/>
      <c r="N255" s="57"/>
      <c r="O255" s="53"/>
      <c r="P255" s="49"/>
      <c r="Q255" s="50"/>
      <c r="R255" s="115"/>
      <c r="S255" s="53"/>
      <c r="T255" s="49"/>
      <c r="U255" s="50"/>
      <c r="V255" s="115"/>
      <c r="W255" s="208">
        <f>ROUND((ROUND((_15_同援日増５．５*(1+_15・A深夜)),0)*(1+_15・区３)),0)</f>
        <v>1288</v>
      </c>
      <c r="X255" s="48"/>
    </row>
    <row r="256" spans="1:24" ht="16.5" customHeight="1" x14ac:dyDescent="0.15">
      <c r="A256" s="41">
        <v>15</v>
      </c>
      <c r="B256" s="41" t="s">
        <v>25603</v>
      </c>
      <c r="C256" s="74" t="s">
        <v>25604</v>
      </c>
      <c r="D256" s="72"/>
      <c r="F256" s="57"/>
      <c r="G256" s="43"/>
      <c r="H256" s="37"/>
      <c r="I256" s="38"/>
      <c r="J256" s="299" t="s">
        <v>17556</v>
      </c>
      <c r="K256" s="45" t="s">
        <v>398</v>
      </c>
      <c r="L256" s="46">
        <v>1</v>
      </c>
      <c r="M256" s="512"/>
      <c r="N256" s="57"/>
      <c r="O256" s="35"/>
      <c r="R256" s="57"/>
      <c r="S256" s="35"/>
      <c r="V256" s="57"/>
      <c r="W256" s="208">
        <f>ROUND((ROUND((ROUND((_15_同援日増５．５*_15・２人),0)*(1+_15・A深夜)),0)*(1+_15・区３)),0)</f>
        <v>1288</v>
      </c>
      <c r="X256" s="48"/>
    </row>
    <row r="257" spans="1:24" ht="16.5" customHeight="1" x14ac:dyDescent="0.15">
      <c r="A257" s="41">
        <v>15</v>
      </c>
      <c r="B257" s="41" t="s">
        <v>25605</v>
      </c>
      <c r="C257" s="74" t="s">
        <v>25606</v>
      </c>
      <c r="D257" s="72"/>
      <c r="F257" s="57"/>
      <c r="G257" s="114" t="s">
        <v>17558</v>
      </c>
      <c r="H257" s="49"/>
      <c r="I257" s="50"/>
      <c r="J257" s="163"/>
      <c r="K257" s="45"/>
      <c r="L257" s="46"/>
      <c r="M257" s="512"/>
      <c r="N257" s="57"/>
      <c r="O257" s="35"/>
      <c r="R257" s="57"/>
      <c r="S257" s="72" t="s">
        <v>17570</v>
      </c>
      <c r="V257" s="57"/>
      <c r="W257" s="208">
        <f>ROUND((ROUND((ROUND((_15_同援日増５．５*_15・基礎２),0)*(1+_15・A深夜)),0)*(1+_15・区３)),0)</f>
        <v>1159</v>
      </c>
      <c r="X257" s="48"/>
    </row>
    <row r="258" spans="1:24" ht="16.5" customHeight="1" x14ac:dyDescent="0.15">
      <c r="A258" s="41">
        <v>15</v>
      </c>
      <c r="B258" s="41" t="s">
        <v>25607</v>
      </c>
      <c r="C258" s="74" t="s">
        <v>25608</v>
      </c>
      <c r="D258" s="72"/>
      <c r="F258" s="57"/>
      <c r="G258" s="269" t="s">
        <v>17560</v>
      </c>
      <c r="H258" s="37" t="s">
        <v>398</v>
      </c>
      <c r="I258" s="38">
        <v>0.9</v>
      </c>
      <c r="J258" s="299" t="s">
        <v>17556</v>
      </c>
      <c r="K258" s="45" t="s">
        <v>398</v>
      </c>
      <c r="L258" s="46">
        <v>1</v>
      </c>
      <c r="M258" s="512"/>
      <c r="N258" s="57"/>
      <c r="O258" s="43"/>
      <c r="P258" s="37"/>
      <c r="Q258" s="38"/>
      <c r="R258" s="79"/>
      <c r="S258" s="72" t="s">
        <v>17572</v>
      </c>
      <c r="V258" s="57"/>
      <c r="W258" s="208">
        <f>ROUND((ROUND((ROUND((ROUND((_15_同援日増５．５*_15・基礎２),0)*_15・２人),0)*(1+_15・A深夜)),0)*(1+_15・区３)),0)</f>
        <v>1159</v>
      </c>
      <c r="X258" s="48"/>
    </row>
    <row r="259" spans="1:24" ht="16.5" customHeight="1" x14ac:dyDescent="0.15">
      <c r="A259" s="41">
        <v>15</v>
      </c>
      <c r="B259" s="41" t="s">
        <v>25609</v>
      </c>
      <c r="C259" s="74" t="s">
        <v>25610</v>
      </c>
      <c r="D259" s="72"/>
      <c r="F259" s="57"/>
      <c r="G259" s="53"/>
      <c r="H259" s="49"/>
      <c r="I259" s="50"/>
      <c r="J259" s="163"/>
      <c r="K259" s="45"/>
      <c r="L259" s="46"/>
      <c r="M259" s="512"/>
      <c r="N259" s="57"/>
      <c r="O259" s="114" t="s">
        <v>17562</v>
      </c>
      <c r="P259" s="49"/>
      <c r="Q259" s="50"/>
      <c r="R259" s="115"/>
      <c r="S259" s="35"/>
      <c r="T259" s="12" t="s">
        <v>398</v>
      </c>
      <c r="U259" s="13">
        <v>0.2</v>
      </c>
      <c r="V259" s="57" t="s">
        <v>3575</v>
      </c>
      <c r="W259" s="208">
        <f>ROUND((ROUND((ROUND((_15_同援日増５．５*(1+_15・A深夜)),0)*(1+_15・盲ろう)),0)*(1+_15・区３)),0)</f>
        <v>1609</v>
      </c>
      <c r="X259" s="48"/>
    </row>
    <row r="260" spans="1:24" ht="16.5" customHeight="1" x14ac:dyDescent="0.15">
      <c r="A260" s="41">
        <v>15</v>
      </c>
      <c r="B260" s="41" t="s">
        <v>25611</v>
      </c>
      <c r="C260" s="74" t="s">
        <v>25612</v>
      </c>
      <c r="D260" s="72"/>
      <c r="F260" s="57"/>
      <c r="G260" s="43"/>
      <c r="H260" s="37"/>
      <c r="I260" s="38"/>
      <c r="J260" s="299" t="s">
        <v>17556</v>
      </c>
      <c r="K260" s="45" t="s">
        <v>398</v>
      </c>
      <c r="L260" s="46">
        <v>1</v>
      </c>
      <c r="M260" s="512"/>
      <c r="N260" s="57"/>
      <c r="O260" s="92" t="s">
        <v>17564</v>
      </c>
      <c r="R260" s="57"/>
      <c r="S260" s="35"/>
      <c r="V260" s="57"/>
      <c r="W260" s="208">
        <f>ROUND((ROUND((ROUND((ROUND((_15_同援日増５．５*_15・２人),0)*(1+_15・A深夜)),0)*(1+_15・盲ろう)),0)*(1+_15・区３)),0)</f>
        <v>1609</v>
      </c>
      <c r="X260" s="48"/>
    </row>
    <row r="261" spans="1:24" ht="16.5" customHeight="1" x14ac:dyDescent="0.15">
      <c r="A261" s="41">
        <v>15</v>
      </c>
      <c r="B261" s="41" t="s">
        <v>25613</v>
      </c>
      <c r="C261" s="74" t="s">
        <v>25614</v>
      </c>
      <c r="D261" s="72"/>
      <c r="F261" s="57"/>
      <c r="G261" s="114" t="s">
        <v>17558</v>
      </c>
      <c r="H261" s="49"/>
      <c r="I261" s="50"/>
      <c r="J261" s="163"/>
      <c r="K261" s="45"/>
      <c r="L261" s="46"/>
      <c r="M261" s="512"/>
      <c r="N261" s="57"/>
      <c r="O261" s="35"/>
      <c r="P261" s="12" t="s">
        <v>398</v>
      </c>
      <c r="Q261" s="13">
        <v>0.25</v>
      </c>
      <c r="R261" s="57" t="s">
        <v>3575</v>
      </c>
      <c r="S261" s="35"/>
      <c r="V261" s="57"/>
      <c r="W261" s="208">
        <f>ROUND((ROUND((ROUND((ROUND((_15_同援日増５．５*_15・基礎２),0)*(1+_15・A深夜)),0)*(1+_15・盲ろう)),0)*(1+_15・区３)),0)</f>
        <v>1450</v>
      </c>
      <c r="X261" s="48"/>
    </row>
    <row r="262" spans="1:24" ht="16.5" customHeight="1" x14ac:dyDescent="0.15">
      <c r="A262" s="41">
        <v>15</v>
      </c>
      <c r="B262" s="41" t="s">
        <v>25615</v>
      </c>
      <c r="C262" s="74" t="s">
        <v>25616</v>
      </c>
      <c r="D262" s="72"/>
      <c r="F262" s="57"/>
      <c r="G262" s="269" t="s">
        <v>17560</v>
      </c>
      <c r="H262" s="37" t="s">
        <v>398</v>
      </c>
      <c r="I262" s="38">
        <v>0.9</v>
      </c>
      <c r="J262" s="299" t="s">
        <v>17556</v>
      </c>
      <c r="K262" s="45" t="s">
        <v>398</v>
      </c>
      <c r="L262" s="46">
        <v>1</v>
      </c>
      <c r="M262" s="512"/>
      <c r="N262" s="57"/>
      <c r="O262" s="43"/>
      <c r="P262" s="37"/>
      <c r="Q262" s="38"/>
      <c r="R262" s="79"/>
      <c r="S262" s="43"/>
      <c r="T262" s="37"/>
      <c r="U262" s="38"/>
      <c r="V262" s="79"/>
      <c r="W262" s="208">
        <f>ROUND((ROUND((ROUND((ROUND((ROUND((_15_同援日増５．５*_15・基礎２),0)*_15・２人),0)*(1+_15・A深夜)),0)*(1+_15・盲ろう)),0)*(1+_15・区３)),0)</f>
        <v>1450</v>
      </c>
      <c r="X262" s="48"/>
    </row>
    <row r="263" spans="1:24" ht="16.5" customHeight="1" x14ac:dyDescent="0.15">
      <c r="A263" s="41">
        <v>15</v>
      </c>
      <c r="B263" s="41" t="s">
        <v>25617</v>
      </c>
      <c r="C263" s="74" t="s">
        <v>25618</v>
      </c>
      <c r="D263" s="72"/>
      <c r="F263" s="57"/>
      <c r="G263" s="53"/>
      <c r="H263" s="49"/>
      <c r="I263" s="50"/>
      <c r="J263" s="163"/>
      <c r="K263" s="45"/>
      <c r="L263" s="46"/>
      <c r="M263" s="512"/>
      <c r="N263" s="57"/>
      <c r="O263" s="53"/>
      <c r="P263" s="49"/>
      <c r="Q263" s="50"/>
      <c r="R263" s="115"/>
      <c r="S263" s="53"/>
      <c r="T263" s="49"/>
      <c r="U263" s="50"/>
      <c r="V263" s="115"/>
      <c r="W263" s="208">
        <f>ROUND((ROUND((_15_同援日増５．５*(1+_15・A深夜)),0)*(1+_15・区４)),0)</f>
        <v>1502</v>
      </c>
      <c r="X263" s="48"/>
    </row>
    <row r="264" spans="1:24" ht="16.5" customHeight="1" x14ac:dyDescent="0.15">
      <c r="A264" s="41">
        <v>15</v>
      </c>
      <c r="B264" s="41" t="s">
        <v>25619</v>
      </c>
      <c r="C264" s="74" t="s">
        <v>25620</v>
      </c>
      <c r="D264" s="72"/>
      <c r="F264" s="57"/>
      <c r="G264" s="43"/>
      <c r="H264" s="37"/>
      <c r="I264" s="38"/>
      <c r="J264" s="299" t="s">
        <v>17556</v>
      </c>
      <c r="K264" s="45" t="s">
        <v>398</v>
      </c>
      <c r="L264" s="46">
        <v>1</v>
      </c>
      <c r="M264" s="512"/>
      <c r="N264" s="57"/>
      <c r="O264" s="35"/>
      <c r="R264" s="57"/>
      <c r="S264" s="35"/>
      <c r="V264" s="57"/>
      <c r="W264" s="208">
        <f>ROUND((ROUND((ROUND((_15_同援日増５．５*_15・２人),0)*(1+_15・A深夜)),0)*(1+_15・区４)),0)</f>
        <v>1502</v>
      </c>
      <c r="X264" s="48"/>
    </row>
    <row r="265" spans="1:24" ht="16.5" customHeight="1" x14ac:dyDescent="0.15">
      <c r="A265" s="41">
        <v>15</v>
      </c>
      <c r="B265" s="41" t="s">
        <v>2426</v>
      </c>
      <c r="C265" s="74" t="s">
        <v>25621</v>
      </c>
      <c r="D265" s="72"/>
      <c r="F265" s="57"/>
      <c r="G265" s="114" t="s">
        <v>17558</v>
      </c>
      <c r="H265" s="49"/>
      <c r="I265" s="50"/>
      <c r="J265" s="163"/>
      <c r="K265" s="45"/>
      <c r="L265" s="46"/>
      <c r="M265" s="512"/>
      <c r="N265" s="57"/>
      <c r="O265" s="35"/>
      <c r="R265" s="57"/>
      <c r="S265" s="72" t="s">
        <v>17580</v>
      </c>
      <c r="V265" s="57"/>
      <c r="W265" s="208">
        <f>ROUND((ROUND((ROUND((_15_同援日増５．５*_15・基礎２),0)*(1+_15・A深夜)),0)*(1+_15・区４)),0)</f>
        <v>1352</v>
      </c>
      <c r="X265" s="48"/>
    </row>
    <row r="266" spans="1:24" ht="16.5" customHeight="1" x14ac:dyDescent="0.15">
      <c r="A266" s="41">
        <v>15</v>
      </c>
      <c r="B266" s="41" t="s">
        <v>2428</v>
      </c>
      <c r="C266" s="74" t="s">
        <v>25622</v>
      </c>
      <c r="D266" s="72"/>
      <c r="F266" s="57"/>
      <c r="G266" s="269" t="s">
        <v>17560</v>
      </c>
      <c r="H266" s="37" t="s">
        <v>398</v>
      </c>
      <c r="I266" s="38">
        <v>0.9</v>
      </c>
      <c r="J266" s="299" t="s">
        <v>17556</v>
      </c>
      <c r="K266" s="45" t="s">
        <v>398</v>
      </c>
      <c r="L266" s="46">
        <v>1</v>
      </c>
      <c r="M266" s="512"/>
      <c r="N266" s="57"/>
      <c r="O266" s="43"/>
      <c r="P266" s="37"/>
      <c r="Q266" s="38"/>
      <c r="R266" s="79"/>
      <c r="S266" s="72" t="s">
        <v>17572</v>
      </c>
      <c r="V266" s="57"/>
      <c r="W266" s="208">
        <f>ROUND((ROUND((ROUND((ROUND((_15_同援日増５．５*_15・基礎２),0)*_15・２人),0)*(1+_15・A深夜)),0)*(1+_15・区４)),0)</f>
        <v>1352</v>
      </c>
      <c r="X266" s="48"/>
    </row>
    <row r="267" spans="1:24" ht="16.5" customHeight="1" x14ac:dyDescent="0.15">
      <c r="A267" s="41">
        <v>15</v>
      </c>
      <c r="B267" s="41" t="s">
        <v>2430</v>
      </c>
      <c r="C267" s="74" t="s">
        <v>25623</v>
      </c>
      <c r="D267" s="72"/>
      <c r="F267" s="57"/>
      <c r="G267" s="53"/>
      <c r="H267" s="49"/>
      <c r="I267" s="50"/>
      <c r="J267" s="163"/>
      <c r="K267" s="45"/>
      <c r="L267" s="46"/>
      <c r="M267" s="512"/>
      <c r="N267" s="57"/>
      <c r="O267" s="114" t="s">
        <v>17562</v>
      </c>
      <c r="P267" s="49"/>
      <c r="Q267" s="50"/>
      <c r="R267" s="115"/>
      <c r="S267" s="35"/>
      <c r="T267" s="12" t="s">
        <v>398</v>
      </c>
      <c r="U267" s="13">
        <v>0.4</v>
      </c>
      <c r="V267" s="57" t="s">
        <v>3575</v>
      </c>
      <c r="W267" s="208">
        <f>ROUND((ROUND((ROUND((_15_同援日増５．５*(1+_15・A深夜)),0)*(1+_15・盲ろう)),0)*(1+_15・区４)),0)</f>
        <v>1877</v>
      </c>
      <c r="X267" s="48"/>
    </row>
    <row r="268" spans="1:24" ht="16.5" customHeight="1" x14ac:dyDescent="0.15">
      <c r="A268" s="41">
        <v>15</v>
      </c>
      <c r="B268" s="41" t="s">
        <v>2432</v>
      </c>
      <c r="C268" s="74" t="s">
        <v>25624</v>
      </c>
      <c r="D268" s="72"/>
      <c r="F268" s="57"/>
      <c r="G268" s="43"/>
      <c r="H268" s="37"/>
      <c r="I268" s="38"/>
      <c r="J268" s="299" t="s">
        <v>17556</v>
      </c>
      <c r="K268" s="45" t="s">
        <v>398</v>
      </c>
      <c r="L268" s="46">
        <v>1</v>
      </c>
      <c r="M268" s="512"/>
      <c r="N268" s="57"/>
      <c r="O268" s="92" t="s">
        <v>17564</v>
      </c>
      <c r="R268" s="57"/>
      <c r="S268" s="35"/>
      <c r="V268" s="57"/>
      <c r="W268" s="208">
        <f>ROUND((ROUND((ROUND((ROUND((_15_同援日増５．５*_15・２人),0)*(1+_15・A深夜)),0)*(1+_15・盲ろう)),0)*(1+_15・区４)),0)</f>
        <v>1877</v>
      </c>
      <c r="X268" s="48"/>
    </row>
    <row r="269" spans="1:24" ht="16.5" customHeight="1" x14ac:dyDescent="0.15">
      <c r="A269" s="41">
        <v>15</v>
      </c>
      <c r="B269" s="41" t="s">
        <v>25625</v>
      </c>
      <c r="C269" s="74" t="s">
        <v>25626</v>
      </c>
      <c r="D269" s="72"/>
      <c r="F269" s="57"/>
      <c r="G269" s="114" t="s">
        <v>17558</v>
      </c>
      <c r="H269" s="49"/>
      <c r="I269" s="50"/>
      <c r="J269" s="163"/>
      <c r="K269" s="45"/>
      <c r="L269" s="46"/>
      <c r="M269" s="512"/>
      <c r="N269" s="57"/>
      <c r="O269" s="35"/>
      <c r="P269" s="12" t="s">
        <v>398</v>
      </c>
      <c r="Q269" s="13">
        <v>0.25</v>
      </c>
      <c r="R269" s="57" t="s">
        <v>3575</v>
      </c>
      <c r="S269" s="35"/>
      <c r="V269" s="57"/>
      <c r="W269" s="208">
        <f>ROUND((ROUND((ROUND((ROUND((_15_同援日増５．５*_15・基礎２),0)*(1+_15・A深夜)),0)*(1+_15・盲ろう)),0)*(1+_15・区４)),0)</f>
        <v>1691</v>
      </c>
      <c r="X269" s="48"/>
    </row>
    <row r="270" spans="1:24" ht="16.5" customHeight="1" x14ac:dyDescent="0.15">
      <c r="A270" s="41">
        <v>15</v>
      </c>
      <c r="B270" s="41" t="s">
        <v>25627</v>
      </c>
      <c r="C270" s="74" t="s">
        <v>25628</v>
      </c>
      <c r="D270" s="122"/>
      <c r="E270" s="37"/>
      <c r="F270" s="79"/>
      <c r="G270" s="269" t="s">
        <v>17560</v>
      </c>
      <c r="H270" s="37" t="s">
        <v>398</v>
      </c>
      <c r="I270" s="38">
        <v>0.9</v>
      </c>
      <c r="J270" s="299" t="s">
        <v>17556</v>
      </c>
      <c r="K270" s="45" t="s">
        <v>398</v>
      </c>
      <c r="L270" s="46">
        <v>1</v>
      </c>
      <c r="M270" s="514"/>
      <c r="N270" s="79"/>
      <c r="O270" s="43"/>
      <c r="P270" s="37"/>
      <c r="Q270" s="38"/>
      <c r="R270" s="79"/>
      <c r="S270" s="43"/>
      <c r="T270" s="37"/>
      <c r="U270" s="38"/>
      <c r="V270" s="79"/>
      <c r="W270" s="208">
        <f>ROUND((ROUND((ROUND((ROUND((ROUND((_15_同援日増５．５*_15・基礎２),0)*_15・２人),0)*(1+_15・A深夜)),0)*(1+_15・盲ろう)),0)*(1+_15・区４)),0)</f>
        <v>1691</v>
      </c>
      <c r="X270" s="63"/>
    </row>
    <row r="271" spans="1:24" ht="16.5" customHeight="1" x14ac:dyDescent="0.15">
      <c r="A271" s="41">
        <v>15</v>
      </c>
      <c r="B271" s="41" t="s">
        <v>25629</v>
      </c>
      <c r="C271" s="74" t="s">
        <v>25630</v>
      </c>
      <c r="D271" s="114" t="s">
        <v>25631</v>
      </c>
      <c r="E271" s="49"/>
      <c r="F271" s="115"/>
      <c r="G271" s="53"/>
      <c r="H271" s="49"/>
      <c r="I271" s="50"/>
      <c r="J271" s="163"/>
      <c r="K271" s="45"/>
      <c r="L271" s="46"/>
      <c r="M271" s="515"/>
      <c r="N271" s="115"/>
      <c r="O271" s="53"/>
      <c r="P271" s="49"/>
      <c r="Q271" s="50"/>
      <c r="R271" s="115"/>
      <c r="S271" s="53"/>
      <c r="T271" s="49"/>
      <c r="U271" s="50"/>
      <c r="V271" s="115"/>
      <c r="W271" s="208">
        <f>ROUND((_15_同援日増６．０*(1+_15・A深夜)),0)</f>
        <v>1170</v>
      </c>
      <c r="X271" s="64"/>
    </row>
    <row r="272" spans="1:24" ht="16.5" customHeight="1" x14ac:dyDescent="0.15">
      <c r="A272" s="41">
        <v>15</v>
      </c>
      <c r="B272" s="41" t="s">
        <v>25632</v>
      </c>
      <c r="C272" s="74" t="s">
        <v>25633</v>
      </c>
      <c r="D272" s="72" t="s">
        <v>17859</v>
      </c>
      <c r="F272" s="57"/>
      <c r="G272" s="43"/>
      <c r="H272" s="37"/>
      <c r="I272" s="38"/>
      <c r="J272" s="299" t="s">
        <v>17556</v>
      </c>
      <c r="K272" s="45" t="s">
        <v>398</v>
      </c>
      <c r="L272" s="46">
        <v>1</v>
      </c>
      <c r="M272" s="512"/>
      <c r="N272" s="57"/>
      <c r="O272" s="35"/>
      <c r="R272" s="57"/>
      <c r="S272" s="35"/>
      <c r="V272" s="57"/>
      <c r="W272" s="208">
        <f>ROUND((ROUND((_15_同援日増６．０*_15・２人),0)*(1+_15・A深夜)),0)</f>
        <v>1170</v>
      </c>
      <c r="X272" s="48"/>
    </row>
    <row r="273" spans="1:24" ht="16.5" customHeight="1" x14ac:dyDescent="0.15">
      <c r="A273" s="41">
        <v>15</v>
      </c>
      <c r="B273" s="41" t="s">
        <v>25634</v>
      </c>
      <c r="C273" s="74" t="s">
        <v>25635</v>
      </c>
      <c r="D273" s="72" t="s">
        <v>18768</v>
      </c>
      <c r="F273" s="57"/>
      <c r="G273" s="114" t="s">
        <v>17558</v>
      </c>
      <c r="H273" s="49"/>
      <c r="I273" s="50"/>
      <c r="J273" s="163"/>
      <c r="K273" s="45"/>
      <c r="L273" s="46"/>
      <c r="M273" s="512"/>
      <c r="N273" s="57"/>
      <c r="O273" s="35"/>
      <c r="R273" s="57"/>
      <c r="S273" s="35"/>
      <c r="V273" s="57"/>
      <c r="W273" s="208">
        <f>ROUND((ROUND((_15_同援日増６．０*_15・基礎２),0)*(1+_15・A深夜)),0)</f>
        <v>1053</v>
      </c>
      <c r="X273" s="48"/>
    </row>
    <row r="274" spans="1:24" ht="16.5" customHeight="1" x14ac:dyDescent="0.15">
      <c r="A274" s="41">
        <v>15</v>
      </c>
      <c r="B274" s="41" t="s">
        <v>25636</v>
      </c>
      <c r="C274" s="74" t="s">
        <v>25637</v>
      </c>
      <c r="D274" s="72"/>
      <c r="E274" s="168">
        <f>_15_同援日増６．０</f>
        <v>780</v>
      </c>
      <c r="F274" s="57" t="s">
        <v>392</v>
      </c>
      <c r="G274" s="269" t="s">
        <v>17560</v>
      </c>
      <c r="H274" s="37" t="s">
        <v>398</v>
      </c>
      <c r="I274" s="38">
        <v>0.9</v>
      </c>
      <c r="J274" s="299" t="s">
        <v>17556</v>
      </c>
      <c r="K274" s="45" t="s">
        <v>398</v>
      </c>
      <c r="L274" s="46">
        <v>1</v>
      </c>
      <c r="M274" s="512"/>
      <c r="N274" s="57"/>
      <c r="O274" s="43"/>
      <c r="P274" s="37"/>
      <c r="Q274" s="38"/>
      <c r="R274" s="79"/>
      <c r="S274" s="35"/>
      <c r="V274" s="57"/>
      <c r="W274" s="208">
        <f>ROUND((ROUND((ROUND((_15_同援日増６．０*_15・基礎２),0)*_15・２人),0)*(1+_15・A深夜)),0)</f>
        <v>1053</v>
      </c>
      <c r="X274" s="48"/>
    </row>
    <row r="275" spans="1:24" ht="16.5" customHeight="1" x14ac:dyDescent="0.15">
      <c r="A275" s="41">
        <v>15</v>
      </c>
      <c r="B275" s="41" t="s">
        <v>25638</v>
      </c>
      <c r="C275" s="74" t="s">
        <v>25639</v>
      </c>
      <c r="D275" s="72"/>
      <c r="F275" s="57"/>
      <c r="G275" s="53"/>
      <c r="H275" s="49"/>
      <c r="I275" s="50"/>
      <c r="J275" s="163"/>
      <c r="K275" s="45"/>
      <c r="L275" s="46"/>
      <c r="M275" s="512"/>
      <c r="N275" s="57"/>
      <c r="O275" s="114" t="s">
        <v>17562</v>
      </c>
      <c r="P275" s="49"/>
      <c r="Q275" s="50"/>
      <c r="R275" s="115"/>
      <c r="S275" s="35"/>
      <c r="V275" s="57"/>
      <c r="W275" s="208">
        <f>ROUND((ROUND((_15_同援日増６．０*(1+_15・A深夜)),0)*(1+_15・盲ろう)),0)</f>
        <v>1463</v>
      </c>
      <c r="X275" s="48"/>
    </row>
    <row r="276" spans="1:24" ht="16.5" customHeight="1" x14ac:dyDescent="0.15">
      <c r="A276" s="41">
        <v>15</v>
      </c>
      <c r="B276" s="41" t="s">
        <v>25640</v>
      </c>
      <c r="C276" s="74" t="s">
        <v>25641</v>
      </c>
      <c r="D276" s="72"/>
      <c r="F276" s="57"/>
      <c r="G276" s="43"/>
      <c r="H276" s="37"/>
      <c r="I276" s="38"/>
      <c r="J276" s="299" t="s">
        <v>17556</v>
      </c>
      <c r="K276" s="45" t="s">
        <v>398</v>
      </c>
      <c r="L276" s="46">
        <v>1</v>
      </c>
      <c r="M276" s="512"/>
      <c r="N276" s="57"/>
      <c r="O276" s="92" t="s">
        <v>17564</v>
      </c>
      <c r="R276" s="57"/>
      <c r="S276" s="35"/>
      <c r="V276" s="57"/>
      <c r="W276" s="208">
        <f>ROUND((ROUND((ROUND((_15_同援日増６．０*_15・２人),0)*(1+_15・A深夜)),0)*(1+_15・盲ろう)),0)</f>
        <v>1463</v>
      </c>
      <c r="X276" s="48"/>
    </row>
    <row r="277" spans="1:24" ht="16.5" customHeight="1" x14ac:dyDescent="0.15">
      <c r="A277" s="41">
        <v>15</v>
      </c>
      <c r="B277" s="41" t="s">
        <v>25642</v>
      </c>
      <c r="C277" s="74" t="s">
        <v>25643</v>
      </c>
      <c r="D277" s="72"/>
      <c r="F277" s="57"/>
      <c r="G277" s="114" t="s">
        <v>17558</v>
      </c>
      <c r="H277" s="49"/>
      <c r="I277" s="50"/>
      <c r="J277" s="163"/>
      <c r="K277" s="45"/>
      <c r="L277" s="46"/>
      <c r="M277" s="512"/>
      <c r="N277" s="57"/>
      <c r="O277" s="35"/>
      <c r="P277" s="12" t="s">
        <v>398</v>
      </c>
      <c r="Q277" s="13">
        <v>0.25</v>
      </c>
      <c r="R277" s="57" t="s">
        <v>3575</v>
      </c>
      <c r="S277" s="35"/>
      <c r="V277" s="57"/>
      <c r="W277" s="208">
        <f>ROUND((ROUND((ROUND((_15_同援日増６．０*_15・基礎２),0)*(1+_15・A深夜)),0)*(1+_15・盲ろう)),0)</f>
        <v>1316</v>
      </c>
      <c r="X277" s="48"/>
    </row>
    <row r="278" spans="1:24" ht="16.5" customHeight="1" x14ac:dyDescent="0.15">
      <c r="A278" s="41">
        <v>15</v>
      </c>
      <c r="B278" s="41" t="s">
        <v>25644</v>
      </c>
      <c r="C278" s="74" t="s">
        <v>25645</v>
      </c>
      <c r="D278" s="72"/>
      <c r="F278" s="57"/>
      <c r="G278" s="269" t="s">
        <v>17560</v>
      </c>
      <c r="H278" s="37" t="s">
        <v>398</v>
      </c>
      <c r="I278" s="38">
        <v>0.9</v>
      </c>
      <c r="J278" s="299" t="s">
        <v>17556</v>
      </c>
      <c r="K278" s="45" t="s">
        <v>398</v>
      </c>
      <c r="L278" s="46">
        <v>1</v>
      </c>
      <c r="M278" s="512"/>
      <c r="N278" s="57"/>
      <c r="O278" s="43"/>
      <c r="P278" s="37"/>
      <c r="Q278" s="38"/>
      <c r="R278" s="79"/>
      <c r="S278" s="43"/>
      <c r="T278" s="37"/>
      <c r="U278" s="38"/>
      <c r="V278" s="79"/>
      <c r="W278" s="208">
        <f>ROUND((ROUND((ROUND((ROUND((_15_同援日増６．０*_15・基礎２),0)*_15・２人),0)*(1+_15・A深夜)),0)*(1+_15・盲ろう)),0)</f>
        <v>1316</v>
      </c>
      <c r="X278" s="48"/>
    </row>
    <row r="279" spans="1:24" ht="16.5" customHeight="1" x14ac:dyDescent="0.15">
      <c r="A279" s="41">
        <v>15</v>
      </c>
      <c r="B279" s="41" t="s">
        <v>25646</v>
      </c>
      <c r="C279" s="74" t="s">
        <v>25647</v>
      </c>
      <c r="D279" s="72"/>
      <c r="F279" s="57"/>
      <c r="G279" s="53"/>
      <c r="H279" s="49"/>
      <c r="I279" s="50"/>
      <c r="J279" s="163"/>
      <c r="K279" s="45"/>
      <c r="L279" s="46"/>
      <c r="M279" s="512"/>
      <c r="N279" s="57"/>
      <c r="O279" s="53"/>
      <c r="P279" s="49"/>
      <c r="Q279" s="50"/>
      <c r="R279" s="115"/>
      <c r="S279" s="53"/>
      <c r="T279" s="49"/>
      <c r="U279" s="50"/>
      <c r="V279" s="115"/>
      <c r="W279" s="208">
        <f>ROUND((ROUND((_15_同援日増６．０*(1+_15・A深夜)),0)*(1+_15・区３)),0)</f>
        <v>1404</v>
      </c>
      <c r="X279" s="48"/>
    </row>
    <row r="280" spans="1:24" ht="16.5" customHeight="1" x14ac:dyDescent="0.15">
      <c r="A280" s="41">
        <v>15</v>
      </c>
      <c r="B280" s="41" t="s">
        <v>25648</v>
      </c>
      <c r="C280" s="74" t="s">
        <v>25649</v>
      </c>
      <c r="D280" s="72"/>
      <c r="F280" s="57"/>
      <c r="G280" s="43"/>
      <c r="H280" s="37"/>
      <c r="I280" s="38"/>
      <c r="J280" s="299" t="s">
        <v>17556</v>
      </c>
      <c r="K280" s="45" t="s">
        <v>398</v>
      </c>
      <c r="L280" s="46">
        <v>1</v>
      </c>
      <c r="M280" s="512"/>
      <c r="N280" s="57"/>
      <c r="O280" s="35"/>
      <c r="R280" s="57"/>
      <c r="S280" s="35"/>
      <c r="V280" s="57"/>
      <c r="W280" s="208">
        <f>ROUND((ROUND((ROUND((_15_同援日増６．０*_15・２人),0)*(1+_15・A深夜)),0)*(1+_15・区３)),0)</f>
        <v>1404</v>
      </c>
      <c r="X280" s="48"/>
    </row>
    <row r="281" spans="1:24" ht="16.5" customHeight="1" x14ac:dyDescent="0.15">
      <c r="A281" s="41">
        <v>15</v>
      </c>
      <c r="B281" s="41" t="s">
        <v>25650</v>
      </c>
      <c r="C281" s="74" t="s">
        <v>25651</v>
      </c>
      <c r="D281" s="72"/>
      <c r="F281" s="57"/>
      <c r="G281" s="114" t="s">
        <v>17558</v>
      </c>
      <c r="H281" s="49"/>
      <c r="I281" s="50"/>
      <c r="J281" s="163"/>
      <c r="K281" s="45"/>
      <c r="L281" s="46"/>
      <c r="M281" s="512"/>
      <c r="N281" s="57"/>
      <c r="O281" s="35"/>
      <c r="R281" s="57"/>
      <c r="S281" s="72" t="s">
        <v>17570</v>
      </c>
      <c r="V281" s="57"/>
      <c r="W281" s="208">
        <f>ROUND((ROUND((ROUND((_15_同援日増６．０*_15・基礎２),0)*(1+_15・A深夜)),0)*(1+_15・区３)),0)</f>
        <v>1264</v>
      </c>
      <c r="X281" s="48"/>
    </row>
    <row r="282" spans="1:24" ht="16.5" customHeight="1" x14ac:dyDescent="0.15">
      <c r="A282" s="41">
        <v>15</v>
      </c>
      <c r="B282" s="41" t="s">
        <v>25652</v>
      </c>
      <c r="C282" s="74" t="s">
        <v>25653</v>
      </c>
      <c r="D282" s="72"/>
      <c r="F282" s="57"/>
      <c r="G282" s="269" t="s">
        <v>17560</v>
      </c>
      <c r="H282" s="37" t="s">
        <v>398</v>
      </c>
      <c r="I282" s="38">
        <v>0.9</v>
      </c>
      <c r="J282" s="299" t="s">
        <v>17556</v>
      </c>
      <c r="K282" s="45" t="s">
        <v>398</v>
      </c>
      <c r="L282" s="46">
        <v>1</v>
      </c>
      <c r="M282" s="512"/>
      <c r="N282" s="57"/>
      <c r="O282" s="43"/>
      <c r="P282" s="37"/>
      <c r="Q282" s="38"/>
      <c r="R282" s="79"/>
      <c r="S282" s="72" t="s">
        <v>17572</v>
      </c>
      <c r="V282" s="57"/>
      <c r="W282" s="208">
        <f>ROUND((ROUND((ROUND((ROUND((_15_同援日増６．０*_15・基礎２),0)*_15・２人),0)*(1+_15・A深夜)),0)*(1+_15・区３)),0)</f>
        <v>1264</v>
      </c>
      <c r="X282" s="48"/>
    </row>
    <row r="283" spans="1:24" ht="16.5" customHeight="1" x14ac:dyDescent="0.15">
      <c r="A283" s="41">
        <v>15</v>
      </c>
      <c r="B283" s="41" t="s">
        <v>25654</v>
      </c>
      <c r="C283" s="74" t="s">
        <v>25655</v>
      </c>
      <c r="D283" s="72"/>
      <c r="F283" s="57"/>
      <c r="G283" s="53"/>
      <c r="H283" s="49"/>
      <c r="I283" s="50"/>
      <c r="J283" s="163"/>
      <c r="K283" s="45"/>
      <c r="L283" s="46"/>
      <c r="M283" s="512"/>
      <c r="N283" s="57"/>
      <c r="O283" s="114" t="s">
        <v>17562</v>
      </c>
      <c r="P283" s="49"/>
      <c r="Q283" s="50"/>
      <c r="R283" s="115"/>
      <c r="S283" s="35"/>
      <c r="T283" s="12" t="s">
        <v>398</v>
      </c>
      <c r="U283" s="13">
        <v>0.2</v>
      </c>
      <c r="V283" s="57" t="s">
        <v>3575</v>
      </c>
      <c r="W283" s="208">
        <f>ROUND((ROUND((ROUND((_15_同援日増６．０*(1+_15・A深夜)),0)*(1+_15・盲ろう)),0)*(1+_15・区３)),0)</f>
        <v>1756</v>
      </c>
      <c r="X283" s="48"/>
    </row>
    <row r="284" spans="1:24" ht="16.5" customHeight="1" x14ac:dyDescent="0.15">
      <c r="A284" s="41">
        <v>15</v>
      </c>
      <c r="B284" s="41" t="s">
        <v>25656</v>
      </c>
      <c r="C284" s="74" t="s">
        <v>25657</v>
      </c>
      <c r="D284" s="72"/>
      <c r="F284" s="57"/>
      <c r="G284" s="43"/>
      <c r="H284" s="37"/>
      <c r="I284" s="38"/>
      <c r="J284" s="299" t="s">
        <v>17556</v>
      </c>
      <c r="K284" s="45" t="s">
        <v>398</v>
      </c>
      <c r="L284" s="46">
        <v>1</v>
      </c>
      <c r="M284" s="512"/>
      <c r="N284" s="57"/>
      <c r="O284" s="92" t="s">
        <v>17564</v>
      </c>
      <c r="R284" s="57"/>
      <c r="S284" s="35"/>
      <c r="V284" s="57"/>
      <c r="W284" s="208">
        <f>ROUND((ROUND((ROUND((ROUND((_15_同援日増６．０*_15・２人),0)*(1+_15・A深夜)),0)*(1+_15・盲ろう)),0)*(1+_15・区３)),0)</f>
        <v>1756</v>
      </c>
      <c r="X284" s="48"/>
    </row>
    <row r="285" spans="1:24" ht="16.5" customHeight="1" x14ac:dyDescent="0.15">
      <c r="A285" s="41">
        <v>15</v>
      </c>
      <c r="B285" s="41" t="s">
        <v>2438</v>
      </c>
      <c r="C285" s="74" t="s">
        <v>25658</v>
      </c>
      <c r="D285" s="72"/>
      <c r="F285" s="57"/>
      <c r="G285" s="114" t="s">
        <v>17558</v>
      </c>
      <c r="H285" s="49"/>
      <c r="I285" s="50"/>
      <c r="J285" s="163"/>
      <c r="K285" s="45"/>
      <c r="L285" s="46"/>
      <c r="M285" s="512"/>
      <c r="N285" s="57"/>
      <c r="O285" s="35"/>
      <c r="P285" s="12" t="s">
        <v>398</v>
      </c>
      <c r="Q285" s="13">
        <v>0.25</v>
      </c>
      <c r="R285" s="57" t="s">
        <v>3575</v>
      </c>
      <c r="S285" s="35"/>
      <c r="V285" s="57"/>
      <c r="W285" s="208">
        <f>ROUND((ROUND((ROUND((ROUND((_15_同援日増６．０*_15・基礎２),0)*(1+_15・A深夜)),0)*(1+_15・盲ろう)),0)*(1+_15・区３)),0)</f>
        <v>1579</v>
      </c>
      <c r="X285" s="48"/>
    </row>
    <row r="286" spans="1:24" ht="16.5" customHeight="1" x14ac:dyDescent="0.15">
      <c r="A286" s="41">
        <v>15</v>
      </c>
      <c r="B286" s="41" t="s">
        <v>2440</v>
      </c>
      <c r="C286" s="74" t="s">
        <v>25659</v>
      </c>
      <c r="D286" s="72"/>
      <c r="F286" s="57"/>
      <c r="G286" s="269" t="s">
        <v>17560</v>
      </c>
      <c r="H286" s="37" t="s">
        <v>398</v>
      </c>
      <c r="I286" s="38">
        <v>0.9</v>
      </c>
      <c r="J286" s="299" t="s">
        <v>17556</v>
      </c>
      <c r="K286" s="45" t="s">
        <v>398</v>
      </c>
      <c r="L286" s="46">
        <v>1</v>
      </c>
      <c r="M286" s="512"/>
      <c r="N286" s="57"/>
      <c r="O286" s="43"/>
      <c r="P286" s="37"/>
      <c r="Q286" s="38"/>
      <c r="R286" s="79"/>
      <c r="S286" s="43"/>
      <c r="T286" s="37"/>
      <c r="U286" s="38"/>
      <c r="V286" s="79"/>
      <c r="W286" s="208">
        <f>ROUND((ROUND((ROUND((ROUND((ROUND((_15_同援日増６．０*_15・基礎２),0)*_15・２人),0)*(1+_15・A深夜)),0)*(1+_15・盲ろう)),0)*(1+_15・区３)),0)</f>
        <v>1579</v>
      </c>
      <c r="X286" s="48"/>
    </row>
    <row r="287" spans="1:24" ht="16.5" customHeight="1" x14ac:dyDescent="0.15">
      <c r="A287" s="41">
        <v>15</v>
      </c>
      <c r="B287" s="41" t="s">
        <v>2442</v>
      </c>
      <c r="C287" s="74" t="s">
        <v>25660</v>
      </c>
      <c r="D287" s="72"/>
      <c r="F287" s="57"/>
      <c r="G287" s="53"/>
      <c r="H287" s="49"/>
      <c r="I287" s="50"/>
      <c r="J287" s="163"/>
      <c r="K287" s="45"/>
      <c r="L287" s="46"/>
      <c r="M287" s="512"/>
      <c r="N287" s="57"/>
      <c r="O287" s="53"/>
      <c r="P287" s="49"/>
      <c r="Q287" s="50"/>
      <c r="R287" s="115"/>
      <c r="S287" s="53"/>
      <c r="T287" s="49"/>
      <c r="U287" s="50"/>
      <c r="V287" s="115"/>
      <c r="W287" s="208">
        <f>ROUND((ROUND((_15_同援日増６．０*(1+_15・A深夜)),0)*(1+_15・区４)),0)</f>
        <v>1638</v>
      </c>
      <c r="X287" s="48"/>
    </row>
    <row r="288" spans="1:24" ht="16.5" customHeight="1" x14ac:dyDescent="0.15">
      <c r="A288" s="41">
        <v>15</v>
      </c>
      <c r="B288" s="41" t="s">
        <v>2444</v>
      </c>
      <c r="C288" s="74" t="s">
        <v>25661</v>
      </c>
      <c r="D288" s="72"/>
      <c r="F288" s="57"/>
      <c r="G288" s="43"/>
      <c r="H288" s="37"/>
      <c r="I288" s="38"/>
      <c r="J288" s="299" t="s">
        <v>17556</v>
      </c>
      <c r="K288" s="45" t="s">
        <v>398</v>
      </c>
      <c r="L288" s="46">
        <v>1</v>
      </c>
      <c r="M288" s="512"/>
      <c r="N288" s="57"/>
      <c r="O288" s="35"/>
      <c r="R288" s="57"/>
      <c r="S288" s="35"/>
      <c r="V288" s="57"/>
      <c r="W288" s="208">
        <f>ROUND((ROUND((ROUND((_15_同援日増６．０*_15・２人),0)*(1+_15・A深夜)),0)*(1+_15・区４)),0)</f>
        <v>1638</v>
      </c>
      <c r="X288" s="48"/>
    </row>
    <row r="289" spans="1:24" ht="16.5" customHeight="1" x14ac:dyDescent="0.15">
      <c r="A289" s="41">
        <v>15</v>
      </c>
      <c r="B289" s="41" t="s">
        <v>25662</v>
      </c>
      <c r="C289" s="74" t="s">
        <v>25663</v>
      </c>
      <c r="D289" s="72"/>
      <c r="F289" s="57"/>
      <c r="G289" s="114" t="s">
        <v>17558</v>
      </c>
      <c r="H289" s="49"/>
      <c r="I289" s="50"/>
      <c r="J289" s="163"/>
      <c r="K289" s="45"/>
      <c r="L289" s="46"/>
      <c r="M289" s="512"/>
      <c r="N289" s="57"/>
      <c r="O289" s="35"/>
      <c r="R289" s="57"/>
      <c r="S289" s="72" t="s">
        <v>17580</v>
      </c>
      <c r="V289" s="57"/>
      <c r="W289" s="208">
        <f>ROUND((ROUND((ROUND((_15_同援日増６．０*_15・基礎２),0)*(1+_15・A深夜)),0)*(1+_15・区４)),0)</f>
        <v>1474</v>
      </c>
      <c r="X289" s="48"/>
    </row>
    <row r="290" spans="1:24" ht="16.5" customHeight="1" x14ac:dyDescent="0.15">
      <c r="A290" s="41">
        <v>15</v>
      </c>
      <c r="B290" s="41" t="s">
        <v>25664</v>
      </c>
      <c r="C290" s="74" t="s">
        <v>25665</v>
      </c>
      <c r="D290" s="72"/>
      <c r="F290" s="57"/>
      <c r="G290" s="269" t="s">
        <v>17560</v>
      </c>
      <c r="H290" s="37" t="s">
        <v>398</v>
      </c>
      <c r="I290" s="38">
        <v>0.9</v>
      </c>
      <c r="J290" s="299" t="s">
        <v>17556</v>
      </c>
      <c r="K290" s="45" t="s">
        <v>398</v>
      </c>
      <c r="L290" s="46">
        <v>1</v>
      </c>
      <c r="M290" s="512"/>
      <c r="N290" s="57"/>
      <c r="O290" s="43"/>
      <c r="P290" s="37"/>
      <c r="Q290" s="38"/>
      <c r="R290" s="79"/>
      <c r="S290" s="72" t="s">
        <v>17572</v>
      </c>
      <c r="V290" s="57"/>
      <c r="W290" s="208">
        <f>ROUND((ROUND((ROUND((ROUND((_15_同援日増６．０*_15・基礎２),0)*_15・２人),0)*(1+_15・A深夜)),0)*(1+_15・区４)),0)</f>
        <v>1474</v>
      </c>
      <c r="X290" s="48"/>
    </row>
    <row r="291" spans="1:24" ht="16.5" customHeight="1" x14ac:dyDescent="0.15">
      <c r="A291" s="41">
        <v>15</v>
      </c>
      <c r="B291" s="41" t="s">
        <v>25666</v>
      </c>
      <c r="C291" s="74" t="s">
        <v>25667</v>
      </c>
      <c r="D291" s="72"/>
      <c r="F291" s="57"/>
      <c r="G291" s="53"/>
      <c r="H291" s="49"/>
      <c r="I291" s="50"/>
      <c r="J291" s="163"/>
      <c r="K291" s="45"/>
      <c r="L291" s="46"/>
      <c r="M291" s="512"/>
      <c r="N291" s="57"/>
      <c r="O291" s="114" t="s">
        <v>17562</v>
      </c>
      <c r="P291" s="49"/>
      <c r="Q291" s="50"/>
      <c r="R291" s="115"/>
      <c r="S291" s="35"/>
      <c r="T291" s="12" t="s">
        <v>398</v>
      </c>
      <c r="U291" s="13">
        <v>0.4</v>
      </c>
      <c r="V291" s="57" t="s">
        <v>3575</v>
      </c>
      <c r="W291" s="208">
        <f>ROUND((ROUND((ROUND((_15_同援日増６．０*(1+_15・A深夜)),0)*(1+_15・盲ろう)),0)*(1+_15・区４)),0)</f>
        <v>2048</v>
      </c>
      <c r="X291" s="48"/>
    </row>
    <row r="292" spans="1:24" ht="16.5" customHeight="1" x14ac:dyDescent="0.15">
      <c r="A292" s="41">
        <v>15</v>
      </c>
      <c r="B292" s="41" t="s">
        <v>25668</v>
      </c>
      <c r="C292" s="74" t="s">
        <v>25669</v>
      </c>
      <c r="D292" s="72"/>
      <c r="F292" s="57"/>
      <c r="G292" s="43"/>
      <c r="H292" s="37"/>
      <c r="I292" s="38"/>
      <c r="J292" s="299" t="s">
        <v>17556</v>
      </c>
      <c r="K292" s="45" t="s">
        <v>398</v>
      </c>
      <c r="L292" s="46">
        <v>1</v>
      </c>
      <c r="M292" s="512"/>
      <c r="N292" s="57"/>
      <c r="O292" s="92" t="s">
        <v>17564</v>
      </c>
      <c r="R292" s="57"/>
      <c r="S292" s="35"/>
      <c r="V292" s="57"/>
      <c r="W292" s="208">
        <f>ROUND((ROUND((ROUND((ROUND((_15_同援日増６．０*_15・２人),0)*(1+_15・A深夜)),0)*(1+_15・盲ろう)),0)*(1+_15・区４)),0)</f>
        <v>2048</v>
      </c>
      <c r="X292" s="48"/>
    </row>
    <row r="293" spans="1:24" ht="16.5" customHeight="1" x14ac:dyDescent="0.15">
      <c r="A293" s="41">
        <v>15</v>
      </c>
      <c r="B293" s="41" t="s">
        <v>25670</v>
      </c>
      <c r="C293" s="74" t="s">
        <v>25671</v>
      </c>
      <c r="D293" s="72"/>
      <c r="F293" s="57"/>
      <c r="G293" s="114" t="s">
        <v>17558</v>
      </c>
      <c r="H293" s="49"/>
      <c r="I293" s="50"/>
      <c r="J293" s="163"/>
      <c r="K293" s="45"/>
      <c r="L293" s="46"/>
      <c r="M293" s="512"/>
      <c r="N293" s="57"/>
      <c r="O293" s="35"/>
      <c r="P293" s="12" t="s">
        <v>398</v>
      </c>
      <c r="Q293" s="13">
        <v>0.25</v>
      </c>
      <c r="R293" s="57" t="s">
        <v>3575</v>
      </c>
      <c r="S293" s="35"/>
      <c r="V293" s="57"/>
      <c r="W293" s="208">
        <f>ROUND((ROUND((ROUND((ROUND((_15_同援日増６．０*_15・基礎２),0)*(1+_15・A深夜)),0)*(1+_15・盲ろう)),0)*(1+_15・区４)),0)</f>
        <v>1842</v>
      </c>
      <c r="X293" s="48"/>
    </row>
    <row r="294" spans="1:24" ht="16.5" customHeight="1" x14ac:dyDescent="0.15">
      <c r="A294" s="41">
        <v>15</v>
      </c>
      <c r="B294" s="41" t="s">
        <v>25672</v>
      </c>
      <c r="C294" s="74" t="s">
        <v>25673</v>
      </c>
      <c r="D294" s="122"/>
      <c r="E294" s="37"/>
      <c r="F294" s="79"/>
      <c r="G294" s="269" t="s">
        <v>17560</v>
      </c>
      <c r="H294" s="37" t="s">
        <v>398</v>
      </c>
      <c r="I294" s="38">
        <v>0.9</v>
      </c>
      <c r="J294" s="299" t="s">
        <v>17556</v>
      </c>
      <c r="K294" s="45" t="s">
        <v>398</v>
      </c>
      <c r="L294" s="46">
        <v>1</v>
      </c>
      <c r="M294" s="512"/>
      <c r="N294" s="57"/>
      <c r="O294" s="43"/>
      <c r="P294" s="37"/>
      <c r="Q294" s="38"/>
      <c r="R294" s="79"/>
      <c r="S294" s="43"/>
      <c r="T294" s="37"/>
      <c r="U294" s="38"/>
      <c r="V294" s="79"/>
      <c r="W294" s="208">
        <f>ROUND((ROUND((ROUND((ROUND((ROUND((_15_同援日増６．０*_15・基礎２),0)*_15・２人),0)*(1+_15・A深夜)),0)*(1+_15・盲ろう)),0)*(1+_15・区４)),0)</f>
        <v>1842</v>
      </c>
      <c r="X294" s="48"/>
    </row>
    <row r="295" spans="1:24" ht="16.5" customHeight="1" x14ac:dyDescent="0.15">
      <c r="A295" s="41">
        <v>15</v>
      </c>
      <c r="B295" s="41" t="s">
        <v>25674</v>
      </c>
      <c r="C295" s="74" t="s">
        <v>25675</v>
      </c>
      <c r="D295" s="114" t="s">
        <v>25676</v>
      </c>
      <c r="E295" s="49"/>
      <c r="F295" s="115"/>
      <c r="G295" s="53"/>
      <c r="H295" s="49"/>
      <c r="I295" s="50"/>
      <c r="J295" s="163"/>
      <c r="K295" s="45"/>
      <c r="L295" s="46"/>
      <c r="M295" s="512"/>
      <c r="N295" s="57"/>
      <c r="O295" s="53"/>
      <c r="P295" s="49"/>
      <c r="Q295" s="50"/>
      <c r="R295" s="115"/>
      <c r="S295" s="53"/>
      <c r="T295" s="49"/>
      <c r="U295" s="50"/>
      <c r="V295" s="115"/>
      <c r="W295" s="208">
        <f>ROUND((_15_同援日増６．５*(1+_15・A深夜)),0)</f>
        <v>1268</v>
      </c>
      <c r="X295" s="48"/>
    </row>
    <row r="296" spans="1:24" ht="16.5" customHeight="1" x14ac:dyDescent="0.15">
      <c r="A296" s="41">
        <v>15</v>
      </c>
      <c r="B296" s="41" t="s">
        <v>25677</v>
      </c>
      <c r="C296" s="74" t="s">
        <v>25678</v>
      </c>
      <c r="D296" s="72" t="s">
        <v>17886</v>
      </c>
      <c r="F296" s="57"/>
      <c r="G296" s="43"/>
      <c r="H296" s="37"/>
      <c r="I296" s="38"/>
      <c r="J296" s="299" t="s">
        <v>17556</v>
      </c>
      <c r="K296" s="45" t="s">
        <v>398</v>
      </c>
      <c r="L296" s="46">
        <v>1</v>
      </c>
      <c r="M296" s="512"/>
      <c r="N296" s="57"/>
      <c r="O296" s="35"/>
      <c r="R296" s="57"/>
      <c r="S296" s="35"/>
      <c r="V296" s="57"/>
      <c r="W296" s="208">
        <f>ROUND((ROUND((_15_同援日増６．５*_15・２人),0)*(1+_15・A深夜)),0)</f>
        <v>1268</v>
      </c>
      <c r="X296" s="48"/>
    </row>
    <row r="297" spans="1:24" ht="16.5" customHeight="1" x14ac:dyDescent="0.15">
      <c r="A297" s="41">
        <v>15</v>
      </c>
      <c r="B297" s="41" t="s">
        <v>25679</v>
      </c>
      <c r="C297" s="74" t="s">
        <v>25680</v>
      </c>
      <c r="D297" s="72" t="s">
        <v>18794</v>
      </c>
      <c r="F297" s="57"/>
      <c r="G297" s="114" t="s">
        <v>17558</v>
      </c>
      <c r="H297" s="49"/>
      <c r="I297" s="50"/>
      <c r="J297" s="163"/>
      <c r="K297" s="45"/>
      <c r="L297" s="46"/>
      <c r="M297" s="512"/>
      <c r="N297" s="57"/>
      <c r="O297" s="35"/>
      <c r="R297" s="57"/>
      <c r="S297" s="35"/>
      <c r="V297" s="57"/>
      <c r="W297" s="208">
        <f>ROUND((ROUND((_15_同援日増６．５*_15・基礎２),0)*(1+_15・A深夜)),0)</f>
        <v>1142</v>
      </c>
      <c r="X297" s="48"/>
    </row>
    <row r="298" spans="1:24" ht="16.5" customHeight="1" x14ac:dyDescent="0.15">
      <c r="A298" s="41">
        <v>15</v>
      </c>
      <c r="B298" s="41" t="s">
        <v>25681</v>
      </c>
      <c r="C298" s="74" t="s">
        <v>25682</v>
      </c>
      <c r="D298" s="72"/>
      <c r="E298" s="168">
        <f>_15_同援日増６．５</f>
        <v>845</v>
      </c>
      <c r="F298" s="57" t="s">
        <v>392</v>
      </c>
      <c r="G298" s="269" t="s">
        <v>17560</v>
      </c>
      <c r="H298" s="37" t="s">
        <v>398</v>
      </c>
      <c r="I298" s="38">
        <v>0.9</v>
      </c>
      <c r="J298" s="299" t="s">
        <v>17556</v>
      </c>
      <c r="K298" s="45" t="s">
        <v>398</v>
      </c>
      <c r="L298" s="46">
        <v>1</v>
      </c>
      <c r="M298" s="512"/>
      <c r="N298" s="57"/>
      <c r="O298" s="43"/>
      <c r="P298" s="37"/>
      <c r="Q298" s="38"/>
      <c r="R298" s="79"/>
      <c r="S298" s="35"/>
      <c r="V298" s="57"/>
      <c r="W298" s="208">
        <f>ROUND((ROUND((ROUND((_15_同援日増６．５*_15・基礎２),0)*_15・２人),0)*(1+_15・A深夜)),0)</f>
        <v>1142</v>
      </c>
      <c r="X298" s="48"/>
    </row>
    <row r="299" spans="1:24" ht="16.5" customHeight="1" x14ac:dyDescent="0.15">
      <c r="A299" s="41">
        <v>15</v>
      </c>
      <c r="B299" s="41" t="s">
        <v>25683</v>
      </c>
      <c r="C299" s="74" t="s">
        <v>25684</v>
      </c>
      <c r="D299" s="72"/>
      <c r="F299" s="57"/>
      <c r="G299" s="53"/>
      <c r="H299" s="49"/>
      <c r="I299" s="50"/>
      <c r="J299" s="163"/>
      <c r="K299" s="45"/>
      <c r="L299" s="46"/>
      <c r="M299" s="512"/>
      <c r="N299" s="57"/>
      <c r="O299" s="114" t="s">
        <v>17562</v>
      </c>
      <c r="P299" s="49"/>
      <c r="Q299" s="50"/>
      <c r="R299" s="115"/>
      <c r="S299" s="35"/>
      <c r="V299" s="57"/>
      <c r="W299" s="208">
        <f>ROUND((ROUND((_15_同援日増６．５*(1+_15・A深夜)),0)*(1+_15・盲ろう)),0)</f>
        <v>1585</v>
      </c>
      <c r="X299" s="48"/>
    </row>
    <row r="300" spans="1:24" ht="16.5" customHeight="1" x14ac:dyDescent="0.15">
      <c r="A300" s="41">
        <v>15</v>
      </c>
      <c r="B300" s="41" t="s">
        <v>25685</v>
      </c>
      <c r="C300" s="74" t="s">
        <v>25686</v>
      </c>
      <c r="D300" s="72"/>
      <c r="F300" s="57"/>
      <c r="G300" s="43"/>
      <c r="H300" s="37"/>
      <c r="I300" s="38"/>
      <c r="J300" s="299" t="s">
        <v>17556</v>
      </c>
      <c r="K300" s="45" t="s">
        <v>398</v>
      </c>
      <c r="L300" s="46">
        <v>1</v>
      </c>
      <c r="M300" s="512"/>
      <c r="N300" s="57"/>
      <c r="O300" s="92" t="s">
        <v>17564</v>
      </c>
      <c r="R300" s="57"/>
      <c r="S300" s="35"/>
      <c r="V300" s="57"/>
      <c r="W300" s="208">
        <f>ROUND((ROUND((ROUND((_15_同援日増６．５*_15・２人),0)*(1+_15・A深夜)),0)*(1+_15・盲ろう)),0)</f>
        <v>1585</v>
      </c>
      <c r="X300" s="48"/>
    </row>
    <row r="301" spans="1:24" ht="16.5" customHeight="1" x14ac:dyDescent="0.15">
      <c r="A301" s="41">
        <v>15</v>
      </c>
      <c r="B301" s="41" t="s">
        <v>25687</v>
      </c>
      <c r="C301" s="74" t="s">
        <v>25688</v>
      </c>
      <c r="D301" s="72"/>
      <c r="F301" s="57"/>
      <c r="G301" s="114" t="s">
        <v>17558</v>
      </c>
      <c r="H301" s="49"/>
      <c r="I301" s="50"/>
      <c r="J301" s="163"/>
      <c r="K301" s="45"/>
      <c r="L301" s="46"/>
      <c r="M301" s="512"/>
      <c r="N301" s="57"/>
      <c r="O301" s="35"/>
      <c r="P301" s="12" t="s">
        <v>398</v>
      </c>
      <c r="Q301" s="13">
        <v>0.25</v>
      </c>
      <c r="R301" s="57" t="s">
        <v>3575</v>
      </c>
      <c r="S301" s="35"/>
      <c r="V301" s="57"/>
      <c r="W301" s="208">
        <f>ROUND((ROUND((ROUND((_15_同援日増６．５*_15・基礎２),0)*(1+_15・A深夜)),0)*(1+_15・盲ろう)),0)</f>
        <v>1428</v>
      </c>
      <c r="X301" s="48"/>
    </row>
    <row r="302" spans="1:24" ht="16.5" customHeight="1" x14ac:dyDescent="0.15">
      <c r="A302" s="41">
        <v>15</v>
      </c>
      <c r="B302" s="41" t="s">
        <v>25689</v>
      </c>
      <c r="C302" s="74" t="s">
        <v>25690</v>
      </c>
      <c r="D302" s="72"/>
      <c r="F302" s="57"/>
      <c r="G302" s="269" t="s">
        <v>17560</v>
      </c>
      <c r="H302" s="37" t="s">
        <v>398</v>
      </c>
      <c r="I302" s="38">
        <v>0.9</v>
      </c>
      <c r="J302" s="299" t="s">
        <v>17556</v>
      </c>
      <c r="K302" s="45" t="s">
        <v>398</v>
      </c>
      <c r="L302" s="46">
        <v>1</v>
      </c>
      <c r="M302" s="512"/>
      <c r="N302" s="57"/>
      <c r="O302" s="43"/>
      <c r="P302" s="37"/>
      <c r="Q302" s="38"/>
      <c r="R302" s="79"/>
      <c r="S302" s="43"/>
      <c r="T302" s="37"/>
      <c r="U302" s="38"/>
      <c r="V302" s="79"/>
      <c r="W302" s="208">
        <f>ROUND((ROUND((ROUND((ROUND((_15_同援日増６．５*_15・基礎２),0)*_15・２人),0)*(1+_15・A深夜)),0)*(1+_15・盲ろう)),0)</f>
        <v>1428</v>
      </c>
      <c r="X302" s="48"/>
    </row>
    <row r="303" spans="1:24" ht="16.5" customHeight="1" x14ac:dyDescent="0.15">
      <c r="A303" s="41">
        <v>15</v>
      </c>
      <c r="B303" s="41" t="s">
        <v>25691</v>
      </c>
      <c r="C303" s="74" t="s">
        <v>25692</v>
      </c>
      <c r="D303" s="72"/>
      <c r="F303" s="57"/>
      <c r="G303" s="53"/>
      <c r="H303" s="49"/>
      <c r="I303" s="50"/>
      <c r="J303" s="163"/>
      <c r="K303" s="45"/>
      <c r="L303" s="46"/>
      <c r="M303" s="512"/>
      <c r="N303" s="57"/>
      <c r="O303" s="53"/>
      <c r="P303" s="49"/>
      <c r="Q303" s="50"/>
      <c r="R303" s="115"/>
      <c r="S303" s="53"/>
      <c r="T303" s="49"/>
      <c r="U303" s="50"/>
      <c r="V303" s="115"/>
      <c r="W303" s="208">
        <f>ROUND((ROUND((_15_同援日増６．５*(1+_15・A深夜)),0)*(1+_15・区３)),0)</f>
        <v>1522</v>
      </c>
      <c r="X303" s="48"/>
    </row>
    <row r="304" spans="1:24" ht="16.5" customHeight="1" x14ac:dyDescent="0.15">
      <c r="A304" s="41">
        <v>15</v>
      </c>
      <c r="B304" s="41" t="s">
        <v>25693</v>
      </c>
      <c r="C304" s="74" t="s">
        <v>25694</v>
      </c>
      <c r="D304" s="72"/>
      <c r="F304" s="57"/>
      <c r="G304" s="43"/>
      <c r="H304" s="37"/>
      <c r="I304" s="38"/>
      <c r="J304" s="299" t="s">
        <v>17556</v>
      </c>
      <c r="K304" s="45" t="s">
        <v>398</v>
      </c>
      <c r="L304" s="46">
        <v>1</v>
      </c>
      <c r="M304" s="512"/>
      <c r="N304" s="57"/>
      <c r="O304" s="35"/>
      <c r="R304" s="57"/>
      <c r="S304" s="35"/>
      <c r="V304" s="57"/>
      <c r="W304" s="208">
        <f>ROUND((ROUND((ROUND((_15_同援日増６．５*_15・２人),0)*(1+_15・A深夜)),0)*(1+_15・区３)),0)</f>
        <v>1522</v>
      </c>
      <c r="X304" s="48"/>
    </row>
    <row r="305" spans="1:24" ht="16.5" customHeight="1" x14ac:dyDescent="0.15">
      <c r="A305" s="41">
        <v>15</v>
      </c>
      <c r="B305" s="41" t="s">
        <v>2451</v>
      </c>
      <c r="C305" s="74" t="s">
        <v>25695</v>
      </c>
      <c r="D305" s="72"/>
      <c r="F305" s="57"/>
      <c r="G305" s="114" t="s">
        <v>17558</v>
      </c>
      <c r="H305" s="49"/>
      <c r="I305" s="50"/>
      <c r="J305" s="163"/>
      <c r="K305" s="45"/>
      <c r="L305" s="46"/>
      <c r="M305" s="512"/>
      <c r="N305" s="57"/>
      <c r="O305" s="35"/>
      <c r="R305" s="57"/>
      <c r="S305" s="72" t="s">
        <v>17570</v>
      </c>
      <c r="V305" s="57"/>
      <c r="W305" s="208">
        <f>ROUND((ROUND((ROUND((_15_同援日増６．５*_15・基礎２),0)*(1+_15・A深夜)),0)*(1+_15・区３)),0)</f>
        <v>1370</v>
      </c>
      <c r="X305" s="48"/>
    </row>
    <row r="306" spans="1:24" ht="16.5" customHeight="1" x14ac:dyDescent="0.15">
      <c r="A306" s="41">
        <v>15</v>
      </c>
      <c r="B306" s="41" t="s">
        <v>2453</v>
      </c>
      <c r="C306" s="74" t="s">
        <v>25696</v>
      </c>
      <c r="D306" s="72"/>
      <c r="F306" s="57"/>
      <c r="G306" s="269" t="s">
        <v>17560</v>
      </c>
      <c r="H306" s="37" t="s">
        <v>398</v>
      </c>
      <c r="I306" s="38">
        <v>0.9</v>
      </c>
      <c r="J306" s="299" t="s">
        <v>17556</v>
      </c>
      <c r="K306" s="45" t="s">
        <v>398</v>
      </c>
      <c r="L306" s="46">
        <v>1</v>
      </c>
      <c r="M306" s="512"/>
      <c r="N306" s="57"/>
      <c r="O306" s="43"/>
      <c r="P306" s="37"/>
      <c r="Q306" s="38"/>
      <c r="R306" s="79"/>
      <c r="S306" s="72" t="s">
        <v>17572</v>
      </c>
      <c r="V306" s="57"/>
      <c r="W306" s="208">
        <f>ROUND((ROUND((ROUND((ROUND((_15_同援日増６．５*_15・基礎２),0)*_15・２人),0)*(1+_15・A深夜)),0)*(1+_15・区３)),0)</f>
        <v>1370</v>
      </c>
      <c r="X306" s="48"/>
    </row>
    <row r="307" spans="1:24" ht="16.5" customHeight="1" x14ac:dyDescent="0.15">
      <c r="A307" s="41">
        <v>15</v>
      </c>
      <c r="B307" s="41" t="s">
        <v>2455</v>
      </c>
      <c r="C307" s="74" t="s">
        <v>25697</v>
      </c>
      <c r="D307" s="72"/>
      <c r="F307" s="57"/>
      <c r="G307" s="53"/>
      <c r="H307" s="49"/>
      <c r="I307" s="50"/>
      <c r="J307" s="163"/>
      <c r="K307" s="45"/>
      <c r="L307" s="46"/>
      <c r="M307" s="512"/>
      <c r="N307" s="57"/>
      <c r="O307" s="114" t="s">
        <v>17562</v>
      </c>
      <c r="P307" s="49"/>
      <c r="Q307" s="50"/>
      <c r="R307" s="115"/>
      <c r="S307" s="35"/>
      <c r="T307" s="12" t="s">
        <v>398</v>
      </c>
      <c r="U307" s="13">
        <v>0.2</v>
      </c>
      <c r="V307" s="57" t="s">
        <v>3575</v>
      </c>
      <c r="W307" s="208">
        <f>ROUND((ROUND((ROUND((_15_同援日増６．５*(1+_15・A深夜)),0)*(1+_15・盲ろう)),0)*(1+_15・区３)),0)</f>
        <v>1902</v>
      </c>
      <c r="X307" s="48"/>
    </row>
    <row r="308" spans="1:24" ht="16.5" customHeight="1" x14ac:dyDescent="0.15">
      <c r="A308" s="41">
        <v>15</v>
      </c>
      <c r="B308" s="41" t="s">
        <v>2457</v>
      </c>
      <c r="C308" s="74" t="s">
        <v>25698</v>
      </c>
      <c r="D308" s="72"/>
      <c r="F308" s="57"/>
      <c r="G308" s="43"/>
      <c r="H308" s="37"/>
      <c r="I308" s="38"/>
      <c r="J308" s="299" t="s">
        <v>17556</v>
      </c>
      <c r="K308" s="45" t="s">
        <v>398</v>
      </c>
      <c r="L308" s="46">
        <v>1</v>
      </c>
      <c r="M308" s="512"/>
      <c r="N308" s="57"/>
      <c r="O308" s="92" t="s">
        <v>17564</v>
      </c>
      <c r="R308" s="57"/>
      <c r="S308" s="35"/>
      <c r="V308" s="57"/>
      <c r="W308" s="208">
        <f>ROUND((ROUND((ROUND((ROUND((_15_同援日増６．５*_15・２人),0)*(1+_15・A深夜)),0)*(1+_15・盲ろう)),0)*(1+_15・区３)),0)</f>
        <v>1902</v>
      </c>
      <c r="X308" s="48"/>
    </row>
    <row r="309" spans="1:24" ht="16.5" customHeight="1" x14ac:dyDescent="0.15">
      <c r="A309" s="41">
        <v>15</v>
      </c>
      <c r="B309" s="41" t="s">
        <v>25699</v>
      </c>
      <c r="C309" s="74" t="s">
        <v>25700</v>
      </c>
      <c r="D309" s="72"/>
      <c r="F309" s="57"/>
      <c r="G309" s="114" t="s">
        <v>17558</v>
      </c>
      <c r="H309" s="49"/>
      <c r="I309" s="50"/>
      <c r="J309" s="163"/>
      <c r="K309" s="45"/>
      <c r="L309" s="46"/>
      <c r="M309" s="512"/>
      <c r="N309" s="57"/>
      <c r="O309" s="35"/>
      <c r="P309" s="12" t="s">
        <v>398</v>
      </c>
      <c r="Q309" s="13">
        <v>0.25</v>
      </c>
      <c r="R309" s="57" t="s">
        <v>3575</v>
      </c>
      <c r="S309" s="35"/>
      <c r="V309" s="57"/>
      <c r="W309" s="208">
        <f>ROUND((ROUND((ROUND((ROUND((_15_同援日増６．５*_15・基礎２),0)*(1+_15・A深夜)),0)*(1+_15・盲ろう)),0)*(1+_15・区３)),0)</f>
        <v>1714</v>
      </c>
      <c r="X309" s="48"/>
    </row>
    <row r="310" spans="1:24" ht="16.5" customHeight="1" x14ac:dyDescent="0.15">
      <c r="A310" s="41">
        <v>15</v>
      </c>
      <c r="B310" s="41" t="s">
        <v>25701</v>
      </c>
      <c r="C310" s="74" t="s">
        <v>25702</v>
      </c>
      <c r="D310" s="72"/>
      <c r="F310" s="57"/>
      <c r="G310" s="269" t="s">
        <v>17560</v>
      </c>
      <c r="H310" s="37" t="s">
        <v>398</v>
      </c>
      <c r="I310" s="38">
        <v>0.9</v>
      </c>
      <c r="J310" s="299" t="s">
        <v>17556</v>
      </c>
      <c r="K310" s="45" t="s">
        <v>398</v>
      </c>
      <c r="L310" s="46">
        <v>1</v>
      </c>
      <c r="M310" s="512"/>
      <c r="N310" s="57"/>
      <c r="O310" s="43"/>
      <c r="P310" s="37"/>
      <c r="Q310" s="38"/>
      <c r="R310" s="79"/>
      <c r="S310" s="43"/>
      <c r="T310" s="37"/>
      <c r="U310" s="38"/>
      <c r="V310" s="79"/>
      <c r="W310" s="208">
        <f>ROUND((ROUND((ROUND((ROUND((ROUND((_15_同援日増６．５*_15・基礎２),0)*_15・２人),0)*(1+_15・A深夜)),0)*(1+_15・盲ろう)),0)*(1+_15・区３)),0)</f>
        <v>1714</v>
      </c>
      <c r="X310" s="48"/>
    </row>
    <row r="311" spans="1:24" ht="16.5" customHeight="1" x14ac:dyDescent="0.15">
      <c r="A311" s="41">
        <v>15</v>
      </c>
      <c r="B311" s="41" t="s">
        <v>25703</v>
      </c>
      <c r="C311" s="74" t="s">
        <v>25704</v>
      </c>
      <c r="D311" s="72"/>
      <c r="F311" s="57"/>
      <c r="G311" s="53"/>
      <c r="H311" s="49"/>
      <c r="I311" s="50"/>
      <c r="J311" s="163"/>
      <c r="K311" s="45"/>
      <c r="L311" s="46"/>
      <c r="M311" s="512"/>
      <c r="N311" s="57"/>
      <c r="O311" s="53"/>
      <c r="P311" s="49"/>
      <c r="Q311" s="50"/>
      <c r="R311" s="115"/>
      <c r="S311" s="53"/>
      <c r="T311" s="49"/>
      <c r="U311" s="50"/>
      <c r="V311" s="115"/>
      <c r="W311" s="208">
        <f>ROUND((ROUND((_15_同援日増６．５*(1+_15・A深夜)),0)*(1+_15・区４)),0)</f>
        <v>1775</v>
      </c>
      <c r="X311" s="48"/>
    </row>
    <row r="312" spans="1:24" ht="16.5" customHeight="1" x14ac:dyDescent="0.15">
      <c r="A312" s="41">
        <v>15</v>
      </c>
      <c r="B312" s="41" t="s">
        <v>25705</v>
      </c>
      <c r="C312" s="74" t="s">
        <v>25706</v>
      </c>
      <c r="D312" s="72"/>
      <c r="F312" s="57"/>
      <c r="G312" s="43"/>
      <c r="H312" s="37"/>
      <c r="I312" s="38"/>
      <c r="J312" s="299" t="s">
        <v>17556</v>
      </c>
      <c r="K312" s="45" t="s">
        <v>398</v>
      </c>
      <c r="L312" s="46">
        <v>1</v>
      </c>
      <c r="M312" s="512"/>
      <c r="N312" s="57"/>
      <c r="O312" s="35"/>
      <c r="R312" s="57"/>
      <c r="S312" s="35"/>
      <c r="V312" s="57"/>
      <c r="W312" s="208">
        <f>ROUND((ROUND((ROUND((_15_同援日増６．５*_15・２人),0)*(1+_15・A深夜)),0)*(1+_15・区４)),0)</f>
        <v>1775</v>
      </c>
      <c r="X312" s="48"/>
    </row>
    <row r="313" spans="1:24" ht="16.5" customHeight="1" x14ac:dyDescent="0.15">
      <c r="A313" s="41">
        <v>15</v>
      </c>
      <c r="B313" s="41" t="s">
        <v>25707</v>
      </c>
      <c r="C313" s="74" t="s">
        <v>25708</v>
      </c>
      <c r="D313" s="72"/>
      <c r="F313" s="57"/>
      <c r="G313" s="114" t="s">
        <v>17558</v>
      </c>
      <c r="H313" s="49"/>
      <c r="I313" s="50"/>
      <c r="J313" s="163"/>
      <c r="K313" s="45"/>
      <c r="L313" s="46"/>
      <c r="M313" s="512"/>
      <c r="N313" s="57"/>
      <c r="O313" s="35"/>
      <c r="R313" s="57"/>
      <c r="S313" s="72" t="s">
        <v>17580</v>
      </c>
      <c r="V313" s="57"/>
      <c r="W313" s="208">
        <f>ROUND((ROUND((ROUND((_15_同援日増６．５*_15・基礎２),0)*(1+_15・A深夜)),0)*(1+_15・区４)),0)</f>
        <v>1599</v>
      </c>
      <c r="X313" s="48"/>
    </row>
    <row r="314" spans="1:24" ht="16.5" customHeight="1" x14ac:dyDescent="0.15">
      <c r="A314" s="41">
        <v>15</v>
      </c>
      <c r="B314" s="41" t="s">
        <v>25709</v>
      </c>
      <c r="C314" s="74" t="s">
        <v>25710</v>
      </c>
      <c r="D314" s="72"/>
      <c r="F314" s="57"/>
      <c r="G314" s="269" t="s">
        <v>17560</v>
      </c>
      <c r="H314" s="37" t="s">
        <v>398</v>
      </c>
      <c r="I314" s="38">
        <v>0.9</v>
      </c>
      <c r="J314" s="299" t="s">
        <v>17556</v>
      </c>
      <c r="K314" s="45" t="s">
        <v>398</v>
      </c>
      <c r="L314" s="46">
        <v>1</v>
      </c>
      <c r="M314" s="512"/>
      <c r="N314" s="57"/>
      <c r="O314" s="43"/>
      <c r="P314" s="37"/>
      <c r="Q314" s="38"/>
      <c r="R314" s="79"/>
      <c r="S314" s="72" t="s">
        <v>17572</v>
      </c>
      <c r="V314" s="57"/>
      <c r="W314" s="208">
        <f>ROUND((ROUND((ROUND((ROUND((_15_同援日増６．５*_15・基礎２),0)*_15・２人),0)*(1+_15・A深夜)),0)*(1+_15・区４)),0)</f>
        <v>1599</v>
      </c>
      <c r="X314" s="48"/>
    </row>
    <row r="315" spans="1:24" ht="16.5" customHeight="1" x14ac:dyDescent="0.15">
      <c r="A315" s="41">
        <v>15</v>
      </c>
      <c r="B315" s="41" t="s">
        <v>25711</v>
      </c>
      <c r="C315" s="74" t="s">
        <v>25712</v>
      </c>
      <c r="D315" s="72"/>
      <c r="F315" s="57"/>
      <c r="G315" s="53"/>
      <c r="H315" s="49"/>
      <c r="I315" s="50"/>
      <c r="J315" s="163"/>
      <c r="K315" s="45"/>
      <c r="L315" s="46"/>
      <c r="M315" s="512"/>
      <c r="N315" s="57"/>
      <c r="O315" s="114" t="s">
        <v>17562</v>
      </c>
      <c r="P315" s="49"/>
      <c r="Q315" s="50"/>
      <c r="R315" s="115"/>
      <c r="S315" s="35"/>
      <c r="T315" s="12" t="s">
        <v>398</v>
      </c>
      <c r="U315" s="13">
        <v>0.4</v>
      </c>
      <c r="V315" s="57" t="s">
        <v>3575</v>
      </c>
      <c r="W315" s="208">
        <f>ROUND((ROUND((ROUND((_15_同援日増６．５*(1+_15・A深夜)),0)*(1+_15・盲ろう)),0)*(1+_15・区４)),0)</f>
        <v>2219</v>
      </c>
      <c r="X315" s="48"/>
    </row>
    <row r="316" spans="1:24" ht="16.5" customHeight="1" x14ac:dyDescent="0.15">
      <c r="A316" s="41">
        <v>15</v>
      </c>
      <c r="B316" s="41" t="s">
        <v>25713</v>
      </c>
      <c r="C316" s="74" t="s">
        <v>25714</v>
      </c>
      <c r="D316" s="72"/>
      <c r="F316" s="57"/>
      <c r="G316" s="43"/>
      <c r="H316" s="37"/>
      <c r="I316" s="38"/>
      <c r="J316" s="299" t="s">
        <v>17556</v>
      </c>
      <c r="K316" s="45" t="s">
        <v>398</v>
      </c>
      <c r="L316" s="46">
        <v>1</v>
      </c>
      <c r="M316" s="512"/>
      <c r="N316" s="57"/>
      <c r="O316" s="92" t="s">
        <v>17564</v>
      </c>
      <c r="R316" s="57"/>
      <c r="S316" s="35"/>
      <c r="V316" s="57"/>
      <c r="W316" s="208">
        <f>ROUND((ROUND((ROUND((ROUND((_15_同援日増６．５*_15・２人),0)*(1+_15・A深夜)),0)*(1+_15・盲ろう)),0)*(1+_15・区４)),0)</f>
        <v>2219</v>
      </c>
      <c r="X316" s="48"/>
    </row>
    <row r="317" spans="1:24" ht="16.5" customHeight="1" x14ac:dyDescent="0.15">
      <c r="A317" s="41">
        <v>15</v>
      </c>
      <c r="B317" s="41" t="s">
        <v>25715</v>
      </c>
      <c r="C317" s="74" t="s">
        <v>25716</v>
      </c>
      <c r="D317" s="72"/>
      <c r="F317" s="57"/>
      <c r="G317" s="114" t="s">
        <v>17558</v>
      </c>
      <c r="H317" s="49"/>
      <c r="I317" s="50"/>
      <c r="J317" s="163"/>
      <c r="K317" s="45"/>
      <c r="L317" s="46"/>
      <c r="M317" s="512"/>
      <c r="N317" s="57"/>
      <c r="O317" s="35"/>
      <c r="P317" s="12" t="s">
        <v>398</v>
      </c>
      <c r="Q317" s="13">
        <v>0.25</v>
      </c>
      <c r="R317" s="57" t="s">
        <v>3575</v>
      </c>
      <c r="S317" s="35"/>
      <c r="V317" s="57"/>
      <c r="W317" s="208">
        <f>ROUND((ROUND((ROUND((ROUND((_15_同援日増６．５*_15・基礎２),0)*(1+_15・A深夜)),0)*(1+_15・盲ろう)),0)*(1+_15・区４)),0)</f>
        <v>1999</v>
      </c>
      <c r="X317" s="48"/>
    </row>
    <row r="318" spans="1:24" ht="16.5" customHeight="1" x14ac:dyDescent="0.15">
      <c r="A318" s="41">
        <v>15</v>
      </c>
      <c r="B318" s="41" t="s">
        <v>25717</v>
      </c>
      <c r="C318" s="74" t="s">
        <v>25718</v>
      </c>
      <c r="D318" s="122"/>
      <c r="E318" s="37"/>
      <c r="F318" s="79"/>
      <c r="G318" s="269" t="s">
        <v>17560</v>
      </c>
      <c r="H318" s="37" t="s">
        <v>398</v>
      </c>
      <c r="I318" s="38">
        <v>0.9</v>
      </c>
      <c r="J318" s="299" t="s">
        <v>17556</v>
      </c>
      <c r="K318" s="45" t="s">
        <v>398</v>
      </c>
      <c r="L318" s="46">
        <v>1</v>
      </c>
      <c r="M318" s="514"/>
      <c r="N318" s="79"/>
      <c r="O318" s="43"/>
      <c r="P318" s="37"/>
      <c r="Q318" s="38"/>
      <c r="R318" s="79"/>
      <c r="S318" s="43"/>
      <c r="T318" s="37"/>
      <c r="U318" s="38"/>
      <c r="V318" s="79"/>
      <c r="W318" s="208">
        <f>ROUND((ROUND((ROUND((ROUND((ROUND((_15_同援日増６．５*_15・基礎２),0)*_15・２人),0)*(1+_15・A深夜)),0)*(1+_15・盲ろう)),0)*(1+_15・区４)),0)</f>
        <v>1999</v>
      </c>
      <c r="X318" s="63"/>
    </row>
    <row r="319" spans="1:24" ht="16.5" customHeight="1" x14ac:dyDescent="0.15"/>
    <row r="320" spans="1:24"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47" fitToHeight="0" orientation="portrait" r:id="rId1"/>
  <headerFooter>
    <oddHeader>&amp;R&amp;"ＭＳ Ｐゴシック"&amp;9同行援護</oddHeader>
    <oddFooter>&amp;C&amp;"ＭＳ Ｐゴシック"&amp;14&amp;P</oddFooter>
  </headerFooter>
  <rowBreaks count="3" manualBreakCount="3">
    <brk id="102" max="23" man="1"/>
    <brk id="198" max="23" man="1"/>
    <brk id="270" max="2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5">
    <pageSetUpPr fitToPage="1"/>
  </sheetPr>
  <dimension ref="A1:V260"/>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13.875" style="10" bestFit="1" customWidth="1"/>
    <col min="5" max="5" width="5.875" style="12" bestFit="1" customWidth="1"/>
    <col min="6" max="6" width="4.875" style="12" bestFit="1" customWidth="1"/>
    <col min="7" max="7" width="18.5" style="12" customWidth="1"/>
    <col min="8" max="8" width="3.125" style="12" bestFit="1" customWidth="1"/>
    <col min="9" max="9" width="4.125" style="13" bestFit="1" customWidth="1"/>
    <col min="10" max="10" width="26.5" style="12" customWidth="1"/>
    <col min="11" max="11" width="3.125" style="12" bestFit="1" customWidth="1"/>
    <col min="12" max="12" width="5" style="13" bestFit="1" customWidth="1"/>
    <col min="13" max="13" width="22.5" style="12" customWidth="1"/>
    <col min="14" max="14" width="3.125" style="12" bestFit="1" customWidth="1"/>
    <col min="15" max="15" width="4.125" style="13" bestFit="1" customWidth="1"/>
    <col min="16" max="16" width="4.875" style="12" bestFit="1" customWidth="1"/>
    <col min="17" max="17" width="8.5" style="12" customWidth="1"/>
    <col min="18" max="18" width="3.125" style="12" bestFit="1" customWidth="1"/>
    <col min="19" max="19" width="4.125" style="13" bestFit="1" customWidth="1"/>
    <col min="20" max="20" width="4.875" style="12" bestFit="1" customWidth="1"/>
    <col min="21" max="21" width="7.125" style="206" customWidth="1"/>
    <col min="22" max="22" width="8.5" style="16" customWidth="1"/>
    <col min="23" max="16384" width="9" style="12"/>
  </cols>
  <sheetData>
    <row r="1" spans="1:22" ht="17.100000000000001" customHeight="1" x14ac:dyDescent="0.15"/>
    <row r="2" spans="1:22" ht="17.100000000000001" customHeight="1" x14ac:dyDescent="0.15"/>
    <row r="3" spans="1:22" ht="17.100000000000001" customHeight="1" x14ac:dyDescent="0.15"/>
    <row r="4" spans="1:22" ht="17.100000000000001" customHeight="1" x14ac:dyDescent="0.15">
      <c r="B4" s="17" t="s">
        <v>25719</v>
      </c>
      <c r="D4" s="71"/>
    </row>
    <row r="5" spans="1:22" ht="16.5" customHeight="1" x14ac:dyDescent="0.15">
      <c r="A5" s="19" t="s">
        <v>384</v>
      </c>
      <c r="B5" s="20"/>
      <c r="C5" s="21" t="s">
        <v>385</v>
      </c>
      <c r="D5" s="23" t="s">
        <v>386</v>
      </c>
      <c r="E5" s="23"/>
      <c r="F5" s="23"/>
      <c r="G5" s="23"/>
      <c r="H5" s="23"/>
      <c r="I5" s="24"/>
      <c r="J5" s="23"/>
      <c r="K5" s="23"/>
      <c r="L5" s="24"/>
      <c r="M5" s="23"/>
      <c r="N5" s="23"/>
      <c r="O5" s="24"/>
      <c r="P5" s="23"/>
      <c r="Q5" s="23"/>
      <c r="R5" s="23"/>
      <c r="S5" s="24"/>
      <c r="T5" s="23"/>
      <c r="U5" s="21" t="s">
        <v>387</v>
      </c>
      <c r="V5" s="21" t="s">
        <v>388</v>
      </c>
    </row>
    <row r="6" spans="1:22" ht="16.5" customHeight="1" x14ac:dyDescent="0.15">
      <c r="A6" s="26" t="s">
        <v>389</v>
      </c>
      <c r="B6" s="26" t="s">
        <v>390</v>
      </c>
      <c r="C6" s="27"/>
      <c r="D6" s="29"/>
      <c r="E6" s="29"/>
      <c r="F6" s="29"/>
      <c r="G6" s="29"/>
      <c r="H6" s="29"/>
      <c r="I6" s="30"/>
      <c r="J6" s="29"/>
      <c r="K6" s="29"/>
      <c r="L6" s="30"/>
      <c r="M6" s="29"/>
      <c r="N6" s="29"/>
      <c r="O6" s="30"/>
      <c r="P6" s="29"/>
      <c r="Q6" s="29"/>
      <c r="R6" s="29"/>
      <c r="S6" s="30"/>
      <c r="T6" s="29"/>
      <c r="U6" s="32" t="s">
        <v>391</v>
      </c>
      <c r="V6" s="32" t="s">
        <v>392</v>
      </c>
    </row>
    <row r="7" spans="1:22" ht="16.5" customHeight="1" x14ac:dyDescent="0.15">
      <c r="A7" s="33">
        <v>15</v>
      </c>
      <c r="B7" s="33" t="s">
        <v>25720</v>
      </c>
      <c r="C7" s="34" t="s">
        <v>25721</v>
      </c>
      <c r="D7" s="72" t="s">
        <v>17553</v>
      </c>
      <c r="F7" s="57"/>
      <c r="G7" s="35"/>
      <c r="J7" s="43"/>
      <c r="K7" s="37"/>
      <c r="L7" s="38"/>
      <c r="M7" s="35"/>
      <c r="P7" s="57"/>
      <c r="Q7" s="35"/>
      <c r="T7" s="57"/>
      <c r="U7" s="207">
        <f>ROUND((_15_同援日０．５*_15・通訳),0)</f>
        <v>171</v>
      </c>
      <c r="V7" s="40" t="s">
        <v>395</v>
      </c>
    </row>
    <row r="8" spans="1:22" ht="16.5" customHeight="1" x14ac:dyDescent="0.15">
      <c r="A8" s="41">
        <v>15</v>
      </c>
      <c r="B8" s="41" t="s">
        <v>25722</v>
      </c>
      <c r="C8" s="74" t="s">
        <v>25723</v>
      </c>
      <c r="D8" s="72" t="s">
        <v>18259</v>
      </c>
      <c r="F8" s="57"/>
      <c r="G8" s="35"/>
      <c r="J8" s="299" t="s">
        <v>17556</v>
      </c>
      <c r="K8" s="45" t="s">
        <v>398</v>
      </c>
      <c r="L8" s="46">
        <v>1</v>
      </c>
      <c r="M8" s="43"/>
      <c r="N8" s="37"/>
      <c r="O8" s="38"/>
      <c r="P8" s="79"/>
      <c r="Q8" s="35"/>
      <c r="T8" s="57"/>
      <c r="U8" s="208">
        <f>ROUND((ROUND((_15_同援日０．５*_15・通訳),0)*_15・２人),0)</f>
        <v>171</v>
      </c>
      <c r="V8" s="48"/>
    </row>
    <row r="9" spans="1:22" ht="16.5" customHeight="1" x14ac:dyDescent="0.15">
      <c r="A9" s="41">
        <v>15</v>
      </c>
      <c r="B9" s="41" t="s">
        <v>25724</v>
      </c>
      <c r="C9" s="74" t="s">
        <v>25725</v>
      </c>
      <c r="D9" s="72"/>
      <c r="F9" s="57"/>
      <c r="G9" s="35"/>
      <c r="J9" s="163"/>
      <c r="K9" s="45"/>
      <c r="L9" s="46"/>
      <c r="M9" s="114" t="s">
        <v>17562</v>
      </c>
      <c r="N9" s="49"/>
      <c r="O9" s="50"/>
      <c r="P9" s="115"/>
      <c r="Q9" s="35"/>
      <c r="T9" s="57"/>
      <c r="U9" s="208">
        <f>ROUND((ROUND((_15_同援日０．５*_15・通訳),0)*(1+_15・盲ろう)),0)</f>
        <v>214</v>
      </c>
      <c r="V9" s="48"/>
    </row>
    <row r="10" spans="1:22" ht="16.5" customHeight="1" x14ac:dyDescent="0.15">
      <c r="A10" s="41">
        <v>15</v>
      </c>
      <c r="B10" s="41" t="s">
        <v>25726</v>
      </c>
      <c r="C10" s="74" t="s">
        <v>25727</v>
      </c>
      <c r="D10" s="72"/>
      <c r="E10" s="168">
        <f>_15_同援日０．５</f>
        <v>190</v>
      </c>
      <c r="F10" s="57" t="s">
        <v>392</v>
      </c>
      <c r="G10" s="35"/>
      <c r="J10" s="299" t="s">
        <v>17556</v>
      </c>
      <c r="K10" s="45" t="s">
        <v>398</v>
      </c>
      <c r="L10" s="46">
        <v>1</v>
      </c>
      <c r="M10" s="269" t="s">
        <v>17564</v>
      </c>
      <c r="N10" s="37" t="s">
        <v>398</v>
      </c>
      <c r="O10" s="38">
        <v>0.25</v>
      </c>
      <c r="P10" s="79" t="s">
        <v>3575</v>
      </c>
      <c r="Q10" s="43"/>
      <c r="R10" s="37"/>
      <c r="S10" s="38"/>
      <c r="T10" s="79"/>
      <c r="U10" s="208">
        <f>ROUND((ROUND((ROUND((_15_同援日０．５*_15・通訳),0)*_15・２人),0)*(1+_15・盲ろう)),0)</f>
        <v>214</v>
      </c>
      <c r="V10" s="48"/>
    </row>
    <row r="11" spans="1:22" ht="16.5" customHeight="1" x14ac:dyDescent="0.15">
      <c r="A11" s="41">
        <v>15</v>
      </c>
      <c r="B11" s="41" t="s">
        <v>25728</v>
      </c>
      <c r="C11" s="74" t="s">
        <v>25729</v>
      </c>
      <c r="D11" s="72"/>
      <c r="F11" s="57"/>
      <c r="G11" s="35"/>
      <c r="J11" s="163"/>
      <c r="K11" s="45"/>
      <c r="L11" s="46"/>
      <c r="M11" s="53"/>
      <c r="N11" s="49"/>
      <c r="O11" s="50"/>
      <c r="P11" s="115"/>
      <c r="Q11" s="114" t="s">
        <v>17570</v>
      </c>
      <c r="R11" s="49"/>
      <c r="S11" s="50"/>
      <c r="T11" s="115"/>
      <c r="U11" s="208">
        <f>ROUND((ROUND((_15_同援日０．５*_15・通訳),0)*(1+_15・区３)),0)</f>
        <v>205</v>
      </c>
      <c r="V11" s="48"/>
    </row>
    <row r="12" spans="1:22" ht="16.5" customHeight="1" x14ac:dyDescent="0.15">
      <c r="A12" s="41">
        <v>15</v>
      </c>
      <c r="B12" s="41" t="s">
        <v>25730</v>
      </c>
      <c r="C12" s="74" t="s">
        <v>25731</v>
      </c>
      <c r="D12" s="72"/>
      <c r="F12" s="57"/>
      <c r="G12" s="72" t="s">
        <v>25732</v>
      </c>
      <c r="J12" s="299" t="s">
        <v>17556</v>
      </c>
      <c r="K12" s="45" t="s">
        <v>398</v>
      </c>
      <c r="L12" s="46">
        <v>1</v>
      </c>
      <c r="M12" s="43"/>
      <c r="N12" s="37"/>
      <c r="O12" s="38"/>
      <c r="P12" s="79"/>
      <c r="Q12" s="92" t="s">
        <v>17572</v>
      </c>
      <c r="T12" s="57"/>
      <c r="U12" s="208">
        <f>ROUND((ROUND((ROUND((_15_同援日０．５*_15・通訳),0)*_15・２人),0)*(1+_15・区３)),0)</f>
        <v>205</v>
      </c>
      <c r="V12" s="48"/>
    </row>
    <row r="13" spans="1:22" ht="16.5" customHeight="1" x14ac:dyDescent="0.15">
      <c r="A13" s="41">
        <v>15</v>
      </c>
      <c r="B13" s="41" t="s">
        <v>2465</v>
      </c>
      <c r="C13" s="74" t="s">
        <v>25733</v>
      </c>
      <c r="D13" s="72"/>
      <c r="F13" s="57"/>
      <c r="G13" s="92" t="s">
        <v>25734</v>
      </c>
      <c r="H13" s="12" t="s">
        <v>398</v>
      </c>
      <c r="I13" s="13">
        <v>0.9</v>
      </c>
      <c r="J13" s="163"/>
      <c r="K13" s="45"/>
      <c r="L13" s="46"/>
      <c r="M13" s="114" t="s">
        <v>17562</v>
      </c>
      <c r="N13" s="49"/>
      <c r="O13" s="50"/>
      <c r="P13" s="115"/>
      <c r="Q13" s="35"/>
      <c r="R13" s="12" t="s">
        <v>398</v>
      </c>
      <c r="S13" s="13">
        <v>0.2</v>
      </c>
      <c r="T13" s="57" t="s">
        <v>3575</v>
      </c>
      <c r="U13" s="208">
        <f>ROUND((ROUND((ROUND((_15_同援日０．５*_15・通訳),0)*(1+_15・盲ろう)),0)*(1+_15・区３)),0)</f>
        <v>257</v>
      </c>
      <c r="V13" s="48"/>
    </row>
    <row r="14" spans="1:22" ht="16.5" customHeight="1" x14ac:dyDescent="0.15">
      <c r="A14" s="41">
        <v>15</v>
      </c>
      <c r="B14" s="41" t="s">
        <v>2467</v>
      </c>
      <c r="C14" s="74" t="s">
        <v>25735</v>
      </c>
      <c r="D14" s="72"/>
      <c r="F14" s="57"/>
      <c r="G14" s="35"/>
      <c r="J14" s="299" t="s">
        <v>17556</v>
      </c>
      <c r="K14" s="45" t="s">
        <v>398</v>
      </c>
      <c r="L14" s="46">
        <v>1</v>
      </c>
      <c r="M14" s="269" t="s">
        <v>17564</v>
      </c>
      <c r="N14" s="37" t="s">
        <v>398</v>
      </c>
      <c r="O14" s="38">
        <v>0.25</v>
      </c>
      <c r="P14" s="79" t="s">
        <v>3575</v>
      </c>
      <c r="Q14" s="43"/>
      <c r="R14" s="37"/>
      <c r="S14" s="38"/>
      <c r="T14" s="79"/>
      <c r="U14" s="208">
        <f>ROUND((ROUND((ROUND((ROUND((_15_同援日０．５*_15・通訳),0)*_15・２人),0)*(1+_15・盲ろう)),0)*(1+_15・区３)),0)</f>
        <v>257</v>
      </c>
      <c r="V14" s="48"/>
    </row>
    <row r="15" spans="1:22" ht="16.5" customHeight="1" x14ac:dyDescent="0.15">
      <c r="A15" s="41">
        <v>15</v>
      </c>
      <c r="B15" s="41" t="s">
        <v>2469</v>
      </c>
      <c r="C15" s="74" t="s">
        <v>25736</v>
      </c>
      <c r="D15" s="72"/>
      <c r="F15" s="57"/>
      <c r="G15" s="35"/>
      <c r="J15" s="163"/>
      <c r="K15" s="45"/>
      <c r="L15" s="46"/>
      <c r="M15" s="53"/>
      <c r="N15" s="49"/>
      <c r="O15" s="50"/>
      <c r="P15" s="115"/>
      <c r="Q15" s="114" t="s">
        <v>17580</v>
      </c>
      <c r="R15" s="49"/>
      <c r="S15" s="50"/>
      <c r="T15" s="115"/>
      <c r="U15" s="208">
        <f>ROUND((ROUND((_15_同援日０．５*_15・通訳),0)*(1+_15・区４)),0)</f>
        <v>239</v>
      </c>
      <c r="V15" s="48"/>
    </row>
    <row r="16" spans="1:22" ht="16.5" customHeight="1" x14ac:dyDescent="0.15">
      <c r="A16" s="41">
        <v>15</v>
      </c>
      <c r="B16" s="41" t="s">
        <v>2471</v>
      </c>
      <c r="C16" s="74" t="s">
        <v>25737</v>
      </c>
      <c r="D16" s="72"/>
      <c r="F16" s="57"/>
      <c r="G16" s="35"/>
      <c r="J16" s="299" t="s">
        <v>17556</v>
      </c>
      <c r="K16" s="45" t="s">
        <v>398</v>
      </c>
      <c r="L16" s="46">
        <v>1</v>
      </c>
      <c r="M16" s="43"/>
      <c r="N16" s="37"/>
      <c r="O16" s="38"/>
      <c r="P16" s="79"/>
      <c r="Q16" s="92" t="s">
        <v>17572</v>
      </c>
      <c r="T16" s="57"/>
      <c r="U16" s="208">
        <f>ROUND((ROUND((ROUND((_15_同援日０．５*_15・通訳),0)*_15・２人),0)*(1+_15・区４)),0)</f>
        <v>239</v>
      </c>
      <c r="V16" s="48"/>
    </row>
    <row r="17" spans="1:22" ht="16.5" customHeight="1" x14ac:dyDescent="0.15">
      <c r="A17" s="41">
        <v>15</v>
      </c>
      <c r="B17" s="41" t="s">
        <v>25738</v>
      </c>
      <c r="C17" s="74" t="s">
        <v>25739</v>
      </c>
      <c r="D17" s="72"/>
      <c r="F17" s="57"/>
      <c r="G17" s="35"/>
      <c r="J17" s="163"/>
      <c r="K17" s="45"/>
      <c r="L17" s="46"/>
      <c r="M17" s="114" t="s">
        <v>17562</v>
      </c>
      <c r="N17" s="49"/>
      <c r="O17" s="50"/>
      <c r="P17" s="115"/>
      <c r="Q17" s="35"/>
      <c r="R17" s="12" t="s">
        <v>398</v>
      </c>
      <c r="S17" s="13">
        <v>0.4</v>
      </c>
      <c r="T17" s="57" t="s">
        <v>3575</v>
      </c>
      <c r="U17" s="208">
        <f>ROUND((ROUND((ROUND((_15_同援日０．５*_15・通訳),0)*(1+_15・盲ろう)),0)*(1+_15・区４)),0)</f>
        <v>300</v>
      </c>
      <c r="V17" s="48"/>
    </row>
    <row r="18" spans="1:22" ht="16.5" customHeight="1" x14ac:dyDescent="0.15">
      <c r="A18" s="41">
        <v>15</v>
      </c>
      <c r="B18" s="41" t="s">
        <v>25740</v>
      </c>
      <c r="C18" s="74" t="s">
        <v>25741</v>
      </c>
      <c r="D18" s="122"/>
      <c r="E18" s="37"/>
      <c r="F18" s="79"/>
      <c r="G18" s="35"/>
      <c r="J18" s="299" t="s">
        <v>17556</v>
      </c>
      <c r="K18" s="45" t="s">
        <v>398</v>
      </c>
      <c r="L18" s="46">
        <v>1</v>
      </c>
      <c r="M18" s="269" t="s">
        <v>17564</v>
      </c>
      <c r="N18" s="37" t="s">
        <v>398</v>
      </c>
      <c r="O18" s="38">
        <v>0.25</v>
      </c>
      <c r="P18" s="79" t="s">
        <v>3575</v>
      </c>
      <c r="Q18" s="43"/>
      <c r="R18" s="37"/>
      <c r="S18" s="38"/>
      <c r="T18" s="79"/>
      <c r="U18" s="208">
        <f>ROUND((ROUND((ROUND((ROUND((_15_同援日０．５*_15・通訳),0)*_15・２人),0)*(1+_15・盲ろう)),0)*(1+_15・区４)),0)</f>
        <v>300</v>
      </c>
      <c r="V18" s="48"/>
    </row>
    <row r="19" spans="1:22" ht="16.5" customHeight="1" x14ac:dyDescent="0.15">
      <c r="A19" s="41">
        <v>15</v>
      </c>
      <c r="B19" s="41" t="s">
        <v>25742</v>
      </c>
      <c r="C19" s="74" t="s">
        <v>25743</v>
      </c>
      <c r="D19" s="114" t="s">
        <v>17587</v>
      </c>
      <c r="E19" s="49"/>
      <c r="F19" s="115"/>
      <c r="G19" s="35"/>
      <c r="J19" s="163"/>
      <c r="K19" s="45"/>
      <c r="L19" s="46"/>
      <c r="M19" s="53"/>
      <c r="N19" s="49"/>
      <c r="O19" s="50"/>
      <c r="P19" s="115"/>
      <c r="Q19" s="53"/>
      <c r="R19" s="49"/>
      <c r="S19" s="50"/>
      <c r="T19" s="115"/>
      <c r="U19" s="208">
        <f>ROUND((_15_同援日１．０*_15・通訳),0)</f>
        <v>270</v>
      </c>
      <c r="V19" s="48"/>
    </row>
    <row r="20" spans="1:22" ht="16.5" customHeight="1" x14ac:dyDescent="0.15">
      <c r="A20" s="41">
        <v>15</v>
      </c>
      <c r="B20" s="41" t="s">
        <v>25744</v>
      </c>
      <c r="C20" s="74" t="s">
        <v>25745</v>
      </c>
      <c r="D20" s="72" t="s">
        <v>17589</v>
      </c>
      <c r="F20" s="57"/>
      <c r="G20" s="35"/>
      <c r="J20" s="299" t="s">
        <v>17556</v>
      </c>
      <c r="K20" s="45" t="s">
        <v>398</v>
      </c>
      <c r="L20" s="46">
        <v>1</v>
      </c>
      <c r="M20" s="43"/>
      <c r="N20" s="37"/>
      <c r="O20" s="38"/>
      <c r="P20" s="79"/>
      <c r="Q20" s="35"/>
      <c r="T20" s="57"/>
      <c r="U20" s="208">
        <f>ROUND((ROUND((_15_同援日１．０*_15・通訳),0)*_15・２人),0)</f>
        <v>270</v>
      </c>
      <c r="V20" s="48"/>
    </row>
    <row r="21" spans="1:22" ht="16.5" customHeight="1" x14ac:dyDescent="0.15">
      <c r="A21" s="41">
        <v>15</v>
      </c>
      <c r="B21" s="41" t="s">
        <v>25746</v>
      </c>
      <c r="C21" s="74" t="s">
        <v>25747</v>
      </c>
      <c r="D21" s="72" t="s">
        <v>17591</v>
      </c>
      <c r="F21" s="57"/>
      <c r="G21" s="35"/>
      <c r="J21" s="163"/>
      <c r="K21" s="45"/>
      <c r="L21" s="46"/>
      <c r="M21" s="114" t="s">
        <v>17562</v>
      </c>
      <c r="N21" s="49"/>
      <c r="O21" s="50"/>
      <c r="P21" s="115"/>
      <c r="Q21" s="35"/>
      <c r="T21" s="57"/>
      <c r="U21" s="208">
        <f>ROUND((ROUND((_15_同援日１．０*_15・通訳),0)*(1+_15・盲ろう)),0)</f>
        <v>338</v>
      </c>
      <c r="V21" s="48"/>
    </row>
    <row r="22" spans="1:22" ht="16.5" customHeight="1" x14ac:dyDescent="0.15">
      <c r="A22" s="41">
        <v>15</v>
      </c>
      <c r="B22" s="41" t="s">
        <v>25748</v>
      </c>
      <c r="C22" s="74" t="s">
        <v>25749</v>
      </c>
      <c r="D22" s="72"/>
      <c r="E22" s="168">
        <f>_15_同援日１．０</f>
        <v>300</v>
      </c>
      <c r="F22" s="57" t="s">
        <v>392</v>
      </c>
      <c r="G22" s="35"/>
      <c r="J22" s="299" t="s">
        <v>17556</v>
      </c>
      <c r="K22" s="45" t="s">
        <v>398</v>
      </c>
      <c r="L22" s="46">
        <v>1</v>
      </c>
      <c r="M22" s="269" t="s">
        <v>17564</v>
      </c>
      <c r="N22" s="37" t="s">
        <v>398</v>
      </c>
      <c r="O22" s="38">
        <v>0.25</v>
      </c>
      <c r="P22" s="79" t="s">
        <v>3575</v>
      </c>
      <c r="Q22" s="43"/>
      <c r="R22" s="37"/>
      <c r="S22" s="38"/>
      <c r="T22" s="79"/>
      <c r="U22" s="208">
        <f>ROUND((ROUND((ROUND((_15_同援日１．０*_15・通訳),0)*_15・２人),0)*(1+_15・盲ろう)),0)</f>
        <v>338</v>
      </c>
      <c r="V22" s="48"/>
    </row>
    <row r="23" spans="1:22" ht="16.5" customHeight="1" x14ac:dyDescent="0.15">
      <c r="A23" s="41">
        <v>15</v>
      </c>
      <c r="B23" s="41" t="s">
        <v>25750</v>
      </c>
      <c r="C23" s="74" t="s">
        <v>25751</v>
      </c>
      <c r="D23" s="72"/>
      <c r="F23" s="57"/>
      <c r="G23" s="35"/>
      <c r="J23" s="163"/>
      <c r="K23" s="45"/>
      <c r="L23" s="46"/>
      <c r="M23" s="53"/>
      <c r="N23" s="49"/>
      <c r="O23" s="50"/>
      <c r="P23" s="115"/>
      <c r="Q23" s="114" t="s">
        <v>17570</v>
      </c>
      <c r="R23" s="49"/>
      <c r="S23" s="50"/>
      <c r="T23" s="115"/>
      <c r="U23" s="208">
        <f>ROUND((ROUND((_15_同援日１．０*_15・通訳),0)*(1+_15・区３)),0)</f>
        <v>324</v>
      </c>
      <c r="V23" s="48"/>
    </row>
    <row r="24" spans="1:22" ht="16.5" customHeight="1" x14ac:dyDescent="0.15">
      <c r="A24" s="41">
        <v>15</v>
      </c>
      <c r="B24" s="41" t="s">
        <v>25752</v>
      </c>
      <c r="C24" s="74" t="s">
        <v>25753</v>
      </c>
      <c r="D24" s="72"/>
      <c r="F24" s="57"/>
      <c r="G24" s="35"/>
      <c r="J24" s="299" t="s">
        <v>17556</v>
      </c>
      <c r="K24" s="45" t="s">
        <v>398</v>
      </c>
      <c r="L24" s="46">
        <v>1</v>
      </c>
      <c r="M24" s="43"/>
      <c r="N24" s="37"/>
      <c r="O24" s="38"/>
      <c r="P24" s="79"/>
      <c r="Q24" s="92" t="s">
        <v>17572</v>
      </c>
      <c r="T24" s="57"/>
      <c r="U24" s="208">
        <f>ROUND((ROUND((ROUND((_15_同援日１．０*_15・通訳),0)*_15・２人),0)*(1+_15・区３)),0)</f>
        <v>324</v>
      </c>
      <c r="V24" s="48"/>
    </row>
    <row r="25" spans="1:22" ht="16.5" customHeight="1" x14ac:dyDescent="0.15">
      <c r="A25" s="41">
        <v>15</v>
      </c>
      <c r="B25" s="41" t="s">
        <v>25754</v>
      </c>
      <c r="C25" s="74" t="s">
        <v>25755</v>
      </c>
      <c r="D25" s="72"/>
      <c r="F25" s="57"/>
      <c r="G25" s="35"/>
      <c r="J25" s="163"/>
      <c r="K25" s="45"/>
      <c r="L25" s="46"/>
      <c r="M25" s="114" t="s">
        <v>17562</v>
      </c>
      <c r="N25" s="49"/>
      <c r="O25" s="50"/>
      <c r="P25" s="115"/>
      <c r="Q25" s="35"/>
      <c r="R25" s="12" t="s">
        <v>398</v>
      </c>
      <c r="S25" s="13">
        <v>0.2</v>
      </c>
      <c r="T25" s="57" t="s">
        <v>3575</v>
      </c>
      <c r="U25" s="208">
        <f>ROUND((ROUND((ROUND((_15_同援日１．０*_15・通訳),0)*(1+_15・盲ろう)),0)*(1+_15・区３)),0)</f>
        <v>406</v>
      </c>
      <c r="V25" s="48"/>
    </row>
    <row r="26" spans="1:22" ht="16.5" customHeight="1" x14ac:dyDescent="0.15">
      <c r="A26" s="41">
        <v>15</v>
      </c>
      <c r="B26" s="41" t="s">
        <v>25756</v>
      </c>
      <c r="C26" s="74" t="s">
        <v>25757</v>
      </c>
      <c r="D26" s="72"/>
      <c r="F26" s="57"/>
      <c r="G26" s="35"/>
      <c r="J26" s="299" t="s">
        <v>17556</v>
      </c>
      <c r="K26" s="45" t="s">
        <v>398</v>
      </c>
      <c r="L26" s="46">
        <v>1</v>
      </c>
      <c r="M26" s="269" t="s">
        <v>17564</v>
      </c>
      <c r="N26" s="37" t="s">
        <v>398</v>
      </c>
      <c r="O26" s="38">
        <v>0.25</v>
      </c>
      <c r="P26" s="79" t="s">
        <v>3575</v>
      </c>
      <c r="Q26" s="43"/>
      <c r="R26" s="37"/>
      <c r="S26" s="38"/>
      <c r="T26" s="79"/>
      <c r="U26" s="208">
        <f>ROUND((ROUND((ROUND((ROUND((_15_同援日１．０*_15・通訳),0)*_15・２人),0)*(1+_15・盲ろう)),0)*(1+_15・区３)),0)</f>
        <v>406</v>
      </c>
      <c r="V26" s="48"/>
    </row>
    <row r="27" spans="1:22" ht="16.5" customHeight="1" x14ac:dyDescent="0.15">
      <c r="A27" s="41">
        <v>15</v>
      </c>
      <c r="B27" s="41" t="s">
        <v>25758</v>
      </c>
      <c r="C27" s="74" t="s">
        <v>25759</v>
      </c>
      <c r="D27" s="72"/>
      <c r="F27" s="57"/>
      <c r="G27" s="35"/>
      <c r="J27" s="163"/>
      <c r="K27" s="45"/>
      <c r="L27" s="46"/>
      <c r="M27" s="53"/>
      <c r="N27" s="49"/>
      <c r="O27" s="50"/>
      <c r="P27" s="115"/>
      <c r="Q27" s="114" t="s">
        <v>17580</v>
      </c>
      <c r="R27" s="49"/>
      <c r="S27" s="50"/>
      <c r="T27" s="115"/>
      <c r="U27" s="208">
        <f>ROUND((ROUND((_15_同援日１．０*_15・通訳),0)*(1+_15・区４)),0)</f>
        <v>378</v>
      </c>
      <c r="V27" s="48"/>
    </row>
    <row r="28" spans="1:22" ht="16.5" customHeight="1" x14ac:dyDescent="0.15">
      <c r="A28" s="41">
        <v>15</v>
      </c>
      <c r="B28" s="41" t="s">
        <v>25760</v>
      </c>
      <c r="C28" s="74" t="s">
        <v>25761</v>
      </c>
      <c r="D28" s="72"/>
      <c r="F28" s="57"/>
      <c r="G28" s="35"/>
      <c r="J28" s="299" t="s">
        <v>17556</v>
      </c>
      <c r="K28" s="45" t="s">
        <v>398</v>
      </c>
      <c r="L28" s="46">
        <v>1</v>
      </c>
      <c r="M28" s="43"/>
      <c r="N28" s="37"/>
      <c r="O28" s="38"/>
      <c r="P28" s="79"/>
      <c r="Q28" s="92" t="s">
        <v>17572</v>
      </c>
      <c r="T28" s="57"/>
      <c r="U28" s="208">
        <f>ROUND((ROUND((ROUND((_15_同援日１．０*_15・通訳),0)*_15・２人),0)*(1+_15・区４)),0)</f>
        <v>378</v>
      </c>
      <c r="V28" s="48"/>
    </row>
    <row r="29" spans="1:22" ht="16.5" customHeight="1" x14ac:dyDescent="0.15">
      <c r="A29" s="41">
        <v>15</v>
      </c>
      <c r="B29" s="41" t="s">
        <v>25762</v>
      </c>
      <c r="C29" s="74" t="s">
        <v>25763</v>
      </c>
      <c r="D29" s="72"/>
      <c r="F29" s="57"/>
      <c r="G29" s="35"/>
      <c r="J29" s="163"/>
      <c r="K29" s="45"/>
      <c r="L29" s="46"/>
      <c r="M29" s="114" t="s">
        <v>17562</v>
      </c>
      <c r="N29" s="49"/>
      <c r="O29" s="50"/>
      <c r="P29" s="115"/>
      <c r="Q29" s="35"/>
      <c r="R29" s="12" t="s">
        <v>398</v>
      </c>
      <c r="S29" s="13">
        <v>0.4</v>
      </c>
      <c r="T29" s="57" t="s">
        <v>3575</v>
      </c>
      <c r="U29" s="208">
        <f>ROUND((ROUND((ROUND((_15_同援日１．０*_15・通訳),0)*(1+_15・盲ろう)),0)*(1+_15・区４)),0)</f>
        <v>473</v>
      </c>
      <c r="V29" s="48"/>
    </row>
    <row r="30" spans="1:22" ht="16.5" customHeight="1" x14ac:dyDescent="0.15">
      <c r="A30" s="41">
        <v>15</v>
      </c>
      <c r="B30" s="41" t="s">
        <v>25764</v>
      </c>
      <c r="C30" s="74" t="s">
        <v>25765</v>
      </c>
      <c r="D30" s="122"/>
      <c r="E30" s="37"/>
      <c r="F30" s="79"/>
      <c r="G30" s="35"/>
      <c r="J30" s="299" t="s">
        <v>17556</v>
      </c>
      <c r="K30" s="45" t="s">
        <v>398</v>
      </c>
      <c r="L30" s="46">
        <v>1</v>
      </c>
      <c r="M30" s="269" t="s">
        <v>17564</v>
      </c>
      <c r="N30" s="37" t="s">
        <v>398</v>
      </c>
      <c r="O30" s="38">
        <v>0.25</v>
      </c>
      <c r="P30" s="79" t="s">
        <v>3575</v>
      </c>
      <c r="Q30" s="43"/>
      <c r="R30" s="37"/>
      <c r="S30" s="38"/>
      <c r="T30" s="79"/>
      <c r="U30" s="208">
        <f>ROUND((ROUND((ROUND((ROUND((_15_同援日１．０*_15・通訳),0)*_15・２人),0)*(1+_15・盲ろう)),0)*(1+_15・区４)),0)</f>
        <v>473</v>
      </c>
      <c r="V30" s="48"/>
    </row>
    <row r="31" spans="1:22" ht="16.5" customHeight="1" x14ac:dyDescent="0.15">
      <c r="A31" s="41">
        <v>15</v>
      </c>
      <c r="B31" s="41" t="s">
        <v>25766</v>
      </c>
      <c r="C31" s="74" t="s">
        <v>25767</v>
      </c>
      <c r="D31" s="114" t="s">
        <v>17614</v>
      </c>
      <c r="E31" s="49"/>
      <c r="F31" s="115"/>
      <c r="G31" s="35"/>
      <c r="J31" s="163"/>
      <c r="K31" s="45"/>
      <c r="L31" s="46"/>
      <c r="M31" s="53"/>
      <c r="N31" s="49"/>
      <c r="O31" s="50"/>
      <c r="P31" s="115"/>
      <c r="Q31" s="53"/>
      <c r="R31" s="49"/>
      <c r="S31" s="50"/>
      <c r="T31" s="115"/>
      <c r="U31" s="208">
        <f>ROUND((_15_同援日１．５*_15・通訳),0)</f>
        <v>390</v>
      </c>
      <c r="V31" s="48"/>
    </row>
    <row r="32" spans="1:22" ht="16.5" customHeight="1" x14ac:dyDescent="0.15">
      <c r="A32" s="41">
        <v>15</v>
      </c>
      <c r="B32" s="41" t="s">
        <v>25768</v>
      </c>
      <c r="C32" s="74" t="s">
        <v>25769</v>
      </c>
      <c r="D32" s="72" t="s">
        <v>17616</v>
      </c>
      <c r="F32" s="57"/>
      <c r="G32" s="35"/>
      <c r="J32" s="299" t="s">
        <v>17556</v>
      </c>
      <c r="K32" s="45" t="s">
        <v>398</v>
      </c>
      <c r="L32" s="46">
        <v>1</v>
      </c>
      <c r="M32" s="43"/>
      <c r="N32" s="37"/>
      <c r="O32" s="38"/>
      <c r="P32" s="79"/>
      <c r="Q32" s="35"/>
      <c r="T32" s="57"/>
      <c r="U32" s="208">
        <f>ROUND((ROUND((_15_同援日１．５*_15・通訳),0)*_15・２人),0)</f>
        <v>390</v>
      </c>
      <c r="V32" s="48"/>
    </row>
    <row r="33" spans="1:22" ht="16.5" customHeight="1" x14ac:dyDescent="0.15">
      <c r="A33" s="41">
        <v>15</v>
      </c>
      <c r="B33" s="41" t="s">
        <v>2477</v>
      </c>
      <c r="C33" s="74" t="s">
        <v>25770</v>
      </c>
      <c r="D33" s="72" t="s">
        <v>18183</v>
      </c>
      <c r="F33" s="57"/>
      <c r="G33" s="35"/>
      <c r="J33" s="163"/>
      <c r="K33" s="45"/>
      <c r="L33" s="46"/>
      <c r="M33" s="114" t="s">
        <v>17562</v>
      </c>
      <c r="N33" s="49"/>
      <c r="O33" s="50"/>
      <c r="P33" s="115"/>
      <c r="Q33" s="35"/>
      <c r="T33" s="57"/>
      <c r="U33" s="208">
        <f>ROUND((ROUND((_15_同援日１．５*_15・通訳),0)*(1+_15・盲ろう)),0)</f>
        <v>488</v>
      </c>
      <c r="V33" s="48"/>
    </row>
    <row r="34" spans="1:22" ht="16.5" customHeight="1" x14ac:dyDescent="0.15">
      <c r="A34" s="41">
        <v>15</v>
      </c>
      <c r="B34" s="41" t="s">
        <v>2479</v>
      </c>
      <c r="C34" s="74" t="s">
        <v>25771</v>
      </c>
      <c r="D34" s="72"/>
      <c r="E34" s="168">
        <f>_15_同援日１．５</f>
        <v>433</v>
      </c>
      <c r="F34" s="57" t="s">
        <v>392</v>
      </c>
      <c r="G34" s="35"/>
      <c r="J34" s="299" t="s">
        <v>17556</v>
      </c>
      <c r="K34" s="45" t="s">
        <v>398</v>
      </c>
      <c r="L34" s="46">
        <v>1</v>
      </c>
      <c r="M34" s="269" t="s">
        <v>17564</v>
      </c>
      <c r="N34" s="37" t="s">
        <v>398</v>
      </c>
      <c r="O34" s="38">
        <v>0.25</v>
      </c>
      <c r="P34" s="79" t="s">
        <v>3575</v>
      </c>
      <c r="Q34" s="43"/>
      <c r="R34" s="37"/>
      <c r="S34" s="38"/>
      <c r="T34" s="79"/>
      <c r="U34" s="208">
        <f>ROUND((ROUND((ROUND((_15_同援日１．５*_15・通訳),0)*_15・２人),0)*(1+_15・盲ろう)),0)</f>
        <v>488</v>
      </c>
      <c r="V34" s="48"/>
    </row>
    <row r="35" spans="1:22" ht="16.5" customHeight="1" x14ac:dyDescent="0.15">
      <c r="A35" s="41">
        <v>15</v>
      </c>
      <c r="B35" s="41" t="s">
        <v>2481</v>
      </c>
      <c r="C35" s="74" t="s">
        <v>25772</v>
      </c>
      <c r="D35" s="72"/>
      <c r="F35" s="57"/>
      <c r="G35" s="35"/>
      <c r="J35" s="163"/>
      <c r="K35" s="45"/>
      <c r="L35" s="46"/>
      <c r="M35" s="53"/>
      <c r="N35" s="49"/>
      <c r="O35" s="50"/>
      <c r="P35" s="115"/>
      <c r="Q35" s="114" t="s">
        <v>17570</v>
      </c>
      <c r="R35" s="49"/>
      <c r="S35" s="50"/>
      <c r="T35" s="115"/>
      <c r="U35" s="208">
        <f>ROUND((ROUND((_15_同援日１．５*_15・通訳),0)*(1+_15・区３)),0)</f>
        <v>468</v>
      </c>
      <c r="V35" s="48"/>
    </row>
    <row r="36" spans="1:22" ht="16.5" customHeight="1" x14ac:dyDescent="0.15">
      <c r="A36" s="41">
        <v>15</v>
      </c>
      <c r="B36" s="41" t="s">
        <v>2483</v>
      </c>
      <c r="C36" s="74" t="s">
        <v>25773</v>
      </c>
      <c r="D36" s="72"/>
      <c r="F36" s="57"/>
      <c r="G36" s="35"/>
      <c r="J36" s="299" t="s">
        <v>17556</v>
      </c>
      <c r="K36" s="45" t="s">
        <v>398</v>
      </c>
      <c r="L36" s="46">
        <v>1</v>
      </c>
      <c r="M36" s="43"/>
      <c r="N36" s="37"/>
      <c r="O36" s="38"/>
      <c r="P36" s="79"/>
      <c r="Q36" s="92" t="s">
        <v>17572</v>
      </c>
      <c r="T36" s="57"/>
      <c r="U36" s="208">
        <f>ROUND((ROUND((ROUND((_15_同援日１．５*_15・通訳),0)*_15・２人),0)*(1+_15・区３)),0)</f>
        <v>468</v>
      </c>
      <c r="V36" s="48"/>
    </row>
    <row r="37" spans="1:22" ht="16.5" customHeight="1" x14ac:dyDescent="0.15">
      <c r="A37" s="41">
        <v>15</v>
      </c>
      <c r="B37" s="41" t="s">
        <v>25774</v>
      </c>
      <c r="C37" s="74" t="s">
        <v>25775</v>
      </c>
      <c r="D37" s="72"/>
      <c r="F37" s="57"/>
      <c r="G37" s="35"/>
      <c r="J37" s="163"/>
      <c r="K37" s="45"/>
      <c r="L37" s="46"/>
      <c r="M37" s="114" t="s">
        <v>17562</v>
      </c>
      <c r="N37" s="49"/>
      <c r="O37" s="50"/>
      <c r="P37" s="115"/>
      <c r="Q37" s="35"/>
      <c r="R37" s="12" t="s">
        <v>398</v>
      </c>
      <c r="S37" s="13">
        <v>0.2</v>
      </c>
      <c r="T37" s="57" t="s">
        <v>3575</v>
      </c>
      <c r="U37" s="208">
        <f>ROUND((ROUND((ROUND((_15_同援日１．５*_15・通訳),0)*(1+_15・盲ろう)),0)*(1+_15・区３)),0)</f>
        <v>586</v>
      </c>
      <c r="V37" s="48"/>
    </row>
    <row r="38" spans="1:22" ht="16.5" customHeight="1" x14ac:dyDescent="0.15">
      <c r="A38" s="41">
        <v>15</v>
      </c>
      <c r="B38" s="41" t="s">
        <v>25776</v>
      </c>
      <c r="C38" s="74" t="s">
        <v>25777</v>
      </c>
      <c r="D38" s="72"/>
      <c r="F38" s="57"/>
      <c r="G38" s="35"/>
      <c r="J38" s="299" t="s">
        <v>17556</v>
      </c>
      <c r="K38" s="45" t="s">
        <v>398</v>
      </c>
      <c r="L38" s="46">
        <v>1</v>
      </c>
      <c r="M38" s="269" t="s">
        <v>17564</v>
      </c>
      <c r="N38" s="37" t="s">
        <v>398</v>
      </c>
      <c r="O38" s="38">
        <v>0.25</v>
      </c>
      <c r="P38" s="79" t="s">
        <v>3575</v>
      </c>
      <c r="Q38" s="43"/>
      <c r="R38" s="37"/>
      <c r="S38" s="38"/>
      <c r="T38" s="79"/>
      <c r="U38" s="208">
        <f>ROUND((ROUND((ROUND((ROUND((_15_同援日１．５*_15・通訳),0)*_15・２人),0)*(1+_15・盲ろう)),0)*(1+_15・区３)),0)</f>
        <v>586</v>
      </c>
      <c r="V38" s="48"/>
    </row>
    <row r="39" spans="1:22" ht="16.5" customHeight="1" x14ac:dyDescent="0.15">
      <c r="A39" s="41">
        <v>15</v>
      </c>
      <c r="B39" s="41" t="s">
        <v>25778</v>
      </c>
      <c r="C39" s="74" t="s">
        <v>25779</v>
      </c>
      <c r="D39" s="72"/>
      <c r="F39" s="57"/>
      <c r="G39" s="35"/>
      <c r="J39" s="163"/>
      <c r="K39" s="45"/>
      <c r="L39" s="46"/>
      <c r="M39" s="53"/>
      <c r="N39" s="49"/>
      <c r="O39" s="50"/>
      <c r="P39" s="115"/>
      <c r="Q39" s="114" t="s">
        <v>17580</v>
      </c>
      <c r="R39" s="49"/>
      <c r="S39" s="50"/>
      <c r="T39" s="115"/>
      <c r="U39" s="208">
        <f>ROUND((ROUND((_15_同援日１．５*_15・通訳),0)*(1+_15・区４)),0)</f>
        <v>546</v>
      </c>
      <c r="V39" s="48"/>
    </row>
    <row r="40" spans="1:22" ht="16.5" customHeight="1" x14ac:dyDescent="0.15">
      <c r="A40" s="41">
        <v>15</v>
      </c>
      <c r="B40" s="41" t="s">
        <v>25780</v>
      </c>
      <c r="C40" s="74" t="s">
        <v>25781</v>
      </c>
      <c r="D40" s="72"/>
      <c r="F40" s="57"/>
      <c r="G40" s="35"/>
      <c r="J40" s="299" t="s">
        <v>17556</v>
      </c>
      <c r="K40" s="45" t="s">
        <v>398</v>
      </c>
      <c r="L40" s="46">
        <v>1</v>
      </c>
      <c r="M40" s="43"/>
      <c r="N40" s="37"/>
      <c r="O40" s="38"/>
      <c r="P40" s="79"/>
      <c r="Q40" s="92" t="s">
        <v>17572</v>
      </c>
      <c r="T40" s="57"/>
      <c r="U40" s="208">
        <f>ROUND((ROUND((ROUND((_15_同援日１．５*_15・通訳),0)*_15・２人),0)*(1+_15・区４)),0)</f>
        <v>546</v>
      </c>
      <c r="V40" s="48"/>
    </row>
    <row r="41" spans="1:22" ht="16.5" customHeight="1" x14ac:dyDescent="0.15">
      <c r="A41" s="41">
        <v>15</v>
      </c>
      <c r="B41" s="41" t="s">
        <v>25782</v>
      </c>
      <c r="C41" s="74" t="s">
        <v>25783</v>
      </c>
      <c r="D41" s="72"/>
      <c r="F41" s="57"/>
      <c r="G41" s="35"/>
      <c r="J41" s="163"/>
      <c r="K41" s="45"/>
      <c r="L41" s="46"/>
      <c r="M41" s="114" t="s">
        <v>17562</v>
      </c>
      <c r="N41" s="49"/>
      <c r="O41" s="50"/>
      <c r="P41" s="115"/>
      <c r="Q41" s="35"/>
      <c r="R41" s="12" t="s">
        <v>398</v>
      </c>
      <c r="S41" s="13">
        <v>0.4</v>
      </c>
      <c r="T41" s="57" t="s">
        <v>3575</v>
      </c>
      <c r="U41" s="208">
        <f>ROUND((ROUND((ROUND((_15_同援日１．５*_15・通訳),0)*(1+_15・盲ろう)),0)*(1+_15・区４)),0)</f>
        <v>683</v>
      </c>
      <c r="V41" s="48"/>
    </row>
    <row r="42" spans="1:22" ht="16.5" customHeight="1" x14ac:dyDescent="0.15">
      <c r="A42" s="41">
        <v>15</v>
      </c>
      <c r="B42" s="41" t="s">
        <v>25784</v>
      </c>
      <c r="C42" s="74" t="s">
        <v>25785</v>
      </c>
      <c r="D42" s="122"/>
      <c r="E42" s="37"/>
      <c r="F42" s="79"/>
      <c r="G42" s="35"/>
      <c r="J42" s="299" t="s">
        <v>17556</v>
      </c>
      <c r="K42" s="45" t="s">
        <v>398</v>
      </c>
      <c r="L42" s="46">
        <v>1</v>
      </c>
      <c r="M42" s="269" t="s">
        <v>17564</v>
      </c>
      <c r="N42" s="37" t="s">
        <v>398</v>
      </c>
      <c r="O42" s="38">
        <v>0.25</v>
      </c>
      <c r="P42" s="79" t="s">
        <v>3575</v>
      </c>
      <c r="Q42" s="43"/>
      <c r="R42" s="37"/>
      <c r="S42" s="38"/>
      <c r="T42" s="79"/>
      <c r="U42" s="208">
        <f>ROUND((ROUND((ROUND((ROUND((_15_同援日１．５*_15・通訳),0)*_15・２人),0)*(1+_15・盲ろう)),0)*(1+_15・区４)),0)</f>
        <v>683</v>
      </c>
      <c r="V42" s="48"/>
    </row>
    <row r="43" spans="1:22" ht="16.5" customHeight="1" x14ac:dyDescent="0.15">
      <c r="A43" s="41">
        <v>15</v>
      </c>
      <c r="B43" s="41" t="s">
        <v>25786</v>
      </c>
      <c r="C43" s="74" t="s">
        <v>25787</v>
      </c>
      <c r="D43" s="114" t="s">
        <v>17641</v>
      </c>
      <c r="E43" s="49"/>
      <c r="F43" s="115"/>
      <c r="G43" s="35"/>
      <c r="J43" s="163"/>
      <c r="K43" s="45"/>
      <c r="L43" s="46"/>
      <c r="M43" s="53"/>
      <c r="N43" s="49"/>
      <c r="O43" s="50"/>
      <c r="P43" s="115"/>
      <c r="Q43" s="53"/>
      <c r="R43" s="49"/>
      <c r="S43" s="50"/>
      <c r="T43" s="115"/>
      <c r="U43" s="208">
        <f>ROUND((_15_同援日２．０*_15・通訳),0)</f>
        <v>448</v>
      </c>
      <c r="V43" s="48"/>
    </row>
    <row r="44" spans="1:22" ht="16.5" customHeight="1" x14ac:dyDescent="0.15">
      <c r="A44" s="41">
        <v>15</v>
      </c>
      <c r="B44" s="41" t="s">
        <v>25788</v>
      </c>
      <c r="C44" s="74" t="s">
        <v>25789</v>
      </c>
      <c r="D44" s="72" t="s">
        <v>17643</v>
      </c>
      <c r="F44" s="57"/>
      <c r="G44" s="35"/>
      <c r="J44" s="299" t="s">
        <v>17556</v>
      </c>
      <c r="K44" s="45" t="s">
        <v>398</v>
      </c>
      <c r="L44" s="46">
        <v>1</v>
      </c>
      <c r="M44" s="43"/>
      <c r="N44" s="37"/>
      <c r="O44" s="38"/>
      <c r="P44" s="79"/>
      <c r="Q44" s="35"/>
      <c r="T44" s="57"/>
      <c r="U44" s="208">
        <f>ROUND((ROUND((_15_同援日２．０*_15・通訳),0)*_15・２人),0)</f>
        <v>448</v>
      </c>
      <c r="V44" s="48"/>
    </row>
    <row r="45" spans="1:22" ht="16.5" customHeight="1" x14ac:dyDescent="0.15">
      <c r="A45" s="41">
        <v>15</v>
      </c>
      <c r="B45" s="41" t="s">
        <v>25790</v>
      </c>
      <c r="C45" s="74" t="s">
        <v>25791</v>
      </c>
      <c r="D45" s="72" t="s">
        <v>17645</v>
      </c>
      <c r="F45" s="57"/>
      <c r="G45" s="35"/>
      <c r="J45" s="163"/>
      <c r="K45" s="45"/>
      <c r="L45" s="46"/>
      <c r="M45" s="114" t="s">
        <v>17562</v>
      </c>
      <c r="N45" s="49"/>
      <c r="O45" s="50"/>
      <c r="P45" s="115"/>
      <c r="Q45" s="35"/>
      <c r="T45" s="57"/>
      <c r="U45" s="208">
        <f>ROUND((ROUND((_15_同援日２．０*_15・通訳),0)*(1+_15・盲ろう)),0)</f>
        <v>560</v>
      </c>
      <c r="V45" s="48"/>
    </row>
    <row r="46" spans="1:22" ht="16.5" customHeight="1" x14ac:dyDescent="0.15">
      <c r="A46" s="41">
        <v>15</v>
      </c>
      <c r="B46" s="41" t="s">
        <v>25792</v>
      </c>
      <c r="C46" s="74" t="s">
        <v>25793</v>
      </c>
      <c r="D46" s="72"/>
      <c r="E46" s="168">
        <f>_15_同援日２．０</f>
        <v>498</v>
      </c>
      <c r="F46" s="57" t="s">
        <v>392</v>
      </c>
      <c r="G46" s="35"/>
      <c r="J46" s="299" t="s">
        <v>17556</v>
      </c>
      <c r="K46" s="45" t="s">
        <v>398</v>
      </c>
      <c r="L46" s="46">
        <v>1</v>
      </c>
      <c r="M46" s="269" t="s">
        <v>17564</v>
      </c>
      <c r="N46" s="37" t="s">
        <v>398</v>
      </c>
      <c r="O46" s="38">
        <v>0.25</v>
      </c>
      <c r="P46" s="79" t="s">
        <v>3575</v>
      </c>
      <c r="Q46" s="43"/>
      <c r="R46" s="37"/>
      <c r="S46" s="38"/>
      <c r="T46" s="79"/>
      <c r="U46" s="208">
        <f>ROUND((ROUND((ROUND((_15_同援日２．０*_15・通訳),0)*_15・２人),0)*(1+_15・盲ろう)),0)</f>
        <v>560</v>
      </c>
      <c r="V46" s="48"/>
    </row>
    <row r="47" spans="1:22" ht="16.5" customHeight="1" x14ac:dyDescent="0.15">
      <c r="A47" s="41">
        <v>15</v>
      </c>
      <c r="B47" s="41" t="s">
        <v>25794</v>
      </c>
      <c r="C47" s="74" t="s">
        <v>25795</v>
      </c>
      <c r="D47" s="72"/>
      <c r="F47" s="57"/>
      <c r="G47" s="35"/>
      <c r="J47" s="163"/>
      <c r="K47" s="45"/>
      <c r="L47" s="46"/>
      <c r="M47" s="53"/>
      <c r="N47" s="49"/>
      <c r="O47" s="50"/>
      <c r="P47" s="115"/>
      <c r="Q47" s="114" t="s">
        <v>17570</v>
      </c>
      <c r="R47" s="49"/>
      <c r="S47" s="50"/>
      <c r="T47" s="115"/>
      <c r="U47" s="208">
        <f>ROUND((ROUND((_15_同援日２．０*_15・通訳),0)*(1+_15・区３)),0)</f>
        <v>538</v>
      </c>
      <c r="V47" s="48"/>
    </row>
    <row r="48" spans="1:22" ht="16.5" customHeight="1" x14ac:dyDescent="0.15">
      <c r="A48" s="41">
        <v>15</v>
      </c>
      <c r="B48" s="41" t="s">
        <v>25796</v>
      </c>
      <c r="C48" s="74" t="s">
        <v>25797</v>
      </c>
      <c r="D48" s="72"/>
      <c r="F48" s="57"/>
      <c r="G48" s="35"/>
      <c r="J48" s="299" t="s">
        <v>17556</v>
      </c>
      <c r="K48" s="45" t="s">
        <v>398</v>
      </c>
      <c r="L48" s="46">
        <v>1</v>
      </c>
      <c r="M48" s="43"/>
      <c r="N48" s="37"/>
      <c r="O48" s="38"/>
      <c r="P48" s="79"/>
      <c r="Q48" s="92" t="s">
        <v>17572</v>
      </c>
      <c r="T48" s="57"/>
      <c r="U48" s="208">
        <f>ROUND((ROUND((ROUND((_15_同援日２．０*_15・通訳),0)*_15・２人),0)*(1+_15・区３)),0)</f>
        <v>538</v>
      </c>
      <c r="V48" s="48"/>
    </row>
    <row r="49" spans="1:22" ht="16.5" customHeight="1" x14ac:dyDescent="0.15">
      <c r="A49" s="41">
        <v>15</v>
      </c>
      <c r="B49" s="41" t="s">
        <v>25798</v>
      </c>
      <c r="C49" s="74" t="s">
        <v>25799</v>
      </c>
      <c r="D49" s="72"/>
      <c r="F49" s="57"/>
      <c r="G49" s="35"/>
      <c r="J49" s="163"/>
      <c r="K49" s="45"/>
      <c r="L49" s="46"/>
      <c r="M49" s="114" t="s">
        <v>17562</v>
      </c>
      <c r="N49" s="49"/>
      <c r="O49" s="50"/>
      <c r="P49" s="115"/>
      <c r="Q49" s="35"/>
      <c r="R49" s="12" t="s">
        <v>398</v>
      </c>
      <c r="S49" s="13">
        <v>0.2</v>
      </c>
      <c r="T49" s="57" t="s">
        <v>3575</v>
      </c>
      <c r="U49" s="208">
        <f>ROUND((ROUND((ROUND((_15_同援日２．０*_15・通訳),0)*(1+_15・盲ろう)),0)*(1+_15・区３)),0)</f>
        <v>672</v>
      </c>
      <c r="V49" s="48"/>
    </row>
    <row r="50" spans="1:22" ht="16.5" customHeight="1" x14ac:dyDescent="0.15">
      <c r="A50" s="41">
        <v>15</v>
      </c>
      <c r="B50" s="41" t="s">
        <v>25800</v>
      </c>
      <c r="C50" s="74" t="s">
        <v>25801</v>
      </c>
      <c r="D50" s="72"/>
      <c r="F50" s="57"/>
      <c r="G50" s="35"/>
      <c r="J50" s="299" t="s">
        <v>17556</v>
      </c>
      <c r="K50" s="45" t="s">
        <v>398</v>
      </c>
      <c r="L50" s="46">
        <v>1</v>
      </c>
      <c r="M50" s="269" t="s">
        <v>17564</v>
      </c>
      <c r="N50" s="37" t="s">
        <v>398</v>
      </c>
      <c r="O50" s="38">
        <v>0.25</v>
      </c>
      <c r="P50" s="79" t="s">
        <v>3575</v>
      </c>
      <c r="Q50" s="43"/>
      <c r="R50" s="37"/>
      <c r="S50" s="38"/>
      <c r="T50" s="79"/>
      <c r="U50" s="208">
        <f>ROUND((ROUND((ROUND((ROUND((_15_同援日２．０*_15・通訳),0)*_15・２人),0)*(1+_15・盲ろう)),0)*(1+_15・区３)),0)</f>
        <v>672</v>
      </c>
      <c r="V50" s="48"/>
    </row>
    <row r="51" spans="1:22" ht="16.5" customHeight="1" x14ac:dyDescent="0.15">
      <c r="A51" s="41">
        <v>15</v>
      </c>
      <c r="B51" s="41" t="s">
        <v>25802</v>
      </c>
      <c r="C51" s="74" t="s">
        <v>25803</v>
      </c>
      <c r="D51" s="72"/>
      <c r="F51" s="57"/>
      <c r="G51" s="35"/>
      <c r="J51" s="163"/>
      <c r="K51" s="45"/>
      <c r="L51" s="46"/>
      <c r="M51" s="53"/>
      <c r="N51" s="49"/>
      <c r="O51" s="50"/>
      <c r="P51" s="115"/>
      <c r="Q51" s="114" t="s">
        <v>17580</v>
      </c>
      <c r="R51" s="49"/>
      <c r="S51" s="50"/>
      <c r="T51" s="115"/>
      <c r="U51" s="208">
        <f>ROUND((ROUND((_15_同援日２．０*_15・通訳),0)*(1+_15・区４)),0)</f>
        <v>627</v>
      </c>
      <c r="V51" s="48"/>
    </row>
    <row r="52" spans="1:22" ht="16.5" customHeight="1" x14ac:dyDescent="0.15">
      <c r="A52" s="41">
        <v>15</v>
      </c>
      <c r="B52" s="41" t="s">
        <v>25804</v>
      </c>
      <c r="C52" s="74" t="s">
        <v>25805</v>
      </c>
      <c r="D52" s="72"/>
      <c r="F52" s="57"/>
      <c r="G52" s="35"/>
      <c r="J52" s="299" t="s">
        <v>17556</v>
      </c>
      <c r="K52" s="45" t="s">
        <v>398</v>
      </c>
      <c r="L52" s="46">
        <v>1</v>
      </c>
      <c r="M52" s="43"/>
      <c r="N52" s="37"/>
      <c r="O52" s="38"/>
      <c r="P52" s="79"/>
      <c r="Q52" s="92" t="s">
        <v>17572</v>
      </c>
      <c r="T52" s="57"/>
      <c r="U52" s="208">
        <f>ROUND((ROUND((ROUND((_15_同援日２．０*_15・通訳),0)*_15・２人),0)*(1+_15・区４)),0)</f>
        <v>627</v>
      </c>
      <c r="V52" s="48"/>
    </row>
    <row r="53" spans="1:22" ht="16.5" customHeight="1" x14ac:dyDescent="0.15">
      <c r="A53" s="41">
        <v>15</v>
      </c>
      <c r="B53" s="41" t="s">
        <v>2489</v>
      </c>
      <c r="C53" s="74" t="s">
        <v>25806</v>
      </c>
      <c r="D53" s="72"/>
      <c r="F53" s="57"/>
      <c r="G53" s="35"/>
      <c r="J53" s="163"/>
      <c r="K53" s="45"/>
      <c r="L53" s="46"/>
      <c r="M53" s="114" t="s">
        <v>17562</v>
      </c>
      <c r="N53" s="49"/>
      <c r="O53" s="50"/>
      <c r="P53" s="115"/>
      <c r="Q53" s="35"/>
      <c r="R53" s="12" t="s">
        <v>398</v>
      </c>
      <c r="S53" s="13">
        <v>0.4</v>
      </c>
      <c r="T53" s="57" t="s">
        <v>3575</v>
      </c>
      <c r="U53" s="208">
        <f>ROUND((ROUND((ROUND((_15_同援日２．０*_15・通訳),0)*(1+_15・盲ろう)),0)*(1+_15・区４)),0)</f>
        <v>784</v>
      </c>
      <c r="V53" s="48"/>
    </row>
    <row r="54" spans="1:22" ht="16.5" customHeight="1" x14ac:dyDescent="0.15">
      <c r="A54" s="41">
        <v>15</v>
      </c>
      <c r="B54" s="41" t="s">
        <v>2491</v>
      </c>
      <c r="C54" s="74" t="s">
        <v>25807</v>
      </c>
      <c r="D54" s="122"/>
      <c r="E54" s="37"/>
      <c r="F54" s="79"/>
      <c r="G54" s="35"/>
      <c r="J54" s="299" t="s">
        <v>17556</v>
      </c>
      <c r="K54" s="45" t="s">
        <v>398</v>
      </c>
      <c r="L54" s="46">
        <v>1</v>
      </c>
      <c r="M54" s="269" t="s">
        <v>17564</v>
      </c>
      <c r="N54" s="37" t="s">
        <v>398</v>
      </c>
      <c r="O54" s="38">
        <v>0.25</v>
      </c>
      <c r="P54" s="79" t="s">
        <v>3575</v>
      </c>
      <c r="Q54" s="43"/>
      <c r="R54" s="37"/>
      <c r="S54" s="38"/>
      <c r="T54" s="79"/>
      <c r="U54" s="208">
        <f>ROUND((ROUND((ROUND((ROUND((_15_同援日２．０*_15・通訳),0)*_15・２人),0)*(1+_15・盲ろう)),0)*(1+_15・区４)),0)</f>
        <v>784</v>
      </c>
      <c r="V54" s="48"/>
    </row>
    <row r="55" spans="1:22" ht="16.5" customHeight="1" x14ac:dyDescent="0.15">
      <c r="A55" s="41">
        <v>15</v>
      </c>
      <c r="B55" s="41" t="s">
        <v>2493</v>
      </c>
      <c r="C55" s="74" t="s">
        <v>25808</v>
      </c>
      <c r="D55" s="114" t="s">
        <v>17668</v>
      </c>
      <c r="E55" s="49"/>
      <c r="F55" s="115"/>
      <c r="G55" s="35"/>
      <c r="J55" s="163"/>
      <c r="K55" s="45"/>
      <c r="L55" s="46"/>
      <c r="M55" s="53"/>
      <c r="N55" s="49"/>
      <c r="O55" s="50"/>
      <c r="P55" s="115"/>
      <c r="Q55" s="53"/>
      <c r="R55" s="49"/>
      <c r="S55" s="50"/>
      <c r="T55" s="115"/>
      <c r="U55" s="208">
        <f>ROUND((_15_同援日２．５*_15・通訳),0)</f>
        <v>507</v>
      </c>
      <c r="V55" s="48"/>
    </row>
    <row r="56" spans="1:22" ht="16.5" customHeight="1" x14ac:dyDescent="0.15">
      <c r="A56" s="41">
        <v>15</v>
      </c>
      <c r="B56" s="41" t="s">
        <v>2495</v>
      </c>
      <c r="C56" s="74" t="s">
        <v>25809</v>
      </c>
      <c r="D56" s="72" t="s">
        <v>17670</v>
      </c>
      <c r="F56" s="57"/>
      <c r="G56" s="35"/>
      <c r="J56" s="299" t="s">
        <v>17556</v>
      </c>
      <c r="K56" s="45" t="s">
        <v>398</v>
      </c>
      <c r="L56" s="46">
        <v>1</v>
      </c>
      <c r="M56" s="43"/>
      <c r="N56" s="37"/>
      <c r="O56" s="38"/>
      <c r="P56" s="79"/>
      <c r="Q56" s="35"/>
      <c r="T56" s="57"/>
      <c r="U56" s="208">
        <f>ROUND((ROUND((_15_同援日２．５*_15・通訳),0)*_15・２人),0)</f>
        <v>507</v>
      </c>
      <c r="V56" s="48"/>
    </row>
    <row r="57" spans="1:22" ht="16.5" customHeight="1" x14ac:dyDescent="0.15">
      <c r="A57" s="41">
        <v>15</v>
      </c>
      <c r="B57" s="41" t="s">
        <v>25810</v>
      </c>
      <c r="C57" s="74" t="s">
        <v>25811</v>
      </c>
      <c r="D57" s="72" t="s">
        <v>17672</v>
      </c>
      <c r="F57" s="57"/>
      <c r="G57" s="35"/>
      <c r="J57" s="163"/>
      <c r="K57" s="45"/>
      <c r="L57" s="46"/>
      <c r="M57" s="114" t="s">
        <v>17562</v>
      </c>
      <c r="N57" s="49"/>
      <c r="O57" s="50"/>
      <c r="P57" s="115"/>
      <c r="Q57" s="35"/>
      <c r="T57" s="57"/>
      <c r="U57" s="208">
        <f>ROUND((ROUND((_15_同援日２．５*_15・通訳),0)*(1+_15・盲ろう)),0)</f>
        <v>634</v>
      </c>
      <c r="V57" s="48"/>
    </row>
    <row r="58" spans="1:22" ht="16.5" customHeight="1" x14ac:dyDescent="0.15">
      <c r="A58" s="41">
        <v>15</v>
      </c>
      <c r="B58" s="41" t="s">
        <v>25812</v>
      </c>
      <c r="C58" s="74" t="s">
        <v>25813</v>
      </c>
      <c r="D58" s="72"/>
      <c r="E58" s="168">
        <f>_15_同援日２．５</f>
        <v>563</v>
      </c>
      <c r="F58" s="57" t="s">
        <v>392</v>
      </c>
      <c r="G58" s="35"/>
      <c r="J58" s="299" t="s">
        <v>17556</v>
      </c>
      <c r="K58" s="45" t="s">
        <v>398</v>
      </c>
      <c r="L58" s="46">
        <v>1</v>
      </c>
      <c r="M58" s="269" t="s">
        <v>17564</v>
      </c>
      <c r="N58" s="37" t="s">
        <v>398</v>
      </c>
      <c r="O58" s="38">
        <v>0.25</v>
      </c>
      <c r="P58" s="79" t="s">
        <v>3575</v>
      </c>
      <c r="Q58" s="43"/>
      <c r="R58" s="37"/>
      <c r="S58" s="38"/>
      <c r="T58" s="79"/>
      <c r="U58" s="208">
        <f>ROUND((ROUND((ROUND((_15_同援日２．５*_15・通訳),0)*_15・２人),0)*(1+_15・盲ろう)),0)</f>
        <v>634</v>
      </c>
      <c r="V58" s="48"/>
    </row>
    <row r="59" spans="1:22" ht="16.5" customHeight="1" x14ac:dyDescent="0.15">
      <c r="A59" s="41">
        <v>15</v>
      </c>
      <c r="B59" s="41" t="s">
        <v>25814</v>
      </c>
      <c r="C59" s="74" t="s">
        <v>25815</v>
      </c>
      <c r="D59" s="72"/>
      <c r="F59" s="57"/>
      <c r="G59" s="35"/>
      <c r="J59" s="163"/>
      <c r="K59" s="45"/>
      <c r="L59" s="46"/>
      <c r="M59" s="53"/>
      <c r="N59" s="49"/>
      <c r="O59" s="50"/>
      <c r="P59" s="115"/>
      <c r="Q59" s="114" t="s">
        <v>17570</v>
      </c>
      <c r="R59" s="49"/>
      <c r="S59" s="50"/>
      <c r="T59" s="115"/>
      <c r="U59" s="208">
        <f>ROUND((ROUND((_15_同援日２．５*_15・通訳),0)*(1+_15・区３)),0)</f>
        <v>608</v>
      </c>
      <c r="V59" s="48"/>
    </row>
    <row r="60" spans="1:22" ht="16.5" customHeight="1" x14ac:dyDescent="0.15">
      <c r="A60" s="41">
        <v>15</v>
      </c>
      <c r="B60" s="41" t="s">
        <v>25816</v>
      </c>
      <c r="C60" s="74" t="s">
        <v>25817</v>
      </c>
      <c r="D60" s="72"/>
      <c r="F60" s="57"/>
      <c r="G60" s="35"/>
      <c r="J60" s="299" t="s">
        <v>17556</v>
      </c>
      <c r="K60" s="45" t="s">
        <v>398</v>
      </c>
      <c r="L60" s="46">
        <v>1</v>
      </c>
      <c r="M60" s="43"/>
      <c r="N60" s="37"/>
      <c r="O60" s="38"/>
      <c r="P60" s="79"/>
      <c r="Q60" s="92" t="s">
        <v>17572</v>
      </c>
      <c r="T60" s="57"/>
      <c r="U60" s="208">
        <f>ROUND((ROUND((ROUND((_15_同援日２．５*_15・通訳),0)*_15・２人),0)*(1+_15・区３)),0)</f>
        <v>608</v>
      </c>
      <c r="V60" s="48"/>
    </row>
    <row r="61" spans="1:22" ht="16.5" customHeight="1" x14ac:dyDescent="0.15">
      <c r="A61" s="41">
        <v>15</v>
      </c>
      <c r="B61" s="41" t="s">
        <v>25818</v>
      </c>
      <c r="C61" s="74" t="s">
        <v>25819</v>
      </c>
      <c r="D61" s="72"/>
      <c r="F61" s="57"/>
      <c r="G61" s="35"/>
      <c r="J61" s="163"/>
      <c r="K61" s="45"/>
      <c r="L61" s="46"/>
      <c r="M61" s="114" t="s">
        <v>17562</v>
      </c>
      <c r="N61" s="49"/>
      <c r="O61" s="50"/>
      <c r="P61" s="115"/>
      <c r="Q61" s="35"/>
      <c r="R61" s="12" t="s">
        <v>398</v>
      </c>
      <c r="S61" s="13">
        <v>0.2</v>
      </c>
      <c r="T61" s="57" t="s">
        <v>3575</v>
      </c>
      <c r="U61" s="208">
        <f>ROUND((ROUND((ROUND((_15_同援日２．５*_15・通訳),0)*(1+_15・盲ろう)),0)*(1+_15・区３)),0)</f>
        <v>761</v>
      </c>
      <c r="V61" s="48"/>
    </row>
    <row r="62" spans="1:22" ht="16.5" customHeight="1" x14ac:dyDescent="0.15">
      <c r="A62" s="41">
        <v>15</v>
      </c>
      <c r="B62" s="41" t="s">
        <v>25820</v>
      </c>
      <c r="C62" s="74" t="s">
        <v>25821</v>
      </c>
      <c r="D62" s="72"/>
      <c r="F62" s="57"/>
      <c r="G62" s="35"/>
      <c r="J62" s="299" t="s">
        <v>17556</v>
      </c>
      <c r="K62" s="45" t="s">
        <v>398</v>
      </c>
      <c r="L62" s="46">
        <v>1</v>
      </c>
      <c r="M62" s="269" t="s">
        <v>17564</v>
      </c>
      <c r="N62" s="37" t="s">
        <v>398</v>
      </c>
      <c r="O62" s="38">
        <v>0.25</v>
      </c>
      <c r="P62" s="79" t="s">
        <v>3575</v>
      </c>
      <c r="Q62" s="43"/>
      <c r="R62" s="37"/>
      <c r="S62" s="38"/>
      <c r="T62" s="79"/>
      <c r="U62" s="208">
        <f>ROUND((ROUND((ROUND((ROUND((_15_同援日２．５*_15・通訳),0)*_15・２人),0)*(1+_15・盲ろう)),0)*(1+_15・区３)),0)</f>
        <v>761</v>
      </c>
      <c r="V62" s="48"/>
    </row>
    <row r="63" spans="1:22" ht="16.5" customHeight="1" x14ac:dyDescent="0.15">
      <c r="A63" s="41">
        <v>15</v>
      </c>
      <c r="B63" s="41" t="s">
        <v>25822</v>
      </c>
      <c r="C63" s="74" t="s">
        <v>25823</v>
      </c>
      <c r="D63" s="72"/>
      <c r="F63" s="57"/>
      <c r="G63" s="35"/>
      <c r="J63" s="163"/>
      <c r="K63" s="45"/>
      <c r="L63" s="46"/>
      <c r="M63" s="53"/>
      <c r="N63" s="49"/>
      <c r="O63" s="50"/>
      <c r="P63" s="115"/>
      <c r="Q63" s="114" t="s">
        <v>17580</v>
      </c>
      <c r="R63" s="49"/>
      <c r="S63" s="50"/>
      <c r="T63" s="115"/>
      <c r="U63" s="208">
        <f>ROUND((ROUND((_15_同援日２．５*_15・通訳),0)*(1+_15・区４)),0)</f>
        <v>710</v>
      </c>
      <c r="V63" s="48"/>
    </row>
    <row r="64" spans="1:22" ht="16.5" customHeight="1" x14ac:dyDescent="0.15">
      <c r="A64" s="41">
        <v>15</v>
      </c>
      <c r="B64" s="41" t="s">
        <v>25824</v>
      </c>
      <c r="C64" s="74" t="s">
        <v>25825</v>
      </c>
      <c r="D64" s="72"/>
      <c r="F64" s="57"/>
      <c r="G64" s="35"/>
      <c r="J64" s="299" t="s">
        <v>17556</v>
      </c>
      <c r="K64" s="45" t="s">
        <v>398</v>
      </c>
      <c r="L64" s="46">
        <v>1</v>
      </c>
      <c r="M64" s="43"/>
      <c r="N64" s="37"/>
      <c r="O64" s="38"/>
      <c r="P64" s="79"/>
      <c r="Q64" s="92" t="s">
        <v>17572</v>
      </c>
      <c r="T64" s="57"/>
      <c r="U64" s="208">
        <f>ROUND((ROUND((ROUND((_15_同援日２．５*_15・通訳),0)*_15・２人),0)*(1+_15・区４)),0)</f>
        <v>710</v>
      </c>
      <c r="V64" s="48"/>
    </row>
    <row r="65" spans="1:22" ht="16.5" customHeight="1" x14ac:dyDescent="0.15">
      <c r="A65" s="41">
        <v>15</v>
      </c>
      <c r="B65" s="41" t="s">
        <v>25826</v>
      </c>
      <c r="C65" s="74" t="s">
        <v>25827</v>
      </c>
      <c r="D65" s="72"/>
      <c r="F65" s="57"/>
      <c r="G65" s="35"/>
      <c r="J65" s="163"/>
      <c r="K65" s="45"/>
      <c r="L65" s="46"/>
      <c r="M65" s="114" t="s">
        <v>17562</v>
      </c>
      <c r="N65" s="49"/>
      <c r="O65" s="50"/>
      <c r="P65" s="115"/>
      <c r="Q65" s="35"/>
      <c r="R65" s="12" t="s">
        <v>398</v>
      </c>
      <c r="S65" s="13">
        <v>0.4</v>
      </c>
      <c r="T65" s="57" t="s">
        <v>3575</v>
      </c>
      <c r="U65" s="208">
        <f>ROUND((ROUND((ROUND((_15_同援日２．５*_15・通訳),0)*(1+_15・盲ろう)),0)*(1+_15・区４)),0)</f>
        <v>888</v>
      </c>
      <c r="V65" s="48"/>
    </row>
    <row r="66" spans="1:22" ht="16.5" customHeight="1" x14ac:dyDescent="0.15">
      <c r="A66" s="41">
        <v>15</v>
      </c>
      <c r="B66" s="41" t="s">
        <v>25828</v>
      </c>
      <c r="C66" s="74" t="s">
        <v>25829</v>
      </c>
      <c r="D66" s="122"/>
      <c r="E66" s="37"/>
      <c r="F66" s="79"/>
      <c r="G66" s="35"/>
      <c r="J66" s="299" t="s">
        <v>17556</v>
      </c>
      <c r="K66" s="45" t="s">
        <v>398</v>
      </c>
      <c r="L66" s="46">
        <v>1</v>
      </c>
      <c r="M66" s="269" t="s">
        <v>17564</v>
      </c>
      <c r="N66" s="37" t="s">
        <v>398</v>
      </c>
      <c r="O66" s="38">
        <v>0.25</v>
      </c>
      <c r="P66" s="79" t="s">
        <v>3575</v>
      </c>
      <c r="Q66" s="43"/>
      <c r="R66" s="37"/>
      <c r="S66" s="38"/>
      <c r="T66" s="79"/>
      <c r="U66" s="208">
        <f>ROUND((ROUND((ROUND((ROUND((_15_同援日２．５*_15・通訳),0)*_15・２人),0)*(1+_15・盲ろう)),0)*(1+_15・区４)),0)</f>
        <v>888</v>
      </c>
      <c r="V66" s="48"/>
    </row>
    <row r="67" spans="1:22" ht="16.5" customHeight="1" x14ac:dyDescent="0.15">
      <c r="A67" s="41">
        <v>15</v>
      </c>
      <c r="B67" s="41" t="s">
        <v>25830</v>
      </c>
      <c r="C67" s="74" t="s">
        <v>25831</v>
      </c>
      <c r="D67" s="114" t="s">
        <v>17695</v>
      </c>
      <c r="E67" s="49"/>
      <c r="F67" s="115"/>
      <c r="G67" s="35"/>
      <c r="J67" s="163"/>
      <c r="K67" s="45"/>
      <c r="L67" s="46"/>
      <c r="M67" s="53"/>
      <c r="N67" s="49"/>
      <c r="O67" s="50"/>
      <c r="P67" s="115"/>
      <c r="Q67" s="53"/>
      <c r="R67" s="49"/>
      <c r="S67" s="50"/>
      <c r="T67" s="115"/>
      <c r="U67" s="208">
        <f>ROUND((_15_同援日３．０*_15・通訳),0)</f>
        <v>565</v>
      </c>
      <c r="V67" s="48"/>
    </row>
    <row r="68" spans="1:22" ht="16.5" customHeight="1" x14ac:dyDescent="0.15">
      <c r="A68" s="41">
        <v>15</v>
      </c>
      <c r="B68" s="41" t="s">
        <v>25832</v>
      </c>
      <c r="C68" s="74" t="s">
        <v>25833</v>
      </c>
      <c r="D68" s="72" t="s">
        <v>17697</v>
      </c>
      <c r="F68" s="57"/>
      <c r="G68" s="35"/>
      <c r="J68" s="299" t="s">
        <v>17556</v>
      </c>
      <c r="K68" s="45" t="s">
        <v>398</v>
      </c>
      <c r="L68" s="46">
        <v>1</v>
      </c>
      <c r="M68" s="43"/>
      <c r="N68" s="37"/>
      <c r="O68" s="38"/>
      <c r="P68" s="79"/>
      <c r="Q68" s="35"/>
      <c r="T68" s="57"/>
      <c r="U68" s="208">
        <f>ROUND((ROUND((_15_同援日３．０*_15・通訳),0)*_15・２人),0)</f>
        <v>565</v>
      </c>
      <c r="V68" s="48"/>
    </row>
    <row r="69" spans="1:22" ht="16.5" customHeight="1" x14ac:dyDescent="0.15">
      <c r="A69" s="41">
        <v>15</v>
      </c>
      <c r="B69" s="41" t="s">
        <v>25834</v>
      </c>
      <c r="C69" s="74" t="s">
        <v>25835</v>
      </c>
      <c r="D69" s="72" t="s">
        <v>18387</v>
      </c>
      <c r="F69" s="57"/>
      <c r="G69" s="35"/>
      <c r="J69" s="163"/>
      <c r="K69" s="45"/>
      <c r="L69" s="46"/>
      <c r="M69" s="114" t="s">
        <v>17562</v>
      </c>
      <c r="N69" s="49"/>
      <c r="O69" s="50"/>
      <c r="P69" s="115"/>
      <c r="Q69" s="35"/>
      <c r="T69" s="57"/>
      <c r="U69" s="208">
        <f>ROUND((ROUND((_15_同援日３．０*_15・通訳),0)*(1+_15・盲ろう)),0)</f>
        <v>706</v>
      </c>
      <c r="V69" s="48"/>
    </row>
    <row r="70" spans="1:22" ht="16.5" customHeight="1" x14ac:dyDescent="0.15">
      <c r="A70" s="41">
        <v>15</v>
      </c>
      <c r="B70" s="41" t="s">
        <v>25836</v>
      </c>
      <c r="C70" s="74" t="s">
        <v>25837</v>
      </c>
      <c r="D70" s="72"/>
      <c r="E70" s="168">
        <f>_15_同援日３．０</f>
        <v>628</v>
      </c>
      <c r="F70" s="57" t="s">
        <v>392</v>
      </c>
      <c r="G70" s="35"/>
      <c r="J70" s="299" t="s">
        <v>17556</v>
      </c>
      <c r="K70" s="45" t="s">
        <v>398</v>
      </c>
      <c r="L70" s="46">
        <v>1</v>
      </c>
      <c r="M70" s="269" t="s">
        <v>17564</v>
      </c>
      <c r="N70" s="37" t="s">
        <v>398</v>
      </c>
      <c r="O70" s="38">
        <v>0.25</v>
      </c>
      <c r="P70" s="79" t="s">
        <v>3575</v>
      </c>
      <c r="Q70" s="43"/>
      <c r="R70" s="37"/>
      <c r="S70" s="38"/>
      <c r="T70" s="79"/>
      <c r="U70" s="208">
        <f>ROUND((ROUND((ROUND((_15_同援日３．０*_15・通訳),0)*_15・２人),0)*(1+_15・盲ろう)),0)</f>
        <v>706</v>
      </c>
      <c r="V70" s="48"/>
    </row>
    <row r="71" spans="1:22" ht="16.5" customHeight="1" x14ac:dyDescent="0.15">
      <c r="A71" s="41">
        <v>15</v>
      </c>
      <c r="B71" s="41" t="s">
        <v>25838</v>
      </c>
      <c r="C71" s="74" t="s">
        <v>25839</v>
      </c>
      <c r="D71" s="72"/>
      <c r="F71" s="57"/>
      <c r="G71" s="35"/>
      <c r="J71" s="163"/>
      <c r="K71" s="45"/>
      <c r="L71" s="46"/>
      <c r="M71" s="53"/>
      <c r="N71" s="49"/>
      <c r="O71" s="50"/>
      <c r="P71" s="115"/>
      <c r="Q71" s="114" t="s">
        <v>17570</v>
      </c>
      <c r="R71" s="49"/>
      <c r="S71" s="50"/>
      <c r="T71" s="115"/>
      <c r="U71" s="208">
        <f>ROUND((ROUND((_15_同援日３．０*_15・通訳),0)*(1+_15・区３)),0)</f>
        <v>678</v>
      </c>
      <c r="V71" s="48"/>
    </row>
    <row r="72" spans="1:22" ht="16.5" customHeight="1" x14ac:dyDescent="0.15">
      <c r="A72" s="41">
        <v>15</v>
      </c>
      <c r="B72" s="41" t="s">
        <v>25840</v>
      </c>
      <c r="C72" s="74" t="s">
        <v>25841</v>
      </c>
      <c r="D72" s="72"/>
      <c r="F72" s="57"/>
      <c r="G72" s="35"/>
      <c r="J72" s="299" t="s">
        <v>17556</v>
      </c>
      <c r="K72" s="45" t="s">
        <v>398</v>
      </c>
      <c r="L72" s="46">
        <v>1</v>
      </c>
      <c r="M72" s="43"/>
      <c r="N72" s="37"/>
      <c r="O72" s="38"/>
      <c r="P72" s="79"/>
      <c r="Q72" s="92" t="s">
        <v>17572</v>
      </c>
      <c r="T72" s="57"/>
      <c r="U72" s="208">
        <f>ROUND((ROUND((ROUND((_15_同援日３．０*_15・通訳),0)*_15・２人),0)*(1+_15・区３)),0)</f>
        <v>678</v>
      </c>
      <c r="V72" s="48"/>
    </row>
    <row r="73" spans="1:22" ht="16.5" customHeight="1" x14ac:dyDescent="0.15">
      <c r="A73" s="41">
        <v>15</v>
      </c>
      <c r="B73" s="41" t="s">
        <v>2502</v>
      </c>
      <c r="C73" s="74" t="s">
        <v>25842</v>
      </c>
      <c r="D73" s="72"/>
      <c r="F73" s="57"/>
      <c r="G73" s="35"/>
      <c r="J73" s="163"/>
      <c r="K73" s="45"/>
      <c r="L73" s="46"/>
      <c r="M73" s="114" t="s">
        <v>17562</v>
      </c>
      <c r="N73" s="49"/>
      <c r="O73" s="50"/>
      <c r="P73" s="115"/>
      <c r="Q73" s="35"/>
      <c r="R73" s="12" t="s">
        <v>398</v>
      </c>
      <c r="S73" s="13">
        <v>0.2</v>
      </c>
      <c r="T73" s="57" t="s">
        <v>3575</v>
      </c>
      <c r="U73" s="208">
        <f>ROUND((ROUND((ROUND((_15_同援日３．０*_15・通訳),0)*(1+_15・盲ろう)),0)*(1+_15・区３)),0)</f>
        <v>847</v>
      </c>
      <c r="V73" s="48"/>
    </row>
    <row r="74" spans="1:22" ht="16.5" customHeight="1" x14ac:dyDescent="0.15">
      <c r="A74" s="41">
        <v>15</v>
      </c>
      <c r="B74" s="41" t="s">
        <v>2504</v>
      </c>
      <c r="C74" s="74" t="s">
        <v>25843</v>
      </c>
      <c r="D74" s="72"/>
      <c r="F74" s="57"/>
      <c r="G74" s="35"/>
      <c r="J74" s="299" t="s">
        <v>17556</v>
      </c>
      <c r="K74" s="45" t="s">
        <v>398</v>
      </c>
      <c r="L74" s="46">
        <v>1</v>
      </c>
      <c r="M74" s="269" t="s">
        <v>17564</v>
      </c>
      <c r="N74" s="37" t="s">
        <v>398</v>
      </c>
      <c r="O74" s="38">
        <v>0.25</v>
      </c>
      <c r="P74" s="79" t="s">
        <v>3575</v>
      </c>
      <c r="Q74" s="43"/>
      <c r="R74" s="37"/>
      <c r="S74" s="38"/>
      <c r="T74" s="79"/>
      <c r="U74" s="208">
        <f>ROUND((ROUND((ROUND((ROUND((_15_同援日３．０*_15・通訳),0)*_15・２人),0)*(1+_15・盲ろう)),0)*(1+_15・区３)),0)</f>
        <v>847</v>
      </c>
      <c r="V74" s="48"/>
    </row>
    <row r="75" spans="1:22" ht="16.5" customHeight="1" x14ac:dyDescent="0.15">
      <c r="A75" s="41">
        <v>15</v>
      </c>
      <c r="B75" s="41" t="s">
        <v>2506</v>
      </c>
      <c r="C75" s="74" t="s">
        <v>25844</v>
      </c>
      <c r="D75" s="72"/>
      <c r="F75" s="57"/>
      <c r="G75" s="35"/>
      <c r="J75" s="163"/>
      <c r="K75" s="45"/>
      <c r="L75" s="46"/>
      <c r="M75" s="53"/>
      <c r="N75" s="49"/>
      <c r="O75" s="50"/>
      <c r="P75" s="115"/>
      <c r="Q75" s="114" t="s">
        <v>17580</v>
      </c>
      <c r="R75" s="49"/>
      <c r="S75" s="50"/>
      <c r="T75" s="115"/>
      <c r="U75" s="208">
        <f>ROUND((ROUND((_15_同援日３．０*_15・通訳),0)*(1+_15・区４)),0)</f>
        <v>791</v>
      </c>
      <c r="V75" s="48"/>
    </row>
    <row r="76" spans="1:22" ht="16.5" customHeight="1" x14ac:dyDescent="0.15">
      <c r="A76" s="41">
        <v>15</v>
      </c>
      <c r="B76" s="41" t="s">
        <v>2508</v>
      </c>
      <c r="C76" s="74" t="s">
        <v>25845</v>
      </c>
      <c r="D76" s="72"/>
      <c r="F76" s="57"/>
      <c r="G76" s="35"/>
      <c r="J76" s="299" t="s">
        <v>17556</v>
      </c>
      <c r="K76" s="45" t="s">
        <v>398</v>
      </c>
      <c r="L76" s="46">
        <v>1</v>
      </c>
      <c r="M76" s="43"/>
      <c r="N76" s="37"/>
      <c r="O76" s="38"/>
      <c r="P76" s="79"/>
      <c r="Q76" s="92" t="s">
        <v>17572</v>
      </c>
      <c r="T76" s="57"/>
      <c r="U76" s="208">
        <f>ROUND((ROUND((ROUND((_15_同援日３．０*_15・通訳),0)*_15・２人),0)*(1+_15・区４)),0)</f>
        <v>791</v>
      </c>
      <c r="V76" s="48"/>
    </row>
    <row r="77" spans="1:22" ht="16.5" customHeight="1" x14ac:dyDescent="0.15">
      <c r="A77" s="41">
        <v>15</v>
      </c>
      <c r="B77" s="41" t="s">
        <v>25846</v>
      </c>
      <c r="C77" s="74" t="s">
        <v>25847</v>
      </c>
      <c r="D77" s="72"/>
      <c r="F77" s="57"/>
      <c r="G77" s="35"/>
      <c r="J77" s="163"/>
      <c r="K77" s="45"/>
      <c r="L77" s="46"/>
      <c r="M77" s="114" t="s">
        <v>17562</v>
      </c>
      <c r="N77" s="49"/>
      <c r="O77" s="50"/>
      <c r="P77" s="115"/>
      <c r="Q77" s="35"/>
      <c r="R77" s="12" t="s">
        <v>398</v>
      </c>
      <c r="S77" s="13">
        <v>0.4</v>
      </c>
      <c r="T77" s="57" t="s">
        <v>3575</v>
      </c>
      <c r="U77" s="208">
        <f>ROUND((ROUND((ROUND((_15_同援日３．０*_15・通訳),0)*(1+_15・盲ろう)),0)*(1+_15・区４)),0)</f>
        <v>988</v>
      </c>
      <c r="V77" s="48"/>
    </row>
    <row r="78" spans="1:22" ht="16.5" customHeight="1" x14ac:dyDescent="0.15">
      <c r="A78" s="41">
        <v>15</v>
      </c>
      <c r="B78" s="41" t="s">
        <v>25848</v>
      </c>
      <c r="C78" s="74" t="s">
        <v>25849</v>
      </c>
      <c r="D78" s="122"/>
      <c r="E78" s="37"/>
      <c r="F78" s="79"/>
      <c r="G78" s="35"/>
      <c r="J78" s="299" t="s">
        <v>17556</v>
      </c>
      <c r="K78" s="45" t="s">
        <v>398</v>
      </c>
      <c r="L78" s="46">
        <v>1</v>
      </c>
      <c r="M78" s="269" t="s">
        <v>17564</v>
      </c>
      <c r="N78" s="37" t="s">
        <v>398</v>
      </c>
      <c r="O78" s="38">
        <v>0.25</v>
      </c>
      <c r="P78" s="79" t="s">
        <v>3575</v>
      </c>
      <c r="Q78" s="43"/>
      <c r="R78" s="37"/>
      <c r="S78" s="38"/>
      <c r="T78" s="79"/>
      <c r="U78" s="208">
        <f>ROUND((ROUND((ROUND((ROUND((_15_同援日３．０*_15・通訳),0)*_15・２人),0)*(1+_15・盲ろう)),0)*(1+_15・区４)),0)</f>
        <v>988</v>
      </c>
      <c r="V78" s="48"/>
    </row>
    <row r="79" spans="1:22" ht="16.5" customHeight="1" x14ac:dyDescent="0.15">
      <c r="A79" s="41">
        <v>15</v>
      </c>
      <c r="B79" s="41" t="s">
        <v>25850</v>
      </c>
      <c r="C79" s="74" t="s">
        <v>25851</v>
      </c>
      <c r="D79" s="114" t="s">
        <v>17722</v>
      </c>
      <c r="E79" s="49"/>
      <c r="F79" s="115"/>
      <c r="G79" s="35"/>
      <c r="J79" s="163"/>
      <c r="K79" s="45"/>
      <c r="L79" s="46"/>
      <c r="M79" s="53"/>
      <c r="N79" s="49"/>
      <c r="O79" s="50"/>
      <c r="P79" s="115"/>
      <c r="Q79" s="53"/>
      <c r="R79" s="49"/>
      <c r="S79" s="50"/>
      <c r="T79" s="115"/>
      <c r="U79" s="208">
        <f>ROUND((_15_同援日３．５*_15・通訳),0)</f>
        <v>624</v>
      </c>
      <c r="V79" s="48"/>
    </row>
    <row r="80" spans="1:22" ht="16.5" customHeight="1" x14ac:dyDescent="0.15">
      <c r="A80" s="41">
        <v>15</v>
      </c>
      <c r="B80" s="41" t="s">
        <v>25852</v>
      </c>
      <c r="C80" s="74" t="s">
        <v>25853</v>
      </c>
      <c r="D80" s="72" t="s">
        <v>17724</v>
      </c>
      <c r="F80" s="57"/>
      <c r="G80" s="35"/>
      <c r="J80" s="299" t="s">
        <v>17556</v>
      </c>
      <c r="K80" s="45" t="s">
        <v>398</v>
      </c>
      <c r="L80" s="46">
        <v>1</v>
      </c>
      <c r="M80" s="43"/>
      <c r="N80" s="37"/>
      <c r="O80" s="38"/>
      <c r="P80" s="79"/>
      <c r="Q80" s="35"/>
      <c r="T80" s="57"/>
      <c r="U80" s="208">
        <f>ROUND((ROUND((_15_同援日３．５*_15・通訳),0)*_15・２人),0)</f>
        <v>624</v>
      </c>
      <c r="V80" s="48"/>
    </row>
    <row r="81" spans="1:22" ht="16.5" customHeight="1" x14ac:dyDescent="0.15">
      <c r="A81" s="41">
        <v>15</v>
      </c>
      <c r="B81" s="41" t="s">
        <v>25854</v>
      </c>
      <c r="C81" s="74" t="s">
        <v>25855</v>
      </c>
      <c r="D81" s="72" t="s">
        <v>17726</v>
      </c>
      <c r="F81" s="57"/>
      <c r="G81" s="35"/>
      <c r="J81" s="163"/>
      <c r="K81" s="45"/>
      <c r="L81" s="46"/>
      <c r="M81" s="114" t="s">
        <v>17562</v>
      </c>
      <c r="N81" s="49"/>
      <c r="O81" s="50"/>
      <c r="P81" s="115"/>
      <c r="Q81" s="35"/>
      <c r="T81" s="57"/>
      <c r="U81" s="208">
        <f>ROUND((ROUND((_15_同援日３．５*_15・通訳),0)*(1+_15・盲ろう)),0)</f>
        <v>780</v>
      </c>
      <c r="V81" s="48"/>
    </row>
    <row r="82" spans="1:22" ht="16.5" customHeight="1" x14ac:dyDescent="0.15">
      <c r="A82" s="41">
        <v>15</v>
      </c>
      <c r="B82" s="41" t="s">
        <v>25856</v>
      </c>
      <c r="C82" s="74" t="s">
        <v>25857</v>
      </c>
      <c r="D82" s="72"/>
      <c r="E82" s="168">
        <f>_15_同援日３．５</f>
        <v>693</v>
      </c>
      <c r="F82" s="57" t="s">
        <v>392</v>
      </c>
      <c r="G82" s="35"/>
      <c r="J82" s="299" t="s">
        <v>17556</v>
      </c>
      <c r="K82" s="45" t="s">
        <v>398</v>
      </c>
      <c r="L82" s="46">
        <v>1</v>
      </c>
      <c r="M82" s="269" t="s">
        <v>17564</v>
      </c>
      <c r="N82" s="37" t="s">
        <v>398</v>
      </c>
      <c r="O82" s="38">
        <v>0.25</v>
      </c>
      <c r="P82" s="79" t="s">
        <v>3575</v>
      </c>
      <c r="Q82" s="43"/>
      <c r="R82" s="37"/>
      <c r="S82" s="38"/>
      <c r="T82" s="79"/>
      <c r="U82" s="208">
        <f>ROUND((ROUND((ROUND((_15_同援日３．５*_15・通訳),0)*_15・２人),0)*(1+_15・盲ろう)),0)</f>
        <v>780</v>
      </c>
      <c r="V82" s="48"/>
    </row>
    <row r="83" spans="1:22" ht="16.5" customHeight="1" x14ac:dyDescent="0.15">
      <c r="A83" s="41">
        <v>15</v>
      </c>
      <c r="B83" s="41" t="s">
        <v>25858</v>
      </c>
      <c r="C83" s="74" t="s">
        <v>25859</v>
      </c>
      <c r="D83" s="72"/>
      <c r="F83" s="57"/>
      <c r="G83" s="35"/>
      <c r="J83" s="163"/>
      <c r="K83" s="45"/>
      <c r="L83" s="46"/>
      <c r="M83" s="53"/>
      <c r="N83" s="49"/>
      <c r="O83" s="50"/>
      <c r="P83" s="115"/>
      <c r="Q83" s="114" t="s">
        <v>17570</v>
      </c>
      <c r="R83" s="49"/>
      <c r="S83" s="50"/>
      <c r="T83" s="115"/>
      <c r="U83" s="208">
        <f>ROUND((ROUND((_15_同援日３．５*_15・通訳),0)*(1+_15・区３)),0)</f>
        <v>749</v>
      </c>
      <c r="V83" s="48"/>
    </row>
    <row r="84" spans="1:22" ht="16.5" customHeight="1" x14ac:dyDescent="0.15">
      <c r="A84" s="41">
        <v>15</v>
      </c>
      <c r="B84" s="41" t="s">
        <v>25860</v>
      </c>
      <c r="C84" s="74" t="s">
        <v>25861</v>
      </c>
      <c r="D84" s="72"/>
      <c r="F84" s="57"/>
      <c r="G84" s="35"/>
      <c r="J84" s="299" t="s">
        <v>17556</v>
      </c>
      <c r="K84" s="45" t="s">
        <v>398</v>
      </c>
      <c r="L84" s="46">
        <v>1</v>
      </c>
      <c r="M84" s="43"/>
      <c r="N84" s="37"/>
      <c r="O84" s="38"/>
      <c r="P84" s="79"/>
      <c r="Q84" s="92" t="s">
        <v>17572</v>
      </c>
      <c r="T84" s="57"/>
      <c r="U84" s="208">
        <f>ROUND((ROUND((ROUND((_15_同援日３．５*_15・通訳),0)*_15・２人),0)*(1+_15・区３)),0)</f>
        <v>749</v>
      </c>
      <c r="V84" s="48"/>
    </row>
    <row r="85" spans="1:22" ht="16.5" customHeight="1" x14ac:dyDescent="0.15">
      <c r="A85" s="41">
        <v>15</v>
      </c>
      <c r="B85" s="41" t="s">
        <v>25862</v>
      </c>
      <c r="C85" s="74" t="s">
        <v>25863</v>
      </c>
      <c r="D85" s="72"/>
      <c r="F85" s="57"/>
      <c r="G85" s="35"/>
      <c r="J85" s="163"/>
      <c r="K85" s="45"/>
      <c r="L85" s="46"/>
      <c r="M85" s="114" t="s">
        <v>17562</v>
      </c>
      <c r="N85" s="49"/>
      <c r="O85" s="50"/>
      <c r="P85" s="115"/>
      <c r="Q85" s="35"/>
      <c r="R85" s="12" t="s">
        <v>398</v>
      </c>
      <c r="S85" s="13">
        <v>0.2</v>
      </c>
      <c r="T85" s="57" t="s">
        <v>3575</v>
      </c>
      <c r="U85" s="208">
        <f>ROUND((ROUND((ROUND((_15_同援日３．５*_15・通訳),0)*(1+_15・盲ろう)),0)*(1+_15・区３)),0)</f>
        <v>936</v>
      </c>
      <c r="V85" s="48"/>
    </row>
    <row r="86" spans="1:22" ht="16.5" customHeight="1" x14ac:dyDescent="0.15">
      <c r="A86" s="41">
        <v>15</v>
      </c>
      <c r="B86" s="41" t="s">
        <v>25864</v>
      </c>
      <c r="C86" s="74" t="s">
        <v>25865</v>
      </c>
      <c r="D86" s="72"/>
      <c r="F86" s="57"/>
      <c r="G86" s="35"/>
      <c r="J86" s="299" t="s">
        <v>17556</v>
      </c>
      <c r="K86" s="45" t="s">
        <v>398</v>
      </c>
      <c r="L86" s="46">
        <v>1</v>
      </c>
      <c r="M86" s="269" t="s">
        <v>17564</v>
      </c>
      <c r="N86" s="37" t="s">
        <v>398</v>
      </c>
      <c r="O86" s="38">
        <v>0.25</v>
      </c>
      <c r="P86" s="79" t="s">
        <v>3575</v>
      </c>
      <c r="Q86" s="43"/>
      <c r="R86" s="37"/>
      <c r="S86" s="38"/>
      <c r="T86" s="79"/>
      <c r="U86" s="208">
        <f>ROUND((ROUND((ROUND((ROUND((_15_同援日３．５*_15・通訳),0)*_15・２人),0)*(1+_15・盲ろう)),0)*(1+_15・区３)),0)</f>
        <v>936</v>
      </c>
      <c r="V86" s="48"/>
    </row>
    <row r="87" spans="1:22" ht="16.5" customHeight="1" x14ac:dyDescent="0.15">
      <c r="A87" s="41">
        <v>15</v>
      </c>
      <c r="B87" s="41" t="s">
        <v>25866</v>
      </c>
      <c r="C87" s="74" t="s">
        <v>25867</v>
      </c>
      <c r="D87" s="72"/>
      <c r="F87" s="57"/>
      <c r="G87" s="35"/>
      <c r="J87" s="163"/>
      <c r="K87" s="45"/>
      <c r="L87" s="46"/>
      <c r="M87" s="53"/>
      <c r="N87" s="49"/>
      <c r="O87" s="50"/>
      <c r="P87" s="115"/>
      <c r="Q87" s="114" t="s">
        <v>17580</v>
      </c>
      <c r="R87" s="49"/>
      <c r="S87" s="50"/>
      <c r="T87" s="115"/>
      <c r="U87" s="208">
        <f>ROUND((ROUND((_15_同援日３．５*_15・通訳),0)*(1+_15・区４)),0)</f>
        <v>874</v>
      </c>
      <c r="V87" s="48"/>
    </row>
    <row r="88" spans="1:22" ht="16.5" customHeight="1" x14ac:dyDescent="0.15">
      <c r="A88" s="41">
        <v>15</v>
      </c>
      <c r="B88" s="41" t="s">
        <v>25868</v>
      </c>
      <c r="C88" s="74" t="s">
        <v>25869</v>
      </c>
      <c r="D88" s="72"/>
      <c r="F88" s="57"/>
      <c r="G88" s="35"/>
      <c r="J88" s="299" t="s">
        <v>17556</v>
      </c>
      <c r="K88" s="45" t="s">
        <v>398</v>
      </c>
      <c r="L88" s="46">
        <v>1</v>
      </c>
      <c r="M88" s="43"/>
      <c r="N88" s="37"/>
      <c r="O88" s="38"/>
      <c r="P88" s="79"/>
      <c r="Q88" s="92" t="s">
        <v>17572</v>
      </c>
      <c r="T88" s="57"/>
      <c r="U88" s="208">
        <f>ROUND((ROUND((ROUND((_15_同援日３．５*_15・通訳),0)*_15・２人),0)*(1+_15・区４)),0)</f>
        <v>874</v>
      </c>
      <c r="V88" s="48"/>
    </row>
    <row r="89" spans="1:22" ht="16.5" customHeight="1" x14ac:dyDescent="0.15">
      <c r="A89" s="41">
        <v>15</v>
      </c>
      <c r="B89" s="41" t="s">
        <v>25870</v>
      </c>
      <c r="C89" s="74" t="s">
        <v>25871</v>
      </c>
      <c r="D89" s="72"/>
      <c r="F89" s="57"/>
      <c r="G89" s="35"/>
      <c r="J89" s="163"/>
      <c r="K89" s="45"/>
      <c r="L89" s="46"/>
      <c r="M89" s="114" t="s">
        <v>17562</v>
      </c>
      <c r="N89" s="49"/>
      <c r="O89" s="50"/>
      <c r="P89" s="115"/>
      <c r="Q89" s="35"/>
      <c r="R89" s="12" t="s">
        <v>398</v>
      </c>
      <c r="S89" s="13">
        <v>0.4</v>
      </c>
      <c r="T89" s="57" t="s">
        <v>3575</v>
      </c>
      <c r="U89" s="208">
        <f>ROUND((ROUND((ROUND((_15_同援日３．５*_15・通訳),0)*(1+_15・盲ろう)),0)*(1+_15・区４)),0)</f>
        <v>1092</v>
      </c>
      <c r="V89" s="48"/>
    </row>
    <row r="90" spans="1:22" ht="16.5" customHeight="1" x14ac:dyDescent="0.15">
      <c r="A90" s="41">
        <v>15</v>
      </c>
      <c r="B90" s="41" t="s">
        <v>25872</v>
      </c>
      <c r="C90" s="74" t="s">
        <v>25873</v>
      </c>
      <c r="D90" s="122"/>
      <c r="E90" s="37"/>
      <c r="F90" s="79"/>
      <c r="G90" s="35"/>
      <c r="J90" s="299" t="s">
        <v>17556</v>
      </c>
      <c r="K90" s="45" t="s">
        <v>398</v>
      </c>
      <c r="L90" s="46">
        <v>1</v>
      </c>
      <c r="M90" s="269" t="s">
        <v>17564</v>
      </c>
      <c r="N90" s="37" t="s">
        <v>398</v>
      </c>
      <c r="O90" s="38">
        <v>0.25</v>
      </c>
      <c r="P90" s="79" t="s">
        <v>3575</v>
      </c>
      <c r="Q90" s="43"/>
      <c r="R90" s="37"/>
      <c r="S90" s="38"/>
      <c r="T90" s="79"/>
      <c r="U90" s="208">
        <f>ROUND((ROUND((ROUND((ROUND((_15_同援日３．５*_15・通訳),0)*_15・２人),0)*(1+_15・盲ろう)),0)*(1+_15・区４)),0)</f>
        <v>1092</v>
      </c>
      <c r="V90" s="48"/>
    </row>
    <row r="91" spans="1:22" ht="16.5" customHeight="1" x14ac:dyDescent="0.15">
      <c r="A91" s="41">
        <v>15</v>
      </c>
      <c r="B91" s="41" t="s">
        <v>25874</v>
      </c>
      <c r="C91" s="74" t="s">
        <v>25875</v>
      </c>
      <c r="D91" s="114" t="s">
        <v>17749</v>
      </c>
      <c r="E91" s="49"/>
      <c r="F91" s="115"/>
      <c r="G91" s="35"/>
      <c r="J91" s="163"/>
      <c r="K91" s="45"/>
      <c r="L91" s="46"/>
      <c r="M91" s="53"/>
      <c r="N91" s="49"/>
      <c r="O91" s="50"/>
      <c r="P91" s="115"/>
      <c r="Q91" s="53"/>
      <c r="R91" s="49"/>
      <c r="S91" s="50"/>
      <c r="T91" s="115"/>
      <c r="U91" s="208">
        <f>ROUND((_15_同援日４．０*_15・通訳),0)</f>
        <v>682</v>
      </c>
      <c r="V91" s="48"/>
    </row>
    <row r="92" spans="1:22" ht="16.5" customHeight="1" x14ac:dyDescent="0.15">
      <c r="A92" s="41">
        <v>15</v>
      </c>
      <c r="B92" s="41" t="s">
        <v>25876</v>
      </c>
      <c r="C92" s="74" t="s">
        <v>25877</v>
      </c>
      <c r="D92" s="72" t="s">
        <v>17751</v>
      </c>
      <c r="F92" s="57"/>
      <c r="G92" s="35"/>
      <c r="J92" s="299" t="s">
        <v>17556</v>
      </c>
      <c r="K92" s="45" t="s">
        <v>398</v>
      </c>
      <c r="L92" s="46">
        <v>1</v>
      </c>
      <c r="M92" s="43"/>
      <c r="N92" s="37"/>
      <c r="O92" s="38"/>
      <c r="P92" s="79"/>
      <c r="Q92" s="35"/>
      <c r="T92" s="57"/>
      <c r="U92" s="208">
        <f>ROUND((ROUND((_15_同援日４．０*_15・通訳),0)*_15・２人),0)</f>
        <v>682</v>
      </c>
      <c r="V92" s="48"/>
    </row>
    <row r="93" spans="1:22" ht="16.5" customHeight="1" x14ac:dyDescent="0.15">
      <c r="A93" s="41">
        <v>15</v>
      </c>
      <c r="B93" s="41" t="s">
        <v>2514</v>
      </c>
      <c r="C93" s="74" t="s">
        <v>25878</v>
      </c>
      <c r="D93" s="72" t="s">
        <v>17753</v>
      </c>
      <c r="F93" s="57"/>
      <c r="G93" s="35"/>
      <c r="J93" s="163"/>
      <c r="K93" s="45"/>
      <c r="L93" s="46"/>
      <c r="M93" s="114" t="s">
        <v>17562</v>
      </c>
      <c r="N93" s="49"/>
      <c r="O93" s="50"/>
      <c r="P93" s="115"/>
      <c r="Q93" s="35"/>
      <c r="T93" s="57"/>
      <c r="U93" s="208">
        <f>ROUND((ROUND((_15_同援日４．０*_15・通訳),0)*(1+_15・盲ろう)),0)</f>
        <v>853</v>
      </c>
      <c r="V93" s="48"/>
    </row>
    <row r="94" spans="1:22" ht="16.5" customHeight="1" x14ac:dyDescent="0.15">
      <c r="A94" s="41">
        <v>15</v>
      </c>
      <c r="B94" s="41" t="s">
        <v>2516</v>
      </c>
      <c r="C94" s="74" t="s">
        <v>25879</v>
      </c>
      <c r="D94" s="72"/>
      <c r="E94" s="168">
        <f>_15_同援日４．０</f>
        <v>758</v>
      </c>
      <c r="F94" s="57" t="s">
        <v>392</v>
      </c>
      <c r="G94" s="35"/>
      <c r="J94" s="299" t="s">
        <v>17556</v>
      </c>
      <c r="K94" s="45" t="s">
        <v>398</v>
      </c>
      <c r="L94" s="46">
        <v>1</v>
      </c>
      <c r="M94" s="269" t="s">
        <v>17564</v>
      </c>
      <c r="N94" s="37" t="s">
        <v>398</v>
      </c>
      <c r="O94" s="38">
        <v>0.25</v>
      </c>
      <c r="P94" s="79" t="s">
        <v>3575</v>
      </c>
      <c r="Q94" s="43"/>
      <c r="R94" s="37"/>
      <c r="S94" s="38"/>
      <c r="T94" s="79"/>
      <c r="U94" s="208">
        <f>ROUND((ROUND((ROUND((_15_同援日４．０*_15・通訳),0)*_15・２人),0)*(1+_15・盲ろう)),0)</f>
        <v>853</v>
      </c>
      <c r="V94" s="48"/>
    </row>
    <row r="95" spans="1:22" ht="16.5" customHeight="1" x14ac:dyDescent="0.15">
      <c r="A95" s="41">
        <v>15</v>
      </c>
      <c r="B95" s="41" t="s">
        <v>2518</v>
      </c>
      <c r="C95" s="74" t="s">
        <v>25880</v>
      </c>
      <c r="D95" s="72"/>
      <c r="F95" s="57"/>
      <c r="G95" s="35"/>
      <c r="J95" s="163"/>
      <c r="K95" s="45"/>
      <c r="L95" s="46"/>
      <c r="M95" s="53"/>
      <c r="N95" s="49"/>
      <c r="O95" s="50"/>
      <c r="P95" s="115"/>
      <c r="Q95" s="114" t="s">
        <v>17570</v>
      </c>
      <c r="R95" s="49"/>
      <c r="S95" s="50"/>
      <c r="T95" s="115"/>
      <c r="U95" s="208">
        <f>ROUND((ROUND((_15_同援日４．０*_15・通訳),0)*(1+_15・区３)),0)</f>
        <v>818</v>
      </c>
      <c r="V95" s="48"/>
    </row>
    <row r="96" spans="1:22" ht="16.5" customHeight="1" x14ac:dyDescent="0.15">
      <c r="A96" s="41">
        <v>15</v>
      </c>
      <c r="B96" s="41" t="s">
        <v>2520</v>
      </c>
      <c r="C96" s="74" t="s">
        <v>25881</v>
      </c>
      <c r="D96" s="72"/>
      <c r="F96" s="57"/>
      <c r="G96" s="35"/>
      <c r="J96" s="299" t="s">
        <v>17556</v>
      </c>
      <c r="K96" s="45" t="s">
        <v>398</v>
      </c>
      <c r="L96" s="46">
        <v>1</v>
      </c>
      <c r="M96" s="43"/>
      <c r="N96" s="37"/>
      <c r="O96" s="38"/>
      <c r="P96" s="79"/>
      <c r="Q96" s="92" t="s">
        <v>17572</v>
      </c>
      <c r="T96" s="57"/>
      <c r="U96" s="208">
        <f>ROUND((ROUND((ROUND((_15_同援日４．０*_15・通訳),0)*_15・２人),0)*(1+_15・区３)),0)</f>
        <v>818</v>
      </c>
      <c r="V96" s="48"/>
    </row>
    <row r="97" spans="1:22" ht="16.5" customHeight="1" x14ac:dyDescent="0.15">
      <c r="A97" s="41">
        <v>15</v>
      </c>
      <c r="B97" s="41" t="s">
        <v>25882</v>
      </c>
      <c r="C97" s="74" t="s">
        <v>25883</v>
      </c>
      <c r="D97" s="72"/>
      <c r="F97" s="57"/>
      <c r="G97" s="35"/>
      <c r="J97" s="163"/>
      <c r="K97" s="45"/>
      <c r="L97" s="46"/>
      <c r="M97" s="114" t="s">
        <v>17562</v>
      </c>
      <c r="N97" s="49"/>
      <c r="O97" s="50"/>
      <c r="P97" s="115"/>
      <c r="Q97" s="35"/>
      <c r="R97" s="12" t="s">
        <v>398</v>
      </c>
      <c r="S97" s="13">
        <v>0.2</v>
      </c>
      <c r="T97" s="57" t="s">
        <v>3575</v>
      </c>
      <c r="U97" s="208">
        <f>ROUND((ROUND((ROUND((_15_同援日４．０*_15・通訳),0)*(1+_15・盲ろう)),0)*(1+_15・区３)),0)</f>
        <v>1024</v>
      </c>
      <c r="V97" s="48"/>
    </row>
    <row r="98" spans="1:22" ht="16.5" customHeight="1" x14ac:dyDescent="0.15">
      <c r="A98" s="41">
        <v>15</v>
      </c>
      <c r="B98" s="41" t="s">
        <v>25884</v>
      </c>
      <c r="C98" s="74" t="s">
        <v>25885</v>
      </c>
      <c r="D98" s="72"/>
      <c r="F98" s="57"/>
      <c r="G98" s="35"/>
      <c r="J98" s="299" t="s">
        <v>17556</v>
      </c>
      <c r="K98" s="45" t="s">
        <v>398</v>
      </c>
      <c r="L98" s="46">
        <v>1</v>
      </c>
      <c r="M98" s="269" t="s">
        <v>17564</v>
      </c>
      <c r="N98" s="37" t="s">
        <v>398</v>
      </c>
      <c r="O98" s="38">
        <v>0.25</v>
      </c>
      <c r="P98" s="79" t="s">
        <v>3575</v>
      </c>
      <c r="Q98" s="43"/>
      <c r="R98" s="37"/>
      <c r="S98" s="38"/>
      <c r="T98" s="79"/>
      <c r="U98" s="208">
        <f>ROUND((ROUND((ROUND((ROUND((_15_同援日４．０*_15・通訳),0)*_15・２人),0)*(1+_15・盲ろう)),0)*(1+_15・区３)),0)</f>
        <v>1024</v>
      </c>
      <c r="V98" s="48"/>
    </row>
    <row r="99" spans="1:22" ht="16.5" customHeight="1" x14ac:dyDescent="0.15">
      <c r="A99" s="41">
        <v>15</v>
      </c>
      <c r="B99" s="41" t="s">
        <v>25886</v>
      </c>
      <c r="C99" s="74" t="s">
        <v>25887</v>
      </c>
      <c r="D99" s="72"/>
      <c r="F99" s="57"/>
      <c r="G99" s="35"/>
      <c r="J99" s="163"/>
      <c r="K99" s="45"/>
      <c r="L99" s="46"/>
      <c r="M99" s="53"/>
      <c r="N99" s="49"/>
      <c r="O99" s="50"/>
      <c r="P99" s="115"/>
      <c r="Q99" s="114" t="s">
        <v>17580</v>
      </c>
      <c r="R99" s="49"/>
      <c r="S99" s="50"/>
      <c r="T99" s="115"/>
      <c r="U99" s="208">
        <f>ROUND((ROUND((_15_同援日４．０*_15・通訳),0)*(1+_15・区４)),0)</f>
        <v>955</v>
      </c>
      <c r="V99" s="48"/>
    </row>
    <row r="100" spans="1:22" ht="16.5" customHeight="1" x14ac:dyDescent="0.15">
      <c r="A100" s="41">
        <v>15</v>
      </c>
      <c r="B100" s="41" t="s">
        <v>25888</v>
      </c>
      <c r="C100" s="74" t="s">
        <v>25889</v>
      </c>
      <c r="D100" s="72"/>
      <c r="F100" s="57"/>
      <c r="G100" s="35"/>
      <c r="J100" s="299" t="s">
        <v>17556</v>
      </c>
      <c r="K100" s="45" t="s">
        <v>398</v>
      </c>
      <c r="L100" s="46">
        <v>1</v>
      </c>
      <c r="M100" s="43"/>
      <c r="N100" s="37"/>
      <c r="O100" s="38"/>
      <c r="P100" s="79"/>
      <c r="Q100" s="92" t="s">
        <v>17572</v>
      </c>
      <c r="T100" s="57"/>
      <c r="U100" s="208">
        <f>ROUND((ROUND((ROUND((_15_同援日４．０*_15・通訳),0)*_15・２人),0)*(1+_15・区４)),0)</f>
        <v>955</v>
      </c>
      <c r="V100" s="48"/>
    </row>
    <row r="101" spans="1:22" ht="16.5" customHeight="1" x14ac:dyDescent="0.15">
      <c r="A101" s="41">
        <v>15</v>
      </c>
      <c r="B101" s="41" t="s">
        <v>25890</v>
      </c>
      <c r="C101" s="74" t="s">
        <v>25891</v>
      </c>
      <c r="D101" s="72"/>
      <c r="F101" s="57"/>
      <c r="G101" s="35"/>
      <c r="J101" s="163"/>
      <c r="K101" s="45"/>
      <c r="L101" s="46"/>
      <c r="M101" s="114" t="s">
        <v>17562</v>
      </c>
      <c r="N101" s="49"/>
      <c r="O101" s="50"/>
      <c r="P101" s="115"/>
      <c r="Q101" s="35"/>
      <c r="R101" s="12" t="s">
        <v>398</v>
      </c>
      <c r="S101" s="13">
        <v>0.4</v>
      </c>
      <c r="T101" s="57" t="s">
        <v>3575</v>
      </c>
      <c r="U101" s="208">
        <f>ROUND((ROUND((ROUND((_15_同援日４．０*_15・通訳),0)*(1+_15・盲ろう)),0)*(1+_15・区４)),0)</f>
        <v>1194</v>
      </c>
      <c r="V101" s="48"/>
    </row>
    <row r="102" spans="1:22" ht="16.5" customHeight="1" x14ac:dyDescent="0.15">
      <c r="A102" s="41">
        <v>15</v>
      </c>
      <c r="B102" s="41" t="s">
        <v>25892</v>
      </c>
      <c r="C102" s="74" t="s">
        <v>25893</v>
      </c>
      <c r="D102" s="122"/>
      <c r="E102" s="37"/>
      <c r="F102" s="79"/>
      <c r="G102" s="43"/>
      <c r="H102" s="37"/>
      <c r="I102" s="38"/>
      <c r="J102" s="299" t="s">
        <v>17556</v>
      </c>
      <c r="K102" s="45" t="s">
        <v>398</v>
      </c>
      <c r="L102" s="46">
        <v>1</v>
      </c>
      <c r="M102" s="269" t="s">
        <v>17564</v>
      </c>
      <c r="N102" s="37" t="s">
        <v>398</v>
      </c>
      <c r="O102" s="38">
        <v>0.25</v>
      </c>
      <c r="P102" s="79" t="s">
        <v>3575</v>
      </c>
      <c r="Q102" s="43"/>
      <c r="R102" s="37"/>
      <c r="S102" s="38"/>
      <c r="T102" s="79"/>
      <c r="U102" s="208">
        <f>ROUND((ROUND((ROUND((ROUND((_15_同援日４．０*_15・通訳),0)*_15・２人),0)*(1+_15・盲ろう)),0)*(1+_15・区４)),0)</f>
        <v>1194</v>
      </c>
      <c r="V102" s="63"/>
    </row>
    <row r="103" spans="1:22" ht="16.5" customHeight="1" x14ac:dyDescent="0.15">
      <c r="A103" s="41">
        <v>15</v>
      </c>
      <c r="B103" s="41" t="s">
        <v>25894</v>
      </c>
      <c r="C103" s="74" t="s">
        <v>25895</v>
      </c>
      <c r="D103" s="114" t="s">
        <v>17776</v>
      </c>
      <c r="E103" s="49"/>
      <c r="F103" s="115"/>
      <c r="G103" s="53"/>
      <c r="H103" s="49"/>
      <c r="I103" s="50"/>
      <c r="J103" s="163"/>
      <c r="K103" s="45"/>
      <c r="L103" s="46"/>
      <c r="M103" s="53"/>
      <c r="N103" s="49"/>
      <c r="O103" s="50"/>
      <c r="P103" s="115"/>
      <c r="Q103" s="53"/>
      <c r="R103" s="49"/>
      <c r="S103" s="50"/>
      <c r="T103" s="115"/>
      <c r="U103" s="208">
        <f>ROUND((_15_同援日４．５*_15・通訳),0)</f>
        <v>741</v>
      </c>
      <c r="V103" s="64"/>
    </row>
    <row r="104" spans="1:22" ht="16.5" customHeight="1" x14ac:dyDescent="0.15">
      <c r="A104" s="41">
        <v>15</v>
      </c>
      <c r="B104" s="41" t="s">
        <v>25896</v>
      </c>
      <c r="C104" s="74" t="s">
        <v>25897</v>
      </c>
      <c r="D104" s="72" t="s">
        <v>17778</v>
      </c>
      <c r="F104" s="57"/>
      <c r="G104" s="35"/>
      <c r="J104" s="299" t="s">
        <v>17556</v>
      </c>
      <c r="K104" s="45" t="s">
        <v>398</v>
      </c>
      <c r="L104" s="46">
        <v>1</v>
      </c>
      <c r="M104" s="43"/>
      <c r="N104" s="37"/>
      <c r="O104" s="38"/>
      <c r="P104" s="79"/>
      <c r="Q104" s="35"/>
      <c r="T104" s="57"/>
      <c r="U104" s="208">
        <f>ROUND((ROUND((_15_同援日４．５*_15・通訳),0)*_15・２人),0)</f>
        <v>741</v>
      </c>
      <c r="V104" s="48"/>
    </row>
    <row r="105" spans="1:22" ht="16.5" customHeight="1" x14ac:dyDescent="0.15">
      <c r="A105" s="41">
        <v>15</v>
      </c>
      <c r="B105" s="41" t="s">
        <v>25898</v>
      </c>
      <c r="C105" s="74" t="s">
        <v>25899</v>
      </c>
      <c r="D105" s="72" t="s">
        <v>18463</v>
      </c>
      <c r="F105" s="57"/>
      <c r="G105" s="35"/>
      <c r="J105" s="163"/>
      <c r="K105" s="45"/>
      <c r="L105" s="46"/>
      <c r="M105" s="114" t="s">
        <v>17562</v>
      </c>
      <c r="N105" s="49"/>
      <c r="O105" s="50"/>
      <c r="P105" s="115"/>
      <c r="Q105" s="35"/>
      <c r="T105" s="57"/>
      <c r="U105" s="208">
        <f>ROUND((ROUND((_15_同援日４．５*_15・通訳),0)*(1+_15・盲ろう)),0)</f>
        <v>926</v>
      </c>
      <c r="V105" s="48"/>
    </row>
    <row r="106" spans="1:22" ht="16.5" customHeight="1" x14ac:dyDescent="0.15">
      <c r="A106" s="41">
        <v>15</v>
      </c>
      <c r="B106" s="41" t="s">
        <v>25900</v>
      </c>
      <c r="C106" s="74" t="s">
        <v>25901</v>
      </c>
      <c r="D106" s="72"/>
      <c r="E106" s="168">
        <f>_15_同援日４．５</f>
        <v>823</v>
      </c>
      <c r="F106" s="57" t="s">
        <v>392</v>
      </c>
      <c r="G106" s="35"/>
      <c r="J106" s="299" t="s">
        <v>17556</v>
      </c>
      <c r="K106" s="45" t="s">
        <v>398</v>
      </c>
      <c r="L106" s="46">
        <v>1</v>
      </c>
      <c r="M106" s="269" t="s">
        <v>17564</v>
      </c>
      <c r="N106" s="37" t="s">
        <v>398</v>
      </c>
      <c r="O106" s="38">
        <v>0.25</v>
      </c>
      <c r="P106" s="79" t="s">
        <v>3575</v>
      </c>
      <c r="Q106" s="43"/>
      <c r="R106" s="37"/>
      <c r="S106" s="38"/>
      <c r="T106" s="79"/>
      <c r="U106" s="208">
        <f>ROUND((ROUND((ROUND((_15_同援日４．５*_15・通訳),0)*_15・２人),0)*(1+_15・盲ろう)),0)</f>
        <v>926</v>
      </c>
      <c r="V106" s="48"/>
    </row>
    <row r="107" spans="1:22" ht="16.5" customHeight="1" x14ac:dyDescent="0.15">
      <c r="A107" s="41">
        <v>15</v>
      </c>
      <c r="B107" s="41" t="s">
        <v>25902</v>
      </c>
      <c r="C107" s="74" t="s">
        <v>25903</v>
      </c>
      <c r="D107" s="72"/>
      <c r="F107" s="57"/>
      <c r="G107" s="35"/>
      <c r="J107" s="163"/>
      <c r="K107" s="45"/>
      <c r="L107" s="46"/>
      <c r="M107" s="53"/>
      <c r="N107" s="49"/>
      <c r="O107" s="50"/>
      <c r="P107" s="115"/>
      <c r="Q107" s="114" t="s">
        <v>17570</v>
      </c>
      <c r="R107" s="49"/>
      <c r="S107" s="50"/>
      <c r="T107" s="115"/>
      <c r="U107" s="208">
        <f>ROUND((ROUND((_15_同援日４．５*_15・通訳),0)*(1+_15・区３)),0)</f>
        <v>889</v>
      </c>
      <c r="V107" s="48"/>
    </row>
    <row r="108" spans="1:22" ht="16.5" customHeight="1" x14ac:dyDescent="0.15">
      <c r="A108" s="41">
        <v>15</v>
      </c>
      <c r="B108" s="41" t="s">
        <v>25904</v>
      </c>
      <c r="C108" s="74" t="s">
        <v>25905</v>
      </c>
      <c r="D108" s="72"/>
      <c r="F108" s="57"/>
      <c r="G108" s="35"/>
      <c r="J108" s="299" t="s">
        <v>17556</v>
      </c>
      <c r="K108" s="45" t="s">
        <v>398</v>
      </c>
      <c r="L108" s="46">
        <v>1</v>
      </c>
      <c r="M108" s="43"/>
      <c r="N108" s="37"/>
      <c r="O108" s="38"/>
      <c r="P108" s="79"/>
      <c r="Q108" s="92" t="s">
        <v>17572</v>
      </c>
      <c r="T108" s="57"/>
      <c r="U108" s="208">
        <f>ROUND((ROUND((ROUND((_15_同援日４．５*_15・通訳),0)*_15・２人),0)*(1+_15・区３)),0)</f>
        <v>889</v>
      </c>
      <c r="V108" s="48"/>
    </row>
    <row r="109" spans="1:22" ht="16.5" customHeight="1" x14ac:dyDescent="0.15">
      <c r="A109" s="41">
        <v>15</v>
      </c>
      <c r="B109" s="41" t="s">
        <v>25906</v>
      </c>
      <c r="C109" s="74" t="s">
        <v>25907</v>
      </c>
      <c r="D109" s="72"/>
      <c r="F109" s="57"/>
      <c r="G109" s="35"/>
      <c r="J109" s="163"/>
      <c r="K109" s="45"/>
      <c r="L109" s="46"/>
      <c r="M109" s="114" t="s">
        <v>17562</v>
      </c>
      <c r="N109" s="49"/>
      <c r="O109" s="50"/>
      <c r="P109" s="115"/>
      <c r="Q109" s="35"/>
      <c r="R109" s="12" t="s">
        <v>398</v>
      </c>
      <c r="S109" s="13">
        <v>0.2</v>
      </c>
      <c r="T109" s="57" t="s">
        <v>3575</v>
      </c>
      <c r="U109" s="208">
        <f>ROUND((ROUND((ROUND((_15_同援日４．５*_15・通訳),0)*(1+_15・盲ろう)),0)*(1+_15・区３)),0)</f>
        <v>1111</v>
      </c>
      <c r="V109" s="48"/>
    </row>
    <row r="110" spans="1:22" ht="16.5" customHeight="1" x14ac:dyDescent="0.15">
      <c r="A110" s="41">
        <v>15</v>
      </c>
      <c r="B110" s="41" t="s">
        <v>25908</v>
      </c>
      <c r="C110" s="74" t="s">
        <v>25909</v>
      </c>
      <c r="D110" s="72"/>
      <c r="F110" s="57"/>
      <c r="G110" s="35"/>
      <c r="J110" s="299" t="s">
        <v>17556</v>
      </c>
      <c r="K110" s="45" t="s">
        <v>398</v>
      </c>
      <c r="L110" s="46">
        <v>1</v>
      </c>
      <c r="M110" s="269" t="s">
        <v>17564</v>
      </c>
      <c r="N110" s="37" t="s">
        <v>398</v>
      </c>
      <c r="O110" s="38">
        <v>0.25</v>
      </c>
      <c r="P110" s="79" t="s">
        <v>3575</v>
      </c>
      <c r="Q110" s="43"/>
      <c r="R110" s="37"/>
      <c r="S110" s="38"/>
      <c r="T110" s="79"/>
      <c r="U110" s="208">
        <f>ROUND((ROUND((ROUND((ROUND((_15_同援日４．５*_15・通訳),0)*_15・２人),0)*(1+_15・盲ろう)),0)*(1+_15・区３)),0)</f>
        <v>1111</v>
      </c>
      <c r="V110" s="48"/>
    </row>
    <row r="111" spans="1:22" ht="16.5" customHeight="1" x14ac:dyDescent="0.15">
      <c r="A111" s="41">
        <v>15</v>
      </c>
      <c r="B111" s="41" t="s">
        <v>25910</v>
      </c>
      <c r="C111" s="74" t="s">
        <v>25911</v>
      </c>
      <c r="D111" s="72"/>
      <c r="F111" s="57"/>
      <c r="G111" s="35"/>
      <c r="J111" s="163"/>
      <c r="K111" s="45"/>
      <c r="L111" s="46"/>
      <c r="M111" s="53"/>
      <c r="N111" s="49"/>
      <c r="O111" s="50"/>
      <c r="P111" s="115"/>
      <c r="Q111" s="114" t="s">
        <v>17580</v>
      </c>
      <c r="R111" s="49"/>
      <c r="S111" s="50"/>
      <c r="T111" s="115"/>
      <c r="U111" s="208">
        <f>ROUND((ROUND((_15_同援日４．５*_15・通訳),0)*(1+_15・区４)),0)</f>
        <v>1037</v>
      </c>
      <c r="V111" s="48"/>
    </row>
    <row r="112" spans="1:22" ht="16.5" customHeight="1" x14ac:dyDescent="0.15">
      <c r="A112" s="41">
        <v>15</v>
      </c>
      <c r="B112" s="41" t="s">
        <v>25912</v>
      </c>
      <c r="C112" s="74" t="s">
        <v>25913</v>
      </c>
      <c r="D112" s="72"/>
      <c r="F112" s="57"/>
      <c r="G112" s="35"/>
      <c r="J112" s="299" t="s">
        <v>17556</v>
      </c>
      <c r="K112" s="45" t="s">
        <v>398</v>
      </c>
      <c r="L112" s="46">
        <v>1</v>
      </c>
      <c r="M112" s="43"/>
      <c r="N112" s="37"/>
      <c r="O112" s="38"/>
      <c r="P112" s="79"/>
      <c r="Q112" s="92" t="s">
        <v>17572</v>
      </c>
      <c r="T112" s="57"/>
      <c r="U112" s="208">
        <f>ROUND((ROUND((ROUND((_15_同援日４．５*_15・通訳),0)*_15・２人),0)*(1+_15・区４)),0)</f>
        <v>1037</v>
      </c>
      <c r="V112" s="48"/>
    </row>
    <row r="113" spans="1:22" ht="16.5" customHeight="1" x14ac:dyDescent="0.15">
      <c r="A113" s="41">
        <v>15</v>
      </c>
      <c r="B113" s="41" t="s">
        <v>2527</v>
      </c>
      <c r="C113" s="74" t="s">
        <v>25914</v>
      </c>
      <c r="D113" s="72"/>
      <c r="F113" s="57"/>
      <c r="G113" s="35"/>
      <c r="J113" s="163"/>
      <c r="K113" s="45"/>
      <c r="L113" s="46"/>
      <c r="M113" s="114" t="s">
        <v>17562</v>
      </c>
      <c r="N113" s="49"/>
      <c r="O113" s="50"/>
      <c r="P113" s="115"/>
      <c r="Q113" s="35"/>
      <c r="R113" s="12" t="s">
        <v>398</v>
      </c>
      <c r="S113" s="13">
        <v>0.4</v>
      </c>
      <c r="T113" s="57" t="s">
        <v>3575</v>
      </c>
      <c r="U113" s="208">
        <f>ROUND((ROUND((ROUND((_15_同援日４．５*_15・通訳),0)*(1+_15・盲ろう)),0)*(1+_15・区４)),0)</f>
        <v>1296</v>
      </c>
      <c r="V113" s="48"/>
    </row>
    <row r="114" spans="1:22" ht="16.5" customHeight="1" x14ac:dyDescent="0.15">
      <c r="A114" s="41">
        <v>15</v>
      </c>
      <c r="B114" s="41" t="s">
        <v>2529</v>
      </c>
      <c r="C114" s="74" t="s">
        <v>25915</v>
      </c>
      <c r="D114" s="122"/>
      <c r="E114" s="37"/>
      <c r="F114" s="79"/>
      <c r="G114" s="35"/>
      <c r="J114" s="299" t="s">
        <v>17556</v>
      </c>
      <c r="K114" s="45" t="s">
        <v>398</v>
      </c>
      <c r="L114" s="46">
        <v>1</v>
      </c>
      <c r="M114" s="269" t="s">
        <v>17564</v>
      </c>
      <c r="N114" s="37" t="s">
        <v>398</v>
      </c>
      <c r="O114" s="38">
        <v>0.25</v>
      </c>
      <c r="P114" s="79" t="s">
        <v>3575</v>
      </c>
      <c r="Q114" s="43"/>
      <c r="R114" s="37"/>
      <c r="S114" s="38"/>
      <c r="T114" s="79"/>
      <c r="U114" s="208">
        <f>ROUND((ROUND((ROUND((ROUND((_15_同援日４．５*_15・通訳),0)*_15・２人),0)*(1+_15・盲ろう)),0)*(1+_15・区４)),0)</f>
        <v>1296</v>
      </c>
      <c r="V114" s="48"/>
    </row>
    <row r="115" spans="1:22" ht="16.5" customHeight="1" x14ac:dyDescent="0.15">
      <c r="A115" s="41">
        <v>15</v>
      </c>
      <c r="B115" s="41" t="s">
        <v>2531</v>
      </c>
      <c r="C115" s="74" t="s">
        <v>25916</v>
      </c>
      <c r="D115" s="114" t="s">
        <v>17803</v>
      </c>
      <c r="E115" s="49"/>
      <c r="F115" s="115"/>
      <c r="G115" s="35"/>
      <c r="J115" s="163"/>
      <c r="K115" s="45"/>
      <c r="L115" s="46"/>
      <c r="M115" s="53"/>
      <c r="N115" s="49"/>
      <c r="O115" s="50"/>
      <c r="P115" s="115"/>
      <c r="Q115" s="53"/>
      <c r="R115" s="49"/>
      <c r="S115" s="50"/>
      <c r="T115" s="115"/>
      <c r="U115" s="208">
        <f>ROUND((_15_同援日５．０*_15・通訳),0)</f>
        <v>799</v>
      </c>
      <c r="V115" s="48"/>
    </row>
    <row r="116" spans="1:22" ht="16.5" customHeight="1" x14ac:dyDescent="0.15">
      <c r="A116" s="41">
        <v>15</v>
      </c>
      <c r="B116" s="41" t="s">
        <v>2533</v>
      </c>
      <c r="C116" s="74" t="s">
        <v>25917</v>
      </c>
      <c r="D116" s="72" t="s">
        <v>17805</v>
      </c>
      <c r="F116" s="57"/>
      <c r="G116" s="35"/>
      <c r="J116" s="299" t="s">
        <v>17556</v>
      </c>
      <c r="K116" s="45" t="s">
        <v>398</v>
      </c>
      <c r="L116" s="46">
        <v>1</v>
      </c>
      <c r="M116" s="43"/>
      <c r="N116" s="37"/>
      <c r="O116" s="38"/>
      <c r="P116" s="79"/>
      <c r="Q116" s="35"/>
      <c r="T116" s="57"/>
      <c r="U116" s="208">
        <f>ROUND((ROUND((_15_同援日５．０*_15・通訳),0)*_15・２人),0)</f>
        <v>799</v>
      </c>
      <c r="V116" s="48"/>
    </row>
    <row r="117" spans="1:22" ht="16.5" customHeight="1" x14ac:dyDescent="0.15">
      <c r="A117" s="41">
        <v>15</v>
      </c>
      <c r="B117" s="41" t="s">
        <v>25918</v>
      </c>
      <c r="C117" s="74" t="s">
        <v>25919</v>
      </c>
      <c r="D117" s="72" t="s">
        <v>18716</v>
      </c>
      <c r="F117" s="57"/>
      <c r="G117" s="35"/>
      <c r="J117" s="163"/>
      <c r="K117" s="45"/>
      <c r="L117" s="46"/>
      <c r="M117" s="114" t="s">
        <v>17562</v>
      </c>
      <c r="N117" s="49"/>
      <c r="O117" s="50"/>
      <c r="P117" s="115"/>
      <c r="Q117" s="35"/>
      <c r="T117" s="57"/>
      <c r="U117" s="208">
        <f>ROUND((ROUND((_15_同援日５．０*_15・通訳),0)*(1+_15・盲ろう)),0)</f>
        <v>999</v>
      </c>
      <c r="V117" s="48"/>
    </row>
    <row r="118" spans="1:22" ht="16.5" customHeight="1" x14ac:dyDescent="0.15">
      <c r="A118" s="41">
        <v>15</v>
      </c>
      <c r="B118" s="41" t="s">
        <v>25920</v>
      </c>
      <c r="C118" s="74" t="s">
        <v>25921</v>
      </c>
      <c r="D118" s="72"/>
      <c r="E118" s="168">
        <f>_15_同援日５．０</f>
        <v>888</v>
      </c>
      <c r="F118" s="57" t="s">
        <v>392</v>
      </c>
      <c r="G118" s="35"/>
      <c r="J118" s="299" t="s">
        <v>17556</v>
      </c>
      <c r="K118" s="45" t="s">
        <v>398</v>
      </c>
      <c r="L118" s="46">
        <v>1</v>
      </c>
      <c r="M118" s="269" t="s">
        <v>17564</v>
      </c>
      <c r="N118" s="37" t="s">
        <v>398</v>
      </c>
      <c r="O118" s="38">
        <v>0.25</v>
      </c>
      <c r="P118" s="79" t="s">
        <v>3575</v>
      </c>
      <c r="Q118" s="43"/>
      <c r="R118" s="37"/>
      <c r="S118" s="38"/>
      <c r="T118" s="79"/>
      <c r="U118" s="208">
        <f>ROUND((ROUND((ROUND((_15_同援日５．０*_15・通訳),0)*_15・２人),0)*(1+_15・盲ろう)),0)</f>
        <v>999</v>
      </c>
      <c r="V118" s="48"/>
    </row>
    <row r="119" spans="1:22" ht="16.5" customHeight="1" x14ac:dyDescent="0.15">
      <c r="A119" s="41">
        <v>15</v>
      </c>
      <c r="B119" s="41" t="s">
        <v>25922</v>
      </c>
      <c r="C119" s="74" t="s">
        <v>25923</v>
      </c>
      <c r="D119" s="72"/>
      <c r="F119" s="57"/>
      <c r="G119" s="35"/>
      <c r="J119" s="163"/>
      <c r="K119" s="45"/>
      <c r="L119" s="46"/>
      <c r="M119" s="53"/>
      <c r="N119" s="49"/>
      <c r="O119" s="50"/>
      <c r="P119" s="115"/>
      <c r="Q119" s="114" t="s">
        <v>17570</v>
      </c>
      <c r="R119" s="49"/>
      <c r="S119" s="50"/>
      <c r="T119" s="115"/>
      <c r="U119" s="208">
        <f>ROUND((ROUND((_15_同援日５．０*_15・通訳),0)*(1+_15・区３)),0)</f>
        <v>959</v>
      </c>
      <c r="V119" s="48"/>
    </row>
    <row r="120" spans="1:22" ht="16.5" customHeight="1" x14ac:dyDescent="0.15">
      <c r="A120" s="41">
        <v>15</v>
      </c>
      <c r="B120" s="41" t="s">
        <v>25924</v>
      </c>
      <c r="C120" s="74" t="s">
        <v>25925</v>
      </c>
      <c r="D120" s="72"/>
      <c r="F120" s="57"/>
      <c r="G120" s="35"/>
      <c r="J120" s="299" t="s">
        <v>17556</v>
      </c>
      <c r="K120" s="45" t="s">
        <v>398</v>
      </c>
      <c r="L120" s="46">
        <v>1</v>
      </c>
      <c r="M120" s="43"/>
      <c r="N120" s="37"/>
      <c r="O120" s="38"/>
      <c r="P120" s="79"/>
      <c r="Q120" s="92" t="s">
        <v>17572</v>
      </c>
      <c r="T120" s="57"/>
      <c r="U120" s="208">
        <f>ROUND((ROUND((ROUND((_15_同援日５．０*_15・通訳),0)*_15・２人),0)*(1+_15・区３)),0)</f>
        <v>959</v>
      </c>
      <c r="V120" s="48"/>
    </row>
    <row r="121" spans="1:22" ht="16.5" customHeight="1" x14ac:dyDescent="0.15">
      <c r="A121" s="41">
        <v>15</v>
      </c>
      <c r="B121" s="41" t="s">
        <v>25926</v>
      </c>
      <c r="C121" s="74" t="s">
        <v>25927</v>
      </c>
      <c r="D121" s="72"/>
      <c r="F121" s="57"/>
      <c r="G121" s="35"/>
      <c r="J121" s="163"/>
      <c r="K121" s="45"/>
      <c r="L121" s="46"/>
      <c r="M121" s="114" t="s">
        <v>17562</v>
      </c>
      <c r="N121" s="49"/>
      <c r="O121" s="50"/>
      <c r="P121" s="115"/>
      <c r="Q121" s="35"/>
      <c r="R121" s="12" t="s">
        <v>398</v>
      </c>
      <c r="S121" s="13">
        <v>0.2</v>
      </c>
      <c r="T121" s="57" t="s">
        <v>3575</v>
      </c>
      <c r="U121" s="208">
        <f>ROUND((ROUND((ROUND((_15_同援日５．０*_15・通訳),0)*(1+_15・盲ろう)),0)*(1+_15・区３)),0)</f>
        <v>1199</v>
      </c>
      <c r="V121" s="48"/>
    </row>
    <row r="122" spans="1:22" ht="16.5" customHeight="1" x14ac:dyDescent="0.15">
      <c r="A122" s="41">
        <v>15</v>
      </c>
      <c r="B122" s="41" t="s">
        <v>25928</v>
      </c>
      <c r="C122" s="74" t="s">
        <v>25929</v>
      </c>
      <c r="D122" s="72"/>
      <c r="F122" s="57"/>
      <c r="G122" s="35"/>
      <c r="J122" s="299" t="s">
        <v>17556</v>
      </c>
      <c r="K122" s="45" t="s">
        <v>398</v>
      </c>
      <c r="L122" s="46">
        <v>1</v>
      </c>
      <c r="M122" s="269" t="s">
        <v>17564</v>
      </c>
      <c r="N122" s="37" t="s">
        <v>398</v>
      </c>
      <c r="O122" s="38">
        <v>0.25</v>
      </c>
      <c r="P122" s="79" t="s">
        <v>3575</v>
      </c>
      <c r="Q122" s="43"/>
      <c r="R122" s="37"/>
      <c r="S122" s="38"/>
      <c r="T122" s="79"/>
      <c r="U122" s="208">
        <f>ROUND((ROUND((ROUND((ROUND((_15_同援日５．０*_15・通訳),0)*_15・２人),0)*(1+_15・盲ろう)),0)*(1+_15・区３)),0)</f>
        <v>1199</v>
      </c>
      <c r="V122" s="48"/>
    </row>
    <row r="123" spans="1:22" ht="16.5" customHeight="1" x14ac:dyDescent="0.15">
      <c r="A123" s="41">
        <v>15</v>
      </c>
      <c r="B123" s="41" t="s">
        <v>25930</v>
      </c>
      <c r="C123" s="74" t="s">
        <v>25931</v>
      </c>
      <c r="D123" s="72"/>
      <c r="F123" s="57"/>
      <c r="G123" s="35"/>
      <c r="J123" s="163"/>
      <c r="K123" s="45"/>
      <c r="L123" s="46"/>
      <c r="M123" s="53"/>
      <c r="N123" s="49"/>
      <c r="O123" s="50"/>
      <c r="P123" s="115"/>
      <c r="Q123" s="114" t="s">
        <v>17580</v>
      </c>
      <c r="R123" s="49"/>
      <c r="S123" s="50"/>
      <c r="T123" s="115"/>
      <c r="U123" s="208">
        <f>ROUND((ROUND((_15_同援日５．０*_15・通訳),0)*(1+_15・区４)),0)</f>
        <v>1119</v>
      </c>
      <c r="V123" s="48"/>
    </row>
    <row r="124" spans="1:22" ht="16.5" customHeight="1" x14ac:dyDescent="0.15">
      <c r="A124" s="41">
        <v>15</v>
      </c>
      <c r="B124" s="41" t="s">
        <v>25932</v>
      </c>
      <c r="C124" s="74" t="s">
        <v>25933</v>
      </c>
      <c r="D124" s="72"/>
      <c r="F124" s="57"/>
      <c r="G124" s="35"/>
      <c r="J124" s="299" t="s">
        <v>17556</v>
      </c>
      <c r="K124" s="45" t="s">
        <v>398</v>
      </c>
      <c r="L124" s="46">
        <v>1</v>
      </c>
      <c r="M124" s="43"/>
      <c r="N124" s="37"/>
      <c r="O124" s="38"/>
      <c r="P124" s="79"/>
      <c r="Q124" s="92" t="s">
        <v>17572</v>
      </c>
      <c r="T124" s="57"/>
      <c r="U124" s="208">
        <f>ROUND((ROUND((ROUND((_15_同援日５．０*_15・通訳),0)*_15・２人),0)*(1+_15・区４)),0)</f>
        <v>1119</v>
      </c>
      <c r="V124" s="48"/>
    </row>
    <row r="125" spans="1:22" ht="16.5" customHeight="1" x14ac:dyDescent="0.15">
      <c r="A125" s="41">
        <v>15</v>
      </c>
      <c r="B125" s="41" t="s">
        <v>25934</v>
      </c>
      <c r="C125" s="74" t="s">
        <v>25935</v>
      </c>
      <c r="D125" s="72"/>
      <c r="F125" s="57"/>
      <c r="G125" s="35"/>
      <c r="J125" s="163"/>
      <c r="K125" s="45"/>
      <c r="L125" s="46"/>
      <c r="M125" s="114" t="s">
        <v>17562</v>
      </c>
      <c r="N125" s="49"/>
      <c r="O125" s="50"/>
      <c r="P125" s="115"/>
      <c r="Q125" s="35"/>
      <c r="R125" s="12" t="s">
        <v>398</v>
      </c>
      <c r="S125" s="13">
        <v>0.4</v>
      </c>
      <c r="T125" s="57" t="s">
        <v>3575</v>
      </c>
      <c r="U125" s="208">
        <f>ROUND((ROUND((ROUND((_15_同援日５．０*_15・通訳),0)*(1+_15・盲ろう)),0)*(1+_15・区４)),0)</f>
        <v>1399</v>
      </c>
      <c r="V125" s="48"/>
    </row>
    <row r="126" spans="1:22" ht="16.5" customHeight="1" x14ac:dyDescent="0.15">
      <c r="A126" s="41">
        <v>15</v>
      </c>
      <c r="B126" s="41" t="s">
        <v>25936</v>
      </c>
      <c r="C126" s="74" t="s">
        <v>25937</v>
      </c>
      <c r="D126" s="122"/>
      <c r="E126" s="37"/>
      <c r="F126" s="79"/>
      <c r="G126" s="35"/>
      <c r="J126" s="299" t="s">
        <v>17556</v>
      </c>
      <c r="K126" s="45" t="s">
        <v>398</v>
      </c>
      <c r="L126" s="46">
        <v>1</v>
      </c>
      <c r="M126" s="269" t="s">
        <v>17564</v>
      </c>
      <c r="N126" s="37" t="s">
        <v>398</v>
      </c>
      <c r="O126" s="38">
        <v>0.25</v>
      </c>
      <c r="P126" s="79" t="s">
        <v>3575</v>
      </c>
      <c r="Q126" s="43"/>
      <c r="R126" s="37"/>
      <c r="S126" s="38"/>
      <c r="T126" s="79"/>
      <c r="U126" s="208">
        <f>ROUND((ROUND((ROUND((ROUND((_15_同援日５．０*_15・通訳),0)*_15・２人),0)*(1+_15・盲ろう)),0)*(1+_15・区４)),0)</f>
        <v>1399</v>
      </c>
      <c r="V126" s="48"/>
    </row>
    <row r="127" spans="1:22" ht="16.5" customHeight="1" x14ac:dyDescent="0.15">
      <c r="A127" s="41">
        <v>15</v>
      </c>
      <c r="B127" s="41" t="s">
        <v>25938</v>
      </c>
      <c r="C127" s="74" t="s">
        <v>25939</v>
      </c>
      <c r="D127" s="114" t="s">
        <v>17830</v>
      </c>
      <c r="E127" s="49"/>
      <c r="F127" s="115"/>
      <c r="G127" s="35"/>
      <c r="J127" s="163"/>
      <c r="K127" s="45"/>
      <c r="L127" s="46"/>
      <c r="M127" s="53"/>
      <c r="N127" s="49"/>
      <c r="O127" s="50"/>
      <c r="P127" s="115"/>
      <c r="Q127" s="53"/>
      <c r="R127" s="49"/>
      <c r="S127" s="50"/>
      <c r="T127" s="115"/>
      <c r="U127" s="208">
        <f>ROUND((_15_同援日５．５*_15・通訳),0)</f>
        <v>858</v>
      </c>
      <c r="V127" s="48"/>
    </row>
    <row r="128" spans="1:22" ht="16.5" customHeight="1" x14ac:dyDescent="0.15">
      <c r="A128" s="41">
        <v>15</v>
      </c>
      <c r="B128" s="41" t="s">
        <v>25940</v>
      </c>
      <c r="C128" s="74" t="s">
        <v>25941</v>
      </c>
      <c r="D128" s="72" t="s">
        <v>17832</v>
      </c>
      <c r="F128" s="57"/>
      <c r="G128" s="35"/>
      <c r="J128" s="299" t="s">
        <v>17556</v>
      </c>
      <c r="K128" s="45" t="s">
        <v>398</v>
      </c>
      <c r="L128" s="46">
        <v>1</v>
      </c>
      <c r="M128" s="43"/>
      <c r="N128" s="37"/>
      <c r="O128" s="38"/>
      <c r="P128" s="79"/>
      <c r="Q128" s="35"/>
      <c r="T128" s="57"/>
      <c r="U128" s="208">
        <f>ROUND((ROUND((_15_同援日５．５*_15・通訳),0)*_15・２人),0)</f>
        <v>858</v>
      </c>
      <c r="V128" s="48"/>
    </row>
    <row r="129" spans="1:22" ht="16.5" customHeight="1" x14ac:dyDescent="0.15">
      <c r="A129" s="41">
        <v>15</v>
      </c>
      <c r="B129" s="41" t="s">
        <v>25942</v>
      </c>
      <c r="C129" s="74" t="s">
        <v>25943</v>
      </c>
      <c r="D129" s="72" t="s">
        <v>18742</v>
      </c>
      <c r="F129" s="57"/>
      <c r="G129" s="35"/>
      <c r="J129" s="163"/>
      <c r="K129" s="45"/>
      <c r="L129" s="46"/>
      <c r="M129" s="114" t="s">
        <v>17562</v>
      </c>
      <c r="N129" s="49"/>
      <c r="O129" s="50"/>
      <c r="P129" s="115"/>
      <c r="Q129" s="35"/>
      <c r="T129" s="57"/>
      <c r="U129" s="208">
        <f>ROUND((ROUND((_15_同援日５．５*_15・通訳),0)*(1+_15・盲ろう)),0)</f>
        <v>1073</v>
      </c>
      <c r="V129" s="48"/>
    </row>
    <row r="130" spans="1:22" ht="16.5" customHeight="1" x14ac:dyDescent="0.15">
      <c r="A130" s="41">
        <v>15</v>
      </c>
      <c r="B130" s="41" t="s">
        <v>25944</v>
      </c>
      <c r="C130" s="74" t="s">
        <v>25945</v>
      </c>
      <c r="D130" s="72"/>
      <c r="E130" s="168">
        <f>_15_同援日５．５</f>
        <v>953</v>
      </c>
      <c r="F130" s="57" t="s">
        <v>392</v>
      </c>
      <c r="G130" s="35"/>
      <c r="J130" s="299" t="s">
        <v>17556</v>
      </c>
      <c r="K130" s="45" t="s">
        <v>398</v>
      </c>
      <c r="L130" s="46">
        <v>1</v>
      </c>
      <c r="M130" s="269" t="s">
        <v>17564</v>
      </c>
      <c r="N130" s="37" t="s">
        <v>398</v>
      </c>
      <c r="O130" s="38">
        <v>0.25</v>
      </c>
      <c r="P130" s="79" t="s">
        <v>3575</v>
      </c>
      <c r="Q130" s="43"/>
      <c r="R130" s="37"/>
      <c r="S130" s="38"/>
      <c r="T130" s="79"/>
      <c r="U130" s="208">
        <f>ROUND((ROUND((ROUND((_15_同援日５．５*_15・通訳),0)*_15・２人),0)*(1+_15・盲ろう)),0)</f>
        <v>1073</v>
      </c>
      <c r="V130" s="48"/>
    </row>
    <row r="131" spans="1:22" ht="16.5" customHeight="1" x14ac:dyDescent="0.15">
      <c r="A131" s="41">
        <v>15</v>
      </c>
      <c r="B131" s="41" t="s">
        <v>25946</v>
      </c>
      <c r="C131" s="74" t="s">
        <v>25947</v>
      </c>
      <c r="D131" s="72"/>
      <c r="F131" s="57"/>
      <c r="G131" s="35"/>
      <c r="J131" s="163"/>
      <c r="K131" s="45"/>
      <c r="L131" s="46"/>
      <c r="M131" s="53"/>
      <c r="N131" s="49"/>
      <c r="O131" s="50"/>
      <c r="P131" s="115"/>
      <c r="Q131" s="114" t="s">
        <v>17570</v>
      </c>
      <c r="R131" s="49"/>
      <c r="S131" s="50"/>
      <c r="T131" s="115"/>
      <c r="U131" s="208">
        <f>ROUND((ROUND((_15_同援日５．５*_15・通訳),0)*(1+_15・区３)),0)</f>
        <v>1030</v>
      </c>
      <c r="V131" s="48"/>
    </row>
    <row r="132" spans="1:22" ht="16.5" customHeight="1" x14ac:dyDescent="0.15">
      <c r="A132" s="41">
        <v>15</v>
      </c>
      <c r="B132" s="41" t="s">
        <v>25948</v>
      </c>
      <c r="C132" s="74" t="s">
        <v>25949</v>
      </c>
      <c r="D132" s="72"/>
      <c r="F132" s="57"/>
      <c r="G132" s="35"/>
      <c r="J132" s="299" t="s">
        <v>17556</v>
      </c>
      <c r="K132" s="45" t="s">
        <v>398</v>
      </c>
      <c r="L132" s="46">
        <v>1</v>
      </c>
      <c r="M132" s="43"/>
      <c r="N132" s="37"/>
      <c r="O132" s="38"/>
      <c r="P132" s="79"/>
      <c r="Q132" s="92" t="s">
        <v>17572</v>
      </c>
      <c r="T132" s="57"/>
      <c r="U132" s="208">
        <f>ROUND((ROUND((ROUND((_15_同援日５．５*_15・通訳),0)*_15・２人),0)*(1+_15・区３)),0)</f>
        <v>1030</v>
      </c>
      <c r="V132" s="48"/>
    </row>
    <row r="133" spans="1:22" ht="16.5" customHeight="1" x14ac:dyDescent="0.15">
      <c r="A133" s="41">
        <v>15</v>
      </c>
      <c r="B133" s="41" t="s">
        <v>2540</v>
      </c>
      <c r="C133" s="74" t="s">
        <v>25950</v>
      </c>
      <c r="D133" s="72"/>
      <c r="F133" s="57"/>
      <c r="G133" s="35"/>
      <c r="J133" s="163"/>
      <c r="K133" s="45"/>
      <c r="L133" s="46"/>
      <c r="M133" s="114" t="s">
        <v>17562</v>
      </c>
      <c r="N133" s="49"/>
      <c r="O133" s="50"/>
      <c r="P133" s="115"/>
      <c r="Q133" s="35"/>
      <c r="R133" s="12" t="s">
        <v>398</v>
      </c>
      <c r="S133" s="13">
        <v>0.2</v>
      </c>
      <c r="T133" s="57" t="s">
        <v>3575</v>
      </c>
      <c r="U133" s="208">
        <f>ROUND((ROUND((ROUND((_15_同援日５．５*_15・通訳),0)*(1+_15・盲ろう)),0)*(1+_15・区３)),0)</f>
        <v>1288</v>
      </c>
      <c r="V133" s="48"/>
    </row>
    <row r="134" spans="1:22" ht="16.5" customHeight="1" x14ac:dyDescent="0.15">
      <c r="A134" s="41">
        <v>15</v>
      </c>
      <c r="B134" s="41" t="s">
        <v>2542</v>
      </c>
      <c r="C134" s="74" t="s">
        <v>25951</v>
      </c>
      <c r="D134" s="72"/>
      <c r="F134" s="57"/>
      <c r="G134" s="35"/>
      <c r="J134" s="299" t="s">
        <v>17556</v>
      </c>
      <c r="K134" s="45" t="s">
        <v>398</v>
      </c>
      <c r="L134" s="46">
        <v>1</v>
      </c>
      <c r="M134" s="269" t="s">
        <v>17564</v>
      </c>
      <c r="N134" s="37" t="s">
        <v>398</v>
      </c>
      <c r="O134" s="38">
        <v>0.25</v>
      </c>
      <c r="P134" s="79" t="s">
        <v>3575</v>
      </c>
      <c r="Q134" s="43"/>
      <c r="R134" s="37"/>
      <c r="S134" s="38"/>
      <c r="T134" s="79"/>
      <c r="U134" s="208">
        <f>ROUND((ROUND((ROUND((ROUND((_15_同援日５．５*_15・通訳),0)*_15・２人),0)*(1+_15・盲ろう)),0)*(1+_15・区３)),0)</f>
        <v>1288</v>
      </c>
      <c r="V134" s="48"/>
    </row>
    <row r="135" spans="1:22" ht="16.5" customHeight="1" x14ac:dyDescent="0.15">
      <c r="A135" s="41">
        <v>15</v>
      </c>
      <c r="B135" s="41" t="s">
        <v>2544</v>
      </c>
      <c r="C135" s="74" t="s">
        <v>25952</v>
      </c>
      <c r="D135" s="72"/>
      <c r="F135" s="57"/>
      <c r="G135" s="35"/>
      <c r="J135" s="163"/>
      <c r="K135" s="45"/>
      <c r="L135" s="46"/>
      <c r="M135" s="53"/>
      <c r="N135" s="49"/>
      <c r="O135" s="50"/>
      <c r="P135" s="115"/>
      <c r="Q135" s="114" t="s">
        <v>17580</v>
      </c>
      <c r="R135" s="49"/>
      <c r="S135" s="50"/>
      <c r="T135" s="115"/>
      <c r="U135" s="208">
        <f>ROUND((ROUND((_15_同援日５．５*_15・通訳),0)*(1+_15・区４)),0)</f>
        <v>1201</v>
      </c>
      <c r="V135" s="48"/>
    </row>
    <row r="136" spans="1:22" ht="16.5" customHeight="1" x14ac:dyDescent="0.15">
      <c r="A136" s="41">
        <v>15</v>
      </c>
      <c r="B136" s="41" t="s">
        <v>2546</v>
      </c>
      <c r="C136" s="74" t="s">
        <v>25953</v>
      </c>
      <c r="D136" s="72"/>
      <c r="F136" s="57"/>
      <c r="G136" s="35"/>
      <c r="J136" s="299" t="s">
        <v>17556</v>
      </c>
      <c r="K136" s="45" t="s">
        <v>398</v>
      </c>
      <c r="L136" s="46">
        <v>1</v>
      </c>
      <c r="M136" s="43"/>
      <c r="N136" s="37"/>
      <c r="O136" s="38"/>
      <c r="P136" s="79"/>
      <c r="Q136" s="92" t="s">
        <v>17572</v>
      </c>
      <c r="T136" s="57"/>
      <c r="U136" s="208">
        <f>ROUND((ROUND((ROUND((_15_同援日５．５*_15・通訳),0)*_15・２人),0)*(1+_15・区４)),0)</f>
        <v>1201</v>
      </c>
      <c r="V136" s="48"/>
    </row>
    <row r="137" spans="1:22" ht="16.5" customHeight="1" x14ac:dyDescent="0.15">
      <c r="A137" s="41">
        <v>15</v>
      </c>
      <c r="B137" s="41" t="s">
        <v>25954</v>
      </c>
      <c r="C137" s="74" t="s">
        <v>25955</v>
      </c>
      <c r="D137" s="72"/>
      <c r="F137" s="57"/>
      <c r="G137" s="35"/>
      <c r="J137" s="163"/>
      <c r="K137" s="45"/>
      <c r="L137" s="46"/>
      <c r="M137" s="114" t="s">
        <v>17562</v>
      </c>
      <c r="N137" s="49"/>
      <c r="O137" s="50"/>
      <c r="P137" s="115"/>
      <c r="Q137" s="35"/>
      <c r="R137" s="12" t="s">
        <v>398</v>
      </c>
      <c r="S137" s="13">
        <v>0.4</v>
      </c>
      <c r="T137" s="57" t="s">
        <v>3575</v>
      </c>
      <c r="U137" s="208">
        <f>ROUND((ROUND((ROUND((_15_同援日５．５*_15・通訳),0)*(1+_15・盲ろう)),0)*(1+_15・区４)),0)</f>
        <v>1502</v>
      </c>
      <c r="V137" s="48"/>
    </row>
    <row r="138" spans="1:22" ht="16.5" customHeight="1" x14ac:dyDescent="0.15">
      <c r="A138" s="41">
        <v>15</v>
      </c>
      <c r="B138" s="41" t="s">
        <v>25956</v>
      </c>
      <c r="C138" s="74" t="s">
        <v>25957</v>
      </c>
      <c r="D138" s="122"/>
      <c r="E138" s="37"/>
      <c r="F138" s="79"/>
      <c r="G138" s="35"/>
      <c r="J138" s="299" t="s">
        <v>17556</v>
      </c>
      <c r="K138" s="45" t="s">
        <v>398</v>
      </c>
      <c r="L138" s="46">
        <v>1</v>
      </c>
      <c r="M138" s="269" t="s">
        <v>17564</v>
      </c>
      <c r="N138" s="37" t="s">
        <v>398</v>
      </c>
      <c r="O138" s="38">
        <v>0.25</v>
      </c>
      <c r="P138" s="79" t="s">
        <v>3575</v>
      </c>
      <c r="Q138" s="43"/>
      <c r="R138" s="37"/>
      <c r="S138" s="38"/>
      <c r="T138" s="79"/>
      <c r="U138" s="208">
        <f>ROUND((ROUND((ROUND((ROUND((_15_同援日５．５*_15・通訳),0)*_15・２人),0)*(1+_15・盲ろう)),0)*(1+_15・区４)),0)</f>
        <v>1502</v>
      </c>
      <c r="V138" s="48"/>
    </row>
    <row r="139" spans="1:22" ht="16.5" customHeight="1" x14ac:dyDescent="0.15">
      <c r="A139" s="41">
        <v>15</v>
      </c>
      <c r="B139" s="41" t="s">
        <v>25958</v>
      </c>
      <c r="C139" s="74" t="s">
        <v>25959</v>
      </c>
      <c r="D139" s="114" t="s">
        <v>17857</v>
      </c>
      <c r="E139" s="49"/>
      <c r="F139" s="115"/>
      <c r="G139" s="35"/>
      <c r="J139" s="163"/>
      <c r="K139" s="45"/>
      <c r="L139" s="46"/>
      <c r="M139" s="53"/>
      <c r="N139" s="49"/>
      <c r="O139" s="50"/>
      <c r="P139" s="115"/>
      <c r="Q139" s="53"/>
      <c r="R139" s="49"/>
      <c r="S139" s="50"/>
      <c r="T139" s="115"/>
      <c r="U139" s="208">
        <f>ROUND((_15_同援日６．０*_15・通訳),0)</f>
        <v>916</v>
      </c>
      <c r="V139" s="48"/>
    </row>
    <row r="140" spans="1:22" ht="16.5" customHeight="1" x14ac:dyDescent="0.15">
      <c r="A140" s="41">
        <v>15</v>
      </c>
      <c r="B140" s="41" t="s">
        <v>25960</v>
      </c>
      <c r="C140" s="74" t="s">
        <v>25961</v>
      </c>
      <c r="D140" s="72" t="s">
        <v>17859</v>
      </c>
      <c r="F140" s="57"/>
      <c r="G140" s="35"/>
      <c r="J140" s="299" t="s">
        <v>17556</v>
      </c>
      <c r="K140" s="45" t="s">
        <v>398</v>
      </c>
      <c r="L140" s="46">
        <v>1</v>
      </c>
      <c r="M140" s="43"/>
      <c r="N140" s="37"/>
      <c r="O140" s="38"/>
      <c r="P140" s="79"/>
      <c r="Q140" s="35"/>
      <c r="T140" s="57"/>
      <c r="U140" s="208">
        <f>ROUND((ROUND((_15_同援日６．０*_15・通訳),0)*_15・２人),0)</f>
        <v>916</v>
      </c>
      <c r="V140" s="48"/>
    </row>
    <row r="141" spans="1:22" ht="16.5" customHeight="1" x14ac:dyDescent="0.15">
      <c r="A141" s="41">
        <v>15</v>
      </c>
      <c r="B141" s="41" t="s">
        <v>25962</v>
      </c>
      <c r="C141" s="74" t="s">
        <v>25963</v>
      </c>
      <c r="D141" s="72" t="s">
        <v>18768</v>
      </c>
      <c r="F141" s="57"/>
      <c r="G141" s="35"/>
      <c r="J141" s="163"/>
      <c r="K141" s="45"/>
      <c r="L141" s="46"/>
      <c r="M141" s="114" t="s">
        <v>17562</v>
      </c>
      <c r="N141" s="49"/>
      <c r="O141" s="50"/>
      <c r="P141" s="115"/>
      <c r="Q141" s="35"/>
      <c r="T141" s="57"/>
      <c r="U141" s="208">
        <f>ROUND((ROUND((_15_同援日６．０*_15・通訳),0)*(1+_15・盲ろう)),0)</f>
        <v>1145</v>
      </c>
      <c r="V141" s="48"/>
    </row>
    <row r="142" spans="1:22" ht="16.5" customHeight="1" x14ac:dyDescent="0.15">
      <c r="A142" s="41">
        <v>15</v>
      </c>
      <c r="B142" s="41" t="s">
        <v>25964</v>
      </c>
      <c r="C142" s="74" t="s">
        <v>25965</v>
      </c>
      <c r="D142" s="72"/>
      <c r="E142" s="168">
        <f>_15_同援日６．０</f>
        <v>1018</v>
      </c>
      <c r="F142" s="57" t="s">
        <v>392</v>
      </c>
      <c r="G142" s="35"/>
      <c r="J142" s="299" t="s">
        <v>17556</v>
      </c>
      <c r="K142" s="45" t="s">
        <v>398</v>
      </c>
      <c r="L142" s="46">
        <v>1</v>
      </c>
      <c r="M142" s="269" t="s">
        <v>17564</v>
      </c>
      <c r="N142" s="37" t="s">
        <v>398</v>
      </c>
      <c r="O142" s="38">
        <v>0.25</v>
      </c>
      <c r="P142" s="79" t="s">
        <v>3575</v>
      </c>
      <c r="Q142" s="43"/>
      <c r="R142" s="37"/>
      <c r="S142" s="38"/>
      <c r="T142" s="79"/>
      <c r="U142" s="208">
        <f>ROUND((ROUND((ROUND((_15_同援日６．０*_15・通訳),0)*_15・２人),0)*(1+_15・盲ろう)),0)</f>
        <v>1145</v>
      </c>
      <c r="V142" s="48"/>
    </row>
    <row r="143" spans="1:22" ht="16.5" customHeight="1" x14ac:dyDescent="0.15">
      <c r="A143" s="41">
        <v>15</v>
      </c>
      <c r="B143" s="41" t="s">
        <v>25966</v>
      </c>
      <c r="C143" s="74" t="s">
        <v>25967</v>
      </c>
      <c r="D143" s="72"/>
      <c r="F143" s="57"/>
      <c r="G143" s="35"/>
      <c r="J143" s="163"/>
      <c r="K143" s="45"/>
      <c r="L143" s="46"/>
      <c r="M143" s="53"/>
      <c r="N143" s="49"/>
      <c r="O143" s="50"/>
      <c r="P143" s="115"/>
      <c r="Q143" s="114" t="s">
        <v>17570</v>
      </c>
      <c r="R143" s="49"/>
      <c r="S143" s="50"/>
      <c r="T143" s="115"/>
      <c r="U143" s="208">
        <f>ROUND((ROUND((_15_同援日６．０*_15・通訳),0)*(1+_15・区３)),0)</f>
        <v>1099</v>
      </c>
      <c r="V143" s="48"/>
    </row>
    <row r="144" spans="1:22" ht="16.5" customHeight="1" x14ac:dyDescent="0.15">
      <c r="A144" s="41">
        <v>15</v>
      </c>
      <c r="B144" s="41" t="s">
        <v>25968</v>
      </c>
      <c r="C144" s="74" t="s">
        <v>25969</v>
      </c>
      <c r="D144" s="72"/>
      <c r="F144" s="57"/>
      <c r="G144" s="35"/>
      <c r="J144" s="299" t="s">
        <v>17556</v>
      </c>
      <c r="K144" s="45" t="s">
        <v>398</v>
      </c>
      <c r="L144" s="46">
        <v>1</v>
      </c>
      <c r="M144" s="43"/>
      <c r="N144" s="37"/>
      <c r="O144" s="38"/>
      <c r="P144" s="79"/>
      <c r="Q144" s="92" t="s">
        <v>17572</v>
      </c>
      <c r="T144" s="57"/>
      <c r="U144" s="208">
        <f>ROUND((ROUND((ROUND((_15_同援日６．０*_15・通訳),0)*_15・２人),0)*(1+_15・区３)),0)</f>
        <v>1099</v>
      </c>
      <c r="V144" s="48"/>
    </row>
    <row r="145" spans="1:22" ht="16.5" customHeight="1" x14ac:dyDescent="0.15">
      <c r="A145" s="41">
        <v>15</v>
      </c>
      <c r="B145" s="41" t="s">
        <v>25970</v>
      </c>
      <c r="C145" s="74" t="s">
        <v>25971</v>
      </c>
      <c r="D145" s="72"/>
      <c r="F145" s="57"/>
      <c r="G145" s="35"/>
      <c r="J145" s="163"/>
      <c r="K145" s="45"/>
      <c r="L145" s="46"/>
      <c r="M145" s="114" t="s">
        <v>17562</v>
      </c>
      <c r="N145" s="49"/>
      <c r="O145" s="50"/>
      <c r="P145" s="115"/>
      <c r="Q145" s="35"/>
      <c r="R145" s="12" t="s">
        <v>398</v>
      </c>
      <c r="S145" s="13">
        <v>0.2</v>
      </c>
      <c r="T145" s="57" t="s">
        <v>3575</v>
      </c>
      <c r="U145" s="208">
        <f>ROUND((ROUND((ROUND((_15_同援日６．０*_15・通訳),0)*(1+_15・盲ろう)),0)*(1+_15・区３)),0)</f>
        <v>1374</v>
      </c>
      <c r="V145" s="48"/>
    </row>
    <row r="146" spans="1:22" ht="16.5" customHeight="1" x14ac:dyDescent="0.15">
      <c r="A146" s="41">
        <v>15</v>
      </c>
      <c r="B146" s="41" t="s">
        <v>25972</v>
      </c>
      <c r="C146" s="74" t="s">
        <v>25973</v>
      </c>
      <c r="D146" s="72"/>
      <c r="F146" s="57"/>
      <c r="G146" s="35"/>
      <c r="J146" s="299" t="s">
        <v>17556</v>
      </c>
      <c r="K146" s="45" t="s">
        <v>398</v>
      </c>
      <c r="L146" s="46">
        <v>1</v>
      </c>
      <c r="M146" s="269" t="s">
        <v>17564</v>
      </c>
      <c r="N146" s="37" t="s">
        <v>398</v>
      </c>
      <c r="O146" s="38">
        <v>0.25</v>
      </c>
      <c r="P146" s="79" t="s">
        <v>3575</v>
      </c>
      <c r="Q146" s="43"/>
      <c r="R146" s="37"/>
      <c r="S146" s="38"/>
      <c r="T146" s="79"/>
      <c r="U146" s="208">
        <f>ROUND((ROUND((ROUND((ROUND((_15_同援日６．０*_15・通訳),0)*_15・２人),0)*(1+_15・盲ろう)),0)*(1+_15・区３)),0)</f>
        <v>1374</v>
      </c>
      <c r="V146" s="48"/>
    </row>
    <row r="147" spans="1:22" ht="16.5" customHeight="1" x14ac:dyDescent="0.15">
      <c r="A147" s="41">
        <v>15</v>
      </c>
      <c r="B147" s="41" t="s">
        <v>25974</v>
      </c>
      <c r="C147" s="74" t="s">
        <v>25975</v>
      </c>
      <c r="D147" s="72"/>
      <c r="F147" s="57"/>
      <c r="G147" s="35"/>
      <c r="J147" s="163"/>
      <c r="K147" s="45"/>
      <c r="L147" s="46"/>
      <c r="M147" s="53"/>
      <c r="N147" s="49"/>
      <c r="O147" s="50"/>
      <c r="P147" s="115"/>
      <c r="Q147" s="114" t="s">
        <v>17580</v>
      </c>
      <c r="R147" s="49"/>
      <c r="S147" s="50"/>
      <c r="T147" s="115"/>
      <c r="U147" s="208">
        <f>ROUND((ROUND((_15_同援日６．０*_15・通訳),0)*(1+_15・区４)),0)</f>
        <v>1282</v>
      </c>
      <c r="V147" s="48"/>
    </row>
    <row r="148" spans="1:22" ht="16.5" customHeight="1" x14ac:dyDescent="0.15">
      <c r="A148" s="41">
        <v>15</v>
      </c>
      <c r="B148" s="41" t="s">
        <v>25976</v>
      </c>
      <c r="C148" s="74" t="s">
        <v>25977</v>
      </c>
      <c r="D148" s="72"/>
      <c r="F148" s="57"/>
      <c r="G148" s="35"/>
      <c r="J148" s="299" t="s">
        <v>17556</v>
      </c>
      <c r="K148" s="45" t="s">
        <v>398</v>
      </c>
      <c r="L148" s="46">
        <v>1</v>
      </c>
      <c r="M148" s="43"/>
      <c r="N148" s="37"/>
      <c r="O148" s="38"/>
      <c r="P148" s="79"/>
      <c r="Q148" s="92" t="s">
        <v>17572</v>
      </c>
      <c r="T148" s="57"/>
      <c r="U148" s="208">
        <f>ROUND((ROUND((ROUND((_15_同援日６．０*_15・通訳),0)*_15・２人),0)*(1+_15・区４)),0)</f>
        <v>1282</v>
      </c>
      <c r="V148" s="48"/>
    </row>
    <row r="149" spans="1:22" ht="16.5" customHeight="1" x14ac:dyDescent="0.15">
      <c r="A149" s="41">
        <v>15</v>
      </c>
      <c r="B149" s="41" t="s">
        <v>25978</v>
      </c>
      <c r="C149" s="74" t="s">
        <v>25979</v>
      </c>
      <c r="D149" s="72"/>
      <c r="F149" s="57"/>
      <c r="G149" s="35"/>
      <c r="J149" s="163"/>
      <c r="K149" s="45"/>
      <c r="L149" s="46"/>
      <c r="M149" s="114" t="s">
        <v>17562</v>
      </c>
      <c r="N149" s="49"/>
      <c r="O149" s="50"/>
      <c r="P149" s="115"/>
      <c r="Q149" s="35"/>
      <c r="R149" s="12" t="s">
        <v>398</v>
      </c>
      <c r="S149" s="13">
        <v>0.4</v>
      </c>
      <c r="T149" s="57" t="s">
        <v>3575</v>
      </c>
      <c r="U149" s="208">
        <f>ROUND((ROUND((ROUND((_15_同援日６．０*_15・通訳),0)*(1+_15・盲ろう)),0)*(1+_15・区４)),0)</f>
        <v>1603</v>
      </c>
      <c r="V149" s="48"/>
    </row>
    <row r="150" spans="1:22" ht="16.5" customHeight="1" x14ac:dyDescent="0.15">
      <c r="A150" s="41">
        <v>15</v>
      </c>
      <c r="B150" s="41" t="s">
        <v>25980</v>
      </c>
      <c r="C150" s="74" t="s">
        <v>25981</v>
      </c>
      <c r="D150" s="122"/>
      <c r="E150" s="37"/>
      <c r="F150" s="79"/>
      <c r="G150" s="35"/>
      <c r="J150" s="299" t="s">
        <v>17556</v>
      </c>
      <c r="K150" s="45" t="s">
        <v>398</v>
      </c>
      <c r="L150" s="46">
        <v>1</v>
      </c>
      <c r="M150" s="269" t="s">
        <v>17564</v>
      </c>
      <c r="N150" s="37" t="s">
        <v>398</v>
      </c>
      <c r="O150" s="38">
        <v>0.25</v>
      </c>
      <c r="P150" s="79" t="s">
        <v>3575</v>
      </c>
      <c r="Q150" s="43"/>
      <c r="R150" s="37"/>
      <c r="S150" s="38"/>
      <c r="T150" s="79"/>
      <c r="U150" s="208">
        <f>ROUND((ROUND((ROUND((ROUND((_15_同援日６．０*_15・通訳),0)*_15・２人),0)*(1+_15・盲ろう)),0)*(1+_15・区４)),0)</f>
        <v>1603</v>
      </c>
      <c r="V150" s="48"/>
    </row>
    <row r="151" spans="1:22" ht="16.5" customHeight="1" x14ac:dyDescent="0.15">
      <c r="A151" s="41">
        <v>15</v>
      </c>
      <c r="B151" s="41" t="s">
        <v>25982</v>
      </c>
      <c r="C151" s="74" t="s">
        <v>25983</v>
      </c>
      <c r="D151" s="114" t="s">
        <v>17884</v>
      </c>
      <c r="E151" s="49"/>
      <c r="F151" s="115"/>
      <c r="G151" s="35"/>
      <c r="J151" s="163"/>
      <c r="K151" s="45"/>
      <c r="L151" s="46"/>
      <c r="M151" s="53"/>
      <c r="N151" s="49"/>
      <c r="O151" s="50"/>
      <c r="P151" s="115"/>
      <c r="Q151" s="53"/>
      <c r="R151" s="49"/>
      <c r="S151" s="50"/>
      <c r="T151" s="115"/>
      <c r="U151" s="208">
        <f>ROUND((_15_同援日６．５*_15・通訳),0)</f>
        <v>975</v>
      </c>
      <c r="V151" s="48"/>
    </row>
    <row r="152" spans="1:22" ht="16.5" customHeight="1" x14ac:dyDescent="0.15">
      <c r="A152" s="41">
        <v>15</v>
      </c>
      <c r="B152" s="41" t="s">
        <v>25984</v>
      </c>
      <c r="C152" s="74" t="s">
        <v>25985</v>
      </c>
      <c r="D152" s="72" t="s">
        <v>17886</v>
      </c>
      <c r="F152" s="57"/>
      <c r="G152" s="35"/>
      <c r="J152" s="299" t="s">
        <v>17556</v>
      </c>
      <c r="K152" s="45" t="s">
        <v>398</v>
      </c>
      <c r="L152" s="46">
        <v>1</v>
      </c>
      <c r="M152" s="43"/>
      <c r="N152" s="37"/>
      <c r="O152" s="38"/>
      <c r="P152" s="79"/>
      <c r="Q152" s="35"/>
      <c r="T152" s="57"/>
      <c r="U152" s="208">
        <f>ROUND((ROUND((_15_同援日６．５*_15・通訳),0)*_15・２人),0)</f>
        <v>975</v>
      </c>
      <c r="V152" s="48"/>
    </row>
    <row r="153" spans="1:22" ht="16.5" customHeight="1" x14ac:dyDescent="0.15">
      <c r="A153" s="41">
        <v>15</v>
      </c>
      <c r="B153" s="41" t="s">
        <v>2552</v>
      </c>
      <c r="C153" s="74" t="s">
        <v>25986</v>
      </c>
      <c r="D153" s="72" t="s">
        <v>18794</v>
      </c>
      <c r="F153" s="57"/>
      <c r="G153" s="35"/>
      <c r="J153" s="163"/>
      <c r="K153" s="45"/>
      <c r="L153" s="46"/>
      <c r="M153" s="114" t="s">
        <v>17562</v>
      </c>
      <c r="N153" s="49"/>
      <c r="O153" s="50"/>
      <c r="P153" s="115"/>
      <c r="Q153" s="35"/>
      <c r="T153" s="57"/>
      <c r="U153" s="208">
        <f>ROUND((ROUND((_15_同援日６．５*_15・通訳),0)*(1+_15・盲ろう)),0)</f>
        <v>1219</v>
      </c>
      <c r="V153" s="48"/>
    </row>
    <row r="154" spans="1:22" ht="16.5" customHeight="1" x14ac:dyDescent="0.15">
      <c r="A154" s="41">
        <v>15</v>
      </c>
      <c r="B154" s="41" t="s">
        <v>2554</v>
      </c>
      <c r="C154" s="74" t="s">
        <v>25987</v>
      </c>
      <c r="D154" s="72"/>
      <c r="E154" s="168">
        <f>_15_同援日６．５</f>
        <v>1083</v>
      </c>
      <c r="F154" s="57" t="s">
        <v>392</v>
      </c>
      <c r="G154" s="35"/>
      <c r="J154" s="299" t="s">
        <v>17556</v>
      </c>
      <c r="K154" s="45" t="s">
        <v>398</v>
      </c>
      <c r="L154" s="46">
        <v>1</v>
      </c>
      <c r="M154" s="269" t="s">
        <v>17564</v>
      </c>
      <c r="N154" s="37" t="s">
        <v>398</v>
      </c>
      <c r="O154" s="38">
        <v>0.25</v>
      </c>
      <c r="P154" s="79" t="s">
        <v>3575</v>
      </c>
      <c r="Q154" s="43"/>
      <c r="R154" s="37"/>
      <c r="S154" s="38"/>
      <c r="T154" s="79"/>
      <c r="U154" s="208">
        <f>ROUND((ROUND((ROUND((_15_同援日６．５*_15・通訳),0)*_15・２人),0)*(1+_15・盲ろう)),0)</f>
        <v>1219</v>
      </c>
      <c r="V154" s="48"/>
    </row>
    <row r="155" spans="1:22" ht="16.5" customHeight="1" x14ac:dyDescent="0.15">
      <c r="A155" s="41">
        <v>15</v>
      </c>
      <c r="B155" s="41" t="s">
        <v>2556</v>
      </c>
      <c r="C155" s="74" t="s">
        <v>25988</v>
      </c>
      <c r="D155" s="72"/>
      <c r="F155" s="57"/>
      <c r="G155" s="35"/>
      <c r="J155" s="163"/>
      <c r="K155" s="45"/>
      <c r="L155" s="46"/>
      <c r="M155" s="53"/>
      <c r="N155" s="49"/>
      <c r="O155" s="50"/>
      <c r="P155" s="115"/>
      <c r="Q155" s="114" t="s">
        <v>17570</v>
      </c>
      <c r="R155" s="49"/>
      <c r="S155" s="50"/>
      <c r="T155" s="115"/>
      <c r="U155" s="208">
        <f>ROUND((ROUND((_15_同援日６．５*_15・通訳),0)*(1+_15・区３)),0)</f>
        <v>1170</v>
      </c>
      <c r="V155" s="48"/>
    </row>
    <row r="156" spans="1:22" ht="16.5" customHeight="1" x14ac:dyDescent="0.15">
      <c r="A156" s="41">
        <v>15</v>
      </c>
      <c r="B156" s="41" t="s">
        <v>2558</v>
      </c>
      <c r="C156" s="74" t="s">
        <v>25989</v>
      </c>
      <c r="D156" s="72"/>
      <c r="F156" s="57"/>
      <c r="G156" s="35"/>
      <c r="J156" s="299" t="s">
        <v>17556</v>
      </c>
      <c r="K156" s="45" t="s">
        <v>398</v>
      </c>
      <c r="L156" s="46">
        <v>1</v>
      </c>
      <c r="M156" s="43"/>
      <c r="N156" s="37"/>
      <c r="O156" s="38"/>
      <c r="P156" s="79"/>
      <c r="Q156" s="92" t="s">
        <v>17572</v>
      </c>
      <c r="T156" s="57"/>
      <c r="U156" s="208">
        <f>ROUND((ROUND((ROUND((_15_同援日６．５*_15・通訳),0)*_15・２人),0)*(1+_15・区３)),0)</f>
        <v>1170</v>
      </c>
      <c r="V156" s="48"/>
    </row>
    <row r="157" spans="1:22" ht="16.5" customHeight="1" x14ac:dyDescent="0.15">
      <c r="A157" s="41">
        <v>15</v>
      </c>
      <c r="B157" s="41" t="s">
        <v>25990</v>
      </c>
      <c r="C157" s="74" t="s">
        <v>25991</v>
      </c>
      <c r="D157" s="72"/>
      <c r="F157" s="57"/>
      <c r="G157" s="35"/>
      <c r="J157" s="163"/>
      <c r="K157" s="45"/>
      <c r="L157" s="46"/>
      <c r="M157" s="114" t="s">
        <v>17562</v>
      </c>
      <c r="N157" s="49"/>
      <c r="O157" s="50"/>
      <c r="P157" s="115"/>
      <c r="Q157" s="35"/>
      <c r="R157" s="12" t="s">
        <v>398</v>
      </c>
      <c r="S157" s="13">
        <v>0.2</v>
      </c>
      <c r="T157" s="57" t="s">
        <v>3575</v>
      </c>
      <c r="U157" s="208">
        <f>ROUND((ROUND((ROUND((_15_同援日６．５*_15・通訳),0)*(1+_15・盲ろう)),0)*(1+_15・区３)),0)</f>
        <v>1463</v>
      </c>
      <c r="V157" s="48"/>
    </row>
    <row r="158" spans="1:22" ht="16.5" customHeight="1" x14ac:dyDescent="0.15">
      <c r="A158" s="41">
        <v>15</v>
      </c>
      <c r="B158" s="41" t="s">
        <v>25992</v>
      </c>
      <c r="C158" s="74" t="s">
        <v>25993</v>
      </c>
      <c r="D158" s="72"/>
      <c r="F158" s="57"/>
      <c r="G158" s="35"/>
      <c r="J158" s="299" t="s">
        <v>17556</v>
      </c>
      <c r="K158" s="45" t="s">
        <v>398</v>
      </c>
      <c r="L158" s="46">
        <v>1</v>
      </c>
      <c r="M158" s="269" t="s">
        <v>17564</v>
      </c>
      <c r="N158" s="37" t="s">
        <v>398</v>
      </c>
      <c r="O158" s="38">
        <v>0.25</v>
      </c>
      <c r="P158" s="79" t="s">
        <v>3575</v>
      </c>
      <c r="Q158" s="43"/>
      <c r="R158" s="37"/>
      <c r="S158" s="38"/>
      <c r="T158" s="79"/>
      <c r="U158" s="208">
        <f>ROUND((ROUND((ROUND((ROUND((_15_同援日６．５*_15・通訳),0)*_15・２人),0)*(1+_15・盲ろう)),0)*(1+_15・区３)),0)</f>
        <v>1463</v>
      </c>
      <c r="V158" s="48"/>
    </row>
    <row r="159" spans="1:22" ht="16.5" customHeight="1" x14ac:dyDescent="0.15">
      <c r="A159" s="41">
        <v>15</v>
      </c>
      <c r="B159" s="41" t="s">
        <v>25994</v>
      </c>
      <c r="C159" s="74" t="s">
        <v>25995</v>
      </c>
      <c r="D159" s="72"/>
      <c r="F159" s="57"/>
      <c r="G159" s="35"/>
      <c r="J159" s="163"/>
      <c r="K159" s="45"/>
      <c r="L159" s="46"/>
      <c r="M159" s="53"/>
      <c r="N159" s="49"/>
      <c r="O159" s="50"/>
      <c r="P159" s="115"/>
      <c r="Q159" s="114" t="s">
        <v>17580</v>
      </c>
      <c r="R159" s="49"/>
      <c r="S159" s="50"/>
      <c r="T159" s="115"/>
      <c r="U159" s="208">
        <f>ROUND((ROUND((_15_同援日６．５*_15・通訳),0)*(1+_15・区４)),0)</f>
        <v>1365</v>
      </c>
      <c r="V159" s="48"/>
    </row>
    <row r="160" spans="1:22" ht="16.5" customHeight="1" x14ac:dyDescent="0.15">
      <c r="A160" s="41">
        <v>15</v>
      </c>
      <c r="B160" s="41" t="s">
        <v>25996</v>
      </c>
      <c r="C160" s="74" t="s">
        <v>25997</v>
      </c>
      <c r="D160" s="72"/>
      <c r="F160" s="57"/>
      <c r="G160" s="35"/>
      <c r="J160" s="299" t="s">
        <v>17556</v>
      </c>
      <c r="K160" s="45" t="s">
        <v>398</v>
      </c>
      <c r="L160" s="46">
        <v>1</v>
      </c>
      <c r="M160" s="43"/>
      <c r="N160" s="37"/>
      <c r="O160" s="38"/>
      <c r="P160" s="79"/>
      <c r="Q160" s="92" t="s">
        <v>17572</v>
      </c>
      <c r="T160" s="57"/>
      <c r="U160" s="208">
        <f>ROUND((ROUND((ROUND((_15_同援日６．５*_15・通訳),0)*_15・２人),0)*(1+_15・区４)),0)</f>
        <v>1365</v>
      </c>
      <c r="V160" s="48"/>
    </row>
    <row r="161" spans="1:22" ht="16.5" customHeight="1" x14ac:dyDescent="0.15">
      <c r="A161" s="41">
        <v>15</v>
      </c>
      <c r="B161" s="41" t="s">
        <v>25998</v>
      </c>
      <c r="C161" s="74" t="s">
        <v>25999</v>
      </c>
      <c r="D161" s="72"/>
      <c r="F161" s="57"/>
      <c r="G161" s="35"/>
      <c r="J161" s="163"/>
      <c r="K161" s="45"/>
      <c r="L161" s="46"/>
      <c r="M161" s="114" t="s">
        <v>17562</v>
      </c>
      <c r="N161" s="49"/>
      <c r="O161" s="50"/>
      <c r="P161" s="115"/>
      <c r="Q161" s="35"/>
      <c r="R161" s="12" t="s">
        <v>398</v>
      </c>
      <c r="S161" s="13">
        <v>0.4</v>
      </c>
      <c r="T161" s="57" t="s">
        <v>3575</v>
      </c>
      <c r="U161" s="208">
        <f>ROUND((ROUND((ROUND((_15_同援日６．５*_15・通訳),0)*(1+_15・盲ろう)),0)*(1+_15・区４)),0)</f>
        <v>1707</v>
      </c>
      <c r="V161" s="48"/>
    </row>
    <row r="162" spans="1:22" ht="16.5" customHeight="1" x14ac:dyDescent="0.15">
      <c r="A162" s="41">
        <v>15</v>
      </c>
      <c r="B162" s="41" t="s">
        <v>26000</v>
      </c>
      <c r="C162" s="74" t="s">
        <v>26001</v>
      </c>
      <c r="D162" s="122"/>
      <c r="E162" s="37"/>
      <c r="F162" s="79"/>
      <c r="G162" s="35"/>
      <c r="J162" s="299" t="s">
        <v>17556</v>
      </c>
      <c r="K162" s="45" t="s">
        <v>398</v>
      </c>
      <c r="L162" s="46">
        <v>1</v>
      </c>
      <c r="M162" s="269" t="s">
        <v>17564</v>
      </c>
      <c r="N162" s="37" t="s">
        <v>398</v>
      </c>
      <c r="O162" s="38">
        <v>0.25</v>
      </c>
      <c r="P162" s="79" t="s">
        <v>3575</v>
      </c>
      <c r="Q162" s="43"/>
      <c r="R162" s="37"/>
      <c r="S162" s="38"/>
      <c r="T162" s="79"/>
      <c r="U162" s="208">
        <f>ROUND((ROUND((ROUND((ROUND((_15_同援日６．５*_15・通訳),0)*_15・２人),0)*(1+_15・盲ろう)),0)*(1+_15・区４)),0)</f>
        <v>1707</v>
      </c>
      <c r="V162" s="48"/>
    </row>
    <row r="163" spans="1:22" ht="16.5" customHeight="1" x14ac:dyDescent="0.15">
      <c r="A163" s="41">
        <v>15</v>
      </c>
      <c r="B163" s="41" t="s">
        <v>26002</v>
      </c>
      <c r="C163" s="74" t="s">
        <v>26003</v>
      </c>
      <c r="D163" s="114" t="s">
        <v>17911</v>
      </c>
      <c r="E163" s="49"/>
      <c r="F163" s="115"/>
      <c r="G163" s="35"/>
      <c r="J163" s="163"/>
      <c r="K163" s="45"/>
      <c r="L163" s="46"/>
      <c r="M163" s="53"/>
      <c r="N163" s="49"/>
      <c r="O163" s="50"/>
      <c r="P163" s="115"/>
      <c r="Q163" s="53"/>
      <c r="R163" s="49"/>
      <c r="S163" s="50"/>
      <c r="T163" s="115"/>
      <c r="U163" s="208">
        <f>ROUND((_15_同援日７．０*_15・通訳),0)</f>
        <v>1033</v>
      </c>
      <c r="V163" s="48"/>
    </row>
    <row r="164" spans="1:22" ht="16.5" customHeight="1" x14ac:dyDescent="0.15">
      <c r="A164" s="41">
        <v>15</v>
      </c>
      <c r="B164" s="41" t="s">
        <v>26004</v>
      </c>
      <c r="C164" s="74" t="s">
        <v>26005</v>
      </c>
      <c r="D164" s="72" t="s">
        <v>17913</v>
      </c>
      <c r="F164" s="57"/>
      <c r="G164" s="35"/>
      <c r="J164" s="299" t="s">
        <v>17556</v>
      </c>
      <c r="K164" s="45" t="s">
        <v>398</v>
      </c>
      <c r="L164" s="46">
        <v>1</v>
      </c>
      <c r="M164" s="43"/>
      <c r="N164" s="37"/>
      <c r="O164" s="38"/>
      <c r="P164" s="79"/>
      <c r="Q164" s="35"/>
      <c r="T164" s="57"/>
      <c r="U164" s="208">
        <f>ROUND((ROUND((_15_同援日７．０*_15・通訳),0)*_15・２人),0)</f>
        <v>1033</v>
      </c>
      <c r="V164" s="48"/>
    </row>
    <row r="165" spans="1:22" ht="16.5" customHeight="1" x14ac:dyDescent="0.15">
      <c r="A165" s="41">
        <v>15</v>
      </c>
      <c r="B165" s="41" t="s">
        <v>26006</v>
      </c>
      <c r="C165" s="74" t="s">
        <v>26007</v>
      </c>
      <c r="D165" s="72" t="s">
        <v>24174</v>
      </c>
      <c r="F165" s="57"/>
      <c r="G165" s="35"/>
      <c r="J165" s="163"/>
      <c r="K165" s="45"/>
      <c r="L165" s="46"/>
      <c r="M165" s="114" t="s">
        <v>17562</v>
      </c>
      <c r="N165" s="49"/>
      <c r="O165" s="50"/>
      <c r="P165" s="115"/>
      <c r="Q165" s="35"/>
      <c r="T165" s="57"/>
      <c r="U165" s="208">
        <f>ROUND((ROUND((_15_同援日７．０*_15・通訳),0)*(1+_15・盲ろう)),0)</f>
        <v>1291</v>
      </c>
      <c r="V165" s="48"/>
    </row>
    <row r="166" spans="1:22" ht="16.5" customHeight="1" x14ac:dyDescent="0.15">
      <c r="A166" s="41">
        <v>15</v>
      </c>
      <c r="B166" s="41" t="s">
        <v>26008</v>
      </c>
      <c r="C166" s="74" t="s">
        <v>26009</v>
      </c>
      <c r="D166" s="72"/>
      <c r="E166" s="168">
        <f>_15_同援日７．０</f>
        <v>1148</v>
      </c>
      <c r="F166" s="57" t="s">
        <v>392</v>
      </c>
      <c r="G166" s="35"/>
      <c r="J166" s="299" t="s">
        <v>17556</v>
      </c>
      <c r="K166" s="45" t="s">
        <v>398</v>
      </c>
      <c r="L166" s="46">
        <v>1</v>
      </c>
      <c r="M166" s="269" t="s">
        <v>17564</v>
      </c>
      <c r="N166" s="37" t="s">
        <v>398</v>
      </c>
      <c r="O166" s="38">
        <v>0.25</v>
      </c>
      <c r="P166" s="79" t="s">
        <v>3575</v>
      </c>
      <c r="Q166" s="43"/>
      <c r="R166" s="37"/>
      <c r="S166" s="38"/>
      <c r="T166" s="79"/>
      <c r="U166" s="208">
        <f>ROUND((ROUND((ROUND((_15_同援日７．０*_15・通訳),0)*_15・２人),0)*(1+_15・盲ろう)),0)</f>
        <v>1291</v>
      </c>
      <c r="V166" s="48"/>
    </row>
    <row r="167" spans="1:22" ht="16.5" customHeight="1" x14ac:dyDescent="0.15">
      <c r="A167" s="41">
        <v>15</v>
      </c>
      <c r="B167" s="41" t="s">
        <v>26010</v>
      </c>
      <c r="C167" s="74" t="s">
        <v>26011</v>
      </c>
      <c r="D167" s="72"/>
      <c r="F167" s="57"/>
      <c r="G167" s="35"/>
      <c r="J167" s="163"/>
      <c r="K167" s="45"/>
      <c r="L167" s="46"/>
      <c r="M167" s="53"/>
      <c r="N167" s="49"/>
      <c r="O167" s="50"/>
      <c r="P167" s="115"/>
      <c r="Q167" s="114" t="s">
        <v>17570</v>
      </c>
      <c r="R167" s="49"/>
      <c r="S167" s="50"/>
      <c r="T167" s="115"/>
      <c r="U167" s="208">
        <f>ROUND((ROUND((_15_同援日７．０*_15・通訳),0)*(1+_15・区３)),0)</f>
        <v>1240</v>
      </c>
      <c r="V167" s="48"/>
    </row>
    <row r="168" spans="1:22" ht="16.5" customHeight="1" x14ac:dyDescent="0.15">
      <c r="A168" s="41">
        <v>15</v>
      </c>
      <c r="B168" s="41" t="s">
        <v>26012</v>
      </c>
      <c r="C168" s="74" t="s">
        <v>26013</v>
      </c>
      <c r="D168" s="72"/>
      <c r="F168" s="57"/>
      <c r="G168" s="35"/>
      <c r="J168" s="299" t="s">
        <v>17556</v>
      </c>
      <c r="K168" s="45" t="s">
        <v>398</v>
      </c>
      <c r="L168" s="46">
        <v>1</v>
      </c>
      <c r="M168" s="43"/>
      <c r="N168" s="37"/>
      <c r="O168" s="38"/>
      <c r="P168" s="79"/>
      <c r="Q168" s="92" t="s">
        <v>17572</v>
      </c>
      <c r="T168" s="57"/>
      <c r="U168" s="208">
        <f>ROUND((ROUND((ROUND((_15_同援日７．０*_15・通訳),0)*_15・２人),0)*(1+_15・区３)),0)</f>
        <v>1240</v>
      </c>
      <c r="V168" s="48"/>
    </row>
    <row r="169" spans="1:22" ht="16.5" customHeight="1" x14ac:dyDescent="0.15">
      <c r="A169" s="41">
        <v>15</v>
      </c>
      <c r="B169" s="41" t="s">
        <v>26014</v>
      </c>
      <c r="C169" s="74" t="s">
        <v>26015</v>
      </c>
      <c r="D169" s="72"/>
      <c r="F169" s="57"/>
      <c r="G169" s="35"/>
      <c r="J169" s="163"/>
      <c r="K169" s="45"/>
      <c r="L169" s="46"/>
      <c r="M169" s="114" t="s">
        <v>17562</v>
      </c>
      <c r="N169" s="49"/>
      <c r="O169" s="50"/>
      <c r="P169" s="115"/>
      <c r="Q169" s="35"/>
      <c r="R169" s="12" t="s">
        <v>398</v>
      </c>
      <c r="S169" s="13">
        <v>0.2</v>
      </c>
      <c r="T169" s="57" t="s">
        <v>3575</v>
      </c>
      <c r="U169" s="208">
        <f>ROUND((ROUND((ROUND((_15_同援日７．０*_15・通訳),0)*(1+_15・盲ろう)),0)*(1+_15・区３)),0)</f>
        <v>1549</v>
      </c>
      <c r="V169" s="48"/>
    </row>
    <row r="170" spans="1:22" ht="16.5" customHeight="1" x14ac:dyDescent="0.15">
      <c r="A170" s="41">
        <v>15</v>
      </c>
      <c r="B170" s="41" t="s">
        <v>26016</v>
      </c>
      <c r="C170" s="74" t="s">
        <v>26017</v>
      </c>
      <c r="D170" s="72"/>
      <c r="F170" s="57"/>
      <c r="G170" s="35"/>
      <c r="J170" s="299" t="s">
        <v>17556</v>
      </c>
      <c r="K170" s="45" t="s">
        <v>398</v>
      </c>
      <c r="L170" s="46">
        <v>1</v>
      </c>
      <c r="M170" s="269" t="s">
        <v>17564</v>
      </c>
      <c r="N170" s="37" t="s">
        <v>398</v>
      </c>
      <c r="O170" s="38">
        <v>0.25</v>
      </c>
      <c r="P170" s="79" t="s">
        <v>3575</v>
      </c>
      <c r="Q170" s="43"/>
      <c r="R170" s="37"/>
      <c r="S170" s="38"/>
      <c r="T170" s="79"/>
      <c r="U170" s="208">
        <f>ROUND((ROUND((ROUND((ROUND((_15_同援日７．０*_15・通訳),0)*_15・２人),0)*(1+_15・盲ろう)),0)*(1+_15・区３)),0)</f>
        <v>1549</v>
      </c>
      <c r="V170" s="48"/>
    </row>
    <row r="171" spans="1:22" ht="16.5" customHeight="1" x14ac:dyDescent="0.15">
      <c r="A171" s="41">
        <v>15</v>
      </c>
      <c r="B171" s="41" t="s">
        <v>26018</v>
      </c>
      <c r="C171" s="74" t="s">
        <v>26019</v>
      </c>
      <c r="D171" s="72"/>
      <c r="F171" s="57"/>
      <c r="G171" s="35"/>
      <c r="J171" s="163"/>
      <c r="K171" s="45"/>
      <c r="L171" s="46"/>
      <c r="M171" s="53"/>
      <c r="N171" s="49"/>
      <c r="O171" s="50"/>
      <c r="P171" s="115"/>
      <c r="Q171" s="114" t="s">
        <v>17580</v>
      </c>
      <c r="R171" s="49"/>
      <c r="S171" s="50"/>
      <c r="T171" s="115"/>
      <c r="U171" s="208">
        <f>ROUND((ROUND((_15_同援日７．０*_15・通訳),0)*(1+_15・区４)),0)</f>
        <v>1446</v>
      </c>
      <c r="V171" s="48"/>
    </row>
    <row r="172" spans="1:22" ht="16.5" customHeight="1" x14ac:dyDescent="0.15">
      <c r="A172" s="41">
        <v>15</v>
      </c>
      <c r="B172" s="41" t="s">
        <v>26020</v>
      </c>
      <c r="C172" s="74" t="s">
        <v>26021</v>
      </c>
      <c r="D172" s="72"/>
      <c r="F172" s="57"/>
      <c r="G172" s="35"/>
      <c r="J172" s="299" t="s">
        <v>17556</v>
      </c>
      <c r="K172" s="45" t="s">
        <v>398</v>
      </c>
      <c r="L172" s="46">
        <v>1</v>
      </c>
      <c r="M172" s="43"/>
      <c r="N172" s="37"/>
      <c r="O172" s="38"/>
      <c r="P172" s="79"/>
      <c r="Q172" s="92" t="s">
        <v>17572</v>
      </c>
      <c r="T172" s="57"/>
      <c r="U172" s="208">
        <f>ROUND((ROUND((ROUND((_15_同援日７．０*_15・通訳),0)*_15・２人),0)*(1+_15・区４)),0)</f>
        <v>1446</v>
      </c>
      <c r="V172" s="48"/>
    </row>
    <row r="173" spans="1:22" ht="16.5" customHeight="1" x14ac:dyDescent="0.15">
      <c r="A173" s="41">
        <v>15</v>
      </c>
      <c r="B173" s="41" t="s">
        <v>2564</v>
      </c>
      <c r="C173" s="74" t="s">
        <v>26022</v>
      </c>
      <c r="D173" s="72"/>
      <c r="F173" s="57"/>
      <c r="G173" s="35"/>
      <c r="J173" s="163"/>
      <c r="K173" s="45"/>
      <c r="L173" s="46"/>
      <c r="M173" s="114" t="s">
        <v>17562</v>
      </c>
      <c r="N173" s="49"/>
      <c r="O173" s="50"/>
      <c r="P173" s="115"/>
      <c r="Q173" s="35"/>
      <c r="R173" s="12" t="s">
        <v>398</v>
      </c>
      <c r="S173" s="13">
        <v>0.4</v>
      </c>
      <c r="T173" s="57" t="s">
        <v>3575</v>
      </c>
      <c r="U173" s="208">
        <f>ROUND((ROUND((ROUND((_15_同援日７．０*_15・通訳),0)*(1+_15・盲ろう)),0)*(1+_15・区４)),0)</f>
        <v>1807</v>
      </c>
      <c r="V173" s="48"/>
    </row>
    <row r="174" spans="1:22" ht="16.5" customHeight="1" x14ac:dyDescent="0.15">
      <c r="A174" s="41">
        <v>15</v>
      </c>
      <c r="B174" s="41" t="s">
        <v>2566</v>
      </c>
      <c r="C174" s="74" t="s">
        <v>26023</v>
      </c>
      <c r="D174" s="122"/>
      <c r="E174" s="37"/>
      <c r="F174" s="79"/>
      <c r="G174" s="35"/>
      <c r="J174" s="299" t="s">
        <v>17556</v>
      </c>
      <c r="K174" s="45" t="s">
        <v>398</v>
      </c>
      <c r="L174" s="46">
        <v>1</v>
      </c>
      <c r="M174" s="269" t="s">
        <v>17564</v>
      </c>
      <c r="N174" s="37" t="s">
        <v>398</v>
      </c>
      <c r="O174" s="38">
        <v>0.25</v>
      </c>
      <c r="P174" s="79" t="s">
        <v>3575</v>
      </c>
      <c r="Q174" s="43"/>
      <c r="R174" s="37"/>
      <c r="S174" s="38"/>
      <c r="T174" s="79"/>
      <c r="U174" s="208">
        <f>ROUND((ROUND((ROUND((ROUND((_15_同援日７．０*_15・通訳),0)*_15・２人),0)*(1+_15・盲ろう)),0)*(1+_15・区４)),0)</f>
        <v>1807</v>
      </c>
      <c r="V174" s="48"/>
    </row>
    <row r="175" spans="1:22" ht="16.5" customHeight="1" x14ac:dyDescent="0.15">
      <c r="A175" s="41">
        <v>15</v>
      </c>
      <c r="B175" s="41" t="s">
        <v>2568</v>
      </c>
      <c r="C175" s="74" t="s">
        <v>26024</v>
      </c>
      <c r="D175" s="114" t="s">
        <v>17938</v>
      </c>
      <c r="E175" s="49"/>
      <c r="F175" s="115"/>
      <c r="G175" s="35"/>
      <c r="J175" s="163"/>
      <c r="K175" s="45"/>
      <c r="L175" s="46"/>
      <c r="M175" s="53"/>
      <c r="N175" s="49"/>
      <c r="O175" s="50"/>
      <c r="P175" s="115"/>
      <c r="Q175" s="53"/>
      <c r="R175" s="49"/>
      <c r="S175" s="50"/>
      <c r="T175" s="115"/>
      <c r="U175" s="208">
        <f>ROUND((_15_同援日７．５*_15・通訳),0)</f>
        <v>1092</v>
      </c>
      <c r="V175" s="48"/>
    </row>
    <row r="176" spans="1:22" ht="16.5" customHeight="1" x14ac:dyDescent="0.15">
      <c r="A176" s="41">
        <v>15</v>
      </c>
      <c r="B176" s="41" t="s">
        <v>2570</v>
      </c>
      <c r="C176" s="74" t="s">
        <v>26025</v>
      </c>
      <c r="D176" s="72" t="s">
        <v>17940</v>
      </c>
      <c r="F176" s="57"/>
      <c r="G176" s="35"/>
      <c r="J176" s="299" t="s">
        <v>17556</v>
      </c>
      <c r="K176" s="45" t="s">
        <v>398</v>
      </c>
      <c r="L176" s="46">
        <v>1</v>
      </c>
      <c r="M176" s="43"/>
      <c r="N176" s="37"/>
      <c r="O176" s="38"/>
      <c r="P176" s="79"/>
      <c r="Q176" s="35"/>
      <c r="T176" s="57"/>
      <c r="U176" s="208">
        <f>ROUND((ROUND((_15_同援日７．５*_15・通訳),0)*_15・２人),0)</f>
        <v>1092</v>
      </c>
      <c r="V176" s="48"/>
    </row>
    <row r="177" spans="1:22" ht="16.5" customHeight="1" x14ac:dyDescent="0.15">
      <c r="A177" s="41">
        <v>15</v>
      </c>
      <c r="B177" s="41" t="s">
        <v>26026</v>
      </c>
      <c r="C177" s="74" t="s">
        <v>26027</v>
      </c>
      <c r="D177" s="72" t="s">
        <v>24219</v>
      </c>
      <c r="F177" s="57"/>
      <c r="G177" s="35"/>
      <c r="J177" s="163"/>
      <c r="K177" s="45"/>
      <c r="L177" s="46"/>
      <c r="M177" s="114" t="s">
        <v>17562</v>
      </c>
      <c r="N177" s="49"/>
      <c r="O177" s="50"/>
      <c r="P177" s="115"/>
      <c r="Q177" s="35"/>
      <c r="T177" s="57"/>
      <c r="U177" s="208">
        <f>ROUND((ROUND((_15_同援日７．５*_15・通訳),0)*(1+_15・盲ろう)),0)</f>
        <v>1365</v>
      </c>
      <c r="V177" s="48"/>
    </row>
    <row r="178" spans="1:22" ht="16.5" customHeight="1" x14ac:dyDescent="0.15">
      <c r="A178" s="41">
        <v>15</v>
      </c>
      <c r="B178" s="41" t="s">
        <v>26028</v>
      </c>
      <c r="C178" s="74" t="s">
        <v>26029</v>
      </c>
      <c r="D178" s="72"/>
      <c r="E178" s="168">
        <f>_15_同援日７．５</f>
        <v>1213</v>
      </c>
      <c r="F178" s="57" t="s">
        <v>392</v>
      </c>
      <c r="G178" s="35"/>
      <c r="J178" s="299" t="s">
        <v>17556</v>
      </c>
      <c r="K178" s="45" t="s">
        <v>398</v>
      </c>
      <c r="L178" s="46">
        <v>1</v>
      </c>
      <c r="M178" s="269" t="s">
        <v>17564</v>
      </c>
      <c r="N178" s="37" t="s">
        <v>398</v>
      </c>
      <c r="O178" s="38">
        <v>0.25</v>
      </c>
      <c r="P178" s="79" t="s">
        <v>3575</v>
      </c>
      <c r="Q178" s="43"/>
      <c r="R178" s="37"/>
      <c r="S178" s="38"/>
      <c r="T178" s="79"/>
      <c r="U178" s="208">
        <f>ROUND((ROUND((ROUND((_15_同援日７．５*_15・通訳),0)*_15・２人),0)*(1+_15・盲ろう)),0)</f>
        <v>1365</v>
      </c>
      <c r="V178" s="48"/>
    </row>
    <row r="179" spans="1:22" ht="16.5" customHeight="1" x14ac:dyDescent="0.15">
      <c r="A179" s="41">
        <v>15</v>
      </c>
      <c r="B179" s="41" t="s">
        <v>26030</v>
      </c>
      <c r="C179" s="74" t="s">
        <v>26031</v>
      </c>
      <c r="D179" s="72"/>
      <c r="F179" s="57"/>
      <c r="G179" s="35"/>
      <c r="J179" s="163"/>
      <c r="K179" s="45"/>
      <c r="L179" s="46"/>
      <c r="M179" s="53"/>
      <c r="N179" s="49"/>
      <c r="O179" s="50"/>
      <c r="P179" s="115"/>
      <c r="Q179" s="114" t="s">
        <v>17570</v>
      </c>
      <c r="R179" s="49"/>
      <c r="S179" s="50"/>
      <c r="T179" s="115"/>
      <c r="U179" s="208">
        <f>ROUND((ROUND((_15_同援日７．５*_15・通訳),0)*(1+_15・区３)),0)</f>
        <v>1310</v>
      </c>
      <c r="V179" s="48"/>
    </row>
    <row r="180" spans="1:22" ht="16.5" customHeight="1" x14ac:dyDescent="0.15">
      <c r="A180" s="41">
        <v>15</v>
      </c>
      <c r="B180" s="41" t="s">
        <v>26032</v>
      </c>
      <c r="C180" s="74" t="s">
        <v>26033</v>
      </c>
      <c r="D180" s="72"/>
      <c r="F180" s="57"/>
      <c r="G180" s="35"/>
      <c r="J180" s="299" t="s">
        <v>17556</v>
      </c>
      <c r="K180" s="45" t="s">
        <v>398</v>
      </c>
      <c r="L180" s="46">
        <v>1</v>
      </c>
      <c r="M180" s="43"/>
      <c r="N180" s="37"/>
      <c r="O180" s="38"/>
      <c r="P180" s="79"/>
      <c r="Q180" s="92" t="s">
        <v>17572</v>
      </c>
      <c r="T180" s="57"/>
      <c r="U180" s="208">
        <f>ROUND((ROUND((ROUND((_15_同援日７．５*_15・通訳),0)*_15・２人),0)*(1+_15・区３)),0)</f>
        <v>1310</v>
      </c>
      <c r="V180" s="48"/>
    </row>
    <row r="181" spans="1:22" ht="16.5" customHeight="1" x14ac:dyDescent="0.15">
      <c r="A181" s="41">
        <v>15</v>
      </c>
      <c r="B181" s="41" t="s">
        <v>26034</v>
      </c>
      <c r="C181" s="74" t="s">
        <v>26035</v>
      </c>
      <c r="D181" s="72"/>
      <c r="F181" s="57"/>
      <c r="G181" s="35"/>
      <c r="J181" s="163"/>
      <c r="K181" s="45"/>
      <c r="L181" s="46"/>
      <c r="M181" s="114" t="s">
        <v>17562</v>
      </c>
      <c r="N181" s="49"/>
      <c r="O181" s="50"/>
      <c r="P181" s="115"/>
      <c r="Q181" s="35"/>
      <c r="R181" s="12" t="s">
        <v>398</v>
      </c>
      <c r="S181" s="13">
        <v>0.2</v>
      </c>
      <c r="T181" s="57" t="s">
        <v>3575</v>
      </c>
      <c r="U181" s="208">
        <f>ROUND((ROUND((ROUND((_15_同援日７．５*_15・通訳),0)*(1+_15・盲ろう)),0)*(1+_15・区３)),0)</f>
        <v>1638</v>
      </c>
      <c r="V181" s="48"/>
    </row>
    <row r="182" spans="1:22" ht="16.5" customHeight="1" x14ac:dyDescent="0.15">
      <c r="A182" s="41">
        <v>15</v>
      </c>
      <c r="B182" s="41" t="s">
        <v>26036</v>
      </c>
      <c r="C182" s="74" t="s">
        <v>26037</v>
      </c>
      <c r="D182" s="72"/>
      <c r="F182" s="57"/>
      <c r="G182" s="35"/>
      <c r="J182" s="299" t="s">
        <v>17556</v>
      </c>
      <c r="K182" s="45" t="s">
        <v>398</v>
      </c>
      <c r="L182" s="46">
        <v>1</v>
      </c>
      <c r="M182" s="269" t="s">
        <v>17564</v>
      </c>
      <c r="N182" s="37" t="s">
        <v>398</v>
      </c>
      <c r="O182" s="38">
        <v>0.25</v>
      </c>
      <c r="P182" s="79" t="s">
        <v>3575</v>
      </c>
      <c r="Q182" s="43"/>
      <c r="R182" s="37"/>
      <c r="S182" s="38"/>
      <c r="T182" s="79"/>
      <c r="U182" s="208">
        <f>ROUND((ROUND((ROUND((ROUND((_15_同援日７．５*_15・通訳),0)*_15・２人),0)*(1+_15・盲ろう)),0)*(1+_15・区３)),0)</f>
        <v>1638</v>
      </c>
      <c r="V182" s="48"/>
    </row>
    <row r="183" spans="1:22" ht="16.5" customHeight="1" x14ac:dyDescent="0.15">
      <c r="A183" s="41">
        <v>15</v>
      </c>
      <c r="B183" s="41" t="s">
        <v>26038</v>
      </c>
      <c r="C183" s="74" t="s">
        <v>26039</v>
      </c>
      <c r="D183" s="72"/>
      <c r="F183" s="57"/>
      <c r="G183" s="35"/>
      <c r="J183" s="163"/>
      <c r="K183" s="45"/>
      <c r="L183" s="46"/>
      <c r="M183" s="53"/>
      <c r="N183" s="49"/>
      <c r="O183" s="50"/>
      <c r="P183" s="115"/>
      <c r="Q183" s="114" t="s">
        <v>17580</v>
      </c>
      <c r="R183" s="49"/>
      <c r="S183" s="50"/>
      <c r="T183" s="115"/>
      <c r="U183" s="208">
        <f>ROUND((ROUND((_15_同援日７．５*_15・通訳),0)*(1+_15・区４)),0)</f>
        <v>1529</v>
      </c>
      <c r="V183" s="48"/>
    </row>
    <row r="184" spans="1:22" ht="16.5" customHeight="1" x14ac:dyDescent="0.15">
      <c r="A184" s="41">
        <v>15</v>
      </c>
      <c r="B184" s="41" t="s">
        <v>26040</v>
      </c>
      <c r="C184" s="74" t="s">
        <v>26041</v>
      </c>
      <c r="D184" s="72"/>
      <c r="F184" s="57"/>
      <c r="G184" s="35"/>
      <c r="J184" s="299" t="s">
        <v>17556</v>
      </c>
      <c r="K184" s="45" t="s">
        <v>398</v>
      </c>
      <c r="L184" s="46">
        <v>1</v>
      </c>
      <c r="M184" s="43"/>
      <c r="N184" s="37"/>
      <c r="O184" s="38"/>
      <c r="P184" s="79"/>
      <c r="Q184" s="92" t="s">
        <v>17572</v>
      </c>
      <c r="T184" s="57"/>
      <c r="U184" s="208">
        <f>ROUND((ROUND((ROUND((_15_同援日７．５*_15・通訳),0)*_15・２人),0)*(1+_15・区４)),0)</f>
        <v>1529</v>
      </c>
      <c r="V184" s="48"/>
    </row>
    <row r="185" spans="1:22" ht="16.5" customHeight="1" x14ac:dyDescent="0.15">
      <c r="A185" s="41">
        <v>15</v>
      </c>
      <c r="B185" s="41" t="s">
        <v>26042</v>
      </c>
      <c r="C185" s="74" t="s">
        <v>26043</v>
      </c>
      <c r="D185" s="72"/>
      <c r="F185" s="57"/>
      <c r="G185" s="35"/>
      <c r="J185" s="163"/>
      <c r="K185" s="45"/>
      <c r="L185" s="46"/>
      <c r="M185" s="114" t="s">
        <v>17562</v>
      </c>
      <c r="N185" s="49"/>
      <c r="O185" s="50"/>
      <c r="P185" s="115"/>
      <c r="Q185" s="35"/>
      <c r="R185" s="12" t="s">
        <v>398</v>
      </c>
      <c r="S185" s="13">
        <v>0.4</v>
      </c>
      <c r="T185" s="57" t="s">
        <v>3575</v>
      </c>
      <c r="U185" s="208">
        <f>ROUND((ROUND((ROUND((_15_同援日７．５*_15・通訳),0)*(1+_15・盲ろう)),0)*(1+_15・区４)),0)</f>
        <v>1911</v>
      </c>
      <c r="V185" s="48"/>
    </row>
    <row r="186" spans="1:22" ht="16.5" customHeight="1" x14ac:dyDescent="0.15">
      <c r="A186" s="41">
        <v>15</v>
      </c>
      <c r="B186" s="41" t="s">
        <v>26044</v>
      </c>
      <c r="C186" s="74" t="s">
        <v>26045</v>
      </c>
      <c r="D186" s="122"/>
      <c r="E186" s="37"/>
      <c r="F186" s="79"/>
      <c r="G186" s="35"/>
      <c r="J186" s="299" t="s">
        <v>17556</v>
      </c>
      <c r="K186" s="45" t="s">
        <v>398</v>
      </c>
      <c r="L186" s="46">
        <v>1</v>
      </c>
      <c r="M186" s="269" t="s">
        <v>17564</v>
      </c>
      <c r="N186" s="37" t="s">
        <v>398</v>
      </c>
      <c r="O186" s="38">
        <v>0.25</v>
      </c>
      <c r="P186" s="79" t="s">
        <v>3575</v>
      </c>
      <c r="Q186" s="43"/>
      <c r="R186" s="37"/>
      <c r="S186" s="38"/>
      <c r="T186" s="79"/>
      <c r="U186" s="208">
        <f>ROUND((ROUND((ROUND((ROUND((_15_同援日７．５*_15・通訳),0)*_15・２人),0)*(1+_15・盲ろう)),0)*(1+_15・区４)),0)</f>
        <v>1911</v>
      </c>
      <c r="V186" s="48"/>
    </row>
    <row r="187" spans="1:22" ht="16.5" customHeight="1" x14ac:dyDescent="0.15">
      <c r="A187" s="41">
        <v>15</v>
      </c>
      <c r="B187" s="41" t="s">
        <v>26046</v>
      </c>
      <c r="C187" s="74" t="s">
        <v>26047</v>
      </c>
      <c r="D187" s="114" t="s">
        <v>17965</v>
      </c>
      <c r="E187" s="49"/>
      <c r="F187" s="115"/>
      <c r="G187" s="35"/>
      <c r="J187" s="163"/>
      <c r="K187" s="45"/>
      <c r="L187" s="46"/>
      <c r="M187" s="53"/>
      <c r="N187" s="49"/>
      <c r="O187" s="50"/>
      <c r="P187" s="115"/>
      <c r="Q187" s="53"/>
      <c r="R187" s="49"/>
      <c r="S187" s="50"/>
      <c r="T187" s="115"/>
      <c r="U187" s="208">
        <f>ROUND((_15_同援日８．０*_15・通訳),0)</f>
        <v>1150</v>
      </c>
      <c r="V187" s="48"/>
    </row>
    <row r="188" spans="1:22" ht="16.5" customHeight="1" x14ac:dyDescent="0.15">
      <c r="A188" s="41">
        <v>15</v>
      </c>
      <c r="B188" s="41" t="s">
        <v>26048</v>
      </c>
      <c r="C188" s="74" t="s">
        <v>26049</v>
      </c>
      <c r="D188" s="72" t="s">
        <v>17967</v>
      </c>
      <c r="F188" s="57"/>
      <c r="G188" s="35"/>
      <c r="J188" s="299" t="s">
        <v>17556</v>
      </c>
      <c r="K188" s="45" t="s">
        <v>398</v>
      </c>
      <c r="L188" s="46">
        <v>1</v>
      </c>
      <c r="M188" s="43"/>
      <c r="N188" s="37"/>
      <c r="O188" s="38"/>
      <c r="P188" s="79"/>
      <c r="Q188" s="35"/>
      <c r="T188" s="57"/>
      <c r="U188" s="208">
        <f>ROUND((ROUND((_15_同援日８．０*_15・通訳),0)*_15・２人),0)</f>
        <v>1150</v>
      </c>
      <c r="V188" s="48"/>
    </row>
    <row r="189" spans="1:22" ht="16.5" customHeight="1" x14ac:dyDescent="0.15">
      <c r="A189" s="41">
        <v>15</v>
      </c>
      <c r="B189" s="41" t="s">
        <v>26050</v>
      </c>
      <c r="C189" s="74" t="s">
        <v>26051</v>
      </c>
      <c r="D189" s="72" t="s">
        <v>17969</v>
      </c>
      <c r="F189" s="57"/>
      <c r="G189" s="35"/>
      <c r="J189" s="163"/>
      <c r="K189" s="45"/>
      <c r="L189" s="46"/>
      <c r="M189" s="114" t="s">
        <v>17562</v>
      </c>
      <c r="N189" s="49"/>
      <c r="O189" s="50"/>
      <c r="P189" s="115"/>
      <c r="Q189" s="35"/>
      <c r="T189" s="57"/>
      <c r="U189" s="208">
        <f>ROUND((ROUND((_15_同援日８．０*_15・通訳),0)*(1+_15・盲ろう)),0)</f>
        <v>1438</v>
      </c>
      <c r="V189" s="48"/>
    </row>
    <row r="190" spans="1:22" ht="16.5" customHeight="1" x14ac:dyDescent="0.15">
      <c r="A190" s="41">
        <v>15</v>
      </c>
      <c r="B190" s="41" t="s">
        <v>26052</v>
      </c>
      <c r="C190" s="74" t="s">
        <v>26053</v>
      </c>
      <c r="D190" s="72"/>
      <c r="E190" s="168">
        <f>_15_同援日８．０</f>
        <v>1278</v>
      </c>
      <c r="F190" s="57" t="s">
        <v>392</v>
      </c>
      <c r="G190" s="35"/>
      <c r="J190" s="299" t="s">
        <v>17556</v>
      </c>
      <c r="K190" s="45" t="s">
        <v>398</v>
      </c>
      <c r="L190" s="46">
        <v>1</v>
      </c>
      <c r="M190" s="269" t="s">
        <v>17564</v>
      </c>
      <c r="N190" s="37" t="s">
        <v>398</v>
      </c>
      <c r="O190" s="38">
        <v>0.25</v>
      </c>
      <c r="P190" s="79" t="s">
        <v>3575</v>
      </c>
      <c r="Q190" s="43"/>
      <c r="R190" s="37"/>
      <c r="S190" s="38"/>
      <c r="T190" s="79"/>
      <c r="U190" s="208">
        <f>ROUND((ROUND((ROUND((_15_同援日８．０*_15・通訳),0)*_15・２人),0)*(1+_15・盲ろう)),0)</f>
        <v>1438</v>
      </c>
      <c r="V190" s="48"/>
    </row>
    <row r="191" spans="1:22" ht="16.5" customHeight="1" x14ac:dyDescent="0.15">
      <c r="A191" s="41">
        <v>15</v>
      </c>
      <c r="B191" s="41" t="s">
        <v>26054</v>
      </c>
      <c r="C191" s="74" t="s">
        <v>26055</v>
      </c>
      <c r="D191" s="72"/>
      <c r="F191" s="57"/>
      <c r="G191" s="35"/>
      <c r="J191" s="163"/>
      <c r="K191" s="45"/>
      <c r="L191" s="46"/>
      <c r="M191" s="53"/>
      <c r="N191" s="49"/>
      <c r="O191" s="50"/>
      <c r="P191" s="115"/>
      <c r="Q191" s="114" t="s">
        <v>17570</v>
      </c>
      <c r="R191" s="49"/>
      <c r="S191" s="50"/>
      <c r="T191" s="115"/>
      <c r="U191" s="208">
        <f>ROUND((ROUND((_15_同援日８．０*_15・通訳),0)*(1+_15・区３)),0)</f>
        <v>1380</v>
      </c>
      <c r="V191" s="48"/>
    </row>
    <row r="192" spans="1:22" ht="16.5" customHeight="1" x14ac:dyDescent="0.15">
      <c r="A192" s="41">
        <v>15</v>
      </c>
      <c r="B192" s="41" t="s">
        <v>26056</v>
      </c>
      <c r="C192" s="74" t="s">
        <v>26057</v>
      </c>
      <c r="D192" s="72"/>
      <c r="F192" s="57"/>
      <c r="G192" s="35"/>
      <c r="J192" s="299" t="s">
        <v>17556</v>
      </c>
      <c r="K192" s="45" t="s">
        <v>398</v>
      </c>
      <c r="L192" s="46">
        <v>1</v>
      </c>
      <c r="M192" s="43"/>
      <c r="N192" s="37"/>
      <c r="O192" s="38"/>
      <c r="P192" s="79"/>
      <c r="Q192" s="92" t="s">
        <v>17572</v>
      </c>
      <c r="T192" s="57"/>
      <c r="U192" s="208">
        <f>ROUND((ROUND((ROUND((_15_同援日８．０*_15・通訳),0)*_15・２人),0)*(1+_15・区３)),0)</f>
        <v>1380</v>
      </c>
      <c r="V192" s="48"/>
    </row>
    <row r="193" spans="1:22" ht="16.5" customHeight="1" x14ac:dyDescent="0.15">
      <c r="A193" s="41">
        <v>15</v>
      </c>
      <c r="B193" s="41" t="s">
        <v>2576</v>
      </c>
      <c r="C193" s="74" t="s">
        <v>26058</v>
      </c>
      <c r="D193" s="72"/>
      <c r="F193" s="57"/>
      <c r="G193" s="35"/>
      <c r="J193" s="163"/>
      <c r="K193" s="45"/>
      <c r="L193" s="46"/>
      <c r="M193" s="114" t="s">
        <v>17562</v>
      </c>
      <c r="N193" s="49"/>
      <c r="O193" s="50"/>
      <c r="P193" s="115"/>
      <c r="Q193" s="35"/>
      <c r="R193" s="12" t="s">
        <v>398</v>
      </c>
      <c r="S193" s="13">
        <v>0.2</v>
      </c>
      <c r="T193" s="57" t="s">
        <v>3575</v>
      </c>
      <c r="U193" s="208">
        <f>ROUND((ROUND((ROUND((_15_同援日８．０*_15・通訳),0)*(1+_15・盲ろう)),0)*(1+_15・区３)),0)</f>
        <v>1726</v>
      </c>
      <c r="V193" s="48"/>
    </row>
    <row r="194" spans="1:22" ht="16.5" customHeight="1" x14ac:dyDescent="0.15">
      <c r="A194" s="41">
        <v>15</v>
      </c>
      <c r="B194" s="41" t="s">
        <v>2578</v>
      </c>
      <c r="C194" s="74" t="s">
        <v>26059</v>
      </c>
      <c r="D194" s="72"/>
      <c r="F194" s="57"/>
      <c r="G194" s="35"/>
      <c r="J194" s="299" t="s">
        <v>17556</v>
      </c>
      <c r="K194" s="45" t="s">
        <v>398</v>
      </c>
      <c r="L194" s="46">
        <v>1</v>
      </c>
      <c r="M194" s="269" t="s">
        <v>17564</v>
      </c>
      <c r="N194" s="37" t="s">
        <v>398</v>
      </c>
      <c r="O194" s="38">
        <v>0.25</v>
      </c>
      <c r="P194" s="79" t="s">
        <v>3575</v>
      </c>
      <c r="Q194" s="43"/>
      <c r="R194" s="37"/>
      <c r="S194" s="38"/>
      <c r="T194" s="79"/>
      <c r="U194" s="208">
        <f>ROUND((ROUND((ROUND((ROUND((_15_同援日８．０*_15・通訳),0)*_15・２人),0)*(1+_15・盲ろう)),0)*(1+_15・区３)),0)</f>
        <v>1726</v>
      </c>
      <c r="V194" s="48"/>
    </row>
    <row r="195" spans="1:22" ht="16.5" customHeight="1" x14ac:dyDescent="0.15">
      <c r="A195" s="41">
        <v>15</v>
      </c>
      <c r="B195" s="41" t="s">
        <v>2580</v>
      </c>
      <c r="C195" s="74" t="s">
        <v>26060</v>
      </c>
      <c r="D195" s="72"/>
      <c r="F195" s="57"/>
      <c r="G195" s="35"/>
      <c r="J195" s="163"/>
      <c r="K195" s="45"/>
      <c r="L195" s="46"/>
      <c r="M195" s="53"/>
      <c r="N195" s="49"/>
      <c r="O195" s="50"/>
      <c r="P195" s="115"/>
      <c r="Q195" s="114" t="s">
        <v>17580</v>
      </c>
      <c r="R195" s="49"/>
      <c r="S195" s="50"/>
      <c r="T195" s="115"/>
      <c r="U195" s="208">
        <f>ROUND((ROUND((_15_同援日８．０*_15・通訳),0)*(1+_15・区４)),0)</f>
        <v>1610</v>
      </c>
      <c r="V195" s="48"/>
    </row>
    <row r="196" spans="1:22" ht="16.5" customHeight="1" x14ac:dyDescent="0.15">
      <c r="A196" s="41">
        <v>15</v>
      </c>
      <c r="B196" s="41" t="s">
        <v>2582</v>
      </c>
      <c r="C196" s="74" t="s">
        <v>26061</v>
      </c>
      <c r="D196" s="72"/>
      <c r="F196" s="57"/>
      <c r="G196" s="35"/>
      <c r="J196" s="299" t="s">
        <v>17556</v>
      </c>
      <c r="K196" s="45" t="s">
        <v>398</v>
      </c>
      <c r="L196" s="46">
        <v>1</v>
      </c>
      <c r="M196" s="43"/>
      <c r="N196" s="37"/>
      <c r="O196" s="38"/>
      <c r="P196" s="79"/>
      <c r="Q196" s="92" t="s">
        <v>17572</v>
      </c>
      <c r="T196" s="57"/>
      <c r="U196" s="208">
        <f>ROUND((ROUND((ROUND((_15_同援日８．０*_15・通訳),0)*_15・２人),0)*(1+_15・区４)),0)</f>
        <v>1610</v>
      </c>
      <c r="V196" s="48"/>
    </row>
    <row r="197" spans="1:22" ht="16.5" customHeight="1" x14ac:dyDescent="0.15">
      <c r="A197" s="41">
        <v>15</v>
      </c>
      <c r="B197" s="41" t="s">
        <v>26062</v>
      </c>
      <c r="C197" s="74" t="s">
        <v>26063</v>
      </c>
      <c r="D197" s="72"/>
      <c r="F197" s="57"/>
      <c r="G197" s="35"/>
      <c r="J197" s="163"/>
      <c r="K197" s="45"/>
      <c r="L197" s="46"/>
      <c r="M197" s="114" t="s">
        <v>17562</v>
      </c>
      <c r="N197" s="49"/>
      <c r="O197" s="50"/>
      <c r="P197" s="115"/>
      <c r="Q197" s="35"/>
      <c r="R197" s="12" t="s">
        <v>398</v>
      </c>
      <c r="S197" s="13">
        <v>0.4</v>
      </c>
      <c r="T197" s="57" t="s">
        <v>3575</v>
      </c>
      <c r="U197" s="208">
        <f>ROUND((ROUND((ROUND((_15_同援日８．０*_15・通訳),0)*(1+_15・盲ろう)),0)*(1+_15・区４)),0)</f>
        <v>2013</v>
      </c>
      <c r="V197" s="48"/>
    </row>
    <row r="198" spans="1:22" ht="16.5" customHeight="1" x14ac:dyDescent="0.15">
      <c r="A198" s="41">
        <v>15</v>
      </c>
      <c r="B198" s="41" t="s">
        <v>26064</v>
      </c>
      <c r="C198" s="74" t="s">
        <v>26065</v>
      </c>
      <c r="D198" s="122"/>
      <c r="E198" s="37"/>
      <c r="F198" s="79"/>
      <c r="G198" s="43"/>
      <c r="H198" s="37"/>
      <c r="I198" s="38"/>
      <c r="J198" s="299" t="s">
        <v>17556</v>
      </c>
      <c r="K198" s="45" t="s">
        <v>398</v>
      </c>
      <c r="L198" s="46">
        <v>1</v>
      </c>
      <c r="M198" s="269" t="s">
        <v>17564</v>
      </c>
      <c r="N198" s="37" t="s">
        <v>398</v>
      </c>
      <c r="O198" s="38">
        <v>0.25</v>
      </c>
      <c r="P198" s="79" t="s">
        <v>3575</v>
      </c>
      <c r="Q198" s="43"/>
      <c r="R198" s="37"/>
      <c r="S198" s="38"/>
      <c r="T198" s="79"/>
      <c r="U198" s="208">
        <f>ROUND((ROUND((ROUND((ROUND((_15_同援日８．０*_15・通訳),0)*_15・２人),0)*(1+_15・盲ろう)),0)*(1+_15・区４)),0)</f>
        <v>2013</v>
      </c>
      <c r="V198" s="63"/>
    </row>
    <row r="199" spans="1:22" ht="16.5" customHeight="1" x14ac:dyDescent="0.15">
      <c r="A199" s="41">
        <v>15</v>
      </c>
      <c r="B199" s="41" t="s">
        <v>26066</v>
      </c>
      <c r="C199" s="74" t="s">
        <v>26067</v>
      </c>
      <c r="D199" s="114" t="s">
        <v>17992</v>
      </c>
      <c r="E199" s="49"/>
      <c r="F199" s="115"/>
      <c r="G199" s="53"/>
      <c r="H199" s="49"/>
      <c r="I199" s="50"/>
      <c r="J199" s="163"/>
      <c r="K199" s="45"/>
      <c r="L199" s="46"/>
      <c r="M199" s="53"/>
      <c r="N199" s="49"/>
      <c r="O199" s="50"/>
      <c r="P199" s="115"/>
      <c r="Q199" s="53"/>
      <c r="R199" s="49"/>
      <c r="S199" s="50"/>
      <c r="T199" s="115"/>
      <c r="U199" s="208">
        <f>ROUND((_15_同援日８．５*_15・通訳),0)</f>
        <v>1209</v>
      </c>
      <c r="V199" s="64"/>
    </row>
    <row r="200" spans="1:22" ht="16.5" customHeight="1" x14ac:dyDescent="0.15">
      <c r="A200" s="41">
        <v>15</v>
      </c>
      <c r="B200" s="41" t="s">
        <v>26068</v>
      </c>
      <c r="C200" s="74" t="s">
        <v>26069</v>
      </c>
      <c r="D200" s="72" t="s">
        <v>17994</v>
      </c>
      <c r="F200" s="57"/>
      <c r="G200" s="35"/>
      <c r="J200" s="299" t="s">
        <v>17556</v>
      </c>
      <c r="K200" s="45" t="s">
        <v>398</v>
      </c>
      <c r="L200" s="46">
        <v>1</v>
      </c>
      <c r="M200" s="43"/>
      <c r="N200" s="37"/>
      <c r="O200" s="38"/>
      <c r="P200" s="79"/>
      <c r="Q200" s="35"/>
      <c r="T200" s="57"/>
      <c r="U200" s="208">
        <f>ROUND((ROUND((_15_同援日８．５*_15・通訳),0)*_15・２人),0)</f>
        <v>1209</v>
      </c>
      <c r="V200" s="48"/>
    </row>
    <row r="201" spans="1:22" ht="16.5" customHeight="1" x14ac:dyDescent="0.15">
      <c r="A201" s="41">
        <v>15</v>
      </c>
      <c r="B201" s="41" t="s">
        <v>26070</v>
      </c>
      <c r="C201" s="74" t="s">
        <v>26071</v>
      </c>
      <c r="D201" s="72" t="s">
        <v>17996</v>
      </c>
      <c r="F201" s="57"/>
      <c r="G201" s="35"/>
      <c r="J201" s="163"/>
      <c r="K201" s="45"/>
      <c r="L201" s="46"/>
      <c r="M201" s="114" t="s">
        <v>17562</v>
      </c>
      <c r="N201" s="49"/>
      <c r="O201" s="50"/>
      <c r="P201" s="115"/>
      <c r="Q201" s="35"/>
      <c r="T201" s="57"/>
      <c r="U201" s="208">
        <f>ROUND((ROUND((_15_同援日８．５*_15・通訳),0)*(1+_15・盲ろう)),0)</f>
        <v>1511</v>
      </c>
      <c r="V201" s="48"/>
    </row>
    <row r="202" spans="1:22" ht="16.5" customHeight="1" x14ac:dyDescent="0.15">
      <c r="A202" s="41">
        <v>15</v>
      </c>
      <c r="B202" s="41" t="s">
        <v>26072</v>
      </c>
      <c r="C202" s="74" t="s">
        <v>26073</v>
      </c>
      <c r="D202" s="72"/>
      <c r="E202" s="168">
        <f>_15_同援日８．５</f>
        <v>1343</v>
      </c>
      <c r="F202" s="57" t="s">
        <v>392</v>
      </c>
      <c r="G202" s="35"/>
      <c r="J202" s="299" t="s">
        <v>17556</v>
      </c>
      <c r="K202" s="45" t="s">
        <v>398</v>
      </c>
      <c r="L202" s="46">
        <v>1</v>
      </c>
      <c r="M202" s="269" t="s">
        <v>17564</v>
      </c>
      <c r="N202" s="37" t="s">
        <v>398</v>
      </c>
      <c r="O202" s="38">
        <v>0.25</v>
      </c>
      <c r="P202" s="79" t="s">
        <v>3575</v>
      </c>
      <c r="Q202" s="43"/>
      <c r="R202" s="37"/>
      <c r="S202" s="38"/>
      <c r="T202" s="79"/>
      <c r="U202" s="208">
        <f>ROUND((ROUND((ROUND((_15_同援日８．５*_15・通訳),0)*_15・２人),0)*(1+_15・盲ろう)),0)</f>
        <v>1511</v>
      </c>
      <c r="V202" s="48"/>
    </row>
    <row r="203" spans="1:22" ht="16.5" customHeight="1" x14ac:dyDescent="0.15">
      <c r="A203" s="41">
        <v>15</v>
      </c>
      <c r="B203" s="41" t="s">
        <v>26074</v>
      </c>
      <c r="C203" s="74" t="s">
        <v>26075</v>
      </c>
      <c r="D203" s="72"/>
      <c r="F203" s="57"/>
      <c r="G203" s="35"/>
      <c r="J203" s="163"/>
      <c r="K203" s="45"/>
      <c r="L203" s="46"/>
      <c r="M203" s="53"/>
      <c r="N203" s="49"/>
      <c r="O203" s="50"/>
      <c r="P203" s="115"/>
      <c r="Q203" s="114" t="s">
        <v>17570</v>
      </c>
      <c r="R203" s="49"/>
      <c r="S203" s="50"/>
      <c r="T203" s="115"/>
      <c r="U203" s="208">
        <f>ROUND((ROUND((_15_同援日８．５*_15・通訳),0)*(1+_15・区３)),0)</f>
        <v>1451</v>
      </c>
      <c r="V203" s="48"/>
    </row>
    <row r="204" spans="1:22" ht="16.5" customHeight="1" x14ac:dyDescent="0.15">
      <c r="A204" s="41">
        <v>15</v>
      </c>
      <c r="B204" s="41" t="s">
        <v>26076</v>
      </c>
      <c r="C204" s="74" t="s">
        <v>26077</v>
      </c>
      <c r="D204" s="72"/>
      <c r="F204" s="57"/>
      <c r="G204" s="35"/>
      <c r="J204" s="299" t="s">
        <v>17556</v>
      </c>
      <c r="K204" s="45" t="s">
        <v>398</v>
      </c>
      <c r="L204" s="46">
        <v>1</v>
      </c>
      <c r="M204" s="43"/>
      <c r="N204" s="37"/>
      <c r="O204" s="38"/>
      <c r="P204" s="79"/>
      <c r="Q204" s="92" t="s">
        <v>17572</v>
      </c>
      <c r="T204" s="57"/>
      <c r="U204" s="208">
        <f>ROUND((ROUND((ROUND((_15_同援日８．５*_15・通訳),0)*_15・２人),0)*(1+_15・区３)),0)</f>
        <v>1451</v>
      </c>
      <c r="V204" s="48"/>
    </row>
    <row r="205" spans="1:22" ht="16.5" customHeight="1" x14ac:dyDescent="0.15">
      <c r="A205" s="41">
        <v>15</v>
      </c>
      <c r="B205" s="41" t="s">
        <v>26078</v>
      </c>
      <c r="C205" s="74" t="s">
        <v>26079</v>
      </c>
      <c r="D205" s="72"/>
      <c r="F205" s="57"/>
      <c r="G205" s="35"/>
      <c r="J205" s="163"/>
      <c r="K205" s="45"/>
      <c r="L205" s="46"/>
      <c r="M205" s="114" t="s">
        <v>17562</v>
      </c>
      <c r="N205" s="49"/>
      <c r="O205" s="50"/>
      <c r="P205" s="115"/>
      <c r="Q205" s="35"/>
      <c r="R205" s="12" t="s">
        <v>398</v>
      </c>
      <c r="S205" s="13">
        <v>0.2</v>
      </c>
      <c r="T205" s="57" t="s">
        <v>3575</v>
      </c>
      <c r="U205" s="208">
        <f>ROUND((ROUND((ROUND((_15_同援日８．５*_15・通訳),0)*(1+_15・盲ろう)),0)*(1+_15・区３)),0)</f>
        <v>1813</v>
      </c>
      <c r="V205" s="48"/>
    </row>
    <row r="206" spans="1:22" ht="16.5" customHeight="1" x14ac:dyDescent="0.15">
      <c r="A206" s="41">
        <v>15</v>
      </c>
      <c r="B206" s="41" t="s">
        <v>26080</v>
      </c>
      <c r="C206" s="74" t="s">
        <v>26081</v>
      </c>
      <c r="D206" s="72"/>
      <c r="F206" s="57"/>
      <c r="G206" s="35"/>
      <c r="J206" s="299" t="s">
        <v>17556</v>
      </c>
      <c r="K206" s="45" t="s">
        <v>398</v>
      </c>
      <c r="L206" s="46">
        <v>1</v>
      </c>
      <c r="M206" s="269" t="s">
        <v>17564</v>
      </c>
      <c r="N206" s="37" t="s">
        <v>398</v>
      </c>
      <c r="O206" s="38">
        <v>0.25</v>
      </c>
      <c r="P206" s="79" t="s">
        <v>3575</v>
      </c>
      <c r="Q206" s="43"/>
      <c r="R206" s="37"/>
      <c r="S206" s="38"/>
      <c r="T206" s="79"/>
      <c r="U206" s="208">
        <f>ROUND((ROUND((ROUND((ROUND((_15_同援日８．５*_15・通訳),0)*_15・２人),0)*(1+_15・盲ろう)),0)*(1+_15・区３)),0)</f>
        <v>1813</v>
      </c>
      <c r="V206" s="48"/>
    </row>
    <row r="207" spans="1:22" ht="16.5" customHeight="1" x14ac:dyDescent="0.15">
      <c r="A207" s="41">
        <v>15</v>
      </c>
      <c r="B207" s="41" t="s">
        <v>26082</v>
      </c>
      <c r="C207" s="74" t="s">
        <v>26083</v>
      </c>
      <c r="D207" s="72"/>
      <c r="F207" s="57"/>
      <c r="G207" s="35"/>
      <c r="J207" s="163"/>
      <c r="K207" s="45"/>
      <c r="L207" s="46"/>
      <c r="M207" s="53"/>
      <c r="N207" s="49"/>
      <c r="O207" s="50"/>
      <c r="P207" s="115"/>
      <c r="Q207" s="114" t="s">
        <v>17580</v>
      </c>
      <c r="R207" s="49"/>
      <c r="S207" s="50"/>
      <c r="T207" s="115"/>
      <c r="U207" s="208">
        <f>ROUND((ROUND((_15_同援日８．５*_15・通訳),0)*(1+_15・区４)),0)</f>
        <v>1693</v>
      </c>
      <c r="V207" s="48"/>
    </row>
    <row r="208" spans="1:22" ht="16.5" customHeight="1" x14ac:dyDescent="0.15">
      <c r="A208" s="41">
        <v>15</v>
      </c>
      <c r="B208" s="41" t="s">
        <v>26084</v>
      </c>
      <c r="C208" s="74" t="s">
        <v>26085</v>
      </c>
      <c r="D208" s="72"/>
      <c r="F208" s="57"/>
      <c r="G208" s="35"/>
      <c r="J208" s="299" t="s">
        <v>17556</v>
      </c>
      <c r="K208" s="45" t="s">
        <v>398</v>
      </c>
      <c r="L208" s="46">
        <v>1</v>
      </c>
      <c r="M208" s="43"/>
      <c r="N208" s="37"/>
      <c r="O208" s="38"/>
      <c r="P208" s="79"/>
      <c r="Q208" s="92" t="s">
        <v>17572</v>
      </c>
      <c r="T208" s="57"/>
      <c r="U208" s="208">
        <f>ROUND((ROUND((ROUND((_15_同援日８．５*_15・通訳),0)*_15・２人),0)*(1+_15・区４)),0)</f>
        <v>1693</v>
      </c>
      <c r="V208" s="48"/>
    </row>
    <row r="209" spans="1:22" ht="16.5" customHeight="1" x14ac:dyDescent="0.15">
      <c r="A209" s="41">
        <v>15</v>
      </c>
      <c r="B209" s="41" t="s">
        <v>26086</v>
      </c>
      <c r="C209" s="74" t="s">
        <v>26087</v>
      </c>
      <c r="D209" s="72"/>
      <c r="F209" s="57"/>
      <c r="G209" s="35"/>
      <c r="J209" s="163"/>
      <c r="K209" s="45"/>
      <c r="L209" s="46"/>
      <c r="M209" s="114" t="s">
        <v>17562</v>
      </c>
      <c r="N209" s="49"/>
      <c r="O209" s="50"/>
      <c r="P209" s="115"/>
      <c r="Q209" s="35"/>
      <c r="R209" s="12" t="s">
        <v>398</v>
      </c>
      <c r="S209" s="13">
        <v>0.4</v>
      </c>
      <c r="T209" s="57" t="s">
        <v>3575</v>
      </c>
      <c r="U209" s="208">
        <f>ROUND((ROUND((ROUND((_15_同援日８．５*_15・通訳),0)*(1+_15・盲ろう)),0)*(1+_15・区４)),0)</f>
        <v>2115</v>
      </c>
      <c r="V209" s="48"/>
    </row>
    <row r="210" spans="1:22" ht="16.5" customHeight="1" x14ac:dyDescent="0.15">
      <c r="A210" s="41">
        <v>15</v>
      </c>
      <c r="B210" s="41" t="s">
        <v>26088</v>
      </c>
      <c r="C210" s="74" t="s">
        <v>26089</v>
      </c>
      <c r="D210" s="122"/>
      <c r="E210" s="37"/>
      <c r="F210" s="79"/>
      <c r="G210" s="35"/>
      <c r="J210" s="299" t="s">
        <v>17556</v>
      </c>
      <c r="K210" s="45" t="s">
        <v>398</v>
      </c>
      <c r="L210" s="46">
        <v>1</v>
      </c>
      <c r="M210" s="269" t="s">
        <v>17564</v>
      </c>
      <c r="N210" s="37" t="s">
        <v>398</v>
      </c>
      <c r="O210" s="38">
        <v>0.25</v>
      </c>
      <c r="P210" s="79" t="s">
        <v>3575</v>
      </c>
      <c r="Q210" s="43"/>
      <c r="R210" s="37"/>
      <c r="S210" s="38"/>
      <c r="T210" s="79"/>
      <c r="U210" s="208">
        <f>ROUND((ROUND((ROUND((ROUND((_15_同援日８．５*_15・通訳),0)*_15・２人),0)*(1+_15・盲ろう)),0)*(1+_15・区４)),0)</f>
        <v>2115</v>
      </c>
      <c r="V210" s="48"/>
    </row>
    <row r="211" spans="1:22" ht="16.5" customHeight="1" x14ac:dyDescent="0.15">
      <c r="A211" s="41">
        <v>15</v>
      </c>
      <c r="B211" s="41" t="s">
        <v>26090</v>
      </c>
      <c r="C211" s="74" t="s">
        <v>26091</v>
      </c>
      <c r="D211" s="114" t="s">
        <v>18019</v>
      </c>
      <c r="E211" s="49"/>
      <c r="F211" s="115"/>
      <c r="G211" s="35"/>
      <c r="J211" s="163"/>
      <c r="K211" s="45"/>
      <c r="L211" s="46"/>
      <c r="M211" s="53"/>
      <c r="N211" s="49"/>
      <c r="O211" s="50"/>
      <c r="P211" s="115"/>
      <c r="Q211" s="53"/>
      <c r="R211" s="49"/>
      <c r="S211" s="50"/>
      <c r="T211" s="115"/>
      <c r="U211" s="208">
        <f>ROUND((_15_同援日９．０*_15・通訳),0)</f>
        <v>1267</v>
      </c>
      <c r="V211" s="48"/>
    </row>
    <row r="212" spans="1:22" ht="16.5" customHeight="1" x14ac:dyDescent="0.15">
      <c r="A212" s="41">
        <v>15</v>
      </c>
      <c r="B212" s="41" t="s">
        <v>26092</v>
      </c>
      <c r="C212" s="74" t="s">
        <v>26093</v>
      </c>
      <c r="D212" s="72" t="s">
        <v>18021</v>
      </c>
      <c r="F212" s="57"/>
      <c r="G212" s="35"/>
      <c r="J212" s="299" t="s">
        <v>17556</v>
      </c>
      <c r="K212" s="45" t="s">
        <v>398</v>
      </c>
      <c r="L212" s="46">
        <v>1</v>
      </c>
      <c r="M212" s="43"/>
      <c r="N212" s="37"/>
      <c r="O212" s="38"/>
      <c r="P212" s="79"/>
      <c r="Q212" s="35"/>
      <c r="T212" s="57"/>
      <c r="U212" s="208">
        <f>ROUND((ROUND((_15_同援日９．０*_15・通訳),0)*_15・２人),0)</f>
        <v>1267</v>
      </c>
      <c r="V212" s="48"/>
    </row>
    <row r="213" spans="1:22" ht="16.5" customHeight="1" x14ac:dyDescent="0.15">
      <c r="A213" s="41">
        <v>15</v>
      </c>
      <c r="B213" s="41" t="s">
        <v>2589</v>
      </c>
      <c r="C213" s="74" t="s">
        <v>26094</v>
      </c>
      <c r="D213" s="72" t="s">
        <v>18023</v>
      </c>
      <c r="F213" s="57"/>
      <c r="G213" s="35"/>
      <c r="J213" s="163"/>
      <c r="K213" s="45"/>
      <c r="L213" s="46"/>
      <c r="M213" s="114" t="s">
        <v>17562</v>
      </c>
      <c r="N213" s="49"/>
      <c r="O213" s="50"/>
      <c r="P213" s="115"/>
      <c r="Q213" s="35"/>
      <c r="T213" s="57"/>
      <c r="U213" s="208">
        <f>ROUND((ROUND((_15_同援日９．０*_15・通訳),0)*(1+_15・盲ろう)),0)</f>
        <v>1584</v>
      </c>
      <c r="V213" s="48"/>
    </row>
    <row r="214" spans="1:22" ht="16.5" customHeight="1" x14ac:dyDescent="0.15">
      <c r="A214" s="41">
        <v>15</v>
      </c>
      <c r="B214" s="41" t="s">
        <v>2591</v>
      </c>
      <c r="C214" s="74" t="s">
        <v>26095</v>
      </c>
      <c r="D214" s="72"/>
      <c r="E214" s="168">
        <f>_15_同援日９．０</f>
        <v>1408</v>
      </c>
      <c r="F214" s="57" t="s">
        <v>392</v>
      </c>
      <c r="G214" s="35"/>
      <c r="J214" s="299" t="s">
        <v>17556</v>
      </c>
      <c r="K214" s="45" t="s">
        <v>398</v>
      </c>
      <c r="L214" s="46">
        <v>1</v>
      </c>
      <c r="M214" s="269" t="s">
        <v>17564</v>
      </c>
      <c r="N214" s="37" t="s">
        <v>398</v>
      </c>
      <c r="O214" s="38">
        <v>0.25</v>
      </c>
      <c r="P214" s="79" t="s">
        <v>3575</v>
      </c>
      <c r="Q214" s="43"/>
      <c r="R214" s="37"/>
      <c r="S214" s="38"/>
      <c r="T214" s="79"/>
      <c r="U214" s="208">
        <f>ROUND((ROUND((ROUND((_15_同援日９．０*_15・通訳),0)*_15・２人),0)*(1+_15・盲ろう)),0)</f>
        <v>1584</v>
      </c>
      <c r="V214" s="48"/>
    </row>
    <row r="215" spans="1:22" ht="16.5" customHeight="1" x14ac:dyDescent="0.15">
      <c r="A215" s="41">
        <v>15</v>
      </c>
      <c r="B215" s="41" t="s">
        <v>2593</v>
      </c>
      <c r="C215" s="74" t="s">
        <v>26096</v>
      </c>
      <c r="D215" s="72"/>
      <c r="F215" s="57"/>
      <c r="G215" s="35"/>
      <c r="J215" s="163"/>
      <c r="K215" s="45"/>
      <c r="L215" s="46"/>
      <c r="M215" s="53"/>
      <c r="N215" s="49"/>
      <c r="O215" s="50"/>
      <c r="P215" s="115"/>
      <c r="Q215" s="114" t="s">
        <v>17570</v>
      </c>
      <c r="R215" s="49"/>
      <c r="S215" s="50"/>
      <c r="T215" s="115"/>
      <c r="U215" s="208">
        <f>ROUND((ROUND((_15_同援日９．０*_15・通訳),0)*(1+_15・区３)),0)</f>
        <v>1520</v>
      </c>
      <c r="V215" s="48"/>
    </row>
    <row r="216" spans="1:22" ht="16.5" customHeight="1" x14ac:dyDescent="0.15">
      <c r="A216" s="41">
        <v>15</v>
      </c>
      <c r="B216" s="41" t="s">
        <v>2595</v>
      </c>
      <c r="C216" s="74" t="s">
        <v>26097</v>
      </c>
      <c r="D216" s="72"/>
      <c r="F216" s="57"/>
      <c r="G216" s="35"/>
      <c r="J216" s="299" t="s">
        <v>17556</v>
      </c>
      <c r="K216" s="45" t="s">
        <v>398</v>
      </c>
      <c r="L216" s="46">
        <v>1</v>
      </c>
      <c r="M216" s="43"/>
      <c r="N216" s="37"/>
      <c r="O216" s="38"/>
      <c r="P216" s="79"/>
      <c r="Q216" s="92" t="s">
        <v>17572</v>
      </c>
      <c r="T216" s="57"/>
      <c r="U216" s="208">
        <f>ROUND((ROUND((ROUND((_15_同援日９．０*_15・通訳),0)*_15・２人),0)*(1+_15・区３)),0)</f>
        <v>1520</v>
      </c>
      <c r="V216" s="48"/>
    </row>
    <row r="217" spans="1:22" ht="16.5" customHeight="1" x14ac:dyDescent="0.15">
      <c r="A217" s="41">
        <v>15</v>
      </c>
      <c r="B217" s="41" t="s">
        <v>26098</v>
      </c>
      <c r="C217" s="74" t="s">
        <v>26099</v>
      </c>
      <c r="D217" s="72"/>
      <c r="F217" s="57"/>
      <c r="G217" s="35"/>
      <c r="J217" s="163"/>
      <c r="K217" s="45"/>
      <c r="L217" s="46"/>
      <c r="M217" s="114" t="s">
        <v>17562</v>
      </c>
      <c r="N217" s="49"/>
      <c r="O217" s="50"/>
      <c r="P217" s="115"/>
      <c r="Q217" s="35"/>
      <c r="R217" s="12" t="s">
        <v>398</v>
      </c>
      <c r="S217" s="13">
        <v>0.2</v>
      </c>
      <c r="T217" s="57" t="s">
        <v>3575</v>
      </c>
      <c r="U217" s="208">
        <f>ROUND((ROUND((ROUND((_15_同援日９．０*_15・通訳),0)*(1+_15・盲ろう)),0)*(1+_15・区３)),0)</f>
        <v>1901</v>
      </c>
      <c r="V217" s="48"/>
    </row>
    <row r="218" spans="1:22" ht="16.5" customHeight="1" x14ac:dyDescent="0.15">
      <c r="A218" s="41">
        <v>15</v>
      </c>
      <c r="B218" s="41" t="s">
        <v>26100</v>
      </c>
      <c r="C218" s="74" t="s">
        <v>26101</v>
      </c>
      <c r="D218" s="72"/>
      <c r="F218" s="57"/>
      <c r="G218" s="35"/>
      <c r="J218" s="299" t="s">
        <v>17556</v>
      </c>
      <c r="K218" s="45" t="s">
        <v>398</v>
      </c>
      <c r="L218" s="46">
        <v>1</v>
      </c>
      <c r="M218" s="269" t="s">
        <v>17564</v>
      </c>
      <c r="N218" s="37" t="s">
        <v>398</v>
      </c>
      <c r="O218" s="38">
        <v>0.25</v>
      </c>
      <c r="P218" s="79" t="s">
        <v>3575</v>
      </c>
      <c r="Q218" s="43"/>
      <c r="R218" s="37"/>
      <c r="S218" s="38"/>
      <c r="T218" s="79"/>
      <c r="U218" s="208">
        <f>ROUND((ROUND((ROUND((ROUND((_15_同援日９．０*_15・通訳),0)*_15・２人),0)*(1+_15・盲ろう)),0)*(1+_15・区３)),0)</f>
        <v>1901</v>
      </c>
      <c r="V218" s="48"/>
    </row>
    <row r="219" spans="1:22" ht="16.5" customHeight="1" x14ac:dyDescent="0.15">
      <c r="A219" s="41">
        <v>15</v>
      </c>
      <c r="B219" s="41" t="s">
        <v>26102</v>
      </c>
      <c r="C219" s="74" t="s">
        <v>26103</v>
      </c>
      <c r="D219" s="72"/>
      <c r="F219" s="57"/>
      <c r="G219" s="35"/>
      <c r="J219" s="163"/>
      <c r="K219" s="45"/>
      <c r="L219" s="46"/>
      <c r="M219" s="53"/>
      <c r="N219" s="49"/>
      <c r="O219" s="50"/>
      <c r="P219" s="115"/>
      <c r="Q219" s="114" t="s">
        <v>17580</v>
      </c>
      <c r="R219" s="49"/>
      <c r="S219" s="50"/>
      <c r="T219" s="115"/>
      <c r="U219" s="208">
        <f>ROUND((ROUND((_15_同援日９．０*_15・通訳),0)*(1+_15・区４)),0)</f>
        <v>1774</v>
      </c>
      <c r="V219" s="48"/>
    </row>
    <row r="220" spans="1:22" ht="16.5" customHeight="1" x14ac:dyDescent="0.15">
      <c r="A220" s="41">
        <v>15</v>
      </c>
      <c r="B220" s="41" t="s">
        <v>26104</v>
      </c>
      <c r="C220" s="74" t="s">
        <v>26105</v>
      </c>
      <c r="D220" s="72"/>
      <c r="F220" s="57"/>
      <c r="G220" s="35"/>
      <c r="J220" s="299" t="s">
        <v>17556</v>
      </c>
      <c r="K220" s="45" t="s">
        <v>398</v>
      </c>
      <c r="L220" s="46">
        <v>1</v>
      </c>
      <c r="M220" s="43"/>
      <c r="N220" s="37"/>
      <c r="O220" s="38"/>
      <c r="P220" s="79"/>
      <c r="Q220" s="92" t="s">
        <v>17572</v>
      </c>
      <c r="T220" s="57"/>
      <c r="U220" s="208">
        <f>ROUND((ROUND((ROUND((_15_同援日９．０*_15・通訳),0)*_15・２人),0)*(1+_15・区４)),0)</f>
        <v>1774</v>
      </c>
      <c r="V220" s="48"/>
    </row>
    <row r="221" spans="1:22" ht="16.5" customHeight="1" x14ac:dyDescent="0.15">
      <c r="A221" s="41">
        <v>15</v>
      </c>
      <c r="B221" s="41" t="s">
        <v>26106</v>
      </c>
      <c r="C221" s="74" t="s">
        <v>26107</v>
      </c>
      <c r="D221" s="72"/>
      <c r="F221" s="57"/>
      <c r="G221" s="35"/>
      <c r="J221" s="163"/>
      <c r="K221" s="45"/>
      <c r="L221" s="46"/>
      <c r="M221" s="114" t="s">
        <v>17562</v>
      </c>
      <c r="N221" s="49"/>
      <c r="O221" s="50"/>
      <c r="P221" s="115"/>
      <c r="Q221" s="35"/>
      <c r="R221" s="12" t="s">
        <v>398</v>
      </c>
      <c r="S221" s="13">
        <v>0.4</v>
      </c>
      <c r="T221" s="57" t="s">
        <v>3575</v>
      </c>
      <c r="U221" s="208">
        <f>ROUND((ROUND((ROUND((_15_同援日９．０*_15・通訳),0)*(1+_15・盲ろう)),0)*(1+_15・区４)),0)</f>
        <v>2218</v>
      </c>
      <c r="V221" s="48"/>
    </row>
    <row r="222" spans="1:22" ht="16.5" customHeight="1" x14ac:dyDescent="0.15">
      <c r="A222" s="41">
        <v>15</v>
      </c>
      <c r="B222" s="41" t="s">
        <v>26108</v>
      </c>
      <c r="C222" s="74" t="s">
        <v>26109</v>
      </c>
      <c r="D222" s="122"/>
      <c r="E222" s="37"/>
      <c r="F222" s="79"/>
      <c r="G222" s="35"/>
      <c r="J222" s="299" t="s">
        <v>17556</v>
      </c>
      <c r="K222" s="45" t="s">
        <v>398</v>
      </c>
      <c r="L222" s="46">
        <v>1</v>
      </c>
      <c r="M222" s="269" t="s">
        <v>17564</v>
      </c>
      <c r="N222" s="37" t="s">
        <v>398</v>
      </c>
      <c r="O222" s="38">
        <v>0.25</v>
      </c>
      <c r="P222" s="79" t="s">
        <v>3575</v>
      </c>
      <c r="Q222" s="43"/>
      <c r="R222" s="37"/>
      <c r="S222" s="38"/>
      <c r="T222" s="79"/>
      <c r="U222" s="208">
        <f>ROUND((ROUND((ROUND((ROUND((_15_同援日９．０*_15・通訳),0)*_15・２人),0)*(1+_15・盲ろう)),0)*(1+_15・区４)),0)</f>
        <v>2218</v>
      </c>
      <c r="V222" s="48"/>
    </row>
    <row r="223" spans="1:22" ht="16.5" customHeight="1" x14ac:dyDescent="0.15">
      <c r="A223" s="41">
        <v>15</v>
      </c>
      <c r="B223" s="41" t="s">
        <v>26110</v>
      </c>
      <c r="C223" s="74" t="s">
        <v>26111</v>
      </c>
      <c r="D223" s="114" t="s">
        <v>18046</v>
      </c>
      <c r="E223" s="49"/>
      <c r="F223" s="115"/>
      <c r="G223" s="35"/>
      <c r="J223" s="163"/>
      <c r="K223" s="45"/>
      <c r="L223" s="46"/>
      <c r="M223" s="53"/>
      <c r="N223" s="49"/>
      <c r="O223" s="50"/>
      <c r="P223" s="115"/>
      <c r="Q223" s="53"/>
      <c r="R223" s="49"/>
      <c r="S223" s="50"/>
      <c r="T223" s="115"/>
      <c r="U223" s="208">
        <f>ROUND((_15_同援日９．５*_15・通訳),0)</f>
        <v>1326</v>
      </c>
      <c r="V223" s="48"/>
    </row>
    <row r="224" spans="1:22" ht="16.5" customHeight="1" x14ac:dyDescent="0.15">
      <c r="A224" s="41">
        <v>15</v>
      </c>
      <c r="B224" s="41" t="s">
        <v>26112</v>
      </c>
      <c r="C224" s="74" t="s">
        <v>26113</v>
      </c>
      <c r="D224" s="72" t="s">
        <v>18048</v>
      </c>
      <c r="F224" s="57"/>
      <c r="G224" s="35"/>
      <c r="J224" s="299" t="s">
        <v>17556</v>
      </c>
      <c r="K224" s="45" t="s">
        <v>398</v>
      </c>
      <c r="L224" s="46">
        <v>1</v>
      </c>
      <c r="M224" s="43"/>
      <c r="N224" s="37"/>
      <c r="O224" s="38"/>
      <c r="P224" s="79"/>
      <c r="Q224" s="35"/>
      <c r="T224" s="57"/>
      <c r="U224" s="208">
        <f>ROUND((ROUND((_15_同援日９．５*_15・通訳),0)*_15・２人),0)</f>
        <v>1326</v>
      </c>
      <c r="V224" s="48"/>
    </row>
    <row r="225" spans="1:22" ht="16.5" customHeight="1" x14ac:dyDescent="0.15">
      <c r="A225" s="41">
        <v>15</v>
      </c>
      <c r="B225" s="41" t="s">
        <v>26114</v>
      </c>
      <c r="C225" s="74" t="s">
        <v>26115</v>
      </c>
      <c r="D225" s="72" t="s">
        <v>18050</v>
      </c>
      <c r="F225" s="57"/>
      <c r="G225" s="35"/>
      <c r="J225" s="163"/>
      <c r="K225" s="45"/>
      <c r="L225" s="46"/>
      <c r="M225" s="114" t="s">
        <v>17562</v>
      </c>
      <c r="N225" s="49"/>
      <c r="O225" s="50"/>
      <c r="P225" s="115"/>
      <c r="Q225" s="35"/>
      <c r="T225" s="57"/>
      <c r="U225" s="208">
        <f>ROUND((ROUND((_15_同援日９．５*_15・通訳),0)*(1+_15・盲ろう)),0)</f>
        <v>1658</v>
      </c>
      <c r="V225" s="48"/>
    </row>
    <row r="226" spans="1:22" ht="16.5" customHeight="1" x14ac:dyDescent="0.15">
      <c r="A226" s="41">
        <v>15</v>
      </c>
      <c r="B226" s="41" t="s">
        <v>26116</v>
      </c>
      <c r="C226" s="74" t="s">
        <v>26117</v>
      </c>
      <c r="D226" s="72"/>
      <c r="E226" s="168">
        <f>_15_同援日９．５</f>
        <v>1473</v>
      </c>
      <c r="F226" s="57" t="s">
        <v>392</v>
      </c>
      <c r="G226" s="35"/>
      <c r="J226" s="299" t="s">
        <v>17556</v>
      </c>
      <c r="K226" s="45" t="s">
        <v>398</v>
      </c>
      <c r="L226" s="46">
        <v>1</v>
      </c>
      <c r="M226" s="269" t="s">
        <v>17564</v>
      </c>
      <c r="N226" s="37" t="s">
        <v>398</v>
      </c>
      <c r="O226" s="38">
        <v>0.25</v>
      </c>
      <c r="P226" s="79" t="s">
        <v>3575</v>
      </c>
      <c r="Q226" s="43"/>
      <c r="R226" s="37"/>
      <c r="S226" s="38"/>
      <c r="T226" s="79"/>
      <c r="U226" s="208">
        <f>ROUND((ROUND((ROUND((_15_同援日９．５*_15・通訳),0)*_15・２人),0)*(1+_15・盲ろう)),0)</f>
        <v>1658</v>
      </c>
      <c r="V226" s="48"/>
    </row>
    <row r="227" spans="1:22" ht="16.5" customHeight="1" x14ac:dyDescent="0.15">
      <c r="A227" s="41">
        <v>15</v>
      </c>
      <c r="B227" s="41" t="s">
        <v>26118</v>
      </c>
      <c r="C227" s="74" t="s">
        <v>26119</v>
      </c>
      <c r="D227" s="72"/>
      <c r="F227" s="57"/>
      <c r="G227" s="35"/>
      <c r="J227" s="163"/>
      <c r="K227" s="45"/>
      <c r="L227" s="46"/>
      <c r="M227" s="53"/>
      <c r="N227" s="49"/>
      <c r="O227" s="50"/>
      <c r="P227" s="115"/>
      <c r="Q227" s="114" t="s">
        <v>17570</v>
      </c>
      <c r="R227" s="49"/>
      <c r="S227" s="50"/>
      <c r="T227" s="115"/>
      <c r="U227" s="208">
        <f>ROUND((ROUND((_15_同援日９．５*_15・通訳),0)*(1+_15・区３)),0)</f>
        <v>1591</v>
      </c>
      <c r="V227" s="48"/>
    </row>
    <row r="228" spans="1:22" ht="16.5" customHeight="1" x14ac:dyDescent="0.15">
      <c r="A228" s="41">
        <v>15</v>
      </c>
      <c r="B228" s="41" t="s">
        <v>26120</v>
      </c>
      <c r="C228" s="74" t="s">
        <v>26121</v>
      </c>
      <c r="D228" s="72"/>
      <c r="F228" s="57"/>
      <c r="G228" s="35"/>
      <c r="J228" s="299" t="s">
        <v>17556</v>
      </c>
      <c r="K228" s="45" t="s">
        <v>398</v>
      </c>
      <c r="L228" s="46">
        <v>1</v>
      </c>
      <c r="M228" s="43"/>
      <c r="N228" s="37"/>
      <c r="O228" s="38"/>
      <c r="P228" s="79"/>
      <c r="Q228" s="92" t="s">
        <v>17572</v>
      </c>
      <c r="T228" s="57"/>
      <c r="U228" s="208">
        <f>ROUND((ROUND((ROUND((_15_同援日９．５*_15・通訳),0)*_15・２人),0)*(1+_15・区３)),0)</f>
        <v>1591</v>
      </c>
      <c r="V228" s="48"/>
    </row>
    <row r="229" spans="1:22" ht="16.5" customHeight="1" x14ac:dyDescent="0.15">
      <c r="A229" s="41">
        <v>15</v>
      </c>
      <c r="B229" s="41" t="s">
        <v>26122</v>
      </c>
      <c r="C229" s="74" t="s">
        <v>26123</v>
      </c>
      <c r="D229" s="72"/>
      <c r="F229" s="57"/>
      <c r="G229" s="35"/>
      <c r="J229" s="163"/>
      <c r="K229" s="45"/>
      <c r="L229" s="46"/>
      <c r="M229" s="114" t="s">
        <v>17562</v>
      </c>
      <c r="N229" s="49"/>
      <c r="O229" s="50"/>
      <c r="P229" s="115"/>
      <c r="Q229" s="35"/>
      <c r="R229" s="12" t="s">
        <v>398</v>
      </c>
      <c r="S229" s="13">
        <v>0.2</v>
      </c>
      <c r="T229" s="57" t="s">
        <v>3575</v>
      </c>
      <c r="U229" s="208">
        <f>ROUND((ROUND((ROUND((_15_同援日９．５*_15・通訳),0)*(1+_15・盲ろう)),0)*(1+_15・区３)),0)</f>
        <v>1990</v>
      </c>
      <c r="V229" s="48"/>
    </row>
    <row r="230" spans="1:22" ht="16.5" customHeight="1" x14ac:dyDescent="0.15">
      <c r="A230" s="41">
        <v>15</v>
      </c>
      <c r="B230" s="41" t="s">
        <v>26124</v>
      </c>
      <c r="C230" s="74" t="s">
        <v>26125</v>
      </c>
      <c r="D230" s="72"/>
      <c r="F230" s="57"/>
      <c r="G230" s="35"/>
      <c r="J230" s="299" t="s">
        <v>17556</v>
      </c>
      <c r="K230" s="45" t="s">
        <v>398</v>
      </c>
      <c r="L230" s="46">
        <v>1</v>
      </c>
      <c r="M230" s="269" t="s">
        <v>17564</v>
      </c>
      <c r="N230" s="37" t="s">
        <v>398</v>
      </c>
      <c r="O230" s="38">
        <v>0.25</v>
      </c>
      <c r="P230" s="79" t="s">
        <v>3575</v>
      </c>
      <c r="Q230" s="43"/>
      <c r="R230" s="37"/>
      <c r="S230" s="38"/>
      <c r="T230" s="79"/>
      <c r="U230" s="208">
        <f>ROUND((ROUND((ROUND((ROUND((_15_同援日９．５*_15・通訳),0)*_15・２人),0)*(1+_15・盲ろう)),0)*(1+_15・区３)),0)</f>
        <v>1990</v>
      </c>
      <c r="V230" s="48"/>
    </row>
    <row r="231" spans="1:22" ht="16.5" customHeight="1" x14ac:dyDescent="0.15">
      <c r="A231" s="41">
        <v>15</v>
      </c>
      <c r="B231" s="41" t="s">
        <v>26126</v>
      </c>
      <c r="C231" s="74" t="s">
        <v>26127</v>
      </c>
      <c r="D231" s="72"/>
      <c r="F231" s="57"/>
      <c r="G231" s="35"/>
      <c r="J231" s="163"/>
      <c r="K231" s="45"/>
      <c r="L231" s="46"/>
      <c r="M231" s="53"/>
      <c r="N231" s="49"/>
      <c r="O231" s="50"/>
      <c r="P231" s="115"/>
      <c r="Q231" s="114" t="s">
        <v>17580</v>
      </c>
      <c r="R231" s="49"/>
      <c r="S231" s="50"/>
      <c r="T231" s="115"/>
      <c r="U231" s="208">
        <f>ROUND((ROUND((_15_同援日９．５*_15・通訳),0)*(1+_15・区４)),0)</f>
        <v>1856</v>
      </c>
      <c r="V231" s="48"/>
    </row>
    <row r="232" spans="1:22" ht="16.5" customHeight="1" x14ac:dyDescent="0.15">
      <c r="A232" s="41">
        <v>15</v>
      </c>
      <c r="B232" s="41" t="s">
        <v>26128</v>
      </c>
      <c r="C232" s="74" t="s">
        <v>26129</v>
      </c>
      <c r="D232" s="72"/>
      <c r="F232" s="57"/>
      <c r="G232" s="35"/>
      <c r="J232" s="299" t="s">
        <v>17556</v>
      </c>
      <c r="K232" s="45" t="s">
        <v>398</v>
      </c>
      <c r="L232" s="46">
        <v>1</v>
      </c>
      <c r="M232" s="43"/>
      <c r="N232" s="37"/>
      <c r="O232" s="38"/>
      <c r="P232" s="79"/>
      <c r="Q232" s="92" t="s">
        <v>17572</v>
      </c>
      <c r="T232" s="57"/>
      <c r="U232" s="208">
        <f>ROUND((ROUND((ROUND((_15_同援日９．５*_15・通訳),0)*_15・２人),0)*(1+_15・区４)),0)</f>
        <v>1856</v>
      </c>
      <c r="V232" s="48"/>
    </row>
    <row r="233" spans="1:22" ht="16.5" customHeight="1" x14ac:dyDescent="0.15">
      <c r="A233" s="41">
        <v>15</v>
      </c>
      <c r="B233" s="41" t="s">
        <v>2601</v>
      </c>
      <c r="C233" s="74" t="s">
        <v>26130</v>
      </c>
      <c r="D233" s="72"/>
      <c r="F233" s="57"/>
      <c r="G233" s="35"/>
      <c r="J233" s="163"/>
      <c r="K233" s="45"/>
      <c r="L233" s="46"/>
      <c r="M233" s="114" t="s">
        <v>17562</v>
      </c>
      <c r="N233" s="49"/>
      <c r="O233" s="50"/>
      <c r="P233" s="115"/>
      <c r="Q233" s="35"/>
      <c r="R233" s="12" t="s">
        <v>398</v>
      </c>
      <c r="S233" s="13">
        <v>0.4</v>
      </c>
      <c r="T233" s="57" t="s">
        <v>3575</v>
      </c>
      <c r="U233" s="208">
        <f>ROUND((ROUND((ROUND((_15_同援日９．５*_15・通訳),0)*(1+_15・盲ろう)),0)*(1+_15・区４)),0)</f>
        <v>2321</v>
      </c>
      <c r="V233" s="48"/>
    </row>
    <row r="234" spans="1:22" ht="16.5" customHeight="1" x14ac:dyDescent="0.15">
      <c r="A234" s="41">
        <v>15</v>
      </c>
      <c r="B234" s="41" t="s">
        <v>2603</v>
      </c>
      <c r="C234" s="74" t="s">
        <v>26131</v>
      </c>
      <c r="D234" s="122"/>
      <c r="E234" s="37"/>
      <c r="F234" s="79"/>
      <c r="G234" s="35"/>
      <c r="J234" s="299" t="s">
        <v>17556</v>
      </c>
      <c r="K234" s="45" t="s">
        <v>398</v>
      </c>
      <c r="L234" s="46">
        <v>1</v>
      </c>
      <c r="M234" s="269" t="s">
        <v>17564</v>
      </c>
      <c r="N234" s="37" t="s">
        <v>398</v>
      </c>
      <c r="O234" s="38">
        <v>0.25</v>
      </c>
      <c r="P234" s="79" t="s">
        <v>3575</v>
      </c>
      <c r="Q234" s="43"/>
      <c r="R234" s="37"/>
      <c r="S234" s="38"/>
      <c r="T234" s="79"/>
      <c r="U234" s="208">
        <f>ROUND((ROUND((ROUND((ROUND((_15_同援日９．５*_15・通訳),0)*_15・２人),0)*(1+_15・盲ろう)),0)*(1+_15・区４)),0)</f>
        <v>2321</v>
      </c>
      <c r="V234" s="48"/>
    </row>
    <row r="235" spans="1:22" ht="16.5" customHeight="1" x14ac:dyDescent="0.15">
      <c r="A235" s="41">
        <v>15</v>
      </c>
      <c r="B235" s="41" t="s">
        <v>2605</v>
      </c>
      <c r="C235" s="74" t="s">
        <v>26132</v>
      </c>
      <c r="D235" s="114" t="s">
        <v>18073</v>
      </c>
      <c r="E235" s="49"/>
      <c r="F235" s="115"/>
      <c r="G235" s="35"/>
      <c r="J235" s="163"/>
      <c r="K235" s="45"/>
      <c r="L235" s="46"/>
      <c r="M235" s="53"/>
      <c r="N235" s="49"/>
      <c r="O235" s="50"/>
      <c r="P235" s="115"/>
      <c r="Q235" s="53"/>
      <c r="R235" s="49"/>
      <c r="S235" s="50"/>
      <c r="T235" s="115"/>
      <c r="U235" s="208">
        <f>ROUND((_15_同援日１０．０*_15・通訳),0)</f>
        <v>1384</v>
      </c>
      <c r="V235" s="48"/>
    </row>
    <row r="236" spans="1:22" ht="16.5" customHeight="1" x14ac:dyDescent="0.15">
      <c r="A236" s="41">
        <v>15</v>
      </c>
      <c r="B236" s="41" t="s">
        <v>2607</v>
      </c>
      <c r="C236" s="74" t="s">
        <v>26133</v>
      </c>
      <c r="D236" s="72" t="s">
        <v>18075</v>
      </c>
      <c r="F236" s="57"/>
      <c r="G236" s="35"/>
      <c r="J236" s="299" t="s">
        <v>17556</v>
      </c>
      <c r="K236" s="45" t="s">
        <v>398</v>
      </c>
      <c r="L236" s="46">
        <v>1</v>
      </c>
      <c r="M236" s="43"/>
      <c r="N236" s="37"/>
      <c r="O236" s="38"/>
      <c r="P236" s="79"/>
      <c r="Q236" s="35"/>
      <c r="T236" s="57"/>
      <c r="U236" s="208">
        <f>ROUND((ROUND((_15_同援日１０．０*_15・通訳),0)*_15・２人),0)</f>
        <v>1384</v>
      </c>
      <c r="V236" s="48"/>
    </row>
    <row r="237" spans="1:22" ht="16.5" customHeight="1" x14ac:dyDescent="0.15">
      <c r="A237" s="41">
        <v>15</v>
      </c>
      <c r="B237" s="41" t="s">
        <v>26134</v>
      </c>
      <c r="C237" s="74" t="s">
        <v>26135</v>
      </c>
      <c r="D237" s="72" t="s">
        <v>18077</v>
      </c>
      <c r="F237" s="57"/>
      <c r="G237" s="35"/>
      <c r="J237" s="163"/>
      <c r="K237" s="45"/>
      <c r="L237" s="46"/>
      <c r="M237" s="114" t="s">
        <v>17562</v>
      </c>
      <c r="N237" s="49"/>
      <c r="O237" s="50"/>
      <c r="P237" s="115"/>
      <c r="Q237" s="35"/>
      <c r="T237" s="57"/>
      <c r="U237" s="208">
        <f>ROUND((ROUND((_15_同援日１０．０*_15・通訳),0)*(1+_15・盲ろう)),0)</f>
        <v>1730</v>
      </c>
      <c r="V237" s="48"/>
    </row>
    <row r="238" spans="1:22" ht="16.5" customHeight="1" x14ac:dyDescent="0.15">
      <c r="A238" s="41">
        <v>15</v>
      </c>
      <c r="B238" s="41" t="s">
        <v>26136</v>
      </c>
      <c r="C238" s="74" t="s">
        <v>26137</v>
      </c>
      <c r="D238" s="72"/>
      <c r="E238" s="168">
        <f>_15_同援日１０．０</f>
        <v>1538</v>
      </c>
      <c r="F238" s="57" t="s">
        <v>392</v>
      </c>
      <c r="G238" s="35"/>
      <c r="J238" s="299" t="s">
        <v>17556</v>
      </c>
      <c r="K238" s="45" t="s">
        <v>398</v>
      </c>
      <c r="L238" s="46">
        <v>1</v>
      </c>
      <c r="M238" s="269" t="s">
        <v>17564</v>
      </c>
      <c r="N238" s="37" t="s">
        <v>398</v>
      </c>
      <c r="O238" s="38">
        <v>0.25</v>
      </c>
      <c r="P238" s="79" t="s">
        <v>3575</v>
      </c>
      <c r="Q238" s="43"/>
      <c r="R238" s="37"/>
      <c r="S238" s="38"/>
      <c r="T238" s="79"/>
      <c r="U238" s="208">
        <f>ROUND((ROUND((ROUND((_15_同援日１０．０*_15・通訳),0)*_15・２人),0)*(1+_15・盲ろう)),0)</f>
        <v>1730</v>
      </c>
      <c r="V238" s="48"/>
    </row>
    <row r="239" spans="1:22" ht="16.5" customHeight="1" x14ac:dyDescent="0.15">
      <c r="A239" s="41">
        <v>15</v>
      </c>
      <c r="B239" s="41" t="s">
        <v>26138</v>
      </c>
      <c r="C239" s="74" t="s">
        <v>26139</v>
      </c>
      <c r="D239" s="72"/>
      <c r="F239" s="57"/>
      <c r="G239" s="35"/>
      <c r="J239" s="163"/>
      <c r="K239" s="45"/>
      <c r="L239" s="46"/>
      <c r="M239" s="53"/>
      <c r="N239" s="49"/>
      <c r="O239" s="50"/>
      <c r="P239" s="115"/>
      <c r="Q239" s="114" t="s">
        <v>17570</v>
      </c>
      <c r="R239" s="49"/>
      <c r="S239" s="50"/>
      <c r="T239" s="115"/>
      <c r="U239" s="208">
        <f>ROUND((ROUND((_15_同援日１０．０*_15・通訳),0)*(1+_15・区３)),0)</f>
        <v>1661</v>
      </c>
      <c r="V239" s="48"/>
    </row>
    <row r="240" spans="1:22" ht="16.5" customHeight="1" x14ac:dyDescent="0.15">
      <c r="A240" s="41">
        <v>15</v>
      </c>
      <c r="B240" s="41" t="s">
        <v>26140</v>
      </c>
      <c r="C240" s="74" t="s">
        <v>26141</v>
      </c>
      <c r="D240" s="72"/>
      <c r="F240" s="57"/>
      <c r="G240" s="35"/>
      <c r="J240" s="299" t="s">
        <v>17556</v>
      </c>
      <c r="K240" s="45" t="s">
        <v>398</v>
      </c>
      <c r="L240" s="46">
        <v>1</v>
      </c>
      <c r="M240" s="43"/>
      <c r="N240" s="37"/>
      <c r="O240" s="38"/>
      <c r="P240" s="79"/>
      <c r="Q240" s="92" t="s">
        <v>17572</v>
      </c>
      <c r="T240" s="57"/>
      <c r="U240" s="208">
        <f>ROUND((ROUND((ROUND((_15_同援日１０．０*_15・通訳),0)*_15・２人),0)*(1+_15・区３)),0)</f>
        <v>1661</v>
      </c>
      <c r="V240" s="48"/>
    </row>
    <row r="241" spans="1:22" ht="16.5" customHeight="1" x14ac:dyDescent="0.15">
      <c r="A241" s="41">
        <v>15</v>
      </c>
      <c r="B241" s="41" t="s">
        <v>26142</v>
      </c>
      <c r="C241" s="74" t="s">
        <v>26143</v>
      </c>
      <c r="D241" s="72"/>
      <c r="F241" s="57"/>
      <c r="G241" s="35"/>
      <c r="J241" s="163"/>
      <c r="K241" s="45"/>
      <c r="L241" s="46"/>
      <c r="M241" s="114" t="s">
        <v>17562</v>
      </c>
      <c r="N241" s="49"/>
      <c r="O241" s="50"/>
      <c r="P241" s="115"/>
      <c r="Q241" s="35"/>
      <c r="R241" s="12" t="s">
        <v>398</v>
      </c>
      <c r="S241" s="13">
        <v>0.2</v>
      </c>
      <c r="T241" s="57" t="s">
        <v>3575</v>
      </c>
      <c r="U241" s="208">
        <f>ROUND((ROUND((ROUND((_15_同援日１０．０*_15・通訳),0)*(1+_15・盲ろう)),0)*(1+_15・区３)),0)</f>
        <v>2076</v>
      </c>
      <c r="V241" s="48"/>
    </row>
    <row r="242" spans="1:22" ht="16.5" customHeight="1" x14ac:dyDescent="0.15">
      <c r="A242" s="41">
        <v>15</v>
      </c>
      <c r="B242" s="41" t="s">
        <v>26144</v>
      </c>
      <c r="C242" s="74" t="s">
        <v>26145</v>
      </c>
      <c r="D242" s="72"/>
      <c r="F242" s="57"/>
      <c r="G242" s="35"/>
      <c r="J242" s="299" t="s">
        <v>17556</v>
      </c>
      <c r="K242" s="45" t="s">
        <v>398</v>
      </c>
      <c r="L242" s="46">
        <v>1</v>
      </c>
      <c r="M242" s="269" t="s">
        <v>17564</v>
      </c>
      <c r="N242" s="37" t="s">
        <v>398</v>
      </c>
      <c r="O242" s="38">
        <v>0.25</v>
      </c>
      <c r="P242" s="79" t="s">
        <v>3575</v>
      </c>
      <c r="Q242" s="43"/>
      <c r="R242" s="37"/>
      <c r="S242" s="38"/>
      <c r="T242" s="79"/>
      <c r="U242" s="208">
        <f>ROUND((ROUND((ROUND((ROUND((_15_同援日１０．０*_15・通訳),0)*_15・２人),0)*(1+_15・盲ろう)),0)*(1+_15・区３)),0)</f>
        <v>2076</v>
      </c>
      <c r="V242" s="48"/>
    </row>
    <row r="243" spans="1:22" ht="16.5" customHeight="1" x14ac:dyDescent="0.15">
      <c r="A243" s="41">
        <v>15</v>
      </c>
      <c r="B243" s="41" t="s">
        <v>26146</v>
      </c>
      <c r="C243" s="74" t="s">
        <v>26147</v>
      </c>
      <c r="D243" s="72"/>
      <c r="F243" s="57"/>
      <c r="G243" s="35"/>
      <c r="J243" s="163"/>
      <c r="K243" s="45"/>
      <c r="L243" s="46"/>
      <c r="M243" s="53"/>
      <c r="N243" s="49"/>
      <c r="O243" s="50"/>
      <c r="P243" s="115"/>
      <c r="Q243" s="114" t="s">
        <v>17580</v>
      </c>
      <c r="R243" s="49"/>
      <c r="S243" s="50"/>
      <c r="T243" s="115"/>
      <c r="U243" s="208">
        <f>ROUND((ROUND((_15_同援日１０．０*_15・通訳),0)*(1+_15・区４)),0)</f>
        <v>1938</v>
      </c>
      <c r="V243" s="48"/>
    </row>
    <row r="244" spans="1:22" ht="16.5" customHeight="1" x14ac:dyDescent="0.15">
      <c r="A244" s="41">
        <v>15</v>
      </c>
      <c r="B244" s="41" t="s">
        <v>26148</v>
      </c>
      <c r="C244" s="74" t="s">
        <v>26149</v>
      </c>
      <c r="D244" s="72"/>
      <c r="F244" s="57"/>
      <c r="G244" s="35"/>
      <c r="J244" s="299" t="s">
        <v>17556</v>
      </c>
      <c r="K244" s="45" t="s">
        <v>398</v>
      </c>
      <c r="L244" s="46">
        <v>1</v>
      </c>
      <c r="M244" s="43"/>
      <c r="N244" s="37"/>
      <c r="O244" s="38"/>
      <c r="P244" s="79"/>
      <c r="Q244" s="92" t="s">
        <v>17572</v>
      </c>
      <c r="T244" s="57"/>
      <c r="U244" s="208">
        <f>ROUND((ROUND((ROUND((_15_同援日１０．０*_15・通訳),0)*_15・２人),0)*(1+_15・区４)),0)</f>
        <v>1938</v>
      </c>
      <c r="V244" s="48"/>
    </row>
    <row r="245" spans="1:22" ht="16.5" customHeight="1" x14ac:dyDescent="0.15">
      <c r="A245" s="41">
        <v>15</v>
      </c>
      <c r="B245" s="41" t="s">
        <v>26150</v>
      </c>
      <c r="C245" s="74" t="s">
        <v>26151</v>
      </c>
      <c r="D245" s="72"/>
      <c r="F245" s="57"/>
      <c r="G245" s="35"/>
      <c r="J245" s="163"/>
      <c r="K245" s="45"/>
      <c r="L245" s="46"/>
      <c r="M245" s="114" t="s">
        <v>17562</v>
      </c>
      <c r="N245" s="49"/>
      <c r="O245" s="50"/>
      <c r="P245" s="115"/>
      <c r="Q245" s="35"/>
      <c r="R245" s="12" t="s">
        <v>398</v>
      </c>
      <c r="S245" s="13">
        <v>0.4</v>
      </c>
      <c r="T245" s="57" t="s">
        <v>3575</v>
      </c>
      <c r="U245" s="208">
        <f>ROUND((ROUND((ROUND((_15_同援日１０．０*_15・通訳),0)*(1+_15・盲ろう)),0)*(1+_15・区４)),0)</f>
        <v>2422</v>
      </c>
      <c r="V245" s="48"/>
    </row>
    <row r="246" spans="1:22" ht="16.5" customHeight="1" x14ac:dyDescent="0.15">
      <c r="A246" s="41">
        <v>15</v>
      </c>
      <c r="B246" s="41" t="s">
        <v>26152</v>
      </c>
      <c r="C246" s="74" t="s">
        <v>26153</v>
      </c>
      <c r="D246" s="122"/>
      <c r="E246" s="37"/>
      <c r="F246" s="79"/>
      <c r="G246" s="35"/>
      <c r="J246" s="299" t="s">
        <v>17556</v>
      </c>
      <c r="K246" s="45" t="s">
        <v>398</v>
      </c>
      <c r="L246" s="46">
        <v>1</v>
      </c>
      <c r="M246" s="269" t="s">
        <v>17564</v>
      </c>
      <c r="N246" s="37" t="s">
        <v>398</v>
      </c>
      <c r="O246" s="38">
        <v>0.25</v>
      </c>
      <c r="P246" s="79" t="s">
        <v>3575</v>
      </c>
      <c r="Q246" s="43"/>
      <c r="R246" s="37"/>
      <c r="S246" s="38"/>
      <c r="T246" s="79"/>
      <c r="U246" s="208">
        <f>ROUND((ROUND((ROUND((ROUND((_15_同援日１０．０*_15・通訳),0)*_15・２人),0)*(1+_15・盲ろう)),0)*(1+_15・区４)),0)</f>
        <v>2422</v>
      </c>
      <c r="V246" s="48"/>
    </row>
    <row r="247" spans="1:22" ht="16.5" customHeight="1" x14ac:dyDescent="0.15">
      <c r="A247" s="41">
        <v>15</v>
      </c>
      <c r="B247" s="41" t="s">
        <v>26154</v>
      </c>
      <c r="C247" s="74" t="s">
        <v>26155</v>
      </c>
      <c r="D247" s="114" t="s">
        <v>18100</v>
      </c>
      <c r="E247" s="49"/>
      <c r="F247" s="115"/>
      <c r="G247" s="35"/>
      <c r="J247" s="163"/>
      <c r="K247" s="45"/>
      <c r="L247" s="46"/>
      <c r="M247" s="53"/>
      <c r="N247" s="49"/>
      <c r="O247" s="50"/>
      <c r="P247" s="115"/>
      <c r="Q247" s="53"/>
      <c r="R247" s="49"/>
      <c r="S247" s="50"/>
      <c r="T247" s="115"/>
      <c r="U247" s="208">
        <f>ROUND((_15_同援日１０．５*_15・通訳),0)</f>
        <v>1443</v>
      </c>
      <c r="V247" s="48"/>
    </row>
    <row r="248" spans="1:22" ht="16.5" customHeight="1" x14ac:dyDescent="0.15">
      <c r="A248" s="41">
        <v>15</v>
      </c>
      <c r="B248" s="41" t="s">
        <v>26156</v>
      </c>
      <c r="C248" s="74" t="s">
        <v>26157</v>
      </c>
      <c r="D248" s="72" t="s">
        <v>18102</v>
      </c>
      <c r="F248" s="57"/>
      <c r="G248" s="35"/>
      <c r="J248" s="299" t="s">
        <v>17556</v>
      </c>
      <c r="K248" s="45" t="s">
        <v>398</v>
      </c>
      <c r="L248" s="46">
        <v>1</v>
      </c>
      <c r="M248" s="43"/>
      <c r="N248" s="37"/>
      <c r="O248" s="38"/>
      <c r="P248" s="79"/>
      <c r="Q248" s="35"/>
      <c r="T248" s="57"/>
      <c r="U248" s="208">
        <f>ROUND((ROUND((_15_同援日１０．５*_15・通訳),0)*_15・２人),0)</f>
        <v>1443</v>
      </c>
      <c r="V248" s="48"/>
    </row>
    <row r="249" spans="1:22" ht="16.5" customHeight="1" x14ac:dyDescent="0.15">
      <c r="A249" s="41">
        <v>15</v>
      </c>
      <c r="B249" s="41" t="s">
        <v>26158</v>
      </c>
      <c r="C249" s="74" t="s">
        <v>26159</v>
      </c>
      <c r="D249" s="72" t="s">
        <v>18104</v>
      </c>
      <c r="F249" s="57"/>
      <c r="G249" s="35"/>
      <c r="J249" s="163"/>
      <c r="K249" s="45"/>
      <c r="L249" s="46"/>
      <c r="M249" s="114" t="s">
        <v>17562</v>
      </c>
      <c r="N249" s="49"/>
      <c r="O249" s="50"/>
      <c r="P249" s="115"/>
      <c r="Q249" s="35"/>
      <c r="T249" s="57"/>
      <c r="U249" s="208">
        <f>ROUND((ROUND((_15_同援日１０．５*_15・通訳),0)*(1+_15・盲ろう)),0)</f>
        <v>1804</v>
      </c>
      <c r="V249" s="48"/>
    </row>
    <row r="250" spans="1:22" ht="16.5" customHeight="1" x14ac:dyDescent="0.15">
      <c r="A250" s="41">
        <v>15</v>
      </c>
      <c r="B250" s="41" t="s">
        <v>26160</v>
      </c>
      <c r="C250" s="74" t="s">
        <v>26161</v>
      </c>
      <c r="D250" s="72"/>
      <c r="E250" s="168">
        <f>_15_同援日１０．５</f>
        <v>1603</v>
      </c>
      <c r="F250" s="57" t="s">
        <v>392</v>
      </c>
      <c r="G250" s="35"/>
      <c r="J250" s="299" t="s">
        <v>17556</v>
      </c>
      <c r="K250" s="45" t="s">
        <v>398</v>
      </c>
      <c r="L250" s="46">
        <v>1</v>
      </c>
      <c r="M250" s="269" t="s">
        <v>17564</v>
      </c>
      <c r="N250" s="37" t="s">
        <v>398</v>
      </c>
      <c r="O250" s="38">
        <v>0.25</v>
      </c>
      <c r="P250" s="79" t="s">
        <v>3575</v>
      </c>
      <c r="Q250" s="43"/>
      <c r="R250" s="37"/>
      <c r="S250" s="38"/>
      <c r="T250" s="79"/>
      <c r="U250" s="208">
        <f>ROUND((ROUND((ROUND((_15_同援日１０．５*_15・通訳),0)*_15・２人),0)*(1+_15・盲ろう)),0)</f>
        <v>1804</v>
      </c>
      <c r="V250" s="48"/>
    </row>
    <row r="251" spans="1:22" ht="16.5" customHeight="1" x14ac:dyDescent="0.15">
      <c r="A251" s="41">
        <v>15</v>
      </c>
      <c r="B251" s="41" t="s">
        <v>26162</v>
      </c>
      <c r="C251" s="74" t="s">
        <v>26163</v>
      </c>
      <c r="D251" s="72"/>
      <c r="F251" s="57"/>
      <c r="G251" s="35"/>
      <c r="J251" s="163"/>
      <c r="K251" s="45"/>
      <c r="L251" s="46"/>
      <c r="M251" s="53"/>
      <c r="N251" s="49"/>
      <c r="O251" s="50"/>
      <c r="P251" s="115"/>
      <c r="Q251" s="114" t="s">
        <v>17570</v>
      </c>
      <c r="R251" s="49"/>
      <c r="S251" s="50"/>
      <c r="T251" s="115"/>
      <c r="U251" s="208">
        <f>ROUND((ROUND((_15_同援日１０．５*_15・通訳),0)*(1+_15・区３)),0)</f>
        <v>1732</v>
      </c>
      <c r="V251" s="48"/>
    </row>
    <row r="252" spans="1:22" ht="16.5" customHeight="1" x14ac:dyDescent="0.15">
      <c r="A252" s="41">
        <v>15</v>
      </c>
      <c r="B252" s="41" t="s">
        <v>26164</v>
      </c>
      <c r="C252" s="74" t="s">
        <v>26165</v>
      </c>
      <c r="D252" s="72"/>
      <c r="F252" s="57"/>
      <c r="G252" s="35"/>
      <c r="J252" s="299" t="s">
        <v>17556</v>
      </c>
      <c r="K252" s="45" t="s">
        <v>398</v>
      </c>
      <c r="L252" s="46">
        <v>1</v>
      </c>
      <c r="M252" s="43"/>
      <c r="N252" s="37"/>
      <c r="O252" s="38"/>
      <c r="P252" s="79"/>
      <c r="Q252" s="92" t="s">
        <v>17572</v>
      </c>
      <c r="T252" s="57"/>
      <c r="U252" s="208">
        <f>ROUND((ROUND((ROUND((_15_同援日１０．５*_15・通訳),0)*_15・２人),0)*(1+_15・区３)),0)</f>
        <v>1732</v>
      </c>
      <c r="V252" s="48"/>
    </row>
    <row r="253" spans="1:22" ht="16.5" customHeight="1" x14ac:dyDescent="0.15">
      <c r="A253" s="41">
        <v>15</v>
      </c>
      <c r="B253" s="41" t="s">
        <v>2613</v>
      </c>
      <c r="C253" s="74" t="s">
        <v>26166</v>
      </c>
      <c r="D253" s="72"/>
      <c r="F253" s="57"/>
      <c r="G253" s="35"/>
      <c r="J253" s="163"/>
      <c r="K253" s="45"/>
      <c r="L253" s="46"/>
      <c r="M253" s="114" t="s">
        <v>17562</v>
      </c>
      <c r="N253" s="49"/>
      <c r="O253" s="50"/>
      <c r="P253" s="115"/>
      <c r="Q253" s="35"/>
      <c r="R253" s="12" t="s">
        <v>398</v>
      </c>
      <c r="S253" s="13">
        <v>0.2</v>
      </c>
      <c r="T253" s="57" t="s">
        <v>3575</v>
      </c>
      <c r="U253" s="208">
        <f>ROUND((ROUND((ROUND((_15_同援日１０．５*_15・通訳),0)*(1+_15・盲ろう)),0)*(1+_15・区３)),0)</f>
        <v>2165</v>
      </c>
      <c r="V253" s="48"/>
    </row>
    <row r="254" spans="1:22" ht="16.5" customHeight="1" x14ac:dyDescent="0.15">
      <c r="A254" s="41">
        <v>15</v>
      </c>
      <c r="B254" s="41" t="s">
        <v>2615</v>
      </c>
      <c r="C254" s="74" t="s">
        <v>26167</v>
      </c>
      <c r="D254" s="72"/>
      <c r="F254" s="57"/>
      <c r="G254" s="35"/>
      <c r="J254" s="299" t="s">
        <v>17556</v>
      </c>
      <c r="K254" s="45" t="s">
        <v>398</v>
      </c>
      <c r="L254" s="46">
        <v>1</v>
      </c>
      <c r="M254" s="269" t="s">
        <v>17564</v>
      </c>
      <c r="N254" s="37" t="s">
        <v>398</v>
      </c>
      <c r="O254" s="38">
        <v>0.25</v>
      </c>
      <c r="P254" s="79" t="s">
        <v>3575</v>
      </c>
      <c r="Q254" s="43"/>
      <c r="R254" s="37"/>
      <c r="S254" s="38"/>
      <c r="T254" s="79"/>
      <c r="U254" s="208">
        <f>ROUND((ROUND((ROUND((ROUND((_15_同援日１０．５*_15・通訳),0)*_15・２人),0)*(1+_15・盲ろう)),0)*(1+_15・区３)),0)</f>
        <v>2165</v>
      </c>
      <c r="V254" s="48"/>
    </row>
    <row r="255" spans="1:22" ht="16.5" customHeight="1" x14ac:dyDescent="0.15">
      <c r="A255" s="41">
        <v>15</v>
      </c>
      <c r="B255" s="41" t="s">
        <v>2617</v>
      </c>
      <c r="C255" s="74" t="s">
        <v>26168</v>
      </c>
      <c r="D255" s="72"/>
      <c r="F255" s="57"/>
      <c r="G255" s="35"/>
      <c r="J255" s="163"/>
      <c r="K255" s="45"/>
      <c r="L255" s="46"/>
      <c r="M255" s="53"/>
      <c r="N255" s="49"/>
      <c r="O255" s="50"/>
      <c r="P255" s="115"/>
      <c r="Q255" s="114" t="s">
        <v>17580</v>
      </c>
      <c r="R255" s="49"/>
      <c r="S255" s="50"/>
      <c r="T255" s="115"/>
      <c r="U255" s="208">
        <f>ROUND((ROUND((_15_同援日１０．５*_15・通訳),0)*(1+_15・区４)),0)</f>
        <v>2020</v>
      </c>
      <c r="V255" s="48"/>
    </row>
    <row r="256" spans="1:22" ht="16.5" customHeight="1" x14ac:dyDescent="0.15">
      <c r="A256" s="41">
        <v>15</v>
      </c>
      <c r="B256" s="41" t="s">
        <v>2619</v>
      </c>
      <c r="C256" s="74" t="s">
        <v>26169</v>
      </c>
      <c r="D256" s="72"/>
      <c r="F256" s="57"/>
      <c r="G256" s="35"/>
      <c r="J256" s="299" t="s">
        <v>17556</v>
      </c>
      <c r="K256" s="45" t="s">
        <v>398</v>
      </c>
      <c r="L256" s="46">
        <v>1</v>
      </c>
      <c r="M256" s="43"/>
      <c r="N256" s="37"/>
      <c r="O256" s="38"/>
      <c r="P256" s="79"/>
      <c r="Q256" s="92" t="s">
        <v>17572</v>
      </c>
      <c r="T256" s="57"/>
      <c r="U256" s="208">
        <f>ROUND((ROUND((ROUND((_15_同援日１０．５*_15・通訳),0)*_15・２人),0)*(1+_15・区４)),0)</f>
        <v>2020</v>
      </c>
      <c r="V256" s="48"/>
    </row>
    <row r="257" spans="1:22" ht="16.5" customHeight="1" x14ac:dyDescent="0.15">
      <c r="A257" s="41">
        <v>15</v>
      </c>
      <c r="B257" s="41" t="s">
        <v>26170</v>
      </c>
      <c r="C257" s="74" t="s">
        <v>26171</v>
      </c>
      <c r="D257" s="72"/>
      <c r="F257" s="57"/>
      <c r="G257" s="35"/>
      <c r="J257" s="163"/>
      <c r="K257" s="45"/>
      <c r="L257" s="46"/>
      <c r="M257" s="114" t="s">
        <v>17562</v>
      </c>
      <c r="N257" s="49"/>
      <c r="O257" s="50"/>
      <c r="P257" s="115"/>
      <c r="Q257" s="35"/>
      <c r="R257" s="12" t="s">
        <v>398</v>
      </c>
      <c r="S257" s="13">
        <v>0.4</v>
      </c>
      <c r="T257" s="57" t="s">
        <v>3575</v>
      </c>
      <c r="U257" s="208">
        <f>ROUND((ROUND((ROUND((_15_同援日１０．５*_15・通訳),0)*(1+_15・盲ろう)),0)*(1+_15・区４)),0)</f>
        <v>2526</v>
      </c>
      <c r="V257" s="48"/>
    </row>
    <row r="258" spans="1:22" ht="16.5" customHeight="1" x14ac:dyDescent="0.15">
      <c r="A258" s="41">
        <v>15</v>
      </c>
      <c r="B258" s="41" t="s">
        <v>26172</v>
      </c>
      <c r="C258" s="74" t="s">
        <v>26173</v>
      </c>
      <c r="D258" s="122"/>
      <c r="E258" s="37"/>
      <c r="F258" s="79"/>
      <c r="G258" s="43"/>
      <c r="H258" s="37"/>
      <c r="I258" s="38"/>
      <c r="J258" s="299" t="s">
        <v>17556</v>
      </c>
      <c r="K258" s="45" t="s">
        <v>398</v>
      </c>
      <c r="L258" s="46">
        <v>1</v>
      </c>
      <c r="M258" s="269" t="s">
        <v>17564</v>
      </c>
      <c r="N258" s="37" t="s">
        <v>398</v>
      </c>
      <c r="O258" s="38">
        <v>0.25</v>
      </c>
      <c r="P258" s="79" t="s">
        <v>3575</v>
      </c>
      <c r="Q258" s="43"/>
      <c r="R258" s="37"/>
      <c r="S258" s="38"/>
      <c r="T258" s="79"/>
      <c r="U258" s="208">
        <f>ROUND((ROUND((ROUND((ROUND((_15_同援日１０．５*_15・通訳),0)*_15・２人),0)*(1+_15・盲ろう)),0)*(1+_15・区４)),0)</f>
        <v>2526</v>
      </c>
      <c r="V258" s="63"/>
    </row>
    <row r="259" spans="1:22" ht="16.5" customHeight="1" x14ac:dyDescent="0.15"/>
    <row r="260" spans="1:22"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45" fitToHeight="0" orientation="portrait" r:id="rId1"/>
  <headerFooter>
    <oddHeader>&amp;R&amp;"ＭＳ Ｐゴシック"&amp;9同行援護</oddHeader>
    <oddFooter>&amp;C&amp;"ＭＳ Ｐゴシック"&amp;14&amp;P</oddFooter>
  </headerFooter>
  <rowBreaks count="2" manualBreakCount="2">
    <brk id="102" max="16383" man="1"/>
    <brk id="198" max="16383"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6">
    <pageSetUpPr fitToPage="1"/>
  </sheetPr>
  <dimension ref="A1:X181"/>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10.5" style="10" customWidth="1"/>
    <col min="5" max="5" width="4.125" style="12" bestFit="1" customWidth="1"/>
    <col min="6" max="6" width="4.875" style="12" bestFit="1" customWidth="1"/>
    <col min="7" max="7" width="16.5" style="12" customWidth="1"/>
    <col min="8" max="8" width="3.125" style="12" bestFit="1" customWidth="1"/>
    <col min="9" max="9" width="4.125" style="13" bestFit="1" customWidth="1"/>
    <col min="10" max="10" width="26.5" style="12" customWidth="1"/>
    <col min="11" max="11" width="3.125" style="12" bestFit="1" customWidth="1"/>
    <col min="12" max="12" width="5" style="13" bestFit="1" customWidth="1"/>
    <col min="13" max="13" width="4.125" style="13" bestFit="1" customWidth="1"/>
    <col min="14" max="14" width="4.875" style="12" bestFit="1" customWidth="1"/>
    <col min="15" max="15" width="22.5" style="12" customWidth="1"/>
    <col min="16" max="16" width="3.125" style="12" bestFit="1" customWidth="1"/>
    <col min="17" max="17" width="4.125" style="13" bestFit="1" customWidth="1"/>
    <col min="18" max="18" width="4.875" style="12" bestFit="1" customWidth="1"/>
    <col min="19" max="19" width="8.5" style="12" customWidth="1"/>
    <col min="20" max="20" width="3.125" style="12" bestFit="1" customWidth="1"/>
    <col min="21" max="21" width="4.125" style="13" bestFit="1" customWidth="1"/>
    <col min="22" max="22" width="4.875" style="12" bestFit="1" customWidth="1"/>
    <col min="23" max="23" width="7.125" style="206" customWidth="1"/>
    <col min="24" max="24" width="8.5" style="16" customWidth="1"/>
    <col min="25" max="16384" width="9" style="12"/>
  </cols>
  <sheetData>
    <row r="1" spans="1:24" ht="17.100000000000001" customHeight="1" x14ac:dyDescent="0.15"/>
    <row r="2" spans="1:24" ht="17.100000000000001" customHeight="1" x14ac:dyDescent="0.15"/>
    <row r="3" spans="1:24" ht="17.100000000000001" customHeight="1" x14ac:dyDescent="0.15"/>
    <row r="4" spans="1:24" ht="17.100000000000001" customHeight="1" x14ac:dyDescent="0.15">
      <c r="B4" s="17" t="s">
        <v>26174</v>
      </c>
      <c r="D4" s="71"/>
    </row>
    <row r="5" spans="1:24" ht="16.5" customHeight="1" x14ac:dyDescent="0.15">
      <c r="A5" s="19" t="s">
        <v>384</v>
      </c>
      <c r="B5" s="20"/>
      <c r="C5" s="21" t="s">
        <v>385</v>
      </c>
      <c r="D5" s="23" t="s">
        <v>386</v>
      </c>
      <c r="E5" s="23"/>
      <c r="F5" s="23"/>
      <c r="G5" s="23"/>
      <c r="H5" s="23"/>
      <c r="I5" s="24"/>
      <c r="J5" s="23"/>
      <c r="K5" s="23"/>
      <c r="L5" s="24"/>
      <c r="M5" s="24"/>
      <c r="N5" s="23"/>
      <c r="O5" s="23"/>
      <c r="P5" s="23"/>
      <c r="Q5" s="24"/>
      <c r="R5" s="23"/>
      <c r="S5" s="23"/>
      <c r="T5" s="23"/>
      <c r="U5" s="24"/>
      <c r="V5" s="23"/>
      <c r="W5" s="21" t="s">
        <v>387</v>
      </c>
      <c r="X5" s="21" t="s">
        <v>388</v>
      </c>
    </row>
    <row r="6" spans="1:24" ht="16.5" customHeight="1" x14ac:dyDescent="0.15">
      <c r="A6" s="26" t="s">
        <v>389</v>
      </c>
      <c r="B6" s="26" t="s">
        <v>390</v>
      </c>
      <c r="C6" s="27"/>
      <c r="D6" s="29"/>
      <c r="E6" s="29"/>
      <c r="F6" s="29"/>
      <c r="G6" s="29"/>
      <c r="H6" s="29"/>
      <c r="I6" s="30"/>
      <c r="J6" s="29"/>
      <c r="K6" s="29"/>
      <c r="L6" s="30"/>
      <c r="M6" s="30"/>
      <c r="N6" s="29"/>
      <c r="O6" s="29"/>
      <c r="P6" s="29"/>
      <c r="Q6" s="30"/>
      <c r="R6" s="29"/>
      <c r="S6" s="29"/>
      <c r="T6" s="29"/>
      <c r="U6" s="30"/>
      <c r="V6" s="29"/>
      <c r="W6" s="32" t="s">
        <v>391</v>
      </c>
      <c r="X6" s="32" t="s">
        <v>392</v>
      </c>
    </row>
    <row r="7" spans="1:24" ht="16.5" customHeight="1" x14ac:dyDescent="0.15">
      <c r="A7" s="33">
        <v>15</v>
      </c>
      <c r="B7" s="33" t="s">
        <v>26175</v>
      </c>
      <c r="C7" s="34" t="s">
        <v>26176</v>
      </c>
      <c r="D7" s="72" t="s">
        <v>18128</v>
      </c>
      <c r="F7" s="57"/>
      <c r="G7" s="35"/>
      <c r="J7" s="43"/>
      <c r="K7" s="37"/>
      <c r="L7" s="38"/>
      <c r="M7" s="512"/>
      <c r="N7" s="57"/>
      <c r="O7" s="35"/>
      <c r="R7" s="57"/>
      <c r="S7" s="35"/>
      <c r="V7" s="57"/>
      <c r="W7" s="207">
        <f>ROUND((ROUND((_15_同援日０．５*_15・通訳),0)*(1+_15・A早朝)),0)</f>
        <v>214</v>
      </c>
      <c r="X7" s="40" t="s">
        <v>395</v>
      </c>
    </row>
    <row r="8" spans="1:24" ht="16.5" customHeight="1" x14ac:dyDescent="0.15">
      <c r="A8" s="41">
        <v>15</v>
      </c>
      <c r="B8" s="41" t="s">
        <v>26177</v>
      </c>
      <c r="C8" s="74" t="s">
        <v>26178</v>
      </c>
      <c r="D8" s="72" t="s">
        <v>18259</v>
      </c>
      <c r="F8" s="57"/>
      <c r="G8" s="35"/>
      <c r="J8" s="299" t="s">
        <v>17556</v>
      </c>
      <c r="K8" s="45" t="s">
        <v>398</v>
      </c>
      <c r="L8" s="46">
        <v>1</v>
      </c>
      <c r="M8" s="512"/>
      <c r="N8" s="57"/>
      <c r="O8" s="43"/>
      <c r="P8" s="37"/>
      <c r="Q8" s="38"/>
      <c r="R8" s="79"/>
      <c r="S8" s="35"/>
      <c r="V8" s="57"/>
      <c r="W8" s="208">
        <f>ROUND((ROUND((ROUND((_15_同援日０．５*_15・通訳),0)*_15・２人),0)*(1+_15・A早朝)),0)</f>
        <v>214</v>
      </c>
      <c r="X8" s="48"/>
    </row>
    <row r="9" spans="1:24" ht="16.5" customHeight="1" x14ac:dyDescent="0.15">
      <c r="A9" s="41">
        <v>15</v>
      </c>
      <c r="B9" s="41" t="s">
        <v>26179</v>
      </c>
      <c r="C9" s="74" t="s">
        <v>26180</v>
      </c>
      <c r="D9" s="72"/>
      <c r="F9" s="57"/>
      <c r="G9" s="35"/>
      <c r="J9" s="163"/>
      <c r="K9" s="45"/>
      <c r="L9" s="46"/>
      <c r="M9" s="512"/>
      <c r="N9" s="57"/>
      <c r="O9" s="114" t="s">
        <v>17562</v>
      </c>
      <c r="P9" s="49"/>
      <c r="Q9" s="50"/>
      <c r="R9" s="115"/>
      <c r="S9" s="35"/>
      <c r="V9" s="57"/>
      <c r="W9" s="208">
        <f>ROUND((ROUND((ROUND((_15_同援日０．５*_15・通訳),0)*(1+_15・A早朝)),0)*(1+_15・盲ろう)),0)</f>
        <v>268</v>
      </c>
      <c r="X9" s="48"/>
    </row>
    <row r="10" spans="1:24" ht="16.5" customHeight="1" x14ac:dyDescent="0.15">
      <c r="A10" s="41">
        <v>15</v>
      </c>
      <c r="B10" s="41" t="s">
        <v>26181</v>
      </c>
      <c r="C10" s="74" t="s">
        <v>26182</v>
      </c>
      <c r="D10" s="72"/>
      <c r="E10" s="168">
        <f>_15_同援日０．５</f>
        <v>190</v>
      </c>
      <c r="F10" s="57" t="s">
        <v>392</v>
      </c>
      <c r="G10" s="35"/>
      <c r="J10" s="299" t="s">
        <v>17556</v>
      </c>
      <c r="K10" s="45" t="s">
        <v>398</v>
      </c>
      <c r="L10" s="46">
        <v>1</v>
      </c>
      <c r="M10" s="512"/>
      <c r="N10" s="57"/>
      <c r="O10" s="269" t="s">
        <v>17564</v>
      </c>
      <c r="P10" s="37" t="s">
        <v>398</v>
      </c>
      <c r="Q10" s="38">
        <v>0.25</v>
      </c>
      <c r="R10" s="79" t="s">
        <v>3575</v>
      </c>
      <c r="S10" s="43"/>
      <c r="T10" s="37"/>
      <c r="U10" s="38"/>
      <c r="V10" s="79"/>
      <c r="W10" s="208">
        <f>ROUND((ROUND((ROUND((ROUND((_15_同援日０．５*_15・通訳),0)*_15・２人),0)*(1+_15・A早朝)),0)*(1+_15・盲ろう)),0)</f>
        <v>268</v>
      </c>
      <c r="X10" s="48"/>
    </row>
    <row r="11" spans="1:24" ht="16.5" customHeight="1" x14ac:dyDescent="0.15">
      <c r="A11" s="41">
        <v>15</v>
      </c>
      <c r="B11" s="41" t="s">
        <v>26183</v>
      </c>
      <c r="C11" s="74" t="s">
        <v>26184</v>
      </c>
      <c r="D11" s="72"/>
      <c r="F11" s="57"/>
      <c r="G11" s="35"/>
      <c r="J11" s="163"/>
      <c r="K11" s="45"/>
      <c r="L11" s="46"/>
      <c r="M11" s="512"/>
      <c r="N11" s="57"/>
      <c r="O11" s="53"/>
      <c r="P11" s="49"/>
      <c r="Q11" s="50"/>
      <c r="R11" s="115"/>
      <c r="S11" s="114" t="s">
        <v>17570</v>
      </c>
      <c r="T11" s="49"/>
      <c r="U11" s="50"/>
      <c r="V11" s="115"/>
      <c r="W11" s="208">
        <f>ROUND((ROUND((ROUND((_15_同援日０．５*_15・通訳),0)*(1+_15・A早朝)),0)*(1+_15・区３)),0)</f>
        <v>257</v>
      </c>
      <c r="X11" s="48"/>
    </row>
    <row r="12" spans="1:24" ht="16.5" customHeight="1" x14ac:dyDescent="0.15">
      <c r="A12" s="41">
        <v>15</v>
      </c>
      <c r="B12" s="41" t="s">
        <v>26185</v>
      </c>
      <c r="C12" s="74" t="s">
        <v>26186</v>
      </c>
      <c r="D12" s="72"/>
      <c r="F12" s="57"/>
      <c r="G12" s="72" t="s">
        <v>25732</v>
      </c>
      <c r="J12" s="299" t="s">
        <v>17556</v>
      </c>
      <c r="K12" s="45" t="s">
        <v>398</v>
      </c>
      <c r="L12" s="46">
        <v>1</v>
      </c>
      <c r="M12" s="517" t="s">
        <v>18134</v>
      </c>
      <c r="N12" s="57"/>
      <c r="O12" s="43"/>
      <c r="P12" s="37"/>
      <c r="Q12" s="38"/>
      <c r="R12" s="79"/>
      <c r="S12" s="92" t="s">
        <v>17572</v>
      </c>
      <c r="V12" s="57"/>
      <c r="W12" s="208">
        <f>ROUND((ROUND((ROUND((ROUND((_15_同援日０．５*_15・通訳),0)*_15・２人),0)*(1+_15・A早朝)),0)*(1+_15・区３)),0)</f>
        <v>257</v>
      </c>
      <c r="X12" s="48"/>
    </row>
    <row r="13" spans="1:24" ht="16.5" customHeight="1" x14ac:dyDescent="0.15">
      <c r="A13" s="41">
        <v>15</v>
      </c>
      <c r="B13" s="41" t="s">
        <v>26187</v>
      </c>
      <c r="C13" s="74" t="s">
        <v>26188</v>
      </c>
      <c r="D13" s="72"/>
      <c r="F13" s="57"/>
      <c r="G13" s="92" t="s">
        <v>25734</v>
      </c>
      <c r="H13" s="12" t="s">
        <v>398</v>
      </c>
      <c r="I13" s="13">
        <v>0.9</v>
      </c>
      <c r="J13" s="163"/>
      <c r="K13" s="45"/>
      <c r="L13" s="46"/>
      <c r="M13" s="512"/>
      <c r="N13" s="519" t="s">
        <v>18136</v>
      </c>
      <c r="O13" s="114" t="s">
        <v>17562</v>
      </c>
      <c r="P13" s="49"/>
      <c r="Q13" s="50"/>
      <c r="R13" s="115"/>
      <c r="S13" s="35"/>
      <c r="T13" s="12" t="s">
        <v>398</v>
      </c>
      <c r="U13" s="13">
        <v>0.2</v>
      </c>
      <c r="V13" s="57" t="s">
        <v>3575</v>
      </c>
      <c r="W13" s="208">
        <f>ROUND((ROUND((ROUND((ROUND((_15_同援日０．５*_15・通訳),0)*(1+_15・A早朝)),0)*(1+_15・盲ろう)),0)*(1+_15・区３)),0)</f>
        <v>322</v>
      </c>
      <c r="X13" s="48"/>
    </row>
    <row r="14" spans="1:24" ht="16.5" customHeight="1" x14ac:dyDescent="0.15">
      <c r="A14" s="41">
        <v>15</v>
      </c>
      <c r="B14" s="41" t="s">
        <v>26189</v>
      </c>
      <c r="C14" s="74" t="s">
        <v>26190</v>
      </c>
      <c r="D14" s="72"/>
      <c r="F14" s="57"/>
      <c r="G14" s="35"/>
      <c r="J14" s="299" t="s">
        <v>17556</v>
      </c>
      <c r="K14" s="45" t="s">
        <v>398</v>
      </c>
      <c r="L14" s="46">
        <v>1</v>
      </c>
      <c r="M14" s="512"/>
      <c r="N14" s="57"/>
      <c r="O14" s="269" t="s">
        <v>17564</v>
      </c>
      <c r="P14" s="37" t="s">
        <v>398</v>
      </c>
      <c r="Q14" s="38">
        <v>0.25</v>
      </c>
      <c r="R14" s="79" t="s">
        <v>3575</v>
      </c>
      <c r="S14" s="43"/>
      <c r="T14" s="37"/>
      <c r="U14" s="38"/>
      <c r="V14" s="79"/>
      <c r="W14" s="208">
        <f>ROUND((ROUND((ROUND((ROUND((ROUND((_15_同援日０．５*_15・通訳),0)*_15・２人),0)*(1+_15・A早朝)),0)*(1+_15・盲ろう)),0)*(1+_15・区３)),0)</f>
        <v>322</v>
      </c>
      <c r="X14" s="48"/>
    </row>
    <row r="15" spans="1:24" ht="16.5" customHeight="1" x14ac:dyDescent="0.15">
      <c r="A15" s="41">
        <v>15</v>
      </c>
      <c r="B15" s="41" t="s">
        <v>26191</v>
      </c>
      <c r="C15" s="74" t="s">
        <v>26192</v>
      </c>
      <c r="D15" s="72"/>
      <c r="F15" s="57"/>
      <c r="G15" s="35"/>
      <c r="J15" s="163"/>
      <c r="K15" s="45"/>
      <c r="L15" s="46"/>
      <c r="M15" s="35" t="s">
        <v>398</v>
      </c>
      <c r="N15" s="234">
        <v>0.25</v>
      </c>
      <c r="O15" s="53"/>
      <c r="P15" s="49"/>
      <c r="Q15" s="50"/>
      <c r="R15" s="115"/>
      <c r="S15" s="114" t="s">
        <v>17580</v>
      </c>
      <c r="T15" s="49"/>
      <c r="U15" s="50"/>
      <c r="V15" s="115"/>
      <c r="W15" s="208">
        <f>ROUND((ROUND((ROUND((_15_同援日０．５*_15・通訳),0)*(1+_15・A早朝)),0)*(1+_15・区４)),0)</f>
        <v>300</v>
      </c>
      <c r="X15" s="48"/>
    </row>
    <row r="16" spans="1:24" ht="16.5" customHeight="1" x14ac:dyDescent="0.15">
      <c r="A16" s="41">
        <v>15</v>
      </c>
      <c r="B16" s="41" t="s">
        <v>26193</v>
      </c>
      <c r="C16" s="74" t="s">
        <v>26194</v>
      </c>
      <c r="D16" s="72"/>
      <c r="F16" s="57"/>
      <c r="G16" s="35"/>
      <c r="J16" s="299" t="s">
        <v>17556</v>
      </c>
      <c r="K16" s="45" t="s">
        <v>398</v>
      </c>
      <c r="L16" s="46">
        <v>1</v>
      </c>
      <c r="M16" s="512"/>
      <c r="N16" s="513" t="s">
        <v>3575</v>
      </c>
      <c r="O16" s="43"/>
      <c r="P16" s="37"/>
      <c r="Q16" s="38"/>
      <c r="R16" s="79"/>
      <c r="S16" s="92" t="s">
        <v>17572</v>
      </c>
      <c r="V16" s="57"/>
      <c r="W16" s="208">
        <f>ROUND((ROUND((ROUND((ROUND((_15_同援日０．５*_15・通訳),0)*_15・２人),0)*(1+_15・A早朝)),0)*(1+_15・区４)),0)</f>
        <v>300</v>
      </c>
      <c r="X16" s="48"/>
    </row>
    <row r="17" spans="1:24" ht="16.5" customHeight="1" x14ac:dyDescent="0.15">
      <c r="A17" s="41">
        <v>15</v>
      </c>
      <c r="B17" s="41" t="s">
        <v>26195</v>
      </c>
      <c r="C17" s="74" t="s">
        <v>26196</v>
      </c>
      <c r="D17" s="72"/>
      <c r="F17" s="57"/>
      <c r="G17" s="35"/>
      <c r="J17" s="163"/>
      <c r="K17" s="45"/>
      <c r="L17" s="46"/>
      <c r="M17" s="512"/>
      <c r="N17" s="57"/>
      <c r="O17" s="114" t="s">
        <v>17562</v>
      </c>
      <c r="P17" s="49"/>
      <c r="Q17" s="50"/>
      <c r="R17" s="115"/>
      <c r="S17" s="35"/>
      <c r="T17" s="12" t="s">
        <v>398</v>
      </c>
      <c r="U17" s="13">
        <v>0.4</v>
      </c>
      <c r="V17" s="57" t="s">
        <v>3575</v>
      </c>
      <c r="W17" s="208">
        <f>ROUND((ROUND((ROUND((ROUND((_15_同援日０．５*_15・通訳),0)*(1+_15・A早朝)),0)*(1+_15・盲ろう)),0)*(1+_15・区４)),0)</f>
        <v>375</v>
      </c>
      <c r="X17" s="48"/>
    </row>
    <row r="18" spans="1:24" ht="16.5" customHeight="1" x14ac:dyDescent="0.15">
      <c r="A18" s="41">
        <v>15</v>
      </c>
      <c r="B18" s="41" t="s">
        <v>26197</v>
      </c>
      <c r="C18" s="74" t="s">
        <v>26198</v>
      </c>
      <c r="D18" s="122"/>
      <c r="E18" s="37"/>
      <c r="F18" s="79"/>
      <c r="G18" s="35"/>
      <c r="J18" s="299" t="s">
        <v>17556</v>
      </c>
      <c r="K18" s="45" t="s">
        <v>398</v>
      </c>
      <c r="L18" s="46">
        <v>1</v>
      </c>
      <c r="M18" s="512"/>
      <c r="N18" s="57"/>
      <c r="O18" s="269" t="s">
        <v>17564</v>
      </c>
      <c r="P18" s="37" t="s">
        <v>398</v>
      </c>
      <c r="Q18" s="38">
        <v>0.25</v>
      </c>
      <c r="R18" s="79" t="s">
        <v>3575</v>
      </c>
      <c r="S18" s="43"/>
      <c r="T18" s="37"/>
      <c r="U18" s="38"/>
      <c r="V18" s="79"/>
      <c r="W18" s="208">
        <f>ROUND((ROUND((ROUND((ROUND((ROUND((_15_同援日０．５*_15・通訳),0)*_15・２人),0)*(1+_15・A早朝)),0)*(1+_15・盲ろう)),0)*(1+_15・区４)),0)</f>
        <v>375</v>
      </c>
      <c r="X18" s="48"/>
    </row>
    <row r="19" spans="1:24" ht="16.5" customHeight="1" x14ac:dyDescent="0.15">
      <c r="A19" s="41">
        <v>15</v>
      </c>
      <c r="B19" s="41" t="s">
        <v>26199</v>
      </c>
      <c r="C19" s="74" t="s">
        <v>26200</v>
      </c>
      <c r="D19" s="114" t="s">
        <v>18155</v>
      </c>
      <c r="E19" s="49"/>
      <c r="F19" s="115"/>
      <c r="G19" s="35"/>
      <c r="J19" s="163"/>
      <c r="K19" s="45"/>
      <c r="L19" s="46"/>
      <c r="M19" s="512"/>
      <c r="N19" s="57"/>
      <c r="O19" s="53"/>
      <c r="P19" s="49"/>
      <c r="Q19" s="50"/>
      <c r="R19" s="115"/>
      <c r="S19" s="53"/>
      <c r="T19" s="49"/>
      <c r="U19" s="50"/>
      <c r="V19" s="115"/>
      <c r="W19" s="208">
        <f>ROUND((ROUND((_15_同援日１．０*_15・通訳),0)*(1+_15・A早朝)),0)</f>
        <v>338</v>
      </c>
      <c r="X19" s="48"/>
    </row>
    <row r="20" spans="1:24" ht="16.5" customHeight="1" x14ac:dyDescent="0.15">
      <c r="A20" s="41">
        <v>15</v>
      </c>
      <c r="B20" s="41" t="s">
        <v>26201</v>
      </c>
      <c r="C20" s="74" t="s">
        <v>26202</v>
      </c>
      <c r="D20" s="72" t="s">
        <v>17589</v>
      </c>
      <c r="F20" s="57"/>
      <c r="G20" s="35"/>
      <c r="J20" s="299" t="s">
        <v>17556</v>
      </c>
      <c r="K20" s="45" t="s">
        <v>398</v>
      </c>
      <c r="L20" s="46">
        <v>1</v>
      </c>
      <c r="M20" s="512"/>
      <c r="N20" s="57"/>
      <c r="O20" s="43"/>
      <c r="P20" s="37"/>
      <c r="Q20" s="38"/>
      <c r="R20" s="79"/>
      <c r="S20" s="35"/>
      <c r="V20" s="57"/>
      <c r="W20" s="208">
        <f>ROUND((ROUND((ROUND((_15_同援日１．０*_15・通訳),0)*_15・２人),0)*(1+_15・A早朝)),0)</f>
        <v>338</v>
      </c>
      <c r="X20" s="48"/>
    </row>
    <row r="21" spans="1:24" ht="16.5" customHeight="1" x14ac:dyDescent="0.15">
      <c r="A21" s="41">
        <v>15</v>
      </c>
      <c r="B21" s="41" t="s">
        <v>2626</v>
      </c>
      <c r="C21" s="74" t="s">
        <v>26203</v>
      </c>
      <c r="D21" s="72" t="s">
        <v>17591</v>
      </c>
      <c r="F21" s="57"/>
      <c r="G21" s="35"/>
      <c r="J21" s="163"/>
      <c r="K21" s="45"/>
      <c r="L21" s="46"/>
      <c r="M21" s="512"/>
      <c r="N21" s="57"/>
      <c r="O21" s="114" t="s">
        <v>17562</v>
      </c>
      <c r="P21" s="49"/>
      <c r="Q21" s="50"/>
      <c r="R21" s="115"/>
      <c r="S21" s="35"/>
      <c r="V21" s="57"/>
      <c r="W21" s="208">
        <f>ROUND((ROUND((ROUND((_15_同援日１．０*_15・通訳),0)*(1+_15・A早朝)),0)*(1+_15・盲ろう)),0)</f>
        <v>423</v>
      </c>
      <c r="X21" s="48"/>
    </row>
    <row r="22" spans="1:24" ht="16.5" customHeight="1" x14ac:dyDescent="0.15">
      <c r="A22" s="41">
        <v>15</v>
      </c>
      <c r="B22" s="41" t="s">
        <v>2628</v>
      </c>
      <c r="C22" s="74" t="s">
        <v>26204</v>
      </c>
      <c r="D22" s="72"/>
      <c r="E22" s="168">
        <f>_15_同援日１．０</f>
        <v>300</v>
      </c>
      <c r="F22" s="57" t="s">
        <v>392</v>
      </c>
      <c r="G22" s="35"/>
      <c r="J22" s="299" t="s">
        <v>17556</v>
      </c>
      <c r="K22" s="45" t="s">
        <v>398</v>
      </c>
      <c r="L22" s="46">
        <v>1</v>
      </c>
      <c r="M22" s="512"/>
      <c r="N22" s="57"/>
      <c r="O22" s="269" t="s">
        <v>17564</v>
      </c>
      <c r="P22" s="37" t="s">
        <v>398</v>
      </c>
      <c r="Q22" s="38">
        <v>0.25</v>
      </c>
      <c r="R22" s="79" t="s">
        <v>3575</v>
      </c>
      <c r="S22" s="43"/>
      <c r="T22" s="37"/>
      <c r="U22" s="38"/>
      <c r="V22" s="79"/>
      <c r="W22" s="208">
        <f>ROUND((ROUND((ROUND((ROUND((_15_同援日１．０*_15・通訳),0)*_15・２人),0)*(1+_15・A早朝)),0)*(1+_15・盲ろう)),0)</f>
        <v>423</v>
      </c>
      <c r="X22" s="48"/>
    </row>
    <row r="23" spans="1:24" ht="16.5" customHeight="1" x14ac:dyDescent="0.15">
      <c r="A23" s="41">
        <v>15</v>
      </c>
      <c r="B23" s="41" t="s">
        <v>2630</v>
      </c>
      <c r="C23" s="74" t="s">
        <v>26205</v>
      </c>
      <c r="D23" s="72"/>
      <c r="F23" s="57"/>
      <c r="G23" s="35"/>
      <c r="J23" s="163"/>
      <c r="K23" s="45"/>
      <c r="L23" s="46"/>
      <c r="M23" s="512"/>
      <c r="N23" s="57"/>
      <c r="O23" s="53"/>
      <c r="P23" s="49"/>
      <c r="Q23" s="50"/>
      <c r="R23" s="115"/>
      <c r="S23" s="114" t="s">
        <v>17570</v>
      </c>
      <c r="T23" s="49"/>
      <c r="U23" s="50"/>
      <c r="V23" s="115"/>
      <c r="W23" s="208">
        <f>ROUND((ROUND((ROUND((_15_同援日１．０*_15・通訳),0)*(1+_15・A早朝)),0)*(1+_15・区３)),0)</f>
        <v>406</v>
      </c>
      <c r="X23" s="48"/>
    </row>
    <row r="24" spans="1:24" ht="16.5" customHeight="1" x14ac:dyDescent="0.15">
      <c r="A24" s="41">
        <v>15</v>
      </c>
      <c r="B24" s="41" t="s">
        <v>2632</v>
      </c>
      <c r="C24" s="74" t="s">
        <v>26206</v>
      </c>
      <c r="D24" s="72"/>
      <c r="F24" s="57"/>
      <c r="G24" s="35"/>
      <c r="J24" s="299" t="s">
        <v>17556</v>
      </c>
      <c r="K24" s="45" t="s">
        <v>398</v>
      </c>
      <c r="L24" s="46">
        <v>1</v>
      </c>
      <c r="M24" s="512"/>
      <c r="N24" s="57"/>
      <c r="O24" s="43"/>
      <c r="P24" s="37"/>
      <c r="Q24" s="38"/>
      <c r="R24" s="79"/>
      <c r="S24" s="92" t="s">
        <v>17572</v>
      </c>
      <c r="V24" s="57"/>
      <c r="W24" s="208">
        <f>ROUND((ROUND((ROUND((ROUND((_15_同援日１．０*_15・通訳),0)*_15・２人),0)*(1+_15・A早朝)),0)*(1+_15・区３)),0)</f>
        <v>406</v>
      </c>
      <c r="X24" s="48"/>
    </row>
    <row r="25" spans="1:24" ht="16.5" customHeight="1" x14ac:dyDescent="0.15">
      <c r="A25" s="41">
        <v>15</v>
      </c>
      <c r="B25" s="41" t="s">
        <v>26207</v>
      </c>
      <c r="C25" s="74" t="s">
        <v>26208</v>
      </c>
      <c r="D25" s="72"/>
      <c r="F25" s="57"/>
      <c r="G25" s="35"/>
      <c r="J25" s="163"/>
      <c r="K25" s="45"/>
      <c r="L25" s="46"/>
      <c r="M25" s="512"/>
      <c r="N25" s="57"/>
      <c r="O25" s="114" t="s">
        <v>17562</v>
      </c>
      <c r="P25" s="49"/>
      <c r="Q25" s="50"/>
      <c r="R25" s="115"/>
      <c r="S25" s="35"/>
      <c r="T25" s="12" t="s">
        <v>398</v>
      </c>
      <c r="U25" s="13">
        <v>0.2</v>
      </c>
      <c r="V25" s="57" t="s">
        <v>3575</v>
      </c>
      <c r="W25" s="208">
        <f>ROUND((ROUND((ROUND((ROUND((_15_同援日１．０*_15・通訳),0)*(1+_15・A早朝)),0)*(1+_15・盲ろう)),0)*(1+_15・区３)),0)</f>
        <v>508</v>
      </c>
      <c r="X25" s="48"/>
    </row>
    <row r="26" spans="1:24" ht="16.5" customHeight="1" x14ac:dyDescent="0.15">
      <c r="A26" s="41">
        <v>15</v>
      </c>
      <c r="B26" s="41" t="s">
        <v>26209</v>
      </c>
      <c r="C26" s="74" t="s">
        <v>26210</v>
      </c>
      <c r="D26" s="72"/>
      <c r="F26" s="57"/>
      <c r="G26" s="35"/>
      <c r="J26" s="299" t="s">
        <v>17556</v>
      </c>
      <c r="K26" s="45" t="s">
        <v>398</v>
      </c>
      <c r="L26" s="46">
        <v>1</v>
      </c>
      <c r="M26" s="512"/>
      <c r="N26" s="57"/>
      <c r="O26" s="269" t="s">
        <v>17564</v>
      </c>
      <c r="P26" s="37" t="s">
        <v>398</v>
      </c>
      <c r="Q26" s="38">
        <v>0.25</v>
      </c>
      <c r="R26" s="79" t="s">
        <v>3575</v>
      </c>
      <c r="S26" s="43"/>
      <c r="T26" s="37"/>
      <c r="U26" s="38"/>
      <c r="V26" s="79"/>
      <c r="W26" s="208">
        <f>ROUND((ROUND((ROUND((ROUND((ROUND((_15_同援日１．０*_15・通訳),0)*_15・２人),0)*(1+_15・A早朝)),0)*(1+_15・盲ろう)),0)*(1+_15・区３)),0)</f>
        <v>508</v>
      </c>
      <c r="X26" s="48"/>
    </row>
    <row r="27" spans="1:24" ht="16.5" customHeight="1" x14ac:dyDescent="0.15">
      <c r="A27" s="41">
        <v>15</v>
      </c>
      <c r="B27" s="41" t="s">
        <v>26211</v>
      </c>
      <c r="C27" s="74" t="s">
        <v>26212</v>
      </c>
      <c r="D27" s="72"/>
      <c r="F27" s="57"/>
      <c r="G27" s="35"/>
      <c r="J27" s="163"/>
      <c r="K27" s="45"/>
      <c r="L27" s="46"/>
      <c r="M27" s="512"/>
      <c r="N27" s="57"/>
      <c r="O27" s="53"/>
      <c r="P27" s="49"/>
      <c r="Q27" s="50"/>
      <c r="R27" s="115"/>
      <c r="S27" s="114" t="s">
        <v>17580</v>
      </c>
      <c r="T27" s="49"/>
      <c r="U27" s="50"/>
      <c r="V27" s="115"/>
      <c r="W27" s="208">
        <f>ROUND((ROUND((ROUND((_15_同援日１．０*_15・通訳),0)*(1+_15・A早朝)),0)*(1+_15・区４)),0)</f>
        <v>473</v>
      </c>
      <c r="X27" s="48"/>
    </row>
    <row r="28" spans="1:24" ht="16.5" customHeight="1" x14ac:dyDescent="0.15">
      <c r="A28" s="41">
        <v>15</v>
      </c>
      <c r="B28" s="41" t="s">
        <v>26213</v>
      </c>
      <c r="C28" s="74" t="s">
        <v>26214</v>
      </c>
      <c r="D28" s="72"/>
      <c r="F28" s="57"/>
      <c r="G28" s="35"/>
      <c r="J28" s="299" t="s">
        <v>17556</v>
      </c>
      <c r="K28" s="45" t="s">
        <v>398</v>
      </c>
      <c r="L28" s="46">
        <v>1</v>
      </c>
      <c r="M28" s="512"/>
      <c r="N28" s="57"/>
      <c r="O28" s="43"/>
      <c r="P28" s="37"/>
      <c r="Q28" s="38"/>
      <c r="R28" s="79"/>
      <c r="S28" s="92" t="s">
        <v>17572</v>
      </c>
      <c r="V28" s="57"/>
      <c r="W28" s="208">
        <f>ROUND((ROUND((ROUND((ROUND((_15_同援日１．０*_15・通訳),0)*_15・２人),0)*(1+_15・A早朝)),0)*(1+_15・区４)),0)</f>
        <v>473</v>
      </c>
      <c r="X28" s="48"/>
    </row>
    <row r="29" spans="1:24" ht="16.5" customHeight="1" x14ac:dyDescent="0.15">
      <c r="A29" s="41">
        <v>15</v>
      </c>
      <c r="B29" s="41" t="s">
        <v>26215</v>
      </c>
      <c r="C29" s="74" t="s">
        <v>26216</v>
      </c>
      <c r="D29" s="72"/>
      <c r="F29" s="57"/>
      <c r="G29" s="35"/>
      <c r="J29" s="163"/>
      <c r="K29" s="45"/>
      <c r="L29" s="46"/>
      <c r="M29" s="512"/>
      <c r="N29" s="57"/>
      <c r="O29" s="114" t="s">
        <v>17562</v>
      </c>
      <c r="P29" s="49"/>
      <c r="Q29" s="50"/>
      <c r="R29" s="115"/>
      <c r="S29" s="35"/>
      <c r="T29" s="12" t="s">
        <v>398</v>
      </c>
      <c r="U29" s="13">
        <v>0.4</v>
      </c>
      <c r="V29" s="57" t="s">
        <v>3575</v>
      </c>
      <c r="W29" s="208">
        <f>ROUND((ROUND((ROUND((ROUND((_15_同援日１．０*_15・通訳),0)*(1+_15・A早朝)),0)*(1+_15・盲ろう)),0)*(1+_15・区４)),0)</f>
        <v>592</v>
      </c>
      <c r="X29" s="48"/>
    </row>
    <row r="30" spans="1:24" ht="16.5" customHeight="1" x14ac:dyDescent="0.15">
      <c r="A30" s="41">
        <v>15</v>
      </c>
      <c r="B30" s="41" t="s">
        <v>26217</v>
      </c>
      <c r="C30" s="74" t="s">
        <v>26218</v>
      </c>
      <c r="D30" s="122"/>
      <c r="E30" s="37"/>
      <c r="F30" s="79"/>
      <c r="G30" s="35"/>
      <c r="J30" s="299" t="s">
        <v>17556</v>
      </c>
      <c r="K30" s="45" t="s">
        <v>398</v>
      </c>
      <c r="L30" s="46">
        <v>1</v>
      </c>
      <c r="M30" s="512"/>
      <c r="N30" s="57"/>
      <c r="O30" s="269" t="s">
        <v>17564</v>
      </c>
      <c r="P30" s="37" t="s">
        <v>398</v>
      </c>
      <c r="Q30" s="38">
        <v>0.25</v>
      </c>
      <c r="R30" s="79" t="s">
        <v>3575</v>
      </c>
      <c r="S30" s="43"/>
      <c r="T30" s="37"/>
      <c r="U30" s="38"/>
      <c r="V30" s="79"/>
      <c r="W30" s="208">
        <f>ROUND((ROUND((ROUND((ROUND((ROUND((_15_同援日１．０*_15・通訳),0)*_15・２人),0)*(1+_15・A早朝)),0)*(1+_15・盲ろう)),0)*(1+_15・区４)),0)</f>
        <v>592</v>
      </c>
      <c r="X30" s="48"/>
    </row>
    <row r="31" spans="1:24" ht="16.5" customHeight="1" x14ac:dyDescent="0.15">
      <c r="A31" s="41">
        <v>15</v>
      </c>
      <c r="B31" s="41" t="s">
        <v>26219</v>
      </c>
      <c r="C31" s="74" t="s">
        <v>26220</v>
      </c>
      <c r="D31" s="114" t="s">
        <v>18180</v>
      </c>
      <c r="E31" s="49"/>
      <c r="F31" s="115"/>
      <c r="G31" s="35"/>
      <c r="J31" s="163"/>
      <c r="K31" s="45"/>
      <c r="L31" s="46"/>
      <c r="M31" s="512"/>
      <c r="N31" s="57"/>
      <c r="O31" s="53"/>
      <c r="P31" s="49"/>
      <c r="Q31" s="50"/>
      <c r="R31" s="115"/>
      <c r="S31" s="53"/>
      <c r="T31" s="49"/>
      <c r="U31" s="50"/>
      <c r="V31" s="115"/>
      <c r="W31" s="208">
        <f>ROUND((ROUND((_15_同援日１．５*_15・通訳),0)*(1+_15・A早朝)),0)</f>
        <v>488</v>
      </c>
      <c r="X31" s="48"/>
    </row>
    <row r="32" spans="1:24" ht="16.5" customHeight="1" x14ac:dyDescent="0.15">
      <c r="A32" s="41">
        <v>15</v>
      </c>
      <c r="B32" s="41" t="s">
        <v>26221</v>
      </c>
      <c r="C32" s="74" t="s">
        <v>26222</v>
      </c>
      <c r="D32" s="72" t="s">
        <v>17616</v>
      </c>
      <c r="F32" s="57"/>
      <c r="G32" s="35"/>
      <c r="J32" s="299" t="s">
        <v>17556</v>
      </c>
      <c r="K32" s="45" t="s">
        <v>398</v>
      </c>
      <c r="L32" s="46">
        <v>1</v>
      </c>
      <c r="M32" s="512"/>
      <c r="N32" s="57"/>
      <c r="O32" s="43"/>
      <c r="P32" s="37"/>
      <c r="Q32" s="38"/>
      <c r="R32" s="79"/>
      <c r="S32" s="35"/>
      <c r="V32" s="57"/>
      <c r="W32" s="208">
        <f>ROUND((ROUND((ROUND((_15_同援日１．５*_15・通訳),0)*_15・２人),0)*(1+_15・A早朝)),0)</f>
        <v>488</v>
      </c>
      <c r="X32" s="48"/>
    </row>
    <row r="33" spans="1:24" ht="16.5" customHeight="1" x14ac:dyDescent="0.15">
      <c r="A33" s="41">
        <v>15</v>
      </c>
      <c r="B33" s="41" t="s">
        <v>26223</v>
      </c>
      <c r="C33" s="74" t="s">
        <v>26224</v>
      </c>
      <c r="D33" s="72" t="s">
        <v>18183</v>
      </c>
      <c r="F33" s="57"/>
      <c r="G33" s="35"/>
      <c r="J33" s="163"/>
      <c r="K33" s="45"/>
      <c r="L33" s="46"/>
      <c r="M33" s="512"/>
      <c r="N33" s="57"/>
      <c r="O33" s="114" t="s">
        <v>17562</v>
      </c>
      <c r="P33" s="49"/>
      <c r="Q33" s="50"/>
      <c r="R33" s="115"/>
      <c r="S33" s="35"/>
      <c r="V33" s="57"/>
      <c r="W33" s="208">
        <f>ROUND((ROUND((ROUND((_15_同援日１．５*_15・通訳),0)*(1+_15・A早朝)),0)*(1+_15・盲ろう)),0)</f>
        <v>610</v>
      </c>
      <c r="X33" s="48"/>
    </row>
    <row r="34" spans="1:24" ht="16.5" customHeight="1" x14ac:dyDescent="0.15">
      <c r="A34" s="41">
        <v>15</v>
      </c>
      <c r="B34" s="41" t="s">
        <v>26225</v>
      </c>
      <c r="C34" s="74" t="s">
        <v>26226</v>
      </c>
      <c r="D34" s="72"/>
      <c r="E34" s="168">
        <f>_15_同援日１．５</f>
        <v>433</v>
      </c>
      <c r="F34" s="57" t="s">
        <v>392</v>
      </c>
      <c r="G34" s="35"/>
      <c r="J34" s="299" t="s">
        <v>17556</v>
      </c>
      <c r="K34" s="45" t="s">
        <v>398</v>
      </c>
      <c r="L34" s="46">
        <v>1</v>
      </c>
      <c r="M34" s="512"/>
      <c r="N34" s="57"/>
      <c r="O34" s="269" t="s">
        <v>17564</v>
      </c>
      <c r="P34" s="37" t="s">
        <v>398</v>
      </c>
      <c r="Q34" s="38">
        <v>0.25</v>
      </c>
      <c r="R34" s="79" t="s">
        <v>3575</v>
      </c>
      <c r="S34" s="43"/>
      <c r="T34" s="37"/>
      <c r="U34" s="38"/>
      <c r="V34" s="79"/>
      <c r="W34" s="208">
        <f>ROUND((ROUND((ROUND((ROUND((_15_同援日１．５*_15・通訳),0)*_15・２人),0)*(1+_15・A早朝)),0)*(1+_15・盲ろう)),0)</f>
        <v>610</v>
      </c>
      <c r="X34" s="48"/>
    </row>
    <row r="35" spans="1:24" ht="16.5" customHeight="1" x14ac:dyDescent="0.15">
      <c r="A35" s="41">
        <v>15</v>
      </c>
      <c r="B35" s="41" t="s">
        <v>26227</v>
      </c>
      <c r="C35" s="74" t="s">
        <v>26228</v>
      </c>
      <c r="D35" s="72"/>
      <c r="F35" s="57"/>
      <c r="G35" s="35"/>
      <c r="J35" s="163"/>
      <c r="K35" s="45"/>
      <c r="L35" s="46"/>
      <c r="M35" s="512"/>
      <c r="N35" s="57"/>
      <c r="O35" s="53"/>
      <c r="P35" s="49"/>
      <c r="Q35" s="50"/>
      <c r="R35" s="115"/>
      <c r="S35" s="114" t="s">
        <v>17570</v>
      </c>
      <c r="T35" s="49"/>
      <c r="U35" s="50"/>
      <c r="V35" s="115"/>
      <c r="W35" s="208">
        <f>ROUND((ROUND((ROUND((_15_同援日１．５*_15・通訳),0)*(1+_15・A早朝)),0)*(1+_15・区３)),0)</f>
        <v>586</v>
      </c>
      <c r="X35" s="48"/>
    </row>
    <row r="36" spans="1:24" ht="16.5" customHeight="1" x14ac:dyDescent="0.15">
      <c r="A36" s="41">
        <v>15</v>
      </c>
      <c r="B36" s="41" t="s">
        <v>26229</v>
      </c>
      <c r="C36" s="74" t="s">
        <v>26230</v>
      </c>
      <c r="D36" s="72"/>
      <c r="F36" s="57"/>
      <c r="G36" s="35"/>
      <c r="J36" s="299" t="s">
        <v>17556</v>
      </c>
      <c r="K36" s="45" t="s">
        <v>398</v>
      </c>
      <c r="L36" s="46">
        <v>1</v>
      </c>
      <c r="M36" s="512"/>
      <c r="N36" s="57"/>
      <c r="O36" s="43"/>
      <c r="P36" s="37"/>
      <c r="Q36" s="38"/>
      <c r="R36" s="79"/>
      <c r="S36" s="92" t="s">
        <v>17572</v>
      </c>
      <c r="V36" s="57"/>
      <c r="W36" s="208">
        <f>ROUND((ROUND((ROUND((ROUND((_15_同援日１．５*_15・通訳),0)*_15・２人),0)*(1+_15・A早朝)),0)*(1+_15・区３)),0)</f>
        <v>586</v>
      </c>
      <c r="X36" s="48"/>
    </row>
    <row r="37" spans="1:24" ht="16.5" customHeight="1" x14ac:dyDescent="0.15">
      <c r="A37" s="41">
        <v>15</v>
      </c>
      <c r="B37" s="41" t="s">
        <v>26231</v>
      </c>
      <c r="C37" s="74" t="s">
        <v>26232</v>
      </c>
      <c r="D37" s="72"/>
      <c r="F37" s="57"/>
      <c r="G37" s="35"/>
      <c r="J37" s="163"/>
      <c r="K37" s="45"/>
      <c r="L37" s="46"/>
      <c r="M37" s="512"/>
      <c r="N37" s="57"/>
      <c r="O37" s="114" t="s">
        <v>17562</v>
      </c>
      <c r="P37" s="49"/>
      <c r="Q37" s="50"/>
      <c r="R37" s="115"/>
      <c r="S37" s="35"/>
      <c r="T37" s="12" t="s">
        <v>398</v>
      </c>
      <c r="U37" s="13">
        <v>0.2</v>
      </c>
      <c r="V37" s="57" t="s">
        <v>3575</v>
      </c>
      <c r="W37" s="208">
        <f>ROUND((ROUND((ROUND((ROUND((_15_同援日１．５*_15・通訳),0)*(1+_15・A早朝)),0)*(1+_15・盲ろう)),0)*(1+_15・区３)),0)</f>
        <v>732</v>
      </c>
      <c r="X37" s="48"/>
    </row>
    <row r="38" spans="1:24" ht="16.5" customHeight="1" x14ac:dyDescent="0.15">
      <c r="A38" s="41">
        <v>15</v>
      </c>
      <c r="B38" s="41" t="s">
        <v>26233</v>
      </c>
      <c r="C38" s="74" t="s">
        <v>26234</v>
      </c>
      <c r="D38" s="72"/>
      <c r="F38" s="57"/>
      <c r="G38" s="35"/>
      <c r="J38" s="299" t="s">
        <v>17556</v>
      </c>
      <c r="K38" s="45" t="s">
        <v>398</v>
      </c>
      <c r="L38" s="46">
        <v>1</v>
      </c>
      <c r="M38" s="512"/>
      <c r="N38" s="57"/>
      <c r="O38" s="269" t="s">
        <v>17564</v>
      </c>
      <c r="P38" s="37" t="s">
        <v>398</v>
      </c>
      <c r="Q38" s="38">
        <v>0.25</v>
      </c>
      <c r="R38" s="79" t="s">
        <v>3575</v>
      </c>
      <c r="S38" s="43"/>
      <c r="T38" s="37"/>
      <c r="U38" s="38"/>
      <c r="V38" s="79"/>
      <c r="W38" s="208">
        <f>ROUND((ROUND((ROUND((ROUND((ROUND((_15_同援日１．５*_15・通訳),0)*_15・２人),0)*(1+_15・A早朝)),0)*(1+_15・盲ろう)),0)*(1+_15・区３)),0)</f>
        <v>732</v>
      </c>
      <c r="X38" s="48"/>
    </row>
    <row r="39" spans="1:24" ht="16.5" customHeight="1" x14ac:dyDescent="0.15">
      <c r="A39" s="41">
        <v>15</v>
      </c>
      <c r="B39" s="41" t="s">
        <v>26235</v>
      </c>
      <c r="C39" s="74" t="s">
        <v>26236</v>
      </c>
      <c r="D39" s="72"/>
      <c r="F39" s="57"/>
      <c r="G39" s="35"/>
      <c r="J39" s="163"/>
      <c r="K39" s="45"/>
      <c r="L39" s="46"/>
      <c r="M39" s="512"/>
      <c r="N39" s="57"/>
      <c r="O39" s="53"/>
      <c r="P39" s="49"/>
      <c r="Q39" s="50"/>
      <c r="R39" s="115"/>
      <c r="S39" s="114" t="s">
        <v>17580</v>
      </c>
      <c r="T39" s="49"/>
      <c r="U39" s="50"/>
      <c r="V39" s="115"/>
      <c r="W39" s="208">
        <f>ROUND((ROUND((ROUND((_15_同援日１．５*_15・通訳),0)*(1+_15・A早朝)),0)*(1+_15・区４)),0)</f>
        <v>683</v>
      </c>
      <c r="X39" s="48"/>
    </row>
    <row r="40" spans="1:24" ht="16.5" customHeight="1" x14ac:dyDescent="0.15">
      <c r="A40" s="41">
        <v>15</v>
      </c>
      <c r="B40" s="41" t="s">
        <v>26237</v>
      </c>
      <c r="C40" s="74" t="s">
        <v>26238</v>
      </c>
      <c r="D40" s="72"/>
      <c r="F40" s="57"/>
      <c r="G40" s="35"/>
      <c r="J40" s="299" t="s">
        <v>17556</v>
      </c>
      <c r="K40" s="45" t="s">
        <v>398</v>
      </c>
      <c r="L40" s="46">
        <v>1</v>
      </c>
      <c r="M40" s="512"/>
      <c r="N40" s="57"/>
      <c r="O40" s="43"/>
      <c r="P40" s="37"/>
      <c r="Q40" s="38"/>
      <c r="R40" s="79"/>
      <c r="S40" s="92" t="s">
        <v>17572</v>
      </c>
      <c r="V40" s="57"/>
      <c r="W40" s="208">
        <f>ROUND((ROUND((ROUND((ROUND((_15_同援日１．５*_15・通訳),0)*_15・２人),0)*(1+_15・A早朝)),0)*(1+_15・区４)),0)</f>
        <v>683</v>
      </c>
      <c r="X40" s="48"/>
    </row>
    <row r="41" spans="1:24" ht="16.5" customHeight="1" x14ac:dyDescent="0.15">
      <c r="A41" s="41">
        <v>15</v>
      </c>
      <c r="B41" s="41" t="s">
        <v>2638</v>
      </c>
      <c r="C41" s="74" t="s">
        <v>26239</v>
      </c>
      <c r="D41" s="72"/>
      <c r="F41" s="57"/>
      <c r="G41" s="35"/>
      <c r="J41" s="163"/>
      <c r="K41" s="45"/>
      <c r="L41" s="46"/>
      <c r="M41" s="512"/>
      <c r="N41" s="57"/>
      <c r="O41" s="114" t="s">
        <v>17562</v>
      </c>
      <c r="P41" s="49"/>
      <c r="Q41" s="50"/>
      <c r="R41" s="115"/>
      <c r="S41" s="35"/>
      <c r="T41" s="12" t="s">
        <v>398</v>
      </c>
      <c r="U41" s="13">
        <v>0.4</v>
      </c>
      <c r="V41" s="57" t="s">
        <v>3575</v>
      </c>
      <c r="W41" s="208">
        <f>ROUND((ROUND((ROUND((ROUND((_15_同援日１．５*_15・通訳),0)*(1+_15・A早朝)),0)*(1+_15・盲ろう)),0)*(1+_15・区４)),0)</f>
        <v>854</v>
      </c>
      <c r="X41" s="48"/>
    </row>
    <row r="42" spans="1:24" ht="16.5" customHeight="1" x14ac:dyDescent="0.15">
      <c r="A42" s="41">
        <v>15</v>
      </c>
      <c r="B42" s="41" t="s">
        <v>2640</v>
      </c>
      <c r="C42" s="74" t="s">
        <v>26240</v>
      </c>
      <c r="D42" s="122"/>
      <c r="E42" s="37"/>
      <c r="F42" s="79"/>
      <c r="G42" s="35"/>
      <c r="J42" s="299" t="s">
        <v>17556</v>
      </c>
      <c r="K42" s="45" t="s">
        <v>398</v>
      </c>
      <c r="L42" s="46">
        <v>1</v>
      </c>
      <c r="M42" s="512"/>
      <c r="N42" s="57"/>
      <c r="O42" s="269" t="s">
        <v>17564</v>
      </c>
      <c r="P42" s="37" t="s">
        <v>398</v>
      </c>
      <c r="Q42" s="38">
        <v>0.25</v>
      </c>
      <c r="R42" s="79" t="s">
        <v>3575</v>
      </c>
      <c r="S42" s="43"/>
      <c r="T42" s="37"/>
      <c r="U42" s="38"/>
      <c r="V42" s="79"/>
      <c r="W42" s="208">
        <f>ROUND((ROUND((ROUND((ROUND((ROUND((_15_同援日１．５*_15・通訳),0)*_15・２人),0)*(1+_15・A早朝)),0)*(1+_15・盲ろう)),0)*(1+_15・区４)),0)</f>
        <v>854</v>
      </c>
      <c r="X42" s="48"/>
    </row>
    <row r="43" spans="1:24" ht="16.5" customHeight="1" x14ac:dyDescent="0.15">
      <c r="A43" s="41">
        <v>15</v>
      </c>
      <c r="B43" s="41" t="s">
        <v>2642</v>
      </c>
      <c r="C43" s="74" t="s">
        <v>26241</v>
      </c>
      <c r="D43" s="114" t="s">
        <v>18206</v>
      </c>
      <c r="E43" s="49"/>
      <c r="F43" s="115"/>
      <c r="G43" s="35"/>
      <c r="J43" s="163"/>
      <c r="K43" s="45"/>
      <c r="L43" s="46"/>
      <c r="M43" s="512"/>
      <c r="N43" s="57"/>
      <c r="O43" s="53"/>
      <c r="P43" s="49"/>
      <c r="Q43" s="50"/>
      <c r="R43" s="115"/>
      <c r="S43" s="53"/>
      <c r="T43" s="49"/>
      <c r="U43" s="50"/>
      <c r="V43" s="115"/>
      <c r="W43" s="208">
        <f>ROUND((ROUND((_15_同援日２．０*_15・通訳),0)*(1+_15・A早朝)),0)</f>
        <v>560</v>
      </c>
      <c r="X43" s="48"/>
    </row>
    <row r="44" spans="1:24" ht="16.5" customHeight="1" x14ac:dyDescent="0.15">
      <c r="A44" s="41">
        <v>15</v>
      </c>
      <c r="B44" s="41" t="s">
        <v>2644</v>
      </c>
      <c r="C44" s="74" t="s">
        <v>26242</v>
      </c>
      <c r="D44" s="72" t="s">
        <v>17643</v>
      </c>
      <c r="F44" s="57"/>
      <c r="G44" s="35"/>
      <c r="J44" s="299" t="s">
        <v>17556</v>
      </c>
      <c r="K44" s="45" t="s">
        <v>398</v>
      </c>
      <c r="L44" s="46">
        <v>1</v>
      </c>
      <c r="M44" s="512"/>
      <c r="N44" s="57"/>
      <c r="O44" s="43"/>
      <c r="P44" s="37"/>
      <c r="Q44" s="38"/>
      <c r="R44" s="79"/>
      <c r="S44" s="35"/>
      <c r="V44" s="57"/>
      <c r="W44" s="208">
        <f>ROUND((ROUND((ROUND((_15_同援日２．０*_15・通訳),0)*_15・２人),0)*(1+_15・A早朝)),0)</f>
        <v>560</v>
      </c>
      <c r="X44" s="48"/>
    </row>
    <row r="45" spans="1:24" ht="16.5" customHeight="1" x14ac:dyDescent="0.15">
      <c r="A45" s="41">
        <v>15</v>
      </c>
      <c r="B45" s="41" t="s">
        <v>26243</v>
      </c>
      <c r="C45" s="74" t="s">
        <v>26244</v>
      </c>
      <c r="D45" s="72" t="s">
        <v>17645</v>
      </c>
      <c r="F45" s="57"/>
      <c r="G45" s="35"/>
      <c r="J45" s="163"/>
      <c r="K45" s="45"/>
      <c r="L45" s="46"/>
      <c r="M45" s="512"/>
      <c r="N45" s="57"/>
      <c r="O45" s="114" t="s">
        <v>17562</v>
      </c>
      <c r="P45" s="49"/>
      <c r="Q45" s="50"/>
      <c r="R45" s="115"/>
      <c r="S45" s="35"/>
      <c r="V45" s="57"/>
      <c r="W45" s="208">
        <f>ROUND((ROUND((ROUND((_15_同援日２．０*_15・通訳),0)*(1+_15・A早朝)),0)*(1+_15・盲ろう)),0)</f>
        <v>700</v>
      </c>
      <c r="X45" s="48"/>
    </row>
    <row r="46" spans="1:24" ht="16.5" customHeight="1" x14ac:dyDescent="0.15">
      <c r="A46" s="41">
        <v>15</v>
      </c>
      <c r="B46" s="41" t="s">
        <v>26245</v>
      </c>
      <c r="C46" s="74" t="s">
        <v>26246</v>
      </c>
      <c r="D46" s="72"/>
      <c r="E46" s="168">
        <f>_15_同援日２．０</f>
        <v>498</v>
      </c>
      <c r="F46" s="57" t="s">
        <v>392</v>
      </c>
      <c r="G46" s="35"/>
      <c r="J46" s="299" t="s">
        <v>17556</v>
      </c>
      <c r="K46" s="45" t="s">
        <v>398</v>
      </c>
      <c r="L46" s="46">
        <v>1</v>
      </c>
      <c r="M46" s="512"/>
      <c r="N46" s="57"/>
      <c r="O46" s="269" t="s">
        <v>17564</v>
      </c>
      <c r="P46" s="37" t="s">
        <v>398</v>
      </c>
      <c r="Q46" s="38">
        <v>0.25</v>
      </c>
      <c r="R46" s="79" t="s">
        <v>3575</v>
      </c>
      <c r="S46" s="43"/>
      <c r="T46" s="37"/>
      <c r="U46" s="38"/>
      <c r="V46" s="79"/>
      <c r="W46" s="208">
        <f>ROUND((ROUND((ROUND((ROUND((_15_同援日２．０*_15・通訳),0)*_15・２人),0)*(1+_15・A早朝)),0)*(1+_15・盲ろう)),0)</f>
        <v>700</v>
      </c>
      <c r="X46" s="48"/>
    </row>
    <row r="47" spans="1:24" ht="16.5" customHeight="1" x14ac:dyDescent="0.15">
      <c r="A47" s="41">
        <v>15</v>
      </c>
      <c r="B47" s="41" t="s">
        <v>26247</v>
      </c>
      <c r="C47" s="74" t="s">
        <v>26248</v>
      </c>
      <c r="D47" s="72"/>
      <c r="F47" s="57"/>
      <c r="G47" s="35"/>
      <c r="J47" s="163"/>
      <c r="K47" s="45"/>
      <c r="L47" s="46"/>
      <c r="M47" s="512"/>
      <c r="N47" s="57"/>
      <c r="O47" s="53"/>
      <c r="P47" s="49"/>
      <c r="Q47" s="50"/>
      <c r="R47" s="115"/>
      <c r="S47" s="114" t="s">
        <v>17570</v>
      </c>
      <c r="T47" s="49"/>
      <c r="U47" s="50"/>
      <c r="V47" s="115"/>
      <c r="W47" s="208">
        <f>ROUND((ROUND((ROUND((_15_同援日２．０*_15・通訳),0)*(1+_15・A早朝)),0)*(1+_15・区３)),0)</f>
        <v>672</v>
      </c>
      <c r="X47" s="48"/>
    </row>
    <row r="48" spans="1:24" ht="16.5" customHeight="1" x14ac:dyDescent="0.15">
      <c r="A48" s="41">
        <v>15</v>
      </c>
      <c r="B48" s="41" t="s">
        <v>26249</v>
      </c>
      <c r="C48" s="74" t="s">
        <v>26250</v>
      </c>
      <c r="D48" s="72"/>
      <c r="F48" s="57"/>
      <c r="G48" s="35"/>
      <c r="J48" s="299" t="s">
        <v>17556</v>
      </c>
      <c r="K48" s="45" t="s">
        <v>398</v>
      </c>
      <c r="L48" s="46">
        <v>1</v>
      </c>
      <c r="M48" s="512"/>
      <c r="N48" s="57"/>
      <c r="O48" s="43"/>
      <c r="P48" s="37"/>
      <c r="Q48" s="38"/>
      <c r="R48" s="79"/>
      <c r="S48" s="92" t="s">
        <v>17572</v>
      </c>
      <c r="V48" s="57"/>
      <c r="W48" s="208">
        <f>ROUND((ROUND((ROUND((ROUND((_15_同援日２．０*_15・通訳),0)*_15・２人),0)*(1+_15・A早朝)),0)*(1+_15・区３)),0)</f>
        <v>672</v>
      </c>
      <c r="X48" s="48"/>
    </row>
    <row r="49" spans="1:24" ht="16.5" customHeight="1" x14ac:dyDescent="0.15">
      <c r="A49" s="41">
        <v>15</v>
      </c>
      <c r="B49" s="41" t="s">
        <v>26251</v>
      </c>
      <c r="C49" s="74" t="s">
        <v>26252</v>
      </c>
      <c r="D49" s="72"/>
      <c r="F49" s="57"/>
      <c r="G49" s="35"/>
      <c r="J49" s="163"/>
      <c r="K49" s="45"/>
      <c r="L49" s="46"/>
      <c r="M49" s="512"/>
      <c r="N49" s="57"/>
      <c r="O49" s="114" t="s">
        <v>17562</v>
      </c>
      <c r="P49" s="49"/>
      <c r="Q49" s="50"/>
      <c r="R49" s="115"/>
      <c r="S49" s="35"/>
      <c r="T49" s="12" t="s">
        <v>398</v>
      </c>
      <c r="U49" s="13">
        <v>0.2</v>
      </c>
      <c r="V49" s="57" t="s">
        <v>3575</v>
      </c>
      <c r="W49" s="208">
        <f>ROUND((ROUND((ROUND((ROUND((_15_同援日２．０*_15・通訳),0)*(1+_15・A早朝)),0)*(1+_15・盲ろう)),0)*(1+_15・区３)),0)</f>
        <v>840</v>
      </c>
      <c r="X49" s="48"/>
    </row>
    <row r="50" spans="1:24" ht="16.5" customHeight="1" x14ac:dyDescent="0.15">
      <c r="A50" s="41">
        <v>15</v>
      </c>
      <c r="B50" s="41" t="s">
        <v>26253</v>
      </c>
      <c r="C50" s="74" t="s">
        <v>26254</v>
      </c>
      <c r="D50" s="72"/>
      <c r="F50" s="57"/>
      <c r="G50" s="35"/>
      <c r="J50" s="299" t="s">
        <v>17556</v>
      </c>
      <c r="K50" s="45" t="s">
        <v>398</v>
      </c>
      <c r="L50" s="46">
        <v>1</v>
      </c>
      <c r="M50" s="512"/>
      <c r="N50" s="57"/>
      <c r="O50" s="269" t="s">
        <v>17564</v>
      </c>
      <c r="P50" s="37" t="s">
        <v>398</v>
      </c>
      <c r="Q50" s="38">
        <v>0.25</v>
      </c>
      <c r="R50" s="79" t="s">
        <v>3575</v>
      </c>
      <c r="S50" s="43"/>
      <c r="T50" s="37"/>
      <c r="U50" s="38"/>
      <c r="V50" s="79"/>
      <c r="W50" s="208">
        <f>ROUND((ROUND((ROUND((ROUND((ROUND((_15_同援日２．０*_15・通訳),0)*_15・２人),0)*(1+_15・A早朝)),0)*(1+_15・盲ろう)),0)*(1+_15・区３)),0)</f>
        <v>840</v>
      </c>
      <c r="X50" s="48"/>
    </row>
    <row r="51" spans="1:24" ht="16.5" customHeight="1" x14ac:dyDescent="0.15">
      <c r="A51" s="41">
        <v>15</v>
      </c>
      <c r="B51" s="41" t="s">
        <v>26255</v>
      </c>
      <c r="C51" s="74" t="s">
        <v>26256</v>
      </c>
      <c r="D51" s="72"/>
      <c r="F51" s="57"/>
      <c r="G51" s="35"/>
      <c r="J51" s="163"/>
      <c r="K51" s="45"/>
      <c r="L51" s="46"/>
      <c r="M51" s="512"/>
      <c r="N51" s="57"/>
      <c r="O51" s="53"/>
      <c r="P51" s="49"/>
      <c r="Q51" s="50"/>
      <c r="R51" s="115"/>
      <c r="S51" s="114" t="s">
        <v>17580</v>
      </c>
      <c r="T51" s="49"/>
      <c r="U51" s="50"/>
      <c r="V51" s="115"/>
      <c r="W51" s="208">
        <f>ROUND((ROUND((ROUND((_15_同援日２．０*_15・通訳),0)*(1+_15・A早朝)),0)*(1+_15・区４)),0)</f>
        <v>784</v>
      </c>
      <c r="X51" s="48"/>
    </row>
    <row r="52" spans="1:24" ht="16.5" customHeight="1" x14ac:dyDescent="0.15">
      <c r="A52" s="41">
        <v>15</v>
      </c>
      <c r="B52" s="41" t="s">
        <v>26257</v>
      </c>
      <c r="C52" s="74" t="s">
        <v>26258</v>
      </c>
      <c r="D52" s="72"/>
      <c r="F52" s="57"/>
      <c r="G52" s="35"/>
      <c r="J52" s="299" t="s">
        <v>17556</v>
      </c>
      <c r="K52" s="45" t="s">
        <v>398</v>
      </c>
      <c r="L52" s="46">
        <v>1</v>
      </c>
      <c r="M52" s="512"/>
      <c r="N52" s="57"/>
      <c r="O52" s="43"/>
      <c r="P52" s="37"/>
      <c r="Q52" s="38"/>
      <c r="R52" s="79"/>
      <c r="S52" s="92" t="s">
        <v>17572</v>
      </c>
      <c r="V52" s="57"/>
      <c r="W52" s="208">
        <f>ROUND((ROUND((ROUND((ROUND((_15_同援日２．０*_15・通訳),0)*_15・２人),0)*(1+_15・A早朝)),0)*(1+_15・区４)),0)</f>
        <v>784</v>
      </c>
      <c r="X52" s="48"/>
    </row>
    <row r="53" spans="1:24" ht="16.5" customHeight="1" x14ac:dyDescent="0.15">
      <c r="A53" s="41">
        <v>15</v>
      </c>
      <c r="B53" s="41" t="s">
        <v>26259</v>
      </c>
      <c r="C53" s="74" t="s">
        <v>26260</v>
      </c>
      <c r="D53" s="72"/>
      <c r="F53" s="57"/>
      <c r="G53" s="35"/>
      <c r="J53" s="163"/>
      <c r="K53" s="45"/>
      <c r="L53" s="46"/>
      <c r="M53" s="512"/>
      <c r="N53" s="57"/>
      <c r="O53" s="114" t="s">
        <v>17562</v>
      </c>
      <c r="P53" s="49"/>
      <c r="Q53" s="50"/>
      <c r="R53" s="115"/>
      <c r="S53" s="35"/>
      <c r="T53" s="12" t="s">
        <v>398</v>
      </c>
      <c r="U53" s="13">
        <v>0.4</v>
      </c>
      <c r="V53" s="57" t="s">
        <v>3575</v>
      </c>
      <c r="W53" s="208">
        <f>ROUND((ROUND((ROUND((ROUND((_15_同援日２．０*_15・通訳),0)*(1+_15・A早朝)),0)*(1+_15・盲ろう)),0)*(1+_15・区４)),0)</f>
        <v>980</v>
      </c>
      <c r="X53" s="48"/>
    </row>
    <row r="54" spans="1:24" ht="16.5" customHeight="1" x14ac:dyDescent="0.15">
      <c r="A54" s="41">
        <v>15</v>
      </c>
      <c r="B54" s="41" t="s">
        <v>26261</v>
      </c>
      <c r="C54" s="74" t="s">
        <v>26262</v>
      </c>
      <c r="D54" s="122"/>
      <c r="E54" s="37"/>
      <c r="F54" s="79"/>
      <c r="G54" s="35"/>
      <c r="J54" s="299" t="s">
        <v>17556</v>
      </c>
      <c r="K54" s="45" t="s">
        <v>398</v>
      </c>
      <c r="L54" s="46">
        <v>1</v>
      </c>
      <c r="M54" s="512"/>
      <c r="N54" s="57"/>
      <c r="O54" s="269" t="s">
        <v>17564</v>
      </c>
      <c r="P54" s="37" t="s">
        <v>398</v>
      </c>
      <c r="Q54" s="38">
        <v>0.25</v>
      </c>
      <c r="R54" s="79" t="s">
        <v>3575</v>
      </c>
      <c r="S54" s="43"/>
      <c r="T54" s="37"/>
      <c r="U54" s="38"/>
      <c r="V54" s="79"/>
      <c r="W54" s="208">
        <f>ROUND((ROUND((ROUND((ROUND((ROUND((_15_同援日２．０*_15・通訳),0)*_15・２人),0)*(1+_15・A早朝)),0)*(1+_15・盲ろう)),0)*(1+_15・区４)),0)</f>
        <v>980</v>
      </c>
      <c r="X54" s="48"/>
    </row>
    <row r="55" spans="1:24" ht="16.5" customHeight="1" x14ac:dyDescent="0.15">
      <c r="A55" s="41">
        <v>15</v>
      </c>
      <c r="B55" s="41" t="s">
        <v>26263</v>
      </c>
      <c r="C55" s="74" t="s">
        <v>26264</v>
      </c>
      <c r="D55" s="114" t="s">
        <v>18231</v>
      </c>
      <c r="E55" s="49"/>
      <c r="F55" s="115"/>
      <c r="G55" s="35"/>
      <c r="J55" s="163"/>
      <c r="K55" s="45"/>
      <c r="L55" s="46"/>
      <c r="M55" s="512"/>
      <c r="N55" s="57"/>
      <c r="O55" s="53"/>
      <c r="P55" s="49"/>
      <c r="Q55" s="50"/>
      <c r="R55" s="115"/>
      <c r="S55" s="53"/>
      <c r="T55" s="49"/>
      <c r="U55" s="50"/>
      <c r="V55" s="115"/>
      <c r="W55" s="208">
        <f>ROUND((ROUND((_15_同援日２．５*_15・通訳),0)*(1+_15・A早朝)),0)</f>
        <v>634</v>
      </c>
      <c r="X55" s="48"/>
    </row>
    <row r="56" spans="1:24" ht="16.5" customHeight="1" x14ac:dyDescent="0.15">
      <c r="A56" s="41">
        <v>15</v>
      </c>
      <c r="B56" s="41" t="s">
        <v>26265</v>
      </c>
      <c r="C56" s="74" t="s">
        <v>26266</v>
      </c>
      <c r="D56" s="72" t="s">
        <v>17670</v>
      </c>
      <c r="F56" s="57"/>
      <c r="G56" s="35"/>
      <c r="J56" s="299" t="s">
        <v>17556</v>
      </c>
      <c r="K56" s="45" t="s">
        <v>398</v>
      </c>
      <c r="L56" s="46">
        <v>1</v>
      </c>
      <c r="M56" s="512"/>
      <c r="N56" s="57"/>
      <c r="O56" s="43"/>
      <c r="P56" s="37"/>
      <c r="Q56" s="38"/>
      <c r="R56" s="79"/>
      <c r="S56" s="35"/>
      <c r="V56" s="57"/>
      <c r="W56" s="208">
        <f>ROUND((ROUND((ROUND((_15_同援日２．５*_15・通訳),0)*_15・２人),0)*(1+_15・A早朝)),0)</f>
        <v>634</v>
      </c>
      <c r="X56" s="48"/>
    </row>
    <row r="57" spans="1:24" ht="16.5" customHeight="1" x14ac:dyDescent="0.15">
      <c r="A57" s="41">
        <v>15</v>
      </c>
      <c r="B57" s="41" t="s">
        <v>26267</v>
      </c>
      <c r="C57" s="74" t="s">
        <v>26268</v>
      </c>
      <c r="D57" s="72" t="s">
        <v>17672</v>
      </c>
      <c r="F57" s="57"/>
      <c r="G57" s="35"/>
      <c r="J57" s="163"/>
      <c r="K57" s="45"/>
      <c r="L57" s="46"/>
      <c r="M57" s="512"/>
      <c r="N57" s="57"/>
      <c r="O57" s="114" t="s">
        <v>17562</v>
      </c>
      <c r="P57" s="49"/>
      <c r="Q57" s="50"/>
      <c r="R57" s="115"/>
      <c r="S57" s="35"/>
      <c r="V57" s="57"/>
      <c r="W57" s="208">
        <f>ROUND((ROUND((ROUND((_15_同援日２．５*_15・通訳),0)*(1+_15・A早朝)),0)*(1+_15・盲ろう)),0)</f>
        <v>793</v>
      </c>
      <c r="X57" s="48"/>
    </row>
    <row r="58" spans="1:24" ht="16.5" customHeight="1" x14ac:dyDescent="0.15">
      <c r="A58" s="41">
        <v>15</v>
      </c>
      <c r="B58" s="41" t="s">
        <v>26269</v>
      </c>
      <c r="C58" s="74" t="s">
        <v>26270</v>
      </c>
      <c r="D58" s="72"/>
      <c r="E58" s="168">
        <f>_15_同援日２．５</f>
        <v>563</v>
      </c>
      <c r="F58" s="57" t="s">
        <v>392</v>
      </c>
      <c r="G58" s="35"/>
      <c r="J58" s="299" t="s">
        <v>17556</v>
      </c>
      <c r="K58" s="45" t="s">
        <v>398</v>
      </c>
      <c r="L58" s="46">
        <v>1</v>
      </c>
      <c r="M58" s="512"/>
      <c r="N58" s="57"/>
      <c r="O58" s="269" t="s">
        <v>17564</v>
      </c>
      <c r="P58" s="37" t="s">
        <v>398</v>
      </c>
      <c r="Q58" s="38">
        <v>0.25</v>
      </c>
      <c r="R58" s="79" t="s">
        <v>3575</v>
      </c>
      <c r="S58" s="43"/>
      <c r="T58" s="37"/>
      <c r="U58" s="38"/>
      <c r="V58" s="79"/>
      <c r="W58" s="208">
        <f>ROUND((ROUND((ROUND((ROUND((_15_同援日２．５*_15・通訳),0)*_15・２人),0)*(1+_15・A早朝)),0)*(1+_15・盲ろう)),0)</f>
        <v>793</v>
      </c>
      <c r="X58" s="48"/>
    </row>
    <row r="59" spans="1:24" ht="16.5" customHeight="1" x14ac:dyDescent="0.15">
      <c r="A59" s="41">
        <v>15</v>
      </c>
      <c r="B59" s="41" t="s">
        <v>26271</v>
      </c>
      <c r="C59" s="74" t="s">
        <v>26272</v>
      </c>
      <c r="D59" s="72"/>
      <c r="F59" s="57"/>
      <c r="G59" s="35"/>
      <c r="J59" s="163"/>
      <c r="K59" s="45"/>
      <c r="L59" s="46"/>
      <c r="M59" s="512"/>
      <c r="N59" s="57"/>
      <c r="O59" s="53"/>
      <c r="P59" s="49"/>
      <c r="Q59" s="50"/>
      <c r="R59" s="115"/>
      <c r="S59" s="114" t="s">
        <v>17570</v>
      </c>
      <c r="T59" s="49"/>
      <c r="U59" s="50"/>
      <c r="V59" s="115"/>
      <c r="W59" s="208">
        <f>ROUND((ROUND((ROUND((_15_同援日２．５*_15・通訳),0)*(1+_15・A早朝)),0)*(1+_15・区３)),0)</f>
        <v>761</v>
      </c>
      <c r="X59" s="48"/>
    </row>
    <row r="60" spans="1:24" ht="16.5" customHeight="1" x14ac:dyDescent="0.15">
      <c r="A60" s="41">
        <v>15</v>
      </c>
      <c r="B60" s="41" t="s">
        <v>26273</v>
      </c>
      <c r="C60" s="74" t="s">
        <v>26274</v>
      </c>
      <c r="D60" s="72"/>
      <c r="F60" s="57"/>
      <c r="G60" s="35"/>
      <c r="J60" s="299" t="s">
        <v>17556</v>
      </c>
      <c r="K60" s="45" t="s">
        <v>398</v>
      </c>
      <c r="L60" s="46">
        <v>1</v>
      </c>
      <c r="M60" s="512"/>
      <c r="N60" s="57"/>
      <c r="O60" s="43"/>
      <c r="P60" s="37"/>
      <c r="Q60" s="38"/>
      <c r="R60" s="79"/>
      <c r="S60" s="92" t="s">
        <v>17572</v>
      </c>
      <c r="V60" s="57"/>
      <c r="W60" s="208">
        <f>ROUND((ROUND((ROUND((ROUND((_15_同援日２．５*_15・通訳),0)*_15・２人),0)*(1+_15・A早朝)),0)*(1+_15・区３)),0)</f>
        <v>761</v>
      </c>
      <c r="X60" s="48"/>
    </row>
    <row r="61" spans="1:24" ht="16.5" customHeight="1" x14ac:dyDescent="0.15">
      <c r="A61" s="41">
        <v>15</v>
      </c>
      <c r="B61" s="41" t="s">
        <v>2651</v>
      </c>
      <c r="C61" s="74" t="s">
        <v>26275</v>
      </c>
      <c r="D61" s="72"/>
      <c r="F61" s="57"/>
      <c r="G61" s="35"/>
      <c r="J61" s="163"/>
      <c r="K61" s="45"/>
      <c r="L61" s="46"/>
      <c r="M61" s="512"/>
      <c r="N61" s="57"/>
      <c r="O61" s="114" t="s">
        <v>17562</v>
      </c>
      <c r="P61" s="49"/>
      <c r="Q61" s="50"/>
      <c r="R61" s="115"/>
      <c r="S61" s="35"/>
      <c r="T61" s="12" t="s">
        <v>398</v>
      </c>
      <c r="U61" s="13">
        <v>0.2</v>
      </c>
      <c r="V61" s="57" t="s">
        <v>3575</v>
      </c>
      <c r="W61" s="208">
        <f>ROUND((ROUND((ROUND((ROUND((_15_同援日２．５*_15・通訳),0)*(1+_15・A早朝)),0)*(1+_15・盲ろう)),0)*(1+_15・区３)),0)</f>
        <v>952</v>
      </c>
      <c r="X61" s="48"/>
    </row>
    <row r="62" spans="1:24" ht="16.5" customHeight="1" x14ac:dyDescent="0.15">
      <c r="A62" s="41">
        <v>15</v>
      </c>
      <c r="B62" s="41" t="s">
        <v>2653</v>
      </c>
      <c r="C62" s="74" t="s">
        <v>26276</v>
      </c>
      <c r="D62" s="72"/>
      <c r="F62" s="57"/>
      <c r="G62" s="35"/>
      <c r="J62" s="299" t="s">
        <v>17556</v>
      </c>
      <c r="K62" s="45" t="s">
        <v>398</v>
      </c>
      <c r="L62" s="46">
        <v>1</v>
      </c>
      <c r="M62" s="512"/>
      <c r="N62" s="57"/>
      <c r="O62" s="269" t="s">
        <v>17564</v>
      </c>
      <c r="P62" s="37" t="s">
        <v>398</v>
      </c>
      <c r="Q62" s="38">
        <v>0.25</v>
      </c>
      <c r="R62" s="79" t="s">
        <v>3575</v>
      </c>
      <c r="S62" s="43"/>
      <c r="T62" s="37"/>
      <c r="U62" s="38"/>
      <c r="V62" s="79"/>
      <c r="W62" s="208">
        <f>ROUND((ROUND((ROUND((ROUND((ROUND((_15_同援日２．５*_15・通訳),0)*_15・２人),0)*(1+_15・A早朝)),0)*(1+_15・盲ろう)),0)*(1+_15・区３)),0)</f>
        <v>952</v>
      </c>
      <c r="X62" s="48"/>
    </row>
    <row r="63" spans="1:24" ht="16.5" customHeight="1" x14ac:dyDescent="0.15">
      <c r="A63" s="41">
        <v>15</v>
      </c>
      <c r="B63" s="41" t="s">
        <v>2655</v>
      </c>
      <c r="C63" s="74" t="s">
        <v>26277</v>
      </c>
      <c r="D63" s="72"/>
      <c r="F63" s="57"/>
      <c r="G63" s="35"/>
      <c r="J63" s="163"/>
      <c r="K63" s="45"/>
      <c r="L63" s="46"/>
      <c r="M63" s="512"/>
      <c r="N63" s="57"/>
      <c r="O63" s="53"/>
      <c r="P63" s="49"/>
      <c r="Q63" s="50"/>
      <c r="R63" s="115"/>
      <c r="S63" s="114" t="s">
        <v>17580</v>
      </c>
      <c r="T63" s="49"/>
      <c r="U63" s="50"/>
      <c r="V63" s="115"/>
      <c r="W63" s="208">
        <f>ROUND((ROUND((ROUND((_15_同援日２．５*_15・通訳),0)*(1+_15・A早朝)),0)*(1+_15・区４)),0)</f>
        <v>888</v>
      </c>
      <c r="X63" s="48"/>
    </row>
    <row r="64" spans="1:24" ht="16.5" customHeight="1" x14ac:dyDescent="0.15">
      <c r="A64" s="41">
        <v>15</v>
      </c>
      <c r="B64" s="41" t="s">
        <v>2657</v>
      </c>
      <c r="C64" s="74" t="s">
        <v>26278</v>
      </c>
      <c r="D64" s="72"/>
      <c r="F64" s="57"/>
      <c r="G64" s="35"/>
      <c r="J64" s="299" t="s">
        <v>17556</v>
      </c>
      <c r="K64" s="45" t="s">
        <v>398</v>
      </c>
      <c r="L64" s="46">
        <v>1</v>
      </c>
      <c r="M64" s="512"/>
      <c r="N64" s="57"/>
      <c r="O64" s="43"/>
      <c r="P64" s="37"/>
      <c r="Q64" s="38"/>
      <c r="R64" s="79"/>
      <c r="S64" s="92" t="s">
        <v>17572</v>
      </c>
      <c r="V64" s="57"/>
      <c r="W64" s="208">
        <f>ROUND((ROUND((ROUND((ROUND((_15_同援日２．５*_15・通訳),0)*_15・２人),0)*(1+_15・A早朝)),0)*(1+_15・区４)),0)</f>
        <v>888</v>
      </c>
      <c r="X64" s="48"/>
    </row>
    <row r="65" spans="1:24" ht="16.5" customHeight="1" x14ac:dyDescent="0.15">
      <c r="A65" s="41">
        <v>15</v>
      </c>
      <c r="B65" s="41" t="s">
        <v>26279</v>
      </c>
      <c r="C65" s="74" t="s">
        <v>26280</v>
      </c>
      <c r="D65" s="72"/>
      <c r="F65" s="57"/>
      <c r="G65" s="35"/>
      <c r="J65" s="163"/>
      <c r="K65" s="45"/>
      <c r="L65" s="46"/>
      <c r="M65" s="512"/>
      <c r="N65" s="57"/>
      <c r="O65" s="114" t="s">
        <v>17562</v>
      </c>
      <c r="P65" s="49"/>
      <c r="Q65" s="50"/>
      <c r="R65" s="115"/>
      <c r="S65" s="35"/>
      <c r="T65" s="12" t="s">
        <v>398</v>
      </c>
      <c r="U65" s="13">
        <v>0.4</v>
      </c>
      <c r="V65" s="57" t="s">
        <v>3575</v>
      </c>
      <c r="W65" s="208">
        <f>ROUND((ROUND((ROUND((ROUND((_15_同援日２．５*_15・通訳),0)*(1+_15・A早朝)),0)*(1+_15・盲ろう)),0)*(1+_15・区４)),0)</f>
        <v>1110</v>
      </c>
      <c r="X65" s="48"/>
    </row>
    <row r="66" spans="1:24" ht="16.5" customHeight="1" x14ac:dyDescent="0.15">
      <c r="A66" s="41">
        <v>15</v>
      </c>
      <c r="B66" s="41" t="s">
        <v>26281</v>
      </c>
      <c r="C66" s="74" t="s">
        <v>26282</v>
      </c>
      <c r="D66" s="122"/>
      <c r="E66" s="37"/>
      <c r="F66" s="79"/>
      <c r="G66" s="43"/>
      <c r="H66" s="37"/>
      <c r="I66" s="38"/>
      <c r="J66" s="299" t="s">
        <v>17556</v>
      </c>
      <c r="K66" s="45" t="s">
        <v>398</v>
      </c>
      <c r="L66" s="46">
        <v>1</v>
      </c>
      <c r="M66" s="514"/>
      <c r="N66" s="79"/>
      <c r="O66" s="269" t="s">
        <v>17564</v>
      </c>
      <c r="P66" s="37" t="s">
        <v>398</v>
      </c>
      <c r="Q66" s="38">
        <v>0.25</v>
      </c>
      <c r="R66" s="79" t="s">
        <v>3575</v>
      </c>
      <c r="S66" s="43"/>
      <c r="T66" s="37"/>
      <c r="U66" s="38"/>
      <c r="V66" s="79"/>
      <c r="W66" s="208">
        <f>ROUND((ROUND((ROUND((ROUND((ROUND((_15_同援日２．５*_15・通訳),0)*_15・２人),0)*(1+_15・A早朝)),0)*(1+_15・盲ろう)),0)*(1+_15・区４)),0)</f>
        <v>1110</v>
      </c>
      <c r="X66" s="63"/>
    </row>
    <row r="67" spans="1:24" ht="16.5" customHeight="1" x14ac:dyDescent="0.15">
      <c r="A67" s="527"/>
      <c r="B67" s="527"/>
      <c r="C67" s="528"/>
      <c r="D67" s="253"/>
      <c r="E67" s="49"/>
      <c r="F67" s="49"/>
      <c r="G67" s="49"/>
      <c r="H67" s="49"/>
      <c r="I67" s="50"/>
      <c r="J67" s="50"/>
      <c r="K67" s="50"/>
      <c r="L67" s="50"/>
      <c r="M67" s="50"/>
      <c r="N67" s="50"/>
      <c r="O67" s="50"/>
      <c r="P67" s="49"/>
      <c r="Q67" s="50"/>
      <c r="R67" s="49"/>
      <c r="S67" s="49"/>
      <c r="T67" s="49"/>
      <c r="U67" s="50"/>
      <c r="V67" s="49"/>
      <c r="W67" s="529"/>
      <c r="X67" s="530"/>
    </row>
    <row r="68" spans="1:24" ht="16.5" customHeight="1" x14ac:dyDescent="0.15">
      <c r="A68" s="80"/>
      <c r="B68" s="80"/>
      <c r="C68" s="81"/>
      <c r="J68" s="13"/>
      <c r="K68" s="13"/>
      <c r="N68" s="13"/>
      <c r="O68" s="13"/>
      <c r="W68" s="209"/>
      <c r="X68" s="85"/>
    </row>
    <row r="69" spans="1:24" ht="16.5" customHeight="1" x14ac:dyDescent="0.15">
      <c r="A69" s="80"/>
      <c r="B69" s="157" t="s">
        <v>26283</v>
      </c>
      <c r="C69" s="81"/>
      <c r="D69" s="71"/>
      <c r="J69" s="13"/>
      <c r="K69" s="13"/>
      <c r="N69" s="13"/>
      <c r="O69" s="13"/>
      <c r="W69" s="209"/>
      <c r="X69" s="85"/>
    </row>
    <row r="70" spans="1:24" ht="16.5" customHeight="1" x14ac:dyDescent="0.15">
      <c r="A70" s="87" t="s">
        <v>384</v>
      </c>
      <c r="B70" s="20"/>
      <c r="C70" s="88" t="s">
        <v>385</v>
      </c>
      <c r="D70" s="23" t="s">
        <v>386</v>
      </c>
      <c r="E70" s="23"/>
      <c r="F70" s="23"/>
      <c r="G70" s="23"/>
      <c r="H70" s="23"/>
      <c r="I70" s="24"/>
      <c r="J70" s="23"/>
      <c r="K70" s="23"/>
      <c r="L70" s="24"/>
      <c r="M70" s="531"/>
      <c r="N70" s="532"/>
      <c r="O70" s="23"/>
      <c r="P70" s="23"/>
      <c r="Q70" s="24"/>
      <c r="R70" s="23"/>
      <c r="S70" s="23"/>
      <c r="T70" s="23"/>
      <c r="U70" s="24"/>
      <c r="V70" s="23"/>
      <c r="W70" s="21" t="s">
        <v>387</v>
      </c>
      <c r="X70" s="21" t="s">
        <v>388</v>
      </c>
    </row>
    <row r="71" spans="1:24" ht="16.5" customHeight="1" x14ac:dyDescent="0.15">
      <c r="A71" s="26" t="s">
        <v>389</v>
      </c>
      <c r="B71" s="26" t="s">
        <v>390</v>
      </c>
      <c r="C71" s="89"/>
      <c r="D71" s="29"/>
      <c r="E71" s="29"/>
      <c r="F71" s="29"/>
      <c r="G71" s="29"/>
      <c r="H71" s="29"/>
      <c r="I71" s="30"/>
      <c r="J71" s="29"/>
      <c r="K71" s="29"/>
      <c r="L71" s="29"/>
      <c r="M71" s="29"/>
      <c r="N71" s="29"/>
      <c r="O71" s="29"/>
      <c r="P71" s="29"/>
      <c r="Q71" s="30"/>
      <c r="R71" s="29"/>
      <c r="S71" s="29"/>
      <c r="T71" s="29"/>
      <c r="U71" s="30"/>
      <c r="V71" s="29"/>
      <c r="W71" s="32" t="s">
        <v>391</v>
      </c>
      <c r="X71" s="32" t="s">
        <v>392</v>
      </c>
    </row>
    <row r="72" spans="1:24" ht="16.5" customHeight="1" x14ac:dyDescent="0.15">
      <c r="A72" s="33">
        <v>15</v>
      </c>
      <c r="B72" s="33" t="s">
        <v>26284</v>
      </c>
      <c r="C72" s="34" t="s">
        <v>26285</v>
      </c>
      <c r="D72" s="72" t="s">
        <v>18257</v>
      </c>
      <c r="F72" s="57"/>
      <c r="G72" s="35"/>
      <c r="J72" s="43"/>
      <c r="K72" s="37"/>
      <c r="L72" s="38"/>
      <c r="M72" s="512"/>
      <c r="N72" s="57"/>
      <c r="O72" s="35"/>
      <c r="R72" s="57"/>
      <c r="S72" s="35"/>
      <c r="V72" s="57"/>
      <c r="W72" s="207">
        <f>ROUND((ROUND((_15_同援日０．５*_15・通訳),0)*(1+_15・A夜間)),0)</f>
        <v>214</v>
      </c>
      <c r="X72" s="40" t="s">
        <v>395</v>
      </c>
    </row>
    <row r="73" spans="1:24" ht="16.5" customHeight="1" x14ac:dyDescent="0.15">
      <c r="A73" s="41">
        <v>15</v>
      </c>
      <c r="B73" s="41" t="s">
        <v>26286</v>
      </c>
      <c r="C73" s="74" t="s">
        <v>26287</v>
      </c>
      <c r="D73" s="72" t="s">
        <v>18259</v>
      </c>
      <c r="F73" s="57"/>
      <c r="G73" s="35"/>
      <c r="J73" s="299" t="s">
        <v>17556</v>
      </c>
      <c r="K73" s="45" t="s">
        <v>398</v>
      </c>
      <c r="L73" s="46">
        <v>1</v>
      </c>
      <c r="M73" s="512"/>
      <c r="N73" s="57"/>
      <c r="O73" s="43"/>
      <c r="P73" s="37"/>
      <c r="Q73" s="38"/>
      <c r="R73" s="79"/>
      <c r="S73" s="35"/>
      <c r="V73" s="57"/>
      <c r="W73" s="208">
        <f>ROUND((ROUND((ROUND((_15_同援日０．５*_15・通訳),0)*_15・２人),0)*(1+_15・A夜間)),0)</f>
        <v>214</v>
      </c>
      <c r="X73" s="48"/>
    </row>
    <row r="74" spans="1:24" ht="16.5" customHeight="1" x14ac:dyDescent="0.15">
      <c r="A74" s="41">
        <v>15</v>
      </c>
      <c r="B74" s="41" t="s">
        <v>26288</v>
      </c>
      <c r="C74" s="74" t="s">
        <v>26289</v>
      </c>
      <c r="D74" s="72"/>
      <c r="F74" s="57"/>
      <c r="G74" s="35"/>
      <c r="J74" s="163"/>
      <c r="K74" s="45"/>
      <c r="L74" s="46"/>
      <c r="M74" s="512"/>
      <c r="N74" s="57"/>
      <c r="O74" s="114" t="s">
        <v>17562</v>
      </c>
      <c r="P74" s="49"/>
      <c r="Q74" s="50"/>
      <c r="R74" s="115"/>
      <c r="S74" s="35"/>
      <c r="V74" s="57"/>
      <c r="W74" s="208">
        <f>ROUND((ROUND((ROUND((_15_同援日０．５*_15・通訳),0)*(1+_15・A夜間)),0)*(1+_15・盲ろう)),0)</f>
        <v>268</v>
      </c>
      <c r="X74" s="48"/>
    </row>
    <row r="75" spans="1:24" ht="16.5" customHeight="1" x14ac:dyDescent="0.15">
      <c r="A75" s="41">
        <v>15</v>
      </c>
      <c r="B75" s="41" t="s">
        <v>26290</v>
      </c>
      <c r="C75" s="74" t="s">
        <v>26291</v>
      </c>
      <c r="D75" s="72"/>
      <c r="E75" s="168">
        <f>_15_同援日０．５</f>
        <v>190</v>
      </c>
      <c r="F75" s="57" t="s">
        <v>392</v>
      </c>
      <c r="G75" s="35"/>
      <c r="J75" s="299" t="s">
        <v>17556</v>
      </c>
      <c r="K75" s="45" t="s">
        <v>398</v>
      </c>
      <c r="L75" s="46">
        <v>1</v>
      </c>
      <c r="M75" s="512"/>
      <c r="N75" s="57"/>
      <c r="O75" s="269" t="s">
        <v>17564</v>
      </c>
      <c r="P75" s="37" t="s">
        <v>398</v>
      </c>
      <c r="Q75" s="38">
        <v>0.25</v>
      </c>
      <c r="R75" s="79" t="s">
        <v>3575</v>
      </c>
      <c r="S75" s="43"/>
      <c r="T75" s="37"/>
      <c r="U75" s="38"/>
      <c r="V75" s="79"/>
      <c r="W75" s="208">
        <f>ROUND((ROUND((ROUND((ROUND((_15_同援日０．５*_15・通訳),0)*_15・２人),0)*(1+_15・A夜間)),0)*(1+_15・盲ろう)),0)</f>
        <v>268</v>
      </c>
      <c r="X75" s="48"/>
    </row>
    <row r="76" spans="1:24" ht="16.5" customHeight="1" x14ac:dyDescent="0.15">
      <c r="A76" s="41">
        <v>15</v>
      </c>
      <c r="B76" s="41" t="s">
        <v>26292</v>
      </c>
      <c r="C76" s="74" t="s">
        <v>26293</v>
      </c>
      <c r="D76" s="72"/>
      <c r="F76" s="57"/>
      <c r="G76" s="35"/>
      <c r="J76" s="163"/>
      <c r="K76" s="45"/>
      <c r="L76" s="46"/>
      <c r="M76" s="512"/>
      <c r="N76" s="57"/>
      <c r="O76" s="53"/>
      <c r="P76" s="49"/>
      <c r="Q76" s="50"/>
      <c r="R76" s="115"/>
      <c r="S76" s="114" t="s">
        <v>17570</v>
      </c>
      <c r="T76" s="49"/>
      <c r="U76" s="50"/>
      <c r="V76" s="115"/>
      <c r="W76" s="208">
        <f>ROUND((ROUND((ROUND((_15_同援日０．５*_15・通訳),0)*(1+_15・A夜間)),0)*(1+_15・区３)),0)</f>
        <v>257</v>
      </c>
      <c r="X76" s="48"/>
    </row>
    <row r="77" spans="1:24" ht="16.5" customHeight="1" x14ac:dyDescent="0.15">
      <c r="A77" s="41">
        <v>15</v>
      </c>
      <c r="B77" s="41" t="s">
        <v>26294</v>
      </c>
      <c r="C77" s="74" t="s">
        <v>26295</v>
      </c>
      <c r="D77" s="72"/>
      <c r="F77" s="57"/>
      <c r="G77" s="72" t="s">
        <v>25732</v>
      </c>
      <c r="J77" s="299" t="s">
        <v>17556</v>
      </c>
      <c r="K77" s="45" t="s">
        <v>398</v>
      </c>
      <c r="L77" s="46">
        <v>1</v>
      </c>
      <c r="M77" s="512" t="s">
        <v>26296</v>
      </c>
      <c r="N77" s="57"/>
      <c r="O77" s="43"/>
      <c r="P77" s="37"/>
      <c r="Q77" s="38"/>
      <c r="R77" s="79"/>
      <c r="S77" s="92" t="s">
        <v>17572</v>
      </c>
      <c r="V77" s="57"/>
      <c r="W77" s="208">
        <f>ROUND((ROUND((ROUND((ROUND((_15_同援日０．５*_15・通訳),0)*_15・２人),0)*(1+_15・A夜間)),0)*(1+_15・区３)),0)</f>
        <v>257</v>
      </c>
      <c r="X77" s="48"/>
    </row>
    <row r="78" spans="1:24" ht="16.5" customHeight="1" x14ac:dyDescent="0.15">
      <c r="A78" s="41">
        <v>15</v>
      </c>
      <c r="B78" s="41" t="s">
        <v>26297</v>
      </c>
      <c r="C78" s="74" t="s">
        <v>26298</v>
      </c>
      <c r="D78" s="72"/>
      <c r="F78" s="57"/>
      <c r="G78" s="92" t="s">
        <v>25734</v>
      </c>
      <c r="H78" s="12" t="s">
        <v>398</v>
      </c>
      <c r="I78" s="13">
        <v>0.9</v>
      </c>
      <c r="J78" s="163"/>
      <c r="K78" s="45"/>
      <c r="L78" s="46"/>
      <c r="M78" s="512"/>
      <c r="N78" s="513" t="s">
        <v>18136</v>
      </c>
      <c r="O78" s="114" t="s">
        <v>17562</v>
      </c>
      <c r="P78" s="49"/>
      <c r="Q78" s="50"/>
      <c r="R78" s="115"/>
      <c r="S78" s="35"/>
      <c r="T78" s="12" t="s">
        <v>398</v>
      </c>
      <c r="U78" s="13">
        <v>0.2</v>
      </c>
      <c r="V78" s="57" t="s">
        <v>3575</v>
      </c>
      <c r="W78" s="208">
        <f>ROUND((ROUND((ROUND((ROUND((_15_同援日０．５*_15・通訳),0)*(1+_15・A夜間)),0)*(1+_15・盲ろう)),0)*(1+_15・区３)),0)</f>
        <v>322</v>
      </c>
      <c r="X78" s="48"/>
    </row>
    <row r="79" spans="1:24" ht="16.5" customHeight="1" x14ac:dyDescent="0.15">
      <c r="A79" s="41">
        <v>15</v>
      </c>
      <c r="B79" s="41" t="s">
        <v>26299</v>
      </c>
      <c r="C79" s="74" t="s">
        <v>26300</v>
      </c>
      <c r="D79" s="72"/>
      <c r="F79" s="57"/>
      <c r="G79" s="35"/>
      <c r="J79" s="299" t="s">
        <v>17556</v>
      </c>
      <c r="K79" s="45" t="s">
        <v>398</v>
      </c>
      <c r="L79" s="46">
        <v>1</v>
      </c>
      <c r="M79" s="512"/>
      <c r="N79" s="57"/>
      <c r="O79" s="269" t="s">
        <v>17564</v>
      </c>
      <c r="P79" s="37" t="s">
        <v>398</v>
      </c>
      <c r="Q79" s="38">
        <v>0.25</v>
      </c>
      <c r="R79" s="79" t="s">
        <v>3575</v>
      </c>
      <c r="S79" s="43"/>
      <c r="T79" s="37"/>
      <c r="U79" s="38"/>
      <c r="V79" s="79"/>
      <c r="W79" s="208">
        <f>ROUND((ROUND((ROUND((ROUND((ROUND((_15_同援日０．５*_15・通訳),0)*_15・２人),0)*(1+_15・A夜間)),0)*(1+_15・盲ろう)),0)*(1+_15・区３)),0)</f>
        <v>322</v>
      </c>
      <c r="X79" s="48"/>
    </row>
    <row r="80" spans="1:24" ht="16.5" customHeight="1" x14ac:dyDescent="0.15">
      <c r="A80" s="41">
        <v>15</v>
      </c>
      <c r="B80" s="41" t="s">
        <v>26301</v>
      </c>
      <c r="C80" s="74" t="s">
        <v>26302</v>
      </c>
      <c r="D80" s="72"/>
      <c r="F80" s="57"/>
      <c r="G80" s="35"/>
      <c r="J80" s="163"/>
      <c r="K80" s="45"/>
      <c r="L80" s="46"/>
      <c r="M80" s="35" t="s">
        <v>398</v>
      </c>
      <c r="N80" s="234">
        <v>0.25</v>
      </c>
      <c r="O80" s="53"/>
      <c r="P80" s="49"/>
      <c r="Q80" s="50"/>
      <c r="R80" s="115"/>
      <c r="S80" s="114" t="s">
        <v>17580</v>
      </c>
      <c r="T80" s="49"/>
      <c r="U80" s="50"/>
      <c r="V80" s="115"/>
      <c r="W80" s="208">
        <f>ROUND((ROUND((ROUND((_15_同援日０．５*_15・通訳),0)*(1+_15・A夜間)),0)*(1+_15・区４)),0)</f>
        <v>300</v>
      </c>
      <c r="X80" s="48"/>
    </row>
    <row r="81" spans="1:24" ht="16.5" customHeight="1" x14ac:dyDescent="0.15">
      <c r="A81" s="41">
        <v>15</v>
      </c>
      <c r="B81" s="41" t="s">
        <v>26303</v>
      </c>
      <c r="C81" s="74" t="s">
        <v>26304</v>
      </c>
      <c r="D81" s="72"/>
      <c r="F81" s="57"/>
      <c r="G81" s="35"/>
      <c r="J81" s="299" t="s">
        <v>17556</v>
      </c>
      <c r="K81" s="45" t="s">
        <v>398</v>
      </c>
      <c r="L81" s="46">
        <v>1</v>
      </c>
      <c r="M81" s="512"/>
      <c r="N81" s="513" t="s">
        <v>3575</v>
      </c>
      <c r="O81" s="43"/>
      <c r="P81" s="37"/>
      <c r="Q81" s="38"/>
      <c r="R81" s="79"/>
      <c r="S81" s="92" t="s">
        <v>17572</v>
      </c>
      <c r="V81" s="57"/>
      <c r="W81" s="208">
        <f>ROUND((ROUND((ROUND((ROUND((_15_同援日０．５*_15・通訳),0)*_15・２人),0)*(1+_15・A夜間)),0)*(1+_15・区４)),0)</f>
        <v>300</v>
      </c>
      <c r="X81" s="48"/>
    </row>
    <row r="82" spans="1:24" ht="16.5" customHeight="1" x14ac:dyDescent="0.15">
      <c r="A82" s="41">
        <v>15</v>
      </c>
      <c r="B82" s="41" t="s">
        <v>26305</v>
      </c>
      <c r="C82" s="74" t="s">
        <v>26306</v>
      </c>
      <c r="D82" s="72"/>
      <c r="F82" s="57"/>
      <c r="G82" s="35"/>
      <c r="J82" s="163"/>
      <c r="K82" s="45"/>
      <c r="L82" s="46"/>
      <c r="M82" s="512"/>
      <c r="N82" s="57"/>
      <c r="O82" s="114" t="s">
        <v>17562</v>
      </c>
      <c r="P82" s="49"/>
      <c r="Q82" s="50"/>
      <c r="R82" s="115"/>
      <c r="S82" s="35"/>
      <c r="T82" s="12" t="s">
        <v>398</v>
      </c>
      <c r="U82" s="13">
        <v>0.4</v>
      </c>
      <c r="V82" s="57" t="s">
        <v>3575</v>
      </c>
      <c r="W82" s="208">
        <f>ROUND((ROUND((ROUND((ROUND((_15_同援日０．５*_15・通訳),0)*(1+_15・A夜間)),0)*(1+_15・盲ろう)),0)*(1+_15・区４)),0)</f>
        <v>375</v>
      </c>
      <c r="X82" s="48"/>
    </row>
    <row r="83" spans="1:24" ht="16.5" customHeight="1" x14ac:dyDescent="0.15">
      <c r="A83" s="41">
        <v>15</v>
      </c>
      <c r="B83" s="41" t="s">
        <v>26307</v>
      </c>
      <c r="C83" s="74" t="s">
        <v>26308</v>
      </c>
      <c r="D83" s="122"/>
      <c r="E83" s="37"/>
      <c r="F83" s="79"/>
      <c r="G83" s="35"/>
      <c r="J83" s="299" t="s">
        <v>17556</v>
      </c>
      <c r="K83" s="45" t="s">
        <v>398</v>
      </c>
      <c r="L83" s="46">
        <v>1</v>
      </c>
      <c r="M83" s="512"/>
      <c r="N83" s="57"/>
      <c r="O83" s="269" t="s">
        <v>17564</v>
      </c>
      <c r="P83" s="37" t="s">
        <v>398</v>
      </c>
      <c r="Q83" s="38">
        <v>0.25</v>
      </c>
      <c r="R83" s="79" t="s">
        <v>3575</v>
      </c>
      <c r="S83" s="43"/>
      <c r="T83" s="37"/>
      <c r="U83" s="38"/>
      <c r="V83" s="79"/>
      <c r="W83" s="208">
        <f>ROUND((ROUND((ROUND((ROUND((ROUND((_15_同援日０．５*_15・通訳),0)*_15・２人),0)*(1+_15・A夜間)),0)*(1+_15・盲ろう)),0)*(1+_15・区４)),0)</f>
        <v>375</v>
      </c>
      <c r="X83" s="48"/>
    </row>
    <row r="84" spans="1:24" ht="16.5" customHeight="1" x14ac:dyDescent="0.15">
      <c r="A84" s="41">
        <v>15</v>
      </c>
      <c r="B84" s="41" t="s">
        <v>26309</v>
      </c>
      <c r="C84" s="74" t="s">
        <v>26310</v>
      </c>
      <c r="D84" s="114" t="s">
        <v>18284</v>
      </c>
      <c r="E84" s="49"/>
      <c r="F84" s="115"/>
      <c r="G84" s="35"/>
      <c r="J84" s="163"/>
      <c r="K84" s="45"/>
      <c r="L84" s="46"/>
      <c r="M84" s="512"/>
      <c r="N84" s="57"/>
      <c r="O84" s="53"/>
      <c r="P84" s="49"/>
      <c r="Q84" s="50"/>
      <c r="R84" s="115"/>
      <c r="S84" s="53"/>
      <c r="T84" s="49"/>
      <c r="U84" s="50"/>
      <c r="V84" s="115"/>
      <c r="W84" s="208">
        <f>ROUND((ROUND((_15_同援日１．０*_15・通訳),0)*(1+_15・A夜間)),0)</f>
        <v>338</v>
      </c>
      <c r="X84" s="48"/>
    </row>
    <row r="85" spans="1:24" ht="16.5" customHeight="1" x14ac:dyDescent="0.15">
      <c r="A85" s="41">
        <v>15</v>
      </c>
      <c r="B85" s="41" t="s">
        <v>26311</v>
      </c>
      <c r="C85" s="74" t="s">
        <v>26312</v>
      </c>
      <c r="D85" s="72" t="s">
        <v>17589</v>
      </c>
      <c r="F85" s="57"/>
      <c r="G85" s="35"/>
      <c r="J85" s="299" t="s">
        <v>17556</v>
      </c>
      <c r="K85" s="45" t="s">
        <v>398</v>
      </c>
      <c r="L85" s="46">
        <v>1</v>
      </c>
      <c r="M85" s="512"/>
      <c r="N85" s="57"/>
      <c r="O85" s="43"/>
      <c r="P85" s="37"/>
      <c r="Q85" s="38"/>
      <c r="R85" s="79"/>
      <c r="S85" s="35"/>
      <c r="V85" s="57"/>
      <c r="W85" s="208">
        <f>ROUND((ROUND((ROUND((_15_同援日１．０*_15・通訳),0)*_15・２人),0)*(1+_15・A夜間)),0)</f>
        <v>338</v>
      </c>
      <c r="X85" s="48"/>
    </row>
    <row r="86" spans="1:24" ht="16.5" customHeight="1" x14ac:dyDescent="0.15">
      <c r="A86" s="41">
        <v>15</v>
      </c>
      <c r="B86" s="41" t="s">
        <v>2667</v>
      </c>
      <c r="C86" s="74" t="s">
        <v>26313</v>
      </c>
      <c r="D86" s="72" t="s">
        <v>17591</v>
      </c>
      <c r="F86" s="57"/>
      <c r="G86" s="35"/>
      <c r="J86" s="163"/>
      <c r="K86" s="45"/>
      <c r="L86" s="46"/>
      <c r="M86" s="512"/>
      <c r="N86" s="57"/>
      <c r="O86" s="114" t="s">
        <v>17562</v>
      </c>
      <c r="P86" s="49"/>
      <c r="Q86" s="50"/>
      <c r="R86" s="115"/>
      <c r="S86" s="35"/>
      <c r="V86" s="57"/>
      <c r="W86" s="208">
        <f>ROUND((ROUND((ROUND((_15_同援日１．０*_15・通訳),0)*(1+_15・A夜間)),0)*(1+_15・盲ろう)),0)</f>
        <v>423</v>
      </c>
      <c r="X86" s="48"/>
    </row>
    <row r="87" spans="1:24" ht="16.5" customHeight="1" x14ac:dyDescent="0.15">
      <c r="A87" s="41">
        <v>15</v>
      </c>
      <c r="B87" s="41" t="s">
        <v>2669</v>
      </c>
      <c r="C87" s="74" t="s">
        <v>26314</v>
      </c>
      <c r="D87" s="72"/>
      <c r="E87" s="168">
        <f>_15_同援日１．０</f>
        <v>300</v>
      </c>
      <c r="F87" s="57" t="s">
        <v>392</v>
      </c>
      <c r="G87" s="35"/>
      <c r="J87" s="299" t="s">
        <v>17556</v>
      </c>
      <c r="K87" s="45" t="s">
        <v>398</v>
      </c>
      <c r="L87" s="46">
        <v>1</v>
      </c>
      <c r="M87" s="512"/>
      <c r="N87" s="57"/>
      <c r="O87" s="269" t="s">
        <v>17564</v>
      </c>
      <c r="P87" s="37" t="s">
        <v>398</v>
      </c>
      <c r="Q87" s="38">
        <v>0.25</v>
      </c>
      <c r="R87" s="79" t="s">
        <v>3575</v>
      </c>
      <c r="S87" s="43"/>
      <c r="T87" s="37"/>
      <c r="U87" s="38"/>
      <c r="V87" s="79"/>
      <c r="W87" s="208">
        <f>ROUND((ROUND((ROUND((ROUND((_15_同援日１．０*_15・通訳),0)*_15・２人),0)*(1+_15・A夜間)),0)*(1+_15・盲ろう)),0)</f>
        <v>423</v>
      </c>
      <c r="X87" s="48"/>
    </row>
    <row r="88" spans="1:24" ht="16.5" customHeight="1" x14ac:dyDescent="0.15">
      <c r="A88" s="41">
        <v>15</v>
      </c>
      <c r="B88" s="41" t="s">
        <v>2671</v>
      </c>
      <c r="C88" s="74" t="s">
        <v>26315</v>
      </c>
      <c r="D88" s="72"/>
      <c r="F88" s="57"/>
      <c r="G88" s="35"/>
      <c r="J88" s="163"/>
      <c r="K88" s="45"/>
      <c r="L88" s="46"/>
      <c r="M88" s="512"/>
      <c r="N88" s="57"/>
      <c r="O88" s="53"/>
      <c r="P88" s="49"/>
      <c r="Q88" s="50"/>
      <c r="R88" s="115"/>
      <c r="S88" s="114" t="s">
        <v>17570</v>
      </c>
      <c r="T88" s="49"/>
      <c r="U88" s="50"/>
      <c r="V88" s="115"/>
      <c r="W88" s="208">
        <f>ROUND((ROUND((ROUND((_15_同援日１．０*_15・通訳),0)*(1+_15・A夜間)),0)*(1+_15・区３)),0)</f>
        <v>406</v>
      </c>
      <c r="X88" s="48"/>
    </row>
    <row r="89" spans="1:24" ht="16.5" customHeight="1" x14ac:dyDescent="0.15">
      <c r="A89" s="41">
        <v>15</v>
      </c>
      <c r="B89" s="41" t="s">
        <v>2673</v>
      </c>
      <c r="C89" s="74" t="s">
        <v>26316</v>
      </c>
      <c r="D89" s="72"/>
      <c r="F89" s="57"/>
      <c r="G89" s="35"/>
      <c r="J89" s="299" t="s">
        <v>17556</v>
      </c>
      <c r="K89" s="45" t="s">
        <v>398</v>
      </c>
      <c r="L89" s="46">
        <v>1</v>
      </c>
      <c r="M89" s="512"/>
      <c r="N89" s="57"/>
      <c r="O89" s="43"/>
      <c r="P89" s="37"/>
      <c r="Q89" s="38"/>
      <c r="R89" s="79"/>
      <c r="S89" s="92" t="s">
        <v>17572</v>
      </c>
      <c r="V89" s="57"/>
      <c r="W89" s="208">
        <f>ROUND((ROUND((ROUND((ROUND((_15_同援日１．０*_15・通訳),0)*_15・２人),0)*(1+_15・A夜間)),0)*(1+_15・区３)),0)</f>
        <v>406</v>
      </c>
      <c r="X89" s="48"/>
    </row>
    <row r="90" spans="1:24" ht="16.5" customHeight="1" x14ac:dyDescent="0.15">
      <c r="A90" s="41">
        <v>15</v>
      </c>
      <c r="B90" s="41" t="s">
        <v>26317</v>
      </c>
      <c r="C90" s="74" t="s">
        <v>26318</v>
      </c>
      <c r="D90" s="72"/>
      <c r="F90" s="57"/>
      <c r="G90" s="35"/>
      <c r="J90" s="163"/>
      <c r="K90" s="45"/>
      <c r="L90" s="46"/>
      <c r="M90" s="512"/>
      <c r="N90" s="57"/>
      <c r="O90" s="114" t="s">
        <v>17562</v>
      </c>
      <c r="P90" s="49"/>
      <c r="Q90" s="50"/>
      <c r="R90" s="115"/>
      <c r="S90" s="35"/>
      <c r="T90" s="12" t="s">
        <v>398</v>
      </c>
      <c r="U90" s="13">
        <v>0.2</v>
      </c>
      <c r="V90" s="57" t="s">
        <v>3575</v>
      </c>
      <c r="W90" s="208">
        <f>ROUND((ROUND((ROUND((ROUND((_15_同援日１．０*_15・通訳),0)*(1+_15・A夜間)),0)*(1+_15・盲ろう)),0)*(1+_15・区３)),0)</f>
        <v>508</v>
      </c>
      <c r="X90" s="48"/>
    </row>
    <row r="91" spans="1:24" ht="16.5" customHeight="1" x14ac:dyDescent="0.15">
      <c r="A91" s="41">
        <v>15</v>
      </c>
      <c r="B91" s="41" t="s">
        <v>26319</v>
      </c>
      <c r="C91" s="74" t="s">
        <v>26320</v>
      </c>
      <c r="D91" s="72"/>
      <c r="F91" s="57"/>
      <c r="G91" s="35"/>
      <c r="J91" s="299" t="s">
        <v>17556</v>
      </c>
      <c r="K91" s="45" t="s">
        <v>398</v>
      </c>
      <c r="L91" s="46">
        <v>1</v>
      </c>
      <c r="M91" s="512"/>
      <c r="N91" s="57"/>
      <c r="O91" s="269" t="s">
        <v>17564</v>
      </c>
      <c r="P91" s="37" t="s">
        <v>398</v>
      </c>
      <c r="Q91" s="38">
        <v>0.25</v>
      </c>
      <c r="R91" s="79" t="s">
        <v>3575</v>
      </c>
      <c r="S91" s="43"/>
      <c r="T91" s="37"/>
      <c r="U91" s="38"/>
      <c r="V91" s="79"/>
      <c r="W91" s="208">
        <f>ROUND((ROUND((ROUND((ROUND((ROUND((_15_同援日１．０*_15・通訳),0)*_15・２人),0)*(1+_15・A夜間)),0)*(1+_15・盲ろう)),0)*(1+_15・区３)),0)</f>
        <v>508</v>
      </c>
      <c r="X91" s="48"/>
    </row>
    <row r="92" spans="1:24" ht="16.5" customHeight="1" x14ac:dyDescent="0.15">
      <c r="A92" s="41">
        <v>15</v>
      </c>
      <c r="B92" s="41" t="s">
        <v>26321</v>
      </c>
      <c r="C92" s="74" t="s">
        <v>26322</v>
      </c>
      <c r="D92" s="72"/>
      <c r="F92" s="57"/>
      <c r="G92" s="35"/>
      <c r="J92" s="163"/>
      <c r="K92" s="45"/>
      <c r="L92" s="46"/>
      <c r="M92" s="512"/>
      <c r="N92" s="57"/>
      <c r="O92" s="53"/>
      <c r="P92" s="49"/>
      <c r="Q92" s="50"/>
      <c r="R92" s="115"/>
      <c r="S92" s="114" t="s">
        <v>17580</v>
      </c>
      <c r="T92" s="49"/>
      <c r="U92" s="50"/>
      <c r="V92" s="115"/>
      <c r="W92" s="208">
        <f>ROUND((ROUND((ROUND((_15_同援日１．０*_15・通訳),0)*(1+_15・A夜間)),0)*(1+_15・区４)),0)</f>
        <v>473</v>
      </c>
      <c r="X92" s="48"/>
    </row>
    <row r="93" spans="1:24" ht="16.5" customHeight="1" x14ac:dyDescent="0.15">
      <c r="A93" s="41">
        <v>15</v>
      </c>
      <c r="B93" s="41" t="s">
        <v>26323</v>
      </c>
      <c r="C93" s="74" t="s">
        <v>26324</v>
      </c>
      <c r="D93" s="72"/>
      <c r="F93" s="57"/>
      <c r="G93" s="35"/>
      <c r="J93" s="299" t="s">
        <v>17556</v>
      </c>
      <c r="K93" s="45" t="s">
        <v>398</v>
      </c>
      <c r="L93" s="46">
        <v>1</v>
      </c>
      <c r="M93" s="512"/>
      <c r="N93" s="57"/>
      <c r="O93" s="43"/>
      <c r="P93" s="37"/>
      <c r="Q93" s="38"/>
      <c r="R93" s="79"/>
      <c r="S93" s="92" t="s">
        <v>17572</v>
      </c>
      <c r="V93" s="57"/>
      <c r="W93" s="208">
        <f>ROUND((ROUND((ROUND((ROUND((_15_同援日１．０*_15・通訳),0)*_15・２人),0)*(1+_15・A夜間)),0)*(1+_15・区４)),0)</f>
        <v>473</v>
      </c>
      <c r="X93" s="48"/>
    </row>
    <row r="94" spans="1:24" ht="16.5" customHeight="1" x14ac:dyDescent="0.15">
      <c r="A94" s="41">
        <v>15</v>
      </c>
      <c r="B94" s="41" t="s">
        <v>26325</v>
      </c>
      <c r="C94" s="74" t="s">
        <v>26326</v>
      </c>
      <c r="D94" s="72"/>
      <c r="F94" s="57"/>
      <c r="G94" s="35"/>
      <c r="J94" s="163"/>
      <c r="K94" s="45"/>
      <c r="L94" s="46"/>
      <c r="M94" s="512"/>
      <c r="N94" s="57"/>
      <c r="O94" s="114" t="s">
        <v>17562</v>
      </c>
      <c r="P94" s="49"/>
      <c r="Q94" s="50"/>
      <c r="R94" s="115"/>
      <c r="S94" s="35"/>
      <c r="T94" s="12" t="s">
        <v>398</v>
      </c>
      <c r="U94" s="13">
        <v>0.4</v>
      </c>
      <c r="V94" s="57" t="s">
        <v>3575</v>
      </c>
      <c r="W94" s="208">
        <f>ROUND((ROUND((ROUND((ROUND((_15_同援日１．０*_15・通訳),0)*(1+_15・A夜間)),0)*(1+_15・盲ろう)),0)*(1+_15・区４)),0)</f>
        <v>592</v>
      </c>
      <c r="X94" s="48"/>
    </row>
    <row r="95" spans="1:24" ht="16.5" customHeight="1" x14ac:dyDescent="0.15">
      <c r="A95" s="41">
        <v>15</v>
      </c>
      <c r="B95" s="41" t="s">
        <v>26327</v>
      </c>
      <c r="C95" s="74" t="s">
        <v>26328</v>
      </c>
      <c r="D95" s="122"/>
      <c r="E95" s="37"/>
      <c r="F95" s="79"/>
      <c r="G95" s="35"/>
      <c r="J95" s="299" t="s">
        <v>17556</v>
      </c>
      <c r="K95" s="45" t="s">
        <v>398</v>
      </c>
      <c r="L95" s="46">
        <v>1</v>
      </c>
      <c r="M95" s="512"/>
      <c r="N95" s="57"/>
      <c r="O95" s="269" t="s">
        <v>17564</v>
      </c>
      <c r="P95" s="37" t="s">
        <v>398</v>
      </c>
      <c r="Q95" s="38">
        <v>0.25</v>
      </c>
      <c r="R95" s="79" t="s">
        <v>3575</v>
      </c>
      <c r="S95" s="43"/>
      <c r="T95" s="37"/>
      <c r="U95" s="38"/>
      <c r="V95" s="79"/>
      <c r="W95" s="208">
        <f>ROUND((ROUND((ROUND((ROUND((ROUND((_15_同援日１．０*_15・通訳),0)*_15・２人),0)*(1+_15・A夜間)),0)*(1+_15・盲ろう)),0)*(1+_15・区４)),0)</f>
        <v>592</v>
      </c>
      <c r="X95" s="48"/>
    </row>
    <row r="96" spans="1:24" ht="16.5" customHeight="1" x14ac:dyDescent="0.15">
      <c r="A96" s="41">
        <v>15</v>
      </c>
      <c r="B96" s="41" t="s">
        <v>26329</v>
      </c>
      <c r="C96" s="74" t="s">
        <v>26330</v>
      </c>
      <c r="D96" s="114" t="s">
        <v>18309</v>
      </c>
      <c r="E96" s="49"/>
      <c r="F96" s="115"/>
      <c r="G96" s="35"/>
      <c r="J96" s="163"/>
      <c r="K96" s="45"/>
      <c r="L96" s="46"/>
      <c r="M96" s="512"/>
      <c r="N96" s="57"/>
      <c r="O96" s="53"/>
      <c r="P96" s="49"/>
      <c r="Q96" s="50"/>
      <c r="R96" s="115"/>
      <c r="S96" s="53"/>
      <c r="T96" s="49"/>
      <c r="U96" s="50"/>
      <c r="V96" s="115"/>
      <c r="W96" s="208">
        <f>ROUND((ROUND((_15_同援日１．５*_15・通訳),0)*(1+_15・A夜間)),0)</f>
        <v>488</v>
      </c>
      <c r="X96" s="48"/>
    </row>
    <row r="97" spans="1:24" ht="16.5" customHeight="1" x14ac:dyDescent="0.15">
      <c r="A97" s="41">
        <v>15</v>
      </c>
      <c r="B97" s="41" t="s">
        <v>26331</v>
      </c>
      <c r="C97" s="74" t="s">
        <v>26332</v>
      </c>
      <c r="D97" s="72" t="s">
        <v>17616</v>
      </c>
      <c r="F97" s="57"/>
      <c r="G97" s="35"/>
      <c r="J97" s="299" t="s">
        <v>17556</v>
      </c>
      <c r="K97" s="45" t="s">
        <v>398</v>
      </c>
      <c r="L97" s="46">
        <v>1</v>
      </c>
      <c r="M97" s="512"/>
      <c r="N97" s="57"/>
      <c r="O97" s="43"/>
      <c r="P97" s="37"/>
      <c r="Q97" s="38"/>
      <c r="R97" s="79"/>
      <c r="S97" s="35"/>
      <c r="V97" s="57"/>
      <c r="W97" s="208">
        <f>ROUND((ROUND((ROUND((_15_同援日１．５*_15・通訳),0)*_15・２人),0)*(1+_15・A夜間)),0)</f>
        <v>488</v>
      </c>
      <c r="X97" s="48"/>
    </row>
    <row r="98" spans="1:24" ht="16.5" customHeight="1" x14ac:dyDescent="0.15">
      <c r="A98" s="41">
        <v>15</v>
      </c>
      <c r="B98" s="41" t="s">
        <v>26333</v>
      </c>
      <c r="C98" s="74" t="s">
        <v>26334</v>
      </c>
      <c r="D98" s="72" t="s">
        <v>18183</v>
      </c>
      <c r="F98" s="57"/>
      <c r="G98" s="35"/>
      <c r="J98" s="163"/>
      <c r="K98" s="45"/>
      <c r="L98" s="46"/>
      <c r="M98" s="512"/>
      <c r="N98" s="57"/>
      <c r="O98" s="114" t="s">
        <v>17562</v>
      </c>
      <c r="P98" s="49"/>
      <c r="Q98" s="50"/>
      <c r="R98" s="115"/>
      <c r="S98" s="35"/>
      <c r="V98" s="57"/>
      <c r="W98" s="208">
        <f>ROUND((ROUND((ROUND((_15_同援日１．５*_15・通訳),0)*(1+_15・A夜間)),0)*(1+_15・盲ろう)),0)</f>
        <v>610</v>
      </c>
      <c r="X98" s="48"/>
    </row>
    <row r="99" spans="1:24" ht="16.5" customHeight="1" x14ac:dyDescent="0.15">
      <c r="A99" s="41">
        <v>15</v>
      </c>
      <c r="B99" s="41" t="s">
        <v>26335</v>
      </c>
      <c r="C99" s="74" t="s">
        <v>26336</v>
      </c>
      <c r="D99" s="72"/>
      <c r="E99" s="168">
        <f>_15_同援日１．５</f>
        <v>433</v>
      </c>
      <c r="F99" s="57" t="s">
        <v>392</v>
      </c>
      <c r="G99" s="35"/>
      <c r="J99" s="299" t="s">
        <v>17556</v>
      </c>
      <c r="K99" s="45" t="s">
        <v>398</v>
      </c>
      <c r="L99" s="46">
        <v>1</v>
      </c>
      <c r="M99" s="512"/>
      <c r="N99" s="57"/>
      <c r="O99" s="269" t="s">
        <v>17564</v>
      </c>
      <c r="P99" s="37" t="s">
        <v>398</v>
      </c>
      <c r="Q99" s="38">
        <v>0.25</v>
      </c>
      <c r="R99" s="79" t="s">
        <v>3575</v>
      </c>
      <c r="S99" s="43"/>
      <c r="T99" s="37"/>
      <c r="U99" s="38"/>
      <c r="V99" s="79"/>
      <c r="W99" s="208">
        <f>ROUND((ROUND((ROUND((ROUND((_15_同援日１．５*_15・通訳),0)*_15・２人),0)*(1+_15・A夜間)),0)*(1+_15・盲ろう)),0)</f>
        <v>610</v>
      </c>
      <c r="X99" s="48"/>
    </row>
    <row r="100" spans="1:24" ht="16.5" customHeight="1" x14ac:dyDescent="0.15">
      <c r="A100" s="41">
        <v>15</v>
      </c>
      <c r="B100" s="41" t="s">
        <v>26337</v>
      </c>
      <c r="C100" s="74" t="s">
        <v>26338</v>
      </c>
      <c r="D100" s="72"/>
      <c r="F100" s="57"/>
      <c r="G100" s="35"/>
      <c r="J100" s="163"/>
      <c r="K100" s="45"/>
      <c r="L100" s="46"/>
      <c r="M100" s="512"/>
      <c r="N100" s="57"/>
      <c r="O100" s="53"/>
      <c r="P100" s="49"/>
      <c r="Q100" s="50"/>
      <c r="R100" s="115"/>
      <c r="S100" s="114" t="s">
        <v>17570</v>
      </c>
      <c r="T100" s="49"/>
      <c r="U100" s="50"/>
      <c r="V100" s="115"/>
      <c r="W100" s="208">
        <f>ROUND((ROUND((ROUND((_15_同援日１．５*_15・通訳),0)*(1+_15・A夜間)),0)*(1+_15・区３)),0)</f>
        <v>586</v>
      </c>
      <c r="X100" s="48"/>
    </row>
    <row r="101" spans="1:24" ht="16.5" customHeight="1" x14ac:dyDescent="0.15">
      <c r="A101" s="41">
        <v>15</v>
      </c>
      <c r="B101" s="41" t="s">
        <v>26339</v>
      </c>
      <c r="C101" s="74" t="s">
        <v>26340</v>
      </c>
      <c r="D101" s="72"/>
      <c r="F101" s="57"/>
      <c r="G101" s="35"/>
      <c r="J101" s="299" t="s">
        <v>17556</v>
      </c>
      <c r="K101" s="45" t="s">
        <v>398</v>
      </c>
      <c r="L101" s="46">
        <v>1</v>
      </c>
      <c r="M101" s="512"/>
      <c r="N101" s="57"/>
      <c r="O101" s="43"/>
      <c r="P101" s="37"/>
      <c r="Q101" s="38"/>
      <c r="R101" s="79"/>
      <c r="S101" s="92" t="s">
        <v>17572</v>
      </c>
      <c r="V101" s="57"/>
      <c r="W101" s="208">
        <f>ROUND((ROUND((ROUND((ROUND((_15_同援日１．５*_15・通訳),0)*_15・２人),0)*(1+_15・A夜間)),0)*(1+_15・区３)),0)</f>
        <v>586</v>
      </c>
      <c r="X101" s="48"/>
    </row>
    <row r="102" spans="1:24" ht="16.5" customHeight="1" x14ac:dyDescent="0.15">
      <c r="A102" s="41">
        <v>15</v>
      </c>
      <c r="B102" s="41" t="s">
        <v>26341</v>
      </c>
      <c r="C102" s="74" t="s">
        <v>26342</v>
      </c>
      <c r="D102" s="72"/>
      <c r="F102" s="57"/>
      <c r="G102" s="35"/>
      <c r="J102" s="163"/>
      <c r="K102" s="45"/>
      <c r="L102" s="46"/>
      <c r="M102" s="512"/>
      <c r="N102" s="57"/>
      <c r="O102" s="114" t="s">
        <v>17562</v>
      </c>
      <c r="P102" s="49"/>
      <c r="Q102" s="50"/>
      <c r="R102" s="115"/>
      <c r="S102" s="35"/>
      <c r="T102" s="12" t="s">
        <v>398</v>
      </c>
      <c r="U102" s="13">
        <v>0.2</v>
      </c>
      <c r="V102" s="57" t="s">
        <v>3575</v>
      </c>
      <c r="W102" s="208">
        <f>ROUND((ROUND((ROUND((ROUND((_15_同援日１．５*_15・通訳),0)*(1+_15・A夜間)),0)*(1+_15・盲ろう)),0)*(1+_15・区３)),0)</f>
        <v>732</v>
      </c>
      <c r="X102" s="48"/>
    </row>
    <row r="103" spans="1:24" ht="16.5" customHeight="1" x14ac:dyDescent="0.15">
      <c r="A103" s="41">
        <v>15</v>
      </c>
      <c r="B103" s="41" t="s">
        <v>26343</v>
      </c>
      <c r="C103" s="74" t="s">
        <v>26344</v>
      </c>
      <c r="D103" s="72"/>
      <c r="F103" s="57"/>
      <c r="G103" s="35"/>
      <c r="J103" s="299" t="s">
        <v>17556</v>
      </c>
      <c r="K103" s="45" t="s">
        <v>398</v>
      </c>
      <c r="L103" s="46">
        <v>1</v>
      </c>
      <c r="M103" s="512"/>
      <c r="N103" s="57"/>
      <c r="O103" s="269" t="s">
        <v>17564</v>
      </c>
      <c r="P103" s="37" t="s">
        <v>398</v>
      </c>
      <c r="Q103" s="38">
        <v>0.25</v>
      </c>
      <c r="R103" s="79" t="s">
        <v>3575</v>
      </c>
      <c r="S103" s="43"/>
      <c r="T103" s="37"/>
      <c r="U103" s="38"/>
      <c r="V103" s="79"/>
      <c r="W103" s="208">
        <f>ROUND((ROUND((ROUND((ROUND((ROUND((_15_同援日１．５*_15・通訳),0)*_15・２人),0)*(1+_15・A夜間)),0)*(1+_15・盲ろう)),0)*(1+_15・区３)),0)</f>
        <v>732</v>
      </c>
      <c r="X103" s="48"/>
    </row>
    <row r="104" spans="1:24" ht="16.5" customHeight="1" x14ac:dyDescent="0.15">
      <c r="A104" s="41">
        <v>15</v>
      </c>
      <c r="B104" s="41" t="s">
        <v>26345</v>
      </c>
      <c r="C104" s="74" t="s">
        <v>26346</v>
      </c>
      <c r="D104" s="72"/>
      <c r="F104" s="57"/>
      <c r="G104" s="35"/>
      <c r="J104" s="163"/>
      <c r="K104" s="45"/>
      <c r="L104" s="46"/>
      <c r="M104" s="512"/>
      <c r="N104" s="57"/>
      <c r="O104" s="53"/>
      <c r="P104" s="49"/>
      <c r="Q104" s="50"/>
      <c r="R104" s="115"/>
      <c r="S104" s="114" t="s">
        <v>17580</v>
      </c>
      <c r="T104" s="49"/>
      <c r="U104" s="50"/>
      <c r="V104" s="115"/>
      <c r="W104" s="208">
        <f>ROUND((ROUND((ROUND((_15_同援日１．５*_15・通訳),0)*(1+_15・A夜間)),0)*(1+_15・区４)),0)</f>
        <v>683</v>
      </c>
      <c r="X104" s="48"/>
    </row>
    <row r="105" spans="1:24" ht="16.5" customHeight="1" x14ac:dyDescent="0.15">
      <c r="A105" s="41">
        <v>15</v>
      </c>
      <c r="B105" s="41" t="s">
        <v>26347</v>
      </c>
      <c r="C105" s="74" t="s">
        <v>26348</v>
      </c>
      <c r="D105" s="72"/>
      <c r="F105" s="57"/>
      <c r="G105" s="35"/>
      <c r="J105" s="299" t="s">
        <v>17556</v>
      </c>
      <c r="K105" s="45" t="s">
        <v>398</v>
      </c>
      <c r="L105" s="46">
        <v>1</v>
      </c>
      <c r="M105" s="512"/>
      <c r="N105" s="57"/>
      <c r="O105" s="43"/>
      <c r="P105" s="37"/>
      <c r="Q105" s="38"/>
      <c r="R105" s="79"/>
      <c r="S105" s="92" t="s">
        <v>17572</v>
      </c>
      <c r="V105" s="57"/>
      <c r="W105" s="208">
        <f>ROUND((ROUND((ROUND((ROUND((_15_同援日１．５*_15・通訳),0)*_15・２人),0)*(1+_15・A夜間)),0)*(1+_15・区４)),0)</f>
        <v>683</v>
      </c>
      <c r="X105" s="48"/>
    </row>
    <row r="106" spans="1:24" ht="16.5" customHeight="1" x14ac:dyDescent="0.15">
      <c r="A106" s="41">
        <v>15</v>
      </c>
      <c r="B106" s="41" t="s">
        <v>2680</v>
      </c>
      <c r="C106" s="74" t="s">
        <v>26349</v>
      </c>
      <c r="D106" s="72"/>
      <c r="F106" s="57"/>
      <c r="G106" s="35"/>
      <c r="J106" s="163"/>
      <c r="K106" s="45"/>
      <c r="L106" s="46"/>
      <c r="M106" s="512"/>
      <c r="N106" s="57"/>
      <c r="O106" s="114" t="s">
        <v>17562</v>
      </c>
      <c r="P106" s="49"/>
      <c r="Q106" s="50"/>
      <c r="R106" s="115"/>
      <c r="S106" s="35"/>
      <c r="T106" s="12" t="s">
        <v>398</v>
      </c>
      <c r="U106" s="13">
        <v>0.4</v>
      </c>
      <c r="V106" s="57" t="s">
        <v>3575</v>
      </c>
      <c r="W106" s="208">
        <f>ROUND((ROUND((ROUND((ROUND((_15_同援日１．５*_15・通訳),0)*(1+_15・A夜間)),0)*(1+_15・盲ろう)),0)*(1+_15・区４)),0)</f>
        <v>854</v>
      </c>
      <c r="X106" s="48"/>
    </row>
    <row r="107" spans="1:24" ht="16.5" customHeight="1" x14ac:dyDescent="0.15">
      <c r="A107" s="41">
        <v>15</v>
      </c>
      <c r="B107" s="41" t="s">
        <v>2682</v>
      </c>
      <c r="C107" s="74" t="s">
        <v>26350</v>
      </c>
      <c r="D107" s="122"/>
      <c r="E107" s="37"/>
      <c r="F107" s="79"/>
      <c r="G107" s="35"/>
      <c r="J107" s="299" t="s">
        <v>17556</v>
      </c>
      <c r="K107" s="45" t="s">
        <v>398</v>
      </c>
      <c r="L107" s="46">
        <v>1</v>
      </c>
      <c r="M107" s="512"/>
      <c r="N107" s="57"/>
      <c r="O107" s="269" t="s">
        <v>17564</v>
      </c>
      <c r="P107" s="37" t="s">
        <v>398</v>
      </c>
      <c r="Q107" s="38">
        <v>0.25</v>
      </c>
      <c r="R107" s="79" t="s">
        <v>3575</v>
      </c>
      <c r="S107" s="43"/>
      <c r="T107" s="37"/>
      <c r="U107" s="38"/>
      <c r="V107" s="79"/>
      <c r="W107" s="208">
        <f>ROUND((ROUND((ROUND((ROUND((ROUND((_15_同援日１．５*_15・通訳),0)*_15・２人),0)*(1+_15・A夜間)),0)*(1+_15・盲ろう)),0)*(1+_15・区４)),0)</f>
        <v>854</v>
      </c>
      <c r="X107" s="48"/>
    </row>
    <row r="108" spans="1:24" ht="16.5" customHeight="1" x14ac:dyDescent="0.15">
      <c r="A108" s="41">
        <v>15</v>
      </c>
      <c r="B108" s="41" t="s">
        <v>2684</v>
      </c>
      <c r="C108" s="74" t="s">
        <v>26351</v>
      </c>
      <c r="D108" s="114" t="s">
        <v>18334</v>
      </c>
      <c r="E108" s="49"/>
      <c r="F108" s="115"/>
      <c r="G108" s="35"/>
      <c r="J108" s="163"/>
      <c r="K108" s="45"/>
      <c r="L108" s="46"/>
      <c r="M108" s="512"/>
      <c r="N108" s="57"/>
      <c r="O108" s="53"/>
      <c r="P108" s="49"/>
      <c r="Q108" s="50"/>
      <c r="R108" s="115"/>
      <c r="S108" s="53"/>
      <c r="T108" s="49"/>
      <c r="U108" s="50"/>
      <c r="V108" s="115"/>
      <c r="W108" s="208">
        <f>ROUND((ROUND((_15_同援日２．０*_15・通訳),0)*(1+_15・A夜間)),0)</f>
        <v>560</v>
      </c>
      <c r="X108" s="48"/>
    </row>
    <row r="109" spans="1:24" ht="16.5" customHeight="1" x14ac:dyDescent="0.15">
      <c r="A109" s="41">
        <v>15</v>
      </c>
      <c r="B109" s="41" t="s">
        <v>2686</v>
      </c>
      <c r="C109" s="74" t="s">
        <v>26352</v>
      </c>
      <c r="D109" s="72" t="s">
        <v>17643</v>
      </c>
      <c r="F109" s="57"/>
      <c r="G109" s="35"/>
      <c r="J109" s="299" t="s">
        <v>17556</v>
      </c>
      <c r="K109" s="45" t="s">
        <v>398</v>
      </c>
      <c r="L109" s="46">
        <v>1</v>
      </c>
      <c r="M109" s="512"/>
      <c r="N109" s="57"/>
      <c r="O109" s="43"/>
      <c r="P109" s="37"/>
      <c r="Q109" s="38"/>
      <c r="R109" s="79"/>
      <c r="S109" s="35"/>
      <c r="V109" s="57"/>
      <c r="W109" s="208">
        <f>ROUND((ROUND((ROUND((_15_同援日２．０*_15・通訳),0)*_15・２人),0)*(1+_15・A夜間)),0)</f>
        <v>560</v>
      </c>
      <c r="X109" s="48"/>
    </row>
    <row r="110" spans="1:24" ht="16.5" customHeight="1" x14ac:dyDescent="0.15">
      <c r="A110" s="41">
        <v>15</v>
      </c>
      <c r="B110" s="41" t="s">
        <v>26353</v>
      </c>
      <c r="C110" s="74" t="s">
        <v>26354</v>
      </c>
      <c r="D110" s="72" t="s">
        <v>17645</v>
      </c>
      <c r="F110" s="57"/>
      <c r="G110" s="35"/>
      <c r="J110" s="163"/>
      <c r="K110" s="45"/>
      <c r="L110" s="46"/>
      <c r="M110" s="512"/>
      <c r="N110" s="57"/>
      <c r="O110" s="114" t="s">
        <v>17562</v>
      </c>
      <c r="P110" s="49"/>
      <c r="Q110" s="50"/>
      <c r="R110" s="115"/>
      <c r="S110" s="35"/>
      <c r="V110" s="57"/>
      <c r="W110" s="208">
        <f>ROUND((ROUND((ROUND((_15_同援日２．０*_15・通訳),0)*(1+_15・A夜間)),0)*(1+_15・盲ろう)),0)</f>
        <v>700</v>
      </c>
      <c r="X110" s="48"/>
    </row>
    <row r="111" spans="1:24" ht="16.5" customHeight="1" x14ac:dyDescent="0.15">
      <c r="A111" s="41">
        <v>15</v>
      </c>
      <c r="B111" s="41" t="s">
        <v>26355</v>
      </c>
      <c r="C111" s="74" t="s">
        <v>26356</v>
      </c>
      <c r="D111" s="72"/>
      <c r="E111" s="168">
        <f>_15_同援日２．０</f>
        <v>498</v>
      </c>
      <c r="F111" s="57" t="s">
        <v>392</v>
      </c>
      <c r="G111" s="35"/>
      <c r="J111" s="299" t="s">
        <v>17556</v>
      </c>
      <c r="K111" s="45" t="s">
        <v>398</v>
      </c>
      <c r="L111" s="46">
        <v>1</v>
      </c>
      <c r="M111" s="512"/>
      <c r="N111" s="57"/>
      <c r="O111" s="269" t="s">
        <v>17564</v>
      </c>
      <c r="P111" s="37" t="s">
        <v>398</v>
      </c>
      <c r="Q111" s="38">
        <v>0.25</v>
      </c>
      <c r="R111" s="79" t="s">
        <v>3575</v>
      </c>
      <c r="S111" s="43"/>
      <c r="T111" s="37"/>
      <c r="U111" s="38"/>
      <c r="V111" s="79"/>
      <c r="W111" s="208">
        <f>ROUND((ROUND((ROUND((ROUND((_15_同援日２．０*_15・通訳),0)*_15・２人),0)*(1+_15・A夜間)),0)*(1+_15・盲ろう)),0)</f>
        <v>700</v>
      </c>
      <c r="X111" s="48"/>
    </row>
    <row r="112" spans="1:24" ht="16.5" customHeight="1" x14ac:dyDescent="0.15">
      <c r="A112" s="41">
        <v>15</v>
      </c>
      <c r="B112" s="41" t="s">
        <v>26357</v>
      </c>
      <c r="C112" s="74" t="s">
        <v>26358</v>
      </c>
      <c r="D112" s="72"/>
      <c r="F112" s="57"/>
      <c r="G112" s="35"/>
      <c r="J112" s="163"/>
      <c r="K112" s="45"/>
      <c r="L112" s="46"/>
      <c r="M112" s="512"/>
      <c r="N112" s="57"/>
      <c r="O112" s="53"/>
      <c r="P112" s="49"/>
      <c r="Q112" s="50"/>
      <c r="R112" s="115"/>
      <c r="S112" s="114" t="s">
        <v>17570</v>
      </c>
      <c r="T112" s="49"/>
      <c r="U112" s="50"/>
      <c r="V112" s="115"/>
      <c r="W112" s="208">
        <f>ROUND((ROUND((ROUND((_15_同援日２．０*_15・通訳),0)*(1+_15・A夜間)),0)*(1+_15・区３)),0)</f>
        <v>672</v>
      </c>
      <c r="X112" s="48"/>
    </row>
    <row r="113" spans="1:24" ht="16.5" customHeight="1" x14ac:dyDescent="0.15">
      <c r="A113" s="41">
        <v>15</v>
      </c>
      <c r="B113" s="41" t="s">
        <v>26359</v>
      </c>
      <c r="C113" s="74" t="s">
        <v>26360</v>
      </c>
      <c r="D113" s="72"/>
      <c r="F113" s="57"/>
      <c r="G113" s="35"/>
      <c r="J113" s="299" t="s">
        <v>17556</v>
      </c>
      <c r="K113" s="45" t="s">
        <v>398</v>
      </c>
      <c r="L113" s="46">
        <v>1</v>
      </c>
      <c r="M113" s="512"/>
      <c r="N113" s="57"/>
      <c r="O113" s="43"/>
      <c r="P113" s="37"/>
      <c r="Q113" s="38"/>
      <c r="R113" s="79"/>
      <c r="S113" s="92" t="s">
        <v>17572</v>
      </c>
      <c r="V113" s="57"/>
      <c r="W113" s="208">
        <f>ROUND((ROUND((ROUND((ROUND((_15_同援日２．０*_15・通訳),0)*_15・２人),0)*(1+_15・A夜間)),0)*(1+_15・区３)),0)</f>
        <v>672</v>
      </c>
      <c r="X113" s="48"/>
    </row>
    <row r="114" spans="1:24" ht="16.5" customHeight="1" x14ac:dyDescent="0.15">
      <c r="A114" s="41">
        <v>15</v>
      </c>
      <c r="B114" s="41" t="s">
        <v>26361</v>
      </c>
      <c r="C114" s="74" t="s">
        <v>26362</v>
      </c>
      <c r="D114" s="72"/>
      <c r="F114" s="57"/>
      <c r="G114" s="35"/>
      <c r="J114" s="163"/>
      <c r="K114" s="45"/>
      <c r="L114" s="46"/>
      <c r="M114" s="512"/>
      <c r="N114" s="57"/>
      <c r="O114" s="114" t="s">
        <v>17562</v>
      </c>
      <c r="P114" s="49"/>
      <c r="Q114" s="50"/>
      <c r="R114" s="115"/>
      <c r="S114" s="35"/>
      <c r="T114" s="12" t="s">
        <v>398</v>
      </c>
      <c r="U114" s="13">
        <v>0.2</v>
      </c>
      <c r="V114" s="57" t="s">
        <v>3575</v>
      </c>
      <c r="W114" s="208">
        <f>ROUND((ROUND((ROUND((ROUND((_15_同援日２．０*_15・通訳),0)*(1+_15・A夜間)),0)*(1+_15・盲ろう)),0)*(1+_15・区３)),0)</f>
        <v>840</v>
      </c>
      <c r="X114" s="48"/>
    </row>
    <row r="115" spans="1:24" ht="16.5" customHeight="1" x14ac:dyDescent="0.15">
      <c r="A115" s="41">
        <v>15</v>
      </c>
      <c r="B115" s="41" t="s">
        <v>26363</v>
      </c>
      <c r="C115" s="74" t="s">
        <v>26364</v>
      </c>
      <c r="D115" s="72"/>
      <c r="F115" s="57"/>
      <c r="G115" s="35"/>
      <c r="J115" s="299" t="s">
        <v>17556</v>
      </c>
      <c r="K115" s="45" t="s">
        <v>398</v>
      </c>
      <c r="L115" s="46">
        <v>1</v>
      </c>
      <c r="M115" s="512"/>
      <c r="N115" s="57"/>
      <c r="O115" s="269" t="s">
        <v>17564</v>
      </c>
      <c r="P115" s="37" t="s">
        <v>398</v>
      </c>
      <c r="Q115" s="38">
        <v>0.25</v>
      </c>
      <c r="R115" s="79" t="s">
        <v>3575</v>
      </c>
      <c r="S115" s="43"/>
      <c r="T115" s="37"/>
      <c r="U115" s="38"/>
      <c r="V115" s="79"/>
      <c r="W115" s="208">
        <f>ROUND((ROUND((ROUND((ROUND((ROUND((_15_同援日２．０*_15・通訳),0)*_15・２人),0)*(1+_15・A夜間)),0)*(1+_15・盲ろう)),0)*(1+_15・区３)),0)</f>
        <v>840</v>
      </c>
      <c r="X115" s="48"/>
    </row>
    <row r="116" spans="1:24" ht="16.5" customHeight="1" x14ac:dyDescent="0.15">
      <c r="A116" s="41">
        <v>15</v>
      </c>
      <c r="B116" s="41" t="s">
        <v>26365</v>
      </c>
      <c r="C116" s="74" t="s">
        <v>26366</v>
      </c>
      <c r="D116" s="72"/>
      <c r="F116" s="57"/>
      <c r="G116" s="35"/>
      <c r="J116" s="163"/>
      <c r="K116" s="45"/>
      <c r="L116" s="46"/>
      <c r="M116" s="512"/>
      <c r="N116" s="57"/>
      <c r="O116" s="53"/>
      <c r="P116" s="49"/>
      <c r="Q116" s="50"/>
      <c r="R116" s="115"/>
      <c r="S116" s="114" t="s">
        <v>17580</v>
      </c>
      <c r="T116" s="49"/>
      <c r="U116" s="50"/>
      <c r="V116" s="115"/>
      <c r="W116" s="208">
        <f>ROUND((ROUND((ROUND((_15_同援日２．０*_15・通訳),0)*(1+_15・A夜間)),0)*(1+_15・区４)),0)</f>
        <v>784</v>
      </c>
      <c r="X116" s="48"/>
    </row>
    <row r="117" spans="1:24" ht="16.5" customHeight="1" x14ac:dyDescent="0.15">
      <c r="A117" s="41">
        <v>15</v>
      </c>
      <c r="B117" s="41" t="s">
        <v>26367</v>
      </c>
      <c r="C117" s="74" t="s">
        <v>26368</v>
      </c>
      <c r="D117" s="72"/>
      <c r="F117" s="57"/>
      <c r="G117" s="35"/>
      <c r="J117" s="299" t="s">
        <v>17556</v>
      </c>
      <c r="K117" s="45" t="s">
        <v>398</v>
      </c>
      <c r="L117" s="46">
        <v>1</v>
      </c>
      <c r="M117" s="512"/>
      <c r="N117" s="57"/>
      <c r="O117" s="43"/>
      <c r="P117" s="37"/>
      <c r="Q117" s="38"/>
      <c r="R117" s="79"/>
      <c r="S117" s="92" t="s">
        <v>17572</v>
      </c>
      <c r="V117" s="57"/>
      <c r="W117" s="208">
        <f>ROUND((ROUND((ROUND((ROUND((_15_同援日２．０*_15・通訳),0)*_15・２人),0)*(1+_15・A夜間)),0)*(1+_15・区４)),0)</f>
        <v>784</v>
      </c>
      <c r="X117" s="48"/>
    </row>
    <row r="118" spans="1:24" ht="16.5" customHeight="1" x14ac:dyDescent="0.15">
      <c r="A118" s="41">
        <v>15</v>
      </c>
      <c r="B118" s="41" t="s">
        <v>26369</v>
      </c>
      <c r="C118" s="74" t="s">
        <v>26370</v>
      </c>
      <c r="D118" s="72"/>
      <c r="F118" s="57"/>
      <c r="G118" s="35"/>
      <c r="J118" s="163"/>
      <c r="K118" s="45"/>
      <c r="L118" s="46"/>
      <c r="M118" s="512"/>
      <c r="N118" s="57"/>
      <c r="O118" s="114" t="s">
        <v>17562</v>
      </c>
      <c r="P118" s="49"/>
      <c r="Q118" s="50"/>
      <c r="R118" s="115"/>
      <c r="S118" s="35"/>
      <c r="T118" s="12" t="s">
        <v>398</v>
      </c>
      <c r="U118" s="13">
        <v>0.4</v>
      </c>
      <c r="V118" s="57" t="s">
        <v>3575</v>
      </c>
      <c r="W118" s="208">
        <f>ROUND((ROUND((ROUND((ROUND((_15_同援日２．０*_15・通訳),0)*(1+_15・A夜間)),0)*(1+_15・盲ろう)),0)*(1+_15・区４)),0)</f>
        <v>980</v>
      </c>
      <c r="X118" s="48"/>
    </row>
    <row r="119" spans="1:24" ht="16.5" customHeight="1" x14ac:dyDescent="0.15">
      <c r="A119" s="41">
        <v>15</v>
      </c>
      <c r="B119" s="41" t="s">
        <v>26371</v>
      </c>
      <c r="C119" s="74" t="s">
        <v>26372</v>
      </c>
      <c r="D119" s="122"/>
      <c r="E119" s="37"/>
      <c r="F119" s="79"/>
      <c r="G119" s="35"/>
      <c r="J119" s="299" t="s">
        <v>17556</v>
      </c>
      <c r="K119" s="45" t="s">
        <v>398</v>
      </c>
      <c r="L119" s="46">
        <v>1</v>
      </c>
      <c r="M119" s="512"/>
      <c r="N119" s="57"/>
      <c r="O119" s="269" t="s">
        <v>17564</v>
      </c>
      <c r="P119" s="37" t="s">
        <v>398</v>
      </c>
      <c r="Q119" s="38">
        <v>0.25</v>
      </c>
      <c r="R119" s="79" t="s">
        <v>3575</v>
      </c>
      <c r="S119" s="43"/>
      <c r="T119" s="37"/>
      <c r="U119" s="38"/>
      <c r="V119" s="79"/>
      <c r="W119" s="208">
        <f>ROUND((ROUND((ROUND((ROUND((ROUND((_15_同援日２．０*_15・通訳),0)*_15・２人),0)*(1+_15・A夜間)),0)*(1+_15・盲ろう)),0)*(1+_15・区４)),0)</f>
        <v>980</v>
      </c>
      <c r="X119" s="48"/>
    </row>
    <row r="120" spans="1:24" ht="16.5" customHeight="1" x14ac:dyDescent="0.15">
      <c r="A120" s="41">
        <v>15</v>
      </c>
      <c r="B120" s="41" t="s">
        <v>26373</v>
      </c>
      <c r="C120" s="74" t="s">
        <v>26374</v>
      </c>
      <c r="D120" s="114" t="s">
        <v>18359</v>
      </c>
      <c r="E120" s="49"/>
      <c r="F120" s="115"/>
      <c r="G120" s="35"/>
      <c r="J120" s="163"/>
      <c r="K120" s="45"/>
      <c r="L120" s="46"/>
      <c r="M120" s="512"/>
      <c r="N120" s="57"/>
      <c r="O120" s="53"/>
      <c r="P120" s="49"/>
      <c r="Q120" s="50"/>
      <c r="R120" s="115"/>
      <c r="S120" s="53"/>
      <c r="T120" s="49"/>
      <c r="U120" s="50"/>
      <c r="V120" s="115"/>
      <c r="W120" s="208">
        <f>ROUND((ROUND((_15_同援日２．５*_15・通訳),0)*(1+_15・A夜間)),0)</f>
        <v>634</v>
      </c>
      <c r="X120" s="48"/>
    </row>
    <row r="121" spans="1:24" ht="16.5" customHeight="1" x14ac:dyDescent="0.15">
      <c r="A121" s="41">
        <v>15</v>
      </c>
      <c r="B121" s="41" t="s">
        <v>26375</v>
      </c>
      <c r="C121" s="74" t="s">
        <v>26376</v>
      </c>
      <c r="D121" s="72" t="s">
        <v>17670</v>
      </c>
      <c r="F121" s="57"/>
      <c r="G121" s="35"/>
      <c r="J121" s="299" t="s">
        <v>17556</v>
      </c>
      <c r="K121" s="45" t="s">
        <v>398</v>
      </c>
      <c r="L121" s="46">
        <v>1</v>
      </c>
      <c r="M121" s="512"/>
      <c r="N121" s="57"/>
      <c r="O121" s="43"/>
      <c r="P121" s="37"/>
      <c r="Q121" s="38"/>
      <c r="R121" s="79"/>
      <c r="S121" s="35"/>
      <c r="V121" s="57"/>
      <c r="W121" s="208">
        <f>ROUND((ROUND((ROUND((_15_同援日２．５*_15・通訳),0)*_15・２人),0)*(1+_15・A夜間)),0)</f>
        <v>634</v>
      </c>
      <c r="X121" s="48"/>
    </row>
    <row r="122" spans="1:24" ht="16.5" customHeight="1" x14ac:dyDescent="0.15">
      <c r="A122" s="41">
        <v>15</v>
      </c>
      <c r="B122" s="41" t="s">
        <v>26377</v>
      </c>
      <c r="C122" s="74" t="s">
        <v>26378</v>
      </c>
      <c r="D122" s="72" t="s">
        <v>17672</v>
      </c>
      <c r="F122" s="57"/>
      <c r="G122" s="35"/>
      <c r="J122" s="163"/>
      <c r="K122" s="45"/>
      <c r="L122" s="46"/>
      <c r="M122" s="512"/>
      <c r="N122" s="57"/>
      <c r="O122" s="114" t="s">
        <v>17562</v>
      </c>
      <c r="P122" s="49"/>
      <c r="Q122" s="50"/>
      <c r="R122" s="115"/>
      <c r="S122" s="35"/>
      <c r="V122" s="57"/>
      <c r="W122" s="208">
        <f>ROUND((ROUND((ROUND((_15_同援日２．５*_15・通訳),0)*(1+_15・A夜間)),0)*(1+_15・盲ろう)),0)</f>
        <v>793</v>
      </c>
      <c r="X122" s="48"/>
    </row>
    <row r="123" spans="1:24" ht="16.5" customHeight="1" x14ac:dyDescent="0.15">
      <c r="A123" s="41">
        <v>15</v>
      </c>
      <c r="B123" s="41" t="s">
        <v>26379</v>
      </c>
      <c r="C123" s="74" t="s">
        <v>26380</v>
      </c>
      <c r="D123" s="72"/>
      <c r="E123" s="168">
        <f>_15_同援日２．５</f>
        <v>563</v>
      </c>
      <c r="F123" s="57" t="s">
        <v>392</v>
      </c>
      <c r="G123" s="35"/>
      <c r="J123" s="299" t="s">
        <v>17556</v>
      </c>
      <c r="K123" s="45" t="s">
        <v>398</v>
      </c>
      <c r="L123" s="46">
        <v>1</v>
      </c>
      <c r="M123" s="512"/>
      <c r="N123" s="57"/>
      <c r="O123" s="269" t="s">
        <v>17564</v>
      </c>
      <c r="P123" s="37" t="s">
        <v>398</v>
      </c>
      <c r="Q123" s="38">
        <v>0.25</v>
      </c>
      <c r="R123" s="79" t="s">
        <v>3575</v>
      </c>
      <c r="S123" s="43"/>
      <c r="T123" s="37"/>
      <c r="U123" s="38"/>
      <c r="V123" s="79"/>
      <c r="W123" s="208">
        <f>ROUND((ROUND((ROUND((ROUND((_15_同援日２．５*_15・通訳),0)*_15・２人),0)*(1+_15・A夜間)),0)*(1+_15・盲ろう)),0)</f>
        <v>793</v>
      </c>
      <c r="X123" s="48"/>
    </row>
    <row r="124" spans="1:24" ht="16.5" customHeight="1" x14ac:dyDescent="0.15">
      <c r="A124" s="41">
        <v>15</v>
      </c>
      <c r="B124" s="41" t="s">
        <v>26381</v>
      </c>
      <c r="C124" s="74" t="s">
        <v>26382</v>
      </c>
      <c r="D124" s="72"/>
      <c r="F124" s="57"/>
      <c r="G124" s="35"/>
      <c r="J124" s="163"/>
      <c r="K124" s="45"/>
      <c r="L124" s="46"/>
      <c r="M124" s="512"/>
      <c r="N124" s="57"/>
      <c r="O124" s="53"/>
      <c r="P124" s="49"/>
      <c r="Q124" s="50"/>
      <c r="R124" s="115"/>
      <c r="S124" s="114" t="s">
        <v>17570</v>
      </c>
      <c r="T124" s="49"/>
      <c r="U124" s="50"/>
      <c r="V124" s="115"/>
      <c r="W124" s="208">
        <f>ROUND((ROUND((ROUND((_15_同援日２．５*_15・通訳),0)*(1+_15・A夜間)),0)*(1+_15・区３)),0)</f>
        <v>761</v>
      </c>
      <c r="X124" s="48"/>
    </row>
    <row r="125" spans="1:24" ht="16.5" customHeight="1" x14ac:dyDescent="0.15">
      <c r="A125" s="41">
        <v>15</v>
      </c>
      <c r="B125" s="41" t="s">
        <v>26383</v>
      </c>
      <c r="C125" s="74" t="s">
        <v>26384</v>
      </c>
      <c r="D125" s="72"/>
      <c r="F125" s="57"/>
      <c r="G125" s="35"/>
      <c r="J125" s="299" t="s">
        <v>17556</v>
      </c>
      <c r="K125" s="45" t="s">
        <v>398</v>
      </c>
      <c r="L125" s="46">
        <v>1</v>
      </c>
      <c r="M125" s="512"/>
      <c r="N125" s="57"/>
      <c r="O125" s="43"/>
      <c r="P125" s="37"/>
      <c r="Q125" s="38"/>
      <c r="R125" s="79"/>
      <c r="S125" s="92" t="s">
        <v>17572</v>
      </c>
      <c r="V125" s="57"/>
      <c r="W125" s="208">
        <f>ROUND((ROUND((ROUND((ROUND((_15_同援日２．５*_15・通訳),0)*_15・２人),0)*(1+_15・A夜間)),0)*(1+_15・区３)),0)</f>
        <v>761</v>
      </c>
      <c r="X125" s="48"/>
    </row>
    <row r="126" spans="1:24" ht="16.5" customHeight="1" x14ac:dyDescent="0.15">
      <c r="A126" s="41">
        <v>15</v>
      </c>
      <c r="B126" s="41" t="s">
        <v>2692</v>
      </c>
      <c r="C126" s="74" t="s">
        <v>26385</v>
      </c>
      <c r="D126" s="72"/>
      <c r="F126" s="57"/>
      <c r="G126" s="35"/>
      <c r="J126" s="163"/>
      <c r="K126" s="45"/>
      <c r="L126" s="46"/>
      <c r="M126" s="512"/>
      <c r="N126" s="57"/>
      <c r="O126" s="114" t="s">
        <v>17562</v>
      </c>
      <c r="P126" s="49"/>
      <c r="Q126" s="50"/>
      <c r="R126" s="115"/>
      <c r="S126" s="35"/>
      <c r="T126" s="12" t="s">
        <v>398</v>
      </c>
      <c r="U126" s="13">
        <v>0.2</v>
      </c>
      <c r="V126" s="57" t="s">
        <v>3575</v>
      </c>
      <c r="W126" s="208">
        <f>ROUND((ROUND((ROUND((ROUND((_15_同援日２．５*_15・通訳),0)*(1+_15・A夜間)),0)*(1+_15・盲ろう)),0)*(1+_15・区３)),0)</f>
        <v>952</v>
      </c>
      <c r="X126" s="48"/>
    </row>
    <row r="127" spans="1:24" ht="16.5" customHeight="1" x14ac:dyDescent="0.15">
      <c r="A127" s="41">
        <v>15</v>
      </c>
      <c r="B127" s="41" t="s">
        <v>2694</v>
      </c>
      <c r="C127" s="74" t="s">
        <v>26386</v>
      </c>
      <c r="D127" s="72"/>
      <c r="F127" s="57"/>
      <c r="G127" s="35"/>
      <c r="J127" s="299" t="s">
        <v>17556</v>
      </c>
      <c r="K127" s="45" t="s">
        <v>398</v>
      </c>
      <c r="L127" s="46">
        <v>1</v>
      </c>
      <c r="M127" s="512"/>
      <c r="N127" s="57"/>
      <c r="O127" s="269" t="s">
        <v>17564</v>
      </c>
      <c r="P127" s="37" t="s">
        <v>398</v>
      </c>
      <c r="Q127" s="38">
        <v>0.25</v>
      </c>
      <c r="R127" s="79" t="s">
        <v>3575</v>
      </c>
      <c r="S127" s="43"/>
      <c r="T127" s="37"/>
      <c r="U127" s="38"/>
      <c r="V127" s="79"/>
      <c r="W127" s="208">
        <f>ROUND((ROUND((ROUND((ROUND((ROUND((_15_同援日２．５*_15・通訳),0)*_15・２人),0)*(1+_15・A夜間)),0)*(1+_15・盲ろう)),0)*(1+_15・区３)),0)</f>
        <v>952</v>
      </c>
      <c r="X127" s="48"/>
    </row>
    <row r="128" spans="1:24" ht="16.5" customHeight="1" x14ac:dyDescent="0.15">
      <c r="A128" s="41">
        <v>15</v>
      </c>
      <c r="B128" s="41" t="s">
        <v>2696</v>
      </c>
      <c r="C128" s="74" t="s">
        <v>26387</v>
      </c>
      <c r="D128" s="72"/>
      <c r="F128" s="57"/>
      <c r="G128" s="35"/>
      <c r="J128" s="163"/>
      <c r="K128" s="45"/>
      <c r="L128" s="46"/>
      <c r="M128" s="512"/>
      <c r="N128" s="57"/>
      <c r="O128" s="53"/>
      <c r="P128" s="49"/>
      <c r="Q128" s="50"/>
      <c r="R128" s="115"/>
      <c r="S128" s="114" t="s">
        <v>17580</v>
      </c>
      <c r="T128" s="49"/>
      <c r="U128" s="50"/>
      <c r="V128" s="115"/>
      <c r="W128" s="208">
        <f>ROUND((ROUND((ROUND((_15_同援日２．５*_15・通訳),0)*(1+_15・A夜間)),0)*(1+_15・区４)),0)</f>
        <v>888</v>
      </c>
      <c r="X128" s="48"/>
    </row>
    <row r="129" spans="1:24" ht="16.5" customHeight="1" x14ac:dyDescent="0.15">
      <c r="A129" s="41">
        <v>15</v>
      </c>
      <c r="B129" s="41" t="s">
        <v>2698</v>
      </c>
      <c r="C129" s="74" t="s">
        <v>26388</v>
      </c>
      <c r="D129" s="72"/>
      <c r="F129" s="57"/>
      <c r="G129" s="35"/>
      <c r="J129" s="299" t="s">
        <v>17556</v>
      </c>
      <c r="K129" s="45" t="s">
        <v>398</v>
      </c>
      <c r="L129" s="46">
        <v>1</v>
      </c>
      <c r="M129" s="512"/>
      <c r="N129" s="57"/>
      <c r="O129" s="43"/>
      <c r="P129" s="37"/>
      <c r="Q129" s="38"/>
      <c r="R129" s="79"/>
      <c r="S129" s="92" t="s">
        <v>17572</v>
      </c>
      <c r="V129" s="57"/>
      <c r="W129" s="208">
        <f>ROUND((ROUND((ROUND((ROUND((_15_同援日２．５*_15・通訳),0)*_15・２人),0)*(1+_15・A夜間)),0)*(1+_15・区４)),0)</f>
        <v>888</v>
      </c>
      <c r="X129" s="48"/>
    </row>
    <row r="130" spans="1:24" ht="16.5" customHeight="1" x14ac:dyDescent="0.15">
      <c r="A130" s="41">
        <v>15</v>
      </c>
      <c r="B130" s="41" t="s">
        <v>26389</v>
      </c>
      <c r="C130" s="74" t="s">
        <v>26390</v>
      </c>
      <c r="D130" s="72"/>
      <c r="F130" s="57"/>
      <c r="G130" s="35"/>
      <c r="J130" s="163"/>
      <c r="K130" s="45"/>
      <c r="L130" s="46"/>
      <c r="M130" s="512"/>
      <c r="N130" s="57"/>
      <c r="O130" s="114" t="s">
        <v>17562</v>
      </c>
      <c r="P130" s="49"/>
      <c r="Q130" s="50"/>
      <c r="R130" s="115"/>
      <c r="S130" s="35"/>
      <c r="T130" s="12" t="s">
        <v>398</v>
      </c>
      <c r="U130" s="13">
        <v>0.4</v>
      </c>
      <c r="V130" s="57" t="s">
        <v>3575</v>
      </c>
      <c r="W130" s="208">
        <f>ROUND((ROUND((ROUND((ROUND((_15_同援日２．５*_15・通訳),0)*(1+_15・A夜間)),0)*(1+_15・盲ろう)),0)*(1+_15・区４)),0)</f>
        <v>1110</v>
      </c>
      <c r="X130" s="48"/>
    </row>
    <row r="131" spans="1:24" ht="16.5" customHeight="1" x14ac:dyDescent="0.15">
      <c r="A131" s="41">
        <v>15</v>
      </c>
      <c r="B131" s="41" t="s">
        <v>26391</v>
      </c>
      <c r="C131" s="74" t="s">
        <v>26392</v>
      </c>
      <c r="D131" s="122"/>
      <c r="E131" s="37"/>
      <c r="F131" s="79"/>
      <c r="G131" s="35"/>
      <c r="J131" s="299" t="s">
        <v>17556</v>
      </c>
      <c r="K131" s="45" t="s">
        <v>398</v>
      </c>
      <c r="L131" s="46">
        <v>1</v>
      </c>
      <c r="M131" s="512"/>
      <c r="N131" s="57"/>
      <c r="O131" s="269" t="s">
        <v>17564</v>
      </c>
      <c r="P131" s="37" t="s">
        <v>398</v>
      </c>
      <c r="Q131" s="38">
        <v>0.25</v>
      </c>
      <c r="R131" s="79" t="s">
        <v>3575</v>
      </c>
      <c r="S131" s="43"/>
      <c r="T131" s="37"/>
      <c r="U131" s="38"/>
      <c r="V131" s="79"/>
      <c r="W131" s="208">
        <f>ROUND((ROUND((ROUND((ROUND((ROUND((_15_同援日２．５*_15・通訳),0)*_15・２人),0)*(1+_15・A夜間)),0)*(1+_15・盲ろう)),0)*(1+_15・区４)),0)</f>
        <v>1110</v>
      </c>
      <c r="X131" s="48"/>
    </row>
    <row r="132" spans="1:24" ht="16.5" customHeight="1" x14ac:dyDescent="0.15">
      <c r="A132" s="41">
        <v>15</v>
      </c>
      <c r="B132" s="41" t="s">
        <v>26393</v>
      </c>
      <c r="C132" s="74" t="s">
        <v>26394</v>
      </c>
      <c r="D132" s="114" t="s">
        <v>18384</v>
      </c>
      <c r="E132" s="49"/>
      <c r="F132" s="115"/>
      <c r="G132" s="35"/>
      <c r="J132" s="163"/>
      <c r="K132" s="45"/>
      <c r="L132" s="46"/>
      <c r="M132" s="512"/>
      <c r="N132" s="57"/>
      <c r="O132" s="53"/>
      <c r="P132" s="49"/>
      <c r="Q132" s="50"/>
      <c r="R132" s="115"/>
      <c r="S132" s="53"/>
      <c r="T132" s="49"/>
      <c r="U132" s="50"/>
      <c r="V132" s="115"/>
      <c r="W132" s="208">
        <f>ROUND((ROUND((_15_同援日３．０*_15・通訳),0)*(1+_15・A夜間)),0)</f>
        <v>706</v>
      </c>
      <c r="X132" s="48"/>
    </row>
    <row r="133" spans="1:24" ht="16.5" customHeight="1" x14ac:dyDescent="0.15">
      <c r="A133" s="41">
        <v>15</v>
      </c>
      <c r="B133" s="41" t="s">
        <v>26395</v>
      </c>
      <c r="C133" s="74" t="s">
        <v>26396</v>
      </c>
      <c r="D133" s="72" t="s">
        <v>17697</v>
      </c>
      <c r="F133" s="57"/>
      <c r="G133" s="35"/>
      <c r="J133" s="299" t="s">
        <v>17556</v>
      </c>
      <c r="K133" s="45" t="s">
        <v>398</v>
      </c>
      <c r="L133" s="46">
        <v>1</v>
      </c>
      <c r="M133" s="512"/>
      <c r="N133" s="57"/>
      <c r="O133" s="43"/>
      <c r="P133" s="37"/>
      <c r="Q133" s="38"/>
      <c r="R133" s="79"/>
      <c r="S133" s="35"/>
      <c r="V133" s="57"/>
      <c r="W133" s="208">
        <f>ROUND((ROUND((ROUND((_15_同援日３．０*_15・通訳),0)*_15・２人),0)*(1+_15・A夜間)),0)</f>
        <v>706</v>
      </c>
      <c r="X133" s="48"/>
    </row>
    <row r="134" spans="1:24" ht="16.5" customHeight="1" x14ac:dyDescent="0.15">
      <c r="A134" s="41">
        <v>15</v>
      </c>
      <c r="B134" s="41" t="s">
        <v>26397</v>
      </c>
      <c r="C134" s="74" t="s">
        <v>26398</v>
      </c>
      <c r="D134" s="72" t="s">
        <v>18387</v>
      </c>
      <c r="F134" s="57"/>
      <c r="G134" s="35"/>
      <c r="J134" s="163"/>
      <c r="K134" s="45"/>
      <c r="L134" s="46"/>
      <c r="M134" s="512"/>
      <c r="N134" s="57"/>
      <c r="O134" s="114" t="s">
        <v>17562</v>
      </c>
      <c r="P134" s="49"/>
      <c r="Q134" s="50"/>
      <c r="R134" s="115"/>
      <c r="S134" s="35"/>
      <c r="V134" s="57"/>
      <c r="W134" s="208">
        <f>ROUND((ROUND((ROUND((_15_同援日３．０*_15・通訳),0)*(1+_15・A夜間)),0)*(1+_15・盲ろう)),0)</f>
        <v>883</v>
      </c>
      <c r="X134" s="48"/>
    </row>
    <row r="135" spans="1:24" ht="16.5" customHeight="1" x14ac:dyDescent="0.15">
      <c r="A135" s="41">
        <v>15</v>
      </c>
      <c r="B135" s="41" t="s">
        <v>26399</v>
      </c>
      <c r="C135" s="74" t="s">
        <v>26400</v>
      </c>
      <c r="D135" s="72"/>
      <c r="E135" s="168">
        <f>_15_同援日３．０</f>
        <v>628</v>
      </c>
      <c r="F135" s="57" t="s">
        <v>392</v>
      </c>
      <c r="G135" s="35"/>
      <c r="J135" s="299" t="s">
        <v>17556</v>
      </c>
      <c r="K135" s="45" t="s">
        <v>398</v>
      </c>
      <c r="L135" s="46">
        <v>1</v>
      </c>
      <c r="M135" s="512"/>
      <c r="N135" s="57"/>
      <c r="O135" s="269" t="s">
        <v>17564</v>
      </c>
      <c r="P135" s="37" t="s">
        <v>398</v>
      </c>
      <c r="Q135" s="38">
        <v>0.25</v>
      </c>
      <c r="R135" s="79" t="s">
        <v>3575</v>
      </c>
      <c r="S135" s="43"/>
      <c r="T135" s="37"/>
      <c r="U135" s="38"/>
      <c r="V135" s="79"/>
      <c r="W135" s="208">
        <f>ROUND((ROUND((ROUND((ROUND((_15_同援日３．０*_15・通訳),0)*_15・２人),0)*(1+_15・A夜間)),0)*(1+_15・盲ろう)),0)</f>
        <v>883</v>
      </c>
      <c r="X135" s="48"/>
    </row>
    <row r="136" spans="1:24" ht="16.5" customHeight="1" x14ac:dyDescent="0.15">
      <c r="A136" s="41">
        <v>15</v>
      </c>
      <c r="B136" s="41" t="s">
        <v>26401</v>
      </c>
      <c r="C136" s="74" t="s">
        <v>26402</v>
      </c>
      <c r="D136" s="72"/>
      <c r="F136" s="57"/>
      <c r="G136" s="35"/>
      <c r="J136" s="163"/>
      <c r="K136" s="45"/>
      <c r="L136" s="46"/>
      <c r="M136" s="512"/>
      <c r="N136" s="57"/>
      <c r="O136" s="53"/>
      <c r="P136" s="49"/>
      <c r="Q136" s="50"/>
      <c r="R136" s="115"/>
      <c r="S136" s="114" t="s">
        <v>17570</v>
      </c>
      <c r="T136" s="49"/>
      <c r="U136" s="50"/>
      <c r="V136" s="115"/>
      <c r="W136" s="208">
        <f>ROUND((ROUND((ROUND((_15_同援日３．０*_15・通訳),0)*(1+_15・A夜間)),0)*(1+_15・区３)),0)</f>
        <v>847</v>
      </c>
      <c r="X136" s="48"/>
    </row>
    <row r="137" spans="1:24" ht="16.5" customHeight="1" x14ac:dyDescent="0.15">
      <c r="A137" s="41">
        <v>15</v>
      </c>
      <c r="B137" s="41" t="s">
        <v>26403</v>
      </c>
      <c r="C137" s="74" t="s">
        <v>26404</v>
      </c>
      <c r="D137" s="72"/>
      <c r="F137" s="57"/>
      <c r="G137" s="35"/>
      <c r="J137" s="299" t="s">
        <v>17556</v>
      </c>
      <c r="K137" s="45" t="s">
        <v>398</v>
      </c>
      <c r="L137" s="46">
        <v>1</v>
      </c>
      <c r="M137" s="512"/>
      <c r="N137" s="57"/>
      <c r="O137" s="43"/>
      <c r="P137" s="37"/>
      <c r="Q137" s="38"/>
      <c r="R137" s="79"/>
      <c r="S137" s="92" t="s">
        <v>17572</v>
      </c>
      <c r="V137" s="57"/>
      <c r="W137" s="208">
        <f>ROUND((ROUND((ROUND((ROUND((_15_同援日３．０*_15・通訳),0)*_15・２人),0)*(1+_15・A夜間)),0)*(1+_15・区３)),0)</f>
        <v>847</v>
      </c>
      <c r="X137" s="48"/>
    </row>
    <row r="138" spans="1:24" ht="16.5" customHeight="1" x14ac:dyDescent="0.15">
      <c r="A138" s="41">
        <v>15</v>
      </c>
      <c r="B138" s="41" t="s">
        <v>26405</v>
      </c>
      <c r="C138" s="74" t="s">
        <v>26406</v>
      </c>
      <c r="D138" s="72"/>
      <c r="F138" s="57"/>
      <c r="G138" s="35"/>
      <c r="J138" s="163"/>
      <c r="K138" s="45"/>
      <c r="L138" s="46"/>
      <c r="M138" s="512"/>
      <c r="N138" s="57"/>
      <c r="O138" s="114" t="s">
        <v>17562</v>
      </c>
      <c r="P138" s="49"/>
      <c r="Q138" s="50"/>
      <c r="R138" s="115"/>
      <c r="S138" s="35"/>
      <c r="T138" s="12" t="s">
        <v>398</v>
      </c>
      <c r="U138" s="13">
        <v>0.2</v>
      </c>
      <c r="V138" s="57" t="s">
        <v>3575</v>
      </c>
      <c r="W138" s="208">
        <f>ROUND((ROUND((ROUND((ROUND((_15_同援日３．０*_15・通訳),0)*(1+_15・A夜間)),0)*(1+_15・盲ろう)),0)*(1+_15・区３)),0)</f>
        <v>1060</v>
      </c>
      <c r="X138" s="48"/>
    </row>
    <row r="139" spans="1:24" ht="16.5" customHeight="1" x14ac:dyDescent="0.15">
      <c r="A139" s="41">
        <v>15</v>
      </c>
      <c r="B139" s="41" t="s">
        <v>26407</v>
      </c>
      <c r="C139" s="74" t="s">
        <v>26408</v>
      </c>
      <c r="D139" s="72"/>
      <c r="F139" s="57"/>
      <c r="G139" s="35"/>
      <c r="J139" s="299" t="s">
        <v>17556</v>
      </c>
      <c r="K139" s="45" t="s">
        <v>398</v>
      </c>
      <c r="L139" s="46">
        <v>1</v>
      </c>
      <c r="M139" s="512"/>
      <c r="N139" s="57"/>
      <c r="O139" s="269" t="s">
        <v>17564</v>
      </c>
      <c r="P139" s="37" t="s">
        <v>398</v>
      </c>
      <c r="Q139" s="38">
        <v>0.25</v>
      </c>
      <c r="R139" s="79" t="s">
        <v>3575</v>
      </c>
      <c r="S139" s="43"/>
      <c r="T139" s="37"/>
      <c r="U139" s="38"/>
      <c r="V139" s="79"/>
      <c r="W139" s="208">
        <f>ROUND((ROUND((ROUND((ROUND((ROUND((_15_同援日３．０*_15・通訳),0)*_15・２人),0)*(1+_15・A夜間)),0)*(1+_15・盲ろう)),0)*(1+_15・区３)),0)</f>
        <v>1060</v>
      </c>
      <c r="X139" s="48"/>
    </row>
    <row r="140" spans="1:24" ht="16.5" customHeight="1" x14ac:dyDescent="0.15">
      <c r="A140" s="41">
        <v>15</v>
      </c>
      <c r="B140" s="41" t="s">
        <v>26409</v>
      </c>
      <c r="C140" s="74" t="s">
        <v>26410</v>
      </c>
      <c r="D140" s="72"/>
      <c r="F140" s="57"/>
      <c r="G140" s="35"/>
      <c r="J140" s="163"/>
      <c r="K140" s="45"/>
      <c r="L140" s="46"/>
      <c r="M140" s="512"/>
      <c r="N140" s="57"/>
      <c r="O140" s="53"/>
      <c r="P140" s="49"/>
      <c r="Q140" s="50"/>
      <c r="R140" s="115"/>
      <c r="S140" s="114" t="s">
        <v>17580</v>
      </c>
      <c r="T140" s="49"/>
      <c r="U140" s="50"/>
      <c r="V140" s="115"/>
      <c r="W140" s="208">
        <f>ROUND((ROUND((ROUND((_15_同援日３．０*_15・通訳),0)*(1+_15・A夜間)),0)*(1+_15・区４)),0)</f>
        <v>988</v>
      </c>
      <c r="X140" s="48"/>
    </row>
    <row r="141" spans="1:24" ht="16.5" customHeight="1" x14ac:dyDescent="0.15">
      <c r="A141" s="41">
        <v>15</v>
      </c>
      <c r="B141" s="41" t="s">
        <v>26411</v>
      </c>
      <c r="C141" s="74" t="s">
        <v>26412</v>
      </c>
      <c r="D141" s="72"/>
      <c r="F141" s="57"/>
      <c r="G141" s="35"/>
      <c r="J141" s="299" t="s">
        <v>17556</v>
      </c>
      <c r="K141" s="45" t="s">
        <v>398</v>
      </c>
      <c r="L141" s="46">
        <v>1</v>
      </c>
      <c r="M141" s="512"/>
      <c r="N141" s="57"/>
      <c r="O141" s="43"/>
      <c r="P141" s="37"/>
      <c r="Q141" s="38"/>
      <c r="R141" s="79"/>
      <c r="S141" s="92" t="s">
        <v>17572</v>
      </c>
      <c r="V141" s="57"/>
      <c r="W141" s="208">
        <f>ROUND((ROUND((ROUND((ROUND((_15_同援日３．０*_15・通訳),0)*_15・２人),0)*(1+_15・A夜間)),0)*(1+_15・区４)),0)</f>
        <v>988</v>
      </c>
      <c r="X141" s="48"/>
    </row>
    <row r="142" spans="1:24" ht="16.5" customHeight="1" x14ac:dyDescent="0.15">
      <c r="A142" s="41">
        <v>15</v>
      </c>
      <c r="B142" s="41" t="s">
        <v>26413</v>
      </c>
      <c r="C142" s="74" t="s">
        <v>26414</v>
      </c>
      <c r="D142" s="72"/>
      <c r="F142" s="57"/>
      <c r="G142" s="35"/>
      <c r="J142" s="163"/>
      <c r="K142" s="45"/>
      <c r="L142" s="46"/>
      <c r="M142" s="512"/>
      <c r="N142" s="57"/>
      <c r="O142" s="114" t="s">
        <v>17562</v>
      </c>
      <c r="P142" s="49"/>
      <c r="Q142" s="50"/>
      <c r="R142" s="115"/>
      <c r="S142" s="35"/>
      <c r="T142" s="12" t="s">
        <v>398</v>
      </c>
      <c r="U142" s="13">
        <v>0.4</v>
      </c>
      <c r="V142" s="57" t="s">
        <v>3575</v>
      </c>
      <c r="W142" s="208">
        <f>ROUND((ROUND((ROUND((ROUND((_15_同援日３．０*_15・通訳),0)*(1+_15・A夜間)),0)*(1+_15・盲ろう)),0)*(1+_15・区４)),0)</f>
        <v>1236</v>
      </c>
      <c r="X142" s="48"/>
    </row>
    <row r="143" spans="1:24" ht="16.5" customHeight="1" x14ac:dyDescent="0.15">
      <c r="A143" s="41">
        <v>15</v>
      </c>
      <c r="B143" s="41" t="s">
        <v>26415</v>
      </c>
      <c r="C143" s="74" t="s">
        <v>26416</v>
      </c>
      <c r="D143" s="122"/>
      <c r="E143" s="37"/>
      <c r="F143" s="79"/>
      <c r="G143" s="35"/>
      <c r="J143" s="299" t="s">
        <v>17556</v>
      </c>
      <c r="K143" s="45" t="s">
        <v>398</v>
      </c>
      <c r="L143" s="46">
        <v>1</v>
      </c>
      <c r="M143" s="512"/>
      <c r="N143" s="57"/>
      <c r="O143" s="269" t="s">
        <v>17564</v>
      </c>
      <c r="P143" s="37" t="s">
        <v>398</v>
      </c>
      <c r="Q143" s="38">
        <v>0.25</v>
      </c>
      <c r="R143" s="79" t="s">
        <v>3575</v>
      </c>
      <c r="S143" s="43"/>
      <c r="T143" s="37"/>
      <c r="U143" s="38"/>
      <c r="V143" s="79"/>
      <c r="W143" s="208">
        <f>ROUND((ROUND((ROUND((ROUND((ROUND((_15_同援日３．０*_15・通訳),0)*_15・２人),0)*(1+_15・A夜間)),0)*(1+_15・盲ろう)),0)*(1+_15・区４)),0)</f>
        <v>1236</v>
      </c>
      <c r="X143" s="48"/>
    </row>
    <row r="144" spans="1:24" ht="16.5" customHeight="1" x14ac:dyDescent="0.15">
      <c r="A144" s="41">
        <v>15</v>
      </c>
      <c r="B144" s="41" t="s">
        <v>26417</v>
      </c>
      <c r="C144" s="74" t="s">
        <v>26418</v>
      </c>
      <c r="D144" s="114" t="s">
        <v>18410</v>
      </c>
      <c r="E144" s="49"/>
      <c r="F144" s="115"/>
      <c r="G144" s="35"/>
      <c r="J144" s="163"/>
      <c r="K144" s="45"/>
      <c r="L144" s="46"/>
      <c r="M144" s="512"/>
      <c r="N144" s="57"/>
      <c r="O144" s="53"/>
      <c r="P144" s="49"/>
      <c r="Q144" s="50"/>
      <c r="R144" s="115"/>
      <c r="S144" s="53"/>
      <c r="T144" s="49"/>
      <c r="U144" s="50"/>
      <c r="V144" s="115"/>
      <c r="W144" s="208">
        <f>ROUND((ROUND((_15_同援日３．５*_15・通訳),0)*(1+_15・A夜間)),0)</f>
        <v>780</v>
      </c>
      <c r="X144" s="48"/>
    </row>
    <row r="145" spans="1:24" ht="16.5" customHeight="1" x14ac:dyDescent="0.15">
      <c r="A145" s="41">
        <v>15</v>
      </c>
      <c r="B145" s="41" t="s">
        <v>26419</v>
      </c>
      <c r="C145" s="74" t="s">
        <v>26420</v>
      </c>
      <c r="D145" s="72" t="s">
        <v>17724</v>
      </c>
      <c r="F145" s="57"/>
      <c r="G145" s="35"/>
      <c r="J145" s="299" t="s">
        <v>17556</v>
      </c>
      <c r="K145" s="45" t="s">
        <v>398</v>
      </c>
      <c r="L145" s="46">
        <v>1</v>
      </c>
      <c r="M145" s="512"/>
      <c r="N145" s="57"/>
      <c r="O145" s="43"/>
      <c r="P145" s="37"/>
      <c r="Q145" s="38"/>
      <c r="R145" s="79"/>
      <c r="S145" s="35"/>
      <c r="V145" s="57"/>
      <c r="W145" s="208">
        <f>ROUND((ROUND((ROUND((_15_同援日３．５*_15・通訳),0)*_15・２人),0)*(1+_15・A夜間)),0)</f>
        <v>780</v>
      </c>
      <c r="X145" s="48"/>
    </row>
    <row r="146" spans="1:24" ht="16.5" customHeight="1" x14ac:dyDescent="0.15">
      <c r="A146" s="41">
        <v>15</v>
      </c>
      <c r="B146" s="41" t="s">
        <v>2704</v>
      </c>
      <c r="C146" s="74" t="s">
        <v>26421</v>
      </c>
      <c r="D146" s="72" t="s">
        <v>17726</v>
      </c>
      <c r="F146" s="57"/>
      <c r="G146" s="35"/>
      <c r="J146" s="163"/>
      <c r="K146" s="45"/>
      <c r="L146" s="46"/>
      <c r="M146" s="512"/>
      <c r="N146" s="57"/>
      <c r="O146" s="114" t="s">
        <v>17562</v>
      </c>
      <c r="P146" s="49"/>
      <c r="Q146" s="50"/>
      <c r="R146" s="115"/>
      <c r="S146" s="35"/>
      <c r="V146" s="57"/>
      <c r="W146" s="208">
        <f>ROUND((ROUND((ROUND((_15_同援日３．５*_15・通訳),0)*(1+_15・A夜間)),0)*(1+_15・盲ろう)),0)</f>
        <v>975</v>
      </c>
      <c r="X146" s="48"/>
    </row>
    <row r="147" spans="1:24" ht="16.5" customHeight="1" x14ac:dyDescent="0.15">
      <c r="A147" s="41">
        <v>15</v>
      </c>
      <c r="B147" s="41" t="s">
        <v>2706</v>
      </c>
      <c r="C147" s="74" t="s">
        <v>26422</v>
      </c>
      <c r="D147" s="72"/>
      <c r="E147" s="168">
        <f>_15_同援日３．５</f>
        <v>693</v>
      </c>
      <c r="F147" s="57" t="s">
        <v>392</v>
      </c>
      <c r="G147" s="35"/>
      <c r="J147" s="299" t="s">
        <v>17556</v>
      </c>
      <c r="K147" s="45" t="s">
        <v>398</v>
      </c>
      <c r="L147" s="46">
        <v>1</v>
      </c>
      <c r="M147" s="512"/>
      <c r="N147" s="57"/>
      <c r="O147" s="269" t="s">
        <v>17564</v>
      </c>
      <c r="P147" s="37" t="s">
        <v>398</v>
      </c>
      <c r="Q147" s="38">
        <v>0.25</v>
      </c>
      <c r="R147" s="79" t="s">
        <v>3575</v>
      </c>
      <c r="S147" s="43"/>
      <c r="T147" s="37"/>
      <c r="U147" s="38"/>
      <c r="V147" s="79"/>
      <c r="W147" s="208">
        <f>ROUND((ROUND((ROUND((ROUND((_15_同援日３．５*_15・通訳),0)*_15・２人),0)*(1+_15・A夜間)),0)*(1+_15・盲ろう)),0)</f>
        <v>975</v>
      </c>
      <c r="X147" s="48"/>
    </row>
    <row r="148" spans="1:24" ht="16.5" customHeight="1" x14ac:dyDescent="0.15">
      <c r="A148" s="41">
        <v>15</v>
      </c>
      <c r="B148" s="41" t="s">
        <v>2708</v>
      </c>
      <c r="C148" s="74" t="s">
        <v>26423</v>
      </c>
      <c r="D148" s="72"/>
      <c r="F148" s="57"/>
      <c r="G148" s="35"/>
      <c r="J148" s="163"/>
      <c r="K148" s="45"/>
      <c r="L148" s="46"/>
      <c r="M148" s="512"/>
      <c r="N148" s="57"/>
      <c r="O148" s="53"/>
      <c r="P148" s="49"/>
      <c r="Q148" s="50"/>
      <c r="R148" s="115"/>
      <c r="S148" s="114" t="s">
        <v>17570</v>
      </c>
      <c r="T148" s="49"/>
      <c r="U148" s="50"/>
      <c r="V148" s="115"/>
      <c r="W148" s="208">
        <f>ROUND((ROUND((ROUND((_15_同援日３．５*_15・通訳),0)*(1+_15・A夜間)),0)*(1+_15・区３)),0)</f>
        <v>936</v>
      </c>
      <c r="X148" s="48"/>
    </row>
    <row r="149" spans="1:24" ht="16.5" customHeight="1" x14ac:dyDescent="0.15">
      <c r="A149" s="41">
        <v>15</v>
      </c>
      <c r="B149" s="41" t="s">
        <v>2710</v>
      </c>
      <c r="C149" s="74" t="s">
        <v>26424</v>
      </c>
      <c r="D149" s="72"/>
      <c r="F149" s="57"/>
      <c r="G149" s="35"/>
      <c r="J149" s="299" t="s">
        <v>17556</v>
      </c>
      <c r="K149" s="45" t="s">
        <v>398</v>
      </c>
      <c r="L149" s="46">
        <v>1</v>
      </c>
      <c r="M149" s="512"/>
      <c r="N149" s="57"/>
      <c r="O149" s="43"/>
      <c r="P149" s="37"/>
      <c r="Q149" s="38"/>
      <c r="R149" s="79"/>
      <c r="S149" s="92" t="s">
        <v>17572</v>
      </c>
      <c r="V149" s="57"/>
      <c r="W149" s="208">
        <f>ROUND((ROUND((ROUND((ROUND((_15_同援日３．５*_15・通訳),0)*_15・２人),0)*(1+_15・A夜間)),0)*(1+_15・区３)),0)</f>
        <v>936</v>
      </c>
      <c r="X149" s="48"/>
    </row>
    <row r="150" spans="1:24" ht="16.5" customHeight="1" x14ac:dyDescent="0.15">
      <c r="A150" s="41">
        <v>15</v>
      </c>
      <c r="B150" s="41" t="s">
        <v>26425</v>
      </c>
      <c r="C150" s="74" t="s">
        <v>26426</v>
      </c>
      <c r="D150" s="72"/>
      <c r="F150" s="57"/>
      <c r="G150" s="35"/>
      <c r="J150" s="163"/>
      <c r="K150" s="45"/>
      <c r="L150" s="46"/>
      <c r="M150" s="512"/>
      <c r="N150" s="57"/>
      <c r="O150" s="114" t="s">
        <v>17562</v>
      </c>
      <c r="P150" s="49"/>
      <c r="Q150" s="50"/>
      <c r="R150" s="115"/>
      <c r="S150" s="35"/>
      <c r="T150" s="12" t="s">
        <v>398</v>
      </c>
      <c r="U150" s="13">
        <v>0.2</v>
      </c>
      <c r="V150" s="57" t="s">
        <v>3575</v>
      </c>
      <c r="W150" s="208">
        <f>ROUND((ROUND((ROUND((ROUND((_15_同援日３．５*_15・通訳),0)*(1+_15・A夜間)),0)*(1+_15・盲ろう)),0)*(1+_15・区３)),0)</f>
        <v>1170</v>
      </c>
      <c r="X150" s="48"/>
    </row>
    <row r="151" spans="1:24" ht="16.5" customHeight="1" x14ac:dyDescent="0.15">
      <c r="A151" s="41">
        <v>15</v>
      </c>
      <c r="B151" s="41" t="s">
        <v>26427</v>
      </c>
      <c r="C151" s="74" t="s">
        <v>26428</v>
      </c>
      <c r="D151" s="72"/>
      <c r="F151" s="57"/>
      <c r="G151" s="35"/>
      <c r="J151" s="299" t="s">
        <v>17556</v>
      </c>
      <c r="K151" s="45" t="s">
        <v>398</v>
      </c>
      <c r="L151" s="46">
        <v>1</v>
      </c>
      <c r="M151" s="512"/>
      <c r="N151" s="57"/>
      <c r="O151" s="269" t="s">
        <v>17564</v>
      </c>
      <c r="P151" s="37" t="s">
        <v>398</v>
      </c>
      <c r="Q151" s="38">
        <v>0.25</v>
      </c>
      <c r="R151" s="79" t="s">
        <v>3575</v>
      </c>
      <c r="S151" s="43"/>
      <c r="T151" s="37"/>
      <c r="U151" s="38"/>
      <c r="V151" s="79"/>
      <c r="W151" s="208">
        <f>ROUND((ROUND((ROUND((ROUND((ROUND((_15_同援日３．５*_15・通訳),0)*_15・２人),0)*(1+_15・A夜間)),0)*(1+_15・盲ろう)),0)*(1+_15・区３)),0)</f>
        <v>1170</v>
      </c>
      <c r="X151" s="48"/>
    </row>
    <row r="152" spans="1:24" ht="16.5" customHeight="1" x14ac:dyDescent="0.15">
      <c r="A152" s="41">
        <v>15</v>
      </c>
      <c r="B152" s="41" t="s">
        <v>26429</v>
      </c>
      <c r="C152" s="74" t="s">
        <v>26430</v>
      </c>
      <c r="D152" s="72"/>
      <c r="F152" s="57"/>
      <c r="G152" s="35"/>
      <c r="J152" s="163"/>
      <c r="K152" s="45"/>
      <c r="L152" s="46"/>
      <c r="M152" s="512"/>
      <c r="N152" s="57"/>
      <c r="O152" s="53"/>
      <c r="P152" s="49"/>
      <c r="Q152" s="50"/>
      <c r="R152" s="115"/>
      <c r="S152" s="114" t="s">
        <v>17580</v>
      </c>
      <c r="T152" s="49"/>
      <c r="U152" s="50"/>
      <c r="V152" s="115"/>
      <c r="W152" s="208">
        <f>ROUND((ROUND((ROUND((_15_同援日３．５*_15・通訳),0)*(1+_15・A夜間)),0)*(1+_15・区４)),0)</f>
        <v>1092</v>
      </c>
      <c r="X152" s="48"/>
    </row>
    <row r="153" spans="1:24" ht="16.5" customHeight="1" x14ac:dyDescent="0.15">
      <c r="A153" s="41">
        <v>15</v>
      </c>
      <c r="B153" s="41" t="s">
        <v>26431</v>
      </c>
      <c r="C153" s="74" t="s">
        <v>26432</v>
      </c>
      <c r="D153" s="72"/>
      <c r="F153" s="57"/>
      <c r="G153" s="35"/>
      <c r="J153" s="299" t="s">
        <v>17556</v>
      </c>
      <c r="K153" s="45" t="s">
        <v>398</v>
      </c>
      <c r="L153" s="46">
        <v>1</v>
      </c>
      <c r="M153" s="512"/>
      <c r="N153" s="57"/>
      <c r="O153" s="43"/>
      <c r="P153" s="37"/>
      <c r="Q153" s="38"/>
      <c r="R153" s="79"/>
      <c r="S153" s="92" t="s">
        <v>17572</v>
      </c>
      <c r="V153" s="57"/>
      <c r="W153" s="208">
        <f>ROUND((ROUND((ROUND((ROUND((_15_同援日３．５*_15・通訳),0)*_15・２人),0)*(1+_15・A夜間)),0)*(1+_15・区４)),0)</f>
        <v>1092</v>
      </c>
      <c r="X153" s="48"/>
    </row>
    <row r="154" spans="1:24" ht="16.5" customHeight="1" x14ac:dyDescent="0.15">
      <c r="A154" s="41">
        <v>15</v>
      </c>
      <c r="B154" s="41" t="s">
        <v>26433</v>
      </c>
      <c r="C154" s="74" t="s">
        <v>26434</v>
      </c>
      <c r="D154" s="72"/>
      <c r="F154" s="57"/>
      <c r="G154" s="35"/>
      <c r="J154" s="163"/>
      <c r="K154" s="45"/>
      <c r="L154" s="46"/>
      <c r="M154" s="512"/>
      <c r="N154" s="57"/>
      <c r="O154" s="114" t="s">
        <v>17562</v>
      </c>
      <c r="P154" s="49"/>
      <c r="Q154" s="50"/>
      <c r="R154" s="115"/>
      <c r="S154" s="35"/>
      <c r="T154" s="12" t="s">
        <v>398</v>
      </c>
      <c r="U154" s="13">
        <v>0.4</v>
      </c>
      <c r="V154" s="57" t="s">
        <v>3575</v>
      </c>
      <c r="W154" s="208">
        <f>ROUND((ROUND((ROUND((ROUND((_15_同援日３．５*_15・通訳),0)*(1+_15・A夜間)),0)*(1+_15・盲ろう)),0)*(1+_15・区４)),0)</f>
        <v>1365</v>
      </c>
      <c r="X154" s="48"/>
    </row>
    <row r="155" spans="1:24" ht="16.5" customHeight="1" x14ac:dyDescent="0.15">
      <c r="A155" s="41">
        <v>15</v>
      </c>
      <c r="B155" s="41" t="s">
        <v>26435</v>
      </c>
      <c r="C155" s="74" t="s">
        <v>26436</v>
      </c>
      <c r="D155" s="122"/>
      <c r="E155" s="37"/>
      <c r="F155" s="79"/>
      <c r="G155" s="35"/>
      <c r="J155" s="299" t="s">
        <v>17556</v>
      </c>
      <c r="K155" s="45" t="s">
        <v>398</v>
      </c>
      <c r="L155" s="46">
        <v>1</v>
      </c>
      <c r="M155" s="512"/>
      <c r="N155" s="57"/>
      <c r="O155" s="269" t="s">
        <v>17564</v>
      </c>
      <c r="P155" s="37" t="s">
        <v>398</v>
      </c>
      <c r="Q155" s="38">
        <v>0.25</v>
      </c>
      <c r="R155" s="79" t="s">
        <v>3575</v>
      </c>
      <c r="S155" s="43"/>
      <c r="T155" s="37"/>
      <c r="U155" s="38"/>
      <c r="V155" s="79"/>
      <c r="W155" s="208">
        <f>ROUND((ROUND((ROUND((ROUND((ROUND((_15_同援日３．５*_15・通訳),0)*_15・２人),0)*(1+_15・A夜間)),0)*(1+_15・盲ろう)),0)*(1+_15・区４)),0)</f>
        <v>1365</v>
      </c>
      <c r="X155" s="48"/>
    </row>
    <row r="156" spans="1:24" ht="16.5" customHeight="1" x14ac:dyDescent="0.15">
      <c r="A156" s="41">
        <v>15</v>
      </c>
      <c r="B156" s="41" t="s">
        <v>26437</v>
      </c>
      <c r="C156" s="74" t="s">
        <v>26438</v>
      </c>
      <c r="D156" s="114" t="s">
        <v>18435</v>
      </c>
      <c r="E156" s="49"/>
      <c r="F156" s="115"/>
      <c r="G156" s="35"/>
      <c r="J156" s="163"/>
      <c r="K156" s="45"/>
      <c r="L156" s="46"/>
      <c r="M156" s="512"/>
      <c r="N156" s="57"/>
      <c r="O156" s="53"/>
      <c r="P156" s="49"/>
      <c r="Q156" s="50"/>
      <c r="R156" s="115"/>
      <c r="S156" s="53"/>
      <c r="T156" s="49"/>
      <c r="U156" s="50"/>
      <c r="V156" s="115"/>
      <c r="W156" s="208">
        <f>ROUND((ROUND((_15_同援日４．０*_15・通訳),0)*(1+_15・A夜間)),0)</f>
        <v>853</v>
      </c>
      <c r="X156" s="48"/>
    </row>
    <row r="157" spans="1:24" ht="16.5" customHeight="1" x14ac:dyDescent="0.15">
      <c r="A157" s="41">
        <v>15</v>
      </c>
      <c r="B157" s="41" t="s">
        <v>26439</v>
      </c>
      <c r="C157" s="74" t="s">
        <v>26440</v>
      </c>
      <c r="D157" s="72" t="s">
        <v>17751</v>
      </c>
      <c r="F157" s="57"/>
      <c r="G157" s="35"/>
      <c r="J157" s="299" t="s">
        <v>17556</v>
      </c>
      <c r="K157" s="45" t="s">
        <v>398</v>
      </c>
      <c r="L157" s="46">
        <v>1</v>
      </c>
      <c r="M157" s="512"/>
      <c r="N157" s="57"/>
      <c r="O157" s="43"/>
      <c r="P157" s="37"/>
      <c r="Q157" s="38"/>
      <c r="R157" s="79"/>
      <c r="S157" s="35"/>
      <c r="V157" s="57"/>
      <c r="W157" s="208">
        <f>ROUND((ROUND((ROUND((_15_同援日４．０*_15・通訳),0)*_15・２人),0)*(1+_15・A夜間)),0)</f>
        <v>853</v>
      </c>
      <c r="X157" s="48"/>
    </row>
    <row r="158" spans="1:24" ht="16.5" customHeight="1" x14ac:dyDescent="0.15">
      <c r="A158" s="41">
        <v>15</v>
      </c>
      <c r="B158" s="41" t="s">
        <v>26441</v>
      </c>
      <c r="C158" s="74" t="s">
        <v>26442</v>
      </c>
      <c r="D158" s="72" t="s">
        <v>17753</v>
      </c>
      <c r="F158" s="57"/>
      <c r="G158" s="35"/>
      <c r="J158" s="163"/>
      <c r="K158" s="45"/>
      <c r="L158" s="46"/>
      <c r="M158" s="512"/>
      <c r="N158" s="57"/>
      <c r="O158" s="114" t="s">
        <v>17562</v>
      </c>
      <c r="P158" s="49"/>
      <c r="Q158" s="50"/>
      <c r="R158" s="115"/>
      <c r="S158" s="35"/>
      <c r="V158" s="57"/>
      <c r="W158" s="208">
        <f>ROUND((ROUND((ROUND((_15_同援日４．０*_15・通訳),0)*(1+_15・A夜間)),0)*(1+_15・盲ろう)),0)</f>
        <v>1066</v>
      </c>
      <c r="X158" s="48"/>
    </row>
    <row r="159" spans="1:24" ht="16.5" customHeight="1" x14ac:dyDescent="0.15">
      <c r="A159" s="41">
        <v>15</v>
      </c>
      <c r="B159" s="41" t="s">
        <v>26443</v>
      </c>
      <c r="C159" s="74" t="s">
        <v>26444</v>
      </c>
      <c r="D159" s="72"/>
      <c r="E159" s="168">
        <f>_15_同援日４．０</f>
        <v>758</v>
      </c>
      <c r="F159" s="57" t="s">
        <v>392</v>
      </c>
      <c r="G159" s="35"/>
      <c r="J159" s="299" t="s">
        <v>17556</v>
      </c>
      <c r="K159" s="45" t="s">
        <v>398</v>
      </c>
      <c r="L159" s="46">
        <v>1</v>
      </c>
      <c r="M159" s="512"/>
      <c r="N159" s="57"/>
      <c r="O159" s="269" t="s">
        <v>17564</v>
      </c>
      <c r="P159" s="37" t="s">
        <v>398</v>
      </c>
      <c r="Q159" s="38">
        <v>0.25</v>
      </c>
      <c r="R159" s="79" t="s">
        <v>3575</v>
      </c>
      <c r="S159" s="43"/>
      <c r="T159" s="37"/>
      <c r="U159" s="38"/>
      <c r="V159" s="79"/>
      <c r="W159" s="208">
        <f>ROUND((ROUND((ROUND((ROUND((_15_同援日４．０*_15・通訳),0)*_15・２人),0)*(1+_15・A夜間)),0)*(1+_15・盲ろう)),0)</f>
        <v>1066</v>
      </c>
      <c r="X159" s="48"/>
    </row>
    <row r="160" spans="1:24" ht="16.5" customHeight="1" x14ac:dyDescent="0.15">
      <c r="A160" s="41">
        <v>15</v>
      </c>
      <c r="B160" s="41" t="s">
        <v>26445</v>
      </c>
      <c r="C160" s="74" t="s">
        <v>26446</v>
      </c>
      <c r="D160" s="72"/>
      <c r="F160" s="57"/>
      <c r="G160" s="35"/>
      <c r="J160" s="163"/>
      <c r="K160" s="45"/>
      <c r="L160" s="46"/>
      <c r="M160" s="512"/>
      <c r="N160" s="57"/>
      <c r="O160" s="53"/>
      <c r="P160" s="49"/>
      <c r="Q160" s="50"/>
      <c r="R160" s="115"/>
      <c r="S160" s="114" t="s">
        <v>17570</v>
      </c>
      <c r="T160" s="49"/>
      <c r="U160" s="50"/>
      <c r="V160" s="115"/>
      <c r="W160" s="208">
        <f>ROUND((ROUND((ROUND((_15_同援日４．０*_15・通訳),0)*(1+_15・A夜間)),0)*(1+_15・区３)),0)</f>
        <v>1024</v>
      </c>
      <c r="X160" s="48"/>
    </row>
    <row r="161" spans="1:24" ht="16.5" customHeight="1" x14ac:dyDescent="0.15">
      <c r="A161" s="41">
        <v>15</v>
      </c>
      <c r="B161" s="41" t="s">
        <v>26447</v>
      </c>
      <c r="C161" s="74" t="s">
        <v>26448</v>
      </c>
      <c r="D161" s="72"/>
      <c r="F161" s="57"/>
      <c r="G161" s="35"/>
      <c r="J161" s="299" t="s">
        <v>17556</v>
      </c>
      <c r="K161" s="45" t="s">
        <v>398</v>
      </c>
      <c r="L161" s="46">
        <v>1</v>
      </c>
      <c r="M161" s="512"/>
      <c r="N161" s="57"/>
      <c r="O161" s="43"/>
      <c r="P161" s="37"/>
      <c r="Q161" s="38"/>
      <c r="R161" s="79"/>
      <c r="S161" s="92" t="s">
        <v>17572</v>
      </c>
      <c r="V161" s="57"/>
      <c r="W161" s="208">
        <f>ROUND((ROUND((ROUND((ROUND((_15_同援日４．０*_15・通訳),0)*_15・２人),0)*(1+_15・A夜間)),0)*(1+_15・区３)),0)</f>
        <v>1024</v>
      </c>
      <c r="X161" s="48"/>
    </row>
    <row r="162" spans="1:24" ht="16.5" customHeight="1" x14ac:dyDescent="0.15">
      <c r="A162" s="41">
        <v>15</v>
      </c>
      <c r="B162" s="41" t="s">
        <v>26449</v>
      </c>
      <c r="C162" s="74" t="s">
        <v>26450</v>
      </c>
      <c r="D162" s="72"/>
      <c r="F162" s="57"/>
      <c r="G162" s="35"/>
      <c r="J162" s="163"/>
      <c r="K162" s="45"/>
      <c r="L162" s="46"/>
      <c r="M162" s="512"/>
      <c r="N162" s="57"/>
      <c r="O162" s="114" t="s">
        <v>17562</v>
      </c>
      <c r="P162" s="49"/>
      <c r="Q162" s="50"/>
      <c r="R162" s="115"/>
      <c r="S162" s="35"/>
      <c r="T162" s="12" t="s">
        <v>398</v>
      </c>
      <c r="U162" s="13">
        <v>0.2</v>
      </c>
      <c r="V162" s="57" t="s">
        <v>3575</v>
      </c>
      <c r="W162" s="208">
        <f>ROUND((ROUND((ROUND((ROUND((_15_同援日４．０*_15・通訳),0)*(1+_15・A夜間)),0)*(1+_15・盲ろう)),0)*(1+_15・区３)),0)</f>
        <v>1279</v>
      </c>
      <c r="X162" s="48"/>
    </row>
    <row r="163" spans="1:24" ht="16.5" customHeight="1" x14ac:dyDescent="0.15">
      <c r="A163" s="41">
        <v>15</v>
      </c>
      <c r="B163" s="41" t="s">
        <v>26451</v>
      </c>
      <c r="C163" s="74" t="s">
        <v>26452</v>
      </c>
      <c r="D163" s="72"/>
      <c r="F163" s="57"/>
      <c r="G163" s="35"/>
      <c r="J163" s="299" t="s">
        <v>17556</v>
      </c>
      <c r="K163" s="45" t="s">
        <v>398</v>
      </c>
      <c r="L163" s="46">
        <v>1</v>
      </c>
      <c r="M163" s="512"/>
      <c r="N163" s="57"/>
      <c r="O163" s="269" t="s">
        <v>17564</v>
      </c>
      <c r="P163" s="37" t="s">
        <v>398</v>
      </c>
      <c r="Q163" s="38">
        <v>0.25</v>
      </c>
      <c r="R163" s="79" t="s">
        <v>3575</v>
      </c>
      <c r="S163" s="43"/>
      <c r="T163" s="37"/>
      <c r="U163" s="38"/>
      <c r="V163" s="79"/>
      <c r="W163" s="208">
        <f>ROUND((ROUND((ROUND((ROUND((ROUND((_15_同援日４．０*_15・通訳),0)*_15・２人),0)*(1+_15・A夜間)),0)*(1+_15・盲ろう)),0)*(1+_15・区３)),0)</f>
        <v>1279</v>
      </c>
      <c r="X163" s="48"/>
    </row>
    <row r="164" spans="1:24" ht="16.5" customHeight="1" x14ac:dyDescent="0.15">
      <c r="A164" s="41">
        <v>15</v>
      </c>
      <c r="B164" s="41" t="s">
        <v>26453</v>
      </c>
      <c r="C164" s="74" t="s">
        <v>26454</v>
      </c>
      <c r="D164" s="72"/>
      <c r="F164" s="57"/>
      <c r="G164" s="35"/>
      <c r="J164" s="163"/>
      <c r="K164" s="45"/>
      <c r="L164" s="46"/>
      <c r="M164" s="512"/>
      <c r="N164" s="57"/>
      <c r="O164" s="53"/>
      <c r="P164" s="49"/>
      <c r="Q164" s="50"/>
      <c r="R164" s="115"/>
      <c r="S164" s="114" t="s">
        <v>17580</v>
      </c>
      <c r="T164" s="49"/>
      <c r="U164" s="50"/>
      <c r="V164" s="115"/>
      <c r="W164" s="208">
        <f>ROUND((ROUND((ROUND((_15_同援日４．０*_15・通訳),0)*(1+_15・A夜間)),0)*(1+_15・区４)),0)</f>
        <v>1194</v>
      </c>
      <c r="X164" s="48"/>
    </row>
    <row r="165" spans="1:24" ht="16.5" customHeight="1" x14ac:dyDescent="0.15">
      <c r="A165" s="41">
        <v>15</v>
      </c>
      <c r="B165" s="41" t="s">
        <v>26455</v>
      </c>
      <c r="C165" s="74" t="s">
        <v>26456</v>
      </c>
      <c r="D165" s="72"/>
      <c r="F165" s="57"/>
      <c r="G165" s="35"/>
      <c r="J165" s="299" t="s">
        <v>17556</v>
      </c>
      <c r="K165" s="45" t="s">
        <v>398</v>
      </c>
      <c r="L165" s="46">
        <v>1</v>
      </c>
      <c r="M165" s="512"/>
      <c r="N165" s="57"/>
      <c r="O165" s="43"/>
      <c r="P165" s="37"/>
      <c r="Q165" s="38"/>
      <c r="R165" s="79"/>
      <c r="S165" s="92" t="s">
        <v>17572</v>
      </c>
      <c r="V165" s="57"/>
      <c r="W165" s="208">
        <f>ROUND((ROUND((ROUND((ROUND((_15_同援日４．０*_15・通訳),0)*_15・２人),0)*(1+_15・A夜間)),0)*(1+_15・区４)),0)</f>
        <v>1194</v>
      </c>
      <c r="X165" s="48"/>
    </row>
    <row r="166" spans="1:24" ht="16.5" customHeight="1" x14ac:dyDescent="0.15">
      <c r="A166" s="41">
        <v>15</v>
      </c>
      <c r="B166" s="41" t="s">
        <v>2716</v>
      </c>
      <c r="C166" s="74" t="s">
        <v>26457</v>
      </c>
      <c r="D166" s="72"/>
      <c r="F166" s="57"/>
      <c r="G166" s="35"/>
      <c r="J166" s="163"/>
      <c r="K166" s="45"/>
      <c r="L166" s="46"/>
      <c r="M166" s="512"/>
      <c r="N166" s="57"/>
      <c r="O166" s="114" t="s">
        <v>17562</v>
      </c>
      <c r="P166" s="49"/>
      <c r="Q166" s="50"/>
      <c r="R166" s="115"/>
      <c r="S166" s="35"/>
      <c r="T166" s="12" t="s">
        <v>398</v>
      </c>
      <c r="U166" s="13">
        <v>0.4</v>
      </c>
      <c r="V166" s="57" t="s">
        <v>3575</v>
      </c>
      <c r="W166" s="208">
        <f>ROUND((ROUND((ROUND((ROUND((_15_同援日４．０*_15・通訳),0)*(1+_15・A夜間)),0)*(1+_15・盲ろう)),0)*(1+_15・区４)),0)</f>
        <v>1492</v>
      </c>
      <c r="X166" s="48"/>
    </row>
    <row r="167" spans="1:24" ht="16.5" customHeight="1" x14ac:dyDescent="0.15">
      <c r="A167" s="41">
        <v>15</v>
      </c>
      <c r="B167" s="41" t="s">
        <v>2718</v>
      </c>
      <c r="C167" s="74" t="s">
        <v>26458</v>
      </c>
      <c r="D167" s="122"/>
      <c r="E167" s="37"/>
      <c r="F167" s="79"/>
      <c r="G167" s="35"/>
      <c r="J167" s="299" t="s">
        <v>17556</v>
      </c>
      <c r="K167" s="45" t="s">
        <v>398</v>
      </c>
      <c r="L167" s="46">
        <v>1</v>
      </c>
      <c r="M167" s="512"/>
      <c r="N167" s="57"/>
      <c r="O167" s="269" t="s">
        <v>17564</v>
      </c>
      <c r="P167" s="37" t="s">
        <v>398</v>
      </c>
      <c r="Q167" s="38">
        <v>0.25</v>
      </c>
      <c r="R167" s="79" t="s">
        <v>3575</v>
      </c>
      <c r="S167" s="43"/>
      <c r="T167" s="37"/>
      <c r="U167" s="38"/>
      <c r="V167" s="79"/>
      <c r="W167" s="208">
        <f>ROUND((ROUND((ROUND((ROUND((ROUND((_15_同援日４．０*_15・通訳),0)*_15・２人),0)*(1+_15・A夜間)),0)*(1+_15・盲ろう)),0)*(1+_15・区４)),0)</f>
        <v>1492</v>
      </c>
      <c r="X167" s="48"/>
    </row>
    <row r="168" spans="1:24" ht="16.5" customHeight="1" x14ac:dyDescent="0.15">
      <c r="A168" s="41">
        <v>15</v>
      </c>
      <c r="B168" s="41" t="s">
        <v>2720</v>
      </c>
      <c r="C168" s="74" t="s">
        <v>26459</v>
      </c>
      <c r="D168" s="114" t="s">
        <v>18460</v>
      </c>
      <c r="E168" s="49"/>
      <c r="F168" s="115"/>
      <c r="G168" s="35"/>
      <c r="J168" s="163"/>
      <c r="K168" s="45"/>
      <c r="L168" s="46"/>
      <c r="M168" s="512"/>
      <c r="N168" s="57"/>
      <c r="O168" s="53"/>
      <c r="P168" s="49"/>
      <c r="Q168" s="50"/>
      <c r="R168" s="115"/>
      <c r="S168" s="53"/>
      <c r="T168" s="49"/>
      <c r="U168" s="50"/>
      <c r="V168" s="115"/>
      <c r="W168" s="208">
        <f>ROUND((ROUND((_15_同援日４．５*_15・通訳),0)*(1+_15・A夜間)),0)</f>
        <v>926</v>
      </c>
      <c r="X168" s="48"/>
    </row>
    <row r="169" spans="1:24" ht="16.5" customHeight="1" x14ac:dyDescent="0.15">
      <c r="A169" s="41">
        <v>15</v>
      </c>
      <c r="B169" s="41" t="s">
        <v>2722</v>
      </c>
      <c r="C169" s="74" t="s">
        <v>26460</v>
      </c>
      <c r="D169" s="72" t="s">
        <v>17778</v>
      </c>
      <c r="F169" s="57"/>
      <c r="G169" s="35"/>
      <c r="J169" s="299" t="s">
        <v>17556</v>
      </c>
      <c r="K169" s="45" t="s">
        <v>398</v>
      </c>
      <c r="L169" s="46">
        <v>1</v>
      </c>
      <c r="M169" s="512"/>
      <c r="N169" s="57"/>
      <c r="O169" s="43"/>
      <c r="P169" s="37"/>
      <c r="Q169" s="38"/>
      <c r="R169" s="79"/>
      <c r="S169" s="35"/>
      <c r="V169" s="57"/>
      <c r="W169" s="208">
        <f>ROUND((ROUND((ROUND((_15_同援日４．５*_15・通訳),0)*_15・２人),0)*(1+_15・A夜間)),0)</f>
        <v>926</v>
      </c>
      <c r="X169" s="48"/>
    </row>
    <row r="170" spans="1:24" ht="16.5" customHeight="1" x14ac:dyDescent="0.15">
      <c r="A170" s="41">
        <v>15</v>
      </c>
      <c r="B170" s="41" t="s">
        <v>26461</v>
      </c>
      <c r="C170" s="74" t="s">
        <v>26462</v>
      </c>
      <c r="D170" s="72" t="s">
        <v>18463</v>
      </c>
      <c r="F170" s="57"/>
      <c r="G170" s="35"/>
      <c r="J170" s="163"/>
      <c r="K170" s="45"/>
      <c r="L170" s="46"/>
      <c r="M170" s="512"/>
      <c r="N170" s="57"/>
      <c r="O170" s="114" t="s">
        <v>17562</v>
      </c>
      <c r="P170" s="49"/>
      <c r="Q170" s="50"/>
      <c r="R170" s="115"/>
      <c r="S170" s="35"/>
      <c r="V170" s="57"/>
      <c r="W170" s="208">
        <f>ROUND((ROUND((ROUND((_15_同援日４．５*_15・通訳),0)*(1+_15・A夜間)),0)*(1+_15・盲ろう)),0)</f>
        <v>1158</v>
      </c>
      <c r="X170" s="48"/>
    </row>
    <row r="171" spans="1:24" ht="16.5" customHeight="1" x14ac:dyDescent="0.15">
      <c r="A171" s="41">
        <v>15</v>
      </c>
      <c r="B171" s="41" t="s">
        <v>26463</v>
      </c>
      <c r="C171" s="74" t="s">
        <v>26464</v>
      </c>
      <c r="D171" s="72"/>
      <c r="E171" s="168">
        <f>_15_同援日４．５</f>
        <v>823</v>
      </c>
      <c r="F171" s="57" t="s">
        <v>392</v>
      </c>
      <c r="G171" s="35"/>
      <c r="J171" s="299" t="s">
        <v>17556</v>
      </c>
      <c r="K171" s="45" t="s">
        <v>398</v>
      </c>
      <c r="L171" s="46">
        <v>1</v>
      </c>
      <c r="M171" s="512"/>
      <c r="N171" s="57"/>
      <c r="O171" s="269" t="s">
        <v>17564</v>
      </c>
      <c r="P171" s="37" t="s">
        <v>398</v>
      </c>
      <c r="Q171" s="38">
        <v>0.25</v>
      </c>
      <c r="R171" s="79" t="s">
        <v>3575</v>
      </c>
      <c r="S171" s="43"/>
      <c r="T171" s="37"/>
      <c r="U171" s="38"/>
      <c r="V171" s="79"/>
      <c r="W171" s="208">
        <f>ROUND((ROUND((ROUND((ROUND((_15_同援日４．５*_15・通訳),0)*_15・２人),0)*(1+_15・A夜間)),0)*(1+_15・盲ろう)),0)</f>
        <v>1158</v>
      </c>
      <c r="X171" s="48"/>
    </row>
    <row r="172" spans="1:24" ht="16.5" customHeight="1" x14ac:dyDescent="0.15">
      <c r="A172" s="41">
        <v>15</v>
      </c>
      <c r="B172" s="41" t="s">
        <v>26465</v>
      </c>
      <c r="C172" s="74" t="s">
        <v>26466</v>
      </c>
      <c r="D172" s="72"/>
      <c r="F172" s="57"/>
      <c r="G172" s="35"/>
      <c r="J172" s="163"/>
      <c r="K172" s="45"/>
      <c r="L172" s="46"/>
      <c r="M172" s="512"/>
      <c r="N172" s="57"/>
      <c r="O172" s="53"/>
      <c r="P172" s="49"/>
      <c r="Q172" s="50"/>
      <c r="R172" s="115"/>
      <c r="S172" s="114" t="s">
        <v>17570</v>
      </c>
      <c r="T172" s="49"/>
      <c r="U172" s="50"/>
      <c r="V172" s="115"/>
      <c r="W172" s="208">
        <f>ROUND((ROUND((ROUND((_15_同援日４．５*_15・通訳),0)*(1+_15・A夜間)),0)*(1+_15・区３)),0)</f>
        <v>1111</v>
      </c>
      <c r="X172" s="48"/>
    </row>
    <row r="173" spans="1:24" ht="16.5" customHeight="1" x14ac:dyDescent="0.15">
      <c r="A173" s="41">
        <v>15</v>
      </c>
      <c r="B173" s="41" t="s">
        <v>26467</v>
      </c>
      <c r="C173" s="74" t="s">
        <v>26468</v>
      </c>
      <c r="D173" s="72"/>
      <c r="F173" s="57"/>
      <c r="G173" s="35"/>
      <c r="J173" s="299" t="s">
        <v>17556</v>
      </c>
      <c r="K173" s="45" t="s">
        <v>398</v>
      </c>
      <c r="L173" s="46">
        <v>1</v>
      </c>
      <c r="M173" s="512"/>
      <c r="N173" s="57"/>
      <c r="O173" s="43"/>
      <c r="P173" s="37"/>
      <c r="Q173" s="38"/>
      <c r="R173" s="79"/>
      <c r="S173" s="92" t="s">
        <v>17572</v>
      </c>
      <c r="V173" s="57"/>
      <c r="W173" s="208">
        <f>ROUND((ROUND((ROUND((ROUND((_15_同援日４．５*_15・通訳),0)*_15・２人),0)*(1+_15・A夜間)),0)*(1+_15・区３)),0)</f>
        <v>1111</v>
      </c>
      <c r="X173" s="48"/>
    </row>
    <row r="174" spans="1:24" ht="16.5" customHeight="1" x14ac:dyDescent="0.15">
      <c r="A174" s="41">
        <v>15</v>
      </c>
      <c r="B174" s="41" t="s">
        <v>26469</v>
      </c>
      <c r="C174" s="74" t="s">
        <v>26470</v>
      </c>
      <c r="D174" s="72"/>
      <c r="F174" s="57"/>
      <c r="G174" s="35"/>
      <c r="J174" s="163"/>
      <c r="K174" s="45"/>
      <c r="L174" s="46"/>
      <c r="M174" s="512"/>
      <c r="N174" s="57"/>
      <c r="O174" s="114" t="s">
        <v>17562</v>
      </c>
      <c r="P174" s="49"/>
      <c r="Q174" s="50"/>
      <c r="R174" s="115"/>
      <c r="S174" s="35"/>
      <c r="T174" s="12" t="s">
        <v>398</v>
      </c>
      <c r="U174" s="13">
        <v>0.2</v>
      </c>
      <c r="V174" s="57" t="s">
        <v>3575</v>
      </c>
      <c r="W174" s="208">
        <f>ROUND((ROUND((ROUND((ROUND((_15_同援日４．５*_15・通訳),0)*(1+_15・A夜間)),0)*(1+_15・盲ろう)),0)*(1+_15・区３)),0)</f>
        <v>1390</v>
      </c>
      <c r="X174" s="48"/>
    </row>
    <row r="175" spans="1:24" ht="16.5" customHeight="1" x14ac:dyDescent="0.15">
      <c r="A175" s="41">
        <v>15</v>
      </c>
      <c r="B175" s="41" t="s">
        <v>26471</v>
      </c>
      <c r="C175" s="74" t="s">
        <v>26472</v>
      </c>
      <c r="D175" s="72"/>
      <c r="F175" s="57"/>
      <c r="G175" s="35"/>
      <c r="J175" s="299" t="s">
        <v>17556</v>
      </c>
      <c r="K175" s="45" t="s">
        <v>398</v>
      </c>
      <c r="L175" s="46">
        <v>1</v>
      </c>
      <c r="M175" s="512"/>
      <c r="N175" s="57"/>
      <c r="O175" s="269" t="s">
        <v>17564</v>
      </c>
      <c r="P175" s="37" t="s">
        <v>398</v>
      </c>
      <c r="Q175" s="38">
        <v>0.25</v>
      </c>
      <c r="R175" s="79" t="s">
        <v>3575</v>
      </c>
      <c r="S175" s="43"/>
      <c r="T175" s="37"/>
      <c r="U175" s="38"/>
      <c r="V175" s="79"/>
      <c r="W175" s="208">
        <f>ROUND((ROUND((ROUND((ROUND((ROUND((_15_同援日４．５*_15・通訳),0)*_15・２人),0)*(1+_15・A夜間)),0)*(1+_15・盲ろう)),0)*(1+_15・区３)),0)</f>
        <v>1390</v>
      </c>
      <c r="X175" s="48"/>
    </row>
    <row r="176" spans="1:24" ht="16.5" customHeight="1" x14ac:dyDescent="0.15">
      <c r="A176" s="41">
        <v>15</v>
      </c>
      <c r="B176" s="41" t="s">
        <v>26473</v>
      </c>
      <c r="C176" s="74" t="s">
        <v>26474</v>
      </c>
      <c r="D176" s="72"/>
      <c r="F176" s="57"/>
      <c r="G176" s="35"/>
      <c r="J176" s="163"/>
      <c r="K176" s="45"/>
      <c r="L176" s="46"/>
      <c r="M176" s="512"/>
      <c r="N176" s="57"/>
      <c r="O176" s="53"/>
      <c r="P176" s="49"/>
      <c r="Q176" s="50"/>
      <c r="R176" s="115"/>
      <c r="S176" s="114" t="s">
        <v>17580</v>
      </c>
      <c r="T176" s="49"/>
      <c r="U176" s="50"/>
      <c r="V176" s="115"/>
      <c r="W176" s="208">
        <f>ROUND((ROUND((ROUND((_15_同援日４．５*_15・通訳),0)*(1+_15・A夜間)),0)*(1+_15・区４)),0)</f>
        <v>1296</v>
      </c>
      <c r="X176" s="48"/>
    </row>
    <row r="177" spans="1:24" ht="16.5" customHeight="1" x14ac:dyDescent="0.15">
      <c r="A177" s="41">
        <v>15</v>
      </c>
      <c r="B177" s="41" t="s">
        <v>26475</v>
      </c>
      <c r="C177" s="74" t="s">
        <v>26476</v>
      </c>
      <c r="D177" s="72"/>
      <c r="F177" s="57"/>
      <c r="G177" s="35"/>
      <c r="J177" s="299" t="s">
        <v>17556</v>
      </c>
      <c r="K177" s="45" t="s">
        <v>398</v>
      </c>
      <c r="L177" s="46">
        <v>1</v>
      </c>
      <c r="M177" s="512"/>
      <c r="N177" s="57"/>
      <c r="O177" s="43"/>
      <c r="P177" s="37"/>
      <c r="Q177" s="38"/>
      <c r="R177" s="79"/>
      <c r="S177" s="92" t="s">
        <v>17572</v>
      </c>
      <c r="V177" s="57"/>
      <c r="W177" s="208">
        <f>ROUND((ROUND((ROUND((ROUND((_15_同援日４．５*_15・通訳),0)*_15・２人),0)*(1+_15・A夜間)),0)*(1+_15・区４)),0)</f>
        <v>1296</v>
      </c>
      <c r="X177" s="48"/>
    </row>
    <row r="178" spans="1:24" ht="16.5" customHeight="1" x14ac:dyDescent="0.15">
      <c r="A178" s="41">
        <v>15</v>
      </c>
      <c r="B178" s="41" t="s">
        <v>26477</v>
      </c>
      <c r="C178" s="74" t="s">
        <v>26478</v>
      </c>
      <c r="D178" s="72"/>
      <c r="F178" s="57"/>
      <c r="G178" s="35"/>
      <c r="J178" s="163"/>
      <c r="K178" s="45"/>
      <c r="L178" s="46"/>
      <c r="M178" s="512"/>
      <c r="N178" s="57"/>
      <c r="O178" s="114" t="s">
        <v>17562</v>
      </c>
      <c r="P178" s="49"/>
      <c r="Q178" s="50"/>
      <c r="R178" s="115"/>
      <c r="S178" s="35"/>
      <c r="T178" s="12" t="s">
        <v>398</v>
      </c>
      <c r="U178" s="13">
        <v>0.4</v>
      </c>
      <c r="V178" s="57" t="s">
        <v>3575</v>
      </c>
      <c r="W178" s="208">
        <f>ROUND((ROUND((ROUND((ROUND((_15_同援日４．５*_15・通訳),0)*(1+_15・A夜間)),0)*(1+_15・盲ろう)),0)*(1+_15・区４)),0)</f>
        <v>1621</v>
      </c>
      <c r="X178" s="48"/>
    </row>
    <row r="179" spans="1:24" ht="16.5" customHeight="1" x14ac:dyDescent="0.15">
      <c r="A179" s="41">
        <v>15</v>
      </c>
      <c r="B179" s="41" t="s">
        <v>26479</v>
      </c>
      <c r="C179" s="74" t="s">
        <v>26480</v>
      </c>
      <c r="D179" s="122"/>
      <c r="E179" s="37"/>
      <c r="F179" s="79"/>
      <c r="G179" s="43"/>
      <c r="H179" s="37"/>
      <c r="I179" s="38"/>
      <c r="J179" s="299" t="s">
        <v>17556</v>
      </c>
      <c r="K179" s="45" t="s">
        <v>398</v>
      </c>
      <c r="L179" s="46">
        <v>1</v>
      </c>
      <c r="M179" s="514"/>
      <c r="N179" s="79"/>
      <c r="O179" s="269" t="s">
        <v>17564</v>
      </c>
      <c r="P179" s="37" t="s">
        <v>398</v>
      </c>
      <c r="Q179" s="38">
        <v>0.25</v>
      </c>
      <c r="R179" s="79" t="s">
        <v>3575</v>
      </c>
      <c r="S179" s="43"/>
      <c r="T179" s="37"/>
      <c r="U179" s="38"/>
      <c r="V179" s="79"/>
      <c r="W179" s="208">
        <f>ROUND((ROUND((ROUND((ROUND((ROUND((_15_同援日４．５*_15・通訳),0)*_15・２人),0)*(1+_15・A夜間)),0)*(1+_15・盲ろう)),0)*(1+_15・区４)),0)</f>
        <v>1621</v>
      </c>
      <c r="X179" s="63"/>
    </row>
    <row r="180" spans="1:24" ht="16.5" customHeight="1" x14ac:dyDescent="0.15"/>
    <row r="181" spans="1:24"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44" fitToHeight="0" orientation="portrait" r:id="rId1"/>
  <headerFooter>
    <oddHeader>&amp;R&amp;"ＭＳ Ｐゴシック"&amp;9同行援護</oddHeader>
    <oddFooter>&amp;C&amp;"ＭＳ Ｐゴシック"&amp;14&amp;P</oddFooter>
  </headerFooter>
  <rowBreaks count="1" manualBreakCount="1">
    <brk id="67" max="23"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7">
    <pageSetUpPr fitToPage="1"/>
  </sheetPr>
  <dimension ref="A1:X164"/>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12.875" style="10" bestFit="1" customWidth="1"/>
    <col min="5" max="5" width="5.875" style="12" bestFit="1" customWidth="1"/>
    <col min="6" max="6" width="4.875" style="12" bestFit="1" customWidth="1"/>
    <col min="7" max="7" width="18.5" style="12" customWidth="1"/>
    <col min="8" max="8" width="3.125" style="12" bestFit="1" customWidth="1"/>
    <col min="9" max="9" width="4.125" style="13" bestFit="1" customWidth="1"/>
    <col min="10" max="10" width="26.5" style="12" bestFit="1" customWidth="1"/>
    <col min="11" max="11" width="3.125" style="12" bestFit="1" customWidth="1"/>
    <col min="12" max="12" width="5" style="13" bestFit="1" customWidth="1"/>
    <col min="13" max="13" width="4.125" style="13" bestFit="1" customWidth="1"/>
    <col min="14" max="14" width="4.875" style="12" bestFit="1" customWidth="1"/>
    <col min="15" max="15" width="22.875" style="12" customWidth="1"/>
    <col min="16" max="16" width="3.125" style="12" bestFit="1" customWidth="1"/>
    <col min="17" max="17" width="4.125" style="13" bestFit="1" customWidth="1"/>
    <col min="18" max="18" width="4.875" style="12" bestFit="1" customWidth="1"/>
    <col min="19" max="19" width="8.5" style="12" customWidth="1"/>
    <col min="20" max="20" width="3.125" style="12" bestFit="1" customWidth="1"/>
    <col min="21" max="21" width="4.125" style="13" bestFit="1" customWidth="1"/>
    <col min="22" max="22" width="4.875" style="12" bestFit="1" customWidth="1"/>
    <col min="23" max="23" width="7.125" style="206" customWidth="1"/>
    <col min="24" max="24" width="8.5" style="16" customWidth="1"/>
    <col min="25" max="16384" width="9" style="12"/>
  </cols>
  <sheetData>
    <row r="1" spans="1:24" ht="17.100000000000001" customHeight="1" x14ac:dyDescent="0.15"/>
    <row r="2" spans="1:24" ht="17.100000000000001" customHeight="1" x14ac:dyDescent="0.15"/>
    <row r="3" spans="1:24" ht="17.100000000000001" customHeight="1" x14ac:dyDescent="0.15"/>
    <row r="4" spans="1:24" ht="17.100000000000001" customHeight="1" x14ac:dyDescent="0.15">
      <c r="B4" s="17" t="s">
        <v>26481</v>
      </c>
      <c r="D4" s="71"/>
    </row>
    <row r="5" spans="1:24" ht="16.5" customHeight="1" x14ac:dyDescent="0.15">
      <c r="A5" s="19" t="s">
        <v>384</v>
      </c>
      <c r="B5" s="20"/>
      <c r="C5" s="21" t="s">
        <v>385</v>
      </c>
      <c r="D5" s="23" t="s">
        <v>386</v>
      </c>
      <c r="E5" s="23"/>
      <c r="F5" s="23"/>
      <c r="G5" s="23"/>
      <c r="H5" s="23"/>
      <c r="I5" s="24"/>
      <c r="J5" s="23"/>
      <c r="K5" s="23"/>
      <c r="L5" s="24"/>
      <c r="M5" s="24"/>
      <c r="N5" s="23"/>
      <c r="O5" s="23"/>
      <c r="P5" s="23"/>
      <c r="Q5" s="24"/>
      <c r="R5" s="23"/>
      <c r="S5" s="23"/>
      <c r="T5" s="23"/>
      <c r="U5" s="24"/>
      <c r="V5" s="23"/>
      <c r="W5" s="21" t="s">
        <v>387</v>
      </c>
      <c r="X5" s="21" t="s">
        <v>388</v>
      </c>
    </row>
    <row r="6" spans="1:24" ht="16.5" customHeight="1" x14ac:dyDescent="0.15">
      <c r="A6" s="26" t="s">
        <v>389</v>
      </c>
      <c r="B6" s="26" t="s">
        <v>390</v>
      </c>
      <c r="C6" s="27"/>
      <c r="D6" s="29"/>
      <c r="E6" s="29"/>
      <c r="F6" s="29"/>
      <c r="G6" s="29"/>
      <c r="H6" s="29"/>
      <c r="I6" s="30"/>
      <c r="J6" s="29"/>
      <c r="K6" s="29"/>
      <c r="L6" s="30"/>
      <c r="M6" s="30"/>
      <c r="N6" s="29"/>
      <c r="O6" s="29"/>
      <c r="P6" s="29"/>
      <c r="Q6" s="30"/>
      <c r="R6" s="29"/>
      <c r="S6" s="29"/>
      <c r="T6" s="29"/>
      <c r="U6" s="30"/>
      <c r="V6" s="29"/>
      <c r="W6" s="32" t="s">
        <v>391</v>
      </c>
      <c r="X6" s="32" t="s">
        <v>392</v>
      </c>
    </row>
    <row r="7" spans="1:24" ht="16.5" customHeight="1" x14ac:dyDescent="0.15">
      <c r="A7" s="33">
        <v>15</v>
      </c>
      <c r="B7" s="33" t="s">
        <v>26482</v>
      </c>
      <c r="C7" s="34" t="s">
        <v>26483</v>
      </c>
      <c r="D7" s="72" t="s">
        <v>18487</v>
      </c>
      <c r="F7" s="57"/>
      <c r="G7" s="35"/>
      <c r="J7" s="43"/>
      <c r="K7" s="37"/>
      <c r="L7" s="38"/>
      <c r="M7" s="512"/>
      <c r="N7" s="57"/>
      <c r="O7" s="35"/>
      <c r="R7" s="57"/>
      <c r="S7" s="35"/>
      <c r="V7" s="57"/>
      <c r="W7" s="207">
        <f>ROUND((ROUND((_15_同援日０．５*_15・通訳),0)*(1+_15・A深夜)),0)</f>
        <v>257</v>
      </c>
      <c r="X7" s="40" t="s">
        <v>395</v>
      </c>
    </row>
    <row r="8" spans="1:24" ht="16.5" customHeight="1" x14ac:dyDescent="0.15">
      <c r="A8" s="41">
        <v>15</v>
      </c>
      <c r="B8" s="41" t="s">
        <v>26484</v>
      </c>
      <c r="C8" s="74" t="s">
        <v>26485</v>
      </c>
      <c r="D8" s="72" t="s">
        <v>18259</v>
      </c>
      <c r="F8" s="57"/>
      <c r="G8" s="35"/>
      <c r="J8" s="299" t="s">
        <v>17556</v>
      </c>
      <c r="K8" s="45" t="s">
        <v>398</v>
      </c>
      <c r="L8" s="46">
        <v>1</v>
      </c>
      <c r="M8" s="512"/>
      <c r="N8" s="57"/>
      <c r="O8" s="43"/>
      <c r="P8" s="37"/>
      <c r="Q8" s="38"/>
      <c r="R8" s="79"/>
      <c r="S8" s="35"/>
      <c r="V8" s="57"/>
      <c r="W8" s="208">
        <f>ROUND((ROUND((ROUND((_15_同援日０．５*_15・通訳),0)*_15・２人),0)*(1+_15・A深夜)),0)</f>
        <v>257</v>
      </c>
      <c r="X8" s="48"/>
    </row>
    <row r="9" spans="1:24" ht="16.5" customHeight="1" x14ac:dyDescent="0.15">
      <c r="A9" s="41">
        <v>15</v>
      </c>
      <c r="B9" s="41" t="s">
        <v>26486</v>
      </c>
      <c r="C9" s="74" t="s">
        <v>26487</v>
      </c>
      <c r="D9" s="72"/>
      <c r="F9" s="57"/>
      <c r="G9" s="35"/>
      <c r="J9" s="163"/>
      <c r="K9" s="45"/>
      <c r="L9" s="46"/>
      <c r="M9" s="512"/>
      <c r="N9" s="57"/>
      <c r="O9" s="114" t="s">
        <v>17562</v>
      </c>
      <c r="P9" s="49"/>
      <c r="Q9" s="50"/>
      <c r="R9" s="115"/>
      <c r="S9" s="35"/>
      <c r="V9" s="57"/>
      <c r="W9" s="208">
        <f>ROUND((ROUND((ROUND((_15_同援日０．５*_15・通訳),0)*(1+_15・A深夜)),0)*(1+_15・盲ろう)),0)</f>
        <v>321</v>
      </c>
      <c r="X9" s="48"/>
    </row>
    <row r="10" spans="1:24" ht="16.5" customHeight="1" x14ac:dyDescent="0.15">
      <c r="A10" s="41">
        <v>15</v>
      </c>
      <c r="B10" s="41" t="s">
        <v>26488</v>
      </c>
      <c r="C10" s="74" t="s">
        <v>26489</v>
      </c>
      <c r="D10" s="72"/>
      <c r="E10" s="168">
        <f>_15_同援日０．５</f>
        <v>190</v>
      </c>
      <c r="F10" s="57" t="s">
        <v>392</v>
      </c>
      <c r="G10" s="35"/>
      <c r="J10" s="299" t="s">
        <v>17556</v>
      </c>
      <c r="K10" s="45" t="s">
        <v>398</v>
      </c>
      <c r="L10" s="46">
        <v>1</v>
      </c>
      <c r="M10" s="512"/>
      <c r="N10" s="57"/>
      <c r="O10" s="269" t="s">
        <v>17564</v>
      </c>
      <c r="P10" s="37" t="s">
        <v>398</v>
      </c>
      <c r="Q10" s="38">
        <v>0.25</v>
      </c>
      <c r="R10" s="79" t="s">
        <v>3575</v>
      </c>
      <c r="S10" s="43"/>
      <c r="T10" s="37"/>
      <c r="U10" s="38"/>
      <c r="V10" s="79"/>
      <c r="W10" s="208">
        <f>ROUND((ROUND((ROUND((ROUND((_15_同援日０．５*_15・通訳),0)*_15・２人),0)*(1+_15・A深夜)),0)*(1+_15・盲ろう)),0)</f>
        <v>321</v>
      </c>
      <c r="X10" s="48"/>
    </row>
    <row r="11" spans="1:24" ht="16.5" customHeight="1" x14ac:dyDescent="0.15">
      <c r="A11" s="41">
        <v>15</v>
      </c>
      <c r="B11" s="41" t="s">
        <v>26490</v>
      </c>
      <c r="C11" s="74" t="s">
        <v>26491</v>
      </c>
      <c r="D11" s="72"/>
      <c r="F11" s="57"/>
      <c r="G11" s="35"/>
      <c r="J11" s="163"/>
      <c r="K11" s="45"/>
      <c r="L11" s="46"/>
      <c r="M11" s="512"/>
      <c r="N11" s="57"/>
      <c r="O11" s="53"/>
      <c r="P11" s="49"/>
      <c r="Q11" s="50"/>
      <c r="R11" s="115"/>
      <c r="S11" s="114" t="s">
        <v>17570</v>
      </c>
      <c r="T11" s="49"/>
      <c r="U11" s="50"/>
      <c r="V11" s="115"/>
      <c r="W11" s="208">
        <f>ROUND((ROUND((ROUND((_15_同援日０．５*_15・通訳),0)*(1+_15・A深夜)),0)*(1+_15・区３)),0)</f>
        <v>308</v>
      </c>
      <c r="X11" s="48"/>
    </row>
    <row r="12" spans="1:24" ht="16.5" customHeight="1" x14ac:dyDescent="0.15">
      <c r="A12" s="41">
        <v>15</v>
      </c>
      <c r="B12" s="41" t="s">
        <v>26492</v>
      </c>
      <c r="C12" s="74" t="s">
        <v>26493</v>
      </c>
      <c r="D12" s="72"/>
      <c r="F12" s="57"/>
      <c r="G12" s="72" t="s">
        <v>25732</v>
      </c>
      <c r="J12" s="299" t="s">
        <v>17556</v>
      </c>
      <c r="K12" s="45" t="s">
        <v>398</v>
      </c>
      <c r="L12" s="46">
        <v>1</v>
      </c>
      <c r="M12" s="517" t="s">
        <v>18493</v>
      </c>
      <c r="N12" s="57"/>
      <c r="O12" s="43"/>
      <c r="P12" s="37"/>
      <c r="Q12" s="38"/>
      <c r="R12" s="79"/>
      <c r="S12" s="92" t="s">
        <v>17572</v>
      </c>
      <c r="V12" s="57"/>
      <c r="W12" s="208">
        <f>ROUND((ROUND((ROUND((ROUND((_15_同援日０．５*_15・通訳),0)*_15・２人),0)*(1+_15・A深夜)),0)*(1+_15・区３)),0)</f>
        <v>308</v>
      </c>
      <c r="X12" s="48"/>
    </row>
    <row r="13" spans="1:24" ht="16.5" customHeight="1" x14ac:dyDescent="0.15">
      <c r="A13" s="41">
        <v>15</v>
      </c>
      <c r="B13" s="41" t="s">
        <v>2728</v>
      </c>
      <c r="C13" s="74" t="s">
        <v>26494</v>
      </c>
      <c r="D13" s="72"/>
      <c r="F13" s="57"/>
      <c r="G13" s="92" t="s">
        <v>25734</v>
      </c>
      <c r="H13" s="12" t="s">
        <v>398</v>
      </c>
      <c r="I13" s="13">
        <v>0.9</v>
      </c>
      <c r="J13" s="163"/>
      <c r="K13" s="45"/>
      <c r="L13" s="46"/>
      <c r="M13" s="512"/>
      <c r="N13" s="519" t="s">
        <v>18136</v>
      </c>
      <c r="O13" s="114" t="s">
        <v>17562</v>
      </c>
      <c r="P13" s="49"/>
      <c r="Q13" s="50"/>
      <c r="R13" s="115"/>
      <c r="S13" s="35"/>
      <c r="T13" s="12" t="s">
        <v>398</v>
      </c>
      <c r="U13" s="13">
        <v>0.2</v>
      </c>
      <c r="V13" s="57" t="s">
        <v>3575</v>
      </c>
      <c r="W13" s="208">
        <f>ROUND((ROUND((ROUND((ROUND((_15_同援日０．５*_15・通訳),0)*(1+_15・A深夜)),0)*(1+_15・盲ろう)),0)*(1+_15・区３)),0)</f>
        <v>385</v>
      </c>
      <c r="X13" s="48"/>
    </row>
    <row r="14" spans="1:24" ht="16.5" customHeight="1" x14ac:dyDescent="0.15">
      <c r="A14" s="41">
        <v>15</v>
      </c>
      <c r="B14" s="41" t="s">
        <v>2730</v>
      </c>
      <c r="C14" s="74" t="s">
        <v>26495</v>
      </c>
      <c r="D14" s="72"/>
      <c r="F14" s="57"/>
      <c r="G14" s="35"/>
      <c r="J14" s="299" t="s">
        <v>17556</v>
      </c>
      <c r="K14" s="45" t="s">
        <v>398</v>
      </c>
      <c r="L14" s="46">
        <v>1</v>
      </c>
      <c r="M14" s="512"/>
      <c r="N14" s="57"/>
      <c r="O14" s="269" t="s">
        <v>17564</v>
      </c>
      <c r="P14" s="37" t="s">
        <v>398</v>
      </c>
      <c r="Q14" s="38">
        <v>0.25</v>
      </c>
      <c r="R14" s="79" t="s">
        <v>3575</v>
      </c>
      <c r="S14" s="43"/>
      <c r="T14" s="37"/>
      <c r="U14" s="38"/>
      <c r="V14" s="79"/>
      <c r="W14" s="208">
        <f>ROUND((ROUND((ROUND((ROUND((ROUND((_15_同援日０．５*_15・通訳),0)*_15・２人),0)*(1+_15・A深夜)),0)*(1+_15・盲ろう)),0)*(1+_15・区３)),0)</f>
        <v>385</v>
      </c>
      <c r="X14" s="48"/>
    </row>
    <row r="15" spans="1:24" ht="16.5" customHeight="1" x14ac:dyDescent="0.15">
      <c r="A15" s="41">
        <v>15</v>
      </c>
      <c r="B15" s="41" t="s">
        <v>2732</v>
      </c>
      <c r="C15" s="74" t="s">
        <v>26496</v>
      </c>
      <c r="D15" s="72"/>
      <c r="F15" s="57"/>
      <c r="G15" s="35"/>
      <c r="J15" s="163"/>
      <c r="K15" s="45"/>
      <c r="L15" s="46"/>
      <c r="M15" s="35" t="s">
        <v>398</v>
      </c>
      <c r="N15" s="234">
        <v>0.5</v>
      </c>
      <c r="O15" s="53"/>
      <c r="P15" s="49"/>
      <c r="Q15" s="50"/>
      <c r="R15" s="115"/>
      <c r="S15" s="114" t="s">
        <v>17580</v>
      </c>
      <c r="T15" s="49"/>
      <c r="U15" s="50"/>
      <c r="V15" s="115"/>
      <c r="W15" s="208">
        <f>ROUND((ROUND((ROUND((_15_同援日０．５*_15・通訳),0)*(1+_15・A深夜)),0)*(1+_15・区４)),0)</f>
        <v>360</v>
      </c>
      <c r="X15" s="48"/>
    </row>
    <row r="16" spans="1:24" ht="16.5" customHeight="1" x14ac:dyDescent="0.15">
      <c r="A16" s="41">
        <v>15</v>
      </c>
      <c r="B16" s="41" t="s">
        <v>2734</v>
      </c>
      <c r="C16" s="74" t="s">
        <v>26497</v>
      </c>
      <c r="D16" s="72"/>
      <c r="F16" s="57"/>
      <c r="G16" s="35"/>
      <c r="J16" s="299" t="s">
        <v>17556</v>
      </c>
      <c r="K16" s="45" t="s">
        <v>398</v>
      </c>
      <c r="L16" s="46">
        <v>1</v>
      </c>
      <c r="M16" s="512"/>
      <c r="N16" s="513" t="s">
        <v>3575</v>
      </c>
      <c r="O16" s="43"/>
      <c r="P16" s="37"/>
      <c r="Q16" s="38"/>
      <c r="R16" s="79"/>
      <c r="S16" s="92" t="s">
        <v>17572</v>
      </c>
      <c r="V16" s="57"/>
      <c r="W16" s="208">
        <f>ROUND((ROUND((ROUND((ROUND((_15_同援日０．５*_15・通訳),0)*_15・２人),0)*(1+_15・A深夜)),0)*(1+_15・区４)),0)</f>
        <v>360</v>
      </c>
      <c r="X16" s="48"/>
    </row>
    <row r="17" spans="1:24" ht="16.5" customHeight="1" x14ac:dyDescent="0.15">
      <c r="A17" s="41">
        <v>15</v>
      </c>
      <c r="B17" s="41" t="s">
        <v>26498</v>
      </c>
      <c r="C17" s="74" t="s">
        <v>26499</v>
      </c>
      <c r="D17" s="72"/>
      <c r="F17" s="57"/>
      <c r="G17" s="35"/>
      <c r="J17" s="163"/>
      <c r="K17" s="45"/>
      <c r="L17" s="46"/>
      <c r="M17" s="512"/>
      <c r="N17" s="57"/>
      <c r="O17" s="114" t="s">
        <v>17562</v>
      </c>
      <c r="P17" s="49"/>
      <c r="Q17" s="50"/>
      <c r="R17" s="115"/>
      <c r="S17" s="35"/>
      <c r="T17" s="12" t="s">
        <v>398</v>
      </c>
      <c r="U17" s="13">
        <v>0.4</v>
      </c>
      <c r="V17" s="57" t="s">
        <v>3575</v>
      </c>
      <c r="W17" s="208">
        <f>ROUND((ROUND((ROUND((ROUND((_15_同援日０．５*_15・通訳),0)*(1+_15・A深夜)),0)*(1+_15・盲ろう)),0)*(1+_15・区４)),0)</f>
        <v>449</v>
      </c>
      <c r="X17" s="48"/>
    </row>
    <row r="18" spans="1:24" ht="16.5" customHeight="1" x14ac:dyDescent="0.15">
      <c r="A18" s="41">
        <v>15</v>
      </c>
      <c r="B18" s="41" t="s">
        <v>26500</v>
      </c>
      <c r="C18" s="74" t="s">
        <v>26501</v>
      </c>
      <c r="D18" s="122"/>
      <c r="E18" s="37"/>
      <c r="F18" s="79"/>
      <c r="G18" s="35"/>
      <c r="J18" s="299" t="s">
        <v>17556</v>
      </c>
      <c r="K18" s="45" t="s">
        <v>398</v>
      </c>
      <c r="L18" s="46">
        <v>1</v>
      </c>
      <c r="M18" s="512"/>
      <c r="N18" s="57"/>
      <c r="O18" s="269" t="s">
        <v>17564</v>
      </c>
      <c r="P18" s="37" t="s">
        <v>398</v>
      </c>
      <c r="Q18" s="38">
        <v>0.25</v>
      </c>
      <c r="R18" s="79" t="s">
        <v>3575</v>
      </c>
      <c r="S18" s="43"/>
      <c r="T18" s="37"/>
      <c r="U18" s="38"/>
      <c r="V18" s="79"/>
      <c r="W18" s="208">
        <f>ROUND((ROUND((ROUND((ROUND((ROUND((_15_同援日０．５*_15・通訳),0)*_15・２人),0)*(1+_15・A深夜)),0)*(1+_15・盲ろう)),0)*(1+_15・区４)),0)</f>
        <v>449</v>
      </c>
      <c r="X18" s="48"/>
    </row>
    <row r="19" spans="1:24" ht="16.5" customHeight="1" x14ac:dyDescent="0.15">
      <c r="A19" s="41">
        <v>15</v>
      </c>
      <c r="B19" s="41" t="s">
        <v>26502</v>
      </c>
      <c r="C19" s="74" t="s">
        <v>26503</v>
      </c>
      <c r="D19" s="114" t="s">
        <v>18513</v>
      </c>
      <c r="E19" s="49"/>
      <c r="F19" s="115"/>
      <c r="G19" s="35"/>
      <c r="J19" s="163"/>
      <c r="K19" s="45"/>
      <c r="L19" s="46"/>
      <c r="M19" s="512"/>
      <c r="N19" s="57"/>
      <c r="O19" s="53"/>
      <c r="P19" s="49"/>
      <c r="Q19" s="50"/>
      <c r="R19" s="115"/>
      <c r="S19" s="53"/>
      <c r="T19" s="49"/>
      <c r="U19" s="50"/>
      <c r="V19" s="115"/>
      <c r="W19" s="208">
        <f>ROUND((ROUND((_15_同援日１．０*_15・通訳),0)*(1+_15・A深夜)),0)</f>
        <v>405</v>
      </c>
      <c r="X19" s="48"/>
    </row>
    <row r="20" spans="1:24" ht="16.5" customHeight="1" x14ac:dyDescent="0.15">
      <c r="A20" s="41">
        <v>15</v>
      </c>
      <c r="B20" s="41" t="s">
        <v>26504</v>
      </c>
      <c r="C20" s="74" t="s">
        <v>26505</v>
      </c>
      <c r="D20" s="72" t="s">
        <v>17589</v>
      </c>
      <c r="F20" s="57"/>
      <c r="G20" s="35"/>
      <c r="J20" s="299" t="s">
        <v>17556</v>
      </c>
      <c r="K20" s="45" t="s">
        <v>398</v>
      </c>
      <c r="L20" s="46">
        <v>1</v>
      </c>
      <c r="M20" s="512"/>
      <c r="N20" s="57"/>
      <c r="O20" s="43"/>
      <c r="P20" s="37"/>
      <c r="Q20" s="38"/>
      <c r="R20" s="79"/>
      <c r="S20" s="35"/>
      <c r="V20" s="57"/>
      <c r="W20" s="208">
        <f>ROUND((ROUND((ROUND((_15_同援日１．０*_15・通訳),0)*_15・２人),0)*(1+_15・A深夜)),0)</f>
        <v>405</v>
      </c>
      <c r="X20" s="48"/>
    </row>
    <row r="21" spans="1:24" ht="16.5" customHeight="1" x14ac:dyDescent="0.15">
      <c r="A21" s="41">
        <v>15</v>
      </c>
      <c r="B21" s="41" t="s">
        <v>26506</v>
      </c>
      <c r="C21" s="74" t="s">
        <v>26507</v>
      </c>
      <c r="D21" s="72" t="s">
        <v>17591</v>
      </c>
      <c r="F21" s="57"/>
      <c r="G21" s="35"/>
      <c r="J21" s="163"/>
      <c r="K21" s="45"/>
      <c r="L21" s="46"/>
      <c r="M21" s="512"/>
      <c r="N21" s="57"/>
      <c r="O21" s="114" t="s">
        <v>17562</v>
      </c>
      <c r="P21" s="49"/>
      <c r="Q21" s="50"/>
      <c r="R21" s="115"/>
      <c r="S21" s="35"/>
      <c r="V21" s="57"/>
      <c r="W21" s="208">
        <f>ROUND((ROUND((ROUND((_15_同援日１．０*_15・通訳),0)*(1+_15・A深夜)),0)*(1+_15・盲ろう)),0)</f>
        <v>506</v>
      </c>
      <c r="X21" s="48"/>
    </row>
    <row r="22" spans="1:24" ht="16.5" customHeight="1" x14ac:dyDescent="0.15">
      <c r="A22" s="41">
        <v>15</v>
      </c>
      <c r="B22" s="41" t="s">
        <v>26508</v>
      </c>
      <c r="C22" s="74" t="s">
        <v>26509</v>
      </c>
      <c r="D22" s="72"/>
      <c r="E22" s="168">
        <f>_15_同援日１．０</f>
        <v>300</v>
      </c>
      <c r="F22" s="57" t="s">
        <v>392</v>
      </c>
      <c r="G22" s="35"/>
      <c r="J22" s="299" t="s">
        <v>17556</v>
      </c>
      <c r="K22" s="45" t="s">
        <v>398</v>
      </c>
      <c r="L22" s="46">
        <v>1</v>
      </c>
      <c r="M22" s="512"/>
      <c r="N22" s="57"/>
      <c r="O22" s="269" t="s">
        <v>17564</v>
      </c>
      <c r="P22" s="37" t="s">
        <v>398</v>
      </c>
      <c r="Q22" s="38">
        <v>0.25</v>
      </c>
      <c r="R22" s="79" t="s">
        <v>3575</v>
      </c>
      <c r="S22" s="43"/>
      <c r="T22" s="37"/>
      <c r="U22" s="38"/>
      <c r="V22" s="79"/>
      <c r="W22" s="208">
        <f>ROUND((ROUND((ROUND((ROUND((_15_同援日１．０*_15・通訳),0)*_15・２人),0)*(1+_15・A深夜)),0)*(1+_15・盲ろう)),0)</f>
        <v>506</v>
      </c>
      <c r="X22" s="48"/>
    </row>
    <row r="23" spans="1:24" ht="16.5" customHeight="1" x14ac:dyDescent="0.15">
      <c r="A23" s="41">
        <v>15</v>
      </c>
      <c r="B23" s="41" t="s">
        <v>26510</v>
      </c>
      <c r="C23" s="74" t="s">
        <v>26511</v>
      </c>
      <c r="D23" s="72"/>
      <c r="F23" s="57"/>
      <c r="G23" s="35"/>
      <c r="J23" s="163"/>
      <c r="K23" s="45"/>
      <c r="L23" s="46"/>
      <c r="M23" s="512"/>
      <c r="N23" s="57"/>
      <c r="O23" s="53"/>
      <c r="P23" s="49"/>
      <c r="Q23" s="50"/>
      <c r="R23" s="115"/>
      <c r="S23" s="114" t="s">
        <v>17570</v>
      </c>
      <c r="T23" s="49"/>
      <c r="U23" s="50"/>
      <c r="V23" s="115"/>
      <c r="W23" s="208">
        <f>ROUND((ROUND((ROUND((_15_同援日１．０*_15・通訳),0)*(1+_15・A深夜)),0)*(1+_15・区３)),0)</f>
        <v>486</v>
      </c>
      <c r="X23" s="48"/>
    </row>
    <row r="24" spans="1:24" ht="16.5" customHeight="1" x14ac:dyDescent="0.15">
      <c r="A24" s="41">
        <v>15</v>
      </c>
      <c r="B24" s="41" t="s">
        <v>26512</v>
      </c>
      <c r="C24" s="74" t="s">
        <v>26513</v>
      </c>
      <c r="D24" s="72"/>
      <c r="F24" s="57"/>
      <c r="G24" s="35"/>
      <c r="J24" s="299" t="s">
        <v>17556</v>
      </c>
      <c r="K24" s="45" t="s">
        <v>398</v>
      </c>
      <c r="L24" s="46">
        <v>1</v>
      </c>
      <c r="M24" s="512"/>
      <c r="N24" s="57"/>
      <c r="O24" s="43"/>
      <c r="P24" s="37"/>
      <c r="Q24" s="38"/>
      <c r="R24" s="79"/>
      <c r="S24" s="92" t="s">
        <v>17572</v>
      </c>
      <c r="V24" s="57"/>
      <c r="W24" s="208">
        <f>ROUND((ROUND((ROUND((ROUND((_15_同援日１．０*_15・通訳),0)*_15・２人),0)*(1+_15・A深夜)),0)*(1+_15・区３)),0)</f>
        <v>486</v>
      </c>
      <c r="X24" s="48"/>
    </row>
    <row r="25" spans="1:24" ht="16.5" customHeight="1" x14ac:dyDescent="0.15">
      <c r="A25" s="41">
        <v>15</v>
      </c>
      <c r="B25" s="41" t="s">
        <v>26514</v>
      </c>
      <c r="C25" s="74" t="s">
        <v>26515</v>
      </c>
      <c r="D25" s="72"/>
      <c r="F25" s="57"/>
      <c r="G25" s="35"/>
      <c r="J25" s="163"/>
      <c r="K25" s="45"/>
      <c r="L25" s="46"/>
      <c r="M25" s="512"/>
      <c r="N25" s="57"/>
      <c r="O25" s="114" t="s">
        <v>17562</v>
      </c>
      <c r="P25" s="49"/>
      <c r="Q25" s="50"/>
      <c r="R25" s="115"/>
      <c r="S25" s="35"/>
      <c r="T25" s="12" t="s">
        <v>398</v>
      </c>
      <c r="U25" s="13">
        <v>0.2</v>
      </c>
      <c r="V25" s="57" t="s">
        <v>3575</v>
      </c>
      <c r="W25" s="208">
        <f>ROUND((ROUND((ROUND((ROUND((_15_同援日１．０*_15・通訳),0)*(1+_15・A深夜)),0)*(1+_15・盲ろう)),0)*(1+_15・区３)),0)</f>
        <v>607</v>
      </c>
      <c r="X25" s="48"/>
    </row>
    <row r="26" spans="1:24" ht="16.5" customHeight="1" x14ac:dyDescent="0.15">
      <c r="A26" s="41">
        <v>15</v>
      </c>
      <c r="B26" s="41" t="s">
        <v>26516</v>
      </c>
      <c r="C26" s="74" t="s">
        <v>26517</v>
      </c>
      <c r="D26" s="72"/>
      <c r="F26" s="57"/>
      <c r="G26" s="35"/>
      <c r="J26" s="299" t="s">
        <v>17556</v>
      </c>
      <c r="K26" s="45" t="s">
        <v>398</v>
      </c>
      <c r="L26" s="46">
        <v>1</v>
      </c>
      <c r="M26" s="512"/>
      <c r="N26" s="57"/>
      <c r="O26" s="269" t="s">
        <v>17564</v>
      </c>
      <c r="P26" s="37" t="s">
        <v>398</v>
      </c>
      <c r="Q26" s="38">
        <v>0.25</v>
      </c>
      <c r="R26" s="79" t="s">
        <v>3575</v>
      </c>
      <c r="S26" s="43"/>
      <c r="T26" s="37"/>
      <c r="U26" s="38"/>
      <c r="V26" s="79"/>
      <c r="W26" s="208">
        <f>ROUND((ROUND((ROUND((ROUND((ROUND((_15_同援日１．０*_15・通訳),0)*_15・２人),0)*(1+_15・A深夜)),0)*(1+_15・盲ろう)),0)*(1+_15・区３)),0)</f>
        <v>607</v>
      </c>
      <c r="X26" s="48"/>
    </row>
    <row r="27" spans="1:24" ht="16.5" customHeight="1" x14ac:dyDescent="0.15">
      <c r="A27" s="41">
        <v>15</v>
      </c>
      <c r="B27" s="41" t="s">
        <v>26518</v>
      </c>
      <c r="C27" s="74" t="s">
        <v>26519</v>
      </c>
      <c r="D27" s="72"/>
      <c r="F27" s="57"/>
      <c r="G27" s="35"/>
      <c r="J27" s="163"/>
      <c r="K27" s="45"/>
      <c r="L27" s="46"/>
      <c r="M27" s="512"/>
      <c r="N27" s="57"/>
      <c r="O27" s="53"/>
      <c r="P27" s="49"/>
      <c r="Q27" s="50"/>
      <c r="R27" s="115"/>
      <c r="S27" s="114" t="s">
        <v>17580</v>
      </c>
      <c r="T27" s="49"/>
      <c r="U27" s="50"/>
      <c r="V27" s="115"/>
      <c r="W27" s="208">
        <f>ROUND((ROUND((ROUND((_15_同援日１．０*_15・通訳),0)*(1+_15・A深夜)),0)*(1+_15・区４)),0)</f>
        <v>567</v>
      </c>
      <c r="X27" s="48"/>
    </row>
    <row r="28" spans="1:24" ht="16.5" customHeight="1" x14ac:dyDescent="0.15">
      <c r="A28" s="41">
        <v>15</v>
      </c>
      <c r="B28" s="41" t="s">
        <v>26520</v>
      </c>
      <c r="C28" s="74" t="s">
        <v>26521</v>
      </c>
      <c r="D28" s="72"/>
      <c r="F28" s="57"/>
      <c r="G28" s="35"/>
      <c r="J28" s="299" t="s">
        <v>17556</v>
      </c>
      <c r="K28" s="45" t="s">
        <v>398</v>
      </c>
      <c r="L28" s="46">
        <v>1</v>
      </c>
      <c r="M28" s="512"/>
      <c r="N28" s="57"/>
      <c r="O28" s="43"/>
      <c r="P28" s="37"/>
      <c r="Q28" s="38"/>
      <c r="R28" s="79"/>
      <c r="S28" s="92" t="s">
        <v>17572</v>
      </c>
      <c r="V28" s="57"/>
      <c r="W28" s="208">
        <f>ROUND((ROUND((ROUND((ROUND((_15_同援日１．０*_15・通訳),0)*_15・２人),0)*(1+_15・A深夜)),0)*(1+_15・区４)),0)</f>
        <v>567</v>
      </c>
      <c r="X28" s="48"/>
    </row>
    <row r="29" spans="1:24" ht="16.5" customHeight="1" x14ac:dyDescent="0.15">
      <c r="A29" s="41">
        <v>15</v>
      </c>
      <c r="B29" s="41" t="s">
        <v>26522</v>
      </c>
      <c r="C29" s="74" t="s">
        <v>26523</v>
      </c>
      <c r="D29" s="72"/>
      <c r="F29" s="57"/>
      <c r="G29" s="35"/>
      <c r="J29" s="163"/>
      <c r="K29" s="45"/>
      <c r="L29" s="46"/>
      <c r="M29" s="512"/>
      <c r="N29" s="57"/>
      <c r="O29" s="114" t="s">
        <v>17562</v>
      </c>
      <c r="P29" s="49"/>
      <c r="Q29" s="50"/>
      <c r="R29" s="115"/>
      <c r="S29" s="35"/>
      <c r="T29" s="12" t="s">
        <v>398</v>
      </c>
      <c r="U29" s="13">
        <v>0.4</v>
      </c>
      <c r="V29" s="57" t="s">
        <v>3575</v>
      </c>
      <c r="W29" s="208">
        <f>ROUND((ROUND((ROUND((ROUND((_15_同援日１．０*_15・通訳),0)*(1+_15・A深夜)),0)*(1+_15・盲ろう)),0)*(1+_15・区４)),0)</f>
        <v>708</v>
      </c>
      <c r="X29" s="48"/>
    </row>
    <row r="30" spans="1:24" ht="16.5" customHeight="1" x14ac:dyDescent="0.15">
      <c r="A30" s="41">
        <v>15</v>
      </c>
      <c r="B30" s="41" t="s">
        <v>26524</v>
      </c>
      <c r="C30" s="74" t="s">
        <v>26525</v>
      </c>
      <c r="D30" s="122"/>
      <c r="E30" s="37"/>
      <c r="F30" s="79"/>
      <c r="G30" s="35"/>
      <c r="J30" s="299" t="s">
        <v>17556</v>
      </c>
      <c r="K30" s="45" t="s">
        <v>398</v>
      </c>
      <c r="L30" s="46">
        <v>1</v>
      </c>
      <c r="M30" s="512"/>
      <c r="N30" s="57"/>
      <c r="O30" s="269" t="s">
        <v>17564</v>
      </c>
      <c r="P30" s="37" t="s">
        <v>398</v>
      </c>
      <c r="Q30" s="38">
        <v>0.25</v>
      </c>
      <c r="R30" s="79" t="s">
        <v>3575</v>
      </c>
      <c r="S30" s="43"/>
      <c r="T30" s="37"/>
      <c r="U30" s="38"/>
      <c r="V30" s="79"/>
      <c r="W30" s="208">
        <f>ROUND((ROUND((ROUND((ROUND((ROUND((_15_同援日１．０*_15・通訳),0)*_15・２人),0)*(1+_15・A深夜)),0)*(1+_15・盲ろう)),0)*(1+_15・区４)),0)</f>
        <v>708</v>
      </c>
      <c r="X30" s="48"/>
    </row>
    <row r="31" spans="1:24" ht="16.5" customHeight="1" x14ac:dyDescent="0.15">
      <c r="A31" s="41">
        <v>15</v>
      </c>
      <c r="B31" s="41" t="s">
        <v>26526</v>
      </c>
      <c r="C31" s="74" t="s">
        <v>26527</v>
      </c>
      <c r="D31" s="114" t="s">
        <v>18538</v>
      </c>
      <c r="E31" s="49"/>
      <c r="F31" s="115"/>
      <c r="G31" s="35"/>
      <c r="J31" s="163"/>
      <c r="K31" s="45"/>
      <c r="L31" s="46"/>
      <c r="M31" s="512"/>
      <c r="N31" s="57"/>
      <c r="O31" s="53"/>
      <c r="P31" s="49"/>
      <c r="Q31" s="50"/>
      <c r="R31" s="115"/>
      <c r="S31" s="53"/>
      <c r="T31" s="49"/>
      <c r="U31" s="50"/>
      <c r="V31" s="115"/>
      <c r="W31" s="208">
        <f>ROUND((ROUND((_15_同援日１．５*_15・通訳),0)*(1+_15・A深夜)),0)</f>
        <v>585</v>
      </c>
      <c r="X31" s="48"/>
    </row>
    <row r="32" spans="1:24" ht="16.5" customHeight="1" x14ac:dyDescent="0.15">
      <c r="A32" s="41">
        <v>15</v>
      </c>
      <c r="B32" s="41" t="s">
        <v>26528</v>
      </c>
      <c r="C32" s="74" t="s">
        <v>26529</v>
      </c>
      <c r="D32" s="72" t="s">
        <v>17616</v>
      </c>
      <c r="F32" s="57"/>
      <c r="G32" s="35"/>
      <c r="J32" s="299" t="s">
        <v>17556</v>
      </c>
      <c r="K32" s="45" t="s">
        <v>398</v>
      </c>
      <c r="L32" s="46">
        <v>1</v>
      </c>
      <c r="M32" s="512"/>
      <c r="N32" s="57"/>
      <c r="O32" s="43"/>
      <c r="P32" s="37"/>
      <c r="Q32" s="38"/>
      <c r="R32" s="79"/>
      <c r="S32" s="35"/>
      <c r="V32" s="57"/>
      <c r="W32" s="208">
        <f>ROUND((ROUND((ROUND((_15_同援日１．５*_15・通訳),0)*_15・２人),0)*(1+_15・A深夜)),0)</f>
        <v>585</v>
      </c>
      <c r="X32" s="48"/>
    </row>
    <row r="33" spans="1:24" ht="16.5" customHeight="1" x14ac:dyDescent="0.15">
      <c r="A33" s="41">
        <v>15</v>
      </c>
      <c r="B33" s="41" t="s">
        <v>2740</v>
      </c>
      <c r="C33" s="74" t="s">
        <v>26530</v>
      </c>
      <c r="D33" s="72" t="s">
        <v>18183</v>
      </c>
      <c r="F33" s="57"/>
      <c r="G33" s="35"/>
      <c r="J33" s="163"/>
      <c r="K33" s="45"/>
      <c r="L33" s="46"/>
      <c r="M33" s="512"/>
      <c r="N33" s="57"/>
      <c r="O33" s="114" t="s">
        <v>17562</v>
      </c>
      <c r="P33" s="49"/>
      <c r="Q33" s="50"/>
      <c r="R33" s="115"/>
      <c r="S33" s="35"/>
      <c r="V33" s="57"/>
      <c r="W33" s="208">
        <f>ROUND((ROUND((ROUND((_15_同援日１．５*_15・通訳),0)*(1+_15・A深夜)),0)*(1+_15・盲ろう)),0)</f>
        <v>731</v>
      </c>
      <c r="X33" s="48"/>
    </row>
    <row r="34" spans="1:24" ht="16.5" customHeight="1" x14ac:dyDescent="0.15">
      <c r="A34" s="41">
        <v>15</v>
      </c>
      <c r="B34" s="41" t="s">
        <v>2742</v>
      </c>
      <c r="C34" s="74" t="s">
        <v>26531</v>
      </c>
      <c r="D34" s="72"/>
      <c r="E34" s="168">
        <f>_15_同援日１．５</f>
        <v>433</v>
      </c>
      <c r="F34" s="57" t="s">
        <v>392</v>
      </c>
      <c r="G34" s="35"/>
      <c r="J34" s="299" t="s">
        <v>17556</v>
      </c>
      <c r="K34" s="45" t="s">
        <v>398</v>
      </c>
      <c r="L34" s="46">
        <v>1</v>
      </c>
      <c r="M34" s="512"/>
      <c r="N34" s="57"/>
      <c r="O34" s="269" t="s">
        <v>17564</v>
      </c>
      <c r="P34" s="37" t="s">
        <v>398</v>
      </c>
      <c r="Q34" s="38">
        <v>0.25</v>
      </c>
      <c r="R34" s="79" t="s">
        <v>3575</v>
      </c>
      <c r="S34" s="43"/>
      <c r="T34" s="37"/>
      <c r="U34" s="38"/>
      <c r="V34" s="79"/>
      <c r="W34" s="208">
        <f>ROUND((ROUND((ROUND((ROUND((_15_同援日１．５*_15・通訳),0)*_15・２人),0)*(1+_15・A深夜)),0)*(1+_15・盲ろう)),0)</f>
        <v>731</v>
      </c>
      <c r="X34" s="48"/>
    </row>
    <row r="35" spans="1:24" ht="16.5" customHeight="1" x14ac:dyDescent="0.15">
      <c r="A35" s="41">
        <v>15</v>
      </c>
      <c r="B35" s="41" t="s">
        <v>2744</v>
      </c>
      <c r="C35" s="74" t="s">
        <v>26532</v>
      </c>
      <c r="D35" s="72"/>
      <c r="F35" s="57"/>
      <c r="G35" s="35"/>
      <c r="J35" s="163"/>
      <c r="K35" s="45"/>
      <c r="L35" s="46"/>
      <c r="M35" s="512"/>
      <c r="N35" s="57"/>
      <c r="O35" s="53"/>
      <c r="P35" s="49"/>
      <c r="Q35" s="50"/>
      <c r="R35" s="115"/>
      <c r="S35" s="114" t="s">
        <v>17570</v>
      </c>
      <c r="T35" s="49"/>
      <c r="U35" s="50"/>
      <c r="V35" s="115"/>
      <c r="W35" s="208">
        <f>ROUND((ROUND((ROUND((_15_同援日１．５*_15・通訳),0)*(1+_15・A深夜)),0)*(1+_15・区３)),0)</f>
        <v>702</v>
      </c>
      <c r="X35" s="48"/>
    </row>
    <row r="36" spans="1:24" ht="16.5" customHeight="1" x14ac:dyDescent="0.15">
      <c r="A36" s="41">
        <v>15</v>
      </c>
      <c r="B36" s="41" t="s">
        <v>2746</v>
      </c>
      <c r="C36" s="74" t="s">
        <v>26533</v>
      </c>
      <c r="D36" s="72"/>
      <c r="F36" s="57"/>
      <c r="G36" s="35"/>
      <c r="J36" s="299" t="s">
        <v>17556</v>
      </c>
      <c r="K36" s="45" t="s">
        <v>398</v>
      </c>
      <c r="L36" s="46">
        <v>1</v>
      </c>
      <c r="M36" s="512"/>
      <c r="N36" s="57"/>
      <c r="O36" s="43"/>
      <c r="P36" s="37"/>
      <c r="Q36" s="38"/>
      <c r="R36" s="79"/>
      <c r="S36" s="92" t="s">
        <v>17572</v>
      </c>
      <c r="V36" s="57"/>
      <c r="W36" s="208">
        <f>ROUND((ROUND((ROUND((ROUND((_15_同援日１．５*_15・通訳),0)*_15・２人),0)*(1+_15・A深夜)),0)*(1+_15・区３)),0)</f>
        <v>702</v>
      </c>
      <c r="X36" s="48"/>
    </row>
    <row r="37" spans="1:24" ht="16.5" customHeight="1" x14ac:dyDescent="0.15">
      <c r="A37" s="41">
        <v>15</v>
      </c>
      <c r="B37" s="41" t="s">
        <v>26534</v>
      </c>
      <c r="C37" s="74" t="s">
        <v>26535</v>
      </c>
      <c r="D37" s="72"/>
      <c r="F37" s="57"/>
      <c r="G37" s="35"/>
      <c r="J37" s="163"/>
      <c r="K37" s="45"/>
      <c r="L37" s="46"/>
      <c r="M37" s="512"/>
      <c r="N37" s="57"/>
      <c r="O37" s="114" t="s">
        <v>17562</v>
      </c>
      <c r="P37" s="49"/>
      <c r="Q37" s="50"/>
      <c r="R37" s="115"/>
      <c r="S37" s="35"/>
      <c r="T37" s="12" t="s">
        <v>398</v>
      </c>
      <c r="U37" s="13">
        <v>0.2</v>
      </c>
      <c r="V37" s="57" t="s">
        <v>3575</v>
      </c>
      <c r="W37" s="208">
        <f>ROUND((ROUND((ROUND((ROUND((_15_同援日１．５*_15・通訳),0)*(1+_15・A深夜)),0)*(1+_15・盲ろう)),0)*(1+_15・区３)),0)</f>
        <v>877</v>
      </c>
      <c r="X37" s="48"/>
    </row>
    <row r="38" spans="1:24" ht="16.5" customHeight="1" x14ac:dyDescent="0.15">
      <c r="A38" s="41">
        <v>15</v>
      </c>
      <c r="B38" s="41" t="s">
        <v>26536</v>
      </c>
      <c r="C38" s="74" t="s">
        <v>26537</v>
      </c>
      <c r="D38" s="72"/>
      <c r="F38" s="57"/>
      <c r="G38" s="35"/>
      <c r="J38" s="299" t="s">
        <v>17556</v>
      </c>
      <c r="K38" s="45" t="s">
        <v>398</v>
      </c>
      <c r="L38" s="46">
        <v>1</v>
      </c>
      <c r="M38" s="512"/>
      <c r="N38" s="57"/>
      <c r="O38" s="269" t="s">
        <v>17564</v>
      </c>
      <c r="P38" s="37" t="s">
        <v>398</v>
      </c>
      <c r="Q38" s="38">
        <v>0.25</v>
      </c>
      <c r="R38" s="79" t="s">
        <v>3575</v>
      </c>
      <c r="S38" s="43"/>
      <c r="T38" s="37"/>
      <c r="U38" s="38"/>
      <c r="V38" s="79"/>
      <c r="W38" s="208">
        <f>ROUND((ROUND((ROUND((ROUND((ROUND((_15_同援日１．５*_15・通訳),0)*_15・２人),0)*(1+_15・A深夜)),0)*(1+_15・盲ろう)),0)*(1+_15・区３)),0)</f>
        <v>877</v>
      </c>
      <c r="X38" s="48"/>
    </row>
    <row r="39" spans="1:24" ht="16.5" customHeight="1" x14ac:dyDescent="0.15">
      <c r="A39" s="41">
        <v>15</v>
      </c>
      <c r="B39" s="41" t="s">
        <v>26538</v>
      </c>
      <c r="C39" s="74" t="s">
        <v>26539</v>
      </c>
      <c r="D39" s="72"/>
      <c r="F39" s="57"/>
      <c r="G39" s="35"/>
      <c r="J39" s="163"/>
      <c r="K39" s="45"/>
      <c r="L39" s="46"/>
      <c r="M39" s="512"/>
      <c r="N39" s="57"/>
      <c r="O39" s="53"/>
      <c r="P39" s="49"/>
      <c r="Q39" s="50"/>
      <c r="R39" s="115"/>
      <c r="S39" s="114" t="s">
        <v>17580</v>
      </c>
      <c r="T39" s="49"/>
      <c r="U39" s="50"/>
      <c r="V39" s="115"/>
      <c r="W39" s="208">
        <f>ROUND((ROUND((ROUND((_15_同援日１．５*_15・通訳),0)*(1+_15・A深夜)),0)*(1+_15・区４)),0)</f>
        <v>819</v>
      </c>
      <c r="X39" s="48"/>
    </row>
    <row r="40" spans="1:24" ht="16.5" customHeight="1" x14ac:dyDescent="0.15">
      <c r="A40" s="41">
        <v>15</v>
      </c>
      <c r="B40" s="41" t="s">
        <v>26540</v>
      </c>
      <c r="C40" s="74" t="s">
        <v>26541</v>
      </c>
      <c r="D40" s="72"/>
      <c r="F40" s="57"/>
      <c r="G40" s="35"/>
      <c r="J40" s="299" t="s">
        <v>17556</v>
      </c>
      <c r="K40" s="45" t="s">
        <v>398</v>
      </c>
      <c r="L40" s="46">
        <v>1</v>
      </c>
      <c r="M40" s="512"/>
      <c r="N40" s="57"/>
      <c r="O40" s="43"/>
      <c r="P40" s="37"/>
      <c r="Q40" s="38"/>
      <c r="R40" s="79"/>
      <c r="S40" s="92" t="s">
        <v>17572</v>
      </c>
      <c r="V40" s="57"/>
      <c r="W40" s="208">
        <f>ROUND((ROUND((ROUND((ROUND((_15_同援日１．５*_15・通訳),0)*_15・２人),0)*(1+_15・A深夜)),0)*(1+_15・区４)),0)</f>
        <v>819</v>
      </c>
      <c r="X40" s="48"/>
    </row>
    <row r="41" spans="1:24" ht="16.5" customHeight="1" x14ac:dyDescent="0.15">
      <c r="A41" s="41">
        <v>15</v>
      </c>
      <c r="B41" s="41" t="s">
        <v>26542</v>
      </c>
      <c r="C41" s="74" t="s">
        <v>26543</v>
      </c>
      <c r="D41" s="72"/>
      <c r="F41" s="57"/>
      <c r="G41" s="35"/>
      <c r="J41" s="163"/>
      <c r="K41" s="45"/>
      <c r="L41" s="46"/>
      <c r="M41" s="512"/>
      <c r="N41" s="57"/>
      <c r="O41" s="114" t="s">
        <v>17562</v>
      </c>
      <c r="P41" s="49"/>
      <c r="Q41" s="50"/>
      <c r="R41" s="115"/>
      <c r="S41" s="35"/>
      <c r="T41" s="12" t="s">
        <v>398</v>
      </c>
      <c r="U41" s="13">
        <v>0.4</v>
      </c>
      <c r="V41" s="57" t="s">
        <v>3575</v>
      </c>
      <c r="W41" s="208">
        <f>ROUND((ROUND((ROUND((ROUND((_15_同援日１．５*_15・通訳),0)*(1+_15・A深夜)),0)*(1+_15・盲ろう)),0)*(1+_15・区４)),0)</f>
        <v>1023</v>
      </c>
      <c r="X41" s="48"/>
    </row>
    <row r="42" spans="1:24" ht="16.5" customHeight="1" x14ac:dyDescent="0.15">
      <c r="A42" s="41">
        <v>15</v>
      </c>
      <c r="B42" s="41" t="s">
        <v>26544</v>
      </c>
      <c r="C42" s="74" t="s">
        <v>26545</v>
      </c>
      <c r="D42" s="122"/>
      <c r="E42" s="37"/>
      <c r="F42" s="79"/>
      <c r="G42" s="35"/>
      <c r="J42" s="299" t="s">
        <v>17556</v>
      </c>
      <c r="K42" s="45" t="s">
        <v>398</v>
      </c>
      <c r="L42" s="46">
        <v>1</v>
      </c>
      <c r="M42" s="512"/>
      <c r="N42" s="57"/>
      <c r="O42" s="269" t="s">
        <v>17564</v>
      </c>
      <c r="P42" s="37" t="s">
        <v>398</v>
      </c>
      <c r="Q42" s="38">
        <v>0.25</v>
      </c>
      <c r="R42" s="79" t="s">
        <v>3575</v>
      </c>
      <c r="S42" s="43"/>
      <c r="T42" s="37"/>
      <c r="U42" s="38"/>
      <c r="V42" s="79"/>
      <c r="W42" s="208">
        <f>ROUND((ROUND((ROUND((ROUND((ROUND((_15_同援日１．５*_15・通訳),0)*_15・２人),0)*(1+_15・A深夜)),0)*(1+_15・盲ろう)),0)*(1+_15・区４)),0)</f>
        <v>1023</v>
      </c>
      <c r="X42" s="48"/>
    </row>
    <row r="43" spans="1:24" ht="16.5" customHeight="1" x14ac:dyDescent="0.15">
      <c r="A43" s="41">
        <v>15</v>
      </c>
      <c r="B43" s="41" t="s">
        <v>26546</v>
      </c>
      <c r="C43" s="74" t="s">
        <v>26547</v>
      </c>
      <c r="D43" s="114" t="s">
        <v>18563</v>
      </c>
      <c r="E43" s="49"/>
      <c r="F43" s="115"/>
      <c r="G43" s="35"/>
      <c r="J43" s="163"/>
      <c r="K43" s="45"/>
      <c r="L43" s="46"/>
      <c r="M43" s="512"/>
      <c r="N43" s="57"/>
      <c r="O43" s="53"/>
      <c r="P43" s="49"/>
      <c r="Q43" s="50"/>
      <c r="R43" s="115"/>
      <c r="S43" s="53"/>
      <c r="T43" s="49"/>
      <c r="U43" s="50"/>
      <c r="V43" s="115"/>
      <c r="W43" s="208">
        <f>ROUND((ROUND((_15_同援日２．０*_15・通訳),0)*(1+_15・A深夜)),0)</f>
        <v>672</v>
      </c>
      <c r="X43" s="48"/>
    </row>
    <row r="44" spans="1:24" ht="16.5" customHeight="1" x14ac:dyDescent="0.15">
      <c r="A44" s="41">
        <v>15</v>
      </c>
      <c r="B44" s="41" t="s">
        <v>26548</v>
      </c>
      <c r="C44" s="74" t="s">
        <v>26549</v>
      </c>
      <c r="D44" s="72" t="s">
        <v>17643</v>
      </c>
      <c r="F44" s="57"/>
      <c r="G44" s="35"/>
      <c r="J44" s="299" t="s">
        <v>17556</v>
      </c>
      <c r="K44" s="45" t="s">
        <v>398</v>
      </c>
      <c r="L44" s="46">
        <v>1</v>
      </c>
      <c r="M44" s="512"/>
      <c r="N44" s="57"/>
      <c r="O44" s="43"/>
      <c r="P44" s="37"/>
      <c r="Q44" s="38"/>
      <c r="R44" s="79"/>
      <c r="S44" s="35"/>
      <c r="V44" s="57"/>
      <c r="W44" s="208">
        <f>ROUND((ROUND((ROUND((_15_同援日２．０*_15・通訳),0)*_15・２人),0)*(1+_15・A深夜)),0)</f>
        <v>672</v>
      </c>
      <c r="X44" s="48"/>
    </row>
    <row r="45" spans="1:24" ht="16.5" customHeight="1" x14ac:dyDescent="0.15">
      <c r="A45" s="41">
        <v>15</v>
      </c>
      <c r="B45" s="41" t="s">
        <v>26550</v>
      </c>
      <c r="C45" s="74" t="s">
        <v>26551</v>
      </c>
      <c r="D45" s="72" t="s">
        <v>17645</v>
      </c>
      <c r="F45" s="57"/>
      <c r="G45" s="35"/>
      <c r="J45" s="163"/>
      <c r="K45" s="45"/>
      <c r="L45" s="46"/>
      <c r="M45" s="512"/>
      <c r="N45" s="57"/>
      <c r="O45" s="114" t="s">
        <v>17562</v>
      </c>
      <c r="P45" s="49"/>
      <c r="Q45" s="50"/>
      <c r="R45" s="115"/>
      <c r="S45" s="35"/>
      <c r="V45" s="57"/>
      <c r="W45" s="208">
        <f>ROUND((ROUND((ROUND((_15_同援日２．０*_15・通訳),0)*(1+_15・A深夜)),0)*(1+_15・盲ろう)),0)</f>
        <v>840</v>
      </c>
      <c r="X45" s="48"/>
    </row>
    <row r="46" spans="1:24" ht="16.5" customHeight="1" x14ac:dyDescent="0.15">
      <c r="A46" s="41">
        <v>15</v>
      </c>
      <c r="B46" s="41" t="s">
        <v>26552</v>
      </c>
      <c r="C46" s="74" t="s">
        <v>26553</v>
      </c>
      <c r="D46" s="72"/>
      <c r="E46" s="168">
        <f>_15_同援日２．０</f>
        <v>498</v>
      </c>
      <c r="F46" s="57" t="s">
        <v>392</v>
      </c>
      <c r="G46" s="35"/>
      <c r="J46" s="299" t="s">
        <v>17556</v>
      </c>
      <c r="K46" s="45" t="s">
        <v>398</v>
      </c>
      <c r="L46" s="46">
        <v>1</v>
      </c>
      <c r="M46" s="512"/>
      <c r="N46" s="57"/>
      <c r="O46" s="269" t="s">
        <v>17564</v>
      </c>
      <c r="P46" s="37" t="s">
        <v>398</v>
      </c>
      <c r="Q46" s="38">
        <v>0.25</v>
      </c>
      <c r="R46" s="79" t="s">
        <v>3575</v>
      </c>
      <c r="S46" s="43"/>
      <c r="T46" s="37"/>
      <c r="U46" s="38"/>
      <c r="V46" s="79"/>
      <c r="W46" s="208">
        <f>ROUND((ROUND((ROUND((ROUND((_15_同援日２．０*_15・通訳),0)*_15・２人),0)*(1+_15・A深夜)),0)*(1+_15・盲ろう)),0)</f>
        <v>840</v>
      </c>
      <c r="X46" s="48"/>
    </row>
    <row r="47" spans="1:24" ht="16.5" customHeight="1" x14ac:dyDescent="0.15">
      <c r="A47" s="41">
        <v>15</v>
      </c>
      <c r="B47" s="41" t="s">
        <v>26554</v>
      </c>
      <c r="C47" s="74" t="s">
        <v>26555</v>
      </c>
      <c r="D47" s="72"/>
      <c r="F47" s="57"/>
      <c r="G47" s="35"/>
      <c r="J47" s="163"/>
      <c r="K47" s="45"/>
      <c r="L47" s="46"/>
      <c r="M47" s="512"/>
      <c r="N47" s="57"/>
      <c r="O47" s="53"/>
      <c r="P47" s="49"/>
      <c r="Q47" s="50"/>
      <c r="R47" s="115"/>
      <c r="S47" s="114" t="s">
        <v>17570</v>
      </c>
      <c r="T47" s="49"/>
      <c r="U47" s="50"/>
      <c r="V47" s="115"/>
      <c r="W47" s="208">
        <f>ROUND((ROUND((ROUND((_15_同援日２．０*_15・通訳),0)*(1+_15・A深夜)),0)*(1+_15・区３)),0)</f>
        <v>806</v>
      </c>
      <c r="X47" s="48"/>
    </row>
    <row r="48" spans="1:24" ht="16.5" customHeight="1" x14ac:dyDescent="0.15">
      <c r="A48" s="41">
        <v>15</v>
      </c>
      <c r="B48" s="41" t="s">
        <v>26556</v>
      </c>
      <c r="C48" s="74" t="s">
        <v>26557</v>
      </c>
      <c r="D48" s="72"/>
      <c r="F48" s="57"/>
      <c r="G48" s="35"/>
      <c r="J48" s="299" t="s">
        <v>17556</v>
      </c>
      <c r="K48" s="45" t="s">
        <v>398</v>
      </c>
      <c r="L48" s="46">
        <v>1</v>
      </c>
      <c r="M48" s="512"/>
      <c r="N48" s="57"/>
      <c r="O48" s="43"/>
      <c r="P48" s="37"/>
      <c r="Q48" s="38"/>
      <c r="R48" s="79"/>
      <c r="S48" s="92" t="s">
        <v>17572</v>
      </c>
      <c r="V48" s="57"/>
      <c r="W48" s="208">
        <f>ROUND((ROUND((ROUND((ROUND((_15_同援日２．０*_15・通訳),0)*_15・２人),0)*(1+_15・A深夜)),0)*(1+_15・区３)),0)</f>
        <v>806</v>
      </c>
      <c r="X48" s="48"/>
    </row>
    <row r="49" spans="1:24" ht="16.5" customHeight="1" x14ac:dyDescent="0.15">
      <c r="A49" s="41">
        <v>15</v>
      </c>
      <c r="B49" s="41" t="s">
        <v>26558</v>
      </c>
      <c r="C49" s="74" t="s">
        <v>26559</v>
      </c>
      <c r="D49" s="72"/>
      <c r="F49" s="57"/>
      <c r="G49" s="35"/>
      <c r="J49" s="163"/>
      <c r="K49" s="45"/>
      <c r="L49" s="46"/>
      <c r="M49" s="512"/>
      <c r="N49" s="57"/>
      <c r="O49" s="114" t="s">
        <v>17562</v>
      </c>
      <c r="P49" s="49"/>
      <c r="Q49" s="50"/>
      <c r="R49" s="115"/>
      <c r="S49" s="35"/>
      <c r="T49" s="12" t="s">
        <v>398</v>
      </c>
      <c r="U49" s="13">
        <v>0.2</v>
      </c>
      <c r="V49" s="57" t="s">
        <v>3575</v>
      </c>
      <c r="W49" s="208">
        <f>ROUND((ROUND((ROUND((ROUND((_15_同援日２．０*_15・通訳),0)*(1+_15・A深夜)),0)*(1+_15・盲ろう)),0)*(1+_15・区３)),0)</f>
        <v>1008</v>
      </c>
      <c r="X49" s="48"/>
    </row>
    <row r="50" spans="1:24" ht="16.5" customHeight="1" x14ac:dyDescent="0.15">
      <c r="A50" s="41">
        <v>15</v>
      </c>
      <c r="B50" s="41" t="s">
        <v>26560</v>
      </c>
      <c r="C50" s="74" t="s">
        <v>26561</v>
      </c>
      <c r="D50" s="72"/>
      <c r="F50" s="57"/>
      <c r="G50" s="35"/>
      <c r="J50" s="299" t="s">
        <v>17556</v>
      </c>
      <c r="K50" s="45" t="s">
        <v>398</v>
      </c>
      <c r="L50" s="46">
        <v>1</v>
      </c>
      <c r="M50" s="512"/>
      <c r="N50" s="57"/>
      <c r="O50" s="269" t="s">
        <v>17564</v>
      </c>
      <c r="P50" s="37" t="s">
        <v>398</v>
      </c>
      <c r="Q50" s="38">
        <v>0.25</v>
      </c>
      <c r="R50" s="79" t="s">
        <v>3575</v>
      </c>
      <c r="S50" s="43"/>
      <c r="T50" s="37"/>
      <c r="U50" s="38"/>
      <c r="V50" s="79"/>
      <c r="W50" s="208">
        <f>ROUND((ROUND((ROUND((ROUND((ROUND((_15_同援日２．０*_15・通訳),0)*_15・２人),0)*(1+_15・A深夜)),0)*(1+_15・盲ろう)),0)*(1+_15・区３)),0)</f>
        <v>1008</v>
      </c>
      <c r="X50" s="48"/>
    </row>
    <row r="51" spans="1:24" ht="16.5" customHeight="1" x14ac:dyDescent="0.15">
      <c r="A51" s="41">
        <v>15</v>
      </c>
      <c r="B51" s="41" t="s">
        <v>26562</v>
      </c>
      <c r="C51" s="74" t="s">
        <v>26563</v>
      </c>
      <c r="D51" s="72"/>
      <c r="F51" s="57"/>
      <c r="G51" s="35"/>
      <c r="J51" s="163"/>
      <c r="K51" s="45"/>
      <c r="L51" s="46"/>
      <c r="M51" s="512"/>
      <c r="N51" s="57"/>
      <c r="O51" s="53"/>
      <c r="P51" s="49"/>
      <c r="Q51" s="50"/>
      <c r="R51" s="115"/>
      <c r="S51" s="114" t="s">
        <v>17580</v>
      </c>
      <c r="T51" s="49"/>
      <c r="U51" s="50"/>
      <c r="V51" s="115"/>
      <c r="W51" s="208">
        <f>ROUND((ROUND((ROUND((_15_同援日２．０*_15・通訳),0)*(1+_15・A深夜)),0)*(1+_15・区４)),0)</f>
        <v>941</v>
      </c>
      <c r="X51" s="48"/>
    </row>
    <row r="52" spans="1:24" ht="16.5" customHeight="1" x14ac:dyDescent="0.15">
      <c r="A52" s="41">
        <v>15</v>
      </c>
      <c r="B52" s="41" t="s">
        <v>26564</v>
      </c>
      <c r="C52" s="74" t="s">
        <v>26565</v>
      </c>
      <c r="D52" s="72"/>
      <c r="F52" s="57"/>
      <c r="G52" s="35"/>
      <c r="J52" s="299" t="s">
        <v>17556</v>
      </c>
      <c r="K52" s="45" t="s">
        <v>398</v>
      </c>
      <c r="L52" s="46">
        <v>1</v>
      </c>
      <c r="M52" s="512"/>
      <c r="N52" s="57"/>
      <c r="O52" s="43"/>
      <c r="P52" s="37"/>
      <c r="Q52" s="38"/>
      <c r="R52" s="79"/>
      <c r="S52" s="92" t="s">
        <v>17572</v>
      </c>
      <c r="V52" s="57"/>
      <c r="W52" s="208">
        <f>ROUND((ROUND((ROUND((ROUND((_15_同援日２．０*_15・通訳),0)*_15・２人),0)*(1+_15・A深夜)),0)*(1+_15・区４)),0)</f>
        <v>941</v>
      </c>
      <c r="X52" s="48"/>
    </row>
    <row r="53" spans="1:24" ht="16.5" customHeight="1" x14ac:dyDescent="0.15">
      <c r="A53" s="41">
        <v>15</v>
      </c>
      <c r="B53" s="41" t="s">
        <v>2752</v>
      </c>
      <c r="C53" s="74" t="s">
        <v>26566</v>
      </c>
      <c r="D53" s="72"/>
      <c r="F53" s="57"/>
      <c r="G53" s="35"/>
      <c r="J53" s="163"/>
      <c r="K53" s="45"/>
      <c r="L53" s="46"/>
      <c r="M53" s="512"/>
      <c r="N53" s="57"/>
      <c r="O53" s="114" t="s">
        <v>17562</v>
      </c>
      <c r="P53" s="49"/>
      <c r="Q53" s="50"/>
      <c r="R53" s="115"/>
      <c r="S53" s="35"/>
      <c r="T53" s="12" t="s">
        <v>398</v>
      </c>
      <c r="U53" s="13">
        <v>0.4</v>
      </c>
      <c r="V53" s="57" t="s">
        <v>3575</v>
      </c>
      <c r="W53" s="208">
        <f>ROUND((ROUND((ROUND((ROUND((_15_同援日２．０*_15・通訳),0)*(1+_15・A深夜)),0)*(1+_15・盲ろう)),0)*(1+_15・区４)),0)</f>
        <v>1176</v>
      </c>
      <c r="X53" s="48"/>
    </row>
    <row r="54" spans="1:24" ht="16.5" customHeight="1" x14ac:dyDescent="0.15">
      <c r="A54" s="41">
        <v>15</v>
      </c>
      <c r="B54" s="41" t="s">
        <v>2754</v>
      </c>
      <c r="C54" s="74" t="s">
        <v>26567</v>
      </c>
      <c r="D54" s="122"/>
      <c r="E54" s="37"/>
      <c r="F54" s="79"/>
      <c r="G54" s="35"/>
      <c r="J54" s="299" t="s">
        <v>17556</v>
      </c>
      <c r="K54" s="45" t="s">
        <v>398</v>
      </c>
      <c r="L54" s="46">
        <v>1</v>
      </c>
      <c r="M54" s="512"/>
      <c r="N54" s="57"/>
      <c r="O54" s="269" t="s">
        <v>17564</v>
      </c>
      <c r="P54" s="37" t="s">
        <v>398</v>
      </c>
      <c r="Q54" s="38">
        <v>0.25</v>
      </c>
      <c r="R54" s="79" t="s">
        <v>3575</v>
      </c>
      <c r="S54" s="43"/>
      <c r="T54" s="37"/>
      <c r="U54" s="38"/>
      <c r="V54" s="79"/>
      <c r="W54" s="208">
        <f>ROUND((ROUND((ROUND((ROUND((ROUND((_15_同援日２．０*_15・通訳),0)*_15・２人),0)*(1+_15・A深夜)),0)*(1+_15・盲ろう)),0)*(1+_15・区４)),0)</f>
        <v>1176</v>
      </c>
      <c r="X54" s="48"/>
    </row>
    <row r="55" spans="1:24" ht="16.5" customHeight="1" x14ac:dyDescent="0.15">
      <c r="A55" s="41">
        <v>15</v>
      </c>
      <c r="B55" s="41" t="s">
        <v>2756</v>
      </c>
      <c r="C55" s="74" t="s">
        <v>26568</v>
      </c>
      <c r="D55" s="114" t="s">
        <v>18588</v>
      </c>
      <c r="E55" s="49"/>
      <c r="F55" s="115"/>
      <c r="G55" s="35"/>
      <c r="J55" s="163"/>
      <c r="K55" s="45"/>
      <c r="L55" s="46"/>
      <c r="M55" s="512"/>
      <c r="N55" s="57"/>
      <c r="O55" s="53"/>
      <c r="P55" s="49"/>
      <c r="Q55" s="50"/>
      <c r="R55" s="115"/>
      <c r="S55" s="53"/>
      <c r="T55" s="49"/>
      <c r="U55" s="50"/>
      <c r="V55" s="115"/>
      <c r="W55" s="208">
        <f>ROUND((ROUND((_15_同援日２．５*_15・通訳),0)*(1+_15・A深夜)),0)</f>
        <v>761</v>
      </c>
      <c r="X55" s="48"/>
    </row>
    <row r="56" spans="1:24" ht="16.5" customHeight="1" x14ac:dyDescent="0.15">
      <c r="A56" s="41">
        <v>15</v>
      </c>
      <c r="B56" s="41" t="s">
        <v>2758</v>
      </c>
      <c r="C56" s="74" t="s">
        <v>26569</v>
      </c>
      <c r="D56" s="72" t="s">
        <v>17670</v>
      </c>
      <c r="F56" s="57"/>
      <c r="G56" s="35"/>
      <c r="J56" s="299" t="s">
        <v>17556</v>
      </c>
      <c r="K56" s="45" t="s">
        <v>398</v>
      </c>
      <c r="L56" s="46">
        <v>1</v>
      </c>
      <c r="M56" s="512"/>
      <c r="N56" s="57"/>
      <c r="O56" s="43"/>
      <c r="P56" s="37"/>
      <c r="Q56" s="38"/>
      <c r="R56" s="79"/>
      <c r="S56" s="35"/>
      <c r="V56" s="57"/>
      <c r="W56" s="208">
        <f>ROUND((ROUND((ROUND((_15_同援日２．５*_15・通訳),0)*_15・２人),0)*(1+_15・A深夜)),0)</f>
        <v>761</v>
      </c>
      <c r="X56" s="48"/>
    </row>
    <row r="57" spans="1:24" ht="16.5" customHeight="1" x14ac:dyDescent="0.15">
      <c r="A57" s="41">
        <v>15</v>
      </c>
      <c r="B57" s="41" t="s">
        <v>26570</v>
      </c>
      <c r="C57" s="74" t="s">
        <v>26571</v>
      </c>
      <c r="D57" s="72" t="s">
        <v>17672</v>
      </c>
      <c r="F57" s="57"/>
      <c r="G57" s="35"/>
      <c r="J57" s="163"/>
      <c r="K57" s="45"/>
      <c r="L57" s="46"/>
      <c r="M57" s="512"/>
      <c r="N57" s="57"/>
      <c r="O57" s="114" t="s">
        <v>17562</v>
      </c>
      <c r="P57" s="49"/>
      <c r="Q57" s="50"/>
      <c r="R57" s="115"/>
      <c r="S57" s="35"/>
      <c r="V57" s="57"/>
      <c r="W57" s="208">
        <f>ROUND((ROUND((ROUND((_15_同援日２．５*_15・通訳),0)*(1+_15・A深夜)),0)*(1+_15・盲ろう)),0)</f>
        <v>951</v>
      </c>
      <c r="X57" s="48"/>
    </row>
    <row r="58" spans="1:24" ht="16.5" customHeight="1" x14ac:dyDescent="0.15">
      <c r="A58" s="41">
        <v>15</v>
      </c>
      <c r="B58" s="41" t="s">
        <v>26572</v>
      </c>
      <c r="C58" s="74" t="s">
        <v>26573</v>
      </c>
      <c r="D58" s="72"/>
      <c r="E58" s="168">
        <f>_15_同援日２．５</f>
        <v>563</v>
      </c>
      <c r="F58" s="57" t="s">
        <v>392</v>
      </c>
      <c r="G58" s="35"/>
      <c r="J58" s="299" t="s">
        <v>17556</v>
      </c>
      <c r="K58" s="45" t="s">
        <v>398</v>
      </c>
      <c r="L58" s="46">
        <v>1</v>
      </c>
      <c r="M58" s="512"/>
      <c r="N58" s="57"/>
      <c r="O58" s="269" t="s">
        <v>17564</v>
      </c>
      <c r="P58" s="37" t="s">
        <v>398</v>
      </c>
      <c r="Q58" s="38">
        <v>0.25</v>
      </c>
      <c r="R58" s="79" t="s">
        <v>3575</v>
      </c>
      <c r="S58" s="43"/>
      <c r="T58" s="37"/>
      <c r="U58" s="38"/>
      <c r="V58" s="79"/>
      <c r="W58" s="208">
        <f>ROUND((ROUND((ROUND((ROUND((_15_同援日２．５*_15・通訳),0)*_15・２人),0)*(1+_15・A深夜)),0)*(1+_15・盲ろう)),0)</f>
        <v>951</v>
      </c>
      <c r="X58" s="48"/>
    </row>
    <row r="59" spans="1:24" ht="16.5" customHeight="1" x14ac:dyDescent="0.15">
      <c r="A59" s="41">
        <v>15</v>
      </c>
      <c r="B59" s="41" t="s">
        <v>26574</v>
      </c>
      <c r="C59" s="74" t="s">
        <v>26575</v>
      </c>
      <c r="D59" s="72"/>
      <c r="F59" s="57"/>
      <c r="G59" s="35"/>
      <c r="J59" s="163"/>
      <c r="K59" s="45"/>
      <c r="L59" s="46"/>
      <c r="M59" s="512"/>
      <c r="N59" s="57"/>
      <c r="O59" s="53"/>
      <c r="P59" s="49"/>
      <c r="Q59" s="50"/>
      <c r="R59" s="115"/>
      <c r="S59" s="114" t="s">
        <v>17570</v>
      </c>
      <c r="T59" s="49"/>
      <c r="U59" s="50"/>
      <c r="V59" s="115"/>
      <c r="W59" s="208">
        <f>ROUND((ROUND((ROUND((_15_同援日２．５*_15・通訳),0)*(1+_15・A深夜)),0)*(1+_15・区３)),0)</f>
        <v>913</v>
      </c>
      <c r="X59" s="48"/>
    </row>
    <row r="60" spans="1:24" ht="16.5" customHeight="1" x14ac:dyDescent="0.15">
      <c r="A60" s="41">
        <v>15</v>
      </c>
      <c r="B60" s="41" t="s">
        <v>26576</v>
      </c>
      <c r="C60" s="74" t="s">
        <v>26577</v>
      </c>
      <c r="D60" s="72"/>
      <c r="F60" s="57"/>
      <c r="G60" s="35"/>
      <c r="J60" s="299" t="s">
        <v>17556</v>
      </c>
      <c r="K60" s="45" t="s">
        <v>398</v>
      </c>
      <c r="L60" s="46">
        <v>1</v>
      </c>
      <c r="M60" s="512"/>
      <c r="N60" s="57"/>
      <c r="O60" s="43"/>
      <c r="P60" s="37"/>
      <c r="Q60" s="38"/>
      <c r="R60" s="79"/>
      <c r="S60" s="92" t="s">
        <v>17572</v>
      </c>
      <c r="V60" s="57"/>
      <c r="W60" s="208">
        <f>ROUND((ROUND((ROUND((ROUND((_15_同援日２．５*_15・通訳),0)*_15・２人),0)*(1+_15・A深夜)),0)*(1+_15・区３)),0)</f>
        <v>913</v>
      </c>
      <c r="X60" s="48"/>
    </row>
    <row r="61" spans="1:24" ht="16.5" customHeight="1" x14ac:dyDescent="0.15">
      <c r="A61" s="41">
        <v>15</v>
      </c>
      <c r="B61" s="41" t="s">
        <v>26578</v>
      </c>
      <c r="C61" s="74" t="s">
        <v>26579</v>
      </c>
      <c r="D61" s="72"/>
      <c r="F61" s="57"/>
      <c r="G61" s="35"/>
      <c r="J61" s="163"/>
      <c r="K61" s="45"/>
      <c r="L61" s="46"/>
      <c r="M61" s="512"/>
      <c r="N61" s="57"/>
      <c r="O61" s="114" t="s">
        <v>17562</v>
      </c>
      <c r="P61" s="49"/>
      <c r="Q61" s="50"/>
      <c r="R61" s="115"/>
      <c r="S61" s="35"/>
      <c r="T61" s="12" t="s">
        <v>398</v>
      </c>
      <c r="U61" s="13">
        <v>0.2</v>
      </c>
      <c r="V61" s="57" t="s">
        <v>3575</v>
      </c>
      <c r="W61" s="208">
        <f>ROUND((ROUND((ROUND((ROUND((_15_同援日２．５*_15・通訳),0)*(1+_15・A深夜)),0)*(1+_15・盲ろう)),0)*(1+_15・区３)),0)</f>
        <v>1141</v>
      </c>
      <c r="X61" s="48"/>
    </row>
    <row r="62" spans="1:24" ht="16.5" customHeight="1" x14ac:dyDescent="0.15">
      <c r="A62" s="41">
        <v>15</v>
      </c>
      <c r="B62" s="41" t="s">
        <v>26580</v>
      </c>
      <c r="C62" s="74" t="s">
        <v>26581</v>
      </c>
      <c r="D62" s="72"/>
      <c r="F62" s="57"/>
      <c r="G62" s="35"/>
      <c r="J62" s="299" t="s">
        <v>17556</v>
      </c>
      <c r="K62" s="45" t="s">
        <v>398</v>
      </c>
      <c r="L62" s="46">
        <v>1</v>
      </c>
      <c r="M62" s="512"/>
      <c r="N62" s="57"/>
      <c r="O62" s="269" t="s">
        <v>17564</v>
      </c>
      <c r="P62" s="37" t="s">
        <v>398</v>
      </c>
      <c r="Q62" s="38">
        <v>0.25</v>
      </c>
      <c r="R62" s="79" t="s">
        <v>3575</v>
      </c>
      <c r="S62" s="43"/>
      <c r="T62" s="37"/>
      <c r="U62" s="38"/>
      <c r="V62" s="79"/>
      <c r="W62" s="208">
        <f>ROUND((ROUND((ROUND((ROUND((ROUND((_15_同援日２．５*_15・通訳),0)*_15・２人),0)*(1+_15・A深夜)),0)*(1+_15・盲ろう)),0)*(1+_15・区３)),0)</f>
        <v>1141</v>
      </c>
      <c r="X62" s="48"/>
    </row>
    <row r="63" spans="1:24" ht="16.5" customHeight="1" x14ac:dyDescent="0.15">
      <c r="A63" s="41">
        <v>15</v>
      </c>
      <c r="B63" s="41" t="s">
        <v>26582</v>
      </c>
      <c r="C63" s="74" t="s">
        <v>26583</v>
      </c>
      <c r="D63" s="72"/>
      <c r="F63" s="57"/>
      <c r="G63" s="35"/>
      <c r="J63" s="163"/>
      <c r="K63" s="45"/>
      <c r="L63" s="46"/>
      <c r="M63" s="512"/>
      <c r="N63" s="57"/>
      <c r="O63" s="53"/>
      <c r="P63" s="49"/>
      <c r="Q63" s="50"/>
      <c r="R63" s="115"/>
      <c r="S63" s="114" t="s">
        <v>17580</v>
      </c>
      <c r="T63" s="49"/>
      <c r="U63" s="50"/>
      <c r="V63" s="115"/>
      <c r="W63" s="208">
        <f>ROUND((ROUND((ROUND((_15_同援日２．５*_15・通訳),0)*(1+_15・A深夜)),0)*(1+_15・区４)),0)</f>
        <v>1065</v>
      </c>
      <c r="X63" s="48"/>
    </row>
    <row r="64" spans="1:24" ht="16.5" customHeight="1" x14ac:dyDescent="0.15">
      <c r="A64" s="41">
        <v>15</v>
      </c>
      <c r="B64" s="41" t="s">
        <v>26584</v>
      </c>
      <c r="C64" s="74" t="s">
        <v>26585</v>
      </c>
      <c r="D64" s="72"/>
      <c r="F64" s="57"/>
      <c r="G64" s="35"/>
      <c r="J64" s="299" t="s">
        <v>17556</v>
      </c>
      <c r="K64" s="45" t="s">
        <v>398</v>
      </c>
      <c r="L64" s="46">
        <v>1</v>
      </c>
      <c r="M64" s="512"/>
      <c r="N64" s="57"/>
      <c r="O64" s="43"/>
      <c r="P64" s="37"/>
      <c r="Q64" s="38"/>
      <c r="R64" s="79"/>
      <c r="S64" s="92" t="s">
        <v>17572</v>
      </c>
      <c r="V64" s="57"/>
      <c r="W64" s="208">
        <f>ROUND((ROUND((ROUND((ROUND((_15_同援日２．５*_15・通訳),0)*_15・２人),0)*(1+_15・A深夜)),0)*(1+_15・区４)),0)</f>
        <v>1065</v>
      </c>
      <c r="X64" s="48"/>
    </row>
    <row r="65" spans="1:24" ht="16.5" customHeight="1" x14ac:dyDescent="0.15">
      <c r="A65" s="41">
        <v>15</v>
      </c>
      <c r="B65" s="41" t="s">
        <v>26586</v>
      </c>
      <c r="C65" s="74" t="s">
        <v>26587</v>
      </c>
      <c r="D65" s="72"/>
      <c r="F65" s="57"/>
      <c r="G65" s="35"/>
      <c r="J65" s="163"/>
      <c r="K65" s="45"/>
      <c r="L65" s="46"/>
      <c r="M65" s="512"/>
      <c r="N65" s="57"/>
      <c r="O65" s="114" t="s">
        <v>17562</v>
      </c>
      <c r="P65" s="49"/>
      <c r="Q65" s="50"/>
      <c r="R65" s="115"/>
      <c r="S65" s="35"/>
      <c r="T65" s="12" t="s">
        <v>398</v>
      </c>
      <c r="U65" s="13">
        <v>0.4</v>
      </c>
      <c r="V65" s="57" t="s">
        <v>3575</v>
      </c>
      <c r="W65" s="208">
        <f>ROUND((ROUND((ROUND((ROUND((_15_同援日２．５*_15・通訳),0)*(1+_15・A深夜)),0)*(1+_15・盲ろう)),0)*(1+_15・区４)),0)</f>
        <v>1331</v>
      </c>
      <c r="X65" s="48"/>
    </row>
    <row r="66" spans="1:24" ht="16.5" customHeight="1" x14ac:dyDescent="0.15">
      <c r="A66" s="41">
        <v>15</v>
      </c>
      <c r="B66" s="41" t="s">
        <v>26588</v>
      </c>
      <c r="C66" s="74" t="s">
        <v>26589</v>
      </c>
      <c r="D66" s="122"/>
      <c r="E66" s="37"/>
      <c r="F66" s="79"/>
      <c r="G66" s="35"/>
      <c r="J66" s="299" t="s">
        <v>17556</v>
      </c>
      <c r="K66" s="45" t="s">
        <v>398</v>
      </c>
      <c r="L66" s="46">
        <v>1</v>
      </c>
      <c r="M66" s="512"/>
      <c r="N66" s="57"/>
      <c r="O66" s="269" t="s">
        <v>17564</v>
      </c>
      <c r="P66" s="37" t="s">
        <v>398</v>
      </c>
      <c r="Q66" s="38">
        <v>0.25</v>
      </c>
      <c r="R66" s="79" t="s">
        <v>3575</v>
      </c>
      <c r="S66" s="43"/>
      <c r="T66" s="37"/>
      <c r="U66" s="38"/>
      <c r="V66" s="79"/>
      <c r="W66" s="208">
        <f>ROUND((ROUND((ROUND((ROUND((ROUND((_15_同援日２．５*_15・通訳),0)*_15・２人),0)*(1+_15・A深夜)),0)*(1+_15・盲ろう)),0)*(1+_15・区４)),0)</f>
        <v>1331</v>
      </c>
      <c r="X66" s="48"/>
    </row>
    <row r="67" spans="1:24" ht="16.5" customHeight="1" x14ac:dyDescent="0.15">
      <c r="A67" s="41">
        <v>15</v>
      </c>
      <c r="B67" s="41" t="s">
        <v>26590</v>
      </c>
      <c r="C67" s="74" t="s">
        <v>26591</v>
      </c>
      <c r="D67" s="114" t="s">
        <v>18613</v>
      </c>
      <c r="E67" s="49"/>
      <c r="F67" s="115"/>
      <c r="G67" s="35"/>
      <c r="J67" s="163"/>
      <c r="K67" s="45"/>
      <c r="L67" s="46"/>
      <c r="M67" s="512"/>
      <c r="N67" s="57"/>
      <c r="O67" s="53"/>
      <c r="P67" s="49"/>
      <c r="Q67" s="50"/>
      <c r="R67" s="115"/>
      <c r="S67" s="53"/>
      <c r="T67" s="49"/>
      <c r="U67" s="50"/>
      <c r="V67" s="115"/>
      <c r="W67" s="208">
        <f>ROUND((ROUND((_15_同援日３．０*_15・通訳),0)*(1+_15・A深夜)),0)</f>
        <v>848</v>
      </c>
      <c r="X67" s="48"/>
    </row>
    <row r="68" spans="1:24" ht="16.5" customHeight="1" x14ac:dyDescent="0.15">
      <c r="A68" s="41">
        <v>15</v>
      </c>
      <c r="B68" s="41" t="s">
        <v>26592</v>
      </c>
      <c r="C68" s="74" t="s">
        <v>26593</v>
      </c>
      <c r="D68" s="72" t="s">
        <v>17697</v>
      </c>
      <c r="F68" s="57"/>
      <c r="G68" s="35"/>
      <c r="J68" s="299" t="s">
        <v>17556</v>
      </c>
      <c r="K68" s="45" t="s">
        <v>398</v>
      </c>
      <c r="L68" s="46">
        <v>1</v>
      </c>
      <c r="M68" s="512"/>
      <c r="N68" s="57"/>
      <c r="O68" s="43"/>
      <c r="P68" s="37"/>
      <c r="Q68" s="38"/>
      <c r="R68" s="79"/>
      <c r="S68" s="35"/>
      <c r="V68" s="57"/>
      <c r="W68" s="208">
        <f>ROUND((ROUND((ROUND((_15_同援日３．０*_15・通訳),0)*_15・２人),0)*(1+_15・A深夜)),0)</f>
        <v>848</v>
      </c>
      <c r="X68" s="48"/>
    </row>
    <row r="69" spans="1:24" ht="16.5" customHeight="1" x14ac:dyDescent="0.15">
      <c r="A69" s="41">
        <v>15</v>
      </c>
      <c r="B69" s="41" t="s">
        <v>26594</v>
      </c>
      <c r="C69" s="74" t="s">
        <v>26595</v>
      </c>
      <c r="D69" s="72" t="s">
        <v>18387</v>
      </c>
      <c r="F69" s="57"/>
      <c r="G69" s="35"/>
      <c r="J69" s="163"/>
      <c r="K69" s="45"/>
      <c r="L69" s="46"/>
      <c r="M69" s="512"/>
      <c r="N69" s="57"/>
      <c r="O69" s="114" t="s">
        <v>17562</v>
      </c>
      <c r="P69" s="49"/>
      <c r="Q69" s="50"/>
      <c r="R69" s="115"/>
      <c r="S69" s="35"/>
      <c r="V69" s="57"/>
      <c r="W69" s="208">
        <f>ROUND((ROUND((ROUND((_15_同援日３．０*_15・通訳),0)*(1+_15・A深夜)),0)*(1+_15・盲ろう)),0)</f>
        <v>1060</v>
      </c>
      <c r="X69" s="48"/>
    </row>
    <row r="70" spans="1:24" ht="16.5" customHeight="1" x14ac:dyDescent="0.15">
      <c r="A70" s="41">
        <v>15</v>
      </c>
      <c r="B70" s="41" t="s">
        <v>26596</v>
      </c>
      <c r="C70" s="74" t="s">
        <v>26597</v>
      </c>
      <c r="D70" s="72"/>
      <c r="E70" s="168">
        <f>_15_同援日３．０</f>
        <v>628</v>
      </c>
      <c r="F70" s="57" t="s">
        <v>392</v>
      </c>
      <c r="G70" s="35"/>
      <c r="J70" s="299" t="s">
        <v>17556</v>
      </c>
      <c r="K70" s="45" t="s">
        <v>398</v>
      </c>
      <c r="L70" s="46">
        <v>1</v>
      </c>
      <c r="M70" s="512"/>
      <c r="N70" s="57"/>
      <c r="O70" s="269" t="s">
        <v>17564</v>
      </c>
      <c r="P70" s="37" t="s">
        <v>398</v>
      </c>
      <c r="Q70" s="38">
        <v>0.25</v>
      </c>
      <c r="R70" s="79" t="s">
        <v>3575</v>
      </c>
      <c r="S70" s="43"/>
      <c r="T70" s="37"/>
      <c r="U70" s="38"/>
      <c r="V70" s="79"/>
      <c r="W70" s="208">
        <f>ROUND((ROUND((ROUND((ROUND((_15_同援日３．０*_15・通訳),0)*_15・２人),0)*(1+_15・A深夜)),0)*(1+_15・盲ろう)),0)</f>
        <v>1060</v>
      </c>
      <c r="X70" s="48"/>
    </row>
    <row r="71" spans="1:24" ht="16.5" customHeight="1" x14ac:dyDescent="0.15">
      <c r="A71" s="41">
        <v>15</v>
      </c>
      <c r="B71" s="41" t="s">
        <v>26598</v>
      </c>
      <c r="C71" s="74" t="s">
        <v>26599</v>
      </c>
      <c r="D71" s="72"/>
      <c r="F71" s="57"/>
      <c r="G71" s="35"/>
      <c r="J71" s="163"/>
      <c r="K71" s="45"/>
      <c r="L71" s="46"/>
      <c r="M71" s="512"/>
      <c r="N71" s="57"/>
      <c r="O71" s="53"/>
      <c r="P71" s="49"/>
      <c r="Q71" s="50"/>
      <c r="R71" s="115"/>
      <c r="S71" s="114" t="s">
        <v>17570</v>
      </c>
      <c r="T71" s="49"/>
      <c r="U71" s="50"/>
      <c r="V71" s="115"/>
      <c r="W71" s="208">
        <f>ROUND((ROUND((ROUND((_15_同援日３．０*_15・通訳),0)*(1+_15・A深夜)),0)*(1+_15・区３)),0)</f>
        <v>1018</v>
      </c>
      <c r="X71" s="48"/>
    </row>
    <row r="72" spans="1:24" ht="16.5" customHeight="1" x14ac:dyDescent="0.15">
      <c r="A72" s="41">
        <v>15</v>
      </c>
      <c r="B72" s="41" t="s">
        <v>26600</v>
      </c>
      <c r="C72" s="74" t="s">
        <v>26601</v>
      </c>
      <c r="D72" s="72"/>
      <c r="F72" s="57"/>
      <c r="G72" s="35"/>
      <c r="J72" s="299" t="s">
        <v>17556</v>
      </c>
      <c r="K72" s="45" t="s">
        <v>398</v>
      </c>
      <c r="L72" s="46">
        <v>1</v>
      </c>
      <c r="M72" s="512"/>
      <c r="N72" s="57"/>
      <c r="O72" s="43"/>
      <c r="P72" s="37"/>
      <c r="Q72" s="38"/>
      <c r="R72" s="79"/>
      <c r="S72" s="92" t="s">
        <v>17572</v>
      </c>
      <c r="V72" s="57"/>
      <c r="W72" s="208">
        <f>ROUND((ROUND((ROUND((ROUND((_15_同援日３．０*_15・通訳),0)*_15・２人),0)*(1+_15・A深夜)),0)*(1+_15・区３)),0)</f>
        <v>1018</v>
      </c>
      <c r="X72" s="48"/>
    </row>
    <row r="73" spans="1:24" ht="16.5" customHeight="1" x14ac:dyDescent="0.15">
      <c r="A73" s="41">
        <v>15</v>
      </c>
      <c r="B73" s="41" t="s">
        <v>2765</v>
      </c>
      <c r="C73" s="74" t="s">
        <v>26602</v>
      </c>
      <c r="D73" s="72"/>
      <c r="F73" s="57"/>
      <c r="G73" s="35"/>
      <c r="J73" s="163"/>
      <c r="K73" s="45"/>
      <c r="L73" s="46"/>
      <c r="M73" s="512"/>
      <c r="N73" s="57"/>
      <c r="O73" s="114" t="s">
        <v>17562</v>
      </c>
      <c r="P73" s="49"/>
      <c r="Q73" s="50"/>
      <c r="R73" s="115"/>
      <c r="S73" s="35"/>
      <c r="T73" s="12" t="s">
        <v>398</v>
      </c>
      <c r="U73" s="13">
        <v>0.2</v>
      </c>
      <c r="V73" s="57" t="s">
        <v>3575</v>
      </c>
      <c r="W73" s="208">
        <f>ROUND((ROUND((ROUND((ROUND((_15_同援日３．０*_15・通訳),0)*(1+_15・A深夜)),0)*(1+_15・盲ろう)),0)*(1+_15・区３)),0)</f>
        <v>1272</v>
      </c>
      <c r="X73" s="48"/>
    </row>
    <row r="74" spans="1:24" ht="16.5" customHeight="1" x14ac:dyDescent="0.15">
      <c r="A74" s="41">
        <v>15</v>
      </c>
      <c r="B74" s="41" t="s">
        <v>2767</v>
      </c>
      <c r="C74" s="74" t="s">
        <v>26603</v>
      </c>
      <c r="D74" s="72"/>
      <c r="F74" s="57"/>
      <c r="G74" s="35"/>
      <c r="J74" s="299" t="s">
        <v>17556</v>
      </c>
      <c r="K74" s="45" t="s">
        <v>398</v>
      </c>
      <c r="L74" s="46">
        <v>1</v>
      </c>
      <c r="M74" s="512"/>
      <c r="N74" s="57"/>
      <c r="O74" s="269" t="s">
        <v>17564</v>
      </c>
      <c r="P74" s="37" t="s">
        <v>398</v>
      </c>
      <c r="Q74" s="38">
        <v>0.25</v>
      </c>
      <c r="R74" s="79" t="s">
        <v>3575</v>
      </c>
      <c r="S74" s="43"/>
      <c r="T74" s="37"/>
      <c r="U74" s="38"/>
      <c r="V74" s="79"/>
      <c r="W74" s="208">
        <f>ROUND((ROUND((ROUND((ROUND((ROUND((_15_同援日３．０*_15・通訳),0)*_15・２人),0)*(1+_15・A深夜)),0)*(1+_15・盲ろう)),0)*(1+_15・区３)),0)</f>
        <v>1272</v>
      </c>
      <c r="X74" s="48"/>
    </row>
    <row r="75" spans="1:24" ht="16.5" customHeight="1" x14ac:dyDescent="0.15">
      <c r="A75" s="41">
        <v>15</v>
      </c>
      <c r="B75" s="41" t="s">
        <v>2769</v>
      </c>
      <c r="C75" s="74" t="s">
        <v>26604</v>
      </c>
      <c r="D75" s="72"/>
      <c r="F75" s="57"/>
      <c r="G75" s="35"/>
      <c r="J75" s="163"/>
      <c r="K75" s="45"/>
      <c r="L75" s="46"/>
      <c r="M75" s="512"/>
      <c r="N75" s="57"/>
      <c r="O75" s="53"/>
      <c r="P75" s="49"/>
      <c r="Q75" s="50"/>
      <c r="R75" s="115"/>
      <c r="S75" s="114" t="s">
        <v>17580</v>
      </c>
      <c r="T75" s="49"/>
      <c r="U75" s="50"/>
      <c r="V75" s="115"/>
      <c r="W75" s="208">
        <f>ROUND((ROUND((ROUND((_15_同援日３．０*_15・通訳),0)*(1+_15・A深夜)),0)*(1+_15・区４)),0)</f>
        <v>1187</v>
      </c>
      <c r="X75" s="48"/>
    </row>
    <row r="76" spans="1:24" ht="16.5" customHeight="1" x14ac:dyDescent="0.15">
      <c r="A76" s="41">
        <v>15</v>
      </c>
      <c r="B76" s="41" t="s">
        <v>2771</v>
      </c>
      <c r="C76" s="74" t="s">
        <v>26605</v>
      </c>
      <c r="D76" s="72"/>
      <c r="F76" s="57"/>
      <c r="G76" s="35"/>
      <c r="J76" s="299" t="s">
        <v>17556</v>
      </c>
      <c r="K76" s="45" t="s">
        <v>398</v>
      </c>
      <c r="L76" s="46">
        <v>1</v>
      </c>
      <c r="M76" s="512"/>
      <c r="N76" s="57"/>
      <c r="O76" s="43"/>
      <c r="P76" s="37"/>
      <c r="Q76" s="38"/>
      <c r="R76" s="79"/>
      <c r="S76" s="92" t="s">
        <v>17572</v>
      </c>
      <c r="V76" s="57"/>
      <c r="W76" s="208">
        <f>ROUND((ROUND((ROUND((ROUND((_15_同援日３．０*_15・通訳),0)*_15・２人),0)*(1+_15・A深夜)),0)*(1+_15・区４)),0)</f>
        <v>1187</v>
      </c>
      <c r="X76" s="48"/>
    </row>
    <row r="77" spans="1:24" ht="16.5" customHeight="1" x14ac:dyDescent="0.15">
      <c r="A77" s="41">
        <v>15</v>
      </c>
      <c r="B77" s="41" t="s">
        <v>26606</v>
      </c>
      <c r="C77" s="74" t="s">
        <v>26607</v>
      </c>
      <c r="D77" s="72"/>
      <c r="F77" s="57"/>
      <c r="G77" s="35"/>
      <c r="J77" s="163"/>
      <c r="K77" s="45"/>
      <c r="L77" s="46"/>
      <c r="M77" s="512"/>
      <c r="N77" s="57"/>
      <c r="O77" s="114" t="s">
        <v>17562</v>
      </c>
      <c r="P77" s="49"/>
      <c r="Q77" s="50"/>
      <c r="R77" s="115"/>
      <c r="S77" s="35"/>
      <c r="T77" s="12" t="s">
        <v>398</v>
      </c>
      <c r="U77" s="13">
        <v>0.4</v>
      </c>
      <c r="V77" s="57" t="s">
        <v>3575</v>
      </c>
      <c r="W77" s="208">
        <f>ROUND((ROUND((ROUND((ROUND((_15_同援日３．０*_15・通訳),0)*(1+_15・A深夜)),0)*(1+_15・盲ろう)),0)*(1+_15・区４)),0)</f>
        <v>1484</v>
      </c>
      <c r="X77" s="48"/>
    </row>
    <row r="78" spans="1:24" ht="16.5" customHeight="1" x14ac:dyDescent="0.15">
      <c r="A78" s="41">
        <v>15</v>
      </c>
      <c r="B78" s="41" t="s">
        <v>26608</v>
      </c>
      <c r="C78" s="74" t="s">
        <v>26609</v>
      </c>
      <c r="D78" s="122"/>
      <c r="E78" s="37"/>
      <c r="F78" s="79"/>
      <c r="G78" s="35"/>
      <c r="J78" s="299" t="s">
        <v>17556</v>
      </c>
      <c r="K78" s="45" t="s">
        <v>398</v>
      </c>
      <c r="L78" s="46">
        <v>1</v>
      </c>
      <c r="M78" s="512"/>
      <c r="N78" s="57"/>
      <c r="O78" s="269" t="s">
        <v>17564</v>
      </c>
      <c r="P78" s="37" t="s">
        <v>398</v>
      </c>
      <c r="Q78" s="38">
        <v>0.25</v>
      </c>
      <c r="R78" s="79" t="s">
        <v>3575</v>
      </c>
      <c r="S78" s="43"/>
      <c r="T78" s="37"/>
      <c r="U78" s="38"/>
      <c r="V78" s="79"/>
      <c r="W78" s="208">
        <f>ROUND((ROUND((ROUND((ROUND((ROUND((_15_同援日３．０*_15・通訳),0)*_15・２人),0)*(1+_15・A深夜)),0)*(1+_15・盲ろう)),0)*(1+_15・区４)),0)</f>
        <v>1484</v>
      </c>
      <c r="X78" s="48"/>
    </row>
    <row r="79" spans="1:24" ht="16.5" customHeight="1" x14ac:dyDescent="0.15">
      <c r="A79" s="41">
        <v>15</v>
      </c>
      <c r="B79" s="41" t="s">
        <v>26610</v>
      </c>
      <c r="C79" s="74" t="s">
        <v>26611</v>
      </c>
      <c r="D79" s="114" t="s">
        <v>18638</v>
      </c>
      <c r="E79" s="49"/>
      <c r="F79" s="115"/>
      <c r="G79" s="35"/>
      <c r="J79" s="163"/>
      <c r="K79" s="45"/>
      <c r="L79" s="46"/>
      <c r="M79" s="512"/>
      <c r="N79" s="57"/>
      <c r="O79" s="53"/>
      <c r="P79" s="49"/>
      <c r="Q79" s="50"/>
      <c r="R79" s="115"/>
      <c r="S79" s="53"/>
      <c r="T79" s="49"/>
      <c r="U79" s="50"/>
      <c r="V79" s="115"/>
      <c r="W79" s="208">
        <f>ROUND((ROUND((_15_同援日３．５*_15・通訳),0)*(1+_15・A深夜)),0)</f>
        <v>936</v>
      </c>
      <c r="X79" s="48"/>
    </row>
    <row r="80" spans="1:24" ht="16.5" customHeight="1" x14ac:dyDescent="0.15">
      <c r="A80" s="41">
        <v>15</v>
      </c>
      <c r="B80" s="41" t="s">
        <v>26612</v>
      </c>
      <c r="C80" s="74" t="s">
        <v>26613</v>
      </c>
      <c r="D80" s="72" t="s">
        <v>17724</v>
      </c>
      <c r="F80" s="57"/>
      <c r="G80" s="35"/>
      <c r="J80" s="299" t="s">
        <v>17556</v>
      </c>
      <c r="K80" s="45" t="s">
        <v>398</v>
      </c>
      <c r="L80" s="46">
        <v>1</v>
      </c>
      <c r="M80" s="512"/>
      <c r="N80" s="57"/>
      <c r="O80" s="43"/>
      <c r="P80" s="37"/>
      <c r="Q80" s="38"/>
      <c r="R80" s="79"/>
      <c r="S80" s="35"/>
      <c r="V80" s="57"/>
      <c r="W80" s="208">
        <f>ROUND((ROUND((ROUND((_15_同援日３．５*_15・通訳),0)*_15・２人),0)*(1+_15・A深夜)),0)</f>
        <v>936</v>
      </c>
      <c r="X80" s="48"/>
    </row>
    <row r="81" spans="1:24" ht="16.5" customHeight="1" x14ac:dyDescent="0.15">
      <c r="A81" s="41">
        <v>15</v>
      </c>
      <c r="B81" s="41" t="s">
        <v>26614</v>
      </c>
      <c r="C81" s="74" t="s">
        <v>26615</v>
      </c>
      <c r="D81" s="72" t="s">
        <v>17726</v>
      </c>
      <c r="F81" s="57"/>
      <c r="G81" s="35"/>
      <c r="J81" s="163"/>
      <c r="K81" s="45"/>
      <c r="L81" s="46"/>
      <c r="M81" s="512"/>
      <c r="N81" s="57"/>
      <c r="O81" s="114" t="s">
        <v>17562</v>
      </c>
      <c r="P81" s="49"/>
      <c r="Q81" s="50"/>
      <c r="R81" s="115"/>
      <c r="S81" s="35"/>
      <c r="V81" s="57"/>
      <c r="W81" s="208">
        <f>ROUND((ROUND((ROUND((_15_同援日３．５*_15・通訳),0)*(1+_15・A深夜)),0)*(1+_15・盲ろう)),0)</f>
        <v>1170</v>
      </c>
      <c r="X81" s="48"/>
    </row>
    <row r="82" spans="1:24" ht="16.5" customHeight="1" x14ac:dyDescent="0.15">
      <c r="A82" s="41">
        <v>15</v>
      </c>
      <c r="B82" s="41" t="s">
        <v>26616</v>
      </c>
      <c r="C82" s="74" t="s">
        <v>26617</v>
      </c>
      <c r="D82" s="72"/>
      <c r="E82" s="168">
        <f>_15_同援日３．５</f>
        <v>693</v>
      </c>
      <c r="F82" s="57" t="s">
        <v>392</v>
      </c>
      <c r="G82" s="35"/>
      <c r="J82" s="299" t="s">
        <v>17556</v>
      </c>
      <c r="K82" s="45" t="s">
        <v>398</v>
      </c>
      <c r="L82" s="46">
        <v>1</v>
      </c>
      <c r="M82" s="512"/>
      <c r="N82" s="57"/>
      <c r="O82" s="269" t="s">
        <v>17564</v>
      </c>
      <c r="P82" s="37" t="s">
        <v>398</v>
      </c>
      <c r="Q82" s="38">
        <v>0.25</v>
      </c>
      <c r="R82" s="79" t="s">
        <v>3575</v>
      </c>
      <c r="S82" s="43"/>
      <c r="T82" s="37"/>
      <c r="U82" s="38"/>
      <c r="V82" s="79"/>
      <c r="W82" s="208">
        <f>ROUND((ROUND((ROUND((ROUND((_15_同援日３．５*_15・通訳),0)*_15・２人),0)*(1+_15・A深夜)),0)*(1+_15・盲ろう)),0)</f>
        <v>1170</v>
      </c>
      <c r="X82" s="48"/>
    </row>
    <row r="83" spans="1:24" ht="16.5" customHeight="1" x14ac:dyDescent="0.15">
      <c r="A83" s="41">
        <v>15</v>
      </c>
      <c r="B83" s="41" t="s">
        <v>26618</v>
      </c>
      <c r="C83" s="74" t="s">
        <v>26619</v>
      </c>
      <c r="D83" s="72"/>
      <c r="F83" s="57"/>
      <c r="G83" s="35"/>
      <c r="J83" s="163"/>
      <c r="K83" s="45"/>
      <c r="L83" s="46"/>
      <c r="M83" s="512"/>
      <c r="N83" s="57"/>
      <c r="O83" s="53"/>
      <c r="P83" s="49"/>
      <c r="Q83" s="50"/>
      <c r="R83" s="115"/>
      <c r="S83" s="114" t="s">
        <v>17570</v>
      </c>
      <c r="T83" s="49"/>
      <c r="U83" s="50"/>
      <c r="V83" s="115"/>
      <c r="W83" s="208">
        <f>ROUND((ROUND((ROUND((_15_同援日３．５*_15・通訳),0)*(1+_15・A深夜)),0)*(1+_15・区３)),0)</f>
        <v>1123</v>
      </c>
      <c r="X83" s="48"/>
    </row>
    <row r="84" spans="1:24" ht="16.5" customHeight="1" x14ac:dyDescent="0.15">
      <c r="A84" s="41">
        <v>15</v>
      </c>
      <c r="B84" s="41" t="s">
        <v>26620</v>
      </c>
      <c r="C84" s="74" t="s">
        <v>26621</v>
      </c>
      <c r="D84" s="72"/>
      <c r="F84" s="57"/>
      <c r="G84" s="35"/>
      <c r="J84" s="299" t="s">
        <v>17556</v>
      </c>
      <c r="K84" s="45" t="s">
        <v>398</v>
      </c>
      <c r="L84" s="46">
        <v>1</v>
      </c>
      <c r="M84" s="512"/>
      <c r="N84" s="57"/>
      <c r="O84" s="43"/>
      <c r="P84" s="37"/>
      <c r="Q84" s="38"/>
      <c r="R84" s="79"/>
      <c r="S84" s="92" t="s">
        <v>17572</v>
      </c>
      <c r="V84" s="57"/>
      <c r="W84" s="208">
        <f>ROUND((ROUND((ROUND((ROUND((_15_同援日３．５*_15・通訳),0)*_15・２人),0)*(1+_15・A深夜)),0)*(1+_15・区３)),0)</f>
        <v>1123</v>
      </c>
      <c r="X84" s="48"/>
    </row>
    <row r="85" spans="1:24" ht="16.5" customHeight="1" x14ac:dyDescent="0.15">
      <c r="A85" s="41">
        <v>15</v>
      </c>
      <c r="B85" s="41" t="s">
        <v>26622</v>
      </c>
      <c r="C85" s="74" t="s">
        <v>26623</v>
      </c>
      <c r="D85" s="72"/>
      <c r="F85" s="57"/>
      <c r="G85" s="35"/>
      <c r="J85" s="163"/>
      <c r="K85" s="45"/>
      <c r="L85" s="46"/>
      <c r="M85" s="512"/>
      <c r="N85" s="57"/>
      <c r="O85" s="114" t="s">
        <v>17562</v>
      </c>
      <c r="P85" s="49"/>
      <c r="Q85" s="50"/>
      <c r="R85" s="115"/>
      <c r="S85" s="35"/>
      <c r="T85" s="12" t="s">
        <v>398</v>
      </c>
      <c r="U85" s="13">
        <v>0.2</v>
      </c>
      <c r="V85" s="57" t="s">
        <v>3575</v>
      </c>
      <c r="W85" s="208">
        <f>ROUND((ROUND((ROUND((ROUND((_15_同援日３．５*_15・通訳),0)*(1+_15・A深夜)),0)*(1+_15・盲ろう)),0)*(1+_15・区３)),0)</f>
        <v>1404</v>
      </c>
      <c r="X85" s="48"/>
    </row>
    <row r="86" spans="1:24" ht="16.5" customHeight="1" x14ac:dyDescent="0.15">
      <c r="A86" s="41">
        <v>15</v>
      </c>
      <c r="B86" s="41" t="s">
        <v>26624</v>
      </c>
      <c r="C86" s="74" t="s">
        <v>26625</v>
      </c>
      <c r="D86" s="72"/>
      <c r="F86" s="57"/>
      <c r="G86" s="35"/>
      <c r="J86" s="299" t="s">
        <v>17556</v>
      </c>
      <c r="K86" s="45" t="s">
        <v>398</v>
      </c>
      <c r="L86" s="46">
        <v>1</v>
      </c>
      <c r="M86" s="512"/>
      <c r="N86" s="57"/>
      <c r="O86" s="269" t="s">
        <v>17564</v>
      </c>
      <c r="P86" s="37" t="s">
        <v>398</v>
      </c>
      <c r="Q86" s="38">
        <v>0.25</v>
      </c>
      <c r="R86" s="79" t="s">
        <v>3575</v>
      </c>
      <c r="S86" s="43"/>
      <c r="T86" s="37"/>
      <c r="U86" s="38"/>
      <c r="V86" s="79"/>
      <c r="W86" s="208">
        <f>ROUND((ROUND((ROUND((ROUND((ROUND((_15_同援日３．５*_15・通訳),0)*_15・２人),0)*(1+_15・A深夜)),0)*(1+_15・盲ろう)),0)*(1+_15・区３)),0)</f>
        <v>1404</v>
      </c>
      <c r="X86" s="48"/>
    </row>
    <row r="87" spans="1:24" ht="16.5" customHeight="1" x14ac:dyDescent="0.15">
      <c r="A87" s="41">
        <v>15</v>
      </c>
      <c r="B87" s="41" t="s">
        <v>26626</v>
      </c>
      <c r="C87" s="74" t="s">
        <v>26627</v>
      </c>
      <c r="D87" s="72"/>
      <c r="F87" s="57"/>
      <c r="G87" s="35"/>
      <c r="J87" s="163"/>
      <c r="K87" s="45"/>
      <c r="L87" s="46"/>
      <c r="M87" s="512"/>
      <c r="N87" s="57"/>
      <c r="O87" s="53"/>
      <c r="P87" s="49"/>
      <c r="Q87" s="50"/>
      <c r="R87" s="115"/>
      <c r="S87" s="114" t="s">
        <v>17580</v>
      </c>
      <c r="T87" s="49"/>
      <c r="U87" s="50"/>
      <c r="V87" s="115"/>
      <c r="W87" s="208">
        <f>ROUND((ROUND((ROUND((_15_同援日３．５*_15・通訳),0)*(1+_15・A深夜)),0)*(1+_15・区４)),0)</f>
        <v>1310</v>
      </c>
      <c r="X87" s="48"/>
    </row>
    <row r="88" spans="1:24" ht="16.5" customHeight="1" x14ac:dyDescent="0.15">
      <c r="A88" s="41">
        <v>15</v>
      </c>
      <c r="B88" s="41" t="s">
        <v>26628</v>
      </c>
      <c r="C88" s="74" t="s">
        <v>26629</v>
      </c>
      <c r="D88" s="72"/>
      <c r="F88" s="57"/>
      <c r="G88" s="35"/>
      <c r="J88" s="299" t="s">
        <v>17556</v>
      </c>
      <c r="K88" s="45" t="s">
        <v>398</v>
      </c>
      <c r="L88" s="46">
        <v>1</v>
      </c>
      <c r="M88" s="512"/>
      <c r="N88" s="57"/>
      <c r="O88" s="43"/>
      <c r="P88" s="37"/>
      <c r="Q88" s="38"/>
      <c r="R88" s="79"/>
      <c r="S88" s="92" t="s">
        <v>17572</v>
      </c>
      <c r="V88" s="57"/>
      <c r="W88" s="208">
        <f>ROUND((ROUND((ROUND((ROUND((_15_同援日３．５*_15・通訳),0)*_15・２人),0)*(1+_15・A深夜)),0)*(1+_15・区４)),0)</f>
        <v>1310</v>
      </c>
      <c r="X88" s="48"/>
    </row>
    <row r="89" spans="1:24" ht="16.5" customHeight="1" x14ac:dyDescent="0.15">
      <c r="A89" s="41">
        <v>15</v>
      </c>
      <c r="B89" s="41" t="s">
        <v>26630</v>
      </c>
      <c r="C89" s="74" t="s">
        <v>26631</v>
      </c>
      <c r="D89" s="72"/>
      <c r="F89" s="57"/>
      <c r="G89" s="35"/>
      <c r="J89" s="163"/>
      <c r="K89" s="45"/>
      <c r="L89" s="46"/>
      <c r="M89" s="512"/>
      <c r="N89" s="57"/>
      <c r="O89" s="114" t="s">
        <v>17562</v>
      </c>
      <c r="P89" s="49"/>
      <c r="Q89" s="50"/>
      <c r="R89" s="115"/>
      <c r="S89" s="35"/>
      <c r="T89" s="12" t="s">
        <v>398</v>
      </c>
      <c r="U89" s="13">
        <v>0.4</v>
      </c>
      <c r="V89" s="57" t="s">
        <v>3575</v>
      </c>
      <c r="W89" s="208">
        <f>ROUND((ROUND((ROUND((ROUND((_15_同援日３．５*_15・通訳),0)*(1+_15・A深夜)),0)*(1+_15・盲ろう)),0)*(1+_15・区４)),0)</f>
        <v>1638</v>
      </c>
      <c r="X89" s="48"/>
    </row>
    <row r="90" spans="1:24" ht="16.5" customHeight="1" x14ac:dyDescent="0.15">
      <c r="A90" s="41">
        <v>15</v>
      </c>
      <c r="B90" s="41" t="s">
        <v>26632</v>
      </c>
      <c r="C90" s="74" t="s">
        <v>26633</v>
      </c>
      <c r="D90" s="122"/>
      <c r="E90" s="37"/>
      <c r="F90" s="79"/>
      <c r="G90" s="35"/>
      <c r="J90" s="299" t="s">
        <v>17556</v>
      </c>
      <c r="K90" s="45" t="s">
        <v>398</v>
      </c>
      <c r="L90" s="46">
        <v>1</v>
      </c>
      <c r="M90" s="512"/>
      <c r="N90" s="57"/>
      <c r="O90" s="269" t="s">
        <v>17564</v>
      </c>
      <c r="P90" s="37" t="s">
        <v>398</v>
      </c>
      <c r="Q90" s="38">
        <v>0.25</v>
      </c>
      <c r="R90" s="79" t="s">
        <v>3575</v>
      </c>
      <c r="S90" s="43"/>
      <c r="T90" s="37"/>
      <c r="U90" s="38"/>
      <c r="V90" s="79"/>
      <c r="W90" s="208">
        <f>ROUND((ROUND((ROUND((ROUND((ROUND((_15_同援日３．５*_15・通訳),0)*_15・２人),0)*(1+_15・A深夜)),0)*(1+_15・盲ろう)),0)*(1+_15・区４)),0)</f>
        <v>1638</v>
      </c>
      <c r="X90" s="48"/>
    </row>
    <row r="91" spans="1:24" ht="16.5" customHeight="1" x14ac:dyDescent="0.15">
      <c r="A91" s="41">
        <v>15</v>
      </c>
      <c r="B91" s="41" t="s">
        <v>26634</v>
      </c>
      <c r="C91" s="74" t="s">
        <v>26635</v>
      </c>
      <c r="D91" s="114" t="s">
        <v>18663</v>
      </c>
      <c r="E91" s="49"/>
      <c r="F91" s="115"/>
      <c r="G91" s="35"/>
      <c r="J91" s="163"/>
      <c r="K91" s="45"/>
      <c r="L91" s="46"/>
      <c r="M91" s="512"/>
      <c r="N91" s="57"/>
      <c r="O91" s="53"/>
      <c r="P91" s="49"/>
      <c r="Q91" s="50"/>
      <c r="R91" s="115"/>
      <c r="S91" s="53"/>
      <c r="T91" s="49"/>
      <c r="U91" s="50"/>
      <c r="V91" s="115"/>
      <c r="W91" s="208">
        <f>ROUND((ROUND((_15_同援日４．０*_15・通訳),0)*(1+_15・A深夜)),0)</f>
        <v>1023</v>
      </c>
      <c r="X91" s="48"/>
    </row>
    <row r="92" spans="1:24" ht="16.5" customHeight="1" x14ac:dyDescent="0.15">
      <c r="A92" s="41">
        <v>15</v>
      </c>
      <c r="B92" s="41" t="s">
        <v>26636</v>
      </c>
      <c r="C92" s="74" t="s">
        <v>26637</v>
      </c>
      <c r="D92" s="72" t="s">
        <v>17751</v>
      </c>
      <c r="F92" s="57"/>
      <c r="G92" s="35"/>
      <c r="J92" s="299" t="s">
        <v>17556</v>
      </c>
      <c r="K92" s="45" t="s">
        <v>398</v>
      </c>
      <c r="L92" s="46">
        <v>1</v>
      </c>
      <c r="M92" s="512"/>
      <c r="N92" s="57"/>
      <c r="O92" s="43"/>
      <c r="P92" s="37"/>
      <c r="Q92" s="38"/>
      <c r="R92" s="79"/>
      <c r="S92" s="35"/>
      <c r="V92" s="57"/>
      <c r="W92" s="208">
        <f>ROUND((ROUND((ROUND((_15_同援日４．０*_15・通訳),0)*_15・２人),0)*(1+_15・A深夜)),0)</f>
        <v>1023</v>
      </c>
      <c r="X92" s="48"/>
    </row>
    <row r="93" spans="1:24" ht="16.5" customHeight="1" x14ac:dyDescent="0.15">
      <c r="A93" s="41">
        <v>15</v>
      </c>
      <c r="B93" s="41" t="s">
        <v>2777</v>
      </c>
      <c r="C93" s="74" t="s">
        <v>26638</v>
      </c>
      <c r="D93" s="72" t="s">
        <v>17753</v>
      </c>
      <c r="F93" s="57"/>
      <c r="G93" s="35"/>
      <c r="J93" s="163"/>
      <c r="K93" s="45"/>
      <c r="L93" s="46"/>
      <c r="M93" s="512"/>
      <c r="N93" s="57"/>
      <c r="O93" s="114" t="s">
        <v>17562</v>
      </c>
      <c r="P93" s="49"/>
      <c r="Q93" s="50"/>
      <c r="R93" s="115"/>
      <c r="S93" s="35"/>
      <c r="V93" s="57"/>
      <c r="W93" s="208">
        <f>ROUND((ROUND((ROUND((_15_同援日４．０*_15・通訳),0)*(1+_15・A深夜)),0)*(1+_15・盲ろう)),0)</f>
        <v>1279</v>
      </c>
      <c r="X93" s="48"/>
    </row>
    <row r="94" spans="1:24" ht="16.5" customHeight="1" x14ac:dyDescent="0.15">
      <c r="A94" s="41">
        <v>15</v>
      </c>
      <c r="B94" s="41" t="s">
        <v>2779</v>
      </c>
      <c r="C94" s="74" t="s">
        <v>26639</v>
      </c>
      <c r="D94" s="72"/>
      <c r="E94" s="168">
        <f>_15_同援日４．０</f>
        <v>758</v>
      </c>
      <c r="F94" s="57" t="s">
        <v>392</v>
      </c>
      <c r="G94" s="35"/>
      <c r="J94" s="299" t="s">
        <v>17556</v>
      </c>
      <c r="K94" s="45" t="s">
        <v>398</v>
      </c>
      <c r="L94" s="46">
        <v>1</v>
      </c>
      <c r="M94" s="512"/>
      <c r="N94" s="57"/>
      <c r="O94" s="269" t="s">
        <v>17564</v>
      </c>
      <c r="P94" s="37" t="s">
        <v>398</v>
      </c>
      <c r="Q94" s="38">
        <v>0.25</v>
      </c>
      <c r="R94" s="79" t="s">
        <v>3575</v>
      </c>
      <c r="S94" s="43"/>
      <c r="T94" s="37"/>
      <c r="U94" s="38"/>
      <c r="V94" s="79"/>
      <c r="W94" s="208">
        <f>ROUND((ROUND((ROUND((ROUND((_15_同援日４．０*_15・通訳),0)*_15・２人),0)*(1+_15・A深夜)),0)*(1+_15・盲ろう)),0)</f>
        <v>1279</v>
      </c>
      <c r="X94" s="48"/>
    </row>
    <row r="95" spans="1:24" ht="16.5" customHeight="1" x14ac:dyDescent="0.15">
      <c r="A95" s="41">
        <v>15</v>
      </c>
      <c r="B95" s="41" t="s">
        <v>2781</v>
      </c>
      <c r="C95" s="74" t="s">
        <v>26640</v>
      </c>
      <c r="D95" s="72"/>
      <c r="F95" s="57"/>
      <c r="G95" s="35"/>
      <c r="J95" s="163"/>
      <c r="K95" s="45"/>
      <c r="L95" s="46"/>
      <c r="M95" s="512"/>
      <c r="N95" s="57"/>
      <c r="O95" s="53"/>
      <c r="P95" s="49"/>
      <c r="Q95" s="50"/>
      <c r="R95" s="115"/>
      <c r="S95" s="114" t="s">
        <v>17570</v>
      </c>
      <c r="T95" s="49"/>
      <c r="U95" s="50"/>
      <c r="V95" s="115"/>
      <c r="W95" s="208">
        <f>ROUND((ROUND((ROUND((_15_同援日４．０*_15・通訳),0)*(1+_15・A深夜)),0)*(1+_15・区３)),0)</f>
        <v>1228</v>
      </c>
      <c r="X95" s="48"/>
    </row>
    <row r="96" spans="1:24" ht="16.5" customHeight="1" x14ac:dyDescent="0.15">
      <c r="A96" s="41">
        <v>15</v>
      </c>
      <c r="B96" s="41" t="s">
        <v>2783</v>
      </c>
      <c r="C96" s="74" t="s">
        <v>26641</v>
      </c>
      <c r="D96" s="72"/>
      <c r="F96" s="57"/>
      <c r="G96" s="35"/>
      <c r="J96" s="299" t="s">
        <v>17556</v>
      </c>
      <c r="K96" s="45" t="s">
        <v>398</v>
      </c>
      <c r="L96" s="46">
        <v>1</v>
      </c>
      <c r="M96" s="512"/>
      <c r="N96" s="57"/>
      <c r="O96" s="43"/>
      <c r="P96" s="37"/>
      <c r="Q96" s="38"/>
      <c r="R96" s="79"/>
      <c r="S96" s="92" t="s">
        <v>17572</v>
      </c>
      <c r="V96" s="57"/>
      <c r="W96" s="208">
        <f>ROUND((ROUND((ROUND((ROUND((_15_同援日４．０*_15・通訳),0)*_15・２人),0)*(1+_15・A深夜)),0)*(1+_15・区３)),0)</f>
        <v>1228</v>
      </c>
      <c r="X96" s="48"/>
    </row>
    <row r="97" spans="1:24" ht="16.5" customHeight="1" x14ac:dyDescent="0.15">
      <c r="A97" s="41">
        <v>15</v>
      </c>
      <c r="B97" s="41" t="s">
        <v>26642</v>
      </c>
      <c r="C97" s="74" t="s">
        <v>26643</v>
      </c>
      <c r="D97" s="72"/>
      <c r="F97" s="57"/>
      <c r="G97" s="35"/>
      <c r="J97" s="163"/>
      <c r="K97" s="45"/>
      <c r="L97" s="46"/>
      <c r="M97" s="512"/>
      <c r="N97" s="57"/>
      <c r="O97" s="114" t="s">
        <v>17562</v>
      </c>
      <c r="P97" s="49"/>
      <c r="Q97" s="50"/>
      <c r="R97" s="115"/>
      <c r="S97" s="35"/>
      <c r="T97" s="12" t="s">
        <v>398</v>
      </c>
      <c r="U97" s="13">
        <v>0.2</v>
      </c>
      <c r="V97" s="57" t="s">
        <v>3575</v>
      </c>
      <c r="W97" s="208">
        <f>ROUND((ROUND((ROUND((ROUND((_15_同援日４．０*_15・通訳),0)*(1+_15・A深夜)),0)*(1+_15・盲ろう)),0)*(1+_15・区３)),0)</f>
        <v>1535</v>
      </c>
      <c r="X97" s="48"/>
    </row>
    <row r="98" spans="1:24" ht="16.5" customHeight="1" x14ac:dyDescent="0.15">
      <c r="A98" s="41">
        <v>15</v>
      </c>
      <c r="B98" s="41" t="s">
        <v>26644</v>
      </c>
      <c r="C98" s="74" t="s">
        <v>26645</v>
      </c>
      <c r="D98" s="72"/>
      <c r="F98" s="57"/>
      <c r="G98" s="35"/>
      <c r="J98" s="299" t="s">
        <v>17556</v>
      </c>
      <c r="K98" s="45" t="s">
        <v>398</v>
      </c>
      <c r="L98" s="46">
        <v>1</v>
      </c>
      <c r="M98" s="512"/>
      <c r="N98" s="57"/>
      <c r="O98" s="269" t="s">
        <v>17564</v>
      </c>
      <c r="P98" s="37" t="s">
        <v>398</v>
      </c>
      <c r="Q98" s="38">
        <v>0.25</v>
      </c>
      <c r="R98" s="79" t="s">
        <v>3575</v>
      </c>
      <c r="S98" s="43"/>
      <c r="T98" s="37"/>
      <c r="U98" s="38"/>
      <c r="V98" s="79"/>
      <c r="W98" s="208">
        <f>ROUND((ROUND((ROUND((ROUND((ROUND((_15_同援日４．０*_15・通訳),0)*_15・２人),0)*(1+_15・A深夜)),0)*(1+_15・盲ろう)),0)*(1+_15・区３)),0)</f>
        <v>1535</v>
      </c>
      <c r="X98" s="48"/>
    </row>
    <row r="99" spans="1:24" ht="16.5" customHeight="1" x14ac:dyDescent="0.15">
      <c r="A99" s="41">
        <v>15</v>
      </c>
      <c r="B99" s="41" t="s">
        <v>26646</v>
      </c>
      <c r="C99" s="74" t="s">
        <v>26647</v>
      </c>
      <c r="D99" s="72"/>
      <c r="F99" s="57"/>
      <c r="G99" s="35"/>
      <c r="J99" s="163"/>
      <c r="K99" s="45"/>
      <c r="L99" s="46"/>
      <c r="M99" s="512"/>
      <c r="N99" s="57"/>
      <c r="O99" s="53"/>
      <c r="P99" s="49"/>
      <c r="Q99" s="50"/>
      <c r="R99" s="115"/>
      <c r="S99" s="114" t="s">
        <v>17580</v>
      </c>
      <c r="T99" s="49"/>
      <c r="U99" s="50"/>
      <c r="V99" s="115"/>
      <c r="W99" s="208">
        <f>ROUND((ROUND((ROUND((_15_同援日４．０*_15・通訳),0)*(1+_15・A深夜)),0)*(1+_15・区４)),0)</f>
        <v>1432</v>
      </c>
      <c r="X99" s="48"/>
    </row>
    <row r="100" spans="1:24" ht="16.5" customHeight="1" x14ac:dyDescent="0.15">
      <c r="A100" s="41">
        <v>15</v>
      </c>
      <c r="B100" s="41" t="s">
        <v>26648</v>
      </c>
      <c r="C100" s="74" t="s">
        <v>26649</v>
      </c>
      <c r="D100" s="72"/>
      <c r="F100" s="57"/>
      <c r="G100" s="35"/>
      <c r="J100" s="299" t="s">
        <v>17556</v>
      </c>
      <c r="K100" s="45" t="s">
        <v>398</v>
      </c>
      <c r="L100" s="46">
        <v>1</v>
      </c>
      <c r="M100" s="512"/>
      <c r="N100" s="57"/>
      <c r="O100" s="43"/>
      <c r="P100" s="37"/>
      <c r="Q100" s="38"/>
      <c r="R100" s="79"/>
      <c r="S100" s="92" t="s">
        <v>17572</v>
      </c>
      <c r="V100" s="57"/>
      <c r="W100" s="208">
        <f>ROUND((ROUND((ROUND((ROUND((_15_同援日４．０*_15・通訳),0)*_15・２人),0)*(1+_15・A深夜)),0)*(1+_15・区４)),0)</f>
        <v>1432</v>
      </c>
      <c r="X100" s="48"/>
    </row>
    <row r="101" spans="1:24" ht="16.5" customHeight="1" x14ac:dyDescent="0.15">
      <c r="A101" s="41">
        <v>15</v>
      </c>
      <c r="B101" s="41" t="s">
        <v>26650</v>
      </c>
      <c r="C101" s="74" t="s">
        <v>26651</v>
      </c>
      <c r="D101" s="72"/>
      <c r="F101" s="57"/>
      <c r="G101" s="35"/>
      <c r="J101" s="163"/>
      <c r="K101" s="45"/>
      <c r="L101" s="46"/>
      <c r="M101" s="512"/>
      <c r="N101" s="57"/>
      <c r="O101" s="114" t="s">
        <v>17562</v>
      </c>
      <c r="P101" s="49"/>
      <c r="Q101" s="50"/>
      <c r="R101" s="115"/>
      <c r="S101" s="35"/>
      <c r="T101" s="12" t="s">
        <v>398</v>
      </c>
      <c r="U101" s="13">
        <v>0.4</v>
      </c>
      <c r="V101" s="57" t="s">
        <v>3575</v>
      </c>
      <c r="W101" s="208">
        <f>ROUND((ROUND((ROUND((ROUND((_15_同援日４．０*_15・通訳),0)*(1+_15・A深夜)),0)*(1+_15・盲ろう)),0)*(1+_15・区４)),0)</f>
        <v>1791</v>
      </c>
      <c r="X101" s="48"/>
    </row>
    <row r="102" spans="1:24" ht="16.5" customHeight="1" x14ac:dyDescent="0.15">
      <c r="A102" s="41">
        <v>15</v>
      </c>
      <c r="B102" s="41" t="s">
        <v>26652</v>
      </c>
      <c r="C102" s="74" t="s">
        <v>26653</v>
      </c>
      <c r="D102" s="122"/>
      <c r="E102" s="37"/>
      <c r="F102" s="79"/>
      <c r="G102" s="35"/>
      <c r="J102" s="299" t="s">
        <v>17556</v>
      </c>
      <c r="K102" s="45" t="s">
        <v>398</v>
      </c>
      <c r="L102" s="46">
        <v>1</v>
      </c>
      <c r="M102" s="512"/>
      <c r="N102" s="57"/>
      <c r="O102" s="269" t="s">
        <v>17564</v>
      </c>
      <c r="P102" s="37" t="s">
        <v>398</v>
      </c>
      <c r="Q102" s="38">
        <v>0.25</v>
      </c>
      <c r="R102" s="79" t="s">
        <v>3575</v>
      </c>
      <c r="S102" s="43"/>
      <c r="T102" s="37"/>
      <c r="U102" s="38"/>
      <c r="V102" s="79"/>
      <c r="W102" s="208">
        <f>ROUND((ROUND((ROUND((ROUND((ROUND((_15_同援日４．０*_15・通訳),0)*_15・２人),0)*(1+_15・A深夜)),0)*(1+_15・盲ろう)),0)*(1+_15・区４)),0)</f>
        <v>1791</v>
      </c>
      <c r="X102" s="48"/>
    </row>
    <row r="103" spans="1:24" ht="16.5" customHeight="1" x14ac:dyDescent="0.15">
      <c r="A103" s="41">
        <v>15</v>
      </c>
      <c r="B103" s="41" t="s">
        <v>26654</v>
      </c>
      <c r="C103" s="74" t="s">
        <v>26655</v>
      </c>
      <c r="D103" s="114" t="s">
        <v>18688</v>
      </c>
      <c r="E103" s="49"/>
      <c r="F103" s="115"/>
      <c r="G103" s="35"/>
      <c r="J103" s="163"/>
      <c r="K103" s="45"/>
      <c r="L103" s="46"/>
      <c r="M103" s="512"/>
      <c r="N103" s="57"/>
      <c r="O103" s="53"/>
      <c r="P103" s="49"/>
      <c r="Q103" s="50"/>
      <c r="R103" s="115"/>
      <c r="S103" s="53"/>
      <c r="T103" s="49"/>
      <c r="U103" s="50"/>
      <c r="V103" s="115"/>
      <c r="W103" s="208">
        <f>ROUND((ROUND((_15_同援日４．５*_15・通訳),0)*(1+_15・A深夜)),0)</f>
        <v>1112</v>
      </c>
      <c r="X103" s="48"/>
    </row>
    <row r="104" spans="1:24" ht="16.5" customHeight="1" x14ac:dyDescent="0.15">
      <c r="A104" s="41">
        <v>15</v>
      </c>
      <c r="B104" s="41" t="s">
        <v>26656</v>
      </c>
      <c r="C104" s="74" t="s">
        <v>26657</v>
      </c>
      <c r="D104" s="72" t="s">
        <v>17778</v>
      </c>
      <c r="F104" s="57"/>
      <c r="G104" s="35"/>
      <c r="J104" s="299" t="s">
        <v>17556</v>
      </c>
      <c r="K104" s="45" t="s">
        <v>398</v>
      </c>
      <c r="L104" s="46">
        <v>1</v>
      </c>
      <c r="M104" s="512"/>
      <c r="N104" s="57"/>
      <c r="O104" s="43"/>
      <c r="P104" s="37"/>
      <c r="Q104" s="38"/>
      <c r="R104" s="79"/>
      <c r="S104" s="35"/>
      <c r="V104" s="57"/>
      <c r="W104" s="208">
        <f>ROUND((ROUND((ROUND((_15_同援日４．５*_15・通訳),0)*_15・２人),0)*(1+_15・A深夜)),0)</f>
        <v>1112</v>
      </c>
      <c r="X104" s="48"/>
    </row>
    <row r="105" spans="1:24" ht="16.5" customHeight="1" x14ac:dyDescent="0.15">
      <c r="A105" s="41">
        <v>15</v>
      </c>
      <c r="B105" s="41" t="s">
        <v>26658</v>
      </c>
      <c r="C105" s="74" t="s">
        <v>26659</v>
      </c>
      <c r="D105" s="72" t="s">
        <v>18463</v>
      </c>
      <c r="F105" s="57"/>
      <c r="G105" s="35"/>
      <c r="J105" s="163"/>
      <c r="K105" s="45"/>
      <c r="L105" s="46"/>
      <c r="M105" s="512"/>
      <c r="N105" s="57"/>
      <c r="O105" s="114" t="s">
        <v>17562</v>
      </c>
      <c r="P105" s="49"/>
      <c r="Q105" s="50"/>
      <c r="R105" s="115"/>
      <c r="S105" s="35"/>
      <c r="V105" s="57"/>
      <c r="W105" s="208">
        <f>ROUND((ROUND((ROUND((_15_同援日４．５*_15・通訳),0)*(1+_15・A深夜)),0)*(1+_15・盲ろう)),0)</f>
        <v>1390</v>
      </c>
      <c r="X105" s="48"/>
    </row>
    <row r="106" spans="1:24" ht="16.5" customHeight="1" x14ac:dyDescent="0.15">
      <c r="A106" s="41">
        <v>15</v>
      </c>
      <c r="B106" s="41" t="s">
        <v>26660</v>
      </c>
      <c r="C106" s="74" t="s">
        <v>26661</v>
      </c>
      <c r="D106" s="72"/>
      <c r="E106" s="168">
        <f>_15_同援日４．５</f>
        <v>823</v>
      </c>
      <c r="F106" s="57" t="s">
        <v>392</v>
      </c>
      <c r="G106" s="35"/>
      <c r="J106" s="299" t="s">
        <v>17556</v>
      </c>
      <c r="K106" s="45" t="s">
        <v>398</v>
      </c>
      <c r="L106" s="46">
        <v>1</v>
      </c>
      <c r="M106" s="512"/>
      <c r="N106" s="57"/>
      <c r="O106" s="269" t="s">
        <v>17564</v>
      </c>
      <c r="P106" s="37" t="s">
        <v>398</v>
      </c>
      <c r="Q106" s="38">
        <v>0.25</v>
      </c>
      <c r="R106" s="79" t="s">
        <v>3575</v>
      </c>
      <c r="S106" s="43"/>
      <c r="T106" s="37"/>
      <c r="U106" s="38"/>
      <c r="V106" s="79"/>
      <c r="W106" s="208">
        <f>ROUND((ROUND((ROUND((ROUND((_15_同援日４．５*_15・通訳),0)*_15・２人),0)*(1+_15・A深夜)),0)*(1+_15・盲ろう)),0)</f>
        <v>1390</v>
      </c>
      <c r="X106" s="48"/>
    </row>
    <row r="107" spans="1:24" ht="16.5" customHeight="1" x14ac:dyDescent="0.15">
      <c r="A107" s="41">
        <v>15</v>
      </c>
      <c r="B107" s="41" t="s">
        <v>26662</v>
      </c>
      <c r="C107" s="74" t="s">
        <v>26663</v>
      </c>
      <c r="D107" s="72"/>
      <c r="F107" s="57"/>
      <c r="G107" s="35"/>
      <c r="J107" s="163"/>
      <c r="K107" s="45"/>
      <c r="L107" s="46"/>
      <c r="M107" s="512"/>
      <c r="N107" s="57"/>
      <c r="O107" s="53"/>
      <c r="P107" s="49"/>
      <c r="Q107" s="50"/>
      <c r="R107" s="115"/>
      <c r="S107" s="114" t="s">
        <v>17570</v>
      </c>
      <c r="T107" s="49"/>
      <c r="U107" s="50"/>
      <c r="V107" s="115"/>
      <c r="W107" s="208">
        <f>ROUND((ROUND((ROUND((_15_同援日４．５*_15・通訳),0)*(1+_15・A深夜)),0)*(1+_15・区３)),0)</f>
        <v>1334</v>
      </c>
      <c r="X107" s="48"/>
    </row>
    <row r="108" spans="1:24" ht="16.5" customHeight="1" x14ac:dyDescent="0.15">
      <c r="A108" s="41">
        <v>15</v>
      </c>
      <c r="B108" s="41" t="s">
        <v>26664</v>
      </c>
      <c r="C108" s="74" t="s">
        <v>26665</v>
      </c>
      <c r="D108" s="72"/>
      <c r="F108" s="57"/>
      <c r="G108" s="35"/>
      <c r="J108" s="299" t="s">
        <v>17556</v>
      </c>
      <c r="K108" s="45" t="s">
        <v>398</v>
      </c>
      <c r="L108" s="46">
        <v>1</v>
      </c>
      <c r="M108" s="512"/>
      <c r="N108" s="57"/>
      <c r="O108" s="43"/>
      <c r="P108" s="37"/>
      <c r="Q108" s="38"/>
      <c r="R108" s="79"/>
      <c r="S108" s="92" t="s">
        <v>17572</v>
      </c>
      <c r="V108" s="57"/>
      <c r="W108" s="208">
        <f>ROUND((ROUND((ROUND((ROUND((_15_同援日４．５*_15・通訳),0)*_15・２人),0)*(1+_15・A深夜)),0)*(1+_15・区３)),0)</f>
        <v>1334</v>
      </c>
      <c r="X108" s="48"/>
    </row>
    <row r="109" spans="1:24" ht="16.5" customHeight="1" x14ac:dyDescent="0.15">
      <c r="A109" s="41">
        <v>15</v>
      </c>
      <c r="B109" s="41" t="s">
        <v>26666</v>
      </c>
      <c r="C109" s="74" t="s">
        <v>26667</v>
      </c>
      <c r="D109" s="72"/>
      <c r="F109" s="57"/>
      <c r="G109" s="35"/>
      <c r="J109" s="163"/>
      <c r="K109" s="45"/>
      <c r="L109" s="46"/>
      <c r="M109" s="512"/>
      <c r="N109" s="57"/>
      <c r="O109" s="114" t="s">
        <v>17562</v>
      </c>
      <c r="P109" s="49"/>
      <c r="Q109" s="50"/>
      <c r="R109" s="115"/>
      <c r="S109" s="35"/>
      <c r="T109" s="12" t="s">
        <v>398</v>
      </c>
      <c r="U109" s="13">
        <v>0.2</v>
      </c>
      <c r="V109" s="57" t="s">
        <v>3575</v>
      </c>
      <c r="W109" s="208">
        <f>ROUND((ROUND((ROUND((ROUND((_15_同援日４．５*_15・通訳),0)*(1+_15・A深夜)),0)*(1+_15・盲ろう)),0)*(1+_15・区３)),0)</f>
        <v>1668</v>
      </c>
      <c r="X109" s="48"/>
    </row>
    <row r="110" spans="1:24" ht="16.5" customHeight="1" x14ac:dyDescent="0.15">
      <c r="A110" s="41">
        <v>15</v>
      </c>
      <c r="B110" s="41" t="s">
        <v>26668</v>
      </c>
      <c r="C110" s="74" t="s">
        <v>26669</v>
      </c>
      <c r="D110" s="72"/>
      <c r="F110" s="57"/>
      <c r="G110" s="35"/>
      <c r="J110" s="299" t="s">
        <v>17556</v>
      </c>
      <c r="K110" s="45" t="s">
        <v>398</v>
      </c>
      <c r="L110" s="46">
        <v>1</v>
      </c>
      <c r="M110" s="512"/>
      <c r="N110" s="57"/>
      <c r="O110" s="269" t="s">
        <v>17564</v>
      </c>
      <c r="P110" s="37" t="s">
        <v>398</v>
      </c>
      <c r="Q110" s="38">
        <v>0.25</v>
      </c>
      <c r="R110" s="79" t="s">
        <v>3575</v>
      </c>
      <c r="S110" s="43"/>
      <c r="T110" s="37"/>
      <c r="U110" s="38"/>
      <c r="V110" s="79"/>
      <c r="W110" s="208">
        <f>ROUND((ROUND((ROUND((ROUND((ROUND((_15_同援日４．５*_15・通訳),0)*_15・２人),0)*(1+_15・A深夜)),0)*(1+_15・盲ろう)),0)*(1+_15・区３)),0)</f>
        <v>1668</v>
      </c>
      <c r="X110" s="48"/>
    </row>
    <row r="111" spans="1:24" ht="16.5" customHeight="1" x14ac:dyDescent="0.15">
      <c r="A111" s="41">
        <v>15</v>
      </c>
      <c r="B111" s="41" t="s">
        <v>26670</v>
      </c>
      <c r="C111" s="74" t="s">
        <v>26671</v>
      </c>
      <c r="D111" s="72"/>
      <c r="F111" s="57"/>
      <c r="G111" s="35"/>
      <c r="J111" s="163"/>
      <c r="K111" s="45"/>
      <c r="L111" s="46"/>
      <c r="M111" s="512"/>
      <c r="N111" s="57"/>
      <c r="O111" s="53"/>
      <c r="P111" s="49"/>
      <c r="Q111" s="50"/>
      <c r="R111" s="115"/>
      <c r="S111" s="114" t="s">
        <v>17580</v>
      </c>
      <c r="T111" s="49"/>
      <c r="U111" s="50"/>
      <c r="V111" s="115"/>
      <c r="W111" s="208">
        <f>ROUND((ROUND((ROUND((_15_同援日４．５*_15・通訳),0)*(1+_15・A深夜)),0)*(1+_15・区４)),0)</f>
        <v>1557</v>
      </c>
      <c r="X111" s="48"/>
    </row>
    <row r="112" spans="1:24" ht="16.5" customHeight="1" x14ac:dyDescent="0.15">
      <c r="A112" s="41">
        <v>15</v>
      </c>
      <c r="B112" s="41" t="s">
        <v>26672</v>
      </c>
      <c r="C112" s="74" t="s">
        <v>26673</v>
      </c>
      <c r="D112" s="72"/>
      <c r="F112" s="57"/>
      <c r="G112" s="35"/>
      <c r="J112" s="299" t="s">
        <v>17556</v>
      </c>
      <c r="K112" s="45" t="s">
        <v>398</v>
      </c>
      <c r="L112" s="46">
        <v>1</v>
      </c>
      <c r="M112" s="512"/>
      <c r="N112" s="57"/>
      <c r="O112" s="43"/>
      <c r="P112" s="37"/>
      <c r="Q112" s="38"/>
      <c r="R112" s="79"/>
      <c r="S112" s="92" t="s">
        <v>17572</v>
      </c>
      <c r="V112" s="57"/>
      <c r="W112" s="208">
        <f>ROUND((ROUND((ROUND((ROUND((_15_同援日４．５*_15・通訳),0)*_15・２人),0)*(1+_15・A深夜)),0)*(1+_15・区４)),0)</f>
        <v>1557</v>
      </c>
      <c r="X112" s="48"/>
    </row>
    <row r="113" spans="1:24" ht="16.5" customHeight="1" x14ac:dyDescent="0.15">
      <c r="A113" s="41">
        <v>15</v>
      </c>
      <c r="B113" s="41" t="s">
        <v>2789</v>
      </c>
      <c r="C113" s="74" t="s">
        <v>26674</v>
      </c>
      <c r="D113" s="72"/>
      <c r="F113" s="57"/>
      <c r="G113" s="35"/>
      <c r="J113" s="163"/>
      <c r="K113" s="45"/>
      <c r="L113" s="46"/>
      <c r="M113" s="512"/>
      <c r="N113" s="57"/>
      <c r="O113" s="114" t="s">
        <v>17562</v>
      </c>
      <c r="P113" s="49"/>
      <c r="Q113" s="50"/>
      <c r="R113" s="115"/>
      <c r="S113" s="35"/>
      <c r="T113" s="12" t="s">
        <v>398</v>
      </c>
      <c r="U113" s="13">
        <v>0.4</v>
      </c>
      <c r="V113" s="57" t="s">
        <v>3575</v>
      </c>
      <c r="W113" s="208">
        <f>ROUND((ROUND((ROUND((ROUND((_15_同援日４．５*_15・通訳),0)*(1+_15・A深夜)),0)*(1+_15・盲ろう)),0)*(1+_15・区４)),0)</f>
        <v>1946</v>
      </c>
      <c r="X113" s="48"/>
    </row>
    <row r="114" spans="1:24" ht="16.5" customHeight="1" x14ac:dyDescent="0.15">
      <c r="A114" s="41">
        <v>15</v>
      </c>
      <c r="B114" s="41" t="s">
        <v>2791</v>
      </c>
      <c r="C114" s="74" t="s">
        <v>26675</v>
      </c>
      <c r="D114" s="122"/>
      <c r="E114" s="37"/>
      <c r="F114" s="79"/>
      <c r="G114" s="43"/>
      <c r="H114" s="37"/>
      <c r="I114" s="38"/>
      <c r="J114" s="299" t="s">
        <v>17556</v>
      </c>
      <c r="K114" s="45" t="s">
        <v>398</v>
      </c>
      <c r="L114" s="46">
        <v>1</v>
      </c>
      <c r="M114" s="514"/>
      <c r="N114" s="79"/>
      <c r="O114" s="269" t="s">
        <v>17564</v>
      </c>
      <c r="P114" s="37" t="s">
        <v>398</v>
      </c>
      <c r="Q114" s="38">
        <v>0.25</v>
      </c>
      <c r="R114" s="79" t="s">
        <v>3575</v>
      </c>
      <c r="S114" s="43"/>
      <c r="T114" s="37"/>
      <c r="U114" s="38"/>
      <c r="V114" s="79"/>
      <c r="W114" s="208">
        <f>ROUND((ROUND((ROUND((ROUND((ROUND((_15_同援日４．５*_15・通訳),0)*_15・２人),0)*(1+_15・A深夜)),0)*(1+_15・盲ろう)),0)*(1+_15・区４)),0)</f>
        <v>1946</v>
      </c>
      <c r="X114" s="63"/>
    </row>
    <row r="115" spans="1:24" ht="16.5" customHeight="1" x14ac:dyDescent="0.15">
      <c r="A115" s="41">
        <v>15</v>
      </c>
      <c r="B115" s="41" t="s">
        <v>2793</v>
      </c>
      <c r="C115" s="74" t="s">
        <v>26676</v>
      </c>
      <c r="D115" s="114" t="s">
        <v>18713</v>
      </c>
      <c r="E115" s="49"/>
      <c r="F115" s="115"/>
      <c r="G115" s="53"/>
      <c r="H115" s="49"/>
      <c r="I115" s="50"/>
      <c r="J115" s="163"/>
      <c r="K115" s="45"/>
      <c r="L115" s="46"/>
      <c r="M115" s="515"/>
      <c r="N115" s="115"/>
      <c r="O115" s="53"/>
      <c r="P115" s="49"/>
      <c r="Q115" s="50"/>
      <c r="R115" s="115"/>
      <c r="S115" s="53"/>
      <c r="T115" s="49"/>
      <c r="U115" s="50"/>
      <c r="V115" s="115"/>
      <c r="W115" s="208">
        <f>ROUND((ROUND((_15_同援日５．０*_15・通訳),0)*(1+_15・A深夜)),0)</f>
        <v>1199</v>
      </c>
      <c r="X115" s="64"/>
    </row>
    <row r="116" spans="1:24" ht="16.5" customHeight="1" x14ac:dyDescent="0.15">
      <c r="A116" s="41">
        <v>15</v>
      </c>
      <c r="B116" s="41" t="s">
        <v>2795</v>
      </c>
      <c r="C116" s="74" t="s">
        <v>26677</v>
      </c>
      <c r="D116" s="72" t="s">
        <v>17805</v>
      </c>
      <c r="F116" s="57"/>
      <c r="G116" s="35"/>
      <c r="J116" s="299" t="s">
        <v>17556</v>
      </c>
      <c r="K116" s="45" t="s">
        <v>398</v>
      </c>
      <c r="L116" s="46">
        <v>1</v>
      </c>
      <c r="M116" s="512"/>
      <c r="N116" s="57"/>
      <c r="O116" s="43"/>
      <c r="P116" s="37"/>
      <c r="Q116" s="38"/>
      <c r="R116" s="79"/>
      <c r="S116" s="35"/>
      <c r="V116" s="57"/>
      <c r="W116" s="208">
        <f>ROUND((ROUND((ROUND((_15_同援日５．０*_15・通訳),0)*_15・２人),0)*(1+_15・A深夜)),0)</f>
        <v>1199</v>
      </c>
      <c r="X116" s="48"/>
    </row>
    <row r="117" spans="1:24" ht="16.5" customHeight="1" x14ac:dyDescent="0.15">
      <c r="A117" s="41">
        <v>15</v>
      </c>
      <c r="B117" s="41" t="s">
        <v>26678</v>
      </c>
      <c r="C117" s="74" t="s">
        <v>26679</v>
      </c>
      <c r="D117" s="72" t="s">
        <v>18716</v>
      </c>
      <c r="F117" s="57"/>
      <c r="G117" s="35"/>
      <c r="J117" s="163"/>
      <c r="K117" s="45"/>
      <c r="L117" s="46"/>
      <c r="M117" s="512"/>
      <c r="N117" s="57"/>
      <c r="O117" s="114" t="s">
        <v>17562</v>
      </c>
      <c r="P117" s="49"/>
      <c r="Q117" s="50"/>
      <c r="R117" s="115"/>
      <c r="S117" s="35"/>
      <c r="V117" s="57"/>
      <c r="W117" s="208">
        <f>ROUND((ROUND((ROUND((_15_同援日５．０*_15・通訳),0)*(1+_15・A深夜)),0)*(1+_15・盲ろう)),0)</f>
        <v>1499</v>
      </c>
      <c r="X117" s="48"/>
    </row>
    <row r="118" spans="1:24" ht="16.5" customHeight="1" x14ac:dyDescent="0.15">
      <c r="A118" s="41">
        <v>15</v>
      </c>
      <c r="B118" s="41" t="s">
        <v>26680</v>
      </c>
      <c r="C118" s="74" t="s">
        <v>26681</v>
      </c>
      <c r="D118" s="72"/>
      <c r="E118" s="168">
        <f>_15_同援日５．０</f>
        <v>888</v>
      </c>
      <c r="F118" s="57" t="s">
        <v>392</v>
      </c>
      <c r="G118" s="35"/>
      <c r="J118" s="299" t="s">
        <v>17556</v>
      </c>
      <c r="K118" s="45" t="s">
        <v>398</v>
      </c>
      <c r="L118" s="46">
        <v>1</v>
      </c>
      <c r="M118" s="512"/>
      <c r="N118" s="57"/>
      <c r="O118" s="269" t="s">
        <v>17564</v>
      </c>
      <c r="P118" s="37" t="s">
        <v>398</v>
      </c>
      <c r="Q118" s="38">
        <v>0.25</v>
      </c>
      <c r="R118" s="79" t="s">
        <v>3575</v>
      </c>
      <c r="S118" s="43"/>
      <c r="T118" s="37"/>
      <c r="U118" s="38"/>
      <c r="V118" s="79"/>
      <c r="W118" s="208">
        <f>ROUND((ROUND((ROUND((ROUND((_15_同援日５．０*_15・通訳),0)*_15・２人),0)*(1+_15・A深夜)),0)*(1+_15・盲ろう)),0)</f>
        <v>1499</v>
      </c>
      <c r="X118" s="48"/>
    </row>
    <row r="119" spans="1:24" ht="16.5" customHeight="1" x14ac:dyDescent="0.15">
      <c r="A119" s="41">
        <v>15</v>
      </c>
      <c r="B119" s="41" t="s">
        <v>26682</v>
      </c>
      <c r="C119" s="74" t="s">
        <v>26683</v>
      </c>
      <c r="D119" s="72"/>
      <c r="F119" s="57"/>
      <c r="G119" s="35"/>
      <c r="J119" s="163"/>
      <c r="K119" s="45"/>
      <c r="L119" s="46"/>
      <c r="M119" s="512"/>
      <c r="N119" s="57"/>
      <c r="O119" s="53"/>
      <c r="P119" s="49"/>
      <c r="Q119" s="50"/>
      <c r="R119" s="115"/>
      <c r="S119" s="114" t="s">
        <v>17570</v>
      </c>
      <c r="T119" s="49"/>
      <c r="U119" s="50"/>
      <c r="V119" s="115"/>
      <c r="W119" s="208">
        <f>ROUND((ROUND((ROUND((_15_同援日５．０*_15・通訳),0)*(1+_15・A深夜)),0)*(1+_15・区３)),0)</f>
        <v>1439</v>
      </c>
      <c r="X119" s="48"/>
    </row>
    <row r="120" spans="1:24" ht="16.5" customHeight="1" x14ac:dyDescent="0.15">
      <c r="A120" s="41">
        <v>15</v>
      </c>
      <c r="B120" s="41" t="s">
        <v>26684</v>
      </c>
      <c r="C120" s="74" t="s">
        <v>26685</v>
      </c>
      <c r="D120" s="72"/>
      <c r="F120" s="57"/>
      <c r="G120" s="35"/>
      <c r="J120" s="299" t="s">
        <v>17556</v>
      </c>
      <c r="K120" s="45" t="s">
        <v>398</v>
      </c>
      <c r="L120" s="46">
        <v>1</v>
      </c>
      <c r="M120" s="512"/>
      <c r="N120" s="57"/>
      <c r="O120" s="43"/>
      <c r="P120" s="37"/>
      <c r="Q120" s="38"/>
      <c r="R120" s="79"/>
      <c r="S120" s="92" t="s">
        <v>17572</v>
      </c>
      <c r="V120" s="57"/>
      <c r="W120" s="208">
        <f>ROUND((ROUND((ROUND((ROUND((_15_同援日５．０*_15・通訳),0)*_15・２人),0)*(1+_15・A深夜)),0)*(1+_15・区３)),0)</f>
        <v>1439</v>
      </c>
      <c r="X120" s="48"/>
    </row>
    <row r="121" spans="1:24" ht="16.5" customHeight="1" x14ac:dyDescent="0.15">
      <c r="A121" s="41">
        <v>15</v>
      </c>
      <c r="B121" s="41" t="s">
        <v>26686</v>
      </c>
      <c r="C121" s="74" t="s">
        <v>26687</v>
      </c>
      <c r="D121" s="72"/>
      <c r="F121" s="57"/>
      <c r="G121" s="35"/>
      <c r="J121" s="163"/>
      <c r="K121" s="45"/>
      <c r="L121" s="46"/>
      <c r="M121" s="512"/>
      <c r="N121" s="57"/>
      <c r="O121" s="114" t="s">
        <v>17562</v>
      </c>
      <c r="P121" s="49"/>
      <c r="Q121" s="50"/>
      <c r="R121" s="115"/>
      <c r="S121" s="35"/>
      <c r="T121" s="12" t="s">
        <v>398</v>
      </c>
      <c r="U121" s="13">
        <v>0.2</v>
      </c>
      <c r="V121" s="57" t="s">
        <v>3575</v>
      </c>
      <c r="W121" s="208">
        <f>ROUND((ROUND((ROUND((ROUND((_15_同援日５．０*_15・通訳),0)*(1+_15・A深夜)),0)*(1+_15・盲ろう)),0)*(1+_15・区３)),0)</f>
        <v>1799</v>
      </c>
      <c r="X121" s="48"/>
    </row>
    <row r="122" spans="1:24" ht="16.5" customHeight="1" x14ac:dyDescent="0.15">
      <c r="A122" s="41">
        <v>15</v>
      </c>
      <c r="B122" s="41" t="s">
        <v>26688</v>
      </c>
      <c r="C122" s="74" t="s">
        <v>26689</v>
      </c>
      <c r="D122" s="72"/>
      <c r="F122" s="57"/>
      <c r="G122" s="35"/>
      <c r="J122" s="299" t="s">
        <v>17556</v>
      </c>
      <c r="K122" s="45" t="s">
        <v>398</v>
      </c>
      <c r="L122" s="46">
        <v>1</v>
      </c>
      <c r="M122" s="512"/>
      <c r="N122" s="57"/>
      <c r="O122" s="269" t="s">
        <v>17564</v>
      </c>
      <c r="P122" s="37" t="s">
        <v>398</v>
      </c>
      <c r="Q122" s="38">
        <v>0.25</v>
      </c>
      <c r="R122" s="79" t="s">
        <v>3575</v>
      </c>
      <c r="S122" s="43"/>
      <c r="T122" s="37"/>
      <c r="U122" s="38"/>
      <c r="V122" s="79"/>
      <c r="W122" s="208">
        <f>ROUND((ROUND((ROUND((ROUND((ROUND((_15_同援日５．０*_15・通訳),0)*_15・２人),0)*(1+_15・A深夜)),0)*(1+_15・盲ろう)),0)*(1+_15・区３)),0)</f>
        <v>1799</v>
      </c>
      <c r="X122" s="48"/>
    </row>
    <row r="123" spans="1:24" ht="16.5" customHeight="1" x14ac:dyDescent="0.15">
      <c r="A123" s="41">
        <v>15</v>
      </c>
      <c r="B123" s="41" t="s">
        <v>26690</v>
      </c>
      <c r="C123" s="74" t="s">
        <v>26691</v>
      </c>
      <c r="D123" s="72"/>
      <c r="F123" s="57"/>
      <c r="G123" s="35"/>
      <c r="J123" s="163"/>
      <c r="K123" s="45"/>
      <c r="L123" s="46"/>
      <c r="M123" s="512"/>
      <c r="N123" s="57"/>
      <c r="O123" s="53"/>
      <c r="P123" s="49"/>
      <c r="Q123" s="50"/>
      <c r="R123" s="115"/>
      <c r="S123" s="114" t="s">
        <v>17580</v>
      </c>
      <c r="T123" s="49"/>
      <c r="U123" s="50"/>
      <c r="V123" s="115"/>
      <c r="W123" s="208">
        <f>ROUND((ROUND((ROUND((_15_同援日５．０*_15・通訳),0)*(1+_15・A深夜)),0)*(1+_15・区４)),0)</f>
        <v>1679</v>
      </c>
      <c r="X123" s="48"/>
    </row>
    <row r="124" spans="1:24" ht="16.5" customHeight="1" x14ac:dyDescent="0.15">
      <c r="A124" s="41">
        <v>15</v>
      </c>
      <c r="B124" s="41" t="s">
        <v>26692</v>
      </c>
      <c r="C124" s="74" t="s">
        <v>26693</v>
      </c>
      <c r="D124" s="72"/>
      <c r="F124" s="57"/>
      <c r="G124" s="35"/>
      <c r="J124" s="299" t="s">
        <v>17556</v>
      </c>
      <c r="K124" s="45" t="s">
        <v>398</v>
      </c>
      <c r="L124" s="46">
        <v>1</v>
      </c>
      <c r="M124" s="512"/>
      <c r="N124" s="57"/>
      <c r="O124" s="43"/>
      <c r="P124" s="37"/>
      <c r="Q124" s="38"/>
      <c r="R124" s="79"/>
      <c r="S124" s="92" t="s">
        <v>17572</v>
      </c>
      <c r="V124" s="57"/>
      <c r="W124" s="208">
        <f>ROUND((ROUND((ROUND((ROUND((_15_同援日５．０*_15・通訳),0)*_15・２人),0)*(1+_15・A深夜)),0)*(1+_15・区４)),0)</f>
        <v>1679</v>
      </c>
      <c r="X124" s="48"/>
    </row>
    <row r="125" spans="1:24" ht="16.5" customHeight="1" x14ac:dyDescent="0.15">
      <c r="A125" s="41">
        <v>15</v>
      </c>
      <c r="B125" s="41" t="s">
        <v>26694</v>
      </c>
      <c r="C125" s="74" t="s">
        <v>26695</v>
      </c>
      <c r="D125" s="72"/>
      <c r="F125" s="57"/>
      <c r="G125" s="35"/>
      <c r="J125" s="163"/>
      <c r="K125" s="45"/>
      <c r="L125" s="46"/>
      <c r="M125" s="512"/>
      <c r="N125" s="57"/>
      <c r="O125" s="114" t="s">
        <v>17562</v>
      </c>
      <c r="P125" s="49"/>
      <c r="Q125" s="50"/>
      <c r="R125" s="115"/>
      <c r="S125" s="35"/>
      <c r="T125" s="12" t="s">
        <v>398</v>
      </c>
      <c r="U125" s="13">
        <v>0.4</v>
      </c>
      <c r="V125" s="57" t="s">
        <v>3575</v>
      </c>
      <c r="W125" s="208">
        <f>ROUND((ROUND((ROUND((ROUND((_15_同援日５．０*_15・通訳),0)*(1+_15・A深夜)),0)*(1+_15・盲ろう)),0)*(1+_15・区４)),0)</f>
        <v>2099</v>
      </c>
      <c r="X125" s="48"/>
    </row>
    <row r="126" spans="1:24" ht="16.5" customHeight="1" x14ac:dyDescent="0.15">
      <c r="A126" s="41">
        <v>15</v>
      </c>
      <c r="B126" s="41" t="s">
        <v>26696</v>
      </c>
      <c r="C126" s="74" t="s">
        <v>26697</v>
      </c>
      <c r="D126" s="122"/>
      <c r="E126" s="37"/>
      <c r="F126" s="79"/>
      <c r="G126" s="35"/>
      <c r="J126" s="299" t="s">
        <v>17556</v>
      </c>
      <c r="K126" s="45" t="s">
        <v>398</v>
      </c>
      <c r="L126" s="46">
        <v>1</v>
      </c>
      <c r="M126" s="512"/>
      <c r="N126" s="57"/>
      <c r="O126" s="269" t="s">
        <v>17564</v>
      </c>
      <c r="P126" s="37" t="s">
        <v>398</v>
      </c>
      <c r="Q126" s="38">
        <v>0.25</v>
      </c>
      <c r="R126" s="79" t="s">
        <v>3575</v>
      </c>
      <c r="S126" s="43"/>
      <c r="T126" s="37"/>
      <c r="U126" s="38"/>
      <c r="V126" s="79"/>
      <c r="W126" s="208">
        <f>ROUND((ROUND((ROUND((ROUND((ROUND((_15_同援日５．０*_15・通訳),0)*_15・２人),0)*(1+_15・A深夜)),0)*(1+_15・盲ろう)),0)*(1+_15・区４)),0)</f>
        <v>2099</v>
      </c>
      <c r="X126" s="48"/>
    </row>
    <row r="127" spans="1:24" ht="16.5" customHeight="1" x14ac:dyDescent="0.15">
      <c r="A127" s="41">
        <v>15</v>
      </c>
      <c r="B127" s="41" t="s">
        <v>26698</v>
      </c>
      <c r="C127" s="74" t="s">
        <v>26699</v>
      </c>
      <c r="D127" s="114" t="s">
        <v>18739</v>
      </c>
      <c r="E127" s="49"/>
      <c r="F127" s="115"/>
      <c r="G127" s="35"/>
      <c r="J127" s="163"/>
      <c r="K127" s="45"/>
      <c r="L127" s="46"/>
      <c r="M127" s="512"/>
      <c r="N127" s="57"/>
      <c r="O127" s="53"/>
      <c r="P127" s="49"/>
      <c r="Q127" s="50"/>
      <c r="R127" s="115"/>
      <c r="S127" s="53"/>
      <c r="T127" s="49"/>
      <c r="U127" s="50"/>
      <c r="V127" s="115"/>
      <c r="W127" s="208">
        <f>ROUND((ROUND((_15_同援日５．５*_15・通訳),0)*(1+_15・A深夜)),0)</f>
        <v>1287</v>
      </c>
      <c r="X127" s="48"/>
    </row>
    <row r="128" spans="1:24" ht="16.5" customHeight="1" x14ac:dyDescent="0.15">
      <c r="A128" s="41">
        <v>15</v>
      </c>
      <c r="B128" s="41" t="s">
        <v>26700</v>
      </c>
      <c r="C128" s="74" t="s">
        <v>26701</v>
      </c>
      <c r="D128" s="72" t="s">
        <v>17832</v>
      </c>
      <c r="F128" s="57"/>
      <c r="G128" s="35"/>
      <c r="J128" s="299" t="s">
        <v>17556</v>
      </c>
      <c r="K128" s="45" t="s">
        <v>398</v>
      </c>
      <c r="L128" s="46">
        <v>1</v>
      </c>
      <c r="M128" s="512"/>
      <c r="N128" s="57"/>
      <c r="O128" s="43"/>
      <c r="P128" s="37"/>
      <c r="Q128" s="38"/>
      <c r="R128" s="79"/>
      <c r="S128" s="35"/>
      <c r="V128" s="57"/>
      <c r="W128" s="208">
        <f>ROUND((ROUND((ROUND((_15_同援日５．５*_15・通訳),0)*_15・２人),0)*(1+_15・A深夜)),0)</f>
        <v>1287</v>
      </c>
      <c r="X128" s="48"/>
    </row>
    <row r="129" spans="1:24" ht="16.5" customHeight="1" x14ac:dyDescent="0.15">
      <c r="A129" s="41">
        <v>15</v>
      </c>
      <c r="B129" s="41" t="s">
        <v>26702</v>
      </c>
      <c r="C129" s="74" t="s">
        <v>26703</v>
      </c>
      <c r="D129" s="72" t="s">
        <v>18742</v>
      </c>
      <c r="F129" s="57"/>
      <c r="G129" s="35"/>
      <c r="J129" s="163"/>
      <c r="K129" s="45"/>
      <c r="L129" s="46"/>
      <c r="M129" s="512"/>
      <c r="N129" s="57"/>
      <c r="O129" s="114" t="s">
        <v>17562</v>
      </c>
      <c r="P129" s="49"/>
      <c r="Q129" s="50"/>
      <c r="R129" s="115"/>
      <c r="S129" s="35"/>
      <c r="V129" s="57"/>
      <c r="W129" s="208">
        <f>ROUND((ROUND((ROUND((_15_同援日５．５*_15・通訳),0)*(1+_15・A深夜)),0)*(1+_15・盲ろう)),0)</f>
        <v>1609</v>
      </c>
      <c r="X129" s="48"/>
    </row>
    <row r="130" spans="1:24" ht="16.5" customHeight="1" x14ac:dyDescent="0.15">
      <c r="A130" s="41">
        <v>15</v>
      </c>
      <c r="B130" s="41" t="s">
        <v>26704</v>
      </c>
      <c r="C130" s="74" t="s">
        <v>26705</v>
      </c>
      <c r="D130" s="72"/>
      <c r="E130" s="168">
        <f>_15_同援日５．５</f>
        <v>953</v>
      </c>
      <c r="F130" s="57" t="s">
        <v>392</v>
      </c>
      <c r="G130" s="35"/>
      <c r="J130" s="299" t="s">
        <v>17556</v>
      </c>
      <c r="K130" s="45" t="s">
        <v>398</v>
      </c>
      <c r="L130" s="46">
        <v>1</v>
      </c>
      <c r="M130" s="512"/>
      <c r="N130" s="57"/>
      <c r="O130" s="269" t="s">
        <v>17564</v>
      </c>
      <c r="P130" s="37" t="s">
        <v>398</v>
      </c>
      <c r="Q130" s="38">
        <v>0.25</v>
      </c>
      <c r="R130" s="79" t="s">
        <v>3575</v>
      </c>
      <c r="S130" s="43"/>
      <c r="T130" s="37"/>
      <c r="U130" s="38"/>
      <c r="V130" s="79"/>
      <c r="W130" s="208">
        <f>ROUND((ROUND((ROUND((ROUND((_15_同援日５．５*_15・通訳),0)*_15・２人),0)*(1+_15・A深夜)),0)*(1+_15・盲ろう)),0)</f>
        <v>1609</v>
      </c>
      <c r="X130" s="48"/>
    </row>
    <row r="131" spans="1:24" ht="16.5" customHeight="1" x14ac:dyDescent="0.15">
      <c r="A131" s="41">
        <v>15</v>
      </c>
      <c r="B131" s="41" t="s">
        <v>26706</v>
      </c>
      <c r="C131" s="74" t="s">
        <v>26707</v>
      </c>
      <c r="D131" s="72"/>
      <c r="F131" s="57"/>
      <c r="G131" s="35"/>
      <c r="J131" s="163"/>
      <c r="K131" s="45"/>
      <c r="L131" s="46"/>
      <c r="M131" s="512"/>
      <c r="N131" s="57"/>
      <c r="O131" s="53"/>
      <c r="P131" s="49"/>
      <c r="Q131" s="50"/>
      <c r="R131" s="115"/>
      <c r="S131" s="114" t="s">
        <v>17570</v>
      </c>
      <c r="T131" s="49"/>
      <c r="U131" s="50"/>
      <c r="V131" s="115"/>
      <c r="W131" s="208">
        <f>ROUND((ROUND((ROUND((_15_同援日５．５*_15・通訳),0)*(1+_15・A深夜)),0)*(1+_15・区３)),0)</f>
        <v>1544</v>
      </c>
      <c r="X131" s="48"/>
    </row>
    <row r="132" spans="1:24" ht="16.5" customHeight="1" x14ac:dyDescent="0.15">
      <c r="A132" s="41">
        <v>15</v>
      </c>
      <c r="B132" s="41" t="s">
        <v>26708</v>
      </c>
      <c r="C132" s="74" t="s">
        <v>26709</v>
      </c>
      <c r="D132" s="72"/>
      <c r="F132" s="57"/>
      <c r="G132" s="35"/>
      <c r="J132" s="299" t="s">
        <v>17556</v>
      </c>
      <c r="K132" s="45" t="s">
        <v>398</v>
      </c>
      <c r="L132" s="46">
        <v>1</v>
      </c>
      <c r="M132" s="512"/>
      <c r="N132" s="57"/>
      <c r="O132" s="43"/>
      <c r="P132" s="37"/>
      <c r="Q132" s="38"/>
      <c r="R132" s="79"/>
      <c r="S132" s="92" t="s">
        <v>17572</v>
      </c>
      <c r="V132" s="57"/>
      <c r="W132" s="208">
        <f>ROUND((ROUND((ROUND((ROUND((_15_同援日５．５*_15・通訳),0)*_15・２人),0)*(1+_15・A深夜)),0)*(1+_15・区３)),0)</f>
        <v>1544</v>
      </c>
      <c r="X132" s="48"/>
    </row>
    <row r="133" spans="1:24" ht="16.5" customHeight="1" x14ac:dyDescent="0.15">
      <c r="A133" s="41">
        <v>15</v>
      </c>
      <c r="B133" s="41" t="s">
        <v>2801</v>
      </c>
      <c r="C133" s="74" t="s">
        <v>26710</v>
      </c>
      <c r="D133" s="72"/>
      <c r="F133" s="57"/>
      <c r="G133" s="35"/>
      <c r="J133" s="163"/>
      <c r="K133" s="45"/>
      <c r="L133" s="46"/>
      <c r="M133" s="512"/>
      <c r="N133" s="57"/>
      <c r="O133" s="114" t="s">
        <v>17562</v>
      </c>
      <c r="P133" s="49"/>
      <c r="Q133" s="50"/>
      <c r="R133" s="115"/>
      <c r="S133" s="35"/>
      <c r="T133" s="12" t="s">
        <v>398</v>
      </c>
      <c r="U133" s="13">
        <v>0.2</v>
      </c>
      <c r="V133" s="57" t="s">
        <v>3575</v>
      </c>
      <c r="W133" s="208">
        <f>ROUND((ROUND((ROUND((ROUND((_15_同援日５．５*_15・通訳),0)*(1+_15・A深夜)),0)*(1+_15・盲ろう)),0)*(1+_15・区３)),0)</f>
        <v>1931</v>
      </c>
      <c r="X133" s="48"/>
    </row>
    <row r="134" spans="1:24" ht="16.5" customHeight="1" x14ac:dyDescent="0.15">
      <c r="A134" s="41">
        <v>15</v>
      </c>
      <c r="B134" s="41" t="s">
        <v>2803</v>
      </c>
      <c r="C134" s="74" t="s">
        <v>26711</v>
      </c>
      <c r="D134" s="72"/>
      <c r="F134" s="57"/>
      <c r="G134" s="35"/>
      <c r="J134" s="299" t="s">
        <v>17556</v>
      </c>
      <c r="K134" s="45" t="s">
        <v>398</v>
      </c>
      <c r="L134" s="46">
        <v>1</v>
      </c>
      <c r="M134" s="512"/>
      <c r="N134" s="57"/>
      <c r="O134" s="269" t="s">
        <v>17564</v>
      </c>
      <c r="P134" s="37" t="s">
        <v>398</v>
      </c>
      <c r="Q134" s="38">
        <v>0.25</v>
      </c>
      <c r="R134" s="79" t="s">
        <v>3575</v>
      </c>
      <c r="S134" s="43"/>
      <c r="T134" s="37"/>
      <c r="U134" s="38"/>
      <c r="V134" s="79"/>
      <c r="W134" s="208">
        <f>ROUND((ROUND((ROUND((ROUND((ROUND((_15_同援日５．５*_15・通訳),0)*_15・２人),0)*(1+_15・A深夜)),0)*(1+_15・盲ろう)),0)*(1+_15・区３)),0)</f>
        <v>1931</v>
      </c>
      <c r="X134" s="48"/>
    </row>
    <row r="135" spans="1:24" ht="16.5" customHeight="1" x14ac:dyDescent="0.15">
      <c r="A135" s="41">
        <v>15</v>
      </c>
      <c r="B135" s="41" t="s">
        <v>2805</v>
      </c>
      <c r="C135" s="74" t="s">
        <v>26712</v>
      </c>
      <c r="D135" s="72"/>
      <c r="F135" s="57"/>
      <c r="G135" s="35"/>
      <c r="J135" s="163"/>
      <c r="K135" s="45"/>
      <c r="L135" s="46"/>
      <c r="M135" s="512"/>
      <c r="N135" s="57"/>
      <c r="O135" s="53"/>
      <c r="P135" s="49"/>
      <c r="Q135" s="50"/>
      <c r="R135" s="115"/>
      <c r="S135" s="114" t="s">
        <v>17580</v>
      </c>
      <c r="T135" s="49"/>
      <c r="U135" s="50"/>
      <c r="V135" s="115"/>
      <c r="W135" s="208">
        <f>ROUND((ROUND((ROUND((_15_同援日５．５*_15・通訳),0)*(1+_15・A深夜)),0)*(1+_15・区４)),0)</f>
        <v>1802</v>
      </c>
      <c r="X135" s="48"/>
    </row>
    <row r="136" spans="1:24" ht="16.5" customHeight="1" x14ac:dyDescent="0.15">
      <c r="A136" s="41">
        <v>15</v>
      </c>
      <c r="B136" s="41" t="s">
        <v>2807</v>
      </c>
      <c r="C136" s="74" t="s">
        <v>26713</v>
      </c>
      <c r="D136" s="72"/>
      <c r="F136" s="57"/>
      <c r="G136" s="35"/>
      <c r="J136" s="299" t="s">
        <v>17556</v>
      </c>
      <c r="K136" s="45" t="s">
        <v>398</v>
      </c>
      <c r="L136" s="46">
        <v>1</v>
      </c>
      <c r="M136" s="512"/>
      <c r="N136" s="57"/>
      <c r="O136" s="43"/>
      <c r="P136" s="37"/>
      <c r="Q136" s="38"/>
      <c r="R136" s="79"/>
      <c r="S136" s="92" t="s">
        <v>17572</v>
      </c>
      <c r="V136" s="57"/>
      <c r="W136" s="208">
        <f>ROUND((ROUND((ROUND((ROUND((_15_同援日５．５*_15・通訳),0)*_15・２人),0)*(1+_15・A深夜)),0)*(1+_15・区４)),0)</f>
        <v>1802</v>
      </c>
      <c r="X136" s="48"/>
    </row>
    <row r="137" spans="1:24" ht="16.5" customHeight="1" x14ac:dyDescent="0.15">
      <c r="A137" s="41">
        <v>15</v>
      </c>
      <c r="B137" s="41" t="s">
        <v>26714</v>
      </c>
      <c r="C137" s="74" t="s">
        <v>26715</v>
      </c>
      <c r="D137" s="72"/>
      <c r="F137" s="57"/>
      <c r="G137" s="35"/>
      <c r="J137" s="163"/>
      <c r="K137" s="45"/>
      <c r="L137" s="46"/>
      <c r="M137" s="512"/>
      <c r="N137" s="57"/>
      <c r="O137" s="114" t="s">
        <v>17562</v>
      </c>
      <c r="P137" s="49"/>
      <c r="Q137" s="50"/>
      <c r="R137" s="115"/>
      <c r="S137" s="35"/>
      <c r="T137" s="12" t="s">
        <v>398</v>
      </c>
      <c r="U137" s="13">
        <v>0.4</v>
      </c>
      <c r="V137" s="57" t="s">
        <v>3575</v>
      </c>
      <c r="W137" s="208">
        <f>ROUND((ROUND((ROUND((ROUND((_15_同援日５．５*_15・通訳),0)*(1+_15・A深夜)),0)*(1+_15・盲ろう)),0)*(1+_15・区４)),0)</f>
        <v>2253</v>
      </c>
      <c r="X137" s="48"/>
    </row>
    <row r="138" spans="1:24" ht="16.5" customHeight="1" x14ac:dyDescent="0.15">
      <c r="A138" s="41">
        <v>15</v>
      </c>
      <c r="B138" s="41" t="s">
        <v>26716</v>
      </c>
      <c r="C138" s="74" t="s">
        <v>26717</v>
      </c>
      <c r="D138" s="122"/>
      <c r="E138" s="37"/>
      <c r="F138" s="79"/>
      <c r="G138" s="35"/>
      <c r="J138" s="299" t="s">
        <v>17556</v>
      </c>
      <c r="K138" s="45" t="s">
        <v>398</v>
      </c>
      <c r="L138" s="46">
        <v>1</v>
      </c>
      <c r="M138" s="512"/>
      <c r="N138" s="57"/>
      <c r="O138" s="269" t="s">
        <v>17564</v>
      </c>
      <c r="P138" s="37" t="s">
        <v>398</v>
      </c>
      <c r="Q138" s="38">
        <v>0.25</v>
      </c>
      <c r="R138" s="79" t="s">
        <v>3575</v>
      </c>
      <c r="S138" s="43"/>
      <c r="T138" s="37"/>
      <c r="U138" s="38"/>
      <c r="V138" s="79"/>
      <c r="W138" s="208">
        <f>ROUND((ROUND((ROUND((ROUND((ROUND((_15_同援日５．５*_15・通訳),0)*_15・２人),0)*(1+_15・A深夜)),0)*(1+_15・盲ろう)),0)*(1+_15・区４)),0)</f>
        <v>2253</v>
      </c>
      <c r="X138" s="48"/>
    </row>
    <row r="139" spans="1:24" ht="16.5" customHeight="1" x14ac:dyDescent="0.15">
      <c r="A139" s="41">
        <v>15</v>
      </c>
      <c r="B139" s="41" t="s">
        <v>26718</v>
      </c>
      <c r="C139" s="74" t="s">
        <v>26719</v>
      </c>
      <c r="D139" s="114" t="s">
        <v>18765</v>
      </c>
      <c r="E139" s="49"/>
      <c r="F139" s="115"/>
      <c r="G139" s="35"/>
      <c r="J139" s="163"/>
      <c r="K139" s="45"/>
      <c r="L139" s="46"/>
      <c r="M139" s="512"/>
      <c r="N139" s="57"/>
      <c r="O139" s="53"/>
      <c r="P139" s="49"/>
      <c r="Q139" s="50"/>
      <c r="R139" s="115"/>
      <c r="S139" s="53"/>
      <c r="T139" s="49"/>
      <c r="U139" s="50"/>
      <c r="V139" s="115"/>
      <c r="W139" s="208">
        <f>ROUND((ROUND((_15_同援日６．０*_15・通訳),0)*(1+_15・A深夜)),0)</f>
        <v>1374</v>
      </c>
      <c r="X139" s="48"/>
    </row>
    <row r="140" spans="1:24" ht="16.5" customHeight="1" x14ac:dyDescent="0.15">
      <c r="A140" s="41">
        <v>15</v>
      </c>
      <c r="B140" s="41" t="s">
        <v>26720</v>
      </c>
      <c r="C140" s="74" t="s">
        <v>26721</v>
      </c>
      <c r="D140" s="72" t="s">
        <v>17859</v>
      </c>
      <c r="F140" s="57"/>
      <c r="G140" s="35"/>
      <c r="J140" s="299" t="s">
        <v>17556</v>
      </c>
      <c r="K140" s="45" t="s">
        <v>398</v>
      </c>
      <c r="L140" s="46">
        <v>1</v>
      </c>
      <c r="M140" s="512"/>
      <c r="N140" s="57"/>
      <c r="O140" s="43"/>
      <c r="P140" s="37"/>
      <c r="Q140" s="38"/>
      <c r="R140" s="79"/>
      <c r="S140" s="35"/>
      <c r="V140" s="57"/>
      <c r="W140" s="208">
        <f>ROUND((ROUND((ROUND((_15_同援日６．０*_15・通訳),0)*_15・２人),0)*(1+_15・A深夜)),0)</f>
        <v>1374</v>
      </c>
      <c r="X140" s="48"/>
    </row>
    <row r="141" spans="1:24" ht="16.5" customHeight="1" x14ac:dyDescent="0.15">
      <c r="A141" s="41">
        <v>15</v>
      </c>
      <c r="B141" s="41" t="s">
        <v>26722</v>
      </c>
      <c r="C141" s="74" t="s">
        <v>26723</v>
      </c>
      <c r="D141" s="72" t="s">
        <v>18768</v>
      </c>
      <c r="F141" s="57"/>
      <c r="G141" s="35"/>
      <c r="J141" s="163"/>
      <c r="K141" s="45"/>
      <c r="L141" s="46"/>
      <c r="M141" s="512"/>
      <c r="N141" s="57"/>
      <c r="O141" s="114" t="s">
        <v>17562</v>
      </c>
      <c r="P141" s="49"/>
      <c r="Q141" s="50"/>
      <c r="R141" s="115"/>
      <c r="S141" s="35"/>
      <c r="V141" s="57"/>
      <c r="W141" s="208">
        <f>ROUND((ROUND((ROUND((_15_同援日６．０*_15・通訳),0)*(1+_15・A深夜)),0)*(1+_15・盲ろう)),0)</f>
        <v>1718</v>
      </c>
      <c r="X141" s="48"/>
    </row>
    <row r="142" spans="1:24" ht="16.5" customHeight="1" x14ac:dyDescent="0.15">
      <c r="A142" s="41">
        <v>15</v>
      </c>
      <c r="B142" s="41" t="s">
        <v>26724</v>
      </c>
      <c r="C142" s="74" t="s">
        <v>26725</v>
      </c>
      <c r="D142" s="72"/>
      <c r="E142" s="168">
        <f>_15_同援日６．０</f>
        <v>1018</v>
      </c>
      <c r="F142" s="57" t="s">
        <v>392</v>
      </c>
      <c r="G142" s="35"/>
      <c r="J142" s="299" t="s">
        <v>17556</v>
      </c>
      <c r="K142" s="45" t="s">
        <v>398</v>
      </c>
      <c r="L142" s="46">
        <v>1</v>
      </c>
      <c r="M142" s="512"/>
      <c r="N142" s="57"/>
      <c r="O142" s="269" t="s">
        <v>17564</v>
      </c>
      <c r="P142" s="37" t="s">
        <v>398</v>
      </c>
      <c r="Q142" s="38">
        <v>0.25</v>
      </c>
      <c r="R142" s="79" t="s">
        <v>3575</v>
      </c>
      <c r="S142" s="43"/>
      <c r="T142" s="37"/>
      <c r="U142" s="38"/>
      <c r="V142" s="79"/>
      <c r="W142" s="208">
        <f>ROUND((ROUND((ROUND((ROUND((_15_同援日６．０*_15・通訳),0)*_15・２人),0)*(1+_15・A深夜)),0)*(1+_15・盲ろう)),0)</f>
        <v>1718</v>
      </c>
      <c r="X142" s="48"/>
    </row>
    <row r="143" spans="1:24" ht="16.5" customHeight="1" x14ac:dyDescent="0.15">
      <c r="A143" s="41">
        <v>15</v>
      </c>
      <c r="B143" s="41" t="s">
        <v>26726</v>
      </c>
      <c r="C143" s="74" t="s">
        <v>26727</v>
      </c>
      <c r="D143" s="72"/>
      <c r="F143" s="57"/>
      <c r="G143" s="35"/>
      <c r="J143" s="163"/>
      <c r="K143" s="45"/>
      <c r="L143" s="46"/>
      <c r="M143" s="512"/>
      <c r="N143" s="57"/>
      <c r="O143" s="53"/>
      <c r="P143" s="49"/>
      <c r="Q143" s="50"/>
      <c r="R143" s="115"/>
      <c r="S143" s="114" t="s">
        <v>17570</v>
      </c>
      <c r="T143" s="49"/>
      <c r="U143" s="50"/>
      <c r="V143" s="115"/>
      <c r="W143" s="208">
        <f>ROUND((ROUND((ROUND((_15_同援日６．０*_15・通訳),0)*(1+_15・A深夜)),0)*(1+_15・区３)),0)</f>
        <v>1649</v>
      </c>
      <c r="X143" s="48"/>
    </row>
    <row r="144" spans="1:24" ht="16.5" customHeight="1" x14ac:dyDescent="0.15">
      <c r="A144" s="41">
        <v>15</v>
      </c>
      <c r="B144" s="41" t="s">
        <v>26728</v>
      </c>
      <c r="C144" s="74" t="s">
        <v>26729</v>
      </c>
      <c r="D144" s="72"/>
      <c r="F144" s="57"/>
      <c r="G144" s="35"/>
      <c r="J144" s="299" t="s">
        <v>17556</v>
      </c>
      <c r="K144" s="45" t="s">
        <v>398</v>
      </c>
      <c r="L144" s="46">
        <v>1</v>
      </c>
      <c r="M144" s="512"/>
      <c r="N144" s="57"/>
      <c r="O144" s="43"/>
      <c r="P144" s="37"/>
      <c r="Q144" s="38"/>
      <c r="R144" s="79"/>
      <c r="S144" s="92" t="s">
        <v>17572</v>
      </c>
      <c r="V144" s="57"/>
      <c r="W144" s="208">
        <f>ROUND((ROUND((ROUND((ROUND((_15_同援日６．０*_15・通訳),0)*_15・２人),0)*(1+_15・A深夜)),0)*(1+_15・区３)),0)</f>
        <v>1649</v>
      </c>
      <c r="X144" s="48"/>
    </row>
    <row r="145" spans="1:24" ht="16.5" customHeight="1" x14ac:dyDescent="0.15">
      <c r="A145" s="41">
        <v>15</v>
      </c>
      <c r="B145" s="41" t="s">
        <v>26730</v>
      </c>
      <c r="C145" s="74" t="s">
        <v>26731</v>
      </c>
      <c r="D145" s="72"/>
      <c r="F145" s="57"/>
      <c r="G145" s="35"/>
      <c r="J145" s="163"/>
      <c r="K145" s="45"/>
      <c r="L145" s="46"/>
      <c r="M145" s="512"/>
      <c r="N145" s="57"/>
      <c r="O145" s="114" t="s">
        <v>17562</v>
      </c>
      <c r="P145" s="49"/>
      <c r="Q145" s="50"/>
      <c r="R145" s="115"/>
      <c r="S145" s="35"/>
      <c r="T145" s="12" t="s">
        <v>398</v>
      </c>
      <c r="U145" s="13">
        <v>0.2</v>
      </c>
      <c r="V145" s="57" t="s">
        <v>3575</v>
      </c>
      <c r="W145" s="208">
        <f>ROUND((ROUND((ROUND((ROUND((_15_同援日６．０*_15・通訳),0)*(1+_15・A深夜)),0)*(1+_15・盲ろう)),0)*(1+_15・区３)),0)</f>
        <v>2062</v>
      </c>
      <c r="X145" s="48"/>
    </row>
    <row r="146" spans="1:24" ht="16.5" customHeight="1" x14ac:dyDescent="0.15">
      <c r="A146" s="41">
        <v>15</v>
      </c>
      <c r="B146" s="41" t="s">
        <v>26732</v>
      </c>
      <c r="C146" s="74" t="s">
        <v>26733</v>
      </c>
      <c r="D146" s="72"/>
      <c r="F146" s="57"/>
      <c r="G146" s="35"/>
      <c r="J146" s="299" t="s">
        <v>17556</v>
      </c>
      <c r="K146" s="45" t="s">
        <v>398</v>
      </c>
      <c r="L146" s="46">
        <v>1</v>
      </c>
      <c r="M146" s="512"/>
      <c r="N146" s="57"/>
      <c r="O146" s="269" t="s">
        <v>17564</v>
      </c>
      <c r="P146" s="37" t="s">
        <v>398</v>
      </c>
      <c r="Q146" s="38">
        <v>0.25</v>
      </c>
      <c r="R146" s="79" t="s">
        <v>3575</v>
      </c>
      <c r="S146" s="43"/>
      <c r="T146" s="37"/>
      <c r="U146" s="38"/>
      <c r="V146" s="79"/>
      <c r="W146" s="208">
        <f>ROUND((ROUND((ROUND((ROUND((ROUND((_15_同援日６．０*_15・通訳),0)*_15・２人),0)*(1+_15・A深夜)),0)*(1+_15・盲ろう)),0)*(1+_15・区３)),0)</f>
        <v>2062</v>
      </c>
      <c r="X146" s="48"/>
    </row>
    <row r="147" spans="1:24" ht="16.5" customHeight="1" x14ac:dyDescent="0.15">
      <c r="A147" s="41">
        <v>15</v>
      </c>
      <c r="B147" s="41" t="s">
        <v>26734</v>
      </c>
      <c r="C147" s="74" t="s">
        <v>26735</v>
      </c>
      <c r="D147" s="72"/>
      <c r="F147" s="57"/>
      <c r="G147" s="35"/>
      <c r="J147" s="163"/>
      <c r="K147" s="45"/>
      <c r="L147" s="46"/>
      <c r="M147" s="512"/>
      <c r="N147" s="57"/>
      <c r="O147" s="53"/>
      <c r="P147" s="49"/>
      <c r="Q147" s="50"/>
      <c r="R147" s="115"/>
      <c r="S147" s="114" t="s">
        <v>17580</v>
      </c>
      <c r="T147" s="49"/>
      <c r="U147" s="50"/>
      <c r="V147" s="115"/>
      <c r="W147" s="208">
        <f>ROUND((ROUND((ROUND((_15_同援日６．０*_15・通訳),0)*(1+_15・A深夜)),0)*(1+_15・区４)),0)</f>
        <v>1924</v>
      </c>
      <c r="X147" s="48"/>
    </row>
    <row r="148" spans="1:24" ht="16.5" customHeight="1" x14ac:dyDescent="0.15">
      <c r="A148" s="41">
        <v>15</v>
      </c>
      <c r="B148" s="41" t="s">
        <v>26736</v>
      </c>
      <c r="C148" s="74" t="s">
        <v>26737</v>
      </c>
      <c r="D148" s="72"/>
      <c r="F148" s="57"/>
      <c r="G148" s="35"/>
      <c r="J148" s="299" t="s">
        <v>17556</v>
      </c>
      <c r="K148" s="45" t="s">
        <v>398</v>
      </c>
      <c r="L148" s="46">
        <v>1</v>
      </c>
      <c r="M148" s="512"/>
      <c r="N148" s="57"/>
      <c r="O148" s="43"/>
      <c r="P148" s="37"/>
      <c r="Q148" s="38"/>
      <c r="R148" s="79"/>
      <c r="S148" s="92" t="s">
        <v>17572</v>
      </c>
      <c r="V148" s="57"/>
      <c r="W148" s="208">
        <f>ROUND((ROUND((ROUND((ROUND((_15_同援日６．０*_15・通訳),0)*_15・２人),0)*(1+_15・A深夜)),0)*(1+_15・区４)),0)</f>
        <v>1924</v>
      </c>
      <c r="X148" s="48"/>
    </row>
    <row r="149" spans="1:24" ht="16.5" customHeight="1" x14ac:dyDescent="0.15">
      <c r="A149" s="41">
        <v>15</v>
      </c>
      <c r="B149" s="41" t="s">
        <v>26738</v>
      </c>
      <c r="C149" s="74" t="s">
        <v>26739</v>
      </c>
      <c r="D149" s="72"/>
      <c r="F149" s="57"/>
      <c r="G149" s="35"/>
      <c r="J149" s="163"/>
      <c r="K149" s="45"/>
      <c r="L149" s="46"/>
      <c r="M149" s="512"/>
      <c r="N149" s="57"/>
      <c r="O149" s="114" t="s">
        <v>17562</v>
      </c>
      <c r="P149" s="49"/>
      <c r="Q149" s="50"/>
      <c r="R149" s="115"/>
      <c r="S149" s="35"/>
      <c r="T149" s="12" t="s">
        <v>398</v>
      </c>
      <c r="U149" s="13">
        <v>0.4</v>
      </c>
      <c r="V149" s="57" t="s">
        <v>3575</v>
      </c>
      <c r="W149" s="208">
        <f>ROUND((ROUND((ROUND((ROUND((_15_同援日６．０*_15・通訳),0)*(1+_15・A深夜)),0)*(1+_15・盲ろう)),0)*(1+_15・区４)),0)</f>
        <v>2405</v>
      </c>
      <c r="X149" s="48"/>
    </row>
    <row r="150" spans="1:24" ht="16.5" customHeight="1" x14ac:dyDescent="0.15">
      <c r="A150" s="41">
        <v>15</v>
      </c>
      <c r="B150" s="41" t="s">
        <v>26740</v>
      </c>
      <c r="C150" s="74" t="s">
        <v>26741</v>
      </c>
      <c r="D150" s="122"/>
      <c r="E150" s="37"/>
      <c r="F150" s="79"/>
      <c r="G150" s="35"/>
      <c r="J150" s="299" t="s">
        <v>17556</v>
      </c>
      <c r="K150" s="45" t="s">
        <v>398</v>
      </c>
      <c r="L150" s="46">
        <v>1</v>
      </c>
      <c r="M150" s="512"/>
      <c r="N150" s="57"/>
      <c r="O150" s="269" t="s">
        <v>17564</v>
      </c>
      <c r="P150" s="37" t="s">
        <v>398</v>
      </c>
      <c r="Q150" s="38">
        <v>0.25</v>
      </c>
      <c r="R150" s="79" t="s">
        <v>3575</v>
      </c>
      <c r="S150" s="43"/>
      <c r="T150" s="37"/>
      <c r="U150" s="38"/>
      <c r="V150" s="79"/>
      <c r="W150" s="208">
        <f>ROUND((ROUND((ROUND((ROUND((ROUND((_15_同援日６．０*_15・通訳),0)*_15・２人),0)*(1+_15・A深夜)),0)*(1+_15・盲ろう)),0)*(1+_15・区４)),0)</f>
        <v>2405</v>
      </c>
      <c r="X150" s="48"/>
    </row>
    <row r="151" spans="1:24" ht="16.5" customHeight="1" x14ac:dyDescent="0.15">
      <c r="A151" s="41">
        <v>15</v>
      </c>
      <c r="B151" s="41" t="s">
        <v>26742</v>
      </c>
      <c r="C151" s="74" t="s">
        <v>26743</v>
      </c>
      <c r="D151" s="114" t="s">
        <v>18791</v>
      </c>
      <c r="E151" s="49"/>
      <c r="F151" s="115"/>
      <c r="G151" s="35"/>
      <c r="J151" s="163"/>
      <c r="K151" s="45"/>
      <c r="L151" s="46"/>
      <c r="M151" s="512"/>
      <c r="N151" s="57"/>
      <c r="O151" s="53"/>
      <c r="P151" s="49"/>
      <c r="Q151" s="50"/>
      <c r="R151" s="115"/>
      <c r="S151" s="53"/>
      <c r="T151" s="49"/>
      <c r="U151" s="50"/>
      <c r="V151" s="115"/>
      <c r="W151" s="208">
        <f>ROUND((ROUND((_15_同援日６．５*_15・通訳),0)*(1+_15・A深夜)),0)</f>
        <v>1463</v>
      </c>
      <c r="X151" s="48"/>
    </row>
    <row r="152" spans="1:24" ht="16.5" customHeight="1" x14ac:dyDescent="0.15">
      <c r="A152" s="41">
        <v>15</v>
      </c>
      <c r="B152" s="41" t="s">
        <v>26744</v>
      </c>
      <c r="C152" s="74" t="s">
        <v>26745</v>
      </c>
      <c r="D152" s="72" t="s">
        <v>17886</v>
      </c>
      <c r="F152" s="57"/>
      <c r="G152" s="35"/>
      <c r="J152" s="299" t="s">
        <v>17556</v>
      </c>
      <c r="K152" s="45" t="s">
        <v>398</v>
      </c>
      <c r="L152" s="46">
        <v>1</v>
      </c>
      <c r="M152" s="512"/>
      <c r="N152" s="57"/>
      <c r="O152" s="43"/>
      <c r="P152" s="37"/>
      <c r="Q152" s="38"/>
      <c r="R152" s="79"/>
      <c r="S152" s="35"/>
      <c r="V152" s="57"/>
      <c r="W152" s="208">
        <f>ROUND((ROUND((ROUND((_15_同援日６．５*_15・通訳),0)*_15・２人),0)*(1+_15・A深夜)),0)</f>
        <v>1463</v>
      </c>
      <c r="X152" s="48"/>
    </row>
    <row r="153" spans="1:24" ht="16.5" customHeight="1" x14ac:dyDescent="0.15">
      <c r="A153" s="41">
        <v>15</v>
      </c>
      <c r="B153" s="41" t="s">
        <v>2813</v>
      </c>
      <c r="C153" s="74" t="s">
        <v>26746</v>
      </c>
      <c r="D153" s="72" t="s">
        <v>18794</v>
      </c>
      <c r="F153" s="57"/>
      <c r="G153" s="35"/>
      <c r="J153" s="163"/>
      <c r="K153" s="45"/>
      <c r="L153" s="46"/>
      <c r="M153" s="512"/>
      <c r="N153" s="57"/>
      <c r="O153" s="114" t="s">
        <v>17562</v>
      </c>
      <c r="P153" s="49"/>
      <c r="Q153" s="50"/>
      <c r="R153" s="115"/>
      <c r="S153" s="35"/>
      <c r="V153" s="57"/>
      <c r="W153" s="208">
        <f>ROUND((ROUND((ROUND((_15_同援日６．５*_15・通訳),0)*(1+_15・A深夜)),0)*(1+_15・盲ろう)),0)</f>
        <v>1829</v>
      </c>
      <c r="X153" s="48"/>
    </row>
    <row r="154" spans="1:24" ht="16.5" customHeight="1" x14ac:dyDescent="0.15">
      <c r="A154" s="41">
        <v>15</v>
      </c>
      <c r="B154" s="41" t="s">
        <v>2815</v>
      </c>
      <c r="C154" s="74" t="s">
        <v>26747</v>
      </c>
      <c r="D154" s="72"/>
      <c r="E154" s="168">
        <f>_15_同援日６．５</f>
        <v>1083</v>
      </c>
      <c r="F154" s="57" t="s">
        <v>392</v>
      </c>
      <c r="G154" s="35"/>
      <c r="J154" s="299" t="s">
        <v>17556</v>
      </c>
      <c r="K154" s="45" t="s">
        <v>398</v>
      </c>
      <c r="L154" s="46">
        <v>1</v>
      </c>
      <c r="M154" s="512"/>
      <c r="N154" s="57"/>
      <c r="O154" s="269" t="s">
        <v>17564</v>
      </c>
      <c r="P154" s="37" t="s">
        <v>398</v>
      </c>
      <c r="Q154" s="38">
        <v>0.25</v>
      </c>
      <c r="R154" s="79" t="s">
        <v>3575</v>
      </c>
      <c r="S154" s="43"/>
      <c r="T154" s="37"/>
      <c r="U154" s="38"/>
      <c r="V154" s="79"/>
      <c r="W154" s="208">
        <f>ROUND((ROUND((ROUND((ROUND((_15_同援日６．５*_15・通訳),0)*_15・２人),0)*(1+_15・A深夜)),0)*(1+_15・盲ろう)),0)</f>
        <v>1829</v>
      </c>
      <c r="X154" s="48"/>
    </row>
    <row r="155" spans="1:24" ht="16.5" customHeight="1" x14ac:dyDescent="0.15">
      <c r="A155" s="41">
        <v>15</v>
      </c>
      <c r="B155" s="41" t="s">
        <v>2817</v>
      </c>
      <c r="C155" s="74" t="s">
        <v>26748</v>
      </c>
      <c r="D155" s="72"/>
      <c r="F155" s="57"/>
      <c r="G155" s="35"/>
      <c r="J155" s="163"/>
      <c r="K155" s="45"/>
      <c r="L155" s="46"/>
      <c r="M155" s="512"/>
      <c r="N155" s="57"/>
      <c r="O155" s="53"/>
      <c r="P155" s="49"/>
      <c r="Q155" s="50"/>
      <c r="R155" s="115"/>
      <c r="S155" s="114" t="s">
        <v>17570</v>
      </c>
      <c r="T155" s="49"/>
      <c r="U155" s="50"/>
      <c r="V155" s="115"/>
      <c r="W155" s="208">
        <f>ROUND((ROUND((ROUND((_15_同援日６．５*_15・通訳),0)*(1+_15・A深夜)),0)*(1+_15・区３)),0)</f>
        <v>1756</v>
      </c>
      <c r="X155" s="48"/>
    </row>
    <row r="156" spans="1:24" ht="16.5" customHeight="1" x14ac:dyDescent="0.15">
      <c r="A156" s="41">
        <v>15</v>
      </c>
      <c r="B156" s="41" t="s">
        <v>2819</v>
      </c>
      <c r="C156" s="74" t="s">
        <v>26749</v>
      </c>
      <c r="D156" s="72"/>
      <c r="F156" s="57"/>
      <c r="G156" s="35"/>
      <c r="J156" s="299" t="s">
        <v>17556</v>
      </c>
      <c r="K156" s="45" t="s">
        <v>398</v>
      </c>
      <c r="L156" s="46">
        <v>1</v>
      </c>
      <c r="M156" s="512"/>
      <c r="N156" s="57"/>
      <c r="O156" s="43"/>
      <c r="P156" s="37"/>
      <c r="Q156" s="38"/>
      <c r="R156" s="79"/>
      <c r="S156" s="92" t="s">
        <v>17572</v>
      </c>
      <c r="V156" s="57"/>
      <c r="W156" s="208">
        <f>ROUND((ROUND((ROUND((ROUND((_15_同援日６．５*_15・通訳),0)*_15・２人),0)*(1+_15・A深夜)),0)*(1+_15・区３)),0)</f>
        <v>1756</v>
      </c>
      <c r="X156" s="48"/>
    </row>
    <row r="157" spans="1:24" ht="16.5" customHeight="1" x14ac:dyDescent="0.15">
      <c r="A157" s="41">
        <v>15</v>
      </c>
      <c r="B157" s="41" t="s">
        <v>26750</v>
      </c>
      <c r="C157" s="74" t="s">
        <v>26751</v>
      </c>
      <c r="D157" s="72"/>
      <c r="F157" s="57"/>
      <c r="G157" s="35"/>
      <c r="J157" s="163"/>
      <c r="K157" s="45"/>
      <c r="L157" s="46"/>
      <c r="M157" s="512"/>
      <c r="N157" s="57"/>
      <c r="O157" s="114" t="s">
        <v>17562</v>
      </c>
      <c r="P157" s="49"/>
      <c r="Q157" s="50"/>
      <c r="R157" s="115"/>
      <c r="S157" s="35"/>
      <c r="T157" s="12" t="s">
        <v>398</v>
      </c>
      <c r="U157" s="13">
        <v>0.2</v>
      </c>
      <c r="V157" s="57" t="s">
        <v>3575</v>
      </c>
      <c r="W157" s="208">
        <f>ROUND((ROUND((ROUND((ROUND((_15_同援日６．５*_15・通訳),0)*(1+_15・A深夜)),0)*(1+_15・盲ろう)),0)*(1+_15・区３)),0)</f>
        <v>2195</v>
      </c>
      <c r="X157" s="48"/>
    </row>
    <row r="158" spans="1:24" ht="16.5" customHeight="1" x14ac:dyDescent="0.15">
      <c r="A158" s="41">
        <v>15</v>
      </c>
      <c r="B158" s="41" t="s">
        <v>26752</v>
      </c>
      <c r="C158" s="74" t="s">
        <v>26753</v>
      </c>
      <c r="D158" s="72"/>
      <c r="F158" s="57"/>
      <c r="G158" s="35"/>
      <c r="J158" s="299" t="s">
        <v>17556</v>
      </c>
      <c r="K158" s="45" t="s">
        <v>398</v>
      </c>
      <c r="L158" s="46">
        <v>1</v>
      </c>
      <c r="M158" s="512"/>
      <c r="N158" s="57"/>
      <c r="O158" s="269" t="s">
        <v>17564</v>
      </c>
      <c r="P158" s="37" t="s">
        <v>398</v>
      </c>
      <c r="Q158" s="38">
        <v>0.25</v>
      </c>
      <c r="R158" s="79" t="s">
        <v>3575</v>
      </c>
      <c r="S158" s="43"/>
      <c r="T158" s="37"/>
      <c r="U158" s="38"/>
      <c r="V158" s="79"/>
      <c r="W158" s="208">
        <f>ROUND((ROUND((ROUND((ROUND((ROUND((_15_同援日６．５*_15・通訳),0)*_15・２人),0)*(1+_15・A深夜)),0)*(1+_15・盲ろう)),0)*(1+_15・区３)),0)</f>
        <v>2195</v>
      </c>
      <c r="X158" s="48"/>
    </row>
    <row r="159" spans="1:24" ht="16.5" customHeight="1" x14ac:dyDescent="0.15">
      <c r="A159" s="41">
        <v>15</v>
      </c>
      <c r="B159" s="41" t="s">
        <v>26754</v>
      </c>
      <c r="C159" s="74" t="s">
        <v>26755</v>
      </c>
      <c r="D159" s="72"/>
      <c r="F159" s="57"/>
      <c r="G159" s="35"/>
      <c r="J159" s="163"/>
      <c r="K159" s="45"/>
      <c r="L159" s="46"/>
      <c r="M159" s="512"/>
      <c r="N159" s="57"/>
      <c r="O159" s="53"/>
      <c r="P159" s="49"/>
      <c r="Q159" s="50"/>
      <c r="R159" s="115"/>
      <c r="S159" s="114" t="s">
        <v>17580</v>
      </c>
      <c r="T159" s="49"/>
      <c r="U159" s="50"/>
      <c r="V159" s="115"/>
      <c r="W159" s="208">
        <f>ROUND((ROUND((ROUND((_15_同援日６．５*_15・通訳),0)*(1+_15・A深夜)),0)*(1+_15・区４)),0)</f>
        <v>2048</v>
      </c>
      <c r="X159" s="48"/>
    </row>
    <row r="160" spans="1:24" ht="16.5" customHeight="1" x14ac:dyDescent="0.15">
      <c r="A160" s="41">
        <v>15</v>
      </c>
      <c r="B160" s="41" t="s">
        <v>26756</v>
      </c>
      <c r="C160" s="74" t="s">
        <v>26757</v>
      </c>
      <c r="D160" s="72"/>
      <c r="F160" s="57"/>
      <c r="G160" s="35"/>
      <c r="J160" s="299" t="s">
        <v>17556</v>
      </c>
      <c r="K160" s="45" t="s">
        <v>398</v>
      </c>
      <c r="L160" s="46">
        <v>1</v>
      </c>
      <c r="M160" s="512"/>
      <c r="N160" s="57"/>
      <c r="O160" s="43"/>
      <c r="P160" s="37"/>
      <c r="Q160" s="38"/>
      <c r="R160" s="79"/>
      <c r="S160" s="92" t="s">
        <v>17572</v>
      </c>
      <c r="V160" s="57"/>
      <c r="W160" s="208">
        <f>ROUND((ROUND((ROUND((ROUND((_15_同援日６．５*_15・通訳),0)*_15・２人),0)*(1+_15・A深夜)),0)*(1+_15・区４)),0)</f>
        <v>2048</v>
      </c>
      <c r="X160" s="48"/>
    </row>
    <row r="161" spans="1:24" ht="16.5" customHeight="1" x14ac:dyDescent="0.15">
      <c r="A161" s="41">
        <v>15</v>
      </c>
      <c r="B161" s="41" t="s">
        <v>26758</v>
      </c>
      <c r="C161" s="74" t="s">
        <v>26759</v>
      </c>
      <c r="D161" s="72"/>
      <c r="F161" s="57"/>
      <c r="G161" s="35"/>
      <c r="J161" s="163"/>
      <c r="K161" s="45"/>
      <c r="L161" s="46"/>
      <c r="M161" s="512"/>
      <c r="N161" s="57"/>
      <c r="O161" s="114" t="s">
        <v>17562</v>
      </c>
      <c r="P161" s="49"/>
      <c r="Q161" s="50"/>
      <c r="R161" s="115"/>
      <c r="S161" s="35"/>
      <c r="T161" s="12" t="s">
        <v>398</v>
      </c>
      <c r="U161" s="13">
        <v>0.4</v>
      </c>
      <c r="V161" s="57" t="s">
        <v>3575</v>
      </c>
      <c r="W161" s="208">
        <f>ROUND((ROUND((ROUND((ROUND((_15_同援日６．５*_15・通訳),0)*(1+_15・A深夜)),0)*(1+_15・盲ろう)),0)*(1+_15・区４)),0)</f>
        <v>2561</v>
      </c>
      <c r="X161" s="48"/>
    </row>
    <row r="162" spans="1:24" ht="16.5" customHeight="1" x14ac:dyDescent="0.15">
      <c r="A162" s="41">
        <v>15</v>
      </c>
      <c r="B162" s="41" t="s">
        <v>26760</v>
      </c>
      <c r="C162" s="74" t="s">
        <v>26761</v>
      </c>
      <c r="D162" s="122"/>
      <c r="E162" s="37"/>
      <c r="F162" s="79"/>
      <c r="G162" s="43"/>
      <c r="H162" s="37"/>
      <c r="I162" s="38"/>
      <c r="J162" s="299" t="s">
        <v>17556</v>
      </c>
      <c r="K162" s="45" t="s">
        <v>398</v>
      </c>
      <c r="L162" s="46">
        <v>1</v>
      </c>
      <c r="M162" s="514"/>
      <c r="N162" s="79"/>
      <c r="O162" s="269" t="s">
        <v>17564</v>
      </c>
      <c r="P162" s="37" t="s">
        <v>398</v>
      </c>
      <c r="Q162" s="38">
        <v>0.25</v>
      </c>
      <c r="R162" s="79" t="s">
        <v>3575</v>
      </c>
      <c r="S162" s="43"/>
      <c r="T162" s="37"/>
      <c r="U162" s="38"/>
      <c r="V162" s="79"/>
      <c r="W162" s="208">
        <f>ROUND((ROUND((ROUND((ROUND((ROUND((_15_同援日６．５*_15・通訳),0)*_15・２人),0)*(1+_15・A深夜)),0)*(1+_15・盲ろう)),0)*(1+_15・区４)),0)</f>
        <v>2561</v>
      </c>
      <c r="X162" s="63"/>
    </row>
    <row r="163" spans="1:24" ht="16.5" customHeight="1" x14ac:dyDescent="0.15"/>
    <row r="164" spans="1:24"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43" fitToHeight="0" orientation="portrait" r:id="rId1"/>
  <headerFooter>
    <oddHeader>&amp;R&amp;"ＭＳ Ｐゴシック"&amp;9同行援護</oddHeader>
    <oddFooter>&amp;C&amp;"ＭＳ Ｐゴシック"&amp;14&amp;P</oddFooter>
  </headerFooter>
  <rowBreaks count="1" manualBreakCount="1">
    <brk id="114" max="16383"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8">
    <pageSetUpPr fitToPage="1"/>
  </sheetPr>
  <dimension ref="A1:AC188"/>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4.5" style="10" customWidth="1"/>
    <col min="5" max="5" width="4.125" style="12" bestFit="1" customWidth="1"/>
    <col min="6" max="6" width="4.875" style="12" bestFit="1" customWidth="1"/>
    <col min="7" max="7" width="4.5" style="10" customWidth="1"/>
    <col min="8" max="8" width="4.125" style="12" bestFit="1" customWidth="1"/>
    <col min="9" max="9" width="4.875" style="12" bestFit="1" customWidth="1"/>
    <col min="10" max="10" width="15.5" style="12" customWidth="1"/>
    <col min="11" max="11" width="3.125" style="12" bestFit="1" customWidth="1"/>
    <col min="12" max="12" width="4.125" style="13" bestFit="1" customWidth="1"/>
    <col min="13" max="13" width="25.5" style="12" customWidth="1"/>
    <col min="14" max="14" width="3.125" style="12" bestFit="1" customWidth="1"/>
    <col min="15" max="15" width="5" style="13" bestFit="1" customWidth="1"/>
    <col min="16" max="16" width="4.125" style="13" bestFit="1" customWidth="1"/>
    <col min="17" max="17" width="4.875" style="12" bestFit="1" customWidth="1"/>
    <col min="18" max="18" width="4.125" style="13" bestFit="1" customWidth="1"/>
    <col min="19" max="19" width="4.875" style="12" bestFit="1" customWidth="1"/>
    <col min="20" max="20" width="21.5" style="12" customWidth="1"/>
    <col min="21" max="21" width="3.125" style="12" bestFit="1" customWidth="1"/>
    <col min="22" max="22" width="4.125" style="13" bestFit="1" customWidth="1"/>
    <col min="23" max="23" width="4.875" style="12" bestFit="1" customWidth="1"/>
    <col min="24" max="24" width="8.5" style="12" customWidth="1"/>
    <col min="25" max="25" width="3.125" style="12" bestFit="1" customWidth="1"/>
    <col min="26" max="26" width="4.125" style="13" bestFit="1" customWidth="1"/>
    <col min="27" max="27" width="4.875" style="12" bestFit="1" customWidth="1"/>
    <col min="28" max="28" width="7.125" style="206" customWidth="1"/>
    <col min="29" max="29" width="8.5" style="16" customWidth="1"/>
    <col min="30" max="16384" width="9" style="12"/>
  </cols>
  <sheetData>
    <row r="1" spans="1:29" ht="17.100000000000001" customHeight="1" x14ac:dyDescent="0.15"/>
    <row r="2" spans="1:29" ht="17.100000000000001" customHeight="1" x14ac:dyDescent="0.15"/>
    <row r="3" spans="1:29" ht="17.100000000000001" customHeight="1" x14ac:dyDescent="0.15"/>
    <row r="4" spans="1:29" ht="17.100000000000001" customHeight="1" x14ac:dyDescent="0.15">
      <c r="B4" s="17" t="s">
        <v>26762</v>
      </c>
      <c r="D4" s="71"/>
    </row>
    <row r="5" spans="1:29" ht="16.5" customHeight="1" x14ac:dyDescent="0.15">
      <c r="A5" s="19" t="s">
        <v>384</v>
      </c>
      <c r="B5" s="20"/>
      <c r="C5" s="21" t="s">
        <v>385</v>
      </c>
      <c r="D5" s="23" t="s">
        <v>386</v>
      </c>
      <c r="E5" s="23"/>
      <c r="F5" s="23"/>
      <c r="G5" s="23"/>
      <c r="H5" s="23"/>
      <c r="I5" s="23"/>
      <c r="J5" s="23"/>
      <c r="K5" s="23"/>
      <c r="L5" s="24"/>
      <c r="M5" s="23"/>
      <c r="N5" s="23"/>
      <c r="O5" s="24"/>
      <c r="P5" s="24"/>
      <c r="Q5" s="23"/>
      <c r="R5" s="24"/>
      <c r="S5" s="23"/>
      <c r="T5" s="23"/>
      <c r="U5" s="23"/>
      <c r="V5" s="24"/>
      <c r="W5" s="23"/>
      <c r="X5" s="23"/>
      <c r="Y5" s="23"/>
      <c r="Z5" s="24"/>
      <c r="AA5" s="23"/>
      <c r="AB5" s="21" t="s">
        <v>387</v>
      </c>
      <c r="AC5" s="21" t="s">
        <v>388</v>
      </c>
    </row>
    <row r="6" spans="1:29" ht="16.5" customHeight="1" x14ac:dyDescent="0.15">
      <c r="A6" s="26" t="s">
        <v>389</v>
      </c>
      <c r="B6" s="26" t="s">
        <v>390</v>
      </c>
      <c r="C6" s="27"/>
      <c r="D6" s="87" t="s">
        <v>1032</v>
      </c>
      <c r="E6" s="187"/>
      <c r="F6" s="20"/>
      <c r="G6" s="87" t="s">
        <v>3910</v>
      </c>
      <c r="H6" s="187"/>
      <c r="I6" s="20"/>
      <c r="J6" s="29"/>
      <c r="K6" s="29"/>
      <c r="L6" s="30"/>
      <c r="M6" s="29"/>
      <c r="N6" s="29"/>
      <c r="O6" s="30"/>
      <c r="P6" s="30"/>
      <c r="Q6" s="29"/>
      <c r="R6" s="30"/>
      <c r="S6" s="29"/>
      <c r="T6" s="29"/>
      <c r="U6" s="29"/>
      <c r="V6" s="30"/>
      <c r="W6" s="29"/>
      <c r="X6" s="29"/>
      <c r="Y6" s="29"/>
      <c r="Z6" s="30"/>
      <c r="AA6" s="29"/>
      <c r="AB6" s="32" t="s">
        <v>391</v>
      </c>
      <c r="AC6" s="32" t="s">
        <v>392</v>
      </c>
    </row>
    <row r="7" spans="1:29" ht="16.5" customHeight="1" x14ac:dyDescent="0.15">
      <c r="A7" s="33">
        <v>15</v>
      </c>
      <c r="B7" s="33" t="s">
        <v>26763</v>
      </c>
      <c r="C7" s="34" t="s">
        <v>26764</v>
      </c>
      <c r="D7" s="72" t="s">
        <v>18487</v>
      </c>
      <c r="F7" s="57"/>
      <c r="G7" s="72" t="s">
        <v>18819</v>
      </c>
      <c r="I7" s="57"/>
      <c r="J7" s="35"/>
      <c r="M7" s="122"/>
      <c r="N7" s="37"/>
      <c r="O7" s="38"/>
      <c r="P7" s="512"/>
      <c r="Q7" s="57"/>
      <c r="R7" s="512"/>
      <c r="S7" s="57"/>
      <c r="T7" s="72"/>
      <c r="W7" s="57"/>
      <c r="X7" s="72"/>
      <c r="AA7" s="57"/>
      <c r="AB7" s="207">
        <f>ROUND((ROUND((_15_同援日０．５*_15・通訳),0)*(1+_15・A深夜)),0)+ROUND((ROUND((_15_同援日０．５＿０．５*_15・通訳),0)*(1+_15・B早朝)),0)</f>
        <v>381</v>
      </c>
      <c r="AC7" s="40" t="s">
        <v>395</v>
      </c>
    </row>
    <row r="8" spans="1:29" ht="16.5" customHeight="1" x14ac:dyDescent="0.15">
      <c r="A8" s="41">
        <v>15</v>
      </c>
      <c r="B8" s="41" t="s">
        <v>26765</v>
      </c>
      <c r="C8" s="74" t="s">
        <v>26766</v>
      </c>
      <c r="D8" s="72" t="s">
        <v>18259</v>
      </c>
      <c r="F8" s="57"/>
      <c r="G8" s="72" t="s">
        <v>18259</v>
      </c>
      <c r="I8" s="57"/>
      <c r="J8" s="35"/>
      <c r="M8" s="299" t="s">
        <v>17556</v>
      </c>
      <c r="N8" s="45" t="s">
        <v>398</v>
      </c>
      <c r="O8" s="46">
        <v>1</v>
      </c>
      <c r="P8" s="512"/>
      <c r="Q8" s="57"/>
      <c r="R8" s="512"/>
      <c r="S8" s="57"/>
      <c r="T8" s="122"/>
      <c r="U8" s="37"/>
      <c r="V8" s="38"/>
      <c r="W8" s="79"/>
      <c r="X8" s="72"/>
      <c r="AA8" s="57"/>
      <c r="AB8" s="208">
        <f>ROUND((ROUND((ROUND((_15_同援日０．５*_15・通訳),0)*_15・２人),0)*(1+_15・A深夜)),0)+ROUND((ROUND((ROUND((_15_同援日０．５＿０．５*_15・通訳),0)*_15・２人),0)*(1+_15・B早朝)),0)</f>
        <v>381</v>
      </c>
      <c r="AC8" s="48"/>
    </row>
    <row r="9" spans="1:29" ht="16.5" customHeight="1" x14ac:dyDescent="0.15">
      <c r="A9" s="41">
        <v>15</v>
      </c>
      <c r="B9" s="41" t="s">
        <v>26767</v>
      </c>
      <c r="C9" s="74" t="s">
        <v>26768</v>
      </c>
      <c r="D9" s="72"/>
      <c r="F9" s="57"/>
      <c r="G9" s="72"/>
      <c r="I9" s="57"/>
      <c r="J9" s="35"/>
      <c r="M9" s="299"/>
      <c r="N9" s="45"/>
      <c r="O9" s="46"/>
      <c r="P9" s="512"/>
      <c r="Q9" s="57"/>
      <c r="R9" s="512"/>
      <c r="S9" s="57"/>
      <c r="T9" s="114" t="s">
        <v>17562</v>
      </c>
      <c r="U9" s="49"/>
      <c r="V9" s="50"/>
      <c r="W9" s="115"/>
      <c r="X9" s="72"/>
      <c r="AA9" s="57"/>
      <c r="AB9" s="208">
        <f>ROUND((ROUND((ROUND((_15_同援日０．５*_15・通訳),0)*(1+_15・A深夜)),0)*(1+_15・盲ろう)),0)+ROUND((ROUND((ROUND((_15_同援日０．５＿０．５*_15・通訳),0)*(1+_15・B早朝)),0)*(1+_15・盲ろう)),0)</f>
        <v>476</v>
      </c>
      <c r="AC9" s="48"/>
    </row>
    <row r="10" spans="1:29" ht="16.5" customHeight="1" x14ac:dyDescent="0.15">
      <c r="A10" s="41">
        <v>15</v>
      </c>
      <c r="B10" s="41" t="s">
        <v>26769</v>
      </c>
      <c r="C10" s="74" t="s">
        <v>26770</v>
      </c>
      <c r="D10" s="72"/>
      <c r="E10" s="168">
        <f>_15_同援日０．５</f>
        <v>190</v>
      </c>
      <c r="F10" s="57" t="s">
        <v>392</v>
      </c>
      <c r="G10" s="72"/>
      <c r="H10" s="168">
        <f>_15_同援日０．５＿０．５</f>
        <v>110</v>
      </c>
      <c r="I10" s="57" t="s">
        <v>392</v>
      </c>
      <c r="J10" s="35"/>
      <c r="M10" s="299" t="s">
        <v>17556</v>
      </c>
      <c r="N10" s="45" t="s">
        <v>398</v>
      </c>
      <c r="O10" s="46">
        <v>1</v>
      </c>
      <c r="P10" s="512"/>
      <c r="Q10" s="57"/>
      <c r="R10" s="512"/>
      <c r="S10" s="57"/>
      <c r="T10" s="122" t="s">
        <v>17564</v>
      </c>
      <c r="U10" s="37" t="s">
        <v>398</v>
      </c>
      <c r="V10" s="38">
        <v>0.25</v>
      </c>
      <c r="W10" s="79" t="s">
        <v>3575</v>
      </c>
      <c r="X10" s="122"/>
      <c r="Y10" s="37"/>
      <c r="Z10" s="38"/>
      <c r="AA10" s="79"/>
      <c r="AB10" s="208">
        <f>ROUND((ROUND((ROUND((ROUND((_15_同援日０．５*_15・通訳),0)*_15・２人),0)*(1+_15・A深夜)),0)*(1+_15・盲ろう)),0)+ROUND((ROUND((ROUND((ROUND((_15_同援日０．５＿０．５*_15・通訳),0)*_15・２人),0)*(1+_15・B早朝)),0)*(1+_15・盲ろう)),0)</f>
        <v>476</v>
      </c>
      <c r="AC10" s="48"/>
    </row>
    <row r="11" spans="1:29" ht="16.5" customHeight="1" x14ac:dyDescent="0.15">
      <c r="A11" s="41">
        <v>15</v>
      </c>
      <c r="B11" s="41" t="s">
        <v>26771</v>
      </c>
      <c r="C11" s="74" t="s">
        <v>26772</v>
      </c>
      <c r="D11" s="72"/>
      <c r="F11" s="57"/>
      <c r="G11" s="72"/>
      <c r="I11" s="57"/>
      <c r="J11" s="35"/>
      <c r="M11" s="299"/>
      <c r="N11" s="45"/>
      <c r="O11" s="46"/>
      <c r="P11" s="512"/>
      <c r="Q11" s="57"/>
      <c r="R11" s="512"/>
      <c r="S11" s="57"/>
      <c r="T11" s="114"/>
      <c r="U11" s="49"/>
      <c r="V11" s="50"/>
      <c r="W11" s="115"/>
      <c r="X11" s="114" t="s">
        <v>17570</v>
      </c>
      <c r="Y11" s="49"/>
      <c r="Z11" s="50"/>
      <c r="AA11" s="115"/>
      <c r="AB11" s="208">
        <f>ROUND((ROUND((ROUND((_15_同援日０．５*_15・通訳),0)*(1+_15・A深夜)),0)*(1+_15・区３)),0)+ROUND((ROUND((ROUND((_15_同援日０．５＿０．５*_15・通訳),0)*(1+_15・B早朝)),0)*(1+_15・区３)),0)</f>
        <v>457</v>
      </c>
      <c r="AC11" s="48"/>
    </row>
    <row r="12" spans="1:29" ht="16.5" customHeight="1" x14ac:dyDescent="0.15">
      <c r="A12" s="41">
        <v>15</v>
      </c>
      <c r="B12" s="41" t="s">
        <v>26773</v>
      </c>
      <c r="C12" s="74" t="s">
        <v>26774</v>
      </c>
      <c r="D12" s="72"/>
      <c r="F12" s="57"/>
      <c r="G12" s="72"/>
      <c r="I12" s="57"/>
      <c r="J12" s="72" t="s">
        <v>25732</v>
      </c>
      <c r="M12" s="299" t="s">
        <v>17556</v>
      </c>
      <c r="N12" s="45" t="s">
        <v>398</v>
      </c>
      <c r="O12" s="46">
        <v>1</v>
      </c>
      <c r="P12" s="512" t="s">
        <v>18493</v>
      </c>
      <c r="Q12" s="57"/>
      <c r="R12" s="512" t="s">
        <v>18134</v>
      </c>
      <c r="S12" s="57"/>
      <c r="T12" s="122"/>
      <c r="U12" s="37"/>
      <c r="V12" s="38"/>
      <c r="W12" s="79"/>
      <c r="X12" s="72" t="s">
        <v>17572</v>
      </c>
      <c r="AA12" s="57"/>
      <c r="AB12" s="208">
        <f>ROUND((ROUND((ROUND((ROUND((_15_同援日０．５*_15・通訳),0)*_15・２人),0)*(1+_15・A深夜)),0)*(1+_15・区３)),0)+ROUND((ROUND((ROUND((ROUND((_15_同援日０．５＿０．５*_15・通訳),0)*_15・２人),0)*(1+_15・B早朝)),0)*(1+_15・区３)),0)</f>
        <v>457</v>
      </c>
      <c r="AC12" s="48"/>
    </row>
    <row r="13" spans="1:29" ht="16.5" customHeight="1" x14ac:dyDescent="0.15">
      <c r="A13" s="41">
        <v>15</v>
      </c>
      <c r="B13" s="41" t="s">
        <v>26775</v>
      </c>
      <c r="C13" s="74" t="s">
        <v>26776</v>
      </c>
      <c r="D13" s="72"/>
      <c r="F13" s="57"/>
      <c r="G13" s="72"/>
      <c r="I13" s="57"/>
      <c r="J13" s="92" t="s">
        <v>25734</v>
      </c>
      <c r="K13" s="12" t="s">
        <v>398</v>
      </c>
      <c r="L13" s="13">
        <v>0.9</v>
      </c>
      <c r="M13" s="299"/>
      <c r="N13" s="45"/>
      <c r="O13" s="46"/>
      <c r="P13" s="512"/>
      <c r="Q13" s="513" t="s">
        <v>26777</v>
      </c>
      <c r="R13" s="512"/>
      <c r="S13" s="513" t="s">
        <v>26778</v>
      </c>
      <c r="T13" s="114" t="s">
        <v>17562</v>
      </c>
      <c r="U13" s="49"/>
      <c r="V13" s="50"/>
      <c r="W13" s="115"/>
      <c r="X13" s="72"/>
      <c r="Y13" s="12" t="s">
        <v>398</v>
      </c>
      <c r="Z13" s="13">
        <v>0.2</v>
      </c>
      <c r="AA13" s="57" t="s">
        <v>3575</v>
      </c>
      <c r="AB13" s="208">
        <f>ROUND((ROUND((ROUND((ROUND((_15_同援日０．５*_15・通訳),0)*(1+_15・A深夜)),0)*(1+_15・盲ろう)),0)*(1+_15・区３)),0)+ROUND((ROUND((ROUND((ROUND((_15_同援日０．５＿０．５*_15・通訳),0)*(1+_15・B早朝)),0)*(1+_15・盲ろう)),0)*(1+_15・区３)),0)</f>
        <v>571</v>
      </c>
      <c r="AC13" s="48"/>
    </row>
    <row r="14" spans="1:29" ht="16.5" customHeight="1" x14ac:dyDescent="0.15">
      <c r="A14" s="41">
        <v>15</v>
      </c>
      <c r="B14" s="41" t="s">
        <v>26779</v>
      </c>
      <c r="C14" s="74" t="s">
        <v>26780</v>
      </c>
      <c r="D14" s="72"/>
      <c r="F14" s="57"/>
      <c r="G14" s="72"/>
      <c r="I14" s="57"/>
      <c r="J14" s="35"/>
      <c r="M14" s="299" t="s">
        <v>17556</v>
      </c>
      <c r="N14" s="45" t="s">
        <v>398</v>
      </c>
      <c r="O14" s="46">
        <v>1</v>
      </c>
      <c r="P14" s="512"/>
      <c r="Q14" s="57"/>
      <c r="R14" s="512"/>
      <c r="S14" s="57"/>
      <c r="T14" s="122" t="s">
        <v>17564</v>
      </c>
      <c r="U14" s="37" t="s">
        <v>398</v>
      </c>
      <c r="V14" s="38">
        <v>0.25</v>
      </c>
      <c r="W14" s="79" t="s">
        <v>3575</v>
      </c>
      <c r="X14" s="122"/>
      <c r="Y14" s="37"/>
      <c r="Z14" s="38"/>
      <c r="AA14" s="79"/>
      <c r="AB14" s="208">
        <f>ROUND((ROUND((ROUND((ROUND((ROUND((_15_同援日０．５*_15・通訳),0)*_15・２人),0)*(1+_15・A深夜)),0)*(1+_15・盲ろう)),0)*(1+_15・区３)),0)+ROUND((ROUND((ROUND((ROUND((ROUND((_15_同援日０．５＿０．５*_15・通訳),0)*_15・２人),0)*(1+_15・B早朝)),0)*(1+_15・盲ろう)),0)*(1+_15・区３)),0)</f>
        <v>571</v>
      </c>
      <c r="AC14" s="48"/>
    </row>
    <row r="15" spans="1:29" ht="16.5" customHeight="1" x14ac:dyDescent="0.15">
      <c r="A15" s="41">
        <v>15</v>
      </c>
      <c r="B15" s="41" t="s">
        <v>26781</v>
      </c>
      <c r="C15" s="74" t="s">
        <v>26782</v>
      </c>
      <c r="D15" s="72"/>
      <c r="F15" s="57"/>
      <c r="G15" s="72"/>
      <c r="I15" s="57"/>
      <c r="J15" s="35"/>
      <c r="M15" s="299"/>
      <c r="N15" s="45"/>
      <c r="O15" s="46"/>
      <c r="P15" s="35" t="s">
        <v>398</v>
      </c>
      <c r="Q15" s="234">
        <v>0.5</v>
      </c>
      <c r="R15" s="35" t="s">
        <v>398</v>
      </c>
      <c r="S15" s="234">
        <v>0.25</v>
      </c>
      <c r="T15" s="114"/>
      <c r="U15" s="49"/>
      <c r="V15" s="50"/>
      <c r="W15" s="115"/>
      <c r="X15" s="114" t="s">
        <v>17580</v>
      </c>
      <c r="Y15" s="49"/>
      <c r="Z15" s="50"/>
      <c r="AA15" s="115"/>
      <c r="AB15" s="208">
        <f>ROUND((ROUND((ROUND((_15_同援日０．５*_15・通訳),0)*(1+_15・A深夜)),0)*(1+_15・区４)),0)+ROUND((ROUND((ROUND((_15_同援日０．５＿０．５*_15・通訳),0)*(1+_15・B早朝)),0)*(1+_15・区４)),0)</f>
        <v>534</v>
      </c>
      <c r="AC15" s="48"/>
    </row>
    <row r="16" spans="1:29" ht="16.5" customHeight="1" x14ac:dyDescent="0.15">
      <c r="A16" s="41">
        <v>15</v>
      </c>
      <c r="B16" s="41" t="s">
        <v>26783</v>
      </c>
      <c r="C16" s="74" t="s">
        <v>26784</v>
      </c>
      <c r="D16" s="72"/>
      <c r="F16" s="57"/>
      <c r="G16" s="72"/>
      <c r="I16" s="57"/>
      <c r="J16" s="35"/>
      <c r="M16" s="299" t="s">
        <v>17556</v>
      </c>
      <c r="N16" s="45" t="s">
        <v>398</v>
      </c>
      <c r="O16" s="46">
        <v>1</v>
      </c>
      <c r="P16" s="512"/>
      <c r="Q16" s="513" t="s">
        <v>3575</v>
      </c>
      <c r="R16" s="512"/>
      <c r="S16" s="513" t="s">
        <v>3575</v>
      </c>
      <c r="T16" s="122"/>
      <c r="U16" s="37"/>
      <c r="V16" s="38"/>
      <c r="W16" s="79"/>
      <c r="X16" s="72" t="s">
        <v>17572</v>
      </c>
      <c r="AA16" s="57"/>
      <c r="AB16" s="208">
        <f>ROUND((ROUND((ROUND((ROUND((_15_同援日０．５*_15・通訳),0)*_15・２人),0)*(1+_15・A深夜)),0)*(1+_15・区４)),0)+ROUND((ROUND((ROUND((ROUND((_15_同援日０．５＿０．５*_15・通訳),0)*_15・２人),0)*(1+_15・B早朝)),0)*(1+_15・区４)),0)</f>
        <v>534</v>
      </c>
      <c r="AC16" s="48"/>
    </row>
    <row r="17" spans="1:29" ht="16.5" customHeight="1" x14ac:dyDescent="0.15">
      <c r="A17" s="41">
        <v>15</v>
      </c>
      <c r="B17" s="41" t="s">
        <v>2825</v>
      </c>
      <c r="C17" s="74" t="s">
        <v>26785</v>
      </c>
      <c r="D17" s="72"/>
      <c r="F17" s="57"/>
      <c r="G17" s="72"/>
      <c r="I17" s="57"/>
      <c r="J17" s="35"/>
      <c r="M17" s="299"/>
      <c r="N17" s="45"/>
      <c r="O17" s="46"/>
      <c r="P17" s="512"/>
      <c r="Q17" s="57"/>
      <c r="R17" s="512"/>
      <c r="S17" s="57"/>
      <c r="T17" s="114" t="s">
        <v>17562</v>
      </c>
      <c r="U17" s="49"/>
      <c r="V17" s="50"/>
      <c r="W17" s="115"/>
      <c r="X17" s="72"/>
      <c r="Y17" s="12" t="s">
        <v>398</v>
      </c>
      <c r="Z17" s="13">
        <v>0.4</v>
      </c>
      <c r="AA17" s="57" t="s">
        <v>3575</v>
      </c>
      <c r="AB17" s="208">
        <f>ROUND((ROUND((ROUND((ROUND((_15_同援日０．５*_15・通訳),0)*(1+_15・A深夜)),0)*(1+_15・盲ろう)),0)*(1+_15・区４)),0)+ROUND((ROUND((ROUND((ROUND((_15_同援日０．５＿０．５*_15・通訳),0)*(1+_15・B早朝)),0)*(1+_15・盲ろう)),0)*(1+_15・区４)),0)</f>
        <v>666</v>
      </c>
      <c r="AC17" s="48"/>
    </row>
    <row r="18" spans="1:29" ht="16.5" customHeight="1" x14ac:dyDescent="0.15">
      <c r="A18" s="41">
        <v>15</v>
      </c>
      <c r="B18" s="41" t="s">
        <v>2827</v>
      </c>
      <c r="C18" s="74" t="s">
        <v>26786</v>
      </c>
      <c r="D18" s="72"/>
      <c r="F18" s="57"/>
      <c r="G18" s="122"/>
      <c r="H18" s="37"/>
      <c r="I18" s="79"/>
      <c r="J18" s="35"/>
      <c r="M18" s="299" t="s">
        <v>17556</v>
      </c>
      <c r="N18" s="45" t="s">
        <v>398</v>
      </c>
      <c r="O18" s="46">
        <v>1</v>
      </c>
      <c r="P18" s="512"/>
      <c r="Q18" s="57"/>
      <c r="R18" s="512"/>
      <c r="S18" s="57"/>
      <c r="T18" s="122" t="s">
        <v>17564</v>
      </c>
      <c r="U18" s="37" t="s">
        <v>398</v>
      </c>
      <c r="V18" s="38">
        <v>0.25</v>
      </c>
      <c r="W18" s="79" t="s">
        <v>3575</v>
      </c>
      <c r="X18" s="122"/>
      <c r="Y18" s="37"/>
      <c r="Z18" s="38"/>
      <c r="AA18" s="79"/>
      <c r="AB18" s="208">
        <f>ROUND((ROUND((ROUND((ROUND((ROUND((_15_同援日０．５*_15・通訳),0)*_15・２人),0)*(1+_15・A深夜)),0)*(1+_15・盲ろう)),0)*(1+_15・区４)),0)+ROUND((ROUND((ROUND((ROUND((ROUND((_15_同援日０．５＿０．５*_15・通訳),0)*_15・２人),0)*(1+_15・B早朝)),0)*(1+_15・盲ろう)),0)*(1+_15・区４)),0)</f>
        <v>666</v>
      </c>
      <c r="AC18" s="48"/>
    </row>
    <row r="19" spans="1:29" ht="16.5" customHeight="1" x14ac:dyDescent="0.15">
      <c r="A19" s="41">
        <v>15</v>
      </c>
      <c r="B19" s="41" t="s">
        <v>2829</v>
      </c>
      <c r="C19" s="74" t="s">
        <v>26787</v>
      </c>
      <c r="D19" s="72"/>
      <c r="F19" s="57"/>
      <c r="G19" s="114" t="s">
        <v>18846</v>
      </c>
      <c r="H19" s="49"/>
      <c r="I19" s="115"/>
      <c r="J19" s="35"/>
      <c r="M19" s="299"/>
      <c r="N19" s="45"/>
      <c r="O19" s="46"/>
      <c r="P19" s="512"/>
      <c r="Q19" s="57"/>
      <c r="R19" s="512"/>
      <c r="S19" s="57"/>
      <c r="T19" s="114"/>
      <c r="U19" s="49"/>
      <c r="V19" s="50"/>
      <c r="W19" s="115"/>
      <c r="X19" s="114"/>
      <c r="Y19" s="49"/>
      <c r="Z19" s="50"/>
      <c r="AA19" s="115"/>
      <c r="AB19" s="208">
        <f>ROUND((ROUND((_15_同援日０．５*_15・通訳),0)*(1+_15・A深夜)),0)+ROUND((ROUND((_15_同援日０．５＿１．０*_15・通訳),0)*(1+_15・B早朝)),0)</f>
        <v>531</v>
      </c>
      <c r="AC19" s="48"/>
    </row>
    <row r="20" spans="1:29" ht="16.5" customHeight="1" x14ac:dyDescent="0.15">
      <c r="A20" s="41">
        <v>15</v>
      </c>
      <c r="B20" s="41" t="s">
        <v>2831</v>
      </c>
      <c r="C20" s="74" t="s">
        <v>26788</v>
      </c>
      <c r="D20" s="72"/>
      <c r="F20" s="57"/>
      <c r="G20" s="72" t="s">
        <v>17589</v>
      </c>
      <c r="I20" s="57"/>
      <c r="J20" s="35"/>
      <c r="M20" s="299" t="s">
        <v>17556</v>
      </c>
      <c r="N20" s="45" t="s">
        <v>398</v>
      </c>
      <c r="O20" s="46">
        <v>1</v>
      </c>
      <c r="P20" s="512"/>
      <c r="Q20" s="57"/>
      <c r="R20" s="512"/>
      <c r="S20" s="57"/>
      <c r="T20" s="122"/>
      <c r="U20" s="37"/>
      <c r="V20" s="38"/>
      <c r="W20" s="79"/>
      <c r="X20" s="72"/>
      <c r="AA20" s="57"/>
      <c r="AB20" s="208">
        <f>ROUND((ROUND((ROUND((_15_同援日０．５*_15・通訳),0)*_15・２人),0)*(1+_15・A深夜)),0)+ROUND((ROUND((ROUND((_15_同援日０．５＿１．０*_15・通訳),0)*_15・２人),0)*(1+_15・B早朝)),0)</f>
        <v>531</v>
      </c>
      <c r="AC20" s="48"/>
    </row>
    <row r="21" spans="1:29" ht="16.5" customHeight="1" x14ac:dyDescent="0.15">
      <c r="A21" s="41">
        <v>15</v>
      </c>
      <c r="B21" s="41" t="s">
        <v>26789</v>
      </c>
      <c r="C21" s="74" t="s">
        <v>26790</v>
      </c>
      <c r="D21" s="72"/>
      <c r="F21" s="57"/>
      <c r="G21" s="72" t="s">
        <v>17591</v>
      </c>
      <c r="I21" s="57"/>
      <c r="J21" s="35"/>
      <c r="M21" s="299"/>
      <c r="N21" s="45"/>
      <c r="O21" s="46"/>
      <c r="P21" s="512"/>
      <c r="Q21" s="57"/>
      <c r="R21" s="512"/>
      <c r="S21" s="57"/>
      <c r="T21" s="114" t="s">
        <v>17562</v>
      </c>
      <c r="U21" s="49"/>
      <c r="V21" s="50"/>
      <c r="W21" s="115"/>
      <c r="X21" s="72"/>
      <c r="AA21" s="57"/>
      <c r="AB21" s="208">
        <f>ROUND((ROUND((ROUND((_15_同援日０．５*_15・通訳),0)*(1+_15・A深夜)),0)*(1+_15・盲ろう)),0)+ROUND((ROUND((ROUND((_15_同援日０．５＿１．０*_15・通訳),0)*(1+_15・B早朝)),0)*(1+_15・盲ろう)),0)</f>
        <v>664</v>
      </c>
      <c r="AC21" s="48"/>
    </row>
    <row r="22" spans="1:29" ht="16.5" customHeight="1" x14ac:dyDescent="0.15">
      <c r="A22" s="41">
        <v>15</v>
      </c>
      <c r="B22" s="41" t="s">
        <v>26791</v>
      </c>
      <c r="C22" s="74" t="s">
        <v>26792</v>
      </c>
      <c r="D22" s="72"/>
      <c r="F22" s="57"/>
      <c r="G22" s="72"/>
      <c r="H22" s="168">
        <f>_15_同援日０．５＿１．０</f>
        <v>243</v>
      </c>
      <c r="I22" s="57" t="s">
        <v>392</v>
      </c>
      <c r="J22" s="35"/>
      <c r="M22" s="299" t="s">
        <v>17556</v>
      </c>
      <c r="N22" s="45" t="s">
        <v>398</v>
      </c>
      <c r="O22" s="46">
        <v>1</v>
      </c>
      <c r="P22" s="512"/>
      <c r="Q22" s="57"/>
      <c r="R22" s="512"/>
      <c r="S22" s="57"/>
      <c r="T22" s="122" t="s">
        <v>17564</v>
      </c>
      <c r="U22" s="37" t="s">
        <v>398</v>
      </c>
      <c r="V22" s="38">
        <v>0.25</v>
      </c>
      <c r="W22" s="79" t="s">
        <v>3575</v>
      </c>
      <c r="X22" s="122"/>
      <c r="Y22" s="37"/>
      <c r="Z22" s="38"/>
      <c r="AA22" s="79"/>
      <c r="AB22" s="208">
        <f>ROUND((ROUND((ROUND((ROUND((_15_同援日０．５*_15・通訳),0)*_15・２人),0)*(1+_15・A深夜)),0)*(1+_15・盲ろう)),0)+ROUND((ROUND((ROUND((ROUND((_15_同援日０．５＿１．０*_15・通訳),0)*_15・２人),0)*(1+_15・B早朝)),0)*(1+_15・盲ろう)),0)</f>
        <v>664</v>
      </c>
      <c r="AC22" s="48"/>
    </row>
    <row r="23" spans="1:29" ht="16.5" customHeight="1" x14ac:dyDescent="0.15">
      <c r="A23" s="41">
        <v>15</v>
      </c>
      <c r="B23" s="41" t="s">
        <v>26793</v>
      </c>
      <c r="C23" s="74" t="s">
        <v>26794</v>
      </c>
      <c r="D23" s="72"/>
      <c r="F23" s="57"/>
      <c r="G23" s="72"/>
      <c r="I23" s="57"/>
      <c r="J23" s="35"/>
      <c r="M23" s="299"/>
      <c r="N23" s="45"/>
      <c r="O23" s="46"/>
      <c r="P23" s="512"/>
      <c r="Q23" s="57"/>
      <c r="R23" s="512"/>
      <c r="S23" s="57"/>
      <c r="T23" s="114"/>
      <c r="U23" s="49"/>
      <c r="V23" s="50"/>
      <c r="W23" s="115"/>
      <c r="X23" s="114" t="s">
        <v>17570</v>
      </c>
      <c r="Y23" s="49"/>
      <c r="Z23" s="50"/>
      <c r="AA23" s="115"/>
      <c r="AB23" s="208">
        <f>ROUND((ROUND((ROUND((_15_同援日０．５*_15・通訳),0)*(1+_15・A深夜)),0)*(1+_15・区３)),0)+ROUND((ROUND((ROUND((_15_同援日０．５＿１．０*_15・通訳),0)*(1+_15・B早朝)),0)*(1+_15・区３)),0)</f>
        <v>637</v>
      </c>
      <c r="AC23" s="48"/>
    </row>
    <row r="24" spans="1:29" ht="16.5" customHeight="1" x14ac:dyDescent="0.15">
      <c r="A24" s="41">
        <v>15</v>
      </c>
      <c r="B24" s="41" t="s">
        <v>26795</v>
      </c>
      <c r="C24" s="74" t="s">
        <v>26796</v>
      </c>
      <c r="D24" s="72"/>
      <c r="F24" s="57"/>
      <c r="G24" s="72"/>
      <c r="I24" s="57"/>
      <c r="J24" s="35"/>
      <c r="M24" s="299" t="s">
        <v>17556</v>
      </c>
      <c r="N24" s="45" t="s">
        <v>398</v>
      </c>
      <c r="O24" s="46">
        <v>1</v>
      </c>
      <c r="P24" s="512"/>
      <c r="Q24" s="57"/>
      <c r="R24" s="512"/>
      <c r="S24" s="57"/>
      <c r="T24" s="122"/>
      <c r="U24" s="37"/>
      <c r="V24" s="38"/>
      <c r="W24" s="79"/>
      <c r="X24" s="72" t="s">
        <v>17572</v>
      </c>
      <c r="AA24" s="57"/>
      <c r="AB24" s="208">
        <f>ROUND((ROUND((ROUND((ROUND((_15_同援日０．５*_15・通訳),0)*_15・２人),0)*(1+_15・A深夜)),0)*(1+_15・区３)),0)+ROUND((ROUND((ROUND((ROUND((_15_同援日０．５＿１．０*_15・通訳),0)*_15・２人),0)*(1+_15・B早朝)),0)*(1+_15・区３)),0)</f>
        <v>637</v>
      </c>
      <c r="AC24" s="48"/>
    </row>
    <row r="25" spans="1:29" ht="16.5" customHeight="1" x14ac:dyDescent="0.15">
      <c r="A25" s="41">
        <v>15</v>
      </c>
      <c r="B25" s="41" t="s">
        <v>26797</v>
      </c>
      <c r="C25" s="74" t="s">
        <v>26798</v>
      </c>
      <c r="D25" s="72"/>
      <c r="F25" s="57"/>
      <c r="G25" s="72"/>
      <c r="I25" s="57"/>
      <c r="J25" s="35"/>
      <c r="M25" s="299"/>
      <c r="N25" s="45"/>
      <c r="O25" s="46"/>
      <c r="P25" s="512"/>
      <c r="Q25" s="57"/>
      <c r="R25" s="512"/>
      <c r="S25" s="57"/>
      <c r="T25" s="114" t="s">
        <v>17562</v>
      </c>
      <c r="U25" s="49"/>
      <c r="V25" s="50"/>
      <c r="W25" s="115"/>
      <c r="X25" s="72"/>
      <c r="Y25" s="12" t="s">
        <v>398</v>
      </c>
      <c r="Z25" s="13">
        <v>0.2</v>
      </c>
      <c r="AA25" s="57" t="s">
        <v>3575</v>
      </c>
      <c r="AB25" s="208">
        <f>ROUND((ROUND((ROUND((ROUND((_15_同援日０．５*_15・通訳),0)*(1+_15・A深夜)),0)*(1+_15・盲ろう)),0)*(1+_15・区３)),0)+ROUND((ROUND((ROUND((ROUND((_15_同援日０．５＿１．０*_15・通訳),0)*(1+_15・B早朝)),0)*(1+_15・盲ろう)),0)*(1+_15・区３)),0)</f>
        <v>797</v>
      </c>
      <c r="AC25" s="48"/>
    </row>
    <row r="26" spans="1:29" ht="16.5" customHeight="1" x14ac:dyDescent="0.15">
      <c r="A26" s="41">
        <v>15</v>
      </c>
      <c r="B26" s="41" t="s">
        <v>26799</v>
      </c>
      <c r="C26" s="74" t="s">
        <v>26800</v>
      </c>
      <c r="D26" s="72"/>
      <c r="F26" s="57"/>
      <c r="G26" s="72"/>
      <c r="I26" s="57"/>
      <c r="J26" s="35"/>
      <c r="M26" s="299" t="s">
        <v>17556</v>
      </c>
      <c r="N26" s="45" t="s">
        <v>398</v>
      </c>
      <c r="O26" s="46">
        <v>1</v>
      </c>
      <c r="P26" s="512"/>
      <c r="Q26" s="57"/>
      <c r="R26" s="512"/>
      <c r="S26" s="57"/>
      <c r="T26" s="122" t="s">
        <v>17564</v>
      </c>
      <c r="U26" s="37" t="s">
        <v>398</v>
      </c>
      <c r="V26" s="38">
        <v>0.25</v>
      </c>
      <c r="W26" s="79" t="s">
        <v>3575</v>
      </c>
      <c r="X26" s="122"/>
      <c r="Y26" s="37"/>
      <c r="Z26" s="38"/>
      <c r="AA26" s="79"/>
      <c r="AB26" s="208">
        <f>ROUND((ROUND((ROUND((ROUND((ROUND((_15_同援日０．５*_15・通訳),0)*_15・２人),0)*(1+_15・A深夜)),0)*(1+_15・盲ろう)),0)*(1+_15・区３)),0)+ROUND((ROUND((ROUND((ROUND((ROUND((_15_同援日０．５＿１．０*_15・通訳),0)*_15・２人),0)*(1+_15・B早朝)),0)*(1+_15・盲ろう)),0)*(1+_15・区３)),0)</f>
        <v>797</v>
      </c>
      <c r="AC26" s="48"/>
    </row>
    <row r="27" spans="1:29" ht="16.5" customHeight="1" x14ac:dyDescent="0.15">
      <c r="A27" s="41">
        <v>15</v>
      </c>
      <c r="B27" s="41" t="s">
        <v>26801</v>
      </c>
      <c r="C27" s="74" t="s">
        <v>26802</v>
      </c>
      <c r="D27" s="72"/>
      <c r="F27" s="57"/>
      <c r="G27" s="72"/>
      <c r="I27" s="57"/>
      <c r="J27" s="35"/>
      <c r="M27" s="299"/>
      <c r="N27" s="45"/>
      <c r="O27" s="46"/>
      <c r="P27" s="512"/>
      <c r="Q27" s="57"/>
      <c r="R27" s="512"/>
      <c r="S27" s="57"/>
      <c r="T27" s="114"/>
      <c r="U27" s="49"/>
      <c r="V27" s="50"/>
      <c r="W27" s="115"/>
      <c r="X27" s="114" t="s">
        <v>17580</v>
      </c>
      <c r="Y27" s="49"/>
      <c r="Z27" s="50"/>
      <c r="AA27" s="115"/>
      <c r="AB27" s="208">
        <f>ROUND((ROUND((ROUND((_15_同援日０．５*_15・通訳),0)*(1+_15・A深夜)),0)*(1+_15・区４)),0)+ROUND((ROUND((ROUND((_15_同援日０．５＿１．０*_15・通訳),0)*(1+_15・B早朝)),0)*(1+_15・区４)),0)</f>
        <v>744</v>
      </c>
      <c r="AC27" s="48"/>
    </row>
    <row r="28" spans="1:29" ht="16.5" customHeight="1" x14ac:dyDescent="0.15">
      <c r="A28" s="41">
        <v>15</v>
      </c>
      <c r="B28" s="41" t="s">
        <v>26803</v>
      </c>
      <c r="C28" s="74" t="s">
        <v>26804</v>
      </c>
      <c r="D28" s="72"/>
      <c r="F28" s="57"/>
      <c r="G28" s="72"/>
      <c r="I28" s="57"/>
      <c r="J28" s="35"/>
      <c r="M28" s="299" t="s">
        <v>17556</v>
      </c>
      <c r="N28" s="45" t="s">
        <v>398</v>
      </c>
      <c r="O28" s="46">
        <v>1</v>
      </c>
      <c r="P28" s="512"/>
      <c r="Q28" s="57"/>
      <c r="R28" s="512"/>
      <c r="S28" s="57"/>
      <c r="T28" s="122"/>
      <c r="U28" s="37"/>
      <c r="V28" s="38"/>
      <c r="W28" s="79"/>
      <c r="X28" s="72" t="s">
        <v>17572</v>
      </c>
      <c r="AA28" s="57"/>
      <c r="AB28" s="208">
        <f>ROUND((ROUND((ROUND((ROUND((_15_同援日０．５*_15・通訳),0)*_15・２人),0)*(1+_15・A深夜)),0)*(1+_15・区４)),0)+ROUND((ROUND((ROUND((ROUND((_15_同援日０．５＿１．０*_15・通訳),0)*_15・２人),0)*(1+_15・B早朝)),0)*(1+_15・区４)),0)</f>
        <v>744</v>
      </c>
      <c r="AC28" s="48"/>
    </row>
    <row r="29" spans="1:29" ht="16.5" customHeight="1" x14ac:dyDescent="0.15">
      <c r="A29" s="41">
        <v>15</v>
      </c>
      <c r="B29" s="41" t="s">
        <v>26805</v>
      </c>
      <c r="C29" s="74" t="s">
        <v>26806</v>
      </c>
      <c r="D29" s="72"/>
      <c r="F29" s="57"/>
      <c r="G29" s="72"/>
      <c r="I29" s="57"/>
      <c r="J29" s="35"/>
      <c r="M29" s="299"/>
      <c r="N29" s="45"/>
      <c r="O29" s="46"/>
      <c r="P29" s="512"/>
      <c r="Q29" s="57"/>
      <c r="R29" s="512"/>
      <c r="S29" s="57"/>
      <c r="T29" s="114" t="s">
        <v>17562</v>
      </c>
      <c r="U29" s="49"/>
      <c r="V29" s="50"/>
      <c r="W29" s="115"/>
      <c r="X29" s="72"/>
      <c r="Y29" s="12" t="s">
        <v>398</v>
      </c>
      <c r="Z29" s="13">
        <v>0.4</v>
      </c>
      <c r="AA29" s="57" t="s">
        <v>3575</v>
      </c>
      <c r="AB29" s="208">
        <f>ROUND((ROUND((ROUND((ROUND((_15_同援日０．５*_15・通訳),0)*(1+_15・A深夜)),0)*(1+_15・盲ろう)),0)*(1+_15・区４)),0)+ROUND((ROUND((ROUND((ROUND((_15_同援日０．５＿１．０*_15・通訳),0)*(1+_15・B早朝)),0)*(1+_15・盲ろう)),0)*(1+_15・区４)),0)</f>
        <v>929</v>
      </c>
      <c r="AC29" s="48"/>
    </row>
    <row r="30" spans="1:29" ht="16.5" customHeight="1" x14ac:dyDescent="0.15">
      <c r="A30" s="41">
        <v>15</v>
      </c>
      <c r="B30" s="41" t="s">
        <v>26807</v>
      </c>
      <c r="C30" s="74" t="s">
        <v>26808</v>
      </c>
      <c r="D30" s="72"/>
      <c r="F30" s="57"/>
      <c r="G30" s="122"/>
      <c r="H30" s="37"/>
      <c r="I30" s="79"/>
      <c r="J30" s="35"/>
      <c r="M30" s="299" t="s">
        <v>17556</v>
      </c>
      <c r="N30" s="45" t="s">
        <v>398</v>
      </c>
      <c r="O30" s="46">
        <v>1</v>
      </c>
      <c r="P30" s="512"/>
      <c r="Q30" s="57"/>
      <c r="R30" s="512"/>
      <c r="S30" s="57"/>
      <c r="T30" s="122" t="s">
        <v>17564</v>
      </c>
      <c r="U30" s="37" t="s">
        <v>398</v>
      </c>
      <c r="V30" s="38">
        <v>0.25</v>
      </c>
      <c r="W30" s="79" t="s">
        <v>3575</v>
      </c>
      <c r="X30" s="122"/>
      <c r="Y30" s="37"/>
      <c r="Z30" s="38"/>
      <c r="AA30" s="79"/>
      <c r="AB30" s="208">
        <f>ROUND((ROUND((ROUND((ROUND((ROUND((_15_同援日０．５*_15・通訳),0)*_15・２人),0)*(1+_15・A深夜)),0)*(1+_15・盲ろう)),0)*(1+_15・区４)),0)+ROUND((ROUND((ROUND((ROUND((ROUND((_15_同援日０．５＿１．０*_15・通訳),0)*_15・２人),0)*(1+_15・B早朝)),0)*(1+_15・盲ろう)),0)*(1+_15・区４)),0)</f>
        <v>929</v>
      </c>
      <c r="AC30" s="48"/>
    </row>
    <row r="31" spans="1:29" ht="16.5" customHeight="1" x14ac:dyDescent="0.15">
      <c r="A31" s="41">
        <v>15</v>
      </c>
      <c r="B31" s="41" t="s">
        <v>26809</v>
      </c>
      <c r="C31" s="74" t="s">
        <v>26810</v>
      </c>
      <c r="D31" s="72"/>
      <c r="F31" s="57"/>
      <c r="G31" s="114" t="s">
        <v>18871</v>
      </c>
      <c r="H31" s="49"/>
      <c r="I31" s="115"/>
      <c r="J31" s="35"/>
      <c r="M31" s="299"/>
      <c r="N31" s="45"/>
      <c r="O31" s="46"/>
      <c r="P31" s="512"/>
      <c r="Q31" s="57"/>
      <c r="R31" s="512"/>
      <c r="S31" s="57"/>
      <c r="T31" s="114"/>
      <c r="U31" s="49"/>
      <c r="V31" s="50"/>
      <c r="W31" s="115"/>
      <c r="X31" s="114"/>
      <c r="Y31" s="49"/>
      <c r="Z31" s="50"/>
      <c r="AA31" s="115"/>
      <c r="AB31" s="208">
        <f>ROUND((ROUND((_15_同援日０．５*_15・通訳),0)*(1+_15・A深夜)),0)+ROUND((ROUND((_15_同援日０．５＿１．５*_15・通訳),0)*(1+_15・B早朝)),0)</f>
        <v>603</v>
      </c>
      <c r="AC31" s="48"/>
    </row>
    <row r="32" spans="1:29" ht="16.5" customHeight="1" x14ac:dyDescent="0.15">
      <c r="A32" s="41">
        <v>15</v>
      </c>
      <c r="B32" s="41" t="s">
        <v>26811</v>
      </c>
      <c r="C32" s="74" t="s">
        <v>26812</v>
      </c>
      <c r="D32" s="72"/>
      <c r="F32" s="57"/>
      <c r="G32" s="72" t="s">
        <v>17616</v>
      </c>
      <c r="I32" s="57"/>
      <c r="J32" s="35"/>
      <c r="M32" s="299" t="s">
        <v>17556</v>
      </c>
      <c r="N32" s="45" t="s">
        <v>398</v>
      </c>
      <c r="O32" s="46">
        <v>1</v>
      </c>
      <c r="P32" s="512"/>
      <c r="Q32" s="57"/>
      <c r="R32" s="512"/>
      <c r="S32" s="57"/>
      <c r="T32" s="122"/>
      <c r="U32" s="37"/>
      <c r="V32" s="38"/>
      <c r="W32" s="79"/>
      <c r="X32" s="72"/>
      <c r="AA32" s="57"/>
      <c r="AB32" s="208">
        <f>ROUND((ROUND((ROUND((_15_同援日０．５*_15・通訳),0)*_15・２人),0)*(1+_15・A深夜)),0)+ROUND((ROUND((ROUND((_15_同援日０．５＿１．５*_15・通訳),0)*_15・２人),0)*(1+_15・B早朝)),0)</f>
        <v>603</v>
      </c>
      <c r="AC32" s="48"/>
    </row>
    <row r="33" spans="1:29" ht="16.5" customHeight="1" x14ac:dyDescent="0.15">
      <c r="A33" s="41">
        <v>15</v>
      </c>
      <c r="B33" s="41" t="s">
        <v>26813</v>
      </c>
      <c r="C33" s="74" t="s">
        <v>26814</v>
      </c>
      <c r="D33" s="72"/>
      <c r="F33" s="57"/>
      <c r="G33" s="72" t="s">
        <v>18183</v>
      </c>
      <c r="I33" s="57"/>
      <c r="J33" s="35"/>
      <c r="M33" s="299"/>
      <c r="N33" s="45"/>
      <c r="O33" s="46"/>
      <c r="P33" s="512"/>
      <c r="Q33" s="57"/>
      <c r="R33" s="512"/>
      <c r="S33" s="57"/>
      <c r="T33" s="114" t="s">
        <v>17562</v>
      </c>
      <c r="U33" s="49"/>
      <c r="V33" s="50"/>
      <c r="W33" s="115"/>
      <c r="X33" s="72"/>
      <c r="AA33" s="57"/>
      <c r="AB33" s="208">
        <f>ROUND((ROUND((ROUND((_15_同援日０．５*_15・通訳),0)*(1+_15・A深夜)),0)*(1+_15・盲ろう)),0)+ROUND((ROUND((ROUND((_15_同援日０．５＿１．５*_15・通訳),0)*(1+_15・B早朝)),0)*(1+_15・盲ろう)),0)</f>
        <v>754</v>
      </c>
      <c r="AC33" s="48"/>
    </row>
    <row r="34" spans="1:29" ht="16.5" customHeight="1" x14ac:dyDescent="0.15">
      <c r="A34" s="41">
        <v>15</v>
      </c>
      <c r="B34" s="41" t="s">
        <v>26815</v>
      </c>
      <c r="C34" s="74" t="s">
        <v>26816</v>
      </c>
      <c r="D34" s="72"/>
      <c r="F34" s="57"/>
      <c r="G34" s="72"/>
      <c r="H34" s="168">
        <f>_15_同援日０．５＿１．５</f>
        <v>308</v>
      </c>
      <c r="I34" s="57" t="s">
        <v>392</v>
      </c>
      <c r="J34" s="35"/>
      <c r="M34" s="299" t="s">
        <v>17556</v>
      </c>
      <c r="N34" s="45" t="s">
        <v>398</v>
      </c>
      <c r="O34" s="46">
        <v>1</v>
      </c>
      <c r="P34" s="512"/>
      <c r="Q34" s="57"/>
      <c r="R34" s="512"/>
      <c r="S34" s="57"/>
      <c r="T34" s="122" t="s">
        <v>17564</v>
      </c>
      <c r="U34" s="37" t="s">
        <v>398</v>
      </c>
      <c r="V34" s="38">
        <v>0.25</v>
      </c>
      <c r="W34" s="79" t="s">
        <v>3575</v>
      </c>
      <c r="X34" s="122"/>
      <c r="Y34" s="37"/>
      <c r="Z34" s="38"/>
      <c r="AA34" s="79"/>
      <c r="AB34" s="208">
        <f>ROUND((ROUND((ROUND((ROUND((_15_同援日０．５*_15・通訳),0)*_15・２人),0)*(1+_15・A深夜)),0)*(1+_15・盲ろう)),0)+ROUND((ROUND((ROUND((ROUND((_15_同援日０．５＿１．５*_15・通訳),0)*_15・２人),0)*(1+_15・B早朝)),0)*(1+_15・盲ろう)),0)</f>
        <v>754</v>
      </c>
      <c r="AC34" s="48"/>
    </row>
    <row r="35" spans="1:29" ht="16.5" customHeight="1" x14ac:dyDescent="0.15">
      <c r="A35" s="41">
        <v>15</v>
      </c>
      <c r="B35" s="41" t="s">
        <v>26817</v>
      </c>
      <c r="C35" s="74" t="s">
        <v>26818</v>
      </c>
      <c r="D35" s="72"/>
      <c r="F35" s="57"/>
      <c r="G35" s="72"/>
      <c r="I35" s="57"/>
      <c r="J35" s="35"/>
      <c r="M35" s="299"/>
      <c r="N35" s="45"/>
      <c r="O35" s="46"/>
      <c r="P35" s="512"/>
      <c r="Q35" s="57"/>
      <c r="R35" s="512"/>
      <c r="S35" s="57"/>
      <c r="T35" s="114"/>
      <c r="U35" s="49"/>
      <c r="V35" s="50"/>
      <c r="W35" s="115"/>
      <c r="X35" s="114" t="s">
        <v>17570</v>
      </c>
      <c r="Y35" s="49"/>
      <c r="Z35" s="50"/>
      <c r="AA35" s="115"/>
      <c r="AB35" s="208">
        <f>ROUND((ROUND((ROUND((_15_同援日０．５*_15・通訳),0)*(1+_15・A深夜)),0)*(1+_15・区３)),0)+ROUND((ROUND((ROUND((_15_同援日０．５＿１．５*_15・通訳),0)*(1+_15・B早朝)),0)*(1+_15・区３)),0)</f>
        <v>723</v>
      </c>
      <c r="AC35" s="48"/>
    </row>
    <row r="36" spans="1:29" ht="16.5" customHeight="1" x14ac:dyDescent="0.15">
      <c r="A36" s="41">
        <v>15</v>
      </c>
      <c r="B36" s="41" t="s">
        <v>26819</v>
      </c>
      <c r="C36" s="74" t="s">
        <v>26820</v>
      </c>
      <c r="D36" s="72"/>
      <c r="F36" s="57"/>
      <c r="G36" s="72"/>
      <c r="I36" s="57"/>
      <c r="J36" s="35"/>
      <c r="M36" s="299" t="s">
        <v>17556</v>
      </c>
      <c r="N36" s="45" t="s">
        <v>398</v>
      </c>
      <c r="O36" s="46">
        <v>1</v>
      </c>
      <c r="P36" s="512"/>
      <c r="Q36" s="57"/>
      <c r="R36" s="512"/>
      <c r="S36" s="57"/>
      <c r="T36" s="122"/>
      <c r="U36" s="37"/>
      <c r="V36" s="38"/>
      <c r="W36" s="79"/>
      <c r="X36" s="72" t="s">
        <v>17572</v>
      </c>
      <c r="AA36" s="57"/>
      <c r="AB36" s="208">
        <f>ROUND((ROUND((ROUND((ROUND((_15_同援日０．５*_15・通訳),0)*_15・２人),0)*(1+_15・A深夜)),0)*(1+_15・区３)),0)+ROUND((ROUND((ROUND((ROUND((_15_同援日０．５＿１．５*_15・通訳),0)*_15・２人),0)*(1+_15・B早朝)),0)*(1+_15・区３)),0)</f>
        <v>723</v>
      </c>
      <c r="AC36" s="48"/>
    </row>
    <row r="37" spans="1:29" ht="16.5" customHeight="1" x14ac:dyDescent="0.15">
      <c r="A37" s="41">
        <v>15</v>
      </c>
      <c r="B37" s="41" t="s">
        <v>2837</v>
      </c>
      <c r="C37" s="74" t="s">
        <v>26821</v>
      </c>
      <c r="D37" s="72"/>
      <c r="F37" s="57"/>
      <c r="G37" s="72"/>
      <c r="I37" s="57"/>
      <c r="J37" s="35"/>
      <c r="M37" s="299"/>
      <c r="N37" s="45"/>
      <c r="O37" s="46"/>
      <c r="P37" s="512"/>
      <c r="Q37" s="57"/>
      <c r="R37" s="512"/>
      <c r="S37" s="57"/>
      <c r="T37" s="114" t="s">
        <v>17562</v>
      </c>
      <c r="U37" s="49"/>
      <c r="V37" s="50"/>
      <c r="W37" s="115"/>
      <c r="X37" s="72"/>
      <c r="Y37" s="12" t="s">
        <v>398</v>
      </c>
      <c r="Z37" s="13">
        <v>0.2</v>
      </c>
      <c r="AA37" s="57" t="s">
        <v>3575</v>
      </c>
      <c r="AB37" s="208">
        <f>ROUND((ROUND((ROUND((ROUND((_15_同援日０．５*_15・通訳),0)*(1+_15・A深夜)),0)*(1+_15・盲ろう)),0)*(1+_15・区３)),0)+ROUND((ROUND((ROUND((ROUND((_15_同援日０．５＿１．５*_15・通訳),0)*(1+_15・B早朝)),0)*(1+_15・盲ろう)),0)*(1+_15・区３)),0)</f>
        <v>905</v>
      </c>
      <c r="AC37" s="48"/>
    </row>
    <row r="38" spans="1:29" ht="16.5" customHeight="1" x14ac:dyDescent="0.15">
      <c r="A38" s="41">
        <v>15</v>
      </c>
      <c r="B38" s="41" t="s">
        <v>2839</v>
      </c>
      <c r="C38" s="74" t="s">
        <v>26822</v>
      </c>
      <c r="D38" s="72"/>
      <c r="F38" s="57"/>
      <c r="G38" s="72"/>
      <c r="I38" s="57"/>
      <c r="J38" s="35"/>
      <c r="M38" s="299" t="s">
        <v>17556</v>
      </c>
      <c r="N38" s="45" t="s">
        <v>398</v>
      </c>
      <c r="O38" s="46">
        <v>1</v>
      </c>
      <c r="P38" s="512"/>
      <c r="Q38" s="57"/>
      <c r="R38" s="512"/>
      <c r="S38" s="57"/>
      <c r="T38" s="122" t="s">
        <v>17564</v>
      </c>
      <c r="U38" s="37" t="s">
        <v>398</v>
      </c>
      <c r="V38" s="38">
        <v>0.25</v>
      </c>
      <c r="W38" s="79" t="s">
        <v>3575</v>
      </c>
      <c r="X38" s="122"/>
      <c r="Y38" s="37"/>
      <c r="Z38" s="38"/>
      <c r="AA38" s="79"/>
      <c r="AB38" s="208">
        <f>ROUND((ROUND((ROUND((ROUND((ROUND((_15_同援日０．５*_15・通訳),0)*_15・２人),0)*(1+_15・A深夜)),0)*(1+_15・盲ろう)),0)*(1+_15・区３)),0)+ROUND((ROUND((ROUND((ROUND((ROUND((_15_同援日０．５＿１．５*_15・通訳),0)*_15・２人),0)*(1+_15・B早朝)),0)*(1+_15・盲ろう)),0)*(1+_15・区３)),0)</f>
        <v>905</v>
      </c>
      <c r="AC38" s="48"/>
    </row>
    <row r="39" spans="1:29" ht="16.5" customHeight="1" x14ac:dyDescent="0.15">
      <c r="A39" s="41">
        <v>15</v>
      </c>
      <c r="B39" s="41" t="s">
        <v>2841</v>
      </c>
      <c r="C39" s="74" t="s">
        <v>26823</v>
      </c>
      <c r="D39" s="72"/>
      <c r="F39" s="57"/>
      <c r="G39" s="72"/>
      <c r="I39" s="57"/>
      <c r="J39" s="35"/>
      <c r="M39" s="299"/>
      <c r="N39" s="45"/>
      <c r="O39" s="46"/>
      <c r="P39" s="512"/>
      <c r="Q39" s="57"/>
      <c r="R39" s="512"/>
      <c r="S39" s="57"/>
      <c r="T39" s="114"/>
      <c r="U39" s="49"/>
      <c r="V39" s="50"/>
      <c r="W39" s="115"/>
      <c r="X39" s="114" t="s">
        <v>17580</v>
      </c>
      <c r="Y39" s="49"/>
      <c r="Z39" s="50"/>
      <c r="AA39" s="115"/>
      <c r="AB39" s="208">
        <f>ROUND((ROUND((ROUND((_15_同援日０．５*_15・通訳),0)*(1+_15・A深夜)),0)*(1+_15・区４)),0)+ROUND((ROUND((ROUND((_15_同援日０．５＿１．５*_15・通訳),0)*(1+_15・B早朝)),0)*(1+_15・区４)),0)</f>
        <v>844</v>
      </c>
      <c r="AC39" s="48"/>
    </row>
    <row r="40" spans="1:29" ht="16.5" customHeight="1" x14ac:dyDescent="0.15">
      <c r="A40" s="41">
        <v>15</v>
      </c>
      <c r="B40" s="41" t="s">
        <v>2843</v>
      </c>
      <c r="C40" s="74" t="s">
        <v>26824</v>
      </c>
      <c r="D40" s="72"/>
      <c r="F40" s="57"/>
      <c r="G40" s="72"/>
      <c r="I40" s="57"/>
      <c r="J40" s="35"/>
      <c r="M40" s="299" t="s">
        <v>17556</v>
      </c>
      <c r="N40" s="45" t="s">
        <v>398</v>
      </c>
      <c r="O40" s="46">
        <v>1</v>
      </c>
      <c r="P40" s="512"/>
      <c r="Q40" s="57"/>
      <c r="R40" s="512"/>
      <c r="S40" s="57"/>
      <c r="T40" s="122"/>
      <c r="U40" s="37"/>
      <c r="V40" s="38"/>
      <c r="W40" s="79"/>
      <c r="X40" s="72" t="s">
        <v>17572</v>
      </c>
      <c r="AA40" s="57"/>
      <c r="AB40" s="208">
        <f>ROUND((ROUND((ROUND((ROUND((_15_同援日０．５*_15・通訳),0)*_15・２人),0)*(1+_15・A深夜)),0)*(1+_15・区４)),0)+ROUND((ROUND((ROUND((ROUND((_15_同援日０．５＿１．５*_15・通訳),0)*_15・２人),0)*(1+_15・B早朝)),0)*(1+_15・区４)),0)</f>
        <v>844</v>
      </c>
      <c r="AC40" s="48"/>
    </row>
    <row r="41" spans="1:29" ht="16.5" customHeight="1" x14ac:dyDescent="0.15">
      <c r="A41" s="41">
        <v>15</v>
      </c>
      <c r="B41" s="41" t="s">
        <v>26825</v>
      </c>
      <c r="C41" s="74" t="s">
        <v>26826</v>
      </c>
      <c r="D41" s="72"/>
      <c r="F41" s="57"/>
      <c r="G41" s="72"/>
      <c r="I41" s="57"/>
      <c r="J41" s="35"/>
      <c r="M41" s="299"/>
      <c r="N41" s="45"/>
      <c r="O41" s="46"/>
      <c r="P41" s="512"/>
      <c r="Q41" s="57"/>
      <c r="R41" s="512"/>
      <c r="S41" s="57"/>
      <c r="T41" s="114" t="s">
        <v>17562</v>
      </c>
      <c r="U41" s="49"/>
      <c r="V41" s="50"/>
      <c r="W41" s="115"/>
      <c r="X41" s="72"/>
      <c r="Y41" s="12" t="s">
        <v>398</v>
      </c>
      <c r="Z41" s="13">
        <v>0.4</v>
      </c>
      <c r="AA41" s="57" t="s">
        <v>3575</v>
      </c>
      <c r="AB41" s="208">
        <f>ROUND((ROUND((ROUND((ROUND((_15_同援日０．５*_15・通訳),0)*(1+_15・A深夜)),0)*(1+_15・盲ろう)),0)*(1+_15・区４)),0)+ROUND((ROUND((ROUND((ROUND((_15_同援日０．５＿１．５*_15・通訳),0)*(1+_15・B早朝)),0)*(1+_15・盲ろう)),0)*(1+_15・区４)),0)</f>
        <v>1055</v>
      </c>
      <c r="AC41" s="48"/>
    </row>
    <row r="42" spans="1:29" ht="16.5" customHeight="1" x14ac:dyDescent="0.15">
      <c r="A42" s="41">
        <v>15</v>
      </c>
      <c r="B42" s="41" t="s">
        <v>26827</v>
      </c>
      <c r="C42" s="74" t="s">
        <v>26828</v>
      </c>
      <c r="D42" s="72"/>
      <c r="F42" s="57"/>
      <c r="G42" s="122"/>
      <c r="H42" s="37"/>
      <c r="I42" s="79"/>
      <c r="J42" s="35"/>
      <c r="M42" s="299" t="s">
        <v>17556</v>
      </c>
      <c r="N42" s="45" t="s">
        <v>398</v>
      </c>
      <c r="O42" s="46">
        <v>1</v>
      </c>
      <c r="P42" s="512"/>
      <c r="Q42" s="57"/>
      <c r="R42" s="512"/>
      <c r="S42" s="57"/>
      <c r="T42" s="122" t="s">
        <v>17564</v>
      </c>
      <c r="U42" s="37" t="s">
        <v>398</v>
      </c>
      <c r="V42" s="38">
        <v>0.25</v>
      </c>
      <c r="W42" s="79" t="s">
        <v>3575</v>
      </c>
      <c r="X42" s="122"/>
      <c r="Y42" s="37"/>
      <c r="Z42" s="38"/>
      <c r="AA42" s="79"/>
      <c r="AB42" s="208">
        <f>ROUND((ROUND((ROUND((ROUND((ROUND((_15_同援日０．５*_15・通訳),0)*_15・２人),0)*(1+_15・A深夜)),0)*(1+_15・盲ろう)),0)*(1+_15・区４)),0)+ROUND((ROUND((ROUND((ROUND((ROUND((_15_同援日０．５＿１．５*_15・通訳),0)*_15・２人),0)*(1+_15・B早朝)),0)*(1+_15・盲ろう)),0)*(1+_15・区４)),0)</f>
        <v>1055</v>
      </c>
      <c r="AC42" s="48"/>
    </row>
    <row r="43" spans="1:29" ht="16.5" customHeight="1" x14ac:dyDescent="0.15">
      <c r="A43" s="41">
        <v>15</v>
      </c>
      <c r="B43" s="41" t="s">
        <v>26829</v>
      </c>
      <c r="C43" s="74" t="s">
        <v>26830</v>
      </c>
      <c r="D43" s="72"/>
      <c r="F43" s="57"/>
      <c r="G43" s="114" t="s">
        <v>18896</v>
      </c>
      <c r="H43" s="49"/>
      <c r="I43" s="115"/>
      <c r="J43" s="35"/>
      <c r="M43" s="299"/>
      <c r="N43" s="45"/>
      <c r="O43" s="46"/>
      <c r="P43" s="512"/>
      <c r="Q43" s="57"/>
      <c r="R43" s="512"/>
      <c r="S43" s="57"/>
      <c r="T43" s="114"/>
      <c r="U43" s="49"/>
      <c r="V43" s="50"/>
      <c r="W43" s="115"/>
      <c r="X43" s="114"/>
      <c r="Y43" s="49"/>
      <c r="Z43" s="50"/>
      <c r="AA43" s="115"/>
      <c r="AB43" s="208">
        <f>ROUND((ROUND((_15_同援日０．５*_15・通訳),0)*(1+_15・A深夜)),0)+ROUND((ROUND((_15_同援日０．５＿２．０*_15・通訳),0)*(1+_15・B早朝)),0)</f>
        <v>677</v>
      </c>
      <c r="AC43" s="48"/>
    </row>
    <row r="44" spans="1:29" ht="16.5" customHeight="1" x14ac:dyDescent="0.15">
      <c r="A44" s="41">
        <v>15</v>
      </c>
      <c r="B44" s="41" t="s">
        <v>26831</v>
      </c>
      <c r="C44" s="74" t="s">
        <v>26832</v>
      </c>
      <c r="D44" s="72"/>
      <c r="F44" s="57"/>
      <c r="G44" s="72" t="s">
        <v>17643</v>
      </c>
      <c r="I44" s="57"/>
      <c r="J44" s="35"/>
      <c r="M44" s="299" t="s">
        <v>17556</v>
      </c>
      <c r="N44" s="45" t="s">
        <v>398</v>
      </c>
      <c r="O44" s="46">
        <v>1</v>
      </c>
      <c r="P44" s="512"/>
      <c r="Q44" s="57"/>
      <c r="R44" s="512"/>
      <c r="S44" s="57"/>
      <c r="T44" s="122"/>
      <c r="U44" s="37"/>
      <c r="V44" s="38"/>
      <c r="W44" s="79"/>
      <c r="X44" s="72"/>
      <c r="AA44" s="57"/>
      <c r="AB44" s="208">
        <f>ROUND((ROUND((ROUND((_15_同援日０．５*_15・通訳),0)*_15・２人),0)*(1+_15・A深夜)),0)+ROUND((ROUND((ROUND((_15_同援日０．５＿２．０*_15・通訳),0)*_15・２人),0)*(1+_15・B早朝)),0)</f>
        <v>677</v>
      </c>
      <c r="AC44" s="48"/>
    </row>
    <row r="45" spans="1:29" ht="16.5" customHeight="1" x14ac:dyDescent="0.15">
      <c r="A45" s="41">
        <v>15</v>
      </c>
      <c r="B45" s="41" t="s">
        <v>26833</v>
      </c>
      <c r="C45" s="74" t="s">
        <v>26834</v>
      </c>
      <c r="D45" s="72"/>
      <c r="F45" s="57"/>
      <c r="G45" s="72" t="s">
        <v>17645</v>
      </c>
      <c r="I45" s="57"/>
      <c r="J45" s="35"/>
      <c r="M45" s="299"/>
      <c r="N45" s="45"/>
      <c r="O45" s="46"/>
      <c r="P45" s="512"/>
      <c r="Q45" s="57"/>
      <c r="R45" s="512"/>
      <c r="S45" s="57"/>
      <c r="T45" s="114" t="s">
        <v>17562</v>
      </c>
      <c r="U45" s="49"/>
      <c r="V45" s="50"/>
      <c r="W45" s="115"/>
      <c r="X45" s="72"/>
      <c r="AA45" s="57"/>
      <c r="AB45" s="208">
        <f>ROUND((ROUND((ROUND((_15_同援日０．５*_15・通訳),0)*(1+_15・A深夜)),0)*(1+_15・盲ろう)),0)+ROUND((ROUND((ROUND((_15_同援日０．５＿２．０*_15・通訳),0)*(1+_15・B早朝)),0)*(1+_15・盲ろう)),0)</f>
        <v>846</v>
      </c>
      <c r="AC45" s="48"/>
    </row>
    <row r="46" spans="1:29" ht="16.5" customHeight="1" x14ac:dyDescent="0.15">
      <c r="A46" s="41">
        <v>15</v>
      </c>
      <c r="B46" s="41" t="s">
        <v>26835</v>
      </c>
      <c r="C46" s="74" t="s">
        <v>26836</v>
      </c>
      <c r="D46" s="72"/>
      <c r="F46" s="57"/>
      <c r="G46" s="72"/>
      <c r="H46" s="168">
        <f>_15_同援日０．５＿２．０</f>
        <v>373</v>
      </c>
      <c r="I46" s="57" t="s">
        <v>392</v>
      </c>
      <c r="J46" s="35"/>
      <c r="M46" s="299" t="s">
        <v>17556</v>
      </c>
      <c r="N46" s="45" t="s">
        <v>398</v>
      </c>
      <c r="O46" s="46">
        <v>1</v>
      </c>
      <c r="P46" s="512"/>
      <c r="Q46" s="57"/>
      <c r="R46" s="512"/>
      <c r="S46" s="57"/>
      <c r="T46" s="122" t="s">
        <v>17564</v>
      </c>
      <c r="U46" s="37" t="s">
        <v>398</v>
      </c>
      <c r="V46" s="38">
        <v>0.25</v>
      </c>
      <c r="W46" s="79" t="s">
        <v>3575</v>
      </c>
      <c r="X46" s="122"/>
      <c r="Y46" s="37"/>
      <c r="Z46" s="38"/>
      <c r="AA46" s="79"/>
      <c r="AB46" s="208">
        <f>ROUND((ROUND((ROUND((ROUND((_15_同援日０．５*_15・通訳),0)*_15・２人),0)*(1+_15・A深夜)),0)*(1+_15・盲ろう)),0)+ROUND((ROUND((ROUND((ROUND((_15_同援日０．５＿２．０*_15・通訳),0)*_15・２人),0)*(1+_15・B早朝)),0)*(1+_15・盲ろう)),0)</f>
        <v>846</v>
      </c>
      <c r="AC46" s="48"/>
    </row>
    <row r="47" spans="1:29" ht="16.5" customHeight="1" x14ac:dyDescent="0.15">
      <c r="A47" s="41">
        <v>15</v>
      </c>
      <c r="B47" s="41" t="s">
        <v>26837</v>
      </c>
      <c r="C47" s="74" t="s">
        <v>26838</v>
      </c>
      <c r="D47" s="72"/>
      <c r="F47" s="57"/>
      <c r="G47" s="72"/>
      <c r="I47" s="57"/>
      <c r="J47" s="35"/>
      <c r="M47" s="299"/>
      <c r="N47" s="45"/>
      <c r="O47" s="46"/>
      <c r="P47" s="512"/>
      <c r="Q47" s="57"/>
      <c r="R47" s="512"/>
      <c r="S47" s="57"/>
      <c r="T47" s="114"/>
      <c r="U47" s="49"/>
      <c r="V47" s="50"/>
      <c r="W47" s="115"/>
      <c r="X47" s="114" t="s">
        <v>17570</v>
      </c>
      <c r="Y47" s="49"/>
      <c r="Z47" s="50"/>
      <c r="AA47" s="115"/>
      <c r="AB47" s="208">
        <f>ROUND((ROUND((ROUND((_15_同援日０．５*_15・通訳),0)*(1+_15・A深夜)),0)*(1+_15・区３)),0)+ROUND((ROUND((ROUND((_15_同援日０．５＿２．０*_15・通訳),0)*(1+_15・B早朝)),0)*(1+_15・区３)),0)</f>
        <v>812</v>
      </c>
      <c r="AC47" s="48"/>
    </row>
    <row r="48" spans="1:29" ht="16.5" customHeight="1" x14ac:dyDescent="0.15">
      <c r="A48" s="41">
        <v>15</v>
      </c>
      <c r="B48" s="41" t="s">
        <v>26839</v>
      </c>
      <c r="C48" s="74" t="s">
        <v>26840</v>
      </c>
      <c r="D48" s="72"/>
      <c r="F48" s="57"/>
      <c r="G48" s="72"/>
      <c r="I48" s="57"/>
      <c r="J48" s="35"/>
      <c r="M48" s="299" t="s">
        <v>17556</v>
      </c>
      <c r="N48" s="45" t="s">
        <v>398</v>
      </c>
      <c r="O48" s="46">
        <v>1</v>
      </c>
      <c r="P48" s="512"/>
      <c r="Q48" s="57"/>
      <c r="R48" s="512"/>
      <c r="S48" s="57"/>
      <c r="T48" s="122"/>
      <c r="U48" s="37"/>
      <c r="V48" s="38"/>
      <c r="W48" s="79"/>
      <c r="X48" s="72" t="s">
        <v>17572</v>
      </c>
      <c r="AA48" s="57"/>
      <c r="AB48" s="208">
        <f>ROUND((ROUND((ROUND((ROUND((_15_同援日０．５*_15・通訳),0)*_15・２人),0)*(1+_15・A深夜)),0)*(1+_15・区３)),0)+ROUND((ROUND((ROUND((ROUND((_15_同援日０．５＿２．０*_15・通訳),0)*_15・２人),0)*(1+_15・B早朝)),0)*(1+_15・区３)),0)</f>
        <v>812</v>
      </c>
      <c r="AC48" s="48"/>
    </row>
    <row r="49" spans="1:29" ht="16.5" customHeight="1" x14ac:dyDescent="0.15">
      <c r="A49" s="41">
        <v>15</v>
      </c>
      <c r="B49" s="41" t="s">
        <v>26841</v>
      </c>
      <c r="C49" s="74" t="s">
        <v>26842</v>
      </c>
      <c r="D49" s="72"/>
      <c r="F49" s="57"/>
      <c r="G49" s="72"/>
      <c r="I49" s="57"/>
      <c r="J49" s="35"/>
      <c r="M49" s="299"/>
      <c r="N49" s="45"/>
      <c r="O49" s="46"/>
      <c r="P49" s="512"/>
      <c r="Q49" s="57"/>
      <c r="R49" s="512"/>
      <c r="S49" s="57"/>
      <c r="T49" s="114" t="s">
        <v>17562</v>
      </c>
      <c r="U49" s="49"/>
      <c r="V49" s="50"/>
      <c r="W49" s="115"/>
      <c r="X49" s="72"/>
      <c r="Y49" s="12" t="s">
        <v>398</v>
      </c>
      <c r="Z49" s="13">
        <v>0.2</v>
      </c>
      <c r="AA49" s="57" t="s">
        <v>3575</v>
      </c>
      <c r="AB49" s="208">
        <f>ROUND((ROUND((ROUND((ROUND((_15_同援日０．５*_15・通訳),0)*(1+_15・A深夜)),0)*(1+_15・盲ろう)),0)*(1+_15・区３)),0)+ROUND((ROUND((ROUND((ROUND((_15_同援日０．５＿２．０*_15・通訳),0)*(1+_15・B早朝)),0)*(1+_15・盲ろう)),0)*(1+_15・区３)),0)</f>
        <v>1015</v>
      </c>
      <c r="AC49" s="48"/>
    </row>
    <row r="50" spans="1:29" ht="16.5" customHeight="1" x14ac:dyDescent="0.15">
      <c r="A50" s="41">
        <v>15</v>
      </c>
      <c r="B50" s="41" t="s">
        <v>26843</v>
      </c>
      <c r="C50" s="74" t="s">
        <v>26844</v>
      </c>
      <c r="D50" s="72"/>
      <c r="F50" s="57"/>
      <c r="G50" s="72"/>
      <c r="I50" s="57"/>
      <c r="J50" s="35"/>
      <c r="M50" s="299" t="s">
        <v>17556</v>
      </c>
      <c r="N50" s="45" t="s">
        <v>398</v>
      </c>
      <c r="O50" s="46">
        <v>1</v>
      </c>
      <c r="P50" s="512"/>
      <c r="Q50" s="57"/>
      <c r="R50" s="512"/>
      <c r="S50" s="57"/>
      <c r="T50" s="122" t="s">
        <v>17564</v>
      </c>
      <c r="U50" s="37" t="s">
        <v>398</v>
      </c>
      <c r="V50" s="38">
        <v>0.25</v>
      </c>
      <c r="W50" s="79" t="s">
        <v>3575</v>
      </c>
      <c r="X50" s="122"/>
      <c r="Y50" s="37"/>
      <c r="Z50" s="38"/>
      <c r="AA50" s="79"/>
      <c r="AB50" s="208">
        <f>ROUND((ROUND((ROUND((ROUND((ROUND((_15_同援日０．５*_15・通訳),0)*_15・２人),0)*(1+_15・A深夜)),0)*(1+_15・盲ろう)),0)*(1+_15・区３)),0)+ROUND((ROUND((ROUND((ROUND((ROUND((_15_同援日０．５＿２．０*_15・通訳),0)*_15・２人),0)*(1+_15・B早朝)),0)*(1+_15・盲ろう)),0)*(1+_15・区３)),0)</f>
        <v>1015</v>
      </c>
      <c r="AC50" s="48"/>
    </row>
    <row r="51" spans="1:29" ht="16.5" customHeight="1" x14ac:dyDescent="0.15">
      <c r="A51" s="41">
        <v>15</v>
      </c>
      <c r="B51" s="41" t="s">
        <v>26845</v>
      </c>
      <c r="C51" s="74" t="s">
        <v>26846</v>
      </c>
      <c r="D51" s="72"/>
      <c r="F51" s="57"/>
      <c r="G51" s="72"/>
      <c r="I51" s="57"/>
      <c r="J51" s="35"/>
      <c r="M51" s="299"/>
      <c r="N51" s="45"/>
      <c r="O51" s="46"/>
      <c r="P51" s="512"/>
      <c r="Q51" s="57"/>
      <c r="R51" s="512"/>
      <c r="S51" s="57"/>
      <c r="T51" s="114"/>
      <c r="U51" s="49"/>
      <c r="V51" s="50"/>
      <c r="W51" s="115"/>
      <c r="X51" s="114" t="s">
        <v>17580</v>
      </c>
      <c r="Y51" s="49"/>
      <c r="Z51" s="50"/>
      <c r="AA51" s="115"/>
      <c r="AB51" s="208">
        <f>ROUND((ROUND((ROUND((_15_同援日０．５*_15・通訳),0)*(1+_15・A深夜)),0)*(1+_15・区４)),0)+ROUND((ROUND((ROUND((_15_同援日０．５＿２．０*_15・通訳),0)*(1+_15・B早朝)),0)*(1+_15・区４)),0)</f>
        <v>948</v>
      </c>
      <c r="AC51" s="48"/>
    </row>
    <row r="52" spans="1:29" ht="16.5" customHeight="1" x14ac:dyDescent="0.15">
      <c r="A52" s="41">
        <v>15</v>
      </c>
      <c r="B52" s="41" t="s">
        <v>26847</v>
      </c>
      <c r="C52" s="74" t="s">
        <v>26848</v>
      </c>
      <c r="D52" s="72"/>
      <c r="F52" s="57"/>
      <c r="G52" s="72"/>
      <c r="I52" s="57"/>
      <c r="J52" s="35"/>
      <c r="M52" s="299" t="s">
        <v>17556</v>
      </c>
      <c r="N52" s="45" t="s">
        <v>398</v>
      </c>
      <c r="O52" s="46">
        <v>1</v>
      </c>
      <c r="P52" s="512"/>
      <c r="Q52" s="57"/>
      <c r="R52" s="512"/>
      <c r="S52" s="57"/>
      <c r="T52" s="122"/>
      <c r="U52" s="37"/>
      <c r="V52" s="38"/>
      <c r="W52" s="79"/>
      <c r="X52" s="72" t="s">
        <v>17572</v>
      </c>
      <c r="AA52" s="57"/>
      <c r="AB52" s="208">
        <f>ROUND((ROUND((ROUND((ROUND((_15_同援日０．５*_15・通訳),0)*_15・２人),0)*(1+_15・A深夜)),0)*(1+_15・区４)),0)+ROUND((ROUND((ROUND((ROUND((_15_同援日０．５＿２．０*_15・通訳),0)*_15・２人),0)*(1+_15・B早朝)),0)*(1+_15・区４)),0)</f>
        <v>948</v>
      </c>
      <c r="AC52" s="48"/>
    </row>
    <row r="53" spans="1:29" ht="16.5" customHeight="1" x14ac:dyDescent="0.15">
      <c r="A53" s="41">
        <v>15</v>
      </c>
      <c r="B53" s="41" t="s">
        <v>26849</v>
      </c>
      <c r="C53" s="74" t="s">
        <v>26850</v>
      </c>
      <c r="D53" s="72"/>
      <c r="F53" s="57"/>
      <c r="G53" s="72"/>
      <c r="I53" s="57"/>
      <c r="J53" s="35"/>
      <c r="M53" s="299"/>
      <c r="N53" s="45"/>
      <c r="O53" s="46"/>
      <c r="P53" s="512"/>
      <c r="Q53" s="57"/>
      <c r="R53" s="512"/>
      <c r="S53" s="57"/>
      <c r="T53" s="114" t="s">
        <v>17562</v>
      </c>
      <c r="U53" s="49"/>
      <c r="V53" s="50"/>
      <c r="W53" s="115"/>
      <c r="X53" s="72"/>
      <c r="Y53" s="12" t="s">
        <v>398</v>
      </c>
      <c r="Z53" s="13">
        <v>0.4</v>
      </c>
      <c r="AA53" s="57" t="s">
        <v>3575</v>
      </c>
      <c r="AB53" s="208">
        <f>ROUND((ROUND((ROUND((ROUND((_15_同援日０．５*_15・通訳),0)*(1+_15・A深夜)),0)*(1+_15・盲ろう)),0)*(1+_15・区４)),0)+ROUND((ROUND((ROUND((ROUND((_15_同援日０．５＿２．０*_15・通訳),0)*(1+_15・B早朝)),0)*(1+_15・盲ろう)),0)*(1+_15・区４)),0)</f>
        <v>1184</v>
      </c>
      <c r="AC53" s="48"/>
    </row>
    <row r="54" spans="1:29" ht="16.5" customHeight="1" x14ac:dyDescent="0.15">
      <c r="A54" s="41">
        <v>15</v>
      </c>
      <c r="B54" s="41" t="s">
        <v>26851</v>
      </c>
      <c r="C54" s="74" t="s">
        <v>26852</v>
      </c>
      <c r="D54" s="72"/>
      <c r="F54" s="57"/>
      <c r="G54" s="122"/>
      <c r="H54" s="37"/>
      <c r="I54" s="79"/>
      <c r="J54" s="35"/>
      <c r="M54" s="299" t="s">
        <v>17556</v>
      </c>
      <c r="N54" s="45" t="s">
        <v>398</v>
      </c>
      <c r="O54" s="46">
        <v>1</v>
      </c>
      <c r="P54" s="512"/>
      <c r="Q54" s="57"/>
      <c r="R54" s="512"/>
      <c r="S54" s="57"/>
      <c r="T54" s="122" t="s">
        <v>17564</v>
      </c>
      <c r="U54" s="37" t="s">
        <v>398</v>
      </c>
      <c r="V54" s="38">
        <v>0.25</v>
      </c>
      <c r="W54" s="79" t="s">
        <v>3575</v>
      </c>
      <c r="X54" s="122"/>
      <c r="Y54" s="37"/>
      <c r="Z54" s="38"/>
      <c r="AA54" s="79"/>
      <c r="AB54" s="208">
        <f>ROUND((ROUND((ROUND((ROUND((ROUND((_15_同援日０．５*_15・通訳),0)*_15・２人),0)*(1+_15・A深夜)),0)*(1+_15・盲ろう)),0)*(1+_15・区４)),0)+ROUND((ROUND((ROUND((ROUND((ROUND((_15_同援日０．５＿２．０*_15・通訳),0)*_15・２人),0)*(1+_15・B早朝)),0)*(1+_15・盲ろう)),0)*(1+_15・区４)),0)</f>
        <v>1184</v>
      </c>
      <c r="AC54" s="48"/>
    </row>
    <row r="55" spans="1:29" ht="16.5" customHeight="1" x14ac:dyDescent="0.15">
      <c r="A55" s="41">
        <v>15</v>
      </c>
      <c r="B55" s="41" t="s">
        <v>26853</v>
      </c>
      <c r="C55" s="74" t="s">
        <v>26854</v>
      </c>
      <c r="D55" s="72"/>
      <c r="F55" s="57"/>
      <c r="G55" s="114" t="s">
        <v>18921</v>
      </c>
      <c r="H55" s="49"/>
      <c r="I55" s="115"/>
      <c r="J55" s="35"/>
      <c r="M55" s="299"/>
      <c r="N55" s="45"/>
      <c r="O55" s="46"/>
      <c r="P55" s="512"/>
      <c r="Q55" s="57"/>
      <c r="R55" s="512"/>
      <c r="S55" s="57"/>
      <c r="T55" s="114"/>
      <c r="U55" s="49"/>
      <c r="V55" s="50"/>
      <c r="W55" s="115"/>
      <c r="X55" s="114"/>
      <c r="Y55" s="49"/>
      <c r="Z55" s="50"/>
      <c r="AA55" s="115"/>
      <c r="AB55" s="208">
        <f>ROUND((ROUND((_15_同援日０．５*_15・通訳),0)*(1+_15・A深夜)),0)+ROUND((ROUND((_15_同援日０．５＿２．５*_15・通訳),0)*(1+_15・B早朝)),0)</f>
        <v>750</v>
      </c>
      <c r="AC55" s="48"/>
    </row>
    <row r="56" spans="1:29" ht="16.5" customHeight="1" x14ac:dyDescent="0.15">
      <c r="A56" s="41">
        <v>15</v>
      </c>
      <c r="B56" s="41" t="s">
        <v>26855</v>
      </c>
      <c r="C56" s="74" t="s">
        <v>26856</v>
      </c>
      <c r="D56" s="72"/>
      <c r="F56" s="57"/>
      <c r="G56" s="72" t="s">
        <v>17670</v>
      </c>
      <c r="I56" s="57"/>
      <c r="J56" s="35"/>
      <c r="M56" s="299" t="s">
        <v>17556</v>
      </c>
      <c r="N56" s="45" t="s">
        <v>398</v>
      </c>
      <c r="O56" s="46">
        <v>1</v>
      </c>
      <c r="P56" s="512"/>
      <c r="Q56" s="57"/>
      <c r="R56" s="512"/>
      <c r="S56" s="57"/>
      <c r="T56" s="122"/>
      <c r="U56" s="37"/>
      <c r="V56" s="38"/>
      <c r="W56" s="79"/>
      <c r="X56" s="72"/>
      <c r="AA56" s="57"/>
      <c r="AB56" s="208">
        <f>ROUND((ROUND((ROUND((_15_同援日０．５*_15・通訳),0)*_15・２人),0)*(1+_15・A深夜)),0)+ROUND((ROUND((ROUND((_15_同援日０．５＿２．５*_15・通訳),0)*_15・２人),0)*(1+_15・B早朝)),0)</f>
        <v>750</v>
      </c>
      <c r="AC56" s="48"/>
    </row>
    <row r="57" spans="1:29" ht="16.5" customHeight="1" x14ac:dyDescent="0.15">
      <c r="A57" s="41">
        <v>15</v>
      </c>
      <c r="B57" s="41" t="s">
        <v>2849</v>
      </c>
      <c r="C57" s="74" t="s">
        <v>26857</v>
      </c>
      <c r="D57" s="72"/>
      <c r="F57" s="57"/>
      <c r="G57" s="72" t="s">
        <v>17672</v>
      </c>
      <c r="I57" s="57"/>
      <c r="J57" s="35"/>
      <c r="M57" s="299"/>
      <c r="N57" s="45"/>
      <c r="O57" s="46"/>
      <c r="P57" s="512"/>
      <c r="Q57" s="57"/>
      <c r="R57" s="512"/>
      <c r="S57" s="57"/>
      <c r="T57" s="114" t="s">
        <v>17562</v>
      </c>
      <c r="U57" s="49"/>
      <c r="V57" s="50"/>
      <c r="W57" s="115"/>
      <c r="X57" s="72"/>
      <c r="AA57" s="57"/>
      <c r="AB57" s="208">
        <f>ROUND((ROUND((ROUND((_15_同援日０．５*_15・通訳),0)*(1+_15・A深夜)),0)*(1+_15・盲ろう)),0)+ROUND((ROUND((ROUND((_15_同援日０．５＿２．５*_15・通訳),0)*(1+_15・B早朝)),0)*(1+_15・盲ろう)),0)</f>
        <v>937</v>
      </c>
      <c r="AC57" s="48"/>
    </row>
    <row r="58" spans="1:29" ht="16.5" customHeight="1" x14ac:dyDescent="0.15">
      <c r="A58" s="41">
        <v>15</v>
      </c>
      <c r="B58" s="41" t="s">
        <v>2851</v>
      </c>
      <c r="C58" s="74" t="s">
        <v>26858</v>
      </c>
      <c r="D58" s="72"/>
      <c r="F58" s="57"/>
      <c r="G58" s="72"/>
      <c r="H58" s="168">
        <f>_15_同援日０．５＿２．５</f>
        <v>438</v>
      </c>
      <c r="I58" s="57" t="s">
        <v>392</v>
      </c>
      <c r="J58" s="35"/>
      <c r="M58" s="299" t="s">
        <v>17556</v>
      </c>
      <c r="N58" s="45" t="s">
        <v>398</v>
      </c>
      <c r="O58" s="46">
        <v>1</v>
      </c>
      <c r="P58" s="512"/>
      <c r="Q58" s="57"/>
      <c r="R58" s="512"/>
      <c r="S58" s="57"/>
      <c r="T58" s="122" t="s">
        <v>17564</v>
      </c>
      <c r="U58" s="37" t="s">
        <v>398</v>
      </c>
      <c r="V58" s="38">
        <v>0.25</v>
      </c>
      <c r="W58" s="79" t="s">
        <v>3575</v>
      </c>
      <c r="X58" s="122"/>
      <c r="Y58" s="37"/>
      <c r="Z58" s="38"/>
      <c r="AA58" s="79"/>
      <c r="AB58" s="208">
        <f>ROUND((ROUND((ROUND((ROUND((_15_同援日０．５*_15・通訳),0)*_15・２人),0)*(1+_15・A深夜)),0)*(1+_15・盲ろう)),0)+ROUND((ROUND((ROUND((ROUND((_15_同援日０．５＿２．５*_15・通訳),0)*_15・２人),0)*(1+_15・B早朝)),0)*(1+_15・盲ろう)),0)</f>
        <v>937</v>
      </c>
      <c r="AC58" s="48"/>
    </row>
    <row r="59" spans="1:29" ht="16.5" customHeight="1" x14ac:dyDescent="0.15">
      <c r="A59" s="41">
        <v>15</v>
      </c>
      <c r="B59" s="41" t="s">
        <v>2853</v>
      </c>
      <c r="C59" s="74" t="s">
        <v>26859</v>
      </c>
      <c r="D59" s="72"/>
      <c r="F59" s="57"/>
      <c r="G59" s="72"/>
      <c r="I59" s="57"/>
      <c r="J59" s="35"/>
      <c r="M59" s="299"/>
      <c r="N59" s="45"/>
      <c r="O59" s="46"/>
      <c r="P59" s="512"/>
      <c r="Q59" s="57"/>
      <c r="R59" s="512"/>
      <c r="S59" s="57"/>
      <c r="T59" s="114"/>
      <c r="U59" s="49"/>
      <c r="V59" s="50"/>
      <c r="W59" s="115"/>
      <c r="X59" s="114" t="s">
        <v>17570</v>
      </c>
      <c r="Y59" s="49"/>
      <c r="Z59" s="50"/>
      <c r="AA59" s="115"/>
      <c r="AB59" s="208">
        <f>ROUND((ROUND((ROUND((_15_同援日０．５*_15・通訳),0)*(1+_15・A深夜)),0)*(1+_15・区３)),0)+ROUND((ROUND((ROUND((_15_同援日０．５＿２．５*_15・通訳),0)*(1+_15・B早朝)),0)*(1+_15・区３)),0)</f>
        <v>900</v>
      </c>
      <c r="AC59" s="48"/>
    </row>
    <row r="60" spans="1:29" ht="16.5" customHeight="1" x14ac:dyDescent="0.15">
      <c r="A60" s="41">
        <v>15</v>
      </c>
      <c r="B60" s="41" t="s">
        <v>2855</v>
      </c>
      <c r="C60" s="74" t="s">
        <v>26860</v>
      </c>
      <c r="D60" s="72"/>
      <c r="F60" s="57"/>
      <c r="G60" s="72"/>
      <c r="I60" s="57"/>
      <c r="J60" s="35"/>
      <c r="M60" s="299" t="s">
        <v>17556</v>
      </c>
      <c r="N60" s="45" t="s">
        <v>398</v>
      </c>
      <c r="O60" s="46">
        <v>1</v>
      </c>
      <c r="P60" s="512"/>
      <c r="Q60" s="57"/>
      <c r="R60" s="512"/>
      <c r="S60" s="57"/>
      <c r="T60" s="122"/>
      <c r="U60" s="37"/>
      <c r="V60" s="38"/>
      <c r="W60" s="79"/>
      <c r="X60" s="72" t="s">
        <v>17572</v>
      </c>
      <c r="AA60" s="57"/>
      <c r="AB60" s="208">
        <f>ROUND((ROUND((ROUND((ROUND((_15_同援日０．５*_15・通訳),0)*_15・２人),0)*(1+_15・A深夜)),0)*(1+_15・区３)),0)+ROUND((ROUND((ROUND((ROUND((_15_同援日０．５＿２．５*_15・通訳),0)*_15・２人),0)*(1+_15・B早朝)),0)*(1+_15・区３)),0)</f>
        <v>900</v>
      </c>
      <c r="AC60" s="48"/>
    </row>
    <row r="61" spans="1:29" ht="16.5" customHeight="1" x14ac:dyDescent="0.15">
      <c r="A61" s="41">
        <v>15</v>
      </c>
      <c r="B61" s="41" t="s">
        <v>26861</v>
      </c>
      <c r="C61" s="74" t="s">
        <v>26862</v>
      </c>
      <c r="D61" s="72"/>
      <c r="F61" s="57"/>
      <c r="G61" s="72"/>
      <c r="I61" s="57"/>
      <c r="J61" s="35"/>
      <c r="M61" s="299"/>
      <c r="N61" s="45"/>
      <c r="O61" s="46"/>
      <c r="P61" s="512"/>
      <c r="Q61" s="57"/>
      <c r="R61" s="512"/>
      <c r="S61" s="57"/>
      <c r="T61" s="114" t="s">
        <v>17562</v>
      </c>
      <c r="U61" s="49"/>
      <c r="V61" s="50"/>
      <c r="W61" s="115"/>
      <c r="X61" s="72"/>
      <c r="Y61" s="12" t="s">
        <v>398</v>
      </c>
      <c r="Z61" s="13">
        <v>0.2</v>
      </c>
      <c r="AA61" s="57" t="s">
        <v>3575</v>
      </c>
      <c r="AB61" s="208">
        <f>ROUND((ROUND((ROUND((ROUND((_15_同援日０．５*_15・通訳),0)*(1+_15・A深夜)),0)*(1+_15・盲ろう)),0)*(1+_15・区３)),0)+ROUND((ROUND((ROUND((ROUND((_15_同援日０．５＿２．５*_15・通訳),0)*(1+_15・B早朝)),0)*(1+_15・盲ろう)),0)*(1+_15・区３)),0)</f>
        <v>1124</v>
      </c>
      <c r="AC61" s="48"/>
    </row>
    <row r="62" spans="1:29" ht="16.5" customHeight="1" x14ac:dyDescent="0.15">
      <c r="A62" s="41">
        <v>15</v>
      </c>
      <c r="B62" s="41" t="s">
        <v>26863</v>
      </c>
      <c r="C62" s="74" t="s">
        <v>26864</v>
      </c>
      <c r="D62" s="72"/>
      <c r="F62" s="57"/>
      <c r="G62" s="72"/>
      <c r="I62" s="57"/>
      <c r="J62" s="35"/>
      <c r="M62" s="299" t="s">
        <v>17556</v>
      </c>
      <c r="N62" s="45" t="s">
        <v>398</v>
      </c>
      <c r="O62" s="46">
        <v>1</v>
      </c>
      <c r="P62" s="512"/>
      <c r="Q62" s="57"/>
      <c r="R62" s="512"/>
      <c r="S62" s="57"/>
      <c r="T62" s="122" t="s">
        <v>17564</v>
      </c>
      <c r="U62" s="37" t="s">
        <v>398</v>
      </c>
      <c r="V62" s="38">
        <v>0.25</v>
      </c>
      <c r="W62" s="79" t="s">
        <v>3575</v>
      </c>
      <c r="X62" s="122"/>
      <c r="Y62" s="37"/>
      <c r="Z62" s="38"/>
      <c r="AA62" s="79"/>
      <c r="AB62" s="208">
        <f>ROUND((ROUND((ROUND((ROUND((ROUND((_15_同援日０．５*_15・通訳),0)*_15・２人),0)*(1+_15・A深夜)),0)*(1+_15・盲ろう)),0)*(1+_15・区３)),0)+ROUND((ROUND((ROUND((ROUND((ROUND((_15_同援日０．５＿２．５*_15・通訳),0)*_15・２人),0)*(1+_15・B早朝)),0)*(1+_15・盲ろう)),0)*(1+_15・区３)),0)</f>
        <v>1124</v>
      </c>
      <c r="AC62" s="48"/>
    </row>
    <row r="63" spans="1:29" ht="16.5" customHeight="1" x14ac:dyDescent="0.15">
      <c r="A63" s="41">
        <v>15</v>
      </c>
      <c r="B63" s="41" t="s">
        <v>26865</v>
      </c>
      <c r="C63" s="74" t="s">
        <v>26866</v>
      </c>
      <c r="D63" s="72"/>
      <c r="F63" s="57"/>
      <c r="G63" s="72"/>
      <c r="I63" s="57"/>
      <c r="J63" s="35"/>
      <c r="M63" s="299"/>
      <c r="N63" s="45"/>
      <c r="O63" s="46"/>
      <c r="P63" s="512"/>
      <c r="Q63" s="57"/>
      <c r="R63" s="512"/>
      <c r="S63" s="57"/>
      <c r="T63" s="114"/>
      <c r="U63" s="49"/>
      <c r="V63" s="50"/>
      <c r="W63" s="115"/>
      <c r="X63" s="114" t="s">
        <v>17580</v>
      </c>
      <c r="Y63" s="49"/>
      <c r="Z63" s="50"/>
      <c r="AA63" s="115"/>
      <c r="AB63" s="208">
        <f>ROUND((ROUND((ROUND((_15_同援日０．５*_15・通訳),0)*(1+_15・A深夜)),0)*(1+_15・区４)),0)+ROUND((ROUND((ROUND((_15_同援日０．５＿２．５*_15・通訳),0)*(1+_15・B早朝)),0)*(1+_15・区４)),0)</f>
        <v>1050</v>
      </c>
      <c r="AC63" s="48"/>
    </row>
    <row r="64" spans="1:29" ht="16.5" customHeight="1" x14ac:dyDescent="0.15">
      <c r="A64" s="41">
        <v>15</v>
      </c>
      <c r="B64" s="41" t="s">
        <v>26867</v>
      </c>
      <c r="C64" s="74" t="s">
        <v>26868</v>
      </c>
      <c r="D64" s="72"/>
      <c r="F64" s="57"/>
      <c r="G64" s="72"/>
      <c r="I64" s="57"/>
      <c r="J64" s="35"/>
      <c r="M64" s="299" t="s">
        <v>17556</v>
      </c>
      <c r="N64" s="45" t="s">
        <v>398</v>
      </c>
      <c r="O64" s="46">
        <v>1</v>
      </c>
      <c r="P64" s="512"/>
      <c r="Q64" s="57"/>
      <c r="R64" s="512"/>
      <c r="S64" s="57"/>
      <c r="T64" s="122"/>
      <c r="U64" s="37"/>
      <c r="V64" s="38"/>
      <c r="W64" s="79"/>
      <c r="X64" s="72" t="s">
        <v>17572</v>
      </c>
      <c r="AA64" s="57"/>
      <c r="AB64" s="208">
        <f>ROUND((ROUND((ROUND((ROUND((_15_同援日０．５*_15・通訳),0)*_15・２人),0)*(1+_15・A深夜)),0)*(1+_15・区４)),0)+ROUND((ROUND((ROUND((ROUND((_15_同援日０．５＿２．５*_15・通訳),0)*_15・２人),0)*(1+_15・B早朝)),0)*(1+_15・区４)),0)</f>
        <v>1050</v>
      </c>
      <c r="AC64" s="48"/>
    </row>
    <row r="65" spans="1:29" ht="16.5" customHeight="1" x14ac:dyDescent="0.15">
      <c r="A65" s="41">
        <v>15</v>
      </c>
      <c r="B65" s="41" t="s">
        <v>26869</v>
      </c>
      <c r="C65" s="74" t="s">
        <v>26870</v>
      </c>
      <c r="D65" s="72"/>
      <c r="F65" s="57"/>
      <c r="G65" s="72"/>
      <c r="I65" s="57"/>
      <c r="J65" s="35"/>
      <c r="M65" s="299"/>
      <c r="N65" s="45"/>
      <c r="O65" s="46"/>
      <c r="P65" s="512"/>
      <c r="Q65" s="57"/>
      <c r="R65" s="512"/>
      <c r="S65" s="57"/>
      <c r="T65" s="114" t="s">
        <v>17562</v>
      </c>
      <c r="U65" s="49"/>
      <c r="V65" s="50"/>
      <c r="W65" s="115"/>
      <c r="X65" s="72"/>
      <c r="Y65" s="12" t="s">
        <v>398</v>
      </c>
      <c r="Z65" s="13">
        <v>0.4</v>
      </c>
      <c r="AA65" s="57" t="s">
        <v>3575</v>
      </c>
      <c r="AB65" s="208">
        <f>ROUND((ROUND((ROUND((ROUND((_15_同援日０．５*_15・通訳),0)*(1+_15・A深夜)),0)*(1+_15・盲ろう)),0)*(1+_15・区４)),0)+ROUND((ROUND((ROUND((ROUND((_15_同援日０．５＿２．５*_15・通訳),0)*(1+_15・B早朝)),0)*(1+_15・盲ろう)),0)*(1+_15・区４)),0)</f>
        <v>1311</v>
      </c>
      <c r="AC65" s="48"/>
    </row>
    <row r="66" spans="1:29" ht="16.5" customHeight="1" x14ac:dyDescent="0.15">
      <c r="A66" s="41">
        <v>15</v>
      </c>
      <c r="B66" s="41" t="s">
        <v>26871</v>
      </c>
      <c r="C66" s="74" t="s">
        <v>26872</v>
      </c>
      <c r="D66" s="122"/>
      <c r="E66" s="37"/>
      <c r="F66" s="79"/>
      <c r="G66" s="122"/>
      <c r="H66" s="37"/>
      <c r="I66" s="79"/>
      <c r="J66" s="35"/>
      <c r="M66" s="299" t="s">
        <v>17556</v>
      </c>
      <c r="N66" s="45" t="s">
        <v>398</v>
      </c>
      <c r="O66" s="46">
        <v>1</v>
      </c>
      <c r="P66" s="512"/>
      <c r="Q66" s="57"/>
      <c r="R66" s="512"/>
      <c r="S66" s="57"/>
      <c r="T66" s="122" t="s">
        <v>17564</v>
      </c>
      <c r="U66" s="37" t="s">
        <v>398</v>
      </c>
      <c r="V66" s="38">
        <v>0.25</v>
      </c>
      <c r="W66" s="79" t="s">
        <v>3575</v>
      </c>
      <c r="X66" s="122"/>
      <c r="Y66" s="37"/>
      <c r="Z66" s="38"/>
      <c r="AA66" s="79"/>
      <c r="AB66" s="208">
        <f>ROUND((ROUND((ROUND((ROUND((ROUND((_15_同援日０．５*_15・通訳),0)*_15・２人),0)*(1+_15・A深夜)),0)*(1+_15・盲ろう)),0)*(1+_15・区４)),0)+ROUND((ROUND((ROUND((ROUND((ROUND((_15_同援日０．５＿２．５*_15・通訳),0)*_15・２人),0)*(1+_15・B早朝)),0)*(1+_15・盲ろう)),0)*(1+_15・区４)),0)</f>
        <v>1311</v>
      </c>
      <c r="AC66" s="48"/>
    </row>
    <row r="67" spans="1:29" ht="16.5" customHeight="1" x14ac:dyDescent="0.15">
      <c r="A67" s="41">
        <v>15</v>
      </c>
      <c r="B67" s="41" t="s">
        <v>26873</v>
      </c>
      <c r="C67" s="74" t="s">
        <v>26874</v>
      </c>
      <c r="D67" s="114" t="s">
        <v>18513</v>
      </c>
      <c r="E67" s="49"/>
      <c r="F67" s="115"/>
      <c r="G67" s="114" t="s">
        <v>18819</v>
      </c>
      <c r="H67" s="49"/>
      <c r="I67" s="115"/>
      <c r="J67" s="35"/>
      <c r="M67" s="299"/>
      <c r="N67" s="45"/>
      <c r="O67" s="46"/>
      <c r="P67" s="512"/>
      <c r="Q67" s="57"/>
      <c r="R67" s="512"/>
      <c r="S67" s="57"/>
      <c r="T67" s="114"/>
      <c r="U67" s="49"/>
      <c r="V67" s="50"/>
      <c r="W67" s="115"/>
      <c r="X67" s="114"/>
      <c r="Y67" s="49"/>
      <c r="Z67" s="50"/>
      <c r="AA67" s="115"/>
      <c r="AB67" s="208">
        <f>ROUND((ROUND((_15_同援日１．０*_15・通訳),0)*(1+_15・A深夜)),0)+ROUND((ROUND((_15_同援日１．０＿０．５*_15・通訳),0)*(1+_15・B早朝)),0)</f>
        <v>555</v>
      </c>
      <c r="AC67" s="48"/>
    </row>
    <row r="68" spans="1:29" ht="16.5" customHeight="1" x14ac:dyDescent="0.15">
      <c r="A68" s="41">
        <v>15</v>
      </c>
      <c r="B68" s="41" t="s">
        <v>26875</v>
      </c>
      <c r="C68" s="74" t="s">
        <v>26876</v>
      </c>
      <c r="D68" s="72" t="s">
        <v>17589</v>
      </c>
      <c r="F68" s="57"/>
      <c r="G68" s="72" t="s">
        <v>18259</v>
      </c>
      <c r="I68" s="57"/>
      <c r="J68" s="35"/>
      <c r="M68" s="299" t="s">
        <v>17556</v>
      </c>
      <c r="N68" s="45" t="s">
        <v>398</v>
      </c>
      <c r="O68" s="46">
        <v>1</v>
      </c>
      <c r="P68" s="512"/>
      <c r="Q68" s="57"/>
      <c r="R68" s="512"/>
      <c r="S68" s="57"/>
      <c r="T68" s="122"/>
      <c r="U68" s="37"/>
      <c r="V68" s="38"/>
      <c r="W68" s="79"/>
      <c r="X68" s="72"/>
      <c r="AA68" s="57"/>
      <c r="AB68" s="208">
        <f>ROUND((ROUND((ROUND((_15_同援日１．０*_15・通訳),0)*_15・２人),0)*(1+_15・A深夜)),0)+ROUND((ROUND((ROUND((_15_同援日１．０＿０．５*_15・通訳),0)*_15・２人),0)*(1+_15・B早朝)),0)</f>
        <v>555</v>
      </c>
      <c r="AC68" s="48"/>
    </row>
    <row r="69" spans="1:29" ht="16.5" customHeight="1" x14ac:dyDescent="0.15">
      <c r="A69" s="41">
        <v>15</v>
      </c>
      <c r="B69" s="41" t="s">
        <v>26877</v>
      </c>
      <c r="C69" s="74" t="s">
        <v>26878</v>
      </c>
      <c r="D69" s="72" t="s">
        <v>17591</v>
      </c>
      <c r="F69" s="57"/>
      <c r="G69" s="72"/>
      <c r="I69" s="57"/>
      <c r="J69" s="35"/>
      <c r="M69" s="299"/>
      <c r="N69" s="45"/>
      <c r="O69" s="46"/>
      <c r="P69" s="512"/>
      <c r="Q69" s="57"/>
      <c r="R69" s="512"/>
      <c r="S69" s="57"/>
      <c r="T69" s="114" t="s">
        <v>17562</v>
      </c>
      <c r="U69" s="49"/>
      <c r="V69" s="50"/>
      <c r="W69" s="115"/>
      <c r="X69" s="72"/>
      <c r="AA69" s="57"/>
      <c r="AB69" s="208">
        <f>ROUND((ROUND((ROUND((_15_同援日１．０*_15・通訳),0)*(1+_15・A深夜)),0)*(1+_15・盲ろう)),0)+ROUND((ROUND((ROUND((_15_同援日１．０＿０．５*_15・通訳),0)*(1+_15・B早朝)),0)*(1+_15・盲ろう)),0)</f>
        <v>694</v>
      </c>
      <c r="AC69" s="48"/>
    </row>
    <row r="70" spans="1:29" ht="16.5" customHeight="1" x14ac:dyDescent="0.15">
      <c r="A70" s="41">
        <v>15</v>
      </c>
      <c r="B70" s="41" t="s">
        <v>26879</v>
      </c>
      <c r="C70" s="74" t="s">
        <v>26880</v>
      </c>
      <c r="D70" s="72"/>
      <c r="E70" s="168">
        <f>_15_同援日１．０</f>
        <v>300</v>
      </c>
      <c r="F70" s="57" t="s">
        <v>392</v>
      </c>
      <c r="G70" s="72"/>
      <c r="H70" s="168">
        <f>_15_同援日１．０＿０．５</f>
        <v>133</v>
      </c>
      <c r="I70" s="57" t="s">
        <v>392</v>
      </c>
      <c r="J70" s="35"/>
      <c r="M70" s="299" t="s">
        <v>17556</v>
      </c>
      <c r="N70" s="45" t="s">
        <v>398</v>
      </c>
      <c r="O70" s="46">
        <v>1</v>
      </c>
      <c r="P70" s="512"/>
      <c r="Q70" s="57"/>
      <c r="R70" s="512"/>
      <c r="S70" s="57"/>
      <c r="T70" s="122" t="s">
        <v>17564</v>
      </c>
      <c r="U70" s="37" t="s">
        <v>398</v>
      </c>
      <c r="V70" s="38">
        <v>0.25</v>
      </c>
      <c r="W70" s="79" t="s">
        <v>3575</v>
      </c>
      <c r="X70" s="122"/>
      <c r="Y70" s="37"/>
      <c r="Z70" s="38"/>
      <c r="AA70" s="79"/>
      <c r="AB70" s="208">
        <f>ROUND((ROUND((ROUND((ROUND((_15_同援日１．０*_15・通訳),0)*_15・２人),0)*(1+_15・A深夜)),0)*(1+_15・盲ろう)),0)+ROUND((ROUND((ROUND((ROUND((_15_同援日１．０＿０．５*_15・通訳),0)*_15・２人),0)*(1+_15・B早朝)),0)*(1+_15・盲ろう)),0)</f>
        <v>694</v>
      </c>
      <c r="AC70" s="48"/>
    </row>
    <row r="71" spans="1:29" ht="16.5" customHeight="1" x14ac:dyDescent="0.15">
      <c r="A71" s="41">
        <v>15</v>
      </c>
      <c r="B71" s="41" t="s">
        <v>26881</v>
      </c>
      <c r="C71" s="74" t="s">
        <v>26882</v>
      </c>
      <c r="D71" s="72"/>
      <c r="F71" s="57"/>
      <c r="G71" s="72"/>
      <c r="I71" s="57"/>
      <c r="J71" s="35"/>
      <c r="M71" s="299"/>
      <c r="N71" s="45"/>
      <c r="O71" s="46"/>
      <c r="P71" s="512"/>
      <c r="Q71" s="57"/>
      <c r="R71" s="512"/>
      <c r="S71" s="57"/>
      <c r="T71" s="114"/>
      <c r="U71" s="49"/>
      <c r="V71" s="50"/>
      <c r="W71" s="115"/>
      <c r="X71" s="114" t="s">
        <v>17570</v>
      </c>
      <c r="Y71" s="49"/>
      <c r="Z71" s="50"/>
      <c r="AA71" s="115"/>
      <c r="AB71" s="208">
        <f>ROUND((ROUND((ROUND((_15_同援日１．０*_15・通訳),0)*(1+_15・A深夜)),0)*(1+_15・区３)),0)+ROUND((ROUND((ROUND((_15_同援日１．０＿０．５*_15・通訳),0)*(1+_15・B早朝)),0)*(1+_15・区３)),0)</f>
        <v>666</v>
      </c>
      <c r="AC71" s="48"/>
    </row>
    <row r="72" spans="1:29" ht="16.5" customHeight="1" x14ac:dyDescent="0.15">
      <c r="A72" s="41">
        <v>15</v>
      </c>
      <c r="B72" s="41" t="s">
        <v>26883</v>
      </c>
      <c r="C72" s="74" t="s">
        <v>26884</v>
      </c>
      <c r="D72" s="72"/>
      <c r="F72" s="57"/>
      <c r="G72" s="72"/>
      <c r="I72" s="57"/>
      <c r="J72" s="35"/>
      <c r="M72" s="299" t="s">
        <v>17556</v>
      </c>
      <c r="N72" s="45" t="s">
        <v>398</v>
      </c>
      <c r="O72" s="46">
        <v>1</v>
      </c>
      <c r="P72" s="512"/>
      <c r="Q72" s="57"/>
      <c r="R72" s="512"/>
      <c r="S72" s="57"/>
      <c r="T72" s="122"/>
      <c r="U72" s="37"/>
      <c r="V72" s="38"/>
      <c r="W72" s="79"/>
      <c r="X72" s="72" t="s">
        <v>17572</v>
      </c>
      <c r="AA72" s="57"/>
      <c r="AB72" s="208">
        <f>ROUND((ROUND((ROUND((ROUND((_15_同援日１．０*_15・通訳),0)*_15・２人),0)*(1+_15・A深夜)),0)*(1+_15・区３)),0)+ROUND((ROUND((ROUND((ROUND((_15_同援日１．０＿０．５*_15・通訳),0)*_15・２人),0)*(1+_15・B早朝)),0)*(1+_15・区３)),0)</f>
        <v>666</v>
      </c>
      <c r="AC72" s="48"/>
    </row>
    <row r="73" spans="1:29" ht="16.5" customHeight="1" x14ac:dyDescent="0.15">
      <c r="A73" s="41">
        <v>15</v>
      </c>
      <c r="B73" s="41" t="s">
        <v>26885</v>
      </c>
      <c r="C73" s="74" t="s">
        <v>26886</v>
      </c>
      <c r="D73" s="72"/>
      <c r="F73" s="57"/>
      <c r="G73" s="72"/>
      <c r="I73" s="57"/>
      <c r="J73" s="35"/>
      <c r="M73" s="299"/>
      <c r="N73" s="45"/>
      <c r="O73" s="46"/>
      <c r="P73" s="512"/>
      <c r="Q73" s="57"/>
      <c r="R73" s="512"/>
      <c r="S73" s="57"/>
      <c r="T73" s="114" t="s">
        <v>17562</v>
      </c>
      <c r="U73" s="49"/>
      <c r="V73" s="50"/>
      <c r="W73" s="115"/>
      <c r="X73" s="72"/>
      <c r="Y73" s="12" t="s">
        <v>398</v>
      </c>
      <c r="Z73" s="13">
        <v>0.2</v>
      </c>
      <c r="AA73" s="57" t="s">
        <v>3575</v>
      </c>
      <c r="AB73" s="208">
        <f>ROUND((ROUND((ROUND((ROUND((_15_同援日１．０*_15・通訳),0)*(1+_15・A深夜)),0)*(1+_15・盲ろう)),0)*(1+_15・区３)),0)+ROUND((ROUND((ROUND((ROUND((_15_同援日１．０＿０．５*_15・通訳),0)*(1+_15・B早朝)),0)*(1+_15・盲ろう)),0)*(1+_15・区３)),0)</f>
        <v>833</v>
      </c>
      <c r="AC73" s="48"/>
    </row>
    <row r="74" spans="1:29" ht="16.5" customHeight="1" x14ac:dyDescent="0.15">
      <c r="A74" s="41">
        <v>15</v>
      </c>
      <c r="B74" s="41" t="s">
        <v>26887</v>
      </c>
      <c r="C74" s="74" t="s">
        <v>26888</v>
      </c>
      <c r="D74" s="72"/>
      <c r="F74" s="57"/>
      <c r="G74" s="72"/>
      <c r="I74" s="57"/>
      <c r="J74" s="35"/>
      <c r="M74" s="299" t="s">
        <v>17556</v>
      </c>
      <c r="N74" s="45" t="s">
        <v>398</v>
      </c>
      <c r="O74" s="46">
        <v>1</v>
      </c>
      <c r="P74" s="512"/>
      <c r="Q74" s="57"/>
      <c r="R74" s="512"/>
      <c r="S74" s="57"/>
      <c r="T74" s="122" t="s">
        <v>17564</v>
      </c>
      <c r="U74" s="37" t="s">
        <v>398</v>
      </c>
      <c r="V74" s="38">
        <v>0.25</v>
      </c>
      <c r="W74" s="79" t="s">
        <v>3575</v>
      </c>
      <c r="X74" s="122"/>
      <c r="Y74" s="37"/>
      <c r="Z74" s="38"/>
      <c r="AA74" s="79"/>
      <c r="AB74" s="208">
        <f>ROUND((ROUND((ROUND((ROUND((ROUND((_15_同援日１．０*_15・通訳),0)*_15・２人),0)*(1+_15・A深夜)),0)*(1+_15・盲ろう)),0)*(1+_15・区３)),0)+ROUND((ROUND((ROUND((ROUND((ROUND((_15_同援日１．０＿０．５*_15・通訳),0)*_15・２人),0)*(1+_15・B早朝)),0)*(1+_15・盲ろう)),0)*(1+_15・区３)),0)</f>
        <v>833</v>
      </c>
      <c r="AC74" s="48"/>
    </row>
    <row r="75" spans="1:29" ht="16.5" customHeight="1" x14ac:dyDescent="0.15">
      <c r="A75" s="41">
        <v>15</v>
      </c>
      <c r="B75" s="41" t="s">
        <v>26889</v>
      </c>
      <c r="C75" s="74" t="s">
        <v>26890</v>
      </c>
      <c r="D75" s="72"/>
      <c r="F75" s="57"/>
      <c r="G75" s="72"/>
      <c r="I75" s="57"/>
      <c r="J75" s="35"/>
      <c r="M75" s="299"/>
      <c r="N75" s="45"/>
      <c r="O75" s="46"/>
      <c r="P75" s="512"/>
      <c r="Q75" s="57"/>
      <c r="R75" s="512"/>
      <c r="S75" s="57"/>
      <c r="T75" s="114"/>
      <c r="U75" s="49"/>
      <c r="V75" s="50"/>
      <c r="W75" s="115"/>
      <c r="X75" s="114" t="s">
        <v>17580</v>
      </c>
      <c r="Y75" s="49"/>
      <c r="Z75" s="50"/>
      <c r="AA75" s="115"/>
      <c r="AB75" s="208">
        <f>ROUND((ROUND((ROUND((_15_同援日１．０*_15・通訳),0)*(1+_15・A深夜)),0)*(1+_15・区４)),0)+ROUND((ROUND((ROUND((_15_同援日１．０＿０．５*_15・通訳),0)*(1+_15・B早朝)),0)*(1+_15・区４)),0)</f>
        <v>777</v>
      </c>
      <c r="AC75" s="48"/>
    </row>
    <row r="76" spans="1:29" ht="16.5" customHeight="1" x14ac:dyDescent="0.15">
      <c r="A76" s="41">
        <v>15</v>
      </c>
      <c r="B76" s="41" t="s">
        <v>26891</v>
      </c>
      <c r="C76" s="74" t="s">
        <v>26892</v>
      </c>
      <c r="D76" s="72"/>
      <c r="F76" s="57"/>
      <c r="G76" s="72"/>
      <c r="I76" s="57"/>
      <c r="J76" s="35"/>
      <c r="M76" s="299" t="s">
        <v>17556</v>
      </c>
      <c r="N76" s="45" t="s">
        <v>398</v>
      </c>
      <c r="O76" s="46">
        <v>1</v>
      </c>
      <c r="P76" s="512"/>
      <c r="Q76" s="57"/>
      <c r="R76" s="512"/>
      <c r="S76" s="57"/>
      <c r="T76" s="122"/>
      <c r="U76" s="37"/>
      <c r="V76" s="38"/>
      <c r="W76" s="79"/>
      <c r="X76" s="72" t="s">
        <v>17572</v>
      </c>
      <c r="AA76" s="57"/>
      <c r="AB76" s="208">
        <f>ROUND((ROUND((ROUND((ROUND((_15_同援日１．０*_15・通訳),0)*_15・２人),0)*(1+_15・A深夜)),0)*(1+_15・区４)),0)+ROUND((ROUND((ROUND((ROUND((_15_同援日１．０＿０．５*_15・通訳),0)*_15・２人),0)*(1+_15・B早朝)),0)*(1+_15・区４)),0)</f>
        <v>777</v>
      </c>
      <c r="AC76" s="48"/>
    </row>
    <row r="77" spans="1:29" ht="16.5" customHeight="1" x14ac:dyDescent="0.15">
      <c r="A77" s="41">
        <v>15</v>
      </c>
      <c r="B77" s="41" t="s">
        <v>2861</v>
      </c>
      <c r="C77" s="74" t="s">
        <v>26893</v>
      </c>
      <c r="D77" s="72"/>
      <c r="F77" s="57"/>
      <c r="G77" s="72"/>
      <c r="I77" s="57"/>
      <c r="J77" s="35"/>
      <c r="M77" s="299"/>
      <c r="N77" s="45"/>
      <c r="O77" s="46"/>
      <c r="P77" s="512"/>
      <c r="Q77" s="57"/>
      <c r="R77" s="512"/>
      <c r="S77" s="57"/>
      <c r="T77" s="114" t="s">
        <v>17562</v>
      </c>
      <c r="U77" s="49"/>
      <c r="V77" s="50"/>
      <c r="W77" s="115"/>
      <c r="X77" s="72"/>
      <c r="Y77" s="12" t="s">
        <v>398</v>
      </c>
      <c r="Z77" s="13">
        <v>0.4</v>
      </c>
      <c r="AA77" s="57" t="s">
        <v>3575</v>
      </c>
      <c r="AB77" s="208">
        <f>ROUND((ROUND((ROUND((ROUND((_15_同援日１．０*_15・通訳),0)*(1+_15・A深夜)),0)*(1+_15・盲ろう)),0)*(1+_15・区４)),0)+ROUND((ROUND((ROUND((ROUND((_15_同援日１．０＿０．５*_15・通訳),0)*(1+_15・B早朝)),0)*(1+_15・盲ろう)),0)*(1+_15・区４)),0)</f>
        <v>971</v>
      </c>
      <c r="AC77" s="48"/>
    </row>
    <row r="78" spans="1:29" ht="16.5" customHeight="1" x14ac:dyDescent="0.15">
      <c r="A78" s="41">
        <v>15</v>
      </c>
      <c r="B78" s="41" t="s">
        <v>2863</v>
      </c>
      <c r="C78" s="74" t="s">
        <v>26894</v>
      </c>
      <c r="D78" s="72"/>
      <c r="F78" s="57"/>
      <c r="G78" s="122"/>
      <c r="H78" s="37"/>
      <c r="I78" s="79"/>
      <c r="J78" s="35"/>
      <c r="M78" s="299" t="s">
        <v>17556</v>
      </c>
      <c r="N78" s="45" t="s">
        <v>398</v>
      </c>
      <c r="O78" s="46">
        <v>1</v>
      </c>
      <c r="P78" s="512"/>
      <c r="Q78" s="57"/>
      <c r="R78" s="512"/>
      <c r="S78" s="57"/>
      <c r="T78" s="122" t="s">
        <v>17564</v>
      </c>
      <c r="U78" s="37" t="s">
        <v>398</v>
      </c>
      <c r="V78" s="38">
        <v>0.25</v>
      </c>
      <c r="W78" s="79" t="s">
        <v>3575</v>
      </c>
      <c r="X78" s="122"/>
      <c r="Y78" s="37"/>
      <c r="Z78" s="38"/>
      <c r="AA78" s="79"/>
      <c r="AB78" s="208">
        <f>ROUND((ROUND((ROUND((ROUND((ROUND((_15_同援日１．０*_15・通訳),0)*_15・２人),0)*(1+_15・A深夜)),0)*(1+_15・盲ろう)),0)*(1+_15・区４)),0)+ROUND((ROUND((ROUND((ROUND((ROUND((_15_同援日１．０＿０．５*_15・通訳),0)*_15・２人),0)*(1+_15・B早朝)),0)*(1+_15・盲ろう)),0)*(1+_15・区４)),0)</f>
        <v>971</v>
      </c>
      <c r="AC78" s="48"/>
    </row>
    <row r="79" spans="1:29" ht="16.5" customHeight="1" x14ac:dyDescent="0.15">
      <c r="A79" s="41">
        <v>15</v>
      </c>
      <c r="B79" s="41" t="s">
        <v>2865</v>
      </c>
      <c r="C79" s="74" t="s">
        <v>26895</v>
      </c>
      <c r="D79" s="72"/>
      <c r="F79" s="57"/>
      <c r="G79" s="114" t="s">
        <v>18846</v>
      </c>
      <c r="H79" s="49"/>
      <c r="I79" s="115"/>
      <c r="J79" s="35"/>
      <c r="M79" s="299"/>
      <c r="N79" s="45"/>
      <c r="O79" s="46"/>
      <c r="P79" s="512"/>
      <c r="Q79" s="57"/>
      <c r="R79" s="512"/>
      <c r="S79" s="57"/>
      <c r="T79" s="114"/>
      <c r="U79" s="49"/>
      <c r="V79" s="50"/>
      <c r="W79" s="115"/>
      <c r="X79" s="114"/>
      <c r="Y79" s="49"/>
      <c r="Z79" s="50"/>
      <c r="AA79" s="115"/>
      <c r="AB79" s="208">
        <f>ROUND((ROUND((_15_同援日１．０*_15・通訳),0)*(1+_15・A深夜)),0)+ROUND((ROUND((_15_同援日１．０＿１．０*_15・通訳),0)*(1+_15・B早朝)),0)</f>
        <v>628</v>
      </c>
      <c r="AC79" s="48"/>
    </row>
    <row r="80" spans="1:29" ht="16.5" customHeight="1" x14ac:dyDescent="0.15">
      <c r="A80" s="41">
        <v>15</v>
      </c>
      <c r="B80" s="41" t="s">
        <v>2867</v>
      </c>
      <c r="C80" s="74" t="s">
        <v>26896</v>
      </c>
      <c r="D80" s="72"/>
      <c r="F80" s="57"/>
      <c r="G80" s="72" t="s">
        <v>17589</v>
      </c>
      <c r="I80" s="57"/>
      <c r="J80" s="35"/>
      <c r="M80" s="299" t="s">
        <v>17556</v>
      </c>
      <c r="N80" s="45" t="s">
        <v>398</v>
      </c>
      <c r="O80" s="46">
        <v>1</v>
      </c>
      <c r="P80" s="512"/>
      <c r="Q80" s="57"/>
      <c r="R80" s="512"/>
      <c r="S80" s="57"/>
      <c r="T80" s="122"/>
      <c r="U80" s="37"/>
      <c r="V80" s="38"/>
      <c r="W80" s="79"/>
      <c r="X80" s="72"/>
      <c r="AA80" s="57"/>
      <c r="AB80" s="208">
        <f>ROUND((ROUND((ROUND((_15_同援日１．０*_15・通訳),0)*_15・２人),0)*(1+_15・A深夜)),0)+ROUND((ROUND((ROUND((_15_同援日１．０＿１．０*_15・通訳),0)*_15・２人),0)*(1+_15・B早朝)),0)</f>
        <v>628</v>
      </c>
      <c r="AC80" s="48"/>
    </row>
    <row r="81" spans="1:29" ht="16.5" customHeight="1" x14ac:dyDescent="0.15">
      <c r="A81" s="41">
        <v>15</v>
      </c>
      <c r="B81" s="41" t="s">
        <v>26897</v>
      </c>
      <c r="C81" s="74" t="s">
        <v>26898</v>
      </c>
      <c r="D81" s="72"/>
      <c r="F81" s="57"/>
      <c r="G81" s="72" t="s">
        <v>17591</v>
      </c>
      <c r="I81" s="57"/>
      <c r="J81" s="35"/>
      <c r="M81" s="299"/>
      <c r="N81" s="45"/>
      <c r="O81" s="46"/>
      <c r="P81" s="512"/>
      <c r="Q81" s="57"/>
      <c r="R81" s="512"/>
      <c r="S81" s="57"/>
      <c r="T81" s="114" t="s">
        <v>17562</v>
      </c>
      <c r="U81" s="49"/>
      <c r="V81" s="50"/>
      <c r="W81" s="115"/>
      <c r="X81" s="72"/>
      <c r="AA81" s="57"/>
      <c r="AB81" s="208">
        <f>ROUND((ROUND((ROUND((_15_同援日１．０*_15・通訳),0)*(1+_15・A深夜)),0)*(1+_15・盲ろう)),0)+ROUND((ROUND((ROUND((_15_同援日１．０＿１．０*_15・通訳),0)*(1+_15・B早朝)),0)*(1+_15・盲ろう)),0)</f>
        <v>785</v>
      </c>
      <c r="AC81" s="48"/>
    </row>
    <row r="82" spans="1:29" ht="16.5" customHeight="1" x14ac:dyDescent="0.15">
      <c r="A82" s="41">
        <v>15</v>
      </c>
      <c r="B82" s="41" t="s">
        <v>26899</v>
      </c>
      <c r="C82" s="74" t="s">
        <v>26900</v>
      </c>
      <c r="D82" s="72"/>
      <c r="F82" s="57"/>
      <c r="G82" s="72"/>
      <c r="H82" s="168">
        <f>_15_同援日１．０＿１．０</f>
        <v>198</v>
      </c>
      <c r="I82" s="57" t="s">
        <v>392</v>
      </c>
      <c r="J82" s="35"/>
      <c r="M82" s="299" t="s">
        <v>17556</v>
      </c>
      <c r="N82" s="45" t="s">
        <v>398</v>
      </c>
      <c r="O82" s="46">
        <v>1</v>
      </c>
      <c r="P82" s="512"/>
      <c r="Q82" s="57"/>
      <c r="R82" s="512"/>
      <c r="S82" s="57"/>
      <c r="T82" s="122" t="s">
        <v>17564</v>
      </c>
      <c r="U82" s="37" t="s">
        <v>398</v>
      </c>
      <c r="V82" s="38">
        <v>0.25</v>
      </c>
      <c r="W82" s="79" t="s">
        <v>3575</v>
      </c>
      <c r="X82" s="122"/>
      <c r="Y82" s="37"/>
      <c r="Z82" s="38"/>
      <c r="AA82" s="79"/>
      <c r="AB82" s="208">
        <f>ROUND((ROUND((ROUND((ROUND((_15_同援日１．０*_15・通訳),0)*_15・２人),0)*(1+_15・A深夜)),0)*(1+_15・盲ろう)),0)+ROUND((ROUND((ROUND((ROUND((_15_同援日１．０＿１．０*_15・通訳),0)*_15・２人),0)*(1+_15・B早朝)),0)*(1+_15・盲ろう)),0)</f>
        <v>785</v>
      </c>
      <c r="AC82" s="48"/>
    </row>
    <row r="83" spans="1:29" ht="16.5" customHeight="1" x14ac:dyDescent="0.15">
      <c r="A83" s="41">
        <v>15</v>
      </c>
      <c r="B83" s="41" t="s">
        <v>26901</v>
      </c>
      <c r="C83" s="74" t="s">
        <v>26902</v>
      </c>
      <c r="D83" s="72"/>
      <c r="F83" s="57"/>
      <c r="G83" s="72"/>
      <c r="I83" s="57"/>
      <c r="J83" s="35"/>
      <c r="M83" s="299"/>
      <c r="N83" s="45"/>
      <c r="O83" s="46"/>
      <c r="P83" s="512"/>
      <c r="Q83" s="57"/>
      <c r="R83" s="512"/>
      <c r="S83" s="57"/>
      <c r="T83" s="114"/>
      <c r="U83" s="49"/>
      <c r="V83" s="50"/>
      <c r="W83" s="115"/>
      <c r="X83" s="114" t="s">
        <v>17570</v>
      </c>
      <c r="Y83" s="49"/>
      <c r="Z83" s="50"/>
      <c r="AA83" s="115"/>
      <c r="AB83" s="208">
        <f>ROUND((ROUND((ROUND((_15_同援日１．０*_15・通訳),0)*(1+_15・A深夜)),0)*(1+_15・区３)),0)+ROUND((ROUND((ROUND((_15_同援日１．０＿１．０*_15・通訳),0)*(1+_15・B早朝)),0)*(1+_15・区３)),0)</f>
        <v>754</v>
      </c>
      <c r="AC83" s="48"/>
    </row>
    <row r="84" spans="1:29" ht="16.5" customHeight="1" x14ac:dyDescent="0.15">
      <c r="A84" s="41">
        <v>15</v>
      </c>
      <c r="B84" s="41" t="s">
        <v>26903</v>
      </c>
      <c r="C84" s="74" t="s">
        <v>26904</v>
      </c>
      <c r="D84" s="72"/>
      <c r="F84" s="57"/>
      <c r="G84" s="72"/>
      <c r="I84" s="57"/>
      <c r="J84" s="35"/>
      <c r="M84" s="299" t="s">
        <v>17556</v>
      </c>
      <c r="N84" s="45" t="s">
        <v>398</v>
      </c>
      <c r="O84" s="46">
        <v>1</v>
      </c>
      <c r="P84" s="512"/>
      <c r="Q84" s="57"/>
      <c r="R84" s="512"/>
      <c r="S84" s="57"/>
      <c r="T84" s="122"/>
      <c r="U84" s="37"/>
      <c r="V84" s="38"/>
      <c r="W84" s="79"/>
      <c r="X84" s="72" t="s">
        <v>17572</v>
      </c>
      <c r="AA84" s="57"/>
      <c r="AB84" s="208">
        <f>ROUND((ROUND((ROUND((ROUND((_15_同援日１．０*_15・通訳),0)*_15・２人),0)*(1+_15・A深夜)),0)*(1+_15・区３)),0)+ROUND((ROUND((ROUND((ROUND((_15_同援日１．０＿１．０*_15・通訳),0)*_15・２人),0)*(1+_15・B早朝)),0)*(1+_15・区３)),0)</f>
        <v>754</v>
      </c>
      <c r="AC84" s="48"/>
    </row>
    <row r="85" spans="1:29" ht="16.5" customHeight="1" x14ac:dyDescent="0.15">
      <c r="A85" s="41">
        <v>15</v>
      </c>
      <c r="B85" s="41" t="s">
        <v>26905</v>
      </c>
      <c r="C85" s="74" t="s">
        <v>26906</v>
      </c>
      <c r="D85" s="72"/>
      <c r="F85" s="57"/>
      <c r="G85" s="72"/>
      <c r="I85" s="57"/>
      <c r="J85" s="35"/>
      <c r="M85" s="299"/>
      <c r="N85" s="45"/>
      <c r="O85" s="46"/>
      <c r="P85" s="512"/>
      <c r="Q85" s="57"/>
      <c r="R85" s="512"/>
      <c r="S85" s="57"/>
      <c r="T85" s="114" t="s">
        <v>17562</v>
      </c>
      <c r="U85" s="49"/>
      <c r="V85" s="50"/>
      <c r="W85" s="115"/>
      <c r="X85" s="72"/>
      <c r="Y85" s="12" t="s">
        <v>398</v>
      </c>
      <c r="Z85" s="13">
        <v>0.2</v>
      </c>
      <c r="AA85" s="57" t="s">
        <v>3575</v>
      </c>
      <c r="AB85" s="208">
        <f>ROUND((ROUND((ROUND((ROUND((_15_同援日１．０*_15・通訳),0)*(1+_15・A深夜)),0)*(1+_15・盲ろう)),0)*(1+_15・区３)),0)+ROUND((ROUND((ROUND((ROUND((_15_同援日１．０＿１．０*_15・通訳),0)*(1+_15・B早朝)),0)*(1+_15・盲ろう)),0)*(1+_15・区３)),0)</f>
        <v>942</v>
      </c>
      <c r="AC85" s="48"/>
    </row>
    <row r="86" spans="1:29" ht="16.5" customHeight="1" x14ac:dyDescent="0.15">
      <c r="A86" s="41">
        <v>15</v>
      </c>
      <c r="B86" s="41" t="s">
        <v>26907</v>
      </c>
      <c r="C86" s="74" t="s">
        <v>26908</v>
      </c>
      <c r="D86" s="72"/>
      <c r="F86" s="57"/>
      <c r="G86" s="72"/>
      <c r="I86" s="57"/>
      <c r="J86" s="35"/>
      <c r="M86" s="299" t="s">
        <v>17556</v>
      </c>
      <c r="N86" s="45" t="s">
        <v>398</v>
      </c>
      <c r="O86" s="46">
        <v>1</v>
      </c>
      <c r="P86" s="512"/>
      <c r="Q86" s="57"/>
      <c r="R86" s="512"/>
      <c r="S86" s="57"/>
      <c r="T86" s="122" t="s">
        <v>17564</v>
      </c>
      <c r="U86" s="37" t="s">
        <v>398</v>
      </c>
      <c r="V86" s="38">
        <v>0.25</v>
      </c>
      <c r="W86" s="79" t="s">
        <v>3575</v>
      </c>
      <c r="X86" s="122"/>
      <c r="Y86" s="37"/>
      <c r="Z86" s="38"/>
      <c r="AA86" s="79"/>
      <c r="AB86" s="208">
        <f>ROUND((ROUND((ROUND((ROUND((ROUND((_15_同援日１．０*_15・通訳),0)*_15・２人),0)*(1+_15・A深夜)),0)*(1+_15・盲ろう)),0)*(1+_15・区３)),0)+ROUND((ROUND((ROUND((ROUND((ROUND((_15_同援日１．０＿１．０*_15・通訳),0)*_15・２人),0)*(1+_15・B早朝)),0)*(1+_15・盲ろう)),0)*(1+_15・区３)),0)</f>
        <v>942</v>
      </c>
      <c r="AC86" s="48"/>
    </row>
    <row r="87" spans="1:29" ht="16.5" customHeight="1" x14ac:dyDescent="0.15">
      <c r="A87" s="41">
        <v>15</v>
      </c>
      <c r="B87" s="41" t="s">
        <v>26909</v>
      </c>
      <c r="C87" s="74" t="s">
        <v>26910</v>
      </c>
      <c r="D87" s="72"/>
      <c r="F87" s="57"/>
      <c r="G87" s="72"/>
      <c r="I87" s="57"/>
      <c r="J87" s="35"/>
      <c r="M87" s="299"/>
      <c r="N87" s="45"/>
      <c r="O87" s="46"/>
      <c r="P87" s="512"/>
      <c r="Q87" s="57"/>
      <c r="R87" s="512"/>
      <c r="S87" s="57"/>
      <c r="T87" s="114"/>
      <c r="U87" s="49"/>
      <c r="V87" s="50"/>
      <c r="W87" s="115"/>
      <c r="X87" s="114" t="s">
        <v>17580</v>
      </c>
      <c r="Y87" s="49"/>
      <c r="Z87" s="50"/>
      <c r="AA87" s="115"/>
      <c r="AB87" s="208">
        <f>ROUND((ROUND((ROUND((_15_同援日１．０*_15・通訳),0)*(1+_15・A深夜)),0)*(1+_15・区４)),0)+ROUND((ROUND((ROUND((_15_同援日１．０＿１．０*_15・通訳),0)*(1+_15・B早朝)),0)*(1+_15・区４)),0)</f>
        <v>879</v>
      </c>
      <c r="AC87" s="48"/>
    </row>
    <row r="88" spans="1:29" ht="16.5" customHeight="1" x14ac:dyDescent="0.15">
      <c r="A88" s="41">
        <v>15</v>
      </c>
      <c r="B88" s="41" t="s">
        <v>26911</v>
      </c>
      <c r="C88" s="74" t="s">
        <v>26912</v>
      </c>
      <c r="D88" s="72"/>
      <c r="F88" s="57"/>
      <c r="G88" s="72"/>
      <c r="I88" s="57"/>
      <c r="J88" s="35"/>
      <c r="M88" s="299" t="s">
        <v>17556</v>
      </c>
      <c r="N88" s="45" t="s">
        <v>398</v>
      </c>
      <c r="O88" s="46">
        <v>1</v>
      </c>
      <c r="P88" s="512"/>
      <c r="Q88" s="57"/>
      <c r="R88" s="512"/>
      <c r="S88" s="57"/>
      <c r="T88" s="122"/>
      <c r="U88" s="37"/>
      <c r="V88" s="38"/>
      <c r="W88" s="79"/>
      <c r="X88" s="72" t="s">
        <v>17572</v>
      </c>
      <c r="AA88" s="57"/>
      <c r="AB88" s="208">
        <f>ROUND((ROUND((ROUND((ROUND((_15_同援日１．０*_15・通訳),0)*_15・２人),0)*(1+_15・A深夜)),0)*(1+_15・区４)),0)+ROUND((ROUND((ROUND((ROUND((_15_同援日１．０＿１．０*_15・通訳),0)*_15・２人),0)*(1+_15・B早朝)),0)*(1+_15・区４)),0)</f>
        <v>879</v>
      </c>
      <c r="AC88" s="48"/>
    </row>
    <row r="89" spans="1:29" ht="16.5" customHeight="1" x14ac:dyDescent="0.15">
      <c r="A89" s="41">
        <v>15</v>
      </c>
      <c r="B89" s="41" t="s">
        <v>26913</v>
      </c>
      <c r="C89" s="74" t="s">
        <v>26914</v>
      </c>
      <c r="D89" s="72"/>
      <c r="F89" s="57"/>
      <c r="G89" s="72"/>
      <c r="I89" s="57"/>
      <c r="J89" s="35"/>
      <c r="M89" s="299"/>
      <c r="N89" s="45"/>
      <c r="O89" s="46"/>
      <c r="P89" s="512"/>
      <c r="Q89" s="57"/>
      <c r="R89" s="512"/>
      <c r="S89" s="57"/>
      <c r="T89" s="114" t="s">
        <v>17562</v>
      </c>
      <c r="U89" s="49"/>
      <c r="V89" s="50"/>
      <c r="W89" s="115"/>
      <c r="X89" s="72"/>
      <c r="Y89" s="12" t="s">
        <v>398</v>
      </c>
      <c r="Z89" s="13">
        <v>0.4</v>
      </c>
      <c r="AA89" s="57" t="s">
        <v>3575</v>
      </c>
      <c r="AB89" s="208">
        <f>ROUND((ROUND((ROUND((ROUND((_15_同援日１．０*_15・通訳),0)*(1+_15・A深夜)),0)*(1+_15・盲ろう)),0)*(1+_15・区４)),0)+ROUND((ROUND((ROUND((ROUND((_15_同援日１．０＿１．０*_15・通訳),0)*(1+_15・B早朝)),0)*(1+_15・盲ろう)),0)*(1+_15・区４)),0)</f>
        <v>1099</v>
      </c>
      <c r="AC89" s="48"/>
    </row>
    <row r="90" spans="1:29" ht="16.5" customHeight="1" x14ac:dyDescent="0.15">
      <c r="A90" s="41">
        <v>15</v>
      </c>
      <c r="B90" s="41" t="s">
        <v>26915</v>
      </c>
      <c r="C90" s="74" t="s">
        <v>26916</v>
      </c>
      <c r="D90" s="72"/>
      <c r="F90" s="57"/>
      <c r="G90" s="122"/>
      <c r="H90" s="37"/>
      <c r="I90" s="79"/>
      <c r="J90" s="35"/>
      <c r="M90" s="299" t="s">
        <v>17556</v>
      </c>
      <c r="N90" s="45" t="s">
        <v>398</v>
      </c>
      <c r="O90" s="46">
        <v>1</v>
      </c>
      <c r="P90" s="512"/>
      <c r="Q90" s="57"/>
      <c r="R90" s="512"/>
      <c r="S90" s="57"/>
      <c r="T90" s="122" t="s">
        <v>17564</v>
      </c>
      <c r="U90" s="37" t="s">
        <v>398</v>
      </c>
      <c r="V90" s="38">
        <v>0.25</v>
      </c>
      <c r="W90" s="79" t="s">
        <v>3575</v>
      </c>
      <c r="X90" s="122"/>
      <c r="Y90" s="37"/>
      <c r="Z90" s="38"/>
      <c r="AA90" s="79"/>
      <c r="AB90" s="208">
        <f>ROUND((ROUND((ROUND((ROUND((ROUND((_15_同援日１．０*_15・通訳),0)*_15・２人),0)*(1+_15・A深夜)),0)*(1+_15・盲ろう)),0)*(1+_15・区４)),0)+ROUND((ROUND((ROUND((ROUND((ROUND((_15_同援日１．０＿１．０*_15・通訳),0)*_15・２人),0)*(1+_15・B早朝)),0)*(1+_15・盲ろう)),0)*(1+_15・区４)),0)</f>
        <v>1099</v>
      </c>
      <c r="AC90" s="48"/>
    </row>
    <row r="91" spans="1:29" ht="16.5" customHeight="1" x14ac:dyDescent="0.15">
      <c r="A91" s="41">
        <v>15</v>
      </c>
      <c r="B91" s="41" t="s">
        <v>26917</v>
      </c>
      <c r="C91" s="74" t="s">
        <v>26918</v>
      </c>
      <c r="D91" s="72"/>
      <c r="F91" s="57"/>
      <c r="G91" s="114" t="s">
        <v>18871</v>
      </c>
      <c r="H91" s="49"/>
      <c r="I91" s="115"/>
      <c r="J91" s="35"/>
      <c r="M91" s="299"/>
      <c r="N91" s="45"/>
      <c r="O91" s="46"/>
      <c r="P91" s="512"/>
      <c r="Q91" s="57"/>
      <c r="R91" s="512"/>
      <c r="S91" s="57"/>
      <c r="T91" s="114"/>
      <c r="U91" s="49"/>
      <c r="V91" s="50"/>
      <c r="W91" s="115"/>
      <c r="X91" s="114"/>
      <c r="Y91" s="49"/>
      <c r="Z91" s="50"/>
      <c r="AA91" s="115"/>
      <c r="AB91" s="208">
        <f>ROUND((ROUND((_15_同援日１．０*_15・通訳),0)*(1+_15・A深夜)),0)+ROUND((ROUND((_15_同援日１．０＿１．５*_15・通訳),0)*(1+_15・B早朝)),0)</f>
        <v>701</v>
      </c>
      <c r="AC91" s="48"/>
    </row>
    <row r="92" spans="1:29" ht="16.5" customHeight="1" x14ac:dyDescent="0.15">
      <c r="A92" s="41">
        <v>15</v>
      </c>
      <c r="B92" s="41" t="s">
        <v>26919</v>
      </c>
      <c r="C92" s="74" t="s">
        <v>26920</v>
      </c>
      <c r="D92" s="72"/>
      <c r="F92" s="57"/>
      <c r="G92" s="72" t="s">
        <v>17616</v>
      </c>
      <c r="I92" s="57"/>
      <c r="J92" s="35"/>
      <c r="M92" s="299" t="s">
        <v>17556</v>
      </c>
      <c r="N92" s="45" t="s">
        <v>398</v>
      </c>
      <c r="O92" s="46">
        <v>1</v>
      </c>
      <c r="P92" s="512"/>
      <c r="Q92" s="57"/>
      <c r="R92" s="512"/>
      <c r="S92" s="57"/>
      <c r="T92" s="122"/>
      <c r="U92" s="37"/>
      <c r="V92" s="38"/>
      <c r="W92" s="79"/>
      <c r="X92" s="72"/>
      <c r="AA92" s="57"/>
      <c r="AB92" s="208">
        <f>ROUND((ROUND((ROUND((_15_同援日１．０*_15・通訳),0)*_15・２人),0)*(1+_15・A深夜)),0)+ROUND((ROUND((ROUND((_15_同援日１．０＿１．５*_15・通訳),0)*_15・２人),0)*(1+_15・B早朝)),0)</f>
        <v>701</v>
      </c>
      <c r="AC92" s="48"/>
    </row>
    <row r="93" spans="1:29" ht="16.5" customHeight="1" x14ac:dyDescent="0.15">
      <c r="A93" s="41">
        <v>15</v>
      </c>
      <c r="B93" s="41" t="s">
        <v>26921</v>
      </c>
      <c r="C93" s="74" t="s">
        <v>26922</v>
      </c>
      <c r="D93" s="72"/>
      <c r="F93" s="57"/>
      <c r="G93" s="72" t="s">
        <v>18183</v>
      </c>
      <c r="I93" s="57"/>
      <c r="J93" s="35"/>
      <c r="M93" s="299"/>
      <c r="N93" s="45"/>
      <c r="O93" s="46"/>
      <c r="P93" s="512"/>
      <c r="Q93" s="57"/>
      <c r="R93" s="512"/>
      <c r="S93" s="57"/>
      <c r="T93" s="114" t="s">
        <v>17562</v>
      </c>
      <c r="U93" s="49"/>
      <c r="V93" s="50"/>
      <c r="W93" s="115"/>
      <c r="X93" s="72"/>
      <c r="AA93" s="57"/>
      <c r="AB93" s="208">
        <f>ROUND((ROUND((ROUND((_15_同援日１．０*_15・通訳),0)*(1+_15・A深夜)),0)*(1+_15・盲ろう)),0)+ROUND((ROUND((ROUND((_15_同援日１．０＿１．５*_15・通訳),0)*(1+_15・B早朝)),0)*(1+_15・盲ろう)),0)</f>
        <v>876</v>
      </c>
      <c r="AC93" s="48"/>
    </row>
    <row r="94" spans="1:29" ht="16.5" customHeight="1" x14ac:dyDescent="0.15">
      <c r="A94" s="41">
        <v>15</v>
      </c>
      <c r="B94" s="41" t="s">
        <v>26923</v>
      </c>
      <c r="C94" s="74" t="s">
        <v>26924</v>
      </c>
      <c r="D94" s="72"/>
      <c r="F94" s="57"/>
      <c r="G94" s="72"/>
      <c r="H94" s="168">
        <f>_15_同援日１．０＿１．５</f>
        <v>263</v>
      </c>
      <c r="I94" s="57" t="s">
        <v>392</v>
      </c>
      <c r="J94" s="35"/>
      <c r="M94" s="299" t="s">
        <v>17556</v>
      </c>
      <c r="N94" s="45" t="s">
        <v>398</v>
      </c>
      <c r="O94" s="46">
        <v>1</v>
      </c>
      <c r="P94" s="512"/>
      <c r="Q94" s="57"/>
      <c r="R94" s="512"/>
      <c r="S94" s="57"/>
      <c r="T94" s="122" t="s">
        <v>17564</v>
      </c>
      <c r="U94" s="37" t="s">
        <v>398</v>
      </c>
      <c r="V94" s="38">
        <v>0.25</v>
      </c>
      <c r="W94" s="79" t="s">
        <v>3575</v>
      </c>
      <c r="X94" s="122"/>
      <c r="Y94" s="37"/>
      <c r="Z94" s="38"/>
      <c r="AA94" s="79"/>
      <c r="AB94" s="208">
        <f>ROUND((ROUND((ROUND((ROUND((_15_同援日１．０*_15・通訳),0)*_15・２人),0)*(1+_15・A深夜)),0)*(1+_15・盲ろう)),0)+ROUND((ROUND((ROUND((ROUND((_15_同援日１．０＿１．５*_15・通訳),0)*_15・２人),0)*(1+_15・B早朝)),0)*(1+_15・盲ろう)),0)</f>
        <v>876</v>
      </c>
      <c r="AC94" s="48"/>
    </row>
    <row r="95" spans="1:29" ht="16.5" customHeight="1" x14ac:dyDescent="0.15">
      <c r="A95" s="41">
        <v>15</v>
      </c>
      <c r="B95" s="41" t="s">
        <v>26925</v>
      </c>
      <c r="C95" s="74" t="s">
        <v>26926</v>
      </c>
      <c r="D95" s="72"/>
      <c r="F95" s="57"/>
      <c r="G95" s="72"/>
      <c r="I95" s="57"/>
      <c r="J95" s="35"/>
      <c r="M95" s="299"/>
      <c r="N95" s="45"/>
      <c r="O95" s="46"/>
      <c r="P95" s="512"/>
      <c r="Q95" s="57"/>
      <c r="R95" s="512"/>
      <c r="S95" s="57"/>
      <c r="T95" s="114"/>
      <c r="U95" s="49"/>
      <c r="V95" s="50"/>
      <c r="W95" s="115"/>
      <c r="X95" s="114" t="s">
        <v>17570</v>
      </c>
      <c r="Y95" s="49"/>
      <c r="Z95" s="50"/>
      <c r="AA95" s="115"/>
      <c r="AB95" s="208">
        <f>ROUND((ROUND((ROUND((_15_同援日１．０*_15・通訳),0)*(1+_15・A深夜)),0)*(1+_15・区３)),0)+ROUND((ROUND((ROUND((_15_同援日１．０＿１．５*_15・通訳),0)*(1+_15・B早朝)),0)*(1+_15・区３)),0)</f>
        <v>841</v>
      </c>
      <c r="AC95" s="48"/>
    </row>
    <row r="96" spans="1:29" ht="16.5" customHeight="1" x14ac:dyDescent="0.15">
      <c r="A96" s="41">
        <v>15</v>
      </c>
      <c r="B96" s="41" t="s">
        <v>26927</v>
      </c>
      <c r="C96" s="74" t="s">
        <v>26928</v>
      </c>
      <c r="D96" s="72"/>
      <c r="F96" s="57"/>
      <c r="G96" s="72"/>
      <c r="I96" s="57"/>
      <c r="J96" s="35"/>
      <c r="M96" s="299" t="s">
        <v>17556</v>
      </c>
      <c r="N96" s="45" t="s">
        <v>398</v>
      </c>
      <c r="O96" s="46">
        <v>1</v>
      </c>
      <c r="P96" s="512"/>
      <c r="Q96" s="57"/>
      <c r="R96" s="512"/>
      <c r="S96" s="57"/>
      <c r="T96" s="122"/>
      <c r="U96" s="37"/>
      <c r="V96" s="38"/>
      <c r="W96" s="79"/>
      <c r="X96" s="72" t="s">
        <v>17572</v>
      </c>
      <c r="AA96" s="57"/>
      <c r="AB96" s="208">
        <f>ROUND((ROUND((ROUND((ROUND((_15_同援日１．０*_15・通訳),0)*_15・２人),0)*(1+_15・A深夜)),0)*(1+_15・区３)),0)+ROUND((ROUND((ROUND((ROUND((_15_同援日１．０＿１．５*_15・通訳),0)*_15・２人),0)*(1+_15・B早朝)),0)*(1+_15・区３)),0)</f>
        <v>841</v>
      </c>
      <c r="AC96" s="48"/>
    </row>
    <row r="97" spans="1:29" ht="16.5" customHeight="1" x14ac:dyDescent="0.15">
      <c r="A97" s="41">
        <v>15</v>
      </c>
      <c r="B97" s="41" t="s">
        <v>2873</v>
      </c>
      <c r="C97" s="74" t="s">
        <v>26929</v>
      </c>
      <c r="D97" s="72"/>
      <c r="F97" s="57"/>
      <c r="G97" s="72"/>
      <c r="I97" s="57"/>
      <c r="J97" s="35"/>
      <c r="M97" s="299"/>
      <c r="N97" s="45"/>
      <c r="O97" s="46"/>
      <c r="P97" s="512"/>
      <c r="Q97" s="57"/>
      <c r="R97" s="512"/>
      <c r="S97" s="57"/>
      <c r="T97" s="114" t="s">
        <v>17562</v>
      </c>
      <c r="U97" s="49"/>
      <c r="V97" s="50"/>
      <c r="W97" s="115"/>
      <c r="X97" s="72"/>
      <c r="Y97" s="12" t="s">
        <v>398</v>
      </c>
      <c r="Z97" s="13">
        <v>0.2</v>
      </c>
      <c r="AA97" s="57" t="s">
        <v>3575</v>
      </c>
      <c r="AB97" s="208">
        <f>ROUND((ROUND((ROUND((ROUND((_15_同援日１．０*_15・通訳),0)*(1+_15・A深夜)),0)*(1+_15・盲ろう)),0)*(1+_15・区３)),0)+ROUND((ROUND((ROUND((ROUND((_15_同援日１．０＿１．５*_15・通訳),0)*(1+_15・B早朝)),0)*(1+_15・盲ろう)),0)*(1+_15・区３)),0)</f>
        <v>1051</v>
      </c>
      <c r="AC97" s="48"/>
    </row>
    <row r="98" spans="1:29" ht="16.5" customHeight="1" x14ac:dyDescent="0.15">
      <c r="A98" s="41">
        <v>15</v>
      </c>
      <c r="B98" s="41" t="s">
        <v>2875</v>
      </c>
      <c r="C98" s="74" t="s">
        <v>26930</v>
      </c>
      <c r="D98" s="72"/>
      <c r="F98" s="57"/>
      <c r="G98" s="72"/>
      <c r="I98" s="57"/>
      <c r="J98" s="35"/>
      <c r="M98" s="299" t="s">
        <v>17556</v>
      </c>
      <c r="N98" s="45" t="s">
        <v>398</v>
      </c>
      <c r="O98" s="46">
        <v>1</v>
      </c>
      <c r="P98" s="512"/>
      <c r="Q98" s="57"/>
      <c r="R98" s="512"/>
      <c r="S98" s="57"/>
      <c r="T98" s="122" t="s">
        <v>17564</v>
      </c>
      <c r="U98" s="37" t="s">
        <v>398</v>
      </c>
      <c r="V98" s="38">
        <v>0.25</v>
      </c>
      <c r="W98" s="79" t="s">
        <v>3575</v>
      </c>
      <c r="X98" s="122"/>
      <c r="Y98" s="37"/>
      <c r="Z98" s="38"/>
      <c r="AA98" s="79"/>
      <c r="AB98" s="208">
        <f>ROUND((ROUND((ROUND((ROUND((ROUND((_15_同援日１．０*_15・通訳),0)*_15・２人),0)*(1+_15・A深夜)),0)*(1+_15・盲ろう)),0)*(1+_15・区３)),0)+ROUND((ROUND((ROUND((ROUND((ROUND((_15_同援日１．０＿１．５*_15・通訳),0)*_15・２人),0)*(1+_15・B早朝)),0)*(1+_15・盲ろう)),0)*(1+_15・区３)),0)</f>
        <v>1051</v>
      </c>
      <c r="AC98" s="48"/>
    </row>
    <row r="99" spans="1:29" ht="16.5" customHeight="1" x14ac:dyDescent="0.15">
      <c r="A99" s="41">
        <v>15</v>
      </c>
      <c r="B99" s="41" t="s">
        <v>2877</v>
      </c>
      <c r="C99" s="74" t="s">
        <v>26931</v>
      </c>
      <c r="D99" s="72"/>
      <c r="F99" s="57"/>
      <c r="G99" s="72"/>
      <c r="I99" s="57"/>
      <c r="J99" s="35"/>
      <c r="M99" s="299"/>
      <c r="N99" s="45"/>
      <c r="O99" s="46"/>
      <c r="P99" s="512"/>
      <c r="Q99" s="57"/>
      <c r="R99" s="512"/>
      <c r="S99" s="57"/>
      <c r="T99" s="114"/>
      <c r="U99" s="49"/>
      <c r="V99" s="50"/>
      <c r="W99" s="115"/>
      <c r="X99" s="114" t="s">
        <v>17580</v>
      </c>
      <c r="Y99" s="49"/>
      <c r="Z99" s="50"/>
      <c r="AA99" s="115"/>
      <c r="AB99" s="208">
        <f>ROUND((ROUND((ROUND((_15_同援日１．０*_15・通訳),0)*(1+_15・A深夜)),0)*(1+_15・区４)),0)+ROUND((ROUND((ROUND((_15_同援日１．０＿１．５*_15・通訳),0)*(1+_15・B早朝)),0)*(1+_15・区４)),0)</f>
        <v>981</v>
      </c>
      <c r="AC99" s="48"/>
    </row>
    <row r="100" spans="1:29" ht="16.5" customHeight="1" x14ac:dyDescent="0.15">
      <c r="A100" s="41">
        <v>15</v>
      </c>
      <c r="B100" s="41" t="s">
        <v>2879</v>
      </c>
      <c r="C100" s="74" t="s">
        <v>26932</v>
      </c>
      <c r="D100" s="72"/>
      <c r="F100" s="57"/>
      <c r="G100" s="72"/>
      <c r="I100" s="57"/>
      <c r="J100" s="35"/>
      <c r="M100" s="299" t="s">
        <v>17556</v>
      </c>
      <c r="N100" s="45" t="s">
        <v>398</v>
      </c>
      <c r="O100" s="46">
        <v>1</v>
      </c>
      <c r="P100" s="512"/>
      <c r="Q100" s="57"/>
      <c r="R100" s="512"/>
      <c r="S100" s="57"/>
      <c r="T100" s="122"/>
      <c r="U100" s="37"/>
      <c r="V100" s="38"/>
      <c r="W100" s="79"/>
      <c r="X100" s="72" t="s">
        <v>17572</v>
      </c>
      <c r="AA100" s="57"/>
      <c r="AB100" s="208">
        <f>ROUND((ROUND((ROUND((ROUND((_15_同援日１．０*_15・通訳),0)*_15・２人),0)*(1+_15・A深夜)),0)*(1+_15・区４)),0)+ROUND((ROUND((ROUND((ROUND((_15_同援日１．０＿１．５*_15・通訳),0)*_15・２人),0)*(1+_15・B早朝)),0)*(1+_15・区４)),0)</f>
        <v>981</v>
      </c>
      <c r="AC100" s="48"/>
    </row>
    <row r="101" spans="1:29" ht="16.5" customHeight="1" x14ac:dyDescent="0.15">
      <c r="A101" s="41">
        <v>15</v>
      </c>
      <c r="B101" s="41" t="s">
        <v>26933</v>
      </c>
      <c r="C101" s="74" t="s">
        <v>26934</v>
      </c>
      <c r="D101" s="72"/>
      <c r="F101" s="57"/>
      <c r="G101" s="72"/>
      <c r="I101" s="57"/>
      <c r="J101" s="35"/>
      <c r="M101" s="299"/>
      <c r="N101" s="45"/>
      <c r="O101" s="46"/>
      <c r="P101" s="512"/>
      <c r="Q101" s="57"/>
      <c r="R101" s="512"/>
      <c r="S101" s="57"/>
      <c r="T101" s="114" t="s">
        <v>17562</v>
      </c>
      <c r="U101" s="49"/>
      <c r="V101" s="50"/>
      <c r="W101" s="115"/>
      <c r="X101" s="72"/>
      <c r="Y101" s="12" t="s">
        <v>398</v>
      </c>
      <c r="Z101" s="13">
        <v>0.4</v>
      </c>
      <c r="AA101" s="57" t="s">
        <v>3575</v>
      </c>
      <c r="AB101" s="208">
        <f>ROUND((ROUND((ROUND((ROUND((_15_同援日１．０*_15・通訳),0)*(1+_15・A深夜)),0)*(1+_15・盲ろう)),0)*(1+_15・区４)),0)+ROUND((ROUND((ROUND((ROUND((_15_同援日１．０＿１．５*_15・通訳),0)*(1+_15・B早朝)),0)*(1+_15・盲ろう)),0)*(1+_15・区４)),0)</f>
        <v>1226</v>
      </c>
      <c r="AC101" s="48"/>
    </row>
    <row r="102" spans="1:29" ht="16.5" customHeight="1" x14ac:dyDescent="0.15">
      <c r="A102" s="41">
        <v>15</v>
      </c>
      <c r="B102" s="41" t="s">
        <v>26935</v>
      </c>
      <c r="C102" s="74" t="s">
        <v>26936</v>
      </c>
      <c r="D102" s="72"/>
      <c r="F102" s="57"/>
      <c r="G102" s="122"/>
      <c r="H102" s="37"/>
      <c r="I102" s="79"/>
      <c r="J102" s="35"/>
      <c r="M102" s="299" t="s">
        <v>17556</v>
      </c>
      <c r="N102" s="45" t="s">
        <v>398</v>
      </c>
      <c r="O102" s="46">
        <v>1</v>
      </c>
      <c r="P102" s="512"/>
      <c r="Q102" s="57"/>
      <c r="R102" s="512"/>
      <c r="S102" s="57"/>
      <c r="T102" s="122" t="s">
        <v>17564</v>
      </c>
      <c r="U102" s="37" t="s">
        <v>398</v>
      </c>
      <c r="V102" s="38">
        <v>0.25</v>
      </c>
      <c r="W102" s="79" t="s">
        <v>3575</v>
      </c>
      <c r="X102" s="122"/>
      <c r="Y102" s="37"/>
      <c r="Z102" s="38"/>
      <c r="AA102" s="79"/>
      <c r="AB102" s="208">
        <f>ROUND((ROUND((ROUND((ROUND((ROUND((_15_同援日１．０*_15・通訳),0)*_15・２人),0)*(1+_15・A深夜)),0)*(1+_15・盲ろう)),0)*(1+_15・区４)),0)+ROUND((ROUND((ROUND((ROUND((ROUND((_15_同援日１．０＿１．５*_15・通訳),0)*_15・２人),0)*(1+_15・B早朝)),0)*(1+_15・盲ろう)),0)*(1+_15・区４)),0)</f>
        <v>1226</v>
      </c>
      <c r="AC102" s="48"/>
    </row>
    <row r="103" spans="1:29" ht="16.5" customHeight="1" x14ac:dyDescent="0.15">
      <c r="A103" s="41">
        <v>15</v>
      </c>
      <c r="B103" s="41" t="s">
        <v>26937</v>
      </c>
      <c r="C103" s="74" t="s">
        <v>26938</v>
      </c>
      <c r="D103" s="72"/>
      <c r="F103" s="57"/>
      <c r="G103" s="114" t="s">
        <v>18896</v>
      </c>
      <c r="H103" s="49"/>
      <c r="I103" s="115"/>
      <c r="J103" s="35"/>
      <c r="M103" s="299"/>
      <c r="N103" s="45"/>
      <c r="O103" s="46"/>
      <c r="P103" s="512"/>
      <c r="Q103" s="57"/>
      <c r="R103" s="512"/>
      <c r="S103" s="57"/>
      <c r="T103" s="114"/>
      <c r="U103" s="49"/>
      <c r="V103" s="50"/>
      <c r="W103" s="115"/>
      <c r="X103" s="114"/>
      <c r="Y103" s="49"/>
      <c r="Z103" s="50"/>
      <c r="AA103" s="115"/>
      <c r="AB103" s="208">
        <f>ROUND((ROUND((_15_同援日１．０*_15・通訳),0)*(1+_15・A深夜)),0)+ROUND((ROUND((_15_同援日１．０＿２．０*_15・通訳),0)*(1+_15・B早朝)),0)</f>
        <v>774</v>
      </c>
      <c r="AC103" s="48"/>
    </row>
    <row r="104" spans="1:29" ht="16.5" customHeight="1" x14ac:dyDescent="0.15">
      <c r="A104" s="41">
        <v>15</v>
      </c>
      <c r="B104" s="41" t="s">
        <v>26939</v>
      </c>
      <c r="C104" s="74" t="s">
        <v>26940</v>
      </c>
      <c r="D104" s="72"/>
      <c r="F104" s="57"/>
      <c r="G104" s="72" t="s">
        <v>17643</v>
      </c>
      <c r="I104" s="57"/>
      <c r="J104" s="35"/>
      <c r="M104" s="299" t="s">
        <v>17556</v>
      </c>
      <c r="N104" s="45" t="s">
        <v>398</v>
      </c>
      <c r="O104" s="46">
        <v>1</v>
      </c>
      <c r="P104" s="512"/>
      <c r="Q104" s="57"/>
      <c r="R104" s="512"/>
      <c r="S104" s="57"/>
      <c r="T104" s="122"/>
      <c r="U104" s="37"/>
      <c r="V104" s="38"/>
      <c r="W104" s="79"/>
      <c r="X104" s="72"/>
      <c r="AA104" s="57"/>
      <c r="AB104" s="208">
        <f>ROUND((ROUND((ROUND((_15_同援日１．０*_15・通訳),0)*_15・２人),0)*(1+_15・A深夜)),0)+ROUND((ROUND((ROUND((_15_同援日１．０＿２．０*_15・通訳),0)*_15・２人),0)*(1+_15・B早朝)),0)</f>
        <v>774</v>
      </c>
      <c r="AC104" s="48"/>
    </row>
    <row r="105" spans="1:29" ht="16.5" customHeight="1" x14ac:dyDescent="0.15">
      <c r="A105" s="41">
        <v>15</v>
      </c>
      <c r="B105" s="41" t="s">
        <v>26941</v>
      </c>
      <c r="C105" s="74" t="s">
        <v>26942</v>
      </c>
      <c r="D105" s="72"/>
      <c r="F105" s="57"/>
      <c r="G105" s="72" t="s">
        <v>17645</v>
      </c>
      <c r="I105" s="57"/>
      <c r="J105" s="35"/>
      <c r="M105" s="299"/>
      <c r="N105" s="45"/>
      <c r="O105" s="46"/>
      <c r="P105" s="512"/>
      <c r="Q105" s="57"/>
      <c r="R105" s="512"/>
      <c r="S105" s="57"/>
      <c r="T105" s="114" t="s">
        <v>17562</v>
      </c>
      <c r="U105" s="49"/>
      <c r="V105" s="50"/>
      <c r="W105" s="115"/>
      <c r="X105" s="72"/>
      <c r="AA105" s="57"/>
      <c r="AB105" s="208">
        <f>ROUND((ROUND((ROUND((_15_同援日１．０*_15・通訳),0)*(1+_15・A深夜)),0)*(1+_15・盲ろう)),0)+ROUND((ROUND((ROUND((_15_同援日１．０＿２．０*_15・通訳),0)*(1+_15・B早朝)),0)*(1+_15・盲ろう)),0)</f>
        <v>967</v>
      </c>
      <c r="AC105" s="48"/>
    </row>
    <row r="106" spans="1:29" ht="16.5" customHeight="1" x14ac:dyDescent="0.15">
      <c r="A106" s="41">
        <v>15</v>
      </c>
      <c r="B106" s="41" t="s">
        <v>26943</v>
      </c>
      <c r="C106" s="74" t="s">
        <v>26944</v>
      </c>
      <c r="D106" s="72"/>
      <c r="F106" s="57"/>
      <c r="G106" s="72"/>
      <c r="H106" s="168">
        <f>_15_同援日１．０＿２．０</f>
        <v>328</v>
      </c>
      <c r="I106" s="57" t="s">
        <v>392</v>
      </c>
      <c r="J106" s="35"/>
      <c r="M106" s="299" t="s">
        <v>17556</v>
      </c>
      <c r="N106" s="45" t="s">
        <v>398</v>
      </c>
      <c r="O106" s="46">
        <v>1</v>
      </c>
      <c r="P106" s="512"/>
      <c r="Q106" s="57"/>
      <c r="R106" s="512"/>
      <c r="S106" s="57"/>
      <c r="T106" s="122" t="s">
        <v>17564</v>
      </c>
      <c r="U106" s="37" t="s">
        <v>398</v>
      </c>
      <c r="V106" s="38">
        <v>0.25</v>
      </c>
      <c r="W106" s="79" t="s">
        <v>3575</v>
      </c>
      <c r="X106" s="122"/>
      <c r="Y106" s="37"/>
      <c r="Z106" s="38"/>
      <c r="AA106" s="79"/>
      <c r="AB106" s="208">
        <f>ROUND((ROUND((ROUND((ROUND((_15_同援日１．０*_15・通訳),0)*_15・２人),0)*(1+_15・A深夜)),0)*(1+_15・盲ろう)),0)+ROUND((ROUND((ROUND((ROUND((_15_同援日１．０＿２．０*_15・通訳),0)*_15・２人),0)*(1+_15・B早朝)),0)*(1+_15・盲ろう)),0)</f>
        <v>967</v>
      </c>
      <c r="AC106" s="48"/>
    </row>
    <row r="107" spans="1:29" ht="16.5" customHeight="1" x14ac:dyDescent="0.15">
      <c r="A107" s="41">
        <v>15</v>
      </c>
      <c r="B107" s="41" t="s">
        <v>26945</v>
      </c>
      <c r="C107" s="74" t="s">
        <v>26946</v>
      </c>
      <c r="D107" s="72"/>
      <c r="F107" s="57"/>
      <c r="G107" s="72"/>
      <c r="I107" s="57"/>
      <c r="J107" s="35"/>
      <c r="M107" s="299"/>
      <c r="N107" s="45"/>
      <c r="O107" s="46"/>
      <c r="P107" s="512"/>
      <c r="Q107" s="57"/>
      <c r="R107" s="512"/>
      <c r="S107" s="57"/>
      <c r="T107" s="114"/>
      <c r="U107" s="49"/>
      <c r="V107" s="50"/>
      <c r="W107" s="115"/>
      <c r="X107" s="114" t="s">
        <v>17570</v>
      </c>
      <c r="Y107" s="49"/>
      <c r="Z107" s="50"/>
      <c r="AA107" s="115"/>
      <c r="AB107" s="208">
        <f>ROUND((ROUND((ROUND((_15_同援日１．０*_15・通訳),0)*(1+_15・A深夜)),0)*(1+_15・区３)),0)+ROUND((ROUND((ROUND((_15_同援日１．０＿２．０*_15・通訳),0)*(1+_15・B早朝)),0)*(1+_15・区３)),0)</f>
        <v>929</v>
      </c>
      <c r="AC107" s="48"/>
    </row>
    <row r="108" spans="1:29" ht="16.5" customHeight="1" x14ac:dyDescent="0.15">
      <c r="A108" s="41">
        <v>15</v>
      </c>
      <c r="B108" s="41" t="s">
        <v>26947</v>
      </c>
      <c r="C108" s="74" t="s">
        <v>26948</v>
      </c>
      <c r="D108" s="72"/>
      <c r="F108" s="57"/>
      <c r="G108" s="72"/>
      <c r="I108" s="57"/>
      <c r="J108" s="35"/>
      <c r="M108" s="299" t="s">
        <v>17556</v>
      </c>
      <c r="N108" s="45" t="s">
        <v>398</v>
      </c>
      <c r="O108" s="46">
        <v>1</v>
      </c>
      <c r="P108" s="512"/>
      <c r="Q108" s="57"/>
      <c r="R108" s="512"/>
      <c r="S108" s="57"/>
      <c r="T108" s="122"/>
      <c r="U108" s="37"/>
      <c r="V108" s="38"/>
      <c r="W108" s="79"/>
      <c r="X108" s="72" t="s">
        <v>17572</v>
      </c>
      <c r="AA108" s="57"/>
      <c r="AB108" s="208">
        <f>ROUND((ROUND((ROUND((ROUND((_15_同援日１．０*_15・通訳),0)*_15・２人),0)*(1+_15・A深夜)),0)*(1+_15・区３)),0)+ROUND((ROUND((ROUND((ROUND((_15_同援日１．０＿２．０*_15・通訳),0)*_15・２人),0)*(1+_15・B早朝)),0)*(1+_15・区３)),0)</f>
        <v>929</v>
      </c>
      <c r="AC108" s="48"/>
    </row>
    <row r="109" spans="1:29" ht="16.5" customHeight="1" x14ac:dyDescent="0.15">
      <c r="A109" s="41">
        <v>15</v>
      </c>
      <c r="B109" s="41" t="s">
        <v>26949</v>
      </c>
      <c r="C109" s="74" t="s">
        <v>26950</v>
      </c>
      <c r="D109" s="72"/>
      <c r="F109" s="57"/>
      <c r="G109" s="72"/>
      <c r="I109" s="57"/>
      <c r="J109" s="35"/>
      <c r="M109" s="299"/>
      <c r="N109" s="45"/>
      <c r="O109" s="46"/>
      <c r="P109" s="512"/>
      <c r="Q109" s="57"/>
      <c r="R109" s="512"/>
      <c r="S109" s="57"/>
      <c r="T109" s="114" t="s">
        <v>17562</v>
      </c>
      <c r="U109" s="49"/>
      <c r="V109" s="50"/>
      <c r="W109" s="115"/>
      <c r="X109" s="72"/>
      <c r="Y109" s="12" t="s">
        <v>398</v>
      </c>
      <c r="Z109" s="13">
        <v>0.2</v>
      </c>
      <c r="AA109" s="57" t="s">
        <v>3575</v>
      </c>
      <c r="AB109" s="208">
        <f>ROUND((ROUND((ROUND((ROUND((_15_同援日１．０*_15・通訳),0)*(1+_15・A深夜)),0)*(1+_15・盲ろう)),0)*(1+_15・区３)),0)+ROUND((ROUND((ROUND((ROUND((_15_同援日１．０＿２．０*_15・通訳),0)*(1+_15・B早朝)),0)*(1+_15・盲ろう)),0)*(1+_15・区３)),0)</f>
        <v>1160</v>
      </c>
      <c r="AC109" s="48"/>
    </row>
    <row r="110" spans="1:29" ht="16.5" customHeight="1" x14ac:dyDescent="0.15">
      <c r="A110" s="41">
        <v>15</v>
      </c>
      <c r="B110" s="41" t="s">
        <v>26951</v>
      </c>
      <c r="C110" s="74" t="s">
        <v>26952</v>
      </c>
      <c r="D110" s="72"/>
      <c r="F110" s="57"/>
      <c r="G110" s="72"/>
      <c r="I110" s="57"/>
      <c r="J110" s="35"/>
      <c r="M110" s="299" t="s">
        <v>17556</v>
      </c>
      <c r="N110" s="45" t="s">
        <v>398</v>
      </c>
      <c r="O110" s="46">
        <v>1</v>
      </c>
      <c r="P110" s="512"/>
      <c r="Q110" s="57"/>
      <c r="R110" s="512"/>
      <c r="S110" s="57"/>
      <c r="T110" s="122" t="s">
        <v>17564</v>
      </c>
      <c r="U110" s="37" t="s">
        <v>398</v>
      </c>
      <c r="V110" s="38">
        <v>0.25</v>
      </c>
      <c r="W110" s="79" t="s">
        <v>3575</v>
      </c>
      <c r="X110" s="122"/>
      <c r="Y110" s="37"/>
      <c r="Z110" s="38"/>
      <c r="AA110" s="79"/>
      <c r="AB110" s="208">
        <f>ROUND((ROUND((ROUND((ROUND((ROUND((_15_同援日１．０*_15・通訳),0)*_15・２人),0)*(1+_15・A深夜)),0)*(1+_15・盲ろう)),0)*(1+_15・区３)),0)+ROUND((ROUND((ROUND((ROUND((ROUND((_15_同援日１．０＿２．０*_15・通訳),0)*_15・２人),0)*(1+_15・B早朝)),0)*(1+_15・盲ろう)),0)*(1+_15・区３)),0)</f>
        <v>1160</v>
      </c>
      <c r="AC110" s="48"/>
    </row>
    <row r="111" spans="1:29" ht="16.5" customHeight="1" x14ac:dyDescent="0.15">
      <c r="A111" s="41">
        <v>15</v>
      </c>
      <c r="B111" s="41" t="s">
        <v>26953</v>
      </c>
      <c r="C111" s="74" t="s">
        <v>26954</v>
      </c>
      <c r="D111" s="72"/>
      <c r="F111" s="57"/>
      <c r="G111" s="72"/>
      <c r="I111" s="57"/>
      <c r="J111" s="35"/>
      <c r="M111" s="299"/>
      <c r="N111" s="45"/>
      <c r="O111" s="46"/>
      <c r="P111" s="512"/>
      <c r="Q111" s="57"/>
      <c r="R111" s="512"/>
      <c r="S111" s="57"/>
      <c r="T111" s="114"/>
      <c r="U111" s="49"/>
      <c r="V111" s="50"/>
      <c r="W111" s="115"/>
      <c r="X111" s="114" t="s">
        <v>17580</v>
      </c>
      <c r="Y111" s="49"/>
      <c r="Z111" s="50"/>
      <c r="AA111" s="115"/>
      <c r="AB111" s="208">
        <f>ROUND((ROUND((ROUND((_15_同援日１．０*_15・通訳),0)*(1+_15・A深夜)),0)*(1+_15・区４)),0)+ROUND((ROUND((ROUND((_15_同援日１．０＿２．０*_15・通訳),0)*(1+_15・B早朝)),0)*(1+_15・区４)),0)</f>
        <v>1084</v>
      </c>
      <c r="AC111" s="48"/>
    </row>
    <row r="112" spans="1:29" ht="16.5" customHeight="1" x14ac:dyDescent="0.15">
      <c r="A112" s="41">
        <v>15</v>
      </c>
      <c r="B112" s="41" t="s">
        <v>26955</v>
      </c>
      <c r="C112" s="74" t="s">
        <v>26956</v>
      </c>
      <c r="D112" s="72"/>
      <c r="F112" s="57"/>
      <c r="G112" s="72"/>
      <c r="I112" s="57"/>
      <c r="J112" s="35"/>
      <c r="M112" s="299" t="s">
        <v>17556</v>
      </c>
      <c r="N112" s="45" t="s">
        <v>398</v>
      </c>
      <c r="O112" s="46">
        <v>1</v>
      </c>
      <c r="P112" s="512"/>
      <c r="Q112" s="57"/>
      <c r="R112" s="512"/>
      <c r="S112" s="57"/>
      <c r="T112" s="122"/>
      <c r="U112" s="37"/>
      <c r="V112" s="38"/>
      <c r="W112" s="79"/>
      <c r="X112" s="72" t="s">
        <v>17572</v>
      </c>
      <c r="AA112" s="57"/>
      <c r="AB112" s="208">
        <f>ROUND((ROUND((ROUND((ROUND((_15_同援日１．０*_15・通訳),0)*_15・２人),0)*(1+_15・A深夜)),0)*(1+_15・区４)),0)+ROUND((ROUND((ROUND((ROUND((_15_同援日１．０＿２．０*_15・通訳),0)*_15・２人),0)*(1+_15・B早朝)),0)*(1+_15・区４)),0)</f>
        <v>1084</v>
      </c>
      <c r="AC112" s="48"/>
    </row>
    <row r="113" spans="1:29" ht="16.5" customHeight="1" x14ac:dyDescent="0.15">
      <c r="A113" s="41">
        <v>15</v>
      </c>
      <c r="B113" s="41" t="s">
        <v>26957</v>
      </c>
      <c r="C113" s="74" t="s">
        <v>26958</v>
      </c>
      <c r="D113" s="72"/>
      <c r="F113" s="57"/>
      <c r="G113" s="72"/>
      <c r="I113" s="57"/>
      <c r="J113" s="35"/>
      <c r="M113" s="299"/>
      <c r="N113" s="45"/>
      <c r="O113" s="46"/>
      <c r="P113" s="512"/>
      <c r="Q113" s="57"/>
      <c r="R113" s="512"/>
      <c r="S113" s="57"/>
      <c r="T113" s="114" t="s">
        <v>17562</v>
      </c>
      <c r="U113" s="49"/>
      <c r="V113" s="50"/>
      <c r="W113" s="115"/>
      <c r="X113" s="72"/>
      <c r="Y113" s="12" t="s">
        <v>398</v>
      </c>
      <c r="Z113" s="13">
        <v>0.4</v>
      </c>
      <c r="AA113" s="57" t="s">
        <v>3575</v>
      </c>
      <c r="AB113" s="208">
        <f>ROUND((ROUND((ROUND((ROUND((_15_同援日１．０*_15・通訳),0)*(1+_15・A深夜)),0)*(1+_15・盲ろう)),0)*(1+_15・区４)),0)+ROUND((ROUND((ROUND((ROUND((_15_同援日１．０＿２．０*_15・通訳),0)*(1+_15・B早朝)),0)*(1+_15・盲ろう)),0)*(1+_15・区４)),0)</f>
        <v>1353</v>
      </c>
      <c r="AC113" s="48"/>
    </row>
    <row r="114" spans="1:29" ht="16.5" customHeight="1" x14ac:dyDescent="0.15">
      <c r="A114" s="41">
        <v>15</v>
      </c>
      <c r="B114" s="41" t="s">
        <v>26959</v>
      </c>
      <c r="C114" s="74" t="s">
        <v>26960</v>
      </c>
      <c r="D114" s="122"/>
      <c r="E114" s="37"/>
      <c r="F114" s="79"/>
      <c r="G114" s="122"/>
      <c r="H114" s="37"/>
      <c r="I114" s="79"/>
      <c r="J114" s="43"/>
      <c r="K114" s="37"/>
      <c r="L114" s="38"/>
      <c r="M114" s="299" t="s">
        <v>17556</v>
      </c>
      <c r="N114" s="45" t="s">
        <v>398</v>
      </c>
      <c r="O114" s="46">
        <v>1</v>
      </c>
      <c r="P114" s="514"/>
      <c r="Q114" s="79"/>
      <c r="R114" s="514"/>
      <c r="S114" s="79"/>
      <c r="T114" s="122" t="s">
        <v>17564</v>
      </c>
      <c r="U114" s="37" t="s">
        <v>398</v>
      </c>
      <c r="V114" s="38">
        <v>0.25</v>
      </c>
      <c r="W114" s="79" t="s">
        <v>3575</v>
      </c>
      <c r="X114" s="122"/>
      <c r="Y114" s="37"/>
      <c r="Z114" s="38"/>
      <c r="AA114" s="79"/>
      <c r="AB114" s="208">
        <f>ROUND((ROUND((ROUND((ROUND((ROUND((_15_同援日１．０*_15・通訳),0)*_15・２人),0)*(1+_15・A深夜)),0)*(1+_15・盲ろう)),0)*(1+_15・区４)),0)+ROUND((ROUND((ROUND((ROUND((ROUND((_15_同援日１．０＿２．０*_15・通訳),0)*_15・２人),0)*(1+_15・B早朝)),0)*(1+_15・盲ろう)),0)*(1+_15・区４)),0)</f>
        <v>1353</v>
      </c>
      <c r="AC114" s="63"/>
    </row>
    <row r="115" spans="1:29" ht="16.5" customHeight="1" x14ac:dyDescent="0.15">
      <c r="A115" s="41">
        <v>15</v>
      </c>
      <c r="B115" s="41" t="s">
        <v>26961</v>
      </c>
      <c r="C115" s="74" t="s">
        <v>26962</v>
      </c>
      <c r="D115" s="114" t="s">
        <v>18538</v>
      </c>
      <c r="E115" s="49"/>
      <c r="F115" s="115"/>
      <c r="G115" s="114" t="s">
        <v>18819</v>
      </c>
      <c r="H115" s="49"/>
      <c r="I115" s="115"/>
      <c r="J115" s="53"/>
      <c r="K115" s="49"/>
      <c r="L115" s="50"/>
      <c r="M115" s="299"/>
      <c r="N115" s="45"/>
      <c r="O115" s="46"/>
      <c r="P115" s="515"/>
      <c r="Q115" s="115"/>
      <c r="R115" s="515"/>
      <c r="S115" s="115"/>
      <c r="T115" s="114"/>
      <c r="U115" s="49"/>
      <c r="V115" s="50"/>
      <c r="W115" s="115"/>
      <c r="X115" s="114"/>
      <c r="Y115" s="49"/>
      <c r="Z115" s="50"/>
      <c r="AA115" s="115"/>
      <c r="AB115" s="208">
        <f>ROUND((ROUND((_15_同援日１．５*_15・通訳),0)*(1+_15・A深夜)),0)+ROUND((ROUND((_15_同援日１．５＿０．５*_15・通訳),0)*(1+_15・B早朝)),0)</f>
        <v>659</v>
      </c>
      <c r="AC115" s="64"/>
    </row>
    <row r="116" spans="1:29" ht="16.5" customHeight="1" x14ac:dyDescent="0.15">
      <c r="A116" s="41">
        <v>15</v>
      </c>
      <c r="B116" s="41" t="s">
        <v>26963</v>
      </c>
      <c r="C116" s="74" t="s">
        <v>26964</v>
      </c>
      <c r="D116" s="72" t="s">
        <v>17616</v>
      </c>
      <c r="F116" s="57"/>
      <c r="G116" s="72" t="s">
        <v>18259</v>
      </c>
      <c r="I116" s="57"/>
      <c r="J116" s="35"/>
      <c r="M116" s="299" t="s">
        <v>17556</v>
      </c>
      <c r="N116" s="45" t="s">
        <v>398</v>
      </c>
      <c r="O116" s="46">
        <v>1</v>
      </c>
      <c r="P116" s="512"/>
      <c r="Q116" s="57"/>
      <c r="R116" s="512"/>
      <c r="S116" s="57"/>
      <c r="T116" s="122"/>
      <c r="U116" s="37"/>
      <c r="V116" s="38"/>
      <c r="W116" s="79"/>
      <c r="X116" s="72"/>
      <c r="AA116" s="57"/>
      <c r="AB116" s="208">
        <f>ROUND((ROUND((ROUND((_15_同援日１．５*_15・通訳),0)*_15・２人),0)*(1+_15・A深夜)),0)+ROUND((ROUND((ROUND((_15_同援日１．５＿０．５*_15・通訳),0)*_15・２人),0)*(1+_15・B早朝)),0)</f>
        <v>659</v>
      </c>
      <c r="AC116" s="48"/>
    </row>
    <row r="117" spans="1:29" ht="16.5" customHeight="1" x14ac:dyDescent="0.15">
      <c r="A117" s="41">
        <v>15</v>
      </c>
      <c r="B117" s="41" t="s">
        <v>2885</v>
      </c>
      <c r="C117" s="74" t="s">
        <v>26965</v>
      </c>
      <c r="D117" s="72" t="s">
        <v>18183</v>
      </c>
      <c r="F117" s="57"/>
      <c r="G117" s="72"/>
      <c r="I117" s="57"/>
      <c r="J117" s="35"/>
      <c r="M117" s="299"/>
      <c r="N117" s="45"/>
      <c r="O117" s="46"/>
      <c r="P117" s="512"/>
      <c r="Q117" s="57"/>
      <c r="R117" s="512"/>
      <c r="S117" s="57"/>
      <c r="T117" s="114" t="s">
        <v>17562</v>
      </c>
      <c r="U117" s="49"/>
      <c r="V117" s="50"/>
      <c r="W117" s="115"/>
      <c r="X117" s="72"/>
      <c r="AA117" s="57"/>
      <c r="AB117" s="208">
        <f>ROUND((ROUND((ROUND((_15_同援日１．５*_15・通訳),0)*(1+_15・A深夜)),0)*(1+_15・盲ろう)),0)+ROUND((ROUND((ROUND((_15_同援日１．５＿０．５*_15・通訳),0)*(1+_15・B早朝)),0)*(1+_15・盲ろう)),0)</f>
        <v>824</v>
      </c>
      <c r="AC117" s="48"/>
    </row>
    <row r="118" spans="1:29" ht="16.5" customHeight="1" x14ac:dyDescent="0.15">
      <c r="A118" s="41">
        <v>15</v>
      </c>
      <c r="B118" s="41" t="s">
        <v>2887</v>
      </c>
      <c r="C118" s="74" t="s">
        <v>26966</v>
      </c>
      <c r="D118" s="72"/>
      <c r="E118" s="168">
        <f>_15_同援日１．５</f>
        <v>433</v>
      </c>
      <c r="F118" s="57" t="s">
        <v>392</v>
      </c>
      <c r="G118" s="72"/>
      <c r="H118" s="168">
        <f>_15_同援日１．５＿０．５</f>
        <v>65</v>
      </c>
      <c r="I118" s="57" t="s">
        <v>392</v>
      </c>
      <c r="J118" s="35"/>
      <c r="M118" s="299" t="s">
        <v>17556</v>
      </c>
      <c r="N118" s="45" t="s">
        <v>398</v>
      </c>
      <c r="O118" s="46">
        <v>1</v>
      </c>
      <c r="P118" s="512"/>
      <c r="Q118" s="57"/>
      <c r="R118" s="512"/>
      <c r="S118" s="57"/>
      <c r="T118" s="122" t="s">
        <v>17564</v>
      </c>
      <c r="U118" s="37" t="s">
        <v>398</v>
      </c>
      <c r="V118" s="38">
        <v>0.25</v>
      </c>
      <c r="W118" s="79" t="s">
        <v>3575</v>
      </c>
      <c r="X118" s="122"/>
      <c r="Y118" s="37"/>
      <c r="Z118" s="38"/>
      <c r="AA118" s="79"/>
      <c r="AB118" s="208">
        <f>ROUND((ROUND((ROUND((ROUND((_15_同援日１．５*_15・通訳),0)*_15・２人),0)*(1+_15・A深夜)),0)*(1+_15・盲ろう)),0)+ROUND((ROUND((ROUND((ROUND((_15_同援日１．５＿０．５*_15・通訳),0)*_15・２人),0)*(1+_15・B早朝)),0)*(1+_15・盲ろう)),0)</f>
        <v>824</v>
      </c>
      <c r="AC118" s="48"/>
    </row>
    <row r="119" spans="1:29" ht="16.5" customHeight="1" x14ac:dyDescent="0.15">
      <c r="A119" s="41">
        <v>15</v>
      </c>
      <c r="B119" s="41" t="s">
        <v>2889</v>
      </c>
      <c r="C119" s="74" t="s">
        <v>26967</v>
      </c>
      <c r="D119" s="72"/>
      <c r="F119" s="57"/>
      <c r="G119" s="72"/>
      <c r="I119" s="57"/>
      <c r="J119" s="35"/>
      <c r="M119" s="299"/>
      <c r="N119" s="45"/>
      <c r="O119" s="46"/>
      <c r="P119" s="512"/>
      <c r="Q119" s="57"/>
      <c r="R119" s="512"/>
      <c r="S119" s="57"/>
      <c r="T119" s="114"/>
      <c r="U119" s="49"/>
      <c r="V119" s="50"/>
      <c r="W119" s="115"/>
      <c r="X119" s="114" t="s">
        <v>17570</v>
      </c>
      <c r="Y119" s="49"/>
      <c r="Z119" s="50"/>
      <c r="AA119" s="115"/>
      <c r="AB119" s="208">
        <f>ROUND((ROUND((ROUND((_15_同援日１．５*_15・通訳),0)*(1+_15・A深夜)),0)*(1+_15・区３)),0)+ROUND((ROUND((ROUND((_15_同援日１．５＿０．５*_15・通訳),0)*(1+_15・B早朝)),0)*(1+_15・区３)),0)</f>
        <v>791</v>
      </c>
      <c r="AC119" s="48"/>
    </row>
    <row r="120" spans="1:29" ht="16.5" customHeight="1" x14ac:dyDescent="0.15">
      <c r="A120" s="41">
        <v>15</v>
      </c>
      <c r="B120" s="41" t="s">
        <v>2891</v>
      </c>
      <c r="C120" s="74" t="s">
        <v>26968</v>
      </c>
      <c r="D120" s="72"/>
      <c r="F120" s="57"/>
      <c r="G120" s="72"/>
      <c r="I120" s="57"/>
      <c r="J120" s="35"/>
      <c r="M120" s="299" t="s">
        <v>17556</v>
      </c>
      <c r="N120" s="45" t="s">
        <v>398</v>
      </c>
      <c r="O120" s="46">
        <v>1</v>
      </c>
      <c r="P120" s="512"/>
      <c r="Q120" s="57"/>
      <c r="R120" s="512"/>
      <c r="S120" s="57"/>
      <c r="T120" s="122"/>
      <c r="U120" s="37"/>
      <c r="V120" s="38"/>
      <c r="W120" s="79"/>
      <c r="X120" s="72" t="s">
        <v>17572</v>
      </c>
      <c r="AA120" s="57"/>
      <c r="AB120" s="208">
        <f>ROUND((ROUND((ROUND((ROUND((_15_同援日１．５*_15・通訳),0)*_15・２人),0)*(1+_15・A深夜)),0)*(1+_15・区３)),0)+ROUND((ROUND((ROUND((ROUND((_15_同援日１．５＿０．５*_15・通訳),0)*_15・２人),0)*(1+_15・B早朝)),0)*(1+_15・区３)),0)</f>
        <v>791</v>
      </c>
      <c r="AC120" s="48"/>
    </row>
    <row r="121" spans="1:29" ht="16.5" customHeight="1" x14ac:dyDescent="0.15">
      <c r="A121" s="41">
        <v>15</v>
      </c>
      <c r="B121" s="41" t="s">
        <v>26969</v>
      </c>
      <c r="C121" s="74" t="s">
        <v>26970</v>
      </c>
      <c r="D121" s="72"/>
      <c r="F121" s="57"/>
      <c r="G121" s="72"/>
      <c r="I121" s="57"/>
      <c r="J121" s="35"/>
      <c r="M121" s="299"/>
      <c r="N121" s="45"/>
      <c r="O121" s="46"/>
      <c r="P121" s="512"/>
      <c r="Q121" s="57"/>
      <c r="R121" s="512"/>
      <c r="S121" s="57"/>
      <c r="T121" s="114" t="s">
        <v>17562</v>
      </c>
      <c r="U121" s="49"/>
      <c r="V121" s="50"/>
      <c r="W121" s="115"/>
      <c r="X121" s="72"/>
      <c r="Y121" s="12" t="s">
        <v>398</v>
      </c>
      <c r="Z121" s="13">
        <v>0.2</v>
      </c>
      <c r="AA121" s="57" t="s">
        <v>3575</v>
      </c>
      <c r="AB121" s="208">
        <f>ROUND((ROUND((ROUND((ROUND((_15_同援日１．５*_15・通訳),0)*(1+_15・A深夜)),0)*(1+_15・盲ろう)),0)*(1+_15・区３)),0)+ROUND((ROUND((ROUND((ROUND((_15_同援日１．５＿０．５*_15・通訳),0)*(1+_15・B早朝)),0)*(1+_15・盲ろう)),0)*(1+_15・区３)),0)</f>
        <v>989</v>
      </c>
      <c r="AC121" s="48"/>
    </row>
    <row r="122" spans="1:29" ht="16.5" customHeight="1" x14ac:dyDescent="0.15">
      <c r="A122" s="41">
        <v>15</v>
      </c>
      <c r="B122" s="41" t="s">
        <v>26971</v>
      </c>
      <c r="C122" s="74" t="s">
        <v>26972</v>
      </c>
      <c r="D122" s="72"/>
      <c r="F122" s="57"/>
      <c r="G122" s="72"/>
      <c r="I122" s="57"/>
      <c r="J122" s="35"/>
      <c r="M122" s="299" t="s">
        <v>17556</v>
      </c>
      <c r="N122" s="45" t="s">
        <v>398</v>
      </c>
      <c r="O122" s="46">
        <v>1</v>
      </c>
      <c r="P122" s="512"/>
      <c r="Q122" s="57"/>
      <c r="R122" s="512"/>
      <c r="S122" s="57"/>
      <c r="T122" s="122" t="s">
        <v>17564</v>
      </c>
      <c r="U122" s="37" t="s">
        <v>398</v>
      </c>
      <c r="V122" s="38">
        <v>0.25</v>
      </c>
      <c r="W122" s="79" t="s">
        <v>3575</v>
      </c>
      <c r="X122" s="122"/>
      <c r="Y122" s="37"/>
      <c r="Z122" s="38"/>
      <c r="AA122" s="79"/>
      <c r="AB122" s="208">
        <f>ROUND((ROUND((ROUND((ROUND((ROUND((_15_同援日１．５*_15・通訳),0)*_15・２人),0)*(1+_15・A深夜)),0)*(1+_15・盲ろう)),0)*(1+_15・区３)),0)+ROUND((ROUND((ROUND((ROUND((ROUND((_15_同援日１．５＿０．５*_15・通訳),0)*_15・２人),0)*(1+_15・B早朝)),0)*(1+_15・盲ろう)),0)*(1+_15・区３)),0)</f>
        <v>989</v>
      </c>
      <c r="AC122" s="48"/>
    </row>
    <row r="123" spans="1:29" ht="16.5" customHeight="1" x14ac:dyDescent="0.15">
      <c r="A123" s="41">
        <v>15</v>
      </c>
      <c r="B123" s="41" t="s">
        <v>26973</v>
      </c>
      <c r="C123" s="74" t="s">
        <v>26974</v>
      </c>
      <c r="D123" s="72"/>
      <c r="F123" s="57"/>
      <c r="G123" s="72"/>
      <c r="I123" s="57"/>
      <c r="J123" s="35"/>
      <c r="M123" s="299"/>
      <c r="N123" s="45"/>
      <c r="O123" s="46"/>
      <c r="P123" s="512"/>
      <c r="Q123" s="57"/>
      <c r="R123" s="512"/>
      <c r="S123" s="57"/>
      <c r="T123" s="114"/>
      <c r="U123" s="49"/>
      <c r="V123" s="50"/>
      <c r="W123" s="115"/>
      <c r="X123" s="114" t="s">
        <v>17580</v>
      </c>
      <c r="Y123" s="49"/>
      <c r="Z123" s="50"/>
      <c r="AA123" s="115"/>
      <c r="AB123" s="208">
        <f>ROUND((ROUND((ROUND((_15_同援日１．５*_15・通訳),0)*(1+_15・A深夜)),0)*(1+_15・区４)),0)+ROUND((ROUND((ROUND((_15_同援日１．５＿０．５*_15・通訳),0)*(1+_15・B早朝)),0)*(1+_15・区４)),0)</f>
        <v>923</v>
      </c>
      <c r="AC123" s="48"/>
    </row>
    <row r="124" spans="1:29" ht="16.5" customHeight="1" x14ac:dyDescent="0.15">
      <c r="A124" s="41">
        <v>15</v>
      </c>
      <c r="B124" s="41" t="s">
        <v>26975</v>
      </c>
      <c r="C124" s="74" t="s">
        <v>26976</v>
      </c>
      <c r="D124" s="72"/>
      <c r="F124" s="57"/>
      <c r="G124" s="72"/>
      <c r="I124" s="57"/>
      <c r="J124" s="35"/>
      <c r="M124" s="299" t="s">
        <v>17556</v>
      </c>
      <c r="N124" s="45" t="s">
        <v>398</v>
      </c>
      <c r="O124" s="46">
        <v>1</v>
      </c>
      <c r="P124" s="512"/>
      <c r="Q124" s="57"/>
      <c r="R124" s="512"/>
      <c r="S124" s="57"/>
      <c r="T124" s="122"/>
      <c r="U124" s="37"/>
      <c r="V124" s="38"/>
      <c r="W124" s="79"/>
      <c r="X124" s="72" t="s">
        <v>17572</v>
      </c>
      <c r="AA124" s="57"/>
      <c r="AB124" s="208">
        <f>ROUND((ROUND((ROUND((ROUND((_15_同援日１．５*_15・通訳),0)*_15・２人),0)*(1+_15・A深夜)),0)*(1+_15・区４)),0)+ROUND((ROUND((ROUND((ROUND((_15_同援日１．５＿０．５*_15・通訳),0)*_15・２人),0)*(1+_15・B早朝)),0)*(1+_15・区４)),0)</f>
        <v>923</v>
      </c>
      <c r="AC124" s="48"/>
    </row>
    <row r="125" spans="1:29" ht="16.5" customHeight="1" x14ac:dyDescent="0.15">
      <c r="A125" s="41">
        <v>15</v>
      </c>
      <c r="B125" s="41" t="s">
        <v>26977</v>
      </c>
      <c r="C125" s="74" t="s">
        <v>26978</v>
      </c>
      <c r="D125" s="72"/>
      <c r="F125" s="57"/>
      <c r="G125" s="72"/>
      <c r="I125" s="57"/>
      <c r="J125" s="35"/>
      <c r="M125" s="299"/>
      <c r="N125" s="45"/>
      <c r="O125" s="46"/>
      <c r="P125" s="512"/>
      <c r="Q125" s="57"/>
      <c r="R125" s="512"/>
      <c r="S125" s="57"/>
      <c r="T125" s="114" t="s">
        <v>17562</v>
      </c>
      <c r="U125" s="49"/>
      <c r="V125" s="50"/>
      <c r="W125" s="115"/>
      <c r="X125" s="72"/>
      <c r="Y125" s="12" t="s">
        <v>398</v>
      </c>
      <c r="Z125" s="13">
        <v>0.4</v>
      </c>
      <c r="AA125" s="57" t="s">
        <v>3575</v>
      </c>
      <c r="AB125" s="208">
        <f>ROUND((ROUND((ROUND((ROUND((_15_同援日１．５*_15・通訳),0)*(1+_15・A深夜)),0)*(1+_15・盲ろう)),0)*(1+_15・区４)),0)+ROUND((ROUND((ROUND((ROUND((_15_同援日１．５＿０．５*_15・通訳),0)*(1+_15・B早朝)),0)*(1+_15・盲ろう)),0)*(1+_15・区４)),0)</f>
        <v>1153</v>
      </c>
      <c r="AC125" s="48"/>
    </row>
    <row r="126" spans="1:29" ht="16.5" customHeight="1" x14ac:dyDescent="0.15">
      <c r="A126" s="41">
        <v>15</v>
      </c>
      <c r="B126" s="41" t="s">
        <v>26979</v>
      </c>
      <c r="C126" s="74" t="s">
        <v>26980</v>
      </c>
      <c r="D126" s="72"/>
      <c r="F126" s="57"/>
      <c r="G126" s="122"/>
      <c r="H126" s="37"/>
      <c r="I126" s="79"/>
      <c r="J126" s="35"/>
      <c r="M126" s="299" t="s">
        <v>17556</v>
      </c>
      <c r="N126" s="45" t="s">
        <v>398</v>
      </c>
      <c r="O126" s="46">
        <v>1</v>
      </c>
      <c r="P126" s="512"/>
      <c r="Q126" s="57"/>
      <c r="R126" s="512"/>
      <c r="S126" s="57"/>
      <c r="T126" s="122" t="s">
        <v>17564</v>
      </c>
      <c r="U126" s="37" t="s">
        <v>398</v>
      </c>
      <c r="V126" s="38">
        <v>0.25</v>
      </c>
      <c r="W126" s="79" t="s">
        <v>3575</v>
      </c>
      <c r="X126" s="122"/>
      <c r="Y126" s="37"/>
      <c r="Z126" s="38"/>
      <c r="AA126" s="79"/>
      <c r="AB126" s="208">
        <f>ROUND((ROUND((ROUND((ROUND((ROUND((_15_同援日１．５*_15・通訳),0)*_15・２人),0)*(1+_15・A深夜)),0)*(1+_15・盲ろう)),0)*(1+_15・区４)),0)+ROUND((ROUND((ROUND((ROUND((ROUND((_15_同援日１．５＿０．５*_15・通訳),0)*_15・２人),0)*(1+_15・B早朝)),0)*(1+_15・盲ろう)),0)*(1+_15・区４)),0)</f>
        <v>1153</v>
      </c>
      <c r="AC126" s="48"/>
    </row>
    <row r="127" spans="1:29" ht="16.5" customHeight="1" x14ac:dyDescent="0.15">
      <c r="A127" s="41">
        <v>15</v>
      </c>
      <c r="B127" s="41" t="s">
        <v>26981</v>
      </c>
      <c r="C127" s="74" t="s">
        <v>26982</v>
      </c>
      <c r="D127" s="72"/>
      <c r="F127" s="57"/>
      <c r="G127" s="114" t="s">
        <v>18846</v>
      </c>
      <c r="H127" s="49"/>
      <c r="I127" s="115"/>
      <c r="J127" s="35"/>
      <c r="M127" s="299"/>
      <c r="N127" s="45"/>
      <c r="O127" s="46"/>
      <c r="P127" s="512"/>
      <c r="Q127" s="57"/>
      <c r="R127" s="512"/>
      <c r="S127" s="57"/>
      <c r="T127" s="114"/>
      <c r="U127" s="49"/>
      <c r="V127" s="50"/>
      <c r="W127" s="115"/>
      <c r="X127" s="114"/>
      <c r="Y127" s="49"/>
      <c r="Z127" s="50"/>
      <c r="AA127" s="115"/>
      <c r="AB127" s="208">
        <f>ROUND((ROUND((_15_同援日１．５*_15・通訳),0)*(1+_15・A深夜)),0)+ROUND((ROUND((_15_同援日１．５＿１．０*_15・通訳),0)*(1+_15・B早朝)),0)</f>
        <v>731</v>
      </c>
      <c r="AC127" s="48"/>
    </row>
    <row r="128" spans="1:29" ht="16.5" customHeight="1" x14ac:dyDescent="0.15">
      <c r="A128" s="41">
        <v>15</v>
      </c>
      <c r="B128" s="41" t="s">
        <v>26983</v>
      </c>
      <c r="C128" s="74" t="s">
        <v>26984</v>
      </c>
      <c r="D128" s="72"/>
      <c r="F128" s="57"/>
      <c r="G128" s="72" t="s">
        <v>17589</v>
      </c>
      <c r="I128" s="57"/>
      <c r="J128" s="35"/>
      <c r="M128" s="299" t="s">
        <v>17556</v>
      </c>
      <c r="N128" s="45" t="s">
        <v>398</v>
      </c>
      <c r="O128" s="46">
        <v>1</v>
      </c>
      <c r="P128" s="512"/>
      <c r="Q128" s="57"/>
      <c r="R128" s="512"/>
      <c r="S128" s="57"/>
      <c r="T128" s="122"/>
      <c r="U128" s="37"/>
      <c r="V128" s="38"/>
      <c r="W128" s="79"/>
      <c r="X128" s="72"/>
      <c r="AA128" s="57"/>
      <c r="AB128" s="208">
        <f>ROUND((ROUND((ROUND((_15_同援日１．５*_15・通訳),0)*_15・２人),0)*(1+_15・A深夜)),0)+ROUND((ROUND((ROUND((_15_同援日１．５＿１．０*_15・通訳),0)*_15・２人),0)*(1+_15・B早朝)),0)</f>
        <v>731</v>
      </c>
      <c r="AC128" s="48"/>
    </row>
    <row r="129" spans="1:29" ht="16.5" customHeight="1" x14ac:dyDescent="0.15">
      <c r="A129" s="41">
        <v>15</v>
      </c>
      <c r="B129" s="41" t="s">
        <v>26985</v>
      </c>
      <c r="C129" s="74" t="s">
        <v>26986</v>
      </c>
      <c r="D129" s="72"/>
      <c r="F129" s="57"/>
      <c r="G129" s="72" t="s">
        <v>17591</v>
      </c>
      <c r="I129" s="57"/>
      <c r="J129" s="35"/>
      <c r="M129" s="299"/>
      <c r="N129" s="45"/>
      <c r="O129" s="46"/>
      <c r="P129" s="512"/>
      <c r="Q129" s="57"/>
      <c r="R129" s="512"/>
      <c r="S129" s="57"/>
      <c r="T129" s="114" t="s">
        <v>17562</v>
      </c>
      <c r="U129" s="49"/>
      <c r="V129" s="50"/>
      <c r="W129" s="115"/>
      <c r="X129" s="72"/>
      <c r="AA129" s="57"/>
      <c r="AB129" s="208">
        <f>ROUND((ROUND((ROUND((_15_同援日１．５*_15・通訳),0)*(1+_15・A深夜)),0)*(1+_15・盲ろう)),0)+ROUND((ROUND((ROUND((_15_同援日１．５＿１．０*_15・通訳),0)*(1+_15・B早朝)),0)*(1+_15・盲ろう)),0)</f>
        <v>914</v>
      </c>
      <c r="AC129" s="48"/>
    </row>
    <row r="130" spans="1:29" ht="16.5" customHeight="1" x14ac:dyDescent="0.15">
      <c r="A130" s="41">
        <v>15</v>
      </c>
      <c r="B130" s="41" t="s">
        <v>26987</v>
      </c>
      <c r="C130" s="74" t="s">
        <v>26988</v>
      </c>
      <c r="D130" s="72"/>
      <c r="F130" s="57"/>
      <c r="G130" s="72"/>
      <c r="H130" s="168">
        <f>_15_同援日１．５＿１．０</f>
        <v>130</v>
      </c>
      <c r="I130" s="57" t="s">
        <v>392</v>
      </c>
      <c r="J130" s="35"/>
      <c r="M130" s="299" t="s">
        <v>17556</v>
      </c>
      <c r="N130" s="45" t="s">
        <v>398</v>
      </c>
      <c r="O130" s="46">
        <v>1</v>
      </c>
      <c r="P130" s="512"/>
      <c r="Q130" s="57"/>
      <c r="R130" s="512"/>
      <c r="S130" s="57"/>
      <c r="T130" s="122" t="s">
        <v>17564</v>
      </c>
      <c r="U130" s="37" t="s">
        <v>398</v>
      </c>
      <c r="V130" s="38">
        <v>0.25</v>
      </c>
      <c r="W130" s="79" t="s">
        <v>3575</v>
      </c>
      <c r="X130" s="122"/>
      <c r="Y130" s="37"/>
      <c r="Z130" s="38"/>
      <c r="AA130" s="79"/>
      <c r="AB130" s="208">
        <f>ROUND((ROUND((ROUND((ROUND((_15_同援日１．５*_15・通訳),0)*_15・２人),0)*(1+_15・A深夜)),0)*(1+_15・盲ろう)),0)+ROUND((ROUND((ROUND((ROUND((_15_同援日１．５＿１．０*_15・通訳),0)*_15・２人),0)*(1+_15・B早朝)),0)*(1+_15・盲ろう)),0)</f>
        <v>914</v>
      </c>
      <c r="AC130" s="48"/>
    </row>
    <row r="131" spans="1:29" ht="16.5" customHeight="1" x14ac:dyDescent="0.15">
      <c r="A131" s="41">
        <v>15</v>
      </c>
      <c r="B131" s="41" t="s">
        <v>26989</v>
      </c>
      <c r="C131" s="74" t="s">
        <v>26990</v>
      </c>
      <c r="D131" s="72"/>
      <c r="F131" s="57"/>
      <c r="G131" s="72"/>
      <c r="I131" s="57"/>
      <c r="J131" s="35"/>
      <c r="M131" s="299"/>
      <c r="N131" s="45"/>
      <c r="O131" s="46"/>
      <c r="P131" s="512"/>
      <c r="Q131" s="57"/>
      <c r="R131" s="512"/>
      <c r="S131" s="57"/>
      <c r="T131" s="114"/>
      <c r="U131" s="49"/>
      <c r="V131" s="50"/>
      <c r="W131" s="115"/>
      <c r="X131" s="114" t="s">
        <v>17570</v>
      </c>
      <c r="Y131" s="49"/>
      <c r="Z131" s="50"/>
      <c r="AA131" s="115"/>
      <c r="AB131" s="208">
        <f>ROUND((ROUND((ROUND((_15_同援日１．５*_15・通訳),0)*(1+_15・A深夜)),0)*(1+_15・区３)),0)+ROUND((ROUND((ROUND((_15_同援日１．５＿１．０*_15・通訳),0)*(1+_15・B早朝)),0)*(1+_15・区３)),0)</f>
        <v>877</v>
      </c>
      <c r="AC131" s="48"/>
    </row>
    <row r="132" spans="1:29" ht="16.5" customHeight="1" x14ac:dyDescent="0.15">
      <c r="A132" s="41">
        <v>15</v>
      </c>
      <c r="B132" s="41" t="s">
        <v>26991</v>
      </c>
      <c r="C132" s="74" t="s">
        <v>26992</v>
      </c>
      <c r="D132" s="72"/>
      <c r="F132" s="57"/>
      <c r="G132" s="72"/>
      <c r="I132" s="57"/>
      <c r="J132" s="35"/>
      <c r="M132" s="299" t="s">
        <v>17556</v>
      </c>
      <c r="N132" s="45" t="s">
        <v>398</v>
      </c>
      <c r="O132" s="46">
        <v>1</v>
      </c>
      <c r="P132" s="512"/>
      <c r="Q132" s="57"/>
      <c r="R132" s="512"/>
      <c r="S132" s="57"/>
      <c r="T132" s="122"/>
      <c r="U132" s="37"/>
      <c r="V132" s="38"/>
      <c r="W132" s="79"/>
      <c r="X132" s="72" t="s">
        <v>17572</v>
      </c>
      <c r="AA132" s="57"/>
      <c r="AB132" s="208">
        <f>ROUND((ROUND((ROUND((ROUND((_15_同援日１．５*_15・通訳),0)*_15・２人),0)*(1+_15・A深夜)),0)*(1+_15・区３)),0)+ROUND((ROUND((ROUND((ROUND((_15_同援日１．５＿１．０*_15・通訳),0)*_15・２人),0)*(1+_15・B早朝)),0)*(1+_15・区３)),0)</f>
        <v>877</v>
      </c>
      <c r="AC132" s="48"/>
    </row>
    <row r="133" spans="1:29" ht="16.5" customHeight="1" x14ac:dyDescent="0.15">
      <c r="A133" s="41">
        <v>15</v>
      </c>
      <c r="B133" s="41" t="s">
        <v>26993</v>
      </c>
      <c r="C133" s="74" t="s">
        <v>26994</v>
      </c>
      <c r="D133" s="72"/>
      <c r="F133" s="57"/>
      <c r="G133" s="72"/>
      <c r="I133" s="57"/>
      <c r="J133" s="35"/>
      <c r="M133" s="299"/>
      <c r="N133" s="45"/>
      <c r="O133" s="46"/>
      <c r="P133" s="512"/>
      <c r="Q133" s="57"/>
      <c r="R133" s="512"/>
      <c r="S133" s="57"/>
      <c r="T133" s="114" t="s">
        <v>17562</v>
      </c>
      <c r="U133" s="49"/>
      <c r="V133" s="50"/>
      <c r="W133" s="115"/>
      <c r="X133" s="72"/>
      <c r="Y133" s="12" t="s">
        <v>398</v>
      </c>
      <c r="Z133" s="13">
        <v>0.2</v>
      </c>
      <c r="AA133" s="57" t="s">
        <v>3575</v>
      </c>
      <c r="AB133" s="208">
        <f>ROUND((ROUND((ROUND((ROUND((_15_同援日１．５*_15・通訳),0)*(1+_15・A深夜)),0)*(1+_15・盲ろう)),0)*(1+_15・区３)),0)+ROUND((ROUND((ROUND((ROUND((_15_同援日１．５＿１．０*_15・通訳),0)*(1+_15・B早朝)),0)*(1+_15・盲ろう)),0)*(1+_15・区３)),0)</f>
        <v>1097</v>
      </c>
      <c r="AC133" s="48"/>
    </row>
    <row r="134" spans="1:29" ht="16.5" customHeight="1" x14ac:dyDescent="0.15">
      <c r="A134" s="41">
        <v>15</v>
      </c>
      <c r="B134" s="41" t="s">
        <v>26995</v>
      </c>
      <c r="C134" s="74" t="s">
        <v>26996</v>
      </c>
      <c r="D134" s="72"/>
      <c r="F134" s="57"/>
      <c r="G134" s="72"/>
      <c r="I134" s="57"/>
      <c r="J134" s="35"/>
      <c r="M134" s="299" t="s">
        <v>17556</v>
      </c>
      <c r="N134" s="45" t="s">
        <v>398</v>
      </c>
      <c r="O134" s="46">
        <v>1</v>
      </c>
      <c r="P134" s="512"/>
      <c r="Q134" s="57"/>
      <c r="R134" s="512"/>
      <c r="S134" s="57"/>
      <c r="T134" s="122" t="s">
        <v>17564</v>
      </c>
      <c r="U134" s="37" t="s">
        <v>398</v>
      </c>
      <c r="V134" s="38">
        <v>0.25</v>
      </c>
      <c r="W134" s="79" t="s">
        <v>3575</v>
      </c>
      <c r="X134" s="122"/>
      <c r="Y134" s="37"/>
      <c r="Z134" s="38"/>
      <c r="AA134" s="79"/>
      <c r="AB134" s="208">
        <f>ROUND((ROUND((ROUND((ROUND((ROUND((_15_同援日１．５*_15・通訳),0)*_15・２人),0)*(1+_15・A深夜)),0)*(1+_15・盲ろう)),0)*(1+_15・区３)),0)+ROUND((ROUND((ROUND((ROUND((ROUND((_15_同援日１．５＿１．０*_15・通訳),0)*_15・２人),0)*(1+_15・B早朝)),0)*(1+_15・盲ろう)),0)*(1+_15・区３)),0)</f>
        <v>1097</v>
      </c>
      <c r="AC134" s="48"/>
    </row>
    <row r="135" spans="1:29" ht="16.5" customHeight="1" x14ac:dyDescent="0.15">
      <c r="A135" s="41">
        <v>15</v>
      </c>
      <c r="B135" s="41" t="s">
        <v>26997</v>
      </c>
      <c r="C135" s="74" t="s">
        <v>26998</v>
      </c>
      <c r="D135" s="72"/>
      <c r="F135" s="57"/>
      <c r="G135" s="72"/>
      <c r="I135" s="57"/>
      <c r="J135" s="35"/>
      <c r="M135" s="299"/>
      <c r="N135" s="45"/>
      <c r="O135" s="46"/>
      <c r="P135" s="512"/>
      <c r="Q135" s="57"/>
      <c r="R135" s="512"/>
      <c r="S135" s="57"/>
      <c r="T135" s="114"/>
      <c r="U135" s="49"/>
      <c r="V135" s="50"/>
      <c r="W135" s="115"/>
      <c r="X135" s="114" t="s">
        <v>17580</v>
      </c>
      <c r="Y135" s="49"/>
      <c r="Z135" s="50"/>
      <c r="AA135" s="115"/>
      <c r="AB135" s="208">
        <f>ROUND((ROUND((ROUND((_15_同援日１．５*_15・通訳),0)*(1+_15・A深夜)),0)*(1+_15・区４)),0)+ROUND((ROUND((ROUND((_15_同援日１．５＿１．０*_15・通訳),0)*(1+_15・B早朝)),0)*(1+_15・区４)),0)</f>
        <v>1023</v>
      </c>
      <c r="AC135" s="48"/>
    </row>
    <row r="136" spans="1:29" ht="16.5" customHeight="1" x14ac:dyDescent="0.15">
      <c r="A136" s="41">
        <v>15</v>
      </c>
      <c r="B136" s="41" t="s">
        <v>26999</v>
      </c>
      <c r="C136" s="74" t="s">
        <v>27000</v>
      </c>
      <c r="D136" s="72"/>
      <c r="F136" s="57"/>
      <c r="G136" s="72"/>
      <c r="I136" s="57"/>
      <c r="J136" s="35"/>
      <c r="M136" s="299" t="s">
        <v>17556</v>
      </c>
      <c r="N136" s="45" t="s">
        <v>398</v>
      </c>
      <c r="O136" s="46">
        <v>1</v>
      </c>
      <c r="P136" s="512"/>
      <c r="Q136" s="57"/>
      <c r="R136" s="512"/>
      <c r="S136" s="57"/>
      <c r="T136" s="122"/>
      <c r="U136" s="37"/>
      <c r="V136" s="38"/>
      <c r="W136" s="79"/>
      <c r="X136" s="72" t="s">
        <v>17572</v>
      </c>
      <c r="AA136" s="57"/>
      <c r="AB136" s="208">
        <f>ROUND((ROUND((ROUND((ROUND((_15_同援日１．５*_15・通訳),0)*_15・２人),0)*(1+_15・A深夜)),0)*(1+_15・区４)),0)+ROUND((ROUND((ROUND((ROUND((_15_同援日１．５＿１．０*_15・通訳),0)*_15・２人),0)*(1+_15・B早朝)),0)*(1+_15・区４)),0)</f>
        <v>1023</v>
      </c>
      <c r="AC136" s="48"/>
    </row>
    <row r="137" spans="1:29" ht="16.5" customHeight="1" x14ac:dyDescent="0.15">
      <c r="A137" s="41">
        <v>15</v>
      </c>
      <c r="B137" s="41" t="s">
        <v>2897</v>
      </c>
      <c r="C137" s="74" t="s">
        <v>27001</v>
      </c>
      <c r="D137" s="72"/>
      <c r="F137" s="57"/>
      <c r="G137" s="72"/>
      <c r="I137" s="57"/>
      <c r="J137" s="35"/>
      <c r="M137" s="299"/>
      <c r="N137" s="45"/>
      <c r="O137" s="46"/>
      <c r="P137" s="512"/>
      <c r="Q137" s="57"/>
      <c r="R137" s="512"/>
      <c r="S137" s="57"/>
      <c r="T137" s="114" t="s">
        <v>17562</v>
      </c>
      <c r="U137" s="49"/>
      <c r="V137" s="50"/>
      <c r="W137" s="115"/>
      <c r="X137" s="72"/>
      <c r="Y137" s="12" t="s">
        <v>398</v>
      </c>
      <c r="Z137" s="13">
        <v>0.4</v>
      </c>
      <c r="AA137" s="57" t="s">
        <v>3575</v>
      </c>
      <c r="AB137" s="208">
        <f>ROUND((ROUND((ROUND((ROUND((_15_同援日１．５*_15・通訳),0)*(1+_15・A深夜)),0)*(1+_15・盲ろう)),0)*(1+_15・区４)),0)+ROUND((ROUND((ROUND((ROUND((_15_同援日１．５＿１．０*_15・通訳),0)*(1+_15・B早朝)),0)*(1+_15・盲ろう)),0)*(1+_15・区４)),0)</f>
        <v>1279</v>
      </c>
      <c r="AC137" s="48"/>
    </row>
    <row r="138" spans="1:29" ht="16.5" customHeight="1" x14ac:dyDescent="0.15">
      <c r="A138" s="41">
        <v>15</v>
      </c>
      <c r="B138" s="41" t="s">
        <v>2899</v>
      </c>
      <c r="C138" s="74" t="s">
        <v>27002</v>
      </c>
      <c r="D138" s="72"/>
      <c r="F138" s="57"/>
      <c r="G138" s="122"/>
      <c r="H138" s="37"/>
      <c r="I138" s="79"/>
      <c r="J138" s="35"/>
      <c r="M138" s="299" t="s">
        <v>17556</v>
      </c>
      <c r="N138" s="45" t="s">
        <v>398</v>
      </c>
      <c r="O138" s="46">
        <v>1</v>
      </c>
      <c r="P138" s="512"/>
      <c r="Q138" s="57"/>
      <c r="R138" s="512"/>
      <c r="S138" s="57"/>
      <c r="T138" s="122" t="s">
        <v>17564</v>
      </c>
      <c r="U138" s="37" t="s">
        <v>398</v>
      </c>
      <c r="V138" s="38">
        <v>0.25</v>
      </c>
      <c r="W138" s="79" t="s">
        <v>3575</v>
      </c>
      <c r="X138" s="122"/>
      <c r="Y138" s="37"/>
      <c r="Z138" s="38"/>
      <c r="AA138" s="79"/>
      <c r="AB138" s="208">
        <f>ROUND((ROUND((ROUND((ROUND((ROUND((_15_同援日１．５*_15・通訳),0)*_15・２人),0)*(1+_15・A深夜)),0)*(1+_15・盲ろう)),0)*(1+_15・区４)),0)+ROUND((ROUND((ROUND((ROUND((ROUND((_15_同援日１．５＿１．０*_15・通訳),0)*_15・２人),0)*(1+_15・B早朝)),0)*(1+_15・盲ろう)),0)*(1+_15・区４)),0)</f>
        <v>1279</v>
      </c>
      <c r="AC138" s="48"/>
    </row>
    <row r="139" spans="1:29" ht="16.5" customHeight="1" x14ac:dyDescent="0.15">
      <c r="A139" s="41">
        <v>15</v>
      </c>
      <c r="B139" s="41" t="s">
        <v>2901</v>
      </c>
      <c r="C139" s="74" t="s">
        <v>27003</v>
      </c>
      <c r="D139" s="72"/>
      <c r="F139" s="57"/>
      <c r="G139" s="114" t="s">
        <v>18871</v>
      </c>
      <c r="H139" s="49"/>
      <c r="I139" s="115"/>
      <c r="J139" s="35"/>
      <c r="M139" s="299"/>
      <c r="N139" s="45"/>
      <c r="O139" s="46"/>
      <c r="P139" s="512"/>
      <c r="Q139" s="57"/>
      <c r="R139" s="512"/>
      <c r="S139" s="57"/>
      <c r="T139" s="114"/>
      <c r="U139" s="49"/>
      <c r="V139" s="50"/>
      <c r="W139" s="115"/>
      <c r="X139" s="114"/>
      <c r="Y139" s="49"/>
      <c r="Z139" s="50"/>
      <c r="AA139" s="115"/>
      <c r="AB139" s="208">
        <f>ROUND((ROUND((_15_同援日１．５*_15・通訳),0)*(1+_15・A深夜)),0)+ROUND((ROUND((_15_同援日１．５＿１．５*_15・通訳),0)*(1+_15・B早朝)),0)</f>
        <v>805</v>
      </c>
      <c r="AC139" s="48"/>
    </row>
    <row r="140" spans="1:29" ht="16.5" customHeight="1" x14ac:dyDescent="0.15">
      <c r="A140" s="41">
        <v>15</v>
      </c>
      <c r="B140" s="41" t="s">
        <v>2903</v>
      </c>
      <c r="C140" s="74" t="s">
        <v>27004</v>
      </c>
      <c r="D140" s="72"/>
      <c r="F140" s="57"/>
      <c r="G140" s="72" t="s">
        <v>17616</v>
      </c>
      <c r="I140" s="57"/>
      <c r="J140" s="35"/>
      <c r="M140" s="299" t="s">
        <v>17556</v>
      </c>
      <c r="N140" s="45" t="s">
        <v>398</v>
      </c>
      <c r="O140" s="46">
        <v>1</v>
      </c>
      <c r="P140" s="512"/>
      <c r="Q140" s="57"/>
      <c r="R140" s="512"/>
      <c r="S140" s="57"/>
      <c r="T140" s="122"/>
      <c r="U140" s="37"/>
      <c r="V140" s="38"/>
      <c r="W140" s="79"/>
      <c r="X140" s="72"/>
      <c r="AA140" s="57"/>
      <c r="AB140" s="208">
        <f>ROUND((ROUND((ROUND((_15_同援日１．５*_15・通訳),0)*_15・２人),0)*(1+_15・A深夜)),0)+ROUND((ROUND((ROUND((_15_同援日１．５＿１．５*_15・通訳),0)*_15・２人),0)*(1+_15・B早朝)),0)</f>
        <v>805</v>
      </c>
      <c r="AC140" s="48"/>
    </row>
    <row r="141" spans="1:29" ht="16.5" customHeight="1" x14ac:dyDescent="0.15">
      <c r="A141" s="41">
        <v>15</v>
      </c>
      <c r="B141" s="41" t="s">
        <v>27005</v>
      </c>
      <c r="C141" s="74" t="s">
        <v>27006</v>
      </c>
      <c r="D141" s="72"/>
      <c r="F141" s="57"/>
      <c r="G141" s="72" t="s">
        <v>18183</v>
      </c>
      <c r="I141" s="57"/>
      <c r="J141" s="35"/>
      <c r="M141" s="299"/>
      <c r="N141" s="45"/>
      <c r="O141" s="46"/>
      <c r="P141" s="512"/>
      <c r="Q141" s="57"/>
      <c r="R141" s="512"/>
      <c r="S141" s="57"/>
      <c r="T141" s="114" t="s">
        <v>17562</v>
      </c>
      <c r="U141" s="49"/>
      <c r="V141" s="50"/>
      <c r="W141" s="115"/>
      <c r="X141" s="72"/>
      <c r="AA141" s="57"/>
      <c r="AB141" s="208">
        <f>ROUND((ROUND((ROUND((_15_同援日１．５*_15・通訳),0)*(1+_15・A深夜)),0)*(1+_15・盲ろう)),0)+ROUND((ROUND((ROUND((_15_同援日１．５＿１．５*_15・通訳),0)*(1+_15・B早朝)),0)*(1+_15・盲ろう)),0)</f>
        <v>1006</v>
      </c>
      <c r="AC141" s="48"/>
    </row>
    <row r="142" spans="1:29" ht="16.5" customHeight="1" x14ac:dyDescent="0.15">
      <c r="A142" s="41">
        <v>15</v>
      </c>
      <c r="B142" s="41" t="s">
        <v>27007</v>
      </c>
      <c r="C142" s="74" t="s">
        <v>27008</v>
      </c>
      <c r="D142" s="72"/>
      <c r="F142" s="57"/>
      <c r="G142" s="72"/>
      <c r="H142" s="168">
        <f>_15_同援日１．５＿１．５</f>
        <v>195</v>
      </c>
      <c r="I142" s="57" t="s">
        <v>392</v>
      </c>
      <c r="J142" s="35"/>
      <c r="M142" s="299" t="s">
        <v>17556</v>
      </c>
      <c r="N142" s="45" t="s">
        <v>398</v>
      </c>
      <c r="O142" s="46">
        <v>1</v>
      </c>
      <c r="P142" s="512"/>
      <c r="Q142" s="57"/>
      <c r="R142" s="512"/>
      <c r="S142" s="57"/>
      <c r="T142" s="122" t="s">
        <v>17564</v>
      </c>
      <c r="U142" s="37" t="s">
        <v>398</v>
      </c>
      <c r="V142" s="38">
        <v>0.25</v>
      </c>
      <c r="W142" s="79" t="s">
        <v>3575</v>
      </c>
      <c r="X142" s="122"/>
      <c r="Y142" s="37"/>
      <c r="Z142" s="38"/>
      <c r="AA142" s="79"/>
      <c r="AB142" s="208">
        <f>ROUND((ROUND((ROUND((ROUND((_15_同援日１．５*_15・通訳),0)*_15・２人),0)*(1+_15・A深夜)),0)*(1+_15・盲ろう)),0)+ROUND((ROUND((ROUND((ROUND((_15_同援日１．５＿１．５*_15・通訳),0)*_15・２人),0)*(1+_15・B早朝)),0)*(1+_15・盲ろう)),0)</f>
        <v>1006</v>
      </c>
      <c r="AC142" s="48"/>
    </row>
    <row r="143" spans="1:29" ht="16.5" customHeight="1" x14ac:dyDescent="0.15">
      <c r="A143" s="41">
        <v>15</v>
      </c>
      <c r="B143" s="41" t="s">
        <v>27009</v>
      </c>
      <c r="C143" s="74" t="s">
        <v>27010</v>
      </c>
      <c r="D143" s="72"/>
      <c r="F143" s="57"/>
      <c r="G143" s="72"/>
      <c r="I143" s="57"/>
      <c r="J143" s="35"/>
      <c r="M143" s="299"/>
      <c r="N143" s="45"/>
      <c r="O143" s="46"/>
      <c r="P143" s="512"/>
      <c r="Q143" s="57"/>
      <c r="R143" s="512"/>
      <c r="S143" s="57"/>
      <c r="T143" s="114"/>
      <c r="U143" s="49"/>
      <c r="V143" s="50"/>
      <c r="W143" s="115"/>
      <c r="X143" s="114" t="s">
        <v>17570</v>
      </c>
      <c r="Y143" s="49"/>
      <c r="Z143" s="50"/>
      <c r="AA143" s="115"/>
      <c r="AB143" s="208">
        <f>ROUND((ROUND((ROUND((_15_同援日１．５*_15・通訳),0)*(1+_15・A深夜)),0)*(1+_15・区３)),0)+ROUND((ROUND((ROUND((_15_同援日１．５＿１．５*_15・通訳),0)*(1+_15・B早朝)),0)*(1+_15・区３)),0)</f>
        <v>966</v>
      </c>
      <c r="AC143" s="48"/>
    </row>
    <row r="144" spans="1:29" ht="16.5" customHeight="1" x14ac:dyDescent="0.15">
      <c r="A144" s="41">
        <v>15</v>
      </c>
      <c r="B144" s="41" t="s">
        <v>27011</v>
      </c>
      <c r="C144" s="74" t="s">
        <v>27012</v>
      </c>
      <c r="D144" s="72"/>
      <c r="F144" s="57"/>
      <c r="G144" s="72"/>
      <c r="I144" s="57"/>
      <c r="J144" s="35"/>
      <c r="M144" s="299" t="s">
        <v>17556</v>
      </c>
      <c r="N144" s="45" t="s">
        <v>398</v>
      </c>
      <c r="O144" s="46">
        <v>1</v>
      </c>
      <c r="P144" s="512"/>
      <c r="Q144" s="57"/>
      <c r="R144" s="512"/>
      <c r="S144" s="57"/>
      <c r="T144" s="122"/>
      <c r="U144" s="37"/>
      <c r="V144" s="38"/>
      <c r="W144" s="79"/>
      <c r="X144" s="72" t="s">
        <v>17572</v>
      </c>
      <c r="AA144" s="57"/>
      <c r="AB144" s="208">
        <f>ROUND((ROUND((ROUND((ROUND((_15_同援日１．５*_15・通訳),0)*_15・２人),0)*(1+_15・A深夜)),0)*(1+_15・区３)),0)+ROUND((ROUND((ROUND((ROUND((_15_同援日１．５＿１．５*_15・通訳),0)*_15・２人),0)*(1+_15・B早朝)),0)*(1+_15・区３)),0)</f>
        <v>966</v>
      </c>
      <c r="AC144" s="48"/>
    </row>
    <row r="145" spans="1:29" ht="16.5" customHeight="1" x14ac:dyDescent="0.15">
      <c r="A145" s="41">
        <v>15</v>
      </c>
      <c r="B145" s="41" t="s">
        <v>27013</v>
      </c>
      <c r="C145" s="74" t="s">
        <v>27014</v>
      </c>
      <c r="D145" s="72"/>
      <c r="F145" s="57"/>
      <c r="G145" s="72"/>
      <c r="I145" s="57"/>
      <c r="J145" s="35"/>
      <c r="M145" s="299"/>
      <c r="N145" s="45"/>
      <c r="O145" s="46"/>
      <c r="P145" s="512"/>
      <c r="Q145" s="57"/>
      <c r="R145" s="512"/>
      <c r="S145" s="57"/>
      <c r="T145" s="114" t="s">
        <v>17562</v>
      </c>
      <c r="U145" s="49"/>
      <c r="V145" s="50"/>
      <c r="W145" s="115"/>
      <c r="X145" s="72"/>
      <c r="Y145" s="12" t="s">
        <v>398</v>
      </c>
      <c r="Z145" s="13">
        <v>0.2</v>
      </c>
      <c r="AA145" s="57" t="s">
        <v>3575</v>
      </c>
      <c r="AB145" s="208">
        <f>ROUND((ROUND((ROUND((ROUND((_15_同援日１．５*_15・通訳),0)*(1+_15・A深夜)),0)*(1+_15・盲ろう)),0)*(1+_15・区３)),0)+ROUND((ROUND((ROUND((ROUND((_15_同援日１．５＿１．５*_15・通訳),0)*(1+_15・B早朝)),0)*(1+_15・盲ろう)),0)*(1+_15・区３)),0)</f>
        <v>1207</v>
      </c>
      <c r="AC145" s="48"/>
    </row>
    <row r="146" spans="1:29" ht="16.5" customHeight="1" x14ac:dyDescent="0.15">
      <c r="A146" s="41">
        <v>15</v>
      </c>
      <c r="B146" s="41" t="s">
        <v>27015</v>
      </c>
      <c r="C146" s="74" t="s">
        <v>27016</v>
      </c>
      <c r="D146" s="72"/>
      <c r="F146" s="57"/>
      <c r="G146" s="72"/>
      <c r="I146" s="57"/>
      <c r="J146" s="35"/>
      <c r="M146" s="299" t="s">
        <v>17556</v>
      </c>
      <c r="N146" s="45" t="s">
        <v>398</v>
      </c>
      <c r="O146" s="46">
        <v>1</v>
      </c>
      <c r="P146" s="512"/>
      <c r="Q146" s="57"/>
      <c r="R146" s="512"/>
      <c r="S146" s="57"/>
      <c r="T146" s="122" t="s">
        <v>17564</v>
      </c>
      <c r="U146" s="37" t="s">
        <v>398</v>
      </c>
      <c r="V146" s="38">
        <v>0.25</v>
      </c>
      <c r="W146" s="79" t="s">
        <v>3575</v>
      </c>
      <c r="X146" s="122"/>
      <c r="Y146" s="37"/>
      <c r="Z146" s="38"/>
      <c r="AA146" s="79"/>
      <c r="AB146" s="208">
        <f>ROUND((ROUND((ROUND((ROUND((ROUND((_15_同援日１．５*_15・通訳),0)*_15・２人),0)*(1+_15・A深夜)),0)*(1+_15・盲ろう)),0)*(1+_15・区３)),0)+ROUND((ROUND((ROUND((ROUND((ROUND((_15_同援日１．５＿１．５*_15・通訳),0)*_15・２人),0)*(1+_15・B早朝)),0)*(1+_15・盲ろう)),0)*(1+_15・区３)),0)</f>
        <v>1207</v>
      </c>
      <c r="AC146" s="48"/>
    </row>
    <row r="147" spans="1:29" ht="16.5" customHeight="1" x14ac:dyDescent="0.15">
      <c r="A147" s="41">
        <v>15</v>
      </c>
      <c r="B147" s="41" t="s">
        <v>27017</v>
      </c>
      <c r="C147" s="74" t="s">
        <v>27018</v>
      </c>
      <c r="D147" s="72"/>
      <c r="F147" s="57"/>
      <c r="G147" s="72"/>
      <c r="I147" s="57"/>
      <c r="J147" s="35"/>
      <c r="M147" s="299"/>
      <c r="N147" s="45"/>
      <c r="O147" s="46"/>
      <c r="P147" s="512"/>
      <c r="Q147" s="57"/>
      <c r="R147" s="512"/>
      <c r="S147" s="57"/>
      <c r="T147" s="114"/>
      <c r="U147" s="49"/>
      <c r="V147" s="50"/>
      <c r="W147" s="115"/>
      <c r="X147" s="114" t="s">
        <v>17580</v>
      </c>
      <c r="Y147" s="49"/>
      <c r="Z147" s="50"/>
      <c r="AA147" s="115"/>
      <c r="AB147" s="208">
        <f>ROUND((ROUND((ROUND((_15_同援日１．５*_15・通訳),0)*(1+_15・A深夜)),0)*(1+_15・区４)),0)+ROUND((ROUND((ROUND((_15_同援日１．５＿１．５*_15・通訳),0)*(1+_15・B早朝)),0)*(1+_15・区４)),0)</f>
        <v>1127</v>
      </c>
      <c r="AC147" s="48"/>
    </row>
    <row r="148" spans="1:29" ht="16.5" customHeight="1" x14ac:dyDescent="0.15">
      <c r="A148" s="41">
        <v>15</v>
      </c>
      <c r="B148" s="41" t="s">
        <v>27019</v>
      </c>
      <c r="C148" s="74" t="s">
        <v>27020</v>
      </c>
      <c r="D148" s="72"/>
      <c r="F148" s="57"/>
      <c r="G148" s="72"/>
      <c r="I148" s="57"/>
      <c r="J148" s="35"/>
      <c r="M148" s="299" t="s">
        <v>17556</v>
      </c>
      <c r="N148" s="45" t="s">
        <v>398</v>
      </c>
      <c r="O148" s="46">
        <v>1</v>
      </c>
      <c r="P148" s="512"/>
      <c r="Q148" s="57"/>
      <c r="R148" s="512"/>
      <c r="S148" s="57"/>
      <c r="T148" s="122"/>
      <c r="U148" s="37"/>
      <c r="V148" s="38"/>
      <c r="W148" s="79"/>
      <c r="X148" s="72" t="s">
        <v>17572</v>
      </c>
      <c r="AA148" s="57"/>
      <c r="AB148" s="208">
        <f>ROUND((ROUND((ROUND((ROUND((_15_同援日１．５*_15・通訳),0)*_15・２人),0)*(1+_15・A深夜)),0)*(1+_15・区４)),0)+ROUND((ROUND((ROUND((ROUND((_15_同援日１．５＿１．５*_15・通訳),0)*_15・２人),0)*(1+_15・B早朝)),0)*(1+_15・区４)),0)</f>
        <v>1127</v>
      </c>
      <c r="AC148" s="48"/>
    </row>
    <row r="149" spans="1:29" ht="16.5" customHeight="1" x14ac:dyDescent="0.15">
      <c r="A149" s="41">
        <v>15</v>
      </c>
      <c r="B149" s="41" t="s">
        <v>27021</v>
      </c>
      <c r="C149" s="74" t="s">
        <v>27022</v>
      </c>
      <c r="D149" s="72"/>
      <c r="F149" s="57"/>
      <c r="G149" s="72"/>
      <c r="I149" s="57"/>
      <c r="J149" s="35"/>
      <c r="M149" s="299"/>
      <c r="N149" s="45"/>
      <c r="O149" s="46"/>
      <c r="P149" s="512"/>
      <c r="Q149" s="57"/>
      <c r="R149" s="512"/>
      <c r="S149" s="57"/>
      <c r="T149" s="114" t="s">
        <v>17562</v>
      </c>
      <c r="U149" s="49"/>
      <c r="V149" s="50"/>
      <c r="W149" s="115"/>
      <c r="X149" s="72"/>
      <c r="Y149" s="12" t="s">
        <v>398</v>
      </c>
      <c r="Z149" s="13">
        <v>0.4</v>
      </c>
      <c r="AA149" s="57" t="s">
        <v>3575</v>
      </c>
      <c r="AB149" s="208">
        <f>ROUND((ROUND((ROUND((ROUND((_15_同援日１．５*_15・通訳),0)*(1+_15・A深夜)),0)*(1+_15・盲ろう)),0)*(1+_15・区４)),0)+ROUND((ROUND((ROUND((ROUND((_15_同援日１．５＿１．５*_15・通訳),0)*(1+_15・B早朝)),0)*(1+_15・盲ろう)),0)*(1+_15・区４)),0)</f>
        <v>1408</v>
      </c>
      <c r="AC149" s="48"/>
    </row>
    <row r="150" spans="1:29" ht="16.5" customHeight="1" x14ac:dyDescent="0.15">
      <c r="A150" s="41">
        <v>15</v>
      </c>
      <c r="B150" s="41" t="s">
        <v>27023</v>
      </c>
      <c r="C150" s="74" t="s">
        <v>27024</v>
      </c>
      <c r="D150" s="122"/>
      <c r="E150" s="37"/>
      <c r="F150" s="79"/>
      <c r="G150" s="122"/>
      <c r="H150" s="37"/>
      <c r="I150" s="79"/>
      <c r="J150" s="35"/>
      <c r="M150" s="299" t="s">
        <v>17556</v>
      </c>
      <c r="N150" s="45" t="s">
        <v>398</v>
      </c>
      <c r="O150" s="46">
        <v>1</v>
      </c>
      <c r="P150" s="512"/>
      <c r="Q150" s="57"/>
      <c r="R150" s="512"/>
      <c r="S150" s="57"/>
      <c r="T150" s="122" t="s">
        <v>17564</v>
      </c>
      <c r="U150" s="37" t="s">
        <v>398</v>
      </c>
      <c r="V150" s="38">
        <v>0.25</v>
      </c>
      <c r="W150" s="79" t="s">
        <v>3575</v>
      </c>
      <c r="X150" s="122"/>
      <c r="Y150" s="37"/>
      <c r="Z150" s="38"/>
      <c r="AA150" s="79"/>
      <c r="AB150" s="208">
        <f>ROUND((ROUND((ROUND((ROUND((ROUND((_15_同援日１．５*_15・通訳),0)*_15・２人),0)*(1+_15・A深夜)),0)*(1+_15・盲ろう)),0)*(1+_15・区４)),0)+ROUND((ROUND((ROUND((ROUND((ROUND((_15_同援日１．５＿１．５*_15・通訳),0)*_15・２人),0)*(1+_15・B早朝)),0)*(1+_15・盲ろう)),0)*(1+_15・区４)),0)</f>
        <v>1408</v>
      </c>
      <c r="AC150" s="48"/>
    </row>
    <row r="151" spans="1:29" ht="16.5" customHeight="1" x14ac:dyDescent="0.15">
      <c r="A151" s="41">
        <v>15</v>
      </c>
      <c r="B151" s="41" t="s">
        <v>27025</v>
      </c>
      <c r="C151" s="74" t="s">
        <v>27026</v>
      </c>
      <c r="D151" s="114" t="s">
        <v>18563</v>
      </c>
      <c r="E151" s="49"/>
      <c r="F151" s="115"/>
      <c r="G151" s="114" t="s">
        <v>18819</v>
      </c>
      <c r="H151" s="49"/>
      <c r="I151" s="115"/>
      <c r="J151" s="35"/>
      <c r="M151" s="299"/>
      <c r="N151" s="45"/>
      <c r="O151" s="46"/>
      <c r="P151" s="512"/>
      <c r="Q151" s="57"/>
      <c r="R151" s="512"/>
      <c r="S151" s="57"/>
      <c r="T151" s="114"/>
      <c r="U151" s="49"/>
      <c r="V151" s="50"/>
      <c r="W151" s="115"/>
      <c r="X151" s="114"/>
      <c r="Y151" s="49"/>
      <c r="Z151" s="50"/>
      <c r="AA151" s="115"/>
      <c r="AB151" s="208">
        <f>ROUND((ROUND((_15_同援日２．０*_15・通訳),0)*(1+_15・A深夜)),0)+ROUND((ROUND((_15_同援日２．０＿０．５*_15・通訳),0)*(1+_15・B早朝)),0)</f>
        <v>746</v>
      </c>
      <c r="AC151" s="48"/>
    </row>
    <row r="152" spans="1:29" ht="16.5" customHeight="1" x14ac:dyDescent="0.15">
      <c r="A152" s="41">
        <v>15</v>
      </c>
      <c r="B152" s="41" t="s">
        <v>27027</v>
      </c>
      <c r="C152" s="74" t="s">
        <v>27028</v>
      </c>
      <c r="D152" s="72" t="s">
        <v>17643</v>
      </c>
      <c r="F152" s="57"/>
      <c r="G152" s="72" t="s">
        <v>18259</v>
      </c>
      <c r="I152" s="57"/>
      <c r="J152" s="35"/>
      <c r="M152" s="299" t="s">
        <v>17556</v>
      </c>
      <c r="N152" s="45" t="s">
        <v>398</v>
      </c>
      <c r="O152" s="46">
        <v>1</v>
      </c>
      <c r="P152" s="512"/>
      <c r="Q152" s="57"/>
      <c r="R152" s="512"/>
      <c r="S152" s="57"/>
      <c r="T152" s="122"/>
      <c r="U152" s="37"/>
      <c r="V152" s="38"/>
      <c r="W152" s="79"/>
      <c r="X152" s="72"/>
      <c r="AA152" s="57"/>
      <c r="AB152" s="208">
        <f>ROUND((ROUND((ROUND((_15_同援日２．０*_15・通訳),0)*_15・２人),0)*(1+_15・A深夜)),0)+ROUND((ROUND((ROUND((_15_同援日２．０＿０．５*_15・通訳),0)*_15・２人),0)*(1+_15・B早朝)),0)</f>
        <v>746</v>
      </c>
      <c r="AC152" s="48"/>
    </row>
    <row r="153" spans="1:29" ht="16.5" customHeight="1" x14ac:dyDescent="0.15">
      <c r="A153" s="41">
        <v>15</v>
      </c>
      <c r="B153" s="41" t="s">
        <v>27029</v>
      </c>
      <c r="C153" s="74" t="s">
        <v>27030</v>
      </c>
      <c r="D153" s="72" t="s">
        <v>17645</v>
      </c>
      <c r="F153" s="57"/>
      <c r="G153" s="72"/>
      <c r="I153" s="57"/>
      <c r="J153" s="35"/>
      <c r="M153" s="299"/>
      <c r="N153" s="45"/>
      <c r="O153" s="46"/>
      <c r="P153" s="512"/>
      <c r="Q153" s="57"/>
      <c r="R153" s="512"/>
      <c r="S153" s="57"/>
      <c r="T153" s="114" t="s">
        <v>17562</v>
      </c>
      <c r="U153" s="49"/>
      <c r="V153" s="50"/>
      <c r="W153" s="115"/>
      <c r="X153" s="72"/>
      <c r="AA153" s="57"/>
      <c r="AB153" s="208">
        <f>ROUND((ROUND((ROUND((_15_同援日２．０*_15・通訳),0)*(1+_15・A深夜)),0)*(1+_15・盲ろう)),0)+ROUND((ROUND((ROUND((_15_同援日２．０＿０．５*_15・通訳),0)*(1+_15・B早朝)),0)*(1+_15・盲ろう)),0)</f>
        <v>933</v>
      </c>
      <c r="AC153" s="48"/>
    </row>
    <row r="154" spans="1:29" ht="16.5" customHeight="1" x14ac:dyDescent="0.15">
      <c r="A154" s="41">
        <v>15</v>
      </c>
      <c r="B154" s="41" t="s">
        <v>27031</v>
      </c>
      <c r="C154" s="74" t="s">
        <v>27032</v>
      </c>
      <c r="D154" s="72"/>
      <c r="E154" s="168">
        <f>_15_同援日２．０</f>
        <v>498</v>
      </c>
      <c r="F154" s="57" t="s">
        <v>392</v>
      </c>
      <c r="G154" s="72"/>
      <c r="H154" s="168">
        <f>_15_同援日２．０＿０．５</f>
        <v>65</v>
      </c>
      <c r="I154" s="57" t="s">
        <v>392</v>
      </c>
      <c r="J154" s="35"/>
      <c r="M154" s="299" t="s">
        <v>17556</v>
      </c>
      <c r="N154" s="45" t="s">
        <v>398</v>
      </c>
      <c r="O154" s="46">
        <v>1</v>
      </c>
      <c r="P154" s="512"/>
      <c r="Q154" s="57"/>
      <c r="R154" s="512"/>
      <c r="S154" s="57"/>
      <c r="T154" s="122" t="s">
        <v>17564</v>
      </c>
      <c r="U154" s="37" t="s">
        <v>398</v>
      </c>
      <c r="V154" s="38">
        <v>0.25</v>
      </c>
      <c r="W154" s="79" t="s">
        <v>3575</v>
      </c>
      <c r="X154" s="122"/>
      <c r="Y154" s="37"/>
      <c r="Z154" s="38"/>
      <c r="AA154" s="79"/>
      <c r="AB154" s="208">
        <f>ROUND((ROUND((ROUND((ROUND((_15_同援日２．０*_15・通訳),0)*_15・２人),0)*(1+_15・A深夜)),0)*(1+_15・盲ろう)),0)+ROUND((ROUND((ROUND((ROUND((_15_同援日２．０＿０．５*_15・通訳),0)*_15・２人),0)*(1+_15・B早朝)),0)*(1+_15・盲ろう)),0)</f>
        <v>933</v>
      </c>
      <c r="AC154" s="48"/>
    </row>
    <row r="155" spans="1:29" ht="16.5" customHeight="1" x14ac:dyDescent="0.15">
      <c r="A155" s="41">
        <v>15</v>
      </c>
      <c r="B155" s="41" t="s">
        <v>27033</v>
      </c>
      <c r="C155" s="74" t="s">
        <v>27034</v>
      </c>
      <c r="D155" s="72"/>
      <c r="F155" s="57"/>
      <c r="G155" s="72"/>
      <c r="I155" s="57"/>
      <c r="J155" s="35"/>
      <c r="M155" s="299"/>
      <c r="N155" s="45"/>
      <c r="O155" s="46"/>
      <c r="P155" s="512"/>
      <c r="Q155" s="57"/>
      <c r="R155" s="512"/>
      <c r="S155" s="57"/>
      <c r="T155" s="114"/>
      <c r="U155" s="49"/>
      <c r="V155" s="50"/>
      <c r="W155" s="115"/>
      <c r="X155" s="114" t="s">
        <v>17570</v>
      </c>
      <c r="Y155" s="49"/>
      <c r="Z155" s="50"/>
      <c r="AA155" s="115"/>
      <c r="AB155" s="208">
        <f>ROUND((ROUND((ROUND((_15_同援日２．０*_15・通訳),0)*(1+_15・A深夜)),0)*(1+_15・区３)),0)+ROUND((ROUND((ROUND((_15_同援日２．０＿０．５*_15・通訳),0)*(1+_15・B早朝)),0)*(1+_15・区３)),0)</f>
        <v>895</v>
      </c>
      <c r="AC155" s="48"/>
    </row>
    <row r="156" spans="1:29" ht="16.5" customHeight="1" x14ac:dyDescent="0.15">
      <c r="A156" s="41">
        <v>15</v>
      </c>
      <c r="B156" s="41" t="s">
        <v>27035</v>
      </c>
      <c r="C156" s="74" t="s">
        <v>27036</v>
      </c>
      <c r="D156" s="72"/>
      <c r="F156" s="57"/>
      <c r="G156" s="72"/>
      <c r="I156" s="57"/>
      <c r="J156" s="35"/>
      <c r="M156" s="299" t="s">
        <v>17556</v>
      </c>
      <c r="N156" s="45" t="s">
        <v>398</v>
      </c>
      <c r="O156" s="46">
        <v>1</v>
      </c>
      <c r="P156" s="512"/>
      <c r="Q156" s="57"/>
      <c r="R156" s="512"/>
      <c r="S156" s="57"/>
      <c r="T156" s="122"/>
      <c r="U156" s="37"/>
      <c r="V156" s="38"/>
      <c r="W156" s="79"/>
      <c r="X156" s="72" t="s">
        <v>17572</v>
      </c>
      <c r="AA156" s="57"/>
      <c r="AB156" s="208">
        <f>ROUND((ROUND((ROUND((ROUND((_15_同援日２．０*_15・通訳),0)*_15・２人),0)*(1+_15・A深夜)),0)*(1+_15・区３)),0)+ROUND((ROUND((ROUND((ROUND((_15_同援日２．０＿０．５*_15・通訳),0)*_15・２人),0)*(1+_15・B早朝)),0)*(1+_15・区３)),0)</f>
        <v>895</v>
      </c>
      <c r="AC156" s="48"/>
    </row>
    <row r="157" spans="1:29" ht="16.5" customHeight="1" x14ac:dyDescent="0.15">
      <c r="A157" s="41">
        <v>15</v>
      </c>
      <c r="B157" s="41" t="s">
        <v>2909</v>
      </c>
      <c r="C157" s="74" t="s">
        <v>27037</v>
      </c>
      <c r="D157" s="72"/>
      <c r="F157" s="57"/>
      <c r="G157" s="72"/>
      <c r="I157" s="57"/>
      <c r="J157" s="35"/>
      <c r="M157" s="299"/>
      <c r="N157" s="45"/>
      <c r="O157" s="46"/>
      <c r="P157" s="512"/>
      <c r="Q157" s="57"/>
      <c r="R157" s="512"/>
      <c r="S157" s="57"/>
      <c r="T157" s="114" t="s">
        <v>17562</v>
      </c>
      <c r="U157" s="49"/>
      <c r="V157" s="50"/>
      <c r="W157" s="115"/>
      <c r="X157" s="72"/>
      <c r="Y157" s="12" t="s">
        <v>398</v>
      </c>
      <c r="Z157" s="13">
        <v>0.2</v>
      </c>
      <c r="AA157" s="57" t="s">
        <v>3575</v>
      </c>
      <c r="AB157" s="208">
        <f>ROUND((ROUND((ROUND((ROUND((_15_同援日２．０*_15・通訳),0)*(1+_15・A深夜)),0)*(1+_15・盲ろう)),0)*(1+_15・区３)),0)+ROUND((ROUND((ROUND((ROUND((_15_同援日２．０＿０．５*_15・通訳),0)*(1+_15・B早朝)),0)*(1+_15・盲ろう)),0)*(1+_15・区３)),0)</f>
        <v>1120</v>
      </c>
      <c r="AC157" s="48"/>
    </row>
    <row r="158" spans="1:29" ht="16.5" customHeight="1" x14ac:dyDescent="0.15">
      <c r="A158" s="41">
        <v>15</v>
      </c>
      <c r="B158" s="41" t="s">
        <v>2911</v>
      </c>
      <c r="C158" s="74" t="s">
        <v>27038</v>
      </c>
      <c r="D158" s="72"/>
      <c r="F158" s="57"/>
      <c r="G158" s="72"/>
      <c r="I158" s="57"/>
      <c r="J158" s="35"/>
      <c r="M158" s="299" t="s">
        <v>17556</v>
      </c>
      <c r="N158" s="45" t="s">
        <v>398</v>
      </c>
      <c r="O158" s="46">
        <v>1</v>
      </c>
      <c r="P158" s="512"/>
      <c r="Q158" s="57"/>
      <c r="R158" s="512"/>
      <c r="S158" s="57"/>
      <c r="T158" s="122" t="s">
        <v>17564</v>
      </c>
      <c r="U158" s="37" t="s">
        <v>398</v>
      </c>
      <c r="V158" s="38">
        <v>0.25</v>
      </c>
      <c r="W158" s="79" t="s">
        <v>3575</v>
      </c>
      <c r="X158" s="122"/>
      <c r="Y158" s="37"/>
      <c r="Z158" s="38"/>
      <c r="AA158" s="79"/>
      <c r="AB158" s="208">
        <f>ROUND((ROUND((ROUND((ROUND((ROUND((_15_同援日２．０*_15・通訳),0)*_15・２人),0)*(1+_15・A深夜)),0)*(1+_15・盲ろう)),0)*(1+_15・区３)),0)+ROUND((ROUND((ROUND((ROUND((ROUND((_15_同援日２．０＿０．５*_15・通訳),0)*_15・２人),0)*(1+_15・B早朝)),0)*(1+_15・盲ろう)),0)*(1+_15・区３)),0)</f>
        <v>1120</v>
      </c>
      <c r="AC158" s="48"/>
    </row>
    <row r="159" spans="1:29" ht="16.5" customHeight="1" x14ac:dyDescent="0.15">
      <c r="A159" s="41">
        <v>15</v>
      </c>
      <c r="B159" s="41" t="s">
        <v>2913</v>
      </c>
      <c r="C159" s="74" t="s">
        <v>27039</v>
      </c>
      <c r="D159" s="72"/>
      <c r="F159" s="57"/>
      <c r="G159" s="72"/>
      <c r="I159" s="57"/>
      <c r="J159" s="35"/>
      <c r="M159" s="299"/>
      <c r="N159" s="45"/>
      <c r="O159" s="46"/>
      <c r="P159" s="512"/>
      <c r="Q159" s="57"/>
      <c r="R159" s="512"/>
      <c r="S159" s="57"/>
      <c r="T159" s="114"/>
      <c r="U159" s="49"/>
      <c r="V159" s="50"/>
      <c r="W159" s="115"/>
      <c r="X159" s="114" t="s">
        <v>17580</v>
      </c>
      <c r="Y159" s="49"/>
      <c r="Z159" s="50"/>
      <c r="AA159" s="115"/>
      <c r="AB159" s="208">
        <f>ROUND((ROUND((ROUND((_15_同援日２．０*_15・通訳),0)*(1+_15・A深夜)),0)*(1+_15・区４)),0)+ROUND((ROUND((ROUND((_15_同援日２．０＿０．５*_15・通訳),0)*(1+_15・B早朝)),0)*(1+_15・区４)),0)</f>
        <v>1045</v>
      </c>
      <c r="AC159" s="48"/>
    </row>
    <row r="160" spans="1:29" ht="16.5" customHeight="1" x14ac:dyDescent="0.15">
      <c r="A160" s="41">
        <v>15</v>
      </c>
      <c r="B160" s="41" t="s">
        <v>2915</v>
      </c>
      <c r="C160" s="74" t="s">
        <v>27040</v>
      </c>
      <c r="D160" s="72"/>
      <c r="F160" s="57"/>
      <c r="G160" s="72"/>
      <c r="I160" s="57"/>
      <c r="J160" s="35"/>
      <c r="M160" s="299" t="s">
        <v>17556</v>
      </c>
      <c r="N160" s="45" t="s">
        <v>398</v>
      </c>
      <c r="O160" s="46">
        <v>1</v>
      </c>
      <c r="P160" s="512"/>
      <c r="Q160" s="57"/>
      <c r="R160" s="512"/>
      <c r="S160" s="57"/>
      <c r="T160" s="122"/>
      <c r="U160" s="37"/>
      <c r="V160" s="38"/>
      <c r="W160" s="79"/>
      <c r="X160" s="72" t="s">
        <v>17572</v>
      </c>
      <c r="AA160" s="57"/>
      <c r="AB160" s="208">
        <f>ROUND((ROUND((ROUND((ROUND((_15_同援日２．０*_15・通訳),0)*_15・２人),0)*(1+_15・A深夜)),0)*(1+_15・区４)),0)+ROUND((ROUND((ROUND((ROUND((_15_同援日２．０＿０．５*_15・通訳),0)*_15・２人),0)*(1+_15・B早朝)),0)*(1+_15・区４)),0)</f>
        <v>1045</v>
      </c>
      <c r="AC160" s="48"/>
    </row>
    <row r="161" spans="1:29" ht="16.5" customHeight="1" x14ac:dyDescent="0.15">
      <c r="A161" s="41">
        <v>15</v>
      </c>
      <c r="B161" s="41" t="s">
        <v>27041</v>
      </c>
      <c r="C161" s="74" t="s">
        <v>27042</v>
      </c>
      <c r="D161" s="72"/>
      <c r="F161" s="57"/>
      <c r="G161" s="72"/>
      <c r="I161" s="57"/>
      <c r="J161" s="35"/>
      <c r="M161" s="299"/>
      <c r="N161" s="45"/>
      <c r="O161" s="46"/>
      <c r="P161" s="512"/>
      <c r="Q161" s="57"/>
      <c r="R161" s="512"/>
      <c r="S161" s="57"/>
      <c r="T161" s="114" t="s">
        <v>17562</v>
      </c>
      <c r="U161" s="49"/>
      <c r="V161" s="50"/>
      <c r="W161" s="115"/>
      <c r="X161" s="72"/>
      <c r="Y161" s="12" t="s">
        <v>398</v>
      </c>
      <c r="Z161" s="13">
        <v>0.4</v>
      </c>
      <c r="AA161" s="57" t="s">
        <v>3575</v>
      </c>
      <c r="AB161" s="208">
        <f>ROUND((ROUND((ROUND((ROUND((_15_同援日２．０*_15・通訳),0)*(1+_15・A深夜)),0)*(1+_15・盲ろう)),0)*(1+_15・区４)),0)+ROUND((ROUND((ROUND((ROUND((_15_同援日２．０＿０．５*_15・通訳),0)*(1+_15・B早朝)),0)*(1+_15・盲ろう)),0)*(1+_15・区４)),0)</f>
        <v>1306</v>
      </c>
      <c r="AC161" s="48"/>
    </row>
    <row r="162" spans="1:29" ht="16.5" customHeight="1" x14ac:dyDescent="0.15">
      <c r="A162" s="41">
        <v>15</v>
      </c>
      <c r="B162" s="41" t="s">
        <v>27043</v>
      </c>
      <c r="C162" s="74" t="s">
        <v>27044</v>
      </c>
      <c r="D162" s="72"/>
      <c r="F162" s="57"/>
      <c r="G162" s="122"/>
      <c r="H162" s="37"/>
      <c r="I162" s="79"/>
      <c r="J162" s="35"/>
      <c r="M162" s="299" t="s">
        <v>17556</v>
      </c>
      <c r="N162" s="45" t="s">
        <v>398</v>
      </c>
      <c r="O162" s="46">
        <v>1</v>
      </c>
      <c r="P162" s="512"/>
      <c r="Q162" s="57"/>
      <c r="R162" s="512"/>
      <c r="S162" s="57"/>
      <c r="T162" s="122" t="s">
        <v>17564</v>
      </c>
      <c r="U162" s="37" t="s">
        <v>398</v>
      </c>
      <c r="V162" s="38">
        <v>0.25</v>
      </c>
      <c r="W162" s="79" t="s">
        <v>3575</v>
      </c>
      <c r="X162" s="122"/>
      <c r="Y162" s="37"/>
      <c r="Z162" s="38"/>
      <c r="AA162" s="79"/>
      <c r="AB162" s="208">
        <f>ROUND((ROUND((ROUND((ROUND((ROUND((_15_同援日２．０*_15・通訳),0)*_15・２人),0)*(1+_15・A深夜)),0)*(1+_15・盲ろう)),0)*(1+_15・区４)),0)+ROUND((ROUND((ROUND((ROUND((ROUND((_15_同援日２．０＿０．５*_15・通訳),0)*_15・２人),0)*(1+_15・B早朝)),0)*(1+_15・盲ろう)),0)*(1+_15・区４)),0)</f>
        <v>1306</v>
      </c>
      <c r="AC162" s="48"/>
    </row>
    <row r="163" spans="1:29" ht="16.5" customHeight="1" x14ac:dyDescent="0.15">
      <c r="A163" s="41">
        <v>15</v>
      </c>
      <c r="B163" s="41" t="s">
        <v>27045</v>
      </c>
      <c r="C163" s="74" t="s">
        <v>27046</v>
      </c>
      <c r="D163" s="72"/>
      <c r="F163" s="57"/>
      <c r="G163" s="114" t="s">
        <v>18846</v>
      </c>
      <c r="H163" s="49"/>
      <c r="I163" s="115"/>
      <c r="J163" s="35"/>
      <c r="M163" s="299"/>
      <c r="N163" s="45"/>
      <c r="O163" s="46"/>
      <c r="P163" s="512"/>
      <c r="Q163" s="57"/>
      <c r="R163" s="512"/>
      <c r="S163" s="57"/>
      <c r="T163" s="114"/>
      <c r="U163" s="49"/>
      <c r="V163" s="50"/>
      <c r="W163" s="115"/>
      <c r="X163" s="114"/>
      <c r="Y163" s="49"/>
      <c r="Z163" s="50"/>
      <c r="AA163" s="115"/>
      <c r="AB163" s="208">
        <f>ROUND((ROUND((_15_同援日２．０*_15・通訳),0)*(1+_15・A深夜)),0)+ROUND((ROUND((_15_同援日２．０＿１．０*_15・通訳),0)*(1+_15・B早朝)),0)</f>
        <v>818</v>
      </c>
      <c r="AC163" s="48"/>
    </row>
    <row r="164" spans="1:29" ht="16.5" customHeight="1" x14ac:dyDescent="0.15">
      <c r="A164" s="41">
        <v>15</v>
      </c>
      <c r="B164" s="41" t="s">
        <v>27047</v>
      </c>
      <c r="C164" s="74" t="s">
        <v>27048</v>
      </c>
      <c r="D164" s="72"/>
      <c r="F164" s="57"/>
      <c r="G164" s="72" t="s">
        <v>17589</v>
      </c>
      <c r="I164" s="57"/>
      <c r="J164" s="35"/>
      <c r="M164" s="299" t="s">
        <v>17556</v>
      </c>
      <c r="N164" s="45" t="s">
        <v>398</v>
      </c>
      <c r="O164" s="46">
        <v>1</v>
      </c>
      <c r="P164" s="512"/>
      <c r="Q164" s="57"/>
      <c r="R164" s="512"/>
      <c r="S164" s="57"/>
      <c r="T164" s="122"/>
      <c r="U164" s="37"/>
      <c r="V164" s="38"/>
      <c r="W164" s="79"/>
      <c r="X164" s="72"/>
      <c r="AA164" s="57"/>
      <c r="AB164" s="208">
        <f>ROUND((ROUND((ROUND((_15_同援日２．０*_15・通訳),0)*_15・２人),0)*(1+_15・A深夜)),0)+ROUND((ROUND((ROUND((_15_同援日２．０＿１．０*_15・通訳),0)*_15・２人),0)*(1+_15・B早朝)),0)</f>
        <v>818</v>
      </c>
      <c r="AC164" s="48"/>
    </row>
    <row r="165" spans="1:29" ht="16.5" customHeight="1" x14ac:dyDescent="0.15">
      <c r="A165" s="41">
        <v>15</v>
      </c>
      <c r="B165" s="41" t="s">
        <v>27049</v>
      </c>
      <c r="C165" s="74" t="s">
        <v>27050</v>
      </c>
      <c r="D165" s="72"/>
      <c r="F165" s="57"/>
      <c r="G165" s="72" t="s">
        <v>17591</v>
      </c>
      <c r="I165" s="57"/>
      <c r="J165" s="35"/>
      <c r="M165" s="299"/>
      <c r="N165" s="45"/>
      <c r="O165" s="46"/>
      <c r="P165" s="512"/>
      <c r="Q165" s="57"/>
      <c r="R165" s="512"/>
      <c r="S165" s="57"/>
      <c r="T165" s="114" t="s">
        <v>17562</v>
      </c>
      <c r="U165" s="49"/>
      <c r="V165" s="50"/>
      <c r="W165" s="115"/>
      <c r="X165" s="72"/>
      <c r="AA165" s="57"/>
      <c r="AB165" s="208">
        <f>ROUND((ROUND((ROUND((_15_同援日２．０*_15・通訳),0)*(1+_15・A深夜)),0)*(1+_15・盲ろう)),0)+ROUND((ROUND((ROUND((_15_同援日２．０＿１．０*_15・通訳),0)*(1+_15・B早朝)),0)*(1+_15・盲ろう)),0)</f>
        <v>1023</v>
      </c>
      <c r="AC165" s="48"/>
    </row>
    <row r="166" spans="1:29" ht="16.5" customHeight="1" x14ac:dyDescent="0.15">
      <c r="A166" s="41">
        <v>15</v>
      </c>
      <c r="B166" s="41" t="s">
        <v>27051</v>
      </c>
      <c r="C166" s="74" t="s">
        <v>27052</v>
      </c>
      <c r="D166" s="72"/>
      <c r="F166" s="57"/>
      <c r="G166" s="72"/>
      <c r="H166" s="168">
        <f>_15_同援日２．０＿１．０</f>
        <v>130</v>
      </c>
      <c r="I166" s="57" t="s">
        <v>392</v>
      </c>
      <c r="J166" s="35"/>
      <c r="M166" s="299" t="s">
        <v>17556</v>
      </c>
      <c r="N166" s="45" t="s">
        <v>398</v>
      </c>
      <c r="O166" s="46">
        <v>1</v>
      </c>
      <c r="P166" s="512"/>
      <c r="Q166" s="57"/>
      <c r="R166" s="512"/>
      <c r="S166" s="57"/>
      <c r="T166" s="122" t="s">
        <v>17564</v>
      </c>
      <c r="U166" s="37" t="s">
        <v>398</v>
      </c>
      <c r="V166" s="38">
        <v>0.25</v>
      </c>
      <c r="W166" s="79" t="s">
        <v>3575</v>
      </c>
      <c r="X166" s="122"/>
      <c r="Y166" s="37"/>
      <c r="Z166" s="38"/>
      <c r="AA166" s="79"/>
      <c r="AB166" s="208">
        <f>ROUND((ROUND((ROUND((ROUND((_15_同援日２．０*_15・通訳),0)*_15・２人),0)*(1+_15・A深夜)),0)*(1+_15・盲ろう)),0)+ROUND((ROUND((ROUND((ROUND((_15_同援日２．０＿１．０*_15・通訳),0)*_15・２人),0)*(1+_15・B早朝)),0)*(1+_15・盲ろう)),0)</f>
        <v>1023</v>
      </c>
      <c r="AC166" s="48"/>
    </row>
    <row r="167" spans="1:29" ht="16.5" customHeight="1" x14ac:dyDescent="0.15">
      <c r="A167" s="41">
        <v>15</v>
      </c>
      <c r="B167" s="41" t="s">
        <v>27053</v>
      </c>
      <c r="C167" s="74" t="s">
        <v>27054</v>
      </c>
      <c r="D167" s="72"/>
      <c r="F167" s="57"/>
      <c r="G167" s="72"/>
      <c r="I167" s="57"/>
      <c r="J167" s="35"/>
      <c r="M167" s="299"/>
      <c r="N167" s="45"/>
      <c r="O167" s="46"/>
      <c r="P167" s="512"/>
      <c r="Q167" s="57"/>
      <c r="R167" s="512"/>
      <c r="S167" s="57"/>
      <c r="T167" s="114"/>
      <c r="U167" s="49"/>
      <c r="V167" s="50"/>
      <c r="W167" s="115"/>
      <c r="X167" s="114" t="s">
        <v>17570</v>
      </c>
      <c r="Y167" s="49"/>
      <c r="Z167" s="50"/>
      <c r="AA167" s="115"/>
      <c r="AB167" s="208">
        <f>ROUND((ROUND((ROUND((_15_同援日２．０*_15・通訳),0)*(1+_15・A深夜)),0)*(1+_15・区３)),0)+ROUND((ROUND((ROUND((_15_同援日２．０＿１．０*_15・通訳),0)*(1+_15・B早朝)),0)*(1+_15・区３)),0)</f>
        <v>981</v>
      </c>
      <c r="AC167" s="48"/>
    </row>
    <row r="168" spans="1:29" ht="16.5" customHeight="1" x14ac:dyDescent="0.15">
      <c r="A168" s="41">
        <v>15</v>
      </c>
      <c r="B168" s="41" t="s">
        <v>27055</v>
      </c>
      <c r="C168" s="74" t="s">
        <v>27056</v>
      </c>
      <c r="D168" s="72"/>
      <c r="F168" s="57"/>
      <c r="G168" s="72"/>
      <c r="I168" s="57"/>
      <c r="J168" s="35"/>
      <c r="M168" s="299" t="s">
        <v>17556</v>
      </c>
      <c r="N168" s="45" t="s">
        <v>398</v>
      </c>
      <c r="O168" s="46">
        <v>1</v>
      </c>
      <c r="P168" s="512"/>
      <c r="Q168" s="57"/>
      <c r="R168" s="512"/>
      <c r="S168" s="57"/>
      <c r="T168" s="122"/>
      <c r="U168" s="37"/>
      <c r="V168" s="38"/>
      <c r="W168" s="79"/>
      <c r="X168" s="72" t="s">
        <v>17572</v>
      </c>
      <c r="AA168" s="57"/>
      <c r="AB168" s="208">
        <f>ROUND((ROUND((ROUND((ROUND((_15_同援日２．０*_15・通訳),0)*_15・２人),0)*(1+_15・A深夜)),0)*(1+_15・区３)),0)+ROUND((ROUND((ROUND((ROUND((_15_同援日２．０＿１．０*_15・通訳),0)*_15・２人),0)*(1+_15・B早朝)),0)*(1+_15・区３)),0)</f>
        <v>981</v>
      </c>
      <c r="AC168" s="48"/>
    </row>
    <row r="169" spans="1:29" ht="16.5" customHeight="1" x14ac:dyDescent="0.15">
      <c r="A169" s="41">
        <v>15</v>
      </c>
      <c r="B169" s="41" t="s">
        <v>27057</v>
      </c>
      <c r="C169" s="74" t="s">
        <v>27058</v>
      </c>
      <c r="D169" s="72"/>
      <c r="F169" s="57"/>
      <c r="G169" s="72"/>
      <c r="I169" s="57"/>
      <c r="J169" s="35"/>
      <c r="M169" s="299"/>
      <c r="N169" s="45"/>
      <c r="O169" s="46"/>
      <c r="P169" s="512"/>
      <c r="Q169" s="57"/>
      <c r="R169" s="512"/>
      <c r="S169" s="57"/>
      <c r="T169" s="114" t="s">
        <v>17562</v>
      </c>
      <c r="U169" s="49"/>
      <c r="V169" s="50"/>
      <c r="W169" s="115"/>
      <c r="X169" s="72"/>
      <c r="Y169" s="12" t="s">
        <v>398</v>
      </c>
      <c r="Z169" s="13">
        <v>0.2</v>
      </c>
      <c r="AA169" s="57" t="s">
        <v>3575</v>
      </c>
      <c r="AB169" s="208">
        <f>ROUND((ROUND((ROUND((ROUND((_15_同援日２．０*_15・通訳),0)*(1+_15・A深夜)),0)*(1+_15・盲ろう)),0)*(1+_15・区３)),0)+ROUND((ROUND((ROUND((ROUND((_15_同援日２．０＿１．０*_15・通訳),0)*(1+_15・B早朝)),0)*(1+_15・盲ろう)),0)*(1+_15・区３)),0)</f>
        <v>1228</v>
      </c>
      <c r="AC169" s="48"/>
    </row>
    <row r="170" spans="1:29" ht="16.5" customHeight="1" x14ac:dyDescent="0.15">
      <c r="A170" s="41">
        <v>15</v>
      </c>
      <c r="B170" s="41" t="s">
        <v>27059</v>
      </c>
      <c r="C170" s="74" t="s">
        <v>27060</v>
      </c>
      <c r="D170" s="72"/>
      <c r="F170" s="57"/>
      <c r="G170" s="72"/>
      <c r="I170" s="57"/>
      <c r="J170" s="35"/>
      <c r="M170" s="299" t="s">
        <v>17556</v>
      </c>
      <c r="N170" s="45" t="s">
        <v>398</v>
      </c>
      <c r="O170" s="46">
        <v>1</v>
      </c>
      <c r="P170" s="512"/>
      <c r="Q170" s="57"/>
      <c r="R170" s="512"/>
      <c r="S170" s="57"/>
      <c r="T170" s="122" t="s">
        <v>17564</v>
      </c>
      <c r="U170" s="37" t="s">
        <v>398</v>
      </c>
      <c r="V170" s="38">
        <v>0.25</v>
      </c>
      <c r="W170" s="79" t="s">
        <v>3575</v>
      </c>
      <c r="X170" s="122"/>
      <c r="Y170" s="37"/>
      <c r="Z170" s="38"/>
      <c r="AA170" s="79"/>
      <c r="AB170" s="208">
        <f>ROUND((ROUND((ROUND((ROUND((ROUND((_15_同援日２．０*_15・通訳),0)*_15・２人),0)*(1+_15・A深夜)),0)*(1+_15・盲ろう)),0)*(1+_15・区３)),0)+ROUND((ROUND((ROUND((ROUND((ROUND((_15_同援日２．０＿１．０*_15・通訳),0)*_15・２人),0)*(1+_15・B早朝)),0)*(1+_15・盲ろう)),0)*(1+_15・区３)),0)</f>
        <v>1228</v>
      </c>
      <c r="AC170" s="48"/>
    </row>
    <row r="171" spans="1:29" ht="16.5" customHeight="1" x14ac:dyDescent="0.15">
      <c r="A171" s="41">
        <v>15</v>
      </c>
      <c r="B171" s="41" t="s">
        <v>27061</v>
      </c>
      <c r="C171" s="74" t="s">
        <v>27062</v>
      </c>
      <c r="D171" s="72"/>
      <c r="F171" s="57"/>
      <c r="G171" s="72"/>
      <c r="I171" s="57"/>
      <c r="J171" s="35"/>
      <c r="M171" s="299"/>
      <c r="N171" s="45"/>
      <c r="O171" s="46"/>
      <c r="P171" s="512"/>
      <c r="Q171" s="57"/>
      <c r="R171" s="512"/>
      <c r="S171" s="57"/>
      <c r="T171" s="114"/>
      <c r="U171" s="49"/>
      <c r="V171" s="50"/>
      <c r="W171" s="115"/>
      <c r="X171" s="114" t="s">
        <v>17580</v>
      </c>
      <c r="Y171" s="49"/>
      <c r="Z171" s="50"/>
      <c r="AA171" s="115"/>
      <c r="AB171" s="208">
        <f>ROUND((ROUND((ROUND((_15_同援日２．０*_15・通訳),0)*(1+_15・A深夜)),0)*(1+_15・区４)),0)+ROUND((ROUND((ROUND((_15_同援日２．０＿１．０*_15・通訳),0)*(1+_15・B早朝)),0)*(1+_15・区４)),0)</f>
        <v>1145</v>
      </c>
      <c r="AC171" s="48"/>
    </row>
    <row r="172" spans="1:29" ht="16.5" customHeight="1" x14ac:dyDescent="0.15">
      <c r="A172" s="41">
        <v>15</v>
      </c>
      <c r="B172" s="41" t="s">
        <v>27063</v>
      </c>
      <c r="C172" s="74" t="s">
        <v>27064</v>
      </c>
      <c r="D172" s="72"/>
      <c r="F172" s="57"/>
      <c r="G172" s="72"/>
      <c r="I172" s="57"/>
      <c r="J172" s="35"/>
      <c r="M172" s="299" t="s">
        <v>17556</v>
      </c>
      <c r="N172" s="45" t="s">
        <v>398</v>
      </c>
      <c r="O172" s="46">
        <v>1</v>
      </c>
      <c r="P172" s="512"/>
      <c r="Q172" s="57"/>
      <c r="R172" s="512"/>
      <c r="S172" s="57"/>
      <c r="T172" s="122"/>
      <c r="U172" s="37"/>
      <c r="V172" s="38"/>
      <c r="W172" s="79"/>
      <c r="X172" s="72" t="s">
        <v>17572</v>
      </c>
      <c r="AA172" s="57"/>
      <c r="AB172" s="208">
        <f>ROUND((ROUND((ROUND((ROUND((_15_同援日２．０*_15・通訳),0)*_15・２人),0)*(1+_15・A深夜)),0)*(1+_15・区４)),0)+ROUND((ROUND((ROUND((ROUND((_15_同援日２．０＿１．０*_15・通訳),0)*_15・２人),0)*(1+_15・B早朝)),0)*(1+_15・区４)),0)</f>
        <v>1145</v>
      </c>
      <c r="AC172" s="48"/>
    </row>
    <row r="173" spans="1:29" ht="16.5" customHeight="1" x14ac:dyDescent="0.15">
      <c r="A173" s="41">
        <v>15</v>
      </c>
      <c r="B173" s="41" t="s">
        <v>27065</v>
      </c>
      <c r="C173" s="74" t="s">
        <v>27066</v>
      </c>
      <c r="D173" s="72"/>
      <c r="F173" s="57"/>
      <c r="G173" s="72"/>
      <c r="I173" s="57"/>
      <c r="J173" s="35"/>
      <c r="M173" s="299"/>
      <c r="N173" s="45"/>
      <c r="O173" s="46"/>
      <c r="P173" s="512"/>
      <c r="Q173" s="57"/>
      <c r="R173" s="512"/>
      <c r="S173" s="57"/>
      <c r="T173" s="114" t="s">
        <v>17562</v>
      </c>
      <c r="U173" s="49"/>
      <c r="V173" s="50"/>
      <c r="W173" s="115"/>
      <c r="X173" s="72"/>
      <c r="Y173" s="12" t="s">
        <v>398</v>
      </c>
      <c r="Z173" s="13">
        <v>0.4</v>
      </c>
      <c r="AA173" s="57" t="s">
        <v>3575</v>
      </c>
      <c r="AB173" s="208">
        <f>ROUND((ROUND((ROUND((ROUND((_15_同援日２．０*_15・通訳),0)*(1+_15・A深夜)),0)*(1+_15・盲ろう)),0)*(1+_15・区４)),0)+ROUND((ROUND((ROUND((ROUND((_15_同援日２．０＿１．０*_15・通訳),0)*(1+_15・B早朝)),0)*(1+_15・盲ろう)),0)*(1+_15・区４)),0)</f>
        <v>1432</v>
      </c>
      <c r="AC173" s="48"/>
    </row>
    <row r="174" spans="1:29" ht="16.5" customHeight="1" x14ac:dyDescent="0.15">
      <c r="A174" s="41">
        <v>15</v>
      </c>
      <c r="B174" s="41" t="s">
        <v>27067</v>
      </c>
      <c r="C174" s="74" t="s">
        <v>27068</v>
      </c>
      <c r="D174" s="122"/>
      <c r="E174" s="37"/>
      <c r="F174" s="79"/>
      <c r="G174" s="122"/>
      <c r="H174" s="37"/>
      <c r="I174" s="79"/>
      <c r="J174" s="35"/>
      <c r="M174" s="299" t="s">
        <v>17556</v>
      </c>
      <c r="N174" s="45" t="s">
        <v>398</v>
      </c>
      <c r="O174" s="46">
        <v>1</v>
      </c>
      <c r="P174" s="512"/>
      <c r="Q174" s="57"/>
      <c r="R174" s="512"/>
      <c r="S174" s="57"/>
      <c r="T174" s="122" t="s">
        <v>17564</v>
      </c>
      <c r="U174" s="37" t="s">
        <v>398</v>
      </c>
      <c r="V174" s="38">
        <v>0.25</v>
      </c>
      <c r="W174" s="79" t="s">
        <v>3575</v>
      </c>
      <c r="X174" s="122"/>
      <c r="Y174" s="37"/>
      <c r="Z174" s="38"/>
      <c r="AA174" s="79"/>
      <c r="AB174" s="208">
        <f>ROUND((ROUND((ROUND((ROUND((ROUND((_15_同援日２．０*_15・通訳),0)*_15・２人),0)*(1+_15・A深夜)),0)*(1+_15・盲ろう)),0)*(1+_15・区４)),0)+ROUND((ROUND((ROUND((ROUND((ROUND((_15_同援日２．０＿１．０*_15・通訳),0)*_15・２人),0)*(1+_15・B早朝)),0)*(1+_15・盲ろう)),0)*(1+_15・区４)),0)</f>
        <v>1432</v>
      </c>
      <c r="AC174" s="48"/>
    </row>
    <row r="175" spans="1:29" ht="16.5" customHeight="1" x14ac:dyDescent="0.15">
      <c r="A175" s="41">
        <v>15</v>
      </c>
      <c r="B175" s="41" t="s">
        <v>27069</v>
      </c>
      <c r="C175" s="74" t="s">
        <v>27070</v>
      </c>
      <c r="D175" s="114" t="s">
        <v>18588</v>
      </c>
      <c r="E175" s="49"/>
      <c r="F175" s="115"/>
      <c r="G175" s="114" t="s">
        <v>18819</v>
      </c>
      <c r="H175" s="49"/>
      <c r="I175" s="115"/>
      <c r="J175" s="35"/>
      <c r="M175" s="299"/>
      <c r="N175" s="45"/>
      <c r="O175" s="46"/>
      <c r="P175" s="512"/>
      <c r="Q175" s="57"/>
      <c r="R175" s="512"/>
      <c r="S175" s="57"/>
      <c r="T175" s="114"/>
      <c r="U175" s="49"/>
      <c r="V175" s="50"/>
      <c r="W175" s="115"/>
      <c r="X175" s="114"/>
      <c r="Y175" s="49"/>
      <c r="Z175" s="50"/>
      <c r="AA175" s="115"/>
      <c r="AB175" s="208">
        <f>ROUND((ROUND((_15_同援日２．５*_15・通訳),0)*(1+_15・A深夜)),0)+ROUND((ROUND((_15_同援日２．５＿０．５*_15・通訳),0)*(1+_15・B早朝)),0)</f>
        <v>835</v>
      </c>
      <c r="AC175" s="48"/>
    </row>
    <row r="176" spans="1:29" ht="16.5" customHeight="1" x14ac:dyDescent="0.15">
      <c r="A176" s="41">
        <v>15</v>
      </c>
      <c r="B176" s="41" t="s">
        <v>27071</v>
      </c>
      <c r="C176" s="74" t="s">
        <v>27072</v>
      </c>
      <c r="D176" s="72" t="s">
        <v>17670</v>
      </c>
      <c r="F176" s="57"/>
      <c r="G176" s="72" t="s">
        <v>18259</v>
      </c>
      <c r="I176" s="57"/>
      <c r="J176" s="35"/>
      <c r="M176" s="299" t="s">
        <v>17556</v>
      </c>
      <c r="N176" s="45" t="s">
        <v>398</v>
      </c>
      <c r="O176" s="46">
        <v>1</v>
      </c>
      <c r="P176" s="512"/>
      <c r="Q176" s="57"/>
      <c r="R176" s="512"/>
      <c r="S176" s="57"/>
      <c r="T176" s="122"/>
      <c r="U176" s="37"/>
      <c r="V176" s="38"/>
      <c r="W176" s="79"/>
      <c r="X176" s="72"/>
      <c r="AA176" s="57"/>
      <c r="AB176" s="208">
        <f>ROUND((ROUND((ROUND((_15_同援日２．５*_15・通訳),0)*_15・２人),0)*(1+_15・A深夜)),0)+ROUND((ROUND((ROUND((_15_同援日２．５＿０．５*_15・通訳),0)*_15・２人),0)*(1+_15・B早朝)),0)</f>
        <v>835</v>
      </c>
      <c r="AC176" s="48"/>
    </row>
    <row r="177" spans="1:29" ht="16.5" customHeight="1" x14ac:dyDescent="0.15">
      <c r="A177" s="41">
        <v>15</v>
      </c>
      <c r="B177" s="41" t="s">
        <v>2921</v>
      </c>
      <c r="C177" s="74" t="s">
        <v>27073</v>
      </c>
      <c r="D177" s="72" t="s">
        <v>17672</v>
      </c>
      <c r="F177" s="57"/>
      <c r="G177" s="72"/>
      <c r="I177" s="57"/>
      <c r="J177" s="35"/>
      <c r="M177" s="299"/>
      <c r="N177" s="45"/>
      <c r="O177" s="46"/>
      <c r="P177" s="512"/>
      <c r="Q177" s="57"/>
      <c r="R177" s="512"/>
      <c r="S177" s="57"/>
      <c r="T177" s="114" t="s">
        <v>17562</v>
      </c>
      <c r="U177" s="49"/>
      <c r="V177" s="50"/>
      <c r="W177" s="115"/>
      <c r="X177" s="72"/>
      <c r="AA177" s="57"/>
      <c r="AB177" s="208">
        <f>ROUND((ROUND((ROUND((_15_同援日２．５*_15・通訳),0)*(1+_15・A深夜)),0)*(1+_15・盲ろう)),0)+ROUND((ROUND((ROUND((_15_同援日２．５＿０．５*_15・通訳),0)*(1+_15・B早朝)),0)*(1+_15・盲ろう)),0)</f>
        <v>1044</v>
      </c>
      <c r="AC177" s="48"/>
    </row>
    <row r="178" spans="1:29" ht="16.5" customHeight="1" x14ac:dyDescent="0.15">
      <c r="A178" s="41">
        <v>15</v>
      </c>
      <c r="B178" s="41" t="s">
        <v>2923</v>
      </c>
      <c r="C178" s="74" t="s">
        <v>27074</v>
      </c>
      <c r="D178" s="72"/>
      <c r="E178" s="168">
        <f>_15_同援日２．５</f>
        <v>563</v>
      </c>
      <c r="F178" s="57" t="s">
        <v>392</v>
      </c>
      <c r="G178" s="72"/>
      <c r="H178" s="168">
        <f>_15_同援日２．５＿０．５</f>
        <v>65</v>
      </c>
      <c r="I178" s="57" t="s">
        <v>392</v>
      </c>
      <c r="J178" s="35"/>
      <c r="M178" s="299" t="s">
        <v>17556</v>
      </c>
      <c r="N178" s="45" t="s">
        <v>398</v>
      </c>
      <c r="O178" s="46">
        <v>1</v>
      </c>
      <c r="P178" s="512"/>
      <c r="Q178" s="57"/>
      <c r="R178" s="512"/>
      <c r="S178" s="57"/>
      <c r="T178" s="122" t="s">
        <v>17564</v>
      </c>
      <c r="U178" s="37" t="s">
        <v>398</v>
      </c>
      <c r="V178" s="38">
        <v>0.25</v>
      </c>
      <c r="W178" s="79" t="s">
        <v>3575</v>
      </c>
      <c r="X178" s="122"/>
      <c r="Y178" s="37"/>
      <c r="Z178" s="38"/>
      <c r="AA178" s="79"/>
      <c r="AB178" s="208">
        <f>ROUND((ROUND((ROUND((ROUND((_15_同援日２．５*_15・通訳),0)*_15・２人),0)*(1+_15・A深夜)),0)*(1+_15・盲ろう)),0)+ROUND((ROUND((ROUND((ROUND((_15_同援日２．５＿０．５*_15・通訳),0)*_15・２人),0)*(1+_15・B早朝)),0)*(1+_15・盲ろう)),0)</f>
        <v>1044</v>
      </c>
      <c r="AC178" s="48"/>
    </row>
    <row r="179" spans="1:29" ht="16.5" customHeight="1" x14ac:dyDescent="0.15">
      <c r="A179" s="41">
        <v>15</v>
      </c>
      <c r="B179" s="41" t="s">
        <v>2925</v>
      </c>
      <c r="C179" s="74" t="s">
        <v>27075</v>
      </c>
      <c r="D179" s="72"/>
      <c r="F179" s="57"/>
      <c r="G179" s="72"/>
      <c r="I179" s="57"/>
      <c r="J179" s="35"/>
      <c r="M179" s="299"/>
      <c r="N179" s="45"/>
      <c r="O179" s="46"/>
      <c r="P179" s="512"/>
      <c r="Q179" s="57"/>
      <c r="R179" s="512"/>
      <c r="S179" s="57"/>
      <c r="T179" s="114"/>
      <c r="U179" s="49"/>
      <c r="V179" s="50"/>
      <c r="W179" s="115"/>
      <c r="X179" s="114" t="s">
        <v>17570</v>
      </c>
      <c r="Y179" s="49"/>
      <c r="Z179" s="50"/>
      <c r="AA179" s="115"/>
      <c r="AB179" s="208">
        <f>ROUND((ROUND((ROUND((_15_同援日２．５*_15・通訳),0)*(1+_15・A深夜)),0)*(1+_15・区３)),0)+ROUND((ROUND((ROUND((_15_同援日２．５＿０．５*_15・通訳),0)*(1+_15・B早朝)),0)*(1+_15・区３)),0)</f>
        <v>1002</v>
      </c>
      <c r="AC179" s="48"/>
    </row>
    <row r="180" spans="1:29" ht="16.5" customHeight="1" x14ac:dyDescent="0.15">
      <c r="A180" s="41">
        <v>15</v>
      </c>
      <c r="B180" s="41" t="s">
        <v>2927</v>
      </c>
      <c r="C180" s="74" t="s">
        <v>27076</v>
      </c>
      <c r="D180" s="72"/>
      <c r="F180" s="57"/>
      <c r="G180" s="72"/>
      <c r="I180" s="57"/>
      <c r="J180" s="35"/>
      <c r="M180" s="299" t="s">
        <v>17556</v>
      </c>
      <c r="N180" s="45" t="s">
        <v>398</v>
      </c>
      <c r="O180" s="46">
        <v>1</v>
      </c>
      <c r="P180" s="512"/>
      <c r="Q180" s="57"/>
      <c r="R180" s="512"/>
      <c r="S180" s="57"/>
      <c r="T180" s="122"/>
      <c r="U180" s="37"/>
      <c r="V180" s="38"/>
      <c r="W180" s="79"/>
      <c r="X180" s="72" t="s">
        <v>17572</v>
      </c>
      <c r="AA180" s="57"/>
      <c r="AB180" s="208">
        <f>ROUND((ROUND((ROUND((ROUND((_15_同援日２．５*_15・通訳),0)*_15・２人),0)*(1+_15・A深夜)),0)*(1+_15・区３)),0)+ROUND((ROUND((ROUND((ROUND((_15_同援日２．５＿０．５*_15・通訳),0)*_15・２人),0)*(1+_15・B早朝)),0)*(1+_15・区３)),0)</f>
        <v>1002</v>
      </c>
      <c r="AC180" s="48"/>
    </row>
    <row r="181" spans="1:29" ht="16.5" customHeight="1" x14ac:dyDescent="0.15">
      <c r="A181" s="41">
        <v>15</v>
      </c>
      <c r="B181" s="41" t="s">
        <v>27077</v>
      </c>
      <c r="C181" s="74" t="s">
        <v>27078</v>
      </c>
      <c r="D181" s="72"/>
      <c r="F181" s="57"/>
      <c r="G181" s="72"/>
      <c r="I181" s="57"/>
      <c r="J181" s="35"/>
      <c r="M181" s="299"/>
      <c r="N181" s="45"/>
      <c r="O181" s="46"/>
      <c r="P181" s="512"/>
      <c r="Q181" s="57"/>
      <c r="R181" s="512"/>
      <c r="S181" s="57"/>
      <c r="T181" s="114" t="s">
        <v>17562</v>
      </c>
      <c r="U181" s="49"/>
      <c r="V181" s="50"/>
      <c r="W181" s="115"/>
      <c r="X181" s="72"/>
      <c r="Y181" s="12" t="s">
        <v>398</v>
      </c>
      <c r="Z181" s="13">
        <v>0.2</v>
      </c>
      <c r="AA181" s="57" t="s">
        <v>3575</v>
      </c>
      <c r="AB181" s="208">
        <f>ROUND((ROUND((ROUND((ROUND((_15_同援日２．５*_15・通訳),0)*(1+_15・A深夜)),0)*(1+_15・盲ろう)),0)*(1+_15・区３)),0)+ROUND((ROUND((ROUND((ROUND((_15_同援日２．５＿０．５*_15・通訳),0)*(1+_15・B早朝)),0)*(1+_15・盲ろう)),0)*(1+_15・区３)),0)</f>
        <v>1253</v>
      </c>
      <c r="AC181" s="48"/>
    </row>
    <row r="182" spans="1:29" ht="16.5" customHeight="1" x14ac:dyDescent="0.15">
      <c r="A182" s="41">
        <v>15</v>
      </c>
      <c r="B182" s="41" t="s">
        <v>27079</v>
      </c>
      <c r="C182" s="74" t="s">
        <v>27080</v>
      </c>
      <c r="D182" s="72"/>
      <c r="F182" s="57"/>
      <c r="G182" s="72"/>
      <c r="I182" s="57"/>
      <c r="J182" s="35"/>
      <c r="M182" s="299" t="s">
        <v>17556</v>
      </c>
      <c r="N182" s="45" t="s">
        <v>398</v>
      </c>
      <c r="O182" s="46">
        <v>1</v>
      </c>
      <c r="P182" s="512"/>
      <c r="Q182" s="57"/>
      <c r="R182" s="512"/>
      <c r="S182" s="57"/>
      <c r="T182" s="122" t="s">
        <v>17564</v>
      </c>
      <c r="U182" s="37" t="s">
        <v>398</v>
      </c>
      <c r="V182" s="38">
        <v>0.25</v>
      </c>
      <c r="W182" s="79" t="s">
        <v>3575</v>
      </c>
      <c r="X182" s="122"/>
      <c r="Y182" s="37"/>
      <c r="Z182" s="38"/>
      <c r="AA182" s="79"/>
      <c r="AB182" s="208">
        <f>ROUND((ROUND((ROUND((ROUND((ROUND((_15_同援日２．５*_15・通訳),0)*_15・２人),0)*(1+_15・A深夜)),0)*(1+_15・盲ろう)),0)*(1+_15・区３)),0)+ROUND((ROUND((ROUND((ROUND((ROUND((_15_同援日２．５＿０．５*_15・通訳),0)*_15・２人),0)*(1+_15・B早朝)),0)*(1+_15・盲ろう)),0)*(1+_15・区３)),0)</f>
        <v>1253</v>
      </c>
      <c r="AC182" s="48"/>
    </row>
    <row r="183" spans="1:29" ht="16.5" customHeight="1" x14ac:dyDescent="0.15">
      <c r="A183" s="41">
        <v>15</v>
      </c>
      <c r="B183" s="41" t="s">
        <v>27081</v>
      </c>
      <c r="C183" s="74" t="s">
        <v>27082</v>
      </c>
      <c r="D183" s="72"/>
      <c r="F183" s="57"/>
      <c r="G183" s="72"/>
      <c r="I183" s="57"/>
      <c r="J183" s="35"/>
      <c r="M183" s="299"/>
      <c r="N183" s="45"/>
      <c r="O183" s="46"/>
      <c r="P183" s="512"/>
      <c r="Q183" s="57"/>
      <c r="R183" s="512"/>
      <c r="S183" s="57"/>
      <c r="T183" s="114"/>
      <c r="U183" s="49"/>
      <c r="V183" s="50"/>
      <c r="W183" s="115"/>
      <c r="X183" s="114" t="s">
        <v>17580</v>
      </c>
      <c r="Y183" s="49"/>
      <c r="Z183" s="50"/>
      <c r="AA183" s="115"/>
      <c r="AB183" s="208">
        <f>ROUND((ROUND((ROUND((_15_同援日２．５*_15・通訳),0)*(1+_15・A深夜)),0)*(1+_15・区４)),0)+ROUND((ROUND((ROUND((_15_同援日２．５＿０．５*_15・通訳),0)*(1+_15・B早朝)),0)*(1+_15・区４)),0)</f>
        <v>1169</v>
      </c>
      <c r="AC183" s="48"/>
    </row>
    <row r="184" spans="1:29" ht="16.5" customHeight="1" x14ac:dyDescent="0.15">
      <c r="A184" s="41">
        <v>15</v>
      </c>
      <c r="B184" s="41" t="s">
        <v>27083</v>
      </c>
      <c r="C184" s="74" t="s">
        <v>27084</v>
      </c>
      <c r="D184" s="72"/>
      <c r="F184" s="57"/>
      <c r="G184" s="72"/>
      <c r="I184" s="57"/>
      <c r="J184" s="35"/>
      <c r="M184" s="299" t="s">
        <v>17556</v>
      </c>
      <c r="N184" s="45" t="s">
        <v>398</v>
      </c>
      <c r="O184" s="46">
        <v>1</v>
      </c>
      <c r="P184" s="512"/>
      <c r="Q184" s="57"/>
      <c r="R184" s="512"/>
      <c r="S184" s="57"/>
      <c r="T184" s="122"/>
      <c r="U184" s="37"/>
      <c r="V184" s="38"/>
      <c r="W184" s="79"/>
      <c r="X184" s="72" t="s">
        <v>17572</v>
      </c>
      <c r="AA184" s="57"/>
      <c r="AB184" s="208">
        <f>ROUND((ROUND((ROUND((ROUND((_15_同援日２．５*_15・通訳),0)*_15・２人),0)*(1+_15・A深夜)),0)*(1+_15・区４)),0)+ROUND((ROUND((ROUND((ROUND((_15_同援日２．５＿０．５*_15・通訳),0)*_15・２人),0)*(1+_15・B早朝)),0)*(1+_15・区４)),0)</f>
        <v>1169</v>
      </c>
      <c r="AC184" s="48"/>
    </row>
    <row r="185" spans="1:29" ht="16.5" customHeight="1" x14ac:dyDescent="0.15">
      <c r="A185" s="41">
        <v>15</v>
      </c>
      <c r="B185" s="41" t="s">
        <v>27085</v>
      </c>
      <c r="C185" s="74" t="s">
        <v>27086</v>
      </c>
      <c r="D185" s="72"/>
      <c r="F185" s="57"/>
      <c r="G185" s="72"/>
      <c r="I185" s="57"/>
      <c r="J185" s="35"/>
      <c r="M185" s="299"/>
      <c r="N185" s="45"/>
      <c r="O185" s="46"/>
      <c r="P185" s="512"/>
      <c r="Q185" s="57"/>
      <c r="R185" s="512"/>
      <c r="S185" s="57"/>
      <c r="T185" s="114" t="s">
        <v>17562</v>
      </c>
      <c r="U185" s="49"/>
      <c r="V185" s="50"/>
      <c r="W185" s="115"/>
      <c r="X185" s="72"/>
      <c r="Y185" s="12" t="s">
        <v>398</v>
      </c>
      <c r="Z185" s="13">
        <v>0.4</v>
      </c>
      <c r="AA185" s="57" t="s">
        <v>3575</v>
      </c>
      <c r="AB185" s="208">
        <f>ROUND((ROUND((ROUND((ROUND((_15_同援日２．５*_15・通訳),0)*(1+_15・A深夜)),0)*(1+_15・盲ろう)),0)*(1+_15・区４)),0)+ROUND((ROUND((ROUND((ROUND((_15_同援日２．５＿０．５*_15・通訳),0)*(1+_15・B早朝)),0)*(1+_15・盲ろう)),0)*(1+_15・区４)),0)</f>
        <v>1461</v>
      </c>
      <c r="AC185" s="48"/>
    </row>
    <row r="186" spans="1:29" ht="16.5" customHeight="1" x14ac:dyDescent="0.15">
      <c r="A186" s="41">
        <v>15</v>
      </c>
      <c r="B186" s="41" t="s">
        <v>27087</v>
      </c>
      <c r="C186" s="74" t="s">
        <v>27088</v>
      </c>
      <c r="D186" s="122"/>
      <c r="E186" s="37"/>
      <c r="F186" s="79"/>
      <c r="G186" s="122"/>
      <c r="H186" s="37"/>
      <c r="I186" s="79"/>
      <c r="J186" s="43"/>
      <c r="K186" s="37"/>
      <c r="L186" s="38"/>
      <c r="M186" s="299" t="s">
        <v>17556</v>
      </c>
      <c r="N186" s="45" t="s">
        <v>398</v>
      </c>
      <c r="O186" s="46">
        <v>1</v>
      </c>
      <c r="P186" s="514"/>
      <c r="Q186" s="79"/>
      <c r="R186" s="514"/>
      <c r="S186" s="79"/>
      <c r="T186" s="122" t="s">
        <v>17564</v>
      </c>
      <c r="U186" s="37" t="s">
        <v>398</v>
      </c>
      <c r="V186" s="38">
        <v>0.25</v>
      </c>
      <c r="W186" s="79" t="s">
        <v>3575</v>
      </c>
      <c r="X186" s="122"/>
      <c r="Y186" s="37"/>
      <c r="Z186" s="38"/>
      <c r="AA186" s="79"/>
      <c r="AB186" s="208">
        <f>ROUND((ROUND((ROUND((ROUND((ROUND((_15_同援日２．５*_15・通訳),0)*_15・２人),0)*(1+_15・A深夜)),0)*(1+_15・盲ろう)),0)*(1+_15・区４)),0)+ROUND((ROUND((ROUND((ROUND((ROUND((_15_同援日２．５＿０．５*_15・通訳),0)*_15・２人),0)*(1+_15・B早朝)),0)*(1+_15・盲ろう)),0)*(1+_15・区４)),0)</f>
        <v>1461</v>
      </c>
      <c r="AC186" s="63"/>
    </row>
    <row r="187" spans="1:29" ht="16.5" customHeight="1" x14ac:dyDescent="0.15"/>
    <row r="188" spans="1:29"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41" fitToHeight="0" orientation="portrait" r:id="rId1"/>
  <headerFooter>
    <oddHeader>&amp;R&amp;"ＭＳ Ｐゴシック"&amp;9同行援護</oddHeader>
    <oddFooter>&amp;C&amp;"ＭＳ Ｐゴシック"&amp;14&amp;P</oddFooter>
  </headerFooter>
  <rowBreaks count="1" manualBreakCount="1">
    <brk id="11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A1:T12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8.875" style="10" bestFit="1" customWidth="1"/>
    <col min="4" max="4" width="4.875" style="10" customWidth="1"/>
    <col min="5" max="5" width="5.5" style="117" bestFit="1" customWidth="1"/>
    <col min="6" max="6" width="4.875" style="10" customWidth="1"/>
    <col min="7" max="7" width="5.5" style="117" bestFit="1" customWidth="1"/>
    <col min="8" max="8" width="11.875" style="12" customWidth="1"/>
    <col min="9" max="9" width="3.5" style="12" bestFit="1" customWidth="1"/>
    <col min="10" max="10" width="4.5" style="13" bestFit="1" customWidth="1"/>
    <col min="11" max="11" width="24.875" style="14" bestFit="1" customWidth="1"/>
    <col min="12" max="12" width="3.5" style="12" bestFit="1" customWidth="1"/>
    <col min="13" max="13" width="5.5" style="13" bestFit="1" customWidth="1"/>
    <col min="14" max="14" width="3.5" style="12" bestFit="1" customWidth="1"/>
    <col min="15" max="15" width="4.5" style="13" bestFit="1" customWidth="1"/>
    <col min="16" max="16" width="5.5" style="12" bestFit="1" customWidth="1"/>
    <col min="17" max="17" width="9.875" style="12" customWidth="1"/>
    <col min="18" max="18" width="4.5" style="12" bestFit="1" customWidth="1"/>
    <col min="19" max="19" width="7.125" style="15" customWidth="1"/>
    <col min="20" max="20" width="8.5" style="16" customWidth="1"/>
    <col min="21" max="16384" width="8.875" style="12"/>
  </cols>
  <sheetData>
    <row r="1" spans="1:20" ht="17.100000000000001" customHeight="1" x14ac:dyDescent="0.15">
      <c r="D1" s="11"/>
      <c r="E1" s="12"/>
      <c r="F1" s="11"/>
      <c r="G1" s="12"/>
    </row>
    <row r="2" spans="1:20" ht="17.100000000000001" customHeight="1" x14ac:dyDescent="0.15"/>
    <row r="3" spans="1:20" ht="17.100000000000001" customHeight="1" x14ac:dyDescent="0.15"/>
    <row r="4" spans="1:20" ht="17.100000000000001" customHeight="1" x14ac:dyDescent="0.15">
      <c r="B4" s="17" t="s">
        <v>2226</v>
      </c>
      <c r="D4" s="71"/>
    </row>
    <row r="5" spans="1:20" ht="16.5" customHeight="1" x14ac:dyDescent="0.15">
      <c r="A5" s="19" t="s">
        <v>384</v>
      </c>
      <c r="B5" s="20"/>
      <c r="C5" s="21" t="s">
        <v>385</v>
      </c>
      <c r="D5" s="23" t="s">
        <v>386</v>
      </c>
      <c r="E5" s="118"/>
      <c r="F5" s="23"/>
      <c r="G5" s="118"/>
      <c r="H5" s="23"/>
      <c r="I5" s="23"/>
      <c r="J5" s="24"/>
      <c r="K5" s="23"/>
      <c r="L5" s="23"/>
      <c r="M5" s="24"/>
      <c r="N5" s="23"/>
      <c r="O5" s="24"/>
      <c r="P5" s="23"/>
      <c r="Q5" s="23"/>
      <c r="R5" s="23"/>
      <c r="S5" s="25" t="s">
        <v>387</v>
      </c>
      <c r="T5" s="21" t="s">
        <v>388</v>
      </c>
    </row>
    <row r="6" spans="1:20" ht="16.5" customHeight="1" x14ac:dyDescent="0.15">
      <c r="A6" s="26" t="s">
        <v>389</v>
      </c>
      <c r="B6" s="26" t="s">
        <v>390</v>
      </c>
      <c r="C6" s="27"/>
      <c r="D6" s="87" t="s">
        <v>1032</v>
      </c>
      <c r="E6" s="119"/>
      <c r="F6" s="29" t="s">
        <v>1988</v>
      </c>
      <c r="G6" s="120"/>
      <c r="H6" s="29"/>
      <c r="I6" s="29"/>
      <c r="J6" s="30"/>
      <c r="K6" s="29"/>
      <c r="L6" s="29"/>
      <c r="M6" s="30"/>
      <c r="N6" s="29"/>
      <c r="O6" s="30"/>
      <c r="P6" s="29"/>
      <c r="Q6" s="29"/>
      <c r="R6" s="29"/>
      <c r="S6" s="31" t="s">
        <v>391</v>
      </c>
      <c r="T6" s="32" t="s">
        <v>392</v>
      </c>
    </row>
    <row r="7" spans="1:20" ht="16.5" customHeight="1" x14ac:dyDescent="0.15">
      <c r="A7" s="33">
        <v>11</v>
      </c>
      <c r="B7" s="33">
        <v>1683</v>
      </c>
      <c r="C7" s="34" t="s">
        <v>2227</v>
      </c>
      <c r="D7" s="709" t="s">
        <v>861</v>
      </c>
      <c r="E7" s="718"/>
      <c r="F7" s="709" t="s">
        <v>1226</v>
      </c>
      <c r="G7" s="718"/>
      <c r="H7" s="35"/>
      <c r="K7" s="36"/>
      <c r="L7" s="37"/>
      <c r="M7" s="38"/>
      <c r="N7" s="72" t="s">
        <v>1036</v>
      </c>
      <c r="P7" s="57"/>
      <c r="Q7" s="35"/>
      <c r="S7" s="39">
        <f>ROUND((_11_A身体０．５*(1+_11・A深夜)),0)+_11_B身体０．５＿０．５</f>
        <v>530</v>
      </c>
      <c r="T7" s="40" t="s">
        <v>395</v>
      </c>
    </row>
    <row r="8" spans="1:20" ht="16.5" customHeight="1" x14ac:dyDescent="0.15">
      <c r="A8" s="41">
        <v>11</v>
      </c>
      <c r="B8" s="41">
        <v>1684</v>
      </c>
      <c r="C8" s="74" t="s">
        <v>2228</v>
      </c>
      <c r="D8" s="709"/>
      <c r="E8" s="718"/>
      <c r="F8" s="709"/>
      <c r="G8" s="718"/>
      <c r="H8" s="43"/>
      <c r="I8" s="37"/>
      <c r="J8" s="38"/>
      <c r="K8" s="44" t="s">
        <v>397</v>
      </c>
      <c r="L8" s="45" t="s">
        <v>398</v>
      </c>
      <c r="M8" s="46">
        <v>1</v>
      </c>
      <c r="N8" s="35" t="s">
        <v>398</v>
      </c>
      <c r="O8" s="13">
        <v>0.5</v>
      </c>
      <c r="P8" s="728" t="s">
        <v>676</v>
      </c>
      <c r="Q8" s="35"/>
      <c r="S8" s="47">
        <f>ROUND((ROUND((_11_A身体０．５*_11・２人),0)*(1+_11・A深夜)),0)+ROUND((_11_B身体０．５＿０．５*_11・２人),0)</f>
        <v>530</v>
      </c>
      <c r="T8" s="48"/>
    </row>
    <row r="9" spans="1:20" ht="16.5" customHeight="1" x14ac:dyDescent="0.15">
      <c r="A9" s="41">
        <v>11</v>
      </c>
      <c r="B9" s="41">
        <v>1685</v>
      </c>
      <c r="C9" s="74" t="s">
        <v>2229</v>
      </c>
      <c r="D9" s="709"/>
      <c r="E9" s="718"/>
      <c r="F9" s="709"/>
      <c r="G9" s="718"/>
      <c r="H9" s="725" t="s">
        <v>400</v>
      </c>
      <c r="I9" s="49" t="s">
        <v>398</v>
      </c>
      <c r="J9" s="50">
        <v>0.7</v>
      </c>
      <c r="K9" s="44"/>
      <c r="L9" s="45"/>
      <c r="M9" s="46"/>
      <c r="N9" s="35"/>
      <c r="P9" s="728"/>
      <c r="Q9" s="35"/>
      <c r="S9" s="47">
        <f>ROUND((ROUND((_11_A身体０．５*_11・基礎１),0)*(1+_11・A深夜)),0)+ROUND((_11_B身体０．５＿０．５*_11・基礎１),0)</f>
        <v>372</v>
      </c>
      <c r="T9" s="48"/>
    </row>
    <row r="10" spans="1:20" ht="16.5" customHeight="1" x14ac:dyDescent="0.15">
      <c r="A10" s="41">
        <v>11</v>
      </c>
      <c r="B10" s="41">
        <v>1686</v>
      </c>
      <c r="C10" s="74" t="s">
        <v>2230</v>
      </c>
      <c r="D10" s="100">
        <f>_11_A身体０．５</f>
        <v>255</v>
      </c>
      <c r="E10" s="12" t="s">
        <v>392</v>
      </c>
      <c r="F10" s="100">
        <f>_11_B身体０．５＿０．５</f>
        <v>147</v>
      </c>
      <c r="G10" s="12" t="s">
        <v>392</v>
      </c>
      <c r="H10" s="711"/>
      <c r="I10" s="37"/>
      <c r="J10" s="38"/>
      <c r="K10" s="44" t="s">
        <v>397</v>
      </c>
      <c r="L10" s="45" t="s">
        <v>398</v>
      </c>
      <c r="M10" s="46">
        <v>1</v>
      </c>
      <c r="N10" s="35"/>
      <c r="P10" s="57"/>
      <c r="Q10" s="43"/>
      <c r="R10" s="37"/>
      <c r="S10" s="47">
        <f>ROUND((ROUND((ROUND((_11_A身体０．５*_11・基礎１),0)*_11・２人),0)*(1+_11・A深夜)),0)+ROUND((ROUND((_11_B身体０．５＿０．５*_11・基礎１),0)*_11・２人),0)</f>
        <v>372</v>
      </c>
      <c r="T10" s="48"/>
    </row>
    <row r="11" spans="1:20" ht="16.5" customHeight="1" x14ac:dyDescent="0.15">
      <c r="A11" s="41">
        <v>11</v>
      </c>
      <c r="B11" s="41" t="s">
        <v>2231</v>
      </c>
      <c r="C11" s="74" t="s">
        <v>2232</v>
      </c>
      <c r="D11" s="121"/>
      <c r="E11" s="99"/>
      <c r="F11" s="121"/>
      <c r="G11" s="99"/>
      <c r="H11" s="53"/>
      <c r="I11" s="49"/>
      <c r="J11" s="50"/>
      <c r="K11" s="44"/>
      <c r="L11" s="45"/>
      <c r="M11" s="46"/>
      <c r="N11" s="35"/>
      <c r="P11" s="57"/>
      <c r="Q11" s="707" t="s">
        <v>404</v>
      </c>
      <c r="R11" s="708"/>
      <c r="S11" s="47">
        <f>ROUND((ROUND((_11_A身体０．５*(1+_11・A深夜)),0)*_11・初任),0)+ROUND((_11_B身体０．５＿０．５*_11・初任),0)</f>
        <v>371</v>
      </c>
      <c r="T11" s="48"/>
    </row>
    <row r="12" spans="1:20" ht="16.5" customHeight="1" x14ac:dyDescent="0.15">
      <c r="A12" s="41">
        <v>11</v>
      </c>
      <c r="B12" s="41" t="s">
        <v>2233</v>
      </c>
      <c r="C12" s="74" t="s">
        <v>2234</v>
      </c>
      <c r="D12" s="121"/>
      <c r="E12" s="99"/>
      <c r="F12" s="121"/>
      <c r="G12" s="99"/>
      <c r="H12" s="43"/>
      <c r="I12" s="37"/>
      <c r="J12" s="38"/>
      <c r="K12" s="44" t="s">
        <v>397</v>
      </c>
      <c r="L12" s="45" t="s">
        <v>398</v>
      </c>
      <c r="M12" s="46">
        <v>1</v>
      </c>
      <c r="N12" s="35"/>
      <c r="P12" s="57"/>
      <c r="Q12" s="709"/>
      <c r="R12" s="704"/>
      <c r="S12" s="47">
        <f>ROUND((ROUND((ROUND((_11_A身体０．５*_11・２人),0)*(1+_11・A深夜)),0)*_11・初任),0)+ROUND((ROUND((_11_B身体０．５＿０．５*_11・２人),0)*_11・初任),0)</f>
        <v>371</v>
      </c>
      <c r="T12" s="48"/>
    </row>
    <row r="13" spans="1:20" ht="16.5" customHeight="1" x14ac:dyDescent="0.15">
      <c r="A13" s="41">
        <v>11</v>
      </c>
      <c r="B13" s="41" t="s">
        <v>2235</v>
      </c>
      <c r="C13" s="74" t="s">
        <v>2236</v>
      </c>
      <c r="D13" s="72"/>
      <c r="E13" s="99"/>
      <c r="F13" s="72"/>
      <c r="G13" s="99"/>
      <c r="H13" s="725" t="s">
        <v>400</v>
      </c>
      <c r="I13" s="49" t="s">
        <v>398</v>
      </c>
      <c r="J13" s="50">
        <v>0.7</v>
      </c>
      <c r="K13" s="44"/>
      <c r="L13" s="45"/>
      <c r="M13" s="46"/>
      <c r="N13" s="35"/>
      <c r="P13" s="57"/>
      <c r="Q13" s="709"/>
      <c r="R13" s="704"/>
      <c r="S13" s="47">
        <f>ROUND((ROUND((ROUND((_11_A身体０．５*_11・基礎１),0)*(1+_11・A深夜)),0)*_11・初任),0)+ROUND((ROUND((_11_B身体０．５＿０．５*_11・基礎１),0)*_11・初任),0)</f>
        <v>260</v>
      </c>
      <c r="T13" s="48"/>
    </row>
    <row r="14" spans="1:20" ht="16.5" customHeight="1" x14ac:dyDescent="0.15">
      <c r="A14" s="41">
        <v>11</v>
      </c>
      <c r="B14" s="41" t="s">
        <v>2237</v>
      </c>
      <c r="C14" s="74" t="s">
        <v>2238</v>
      </c>
      <c r="D14" s="72"/>
      <c r="E14" s="99"/>
      <c r="F14" s="72"/>
      <c r="G14" s="99"/>
      <c r="H14" s="711"/>
      <c r="I14" s="37"/>
      <c r="J14" s="38"/>
      <c r="K14" s="44" t="s">
        <v>397</v>
      </c>
      <c r="L14" s="45" t="s">
        <v>398</v>
      </c>
      <c r="M14" s="46">
        <v>1</v>
      </c>
      <c r="N14" s="35"/>
      <c r="P14" s="57"/>
      <c r="Q14" s="55" t="s">
        <v>398</v>
      </c>
      <c r="R14" s="38">
        <f>_11・初任</f>
        <v>0.7</v>
      </c>
      <c r="S14" s="47">
        <f>ROUND((ROUND((ROUND((ROUND((_11_A身体０．５*_11・基礎１),0)*_11・２人),0)*(1+_11・A深夜)),0)*_11・初任),0)+ROUND((ROUND((ROUND((_11_B身体０．５＿０．５*_11・基礎１),0)*_11・２人),0)*_11・初任),0)</f>
        <v>260</v>
      </c>
      <c r="T14" s="48"/>
    </row>
    <row r="15" spans="1:20" ht="16.5" customHeight="1" x14ac:dyDescent="0.15">
      <c r="A15" s="41">
        <v>11</v>
      </c>
      <c r="B15" s="41">
        <v>1687</v>
      </c>
      <c r="C15" s="74" t="s">
        <v>2239</v>
      </c>
      <c r="D15" s="72"/>
      <c r="E15" s="99"/>
      <c r="F15" s="707" t="s">
        <v>1304</v>
      </c>
      <c r="G15" s="717"/>
      <c r="H15" s="53"/>
      <c r="I15" s="49"/>
      <c r="J15" s="50"/>
      <c r="K15" s="44"/>
      <c r="L15" s="45"/>
      <c r="M15" s="46"/>
      <c r="N15" s="35"/>
      <c r="P15" s="57"/>
      <c r="Q15" s="53"/>
      <c r="R15" s="49"/>
      <c r="S15" s="47">
        <f>ROUND((_11_A身体０．５*(1+_11・A深夜)),0)+_11_B身体０．５＿１．０</f>
        <v>712</v>
      </c>
      <c r="T15" s="48"/>
    </row>
    <row r="16" spans="1:20" ht="16.5" customHeight="1" x14ac:dyDescent="0.15">
      <c r="A16" s="41">
        <v>11</v>
      </c>
      <c r="B16" s="41">
        <v>1688</v>
      </c>
      <c r="C16" s="74" t="s">
        <v>2240</v>
      </c>
      <c r="D16" s="72"/>
      <c r="E16" s="99"/>
      <c r="F16" s="709"/>
      <c r="G16" s="718"/>
      <c r="H16" s="43"/>
      <c r="I16" s="37"/>
      <c r="J16" s="38"/>
      <c r="K16" s="44" t="s">
        <v>397</v>
      </c>
      <c r="L16" s="45" t="s">
        <v>398</v>
      </c>
      <c r="M16" s="46">
        <v>1</v>
      </c>
      <c r="N16" s="35"/>
      <c r="P16" s="57"/>
      <c r="Q16" s="35"/>
      <c r="S16" s="47">
        <f>ROUND((ROUND((_11_A身体０．５*_11・２人),0)*(1+_11・A深夜)),0)+ROUND((_11_B身体０．５＿１．０*_11・２人),0)</f>
        <v>712</v>
      </c>
      <c r="T16" s="48"/>
    </row>
    <row r="17" spans="1:20" ht="16.5" customHeight="1" x14ac:dyDescent="0.15">
      <c r="A17" s="41">
        <v>11</v>
      </c>
      <c r="B17" s="41">
        <v>1689</v>
      </c>
      <c r="C17" s="74" t="s">
        <v>2241</v>
      </c>
      <c r="D17" s="72"/>
      <c r="E17" s="99"/>
      <c r="F17" s="709"/>
      <c r="G17" s="718"/>
      <c r="H17" s="725" t="s">
        <v>400</v>
      </c>
      <c r="I17" s="49" t="s">
        <v>398</v>
      </c>
      <c r="J17" s="50">
        <v>0.7</v>
      </c>
      <c r="K17" s="44"/>
      <c r="L17" s="45"/>
      <c r="M17" s="46"/>
      <c r="N17" s="35"/>
      <c r="P17" s="57"/>
      <c r="Q17" s="35"/>
      <c r="S17" s="47">
        <f>ROUND((ROUND((_11_A身体０．５*_11・基礎１),0)*(1+_11・A深夜)),0)+ROUND((_11_B身体０．５＿１．０*_11・基礎１),0)</f>
        <v>499</v>
      </c>
      <c r="T17" s="48"/>
    </row>
    <row r="18" spans="1:20" ht="16.5" customHeight="1" x14ac:dyDescent="0.15">
      <c r="A18" s="41">
        <v>11</v>
      </c>
      <c r="B18" s="41">
        <v>1690</v>
      </c>
      <c r="C18" s="74" t="s">
        <v>2242</v>
      </c>
      <c r="D18" s="72"/>
      <c r="E18" s="99"/>
      <c r="F18" s="100">
        <f>_11_B身体０．５＿１．０</f>
        <v>329</v>
      </c>
      <c r="G18" s="12" t="s">
        <v>392</v>
      </c>
      <c r="H18" s="711"/>
      <c r="I18" s="37"/>
      <c r="J18" s="38"/>
      <c r="K18" s="44" t="s">
        <v>397</v>
      </c>
      <c r="L18" s="45" t="s">
        <v>398</v>
      </c>
      <c r="M18" s="46">
        <v>1</v>
      </c>
      <c r="N18" s="35"/>
      <c r="P18" s="57"/>
      <c r="Q18" s="43"/>
      <c r="R18" s="37"/>
      <c r="S18" s="47">
        <f>ROUND((ROUND((ROUND((_11_A身体０．５*_11・基礎１),0)*_11・２人),0)*(1+_11・A深夜)),0)+ROUND((ROUND((_11_B身体０．５＿１．０*_11・基礎１),0)*_11・２人),0)</f>
        <v>499</v>
      </c>
      <c r="T18" s="48"/>
    </row>
    <row r="19" spans="1:20" ht="16.5" customHeight="1" x14ac:dyDescent="0.15">
      <c r="A19" s="41">
        <v>11</v>
      </c>
      <c r="B19" s="41" t="s">
        <v>2243</v>
      </c>
      <c r="C19" s="74" t="s">
        <v>2244</v>
      </c>
      <c r="D19" s="72"/>
      <c r="E19" s="99"/>
      <c r="F19" s="143"/>
      <c r="G19" s="99"/>
      <c r="H19" s="53"/>
      <c r="I19" s="49"/>
      <c r="J19" s="50"/>
      <c r="K19" s="44"/>
      <c r="L19" s="45"/>
      <c r="M19" s="46"/>
      <c r="N19" s="35"/>
      <c r="P19" s="57"/>
      <c r="Q19" s="707" t="s">
        <v>404</v>
      </c>
      <c r="R19" s="708"/>
      <c r="S19" s="47">
        <f>ROUND((ROUND((_11_A身体０．５*(1+_11・A深夜)),0)*_11・初任),0)+ROUND((_11_B身体０．５＿１．０*_11・初任),0)</f>
        <v>498</v>
      </c>
      <c r="T19" s="48"/>
    </row>
    <row r="20" spans="1:20" ht="16.5" customHeight="1" x14ac:dyDescent="0.15">
      <c r="A20" s="41">
        <v>11</v>
      </c>
      <c r="B20" s="41" t="s">
        <v>2245</v>
      </c>
      <c r="C20" s="74" t="s">
        <v>2246</v>
      </c>
      <c r="D20" s="72"/>
      <c r="E20" s="99"/>
      <c r="F20" s="143"/>
      <c r="G20" s="99"/>
      <c r="H20" s="43"/>
      <c r="I20" s="37"/>
      <c r="J20" s="38"/>
      <c r="K20" s="44" t="s">
        <v>397</v>
      </c>
      <c r="L20" s="45" t="s">
        <v>398</v>
      </c>
      <c r="M20" s="46">
        <v>1</v>
      </c>
      <c r="N20" s="35"/>
      <c r="P20" s="57"/>
      <c r="Q20" s="709"/>
      <c r="R20" s="704"/>
      <c r="S20" s="47">
        <f>ROUND((ROUND((ROUND((_11_A身体０．５*_11・２人),0)*(1+_11・A深夜)),0)*_11・初任),0)+ROUND((ROUND((_11_B身体０．５＿１．０*_11・２人),0)*_11・初任),0)</f>
        <v>498</v>
      </c>
      <c r="T20" s="48"/>
    </row>
    <row r="21" spans="1:20" ht="16.5" customHeight="1" x14ac:dyDescent="0.15">
      <c r="A21" s="41">
        <v>11</v>
      </c>
      <c r="B21" s="41" t="s">
        <v>2247</v>
      </c>
      <c r="C21" s="74" t="s">
        <v>2248</v>
      </c>
      <c r="D21" s="72"/>
      <c r="E21" s="99"/>
      <c r="F21" s="72"/>
      <c r="G21" s="99"/>
      <c r="H21" s="725" t="s">
        <v>400</v>
      </c>
      <c r="I21" s="49" t="s">
        <v>398</v>
      </c>
      <c r="J21" s="50">
        <v>0.7</v>
      </c>
      <c r="K21" s="44"/>
      <c r="L21" s="45"/>
      <c r="M21" s="46"/>
      <c r="N21" s="35"/>
      <c r="P21" s="57"/>
      <c r="Q21" s="709"/>
      <c r="R21" s="704"/>
      <c r="S21" s="47">
        <f>ROUND((ROUND((ROUND((_11_A身体０．５*_11・基礎１),0)*(1+_11・A深夜)),0)*_11・初任),0)+ROUND((ROUND((_11_B身体０．５＿１．０*_11・基礎１),0)*_11・初任),0)</f>
        <v>349</v>
      </c>
      <c r="T21" s="48"/>
    </row>
    <row r="22" spans="1:20" ht="16.5" customHeight="1" x14ac:dyDescent="0.15">
      <c r="A22" s="41">
        <v>11</v>
      </c>
      <c r="B22" s="41" t="s">
        <v>2249</v>
      </c>
      <c r="C22" s="74" t="s">
        <v>2250</v>
      </c>
      <c r="D22" s="72"/>
      <c r="E22" s="99"/>
      <c r="F22" s="72"/>
      <c r="G22" s="99"/>
      <c r="H22" s="711"/>
      <c r="I22" s="37"/>
      <c r="J22" s="38"/>
      <c r="K22" s="44" t="s">
        <v>397</v>
      </c>
      <c r="L22" s="45" t="s">
        <v>398</v>
      </c>
      <c r="M22" s="46">
        <v>1</v>
      </c>
      <c r="N22" s="35"/>
      <c r="P22" s="57"/>
      <c r="Q22" s="55" t="s">
        <v>398</v>
      </c>
      <c r="R22" s="38">
        <f>_11・初任</f>
        <v>0.7</v>
      </c>
      <c r="S22" s="47">
        <f>ROUND((ROUND((ROUND((ROUND((_11_A身体０．５*_11・基礎１),0)*_11・２人),0)*(1+_11・A深夜)),0)*_11・初任),0)+ROUND((ROUND((ROUND((_11_B身体０．５＿１．０*_11・基礎１),0)*_11・２人),0)*_11・初任),0)</f>
        <v>349</v>
      </c>
      <c r="T22" s="48"/>
    </row>
    <row r="23" spans="1:20" ht="16.5" customHeight="1" x14ac:dyDescent="0.15">
      <c r="A23" s="41">
        <v>11</v>
      </c>
      <c r="B23" s="41">
        <v>1691</v>
      </c>
      <c r="C23" s="74" t="s">
        <v>2251</v>
      </c>
      <c r="D23" s="72"/>
      <c r="E23" s="99"/>
      <c r="F23" s="707" t="s">
        <v>1317</v>
      </c>
      <c r="G23" s="717"/>
      <c r="H23" s="53"/>
      <c r="I23" s="49"/>
      <c r="J23" s="50"/>
      <c r="K23" s="44"/>
      <c r="L23" s="45"/>
      <c r="M23" s="46"/>
      <c r="N23" s="35"/>
      <c r="P23" s="57"/>
      <c r="Q23" s="53"/>
      <c r="R23" s="49"/>
      <c r="S23" s="47">
        <f>ROUND((_11_A身体０．５*(1+_11・A深夜)),0)+_11_B身体０．５＿１．５</f>
        <v>794</v>
      </c>
      <c r="T23" s="48"/>
    </row>
    <row r="24" spans="1:20" ht="16.5" customHeight="1" x14ac:dyDescent="0.15">
      <c r="A24" s="41">
        <v>11</v>
      </c>
      <c r="B24" s="41">
        <v>1692</v>
      </c>
      <c r="C24" s="74" t="s">
        <v>2252</v>
      </c>
      <c r="D24" s="72"/>
      <c r="E24" s="99"/>
      <c r="F24" s="709"/>
      <c r="G24" s="718"/>
      <c r="H24" s="43"/>
      <c r="I24" s="37"/>
      <c r="J24" s="38"/>
      <c r="K24" s="44" t="s">
        <v>397</v>
      </c>
      <c r="L24" s="45" t="s">
        <v>398</v>
      </c>
      <c r="M24" s="46">
        <v>1</v>
      </c>
      <c r="N24" s="35"/>
      <c r="P24" s="57"/>
      <c r="Q24" s="35"/>
      <c r="S24" s="47">
        <f>ROUND((ROUND((_11_A身体０．５*_11・２人),0)*(1+_11・A深夜)),0)+ROUND((_11_B身体０．５＿１．５*_11・２人),0)</f>
        <v>794</v>
      </c>
      <c r="T24" s="48"/>
    </row>
    <row r="25" spans="1:20" ht="16.5" customHeight="1" x14ac:dyDescent="0.15">
      <c r="A25" s="41">
        <v>11</v>
      </c>
      <c r="B25" s="41">
        <v>1693</v>
      </c>
      <c r="C25" s="74" t="s">
        <v>2253</v>
      </c>
      <c r="D25" s="72"/>
      <c r="E25" s="99"/>
      <c r="F25" s="709"/>
      <c r="G25" s="718"/>
      <c r="H25" s="725" t="s">
        <v>400</v>
      </c>
      <c r="I25" s="49" t="s">
        <v>398</v>
      </c>
      <c r="J25" s="50">
        <v>0.7</v>
      </c>
      <c r="K25" s="44"/>
      <c r="L25" s="45"/>
      <c r="M25" s="46"/>
      <c r="N25" s="35"/>
      <c r="P25" s="57"/>
      <c r="Q25" s="35"/>
      <c r="S25" s="47">
        <f>ROUND((ROUND((_11_A身体０．５*_11・基礎１),0)*(1+_11・A深夜)),0)+ROUND((_11_B身体０．５＿１．５*_11・基礎１),0)</f>
        <v>557</v>
      </c>
      <c r="T25" s="48"/>
    </row>
    <row r="26" spans="1:20" ht="16.5" customHeight="1" x14ac:dyDescent="0.15">
      <c r="A26" s="41">
        <v>11</v>
      </c>
      <c r="B26" s="41">
        <v>1694</v>
      </c>
      <c r="C26" s="74" t="s">
        <v>2254</v>
      </c>
      <c r="D26" s="72"/>
      <c r="E26" s="99"/>
      <c r="F26" s="100">
        <f>_11_B身体０．５＿１．５</f>
        <v>411</v>
      </c>
      <c r="G26" s="12" t="s">
        <v>392</v>
      </c>
      <c r="H26" s="711"/>
      <c r="I26" s="37"/>
      <c r="J26" s="38"/>
      <c r="K26" s="44" t="s">
        <v>397</v>
      </c>
      <c r="L26" s="45" t="s">
        <v>398</v>
      </c>
      <c r="M26" s="46">
        <v>1</v>
      </c>
      <c r="N26" s="35"/>
      <c r="P26" s="57"/>
      <c r="Q26" s="43"/>
      <c r="R26" s="37"/>
      <c r="S26" s="47">
        <f>ROUND((ROUND((ROUND((_11_A身体０．５*_11・基礎１),0)*_11・２人),0)*(1+_11・A深夜)),0)+ROUND((ROUND((_11_B身体０．５＿１．５*_11・基礎１),0)*_11・２人),0)</f>
        <v>557</v>
      </c>
      <c r="T26" s="48"/>
    </row>
    <row r="27" spans="1:20" ht="16.5" customHeight="1" x14ac:dyDescent="0.15">
      <c r="A27" s="41">
        <v>11</v>
      </c>
      <c r="B27" s="41" t="s">
        <v>2255</v>
      </c>
      <c r="C27" s="74" t="s">
        <v>2256</v>
      </c>
      <c r="D27" s="72"/>
      <c r="E27" s="99"/>
      <c r="F27" s="121"/>
      <c r="G27" s="99"/>
      <c r="H27" s="53"/>
      <c r="I27" s="49"/>
      <c r="J27" s="50"/>
      <c r="K27" s="44"/>
      <c r="L27" s="45"/>
      <c r="M27" s="46"/>
      <c r="N27" s="35"/>
      <c r="P27" s="57"/>
      <c r="Q27" s="707" t="s">
        <v>404</v>
      </c>
      <c r="R27" s="708"/>
      <c r="S27" s="47">
        <f>ROUND((ROUND((_11_A身体０．５*(1+_11・A深夜)),0)*_11・初任),0)+ROUND((_11_B身体０．５＿１．５*_11・初任),0)</f>
        <v>556</v>
      </c>
      <c r="T27" s="48"/>
    </row>
    <row r="28" spans="1:20" ht="16.5" customHeight="1" x14ac:dyDescent="0.15">
      <c r="A28" s="41">
        <v>11</v>
      </c>
      <c r="B28" s="41" t="s">
        <v>2257</v>
      </c>
      <c r="C28" s="74" t="s">
        <v>2258</v>
      </c>
      <c r="D28" s="72"/>
      <c r="E28" s="99"/>
      <c r="F28" s="121"/>
      <c r="G28" s="99"/>
      <c r="H28" s="43"/>
      <c r="I28" s="37"/>
      <c r="J28" s="38"/>
      <c r="K28" s="44" t="s">
        <v>397</v>
      </c>
      <c r="L28" s="45" t="s">
        <v>398</v>
      </c>
      <c r="M28" s="46">
        <v>1</v>
      </c>
      <c r="N28" s="35"/>
      <c r="P28" s="57"/>
      <c r="Q28" s="709"/>
      <c r="R28" s="704"/>
      <c r="S28" s="47">
        <f>ROUND((ROUND((ROUND((_11_A身体０．５*_11・２人),0)*(1+_11・A深夜)),0)*_11・初任),0)+ROUND((ROUND((_11_B身体０．５＿１．５*_11・２人),0)*_11・初任),0)</f>
        <v>556</v>
      </c>
      <c r="T28" s="48"/>
    </row>
    <row r="29" spans="1:20" ht="16.5" customHeight="1" x14ac:dyDescent="0.15">
      <c r="A29" s="41">
        <v>11</v>
      </c>
      <c r="B29" s="41" t="s">
        <v>2259</v>
      </c>
      <c r="C29" s="74" t="s">
        <v>2260</v>
      </c>
      <c r="D29" s="72"/>
      <c r="E29" s="99"/>
      <c r="F29" s="72"/>
      <c r="G29" s="99"/>
      <c r="H29" s="725" t="s">
        <v>400</v>
      </c>
      <c r="I29" s="49" t="s">
        <v>398</v>
      </c>
      <c r="J29" s="50">
        <v>0.7</v>
      </c>
      <c r="K29" s="44"/>
      <c r="L29" s="45"/>
      <c r="M29" s="46"/>
      <c r="N29" s="35"/>
      <c r="P29" s="57"/>
      <c r="Q29" s="709"/>
      <c r="R29" s="704"/>
      <c r="S29" s="47">
        <f>ROUND((ROUND((ROUND((_11_A身体０．５*_11・基礎１),0)*(1+_11・A深夜)),0)*_11・初任),0)+ROUND((ROUND((_11_B身体０．５＿１．５*_11・基礎１),0)*_11・初任),0)</f>
        <v>390</v>
      </c>
      <c r="T29" s="48"/>
    </row>
    <row r="30" spans="1:20" ht="16.5" customHeight="1" x14ac:dyDescent="0.15">
      <c r="A30" s="41">
        <v>11</v>
      </c>
      <c r="B30" s="41" t="s">
        <v>2261</v>
      </c>
      <c r="C30" s="74" t="s">
        <v>2262</v>
      </c>
      <c r="D30" s="72"/>
      <c r="E30" s="108"/>
      <c r="F30" s="72"/>
      <c r="G30" s="99"/>
      <c r="H30" s="711"/>
      <c r="I30" s="37"/>
      <c r="J30" s="38"/>
      <c r="K30" s="44" t="s">
        <v>397</v>
      </c>
      <c r="L30" s="45" t="s">
        <v>398</v>
      </c>
      <c r="M30" s="46">
        <v>1</v>
      </c>
      <c r="N30" s="35"/>
      <c r="P30" s="57"/>
      <c r="Q30" s="55" t="s">
        <v>398</v>
      </c>
      <c r="R30" s="38">
        <f>_11・初任</f>
        <v>0.7</v>
      </c>
      <c r="S30" s="47">
        <f>ROUND((ROUND((ROUND((ROUND((_11_A身体０．５*_11・基礎１),0)*_11・２人),0)*(1+_11・A深夜)),0)*_11・初任),0)+ROUND((ROUND((ROUND((_11_B身体０．５＿１．５*_11・基礎１),0)*_11・２人),0)*_11・初任),0)</f>
        <v>390</v>
      </c>
      <c r="T30" s="48"/>
    </row>
    <row r="31" spans="1:20" ht="16.5" customHeight="1" x14ac:dyDescent="0.15">
      <c r="A31" s="41">
        <v>11</v>
      </c>
      <c r="B31" s="41">
        <v>1695</v>
      </c>
      <c r="C31" s="74" t="s">
        <v>2263</v>
      </c>
      <c r="D31" s="132"/>
      <c r="E31" s="106"/>
      <c r="F31" s="707" t="s">
        <v>1266</v>
      </c>
      <c r="G31" s="717"/>
      <c r="H31" s="53"/>
      <c r="I31" s="49"/>
      <c r="J31" s="50"/>
      <c r="K31" s="44"/>
      <c r="L31" s="45"/>
      <c r="M31" s="46"/>
      <c r="N31" s="35"/>
      <c r="P31" s="57"/>
      <c r="Q31" s="53"/>
      <c r="R31" s="49"/>
      <c r="S31" s="47">
        <f>ROUND((_11_A身体０．５*(1+_11・A深夜)),0)+_11_B身体０．５＿２．０</f>
        <v>878</v>
      </c>
      <c r="T31" s="48"/>
    </row>
    <row r="32" spans="1:20" ht="16.5" customHeight="1" x14ac:dyDescent="0.15">
      <c r="A32" s="41">
        <v>11</v>
      </c>
      <c r="B32" s="41">
        <v>1696</v>
      </c>
      <c r="C32" s="74" t="s">
        <v>2264</v>
      </c>
      <c r="D32" s="132"/>
      <c r="E32" s="106"/>
      <c r="F32" s="709"/>
      <c r="G32" s="718"/>
      <c r="H32" s="43"/>
      <c r="I32" s="37"/>
      <c r="J32" s="38"/>
      <c r="K32" s="44" t="s">
        <v>397</v>
      </c>
      <c r="L32" s="45" t="s">
        <v>398</v>
      </c>
      <c r="M32" s="46">
        <v>1</v>
      </c>
      <c r="N32" s="35"/>
      <c r="P32" s="57"/>
      <c r="Q32" s="35"/>
      <c r="S32" s="47">
        <f>ROUND((ROUND((_11_A身体０．５*_11・２人),0)*(1+_11・A深夜)),0)+ROUND((_11_B身体０．５＿２．０*_11・２人),0)</f>
        <v>878</v>
      </c>
      <c r="T32" s="48"/>
    </row>
    <row r="33" spans="1:20" ht="16.5" customHeight="1" x14ac:dyDescent="0.15">
      <c r="A33" s="41">
        <v>11</v>
      </c>
      <c r="B33" s="41">
        <v>1697</v>
      </c>
      <c r="C33" s="74" t="s">
        <v>2265</v>
      </c>
      <c r="D33" s="132"/>
      <c r="E33" s="106"/>
      <c r="F33" s="709"/>
      <c r="G33" s="718"/>
      <c r="H33" s="725" t="s">
        <v>400</v>
      </c>
      <c r="I33" s="49" t="s">
        <v>398</v>
      </c>
      <c r="J33" s="50">
        <v>0.7</v>
      </c>
      <c r="K33" s="44"/>
      <c r="L33" s="45"/>
      <c r="M33" s="46"/>
      <c r="N33" s="35"/>
      <c r="P33" s="57"/>
      <c r="Q33" s="35"/>
      <c r="S33" s="47">
        <f>ROUND((ROUND((_11_A身体０．５*_11・基礎１),0)*(1+_11・A深夜)),0)+ROUND((_11_B身体０．５＿２．０*_11・基礎１),0)</f>
        <v>616</v>
      </c>
      <c r="T33" s="48"/>
    </row>
    <row r="34" spans="1:20" ht="16.5" customHeight="1" x14ac:dyDescent="0.15">
      <c r="A34" s="41">
        <v>11</v>
      </c>
      <c r="B34" s="41">
        <v>1698</v>
      </c>
      <c r="C34" s="74" t="s">
        <v>2266</v>
      </c>
      <c r="D34" s="141"/>
      <c r="E34" s="57"/>
      <c r="F34" s="100">
        <f>_11_B身体０．５＿２．０</f>
        <v>495</v>
      </c>
      <c r="G34" s="12" t="s">
        <v>392</v>
      </c>
      <c r="H34" s="711"/>
      <c r="I34" s="37"/>
      <c r="J34" s="38"/>
      <c r="K34" s="44" t="s">
        <v>397</v>
      </c>
      <c r="L34" s="45" t="s">
        <v>398</v>
      </c>
      <c r="M34" s="46">
        <v>1</v>
      </c>
      <c r="N34" s="35"/>
      <c r="P34" s="57"/>
      <c r="Q34" s="43"/>
      <c r="R34" s="37"/>
      <c r="S34" s="47">
        <f>ROUND((ROUND((ROUND((_11_A身体０．５*_11・基礎１),0)*_11・２人),0)*(1+_11・A深夜)),0)+ROUND((ROUND((_11_B身体０．５＿２．０*_11・基礎１),0)*_11・２人),0)</f>
        <v>616</v>
      </c>
      <c r="T34" s="48"/>
    </row>
    <row r="35" spans="1:20" ht="16.5" customHeight="1" x14ac:dyDescent="0.15">
      <c r="A35" s="41">
        <v>11</v>
      </c>
      <c r="B35" s="41" t="s">
        <v>2267</v>
      </c>
      <c r="C35" s="74" t="s">
        <v>2268</v>
      </c>
      <c r="D35" s="72"/>
      <c r="E35" s="108"/>
      <c r="F35" s="121"/>
      <c r="G35" s="99"/>
      <c r="H35" s="53"/>
      <c r="I35" s="49"/>
      <c r="J35" s="50"/>
      <c r="K35" s="44"/>
      <c r="L35" s="45"/>
      <c r="M35" s="46"/>
      <c r="N35" s="35"/>
      <c r="P35" s="57"/>
      <c r="Q35" s="707" t="s">
        <v>404</v>
      </c>
      <c r="R35" s="708"/>
      <c r="S35" s="47">
        <f>ROUND((ROUND((_11_A身体０．５*(1+_11・A深夜)),0)*_11・初任),0)+ROUND((_11_B身体０．５＿２．０*_11・初任),0)</f>
        <v>615</v>
      </c>
      <c r="T35" s="48"/>
    </row>
    <row r="36" spans="1:20" ht="16.5" customHeight="1" x14ac:dyDescent="0.15">
      <c r="A36" s="41">
        <v>11</v>
      </c>
      <c r="B36" s="41" t="s">
        <v>2269</v>
      </c>
      <c r="C36" s="74" t="s">
        <v>2270</v>
      </c>
      <c r="D36" s="72"/>
      <c r="E36" s="108"/>
      <c r="F36" s="121"/>
      <c r="G36" s="99"/>
      <c r="H36" s="43"/>
      <c r="I36" s="37"/>
      <c r="J36" s="38"/>
      <c r="K36" s="44" t="s">
        <v>397</v>
      </c>
      <c r="L36" s="45" t="s">
        <v>398</v>
      </c>
      <c r="M36" s="46">
        <v>1</v>
      </c>
      <c r="N36" s="35"/>
      <c r="P36" s="57"/>
      <c r="Q36" s="709"/>
      <c r="R36" s="704"/>
      <c r="S36" s="47">
        <f>ROUND((ROUND((ROUND((_11_A身体０．５*_11・２人),0)*(1+_11・A深夜)),0)*_11・初任),0)+ROUND((ROUND((_11_B身体０．５＿２．０*_11・２人),0)*_11・初任),0)</f>
        <v>615</v>
      </c>
      <c r="T36" s="48"/>
    </row>
    <row r="37" spans="1:20" ht="16.5" customHeight="1" x14ac:dyDescent="0.15">
      <c r="A37" s="41">
        <v>11</v>
      </c>
      <c r="B37" s="41" t="s">
        <v>2271</v>
      </c>
      <c r="C37" s="74" t="s">
        <v>2272</v>
      </c>
      <c r="D37" s="72"/>
      <c r="E37" s="99"/>
      <c r="F37" s="72"/>
      <c r="G37" s="99"/>
      <c r="H37" s="725" t="s">
        <v>400</v>
      </c>
      <c r="I37" s="49" t="s">
        <v>398</v>
      </c>
      <c r="J37" s="50">
        <v>0.7</v>
      </c>
      <c r="K37" s="44"/>
      <c r="L37" s="45"/>
      <c r="M37" s="46"/>
      <c r="N37" s="35"/>
      <c r="P37" s="57"/>
      <c r="Q37" s="709"/>
      <c r="R37" s="704"/>
      <c r="S37" s="47">
        <f>ROUND((ROUND((ROUND((_11_A身体０．５*_11・基礎１),0)*(1+_11・A深夜)),0)*_11・初任),0)+ROUND((ROUND((_11_B身体０．５＿２．０*_11・基礎１),0)*_11・初任),0)</f>
        <v>431</v>
      </c>
      <c r="T37" s="48"/>
    </row>
    <row r="38" spans="1:20" ht="16.5" customHeight="1" x14ac:dyDescent="0.15">
      <c r="A38" s="41">
        <v>11</v>
      </c>
      <c r="B38" s="41" t="s">
        <v>2273</v>
      </c>
      <c r="C38" s="74" t="s">
        <v>2274</v>
      </c>
      <c r="D38" s="72"/>
      <c r="E38" s="99"/>
      <c r="F38" s="72"/>
      <c r="G38" s="99"/>
      <c r="H38" s="711"/>
      <c r="I38" s="37"/>
      <c r="J38" s="38"/>
      <c r="K38" s="44" t="s">
        <v>397</v>
      </c>
      <c r="L38" s="45" t="s">
        <v>398</v>
      </c>
      <c r="M38" s="46">
        <v>1</v>
      </c>
      <c r="N38" s="35"/>
      <c r="P38" s="57"/>
      <c r="Q38" s="55" t="s">
        <v>398</v>
      </c>
      <c r="R38" s="38">
        <f>_11・初任</f>
        <v>0.7</v>
      </c>
      <c r="S38" s="47">
        <f>ROUND((ROUND((ROUND((ROUND((_11_A身体０．５*_11・基礎１),0)*_11・２人),0)*(1+_11・A深夜)),0)*_11・初任),0)+ROUND((ROUND((ROUND((_11_B身体０．５＿２．０*_11・基礎１),0)*_11・２人),0)*_11・初任),0)</f>
        <v>431</v>
      </c>
      <c r="T38" s="48"/>
    </row>
    <row r="39" spans="1:20" ht="16.5" customHeight="1" x14ac:dyDescent="0.15">
      <c r="A39" s="41">
        <v>11</v>
      </c>
      <c r="B39" s="41">
        <v>1699</v>
      </c>
      <c r="C39" s="74" t="s">
        <v>2275</v>
      </c>
      <c r="D39" s="72"/>
      <c r="E39" s="99"/>
      <c r="F39" s="707" t="s">
        <v>1279</v>
      </c>
      <c r="G39" s="717"/>
      <c r="H39" s="53"/>
      <c r="I39" s="49"/>
      <c r="J39" s="50"/>
      <c r="K39" s="44"/>
      <c r="L39" s="45"/>
      <c r="M39" s="46"/>
      <c r="N39" s="35"/>
      <c r="P39" s="57"/>
      <c r="Q39" s="53"/>
      <c r="R39" s="49"/>
      <c r="S39" s="47">
        <f>ROUND((_11_A身体０．５*(1+_11・A深夜)),0)+_11_B身体０．５＿２．５</f>
        <v>961</v>
      </c>
      <c r="T39" s="48"/>
    </row>
    <row r="40" spans="1:20" ht="16.5" customHeight="1" x14ac:dyDescent="0.15">
      <c r="A40" s="41">
        <v>11</v>
      </c>
      <c r="B40" s="41">
        <v>1700</v>
      </c>
      <c r="C40" s="74" t="s">
        <v>2276</v>
      </c>
      <c r="D40" s="72"/>
      <c r="E40" s="99"/>
      <c r="F40" s="709"/>
      <c r="G40" s="718"/>
      <c r="H40" s="43"/>
      <c r="I40" s="37"/>
      <c r="J40" s="38"/>
      <c r="K40" s="44" t="s">
        <v>397</v>
      </c>
      <c r="L40" s="45" t="s">
        <v>398</v>
      </c>
      <c r="M40" s="46">
        <v>1</v>
      </c>
      <c r="N40" s="35"/>
      <c r="P40" s="57"/>
      <c r="Q40" s="35"/>
      <c r="S40" s="47">
        <f>ROUND((ROUND((_11_A身体０．５*_11・２人),0)*(1+_11・A深夜)),0)+ROUND((_11_B身体０．５＿２．５*_11・２人),0)</f>
        <v>961</v>
      </c>
      <c r="T40" s="48"/>
    </row>
    <row r="41" spans="1:20" ht="16.5" customHeight="1" x14ac:dyDescent="0.15">
      <c r="A41" s="41">
        <v>11</v>
      </c>
      <c r="B41" s="41">
        <v>1701</v>
      </c>
      <c r="C41" s="74" t="s">
        <v>2277</v>
      </c>
      <c r="D41" s="72"/>
      <c r="E41" s="99"/>
      <c r="F41" s="709"/>
      <c r="G41" s="718"/>
      <c r="H41" s="725" t="s">
        <v>400</v>
      </c>
      <c r="I41" s="49" t="s">
        <v>398</v>
      </c>
      <c r="J41" s="50">
        <v>0.7</v>
      </c>
      <c r="K41" s="44"/>
      <c r="L41" s="45"/>
      <c r="M41" s="46"/>
      <c r="N41" s="35"/>
      <c r="P41" s="57"/>
      <c r="Q41" s="35"/>
      <c r="S41" s="47">
        <f>ROUND((ROUND((_11_A身体０．５*_11・基礎１),0)*(1+_11・A深夜)),0)+ROUND((_11_B身体０．５＿２．５*_11・基礎１),0)</f>
        <v>674</v>
      </c>
      <c r="T41" s="48"/>
    </row>
    <row r="42" spans="1:20" ht="16.5" customHeight="1" x14ac:dyDescent="0.15">
      <c r="A42" s="41">
        <v>11</v>
      </c>
      <c r="B42" s="41">
        <v>1702</v>
      </c>
      <c r="C42" s="74" t="s">
        <v>2278</v>
      </c>
      <c r="D42" s="72"/>
      <c r="E42" s="99"/>
      <c r="F42" s="100">
        <f>_11_B身体０．５＿２．５</f>
        <v>578</v>
      </c>
      <c r="G42" s="12" t="s">
        <v>392</v>
      </c>
      <c r="H42" s="711"/>
      <c r="I42" s="37"/>
      <c r="J42" s="38"/>
      <c r="K42" s="44" t="s">
        <v>397</v>
      </c>
      <c r="L42" s="45" t="s">
        <v>398</v>
      </c>
      <c r="M42" s="46">
        <v>1</v>
      </c>
      <c r="N42" s="35"/>
      <c r="P42" s="57"/>
      <c r="Q42" s="43"/>
      <c r="R42" s="37"/>
      <c r="S42" s="47">
        <f>ROUND((ROUND((ROUND((_11_A身体０．５*_11・基礎１),0)*_11・２人),0)*(1+_11・A深夜)),0)+ROUND((ROUND((_11_B身体０．５＿２．５*_11・基礎１),0)*_11・２人),0)</f>
        <v>674</v>
      </c>
      <c r="T42" s="48"/>
    </row>
    <row r="43" spans="1:20" ht="16.5" customHeight="1" x14ac:dyDescent="0.15">
      <c r="A43" s="41">
        <v>11</v>
      </c>
      <c r="B43" s="41" t="s">
        <v>2279</v>
      </c>
      <c r="C43" s="74" t="s">
        <v>2280</v>
      </c>
      <c r="D43" s="72"/>
      <c r="E43" s="99"/>
      <c r="F43" s="121"/>
      <c r="G43" s="99"/>
      <c r="H43" s="53"/>
      <c r="I43" s="49"/>
      <c r="J43" s="50"/>
      <c r="K43" s="44"/>
      <c r="L43" s="45"/>
      <c r="M43" s="46"/>
      <c r="N43" s="35"/>
      <c r="P43" s="57"/>
      <c r="Q43" s="707" t="s">
        <v>404</v>
      </c>
      <c r="R43" s="708"/>
      <c r="S43" s="47">
        <f>ROUND((ROUND((_11_A身体０．５*(1+_11・A深夜)),0)*_11・初任),0)+ROUND((_11_B身体０．５＿２．５*_11・初任),0)</f>
        <v>673</v>
      </c>
      <c r="T43" s="48"/>
    </row>
    <row r="44" spans="1:20" ht="16.5" customHeight="1" x14ac:dyDescent="0.15">
      <c r="A44" s="41">
        <v>11</v>
      </c>
      <c r="B44" s="41" t="s">
        <v>2281</v>
      </c>
      <c r="C44" s="74" t="s">
        <v>2282</v>
      </c>
      <c r="D44" s="72"/>
      <c r="E44" s="99"/>
      <c r="F44" s="121"/>
      <c r="G44" s="99"/>
      <c r="H44" s="43"/>
      <c r="I44" s="37"/>
      <c r="J44" s="38"/>
      <c r="K44" s="44" t="s">
        <v>397</v>
      </c>
      <c r="L44" s="45" t="s">
        <v>398</v>
      </c>
      <c r="M44" s="46">
        <v>1</v>
      </c>
      <c r="N44" s="35"/>
      <c r="P44" s="57"/>
      <c r="Q44" s="709"/>
      <c r="R44" s="704"/>
      <c r="S44" s="47">
        <f>ROUND((ROUND((ROUND((_11_A身体０．５*_11・２人),0)*(1+_11・A深夜)),0)*_11・初任),0)+ROUND((ROUND((_11_B身体０．５＿２．５*_11・２人),0)*_11・初任),0)</f>
        <v>673</v>
      </c>
      <c r="T44" s="48"/>
    </row>
    <row r="45" spans="1:20" ht="16.5" customHeight="1" x14ac:dyDescent="0.15">
      <c r="A45" s="41">
        <v>11</v>
      </c>
      <c r="B45" s="41" t="s">
        <v>2283</v>
      </c>
      <c r="C45" s="74" t="s">
        <v>2284</v>
      </c>
      <c r="D45" s="72"/>
      <c r="E45" s="99"/>
      <c r="F45" s="72"/>
      <c r="G45" s="99"/>
      <c r="H45" s="725" t="s">
        <v>400</v>
      </c>
      <c r="I45" s="49" t="s">
        <v>398</v>
      </c>
      <c r="J45" s="50">
        <v>0.7</v>
      </c>
      <c r="K45" s="44"/>
      <c r="L45" s="45"/>
      <c r="M45" s="46"/>
      <c r="N45" s="35"/>
      <c r="P45" s="57"/>
      <c r="Q45" s="709"/>
      <c r="R45" s="704"/>
      <c r="S45" s="47">
        <f>ROUND((ROUND((ROUND((_11_A身体０．５*_11・基礎１),0)*(1+_11・A深夜)),0)*_11・初任),0)+ROUND((ROUND((_11_B身体０．５＿２．５*_11・基礎１),0)*_11・初任),0)</f>
        <v>472</v>
      </c>
      <c r="T45" s="48"/>
    </row>
    <row r="46" spans="1:20" ht="16.5" customHeight="1" x14ac:dyDescent="0.15">
      <c r="A46" s="41">
        <v>11</v>
      </c>
      <c r="B46" s="41" t="s">
        <v>2285</v>
      </c>
      <c r="C46" s="74" t="s">
        <v>2286</v>
      </c>
      <c r="D46" s="72"/>
      <c r="E46" s="99"/>
      <c r="F46" s="72"/>
      <c r="G46" s="99"/>
      <c r="H46" s="711"/>
      <c r="I46" s="37"/>
      <c r="J46" s="38"/>
      <c r="K46" s="44" t="s">
        <v>397</v>
      </c>
      <c r="L46" s="45" t="s">
        <v>398</v>
      </c>
      <c r="M46" s="46">
        <v>1</v>
      </c>
      <c r="N46" s="35"/>
      <c r="P46" s="57"/>
      <c r="Q46" s="55" t="s">
        <v>398</v>
      </c>
      <c r="R46" s="38">
        <f>_11・初任</f>
        <v>0.7</v>
      </c>
      <c r="S46" s="47">
        <f>ROUND((ROUND((ROUND((ROUND((_11_A身体０．５*_11・基礎１),0)*_11・２人),0)*(1+_11・A深夜)),0)*_11・初任),0)+ROUND((ROUND((ROUND((_11_B身体０．５＿２．５*_11・基礎１),0)*_11・２人),0)*_11・初任),0)</f>
        <v>472</v>
      </c>
      <c r="T46" s="48"/>
    </row>
    <row r="47" spans="1:20" ht="16.5" customHeight="1" x14ac:dyDescent="0.15">
      <c r="A47" s="41">
        <v>11</v>
      </c>
      <c r="B47" s="41">
        <v>1703</v>
      </c>
      <c r="C47" s="74" t="s">
        <v>2287</v>
      </c>
      <c r="D47" s="707" t="s">
        <v>876</v>
      </c>
      <c r="E47" s="717"/>
      <c r="F47" s="707" t="s">
        <v>1226</v>
      </c>
      <c r="G47" s="717"/>
      <c r="H47" s="53"/>
      <c r="I47" s="49"/>
      <c r="J47" s="50"/>
      <c r="K47" s="44"/>
      <c r="L47" s="45"/>
      <c r="M47" s="46"/>
      <c r="N47" s="35"/>
      <c r="P47" s="57"/>
      <c r="Q47" s="53"/>
      <c r="R47" s="49"/>
      <c r="S47" s="47">
        <f>ROUND((_11_A身体１．０*(1+_11・A深夜)),0)+_11_B身体１．０＿０．５</f>
        <v>785</v>
      </c>
      <c r="T47" s="48"/>
    </row>
    <row r="48" spans="1:20" ht="16.5" customHeight="1" x14ac:dyDescent="0.15">
      <c r="A48" s="41">
        <v>11</v>
      </c>
      <c r="B48" s="41">
        <v>1704</v>
      </c>
      <c r="C48" s="74" t="s">
        <v>2288</v>
      </c>
      <c r="D48" s="709"/>
      <c r="E48" s="718"/>
      <c r="F48" s="709"/>
      <c r="G48" s="718"/>
      <c r="H48" s="43"/>
      <c r="I48" s="37"/>
      <c r="J48" s="38"/>
      <c r="K48" s="44" t="s">
        <v>397</v>
      </c>
      <c r="L48" s="45" t="s">
        <v>398</v>
      </c>
      <c r="M48" s="46">
        <v>1</v>
      </c>
      <c r="N48" s="35"/>
      <c r="P48" s="57"/>
      <c r="Q48" s="35"/>
      <c r="S48" s="47">
        <f>ROUND((ROUND((_11_A身体１．０*_11・２人),0)*(1+_11・A深夜)),0)+ROUND((_11_B身体１．０＿０．５*_11・２人),0)</f>
        <v>785</v>
      </c>
      <c r="T48" s="48"/>
    </row>
    <row r="49" spans="1:20" ht="16.5" customHeight="1" x14ac:dyDescent="0.15">
      <c r="A49" s="41">
        <v>11</v>
      </c>
      <c r="B49" s="41">
        <v>1705</v>
      </c>
      <c r="C49" s="74" t="s">
        <v>2289</v>
      </c>
      <c r="D49" s="709"/>
      <c r="E49" s="718"/>
      <c r="F49" s="709"/>
      <c r="G49" s="718"/>
      <c r="H49" s="725" t="s">
        <v>400</v>
      </c>
      <c r="I49" s="49" t="s">
        <v>398</v>
      </c>
      <c r="J49" s="50">
        <v>0.7</v>
      </c>
      <c r="K49" s="44"/>
      <c r="L49" s="45"/>
      <c r="M49" s="46"/>
      <c r="N49" s="35"/>
      <c r="P49" s="57"/>
      <c r="Q49" s="35"/>
      <c r="S49" s="47">
        <f>ROUND((ROUND((_11_A身体１．０*_11・基礎１),0)*(1+_11・A深夜)),0)+ROUND((_11_B身体１．０＿０．５*_11・基礎１),0)</f>
        <v>549</v>
      </c>
      <c r="T49" s="48"/>
    </row>
    <row r="50" spans="1:20" ht="16.5" customHeight="1" x14ac:dyDescent="0.15">
      <c r="A50" s="41">
        <v>11</v>
      </c>
      <c r="B50" s="41">
        <v>1706</v>
      </c>
      <c r="C50" s="74" t="s">
        <v>2290</v>
      </c>
      <c r="D50" s="100">
        <f>_11_A身体１．０</f>
        <v>402</v>
      </c>
      <c r="E50" s="12" t="s">
        <v>392</v>
      </c>
      <c r="F50" s="100">
        <f>_11_B身体１．０＿０．５</f>
        <v>182</v>
      </c>
      <c r="G50" s="12" t="s">
        <v>392</v>
      </c>
      <c r="H50" s="711"/>
      <c r="I50" s="37"/>
      <c r="J50" s="38"/>
      <c r="K50" s="44" t="s">
        <v>397</v>
      </c>
      <c r="L50" s="45" t="s">
        <v>398</v>
      </c>
      <c r="M50" s="46">
        <v>1</v>
      </c>
      <c r="N50" s="35"/>
      <c r="P50" s="57"/>
      <c r="Q50" s="43"/>
      <c r="R50" s="37"/>
      <c r="S50" s="47">
        <f>ROUND((ROUND((ROUND((_11_A身体１．０*_11・基礎１),0)*_11・２人),0)*(1+_11・A深夜)),0)+ROUND((ROUND((_11_B身体１．０＿０．５*_11・基礎１),0)*_11・２人),0)</f>
        <v>549</v>
      </c>
      <c r="T50" s="48"/>
    </row>
    <row r="51" spans="1:20" ht="16.5" customHeight="1" x14ac:dyDescent="0.15">
      <c r="A51" s="41">
        <v>11</v>
      </c>
      <c r="B51" s="41" t="s">
        <v>2291</v>
      </c>
      <c r="C51" s="74" t="s">
        <v>2292</v>
      </c>
      <c r="D51" s="121"/>
      <c r="E51" s="99"/>
      <c r="F51" s="121"/>
      <c r="G51" s="99"/>
      <c r="H51" s="53"/>
      <c r="I51" s="49"/>
      <c r="J51" s="50"/>
      <c r="K51" s="44"/>
      <c r="L51" s="45"/>
      <c r="M51" s="46"/>
      <c r="N51" s="35"/>
      <c r="P51" s="57"/>
      <c r="Q51" s="707" t="s">
        <v>404</v>
      </c>
      <c r="R51" s="708"/>
      <c r="S51" s="47">
        <f>ROUND((ROUND((_11_A身体１．０*(1+_11・A深夜)),0)*_11・初任),0)+ROUND((_11_B身体１．０＿０．５*_11・初任),0)</f>
        <v>549</v>
      </c>
      <c r="T51" s="48"/>
    </row>
    <row r="52" spans="1:20" ht="16.5" customHeight="1" x14ac:dyDescent="0.15">
      <c r="A52" s="41">
        <v>11</v>
      </c>
      <c r="B52" s="41" t="s">
        <v>2293</v>
      </c>
      <c r="C52" s="74" t="s">
        <v>2294</v>
      </c>
      <c r="D52" s="121"/>
      <c r="E52" s="99"/>
      <c r="F52" s="121"/>
      <c r="G52" s="99"/>
      <c r="H52" s="43"/>
      <c r="I52" s="37"/>
      <c r="J52" s="38"/>
      <c r="K52" s="44" t="s">
        <v>397</v>
      </c>
      <c r="L52" s="45" t="s">
        <v>398</v>
      </c>
      <c r="M52" s="46">
        <v>1</v>
      </c>
      <c r="N52" s="35"/>
      <c r="P52" s="57"/>
      <c r="Q52" s="709"/>
      <c r="R52" s="704"/>
      <c r="S52" s="47">
        <f>ROUND((ROUND((ROUND((_11_A身体１．０*_11・２人),0)*(1+_11・A深夜)),0)*_11・初任),0)+ROUND((ROUND((_11_B身体１．０＿０．５*_11・２人),0)*_11・初任),0)</f>
        <v>549</v>
      </c>
      <c r="T52" s="48"/>
    </row>
    <row r="53" spans="1:20" ht="16.5" customHeight="1" x14ac:dyDescent="0.15">
      <c r="A53" s="41">
        <v>11</v>
      </c>
      <c r="B53" s="41" t="s">
        <v>2295</v>
      </c>
      <c r="C53" s="74" t="s">
        <v>2296</v>
      </c>
      <c r="D53" s="72"/>
      <c r="E53" s="99"/>
      <c r="F53" s="72"/>
      <c r="G53" s="99"/>
      <c r="H53" s="725" t="s">
        <v>400</v>
      </c>
      <c r="I53" s="49" t="s">
        <v>398</v>
      </c>
      <c r="J53" s="50">
        <v>0.7</v>
      </c>
      <c r="K53" s="44"/>
      <c r="L53" s="45"/>
      <c r="M53" s="46"/>
      <c r="N53" s="35"/>
      <c r="P53" s="57"/>
      <c r="Q53" s="709"/>
      <c r="R53" s="704"/>
      <c r="S53" s="47">
        <f>ROUND((ROUND((ROUND((_11_A身体１．０*_11・基礎１),0)*(1+_11・A深夜)),0)*_11・初任),0)+ROUND((ROUND((_11_B身体１．０＿０．５*_11・基礎１),0)*_11・初任),0)</f>
        <v>384</v>
      </c>
      <c r="T53" s="48"/>
    </row>
    <row r="54" spans="1:20" ht="16.5" customHeight="1" x14ac:dyDescent="0.15">
      <c r="A54" s="41">
        <v>11</v>
      </c>
      <c r="B54" s="41" t="s">
        <v>2297</v>
      </c>
      <c r="C54" s="74" t="s">
        <v>2298</v>
      </c>
      <c r="D54" s="72"/>
      <c r="E54" s="99"/>
      <c r="F54" s="72"/>
      <c r="G54" s="99"/>
      <c r="H54" s="711"/>
      <c r="I54" s="37"/>
      <c r="J54" s="38"/>
      <c r="K54" s="44" t="s">
        <v>397</v>
      </c>
      <c r="L54" s="45" t="s">
        <v>398</v>
      </c>
      <c r="M54" s="46">
        <v>1</v>
      </c>
      <c r="N54" s="35"/>
      <c r="P54" s="57"/>
      <c r="Q54" s="55" t="s">
        <v>398</v>
      </c>
      <c r="R54" s="38">
        <f>_11・初任</f>
        <v>0.7</v>
      </c>
      <c r="S54" s="47">
        <f>ROUND((ROUND((ROUND((ROUND((_11_A身体１．０*_11・基礎１),0)*_11・２人),0)*(1+_11・A深夜)),0)*_11・初任),0)+ROUND((ROUND((ROUND((_11_B身体１．０＿０．５*_11・基礎１),0)*_11・２人),0)*_11・初任),0)</f>
        <v>384</v>
      </c>
      <c r="T54" s="48"/>
    </row>
    <row r="55" spans="1:20" ht="16.5" customHeight="1" x14ac:dyDescent="0.15">
      <c r="A55" s="41">
        <v>11</v>
      </c>
      <c r="B55" s="41">
        <v>1707</v>
      </c>
      <c r="C55" s="74" t="s">
        <v>2299</v>
      </c>
      <c r="D55" s="72"/>
      <c r="E55" s="99"/>
      <c r="F55" s="707" t="s">
        <v>1304</v>
      </c>
      <c r="G55" s="717"/>
      <c r="H55" s="53"/>
      <c r="I55" s="49"/>
      <c r="J55" s="50"/>
      <c r="K55" s="44"/>
      <c r="L55" s="45"/>
      <c r="M55" s="46"/>
      <c r="N55" s="35"/>
      <c r="P55" s="57"/>
      <c r="Q55" s="53"/>
      <c r="R55" s="49"/>
      <c r="S55" s="47">
        <f>ROUND((_11_A身体１．０*(1+_11・A深夜)),0)+_11_B身体１．０＿１．０</f>
        <v>867</v>
      </c>
      <c r="T55" s="48"/>
    </row>
    <row r="56" spans="1:20" ht="16.5" customHeight="1" x14ac:dyDescent="0.15">
      <c r="A56" s="41">
        <v>11</v>
      </c>
      <c r="B56" s="41">
        <v>1708</v>
      </c>
      <c r="C56" s="74" t="s">
        <v>2300</v>
      </c>
      <c r="D56" s="72"/>
      <c r="E56" s="99"/>
      <c r="F56" s="709"/>
      <c r="G56" s="718"/>
      <c r="H56" s="43"/>
      <c r="I56" s="37"/>
      <c r="J56" s="38"/>
      <c r="K56" s="44" t="s">
        <v>397</v>
      </c>
      <c r="L56" s="45" t="s">
        <v>398</v>
      </c>
      <c r="M56" s="46">
        <v>1</v>
      </c>
      <c r="N56" s="35"/>
      <c r="P56" s="57"/>
      <c r="Q56" s="35"/>
      <c r="S56" s="47">
        <f>ROUND((ROUND((_11_A身体１．０*_11・２人),0)*(1+_11・A深夜)),0)+ROUND((_11_B身体１．０＿１．０*_11・２人),0)</f>
        <v>867</v>
      </c>
      <c r="T56" s="48"/>
    </row>
    <row r="57" spans="1:20" ht="16.5" customHeight="1" x14ac:dyDescent="0.15">
      <c r="A57" s="41">
        <v>11</v>
      </c>
      <c r="B57" s="41">
        <v>1709</v>
      </c>
      <c r="C57" s="74" t="s">
        <v>2301</v>
      </c>
      <c r="D57" s="72"/>
      <c r="E57" s="99"/>
      <c r="F57" s="709"/>
      <c r="G57" s="718"/>
      <c r="H57" s="725" t="s">
        <v>400</v>
      </c>
      <c r="I57" s="49" t="s">
        <v>398</v>
      </c>
      <c r="J57" s="50">
        <v>0.7</v>
      </c>
      <c r="K57" s="44"/>
      <c r="L57" s="45"/>
      <c r="M57" s="46"/>
      <c r="N57" s="35"/>
      <c r="P57" s="57"/>
      <c r="Q57" s="35"/>
      <c r="S57" s="47">
        <f>ROUND((ROUND((_11_A身体１．０*_11・基礎１),0)*(1+_11・A深夜)),0)+ROUND((_11_B身体１．０＿１．０*_11・基礎１),0)</f>
        <v>607</v>
      </c>
      <c r="T57" s="48"/>
    </row>
    <row r="58" spans="1:20" ht="16.5" customHeight="1" x14ac:dyDescent="0.15">
      <c r="A58" s="41">
        <v>11</v>
      </c>
      <c r="B58" s="41">
        <v>1710</v>
      </c>
      <c r="C58" s="74" t="s">
        <v>2302</v>
      </c>
      <c r="D58" s="72"/>
      <c r="E58" s="99"/>
      <c r="F58" s="100">
        <f>_11_B身体１．０＿１．０</f>
        <v>264</v>
      </c>
      <c r="G58" s="12" t="s">
        <v>392</v>
      </c>
      <c r="H58" s="711"/>
      <c r="I58" s="37"/>
      <c r="J58" s="38"/>
      <c r="K58" s="44" t="s">
        <v>397</v>
      </c>
      <c r="L58" s="45" t="s">
        <v>398</v>
      </c>
      <c r="M58" s="46">
        <v>1</v>
      </c>
      <c r="N58" s="35"/>
      <c r="P58" s="57"/>
      <c r="Q58" s="43"/>
      <c r="R58" s="37"/>
      <c r="S58" s="47">
        <f>ROUND((ROUND((ROUND((_11_A身体１．０*_11・基礎１),0)*_11・２人),0)*(1+_11・A深夜)),0)+ROUND((ROUND((_11_B身体１．０＿１．０*_11・基礎１),0)*_11・２人),0)</f>
        <v>607</v>
      </c>
      <c r="T58" s="48"/>
    </row>
    <row r="59" spans="1:20" ht="16.5" customHeight="1" x14ac:dyDescent="0.15">
      <c r="A59" s="41">
        <v>11</v>
      </c>
      <c r="B59" s="41" t="s">
        <v>2303</v>
      </c>
      <c r="C59" s="74" t="s">
        <v>2304</v>
      </c>
      <c r="D59" s="72"/>
      <c r="E59" s="99"/>
      <c r="F59" s="121"/>
      <c r="G59" s="99"/>
      <c r="H59" s="53"/>
      <c r="I59" s="49"/>
      <c r="J59" s="50"/>
      <c r="K59" s="44"/>
      <c r="L59" s="45"/>
      <c r="M59" s="46"/>
      <c r="N59" s="35"/>
      <c r="P59" s="57"/>
      <c r="Q59" s="707" t="s">
        <v>404</v>
      </c>
      <c r="R59" s="708"/>
      <c r="S59" s="47">
        <f>ROUND((ROUND((_11_A身体１．０*(1+_11・A深夜)),0)*_11・初任),0)+ROUND((_11_B身体１．０＿１．０*_11・初任),0)</f>
        <v>607</v>
      </c>
      <c r="T59" s="48"/>
    </row>
    <row r="60" spans="1:20" ht="16.5" customHeight="1" x14ac:dyDescent="0.15">
      <c r="A60" s="41">
        <v>11</v>
      </c>
      <c r="B60" s="41" t="s">
        <v>2305</v>
      </c>
      <c r="C60" s="74" t="s">
        <v>2306</v>
      </c>
      <c r="D60" s="72"/>
      <c r="E60" s="99"/>
      <c r="F60" s="121"/>
      <c r="G60" s="99"/>
      <c r="H60" s="43"/>
      <c r="I60" s="37"/>
      <c r="J60" s="38"/>
      <c r="K60" s="44" t="s">
        <v>397</v>
      </c>
      <c r="L60" s="45" t="s">
        <v>398</v>
      </c>
      <c r="M60" s="46">
        <v>1</v>
      </c>
      <c r="N60" s="35"/>
      <c r="P60" s="57"/>
      <c r="Q60" s="709"/>
      <c r="R60" s="704"/>
      <c r="S60" s="47">
        <f>ROUND((ROUND((ROUND((_11_A身体１．０*_11・２人),0)*(1+_11・A深夜)),0)*_11・初任),0)+ROUND((ROUND((_11_B身体１．０＿１．０*_11・２人),0)*_11・初任),0)</f>
        <v>607</v>
      </c>
      <c r="T60" s="48"/>
    </row>
    <row r="61" spans="1:20" ht="16.5" customHeight="1" x14ac:dyDescent="0.15">
      <c r="A61" s="41">
        <v>11</v>
      </c>
      <c r="B61" s="41" t="s">
        <v>2307</v>
      </c>
      <c r="C61" s="74" t="s">
        <v>2308</v>
      </c>
      <c r="D61" s="72"/>
      <c r="E61" s="99"/>
      <c r="F61" s="72"/>
      <c r="G61" s="99"/>
      <c r="H61" s="725" t="s">
        <v>400</v>
      </c>
      <c r="I61" s="49" t="s">
        <v>398</v>
      </c>
      <c r="J61" s="50">
        <v>0.7</v>
      </c>
      <c r="K61" s="44"/>
      <c r="L61" s="45"/>
      <c r="M61" s="46"/>
      <c r="N61" s="35"/>
      <c r="P61" s="57"/>
      <c r="Q61" s="709"/>
      <c r="R61" s="704"/>
      <c r="S61" s="47">
        <f>ROUND((ROUND((ROUND((_11_A身体１．０*_11・基礎１),0)*(1+_11・A深夜)),0)*_11・初任),0)+ROUND((ROUND((_11_B身体１．０＿１．０*_11・基礎１),0)*_11・初任),0)</f>
        <v>425</v>
      </c>
      <c r="T61" s="48"/>
    </row>
    <row r="62" spans="1:20" ht="16.5" customHeight="1" x14ac:dyDescent="0.15">
      <c r="A62" s="41">
        <v>11</v>
      </c>
      <c r="B62" s="41" t="s">
        <v>2309</v>
      </c>
      <c r="C62" s="74" t="s">
        <v>2310</v>
      </c>
      <c r="D62" s="72"/>
      <c r="E62" s="99"/>
      <c r="F62" s="72"/>
      <c r="G62" s="99"/>
      <c r="H62" s="711"/>
      <c r="I62" s="37"/>
      <c r="J62" s="38"/>
      <c r="K62" s="44" t="s">
        <v>397</v>
      </c>
      <c r="L62" s="45" t="s">
        <v>398</v>
      </c>
      <c r="M62" s="46">
        <v>1</v>
      </c>
      <c r="N62" s="35"/>
      <c r="P62" s="57"/>
      <c r="Q62" s="55" t="s">
        <v>398</v>
      </c>
      <c r="R62" s="38">
        <f>_11・初任</f>
        <v>0.7</v>
      </c>
      <c r="S62" s="47">
        <f>ROUND((ROUND((ROUND((ROUND((_11_A身体１．０*_11・基礎１),0)*_11・２人),0)*(1+_11・A深夜)),0)*_11・初任),0)+ROUND((ROUND((ROUND((_11_B身体１．０＿１．０*_11・基礎１),0)*_11・２人),0)*_11・初任),0)</f>
        <v>425</v>
      </c>
      <c r="T62" s="48"/>
    </row>
    <row r="63" spans="1:20" ht="16.5" customHeight="1" x14ac:dyDescent="0.15">
      <c r="A63" s="41">
        <v>11</v>
      </c>
      <c r="B63" s="41">
        <v>1711</v>
      </c>
      <c r="C63" s="74" t="s">
        <v>2311</v>
      </c>
      <c r="D63" s="132"/>
      <c r="E63" s="106"/>
      <c r="F63" s="707" t="s">
        <v>1317</v>
      </c>
      <c r="G63" s="717"/>
      <c r="H63" s="53"/>
      <c r="I63" s="49"/>
      <c r="J63" s="50"/>
      <c r="K63" s="44"/>
      <c r="L63" s="45"/>
      <c r="M63" s="46"/>
      <c r="N63" s="35"/>
      <c r="P63" s="57"/>
      <c r="Q63" s="53"/>
      <c r="R63" s="49"/>
      <c r="S63" s="47">
        <f>ROUND((_11_A身体１．０*(1+_11・A深夜)),0)+_11_B身体１．０＿１．５</f>
        <v>951</v>
      </c>
      <c r="T63" s="48"/>
    </row>
    <row r="64" spans="1:20" ht="16.5" customHeight="1" x14ac:dyDescent="0.15">
      <c r="A64" s="41">
        <v>11</v>
      </c>
      <c r="B64" s="41">
        <v>1712</v>
      </c>
      <c r="C64" s="74" t="s">
        <v>2312</v>
      </c>
      <c r="D64" s="132"/>
      <c r="E64" s="106"/>
      <c r="F64" s="709"/>
      <c r="G64" s="718"/>
      <c r="H64" s="43"/>
      <c r="I64" s="37"/>
      <c r="J64" s="38"/>
      <c r="K64" s="44" t="s">
        <v>397</v>
      </c>
      <c r="L64" s="45" t="s">
        <v>398</v>
      </c>
      <c r="M64" s="46">
        <v>1</v>
      </c>
      <c r="N64" s="35"/>
      <c r="P64" s="57"/>
      <c r="Q64" s="35"/>
      <c r="S64" s="47">
        <f>ROUND((ROUND((_11_A身体１．０*_11・２人),0)*(1+_11・A深夜)),0)+ROUND((_11_B身体１．０＿１．５*_11・２人),0)</f>
        <v>951</v>
      </c>
      <c r="T64" s="48"/>
    </row>
    <row r="65" spans="1:20" ht="16.5" customHeight="1" x14ac:dyDescent="0.15">
      <c r="A65" s="41">
        <v>11</v>
      </c>
      <c r="B65" s="41">
        <v>1713</v>
      </c>
      <c r="C65" s="74" t="s">
        <v>2313</v>
      </c>
      <c r="D65" s="132"/>
      <c r="E65" s="106"/>
      <c r="F65" s="709"/>
      <c r="G65" s="718"/>
      <c r="H65" s="725" t="s">
        <v>400</v>
      </c>
      <c r="I65" s="49" t="s">
        <v>398</v>
      </c>
      <c r="J65" s="50">
        <v>0.7</v>
      </c>
      <c r="K65" s="44"/>
      <c r="L65" s="45"/>
      <c r="M65" s="46"/>
      <c r="N65" s="35"/>
      <c r="P65" s="57"/>
      <c r="Q65" s="35"/>
      <c r="S65" s="47">
        <f>ROUND((ROUND((_11_A身体１．０*_11・基礎１),0)*(1+_11・A深夜)),0)+ROUND((_11_B身体１．０＿１．５*_11・基礎１),0)</f>
        <v>666</v>
      </c>
      <c r="T65" s="48"/>
    </row>
    <row r="66" spans="1:20" ht="16.5" customHeight="1" x14ac:dyDescent="0.15">
      <c r="A66" s="41">
        <v>11</v>
      </c>
      <c r="B66" s="41">
        <v>1714</v>
      </c>
      <c r="C66" s="74" t="s">
        <v>2314</v>
      </c>
      <c r="D66" s="141"/>
      <c r="E66" s="57"/>
      <c r="F66" s="100">
        <f>_11_B身体１．０＿１．５</f>
        <v>348</v>
      </c>
      <c r="G66" s="12" t="s">
        <v>392</v>
      </c>
      <c r="H66" s="711"/>
      <c r="I66" s="37"/>
      <c r="J66" s="38"/>
      <c r="K66" s="44" t="s">
        <v>397</v>
      </c>
      <c r="L66" s="45" t="s">
        <v>398</v>
      </c>
      <c r="M66" s="46">
        <v>1</v>
      </c>
      <c r="N66" s="35"/>
      <c r="P66" s="57"/>
      <c r="Q66" s="43"/>
      <c r="R66" s="37"/>
      <c r="S66" s="47">
        <f>ROUND((ROUND((ROUND((_11_A身体１．０*_11・基礎１),0)*_11・２人),0)*(1+_11・A深夜)),0)+ROUND((ROUND((_11_B身体１．０＿１．５*_11・基礎１),0)*_11・２人),0)</f>
        <v>666</v>
      </c>
      <c r="T66" s="48"/>
    </row>
    <row r="67" spans="1:20" ht="16.5" customHeight="1" x14ac:dyDescent="0.15">
      <c r="A67" s="41">
        <v>11</v>
      </c>
      <c r="B67" s="41" t="s">
        <v>2315</v>
      </c>
      <c r="C67" s="74" t="s">
        <v>2316</v>
      </c>
      <c r="D67" s="72"/>
      <c r="E67" s="99"/>
      <c r="F67" s="121"/>
      <c r="G67" s="99"/>
      <c r="H67" s="53"/>
      <c r="I67" s="49"/>
      <c r="J67" s="50"/>
      <c r="K67" s="44"/>
      <c r="L67" s="45"/>
      <c r="M67" s="46"/>
      <c r="N67" s="35"/>
      <c r="P67" s="57"/>
      <c r="Q67" s="707" t="s">
        <v>404</v>
      </c>
      <c r="R67" s="708"/>
      <c r="S67" s="47">
        <f>ROUND((ROUND((_11_A身体１．０*(1+_11・A深夜)),0)*_11・初任),0)+ROUND((_11_B身体１．０＿１．５*_11・初任),0)</f>
        <v>666</v>
      </c>
      <c r="T67" s="48"/>
    </row>
    <row r="68" spans="1:20" ht="16.5" customHeight="1" x14ac:dyDescent="0.15">
      <c r="A68" s="41">
        <v>11</v>
      </c>
      <c r="B68" s="41" t="s">
        <v>2317</v>
      </c>
      <c r="C68" s="74" t="s">
        <v>2318</v>
      </c>
      <c r="D68" s="72"/>
      <c r="E68" s="99"/>
      <c r="F68" s="121"/>
      <c r="G68" s="99"/>
      <c r="H68" s="43"/>
      <c r="I68" s="37"/>
      <c r="J68" s="38"/>
      <c r="K68" s="44" t="s">
        <v>397</v>
      </c>
      <c r="L68" s="45" t="s">
        <v>398</v>
      </c>
      <c r="M68" s="46">
        <v>1</v>
      </c>
      <c r="N68" s="35"/>
      <c r="P68" s="57"/>
      <c r="Q68" s="709"/>
      <c r="R68" s="704"/>
      <c r="S68" s="47">
        <f>ROUND((ROUND((ROUND((_11_A身体１．０*_11・２人),0)*(1+_11・A深夜)),0)*_11・初任),0)+ROUND((ROUND((_11_B身体１．０＿１．５*_11・２人),0)*_11・初任),0)</f>
        <v>666</v>
      </c>
      <c r="T68" s="48"/>
    </row>
    <row r="69" spans="1:20" ht="16.5" customHeight="1" x14ac:dyDescent="0.15">
      <c r="A69" s="41">
        <v>11</v>
      </c>
      <c r="B69" s="41" t="s">
        <v>2319</v>
      </c>
      <c r="C69" s="74" t="s">
        <v>2320</v>
      </c>
      <c r="D69" s="72"/>
      <c r="E69" s="99"/>
      <c r="F69" s="72"/>
      <c r="G69" s="99"/>
      <c r="H69" s="725" t="s">
        <v>400</v>
      </c>
      <c r="I69" s="49" t="s">
        <v>398</v>
      </c>
      <c r="J69" s="50">
        <v>0.7</v>
      </c>
      <c r="K69" s="44"/>
      <c r="L69" s="45"/>
      <c r="M69" s="46"/>
      <c r="N69" s="35"/>
      <c r="P69" s="57"/>
      <c r="Q69" s="709"/>
      <c r="R69" s="704"/>
      <c r="S69" s="47">
        <f>ROUND((ROUND((ROUND((_11_A身体１．０*_11・基礎１),0)*(1+_11・A深夜)),0)*_11・初任),0)+ROUND((ROUND((_11_B身体１．０＿１．５*_11・基礎１),0)*_11・初任),0)</f>
        <v>466</v>
      </c>
      <c r="T69" s="48"/>
    </row>
    <row r="70" spans="1:20" ht="16.5" customHeight="1" x14ac:dyDescent="0.15">
      <c r="A70" s="41">
        <v>11</v>
      </c>
      <c r="B70" s="41" t="s">
        <v>2321</v>
      </c>
      <c r="C70" s="74" t="s">
        <v>2322</v>
      </c>
      <c r="D70" s="72"/>
      <c r="E70" s="99"/>
      <c r="F70" s="72"/>
      <c r="G70" s="99"/>
      <c r="H70" s="711"/>
      <c r="I70" s="37"/>
      <c r="J70" s="38"/>
      <c r="K70" s="44" t="s">
        <v>397</v>
      </c>
      <c r="L70" s="45" t="s">
        <v>398</v>
      </c>
      <c r="M70" s="46">
        <v>1</v>
      </c>
      <c r="N70" s="35"/>
      <c r="P70" s="57"/>
      <c r="Q70" s="55" t="s">
        <v>398</v>
      </c>
      <c r="R70" s="38">
        <f>_11・初任</f>
        <v>0.7</v>
      </c>
      <c r="S70" s="47">
        <f>ROUND((ROUND((ROUND((ROUND((_11_A身体１．０*_11・基礎１),0)*_11・２人),0)*(1+_11・A深夜)),0)*_11・初任),0)+ROUND((ROUND((ROUND((_11_B身体１．０＿１．５*_11・基礎１),0)*_11・２人),0)*_11・初任),0)</f>
        <v>466</v>
      </c>
      <c r="T70" s="48"/>
    </row>
    <row r="71" spans="1:20" ht="16.5" customHeight="1" x14ac:dyDescent="0.15">
      <c r="A71" s="41">
        <v>11</v>
      </c>
      <c r="B71" s="41">
        <v>1715</v>
      </c>
      <c r="C71" s="74" t="s">
        <v>2323</v>
      </c>
      <c r="D71" s="72"/>
      <c r="E71" s="99"/>
      <c r="F71" s="707" t="s">
        <v>1266</v>
      </c>
      <c r="G71" s="717"/>
      <c r="H71" s="53"/>
      <c r="I71" s="49"/>
      <c r="J71" s="50"/>
      <c r="K71" s="44"/>
      <c r="L71" s="45"/>
      <c r="M71" s="46"/>
      <c r="N71" s="35"/>
      <c r="P71" s="57"/>
      <c r="Q71" s="53"/>
      <c r="R71" s="49"/>
      <c r="S71" s="47">
        <f>ROUND((_11_A身体１．０*(1+_11・A深夜)),0)+_11_B身体１．０＿２．０</f>
        <v>1034</v>
      </c>
      <c r="T71" s="48"/>
    </row>
    <row r="72" spans="1:20" ht="16.5" customHeight="1" x14ac:dyDescent="0.15">
      <c r="A72" s="41">
        <v>11</v>
      </c>
      <c r="B72" s="41">
        <v>1716</v>
      </c>
      <c r="C72" s="74" t="s">
        <v>2324</v>
      </c>
      <c r="D72" s="72"/>
      <c r="E72" s="99"/>
      <c r="F72" s="709"/>
      <c r="G72" s="718"/>
      <c r="H72" s="43"/>
      <c r="I72" s="37"/>
      <c r="J72" s="38"/>
      <c r="K72" s="44" t="s">
        <v>397</v>
      </c>
      <c r="L72" s="45" t="s">
        <v>398</v>
      </c>
      <c r="M72" s="46">
        <v>1</v>
      </c>
      <c r="N72" s="35"/>
      <c r="P72" s="57"/>
      <c r="Q72" s="35"/>
      <c r="S72" s="47">
        <f>ROUND((ROUND((_11_A身体１．０*_11・２人),0)*(1+_11・A深夜)),0)+ROUND((_11_B身体１．０＿２．０*_11・２人),0)</f>
        <v>1034</v>
      </c>
      <c r="T72" s="48"/>
    </row>
    <row r="73" spans="1:20" ht="16.5" customHeight="1" x14ac:dyDescent="0.15">
      <c r="A73" s="41">
        <v>11</v>
      </c>
      <c r="B73" s="41">
        <v>1717</v>
      </c>
      <c r="C73" s="74" t="s">
        <v>2325</v>
      </c>
      <c r="D73" s="72"/>
      <c r="E73" s="99"/>
      <c r="F73" s="709"/>
      <c r="G73" s="718"/>
      <c r="H73" s="725" t="s">
        <v>400</v>
      </c>
      <c r="I73" s="49" t="s">
        <v>398</v>
      </c>
      <c r="J73" s="50">
        <v>0.7</v>
      </c>
      <c r="K73" s="44"/>
      <c r="L73" s="45"/>
      <c r="M73" s="46"/>
      <c r="N73" s="35"/>
      <c r="P73" s="57"/>
      <c r="Q73" s="35"/>
      <c r="S73" s="47">
        <f>ROUND((ROUND((_11_A身体１．０*_11・基礎１),0)*(1+_11・A深夜)),0)+ROUND((_11_B身体１．０＿２．０*_11・基礎１),0)</f>
        <v>724</v>
      </c>
      <c r="T73" s="48"/>
    </row>
    <row r="74" spans="1:20" ht="16.5" customHeight="1" x14ac:dyDescent="0.15">
      <c r="A74" s="41">
        <v>11</v>
      </c>
      <c r="B74" s="41">
        <v>1718</v>
      </c>
      <c r="C74" s="74" t="s">
        <v>2326</v>
      </c>
      <c r="D74" s="72"/>
      <c r="E74" s="99"/>
      <c r="F74" s="100">
        <f>_11_B身体１．０＿２．０</f>
        <v>431</v>
      </c>
      <c r="G74" s="12" t="s">
        <v>392</v>
      </c>
      <c r="H74" s="711"/>
      <c r="I74" s="37"/>
      <c r="J74" s="38"/>
      <c r="K74" s="44" t="s">
        <v>397</v>
      </c>
      <c r="L74" s="45" t="s">
        <v>398</v>
      </c>
      <c r="M74" s="46">
        <v>1</v>
      </c>
      <c r="N74" s="35"/>
      <c r="P74" s="57"/>
      <c r="Q74" s="43"/>
      <c r="R74" s="37"/>
      <c r="S74" s="47">
        <f>ROUND((ROUND((ROUND((_11_A身体１．０*_11・基礎１),0)*_11・２人),0)*(1+_11・A深夜)),0)+ROUND((ROUND((_11_B身体１．０＿２．０*_11・基礎１),0)*_11・２人),0)</f>
        <v>724</v>
      </c>
      <c r="T74" s="48"/>
    </row>
    <row r="75" spans="1:20" ht="16.5" customHeight="1" x14ac:dyDescent="0.15">
      <c r="A75" s="41">
        <v>11</v>
      </c>
      <c r="B75" s="41" t="s">
        <v>2327</v>
      </c>
      <c r="C75" s="74" t="s">
        <v>2328</v>
      </c>
      <c r="D75" s="72"/>
      <c r="E75" s="99"/>
      <c r="F75" s="121"/>
      <c r="G75" s="99"/>
      <c r="H75" s="53"/>
      <c r="I75" s="49"/>
      <c r="J75" s="50"/>
      <c r="K75" s="44"/>
      <c r="L75" s="45"/>
      <c r="M75" s="46"/>
      <c r="N75" s="35"/>
      <c r="P75" s="57"/>
      <c r="Q75" s="707" t="s">
        <v>404</v>
      </c>
      <c r="R75" s="708"/>
      <c r="S75" s="47">
        <f>ROUND((ROUND((_11_A身体１．０*(1+_11・A深夜)),0)*_11・初任),0)+ROUND((_11_B身体１．０＿２．０*_11・初任),0)</f>
        <v>724</v>
      </c>
      <c r="T75" s="48"/>
    </row>
    <row r="76" spans="1:20" ht="16.5" customHeight="1" x14ac:dyDescent="0.15">
      <c r="A76" s="41">
        <v>11</v>
      </c>
      <c r="B76" s="41" t="s">
        <v>2329</v>
      </c>
      <c r="C76" s="74" t="s">
        <v>2330</v>
      </c>
      <c r="D76" s="72"/>
      <c r="E76" s="99"/>
      <c r="F76" s="121"/>
      <c r="G76" s="99"/>
      <c r="H76" s="43"/>
      <c r="I76" s="37"/>
      <c r="J76" s="38"/>
      <c r="K76" s="44" t="s">
        <v>397</v>
      </c>
      <c r="L76" s="45" t="s">
        <v>398</v>
      </c>
      <c r="M76" s="46">
        <v>1</v>
      </c>
      <c r="N76" s="35"/>
      <c r="P76" s="57"/>
      <c r="Q76" s="709"/>
      <c r="R76" s="704"/>
      <c r="S76" s="47">
        <f>ROUND((ROUND((ROUND((_11_A身体１．０*_11・２人),0)*(1+_11・A深夜)),0)*_11・初任),0)+ROUND((ROUND((_11_B身体１．０＿２．０*_11・２人),0)*_11・初任),0)</f>
        <v>724</v>
      </c>
      <c r="T76" s="48"/>
    </row>
    <row r="77" spans="1:20" ht="16.5" customHeight="1" x14ac:dyDescent="0.15">
      <c r="A77" s="41">
        <v>11</v>
      </c>
      <c r="B77" s="41" t="s">
        <v>2331</v>
      </c>
      <c r="C77" s="74" t="s">
        <v>2332</v>
      </c>
      <c r="D77" s="72"/>
      <c r="E77" s="99"/>
      <c r="F77" s="72"/>
      <c r="G77" s="99"/>
      <c r="H77" s="725" t="s">
        <v>400</v>
      </c>
      <c r="I77" s="49" t="s">
        <v>398</v>
      </c>
      <c r="J77" s="50">
        <v>0.7</v>
      </c>
      <c r="K77" s="44"/>
      <c r="L77" s="45"/>
      <c r="M77" s="46"/>
      <c r="N77" s="35"/>
      <c r="P77" s="57"/>
      <c r="Q77" s="709"/>
      <c r="R77" s="704"/>
      <c r="S77" s="47">
        <f>ROUND((ROUND((ROUND((_11_A身体１．０*_11・基礎１),0)*(1+_11・A深夜)),0)*_11・初任),0)+ROUND((ROUND((_11_B身体１．０＿２．０*_11・基礎１),0)*_11・初任),0)</f>
        <v>506</v>
      </c>
      <c r="T77" s="48"/>
    </row>
    <row r="78" spans="1:20" ht="16.5" customHeight="1" x14ac:dyDescent="0.15">
      <c r="A78" s="41">
        <v>11</v>
      </c>
      <c r="B78" s="41" t="s">
        <v>2333</v>
      </c>
      <c r="C78" s="74" t="s">
        <v>2334</v>
      </c>
      <c r="D78" s="122"/>
      <c r="E78" s="111"/>
      <c r="F78" s="122"/>
      <c r="G78" s="113"/>
      <c r="H78" s="711"/>
      <c r="I78" s="37"/>
      <c r="J78" s="38"/>
      <c r="K78" s="44" t="s">
        <v>397</v>
      </c>
      <c r="L78" s="45" t="s">
        <v>398</v>
      </c>
      <c r="M78" s="46">
        <v>1</v>
      </c>
      <c r="N78" s="43"/>
      <c r="O78" s="38"/>
      <c r="P78" s="79"/>
      <c r="Q78" s="55" t="s">
        <v>398</v>
      </c>
      <c r="R78" s="38">
        <f>_11・初任</f>
        <v>0.7</v>
      </c>
      <c r="S78" s="47">
        <f>ROUND((ROUND((ROUND((ROUND((_11_A身体１．０*_11・基礎１),0)*_11・２人),0)*(1+_11・A深夜)),0)*_11・初任),0)+ROUND((ROUND((ROUND((_11_B身体１．０＿２．０*_11・基礎１),0)*_11・２人),0)*_11・初任),0)</f>
        <v>506</v>
      </c>
      <c r="T78" s="63"/>
    </row>
    <row r="79" spans="1:20" ht="16.5" customHeight="1" x14ac:dyDescent="0.15">
      <c r="A79" s="41">
        <v>11</v>
      </c>
      <c r="B79" s="41">
        <v>1719</v>
      </c>
      <c r="C79" s="74" t="s">
        <v>2335</v>
      </c>
      <c r="D79" s="707" t="s">
        <v>889</v>
      </c>
      <c r="E79" s="717"/>
      <c r="F79" s="707" t="s">
        <v>1226</v>
      </c>
      <c r="G79" s="717"/>
      <c r="H79" s="53"/>
      <c r="I79" s="49"/>
      <c r="J79" s="50"/>
      <c r="K79" s="44"/>
      <c r="L79" s="45"/>
      <c r="M79" s="46"/>
      <c r="N79" s="72" t="s">
        <v>1036</v>
      </c>
      <c r="P79" s="57"/>
      <c r="Q79" s="53"/>
      <c r="R79" s="49"/>
      <c r="S79" s="47">
        <f>ROUND((_11_A身体１．５*(1+_11・A深夜)),0)+_11_B身体１．５＿０．５</f>
        <v>958</v>
      </c>
      <c r="T79" s="48"/>
    </row>
    <row r="80" spans="1:20" ht="16.5" customHeight="1" x14ac:dyDescent="0.15">
      <c r="A80" s="41">
        <v>11</v>
      </c>
      <c r="B80" s="41">
        <v>1720</v>
      </c>
      <c r="C80" s="74" t="s">
        <v>2336</v>
      </c>
      <c r="D80" s="709"/>
      <c r="E80" s="718"/>
      <c r="F80" s="709"/>
      <c r="G80" s="718"/>
      <c r="H80" s="43"/>
      <c r="I80" s="37"/>
      <c r="J80" s="38"/>
      <c r="K80" s="44" t="s">
        <v>397</v>
      </c>
      <c r="L80" s="45" t="s">
        <v>398</v>
      </c>
      <c r="M80" s="46">
        <v>1</v>
      </c>
      <c r="N80" s="35" t="s">
        <v>398</v>
      </c>
      <c r="O80" s="13">
        <v>0.5</v>
      </c>
      <c r="P80" s="728" t="s">
        <v>676</v>
      </c>
      <c r="Q80" s="35"/>
      <c r="S80" s="47">
        <f>ROUND((ROUND((_11_A身体１．５*_11・２人),0)*(1+_11・A深夜)),0)+ROUND((_11_B身体１．５＿０．５*_11・２人),0)</f>
        <v>958</v>
      </c>
      <c r="T80" s="48"/>
    </row>
    <row r="81" spans="1:20" ht="16.5" customHeight="1" x14ac:dyDescent="0.15">
      <c r="A81" s="41">
        <v>11</v>
      </c>
      <c r="B81" s="41">
        <v>1721</v>
      </c>
      <c r="C81" s="74" t="s">
        <v>2337</v>
      </c>
      <c r="D81" s="709"/>
      <c r="E81" s="718"/>
      <c r="F81" s="709"/>
      <c r="G81" s="718"/>
      <c r="H81" s="725" t="s">
        <v>400</v>
      </c>
      <c r="I81" s="49" t="s">
        <v>398</v>
      </c>
      <c r="J81" s="50">
        <v>0.7</v>
      </c>
      <c r="K81" s="44"/>
      <c r="L81" s="45"/>
      <c r="M81" s="46"/>
      <c r="N81" s="35"/>
      <c r="P81" s="728"/>
      <c r="Q81" s="35"/>
      <c r="S81" s="47">
        <f>ROUND((ROUND((_11_A身体１．５*_11・基礎１),0)*(1+_11・A深夜)),0)+ROUND((_11_B身体１．５＿０．５*_11・基礎１),0)</f>
        <v>671</v>
      </c>
      <c r="T81" s="48"/>
    </row>
    <row r="82" spans="1:20" ht="16.5" customHeight="1" x14ac:dyDescent="0.15">
      <c r="A82" s="41">
        <v>11</v>
      </c>
      <c r="B82" s="41">
        <v>1722</v>
      </c>
      <c r="C82" s="74" t="s">
        <v>2338</v>
      </c>
      <c r="D82" s="100">
        <f>_11_A身体１．５</f>
        <v>584</v>
      </c>
      <c r="E82" s="12" t="s">
        <v>392</v>
      </c>
      <c r="F82" s="100">
        <f>_11_B身体１．５＿０．５</f>
        <v>82</v>
      </c>
      <c r="G82" s="12" t="s">
        <v>392</v>
      </c>
      <c r="H82" s="711"/>
      <c r="I82" s="37"/>
      <c r="J82" s="38"/>
      <c r="K82" s="44" t="s">
        <v>397</v>
      </c>
      <c r="L82" s="45" t="s">
        <v>398</v>
      </c>
      <c r="M82" s="46">
        <v>1</v>
      </c>
      <c r="N82" s="35"/>
      <c r="P82" s="57"/>
      <c r="Q82" s="43"/>
      <c r="R82" s="37"/>
      <c r="S82" s="47">
        <f>ROUND((ROUND((ROUND((_11_A身体１．５*_11・基礎１),0)*_11・２人),0)*(1+_11・A深夜)),0)+ROUND((ROUND((_11_B身体１．５＿０．５*_11・基礎１),0)*_11・２人),0)</f>
        <v>671</v>
      </c>
      <c r="T82" s="48"/>
    </row>
    <row r="83" spans="1:20" ht="16.5" customHeight="1" x14ac:dyDescent="0.15">
      <c r="A83" s="41">
        <v>11</v>
      </c>
      <c r="B83" s="41" t="s">
        <v>2339</v>
      </c>
      <c r="C83" s="74" t="s">
        <v>2340</v>
      </c>
      <c r="D83" s="121"/>
      <c r="E83" s="99"/>
      <c r="F83" s="121"/>
      <c r="G83" s="99"/>
      <c r="H83" s="53"/>
      <c r="I83" s="49"/>
      <c r="J83" s="50"/>
      <c r="K83" s="44"/>
      <c r="L83" s="45"/>
      <c r="M83" s="46"/>
      <c r="N83" s="35"/>
      <c r="P83" s="57"/>
      <c r="Q83" s="707" t="s">
        <v>404</v>
      </c>
      <c r="R83" s="708"/>
      <c r="S83" s="47">
        <f>ROUND((ROUND((_11_A身体１．５*(1+_11・A深夜)),0)*_11・初任),0)+ROUND((_11_B身体１．５＿０．５*_11・初任),0)</f>
        <v>670</v>
      </c>
      <c r="T83" s="48"/>
    </row>
    <row r="84" spans="1:20" ht="16.5" customHeight="1" x14ac:dyDescent="0.15">
      <c r="A84" s="41">
        <v>11</v>
      </c>
      <c r="B84" s="41" t="s">
        <v>2341</v>
      </c>
      <c r="C84" s="74" t="s">
        <v>2342</v>
      </c>
      <c r="D84" s="121"/>
      <c r="E84" s="99"/>
      <c r="F84" s="121"/>
      <c r="G84" s="99"/>
      <c r="H84" s="43"/>
      <c r="I84" s="37"/>
      <c r="J84" s="38"/>
      <c r="K84" s="44" t="s">
        <v>397</v>
      </c>
      <c r="L84" s="45" t="s">
        <v>398</v>
      </c>
      <c r="M84" s="46">
        <v>1</v>
      </c>
      <c r="N84" s="35"/>
      <c r="P84" s="57"/>
      <c r="Q84" s="709"/>
      <c r="R84" s="704"/>
      <c r="S84" s="47">
        <f>ROUND((ROUND((ROUND((_11_A身体１．５*_11・２人),0)*(1+_11・A深夜)),0)*_11・初任),0)+ROUND((ROUND((_11_B身体１．５＿０．５*_11・２人),0)*_11・初任),0)</f>
        <v>670</v>
      </c>
      <c r="T84" s="48"/>
    </row>
    <row r="85" spans="1:20" ht="16.5" customHeight="1" x14ac:dyDescent="0.15">
      <c r="A85" s="41">
        <v>11</v>
      </c>
      <c r="B85" s="41" t="s">
        <v>2343</v>
      </c>
      <c r="C85" s="74" t="s">
        <v>2344</v>
      </c>
      <c r="D85" s="72"/>
      <c r="E85" s="99"/>
      <c r="F85" s="72"/>
      <c r="G85" s="99"/>
      <c r="H85" s="725" t="s">
        <v>400</v>
      </c>
      <c r="I85" s="49" t="s">
        <v>398</v>
      </c>
      <c r="J85" s="50">
        <v>0.7</v>
      </c>
      <c r="K85" s="44"/>
      <c r="L85" s="45"/>
      <c r="M85" s="46"/>
      <c r="N85" s="35"/>
      <c r="P85" s="57"/>
      <c r="Q85" s="709"/>
      <c r="R85" s="704"/>
      <c r="S85" s="47">
        <f>ROUND((ROUND((ROUND((_11_A身体１．５*_11・基礎１),0)*(1+_11・A深夜)),0)*_11・初任),0)+ROUND((ROUND((_11_B身体１．５＿０．５*_11・基礎１),0)*_11・初任),0)</f>
        <v>470</v>
      </c>
      <c r="T85" s="48"/>
    </row>
    <row r="86" spans="1:20" ht="16.5" customHeight="1" x14ac:dyDescent="0.15">
      <c r="A86" s="41">
        <v>11</v>
      </c>
      <c r="B86" s="41" t="s">
        <v>2345</v>
      </c>
      <c r="C86" s="74" t="s">
        <v>2346</v>
      </c>
      <c r="D86" s="72"/>
      <c r="E86" s="108"/>
      <c r="F86" s="122"/>
      <c r="G86" s="111"/>
      <c r="H86" s="711"/>
      <c r="I86" s="37"/>
      <c r="J86" s="38"/>
      <c r="K86" s="44" t="s">
        <v>397</v>
      </c>
      <c r="L86" s="45" t="s">
        <v>398</v>
      </c>
      <c r="M86" s="46">
        <v>1</v>
      </c>
      <c r="N86" s="35"/>
      <c r="P86" s="57"/>
      <c r="Q86" s="55" t="s">
        <v>398</v>
      </c>
      <c r="R86" s="38">
        <f>_11・初任</f>
        <v>0.7</v>
      </c>
      <c r="S86" s="47">
        <f>ROUND((ROUND((ROUND((ROUND((_11_A身体１．５*_11・基礎１),0)*_11・２人),0)*(1+_11・A深夜)),0)*_11・初任),0)+ROUND((ROUND((ROUND((_11_B身体１．５＿０．５*_11・基礎１),0)*_11・２人),0)*_11・初任),0)</f>
        <v>470</v>
      </c>
      <c r="T86" s="48"/>
    </row>
    <row r="87" spans="1:20" ht="16.5" customHeight="1" x14ac:dyDescent="0.15">
      <c r="A87" s="33">
        <v>11</v>
      </c>
      <c r="B87" s="33">
        <v>1723</v>
      </c>
      <c r="C87" s="34" t="s">
        <v>2347</v>
      </c>
      <c r="D87" s="72"/>
      <c r="E87" s="108"/>
      <c r="F87" s="709" t="s">
        <v>1304</v>
      </c>
      <c r="G87" s="718"/>
      <c r="H87" s="35"/>
      <c r="K87" s="36"/>
      <c r="L87" s="37"/>
      <c r="M87" s="38"/>
      <c r="N87" s="35"/>
      <c r="P87" s="57"/>
      <c r="Q87" s="35"/>
      <c r="S87" s="39">
        <f>ROUND((_11_A身体１．５*(1+_11・A深夜)),0)+_11_B身体１．５＿１．０</f>
        <v>1042</v>
      </c>
      <c r="T87" s="48"/>
    </row>
    <row r="88" spans="1:20" ht="16.5" customHeight="1" x14ac:dyDescent="0.15">
      <c r="A88" s="41">
        <v>11</v>
      </c>
      <c r="B88" s="41">
        <v>1724</v>
      </c>
      <c r="C88" s="74" t="s">
        <v>2348</v>
      </c>
      <c r="D88" s="72"/>
      <c r="E88" s="108"/>
      <c r="F88" s="709"/>
      <c r="G88" s="718"/>
      <c r="H88" s="43"/>
      <c r="I88" s="37"/>
      <c r="J88" s="38"/>
      <c r="K88" s="44" t="s">
        <v>397</v>
      </c>
      <c r="L88" s="45" t="s">
        <v>398</v>
      </c>
      <c r="M88" s="46">
        <v>1</v>
      </c>
      <c r="N88" s="35"/>
      <c r="P88" s="57"/>
      <c r="Q88" s="35"/>
      <c r="S88" s="47">
        <f>ROUND((ROUND((_11_A身体１．５*_11・２人),0)*(1+_11・A深夜)),0)+ROUND((_11_B身体１．５＿１．０*_11・２人),0)</f>
        <v>1042</v>
      </c>
      <c r="T88" s="48"/>
    </row>
    <row r="89" spans="1:20" ht="16.5" customHeight="1" x14ac:dyDescent="0.15">
      <c r="A89" s="41">
        <v>11</v>
      </c>
      <c r="B89" s="41">
        <v>1725</v>
      </c>
      <c r="C89" s="74" t="s">
        <v>2349</v>
      </c>
      <c r="D89" s="72"/>
      <c r="E89" s="108"/>
      <c r="F89" s="709"/>
      <c r="G89" s="718"/>
      <c r="H89" s="725" t="s">
        <v>400</v>
      </c>
      <c r="I89" s="49" t="s">
        <v>398</v>
      </c>
      <c r="J89" s="50">
        <v>0.7</v>
      </c>
      <c r="K89" s="44"/>
      <c r="L89" s="45"/>
      <c r="M89" s="46"/>
      <c r="N89" s="35"/>
      <c r="P89" s="57"/>
      <c r="Q89" s="35"/>
      <c r="S89" s="47">
        <f>ROUND((ROUND((_11_A身体１．５*_11・基礎１),0)*(1+_11・A深夜)),0)+ROUND((_11_B身体１．５＿１．０*_11・基礎１),0)</f>
        <v>730</v>
      </c>
      <c r="T89" s="48"/>
    </row>
    <row r="90" spans="1:20" ht="16.5" customHeight="1" x14ac:dyDescent="0.15">
      <c r="A90" s="41">
        <v>11</v>
      </c>
      <c r="B90" s="41">
        <v>1726</v>
      </c>
      <c r="C90" s="74" t="s">
        <v>2350</v>
      </c>
      <c r="D90" s="72"/>
      <c r="E90" s="108"/>
      <c r="F90" s="100">
        <f>_11_B身体１．５＿１．０</f>
        <v>166</v>
      </c>
      <c r="G90" s="12" t="s">
        <v>392</v>
      </c>
      <c r="H90" s="711"/>
      <c r="I90" s="37"/>
      <c r="J90" s="38"/>
      <c r="K90" s="44" t="s">
        <v>397</v>
      </c>
      <c r="L90" s="45" t="s">
        <v>398</v>
      </c>
      <c r="M90" s="46">
        <v>1</v>
      </c>
      <c r="N90" s="35"/>
      <c r="P90" s="57"/>
      <c r="Q90" s="43"/>
      <c r="R90" s="37"/>
      <c r="S90" s="47">
        <f>ROUND((ROUND((ROUND((_11_A身体１．５*_11・基礎１),0)*_11・２人),0)*(1+_11・A深夜)),0)+ROUND((ROUND((_11_B身体１．５＿１．０*_11・基礎１),0)*_11・２人),0)</f>
        <v>730</v>
      </c>
      <c r="T90" s="48"/>
    </row>
    <row r="91" spans="1:20" ht="16.5" customHeight="1" x14ac:dyDescent="0.15">
      <c r="A91" s="41">
        <v>11</v>
      </c>
      <c r="B91" s="41" t="s">
        <v>2351</v>
      </c>
      <c r="C91" s="74" t="s">
        <v>2352</v>
      </c>
      <c r="D91" s="72"/>
      <c r="E91" s="108"/>
      <c r="F91" s="121"/>
      <c r="G91" s="99"/>
      <c r="H91" s="53"/>
      <c r="I91" s="49"/>
      <c r="J91" s="50"/>
      <c r="K91" s="44"/>
      <c r="L91" s="45"/>
      <c r="M91" s="46"/>
      <c r="N91" s="35"/>
      <c r="P91" s="57"/>
      <c r="Q91" s="707" t="s">
        <v>404</v>
      </c>
      <c r="R91" s="708"/>
      <c r="S91" s="47">
        <f>ROUND((ROUND((_11_A身体１．５*(1+_11・A深夜)),0)*_11・初任),0)+ROUND((_11_B身体１．５＿１．０*_11・初任),0)</f>
        <v>729</v>
      </c>
      <c r="T91" s="48"/>
    </row>
    <row r="92" spans="1:20" ht="16.5" customHeight="1" x14ac:dyDescent="0.15">
      <c r="A92" s="41">
        <v>11</v>
      </c>
      <c r="B92" s="41" t="s">
        <v>2353</v>
      </c>
      <c r="C92" s="74" t="s">
        <v>2354</v>
      </c>
      <c r="D92" s="72"/>
      <c r="E92" s="108"/>
      <c r="F92" s="121"/>
      <c r="G92" s="99"/>
      <c r="H92" s="43"/>
      <c r="I92" s="37"/>
      <c r="J92" s="38"/>
      <c r="K92" s="44" t="s">
        <v>397</v>
      </c>
      <c r="L92" s="45" t="s">
        <v>398</v>
      </c>
      <c r="M92" s="46">
        <v>1</v>
      </c>
      <c r="N92" s="35"/>
      <c r="P92" s="57"/>
      <c r="Q92" s="709"/>
      <c r="R92" s="704"/>
      <c r="S92" s="47">
        <f>ROUND((ROUND((ROUND((_11_A身体１．５*_11・２人),0)*(1+_11・A深夜)),0)*_11・初任),0)+ROUND((ROUND((_11_B身体１．５＿１．０*_11・２人),0)*_11・初任),0)</f>
        <v>729</v>
      </c>
      <c r="T92" s="48"/>
    </row>
    <row r="93" spans="1:20" ht="16.5" customHeight="1" x14ac:dyDescent="0.15">
      <c r="A93" s="41">
        <v>11</v>
      </c>
      <c r="B93" s="41" t="s">
        <v>2355</v>
      </c>
      <c r="C93" s="74" t="s">
        <v>2356</v>
      </c>
      <c r="D93" s="72"/>
      <c r="E93" s="108"/>
      <c r="F93" s="72"/>
      <c r="G93" s="99"/>
      <c r="H93" s="725" t="s">
        <v>400</v>
      </c>
      <c r="I93" s="49" t="s">
        <v>398</v>
      </c>
      <c r="J93" s="50">
        <v>0.7</v>
      </c>
      <c r="K93" s="44"/>
      <c r="L93" s="45"/>
      <c r="M93" s="46"/>
      <c r="N93" s="35"/>
      <c r="P93" s="57"/>
      <c r="Q93" s="709"/>
      <c r="R93" s="704"/>
      <c r="S93" s="47">
        <f>ROUND((ROUND((ROUND((_11_A身体１．５*_11・基礎１),0)*(1+_11・A深夜)),0)*_11・初任),0)+ROUND((ROUND((_11_B身体１．５＿１．０*_11・基礎１),0)*_11・初任),0)</f>
        <v>511</v>
      </c>
      <c r="T93" s="48"/>
    </row>
    <row r="94" spans="1:20" ht="16.5" customHeight="1" x14ac:dyDescent="0.15">
      <c r="A94" s="41">
        <v>11</v>
      </c>
      <c r="B94" s="41" t="s">
        <v>2357</v>
      </c>
      <c r="C94" s="74" t="s">
        <v>2358</v>
      </c>
      <c r="D94" s="72"/>
      <c r="E94" s="108"/>
      <c r="F94" s="72"/>
      <c r="G94" s="99"/>
      <c r="H94" s="711"/>
      <c r="I94" s="37"/>
      <c r="J94" s="38"/>
      <c r="K94" s="44" t="s">
        <v>397</v>
      </c>
      <c r="L94" s="45" t="s">
        <v>398</v>
      </c>
      <c r="M94" s="46">
        <v>1</v>
      </c>
      <c r="N94" s="35"/>
      <c r="P94" s="57"/>
      <c r="Q94" s="55" t="s">
        <v>398</v>
      </c>
      <c r="R94" s="38">
        <f>_11・初任</f>
        <v>0.7</v>
      </c>
      <c r="S94" s="47">
        <f>ROUND((ROUND((ROUND((ROUND((_11_A身体１．５*_11・基礎１),0)*_11・２人),0)*(1+_11・A深夜)),0)*_11・初任),0)+ROUND((ROUND((ROUND((_11_B身体１．５＿１．０*_11・基礎１),0)*_11・２人),0)*_11・初任),0)</f>
        <v>511</v>
      </c>
      <c r="T94" s="48"/>
    </row>
    <row r="95" spans="1:20" ht="16.5" customHeight="1" x14ac:dyDescent="0.15">
      <c r="A95" s="41">
        <v>11</v>
      </c>
      <c r="B95" s="41">
        <v>1727</v>
      </c>
      <c r="C95" s="74" t="s">
        <v>2359</v>
      </c>
      <c r="D95" s="132"/>
      <c r="E95" s="106"/>
      <c r="F95" s="707" t="s">
        <v>1317</v>
      </c>
      <c r="G95" s="717"/>
      <c r="H95" s="53"/>
      <c r="I95" s="49"/>
      <c r="J95" s="50"/>
      <c r="K95" s="44"/>
      <c r="L95" s="45"/>
      <c r="M95" s="46"/>
      <c r="N95" s="35"/>
      <c r="P95" s="57"/>
      <c r="Q95" s="53"/>
      <c r="R95" s="49"/>
      <c r="S95" s="47">
        <f>ROUND((_11_A身体１．５*(1+_11・A深夜)),0)+_11_B身体１．５＿１．５</f>
        <v>1125</v>
      </c>
      <c r="T95" s="48"/>
    </row>
    <row r="96" spans="1:20" ht="16.5" customHeight="1" x14ac:dyDescent="0.15">
      <c r="A96" s="41">
        <v>11</v>
      </c>
      <c r="B96" s="41">
        <v>1728</v>
      </c>
      <c r="C96" s="74" t="s">
        <v>2360</v>
      </c>
      <c r="D96" s="132"/>
      <c r="E96" s="106"/>
      <c r="F96" s="709"/>
      <c r="G96" s="718"/>
      <c r="H96" s="43"/>
      <c r="I96" s="37"/>
      <c r="J96" s="38"/>
      <c r="K96" s="44" t="s">
        <v>397</v>
      </c>
      <c r="L96" s="45" t="s">
        <v>398</v>
      </c>
      <c r="M96" s="46">
        <v>1</v>
      </c>
      <c r="N96" s="35"/>
      <c r="P96" s="57"/>
      <c r="Q96" s="35"/>
      <c r="S96" s="47">
        <f>ROUND((ROUND((_11_A身体１．５*_11・２人),0)*(1+_11・A深夜)),0)+ROUND((_11_B身体１．５＿１．５*_11・２人),0)</f>
        <v>1125</v>
      </c>
      <c r="T96" s="48"/>
    </row>
    <row r="97" spans="1:20" ht="16.5" customHeight="1" x14ac:dyDescent="0.15">
      <c r="A97" s="41">
        <v>11</v>
      </c>
      <c r="B97" s="41">
        <v>1729</v>
      </c>
      <c r="C97" s="74" t="s">
        <v>2361</v>
      </c>
      <c r="D97" s="132"/>
      <c r="E97" s="106"/>
      <c r="F97" s="709"/>
      <c r="G97" s="718"/>
      <c r="H97" s="725" t="s">
        <v>400</v>
      </c>
      <c r="I97" s="49" t="s">
        <v>398</v>
      </c>
      <c r="J97" s="50">
        <v>0.7</v>
      </c>
      <c r="K97" s="44"/>
      <c r="L97" s="45"/>
      <c r="M97" s="46"/>
      <c r="N97" s="35"/>
      <c r="P97" s="57"/>
      <c r="Q97" s="35"/>
      <c r="S97" s="47">
        <f>ROUND((ROUND((_11_A身体１．５*_11・基礎１),0)*(1+_11・A深夜)),0)+ROUND((_11_B身体１．５＿１．５*_11・基礎１),0)</f>
        <v>788</v>
      </c>
      <c r="T97" s="48"/>
    </row>
    <row r="98" spans="1:20" ht="16.5" customHeight="1" x14ac:dyDescent="0.15">
      <c r="A98" s="41">
        <v>11</v>
      </c>
      <c r="B98" s="41">
        <v>1730</v>
      </c>
      <c r="C98" s="74" t="s">
        <v>2362</v>
      </c>
      <c r="D98" s="141"/>
      <c r="E98" s="57"/>
      <c r="F98" s="100">
        <f>_11_B身体１．５＿１．５</f>
        <v>249</v>
      </c>
      <c r="G98" s="12" t="s">
        <v>392</v>
      </c>
      <c r="H98" s="711"/>
      <c r="I98" s="37"/>
      <c r="J98" s="38"/>
      <c r="K98" s="44" t="s">
        <v>397</v>
      </c>
      <c r="L98" s="45" t="s">
        <v>398</v>
      </c>
      <c r="M98" s="46">
        <v>1</v>
      </c>
      <c r="N98" s="35"/>
      <c r="P98" s="57"/>
      <c r="Q98" s="43"/>
      <c r="R98" s="37"/>
      <c r="S98" s="47">
        <f>ROUND((ROUND((ROUND((_11_A身体１．５*_11・基礎１),0)*_11・２人),0)*(1+_11・A深夜)),0)+ROUND((ROUND((_11_B身体１．５＿１．５*_11・基礎１),0)*_11・２人),0)</f>
        <v>788</v>
      </c>
      <c r="T98" s="48"/>
    </row>
    <row r="99" spans="1:20" ht="16.5" customHeight="1" x14ac:dyDescent="0.15">
      <c r="A99" s="41">
        <v>11</v>
      </c>
      <c r="B99" s="41" t="s">
        <v>2363</v>
      </c>
      <c r="C99" s="74" t="s">
        <v>2364</v>
      </c>
      <c r="D99" s="72"/>
      <c r="E99" s="108"/>
      <c r="F99" s="121"/>
      <c r="G99" s="99"/>
      <c r="H99" s="53"/>
      <c r="I99" s="49"/>
      <c r="J99" s="50"/>
      <c r="K99" s="44"/>
      <c r="L99" s="45"/>
      <c r="M99" s="46"/>
      <c r="N99" s="35"/>
      <c r="P99" s="57"/>
      <c r="Q99" s="707" t="s">
        <v>404</v>
      </c>
      <c r="R99" s="708"/>
      <c r="S99" s="47">
        <f>ROUND((ROUND((_11_A身体１．５*(1+_11・A深夜)),0)*_11・初任),0)+ROUND((_11_B身体１．５＿１．５*_11・初任),0)</f>
        <v>787</v>
      </c>
      <c r="T99" s="48"/>
    </row>
    <row r="100" spans="1:20" ht="16.5" customHeight="1" x14ac:dyDescent="0.15">
      <c r="A100" s="41">
        <v>11</v>
      </c>
      <c r="B100" s="41" t="s">
        <v>2365</v>
      </c>
      <c r="C100" s="74" t="s">
        <v>2366</v>
      </c>
      <c r="D100" s="72"/>
      <c r="E100" s="99"/>
      <c r="F100" s="121"/>
      <c r="G100" s="99"/>
      <c r="H100" s="43"/>
      <c r="I100" s="37"/>
      <c r="J100" s="38"/>
      <c r="K100" s="44" t="s">
        <v>397</v>
      </c>
      <c r="L100" s="45" t="s">
        <v>398</v>
      </c>
      <c r="M100" s="46">
        <v>1</v>
      </c>
      <c r="N100" s="35"/>
      <c r="P100" s="57"/>
      <c r="Q100" s="709"/>
      <c r="R100" s="704"/>
      <c r="S100" s="47">
        <f>ROUND((ROUND((ROUND((_11_A身体１．５*_11・２人),0)*(1+_11・A深夜)),0)*_11・初任),0)+ROUND((ROUND((_11_B身体１．５＿１．５*_11・２人),0)*_11・初任),0)</f>
        <v>787</v>
      </c>
      <c r="T100" s="48"/>
    </row>
    <row r="101" spans="1:20" ht="16.5" customHeight="1" x14ac:dyDescent="0.15">
      <c r="A101" s="41">
        <v>11</v>
      </c>
      <c r="B101" s="41" t="s">
        <v>2367</v>
      </c>
      <c r="C101" s="74" t="s">
        <v>2368</v>
      </c>
      <c r="D101" s="72"/>
      <c r="E101" s="99"/>
      <c r="F101" s="72"/>
      <c r="G101" s="99"/>
      <c r="H101" s="725" t="s">
        <v>400</v>
      </c>
      <c r="I101" s="49" t="s">
        <v>398</v>
      </c>
      <c r="J101" s="50">
        <v>0.7</v>
      </c>
      <c r="K101" s="44"/>
      <c r="L101" s="45"/>
      <c r="M101" s="46"/>
      <c r="N101" s="35"/>
      <c r="P101" s="57"/>
      <c r="Q101" s="709"/>
      <c r="R101" s="704"/>
      <c r="S101" s="47">
        <f>ROUND((ROUND((ROUND((_11_A身体１．５*_11・基礎１),0)*(1+_11・A深夜)),0)*_11・初任),0)+ROUND((ROUND((_11_B身体１．５＿１．５*_11・基礎１),0)*_11・初任),0)</f>
        <v>552</v>
      </c>
      <c r="T101" s="48"/>
    </row>
    <row r="102" spans="1:20" ht="16.5" customHeight="1" x14ac:dyDescent="0.15">
      <c r="A102" s="41">
        <v>11</v>
      </c>
      <c r="B102" s="41" t="s">
        <v>2369</v>
      </c>
      <c r="C102" s="74" t="s">
        <v>2370</v>
      </c>
      <c r="D102" s="72"/>
      <c r="E102" s="99"/>
      <c r="F102" s="72"/>
      <c r="G102" s="99"/>
      <c r="H102" s="711"/>
      <c r="I102" s="37"/>
      <c r="J102" s="38"/>
      <c r="K102" s="44" t="s">
        <v>397</v>
      </c>
      <c r="L102" s="45" t="s">
        <v>398</v>
      </c>
      <c r="M102" s="46">
        <v>1</v>
      </c>
      <c r="N102" s="35"/>
      <c r="P102" s="57"/>
      <c r="Q102" s="55" t="s">
        <v>398</v>
      </c>
      <c r="R102" s="38">
        <f>_11・初任</f>
        <v>0.7</v>
      </c>
      <c r="S102" s="47">
        <f>ROUND((ROUND((ROUND((ROUND((_11_A身体１．５*_11・基礎１),0)*_11・２人),0)*(1+_11・A深夜)),0)*_11・初任),0)+ROUND((ROUND((ROUND((_11_B身体１．５＿１．５*_11・基礎１),0)*_11・２人),0)*_11・初任),0)</f>
        <v>552</v>
      </c>
      <c r="T102" s="48"/>
    </row>
    <row r="103" spans="1:20" ht="16.5" customHeight="1" x14ac:dyDescent="0.15">
      <c r="A103" s="41">
        <v>11</v>
      </c>
      <c r="B103" s="41">
        <v>1731</v>
      </c>
      <c r="C103" s="74" t="s">
        <v>2371</v>
      </c>
      <c r="D103" s="707" t="s">
        <v>1188</v>
      </c>
      <c r="E103" s="717"/>
      <c r="F103" s="707" t="s">
        <v>1226</v>
      </c>
      <c r="G103" s="717"/>
      <c r="H103" s="53"/>
      <c r="I103" s="49"/>
      <c r="J103" s="50"/>
      <c r="K103" s="44"/>
      <c r="L103" s="45"/>
      <c r="M103" s="46"/>
      <c r="N103" s="35"/>
      <c r="P103" s="57"/>
      <c r="Q103" s="53"/>
      <c r="R103" s="49"/>
      <c r="S103" s="47">
        <f>ROUND((_11_A身体２．０*(1+_11・A深夜)),0)+_11_B身体２．０＿０．５</f>
        <v>1083</v>
      </c>
      <c r="T103" s="48"/>
    </row>
    <row r="104" spans="1:20" ht="16.5" customHeight="1" x14ac:dyDescent="0.15">
      <c r="A104" s="41">
        <v>11</v>
      </c>
      <c r="B104" s="41">
        <v>1732</v>
      </c>
      <c r="C104" s="74" t="s">
        <v>2372</v>
      </c>
      <c r="D104" s="709"/>
      <c r="E104" s="718"/>
      <c r="F104" s="709"/>
      <c r="G104" s="718"/>
      <c r="H104" s="43"/>
      <c r="I104" s="37"/>
      <c r="J104" s="38"/>
      <c r="K104" s="44" t="s">
        <v>397</v>
      </c>
      <c r="L104" s="45" t="s">
        <v>398</v>
      </c>
      <c r="M104" s="46">
        <v>1</v>
      </c>
      <c r="N104" s="35"/>
      <c r="P104" s="57"/>
      <c r="Q104" s="35"/>
      <c r="S104" s="47">
        <f>ROUND((ROUND((_11_A身体２．０*_11・２人),0)*(1+_11・A深夜)),0)+ROUND((_11_B身体２．０＿０．５*_11・２人),0)</f>
        <v>1083</v>
      </c>
      <c r="T104" s="48"/>
    </row>
    <row r="105" spans="1:20" ht="16.5" customHeight="1" x14ac:dyDescent="0.15">
      <c r="A105" s="41">
        <v>11</v>
      </c>
      <c r="B105" s="41">
        <v>1733</v>
      </c>
      <c r="C105" s="74" t="s">
        <v>2373</v>
      </c>
      <c r="D105" s="709"/>
      <c r="E105" s="718"/>
      <c r="F105" s="709"/>
      <c r="G105" s="718"/>
      <c r="H105" s="725" t="s">
        <v>400</v>
      </c>
      <c r="I105" s="49" t="s">
        <v>398</v>
      </c>
      <c r="J105" s="50">
        <v>0.7</v>
      </c>
      <c r="K105" s="44"/>
      <c r="L105" s="45"/>
      <c r="M105" s="46"/>
      <c r="N105" s="35"/>
      <c r="P105" s="57"/>
      <c r="Q105" s="35"/>
      <c r="S105" s="47">
        <f>ROUND((ROUND((_11_A身体２．０*_11・基礎１),0)*(1+_11・A深夜)),0)+ROUND((_11_B身体２．０＿０．５*_11・基礎１),0)</f>
        <v>758</v>
      </c>
      <c r="T105" s="48"/>
    </row>
    <row r="106" spans="1:20" ht="16.5" customHeight="1" x14ac:dyDescent="0.15">
      <c r="A106" s="41">
        <v>11</v>
      </c>
      <c r="B106" s="41">
        <v>1734</v>
      </c>
      <c r="C106" s="74" t="s">
        <v>2374</v>
      </c>
      <c r="D106" s="100">
        <f>_11_A身体２．０</f>
        <v>666</v>
      </c>
      <c r="E106" s="12" t="s">
        <v>392</v>
      </c>
      <c r="F106" s="100">
        <f>_11_B身体２．０＿０．５</f>
        <v>84</v>
      </c>
      <c r="G106" s="12" t="s">
        <v>392</v>
      </c>
      <c r="H106" s="711"/>
      <c r="I106" s="37"/>
      <c r="J106" s="38"/>
      <c r="K106" s="44" t="s">
        <v>397</v>
      </c>
      <c r="L106" s="45" t="s">
        <v>398</v>
      </c>
      <c r="M106" s="46">
        <v>1</v>
      </c>
      <c r="N106" s="35"/>
      <c r="P106" s="57"/>
      <c r="Q106" s="43"/>
      <c r="R106" s="37"/>
      <c r="S106" s="47">
        <f>ROUND((ROUND((ROUND((_11_A身体２．０*_11・基礎１),0)*_11・２人),0)*(1+_11・A深夜)),0)+ROUND((ROUND((_11_B身体２．０＿０．５*_11・基礎１),0)*_11・２人),0)</f>
        <v>758</v>
      </c>
      <c r="T106" s="48"/>
    </row>
    <row r="107" spans="1:20" ht="16.5" customHeight="1" x14ac:dyDescent="0.15">
      <c r="A107" s="41">
        <v>11</v>
      </c>
      <c r="B107" s="41" t="s">
        <v>2375</v>
      </c>
      <c r="C107" s="74" t="s">
        <v>2376</v>
      </c>
      <c r="D107" s="121"/>
      <c r="E107" s="99"/>
      <c r="F107" s="121"/>
      <c r="G107" s="99"/>
      <c r="H107" s="53"/>
      <c r="I107" s="49"/>
      <c r="J107" s="50"/>
      <c r="K107" s="44"/>
      <c r="L107" s="45"/>
      <c r="M107" s="46"/>
      <c r="N107" s="35"/>
      <c r="P107" s="57"/>
      <c r="Q107" s="707" t="s">
        <v>404</v>
      </c>
      <c r="R107" s="708"/>
      <c r="S107" s="47">
        <f>ROUND((ROUND((_11_A身体２．０*(1+_11・A深夜)),0)*_11・初任),0)+ROUND((_11_B身体２．０＿０．５*_11・初任),0)</f>
        <v>758</v>
      </c>
      <c r="T107" s="48"/>
    </row>
    <row r="108" spans="1:20" ht="16.5" customHeight="1" x14ac:dyDescent="0.15">
      <c r="A108" s="41">
        <v>11</v>
      </c>
      <c r="B108" s="41" t="s">
        <v>2377</v>
      </c>
      <c r="C108" s="74" t="s">
        <v>2378</v>
      </c>
      <c r="D108" s="121"/>
      <c r="E108" s="99"/>
      <c r="F108" s="121"/>
      <c r="G108" s="99"/>
      <c r="H108" s="43"/>
      <c r="I108" s="37"/>
      <c r="J108" s="38"/>
      <c r="K108" s="44" t="s">
        <v>397</v>
      </c>
      <c r="L108" s="45" t="s">
        <v>398</v>
      </c>
      <c r="M108" s="46">
        <v>1</v>
      </c>
      <c r="N108" s="35"/>
      <c r="P108" s="57"/>
      <c r="Q108" s="709"/>
      <c r="R108" s="704"/>
      <c r="S108" s="47">
        <f>ROUND((ROUND((ROUND((_11_A身体２．０*_11・２人),0)*(1+_11・A深夜)),0)*_11・初任),0)+ROUND((ROUND((_11_B身体２．０＿０．５*_11・２人),0)*_11・初任),0)</f>
        <v>758</v>
      </c>
      <c r="T108" s="48"/>
    </row>
    <row r="109" spans="1:20" ht="16.5" customHeight="1" x14ac:dyDescent="0.15">
      <c r="A109" s="41">
        <v>11</v>
      </c>
      <c r="B109" s="41" t="s">
        <v>2379</v>
      </c>
      <c r="C109" s="74" t="s">
        <v>2380</v>
      </c>
      <c r="D109" s="72"/>
      <c r="E109" s="99"/>
      <c r="F109" s="72"/>
      <c r="G109" s="99"/>
      <c r="H109" s="725" t="s">
        <v>400</v>
      </c>
      <c r="I109" s="49" t="s">
        <v>398</v>
      </c>
      <c r="J109" s="50">
        <v>0.7</v>
      </c>
      <c r="K109" s="44"/>
      <c r="L109" s="45"/>
      <c r="M109" s="46"/>
      <c r="N109" s="35"/>
      <c r="P109" s="57"/>
      <c r="Q109" s="709"/>
      <c r="R109" s="704"/>
      <c r="S109" s="47">
        <f>ROUND((ROUND((ROUND((_11_A身体２．０*_11・基礎１),0)*(1+_11・A深夜)),0)*_11・初任),0)+ROUND((ROUND((_11_B身体２．０＿０．５*_11・基礎１),0)*_11・初任),0)</f>
        <v>530</v>
      </c>
      <c r="T109" s="48"/>
    </row>
    <row r="110" spans="1:20" ht="16.5" customHeight="1" x14ac:dyDescent="0.15">
      <c r="A110" s="41">
        <v>11</v>
      </c>
      <c r="B110" s="41" t="s">
        <v>2381</v>
      </c>
      <c r="C110" s="74" t="s">
        <v>2382</v>
      </c>
      <c r="D110" s="72"/>
      <c r="E110" s="99"/>
      <c r="F110" s="72"/>
      <c r="G110" s="99"/>
      <c r="H110" s="711"/>
      <c r="I110" s="37"/>
      <c r="J110" s="38"/>
      <c r="K110" s="44" t="s">
        <v>397</v>
      </c>
      <c r="L110" s="45" t="s">
        <v>398</v>
      </c>
      <c r="M110" s="46">
        <v>1</v>
      </c>
      <c r="N110" s="35"/>
      <c r="P110" s="57"/>
      <c r="Q110" s="55" t="s">
        <v>398</v>
      </c>
      <c r="R110" s="38">
        <f>_11・初任</f>
        <v>0.7</v>
      </c>
      <c r="S110" s="47">
        <f>ROUND((ROUND((ROUND((ROUND((_11_A身体２．０*_11・基礎１),0)*_11・２人),0)*(1+_11・A深夜)),0)*_11・初任),0)+ROUND((ROUND((ROUND((_11_B身体２．０＿０．５*_11・基礎１),0)*_11・２人),0)*_11・初任),0)</f>
        <v>530</v>
      </c>
      <c r="T110" s="48"/>
    </row>
    <row r="111" spans="1:20" ht="16.5" customHeight="1" x14ac:dyDescent="0.15">
      <c r="A111" s="41">
        <v>11</v>
      </c>
      <c r="B111" s="41">
        <v>1735</v>
      </c>
      <c r="C111" s="74" t="s">
        <v>2383</v>
      </c>
      <c r="D111" s="72"/>
      <c r="E111" s="99"/>
      <c r="F111" s="707" t="s">
        <v>1304</v>
      </c>
      <c r="G111" s="717"/>
      <c r="H111" s="53"/>
      <c r="I111" s="49"/>
      <c r="J111" s="50"/>
      <c r="K111" s="44"/>
      <c r="L111" s="45"/>
      <c r="M111" s="46"/>
      <c r="N111" s="35"/>
      <c r="P111" s="57"/>
      <c r="Q111" s="53"/>
      <c r="R111" s="49"/>
      <c r="S111" s="47">
        <f>ROUND((_11_A身体２．０*(1+_11・A深夜)),0)+_11_B身体２．０＿１．０</f>
        <v>1166</v>
      </c>
      <c r="T111" s="48"/>
    </row>
    <row r="112" spans="1:20" ht="16.5" customHeight="1" x14ac:dyDescent="0.15">
      <c r="A112" s="41">
        <v>11</v>
      </c>
      <c r="B112" s="41">
        <v>1736</v>
      </c>
      <c r="C112" s="74" t="s">
        <v>2384</v>
      </c>
      <c r="D112" s="72"/>
      <c r="E112" s="99"/>
      <c r="F112" s="709"/>
      <c r="G112" s="718"/>
      <c r="H112" s="43"/>
      <c r="I112" s="37"/>
      <c r="J112" s="38"/>
      <c r="K112" s="44" t="s">
        <v>397</v>
      </c>
      <c r="L112" s="45" t="s">
        <v>398</v>
      </c>
      <c r="M112" s="46">
        <v>1</v>
      </c>
      <c r="N112" s="35"/>
      <c r="P112" s="57"/>
      <c r="Q112" s="35"/>
      <c r="S112" s="47">
        <f>ROUND((ROUND((_11_A身体２．０*_11・２人),0)*(1+_11・A深夜)),0)+ROUND((_11_B身体２．０＿１．０*_11・２人),0)</f>
        <v>1166</v>
      </c>
      <c r="T112" s="48"/>
    </row>
    <row r="113" spans="1:20" ht="16.5" customHeight="1" x14ac:dyDescent="0.15">
      <c r="A113" s="41">
        <v>11</v>
      </c>
      <c r="B113" s="41">
        <v>1737</v>
      </c>
      <c r="C113" s="74" t="s">
        <v>2385</v>
      </c>
      <c r="D113" s="72"/>
      <c r="E113" s="99"/>
      <c r="F113" s="709"/>
      <c r="G113" s="718"/>
      <c r="H113" s="725" t="s">
        <v>400</v>
      </c>
      <c r="I113" s="49" t="s">
        <v>398</v>
      </c>
      <c r="J113" s="50">
        <v>0.7</v>
      </c>
      <c r="K113" s="44"/>
      <c r="L113" s="45"/>
      <c r="M113" s="46"/>
      <c r="N113" s="35"/>
      <c r="P113" s="57"/>
      <c r="Q113" s="35"/>
      <c r="S113" s="47">
        <f>ROUND((ROUND((_11_A身体２．０*_11・基礎１),0)*(1+_11・A深夜)),0)+ROUND((_11_B身体２．０＿１．０*_11・基礎１),0)</f>
        <v>816</v>
      </c>
      <c r="T113" s="48"/>
    </row>
    <row r="114" spans="1:20" ht="16.5" customHeight="1" x14ac:dyDescent="0.15">
      <c r="A114" s="41">
        <v>11</v>
      </c>
      <c r="B114" s="41">
        <v>1738</v>
      </c>
      <c r="C114" s="74" t="s">
        <v>2386</v>
      </c>
      <c r="D114" s="72"/>
      <c r="E114" s="99"/>
      <c r="F114" s="100">
        <f>_11_B身体２．０＿１．０</f>
        <v>167</v>
      </c>
      <c r="G114" s="12" t="s">
        <v>392</v>
      </c>
      <c r="H114" s="711"/>
      <c r="I114" s="37"/>
      <c r="J114" s="38"/>
      <c r="K114" s="44" t="s">
        <v>397</v>
      </c>
      <c r="L114" s="45" t="s">
        <v>398</v>
      </c>
      <c r="M114" s="46">
        <v>1</v>
      </c>
      <c r="N114" s="35"/>
      <c r="P114" s="57"/>
      <c r="Q114" s="43"/>
      <c r="R114" s="37"/>
      <c r="S114" s="47">
        <f>ROUND((ROUND((ROUND((_11_A身体２．０*_11・基礎１),0)*_11・２人),0)*(1+_11・A深夜)),0)+ROUND((ROUND((_11_B身体２．０＿１．０*_11・基礎１),0)*_11・２人),0)</f>
        <v>816</v>
      </c>
      <c r="T114" s="48"/>
    </row>
    <row r="115" spans="1:20" ht="16.5" customHeight="1" x14ac:dyDescent="0.15">
      <c r="A115" s="41">
        <v>11</v>
      </c>
      <c r="B115" s="41" t="s">
        <v>2387</v>
      </c>
      <c r="C115" s="74" t="s">
        <v>2388</v>
      </c>
      <c r="D115" s="72"/>
      <c r="E115" s="99"/>
      <c r="F115" s="121"/>
      <c r="G115" s="99"/>
      <c r="H115" s="53"/>
      <c r="I115" s="49"/>
      <c r="J115" s="50"/>
      <c r="K115" s="44"/>
      <c r="L115" s="45"/>
      <c r="M115" s="46"/>
      <c r="N115" s="35"/>
      <c r="P115" s="57"/>
      <c r="Q115" s="707" t="s">
        <v>404</v>
      </c>
      <c r="R115" s="708"/>
      <c r="S115" s="47">
        <f>ROUND((ROUND((_11_A身体２．０*(1+_11・A深夜)),0)*_11・初任),0)+ROUND((_11_B身体２．０＿１．０*_11・初任),0)</f>
        <v>816</v>
      </c>
      <c r="T115" s="48"/>
    </row>
    <row r="116" spans="1:20" ht="16.5" customHeight="1" x14ac:dyDescent="0.15">
      <c r="A116" s="41">
        <v>11</v>
      </c>
      <c r="B116" s="41" t="s">
        <v>2389</v>
      </c>
      <c r="C116" s="74" t="s">
        <v>2390</v>
      </c>
      <c r="D116" s="72"/>
      <c r="E116" s="99"/>
      <c r="F116" s="121"/>
      <c r="G116" s="99"/>
      <c r="H116" s="43"/>
      <c r="I116" s="37"/>
      <c r="J116" s="38"/>
      <c r="K116" s="44" t="s">
        <v>397</v>
      </c>
      <c r="L116" s="45" t="s">
        <v>398</v>
      </c>
      <c r="M116" s="46">
        <v>1</v>
      </c>
      <c r="N116" s="35"/>
      <c r="P116" s="57"/>
      <c r="Q116" s="709"/>
      <c r="R116" s="704"/>
      <c r="S116" s="47">
        <f>ROUND((ROUND((ROUND((_11_A身体２．０*_11・２人),0)*(1+_11・A深夜)),0)*_11・初任),0)+ROUND((ROUND((_11_B身体２．０＿１．０*_11・２人),0)*_11・初任),0)</f>
        <v>816</v>
      </c>
      <c r="T116" s="48"/>
    </row>
    <row r="117" spans="1:20" ht="16.5" customHeight="1" x14ac:dyDescent="0.15">
      <c r="A117" s="41">
        <v>11</v>
      </c>
      <c r="B117" s="41" t="s">
        <v>2391</v>
      </c>
      <c r="C117" s="74" t="s">
        <v>2392</v>
      </c>
      <c r="D117" s="72"/>
      <c r="E117" s="99"/>
      <c r="F117" s="72"/>
      <c r="G117" s="99"/>
      <c r="H117" s="725" t="s">
        <v>400</v>
      </c>
      <c r="I117" s="49" t="s">
        <v>398</v>
      </c>
      <c r="J117" s="50">
        <v>0.7</v>
      </c>
      <c r="K117" s="44"/>
      <c r="L117" s="45"/>
      <c r="M117" s="46"/>
      <c r="N117" s="35"/>
      <c r="P117" s="57"/>
      <c r="Q117" s="709"/>
      <c r="R117" s="704"/>
      <c r="S117" s="47">
        <f>ROUND((ROUND((ROUND((_11_A身体２．０*_11・基礎１),0)*(1+_11・A深夜)),0)*_11・初任),0)+ROUND((ROUND((_11_B身体２．０＿１．０*_11・基礎１),0)*_11・初任),0)</f>
        <v>571</v>
      </c>
      <c r="T117" s="48"/>
    </row>
    <row r="118" spans="1:20" ht="16.5" customHeight="1" x14ac:dyDescent="0.15">
      <c r="A118" s="41">
        <v>11</v>
      </c>
      <c r="B118" s="41" t="s">
        <v>2393</v>
      </c>
      <c r="C118" s="74" t="s">
        <v>2394</v>
      </c>
      <c r="D118" s="72"/>
      <c r="E118" s="99"/>
      <c r="F118" s="72"/>
      <c r="G118" s="99"/>
      <c r="H118" s="711"/>
      <c r="I118" s="37"/>
      <c r="J118" s="38"/>
      <c r="K118" s="44" t="s">
        <v>397</v>
      </c>
      <c r="L118" s="45" t="s">
        <v>398</v>
      </c>
      <c r="M118" s="46">
        <v>1</v>
      </c>
      <c r="N118" s="35"/>
      <c r="P118" s="57"/>
      <c r="Q118" s="55" t="s">
        <v>398</v>
      </c>
      <c r="R118" s="38">
        <f>_11・初任</f>
        <v>0.7</v>
      </c>
      <c r="S118" s="47">
        <f>ROUND((ROUND((ROUND((ROUND((_11_A身体２．０*_11・基礎１),0)*_11・２人),0)*(1+_11・A深夜)),0)*_11・初任),0)+ROUND((ROUND((ROUND((_11_B身体２．０＿１．０*_11・基礎１),0)*_11・２人),0)*_11・初任),0)</f>
        <v>571</v>
      </c>
      <c r="T118" s="48"/>
    </row>
    <row r="119" spans="1:20" ht="16.5" customHeight="1" x14ac:dyDescent="0.15">
      <c r="A119" s="41">
        <v>11</v>
      </c>
      <c r="B119" s="41">
        <v>1739</v>
      </c>
      <c r="C119" s="74" t="s">
        <v>2395</v>
      </c>
      <c r="D119" s="707" t="s">
        <v>915</v>
      </c>
      <c r="E119" s="717"/>
      <c r="F119" s="707" t="s">
        <v>1226</v>
      </c>
      <c r="G119" s="717"/>
      <c r="H119" s="53"/>
      <c r="I119" s="49"/>
      <c r="J119" s="50"/>
      <c r="K119" s="44"/>
      <c r="L119" s="45"/>
      <c r="M119" s="46"/>
      <c r="N119" s="35"/>
      <c r="P119" s="57"/>
      <c r="Q119" s="53"/>
      <c r="R119" s="49"/>
      <c r="S119" s="47">
        <f>ROUND((_11_A身体２．５*(1+_11・A深夜)),0)+_11_B身体２．５＿０．５</f>
        <v>1208</v>
      </c>
      <c r="T119" s="48"/>
    </row>
    <row r="120" spans="1:20" ht="16.5" customHeight="1" x14ac:dyDescent="0.15">
      <c r="A120" s="41">
        <v>11</v>
      </c>
      <c r="B120" s="41">
        <v>1740</v>
      </c>
      <c r="C120" s="74" t="s">
        <v>2396</v>
      </c>
      <c r="D120" s="709"/>
      <c r="E120" s="718"/>
      <c r="F120" s="709"/>
      <c r="G120" s="718"/>
      <c r="H120" s="43"/>
      <c r="I120" s="37"/>
      <c r="J120" s="38"/>
      <c r="K120" s="44" t="s">
        <v>397</v>
      </c>
      <c r="L120" s="45" t="s">
        <v>398</v>
      </c>
      <c r="M120" s="46">
        <v>1</v>
      </c>
      <c r="N120" s="35"/>
      <c r="P120" s="57"/>
      <c r="Q120" s="35"/>
      <c r="S120" s="47">
        <f>ROUND((ROUND((_11_A身体２．５*_11・２人),0)*(1+_11・A深夜)),0)+ROUND((_11_B身体２．５＿０．５*_11・２人),0)</f>
        <v>1208</v>
      </c>
      <c r="T120" s="48"/>
    </row>
    <row r="121" spans="1:20" ht="16.5" customHeight="1" x14ac:dyDescent="0.15">
      <c r="A121" s="41">
        <v>11</v>
      </c>
      <c r="B121" s="41">
        <v>1741</v>
      </c>
      <c r="C121" s="74" t="s">
        <v>2397</v>
      </c>
      <c r="D121" s="709"/>
      <c r="E121" s="718"/>
      <c r="F121" s="709"/>
      <c r="G121" s="718"/>
      <c r="H121" s="725" t="s">
        <v>400</v>
      </c>
      <c r="I121" s="49" t="s">
        <v>398</v>
      </c>
      <c r="J121" s="50">
        <v>0.7</v>
      </c>
      <c r="K121" s="44"/>
      <c r="L121" s="45"/>
      <c r="M121" s="46"/>
      <c r="N121" s="35"/>
      <c r="P121" s="57"/>
      <c r="Q121" s="35"/>
      <c r="S121" s="47">
        <f>ROUND((ROUND((_11_A身体２．５*_11・基礎１),0)*(1+_11・A深夜)),0)+ROUND((_11_B身体２．５＿０．５*_11・基礎１),0)</f>
        <v>846</v>
      </c>
      <c r="T121" s="48"/>
    </row>
    <row r="122" spans="1:20" ht="16.5" customHeight="1" x14ac:dyDescent="0.15">
      <c r="A122" s="41">
        <v>11</v>
      </c>
      <c r="B122" s="41">
        <v>1742</v>
      </c>
      <c r="C122" s="74" t="s">
        <v>2398</v>
      </c>
      <c r="D122" s="100">
        <f>_11_A身体２．５</f>
        <v>750</v>
      </c>
      <c r="E122" s="12" t="s">
        <v>392</v>
      </c>
      <c r="F122" s="100">
        <f>_11_B身体２．５＿０．５</f>
        <v>83</v>
      </c>
      <c r="G122" s="12" t="s">
        <v>392</v>
      </c>
      <c r="H122" s="711"/>
      <c r="I122" s="37"/>
      <c r="J122" s="38"/>
      <c r="K122" s="44" t="s">
        <v>397</v>
      </c>
      <c r="L122" s="45" t="s">
        <v>398</v>
      </c>
      <c r="M122" s="46">
        <v>1</v>
      </c>
      <c r="N122" s="35"/>
      <c r="P122" s="57"/>
      <c r="Q122" s="43"/>
      <c r="R122" s="37"/>
      <c r="S122" s="47">
        <f>ROUND((ROUND((ROUND((_11_A身体２．５*_11・基礎１),0)*_11・２人),0)*(1+_11・A深夜)),0)+ROUND((ROUND((_11_B身体２．５＿０．５*_11・基礎１),0)*_11・２人),0)</f>
        <v>846</v>
      </c>
      <c r="T122" s="48"/>
    </row>
    <row r="123" spans="1:20" ht="16.5" customHeight="1" x14ac:dyDescent="0.15">
      <c r="A123" s="41">
        <v>11</v>
      </c>
      <c r="B123" s="41" t="s">
        <v>2399</v>
      </c>
      <c r="C123" s="74" t="s">
        <v>2400</v>
      </c>
      <c r="D123" s="121"/>
      <c r="E123" s="99"/>
      <c r="F123" s="121"/>
      <c r="G123" s="99"/>
      <c r="H123" s="53"/>
      <c r="I123" s="49"/>
      <c r="J123" s="50"/>
      <c r="K123" s="44"/>
      <c r="L123" s="45"/>
      <c r="M123" s="46"/>
      <c r="N123" s="35"/>
      <c r="P123" s="57"/>
      <c r="Q123" s="707" t="s">
        <v>404</v>
      </c>
      <c r="R123" s="708"/>
      <c r="S123" s="47">
        <f>ROUND((ROUND((_11_A身体２．５*(1+_11・A深夜)),0)*_11・初任),0)+ROUND((_11_B身体２．５＿０．５*_11・初任),0)</f>
        <v>846</v>
      </c>
      <c r="T123" s="48"/>
    </row>
    <row r="124" spans="1:20" ht="16.5" customHeight="1" x14ac:dyDescent="0.15">
      <c r="A124" s="41">
        <v>11</v>
      </c>
      <c r="B124" s="41" t="s">
        <v>2401</v>
      </c>
      <c r="C124" s="74" t="s">
        <v>2402</v>
      </c>
      <c r="D124" s="121"/>
      <c r="E124" s="99"/>
      <c r="F124" s="121"/>
      <c r="G124" s="99"/>
      <c r="H124" s="43"/>
      <c r="I124" s="37"/>
      <c r="J124" s="38"/>
      <c r="K124" s="44" t="s">
        <v>397</v>
      </c>
      <c r="L124" s="45" t="s">
        <v>398</v>
      </c>
      <c r="M124" s="46">
        <v>1</v>
      </c>
      <c r="N124" s="35"/>
      <c r="P124" s="57"/>
      <c r="Q124" s="709"/>
      <c r="R124" s="704"/>
      <c r="S124" s="47">
        <f>ROUND((ROUND((ROUND((_11_A身体２．５*_11・２人),0)*(1+_11・A深夜)),0)*_11・初任),0)+ROUND((ROUND((_11_B身体２．５＿０．５*_11・２人),0)*_11・初任),0)</f>
        <v>846</v>
      </c>
      <c r="T124" s="48"/>
    </row>
    <row r="125" spans="1:20" ht="16.5" customHeight="1" x14ac:dyDescent="0.15">
      <c r="A125" s="41">
        <v>11</v>
      </c>
      <c r="B125" s="41" t="s">
        <v>2403</v>
      </c>
      <c r="C125" s="74" t="s">
        <v>2404</v>
      </c>
      <c r="D125" s="72"/>
      <c r="E125" s="99"/>
      <c r="F125" s="72"/>
      <c r="G125" s="99"/>
      <c r="H125" s="725" t="s">
        <v>400</v>
      </c>
      <c r="I125" s="49" t="s">
        <v>398</v>
      </c>
      <c r="J125" s="50">
        <v>0.7</v>
      </c>
      <c r="K125" s="44"/>
      <c r="L125" s="45"/>
      <c r="M125" s="46"/>
      <c r="N125" s="35"/>
      <c r="P125" s="57"/>
      <c r="Q125" s="709"/>
      <c r="R125" s="704"/>
      <c r="S125" s="47">
        <f>ROUND((ROUND((ROUND((_11_A身体２．５*_11・基礎１),0)*(1+_11・A深夜)),0)*_11・初任),0)+ROUND((ROUND((_11_B身体２．５＿０．５*_11・基礎１),0)*_11・初任),0)</f>
        <v>593</v>
      </c>
      <c r="T125" s="48"/>
    </row>
    <row r="126" spans="1:20" ht="16.5" customHeight="1" x14ac:dyDescent="0.15">
      <c r="A126" s="41">
        <v>11</v>
      </c>
      <c r="B126" s="41" t="s">
        <v>2405</v>
      </c>
      <c r="C126" s="74" t="s">
        <v>2406</v>
      </c>
      <c r="D126" s="122"/>
      <c r="E126" s="111"/>
      <c r="F126" s="122"/>
      <c r="G126" s="111"/>
      <c r="H126" s="711"/>
      <c r="I126" s="37"/>
      <c r="J126" s="38"/>
      <c r="K126" s="44" t="s">
        <v>397</v>
      </c>
      <c r="L126" s="45" t="s">
        <v>398</v>
      </c>
      <c r="M126" s="46">
        <v>1</v>
      </c>
      <c r="N126" s="43"/>
      <c r="O126" s="38"/>
      <c r="P126" s="79"/>
      <c r="Q126" s="55" t="s">
        <v>398</v>
      </c>
      <c r="R126" s="38">
        <f>_11・初任</f>
        <v>0.7</v>
      </c>
      <c r="S126" s="47">
        <f>ROUND((ROUND((ROUND((ROUND((_11_A身体２．５*_11・基礎１),0)*_11・２人),0)*(1+_11・A深夜)),0)*_11・初任),0)+ROUND((ROUND((ROUND((_11_B身体２．５＿０．５*_11・基礎１),0)*_11・２人),0)*_11・初任),0)</f>
        <v>593</v>
      </c>
      <c r="T126" s="63"/>
    </row>
    <row r="127" spans="1:20" ht="16.5" customHeight="1" x14ac:dyDescent="0.15"/>
    <row r="128" spans="1:20" ht="16.5" customHeight="1" x14ac:dyDescent="0.15"/>
  </sheetData>
  <mergeCells count="67">
    <mergeCell ref="D119:E121"/>
    <mergeCell ref="F119:G121"/>
    <mergeCell ref="H121:H122"/>
    <mergeCell ref="Q123:R125"/>
    <mergeCell ref="H125:H126"/>
    <mergeCell ref="Q107:R109"/>
    <mergeCell ref="H109:H110"/>
    <mergeCell ref="F111:G113"/>
    <mergeCell ref="H113:H114"/>
    <mergeCell ref="Q115:R117"/>
    <mergeCell ref="H117:H118"/>
    <mergeCell ref="F95:G97"/>
    <mergeCell ref="H97:H98"/>
    <mergeCell ref="Q99:R101"/>
    <mergeCell ref="H101:H102"/>
    <mergeCell ref="D103:E105"/>
    <mergeCell ref="F103:G105"/>
    <mergeCell ref="H105:H106"/>
    <mergeCell ref="Q83:R85"/>
    <mergeCell ref="H85:H86"/>
    <mergeCell ref="F87:G89"/>
    <mergeCell ref="H89:H90"/>
    <mergeCell ref="Q91:R93"/>
    <mergeCell ref="H93:H94"/>
    <mergeCell ref="Q75:R77"/>
    <mergeCell ref="H77:H78"/>
    <mergeCell ref="D79:E81"/>
    <mergeCell ref="F79:G81"/>
    <mergeCell ref="P80:P81"/>
    <mergeCell ref="H81:H82"/>
    <mergeCell ref="F63:G65"/>
    <mergeCell ref="H65:H66"/>
    <mergeCell ref="Q67:R69"/>
    <mergeCell ref="H69:H70"/>
    <mergeCell ref="F71:G73"/>
    <mergeCell ref="H73:H74"/>
    <mergeCell ref="Q51:R53"/>
    <mergeCell ref="H53:H54"/>
    <mergeCell ref="F55:G57"/>
    <mergeCell ref="H57:H58"/>
    <mergeCell ref="Q59:R61"/>
    <mergeCell ref="H61:H62"/>
    <mergeCell ref="F39:G41"/>
    <mergeCell ref="H41:H42"/>
    <mergeCell ref="Q43:R45"/>
    <mergeCell ref="H45:H46"/>
    <mergeCell ref="D47:E49"/>
    <mergeCell ref="F47:G49"/>
    <mergeCell ref="H49:H50"/>
    <mergeCell ref="Q27:R29"/>
    <mergeCell ref="H29:H30"/>
    <mergeCell ref="F31:G33"/>
    <mergeCell ref="H33:H34"/>
    <mergeCell ref="Q35:R37"/>
    <mergeCell ref="H37:H38"/>
    <mergeCell ref="F15:G17"/>
    <mergeCell ref="H17:H18"/>
    <mergeCell ref="Q19:R21"/>
    <mergeCell ref="H21:H22"/>
    <mergeCell ref="F23:G25"/>
    <mergeCell ref="H25:H26"/>
    <mergeCell ref="D7:E9"/>
    <mergeCell ref="F7:G9"/>
    <mergeCell ref="P8:P9"/>
    <mergeCell ref="H9:H10"/>
    <mergeCell ref="Q11:R13"/>
    <mergeCell ref="H13:H14"/>
  </mergeCells>
  <phoneticPr fontId="1"/>
  <printOptions horizontalCentered="1"/>
  <pageMargins left="0.70866141732283472" right="0.70866141732283472" top="0.74803149606299213" bottom="0.74803149606299213" header="0.31496062992125984" footer="0.31496062992125984"/>
  <pageSetup paperSize="9" scale="52" fitToHeight="0" orientation="portrait" r:id="rId1"/>
  <headerFooter>
    <oddHeader>&amp;R&amp;"ＭＳ Ｐゴシック"&amp;9居宅介護</oddHeader>
    <oddFooter>&amp;C&amp;"ＭＳ Ｐゴシック"&amp;14&amp;P</oddFooter>
  </headerFooter>
  <rowBreaks count="1" manualBreakCount="1">
    <brk id="78" max="19"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9">
    <pageSetUpPr fitToPage="1"/>
  </sheetPr>
  <dimension ref="A1:AA188"/>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4.5" style="10" customWidth="1"/>
    <col min="5" max="5" width="4.125" style="12" bestFit="1" customWidth="1"/>
    <col min="6" max="6" width="4.875" style="12" bestFit="1" customWidth="1"/>
    <col min="7" max="7" width="4.5" style="10" customWidth="1"/>
    <col min="8" max="8" width="4.125" style="12" bestFit="1" customWidth="1"/>
    <col min="9" max="9" width="4.875" style="12" bestFit="1" customWidth="1"/>
    <col min="10" max="10" width="15.5" style="12" customWidth="1"/>
    <col min="11" max="11" width="3.125" style="12" bestFit="1" customWidth="1"/>
    <col min="12" max="12" width="4.125" style="13" customWidth="1"/>
    <col min="13" max="13" width="25.5" style="12" customWidth="1"/>
    <col min="14" max="14" width="3.125" style="12" bestFit="1" customWidth="1"/>
    <col min="15" max="15" width="5" style="13" bestFit="1" customWidth="1"/>
    <col min="16" max="16" width="4.125" style="13" bestFit="1" customWidth="1"/>
    <col min="17" max="17" width="4.875" style="12" bestFit="1" customWidth="1"/>
    <col min="18" max="18" width="22.25" style="12" customWidth="1"/>
    <col min="19" max="19" width="3.125" style="12" bestFit="1" customWidth="1"/>
    <col min="20" max="20" width="4.125" style="13" bestFit="1" customWidth="1"/>
    <col min="21" max="21" width="4.875" style="12" bestFit="1" customWidth="1"/>
    <col min="22" max="22" width="8.5" style="12" customWidth="1"/>
    <col min="23" max="23" width="3.125" style="12" bestFit="1" customWidth="1"/>
    <col min="24" max="24" width="4.125" style="13" bestFit="1" customWidth="1"/>
    <col min="25" max="25" width="4.875" style="12" bestFit="1" customWidth="1"/>
    <col min="26" max="26" width="7.125" style="206" customWidth="1"/>
    <col min="27" max="27" width="8.5" style="16" customWidth="1"/>
    <col min="28" max="16384" width="9" style="12"/>
  </cols>
  <sheetData>
    <row r="1" spans="1:27" ht="17.100000000000001" customHeight="1" x14ac:dyDescent="0.15"/>
    <row r="2" spans="1:27" ht="17.100000000000001" customHeight="1" x14ac:dyDescent="0.15"/>
    <row r="3" spans="1:27" ht="17.100000000000001" customHeight="1" x14ac:dyDescent="0.15"/>
    <row r="4" spans="1:27" ht="17.100000000000001" customHeight="1" x14ac:dyDescent="0.15">
      <c r="B4" s="17" t="s">
        <v>27089</v>
      </c>
      <c r="D4" s="71"/>
    </row>
    <row r="5" spans="1:27" ht="16.5" customHeight="1" x14ac:dyDescent="0.15">
      <c r="A5" s="19" t="s">
        <v>384</v>
      </c>
      <c r="B5" s="20"/>
      <c r="C5" s="21" t="s">
        <v>385</v>
      </c>
      <c r="D5" s="23" t="s">
        <v>386</v>
      </c>
      <c r="E5" s="23"/>
      <c r="F5" s="23"/>
      <c r="G5" s="23"/>
      <c r="H5" s="23"/>
      <c r="I5" s="23"/>
      <c r="J5" s="23"/>
      <c r="K5" s="23"/>
      <c r="L5" s="24"/>
      <c r="M5" s="23"/>
      <c r="N5" s="23"/>
      <c r="O5" s="24"/>
      <c r="P5" s="24"/>
      <c r="Q5" s="23"/>
      <c r="R5" s="23"/>
      <c r="S5" s="23"/>
      <c r="T5" s="24"/>
      <c r="U5" s="23"/>
      <c r="V5" s="23"/>
      <c r="W5" s="23"/>
      <c r="X5" s="24"/>
      <c r="Y5" s="23"/>
      <c r="Z5" s="21" t="s">
        <v>387</v>
      </c>
      <c r="AA5" s="21" t="s">
        <v>388</v>
      </c>
    </row>
    <row r="6" spans="1:27" ht="16.5" customHeight="1" x14ac:dyDescent="0.15">
      <c r="A6" s="26" t="s">
        <v>389</v>
      </c>
      <c r="B6" s="26" t="s">
        <v>390</v>
      </c>
      <c r="C6" s="27"/>
      <c r="D6" s="87" t="s">
        <v>1032</v>
      </c>
      <c r="E6" s="187"/>
      <c r="F6" s="20"/>
      <c r="G6" s="29"/>
      <c r="H6" s="29"/>
      <c r="I6" s="29"/>
      <c r="J6" s="29"/>
      <c r="K6" s="29"/>
      <c r="L6" s="30"/>
      <c r="M6" s="29"/>
      <c r="N6" s="29"/>
      <c r="O6" s="30"/>
      <c r="P6" s="30"/>
      <c r="Q6" s="29"/>
      <c r="R6" s="29"/>
      <c r="S6" s="29"/>
      <c r="T6" s="30"/>
      <c r="U6" s="29"/>
      <c r="V6" s="29"/>
      <c r="W6" s="29"/>
      <c r="X6" s="30"/>
      <c r="Y6" s="29"/>
      <c r="Z6" s="32" t="s">
        <v>391</v>
      </c>
      <c r="AA6" s="32" t="s">
        <v>392</v>
      </c>
    </row>
    <row r="7" spans="1:27" ht="16.5" customHeight="1" x14ac:dyDescent="0.15">
      <c r="A7" s="33">
        <v>15</v>
      </c>
      <c r="B7" s="33" t="s">
        <v>27090</v>
      </c>
      <c r="C7" s="34" t="s">
        <v>27091</v>
      </c>
      <c r="D7" s="72" t="s">
        <v>18128</v>
      </c>
      <c r="F7" s="57"/>
      <c r="G7" s="72" t="s">
        <v>19187</v>
      </c>
      <c r="I7" s="57"/>
      <c r="J7" s="35"/>
      <c r="M7" s="43"/>
      <c r="N7" s="37"/>
      <c r="O7" s="38"/>
      <c r="P7" s="512"/>
      <c r="Q7" s="57"/>
      <c r="R7" s="35"/>
      <c r="U7" s="57"/>
      <c r="V7" s="35"/>
      <c r="Y7" s="57"/>
      <c r="Z7" s="207">
        <f>ROUND((ROUND((_15_同援日０．５*_15・通訳),0)*(1+_15・A早朝)),0)+ROUND((_15_同援日０．５＿０．５*_15・通訳),0)</f>
        <v>313</v>
      </c>
      <c r="AA7" s="40" t="s">
        <v>395</v>
      </c>
    </row>
    <row r="8" spans="1:27" ht="16.5" customHeight="1" x14ac:dyDescent="0.15">
      <c r="A8" s="41">
        <v>15</v>
      </c>
      <c r="B8" s="41" t="s">
        <v>27092</v>
      </c>
      <c r="C8" s="74" t="s">
        <v>27093</v>
      </c>
      <c r="D8" s="72" t="s">
        <v>18259</v>
      </c>
      <c r="F8" s="57"/>
      <c r="G8" s="72" t="s">
        <v>18259</v>
      </c>
      <c r="I8" s="57"/>
      <c r="J8" s="35"/>
      <c r="M8" s="299" t="s">
        <v>17556</v>
      </c>
      <c r="N8" s="45" t="s">
        <v>398</v>
      </c>
      <c r="O8" s="46">
        <v>1</v>
      </c>
      <c r="P8" s="512"/>
      <c r="Q8" s="57"/>
      <c r="R8" s="43"/>
      <c r="S8" s="37"/>
      <c r="T8" s="38"/>
      <c r="U8" s="79"/>
      <c r="V8" s="35"/>
      <c r="Y8" s="57"/>
      <c r="Z8" s="208">
        <f>ROUND((ROUND((ROUND((_15_同援日０．５*_15・通訳),0)*_15・２人),0)*(1+_15・A早朝)),0)+ROUND((ROUND((_15_同援日０．５＿０．５*_15・通訳),0)*_15・２人),0)</f>
        <v>313</v>
      </c>
      <c r="AA8" s="48"/>
    </row>
    <row r="9" spans="1:27" ht="16.5" customHeight="1" x14ac:dyDescent="0.15">
      <c r="A9" s="41">
        <v>15</v>
      </c>
      <c r="B9" s="41" t="s">
        <v>27094</v>
      </c>
      <c r="C9" s="74" t="s">
        <v>27095</v>
      </c>
      <c r="D9" s="72"/>
      <c r="F9" s="57"/>
      <c r="G9" s="72"/>
      <c r="I9" s="57"/>
      <c r="J9" s="35"/>
      <c r="M9" s="163"/>
      <c r="N9" s="45"/>
      <c r="O9" s="46"/>
      <c r="P9" s="512"/>
      <c r="Q9" s="57"/>
      <c r="R9" s="114" t="s">
        <v>17562</v>
      </c>
      <c r="S9" s="49"/>
      <c r="T9" s="50"/>
      <c r="U9" s="115"/>
      <c r="V9" s="35"/>
      <c r="Y9" s="57"/>
      <c r="Z9" s="208">
        <f>ROUND((ROUND((ROUND((_15_同援日０．５*_15・通訳),0)*(1+_15・A早朝)),0)*(1+_15・盲ろう)),0)+ROUND((ROUND((_15_同援日０．５＿０．５*_15・通訳),0)*(1+_15・盲ろう)),0)</f>
        <v>392</v>
      </c>
      <c r="AA9" s="48"/>
    </row>
    <row r="10" spans="1:27" ht="16.5" customHeight="1" x14ac:dyDescent="0.15">
      <c r="A10" s="41">
        <v>15</v>
      </c>
      <c r="B10" s="41" t="s">
        <v>27096</v>
      </c>
      <c r="C10" s="74" t="s">
        <v>27097</v>
      </c>
      <c r="D10" s="72"/>
      <c r="E10" s="168">
        <f>_15_同援日０．５</f>
        <v>190</v>
      </c>
      <c r="F10" s="57" t="s">
        <v>392</v>
      </c>
      <c r="G10" s="72"/>
      <c r="H10" s="168">
        <f>_15_同援日０．５＿０．５</f>
        <v>110</v>
      </c>
      <c r="I10" s="57" t="s">
        <v>392</v>
      </c>
      <c r="J10" s="35"/>
      <c r="M10" s="299" t="s">
        <v>17556</v>
      </c>
      <c r="N10" s="45" t="s">
        <v>398</v>
      </c>
      <c r="O10" s="46">
        <v>1</v>
      </c>
      <c r="P10" s="512"/>
      <c r="Q10" s="57"/>
      <c r="R10" s="269" t="s">
        <v>17564</v>
      </c>
      <c r="S10" s="37" t="s">
        <v>398</v>
      </c>
      <c r="T10" s="38">
        <v>0.25</v>
      </c>
      <c r="U10" s="79" t="s">
        <v>3575</v>
      </c>
      <c r="V10" s="43"/>
      <c r="W10" s="37"/>
      <c r="X10" s="38"/>
      <c r="Y10" s="79"/>
      <c r="Z10" s="208">
        <f>ROUND((ROUND((ROUND((ROUND((_15_同援日０．５*_15・通訳),0)*_15・２人),0)*(1+_15・A早朝)),0)*(1+_15・盲ろう)),0)+ROUND((ROUND((ROUND((_15_同援日０．５＿０．５*_15・通訳),0)*_15・２人),0)*(1+_15・盲ろう)),0)</f>
        <v>392</v>
      </c>
      <c r="AA10" s="48"/>
    </row>
    <row r="11" spans="1:27" ht="16.5" customHeight="1" x14ac:dyDescent="0.15">
      <c r="A11" s="41">
        <v>15</v>
      </c>
      <c r="B11" s="41" t="s">
        <v>27098</v>
      </c>
      <c r="C11" s="74" t="s">
        <v>27099</v>
      </c>
      <c r="D11" s="72"/>
      <c r="F11" s="57"/>
      <c r="G11" s="72"/>
      <c r="I11" s="57"/>
      <c r="J11" s="35"/>
      <c r="M11" s="163"/>
      <c r="N11" s="45"/>
      <c r="O11" s="46"/>
      <c r="P11" s="512"/>
      <c r="Q11" s="57"/>
      <c r="R11" s="53"/>
      <c r="S11" s="49"/>
      <c r="T11" s="50"/>
      <c r="U11" s="115"/>
      <c r="V11" s="114" t="s">
        <v>17570</v>
      </c>
      <c r="W11" s="49"/>
      <c r="X11" s="50"/>
      <c r="Y11" s="115"/>
      <c r="Z11" s="208">
        <f>ROUND((ROUND((ROUND((_15_同援日０．５*_15・通訳),0)*(1+_15・A早朝)),0)*(1+_15・区３)),0)+ROUND((ROUND((_15_同援日０．５＿０．５*_15・通訳),0)*(1+_15・区３)),0)</f>
        <v>376</v>
      </c>
      <c r="AA11" s="48"/>
    </row>
    <row r="12" spans="1:27" ht="16.5" customHeight="1" x14ac:dyDescent="0.15">
      <c r="A12" s="41">
        <v>15</v>
      </c>
      <c r="B12" s="41" t="s">
        <v>27100</v>
      </c>
      <c r="C12" s="74" t="s">
        <v>27101</v>
      </c>
      <c r="D12" s="72"/>
      <c r="F12" s="57"/>
      <c r="G12" s="72"/>
      <c r="I12" s="57"/>
      <c r="J12" s="72" t="s">
        <v>25732</v>
      </c>
      <c r="M12" s="299" t="s">
        <v>17556</v>
      </c>
      <c r="N12" s="45" t="s">
        <v>398</v>
      </c>
      <c r="O12" s="46">
        <v>1</v>
      </c>
      <c r="P12" s="517" t="s">
        <v>18134</v>
      </c>
      <c r="Q12" s="57"/>
      <c r="R12" s="43"/>
      <c r="S12" s="37"/>
      <c r="T12" s="38"/>
      <c r="U12" s="79"/>
      <c r="V12" s="92" t="s">
        <v>17572</v>
      </c>
      <c r="Y12" s="57"/>
      <c r="Z12" s="208">
        <f>ROUND((ROUND((ROUND((ROUND((_15_同援日０．５*_15・通訳),0)*_15・２人),0)*(1+_15・A早朝)),0)*(1+_15・区３)),0)+ROUND((ROUND((ROUND((_15_同援日０．５＿０．５*_15・通訳),0)*_15・２人),0)*(1+_15・区３)),0)</f>
        <v>376</v>
      </c>
      <c r="AA12" s="48"/>
    </row>
    <row r="13" spans="1:27" ht="16.5" customHeight="1" x14ac:dyDescent="0.15">
      <c r="A13" s="41">
        <v>15</v>
      </c>
      <c r="B13" s="41" t="s">
        <v>27102</v>
      </c>
      <c r="C13" s="74" t="s">
        <v>27103</v>
      </c>
      <c r="D13" s="72"/>
      <c r="F13" s="57"/>
      <c r="G13" s="72"/>
      <c r="I13" s="57"/>
      <c r="J13" s="92" t="s">
        <v>25734</v>
      </c>
      <c r="K13" s="12" t="s">
        <v>398</v>
      </c>
      <c r="L13" s="13">
        <v>0.9</v>
      </c>
      <c r="M13" s="163"/>
      <c r="N13" s="45"/>
      <c r="O13" s="46"/>
      <c r="P13" s="512"/>
      <c r="Q13" s="519" t="s">
        <v>27104</v>
      </c>
      <c r="R13" s="114" t="s">
        <v>17562</v>
      </c>
      <c r="S13" s="49"/>
      <c r="T13" s="50"/>
      <c r="U13" s="115"/>
      <c r="V13" s="35"/>
      <c r="W13" s="12" t="s">
        <v>398</v>
      </c>
      <c r="X13" s="13">
        <v>0.2</v>
      </c>
      <c r="Y13" s="57" t="s">
        <v>3575</v>
      </c>
      <c r="Z13" s="208">
        <f>ROUND((ROUND((ROUND((ROUND((_15_同援日０．５*_15・通訳),0)*(1+_15・A早朝)),0)*(1+_15・盲ろう)),0)*(1+_15・区３)),0)+ROUND((ROUND((ROUND((_15_同援日０．５＿０．５*_15・通訳),0)*(1+_15・盲ろう)),0)*(1+_15・区３)),0)</f>
        <v>471</v>
      </c>
      <c r="AA13" s="48"/>
    </row>
    <row r="14" spans="1:27" ht="16.5" customHeight="1" x14ac:dyDescent="0.15">
      <c r="A14" s="41">
        <v>15</v>
      </c>
      <c r="B14" s="41" t="s">
        <v>27105</v>
      </c>
      <c r="C14" s="74" t="s">
        <v>27106</v>
      </c>
      <c r="D14" s="72"/>
      <c r="F14" s="57"/>
      <c r="G14" s="72"/>
      <c r="I14" s="57"/>
      <c r="J14" s="35"/>
      <c r="M14" s="299" t="s">
        <v>17556</v>
      </c>
      <c r="N14" s="45" t="s">
        <v>398</v>
      </c>
      <c r="O14" s="46">
        <v>1</v>
      </c>
      <c r="P14" s="512"/>
      <c r="Q14" s="57"/>
      <c r="R14" s="269" t="s">
        <v>17564</v>
      </c>
      <c r="S14" s="37" t="s">
        <v>398</v>
      </c>
      <c r="T14" s="38">
        <v>0.25</v>
      </c>
      <c r="U14" s="79" t="s">
        <v>3575</v>
      </c>
      <c r="V14" s="43"/>
      <c r="W14" s="37"/>
      <c r="X14" s="38"/>
      <c r="Y14" s="79"/>
      <c r="Z14" s="208">
        <f>ROUND((ROUND((ROUND((ROUND((ROUND((_15_同援日０．５*_15・通訳),0)*_15・２人),0)*(1+_15・A早朝)),0)*(1+_15・盲ろう)),0)*(1+_15・区３)),0)+ROUND((ROUND((ROUND((ROUND((_15_同援日０．５＿０．５*_15・通訳),0)*_15・２人),0)*(1+_15・盲ろう)),0)*(1+_15・区３)),0)</f>
        <v>471</v>
      </c>
      <c r="AA14" s="48"/>
    </row>
    <row r="15" spans="1:27" ht="16.5" customHeight="1" x14ac:dyDescent="0.15">
      <c r="A15" s="41">
        <v>15</v>
      </c>
      <c r="B15" s="41" t="s">
        <v>27107</v>
      </c>
      <c r="C15" s="74" t="s">
        <v>27108</v>
      </c>
      <c r="D15" s="72"/>
      <c r="F15" s="57"/>
      <c r="G15" s="72"/>
      <c r="I15" s="57"/>
      <c r="J15" s="35"/>
      <c r="M15" s="163"/>
      <c r="N15" s="45"/>
      <c r="O15" s="46"/>
      <c r="P15" s="35" t="s">
        <v>398</v>
      </c>
      <c r="Q15" s="234">
        <v>0.25</v>
      </c>
      <c r="R15" s="53"/>
      <c r="S15" s="49"/>
      <c r="T15" s="50"/>
      <c r="U15" s="115"/>
      <c r="V15" s="114" t="s">
        <v>17580</v>
      </c>
      <c r="W15" s="49"/>
      <c r="X15" s="50"/>
      <c r="Y15" s="115"/>
      <c r="Z15" s="208">
        <f>ROUND((ROUND((ROUND((_15_同援日０．５*_15・通訳),0)*(1+_15・A早朝)),0)*(1+_15・区４)),0)+ROUND((ROUND((_15_同援日０．５＿０．５*_15・通訳),0)*(1+_15・区４)),0)</f>
        <v>439</v>
      </c>
      <c r="AA15" s="48"/>
    </row>
    <row r="16" spans="1:27" ht="16.5" customHeight="1" x14ac:dyDescent="0.15">
      <c r="A16" s="41">
        <v>15</v>
      </c>
      <c r="B16" s="41" t="s">
        <v>27109</v>
      </c>
      <c r="C16" s="74" t="s">
        <v>27110</v>
      </c>
      <c r="D16" s="72"/>
      <c r="F16" s="57"/>
      <c r="G16" s="72"/>
      <c r="I16" s="57"/>
      <c r="J16" s="35"/>
      <c r="M16" s="299" t="s">
        <v>17556</v>
      </c>
      <c r="N16" s="45" t="s">
        <v>398</v>
      </c>
      <c r="O16" s="46">
        <v>1</v>
      </c>
      <c r="P16" s="512"/>
      <c r="Q16" s="513" t="s">
        <v>3575</v>
      </c>
      <c r="R16" s="43"/>
      <c r="S16" s="37"/>
      <c r="T16" s="38"/>
      <c r="U16" s="79"/>
      <c r="V16" s="92" t="s">
        <v>17572</v>
      </c>
      <c r="Y16" s="57"/>
      <c r="Z16" s="208">
        <f>ROUND((ROUND((ROUND((ROUND((_15_同援日０．５*_15・通訳),0)*_15・２人),0)*(1+_15・A早朝)),0)*(1+_15・区４)),0)+ROUND((ROUND((ROUND((_15_同援日０．５＿０．５*_15・通訳),0)*_15・２人),0)*(1+_15・区４)),0)</f>
        <v>439</v>
      </c>
      <c r="AA16" s="48"/>
    </row>
    <row r="17" spans="1:27" ht="16.5" customHeight="1" x14ac:dyDescent="0.15">
      <c r="A17" s="41">
        <v>15</v>
      </c>
      <c r="B17" s="41" t="s">
        <v>2934</v>
      </c>
      <c r="C17" s="74" t="s">
        <v>27111</v>
      </c>
      <c r="D17" s="72"/>
      <c r="F17" s="57"/>
      <c r="G17" s="72"/>
      <c r="I17" s="57"/>
      <c r="J17" s="35"/>
      <c r="M17" s="163"/>
      <c r="N17" s="45"/>
      <c r="O17" s="46"/>
      <c r="P17" s="512"/>
      <c r="Q17" s="57"/>
      <c r="R17" s="114" t="s">
        <v>17562</v>
      </c>
      <c r="S17" s="49"/>
      <c r="T17" s="50"/>
      <c r="U17" s="115"/>
      <c r="V17" s="35"/>
      <c r="W17" s="12" t="s">
        <v>398</v>
      </c>
      <c r="X17" s="13">
        <v>0.4</v>
      </c>
      <c r="Y17" s="57" t="s">
        <v>3575</v>
      </c>
      <c r="Z17" s="208">
        <f>ROUND((ROUND((ROUND((ROUND((_15_同援日０．５*_15・通訳),0)*(1+_15・A早朝)),0)*(1+_15・盲ろう)),0)*(1+_15・区４)),0)+ROUND((ROUND((ROUND((_15_同援日０．５＿０．５*_15・通訳),0)*(1+_15・盲ろう)),0)*(1+_15・区４)),0)</f>
        <v>549</v>
      </c>
      <c r="AA17" s="48"/>
    </row>
    <row r="18" spans="1:27" ht="16.5" customHeight="1" x14ac:dyDescent="0.15">
      <c r="A18" s="41">
        <v>15</v>
      </c>
      <c r="B18" s="41" t="s">
        <v>2936</v>
      </c>
      <c r="C18" s="74" t="s">
        <v>27112</v>
      </c>
      <c r="D18" s="72"/>
      <c r="F18" s="57"/>
      <c r="G18" s="122"/>
      <c r="H18" s="37"/>
      <c r="I18" s="79"/>
      <c r="J18" s="35"/>
      <c r="M18" s="299" t="s">
        <v>17556</v>
      </c>
      <c r="N18" s="45" t="s">
        <v>398</v>
      </c>
      <c r="O18" s="46">
        <v>1</v>
      </c>
      <c r="P18" s="512"/>
      <c r="Q18" s="57"/>
      <c r="R18" s="269" t="s">
        <v>17564</v>
      </c>
      <c r="S18" s="37" t="s">
        <v>398</v>
      </c>
      <c r="T18" s="38">
        <v>0.25</v>
      </c>
      <c r="U18" s="79" t="s">
        <v>3575</v>
      </c>
      <c r="V18" s="43"/>
      <c r="W18" s="37"/>
      <c r="X18" s="38"/>
      <c r="Y18" s="79"/>
      <c r="Z18" s="208">
        <f>ROUND((ROUND((ROUND((ROUND((ROUND((_15_同援日０．５*_15・通訳),0)*_15・２人),0)*(1+_15・A早朝)),0)*(1+_15・盲ろう)),0)*(1+_15・区４)),0)+ROUND((ROUND((ROUND((ROUND((_15_同援日０．５＿０．５*_15・通訳),0)*_15・２人),0)*(1+_15・盲ろう)),0)*(1+_15・区４)),0)</f>
        <v>549</v>
      </c>
      <c r="AA18" s="48"/>
    </row>
    <row r="19" spans="1:27" ht="16.5" customHeight="1" x14ac:dyDescent="0.15">
      <c r="A19" s="41">
        <v>15</v>
      </c>
      <c r="B19" s="41" t="s">
        <v>2938</v>
      </c>
      <c r="C19" s="74" t="s">
        <v>27113</v>
      </c>
      <c r="D19" s="72"/>
      <c r="F19" s="57"/>
      <c r="G19" s="114" t="s">
        <v>19212</v>
      </c>
      <c r="H19" s="49"/>
      <c r="I19" s="115"/>
      <c r="J19" s="35"/>
      <c r="M19" s="163"/>
      <c r="N19" s="45"/>
      <c r="O19" s="46"/>
      <c r="P19" s="512"/>
      <c r="Q19" s="57"/>
      <c r="R19" s="53"/>
      <c r="S19" s="49"/>
      <c r="T19" s="50"/>
      <c r="U19" s="115"/>
      <c r="V19" s="53"/>
      <c r="W19" s="49"/>
      <c r="X19" s="50"/>
      <c r="Y19" s="115"/>
      <c r="Z19" s="208">
        <f>ROUND((ROUND((_15_同援日０．５*_15・通訳),0)*(1+_15・A早朝)),0)+ROUND((_15_同援日０．５＿１．０*_15・通訳),0)</f>
        <v>433</v>
      </c>
      <c r="AA19" s="48"/>
    </row>
    <row r="20" spans="1:27" ht="16.5" customHeight="1" x14ac:dyDescent="0.15">
      <c r="A20" s="41">
        <v>15</v>
      </c>
      <c r="B20" s="41" t="s">
        <v>2940</v>
      </c>
      <c r="C20" s="74" t="s">
        <v>27114</v>
      </c>
      <c r="D20" s="72"/>
      <c r="F20" s="57"/>
      <c r="G20" s="72" t="s">
        <v>17589</v>
      </c>
      <c r="I20" s="57"/>
      <c r="J20" s="35"/>
      <c r="M20" s="299" t="s">
        <v>17556</v>
      </c>
      <c r="N20" s="45" t="s">
        <v>398</v>
      </c>
      <c r="O20" s="46">
        <v>1</v>
      </c>
      <c r="P20" s="512"/>
      <c r="Q20" s="57"/>
      <c r="R20" s="43"/>
      <c r="S20" s="37"/>
      <c r="T20" s="38"/>
      <c r="U20" s="79"/>
      <c r="V20" s="35"/>
      <c r="Y20" s="57"/>
      <c r="Z20" s="208">
        <f>ROUND((ROUND((ROUND((_15_同援日０．５*_15・通訳),0)*_15・２人),0)*(1+_15・A早朝)),0)+ROUND((ROUND((_15_同援日０．５＿１．０*_15・通訳),0)*_15・２人),0)</f>
        <v>433</v>
      </c>
      <c r="AA20" s="48"/>
    </row>
    <row r="21" spans="1:27" ht="16.5" customHeight="1" x14ac:dyDescent="0.15">
      <c r="A21" s="41">
        <v>15</v>
      </c>
      <c r="B21" s="41" t="s">
        <v>27115</v>
      </c>
      <c r="C21" s="74" t="s">
        <v>27116</v>
      </c>
      <c r="D21" s="72"/>
      <c r="F21" s="57"/>
      <c r="G21" s="72" t="s">
        <v>17591</v>
      </c>
      <c r="I21" s="57"/>
      <c r="J21" s="35"/>
      <c r="M21" s="163"/>
      <c r="N21" s="45"/>
      <c r="O21" s="46"/>
      <c r="P21" s="512"/>
      <c r="Q21" s="57"/>
      <c r="R21" s="114" t="s">
        <v>17562</v>
      </c>
      <c r="S21" s="49"/>
      <c r="T21" s="50"/>
      <c r="U21" s="115"/>
      <c r="V21" s="35"/>
      <c r="Y21" s="57"/>
      <c r="Z21" s="208">
        <f>ROUND((ROUND((ROUND((_15_同援日０．５*_15・通訳),0)*(1+_15・A早朝)),0)*(1+_15・盲ろう)),0)+ROUND((ROUND((_15_同援日０．５＿１．０*_15・通訳),0)*(1+_15・盲ろう)),0)</f>
        <v>542</v>
      </c>
      <c r="AA21" s="48"/>
    </row>
    <row r="22" spans="1:27" ht="16.5" customHeight="1" x14ac:dyDescent="0.15">
      <c r="A22" s="41">
        <v>15</v>
      </c>
      <c r="B22" s="41" t="s">
        <v>27117</v>
      </c>
      <c r="C22" s="74" t="s">
        <v>27118</v>
      </c>
      <c r="D22" s="72"/>
      <c r="F22" s="57"/>
      <c r="G22" s="72"/>
      <c r="H22" s="168">
        <f>_15_同援日０．５＿１．０</f>
        <v>243</v>
      </c>
      <c r="I22" s="57" t="s">
        <v>392</v>
      </c>
      <c r="J22" s="35"/>
      <c r="M22" s="299" t="s">
        <v>17556</v>
      </c>
      <c r="N22" s="45" t="s">
        <v>398</v>
      </c>
      <c r="O22" s="46">
        <v>1</v>
      </c>
      <c r="P22" s="512"/>
      <c r="Q22" s="57"/>
      <c r="R22" s="269" t="s">
        <v>17564</v>
      </c>
      <c r="S22" s="37" t="s">
        <v>398</v>
      </c>
      <c r="T22" s="38">
        <v>0.25</v>
      </c>
      <c r="U22" s="79" t="s">
        <v>3575</v>
      </c>
      <c r="V22" s="43"/>
      <c r="W22" s="37"/>
      <c r="X22" s="38"/>
      <c r="Y22" s="79"/>
      <c r="Z22" s="208">
        <f>ROUND((ROUND((ROUND((ROUND((_15_同援日０．５*_15・通訳),0)*_15・２人),0)*(1+_15・A早朝)),0)*(1+_15・盲ろう)),0)+ROUND((ROUND((ROUND((_15_同援日０．５＿１．０*_15・通訳),0)*_15・２人),0)*(1+_15・盲ろう)),0)</f>
        <v>542</v>
      </c>
      <c r="AA22" s="48"/>
    </row>
    <row r="23" spans="1:27" ht="16.5" customHeight="1" x14ac:dyDescent="0.15">
      <c r="A23" s="41">
        <v>15</v>
      </c>
      <c r="B23" s="41" t="s">
        <v>27119</v>
      </c>
      <c r="C23" s="74" t="s">
        <v>27120</v>
      </c>
      <c r="D23" s="72"/>
      <c r="F23" s="57"/>
      <c r="G23" s="72"/>
      <c r="I23" s="57"/>
      <c r="J23" s="35"/>
      <c r="M23" s="163"/>
      <c r="N23" s="45"/>
      <c r="O23" s="46"/>
      <c r="P23" s="512"/>
      <c r="Q23" s="57"/>
      <c r="R23" s="53"/>
      <c r="S23" s="49"/>
      <c r="T23" s="50"/>
      <c r="U23" s="115"/>
      <c r="V23" s="114" t="s">
        <v>17570</v>
      </c>
      <c r="W23" s="49"/>
      <c r="X23" s="50"/>
      <c r="Y23" s="115"/>
      <c r="Z23" s="208">
        <f>ROUND((ROUND((ROUND((_15_同援日０．５*_15・通訳),0)*(1+_15・A早朝)),0)*(1+_15・区３)),0)+ROUND((ROUND((_15_同援日０．５＿１．０*_15・通訳),0)*(1+_15・区３)),0)</f>
        <v>520</v>
      </c>
      <c r="AA23" s="48"/>
    </row>
    <row r="24" spans="1:27" ht="16.5" customHeight="1" x14ac:dyDescent="0.15">
      <c r="A24" s="41">
        <v>15</v>
      </c>
      <c r="B24" s="41" t="s">
        <v>27121</v>
      </c>
      <c r="C24" s="74" t="s">
        <v>27122</v>
      </c>
      <c r="D24" s="72"/>
      <c r="F24" s="57"/>
      <c r="G24" s="72"/>
      <c r="I24" s="57"/>
      <c r="J24" s="35"/>
      <c r="M24" s="299" t="s">
        <v>17556</v>
      </c>
      <c r="N24" s="45" t="s">
        <v>398</v>
      </c>
      <c r="O24" s="46">
        <v>1</v>
      </c>
      <c r="P24" s="512"/>
      <c r="Q24" s="57"/>
      <c r="R24" s="43"/>
      <c r="S24" s="37"/>
      <c r="T24" s="38"/>
      <c r="U24" s="79"/>
      <c r="V24" s="92" t="s">
        <v>17572</v>
      </c>
      <c r="Y24" s="57"/>
      <c r="Z24" s="208">
        <f>ROUND((ROUND((ROUND((ROUND((_15_同援日０．５*_15・通訳),0)*_15・２人),0)*(1+_15・A早朝)),0)*(1+_15・区３)),0)+ROUND((ROUND((ROUND((_15_同援日０．５＿１．０*_15・通訳),0)*_15・２人),0)*(1+_15・区３)),0)</f>
        <v>520</v>
      </c>
      <c r="AA24" s="48"/>
    </row>
    <row r="25" spans="1:27" ht="16.5" customHeight="1" x14ac:dyDescent="0.15">
      <c r="A25" s="41">
        <v>15</v>
      </c>
      <c r="B25" s="41" t="s">
        <v>27123</v>
      </c>
      <c r="C25" s="74" t="s">
        <v>27124</v>
      </c>
      <c r="D25" s="72"/>
      <c r="F25" s="57"/>
      <c r="G25" s="72"/>
      <c r="I25" s="57"/>
      <c r="J25" s="35"/>
      <c r="M25" s="163"/>
      <c r="N25" s="45"/>
      <c r="O25" s="46"/>
      <c r="P25" s="512"/>
      <c r="Q25" s="57"/>
      <c r="R25" s="114" t="s">
        <v>17562</v>
      </c>
      <c r="S25" s="49"/>
      <c r="T25" s="50"/>
      <c r="U25" s="115"/>
      <c r="V25" s="35"/>
      <c r="W25" s="12" t="s">
        <v>398</v>
      </c>
      <c r="X25" s="13">
        <v>0.2</v>
      </c>
      <c r="Y25" s="57" t="s">
        <v>3575</v>
      </c>
      <c r="Z25" s="208">
        <f>ROUND((ROUND((ROUND((ROUND((_15_同援日０．５*_15・通訳),0)*(1+_15・A早朝)),0)*(1+_15・盲ろう)),0)*(1+_15・区３)),0)+ROUND((ROUND((ROUND((_15_同援日０．５＿１．０*_15・通訳),0)*(1+_15・盲ろう)),0)*(1+_15・区３)),0)</f>
        <v>651</v>
      </c>
      <c r="AA25" s="48"/>
    </row>
    <row r="26" spans="1:27" ht="16.5" customHeight="1" x14ac:dyDescent="0.15">
      <c r="A26" s="41">
        <v>15</v>
      </c>
      <c r="B26" s="41" t="s">
        <v>27125</v>
      </c>
      <c r="C26" s="74" t="s">
        <v>27126</v>
      </c>
      <c r="D26" s="72"/>
      <c r="F26" s="57"/>
      <c r="G26" s="72"/>
      <c r="I26" s="57"/>
      <c r="J26" s="35"/>
      <c r="M26" s="299" t="s">
        <v>17556</v>
      </c>
      <c r="N26" s="45" t="s">
        <v>398</v>
      </c>
      <c r="O26" s="46">
        <v>1</v>
      </c>
      <c r="P26" s="512"/>
      <c r="Q26" s="57"/>
      <c r="R26" s="269" t="s">
        <v>17564</v>
      </c>
      <c r="S26" s="37" t="s">
        <v>398</v>
      </c>
      <c r="T26" s="38">
        <v>0.25</v>
      </c>
      <c r="U26" s="79" t="s">
        <v>3575</v>
      </c>
      <c r="V26" s="43"/>
      <c r="W26" s="37"/>
      <c r="X26" s="38"/>
      <c r="Y26" s="79"/>
      <c r="Z26" s="208">
        <f>ROUND((ROUND((ROUND((ROUND((ROUND((_15_同援日０．５*_15・通訳),0)*_15・２人),0)*(1+_15・A早朝)),0)*(1+_15・盲ろう)),0)*(1+_15・区３)),0)+ROUND((ROUND((ROUND((ROUND((_15_同援日０．５＿１．０*_15・通訳),0)*_15・２人),0)*(1+_15・盲ろう)),0)*(1+_15・区３)),0)</f>
        <v>651</v>
      </c>
      <c r="AA26" s="48"/>
    </row>
    <row r="27" spans="1:27" ht="16.5" customHeight="1" x14ac:dyDescent="0.15">
      <c r="A27" s="41">
        <v>15</v>
      </c>
      <c r="B27" s="41" t="s">
        <v>27127</v>
      </c>
      <c r="C27" s="74" t="s">
        <v>27128</v>
      </c>
      <c r="D27" s="72"/>
      <c r="F27" s="57"/>
      <c r="G27" s="72"/>
      <c r="I27" s="57"/>
      <c r="J27" s="35"/>
      <c r="M27" s="163"/>
      <c r="N27" s="45"/>
      <c r="O27" s="46"/>
      <c r="P27" s="512"/>
      <c r="Q27" s="57"/>
      <c r="R27" s="53"/>
      <c r="S27" s="49"/>
      <c r="T27" s="50"/>
      <c r="U27" s="115"/>
      <c r="V27" s="114" t="s">
        <v>17580</v>
      </c>
      <c r="W27" s="49"/>
      <c r="X27" s="50"/>
      <c r="Y27" s="115"/>
      <c r="Z27" s="208">
        <f>ROUND((ROUND((ROUND((_15_同援日０．５*_15・通訳),0)*(1+_15・A早朝)),0)*(1+_15・区４)),0)+ROUND((ROUND((_15_同援日０．５＿１．０*_15・通訳),0)*(1+_15・区４)),0)</f>
        <v>607</v>
      </c>
      <c r="AA27" s="48"/>
    </row>
    <row r="28" spans="1:27" ht="16.5" customHeight="1" x14ac:dyDescent="0.15">
      <c r="A28" s="41">
        <v>15</v>
      </c>
      <c r="B28" s="41" t="s">
        <v>27129</v>
      </c>
      <c r="C28" s="74" t="s">
        <v>27130</v>
      </c>
      <c r="D28" s="72"/>
      <c r="F28" s="57"/>
      <c r="G28" s="72"/>
      <c r="I28" s="57"/>
      <c r="J28" s="35"/>
      <c r="M28" s="299" t="s">
        <v>17556</v>
      </c>
      <c r="N28" s="45" t="s">
        <v>398</v>
      </c>
      <c r="O28" s="46">
        <v>1</v>
      </c>
      <c r="P28" s="512"/>
      <c r="Q28" s="57"/>
      <c r="R28" s="43"/>
      <c r="S28" s="37"/>
      <c r="T28" s="38"/>
      <c r="U28" s="79"/>
      <c r="V28" s="92" t="s">
        <v>17572</v>
      </c>
      <c r="Y28" s="57"/>
      <c r="Z28" s="208">
        <f>ROUND((ROUND((ROUND((ROUND((_15_同援日０．５*_15・通訳),0)*_15・２人),0)*(1+_15・A早朝)),0)*(1+_15・区４)),0)+ROUND((ROUND((ROUND((_15_同援日０．５＿１．０*_15・通訳),0)*_15・２人),0)*(1+_15・区４)),0)</f>
        <v>607</v>
      </c>
      <c r="AA28" s="48"/>
    </row>
    <row r="29" spans="1:27" ht="16.5" customHeight="1" x14ac:dyDescent="0.15">
      <c r="A29" s="41">
        <v>15</v>
      </c>
      <c r="B29" s="41" t="s">
        <v>27131</v>
      </c>
      <c r="C29" s="74" t="s">
        <v>27132</v>
      </c>
      <c r="D29" s="72"/>
      <c r="F29" s="57"/>
      <c r="G29" s="72"/>
      <c r="I29" s="57"/>
      <c r="J29" s="35"/>
      <c r="M29" s="163"/>
      <c r="N29" s="45"/>
      <c r="O29" s="46"/>
      <c r="P29" s="512"/>
      <c r="Q29" s="57"/>
      <c r="R29" s="114" t="s">
        <v>17562</v>
      </c>
      <c r="S29" s="49"/>
      <c r="T29" s="50"/>
      <c r="U29" s="115"/>
      <c r="V29" s="35"/>
      <c r="W29" s="12" t="s">
        <v>398</v>
      </c>
      <c r="X29" s="13">
        <v>0.4</v>
      </c>
      <c r="Y29" s="57" t="s">
        <v>3575</v>
      </c>
      <c r="Z29" s="208">
        <f>ROUND((ROUND((ROUND((ROUND((_15_同援日０．５*_15・通訳),0)*(1+_15・A早朝)),0)*(1+_15・盲ろう)),0)*(1+_15・区４)),0)+ROUND((ROUND((ROUND((_15_同援日０．５＿１．０*_15・通訳),0)*(1+_15・盲ろう)),0)*(1+_15・区４)),0)</f>
        <v>759</v>
      </c>
      <c r="AA29" s="48"/>
    </row>
    <row r="30" spans="1:27" ht="16.5" customHeight="1" x14ac:dyDescent="0.15">
      <c r="A30" s="41">
        <v>15</v>
      </c>
      <c r="B30" s="41" t="s">
        <v>27133</v>
      </c>
      <c r="C30" s="74" t="s">
        <v>27134</v>
      </c>
      <c r="D30" s="72"/>
      <c r="F30" s="57"/>
      <c r="G30" s="122"/>
      <c r="H30" s="37"/>
      <c r="I30" s="79"/>
      <c r="J30" s="35"/>
      <c r="M30" s="299" t="s">
        <v>17556</v>
      </c>
      <c r="N30" s="45" t="s">
        <v>398</v>
      </c>
      <c r="O30" s="46">
        <v>1</v>
      </c>
      <c r="P30" s="512"/>
      <c r="Q30" s="57"/>
      <c r="R30" s="269" t="s">
        <v>17564</v>
      </c>
      <c r="S30" s="37" t="s">
        <v>398</v>
      </c>
      <c r="T30" s="38">
        <v>0.25</v>
      </c>
      <c r="U30" s="79" t="s">
        <v>3575</v>
      </c>
      <c r="V30" s="43"/>
      <c r="W30" s="37"/>
      <c r="X30" s="38"/>
      <c r="Y30" s="79"/>
      <c r="Z30" s="208">
        <f>ROUND((ROUND((ROUND((ROUND((ROUND((_15_同援日０．５*_15・通訳),0)*_15・２人),0)*(1+_15・A早朝)),0)*(1+_15・盲ろう)),0)*(1+_15・区４)),0)+ROUND((ROUND((ROUND((ROUND((_15_同援日０．５＿１．０*_15・通訳),0)*_15・２人),0)*(1+_15・盲ろう)),0)*(1+_15・区４)),0)</f>
        <v>759</v>
      </c>
      <c r="AA30" s="48"/>
    </row>
    <row r="31" spans="1:27" ht="16.5" customHeight="1" x14ac:dyDescent="0.15">
      <c r="A31" s="41">
        <v>15</v>
      </c>
      <c r="B31" s="41" t="s">
        <v>27135</v>
      </c>
      <c r="C31" s="74" t="s">
        <v>27136</v>
      </c>
      <c r="D31" s="72"/>
      <c r="F31" s="57"/>
      <c r="G31" s="114" t="s">
        <v>19237</v>
      </c>
      <c r="H31" s="49"/>
      <c r="I31" s="115"/>
      <c r="J31" s="35"/>
      <c r="M31" s="163"/>
      <c r="N31" s="45"/>
      <c r="O31" s="46"/>
      <c r="P31" s="512"/>
      <c r="Q31" s="57"/>
      <c r="R31" s="53"/>
      <c r="S31" s="49"/>
      <c r="T31" s="50"/>
      <c r="U31" s="115"/>
      <c r="V31" s="53"/>
      <c r="W31" s="49"/>
      <c r="X31" s="50"/>
      <c r="Y31" s="115"/>
      <c r="Z31" s="208">
        <f>ROUND((ROUND((_15_同援日０．５*_15・通訳),0)*(1+_15・A早朝)),0)+ROUND((_15_同援日０．５＿１．５*_15・通訳),0)</f>
        <v>491</v>
      </c>
      <c r="AA31" s="48"/>
    </row>
    <row r="32" spans="1:27" ht="16.5" customHeight="1" x14ac:dyDescent="0.15">
      <c r="A32" s="41">
        <v>15</v>
      </c>
      <c r="B32" s="41" t="s">
        <v>27137</v>
      </c>
      <c r="C32" s="74" t="s">
        <v>27138</v>
      </c>
      <c r="D32" s="72"/>
      <c r="F32" s="57"/>
      <c r="G32" s="72" t="s">
        <v>17616</v>
      </c>
      <c r="I32" s="57"/>
      <c r="J32" s="35"/>
      <c r="M32" s="299" t="s">
        <v>17556</v>
      </c>
      <c r="N32" s="45" t="s">
        <v>398</v>
      </c>
      <c r="O32" s="46">
        <v>1</v>
      </c>
      <c r="P32" s="512"/>
      <c r="Q32" s="57"/>
      <c r="R32" s="43"/>
      <c r="S32" s="37"/>
      <c r="T32" s="38"/>
      <c r="U32" s="79"/>
      <c r="V32" s="35"/>
      <c r="Y32" s="57"/>
      <c r="Z32" s="208">
        <f>ROUND((ROUND((ROUND((_15_同援日０．５*_15・通訳),0)*_15・２人),0)*(1+_15・A早朝)),0)+ROUND((ROUND((_15_同援日０．５＿１．５*_15・通訳),0)*_15・２人),0)</f>
        <v>491</v>
      </c>
      <c r="AA32" s="48"/>
    </row>
    <row r="33" spans="1:27" ht="16.5" customHeight="1" x14ac:dyDescent="0.15">
      <c r="A33" s="41">
        <v>15</v>
      </c>
      <c r="B33" s="41" t="s">
        <v>27139</v>
      </c>
      <c r="C33" s="74" t="s">
        <v>27140</v>
      </c>
      <c r="D33" s="72"/>
      <c r="F33" s="57"/>
      <c r="G33" s="72" t="s">
        <v>18183</v>
      </c>
      <c r="I33" s="57"/>
      <c r="J33" s="35"/>
      <c r="M33" s="163"/>
      <c r="N33" s="45"/>
      <c r="O33" s="46"/>
      <c r="P33" s="512"/>
      <c r="Q33" s="57"/>
      <c r="R33" s="114" t="s">
        <v>17562</v>
      </c>
      <c r="S33" s="49"/>
      <c r="T33" s="50"/>
      <c r="U33" s="115"/>
      <c r="V33" s="35"/>
      <c r="Y33" s="57"/>
      <c r="Z33" s="208">
        <f>ROUND((ROUND((ROUND((_15_同援日０．５*_15・通訳),0)*(1+_15・A早朝)),0)*(1+_15・盲ろう)),0)+ROUND((ROUND((_15_同援日０．５＿１．５*_15・通訳),0)*(1+_15・盲ろう)),0)</f>
        <v>614</v>
      </c>
      <c r="AA33" s="48"/>
    </row>
    <row r="34" spans="1:27" ht="16.5" customHeight="1" x14ac:dyDescent="0.15">
      <c r="A34" s="41">
        <v>15</v>
      </c>
      <c r="B34" s="41" t="s">
        <v>27141</v>
      </c>
      <c r="C34" s="74" t="s">
        <v>27142</v>
      </c>
      <c r="D34" s="72"/>
      <c r="F34" s="57"/>
      <c r="G34" s="72"/>
      <c r="H34" s="168">
        <f>_15_同援日０．５＿１．５</f>
        <v>308</v>
      </c>
      <c r="I34" s="57" t="s">
        <v>392</v>
      </c>
      <c r="J34" s="35"/>
      <c r="M34" s="299" t="s">
        <v>17556</v>
      </c>
      <c r="N34" s="45" t="s">
        <v>398</v>
      </c>
      <c r="O34" s="46">
        <v>1</v>
      </c>
      <c r="P34" s="512"/>
      <c r="Q34" s="57"/>
      <c r="R34" s="269" t="s">
        <v>17564</v>
      </c>
      <c r="S34" s="37" t="s">
        <v>398</v>
      </c>
      <c r="T34" s="38">
        <v>0.25</v>
      </c>
      <c r="U34" s="79" t="s">
        <v>3575</v>
      </c>
      <c r="V34" s="43"/>
      <c r="W34" s="37"/>
      <c r="X34" s="38"/>
      <c r="Y34" s="79"/>
      <c r="Z34" s="208">
        <f>ROUND((ROUND((ROUND((ROUND((_15_同援日０．５*_15・通訳),0)*_15・２人),0)*(1+_15・A早朝)),0)*(1+_15・盲ろう)),0)+ROUND((ROUND((ROUND((_15_同援日０．５＿１．５*_15・通訳),0)*_15・２人),0)*(1+_15・盲ろう)),0)</f>
        <v>614</v>
      </c>
      <c r="AA34" s="48"/>
    </row>
    <row r="35" spans="1:27" ht="16.5" customHeight="1" x14ac:dyDescent="0.15">
      <c r="A35" s="41">
        <v>15</v>
      </c>
      <c r="B35" s="41" t="s">
        <v>27143</v>
      </c>
      <c r="C35" s="74" t="s">
        <v>27144</v>
      </c>
      <c r="D35" s="72"/>
      <c r="F35" s="57"/>
      <c r="G35" s="72"/>
      <c r="I35" s="57"/>
      <c r="J35" s="35"/>
      <c r="M35" s="163"/>
      <c r="N35" s="45"/>
      <c r="O35" s="46"/>
      <c r="P35" s="512"/>
      <c r="Q35" s="57"/>
      <c r="R35" s="53"/>
      <c r="S35" s="49"/>
      <c r="T35" s="50"/>
      <c r="U35" s="115"/>
      <c r="V35" s="114" t="s">
        <v>17570</v>
      </c>
      <c r="W35" s="49"/>
      <c r="X35" s="50"/>
      <c r="Y35" s="115"/>
      <c r="Z35" s="208">
        <f>ROUND((ROUND((ROUND((_15_同援日０．５*_15・通訳),0)*(1+_15・A早朝)),0)*(1+_15・区３)),0)+ROUND((ROUND((_15_同援日０．５＿１．５*_15・通訳),0)*(1+_15・区３)),0)</f>
        <v>589</v>
      </c>
      <c r="AA35" s="48"/>
    </row>
    <row r="36" spans="1:27" ht="16.5" customHeight="1" x14ac:dyDescent="0.15">
      <c r="A36" s="41">
        <v>15</v>
      </c>
      <c r="B36" s="41" t="s">
        <v>27145</v>
      </c>
      <c r="C36" s="74" t="s">
        <v>27146</v>
      </c>
      <c r="D36" s="72"/>
      <c r="F36" s="57"/>
      <c r="G36" s="72"/>
      <c r="I36" s="57"/>
      <c r="J36" s="35"/>
      <c r="M36" s="299" t="s">
        <v>17556</v>
      </c>
      <c r="N36" s="45" t="s">
        <v>398</v>
      </c>
      <c r="O36" s="46">
        <v>1</v>
      </c>
      <c r="P36" s="512"/>
      <c r="Q36" s="57"/>
      <c r="R36" s="43"/>
      <c r="S36" s="37"/>
      <c r="T36" s="38"/>
      <c r="U36" s="79"/>
      <c r="V36" s="92" t="s">
        <v>17572</v>
      </c>
      <c r="Y36" s="57"/>
      <c r="Z36" s="208">
        <f>ROUND((ROUND((ROUND((ROUND((_15_同援日０．５*_15・通訳),0)*_15・２人),0)*(1+_15・A早朝)),0)*(1+_15・区３)),0)+ROUND((ROUND((ROUND((_15_同援日０．５＿１．５*_15・通訳),0)*_15・２人),0)*(1+_15・区３)),0)</f>
        <v>589</v>
      </c>
      <c r="AA36" s="48"/>
    </row>
    <row r="37" spans="1:27" ht="16.5" customHeight="1" x14ac:dyDescent="0.15">
      <c r="A37" s="41">
        <v>15</v>
      </c>
      <c r="B37" s="41" t="s">
        <v>2946</v>
      </c>
      <c r="C37" s="74" t="s">
        <v>27147</v>
      </c>
      <c r="D37" s="72"/>
      <c r="F37" s="57"/>
      <c r="G37" s="72"/>
      <c r="I37" s="57"/>
      <c r="J37" s="35"/>
      <c r="M37" s="163"/>
      <c r="N37" s="45"/>
      <c r="O37" s="46"/>
      <c r="P37" s="512"/>
      <c r="Q37" s="57"/>
      <c r="R37" s="114" t="s">
        <v>17562</v>
      </c>
      <c r="S37" s="49"/>
      <c r="T37" s="50"/>
      <c r="U37" s="115"/>
      <c r="V37" s="35"/>
      <c r="W37" s="12" t="s">
        <v>398</v>
      </c>
      <c r="X37" s="13">
        <v>0.2</v>
      </c>
      <c r="Y37" s="57" t="s">
        <v>3575</v>
      </c>
      <c r="Z37" s="208">
        <f>ROUND((ROUND((ROUND((ROUND((_15_同援日０．５*_15・通訳),0)*(1+_15・A早朝)),0)*(1+_15・盲ろう)),0)*(1+_15・区３)),0)+ROUND((ROUND((ROUND((_15_同援日０．５＿１．５*_15・通訳),0)*(1+_15・盲ろう)),0)*(1+_15・区３)),0)</f>
        <v>737</v>
      </c>
      <c r="AA37" s="48"/>
    </row>
    <row r="38" spans="1:27" ht="16.5" customHeight="1" x14ac:dyDescent="0.15">
      <c r="A38" s="41">
        <v>15</v>
      </c>
      <c r="B38" s="41" t="s">
        <v>2948</v>
      </c>
      <c r="C38" s="74" t="s">
        <v>27148</v>
      </c>
      <c r="D38" s="72"/>
      <c r="F38" s="57"/>
      <c r="G38" s="72"/>
      <c r="I38" s="57"/>
      <c r="J38" s="35"/>
      <c r="M38" s="299" t="s">
        <v>17556</v>
      </c>
      <c r="N38" s="45" t="s">
        <v>398</v>
      </c>
      <c r="O38" s="46">
        <v>1</v>
      </c>
      <c r="P38" s="512"/>
      <c r="Q38" s="57"/>
      <c r="R38" s="269" t="s">
        <v>17564</v>
      </c>
      <c r="S38" s="37" t="s">
        <v>398</v>
      </c>
      <c r="T38" s="38">
        <v>0.25</v>
      </c>
      <c r="U38" s="79" t="s">
        <v>3575</v>
      </c>
      <c r="V38" s="43"/>
      <c r="W38" s="37"/>
      <c r="X38" s="38"/>
      <c r="Y38" s="79"/>
      <c r="Z38" s="208">
        <f>ROUND((ROUND((ROUND((ROUND((ROUND((_15_同援日０．５*_15・通訳),0)*_15・２人),0)*(1+_15・A早朝)),0)*(1+_15・盲ろう)),0)*(1+_15・区３)),0)+ROUND((ROUND((ROUND((ROUND((_15_同援日０．５＿１．５*_15・通訳),0)*_15・２人),0)*(1+_15・盲ろう)),0)*(1+_15・区３)),0)</f>
        <v>737</v>
      </c>
      <c r="AA38" s="48"/>
    </row>
    <row r="39" spans="1:27" ht="16.5" customHeight="1" x14ac:dyDescent="0.15">
      <c r="A39" s="41">
        <v>15</v>
      </c>
      <c r="B39" s="41" t="s">
        <v>2950</v>
      </c>
      <c r="C39" s="74" t="s">
        <v>27149</v>
      </c>
      <c r="D39" s="72"/>
      <c r="F39" s="57"/>
      <c r="G39" s="72"/>
      <c r="I39" s="57"/>
      <c r="J39" s="35"/>
      <c r="M39" s="163"/>
      <c r="N39" s="45"/>
      <c r="O39" s="46"/>
      <c r="P39" s="512"/>
      <c r="Q39" s="57"/>
      <c r="R39" s="53"/>
      <c r="S39" s="49"/>
      <c r="T39" s="50"/>
      <c r="U39" s="115"/>
      <c r="V39" s="114" t="s">
        <v>17580</v>
      </c>
      <c r="W39" s="49"/>
      <c r="X39" s="50"/>
      <c r="Y39" s="115"/>
      <c r="Z39" s="208">
        <f>ROUND((ROUND((ROUND((_15_同援日０．５*_15・通訳),0)*(1+_15・A早朝)),0)*(1+_15・区４)),0)+ROUND((ROUND((_15_同援日０．５＿１．５*_15・通訳),0)*(1+_15・区４)),0)</f>
        <v>688</v>
      </c>
      <c r="AA39" s="48"/>
    </row>
    <row r="40" spans="1:27" ht="16.5" customHeight="1" x14ac:dyDescent="0.15">
      <c r="A40" s="41">
        <v>15</v>
      </c>
      <c r="B40" s="41" t="s">
        <v>2952</v>
      </c>
      <c r="C40" s="74" t="s">
        <v>27150</v>
      </c>
      <c r="D40" s="72"/>
      <c r="F40" s="57"/>
      <c r="G40" s="72"/>
      <c r="I40" s="57"/>
      <c r="J40" s="35"/>
      <c r="M40" s="299" t="s">
        <v>17556</v>
      </c>
      <c r="N40" s="45" t="s">
        <v>398</v>
      </c>
      <c r="O40" s="46">
        <v>1</v>
      </c>
      <c r="P40" s="512"/>
      <c r="Q40" s="57"/>
      <c r="R40" s="43"/>
      <c r="S40" s="37"/>
      <c r="T40" s="38"/>
      <c r="U40" s="79"/>
      <c r="V40" s="92" t="s">
        <v>17572</v>
      </c>
      <c r="Y40" s="57"/>
      <c r="Z40" s="208">
        <f>ROUND((ROUND((ROUND((ROUND((_15_同援日０．５*_15・通訳),0)*_15・２人),0)*(1+_15・A早朝)),0)*(1+_15・区４)),0)+ROUND((ROUND((ROUND((_15_同援日０．５＿１．５*_15・通訳),0)*_15・２人),0)*(1+_15・区４)),0)</f>
        <v>688</v>
      </c>
      <c r="AA40" s="48"/>
    </row>
    <row r="41" spans="1:27" ht="16.5" customHeight="1" x14ac:dyDescent="0.15">
      <c r="A41" s="41">
        <v>15</v>
      </c>
      <c r="B41" s="41" t="s">
        <v>27151</v>
      </c>
      <c r="C41" s="74" t="s">
        <v>27152</v>
      </c>
      <c r="D41" s="72"/>
      <c r="F41" s="57"/>
      <c r="G41" s="72"/>
      <c r="I41" s="57"/>
      <c r="J41" s="35"/>
      <c r="M41" s="163"/>
      <c r="N41" s="45"/>
      <c r="O41" s="46"/>
      <c r="P41" s="512"/>
      <c r="Q41" s="57"/>
      <c r="R41" s="114" t="s">
        <v>17562</v>
      </c>
      <c r="S41" s="49"/>
      <c r="T41" s="50"/>
      <c r="U41" s="115"/>
      <c r="V41" s="35"/>
      <c r="W41" s="12" t="s">
        <v>398</v>
      </c>
      <c r="X41" s="13">
        <v>0.4</v>
      </c>
      <c r="Y41" s="57" t="s">
        <v>3575</v>
      </c>
      <c r="Z41" s="208">
        <f>ROUND((ROUND((ROUND((ROUND((_15_同援日０．５*_15・通訳),0)*(1+_15・A早朝)),0)*(1+_15・盲ろう)),0)*(1+_15・区４)),0)+ROUND((ROUND((ROUND((_15_同援日０．５＿１．５*_15・通訳),0)*(1+_15・盲ろう)),0)*(1+_15・区４)),0)</f>
        <v>859</v>
      </c>
      <c r="AA41" s="48"/>
    </row>
    <row r="42" spans="1:27" ht="16.5" customHeight="1" x14ac:dyDescent="0.15">
      <c r="A42" s="41">
        <v>15</v>
      </c>
      <c r="B42" s="41" t="s">
        <v>27153</v>
      </c>
      <c r="C42" s="74" t="s">
        <v>27154</v>
      </c>
      <c r="D42" s="72"/>
      <c r="F42" s="57"/>
      <c r="G42" s="122"/>
      <c r="H42" s="37"/>
      <c r="I42" s="79"/>
      <c r="J42" s="35"/>
      <c r="M42" s="299" t="s">
        <v>17556</v>
      </c>
      <c r="N42" s="45" t="s">
        <v>398</v>
      </c>
      <c r="O42" s="46">
        <v>1</v>
      </c>
      <c r="P42" s="512"/>
      <c r="Q42" s="57"/>
      <c r="R42" s="269" t="s">
        <v>17564</v>
      </c>
      <c r="S42" s="37" t="s">
        <v>398</v>
      </c>
      <c r="T42" s="38">
        <v>0.25</v>
      </c>
      <c r="U42" s="79" t="s">
        <v>3575</v>
      </c>
      <c r="V42" s="43"/>
      <c r="W42" s="37"/>
      <c r="X42" s="38"/>
      <c r="Y42" s="79"/>
      <c r="Z42" s="208">
        <f>ROUND((ROUND((ROUND((ROUND((ROUND((_15_同援日０．５*_15・通訳),0)*_15・２人),0)*(1+_15・A早朝)),0)*(1+_15・盲ろう)),0)*(1+_15・区４)),0)+ROUND((ROUND((ROUND((ROUND((_15_同援日０．５＿１．５*_15・通訳),0)*_15・２人),0)*(1+_15・盲ろう)),0)*(1+_15・区４)),0)</f>
        <v>859</v>
      </c>
      <c r="AA42" s="48"/>
    </row>
    <row r="43" spans="1:27" ht="16.5" customHeight="1" x14ac:dyDescent="0.15">
      <c r="A43" s="41">
        <v>15</v>
      </c>
      <c r="B43" s="41" t="s">
        <v>27155</v>
      </c>
      <c r="C43" s="74" t="s">
        <v>27156</v>
      </c>
      <c r="D43" s="72"/>
      <c r="F43" s="57"/>
      <c r="G43" s="114" t="s">
        <v>19262</v>
      </c>
      <c r="H43" s="49"/>
      <c r="I43" s="115"/>
      <c r="J43" s="35"/>
      <c r="M43" s="163"/>
      <c r="N43" s="45"/>
      <c r="O43" s="46"/>
      <c r="P43" s="512"/>
      <c r="Q43" s="57"/>
      <c r="R43" s="53"/>
      <c r="S43" s="49"/>
      <c r="T43" s="50"/>
      <c r="U43" s="115"/>
      <c r="V43" s="53"/>
      <c r="W43" s="49"/>
      <c r="X43" s="50"/>
      <c r="Y43" s="115"/>
      <c r="Z43" s="208">
        <f>ROUND((ROUND((_15_同援日０．５*_15・通訳),0)*(1+_15・A早朝)),0)+ROUND((_15_同援日０．５＿２．０*_15・通訳),0)</f>
        <v>550</v>
      </c>
      <c r="AA43" s="48"/>
    </row>
    <row r="44" spans="1:27" ht="16.5" customHeight="1" x14ac:dyDescent="0.15">
      <c r="A44" s="41">
        <v>15</v>
      </c>
      <c r="B44" s="41" t="s">
        <v>27157</v>
      </c>
      <c r="C44" s="74" t="s">
        <v>27158</v>
      </c>
      <c r="D44" s="72"/>
      <c r="F44" s="57"/>
      <c r="G44" s="72" t="s">
        <v>17643</v>
      </c>
      <c r="I44" s="57"/>
      <c r="J44" s="35"/>
      <c r="M44" s="299" t="s">
        <v>17556</v>
      </c>
      <c r="N44" s="45" t="s">
        <v>398</v>
      </c>
      <c r="O44" s="46">
        <v>1</v>
      </c>
      <c r="P44" s="512"/>
      <c r="Q44" s="57"/>
      <c r="R44" s="43"/>
      <c r="S44" s="37"/>
      <c r="T44" s="38"/>
      <c r="U44" s="79"/>
      <c r="V44" s="35"/>
      <c r="Y44" s="57"/>
      <c r="Z44" s="208">
        <f>ROUND((ROUND((ROUND((_15_同援日０．５*_15・通訳),0)*_15・２人),0)*(1+_15・A早朝)),0)+ROUND((ROUND((_15_同援日０．５＿２．０*_15・通訳),0)*_15・２人),0)</f>
        <v>550</v>
      </c>
      <c r="AA44" s="48"/>
    </row>
    <row r="45" spans="1:27" ht="16.5" customHeight="1" x14ac:dyDescent="0.15">
      <c r="A45" s="41">
        <v>15</v>
      </c>
      <c r="B45" s="41" t="s">
        <v>27159</v>
      </c>
      <c r="C45" s="74" t="s">
        <v>27160</v>
      </c>
      <c r="D45" s="72"/>
      <c r="F45" s="57"/>
      <c r="G45" s="72" t="s">
        <v>17645</v>
      </c>
      <c r="I45" s="57"/>
      <c r="J45" s="35"/>
      <c r="M45" s="163"/>
      <c r="N45" s="45"/>
      <c r="O45" s="46"/>
      <c r="P45" s="512"/>
      <c r="Q45" s="57"/>
      <c r="R45" s="114" t="s">
        <v>17562</v>
      </c>
      <c r="S45" s="49"/>
      <c r="T45" s="50"/>
      <c r="U45" s="115"/>
      <c r="V45" s="35"/>
      <c r="Y45" s="57"/>
      <c r="Z45" s="208">
        <f>ROUND((ROUND((ROUND((_15_同援日０．５*_15・通訳),0)*(1+_15・A早朝)),0)*(1+_15・盲ろう)),0)+ROUND((ROUND((_15_同援日０．５＿２．０*_15・通訳),0)*(1+_15・盲ろう)),0)</f>
        <v>688</v>
      </c>
      <c r="AA45" s="48"/>
    </row>
    <row r="46" spans="1:27" ht="16.5" customHeight="1" x14ac:dyDescent="0.15">
      <c r="A46" s="41">
        <v>15</v>
      </c>
      <c r="B46" s="41" t="s">
        <v>27161</v>
      </c>
      <c r="C46" s="74" t="s">
        <v>27162</v>
      </c>
      <c r="D46" s="72"/>
      <c r="F46" s="57"/>
      <c r="G46" s="72"/>
      <c r="H46" s="168">
        <f>_15_同援日０．５＿２．０</f>
        <v>373</v>
      </c>
      <c r="I46" s="57" t="s">
        <v>392</v>
      </c>
      <c r="J46" s="35"/>
      <c r="M46" s="299" t="s">
        <v>17556</v>
      </c>
      <c r="N46" s="45" t="s">
        <v>398</v>
      </c>
      <c r="O46" s="46">
        <v>1</v>
      </c>
      <c r="P46" s="512"/>
      <c r="Q46" s="57"/>
      <c r="R46" s="269" t="s">
        <v>17564</v>
      </c>
      <c r="S46" s="37" t="s">
        <v>398</v>
      </c>
      <c r="T46" s="38">
        <v>0.25</v>
      </c>
      <c r="U46" s="79" t="s">
        <v>3575</v>
      </c>
      <c r="V46" s="43"/>
      <c r="W46" s="37"/>
      <c r="X46" s="38"/>
      <c r="Y46" s="79"/>
      <c r="Z46" s="208">
        <f>ROUND((ROUND((ROUND((ROUND((_15_同援日０．５*_15・通訳),0)*_15・２人),0)*(1+_15・A早朝)),0)*(1+_15・盲ろう)),0)+ROUND((ROUND((ROUND((_15_同援日０．５＿２．０*_15・通訳),0)*_15・２人),0)*(1+_15・盲ろう)),0)</f>
        <v>688</v>
      </c>
      <c r="AA46" s="48"/>
    </row>
    <row r="47" spans="1:27" ht="16.5" customHeight="1" x14ac:dyDescent="0.15">
      <c r="A47" s="41">
        <v>15</v>
      </c>
      <c r="B47" s="41" t="s">
        <v>27163</v>
      </c>
      <c r="C47" s="74" t="s">
        <v>27164</v>
      </c>
      <c r="D47" s="72"/>
      <c r="F47" s="57"/>
      <c r="G47" s="72"/>
      <c r="I47" s="57"/>
      <c r="J47" s="35"/>
      <c r="M47" s="163"/>
      <c r="N47" s="45"/>
      <c r="O47" s="46"/>
      <c r="P47" s="512"/>
      <c r="Q47" s="57"/>
      <c r="R47" s="53"/>
      <c r="S47" s="49"/>
      <c r="T47" s="50"/>
      <c r="U47" s="115"/>
      <c r="V47" s="114" t="s">
        <v>17570</v>
      </c>
      <c r="W47" s="49"/>
      <c r="X47" s="50"/>
      <c r="Y47" s="115"/>
      <c r="Z47" s="208">
        <f>ROUND((ROUND((ROUND((_15_同援日０．５*_15・通訳),0)*(1+_15・A早朝)),0)*(1+_15・区３)),0)+ROUND((ROUND((_15_同援日０．５＿２．０*_15・通訳),0)*(1+_15・区３)),0)</f>
        <v>660</v>
      </c>
      <c r="AA47" s="48"/>
    </row>
    <row r="48" spans="1:27" ht="16.5" customHeight="1" x14ac:dyDescent="0.15">
      <c r="A48" s="41">
        <v>15</v>
      </c>
      <c r="B48" s="41" t="s">
        <v>27165</v>
      </c>
      <c r="C48" s="74" t="s">
        <v>27166</v>
      </c>
      <c r="D48" s="72"/>
      <c r="F48" s="57"/>
      <c r="G48" s="72"/>
      <c r="I48" s="57"/>
      <c r="J48" s="35"/>
      <c r="M48" s="299" t="s">
        <v>17556</v>
      </c>
      <c r="N48" s="45" t="s">
        <v>398</v>
      </c>
      <c r="O48" s="46">
        <v>1</v>
      </c>
      <c r="P48" s="512"/>
      <c r="Q48" s="57"/>
      <c r="R48" s="43"/>
      <c r="S48" s="37"/>
      <c r="T48" s="38"/>
      <c r="U48" s="79"/>
      <c r="V48" s="92" t="s">
        <v>17572</v>
      </c>
      <c r="Y48" s="57"/>
      <c r="Z48" s="208">
        <f>ROUND((ROUND((ROUND((ROUND((_15_同援日０．５*_15・通訳),0)*_15・２人),0)*(1+_15・A早朝)),0)*(1+_15・区３)),0)+ROUND((ROUND((ROUND((_15_同援日０．５＿２．０*_15・通訳),0)*_15・２人),0)*(1+_15・区３)),0)</f>
        <v>660</v>
      </c>
      <c r="AA48" s="48"/>
    </row>
    <row r="49" spans="1:27" ht="16.5" customHeight="1" x14ac:dyDescent="0.15">
      <c r="A49" s="41">
        <v>15</v>
      </c>
      <c r="B49" s="41" t="s">
        <v>27167</v>
      </c>
      <c r="C49" s="74" t="s">
        <v>27168</v>
      </c>
      <c r="D49" s="72"/>
      <c r="F49" s="57"/>
      <c r="G49" s="72"/>
      <c r="I49" s="57"/>
      <c r="J49" s="35"/>
      <c r="M49" s="163"/>
      <c r="N49" s="45"/>
      <c r="O49" s="46"/>
      <c r="P49" s="512"/>
      <c r="Q49" s="57"/>
      <c r="R49" s="114" t="s">
        <v>17562</v>
      </c>
      <c r="S49" s="49"/>
      <c r="T49" s="50"/>
      <c r="U49" s="115"/>
      <c r="V49" s="35"/>
      <c r="W49" s="12" t="s">
        <v>398</v>
      </c>
      <c r="X49" s="13">
        <v>0.2</v>
      </c>
      <c r="Y49" s="57" t="s">
        <v>3575</v>
      </c>
      <c r="Z49" s="208">
        <f>ROUND((ROUND((ROUND((ROUND((_15_同援日０．５*_15・通訳),0)*(1+_15・A早朝)),0)*(1+_15・盲ろう)),0)*(1+_15・区３)),0)+ROUND((ROUND((ROUND((_15_同援日０．５＿２．０*_15・通訳),0)*(1+_15・盲ろう)),0)*(1+_15・区３)),0)</f>
        <v>826</v>
      </c>
      <c r="AA49" s="48"/>
    </row>
    <row r="50" spans="1:27" ht="16.5" customHeight="1" x14ac:dyDescent="0.15">
      <c r="A50" s="41">
        <v>15</v>
      </c>
      <c r="B50" s="41" t="s">
        <v>27169</v>
      </c>
      <c r="C50" s="74" t="s">
        <v>27170</v>
      </c>
      <c r="D50" s="72"/>
      <c r="F50" s="57"/>
      <c r="G50" s="72"/>
      <c r="I50" s="57"/>
      <c r="J50" s="35"/>
      <c r="M50" s="299" t="s">
        <v>17556</v>
      </c>
      <c r="N50" s="45" t="s">
        <v>398</v>
      </c>
      <c r="O50" s="46">
        <v>1</v>
      </c>
      <c r="P50" s="512"/>
      <c r="Q50" s="57"/>
      <c r="R50" s="269" t="s">
        <v>17564</v>
      </c>
      <c r="S50" s="37" t="s">
        <v>398</v>
      </c>
      <c r="T50" s="38">
        <v>0.25</v>
      </c>
      <c r="U50" s="79" t="s">
        <v>3575</v>
      </c>
      <c r="V50" s="43"/>
      <c r="W50" s="37"/>
      <c r="X50" s="38"/>
      <c r="Y50" s="79"/>
      <c r="Z50" s="208">
        <f>ROUND((ROUND((ROUND((ROUND((ROUND((_15_同援日０．５*_15・通訳),0)*_15・２人),0)*(1+_15・A早朝)),0)*(1+_15・盲ろう)),0)*(1+_15・区３)),0)+ROUND((ROUND((ROUND((ROUND((_15_同援日０．５＿２．０*_15・通訳),0)*_15・２人),0)*(1+_15・盲ろう)),0)*(1+_15・区３)),0)</f>
        <v>826</v>
      </c>
      <c r="AA50" s="48"/>
    </row>
    <row r="51" spans="1:27" ht="16.5" customHeight="1" x14ac:dyDescent="0.15">
      <c r="A51" s="41">
        <v>15</v>
      </c>
      <c r="B51" s="41" t="s">
        <v>27171</v>
      </c>
      <c r="C51" s="74" t="s">
        <v>27172</v>
      </c>
      <c r="D51" s="72"/>
      <c r="F51" s="57"/>
      <c r="G51" s="72"/>
      <c r="I51" s="57"/>
      <c r="J51" s="35"/>
      <c r="M51" s="163"/>
      <c r="N51" s="45"/>
      <c r="O51" s="46"/>
      <c r="P51" s="512"/>
      <c r="Q51" s="57"/>
      <c r="R51" s="53"/>
      <c r="S51" s="49"/>
      <c r="T51" s="50"/>
      <c r="U51" s="115"/>
      <c r="V51" s="114" t="s">
        <v>17580</v>
      </c>
      <c r="W51" s="49"/>
      <c r="X51" s="50"/>
      <c r="Y51" s="115"/>
      <c r="Z51" s="208">
        <f>ROUND((ROUND((ROUND((_15_同援日０．５*_15・通訳),0)*(1+_15・A早朝)),0)*(1+_15・区４)),0)+ROUND((ROUND((_15_同援日０．５＿２．０*_15・通訳),0)*(1+_15・区４)),0)</f>
        <v>770</v>
      </c>
      <c r="AA51" s="48"/>
    </row>
    <row r="52" spans="1:27" ht="16.5" customHeight="1" x14ac:dyDescent="0.15">
      <c r="A52" s="41">
        <v>15</v>
      </c>
      <c r="B52" s="41" t="s">
        <v>27173</v>
      </c>
      <c r="C52" s="74" t="s">
        <v>27174</v>
      </c>
      <c r="D52" s="72"/>
      <c r="F52" s="57"/>
      <c r="G52" s="72"/>
      <c r="I52" s="57"/>
      <c r="J52" s="35"/>
      <c r="M52" s="299" t="s">
        <v>17556</v>
      </c>
      <c r="N52" s="45" t="s">
        <v>398</v>
      </c>
      <c r="O52" s="46">
        <v>1</v>
      </c>
      <c r="P52" s="512"/>
      <c r="Q52" s="57"/>
      <c r="R52" s="43"/>
      <c r="S52" s="37"/>
      <c r="T52" s="38"/>
      <c r="U52" s="79"/>
      <c r="V52" s="92" t="s">
        <v>17572</v>
      </c>
      <c r="Y52" s="57"/>
      <c r="Z52" s="208">
        <f>ROUND((ROUND((ROUND((ROUND((_15_同援日０．５*_15・通訳),0)*_15・２人),0)*(1+_15・A早朝)),0)*(1+_15・区４)),0)+ROUND((ROUND((ROUND((_15_同援日０．５＿２．０*_15・通訳),0)*_15・２人),0)*(1+_15・区４)),0)</f>
        <v>770</v>
      </c>
      <c r="AA52" s="48"/>
    </row>
    <row r="53" spans="1:27" ht="16.5" customHeight="1" x14ac:dyDescent="0.15">
      <c r="A53" s="41">
        <v>15</v>
      </c>
      <c r="B53" s="41" t="s">
        <v>27175</v>
      </c>
      <c r="C53" s="74" t="s">
        <v>27176</v>
      </c>
      <c r="D53" s="72"/>
      <c r="F53" s="57"/>
      <c r="G53" s="72"/>
      <c r="I53" s="57"/>
      <c r="J53" s="35"/>
      <c r="M53" s="163"/>
      <c r="N53" s="45"/>
      <c r="O53" s="46"/>
      <c r="P53" s="512"/>
      <c r="Q53" s="57"/>
      <c r="R53" s="114" t="s">
        <v>17562</v>
      </c>
      <c r="S53" s="49"/>
      <c r="T53" s="50"/>
      <c r="U53" s="115"/>
      <c r="V53" s="35"/>
      <c r="W53" s="12" t="s">
        <v>398</v>
      </c>
      <c r="X53" s="13">
        <v>0.4</v>
      </c>
      <c r="Y53" s="57" t="s">
        <v>3575</v>
      </c>
      <c r="Z53" s="208">
        <f>ROUND((ROUND((ROUND((ROUND((_15_同援日０．５*_15・通訳),0)*(1+_15・A早朝)),0)*(1+_15・盲ろう)),0)*(1+_15・区４)),0)+ROUND((ROUND((ROUND((_15_同援日０．５＿２．０*_15・通訳),0)*(1+_15・盲ろう)),0)*(1+_15・区４)),0)</f>
        <v>963</v>
      </c>
      <c r="AA53" s="48"/>
    </row>
    <row r="54" spans="1:27" ht="16.5" customHeight="1" x14ac:dyDescent="0.15">
      <c r="A54" s="41">
        <v>15</v>
      </c>
      <c r="B54" s="41" t="s">
        <v>27177</v>
      </c>
      <c r="C54" s="74" t="s">
        <v>27178</v>
      </c>
      <c r="D54" s="72"/>
      <c r="F54" s="57"/>
      <c r="G54" s="122"/>
      <c r="H54" s="37"/>
      <c r="I54" s="79"/>
      <c r="J54" s="35"/>
      <c r="M54" s="299" t="s">
        <v>17556</v>
      </c>
      <c r="N54" s="45" t="s">
        <v>398</v>
      </c>
      <c r="O54" s="46">
        <v>1</v>
      </c>
      <c r="P54" s="512"/>
      <c r="Q54" s="57"/>
      <c r="R54" s="269" t="s">
        <v>17564</v>
      </c>
      <c r="S54" s="37" t="s">
        <v>398</v>
      </c>
      <c r="T54" s="38">
        <v>0.25</v>
      </c>
      <c r="U54" s="79" t="s">
        <v>3575</v>
      </c>
      <c r="V54" s="43"/>
      <c r="W54" s="37"/>
      <c r="X54" s="38"/>
      <c r="Y54" s="79"/>
      <c r="Z54" s="208">
        <f>ROUND((ROUND((ROUND((ROUND((ROUND((_15_同援日０．５*_15・通訳),0)*_15・２人),0)*(1+_15・A早朝)),0)*(1+_15・盲ろう)),0)*(1+_15・区４)),0)+ROUND((ROUND((ROUND((ROUND((_15_同援日０．５＿２．０*_15・通訳),0)*_15・２人),0)*(1+_15・盲ろう)),0)*(1+_15・区４)),0)</f>
        <v>963</v>
      </c>
      <c r="AA54" s="48"/>
    </row>
    <row r="55" spans="1:27" ht="16.5" customHeight="1" x14ac:dyDescent="0.15">
      <c r="A55" s="41">
        <v>15</v>
      </c>
      <c r="B55" s="41" t="s">
        <v>27179</v>
      </c>
      <c r="C55" s="74" t="s">
        <v>27180</v>
      </c>
      <c r="D55" s="72"/>
      <c r="F55" s="57"/>
      <c r="G55" s="114" t="s">
        <v>19287</v>
      </c>
      <c r="H55" s="49"/>
      <c r="I55" s="115"/>
      <c r="J55" s="35"/>
      <c r="M55" s="163"/>
      <c r="N55" s="45"/>
      <c r="O55" s="46"/>
      <c r="P55" s="512"/>
      <c r="Q55" s="57"/>
      <c r="R55" s="53"/>
      <c r="S55" s="49"/>
      <c r="T55" s="50"/>
      <c r="U55" s="115"/>
      <c r="V55" s="53"/>
      <c r="W55" s="49"/>
      <c r="X55" s="50"/>
      <c r="Y55" s="115"/>
      <c r="Z55" s="208">
        <f>ROUND((ROUND((_15_同援日０．５*_15・通訳),0)*(1+_15・A早朝)),0)+ROUND((_15_同援日０．５＿２．５*_15・通訳),0)</f>
        <v>608</v>
      </c>
      <c r="AA55" s="48"/>
    </row>
    <row r="56" spans="1:27" ht="16.5" customHeight="1" x14ac:dyDescent="0.15">
      <c r="A56" s="41">
        <v>15</v>
      </c>
      <c r="B56" s="41" t="s">
        <v>27181</v>
      </c>
      <c r="C56" s="74" t="s">
        <v>27182</v>
      </c>
      <c r="D56" s="72"/>
      <c r="F56" s="57"/>
      <c r="G56" s="72" t="s">
        <v>17670</v>
      </c>
      <c r="I56" s="57"/>
      <c r="J56" s="35"/>
      <c r="M56" s="299" t="s">
        <v>17556</v>
      </c>
      <c r="N56" s="45" t="s">
        <v>398</v>
      </c>
      <c r="O56" s="46">
        <v>1</v>
      </c>
      <c r="P56" s="512"/>
      <c r="Q56" s="57"/>
      <c r="R56" s="43"/>
      <c r="S56" s="37"/>
      <c r="T56" s="38"/>
      <c r="U56" s="79"/>
      <c r="V56" s="35"/>
      <c r="Y56" s="57"/>
      <c r="Z56" s="208">
        <f>ROUND((ROUND((ROUND((_15_同援日０．５*_15・通訳),0)*_15・２人),0)*(1+_15・A早朝)),0)+ROUND((ROUND((_15_同援日０．５＿２．５*_15・通訳),0)*_15・２人),0)</f>
        <v>608</v>
      </c>
      <c r="AA56" s="48"/>
    </row>
    <row r="57" spans="1:27" ht="16.5" customHeight="1" x14ac:dyDescent="0.15">
      <c r="A57" s="41">
        <v>15</v>
      </c>
      <c r="B57" s="41" t="s">
        <v>2958</v>
      </c>
      <c r="C57" s="74" t="s">
        <v>27183</v>
      </c>
      <c r="D57" s="72"/>
      <c r="F57" s="57"/>
      <c r="G57" s="72" t="s">
        <v>17672</v>
      </c>
      <c r="I57" s="57"/>
      <c r="J57" s="35"/>
      <c r="M57" s="163"/>
      <c r="N57" s="45"/>
      <c r="O57" s="46"/>
      <c r="P57" s="512"/>
      <c r="Q57" s="57"/>
      <c r="R57" s="114" t="s">
        <v>17562</v>
      </c>
      <c r="S57" s="49"/>
      <c r="T57" s="50"/>
      <c r="U57" s="115"/>
      <c r="V57" s="35"/>
      <c r="Y57" s="57"/>
      <c r="Z57" s="208">
        <f>ROUND((ROUND((ROUND((_15_同援日０．５*_15・通訳),0)*(1+_15・A早朝)),0)*(1+_15・盲ろう)),0)+ROUND((ROUND((_15_同援日０．５＿２．５*_15・通訳),0)*(1+_15・盲ろう)),0)</f>
        <v>761</v>
      </c>
      <c r="AA57" s="48"/>
    </row>
    <row r="58" spans="1:27" ht="16.5" customHeight="1" x14ac:dyDescent="0.15">
      <c r="A58" s="41">
        <v>15</v>
      </c>
      <c r="B58" s="41" t="s">
        <v>2960</v>
      </c>
      <c r="C58" s="74" t="s">
        <v>27184</v>
      </c>
      <c r="D58" s="72"/>
      <c r="F58" s="57"/>
      <c r="G58" s="72"/>
      <c r="H58" s="168">
        <f>_15_同援日０．５＿２．５</f>
        <v>438</v>
      </c>
      <c r="I58" s="57" t="s">
        <v>392</v>
      </c>
      <c r="J58" s="35"/>
      <c r="M58" s="299" t="s">
        <v>17556</v>
      </c>
      <c r="N58" s="45" t="s">
        <v>398</v>
      </c>
      <c r="O58" s="46">
        <v>1</v>
      </c>
      <c r="P58" s="512"/>
      <c r="Q58" s="57"/>
      <c r="R58" s="269" t="s">
        <v>17564</v>
      </c>
      <c r="S58" s="37" t="s">
        <v>398</v>
      </c>
      <c r="T58" s="38">
        <v>0.25</v>
      </c>
      <c r="U58" s="79" t="s">
        <v>3575</v>
      </c>
      <c r="V58" s="43"/>
      <c r="W58" s="37"/>
      <c r="X58" s="38"/>
      <c r="Y58" s="79"/>
      <c r="Z58" s="208">
        <f>ROUND((ROUND((ROUND((ROUND((_15_同援日０．５*_15・通訳),0)*_15・２人),0)*(1+_15・A早朝)),0)*(1+_15・盲ろう)),0)+ROUND((ROUND((ROUND((_15_同援日０．５＿２．５*_15・通訳),0)*_15・２人),0)*(1+_15・盲ろう)),0)</f>
        <v>761</v>
      </c>
      <c r="AA58" s="48"/>
    </row>
    <row r="59" spans="1:27" ht="16.5" customHeight="1" x14ac:dyDescent="0.15">
      <c r="A59" s="41">
        <v>15</v>
      </c>
      <c r="B59" s="41" t="s">
        <v>2962</v>
      </c>
      <c r="C59" s="74" t="s">
        <v>27185</v>
      </c>
      <c r="D59" s="72"/>
      <c r="F59" s="57"/>
      <c r="G59" s="72"/>
      <c r="I59" s="57"/>
      <c r="J59" s="35"/>
      <c r="M59" s="163"/>
      <c r="N59" s="45"/>
      <c r="O59" s="46"/>
      <c r="P59" s="512"/>
      <c r="Q59" s="57"/>
      <c r="R59" s="53"/>
      <c r="S59" s="49"/>
      <c r="T59" s="50"/>
      <c r="U59" s="115"/>
      <c r="V59" s="114" t="s">
        <v>17570</v>
      </c>
      <c r="W59" s="49"/>
      <c r="X59" s="50"/>
      <c r="Y59" s="115"/>
      <c r="Z59" s="208">
        <f>ROUND((ROUND((ROUND((_15_同援日０．５*_15・通訳),0)*(1+_15・A早朝)),0)*(1+_15・区３)),0)+ROUND((ROUND((_15_同援日０．５＿２．５*_15・通訳),0)*(1+_15・区３)),0)</f>
        <v>730</v>
      </c>
      <c r="AA59" s="48"/>
    </row>
    <row r="60" spans="1:27" ht="16.5" customHeight="1" x14ac:dyDescent="0.15">
      <c r="A60" s="41">
        <v>15</v>
      </c>
      <c r="B60" s="41" t="s">
        <v>2964</v>
      </c>
      <c r="C60" s="74" t="s">
        <v>27186</v>
      </c>
      <c r="D60" s="72"/>
      <c r="F60" s="57"/>
      <c r="G60" s="72"/>
      <c r="I60" s="57"/>
      <c r="J60" s="35"/>
      <c r="M60" s="299" t="s">
        <v>17556</v>
      </c>
      <c r="N60" s="45" t="s">
        <v>398</v>
      </c>
      <c r="O60" s="46">
        <v>1</v>
      </c>
      <c r="P60" s="512"/>
      <c r="Q60" s="57"/>
      <c r="R60" s="43"/>
      <c r="S60" s="37"/>
      <c r="T60" s="38"/>
      <c r="U60" s="79"/>
      <c r="V60" s="92" t="s">
        <v>17572</v>
      </c>
      <c r="Y60" s="57"/>
      <c r="Z60" s="208">
        <f>ROUND((ROUND((ROUND((ROUND((_15_同援日０．５*_15・通訳),0)*_15・２人),0)*(1+_15・A早朝)),0)*(1+_15・区３)),0)+ROUND((ROUND((ROUND((_15_同援日０．５＿２．５*_15・通訳),0)*_15・２人),0)*(1+_15・区３)),0)</f>
        <v>730</v>
      </c>
      <c r="AA60" s="48"/>
    </row>
    <row r="61" spans="1:27" ht="16.5" customHeight="1" x14ac:dyDescent="0.15">
      <c r="A61" s="41">
        <v>15</v>
      </c>
      <c r="B61" s="41" t="s">
        <v>27187</v>
      </c>
      <c r="C61" s="74" t="s">
        <v>27188</v>
      </c>
      <c r="D61" s="72"/>
      <c r="F61" s="57"/>
      <c r="G61" s="72"/>
      <c r="I61" s="57"/>
      <c r="J61" s="35"/>
      <c r="M61" s="163"/>
      <c r="N61" s="45"/>
      <c r="O61" s="46"/>
      <c r="P61" s="512"/>
      <c r="Q61" s="57"/>
      <c r="R61" s="114" t="s">
        <v>17562</v>
      </c>
      <c r="S61" s="49"/>
      <c r="T61" s="50"/>
      <c r="U61" s="115"/>
      <c r="V61" s="35"/>
      <c r="W61" s="12" t="s">
        <v>398</v>
      </c>
      <c r="X61" s="13">
        <v>0.2</v>
      </c>
      <c r="Y61" s="57" t="s">
        <v>3575</v>
      </c>
      <c r="Z61" s="208">
        <f>ROUND((ROUND((ROUND((ROUND((_15_同援日０．５*_15・通訳),0)*(1+_15・A早朝)),0)*(1+_15・盲ろう)),0)*(1+_15・区３)),0)+ROUND((ROUND((ROUND((_15_同援日０．５＿２．５*_15・通訳),0)*(1+_15・盲ろう)),0)*(1+_15・区３)),0)</f>
        <v>914</v>
      </c>
      <c r="AA61" s="48"/>
    </row>
    <row r="62" spans="1:27" ht="16.5" customHeight="1" x14ac:dyDescent="0.15">
      <c r="A62" s="41">
        <v>15</v>
      </c>
      <c r="B62" s="41" t="s">
        <v>27189</v>
      </c>
      <c r="C62" s="74" t="s">
        <v>27190</v>
      </c>
      <c r="D62" s="72"/>
      <c r="F62" s="57"/>
      <c r="G62" s="72"/>
      <c r="I62" s="57"/>
      <c r="J62" s="35"/>
      <c r="M62" s="299" t="s">
        <v>17556</v>
      </c>
      <c r="N62" s="45" t="s">
        <v>398</v>
      </c>
      <c r="O62" s="46">
        <v>1</v>
      </c>
      <c r="P62" s="512"/>
      <c r="Q62" s="57"/>
      <c r="R62" s="269" t="s">
        <v>17564</v>
      </c>
      <c r="S62" s="37" t="s">
        <v>398</v>
      </c>
      <c r="T62" s="38">
        <v>0.25</v>
      </c>
      <c r="U62" s="79" t="s">
        <v>3575</v>
      </c>
      <c r="V62" s="43"/>
      <c r="W62" s="37"/>
      <c r="X62" s="38"/>
      <c r="Y62" s="79"/>
      <c r="Z62" s="208">
        <f>ROUND((ROUND((ROUND((ROUND((ROUND((_15_同援日０．５*_15・通訳),0)*_15・２人),0)*(1+_15・A早朝)),0)*(1+_15・盲ろう)),0)*(1+_15・区３)),0)+ROUND((ROUND((ROUND((ROUND((_15_同援日０．５＿２．５*_15・通訳),0)*_15・２人),0)*(1+_15・盲ろう)),0)*(1+_15・区３)),0)</f>
        <v>914</v>
      </c>
      <c r="AA62" s="48"/>
    </row>
    <row r="63" spans="1:27" ht="16.5" customHeight="1" x14ac:dyDescent="0.15">
      <c r="A63" s="41">
        <v>15</v>
      </c>
      <c r="B63" s="41" t="s">
        <v>27191</v>
      </c>
      <c r="C63" s="74" t="s">
        <v>27192</v>
      </c>
      <c r="D63" s="72"/>
      <c r="F63" s="57"/>
      <c r="G63" s="72"/>
      <c r="I63" s="57"/>
      <c r="J63" s="35"/>
      <c r="M63" s="163"/>
      <c r="N63" s="45"/>
      <c r="O63" s="46"/>
      <c r="P63" s="512"/>
      <c r="Q63" s="57"/>
      <c r="R63" s="53"/>
      <c r="S63" s="49"/>
      <c r="T63" s="50"/>
      <c r="U63" s="115"/>
      <c r="V63" s="114" t="s">
        <v>17580</v>
      </c>
      <c r="W63" s="49"/>
      <c r="X63" s="50"/>
      <c r="Y63" s="115"/>
      <c r="Z63" s="208">
        <f>ROUND((ROUND((ROUND((_15_同援日０．５*_15・通訳),0)*(1+_15・A早朝)),0)*(1+_15・区４)),0)+ROUND((ROUND((_15_同援日０．５＿２．５*_15・通訳),0)*(1+_15・区４)),0)</f>
        <v>852</v>
      </c>
      <c r="AA63" s="48"/>
    </row>
    <row r="64" spans="1:27" ht="16.5" customHeight="1" x14ac:dyDescent="0.15">
      <c r="A64" s="41">
        <v>15</v>
      </c>
      <c r="B64" s="41" t="s">
        <v>27193</v>
      </c>
      <c r="C64" s="74" t="s">
        <v>27194</v>
      </c>
      <c r="D64" s="72"/>
      <c r="F64" s="57"/>
      <c r="G64" s="72"/>
      <c r="I64" s="57"/>
      <c r="J64" s="35"/>
      <c r="M64" s="299" t="s">
        <v>17556</v>
      </c>
      <c r="N64" s="45" t="s">
        <v>398</v>
      </c>
      <c r="O64" s="46">
        <v>1</v>
      </c>
      <c r="P64" s="512"/>
      <c r="Q64" s="57"/>
      <c r="R64" s="43"/>
      <c r="S64" s="37"/>
      <c r="T64" s="38"/>
      <c r="U64" s="79"/>
      <c r="V64" s="92" t="s">
        <v>17572</v>
      </c>
      <c r="Y64" s="57"/>
      <c r="Z64" s="208">
        <f>ROUND((ROUND((ROUND((ROUND((_15_同援日０．５*_15・通訳),0)*_15・２人),0)*(1+_15・A早朝)),0)*(1+_15・区４)),0)+ROUND((ROUND((ROUND((_15_同援日０．５＿２．５*_15・通訳),0)*_15・２人),0)*(1+_15・区４)),0)</f>
        <v>852</v>
      </c>
      <c r="AA64" s="48"/>
    </row>
    <row r="65" spans="1:27" ht="16.5" customHeight="1" x14ac:dyDescent="0.15">
      <c r="A65" s="41">
        <v>15</v>
      </c>
      <c r="B65" s="41" t="s">
        <v>27195</v>
      </c>
      <c r="C65" s="74" t="s">
        <v>27196</v>
      </c>
      <c r="D65" s="72"/>
      <c r="F65" s="57"/>
      <c r="G65" s="72"/>
      <c r="I65" s="57"/>
      <c r="J65" s="35"/>
      <c r="M65" s="163"/>
      <c r="N65" s="45"/>
      <c r="O65" s="46"/>
      <c r="P65" s="512"/>
      <c r="Q65" s="57"/>
      <c r="R65" s="114" t="s">
        <v>17562</v>
      </c>
      <c r="S65" s="49"/>
      <c r="T65" s="50"/>
      <c r="U65" s="115"/>
      <c r="V65" s="35"/>
      <c r="W65" s="12" t="s">
        <v>398</v>
      </c>
      <c r="X65" s="13">
        <v>0.4</v>
      </c>
      <c r="Y65" s="57" t="s">
        <v>3575</v>
      </c>
      <c r="Z65" s="208">
        <f>ROUND((ROUND((ROUND((ROUND((_15_同援日０．５*_15・通訳),0)*(1+_15・A早朝)),0)*(1+_15・盲ろう)),0)*(1+_15・区４)),0)+ROUND((ROUND((ROUND((_15_同援日０．５＿２．５*_15・通訳),0)*(1+_15・盲ろう)),0)*(1+_15・区４)),0)</f>
        <v>1065</v>
      </c>
      <c r="AA65" s="48"/>
    </row>
    <row r="66" spans="1:27" ht="16.5" customHeight="1" x14ac:dyDescent="0.15">
      <c r="A66" s="41">
        <v>15</v>
      </c>
      <c r="B66" s="41" t="s">
        <v>27197</v>
      </c>
      <c r="C66" s="74" t="s">
        <v>27198</v>
      </c>
      <c r="D66" s="122"/>
      <c r="E66" s="37"/>
      <c r="F66" s="79"/>
      <c r="G66" s="122"/>
      <c r="H66" s="37"/>
      <c r="I66" s="79"/>
      <c r="J66" s="35"/>
      <c r="M66" s="299" t="s">
        <v>17556</v>
      </c>
      <c r="N66" s="45" t="s">
        <v>398</v>
      </c>
      <c r="O66" s="46">
        <v>1</v>
      </c>
      <c r="P66" s="512"/>
      <c r="Q66" s="57"/>
      <c r="R66" s="269" t="s">
        <v>17564</v>
      </c>
      <c r="S66" s="37" t="s">
        <v>398</v>
      </c>
      <c r="T66" s="38">
        <v>0.25</v>
      </c>
      <c r="U66" s="79" t="s">
        <v>3575</v>
      </c>
      <c r="V66" s="43"/>
      <c r="W66" s="37"/>
      <c r="X66" s="38"/>
      <c r="Y66" s="79"/>
      <c r="Z66" s="208">
        <f>ROUND((ROUND((ROUND((ROUND((ROUND((_15_同援日０．５*_15・通訳),0)*_15・２人),0)*(1+_15・A早朝)),0)*(1+_15・盲ろう)),0)*(1+_15・区４)),0)+ROUND((ROUND((ROUND((ROUND((_15_同援日０．５＿２．５*_15・通訳),0)*_15・２人),0)*(1+_15・盲ろう)),0)*(1+_15・区４)),0)</f>
        <v>1065</v>
      </c>
      <c r="AA66" s="48"/>
    </row>
    <row r="67" spans="1:27" ht="16.5" customHeight="1" x14ac:dyDescent="0.15">
      <c r="A67" s="41">
        <v>15</v>
      </c>
      <c r="B67" s="41" t="s">
        <v>27199</v>
      </c>
      <c r="C67" s="74" t="s">
        <v>27200</v>
      </c>
      <c r="D67" s="114" t="s">
        <v>18155</v>
      </c>
      <c r="E67" s="49"/>
      <c r="F67" s="115"/>
      <c r="G67" s="114" t="s">
        <v>19187</v>
      </c>
      <c r="H67" s="49"/>
      <c r="I67" s="115"/>
      <c r="J67" s="35"/>
      <c r="M67" s="163"/>
      <c r="N67" s="45"/>
      <c r="O67" s="46"/>
      <c r="P67" s="512"/>
      <c r="Q67" s="57"/>
      <c r="R67" s="53"/>
      <c r="S67" s="49"/>
      <c r="T67" s="50"/>
      <c r="U67" s="115"/>
      <c r="V67" s="53"/>
      <c r="W67" s="49"/>
      <c r="X67" s="50"/>
      <c r="Y67" s="115"/>
      <c r="Z67" s="208">
        <f>ROUND((ROUND((_15_同援日１．０*_15・通訳),0)*(1+_15・A早朝)),0)+ROUND((_15_同援日１．０＿０．５*_15・通訳),0)</f>
        <v>458</v>
      </c>
      <c r="AA67" s="48"/>
    </row>
    <row r="68" spans="1:27" ht="16.5" customHeight="1" x14ac:dyDescent="0.15">
      <c r="A68" s="41">
        <v>15</v>
      </c>
      <c r="B68" s="41" t="s">
        <v>27201</v>
      </c>
      <c r="C68" s="74" t="s">
        <v>27202</v>
      </c>
      <c r="D68" s="72" t="s">
        <v>17589</v>
      </c>
      <c r="F68" s="57"/>
      <c r="G68" s="72" t="s">
        <v>18259</v>
      </c>
      <c r="I68" s="57"/>
      <c r="J68" s="35"/>
      <c r="M68" s="299" t="s">
        <v>17556</v>
      </c>
      <c r="N68" s="45" t="s">
        <v>398</v>
      </c>
      <c r="O68" s="46">
        <v>1</v>
      </c>
      <c r="P68" s="512"/>
      <c r="Q68" s="57"/>
      <c r="R68" s="43"/>
      <c r="S68" s="37"/>
      <c r="T68" s="38"/>
      <c r="U68" s="79"/>
      <c r="V68" s="35"/>
      <c r="Y68" s="57"/>
      <c r="Z68" s="208">
        <f>ROUND((ROUND((ROUND((_15_同援日１．０*_15・通訳),0)*_15・２人),0)*(1+_15・A早朝)),0)+ROUND((ROUND((_15_同援日１．０＿０．５*_15・通訳),0)*_15・２人),0)</f>
        <v>458</v>
      </c>
      <c r="AA68" s="48"/>
    </row>
    <row r="69" spans="1:27" ht="16.5" customHeight="1" x14ac:dyDescent="0.15">
      <c r="A69" s="41">
        <v>15</v>
      </c>
      <c r="B69" s="41" t="s">
        <v>27203</v>
      </c>
      <c r="C69" s="74" t="s">
        <v>27204</v>
      </c>
      <c r="D69" s="72" t="s">
        <v>17591</v>
      </c>
      <c r="F69" s="57"/>
      <c r="G69" s="72"/>
      <c r="I69" s="57"/>
      <c r="J69" s="35"/>
      <c r="M69" s="163"/>
      <c r="N69" s="45"/>
      <c r="O69" s="46"/>
      <c r="P69" s="512"/>
      <c r="Q69" s="57"/>
      <c r="R69" s="114" t="s">
        <v>17562</v>
      </c>
      <c r="S69" s="49"/>
      <c r="T69" s="50"/>
      <c r="U69" s="115"/>
      <c r="V69" s="35"/>
      <c r="Y69" s="57"/>
      <c r="Z69" s="208">
        <f>ROUND((ROUND((ROUND((_15_同援日１．０*_15・通訳),0)*(1+_15・A早朝)),0)*(1+_15・盲ろう)),0)+ROUND((ROUND((_15_同援日１．０＿０．５*_15・通訳),0)*(1+_15・盲ろう)),0)</f>
        <v>573</v>
      </c>
      <c r="AA69" s="48"/>
    </row>
    <row r="70" spans="1:27" ht="16.5" customHeight="1" x14ac:dyDescent="0.15">
      <c r="A70" s="41">
        <v>15</v>
      </c>
      <c r="B70" s="41" t="s">
        <v>27205</v>
      </c>
      <c r="C70" s="74" t="s">
        <v>27206</v>
      </c>
      <c r="D70" s="72"/>
      <c r="E70" s="168">
        <f>_15_同援日１．０</f>
        <v>300</v>
      </c>
      <c r="F70" s="57" t="s">
        <v>392</v>
      </c>
      <c r="G70" s="72"/>
      <c r="H70" s="168">
        <f>_15_同援日１．０＿０．５</f>
        <v>133</v>
      </c>
      <c r="I70" s="57" t="s">
        <v>392</v>
      </c>
      <c r="J70" s="35"/>
      <c r="M70" s="299" t="s">
        <v>17556</v>
      </c>
      <c r="N70" s="45" t="s">
        <v>398</v>
      </c>
      <c r="O70" s="46">
        <v>1</v>
      </c>
      <c r="P70" s="512"/>
      <c r="Q70" s="57"/>
      <c r="R70" s="269" t="s">
        <v>17564</v>
      </c>
      <c r="S70" s="37" t="s">
        <v>398</v>
      </c>
      <c r="T70" s="38">
        <v>0.25</v>
      </c>
      <c r="U70" s="79" t="s">
        <v>3575</v>
      </c>
      <c r="V70" s="43"/>
      <c r="W70" s="37"/>
      <c r="X70" s="38"/>
      <c r="Y70" s="79"/>
      <c r="Z70" s="208">
        <f>ROUND((ROUND((ROUND((ROUND((_15_同援日１．０*_15・通訳),0)*_15・２人),0)*(1+_15・A早朝)),0)*(1+_15・盲ろう)),0)+ROUND((ROUND((ROUND((_15_同援日１．０＿０．５*_15・通訳),0)*_15・２人),0)*(1+_15・盲ろう)),0)</f>
        <v>573</v>
      </c>
      <c r="AA70" s="48"/>
    </row>
    <row r="71" spans="1:27" ht="16.5" customHeight="1" x14ac:dyDescent="0.15">
      <c r="A71" s="41">
        <v>15</v>
      </c>
      <c r="B71" s="41" t="s">
        <v>27207</v>
      </c>
      <c r="C71" s="74" t="s">
        <v>27208</v>
      </c>
      <c r="D71" s="72"/>
      <c r="F71" s="57"/>
      <c r="G71" s="72"/>
      <c r="I71" s="57"/>
      <c r="J71" s="35"/>
      <c r="M71" s="163"/>
      <c r="N71" s="45"/>
      <c r="O71" s="46"/>
      <c r="P71" s="512"/>
      <c r="Q71" s="57"/>
      <c r="R71" s="53"/>
      <c r="S71" s="49"/>
      <c r="T71" s="50"/>
      <c r="U71" s="115"/>
      <c r="V71" s="114" t="s">
        <v>17570</v>
      </c>
      <c r="W71" s="49"/>
      <c r="X71" s="50"/>
      <c r="Y71" s="115"/>
      <c r="Z71" s="208">
        <f>ROUND((ROUND((ROUND((_15_同援日１．０*_15・通訳),0)*(1+_15・A早朝)),0)*(1+_15・区３)),0)+ROUND((ROUND((_15_同援日１．０＿０．５*_15・通訳),0)*(1+_15・区３)),0)</f>
        <v>550</v>
      </c>
      <c r="AA71" s="48"/>
    </row>
    <row r="72" spans="1:27" ht="16.5" customHeight="1" x14ac:dyDescent="0.15">
      <c r="A72" s="41">
        <v>15</v>
      </c>
      <c r="B72" s="41" t="s">
        <v>27209</v>
      </c>
      <c r="C72" s="74" t="s">
        <v>27210</v>
      </c>
      <c r="D72" s="72"/>
      <c r="F72" s="57"/>
      <c r="G72" s="72"/>
      <c r="I72" s="57"/>
      <c r="J72" s="35"/>
      <c r="M72" s="299" t="s">
        <v>17556</v>
      </c>
      <c r="N72" s="45" t="s">
        <v>398</v>
      </c>
      <c r="O72" s="46">
        <v>1</v>
      </c>
      <c r="P72" s="512"/>
      <c r="Q72" s="57"/>
      <c r="R72" s="43"/>
      <c r="S72" s="37"/>
      <c r="T72" s="38"/>
      <c r="U72" s="79"/>
      <c r="V72" s="92" t="s">
        <v>17572</v>
      </c>
      <c r="Y72" s="57"/>
      <c r="Z72" s="208">
        <f>ROUND((ROUND((ROUND((ROUND((_15_同援日１．０*_15・通訳),0)*_15・２人),0)*(1+_15・A早朝)),0)*(1+_15・区３)),0)+ROUND((ROUND((ROUND((_15_同援日１．０＿０．５*_15・通訳),0)*_15・２人),0)*(1+_15・区３)),0)</f>
        <v>550</v>
      </c>
      <c r="AA72" s="48"/>
    </row>
    <row r="73" spans="1:27" ht="16.5" customHeight="1" x14ac:dyDescent="0.15">
      <c r="A73" s="41">
        <v>15</v>
      </c>
      <c r="B73" s="41" t="s">
        <v>27211</v>
      </c>
      <c r="C73" s="74" t="s">
        <v>27212</v>
      </c>
      <c r="D73" s="72"/>
      <c r="F73" s="57"/>
      <c r="G73" s="72"/>
      <c r="I73" s="57"/>
      <c r="J73" s="35"/>
      <c r="M73" s="163"/>
      <c r="N73" s="45"/>
      <c r="O73" s="46"/>
      <c r="P73" s="512"/>
      <c r="Q73" s="57"/>
      <c r="R73" s="114" t="s">
        <v>17562</v>
      </c>
      <c r="S73" s="49"/>
      <c r="T73" s="50"/>
      <c r="U73" s="115"/>
      <c r="V73" s="35"/>
      <c r="W73" s="12" t="s">
        <v>398</v>
      </c>
      <c r="X73" s="13">
        <v>0.2</v>
      </c>
      <c r="Y73" s="57" t="s">
        <v>3575</v>
      </c>
      <c r="Z73" s="208">
        <f>ROUND((ROUND((ROUND((ROUND((_15_同援日１．０*_15・通訳),0)*(1+_15・A早朝)),0)*(1+_15・盲ろう)),0)*(1+_15・区３)),0)+ROUND((ROUND((ROUND((_15_同援日１．０＿０．５*_15・通訳),0)*(1+_15・盲ろう)),0)*(1+_15・区３)),0)</f>
        <v>688</v>
      </c>
      <c r="AA73" s="48"/>
    </row>
    <row r="74" spans="1:27" ht="16.5" customHeight="1" x14ac:dyDescent="0.15">
      <c r="A74" s="41">
        <v>15</v>
      </c>
      <c r="B74" s="41" t="s">
        <v>27213</v>
      </c>
      <c r="C74" s="74" t="s">
        <v>27214</v>
      </c>
      <c r="D74" s="72"/>
      <c r="F74" s="57"/>
      <c r="G74" s="72"/>
      <c r="I74" s="57"/>
      <c r="J74" s="35"/>
      <c r="M74" s="299" t="s">
        <v>17556</v>
      </c>
      <c r="N74" s="45" t="s">
        <v>398</v>
      </c>
      <c r="O74" s="46">
        <v>1</v>
      </c>
      <c r="P74" s="512"/>
      <c r="Q74" s="57"/>
      <c r="R74" s="269" t="s">
        <v>17564</v>
      </c>
      <c r="S74" s="37" t="s">
        <v>398</v>
      </c>
      <c r="T74" s="38">
        <v>0.25</v>
      </c>
      <c r="U74" s="79" t="s">
        <v>3575</v>
      </c>
      <c r="V74" s="43"/>
      <c r="W74" s="37"/>
      <c r="X74" s="38"/>
      <c r="Y74" s="79"/>
      <c r="Z74" s="208">
        <f>ROUND((ROUND((ROUND((ROUND((ROUND((_15_同援日１．０*_15・通訳),0)*_15・２人),0)*(1+_15・A早朝)),0)*(1+_15・盲ろう)),0)*(1+_15・区３)),0)+ROUND((ROUND((ROUND((ROUND((_15_同援日１．０＿０．５*_15・通訳),0)*_15・２人),0)*(1+_15・盲ろう)),0)*(1+_15・区３)),0)</f>
        <v>688</v>
      </c>
      <c r="AA74" s="48"/>
    </row>
    <row r="75" spans="1:27" ht="16.5" customHeight="1" x14ac:dyDescent="0.15">
      <c r="A75" s="41">
        <v>15</v>
      </c>
      <c r="B75" s="41" t="s">
        <v>27215</v>
      </c>
      <c r="C75" s="74" t="s">
        <v>27216</v>
      </c>
      <c r="D75" s="72"/>
      <c r="F75" s="57"/>
      <c r="G75" s="72"/>
      <c r="I75" s="57"/>
      <c r="J75" s="35"/>
      <c r="M75" s="163"/>
      <c r="N75" s="45"/>
      <c r="O75" s="46"/>
      <c r="P75" s="512"/>
      <c r="Q75" s="57"/>
      <c r="R75" s="53"/>
      <c r="S75" s="49"/>
      <c r="T75" s="50"/>
      <c r="U75" s="115"/>
      <c r="V75" s="114" t="s">
        <v>17580</v>
      </c>
      <c r="W75" s="49"/>
      <c r="X75" s="50"/>
      <c r="Y75" s="115"/>
      <c r="Z75" s="208">
        <f>ROUND((ROUND((ROUND((_15_同援日１．０*_15・通訳),0)*(1+_15・A早朝)),0)*(1+_15・区４)),0)+ROUND((ROUND((_15_同援日１．０＿０．５*_15・通訳),0)*(1+_15・区４)),0)</f>
        <v>641</v>
      </c>
      <c r="AA75" s="48"/>
    </row>
    <row r="76" spans="1:27" ht="16.5" customHeight="1" x14ac:dyDescent="0.15">
      <c r="A76" s="41">
        <v>15</v>
      </c>
      <c r="B76" s="41" t="s">
        <v>27217</v>
      </c>
      <c r="C76" s="74" t="s">
        <v>27218</v>
      </c>
      <c r="D76" s="72"/>
      <c r="F76" s="57"/>
      <c r="G76" s="72"/>
      <c r="I76" s="57"/>
      <c r="J76" s="35"/>
      <c r="M76" s="299" t="s">
        <v>17556</v>
      </c>
      <c r="N76" s="45" t="s">
        <v>398</v>
      </c>
      <c r="O76" s="46">
        <v>1</v>
      </c>
      <c r="P76" s="512"/>
      <c r="Q76" s="57"/>
      <c r="R76" s="43"/>
      <c r="S76" s="37"/>
      <c r="T76" s="38"/>
      <c r="U76" s="79"/>
      <c r="V76" s="92" t="s">
        <v>17572</v>
      </c>
      <c r="Y76" s="57"/>
      <c r="Z76" s="208">
        <f>ROUND((ROUND((ROUND((ROUND((_15_同援日１．０*_15・通訳),0)*_15・２人),0)*(1+_15・A早朝)),0)*(1+_15・区４)),0)+ROUND((ROUND((ROUND((_15_同援日１．０＿０．５*_15・通訳),0)*_15・２人),0)*(1+_15・区４)),0)</f>
        <v>641</v>
      </c>
      <c r="AA76" s="48"/>
    </row>
    <row r="77" spans="1:27" ht="16.5" customHeight="1" x14ac:dyDescent="0.15">
      <c r="A77" s="41">
        <v>15</v>
      </c>
      <c r="B77" s="41" t="s">
        <v>2970</v>
      </c>
      <c r="C77" s="74" t="s">
        <v>27219</v>
      </c>
      <c r="D77" s="72"/>
      <c r="F77" s="57"/>
      <c r="G77" s="72"/>
      <c r="I77" s="57"/>
      <c r="J77" s="35"/>
      <c r="M77" s="163"/>
      <c r="N77" s="45"/>
      <c r="O77" s="46"/>
      <c r="P77" s="512"/>
      <c r="Q77" s="57"/>
      <c r="R77" s="114" t="s">
        <v>17562</v>
      </c>
      <c r="S77" s="49"/>
      <c r="T77" s="50"/>
      <c r="U77" s="115"/>
      <c r="V77" s="35"/>
      <c r="W77" s="12" t="s">
        <v>398</v>
      </c>
      <c r="X77" s="13">
        <v>0.4</v>
      </c>
      <c r="Y77" s="57" t="s">
        <v>3575</v>
      </c>
      <c r="Z77" s="208">
        <f>ROUND((ROUND((ROUND((ROUND((_15_同援日１．０*_15・通訳),0)*(1+_15・A早朝)),0)*(1+_15・盲ろう)),0)*(1+_15・区４)),0)+ROUND((ROUND((ROUND((_15_同援日１．０＿０．５*_15・通訳),0)*(1+_15・盲ろう)),0)*(1+_15・区４)),0)</f>
        <v>802</v>
      </c>
      <c r="AA77" s="48"/>
    </row>
    <row r="78" spans="1:27" ht="16.5" customHeight="1" x14ac:dyDescent="0.15">
      <c r="A78" s="41">
        <v>15</v>
      </c>
      <c r="B78" s="41" t="s">
        <v>2972</v>
      </c>
      <c r="C78" s="74" t="s">
        <v>27220</v>
      </c>
      <c r="D78" s="72"/>
      <c r="F78" s="57"/>
      <c r="G78" s="122"/>
      <c r="H78" s="37"/>
      <c r="I78" s="79"/>
      <c r="J78" s="35"/>
      <c r="M78" s="299" t="s">
        <v>17556</v>
      </c>
      <c r="N78" s="45" t="s">
        <v>398</v>
      </c>
      <c r="O78" s="46">
        <v>1</v>
      </c>
      <c r="P78" s="512"/>
      <c r="Q78" s="57"/>
      <c r="R78" s="269" t="s">
        <v>17564</v>
      </c>
      <c r="S78" s="37" t="s">
        <v>398</v>
      </c>
      <c r="T78" s="38">
        <v>0.25</v>
      </c>
      <c r="U78" s="79" t="s">
        <v>3575</v>
      </c>
      <c r="V78" s="43"/>
      <c r="W78" s="37"/>
      <c r="X78" s="38"/>
      <c r="Y78" s="79"/>
      <c r="Z78" s="208">
        <f>ROUND((ROUND((ROUND((ROUND((ROUND((_15_同援日１．０*_15・通訳),0)*_15・２人),0)*(1+_15・A早朝)),0)*(1+_15・盲ろう)),0)*(1+_15・区４)),0)+ROUND((ROUND((ROUND((ROUND((_15_同援日１．０＿０．５*_15・通訳),0)*_15・２人),0)*(1+_15・盲ろう)),0)*(1+_15・区４)),0)</f>
        <v>802</v>
      </c>
      <c r="AA78" s="48"/>
    </row>
    <row r="79" spans="1:27" ht="16.5" customHeight="1" x14ac:dyDescent="0.15">
      <c r="A79" s="41">
        <v>15</v>
      </c>
      <c r="B79" s="41" t="s">
        <v>2974</v>
      </c>
      <c r="C79" s="74" t="s">
        <v>27221</v>
      </c>
      <c r="D79" s="72"/>
      <c r="F79" s="57"/>
      <c r="G79" s="114" t="s">
        <v>19212</v>
      </c>
      <c r="H79" s="49"/>
      <c r="I79" s="115"/>
      <c r="J79" s="35"/>
      <c r="M79" s="163"/>
      <c r="N79" s="45"/>
      <c r="O79" s="46"/>
      <c r="P79" s="512"/>
      <c r="Q79" s="57"/>
      <c r="R79" s="53"/>
      <c r="S79" s="49"/>
      <c r="T79" s="50"/>
      <c r="U79" s="115"/>
      <c r="V79" s="53"/>
      <c r="W79" s="49"/>
      <c r="X79" s="50"/>
      <c r="Y79" s="115"/>
      <c r="Z79" s="208">
        <f>ROUND((ROUND((_15_同援日１．０*_15・通訳),0)*(1+_15・A早朝)),0)+ROUND((_15_同援日１．０＿１．０*_15・通訳),0)</f>
        <v>516</v>
      </c>
      <c r="AA79" s="48"/>
    </row>
    <row r="80" spans="1:27" ht="16.5" customHeight="1" x14ac:dyDescent="0.15">
      <c r="A80" s="41">
        <v>15</v>
      </c>
      <c r="B80" s="41" t="s">
        <v>2976</v>
      </c>
      <c r="C80" s="74" t="s">
        <v>27222</v>
      </c>
      <c r="D80" s="72"/>
      <c r="F80" s="57"/>
      <c r="G80" s="72" t="s">
        <v>17589</v>
      </c>
      <c r="I80" s="57"/>
      <c r="J80" s="35"/>
      <c r="M80" s="299" t="s">
        <v>17556</v>
      </c>
      <c r="N80" s="45" t="s">
        <v>398</v>
      </c>
      <c r="O80" s="46">
        <v>1</v>
      </c>
      <c r="P80" s="512"/>
      <c r="Q80" s="57"/>
      <c r="R80" s="43"/>
      <c r="S80" s="37"/>
      <c r="T80" s="38"/>
      <c r="U80" s="79"/>
      <c r="V80" s="35"/>
      <c r="Y80" s="57"/>
      <c r="Z80" s="208">
        <f>ROUND((ROUND((ROUND((_15_同援日１．０*_15・通訳),0)*_15・２人),0)*(1+_15・A早朝)),0)+ROUND((ROUND((_15_同援日１．０＿１．０*_15・通訳),0)*_15・２人),0)</f>
        <v>516</v>
      </c>
      <c r="AA80" s="48"/>
    </row>
    <row r="81" spans="1:27" ht="16.5" customHeight="1" x14ac:dyDescent="0.15">
      <c r="A81" s="41">
        <v>15</v>
      </c>
      <c r="B81" s="41" t="s">
        <v>27223</v>
      </c>
      <c r="C81" s="74" t="s">
        <v>27224</v>
      </c>
      <c r="D81" s="72"/>
      <c r="F81" s="57"/>
      <c r="G81" s="72" t="s">
        <v>17591</v>
      </c>
      <c r="I81" s="57"/>
      <c r="J81" s="35"/>
      <c r="M81" s="163"/>
      <c r="N81" s="45"/>
      <c r="O81" s="46"/>
      <c r="P81" s="512"/>
      <c r="Q81" s="57"/>
      <c r="R81" s="114" t="s">
        <v>17562</v>
      </c>
      <c r="S81" s="49"/>
      <c r="T81" s="50"/>
      <c r="U81" s="115"/>
      <c r="V81" s="35"/>
      <c r="Y81" s="57"/>
      <c r="Z81" s="208">
        <f>ROUND((ROUND((ROUND((_15_同援日１．０*_15・通訳),0)*(1+_15・A早朝)),0)*(1+_15・盲ろう)),0)+ROUND((ROUND((_15_同援日１．０＿１．０*_15・通訳),0)*(1+_15・盲ろう)),0)</f>
        <v>646</v>
      </c>
      <c r="AA81" s="48"/>
    </row>
    <row r="82" spans="1:27" ht="16.5" customHeight="1" x14ac:dyDescent="0.15">
      <c r="A82" s="41">
        <v>15</v>
      </c>
      <c r="B82" s="41" t="s">
        <v>27225</v>
      </c>
      <c r="C82" s="74" t="s">
        <v>27226</v>
      </c>
      <c r="D82" s="72"/>
      <c r="F82" s="57"/>
      <c r="G82" s="72"/>
      <c r="H82" s="168">
        <f>_15_同援日１．０＿１．０</f>
        <v>198</v>
      </c>
      <c r="I82" s="57" t="s">
        <v>392</v>
      </c>
      <c r="J82" s="35"/>
      <c r="M82" s="299" t="s">
        <v>17556</v>
      </c>
      <c r="N82" s="45" t="s">
        <v>398</v>
      </c>
      <c r="O82" s="46">
        <v>1</v>
      </c>
      <c r="P82" s="512"/>
      <c r="Q82" s="57"/>
      <c r="R82" s="269" t="s">
        <v>17564</v>
      </c>
      <c r="S82" s="37" t="s">
        <v>398</v>
      </c>
      <c r="T82" s="38">
        <v>0.25</v>
      </c>
      <c r="U82" s="79" t="s">
        <v>3575</v>
      </c>
      <c r="V82" s="43"/>
      <c r="W82" s="37"/>
      <c r="X82" s="38"/>
      <c r="Y82" s="79"/>
      <c r="Z82" s="208">
        <f>ROUND((ROUND((ROUND((ROUND((_15_同援日１．０*_15・通訳),0)*_15・２人),0)*(1+_15・A早朝)),0)*(1+_15・盲ろう)),0)+ROUND((ROUND((ROUND((_15_同援日１．０＿１．０*_15・通訳),0)*_15・２人),0)*(1+_15・盲ろう)),0)</f>
        <v>646</v>
      </c>
      <c r="AA82" s="48"/>
    </row>
    <row r="83" spans="1:27" ht="16.5" customHeight="1" x14ac:dyDescent="0.15">
      <c r="A83" s="41">
        <v>15</v>
      </c>
      <c r="B83" s="41" t="s">
        <v>27227</v>
      </c>
      <c r="C83" s="74" t="s">
        <v>27228</v>
      </c>
      <c r="D83" s="72"/>
      <c r="F83" s="57"/>
      <c r="G83" s="72"/>
      <c r="I83" s="57"/>
      <c r="J83" s="35"/>
      <c r="M83" s="163"/>
      <c r="N83" s="45"/>
      <c r="O83" s="46"/>
      <c r="P83" s="512"/>
      <c r="Q83" s="57"/>
      <c r="R83" s="53"/>
      <c r="S83" s="49"/>
      <c r="T83" s="50"/>
      <c r="U83" s="115"/>
      <c r="V83" s="114" t="s">
        <v>17570</v>
      </c>
      <c r="W83" s="49"/>
      <c r="X83" s="50"/>
      <c r="Y83" s="115"/>
      <c r="Z83" s="208">
        <f>ROUND((ROUND((ROUND((_15_同援日１．０*_15・通訳),0)*(1+_15・A早朝)),0)*(1+_15・区３)),0)+ROUND((ROUND((_15_同援日１．０＿１．０*_15・通訳),0)*(1+_15・区３)),0)</f>
        <v>620</v>
      </c>
      <c r="AA83" s="48"/>
    </row>
    <row r="84" spans="1:27" ht="16.5" customHeight="1" x14ac:dyDescent="0.15">
      <c r="A84" s="41">
        <v>15</v>
      </c>
      <c r="B84" s="41" t="s">
        <v>27229</v>
      </c>
      <c r="C84" s="74" t="s">
        <v>27230</v>
      </c>
      <c r="D84" s="72"/>
      <c r="F84" s="57"/>
      <c r="G84" s="72"/>
      <c r="I84" s="57"/>
      <c r="J84" s="35"/>
      <c r="M84" s="299" t="s">
        <v>17556</v>
      </c>
      <c r="N84" s="45" t="s">
        <v>398</v>
      </c>
      <c r="O84" s="46">
        <v>1</v>
      </c>
      <c r="P84" s="512"/>
      <c r="Q84" s="57"/>
      <c r="R84" s="43"/>
      <c r="S84" s="37"/>
      <c r="T84" s="38"/>
      <c r="U84" s="79"/>
      <c r="V84" s="92" t="s">
        <v>17572</v>
      </c>
      <c r="Y84" s="57"/>
      <c r="Z84" s="208">
        <f>ROUND((ROUND((ROUND((ROUND((_15_同援日１．０*_15・通訳),0)*_15・２人),0)*(1+_15・A早朝)),0)*(1+_15・区３)),0)+ROUND((ROUND((ROUND((_15_同援日１．０＿１．０*_15・通訳),0)*_15・２人),0)*(1+_15・区３)),0)</f>
        <v>620</v>
      </c>
      <c r="AA84" s="48"/>
    </row>
    <row r="85" spans="1:27" ht="16.5" customHeight="1" x14ac:dyDescent="0.15">
      <c r="A85" s="41">
        <v>15</v>
      </c>
      <c r="B85" s="41" t="s">
        <v>27231</v>
      </c>
      <c r="C85" s="74" t="s">
        <v>27232</v>
      </c>
      <c r="D85" s="72"/>
      <c r="F85" s="57"/>
      <c r="G85" s="72"/>
      <c r="I85" s="57"/>
      <c r="J85" s="35"/>
      <c r="M85" s="163"/>
      <c r="N85" s="45"/>
      <c r="O85" s="46"/>
      <c r="P85" s="512"/>
      <c r="Q85" s="57"/>
      <c r="R85" s="114" t="s">
        <v>17562</v>
      </c>
      <c r="S85" s="49"/>
      <c r="T85" s="50"/>
      <c r="U85" s="115"/>
      <c r="V85" s="35"/>
      <c r="W85" s="12" t="s">
        <v>398</v>
      </c>
      <c r="X85" s="13">
        <v>0.2</v>
      </c>
      <c r="Y85" s="57" t="s">
        <v>3575</v>
      </c>
      <c r="Z85" s="208">
        <f>ROUND((ROUND((ROUND((ROUND((_15_同援日１．０*_15・通訳),0)*(1+_15・A早朝)),0)*(1+_15・盲ろう)),0)*(1+_15・区３)),0)+ROUND((ROUND((ROUND((_15_同援日１．０＿１．０*_15・通訳),0)*(1+_15・盲ろう)),0)*(1+_15・区３)),0)</f>
        <v>776</v>
      </c>
      <c r="AA85" s="48"/>
    </row>
    <row r="86" spans="1:27" ht="16.5" customHeight="1" x14ac:dyDescent="0.15">
      <c r="A86" s="41">
        <v>15</v>
      </c>
      <c r="B86" s="41" t="s">
        <v>27233</v>
      </c>
      <c r="C86" s="74" t="s">
        <v>27234</v>
      </c>
      <c r="D86" s="72"/>
      <c r="F86" s="57"/>
      <c r="G86" s="72"/>
      <c r="I86" s="57"/>
      <c r="J86" s="35"/>
      <c r="M86" s="299" t="s">
        <v>17556</v>
      </c>
      <c r="N86" s="45" t="s">
        <v>398</v>
      </c>
      <c r="O86" s="46">
        <v>1</v>
      </c>
      <c r="P86" s="512"/>
      <c r="Q86" s="57"/>
      <c r="R86" s="269" t="s">
        <v>17564</v>
      </c>
      <c r="S86" s="37" t="s">
        <v>398</v>
      </c>
      <c r="T86" s="38">
        <v>0.25</v>
      </c>
      <c r="U86" s="79" t="s">
        <v>3575</v>
      </c>
      <c r="V86" s="43"/>
      <c r="W86" s="37"/>
      <c r="X86" s="38"/>
      <c r="Y86" s="79"/>
      <c r="Z86" s="208">
        <f>ROUND((ROUND((ROUND((ROUND((ROUND((_15_同援日１．０*_15・通訳),0)*_15・２人),0)*(1+_15・A早朝)),0)*(1+_15・盲ろう)),0)*(1+_15・区３)),0)+ROUND((ROUND((ROUND((ROUND((_15_同援日１．０＿１．０*_15・通訳),0)*_15・２人),0)*(1+_15・盲ろう)),0)*(1+_15・区３)),0)</f>
        <v>776</v>
      </c>
      <c r="AA86" s="48"/>
    </row>
    <row r="87" spans="1:27" ht="16.5" customHeight="1" x14ac:dyDescent="0.15">
      <c r="A87" s="41">
        <v>15</v>
      </c>
      <c r="B87" s="41" t="s">
        <v>27235</v>
      </c>
      <c r="C87" s="74" t="s">
        <v>27236</v>
      </c>
      <c r="D87" s="72"/>
      <c r="F87" s="57"/>
      <c r="G87" s="72"/>
      <c r="I87" s="57"/>
      <c r="J87" s="35"/>
      <c r="M87" s="163"/>
      <c r="N87" s="45"/>
      <c r="O87" s="46"/>
      <c r="P87" s="512"/>
      <c r="Q87" s="57"/>
      <c r="R87" s="53"/>
      <c r="S87" s="49"/>
      <c r="T87" s="50"/>
      <c r="U87" s="115"/>
      <c r="V87" s="114" t="s">
        <v>17580</v>
      </c>
      <c r="W87" s="49"/>
      <c r="X87" s="50"/>
      <c r="Y87" s="115"/>
      <c r="Z87" s="208">
        <f>ROUND((ROUND((ROUND((_15_同援日１．０*_15・通訳),0)*(1+_15・A早朝)),0)*(1+_15・区４)),0)+ROUND((ROUND((_15_同援日１．０＿１．０*_15・通訳),0)*(1+_15・区４)),0)</f>
        <v>722</v>
      </c>
      <c r="AA87" s="48"/>
    </row>
    <row r="88" spans="1:27" ht="16.5" customHeight="1" x14ac:dyDescent="0.15">
      <c r="A88" s="41">
        <v>15</v>
      </c>
      <c r="B88" s="41" t="s">
        <v>27237</v>
      </c>
      <c r="C88" s="74" t="s">
        <v>27238</v>
      </c>
      <c r="D88" s="72"/>
      <c r="F88" s="57"/>
      <c r="G88" s="72"/>
      <c r="I88" s="57"/>
      <c r="J88" s="35"/>
      <c r="M88" s="299" t="s">
        <v>17556</v>
      </c>
      <c r="N88" s="45" t="s">
        <v>398</v>
      </c>
      <c r="O88" s="46">
        <v>1</v>
      </c>
      <c r="P88" s="512"/>
      <c r="Q88" s="57"/>
      <c r="R88" s="43"/>
      <c r="S88" s="37"/>
      <c r="T88" s="38"/>
      <c r="U88" s="79"/>
      <c r="V88" s="92" t="s">
        <v>17572</v>
      </c>
      <c r="Y88" s="57"/>
      <c r="Z88" s="208">
        <f>ROUND((ROUND((ROUND((ROUND((_15_同援日１．０*_15・通訳),0)*_15・２人),0)*(1+_15・A早朝)),0)*(1+_15・区４)),0)+ROUND((ROUND((ROUND((_15_同援日１．０＿１．０*_15・通訳),0)*_15・２人),0)*(1+_15・区４)),0)</f>
        <v>722</v>
      </c>
      <c r="AA88" s="48"/>
    </row>
    <row r="89" spans="1:27" ht="16.5" customHeight="1" x14ac:dyDescent="0.15">
      <c r="A89" s="41">
        <v>15</v>
      </c>
      <c r="B89" s="41" t="s">
        <v>27239</v>
      </c>
      <c r="C89" s="74" t="s">
        <v>27240</v>
      </c>
      <c r="D89" s="72"/>
      <c r="F89" s="57"/>
      <c r="G89" s="72"/>
      <c r="I89" s="57"/>
      <c r="J89" s="35"/>
      <c r="M89" s="163"/>
      <c r="N89" s="45"/>
      <c r="O89" s="46"/>
      <c r="P89" s="512"/>
      <c r="Q89" s="57"/>
      <c r="R89" s="114" t="s">
        <v>17562</v>
      </c>
      <c r="S89" s="49"/>
      <c r="T89" s="50"/>
      <c r="U89" s="115"/>
      <c r="V89" s="35"/>
      <c r="W89" s="12" t="s">
        <v>398</v>
      </c>
      <c r="X89" s="13">
        <v>0.4</v>
      </c>
      <c r="Y89" s="57" t="s">
        <v>3575</v>
      </c>
      <c r="Z89" s="208">
        <f>ROUND((ROUND((ROUND((ROUND((_15_同援日１．０*_15・通訳),0)*(1+_15・A早朝)),0)*(1+_15・盲ろう)),0)*(1+_15・区４)),0)+ROUND((ROUND((ROUND((_15_同援日１．０＿１．０*_15・通訳),0)*(1+_15・盲ろう)),0)*(1+_15・区４)),0)</f>
        <v>904</v>
      </c>
      <c r="AA89" s="48"/>
    </row>
    <row r="90" spans="1:27" ht="16.5" customHeight="1" x14ac:dyDescent="0.15">
      <c r="A90" s="41">
        <v>15</v>
      </c>
      <c r="B90" s="41" t="s">
        <v>27241</v>
      </c>
      <c r="C90" s="74" t="s">
        <v>27242</v>
      </c>
      <c r="D90" s="72"/>
      <c r="F90" s="57"/>
      <c r="G90" s="122"/>
      <c r="H90" s="37"/>
      <c r="I90" s="79"/>
      <c r="J90" s="35"/>
      <c r="M90" s="299" t="s">
        <v>17556</v>
      </c>
      <c r="N90" s="45" t="s">
        <v>398</v>
      </c>
      <c r="O90" s="46">
        <v>1</v>
      </c>
      <c r="P90" s="512"/>
      <c r="Q90" s="57"/>
      <c r="R90" s="269" t="s">
        <v>17564</v>
      </c>
      <c r="S90" s="37" t="s">
        <v>398</v>
      </c>
      <c r="T90" s="38">
        <v>0.25</v>
      </c>
      <c r="U90" s="79" t="s">
        <v>3575</v>
      </c>
      <c r="V90" s="43"/>
      <c r="W90" s="37"/>
      <c r="X90" s="38"/>
      <c r="Y90" s="79"/>
      <c r="Z90" s="208">
        <f>ROUND((ROUND((ROUND((ROUND((ROUND((_15_同援日１．０*_15・通訳),0)*_15・２人),0)*(1+_15・A早朝)),0)*(1+_15・盲ろう)),0)*(1+_15・区４)),0)+ROUND((ROUND((ROUND((ROUND((_15_同援日１．０＿１．０*_15・通訳),0)*_15・２人),0)*(1+_15・盲ろう)),0)*(1+_15・区４)),0)</f>
        <v>904</v>
      </c>
      <c r="AA90" s="48"/>
    </row>
    <row r="91" spans="1:27" ht="16.5" customHeight="1" x14ac:dyDescent="0.15">
      <c r="A91" s="41">
        <v>15</v>
      </c>
      <c r="B91" s="41" t="s">
        <v>27243</v>
      </c>
      <c r="C91" s="74" t="s">
        <v>27244</v>
      </c>
      <c r="D91" s="72"/>
      <c r="F91" s="57"/>
      <c r="G91" s="114" t="s">
        <v>19237</v>
      </c>
      <c r="H91" s="49"/>
      <c r="I91" s="115"/>
      <c r="J91" s="35"/>
      <c r="M91" s="163"/>
      <c r="N91" s="45"/>
      <c r="O91" s="46"/>
      <c r="P91" s="512"/>
      <c r="Q91" s="57"/>
      <c r="R91" s="53"/>
      <c r="S91" s="49"/>
      <c r="T91" s="50"/>
      <c r="U91" s="115"/>
      <c r="V91" s="53"/>
      <c r="W91" s="49"/>
      <c r="X91" s="50"/>
      <c r="Y91" s="115"/>
      <c r="Z91" s="208">
        <f>ROUND((ROUND((_15_同援日１．０*_15・通訳),0)*(1+_15・A早朝)),0)+ROUND((_15_同援日１．０＿１．５*_15・通訳),0)</f>
        <v>575</v>
      </c>
      <c r="AA91" s="48"/>
    </row>
    <row r="92" spans="1:27" ht="16.5" customHeight="1" x14ac:dyDescent="0.15">
      <c r="A92" s="41">
        <v>15</v>
      </c>
      <c r="B92" s="41" t="s">
        <v>27245</v>
      </c>
      <c r="C92" s="74" t="s">
        <v>27246</v>
      </c>
      <c r="D92" s="72"/>
      <c r="F92" s="57"/>
      <c r="G92" s="72" t="s">
        <v>17616</v>
      </c>
      <c r="I92" s="57"/>
      <c r="J92" s="35"/>
      <c r="M92" s="299" t="s">
        <v>17556</v>
      </c>
      <c r="N92" s="45" t="s">
        <v>398</v>
      </c>
      <c r="O92" s="46">
        <v>1</v>
      </c>
      <c r="P92" s="512"/>
      <c r="Q92" s="57"/>
      <c r="R92" s="43"/>
      <c r="S92" s="37"/>
      <c r="T92" s="38"/>
      <c r="U92" s="79"/>
      <c r="V92" s="35"/>
      <c r="Y92" s="57"/>
      <c r="Z92" s="208">
        <f>ROUND((ROUND((ROUND((_15_同援日１．０*_15・通訳),0)*_15・２人),0)*(1+_15・A早朝)),0)+ROUND((ROUND((_15_同援日１．０＿１．５*_15・通訳),0)*_15・２人),0)</f>
        <v>575</v>
      </c>
      <c r="AA92" s="48"/>
    </row>
    <row r="93" spans="1:27" ht="16.5" customHeight="1" x14ac:dyDescent="0.15">
      <c r="A93" s="41">
        <v>15</v>
      </c>
      <c r="B93" s="41" t="s">
        <v>27247</v>
      </c>
      <c r="C93" s="74" t="s">
        <v>27248</v>
      </c>
      <c r="D93" s="72"/>
      <c r="F93" s="57"/>
      <c r="G93" s="72" t="s">
        <v>18183</v>
      </c>
      <c r="I93" s="57"/>
      <c r="J93" s="35"/>
      <c r="M93" s="163"/>
      <c r="N93" s="45"/>
      <c r="O93" s="46"/>
      <c r="P93" s="512"/>
      <c r="Q93" s="57"/>
      <c r="R93" s="114" t="s">
        <v>17562</v>
      </c>
      <c r="S93" s="49"/>
      <c r="T93" s="50"/>
      <c r="U93" s="115"/>
      <c r="V93" s="35"/>
      <c r="Y93" s="57"/>
      <c r="Z93" s="208">
        <f>ROUND((ROUND((ROUND((_15_同援日１．０*_15・通訳),0)*(1+_15・A早朝)),0)*(1+_15・盲ろう)),0)+ROUND((ROUND((_15_同援日１．０＿１．５*_15・通訳),0)*(1+_15・盲ろう)),0)</f>
        <v>719</v>
      </c>
      <c r="AA93" s="48"/>
    </row>
    <row r="94" spans="1:27" ht="16.5" customHeight="1" x14ac:dyDescent="0.15">
      <c r="A94" s="41">
        <v>15</v>
      </c>
      <c r="B94" s="41" t="s">
        <v>27249</v>
      </c>
      <c r="C94" s="74" t="s">
        <v>27250</v>
      </c>
      <c r="D94" s="72"/>
      <c r="F94" s="57"/>
      <c r="G94" s="72"/>
      <c r="H94" s="168">
        <f>_15_同援日１．０＿１．５</f>
        <v>263</v>
      </c>
      <c r="I94" s="57" t="s">
        <v>392</v>
      </c>
      <c r="J94" s="35"/>
      <c r="M94" s="299" t="s">
        <v>17556</v>
      </c>
      <c r="N94" s="45" t="s">
        <v>398</v>
      </c>
      <c r="O94" s="46">
        <v>1</v>
      </c>
      <c r="P94" s="512"/>
      <c r="Q94" s="57"/>
      <c r="R94" s="269" t="s">
        <v>17564</v>
      </c>
      <c r="S94" s="37" t="s">
        <v>398</v>
      </c>
      <c r="T94" s="38">
        <v>0.25</v>
      </c>
      <c r="U94" s="79" t="s">
        <v>3575</v>
      </c>
      <c r="V94" s="43"/>
      <c r="W94" s="37"/>
      <c r="X94" s="38"/>
      <c r="Y94" s="79"/>
      <c r="Z94" s="208">
        <f>ROUND((ROUND((ROUND((ROUND((_15_同援日１．０*_15・通訳),0)*_15・２人),0)*(1+_15・A早朝)),0)*(1+_15・盲ろう)),0)+ROUND((ROUND((ROUND((_15_同援日１．０＿１．５*_15・通訳),0)*_15・２人),0)*(1+_15・盲ろう)),0)</f>
        <v>719</v>
      </c>
      <c r="AA94" s="48"/>
    </row>
    <row r="95" spans="1:27" ht="16.5" customHeight="1" x14ac:dyDescent="0.15">
      <c r="A95" s="41">
        <v>15</v>
      </c>
      <c r="B95" s="41" t="s">
        <v>27251</v>
      </c>
      <c r="C95" s="74" t="s">
        <v>27252</v>
      </c>
      <c r="D95" s="72"/>
      <c r="F95" s="57"/>
      <c r="G95" s="72"/>
      <c r="I95" s="57"/>
      <c r="J95" s="35"/>
      <c r="M95" s="163"/>
      <c r="N95" s="45"/>
      <c r="O95" s="46"/>
      <c r="P95" s="512"/>
      <c r="Q95" s="57"/>
      <c r="R95" s="53"/>
      <c r="S95" s="49"/>
      <c r="T95" s="50"/>
      <c r="U95" s="115"/>
      <c r="V95" s="114" t="s">
        <v>17570</v>
      </c>
      <c r="W95" s="49"/>
      <c r="X95" s="50"/>
      <c r="Y95" s="115"/>
      <c r="Z95" s="208">
        <f>ROUND((ROUND((ROUND((_15_同援日１．０*_15・通訳),0)*(1+_15・A早朝)),0)*(1+_15・区３)),0)+ROUND((ROUND((_15_同援日１．０＿１．５*_15・通訳),0)*(1+_15・区３)),0)</f>
        <v>690</v>
      </c>
      <c r="AA95" s="48"/>
    </row>
    <row r="96" spans="1:27" ht="16.5" customHeight="1" x14ac:dyDescent="0.15">
      <c r="A96" s="41">
        <v>15</v>
      </c>
      <c r="B96" s="41" t="s">
        <v>27253</v>
      </c>
      <c r="C96" s="74" t="s">
        <v>27254</v>
      </c>
      <c r="D96" s="72"/>
      <c r="F96" s="57"/>
      <c r="G96" s="72"/>
      <c r="I96" s="57"/>
      <c r="J96" s="35"/>
      <c r="M96" s="299" t="s">
        <v>17556</v>
      </c>
      <c r="N96" s="45" t="s">
        <v>398</v>
      </c>
      <c r="O96" s="46">
        <v>1</v>
      </c>
      <c r="P96" s="512"/>
      <c r="Q96" s="57"/>
      <c r="R96" s="43"/>
      <c r="S96" s="37"/>
      <c r="T96" s="38"/>
      <c r="U96" s="79"/>
      <c r="V96" s="92" t="s">
        <v>17572</v>
      </c>
      <c r="Y96" s="57"/>
      <c r="Z96" s="208">
        <f>ROUND((ROUND((ROUND((ROUND((_15_同援日１．０*_15・通訳),0)*_15・２人),0)*(1+_15・A早朝)),0)*(1+_15・区３)),0)+ROUND((ROUND((ROUND((_15_同援日１．０＿１．５*_15・通訳),0)*_15・２人),0)*(1+_15・区３)),0)</f>
        <v>690</v>
      </c>
      <c r="AA96" s="48"/>
    </row>
    <row r="97" spans="1:27" ht="16.5" customHeight="1" x14ac:dyDescent="0.15">
      <c r="A97" s="41">
        <v>15</v>
      </c>
      <c r="B97" s="41" t="s">
        <v>2982</v>
      </c>
      <c r="C97" s="74" t="s">
        <v>27255</v>
      </c>
      <c r="D97" s="72"/>
      <c r="F97" s="57"/>
      <c r="G97" s="72"/>
      <c r="I97" s="57"/>
      <c r="J97" s="35"/>
      <c r="M97" s="163"/>
      <c r="N97" s="45"/>
      <c r="O97" s="46"/>
      <c r="P97" s="512"/>
      <c r="Q97" s="57"/>
      <c r="R97" s="114" t="s">
        <v>17562</v>
      </c>
      <c r="S97" s="49"/>
      <c r="T97" s="50"/>
      <c r="U97" s="115"/>
      <c r="V97" s="35"/>
      <c r="W97" s="12" t="s">
        <v>398</v>
      </c>
      <c r="X97" s="13">
        <v>0.2</v>
      </c>
      <c r="Y97" s="57" t="s">
        <v>3575</v>
      </c>
      <c r="Z97" s="208">
        <f>ROUND((ROUND((ROUND((ROUND((_15_同援日１．０*_15・通訳),0)*(1+_15・A早朝)),0)*(1+_15・盲ろう)),0)*(1+_15・区３)),0)+ROUND((ROUND((ROUND((_15_同援日１．０＿１．５*_15・通訳),0)*(1+_15・盲ろう)),0)*(1+_15・区３)),0)</f>
        <v>863</v>
      </c>
      <c r="AA97" s="48"/>
    </row>
    <row r="98" spans="1:27" ht="16.5" customHeight="1" x14ac:dyDescent="0.15">
      <c r="A98" s="41">
        <v>15</v>
      </c>
      <c r="B98" s="41" t="s">
        <v>2984</v>
      </c>
      <c r="C98" s="74" t="s">
        <v>27256</v>
      </c>
      <c r="D98" s="72"/>
      <c r="F98" s="57"/>
      <c r="G98" s="72"/>
      <c r="I98" s="57"/>
      <c r="J98" s="35"/>
      <c r="M98" s="299" t="s">
        <v>17556</v>
      </c>
      <c r="N98" s="45" t="s">
        <v>398</v>
      </c>
      <c r="O98" s="46">
        <v>1</v>
      </c>
      <c r="P98" s="512"/>
      <c r="Q98" s="57"/>
      <c r="R98" s="269" t="s">
        <v>17564</v>
      </c>
      <c r="S98" s="37" t="s">
        <v>398</v>
      </c>
      <c r="T98" s="38">
        <v>0.25</v>
      </c>
      <c r="U98" s="79" t="s">
        <v>3575</v>
      </c>
      <c r="V98" s="43"/>
      <c r="W98" s="37"/>
      <c r="X98" s="38"/>
      <c r="Y98" s="79"/>
      <c r="Z98" s="208">
        <f>ROUND((ROUND((ROUND((ROUND((ROUND((_15_同援日１．０*_15・通訳),0)*_15・２人),0)*(1+_15・A早朝)),0)*(1+_15・盲ろう)),0)*(1+_15・区３)),0)+ROUND((ROUND((ROUND((ROUND((_15_同援日１．０＿１．５*_15・通訳),0)*_15・２人),0)*(1+_15・盲ろう)),0)*(1+_15・区３)),0)</f>
        <v>863</v>
      </c>
      <c r="AA98" s="48"/>
    </row>
    <row r="99" spans="1:27" ht="16.5" customHeight="1" x14ac:dyDescent="0.15">
      <c r="A99" s="41">
        <v>15</v>
      </c>
      <c r="B99" s="41" t="s">
        <v>2986</v>
      </c>
      <c r="C99" s="74" t="s">
        <v>27257</v>
      </c>
      <c r="D99" s="72"/>
      <c r="F99" s="57"/>
      <c r="G99" s="72"/>
      <c r="I99" s="57"/>
      <c r="J99" s="35"/>
      <c r="M99" s="163"/>
      <c r="N99" s="45"/>
      <c r="O99" s="46"/>
      <c r="P99" s="512"/>
      <c r="Q99" s="57"/>
      <c r="R99" s="53"/>
      <c r="S99" s="49"/>
      <c r="T99" s="50"/>
      <c r="U99" s="115"/>
      <c r="V99" s="114" t="s">
        <v>17580</v>
      </c>
      <c r="W99" s="49"/>
      <c r="X99" s="50"/>
      <c r="Y99" s="115"/>
      <c r="Z99" s="208">
        <f>ROUND((ROUND((ROUND((_15_同援日１．０*_15・通訳),0)*(1+_15・A早朝)),0)*(1+_15・区４)),0)+ROUND((ROUND((_15_同援日１．０＿１．５*_15・通訳),0)*(1+_15・区４)),0)</f>
        <v>805</v>
      </c>
      <c r="AA99" s="48"/>
    </row>
    <row r="100" spans="1:27" ht="16.5" customHeight="1" x14ac:dyDescent="0.15">
      <c r="A100" s="41">
        <v>15</v>
      </c>
      <c r="B100" s="41" t="s">
        <v>2988</v>
      </c>
      <c r="C100" s="74" t="s">
        <v>27258</v>
      </c>
      <c r="D100" s="72"/>
      <c r="F100" s="57"/>
      <c r="G100" s="72"/>
      <c r="I100" s="57"/>
      <c r="J100" s="35"/>
      <c r="M100" s="299" t="s">
        <v>17556</v>
      </c>
      <c r="N100" s="45" t="s">
        <v>398</v>
      </c>
      <c r="O100" s="46">
        <v>1</v>
      </c>
      <c r="P100" s="512"/>
      <c r="Q100" s="57"/>
      <c r="R100" s="43"/>
      <c r="S100" s="37"/>
      <c r="T100" s="38"/>
      <c r="U100" s="79"/>
      <c r="V100" s="92" t="s">
        <v>17572</v>
      </c>
      <c r="Y100" s="57"/>
      <c r="Z100" s="208">
        <f>ROUND((ROUND((ROUND((ROUND((_15_同援日１．０*_15・通訳),0)*_15・２人),0)*(1+_15・A早朝)),0)*(1+_15・区４)),0)+ROUND((ROUND((ROUND((_15_同援日１．０＿１．５*_15・通訳),0)*_15・２人),0)*(1+_15・区４)),0)</f>
        <v>805</v>
      </c>
      <c r="AA100" s="48"/>
    </row>
    <row r="101" spans="1:27" ht="16.5" customHeight="1" x14ac:dyDescent="0.15">
      <c r="A101" s="41">
        <v>15</v>
      </c>
      <c r="B101" s="41" t="s">
        <v>27259</v>
      </c>
      <c r="C101" s="74" t="s">
        <v>27260</v>
      </c>
      <c r="D101" s="72"/>
      <c r="F101" s="57"/>
      <c r="G101" s="72"/>
      <c r="I101" s="57"/>
      <c r="J101" s="35"/>
      <c r="M101" s="163"/>
      <c r="N101" s="45"/>
      <c r="O101" s="46"/>
      <c r="P101" s="512"/>
      <c r="Q101" s="57"/>
      <c r="R101" s="114" t="s">
        <v>17562</v>
      </c>
      <c r="S101" s="49"/>
      <c r="T101" s="50"/>
      <c r="U101" s="115"/>
      <c r="V101" s="35"/>
      <c r="W101" s="12" t="s">
        <v>398</v>
      </c>
      <c r="X101" s="13">
        <v>0.4</v>
      </c>
      <c r="Y101" s="57" t="s">
        <v>3575</v>
      </c>
      <c r="Z101" s="208">
        <f>ROUND((ROUND((ROUND((ROUND((_15_同援日１．０*_15・通訳),0)*(1+_15・A早朝)),0)*(1+_15・盲ろう)),0)*(1+_15・区４)),0)+ROUND((ROUND((ROUND((_15_同援日１．０＿１．５*_15・通訳),0)*(1+_15・盲ろう)),0)*(1+_15・区４)),0)</f>
        <v>1006</v>
      </c>
      <c r="AA101" s="48"/>
    </row>
    <row r="102" spans="1:27" ht="16.5" customHeight="1" x14ac:dyDescent="0.15">
      <c r="A102" s="41">
        <v>15</v>
      </c>
      <c r="B102" s="41" t="s">
        <v>27261</v>
      </c>
      <c r="C102" s="74" t="s">
        <v>27262</v>
      </c>
      <c r="D102" s="72"/>
      <c r="F102" s="57"/>
      <c r="G102" s="122"/>
      <c r="H102" s="37"/>
      <c r="I102" s="79"/>
      <c r="J102" s="35"/>
      <c r="M102" s="299" t="s">
        <v>17556</v>
      </c>
      <c r="N102" s="45" t="s">
        <v>398</v>
      </c>
      <c r="O102" s="46">
        <v>1</v>
      </c>
      <c r="P102" s="512"/>
      <c r="Q102" s="57"/>
      <c r="R102" s="269" t="s">
        <v>17564</v>
      </c>
      <c r="S102" s="37" t="s">
        <v>398</v>
      </c>
      <c r="T102" s="38">
        <v>0.25</v>
      </c>
      <c r="U102" s="79" t="s">
        <v>3575</v>
      </c>
      <c r="V102" s="43"/>
      <c r="W102" s="37"/>
      <c r="X102" s="38"/>
      <c r="Y102" s="79"/>
      <c r="Z102" s="208">
        <f>ROUND((ROUND((ROUND((ROUND((ROUND((_15_同援日１．０*_15・通訳),0)*_15・２人),0)*(1+_15・A早朝)),0)*(1+_15・盲ろう)),0)*(1+_15・区４)),0)+ROUND((ROUND((ROUND((ROUND((_15_同援日１．０＿１．５*_15・通訳),0)*_15・２人),0)*(1+_15・盲ろう)),0)*(1+_15・区４)),0)</f>
        <v>1006</v>
      </c>
      <c r="AA102" s="48"/>
    </row>
    <row r="103" spans="1:27" ht="16.5" customHeight="1" x14ac:dyDescent="0.15">
      <c r="A103" s="41">
        <v>15</v>
      </c>
      <c r="B103" s="41" t="s">
        <v>27263</v>
      </c>
      <c r="C103" s="74" t="s">
        <v>27264</v>
      </c>
      <c r="D103" s="72"/>
      <c r="F103" s="57"/>
      <c r="G103" s="114" t="s">
        <v>19262</v>
      </c>
      <c r="H103" s="49"/>
      <c r="I103" s="115"/>
      <c r="J103" s="35"/>
      <c r="M103" s="163"/>
      <c r="N103" s="45"/>
      <c r="O103" s="46"/>
      <c r="P103" s="512"/>
      <c r="Q103" s="57"/>
      <c r="R103" s="53"/>
      <c r="S103" s="49"/>
      <c r="T103" s="50"/>
      <c r="U103" s="115"/>
      <c r="V103" s="53"/>
      <c r="W103" s="49"/>
      <c r="X103" s="50"/>
      <c r="Y103" s="115"/>
      <c r="Z103" s="208">
        <f>ROUND((ROUND((_15_同援日１．０*_15・通訳),0)*(1+_15・A早朝)),0)+ROUND((_15_同援日１．０＿２．０*_15・通訳),0)</f>
        <v>633</v>
      </c>
      <c r="AA103" s="48"/>
    </row>
    <row r="104" spans="1:27" ht="16.5" customHeight="1" x14ac:dyDescent="0.15">
      <c r="A104" s="41">
        <v>15</v>
      </c>
      <c r="B104" s="41" t="s">
        <v>27265</v>
      </c>
      <c r="C104" s="74" t="s">
        <v>27266</v>
      </c>
      <c r="D104" s="72"/>
      <c r="F104" s="57"/>
      <c r="G104" s="72" t="s">
        <v>17643</v>
      </c>
      <c r="I104" s="57"/>
      <c r="J104" s="35"/>
      <c r="M104" s="299" t="s">
        <v>17556</v>
      </c>
      <c r="N104" s="45" t="s">
        <v>398</v>
      </c>
      <c r="O104" s="46">
        <v>1</v>
      </c>
      <c r="P104" s="512"/>
      <c r="Q104" s="57"/>
      <c r="R104" s="43"/>
      <c r="S104" s="37"/>
      <c r="T104" s="38"/>
      <c r="U104" s="79"/>
      <c r="V104" s="35"/>
      <c r="Y104" s="57"/>
      <c r="Z104" s="208">
        <f>ROUND((ROUND((ROUND((_15_同援日１．０*_15・通訳),0)*_15・２人),0)*(1+_15・A早朝)),0)+ROUND((ROUND((_15_同援日１．０＿２．０*_15・通訳),0)*_15・２人),0)</f>
        <v>633</v>
      </c>
      <c r="AA104" s="48"/>
    </row>
    <row r="105" spans="1:27" ht="16.5" customHeight="1" x14ac:dyDescent="0.15">
      <c r="A105" s="41">
        <v>15</v>
      </c>
      <c r="B105" s="41" t="s">
        <v>27267</v>
      </c>
      <c r="C105" s="74" t="s">
        <v>27268</v>
      </c>
      <c r="D105" s="72"/>
      <c r="F105" s="57"/>
      <c r="G105" s="72" t="s">
        <v>17645</v>
      </c>
      <c r="I105" s="57"/>
      <c r="J105" s="35"/>
      <c r="M105" s="163"/>
      <c r="N105" s="45"/>
      <c r="O105" s="46"/>
      <c r="P105" s="512"/>
      <c r="Q105" s="57"/>
      <c r="R105" s="114" t="s">
        <v>17562</v>
      </c>
      <c r="S105" s="49"/>
      <c r="T105" s="50"/>
      <c r="U105" s="115"/>
      <c r="V105" s="35"/>
      <c r="Y105" s="57"/>
      <c r="Z105" s="208">
        <f>ROUND((ROUND((ROUND((_15_同援日１．０*_15・通訳),0)*(1+_15・A早朝)),0)*(1+_15・盲ろう)),0)+ROUND((ROUND((_15_同援日１．０＿２．０*_15・通訳),0)*(1+_15・盲ろう)),0)</f>
        <v>792</v>
      </c>
      <c r="AA105" s="48"/>
    </row>
    <row r="106" spans="1:27" ht="16.5" customHeight="1" x14ac:dyDescent="0.15">
      <c r="A106" s="41">
        <v>15</v>
      </c>
      <c r="B106" s="41" t="s">
        <v>27269</v>
      </c>
      <c r="C106" s="74" t="s">
        <v>27270</v>
      </c>
      <c r="D106" s="72"/>
      <c r="F106" s="57"/>
      <c r="G106" s="72"/>
      <c r="H106" s="168">
        <f>_15_同援日１．０＿２．０</f>
        <v>328</v>
      </c>
      <c r="I106" s="57" t="s">
        <v>392</v>
      </c>
      <c r="J106" s="35"/>
      <c r="M106" s="299" t="s">
        <v>17556</v>
      </c>
      <c r="N106" s="45" t="s">
        <v>398</v>
      </c>
      <c r="O106" s="46">
        <v>1</v>
      </c>
      <c r="P106" s="512"/>
      <c r="Q106" s="57"/>
      <c r="R106" s="269" t="s">
        <v>17564</v>
      </c>
      <c r="S106" s="37" t="s">
        <v>398</v>
      </c>
      <c r="T106" s="38">
        <v>0.25</v>
      </c>
      <c r="U106" s="79" t="s">
        <v>3575</v>
      </c>
      <c r="V106" s="43"/>
      <c r="W106" s="37"/>
      <c r="X106" s="38"/>
      <c r="Y106" s="79"/>
      <c r="Z106" s="208">
        <f>ROUND((ROUND((ROUND((ROUND((_15_同援日１．０*_15・通訳),0)*_15・２人),0)*(1+_15・A早朝)),0)*(1+_15・盲ろう)),0)+ROUND((ROUND((ROUND((_15_同援日１．０＿２．０*_15・通訳),0)*_15・２人),0)*(1+_15・盲ろう)),0)</f>
        <v>792</v>
      </c>
      <c r="AA106" s="48"/>
    </row>
    <row r="107" spans="1:27" ht="16.5" customHeight="1" x14ac:dyDescent="0.15">
      <c r="A107" s="41">
        <v>15</v>
      </c>
      <c r="B107" s="41" t="s">
        <v>27271</v>
      </c>
      <c r="C107" s="74" t="s">
        <v>27272</v>
      </c>
      <c r="D107" s="72"/>
      <c r="F107" s="57"/>
      <c r="G107" s="72"/>
      <c r="I107" s="57"/>
      <c r="J107" s="35"/>
      <c r="M107" s="163"/>
      <c r="N107" s="45"/>
      <c r="O107" s="46"/>
      <c r="P107" s="512"/>
      <c r="Q107" s="57"/>
      <c r="R107" s="53"/>
      <c r="S107" s="49"/>
      <c r="T107" s="50"/>
      <c r="U107" s="115"/>
      <c r="V107" s="114" t="s">
        <v>17570</v>
      </c>
      <c r="W107" s="49"/>
      <c r="X107" s="50"/>
      <c r="Y107" s="115"/>
      <c r="Z107" s="208">
        <f>ROUND((ROUND((ROUND((_15_同援日１．０*_15・通訳),0)*(1+_15・A早朝)),0)*(1+_15・区３)),0)+ROUND((ROUND((_15_同援日１．０＿２．０*_15・通訳),0)*(1+_15・区３)),0)</f>
        <v>760</v>
      </c>
      <c r="AA107" s="48"/>
    </row>
    <row r="108" spans="1:27" ht="16.5" customHeight="1" x14ac:dyDescent="0.15">
      <c r="A108" s="41">
        <v>15</v>
      </c>
      <c r="B108" s="41" t="s">
        <v>27273</v>
      </c>
      <c r="C108" s="74" t="s">
        <v>27274</v>
      </c>
      <c r="D108" s="72"/>
      <c r="F108" s="57"/>
      <c r="G108" s="72"/>
      <c r="I108" s="57"/>
      <c r="J108" s="35"/>
      <c r="M108" s="299" t="s">
        <v>17556</v>
      </c>
      <c r="N108" s="45" t="s">
        <v>398</v>
      </c>
      <c r="O108" s="46">
        <v>1</v>
      </c>
      <c r="P108" s="512"/>
      <c r="Q108" s="57"/>
      <c r="R108" s="43"/>
      <c r="S108" s="37"/>
      <c r="T108" s="38"/>
      <c r="U108" s="79"/>
      <c r="V108" s="92" t="s">
        <v>17572</v>
      </c>
      <c r="Y108" s="57"/>
      <c r="Z108" s="208">
        <f>ROUND((ROUND((ROUND((ROUND((_15_同援日１．０*_15・通訳),0)*_15・２人),0)*(1+_15・A早朝)),0)*(1+_15・区３)),0)+ROUND((ROUND((ROUND((_15_同援日１．０＿２．０*_15・通訳),0)*_15・２人),0)*(1+_15・区３)),0)</f>
        <v>760</v>
      </c>
      <c r="AA108" s="48"/>
    </row>
    <row r="109" spans="1:27" ht="16.5" customHeight="1" x14ac:dyDescent="0.15">
      <c r="A109" s="41">
        <v>15</v>
      </c>
      <c r="B109" s="41" t="s">
        <v>27275</v>
      </c>
      <c r="C109" s="74" t="s">
        <v>27276</v>
      </c>
      <c r="D109" s="72"/>
      <c r="F109" s="57"/>
      <c r="G109" s="72"/>
      <c r="I109" s="57"/>
      <c r="J109" s="35"/>
      <c r="M109" s="163"/>
      <c r="N109" s="45"/>
      <c r="O109" s="46"/>
      <c r="P109" s="512"/>
      <c r="Q109" s="57"/>
      <c r="R109" s="114" t="s">
        <v>17562</v>
      </c>
      <c r="S109" s="49"/>
      <c r="T109" s="50"/>
      <c r="U109" s="115"/>
      <c r="V109" s="35"/>
      <c r="W109" s="12" t="s">
        <v>398</v>
      </c>
      <c r="X109" s="13">
        <v>0.2</v>
      </c>
      <c r="Y109" s="57" t="s">
        <v>3575</v>
      </c>
      <c r="Z109" s="208">
        <f>ROUND((ROUND((ROUND((ROUND((_15_同援日１．０*_15・通訳),0)*(1+_15・A早朝)),0)*(1+_15・盲ろう)),0)*(1+_15・区３)),0)+ROUND((ROUND((ROUND((_15_同援日１．０＿２．０*_15・通訳),0)*(1+_15・盲ろう)),0)*(1+_15・区３)),0)</f>
        <v>951</v>
      </c>
      <c r="AA109" s="48"/>
    </row>
    <row r="110" spans="1:27" ht="16.5" customHeight="1" x14ac:dyDescent="0.15">
      <c r="A110" s="41">
        <v>15</v>
      </c>
      <c r="B110" s="41" t="s">
        <v>27277</v>
      </c>
      <c r="C110" s="74" t="s">
        <v>27278</v>
      </c>
      <c r="D110" s="72"/>
      <c r="F110" s="57"/>
      <c r="G110" s="72"/>
      <c r="I110" s="57"/>
      <c r="J110" s="35"/>
      <c r="M110" s="299" t="s">
        <v>17556</v>
      </c>
      <c r="N110" s="45" t="s">
        <v>398</v>
      </c>
      <c r="O110" s="46">
        <v>1</v>
      </c>
      <c r="P110" s="512"/>
      <c r="Q110" s="57"/>
      <c r="R110" s="269" t="s">
        <v>17564</v>
      </c>
      <c r="S110" s="37" t="s">
        <v>398</v>
      </c>
      <c r="T110" s="38">
        <v>0.25</v>
      </c>
      <c r="U110" s="79" t="s">
        <v>3575</v>
      </c>
      <c r="V110" s="43"/>
      <c r="W110" s="37"/>
      <c r="X110" s="38"/>
      <c r="Y110" s="79"/>
      <c r="Z110" s="208">
        <f>ROUND((ROUND((ROUND((ROUND((ROUND((_15_同援日１．０*_15・通訳),0)*_15・２人),0)*(1+_15・A早朝)),0)*(1+_15・盲ろう)),0)*(1+_15・区３)),0)+ROUND((ROUND((ROUND((ROUND((_15_同援日１．０＿２．０*_15・通訳),0)*_15・２人),0)*(1+_15・盲ろう)),0)*(1+_15・区３)),0)</f>
        <v>951</v>
      </c>
      <c r="AA110" s="48"/>
    </row>
    <row r="111" spans="1:27" ht="16.5" customHeight="1" x14ac:dyDescent="0.15">
      <c r="A111" s="41">
        <v>15</v>
      </c>
      <c r="B111" s="41" t="s">
        <v>27279</v>
      </c>
      <c r="C111" s="74" t="s">
        <v>27280</v>
      </c>
      <c r="D111" s="72"/>
      <c r="F111" s="57"/>
      <c r="G111" s="72"/>
      <c r="I111" s="57"/>
      <c r="J111" s="35"/>
      <c r="M111" s="163"/>
      <c r="N111" s="45"/>
      <c r="O111" s="46"/>
      <c r="P111" s="512"/>
      <c r="Q111" s="57"/>
      <c r="R111" s="53"/>
      <c r="S111" s="49"/>
      <c r="T111" s="50"/>
      <c r="U111" s="115"/>
      <c r="V111" s="114" t="s">
        <v>17580</v>
      </c>
      <c r="W111" s="49"/>
      <c r="X111" s="50"/>
      <c r="Y111" s="115"/>
      <c r="Z111" s="208">
        <f>ROUND((ROUND((ROUND((_15_同援日１．０*_15・通訳),0)*(1+_15・A早朝)),0)*(1+_15・区４)),0)+ROUND((ROUND((_15_同援日１．０＿２．０*_15・通訳),0)*(1+_15・区４)),0)</f>
        <v>886</v>
      </c>
      <c r="AA111" s="48"/>
    </row>
    <row r="112" spans="1:27" ht="16.5" customHeight="1" x14ac:dyDescent="0.15">
      <c r="A112" s="41">
        <v>15</v>
      </c>
      <c r="B112" s="41" t="s">
        <v>27281</v>
      </c>
      <c r="C112" s="74" t="s">
        <v>27282</v>
      </c>
      <c r="D112" s="72"/>
      <c r="F112" s="57"/>
      <c r="G112" s="72"/>
      <c r="I112" s="57"/>
      <c r="J112" s="35"/>
      <c r="M112" s="299" t="s">
        <v>17556</v>
      </c>
      <c r="N112" s="45" t="s">
        <v>398</v>
      </c>
      <c r="O112" s="46">
        <v>1</v>
      </c>
      <c r="P112" s="512"/>
      <c r="Q112" s="57"/>
      <c r="R112" s="43"/>
      <c r="S112" s="37"/>
      <c r="T112" s="38"/>
      <c r="U112" s="79"/>
      <c r="V112" s="92" t="s">
        <v>17572</v>
      </c>
      <c r="Y112" s="57"/>
      <c r="Z112" s="208">
        <f>ROUND((ROUND((ROUND((ROUND((_15_同援日１．０*_15・通訳),0)*_15・２人),0)*(1+_15・A早朝)),0)*(1+_15・区４)),0)+ROUND((ROUND((ROUND((_15_同援日１．０＿２．０*_15・通訳),0)*_15・２人),0)*(1+_15・区４)),0)</f>
        <v>886</v>
      </c>
      <c r="AA112" s="48"/>
    </row>
    <row r="113" spans="1:27" ht="16.5" customHeight="1" x14ac:dyDescent="0.15">
      <c r="A113" s="41">
        <v>15</v>
      </c>
      <c r="B113" s="41" t="s">
        <v>27283</v>
      </c>
      <c r="C113" s="74" t="s">
        <v>27284</v>
      </c>
      <c r="D113" s="72"/>
      <c r="F113" s="57"/>
      <c r="G113" s="72"/>
      <c r="I113" s="57"/>
      <c r="J113" s="35"/>
      <c r="M113" s="163"/>
      <c r="N113" s="45"/>
      <c r="O113" s="46"/>
      <c r="P113" s="512"/>
      <c r="Q113" s="57"/>
      <c r="R113" s="114" t="s">
        <v>17562</v>
      </c>
      <c r="S113" s="49"/>
      <c r="T113" s="50"/>
      <c r="U113" s="115"/>
      <c r="V113" s="35"/>
      <c r="W113" s="12" t="s">
        <v>398</v>
      </c>
      <c r="X113" s="13">
        <v>0.4</v>
      </c>
      <c r="Y113" s="57" t="s">
        <v>3575</v>
      </c>
      <c r="Z113" s="208">
        <f>ROUND((ROUND((ROUND((ROUND((_15_同援日１．０*_15・通訳),0)*(1+_15・A早朝)),0)*(1+_15・盲ろう)),0)*(1+_15・区４)),0)+ROUND((ROUND((ROUND((_15_同援日１．０＿２．０*_15・通訳),0)*(1+_15・盲ろう)),0)*(1+_15・区４)),0)</f>
        <v>1109</v>
      </c>
      <c r="AA113" s="48"/>
    </row>
    <row r="114" spans="1:27" ht="16.5" customHeight="1" x14ac:dyDescent="0.15">
      <c r="A114" s="41">
        <v>15</v>
      </c>
      <c r="B114" s="41" t="s">
        <v>27285</v>
      </c>
      <c r="C114" s="74" t="s">
        <v>27286</v>
      </c>
      <c r="D114" s="122"/>
      <c r="E114" s="37"/>
      <c r="F114" s="79"/>
      <c r="G114" s="122"/>
      <c r="H114" s="37"/>
      <c r="I114" s="79"/>
      <c r="J114" s="43"/>
      <c r="K114" s="37"/>
      <c r="L114" s="38"/>
      <c r="M114" s="299" t="s">
        <v>17556</v>
      </c>
      <c r="N114" s="45" t="s">
        <v>398</v>
      </c>
      <c r="O114" s="46">
        <v>1</v>
      </c>
      <c r="P114" s="514"/>
      <c r="Q114" s="79"/>
      <c r="R114" s="269" t="s">
        <v>17564</v>
      </c>
      <c r="S114" s="37" t="s">
        <v>398</v>
      </c>
      <c r="T114" s="38">
        <v>0.25</v>
      </c>
      <c r="U114" s="79" t="s">
        <v>3575</v>
      </c>
      <c r="V114" s="43"/>
      <c r="W114" s="37"/>
      <c r="X114" s="38"/>
      <c r="Y114" s="79"/>
      <c r="Z114" s="208">
        <f>ROUND((ROUND((ROUND((ROUND((ROUND((_15_同援日１．０*_15・通訳),0)*_15・２人),0)*(1+_15・A早朝)),0)*(1+_15・盲ろう)),0)*(1+_15・区４)),0)+ROUND((ROUND((ROUND((ROUND((_15_同援日１．０＿２．０*_15・通訳),0)*_15・２人),0)*(1+_15・盲ろう)),0)*(1+_15・区４)),0)</f>
        <v>1109</v>
      </c>
      <c r="AA114" s="63"/>
    </row>
    <row r="115" spans="1:27" ht="16.5" customHeight="1" x14ac:dyDescent="0.15">
      <c r="A115" s="41">
        <v>15</v>
      </c>
      <c r="B115" s="41" t="s">
        <v>27287</v>
      </c>
      <c r="C115" s="74" t="s">
        <v>27288</v>
      </c>
      <c r="D115" s="114" t="s">
        <v>18180</v>
      </c>
      <c r="E115" s="49"/>
      <c r="F115" s="115"/>
      <c r="G115" s="114" t="s">
        <v>19187</v>
      </c>
      <c r="H115" s="49"/>
      <c r="I115" s="115"/>
      <c r="J115" s="53"/>
      <c r="K115" s="49"/>
      <c r="L115" s="50"/>
      <c r="M115" s="163"/>
      <c r="N115" s="45"/>
      <c r="O115" s="46"/>
      <c r="P115" s="515"/>
      <c r="Q115" s="115"/>
      <c r="R115" s="53"/>
      <c r="S115" s="49"/>
      <c r="T115" s="50"/>
      <c r="U115" s="115"/>
      <c r="V115" s="53"/>
      <c r="W115" s="49"/>
      <c r="X115" s="50"/>
      <c r="Y115" s="115"/>
      <c r="Z115" s="208">
        <f>ROUND((ROUND((_15_同援日１．５*_15・通訳),0)*(1+_15・A早朝)),0)+ROUND((_15_同援日１．５＿０．５*_15・通訳),0)</f>
        <v>547</v>
      </c>
      <c r="AA115" s="64"/>
    </row>
    <row r="116" spans="1:27" ht="16.5" customHeight="1" x14ac:dyDescent="0.15">
      <c r="A116" s="41">
        <v>15</v>
      </c>
      <c r="B116" s="41" t="s">
        <v>27289</v>
      </c>
      <c r="C116" s="74" t="s">
        <v>27290</v>
      </c>
      <c r="D116" s="72" t="s">
        <v>17616</v>
      </c>
      <c r="F116" s="57"/>
      <c r="G116" s="72" t="s">
        <v>18259</v>
      </c>
      <c r="I116" s="57"/>
      <c r="J116" s="35"/>
      <c r="M116" s="299" t="s">
        <v>17556</v>
      </c>
      <c r="N116" s="45" t="s">
        <v>398</v>
      </c>
      <c r="O116" s="46">
        <v>1</v>
      </c>
      <c r="P116" s="512"/>
      <c r="Q116" s="57"/>
      <c r="R116" s="43"/>
      <c r="S116" s="37"/>
      <c r="T116" s="38"/>
      <c r="U116" s="79"/>
      <c r="V116" s="35"/>
      <c r="Y116" s="57"/>
      <c r="Z116" s="208">
        <f>ROUND((ROUND((ROUND((_15_同援日１．５*_15・通訳),0)*_15・２人),0)*(1+_15・A早朝)),0)+ROUND((ROUND((_15_同援日１．５＿０．５*_15・通訳),0)*_15・２人),0)</f>
        <v>547</v>
      </c>
      <c r="AA116" s="48"/>
    </row>
    <row r="117" spans="1:27" ht="16.5" customHeight="1" x14ac:dyDescent="0.15">
      <c r="A117" s="41">
        <v>15</v>
      </c>
      <c r="B117" s="41" t="s">
        <v>2995</v>
      </c>
      <c r="C117" s="74" t="s">
        <v>27291</v>
      </c>
      <c r="D117" s="72" t="s">
        <v>18183</v>
      </c>
      <c r="F117" s="57"/>
      <c r="G117" s="72"/>
      <c r="I117" s="57"/>
      <c r="J117" s="35"/>
      <c r="M117" s="163"/>
      <c r="N117" s="45"/>
      <c r="O117" s="46"/>
      <c r="P117" s="512"/>
      <c r="Q117" s="57"/>
      <c r="R117" s="114" t="s">
        <v>17562</v>
      </c>
      <c r="S117" s="49"/>
      <c r="T117" s="50"/>
      <c r="U117" s="115"/>
      <c r="V117" s="35"/>
      <c r="Y117" s="57"/>
      <c r="Z117" s="208">
        <f>ROUND((ROUND((ROUND((_15_同援日１．５*_15・通訳),0)*(1+_15・A早朝)),0)*(1+_15・盲ろう)),0)+ROUND((ROUND((_15_同援日１．５＿０．５*_15・通訳),0)*(1+_15・盲ろう)),0)</f>
        <v>684</v>
      </c>
      <c r="AA117" s="48"/>
    </row>
    <row r="118" spans="1:27" ht="16.5" customHeight="1" x14ac:dyDescent="0.15">
      <c r="A118" s="41">
        <v>15</v>
      </c>
      <c r="B118" s="41" t="s">
        <v>2997</v>
      </c>
      <c r="C118" s="74" t="s">
        <v>27292</v>
      </c>
      <c r="D118" s="72"/>
      <c r="E118" s="168">
        <f>_15_同援日１．５</f>
        <v>433</v>
      </c>
      <c r="F118" s="57" t="s">
        <v>392</v>
      </c>
      <c r="G118" s="72"/>
      <c r="H118" s="168">
        <f>_15_同援日１．５＿０．５</f>
        <v>65</v>
      </c>
      <c r="I118" s="57" t="s">
        <v>392</v>
      </c>
      <c r="J118" s="35"/>
      <c r="M118" s="299" t="s">
        <v>17556</v>
      </c>
      <c r="N118" s="45" t="s">
        <v>398</v>
      </c>
      <c r="O118" s="46">
        <v>1</v>
      </c>
      <c r="P118" s="512"/>
      <c r="Q118" s="57"/>
      <c r="R118" s="269" t="s">
        <v>17564</v>
      </c>
      <c r="S118" s="37" t="s">
        <v>398</v>
      </c>
      <c r="T118" s="38">
        <v>0.25</v>
      </c>
      <c r="U118" s="79" t="s">
        <v>3575</v>
      </c>
      <c r="V118" s="43"/>
      <c r="W118" s="37"/>
      <c r="X118" s="38"/>
      <c r="Y118" s="79"/>
      <c r="Z118" s="208">
        <f>ROUND((ROUND((ROUND((ROUND((_15_同援日１．５*_15・通訳),0)*_15・２人),0)*(1+_15・A早朝)),0)*(1+_15・盲ろう)),0)+ROUND((ROUND((ROUND((_15_同援日１．５＿０．５*_15・通訳),0)*_15・２人),0)*(1+_15・盲ろう)),0)</f>
        <v>684</v>
      </c>
      <c r="AA118" s="48"/>
    </row>
    <row r="119" spans="1:27" ht="16.5" customHeight="1" x14ac:dyDescent="0.15">
      <c r="A119" s="41">
        <v>15</v>
      </c>
      <c r="B119" s="41" t="s">
        <v>2999</v>
      </c>
      <c r="C119" s="74" t="s">
        <v>27293</v>
      </c>
      <c r="D119" s="72"/>
      <c r="F119" s="57"/>
      <c r="G119" s="72"/>
      <c r="I119" s="57"/>
      <c r="J119" s="35"/>
      <c r="M119" s="163"/>
      <c r="N119" s="45"/>
      <c r="O119" s="46"/>
      <c r="P119" s="512"/>
      <c r="Q119" s="57"/>
      <c r="R119" s="53"/>
      <c r="S119" s="49"/>
      <c r="T119" s="50"/>
      <c r="U119" s="115"/>
      <c r="V119" s="114" t="s">
        <v>17570</v>
      </c>
      <c r="W119" s="49"/>
      <c r="X119" s="50"/>
      <c r="Y119" s="115"/>
      <c r="Z119" s="208">
        <f>ROUND((ROUND((ROUND((_15_同援日１．５*_15・通訳),0)*(1+_15・A早朝)),0)*(1+_15・区３)),0)+ROUND((ROUND((_15_同援日１．５＿０．５*_15・通訳),0)*(1+_15・区３)),0)</f>
        <v>657</v>
      </c>
      <c r="AA119" s="48"/>
    </row>
    <row r="120" spans="1:27" ht="16.5" customHeight="1" x14ac:dyDescent="0.15">
      <c r="A120" s="41">
        <v>15</v>
      </c>
      <c r="B120" s="41" t="s">
        <v>3001</v>
      </c>
      <c r="C120" s="74" t="s">
        <v>27294</v>
      </c>
      <c r="D120" s="72"/>
      <c r="F120" s="57"/>
      <c r="G120" s="72"/>
      <c r="I120" s="57"/>
      <c r="J120" s="35"/>
      <c r="M120" s="299" t="s">
        <v>17556</v>
      </c>
      <c r="N120" s="45" t="s">
        <v>398</v>
      </c>
      <c r="O120" s="46">
        <v>1</v>
      </c>
      <c r="P120" s="512"/>
      <c r="Q120" s="57"/>
      <c r="R120" s="43"/>
      <c r="S120" s="37"/>
      <c r="T120" s="38"/>
      <c r="U120" s="79"/>
      <c r="V120" s="92" t="s">
        <v>17572</v>
      </c>
      <c r="Y120" s="57"/>
      <c r="Z120" s="208">
        <f>ROUND((ROUND((ROUND((ROUND((_15_同援日１．５*_15・通訳),0)*_15・２人),0)*(1+_15・A早朝)),0)*(1+_15・区３)),0)+ROUND((ROUND((ROUND((_15_同援日１．５＿０．５*_15・通訳),0)*_15・２人),0)*(1+_15・区３)),0)</f>
        <v>657</v>
      </c>
      <c r="AA120" s="48"/>
    </row>
    <row r="121" spans="1:27" ht="16.5" customHeight="1" x14ac:dyDescent="0.15">
      <c r="A121" s="41">
        <v>15</v>
      </c>
      <c r="B121" s="41" t="s">
        <v>27295</v>
      </c>
      <c r="C121" s="74" t="s">
        <v>27296</v>
      </c>
      <c r="D121" s="72"/>
      <c r="F121" s="57"/>
      <c r="G121" s="72"/>
      <c r="I121" s="57"/>
      <c r="J121" s="35"/>
      <c r="M121" s="163"/>
      <c r="N121" s="45"/>
      <c r="O121" s="46"/>
      <c r="P121" s="512"/>
      <c r="Q121" s="57"/>
      <c r="R121" s="114" t="s">
        <v>17562</v>
      </c>
      <c r="S121" s="49"/>
      <c r="T121" s="50"/>
      <c r="U121" s="115"/>
      <c r="V121" s="35"/>
      <c r="W121" s="12" t="s">
        <v>398</v>
      </c>
      <c r="X121" s="13">
        <v>0.2</v>
      </c>
      <c r="Y121" s="57" t="s">
        <v>3575</v>
      </c>
      <c r="Z121" s="208">
        <f>ROUND((ROUND((ROUND((ROUND((_15_同援日１．５*_15・通訳),0)*(1+_15・A早朝)),0)*(1+_15・盲ろう)),0)*(1+_15・区３)),0)+ROUND((ROUND((ROUND((_15_同援日１．５＿０．５*_15・通訳),0)*(1+_15・盲ろう)),0)*(1+_15・区３)),0)</f>
        <v>821</v>
      </c>
      <c r="AA121" s="48"/>
    </row>
    <row r="122" spans="1:27" ht="16.5" customHeight="1" x14ac:dyDescent="0.15">
      <c r="A122" s="41">
        <v>15</v>
      </c>
      <c r="B122" s="41" t="s">
        <v>27297</v>
      </c>
      <c r="C122" s="74" t="s">
        <v>27298</v>
      </c>
      <c r="D122" s="72"/>
      <c r="F122" s="57"/>
      <c r="G122" s="72"/>
      <c r="I122" s="57"/>
      <c r="J122" s="35"/>
      <c r="M122" s="299" t="s">
        <v>17556</v>
      </c>
      <c r="N122" s="45" t="s">
        <v>398</v>
      </c>
      <c r="O122" s="46">
        <v>1</v>
      </c>
      <c r="P122" s="512"/>
      <c r="Q122" s="57"/>
      <c r="R122" s="269" t="s">
        <v>17564</v>
      </c>
      <c r="S122" s="37" t="s">
        <v>398</v>
      </c>
      <c r="T122" s="38">
        <v>0.25</v>
      </c>
      <c r="U122" s="79" t="s">
        <v>3575</v>
      </c>
      <c r="V122" s="43"/>
      <c r="W122" s="37"/>
      <c r="X122" s="38"/>
      <c r="Y122" s="79"/>
      <c r="Z122" s="208">
        <f>ROUND((ROUND((ROUND((ROUND((ROUND((_15_同援日１．５*_15・通訳),0)*_15・２人),0)*(1+_15・A早朝)),0)*(1+_15・盲ろう)),0)*(1+_15・区３)),0)+ROUND((ROUND((ROUND((ROUND((_15_同援日１．５＿０．５*_15・通訳),0)*_15・２人),0)*(1+_15・盲ろう)),0)*(1+_15・区３)),0)</f>
        <v>821</v>
      </c>
      <c r="AA122" s="48"/>
    </row>
    <row r="123" spans="1:27" ht="16.5" customHeight="1" x14ac:dyDescent="0.15">
      <c r="A123" s="41">
        <v>15</v>
      </c>
      <c r="B123" s="41" t="s">
        <v>27299</v>
      </c>
      <c r="C123" s="74" t="s">
        <v>27300</v>
      </c>
      <c r="D123" s="72"/>
      <c r="F123" s="57"/>
      <c r="G123" s="72"/>
      <c r="I123" s="57"/>
      <c r="J123" s="35"/>
      <c r="M123" s="163"/>
      <c r="N123" s="45"/>
      <c r="O123" s="46"/>
      <c r="P123" s="512"/>
      <c r="Q123" s="57"/>
      <c r="R123" s="53"/>
      <c r="S123" s="49"/>
      <c r="T123" s="50"/>
      <c r="U123" s="115"/>
      <c r="V123" s="114" t="s">
        <v>17580</v>
      </c>
      <c r="W123" s="49"/>
      <c r="X123" s="50"/>
      <c r="Y123" s="115"/>
      <c r="Z123" s="208">
        <f>ROUND((ROUND((ROUND((_15_同援日１．５*_15・通訳),0)*(1+_15・A早朝)),0)*(1+_15・区４)),0)+ROUND((ROUND((_15_同援日１．５＿０．５*_15・通訳),0)*(1+_15・区４)),0)</f>
        <v>766</v>
      </c>
      <c r="AA123" s="48"/>
    </row>
    <row r="124" spans="1:27" ht="16.5" customHeight="1" x14ac:dyDescent="0.15">
      <c r="A124" s="41">
        <v>15</v>
      </c>
      <c r="B124" s="41" t="s">
        <v>27301</v>
      </c>
      <c r="C124" s="74" t="s">
        <v>27302</v>
      </c>
      <c r="D124" s="72"/>
      <c r="F124" s="57"/>
      <c r="G124" s="72"/>
      <c r="I124" s="57"/>
      <c r="J124" s="35"/>
      <c r="M124" s="299" t="s">
        <v>17556</v>
      </c>
      <c r="N124" s="45" t="s">
        <v>398</v>
      </c>
      <c r="O124" s="46">
        <v>1</v>
      </c>
      <c r="P124" s="512"/>
      <c r="Q124" s="57"/>
      <c r="R124" s="43"/>
      <c r="S124" s="37"/>
      <c r="T124" s="38"/>
      <c r="U124" s="79"/>
      <c r="V124" s="92" t="s">
        <v>17572</v>
      </c>
      <c r="Y124" s="57"/>
      <c r="Z124" s="208">
        <f>ROUND((ROUND((ROUND((ROUND((_15_同援日１．５*_15・通訳),0)*_15・２人),0)*(1+_15・A早朝)),0)*(1+_15・区４)),0)+ROUND((ROUND((ROUND((_15_同援日１．５＿０．５*_15・通訳),0)*_15・２人),0)*(1+_15・区４)),0)</f>
        <v>766</v>
      </c>
      <c r="AA124" s="48"/>
    </row>
    <row r="125" spans="1:27" ht="16.5" customHeight="1" x14ac:dyDescent="0.15">
      <c r="A125" s="41">
        <v>15</v>
      </c>
      <c r="B125" s="41" t="s">
        <v>27303</v>
      </c>
      <c r="C125" s="74" t="s">
        <v>27304</v>
      </c>
      <c r="D125" s="72"/>
      <c r="F125" s="57"/>
      <c r="G125" s="72"/>
      <c r="I125" s="57"/>
      <c r="J125" s="35"/>
      <c r="M125" s="163"/>
      <c r="N125" s="45"/>
      <c r="O125" s="46"/>
      <c r="P125" s="512"/>
      <c r="Q125" s="57"/>
      <c r="R125" s="114" t="s">
        <v>17562</v>
      </c>
      <c r="S125" s="49"/>
      <c r="T125" s="50"/>
      <c r="U125" s="115"/>
      <c r="V125" s="35"/>
      <c r="W125" s="12" t="s">
        <v>398</v>
      </c>
      <c r="X125" s="13">
        <v>0.4</v>
      </c>
      <c r="Y125" s="57" t="s">
        <v>3575</v>
      </c>
      <c r="Z125" s="208">
        <f>ROUND((ROUND((ROUND((ROUND((_15_同援日１．５*_15・通訳),0)*(1+_15・A早朝)),0)*(1+_15・盲ろう)),0)*(1+_15・区４)),0)+ROUND((ROUND((ROUND((_15_同援日１．５＿０．５*_15・通訳),0)*(1+_15・盲ろう)),0)*(1+_15・区４)),0)</f>
        <v>958</v>
      </c>
      <c r="AA125" s="48"/>
    </row>
    <row r="126" spans="1:27" ht="16.5" customHeight="1" x14ac:dyDescent="0.15">
      <c r="A126" s="41">
        <v>15</v>
      </c>
      <c r="B126" s="41" t="s">
        <v>27305</v>
      </c>
      <c r="C126" s="74" t="s">
        <v>27306</v>
      </c>
      <c r="D126" s="72"/>
      <c r="F126" s="57"/>
      <c r="G126" s="122"/>
      <c r="H126" s="37"/>
      <c r="I126" s="79"/>
      <c r="J126" s="35"/>
      <c r="M126" s="299" t="s">
        <v>17556</v>
      </c>
      <c r="N126" s="45" t="s">
        <v>398</v>
      </c>
      <c r="O126" s="46">
        <v>1</v>
      </c>
      <c r="P126" s="512"/>
      <c r="Q126" s="57"/>
      <c r="R126" s="269" t="s">
        <v>17564</v>
      </c>
      <c r="S126" s="37" t="s">
        <v>398</v>
      </c>
      <c r="T126" s="38">
        <v>0.25</v>
      </c>
      <c r="U126" s="79" t="s">
        <v>3575</v>
      </c>
      <c r="V126" s="43"/>
      <c r="W126" s="37"/>
      <c r="X126" s="38"/>
      <c r="Y126" s="79"/>
      <c r="Z126" s="208">
        <f>ROUND((ROUND((ROUND((ROUND((ROUND((_15_同援日１．５*_15・通訳),0)*_15・２人),0)*(1+_15・A早朝)),0)*(1+_15・盲ろう)),0)*(1+_15・区４)),0)+ROUND((ROUND((ROUND((ROUND((_15_同援日１．５＿０．５*_15・通訳),0)*_15・２人),0)*(1+_15・盲ろう)),0)*(1+_15・区４)),0)</f>
        <v>958</v>
      </c>
      <c r="AA126" s="48"/>
    </row>
    <row r="127" spans="1:27" ht="16.5" customHeight="1" x14ac:dyDescent="0.15">
      <c r="A127" s="41">
        <v>15</v>
      </c>
      <c r="B127" s="41" t="s">
        <v>27307</v>
      </c>
      <c r="C127" s="74" t="s">
        <v>27308</v>
      </c>
      <c r="D127" s="72"/>
      <c r="F127" s="57"/>
      <c r="G127" s="114" t="s">
        <v>19212</v>
      </c>
      <c r="H127" s="49"/>
      <c r="I127" s="115"/>
      <c r="J127" s="35"/>
      <c r="M127" s="163"/>
      <c r="N127" s="45"/>
      <c r="O127" s="46"/>
      <c r="P127" s="512"/>
      <c r="Q127" s="57"/>
      <c r="R127" s="53"/>
      <c r="S127" s="49"/>
      <c r="T127" s="50"/>
      <c r="U127" s="115"/>
      <c r="V127" s="53"/>
      <c r="W127" s="49"/>
      <c r="X127" s="50"/>
      <c r="Y127" s="115"/>
      <c r="Z127" s="208">
        <f>ROUND((ROUND((_15_同援日１．５*_15・通訳),0)*(1+_15・A早朝)),0)+ROUND((_15_同援日１．５＿１．０*_15・通訳),0)</f>
        <v>605</v>
      </c>
      <c r="AA127" s="48"/>
    </row>
    <row r="128" spans="1:27" ht="16.5" customHeight="1" x14ac:dyDescent="0.15">
      <c r="A128" s="41">
        <v>15</v>
      </c>
      <c r="B128" s="41" t="s">
        <v>27309</v>
      </c>
      <c r="C128" s="74" t="s">
        <v>27310</v>
      </c>
      <c r="D128" s="72"/>
      <c r="F128" s="57"/>
      <c r="G128" s="72" t="s">
        <v>17589</v>
      </c>
      <c r="I128" s="57"/>
      <c r="J128" s="35"/>
      <c r="M128" s="299" t="s">
        <v>17556</v>
      </c>
      <c r="N128" s="45" t="s">
        <v>398</v>
      </c>
      <c r="O128" s="46">
        <v>1</v>
      </c>
      <c r="P128" s="512"/>
      <c r="Q128" s="57"/>
      <c r="R128" s="43"/>
      <c r="S128" s="37"/>
      <c r="T128" s="38"/>
      <c r="U128" s="79"/>
      <c r="V128" s="35"/>
      <c r="Y128" s="57"/>
      <c r="Z128" s="208">
        <f>ROUND((ROUND((ROUND((_15_同援日１．５*_15・通訳),0)*_15・２人),0)*(1+_15・A早朝)),0)+ROUND((ROUND((_15_同援日１．５＿１．０*_15・通訳),0)*_15・２人),0)</f>
        <v>605</v>
      </c>
      <c r="AA128" s="48"/>
    </row>
    <row r="129" spans="1:27" ht="16.5" customHeight="1" x14ac:dyDescent="0.15">
      <c r="A129" s="41">
        <v>15</v>
      </c>
      <c r="B129" s="41" t="s">
        <v>27311</v>
      </c>
      <c r="C129" s="74" t="s">
        <v>27312</v>
      </c>
      <c r="D129" s="72"/>
      <c r="F129" s="57"/>
      <c r="G129" s="72" t="s">
        <v>17591</v>
      </c>
      <c r="I129" s="57"/>
      <c r="J129" s="35"/>
      <c r="M129" s="163"/>
      <c r="N129" s="45"/>
      <c r="O129" s="46"/>
      <c r="P129" s="512"/>
      <c r="Q129" s="57"/>
      <c r="R129" s="114" t="s">
        <v>17562</v>
      </c>
      <c r="S129" s="49"/>
      <c r="T129" s="50"/>
      <c r="U129" s="115"/>
      <c r="V129" s="35"/>
      <c r="Y129" s="57"/>
      <c r="Z129" s="208">
        <f>ROUND((ROUND((ROUND((_15_同援日１．５*_15・通訳),0)*(1+_15・A早朝)),0)*(1+_15・盲ろう)),0)+ROUND((ROUND((_15_同援日１．５＿１．０*_15・通訳),0)*(1+_15・盲ろう)),0)</f>
        <v>756</v>
      </c>
      <c r="AA129" s="48"/>
    </row>
    <row r="130" spans="1:27" ht="16.5" customHeight="1" x14ac:dyDescent="0.15">
      <c r="A130" s="41">
        <v>15</v>
      </c>
      <c r="B130" s="41" t="s">
        <v>27313</v>
      </c>
      <c r="C130" s="74" t="s">
        <v>27314</v>
      </c>
      <c r="D130" s="72"/>
      <c r="F130" s="57"/>
      <c r="G130" s="72"/>
      <c r="H130" s="168">
        <f>_15_同援日１．５＿１．０</f>
        <v>130</v>
      </c>
      <c r="I130" s="57" t="s">
        <v>392</v>
      </c>
      <c r="J130" s="35"/>
      <c r="M130" s="299" t="s">
        <v>17556</v>
      </c>
      <c r="N130" s="45" t="s">
        <v>398</v>
      </c>
      <c r="O130" s="46">
        <v>1</v>
      </c>
      <c r="P130" s="512"/>
      <c r="Q130" s="57"/>
      <c r="R130" s="269" t="s">
        <v>17564</v>
      </c>
      <c r="S130" s="37" t="s">
        <v>398</v>
      </c>
      <c r="T130" s="38">
        <v>0.25</v>
      </c>
      <c r="U130" s="79" t="s">
        <v>3575</v>
      </c>
      <c r="V130" s="43"/>
      <c r="W130" s="37"/>
      <c r="X130" s="38"/>
      <c r="Y130" s="79"/>
      <c r="Z130" s="208">
        <f>ROUND((ROUND((ROUND((ROUND((_15_同援日１．５*_15・通訳),0)*_15・２人),0)*(1+_15・A早朝)),0)*(1+_15・盲ろう)),0)+ROUND((ROUND((ROUND((_15_同援日１．５＿１．０*_15・通訳),0)*_15・２人),0)*(1+_15・盲ろう)),0)</f>
        <v>756</v>
      </c>
      <c r="AA130" s="48"/>
    </row>
    <row r="131" spans="1:27" ht="16.5" customHeight="1" x14ac:dyDescent="0.15">
      <c r="A131" s="41">
        <v>15</v>
      </c>
      <c r="B131" s="41" t="s">
        <v>27315</v>
      </c>
      <c r="C131" s="74" t="s">
        <v>27316</v>
      </c>
      <c r="D131" s="72"/>
      <c r="F131" s="57"/>
      <c r="G131" s="72"/>
      <c r="I131" s="57"/>
      <c r="J131" s="35"/>
      <c r="M131" s="163"/>
      <c r="N131" s="45"/>
      <c r="O131" s="46"/>
      <c r="P131" s="512"/>
      <c r="Q131" s="57"/>
      <c r="R131" s="53"/>
      <c r="S131" s="49"/>
      <c r="T131" s="50"/>
      <c r="U131" s="115"/>
      <c r="V131" s="114" t="s">
        <v>17570</v>
      </c>
      <c r="W131" s="49"/>
      <c r="X131" s="50"/>
      <c r="Y131" s="115"/>
      <c r="Z131" s="208">
        <f>ROUND((ROUND((ROUND((_15_同援日１．５*_15・通訳),0)*(1+_15・A早朝)),0)*(1+_15・区３)),0)+ROUND((ROUND((_15_同援日１．５＿１．０*_15・通訳),0)*(1+_15・区３)),0)</f>
        <v>726</v>
      </c>
      <c r="AA131" s="48"/>
    </row>
    <row r="132" spans="1:27" ht="16.5" customHeight="1" x14ac:dyDescent="0.15">
      <c r="A132" s="41">
        <v>15</v>
      </c>
      <c r="B132" s="41" t="s">
        <v>27317</v>
      </c>
      <c r="C132" s="74" t="s">
        <v>27318</v>
      </c>
      <c r="D132" s="72"/>
      <c r="F132" s="57"/>
      <c r="G132" s="72"/>
      <c r="I132" s="57"/>
      <c r="J132" s="35"/>
      <c r="M132" s="299" t="s">
        <v>17556</v>
      </c>
      <c r="N132" s="45" t="s">
        <v>398</v>
      </c>
      <c r="O132" s="46">
        <v>1</v>
      </c>
      <c r="P132" s="512"/>
      <c r="Q132" s="57"/>
      <c r="R132" s="43"/>
      <c r="S132" s="37"/>
      <c r="T132" s="38"/>
      <c r="U132" s="79"/>
      <c r="V132" s="92" t="s">
        <v>17572</v>
      </c>
      <c r="Y132" s="57"/>
      <c r="Z132" s="208">
        <f>ROUND((ROUND((ROUND((ROUND((_15_同援日１．５*_15・通訳),0)*_15・２人),0)*(1+_15・A早朝)),0)*(1+_15・区３)),0)+ROUND((ROUND((ROUND((_15_同援日１．５＿１．０*_15・通訳),0)*_15・２人),0)*(1+_15・区３)),0)</f>
        <v>726</v>
      </c>
      <c r="AA132" s="48"/>
    </row>
    <row r="133" spans="1:27" ht="16.5" customHeight="1" x14ac:dyDescent="0.15">
      <c r="A133" s="41">
        <v>15</v>
      </c>
      <c r="B133" s="41" t="s">
        <v>27319</v>
      </c>
      <c r="C133" s="74" t="s">
        <v>27320</v>
      </c>
      <c r="D133" s="72"/>
      <c r="F133" s="57"/>
      <c r="G133" s="72"/>
      <c r="I133" s="57"/>
      <c r="J133" s="35"/>
      <c r="M133" s="163"/>
      <c r="N133" s="45"/>
      <c r="O133" s="46"/>
      <c r="P133" s="512"/>
      <c r="Q133" s="57"/>
      <c r="R133" s="114" t="s">
        <v>17562</v>
      </c>
      <c r="S133" s="49"/>
      <c r="T133" s="50"/>
      <c r="U133" s="115"/>
      <c r="V133" s="35"/>
      <c r="W133" s="12" t="s">
        <v>398</v>
      </c>
      <c r="X133" s="13">
        <v>0.2</v>
      </c>
      <c r="Y133" s="57" t="s">
        <v>3575</v>
      </c>
      <c r="Z133" s="208">
        <f>ROUND((ROUND((ROUND((ROUND((_15_同援日１．５*_15・通訳),0)*(1+_15・A早朝)),0)*(1+_15・盲ろう)),0)*(1+_15・区３)),0)+ROUND((ROUND((ROUND((_15_同援日１．５＿１．０*_15・通訳),0)*(1+_15・盲ろう)),0)*(1+_15・区３)),0)</f>
        <v>907</v>
      </c>
      <c r="AA133" s="48"/>
    </row>
    <row r="134" spans="1:27" ht="16.5" customHeight="1" x14ac:dyDescent="0.15">
      <c r="A134" s="41">
        <v>15</v>
      </c>
      <c r="B134" s="41" t="s">
        <v>27321</v>
      </c>
      <c r="C134" s="74" t="s">
        <v>27322</v>
      </c>
      <c r="D134" s="72"/>
      <c r="F134" s="57"/>
      <c r="G134" s="72"/>
      <c r="I134" s="57"/>
      <c r="J134" s="35"/>
      <c r="M134" s="299" t="s">
        <v>17556</v>
      </c>
      <c r="N134" s="45" t="s">
        <v>398</v>
      </c>
      <c r="O134" s="46">
        <v>1</v>
      </c>
      <c r="P134" s="512"/>
      <c r="Q134" s="57"/>
      <c r="R134" s="269" t="s">
        <v>17564</v>
      </c>
      <c r="S134" s="37" t="s">
        <v>398</v>
      </c>
      <c r="T134" s="38">
        <v>0.25</v>
      </c>
      <c r="U134" s="79" t="s">
        <v>3575</v>
      </c>
      <c r="V134" s="43"/>
      <c r="W134" s="37"/>
      <c r="X134" s="38"/>
      <c r="Y134" s="79"/>
      <c r="Z134" s="208">
        <f>ROUND((ROUND((ROUND((ROUND((ROUND((_15_同援日１．５*_15・通訳),0)*_15・２人),0)*(1+_15・A早朝)),0)*(1+_15・盲ろう)),0)*(1+_15・区３)),0)+ROUND((ROUND((ROUND((ROUND((_15_同援日１．５＿１．０*_15・通訳),0)*_15・２人),0)*(1+_15・盲ろう)),0)*(1+_15・区３)),0)</f>
        <v>907</v>
      </c>
      <c r="AA134" s="48"/>
    </row>
    <row r="135" spans="1:27" ht="16.5" customHeight="1" x14ac:dyDescent="0.15">
      <c r="A135" s="41">
        <v>15</v>
      </c>
      <c r="B135" s="41" t="s">
        <v>27323</v>
      </c>
      <c r="C135" s="74" t="s">
        <v>27324</v>
      </c>
      <c r="D135" s="72"/>
      <c r="F135" s="57"/>
      <c r="G135" s="72"/>
      <c r="I135" s="57"/>
      <c r="J135" s="35"/>
      <c r="M135" s="163"/>
      <c r="N135" s="45"/>
      <c r="O135" s="46"/>
      <c r="P135" s="512"/>
      <c r="Q135" s="57"/>
      <c r="R135" s="53"/>
      <c r="S135" s="49"/>
      <c r="T135" s="50"/>
      <c r="U135" s="115"/>
      <c r="V135" s="114" t="s">
        <v>17580</v>
      </c>
      <c r="W135" s="49"/>
      <c r="X135" s="50"/>
      <c r="Y135" s="115"/>
      <c r="Z135" s="208">
        <f>ROUND((ROUND((ROUND((_15_同援日１．５*_15・通訳),0)*(1+_15・A早朝)),0)*(1+_15・区４)),0)+ROUND((ROUND((_15_同援日１．５＿１．０*_15・通訳),0)*(1+_15・区４)),0)</f>
        <v>847</v>
      </c>
      <c r="AA135" s="48"/>
    </row>
    <row r="136" spans="1:27" ht="16.5" customHeight="1" x14ac:dyDescent="0.15">
      <c r="A136" s="41">
        <v>15</v>
      </c>
      <c r="B136" s="41" t="s">
        <v>27325</v>
      </c>
      <c r="C136" s="74" t="s">
        <v>27326</v>
      </c>
      <c r="D136" s="72"/>
      <c r="F136" s="57"/>
      <c r="G136" s="72"/>
      <c r="I136" s="57"/>
      <c r="J136" s="35"/>
      <c r="M136" s="299" t="s">
        <v>17556</v>
      </c>
      <c r="N136" s="45" t="s">
        <v>398</v>
      </c>
      <c r="O136" s="46">
        <v>1</v>
      </c>
      <c r="P136" s="512"/>
      <c r="Q136" s="57"/>
      <c r="R136" s="43"/>
      <c r="S136" s="37"/>
      <c r="T136" s="38"/>
      <c r="U136" s="79"/>
      <c r="V136" s="92" t="s">
        <v>17572</v>
      </c>
      <c r="Y136" s="57"/>
      <c r="Z136" s="208">
        <f>ROUND((ROUND((ROUND((ROUND((_15_同援日１．５*_15・通訳),0)*_15・２人),0)*(1+_15・A早朝)),0)*(1+_15・区４)),0)+ROUND((ROUND((ROUND((_15_同援日１．５＿１．０*_15・通訳),0)*_15・２人),0)*(1+_15・区４)),0)</f>
        <v>847</v>
      </c>
      <c r="AA136" s="48"/>
    </row>
    <row r="137" spans="1:27" ht="16.5" customHeight="1" x14ac:dyDescent="0.15">
      <c r="A137" s="41">
        <v>15</v>
      </c>
      <c r="B137" s="41" t="s">
        <v>3007</v>
      </c>
      <c r="C137" s="74" t="s">
        <v>27327</v>
      </c>
      <c r="D137" s="72"/>
      <c r="F137" s="57"/>
      <c r="G137" s="72"/>
      <c r="I137" s="57"/>
      <c r="J137" s="35"/>
      <c r="M137" s="163"/>
      <c r="N137" s="45"/>
      <c r="O137" s="46"/>
      <c r="P137" s="512"/>
      <c r="Q137" s="57"/>
      <c r="R137" s="114" t="s">
        <v>17562</v>
      </c>
      <c r="S137" s="49"/>
      <c r="T137" s="50"/>
      <c r="U137" s="115"/>
      <c r="V137" s="35"/>
      <c r="W137" s="12" t="s">
        <v>398</v>
      </c>
      <c r="X137" s="13">
        <v>0.4</v>
      </c>
      <c r="Y137" s="57" t="s">
        <v>3575</v>
      </c>
      <c r="Z137" s="208">
        <f>ROUND((ROUND((ROUND((ROUND((_15_同援日１．５*_15・通訳),0)*(1+_15・A早朝)),0)*(1+_15・盲ろう)),0)*(1+_15・区４)),0)+ROUND((ROUND((ROUND((_15_同援日１．５＿１．０*_15・通訳),0)*(1+_15・盲ろう)),0)*(1+_15・区４)),0)</f>
        <v>1058</v>
      </c>
      <c r="AA137" s="48"/>
    </row>
    <row r="138" spans="1:27" ht="16.5" customHeight="1" x14ac:dyDescent="0.15">
      <c r="A138" s="41">
        <v>15</v>
      </c>
      <c r="B138" s="41" t="s">
        <v>3009</v>
      </c>
      <c r="C138" s="74" t="s">
        <v>27328</v>
      </c>
      <c r="D138" s="72"/>
      <c r="F138" s="57"/>
      <c r="G138" s="122"/>
      <c r="H138" s="37"/>
      <c r="I138" s="79"/>
      <c r="J138" s="35"/>
      <c r="M138" s="299" t="s">
        <v>17556</v>
      </c>
      <c r="N138" s="45" t="s">
        <v>398</v>
      </c>
      <c r="O138" s="46">
        <v>1</v>
      </c>
      <c r="P138" s="512"/>
      <c r="Q138" s="57"/>
      <c r="R138" s="269" t="s">
        <v>17564</v>
      </c>
      <c r="S138" s="37" t="s">
        <v>398</v>
      </c>
      <c r="T138" s="38">
        <v>0.25</v>
      </c>
      <c r="U138" s="79" t="s">
        <v>3575</v>
      </c>
      <c r="V138" s="43"/>
      <c r="W138" s="37"/>
      <c r="X138" s="38"/>
      <c r="Y138" s="79"/>
      <c r="Z138" s="208">
        <f>ROUND((ROUND((ROUND((ROUND((ROUND((_15_同援日１．５*_15・通訳),0)*_15・２人),0)*(1+_15・A早朝)),0)*(1+_15・盲ろう)),0)*(1+_15・区４)),0)+ROUND((ROUND((ROUND((ROUND((_15_同援日１．５＿１．０*_15・通訳),0)*_15・２人),0)*(1+_15・盲ろう)),0)*(1+_15・区４)),0)</f>
        <v>1058</v>
      </c>
      <c r="AA138" s="48"/>
    </row>
    <row r="139" spans="1:27" ht="16.5" customHeight="1" x14ac:dyDescent="0.15">
      <c r="A139" s="41">
        <v>15</v>
      </c>
      <c r="B139" s="41" t="s">
        <v>3011</v>
      </c>
      <c r="C139" s="74" t="s">
        <v>27329</v>
      </c>
      <c r="D139" s="72"/>
      <c r="F139" s="57"/>
      <c r="G139" s="114" t="s">
        <v>19237</v>
      </c>
      <c r="H139" s="49"/>
      <c r="I139" s="115"/>
      <c r="J139" s="35"/>
      <c r="M139" s="163"/>
      <c r="N139" s="45"/>
      <c r="O139" s="46"/>
      <c r="P139" s="512"/>
      <c r="Q139" s="57"/>
      <c r="R139" s="53"/>
      <c r="S139" s="49"/>
      <c r="T139" s="50"/>
      <c r="U139" s="115"/>
      <c r="V139" s="53"/>
      <c r="W139" s="49"/>
      <c r="X139" s="50"/>
      <c r="Y139" s="115"/>
      <c r="Z139" s="208">
        <f>ROUND((ROUND((_15_同援日１．５*_15・通訳),0)*(1+_15・A早朝)),0)+ROUND((_15_同援日１．５＿１．５*_15・通訳),0)</f>
        <v>664</v>
      </c>
      <c r="AA139" s="48"/>
    </row>
    <row r="140" spans="1:27" ht="16.5" customHeight="1" x14ac:dyDescent="0.15">
      <c r="A140" s="41">
        <v>15</v>
      </c>
      <c r="B140" s="41" t="s">
        <v>3013</v>
      </c>
      <c r="C140" s="74" t="s">
        <v>27330</v>
      </c>
      <c r="D140" s="72"/>
      <c r="F140" s="57"/>
      <c r="G140" s="72" t="s">
        <v>17616</v>
      </c>
      <c r="I140" s="57"/>
      <c r="J140" s="35"/>
      <c r="M140" s="299" t="s">
        <v>17556</v>
      </c>
      <c r="N140" s="45" t="s">
        <v>398</v>
      </c>
      <c r="O140" s="46">
        <v>1</v>
      </c>
      <c r="P140" s="512"/>
      <c r="Q140" s="57"/>
      <c r="R140" s="43"/>
      <c r="S140" s="37"/>
      <c r="T140" s="38"/>
      <c r="U140" s="79"/>
      <c r="V140" s="35"/>
      <c r="Y140" s="57"/>
      <c r="Z140" s="208">
        <f>ROUND((ROUND((ROUND((_15_同援日１．５*_15・通訳),0)*_15・２人),0)*(1+_15・A早朝)),0)+ROUND((ROUND((_15_同援日１．５＿１．５*_15・通訳),0)*_15・２人),0)</f>
        <v>664</v>
      </c>
      <c r="AA140" s="48"/>
    </row>
    <row r="141" spans="1:27" ht="16.5" customHeight="1" x14ac:dyDescent="0.15">
      <c r="A141" s="41">
        <v>15</v>
      </c>
      <c r="B141" s="41" t="s">
        <v>27331</v>
      </c>
      <c r="C141" s="74" t="s">
        <v>27332</v>
      </c>
      <c r="D141" s="72"/>
      <c r="F141" s="57"/>
      <c r="G141" s="72" t="s">
        <v>18183</v>
      </c>
      <c r="I141" s="57"/>
      <c r="J141" s="35"/>
      <c r="M141" s="163"/>
      <c r="N141" s="45"/>
      <c r="O141" s="46"/>
      <c r="P141" s="512"/>
      <c r="Q141" s="57"/>
      <c r="R141" s="114" t="s">
        <v>17562</v>
      </c>
      <c r="S141" s="49"/>
      <c r="T141" s="50"/>
      <c r="U141" s="115"/>
      <c r="V141" s="35"/>
      <c r="Y141" s="57"/>
      <c r="Z141" s="208">
        <f>ROUND((ROUND((ROUND((_15_同援日１．５*_15・通訳),0)*(1+_15・A早朝)),0)*(1+_15・盲ろう)),0)+ROUND((ROUND((_15_同援日１．５＿１．５*_15・通訳),0)*(1+_15・盲ろう)),0)</f>
        <v>830</v>
      </c>
      <c r="AA141" s="48"/>
    </row>
    <row r="142" spans="1:27" ht="16.5" customHeight="1" x14ac:dyDescent="0.15">
      <c r="A142" s="41">
        <v>15</v>
      </c>
      <c r="B142" s="41" t="s">
        <v>27333</v>
      </c>
      <c r="C142" s="74" t="s">
        <v>27334</v>
      </c>
      <c r="D142" s="72"/>
      <c r="F142" s="57"/>
      <c r="G142" s="72"/>
      <c r="H142" s="168">
        <f>_15_同援日１．５＿１．５</f>
        <v>195</v>
      </c>
      <c r="I142" s="57" t="s">
        <v>392</v>
      </c>
      <c r="J142" s="35"/>
      <c r="M142" s="299" t="s">
        <v>17556</v>
      </c>
      <c r="N142" s="45" t="s">
        <v>398</v>
      </c>
      <c r="O142" s="46">
        <v>1</v>
      </c>
      <c r="P142" s="512"/>
      <c r="Q142" s="57"/>
      <c r="R142" s="269" t="s">
        <v>17564</v>
      </c>
      <c r="S142" s="37" t="s">
        <v>398</v>
      </c>
      <c r="T142" s="38">
        <v>0.25</v>
      </c>
      <c r="U142" s="79" t="s">
        <v>3575</v>
      </c>
      <c r="V142" s="43"/>
      <c r="W142" s="37"/>
      <c r="X142" s="38"/>
      <c r="Y142" s="79"/>
      <c r="Z142" s="208">
        <f>ROUND((ROUND((ROUND((ROUND((_15_同援日１．５*_15・通訳),0)*_15・２人),0)*(1+_15・A早朝)),0)*(1+_15・盲ろう)),0)+ROUND((ROUND((ROUND((_15_同援日１．５＿１．５*_15・通訳),0)*_15・２人),0)*(1+_15・盲ろう)),0)</f>
        <v>830</v>
      </c>
      <c r="AA142" s="48"/>
    </row>
    <row r="143" spans="1:27" ht="16.5" customHeight="1" x14ac:dyDescent="0.15">
      <c r="A143" s="41">
        <v>15</v>
      </c>
      <c r="B143" s="41" t="s">
        <v>27335</v>
      </c>
      <c r="C143" s="74" t="s">
        <v>27336</v>
      </c>
      <c r="D143" s="72"/>
      <c r="F143" s="57"/>
      <c r="G143" s="72"/>
      <c r="I143" s="57"/>
      <c r="J143" s="35"/>
      <c r="M143" s="163"/>
      <c r="N143" s="45"/>
      <c r="O143" s="46"/>
      <c r="P143" s="512"/>
      <c r="Q143" s="57"/>
      <c r="R143" s="53"/>
      <c r="S143" s="49"/>
      <c r="T143" s="50"/>
      <c r="U143" s="115"/>
      <c r="V143" s="114" t="s">
        <v>17570</v>
      </c>
      <c r="W143" s="49"/>
      <c r="X143" s="50"/>
      <c r="Y143" s="115"/>
      <c r="Z143" s="208">
        <f>ROUND((ROUND((ROUND((_15_同援日１．５*_15・通訳),0)*(1+_15・A早朝)),0)*(1+_15・区３)),0)+ROUND((ROUND((_15_同援日１．５＿１．５*_15・通訳),0)*(1+_15・区３)),0)</f>
        <v>797</v>
      </c>
      <c r="AA143" s="48"/>
    </row>
    <row r="144" spans="1:27" ht="16.5" customHeight="1" x14ac:dyDescent="0.15">
      <c r="A144" s="41">
        <v>15</v>
      </c>
      <c r="B144" s="41" t="s">
        <v>27337</v>
      </c>
      <c r="C144" s="74" t="s">
        <v>27338</v>
      </c>
      <c r="D144" s="72"/>
      <c r="F144" s="57"/>
      <c r="G144" s="72"/>
      <c r="I144" s="57"/>
      <c r="J144" s="35"/>
      <c r="M144" s="299" t="s">
        <v>17556</v>
      </c>
      <c r="N144" s="45" t="s">
        <v>398</v>
      </c>
      <c r="O144" s="46">
        <v>1</v>
      </c>
      <c r="P144" s="512"/>
      <c r="Q144" s="57"/>
      <c r="R144" s="43"/>
      <c r="S144" s="37"/>
      <c r="T144" s="38"/>
      <c r="U144" s="79"/>
      <c r="V144" s="92" t="s">
        <v>17572</v>
      </c>
      <c r="Y144" s="57"/>
      <c r="Z144" s="208">
        <f>ROUND((ROUND((ROUND((ROUND((_15_同援日１．５*_15・通訳),0)*_15・２人),0)*(1+_15・A早朝)),0)*(1+_15・区３)),0)+ROUND((ROUND((ROUND((_15_同援日１．５＿１．５*_15・通訳),0)*_15・２人),0)*(1+_15・区３)),0)</f>
        <v>797</v>
      </c>
      <c r="AA144" s="48"/>
    </row>
    <row r="145" spans="1:27" ht="16.5" customHeight="1" x14ac:dyDescent="0.15">
      <c r="A145" s="41">
        <v>15</v>
      </c>
      <c r="B145" s="41" t="s">
        <v>27339</v>
      </c>
      <c r="C145" s="74" t="s">
        <v>27340</v>
      </c>
      <c r="D145" s="72"/>
      <c r="F145" s="57"/>
      <c r="G145" s="72"/>
      <c r="I145" s="57"/>
      <c r="J145" s="35"/>
      <c r="M145" s="163"/>
      <c r="N145" s="45"/>
      <c r="O145" s="46"/>
      <c r="P145" s="512"/>
      <c r="Q145" s="57"/>
      <c r="R145" s="114" t="s">
        <v>17562</v>
      </c>
      <c r="S145" s="49"/>
      <c r="T145" s="50"/>
      <c r="U145" s="115"/>
      <c r="V145" s="35"/>
      <c r="W145" s="12" t="s">
        <v>398</v>
      </c>
      <c r="X145" s="13">
        <v>0.2</v>
      </c>
      <c r="Y145" s="57" t="s">
        <v>3575</v>
      </c>
      <c r="Z145" s="208">
        <f>ROUND((ROUND((ROUND((ROUND((_15_同援日１．５*_15・通訳),0)*(1+_15・A早朝)),0)*(1+_15・盲ろう)),0)*(1+_15・区３)),0)+ROUND((ROUND((ROUND((_15_同援日１．５＿１．５*_15・通訳),0)*(1+_15・盲ろう)),0)*(1+_15・区３)),0)</f>
        <v>996</v>
      </c>
      <c r="AA145" s="48"/>
    </row>
    <row r="146" spans="1:27" ht="16.5" customHeight="1" x14ac:dyDescent="0.15">
      <c r="A146" s="41">
        <v>15</v>
      </c>
      <c r="B146" s="41" t="s">
        <v>27341</v>
      </c>
      <c r="C146" s="74" t="s">
        <v>27342</v>
      </c>
      <c r="D146" s="72"/>
      <c r="F146" s="57"/>
      <c r="G146" s="72"/>
      <c r="I146" s="57"/>
      <c r="J146" s="35"/>
      <c r="M146" s="299" t="s">
        <v>17556</v>
      </c>
      <c r="N146" s="45" t="s">
        <v>398</v>
      </c>
      <c r="O146" s="46">
        <v>1</v>
      </c>
      <c r="P146" s="512"/>
      <c r="Q146" s="57"/>
      <c r="R146" s="269" t="s">
        <v>17564</v>
      </c>
      <c r="S146" s="37" t="s">
        <v>398</v>
      </c>
      <c r="T146" s="38">
        <v>0.25</v>
      </c>
      <c r="U146" s="79" t="s">
        <v>3575</v>
      </c>
      <c r="V146" s="43"/>
      <c r="W146" s="37"/>
      <c r="X146" s="38"/>
      <c r="Y146" s="79"/>
      <c r="Z146" s="208">
        <f>ROUND((ROUND((ROUND((ROUND((ROUND((_15_同援日１．５*_15・通訳),0)*_15・２人),0)*(1+_15・A早朝)),0)*(1+_15・盲ろう)),0)*(1+_15・区３)),0)+ROUND((ROUND((ROUND((ROUND((_15_同援日１．５＿１．５*_15・通訳),0)*_15・２人),0)*(1+_15・盲ろう)),0)*(1+_15・区３)),0)</f>
        <v>996</v>
      </c>
      <c r="AA146" s="48"/>
    </row>
    <row r="147" spans="1:27" ht="16.5" customHeight="1" x14ac:dyDescent="0.15">
      <c r="A147" s="41">
        <v>15</v>
      </c>
      <c r="B147" s="41" t="s">
        <v>27343</v>
      </c>
      <c r="C147" s="74" t="s">
        <v>27344</v>
      </c>
      <c r="D147" s="72"/>
      <c r="F147" s="57"/>
      <c r="G147" s="72"/>
      <c r="I147" s="57"/>
      <c r="J147" s="35"/>
      <c r="M147" s="163"/>
      <c r="N147" s="45"/>
      <c r="O147" s="46"/>
      <c r="P147" s="512"/>
      <c r="Q147" s="57"/>
      <c r="R147" s="53"/>
      <c r="S147" s="49"/>
      <c r="T147" s="50"/>
      <c r="U147" s="115"/>
      <c r="V147" s="114" t="s">
        <v>17580</v>
      </c>
      <c r="W147" s="49"/>
      <c r="X147" s="50"/>
      <c r="Y147" s="115"/>
      <c r="Z147" s="208">
        <f>ROUND((ROUND((ROUND((_15_同援日１．５*_15・通訳),0)*(1+_15・A早朝)),0)*(1+_15・区４)),0)+ROUND((ROUND((_15_同援日１．５＿１．５*_15・通訳),0)*(1+_15・区４)),0)</f>
        <v>929</v>
      </c>
      <c r="AA147" s="48"/>
    </row>
    <row r="148" spans="1:27" ht="16.5" customHeight="1" x14ac:dyDescent="0.15">
      <c r="A148" s="41">
        <v>15</v>
      </c>
      <c r="B148" s="41" t="s">
        <v>27345</v>
      </c>
      <c r="C148" s="74" t="s">
        <v>27346</v>
      </c>
      <c r="D148" s="72"/>
      <c r="F148" s="57"/>
      <c r="G148" s="72"/>
      <c r="I148" s="57"/>
      <c r="J148" s="35"/>
      <c r="M148" s="299" t="s">
        <v>17556</v>
      </c>
      <c r="N148" s="45" t="s">
        <v>398</v>
      </c>
      <c r="O148" s="46">
        <v>1</v>
      </c>
      <c r="P148" s="512"/>
      <c r="Q148" s="57"/>
      <c r="R148" s="43"/>
      <c r="S148" s="37"/>
      <c r="T148" s="38"/>
      <c r="U148" s="79"/>
      <c r="V148" s="92" t="s">
        <v>17572</v>
      </c>
      <c r="Y148" s="57"/>
      <c r="Z148" s="208">
        <f>ROUND((ROUND((ROUND((ROUND((_15_同援日１．５*_15・通訳),0)*_15・２人),0)*(1+_15・A早朝)),0)*(1+_15・区４)),0)+ROUND((ROUND((ROUND((_15_同援日１．５＿１．５*_15・通訳),0)*_15・２人),0)*(1+_15・区４)),0)</f>
        <v>929</v>
      </c>
      <c r="AA148" s="48"/>
    </row>
    <row r="149" spans="1:27" ht="16.5" customHeight="1" x14ac:dyDescent="0.15">
      <c r="A149" s="41">
        <v>15</v>
      </c>
      <c r="B149" s="41" t="s">
        <v>27347</v>
      </c>
      <c r="C149" s="74" t="s">
        <v>27348</v>
      </c>
      <c r="D149" s="72"/>
      <c r="F149" s="57"/>
      <c r="G149" s="72"/>
      <c r="I149" s="57"/>
      <c r="J149" s="35"/>
      <c r="M149" s="163"/>
      <c r="N149" s="45"/>
      <c r="O149" s="46"/>
      <c r="P149" s="512"/>
      <c r="Q149" s="57"/>
      <c r="R149" s="114" t="s">
        <v>17562</v>
      </c>
      <c r="S149" s="49"/>
      <c r="T149" s="50"/>
      <c r="U149" s="115"/>
      <c r="V149" s="35"/>
      <c r="W149" s="12" t="s">
        <v>398</v>
      </c>
      <c r="X149" s="13">
        <v>0.4</v>
      </c>
      <c r="Y149" s="57" t="s">
        <v>3575</v>
      </c>
      <c r="Z149" s="208">
        <f>ROUND((ROUND((ROUND((ROUND((_15_同援日１．５*_15・通訳),0)*(1+_15・A早朝)),0)*(1+_15・盲ろう)),0)*(1+_15・区４)),0)+ROUND((ROUND((ROUND((_15_同援日１．５＿１．５*_15・通訳),0)*(1+_15・盲ろう)),0)*(1+_15・区４)),0)</f>
        <v>1162</v>
      </c>
      <c r="AA149" s="48"/>
    </row>
    <row r="150" spans="1:27" ht="16.5" customHeight="1" x14ac:dyDescent="0.15">
      <c r="A150" s="41">
        <v>15</v>
      </c>
      <c r="B150" s="41" t="s">
        <v>27349</v>
      </c>
      <c r="C150" s="74" t="s">
        <v>27350</v>
      </c>
      <c r="D150" s="122"/>
      <c r="E150" s="37"/>
      <c r="F150" s="79"/>
      <c r="G150" s="122"/>
      <c r="H150" s="37"/>
      <c r="I150" s="79"/>
      <c r="J150" s="35"/>
      <c r="M150" s="299" t="s">
        <v>17556</v>
      </c>
      <c r="N150" s="45" t="s">
        <v>398</v>
      </c>
      <c r="O150" s="46">
        <v>1</v>
      </c>
      <c r="P150" s="512"/>
      <c r="Q150" s="57"/>
      <c r="R150" s="269" t="s">
        <v>17564</v>
      </c>
      <c r="S150" s="37" t="s">
        <v>398</v>
      </c>
      <c r="T150" s="38">
        <v>0.25</v>
      </c>
      <c r="U150" s="79" t="s">
        <v>3575</v>
      </c>
      <c r="V150" s="43"/>
      <c r="W150" s="37"/>
      <c r="X150" s="38"/>
      <c r="Y150" s="79"/>
      <c r="Z150" s="208">
        <f>ROUND((ROUND((ROUND((ROUND((ROUND((_15_同援日１．５*_15・通訳),0)*_15・２人),0)*(1+_15・A早朝)),0)*(1+_15・盲ろう)),0)*(1+_15・区４)),0)+ROUND((ROUND((ROUND((ROUND((_15_同援日１．５＿１．５*_15・通訳),0)*_15・２人),0)*(1+_15・盲ろう)),0)*(1+_15・区４)),0)</f>
        <v>1162</v>
      </c>
      <c r="AA150" s="48"/>
    </row>
    <row r="151" spans="1:27" ht="16.5" customHeight="1" x14ac:dyDescent="0.15">
      <c r="A151" s="41">
        <v>15</v>
      </c>
      <c r="B151" s="41" t="s">
        <v>27351</v>
      </c>
      <c r="C151" s="74" t="s">
        <v>27352</v>
      </c>
      <c r="D151" s="114" t="s">
        <v>18206</v>
      </c>
      <c r="E151" s="49"/>
      <c r="F151" s="115"/>
      <c r="G151" s="114" t="s">
        <v>19187</v>
      </c>
      <c r="H151" s="49"/>
      <c r="I151" s="115"/>
      <c r="J151" s="35"/>
      <c r="M151" s="163"/>
      <c r="N151" s="45"/>
      <c r="O151" s="46"/>
      <c r="P151" s="512"/>
      <c r="Q151" s="57"/>
      <c r="R151" s="53"/>
      <c r="S151" s="49"/>
      <c r="T151" s="50"/>
      <c r="U151" s="115"/>
      <c r="V151" s="53"/>
      <c r="W151" s="49"/>
      <c r="X151" s="50"/>
      <c r="Y151" s="115"/>
      <c r="Z151" s="208">
        <f>ROUND((ROUND((_15_同援日２．０*_15・通訳),0)*(1+_15・A早朝)),0)+ROUND((_15_同援日２．０＿０．５*_15・通訳),0)</f>
        <v>619</v>
      </c>
      <c r="AA151" s="48"/>
    </row>
    <row r="152" spans="1:27" ht="16.5" customHeight="1" x14ac:dyDescent="0.15">
      <c r="A152" s="41">
        <v>15</v>
      </c>
      <c r="B152" s="41" t="s">
        <v>27353</v>
      </c>
      <c r="C152" s="74" t="s">
        <v>27354</v>
      </c>
      <c r="D152" s="72" t="s">
        <v>17643</v>
      </c>
      <c r="F152" s="57"/>
      <c r="G152" s="72" t="s">
        <v>18259</v>
      </c>
      <c r="I152" s="57"/>
      <c r="J152" s="35"/>
      <c r="M152" s="299" t="s">
        <v>17556</v>
      </c>
      <c r="N152" s="45" t="s">
        <v>398</v>
      </c>
      <c r="O152" s="46">
        <v>1</v>
      </c>
      <c r="P152" s="512"/>
      <c r="Q152" s="57"/>
      <c r="R152" s="43"/>
      <c r="S152" s="37"/>
      <c r="T152" s="38"/>
      <c r="U152" s="79"/>
      <c r="V152" s="35"/>
      <c r="Y152" s="57"/>
      <c r="Z152" s="208">
        <f>ROUND((ROUND((ROUND((_15_同援日２．０*_15・通訳),0)*_15・２人),0)*(1+_15・A早朝)),0)+ROUND((ROUND((_15_同援日２．０＿０．５*_15・通訳),0)*_15・２人),0)</f>
        <v>619</v>
      </c>
      <c r="AA152" s="48"/>
    </row>
    <row r="153" spans="1:27" ht="16.5" customHeight="1" x14ac:dyDescent="0.15">
      <c r="A153" s="41">
        <v>15</v>
      </c>
      <c r="B153" s="41" t="s">
        <v>27355</v>
      </c>
      <c r="C153" s="74" t="s">
        <v>27356</v>
      </c>
      <c r="D153" s="72" t="s">
        <v>17645</v>
      </c>
      <c r="F153" s="57"/>
      <c r="G153" s="72"/>
      <c r="I153" s="57"/>
      <c r="J153" s="35"/>
      <c r="M153" s="163"/>
      <c r="N153" s="45"/>
      <c r="O153" s="46"/>
      <c r="P153" s="512"/>
      <c r="Q153" s="57"/>
      <c r="R153" s="114" t="s">
        <v>17562</v>
      </c>
      <c r="S153" s="49"/>
      <c r="T153" s="50"/>
      <c r="U153" s="115"/>
      <c r="V153" s="35"/>
      <c r="Y153" s="57"/>
      <c r="Z153" s="208">
        <f>ROUND((ROUND((ROUND((_15_同援日２．０*_15・通訳),0)*(1+_15・A早朝)),0)*(1+_15・盲ろう)),0)+ROUND((ROUND((_15_同援日２．０＿０．５*_15・通訳),0)*(1+_15・盲ろう)),0)</f>
        <v>774</v>
      </c>
      <c r="AA153" s="48"/>
    </row>
    <row r="154" spans="1:27" ht="16.5" customHeight="1" x14ac:dyDescent="0.15">
      <c r="A154" s="41">
        <v>15</v>
      </c>
      <c r="B154" s="41" t="s">
        <v>27357</v>
      </c>
      <c r="C154" s="74" t="s">
        <v>27358</v>
      </c>
      <c r="D154" s="72"/>
      <c r="E154" s="168">
        <f>_15_同援日２．０</f>
        <v>498</v>
      </c>
      <c r="F154" s="57" t="s">
        <v>392</v>
      </c>
      <c r="G154" s="72"/>
      <c r="H154" s="168">
        <f>_15_同援日２．０＿０．５</f>
        <v>65</v>
      </c>
      <c r="I154" s="57" t="s">
        <v>392</v>
      </c>
      <c r="J154" s="35"/>
      <c r="M154" s="299" t="s">
        <v>17556</v>
      </c>
      <c r="N154" s="45" t="s">
        <v>398</v>
      </c>
      <c r="O154" s="46">
        <v>1</v>
      </c>
      <c r="P154" s="512"/>
      <c r="Q154" s="57"/>
      <c r="R154" s="269" t="s">
        <v>17564</v>
      </c>
      <c r="S154" s="37" t="s">
        <v>398</v>
      </c>
      <c r="T154" s="38">
        <v>0.25</v>
      </c>
      <c r="U154" s="79" t="s">
        <v>3575</v>
      </c>
      <c r="V154" s="43"/>
      <c r="W154" s="37"/>
      <c r="X154" s="38"/>
      <c r="Y154" s="79"/>
      <c r="Z154" s="208">
        <f>ROUND((ROUND((ROUND((ROUND((_15_同援日２．０*_15・通訳),0)*_15・２人),0)*(1+_15・A早朝)),0)*(1+_15・盲ろう)),0)+ROUND((ROUND((ROUND((_15_同援日２．０＿０．５*_15・通訳),0)*_15・２人),0)*(1+_15・盲ろう)),0)</f>
        <v>774</v>
      </c>
      <c r="AA154" s="48"/>
    </row>
    <row r="155" spans="1:27" ht="16.5" customHeight="1" x14ac:dyDescent="0.15">
      <c r="A155" s="41">
        <v>15</v>
      </c>
      <c r="B155" s="41" t="s">
        <v>27359</v>
      </c>
      <c r="C155" s="74" t="s">
        <v>27360</v>
      </c>
      <c r="D155" s="72"/>
      <c r="F155" s="57"/>
      <c r="G155" s="72"/>
      <c r="I155" s="57"/>
      <c r="J155" s="35"/>
      <c r="M155" s="163"/>
      <c r="N155" s="45"/>
      <c r="O155" s="46"/>
      <c r="P155" s="512"/>
      <c r="Q155" s="57"/>
      <c r="R155" s="53"/>
      <c r="S155" s="49"/>
      <c r="T155" s="50"/>
      <c r="U155" s="115"/>
      <c r="V155" s="114" t="s">
        <v>17570</v>
      </c>
      <c r="W155" s="49"/>
      <c r="X155" s="50"/>
      <c r="Y155" s="115"/>
      <c r="Z155" s="208">
        <f>ROUND((ROUND((ROUND((_15_同援日２．０*_15・通訳),0)*(1+_15・A早朝)),0)*(1+_15・区３)),0)+ROUND((ROUND((_15_同援日２．０＿０．５*_15・通訳),0)*(1+_15・区３)),0)</f>
        <v>743</v>
      </c>
      <c r="AA155" s="48"/>
    </row>
    <row r="156" spans="1:27" ht="16.5" customHeight="1" x14ac:dyDescent="0.15">
      <c r="A156" s="41">
        <v>15</v>
      </c>
      <c r="B156" s="41" t="s">
        <v>27361</v>
      </c>
      <c r="C156" s="74" t="s">
        <v>27362</v>
      </c>
      <c r="D156" s="72"/>
      <c r="F156" s="57"/>
      <c r="G156" s="72"/>
      <c r="I156" s="57"/>
      <c r="J156" s="35"/>
      <c r="M156" s="299" t="s">
        <v>17556</v>
      </c>
      <c r="N156" s="45" t="s">
        <v>398</v>
      </c>
      <c r="O156" s="46">
        <v>1</v>
      </c>
      <c r="P156" s="512"/>
      <c r="Q156" s="57"/>
      <c r="R156" s="43"/>
      <c r="S156" s="37"/>
      <c r="T156" s="38"/>
      <c r="U156" s="79"/>
      <c r="V156" s="92" t="s">
        <v>17572</v>
      </c>
      <c r="Y156" s="57"/>
      <c r="Z156" s="208">
        <f>ROUND((ROUND((ROUND((ROUND((_15_同援日２．０*_15・通訳),0)*_15・２人),0)*(1+_15・A早朝)),0)*(1+_15・区３)),0)+ROUND((ROUND((ROUND((_15_同援日２．０＿０．５*_15・通訳),0)*_15・２人),0)*(1+_15・区３)),0)</f>
        <v>743</v>
      </c>
      <c r="AA156" s="48"/>
    </row>
    <row r="157" spans="1:27" ht="16.5" customHeight="1" x14ac:dyDescent="0.15">
      <c r="A157" s="41">
        <v>15</v>
      </c>
      <c r="B157" s="41" t="s">
        <v>3019</v>
      </c>
      <c r="C157" s="74" t="s">
        <v>27363</v>
      </c>
      <c r="D157" s="72"/>
      <c r="F157" s="57"/>
      <c r="G157" s="72"/>
      <c r="I157" s="57"/>
      <c r="J157" s="35"/>
      <c r="M157" s="163"/>
      <c r="N157" s="45"/>
      <c r="O157" s="46"/>
      <c r="P157" s="512"/>
      <c r="Q157" s="57"/>
      <c r="R157" s="114" t="s">
        <v>17562</v>
      </c>
      <c r="S157" s="49"/>
      <c r="T157" s="50"/>
      <c r="U157" s="115"/>
      <c r="V157" s="35"/>
      <c r="W157" s="12" t="s">
        <v>398</v>
      </c>
      <c r="X157" s="13">
        <v>0.2</v>
      </c>
      <c r="Y157" s="57" t="s">
        <v>3575</v>
      </c>
      <c r="Z157" s="208">
        <f>ROUND((ROUND((ROUND((ROUND((_15_同援日２．０*_15・通訳),0)*(1+_15・A早朝)),0)*(1+_15・盲ろう)),0)*(1+_15・区３)),0)+ROUND((ROUND((ROUND((_15_同援日２．０＿０．５*_15・通訳),0)*(1+_15・盲ろう)),0)*(1+_15・区３)),0)</f>
        <v>929</v>
      </c>
      <c r="AA157" s="48"/>
    </row>
    <row r="158" spans="1:27" ht="16.5" customHeight="1" x14ac:dyDescent="0.15">
      <c r="A158" s="41">
        <v>15</v>
      </c>
      <c r="B158" s="41" t="s">
        <v>3021</v>
      </c>
      <c r="C158" s="74" t="s">
        <v>27364</v>
      </c>
      <c r="D158" s="72"/>
      <c r="F158" s="57"/>
      <c r="G158" s="72"/>
      <c r="I158" s="57"/>
      <c r="J158" s="35"/>
      <c r="M158" s="299" t="s">
        <v>17556</v>
      </c>
      <c r="N158" s="45" t="s">
        <v>398</v>
      </c>
      <c r="O158" s="46">
        <v>1</v>
      </c>
      <c r="P158" s="512"/>
      <c r="Q158" s="57"/>
      <c r="R158" s="269" t="s">
        <v>17564</v>
      </c>
      <c r="S158" s="37" t="s">
        <v>398</v>
      </c>
      <c r="T158" s="38">
        <v>0.25</v>
      </c>
      <c r="U158" s="79" t="s">
        <v>3575</v>
      </c>
      <c r="V158" s="43"/>
      <c r="W158" s="37"/>
      <c r="X158" s="38"/>
      <c r="Y158" s="79"/>
      <c r="Z158" s="208">
        <f>ROUND((ROUND((ROUND((ROUND((ROUND((_15_同援日２．０*_15・通訳),0)*_15・２人),0)*(1+_15・A早朝)),0)*(1+_15・盲ろう)),0)*(1+_15・区３)),0)+ROUND((ROUND((ROUND((ROUND((_15_同援日２．０＿０．５*_15・通訳),0)*_15・２人),0)*(1+_15・盲ろう)),0)*(1+_15・区３)),0)</f>
        <v>929</v>
      </c>
      <c r="AA158" s="48"/>
    </row>
    <row r="159" spans="1:27" ht="16.5" customHeight="1" x14ac:dyDescent="0.15">
      <c r="A159" s="41">
        <v>15</v>
      </c>
      <c r="B159" s="41" t="s">
        <v>3023</v>
      </c>
      <c r="C159" s="74" t="s">
        <v>27365</v>
      </c>
      <c r="D159" s="72"/>
      <c r="F159" s="57"/>
      <c r="G159" s="72"/>
      <c r="I159" s="57"/>
      <c r="J159" s="35"/>
      <c r="M159" s="163"/>
      <c r="N159" s="45"/>
      <c r="O159" s="46"/>
      <c r="P159" s="512"/>
      <c r="Q159" s="57"/>
      <c r="R159" s="53"/>
      <c r="S159" s="49"/>
      <c r="T159" s="50"/>
      <c r="U159" s="115"/>
      <c r="V159" s="114" t="s">
        <v>17580</v>
      </c>
      <c r="W159" s="49"/>
      <c r="X159" s="50"/>
      <c r="Y159" s="115"/>
      <c r="Z159" s="208">
        <f>ROUND((ROUND((ROUND((_15_同援日２．０*_15・通訳),0)*(1+_15・A早朝)),0)*(1+_15・区４)),0)+ROUND((ROUND((_15_同援日２．０＿０．５*_15・通訳),0)*(1+_15・区４)),0)</f>
        <v>867</v>
      </c>
      <c r="AA159" s="48"/>
    </row>
    <row r="160" spans="1:27" ht="16.5" customHeight="1" x14ac:dyDescent="0.15">
      <c r="A160" s="41">
        <v>15</v>
      </c>
      <c r="B160" s="41" t="s">
        <v>3025</v>
      </c>
      <c r="C160" s="74" t="s">
        <v>27366</v>
      </c>
      <c r="D160" s="72"/>
      <c r="F160" s="57"/>
      <c r="G160" s="72"/>
      <c r="I160" s="57"/>
      <c r="J160" s="35"/>
      <c r="M160" s="299" t="s">
        <v>17556</v>
      </c>
      <c r="N160" s="45" t="s">
        <v>398</v>
      </c>
      <c r="O160" s="46">
        <v>1</v>
      </c>
      <c r="P160" s="512"/>
      <c r="Q160" s="57"/>
      <c r="R160" s="43"/>
      <c r="S160" s="37"/>
      <c r="T160" s="38"/>
      <c r="U160" s="79"/>
      <c r="V160" s="92" t="s">
        <v>17572</v>
      </c>
      <c r="Y160" s="57"/>
      <c r="Z160" s="208">
        <f>ROUND((ROUND((ROUND((ROUND((_15_同援日２．０*_15・通訳),0)*_15・２人),0)*(1+_15・A早朝)),0)*(1+_15・区４)),0)+ROUND((ROUND((ROUND((_15_同援日２．０＿０．５*_15・通訳),0)*_15・２人),0)*(1+_15・区４)),0)</f>
        <v>867</v>
      </c>
      <c r="AA160" s="48"/>
    </row>
    <row r="161" spans="1:27" ht="16.5" customHeight="1" x14ac:dyDescent="0.15">
      <c r="A161" s="41">
        <v>15</v>
      </c>
      <c r="B161" s="41" t="s">
        <v>27367</v>
      </c>
      <c r="C161" s="74" t="s">
        <v>27368</v>
      </c>
      <c r="D161" s="72"/>
      <c r="F161" s="57"/>
      <c r="G161" s="72"/>
      <c r="I161" s="57"/>
      <c r="J161" s="35"/>
      <c r="M161" s="163"/>
      <c r="N161" s="45"/>
      <c r="O161" s="46"/>
      <c r="P161" s="512"/>
      <c r="Q161" s="57"/>
      <c r="R161" s="114" t="s">
        <v>17562</v>
      </c>
      <c r="S161" s="49"/>
      <c r="T161" s="50"/>
      <c r="U161" s="115"/>
      <c r="V161" s="35"/>
      <c r="W161" s="12" t="s">
        <v>398</v>
      </c>
      <c r="X161" s="13">
        <v>0.4</v>
      </c>
      <c r="Y161" s="57" t="s">
        <v>3575</v>
      </c>
      <c r="Z161" s="208">
        <f>ROUND((ROUND((ROUND((ROUND((_15_同援日２．０*_15・通訳),0)*(1+_15・A早朝)),0)*(1+_15・盲ろう)),0)*(1+_15・区４)),0)+ROUND((ROUND((ROUND((_15_同援日２．０＿０．５*_15・通訳),0)*(1+_15・盲ろう)),0)*(1+_15・区４)),0)</f>
        <v>1084</v>
      </c>
      <c r="AA161" s="48"/>
    </row>
    <row r="162" spans="1:27" ht="16.5" customHeight="1" x14ac:dyDescent="0.15">
      <c r="A162" s="41">
        <v>15</v>
      </c>
      <c r="B162" s="41" t="s">
        <v>27369</v>
      </c>
      <c r="C162" s="74" t="s">
        <v>27370</v>
      </c>
      <c r="D162" s="72"/>
      <c r="F162" s="57"/>
      <c r="G162" s="122"/>
      <c r="H162" s="37"/>
      <c r="I162" s="79"/>
      <c r="J162" s="35"/>
      <c r="M162" s="299" t="s">
        <v>17556</v>
      </c>
      <c r="N162" s="45" t="s">
        <v>398</v>
      </c>
      <c r="O162" s="46">
        <v>1</v>
      </c>
      <c r="P162" s="512"/>
      <c r="Q162" s="57"/>
      <c r="R162" s="269" t="s">
        <v>17564</v>
      </c>
      <c r="S162" s="37" t="s">
        <v>398</v>
      </c>
      <c r="T162" s="38">
        <v>0.25</v>
      </c>
      <c r="U162" s="79" t="s">
        <v>3575</v>
      </c>
      <c r="V162" s="43"/>
      <c r="W162" s="37"/>
      <c r="X162" s="38"/>
      <c r="Y162" s="79"/>
      <c r="Z162" s="208">
        <f>ROUND((ROUND((ROUND((ROUND((ROUND((_15_同援日２．０*_15・通訳),0)*_15・２人),0)*(1+_15・A早朝)),0)*(1+_15・盲ろう)),0)*(1+_15・区４)),0)+ROUND((ROUND((ROUND((ROUND((_15_同援日２．０＿０．５*_15・通訳),0)*_15・２人),0)*(1+_15・盲ろう)),0)*(1+_15・区４)),0)</f>
        <v>1084</v>
      </c>
      <c r="AA162" s="48"/>
    </row>
    <row r="163" spans="1:27" ht="16.5" customHeight="1" x14ac:dyDescent="0.15">
      <c r="A163" s="41">
        <v>15</v>
      </c>
      <c r="B163" s="41" t="s">
        <v>27371</v>
      </c>
      <c r="C163" s="74" t="s">
        <v>27372</v>
      </c>
      <c r="D163" s="72"/>
      <c r="F163" s="57"/>
      <c r="G163" s="114" t="s">
        <v>19212</v>
      </c>
      <c r="H163" s="49"/>
      <c r="I163" s="115"/>
      <c r="J163" s="35"/>
      <c r="M163" s="163"/>
      <c r="N163" s="45"/>
      <c r="O163" s="46"/>
      <c r="P163" s="512"/>
      <c r="Q163" s="57"/>
      <c r="R163" s="53"/>
      <c r="S163" s="49"/>
      <c r="T163" s="50"/>
      <c r="U163" s="115"/>
      <c r="V163" s="53"/>
      <c r="W163" s="49"/>
      <c r="X163" s="50"/>
      <c r="Y163" s="115"/>
      <c r="Z163" s="208">
        <f>ROUND((ROUND((_15_同援日２．０*_15・通訳),0)*(1+_15・A早朝)),0)+ROUND((_15_同援日２．０＿１．０*_15・通訳),0)</f>
        <v>677</v>
      </c>
      <c r="AA163" s="48"/>
    </row>
    <row r="164" spans="1:27" ht="16.5" customHeight="1" x14ac:dyDescent="0.15">
      <c r="A164" s="41">
        <v>15</v>
      </c>
      <c r="B164" s="41" t="s">
        <v>27373</v>
      </c>
      <c r="C164" s="74" t="s">
        <v>27374</v>
      </c>
      <c r="D164" s="72"/>
      <c r="F164" s="57"/>
      <c r="G164" s="72" t="s">
        <v>17589</v>
      </c>
      <c r="I164" s="57"/>
      <c r="J164" s="35"/>
      <c r="M164" s="299" t="s">
        <v>17556</v>
      </c>
      <c r="N164" s="45" t="s">
        <v>398</v>
      </c>
      <c r="O164" s="46">
        <v>1</v>
      </c>
      <c r="P164" s="512"/>
      <c r="Q164" s="57"/>
      <c r="R164" s="43"/>
      <c r="S164" s="37"/>
      <c r="T164" s="38"/>
      <c r="U164" s="79"/>
      <c r="V164" s="35"/>
      <c r="Y164" s="57"/>
      <c r="Z164" s="208">
        <f>ROUND((ROUND((ROUND((_15_同援日２．０*_15・通訳),0)*_15・２人),0)*(1+_15・A早朝)),0)+ROUND((ROUND((_15_同援日２．０＿１．０*_15・通訳),0)*_15・２人),0)</f>
        <v>677</v>
      </c>
      <c r="AA164" s="48"/>
    </row>
    <row r="165" spans="1:27" ht="16.5" customHeight="1" x14ac:dyDescent="0.15">
      <c r="A165" s="41">
        <v>15</v>
      </c>
      <c r="B165" s="41" t="s">
        <v>27375</v>
      </c>
      <c r="C165" s="74" t="s">
        <v>27376</v>
      </c>
      <c r="D165" s="72"/>
      <c r="F165" s="57"/>
      <c r="G165" s="72" t="s">
        <v>17591</v>
      </c>
      <c r="I165" s="57"/>
      <c r="J165" s="35"/>
      <c r="M165" s="163"/>
      <c r="N165" s="45"/>
      <c r="O165" s="46"/>
      <c r="P165" s="512"/>
      <c r="Q165" s="57"/>
      <c r="R165" s="114" t="s">
        <v>17562</v>
      </c>
      <c r="S165" s="49"/>
      <c r="T165" s="50"/>
      <c r="U165" s="115"/>
      <c r="V165" s="35"/>
      <c r="Y165" s="57"/>
      <c r="Z165" s="208">
        <f>ROUND((ROUND((ROUND((_15_同援日２．０*_15・通訳),0)*(1+_15・A早朝)),0)*(1+_15・盲ろう)),0)+ROUND((ROUND((_15_同援日２．０＿１．０*_15・通訳),0)*(1+_15・盲ろう)),0)</f>
        <v>846</v>
      </c>
      <c r="AA165" s="48"/>
    </row>
    <row r="166" spans="1:27" ht="16.5" customHeight="1" x14ac:dyDescent="0.15">
      <c r="A166" s="41">
        <v>15</v>
      </c>
      <c r="B166" s="41" t="s">
        <v>27377</v>
      </c>
      <c r="C166" s="74" t="s">
        <v>27378</v>
      </c>
      <c r="D166" s="72"/>
      <c r="F166" s="57"/>
      <c r="G166" s="72"/>
      <c r="H166" s="168">
        <f>_15_同援日２．０＿１．０</f>
        <v>130</v>
      </c>
      <c r="I166" s="57" t="s">
        <v>392</v>
      </c>
      <c r="J166" s="35"/>
      <c r="M166" s="299" t="s">
        <v>17556</v>
      </c>
      <c r="N166" s="45" t="s">
        <v>398</v>
      </c>
      <c r="O166" s="46">
        <v>1</v>
      </c>
      <c r="P166" s="512"/>
      <c r="Q166" s="57"/>
      <c r="R166" s="269" t="s">
        <v>17564</v>
      </c>
      <c r="S166" s="37" t="s">
        <v>398</v>
      </c>
      <c r="T166" s="38">
        <v>0.25</v>
      </c>
      <c r="U166" s="79" t="s">
        <v>3575</v>
      </c>
      <c r="V166" s="43"/>
      <c r="W166" s="37"/>
      <c r="X166" s="38"/>
      <c r="Y166" s="79"/>
      <c r="Z166" s="208">
        <f>ROUND((ROUND((ROUND((ROUND((_15_同援日２．０*_15・通訳),0)*_15・２人),0)*(1+_15・A早朝)),0)*(1+_15・盲ろう)),0)+ROUND((ROUND((ROUND((_15_同援日２．０＿１．０*_15・通訳),0)*_15・２人),0)*(1+_15・盲ろう)),0)</f>
        <v>846</v>
      </c>
      <c r="AA166" s="48"/>
    </row>
    <row r="167" spans="1:27" ht="16.5" customHeight="1" x14ac:dyDescent="0.15">
      <c r="A167" s="41">
        <v>15</v>
      </c>
      <c r="B167" s="41" t="s">
        <v>27379</v>
      </c>
      <c r="C167" s="74" t="s">
        <v>27380</v>
      </c>
      <c r="D167" s="72"/>
      <c r="F167" s="57"/>
      <c r="G167" s="72"/>
      <c r="I167" s="57"/>
      <c r="J167" s="35"/>
      <c r="M167" s="163"/>
      <c r="N167" s="45"/>
      <c r="O167" s="46"/>
      <c r="P167" s="512"/>
      <c r="Q167" s="57"/>
      <c r="R167" s="53"/>
      <c r="S167" s="49"/>
      <c r="T167" s="50"/>
      <c r="U167" s="115"/>
      <c r="V167" s="114" t="s">
        <v>17570</v>
      </c>
      <c r="W167" s="49"/>
      <c r="X167" s="50"/>
      <c r="Y167" s="115"/>
      <c r="Z167" s="208">
        <f>ROUND((ROUND((ROUND((_15_同援日２．０*_15・通訳),0)*(1+_15・A早朝)),0)*(1+_15・区３)),0)+ROUND((ROUND((_15_同援日２．０＿１．０*_15・通訳),0)*(1+_15・区３)),0)</f>
        <v>812</v>
      </c>
      <c r="AA167" s="48"/>
    </row>
    <row r="168" spans="1:27" ht="16.5" customHeight="1" x14ac:dyDescent="0.15">
      <c r="A168" s="41">
        <v>15</v>
      </c>
      <c r="B168" s="41" t="s">
        <v>27381</v>
      </c>
      <c r="C168" s="74" t="s">
        <v>27382</v>
      </c>
      <c r="D168" s="72"/>
      <c r="F168" s="57"/>
      <c r="G168" s="72"/>
      <c r="I168" s="57"/>
      <c r="J168" s="35"/>
      <c r="M168" s="299" t="s">
        <v>17556</v>
      </c>
      <c r="N168" s="45" t="s">
        <v>398</v>
      </c>
      <c r="O168" s="46">
        <v>1</v>
      </c>
      <c r="P168" s="512"/>
      <c r="Q168" s="57"/>
      <c r="R168" s="43"/>
      <c r="S168" s="37"/>
      <c r="T168" s="38"/>
      <c r="U168" s="79"/>
      <c r="V168" s="92" t="s">
        <v>17572</v>
      </c>
      <c r="Y168" s="57"/>
      <c r="Z168" s="208">
        <f>ROUND((ROUND((ROUND((ROUND((_15_同援日２．０*_15・通訳),0)*_15・２人),0)*(1+_15・A早朝)),0)*(1+_15・区３)),0)+ROUND((ROUND((ROUND((_15_同援日２．０＿１．０*_15・通訳),0)*_15・２人),0)*(1+_15・区３)),0)</f>
        <v>812</v>
      </c>
      <c r="AA168" s="48"/>
    </row>
    <row r="169" spans="1:27" ht="16.5" customHeight="1" x14ac:dyDescent="0.15">
      <c r="A169" s="41">
        <v>15</v>
      </c>
      <c r="B169" s="41" t="s">
        <v>27383</v>
      </c>
      <c r="C169" s="74" t="s">
        <v>27384</v>
      </c>
      <c r="D169" s="72"/>
      <c r="F169" s="57"/>
      <c r="G169" s="72"/>
      <c r="I169" s="57"/>
      <c r="J169" s="35"/>
      <c r="M169" s="163"/>
      <c r="N169" s="45"/>
      <c r="O169" s="46"/>
      <c r="P169" s="512"/>
      <c r="Q169" s="57"/>
      <c r="R169" s="114" t="s">
        <v>17562</v>
      </c>
      <c r="S169" s="49"/>
      <c r="T169" s="50"/>
      <c r="U169" s="115"/>
      <c r="V169" s="35"/>
      <c r="W169" s="12" t="s">
        <v>398</v>
      </c>
      <c r="X169" s="13">
        <v>0.2</v>
      </c>
      <c r="Y169" s="57" t="s">
        <v>3575</v>
      </c>
      <c r="Z169" s="208">
        <f>ROUND((ROUND((ROUND((ROUND((_15_同援日２．０*_15・通訳),0)*(1+_15・A早朝)),0)*(1+_15・盲ろう)),0)*(1+_15・区３)),0)+ROUND((ROUND((ROUND((_15_同援日２．０＿１．０*_15・通訳),0)*(1+_15・盲ろう)),0)*(1+_15・区３)),0)</f>
        <v>1015</v>
      </c>
      <c r="AA169" s="48"/>
    </row>
    <row r="170" spans="1:27" ht="16.5" customHeight="1" x14ac:dyDescent="0.15">
      <c r="A170" s="41">
        <v>15</v>
      </c>
      <c r="B170" s="41" t="s">
        <v>27385</v>
      </c>
      <c r="C170" s="74" t="s">
        <v>27386</v>
      </c>
      <c r="D170" s="72"/>
      <c r="F170" s="57"/>
      <c r="G170" s="72"/>
      <c r="I170" s="57"/>
      <c r="J170" s="35"/>
      <c r="M170" s="299" t="s">
        <v>17556</v>
      </c>
      <c r="N170" s="45" t="s">
        <v>398</v>
      </c>
      <c r="O170" s="46">
        <v>1</v>
      </c>
      <c r="P170" s="512"/>
      <c r="Q170" s="57"/>
      <c r="R170" s="269" t="s">
        <v>17564</v>
      </c>
      <c r="S170" s="37" t="s">
        <v>398</v>
      </c>
      <c r="T170" s="38">
        <v>0.25</v>
      </c>
      <c r="U170" s="79" t="s">
        <v>3575</v>
      </c>
      <c r="V170" s="43"/>
      <c r="W170" s="37"/>
      <c r="X170" s="38"/>
      <c r="Y170" s="79"/>
      <c r="Z170" s="208">
        <f>ROUND((ROUND((ROUND((ROUND((ROUND((_15_同援日２．０*_15・通訳),0)*_15・２人),0)*(1+_15・A早朝)),0)*(1+_15・盲ろう)),0)*(1+_15・区３)),0)+ROUND((ROUND((ROUND((ROUND((_15_同援日２．０＿１．０*_15・通訳),0)*_15・２人),0)*(1+_15・盲ろう)),0)*(1+_15・区３)),0)</f>
        <v>1015</v>
      </c>
      <c r="AA170" s="48"/>
    </row>
    <row r="171" spans="1:27" ht="16.5" customHeight="1" x14ac:dyDescent="0.15">
      <c r="A171" s="41">
        <v>15</v>
      </c>
      <c r="B171" s="41" t="s">
        <v>27387</v>
      </c>
      <c r="C171" s="74" t="s">
        <v>27388</v>
      </c>
      <c r="D171" s="72"/>
      <c r="F171" s="57"/>
      <c r="G171" s="72"/>
      <c r="I171" s="57"/>
      <c r="J171" s="35"/>
      <c r="M171" s="163"/>
      <c r="N171" s="45"/>
      <c r="O171" s="46"/>
      <c r="P171" s="512"/>
      <c r="Q171" s="57"/>
      <c r="R171" s="53"/>
      <c r="S171" s="49"/>
      <c r="T171" s="50"/>
      <c r="U171" s="115"/>
      <c r="V171" s="114" t="s">
        <v>17580</v>
      </c>
      <c r="W171" s="49"/>
      <c r="X171" s="50"/>
      <c r="Y171" s="115"/>
      <c r="Z171" s="208">
        <f>ROUND((ROUND((ROUND((_15_同援日２．０*_15・通訳),0)*(1+_15・A早朝)),0)*(1+_15・区４)),0)+ROUND((ROUND((_15_同援日２．０＿１．０*_15・通訳),0)*(1+_15・区４)),0)</f>
        <v>948</v>
      </c>
      <c r="AA171" s="48"/>
    </row>
    <row r="172" spans="1:27" ht="16.5" customHeight="1" x14ac:dyDescent="0.15">
      <c r="A172" s="41">
        <v>15</v>
      </c>
      <c r="B172" s="41" t="s">
        <v>27389</v>
      </c>
      <c r="C172" s="74" t="s">
        <v>27390</v>
      </c>
      <c r="D172" s="72"/>
      <c r="F172" s="57"/>
      <c r="G172" s="72"/>
      <c r="I172" s="57"/>
      <c r="J172" s="35"/>
      <c r="M172" s="299" t="s">
        <v>17556</v>
      </c>
      <c r="N172" s="45" t="s">
        <v>398</v>
      </c>
      <c r="O172" s="46">
        <v>1</v>
      </c>
      <c r="P172" s="512"/>
      <c r="Q172" s="57"/>
      <c r="R172" s="43"/>
      <c r="S172" s="37"/>
      <c r="T172" s="38"/>
      <c r="U172" s="79"/>
      <c r="V172" s="92" t="s">
        <v>17572</v>
      </c>
      <c r="Y172" s="57"/>
      <c r="Z172" s="208">
        <f>ROUND((ROUND((ROUND((ROUND((_15_同援日２．０*_15・通訳),0)*_15・２人),0)*(1+_15・A早朝)),0)*(1+_15・区４)),0)+ROUND((ROUND((ROUND((_15_同援日２．０＿１．０*_15・通訳),0)*_15・２人),0)*(1+_15・区４)),0)</f>
        <v>948</v>
      </c>
      <c r="AA172" s="48"/>
    </row>
    <row r="173" spans="1:27" ht="16.5" customHeight="1" x14ac:dyDescent="0.15">
      <c r="A173" s="41">
        <v>15</v>
      </c>
      <c r="B173" s="41" t="s">
        <v>27391</v>
      </c>
      <c r="C173" s="74" t="s">
        <v>27392</v>
      </c>
      <c r="D173" s="72"/>
      <c r="F173" s="57"/>
      <c r="G173" s="72"/>
      <c r="I173" s="57"/>
      <c r="J173" s="35"/>
      <c r="M173" s="163"/>
      <c r="N173" s="45"/>
      <c r="O173" s="46"/>
      <c r="P173" s="512"/>
      <c r="Q173" s="57"/>
      <c r="R173" s="114" t="s">
        <v>17562</v>
      </c>
      <c r="S173" s="49"/>
      <c r="T173" s="50"/>
      <c r="U173" s="115"/>
      <c r="V173" s="35"/>
      <c r="W173" s="12" t="s">
        <v>398</v>
      </c>
      <c r="X173" s="13">
        <v>0.4</v>
      </c>
      <c r="Y173" s="57" t="s">
        <v>3575</v>
      </c>
      <c r="Z173" s="208">
        <f>ROUND((ROUND((ROUND((ROUND((_15_同援日２．０*_15・通訳),0)*(1+_15・A早朝)),0)*(1+_15・盲ろう)),0)*(1+_15・区４)),0)+ROUND((ROUND((ROUND((_15_同援日２．０＿１．０*_15・通訳),0)*(1+_15・盲ろう)),0)*(1+_15・区４)),0)</f>
        <v>1184</v>
      </c>
      <c r="AA173" s="48"/>
    </row>
    <row r="174" spans="1:27" ht="16.5" customHeight="1" x14ac:dyDescent="0.15">
      <c r="A174" s="41">
        <v>15</v>
      </c>
      <c r="B174" s="41" t="s">
        <v>27393</v>
      </c>
      <c r="C174" s="74" t="s">
        <v>27394</v>
      </c>
      <c r="D174" s="122"/>
      <c r="E174" s="37"/>
      <c r="F174" s="79"/>
      <c r="G174" s="122"/>
      <c r="H174" s="37"/>
      <c r="I174" s="79"/>
      <c r="J174" s="35"/>
      <c r="M174" s="299" t="s">
        <v>17556</v>
      </c>
      <c r="N174" s="45" t="s">
        <v>398</v>
      </c>
      <c r="O174" s="46">
        <v>1</v>
      </c>
      <c r="P174" s="512"/>
      <c r="Q174" s="57"/>
      <c r="R174" s="269" t="s">
        <v>17564</v>
      </c>
      <c r="S174" s="37" t="s">
        <v>398</v>
      </c>
      <c r="T174" s="38">
        <v>0.25</v>
      </c>
      <c r="U174" s="79" t="s">
        <v>3575</v>
      </c>
      <c r="V174" s="43"/>
      <c r="W174" s="37"/>
      <c r="X174" s="38"/>
      <c r="Y174" s="79"/>
      <c r="Z174" s="208">
        <f>ROUND((ROUND((ROUND((ROUND((ROUND((_15_同援日２．０*_15・通訳),0)*_15・２人),0)*(1+_15・A早朝)),0)*(1+_15・盲ろう)),0)*(1+_15・区４)),0)+ROUND((ROUND((ROUND((ROUND((_15_同援日２．０＿１．０*_15・通訳),0)*_15・２人),0)*(1+_15・盲ろう)),0)*(1+_15・区４)),0)</f>
        <v>1184</v>
      </c>
      <c r="AA174" s="48"/>
    </row>
    <row r="175" spans="1:27" ht="16.5" customHeight="1" x14ac:dyDescent="0.15">
      <c r="A175" s="41">
        <v>15</v>
      </c>
      <c r="B175" s="41" t="s">
        <v>27395</v>
      </c>
      <c r="C175" s="74" t="s">
        <v>27396</v>
      </c>
      <c r="D175" s="114" t="s">
        <v>18231</v>
      </c>
      <c r="E175" s="49"/>
      <c r="F175" s="115"/>
      <c r="G175" s="114" t="s">
        <v>19187</v>
      </c>
      <c r="H175" s="49"/>
      <c r="I175" s="115"/>
      <c r="J175" s="35"/>
      <c r="M175" s="163"/>
      <c r="N175" s="45"/>
      <c r="O175" s="46"/>
      <c r="P175" s="512"/>
      <c r="Q175" s="57"/>
      <c r="R175" s="53"/>
      <c r="S175" s="49"/>
      <c r="T175" s="50"/>
      <c r="U175" s="115"/>
      <c r="V175" s="53"/>
      <c r="W175" s="49"/>
      <c r="X175" s="50"/>
      <c r="Y175" s="115"/>
      <c r="Z175" s="208">
        <f>ROUND((ROUND((_15_同援日２．５*_15・通訳),0)*(1+_15・A早朝)),0)+ROUND((_15_同援日２．５＿０．５*_15・通訳),0)</f>
        <v>693</v>
      </c>
      <c r="AA175" s="48"/>
    </row>
    <row r="176" spans="1:27" ht="16.5" customHeight="1" x14ac:dyDescent="0.15">
      <c r="A176" s="41">
        <v>15</v>
      </c>
      <c r="B176" s="41" t="s">
        <v>27397</v>
      </c>
      <c r="C176" s="74" t="s">
        <v>27398</v>
      </c>
      <c r="D176" s="72" t="s">
        <v>17670</v>
      </c>
      <c r="F176" s="57"/>
      <c r="G176" s="72" t="s">
        <v>17555</v>
      </c>
      <c r="I176" s="57"/>
      <c r="J176" s="35"/>
      <c r="M176" s="299" t="s">
        <v>17556</v>
      </c>
      <c r="N176" s="45" t="s">
        <v>398</v>
      </c>
      <c r="O176" s="46">
        <v>1</v>
      </c>
      <c r="P176" s="512"/>
      <c r="Q176" s="57"/>
      <c r="R176" s="43"/>
      <c r="S176" s="37"/>
      <c r="T176" s="38"/>
      <c r="U176" s="79"/>
      <c r="V176" s="35"/>
      <c r="Y176" s="57"/>
      <c r="Z176" s="208">
        <f>ROUND((ROUND((ROUND((_15_同援日２．５*_15・通訳),0)*_15・２人),0)*(1+_15・A早朝)),0)+ROUND((ROUND((_15_同援日２．５＿０．５*_15・通訳),0)*_15・２人),0)</f>
        <v>693</v>
      </c>
      <c r="AA176" s="48"/>
    </row>
    <row r="177" spans="1:27" ht="16.5" customHeight="1" x14ac:dyDescent="0.15">
      <c r="A177" s="41">
        <v>15</v>
      </c>
      <c r="B177" s="41" t="s">
        <v>3031</v>
      </c>
      <c r="C177" s="74" t="s">
        <v>27399</v>
      </c>
      <c r="D177" s="72" t="s">
        <v>17672</v>
      </c>
      <c r="F177" s="57"/>
      <c r="G177" s="72"/>
      <c r="I177" s="57"/>
      <c r="J177" s="35"/>
      <c r="M177" s="163"/>
      <c r="N177" s="45"/>
      <c r="O177" s="46"/>
      <c r="P177" s="512"/>
      <c r="Q177" s="57"/>
      <c r="R177" s="114" t="s">
        <v>17562</v>
      </c>
      <c r="S177" s="49"/>
      <c r="T177" s="50"/>
      <c r="U177" s="115"/>
      <c r="V177" s="35"/>
      <c r="Y177" s="57"/>
      <c r="Z177" s="208">
        <f>ROUND((ROUND((ROUND((_15_同援日２．５*_15・通訳),0)*(1+_15・A早朝)),0)*(1+_15・盲ろう)),0)+ROUND((ROUND((_15_同援日２．５＿０．５*_15・通訳),0)*(1+_15・盲ろう)),0)</f>
        <v>867</v>
      </c>
      <c r="AA177" s="48"/>
    </row>
    <row r="178" spans="1:27" ht="16.5" customHeight="1" x14ac:dyDescent="0.15">
      <c r="A178" s="41">
        <v>15</v>
      </c>
      <c r="B178" s="41" t="s">
        <v>3033</v>
      </c>
      <c r="C178" s="74" t="s">
        <v>27400</v>
      </c>
      <c r="D178" s="72"/>
      <c r="E178" s="168">
        <f>_15_同援日２．５</f>
        <v>563</v>
      </c>
      <c r="F178" s="57" t="s">
        <v>392</v>
      </c>
      <c r="G178" s="72"/>
      <c r="H178" s="168">
        <f>_15_同援日２．５＿０．５</f>
        <v>65</v>
      </c>
      <c r="I178" s="57" t="s">
        <v>392</v>
      </c>
      <c r="J178" s="35"/>
      <c r="M178" s="299" t="s">
        <v>17556</v>
      </c>
      <c r="N178" s="45" t="s">
        <v>398</v>
      </c>
      <c r="O178" s="46">
        <v>1</v>
      </c>
      <c r="P178" s="512"/>
      <c r="Q178" s="57"/>
      <c r="R178" s="269" t="s">
        <v>17564</v>
      </c>
      <c r="S178" s="37" t="s">
        <v>398</v>
      </c>
      <c r="T178" s="38">
        <v>0.25</v>
      </c>
      <c r="U178" s="79" t="s">
        <v>3575</v>
      </c>
      <c r="V178" s="43"/>
      <c r="W178" s="37"/>
      <c r="X178" s="38"/>
      <c r="Y178" s="79"/>
      <c r="Z178" s="208">
        <f>ROUND((ROUND((ROUND((ROUND((_15_同援日２．５*_15・通訳),0)*_15・２人),0)*(1+_15・A早朝)),0)*(1+_15・盲ろう)),0)+ROUND((ROUND((ROUND((_15_同援日２．５＿０．５*_15・通訳),0)*_15・２人),0)*(1+_15・盲ろう)),0)</f>
        <v>867</v>
      </c>
      <c r="AA178" s="48"/>
    </row>
    <row r="179" spans="1:27" ht="16.5" customHeight="1" x14ac:dyDescent="0.15">
      <c r="A179" s="41">
        <v>15</v>
      </c>
      <c r="B179" s="41" t="s">
        <v>3035</v>
      </c>
      <c r="C179" s="74" t="s">
        <v>27401</v>
      </c>
      <c r="D179" s="72"/>
      <c r="F179" s="57"/>
      <c r="G179" s="72"/>
      <c r="I179" s="57"/>
      <c r="J179" s="35"/>
      <c r="M179" s="163"/>
      <c r="N179" s="45"/>
      <c r="O179" s="46"/>
      <c r="P179" s="512"/>
      <c r="Q179" s="57"/>
      <c r="R179" s="53"/>
      <c r="S179" s="49"/>
      <c r="T179" s="50"/>
      <c r="U179" s="115"/>
      <c r="V179" s="114" t="s">
        <v>17570</v>
      </c>
      <c r="W179" s="49"/>
      <c r="X179" s="50"/>
      <c r="Y179" s="115"/>
      <c r="Z179" s="208">
        <f>ROUND((ROUND((ROUND((_15_同援日２．５*_15・通訳),0)*(1+_15・A早朝)),0)*(1+_15・区３)),0)+ROUND((ROUND((_15_同援日２．５＿０．５*_15・通訳),0)*(1+_15・区３)),0)</f>
        <v>832</v>
      </c>
      <c r="AA179" s="48"/>
    </row>
    <row r="180" spans="1:27" ht="16.5" customHeight="1" x14ac:dyDescent="0.15">
      <c r="A180" s="41">
        <v>15</v>
      </c>
      <c r="B180" s="41" t="s">
        <v>3037</v>
      </c>
      <c r="C180" s="74" t="s">
        <v>27402</v>
      </c>
      <c r="D180" s="72"/>
      <c r="F180" s="57"/>
      <c r="G180" s="72"/>
      <c r="I180" s="57"/>
      <c r="J180" s="35"/>
      <c r="M180" s="299" t="s">
        <v>17556</v>
      </c>
      <c r="N180" s="45" t="s">
        <v>398</v>
      </c>
      <c r="O180" s="46">
        <v>1</v>
      </c>
      <c r="P180" s="512"/>
      <c r="Q180" s="57"/>
      <c r="R180" s="43"/>
      <c r="S180" s="37"/>
      <c r="T180" s="38"/>
      <c r="U180" s="79"/>
      <c r="V180" s="92" t="s">
        <v>17572</v>
      </c>
      <c r="Y180" s="57"/>
      <c r="Z180" s="208">
        <f>ROUND((ROUND((ROUND((ROUND((_15_同援日２．５*_15・通訳),0)*_15・２人),0)*(1+_15・A早朝)),0)*(1+_15・区３)),0)+ROUND((ROUND((ROUND((_15_同援日２．５＿０．５*_15・通訳),0)*_15・２人),0)*(1+_15・区３)),0)</f>
        <v>832</v>
      </c>
      <c r="AA180" s="48"/>
    </row>
    <row r="181" spans="1:27" ht="16.5" customHeight="1" x14ac:dyDescent="0.15">
      <c r="A181" s="41">
        <v>15</v>
      </c>
      <c r="B181" s="41" t="s">
        <v>27403</v>
      </c>
      <c r="C181" s="74" t="s">
        <v>27404</v>
      </c>
      <c r="D181" s="72"/>
      <c r="F181" s="57"/>
      <c r="G181" s="72"/>
      <c r="I181" s="57"/>
      <c r="J181" s="35"/>
      <c r="M181" s="163"/>
      <c r="N181" s="45"/>
      <c r="O181" s="46"/>
      <c r="P181" s="512"/>
      <c r="Q181" s="57"/>
      <c r="R181" s="114" t="s">
        <v>17562</v>
      </c>
      <c r="S181" s="49"/>
      <c r="T181" s="50"/>
      <c r="U181" s="115"/>
      <c r="V181" s="35"/>
      <c r="W181" s="12" t="s">
        <v>398</v>
      </c>
      <c r="X181" s="13">
        <v>0.2</v>
      </c>
      <c r="Y181" s="57" t="s">
        <v>3575</v>
      </c>
      <c r="Z181" s="208">
        <f>ROUND((ROUND((ROUND((ROUND((_15_同援日２．５*_15・通訳),0)*(1+_15・A早朝)),0)*(1+_15・盲ろう)),0)*(1+_15・区３)),0)+ROUND((ROUND((ROUND((_15_同援日２．５＿０．５*_15・通訳),0)*(1+_15・盲ろう)),0)*(1+_15・区３)),0)</f>
        <v>1041</v>
      </c>
      <c r="AA181" s="48"/>
    </row>
    <row r="182" spans="1:27" ht="16.5" customHeight="1" x14ac:dyDescent="0.15">
      <c r="A182" s="41">
        <v>15</v>
      </c>
      <c r="B182" s="41" t="s">
        <v>27405</v>
      </c>
      <c r="C182" s="74" t="s">
        <v>27406</v>
      </c>
      <c r="D182" s="72"/>
      <c r="F182" s="57"/>
      <c r="G182" s="72"/>
      <c r="I182" s="57"/>
      <c r="J182" s="35"/>
      <c r="M182" s="299" t="s">
        <v>17556</v>
      </c>
      <c r="N182" s="45" t="s">
        <v>398</v>
      </c>
      <c r="O182" s="46">
        <v>1</v>
      </c>
      <c r="P182" s="512"/>
      <c r="Q182" s="57"/>
      <c r="R182" s="269" t="s">
        <v>17564</v>
      </c>
      <c r="S182" s="37" t="s">
        <v>398</v>
      </c>
      <c r="T182" s="38">
        <v>0.25</v>
      </c>
      <c r="U182" s="79" t="s">
        <v>3575</v>
      </c>
      <c r="V182" s="43"/>
      <c r="W182" s="37"/>
      <c r="X182" s="38"/>
      <c r="Y182" s="79"/>
      <c r="Z182" s="208">
        <f>ROUND((ROUND((ROUND((ROUND((ROUND((_15_同援日２．５*_15・通訳),0)*_15・２人),0)*(1+_15・A早朝)),0)*(1+_15・盲ろう)),0)*(1+_15・区３)),0)+ROUND((ROUND((ROUND((ROUND((_15_同援日２．５＿０．５*_15・通訳),0)*_15・２人),0)*(1+_15・盲ろう)),0)*(1+_15・区３)),0)</f>
        <v>1041</v>
      </c>
      <c r="AA182" s="48"/>
    </row>
    <row r="183" spans="1:27" ht="16.5" customHeight="1" x14ac:dyDescent="0.15">
      <c r="A183" s="41">
        <v>15</v>
      </c>
      <c r="B183" s="41" t="s">
        <v>27407</v>
      </c>
      <c r="C183" s="74" t="s">
        <v>27408</v>
      </c>
      <c r="D183" s="72"/>
      <c r="F183" s="57"/>
      <c r="G183" s="72"/>
      <c r="I183" s="57"/>
      <c r="J183" s="35"/>
      <c r="M183" s="163"/>
      <c r="N183" s="45"/>
      <c r="O183" s="46"/>
      <c r="P183" s="512"/>
      <c r="Q183" s="57"/>
      <c r="R183" s="53"/>
      <c r="S183" s="49"/>
      <c r="T183" s="50"/>
      <c r="U183" s="115"/>
      <c r="V183" s="114" t="s">
        <v>17580</v>
      </c>
      <c r="W183" s="49"/>
      <c r="X183" s="50"/>
      <c r="Y183" s="115"/>
      <c r="Z183" s="208">
        <f>ROUND((ROUND((ROUND((_15_同援日２．５*_15・通訳),0)*(1+_15・A早朝)),0)*(1+_15・区４)),0)+ROUND((ROUND((_15_同援日２．５＿０．５*_15・通訳),0)*(1+_15・区４)),0)</f>
        <v>971</v>
      </c>
      <c r="AA183" s="48"/>
    </row>
    <row r="184" spans="1:27" ht="16.5" customHeight="1" x14ac:dyDescent="0.15">
      <c r="A184" s="41">
        <v>15</v>
      </c>
      <c r="B184" s="41" t="s">
        <v>27409</v>
      </c>
      <c r="C184" s="74" t="s">
        <v>27410</v>
      </c>
      <c r="D184" s="72"/>
      <c r="F184" s="57"/>
      <c r="G184" s="72"/>
      <c r="I184" s="57"/>
      <c r="J184" s="35"/>
      <c r="M184" s="299" t="s">
        <v>17556</v>
      </c>
      <c r="N184" s="45" t="s">
        <v>398</v>
      </c>
      <c r="O184" s="46">
        <v>1</v>
      </c>
      <c r="P184" s="512"/>
      <c r="Q184" s="57"/>
      <c r="R184" s="43"/>
      <c r="S184" s="37"/>
      <c r="T184" s="38"/>
      <c r="U184" s="79"/>
      <c r="V184" s="92" t="s">
        <v>17572</v>
      </c>
      <c r="Y184" s="57"/>
      <c r="Z184" s="208">
        <f>ROUND((ROUND((ROUND((ROUND((_15_同援日２．５*_15・通訳),0)*_15・２人),0)*(1+_15・A早朝)),0)*(1+_15・区４)),0)+ROUND((ROUND((ROUND((_15_同援日２．５＿０．５*_15・通訳),0)*_15・２人),0)*(1+_15・区４)),0)</f>
        <v>971</v>
      </c>
      <c r="AA184" s="48"/>
    </row>
    <row r="185" spans="1:27" ht="16.5" customHeight="1" x14ac:dyDescent="0.15">
      <c r="A185" s="41">
        <v>15</v>
      </c>
      <c r="B185" s="41" t="s">
        <v>27411</v>
      </c>
      <c r="C185" s="74" t="s">
        <v>27412</v>
      </c>
      <c r="D185" s="72"/>
      <c r="F185" s="57"/>
      <c r="G185" s="72"/>
      <c r="I185" s="57"/>
      <c r="J185" s="35"/>
      <c r="M185" s="163"/>
      <c r="N185" s="45"/>
      <c r="O185" s="46"/>
      <c r="P185" s="512"/>
      <c r="Q185" s="57"/>
      <c r="R185" s="114" t="s">
        <v>17562</v>
      </c>
      <c r="S185" s="49"/>
      <c r="T185" s="50"/>
      <c r="U185" s="115"/>
      <c r="V185" s="35"/>
      <c r="W185" s="12" t="s">
        <v>398</v>
      </c>
      <c r="X185" s="13">
        <v>0.4</v>
      </c>
      <c r="Y185" s="57" t="s">
        <v>3575</v>
      </c>
      <c r="Z185" s="208">
        <f>ROUND((ROUND((ROUND((ROUND((_15_同援日２．５*_15・通訳),0)*(1+_15・A早朝)),0)*(1+_15・盲ろう)),0)*(1+_15・区４)),0)+ROUND((ROUND((ROUND((_15_同援日２．５＿０．５*_15・通訳),0)*(1+_15・盲ろう)),0)*(1+_15・区４)),0)</f>
        <v>1214</v>
      </c>
      <c r="AA185" s="48"/>
    </row>
    <row r="186" spans="1:27" ht="16.5" customHeight="1" x14ac:dyDescent="0.15">
      <c r="A186" s="41">
        <v>15</v>
      </c>
      <c r="B186" s="41" t="s">
        <v>27413</v>
      </c>
      <c r="C186" s="74" t="s">
        <v>27414</v>
      </c>
      <c r="D186" s="122"/>
      <c r="E186" s="37"/>
      <c r="F186" s="79"/>
      <c r="G186" s="122"/>
      <c r="H186" s="37"/>
      <c r="I186" s="79"/>
      <c r="J186" s="43"/>
      <c r="K186" s="37"/>
      <c r="L186" s="38"/>
      <c r="M186" s="299" t="s">
        <v>17556</v>
      </c>
      <c r="N186" s="45" t="s">
        <v>398</v>
      </c>
      <c r="O186" s="46">
        <v>1</v>
      </c>
      <c r="P186" s="514"/>
      <c r="Q186" s="79"/>
      <c r="R186" s="269" t="s">
        <v>17564</v>
      </c>
      <c r="S186" s="37" t="s">
        <v>398</v>
      </c>
      <c r="T186" s="38">
        <v>0.25</v>
      </c>
      <c r="U186" s="79" t="s">
        <v>3575</v>
      </c>
      <c r="V186" s="43"/>
      <c r="W186" s="37"/>
      <c r="X186" s="38"/>
      <c r="Y186" s="79"/>
      <c r="Z186" s="208">
        <f>ROUND((ROUND((ROUND((ROUND((ROUND((_15_同援日２．５*_15・通訳),0)*_15・２人),0)*(1+_15・A早朝)),0)*(1+_15・盲ろう)),0)*(1+_15・区４)),0)+ROUND((ROUND((ROUND((ROUND((_15_同援日２．５＿０．５*_15・通訳),0)*_15・２人),0)*(1+_15・盲ろう)),0)*(1+_15・区４)),0)</f>
        <v>1214</v>
      </c>
      <c r="AA186" s="63"/>
    </row>
    <row r="187" spans="1:27" ht="16.5" customHeight="1" x14ac:dyDescent="0.15"/>
    <row r="188" spans="1:27"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43" fitToHeight="0" orientation="portrait" r:id="rId1"/>
  <headerFooter>
    <oddHeader>&amp;R&amp;"ＭＳ Ｐゴシック"&amp;9同行援護</oddHeader>
    <oddFooter>&amp;C&amp;"ＭＳ Ｐゴシック"&amp;14&amp;P</oddFooter>
  </headerFooter>
  <rowBreaks count="1" manualBreakCount="1">
    <brk id="114" max="16383"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30">
    <pageSetUpPr fitToPage="1"/>
  </sheetPr>
  <dimension ref="A1:AF205"/>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875" style="10" bestFit="1" customWidth="1"/>
    <col min="4" max="4" width="3.5" style="10" customWidth="1"/>
    <col min="5" max="5" width="4.125" style="12" bestFit="1" customWidth="1"/>
    <col min="6" max="6" width="5.125" style="12" customWidth="1"/>
    <col min="7" max="7" width="3.5" style="10" customWidth="1"/>
    <col min="8" max="8" width="4.125" style="12" bestFit="1" customWidth="1"/>
    <col min="9" max="9" width="5" style="12" customWidth="1"/>
    <col min="10" max="10" width="2.5" style="10" customWidth="1"/>
    <col min="11" max="11" width="3.125" style="12" bestFit="1" customWidth="1"/>
    <col min="12" max="12" width="4.875" style="12" bestFit="1" customWidth="1"/>
    <col min="13" max="13" width="14.5" style="12" customWidth="1"/>
    <col min="14" max="14" width="3.125" style="12" bestFit="1" customWidth="1"/>
    <col min="15" max="15" width="4.125" style="13" bestFit="1" customWidth="1"/>
    <col min="16" max="16" width="25.5" style="12" customWidth="1"/>
    <col min="17" max="17" width="3.125" style="12" bestFit="1" customWidth="1"/>
    <col min="18" max="18" width="5" style="13" bestFit="1" customWidth="1"/>
    <col min="19" max="19" width="4.125" style="13" bestFit="1" customWidth="1"/>
    <col min="20" max="20" width="4.875" style="12" customWidth="1"/>
    <col min="21" max="21" width="4.125" style="13" bestFit="1" customWidth="1"/>
    <col min="22" max="22" width="4.875" style="12" bestFit="1" customWidth="1"/>
    <col min="23" max="23" width="22.875" style="12" customWidth="1"/>
    <col min="24" max="24" width="3.125" style="12" bestFit="1" customWidth="1"/>
    <col min="25" max="25" width="4.125" style="13" bestFit="1" customWidth="1"/>
    <col min="26" max="26" width="4.875" style="12" bestFit="1" customWidth="1"/>
    <col min="27" max="27" width="7.5" style="12" customWidth="1"/>
    <col min="28" max="28" width="3.125" style="12" bestFit="1" customWidth="1"/>
    <col min="29" max="29" width="4.125" style="13" bestFit="1" customWidth="1"/>
    <col min="30" max="30" width="4.875" style="12" bestFit="1" customWidth="1"/>
    <col min="31" max="31" width="7.125" style="206" customWidth="1"/>
    <col min="32" max="32" width="8.5" style="16" customWidth="1"/>
    <col min="33" max="16384" width="9" style="12"/>
  </cols>
  <sheetData>
    <row r="1" spans="1:32" ht="17.100000000000001" customHeight="1" x14ac:dyDescent="0.15"/>
    <row r="2" spans="1:32" ht="17.100000000000001" customHeight="1" x14ac:dyDescent="0.15"/>
    <row r="3" spans="1:32" ht="17.100000000000001" customHeight="1" x14ac:dyDescent="0.15"/>
    <row r="4" spans="1:32" ht="17.100000000000001" customHeight="1" x14ac:dyDescent="0.15">
      <c r="B4" s="17" t="s">
        <v>27415</v>
      </c>
      <c r="D4" s="71"/>
    </row>
    <row r="5" spans="1:32" ht="16.5" customHeight="1" x14ac:dyDescent="0.15">
      <c r="A5" s="19" t="s">
        <v>384</v>
      </c>
      <c r="B5" s="20"/>
      <c r="C5" s="21" t="s">
        <v>385</v>
      </c>
      <c r="D5" s="23" t="s">
        <v>386</v>
      </c>
      <c r="E5" s="23"/>
      <c r="F5" s="23"/>
      <c r="G5" s="23"/>
      <c r="H5" s="23"/>
      <c r="I5" s="23"/>
      <c r="J5" s="23"/>
      <c r="K5" s="23"/>
      <c r="L5" s="23"/>
      <c r="M5" s="23"/>
      <c r="N5" s="23"/>
      <c r="O5" s="24"/>
      <c r="P5" s="23"/>
      <c r="Q5" s="23"/>
      <c r="R5" s="24"/>
      <c r="S5" s="24"/>
      <c r="T5" s="23"/>
      <c r="U5" s="24"/>
      <c r="V5" s="23"/>
      <c r="W5" s="23"/>
      <c r="X5" s="23"/>
      <c r="Y5" s="24"/>
      <c r="Z5" s="23"/>
      <c r="AA5" s="23"/>
      <c r="AB5" s="23"/>
      <c r="AC5" s="24"/>
      <c r="AD5" s="23"/>
      <c r="AE5" s="21" t="s">
        <v>387</v>
      </c>
      <c r="AF5" s="21" t="s">
        <v>388</v>
      </c>
    </row>
    <row r="6" spans="1:32" ht="16.5" customHeight="1" x14ac:dyDescent="0.15">
      <c r="A6" s="26" t="s">
        <v>389</v>
      </c>
      <c r="B6" s="26" t="s">
        <v>390</v>
      </c>
      <c r="C6" s="27"/>
      <c r="D6" s="29"/>
      <c r="E6" s="29"/>
      <c r="F6" s="29"/>
      <c r="G6" s="87" t="s">
        <v>1032</v>
      </c>
      <c r="H6" s="187"/>
      <c r="I6" s="20"/>
      <c r="J6" s="29"/>
      <c r="K6" s="29"/>
      <c r="L6" s="29"/>
      <c r="M6" s="29"/>
      <c r="N6" s="29"/>
      <c r="O6" s="30"/>
      <c r="P6" s="29"/>
      <c r="Q6" s="29"/>
      <c r="R6" s="30"/>
      <c r="S6" s="30"/>
      <c r="T6" s="29"/>
      <c r="U6" s="30"/>
      <c r="V6" s="29"/>
      <c r="W6" s="29"/>
      <c r="X6" s="29"/>
      <c r="Y6" s="30"/>
      <c r="Z6" s="29"/>
      <c r="AA6" s="29"/>
      <c r="AB6" s="29"/>
      <c r="AC6" s="30"/>
      <c r="AD6" s="29"/>
      <c r="AE6" s="32" t="s">
        <v>391</v>
      </c>
      <c r="AF6" s="32" t="s">
        <v>392</v>
      </c>
    </row>
    <row r="7" spans="1:32" ht="16.5" customHeight="1" x14ac:dyDescent="0.15">
      <c r="A7" s="33">
        <v>15</v>
      </c>
      <c r="B7" s="33" t="s">
        <v>27416</v>
      </c>
      <c r="C7" s="34" t="s">
        <v>27417</v>
      </c>
      <c r="D7" s="72" t="s">
        <v>17553</v>
      </c>
      <c r="F7" s="57"/>
      <c r="G7" s="72" t="s">
        <v>19553</v>
      </c>
      <c r="I7" s="57"/>
      <c r="J7" s="72"/>
      <c r="P7" s="122"/>
      <c r="Q7" s="37"/>
      <c r="R7" s="38"/>
      <c r="S7" s="512"/>
      <c r="V7" s="57"/>
      <c r="W7" s="10"/>
      <c r="Z7" s="57"/>
      <c r="AA7" s="72"/>
      <c r="AD7" s="57"/>
      <c r="AE7" s="207">
        <f>ROUND((_15_同援日０．５*_15・通訳),0)+ROUND((ROUND((_15_同援日０．５＿０．５*_15・通訳),0)*(1+_15・B夜間)),0)</f>
        <v>295</v>
      </c>
      <c r="AF7" s="40" t="s">
        <v>395</v>
      </c>
    </row>
    <row r="8" spans="1:32" ht="16.5" customHeight="1" x14ac:dyDescent="0.15">
      <c r="A8" s="41">
        <v>15</v>
      </c>
      <c r="B8" s="41" t="s">
        <v>27418</v>
      </c>
      <c r="C8" s="74" t="s">
        <v>27419</v>
      </c>
      <c r="D8" s="72" t="s">
        <v>18259</v>
      </c>
      <c r="F8" s="57"/>
      <c r="G8" s="72" t="s">
        <v>18259</v>
      </c>
      <c r="I8" s="57"/>
      <c r="J8" s="72"/>
      <c r="P8" s="299" t="s">
        <v>17556</v>
      </c>
      <c r="Q8" s="45" t="s">
        <v>398</v>
      </c>
      <c r="R8" s="46">
        <v>1</v>
      </c>
      <c r="S8" s="512"/>
      <c r="V8" s="57"/>
      <c r="W8" s="190"/>
      <c r="X8" s="37"/>
      <c r="Y8" s="38"/>
      <c r="Z8" s="79"/>
      <c r="AA8" s="72"/>
      <c r="AD8" s="57"/>
      <c r="AE8" s="208">
        <f>ROUND((ROUND((_15_同援日０．５*_15・通訳),0)*_15・２人),0)+ROUND((ROUND((ROUND((_15_同援日０．５＿０．５*_15・通訳),0)*_15・２人),0)*(1+_15・B夜間)),0)</f>
        <v>295</v>
      </c>
      <c r="AF8" s="48"/>
    </row>
    <row r="9" spans="1:32" ht="16.5" customHeight="1" x14ac:dyDescent="0.15">
      <c r="A9" s="41">
        <v>15</v>
      </c>
      <c r="B9" s="41" t="s">
        <v>27420</v>
      </c>
      <c r="C9" s="74" t="s">
        <v>27421</v>
      </c>
      <c r="D9" s="72"/>
      <c r="F9" s="57"/>
      <c r="G9" s="72"/>
      <c r="I9" s="57"/>
      <c r="J9" s="72"/>
      <c r="P9" s="299"/>
      <c r="Q9" s="45"/>
      <c r="R9" s="46"/>
      <c r="S9" s="512"/>
      <c r="V9" s="57"/>
      <c r="W9" s="253" t="s">
        <v>17562</v>
      </c>
      <c r="X9" s="49"/>
      <c r="Y9" s="50"/>
      <c r="Z9" s="115"/>
      <c r="AA9" s="72"/>
      <c r="AD9" s="57"/>
      <c r="AE9" s="208">
        <f>ROUND((ROUND((_15_同援日０．５*_15・通訳),0)*(1+_15・盲ろう)),0)+ROUND((ROUND((ROUND((_15_同援日０．５＿０．５*_15・通訳),0)*(1+_15・B夜間)),0)*(1+_15・盲ろう)),0)</f>
        <v>369</v>
      </c>
      <c r="AF9" s="48"/>
    </row>
    <row r="10" spans="1:32" ht="16.5" customHeight="1" x14ac:dyDescent="0.15">
      <c r="A10" s="41">
        <v>15</v>
      </c>
      <c r="B10" s="41" t="s">
        <v>27422</v>
      </c>
      <c r="C10" s="74" t="s">
        <v>27423</v>
      </c>
      <c r="D10" s="72"/>
      <c r="E10" s="168">
        <f>_15_同援日０．５</f>
        <v>190</v>
      </c>
      <c r="F10" s="57" t="s">
        <v>392</v>
      </c>
      <c r="G10" s="72"/>
      <c r="H10" s="168">
        <f>_15_同援日０．５＿０．５</f>
        <v>110</v>
      </c>
      <c r="I10" s="57" t="s">
        <v>392</v>
      </c>
      <c r="J10" s="72"/>
      <c r="P10" s="299" t="s">
        <v>17556</v>
      </c>
      <c r="Q10" s="45" t="s">
        <v>398</v>
      </c>
      <c r="R10" s="46">
        <v>1</v>
      </c>
      <c r="S10" s="512"/>
      <c r="V10" s="57"/>
      <c r="W10" s="190" t="s">
        <v>17564</v>
      </c>
      <c r="X10" s="37" t="s">
        <v>398</v>
      </c>
      <c r="Y10" s="38">
        <v>0.25</v>
      </c>
      <c r="Z10" s="79" t="s">
        <v>3575</v>
      </c>
      <c r="AA10" s="122"/>
      <c r="AB10" s="37"/>
      <c r="AC10" s="38"/>
      <c r="AD10" s="79"/>
      <c r="AE10" s="208">
        <f>ROUND((ROUND((ROUND((_15_同援日０．５*_15・通訳),0)*_15・２人),0)*(1+_15・盲ろう)),0)+ROUND((ROUND((ROUND((ROUND((_15_同援日０．５＿０．５*_15・通訳),0)*_15・２人),0)*(1+_15・B夜間)),0)*(1+_15・盲ろう)),0)</f>
        <v>369</v>
      </c>
      <c r="AF10" s="48"/>
    </row>
    <row r="11" spans="1:32" ht="16.5" customHeight="1" x14ac:dyDescent="0.15">
      <c r="A11" s="41">
        <v>15</v>
      </c>
      <c r="B11" s="41" t="s">
        <v>27424</v>
      </c>
      <c r="C11" s="74" t="s">
        <v>27425</v>
      </c>
      <c r="D11" s="72"/>
      <c r="F11" s="57"/>
      <c r="G11" s="72"/>
      <c r="I11" s="57"/>
      <c r="J11" s="72" t="s">
        <v>27426</v>
      </c>
      <c r="P11" s="299"/>
      <c r="Q11" s="45"/>
      <c r="R11" s="46"/>
      <c r="S11" s="512"/>
      <c r="V11" s="57"/>
      <c r="W11" s="253"/>
      <c r="X11" s="49"/>
      <c r="Y11" s="50"/>
      <c r="Z11" s="115"/>
      <c r="AA11" s="114" t="s">
        <v>17570</v>
      </c>
      <c r="AB11" s="49"/>
      <c r="AC11" s="50"/>
      <c r="AD11" s="115"/>
      <c r="AE11" s="208">
        <f>ROUND((ROUND((_15_同援日０．５*_15・通訳),0)*(1+_15・区３)),0)+ROUND((ROUND((ROUND((_15_同援日０．５＿０．５*_15・通訳),0)*(1+_15・B夜間)),0)*(1+_15・区３)),0)</f>
        <v>354</v>
      </c>
      <c r="AF11" s="48"/>
    </row>
    <row r="12" spans="1:32" ht="16.5" customHeight="1" x14ac:dyDescent="0.15">
      <c r="A12" s="41">
        <v>15</v>
      </c>
      <c r="B12" s="41" t="s">
        <v>27427</v>
      </c>
      <c r="C12" s="74" t="s">
        <v>27428</v>
      </c>
      <c r="D12" s="72"/>
      <c r="F12" s="57"/>
      <c r="G12" s="72"/>
      <c r="I12" s="57"/>
      <c r="J12" s="92"/>
      <c r="N12" s="12" t="s">
        <v>398</v>
      </c>
      <c r="O12" s="13">
        <v>0.9</v>
      </c>
      <c r="P12" s="299" t="s">
        <v>17556</v>
      </c>
      <c r="Q12" s="45" t="s">
        <v>398</v>
      </c>
      <c r="R12" s="46">
        <v>1</v>
      </c>
      <c r="S12" s="517" t="s">
        <v>1416</v>
      </c>
      <c r="V12" s="57"/>
      <c r="W12" s="190"/>
      <c r="X12" s="37"/>
      <c r="Y12" s="38"/>
      <c r="Z12" s="79"/>
      <c r="AA12" s="72" t="s">
        <v>17572</v>
      </c>
      <c r="AD12" s="57"/>
      <c r="AE12" s="208">
        <f>ROUND((ROUND((ROUND((_15_同援日０．５*_15・通訳),0)*_15・２人),0)*(1+_15・区３)),0)+ROUND((ROUND((ROUND((ROUND((_15_同援日０．５＿０．５*_15・通訳),0)*_15・２人),0)*(1+_15・B夜間)),0)*(1+_15・区３)),0)</f>
        <v>354</v>
      </c>
      <c r="AF12" s="48"/>
    </row>
    <row r="13" spans="1:32" ht="16.5" customHeight="1" x14ac:dyDescent="0.15">
      <c r="A13" s="41">
        <v>15</v>
      </c>
      <c r="B13" s="41" t="s">
        <v>27429</v>
      </c>
      <c r="C13" s="74" t="s">
        <v>27430</v>
      </c>
      <c r="D13" s="72"/>
      <c r="F13" s="57"/>
      <c r="G13" s="72"/>
      <c r="I13" s="57"/>
      <c r="J13" s="72"/>
      <c r="P13" s="299"/>
      <c r="Q13" s="45"/>
      <c r="R13" s="46"/>
      <c r="S13" s="512"/>
      <c r="U13" s="12" t="s">
        <v>398</v>
      </c>
      <c r="V13" s="234">
        <v>0.25</v>
      </c>
      <c r="W13" s="253" t="s">
        <v>17562</v>
      </c>
      <c r="X13" s="49"/>
      <c r="Y13" s="50"/>
      <c r="Z13" s="115"/>
      <c r="AA13" s="72"/>
      <c r="AB13" s="12" t="s">
        <v>398</v>
      </c>
      <c r="AC13" s="13">
        <v>0.2</v>
      </c>
      <c r="AD13" s="57" t="s">
        <v>3575</v>
      </c>
      <c r="AE13" s="208">
        <f>ROUND((ROUND((ROUND((_15_同援日０．５*_15・通訳),0)*(1+_15・盲ろう)),0)*(1+_15・区３)),0)+ROUND((ROUND((ROUND((ROUND((_15_同援日０．５＿０．５*_15・通訳),0)*(1+_15・B夜間)),0)*(1+_15・盲ろう)),0)*(1+_15・区３)),0)</f>
        <v>443</v>
      </c>
      <c r="AF13" s="48"/>
    </row>
    <row r="14" spans="1:32" ht="16.5" customHeight="1" x14ac:dyDescent="0.15">
      <c r="A14" s="41">
        <v>15</v>
      </c>
      <c r="B14" s="41" t="s">
        <v>27431</v>
      </c>
      <c r="C14" s="74" t="s">
        <v>27432</v>
      </c>
      <c r="D14" s="72"/>
      <c r="F14" s="57"/>
      <c r="G14" s="72"/>
      <c r="I14" s="57"/>
      <c r="J14" s="72"/>
      <c r="P14" s="299" t="s">
        <v>17556</v>
      </c>
      <c r="Q14" s="45" t="s">
        <v>398</v>
      </c>
      <c r="R14" s="46">
        <v>1</v>
      </c>
      <c r="S14" s="512"/>
      <c r="V14" s="513" t="s">
        <v>3575</v>
      </c>
      <c r="W14" s="190" t="s">
        <v>17564</v>
      </c>
      <c r="X14" s="37" t="s">
        <v>398</v>
      </c>
      <c r="Y14" s="38">
        <v>0.25</v>
      </c>
      <c r="Z14" s="79" t="s">
        <v>3575</v>
      </c>
      <c r="AA14" s="122"/>
      <c r="AB14" s="37"/>
      <c r="AC14" s="38"/>
      <c r="AD14" s="79"/>
      <c r="AE14" s="208">
        <f>ROUND((ROUND((ROUND((ROUND((_15_同援日０．５*_15・通訳),0)*_15・２人),0)*(1+_15・盲ろう)),0)*(1+_15・区３)),0)+ROUND((ROUND((ROUND((ROUND((ROUND((_15_同援日０．５＿０．５*_15・通訳),0)*_15・２人),0)*(1+_15・B夜間)),0)*(1+_15・盲ろう)),0)*(1+_15・区３)),0)</f>
        <v>443</v>
      </c>
      <c r="AF14" s="48"/>
    </row>
    <row r="15" spans="1:32" ht="16.5" customHeight="1" x14ac:dyDescent="0.15">
      <c r="A15" s="41">
        <v>15</v>
      </c>
      <c r="B15" s="41" t="s">
        <v>27433</v>
      </c>
      <c r="C15" s="74" t="s">
        <v>27434</v>
      </c>
      <c r="D15" s="72"/>
      <c r="F15" s="57"/>
      <c r="G15" s="72"/>
      <c r="I15" s="57"/>
      <c r="J15" s="72"/>
      <c r="P15" s="299"/>
      <c r="Q15" s="45"/>
      <c r="R15" s="46"/>
      <c r="S15" s="512"/>
      <c r="V15" s="57"/>
      <c r="W15" s="253"/>
      <c r="X15" s="49"/>
      <c r="Y15" s="50"/>
      <c r="Z15" s="115"/>
      <c r="AA15" s="114" t="s">
        <v>17580</v>
      </c>
      <c r="AB15" s="49"/>
      <c r="AC15" s="50"/>
      <c r="AD15" s="115"/>
      <c r="AE15" s="208">
        <f>ROUND((ROUND((_15_同援日０．５*_15・通訳),0)*(1+_15・区４)),0)+ROUND((ROUND((ROUND((_15_同援日０．５＿０．５*_15・通訳),0)*(1+_15・B夜間)),0)*(1+_15・区４)),0)</f>
        <v>413</v>
      </c>
      <c r="AF15" s="48"/>
    </row>
    <row r="16" spans="1:32" ht="16.5" customHeight="1" x14ac:dyDescent="0.15">
      <c r="A16" s="41">
        <v>15</v>
      </c>
      <c r="B16" s="41" t="s">
        <v>27435</v>
      </c>
      <c r="C16" s="74" t="s">
        <v>27436</v>
      </c>
      <c r="D16" s="72"/>
      <c r="F16" s="57"/>
      <c r="G16" s="72"/>
      <c r="I16" s="57"/>
      <c r="J16" s="72"/>
      <c r="P16" s="299" t="s">
        <v>17556</v>
      </c>
      <c r="Q16" s="45" t="s">
        <v>398</v>
      </c>
      <c r="R16" s="46">
        <v>1</v>
      </c>
      <c r="S16" s="512"/>
      <c r="V16" s="57"/>
      <c r="W16" s="190"/>
      <c r="X16" s="37"/>
      <c r="Y16" s="38"/>
      <c r="Z16" s="79"/>
      <c r="AA16" s="72" t="s">
        <v>17572</v>
      </c>
      <c r="AD16" s="57"/>
      <c r="AE16" s="208">
        <f>ROUND((ROUND((ROUND((_15_同援日０．５*_15・通訳),0)*_15・２人),0)*(1+_15・区４)),0)+ROUND((ROUND((ROUND((ROUND((_15_同援日０．５＿０．５*_15・通訳),0)*_15・２人),0)*(1+_15・B夜間)),0)*(1+_15・区４)),0)</f>
        <v>413</v>
      </c>
      <c r="AF16" s="48"/>
    </row>
    <row r="17" spans="1:32" ht="16.5" customHeight="1" x14ac:dyDescent="0.15">
      <c r="A17" s="41">
        <v>15</v>
      </c>
      <c r="B17" s="41" t="s">
        <v>3043</v>
      </c>
      <c r="C17" s="74" t="s">
        <v>27437</v>
      </c>
      <c r="D17" s="72"/>
      <c r="F17" s="57"/>
      <c r="G17" s="72"/>
      <c r="I17" s="57"/>
      <c r="J17" s="72"/>
      <c r="P17" s="299"/>
      <c r="Q17" s="45"/>
      <c r="R17" s="46"/>
      <c r="S17" s="512"/>
      <c r="V17" s="57"/>
      <c r="W17" s="253" t="s">
        <v>17562</v>
      </c>
      <c r="X17" s="49"/>
      <c r="Y17" s="50"/>
      <c r="Z17" s="115"/>
      <c r="AA17" s="72"/>
      <c r="AB17" s="12" t="s">
        <v>398</v>
      </c>
      <c r="AC17" s="13">
        <v>0.4</v>
      </c>
      <c r="AD17" s="57" t="s">
        <v>3575</v>
      </c>
      <c r="AE17" s="208">
        <f>ROUND((ROUND((ROUND((_15_同援日０．５*_15・通訳),0)*(1+_15・盲ろう)),0)*(1+_15・区４)),0)+ROUND((ROUND((ROUND((ROUND((_15_同援日０．５＿０．５*_15・通訳),0)*(1+_15・B夜間)),0)*(1+_15・盲ろう)),0)*(1+_15・区４)),0)</f>
        <v>517</v>
      </c>
      <c r="AF17" s="48"/>
    </row>
    <row r="18" spans="1:32" ht="16.5" customHeight="1" x14ac:dyDescent="0.15">
      <c r="A18" s="41">
        <v>15</v>
      </c>
      <c r="B18" s="41" t="s">
        <v>3045</v>
      </c>
      <c r="C18" s="74" t="s">
        <v>27438</v>
      </c>
      <c r="D18" s="72"/>
      <c r="F18" s="57"/>
      <c r="G18" s="122"/>
      <c r="H18" s="37"/>
      <c r="I18" s="79"/>
      <c r="J18" s="72"/>
      <c r="P18" s="299" t="s">
        <v>17556</v>
      </c>
      <c r="Q18" s="45" t="s">
        <v>398</v>
      </c>
      <c r="R18" s="46">
        <v>1</v>
      </c>
      <c r="S18" s="512"/>
      <c r="V18" s="57"/>
      <c r="W18" s="190" t="s">
        <v>17564</v>
      </c>
      <c r="X18" s="37" t="s">
        <v>398</v>
      </c>
      <c r="Y18" s="38">
        <v>0.25</v>
      </c>
      <c r="Z18" s="79" t="s">
        <v>3575</v>
      </c>
      <c r="AA18" s="122"/>
      <c r="AB18" s="37"/>
      <c r="AC18" s="38"/>
      <c r="AD18" s="79"/>
      <c r="AE18" s="208">
        <f>ROUND((ROUND((ROUND((ROUND((_15_同援日０．５*_15・通訳),0)*_15・２人),0)*(1+_15・盲ろう)),0)*(1+_15・区４)),0)+ROUND((ROUND((ROUND((ROUND((ROUND((_15_同援日０．５＿０．５*_15・通訳),0)*_15・２人),0)*(1+_15・B夜間)),0)*(1+_15・盲ろう)),0)*(1+_15・区４)),0)</f>
        <v>517</v>
      </c>
      <c r="AF18" s="48"/>
    </row>
    <row r="19" spans="1:32" ht="16.5" customHeight="1" x14ac:dyDescent="0.15">
      <c r="A19" s="41">
        <v>15</v>
      </c>
      <c r="B19" s="41" t="s">
        <v>3047</v>
      </c>
      <c r="C19" s="74" t="s">
        <v>27439</v>
      </c>
      <c r="D19" s="72"/>
      <c r="F19" s="57"/>
      <c r="G19" s="114" t="s">
        <v>19578</v>
      </c>
      <c r="H19" s="49"/>
      <c r="I19" s="115"/>
      <c r="J19" s="72"/>
      <c r="P19" s="299"/>
      <c r="Q19" s="45"/>
      <c r="R19" s="46"/>
      <c r="S19" s="512"/>
      <c r="V19" s="57"/>
      <c r="W19" s="253"/>
      <c r="X19" s="49"/>
      <c r="Y19" s="50"/>
      <c r="Z19" s="115"/>
      <c r="AA19" s="114"/>
      <c r="AB19" s="49"/>
      <c r="AC19" s="50"/>
      <c r="AD19" s="115"/>
      <c r="AE19" s="208">
        <f>ROUND((_15_同援日０．５*_15・通訳),0)+ROUND((ROUND((_15_同援日０．５＿１．０*_15・通訳),0)*(1+_15・B夜間)),0)</f>
        <v>445</v>
      </c>
      <c r="AF19" s="48"/>
    </row>
    <row r="20" spans="1:32" ht="16.5" customHeight="1" x14ac:dyDescent="0.15">
      <c r="A20" s="41">
        <v>15</v>
      </c>
      <c r="B20" s="41" t="s">
        <v>3049</v>
      </c>
      <c r="C20" s="74" t="s">
        <v>27440</v>
      </c>
      <c r="D20" s="72"/>
      <c r="F20" s="57"/>
      <c r="G20" s="72" t="s">
        <v>17589</v>
      </c>
      <c r="I20" s="57"/>
      <c r="J20" s="72"/>
      <c r="P20" s="299" t="s">
        <v>17556</v>
      </c>
      <c r="Q20" s="45" t="s">
        <v>398</v>
      </c>
      <c r="R20" s="46">
        <v>1</v>
      </c>
      <c r="S20" s="512"/>
      <c r="V20" s="57"/>
      <c r="W20" s="190"/>
      <c r="X20" s="37"/>
      <c r="Y20" s="38"/>
      <c r="Z20" s="79"/>
      <c r="AA20" s="72"/>
      <c r="AD20" s="57"/>
      <c r="AE20" s="208">
        <f>ROUND((ROUND((_15_同援日０．５*_15・通訳),0)*_15・２人),0)+ROUND((ROUND((ROUND((_15_同援日０．５＿１．０*_15・通訳),0)*_15・２人),0)*(1+_15・B夜間)),0)</f>
        <v>445</v>
      </c>
      <c r="AF20" s="48"/>
    </row>
    <row r="21" spans="1:32" ht="16.5" customHeight="1" x14ac:dyDescent="0.15">
      <c r="A21" s="41">
        <v>15</v>
      </c>
      <c r="B21" s="41" t="s">
        <v>27441</v>
      </c>
      <c r="C21" s="74" t="s">
        <v>27442</v>
      </c>
      <c r="D21" s="72"/>
      <c r="F21" s="57"/>
      <c r="G21" s="72" t="s">
        <v>17591</v>
      </c>
      <c r="I21" s="57"/>
      <c r="J21" s="72"/>
      <c r="P21" s="299"/>
      <c r="Q21" s="45"/>
      <c r="R21" s="46"/>
      <c r="S21" s="512"/>
      <c r="V21" s="57"/>
      <c r="W21" s="253" t="s">
        <v>17562</v>
      </c>
      <c r="X21" s="49"/>
      <c r="Y21" s="50"/>
      <c r="Z21" s="115"/>
      <c r="AA21" s="72"/>
      <c r="AD21" s="57"/>
      <c r="AE21" s="208">
        <f>ROUND((ROUND((_15_同援日０．５*_15・通訳),0)*(1+_15・盲ろう)),0)+ROUND((ROUND((ROUND((_15_同援日０．５＿１．０*_15・通訳),0)*(1+_15・B夜間)),0)*(1+_15・盲ろう)),0)</f>
        <v>557</v>
      </c>
      <c r="AF21" s="48"/>
    </row>
    <row r="22" spans="1:32" ht="16.5" customHeight="1" x14ac:dyDescent="0.15">
      <c r="A22" s="41">
        <v>15</v>
      </c>
      <c r="B22" s="41" t="s">
        <v>27443</v>
      </c>
      <c r="C22" s="74" t="s">
        <v>27444</v>
      </c>
      <c r="D22" s="72"/>
      <c r="F22" s="57"/>
      <c r="G22" s="72"/>
      <c r="H22" s="168">
        <f>_15_同援日０．５＿１．０</f>
        <v>243</v>
      </c>
      <c r="I22" s="57" t="s">
        <v>392</v>
      </c>
      <c r="J22" s="72"/>
      <c r="P22" s="299" t="s">
        <v>17556</v>
      </c>
      <c r="Q22" s="45" t="s">
        <v>398</v>
      </c>
      <c r="R22" s="46">
        <v>1</v>
      </c>
      <c r="S22" s="512"/>
      <c r="V22" s="57"/>
      <c r="W22" s="190" t="s">
        <v>17564</v>
      </c>
      <c r="X22" s="37" t="s">
        <v>398</v>
      </c>
      <c r="Y22" s="38">
        <v>0.25</v>
      </c>
      <c r="Z22" s="79" t="s">
        <v>3575</v>
      </c>
      <c r="AA22" s="122"/>
      <c r="AB22" s="37"/>
      <c r="AC22" s="38"/>
      <c r="AD22" s="79"/>
      <c r="AE22" s="208">
        <f>ROUND((ROUND((ROUND((_15_同援日０．５*_15・通訳),0)*_15・２人),0)*(1+_15・盲ろう)),0)+ROUND((ROUND((ROUND((ROUND((_15_同援日０．５＿１．０*_15・通訳),0)*_15・２人),0)*(1+_15・B夜間)),0)*(1+_15・盲ろう)),0)</f>
        <v>557</v>
      </c>
      <c r="AF22" s="48"/>
    </row>
    <row r="23" spans="1:32" ht="16.5" customHeight="1" x14ac:dyDescent="0.15">
      <c r="A23" s="41">
        <v>15</v>
      </c>
      <c r="B23" s="41" t="s">
        <v>27445</v>
      </c>
      <c r="C23" s="74" t="s">
        <v>27446</v>
      </c>
      <c r="D23" s="72"/>
      <c r="F23" s="57"/>
      <c r="G23" s="72"/>
      <c r="I23" s="57"/>
      <c r="J23" s="72"/>
      <c r="P23" s="299"/>
      <c r="Q23" s="45"/>
      <c r="R23" s="46"/>
      <c r="S23" s="512"/>
      <c r="V23" s="57"/>
      <c r="W23" s="253"/>
      <c r="X23" s="49"/>
      <c r="Y23" s="50"/>
      <c r="Z23" s="115"/>
      <c r="AA23" s="114" t="s">
        <v>17570</v>
      </c>
      <c r="AB23" s="49"/>
      <c r="AC23" s="50"/>
      <c r="AD23" s="115"/>
      <c r="AE23" s="208">
        <f>ROUND((ROUND((_15_同援日０．５*_15・通訳),0)*(1+_15・区３)),0)+ROUND((ROUND((ROUND((_15_同援日０．５＿１．０*_15・通訳),0)*(1+_15・B夜間)),0)*(1+_15・区３)),0)</f>
        <v>534</v>
      </c>
      <c r="AF23" s="48"/>
    </row>
    <row r="24" spans="1:32" ht="16.5" customHeight="1" x14ac:dyDescent="0.15">
      <c r="A24" s="41">
        <v>15</v>
      </c>
      <c r="B24" s="41" t="s">
        <v>27447</v>
      </c>
      <c r="C24" s="74" t="s">
        <v>27448</v>
      </c>
      <c r="D24" s="72"/>
      <c r="F24" s="57"/>
      <c r="G24" s="72"/>
      <c r="I24" s="57"/>
      <c r="J24" s="72"/>
      <c r="P24" s="299" t="s">
        <v>17556</v>
      </c>
      <c r="Q24" s="45" t="s">
        <v>398</v>
      </c>
      <c r="R24" s="46">
        <v>1</v>
      </c>
      <c r="S24" s="512"/>
      <c r="V24" s="57"/>
      <c r="W24" s="190"/>
      <c r="X24" s="37"/>
      <c r="Y24" s="38"/>
      <c r="Z24" s="79"/>
      <c r="AA24" s="72" t="s">
        <v>17572</v>
      </c>
      <c r="AD24" s="57"/>
      <c r="AE24" s="208">
        <f>ROUND((ROUND((ROUND((_15_同援日０．５*_15・通訳),0)*_15・２人),0)*(1+_15・区３)),0)+ROUND((ROUND((ROUND((ROUND((_15_同援日０．５＿１．０*_15・通訳),0)*_15・２人),0)*(1+_15・B夜間)),0)*(1+_15・区３)),0)</f>
        <v>534</v>
      </c>
      <c r="AF24" s="48"/>
    </row>
    <row r="25" spans="1:32" ht="16.5" customHeight="1" x14ac:dyDescent="0.15">
      <c r="A25" s="41">
        <v>15</v>
      </c>
      <c r="B25" s="41" t="s">
        <v>27449</v>
      </c>
      <c r="C25" s="74" t="s">
        <v>27450</v>
      </c>
      <c r="D25" s="72"/>
      <c r="F25" s="57"/>
      <c r="G25" s="72"/>
      <c r="I25" s="57"/>
      <c r="J25" s="72"/>
      <c r="P25" s="299"/>
      <c r="Q25" s="45"/>
      <c r="R25" s="46"/>
      <c r="S25" s="512"/>
      <c r="V25" s="57"/>
      <c r="W25" s="253" t="s">
        <v>17562</v>
      </c>
      <c r="X25" s="49"/>
      <c r="Y25" s="50"/>
      <c r="Z25" s="115"/>
      <c r="AA25" s="72"/>
      <c r="AB25" s="12" t="s">
        <v>398</v>
      </c>
      <c r="AC25" s="13">
        <v>0.2</v>
      </c>
      <c r="AD25" s="57" t="s">
        <v>3575</v>
      </c>
      <c r="AE25" s="208">
        <f>ROUND((ROUND((ROUND((_15_同援日０．５*_15・通訳),0)*(1+_15・盲ろう)),0)*(1+_15・区３)),0)+ROUND((ROUND((ROUND((ROUND((_15_同援日０．５＿１．０*_15・通訳),0)*(1+_15・B夜間)),0)*(1+_15・盲ろう)),0)*(1+_15・区３)),0)</f>
        <v>669</v>
      </c>
      <c r="AF25" s="48"/>
    </row>
    <row r="26" spans="1:32" ht="16.5" customHeight="1" x14ac:dyDescent="0.15">
      <c r="A26" s="41">
        <v>15</v>
      </c>
      <c r="B26" s="41" t="s">
        <v>27451</v>
      </c>
      <c r="C26" s="74" t="s">
        <v>27452</v>
      </c>
      <c r="D26" s="72"/>
      <c r="F26" s="57"/>
      <c r="G26" s="72"/>
      <c r="I26" s="57"/>
      <c r="J26" s="72"/>
      <c r="P26" s="299" t="s">
        <v>17556</v>
      </c>
      <c r="Q26" s="45" t="s">
        <v>398</v>
      </c>
      <c r="R26" s="46">
        <v>1</v>
      </c>
      <c r="S26" s="512"/>
      <c r="V26" s="57"/>
      <c r="W26" s="190" t="s">
        <v>17564</v>
      </c>
      <c r="X26" s="37" t="s">
        <v>398</v>
      </c>
      <c r="Y26" s="38">
        <v>0.25</v>
      </c>
      <c r="Z26" s="79" t="s">
        <v>3575</v>
      </c>
      <c r="AA26" s="122"/>
      <c r="AB26" s="37"/>
      <c r="AC26" s="38"/>
      <c r="AD26" s="79"/>
      <c r="AE26" s="208">
        <f>ROUND((ROUND((ROUND((ROUND((_15_同援日０．５*_15・通訳),0)*_15・２人),0)*(1+_15・盲ろう)),0)*(1+_15・区３)),0)+ROUND((ROUND((ROUND((ROUND((ROUND((_15_同援日０．５＿１．０*_15・通訳),0)*_15・２人),0)*(1+_15・B夜間)),0)*(1+_15・盲ろう)),0)*(1+_15・区３)),0)</f>
        <v>669</v>
      </c>
      <c r="AF26" s="48"/>
    </row>
    <row r="27" spans="1:32" ht="16.5" customHeight="1" x14ac:dyDescent="0.15">
      <c r="A27" s="41">
        <v>15</v>
      </c>
      <c r="B27" s="41" t="s">
        <v>27453</v>
      </c>
      <c r="C27" s="74" t="s">
        <v>27454</v>
      </c>
      <c r="D27" s="72"/>
      <c r="F27" s="57"/>
      <c r="G27" s="72"/>
      <c r="I27" s="57"/>
      <c r="J27" s="72"/>
      <c r="P27" s="299"/>
      <c r="Q27" s="45"/>
      <c r="R27" s="46"/>
      <c r="S27" s="512"/>
      <c r="V27" s="57"/>
      <c r="W27" s="253"/>
      <c r="X27" s="49"/>
      <c r="Y27" s="50"/>
      <c r="Z27" s="115"/>
      <c r="AA27" s="114" t="s">
        <v>17580</v>
      </c>
      <c r="AB27" s="49"/>
      <c r="AC27" s="50"/>
      <c r="AD27" s="115"/>
      <c r="AE27" s="208">
        <f>ROUND((ROUND((_15_同援日０．５*_15・通訳),0)*(1+_15・区４)),0)+ROUND((ROUND((ROUND((_15_同援日０．５＿１．０*_15・通訳),0)*(1+_15・B夜間)),0)*(1+_15・区４)),0)</f>
        <v>623</v>
      </c>
      <c r="AF27" s="48"/>
    </row>
    <row r="28" spans="1:32" ht="16.5" customHeight="1" x14ac:dyDescent="0.15">
      <c r="A28" s="41">
        <v>15</v>
      </c>
      <c r="B28" s="41" t="s">
        <v>27455</v>
      </c>
      <c r="C28" s="74" t="s">
        <v>27456</v>
      </c>
      <c r="D28" s="72"/>
      <c r="F28" s="57"/>
      <c r="G28" s="72"/>
      <c r="I28" s="57"/>
      <c r="J28" s="72"/>
      <c r="P28" s="299" t="s">
        <v>17556</v>
      </c>
      <c r="Q28" s="45" t="s">
        <v>398</v>
      </c>
      <c r="R28" s="46">
        <v>1</v>
      </c>
      <c r="S28" s="512"/>
      <c r="V28" s="57"/>
      <c r="W28" s="190"/>
      <c r="X28" s="37"/>
      <c r="Y28" s="38"/>
      <c r="Z28" s="79"/>
      <c r="AA28" s="72" t="s">
        <v>17572</v>
      </c>
      <c r="AD28" s="57"/>
      <c r="AE28" s="208">
        <f>ROUND((ROUND((ROUND((_15_同援日０．５*_15・通訳),0)*_15・２人),0)*(1+_15・区４)),0)+ROUND((ROUND((ROUND((ROUND((_15_同援日０．５＿１．０*_15・通訳),0)*_15・２人),0)*(1+_15・B夜間)),0)*(1+_15・区４)),0)</f>
        <v>623</v>
      </c>
      <c r="AF28" s="48"/>
    </row>
    <row r="29" spans="1:32" ht="16.5" customHeight="1" x14ac:dyDescent="0.15">
      <c r="A29" s="41">
        <v>15</v>
      </c>
      <c r="B29" s="41" t="s">
        <v>27457</v>
      </c>
      <c r="C29" s="74" t="s">
        <v>27458</v>
      </c>
      <c r="D29" s="72"/>
      <c r="F29" s="57"/>
      <c r="G29" s="72"/>
      <c r="I29" s="57"/>
      <c r="J29" s="72"/>
      <c r="P29" s="299"/>
      <c r="Q29" s="45"/>
      <c r="R29" s="46"/>
      <c r="S29" s="512"/>
      <c r="V29" s="57"/>
      <c r="W29" s="253" t="s">
        <v>17562</v>
      </c>
      <c r="X29" s="49"/>
      <c r="Y29" s="50"/>
      <c r="Z29" s="115"/>
      <c r="AA29" s="72"/>
      <c r="AB29" s="12" t="s">
        <v>398</v>
      </c>
      <c r="AC29" s="13">
        <v>0.4</v>
      </c>
      <c r="AD29" s="57" t="s">
        <v>3575</v>
      </c>
      <c r="AE29" s="208">
        <f>ROUND((ROUND((ROUND((_15_同援日０．５*_15・通訳),0)*(1+_15・盲ろう)),0)*(1+_15・区４)),0)+ROUND((ROUND((ROUND((ROUND((_15_同援日０．５＿１．０*_15・通訳),0)*(1+_15・B夜間)),0)*(1+_15・盲ろう)),0)*(1+_15・区４)),0)</f>
        <v>780</v>
      </c>
      <c r="AF29" s="48"/>
    </row>
    <row r="30" spans="1:32" ht="16.5" customHeight="1" x14ac:dyDescent="0.15">
      <c r="A30" s="41">
        <v>15</v>
      </c>
      <c r="B30" s="41" t="s">
        <v>27459</v>
      </c>
      <c r="C30" s="74" t="s">
        <v>27460</v>
      </c>
      <c r="D30" s="72"/>
      <c r="F30" s="57"/>
      <c r="G30" s="122"/>
      <c r="H30" s="37"/>
      <c r="I30" s="79"/>
      <c r="J30" s="72"/>
      <c r="P30" s="299" t="s">
        <v>17556</v>
      </c>
      <c r="Q30" s="45" t="s">
        <v>398</v>
      </c>
      <c r="R30" s="46">
        <v>1</v>
      </c>
      <c r="S30" s="512"/>
      <c r="V30" s="57"/>
      <c r="W30" s="190" t="s">
        <v>17564</v>
      </c>
      <c r="X30" s="37" t="s">
        <v>398</v>
      </c>
      <c r="Y30" s="38">
        <v>0.25</v>
      </c>
      <c r="Z30" s="79" t="s">
        <v>3575</v>
      </c>
      <c r="AA30" s="122"/>
      <c r="AB30" s="37"/>
      <c r="AC30" s="38"/>
      <c r="AD30" s="79"/>
      <c r="AE30" s="208">
        <f>ROUND((ROUND((ROUND((ROUND((_15_同援日０．５*_15・通訳),0)*_15・２人),0)*(1+_15・盲ろう)),0)*(1+_15・区４)),0)+ROUND((ROUND((ROUND((ROUND((ROUND((_15_同援日０．５＿１．０*_15・通訳),0)*_15・２人),0)*(1+_15・B夜間)),0)*(1+_15・盲ろう)),0)*(1+_15・区４)),0)</f>
        <v>780</v>
      </c>
      <c r="AF30" s="48"/>
    </row>
    <row r="31" spans="1:32" ht="16.5" customHeight="1" x14ac:dyDescent="0.15">
      <c r="A31" s="41">
        <v>15</v>
      </c>
      <c r="B31" s="41" t="s">
        <v>27461</v>
      </c>
      <c r="C31" s="74" t="s">
        <v>27462</v>
      </c>
      <c r="D31" s="72"/>
      <c r="F31" s="57"/>
      <c r="G31" s="114" t="s">
        <v>19603</v>
      </c>
      <c r="H31" s="49"/>
      <c r="I31" s="115"/>
      <c r="J31" s="72"/>
      <c r="P31" s="299"/>
      <c r="Q31" s="45"/>
      <c r="R31" s="46"/>
      <c r="S31" s="512"/>
      <c r="V31" s="57"/>
      <c r="W31" s="253"/>
      <c r="X31" s="49"/>
      <c r="Y31" s="50"/>
      <c r="Z31" s="115"/>
      <c r="AA31" s="114"/>
      <c r="AB31" s="49"/>
      <c r="AC31" s="50"/>
      <c r="AD31" s="115"/>
      <c r="AE31" s="208">
        <f>ROUND((_15_同援日０．５*_15・通訳),0)+ROUND((ROUND((_15_同援日０．５＿１．５*_15・通訳),0)*(1+_15・B夜間)),0)</f>
        <v>517</v>
      </c>
      <c r="AF31" s="48"/>
    </row>
    <row r="32" spans="1:32" ht="16.5" customHeight="1" x14ac:dyDescent="0.15">
      <c r="A32" s="41">
        <v>15</v>
      </c>
      <c r="B32" s="41" t="s">
        <v>27463</v>
      </c>
      <c r="C32" s="74" t="s">
        <v>27464</v>
      </c>
      <c r="D32" s="72"/>
      <c r="F32" s="57"/>
      <c r="G32" s="72" t="s">
        <v>17616</v>
      </c>
      <c r="I32" s="57"/>
      <c r="J32" s="72"/>
      <c r="P32" s="299" t="s">
        <v>17556</v>
      </c>
      <c r="Q32" s="45" t="s">
        <v>398</v>
      </c>
      <c r="R32" s="46">
        <v>1</v>
      </c>
      <c r="S32" s="512"/>
      <c r="V32" s="57"/>
      <c r="W32" s="190"/>
      <c r="X32" s="37"/>
      <c r="Y32" s="38"/>
      <c r="Z32" s="79"/>
      <c r="AA32" s="72"/>
      <c r="AD32" s="57"/>
      <c r="AE32" s="208">
        <f>ROUND((ROUND((_15_同援日０．５*_15・通訳),0)*_15・２人),0)+ROUND((ROUND((ROUND((_15_同援日０．５＿１．５*_15・通訳),0)*_15・２人),0)*(1+_15・B夜間)),0)</f>
        <v>517</v>
      </c>
      <c r="AF32" s="48"/>
    </row>
    <row r="33" spans="1:32" ht="16.5" customHeight="1" x14ac:dyDescent="0.15">
      <c r="A33" s="41">
        <v>15</v>
      </c>
      <c r="B33" s="41" t="s">
        <v>27465</v>
      </c>
      <c r="C33" s="74" t="s">
        <v>27466</v>
      </c>
      <c r="D33" s="72"/>
      <c r="F33" s="57"/>
      <c r="G33" s="72" t="s">
        <v>18183</v>
      </c>
      <c r="I33" s="57"/>
      <c r="J33" s="72"/>
      <c r="P33" s="299"/>
      <c r="Q33" s="45"/>
      <c r="R33" s="46"/>
      <c r="S33" s="512"/>
      <c r="V33" s="57"/>
      <c r="W33" s="253" t="s">
        <v>17562</v>
      </c>
      <c r="X33" s="49"/>
      <c r="Y33" s="50"/>
      <c r="Z33" s="115"/>
      <c r="AA33" s="72"/>
      <c r="AD33" s="57"/>
      <c r="AE33" s="208">
        <f>ROUND((ROUND((_15_同援日０．５*_15・通訳),0)*(1+_15・盲ろう)),0)+ROUND((ROUND((ROUND((_15_同援日０．５＿１．５*_15・通訳),0)*(1+_15・B夜間)),0)*(1+_15・盲ろう)),0)</f>
        <v>647</v>
      </c>
      <c r="AF33" s="48"/>
    </row>
    <row r="34" spans="1:32" ht="16.5" customHeight="1" x14ac:dyDescent="0.15">
      <c r="A34" s="41">
        <v>15</v>
      </c>
      <c r="B34" s="41" t="s">
        <v>27467</v>
      </c>
      <c r="C34" s="74" t="s">
        <v>27468</v>
      </c>
      <c r="D34" s="72"/>
      <c r="F34" s="57"/>
      <c r="G34" s="72"/>
      <c r="H34" s="168">
        <f>_15_同援日０．５＿１．５</f>
        <v>308</v>
      </c>
      <c r="I34" s="57" t="s">
        <v>392</v>
      </c>
      <c r="J34" s="72"/>
      <c r="P34" s="299" t="s">
        <v>17556</v>
      </c>
      <c r="Q34" s="45" t="s">
        <v>398</v>
      </c>
      <c r="R34" s="46">
        <v>1</v>
      </c>
      <c r="S34" s="512"/>
      <c r="V34" s="57"/>
      <c r="W34" s="190" t="s">
        <v>17564</v>
      </c>
      <c r="X34" s="37" t="s">
        <v>398</v>
      </c>
      <c r="Y34" s="38">
        <v>0.25</v>
      </c>
      <c r="Z34" s="79" t="s">
        <v>3575</v>
      </c>
      <c r="AA34" s="122"/>
      <c r="AB34" s="37"/>
      <c r="AC34" s="38"/>
      <c r="AD34" s="79"/>
      <c r="AE34" s="208">
        <f>ROUND((ROUND((ROUND((_15_同援日０．５*_15・通訳),0)*_15・２人),0)*(1+_15・盲ろう)),0)+ROUND((ROUND((ROUND((ROUND((_15_同援日０．５＿１．５*_15・通訳),0)*_15・２人),0)*(1+_15・B夜間)),0)*(1+_15・盲ろう)),0)</f>
        <v>647</v>
      </c>
      <c r="AF34" s="48"/>
    </row>
    <row r="35" spans="1:32" ht="16.5" customHeight="1" x14ac:dyDescent="0.15">
      <c r="A35" s="41">
        <v>15</v>
      </c>
      <c r="B35" s="41" t="s">
        <v>27469</v>
      </c>
      <c r="C35" s="74" t="s">
        <v>27470</v>
      </c>
      <c r="D35" s="72"/>
      <c r="F35" s="57"/>
      <c r="G35" s="72"/>
      <c r="I35" s="57"/>
      <c r="J35" s="72"/>
      <c r="P35" s="299"/>
      <c r="Q35" s="45"/>
      <c r="R35" s="46"/>
      <c r="S35" s="512"/>
      <c r="V35" s="57"/>
      <c r="W35" s="253"/>
      <c r="X35" s="49"/>
      <c r="Y35" s="50"/>
      <c r="Z35" s="115"/>
      <c r="AA35" s="114" t="s">
        <v>17570</v>
      </c>
      <c r="AB35" s="49"/>
      <c r="AC35" s="50"/>
      <c r="AD35" s="115"/>
      <c r="AE35" s="208">
        <f>ROUND((ROUND((_15_同援日０．５*_15・通訳),0)*(1+_15・区３)),0)+ROUND((ROUND((ROUND((_15_同援日０．５＿１．５*_15・通訳),0)*(1+_15・B夜間)),0)*(1+_15・区３)),0)</f>
        <v>620</v>
      </c>
      <c r="AF35" s="48"/>
    </row>
    <row r="36" spans="1:32" ht="16.5" customHeight="1" x14ac:dyDescent="0.15">
      <c r="A36" s="41">
        <v>15</v>
      </c>
      <c r="B36" s="41" t="s">
        <v>27471</v>
      </c>
      <c r="C36" s="74" t="s">
        <v>27472</v>
      </c>
      <c r="D36" s="72"/>
      <c r="F36" s="57"/>
      <c r="G36" s="72"/>
      <c r="I36" s="57"/>
      <c r="J36" s="72"/>
      <c r="P36" s="299" t="s">
        <v>17556</v>
      </c>
      <c r="Q36" s="45" t="s">
        <v>398</v>
      </c>
      <c r="R36" s="46">
        <v>1</v>
      </c>
      <c r="S36" s="512"/>
      <c r="V36" s="57"/>
      <c r="W36" s="190"/>
      <c r="X36" s="37"/>
      <c r="Y36" s="38"/>
      <c r="Z36" s="79"/>
      <c r="AA36" s="72" t="s">
        <v>17572</v>
      </c>
      <c r="AD36" s="57"/>
      <c r="AE36" s="208">
        <f>ROUND((ROUND((ROUND((_15_同援日０．５*_15・通訳),0)*_15・２人),0)*(1+_15・区３)),0)+ROUND((ROUND((ROUND((ROUND((_15_同援日０．５＿１．５*_15・通訳),0)*_15・２人),0)*(1+_15・B夜間)),0)*(1+_15・区３)),0)</f>
        <v>620</v>
      </c>
      <c r="AF36" s="48"/>
    </row>
    <row r="37" spans="1:32" ht="16.5" customHeight="1" x14ac:dyDescent="0.15">
      <c r="A37" s="41">
        <v>15</v>
      </c>
      <c r="B37" s="41" t="s">
        <v>3055</v>
      </c>
      <c r="C37" s="74" t="s">
        <v>27473</v>
      </c>
      <c r="D37" s="72"/>
      <c r="F37" s="57"/>
      <c r="G37" s="72"/>
      <c r="I37" s="57"/>
      <c r="J37" s="72"/>
      <c r="P37" s="299"/>
      <c r="Q37" s="45"/>
      <c r="R37" s="46"/>
      <c r="S37" s="512"/>
      <c r="V37" s="57"/>
      <c r="W37" s="253" t="s">
        <v>17562</v>
      </c>
      <c r="X37" s="49"/>
      <c r="Y37" s="50"/>
      <c r="Z37" s="115"/>
      <c r="AA37" s="72"/>
      <c r="AB37" s="12" t="s">
        <v>398</v>
      </c>
      <c r="AC37" s="13">
        <v>0.2</v>
      </c>
      <c r="AD37" s="57" t="s">
        <v>3575</v>
      </c>
      <c r="AE37" s="208">
        <f>ROUND((ROUND((ROUND((_15_同援日０．５*_15・通訳),0)*(1+_15・盲ろう)),0)*(1+_15・区３)),0)+ROUND((ROUND((ROUND((ROUND((_15_同援日０．５＿１．５*_15・通訳),0)*(1+_15・B夜間)),0)*(1+_15・盲ろう)),0)*(1+_15・区３)),0)</f>
        <v>777</v>
      </c>
      <c r="AF37" s="48"/>
    </row>
    <row r="38" spans="1:32" ht="16.5" customHeight="1" x14ac:dyDescent="0.15">
      <c r="A38" s="41">
        <v>15</v>
      </c>
      <c r="B38" s="41" t="s">
        <v>3057</v>
      </c>
      <c r="C38" s="74" t="s">
        <v>27474</v>
      </c>
      <c r="D38" s="72"/>
      <c r="F38" s="57"/>
      <c r="G38" s="72"/>
      <c r="I38" s="57"/>
      <c r="J38" s="72"/>
      <c r="P38" s="299" t="s">
        <v>17556</v>
      </c>
      <c r="Q38" s="45" t="s">
        <v>398</v>
      </c>
      <c r="R38" s="46">
        <v>1</v>
      </c>
      <c r="S38" s="512"/>
      <c r="V38" s="57"/>
      <c r="W38" s="190" t="s">
        <v>17564</v>
      </c>
      <c r="X38" s="37" t="s">
        <v>398</v>
      </c>
      <c r="Y38" s="38">
        <v>0.25</v>
      </c>
      <c r="Z38" s="79" t="s">
        <v>3575</v>
      </c>
      <c r="AA38" s="122"/>
      <c r="AB38" s="37"/>
      <c r="AC38" s="38"/>
      <c r="AD38" s="79"/>
      <c r="AE38" s="208">
        <f>ROUND((ROUND((ROUND((ROUND((_15_同援日０．５*_15・通訳),0)*_15・２人),0)*(1+_15・盲ろう)),0)*(1+_15・区３)),0)+ROUND((ROUND((ROUND((ROUND((ROUND((_15_同援日０．５＿１．５*_15・通訳),0)*_15・２人),0)*(1+_15・B夜間)),0)*(1+_15・盲ろう)),0)*(1+_15・区３)),0)</f>
        <v>777</v>
      </c>
      <c r="AF38" s="48"/>
    </row>
    <row r="39" spans="1:32" ht="16.5" customHeight="1" x14ac:dyDescent="0.15">
      <c r="A39" s="41">
        <v>15</v>
      </c>
      <c r="B39" s="41" t="s">
        <v>3059</v>
      </c>
      <c r="C39" s="74" t="s">
        <v>27475</v>
      </c>
      <c r="D39" s="72"/>
      <c r="F39" s="57"/>
      <c r="G39" s="72"/>
      <c r="I39" s="57"/>
      <c r="J39" s="72"/>
      <c r="P39" s="299"/>
      <c r="Q39" s="45"/>
      <c r="R39" s="46"/>
      <c r="S39" s="512"/>
      <c r="V39" s="57"/>
      <c r="W39" s="253"/>
      <c r="X39" s="49"/>
      <c r="Y39" s="50"/>
      <c r="Z39" s="115"/>
      <c r="AA39" s="114" t="s">
        <v>17580</v>
      </c>
      <c r="AB39" s="49"/>
      <c r="AC39" s="50"/>
      <c r="AD39" s="115"/>
      <c r="AE39" s="208">
        <f>ROUND((ROUND((_15_同援日０．５*_15・通訳),0)*(1+_15・区４)),0)+ROUND((ROUND((ROUND((_15_同援日０．５＿１．５*_15・通訳),0)*(1+_15・B夜間)),0)*(1+_15・区４)),0)</f>
        <v>723</v>
      </c>
      <c r="AF39" s="48"/>
    </row>
    <row r="40" spans="1:32" ht="16.5" customHeight="1" x14ac:dyDescent="0.15">
      <c r="A40" s="41">
        <v>15</v>
      </c>
      <c r="B40" s="41" t="s">
        <v>3061</v>
      </c>
      <c r="C40" s="74" t="s">
        <v>27476</v>
      </c>
      <c r="D40" s="72"/>
      <c r="F40" s="57"/>
      <c r="G40" s="72"/>
      <c r="I40" s="57"/>
      <c r="J40" s="72"/>
      <c r="P40" s="299" t="s">
        <v>17556</v>
      </c>
      <c r="Q40" s="45" t="s">
        <v>398</v>
      </c>
      <c r="R40" s="46">
        <v>1</v>
      </c>
      <c r="S40" s="512"/>
      <c r="V40" s="57"/>
      <c r="W40" s="190"/>
      <c r="X40" s="37"/>
      <c r="Y40" s="38"/>
      <c r="Z40" s="79"/>
      <c r="AA40" s="72" t="s">
        <v>17572</v>
      </c>
      <c r="AD40" s="57"/>
      <c r="AE40" s="208">
        <f>ROUND((ROUND((ROUND((_15_同援日０．５*_15・通訳),0)*_15・２人),0)*(1+_15・区４)),0)+ROUND((ROUND((ROUND((ROUND((_15_同援日０．５＿１．５*_15・通訳),0)*_15・２人),0)*(1+_15・B夜間)),0)*(1+_15・区４)),0)</f>
        <v>723</v>
      </c>
      <c r="AF40" s="48"/>
    </row>
    <row r="41" spans="1:32" ht="16.5" customHeight="1" x14ac:dyDescent="0.15">
      <c r="A41" s="41">
        <v>15</v>
      </c>
      <c r="B41" s="41" t="s">
        <v>27477</v>
      </c>
      <c r="C41" s="74" t="s">
        <v>27478</v>
      </c>
      <c r="D41" s="72"/>
      <c r="F41" s="57"/>
      <c r="G41" s="72"/>
      <c r="I41" s="57"/>
      <c r="J41" s="72"/>
      <c r="P41" s="299"/>
      <c r="Q41" s="45"/>
      <c r="R41" s="46"/>
      <c r="S41" s="512"/>
      <c r="V41" s="57"/>
      <c r="W41" s="253" t="s">
        <v>17562</v>
      </c>
      <c r="X41" s="49"/>
      <c r="Y41" s="50"/>
      <c r="Z41" s="115"/>
      <c r="AA41" s="72"/>
      <c r="AB41" s="12" t="s">
        <v>398</v>
      </c>
      <c r="AC41" s="13">
        <v>0.4</v>
      </c>
      <c r="AD41" s="57" t="s">
        <v>3575</v>
      </c>
      <c r="AE41" s="208">
        <f>ROUND((ROUND((ROUND((_15_同援日０．５*_15・通訳),0)*(1+_15・盲ろう)),0)*(1+_15・区４)),0)+ROUND((ROUND((ROUND((ROUND((_15_同援日０．５＿１．５*_15・通訳),0)*(1+_15・B夜間)),0)*(1+_15・盲ろう)),0)*(1+_15・区４)),0)</f>
        <v>906</v>
      </c>
      <c r="AF41" s="48"/>
    </row>
    <row r="42" spans="1:32" ht="16.5" customHeight="1" x14ac:dyDescent="0.15">
      <c r="A42" s="41">
        <v>15</v>
      </c>
      <c r="B42" s="41" t="s">
        <v>27479</v>
      </c>
      <c r="C42" s="74" t="s">
        <v>27480</v>
      </c>
      <c r="D42" s="72"/>
      <c r="F42" s="57"/>
      <c r="G42" s="122"/>
      <c r="H42" s="37"/>
      <c r="I42" s="79"/>
      <c r="J42" s="72"/>
      <c r="P42" s="299" t="s">
        <v>17556</v>
      </c>
      <c r="Q42" s="45" t="s">
        <v>398</v>
      </c>
      <c r="R42" s="46">
        <v>1</v>
      </c>
      <c r="S42" s="512"/>
      <c r="V42" s="57"/>
      <c r="W42" s="190" t="s">
        <v>17564</v>
      </c>
      <c r="X42" s="37" t="s">
        <v>398</v>
      </c>
      <c r="Y42" s="38">
        <v>0.25</v>
      </c>
      <c r="Z42" s="79" t="s">
        <v>3575</v>
      </c>
      <c r="AA42" s="122"/>
      <c r="AB42" s="37"/>
      <c r="AC42" s="38"/>
      <c r="AD42" s="79"/>
      <c r="AE42" s="208">
        <f>ROUND((ROUND((ROUND((ROUND((_15_同援日０．５*_15・通訳),0)*_15・２人),0)*(1+_15・盲ろう)),0)*(1+_15・区４)),0)+ROUND((ROUND((ROUND((ROUND((ROUND((_15_同援日０．５＿１．５*_15・通訳),0)*_15・２人),0)*(1+_15・B夜間)),0)*(1+_15・盲ろう)),0)*(1+_15・区４)),0)</f>
        <v>906</v>
      </c>
      <c r="AF42" s="48"/>
    </row>
    <row r="43" spans="1:32" ht="16.5" customHeight="1" x14ac:dyDescent="0.15">
      <c r="A43" s="41">
        <v>15</v>
      </c>
      <c r="B43" s="41" t="s">
        <v>27481</v>
      </c>
      <c r="C43" s="74" t="s">
        <v>27482</v>
      </c>
      <c r="D43" s="72"/>
      <c r="F43" s="57"/>
      <c r="G43" s="114" t="s">
        <v>19628</v>
      </c>
      <c r="H43" s="49"/>
      <c r="I43" s="115"/>
      <c r="J43" s="72"/>
      <c r="P43" s="299"/>
      <c r="Q43" s="45"/>
      <c r="R43" s="46"/>
      <c r="S43" s="512"/>
      <c r="V43" s="57"/>
      <c r="W43" s="253"/>
      <c r="X43" s="49"/>
      <c r="Y43" s="50"/>
      <c r="Z43" s="115"/>
      <c r="AA43" s="114"/>
      <c r="AB43" s="49"/>
      <c r="AC43" s="50"/>
      <c r="AD43" s="115"/>
      <c r="AE43" s="208">
        <f>ROUND((_15_同援日０．５*_15・通訳),0)+ROUND((ROUND((_15_同援日０．５＿２．０*_15・通訳),0)*(1+_15・B夜間)),0)</f>
        <v>591</v>
      </c>
      <c r="AF43" s="48"/>
    </row>
    <row r="44" spans="1:32" ht="16.5" customHeight="1" x14ac:dyDescent="0.15">
      <c r="A44" s="41">
        <v>15</v>
      </c>
      <c r="B44" s="41" t="s">
        <v>27483</v>
      </c>
      <c r="C44" s="74" t="s">
        <v>27484</v>
      </c>
      <c r="D44" s="72"/>
      <c r="F44" s="57"/>
      <c r="G44" s="72" t="s">
        <v>17643</v>
      </c>
      <c r="I44" s="57"/>
      <c r="J44" s="72"/>
      <c r="P44" s="299" t="s">
        <v>17556</v>
      </c>
      <c r="Q44" s="45" t="s">
        <v>398</v>
      </c>
      <c r="R44" s="46">
        <v>1</v>
      </c>
      <c r="S44" s="512"/>
      <c r="V44" s="57"/>
      <c r="W44" s="190"/>
      <c r="X44" s="37"/>
      <c r="Y44" s="38"/>
      <c r="Z44" s="79"/>
      <c r="AA44" s="72"/>
      <c r="AD44" s="57"/>
      <c r="AE44" s="208">
        <f>ROUND((ROUND((_15_同援日０．５*_15・通訳),0)*_15・２人),0)+ROUND((ROUND((ROUND((_15_同援日０．５＿２．０*_15・通訳),0)*_15・２人),0)*(1+_15・B夜間)),0)</f>
        <v>591</v>
      </c>
      <c r="AF44" s="48"/>
    </row>
    <row r="45" spans="1:32" ht="16.5" customHeight="1" x14ac:dyDescent="0.15">
      <c r="A45" s="41">
        <v>15</v>
      </c>
      <c r="B45" s="41" t="s">
        <v>27485</v>
      </c>
      <c r="C45" s="74" t="s">
        <v>27486</v>
      </c>
      <c r="D45" s="72"/>
      <c r="F45" s="57"/>
      <c r="G45" s="72" t="s">
        <v>17645</v>
      </c>
      <c r="I45" s="57"/>
      <c r="J45" s="72"/>
      <c r="P45" s="299"/>
      <c r="Q45" s="45"/>
      <c r="R45" s="46"/>
      <c r="S45" s="512"/>
      <c r="V45" s="57"/>
      <c r="W45" s="253" t="s">
        <v>17562</v>
      </c>
      <c r="X45" s="49"/>
      <c r="Y45" s="50"/>
      <c r="Z45" s="115"/>
      <c r="AA45" s="72"/>
      <c r="AD45" s="57"/>
      <c r="AE45" s="208">
        <f>ROUND((ROUND((_15_同援日０．５*_15・通訳),0)*(1+_15・盲ろう)),0)+ROUND((ROUND((ROUND((_15_同援日０．５＿２．０*_15・通訳),0)*(1+_15・B夜間)),0)*(1+_15・盲ろう)),0)</f>
        <v>739</v>
      </c>
      <c r="AF45" s="48"/>
    </row>
    <row r="46" spans="1:32" ht="16.5" customHeight="1" x14ac:dyDescent="0.15">
      <c r="A46" s="41">
        <v>15</v>
      </c>
      <c r="B46" s="41" t="s">
        <v>27487</v>
      </c>
      <c r="C46" s="74" t="s">
        <v>27488</v>
      </c>
      <c r="D46" s="72"/>
      <c r="F46" s="57"/>
      <c r="G46" s="72"/>
      <c r="H46" s="168">
        <f>_15_同援日０．５＿２．０</f>
        <v>373</v>
      </c>
      <c r="I46" s="57" t="s">
        <v>392</v>
      </c>
      <c r="J46" s="72"/>
      <c r="P46" s="299" t="s">
        <v>17556</v>
      </c>
      <c r="Q46" s="45" t="s">
        <v>398</v>
      </c>
      <c r="R46" s="46">
        <v>1</v>
      </c>
      <c r="S46" s="512"/>
      <c r="V46" s="57"/>
      <c r="W46" s="190" t="s">
        <v>17564</v>
      </c>
      <c r="X46" s="37" t="s">
        <v>398</v>
      </c>
      <c r="Y46" s="38">
        <v>0.25</v>
      </c>
      <c r="Z46" s="79" t="s">
        <v>3575</v>
      </c>
      <c r="AA46" s="122"/>
      <c r="AB46" s="37"/>
      <c r="AC46" s="38"/>
      <c r="AD46" s="79"/>
      <c r="AE46" s="208">
        <f>ROUND((ROUND((ROUND((_15_同援日０．５*_15・通訳),0)*_15・２人),0)*(1+_15・盲ろう)),0)+ROUND((ROUND((ROUND((ROUND((_15_同援日０．５＿２．０*_15・通訳),0)*_15・２人),0)*(1+_15・B夜間)),0)*(1+_15・盲ろう)),0)</f>
        <v>739</v>
      </c>
      <c r="AF46" s="48"/>
    </row>
    <row r="47" spans="1:32" ht="16.5" customHeight="1" x14ac:dyDescent="0.15">
      <c r="A47" s="41">
        <v>15</v>
      </c>
      <c r="B47" s="41" t="s">
        <v>27489</v>
      </c>
      <c r="C47" s="74" t="s">
        <v>27490</v>
      </c>
      <c r="D47" s="72"/>
      <c r="F47" s="57"/>
      <c r="G47" s="72"/>
      <c r="I47" s="57"/>
      <c r="J47" s="72"/>
      <c r="P47" s="299"/>
      <c r="Q47" s="45"/>
      <c r="R47" s="46"/>
      <c r="S47" s="512"/>
      <c r="V47" s="57"/>
      <c r="W47" s="253"/>
      <c r="X47" s="49"/>
      <c r="Y47" s="50"/>
      <c r="Z47" s="115"/>
      <c r="AA47" s="114" t="s">
        <v>17570</v>
      </c>
      <c r="AB47" s="49"/>
      <c r="AC47" s="50"/>
      <c r="AD47" s="115"/>
      <c r="AE47" s="208">
        <f>ROUND((ROUND((_15_同援日０．５*_15・通訳),0)*(1+_15・区３)),0)+ROUND((ROUND((ROUND((_15_同援日０．５＿２．０*_15・通訳),0)*(1+_15・B夜間)),0)*(1+_15・区３)),0)</f>
        <v>709</v>
      </c>
      <c r="AF47" s="48"/>
    </row>
    <row r="48" spans="1:32" ht="16.5" customHeight="1" x14ac:dyDescent="0.15">
      <c r="A48" s="41">
        <v>15</v>
      </c>
      <c r="B48" s="41" t="s">
        <v>27491</v>
      </c>
      <c r="C48" s="74" t="s">
        <v>27492</v>
      </c>
      <c r="D48" s="72"/>
      <c r="F48" s="57"/>
      <c r="G48" s="72"/>
      <c r="I48" s="57"/>
      <c r="J48" s="72"/>
      <c r="P48" s="299" t="s">
        <v>17556</v>
      </c>
      <c r="Q48" s="45" t="s">
        <v>398</v>
      </c>
      <c r="R48" s="46">
        <v>1</v>
      </c>
      <c r="S48" s="512"/>
      <c r="V48" s="57"/>
      <c r="W48" s="190"/>
      <c r="X48" s="37"/>
      <c r="Y48" s="38"/>
      <c r="Z48" s="79"/>
      <c r="AA48" s="72" t="s">
        <v>17572</v>
      </c>
      <c r="AD48" s="57"/>
      <c r="AE48" s="208">
        <f>ROUND((ROUND((ROUND((_15_同援日０．５*_15・通訳),0)*_15・２人),0)*(1+_15・区３)),0)+ROUND((ROUND((ROUND((ROUND((_15_同援日０．５＿２．０*_15・通訳),0)*_15・２人),0)*(1+_15・B夜間)),0)*(1+_15・区３)),0)</f>
        <v>709</v>
      </c>
      <c r="AF48" s="48"/>
    </row>
    <row r="49" spans="1:32" ht="16.5" customHeight="1" x14ac:dyDescent="0.15">
      <c r="A49" s="41">
        <v>15</v>
      </c>
      <c r="B49" s="41" t="s">
        <v>27493</v>
      </c>
      <c r="C49" s="74" t="s">
        <v>27494</v>
      </c>
      <c r="D49" s="72"/>
      <c r="F49" s="57"/>
      <c r="G49" s="72"/>
      <c r="I49" s="57"/>
      <c r="J49" s="72"/>
      <c r="P49" s="299"/>
      <c r="Q49" s="45"/>
      <c r="R49" s="46"/>
      <c r="S49" s="512"/>
      <c r="V49" s="57"/>
      <c r="W49" s="253" t="s">
        <v>17562</v>
      </c>
      <c r="X49" s="49"/>
      <c r="Y49" s="50"/>
      <c r="Z49" s="115"/>
      <c r="AA49" s="72"/>
      <c r="AB49" s="12" t="s">
        <v>398</v>
      </c>
      <c r="AC49" s="13">
        <v>0.2</v>
      </c>
      <c r="AD49" s="57" t="s">
        <v>3575</v>
      </c>
      <c r="AE49" s="208">
        <f>ROUND((ROUND((ROUND((_15_同援日０．５*_15・通訳),0)*(1+_15・盲ろう)),0)*(1+_15・区３)),0)+ROUND((ROUND((ROUND((ROUND((_15_同援日０．５＿２．０*_15・通訳),0)*(1+_15・B夜間)),0)*(1+_15・盲ろう)),0)*(1+_15・区３)),0)</f>
        <v>887</v>
      </c>
      <c r="AF49" s="48"/>
    </row>
    <row r="50" spans="1:32" ht="16.5" customHeight="1" x14ac:dyDescent="0.15">
      <c r="A50" s="41">
        <v>15</v>
      </c>
      <c r="B50" s="41" t="s">
        <v>27495</v>
      </c>
      <c r="C50" s="74" t="s">
        <v>27496</v>
      </c>
      <c r="D50" s="72"/>
      <c r="F50" s="57"/>
      <c r="G50" s="72"/>
      <c r="I50" s="57"/>
      <c r="J50" s="72"/>
      <c r="P50" s="299" t="s">
        <v>17556</v>
      </c>
      <c r="Q50" s="45" t="s">
        <v>398</v>
      </c>
      <c r="R50" s="46">
        <v>1</v>
      </c>
      <c r="S50" s="512"/>
      <c r="V50" s="57"/>
      <c r="W50" s="190" t="s">
        <v>17564</v>
      </c>
      <c r="X50" s="37" t="s">
        <v>398</v>
      </c>
      <c r="Y50" s="38">
        <v>0.25</v>
      </c>
      <c r="Z50" s="79" t="s">
        <v>3575</v>
      </c>
      <c r="AA50" s="122"/>
      <c r="AB50" s="37"/>
      <c r="AC50" s="38"/>
      <c r="AD50" s="79"/>
      <c r="AE50" s="208">
        <f>ROUND((ROUND((ROUND((ROUND((_15_同援日０．５*_15・通訳),0)*_15・２人),0)*(1+_15・盲ろう)),0)*(1+_15・区３)),0)+ROUND((ROUND((ROUND((ROUND((ROUND((_15_同援日０．５＿２．０*_15・通訳),0)*_15・２人),0)*(1+_15・B夜間)),0)*(1+_15・盲ろう)),0)*(1+_15・区３)),0)</f>
        <v>887</v>
      </c>
      <c r="AF50" s="48"/>
    </row>
    <row r="51" spans="1:32" ht="16.5" customHeight="1" x14ac:dyDescent="0.15">
      <c r="A51" s="41">
        <v>15</v>
      </c>
      <c r="B51" s="41" t="s">
        <v>27497</v>
      </c>
      <c r="C51" s="74" t="s">
        <v>27498</v>
      </c>
      <c r="D51" s="72"/>
      <c r="F51" s="57"/>
      <c r="G51" s="72"/>
      <c r="I51" s="57"/>
      <c r="J51" s="72"/>
      <c r="P51" s="299"/>
      <c r="Q51" s="45"/>
      <c r="R51" s="46"/>
      <c r="S51" s="512"/>
      <c r="V51" s="57"/>
      <c r="W51" s="253"/>
      <c r="X51" s="49"/>
      <c r="Y51" s="50"/>
      <c r="Z51" s="115"/>
      <c r="AA51" s="114" t="s">
        <v>17580</v>
      </c>
      <c r="AB51" s="49"/>
      <c r="AC51" s="50"/>
      <c r="AD51" s="115"/>
      <c r="AE51" s="208">
        <f>ROUND((ROUND((_15_同援日０．５*_15・通訳),0)*(1+_15・区４)),0)+ROUND((ROUND((ROUND((_15_同援日０．５＿２．０*_15・通訳),0)*(1+_15・B夜間)),0)*(1+_15・区４)),0)</f>
        <v>827</v>
      </c>
      <c r="AF51" s="48"/>
    </row>
    <row r="52" spans="1:32" ht="16.5" customHeight="1" x14ac:dyDescent="0.15">
      <c r="A52" s="41">
        <v>15</v>
      </c>
      <c r="B52" s="41" t="s">
        <v>27499</v>
      </c>
      <c r="C52" s="74" t="s">
        <v>27500</v>
      </c>
      <c r="D52" s="72"/>
      <c r="F52" s="57"/>
      <c r="G52" s="72"/>
      <c r="I52" s="57"/>
      <c r="J52" s="72"/>
      <c r="P52" s="299" t="s">
        <v>17556</v>
      </c>
      <c r="Q52" s="45" t="s">
        <v>398</v>
      </c>
      <c r="R52" s="46">
        <v>1</v>
      </c>
      <c r="S52" s="512"/>
      <c r="V52" s="57"/>
      <c r="W52" s="190"/>
      <c r="X52" s="37"/>
      <c r="Y52" s="38"/>
      <c r="Z52" s="79"/>
      <c r="AA52" s="72" t="s">
        <v>17572</v>
      </c>
      <c r="AD52" s="57"/>
      <c r="AE52" s="208">
        <f>ROUND((ROUND((ROUND((_15_同援日０．５*_15・通訳),0)*_15・２人),0)*(1+_15・区４)),0)+ROUND((ROUND((ROUND((ROUND((_15_同援日０．５＿２．０*_15・通訳),0)*_15・２人),0)*(1+_15・B夜間)),0)*(1+_15・区４)),0)</f>
        <v>827</v>
      </c>
      <c r="AF52" s="48"/>
    </row>
    <row r="53" spans="1:32" ht="16.5" customHeight="1" x14ac:dyDescent="0.15">
      <c r="A53" s="41">
        <v>15</v>
      </c>
      <c r="B53" s="41" t="s">
        <v>27501</v>
      </c>
      <c r="C53" s="74" t="s">
        <v>27502</v>
      </c>
      <c r="D53" s="72"/>
      <c r="F53" s="57"/>
      <c r="G53" s="72"/>
      <c r="I53" s="57"/>
      <c r="J53" s="72"/>
      <c r="P53" s="299"/>
      <c r="Q53" s="45"/>
      <c r="R53" s="46"/>
      <c r="S53" s="512"/>
      <c r="V53" s="57"/>
      <c r="W53" s="253" t="s">
        <v>17562</v>
      </c>
      <c r="X53" s="49"/>
      <c r="Y53" s="50"/>
      <c r="Z53" s="115"/>
      <c r="AA53" s="72"/>
      <c r="AB53" s="12" t="s">
        <v>398</v>
      </c>
      <c r="AC53" s="13">
        <v>0.4</v>
      </c>
      <c r="AD53" s="57" t="s">
        <v>3575</v>
      </c>
      <c r="AE53" s="208">
        <f>ROUND((ROUND((ROUND((_15_同援日０．５*_15・通訳),0)*(1+_15・盲ろう)),0)*(1+_15・区４)),0)+ROUND((ROUND((ROUND((ROUND((_15_同援日０．５＿２．０*_15・通訳),0)*(1+_15・B夜間)),0)*(1+_15・盲ろう)),0)*(1+_15・区４)),0)</f>
        <v>1035</v>
      </c>
      <c r="AF53" s="48"/>
    </row>
    <row r="54" spans="1:32" ht="16.5" customHeight="1" x14ac:dyDescent="0.15">
      <c r="A54" s="41">
        <v>15</v>
      </c>
      <c r="B54" s="41" t="s">
        <v>27503</v>
      </c>
      <c r="C54" s="74" t="s">
        <v>27504</v>
      </c>
      <c r="D54" s="72"/>
      <c r="F54" s="57"/>
      <c r="G54" s="122"/>
      <c r="H54" s="37"/>
      <c r="I54" s="79"/>
      <c r="J54" s="72"/>
      <c r="P54" s="299" t="s">
        <v>17556</v>
      </c>
      <c r="Q54" s="45" t="s">
        <v>398</v>
      </c>
      <c r="R54" s="46">
        <v>1</v>
      </c>
      <c r="S54" s="512"/>
      <c r="V54" s="57"/>
      <c r="W54" s="190" t="s">
        <v>17564</v>
      </c>
      <c r="X54" s="37" t="s">
        <v>398</v>
      </c>
      <c r="Y54" s="38">
        <v>0.25</v>
      </c>
      <c r="Z54" s="79" t="s">
        <v>3575</v>
      </c>
      <c r="AA54" s="122"/>
      <c r="AB54" s="37"/>
      <c r="AC54" s="38"/>
      <c r="AD54" s="79"/>
      <c r="AE54" s="208">
        <f>ROUND((ROUND((ROUND((ROUND((_15_同援日０．５*_15・通訳),0)*_15・２人),0)*(1+_15・盲ろう)),0)*(1+_15・区４)),0)+ROUND((ROUND((ROUND((ROUND((ROUND((_15_同援日０．５＿２．０*_15・通訳),0)*_15・２人),0)*(1+_15・B夜間)),0)*(1+_15・盲ろう)),0)*(1+_15・区４)),0)</f>
        <v>1035</v>
      </c>
      <c r="AF54" s="48"/>
    </row>
    <row r="55" spans="1:32" ht="16.5" customHeight="1" x14ac:dyDescent="0.15">
      <c r="A55" s="41">
        <v>15</v>
      </c>
      <c r="B55" s="41" t="s">
        <v>27505</v>
      </c>
      <c r="C55" s="74" t="s">
        <v>27506</v>
      </c>
      <c r="D55" s="72"/>
      <c r="F55" s="57"/>
      <c r="G55" s="114" t="s">
        <v>19653</v>
      </c>
      <c r="H55" s="49"/>
      <c r="I55" s="115"/>
      <c r="J55" s="72"/>
      <c r="P55" s="299"/>
      <c r="Q55" s="45"/>
      <c r="R55" s="46"/>
      <c r="S55" s="512"/>
      <c r="V55" s="57"/>
      <c r="W55" s="253"/>
      <c r="X55" s="49"/>
      <c r="Y55" s="50"/>
      <c r="Z55" s="115"/>
      <c r="AA55" s="114"/>
      <c r="AB55" s="49"/>
      <c r="AC55" s="50"/>
      <c r="AD55" s="115"/>
      <c r="AE55" s="208">
        <f>ROUND((_15_同援日０．５*_15・通訳),0)+ROUND((ROUND((_15_同援日０．５＿２．５*_15・通訳),0)*(1+_15・B夜間)),0)</f>
        <v>664</v>
      </c>
      <c r="AF55" s="48"/>
    </row>
    <row r="56" spans="1:32" ht="16.5" customHeight="1" x14ac:dyDescent="0.15">
      <c r="A56" s="41">
        <v>15</v>
      </c>
      <c r="B56" s="41" t="s">
        <v>27507</v>
      </c>
      <c r="C56" s="74" t="s">
        <v>27508</v>
      </c>
      <c r="D56" s="72"/>
      <c r="F56" s="57"/>
      <c r="G56" s="72" t="s">
        <v>17670</v>
      </c>
      <c r="I56" s="57"/>
      <c r="J56" s="72"/>
      <c r="P56" s="299" t="s">
        <v>17556</v>
      </c>
      <c r="Q56" s="45" t="s">
        <v>398</v>
      </c>
      <c r="R56" s="46">
        <v>1</v>
      </c>
      <c r="S56" s="512"/>
      <c r="V56" s="57"/>
      <c r="W56" s="190"/>
      <c r="X56" s="37"/>
      <c r="Y56" s="38"/>
      <c r="Z56" s="79"/>
      <c r="AA56" s="72"/>
      <c r="AD56" s="57"/>
      <c r="AE56" s="208">
        <f>ROUND((ROUND((_15_同援日０．５*_15・通訳),0)*_15・２人),0)+ROUND((ROUND((ROUND((_15_同援日０．５＿２．５*_15・通訳),0)*_15・２人),0)*(1+_15・B夜間)),0)</f>
        <v>664</v>
      </c>
      <c r="AF56" s="48"/>
    </row>
    <row r="57" spans="1:32" ht="16.5" customHeight="1" x14ac:dyDescent="0.15">
      <c r="A57" s="41">
        <v>15</v>
      </c>
      <c r="B57" s="41" t="s">
        <v>3067</v>
      </c>
      <c r="C57" s="74" t="s">
        <v>27509</v>
      </c>
      <c r="D57" s="72"/>
      <c r="F57" s="57"/>
      <c r="G57" s="72" t="s">
        <v>17672</v>
      </c>
      <c r="I57" s="57"/>
      <c r="J57" s="72"/>
      <c r="P57" s="299"/>
      <c r="Q57" s="45"/>
      <c r="R57" s="46"/>
      <c r="S57" s="512"/>
      <c r="V57" s="57"/>
      <c r="W57" s="253" t="s">
        <v>17562</v>
      </c>
      <c r="X57" s="49"/>
      <c r="Y57" s="50"/>
      <c r="Z57" s="115"/>
      <c r="AA57" s="72"/>
      <c r="AD57" s="57"/>
      <c r="AE57" s="208">
        <f>ROUND((ROUND((_15_同援日０．５*_15・通訳),0)*(1+_15・盲ろう)),0)+ROUND((ROUND((ROUND((_15_同援日０．５＿２．５*_15・通訳),0)*(1+_15・B夜間)),0)*(1+_15・盲ろう)),0)</f>
        <v>830</v>
      </c>
      <c r="AF57" s="48"/>
    </row>
    <row r="58" spans="1:32" ht="16.5" customHeight="1" x14ac:dyDescent="0.15">
      <c r="A58" s="41">
        <v>15</v>
      </c>
      <c r="B58" s="41" t="s">
        <v>3069</v>
      </c>
      <c r="C58" s="74" t="s">
        <v>27510</v>
      </c>
      <c r="D58" s="72"/>
      <c r="F58" s="57"/>
      <c r="G58" s="72"/>
      <c r="H58" s="168">
        <f>_15_同援日０．５＿２．５</f>
        <v>438</v>
      </c>
      <c r="I58" s="57" t="s">
        <v>392</v>
      </c>
      <c r="J58" s="72"/>
      <c r="P58" s="299" t="s">
        <v>17556</v>
      </c>
      <c r="Q58" s="45" t="s">
        <v>398</v>
      </c>
      <c r="R58" s="46">
        <v>1</v>
      </c>
      <c r="S58" s="512"/>
      <c r="V58" s="57"/>
      <c r="W58" s="190" t="s">
        <v>17564</v>
      </c>
      <c r="X58" s="37" t="s">
        <v>398</v>
      </c>
      <c r="Y58" s="38">
        <v>0.25</v>
      </c>
      <c r="Z58" s="79" t="s">
        <v>3575</v>
      </c>
      <c r="AA58" s="122"/>
      <c r="AB58" s="37"/>
      <c r="AC58" s="38"/>
      <c r="AD58" s="79"/>
      <c r="AE58" s="208">
        <f>ROUND((ROUND((ROUND((_15_同援日０．５*_15・通訳),0)*_15・２人),0)*(1+_15・盲ろう)),0)+ROUND((ROUND((ROUND((ROUND((_15_同援日０．５＿２．５*_15・通訳),0)*_15・２人),0)*(1+_15・B夜間)),0)*(1+_15・盲ろう)),0)</f>
        <v>830</v>
      </c>
      <c r="AF58" s="48"/>
    </row>
    <row r="59" spans="1:32" ht="16.5" customHeight="1" x14ac:dyDescent="0.15">
      <c r="A59" s="41">
        <v>15</v>
      </c>
      <c r="B59" s="41" t="s">
        <v>3071</v>
      </c>
      <c r="C59" s="74" t="s">
        <v>27511</v>
      </c>
      <c r="D59" s="72"/>
      <c r="F59" s="57"/>
      <c r="G59" s="72"/>
      <c r="I59" s="57"/>
      <c r="J59" s="72"/>
      <c r="P59" s="299"/>
      <c r="Q59" s="45"/>
      <c r="R59" s="46"/>
      <c r="S59" s="512"/>
      <c r="V59" s="57"/>
      <c r="W59" s="253"/>
      <c r="X59" s="49"/>
      <c r="Y59" s="50"/>
      <c r="Z59" s="115"/>
      <c r="AA59" s="114" t="s">
        <v>17570</v>
      </c>
      <c r="AB59" s="49"/>
      <c r="AC59" s="50"/>
      <c r="AD59" s="115"/>
      <c r="AE59" s="208">
        <f>ROUND((ROUND((_15_同援日０．５*_15・通訳),0)*(1+_15・区３)),0)+ROUND((ROUND((ROUND((_15_同援日０．５＿２．５*_15・通訳),0)*(1+_15・B夜間)),0)*(1+_15・区３)),0)</f>
        <v>797</v>
      </c>
      <c r="AF59" s="48"/>
    </row>
    <row r="60" spans="1:32" ht="16.5" customHeight="1" x14ac:dyDescent="0.15">
      <c r="A60" s="41">
        <v>15</v>
      </c>
      <c r="B60" s="41" t="s">
        <v>3073</v>
      </c>
      <c r="C60" s="74" t="s">
        <v>27512</v>
      </c>
      <c r="D60" s="72"/>
      <c r="F60" s="57"/>
      <c r="G60" s="72"/>
      <c r="I60" s="57"/>
      <c r="J60" s="72"/>
      <c r="P60" s="299" t="s">
        <v>17556</v>
      </c>
      <c r="Q60" s="45" t="s">
        <v>398</v>
      </c>
      <c r="R60" s="46">
        <v>1</v>
      </c>
      <c r="S60" s="512"/>
      <c r="V60" s="57"/>
      <c r="W60" s="190"/>
      <c r="X60" s="37"/>
      <c r="Y60" s="38"/>
      <c r="Z60" s="79"/>
      <c r="AA60" s="72" t="s">
        <v>17572</v>
      </c>
      <c r="AD60" s="57"/>
      <c r="AE60" s="208">
        <f>ROUND((ROUND((ROUND((_15_同援日０．５*_15・通訳),0)*_15・２人),0)*(1+_15・区３)),0)+ROUND((ROUND((ROUND((ROUND((_15_同援日０．５＿２．５*_15・通訳),0)*_15・２人),0)*(1+_15・B夜間)),0)*(1+_15・区３)),0)</f>
        <v>797</v>
      </c>
      <c r="AF60" s="48"/>
    </row>
    <row r="61" spans="1:32" ht="16.5" customHeight="1" x14ac:dyDescent="0.15">
      <c r="A61" s="41">
        <v>15</v>
      </c>
      <c r="B61" s="41" t="s">
        <v>27513</v>
      </c>
      <c r="C61" s="74" t="s">
        <v>27514</v>
      </c>
      <c r="D61" s="72"/>
      <c r="F61" s="57"/>
      <c r="G61" s="72"/>
      <c r="I61" s="57"/>
      <c r="J61" s="72"/>
      <c r="P61" s="299"/>
      <c r="Q61" s="45"/>
      <c r="R61" s="46"/>
      <c r="S61" s="512"/>
      <c r="V61" s="57"/>
      <c r="W61" s="253" t="s">
        <v>17562</v>
      </c>
      <c r="X61" s="49"/>
      <c r="Y61" s="50"/>
      <c r="Z61" s="115"/>
      <c r="AA61" s="72"/>
      <c r="AB61" s="12" t="s">
        <v>398</v>
      </c>
      <c r="AC61" s="13">
        <v>0.2</v>
      </c>
      <c r="AD61" s="57" t="s">
        <v>3575</v>
      </c>
      <c r="AE61" s="208">
        <f>ROUND((ROUND((ROUND((_15_同援日０．５*_15・通訳),0)*(1+_15・盲ろう)),0)*(1+_15・区３)),0)+ROUND((ROUND((ROUND((ROUND((_15_同援日０．５＿２．５*_15・通訳),0)*(1+_15・B夜間)),0)*(1+_15・盲ろう)),0)*(1+_15・区３)),0)</f>
        <v>996</v>
      </c>
      <c r="AF61" s="48"/>
    </row>
    <row r="62" spans="1:32" ht="16.5" customHeight="1" x14ac:dyDescent="0.15">
      <c r="A62" s="41">
        <v>15</v>
      </c>
      <c r="B62" s="41" t="s">
        <v>27515</v>
      </c>
      <c r="C62" s="74" t="s">
        <v>27516</v>
      </c>
      <c r="D62" s="72"/>
      <c r="F62" s="57"/>
      <c r="G62" s="72"/>
      <c r="I62" s="57"/>
      <c r="J62" s="72"/>
      <c r="P62" s="299" t="s">
        <v>17556</v>
      </c>
      <c r="Q62" s="45" t="s">
        <v>398</v>
      </c>
      <c r="R62" s="46">
        <v>1</v>
      </c>
      <c r="S62" s="512"/>
      <c r="V62" s="57"/>
      <c r="W62" s="190" t="s">
        <v>17564</v>
      </c>
      <c r="X62" s="37" t="s">
        <v>398</v>
      </c>
      <c r="Y62" s="38">
        <v>0.25</v>
      </c>
      <c r="Z62" s="79" t="s">
        <v>3575</v>
      </c>
      <c r="AA62" s="122"/>
      <c r="AB62" s="37"/>
      <c r="AC62" s="38"/>
      <c r="AD62" s="79"/>
      <c r="AE62" s="208">
        <f>ROUND((ROUND((ROUND((ROUND((_15_同援日０．５*_15・通訳),0)*_15・２人),0)*(1+_15・盲ろう)),0)*(1+_15・区３)),0)+ROUND((ROUND((ROUND((ROUND((ROUND((_15_同援日０．５＿２．５*_15・通訳),0)*_15・２人),0)*(1+_15・B夜間)),0)*(1+_15・盲ろう)),0)*(1+_15・区３)),0)</f>
        <v>996</v>
      </c>
      <c r="AF62" s="48"/>
    </row>
    <row r="63" spans="1:32" ht="16.5" customHeight="1" x14ac:dyDescent="0.15">
      <c r="A63" s="41">
        <v>15</v>
      </c>
      <c r="B63" s="41" t="s">
        <v>27517</v>
      </c>
      <c r="C63" s="74" t="s">
        <v>27518</v>
      </c>
      <c r="D63" s="72"/>
      <c r="F63" s="57"/>
      <c r="G63" s="72"/>
      <c r="I63" s="57"/>
      <c r="J63" s="72"/>
      <c r="P63" s="299"/>
      <c r="Q63" s="45"/>
      <c r="R63" s="46"/>
      <c r="S63" s="512"/>
      <c r="V63" s="57"/>
      <c r="W63" s="253"/>
      <c r="X63" s="49"/>
      <c r="Y63" s="50"/>
      <c r="Z63" s="115"/>
      <c r="AA63" s="114" t="s">
        <v>17580</v>
      </c>
      <c r="AB63" s="49"/>
      <c r="AC63" s="50"/>
      <c r="AD63" s="115"/>
      <c r="AE63" s="208">
        <f>ROUND((ROUND((_15_同援日０．５*_15・通訳),0)*(1+_15・区４)),0)+ROUND((ROUND((ROUND((_15_同援日０．５＿２．５*_15・通訳),0)*(1+_15・B夜間)),0)*(1+_15・区４)),0)</f>
        <v>929</v>
      </c>
      <c r="AF63" s="48"/>
    </row>
    <row r="64" spans="1:32" ht="16.5" customHeight="1" x14ac:dyDescent="0.15">
      <c r="A64" s="41">
        <v>15</v>
      </c>
      <c r="B64" s="41" t="s">
        <v>27519</v>
      </c>
      <c r="C64" s="74" t="s">
        <v>27520</v>
      </c>
      <c r="D64" s="72"/>
      <c r="F64" s="57"/>
      <c r="G64" s="72"/>
      <c r="I64" s="57"/>
      <c r="J64" s="72"/>
      <c r="P64" s="299" t="s">
        <v>17556</v>
      </c>
      <c r="Q64" s="45" t="s">
        <v>398</v>
      </c>
      <c r="R64" s="46">
        <v>1</v>
      </c>
      <c r="S64" s="512"/>
      <c r="V64" s="57"/>
      <c r="W64" s="190"/>
      <c r="X64" s="37"/>
      <c r="Y64" s="38"/>
      <c r="Z64" s="79"/>
      <c r="AA64" s="72" t="s">
        <v>17572</v>
      </c>
      <c r="AD64" s="57"/>
      <c r="AE64" s="208">
        <f>ROUND((ROUND((ROUND((_15_同援日０．５*_15・通訳),0)*_15・２人),0)*(1+_15・区４)),0)+ROUND((ROUND((ROUND((ROUND((_15_同援日０．５＿２．５*_15・通訳),0)*_15・２人),0)*(1+_15・B夜間)),0)*(1+_15・区４)),0)</f>
        <v>929</v>
      </c>
      <c r="AF64" s="48"/>
    </row>
    <row r="65" spans="1:32" ht="16.5" customHeight="1" x14ac:dyDescent="0.15">
      <c r="A65" s="41">
        <v>15</v>
      </c>
      <c r="B65" s="41" t="s">
        <v>27521</v>
      </c>
      <c r="C65" s="74" t="s">
        <v>27522</v>
      </c>
      <c r="D65" s="72"/>
      <c r="F65" s="57"/>
      <c r="G65" s="72"/>
      <c r="I65" s="57"/>
      <c r="J65" s="72"/>
      <c r="P65" s="299"/>
      <c r="Q65" s="45"/>
      <c r="R65" s="46"/>
      <c r="S65" s="512"/>
      <c r="V65" s="57"/>
      <c r="W65" s="253" t="s">
        <v>17562</v>
      </c>
      <c r="X65" s="49"/>
      <c r="Y65" s="50"/>
      <c r="Z65" s="115"/>
      <c r="AA65" s="72"/>
      <c r="AB65" s="12" t="s">
        <v>398</v>
      </c>
      <c r="AC65" s="13">
        <v>0.4</v>
      </c>
      <c r="AD65" s="57" t="s">
        <v>3575</v>
      </c>
      <c r="AE65" s="208">
        <f>ROUND((ROUND((ROUND((_15_同援日０．５*_15・通訳),0)*(1+_15・盲ろう)),0)*(1+_15・区４)),0)+ROUND((ROUND((ROUND((ROUND((_15_同援日０．５＿２．５*_15・通訳),0)*(1+_15・B夜間)),0)*(1+_15・盲ろう)),0)*(1+_15・区４)),0)</f>
        <v>1162</v>
      </c>
      <c r="AF65" s="48"/>
    </row>
    <row r="66" spans="1:32" ht="16.5" customHeight="1" x14ac:dyDescent="0.15">
      <c r="A66" s="41">
        <v>15</v>
      </c>
      <c r="B66" s="41" t="s">
        <v>27523</v>
      </c>
      <c r="C66" s="74" t="s">
        <v>27524</v>
      </c>
      <c r="D66" s="122"/>
      <c r="E66" s="37"/>
      <c r="F66" s="79"/>
      <c r="G66" s="122"/>
      <c r="H66" s="37"/>
      <c r="I66" s="79"/>
      <c r="J66" s="72"/>
      <c r="P66" s="299" t="s">
        <v>17556</v>
      </c>
      <c r="Q66" s="45" t="s">
        <v>398</v>
      </c>
      <c r="R66" s="46">
        <v>1</v>
      </c>
      <c r="S66" s="512"/>
      <c r="V66" s="57"/>
      <c r="W66" s="190" t="s">
        <v>17564</v>
      </c>
      <c r="X66" s="37" t="s">
        <v>398</v>
      </c>
      <c r="Y66" s="38">
        <v>0.25</v>
      </c>
      <c r="Z66" s="79" t="s">
        <v>3575</v>
      </c>
      <c r="AA66" s="122"/>
      <c r="AB66" s="37"/>
      <c r="AC66" s="38"/>
      <c r="AD66" s="79"/>
      <c r="AE66" s="208">
        <f>ROUND((ROUND((ROUND((ROUND((_15_同援日０．５*_15・通訳),0)*_15・２人),0)*(1+_15・盲ろう)),0)*(1+_15・区４)),0)+ROUND((ROUND((ROUND((ROUND((ROUND((_15_同援日０．５＿２．５*_15・通訳),0)*_15・２人),0)*(1+_15・B夜間)),0)*(1+_15・盲ろう)),0)*(1+_15・区４)),0)</f>
        <v>1162</v>
      </c>
      <c r="AF66" s="48"/>
    </row>
    <row r="67" spans="1:32" ht="16.5" customHeight="1" x14ac:dyDescent="0.15">
      <c r="A67" s="41">
        <v>15</v>
      </c>
      <c r="B67" s="41" t="s">
        <v>27525</v>
      </c>
      <c r="C67" s="74" t="s">
        <v>27526</v>
      </c>
      <c r="D67" s="114" t="s">
        <v>17587</v>
      </c>
      <c r="E67" s="49"/>
      <c r="F67" s="115"/>
      <c r="G67" s="114" t="s">
        <v>19553</v>
      </c>
      <c r="H67" s="49"/>
      <c r="I67" s="115"/>
      <c r="J67" s="72"/>
      <c r="P67" s="299"/>
      <c r="Q67" s="45"/>
      <c r="R67" s="46"/>
      <c r="S67" s="512"/>
      <c r="V67" s="57"/>
      <c r="W67" s="253"/>
      <c r="X67" s="49"/>
      <c r="Y67" s="50"/>
      <c r="Z67" s="115"/>
      <c r="AA67" s="114"/>
      <c r="AB67" s="49"/>
      <c r="AC67" s="50"/>
      <c r="AD67" s="115"/>
      <c r="AE67" s="208">
        <f>ROUND((_15_同援日１．０*_15・通訳),0)+ROUND((ROUND((_15_同援日１．０＿０．５*_15・通訳),0)*(1+_15・B夜間)),0)</f>
        <v>420</v>
      </c>
      <c r="AF67" s="48"/>
    </row>
    <row r="68" spans="1:32" ht="16.5" customHeight="1" x14ac:dyDescent="0.15">
      <c r="A68" s="41">
        <v>15</v>
      </c>
      <c r="B68" s="41" t="s">
        <v>27527</v>
      </c>
      <c r="C68" s="74" t="s">
        <v>27528</v>
      </c>
      <c r="D68" s="72" t="s">
        <v>17589</v>
      </c>
      <c r="F68" s="57"/>
      <c r="G68" s="72" t="s">
        <v>18259</v>
      </c>
      <c r="I68" s="57"/>
      <c r="J68" s="72"/>
      <c r="P68" s="299" t="s">
        <v>17556</v>
      </c>
      <c r="Q68" s="45" t="s">
        <v>398</v>
      </c>
      <c r="R68" s="46">
        <v>1</v>
      </c>
      <c r="S68" s="512"/>
      <c r="V68" s="57"/>
      <c r="W68" s="190"/>
      <c r="X68" s="37"/>
      <c r="Y68" s="38"/>
      <c r="Z68" s="79"/>
      <c r="AA68" s="72"/>
      <c r="AD68" s="57"/>
      <c r="AE68" s="208">
        <f>ROUND((ROUND((_15_同援日１．０*_15・通訳),0)*_15・２人),0)+ROUND((ROUND((ROUND((_15_同援日１．０＿０．５*_15・通訳),0)*_15・２人),0)*(1+_15・B夜間)),0)</f>
        <v>420</v>
      </c>
      <c r="AF68" s="48"/>
    </row>
    <row r="69" spans="1:32" ht="16.5" customHeight="1" x14ac:dyDescent="0.15">
      <c r="A69" s="41">
        <v>15</v>
      </c>
      <c r="B69" s="41" t="s">
        <v>27529</v>
      </c>
      <c r="C69" s="74" t="s">
        <v>27530</v>
      </c>
      <c r="D69" s="72" t="s">
        <v>17591</v>
      </c>
      <c r="F69" s="57"/>
      <c r="G69" s="72"/>
      <c r="I69" s="57"/>
      <c r="J69" s="72"/>
      <c r="P69" s="299"/>
      <c r="Q69" s="45"/>
      <c r="R69" s="46"/>
      <c r="S69" s="512"/>
      <c r="V69" s="57"/>
      <c r="W69" s="253" t="s">
        <v>17562</v>
      </c>
      <c r="X69" s="49"/>
      <c r="Y69" s="50"/>
      <c r="Z69" s="115"/>
      <c r="AA69" s="72"/>
      <c r="AD69" s="57"/>
      <c r="AE69" s="208">
        <f>ROUND((ROUND((_15_同援日１．０*_15・通訳),0)*(1+_15・盲ろう)),0)+ROUND((ROUND((ROUND((_15_同援日１．０＿０．５*_15・通訳),0)*(1+_15・B夜間)),0)*(1+_15・盲ろう)),0)</f>
        <v>526</v>
      </c>
      <c r="AF69" s="48"/>
    </row>
    <row r="70" spans="1:32" ht="16.5" customHeight="1" x14ac:dyDescent="0.15">
      <c r="A70" s="41">
        <v>15</v>
      </c>
      <c r="B70" s="41" t="s">
        <v>27531</v>
      </c>
      <c r="C70" s="74" t="s">
        <v>27532</v>
      </c>
      <c r="D70" s="72"/>
      <c r="E70" s="168">
        <f>_15_同援日１．０</f>
        <v>300</v>
      </c>
      <c r="F70" s="57" t="s">
        <v>392</v>
      </c>
      <c r="G70" s="72"/>
      <c r="H70" s="168">
        <f>_15_同援日１．０＿０．５</f>
        <v>133</v>
      </c>
      <c r="I70" s="57" t="s">
        <v>392</v>
      </c>
      <c r="J70" s="72"/>
      <c r="P70" s="299" t="s">
        <v>17556</v>
      </c>
      <c r="Q70" s="45" t="s">
        <v>398</v>
      </c>
      <c r="R70" s="46">
        <v>1</v>
      </c>
      <c r="S70" s="512"/>
      <c r="V70" s="57"/>
      <c r="W70" s="190" t="s">
        <v>17564</v>
      </c>
      <c r="X70" s="37" t="s">
        <v>398</v>
      </c>
      <c r="Y70" s="38">
        <v>0.25</v>
      </c>
      <c r="Z70" s="79" t="s">
        <v>3575</v>
      </c>
      <c r="AA70" s="122"/>
      <c r="AB70" s="37"/>
      <c r="AC70" s="38"/>
      <c r="AD70" s="79"/>
      <c r="AE70" s="208">
        <f>ROUND((ROUND((ROUND((_15_同援日１．０*_15・通訳),0)*_15・２人),0)*(1+_15・盲ろう)),0)+ROUND((ROUND((ROUND((ROUND((_15_同援日１．０＿０．５*_15・通訳),0)*_15・２人),0)*(1+_15・B夜間)),0)*(1+_15・盲ろう)),0)</f>
        <v>526</v>
      </c>
      <c r="AF70" s="48"/>
    </row>
    <row r="71" spans="1:32" ht="16.5" customHeight="1" x14ac:dyDescent="0.15">
      <c r="A71" s="41">
        <v>15</v>
      </c>
      <c r="B71" s="41" t="s">
        <v>27533</v>
      </c>
      <c r="C71" s="74" t="s">
        <v>27534</v>
      </c>
      <c r="D71" s="72"/>
      <c r="F71" s="57"/>
      <c r="G71" s="72"/>
      <c r="I71" s="57"/>
      <c r="J71" s="72"/>
      <c r="P71" s="299"/>
      <c r="Q71" s="45"/>
      <c r="R71" s="46"/>
      <c r="S71" s="512"/>
      <c r="V71" s="57"/>
      <c r="W71" s="253"/>
      <c r="X71" s="49"/>
      <c r="Y71" s="50"/>
      <c r="Z71" s="115"/>
      <c r="AA71" s="114" t="s">
        <v>17570</v>
      </c>
      <c r="AB71" s="49"/>
      <c r="AC71" s="50"/>
      <c r="AD71" s="115"/>
      <c r="AE71" s="208">
        <f>ROUND((ROUND((_15_同援日１．０*_15・通訳),0)*(1+_15・区３)),0)+ROUND((ROUND((ROUND((_15_同援日１．０＿０．５*_15・通訳),0)*(1+_15・B夜間)),0)*(1+_15・区３)),0)</f>
        <v>504</v>
      </c>
      <c r="AF71" s="48"/>
    </row>
    <row r="72" spans="1:32" ht="16.5" customHeight="1" x14ac:dyDescent="0.15">
      <c r="A72" s="41">
        <v>15</v>
      </c>
      <c r="B72" s="41" t="s">
        <v>27535</v>
      </c>
      <c r="C72" s="74" t="s">
        <v>27536</v>
      </c>
      <c r="D72" s="72"/>
      <c r="F72" s="57"/>
      <c r="G72" s="72"/>
      <c r="I72" s="57"/>
      <c r="J72" s="72"/>
      <c r="P72" s="299" t="s">
        <v>17556</v>
      </c>
      <c r="Q72" s="45" t="s">
        <v>398</v>
      </c>
      <c r="R72" s="46">
        <v>1</v>
      </c>
      <c r="S72" s="512"/>
      <c r="V72" s="57"/>
      <c r="W72" s="190"/>
      <c r="X72" s="37"/>
      <c r="Y72" s="38"/>
      <c r="Z72" s="79"/>
      <c r="AA72" s="72" t="s">
        <v>17572</v>
      </c>
      <c r="AD72" s="57"/>
      <c r="AE72" s="208">
        <f>ROUND((ROUND((ROUND((_15_同援日１．０*_15・通訳),0)*_15・２人),0)*(1+_15・区３)),0)+ROUND((ROUND((ROUND((ROUND((_15_同援日１．０＿０．５*_15・通訳),0)*_15・２人),0)*(1+_15・B夜間)),0)*(1+_15・区３)),0)</f>
        <v>504</v>
      </c>
      <c r="AF72" s="48"/>
    </row>
    <row r="73" spans="1:32" ht="16.5" customHeight="1" x14ac:dyDescent="0.15">
      <c r="A73" s="41">
        <v>15</v>
      </c>
      <c r="B73" s="41" t="s">
        <v>27537</v>
      </c>
      <c r="C73" s="74" t="s">
        <v>27538</v>
      </c>
      <c r="D73" s="72"/>
      <c r="F73" s="57"/>
      <c r="G73" s="72"/>
      <c r="I73" s="57"/>
      <c r="J73" s="72"/>
      <c r="P73" s="299"/>
      <c r="Q73" s="45"/>
      <c r="R73" s="46"/>
      <c r="S73" s="512"/>
      <c r="V73" s="57"/>
      <c r="W73" s="253" t="s">
        <v>17562</v>
      </c>
      <c r="X73" s="49"/>
      <c r="Y73" s="50"/>
      <c r="Z73" s="115"/>
      <c r="AA73" s="72"/>
      <c r="AB73" s="12" t="s">
        <v>398</v>
      </c>
      <c r="AC73" s="13">
        <v>0.2</v>
      </c>
      <c r="AD73" s="57" t="s">
        <v>3575</v>
      </c>
      <c r="AE73" s="208">
        <f>ROUND((ROUND((ROUND((_15_同援日１．０*_15・通訳),0)*(1+_15・盲ろう)),0)*(1+_15・区３)),0)+ROUND((ROUND((ROUND((ROUND((_15_同援日１．０＿０．５*_15・通訳),0)*(1+_15・B夜間)),0)*(1+_15・盲ろう)),0)*(1+_15・区３)),0)</f>
        <v>632</v>
      </c>
      <c r="AF73" s="48"/>
    </row>
    <row r="74" spans="1:32" ht="16.5" customHeight="1" x14ac:dyDescent="0.15">
      <c r="A74" s="41">
        <v>15</v>
      </c>
      <c r="B74" s="41" t="s">
        <v>27539</v>
      </c>
      <c r="C74" s="74" t="s">
        <v>27540</v>
      </c>
      <c r="D74" s="72"/>
      <c r="F74" s="57"/>
      <c r="G74" s="72"/>
      <c r="I74" s="57"/>
      <c r="J74" s="72"/>
      <c r="P74" s="299" t="s">
        <v>17556</v>
      </c>
      <c r="Q74" s="45" t="s">
        <v>398</v>
      </c>
      <c r="R74" s="46">
        <v>1</v>
      </c>
      <c r="S74" s="512"/>
      <c r="V74" s="57"/>
      <c r="W74" s="190" t="s">
        <v>17564</v>
      </c>
      <c r="X74" s="37" t="s">
        <v>398</v>
      </c>
      <c r="Y74" s="38">
        <v>0.25</v>
      </c>
      <c r="Z74" s="79" t="s">
        <v>3575</v>
      </c>
      <c r="AA74" s="122"/>
      <c r="AB74" s="37"/>
      <c r="AC74" s="38"/>
      <c r="AD74" s="79"/>
      <c r="AE74" s="208">
        <f>ROUND((ROUND((ROUND((ROUND((_15_同援日１．０*_15・通訳),0)*_15・２人),0)*(1+_15・盲ろう)),0)*(1+_15・区３)),0)+ROUND((ROUND((ROUND((ROUND((ROUND((_15_同援日１．０＿０．５*_15・通訳),0)*_15・２人),0)*(1+_15・B夜間)),0)*(1+_15・盲ろう)),0)*(1+_15・区３)),0)</f>
        <v>632</v>
      </c>
      <c r="AF74" s="48"/>
    </row>
    <row r="75" spans="1:32" ht="16.5" customHeight="1" x14ac:dyDescent="0.15">
      <c r="A75" s="41">
        <v>15</v>
      </c>
      <c r="B75" s="41" t="s">
        <v>27541</v>
      </c>
      <c r="C75" s="74" t="s">
        <v>27542</v>
      </c>
      <c r="D75" s="72"/>
      <c r="F75" s="57"/>
      <c r="G75" s="72"/>
      <c r="I75" s="57"/>
      <c r="J75" s="72"/>
      <c r="P75" s="299"/>
      <c r="Q75" s="45"/>
      <c r="R75" s="46"/>
      <c r="S75" s="512"/>
      <c r="V75" s="57"/>
      <c r="W75" s="253"/>
      <c r="X75" s="49"/>
      <c r="Y75" s="50"/>
      <c r="Z75" s="115"/>
      <c r="AA75" s="114" t="s">
        <v>17580</v>
      </c>
      <c r="AB75" s="49"/>
      <c r="AC75" s="50"/>
      <c r="AD75" s="115"/>
      <c r="AE75" s="208">
        <f>ROUND((ROUND((_15_同援日１．０*_15・通訳),0)*(1+_15・区４)),0)+ROUND((ROUND((ROUND((_15_同援日１．０＿０．５*_15・通訳),0)*(1+_15・B夜間)),0)*(1+_15・区４)),0)</f>
        <v>588</v>
      </c>
      <c r="AF75" s="48"/>
    </row>
    <row r="76" spans="1:32" ht="16.5" customHeight="1" x14ac:dyDescent="0.15">
      <c r="A76" s="41">
        <v>15</v>
      </c>
      <c r="B76" s="41" t="s">
        <v>27543</v>
      </c>
      <c r="C76" s="74" t="s">
        <v>27544</v>
      </c>
      <c r="D76" s="72"/>
      <c r="F76" s="57"/>
      <c r="G76" s="72"/>
      <c r="I76" s="57"/>
      <c r="J76" s="72"/>
      <c r="P76" s="299" t="s">
        <v>17556</v>
      </c>
      <c r="Q76" s="45" t="s">
        <v>398</v>
      </c>
      <c r="R76" s="46">
        <v>1</v>
      </c>
      <c r="S76" s="512"/>
      <c r="V76" s="57"/>
      <c r="W76" s="190"/>
      <c r="X76" s="37"/>
      <c r="Y76" s="38"/>
      <c r="Z76" s="79"/>
      <c r="AA76" s="72" t="s">
        <v>17572</v>
      </c>
      <c r="AD76" s="57"/>
      <c r="AE76" s="208">
        <f>ROUND((ROUND((ROUND((_15_同援日１．０*_15・通訳),0)*_15・２人),0)*(1+_15・区４)),0)+ROUND((ROUND((ROUND((ROUND((_15_同援日１．０＿０．５*_15・通訳),0)*_15・２人),0)*(1+_15・B夜間)),0)*(1+_15・区４)),0)</f>
        <v>588</v>
      </c>
      <c r="AF76" s="48"/>
    </row>
    <row r="77" spans="1:32" ht="16.5" customHeight="1" x14ac:dyDescent="0.15">
      <c r="A77" s="41">
        <v>15</v>
      </c>
      <c r="B77" s="41" t="s">
        <v>3079</v>
      </c>
      <c r="C77" s="74" t="s">
        <v>27545</v>
      </c>
      <c r="D77" s="72"/>
      <c r="F77" s="57"/>
      <c r="G77" s="72"/>
      <c r="I77" s="57"/>
      <c r="J77" s="72"/>
      <c r="P77" s="299"/>
      <c r="Q77" s="45"/>
      <c r="R77" s="46"/>
      <c r="S77" s="512"/>
      <c r="V77" s="57"/>
      <c r="W77" s="253" t="s">
        <v>17562</v>
      </c>
      <c r="X77" s="49"/>
      <c r="Y77" s="50"/>
      <c r="Z77" s="115"/>
      <c r="AA77" s="72"/>
      <c r="AB77" s="12" t="s">
        <v>398</v>
      </c>
      <c r="AC77" s="13">
        <v>0.4</v>
      </c>
      <c r="AD77" s="57" t="s">
        <v>3575</v>
      </c>
      <c r="AE77" s="208">
        <f>ROUND((ROUND((ROUND((_15_同援日１．０*_15・通訳),0)*(1+_15・盲ろう)),0)*(1+_15・区４)),0)+ROUND((ROUND((ROUND((ROUND((_15_同援日１．０＿０．５*_15・通訳),0)*(1+_15・B夜間)),0)*(1+_15・盲ろう)),0)*(1+_15・区４)),0)</f>
        <v>736</v>
      </c>
      <c r="AF77" s="48"/>
    </row>
    <row r="78" spans="1:32" ht="16.5" customHeight="1" x14ac:dyDescent="0.15">
      <c r="A78" s="41">
        <v>15</v>
      </c>
      <c r="B78" s="41" t="s">
        <v>3081</v>
      </c>
      <c r="C78" s="74" t="s">
        <v>27546</v>
      </c>
      <c r="D78" s="72"/>
      <c r="F78" s="57"/>
      <c r="G78" s="122"/>
      <c r="H78" s="37"/>
      <c r="I78" s="79"/>
      <c r="J78" s="72"/>
      <c r="P78" s="299" t="s">
        <v>17556</v>
      </c>
      <c r="Q78" s="45" t="s">
        <v>398</v>
      </c>
      <c r="R78" s="46">
        <v>1</v>
      </c>
      <c r="S78" s="512"/>
      <c r="V78" s="57"/>
      <c r="W78" s="190" t="s">
        <v>17564</v>
      </c>
      <c r="X78" s="37" t="s">
        <v>398</v>
      </c>
      <c r="Y78" s="38">
        <v>0.25</v>
      </c>
      <c r="Z78" s="79" t="s">
        <v>3575</v>
      </c>
      <c r="AA78" s="122"/>
      <c r="AB78" s="37"/>
      <c r="AC78" s="38"/>
      <c r="AD78" s="79"/>
      <c r="AE78" s="208">
        <f>ROUND((ROUND((ROUND((ROUND((_15_同援日１．０*_15・通訳),0)*_15・２人),0)*(1+_15・盲ろう)),0)*(1+_15・区４)),0)+ROUND((ROUND((ROUND((ROUND((ROUND((_15_同援日１．０＿０．５*_15・通訳),0)*_15・２人),0)*(1+_15・B夜間)),0)*(1+_15・盲ろう)),0)*(1+_15・区４)),0)</f>
        <v>736</v>
      </c>
      <c r="AF78" s="48"/>
    </row>
    <row r="79" spans="1:32" ht="16.5" customHeight="1" x14ac:dyDescent="0.15">
      <c r="A79" s="41">
        <v>15</v>
      </c>
      <c r="B79" s="41" t="s">
        <v>3083</v>
      </c>
      <c r="C79" s="74" t="s">
        <v>27547</v>
      </c>
      <c r="D79" s="72"/>
      <c r="F79" s="57"/>
      <c r="G79" s="114" t="s">
        <v>19578</v>
      </c>
      <c r="H79" s="49"/>
      <c r="I79" s="115"/>
      <c r="J79" s="72"/>
      <c r="P79" s="299"/>
      <c r="Q79" s="45"/>
      <c r="R79" s="46"/>
      <c r="S79" s="512"/>
      <c r="V79" s="57"/>
      <c r="W79" s="253"/>
      <c r="X79" s="49"/>
      <c r="Y79" s="50"/>
      <c r="Z79" s="115"/>
      <c r="AA79" s="114"/>
      <c r="AB79" s="49"/>
      <c r="AC79" s="50"/>
      <c r="AD79" s="115"/>
      <c r="AE79" s="208">
        <f>ROUND((_15_同援日１．０*_15・通訳),0)+ROUND((ROUND((_15_同援日１．０＿１．０*_15・通訳),0)*(1+_15・B夜間)),0)</f>
        <v>493</v>
      </c>
      <c r="AF79" s="48"/>
    </row>
    <row r="80" spans="1:32" ht="16.5" customHeight="1" x14ac:dyDescent="0.15">
      <c r="A80" s="41">
        <v>15</v>
      </c>
      <c r="B80" s="41" t="s">
        <v>3085</v>
      </c>
      <c r="C80" s="74" t="s">
        <v>27548</v>
      </c>
      <c r="D80" s="72"/>
      <c r="F80" s="57"/>
      <c r="G80" s="72" t="s">
        <v>17589</v>
      </c>
      <c r="I80" s="57"/>
      <c r="J80" s="72"/>
      <c r="P80" s="299" t="s">
        <v>17556</v>
      </c>
      <c r="Q80" s="45" t="s">
        <v>398</v>
      </c>
      <c r="R80" s="46">
        <v>1</v>
      </c>
      <c r="S80" s="512"/>
      <c r="V80" s="57"/>
      <c r="W80" s="190"/>
      <c r="X80" s="37"/>
      <c r="Y80" s="38"/>
      <c r="Z80" s="79"/>
      <c r="AA80" s="72"/>
      <c r="AD80" s="57"/>
      <c r="AE80" s="208">
        <f>ROUND((ROUND((_15_同援日１．０*_15・通訳),0)*_15・２人),0)+ROUND((ROUND((ROUND((_15_同援日１．０＿１．０*_15・通訳),0)*_15・２人),0)*(1+_15・B夜間)),0)</f>
        <v>493</v>
      </c>
      <c r="AF80" s="48"/>
    </row>
    <row r="81" spans="1:32" ht="16.5" customHeight="1" x14ac:dyDescent="0.15">
      <c r="A81" s="41">
        <v>15</v>
      </c>
      <c r="B81" s="41" t="s">
        <v>27549</v>
      </c>
      <c r="C81" s="74" t="s">
        <v>27550</v>
      </c>
      <c r="D81" s="72"/>
      <c r="F81" s="57"/>
      <c r="G81" s="72" t="s">
        <v>17591</v>
      </c>
      <c r="I81" s="57"/>
      <c r="J81" s="72"/>
      <c r="P81" s="299"/>
      <c r="Q81" s="45"/>
      <c r="R81" s="46"/>
      <c r="S81" s="512"/>
      <c r="V81" s="57"/>
      <c r="W81" s="253" t="s">
        <v>17562</v>
      </c>
      <c r="X81" s="49"/>
      <c r="Y81" s="50"/>
      <c r="Z81" s="115"/>
      <c r="AA81" s="72"/>
      <c r="AD81" s="57"/>
      <c r="AE81" s="208">
        <f>ROUND((ROUND((_15_同援日１．０*_15・通訳),0)*(1+_15・盲ろう)),0)+ROUND((ROUND((ROUND((_15_同援日１．０＿１．０*_15・通訳),0)*(1+_15・B夜間)),0)*(1+_15・盲ろう)),0)</f>
        <v>617</v>
      </c>
      <c r="AF81" s="48"/>
    </row>
    <row r="82" spans="1:32" ht="16.5" customHeight="1" x14ac:dyDescent="0.15">
      <c r="A82" s="41">
        <v>15</v>
      </c>
      <c r="B82" s="41" t="s">
        <v>27551</v>
      </c>
      <c r="C82" s="74" t="s">
        <v>27552</v>
      </c>
      <c r="D82" s="72"/>
      <c r="F82" s="57"/>
      <c r="G82" s="72"/>
      <c r="H82" s="168">
        <f>_15_同援日１．０＿１．０</f>
        <v>198</v>
      </c>
      <c r="I82" s="57" t="s">
        <v>392</v>
      </c>
      <c r="J82" s="72"/>
      <c r="P82" s="299" t="s">
        <v>17556</v>
      </c>
      <c r="Q82" s="45" t="s">
        <v>398</v>
      </c>
      <c r="R82" s="46">
        <v>1</v>
      </c>
      <c r="S82" s="512"/>
      <c r="V82" s="57"/>
      <c r="W82" s="190" t="s">
        <v>17564</v>
      </c>
      <c r="X82" s="37" t="s">
        <v>398</v>
      </c>
      <c r="Y82" s="38">
        <v>0.25</v>
      </c>
      <c r="Z82" s="79" t="s">
        <v>3575</v>
      </c>
      <c r="AA82" s="122"/>
      <c r="AB82" s="37"/>
      <c r="AC82" s="38"/>
      <c r="AD82" s="79"/>
      <c r="AE82" s="208">
        <f>ROUND((ROUND((ROUND((_15_同援日１．０*_15・通訳),0)*_15・２人),0)*(1+_15・盲ろう)),0)+ROUND((ROUND((ROUND((ROUND((_15_同援日１．０＿１．０*_15・通訳),0)*_15・２人),0)*(1+_15・B夜間)),0)*(1+_15・盲ろう)),0)</f>
        <v>617</v>
      </c>
      <c r="AF82" s="48"/>
    </row>
    <row r="83" spans="1:32" ht="16.5" customHeight="1" x14ac:dyDescent="0.15">
      <c r="A83" s="41">
        <v>15</v>
      </c>
      <c r="B83" s="41" t="s">
        <v>27553</v>
      </c>
      <c r="C83" s="74" t="s">
        <v>27554</v>
      </c>
      <c r="D83" s="72"/>
      <c r="F83" s="57"/>
      <c r="G83" s="72"/>
      <c r="I83" s="57"/>
      <c r="J83" s="72"/>
      <c r="P83" s="299"/>
      <c r="Q83" s="45"/>
      <c r="R83" s="46"/>
      <c r="S83" s="512"/>
      <c r="V83" s="57"/>
      <c r="W83" s="253"/>
      <c r="X83" s="49"/>
      <c r="Y83" s="50"/>
      <c r="Z83" s="115"/>
      <c r="AA83" s="114" t="s">
        <v>17570</v>
      </c>
      <c r="AB83" s="49"/>
      <c r="AC83" s="50"/>
      <c r="AD83" s="115"/>
      <c r="AE83" s="208">
        <f>ROUND((ROUND((_15_同援日１．０*_15・通訳),0)*(1+_15・区３)),0)+ROUND((ROUND((ROUND((_15_同援日１．０＿１．０*_15・通訳),0)*(1+_15・B夜間)),0)*(1+_15・区３)),0)</f>
        <v>592</v>
      </c>
      <c r="AF83" s="48"/>
    </row>
    <row r="84" spans="1:32" ht="16.5" customHeight="1" x14ac:dyDescent="0.15">
      <c r="A84" s="41">
        <v>15</v>
      </c>
      <c r="B84" s="41" t="s">
        <v>27555</v>
      </c>
      <c r="C84" s="74" t="s">
        <v>27556</v>
      </c>
      <c r="D84" s="72"/>
      <c r="F84" s="57"/>
      <c r="G84" s="72"/>
      <c r="I84" s="57"/>
      <c r="J84" s="72"/>
      <c r="P84" s="299" t="s">
        <v>17556</v>
      </c>
      <c r="Q84" s="45" t="s">
        <v>398</v>
      </c>
      <c r="R84" s="46">
        <v>1</v>
      </c>
      <c r="S84" s="512"/>
      <c r="V84" s="57"/>
      <c r="W84" s="190"/>
      <c r="X84" s="37"/>
      <c r="Y84" s="38"/>
      <c r="Z84" s="79"/>
      <c r="AA84" s="72" t="s">
        <v>17572</v>
      </c>
      <c r="AD84" s="57"/>
      <c r="AE84" s="208">
        <f>ROUND((ROUND((ROUND((_15_同援日１．０*_15・通訳),0)*_15・２人),0)*(1+_15・区３)),0)+ROUND((ROUND((ROUND((ROUND((_15_同援日１．０＿１．０*_15・通訳),0)*_15・２人),0)*(1+_15・B夜間)),0)*(1+_15・区３)),0)</f>
        <v>592</v>
      </c>
      <c r="AF84" s="48"/>
    </row>
    <row r="85" spans="1:32" ht="16.5" customHeight="1" x14ac:dyDescent="0.15">
      <c r="A85" s="41">
        <v>15</v>
      </c>
      <c r="B85" s="41" t="s">
        <v>27557</v>
      </c>
      <c r="C85" s="74" t="s">
        <v>27558</v>
      </c>
      <c r="D85" s="72"/>
      <c r="F85" s="57"/>
      <c r="G85" s="72"/>
      <c r="I85" s="57"/>
      <c r="J85" s="72"/>
      <c r="P85" s="299"/>
      <c r="Q85" s="45"/>
      <c r="R85" s="46"/>
      <c r="S85" s="512"/>
      <c r="V85" s="57"/>
      <c r="W85" s="253" t="s">
        <v>17562</v>
      </c>
      <c r="X85" s="49"/>
      <c r="Y85" s="50"/>
      <c r="Z85" s="115"/>
      <c r="AA85" s="72"/>
      <c r="AB85" s="12" t="s">
        <v>398</v>
      </c>
      <c r="AC85" s="13">
        <v>0.2</v>
      </c>
      <c r="AD85" s="57" t="s">
        <v>3575</v>
      </c>
      <c r="AE85" s="208">
        <f>ROUND((ROUND((ROUND((_15_同援日１．０*_15・通訳),0)*(1+_15・盲ろう)),0)*(1+_15・区３)),0)+ROUND((ROUND((ROUND((ROUND((_15_同援日１．０＿１．０*_15・通訳),0)*(1+_15・B夜間)),0)*(1+_15・盲ろう)),0)*(1+_15・区３)),0)</f>
        <v>741</v>
      </c>
      <c r="AF85" s="48"/>
    </row>
    <row r="86" spans="1:32" ht="16.5" customHeight="1" x14ac:dyDescent="0.15">
      <c r="A86" s="41">
        <v>15</v>
      </c>
      <c r="B86" s="41" t="s">
        <v>27559</v>
      </c>
      <c r="C86" s="74" t="s">
        <v>27560</v>
      </c>
      <c r="D86" s="72"/>
      <c r="F86" s="57"/>
      <c r="G86" s="72"/>
      <c r="I86" s="57"/>
      <c r="J86" s="72"/>
      <c r="P86" s="299" t="s">
        <v>17556</v>
      </c>
      <c r="Q86" s="45" t="s">
        <v>398</v>
      </c>
      <c r="R86" s="46">
        <v>1</v>
      </c>
      <c r="S86" s="512"/>
      <c r="V86" s="57"/>
      <c r="W86" s="190" t="s">
        <v>17564</v>
      </c>
      <c r="X86" s="37" t="s">
        <v>398</v>
      </c>
      <c r="Y86" s="38">
        <v>0.25</v>
      </c>
      <c r="Z86" s="79" t="s">
        <v>3575</v>
      </c>
      <c r="AA86" s="122"/>
      <c r="AB86" s="37"/>
      <c r="AC86" s="38"/>
      <c r="AD86" s="79"/>
      <c r="AE86" s="208">
        <f>ROUND((ROUND((ROUND((ROUND((_15_同援日１．０*_15・通訳),0)*_15・２人),0)*(1+_15・盲ろう)),0)*(1+_15・区３)),0)+ROUND((ROUND((ROUND((ROUND((ROUND((_15_同援日１．０＿１．０*_15・通訳),0)*_15・２人),0)*(1+_15・B夜間)),0)*(1+_15・盲ろう)),0)*(1+_15・区３)),0)</f>
        <v>741</v>
      </c>
      <c r="AF86" s="48"/>
    </row>
    <row r="87" spans="1:32" ht="16.5" customHeight="1" x14ac:dyDescent="0.15">
      <c r="A87" s="41">
        <v>15</v>
      </c>
      <c r="B87" s="41" t="s">
        <v>27561</v>
      </c>
      <c r="C87" s="74" t="s">
        <v>27562</v>
      </c>
      <c r="D87" s="72"/>
      <c r="F87" s="57"/>
      <c r="G87" s="72"/>
      <c r="I87" s="57"/>
      <c r="J87" s="72"/>
      <c r="P87" s="299"/>
      <c r="Q87" s="45"/>
      <c r="R87" s="46"/>
      <c r="S87" s="512"/>
      <c r="V87" s="57"/>
      <c r="W87" s="253"/>
      <c r="X87" s="49"/>
      <c r="Y87" s="50"/>
      <c r="Z87" s="115"/>
      <c r="AA87" s="114" t="s">
        <v>17580</v>
      </c>
      <c r="AB87" s="49"/>
      <c r="AC87" s="50"/>
      <c r="AD87" s="115"/>
      <c r="AE87" s="208">
        <f>ROUND((ROUND((_15_同援日１．０*_15・通訳),0)*(1+_15・区４)),0)+ROUND((ROUND((ROUND((_15_同援日１．０＿１．０*_15・通訳),0)*(1+_15・B夜間)),0)*(1+_15・区４)),0)</f>
        <v>690</v>
      </c>
      <c r="AF87" s="48"/>
    </row>
    <row r="88" spans="1:32" ht="16.5" customHeight="1" x14ac:dyDescent="0.15">
      <c r="A88" s="41">
        <v>15</v>
      </c>
      <c r="B88" s="41" t="s">
        <v>27563</v>
      </c>
      <c r="C88" s="74" t="s">
        <v>27564</v>
      </c>
      <c r="D88" s="72"/>
      <c r="F88" s="57"/>
      <c r="G88" s="72"/>
      <c r="I88" s="57"/>
      <c r="J88" s="72"/>
      <c r="P88" s="299" t="s">
        <v>17556</v>
      </c>
      <c r="Q88" s="45" t="s">
        <v>398</v>
      </c>
      <c r="R88" s="46">
        <v>1</v>
      </c>
      <c r="S88" s="512"/>
      <c r="V88" s="57"/>
      <c r="W88" s="190"/>
      <c r="X88" s="37"/>
      <c r="Y88" s="38"/>
      <c r="Z88" s="79"/>
      <c r="AA88" s="72" t="s">
        <v>17572</v>
      </c>
      <c r="AD88" s="57"/>
      <c r="AE88" s="208">
        <f>ROUND((ROUND((ROUND((_15_同援日１．０*_15・通訳),0)*_15・２人),0)*(1+_15・区４)),0)+ROUND((ROUND((ROUND((ROUND((_15_同援日１．０＿１．０*_15・通訳),0)*_15・２人),0)*(1+_15・B夜間)),0)*(1+_15・区４)),0)</f>
        <v>690</v>
      </c>
      <c r="AF88" s="48"/>
    </row>
    <row r="89" spans="1:32" ht="16.5" customHeight="1" x14ac:dyDescent="0.15">
      <c r="A89" s="41">
        <v>15</v>
      </c>
      <c r="B89" s="41" t="s">
        <v>27565</v>
      </c>
      <c r="C89" s="74" t="s">
        <v>27566</v>
      </c>
      <c r="D89" s="72"/>
      <c r="F89" s="57"/>
      <c r="G89" s="72"/>
      <c r="I89" s="57"/>
      <c r="J89" s="72"/>
      <c r="P89" s="299"/>
      <c r="Q89" s="45"/>
      <c r="R89" s="46"/>
      <c r="S89" s="512"/>
      <c r="V89" s="57"/>
      <c r="W89" s="253" t="s">
        <v>17562</v>
      </c>
      <c r="X89" s="49"/>
      <c r="Y89" s="50"/>
      <c r="Z89" s="115"/>
      <c r="AA89" s="72"/>
      <c r="AB89" s="12" t="s">
        <v>398</v>
      </c>
      <c r="AC89" s="13">
        <v>0.4</v>
      </c>
      <c r="AD89" s="57" t="s">
        <v>3575</v>
      </c>
      <c r="AE89" s="208">
        <f>ROUND((ROUND((ROUND((_15_同援日１．０*_15・通訳),0)*(1+_15・盲ろう)),0)*(1+_15・区４)),0)+ROUND((ROUND((ROUND((ROUND((_15_同援日１．０＿１．０*_15・通訳),0)*(1+_15・B夜間)),0)*(1+_15・盲ろう)),0)*(1+_15・区４)),0)</f>
        <v>864</v>
      </c>
      <c r="AF89" s="48"/>
    </row>
    <row r="90" spans="1:32" ht="16.5" customHeight="1" x14ac:dyDescent="0.15">
      <c r="A90" s="41">
        <v>15</v>
      </c>
      <c r="B90" s="41" t="s">
        <v>27567</v>
      </c>
      <c r="C90" s="74" t="s">
        <v>27568</v>
      </c>
      <c r="D90" s="72"/>
      <c r="F90" s="57"/>
      <c r="G90" s="122"/>
      <c r="H90" s="37"/>
      <c r="I90" s="79"/>
      <c r="J90" s="72"/>
      <c r="P90" s="299" t="s">
        <v>17556</v>
      </c>
      <c r="Q90" s="45" t="s">
        <v>398</v>
      </c>
      <c r="R90" s="46">
        <v>1</v>
      </c>
      <c r="S90" s="512"/>
      <c r="V90" s="57"/>
      <c r="W90" s="190" t="s">
        <v>17564</v>
      </c>
      <c r="X90" s="37" t="s">
        <v>398</v>
      </c>
      <c r="Y90" s="38">
        <v>0.25</v>
      </c>
      <c r="Z90" s="79" t="s">
        <v>3575</v>
      </c>
      <c r="AA90" s="122"/>
      <c r="AB90" s="37"/>
      <c r="AC90" s="38"/>
      <c r="AD90" s="79"/>
      <c r="AE90" s="208">
        <f>ROUND((ROUND((ROUND((ROUND((_15_同援日１．０*_15・通訳),0)*_15・２人),0)*(1+_15・盲ろう)),0)*(1+_15・区４)),0)+ROUND((ROUND((ROUND((ROUND((ROUND((_15_同援日１．０＿１．０*_15・通訳),0)*_15・２人),0)*(1+_15・B夜間)),0)*(1+_15・盲ろう)),0)*(1+_15・区４)),0)</f>
        <v>864</v>
      </c>
      <c r="AF90" s="48"/>
    </row>
    <row r="91" spans="1:32" ht="16.5" customHeight="1" x14ac:dyDescent="0.15">
      <c r="A91" s="41">
        <v>15</v>
      </c>
      <c r="B91" s="41" t="s">
        <v>27569</v>
      </c>
      <c r="C91" s="74" t="s">
        <v>27570</v>
      </c>
      <c r="D91" s="72"/>
      <c r="F91" s="57"/>
      <c r="G91" s="114" t="s">
        <v>19603</v>
      </c>
      <c r="H91" s="49"/>
      <c r="I91" s="115"/>
      <c r="J91" s="72"/>
      <c r="P91" s="299"/>
      <c r="Q91" s="45"/>
      <c r="R91" s="46"/>
      <c r="S91" s="512"/>
      <c r="V91" s="57"/>
      <c r="W91" s="253"/>
      <c r="X91" s="49"/>
      <c r="Y91" s="50"/>
      <c r="Z91" s="115"/>
      <c r="AA91" s="114"/>
      <c r="AB91" s="49"/>
      <c r="AC91" s="50"/>
      <c r="AD91" s="115"/>
      <c r="AE91" s="208">
        <f>ROUND((_15_同援日１．０*_15・通訳),0)+ROUND((ROUND((_15_同援日１．０＿１．５*_15・通訳),0)*(1+_15・B夜間)),0)</f>
        <v>566</v>
      </c>
      <c r="AF91" s="48"/>
    </row>
    <row r="92" spans="1:32" ht="16.5" customHeight="1" x14ac:dyDescent="0.15">
      <c r="A92" s="41">
        <v>15</v>
      </c>
      <c r="B92" s="41" t="s">
        <v>27571</v>
      </c>
      <c r="C92" s="74" t="s">
        <v>27572</v>
      </c>
      <c r="D92" s="72"/>
      <c r="F92" s="57"/>
      <c r="G92" s="72" t="s">
        <v>17616</v>
      </c>
      <c r="I92" s="57"/>
      <c r="J92" s="72"/>
      <c r="P92" s="299" t="s">
        <v>17556</v>
      </c>
      <c r="Q92" s="45" t="s">
        <v>398</v>
      </c>
      <c r="R92" s="46">
        <v>1</v>
      </c>
      <c r="S92" s="512"/>
      <c r="V92" s="57"/>
      <c r="W92" s="190"/>
      <c r="X92" s="37"/>
      <c r="Y92" s="38"/>
      <c r="Z92" s="79"/>
      <c r="AA92" s="72"/>
      <c r="AD92" s="57"/>
      <c r="AE92" s="208">
        <f>ROUND((ROUND((_15_同援日１．０*_15・通訳),0)*_15・２人),0)+ROUND((ROUND((ROUND((_15_同援日１．０＿１．５*_15・通訳),0)*_15・２人),0)*(1+_15・B夜間)),0)</f>
        <v>566</v>
      </c>
      <c r="AF92" s="48"/>
    </row>
    <row r="93" spans="1:32" ht="16.5" customHeight="1" x14ac:dyDescent="0.15">
      <c r="A93" s="41">
        <v>15</v>
      </c>
      <c r="B93" s="41" t="s">
        <v>27573</v>
      </c>
      <c r="C93" s="74" t="s">
        <v>27574</v>
      </c>
      <c r="D93" s="72"/>
      <c r="F93" s="57"/>
      <c r="G93" s="72" t="s">
        <v>18183</v>
      </c>
      <c r="I93" s="57"/>
      <c r="J93" s="72"/>
      <c r="P93" s="299"/>
      <c r="Q93" s="45"/>
      <c r="R93" s="46"/>
      <c r="S93" s="512"/>
      <c r="V93" s="57"/>
      <c r="W93" s="253" t="s">
        <v>17562</v>
      </c>
      <c r="X93" s="49"/>
      <c r="Y93" s="50"/>
      <c r="Z93" s="115"/>
      <c r="AA93" s="72"/>
      <c r="AD93" s="57"/>
      <c r="AE93" s="208">
        <f>ROUND((ROUND((_15_同援日１．０*_15・通訳),0)*(1+_15・盲ろう)),0)+ROUND((ROUND((ROUND((_15_同援日１．０＿１．５*_15・通訳),0)*(1+_15・B夜間)),0)*(1+_15・盲ろう)),0)</f>
        <v>708</v>
      </c>
      <c r="AF93" s="48"/>
    </row>
    <row r="94" spans="1:32" ht="16.5" customHeight="1" x14ac:dyDescent="0.15">
      <c r="A94" s="41">
        <v>15</v>
      </c>
      <c r="B94" s="41" t="s">
        <v>27575</v>
      </c>
      <c r="C94" s="74" t="s">
        <v>27576</v>
      </c>
      <c r="D94" s="72"/>
      <c r="F94" s="57"/>
      <c r="G94" s="72"/>
      <c r="H94" s="168">
        <f>_15_同援日１．０＿１．５</f>
        <v>263</v>
      </c>
      <c r="I94" s="57" t="s">
        <v>392</v>
      </c>
      <c r="J94" s="72"/>
      <c r="P94" s="299" t="s">
        <v>17556</v>
      </c>
      <c r="Q94" s="45" t="s">
        <v>398</v>
      </c>
      <c r="R94" s="46">
        <v>1</v>
      </c>
      <c r="S94" s="512"/>
      <c r="V94" s="57"/>
      <c r="W94" s="190" t="s">
        <v>17564</v>
      </c>
      <c r="X94" s="37" t="s">
        <v>398</v>
      </c>
      <c r="Y94" s="38">
        <v>0.25</v>
      </c>
      <c r="Z94" s="79" t="s">
        <v>3575</v>
      </c>
      <c r="AA94" s="122"/>
      <c r="AB94" s="37"/>
      <c r="AC94" s="38"/>
      <c r="AD94" s="79"/>
      <c r="AE94" s="208">
        <f>ROUND((ROUND((ROUND((_15_同援日１．０*_15・通訳),0)*_15・２人),0)*(1+_15・盲ろう)),0)+ROUND((ROUND((ROUND((ROUND((_15_同援日１．０＿１．５*_15・通訳),0)*_15・２人),0)*(1+_15・B夜間)),0)*(1+_15・盲ろう)),0)</f>
        <v>708</v>
      </c>
      <c r="AF94" s="48"/>
    </row>
    <row r="95" spans="1:32" ht="16.5" customHeight="1" x14ac:dyDescent="0.15">
      <c r="A95" s="41">
        <v>15</v>
      </c>
      <c r="B95" s="41" t="s">
        <v>27577</v>
      </c>
      <c r="C95" s="74" t="s">
        <v>27578</v>
      </c>
      <c r="D95" s="72"/>
      <c r="F95" s="57"/>
      <c r="G95" s="72"/>
      <c r="I95" s="57"/>
      <c r="J95" s="72"/>
      <c r="P95" s="299"/>
      <c r="Q95" s="45"/>
      <c r="R95" s="46"/>
      <c r="S95" s="512"/>
      <c r="V95" s="57"/>
      <c r="W95" s="253"/>
      <c r="X95" s="49"/>
      <c r="Y95" s="50"/>
      <c r="Z95" s="115"/>
      <c r="AA95" s="114" t="s">
        <v>17570</v>
      </c>
      <c r="AB95" s="49"/>
      <c r="AC95" s="50"/>
      <c r="AD95" s="115"/>
      <c r="AE95" s="208">
        <f>ROUND((ROUND((_15_同援日１．０*_15・通訳),0)*(1+_15・区３)),0)+ROUND((ROUND((ROUND((_15_同援日１．０＿１．５*_15・通訳),0)*(1+_15・B夜間)),0)*(1+_15・区３)),0)</f>
        <v>679</v>
      </c>
      <c r="AF95" s="48"/>
    </row>
    <row r="96" spans="1:32" ht="16.5" customHeight="1" x14ac:dyDescent="0.15">
      <c r="A96" s="41">
        <v>15</v>
      </c>
      <c r="B96" s="41" t="s">
        <v>27579</v>
      </c>
      <c r="C96" s="74" t="s">
        <v>27580</v>
      </c>
      <c r="D96" s="72"/>
      <c r="F96" s="57"/>
      <c r="G96" s="72"/>
      <c r="I96" s="57"/>
      <c r="J96" s="72"/>
      <c r="P96" s="299" t="s">
        <v>17556</v>
      </c>
      <c r="Q96" s="45" t="s">
        <v>398</v>
      </c>
      <c r="R96" s="46">
        <v>1</v>
      </c>
      <c r="S96" s="512"/>
      <c r="V96" s="57"/>
      <c r="W96" s="190"/>
      <c r="X96" s="37"/>
      <c r="Y96" s="38"/>
      <c r="Z96" s="79"/>
      <c r="AA96" s="72" t="s">
        <v>17572</v>
      </c>
      <c r="AD96" s="57"/>
      <c r="AE96" s="208">
        <f>ROUND((ROUND((ROUND((_15_同援日１．０*_15・通訳),0)*_15・２人),0)*(1+_15・区３)),0)+ROUND((ROUND((ROUND((ROUND((_15_同援日１．０＿１．５*_15・通訳),0)*_15・２人),0)*(1+_15・B夜間)),0)*(1+_15・区３)),0)</f>
        <v>679</v>
      </c>
      <c r="AF96" s="48"/>
    </row>
    <row r="97" spans="1:32" ht="16.5" customHeight="1" x14ac:dyDescent="0.15">
      <c r="A97" s="41">
        <v>15</v>
      </c>
      <c r="B97" s="41" t="s">
        <v>3091</v>
      </c>
      <c r="C97" s="74" t="s">
        <v>27581</v>
      </c>
      <c r="D97" s="72"/>
      <c r="F97" s="57"/>
      <c r="G97" s="72"/>
      <c r="I97" s="57"/>
      <c r="J97" s="72"/>
      <c r="P97" s="299"/>
      <c r="Q97" s="45"/>
      <c r="R97" s="46"/>
      <c r="S97" s="512"/>
      <c r="V97" s="57"/>
      <c r="W97" s="253" t="s">
        <v>17562</v>
      </c>
      <c r="X97" s="49"/>
      <c r="Y97" s="50"/>
      <c r="Z97" s="115"/>
      <c r="AA97" s="72"/>
      <c r="AB97" s="12" t="s">
        <v>398</v>
      </c>
      <c r="AC97" s="13">
        <v>0.2</v>
      </c>
      <c r="AD97" s="57" t="s">
        <v>3575</v>
      </c>
      <c r="AE97" s="208">
        <f>ROUND((ROUND((ROUND((_15_同援日１．０*_15・通訳),0)*(1+_15・盲ろう)),0)*(1+_15・区３)),0)+ROUND((ROUND((ROUND((ROUND((_15_同援日１．０＿１．５*_15・通訳),0)*(1+_15・B夜間)),0)*(1+_15・盲ろう)),0)*(1+_15・区３)),0)</f>
        <v>850</v>
      </c>
      <c r="AF97" s="48"/>
    </row>
    <row r="98" spans="1:32" ht="16.5" customHeight="1" x14ac:dyDescent="0.15">
      <c r="A98" s="41">
        <v>15</v>
      </c>
      <c r="B98" s="41" t="s">
        <v>3093</v>
      </c>
      <c r="C98" s="74" t="s">
        <v>27582</v>
      </c>
      <c r="D98" s="72"/>
      <c r="F98" s="57"/>
      <c r="G98" s="72"/>
      <c r="I98" s="57"/>
      <c r="J98" s="72"/>
      <c r="P98" s="299" t="s">
        <v>17556</v>
      </c>
      <c r="Q98" s="45" t="s">
        <v>398</v>
      </c>
      <c r="R98" s="46">
        <v>1</v>
      </c>
      <c r="S98" s="512"/>
      <c r="V98" s="57"/>
      <c r="W98" s="190" t="s">
        <v>17564</v>
      </c>
      <c r="X98" s="37" t="s">
        <v>398</v>
      </c>
      <c r="Y98" s="38">
        <v>0.25</v>
      </c>
      <c r="Z98" s="79" t="s">
        <v>3575</v>
      </c>
      <c r="AA98" s="122"/>
      <c r="AB98" s="37"/>
      <c r="AC98" s="38"/>
      <c r="AD98" s="79"/>
      <c r="AE98" s="208">
        <f>ROUND((ROUND((ROUND((ROUND((_15_同援日１．０*_15・通訳),0)*_15・２人),0)*(1+_15・盲ろう)),0)*(1+_15・区３)),0)+ROUND((ROUND((ROUND((ROUND((ROUND((_15_同援日１．０＿１．５*_15・通訳),0)*_15・２人),0)*(1+_15・B夜間)),0)*(1+_15・盲ろう)),0)*(1+_15・区３)),0)</f>
        <v>850</v>
      </c>
      <c r="AF98" s="48"/>
    </row>
    <row r="99" spans="1:32" ht="16.5" customHeight="1" x14ac:dyDescent="0.15">
      <c r="A99" s="41">
        <v>15</v>
      </c>
      <c r="B99" s="41" t="s">
        <v>3095</v>
      </c>
      <c r="C99" s="74" t="s">
        <v>27583</v>
      </c>
      <c r="D99" s="72"/>
      <c r="F99" s="57"/>
      <c r="G99" s="72"/>
      <c r="I99" s="57"/>
      <c r="J99" s="72"/>
      <c r="P99" s="299"/>
      <c r="Q99" s="45"/>
      <c r="R99" s="46"/>
      <c r="S99" s="512"/>
      <c r="V99" s="57"/>
      <c r="W99" s="253"/>
      <c r="X99" s="49"/>
      <c r="Y99" s="50"/>
      <c r="Z99" s="115"/>
      <c r="AA99" s="114" t="s">
        <v>17580</v>
      </c>
      <c r="AB99" s="49"/>
      <c r="AC99" s="50"/>
      <c r="AD99" s="115"/>
      <c r="AE99" s="208">
        <f>ROUND((ROUND((_15_同援日１．０*_15・通訳),0)*(1+_15・区４)),0)+ROUND((ROUND((ROUND((_15_同援日１．０＿１．５*_15・通訳),0)*(1+_15・B夜間)),0)*(1+_15・区４)),0)</f>
        <v>792</v>
      </c>
      <c r="AF99" s="48"/>
    </row>
    <row r="100" spans="1:32" ht="16.5" customHeight="1" x14ac:dyDescent="0.15">
      <c r="A100" s="41">
        <v>15</v>
      </c>
      <c r="B100" s="41" t="s">
        <v>3097</v>
      </c>
      <c r="C100" s="74" t="s">
        <v>27584</v>
      </c>
      <c r="D100" s="72"/>
      <c r="F100" s="57"/>
      <c r="G100" s="72"/>
      <c r="I100" s="57"/>
      <c r="J100" s="72"/>
      <c r="P100" s="299" t="s">
        <v>17556</v>
      </c>
      <c r="Q100" s="45" t="s">
        <v>398</v>
      </c>
      <c r="R100" s="46">
        <v>1</v>
      </c>
      <c r="S100" s="512"/>
      <c r="V100" s="57"/>
      <c r="W100" s="190"/>
      <c r="X100" s="37"/>
      <c r="Y100" s="38"/>
      <c r="Z100" s="79"/>
      <c r="AA100" s="72" t="s">
        <v>17572</v>
      </c>
      <c r="AD100" s="57"/>
      <c r="AE100" s="208">
        <f>ROUND((ROUND((ROUND((_15_同援日１．０*_15・通訳),0)*_15・２人),0)*(1+_15・区４)),0)+ROUND((ROUND((ROUND((ROUND((_15_同援日１．０＿１．５*_15・通訳),0)*_15・２人),0)*(1+_15・B夜間)),0)*(1+_15・区４)),0)</f>
        <v>792</v>
      </c>
      <c r="AF100" s="48"/>
    </row>
    <row r="101" spans="1:32" ht="16.5" customHeight="1" x14ac:dyDescent="0.15">
      <c r="A101" s="41">
        <v>15</v>
      </c>
      <c r="B101" s="41" t="s">
        <v>27585</v>
      </c>
      <c r="C101" s="74" t="s">
        <v>27586</v>
      </c>
      <c r="D101" s="72"/>
      <c r="F101" s="57"/>
      <c r="G101" s="72"/>
      <c r="I101" s="57"/>
      <c r="J101" s="72"/>
      <c r="P101" s="299"/>
      <c r="Q101" s="45"/>
      <c r="R101" s="46"/>
      <c r="S101" s="512"/>
      <c r="V101" s="57"/>
      <c r="W101" s="253" t="s">
        <v>17562</v>
      </c>
      <c r="X101" s="49"/>
      <c r="Y101" s="50"/>
      <c r="Z101" s="115"/>
      <c r="AA101" s="72"/>
      <c r="AB101" s="12" t="s">
        <v>398</v>
      </c>
      <c r="AC101" s="13">
        <v>0.4</v>
      </c>
      <c r="AD101" s="57" t="s">
        <v>3575</v>
      </c>
      <c r="AE101" s="208">
        <f>ROUND((ROUND((ROUND((_15_同援日１．０*_15・通訳),0)*(1+_15・盲ろう)),0)*(1+_15・区４)),0)+ROUND((ROUND((ROUND((ROUND((_15_同援日１．０＿１．５*_15・通訳),0)*(1+_15・B夜間)),0)*(1+_15・盲ろう)),0)*(1+_15・区４)),0)</f>
        <v>991</v>
      </c>
      <c r="AF101" s="48"/>
    </row>
    <row r="102" spans="1:32" ht="16.5" customHeight="1" x14ac:dyDescent="0.15">
      <c r="A102" s="41">
        <v>15</v>
      </c>
      <c r="B102" s="41" t="s">
        <v>27587</v>
      </c>
      <c r="C102" s="74" t="s">
        <v>27588</v>
      </c>
      <c r="D102" s="72"/>
      <c r="F102" s="57"/>
      <c r="G102" s="122"/>
      <c r="H102" s="37"/>
      <c r="I102" s="79"/>
      <c r="J102" s="72"/>
      <c r="P102" s="299" t="s">
        <v>17556</v>
      </c>
      <c r="Q102" s="45" t="s">
        <v>398</v>
      </c>
      <c r="R102" s="46">
        <v>1</v>
      </c>
      <c r="S102" s="512"/>
      <c r="V102" s="57"/>
      <c r="W102" s="190" t="s">
        <v>17564</v>
      </c>
      <c r="X102" s="37" t="s">
        <v>398</v>
      </c>
      <c r="Y102" s="38">
        <v>0.25</v>
      </c>
      <c r="Z102" s="79" t="s">
        <v>3575</v>
      </c>
      <c r="AA102" s="122"/>
      <c r="AB102" s="37"/>
      <c r="AC102" s="38"/>
      <c r="AD102" s="79"/>
      <c r="AE102" s="208">
        <f>ROUND((ROUND((ROUND((ROUND((_15_同援日１．０*_15・通訳),0)*_15・２人),0)*(1+_15・盲ろう)),0)*(1+_15・区４)),0)+ROUND((ROUND((ROUND((ROUND((ROUND((_15_同援日１．０＿１．５*_15・通訳),0)*_15・２人),0)*(1+_15・B夜間)),0)*(1+_15・盲ろう)),0)*(1+_15・区４)),0)</f>
        <v>991</v>
      </c>
      <c r="AF102" s="48"/>
    </row>
    <row r="103" spans="1:32" ht="16.5" customHeight="1" x14ac:dyDescent="0.15">
      <c r="A103" s="41">
        <v>15</v>
      </c>
      <c r="B103" s="41" t="s">
        <v>27589</v>
      </c>
      <c r="C103" s="74" t="s">
        <v>27590</v>
      </c>
      <c r="D103" s="72"/>
      <c r="F103" s="57"/>
      <c r="G103" s="114" t="s">
        <v>19628</v>
      </c>
      <c r="H103" s="49"/>
      <c r="I103" s="115"/>
      <c r="J103" s="72"/>
      <c r="P103" s="299"/>
      <c r="Q103" s="45"/>
      <c r="R103" s="46"/>
      <c r="S103" s="512"/>
      <c r="V103" s="57"/>
      <c r="W103" s="253"/>
      <c r="X103" s="49"/>
      <c r="Y103" s="50"/>
      <c r="Z103" s="115"/>
      <c r="AA103" s="114"/>
      <c r="AB103" s="49"/>
      <c r="AC103" s="50"/>
      <c r="AD103" s="115"/>
      <c r="AE103" s="208">
        <f>ROUND((_15_同援日１．０*_15・通訳),0)+ROUND((ROUND((_15_同援日１．０＿２．０*_15・通訳),0)*(1+_15・B夜間)),0)</f>
        <v>639</v>
      </c>
      <c r="AF103" s="48"/>
    </row>
    <row r="104" spans="1:32" ht="16.5" customHeight="1" x14ac:dyDescent="0.15">
      <c r="A104" s="41">
        <v>15</v>
      </c>
      <c r="B104" s="41" t="s">
        <v>27591</v>
      </c>
      <c r="C104" s="74" t="s">
        <v>27592</v>
      </c>
      <c r="D104" s="72"/>
      <c r="F104" s="57"/>
      <c r="G104" s="72" t="s">
        <v>17643</v>
      </c>
      <c r="I104" s="57"/>
      <c r="J104" s="72"/>
      <c r="P104" s="299" t="s">
        <v>17556</v>
      </c>
      <c r="Q104" s="45" t="s">
        <v>398</v>
      </c>
      <c r="R104" s="46">
        <v>1</v>
      </c>
      <c r="S104" s="512"/>
      <c r="V104" s="57"/>
      <c r="W104" s="190"/>
      <c r="X104" s="37"/>
      <c r="Y104" s="38"/>
      <c r="Z104" s="79"/>
      <c r="AA104" s="72"/>
      <c r="AD104" s="57"/>
      <c r="AE104" s="208">
        <f>ROUND((ROUND((_15_同援日１．０*_15・通訳),0)*_15・２人),0)+ROUND((ROUND((ROUND((_15_同援日１．０＿２．０*_15・通訳),0)*_15・２人),0)*(1+_15・B夜間)),0)</f>
        <v>639</v>
      </c>
      <c r="AF104" s="48"/>
    </row>
    <row r="105" spans="1:32" ht="16.5" customHeight="1" x14ac:dyDescent="0.15">
      <c r="A105" s="41">
        <v>15</v>
      </c>
      <c r="B105" s="41" t="s">
        <v>27593</v>
      </c>
      <c r="C105" s="74" t="s">
        <v>27594</v>
      </c>
      <c r="D105" s="72"/>
      <c r="F105" s="57"/>
      <c r="G105" s="72" t="s">
        <v>17645</v>
      </c>
      <c r="I105" s="57"/>
      <c r="J105" s="72"/>
      <c r="P105" s="299"/>
      <c r="Q105" s="45"/>
      <c r="R105" s="46"/>
      <c r="S105" s="512"/>
      <c r="V105" s="57"/>
      <c r="W105" s="253" t="s">
        <v>17562</v>
      </c>
      <c r="X105" s="49"/>
      <c r="Y105" s="50"/>
      <c r="Z105" s="115"/>
      <c r="AA105" s="72"/>
      <c r="AD105" s="57"/>
      <c r="AE105" s="208">
        <f>ROUND((ROUND((_15_同援日１．０*_15・通訳),0)*(1+_15・盲ろう)),0)+ROUND((ROUND((ROUND((_15_同援日１．０＿２．０*_15・通訳),0)*(1+_15・B夜間)),0)*(1+_15・盲ろう)),0)</f>
        <v>799</v>
      </c>
      <c r="AF105" s="48"/>
    </row>
    <row r="106" spans="1:32" ht="16.5" customHeight="1" x14ac:dyDescent="0.15">
      <c r="A106" s="41">
        <v>15</v>
      </c>
      <c r="B106" s="41" t="s">
        <v>27595</v>
      </c>
      <c r="C106" s="74" t="s">
        <v>27596</v>
      </c>
      <c r="D106" s="72"/>
      <c r="F106" s="57"/>
      <c r="G106" s="72"/>
      <c r="H106" s="168">
        <f>_15_同援日１．０＿２．０</f>
        <v>328</v>
      </c>
      <c r="I106" s="57" t="s">
        <v>392</v>
      </c>
      <c r="J106" s="72"/>
      <c r="P106" s="299" t="s">
        <v>17556</v>
      </c>
      <c r="Q106" s="45" t="s">
        <v>398</v>
      </c>
      <c r="R106" s="46">
        <v>1</v>
      </c>
      <c r="S106" s="512"/>
      <c r="V106" s="57"/>
      <c r="W106" s="190" t="s">
        <v>17564</v>
      </c>
      <c r="X106" s="37" t="s">
        <v>398</v>
      </c>
      <c r="Y106" s="38">
        <v>0.25</v>
      </c>
      <c r="Z106" s="79" t="s">
        <v>3575</v>
      </c>
      <c r="AA106" s="122"/>
      <c r="AB106" s="37"/>
      <c r="AC106" s="38"/>
      <c r="AD106" s="79"/>
      <c r="AE106" s="208">
        <f>ROUND((ROUND((ROUND((_15_同援日１．０*_15・通訳),0)*_15・２人),0)*(1+_15・盲ろう)),0)+ROUND((ROUND((ROUND((ROUND((_15_同援日１．０＿２．０*_15・通訳),0)*_15・２人),0)*(1+_15・B夜間)),0)*(1+_15・盲ろう)),0)</f>
        <v>799</v>
      </c>
      <c r="AF106" s="48"/>
    </row>
    <row r="107" spans="1:32" ht="16.5" customHeight="1" x14ac:dyDescent="0.15">
      <c r="A107" s="41">
        <v>15</v>
      </c>
      <c r="B107" s="41" t="s">
        <v>27597</v>
      </c>
      <c r="C107" s="74" t="s">
        <v>27598</v>
      </c>
      <c r="D107" s="72"/>
      <c r="F107" s="57"/>
      <c r="G107" s="72"/>
      <c r="I107" s="57"/>
      <c r="J107" s="72"/>
      <c r="P107" s="299"/>
      <c r="Q107" s="45"/>
      <c r="R107" s="46"/>
      <c r="S107" s="512"/>
      <c r="V107" s="57"/>
      <c r="W107" s="253"/>
      <c r="X107" s="49"/>
      <c r="Y107" s="50"/>
      <c r="Z107" s="115"/>
      <c r="AA107" s="114" t="s">
        <v>17570</v>
      </c>
      <c r="AB107" s="49"/>
      <c r="AC107" s="50"/>
      <c r="AD107" s="115"/>
      <c r="AE107" s="208">
        <f>ROUND((ROUND((_15_同援日１．０*_15・通訳),0)*(1+_15・区３)),0)+ROUND((ROUND((ROUND((_15_同援日１．０＿２．０*_15・通訳),0)*(1+_15・B夜間)),0)*(1+_15・区３)),0)</f>
        <v>767</v>
      </c>
      <c r="AF107" s="48"/>
    </row>
    <row r="108" spans="1:32" ht="16.5" customHeight="1" x14ac:dyDescent="0.15">
      <c r="A108" s="41">
        <v>15</v>
      </c>
      <c r="B108" s="41" t="s">
        <v>27599</v>
      </c>
      <c r="C108" s="74" t="s">
        <v>27600</v>
      </c>
      <c r="D108" s="72"/>
      <c r="F108" s="57"/>
      <c r="G108" s="72"/>
      <c r="I108" s="57"/>
      <c r="J108" s="72"/>
      <c r="P108" s="299" t="s">
        <v>17556</v>
      </c>
      <c r="Q108" s="45" t="s">
        <v>398</v>
      </c>
      <c r="R108" s="46">
        <v>1</v>
      </c>
      <c r="S108" s="512"/>
      <c r="V108" s="57"/>
      <c r="W108" s="190"/>
      <c r="X108" s="37"/>
      <c r="Y108" s="38"/>
      <c r="Z108" s="79"/>
      <c r="AA108" s="72" t="s">
        <v>17572</v>
      </c>
      <c r="AD108" s="57"/>
      <c r="AE108" s="208">
        <f>ROUND((ROUND((ROUND((_15_同援日１．０*_15・通訳),0)*_15・２人),0)*(1+_15・区３)),0)+ROUND((ROUND((ROUND((ROUND((_15_同援日１．０＿２．０*_15・通訳),0)*_15・２人),0)*(1+_15・B夜間)),0)*(1+_15・区３)),0)</f>
        <v>767</v>
      </c>
      <c r="AF108" s="48"/>
    </row>
    <row r="109" spans="1:32" ht="16.5" customHeight="1" x14ac:dyDescent="0.15">
      <c r="A109" s="41">
        <v>15</v>
      </c>
      <c r="B109" s="41" t="s">
        <v>27601</v>
      </c>
      <c r="C109" s="74" t="s">
        <v>27602</v>
      </c>
      <c r="D109" s="72"/>
      <c r="F109" s="57"/>
      <c r="G109" s="72"/>
      <c r="I109" s="57"/>
      <c r="J109" s="72"/>
      <c r="P109" s="299"/>
      <c r="Q109" s="45"/>
      <c r="R109" s="46"/>
      <c r="S109" s="512"/>
      <c r="V109" s="57"/>
      <c r="W109" s="253" t="s">
        <v>17562</v>
      </c>
      <c r="X109" s="49"/>
      <c r="Y109" s="50"/>
      <c r="Z109" s="115"/>
      <c r="AA109" s="72"/>
      <c r="AB109" s="12" t="s">
        <v>398</v>
      </c>
      <c r="AC109" s="13">
        <v>0.2</v>
      </c>
      <c r="AD109" s="57" t="s">
        <v>3575</v>
      </c>
      <c r="AE109" s="208">
        <f>ROUND((ROUND((ROUND((_15_同援日１．０*_15・通訳),0)*(1+_15・盲ろう)),0)*(1+_15・区３)),0)+ROUND((ROUND((ROUND((ROUND((_15_同援日１．０＿２．０*_15・通訳),0)*(1+_15・B夜間)),0)*(1+_15・盲ろう)),0)*(1+_15・区３)),0)</f>
        <v>959</v>
      </c>
      <c r="AF109" s="48"/>
    </row>
    <row r="110" spans="1:32" ht="16.5" customHeight="1" x14ac:dyDescent="0.15">
      <c r="A110" s="41">
        <v>15</v>
      </c>
      <c r="B110" s="41" t="s">
        <v>27603</v>
      </c>
      <c r="C110" s="74" t="s">
        <v>27604</v>
      </c>
      <c r="D110" s="72"/>
      <c r="F110" s="57"/>
      <c r="G110" s="72"/>
      <c r="I110" s="57"/>
      <c r="J110" s="72"/>
      <c r="P110" s="299" t="s">
        <v>17556</v>
      </c>
      <c r="Q110" s="45" t="s">
        <v>398</v>
      </c>
      <c r="R110" s="46">
        <v>1</v>
      </c>
      <c r="S110" s="512"/>
      <c r="V110" s="57"/>
      <c r="W110" s="190" t="s">
        <v>17564</v>
      </c>
      <c r="X110" s="37" t="s">
        <v>398</v>
      </c>
      <c r="Y110" s="38">
        <v>0.25</v>
      </c>
      <c r="Z110" s="79" t="s">
        <v>3575</v>
      </c>
      <c r="AA110" s="122"/>
      <c r="AB110" s="37"/>
      <c r="AC110" s="38"/>
      <c r="AD110" s="79"/>
      <c r="AE110" s="208">
        <f>ROUND((ROUND((ROUND((ROUND((_15_同援日１．０*_15・通訳),0)*_15・２人),0)*(1+_15・盲ろう)),0)*(1+_15・区３)),0)+ROUND((ROUND((ROUND((ROUND((ROUND((_15_同援日１．０＿２．０*_15・通訳),0)*_15・２人),0)*(1+_15・B夜間)),0)*(1+_15・盲ろう)),0)*(1+_15・区３)),0)</f>
        <v>959</v>
      </c>
      <c r="AF110" s="48"/>
    </row>
    <row r="111" spans="1:32" ht="16.5" customHeight="1" x14ac:dyDescent="0.15">
      <c r="A111" s="41">
        <v>15</v>
      </c>
      <c r="B111" s="41" t="s">
        <v>27605</v>
      </c>
      <c r="C111" s="74" t="s">
        <v>27606</v>
      </c>
      <c r="D111" s="72"/>
      <c r="F111" s="57"/>
      <c r="G111" s="72"/>
      <c r="I111" s="57"/>
      <c r="J111" s="72"/>
      <c r="P111" s="299"/>
      <c r="Q111" s="45"/>
      <c r="R111" s="46"/>
      <c r="S111" s="512"/>
      <c r="V111" s="57"/>
      <c r="W111" s="253"/>
      <c r="X111" s="49"/>
      <c r="Y111" s="50"/>
      <c r="Z111" s="115"/>
      <c r="AA111" s="114" t="s">
        <v>17580</v>
      </c>
      <c r="AB111" s="49"/>
      <c r="AC111" s="50"/>
      <c r="AD111" s="115"/>
      <c r="AE111" s="208">
        <f>ROUND((ROUND((_15_同援日１．０*_15・通訳),0)*(1+_15・区４)),0)+ROUND((ROUND((ROUND((_15_同援日１．０＿２．０*_15・通訳),0)*(1+_15・B夜間)),0)*(1+_15・区４)),0)</f>
        <v>895</v>
      </c>
      <c r="AF111" s="48"/>
    </row>
    <row r="112" spans="1:32" ht="16.5" customHeight="1" x14ac:dyDescent="0.15">
      <c r="A112" s="41">
        <v>15</v>
      </c>
      <c r="B112" s="41" t="s">
        <v>27607</v>
      </c>
      <c r="C112" s="74" t="s">
        <v>27608</v>
      </c>
      <c r="D112" s="72"/>
      <c r="F112" s="57"/>
      <c r="G112" s="72"/>
      <c r="I112" s="57"/>
      <c r="J112" s="72"/>
      <c r="P112" s="299" t="s">
        <v>17556</v>
      </c>
      <c r="Q112" s="45" t="s">
        <v>398</v>
      </c>
      <c r="R112" s="46">
        <v>1</v>
      </c>
      <c r="S112" s="512"/>
      <c r="V112" s="57"/>
      <c r="W112" s="190"/>
      <c r="X112" s="37"/>
      <c r="Y112" s="38"/>
      <c r="Z112" s="79"/>
      <c r="AA112" s="72" t="s">
        <v>17572</v>
      </c>
      <c r="AD112" s="57"/>
      <c r="AE112" s="208">
        <f>ROUND((ROUND((ROUND((_15_同援日１．０*_15・通訳),0)*_15・２人),0)*(1+_15・区４)),0)+ROUND((ROUND((ROUND((ROUND((_15_同援日１．０＿２．０*_15・通訳),0)*_15・２人),0)*(1+_15・B夜間)),0)*(1+_15・区４)),0)</f>
        <v>895</v>
      </c>
      <c r="AF112" s="48"/>
    </row>
    <row r="113" spans="1:32" ht="16.5" customHeight="1" x14ac:dyDescent="0.15">
      <c r="A113" s="41">
        <v>15</v>
      </c>
      <c r="B113" s="41" t="s">
        <v>27609</v>
      </c>
      <c r="C113" s="74" t="s">
        <v>27610</v>
      </c>
      <c r="D113" s="72"/>
      <c r="F113" s="57"/>
      <c r="G113" s="72"/>
      <c r="I113" s="57"/>
      <c r="J113" s="72"/>
      <c r="P113" s="299"/>
      <c r="Q113" s="45"/>
      <c r="R113" s="46"/>
      <c r="S113" s="512"/>
      <c r="V113" s="57"/>
      <c r="W113" s="253" t="s">
        <v>17562</v>
      </c>
      <c r="X113" s="49"/>
      <c r="Y113" s="50"/>
      <c r="Z113" s="115"/>
      <c r="AA113" s="72"/>
      <c r="AB113" s="12" t="s">
        <v>398</v>
      </c>
      <c r="AC113" s="13">
        <v>0.4</v>
      </c>
      <c r="AD113" s="57" t="s">
        <v>3575</v>
      </c>
      <c r="AE113" s="208">
        <f>ROUND((ROUND((ROUND((_15_同援日１．０*_15・通訳),0)*(1+_15・盲ろう)),0)*(1+_15・区４)),0)+ROUND((ROUND((ROUND((ROUND((_15_同援日１．０＿２．０*_15・通訳),0)*(1+_15・B夜間)),0)*(1+_15・盲ろう)),0)*(1+_15・区４)),0)</f>
        <v>1118</v>
      </c>
      <c r="AF113" s="48"/>
    </row>
    <row r="114" spans="1:32" ht="16.5" customHeight="1" x14ac:dyDescent="0.15">
      <c r="A114" s="41">
        <v>15</v>
      </c>
      <c r="B114" s="41" t="s">
        <v>27611</v>
      </c>
      <c r="C114" s="74" t="s">
        <v>27612</v>
      </c>
      <c r="D114" s="122"/>
      <c r="E114" s="37"/>
      <c r="F114" s="79"/>
      <c r="G114" s="122"/>
      <c r="H114" s="37"/>
      <c r="I114" s="79"/>
      <c r="J114" s="122"/>
      <c r="K114" s="37"/>
      <c r="L114" s="37"/>
      <c r="M114" s="37"/>
      <c r="N114" s="37"/>
      <c r="O114" s="38"/>
      <c r="P114" s="299" t="s">
        <v>17556</v>
      </c>
      <c r="Q114" s="45" t="s">
        <v>398</v>
      </c>
      <c r="R114" s="46">
        <v>1</v>
      </c>
      <c r="S114" s="514"/>
      <c r="T114" s="37"/>
      <c r="U114" s="38"/>
      <c r="V114" s="79"/>
      <c r="W114" s="190" t="s">
        <v>17564</v>
      </c>
      <c r="X114" s="37" t="s">
        <v>398</v>
      </c>
      <c r="Y114" s="38">
        <v>0.25</v>
      </c>
      <c r="Z114" s="79" t="s">
        <v>3575</v>
      </c>
      <c r="AA114" s="122"/>
      <c r="AB114" s="37"/>
      <c r="AC114" s="38"/>
      <c r="AD114" s="79"/>
      <c r="AE114" s="208">
        <f>ROUND((ROUND((ROUND((ROUND((_15_同援日１．０*_15・通訳),0)*_15・２人),0)*(1+_15・盲ろう)),0)*(1+_15・区４)),0)+ROUND((ROUND((ROUND((ROUND((ROUND((_15_同援日１．０＿２．０*_15・通訳),0)*_15・２人),0)*(1+_15・B夜間)),0)*(1+_15・盲ろう)),0)*(1+_15・区４)),0)</f>
        <v>1118</v>
      </c>
      <c r="AF114" s="63"/>
    </row>
    <row r="115" spans="1:32" ht="16.5" customHeight="1" x14ac:dyDescent="0.15">
      <c r="A115" s="41">
        <v>15</v>
      </c>
      <c r="B115" s="41" t="s">
        <v>27613</v>
      </c>
      <c r="C115" s="74" t="s">
        <v>27614</v>
      </c>
      <c r="D115" s="114" t="s">
        <v>17614</v>
      </c>
      <c r="E115" s="49"/>
      <c r="F115" s="115"/>
      <c r="G115" s="114" t="s">
        <v>19553</v>
      </c>
      <c r="H115" s="49"/>
      <c r="I115" s="115"/>
      <c r="J115" s="114"/>
      <c r="K115" s="49"/>
      <c r="L115" s="49"/>
      <c r="M115" s="49"/>
      <c r="N115" s="49"/>
      <c r="O115" s="50"/>
      <c r="P115" s="299"/>
      <c r="Q115" s="45"/>
      <c r="R115" s="46"/>
      <c r="S115" s="515"/>
      <c r="T115" s="49"/>
      <c r="U115" s="50"/>
      <c r="V115" s="115"/>
      <c r="W115" s="253"/>
      <c r="X115" s="49"/>
      <c r="Y115" s="50"/>
      <c r="Z115" s="115"/>
      <c r="AA115" s="114"/>
      <c r="AB115" s="49"/>
      <c r="AC115" s="50"/>
      <c r="AD115" s="115"/>
      <c r="AE115" s="208">
        <f>ROUND((_15_同援日１．５*_15・通訳),0)+ROUND((ROUND((_15_同援日１．５＿０．５*_15・通訳),0)*(1+_15・B夜間)),0)</f>
        <v>464</v>
      </c>
      <c r="AF115" s="64"/>
    </row>
    <row r="116" spans="1:32" ht="16.5" customHeight="1" x14ac:dyDescent="0.15">
      <c r="A116" s="41">
        <v>15</v>
      </c>
      <c r="B116" s="41" t="s">
        <v>27615</v>
      </c>
      <c r="C116" s="74" t="s">
        <v>27616</v>
      </c>
      <c r="D116" s="72" t="s">
        <v>17616</v>
      </c>
      <c r="F116" s="57"/>
      <c r="G116" s="72" t="s">
        <v>18259</v>
      </c>
      <c r="I116" s="57"/>
      <c r="J116" s="72"/>
      <c r="P116" s="299" t="s">
        <v>17556</v>
      </c>
      <c r="Q116" s="45" t="s">
        <v>398</v>
      </c>
      <c r="R116" s="46">
        <v>1</v>
      </c>
      <c r="S116" s="512"/>
      <c r="V116" s="57"/>
      <c r="W116" s="190"/>
      <c r="X116" s="37"/>
      <c r="Y116" s="38"/>
      <c r="Z116" s="79"/>
      <c r="AA116" s="72"/>
      <c r="AD116" s="57"/>
      <c r="AE116" s="208">
        <f>ROUND((ROUND((_15_同援日１．５*_15・通訳),0)*_15・２人),0)+ROUND((ROUND((ROUND((_15_同援日１．５＿０．５*_15・通訳),0)*_15・２人),0)*(1+_15・B夜間)),0)</f>
        <v>464</v>
      </c>
      <c r="AF116" s="48"/>
    </row>
    <row r="117" spans="1:32" ht="16.5" customHeight="1" x14ac:dyDescent="0.15">
      <c r="A117" s="41">
        <v>15</v>
      </c>
      <c r="B117" s="41" t="s">
        <v>3104</v>
      </c>
      <c r="C117" s="74" t="s">
        <v>27617</v>
      </c>
      <c r="D117" s="72" t="s">
        <v>18183</v>
      </c>
      <c r="F117" s="57"/>
      <c r="G117" s="72"/>
      <c r="I117" s="57"/>
      <c r="J117" s="72"/>
      <c r="P117" s="299"/>
      <c r="Q117" s="45"/>
      <c r="R117" s="46"/>
      <c r="S117" s="512"/>
      <c r="V117" s="57"/>
      <c r="W117" s="253" t="s">
        <v>17562</v>
      </c>
      <c r="X117" s="49"/>
      <c r="Y117" s="50"/>
      <c r="Z117" s="115"/>
      <c r="AA117" s="72"/>
      <c r="AD117" s="57"/>
      <c r="AE117" s="208">
        <f>ROUND((ROUND((_15_同援日１．５*_15・通訳),0)*(1+_15・盲ろう)),0)+ROUND((ROUND((ROUND((_15_同援日１．５＿０．５*_15・通訳),0)*(1+_15・B夜間)),0)*(1+_15・盲ろう)),0)</f>
        <v>581</v>
      </c>
      <c r="AF117" s="48"/>
    </row>
    <row r="118" spans="1:32" ht="16.5" customHeight="1" x14ac:dyDescent="0.15">
      <c r="A118" s="41">
        <v>15</v>
      </c>
      <c r="B118" s="41" t="s">
        <v>3106</v>
      </c>
      <c r="C118" s="74" t="s">
        <v>27618</v>
      </c>
      <c r="D118" s="72"/>
      <c r="E118" s="168">
        <f>_15_同援日１．５</f>
        <v>433</v>
      </c>
      <c r="F118" s="57" t="s">
        <v>392</v>
      </c>
      <c r="G118" s="72"/>
      <c r="H118" s="168">
        <f>_15_同援日１．５＿０．５</f>
        <v>65</v>
      </c>
      <c r="I118" s="57" t="s">
        <v>392</v>
      </c>
      <c r="J118" s="72"/>
      <c r="P118" s="299" t="s">
        <v>17556</v>
      </c>
      <c r="Q118" s="45" t="s">
        <v>398</v>
      </c>
      <c r="R118" s="46">
        <v>1</v>
      </c>
      <c r="S118" s="512"/>
      <c r="V118" s="57"/>
      <c r="W118" s="190" t="s">
        <v>17564</v>
      </c>
      <c r="X118" s="37" t="s">
        <v>398</v>
      </c>
      <c r="Y118" s="38">
        <v>0.25</v>
      </c>
      <c r="Z118" s="79" t="s">
        <v>3575</v>
      </c>
      <c r="AA118" s="122"/>
      <c r="AB118" s="37"/>
      <c r="AC118" s="38"/>
      <c r="AD118" s="79"/>
      <c r="AE118" s="208">
        <f>ROUND((ROUND((ROUND((_15_同援日１．５*_15・通訳),0)*_15・２人),0)*(1+_15・盲ろう)),0)+ROUND((ROUND((ROUND((ROUND((_15_同援日１．５＿０．５*_15・通訳),0)*_15・２人),0)*(1+_15・B夜間)),0)*(1+_15・盲ろう)),0)</f>
        <v>581</v>
      </c>
      <c r="AF118" s="48"/>
    </row>
    <row r="119" spans="1:32" ht="16.5" customHeight="1" x14ac:dyDescent="0.15">
      <c r="A119" s="41">
        <v>15</v>
      </c>
      <c r="B119" s="41" t="s">
        <v>3108</v>
      </c>
      <c r="C119" s="74" t="s">
        <v>27619</v>
      </c>
      <c r="D119" s="72"/>
      <c r="F119" s="57"/>
      <c r="G119" s="72"/>
      <c r="I119" s="57"/>
      <c r="J119" s="72"/>
      <c r="P119" s="299"/>
      <c r="Q119" s="45"/>
      <c r="R119" s="46"/>
      <c r="S119" s="512"/>
      <c r="V119" s="57"/>
      <c r="W119" s="253"/>
      <c r="X119" s="49"/>
      <c r="Y119" s="50"/>
      <c r="Z119" s="115"/>
      <c r="AA119" s="114" t="s">
        <v>17570</v>
      </c>
      <c r="AB119" s="49"/>
      <c r="AC119" s="50"/>
      <c r="AD119" s="115"/>
      <c r="AE119" s="208">
        <f>ROUND((ROUND((_15_同援日１．５*_15・通訳),0)*(1+_15・区３)),0)+ROUND((ROUND((ROUND((_15_同援日１．５＿０．５*_15・通訳),0)*(1+_15・B夜間)),0)*(1+_15・区３)),0)</f>
        <v>557</v>
      </c>
      <c r="AF119" s="48"/>
    </row>
    <row r="120" spans="1:32" ht="16.5" customHeight="1" x14ac:dyDescent="0.15">
      <c r="A120" s="41">
        <v>15</v>
      </c>
      <c r="B120" s="41" t="s">
        <v>3110</v>
      </c>
      <c r="C120" s="74" t="s">
        <v>27620</v>
      </c>
      <c r="D120" s="72"/>
      <c r="F120" s="57"/>
      <c r="G120" s="72"/>
      <c r="I120" s="57"/>
      <c r="J120" s="72"/>
      <c r="P120" s="299" t="s">
        <v>17556</v>
      </c>
      <c r="Q120" s="45" t="s">
        <v>398</v>
      </c>
      <c r="R120" s="46">
        <v>1</v>
      </c>
      <c r="S120" s="512"/>
      <c r="V120" s="57"/>
      <c r="W120" s="190"/>
      <c r="X120" s="37"/>
      <c r="Y120" s="38"/>
      <c r="Z120" s="79"/>
      <c r="AA120" s="72" t="s">
        <v>17572</v>
      </c>
      <c r="AD120" s="57"/>
      <c r="AE120" s="208">
        <f>ROUND((ROUND((ROUND((_15_同援日１．５*_15・通訳),0)*_15・２人),0)*(1+_15・区３)),0)+ROUND((ROUND((ROUND((ROUND((_15_同援日１．５＿０．５*_15・通訳),0)*_15・２人),0)*(1+_15・B夜間)),0)*(1+_15・区３)),0)</f>
        <v>557</v>
      </c>
      <c r="AF120" s="48"/>
    </row>
    <row r="121" spans="1:32" ht="16.5" customHeight="1" x14ac:dyDescent="0.15">
      <c r="A121" s="41">
        <v>15</v>
      </c>
      <c r="B121" s="41" t="s">
        <v>27621</v>
      </c>
      <c r="C121" s="74" t="s">
        <v>27622</v>
      </c>
      <c r="D121" s="72"/>
      <c r="F121" s="57"/>
      <c r="G121" s="72"/>
      <c r="I121" s="57"/>
      <c r="J121" s="72"/>
      <c r="P121" s="299"/>
      <c r="Q121" s="45"/>
      <c r="R121" s="46"/>
      <c r="S121" s="512"/>
      <c r="V121" s="57"/>
      <c r="W121" s="253" t="s">
        <v>17562</v>
      </c>
      <c r="X121" s="49"/>
      <c r="Y121" s="50"/>
      <c r="Z121" s="115"/>
      <c r="AA121" s="72"/>
      <c r="AB121" s="12" t="s">
        <v>398</v>
      </c>
      <c r="AC121" s="13">
        <v>0.2</v>
      </c>
      <c r="AD121" s="57" t="s">
        <v>3575</v>
      </c>
      <c r="AE121" s="208">
        <f>ROUND((ROUND((ROUND((_15_同援日１．５*_15・通訳),0)*(1+_15・盲ろう)),0)*(1+_15・区３)),0)+ROUND((ROUND((ROUND((ROUND((_15_同援日１．５＿０．５*_15・通訳),0)*(1+_15・B夜間)),0)*(1+_15・盲ろう)),0)*(1+_15・区３)),0)</f>
        <v>698</v>
      </c>
      <c r="AF121" s="48"/>
    </row>
    <row r="122" spans="1:32" ht="16.5" customHeight="1" x14ac:dyDescent="0.15">
      <c r="A122" s="41">
        <v>15</v>
      </c>
      <c r="B122" s="41" t="s">
        <v>27623</v>
      </c>
      <c r="C122" s="74" t="s">
        <v>27624</v>
      </c>
      <c r="D122" s="72"/>
      <c r="F122" s="57"/>
      <c r="G122" s="72"/>
      <c r="I122" s="57"/>
      <c r="J122" s="72"/>
      <c r="P122" s="299" t="s">
        <v>17556</v>
      </c>
      <c r="Q122" s="45" t="s">
        <v>398</v>
      </c>
      <c r="R122" s="46">
        <v>1</v>
      </c>
      <c r="S122" s="512"/>
      <c r="V122" s="57"/>
      <c r="W122" s="190" t="s">
        <v>17564</v>
      </c>
      <c r="X122" s="37" t="s">
        <v>398</v>
      </c>
      <c r="Y122" s="38">
        <v>0.25</v>
      </c>
      <c r="Z122" s="79" t="s">
        <v>3575</v>
      </c>
      <c r="AA122" s="122"/>
      <c r="AB122" s="37"/>
      <c r="AC122" s="38"/>
      <c r="AD122" s="79"/>
      <c r="AE122" s="208">
        <f>ROUND((ROUND((ROUND((ROUND((_15_同援日１．５*_15・通訳),0)*_15・２人),0)*(1+_15・盲ろう)),0)*(1+_15・区３)),0)+ROUND((ROUND((ROUND((ROUND((ROUND((_15_同援日１．５＿０．５*_15・通訳),0)*_15・２人),0)*(1+_15・B夜間)),0)*(1+_15・盲ろう)),0)*(1+_15・区３)),0)</f>
        <v>698</v>
      </c>
      <c r="AF122" s="48"/>
    </row>
    <row r="123" spans="1:32" ht="16.5" customHeight="1" x14ac:dyDescent="0.15">
      <c r="A123" s="41">
        <v>15</v>
      </c>
      <c r="B123" s="41" t="s">
        <v>27625</v>
      </c>
      <c r="C123" s="74" t="s">
        <v>27626</v>
      </c>
      <c r="D123" s="72"/>
      <c r="F123" s="57"/>
      <c r="G123" s="72"/>
      <c r="I123" s="57"/>
      <c r="J123" s="72"/>
      <c r="P123" s="299"/>
      <c r="Q123" s="45"/>
      <c r="R123" s="46"/>
      <c r="S123" s="512"/>
      <c r="V123" s="57"/>
      <c r="W123" s="253"/>
      <c r="X123" s="49"/>
      <c r="Y123" s="50"/>
      <c r="Z123" s="115"/>
      <c r="AA123" s="114" t="s">
        <v>17580</v>
      </c>
      <c r="AB123" s="49"/>
      <c r="AC123" s="50"/>
      <c r="AD123" s="115"/>
      <c r="AE123" s="208">
        <f>ROUND((ROUND((_15_同援日１．５*_15・通訳),0)*(1+_15・区４)),0)+ROUND((ROUND((ROUND((_15_同援日１．５＿０．５*_15・通訳),0)*(1+_15・B夜間)),0)*(1+_15・区４)),0)</f>
        <v>650</v>
      </c>
      <c r="AF123" s="48"/>
    </row>
    <row r="124" spans="1:32" ht="16.5" customHeight="1" x14ac:dyDescent="0.15">
      <c r="A124" s="41">
        <v>15</v>
      </c>
      <c r="B124" s="41" t="s">
        <v>27627</v>
      </c>
      <c r="C124" s="74" t="s">
        <v>27628</v>
      </c>
      <c r="D124" s="72"/>
      <c r="F124" s="57"/>
      <c r="G124" s="72"/>
      <c r="I124" s="57"/>
      <c r="J124" s="72"/>
      <c r="P124" s="299" t="s">
        <v>17556</v>
      </c>
      <c r="Q124" s="45" t="s">
        <v>398</v>
      </c>
      <c r="R124" s="46">
        <v>1</v>
      </c>
      <c r="S124" s="512"/>
      <c r="V124" s="57"/>
      <c r="W124" s="190"/>
      <c r="X124" s="37"/>
      <c r="Y124" s="38"/>
      <c r="Z124" s="79"/>
      <c r="AA124" s="72" t="s">
        <v>17572</v>
      </c>
      <c r="AD124" s="57"/>
      <c r="AE124" s="208">
        <f>ROUND((ROUND((ROUND((_15_同援日１．５*_15・通訳),0)*_15・２人),0)*(1+_15・区４)),0)+ROUND((ROUND((ROUND((ROUND((_15_同援日１．５＿０．５*_15・通訳),0)*_15・２人),0)*(1+_15・B夜間)),0)*(1+_15・区４)),0)</f>
        <v>650</v>
      </c>
      <c r="AF124" s="48"/>
    </row>
    <row r="125" spans="1:32" ht="16.5" customHeight="1" x14ac:dyDescent="0.15">
      <c r="A125" s="41">
        <v>15</v>
      </c>
      <c r="B125" s="41" t="s">
        <v>27629</v>
      </c>
      <c r="C125" s="74" t="s">
        <v>27630</v>
      </c>
      <c r="D125" s="72"/>
      <c r="F125" s="57"/>
      <c r="G125" s="72"/>
      <c r="I125" s="57"/>
      <c r="J125" s="72"/>
      <c r="P125" s="299"/>
      <c r="Q125" s="45"/>
      <c r="R125" s="46"/>
      <c r="S125" s="512"/>
      <c r="V125" s="57"/>
      <c r="W125" s="253" t="s">
        <v>17562</v>
      </c>
      <c r="X125" s="49"/>
      <c r="Y125" s="50"/>
      <c r="Z125" s="115"/>
      <c r="AA125" s="72"/>
      <c r="AB125" s="12" t="s">
        <v>398</v>
      </c>
      <c r="AC125" s="13">
        <v>0.4</v>
      </c>
      <c r="AD125" s="57" t="s">
        <v>3575</v>
      </c>
      <c r="AE125" s="208">
        <f>ROUND((ROUND((ROUND((_15_同援日１．５*_15・通訳),0)*(1+_15・盲ろう)),0)*(1+_15・区４)),0)+ROUND((ROUND((ROUND((ROUND((_15_同援日１．５＿０．５*_15・通訳),0)*(1+_15・B夜間)),0)*(1+_15・盲ろう)),0)*(1+_15・区４)),0)</f>
        <v>813</v>
      </c>
      <c r="AF125" s="48"/>
    </row>
    <row r="126" spans="1:32" ht="16.5" customHeight="1" x14ac:dyDescent="0.15">
      <c r="A126" s="41">
        <v>15</v>
      </c>
      <c r="B126" s="41" t="s">
        <v>27631</v>
      </c>
      <c r="C126" s="74" t="s">
        <v>27632</v>
      </c>
      <c r="D126" s="72"/>
      <c r="F126" s="57"/>
      <c r="G126" s="122"/>
      <c r="H126" s="37"/>
      <c r="I126" s="79"/>
      <c r="J126" s="72"/>
      <c r="P126" s="299" t="s">
        <v>17556</v>
      </c>
      <c r="Q126" s="45" t="s">
        <v>398</v>
      </c>
      <c r="R126" s="46">
        <v>1</v>
      </c>
      <c r="S126" s="512"/>
      <c r="V126" s="57"/>
      <c r="W126" s="190" t="s">
        <v>17564</v>
      </c>
      <c r="X126" s="37" t="s">
        <v>398</v>
      </c>
      <c r="Y126" s="38">
        <v>0.25</v>
      </c>
      <c r="Z126" s="79" t="s">
        <v>3575</v>
      </c>
      <c r="AA126" s="122"/>
      <c r="AB126" s="37"/>
      <c r="AC126" s="38"/>
      <c r="AD126" s="79"/>
      <c r="AE126" s="208">
        <f>ROUND((ROUND((ROUND((ROUND((_15_同援日１．５*_15・通訳),0)*_15・２人),0)*(1+_15・盲ろう)),0)*(1+_15・区４)),0)+ROUND((ROUND((ROUND((ROUND((ROUND((_15_同援日１．５＿０．５*_15・通訳),0)*_15・２人),0)*(1+_15・B夜間)),0)*(1+_15・盲ろう)),0)*(1+_15・区４)),0)</f>
        <v>813</v>
      </c>
      <c r="AF126" s="48"/>
    </row>
    <row r="127" spans="1:32" ht="16.5" customHeight="1" x14ac:dyDescent="0.15">
      <c r="A127" s="41">
        <v>15</v>
      </c>
      <c r="B127" s="41" t="s">
        <v>27633</v>
      </c>
      <c r="C127" s="74" t="s">
        <v>27634</v>
      </c>
      <c r="D127" s="72"/>
      <c r="F127" s="57"/>
      <c r="G127" s="114" t="s">
        <v>19578</v>
      </c>
      <c r="H127" s="49"/>
      <c r="I127" s="115"/>
      <c r="J127" s="72"/>
      <c r="P127" s="299"/>
      <c r="Q127" s="45"/>
      <c r="R127" s="46"/>
      <c r="S127" s="512"/>
      <c r="V127" s="57"/>
      <c r="W127" s="253"/>
      <c r="X127" s="49"/>
      <c r="Y127" s="50"/>
      <c r="Z127" s="115"/>
      <c r="AA127" s="114"/>
      <c r="AB127" s="49"/>
      <c r="AC127" s="50"/>
      <c r="AD127" s="115"/>
      <c r="AE127" s="208">
        <f>ROUND((_15_同援日１．５*_15・通訳),0)+ROUND((ROUND((_15_同援日１．５＿１．０*_15・通訳),0)*(1+_15・B夜間)),0)</f>
        <v>536</v>
      </c>
      <c r="AF127" s="48"/>
    </row>
    <row r="128" spans="1:32" ht="16.5" customHeight="1" x14ac:dyDescent="0.15">
      <c r="A128" s="41">
        <v>15</v>
      </c>
      <c r="B128" s="41" t="s">
        <v>27635</v>
      </c>
      <c r="C128" s="74" t="s">
        <v>27636</v>
      </c>
      <c r="D128" s="72"/>
      <c r="F128" s="57"/>
      <c r="G128" s="72" t="s">
        <v>17589</v>
      </c>
      <c r="I128" s="57"/>
      <c r="J128" s="72"/>
      <c r="P128" s="299" t="s">
        <v>17556</v>
      </c>
      <c r="Q128" s="45" t="s">
        <v>398</v>
      </c>
      <c r="R128" s="46">
        <v>1</v>
      </c>
      <c r="S128" s="512"/>
      <c r="V128" s="57"/>
      <c r="W128" s="190"/>
      <c r="X128" s="37"/>
      <c r="Y128" s="38"/>
      <c r="Z128" s="79"/>
      <c r="AA128" s="72"/>
      <c r="AD128" s="57"/>
      <c r="AE128" s="208">
        <f>ROUND((ROUND((_15_同援日１．５*_15・通訳),0)*_15・２人),0)+ROUND((ROUND((ROUND((_15_同援日１．５＿１．０*_15・通訳),0)*_15・２人),0)*(1+_15・B夜間)),0)</f>
        <v>536</v>
      </c>
      <c r="AF128" s="48"/>
    </row>
    <row r="129" spans="1:32" ht="16.5" customHeight="1" x14ac:dyDescent="0.15">
      <c r="A129" s="41">
        <v>15</v>
      </c>
      <c r="B129" s="41" t="s">
        <v>27637</v>
      </c>
      <c r="C129" s="74" t="s">
        <v>27638</v>
      </c>
      <c r="D129" s="72"/>
      <c r="F129" s="57"/>
      <c r="G129" s="72" t="s">
        <v>17591</v>
      </c>
      <c r="I129" s="57"/>
      <c r="J129" s="72"/>
      <c r="P129" s="299"/>
      <c r="Q129" s="45"/>
      <c r="R129" s="46"/>
      <c r="S129" s="512"/>
      <c r="V129" s="57"/>
      <c r="W129" s="253" t="s">
        <v>17562</v>
      </c>
      <c r="X129" s="49"/>
      <c r="Y129" s="50"/>
      <c r="Z129" s="115"/>
      <c r="AA129" s="72"/>
      <c r="AD129" s="57"/>
      <c r="AE129" s="208">
        <f>ROUND((ROUND((_15_同援日１．５*_15・通訳),0)*(1+_15・盲ろう)),0)+ROUND((ROUND((ROUND((_15_同援日１．５＿１．０*_15・通訳),0)*(1+_15・B夜間)),0)*(1+_15・盲ろう)),0)</f>
        <v>671</v>
      </c>
      <c r="AF129" s="48"/>
    </row>
    <row r="130" spans="1:32" ht="16.5" customHeight="1" x14ac:dyDescent="0.15">
      <c r="A130" s="41">
        <v>15</v>
      </c>
      <c r="B130" s="41" t="s">
        <v>27639</v>
      </c>
      <c r="C130" s="74" t="s">
        <v>27640</v>
      </c>
      <c r="D130" s="72"/>
      <c r="F130" s="57"/>
      <c r="G130" s="72"/>
      <c r="H130" s="168">
        <f>_15_同援日１．５＿１．０</f>
        <v>130</v>
      </c>
      <c r="I130" s="57" t="s">
        <v>392</v>
      </c>
      <c r="J130" s="72"/>
      <c r="P130" s="299" t="s">
        <v>17556</v>
      </c>
      <c r="Q130" s="45" t="s">
        <v>398</v>
      </c>
      <c r="R130" s="46">
        <v>1</v>
      </c>
      <c r="S130" s="512"/>
      <c r="V130" s="57"/>
      <c r="W130" s="190" t="s">
        <v>17564</v>
      </c>
      <c r="X130" s="37" t="s">
        <v>398</v>
      </c>
      <c r="Y130" s="38">
        <v>0.25</v>
      </c>
      <c r="Z130" s="79" t="s">
        <v>3575</v>
      </c>
      <c r="AA130" s="122"/>
      <c r="AB130" s="37"/>
      <c r="AC130" s="38"/>
      <c r="AD130" s="79"/>
      <c r="AE130" s="208">
        <f>ROUND((ROUND((ROUND((_15_同援日１．５*_15・通訳),0)*_15・２人),0)*(1+_15・盲ろう)),0)+ROUND((ROUND((ROUND((ROUND((_15_同援日１．５＿１．０*_15・通訳),0)*_15・２人),0)*(1+_15・B夜間)),0)*(1+_15・盲ろう)),0)</f>
        <v>671</v>
      </c>
      <c r="AF130" s="48"/>
    </row>
    <row r="131" spans="1:32" ht="16.5" customHeight="1" x14ac:dyDescent="0.15">
      <c r="A131" s="41">
        <v>15</v>
      </c>
      <c r="B131" s="41" t="s">
        <v>27641</v>
      </c>
      <c r="C131" s="74" t="s">
        <v>27642</v>
      </c>
      <c r="D131" s="72"/>
      <c r="F131" s="57"/>
      <c r="G131" s="72"/>
      <c r="I131" s="57"/>
      <c r="J131" s="72"/>
      <c r="P131" s="299"/>
      <c r="Q131" s="45"/>
      <c r="R131" s="46"/>
      <c r="S131" s="512"/>
      <c r="V131" s="57"/>
      <c r="W131" s="253"/>
      <c r="X131" s="49"/>
      <c r="Y131" s="50"/>
      <c r="Z131" s="115"/>
      <c r="AA131" s="114" t="s">
        <v>17570</v>
      </c>
      <c r="AB131" s="49"/>
      <c r="AC131" s="50"/>
      <c r="AD131" s="115"/>
      <c r="AE131" s="208">
        <f>ROUND((ROUND((_15_同援日１．５*_15・通訳),0)*(1+_15・区３)),0)+ROUND((ROUND((ROUND((_15_同援日１．５＿１．０*_15・通訳),0)*(1+_15・B夜間)),0)*(1+_15・区３)),0)</f>
        <v>643</v>
      </c>
      <c r="AF131" s="48"/>
    </row>
    <row r="132" spans="1:32" ht="16.5" customHeight="1" x14ac:dyDescent="0.15">
      <c r="A132" s="41">
        <v>15</v>
      </c>
      <c r="B132" s="41" t="s">
        <v>27643</v>
      </c>
      <c r="C132" s="74" t="s">
        <v>27644</v>
      </c>
      <c r="D132" s="72"/>
      <c r="F132" s="57"/>
      <c r="G132" s="72"/>
      <c r="I132" s="57"/>
      <c r="J132" s="72"/>
      <c r="P132" s="299" t="s">
        <v>17556</v>
      </c>
      <c r="Q132" s="45" t="s">
        <v>398</v>
      </c>
      <c r="R132" s="46">
        <v>1</v>
      </c>
      <c r="S132" s="512"/>
      <c r="V132" s="57"/>
      <c r="W132" s="190"/>
      <c r="X132" s="37"/>
      <c r="Y132" s="38"/>
      <c r="Z132" s="79"/>
      <c r="AA132" s="72" t="s">
        <v>17572</v>
      </c>
      <c r="AD132" s="57"/>
      <c r="AE132" s="208">
        <f>ROUND((ROUND((ROUND((_15_同援日１．５*_15・通訳),0)*_15・２人),0)*(1+_15・区３)),0)+ROUND((ROUND((ROUND((ROUND((_15_同援日１．５＿１．０*_15・通訳),0)*_15・２人),0)*(1+_15・B夜間)),0)*(1+_15・区３)),0)</f>
        <v>643</v>
      </c>
      <c r="AF132" s="48"/>
    </row>
    <row r="133" spans="1:32" ht="16.5" customHeight="1" x14ac:dyDescent="0.15">
      <c r="A133" s="41">
        <v>15</v>
      </c>
      <c r="B133" s="41" t="s">
        <v>27645</v>
      </c>
      <c r="C133" s="74" t="s">
        <v>27646</v>
      </c>
      <c r="D133" s="72"/>
      <c r="F133" s="57"/>
      <c r="G133" s="72"/>
      <c r="I133" s="57"/>
      <c r="J133" s="72"/>
      <c r="P133" s="299"/>
      <c r="Q133" s="45"/>
      <c r="R133" s="46"/>
      <c r="S133" s="512"/>
      <c r="V133" s="57"/>
      <c r="W133" s="253" t="s">
        <v>17562</v>
      </c>
      <c r="X133" s="49"/>
      <c r="Y133" s="50"/>
      <c r="Z133" s="115"/>
      <c r="AA133" s="72"/>
      <c r="AB133" s="12" t="s">
        <v>398</v>
      </c>
      <c r="AC133" s="13">
        <v>0.2</v>
      </c>
      <c r="AD133" s="57" t="s">
        <v>3575</v>
      </c>
      <c r="AE133" s="208">
        <f>ROUND((ROUND((ROUND((_15_同援日１．５*_15・通訳),0)*(1+_15・盲ろう)),0)*(1+_15・区３)),0)+ROUND((ROUND((ROUND((ROUND((_15_同援日１．５＿１．０*_15・通訳),0)*(1+_15・B夜間)),0)*(1+_15・盲ろう)),0)*(1+_15・区３)),0)</f>
        <v>806</v>
      </c>
      <c r="AF133" s="48"/>
    </row>
    <row r="134" spans="1:32" ht="16.5" customHeight="1" x14ac:dyDescent="0.15">
      <c r="A134" s="41">
        <v>15</v>
      </c>
      <c r="B134" s="41" t="s">
        <v>27647</v>
      </c>
      <c r="C134" s="74" t="s">
        <v>27648</v>
      </c>
      <c r="D134" s="72"/>
      <c r="F134" s="57"/>
      <c r="G134" s="72"/>
      <c r="I134" s="57"/>
      <c r="J134" s="72"/>
      <c r="P134" s="299" t="s">
        <v>17556</v>
      </c>
      <c r="Q134" s="45" t="s">
        <v>398</v>
      </c>
      <c r="R134" s="46">
        <v>1</v>
      </c>
      <c r="S134" s="512"/>
      <c r="V134" s="57"/>
      <c r="W134" s="190" t="s">
        <v>17564</v>
      </c>
      <c r="X134" s="37" t="s">
        <v>398</v>
      </c>
      <c r="Y134" s="38">
        <v>0.25</v>
      </c>
      <c r="Z134" s="79" t="s">
        <v>3575</v>
      </c>
      <c r="AA134" s="122"/>
      <c r="AB134" s="37"/>
      <c r="AC134" s="38"/>
      <c r="AD134" s="79"/>
      <c r="AE134" s="208">
        <f>ROUND((ROUND((ROUND((ROUND((_15_同援日１．５*_15・通訳),0)*_15・２人),0)*(1+_15・盲ろう)),0)*(1+_15・区３)),0)+ROUND((ROUND((ROUND((ROUND((ROUND((_15_同援日１．５＿１．０*_15・通訳),0)*_15・２人),0)*(1+_15・B夜間)),0)*(1+_15・盲ろう)),0)*(1+_15・区３)),0)</f>
        <v>806</v>
      </c>
      <c r="AF134" s="48"/>
    </row>
    <row r="135" spans="1:32" ht="16.5" customHeight="1" x14ac:dyDescent="0.15">
      <c r="A135" s="41">
        <v>15</v>
      </c>
      <c r="B135" s="41" t="s">
        <v>27649</v>
      </c>
      <c r="C135" s="74" t="s">
        <v>27650</v>
      </c>
      <c r="D135" s="72"/>
      <c r="F135" s="57"/>
      <c r="G135" s="72"/>
      <c r="I135" s="57"/>
      <c r="J135" s="72"/>
      <c r="P135" s="299"/>
      <c r="Q135" s="45"/>
      <c r="R135" s="46"/>
      <c r="S135" s="512"/>
      <c r="V135" s="57"/>
      <c r="W135" s="253"/>
      <c r="X135" s="49"/>
      <c r="Y135" s="50"/>
      <c r="Z135" s="115"/>
      <c r="AA135" s="114" t="s">
        <v>17580</v>
      </c>
      <c r="AB135" s="49"/>
      <c r="AC135" s="50"/>
      <c r="AD135" s="115"/>
      <c r="AE135" s="208">
        <f>ROUND((ROUND((_15_同援日１．５*_15・通訳),0)*(1+_15・区４)),0)+ROUND((ROUND((ROUND((_15_同援日１．５＿１．０*_15・通訳),0)*(1+_15・B夜間)),0)*(1+_15・区４)),0)</f>
        <v>750</v>
      </c>
      <c r="AF135" s="48"/>
    </row>
    <row r="136" spans="1:32" ht="16.5" customHeight="1" x14ac:dyDescent="0.15">
      <c r="A136" s="41">
        <v>15</v>
      </c>
      <c r="B136" s="41" t="s">
        <v>27651</v>
      </c>
      <c r="C136" s="74" t="s">
        <v>27652</v>
      </c>
      <c r="D136" s="72"/>
      <c r="F136" s="57"/>
      <c r="G136" s="72"/>
      <c r="I136" s="57"/>
      <c r="J136" s="72"/>
      <c r="P136" s="299" t="s">
        <v>17556</v>
      </c>
      <c r="Q136" s="45" t="s">
        <v>398</v>
      </c>
      <c r="R136" s="46">
        <v>1</v>
      </c>
      <c r="S136" s="512"/>
      <c r="V136" s="57"/>
      <c r="W136" s="190"/>
      <c r="X136" s="37"/>
      <c r="Y136" s="38"/>
      <c r="Z136" s="79"/>
      <c r="AA136" s="72" t="s">
        <v>17572</v>
      </c>
      <c r="AD136" s="57"/>
      <c r="AE136" s="208">
        <f>ROUND((ROUND((ROUND((_15_同援日１．５*_15・通訳),0)*_15・２人),0)*(1+_15・区４)),0)+ROUND((ROUND((ROUND((ROUND((_15_同援日１．５＿１．０*_15・通訳),0)*_15・２人),0)*(1+_15・B夜間)),0)*(1+_15・区４)),0)</f>
        <v>750</v>
      </c>
      <c r="AF136" s="48"/>
    </row>
    <row r="137" spans="1:32" ht="16.5" customHeight="1" x14ac:dyDescent="0.15">
      <c r="A137" s="41">
        <v>15</v>
      </c>
      <c r="B137" s="41" t="s">
        <v>3116</v>
      </c>
      <c r="C137" s="74" t="s">
        <v>27653</v>
      </c>
      <c r="D137" s="72"/>
      <c r="F137" s="57"/>
      <c r="G137" s="72"/>
      <c r="I137" s="57"/>
      <c r="J137" s="72"/>
      <c r="P137" s="299"/>
      <c r="Q137" s="45"/>
      <c r="R137" s="46"/>
      <c r="S137" s="512"/>
      <c r="V137" s="57"/>
      <c r="W137" s="253" t="s">
        <v>17562</v>
      </c>
      <c r="X137" s="49"/>
      <c r="Y137" s="50"/>
      <c r="Z137" s="115"/>
      <c r="AA137" s="72"/>
      <c r="AB137" s="12" t="s">
        <v>398</v>
      </c>
      <c r="AC137" s="13">
        <v>0.4</v>
      </c>
      <c r="AD137" s="57" t="s">
        <v>3575</v>
      </c>
      <c r="AE137" s="208">
        <f>ROUND((ROUND((ROUND((_15_同援日１．５*_15・通訳),0)*(1+_15・盲ろう)),0)*(1+_15・区４)),0)+ROUND((ROUND((ROUND((ROUND((_15_同援日１．５＿１．０*_15・通訳),0)*(1+_15・B夜間)),0)*(1+_15・盲ろう)),0)*(1+_15・区４)),0)</f>
        <v>939</v>
      </c>
      <c r="AF137" s="48"/>
    </row>
    <row r="138" spans="1:32" ht="16.5" customHeight="1" x14ac:dyDescent="0.15">
      <c r="A138" s="41">
        <v>15</v>
      </c>
      <c r="B138" s="41" t="s">
        <v>3118</v>
      </c>
      <c r="C138" s="74" t="s">
        <v>27654</v>
      </c>
      <c r="D138" s="72"/>
      <c r="F138" s="57"/>
      <c r="G138" s="122"/>
      <c r="H138" s="37"/>
      <c r="I138" s="79"/>
      <c r="J138" s="72"/>
      <c r="P138" s="299" t="s">
        <v>17556</v>
      </c>
      <c r="Q138" s="45" t="s">
        <v>398</v>
      </c>
      <c r="R138" s="46">
        <v>1</v>
      </c>
      <c r="S138" s="512"/>
      <c r="V138" s="57"/>
      <c r="W138" s="190" t="s">
        <v>17564</v>
      </c>
      <c r="X138" s="37" t="s">
        <v>398</v>
      </c>
      <c r="Y138" s="38">
        <v>0.25</v>
      </c>
      <c r="Z138" s="79" t="s">
        <v>3575</v>
      </c>
      <c r="AA138" s="122"/>
      <c r="AB138" s="37"/>
      <c r="AC138" s="38"/>
      <c r="AD138" s="79"/>
      <c r="AE138" s="208">
        <f>ROUND((ROUND((ROUND((ROUND((_15_同援日１．５*_15・通訳),0)*_15・２人),0)*(1+_15・盲ろう)),0)*(1+_15・区４)),0)+ROUND((ROUND((ROUND((ROUND((ROUND((_15_同援日１．５＿１．０*_15・通訳),0)*_15・２人),0)*(1+_15・B夜間)),0)*(1+_15・盲ろう)),0)*(1+_15・区４)),0)</f>
        <v>939</v>
      </c>
      <c r="AF138" s="48"/>
    </row>
    <row r="139" spans="1:32" ht="16.5" customHeight="1" x14ac:dyDescent="0.15">
      <c r="A139" s="41">
        <v>15</v>
      </c>
      <c r="B139" s="41" t="s">
        <v>3120</v>
      </c>
      <c r="C139" s="74" t="s">
        <v>27655</v>
      </c>
      <c r="D139" s="72"/>
      <c r="F139" s="57"/>
      <c r="G139" s="114" t="s">
        <v>19603</v>
      </c>
      <c r="H139" s="49"/>
      <c r="I139" s="115"/>
      <c r="J139" s="72"/>
      <c r="P139" s="299"/>
      <c r="Q139" s="45"/>
      <c r="R139" s="46"/>
      <c r="S139" s="512"/>
      <c r="V139" s="57"/>
      <c r="W139" s="253"/>
      <c r="X139" s="49"/>
      <c r="Y139" s="50"/>
      <c r="Z139" s="115"/>
      <c r="AA139" s="114"/>
      <c r="AB139" s="49"/>
      <c r="AC139" s="50"/>
      <c r="AD139" s="115"/>
      <c r="AE139" s="208">
        <f>ROUND((_15_同援日１．５*_15・通訳),0)+ROUND((ROUND((_15_同援日１．５＿１．５*_15・通訳),0)*(1+_15・B夜間)),0)</f>
        <v>610</v>
      </c>
      <c r="AF139" s="48"/>
    </row>
    <row r="140" spans="1:32" ht="16.5" customHeight="1" x14ac:dyDescent="0.15">
      <c r="A140" s="41">
        <v>15</v>
      </c>
      <c r="B140" s="41" t="s">
        <v>3122</v>
      </c>
      <c r="C140" s="74" t="s">
        <v>27656</v>
      </c>
      <c r="D140" s="72"/>
      <c r="F140" s="57"/>
      <c r="G140" s="72" t="s">
        <v>17616</v>
      </c>
      <c r="I140" s="57"/>
      <c r="J140" s="72"/>
      <c r="P140" s="299" t="s">
        <v>17556</v>
      </c>
      <c r="Q140" s="45" t="s">
        <v>398</v>
      </c>
      <c r="R140" s="46">
        <v>1</v>
      </c>
      <c r="S140" s="512"/>
      <c r="V140" s="57"/>
      <c r="W140" s="190"/>
      <c r="X140" s="37"/>
      <c r="Y140" s="38"/>
      <c r="Z140" s="79"/>
      <c r="AA140" s="72"/>
      <c r="AD140" s="57"/>
      <c r="AE140" s="208">
        <f>ROUND((ROUND((_15_同援日１．５*_15・通訳),0)*_15・２人),0)+ROUND((ROUND((ROUND((_15_同援日１．５＿１．５*_15・通訳),0)*_15・２人),0)*(1+_15・B夜間)),0)</f>
        <v>610</v>
      </c>
      <c r="AF140" s="48"/>
    </row>
    <row r="141" spans="1:32" ht="16.5" customHeight="1" x14ac:dyDescent="0.15">
      <c r="A141" s="41">
        <v>15</v>
      </c>
      <c r="B141" s="41" t="s">
        <v>27657</v>
      </c>
      <c r="C141" s="74" t="s">
        <v>27658</v>
      </c>
      <c r="D141" s="72"/>
      <c r="F141" s="57"/>
      <c r="G141" s="72" t="s">
        <v>18183</v>
      </c>
      <c r="I141" s="57"/>
      <c r="J141" s="72"/>
      <c r="P141" s="299"/>
      <c r="Q141" s="45"/>
      <c r="R141" s="46"/>
      <c r="S141" s="512"/>
      <c r="V141" s="57"/>
      <c r="W141" s="253" t="s">
        <v>17562</v>
      </c>
      <c r="X141" s="49"/>
      <c r="Y141" s="50"/>
      <c r="Z141" s="115"/>
      <c r="AA141" s="72"/>
      <c r="AD141" s="57"/>
      <c r="AE141" s="208">
        <f>ROUND((ROUND((_15_同援日１．５*_15・通訳),0)*(1+_15・盲ろう)),0)+ROUND((ROUND((ROUND((_15_同援日１．５＿１．５*_15・通訳),0)*(1+_15・B夜間)),0)*(1+_15・盲ろう)),0)</f>
        <v>763</v>
      </c>
      <c r="AF141" s="48"/>
    </row>
    <row r="142" spans="1:32" ht="16.5" customHeight="1" x14ac:dyDescent="0.15">
      <c r="A142" s="41">
        <v>15</v>
      </c>
      <c r="B142" s="41" t="s">
        <v>27659</v>
      </c>
      <c r="C142" s="74" t="s">
        <v>27660</v>
      </c>
      <c r="D142" s="72"/>
      <c r="F142" s="57"/>
      <c r="G142" s="72"/>
      <c r="H142" s="168">
        <f>_15_同援日１．５＿１．５</f>
        <v>195</v>
      </c>
      <c r="I142" s="57" t="s">
        <v>392</v>
      </c>
      <c r="J142" s="72"/>
      <c r="P142" s="299" t="s">
        <v>17556</v>
      </c>
      <c r="Q142" s="45" t="s">
        <v>398</v>
      </c>
      <c r="R142" s="46">
        <v>1</v>
      </c>
      <c r="S142" s="512"/>
      <c r="V142" s="57"/>
      <c r="W142" s="190" t="s">
        <v>17564</v>
      </c>
      <c r="X142" s="37" t="s">
        <v>398</v>
      </c>
      <c r="Y142" s="38">
        <v>0.25</v>
      </c>
      <c r="Z142" s="79" t="s">
        <v>3575</v>
      </c>
      <c r="AA142" s="122"/>
      <c r="AB142" s="37"/>
      <c r="AC142" s="38"/>
      <c r="AD142" s="79"/>
      <c r="AE142" s="208">
        <f>ROUND((ROUND((ROUND((_15_同援日１．５*_15・通訳),0)*_15・２人),0)*(1+_15・盲ろう)),0)+ROUND((ROUND((ROUND((ROUND((_15_同援日１．５＿１．５*_15・通訳),0)*_15・２人),0)*(1+_15・B夜間)),0)*(1+_15・盲ろう)),0)</f>
        <v>763</v>
      </c>
      <c r="AF142" s="48"/>
    </row>
    <row r="143" spans="1:32" ht="16.5" customHeight="1" x14ac:dyDescent="0.15">
      <c r="A143" s="41">
        <v>15</v>
      </c>
      <c r="B143" s="41" t="s">
        <v>27661</v>
      </c>
      <c r="C143" s="74" t="s">
        <v>27662</v>
      </c>
      <c r="D143" s="72"/>
      <c r="F143" s="57"/>
      <c r="G143" s="72"/>
      <c r="I143" s="57"/>
      <c r="J143" s="72"/>
      <c r="P143" s="299"/>
      <c r="Q143" s="45"/>
      <c r="R143" s="46"/>
      <c r="S143" s="512"/>
      <c r="V143" s="57"/>
      <c r="W143" s="253"/>
      <c r="X143" s="49"/>
      <c r="Y143" s="50"/>
      <c r="Z143" s="115"/>
      <c r="AA143" s="114" t="s">
        <v>17570</v>
      </c>
      <c r="AB143" s="49"/>
      <c r="AC143" s="50"/>
      <c r="AD143" s="115"/>
      <c r="AE143" s="208">
        <f>ROUND((ROUND((_15_同援日１．５*_15・通訳),0)*(1+_15・区３)),0)+ROUND((ROUND((ROUND((_15_同援日１．５＿１．５*_15・通訳),0)*(1+_15・B夜間)),0)*(1+_15・区３)),0)</f>
        <v>732</v>
      </c>
      <c r="AF143" s="48"/>
    </row>
    <row r="144" spans="1:32" ht="16.5" customHeight="1" x14ac:dyDescent="0.15">
      <c r="A144" s="41">
        <v>15</v>
      </c>
      <c r="B144" s="41" t="s">
        <v>27663</v>
      </c>
      <c r="C144" s="74" t="s">
        <v>27664</v>
      </c>
      <c r="D144" s="72"/>
      <c r="F144" s="57"/>
      <c r="G144" s="72"/>
      <c r="I144" s="57"/>
      <c r="J144" s="72"/>
      <c r="P144" s="299" t="s">
        <v>17556</v>
      </c>
      <c r="Q144" s="45" t="s">
        <v>398</v>
      </c>
      <c r="R144" s="46">
        <v>1</v>
      </c>
      <c r="S144" s="512"/>
      <c r="V144" s="57"/>
      <c r="W144" s="190"/>
      <c r="X144" s="37"/>
      <c r="Y144" s="38"/>
      <c r="Z144" s="79"/>
      <c r="AA144" s="72" t="s">
        <v>17572</v>
      </c>
      <c r="AD144" s="57"/>
      <c r="AE144" s="208">
        <f>ROUND((ROUND((ROUND((_15_同援日１．５*_15・通訳),0)*_15・２人),0)*(1+_15・区３)),0)+ROUND((ROUND((ROUND((ROUND((_15_同援日１．５＿１．５*_15・通訳),0)*_15・２人),0)*(1+_15・B夜間)),0)*(1+_15・区３)),0)</f>
        <v>732</v>
      </c>
      <c r="AF144" s="48"/>
    </row>
    <row r="145" spans="1:32" ht="16.5" customHeight="1" x14ac:dyDescent="0.15">
      <c r="A145" s="41">
        <v>15</v>
      </c>
      <c r="B145" s="41" t="s">
        <v>27665</v>
      </c>
      <c r="C145" s="74" t="s">
        <v>27666</v>
      </c>
      <c r="D145" s="72"/>
      <c r="F145" s="57"/>
      <c r="G145" s="72"/>
      <c r="I145" s="57"/>
      <c r="J145" s="72"/>
      <c r="P145" s="299"/>
      <c r="Q145" s="45"/>
      <c r="R145" s="46"/>
      <c r="S145" s="512"/>
      <c r="V145" s="57"/>
      <c r="W145" s="253" t="s">
        <v>17562</v>
      </c>
      <c r="X145" s="49"/>
      <c r="Y145" s="50"/>
      <c r="Z145" s="115"/>
      <c r="AA145" s="72"/>
      <c r="AB145" s="12" t="s">
        <v>398</v>
      </c>
      <c r="AC145" s="13">
        <v>0.2</v>
      </c>
      <c r="AD145" s="57" t="s">
        <v>3575</v>
      </c>
      <c r="AE145" s="208">
        <f>ROUND((ROUND((ROUND((_15_同援日１．５*_15・通訳),0)*(1+_15・盲ろう)),0)*(1+_15・区３)),0)+ROUND((ROUND((ROUND((ROUND((_15_同援日１．５＿１．５*_15・通訳),0)*(1+_15・B夜間)),0)*(1+_15・盲ろう)),0)*(1+_15・区３)),0)</f>
        <v>916</v>
      </c>
      <c r="AF145" s="48"/>
    </row>
    <row r="146" spans="1:32" ht="16.5" customHeight="1" x14ac:dyDescent="0.15">
      <c r="A146" s="41">
        <v>15</v>
      </c>
      <c r="B146" s="41" t="s">
        <v>27667</v>
      </c>
      <c r="C146" s="74" t="s">
        <v>27668</v>
      </c>
      <c r="D146" s="72"/>
      <c r="F146" s="57"/>
      <c r="G146" s="72"/>
      <c r="I146" s="57"/>
      <c r="J146" s="72"/>
      <c r="P146" s="299" t="s">
        <v>17556</v>
      </c>
      <c r="Q146" s="45" t="s">
        <v>398</v>
      </c>
      <c r="R146" s="46">
        <v>1</v>
      </c>
      <c r="S146" s="512"/>
      <c r="V146" s="57"/>
      <c r="W146" s="190" t="s">
        <v>17564</v>
      </c>
      <c r="X146" s="37" t="s">
        <v>398</v>
      </c>
      <c r="Y146" s="38">
        <v>0.25</v>
      </c>
      <c r="Z146" s="79" t="s">
        <v>3575</v>
      </c>
      <c r="AA146" s="122"/>
      <c r="AB146" s="37"/>
      <c r="AC146" s="38"/>
      <c r="AD146" s="79"/>
      <c r="AE146" s="208">
        <f>ROUND((ROUND((ROUND((ROUND((_15_同援日１．５*_15・通訳),0)*_15・２人),0)*(1+_15・盲ろう)),0)*(1+_15・区３)),0)+ROUND((ROUND((ROUND((ROUND((ROUND((_15_同援日１．５＿１．５*_15・通訳),0)*_15・２人),0)*(1+_15・B夜間)),0)*(1+_15・盲ろう)),0)*(1+_15・区３)),0)</f>
        <v>916</v>
      </c>
      <c r="AF146" s="48"/>
    </row>
    <row r="147" spans="1:32" ht="16.5" customHeight="1" x14ac:dyDescent="0.15">
      <c r="A147" s="41">
        <v>15</v>
      </c>
      <c r="B147" s="41" t="s">
        <v>27669</v>
      </c>
      <c r="C147" s="74" t="s">
        <v>27670</v>
      </c>
      <c r="D147" s="72"/>
      <c r="F147" s="57"/>
      <c r="G147" s="72"/>
      <c r="I147" s="57"/>
      <c r="J147" s="72"/>
      <c r="P147" s="299"/>
      <c r="Q147" s="45"/>
      <c r="R147" s="46"/>
      <c r="S147" s="512"/>
      <c r="V147" s="57"/>
      <c r="W147" s="253"/>
      <c r="X147" s="49"/>
      <c r="Y147" s="50"/>
      <c r="Z147" s="115"/>
      <c r="AA147" s="114" t="s">
        <v>17580</v>
      </c>
      <c r="AB147" s="49"/>
      <c r="AC147" s="50"/>
      <c r="AD147" s="115"/>
      <c r="AE147" s="208">
        <f>ROUND((ROUND((_15_同援日１．５*_15・通訳),0)*(1+_15・区４)),0)+ROUND((ROUND((ROUND((_15_同援日１．５＿１．５*_15・通訳),0)*(1+_15・B夜間)),0)*(1+_15・区４)),0)</f>
        <v>854</v>
      </c>
      <c r="AF147" s="48"/>
    </row>
    <row r="148" spans="1:32" ht="16.5" customHeight="1" x14ac:dyDescent="0.15">
      <c r="A148" s="41">
        <v>15</v>
      </c>
      <c r="B148" s="41" t="s">
        <v>27671</v>
      </c>
      <c r="C148" s="74" t="s">
        <v>27672</v>
      </c>
      <c r="D148" s="72"/>
      <c r="F148" s="57"/>
      <c r="G148" s="72"/>
      <c r="I148" s="57"/>
      <c r="J148" s="72"/>
      <c r="P148" s="299" t="s">
        <v>17556</v>
      </c>
      <c r="Q148" s="45" t="s">
        <v>398</v>
      </c>
      <c r="R148" s="46">
        <v>1</v>
      </c>
      <c r="S148" s="512"/>
      <c r="V148" s="57"/>
      <c r="W148" s="190"/>
      <c r="X148" s="37"/>
      <c r="Y148" s="38"/>
      <c r="Z148" s="79"/>
      <c r="AA148" s="72" t="s">
        <v>17572</v>
      </c>
      <c r="AD148" s="57"/>
      <c r="AE148" s="208">
        <f>ROUND((ROUND((ROUND((_15_同援日１．５*_15・通訳),0)*_15・２人),0)*(1+_15・区４)),0)+ROUND((ROUND((ROUND((ROUND((_15_同援日１．５＿１．５*_15・通訳),0)*_15・２人),0)*(1+_15・B夜間)),0)*(1+_15・区４)),0)</f>
        <v>854</v>
      </c>
      <c r="AF148" s="48"/>
    </row>
    <row r="149" spans="1:32" ht="16.5" customHeight="1" x14ac:dyDescent="0.15">
      <c r="A149" s="41">
        <v>15</v>
      </c>
      <c r="B149" s="41" t="s">
        <v>27673</v>
      </c>
      <c r="C149" s="74" t="s">
        <v>27674</v>
      </c>
      <c r="D149" s="72"/>
      <c r="F149" s="57"/>
      <c r="G149" s="72"/>
      <c r="I149" s="57"/>
      <c r="J149" s="72"/>
      <c r="P149" s="299"/>
      <c r="Q149" s="45"/>
      <c r="R149" s="46"/>
      <c r="S149" s="512"/>
      <c r="V149" s="57"/>
      <c r="W149" s="253" t="s">
        <v>17562</v>
      </c>
      <c r="X149" s="49"/>
      <c r="Y149" s="50"/>
      <c r="Z149" s="115"/>
      <c r="AA149" s="72"/>
      <c r="AB149" s="12" t="s">
        <v>398</v>
      </c>
      <c r="AC149" s="13">
        <v>0.4</v>
      </c>
      <c r="AD149" s="57" t="s">
        <v>3575</v>
      </c>
      <c r="AE149" s="208">
        <f>ROUND((ROUND((ROUND((_15_同援日１．５*_15・通訳),0)*(1+_15・盲ろう)),0)*(1+_15・区４)),0)+ROUND((ROUND((ROUND((ROUND((_15_同援日１．５＿１．５*_15・通訳),0)*(1+_15・B夜間)),0)*(1+_15・盲ろう)),0)*(1+_15・区４)),0)</f>
        <v>1068</v>
      </c>
      <c r="AF149" s="48"/>
    </row>
    <row r="150" spans="1:32" ht="16.5" customHeight="1" x14ac:dyDescent="0.15">
      <c r="A150" s="41">
        <v>15</v>
      </c>
      <c r="B150" s="41" t="s">
        <v>27675</v>
      </c>
      <c r="C150" s="74" t="s">
        <v>27676</v>
      </c>
      <c r="D150" s="122"/>
      <c r="E150" s="37"/>
      <c r="F150" s="79"/>
      <c r="G150" s="122"/>
      <c r="H150" s="37"/>
      <c r="I150" s="79"/>
      <c r="J150" s="72"/>
      <c r="P150" s="299" t="s">
        <v>17556</v>
      </c>
      <c r="Q150" s="45" t="s">
        <v>398</v>
      </c>
      <c r="R150" s="46">
        <v>1</v>
      </c>
      <c r="S150" s="512"/>
      <c r="V150" s="57"/>
      <c r="W150" s="190" t="s">
        <v>17564</v>
      </c>
      <c r="X150" s="37" t="s">
        <v>398</v>
      </c>
      <c r="Y150" s="38">
        <v>0.25</v>
      </c>
      <c r="Z150" s="79" t="s">
        <v>3575</v>
      </c>
      <c r="AA150" s="122"/>
      <c r="AB150" s="37"/>
      <c r="AC150" s="38"/>
      <c r="AD150" s="79"/>
      <c r="AE150" s="208">
        <f>ROUND((ROUND((ROUND((ROUND((_15_同援日１．５*_15・通訳),0)*_15・２人),0)*(1+_15・盲ろう)),0)*(1+_15・区４)),0)+ROUND((ROUND((ROUND((ROUND((ROUND((_15_同援日１．５＿１．５*_15・通訳),0)*_15・２人),0)*(1+_15・B夜間)),0)*(1+_15・盲ろう)),0)*(1+_15・区４)),0)</f>
        <v>1068</v>
      </c>
      <c r="AF150" s="48"/>
    </row>
    <row r="151" spans="1:32" ht="16.5" customHeight="1" x14ac:dyDescent="0.15">
      <c r="A151" s="41">
        <v>15</v>
      </c>
      <c r="B151" s="41" t="s">
        <v>27677</v>
      </c>
      <c r="C151" s="74" t="s">
        <v>27678</v>
      </c>
      <c r="D151" s="114" t="s">
        <v>17641</v>
      </c>
      <c r="E151" s="49"/>
      <c r="F151" s="115"/>
      <c r="G151" s="114" t="s">
        <v>19553</v>
      </c>
      <c r="H151" s="49"/>
      <c r="I151" s="115"/>
      <c r="J151" s="72"/>
      <c r="P151" s="299"/>
      <c r="Q151" s="45"/>
      <c r="R151" s="46"/>
      <c r="S151" s="512"/>
      <c r="V151" s="57"/>
      <c r="W151" s="253"/>
      <c r="X151" s="49"/>
      <c r="Y151" s="50"/>
      <c r="Z151" s="115"/>
      <c r="AA151" s="114"/>
      <c r="AB151" s="49"/>
      <c r="AC151" s="50"/>
      <c r="AD151" s="115"/>
      <c r="AE151" s="208">
        <f>ROUND((_15_同援日２．０*_15・通訳),0)+ROUND((ROUND((_15_同援日２．０＿０．５*_15・通訳),0)*(1+_15・B夜間)),0)</f>
        <v>522</v>
      </c>
      <c r="AF151" s="48"/>
    </row>
    <row r="152" spans="1:32" ht="16.5" customHeight="1" x14ac:dyDescent="0.15">
      <c r="A152" s="41">
        <v>15</v>
      </c>
      <c r="B152" s="41" t="s">
        <v>27679</v>
      </c>
      <c r="C152" s="74" t="s">
        <v>27680</v>
      </c>
      <c r="D152" s="72" t="s">
        <v>17643</v>
      </c>
      <c r="F152" s="57"/>
      <c r="G152" s="72" t="s">
        <v>18259</v>
      </c>
      <c r="I152" s="57"/>
      <c r="J152" s="72"/>
      <c r="P152" s="299" t="s">
        <v>17556</v>
      </c>
      <c r="Q152" s="45" t="s">
        <v>398</v>
      </c>
      <c r="R152" s="46">
        <v>1</v>
      </c>
      <c r="S152" s="512"/>
      <c r="V152" s="57"/>
      <c r="W152" s="190"/>
      <c r="X152" s="37"/>
      <c r="Y152" s="38"/>
      <c r="Z152" s="79"/>
      <c r="AA152" s="72"/>
      <c r="AD152" s="57"/>
      <c r="AE152" s="208">
        <f>ROUND((ROUND((_15_同援日２．０*_15・通訳),0)*_15・２人),0)+ROUND((ROUND((ROUND((_15_同援日２．０＿０．５*_15・通訳),0)*_15・２人),0)*(1+_15・B夜間)),0)</f>
        <v>522</v>
      </c>
      <c r="AF152" s="48"/>
    </row>
    <row r="153" spans="1:32" ht="16.5" customHeight="1" x14ac:dyDescent="0.15">
      <c r="A153" s="41">
        <v>15</v>
      </c>
      <c r="B153" s="41" t="s">
        <v>27681</v>
      </c>
      <c r="C153" s="74" t="s">
        <v>27682</v>
      </c>
      <c r="D153" s="72" t="s">
        <v>17645</v>
      </c>
      <c r="F153" s="57"/>
      <c r="G153" s="72"/>
      <c r="I153" s="57"/>
      <c r="J153" s="72"/>
      <c r="P153" s="299"/>
      <c r="Q153" s="45"/>
      <c r="R153" s="46"/>
      <c r="S153" s="512"/>
      <c r="V153" s="57"/>
      <c r="W153" s="253" t="s">
        <v>17562</v>
      </c>
      <c r="X153" s="49"/>
      <c r="Y153" s="50"/>
      <c r="Z153" s="115"/>
      <c r="AA153" s="72"/>
      <c r="AD153" s="57"/>
      <c r="AE153" s="208">
        <f>ROUND((ROUND((_15_同援日２．０*_15・通訳),0)*(1+_15・盲ろう)),0)+ROUND((ROUND((ROUND((_15_同援日２．０＿０．５*_15・通訳),0)*(1+_15・B夜間)),0)*(1+_15・盲ろう)),0)</f>
        <v>653</v>
      </c>
      <c r="AF153" s="48"/>
    </row>
    <row r="154" spans="1:32" ht="16.5" customHeight="1" x14ac:dyDescent="0.15">
      <c r="A154" s="41">
        <v>15</v>
      </c>
      <c r="B154" s="41" t="s">
        <v>27683</v>
      </c>
      <c r="C154" s="74" t="s">
        <v>27684</v>
      </c>
      <c r="D154" s="72"/>
      <c r="E154" s="168">
        <f>_15_同援日２．０</f>
        <v>498</v>
      </c>
      <c r="F154" s="57" t="s">
        <v>392</v>
      </c>
      <c r="G154" s="72"/>
      <c r="H154" s="168">
        <f>_15_同援日２．０＿０．５</f>
        <v>65</v>
      </c>
      <c r="I154" s="57" t="s">
        <v>392</v>
      </c>
      <c r="J154" s="72"/>
      <c r="P154" s="299" t="s">
        <v>17556</v>
      </c>
      <c r="Q154" s="45" t="s">
        <v>398</v>
      </c>
      <c r="R154" s="46">
        <v>1</v>
      </c>
      <c r="S154" s="512"/>
      <c r="V154" s="57"/>
      <c r="W154" s="190" t="s">
        <v>17564</v>
      </c>
      <c r="X154" s="37" t="s">
        <v>398</v>
      </c>
      <c r="Y154" s="38">
        <v>0.25</v>
      </c>
      <c r="Z154" s="79" t="s">
        <v>3575</v>
      </c>
      <c r="AA154" s="122"/>
      <c r="AB154" s="37"/>
      <c r="AC154" s="38"/>
      <c r="AD154" s="79"/>
      <c r="AE154" s="208">
        <f>ROUND((ROUND((ROUND((_15_同援日２．０*_15・通訳),0)*_15・２人),0)*(1+_15・盲ろう)),0)+ROUND((ROUND((ROUND((ROUND((_15_同援日２．０＿０．５*_15・通訳),0)*_15・２人),0)*(1+_15・B夜間)),0)*(1+_15・盲ろう)),0)</f>
        <v>653</v>
      </c>
      <c r="AF154" s="48"/>
    </row>
    <row r="155" spans="1:32" ht="16.5" customHeight="1" x14ac:dyDescent="0.15">
      <c r="A155" s="41">
        <v>15</v>
      </c>
      <c r="B155" s="41" t="s">
        <v>27685</v>
      </c>
      <c r="C155" s="74" t="s">
        <v>27686</v>
      </c>
      <c r="D155" s="72"/>
      <c r="F155" s="57"/>
      <c r="G155" s="72"/>
      <c r="I155" s="57"/>
      <c r="J155" s="72"/>
      <c r="P155" s="299"/>
      <c r="Q155" s="45"/>
      <c r="R155" s="46"/>
      <c r="S155" s="512"/>
      <c r="V155" s="57"/>
      <c r="W155" s="253"/>
      <c r="X155" s="49"/>
      <c r="Y155" s="50"/>
      <c r="Z155" s="115"/>
      <c r="AA155" s="114" t="s">
        <v>17570</v>
      </c>
      <c r="AB155" s="49"/>
      <c r="AC155" s="50"/>
      <c r="AD155" s="115"/>
      <c r="AE155" s="208">
        <f>ROUND((ROUND((_15_同援日２．０*_15・通訳),0)*(1+_15・区３)),0)+ROUND((ROUND((ROUND((_15_同援日２．０＿０．５*_15・通訳),0)*(1+_15・B夜間)),0)*(1+_15・区３)),0)</f>
        <v>627</v>
      </c>
      <c r="AF155" s="48"/>
    </row>
    <row r="156" spans="1:32" ht="16.5" customHeight="1" x14ac:dyDescent="0.15">
      <c r="A156" s="41">
        <v>15</v>
      </c>
      <c r="B156" s="41" t="s">
        <v>27687</v>
      </c>
      <c r="C156" s="74" t="s">
        <v>27688</v>
      </c>
      <c r="D156" s="72"/>
      <c r="F156" s="57"/>
      <c r="G156" s="72"/>
      <c r="I156" s="57"/>
      <c r="J156" s="72"/>
      <c r="P156" s="299" t="s">
        <v>17556</v>
      </c>
      <c r="Q156" s="45" t="s">
        <v>398</v>
      </c>
      <c r="R156" s="46">
        <v>1</v>
      </c>
      <c r="S156" s="512"/>
      <c r="V156" s="57"/>
      <c r="W156" s="190"/>
      <c r="X156" s="37"/>
      <c r="Y156" s="38"/>
      <c r="Z156" s="79"/>
      <c r="AA156" s="72" t="s">
        <v>17572</v>
      </c>
      <c r="AD156" s="57"/>
      <c r="AE156" s="208">
        <f>ROUND((ROUND((ROUND((_15_同援日２．０*_15・通訳),0)*_15・２人),0)*(1+_15・区３)),0)+ROUND((ROUND((ROUND((ROUND((_15_同援日２．０＿０．５*_15・通訳),0)*_15・２人),0)*(1+_15・B夜間)),0)*(1+_15・区３)),0)</f>
        <v>627</v>
      </c>
      <c r="AF156" s="48"/>
    </row>
    <row r="157" spans="1:32" ht="16.5" customHeight="1" x14ac:dyDescent="0.15">
      <c r="A157" s="41">
        <v>15</v>
      </c>
      <c r="B157" s="41" t="s">
        <v>3128</v>
      </c>
      <c r="C157" s="74" t="s">
        <v>27689</v>
      </c>
      <c r="D157" s="72"/>
      <c r="F157" s="57"/>
      <c r="G157" s="72"/>
      <c r="I157" s="57"/>
      <c r="J157" s="72"/>
      <c r="P157" s="299"/>
      <c r="Q157" s="45"/>
      <c r="R157" s="46"/>
      <c r="S157" s="512"/>
      <c r="V157" s="57"/>
      <c r="W157" s="253" t="s">
        <v>17562</v>
      </c>
      <c r="X157" s="49"/>
      <c r="Y157" s="50"/>
      <c r="Z157" s="115"/>
      <c r="AA157" s="72"/>
      <c r="AB157" s="12" t="s">
        <v>398</v>
      </c>
      <c r="AC157" s="13">
        <v>0.2</v>
      </c>
      <c r="AD157" s="57" t="s">
        <v>3575</v>
      </c>
      <c r="AE157" s="208">
        <f>ROUND((ROUND((ROUND((_15_同援日２．０*_15・通訳),0)*(1+_15・盲ろう)),0)*(1+_15・区３)),0)+ROUND((ROUND((ROUND((ROUND((_15_同援日２．０＿０．５*_15・通訳),0)*(1+_15・B夜間)),0)*(1+_15・盲ろう)),0)*(1+_15・区３)),0)</f>
        <v>784</v>
      </c>
      <c r="AF157" s="48"/>
    </row>
    <row r="158" spans="1:32" ht="16.5" customHeight="1" x14ac:dyDescent="0.15">
      <c r="A158" s="41">
        <v>15</v>
      </c>
      <c r="B158" s="41" t="s">
        <v>3130</v>
      </c>
      <c r="C158" s="74" t="s">
        <v>27690</v>
      </c>
      <c r="D158" s="72"/>
      <c r="F158" s="57"/>
      <c r="G158" s="72"/>
      <c r="I158" s="57"/>
      <c r="J158" s="72"/>
      <c r="P158" s="299" t="s">
        <v>17556</v>
      </c>
      <c r="Q158" s="45" t="s">
        <v>398</v>
      </c>
      <c r="R158" s="46">
        <v>1</v>
      </c>
      <c r="S158" s="512"/>
      <c r="V158" s="57"/>
      <c r="W158" s="190" t="s">
        <v>17564</v>
      </c>
      <c r="X158" s="37" t="s">
        <v>398</v>
      </c>
      <c r="Y158" s="38">
        <v>0.25</v>
      </c>
      <c r="Z158" s="79" t="s">
        <v>3575</v>
      </c>
      <c r="AA158" s="122"/>
      <c r="AB158" s="37"/>
      <c r="AC158" s="38"/>
      <c r="AD158" s="79"/>
      <c r="AE158" s="208">
        <f>ROUND((ROUND((ROUND((ROUND((_15_同援日２．０*_15・通訳),0)*_15・２人),0)*(1+_15・盲ろう)),0)*(1+_15・区３)),0)+ROUND((ROUND((ROUND((ROUND((ROUND((_15_同援日２．０＿０．５*_15・通訳),0)*_15・２人),0)*(1+_15・B夜間)),0)*(1+_15・盲ろう)),0)*(1+_15・区３)),0)</f>
        <v>784</v>
      </c>
      <c r="AF158" s="48"/>
    </row>
    <row r="159" spans="1:32" ht="16.5" customHeight="1" x14ac:dyDescent="0.15">
      <c r="A159" s="41">
        <v>15</v>
      </c>
      <c r="B159" s="41" t="s">
        <v>3132</v>
      </c>
      <c r="C159" s="74" t="s">
        <v>27691</v>
      </c>
      <c r="D159" s="72"/>
      <c r="F159" s="57"/>
      <c r="G159" s="72"/>
      <c r="I159" s="57"/>
      <c r="J159" s="72"/>
      <c r="P159" s="299"/>
      <c r="Q159" s="45"/>
      <c r="R159" s="46"/>
      <c r="S159" s="512"/>
      <c r="V159" s="57"/>
      <c r="W159" s="253"/>
      <c r="X159" s="49"/>
      <c r="Y159" s="50"/>
      <c r="Z159" s="115"/>
      <c r="AA159" s="114" t="s">
        <v>17580</v>
      </c>
      <c r="AB159" s="49"/>
      <c r="AC159" s="50"/>
      <c r="AD159" s="115"/>
      <c r="AE159" s="208">
        <f>ROUND((ROUND((_15_同援日２．０*_15・通訳),0)*(1+_15・区４)),0)+ROUND((ROUND((ROUND((_15_同援日２．０＿０．５*_15・通訳),0)*(1+_15・B夜間)),0)*(1+_15・区４)),0)</f>
        <v>731</v>
      </c>
      <c r="AF159" s="48"/>
    </row>
    <row r="160" spans="1:32" ht="16.5" customHeight="1" x14ac:dyDescent="0.15">
      <c r="A160" s="41">
        <v>15</v>
      </c>
      <c r="B160" s="41" t="s">
        <v>3134</v>
      </c>
      <c r="C160" s="74" t="s">
        <v>27692</v>
      </c>
      <c r="D160" s="72"/>
      <c r="F160" s="57"/>
      <c r="G160" s="72"/>
      <c r="I160" s="57"/>
      <c r="J160" s="72"/>
      <c r="P160" s="299" t="s">
        <v>17556</v>
      </c>
      <c r="Q160" s="45" t="s">
        <v>398</v>
      </c>
      <c r="R160" s="46">
        <v>1</v>
      </c>
      <c r="S160" s="512"/>
      <c r="V160" s="57"/>
      <c r="W160" s="190"/>
      <c r="X160" s="37"/>
      <c r="Y160" s="38"/>
      <c r="Z160" s="79"/>
      <c r="AA160" s="72" t="s">
        <v>17572</v>
      </c>
      <c r="AD160" s="57"/>
      <c r="AE160" s="208">
        <f>ROUND((ROUND((ROUND((_15_同援日２．０*_15・通訳),0)*_15・２人),0)*(1+_15・区４)),0)+ROUND((ROUND((ROUND((ROUND((_15_同援日２．０＿０．５*_15・通訳),0)*_15・２人),0)*(1+_15・B夜間)),0)*(1+_15・区４)),0)</f>
        <v>731</v>
      </c>
      <c r="AF160" s="48"/>
    </row>
    <row r="161" spans="1:32" ht="16.5" customHeight="1" x14ac:dyDescent="0.15">
      <c r="A161" s="41">
        <v>15</v>
      </c>
      <c r="B161" s="41" t="s">
        <v>27693</v>
      </c>
      <c r="C161" s="74" t="s">
        <v>27694</v>
      </c>
      <c r="D161" s="72"/>
      <c r="F161" s="57"/>
      <c r="G161" s="72"/>
      <c r="I161" s="57"/>
      <c r="J161" s="72"/>
      <c r="P161" s="299"/>
      <c r="Q161" s="45"/>
      <c r="R161" s="46"/>
      <c r="S161" s="512"/>
      <c r="V161" s="57"/>
      <c r="W161" s="253" t="s">
        <v>17562</v>
      </c>
      <c r="X161" s="49"/>
      <c r="Y161" s="50"/>
      <c r="Z161" s="115"/>
      <c r="AA161" s="72"/>
      <c r="AB161" s="12" t="s">
        <v>398</v>
      </c>
      <c r="AC161" s="13">
        <v>0.4</v>
      </c>
      <c r="AD161" s="57" t="s">
        <v>3575</v>
      </c>
      <c r="AE161" s="208">
        <f>ROUND((ROUND((ROUND((_15_同援日２．０*_15・通訳),0)*(1+_15・盲ろう)),0)*(1+_15・区４)),0)+ROUND((ROUND((ROUND((ROUND((_15_同援日２．０＿０．５*_15・通訳),0)*(1+_15・B夜間)),0)*(1+_15・盲ろう)),0)*(1+_15・区４)),0)</f>
        <v>914</v>
      </c>
      <c r="AF161" s="48"/>
    </row>
    <row r="162" spans="1:32" ht="16.5" customHeight="1" x14ac:dyDescent="0.15">
      <c r="A162" s="41">
        <v>15</v>
      </c>
      <c r="B162" s="41" t="s">
        <v>27695</v>
      </c>
      <c r="C162" s="74" t="s">
        <v>27696</v>
      </c>
      <c r="D162" s="72"/>
      <c r="F162" s="57"/>
      <c r="G162" s="122"/>
      <c r="H162" s="37"/>
      <c r="I162" s="79"/>
      <c r="J162" s="72"/>
      <c r="P162" s="299" t="s">
        <v>17556</v>
      </c>
      <c r="Q162" s="45" t="s">
        <v>398</v>
      </c>
      <c r="R162" s="46">
        <v>1</v>
      </c>
      <c r="S162" s="512"/>
      <c r="V162" s="57"/>
      <c r="W162" s="190" t="s">
        <v>17564</v>
      </c>
      <c r="X162" s="37" t="s">
        <v>398</v>
      </c>
      <c r="Y162" s="38">
        <v>0.25</v>
      </c>
      <c r="Z162" s="79" t="s">
        <v>3575</v>
      </c>
      <c r="AA162" s="122"/>
      <c r="AB162" s="37"/>
      <c r="AC162" s="38"/>
      <c r="AD162" s="79"/>
      <c r="AE162" s="208">
        <f>ROUND((ROUND((ROUND((ROUND((_15_同援日２．０*_15・通訳),0)*_15・２人),0)*(1+_15・盲ろう)),0)*(1+_15・区４)),0)+ROUND((ROUND((ROUND((ROUND((ROUND((_15_同援日２．０＿０．５*_15・通訳),0)*_15・２人),0)*(1+_15・B夜間)),0)*(1+_15・盲ろう)),0)*(1+_15・区４)),0)</f>
        <v>914</v>
      </c>
      <c r="AF162" s="48"/>
    </row>
    <row r="163" spans="1:32" ht="16.5" customHeight="1" x14ac:dyDescent="0.15">
      <c r="A163" s="41">
        <v>15</v>
      </c>
      <c r="B163" s="41" t="s">
        <v>27697</v>
      </c>
      <c r="C163" s="74" t="s">
        <v>27698</v>
      </c>
      <c r="D163" s="72"/>
      <c r="F163" s="57"/>
      <c r="G163" s="114" t="s">
        <v>19578</v>
      </c>
      <c r="H163" s="49"/>
      <c r="I163" s="115"/>
      <c r="J163" s="72"/>
      <c r="P163" s="299"/>
      <c r="Q163" s="45"/>
      <c r="R163" s="46"/>
      <c r="S163" s="512"/>
      <c r="V163" s="57"/>
      <c r="W163" s="253"/>
      <c r="X163" s="49"/>
      <c r="Y163" s="50"/>
      <c r="Z163" s="115"/>
      <c r="AA163" s="114"/>
      <c r="AB163" s="49"/>
      <c r="AC163" s="50"/>
      <c r="AD163" s="115"/>
      <c r="AE163" s="208">
        <f>ROUND((_15_同援日２．０*_15・通訳),0)+ROUND((ROUND((_15_同援日２．０＿１．０*_15・通訳),0)*(1+_15・B夜間)),0)</f>
        <v>594</v>
      </c>
      <c r="AF163" s="48"/>
    </row>
    <row r="164" spans="1:32" ht="16.5" customHeight="1" x14ac:dyDescent="0.15">
      <c r="A164" s="41">
        <v>15</v>
      </c>
      <c r="B164" s="41" t="s">
        <v>27699</v>
      </c>
      <c r="C164" s="74" t="s">
        <v>27700</v>
      </c>
      <c r="D164" s="72"/>
      <c r="F164" s="57"/>
      <c r="G164" s="72" t="s">
        <v>17589</v>
      </c>
      <c r="I164" s="57"/>
      <c r="J164" s="72"/>
      <c r="P164" s="299" t="s">
        <v>17556</v>
      </c>
      <c r="Q164" s="45" t="s">
        <v>398</v>
      </c>
      <c r="R164" s="46">
        <v>1</v>
      </c>
      <c r="S164" s="512"/>
      <c r="V164" s="57"/>
      <c r="W164" s="190"/>
      <c r="X164" s="37"/>
      <c r="Y164" s="38"/>
      <c r="Z164" s="79"/>
      <c r="AA164" s="72"/>
      <c r="AD164" s="57"/>
      <c r="AE164" s="208">
        <f>ROUND((ROUND((_15_同援日２．０*_15・通訳),0)*_15・２人),0)+ROUND((ROUND((ROUND((_15_同援日２．０＿１．０*_15・通訳),0)*_15・２人),0)*(1+_15・B夜間)),0)</f>
        <v>594</v>
      </c>
      <c r="AF164" s="48"/>
    </row>
    <row r="165" spans="1:32" ht="16.5" customHeight="1" x14ac:dyDescent="0.15">
      <c r="A165" s="41">
        <v>15</v>
      </c>
      <c r="B165" s="41" t="s">
        <v>27701</v>
      </c>
      <c r="C165" s="74" t="s">
        <v>27702</v>
      </c>
      <c r="D165" s="72"/>
      <c r="F165" s="57"/>
      <c r="G165" s="72" t="s">
        <v>17591</v>
      </c>
      <c r="I165" s="57"/>
      <c r="J165" s="72"/>
      <c r="P165" s="299"/>
      <c r="Q165" s="45"/>
      <c r="R165" s="46"/>
      <c r="S165" s="512"/>
      <c r="V165" s="57"/>
      <c r="W165" s="253" t="s">
        <v>17562</v>
      </c>
      <c r="X165" s="49"/>
      <c r="Y165" s="50"/>
      <c r="Z165" s="115"/>
      <c r="AA165" s="72"/>
      <c r="AD165" s="57"/>
      <c r="AE165" s="208">
        <f>ROUND((ROUND((_15_同援日２．０*_15・通訳),0)*(1+_15・盲ろう)),0)+ROUND((ROUND((ROUND((_15_同援日２．０＿１．０*_15・通訳),0)*(1+_15・B夜間)),0)*(1+_15・盲ろう)),0)</f>
        <v>743</v>
      </c>
      <c r="AF165" s="48"/>
    </row>
    <row r="166" spans="1:32" ht="16.5" customHeight="1" x14ac:dyDescent="0.15">
      <c r="A166" s="41">
        <v>15</v>
      </c>
      <c r="B166" s="41" t="s">
        <v>27703</v>
      </c>
      <c r="C166" s="74" t="s">
        <v>27704</v>
      </c>
      <c r="D166" s="72"/>
      <c r="F166" s="57"/>
      <c r="G166" s="72"/>
      <c r="H166" s="168">
        <f>_15_同援日２．０＿１．０</f>
        <v>130</v>
      </c>
      <c r="I166" s="57" t="s">
        <v>392</v>
      </c>
      <c r="J166" s="72"/>
      <c r="P166" s="299" t="s">
        <v>17556</v>
      </c>
      <c r="Q166" s="45" t="s">
        <v>398</v>
      </c>
      <c r="R166" s="46">
        <v>1</v>
      </c>
      <c r="S166" s="512"/>
      <c r="V166" s="57"/>
      <c r="W166" s="190" t="s">
        <v>17564</v>
      </c>
      <c r="X166" s="37" t="s">
        <v>398</v>
      </c>
      <c r="Y166" s="38">
        <v>0.25</v>
      </c>
      <c r="Z166" s="79" t="s">
        <v>3575</v>
      </c>
      <c r="AA166" s="122"/>
      <c r="AB166" s="37"/>
      <c r="AC166" s="38"/>
      <c r="AD166" s="79"/>
      <c r="AE166" s="208">
        <f>ROUND((ROUND((ROUND((_15_同援日２．０*_15・通訳),0)*_15・２人),0)*(1+_15・盲ろう)),0)+ROUND((ROUND((ROUND((ROUND((_15_同援日２．０＿１．０*_15・通訳),0)*_15・２人),0)*(1+_15・B夜間)),0)*(1+_15・盲ろう)),0)</f>
        <v>743</v>
      </c>
      <c r="AF166" s="48"/>
    </row>
    <row r="167" spans="1:32" ht="16.5" customHeight="1" x14ac:dyDescent="0.15">
      <c r="A167" s="41">
        <v>15</v>
      </c>
      <c r="B167" s="41" t="s">
        <v>27705</v>
      </c>
      <c r="C167" s="74" t="s">
        <v>27706</v>
      </c>
      <c r="D167" s="72"/>
      <c r="F167" s="57"/>
      <c r="G167" s="72"/>
      <c r="I167" s="57"/>
      <c r="J167" s="72"/>
      <c r="P167" s="299"/>
      <c r="Q167" s="45"/>
      <c r="R167" s="46"/>
      <c r="S167" s="512"/>
      <c r="V167" s="57"/>
      <c r="W167" s="253"/>
      <c r="X167" s="49"/>
      <c r="Y167" s="50"/>
      <c r="Z167" s="115"/>
      <c r="AA167" s="114" t="s">
        <v>17570</v>
      </c>
      <c r="AB167" s="49"/>
      <c r="AC167" s="50"/>
      <c r="AD167" s="115"/>
      <c r="AE167" s="208">
        <f>ROUND((ROUND((_15_同援日２．０*_15・通訳),0)*(1+_15・区３)),0)+ROUND((ROUND((ROUND((_15_同援日２．０＿１．０*_15・通訳),0)*(1+_15・B夜間)),0)*(1+_15・区３)),0)</f>
        <v>713</v>
      </c>
      <c r="AF167" s="48"/>
    </row>
    <row r="168" spans="1:32" ht="16.5" customHeight="1" x14ac:dyDescent="0.15">
      <c r="A168" s="41">
        <v>15</v>
      </c>
      <c r="B168" s="41" t="s">
        <v>27707</v>
      </c>
      <c r="C168" s="74" t="s">
        <v>27708</v>
      </c>
      <c r="D168" s="72"/>
      <c r="F168" s="57"/>
      <c r="G168" s="72"/>
      <c r="I168" s="57"/>
      <c r="J168" s="72"/>
      <c r="P168" s="299" t="s">
        <v>17556</v>
      </c>
      <c r="Q168" s="45" t="s">
        <v>398</v>
      </c>
      <c r="R168" s="46">
        <v>1</v>
      </c>
      <c r="S168" s="512"/>
      <c r="V168" s="57"/>
      <c r="W168" s="190"/>
      <c r="X168" s="37"/>
      <c r="Y168" s="38"/>
      <c r="Z168" s="79"/>
      <c r="AA168" s="72" t="s">
        <v>17572</v>
      </c>
      <c r="AD168" s="57"/>
      <c r="AE168" s="208">
        <f>ROUND((ROUND((ROUND((_15_同援日２．０*_15・通訳),0)*_15・２人),0)*(1+_15・区３)),0)+ROUND((ROUND((ROUND((ROUND((_15_同援日２．０＿１．０*_15・通訳),0)*_15・２人),0)*(1+_15・B夜間)),0)*(1+_15・区３)),0)</f>
        <v>713</v>
      </c>
      <c r="AF168" s="48"/>
    </row>
    <row r="169" spans="1:32" ht="16.5" customHeight="1" x14ac:dyDescent="0.15">
      <c r="A169" s="41">
        <v>15</v>
      </c>
      <c r="B169" s="41" t="s">
        <v>27709</v>
      </c>
      <c r="C169" s="74" t="s">
        <v>27710</v>
      </c>
      <c r="D169" s="72"/>
      <c r="F169" s="57"/>
      <c r="G169" s="72"/>
      <c r="I169" s="57"/>
      <c r="J169" s="72"/>
      <c r="P169" s="299"/>
      <c r="Q169" s="45"/>
      <c r="R169" s="46"/>
      <c r="S169" s="512"/>
      <c r="V169" s="57"/>
      <c r="W169" s="253" t="s">
        <v>17562</v>
      </c>
      <c r="X169" s="49"/>
      <c r="Y169" s="50"/>
      <c r="Z169" s="115"/>
      <c r="AA169" s="72"/>
      <c r="AB169" s="12" t="s">
        <v>398</v>
      </c>
      <c r="AC169" s="13">
        <v>0.2</v>
      </c>
      <c r="AD169" s="57" t="s">
        <v>3575</v>
      </c>
      <c r="AE169" s="208">
        <f>ROUND((ROUND((ROUND((_15_同援日２．０*_15・通訳),0)*(1+_15・盲ろう)),0)*(1+_15・区３)),0)+ROUND((ROUND((ROUND((ROUND((_15_同援日２．０＿１．０*_15・通訳),0)*(1+_15・B夜間)),0)*(1+_15・盲ろう)),0)*(1+_15・区３)),0)</f>
        <v>892</v>
      </c>
      <c r="AF169" s="48"/>
    </row>
    <row r="170" spans="1:32" ht="16.5" customHeight="1" x14ac:dyDescent="0.15">
      <c r="A170" s="41">
        <v>15</v>
      </c>
      <c r="B170" s="41" t="s">
        <v>27711</v>
      </c>
      <c r="C170" s="74" t="s">
        <v>27712</v>
      </c>
      <c r="D170" s="72"/>
      <c r="F170" s="57"/>
      <c r="G170" s="72"/>
      <c r="I170" s="57"/>
      <c r="J170" s="72"/>
      <c r="P170" s="299" t="s">
        <v>17556</v>
      </c>
      <c r="Q170" s="45" t="s">
        <v>398</v>
      </c>
      <c r="R170" s="46">
        <v>1</v>
      </c>
      <c r="S170" s="512"/>
      <c r="V170" s="57"/>
      <c r="W170" s="190" t="s">
        <v>17564</v>
      </c>
      <c r="X170" s="37" t="s">
        <v>398</v>
      </c>
      <c r="Y170" s="38">
        <v>0.25</v>
      </c>
      <c r="Z170" s="79" t="s">
        <v>3575</v>
      </c>
      <c r="AA170" s="122"/>
      <c r="AB170" s="37"/>
      <c r="AC170" s="38"/>
      <c r="AD170" s="79"/>
      <c r="AE170" s="208">
        <f>ROUND((ROUND((ROUND((ROUND((_15_同援日２．０*_15・通訳),0)*_15・２人),0)*(1+_15・盲ろう)),0)*(1+_15・区３)),0)+ROUND((ROUND((ROUND((ROUND((ROUND((_15_同援日２．０＿１．０*_15・通訳),0)*_15・２人),0)*(1+_15・B夜間)),0)*(1+_15・盲ろう)),0)*(1+_15・区３)),0)</f>
        <v>892</v>
      </c>
      <c r="AF170" s="48"/>
    </row>
    <row r="171" spans="1:32" ht="16.5" customHeight="1" x14ac:dyDescent="0.15">
      <c r="A171" s="41">
        <v>15</v>
      </c>
      <c r="B171" s="41" t="s">
        <v>27713</v>
      </c>
      <c r="C171" s="74" t="s">
        <v>27714</v>
      </c>
      <c r="D171" s="72"/>
      <c r="F171" s="57"/>
      <c r="G171" s="72"/>
      <c r="I171" s="57"/>
      <c r="J171" s="72"/>
      <c r="P171" s="299"/>
      <c r="Q171" s="45"/>
      <c r="R171" s="46"/>
      <c r="S171" s="512"/>
      <c r="V171" s="57"/>
      <c r="W171" s="253"/>
      <c r="X171" s="49"/>
      <c r="Y171" s="50"/>
      <c r="Z171" s="115"/>
      <c r="AA171" s="114" t="s">
        <v>17580</v>
      </c>
      <c r="AB171" s="49"/>
      <c r="AC171" s="50"/>
      <c r="AD171" s="115"/>
      <c r="AE171" s="208">
        <f>ROUND((ROUND((_15_同援日２．０*_15・通訳),0)*(1+_15・区４)),0)+ROUND((ROUND((ROUND((_15_同援日２．０＿１．０*_15・通訳),0)*(1+_15・B夜間)),0)*(1+_15・区４)),0)</f>
        <v>831</v>
      </c>
      <c r="AF171" s="48"/>
    </row>
    <row r="172" spans="1:32" ht="16.5" customHeight="1" x14ac:dyDescent="0.15">
      <c r="A172" s="41">
        <v>15</v>
      </c>
      <c r="B172" s="41" t="s">
        <v>27715</v>
      </c>
      <c r="C172" s="74" t="s">
        <v>27716</v>
      </c>
      <c r="D172" s="72"/>
      <c r="F172" s="57"/>
      <c r="G172" s="72"/>
      <c r="I172" s="57"/>
      <c r="J172" s="72"/>
      <c r="P172" s="299" t="s">
        <v>17556</v>
      </c>
      <c r="Q172" s="45" t="s">
        <v>398</v>
      </c>
      <c r="R172" s="46">
        <v>1</v>
      </c>
      <c r="S172" s="512"/>
      <c r="V172" s="57"/>
      <c r="W172" s="190"/>
      <c r="X172" s="37"/>
      <c r="Y172" s="38"/>
      <c r="Z172" s="79"/>
      <c r="AA172" s="72" t="s">
        <v>17572</v>
      </c>
      <c r="AD172" s="57"/>
      <c r="AE172" s="208">
        <f>ROUND((ROUND((ROUND((_15_同援日２．０*_15・通訳),0)*_15・２人),0)*(1+_15・区４)),0)+ROUND((ROUND((ROUND((ROUND((_15_同援日２．０＿１．０*_15・通訳),0)*_15・２人),0)*(1+_15・B夜間)),0)*(1+_15・区４)),0)</f>
        <v>831</v>
      </c>
      <c r="AF172" s="48"/>
    </row>
    <row r="173" spans="1:32" ht="16.5" customHeight="1" x14ac:dyDescent="0.15">
      <c r="A173" s="41">
        <v>15</v>
      </c>
      <c r="B173" s="41" t="s">
        <v>27717</v>
      </c>
      <c r="C173" s="74" t="s">
        <v>27718</v>
      </c>
      <c r="D173" s="72"/>
      <c r="F173" s="57"/>
      <c r="G173" s="72"/>
      <c r="I173" s="57"/>
      <c r="J173" s="72"/>
      <c r="P173" s="299"/>
      <c r="Q173" s="45"/>
      <c r="R173" s="46"/>
      <c r="S173" s="512"/>
      <c r="V173" s="57"/>
      <c r="W173" s="253" t="s">
        <v>17562</v>
      </c>
      <c r="X173" s="49"/>
      <c r="Y173" s="50"/>
      <c r="Z173" s="115"/>
      <c r="AA173" s="72"/>
      <c r="AB173" s="12" t="s">
        <v>398</v>
      </c>
      <c r="AC173" s="13">
        <v>0.4</v>
      </c>
      <c r="AD173" s="57" t="s">
        <v>3575</v>
      </c>
      <c r="AE173" s="208">
        <f>ROUND((ROUND((ROUND((_15_同援日２．０*_15・通訳),0)*(1+_15・盲ろう)),0)*(1+_15・区４)),0)+ROUND((ROUND((ROUND((ROUND((_15_同援日２．０＿１．０*_15・通訳),0)*(1+_15・B夜間)),0)*(1+_15・盲ろう)),0)*(1+_15・区４)),0)</f>
        <v>1040</v>
      </c>
      <c r="AF173" s="48"/>
    </row>
    <row r="174" spans="1:32" ht="16.5" customHeight="1" x14ac:dyDescent="0.15">
      <c r="A174" s="41">
        <v>15</v>
      </c>
      <c r="B174" s="41" t="s">
        <v>27719</v>
      </c>
      <c r="C174" s="74" t="s">
        <v>27720</v>
      </c>
      <c r="D174" s="122"/>
      <c r="E174" s="37"/>
      <c r="F174" s="79"/>
      <c r="G174" s="122"/>
      <c r="H174" s="37"/>
      <c r="I174" s="79"/>
      <c r="J174" s="72"/>
      <c r="P174" s="299" t="s">
        <v>17556</v>
      </c>
      <c r="Q174" s="45" t="s">
        <v>398</v>
      </c>
      <c r="R174" s="46">
        <v>1</v>
      </c>
      <c r="S174" s="512"/>
      <c r="V174" s="57"/>
      <c r="W174" s="190" t="s">
        <v>17564</v>
      </c>
      <c r="X174" s="37" t="s">
        <v>398</v>
      </c>
      <c r="Y174" s="38">
        <v>0.25</v>
      </c>
      <c r="Z174" s="79" t="s">
        <v>3575</v>
      </c>
      <c r="AA174" s="122"/>
      <c r="AB174" s="37"/>
      <c r="AC174" s="38"/>
      <c r="AD174" s="79"/>
      <c r="AE174" s="208">
        <f>ROUND((ROUND((ROUND((ROUND((_15_同援日２．０*_15・通訳),0)*_15・２人),0)*(1+_15・盲ろう)),0)*(1+_15・区４)),0)+ROUND((ROUND((ROUND((ROUND((ROUND((_15_同援日２．０＿１．０*_15・通訳),0)*_15・２人),0)*(1+_15・B夜間)),0)*(1+_15・盲ろう)),0)*(1+_15・区４)),0)</f>
        <v>1040</v>
      </c>
      <c r="AF174" s="48"/>
    </row>
    <row r="175" spans="1:32" ht="16.5" customHeight="1" x14ac:dyDescent="0.15">
      <c r="A175" s="41">
        <v>15</v>
      </c>
      <c r="B175" s="41" t="s">
        <v>27721</v>
      </c>
      <c r="C175" s="74" t="s">
        <v>27722</v>
      </c>
      <c r="D175" s="114" t="s">
        <v>17668</v>
      </c>
      <c r="E175" s="49"/>
      <c r="F175" s="115"/>
      <c r="G175" s="114" t="s">
        <v>19553</v>
      </c>
      <c r="H175" s="49"/>
      <c r="I175" s="115"/>
      <c r="J175" s="72"/>
      <c r="P175" s="299"/>
      <c r="Q175" s="45"/>
      <c r="R175" s="46"/>
      <c r="S175" s="512"/>
      <c r="V175" s="57"/>
      <c r="W175" s="253"/>
      <c r="X175" s="49"/>
      <c r="Y175" s="50"/>
      <c r="Z175" s="115"/>
      <c r="AA175" s="114"/>
      <c r="AB175" s="49"/>
      <c r="AC175" s="50"/>
      <c r="AD175" s="115"/>
      <c r="AE175" s="208">
        <f>ROUND((_15_同援日２．５*_15・通訳),0)+ROUND((ROUND((_15_同援日２．５＿０．５*_15・通訳),0)*(1+_15・B夜間)),0)</f>
        <v>581</v>
      </c>
      <c r="AF175" s="48"/>
    </row>
    <row r="176" spans="1:32" ht="16.5" customHeight="1" x14ac:dyDescent="0.15">
      <c r="A176" s="41">
        <v>15</v>
      </c>
      <c r="B176" s="41" t="s">
        <v>27723</v>
      </c>
      <c r="C176" s="74" t="s">
        <v>27724</v>
      </c>
      <c r="D176" s="72" t="s">
        <v>17670</v>
      </c>
      <c r="F176" s="57"/>
      <c r="G176" s="72" t="s">
        <v>18259</v>
      </c>
      <c r="I176" s="57"/>
      <c r="J176" s="72"/>
      <c r="P176" s="299" t="s">
        <v>17556</v>
      </c>
      <c r="Q176" s="45" t="s">
        <v>398</v>
      </c>
      <c r="R176" s="46">
        <v>1</v>
      </c>
      <c r="S176" s="512"/>
      <c r="V176" s="57"/>
      <c r="W176" s="190"/>
      <c r="X176" s="37"/>
      <c r="Y176" s="38"/>
      <c r="Z176" s="79"/>
      <c r="AA176" s="72"/>
      <c r="AD176" s="57"/>
      <c r="AE176" s="208">
        <f>ROUND((ROUND((_15_同援日２．５*_15・通訳),0)*_15・２人),0)+ROUND((ROUND((ROUND((_15_同援日２．５＿０．５*_15・通訳),0)*_15・２人),0)*(1+_15・B夜間)),0)</f>
        <v>581</v>
      </c>
      <c r="AF176" s="48"/>
    </row>
    <row r="177" spans="1:32" ht="16.5" customHeight="1" x14ac:dyDescent="0.15">
      <c r="A177" s="41">
        <v>15</v>
      </c>
      <c r="B177" s="41" t="s">
        <v>3140</v>
      </c>
      <c r="C177" s="74" t="s">
        <v>27725</v>
      </c>
      <c r="D177" s="72" t="s">
        <v>17672</v>
      </c>
      <c r="F177" s="57"/>
      <c r="G177" s="72"/>
      <c r="I177" s="57"/>
      <c r="J177" s="72"/>
      <c r="P177" s="299"/>
      <c r="Q177" s="45"/>
      <c r="R177" s="46"/>
      <c r="S177" s="512"/>
      <c r="V177" s="57"/>
      <c r="W177" s="253" t="s">
        <v>17562</v>
      </c>
      <c r="X177" s="49"/>
      <c r="Y177" s="50"/>
      <c r="Z177" s="115"/>
      <c r="AA177" s="72"/>
      <c r="AD177" s="57"/>
      <c r="AE177" s="208">
        <f>ROUND((ROUND((_15_同援日２．５*_15・通訳),0)*(1+_15・盲ろう)),0)+ROUND((ROUND((ROUND((_15_同援日２．５＿０．５*_15・通訳),0)*(1+_15・B夜間)),0)*(1+_15・盲ろう)),0)</f>
        <v>727</v>
      </c>
      <c r="AF177" s="48"/>
    </row>
    <row r="178" spans="1:32" ht="16.5" customHeight="1" x14ac:dyDescent="0.15">
      <c r="A178" s="41">
        <v>15</v>
      </c>
      <c r="B178" s="41" t="s">
        <v>3142</v>
      </c>
      <c r="C178" s="74" t="s">
        <v>27726</v>
      </c>
      <c r="D178" s="72"/>
      <c r="E178" s="168">
        <f>_15_同援日２．５</f>
        <v>563</v>
      </c>
      <c r="F178" s="57" t="s">
        <v>392</v>
      </c>
      <c r="G178" s="72"/>
      <c r="H178" s="168">
        <f>_15_同援日２．５＿０．５</f>
        <v>65</v>
      </c>
      <c r="I178" s="57" t="s">
        <v>392</v>
      </c>
      <c r="J178" s="72"/>
      <c r="P178" s="299" t="s">
        <v>17556</v>
      </c>
      <c r="Q178" s="45" t="s">
        <v>398</v>
      </c>
      <c r="R178" s="46">
        <v>1</v>
      </c>
      <c r="S178" s="512"/>
      <c r="V178" s="57"/>
      <c r="W178" s="190" t="s">
        <v>17564</v>
      </c>
      <c r="X178" s="37" t="s">
        <v>398</v>
      </c>
      <c r="Y178" s="38">
        <v>0.25</v>
      </c>
      <c r="Z178" s="79" t="s">
        <v>3575</v>
      </c>
      <c r="AA178" s="122"/>
      <c r="AB178" s="37"/>
      <c r="AC178" s="38"/>
      <c r="AD178" s="79"/>
      <c r="AE178" s="208">
        <f>ROUND((ROUND((ROUND((_15_同援日２．５*_15・通訳),0)*_15・２人),0)*(1+_15・盲ろう)),0)+ROUND((ROUND((ROUND((ROUND((_15_同援日２．５＿０．５*_15・通訳),0)*_15・２人),0)*(1+_15・B夜間)),0)*(1+_15・盲ろう)),0)</f>
        <v>727</v>
      </c>
      <c r="AF178" s="48"/>
    </row>
    <row r="179" spans="1:32" ht="16.5" customHeight="1" x14ac:dyDescent="0.15">
      <c r="A179" s="41">
        <v>15</v>
      </c>
      <c r="B179" s="41" t="s">
        <v>3144</v>
      </c>
      <c r="C179" s="74" t="s">
        <v>27727</v>
      </c>
      <c r="D179" s="72"/>
      <c r="F179" s="57"/>
      <c r="G179" s="72"/>
      <c r="I179" s="57"/>
      <c r="J179" s="72"/>
      <c r="P179" s="299"/>
      <c r="Q179" s="45"/>
      <c r="R179" s="46"/>
      <c r="S179" s="512"/>
      <c r="V179" s="57"/>
      <c r="W179" s="253"/>
      <c r="X179" s="49"/>
      <c r="Y179" s="50"/>
      <c r="Z179" s="115"/>
      <c r="AA179" s="114" t="s">
        <v>17570</v>
      </c>
      <c r="AB179" s="49"/>
      <c r="AC179" s="50"/>
      <c r="AD179" s="115"/>
      <c r="AE179" s="208">
        <f>ROUND((ROUND((_15_同援日２．５*_15・通訳),0)*(1+_15・区３)),0)+ROUND((ROUND((ROUND((_15_同援日２．５＿０．５*_15・通訳),0)*(1+_15・B夜間)),0)*(1+_15・区３)),0)</f>
        <v>697</v>
      </c>
      <c r="AF179" s="48"/>
    </row>
    <row r="180" spans="1:32" ht="16.5" customHeight="1" x14ac:dyDescent="0.15">
      <c r="A180" s="41">
        <v>15</v>
      </c>
      <c r="B180" s="41" t="s">
        <v>3146</v>
      </c>
      <c r="C180" s="74" t="s">
        <v>27728</v>
      </c>
      <c r="D180" s="72"/>
      <c r="F180" s="57"/>
      <c r="G180" s="72"/>
      <c r="I180" s="57"/>
      <c r="J180" s="72"/>
      <c r="P180" s="299" t="s">
        <v>17556</v>
      </c>
      <c r="Q180" s="45" t="s">
        <v>398</v>
      </c>
      <c r="R180" s="46">
        <v>1</v>
      </c>
      <c r="S180" s="512"/>
      <c r="V180" s="57"/>
      <c r="W180" s="190"/>
      <c r="X180" s="37"/>
      <c r="Y180" s="38"/>
      <c r="Z180" s="79"/>
      <c r="AA180" s="72" t="s">
        <v>17572</v>
      </c>
      <c r="AD180" s="57"/>
      <c r="AE180" s="208">
        <f>ROUND((ROUND((ROUND((_15_同援日２．５*_15・通訳),0)*_15・２人),0)*(1+_15・区３)),0)+ROUND((ROUND((ROUND((ROUND((_15_同援日２．５＿０．５*_15・通訳),0)*_15・２人),0)*(1+_15・B夜間)),0)*(1+_15・区３)),0)</f>
        <v>697</v>
      </c>
      <c r="AF180" s="48"/>
    </row>
    <row r="181" spans="1:32" ht="16.5" customHeight="1" x14ac:dyDescent="0.15">
      <c r="A181" s="41">
        <v>15</v>
      </c>
      <c r="B181" s="41" t="s">
        <v>27729</v>
      </c>
      <c r="C181" s="74" t="s">
        <v>27730</v>
      </c>
      <c r="D181" s="72"/>
      <c r="F181" s="57"/>
      <c r="G181" s="72"/>
      <c r="I181" s="57"/>
      <c r="J181" s="72"/>
      <c r="P181" s="299"/>
      <c r="Q181" s="45"/>
      <c r="R181" s="46"/>
      <c r="S181" s="512"/>
      <c r="V181" s="57"/>
      <c r="W181" s="253" t="s">
        <v>17562</v>
      </c>
      <c r="X181" s="49"/>
      <c r="Y181" s="50"/>
      <c r="Z181" s="115"/>
      <c r="AA181" s="72"/>
      <c r="AB181" s="12" t="s">
        <v>398</v>
      </c>
      <c r="AC181" s="13">
        <v>0.2</v>
      </c>
      <c r="AD181" s="57" t="s">
        <v>3575</v>
      </c>
      <c r="AE181" s="208">
        <f>ROUND((ROUND((ROUND((_15_同援日２．５*_15・通訳),0)*(1+_15・盲ろう)),0)*(1+_15・区３)),0)+ROUND((ROUND((ROUND((ROUND((_15_同援日２．５＿０．５*_15・通訳),0)*(1+_15・B夜間)),0)*(1+_15・盲ろう)),0)*(1+_15・区３)),0)</f>
        <v>873</v>
      </c>
      <c r="AF181" s="48"/>
    </row>
    <row r="182" spans="1:32" ht="16.5" customHeight="1" x14ac:dyDescent="0.15">
      <c r="A182" s="41">
        <v>15</v>
      </c>
      <c r="B182" s="41" t="s">
        <v>27731</v>
      </c>
      <c r="C182" s="74" t="s">
        <v>27732</v>
      </c>
      <c r="D182" s="72"/>
      <c r="F182" s="57"/>
      <c r="G182" s="72"/>
      <c r="I182" s="57"/>
      <c r="J182" s="72"/>
      <c r="P182" s="299" t="s">
        <v>17556</v>
      </c>
      <c r="Q182" s="45" t="s">
        <v>398</v>
      </c>
      <c r="R182" s="46">
        <v>1</v>
      </c>
      <c r="S182" s="512"/>
      <c r="V182" s="57"/>
      <c r="W182" s="190" t="s">
        <v>17564</v>
      </c>
      <c r="X182" s="37" t="s">
        <v>398</v>
      </c>
      <c r="Y182" s="38">
        <v>0.25</v>
      </c>
      <c r="Z182" s="79" t="s">
        <v>3575</v>
      </c>
      <c r="AA182" s="122"/>
      <c r="AB182" s="37"/>
      <c r="AC182" s="38"/>
      <c r="AD182" s="79"/>
      <c r="AE182" s="208">
        <f>ROUND((ROUND((ROUND((ROUND((_15_同援日２．５*_15・通訳),0)*_15・２人),0)*(1+_15・盲ろう)),0)*(1+_15・区３)),0)+ROUND((ROUND((ROUND((ROUND((ROUND((_15_同援日２．５＿０．５*_15・通訳),0)*_15・２人),0)*(1+_15・B夜間)),0)*(1+_15・盲ろう)),0)*(1+_15・区３)),0)</f>
        <v>873</v>
      </c>
      <c r="AF182" s="48"/>
    </row>
    <row r="183" spans="1:32" ht="16.5" customHeight="1" x14ac:dyDescent="0.15">
      <c r="A183" s="41">
        <v>15</v>
      </c>
      <c r="B183" s="41" t="s">
        <v>27733</v>
      </c>
      <c r="C183" s="74" t="s">
        <v>27734</v>
      </c>
      <c r="D183" s="72"/>
      <c r="F183" s="57"/>
      <c r="G183" s="72"/>
      <c r="I183" s="57"/>
      <c r="J183" s="72"/>
      <c r="P183" s="299"/>
      <c r="Q183" s="45"/>
      <c r="R183" s="46"/>
      <c r="S183" s="512"/>
      <c r="V183" s="57"/>
      <c r="W183" s="253"/>
      <c r="X183" s="49"/>
      <c r="Y183" s="50"/>
      <c r="Z183" s="115"/>
      <c r="AA183" s="114" t="s">
        <v>17580</v>
      </c>
      <c r="AB183" s="49"/>
      <c r="AC183" s="50"/>
      <c r="AD183" s="115"/>
      <c r="AE183" s="208">
        <f>ROUND((ROUND((_15_同援日２．５*_15・通訳),0)*(1+_15・区４)),0)+ROUND((ROUND((ROUND((_15_同援日２．５＿０．５*_15・通訳),0)*(1+_15・B夜間)),0)*(1+_15・区４)),0)</f>
        <v>814</v>
      </c>
      <c r="AF183" s="48"/>
    </row>
    <row r="184" spans="1:32" ht="16.5" customHeight="1" x14ac:dyDescent="0.15">
      <c r="A184" s="41">
        <v>15</v>
      </c>
      <c r="B184" s="41" t="s">
        <v>27735</v>
      </c>
      <c r="C184" s="74" t="s">
        <v>27736</v>
      </c>
      <c r="D184" s="72"/>
      <c r="F184" s="57"/>
      <c r="G184" s="72"/>
      <c r="I184" s="57"/>
      <c r="J184" s="72"/>
      <c r="P184" s="299" t="s">
        <v>17556</v>
      </c>
      <c r="Q184" s="45" t="s">
        <v>398</v>
      </c>
      <c r="R184" s="46">
        <v>1</v>
      </c>
      <c r="S184" s="512"/>
      <c r="V184" s="57"/>
      <c r="W184" s="190"/>
      <c r="X184" s="37"/>
      <c r="Y184" s="38"/>
      <c r="Z184" s="79"/>
      <c r="AA184" s="72" t="s">
        <v>17572</v>
      </c>
      <c r="AD184" s="57"/>
      <c r="AE184" s="208">
        <f>ROUND((ROUND((ROUND((_15_同援日２．５*_15・通訳),0)*_15・２人),0)*(1+_15・区４)),0)+ROUND((ROUND((ROUND((ROUND((_15_同援日２．５＿０．５*_15・通訳),0)*_15・２人),0)*(1+_15・B夜間)),0)*(1+_15・区４)),0)</f>
        <v>814</v>
      </c>
      <c r="AF184" s="48"/>
    </row>
    <row r="185" spans="1:32" ht="16.5" customHeight="1" x14ac:dyDescent="0.15">
      <c r="A185" s="41">
        <v>15</v>
      </c>
      <c r="B185" s="41" t="s">
        <v>27737</v>
      </c>
      <c r="C185" s="74" t="s">
        <v>27738</v>
      </c>
      <c r="D185" s="72"/>
      <c r="F185" s="57"/>
      <c r="G185" s="72"/>
      <c r="I185" s="57"/>
      <c r="J185" s="72"/>
      <c r="P185" s="299"/>
      <c r="Q185" s="45"/>
      <c r="R185" s="46"/>
      <c r="S185" s="512"/>
      <c r="V185" s="57"/>
      <c r="W185" s="253" t="s">
        <v>17562</v>
      </c>
      <c r="X185" s="49"/>
      <c r="Y185" s="50"/>
      <c r="Z185" s="115"/>
      <c r="AA185" s="72"/>
      <c r="AB185" s="12" t="s">
        <v>398</v>
      </c>
      <c r="AC185" s="13">
        <v>0.4</v>
      </c>
      <c r="AD185" s="57" t="s">
        <v>3575</v>
      </c>
      <c r="AE185" s="208">
        <f>ROUND((ROUND((ROUND((_15_同援日２．５*_15・通訳),0)*(1+_15・盲ろう)),0)*(1+_15・区４)),0)+ROUND((ROUND((ROUND((ROUND((_15_同援日２．５＿０．５*_15・通訳),0)*(1+_15・B夜間)),0)*(1+_15・盲ろう)),0)*(1+_15・区４)),0)</f>
        <v>1018</v>
      </c>
      <c r="AF185" s="48"/>
    </row>
    <row r="186" spans="1:32" ht="16.5" customHeight="1" x14ac:dyDescent="0.15">
      <c r="A186" s="41">
        <v>15</v>
      </c>
      <c r="B186" s="41" t="s">
        <v>27739</v>
      </c>
      <c r="C186" s="74" t="s">
        <v>27740</v>
      </c>
      <c r="D186" s="122"/>
      <c r="E186" s="37"/>
      <c r="F186" s="79"/>
      <c r="G186" s="122"/>
      <c r="H186" s="37"/>
      <c r="I186" s="79"/>
      <c r="J186" s="122"/>
      <c r="K186" s="37"/>
      <c r="L186" s="37"/>
      <c r="M186" s="37"/>
      <c r="N186" s="37"/>
      <c r="O186" s="38"/>
      <c r="P186" s="299" t="s">
        <v>17556</v>
      </c>
      <c r="Q186" s="45" t="s">
        <v>398</v>
      </c>
      <c r="R186" s="46">
        <v>1</v>
      </c>
      <c r="S186" s="514"/>
      <c r="T186" s="37"/>
      <c r="U186" s="38"/>
      <c r="V186" s="79"/>
      <c r="W186" s="190" t="s">
        <v>17564</v>
      </c>
      <c r="X186" s="37" t="s">
        <v>398</v>
      </c>
      <c r="Y186" s="38">
        <v>0.25</v>
      </c>
      <c r="Z186" s="79" t="s">
        <v>3575</v>
      </c>
      <c r="AA186" s="122"/>
      <c r="AB186" s="37"/>
      <c r="AC186" s="38"/>
      <c r="AD186" s="79"/>
      <c r="AE186" s="208">
        <f>ROUND((ROUND((ROUND((ROUND((_15_同援日２．５*_15・通訳),0)*_15・２人),0)*(1+_15・盲ろう)),0)*(1+_15・区４)),0)+ROUND((ROUND((ROUND((ROUND((ROUND((_15_同援日２．５＿０．５*_15・通訳),0)*_15・２人),0)*(1+_15・B夜間)),0)*(1+_15・盲ろう)),0)*(1+_15・区４)),0)</f>
        <v>1018</v>
      </c>
      <c r="AF186" s="63"/>
    </row>
    <row r="187" spans="1:32" ht="16.5" customHeight="1" x14ac:dyDescent="0.15">
      <c r="A187" s="80"/>
      <c r="B187" s="80"/>
      <c r="C187" s="81"/>
      <c r="P187" s="254"/>
      <c r="W187" s="254"/>
      <c r="AA187" s="254"/>
      <c r="AE187" s="209"/>
      <c r="AF187" s="85"/>
    </row>
    <row r="188" spans="1:32" ht="16.5" customHeight="1" x14ac:dyDescent="0.15">
      <c r="A188" s="80"/>
      <c r="B188" s="80"/>
      <c r="C188" s="81"/>
      <c r="P188" s="254"/>
      <c r="W188" s="254"/>
      <c r="AA188" s="254"/>
      <c r="AE188" s="209"/>
      <c r="AF188" s="85"/>
    </row>
    <row r="189" spans="1:32" ht="16.5" customHeight="1" x14ac:dyDescent="0.15">
      <c r="A189" s="80"/>
      <c r="B189" s="157" t="s">
        <v>27741</v>
      </c>
      <c r="C189" s="81"/>
      <c r="D189" s="71"/>
      <c r="P189" s="254"/>
      <c r="W189" s="254"/>
      <c r="AA189" s="254"/>
      <c r="AE189" s="209"/>
      <c r="AF189" s="85"/>
    </row>
    <row r="190" spans="1:32" ht="16.5" customHeight="1" x14ac:dyDescent="0.15">
      <c r="A190" s="87" t="s">
        <v>384</v>
      </c>
      <c r="B190" s="20"/>
      <c r="C190" s="88" t="s">
        <v>385</v>
      </c>
      <c r="D190" s="23" t="s">
        <v>386</v>
      </c>
      <c r="E190" s="23"/>
      <c r="F190" s="23"/>
      <c r="G190" s="23"/>
      <c r="H190" s="23"/>
      <c r="I190" s="23"/>
      <c r="J190" s="23"/>
      <c r="K190" s="23"/>
      <c r="L190" s="23"/>
      <c r="M190" s="23"/>
      <c r="N190" s="23"/>
      <c r="O190" s="24"/>
      <c r="P190" s="23"/>
      <c r="Q190" s="23"/>
      <c r="R190" s="24"/>
      <c r="S190" s="24"/>
      <c r="T190" s="23"/>
      <c r="U190" s="24"/>
      <c r="V190" s="23"/>
      <c r="W190" s="23"/>
      <c r="X190" s="23"/>
      <c r="Y190" s="24"/>
      <c r="Z190" s="23"/>
      <c r="AA190" s="23"/>
      <c r="AB190" s="23"/>
      <c r="AC190" s="24"/>
      <c r="AD190" s="23"/>
      <c r="AE190" s="21" t="s">
        <v>387</v>
      </c>
      <c r="AF190" s="21" t="s">
        <v>388</v>
      </c>
    </row>
    <row r="191" spans="1:32" ht="16.5" customHeight="1" x14ac:dyDescent="0.15">
      <c r="A191" s="26" t="s">
        <v>389</v>
      </c>
      <c r="B191" s="26" t="s">
        <v>390</v>
      </c>
      <c r="C191" s="89"/>
      <c r="D191" s="87" t="s">
        <v>1032</v>
      </c>
      <c r="E191" s="187"/>
      <c r="F191" s="20"/>
      <c r="G191" s="87" t="s">
        <v>3910</v>
      </c>
      <c r="H191" s="187"/>
      <c r="I191" s="20"/>
      <c r="J191" s="29"/>
      <c r="K191" s="29"/>
      <c r="L191" s="29"/>
      <c r="M191" s="29"/>
      <c r="N191" s="29"/>
      <c r="O191" s="30"/>
      <c r="P191" s="29"/>
      <c r="Q191" s="29"/>
      <c r="R191" s="30"/>
      <c r="S191" s="30"/>
      <c r="T191" s="29"/>
      <c r="U191" s="30"/>
      <c r="V191" s="29"/>
      <c r="W191" s="29"/>
      <c r="X191" s="29"/>
      <c r="Y191" s="30"/>
      <c r="Z191" s="29"/>
      <c r="AA191" s="29"/>
      <c r="AB191" s="29"/>
      <c r="AC191" s="30"/>
      <c r="AD191" s="29"/>
      <c r="AE191" s="32" t="s">
        <v>391</v>
      </c>
      <c r="AF191" s="32" t="s">
        <v>392</v>
      </c>
    </row>
    <row r="192" spans="1:32" ht="16.5" customHeight="1" x14ac:dyDescent="0.15">
      <c r="A192" s="33">
        <v>15</v>
      </c>
      <c r="B192" s="33" t="s">
        <v>27742</v>
      </c>
      <c r="C192" s="34" t="s">
        <v>27743</v>
      </c>
      <c r="D192" s="72" t="s">
        <v>18487</v>
      </c>
      <c r="F192" s="57"/>
      <c r="G192" s="72" t="s">
        <v>18819</v>
      </c>
      <c r="I192" s="57"/>
      <c r="J192" s="72" t="s">
        <v>19919</v>
      </c>
      <c r="L192" s="57"/>
      <c r="M192" s="35"/>
      <c r="P192" s="122"/>
      <c r="Q192" s="37"/>
      <c r="R192" s="38"/>
      <c r="S192" s="512"/>
      <c r="T192" s="57"/>
      <c r="U192" s="512"/>
      <c r="V192" s="57"/>
      <c r="W192" s="92"/>
      <c r="Z192" s="57"/>
      <c r="AA192" s="72"/>
      <c r="AD192" s="57"/>
      <c r="AE192" s="207">
        <f>ROUND((ROUND((_15_同援日０．５*_15・通訳),0)*(1+_15・A深夜)),0)+ROUND((ROUND((_15_同援日０．５＿２．０*_15・通訳),0)*(1+_15・B早朝)),0)+ROUND((_15_同援日０．５＿２．０＿０．５*_15・通訳),0)</f>
        <v>736</v>
      </c>
      <c r="AF192" s="40" t="s">
        <v>395</v>
      </c>
    </row>
    <row r="193" spans="1:32" ht="16.5" customHeight="1" x14ac:dyDescent="0.15">
      <c r="A193" s="41">
        <v>15</v>
      </c>
      <c r="B193" s="41" t="s">
        <v>27744</v>
      </c>
      <c r="C193" s="74" t="s">
        <v>27745</v>
      </c>
      <c r="D193" s="72" t="s">
        <v>18259</v>
      </c>
      <c r="F193" s="57"/>
      <c r="G193" s="72" t="s">
        <v>17643</v>
      </c>
      <c r="I193" s="57"/>
      <c r="J193" s="72" t="s">
        <v>18259</v>
      </c>
      <c r="L193" s="57"/>
      <c r="M193" s="35"/>
      <c r="P193" s="299" t="s">
        <v>17556</v>
      </c>
      <c r="Q193" s="45" t="s">
        <v>398</v>
      </c>
      <c r="R193" s="46">
        <v>1</v>
      </c>
      <c r="S193" s="512"/>
      <c r="T193" s="57"/>
      <c r="U193" s="512"/>
      <c r="V193" s="57"/>
      <c r="W193" s="269"/>
      <c r="X193" s="37"/>
      <c r="Y193" s="38"/>
      <c r="Z193" s="79"/>
      <c r="AA193" s="72"/>
      <c r="AD193" s="57"/>
      <c r="AE193" s="208">
        <f>ROUND((ROUND((ROUND((_15_同援日０．５*_15・通訳),0)*_15・２人),0)*(1+_15・A深夜)),0)+ROUND((ROUND((ROUND((_15_同援日０．５＿２．０*_15・通訳),0)*_15・２人),0)*(1+_15・B早朝)),0)+ROUND((ROUND((_15_同援日０．５＿２．０＿０．５*_15・通訳),0)*_15・２人),0)</f>
        <v>736</v>
      </c>
      <c r="AF193" s="48"/>
    </row>
    <row r="194" spans="1:32" ht="16.5" customHeight="1" x14ac:dyDescent="0.15">
      <c r="A194" s="41">
        <v>15</v>
      </c>
      <c r="B194" s="41" t="s">
        <v>27746</v>
      </c>
      <c r="C194" s="74" t="s">
        <v>27747</v>
      </c>
      <c r="D194" s="72"/>
      <c r="F194" s="57"/>
      <c r="G194" s="72" t="s">
        <v>17645</v>
      </c>
      <c r="I194" s="57"/>
      <c r="J194" s="72"/>
      <c r="L194" s="57"/>
      <c r="M194" s="35"/>
      <c r="P194" s="299"/>
      <c r="Q194" s="45"/>
      <c r="R194" s="46"/>
      <c r="S194" s="512"/>
      <c r="T194" s="57"/>
      <c r="U194" s="512"/>
      <c r="V194" s="57"/>
      <c r="W194" s="116" t="s">
        <v>17562</v>
      </c>
      <c r="X194" s="49"/>
      <c r="Y194" s="50"/>
      <c r="Z194" s="115"/>
      <c r="AA194" s="72"/>
      <c r="AD194" s="57"/>
      <c r="AE194" s="208">
        <f>ROUND((ROUND((ROUND((_15_同援日０．５*_15・通訳),0)*(1+_15・A深夜)),0)*(1+_15・盲ろう)),0)+ROUND((ROUND((ROUND((_15_同援日０．５＿２．０*_15・通訳),0)*(1+_15・B早朝)),0)*(1+_15・盲ろう)),0)+ROUND((ROUND((_15_同援日０．５＿２．０＿０．５*_15・通訳),0)*(1+_15・盲ろう)),0)</f>
        <v>920</v>
      </c>
      <c r="AF194" s="48"/>
    </row>
    <row r="195" spans="1:32" ht="16.5" customHeight="1" x14ac:dyDescent="0.15">
      <c r="A195" s="41">
        <v>15</v>
      </c>
      <c r="B195" s="41" t="s">
        <v>27748</v>
      </c>
      <c r="C195" s="74" t="s">
        <v>27749</v>
      </c>
      <c r="D195" s="72"/>
      <c r="E195" s="168">
        <f>_15_同援日０．５</f>
        <v>190</v>
      </c>
      <c r="F195" s="57" t="s">
        <v>392</v>
      </c>
      <c r="G195" s="72"/>
      <c r="H195" s="168">
        <f>_15_同援日０．５＿２．０</f>
        <v>373</v>
      </c>
      <c r="I195" s="57" t="s">
        <v>392</v>
      </c>
      <c r="J195" s="72"/>
      <c r="K195" s="168">
        <f>_15_同援日０．５＿２．０＿０．５</f>
        <v>65</v>
      </c>
      <c r="L195" s="57" t="s">
        <v>392</v>
      </c>
      <c r="M195" s="35"/>
      <c r="P195" s="299" t="s">
        <v>17556</v>
      </c>
      <c r="Q195" s="45" t="s">
        <v>398</v>
      </c>
      <c r="R195" s="46">
        <v>1</v>
      </c>
      <c r="S195" s="517" t="s">
        <v>18493</v>
      </c>
      <c r="T195" s="57"/>
      <c r="U195" s="526" t="s">
        <v>18134</v>
      </c>
      <c r="V195" s="57"/>
      <c r="W195" s="269" t="s">
        <v>17564</v>
      </c>
      <c r="X195" s="37" t="s">
        <v>398</v>
      </c>
      <c r="Y195" s="38">
        <v>0.25</v>
      </c>
      <c r="Z195" s="79" t="s">
        <v>3575</v>
      </c>
      <c r="AA195" s="122"/>
      <c r="AB195" s="37"/>
      <c r="AC195" s="38"/>
      <c r="AD195" s="79"/>
      <c r="AE195" s="208">
        <f>ROUND((ROUND((ROUND((ROUND((_15_同援日０．５*_15・通訳),0)*_15・２人),0)*(1+_15・A深夜)),0)*(1+_15・盲ろう)),0)+ROUND((ROUND((ROUND((ROUND((_15_同援日０．５＿２．０*_15・通訳),0)*_15・２人),0)*(1+_15・B早朝)),0)*(1+_15・盲ろう)),0)+ROUND((ROUND((ROUND((_15_同援日０．５＿２．０＿０．５*_15・通訳),0)*_15・２人),0)*(1+_15・盲ろう)),0)</f>
        <v>920</v>
      </c>
      <c r="AF195" s="48"/>
    </row>
    <row r="196" spans="1:32" ht="16.5" customHeight="1" x14ac:dyDescent="0.15">
      <c r="A196" s="41">
        <v>15</v>
      </c>
      <c r="B196" s="41" t="s">
        <v>27750</v>
      </c>
      <c r="C196" s="74" t="s">
        <v>27751</v>
      </c>
      <c r="D196" s="72"/>
      <c r="F196" s="57"/>
      <c r="G196" s="72"/>
      <c r="I196" s="57"/>
      <c r="J196" s="72"/>
      <c r="L196" s="57"/>
      <c r="M196" s="35"/>
      <c r="P196" s="299"/>
      <c r="Q196" s="45"/>
      <c r="R196" s="46"/>
      <c r="S196" s="512"/>
      <c r="T196" s="519" t="s">
        <v>27104</v>
      </c>
      <c r="U196" s="512"/>
      <c r="V196" s="519" t="s">
        <v>27752</v>
      </c>
      <c r="W196" s="116"/>
      <c r="X196" s="49"/>
      <c r="Y196" s="50"/>
      <c r="Z196" s="115"/>
      <c r="AA196" s="114" t="s">
        <v>17570</v>
      </c>
      <c r="AB196" s="49"/>
      <c r="AC196" s="50"/>
      <c r="AD196" s="115"/>
      <c r="AE196" s="208">
        <f>ROUND((ROUND((ROUND((_15_同援日０．５*_15・通訳),0)*(1+_15・A深夜)),0)*(1+_15・区３)),0)+ROUND((ROUND((ROUND((_15_同援日０．５＿２．０*_15・通訳),0)*(1+_15・B早朝)),0)*(1+_15・区３)),0)+ROUND((ROUND((_15_同援日０．５＿２．０＿０．５*_15・通訳),0)*(1+_15・区３)),0)</f>
        <v>883</v>
      </c>
      <c r="AF196" s="48"/>
    </row>
    <row r="197" spans="1:32" ht="16.5" customHeight="1" x14ac:dyDescent="0.15">
      <c r="A197" s="41">
        <v>15</v>
      </c>
      <c r="B197" s="41" t="s">
        <v>27753</v>
      </c>
      <c r="C197" s="74" t="s">
        <v>27754</v>
      </c>
      <c r="D197" s="72"/>
      <c r="F197" s="57"/>
      <c r="G197" s="72"/>
      <c r="I197" s="57"/>
      <c r="J197" s="72"/>
      <c r="L197" s="57"/>
      <c r="M197" s="922" t="s">
        <v>25732</v>
      </c>
      <c r="N197" s="923"/>
      <c r="O197" s="924"/>
      <c r="P197" s="299" t="s">
        <v>17556</v>
      </c>
      <c r="Q197" s="45" t="s">
        <v>398</v>
      </c>
      <c r="R197" s="46">
        <v>1</v>
      </c>
      <c r="S197" s="512"/>
      <c r="T197" s="57"/>
      <c r="U197" s="512"/>
      <c r="V197" s="57"/>
      <c r="W197" s="269"/>
      <c r="X197" s="37"/>
      <c r="Y197" s="38"/>
      <c r="Z197" s="79"/>
      <c r="AA197" s="72" t="s">
        <v>17572</v>
      </c>
      <c r="AD197" s="57"/>
      <c r="AE197" s="208">
        <f>ROUND((ROUND((ROUND((ROUND((_15_同援日０．５*_15・通訳),0)*_15・２人),0)*(1+_15・A深夜)),0)*(1+_15・区３)),0)+ROUND((ROUND((ROUND((ROUND((_15_同援日０．５＿２．０*_15・通訳),0)*_15・２人),0)*(1+_15・B早朝)),0)*(1+_15・区３)),0)+ROUND((ROUND((ROUND((_15_同援日０．５＿２．０＿０．５*_15・通訳),0)*_15・２人),0)*(1+_15・区３)),0)</f>
        <v>883</v>
      </c>
      <c r="AF197" s="48"/>
    </row>
    <row r="198" spans="1:32" ht="16.5" customHeight="1" x14ac:dyDescent="0.15">
      <c r="A198" s="41">
        <v>15</v>
      </c>
      <c r="B198" s="41" t="s">
        <v>27755</v>
      </c>
      <c r="C198" s="74" t="s">
        <v>27756</v>
      </c>
      <c r="D198" s="72"/>
      <c r="F198" s="57"/>
      <c r="G198" s="72"/>
      <c r="I198" s="57"/>
      <c r="J198" s="72"/>
      <c r="L198" s="57"/>
      <c r="M198" s="92" t="s">
        <v>25734</v>
      </c>
      <c r="N198" s="12" t="s">
        <v>398</v>
      </c>
      <c r="O198" s="13">
        <v>0.9</v>
      </c>
      <c r="P198" s="299"/>
      <c r="Q198" s="45"/>
      <c r="R198" s="46"/>
      <c r="S198" s="35" t="s">
        <v>398</v>
      </c>
      <c r="T198" s="234">
        <v>0.5</v>
      </c>
      <c r="U198" s="35" t="s">
        <v>398</v>
      </c>
      <c r="V198" s="234">
        <v>0.25</v>
      </c>
      <c r="W198" s="116" t="s">
        <v>17562</v>
      </c>
      <c r="X198" s="49"/>
      <c r="Y198" s="50"/>
      <c r="Z198" s="115"/>
      <c r="AA198" s="72"/>
      <c r="AB198" s="12" t="s">
        <v>398</v>
      </c>
      <c r="AC198" s="13">
        <v>0.2</v>
      </c>
      <c r="AD198" s="57" t="s">
        <v>3575</v>
      </c>
      <c r="AE198" s="208">
        <f>ROUND((ROUND((ROUND((ROUND((_15_同援日０．５*_15・通訳),0)*(1+_15・A深夜)),0)*(1+_15・盲ろう)),0)*(1+_15・区３)),0)+ROUND((ROUND((ROUND((ROUND((_15_同援日０．５＿２．０*_15・通訳),0)*(1+_15・B早朝)),0)*(1+_15・盲ろう)),0)*(1+_15・区３)),0)+ROUND((ROUND((ROUND((_15_同援日０．５＿２．０＿０．５*_15・通訳),0)*(1+_15・盲ろう)),0)*(1+_15・区３)),0)</f>
        <v>1104</v>
      </c>
      <c r="AF198" s="48"/>
    </row>
    <row r="199" spans="1:32" ht="16.5" customHeight="1" x14ac:dyDescent="0.15">
      <c r="A199" s="41">
        <v>15</v>
      </c>
      <c r="B199" s="41" t="s">
        <v>27757</v>
      </c>
      <c r="C199" s="74" t="s">
        <v>27758</v>
      </c>
      <c r="D199" s="72"/>
      <c r="F199" s="57"/>
      <c r="G199" s="72"/>
      <c r="I199" s="57"/>
      <c r="J199" s="72"/>
      <c r="L199" s="57"/>
      <c r="M199" s="35"/>
      <c r="P199" s="299" t="s">
        <v>17556</v>
      </c>
      <c r="Q199" s="45" t="s">
        <v>398</v>
      </c>
      <c r="R199" s="46">
        <v>1</v>
      </c>
      <c r="S199" s="512"/>
      <c r="T199" s="513" t="s">
        <v>3575</v>
      </c>
      <c r="U199" s="512"/>
      <c r="V199" s="513" t="s">
        <v>3575</v>
      </c>
      <c r="W199" s="269" t="s">
        <v>17564</v>
      </c>
      <c r="X199" s="37" t="s">
        <v>398</v>
      </c>
      <c r="Y199" s="38">
        <v>0.25</v>
      </c>
      <c r="Z199" s="79" t="s">
        <v>3575</v>
      </c>
      <c r="AA199" s="122"/>
      <c r="AB199" s="37"/>
      <c r="AC199" s="38"/>
      <c r="AD199" s="79"/>
      <c r="AE199" s="208">
        <f>ROUND((ROUND((ROUND((ROUND((ROUND((_15_同援日０．５*_15・通訳),0)*_15・２人),0)*(1+_15・A深夜)),0)*(1+_15・盲ろう)),0)*(1+_15・区３)),0)+ROUND((ROUND((ROUND((ROUND((ROUND((_15_同援日０．５＿２．０*_15・通訳),0)*_15・２人),0)*(1+_15・B早朝)),0)*(1+_15・盲ろう)),0)*(1+_15・区３)),0)+ROUND((ROUND((ROUND((ROUND((_15_同援日０．５＿２．０＿０．５*_15・通訳),0)*_15・２人),0)*(1+_15・盲ろう)),0)*(1+_15・区３)),0)</f>
        <v>1104</v>
      </c>
      <c r="AF199" s="48"/>
    </row>
    <row r="200" spans="1:32" ht="16.5" customHeight="1" x14ac:dyDescent="0.15">
      <c r="A200" s="41">
        <v>15</v>
      </c>
      <c r="B200" s="41" t="s">
        <v>27759</v>
      </c>
      <c r="C200" s="74" t="s">
        <v>27760</v>
      </c>
      <c r="D200" s="72"/>
      <c r="F200" s="57"/>
      <c r="G200" s="72"/>
      <c r="I200" s="57"/>
      <c r="J200" s="72"/>
      <c r="L200" s="57"/>
      <c r="M200" s="35"/>
      <c r="P200" s="299"/>
      <c r="Q200" s="45"/>
      <c r="R200" s="46"/>
      <c r="S200" s="512"/>
      <c r="T200" s="57"/>
      <c r="U200" s="512"/>
      <c r="V200" s="57"/>
      <c r="W200" s="116"/>
      <c r="X200" s="49"/>
      <c r="Y200" s="50"/>
      <c r="Z200" s="115"/>
      <c r="AA200" s="114" t="s">
        <v>17580</v>
      </c>
      <c r="AB200" s="49"/>
      <c r="AC200" s="50"/>
      <c r="AD200" s="115"/>
      <c r="AE200" s="208">
        <f>ROUND((ROUND((ROUND((_15_同援日０．５*_15・通訳),0)*(1+_15・A深夜)),0)*(1+_15・区４)),0)+ROUND((ROUND((ROUND((_15_同援日０．５＿２．０*_15・通訳),0)*(1+_15・B早朝)),0)*(1+_15・区４)),0)+ROUND((ROUND((_15_同援日０．５＿２．０＿０．５*_15・通訳),0)*(1+_15・区４)),0)</f>
        <v>1031</v>
      </c>
      <c r="AF200" s="48"/>
    </row>
    <row r="201" spans="1:32" ht="16.5" customHeight="1" x14ac:dyDescent="0.15">
      <c r="A201" s="41">
        <v>15</v>
      </c>
      <c r="B201" s="41" t="s">
        <v>27761</v>
      </c>
      <c r="C201" s="74" t="s">
        <v>27762</v>
      </c>
      <c r="D201" s="72"/>
      <c r="F201" s="57"/>
      <c r="G201" s="72"/>
      <c r="I201" s="57"/>
      <c r="J201" s="72"/>
      <c r="L201" s="57"/>
      <c r="M201" s="35"/>
      <c r="P201" s="299" t="s">
        <v>17556</v>
      </c>
      <c r="Q201" s="45" t="s">
        <v>398</v>
      </c>
      <c r="R201" s="46">
        <v>1</v>
      </c>
      <c r="S201" s="512"/>
      <c r="T201" s="57"/>
      <c r="U201" s="512"/>
      <c r="V201" s="57"/>
      <c r="W201" s="269"/>
      <c r="X201" s="37"/>
      <c r="Y201" s="38"/>
      <c r="Z201" s="79"/>
      <c r="AA201" s="72" t="s">
        <v>17572</v>
      </c>
      <c r="AD201" s="57"/>
      <c r="AE201" s="208">
        <f>ROUND((ROUND((ROUND((ROUND((_15_同援日０．５*_15・通訳),0)*_15・２人),0)*(1+_15・A深夜)),0)*(1+_15・区４)),0)+ROUND((ROUND((ROUND((ROUND((_15_同援日０．５＿２．０*_15・通訳),0)*_15・２人),0)*(1+_15・B早朝)),0)*(1+_15・区４)),0)+ROUND((ROUND((ROUND((_15_同援日０．５＿２．０＿０．５*_15・通訳),0)*_15・２人),0)*(1+_15・区４)),0)</f>
        <v>1031</v>
      </c>
      <c r="AF201" s="48"/>
    </row>
    <row r="202" spans="1:32" ht="16.5" customHeight="1" x14ac:dyDescent="0.15">
      <c r="A202" s="41">
        <v>15</v>
      </c>
      <c r="B202" s="41" t="s">
        <v>3152</v>
      </c>
      <c r="C202" s="74" t="s">
        <v>27763</v>
      </c>
      <c r="D202" s="72"/>
      <c r="F202" s="57"/>
      <c r="G202" s="72"/>
      <c r="I202" s="57"/>
      <c r="J202" s="72"/>
      <c r="L202" s="57"/>
      <c r="M202" s="35"/>
      <c r="P202" s="299"/>
      <c r="Q202" s="45"/>
      <c r="R202" s="46"/>
      <c r="S202" s="512"/>
      <c r="T202" s="57"/>
      <c r="U202" s="512"/>
      <c r="V202" s="57"/>
      <c r="W202" s="116" t="s">
        <v>17562</v>
      </c>
      <c r="X202" s="49"/>
      <c r="Y202" s="50"/>
      <c r="Z202" s="115"/>
      <c r="AA202" s="72"/>
      <c r="AB202" s="12" t="s">
        <v>398</v>
      </c>
      <c r="AC202" s="13">
        <v>0.4</v>
      </c>
      <c r="AD202" s="57" t="s">
        <v>3575</v>
      </c>
      <c r="AE202" s="208">
        <f>ROUND((ROUND((ROUND((ROUND((_15_同援日０．５*_15・通訳),0)*(1+_15・A深夜)),0)*(1+_15・盲ろう)),0)*(1+_15・区４)),0)+ROUND((ROUND((ROUND((ROUND((_15_同援日０．５＿２．０*_15・通訳),0)*(1+_15・B早朝)),0)*(1+_15・盲ろう)),0)*(1+_15・区４)),0)+ROUND((ROUND((ROUND((_15_同援日０．５＿２．０＿０．５*_15・通訳),0)*(1+_15・盲ろう)),0)*(1+_15・区４)),0)</f>
        <v>1288</v>
      </c>
      <c r="AF202" s="48"/>
    </row>
    <row r="203" spans="1:32" ht="16.5" customHeight="1" x14ac:dyDescent="0.15">
      <c r="A203" s="41">
        <v>15</v>
      </c>
      <c r="B203" s="41" t="s">
        <v>3154</v>
      </c>
      <c r="C203" s="74" t="s">
        <v>27764</v>
      </c>
      <c r="D203" s="122"/>
      <c r="E203" s="37"/>
      <c r="F203" s="79"/>
      <c r="G203" s="122"/>
      <c r="H203" s="37"/>
      <c r="I203" s="79"/>
      <c r="J203" s="122"/>
      <c r="K203" s="37"/>
      <c r="L203" s="79"/>
      <c r="M203" s="43"/>
      <c r="N203" s="37"/>
      <c r="O203" s="38"/>
      <c r="P203" s="299" t="s">
        <v>17556</v>
      </c>
      <c r="Q203" s="45" t="s">
        <v>398</v>
      </c>
      <c r="R203" s="46">
        <v>1</v>
      </c>
      <c r="S203" s="514"/>
      <c r="T203" s="79"/>
      <c r="U203" s="514"/>
      <c r="V203" s="79"/>
      <c r="W203" s="269" t="s">
        <v>17564</v>
      </c>
      <c r="X203" s="37" t="s">
        <v>398</v>
      </c>
      <c r="Y203" s="38">
        <v>0.25</v>
      </c>
      <c r="Z203" s="79" t="s">
        <v>3575</v>
      </c>
      <c r="AA203" s="122"/>
      <c r="AB203" s="37"/>
      <c r="AC203" s="38"/>
      <c r="AD203" s="79"/>
      <c r="AE203" s="208">
        <f>ROUND((ROUND((ROUND((ROUND((ROUND((_15_同援日０．５*_15・通訳),0)*_15・２人),0)*(1+_15・A深夜)),0)*(1+_15・盲ろう)),0)*(1+_15・区４)),0)+ROUND((ROUND((ROUND((ROUND((ROUND((_15_同援日０．５＿２．０*_15・通訳),0)*_15・２人),0)*(1+_15・B早朝)),0)*(1+_15・盲ろう)),0)*(1+_15・区４)),0)+ROUND((ROUND((ROUND((ROUND((_15_同援日０．５＿２．０＿０．５*_15・通訳),0)*_15・２人),0)*(1+_15・盲ろう)),0)*(1+_15・区４)),0)</f>
        <v>1288</v>
      </c>
      <c r="AF203" s="63"/>
    </row>
    <row r="204" spans="1:32" ht="16.5" customHeight="1" x14ac:dyDescent="0.15"/>
    <row r="205" spans="1:32" ht="16.5" customHeight="1" x14ac:dyDescent="0.15"/>
  </sheetData>
  <mergeCells count="1">
    <mergeCell ref="M197:O197"/>
  </mergeCells>
  <phoneticPr fontId="1"/>
  <printOptions horizontalCentered="1"/>
  <pageMargins left="0.59055118110236227" right="0.59055118110236227" top="0.62992125984251968" bottom="0.39370078740157483" header="0.51181102362204722" footer="0.31496062992125984"/>
  <pageSetup paperSize="9" scale="40" fitToHeight="0" orientation="portrait" r:id="rId1"/>
  <headerFooter>
    <oddHeader>&amp;R&amp;"ＭＳ Ｐゴシック"&amp;9同行援護</oddHeader>
    <oddFooter>&amp;C&amp;"ＭＳ Ｐゴシック"&amp;14&amp;P</oddFooter>
  </headerFooter>
  <rowBreaks count="1" manualBreakCount="1">
    <brk id="114" max="16383"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1">
    <pageSetUpPr fitToPage="1"/>
  </sheetPr>
  <dimension ref="A1:AC188"/>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5.5" style="10" customWidth="1"/>
    <col min="5" max="5" width="4.125" style="12" bestFit="1" customWidth="1"/>
    <col min="6" max="6" width="4.875" style="12" bestFit="1" customWidth="1"/>
    <col min="7" max="7" width="5.5" style="10" customWidth="1"/>
    <col min="8" max="8" width="4.125" style="12" bestFit="1" customWidth="1"/>
    <col min="9" max="9" width="4.875" style="12" bestFit="1" customWidth="1"/>
    <col min="10" max="10" width="15.5" style="12" customWidth="1"/>
    <col min="11" max="11" width="3.125" style="12" bestFit="1" customWidth="1"/>
    <col min="12" max="12" width="4.125" style="13" bestFit="1" customWidth="1"/>
    <col min="13" max="13" width="25.5" style="12" customWidth="1"/>
    <col min="14" max="14" width="3.125" style="12" bestFit="1" customWidth="1"/>
    <col min="15" max="15" width="5" style="13" bestFit="1" customWidth="1"/>
    <col min="16" max="16" width="4.125" style="13" bestFit="1" customWidth="1"/>
    <col min="17" max="17" width="4.875" style="12" bestFit="1" customWidth="1"/>
    <col min="18" max="18" width="4.125" style="13" bestFit="1" customWidth="1"/>
    <col min="19" max="19" width="4.875" style="12" bestFit="1" customWidth="1"/>
    <col min="20" max="20" width="21.75" style="12" customWidth="1"/>
    <col min="21" max="21" width="3.125" style="12" bestFit="1" customWidth="1"/>
    <col min="22" max="22" width="4.125" style="13" bestFit="1" customWidth="1"/>
    <col min="23" max="23" width="4.875" style="12" bestFit="1" customWidth="1"/>
    <col min="24" max="24" width="8.5" style="12" customWidth="1"/>
    <col min="25" max="25" width="3.125" style="12" bestFit="1" customWidth="1"/>
    <col min="26" max="26" width="4.125" style="13" bestFit="1" customWidth="1"/>
    <col min="27" max="27" width="4.875" style="12" bestFit="1" customWidth="1"/>
    <col min="28" max="28" width="7.125" style="206" customWidth="1"/>
    <col min="29" max="29" width="8.5" style="16" customWidth="1"/>
    <col min="30" max="16384" width="9" style="12"/>
  </cols>
  <sheetData>
    <row r="1" spans="1:29" ht="17.100000000000001" customHeight="1" x14ac:dyDescent="0.15"/>
    <row r="2" spans="1:29" ht="17.100000000000001" customHeight="1" x14ac:dyDescent="0.15"/>
    <row r="3" spans="1:29" ht="17.100000000000001" customHeight="1" x14ac:dyDescent="0.15"/>
    <row r="4" spans="1:29" ht="17.100000000000001" customHeight="1" x14ac:dyDescent="0.15">
      <c r="B4" s="17" t="s">
        <v>27765</v>
      </c>
      <c r="D4" s="71"/>
    </row>
    <row r="5" spans="1:29" ht="16.5" customHeight="1" x14ac:dyDescent="0.15">
      <c r="A5" s="19" t="s">
        <v>384</v>
      </c>
      <c r="B5" s="20"/>
      <c r="C5" s="21" t="s">
        <v>385</v>
      </c>
      <c r="D5" s="23" t="s">
        <v>386</v>
      </c>
      <c r="E5" s="23"/>
      <c r="F5" s="23"/>
      <c r="G5" s="23"/>
      <c r="H5" s="23"/>
      <c r="I5" s="23"/>
      <c r="J5" s="23"/>
      <c r="K5" s="23"/>
      <c r="L5" s="24"/>
      <c r="M5" s="23"/>
      <c r="N5" s="23"/>
      <c r="O5" s="24"/>
      <c r="P5" s="24"/>
      <c r="Q5" s="23"/>
      <c r="R5" s="24"/>
      <c r="S5" s="23"/>
      <c r="T5" s="23"/>
      <c r="U5" s="23"/>
      <c r="V5" s="24"/>
      <c r="W5" s="23"/>
      <c r="X5" s="23"/>
      <c r="Y5" s="23"/>
      <c r="Z5" s="24"/>
      <c r="AA5" s="23"/>
      <c r="AB5" s="21" t="s">
        <v>387</v>
      </c>
      <c r="AC5" s="21" t="s">
        <v>388</v>
      </c>
    </row>
    <row r="6" spans="1:29" ht="16.5" customHeight="1" x14ac:dyDescent="0.15">
      <c r="A6" s="26" t="s">
        <v>389</v>
      </c>
      <c r="B6" s="26" t="s">
        <v>390</v>
      </c>
      <c r="C6" s="27"/>
      <c r="D6" s="87" t="s">
        <v>1032</v>
      </c>
      <c r="E6" s="187"/>
      <c r="F6" s="20"/>
      <c r="G6" s="87" t="s">
        <v>3910</v>
      </c>
      <c r="H6" s="187"/>
      <c r="I6" s="20"/>
      <c r="J6" s="29"/>
      <c r="K6" s="29"/>
      <c r="L6" s="30"/>
      <c r="M6" s="29"/>
      <c r="N6" s="29"/>
      <c r="O6" s="30"/>
      <c r="P6" s="30"/>
      <c r="Q6" s="29"/>
      <c r="R6" s="30"/>
      <c r="S6" s="29"/>
      <c r="T6" s="29"/>
      <c r="U6" s="29"/>
      <c r="V6" s="30"/>
      <c r="W6" s="29"/>
      <c r="X6" s="29"/>
      <c r="Y6" s="29"/>
      <c r="Z6" s="30"/>
      <c r="AA6" s="29"/>
      <c r="AB6" s="32" t="s">
        <v>391</v>
      </c>
      <c r="AC6" s="32" t="s">
        <v>392</v>
      </c>
    </row>
    <row r="7" spans="1:29" ht="16.5" customHeight="1" x14ac:dyDescent="0.15">
      <c r="A7" s="33">
        <v>15</v>
      </c>
      <c r="B7" s="33" t="s">
        <v>3156</v>
      </c>
      <c r="C7" s="34" t="s">
        <v>27766</v>
      </c>
      <c r="D7" s="72" t="s">
        <v>18257</v>
      </c>
      <c r="F7" s="57"/>
      <c r="G7" s="72" t="s">
        <v>19945</v>
      </c>
      <c r="I7" s="57"/>
      <c r="J7" s="35"/>
      <c r="M7" s="122"/>
      <c r="N7" s="37"/>
      <c r="O7" s="38"/>
      <c r="P7" s="512"/>
      <c r="Q7" s="57"/>
      <c r="R7" s="512"/>
      <c r="S7" s="57"/>
      <c r="T7" s="72"/>
      <c r="W7" s="57"/>
      <c r="X7" s="72"/>
      <c r="AA7" s="57"/>
      <c r="AB7" s="207">
        <f>ROUND((ROUND((_15_同援日０．５*_15・通訳),0)*(1+_15・A夜間)),0)+ROUND((ROUND((_15_同援日０．５＿０．５*_15・通訳),0)*(1+_15・B深夜)),0)</f>
        <v>363</v>
      </c>
      <c r="AC7" s="40" t="s">
        <v>395</v>
      </c>
    </row>
    <row r="8" spans="1:29" ht="16.5" customHeight="1" x14ac:dyDescent="0.15">
      <c r="A8" s="41">
        <v>15</v>
      </c>
      <c r="B8" s="41" t="s">
        <v>3158</v>
      </c>
      <c r="C8" s="74" t="s">
        <v>27767</v>
      </c>
      <c r="D8" s="72" t="s">
        <v>18259</v>
      </c>
      <c r="F8" s="57"/>
      <c r="G8" s="72" t="s">
        <v>18259</v>
      </c>
      <c r="I8" s="57"/>
      <c r="J8" s="35"/>
      <c r="M8" s="299" t="s">
        <v>17556</v>
      </c>
      <c r="N8" s="45" t="s">
        <v>398</v>
      </c>
      <c r="O8" s="46">
        <v>1</v>
      </c>
      <c r="P8" s="512"/>
      <c r="Q8" s="57"/>
      <c r="R8" s="512"/>
      <c r="S8" s="57"/>
      <c r="T8" s="122"/>
      <c r="U8" s="37"/>
      <c r="V8" s="38"/>
      <c r="W8" s="79"/>
      <c r="X8" s="72"/>
      <c r="AA8" s="57"/>
      <c r="AB8" s="208">
        <f>ROUND((ROUND((ROUND((_15_同援日０．５*_15・通訳),0)*_15・２人),0)*(1+_15・A夜間)),0)+ROUND((ROUND((ROUND((_15_同援日０．５＿０．５*_15・通訳),0)*_15・２人),0)*(1+_15・B深夜)),0)</f>
        <v>363</v>
      </c>
      <c r="AC8" s="48"/>
    </row>
    <row r="9" spans="1:29" ht="16.5" customHeight="1" x14ac:dyDescent="0.15">
      <c r="A9" s="41">
        <v>15</v>
      </c>
      <c r="B9" s="41" t="s">
        <v>27768</v>
      </c>
      <c r="C9" s="74" t="s">
        <v>27769</v>
      </c>
      <c r="D9" s="72"/>
      <c r="F9" s="57"/>
      <c r="G9" s="72"/>
      <c r="I9" s="57"/>
      <c r="J9" s="35"/>
      <c r="M9" s="299"/>
      <c r="N9" s="45"/>
      <c r="O9" s="46"/>
      <c r="P9" s="512"/>
      <c r="Q9" s="57"/>
      <c r="R9" s="512"/>
      <c r="S9" s="57"/>
      <c r="T9" s="114" t="s">
        <v>17562</v>
      </c>
      <c r="U9" s="49"/>
      <c r="V9" s="50"/>
      <c r="W9" s="115"/>
      <c r="X9" s="72"/>
      <c r="AA9" s="57"/>
      <c r="AB9" s="208">
        <f>ROUND((ROUND((ROUND((_15_同援日０．５*_15・通訳),0)*(1+_15・A夜間)),0)*(1+_15・盲ろう)),0)+ROUND((ROUND((ROUND((_15_同援日０．５＿０．５*_15・通訳),0)*(1+_15・B深夜)),0)*(1+_15・盲ろう)),0)</f>
        <v>454</v>
      </c>
      <c r="AC9" s="48"/>
    </row>
    <row r="10" spans="1:29" ht="16.5" customHeight="1" x14ac:dyDescent="0.15">
      <c r="A10" s="41">
        <v>15</v>
      </c>
      <c r="B10" s="41" t="s">
        <v>27770</v>
      </c>
      <c r="C10" s="74" t="s">
        <v>27771</v>
      </c>
      <c r="D10" s="72"/>
      <c r="E10" s="168">
        <f>_15_同援日０．５</f>
        <v>190</v>
      </c>
      <c r="F10" s="57" t="s">
        <v>392</v>
      </c>
      <c r="G10" s="72"/>
      <c r="H10" s="168">
        <f>_15_同援日０．５＿０．５</f>
        <v>110</v>
      </c>
      <c r="I10" s="57" t="s">
        <v>392</v>
      </c>
      <c r="J10" s="35"/>
      <c r="M10" s="299" t="s">
        <v>17556</v>
      </c>
      <c r="N10" s="45" t="s">
        <v>398</v>
      </c>
      <c r="O10" s="46">
        <v>1</v>
      </c>
      <c r="P10" s="512"/>
      <c r="Q10" s="57"/>
      <c r="R10" s="512"/>
      <c r="S10" s="57"/>
      <c r="T10" s="122" t="s">
        <v>17564</v>
      </c>
      <c r="U10" s="37" t="s">
        <v>398</v>
      </c>
      <c r="V10" s="38">
        <v>0.25</v>
      </c>
      <c r="W10" s="79" t="s">
        <v>3575</v>
      </c>
      <c r="X10" s="122"/>
      <c r="Y10" s="37"/>
      <c r="Z10" s="38"/>
      <c r="AA10" s="79"/>
      <c r="AB10" s="208">
        <f>ROUND((ROUND((ROUND((ROUND((_15_同援日０．５*_15・通訳),0)*_15・２人),0)*(1+_15・A夜間)),0)*(1+_15・盲ろう)),0)+ROUND((ROUND((ROUND((ROUND((_15_同援日０．５＿０．５*_15・通訳),0)*_15・２人),0)*(1+_15・B深夜)),0)*(1+_15・盲ろう)),0)</f>
        <v>454</v>
      </c>
      <c r="AC10" s="48"/>
    </row>
    <row r="11" spans="1:29" ht="16.5" customHeight="1" x14ac:dyDescent="0.15">
      <c r="A11" s="41">
        <v>15</v>
      </c>
      <c r="B11" s="41" t="s">
        <v>27772</v>
      </c>
      <c r="C11" s="74" t="s">
        <v>27773</v>
      </c>
      <c r="D11" s="72"/>
      <c r="F11" s="57"/>
      <c r="G11" s="72"/>
      <c r="I11" s="57"/>
      <c r="J11" s="35"/>
      <c r="M11" s="299"/>
      <c r="N11" s="45"/>
      <c r="O11" s="46"/>
      <c r="P11" s="512"/>
      <c r="Q11" s="57"/>
      <c r="R11" s="512"/>
      <c r="S11" s="57"/>
      <c r="T11" s="114"/>
      <c r="U11" s="49"/>
      <c r="V11" s="50"/>
      <c r="W11" s="115"/>
      <c r="X11" s="114" t="s">
        <v>17570</v>
      </c>
      <c r="Y11" s="49"/>
      <c r="Z11" s="50"/>
      <c r="AA11" s="115"/>
      <c r="AB11" s="208">
        <f>ROUND((ROUND((ROUND((_15_同援日０．５*_15・通訳),0)*(1+_15・A夜間)),0)*(1+_15・区３)),0)+ROUND((ROUND((ROUND((_15_同援日０．５＿０．５*_15・通訳),0)*(1+_15・B深夜)),0)*(1+_15・区３)),0)</f>
        <v>436</v>
      </c>
      <c r="AC11" s="48"/>
    </row>
    <row r="12" spans="1:29" ht="16.5" customHeight="1" x14ac:dyDescent="0.15">
      <c r="A12" s="41">
        <v>15</v>
      </c>
      <c r="B12" s="41" t="s">
        <v>27774</v>
      </c>
      <c r="C12" s="74" t="s">
        <v>27775</v>
      </c>
      <c r="D12" s="72"/>
      <c r="F12" s="57"/>
      <c r="G12" s="72"/>
      <c r="I12" s="57"/>
      <c r="J12" s="72" t="s">
        <v>25732</v>
      </c>
      <c r="M12" s="299" t="s">
        <v>17556</v>
      </c>
      <c r="N12" s="45" t="s">
        <v>398</v>
      </c>
      <c r="O12" s="46">
        <v>1</v>
      </c>
      <c r="P12" s="517" t="s">
        <v>18264</v>
      </c>
      <c r="Q12" s="57"/>
      <c r="R12" s="526" t="s">
        <v>18493</v>
      </c>
      <c r="S12" s="57"/>
      <c r="T12" s="122"/>
      <c r="U12" s="37"/>
      <c r="V12" s="38"/>
      <c r="W12" s="79"/>
      <c r="X12" s="72" t="s">
        <v>17572</v>
      </c>
      <c r="AA12" s="57"/>
      <c r="AB12" s="208">
        <f>ROUND((ROUND((ROUND((ROUND((_15_同援日０．５*_15・通訳),0)*_15・２人),0)*(1+_15・A夜間)),0)*(1+_15・区３)),0)+ROUND((ROUND((ROUND((ROUND((_15_同援日０．５＿０．５*_15・通訳),0)*_15・２人),0)*(1+_15・B深夜)),0)*(1+_15・区３)),0)</f>
        <v>436</v>
      </c>
      <c r="AC12" s="48"/>
    </row>
    <row r="13" spans="1:29" ht="16.5" customHeight="1" x14ac:dyDescent="0.15">
      <c r="A13" s="41">
        <v>15</v>
      </c>
      <c r="B13" s="41" t="s">
        <v>27776</v>
      </c>
      <c r="C13" s="74" t="s">
        <v>27777</v>
      </c>
      <c r="D13" s="72"/>
      <c r="F13" s="57"/>
      <c r="G13" s="72"/>
      <c r="I13" s="57"/>
      <c r="J13" s="92" t="s">
        <v>25734</v>
      </c>
      <c r="K13" s="12" t="s">
        <v>398</v>
      </c>
      <c r="L13" s="13">
        <v>0.9</v>
      </c>
      <c r="M13" s="299"/>
      <c r="N13" s="45"/>
      <c r="O13" s="46"/>
      <c r="P13" s="512"/>
      <c r="Q13" s="519" t="s">
        <v>18826</v>
      </c>
      <c r="R13" s="512"/>
      <c r="S13" s="519" t="s">
        <v>27752</v>
      </c>
      <c r="T13" s="114" t="s">
        <v>17562</v>
      </c>
      <c r="U13" s="49"/>
      <c r="V13" s="50"/>
      <c r="W13" s="115"/>
      <c r="X13" s="72"/>
      <c r="Y13" s="12" t="s">
        <v>398</v>
      </c>
      <c r="Z13" s="13">
        <v>0.2</v>
      </c>
      <c r="AA13" s="57" t="s">
        <v>3575</v>
      </c>
      <c r="AB13" s="208">
        <f>ROUND((ROUND((ROUND((ROUND((_15_同援日０．５*_15・通訳),0)*(1+_15・A夜間)),0)*(1+_15・盲ろう)),0)*(1+_15・区３)),0)+ROUND((ROUND((ROUND((ROUND((_15_同援日０．５＿０．５*_15・通訳),0)*(1+_15・B深夜)),0)*(1+_15・盲ろう)),0)*(1+_15・区３)),0)</f>
        <v>545</v>
      </c>
      <c r="AC13" s="48"/>
    </row>
    <row r="14" spans="1:29" ht="16.5" customHeight="1" x14ac:dyDescent="0.15">
      <c r="A14" s="41">
        <v>15</v>
      </c>
      <c r="B14" s="41" t="s">
        <v>27778</v>
      </c>
      <c r="C14" s="74" t="s">
        <v>27779</v>
      </c>
      <c r="D14" s="72"/>
      <c r="F14" s="57"/>
      <c r="G14" s="72"/>
      <c r="I14" s="57"/>
      <c r="J14" s="35"/>
      <c r="M14" s="299" t="s">
        <v>17556</v>
      </c>
      <c r="N14" s="45" t="s">
        <v>398</v>
      </c>
      <c r="O14" s="46">
        <v>1</v>
      </c>
      <c r="P14" s="512"/>
      <c r="Q14" s="57"/>
      <c r="R14" s="512"/>
      <c r="S14" s="57"/>
      <c r="T14" s="122" t="s">
        <v>17564</v>
      </c>
      <c r="U14" s="37" t="s">
        <v>398</v>
      </c>
      <c r="V14" s="38">
        <v>0.25</v>
      </c>
      <c r="W14" s="79" t="s">
        <v>3575</v>
      </c>
      <c r="X14" s="122"/>
      <c r="Y14" s="37"/>
      <c r="Z14" s="38"/>
      <c r="AA14" s="79"/>
      <c r="AB14" s="208">
        <f>ROUND((ROUND((ROUND((ROUND((ROUND((_15_同援日０．５*_15・通訳),0)*_15・２人),0)*(1+_15・A夜間)),0)*(1+_15・盲ろう)),0)*(1+_15・区３)),0)+ROUND((ROUND((ROUND((ROUND((ROUND((_15_同援日０．５＿０．５*_15・通訳),0)*_15・２人),0)*(1+_15・B深夜)),0)*(1+_15・盲ろう)),0)*(1+_15・区３)),0)</f>
        <v>545</v>
      </c>
      <c r="AC14" s="48"/>
    </row>
    <row r="15" spans="1:29" ht="16.5" customHeight="1" x14ac:dyDescent="0.15">
      <c r="A15" s="41">
        <v>15</v>
      </c>
      <c r="B15" s="41" t="s">
        <v>27780</v>
      </c>
      <c r="C15" s="74" t="s">
        <v>27781</v>
      </c>
      <c r="D15" s="72"/>
      <c r="F15" s="57"/>
      <c r="G15" s="72"/>
      <c r="I15" s="57"/>
      <c r="J15" s="35"/>
      <c r="M15" s="299"/>
      <c r="N15" s="45"/>
      <c r="O15" s="46"/>
      <c r="P15" s="35" t="s">
        <v>398</v>
      </c>
      <c r="Q15" s="234">
        <v>0.25</v>
      </c>
      <c r="R15" s="35" t="s">
        <v>398</v>
      </c>
      <c r="S15" s="234">
        <v>0.5</v>
      </c>
      <c r="T15" s="114"/>
      <c r="U15" s="49"/>
      <c r="V15" s="50"/>
      <c r="W15" s="115"/>
      <c r="X15" s="114" t="s">
        <v>17580</v>
      </c>
      <c r="Y15" s="49"/>
      <c r="Z15" s="50"/>
      <c r="AA15" s="115"/>
      <c r="AB15" s="208">
        <f>ROUND((ROUND((ROUND((_15_同援日０．５*_15・通訳),0)*(1+_15・A夜間)),0)*(1+_15・区４)),0)+ROUND((ROUND((ROUND((_15_同援日０．５＿０．５*_15・通訳),0)*(1+_15・B深夜)),0)*(1+_15・区４)),0)</f>
        <v>509</v>
      </c>
      <c r="AC15" s="48"/>
    </row>
    <row r="16" spans="1:29" ht="16.5" customHeight="1" x14ac:dyDescent="0.15">
      <c r="A16" s="41">
        <v>15</v>
      </c>
      <c r="B16" s="41" t="s">
        <v>27782</v>
      </c>
      <c r="C16" s="74" t="s">
        <v>27783</v>
      </c>
      <c r="D16" s="72"/>
      <c r="F16" s="57"/>
      <c r="G16" s="72"/>
      <c r="I16" s="57"/>
      <c r="J16" s="35"/>
      <c r="M16" s="299" t="s">
        <v>17556</v>
      </c>
      <c r="N16" s="45" t="s">
        <v>398</v>
      </c>
      <c r="O16" s="46">
        <v>1</v>
      </c>
      <c r="P16" s="512"/>
      <c r="Q16" s="513" t="s">
        <v>3575</v>
      </c>
      <c r="R16" s="512"/>
      <c r="S16" s="513" t="s">
        <v>3575</v>
      </c>
      <c r="T16" s="122"/>
      <c r="U16" s="37"/>
      <c r="V16" s="38"/>
      <c r="W16" s="79"/>
      <c r="X16" s="72" t="s">
        <v>17572</v>
      </c>
      <c r="AA16" s="57"/>
      <c r="AB16" s="208">
        <f>ROUND((ROUND((ROUND((ROUND((_15_同援日０．５*_15・通訳),0)*_15・２人),0)*(1+_15・A夜間)),0)*(1+_15・区４)),0)+ROUND((ROUND((ROUND((ROUND((_15_同援日０．５＿０．５*_15・通訳),0)*_15・２人),0)*(1+_15・B深夜)),0)*(1+_15・区４)),0)</f>
        <v>509</v>
      </c>
      <c r="AC16" s="48"/>
    </row>
    <row r="17" spans="1:29" ht="16.5" customHeight="1" x14ac:dyDescent="0.15">
      <c r="A17" s="41">
        <v>15</v>
      </c>
      <c r="B17" s="41" t="s">
        <v>27784</v>
      </c>
      <c r="C17" s="74" t="s">
        <v>27785</v>
      </c>
      <c r="D17" s="72"/>
      <c r="F17" s="57"/>
      <c r="G17" s="72"/>
      <c r="I17" s="57"/>
      <c r="J17" s="35"/>
      <c r="M17" s="299"/>
      <c r="N17" s="45"/>
      <c r="O17" s="46"/>
      <c r="P17" s="512"/>
      <c r="Q17" s="57"/>
      <c r="R17" s="512"/>
      <c r="S17" s="57"/>
      <c r="T17" s="114" t="s">
        <v>17562</v>
      </c>
      <c r="U17" s="49"/>
      <c r="V17" s="50"/>
      <c r="W17" s="115"/>
      <c r="X17" s="72"/>
      <c r="Y17" s="12" t="s">
        <v>398</v>
      </c>
      <c r="Z17" s="13">
        <v>0.4</v>
      </c>
      <c r="AA17" s="57" t="s">
        <v>3575</v>
      </c>
      <c r="AB17" s="208">
        <f>ROUND((ROUND((ROUND((ROUND((_15_同援日０．５*_15・通訳),0)*(1+_15・A夜間)),0)*(1+_15・盲ろう)),0)*(1+_15・区４)),0)+ROUND((ROUND((ROUND((ROUND((_15_同援日０．５＿０．５*_15・通訳),0)*(1+_15・B深夜)),0)*(1+_15・盲ろう)),0)*(1+_15・区４)),0)</f>
        <v>635</v>
      </c>
      <c r="AC17" s="48"/>
    </row>
    <row r="18" spans="1:29" ht="16.5" customHeight="1" x14ac:dyDescent="0.15">
      <c r="A18" s="41">
        <v>15</v>
      </c>
      <c r="B18" s="41" t="s">
        <v>27786</v>
      </c>
      <c r="C18" s="74" t="s">
        <v>27787</v>
      </c>
      <c r="D18" s="72"/>
      <c r="F18" s="57"/>
      <c r="G18" s="122"/>
      <c r="H18" s="37"/>
      <c r="I18" s="79"/>
      <c r="J18" s="35"/>
      <c r="M18" s="299" t="s">
        <v>17556</v>
      </c>
      <c r="N18" s="45" t="s">
        <v>398</v>
      </c>
      <c r="O18" s="46">
        <v>1</v>
      </c>
      <c r="P18" s="512"/>
      <c r="Q18" s="57"/>
      <c r="R18" s="512"/>
      <c r="S18" s="57"/>
      <c r="T18" s="122" t="s">
        <v>17564</v>
      </c>
      <c r="U18" s="37" t="s">
        <v>398</v>
      </c>
      <c r="V18" s="38">
        <v>0.25</v>
      </c>
      <c r="W18" s="79" t="s">
        <v>3575</v>
      </c>
      <c r="X18" s="122"/>
      <c r="Y18" s="37"/>
      <c r="Z18" s="38"/>
      <c r="AA18" s="79"/>
      <c r="AB18" s="208">
        <f>ROUND((ROUND((ROUND((ROUND((ROUND((_15_同援日０．５*_15・通訳),0)*_15・２人),0)*(1+_15・A夜間)),0)*(1+_15・盲ろう)),0)*(1+_15・区４)),0)+ROUND((ROUND((ROUND((ROUND((ROUND((_15_同援日０．５＿０．５*_15・通訳),0)*_15・２人),0)*(1+_15・B深夜)),0)*(1+_15・盲ろう)),0)*(1+_15・区４)),0)</f>
        <v>635</v>
      </c>
      <c r="AC18" s="48"/>
    </row>
    <row r="19" spans="1:29" ht="16.5" customHeight="1" x14ac:dyDescent="0.15">
      <c r="A19" s="41">
        <v>15</v>
      </c>
      <c r="B19" s="41" t="s">
        <v>27788</v>
      </c>
      <c r="C19" s="74" t="s">
        <v>27789</v>
      </c>
      <c r="D19" s="72"/>
      <c r="F19" s="57"/>
      <c r="G19" s="114" t="s">
        <v>19970</v>
      </c>
      <c r="H19" s="49"/>
      <c r="I19" s="115"/>
      <c r="J19" s="35"/>
      <c r="M19" s="299"/>
      <c r="N19" s="45"/>
      <c r="O19" s="46"/>
      <c r="P19" s="512"/>
      <c r="Q19" s="57"/>
      <c r="R19" s="512"/>
      <c r="S19" s="57"/>
      <c r="T19" s="114"/>
      <c r="U19" s="49"/>
      <c r="V19" s="50"/>
      <c r="W19" s="115"/>
      <c r="X19" s="114"/>
      <c r="Y19" s="49"/>
      <c r="Z19" s="50"/>
      <c r="AA19" s="115"/>
      <c r="AB19" s="208">
        <f>ROUND((ROUND((_15_同援日０．５*_15・通訳),0)*(1+_15・A夜間)),0)+ROUND((ROUND((_15_同援日０．５＿１．０*_15・通訳),0)*(1+_15・B深夜)),0)</f>
        <v>543</v>
      </c>
      <c r="AC19" s="48"/>
    </row>
    <row r="20" spans="1:29" ht="16.5" customHeight="1" x14ac:dyDescent="0.15">
      <c r="A20" s="41">
        <v>15</v>
      </c>
      <c r="B20" s="41" t="s">
        <v>27790</v>
      </c>
      <c r="C20" s="74" t="s">
        <v>27791</v>
      </c>
      <c r="D20" s="72"/>
      <c r="F20" s="57"/>
      <c r="G20" s="72" t="s">
        <v>17589</v>
      </c>
      <c r="I20" s="57"/>
      <c r="J20" s="35"/>
      <c r="M20" s="299" t="s">
        <v>17556</v>
      </c>
      <c r="N20" s="45" t="s">
        <v>398</v>
      </c>
      <c r="O20" s="46">
        <v>1</v>
      </c>
      <c r="P20" s="512"/>
      <c r="Q20" s="57"/>
      <c r="R20" s="512"/>
      <c r="S20" s="57"/>
      <c r="T20" s="122"/>
      <c r="U20" s="37"/>
      <c r="V20" s="38"/>
      <c r="W20" s="79"/>
      <c r="X20" s="72"/>
      <c r="AA20" s="57"/>
      <c r="AB20" s="208">
        <f>ROUND((ROUND((ROUND((_15_同援日０．５*_15・通訳),0)*_15・２人),0)*(1+_15・A夜間)),0)+ROUND((ROUND((ROUND((_15_同援日０．５＿１．０*_15・通訳),0)*_15・２人),0)*(1+_15・B深夜)),0)</f>
        <v>543</v>
      </c>
      <c r="AC20" s="48"/>
    </row>
    <row r="21" spans="1:29" ht="16.5" customHeight="1" x14ac:dyDescent="0.15">
      <c r="A21" s="41">
        <v>15</v>
      </c>
      <c r="B21" s="41" t="s">
        <v>27792</v>
      </c>
      <c r="C21" s="74" t="s">
        <v>27793</v>
      </c>
      <c r="D21" s="72"/>
      <c r="F21" s="57"/>
      <c r="G21" s="72" t="s">
        <v>17591</v>
      </c>
      <c r="I21" s="57"/>
      <c r="J21" s="35"/>
      <c r="M21" s="299"/>
      <c r="N21" s="45"/>
      <c r="O21" s="46"/>
      <c r="P21" s="512"/>
      <c r="Q21" s="57"/>
      <c r="R21" s="512"/>
      <c r="S21" s="57"/>
      <c r="T21" s="114" t="s">
        <v>17562</v>
      </c>
      <c r="U21" s="49"/>
      <c r="V21" s="50"/>
      <c r="W21" s="115"/>
      <c r="X21" s="72"/>
      <c r="AA21" s="57"/>
      <c r="AB21" s="208">
        <f>ROUND((ROUND((ROUND((_15_同援日０．５*_15・通訳),0)*(1+_15・A夜間)),0)*(1+_15・盲ろう)),0)+ROUND((ROUND((ROUND((_15_同援日０．５＿１．０*_15・通訳),0)*(1+_15・B深夜)),0)*(1+_15・盲ろう)),0)</f>
        <v>679</v>
      </c>
      <c r="AC21" s="48"/>
    </row>
    <row r="22" spans="1:29" ht="16.5" customHeight="1" x14ac:dyDescent="0.15">
      <c r="A22" s="41">
        <v>15</v>
      </c>
      <c r="B22" s="41" t="s">
        <v>27794</v>
      </c>
      <c r="C22" s="74" t="s">
        <v>27795</v>
      </c>
      <c r="D22" s="72"/>
      <c r="F22" s="57"/>
      <c r="G22" s="72"/>
      <c r="H22" s="168">
        <f>_15_同援日０．５＿１．０</f>
        <v>243</v>
      </c>
      <c r="I22" s="57" t="s">
        <v>392</v>
      </c>
      <c r="J22" s="35"/>
      <c r="M22" s="299" t="s">
        <v>17556</v>
      </c>
      <c r="N22" s="45" t="s">
        <v>398</v>
      </c>
      <c r="O22" s="46">
        <v>1</v>
      </c>
      <c r="P22" s="512"/>
      <c r="Q22" s="57"/>
      <c r="R22" s="512"/>
      <c r="S22" s="57"/>
      <c r="T22" s="122" t="s">
        <v>17564</v>
      </c>
      <c r="U22" s="37" t="s">
        <v>398</v>
      </c>
      <c r="V22" s="38">
        <v>0.25</v>
      </c>
      <c r="W22" s="79" t="s">
        <v>3575</v>
      </c>
      <c r="X22" s="122"/>
      <c r="Y22" s="37"/>
      <c r="Z22" s="38"/>
      <c r="AA22" s="79"/>
      <c r="AB22" s="208">
        <f>ROUND((ROUND((ROUND((ROUND((_15_同援日０．５*_15・通訳),0)*_15・２人),0)*(1+_15・A夜間)),0)*(1+_15・盲ろう)),0)+ROUND((ROUND((ROUND((ROUND((_15_同援日０．５＿１．０*_15・通訳),0)*_15・２人),0)*(1+_15・B深夜)),0)*(1+_15・盲ろう)),0)</f>
        <v>679</v>
      </c>
      <c r="AC22" s="48"/>
    </row>
    <row r="23" spans="1:29" ht="16.5" customHeight="1" x14ac:dyDescent="0.15">
      <c r="A23" s="41">
        <v>15</v>
      </c>
      <c r="B23" s="41" t="s">
        <v>27796</v>
      </c>
      <c r="C23" s="74" t="s">
        <v>27797</v>
      </c>
      <c r="D23" s="72"/>
      <c r="F23" s="57"/>
      <c r="G23" s="72"/>
      <c r="I23" s="57"/>
      <c r="J23" s="35"/>
      <c r="M23" s="299"/>
      <c r="N23" s="45"/>
      <c r="O23" s="46"/>
      <c r="P23" s="512"/>
      <c r="Q23" s="57"/>
      <c r="R23" s="512"/>
      <c r="S23" s="57"/>
      <c r="T23" s="114"/>
      <c r="U23" s="49"/>
      <c r="V23" s="50"/>
      <c r="W23" s="115"/>
      <c r="X23" s="114" t="s">
        <v>17570</v>
      </c>
      <c r="Y23" s="49"/>
      <c r="Z23" s="50"/>
      <c r="AA23" s="115"/>
      <c r="AB23" s="208">
        <f>ROUND((ROUND((ROUND((_15_同援日０．５*_15・通訳),0)*(1+_15・A夜間)),0)*(1+_15・区３)),0)+ROUND((ROUND((ROUND((_15_同援日０．５＿１．０*_15・通訳),0)*(1+_15・B深夜)),0)*(1+_15・区３)),0)</f>
        <v>652</v>
      </c>
      <c r="AC23" s="48"/>
    </row>
    <row r="24" spans="1:29" ht="16.5" customHeight="1" x14ac:dyDescent="0.15">
      <c r="A24" s="41">
        <v>15</v>
      </c>
      <c r="B24" s="41" t="s">
        <v>27798</v>
      </c>
      <c r="C24" s="74" t="s">
        <v>27799</v>
      </c>
      <c r="D24" s="72"/>
      <c r="F24" s="57"/>
      <c r="G24" s="72"/>
      <c r="I24" s="57"/>
      <c r="J24" s="35"/>
      <c r="M24" s="299" t="s">
        <v>17556</v>
      </c>
      <c r="N24" s="45" t="s">
        <v>398</v>
      </c>
      <c r="O24" s="46">
        <v>1</v>
      </c>
      <c r="P24" s="512"/>
      <c r="Q24" s="57"/>
      <c r="R24" s="512"/>
      <c r="S24" s="57"/>
      <c r="T24" s="122"/>
      <c r="U24" s="37"/>
      <c r="V24" s="38"/>
      <c r="W24" s="79"/>
      <c r="X24" s="72" t="s">
        <v>17572</v>
      </c>
      <c r="AA24" s="57"/>
      <c r="AB24" s="208">
        <f>ROUND((ROUND((ROUND((ROUND((_15_同援日０．５*_15・通訳),0)*_15・２人),0)*(1+_15・A夜間)),0)*(1+_15・区３)),0)+ROUND((ROUND((ROUND((ROUND((_15_同援日０．５＿１．０*_15・通訳),0)*_15・２人),0)*(1+_15・B深夜)),0)*(1+_15・区３)),0)</f>
        <v>652</v>
      </c>
      <c r="AC24" s="48"/>
    </row>
    <row r="25" spans="1:29" ht="16.5" customHeight="1" x14ac:dyDescent="0.15">
      <c r="A25" s="41">
        <v>15</v>
      </c>
      <c r="B25" s="41" t="s">
        <v>3164</v>
      </c>
      <c r="C25" s="74" t="s">
        <v>27800</v>
      </c>
      <c r="D25" s="72"/>
      <c r="F25" s="57"/>
      <c r="G25" s="72"/>
      <c r="I25" s="57"/>
      <c r="J25" s="35"/>
      <c r="M25" s="299"/>
      <c r="N25" s="45"/>
      <c r="O25" s="46"/>
      <c r="P25" s="512"/>
      <c r="Q25" s="57"/>
      <c r="R25" s="512"/>
      <c r="S25" s="57"/>
      <c r="T25" s="114" t="s">
        <v>17562</v>
      </c>
      <c r="U25" s="49"/>
      <c r="V25" s="50"/>
      <c r="W25" s="115"/>
      <c r="X25" s="72"/>
      <c r="Y25" s="12" t="s">
        <v>398</v>
      </c>
      <c r="Z25" s="13">
        <v>0.2</v>
      </c>
      <c r="AA25" s="57" t="s">
        <v>3575</v>
      </c>
      <c r="AB25" s="208">
        <f>ROUND((ROUND((ROUND((ROUND((_15_同援日０．５*_15・通訳),0)*(1+_15・A夜間)),0)*(1+_15・盲ろう)),0)*(1+_15・区３)),0)+ROUND((ROUND((ROUND((ROUND((_15_同援日０．５＿１．０*_15・通訳),0)*(1+_15・B深夜)),0)*(1+_15・盲ろう)),0)*(1+_15・区３)),0)</f>
        <v>815</v>
      </c>
      <c r="AC25" s="48"/>
    </row>
    <row r="26" spans="1:29" ht="16.5" customHeight="1" x14ac:dyDescent="0.15">
      <c r="A26" s="41">
        <v>15</v>
      </c>
      <c r="B26" s="41" t="s">
        <v>3166</v>
      </c>
      <c r="C26" s="74" t="s">
        <v>27801</v>
      </c>
      <c r="D26" s="72"/>
      <c r="F26" s="57"/>
      <c r="G26" s="72"/>
      <c r="I26" s="57"/>
      <c r="J26" s="35"/>
      <c r="M26" s="299" t="s">
        <v>17556</v>
      </c>
      <c r="N26" s="45" t="s">
        <v>398</v>
      </c>
      <c r="O26" s="46">
        <v>1</v>
      </c>
      <c r="P26" s="512"/>
      <c r="Q26" s="57"/>
      <c r="R26" s="512"/>
      <c r="S26" s="57"/>
      <c r="T26" s="122" t="s">
        <v>17564</v>
      </c>
      <c r="U26" s="37" t="s">
        <v>398</v>
      </c>
      <c r="V26" s="38">
        <v>0.25</v>
      </c>
      <c r="W26" s="79" t="s">
        <v>3575</v>
      </c>
      <c r="X26" s="122"/>
      <c r="Y26" s="37"/>
      <c r="Z26" s="38"/>
      <c r="AA26" s="79"/>
      <c r="AB26" s="208">
        <f>ROUND((ROUND((ROUND((ROUND((ROUND((_15_同援日０．５*_15・通訳),0)*_15・２人),0)*(1+_15・A夜間)),0)*(1+_15・盲ろう)),0)*(1+_15・区３)),0)+ROUND((ROUND((ROUND((ROUND((ROUND((_15_同援日０．５＿１．０*_15・通訳),0)*_15・２人),0)*(1+_15・B深夜)),0)*(1+_15・盲ろう)),0)*(1+_15・区３)),0)</f>
        <v>815</v>
      </c>
      <c r="AC26" s="48"/>
    </row>
    <row r="27" spans="1:29" ht="16.5" customHeight="1" x14ac:dyDescent="0.15">
      <c r="A27" s="41">
        <v>15</v>
      </c>
      <c r="B27" s="41" t="s">
        <v>3168</v>
      </c>
      <c r="C27" s="74" t="s">
        <v>27802</v>
      </c>
      <c r="D27" s="72"/>
      <c r="F27" s="57"/>
      <c r="G27" s="72"/>
      <c r="I27" s="57"/>
      <c r="J27" s="35"/>
      <c r="M27" s="299"/>
      <c r="N27" s="45"/>
      <c r="O27" s="46"/>
      <c r="P27" s="512"/>
      <c r="Q27" s="57"/>
      <c r="R27" s="512"/>
      <c r="S27" s="57"/>
      <c r="T27" s="114"/>
      <c r="U27" s="49"/>
      <c r="V27" s="50"/>
      <c r="W27" s="115"/>
      <c r="X27" s="114" t="s">
        <v>17580</v>
      </c>
      <c r="Y27" s="49"/>
      <c r="Z27" s="50"/>
      <c r="AA27" s="115"/>
      <c r="AB27" s="208">
        <f>ROUND((ROUND((ROUND((_15_同援日０．５*_15・通訳),0)*(1+_15・A夜間)),0)*(1+_15・区４)),0)+ROUND((ROUND((ROUND((_15_同援日０．５＿１．０*_15・通訳),0)*(1+_15・B深夜)),0)*(1+_15・区４)),0)</f>
        <v>761</v>
      </c>
      <c r="AC27" s="48"/>
    </row>
    <row r="28" spans="1:29" ht="16.5" customHeight="1" x14ac:dyDescent="0.15">
      <c r="A28" s="41">
        <v>15</v>
      </c>
      <c r="B28" s="41" t="s">
        <v>3170</v>
      </c>
      <c r="C28" s="74" t="s">
        <v>27803</v>
      </c>
      <c r="D28" s="72"/>
      <c r="F28" s="57"/>
      <c r="G28" s="72"/>
      <c r="I28" s="57"/>
      <c r="J28" s="35"/>
      <c r="M28" s="299" t="s">
        <v>17556</v>
      </c>
      <c r="N28" s="45" t="s">
        <v>398</v>
      </c>
      <c r="O28" s="46">
        <v>1</v>
      </c>
      <c r="P28" s="512"/>
      <c r="Q28" s="57"/>
      <c r="R28" s="512"/>
      <c r="S28" s="57"/>
      <c r="T28" s="122"/>
      <c r="U28" s="37"/>
      <c r="V28" s="38"/>
      <c r="W28" s="79"/>
      <c r="X28" s="72" t="s">
        <v>17572</v>
      </c>
      <c r="AA28" s="57"/>
      <c r="AB28" s="208">
        <f>ROUND((ROUND((ROUND((ROUND((_15_同援日０．５*_15・通訳),0)*_15・２人),0)*(1+_15・A夜間)),0)*(1+_15・区４)),0)+ROUND((ROUND((ROUND((ROUND((_15_同援日０．５＿１．０*_15・通訳),0)*_15・２人),0)*(1+_15・B深夜)),0)*(1+_15・区４)),0)</f>
        <v>761</v>
      </c>
      <c r="AC28" s="48"/>
    </row>
    <row r="29" spans="1:29" ht="16.5" customHeight="1" x14ac:dyDescent="0.15">
      <c r="A29" s="41">
        <v>15</v>
      </c>
      <c r="B29" s="41" t="s">
        <v>27804</v>
      </c>
      <c r="C29" s="74" t="s">
        <v>27805</v>
      </c>
      <c r="D29" s="72"/>
      <c r="F29" s="57"/>
      <c r="G29" s="72"/>
      <c r="I29" s="57"/>
      <c r="J29" s="35"/>
      <c r="M29" s="299"/>
      <c r="N29" s="45"/>
      <c r="O29" s="46"/>
      <c r="P29" s="512"/>
      <c r="Q29" s="57"/>
      <c r="R29" s="512"/>
      <c r="S29" s="57"/>
      <c r="T29" s="114" t="s">
        <v>17562</v>
      </c>
      <c r="U29" s="49"/>
      <c r="V29" s="50"/>
      <c r="W29" s="115"/>
      <c r="X29" s="72"/>
      <c r="Y29" s="12" t="s">
        <v>398</v>
      </c>
      <c r="Z29" s="13">
        <v>0.4</v>
      </c>
      <c r="AA29" s="57" t="s">
        <v>3575</v>
      </c>
      <c r="AB29" s="208">
        <f>ROUND((ROUND((ROUND((ROUND((_15_同援日０．５*_15・通訳),0)*(1+_15・A夜間)),0)*(1+_15・盲ろう)),0)*(1+_15・区４)),0)+ROUND((ROUND((ROUND((ROUND((_15_同援日０．５＿１．０*_15・通訳),0)*(1+_15・B深夜)),0)*(1+_15・盲ろう)),0)*(1+_15・区４)),0)</f>
        <v>950</v>
      </c>
      <c r="AC29" s="48"/>
    </row>
    <row r="30" spans="1:29" ht="16.5" customHeight="1" x14ac:dyDescent="0.15">
      <c r="A30" s="41">
        <v>15</v>
      </c>
      <c r="B30" s="41" t="s">
        <v>27806</v>
      </c>
      <c r="C30" s="74" t="s">
        <v>27807</v>
      </c>
      <c r="D30" s="72"/>
      <c r="F30" s="57"/>
      <c r="G30" s="122"/>
      <c r="H30" s="37"/>
      <c r="I30" s="79"/>
      <c r="J30" s="35"/>
      <c r="M30" s="299" t="s">
        <v>17556</v>
      </c>
      <c r="N30" s="45" t="s">
        <v>398</v>
      </c>
      <c r="O30" s="46">
        <v>1</v>
      </c>
      <c r="P30" s="512"/>
      <c r="Q30" s="57"/>
      <c r="R30" s="512"/>
      <c r="S30" s="57"/>
      <c r="T30" s="122" t="s">
        <v>17564</v>
      </c>
      <c r="U30" s="37" t="s">
        <v>398</v>
      </c>
      <c r="V30" s="38">
        <v>0.25</v>
      </c>
      <c r="W30" s="79" t="s">
        <v>3575</v>
      </c>
      <c r="X30" s="122"/>
      <c r="Y30" s="37"/>
      <c r="Z30" s="38"/>
      <c r="AA30" s="79"/>
      <c r="AB30" s="208">
        <f>ROUND((ROUND((ROUND((ROUND((ROUND((_15_同援日０．５*_15・通訳),0)*_15・２人),0)*(1+_15・A夜間)),0)*(1+_15・盲ろう)),0)*(1+_15・区４)),0)+ROUND((ROUND((ROUND((ROUND((ROUND((_15_同援日０．５＿１．０*_15・通訳),0)*_15・２人),0)*(1+_15・B深夜)),0)*(1+_15・盲ろう)),0)*(1+_15・区４)),0)</f>
        <v>950</v>
      </c>
      <c r="AC30" s="48"/>
    </row>
    <row r="31" spans="1:29" ht="16.5" customHeight="1" x14ac:dyDescent="0.15">
      <c r="A31" s="41">
        <v>15</v>
      </c>
      <c r="B31" s="41" t="s">
        <v>27808</v>
      </c>
      <c r="C31" s="74" t="s">
        <v>27809</v>
      </c>
      <c r="D31" s="72"/>
      <c r="F31" s="57"/>
      <c r="G31" s="114" t="s">
        <v>19995</v>
      </c>
      <c r="H31" s="49"/>
      <c r="I31" s="115"/>
      <c r="J31" s="35"/>
      <c r="M31" s="299"/>
      <c r="N31" s="45"/>
      <c r="O31" s="46"/>
      <c r="P31" s="512"/>
      <c r="Q31" s="57"/>
      <c r="R31" s="512"/>
      <c r="S31" s="57"/>
      <c r="T31" s="114"/>
      <c r="U31" s="49"/>
      <c r="V31" s="50"/>
      <c r="W31" s="115"/>
      <c r="X31" s="114"/>
      <c r="Y31" s="49"/>
      <c r="Z31" s="50"/>
      <c r="AA31" s="115"/>
      <c r="AB31" s="208">
        <f>ROUND((ROUND((_15_同援日０．５*_15・通訳),0)*(1+_15・A夜間)),0)+ROUND((ROUND((_15_同援日０．５＿１．５*_15・通訳),0)*(1+_15・B深夜)),0)</f>
        <v>630</v>
      </c>
      <c r="AC31" s="48"/>
    </row>
    <row r="32" spans="1:29" ht="16.5" customHeight="1" x14ac:dyDescent="0.15">
      <c r="A32" s="41">
        <v>15</v>
      </c>
      <c r="B32" s="41" t="s">
        <v>27810</v>
      </c>
      <c r="C32" s="74" t="s">
        <v>27811</v>
      </c>
      <c r="D32" s="72"/>
      <c r="F32" s="57"/>
      <c r="G32" s="72" t="s">
        <v>17616</v>
      </c>
      <c r="I32" s="57"/>
      <c r="J32" s="35"/>
      <c r="M32" s="299" t="s">
        <v>17556</v>
      </c>
      <c r="N32" s="45" t="s">
        <v>398</v>
      </c>
      <c r="O32" s="46">
        <v>1</v>
      </c>
      <c r="P32" s="512"/>
      <c r="Q32" s="57"/>
      <c r="R32" s="512"/>
      <c r="S32" s="57"/>
      <c r="T32" s="122"/>
      <c r="U32" s="37"/>
      <c r="V32" s="38"/>
      <c r="W32" s="79"/>
      <c r="X32" s="72"/>
      <c r="AA32" s="57"/>
      <c r="AB32" s="208">
        <f>ROUND((ROUND((ROUND((_15_同援日０．５*_15・通訳),0)*_15・２人),0)*(1+_15・A夜間)),0)+ROUND((ROUND((ROUND((_15_同援日０．５＿１．５*_15・通訳),0)*_15・２人),0)*(1+_15・B深夜)),0)</f>
        <v>630</v>
      </c>
      <c r="AC32" s="48"/>
    </row>
    <row r="33" spans="1:29" ht="16.5" customHeight="1" x14ac:dyDescent="0.15">
      <c r="A33" s="41">
        <v>15</v>
      </c>
      <c r="B33" s="41" t="s">
        <v>27812</v>
      </c>
      <c r="C33" s="74" t="s">
        <v>27813</v>
      </c>
      <c r="D33" s="72"/>
      <c r="F33" s="57"/>
      <c r="G33" s="72" t="s">
        <v>18183</v>
      </c>
      <c r="I33" s="57"/>
      <c r="J33" s="35"/>
      <c r="M33" s="299"/>
      <c r="N33" s="45"/>
      <c r="O33" s="46"/>
      <c r="P33" s="512"/>
      <c r="Q33" s="57"/>
      <c r="R33" s="512"/>
      <c r="S33" s="57"/>
      <c r="T33" s="114" t="s">
        <v>17562</v>
      </c>
      <c r="U33" s="49"/>
      <c r="V33" s="50"/>
      <c r="W33" s="115"/>
      <c r="X33" s="72"/>
      <c r="AA33" s="57"/>
      <c r="AB33" s="208">
        <f>ROUND((ROUND((ROUND((_15_同援日０．５*_15・通訳),0)*(1+_15・A夜間)),0)*(1+_15・盲ろう)),0)+ROUND((ROUND((ROUND((_15_同援日０．５＿１．５*_15・通訳),0)*(1+_15・B深夜)),0)*(1+_15・盲ろう)),0)</f>
        <v>788</v>
      </c>
      <c r="AC33" s="48"/>
    </row>
    <row r="34" spans="1:29" ht="16.5" customHeight="1" x14ac:dyDescent="0.15">
      <c r="A34" s="41">
        <v>15</v>
      </c>
      <c r="B34" s="41" t="s">
        <v>27814</v>
      </c>
      <c r="C34" s="74" t="s">
        <v>27815</v>
      </c>
      <c r="D34" s="72"/>
      <c r="F34" s="57"/>
      <c r="G34" s="72"/>
      <c r="H34" s="168">
        <f>_15_同援日０．５＿１．５</f>
        <v>308</v>
      </c>
      <c r="I34" s="57" t="s">
        <v>392</v>
      </c>
      <c r="J34" s="35"/>
      <c r="M34" s="299" t="s">
        <v>17556</v>
      </c>
      <c r="N34" s="45" t="s">
        <v>398</v>
      </c>
      <c r="O34" s="46">
        <v>1</v>
      </c>
      <c r="P34" s="512"/>
      <c r="Q34" s="57"/>
      <c r="R34" s="512"/>
      <c r="S34" s="57"/>
      <c r="T34" s="122" t="s">
        <v>17564</v>
      </c>
      <c r="U34" s="37" t="s">
        <v>398</v>
      </c>
      <c r="V34" s="38">
        <v>0.25</v>
      </c>
      <c r="W34" s="79" t="s">
        <v>3575</v>
      </c>
      <c r="X34" s="122"/>
      <c r="Y34" s="37"/>
      <c r="Z34" s="38"/>
      <c r="AA34" s="79"/>
      <c r="AB34" s="208">
        <f>ROUND((ROUND((ROUND((ROUND((_15_同援日０．５*_15・通訳),0)*_15・２人),0)*(1+_15・A夜間)),0)*(1+_15・盲ろう)),0)+ROUND((ROUND((ROUND((ROUND((_15_同援日０．５＿１．５*_15・通訳),0)*_15・２人),0)*(1+_15・B深夜)),0)*(1+_15・盲ろう)),0)</f>
        <v>788</v>
      </c>
      <c r="AC34" s="48"/>
    </row>
    <row r="35" spans="1:29" ht="16.5" customHeight="1" x14ac:dyDescent="0.15">
      <c r="A35" s="41">
        <v>15</v>
      </c>
      <c r="B35" s="41" t="s">
        <v>27816</v>
      </c>
      <c r="C35" s="74" t="s">
        <v>27817</v>
      </c>
      <c r="D35" s="72"/>
      <c r="F35" s="57"/>
      <c r="G35" s="72"/>
      <c r="I35" s="57"/>
      <c r="J35" s="35"/>
      <c r="M35" s="299"/>
      <c r="N35" s="45"/>
      <c r="O35" s="46"/>
      <c r="P35" s="512"/>
      <c r="Q35" s="57"/>
      <c r="R35" s="512"/>
      <c r="S35" s="57"/>
      <c r="T35" s="114"/>
      <c r="U35" s="49"/>
      <c r="V35" s="50"/>
      <c r="W35" s="115"/>
      <c r="X35" s="114" t="s">
        <v>17570</v>
      </c>
      <c r="Y35" s="49"/>
      <c r="Z35" s="50"/>
      <c r="AA35" s="115"/>
      <c r="AB35" s="208">
        <f>ROUND((ROUND((ROUND((_15_同援日０．５*_15・通訳),0)*(1+_15・A夜間)),0)*(1+_15・区３)),0)+ROUND((ROUND((ROUND((_15_同援日０．５＿１．５*_15・通訳),0)*(1+_15・B深夜)),0)*(1+_15・区３)),0)</f>
        <v>756</v>
      </c>
      <c r="AC35" s="48"/>
    </row>
    <row r="36" spans="1:29" ht="16.5" customHeight="1" x14ac:dyDescent="0.15">
      <c r="A36" s="41">
        <v>15</v>
      </c>
      <c r="B36" s="41" t="s">
        <v>27818</v>
      </c>
      <c r="C36" s="74" t="s">
        <v>27819</v>
      </c>
      <c r="D36" s="72"/>
      <c r="F36" s="57"/>
      <c r="G36" s="72"/>
      <c r="I36" s="57"/>
      <c r="J36" s="35"/>
      <c r="M36" s="299" t="s">
        <v>17556</v>
      </c>
      <c r="N36" s="45" t="s">
        <v>398</v>
      </c>
      <c r="O36" s="46">
        <v>1</v>
      </c>
      <c r="P36" s="512"/>
      <c r="Q36" s="57"/>
      <c r="R36" s="512"/>
      <c r="S36" s="57"/>
      <c r="T36" s="122"/>
      <c r="U36" s="37"/>
      <c r="V36" s="38"/>
      <c r="W36" s="79"/>
      <c r="X36" s="72" t="s">
        <v>17572</v>
      </c>
      <c r="AA36" s="57"/>
      <c r="AB36" s="208">
        <f>ROUND((ROUND((ROUND((ROUND((_15_同援日０．５*_15・通訳),0)*_15・２人),0)*(1+_15・A夜間)),0)*(1+_15・区３)),0)+ROUND((ROUND((ROUND((ROUND((_15_同援日０．５＿１．５*_15・通訳),0)*_15・２人),0)*(1+_15・B深夜)),0)*(1+_15・区３)),0)</f>
        <v>756</v>
      </c>
      <c r="AC36" s="48"/>
    </row>
    <row r="37" spans="1:29" ht="16.5" customHeight="1" x14ac:dyDescent="0.15">
      <c r="A37" s="41">
        <v>15</v>
      </c>
      <c r="B37" s="41" t="s">
        <v>27820</v>
      </c>
      <c r="C37" s="74" t="s">
        <v>27821</v>
      </c>
      <c r="D37" s="72"/>
      <c r="F37" s="57"/>
      <c r="G37" s="72"/>
      <c r="I37" s="57"/>
      <c r="J37" s="35"/>
      <c r="M37" s="299"/>
      <c r="N37" s="45"/>
      <c r="O37" s="46"/>
      <c r="P37" s="512"/>
      <c r="Q37" s="57"/>
      <c r="R37" s="512"/>
      <c r="S37" s="57"/>
      <c r="T37" s="114" t="s">
        <v>17562</v>
      </c>
      <c r="U37" s="49"/>
      <c r="V37" s="50"/>
      <c r="W37" s="115"/>
      <c r="X37" s="72"/>
      <c r="Y37" s="12" t="s">
        <v>398</v>
      </c>
      <c r="Z37" s="13">
        <v>0.2</v>
      </c>
      <c r="AA37" s="57" t="s">
        <v>3575</v>
      </c>
      <c r="AB37" s="208">
        <f>ROUND((ROUND((ROUND((ROUND((_15_同援日０．５*_15・通訳),0)*(1+_15・A夜間)),0)*(1+_15・盲ろう)),0)*(1+_15・区３)),0)+ROUND((ROUND((ROUND((ROUND((_15_同援日０．５＿１．５*_15・通訳),0)*(1+_15・B深夜)),0)*(1+_15・盲ろう)),0)*(1+_15・区３)),0)</f>
        <v>946</v>
      </c>
      <c r="AC37" s="48"/>
    </row>
    <row r="38" spans="1:29" ht="16.5" customHeight="1" x14ac:dyDescent="0.15">
      <c r="A38" s="41">
        <v>15</v>
      </c>
      <c r="B38" s="41" t="s">
        <v>27822</v>
      </c>
      <c r="C38" s="74" t="s">
        <v>27823</v>
      </c>
      <c r="D38" s="72"/>
      <c r="F38" s="57"/>
      <c r="G38" s="72"/>
      <c r="I38" s="57"/>
      <c r="J38" s="35"/>
      <c r="M38" s="299" t="s">
        <v>17556</v>
      </c>
      <c r="N38" s="45" t="s">
        <v>398</v>
      </c>
      <c r="O38" s="46">
        <v>1</v>
      </c>
      <c r="P38" s="512"/>
      <c r="Q38" s="57"/>
      <c r="R38" s="512"/>
      <c r="S38" s="57"/>
      <c r="T38" s="122" t="s">
        <v>17564</v>
      </c>
      <c r="U38" s="37" t="s">
        <v>398</v>
      </c>
      <c r="V38" s="38">
        <v>0.25</v>
      </c>
      <c r="W38" s="79" t="s">
        <v>3575</v>
      </c>
      <c r="X38" s="122"/>
      <c r="Y38" s="37"/>
      <c r="Z38" s="38"/>
      <c r="AA38" s="79"/>
      <c r="AB38" s="208">
        <f>ROUND((ROUND((ROUND((ROUND((ROUND((_15_同援日０．５*_15・通訳),0)*_15・２人),0)*(1+_15・A夜間)),0)*(1+_15・盲ろう)),0)*(1+_15・区３)),0)+ROUND((ROUND((ROUND((ROUND((ROUND((_15_同援日０．５＿１．５*_15・通訳),0)*_15・２人),0)*(1+_15・B深夜)),0)*(1+_15・盲ろう)),0)*(1+_15・区３)),0)</f>
        <v>946</v>
      </c>
      <c r="AC38" s="48"/>
    </row>
    <row r="39" spans="1:29" ht="16.5" customHeight="1" x14ac:dyDescent="0.15">
      <c r="A39" s="41">
        <v>15</v>
      </c>
      <c r="B39" s="41" t="s">
        <v>27824</v>
      </c>
      <c r="C39" s="74" t="s">
        <v>27825</v>
      </c>
      <c r="D39" s="72"/>
      <c r="F39" s="57"/>
      <c r="G39" s="72"/>
      <c r="I39" s="57"/>
      <c r="J39" s="35"/>
      <c r="M39" s="299"/>
      <c r="N39" s="45"/>
      <c r="O39" s="46"/>
      <c r="P39" s="512"/>
      <c r="Q39" s="57"/>
      <c r="R39" s="512"/>
      <c r="S39" s="57"/>
      <c r="T39" s="114"/>
      <c r="U39" s="49"/>
      <c r="V39" s="50"/>
      <c r="W39" s="115"/>
      <c r="X39" s="114" t="s">
        <v>17580</v>
      </c>
      <c r="Y39" s="49"/>
      <c r="Z39" s="50"/>
      <c r="AA39" s="115"/>
      <c r="AB39" s="208">
        <f>ROUND((ROUND((ROUND((_15_同援日０．５*_15・通訳),0)*(1+_15・A夜間)),0)*(1+_15・区４)),0)+ROUND((ROUND((ROUND((_15_同援日０．５＿１．５*_15・通訳),0)*(1+_15・B深夜)),0)*(1+_15・区４)),0)</f>
        <v>882</v>
      </c>
      <c r="AC39" s="48"/>
    </row>
    <row r="40" spans="1:29" ht="16.5" customHeight="1" x14ac:dyDescent="0.15">
      <c r="A40" s="41">
        <v>15</v>
      </c>
      <c r="B40" s="41" t="s">
        <v>27826</v>
      </c>
      <c r="C40" s="74" t="s">
        <v>27827</v>
      </c>
      <c r="D40" s="72"/>
      <c r="F40" s="57"/>
      <c r="G40" s="72"/>
      <c r="I40" s="57"/>
      <c r="J40" s="35"/>
      <c r="M40" s="299" t="s">
        <v>17556</v>
      </c>
      <c r="N40" s="45" t="s">
        <v>398</v>
      </c>
      <c r="O40" s="46">
        <v>1</v>
      </c>
      <c r="P40" s="512"/>
      <c r="Q40" s="57"/>
      <c r="R40" s="512"/>
      <c r="S40" s="57"/>
      <c r="T40" s="122"/>
      <c r="U40" s="37"/>
      <c r="V40" s="38"/>
      <c r="W40" s="79"/>
      <c r="X40" s="72" t="s">
        <v>17572</v>
      </c>
      <c r="AA40" s="57"/>
      <c r="AB40" s="208">
        <f>ROUND((ROUND((ROUND((ROUND((_15_同援日０．５*_15・通訳),0)*_15・２人),0)*(1+_15・A夜間)),0)*(1+_15・区４)),0)+ROUND((ROUND((ROUND((ROUND((_15_同援日０．５＿１．５*_15・通訳),0)*_15・２人),0)*(1+_15・B深夜)),0)*(1+_15・区４)),0)</f>
        <v>882</v>
      </c>
      <c r="AC40" s="48"/>
    </row>
    <row r="41" spans="1:29" ht="16.5" customHeight="1" x14ac:dyDescent="0.15">
      <c r="A41" s="41">
        <v>15</v>
      </c>
      <c r="B41" s="41" t="s">
        <v>27828</v>
      </c>
      <c r="C41" s="74" t="s">
        <v>27829</v>
      </c>
      <c r="D41" s="72"/>
      <c r="F41" s="57"/>
      <c r="G41" s="72"/>
      <c r="I41" s="57"/>
      <c r="J41" s="35"/>
      <c r="M41" s="299"/>
      <c r="N41" s="45"/>
      <c r="O41" s="46"/>
      <c r="P41" s="512"/>
      <c r="Q41" s="57"/>
      <c r="R41" s="512"/>
      <c r="S41" s="57"/>
      <c r="T41" s="114" t="s">
        <v>17562</v>
      </c>
      <c r="U41" s="49"/>
      <c r="V41" s="50"/>
      <c r="W41" s="115"/>
      <c r="X41" s="72"/>
      <c r="Y41" s="12" t="s">
        <v>398</v>
      </c>
      <c r="Z41" s="13">
        <v>0.4</v>
      </c>
      <c r="AA41" s="57" t="s">
        <v>3575</v>
      </c>
      <c r="AB41" s="208">
        <f>ROUND((ROUND((ROUND((ROUND((_15_同援日０．５*_15・通訳),0)*(1+_15・A夜間)),0)*(1+_15・盲ろう)),0)*(1+_15・区４)),0)+ROUND((ROUND((ROUND((ROUND((_15_同援日０．５＿１．５*_15・通訳),0)*(1+_15・B深夜)),0)*(1+_15・盲ろう)),0)*(1+_15・区４)),0)</f>
        <v>1103</v>
      </c>
      <c r="AC41" s="48"/>
    </row>
    <row r="42" spans="1:29" ht="16.5" customHeight="1" x14ac:dyDescent="0.15">
      <c r="A42" s="41">
        <v>15</v>
      </c>
      <c r="B42" s="41" t="s">
        <v>27830</v>
      </c>
      <c r="C42" s="74" t="s">
        <v>27831</v>
      </c>
      <c r="D42" s="72"/>
      <c r="F42" s="57"/>
      <c r="G42" s="122"/>
      <c r="H42" s="37"/>
      <c r="I42" s="79"/>
      <c r="J42" s="35"/>
      <c r="M42" s="299" t="s">
        <v>17556</v>
      </c>
      <c r="N42" s="45" t="s">
        <v>398</v>
      </c>
      <c r="O42" s="46">
        <v>1</v>
      </c>
      <c r="P42" s="512"/>
      <c r="Q42" s="57"/>
      <c r="R42" s="512"/>
      <c r="S42" s="57"/>
      <c r="T42" s="122" t="s">
        <v>17564</v>
      </c>
      <c r="U42" s="37" t="s">
        <v>398</v>
      </c>
      <c r="V42" s="38">
        <v>0.25</v>
      </c>
      <c r="W42" s="79" t="s">
        <v>3575</v>
      </c>
      <c r="X42" s="122"/>
      <c r="Y42" s="37"/>
      <c r="Z42" s="38"/>
      <c r="AA42" s="79"/>
      <c r="AB42" s="208">
        <f>ROUND((ROUND((ROUND((ROUND((ROUND((_15_同援日０．５*_15・通訳),0)*_15・２人),0)*(1+_15・A夜間)),0)*(1+_15・盲ろう)),0)*(1+_15・区４)),0)+ROUND((ROUND((ROUND((ROUND((ROUND((_15_同援日０．５＿１．５*_15・通訳),0)*_15・２人),0)*(1+_15・B深夜)),0)*(1+_15・盲ろう)),0)*(1+_15・区４)),0)</f>
        <v>1103</v>
      </c>
      <c r="AC42" s="48"/>
    </row>
    <row r="43" spans="1:29" ht="16.5" customHeight="1" x14ac:dyDescent="0.15">
      <c r="A43" s="41">
        <v>15</v>
      </c>
      <c r="B43" s="41" t="s">
        <v>27832</v>
      </c>
      <c r="C43" s="74" t="s">
        <v>27833</v>
      </c>
      <c r="D43" s="72"/>
      <c r="F43" s="57"/>
      <c r="G43" s="114" t="s">
        <v>20032</v>
      </c>
      <c r="H43" s="49"/>
      <c r="I43" s="115"/>
      <c r="J43" s="35"/>
      <c r="M43" s="299"/>
      <c r="N43" s="45"/>
      <c r="O43" s="46"/>
      <c r="P43" s="512"/>
      <c r="Q43" s="57"/>
      <c r="R43" s="512"/>
      <c r="S43" s="57"/>
      <c r="T43" s="114"/>
      <c r="U43" s="49"/>
      <c r="V43" s="50"/>
      <c r="W43" s="115"/>
      <c r="X43" s="114"/>
      <c r="Y43" s="49"/>
      <c r="Z43" s="50"/>
      <c r="AA43" s="115"/>
      <c r="AB43" s="208">
        <f>ROUND((ROUND((_15_同援日０．５*_15・通訳),0)*(1+_15・A夜間)),0)+ROUND((ROUND((_15_同援日０．５＿２．０*_15・通訳),0)*(1+_15・B深夜)),0)</f>
        <v>718</v>
      </c>
      <c r="AC43" s="48"/>
    </row>
    <row r="44" spans="1:29" ht="16.5" customHeight="1" x14ac:dyDescent="0.15">
      <c r="A44" s="41">
        <v>15</v>
      </c>
      <c r="B44" s="41" t="s">
        <v>27834</v>
      </c>
      <c r="C44" s="74" t="s">
        <v>27835</v>
      </c>
      <c r="D44" s="72"/>
      <c r="F44" s="57"/>
      <c r="G44" s="72" t="s">
        <v>17643</v>
      </c>
      <c r="I44" s="57"/>
      <c r="J44" s="35"/>
      <c r="M44" s="299" t="s">
        <v>17556</v>
      </c>
      <c r="N44" s="45" t="s">
        <v>398</v>
      </c>
      <c r="O44" s="46">
        <v>1</v>
      </c>
      <c r="P44" s="512"/>
      <c r="Q44" s="57"/>
      <c r="R44" s="512"/>
      <c r="S44" s="57"/>
      <c r="T44" s="122"/>
      <c r="U44" s="37"/>
      <c r="V44" s="38"/>
      <c r="W44" s="79"/>
      <c r="X44" s="72"/>
      <c r="AA44" s="57"/>
      <c r="AB44" s="208">
        <f>ROUND((ROUND((ROUND((_15_同援日０．５*_15・通訳),0)*_15・２人),0)*(1+_15・A夜間)),0)+ROUND((ROUND((ROUND((_15_同援日０．５＿２．０*_15・通訳),0)*_15・２人),0)*(1+_15・B深夜)),0)</f>
        <v>718</v>
      </c>
      <c r="AC44" s="48"/>
    </row>
    <row r="45" spans="1:29" ht="16.5" customHeight="1" x14ac:dyDescent="0.15">
      <c r="A45" s="41">
        <v>15</v>
      </c>
      <c r="B45" s="41" t="s">
        <v>3176</v>
      </c>
      <c r="C45" s="74" t="s">
        <v>27836</v>
      </c>
      <c r="D45" s="72"/>
      <c r="F45" s="57"/>
      <c r="G45" s="72" t="s">
        <v>17645</v>
      </c>
      <c r="I45" s="57"/>
      <c r="J45" s="35"/>
      <c r="M45" s="299"/>
      <c r="N45" s="45"/>
      <c r="O45" s="46"/>
      <c r="P45" s="512"/>
      <c r="Q45" s="57"/>
      <c r="R45" s="512"/>
      <c r="S45" s="57"/>
      <c r="T45" s="114" t="s">
        <v>17562</v>
      </c>
      <c r="U45" s="49"/>
      <c r="V45" s="50"/>
      <c r="W45" s="115"/>
      <c r="X45" s="72"/>
      <c r="AA45" s="57"/>
      <c r="AB45" s="208">
        <f>ROUND((ROUND((ROUND((_15_同援日０．５*_15・通訳),0)*(1+_15・A夜間)),0)*(1+_15・盲ろう)),0)+ROUND((ROUND((ROUND((_15_同援日０．５＿２．０*_15・通訳),0)*(1+_15・B深夜)),0)*(1+_15・盲ろう)),0)</f>
        <v>898</v>
      </c>
      <c r="AC45" s="48"/>
    </row>
    <row r="46" spans="1:29" ht="16.5" customHeight="1" x14ac:dyDescent="0.15">
      <c r="A46" s="41">
        <v>15</v>
      </c>
      <c r="B46" s="41" t="s">
        <v>3178</v>
      </c>
      <c r="C46" s="74" t="s">
        <v>27837</v>
      </c>
      <c r="D46" s="72"/>
      <c r="F46" s="57"/>
      <c r="G46" s="72"/>
      <c r="H46" s="168">
        <f>_15_同援日０．５＿２．０</f>
        <v>373</v>
      </c>
      <c r="I46" s="57" t="s">
        <v>392</v>
      </c>
      <c r="J46" s="35"/>
      <c r="M46" s="299" t="s">
        <v>17556</v>
      </c>
      <c r="N46" s="45" t="s">
        <v>398</v>
      </c>
      <c r="O46" s="46">
        <v>1</v>
      </c>
      <c r="P46" s="512"/>
      <c r="Q46" s="57"/>
      <c r="R46" s="512"/>
      <c r="S46" s="57"/>
      <c r="T46" s="122" t="s">
        <v>17564</v>
      </c>
      <c r="U46" s="37" t="s">
        <v>398</v>
      </c>
      <c r="V46" s="38">
        <v>0.25</v>
      </c>
      <c r="W46" s="79" t="s">
        <v>3575</v>
      </c>
      <c r="X46" s="122"/>
      <c r="Y46" s="37"/>
      <c r="Z46" s="38"/>
      <c r="AA46" s="79"/>
      <c r="AB46" s="208">
        <f>ROUND((ROUND((ROUND((ROUND((_15_同援日０．５*_15・通訳),0)*_15・２人),0)*(1+_15・A夜間)),0)*(1+_15・盲ろう)),0)+ROUND((ROUND((ROUND((ROUND((_15_同援日０．５＿２．０*_15・通訳),0)*_15・２人),0)*(1+_15・B深夜)),0)*(1+_15・盲ろう)),0)</f>
        <v>898</v>
      </c>
      <c r="AC46" s="48"/>
    </row>
    <row r="47" spans="1:29" ht="16.5" customHeight="1" x14ac:dyDescent="0.15">
      <c r="A47" s="41">
        <v>15</v>
      </c>
      <c r="B47" s="41" t="s">
        <v>3180</v>
      </c>
      <c r="C47" s="74" t="s">
        <v>27838</v>
      </c>
      <c r="D47" s="72"/>
      <c r="F47" s="57"/>
      <c r="G47" s="72"/>
      <c r="I47" s="57"/>
      <c r="J47" s="35"/>
      <c r="M47" s="299"/>
      <c r="N47" s="45"/>
      <c r="O47" s="46"/>
      <c r="P47" s="512"/>
      <c r="Q47" s="57"/>
      <c r="R47" s="512"/>
      <c r="S47" s="57"/>
      <c r="T47" s="114"/>
      <c r="U47" s="49"/>
      <c r="V47" s="50"/>
      <c r="W47" s="115"/>
      <c r="X47" s="114" t="s">
        <v>17570</v>
      </c>
      <c r="Y47" s="49"/>
      <c r="Z47" s="50"/>
      <c r="AA47" s="115"/>
      <c r="AB47" s="208">
        <f>ROUND((ROUND((ROUND((_15_同援日０．５*_15・通訳),0)*(1+_15・A夜間)),0)*(1+_15・区３)),0)+ROUND((ROUND((ROUND((_15_同援日０．５＿２．０*_15・通訳),0)*(1+_15・B深夜)),0)*(1+_15・区３)),0)</f>
        <v>862</v>
      </c>
      <c r="AC47" s="48"/>
    </row>
    <row r="48" spans="1:29" ht="16.5" customHeight="1" x14ac:dyDescent="0.15">
      <c r="A48" s="41">
        <v>15</v>
      </c>
      <c r="B48" s="41" t="s">
        <v>3182</v>
      </c>
      <c r="C48" s="74" t="s">
        <v>27839</v>
      </c>
      <c r="D48" s="72"/>
      <c r="F48" s="57"/>
      <c r="G48" s="72"/>
      <c r="I48" s="57"/>
      <c r="J48" s="35"/>
      <c r="M48" s="299" t="s">
        <v>17556</v>
      </c>
      <c r="N48" s="45" t="s">
        <v>398</v>
      </c>
      <c r="O48" s="46">
        <v>1</v>
      </c>
      <c r="P48" s="512"/>
      <c r="Q48" s="57"/>
      <c r="R48" s="512"/>
      <c r="S48" s="57"/>
      <c r="T48" s="122"/>
      <c r="U48" s="37"/>
      <c r="V48" s="38"/>
      <c r="W48" s="79"/>
      <c r="X48" s="72" t="s">
        <v>17572</v>
      </c>
      <c r="AA48" s="57"/>
      <c r="AB48" s="208">
        <f>ROUND((ROUND((ROUND((ROUND((_15_同援日０．５*_15・通訳),0)*_15・２人),0)*(1+_15・A夜間)),0)*(1+_15・区３)),0)+ROUND((ROUND((ROUND((ROUND((_15_同援日０．５＿２．０*_15・通訳),0)*_15・２人),0)*(1+_15・B深夜)),0)*(1+_15・区３)),0)</f>
        <v>862</v>
      </c>
      <c r="AC48" s="48"/>
    </row>
    <row r="49" spans="1:29" ht="16.5" customHeight="1" x14ac:dyDescent="0.15">
      <c r="A49" s="41">
        <v>15</v>
      </c>
      <c r="B49" s="41" t="s">
        <v>27840</v>
      </c>
      <c r="C49" s="74" t="s">
        <v>27841</v>
      </c>
      <c r="D49" s="72"/>
      <c r="F49" s="57"/>
      <c r="G49" s="72"/>
      <c r="I49" s="57"/>
      <c r="J49" s="35"/>
      <c r="M49" s="299"/>
      <c r="N49" s="45"/>
      <c r="O49" s="46"/>
      <c r="P49" s="512"/>
      <c r="Q49" s="57"/>
      <c r="R49" s="512"/>
      <c r="S49" s="57"/>
      <c r="T49" s="114" t="s">
        <v>17562</v>
      </c>
      <c r="U49" s="49"/>
      <c r="V49" s="50"/>
      <c r="W49" s="115"/>
      <c r="X49" s="72"/>
      <c r="Y49" s="12" t="s">
        <v>398</v>
      </c>
      <c r="Z49" s="13">
        <v>0.2</v>
      </c>
      <c r="AA49" s="57" t="s">
        <v>3575</v>
      </c>
      <c r="AB49" s="208">
        <f>ROUND((ROUND((ROUND((ROUND((_15_同援日０．５*_15・通訳),0)*(1+_15・A夜間)),0)*(1+_15・盲ろう)),0)*(1+_15・区３)),0)+ROUND((ROUND((ROUND((ROUND((_15_同援日０．５＿２．０*_15・通訳),0)*(1+_15・B深夜)),0)*(1+_15・盲ろう)),0)*(1+_15・区３)),0)</f>
        <v>1078</v>
      </c>
      <c r="AC49" s="48"/>
    </row>
    <row r="50" spans="1:29" ht="16.5" customHeight="1" x14ac:dyDescent="0.15">
      <c r="A50" s="41">
        <v>15</v>
      </c>
      <c r="B50" s="41" t="s">
        <v>27842</v>
      </c>
      <c r="C50" s="74" t="s">
        <v>27843</v>
      </c>
      <c r="D50" s="72"/>
      <c r="F50" s="57"/>
      <c r="G50" s="72"/>
      <c r="I50" s="57"/>
      <c r="J50" s="35"/>
      <c r="M50" s="299" t="s">
        <v>17556</v>
      </c>
      <c r="N50" s="45" t="s">
        <v>398</v>
      </c>
      <c r="O50" s="46">
        <v>1</v>
      </c>
      <c r="P50" s="512"/>
      <c r="Q50" s="57"/>
      <c r="R50" s="512"/>
      <c r="S50" s="57"/>
      <c r="T50" s="122" t="s">
        <v>17564</v>
      </c>
      <c r="U50" s="37" t="s">
        <v>398</v>
      </c>
      <c r="V50" s="38">
        <v>0.25</v>
      </c>
      <c r="W50" s="79" t="s">
        <v>3575</v>
      </c>
      <c r="X50" s="122"/>
      <c r="Y50" s="37"/>
      <c r="Z50" s="38"/>
      <c r="AA50" s="79"/>
      <c r="AB50" s="208">
        <f>ROUND((ROUND((ROUND((ROUND((ROUND((_15_同援日０．５*_15・通訳),0)*_15・２人),0)*(1+_15・A夜間)),0)*(1+_15・盲ろう)),0)*(1+_15・区３)),0)+ROUND((ROUND((ROUND((ROUND((ROUND((_15_同援日０．５＿２．０*_15・通訳),0)*_15・２人),0)*(1+_15・B深夜)),0)*(1+_15・盲ろう)),0)*(1+_15・区３)),0)</f>
        <v>1078</v>
      </c>
      <c r="AC50" s="48"/>
    </row>
    <row r="51" spans="1:29" ht="16.5" customHeight="1" x14ac:dyDescent="0.15">
      <c r="A51" s="41">
        <v>15</v>
      </c>
      <c r="B51" s="41" t="s">
        <v>27844</v>
      </c>
      <c r="C51" s="74" t="s">
        <v>27845</v>
      </c>
      <c r="D51" s="72"/>
      <c r="F51" s="57"/>
      <c r="G51" s="72"/>
      <c r="I51" s="57"/>
      <c r="J51" s="35"/>
      <c r="M51" s="299"/>
      <c r="N51" s="45"/>
      <c r="O51" s="46"/>
      <c r="P51" s="512"/>
      <c r="Q51" s="57"/>
      <c r="R51" s="512"/>
      <c r="S51" s="57"/>
      <c r="T51" s="114"/>
      <c r="U51" s="49"/>
      <c r="V51" s="50"/>
      <c r="W51" s="115"/>
      <c r="X51" s="114" t="s">
        <v>17580</v>
      </c>
      <c r="Y51" s="49"/>
      <c r="Z51" s="50"/>
      <c r="AA51" s="115"/>
      <c r="AB51" s="208">
        <f>ROUND((ROUND((ROUND((_15_同援日０．５*_15・通訳),0)*(1+_15・A夜間)),0)*(1+_15・区４)),0)+ROUND((ROUND((ROUND((_15_同援日０．５＿２．０*_15・通訳),0)*(1+_15・B深夜)),0)*(1+_15・区４)),0)</f>
        <v>1006</v>
      </c>
      <c r="AC51" s="48"/>
    </row>
    <row r="52" spans="1:29" ht="16.5" customHeight="1" x14ac:dyDescent="0.15">
      <c r="A52" s="41">
        <v>15</v>
      </c>
      <c r="B52" s="41" t="s">
        <v>27846</v>
      </c>
      <c r="C52" s="74" t="s">
        <v>27847</v>
      </c>
      <c r="D52" s="72"/>
      <c r="F52" s="57"/>
      <c r="G52" s="72"/>
      <c r="I52" s="57"/>
      <c r="J52" s="35"/>
      <c r="M52" s="299" t="s">
        <v>17556</v>
      </c>
      <c r="N52" s="45" t="s">
        <v>398</v>
      </c>
      <c r="O52" s="46">
        <v>1</v>
      </c>
      <c r="P52" s="512"/>
      <c r="Q52" s="57"/>
      <c r="R52" s="512"/>
      <c r="S52" s="57"/>
      <c r="T52" s="122"/>
      <c r="U52" s="37"/>
      <c r="V52" s="38"/>
      <c r="W52" s="79"/>
      <c r="X52" s="72" t="s">
        <v>17572</v>
      </c>
      <c r="AA52" s="57"/>
      <c r="AB52" s="208">
        <f>ROUND((ROUND((ROUND((ROUND((_15_同援日０．５*_15・通訳),0)*_15・２人),0)*(1+_15・A夜間)),0)*(1+_15・区４)),0)+ROUND((ROUND((ROUND((ROUND((_15_同援日０．５＿２．０*_15・通訳),0)*_15・２人),0)*(1+_15・B深夜)),0)*(1+_15・区４)),0)</f>
        <v>1006</v>
      </c>
      <c r="AC52" s="48"/>
    </row>
    <row r="53" spans="1:29" ht="16.5" customHeight="1" x14ac:dyDescent="0.15">
      <c r="A53" s="41">
        <v>15</v>
      </c>
      <c r="B53" s="41" t="s">
        <v>27848</v>
      </c>
      <c r="C53" s="74" t="s">
        <v>27849</v>
      </c>
      <c r="D53" s="72"/>
      <c r="F53" s="57"/>
      <c r="G53" s="72"/>
      <c r="I53" s="57"/>
      <c r="J53" s="35"/>
      <c r="M53" s="299"/>
      <c r="N53" s="45"/>
      <c r="O53" s="46"/>
      <c r="P53" s="512"/>
      <c r="Q53" s="57"/>
      <c r="R53" s="512"/>
      <c r="S53" s="57"/>
      <c r="T53" s="114" t="s">
        <v>17562</v>
      </c>
      <c r="U53" s="49"/>
      <c r="V53" s="50"/>
      <c r="W53" s="115"/>
      <c r="X53" s="72"/>
      <c r="Y53" s="12" t="s">
        <v>398</v>
      </c>
      <c r="Z53" s="13">
        <v>0.4</v>
      </c>
      <c r="AA53" s="57" t="s">
        <v>3575</v>
      </c>
      <c r="AB53" s="208">
        <f>ROUND((ROUND((ROUND((ROUND((_15_同援日０．５*_15・通訳),0)*(1+_15・A夜間)),0)*(1+_15・盲ろう)),0)*(1+_15・区４)),0)+ROUND((ROUND((ROUND((ROUND((_15_同援日０．５＿２．０*_15・通訳),0)*(1+_15・B深夜)),0)*(1+_15・盲ろう)),0)*(1+_15・区４)),0)</f>
        <v>1257</v>
      </c>
      <c r="AC53" s="48"/>
    </row>
    <row r="54" spans="1:29" ht="16.5" customHeight="1" x14ac:dyDescent="0.15">
      <c r="A54" s="41">
        <v>15</v>
      </c>
      <c r="B54" s="41" t="s">
        <v>27850</v>
      </c>
      <c r="C54" s="74" t="s">
        <v>27851</v>
      </c>
      <c r="D54" s="72"/>
      <c r="F54" s="57"/>
      <c r="G54" s="122"/>
      <c r="H54" s="37"/>
      <c r="I54" s="79"/>
      <c r="J54" s="35"/>
      <c r="M54" s="299" t="s">
        <v>17556</v>
      </c>
      <c r="N54" s="45" t="s">
        <v>398</v>
      </c>
      <c r="O54" s="46">
        <v>1</v>
      </c>
      <c r="P54" s="512"/>
      <c r="Q54" s="57"/>
      <c r="R54" s="512"/>
      <c r="S54" s="57"/>
      <c r="T54" s="122" t="s">
        <v>17564</v>
      </c>
      <c r="U54" s="37" t="s">
        <v>398</v>
      </c>
      <c r="V54" s="38">
        <v>0.25</v>
      </c>
      <c r="W54" s="79" t="s">
        <v>3575</v>
      </c>
      <c r="X54" s="122"/>
      <c r="Y54" s="37"/>
      <c r="Z54" s="38"/>
      <c r="AA54" s="79"/>
      <c r="AB54" s="208">
        <f>ROUND((ROUND((ROUND((ROUND((ROUND((_15_同援日０．５*_15・通訳),0)*_15・２人),0)*(1+_15・A夜間)),0)*(1+_15・盲ろう)),0)*(1+_15・区４)),0)+ROUND((ROUND((ROUND((ROUND((ROUND((_15_同援日０．５＿２．０*_15・通訳),0)*_15・２人),0)*(1+_15・B深夜)),0)*(1+_15・盲ろう)),0)*(1+_15・区４)),0)</f>
        <v>1257</v>
      </c>
      <c r="AC54" s="48"/>
    </row>
    <row r="55" spans="1:29" ht="16.5" customHeight="1" x14ac:dyDescent="0.15">
      <c r="A55" s="41">
        <v>15</v>
      </c>
      <c r="B55" s="41" t="s">
        <v>27852</v>
      </c>
      <c r="C55" s="74" t="s">
        <v>27853</v>
      </c>
      <c r="D55" s="72"/>
      <c r="F55" s="57"/>
      <c r="G55" s="114" t="s">
        <v>20077</v>
      </c>
      <c r="H55" s="49"/>
      <c r="I55" s="115"/>
      <c r="J55" s="35"/>
      <c r="M55" s="299"/>
      <c r="N55" s="45"/>
      <c r="O55" s="46"/>
      <c r="P55" s="512"/>
      <c r="Q55" s="57"/>
      <c r="R55" s="512"/>
      <c r="S55" s="57"/>
      <c r="T55" s="114"/>
      <c r="U55" s="49"/>
      <c r="V55" s="50"/>
      <c r="W55" s="115"/>
      <c r="X55" s="114"/>
      <c r="Y55" s="49"/>
      <c r="Z55" s="50"/>
      <c r="AA55" s="115"/>
      <c r="AB55" s="208">
        <f>ROUND((ROUND((_15_同援日０．５*_15・通訳),0)*(1+_15・A夜間)),0)+ROUND((ROUND((_15_同援日０．５＿２．５*_15・通訳),0)*(1+_15・B深夜)),0)</f>
        <v>805</v>
      </c>
      <c r="AC55" s="48"/>
    </row>
    <row r="56" spans="1:29" ht="16.5" customHeight="1" x14ac:dyDescent="0.15">
      <c r="A56" s="41">
        <v>15</v>
      </c>
      <c r="B56" s="41" t="s">
        <v>27854</v>
      </c>
      <c r="C56" s="74" t="s">
        <v>27855</v>
      </c>
      <c r="D56" s="72"/>
      <c r="F56" s="57"/>
      <c r="G56" s="72" t="s">
        <v>17670</v>
      </c>
      <c r="I56" s="57"/>
      <c r="J56" s="35"/>
      <c r="M56" s="299" t="s">
        <v>17556</v>
      </c>
      <c r="N56" s="45" t="s">
        <v>398</v>
      </c>
      <c r="O56" s="46">
        <v>1</v>
      </c>
      <c r="P56" s="512"/>
      <c r="Q56" s="57"/>
      <c r="R56" s="512"/>
      <c r="S56" s="57"/>
      <c r="T56" s="122"/>
      <c r="U56" s="37"/>
      <c r="V56" s="38"/>
      <c r="W56" s="79"/>
      <c r="X56" s="72"/>
      <c r="AA56" s="57"/>
      <c r="AB56" s="208">
        <f>ROUND((ROUND((ROUND((_15_同援日０．５*_15・通訳),0)*_15・２人),0)*(1+_15・A夜間)),0)+ROUND((ROUND((ROUND((_15_同援日０．５＿２．５*_15・通訳),0)*_15・２人),0)*(1+_15・B深夜)),0)</f>
        <v>805</v>
      </c>
      <c r="AC56" s="48"/>
    </row>
    <row r="57" spans="1:29" ht="16.5" customHeight="1" x14ac:dyDescent="0.15">
      <c r="A57" s="41">
        <v>15</v>
      </c>
      <c r="B57" s="41" t="s">
        <v>27856</v>
      </c>
      <c r="C57" s="74" t="s">
        <v>27857</v>
      </c>
      <c r="D57" s="72"/>
      <c r="F57" s="57"/>
      <c r="G57" s="72" t="s">
        <v>17672</v>
      </c>
      <c r="I57" s="57"/>
      <c r="J57" s="35"/>
      <c r="M57" s="299"/>
      <c r="N57" s="45"/>
      <c r="O57" s="46"/>
      <c r="P57" s="512"/>
      <c r="Q57" s="57"/>
      <c r="R57" s="512"/>
      <c r="S57" s="57"/>
      <c r="T57" s="114" t="s">
        <v>17562</v>
      </c>
      <c r="U57" s="49"/>
      <c r="V57" s="50"/>
      <c r="W57" s="115"/>
      <c r="X57" s="72"/>
      <c r="AA57" s="57"/>
      <c r="AB57" s="208">
        <f>ROUND((ROUND((ROUND((_15_同援日０．５*_15・通訳),0)*(1+_15・A夜間)),0)*(1+_15・盲ろう)),0)+ROUND((ROUND((ROUND((_15_同援日０．５＿２．５*_15・通訳),0)*(1+_15・B深夜)),0)*(1+_15・盲ろう)),0)</f>
        <v>1007</v>
      </c>
      <c r="AC57" s="48"/>
    </row>
    <row r="58" spans="1:29" ht="16.5" customHeight="1" x14ac:dyDescent="0.15">
      <c r="A58" s="41">
        <v>15</v>
      </c>
      <c r="B58" s="41" t="s">
        <v>27858</v>
      </c>
      <c r="C58" s="74" t="s">
        <v>27859</v>
      </c>
      <c r="D58" s="72"/>
      <c r="F58" s="57"/>
      <c r="G58" s="72"/>
      <c r="H58" s="168">
        <f>_15_同援日０．５＿２．５</f>
        <v>438</v>
      </c>
      <c r="I58" s="57" t="s">
        <v>392</v>
      </c>
      <c r="J58" s="35"/>
      <c r="M58" s="299" t="s">
        <v>17556</v>
      </c>
      <c r="N58" s="45" t="s">
        <v>398</v>
      </c>
      <c r="O58" s="46">
        <v>1</v>
      </c>
      <c r="P58" s="512"/>
      <c r="Q58" s="57"/>
      <c r="R58" s="512"/>
      <c r="S58" s="57"/>
      <c r="T58" s="122" t="s">
        <v>17564</v>
      </c>
      <c r="U58" s="37" t="s">
        <v>398</v>
      </c>
      <c r="V58" s="38">
        <v>0.25</v>
      </c>
      <c r="W58" s="79" t="s">
        <v>3575</v>
      </c>
      <c r="X58" s="122"/>
      <c r="Y58" s="37"/>
      <c r="Z58" s="38"/>
      <c r="AA58" s="79"/>
      <c r="AB58" s="208">
        <f>ROUND((ROUND((ROUND((ROUND((_15_同援日０．５*_15・通訳),0)*_15・２人),0)*(1+_15・A夜間)),0)*(1+_15・盲ろう)),0)+ROUND((ROUND((ROUND((ROUND((_15_同援日０．５＿２．５*_15・通訳),0)*_15・２人),0)*(1+_15・B深夜)),0)*(1+_15・盲ろう)),0)</f>
        <v>1007</v>
      </c>
      <c r="AC58" s="48"/>
    </row>
    <row r="59" spans="1:29" ht="16.5" customHeight="1" x14ac:dyDescent="0.15">
      <c r="A59" s="41">
        <v>15</v>
      </c>
      <c r="B59" s="41" t="s">
        <v>27860</v>
      </c>
      <c r="C59" s="74" t="s">
        <v>27861</v>
      </c>
      <c r="D59" s="72"/>
      <c r="F59" s="57"/>
      <c r="G59" s="72"/>
      <c r="I59" s="57"/>
      <c r="J59" s="35"/>
      <c r="M59" s="299"/>
      <c r="N59" s="45"/>
      <c r="O59" s="46"/>
      <c r="P59" s="512"/>
      <c r="Q59" s="57"/>
      <c r="R59" s="512"/>
      <c r="S59" s="57"/>
      <c r="T59" s="114"/>
      <c r="U59" s="49"/>
      <c r="V59" s="50"/>
      <c r="W59" s="115"/>
      <c r="X59" s="114" t="s">
        <v>17570</v>
      </c>
      <c r="Y59" s="49"/>
      <c r="Z59" s="50"/>
      <c r="AA59" s="115"/>
      <c r="AB59" s="208">
        <f>ROUND((ROUND((ROUND((_15_同援日０．５*_15・通訳),0)*(1+_15・A夜間)),0)*(1+_15・区３)),0)+ROUND((ROUND((ROUND((_15_同援日０．５＿２．５*_15・通訳),0)*(1+_15・B深夜)),0)*(1+_15・区３)),0)</f>
        <v>966</v>
      </c>
      <c r="AC59" s="48"/>
    </row>
    <row r="60" spans="1:29" ht="16.5" customHeight="1" x14ac:dyDescent="0.15">
      <c r="A60" s="41">
        <v>15</v>
      </c>
      <c r="B60" s="41" t="s">
        <v>27862</v>
      </c>
      <c r="C60" s="74" t="s">
        <v>27863</v>
      </c>
      <c r="D60" s="72"/>
      <c r="F60" s="57"/>
      <c r="G60" s="72"/>
      <c r="I60" s="57"/>
      <c r="J60" s="35"/>
      <c r="M60" s="299" t="s">
        <v>17556</v>
      </c>
      <c r="N60" s="45" t="s">
        <v>398</v>
      </c>
      <c r="O60" s="46">
        <v>1</v>
      </c>
      <c r="P60" s="512"/>
      <c r="Q60" s="57"/>
      <c r="R60" s="512"/>
      <c r="S60" s="57"/>
      <c r="T60" s="122"/>
      <c r="U60" s="37"/>
      <c r="V60" s="38"/>
      <c r="W60" s="79"/>
      <c r="X60" s="72" t="s">
        <v>17572</v>
      </c>
      <c r="AA60" s="57"/>
      <c r="AB60" s="208">
        <f>ROUND((ROUND((ROUND((ROUND((_15_同援日０．５*_15・通訳),0)*_15・２人),0)*(1+_15・A夜間)),0)*(1+_15・区３)),0)+ROUND((ROUND((ROUND((ROUND((_15_同援日０．５＿２．５*_15・通訳),0)*_15・２人),0)*(1+_15・B深夜)),0)*(1+_15・区３)),0)</f>
        <v>966</v>
      </c>
      <c r="AC60" s="48"/>
    </row>
    <row r="61" spans="1:29" ht="16.5" customHeight="1" x14ac:dyDescent="0.15">
      <c r="A61" s="41">
        <v>15</v>
      </c>
      <c r="B61" s="41" t="s">
        <v>27864</v>
      </c>
      <c r="C61" s="74" t="s">
        <v>27865</v>
      </c>
      <c r="D61" s="72"/>
      <c r="F61" s="57"/>
      <c r="G61" s="72"/>
      <c r="I61" s="57"/>
      <c r="J61" s="35"/>
      <c r="M61" s="299"/>
      <c r="N61" s="45"/>
      <c r="O61" s="46"/>
      <c r="P61" s="512"/>
      <c r="Q61" s="57"/>
      <c r="R61" s="512"/>
      <c r="S61" s="57"/>
      <c r="T61" s="114" t="s">
        <v>17562</v>
      </c>
      <c r="U61" s="49"/>
      <c r="V61" s="50"/>
      <c r="W61" s="115"/>
      <c r="X61" s="72"/>
      <c r="Y61" s="12" t="s">
        <v>398</v>
      </c>
      <c r="Z61" s="13">
        <v>0.2</v>
      </c>
      <c r="AA61" s="57" t="s">
        <v>3575</v>
      </c>
      <c r="AB61" s="208">
        <f>ROUND((ROUND((ROUND((ROUND((_15_同援日０．５*_15・通訳),0)*(1+_15・A夜間)),0)*(1+_15・盲ろう)),0)*(1+_15・区３)),0)+ROUND((ROUND((ROUND((ROUND((_15_同援日０．５＿２．５*_15・通訳),0)*(1+_15・B深夜)),0)*(1+_15・盲ろう)),0)*(1+_15・区３)),0)</f>
        <v>1209</v>
      </c>
      <c r="AC61" s="48"/>
    </row>
    <row r="62" spans="1:29" ht="16.5" customHeight="1" x14ac:dyDescent="0.15">
      <c r="A62" s="41">
        <v>15</v>
      </c>
      <c r="B62" s="41" t="s">
        <v>27866</v>
      </c>
      <c r="C62" s="74" t="s">
        <v>27867</v>
      </c>
      <c r="D62" s="72"/>
      <c r="F62" s="57"/>
      <c r="G62" s="72"/>
      <c r="I62" s="57"/>
      <c r="J62" s="35"/>
      <c r="M62" s="299" t="s">
        <v>17556</v>
      </c>
      <c r="N62" s="45" t="s">
        <v>398</v>
      </c>
      <c r="O62" s="46">
        <v>1</v>
      </c>
      <c r="P62" s="512"/>
      <c r="Q62" s="57"/>
      <c r="R62" s="512"/>
      <c r="S62" s="57"/>
      <c r="T62" s="122" t="s">
        <v>17564</v>
      </c>
      <c r="U62" s="37" t="s">
        <v>398</v>
      </c>
      <c r="V62" s="38">
        <v>0.25</v>
      </c>
      <c r="W62" s="79" t="s">
        <v>3575</v>
      </c>
      <c r="X62" s="122"/>
      <c r="Y62" s="37"/>
      <c r="Z62" s="38"/>
      <c r="AA62" s="79"/>
      <c r="AB62" s="208">
        <f>ROUND((ROUND((ROUND((ROUND((ROUND((_15_同援日０．５*_15・通訳),0)*_15・２人),0)*(1+_15・A夜間)),0)*(1+_15・盲ろう)),0)*(1+_15・区３)),0)+ROUND((ROUND((ROUND((ROUND((ROUND((_15_同援日０．５＿２．５*_15・通訳),0)*_15・２人),0)*(1+_15・B深夜)),0)*(1+_15・盲ろう)),0)*(1+_15・区３)),0)</f>
        <v>1209</v>
      </c>
      <c r="AC62" s="48"/>
    </row>
    <row r="63" spans="1:29" ht="16.5" customHeight="1" x14ac:dyDescent="0.15">
      <c r="A63" s="41">
        <v>15</v>
      </c>
      <c r="B63" s="41" t="s">
        <v>27868</v>
      </c>
      <c r="C63" s="74" t="s">
        <v>27869</v>
      </c>
      <c r="D63" s="72"/>
      <c r="F63" s="57"/>
      <c r="G63" s="72"/>
      <c r="I63" s="57"/>
      <c r="J63" s="35"/>
      <c r="M63" s="299"/>
      <c r="N63" s="45"/>
      <c r="O63" s="46"/>
      <c r="P63" s="512"/>
      <c r="Q63" s="57"/>
      <c r="R63" s="512"/>
      <c r="S63" s="57"/>
      <c r="T63" s="114"/>
      <c r="U63" s="49"/>
      <c r="V63" s="50"/>
      <c r="W63" s="115"/>
      <c r="X63" s="114" t="s">
        <v>17580</v>
      </c>
      <c r="Y63" s="49"/>
      <c r="Z63" s="50"/>
      <c r="AA63" s="115"/>
      <c r="AB63" s="208">
        <f>ROUND((ROUND((ROUND((_15_同援日０．５*_15・通訳),0)*(1+_15・A夜間)),0)*(1+_15・区４)),0)+ROUND((ROUND((ROUND((_15_同援日０．５＿２．５*_15・通訳),0)*(1+_15・B深夜)),0)*(1+_15・区４)),0)</f>
        <v>1127</v>
      </c>
      <c r="AC63" s="48"/>
    </row>
    <row r="64" spans="1:29" ht="16.5" customHeight="1" x14ac:dyDescent="0.15">
      <c r="A64" s="41">
        <v>15</v>
      </c>
      <c r="B64" s="41" t="s">
        <v>27870</v>
      </c>
      <c r="C64" s="74" t="s">
        <v>27871</v>
      </c>
      <c r="D64" s="72"/>
      <c r="F64" s="57"/>
      <c r="G64" s="72"/>
      <c r="I64" s="57"/>
      <c r="J64" s="35"/>
      <c r="M64" s="299" t="s">
        <v>17556</v>
      </c>
      <c r="N64" s="45" t="s">
        <v>398</v>
      </c>
      <c r="O64" s="46">
        <v>1</v>
      </c>
      <c r="P64" s="512"/>
      <c r="Q64" s="57"/>
      <c r="R64" s="512"/>
      <c r="S64" s="57"/>
      <c r="T64" s="122"/>
      <c r="U64" s="37"/>
      <c r="V64" s="38"/>
      <c r="W64" s="79"/>
      <c r="X64" s="72" t="s">
        <v>17572</v>
      </c>
      <c r="AA64" s="57"/>
      <c r="AB64" s="208">
        <f>ROUND((ROUND((ROUND((ROUND((_15_同援日０．５*_15・通訳),0)*_15・２人),0)*(1+_15・A夜間)),0)*(1+_15・区４)),0)+ROUND((ROUND((ROUND((ROUND((_15_同援日０．５＿２．５*_15・通訳),0)*_15・２人),0)*(1+_15・B深夜)),0)*(1+_15・区４)),0)</f>
        <v>1127</v>
      </c>
      <c r="AC64" s="48"/>
    </row>
    <row r="65" spans="1:29" ht="16.5" customHeight="1" x14ac:dyDescent="0.15">
      <c r="A65" s="41">
        <v>15</v>
      </c>
      <c r="B65" s="41" t="s">
        <v>3188</v>
      </c>
      <c r="C65" s="74" t="s">
        <v>27872</v>
      </c>
      <c r="D65" s="72"/>
      <c r="F65" s="57"/>
      <c r="G65" s="72"/>
      <c r="I65" s="57"/>
      <c r="J65" s="35"/>
      <c r="M65" s="299"/>
      <c r="N65" s="45"/>
      <c r="O65" s="46"/>
      <c r="P65" s="512"/>
      <c r="Q65" s="57"/>
      <c r="R65" s="512"/>
      <c r="S65" s="57"/>
      <c r="T65" s="114" t="s">
        <v>17562</v>
      </c>
      <c r="U65" s="49"/>
      <c r="V65" s="50"/>
      <c r="W65" s="115"/>
      <c r="X65" s="72"/>
      <c r="Y65" s="12" t="s">
        <v>398</v>
      </c>
      <c r="Z65" s="13">
        <v>0.4</v>
      </c>
      <c r="AA65" s="57" t="s">
        <v>3575</v>
      </c>
      <c r="AB65" s="208">
        <f>ROUND((ROUND((ROUND((ROUND((_15_同援日０．５*_15・通訳),0)*(1+_15・A夜間)),0)*(1+_15・盲ろう)),0)*(1+_15・区４)),0)+ROUND((ROUND((ROUND((ROUND((_15_同援日０．５＿２．５*_15・通訳),0)*(1+_15・B深夜)),0)*(1+_15・盲ろう)),0)*(1+_15・区４)),0)</f>
        <v>1410</v>
      </c>
      <c r="AC65" s="48"/>
    </row>
    <row r="66" spans="1:29" ht="16.5" customHeight="1" x14ac:dyDescent="0.15">
      <c r="A66" s="41">
        <v>15</v>
      </c>
      <c r="B66" s="41" t="s">
        <v>3190</v>
      </c>
      <c r="C66" s="74" t="s">
        <v>27873</v>
      </c>
      <c r="D66" s="122"/>
      <c r="E66" s="37"/>
      <c r="F66" s="79"/>
      <c r="G66" s="122"/>
      <c r="H66" s="37"/>
      <c r="I66" s="79"/>
      <c r="J66" s="35"/>
      <c r="M66" s="299" t="s">
        <v>17556</v>
      </c>
      <c r="N66" s="45" t="s">
        <v>398</v>
      </c>
      <c r="O66" s="46">
        <v>1</v>
      </c>
      <c r="P66" s="512"/>
      <c r="Q66" s="57"/>
      <c r="R66" s="512"/>
      <c r="S66" s="57"/>
      <c r="T66" s="122" t="s">
        <v>17564</v>
      </c>
      <c r="U66" s="37" t="s">
        <v>398</v>
      </c>
      <c r="V66" s="38">
        <v>0.25</v>
      </c>
      <c r="W66" s="79" t="s">
        <v>3575</v>
      </c>
      <c r="X66" s="122"/>
      <c r="Y66" s="37"/>
      <c r="Z66" s="38"/>
      <c r="AA66" s="79"/>
      <c r="AB66" s="208">
        <f>ROUND((ROUND((ROUND((ROUND((ROUND((_15_同援日０．５*_15・通訳),0)*_15・２人),0)*(1+_15・A夜間)),0)*(1+_15・盲ろう)),0)*(1+_15・区４)),0)+ROUND((ROUND((ROUND((ROUND((ROUND((_15_同援日０．５＿２．５*_15・通訳),0)*_15・２人),0)*(1+_15・B深夜)),0)*(1+_15・盲ろう)),0)*(1+_15・区４)),0)</f>
        <v>1410</v>
      </c>
      <c r="AC66" s="48"/>
    </row>
    <row r="67" spans="1:29" ht="16.5" customHeight="1" x14ac:dyDescent="0.15">
      <c r="A67" s="41">
        <v>15</v>
      </c>
      <c r="B67" s="41" t="s">
        <v>3192</v>
      </c>
      <c r="C67" s="74" t="s">
        <v>27874</v>
      </c>
      <c r="D67" s="114" t="s">
        <v>18284</v>
      </c>
      <c r="E67" s="49"/>
      <c r="F67" s="115"/>
      <c r="G67" s="114" t="s">
        <v>19945</v>
      </c>
      <c r="H67" s="49"/>
      <c r="I67" s="115"/>
      <c r="J67" s="35"/>
      <c r="M67" s="299"/>
      <c r="N67" s="45"/>
      <c r="O67" s="46"/>
      <c r="P67" s="512"/>
      <c r="Q67" s="57"/>
      <c r="R67" s="512"/>
      <c r="S67" s="57"/>
      <c r="T67" s="114"/>
      <c r="U67" s="49"/>
      <c r="V67" s="50"/>
      <c r="W67" s="115"/>
      <c r="X67" s="114"/>
      <c r="Y67" s="49"/>
      <c r="Z67" s="50"/>
      <c r="AA67" s="115"/>
      <c r="AB67" s="208">
        <f>ROUND((ROUND((_15_同援日１．０*_15・通訳),0)*(1+_15・A夜間)),0)+ROUND((ROUND((_15_同援日１．０＿０．５*_15・通訳),0)*(1+_15・B深夜)),0)</f>
        <v>518</v>
      </c>
      <c r="AC67" s="48"/>
    </row>
    <row r="68" spans="1:29" ht="16.5" customHeight="1" x14ac:dyDescent="0.15">
      <c r="A68" s="41">
        <v>15</v>
      </c>
      <c r="B68" s="41" t="s">
        <v>3194</v>
      </c>
      <c r="C68" s="74" t="s">
        <v>27875</v>
      </c>
      <c r="D68" s="72" t="s">
        <v>17589</v>
      </c>
      <c r="F68" s="57"/>
      <c r="G68" s="72" t="s">
        <v>18259</v>
      </c>
      <c r="I68" s="57"/>
      <c r="J68" s="35"/>
      <c r="M68" s="299" t="s">
        <v>17556</v>
      </c>
      <c r="N68" s="45" t="s">
        <v>398</v>
      </c>
      <c r="O68" s="46">
        <v>1</v>
      </c>
      <c r="P68" s="512"/>
      <c r="Q68" s="57"/>
      <c r="R68" s="512"/>
      <c r="S68" s="57"/>
      <c r="T68" s="122"/>
      <c r="U68" s="37"/>
      <c r="V68" s="38"/>
      <c r="W68" s="79"/>
      <c r="X68" s="72"/>
      <c r="AA68" s="57"/>
      <c r="AB68" s="208">
        <f>ROUND((ROUND((ROUND((_15_同援日１．０*_15・通訳),0)*_15・２人),0)*(1+_15・A夜間)),0)+ROUND((ROUND((ROUND((_15_同援日１．０＿０．５*_15・通訳),0)*_15・２人),0)*(1+_15・B深夜)),0)</f>
        <v>518</v>
      </c>
      <c r="AC68" s="48"/>
    </row>
    <row r="69" spans="1:29" ht="16.5" customHeight="1" x14ac:dyDescent="0.15">
      <c r="A69" s="41">
        <v>15</v>
      </c>
      <c r="B69" s="41" t="s">
        <v>27876</v>
      </c>
      <c r="C69" s="74" t="s">
        <v>27877</v>
      </c>
      <c r="D69" s="72" t="s">
        <v>17591</v>
      </c>
      <c r="F69" s="57"/>
      <c r="G69" s="72"/>
      <c r="I69" s="57"/>
      <c r="J69" s="35"/>
      <c r="M69" s="299"/>
      <c r="N69" s="45"/>
      <c r="O69" s="46"/>
      <c r="P69" s="512"/>
      <c r="Q69" s="57"/>
      <c r="R69" s="512"/>
      <c r="S69" s="57"/>
      <c r="T69" s="114" t="s">
        <v>17562</v>
      </c>
      <c r="U69" s="49"/>
      <c r="V69" s="50"/>
      <c r="W69" s="115"/>
      <c r="X69" s="72"/>
      <c r="AA69" s="57"/>
      <c r="AB69" s="208">
        <f>ROUND((ROUND((ROUND((_15_同援日１．０*_15・通訳),0)*(1+_15・A夜間)),0)*(1+_15・盲ろう)),0)+ROUND((ROUND((ROUND((_15_同援日１．０＿０．５*_15・通訳),0)*(1+_15・B深夜)),0)*(1+_15・盲ろう)),0)</f>
        <v>648</v>
      </c>
      <c r="AC69" s="48"/>
    </row>
    <row r="70" spans="1:29" ht="16.5" customHeight="1" x14ac:dyDescent="0.15">
      <c r="A70" s="41">
        <v>15</v>
      </c>
      <c r="B70" s="41" t="s">
        <v>27878</v>
      </c>
      <c r="C70" s="74" t="s">
        <v>27879</v>
      </c>
      <c r="D70" s="72"/>
      <c r="E70" s="168">
        <f>_15_同援日１．０</f>
        <v>300</v>
      </c>
      <c r="F70" s="57" t="s">
        <v>392</v>
      </c>
      <c r="G70" s="72"/>
      <c r="H70" s="168">
        <f>_15_同援日１．０＿０．５</f>
        <v>133</v>
      </c>
      <c r="I70" s="57" t="s">
        <v>392</v>
      </c>
      <c r="J70" s="35"/>
      <c r="M70" s="299" t="s">
        <v>17556</v>
      </c>
      <c r="N70" s="45" t="s">
        <v>398</v>
      </c>
      <c r="O70" s="46">
        <v>1</v>
      </c>
      <c r="P70" s="512"/>
      <c r="Q70" s="57"/>
      <c r="R70" s="512"/>
      <c r="S70" s="57"/>
      <c r="T70" s="122" t="s">
        <v>17564</v>
      </c>
      <c r="U70" s="37" t="s">
        <v>398</v>
      </c>
      <c r="V70" s="38">
        <v>0.25</v>
      </c>
      <c r="W70" s="79" t="s">
        <v>3575</v>
      </c>
      <c r="X70" s="122"/>
      <c r="Y70" s="37"/>
      <c r="Z70" s="38"/>
      <c r="AA70" s="79"/>
      <c r="AB70" s="208">
        <f>ROUND((ROUND((ROUND((ROUND((_15_同援日１．０*_15・通訳),0)*_15・２人),0)*(1+_15・A夜間)),0)*(1+_15・盲ろう)),0)+ROUND((ROUND((ROUND((ROUND((_15_同援日１．０＿０．５*_15・通訳),0)*_15・２人),0)*(1+_15・B深夜)),0)*(1+_15・盲ろう)),0)</f>
        <v>648</v>
      </c>
      <c r="AC70" s="48"/>
    </row>
    <row r="71" spans="1:29" ht="16.5" customHeight="1" x14ac:dyDescent="0.15">
      <c r="A71" s="41">
        <v>15</v>
      </c>
      <c r="B71" s="41" t="s">
        <v>27880</v>
      </c>
      <c r="C71" s="74" t="s">
        <v>27881</v>
      </c>
      <c r="D71" s="72"/>
      <c r="F71" s="57"/>
      <c r="G71" s="72"/>
      <c r="I71" s="57"/>
      <c r="J71" s="35"/>
      <c r="M71" s="299"/>
      <c r="N71" s="45"/>
      <c r="O71" s="46"/>
      <c r="P71" s="512"/>
      <c r="Q71" s="57"/>
      <c r="R71" s="512"/>
      <c r="S71" s="57"/>
      <c r="T71" s="114"/>
      <c r="U71" s="49"/>
      <c r="V71" s="50"/>
      <c r="W71" s="115"/>
      <c r="X71" s="114" t="s">
        <v>17570</v>
      </c>
      <c r="Y71" s="49"/>
      <c r="Z71" s="50"/>
      <c r="AA71" s="115"/>
      <c r="AB71" s="208">
        <f>ROUND((ROUND((ROUND((_15_同援日１．０*_15・通訳),0)*(1+_15・A夜間)),0)*(1+_15・区３)),0)+ROUND((ROUND((ROUND((_15_同援日１．０＿０．５*_15・通訳),0)*(1+_15・B深夜)),0)*(1+_15・区３)),0)</f>
        <v>622</v>
      </c>
      <c r="AC71" s="48"/>
    </row>
    <row r="72" spans="1:29" ht="16.5" customHeight="1" x14ac:dyDescent="0.15">
      <c r="A72" s="41">
        <v>15</v>
      </c>
      <c r="B72" s="41" t="s">
        <v>27882</v>
      </c>
      <c r="C72" s="74" t="s">
        <v>27883</v>
      </c>
      <c r="D72" s="72"/>
      <c r="F72" s="57"/>
      <c r="G72" s="72"/>
      <c r="I72" s="57"/>
      <c r="J72" s="35"/>
      <c r="M72" s="299" t="s">
        <v>17556</v>
      </c>
      <c r="N72" s="45" t="s">
        <v>398</v>
      </c>
      <c r="O72" s="46">
        <v>1</v>
      </c>
      <c r="P72" s="512"/>
      <c r="Q72" s="57"/>
      <c r="R72" s="512"/>
      <c r="S72" s="57"/>
      <c r="T72" s="122"/>
      <c r="U72" s="37"/>
      <c r="V72" s="38"/>
      <c r="W72" s="79"/>
      <c r="X72" s="72" t="s">
        <v>17572</v>
      </c>
      <c r="AA72" s="57"/>
      <c r="AB72" s="208">
        <f>ROUND((ROUND((ROUND((ROUND((_15_同援日１．０*_15・通訳),0)*_15・２人),0)*(1+_15・A夜間)),0)*(1+_15・区３)),0)+ROUND((ROUND((ROUND((ROUND((_15_同援日１．０＿０．５*_15・通訳),0)*_15・２人),0)*(1+_15・B深夜)),0)*(1+_15・区３)),0)</f>
        <v>622</v>
      </c>
      <c r="AC72" s="48"/>
    </row>
    <row r="73" spans="1:29" ht="16.5" customHeight="1" x14ac:dyDescent="0.15">
      <c r="A73" s="41">
        <v>15</v>
      </c>
      <c r="B73" s="41" t="s">
        <v>27884</v>
      </c>
      <c r="C73" s="74" t="s">
        <v>27885</v>
      </c>
      <c r="D73" s="72"/>
      <c r="F73" s="57"/>
      <c r="G73" s="72"/>
      <c r="I73" s="57"/>
      <c r="J73" s="35"/>
      <c r="M73" s="299"/>
      <c r="N73" s="45"/>
      <c r="O73" s="46"/>
      <c r="P73" s="512"/>
      <c r="Q73" s="57"/>
      <c r="R73" s="512"/>
      <c r="S73" s="57"/>
      <c r="T73" s="114" t="s">
        <v>17562</v>
      </c>
      <c r="U73" s="49"/>
      <c r="V73" s="50"/>
      <c r="W73" s="115"/>
      <c r="X73" s="72"/>
      <c r="Y73" s="12" t="s">
        <v>398</v>
      </c>
      <c r="Z73" s="13">
        <v>0.2</v>
      </c>
      <c r="AA73" s="57" t="s">
        <v>3575</v>
      </c>
      <c r="AB73" s="208">
        <f>ROUND((ROUND((ROUND((ROUND((_15_同援日１．０*_15・通訳),0)*(1+_15・A夜間)),0)*(1+_15・盲ろう)),0)*(1+_15・区３)),0)+ROUND((ROUND((ROUND((ROUND((_15_同援日１．０＿０．５*_15・通訳),0)*(1+_15・B深夜)),0)*(1+_15・盲ろう)),0)*(1+_15・区３)),0)</f>
        <v>778</v>
      </c>
      <c r="AC73" s="48"/>
    </row>
    <row r="74" spans="1:29" ht="16.5" customHeight="1" x14ac:dyDescent="0.15">
      <c r="A74" s="41">
        <v>15</v>
      </c>
      <c r="B74" s="41" t="s">
        <v>27886</v>
      </c>
      <c r="C74" s="74" t="s">
        <v>27887</v>
      </c>
      <c r="D74" s="72"/>
      <c r="F74" s="57"/>
      <c r="G74" s="72"/>
      <c r="I74" s="57"/>
      <c r="J74" s="35"/>
      <c r="M74" s="299" t="s">
        <v>17556</v>
      </c>
      <c r="N74" s="45" t="s">
        <v>398</v>
      </c>
      <c r="O74" s="46">
        <v>1</v>
      </c>
      <c r="P74" s="512"/>
      <c r="Q74" s="57"/>
      <c r="R74" s="512"/>
      <c r="S74" s="57"/>
      <c r="T74" s="122" t="s">
        <v>17564</v>
      </c>
      <c r="U74" s="37" t="s">
        <v>398</v>
      </c>
      <c r="V74" s="38">
        <v>0.25</v>
      </c>
      <c r="W74" s="79" t="s">
        <v>3575</v>
      </c>
      <c r="X74" s="122"/>
      <c r="Y74" s="37"/>
      <c r="Z74" s="38"/>
      <c r="AA74" s="79"/>
      <c r="AB74" s="208">
        <f>ROUND((ROUND((ROUND((ROUND((ROUND((_15_同援日１．０*_15・通訳),0)*_15・２人),0)*(1+_15・A夜間)),0)*(1+_15・盲ろう)),0)*(1+_15・区３)),0)+ROUND((ROUND((ROUND((ROUND((ROUND((_15_同援日１．０＿０．５*_15・通訳),0)*_15・２人),0)*(1+_15・B深夜)),0)*(1+_15・盲ろう)),0)*(1+_15・区３)),0)</f>
        <v>778</v>
      </c>
      <c r="AC74" s="48"/>
    </row>
    <row r="75" spans="1:29" ht="16.5" customHeight="1" x14ac:dyDescent="0.15">
      <c r="A75" s="41">
        <v>15</v>
      </c>
      <c r="B75" s="41" t="s">
        <v>27888</v>
      </c>
      <c r="C75" s="74" t="s">
        <v>27889</v>
      </c>
      <c r="D75" s="72"/>
      <c r="F75" s="57"/>
      <c r="G75" s="72"/>
      <c r="I75" s="57"/>
      <c r="J75" s="35"/>
      <c r="M75" s="299"/>
      <c r="N75" s="45"/>
      <c r="O75" s="46"/>
      <c r="P75" s="512"/>
      <c r="Q75" s="57"/>
      <c r="R75" s="512"/>
      <c r="S75" s="57"/>
      <c r="T75" s="114"/>
      <c r="U75" s="49"/>
      <c r="V75" s="50"/>
      <c r="W75" s="115"/>
      <c r="X75" s="114" t="s">
        <v>17580</v>
      </c>
      <c r="Y75" s="49"/>
      <c r="Z75" s="50"/>
      <c r="AA75" s="115"/>
      <c r="AB75" s="208">
        <f>ROUND((ROUND((ROUND((_15_同援日１．０*_15・通訳),0)*(1+_15・A夜間)),0)*(1+_15・区４)),0)+ROUND((ROUND((ROUND((_15_同援日１．０＿０．５*_15・通訳),0)*(1+_15・B深夜)),0)*(1+_15・区４)),0)</f>
        <v>725</v>
      </c>
      <c r="AC75" s="48"/>
    </row>
    <row r="76" spans="1:29" ht="16.5" customHeight="1" x14ac:dyDescent="0.15">
      <c r="A76" s="41">
        <v>15</v>
      </c>
      <c r="B76" s="41" t="s">
        <v>27890</v>
      </c>
      <c r="C76" s="74" t="s">
        <v>27891</v>
      </c>
      <c r="D76" s="72"/>
      <c r="F76" s="57"/>
      <c r="G76" s="72"/>
      <c r="I76" s="57"/>
      <c r="J76" s="35"/>
      <c r="M76" s="299" t="s">
        <v>17556</v>
      </c>
      <c r="N76" s="45" t="s">
        <v>398</v>
      </c>
      <c r="O76" s="46">
        <v>1</v>
      </c>
      <c r="P76" s="512"/>
      <c r="Q76" s="57"/>
      <c r="R76" s="512"/>
      <c r="S76" s="57"/>
      <c r="T76" s="122"/>
      <c r="U76" s="37"/>
      <c r="V76" s="38"/>
      <c r="W76" s="79"/>
      <c r="X76" s="72" t="s">
        <v>17572</v>
      </c>
      <c r="AA76" s="57"/>
      <c r="AB76" s="208">
        <f>ROUND((ROUND((ROUND((ROUND((_15_同援日１．０*_15・通訳),0)*_15・２人),0)*(1+_15・A夜間)),0)*(1+_15・区４)),0)+ROUND((ROUND((ROUND((ROUND((_15_同援日１．０＿０．５*_15・通訳),0)*_15・２人),0)*(1+_15・B深夜)),0)*(1+_15・区４)),0)</f>
        <v>725</v>
      </c>
      <c r="AC76" s="48"/>
    </row>
    <row r="77" spans="1:29" ht="16.5" customHeight="1" x14ac:dyDescent="0.15">
      <c r="A77" s="41">
        <v>15</v>
      </c>
      <c r="B77" s="41" t="s">
        <v>27892</v>
      </c>
      <c r="C77" s="74" t="s">
        <v>27893</v>
      </c>
      <c r="D77" s="72"/>
      <c r="F77" s="57"/>
      <c r="G77" s="72"/>
      <c r="I77" s="57"/>
      <c r="J77" s="35"/>
      <c r="M77" s="299"/>
      <c r="N77" s="45"/>
      <c r="O77" s="46"/>
      <c r="P77" s="512"/>
      <c r="Q77" s="57"/>
      <c r="R77" s="512"/>
      <c r="S77" s="57"/>
      <c r="T77" s="114" t="s">
        <v>17562</v>
      </c>
      <c r="U77" s="49"/>
      <c r="V77" s="50"/>
      <c r="W77" s="115"/>
      <c r="X77" s="72"/>
      <c r="Y77" s="12" t="s">
        <v>398</v>
      </c>
      <c r="Z77" s="13">
        <v>0.4</v>
      </c>
      <c r="AA77" s="57" t="s">
        <v>3575</v>
      </c>
      <c r="AB77" s="208">
        <f>ROUND((ROUND((ROUND((ROUND((_15_同援日１．０*_15・通訳),0)*(1+_15・A夜間)),0)*(1+_15・盲ろう)),0)*(1+_15・区４)),0)+ROUND((ROUND((ROUND((ROUND((_15_同援日１．０＿０．５*_15・通訳),0)*(1+_15・B深夜)),0)*(1+_15・盲ろう)),0)*(1+_15・区４)),0)</f>
        <v>907</v>
      </c>
      <c r="AC77" s="48"/>
    </row>
    <row r="78" spans="1:29" ht="16.5" customHeight="1" x14ac:dyDescent="0.15">
      <c r="A78" s="41">
        <v>15</v>
      </c>
      <c r="B78" s="41" t="s">
        <v>27894</v>
      </c>
      <c r="C78" s="74" t="s">
        <v>27895</v>
      </c>
      <c r="D78" s="72"/>
      <c r="F78" s="57"/>
      <c r="G78" s="122"/>
      <c r="H78" s="37"/>
      <c r="I78" s="79"/>
      <c r="J78" s="35"/>
      <c r="M78" s="299" t="s">
        <v>17556</v>
      </c>
      <c r="N78" s="45" t="s">
        <v>398</v>
      </c>
      <c r="O78" s="46">
        <v>1</v>
      </c>
      <c r="P78" s="512"/>
      <c r="Q78" s="57"/>
      <c r="R78" s="512"/>
      <c r="S78" s="57"/>
      <c r="T78" s="122" t="s">
        <v>17564</v>
      </c>
      <c r="U78" s="37" t="s">
        <v>398</v>
      </c>
      <c r="V78" s="38">
        <v>0.25</v>
      </c>
      <c r="W78" s="79" t="s">
        <v>3575</v>
      </c>
      <c r="X78" s="122"/>
      <c r="Y78" s="37"/>
      <c r="Z78" s="38"/>
      <c r="AA78" s="79"/>
      <c r="AB78" s="208">
        <f>ROUND((ROUND((ROUND((ROUND((ROUND((_15_同援日１．０*_15・通訳),0)*_15・２人),0)*(1+_15・A夜間)),0)*(1+_15・盲ろう)),0)*(1+_15・区４)),0)+ROUND((ROUND((ROUND((ROUND((ROUND((_15_同援日１．０＿０．５*_15・通訳),0)*_15・２人),0)*(1+_15・B深夜)),0)*(1+_15・盲ろう)),0)*(1+_15・区４)),0)</f>
        <v>907</v>
      </c>
      <c r="AC78" s="48"/>
    </row>
    <row r="79" spans="1:29" ht="16.5" customHeight="1" x14ac:dyDescent="0.15">
      <c r="A79" s="41">
        <v>15</v>
      </c>
      <c r="B79" s="41" t="s">
        <v>27896</v>
      </c>
      <c r="C79" s="74" t="s">
        <v>27897</v>
      </c>
      <c r="D79" s="72"/>
      <c r="F79" s="57"/>
      <c r="G79" s="114" t="s">
        <v>19970</v>
      </c>
      <c r="H79" s="49"/>
      <c r="I79" s="115"/>
      <c r="J79" s="35"/>
      <c r="M79" s="299"/>
      <c r="N79" s="45"/>
      <c r="O79" s="46"/>
      <c r="P79" s="512"/>
      <c r="Q79" s="57"/>
      <c r="R79" s="512"/>
      <c r="S79" s="57"/>
      <c r="T79" s="114"/>
      <c r="U79" s="49"/>
      <c r="V79" s="50"/>
      <c r="W79" s="115"/>
      <c r="X79" s="114"/>
      <c r="Y79" s="49"/>
      <c r="Z79" s="50"/>
      <c r="AA79" s="115"/>
      <c r="AB79" s="208">
        <f>ROUND((ROUND((_15_同援日１．０*_15・通訳),0)*(1+_15・A夜間)),0)+ROUND((ROUND((_15_同援日１．０＿１．０*_15・通訳),0)*(1+_15・B深夜)),0)</f>
        <v>605</v>
      </c>
      <c r="AC79" s="48"/>
    </row>
    <row r="80" spans="1:29" ht="16.5" customHeight="1" x14ac:dyDescent="0.15">
      <c r="A80" s="41">
        <v>15</v>
      </c>
      <c r="B80" s="41" t="s">
        <v>27898</v>
      </c>
      <c r="C80" s="74" t="s">
        <v>27899</v>
      </c>
      <c r="D80" s="72"/>
      <c r="F80" s="57"/>
      <c r="G80" s="72" t="s">
        <v>17589</v>
      </c>
      <c r="I80" s="57"/>
      <c r="J80" s="35"/>
      <c r="M80" s="299" t="s">
        <v>17556</v>
      </c>
      <c r="N80" s="45" t="s">
        <v>398</v>
      </c>
      <c r="O80" s="46">
        <v>1</v>
      </c>
      <c r="P80" s="512"/>
      <c r="Q80" s="57"/>
      <c r="R80" s="512"/>
      <c r="S80" s="57"/>
      <c r="T80" s="122"/>
      <c r="U80" s="37"/>
      <c r="V80" s="38"/>
      <c r="W80" s="79"/>
      <c r="X80" s="72"/>
      <c r="AA80" s="57"/>
      <c r="AB80" s="208">
        <f>ROUND((ROUND((ROUND((_15_同援日１．０*_15・通訳),0)*_15・２人),0)*(1+_15・A夜間)),0)+ROUND((ROUND((ROUND((_15_同援日１．０＿１．０*_15・通訳),0)*_15・２人),0)*(1+_15・B深夜)),0)</f>
        <v>605</v>
      </c>
      <c r="AC80" s="48"/>
    </row>
    <row r="81" spans="1:29" ht="16.5" customHeight="1" x14ac:dyDescent="0.15">
      <c r="A81" s="41">
        <v>15</v>
      </c>
      <c r="B81" s="41" t="s">
        <v>27900</v>
      </c>
      <c r="C81" s="74" t="s">
        <v>27901</v>
      </c>
      <c r="D81" s="72"/>
      <c r="F81" s="57"/>
      <c r="G81" s="72" t="s">
        <v>17591</v>
      </c>
      <c r="I81" s="57"/>
      <c r="J81" s="35"/>
      <c r="M81" s="299"/>
      <c r="N81" s="45"/>
      <c r="O81" s="46"/>
      <c r="P81" s="512"/>
      <c r="Q81" s="57"/>
      <c r="R81" s="512"/>
      <c r="S81" s="57"/>
      <c r="T81" s="114" t="s">
        <v>17562</v>
      </c>
      <c r="U81" s="49"/>
      <c r="V81" s="50"/>
      <c r="W81" s="115"/>
      <c r="X81" s="72"/>
      <c r="AA81" s="57"/>
      <c r="AB81" s="208">
        <f>ROUND((ROUND((ROUND((_15_同援日１．０*_15・通訳),0)*(1+_15・A夜間)),0)*(1+_15・盲ろう)),0)+ROUND((ROUND((ROUND((_15_同援日１．０＿１．０*_15・通訳),0)*(1+_15・B深夜)),0)*(1+_15・盲ろう)),0)</f>
        <v>757</v>
      </c>
      <c r="AC81" s="48"/>
    </row>
    <row r="82" spans="1:29" ht="16.5" customHeight="1" x14ac:dyDescent="0.15">
      <c r="A82" s="41">
        <v>15</v>
      </c>
      <c r="B82" s="41" t="s">
        <v>27902</v>
      </c>
      <c r="C82" s="74" t="s">
        <v>27903</v>
      </c>
      <c r="D82" s="72"/>
      <c r="F82" s="57"/>
      <c r="G82" s="72"/>
      <c r="H82" s="168">
        <f>_15_同援日１．０＿１．０</f>
        <v>198</v>
      </c>
      <c r="I82" s="57" t="s">
        <v>392</v>
      </c>
      <c r="J82" s="35"/>
      <c r="M82" s="299" t="s">
        <v>17556</v>
      </c>
      <c r="N82" s="45" t="s">
        <v>398</v>
      </c>
      <c r="O82" s="46">
        <v>1</v>
      </c>
      <c r="P82" s="512"/>
      <c r="Q82" s="57"/>
      <c r="R82" s="512"/>
      <c r="S82" s="57"/>
      <c r="T82" s="122" t="s">
        <v>17564</v>
      </c>
      <c r="U82" s="37" t="s">
        <v>398</v>
      </c>
      <c r="V82" s="38">
        <v>0.25</v>
      </c>
      <c r="W82" s="79" t="s">
        <v>3575</v>
      </c>
      <c r="X82" s="122"/>
      <c r="Y82" s="37"/>
      <c r="Z82" s="38"/>
      <c r="AA82" s="79"/>
      <c r="AB82" s="208">
        <f>ROUND((ROUND((ROUND((ROUND((_15_同援日１．０*_15・通訳),0)*_15・２人),0)*(1+_15・A夜間)),0)*(1+_15・盲ろう)),0)+ROUND((ROUND((ROUND((ROUND((_15_同援日１．０＿１．０*_15・通訳),0)*_15・２人),0)*(1+_15・B深夜)),0)*(1+_15・盲ろう)),0)</f>
        <v>757</v>
      </c>
      <c r="AC82" s="48"/>
    </row>
    <row r="83" spans="1:29" ht="16.5" customHeight="1" x14ac:dyDescent="0.15">
      <c r="A83" s="41">
        <v>15</v>
      </c>
      <c r="B83" s="41" t="s">
        <v>27904</v>
      </c>
      <c r="C83" s="74" t="s">
        <v>27905</v>
      </c>
      <c r="D83" s="72"/>
      <c r="F83" s="57"/>
      <c r="G83" s="72"/>
      <c r="I83" s="57"/>
      <c r="J83" s="35"/>
      <c r="M83" s="299"/>
      <c r="N83" s="45"/>
      <c r="O83" s="46"/>
      <c r="P83" s="512"/>
      <c r="Q83" s="57"/>
      <c r="R83" s="512"/>
      <c r="S83" s="57"/>
      <c r="T83" s="114"/>
      <c r="U83" s="49"/>
      <c r="V83" s="50"/>
      <c r="W83" s="115"/>
      <c r="X83" s="114" t="s">
        <v>17570</v>
      </c>
      <c r="Y83" s="49"/>
      <c r="Z83" s="50"/>
      <c r="AA83" s="115"/>
      <c r="AB83" s="208">
        <f>ROUND((ROUND((ROUND((_15_同援日１．０*_15・通訳),0)*(1+_15・A夜間)),0)*(1+_15・区３)),0)+ROUND((ROUND((ROUND((_15_同援日１．０＿１．０*_15・通訳),0)*(1+_15・B深夜)),0)*(1+_15・区３)),0)</f>
        <v>726</v>
      </c>
      <c r="AC83" s="48"/>
    </row>
    <row r="84" spans="1:29" ht="16.5" customHeight="1" x14ac:dyDescent="0.15">
      <c r="A84" s="41">
        <v>15</v>
      </c>
      <c r="B84" s="41" t="s">
        <v>27906</v>
      </c>
      <c r="C84" s="74" t="s">
        <v>27907</v>
      </c>
      <c r="D84" s="72"/>
      <c r="F84" s="57"/>
      <c r="G84" s="72"/>
      <c r="I84" s="57"/>
      <c r="J84" s="35"/>
      <c r="M84" s="299" t="s">
        <v>17556</v>
      </c>
      <c r="N84" s="45" t="s">
        <v>398</v>
      </c>
      <c r="O84" s="46">
        <v>1</v>
      </c>
      <c r="P84" s="512"/>
      <c r="Q84" s="57"/>
      <c r="R84" s="512"/>
      <c r="S84" s="57"/>
      <c r="T84" s="122"/>
      <c r="U84" s="37"/>
      <c r="V84" s="38"/>
      <c r="W84" s="79"/>
      <c r="X84" s="72" t="s">
        <v>17572</v>
      </c>
      <c r="AA84" s="57"/>
      <c r="AB84" s="208">
        <f>ROUND((ROUND((ROUND((ROUND((_15_同援日１．０*_15・通訳),0)*_15・２人),0)*(1+_15・A夜間)),0)*(1+_15・区３)),0)+ROUND((ROUND((ROUND((ROUND((_15_同援日１．０＿１．０*_15・通訳),0)*_15・２人),0)*(1+_15・B深夜)),0)*(1+_15・区３)),0)</f>
        <v>726</v>
      </c>
      <c r="AC84" s="48"/>
    </row>
    <row r="85" spans="1:29" ht="16.5" customHeight="1" x14ac:dyDescent="0.15">
      <c r="A85" s="41">
        <v>15</v>
      </c>
      <c r="B85" s="41" t="s">
        <v>3201</v>
      </c>
      <c r="C85" s="74" t="s">
        <v>27908</v>
      </c>
      <c r="D85" s="72"/>
      <c r="F85" s="57"/>
      <c r="G85" s="72"/>
      <c r="I85" s="57"/>
      <c r="J85" s="35"/>
      <c r="M85" s="299"/>
      <c r="N85" s="45"/>
      <c r="O85" s="46"/>
      <c r="P85" s="512"/>
      <c r="Q85" s="57"/>
      <c r="R85" s="512"/>
      <c r="S85" s="57"/>
      <c r="T85" s="114" t="s">
        <v>17562</v>
      </c>
      <c r="U85" s="49"/>
      <c r="V85" s="50"/>
      <c r="W85" s="115"/>
      <c r="X85" s="72"/>
      <c r="Y85" s="12" t="s">
        <v>398</v>
      </c>
      <c r="Z85" s="13">
        <v>0.2</v>
      </c>
      <c r="AA85" s="57" t="s">
        <v>3575</v>
      </c>
      <c r="AB85" s="208">
        <f>ROUND((ROUND((ROUND((ROUND((_15_同援日１．０*_15・通訳),0)*(1+_15・A夜間)),0)*(1+_15・盲ろう)),0)*(1+_15・区３)),0)+ROUND((ROUND((ROUND((ROUND((_15_同援日１．０＿１．０*_15・通訳),0)*(1+_15・B深夜)),0)*(1+_15・盲ろう)),0)*(1+_15・区３)),0)</f>
        <v>909</v>
      </c>
      <c r="AC85" s="48"/>
    </row>
    <row r="86" spans="1:29" ht="16.5" customHeight="1" x14ac:dyDescent="0.15">
      <c r="A86" s="41">
        <v>15</v>
      </c>
      <c r="B86" s="41" t="s">
        <v>3203</v>
      </c>
      <c r="C86" s="74" t="s">
        <v>27909</v>
      </c>
      <c r="D86" s="72"/>
      <c r="F86" s="57"/>
      <c r="G86" s="72"/>
      <c r="I86" s="57"/>
      <c r="J86" s="35"/>
      <c r="M86" s="299" t="s">
        <v>17556</v>
      </c>
      <c r="N86" s="45" t="s">
        <v>398</v>
      </c>
      <c r="O86" s="46">
        <v>1</v>
      </c>
      <c r="P86" s="512"/>
      <c r="Q86" s="57"/>
      <c r="R86" s="512"/>
      <c r="S86" s="57"/>
      <c r="T86" s="122" t="s">
        <v>17564</v>
      </c>
      <c r="U86" s="37" t="s">
        <v>398</v>
      </c>
      <c r="V86" s="38">
        <v>0.25</v>
      </c>
      <c r="W86" s="79" t="s">
        <v>3575</v>
      </c>
      <c r="X86" s="122"/>
      <c r="Y86" s="37"/>
      <c r="Z86" s="38"/>
      <c r="AA86" s="79"/>
      <c r="AB86" s="208">
        <f>ROUND((ROUND((ROUND((ROUND((ROUND((_15_同援日１．０*_15・通訳),0)*_15・２人),0)*(1+_15・A夜間)),0)*(1+_15・盲ろう)),0)*(1+_15・区３)),0)+ROUND((ROUND((ROUND((ROUND((ROUND((_15_同援日１．０＿１．０*_15・通訳),0)*_15・２人),0)*(1+_15・B深夜)),0)*(1+_15・盲ろう)),0)*(1+_15・区３)),0)</f>
        <v>909</v>
      </c>
      <c r="AC86" s="48"/>
    </row>
    <row r="87" spans="1:29" ht="16.5" customHeight="1" x14ac:dyDescent="0.15">
      <c r="A87" s="41">
        <v>15</v>
      </c>
      <c r="B87" s="41" t="s">
        <v>3205</v>
      </c>
      <c r="C87" s="74" t="s">
        <v>27910</v>
      </c>
      <c r="D87" s="72"/>
      <c r="F87" s="57"/>
      <c r="G87" s="72"/>
      <c r="I87" s="57"/>
      <c r="J87" s="35"/>
      <c r="M87" s="299"/>
      <c r="N87" s="45"/>
      <c r="O87" s="46"/>
      <c r="P87" s="512"/>
      <c r="Q87" s="57"/>
      <c r="R87" s="512"/>
      <c r="S87" s="57"/>
      <c r="T87" s="114"/>
      <c r="U87" s="49"/>
      <c r="V87" s="50"/>
      <c r="W87" s="115"/>
      <c r="X87" s="114" t="s">
        <v>17580</v>
      </c>
      <c r="Y87" s="49"/>
      <c r="Z87" s="50"/>
      <c r="AA87" s="115"/>
      <c r="AB87" s="208">
        <f>ROUND((ROUND((ROUND((_15_同援日１．０*_15・通訳),0)*(1+_15・A夜間)),0)*(1+_15・区４)),0)+ROUND((ROUND((ROUND((_15_同援日１．０＿１．０*_15・通訳),0)*(1+_15・B深夜)),0)*(1+_15・区４)),0)</f>
        <v>847</v>
      </c>
      <c r="AC87" s="48"/>
    </row>
    <row r="88" spans="1:29" ht="16.5" customHeight="1" x14ac:dyDescent="0.15">
      <c r="A88" s="41">
        <v>15</v>
      </c>
      <c r="B88" s="41" t="s">
        <v>3207</v>
      </c>
      <c r="C88" s="74" t="s">
        <v>27911</v>
      </c>
      <c r="D88" s="72"/>
      <c r="F88" s="57"/>
      <c r="G88" s="72"/>
      <c r="I88" s="57"/>
      <c r="J88" s="35"/>
      <c r="M88" s="299" t="s">
        <v>17556</v>
      </c>
      <c r="N88" s="45" t="s">
        <v>398</v>
      </c>
      <c r="O88" s="46">
        <v>1</v>
      </c>
      <c r="P88" s="512"/>
      <c r="Q88" s="57"/>
      <c r="R88" s="512"/>
      <c r="S88" s="57"/>
      <c r="T88" s="122"/>
      <c r="U88" s="37"/>
      <c r="V88" s="38"/>
      <c r="W88" s="79"/>
      <c r="X88" s="72" t="s">
        <v>17572</v>
      </c>
      <c r="AA88" s="57"/>
      <c r="AB88" s="208">
        <f>ROUND((ROUND((ROUND((ROUND((_15_同援日１．０*_15・通訳),0)*_15・２人),0)*(1+_15・A夜間)),0)*(1+_15・区４)),0)+ROUND((ROUND((ROUND((ROUND((_15_同援日１．０＿１．０*_15・通訳),0)*_15・２人),0)*(1+_15・B深夜)),0)*(1+_15・区４)),0)</f>
        <v>847</v>
      </c>
      <c r="AC88" s="48"/>
    </row>
    <row r="89" spans="1:29" ht="16.5" customHeight="1" x14ac:dyDescent="0.15">
      <c r="A89" s="41">
        <v>15</v>
      </c>
      <c r="B89" s="41" t="s">
        <v>27912</v>
      </c>
      <c r="C89" s="74" t="s">
        <v>27913</v>
      </c>
      <c r="D89" s="72"/>
      <c r="F89" s="57"/>
      <c r="G89" s="72"/>
      <c r="I89" s="57"/>
      <c r="J89" s="35"/>
      <c r="M89" s="299"/>
      <c r="N89" s="45"/>
      <c r="O89" s="46"/>
      <c r="P89" s="512"/>
      <c r="Q89" s="57"/>
      <c r="R89" s="512"/>
      <c r="S89" s="57"/>
      <c r="T89" s="114" t="s">
        <v>17562</v>
      </c>
      <c r="U89" s="49"/>
      <c r="V89" s="50"/>
      <c r="W89" s="115"/>
      <c r="X89" s="72"/>
      <c r="Y89" s="12" t="s">
        <v>398</v>
      </c>
      <c r="Z89" s="13">
        <v>0.4</v>
      </c>
      <c r="AA89" s="57" t="s">
        <v>3575</v>
      </c>
      <c r="AB89" s="208">
        <f>ROUND((ROUND((ROUND((ROUND((_15_同援日１．０*_15・通訳),0)*(1+_15・A夜間)),0)*(1+_15・盲ろう)),0)*(1+_15・区４)),0)+ROUND((ROUND((ROUND((ROUND((_15_同援日１．０＿１．０*_15・通訳),0)*(1+_15・B深夜)),0)*(1+_15・盲ろう)),0)*(1+_15・区４)),0)</f>
        <v>1060</v>
      </c>
      <c r="AC89" s="48"/>
    </row>
    <row r="90" spans="1:29" ht="16.5" customHeight="1" x14ac:dyDescent="0.15">
      <c r="A90" s="41">
        <v>15</v>
      </c>
      <c r="B90" s="41" t="s">
        <v>27914</v>
      </c>
      <c r="C90" s="74" t="s">
        <v>27915</v>
      </c>
      <c r="D90" s="72"/>
      <c r="F90" s="57"/>
      <c r="G90" s="122"/>
      <c r="H90" s="37"/>
      <c r="I90" s="79"/>
      <c r="J90" s="35"/>
      <c r="M90" s="299" t="s">
        <v>17556</v>
      </c>
      <c r="N90" s="45" t="s">
        <v>398</v>
      </c>
      <c r="O90" s="46">
        <v>1</v>
      </c>
      <c r="P90" s="512"/>
      <c r="Q90" s="57"/>
      <c r="R90" s="512"/>
      <c r="S90" s="57"/>
      <c r="T90" s="122" t="s">
        <v>17564</v>
      </c>
      <c r="U90" s="37" t="s">
        <v>398</v>
      </c>
      <c r="V90" s="38">
        <v>0.25</v>
      </c>
      <c r="W90" s="79" t="s">
        <v>3575</v>
      </c>
      <c r="X90" s="122"/>
      <c r="Y90" s="37"/>
      <c r="Z90" s="38"/>
      <c r="AA90" s="79"/>
      <c r="AB90" s="208">
        <f>ROUND((ROUND((ROUND((ROUND((ROUND((_15_同援日１．０*_15・通訳),0)*_15・２人),0)*(1+_15・A夜間)),0)*(1+_15・盲ろう)),0)*(1+_15・区４)),0)+ROUND((ROUND((ROUND((ROUND((ROUND((_15_同援日１．０＿１．０*_15・通訳),0)*_15・２人),0)*(1+_15・B深夜)),0)*(1+_15・盲ろう)),0)*(1+_15・区４)),0)</f>
        <v>1060</v>
      </c>
      <c r="AC90" s="48"/>
    </row>
    <row r="91" spans="1:29" ht="16.5" customHeight="1" x14ac:dyDescent="0.15">
      <c r="A91" s="41">
        <v>15</v>
      </c>
      <c r="B91" s="41" t="s">
        <v>27916</v>
      </c>
      <c r="C91" s="74" t="s">
        <v>27917</v>
      </c>
      <c r="D91" s="72"/>
      <c r="F91" s="57"/>
      <c r="G91" s="114" t="s">
        <v>19995</v>
      </c>
      <c r="H91" s="49"/>
      <c r="I91" s="115"/>
      <c r="J91" s="35"/>
      <c r="M91" s="299"/>
      <c r="N91" s="45"/>
      <c r="O91" s="46"/>
      <c r="P91" s="512"/>
      <c r="Q91" s="57"/>
      <c r="R91" s="512"/>
      <c r="S91" s="57"/>
      <c r="T91" s="114"/>
      <c r="U91" s="49"/>
      <c r="V91" s="50"/>
      <c r="W91" s="115"/>
      <c r="X91" s="114"/>
      <c r="Y91" s="49"/>
      <c r="Z91" s="50"/>
      <c r="AA91" s="115"/>
      <c r="AB91" s="208">
        <f>ROUND((ROUND((_15_同援日１．０*_15・通訳),0)*(1+_15・A夜間)),0)+ROUND((ROUND((_15_同援日１．０＿１．５*_15・通訳),0)*(1+_15・B深夜)),0)</f>
        <v>694</v>
      </c>
      <c r="AC91" s="48"/>
    </row>
    <row r="92" spans="1:29" ht="16.5" customHeight="1" x14ac:dyDescent="0.15">
      <c r="A92" s="41">
        <v>15</v>
      </c>
      <c r="B92" s="41" t="s">
        <v>27918</v>
      </c>
      <c r="C92" s="74" t="s">
        <v>27919</v>
      </c>
      <c r="D92" s="72"/>
      <c r="F92" s="57"/>
      <c r="G92" s="72" t="s">
        <v>17616</v>
      </c>
      <c r="I92" s="57"/>
      <c r="J92" s="35"/>
      <c r="M92" s="299" t="s">
        <v>17556</v>
      </c>
      <c r="N92" s="45" t="s">
        <v>398</v>
      </c>
      <c r="O92" s="46">
        <v>1</v>
      </c>
      <c r="P92" s="512"/>
      <c r="Q92" s="57"/>
      <c r="R92" s="512"/>
      <c r="S92" s="57"/>
      <c r="T92" s="122"/>
      <c r="U92" s="37"/>
      <c r="V92" s="38"/>
      <c r="W92" s="79"/>
      <c r="X92" s="72"/>
      <c r="AA92" s="57"/>
      <c r="AB92" s="208">
        <f>ROUND((ROUND((ROUND((_15_同援日１．０*_15・通訳),0)*_15・２人),0)*(1+_15・A夜間)),0)+ROUND((ROUND((ROUND((_15_同援日１．０＿１．５*_15・通訳),0)*_15・２人),0)*(1+_15・B深夜)),0)</f>
        <v>694</v>
      </c>
      <c r="AC92" s="48"/>
    </row>
    <row r="93" spans="1:29" ht="16.5" customHeight="1" x14ac:dyDescent="0.15">
      <c r="A93" s="41">
        <v>15</v>
      </c>
      <c r="B93" s="41" t="s">
        <v>27920</v>
      </c>
      <c r="C93" s="74" t="s">
        <v>27921</v>
      </c>
      <c r="D93" s="72"/>
      <c r="F93" s="57"/>
      <c r="G93" s="72" t="s">
        <v>18183</v>
      </c>
      <c r="I93" s="57"/>
      <c r="J93" s="35"/>
      <c r="M93" s="299"/>
      <c r="N93" s="45"/>
      <c r="O93" s="46"/>
      <c r="P93" s="512"/>
      <c r="Q93" s="57"/>
      <c r="R93" s="512"/>
      <c r="S93" s="57"/>
      <c r="T93" s="114" t="s">
        <v>17562</v>
      </c>
      <c r="U93" s="49"/>
      <c r="V93" s="50"/>
      <c r="W93" s="115"/>
      <c r="X93" s="72"/>
      <c r="AA93" s="57"/>
      <c r="AB93" s="208">
        <f>ROUND((ROUND((ROUND((_15_同援日１．０*_15・通訳),0)*(1+_15・A夜間)),0)*(1+_15・盲ろう)),0)+ROUND((ROUND((ROUND((_15_同援日１．０＿１．５*_15・通訳),0)*(1+_15・B深夜)),0)*(1+_15・盲ろう)),0)</f>
        <v>868</v>
      </c>
      <c r="AC93" s="48"/>
    </row>
    <row r="94" spans="1:29" ht="16.5" customHeight="1" x14ac:dyDescent="0.15">
      <c r="A94" s="41">
        <v>15</v>
      </c>
      <c r="B94" s="41" t="s">
        <v>27922</v>
      </c>
      <c r="C94" s="74" t="s">
        <v>27923</v>
      </c>
      <c r="D94" s="72"/>
      <c r="F94" s="57"/>
      <c r="G94" s="72"/>
      <c r="H94" s="168">
        <f>_15_同援日１．０＿１．５</f>
        <v>263</v>
      </c>
      <c r="I94" s="57" t="s">
        <v>392</v>
      </c>
      <c r="J94" s="35"/>
      <c r="M94" s="299" t="s">
        <v>17556</v>
      </c>
      <c r="N94" s="45" t="s">
        <v>398</v>
      </c>
      <c r="O94" s="46">
        <v>1</v>
      </c>
      <c r="P94" s="512"/>
      <c r="Q94" s="57"/>
      <c r="R94" s="512"/>
      <c r="S94" s="57"/>
      <c r="T94" s="122" t="s">
        <v>17564</v>
      </c>
      <c r="U94" s="37" t="s">
        <v>398</v>
      </c>
      <c r="V94" s="38">
        <v>0.25</v>
      </c>
      <c r="W94" s="79" t="s">
        <v>3575</v>
      </c>
      <c r="X94" s="122"/>
      <c r="Y94" s="37"/>
      <c r="Z94" s="38"/>
      <c r="AA94" s="79"/>
      <c r="AB94" s="208">
        <f>ROUND((ROUND((ROUND((ROUND((_15_同援日１．０*_15・通訳),0)*_15・２人),0)*(1+_15・A夜間)),0)*(1+_15・盲ろう)),0)+ROUND((ROUND((ROUND((ROUND((_15_同援日１．０＿１．５*_15・通訳),0)*_15・２人),0)*(1+_15・B深夜)),0)*(1+_15・盲ろう)),0)</f>
        <v>868</v>
      </c>
      <c r="AC94" s="48"/>
    </row>
    <row r="95" spans="1:29" ht="16.5" customHeight="1" x14ac:dyDescent="0.15">
      <c r="A95" s="41">
        <v>15</v>
      </c>
      <c r="B95" s="41" t="s">
        <v>27924</v>
      </c>
      <c r="C95" s="74" t="s">
        <v>27925</v>
      </c>
      <c r="D95" s="72"/>
      <c r="F95" s="57"/>
      <c r="G95" s="72"/>
      <c r="I95" s="57"/>
      <c r="J95" s="35"/>
      <c r="M95" s="299"/>
      <c r="N95" s="45"/>
      <c r="O95" s="46"/>
      <c r="P95" s="512"/>
      <c r="Q95" s="57"/>
      <c r="R95" s="512"/>
      <c r="S95" s="57"/>
      <c r="T95" s="114"/>
      <c r="U95" s="49"/>
      <c r="V95" s="50"/>
      <c r="W95" s="115"/>
      <c r="X95" s="114" t="s">
        <v>17570</v>
      </c>
      <c r="Y95" s="49"/>
      <c r="Z95" s="50"/>
      <c r="AA95" s="115"/>
      <c r="AB95" s="208">
        <f>ROUND((ROUND((ROUND((_15_同援日１．０*_15・通訳),0)*(1+_15・A夜間)),0)*(1+_15・区３)),0)+ROUND((ROUND((ROUND((_15_同援日１．０＿１．５*_15・通訳),0)*(1+_15・B深夜)),0)*(1+_15・区３)),0)</f>
        <v>833</v>
      </c>
      <c r="AC95" s="48"/>
    </row>
    <row r="96" spans="1:29" ht="16.5" customHeight="1" x14ac:dyDescent="0.15">
      <c r="A96" s="41">
        <v>15</v>
      </c>
      <c r="B96" s="41" t="s">
        <v>27926</v>
      </c>
      <c r="C96" s="74" t="s">
        <v>27927</v>
      </c>
      <c r="D96" s="72"/>
      <c r="F96" s="57"/>
      <c r="G96" s="72"/>
      <c r="I96" s="57"/>
      <c r="J96" s="35"/>
      <c r="M96" s="299" t="s">
        <v>17556</v>
      </c>
      <c r="N96" s="45" t="s">
        <v>398</v>
      </c>
      <c r="O96" s="46">
        <v>1</v>
      </c>
      <c r="P96" s="512"/>
      <c r="Q96" s="57"/>
      <c r="R96" s="512"/>
      <c r="S96" s="57"/>
      <c r="T96" s="122"/>
      <c r="U96" s="37"/>
      <c r="V96" s="38"/>
      <c r="W96" s="79"/>
      <c r="X96" s="72" t="s">
        <v>17572</v>
      </c>
      <c r="AA96" s="57"/>
      <c r="AB96" s="208">
        <f>ROUND((ROUND((ROUND((ROUND((_15_同援日１．０*_15・通訳),0)*_15・２人),0)*(1+_15・A夜間)),0)*(1+_15・区３)),0)+ROUND((ROUND((ROUND((ROUND((_15_同援日１．０＿１．５*_15・通訳),0)*_15・２人),0)*(1+_15・B深夜)),0)*(1+_15・区３)),0)</f>
        <v>833</v>
      </c>
      <c r="AC96" s="48"/>
    </row>
    <row r="97" spans="1:29" ht="16.5" customHeight="1" x14ac:dyDescent="0.15">
      <c r="A97" s="41">
        <v>15</v>
      </c>
      <c r="B97" s="41" t="s">
        <v>27928</v>
      </c>
      <c r="C97" s="74" t="s">
        <v>27929</v>
      </c>
      <c r="D97" s="72"/>
      <c r="F97" s="57"/>
      <c r="G97" s="72"/>
      <c r="I97" s="57"/>
      <c r="J97" s="35"/>
      <c r="M97" s="299"/>
      <c r="N97" s="45"/>
      <c r="O97" s="46"/>
      <c r="P97" s="512"/>
      <c r="Q97" s="57"/>
      <c r="R97" s="512"/>
      <c r="S97" s="57"/>
      <c r="T97" s="114" t="s">
        <v>17562</v>
      </c>
      <c r="U97" s="49"/>
      <c r="V97" s="50"/>
      <c r="W97" s="115"/>
      <c r="X97" s="72"/>
      <c r="Y97" s="12" t="s">
        <v>398</v>
      </c>
      <c r="Z97" s="13">
        <v>0.2</v>
      </c>
      <c r="AA97" s="57" t="s">
        <v>3575</v>
      </c>
      <c r="AB97" s="208">
        <f>ROUND((ROUND((ROUND((ROUND((_15_同援日１．０*_15・通訳),0)*(1+_15・A夜間)),0)*(1+_15・盲ろう)),0)*(1+_15・区３)),0)+ROUND((ROUND((ROUND((ROUND((_15_同援日１．０＿１．５*_15・通訳),0)*(1+_15・B深夜)),0)*(1+_15・盲ろう)),0)*(1+_15・区３)),0)</f>
        <v>1042</v>
      </c>
      <c r="AC97" s="48"/>
    </row>
    <row r="98" spans="1:29" ht="16.5" customHeight="1" x14ac:dyDescent="0.15">
      <c r="A98" s="41">
        <v>15</v>
      </c>
      <c r="B98" s="41" t="s">
        <v>27930</v>
      </c>
      <c r="C98" s="74" t="s">
        <v>27931</v>
      </c>
      <c r="D98" s="72"/>
      <c r="F98" s="57"/>
      <c r="G98" s="72"/>
      <c r="I98" s="57"/>
      <c r="J98" s="35"/>
      <c r="M98" s="299" t="s">
        <v>17556</v>
      </c>
      <c r="N98" s="45" t="s">
        <v>398</v>
      </c>
      <c r="O98" s="46">
        <v>1</v>
      </c>
      <c r="P98" s="512"/>
      <c r="Q98" s="57"/>
      <c r="R98" s="512"/>
      <c r="S98" s="57"/>
      <c r="T98" s="122" t="s">
        <v>17564</v>
      </c>
      <c r="U98" s="37" t="s">
        <v>398</v>
      </c>
      <c r="V98" s="38">
        <v>0.25</v>
      </c>
      <c r="W98" s="79" t="s">
        <v>3575</v>
      </c>
      <c r="X98" s="122"/>
      <c r="Y98" s="37"/>
      <c r="Z98" s="38"/>
      <c r="AA98" s="79"/>
      <c r="AB98" s="208">
        <f>ROUND((ROUND((ROUND((ROUND((ROUND((_15_同援日１．０*_15・通訳),0)*_15・２人),0)*(1+_15・A夜間)),0)*(1+_15・盲ろう)),0)*(1+_15・区３)),0)+ROUND((ROUND((ROUND((ROUND((ROUND((_15_同援日１．０＿１．５*_15・通訳),0)*_15・２人),0)*(1+_15・B深夜)),0)*(1+_15・盲ろう)),0)*(1+_15・区３)),0)</f>
        <v>1042</v>
      </c>
      <c r="AC98" s="48"/>
    </row>
    <row r="99" spans="1:29" ht="16.5" customHeight="1" x14ac:dyDescent="0.15">
      <c r="A99" s="41">
        <v>15</v>
      </c>
      <c r="B99" s="41" t="s">
        <v>27932</v>
      </c>
      <c r="C99" s="74" t="s">
        <v>27933</v>
      </c>
      <c r="D99" s="72"/>
      <c r="F99" s="57"/>
      <c r="G99" s="72"/>
      <c r="I99" s="57"/>
      <c r="J99" s="35"/>
      <c r="M99" s="299"/>
      <c r="N99" s="45"/>
      <c r="O99" s="46"/>
      <c r="P99" s="512"/>
      <c r="Q99" s="57"/>
      <c r="R99" s="512"/>
      <c r="S99" s="57"/>
      <c r="T99" s="114"/>
      <c r="U99" s="49"/>
      <c r="V99" s="50"/>
      <c r="W99" s="115"/>
      <c r="X99" s="114" t="s">
        <v>17580</v>
      </c>
      <c r="Y99" s="49"/>
      <c r="Z99" s="50"/>
      <c r="AA99" s="115"/>
      <c r="AB99" s="208">
        <f>ROUND((ROUND((ROUND((_15_同援日１．０*_15・通訳),0)*(1+_15・A夜間)),0)*(1+_15・区４)),0)+ROUND((ROUND((ROUND((_15_同援日１．０＿１．５*_15・通訳),0)*(1+_15・B深夜)),0)*(1+_15・区４)),0)</f>
        <v>971</v>
      </c>
      <c r="AC99" s="48"/>
    </row>
    <row r="100" spans="1:29" ht="16.5" customHeight="1" x14ac:dyDescent="0.15">
      <c r="A100" s="41">
        <v>15</v>
      </c>
      <c r="B100" s="41" t="s">
        <v>27934</v>
      </c>
      <c r="C100" s="74" t="s">
        <v>27935</v>
      </c>
      <c r="D100" s="72"/>
      <c r="F100" s="57"/>
      <c r="G100" s="72"/>
      <c r="I100" s="57"/>
      <c r="J100" s="35"/>
      <c r="M100" s="299" t="s">
        <v>17556</v>
      </c>
      <c r="N100" s="45" t="s">
        <v>398</v>
      </c>
      <c r="O100" s="46">
        <v>1</v>
      </c>
      <c r="P100" s="512"/>
      <c r="Q100" s="57"/>
      <c r="R100" s="512"/>
      <c r="S100" s="57"/>
      <c r="T100" s="122"/>
      <c r="U100" s="37"/>
      <c r="V100" s="38"/>
      <c r="W100" s="79"/>
      <c r="X100" s="72" t="s">
        <v>17572</v>
      </c>
      <c r="AA100" s="57"/>
      <c r="AB100" s="208">
        <f>ROUND((ROUND((ROUND((ROUND((_15_同援日１．０*_15・通訳),0)*_15・２人),0)*(1+_15・A夜間)),0)*(1+_15・区４)),0)+ROUND((ROUND((ROUND((ROUND((_15_同援日１．０＿１．５*_15・通訳),0)*_15・２人),0)*(1+_15・B深夜)),0)*(1+_15・区４)),0)</f>
        <v>971</v>
      </c>
      <c r="AC100" s="48"/>
    </row>
    <row r="101" spans="1:29" ht="16.5" customHeight="1" x14ac:dyDescent="0.15">
      <c r="A101" s="41">
        <v>15</v>
      </c>
      <c r="B101" s="41" t="s">
        <v>27936</v>
      </c>
      <c r="C101" s="74" t="s">
        <v>27937</v>
      </c>
      <c r="D101" s="72"/>
      <c r="F101" s="57"/>
      <c r="G101" s="72"/>
      <c r="I101" s="57"/>
      <c r="J101" s="35"/>
      <c r="M101" s="299"/>
      <c r="N101" s="45"/>
      <c r="O101" s="46"/>
      <c r="P101" s="512"/>
      <c r="Q101" s="57"/>
      <c r="R101" s="512"/>
      <c r="S101" s="57"/>
      <c r="T101" s="114" t="s">
        <v>17562</v>
      </c>
      <c r="U101" s="49"/>
      <c r="V101" s="50"/>
      <c r="W101" s="115"/>
      <c r="X101" s="72"/>
      <c r="Y101" s="12" t="s">
        <v>398</v>
      </c>
      <c r="Z101" s="13">
        <v>0.4</v>
      </c>
      <c r="AA101" s="57" t="s">
        <v>3575</v>
      </c>
      <c r="AB101" s="208">
        <f>ROUND((ROUND((ROUND((ROUND((_15_同援日１．０*_15・通訳),0)*(1+_15・A夜間)),0)*(1+_15・盲ろう)),0)*(1+_15・区４)),0)+ROUND((ROUND((ROUND((ROUND((_15_同援日１．０＿１．５*_15・通訳),0)*(1+_15・B深夜)),0)*(1+_15・盲ろう)),0)*(1+_15・区４)),0)</f>
        <v>1215</v>
      </c>
      <c r="AC101" s="48"/>
    </row>
    <row r="102" spans="1:29" ht="16.5" customHeight="1" x14ac:dyDescent="0.15">
      <c r="A102" s="41">
        <v>15</v>
      </c>
      <c r="B102" s="41" t="s">
        <v>27938</v>
      </c>
      <c r="C102" s="74" t="s">
        <v>27939</v>
      </c>
      <c r="D102" s="72"/>
      <c r="F102" s="57"/>
      <c r="G102" s="122"/>
      <c r="H102" s="37"/>
      <c r="I102" s="79"/>
      <c r="J102" s="35"/>
      <c r="M102" s="299" t="s">
        <v>17556</v>
      </c>
      <c r="N102" s="45" t="s">
        <v>398</v>
      </c>
      <c r="O102" s="46">
        <v>1</v>
      </c>
      <c r="P102" s="512"/>
      <c r="Q102" s="57"/>
      <c r="R102" s="512"/>
      <c r="S102" s="57"/>
      <c r="T102" s="122" t="s">
        <v>17564</v>
      </c>
      <c r="U102" s="37" t="s">
        <v>398</v>
      </c>
      <c r="V102" s="38">
        <v>0.25</v>
      </c>
      <c r="W102" s="79" t="s">
        <v>3575</v>
      </c>
      <c r="X102" s="122"/>
      <c r="Y102" s="37"/>
      <c r="Z102" s="38"/>
      <c r="AA102" s="79"/>
      <c r="AB102" s="208">
        <f>ROUND((ROUND((ROUND((ROUND((ROUND((_15_同援日１．０*_15・通訳),0)*_15・２人),0)*(1+_15・A夜間)),0)*(1+_15・盲ろう)),0)*(1+_15・区４)),0)+ROUND((ROUND((ROUND((ROUND((ROUND((_15_同援日１．０＿１．５*_15・通訳),0)*_15・２人),0)*(1+_15・B深夜)),0)*(1+_15・盲ろう)),0)*(1+_15・区４)),0)</f>
        <v>1215</v>
      </c>
      <c r="AC102" s="48"/>
    </row>
    <row r="103" spans="1:29" ht="16.5" customHeight="1" x14ac:dyDescent="0.15">
      <c r="A103" s="41">
        <v>15</v>
      </c>
      <c r="B103" s="41" t="s">
        <v>27940</v>
      </c>
      <c r="C103" s="74" t="s">
        <v>27941</v>
      </c>
      <c r="D103" s="72"/>
      <c r="F103" s="57"/>
      <c r="G103" s="114" t="s">
        <v>20032</v>
      </c>
      <c r="H103" s="49"/>
      <c r="I103" s="115"/>
      <c r="J103" s="35"/>
      <c r="M103" s="299"/>
      <c r="N103" s="45"/>
      <c r="O103" s="46"/>
      <c r="P103" s="512"/>
      <c r="Q103" s="57"/>
      <c r="R103" s="512"/>
      <c r="S103" s="57"/>
      <c r="T103" s="114"/>
      <c r="U103" s="49"/>
      <c r="V103" s="50"/>
      <c r="W103" s="115"/>
      <c r="X103" s="114"/>
      <c r="Y103" s="49"/>
      <c r="Z103" s="50"/>
      <c r="AA103" s="115"/>
      <c r="AB103" s="208">
        <f>ROUND((ROUND((_15_同援日１．０*_15・通訳),0)*(1+_15・A夜間)),0)+ROUND((ROUND((_15_同援日１．０＿２．０*_15・通訳),0)*(1+_15・B深夜)),0)</f>
        <v>781</v>
      </c>
      <c r="AC103" s="48"/>
    </row>
    <row r="104" spans="1:29" ht="16.5" customHeight="1" x14ac:dyDescent="0.15">
      <c r="A104" s="41">
        <v>15</v>
      </c>
      <c r="B104" s="41" t="s">
        <v>27942</v>
      </c>
      <c r="C104" s="74" t="s">
        <v>27943</v>
      </c>
      <c r="D104" s="72"/>
      <c r="F104" s="57"/>
      <c r="G104" s="72" t="s">
        <v>17643</v>
      </c>
      <c r="I104" s="57"/>
      <c r="J104" s="35"/>
      <c r="M104" s="299" t="s">
        <v>17556</v>
      </c>
      <c r="N104" s="45" t="s">
        <v>398</v>
      </c>
      <c r="O104" s="46">
        <v>1</v>
      </c>
      <c r="P104" s="512"/>
      <c r="Q104" s="57"/>
      <c r="R104" s="512"/>
      <c r="S104" s="57"/>
      <c r="T104" s="122"/>
      <c r="U104" s="37"/>
      <c r="V104" s="38"/>
      <c r="W104" s="79"/>
      <c r="X104" s="72"/>
      <c r="AA104" s="57"/>
      <c r="AB104" s="208">
        <f>ROUND((ROUND((ROUND((_15_同援日１．０*_15・通訳),0)*_15・２人),0)*(1+_15・A夜間)),0)+ROUND((ROUND((ROUND((_15_同援日１．０＿２．０*_15・通訳),0)*_15・２人),0)*(1+_15・B深夜)),0)</f>
        <v>781</v>
      </c>
      <c r="AC104" s="48"/>
    </row>
    <row r="105" spans="1:29" ht="16.5" customHeight="1" x14ac:dyDescent="0.15">
      <c r="A105" s="41">
        <v>15</v>
      </c>
      <c r="B105" s="41" t="s">
        <v>3213</v>
      </c>
      <c r="C105" s="74" t="s">
        <v>27944</v>
      </c>
      <c r="D105" s="72"/>
      <c r="F105" s="57"/>
      <c r="G105" s="72" t="s">
        <v>17645</v>
      </c>
      <c r="I105" s="57"/>
      <c r="J105" s="35"/>
      <c r="M105" s="299"/>
      <c r="N105" s="45"/>
      <c r="O105" s="46"/>
      <c r="P105" s="512"/>
      <c r="Q105" s="57"/>
      <c r="R105" s="512"/>
      <c r="S105" s="57"/>
      <c r="T105" s="114" t="s">
        <v>17562</v>
      </c>
      <c r="U105" s="49"/>
      <c r="V105" s="50"/>
      <c r="W105" s="115"/>
      <c r="X105" s="72"/>
      <c r="AA105" s="57"/>
      <c r="AB105" s="208">
        <f>ROUND((ROUND((ROUND((_15_同援日１．０*_15・通訳),0)*(1+_15・A夜間)),0)*(1+_15・盲ろう)),0)+ROUND((ROUND((ROUND((_15_同援日１．０＿２．０*_15・通訳),0)*(1+_15・B深夜)),0)*(1+_15・盲ろう)),0)</f>
        <v>977</v>
      </c>
      <c r="AC105" s="48"/>
    </row>
    <row r="106" spans="1:29" ht="16.5" customHeight="1" x14ac:dyDescent="0.15">
      <c r="A106" s="41">
        <v>15</v>
      </c>
      <c r="B106" s="41" t="s">
        <v>3215</v>
      </c>
      <c r="C106" s="74" t="s">
        <v>27945</v>
      </c>
      <c r="D106" s="72"/>
      <c r="F106" s="57"/>
      <c r="G106" s="72"/>
      <c r="H106" s="168">
        <f>_15_同援日１．０＿２．０</f>
        <v>328</v>
      </c>
      <c r="I106" s="57" t="s">
        <v>392</v>
      </c>
      <c r="J106" s="35"/>
      <c r="M106" s="299" t="s">
        <v>17556</v>
      </c>
      <c r="N106" s="45" t="s">
        <v>398</v>
      </c>
      <c r="O106" s="46">
        <v>1</v>
      </c>
      <c r="P106" s="512"/>
      <c r="Q106" s="57"/>
      <c r="R106" s="512"/>
      <c r="S106" s="57"/>
      <c r="T106" s="122" t="s">
        <v>17564</v>
      </c>
      <c r="U106" s="37" t="s">
        <v>398</v>
      </c>
      <c r="V106" s="38">
        <v>0.25</v>
      </c>
      <c r="W106" s="79" t="s">
        <v>3575</v>
      </c>
      <c r="X106" s="122"/>
      <c r="Y106" s="37"/>
      <c r="Z106" s="38"/>
      <c r="AA106" s="79"/>
      <c r="AB106" s="208">
        <f>ROUND((ROUND((ROUND((ROUND((_15_同援日１．０*_15・通訳),0)*_15・２人),0)*(1+_15・A夜間)),0)*(1+_15・盲ろう)),0)+ROUND((ROUND((ROUND((ROUND((_15_同援日１．０＿２．０*_15・通訳),0)*_15・２人),0)*(1+_15・B深夜)),0)*(1+_15・盲ろう)),0)</f>
        <v>977</v>
      </c>
      <c r="AC106" s="48"/>
    </row>
    <row r="107" spans="1:29" ht="16.5" customHeight="1" x14ac:dyDescent="0.15">
      <c r="A107" s="41">
        <v>15</v>
      </c>
      <c r="B107" s="41" t="s">
        <v>3217</v>
      </c>
      <c r="C107" s="74" t="s">
        <v>27946</v>
      </c>
      <c r="D107" s="72"/>
      <c r="F107" s="57"/>
      <c r="G107" s="72"/>
      <c r="I107" s="57"/>
      <c r="J107" s="35"/>
      <c r="M107" s="299"/>
      <c r="N107" s="45"/>
      <c r="O107" s="46"/>
      <c r="P107" s="512"/>
      <c r="Q107" s="57"/>
      <c r="R107" s="512"/>
      <c r="S107" s="57"/>
      <c r="T107" s="114"/>
      <c r="U107" s="49"/>
      <c r="V107" s="50"/>
      <c r="W107" s="115"/>
      <c r="X107" s="114" t="s">
        <v>17570</v>
      </c>
      <c r="Y107" s="49"/>
      <c r="Z107" s="50"/>
      <c r="AA107" s="115"/>
      <c r="AB107" s="208">
        <f>ROUND((ROUND((ROUND((_15_同援日１．０*_15・通訳),0)*(1+_15・A夜間)),0)*(1+_15・区３)),0)+ROUND((ROUND((ROUND((_15_同援日１．０＿２．０*_15・通訳),0)*(1+_15・B深夜)),0)*(1+_15・区３)),0)</f>
        <v>938</v>
      </c>
      <c r="AC107" s="48"/>
    </row>
    <row r="108" spans="1:29" ht="16.5" customHeight="1" x14ac:dyDescent="0.15">
      <c r="A108" s="41">
        <v>15</v>
      </c>
      <c r="B108" s="41" t="s">
        <v>3219</v>
      </c>
      <c r="C108" s="74" t="s">
        <v>27947</v>
      </c>
      <c r="D108" s="72"/>
      <c r="F108" s="57"/>
      <c r="G108" s="72"/>
      <c r="I108" s="57"/>
      <c r="J108" s="35"/>
      <c r="M108" s="299" t="s">
        <v>17556</v>
      </c>
      <c r="N108" s="45" t="s">
        <v>398</v>
      </c>
      <c r="O108" s="46">
        <v>1</v>
      </c>
      <c r="P108" s="512"/>
      <c r="Q108" s="57"/>
      <c r="R108" s="512"/>
      <c r="S108" s="57"/>
      <c r="T108" s="122"/>
      <c r="U108" s="37"/>
      <c r="V108" s="38"/>
      <c r="W108" s="79"/>
      <c r="X108" s="72" t="s">
        <v>17572</v>
      </c>
      <c r="AA108" s="57"/>
      <c r="AB108" s="208">
        <f>ROUND((ROUND((ROUND((ROUND((_15_同援日１．０*_15・通訳),0)*_15・２人),0)*(1+_15・A夜間)),0)*(1+_15・区３)),0)+ROUND((ROUND((ROUND((ROUND((_15_同援日１．０＿２．０*_15・通訳),0)*_15・２人),0)*(1+_15・B深夜)),0)*(1+_15・区３)),0)</f>
        <v>938</v>
      </c>
      <c r="AC108" s="48"/>
    </row>
    <row r="109" spans="1:29" ht="16.5" customHeight="1" x14ac:dyDescent="0.15">
      <c r="A109" s="41">
        <v>15</v>
      </c>
      <c r="B109" s="41" t="s">
        <v>27948</v>
      </c>
      <c r="C109" s="74" t="s">
        <v>27949</v>
      </c>
      <c r="D109" s="72"/>
      <c r="F109" s="57"/>
      <c r="G109" s="72"/>
      <c r="I109" s="57"/>
      <c r="J109" s="35"/>
      <c r="M109" s="299"/>
      <c r="N109" s="45"/>
      <c r="O109" s="46"/>
      <c r="P109" s="512"/>
      <c r="Q109" s="57"/>
      <c r="R109" s="512"/>
      <c r="S109" s="57"/>
      <c r="T109" s="114" t="s">
        <v>17562</v>
      </c>
      <c r="U109" s="49"/>
      <c r="V109" s="50"/>
      <c r="W109" s="115"/>
      <c r="X109" s="72"/>
      <c r="Y109" s="12" t="s">
        <v>398</v>
      </c>
      <c r="Z109" s="13">
        <v>0.2</v>
      </c>
      <c r="AA109" s="57" t="s">
        <v>3575</v>
      </c>
      <c r="AB109" s="208">
        <f>ROUND((ROUND((ROUND((ROUND((_15_同援日１．０*_15・通訳),0)*(1+_15・A夜間)),0)*(1+_15・盲ろう)),0)*(1+_15・区３)),0)+ROUND((ROUND((ROUND((ROUND((_15_同援日１．０＿２．０*_15・通訳),0)*(1+_15・B深夜)),0)*(1+_15・盲ろう)),0)*(1+_15・区３)),0)</f>
        <v>1173</v>
      </c>
      <c r="AC109" s="48"/>
    </row>
    <row r="110" spans="1:29" ht="16.5" customHeight="1" x14ac:dyDescent="0.15">
      <c r="A110" s="41">
        <v>15</v>
      </c>
      <c r="B110" s="41" t="s">
        <v>27950</v>
      </c>
      <c r="C110" s="74" t="s">
        <v>27951</v>
      </c>
      <c r="D110" s="72"/>
      <c r="F110" s="57"/>
      <c r="G110" s="72"/>
      <c r="I110" s="57"/>
      <c r="J110" s="35"/>
      <c r="M110" s="299" t="s">
        <v>17556</v>
      </c>
      <c r="N110" s="45" t="s">
        <v>398</v>
      </c>
      <c r="O110" s="46">
        <v>1</v>
      </c>
      <c r="P110" s="512"/>
      <c r="Q110" s="57"/>
      <c r="R110" s="512"/>
      <c r="S110" s="57"/>
      <c r="T110" s="122" t="s">
        <v>17564</v>
      </c>
      <c r="U110" s="37" t="s">
        <v>398</v>
      </c>
      <c r="V110" s="38">
        <v>0.25</v>
      </c>
      <c r="W110" s="79" t="s">
        <v>3575</v>
      </c>
      <c r="X110" s="122"/>
      <c r="Y110" s="37"/>
      <c r="Z110" s="38"/>
      <c r="AA110" s="79"/>
      <c r="AB110" s="208">
        <f>ROUND((ROUND((ROUND((ROUND((ROUND((_15_同援日１．０*_15・通訳),0)*_15・２人),0)*(1+_15・A夜間)),0)*(1+_15・盲ろう)),0)*(1+_15・区３)),0)+ROUND((ROUND((ROUND((ROUND((ROUND((_15_同援日１．０＿２．０*_15・通訳),0)*_15・２人),0)*(1+_15・B深夜)),0)*(1+_15・盲ろう)),0)*(1+_15・区３)),0)</f>
        <v>1173</v>
      </c>
      <c r="AC110" s="48"/>
    </row>
    <row r="111" spans="1:29" ht="16.5" customHeight="1" x14ac:dyDescent="0.15">
      <c r="A111" s="41">
        <v>15</v>
      </c>
      <c r="B111" s="41" t="s">
        <v>27952</v>
      </c>
      <c r="C111" s="74" t="s">
        <v>27953</v>
      </c>
      <c r="D111" s="72"/>
      <c r="F111" s="57"/>
      <c r="G111" s="72"/>
      <c r="I111" s="57"/>
      <c r="J111" s="35"/>
      <c r="M111" s="299"/>
      <c r="N111" s="45"/>
      <c r="O111" s="46"/>
      <c r="P111" s="512"/>
      <c r="Q111" s="57"/>
      <c r="R111" s="512"/>
      <c r="S111" s="57"/>
      <c r="T111" s="114"/>
      <c r="U111" s="49"/>
      <c r="V111" s="50"/>
      <c r="W111" s="115"/>
      <c r="X111" s="114" t="s">
        <v>17580</v>
      </c>
      <c r="Y111" s="49"/>
      <c r="Z111" s="50"/>
      <c r="AA111" s="115"/>
      <c r="AB111" s="208">
        <f>ROUND((ROUND((ROUND((_15_同援日１．０*_15・通訳),0)*(1+_15・A夜間)),0)*(1+_15・区４)),0)+ROUND((ROUND((ROUND((_15_同援日１．０＿２．０*_15・通訳),0)*(1+_15・B深夜)),0)*(1+_15・区４)),0)</f>
        <v>1093</v>
      </c>
      <c r="AC111" s="48"/>
    </row>
    <row r="112" spans="1:29" ht="16.5" customHeight="1" x14ac:dyDescent="0.15">
      <c r="A112" s="41">
        <v>15</v>
      </c>
      <c r="B112" s="41" t="s">
        <v>27954</v>
      </c>
      <c r="C112" s="74" t="s">
        <v>27955</v>
      </c>
      <c r="D112" s="72"/>
      <c r="F112" s="57"/>
      <c r="G112" s="72"/>
      <c r="I112" s="57"/>
      <c r="J112" s="35"/>
      <c r="M112" s="299" t="s">
        <v>17556</v>
      </c>
      <c r="N112" s="45" t="s">
        <v>398</v>
      </c>
      <c r="O112" s="46">
        <v>1</v>
      </c>
      <c r="P112" s="512"/>
      <c r="Q112" s="57"/>
      <c r="R112" s="512"/>
      <c r="S112" s="57"/>
      <c r="T112" s="122"/>
      <c r="U112" s="37"/>
      <c r="V112" s="38"/>
      <c r="W112" s="79"/>
      <c r="X112" s="72" t="s">
        <v>17572</v>
      </c>
      <c r="AA112" s="57"/>
      <c r="AB112" s="208">
        <f>ROUND((ROUND((ROUND((ROUND((_15_同援日１．０*_15・通訳),0)*_15・２人),0)*(1+_15・A夜間)),0)*(1+_15・区４)),0)+ROUND((ROUND((ROUND((ROUND((_15_同援日１．０＿２．０*_15・通訳),0)*_15・２人),0)*(1+_15・B深夜)),0)*(1+_15・区４)),0)</f>
        <v>1093</v>
      </c>
      <c r="AC112" s="48"/>
    </row>
    <row r="113" spans="1:29" ht="16.5" customHeight="1" x14ac:dyDescent="0.15">
      <c r="A113" s="41">
        <v>15</v>
      </c>
      <c r="B113" s="41" t="s">
        <v>27956</v>
      </c>
      <c r="C113" s="74" t="s">
        <v>27957</v>
      </c>
      <c r="D113" s="72"/>
      <c r="F113" s="57"/>
      <c r="G113" s="72"/>
      <c r="I113" s="57"/>
      <c r="J113" s="35"/>
      <c r="M113" s="299"/>
      <c r="N113" s="45"/>
      <c r="O113" s="46"/>
      <c r="P113" s="512"/>
      <c r="Q113" s="57"/>
      <c r="R113" s="512"/>
      <c r="S113" s="57"/>
      <c r="T113" s="114" t="s">
        <v>17562</v>
      </c>
      <c r="U113" s="49"/>
      <c r="V113" s="50"/>
      <c r="W113" s="115"/>
      <c r="X113" s="72"/>
      <c r="Y113" s="12" t="s">
        <v>398</v>
      </c>
      <c r="Z113" s="13">
        <v>0.4</v>
      </c>
      <c r="AA113" s="57" t="s">
        <v>3575</v>
      </c>
      <c r="AB113" s="208">
        <f>ROUND((ROUND((ROUND((ROUND((_15_同援日１．０*_15・通訳),0)*(1+_15・A夜間)),0)*(1+_15・盲ろう)),0)*(1+_15・区４)),0)+ROUND((ROUND((ROUND((ROUND((_15_同援日１．０＿２．０*_15・通訳),0)*(1+_15・B深夜)),0)*(1+_15・盲ろう)),0)*(1+_15・区４)),0)</f>
        <v>1368</v>
      </c>
      <c r="AC113" s="48"/>
    </row>
    <row r="114" spans="1:29" ht="16.5" customHeight="1" x14ac:dyDescent="0.15">
      <c r="A114" s="41">
        <v>15</v>
      </c>
      <c r="B114" s="41" t="s">
        <v>27958</v>
      </c>
      <c r="C114" s="74" t="s">
        <v>27959</v>
      </c>
      <c r="D114" s="122"/>
      <c r="E114" s="37"/>
      <c r="F114" s="79"/>
      <c r="G114" s="122"/>
      <c r="H114" s="37"/>
      <c r="I114" s="79"/>
      <c r="J114" s="43"/>
      <c r="K114" s="37"/>
      <c r="L114" s="38"/>
      <c r="M114" s="299" t="s">
        <v>17556</v>
      </c>
      <c r="N114" s="45" t="s">
        <v>398</v>
      </c>
      <c r="O114" s="46">
        <v>1</v>
      </c>
      <c r="P114" s="514"/>
      <c r="Q114" s="79"/>
      <c r="R114" s="514"/>
      <c r="S114" s="79"/>
      <c r="T114" s="122" t="s">
        <v>17564</v>
      </c>
      <c r="U114" s="37" t="s">
        <v>398</v>
      </c>
      <c r="V114" s="38">
        <v>0.25</v>
      </c>
      <c r="W114" s="79" t="s">
        <v>3575</v>
      </c>
      <c r="X114" s="122"/>
      <c r="Y114" s="37"/>
      <c r="Z114" s="38"/>
      <c r="AA114" s="79"/>
      <c r="AB114" s="208">
        <f>ROUND((ROUND((ROUND((ROUND((ROUND((_15_同援日１．０*_15・通訳),0)*_15・２人),0)*(1+_15・A夜間)),0)*(1+_15・盲ろう)),0)*(1+_15・区４)),0)+ROUND((ROUND((ROUND((ROUND((ROUND((_15_同援日１．０＿２．０*_15・通訳),0)*_15・２人),0)*(1+_15・B深夜)),0)*(1+_15・盲ろう)),0)*(1+_15・区４)),0)</f>
        <v>1368</v>
      </c>
      <c r="AC114" s="63"/>
    </row>
    <row r="115" spans="1:29" ht="16.5" customHeight="1" x14ac:dyDescent="0.15">
      <c r="A115" s="41">
        <v>15</v>
      </c>
      <c r="B115" s="41" t="s">
        <v>27960</v>
      </c>
      <c r="C115" s="74" t="s">
        <v>27961</v>
      </c>
      <c r="D115" s="114" t="s">
        <v>18309</v>
      </c>
      <c r="E115" s="49"/>
      <c r="F115" s="115"/>
      <c r="G115" s="114" t="s">
        <v>19945</v>
      </c>
      <c r="H115" s="49"/>
      <c r="I115" s="115"/>
      <c r="J115" s="53"/>
      <c r="K115" s="49"/>
      <c r="L115" s="50"/>
      <c r="M115" s="299"/>
      <c r="N115" s="45"/>
      <c r="O115" s="46"/>
      <c r="P115" s="515"/>
      <c r="Q115" s="115"/>
      <c r="R115" s="515"/>
      <c r="S115" s="115"/>
      <c r="T115" s="114"/>
      <c r="U115" s="49"/>
      <c r="V115" s="50"/>
      <c r="W115" s="115"/>
      <c r="X115" s="114"/>
      <c r="Y115" s="49"/>
      <c r="Z115" s="50"/>
      <c r="AA115" s="115"/>
      <c r="AB115" s="208">
        <f>ROUND((ROUND((_15_同援日１．５*_15・通訳),0)*(1+_15・A夜間)),0)+ROUND((ROUND((_15_同援日１．５＿０．５*_15・通訳),0)*(1+_15・B深夜)),0)</f>
        <v>577</v>
      </c>
      <c r="AC115" s="64"/>
    </row>
    <row r="116" spans="1:29" ht="16.5" customHeight="1" x14ac:dyDescent="0.15">
      <c r="A116" s="41">
        <v>15</v>
      </c>
      <c r="B116" s="41" t="s">
        <v>27962</v>
      </c>
      <c r="C116" s="74" t="s">
        <v>27963</v>
      </c>
      <c r="D116" s="72" t="s">
        <v>17616</v>
      </c>
      <c r="F116" s="57"/>
      <c r="G116" s="72" t="s">
        <v>18259</v>
      </c>
      <c r="I116" s="57"/>
      <c r="J116" s="35"/>
      <c r="M116" s="299" t="s">
        <v>17556</v>
      </c>
      <c r="N116" s="45" t="s">
        <v>398</v>
      </c>
      <c r="O116" s="46">
        <v>1</v>
      </c>
      <c r="P116" s="512"/>
      <c r="Q116" s="57"/>
      <c r="R116" s="512"/>
      <c r="S116" s="57"/>
      <c r="T116" s="122"/>
      <c r="U116" s="37"/>
      <c r="V116" s="38"/>
      <c r="W116" s="79"/>
      <c r="X116" s="72"/>
      <c r="AA116" s="57"/>
      <c r="AB116" s="208">
        <f>ROUND((ROUND((ROUND((_15_同援日１．５*_15・通訳),0)*_15・２人),0)*(1+_15・A夜間)),0)+ROUND((ROUND((ROUND((_15_同援日１．５＿０．５*_15・通訳),0)*_15・２人),0)*(1+_15・B深夜)),0)</f>
        <v>577</v>
      </c>
      <c r="AC116" s="48"/>
    </row>
    <row r="117" spans="1:29" ht="16.5" customHeight="1" x14ac:dyDescent="0.15">
      <c r="A117" s="41">
        <v>15</v>
      </c>
      <c r="B117" s="41" t="s">
        <v>27964</v>
      </c>
      <c r="C117" s="74" t="s">
        <v>27965</v>
      </c>
      <c r="D117" s="72" t="s">
        <v>18183</v>
      </c>
      <c r="F117" s="57"/>
      <c r="G117" s="72"/>
      <c r="I117" s="57"/>
      <c r="J117" s="35"/>
      <c r="M117" s="299"/>
      <c r="N117" s="45"/>
      <c r="O117" s="46"/>
      <c r="P117" s="512"/>
      <c r="Q117" s="57"/>
      <c r="R117" s="512"/>
      <c r="S117" s="57"/>
      <c r="T117" s="114" t="s">
        <v>17562</v>
      </c>
      <c r="U117" s="49"/>
      <c r="V117" s="50"/>
      <c r="W117" s="115"/>
      <c r="X117" s="72"/>
      <c r="AA117" s="57"/>
      <c r="AB117" s="208">
        <f>ROUND((ROUND((ROUND((_15_同援日１．５*_15・通訳),0)*(1+_15・A夜間)),0)*(1+_15・盲ろう)),0)+ROUND((ROUND((ROUND((_15_同援日１．５＿０．５*_15・通訳),0)*(1+_15・B深夜)),0)*(1+_15・盲ろう)),0)</f>
        <v>721</v>
      </c>
      <c r="AC117" s="48"/>
    </row>
    <row r="118" spans="1:29" ht="16.5" customHeight="1" x14ac:dyDescent="0.15">
      <c r="A118" s="41">
        <v>15</v>
      </c>
      <c r="B118" s="41" t="s">
        <v>27966</v>
      </c>
      <c r="C118" s="74" t="s">
        <v>27967</v>
      </c>
      <c r="D118" s="72"/>
      <c r="E118" s="168">
        <f>_15_同援日１．５</f>
        <v>433</v>
      </c>
      <c r="F118" s="57" t="s">
        <v>392</v>
      </c>
      <c r="G118" s="72"/>
      <c r="H118" s="168">
        <f>_15_同援日１．５＿０．５</f>
        <v>65</v>
      </c>
      <c r="I118" s="57" t="s">
        <v>392</v>
      </c>
      <c r="J118" s="35"/>
      <c r="M118" s="299" t="s">
        <v>17556</v>
      </c>
      <c r="N118" s="45" t="s">
        <v>398</v>
      </c>
      <c r="O118" s="46">
        <v>1</v>
      </c>
      <c r="P118" s="512"/>
      <c r="Q118" s="57"/>
      <c r="R118" s="512"/>
      <c r="S118" s="57"/>
      <c r="T118" s="122" t="s">
        <v>17564</v>
      </c>
      <c r="U118" s="37" t="s">
        <v>398</v>
      </c>
      <c r="V118" s="38">
        <v>0.25</v>
      </c>
      <c r="W118" s="79" t="s">
        <v>3575</v>
      </c>
      <c r="X118" s="122"/>
      <c r="Y118" s="37"/>
      <c r="Z118" s="38"/>
      <c r="AA118" s="79"/>
      <c r="AB118" s="208">
        <f>ROUND((ROUND((ROUND((ROUND((_15_同援日１．５*_15・通訳),0)*_15・２人),0)*(1+_15・A夜間)),0)*(1+_15・盲ろう)),0)+ROUND((ROUND((ROUND((ROUND((_15_同援日１．５＿０．５*_15・通訳),0)*_15・２人),0)*(1+_15・B深夜)),0)*(1+_15・盲ろう)),0)</f>
        <v>721</v>
      </c>
      <c r="AC118" s="48"/>
    </row>
    <row r="119" spans="1:29" ht="16.5" customHeight="1" x14ac:dyDescent="0.15">
      <c r="A119" s="41">
        <v>15</v>
      </c>
      <c r="B119" s="41" t="s">
        <v>27968</v>
      </c>
      <c r="C119" s="74" t="s">
        <v>27969</v>
      </c>
      <c r="D119" s="72"/>
      <c r="F119" s="57"/>
      <c r="G119" s="72"/>
      <c r="I119" s="57"/>
      <c r="J119" s="35"/>
      <c r="M119" s="299"/>
      <c r="N119" s="45"/>
      <c r="O119" s="46"/>
      <c r="P119" s="512"/>
      <c r="Q119" s="57"/>
      <c r="R119" s="512"/>
      <c r="S119" s="57"/>
      <c r="T119" s="114"/>
      <c r="U119" s="49"/>
      <c r="V119" s="50"/>
      <c r="W119" s="115"/>
      <c r="X119" s="114" t="s">
        <v>17570</v>
      </c>
      <c r="Y119" s="49"/>
      <c r="Z119" s="50"/>
      <c r="AA119" s="115"/>
      <c r="AB119" s="208">
        <f>ROUND((ROUND((ROUND((_15_同援日１．５*_15・通訳),0)*(1+_15・A夜間)),0)*(1+_15・区３)),0)+ROUND((ROUND((ROUND((_15_同援日１．５＿０．５*_15・通訳),0)*(1+_15・B深夜)),0)*(1+_15・区３)),0)</f>
        <v>693</v>
      </c>
      <c r="AC119" s="48"/>
    </row>
    <row r="120" spans="1:29" ht="16.5" customHeight="1" x14ac:dyDescent="0.15">
      <c r="A120" s="41">
        <v>15</v>
      </c>
      <c r="B120" s="41" t="s">
        <v>27970</v>
      </c>
      <c r="C120" s="74" t="s">
        <v>27971</v>
      </c>
      <c r="D120" s="72"/>
      <c r="F120" s="57"/>
      <c r="G120" s="72"/>
      <c r="I120" s="57"/>
      <c r="J120" s="35"/>
      <c r="M120" s="299" t="s">
        <v>17556</v>
      </c>
      <c r="N120" s="45" t="s">
        <v>398</v>
      </c>
      <c r="O120" s="46">
        <v>1</v>
      </c>
      <c r="P120" s="512"/>
      <c r="Q120" s="57"/>
      <c r="R120" s="512"/>
      <c r="S120" s="57"/>
      <c r="T120" s="122"/>
      <c r="U120" s="37"/>
      <c r="V120" s="38"/>
      <c r="W120" s="79"/>
      <c r="X120" s="72" t="s">
        <v>17572</v>
      </c>
      <c r="AA120" s="57"/>
      <c r="AB120" s="208">
        <f>ROUND((ROUND((ROUND((ROUND((_15_同援日１．５*_15・通訳),0)*_15・２人),0)*(1+_15・A夜間)),0)*(1+_15・区３)),0)+ROUND((ROUND((ROUND((ROUND((_15_同援日１．５＿０．５*_15・通訳),0)*_15・２人),0)*(1+_15・B深夜)),0)*(1+_15・区３)),0)</f>
        <v>693</v>
      </c>
      <c r="AC120" s="48"/>
    </row>
    <row r="121" spans="1:29" ht="16.5" customHeight="1" x14ac:dyDescent="0.15">
      <c r="A121" s="41">
        <v>15</v>
      </c>
      <c r="B121" s="41" t="s">
        <v>27972</v>
      </c>
      <c r="C121" s="74" t="s">
        <v>27973</v>
      </c>
      <c r="D121" s="72"/>
      <c r="F121" s="57"/>
      <c r="G121" s="72"/>
      <c r="I121" s="57"/>
      <c r="J121" s="35"/>
      <c r="M121" s="299"/>
      <c r="N121" s="45"/>
      <c r="O121" s="46"/>
      <c r="P121" s="512"/>
      <c r="Q121" s="57"/>
      <c r="R121" s="512"/>
      <c r="S121" s="57"/>
      <c r="T121" s="114" t="s">
        <v>17562</v>
      </c>
      <c r="U121" s="49"/>
      <c r="V121" s="50"/>
      <c r="W121" s="115"/>
      <c r="X121" s="72"/>
      <c r="Y121" s="12" t="s">
        <v>398</v>
      </c>
      <c r="Z121" s="13">
        <v>0.2</v>
      </c>
      <c r="AA121" s="57" t="s">
        <v>3575</v>
      </c>
      <c r="AB121" s="208">
        <f>ROUND((ROUND((ROUND((ROUND((_15_同援日１．５*_15・通訳),0)*(1+_15・A夜間)),0)*(1+_15・盲ろう)),0)*(1+_15・区３)),0)+ROUND((ROUND((ROUND((ROUND((_15_同援日１．５＿０．５*_15・通訳),0)*(1+_15・B深夜)),0)*(1+_15・盲ろう)),0)*(1+_15・区３)),0)</f>
        <v>865</v>
      </c>
      <c r="AC121" s="48"/>
    </row>
    <row r="122" spans="1:29" ht="16.5" customHeight="1" x14ac:dyDescent="0.15">
      <c r="A122" s="41">
        <v>15</v>
      </c>
      <c r="B122" s="41" t="s">
        <v>27974</v>
      </c>
      <c r="C122" s="74" t="s">
        <v>27975</v>
      </c>
      <c r="D122" s="72"/>
      <c r="F122" s="57"/>
      <c r="G122" s="72"/>
      <c r="I122" s="57"/>
      <c r="J122" s="35"/>
      <c r="M122" s="299" t="s">
        <v>17556</v>
      </c>
      <c r="N122" s="45" t="s">
        <v>398</v>
      </c>
      <c r="O122" s="46">
        <v>1</v>
      </c>
      <c r="P122" s="512"/>
      <c r="Q122" s="57"/>
      <c r="R122" s="512"/>
      <c r="S122" s="57"/>
      <c r="T122" s="122" t="s">
        <v>17564</v>
      </c>
      <c r="U122" s="37" t="s">
        <v>398</v>
      </c>
      <c r="V122" s="38">
        <v>0.25</v>
      </c>
      <c r="W122" s="79" t="s">
        <v>3575</v>
      </c>
      <c r="X122" s="122"/>
      <c r="Y122" s="37"/>
      <c r="Z122" s="38"/>
      <c r="AA122" s="79"/>
      <c r="AB122" s="208">
        <f>ROUND((ROUND((ROUND((ROUND((ROUND((_15_同援日１．５*_15・通訳),0)*_15・２人),0)*(1+_15・A夜間)),0)*(1+_15・盲ろう)),0)*(1+_15・区３)),0)+ROUND((ROUND((ROUND((ROUND((ROUND((_15_同援日１．５＿０．５*_15・通訳),0)*_15・２人),0)*(1+_15・B深夜)),0)*(1+_15・盲ろう)),0)*(1+_15・区３)),0)</f>
        <v>865</v>
      </c>
      <c r="AC122" s="48"/>
    </row>
    <row r="123" spans="1:29" ht="16.5" customHeight="1" x14ac:dyDescent="0.15">
      <c r="A123" s="41">
        <v>15</v>
      </c>
      <c r="B123" s="41" t="s">
        <v>27976</v>
      </c>
      <c r="C123" s="74" t="s">
        <v>27977</v>
      </c>
      <c r="D123" s="72"/>
      <c r="F123" s="57"/>
      <c r="G123" s="72"/>
      <c r="I123" s="57"/>
      <c r="J123" s="35"/>
      <c r="M123" s="299"/>
      <c r="N123" s="45"/>
      <c r="O123" s="46"/>
      <c r="P123" s="512"/>
      <c r="Q123" s="57"/>
      <c r="R123" s="512"/>
      <c r="S123" s="57"/>
      <c r="T123" s="114"/>
      <c r="U123" s="49"/>
      <c r="V123" s="50"/>
      <c r="W123" s="115"/>
      <c r="X123" s="114" t="s">
        <v>17580</v>
      </c>
      <c r="Y123" s="49"/>
      <c r="Z123" s="50"/>
      <c r="AA123" s="115"/>
      <c r="AB123" s="208">
        <f>ROUND((ROUND((ROUND((_15_同援日１．５*_15・通訳),0)*(1+_15・A夜間)),0)*(1+_15・区４)),0)+ROUND((ROUND((ROUND((_15_同援日１．５＿０．５*_15・通訳),0)*(1+_15・B深夜)),0)*(1+_15・区４)),0)</f>
        <v>808</v>
      </c>
      <c r="AC123" s="48"/>
    </row>
    <row r="124" spans="1:29" ht="16.5" customHeight="1" x14ac:dyDescent="0.15">
      <c r="A124" s="41">
        <v>15</v>
      </c>
      <c r="B124" s="41" t="s">
        <v>27978</v>
      </c>
      <c r="C124" s="74" t="s">
        <v>27979</v>
      </c>
      <c r="D124" s="72"/>
      <c r="F124" s="57"/>
      <c r="G124" s="72"/>
      <c r="I124" s="57"/>
      <c r="J124" s="35"/>
      <c r="M124" s="299" t="s">
        <v>17556</v>
      </c>
      <c r="N124" s="45" t="s">
        <v>398</v>
      </c>
      <c r="O124" s="46">
        <v>1</v>
      </c>
      <c r="P124" s="512"/>
      <c r="Q124" s="57"/>
      <c r="R124" s="512"/>
      <c r="S124" s="57"/>
      <c r="T124" s="122"/>
      <c r="U124" s="37"/>
      <c r="V124" s="38"/>
      <c r="W124" s="79"/>
      <c r="X124" s="72" t="s">
        <v>17572</v>
      </c>
      <c r="AA124" s="57"/>
      <c r="AB124" s="208">
        <f>ROUND((ROUND((ROUND((ROUND((_15_同援日１．５*_15・通訳),0)*_15・２人),0)*(1+_15・A夜間)),0)*(1+_15・区４)),0)+ROUND((ROUND((ROUND((ROUND((_15_同援日１．５＿０．５*_15・通訳),0)*_15・２人),0)*(1+_15・B深夜)),0)*(1+_15・区４)),0)</f>
        <v>808</v>
      </c>
      <c r="AC124" s="48"/>
    </row>
    <row r="125" spans="1:29" ht="16.5" customHeight="1" x14ac:dyDescent="0.15">
      <c r="A125" s="41">
        <v>15</v>
      </c>
      <c r="B125" s="41" t="s">
        <v>3225</v>
      </c>
      <c r="C125" s="74" t="s">
        <v>27980</v>
      </c>
      <c r="D125" s="72"/>
      <c r="F125" s="57"/>
      <c r="G125" s="72"/>
      <c r="I125" s="57"/>
      <c r="J125" s="35"/>
      <c r="M125" s="299"/>
      <c r="N125" s="45"/>
      <c r="O125" s="46"/>
      <c r="P125" s="512"/>
      <c r="Q125" s="57"/>
      <c r="R125" s="512"/>
      <c r="S125" s="57"/>
      <c r="T125" s="114" t="s">
        <v>17562</v>
      </c>
      <c r="U125" s="49"/>
      <c r="V125" s="50"/>
      <c r="W125" s="115"/>
      <c r="X125" s="72"/>
      <c r="Y125" s="12" t="s">
        <v>398</v>
      </c>
      <c r="Z125" s="13">
        <v>0.4</v>
      </c>
      <c r="AA125" s="57" t="s">
        <v>3575</v>
      </c>
      <c r="AB125" s="208">
        <f>ROUND((ROUND((ROUND((ROUND((_15_同援日１．５*_15・通訳),0)*(1+_15・A夜間)),0)*(1+_15・盲ろう)),0)*(1+_15・区４)),0)+ROUND((ROUND((ROUND((ROUND((_15_同援日１．５＿０．５*_15・通訳),0)*(1+_15・B深夜)),0)*(1+_15・盲ろう)),0)*(1+_15・区４)),0)</f>
        <v>1009</v>
      </c>
      <c r="AC125" s="48"/>
    </row>
    <row r="126" spans="1:29" ht="16.5" customHeight="1" x14ac:dyDescent="0.15">
      <c r="A126" s="41">
        <v>15</v>
      </c>
      <c r="B126" s="41" t="s">
        <v>3227</v>
      </c>
      <c r="C126" s="74" t="s">
        <v>27981</v>
      </c>
      <c r="D126" s="72"/>
      <c r="F126" s="57"/>
      <c r="G126" s="122"/>
      <c r="H126" s="37"/>
      <c r="I126" s="79"/>
      <c r="J126" s="35"/>
      <c r="M126" s="299" t="s">
        <v>17556</v>
      </c>
      <c r="N126" s="45" t="s">
        <v>398</v>
      </c>
      <c r="O126" s="46">
        <v>1</v>
      </c>
      <c r="P126" s="512"/>
      <c r="Q126" s="57"/>
      <c r="R126" s="512"/>
      <c r="S126" s="57"/>
      <c r="T126" s="122" t="s">
        <v>17564</v>
      </c>
      <c r="U126" s="37" t="s">
        <v>398</v>
      </c>
      <c r="V126" s="38">
        <v>0.25</v>
      </c>
      <c r="W126" s="79" t="s">
        <v>3575</v>
      </c>
      <c r="X126" s="122"/>
      <c r="Y126" s="37"/>
      <c r="Z126" s="38"/>
      <c r="AA126" s="79"/>
      <c r="AB126" s="208">
        <f>ROUND((ROUND((ROUND((ROUND((ROUND((_15_同援日１．５*_15・通訳),0)*_15・２人),0)*(1+_15・A夜間)),0)*(1+_15・盲ろう)),0)*(1+_15・区４)),0)+ROUND((ROUND((ROUND((ROUND((ROUND((_15_同援日１．５＿０．５*_15・通訳),0)*_15・２人),0)*(1+_15・B深夜)),0)*(1+_15・盲ろう)),0)*(1+_15・区４)),0)</f>
        <v>1009</v>
      </c>
      <c r="AC126" s="48"/>
    </row>
    <row r="127" spans="1:29" ht="16.5" customHeight="1" x14ac:dyDescent="0.15">
      <c r="A127" s="41">
        <v>15</v>
      </c>
      <c r="B127" s="41" t="s">
        <v>3229</v>
      </c>
      <c r="C127" s="74" t="s">
        <v>27982</v>
      </c>
      <c r="D127" s="72"/>
      <c r="F127" s="57"/>
      <c r="G127" s="114" t="s">
        <v>19970</v>
      </c>
      <c r="H127" s="49"/>
      <c r="I127" s="115"/>
      <c r="J127" s="35"/>
      <c r="M127" s="299"/>
      <c r="N127" s="45"/>
      <c r="O127" s="46"/>
      <c r="P127" s="512"/>
      <c r="Q127" s="57"/>
      <c r="R127" s="512"/>
      <c r="S127" s="57"/>
      <c r="T127" s="114"/>
      <c r="U127" s="49"/>
      <c r="V127" s="50"/>
      <c r="W127" s="115"/>
      <c r="X127" s="114"/>
      <c r="Y127" s="49"/>
      <c r="Z127" s="50"/>
      <c r="AA127" s="115"/>
      <c r="AB127" s="208">
        <f>ROUND((ROUND((_15_同援日１．５*_15・通訳),0)*(1+_15・A夜間)),0)+ROUND((ROUND((_15_同援日１．５＿１．０*_15・通訳),0)*(1+_15・B深夜)),0)</f>
        <v>664</v>
      </c>
      <c r="AC127" s="48"/>
    </row>
    <row r="128" spans="1:29" ht="16.5" customHeight="1" x14ac:dyDescent="0.15">
      <c r="A128" s="41">
        <v>15</v>
      </c>
      <c r="B128" s="41" t="s">
        <v>3231</v>
      </c>
      <c r="C128" s="74" t="s">
        <v>27983</v>
      </c>
      <c r="D128" s="72"/>
      <c r="F128" s="57"/>
      <c r="G128" s="72" t="s">
        <v>17589</v>
      </c>
      <c r="I128" s="57"/>
      <c r="J128" s="35"/>
      <c r="M128" s="299" t="s">
        <v>17556</v>
      </c>
      <c r="N128" s="45" t="s">
        <v>398</v>
      </c>
      <c r="O128" s="46">
        <v>1</v>
      </c>
      <c r="P128" s="512"/>
      <c r="Q128" s="57"/>
      <c r="R128" s="512"/>
      <c r="S128" s="57"/>
      <c r="T128" s="122"/>
      <c r="U128" s="37"/>
      <c r="V128" s="38"/>
      <c r="W128" s="79"/>
      <c r="X128" s="72"/>
      <c r="AA128" s="57"/>
      <c r="AB128" s="208">
        <f>ROUND((ROUND((ROUND((_15_同援日１．５*_15・通訳),0)*_15・２人),0)*(1+_15・A夜間)),0)+ROUND((ROUND((ROUND((_15_同援日１．５＿１．０*_15・通訳),0)*_15・２人),0)*(1+_15・B深夜)),0)</f>
        <v>664</v>
      </c>
      <c r="AC128" s="48"/>
    </row>
    <row r="129" spans="1:29" ht="16.5" customHeight="1" x14ac:dyDescent="0.15">
      <c r="A129" s="41">
        <v>15</v>
      </c>
      <c r="B129" s="41" t="s">
        <v>27984</v>
      </c>
      <c r="C129" s="74" t="s">
        <v>27985</v>
      </c>
      <c r="D129" s="72"/>
      <c r="F129" s="57"/>
      <c r="G129" s="72" t="s">
        <v>17591</v>
      </c>
      <c r="I129" s="57"/>
      <c r="J129" s="35"/>
      <c r="M129" s="299"/>
      <c r="N129" s="45"/>
      <c r="O129" s="46"/>
      <c r="P129" s="512"/>
      <c r="Q129" s="57"/>
      <c r="R129" s="512"/>
      <c r="S129" s="57"/>
      <c r="T129" s="114" t="s">
        <v>17562</v>
      </c>
      <c r="U129" s="49"/>
      <c r="V129" s="50"/>
      <c r="W129" s="115"/>
      <c r="X129" s="72"/>
      <c r="AA129" s="57"/>
      <c r="AB129" s="208">
        <f>ROUND((ROUND((ROUND((_15_同援日１．５*_15・通訳),0)*(1+_15・A夜間)),0)*(1+_15・盲ろう)),0)+ROUND((ROUND((ROUND((_15_同援日１．５＿１．０*_15・通訳),0)*(1+_15・B深夜)),0)*(1+_15・盲ろう)),0)</f>
        <v>830</v>
      </c>
      <c r="AC129" s="48"/>
    </row>
    <row r="130" spans="1:29" ht="16.5" customHeight="1" x14ac:dyDescent="0.15">
      <c r="A130" s="41">
        <v>15</v>
      </c>
      <c r="B130" s="41" t="s">
        <v>27986</v>
      </c>
      <c r="C130" s="74" t="s">
        <v>27987</v>
      </c>
      <c r="D130" s="72"/>
      <c r="F130" s="57"/>
      <c r="G130" s="72"/>
      <c r="H130" s="168">
        <f>_15_同援日１．５＿１．０</f>
        <v>130</v>
      </c>
      <c r="I130" s="57" t="s">
        <v>392</v>
      </c>
      <c r="J130" s="35"/>
      <c r="M130" s="299" t="s">
        <v>17556</v>
      </c>
      <c r="N130" s="45" t="s">
        <v>398</v>
      </c>
      <c r="O130" s="46">
        <v>1</v>
      </c>
      <c r="P130" s="512"/>
      <c r="Q130" s="57"/>
      <c r="R130" s="512"/>
      <c r="S130" s="57"/>
      <c r="T130" s="122" t="s">
        <v>17564</v>
      </c>
      <c r="U130" s="37" t="s">
        <v>398</v>
      </c>
      <c r="V130" s="38">
        <v>0.25</v>
      </c>
      <c r="W130" s="79" t="s">
        <v>3575</v>
      </c>
      <c r="X130" s="122"/>
      <c r="Y130" s="37"/>
      <c r="Z130" s="38"/>
      <c r="AA130" s="79"/>
      <c r="AB130" s="208">
        <f>ROUND((ROUND((ROUND((ROUND((_15_同援日１．５*_15・通訳),0)*_15・２人),0)*(1+_15・A夜間)),0)*(1+_15・盲ろう)),0)+ROUND((ROUND((ROUND((ROUND((_15_同援日１．５＿１．０*_15・通訳),0)*_15・２人),0)*(1+_15・B深夜)),0)*(1+_15・盲ろう)),0)</f>
        <v>830</v>
      </c>
      <c r="AC130" s="48"/>
    </row>
    <row r="131" spans="1:29" ht="16.5" customHeight="1" x14ac:dyDescent="0.15">
      <c r="A131" s="41">
        <v>15</v>
      </c>
      <c r="B131" s="41" t="s">
        <v>27988</v>
      </c>
      <c r="C131" s="74" t="s">
        <v>27989</v>
      </c>
      <c r="D131" s="72"/>
      <c r="F131" s="57"/>
      <c r="G131" s="72"/>
      <c r="I131" s="57"/>
      <c r="J131" s="35"/>
      <c r="M131" s="299"/>
      <c r="N131" s="45"/>
      <c r="O131" s="46"/>
      <c r="P131" s="512"/>
      <c r="Q131" s="57"/>
      <c r="R131" s="512"/>
      <c r="S131" s="57"/>
      <c r="T131" s="114"/>
      <c r="U131" s="49"/>
      <c r="V131" s="50"/>
      <c r="W131" s="115"/>
      <c r="X131" s="114" t="s">
        <v>17570</v>
      </c>
      <c r="Y131" s="49"/>
      <c r="Z131" s="50"/>
      <c r="AA131" s="115"/>
      <c r="AB131" s="208">
        <f>ROUND((ROUND((ROUND((_15_同援日１．５*_15・通訳),0)*(1+_15・A夜間)),0)*(1+_15・区３)),0)+ROUND((ROUND((ROUND((_15_同援日１．５＿１．０*_15・通訳),0)*(1+_15・B深夜)),0)*(1+_15・区３)),0)</f>
        <v>797</v>
      </c>
      <c r="AC131" s="48"/>
    </row>
    <row r="132" spans="1:29" ht="16.5" customHeight="1" x14ac:dyDescent="0.15">
      <c r="A132" s="41">
        <v>15</v>
      </c>
      <c r="B132" s="41" t="s">
        <v>27990</v>
      </c>
      <c r="C132" s="74" t="s">
        <v>27991</v>
      </c>
      <c r="D132" s="72"/>
      <c r="F132" s="57"/>
      <c r="G132" s="72"/>
      <c r="I132" s="57"/>
      <c r="J132" s="35"/>
      <c r="M132" s="299" t="s">
        <v>17556</v>
      </c>
      <c r="N132" s="45" t="s">
        <v>398</v>
      </c>
      <c r="O132" s="46">
        <v>1</v>
      </c>
      <c r="P132" s="512"/>
      <c r="Q132" s="57"/>
      <c r="R132" s="512"/>
      <c r="S132" s="57"/>
      <c r="T132" s="122"/>
      <c r="U132" s="37"/>
      <c r="V132" s="38"/>
      <c r="W132" s="79"/>
      <c r="X132" s="72" t="s">
        <v>17572</v>
      </c>
      <c r="AA132" s="57"/>
      <c r="AB132" s="208">
        <f>ROUND((ROUND((ROUND((ROUND((_15_同援日１．５*_15・通訳),0)*_15・２人),0)*(1+_15・A夜間)),0)*(1+_15・区３)),0)+ROUND((ROUND((ROUND((ROUND((_15_同援日１．５＿１．０*_15・通訳),0)*_15・２人),0)*(1+_15・B深夜)),0)*(1+_15・区３)),0)</f>
        <v>797</v>
      </c>
      <c r="AC132" s="48"/>
    </row>
    <row r="133" spans="1:29" ht="16.5" customHeight="1" x14ac:dyDescent="0.15">
      <c r="A133" s="41">
        <v>15</v>
      </c>
      <c r="B133" s="41" t="s">
        <v>27992</v>
      </c>
      <c r="C133" s="74" t="s">
        <v>27993</v>
      </c>
      <c r="D133" s="72"/>
      <c r="F133" s="57"/>
      <c r="G133" s="72"/>
      <c r="I133" s="57"/>
      <c r="J133" s="35"/>
      <c r="M133" s="299"/>
      <c r="N133" s="45"/>
      <c r="O133" s="46"/>
      <c r="P133" s="512"/>
      <c r="Q133" s="57"/>
      <c r="R133" s="512"/>
      <c r="S133" s="57"/>
      <c r="T133" s="114" t="s">
        <v>17562</v>
      </c>
      <c r="U133" s="49"/>
      <c r="V133" s="50"/>
      <c r="W133" s="115"/>
      <c r="X133" s="72"/>
      <c r="Y133" s="12" t="s">
        <v>398</v>
      </c>
      <c r="Z133" s="13">
        <v>0.2</v>
      </c>
      <c r="AA133" s="57" t="s">
        <v>3575</v>
      </c>
      <c r="AB133" s="208">
        <f>ROUND((ROUND((ROUND((ROUND((_15_同援日１．５*_15・通訳),0)*(1+_15・A夜間)),0)*(1+_15・盲ろう)),0)*(1+_15・区３)),0)+ROUND((ROUND((ROUND((ROUND((_15_同援日１．５＿１．０*_15・通訳),0)*(1+_15・B深夜)),0)*(1+_15・盲ろう)),0)*(1+_15・区３)),0)</f>
        <v>996</v>
      </c>
      <c r="AC133" s="48"/>
    </row>
    <row r="134" spans="1:29" ht="16.5" customHeight="1" x14ac:dyDescent="0.15">
      <c r="A134" s="41">
        <v>15</v>
      </c>
      <c r="B134" s="41" t="s">
        <v>27994</v>
      </c>
      <c r="C134" s="74" t="s">
        <v>27995</v>
      </c>
      <c r="D134" s="72"/>
      <c r="F134" s="57"/>
      <c r="G134" s="72"/>
      <c r="I134" s="57"/>
      <c r="J134" s="35"/>
      <c r="M134" s="299" t="s">
        <v>17556</v>
      </c>
      <c r="N134" s="45" t="s">
        <v>398</v>
      </c>
      <c r="O134" s="46">
        <v>1</v>
      </c>
      <c r="P134" s="512"/>
      <c r="Q134" s="57"/>
      <c r="R134" s="512"/>
      <c r="S134" s="57"/>
      <c r="T134" s="122" t="s">
        <v>17564</v>
      </c>
      <c r="U134" s="37" t="s">
        <v>398</v>
      </c>
      <c r="V134" s="38">
        <v>0.25</v>
      </c>
      <c r="W134" s="79" t="s">
        <v>3575</v>
      </c>
      <c r="X134" s="122"/>
      <c r="Y134" s="37"/>
      <c r="Z134" s="38"/>
      <c r="AA134" s="79"/>
      <c r="AB134" s="208">
        <f>ROUND((ROUND((ROUND((ROUND((ROUND((_15_同援日１．５*_15・通訳),0)*_15・２人),0)*(1+_15・A夜間)),0)*(1+_15・盲ろう)),0)*(1+_15・区３)),0)+ROUND((ROUND((ROUND((ROUND((ROUND((_15_同援日１．５＿１．０*_15・通訳),0)*_15・２人),0)*(1+_15・B深夜)),0)*(1+_15・盲ろう)),0)*(1+_15・区３)),0)</f>
        <v>996</v>
      </c>
      <c r="AC134" s="48"/>
    </row>
    <row r="135" spans="1:29" ht="16.5" customHeight="1" x14ac:dyDescent="0.15">
      <c r="A135" s="41">
        <v>15</v>
      </c>
      <c r="B135" s="41" t="s">
        <v>27996</v>
      </c>
      <c r="C135" s="74" t="s">
        <v>27997</v>
      </c>
      <c r="D135" s="72"/>
      <c r="F135" s="57"/>
      <c r="G135" s="72"/>
      <c r="I135" s="57"/>
      <c r="J135" s="35"/>
      <c r="M135" s="299"/>
      <c r="N135" s="45"/>
      <c r="O135" s="46"/>
      <c r="P135" s="512"/>
      <c r="Q135" s="57"/>
      <c r="R135" s="512"/>
      <c r="S135" s="57"/>
      <c r="T135" s="114"/>
      <c r="U135" s="49"/>
      <c r="V135" s="50"/>
      <c r="W135" s="115"/>
      <c r="X135" s="114" t="s">
        <v>17580</v>
      </c>
      <c r="Y135" s="49"/>
      <c r="Z135" s="50"/>
      <c r="AA135" s="115"/>
      <c r="AB135" s="208">
        <f>ROUND((ROUND((ROUND((_15_同援日１．５*_15・通訳),0)*(1+_15・A夜間)),0)*(1+_15・区４)),0)+ROUND((ROUND((ROUND((_15_同援日１．５＿１．０*_15・通訳),0)*(1+_15・B深夜)),0)*(1+_15・区４)),0)</f>
        <v>929</v>
      </c>
      <c r="AC135" s="48"/>
    </row>
    <row r="136" spans="1:29" ht="16.5" customHeight="1" x14ac:dyDescent="0.15">
      <c r="A136" s="41">
        <v>15</v>
      </c>
      <c r="B136" s="41" t="s">
        <v>27998</v>
      </c>
      <c r="C136" s="74" t="s">
        <v>27999</v>
      </c>
      <c r="D136" s="72"/>
      <c r="F136" s="57"/>
      <c r="G136" s="72"/>
      <c r="I136" s="57"/>
      <c r="J136" s="35"/>
      <c r="M136" s="299" t="s">
        <v>17556</v>
      </c>
      <c r="N136" s="45" t="s">
        <v>398</v>
      </c>
      <c r="O136" s="46">
        <v>1</v>
      </c>
      <c r="P136" s="512"/>
      <c r="Q136" s="57"/>
      <c r="R136" s="512"/>
      <c r="S136" s="57"/>
      <c r="T136" s="122"/>
      <c r="U136" s="37"/>
      <c r="V136" s="38"/>
      <c r="W136" s="79"/>
      <c r="X136" s="72" t="s">
        <v>17572</v>
      </c>
      <c r="AA136" s="57"/>
      <c r="AB136" s="208">
        <f>ROUND((ROUND((ROUND((ROUND((_15_同援日１．５*_15・通訳),0)*_15・２人),0)*(1+_15・A夜間)),0)*(1+_15・区４)),0)+ROUND((ROUND((ROUND((ROUND((_15_同援日１．５＿１．０*_15・通訳),0)*_15・２人),0)*(1+_15・B深夜)),0)*(1+_15・区４)),0)</f>
        <v>929</v>
      </c>
      <c r="AC136" s="48"/>
    </row>
    <row r="137" spans="1:29" ht="16.5" customHeight="1" x14ac:dyDescent="0.15">
      <c r="A137" s="41">
        <v>15</v>
      </c>
      <c r="B137" s="41" t="s">
        <v>28000</v>
      </c>
      <c r="C137" s="74" t="s">
        <v>28001</v>
      </c>
      <c r="D137" s="72"/>
      <c r="F137" s="57"/>
      <c r="G137" s="72"/>
      <c r="I137" s="57"/>
      <c r="J137" s="35"/>
      <c r="M137" s="299"/>
      <c r="N137" s="45"/>
      <c r="O137" s="46"/>
      <c r="P137" s="512"/>
      <c r="Q137" s="57"/>
      <c r="R137" s="512"/>
      <c r="S137" s="57"/>
      <c r="T137" s="114" t="s">
        <v>17562</v>
      </c>
      <c r="U137" s="49"/>
      <c r="V137" s="50"/>
      <c r="W137" s="115"/>
      <c r="X137" s="72"/>
      <c r="Y137" s="12" t="s">
        <v>398</v>
      </c>
      <c r="Z137" s="13">
        <v>0.4</v>
      </c>
      <c r="AA137" s="57" t="s">
        <v>3575</v>
      </c>
      <c r="AB137" s="208">
        <f>ROUND((ROUND((ROUND((ROUND((_15_同援日１．５*_15・通訳),0)*(1+_15・A夜間)),0)*(1+_15・盲ろう)),0)*(1+_15・区４)),0)+ROUND((ROUND((ROUND((ROUND((_15_同援日１．５＿１．０*_15・通訳),0)*(1+_15・B深夜)),0)*(1+_15・盲ろう)),0)*(1+_15・区４)),0)</f>
        <v>1162</v>
      </c>
      <c r="AC137" s="48"/>
    </row>
    <row r="138" spans="1:29" ht="16.5" customHeight="1" x14ac:dyDescent="0.15">
      <c r="A138" s="41">
        <v>15</v>
      </c>
      <c r="B138" s="41" t="s">
        <v>28002</v>
      </c>
      <c r="C138" s="74" t="s">
        <v>28003</v>
      </c>
      <c r="D138" s="72"/>
      <c r="F138" s="57"/>
      <c r="G138" s="122"/>
      <c r="H138" s="37"/>
      <c r="I138" s="79"/>
      <c r="J138" s="35"/>
      <c r="M138" s="299" t="s">
        <v>17556</v>
      </c>
      <c r="N138" s="45" t="s">
        <v>398</v>
      </c>
      <c r="O138" s="46">
        <v>1</v>
      </c>
      <c r="P138" s="512"/>
      <c r="Q138" s="57"/>
      <c r="R138" s="512"/>
      <c r="S138" s="57"/>
      <c r="T138" s="122" t="s">
        <v>17564</v>
      </c>
      <c r="U138" s="37" t="s">
        <v>398</v>
      </c>
      <c r="V138" s="38">
        <v>0.25</v>
      </c>
      <c r="W138" s="79" t="s">
        <v>3575</v>
      </c>
      <c r="X138" s="122"/>
      <c r="Y138" s="37"/>
      <c r="Z138" s="38"/>
      <c r="AA138" s="79"/>
      <c r="AB138" s="208">
        <f>ROUND((ROUND((ROUND((ROUND((ROUND((_15_同援日１．５*_15・通訳),0)*_15・２人),0)*(1+_15・A夜間)),0)*(1+_15・盲ろう)),0)*(1+_15・区４)),0)+ROUND((ROUND((ROUND((ROUND((ROUND((_15_同援日１．５＿１．０*_15・通訳),0)*_15・２人),0)*(1+_15・B深夜)),0)*(1+_15・盲ろう)),0)*(1+_15・区４)),0)</f>
        <v>1162</v>
      </c>
      <c r="AC138" s="48"/>
    </row>
    <row r="139" spans="1:29" ht="16.5" customHeight="1" x14ac:dyDescent="0.15">
      <c r="A139" s="41">
        <v>15</v>
      </c>
      <c r="B139" s="41" t="s">
        <v>28004</v>
      </c>
      <c r="C139" s="74" t="s">
        <v>28005</v>
      </c>
      <c r="D139" s="72"/>
      <c r="F139" s="57"/>
      <c r="G139" s="114" t="s">
        <v>19995</v>
      </c>
      <c r="H139" s="49"/>
      <c r="I139" s="115"/>
      <c r="J139" s="35"/>
      <c r="M139" s="299"/>
      <c r="N139" s="45"/>
      <c r="O139" s="46"/>
      <c r="P139" s="512"/>
      <c r="Q139" s="57"/>
      <c r="R139" s="512"/>
      <c r="S139" s="57"/>
      <c r="T139" s="114"/>
      <c r="U139" s="49"/>
      <c r="V139" s="50"/>
      <c r="W139" s="115"/>
      <c r="X139" s="114"/>
      <c r="Y139" s="49"/>
      <c r="Z139" s="50"/>
      <c r="AA139" s="115"/>
      <c r="AB139" s="208">
        <f>ROUND((ROUND((_15_同援日１．５*_15・通訳),0)*(1+_15・A夜間)),0)+ROUND((ROUND((_15_同援日１．５＿１．５*_15・通訳),0)*(1+_15・B深夜)),0)</f>
        <v>752</v>
      </c>
      <c r="AC139" s="48"/>
    </row>
    <row r="140" spans="1:29" ht="16.5" customHeight="1" x14ac:dyDescent="0.15">
      <c r="A140" s="41">
        <v>15</v>
      </c>
      <c r="B140" s="41" t="s">
        <v>28006</v>
      </c>
      <c r="C140" s="74" t="s">
        <v>28007</v>
      </c>
      <c r="D140" s="72"/>
      <c r="F140" s="57"/>
      <c r="G140" s="72" t="s">
        <v>17616</v>
      </c>
      <c r="I140" s="57"/>
      <c r="J140" s="35"/>
      <c r="M140" s="299" t="s">
        <v>17556</v>
      </c>
      <c r="N140" s="45" t="s">
        <v>398</v>
      </c>
      <c r="O140" s="46">
        <v>1</v>
      </c>
      <c r="P140" s="512"/>
      <c r="Q140" s="57"/>
      <c r="R140" s="512"/>
      <c r="S140" s="57"/>
      <c r="T140" s="122"/>
      <c r="U140" s="37"/>
      <c r="V140" s="38"/>
      <c r="W140" s="79"/>
      <c r="X140" s="72"/>
      <c r="AA140" s="57"/>
      <c r="AB140" s="208">
        <f>ROUND((ROUND((ROUND((_15_同援日１．５*_15・通訳),0)*_15・２人),0)*(1+_15・A夜間)),0)+ROUND((ROUND((ROUND((_15_同援日１．５＿１．５*_15・通訳),0)*_15・２人),0)*(1+_15・B深夜)),0)</f>
        <v>752</v>
      </c>
      <c r="AC140" s="48"/>
    </row>
    <row r="141" spans="1:29" ht="16.5" customHeight="1" x14ac:dyDescent="0.15">
      <c r="A141" s="41">
        <v>15</v>
      </c>
      <c r="B141" s="41" t="s">
        <v>28008</v>
      </c>
      <c r="C141" s="74" t="s">
        <v>28009</v>
      </c>
      <c r="D141" s="72"/>
      <c r="F141" s="57"/>
      <c r="G141" s="72" t="s">
        <v>18183</v>
      </c>
      <c r="I141" s="57"/>
      <c r="J141" s="35"/>
      <c r="M141" s="299"/>
      <c r="N141" s="45"/>
      <c r="O141" s="46"/>
      <c r="P141" s="512"/>
      <c r="Q141" s="57"/>
      <c r="R141" s="512"/>
      <c r="S141" s="57"/>
      <c r="T141" s="114" t="s">
        <v>17562</v>
      </c>
      <c r="U141" s="49"/>
      <c r="V141" s="50"/>
      <c r="W141" s="115"/>
      <c r="X141" s="72"/>
      <c r="AA141" s="57"/>
      <c r="AB141" s="208">
        <f>ROUND((ROUND((ROUND((_15_同援日１．５*_15・通訳),0)*(1+_15・A夜間)),0)*(1+_15・盲ろう)),0)+ROUND((ROUND((ROUND((_15_同援日１．５＿１．５*_15・通訳),0)*(1+_15・B深夜)),0)*(1+_15・盲ろう)),0)</f>
        <v>940</v>
      </c>
      <c r="AC141" s="48"/>
    </row>
    <row r="142" spans="1:29" ht="16.5" customHeight="1" x14ac:dyDescent="0.15">
      <c r="A142" s="41">
        <v>15</v>
      </c>
      <c r="B142" s="41" t="s">
        <v>28010</v>
      </c>
      <c r="C142" s="74" t="s">
        <v>28011</v>
      </c>
      <c r="D142" s="72"/>
      <c r="F142" s="57"/>
      <c r="G142" s="72"/>
      <c r="H142" s="168">
        <f>_15_同援日１．５＿１．５</f>
        <v>195</v>
      </c>
      <c r="I142" s="57" t="s">
        <v>392</v>
      </c>
      <c r="J142" s="35"/>
      <c r="M142" s="299" t="s">
        <v>17556</v>
      </c>
      <c r="N142" s="45" t="s">
        <v>398</v>
      </c>
      <c r="O142" s="46">
        <v>1</v>
      </c>
      <c r="P142" s="512"/>
      <c r="Q142" s="57"/>
      <c r="R142" s="512"/>
      <c r="S142" s="57"/>
      <c r="T142" s="122" t="s">
        <v>17564</v>
      </c>
      <c r="U142" s="37" t="s">
        <v>398</v>
      </c>
      <c r="V142" s="38">
        <v>0.25</v>
      </c>
      <c r="W142" s="79" t="s">
        <v>3575</v>
      </c>
      <c r="X142" s="122"/>
      <c r="Y142" s="37"/>
      <c r="Z142" s="38"/>
      <c r="AA142" s="79"/>
      <c r="AB142" s="208">
        <f>ROUND((ROUND((ROUND((ROUND((_15_同援日１．５*_15・通訳),0)*_15・２人),0)*(1+_15・A夜間)),0)*(1+_15・盲ろう)),0)+ROUND((ROUND((ROUND((ROUND((_15_同援日１．５＿１．５*_15・通訳),0)*_15・２人),0)*(1+_15・B深夜)),0)*(1+_15・盲ろう)),0)</f>
        <v>940</v>
      </c>
      <c r="AC142" s="48"/>
    </row>
    <row r="143" spans="1:29" ht="16.5" customHeight="1" x14ac:dyDescent="0.15">
      <c r="A143" s="41">
        <v>15</v>
      </c>
      <c r="B143" s="41" t="s">
        <v>28012</v>
      </c>
      <c r="C143" s="74" t="s">
        <v>28013</v>
      </c>
      <c r="D143" s="72"/>
      <c r="F143" s="57"/>
      <c r="G143" s="72"/>
      <c r="I143" s="57"/>
      <c r="J143" s="35"/>
      <c r="M143" s="299"/>
      <c r="N143" s="45"/>
      <c r="O143" s="46"/>
      <c r="P143" s="512"/>
      <c r="Q143" s="57"/>
      <c r="R143" s="512"/>
      <c r="S143" s="57"/>
      <c r="T143" s="114"/>
      <c r="U143" s="49"/>
      <c r="V143" s="50"/>
      <c r="W143" s="115"/>
      <c r="X143" s="114" t="s">
        <v>17570</v>
      </c>
      <c r="Y143" s="49"/>
      <c r="Z143" s="50"/>
      <c r="AA143" s="115"/>
      <c r="AB143" s="208">
        <f>ROUND((ROUND((ROUND((_15_同援日１．５*_15・通訳),0)*(1+_15・A夜間)),0)*(1+_15・区３)),0)+ROUND((ROUND((ROUND((_15_同援日１．５＿１．５*_15・通訳),0)*(1+_15・B深夜)),0)*(1+_15・区３)),0)</f>
        <v>903</v>
      </c>
      <c r="AC143" s="48"/>
    </row>
    <row r="144" spans="1:29" ht="16.5" customHeight="1" x14ac:dyDescent="0.15">
      <c r="A144" s="41">
        <v>15</v>
      </c>
      <c r="B144" s="41" t="s">
        <v>28014</v>
      </c>
      <c r="C144" s="74" t="s">
        <v>28015</v>
      </c>
      <c r="D144" s="72"/>
      <c r="F144" s="57"/>
      <c r="G144" s="72"/>
      <c r="I144" s="57"/>
      <c r="J144" s="35"/>
      <c r="M144" s="299" t="s">
        <v>17556</v>
      </c>
      <c r="N144" s="45" t="s">
        <v>398</v>
      </c>
      <c r="O144" s="46">
        <v>1</v>
      </c>
      <c r="P144" s="512"/>
      <c r="Q144" s="57"/>
      <c r="R144" s="512"/>
      <c r="S144" s="57"/>
      <c r="T144" s="122"/>
      <c r="U144" s="37"/>
      <c r="V144" s="38"/>
      <c r="W144" s="79"/>
      <c r="X144" s="72" t="s">
        <v>17572</v>
      </c>
      <c r="AA144" s="57"/>
      <c r="AB144" s="208">
        <f>ROUND((ROUND((ROUND((ROUND((_15_同援日１．５*_15・通訳),0)*_15・２人),0)*(1+_15・A夜間)),0)*(1+_15・区３)),0)+ROUND((ROUND((ROUND((ROUND((_15_同援日１．５＿１．５*_15・通訳),0)*_15・２人),0)*(1+_15・B深夜)),0)*(1+_15・区３)),0)</f>
        <v>903</v>
      </c>
      <c r="AC144" s="48"/>
    </row>
    <row r="145" spans="1:29" ht="16.5" customHeight="1" x14ac:dyDescent="0.15">
      <c r="A145" s="41">
        <v>15</v>
      </c>
      <c r="B145" s="41" t="s">
        <v>3237</v>
      </c>
      <c r="C145" s="74" t="s">
        <v>28016</v>
      </c>
      <c r="D145" s="72"/>
      <c r="F145" s="57"/>
      <c r="G145" s="72"/>
      <c r="I145" s="57"/>
      <c r="J145" s="35"/>
      <c r="M145" s="299"/>
      <c r="N145" s="45"/>
      <c r="O145" s="46"/>
      <c r="P145" s="512"/>
      <c r="Q145" s="57"/>
      <c r="R145" s="512"/>
      <c r="S145" s="57"/>
      <c r="T145" s="114" t="s">
        <v>17562</v>
      </c>
      <c r="U145" s="49"/>
      <c r="V145" s="50"/>
      <c r="W145" s="115"/>
      <c r="X145" s="72"/>
      <c r="Y145" s="12" t="s">
        <v>398</v>
      </c>
      <c r="Z145" s="13">
        <v>0.2</v>
      </c>
      <c r="AA145" s="57" t="s">
        <v>3575</v>
      </c>
      <c r="AB145" s="208">
        <f>ROUND((ROUND((ROUND((ROUND((_15_同援日１．５*_15・通訳),0)*(1+_15・A夜間)),0)*(1+_15・盲ろう)),0)*(1+_15・区３)),0)+ROUND((ROUND((ROUND((ROUND((_15_同援日１．５＿１．５*_15・通訳),0)*(1+_15・B深夜)),0)*(1+_15・盲ろう)),0)*(1+_15・区３)),0)</f>
        <v>1128</v>
      </c>
      <c r="AC145" s="48"/>
    </row>
    <row r="146" spans="1:29" ht="16.5" customHeight="1" x14ac:dyDescent="0.15">
      <c r="A146" s="41">
        <v>15</v>
      </c>
      <c r="B146" s="41" t="s">
        <v>3239</v>
      </c>
      <c r="C146" s="74" t="s">
        <v>28017</v>
      </c>
      <c r="D146" s="72"/>
      <c r="F146" s="57"/>
      <c r="G146" s="72"/>
      <c r="I146" s="57"/>
      <c r="J146" s="35"/>
      <c r="M146" s="299" t="s">
        <v>17556</v>
      </c>
      <c r="N146" s="45" t="s">
        <v>398</v>
      </c>
      <c r="O146" s="46">
        <v>1</v>
      </c>
      <c r="P146" s="512"/>
      <c r="Q146" s="57"/>
      <c r="R146" s="512"/>
      <c r="S146" s="57"/>
      <c r="T146" s="122" t="s">
        <v>17564</v>
      </c>
      <c r="U146" s="37" t="s">
        <v>398</v>
      </c>
      <c r="V146" s="38">
        <v>0.25</v>
      </c>
      <c r="W146" s="79" t="s">
        <v>3575</v>
      </c>
      <c r="X146" s="122"/>
      <c r="Y146" s="37"/>
      <c r="Z146" s="38"/>
      <c r="AA146" s="79"/>
      <c r="AB146" s="208">
        <f>ROUND((ROUND((ROUND((ROUND((ROUND((_15_同援日１．５*_15・通訳),0)*_15・２人),0)*(1+_15・A夜間)),0)*(1+_15・盲ろう)),0)*(1+_15・区３)),0)+ROUND((ROUND((ROUND((ROUND((ROUND((_15_同援日１．５＿１．５*_15・通訳),0)*_15・２人),0)*(1+_15・B深夜)),0)*(1+_15・盲ろう)),0)*(1+_15・区３)),0)</f>
        <v>1128</v>
      </c>
      <c r="AC146" s="48"/>
    </row>
    <row r="147" spans="1:29" ht="16.5" customHeight="1" x14ac:dyDescent="0.15">
      <c r="A147" s="41">
        <v>15</v>
      </c>
      <c r="B147" s="41" t="s">
        <v>3241</v>
      </c>
      <c r="C147" s="74" t="s">
        <v>28018</v>
      </c>
      <c r="D147" s="72"/>
      <c r="F147" s="57"/>
      <c r="G147" s="72"/>
      <c r="I147" s="57"/>
      <c r="J147" s="35"/>
      <c r="M147" s="299"/>
      <c r="N147" s="45"/>
      <c r="O147" s="46"/>
      <c r="P147" s="512"/>
      <c r="Q147" s="57"/>
      <c r="R147" s="512"/>
      <c r="S147" s="57"/>
      <c r="T147" s="114"/>
      <c r="U147" s="49"/>
      <c r="V147" s="50"/>
      <c r="W147" s="115"/>
      <c r="X147" s="114" t="s">
        <v>17580</v>
      </c>
      <c r="Y147" s="49"/>
      <c r="Z147" s="50"/>
      <c r="AA147" s="115"/>
      <c r="AB147" s="208">
        <f>ROUND((ROUND((ROUND((_15_同援日１．５*_15・通訳),0)*(1+_15・A夜間)),0)*(1+_15・区４)),0)+ROUND((ROUND((ROUND((_15_同援日１．５＿１．５*_15・通訳),0)*(1+_15・B深夜)),0)*(1+_15・区４)),0)</f>
        <v>1053</v>
      </c>
      <c r="AC147" s="48"/>
    </row>
    <row r="148" spans="1:29" ht="16.5" customHeight="1" x14ac:dyDescent="0.15">
      <c r="A148" s="41">
        <v>15</v>
      </c>
      <c r="B148" s="41" t="s">
        <v>3243</v>
      </c>
      <c r="C148" s="74" t="s">
        <v>28019</v>
      </c>
      <c r="D148" s="72"/>
      <c r="F148" s="57"/>
      <c r="G148" s="72"/>
      <c r="I148" s="57"/>
      <c r="J148" s="35"/>
      <c r="M148" s="299" t="s">
        <v>17556</v>
      </c>
      <c r="N148" s="45" t="s">
        <v>398</v>
      </c>
      <c r="O148" s="46">
        <v>1</v>
      </c>
      <c r="P148" s="512"/>
      <c r="Q148" s="57"/>
      <c r="R148" s="512"/>
      <c r="S148" s="57"/>
      <c r="T148" s="122"/>
      <c r="U148" s="37"/>
      <c r="V148" s="38"/>
      <c r="W148" s="79"/>
      <c r="X148" s="72" t="s">
        <v>17572</v>
      </c>
      <c r="AA148" s="57"/>
      <c r="AB148" s="208">
        <f>ROUND((ROUND((ROUND((ROUND((_15_同援日１．５*_15・通訳),0)*_15・２人),0)*(1+_15・A夜間)),0)*(1+_15・区４)),0)+ROUND((ROUND((ROUND((ROUND((_15_同援日１．５＿１．５*_15・通訳),0)*_15・２人),0)*(1+_15・B深夜)),0)*(1+_15・区４)),0)</f>
        <v>1053</v>
      </c>
      <c r="AC148" s="48"/>
    </row>
    <row r="149" spans="1:29" ht="16.5" customHeight="1" x14ac:dyDescent="0.15">
      <c r="A149" s="41">
        <v>15</v>
      </c>
      <c r="B149" s="41" t="s">
        <v>28020</v>
      </c>
      <c r="C149" s="74" t="s">
        <v>28021</v>
      </c>
      <c r="D149" s="72"/>
      <c r="F149" s="57"/>
      <c r="G149" s="72"/>
      <c r="I149" s="57"/>
      <c r="J149" s="35"/>
      <c r="M149" s="299"/>
      <c r="N149" s="45"/>
      <c r="O149" s="46"/>
      <c r="P149" s="512"/>
      <c r="Q149" s="57"/>
      <c r="R149" s="512"/>
      <c r="S149" s="57"/>
      <c r="T149" s="114" t="s">
        <v>17562</v>
      </c>
      <c r="U149" s="49"/>
      <c r="V149" s="50"/>
      <c r="W149" s="115"/>
      <c r="X149" s="72"/>
      <c r="Y149" s="12" t="s">
        <v>398</v>
      </c>
      <c r="Z149" s="13">
        <v>0.4</v>
      </c>
      <c r="AA149" s="57" t="s">
        <v>3575</v>
      </c>
      <c r="AB149" s="208">
        <f>ROUND((ROUND((ROUND((ROUND((_15_同援日１．５*_15・通訳),0)*(1+_15・A夜間)),0)*(1+_15・盲ろう)),0)*(1+_15・区４)),0)+ROUND((ROUND((ROUND((ROUND((_15_同援日１．５＿１．５*_15・通訳),0)*(1+_15・B深夜)),0)*(1+_15・盲ろう)),0)*(1+_15・区４)),0)</f>
        <v>1316</v>
      </c>
      <c r="AC149" s="48"/>
    </row>
    <row r="150" spans="1:29" ht="16.5" customHeight="1" x14ac:dyDescent="0.15">
      <c r="A150" s="41">
        <v>15</v>
      </c>
      <c r="B150" s="41" t="s">
        <v>28022</v>
      </c>
      <c r="C150" s="74" t="s">
        <v>28023</v>
      </c>
      <c r="D150" s="122"/>
      <c r="E150" s="37"/>
      <c r="F150" s="79"/>
      <c r="G150" s="122"/>
      <c r="H150" s="37"/>
      <c r="I150" s="79"/>
      <c r="J150" s="35"/>
      <c r="M150" s="299" t="s">
        <v>17556</v>
      </c>
      <c r="N150" s="45" t="s">
        <v>398</v>
      </c>
      <c r="O150" s="46">
        <v>1</v>
      </c>
      <c r="P150" s="512"/>
      <c r="Q150" s="57"/>
      <c r="R150" s="512"/>
      <c r="S150" s="57"/>
      <c r="T150" s="122" t="s">
        <v>17564</v>
      </c>
      <c r="U150" s="37" t="s">
        <v>398</v>
      </c>
      <c r="V150" s="38">
        <v>0.25</v>
      </c>
      <c r="W150" s="79" t="s">
        <v>3575</v>
      </c>
      <c r="X150" s="122"/>
      <c r="Y150" s="37"/>
      <c r="Z150" s="38"/>
      <c r="AA150" s="79"/>
      <c r="AB150" s="208">
        <f>ROUND((ROUND((ROUND((ROUND((ROUND((_15_同援日１．５*_15・通訳),0)*_15・２人),0)*(1+_15・A夜間)),0)*(1+_15・盲ろう)),0)*(1+_15・区４)),0)+ROUND((ROUND((ROUND((ROUND((ROUND((_15_同援日１．５＿１．５*_15・通訳),0)*_15・２人),0)*(1+_15・B深夜)),0)*(1+_15・盲ろう)),0)*(1+_15・区４)),0)</f>
        <v>1316</v>
      </c>
      <c r="AC150" s="48"/>
    </row>
    <row r="151" spans="1:29" ht="16.5" customHeight="1" x14ac:dyDescent="0.15">
      <c r="A151" s="41">
        <v>15</v>
      </c>
      <c r="B151" s="41" t="s">
        <v>28024</v>
      </c>
      <c r="C151" s="74" t="s">
        <v>28025</v>
      </c>
      <c r="D151" s="114" t="s">
        <v>18334</v>
      </c>
      <c r="E151" s="49"/>
      <c r="F151" s="115"/>
      <c r="G151" s="114" t="s">
        <v>19945</v>
      </c>
      <c r="H151" s="49"/>
      <c r="I151" s="115"/>
      <c r="J151" s="35"/>
      <c r="M151" s="299"/>
      <c r="N151" s="45"/>
      <c r="O151" s="46"/>
      <c r="P151" s="512"/>
      <c r="Q151" s="57"/>
      <c r="R151" s="512"/>
      <c r="S151" s="57"/>
      <c r="T151" s="114"/>
      <c r="U151" s="49"/>
      <c r="V151" s="50"/>
      <c r="W151" s="115"/>
      <c r="X151" s="114"/>
      <c r="Y151" s="49"/>
      <c r="Z151" s="50"/>
      <c r="AA151" s="115"/>
      <c r="AB151" s="208">
        <f>ROUND((ROUND((_15_同援日２．０*_15・通訳),0)*(1+_15・A夜間)),0)+ROUND((ROUND((_15_同援日２．０＿０．５*_15・通訳),0)*(1+_15・B深夜)),0)</f>
        <v>649</v>
      </c>
      <c r="AC151" s="48"/>
    </row>
    <row r="152" spans="1:29" ht="16.5" customHeight="1" x14ac:dyDescent="0.15">
      <c r="A152" s="41">
        <v>15</v>
      </c>
      <c r="B152" s="41" t="s">
        <v>28026</v>
      </c>
      <c r="C152" s="74" t="s">
        <v>28027</v>
      </c>
      <c r="D152" s="72" t="s">
        <v>17643</v>
      </c>
      <c r="F152" s="57"/>
      <c r="G152" s="72" t="s">
        <v>18259</v>
      </c>
      <c r="I152" s="57"/>
      <c r="J152" s="35"/>
      <c r="M152" s="299" t="s">
        <v>17556</v>
      </c>
      <c r="N152" s="45" t="s">
        <v>398</v>
      </c>
      <c r="O152" s="46">
        <v>1</v>
      </c>
      <c r="P152" s="512"/>
      <c r="Q152" s="57"/>
      <c r="R152" s="512"/>
      <c r="S152" s="57"/>
      <c r="T152" s="122"/>
      <c r="U152" s="37"/>
      <c r="V152" s="38"/>
      <c r="W152" s="79"/>
      <c r="X152" s="72"/>
      <c r="AA152" s="57"/>
      <c r="AB152" s="208">
        <f>ROUND((ROUND((ROUND((_15_同援日２．０*_15・通訳),0)*_15・２人),0)*(1+_15・A夜間)),0)+ROUND((ROUND((ROUND((_15_同援日２．０＿０．５*_15・通訳),0)*_15・２人),0)*(1+_15・B深夜)),0)</f>
        <v>649</v>
      </c>
      <c r="AC152" s="48"/>
    </row>
    <row r="153" spans="1:29" ht="16.5" customHeight="1" x14ac:dyDescent="0.15">
      <c r="A153" s="41">
        <v>15</v>
      </c>
      <c r="B153" s="41" t="s">
        <v>28028</v>
      </c>
      <c r="C153" s="74" t="s">
        <v>28029</v>
      </c>
      <c r="D153" s="72" t="s">
        <v>17645</v>
      </c>
      <c r="F153" s="57"/>
      <c r="G153" s="72"/>
      <c r="I153" s="57"/>
      <c r="J153" s="35"/>
      <c r="M153" s="299"/>
      <c r="N153" s="45"/>
      <c r="O153" s="46"/>
      <c r="P153" s="512"/>
      <c r="Q153" s="57"/>
      <c r="R153" s="512"/>
      <c r="S153" s="57"/>
      <c r="T153" s="114" t="s">
        <v>17562</v>
      </c>
      <c r="U153" s="49"/>
      <c r="V153" s="50"/>
      <c r="W153" s="115"/>
      <c r="X153" s="72"/>
      <c r="AA153" s="57"/>
      <c r="AB153" s="208">
        <f>ROUND((ROUND((ROUND((_15_同援日２．０*_15・通訳),0)*(1+_15・A夜間)),0)*(1+_15・盲ろう)),0)+ROUND((ROUND((ROUND((_15_同援日２．０＿０．５*_15・通訳),0)*(1+_15・B深夜)),0)*(1+_15・盲ろう)),0)</f>
        <v>811</v>
      </c>
      <c r="AC153" s="48"/>
    </row>
    <row r="154" spans="1:29" ht="16.5" customHeight="1" x14ac:dyDescent="0.15">
      <c r="A154" s="41">
        <v>15</v>
      </c>
      <c r="B154" s="41" t="s">
        <v>28030</v>
      </c>
      <c r="C154" s="74" t="s">
        <v>28031</v>
      </c>
      <c r="D154" s="72"/>
      <c r="E154" s="168">
        <f>_15_同援日２．０</f>
        <v>498</v>
      </c>
      <c r="F154" s="57" t="s">
        <v>392</v>
      </c>
      <c r="G154" s="72"/>
      <c r="H154" s="168">
        <f>_15_同援日２．０＿０．５</f>
        <v>65</v>
      </c>
      <c r="I154" s="57" t="s">
        <v>392</v>
      </c>
      <c r="J154" s="35"/>
      <c r="M154" s="299" t="s">
        <v>17556</v>
      </c>
      <c r="N154" s="45" t="s">
        <v>398</v>
      </c>
      <c r="O154" s="46">
        <v>1</v>
      </c>
      <c r="P154" s="512"/>
      <c r="Q154" s="57"/>
      <c r="R154" s="512"/>
      <c r="S154" s="57"/>
      <c r="T154" s="122" t="s">
        <v>17564</v>
      </c>
      <c r="U154" s="37" t="s">
        <v>398</v>
      </c>
      <c r="V154" s="38">
        <v>0.25</v>
      </c>
      <c r="W154" s="79" t="s">
        <v>3575</v>
      </c>
      <c r="X154" s="122"/>
      <c r="Y154" s="37"/>
      <c r="Z154" s="38"/>
      <c r="AA154" s="79"/>
      <c r="AB154" s="208">
        <f>ROUND((ROUND((ROUND((ROUND((_15_同援日２．０*_15・通訳),0)*_15・２人),0)*(1+_15・A夜間)),0)*(1+_15・盲ろう)),0)+ROUND((ROUND((ROUND((ROUND((_15_同援日２．０＿０．５*_15・通訳),0)*_15・２人),0)*(1+_15・B深夜)),0)*(1+_15・盲ろう)),0)</f>
        <v>811</v>
      </c>
      <c r="AC154" s="48"/>
    </row>
    <row r="155" spans="1:29" ht="16.5" customHeight="1" x14ac:dyDescent="0.15">
      <c r="A155" s="41">
        <v>15</v>
      </c>
      <c r="B155" s="41" t="s">
        <v>28032</v>
      </c>
      <c r="C155" s="74" t="s">
        <v>28033</v>
      </c>
      <c r="D155" s="72"/>
      <c r="F155" s="57"/>
      <c r="G155" s="72"/>
      <c r="I155" s="57"/>
      <c r="J155" s="35"/>
      <c r="M155" s="299"/>
      <c r="N155" s="45"/>
      <c r="O155" s="46"/>
      <c r="P155" s="512"/>
      <c r="Q155" s="57"/>
      <c r="R155" s="512"/>
      <c r="S155" s="57"/>
      <c r="T155" s="114"/>
      <c r="U155" s="49"/>
      <c r="V155" s="50"/>
      <c r="W155" s="115"/>
      <c r="X155" s="114" t="s">
        <v>17570</v>
      </c>
      <c r="Y155" s="49"/>
      <c r="Z155" s="50"/>
      <c r="AA155" s="115"/>
      <c r="AB155" s="208">
        <f>ROUND((ROUND((ROUND((_15_同援日２．０*_15・通訳),0)*(1+_15・A夜間)),0)*(1+_15・区３)),0)+ROUND((ROUND((ROUND((_15_同援日２．０＿０．５*_15・通訳),0)*(1+_15・B深夜)),0)*(1+_15・区３)),0)</f>
        <v>779</v>
      </c>
      <c r="AC155" s="48"/>
    </row>
    <row r="156" spans="1:29" ht="16.5" customHeight="1" x14ac:dyDescent="0.15">
      <c r="A156" s="41">
        <v>15</v>
      </c>
      <c r="B156" s="41" t="s">
        <v>28034</v>
      </c>
      <c r="C156" s="74" t="s">
        <v>28035</v>
      </c>
      <c r="D156" s="72"/>
      <c r="F156" s="57"/>
      <c r="G156" s="72"/>
      <c r="I156" s="57"/>
      <c r="J156" s="35"/>
      <c r="M156" s="299" t="s">
        <v>17556</v>
      </c>
      <c r="N156" s="45" t="s">
        <v>398</v>
      </c>
      <c r="O156" s="46">
        <v>1</v>
      </c>
      <c r="P156" s="512"/>
      <c r="Q156" s="57"/>
      <c r="R156" s="512"/>
      <c r="S156" s="57"/>
      <c r="T156" s="122"/>
      <c r="U156" s="37"/>
      <c r="V156" s="38"/>
      <c r="W156" s="79"/>
      <c r="X156" s="72" t="s">
        <v>17572</v>
      </c>
      <c r="AA156" s="57"/>
      <c r="AB156" s="208">
        <f>ROUND((ROUND((ROUND((ROUND((_15_同援日２．０*_15・通訳),0)*_15・２人),0)*(1+_15・A夜間)),0)*(1+_15・区３)),0)+ROUND((ROUND((ROUND((ROUND((_15_同援日２．０＿０．５*_15・通訳),0)*_15・２人),0)*(1+_15・B深夜)),0)*(1+_15・区３)),0)</f>
        <v>779</v>
      </c>
      <c r="AC156" s="48"/>
    </row>
    <row r="157" spans="1:29" ht="16.5" customHeight="1" x14ac:dyDescent="0.15">
      <c r="A157" s="41">
        <v>15</v>
      </c>
      <c r="B157" s="41" t="s">
        <v>28036</v>
      </c>
      <c r="C157" s="74" t="s">
        <v>28037</v>
      </c>
      <c r="D157" s="72"/>
      <c r="F157" s="57"/>
      <c r="G157" s="72"/>
      <c r="I157" s="57"/>
      <c r="J157" s="35"/>
      <c r="M157" s="299"/>
      <c r="N157" s="45"/>
      <c r="O157" s="46"/>
      <c r="P157" s="512"/>
      <c r="Q157" s="57"/>
      <c r="R157" s="512"/>
      <c r="S157" s="57"/>
      <c r="T157" s="114" t="s">
        <v>17562</v>
      </c>
      <c r="U157" s="49"/>
      <c r="V157" s="50"/>
      <c r="W157" s="115"/>
      <c r="X157" s="72"/>
      <c r="Y157" s="12" t="s">
        <v>398</v>
      </c>
      <c r="Z157" s="13">
        <v>0.2</v>
      </c>
      <c r="AA157" s="57" t="s">
        <v>3575</v>
      </c>
      <c r="AB157" s="208">
        <f>ROUND((ROUND((ROUND((ROUND((_15_同援日２．０*_15・通訳),0)*(1+_15・A夜間)),0)*(1+_15・盲ろう)),0)*(1+_15・区３)),0)+ROUND((ROUND((ROUND((ROUND((_15_同援日２．０＿０．５*_15・通訳),0)*(1+_15・B深夜)),0)*(1+_15・盲ろう)),0)*(1+_15・区３)),0)</f>
        <v>973</v>
      </c>
      <c r="AC157" s="48"/>
    </row>
    <row r="158" spans="1:29" ht="16.5" customHeight="1" x14ac:dyDescent="0.15">
      <c r="A158" s="41">
        <v>15</v>
      </c>
      <c r="B158" s="41" t="s">
        <v>28038</v>
      </c>
      <c r="C158" s="74" t="s">
        <v>28039</v>
      </c>
      <c r="D158" s="72"/>
      <c r="F158" s="57"/>
      <c r="G158" s="72"/>
      <c r="I158" s="57"/>
      <c r="J158" s="35"/>
      <c r="M158" s="299" t="s">
        <v>17556</v>
      </c>
      <c r="N158" s="45" t="s">
        <v>398</v>
      </c>
      <c r="O158" s="46">
        <v>1</v>
      </c>
      <c r="P158" s="512"/>
      <c r="Q158" s="57"/>
      <c r="R158" s="512"/>
      <c r="S158" s="57"/>
      <c r="T158" s="122" t="s">
        <v>17564</v>
      </c>
      <c r="U158" s="37" t="s">
        <v>398</v>
      </c>
      <c r="V158" s="38">
        <v>0.25</v>
      </c>
      <c r="W158" s="79" t="s">
        <v>3575</v>
      </c>
      <c r="X158" s="122"/>
      <c r="Y158" s="37"/>
      <c r="Z158" s="38"/>
      <c r="AA158" s="79"/>
      <c r="AB158" s="208">
        <f>ROUND((ROUND((ROUND((ROUND((ROUND((_15_同援日２．０*_15・通訳),0)*_15・２人),0)*(1+_15・A夜間)),0)*(1+_15・盲ろう)),0)*(1+_15・区３)),0)+ROUND((ROUND((ROUND((ROUND((ROUND((_15_同援日２．０＿０．５*_15・通訳),0)*_15・２人),0)*(1+_15・B深夜)),0)*(1+_15・盲ろう)),0)*(1+_15・区３)),0)</f>
        <v>973</v>
      </c>
      <c r="AC158" s="48"/>
    </row>
    <row r="159" spans="1:29" ht="16.5" customHeight="1" x14ac:dyDescent="0.15">
      <c r="A159" s="41">
        <v>15</v>
      </c>
      <c r="B159" s="41" t="s">
        <v>28040</v>
      </c>
      <c r="C159" s="74" t="s">
        <v>28041</v>
      </c>
      <c r="D159" s="72"/>
      <c r="F159" s="57"/>
      <c r="G159" s="72"/>
      <c r="I159" s="57"/>
      <c r="J159" s="35"/>
      <c r="M159" s="299"/>
      <c r="N159" s="45"/>
      <c r="O159" s="46"/>
      <c r="P159" s="512"/>
      <c r="Q159" s="57"/>
      <c r="R159" s="512"/>
      <c r="S159" s="57"/>
      <c r="T159" s="114"/>
      <c r="U159" s="49"/>
      <c r="V159" s="50"/>
      <c r="W159" s="115"/>
      <c r="X159" s="114" t="s">
        <v>17580</v>
      </c>
      <c r="Y159" s="49"/>
      <c r="Z159" s="50"/>
      <c r="AA159" s="115"/>
      <c r="AB159" s="208">
        <f>ROUND((ROUND((ROUND((_15_同援日２．０*_15・通訳),0)*(1+_15・A夜間)),0)*(1+_15・区４)),0)+ROUND((ROUND((ROUND((_15_同援日２．０＿０．５*_15・通訳),0)*(1+_15・B深夜)),0)*(1+_15・区４)),0)</f>
        <v>909</v>
      </c>
      <c r="AC159" s="48"/>
    </row>
    <row r="160" spans="1:29" ht="16.5" customHeight="1" x14ac:dyDescent="0.15">
      <c r="A160" s="41">
        <v>15</v>
      </c>
      <c r="B160" s="41" t="s">
        <v>28042</v>
      </c>
      <c r="C160" s="74" t="s">
        <v>28043</v>
      </c>
      <c r="D160" s="72"/>
      <c r="F160" s="57"/>
      <c r="G160" s="72"/>
      <c r="I160" s="57"/>
      <c r="J160" s="35"/>
      <c r="M160" s="299" t="s">
        <v>17556</v>
      </c>
      <c r="N160" s="45" t="s">
        <v>398</v>
      </c>
      <c r="O160" s="46">
        <v>1</v>
      </c>
      <c r="P160" s="512"/>
      <c r="Q160" s="57"/>
      <c r="R160" s="512"/>
      <c r="S160" s="57"/>
      <c r="T160" s="122"/>
      <c r="U160" s="37"/>
      <c r="V160" s="38"/>
      <c r="W160" s="79"/>
      <c r="X160" s="72" t="s">
        <v>17572</v>
      </c>
      <c r="AA160" s="57"/>
      <c r="AB160" s="208">
        <f>ROUND((ROUND((ROUND((ROUND((_15_同援日２．０*_15・通訳),0)*_15・２人),0)*(1+_15・A夜間)),0)*(1+_15・区４)),0)+ROUND((ROUND((ROUND((ROUND((_15_同援日２．０＿０．５*_15・通訳),0)*_15・２人),0)*(1+_15・B深夜)),0)*(1+_15・区４)),0)</f>
        <v>909</v>
      </c>
      <c r="AC160" s="48"/>
    </row>
    <row r="161" spans="1:29" ht="16.5" customHeight="1" x14ac:dyDescent="0.15">
      <c r="A161" s="41">
        <v>15</v>
      </c>
      <c r="B161" s="41" t="s">
        <v>28044</v>
      </c>
      <c r="C161" s="74" t="s">
        <v>28045</v>
      </c>
      <c r="D161" s="72"/>
      <c r="F161" s="57"/>
      <c r="G161" s="72"/>
      <c r="I161" s="57"/>
      <c r="J161" s="35"/>
      <c r="M161" s="299"/>
      <c r="N161" s="45"/>
      <c r="O161" s="46"/>
      <c r="P161" s="512"/>
      <c r="Q161" s="57"/>
      <c r="R161" s="512"/>
      <c r="S161" s="57"/>
      <c r="T161" s="114" t="s">
        <v>17562</v>
      </c>
      <c r="U161" s="49"/>
      <c r="V161" s="50"/>
      <c r="W161" s="115"/>
      <c r="X161" s="72"/>
      <c r="Y161" s="12" t="s">
        <v>398</v>
      </c>
      <c r="Z161" s="13">
        <v>0.4</v>
      </c>
      <c r="AA161" s="57" t="s">
        <v>3575</v>
      </c>
      <c r="AB161" s="208">
        <f>ROUND((ROUND((ROUND((ROUND((_15_同援日２．０*_15・通訳),0)*(1+_15・A夜間)),0)*(1+_15・盲ろう)),0)*(1+_15・区４)),0)+ROUND((ROUND((ROUND((ROUND((_15_同援日２．０＿０．５*_15・通訳),0)*(1+_15・B深夜)),0)*(1+_15・盲ろう)),0)*(1+_15・区４)),0)</f>
        <v>1135</v>
      </c>
      <c r="AC161" s="48"/>
    </row>
    <row r="162" spans="1:29" ht="16.5" customHeight="1" x14ac:dyDescent="0.15">
      <c r="A162" s="41">
        <v>15</v>
      </c>
      <c r="B162" s="41" t="s">
        <v>28046</v>
      </c>
      <c r="C162" s="74" t="s">
        <v>28047</v>
      </c>
      <c r="D162" s="72"/>
      <c r="F162" s="57"/>
      <c r="G162" s="122"/>
      <c r="H162" s="37"/>
      <c r="I162" s="79"/>
      <c r="J162" s="35"/>
      <c r="M162" s="299" t="s">
        <v>17556</v>
      </c>
      <c r="N162" s="45" t="s">
        <v>398</v>
      </c>
      <c r="O162" s="46">
        <v>1</v>
      </c>
      <c r="P162" s="512"/>
      <c r="Q162" s="57"/>
      <c r="R162" s="512"/>
      <c r="S162" s="57"/>
      <c r="T162" s="122" t="s">
        <v>17564</v>
      </c>
      <c r="U162" s="37" t="s">
        <v>398</v>
      </c>
      <c r="V162" s="38">
        <v>0.25</v>
      </c>
      <c r="W162" s="79" t="s">
        <v>3575</v>
      </c>
      <c r="X162" s="122"/>
      <c r="Y162" s="37"/>
      <c r="Z162" s="38"/>
      <c r="AA162" s="79"/>
      <c r="AB162" s="208">
        <f>ROUND((ROUND((ROUND((ROUND((ROUND((_15_同援日２．０*_15・通訳),0)*_15・２人),0)*(1+_15・A夜間)),0)*(1+_15・盲ろう)),0)*(1+_15・区４)),0)+ROUND((ROUND((ROUND((ROUND((ROUND((_15_同援日２．０＿０．５*_15・通訳),0)*_15・２人),0)*(1+_15・B深夜)),0)*(1+_15・盲ろう)),0)*(1+_15・区４)),0)</f>
        <v>1135</v>
      </c>
      <c r="AC162" s="48"/>
    </row>
    <row r="163" spans="1:29" ht="16.5" customHeight="1" x14ac:dyDescent="0.15">
      <c r="A163" s="41">
        <v>15</v>
      </c>
      <c r="B163" s="41" t="s">
        <v>28048</v>
      </c>
      <c r="C163" s="74" t="s">
        <v>28049</v>
      </c>
      <c r="D163" s="72"/>
      <c r="F163" s="57"/>
      <c r="G163" s="114" t="s">
        <v>19970</v>
      </c>
      <c r="H163" s="49"/>
      <c r="I163" s="115"/>
      <c r="J163" s="35"/>
      <c r="M163" s="299"/>
      <c r="N163" s="45"/>
      <c r="O163" s="46"/>
      <c r="P163" s="512"/>
      <c r="Q163" s="57"/>
      <c r="R163" s="512"/>
      <c r="S163" s="57"/>
      <c r="T163" s="114"/>
      <c r="U163" s="49"/>
      <c r="V163" s="50"/>
      <c r="W163" s="115"/>
      <c r="X163" s="114"/>
      <c r="Y163" s="49"/>
      <c r="Z163" s="50"/>
      <c r="AA163" s="115"/>
      <c r="AB163" s="208">
        <f>ROUND((ROUND((_15_同援日２．０*_15・通訳),0)*(1+_15・A夜間)),0)+ROUND((ROUND((_15_同援日２．０＿１．０*_15・通訳),0)*(1+_15・B深夜)),0)</f>
        <v>736</v>
      </c>
      <c r="AC163" s="48"/>
    </row>
    <row r="164" spans="1:29" ht="16.5" customHeight="1" x14ac:dyDescent="0.15">
      <c r="A164" s="41">
        <v>15</v>
      </c>
      <c r="B164" s="41" t="s">
        <v>28050</v>
      </c>
      <c r="C164" s="74" t="s">
        <v>28051</v>
      </c>
      <c r="D164" s="72"/>
      <c r="F164" s="57"/>
      <c r="G164" s="72" t="s">
        <v>17589</v>
      </c>
      <c r="I164" s="57"/>
      <c r="J164" s="35"/>
      <c r="M164" s="299" t="s">
        <v>17556</v>
      </c>
      <c r="N164" s="45" t="s">
        <v>398</v>
      </c>
      <c r="O164" s="46">
        <v>1</v>
      </c>
      <c r="P164" s="512"/>
      <c r="Q164" s="57"/>
      <c r="R164" s="512"/>
      <c r="S164" s="57"/>
      <c r="T164" s="122"/>
      <c r="U164" s="37"/>
      <c r="V164" s="38"/>
      <c r="W164" s="79"/>
      <c r="X164" s="72"/>
      <c r="AA164" s="57"/>
      <c r="AB164" s="208">
        <f>ROUND((ROUND((ROUND((_15_同援日２．０*_15・通訳),0)*_15・２人),0)*(1+_15・A夜間)),0)+ROUND((ROUND((ROUND((_15_同援日２．０＿１．０*_15・通訳),0)*_15・２人),0)*(1+_15・B深夜)),0)</f>
        <v>736</v>
      </c>
      <c r="AC164" s="48"/>
    </row>
    <row r="165" spans="1:29" ht="16.5" customHeight="1" x14ac:dyDescent="0.15">
      <c r="A165" s="41">
        <v>15</v>
      </c>
      <c r="B165" s="41" t="s">
        <v>3249</v>
      </c>
      <c r="C165" s="74" t="s">
        <v>28052</v>
      </c>
      <c r="D165" s="72"/>
      <c r="F165" s="57"/>
      <c r="G165" s="72" t="s">
        <v>17591</v>
      </c>
      <c r="I165" s="57"/>
      <c r="J165" s="35"/>
      <c r="M165" s="299"/>
      <c r="N165" s="45"/>
      <c r="O165" s="46"/>
      <c r="P165" s="512"/>
      <c r="Q165" s="57"/>
      <c r="R165" s="512"/>
      <c r="S165" s="57"/>
      <c r="T165" s="114" t="s">
        <v>17562</v>
      </c>
      <c r="U165" s="49"/>
      <c r="V165" s="50"/>
      <c r="W165" s="115"/>
      <c r="X165" s="72"/>
      <c r="AA165" s="57"/>
      <c r="AB165" s="208">
        <f>ROUND((ROUND((ROUND((_15_同援日２．０*_15・通訳),0)*(1+_15・A夜間)),0)*(1+_15・盲ろう)),0)+ROUND((ROUND((ROUND((_15_同援日２．０＿１．０*_15・通訳),0)*(1+_15・B深夜)),0)*(1+_15・盲ろう)),0)</f>
        <v>920</v>
      </c>
      <c r="AC165" s="48"/>
    </row>
    <row r="166" spans="1:29" ht="16.5" customHeight="1" x14ac:dyDescent="0.15">
      <c r="A166" s="41">
        <v>15</v>
      </c>
      <c r="B166" s="41" t="s">
        <v>3251</v>
      </c>
      <c r="C166" s="74" t="s">
        <v>28053</v>
      </c>
      <c r="D166" s="72"/>
      <c r="F166" s="57"/>
      <c r="G166" s="72"/>
      <c r="H166" s="168">
        <f>_15_同援日２．０＿１．０</f>
        <v>130</v>
      </c>
      <c r="I166" s="57" t="s">
        <v>392</v>
      </c>
      <c r="J166" s="35"/>
      <c r="M166" s="299" t="s">
        <v>17556</v>
      </c>
      <c r="N166" s="45" t="s">
        <v>398</v>
      </c>
      <c r="O166" s="46">
        <v>1</v>
      </c>
      <c r="P166" s="512"/>
      <c r="Q166" s="57"/>
      <c r="R166" s="512"/>
      <c r="S166" s="57"/>
      <c r="T166" s="122" t="s">
        <v>17564</v>
      </c>
      <c r="U166" s="37" t="s">
        <v>398</v>
      </c>
      <c r="V166" s="38">
        <v>0.25</v>
      </c>
      <c r="W166" s="79" t="s">
        <v>3575</v>
      </c>
      <c r="X166" s="122"/>
      <c r="Y166" s="37"/>
      <c r="Z166" s="38"/>
      <c r="AA166" s="79"/>
      <c r="AB166" s="208">
        <f>ROUND((ROUND((ROUND((ROUND((_15_同援日２．０*_15・通訳),0)*_15・２人),0)*(1+_15・A夜間)),0)*(1+_15・盲ろう)),0)+ROUND((ROUND((ROUND((ROUND((_15_同援日２．０＿１．０*_15・通訳),0)*_15・２人),0)*(1+_15・B深夜)),0)*(1+_15・盲ろう)),0)</f>
        <v>920</v>
      </c>
      <c r="AC166" s="48"/>
    </row>
    <row r="167" spans="1:29" ht="16.5" customHeight="1" x14ac:dyDescent="0.15">
      <c r="A167" s="41">
        <v>15</v>
      </c>
      <c r="B167" s="41" t="s">
        <v>3253</v>
      </c>
      <c r="C167" s="74" t="s">
        <v>28054</v>
      </c>
      <c r="D167" s="72"/>
      <c r="F167" s="57"/>
      <c r="G167" s="72"/>
      <c r="I167" s="57"/>
      <c r="J167" s="35"/>
      <c r="M167" s="299"/>
      <c r="N167" s="45"/>
      <c r="O167" s="46"/>
      <c r="P167" s="512"/>
      <c r="Q167" s="57"/>
      <c r="R167" s="512"/>
      <c r="S167" s="57"/>
      <c r="T167" s="114"/>
      <c r="U167" s="49"/>
      <c r="V167" s="50"/>
      <c r="W167" s="115"/>
      <c r="X167" s="114" t="s">
        <v>17570</v>
      </c>
      <c r="Y167" s="49"/>
      <c r="Z167" s="50"/>
      <c r="AA167" s="115"/>
      <c r="AB167" s="208">
        <f>ROUND((ROUND((ROUND((_15_同援日２．０*_15・通訳),0)*(1+_15・A夜間)),0)*(1+_15・区３)),0)+ROUND((ROUND((ROUND((_15_同援日２．０＿１．０*_15・通訳),0)*(1+_15・B深夜)),0)*(1+_15・区３)),0)</f>
        <v>883</v>
      </c>
      <c r="AC167" s="48"/>
    </row>
    <row r="168" spans="1:29" ht="16.5" customHeight="1" x14ac:dyDescent="0.15">
      <c r="A168" s="41">
        <v>15</v>
      </c>
      <c r="B168" s="41" t="s">
        <v>3255</v>
      </c>
      <c r="C168" s="74" t="s">
        <v>28055</v>
      </c>
      <c r="D168" s="72"/>
      <c r="F168" s="57"/>
      <c r="G168" s="72"/>
      <c r="I168" s="57"/>
      <c r="J168" s="35"/>
      <c r="M168" s="299" t="s">
        <v>17556</v>
      </c>
      <c r="N168" s="45" t="s">
        <v>398</v>
      </c>
      <c r="O168" s="46">
        <v>1</v>
      </c>
      <c r="P168" s="512"/>
      <c r="Q168" s="57"/>
      <c r="R168" s="512"/>
      <c r="S168" s="57"/>
      <c r="T168" s="122"/>
      <c r="U168" s="37"/>
      <c r="V168" s="38"/>
      <c r="W168" s="79"/>
      <c r="X168" s="72" t="s">
        <v>17572</v>
      </c>
      <c r="AA168" s="57"/>
      <c r="AB168" s="208">
        <f>ROUND((ROUND((ROUND((ROUND((_15_同援日２．０*_15・通訳),0)*_15・２人),0)*(1+_15・A夜間)),0)*(1+_15・区３)),0)+ROUND((ROUND((ROUND((ROUND((_15_同援日２．０＿１．０*_15・通訳),0)*_15・２人),0)*(1+_15・B深夜)),0)*(1+_15・区３)),0)</f>
        <v>883</v>
      </c>
      <c r="AC168" s="48"/>
    </row>
    <row r="169" spans="1:29" ht="16.5" customHeight="1" x14ac:dyDescent="0.15">
      <c r="A169" s="41">
        <v>15</v>
      </c>
      <c r="B169" s="41" t="s">
        <v>28056</v>
      </c>
      <c r="C169" s="74" t="s">
        <v>28057</v>
      </c>
      <c r="D169" s="72"/>
      <c r="F169" s="57"/>
      <c r="G169" s="72"/>
      <c r="I169" s="57"/>
      <c r="J169" s="35"/>
      <c r="M169" s="299"/>
      <c r="N169" s="45"/>
      <c r="O169" s="46"/>
      <c r="P169" s="512"/>
      <c r="Q169" s="57"/>
      <c r="R169" s="512"/>
      <c r="S169" s="57"/>
      <c r="T169" s="114" t="s">
        <v>17562</v>
      </c>
      <c r="U169" s="49"/>
      <c r="V169" s="50"/>
      <c r="W169" s="115"/>
      <c r="X169" s="72"/>
      <c r="Y169" s="12" t="s">
        <v>398</v>
      </c>
      <c r="Z169" s="13">
        <v>0.2</v>
      </c>
      <c r="AA169" s="57" t="s">
        <v>3575</v>
      </c>
      <c r="AB169" s="208">
        <f>ROUND((ROUND((ROUND((ROUND((_15_同援日２．０*_15・通訳),0)*(1+_15・A夜間)),0)*(1+_15・盲ろう)),0)*(1+_15・区３)),0)+ROUND((ROUND((ROUND((ROUND((_15_同援日２．０＿１．０*_15・通訳),0)*(1+_15・B深夜)),0)*(1+_15・盲ろう)),0)*(1+_15・区３)),0)</f>
        <v>1104</v>
      </c>
      <c r="AC169" s="48"/>
    </row>
    <row r="170" spans="1:29" ht="16.5" customHeight="1" x14ac:dyDescent="0.15">
      <c r="A170" s="41">
        <v>15</v>
      </c>
      <c r="B170" s="41" t="s">
        <v>28058</v>
      </c>
      <c r="C170" s="74" t="s">
        <v>28059</v>
      </c>
      <c r="D170" s="72"/>
      <c r="F170" s="57"/>
      <c r="G170" s="72"/>
      <c r="I170" s="57"/>
      <c r="J170" s="35"/>
      <c r="M170" s="299" t="s">
        <v>17556</v>
      </c>
      <c r="N170" s="45" t="s">
        <v>398</v>
      </c>
      <c r="O170" s="46">
        <v>1</v>
      </c>
      <c r="P170" s="512"/>
      <c r="Q170" s="57"/>
      <c r="R170" s="512"/>
      <c r="S170" s="57"/>
      <c r="T170" s="122" t="s">
        <v>17564</v>
      </c>
      <c r="U170" s="37" t="s">
        <v>398</v>
      </c>
      <c r="V170" s="38">
        <v>0.25</v>
      </c>
      <c r="W170" s="79" t="s">
        <v>3575</v>
      </c>
      <c r="X170" s="122"/>
      <c r="Y170" s="37"/>
      <c r="Z170" s="38"/>
      <c r="AA170" s="79"/>
      <c r="AB170" s="208">
        <f>ROUND((ROUND((ROUND((ROUND((ROUND((_15_同援日２．０*_15・通訳),0)*_15・２人),0)*(1+_15・A夜間)),0)*(1+_15・盲ろう)),0)*(1+_15・区３)),0)+ROUND((ROUND((ROUND((ROUND((ROUND((_15_同援日２．０＿１．０*_15・通訳),0)*_15・２人),0)*(1+_15・B深夜)),0)*(1+_15・盲ろう)),0)*(1+_15・区３)),0)</f>
        <v>1104</v>
      </c>
      <c r="AC170" s="48"/>
    </row>
    <row r="171" spans="1:29" ht="16.5" customHeight="1" x14ac:dyDescent="0.15">
      <c r="A171" s="41">
        <v>15</v>
      </c>
      <c r="B171" s="41" t="s">
        <v>28060</v>
      </c>
      <c r="C171" s="74" t="s">
        <v>28061</v>
      </c>
      <c r="D171" s="72"/>
      <c r="F171" s="57"/>
      <c r="G171" s="72"/>
      <c r="I171" s="57"/>
      <c r="J171" s="35"/>
      <c r="M171" s="299"/>
      <c r="N171" s="45"/>
      <c r="O171" s="46"/>
      <c r="P171" s="512"/>
      <c r="Q171" s="57"/>
      <c r="R171" s="512"/>
      <c r="S171" s="57"/>
      <c r="T171" s="114"/>
      <c r="U171" s="49"/>
      <c r="V171" s="50"/>
      <c r="W171" s="115"/>
      <c r="X171" s="114" t="s">
        <v>17580</v>
      </c>
      <c r="Y171" s="49"/>
      <c r="Z171" s="50"/>
      <c r="AA171" s="115"/>
      <c r="AB171" s="208">
        <f>ROUND((ROUND((ROUND((_15_同援日２．０*_15・通訳),0)*(1+_15・A夜間)),0)*(1+_15・区４)),0)+ROUND((ROUND((ROUND((_15_同援日２．０＿１．０*_15・通訳),0)*(1+_15・B深夜)),0)*(1+_15・区４)),0)</f>
        <v>1030</v>
      </c>
      <c r="AC171" s="48"/>
    </row>
    <row r="172" spans="1:29" ht="16.5" customHeight="1" x14ac:dyDescent="0.15">
      <c r="A172" s="41">
        <v>15</v>
      </c>
      <c r="B172" s="41" t="s">
        <v>28062</v>
      </c>
      <c r="C172" s="74" t="s">
        <v>28063</v>
      </c>
      <c r="D172" s="72"/>
      <c r="F172" s="57"/>
      <c r="G172" s="72"/>
      <c r="I172" s="57"/>
      <c r="J172" s="35"/>
      <c r="M172" s="299" t="s">
        <v>17556</v>
      </c>
      <c r="N172" s="45" t="s">
        <v>398</v>
      </c>
      <c r="O172" s="46">
        <v>1</v>
      </c>
      <c r="P172" s="512"/>
      <c r="Q172" s="57"/>
      <c r="R172" s="512"/>
      <c r="S172" s="57"/>
      <c r="T172" s="122"/>
      <c r="U172" s="37"/>
      <c r="V172" s="38"/>
      <c r="W172" s="79"/>
      <c r="X172" s="72" t="s">
        <v>17572</v>
      </c>
      <c r="AA172" s="57"/>
      <c r="AB172" s="208">
        <f>ROUND((ROUND((ROUND((ROUND((_15_同援日２．０*_15・通訳),0)*_15・２人),0)*(1+_15・A夜間)),0)*(1+_15・区４)),0)+ROUND((ROUND((ROUND((ROUND((_15_同援日２．０＿１．０*_15・通訳),0)*_15・２人),0)*(1+_15・B深夜)),0)*(1+_15・区４)),0)</f>
        <v>1030</v>
      </c>
      <c r="AC172" s="48"/>
    </row>
    <row r="173" spans="1:29" ht="16.5" customHeight="1" x14ac:dyDescent="0.15">
      <c r="A173" s="41">
        <v>15</v>
      </c>
      <c r="B173" s="41" t="s">
        <v>28064</v>
      </c>
      <c r="C173" s="74" t="s">
        <v>28065</v>
      </c>
      <c r="D173" s="72"/>
      <c r="F173" s="57"/>
      <c r="G173" s="72"/>
      <c r="I173" s="57"/>
      <c r="J173" s="35"/>
      <c r="M173" s="299"/>
      <c r="N173" s="45"/>
      <c r="O173" s="46"/>
      <c r="P173" s="512"/>
      <c r="Q173" s="57"/>
      <c r="R173" s="512"/>
      <c r="S173" s="57"/>
      <c r="T173" s="114" t="s">
        <v>17562</v>
      </c>
      <c r="U173" s="49"/>
      <c r="V173" s="50"/>
      <c r="W173" s="115"/>
      <c r="X173" s="72"/>
      <c r="Y173" s="12" t="s">
        <v>398</v>
      </c>
      <c r="Z173" s="13">
        <v>0.4</v>
      </c>
      <c r="AA173" s="57" t="s">
        <v>3575</v>
      </c>
      <c r="AB173" s="208">
        <f>ROUND((ROUND((ROUND((ROUND((_15_同援日２．０*_15・通訳),0)*(1+_15・A夜間)),0)*(1+_15・盲ろう)),0)*(1+_15・区４)),0)+ROUND((ROUND((ROUND((ROUND((_15_同援日２．０＿１．０*_15・通訳),0)*(1+_15・B深夜)),0)*(1+_15・盲ろう)),0)*(1+_15・区４)),0)</f>
        <v>1288</v>
      </c>
      <c r="AC173" s="48"/>
    </row>
    <row r="174" spans="1:29" ht="16.5" customHeight="1" x14ac:dyDescent="0.15">
      <c r="A174" s="41">
        <v>15</v>
      </c>
      <c r="B174" s="41" t="s">
        <v>28066</v>
      </c>
      <c r="C174" s="74" t="s">
        <v>28067</v>
      </c>
      <c r="D174" s="122"/>
      <c r="E174" s="37"/>
      <c r="F174" s="79"/>
      <c r="G174" s="122"/>
      <c r="H174" s="37"/>
      <c r="I174" s="79"/>
      <c r="J174" s="35"/>
      <c r="M174" s="299" t="s">
        <v>17556</v>
      </c>
      <c r="N174" s="45" t="s">
        <v>398</v>
      </c>
      <c r="O174" s="46">
        <v>1</v>
      </c>
      <c r="P174" s="512"/>
      <c r="Q174" s="57"/>
      <c r="R174" s="512"/>
      <c r="S174" s="57"/>
      <c r="T174" s="122" t="s">
        <v>17564</v>
      </c>
      <c r="U174" s="37" t="s">
        <v>398</v>
      </c>
      <c r="V174" s="38">
        <v>0.25</v>
      </c>
      <c r="W174" s="79" t="s">
        <v>3575</v>
      </c>
      <c r="X174" s="122"/>
      <c r="Y174" s="37"/>
      <c r="Z174" s="38"/>
      <c r="AA174" s="79"/>
      <c r="AB174" s="208">
        <f>ROUND((ROUND((ROUND((ROUND((ROUND((_15_同援日２．０*_15・通訳),0)*_15・２人),0)*(1+_15・A夜間)),0)*(1+_15・盲ろう)),0)*(1+_15・区４)),0)+ROUND((ROUND((ROUND((ROUND((ROUND((_15_同援日２．０＿１．０*_15・通訳),0)*_15・２人),0)*(1+_15・B深夜)),0)*(1+_15・盲ろう)),0)*(1+_15・区４)),0)</f>
        <v>1288</v>
      </c>
      <c r="AC174" s="48"/>
    </row>
    <row r="175" spans="1:29" ht="16.5" customHeight="1" x14ac:dyDescent="0.15">
      <c r="A175" s="41">
        <v>15</v>
      </c>
      <c r="B175" s="41" t="s">
        <v>28068</v>
      </c>
      <c r="C175" s="74" t="s">
        <v>28069</v>
      </c>
      <c r="D175" s="114" t="s">
        <v>18359</v>
      </c>
      <c r="E175" s="49"/>
      <c r="F175" s="115"/>
      <c r="G175" s="114" t="s">
        <v>19945</v>
      </c>
      <c r="H175" s="49"/>
      <c r="I175" s="115"/>
      <c r="J175" s="35"/>
      <c r="M175" s="299"/>
      <c r="N175" s="45"/>
      <c r="O175" s="46"/>
      <c r="P175" s="512"/>
      <c r="Q175" s="57"/>
      <c r="R175" s="512"/>
      <c r="S175" s="57"/>
      <c r="T175" s="114"/>
      <c r="U175" s="49"/>
      <c r="V175" s="50"/>
      <c r="W175" s="115"/>
      <c r="X175" s="114"/>
      <c r="Y175" s="49"/>
      <c r="Z175" s="50"/>
      <c r="AA175" s="115"/>
      <c r="AB175" s="208">
        <f>ROUND((ROUND((_15_同援日２．５*_15・通訳),0)*(1+_15・A夜間)),0)+ROUND((ROUND((_15_同援日２．５＿０．５*_15・通訳),0)*(1+_15・B深夜)),0)</f>
        <v>723</v>
      </c>
      <c r="AC175" s="48"/>
    </row>
    <row r="176" spans="1:29" ht="16.5" customHeight="1" x14ac:dyDescent="0.15">
      <c r="A176" s="41">
        <v>15</v>
      </c>
      <c r="B176" s="41" t="s">
        <v>28070</v>
      </c>
      <c r="C176" s="74" t="s">
        <v>28071</v>
      </c>
      <c r="D176" s="72" t="s">
        <v>17670</v>
      </c>
      <c r="F176" s="57"/>
      <c r="G176" s="72" t="s">
        <v>18259</v>
      </c>
      <c r="I176" s="57"/>
      <c r="J176" s="35"/>
      <c r="M176" s="299" t="s">
        <v>17556</v>
      </c>
      <c r="N176" s="45" t="s">
        <v>398</v>
      </c>
      <c r="O176" s="46">
        <v>1</v>
      </c>
      <c r="P176" s="512"/>
      <c r="Q176" s="57"/>
      <c r="R176" s="512"/>
      <c r="S176" s="57"/>
      <c r="T176" s="122"/>
      <c r="U176" s="37"/>
      <c r="V176" s="38"/>
      <c r="W176" s="79"/>
      <c r="X176" s="72"/>
      <c r="AA176" s="57"/>
      <c r="AB176" s="208">
        <f>ROUND((ROUND((ROUND((_15_同援日２．５*_15・通訳),0)*_15・２人),0)*(1+_15・A夜間)),0)+ROUND((ROUND((ROUND((_15_同援日２．５＿０．５*_15・通訳),0)*_15・２人),0)*(1+_15・B深夜)),0)</f>
        <v>723</v>
      </c>
      <c r="AC176" s="48"/>
    </row>
    <row r="177" spans="1:29" ht="16.5" customHeight="1" x14ac:dyDescent="0.15">
      <c r="A177" s="41">
        <v>15</v>
      </c>
      <c r="B177" s="41" t="s">
        <v>28072</v>
      </c>
      <c r="C177" s="74" t="s">
        <v>28073</v>
      </c>
      <c r="D177" s="72" t="s">
        <v>17672</v>
      </c>
      <c r="F177" s="57"/>
      <c r="G177" s="72"/>
      <c r="I177" s="57"/>
      <c r="J177" s="35"/>
      <c r="M177" s="299"/>
      <c r="N177" s="45"/>
      <c r="O177" s="46"/>
      <c r="P177" s="512"/>
      <c r="Q177" s="57"/>
      <c r="R177" s="512"/>
      <c r="S177" s="57"/>
      <c r="T177" s="114" t="s">
        <v>17562</v>
      </c>
      <c r="U177" s="49"/>
      <c r="V177" s="50"/>
      <c r="W177" s="115"/>
      <c r="X177" s="72"/>
      <c r="AA177" s="57"/>
      <c r="AB177" s="208">
        <f>ROUND((ROUND((ROUND((_15_同援日２．５*_15・通訳),0)*(1+_15・A夜間)),0)*(1+_15・盲ろう)),0)+ROUND((ROUND((ROUND((_15_同援日２．５＿０．５*_15・通訳),0)*(1+_15・B深夜)),0)*(1+_15・盲ろう)),0)</f>
        <v>904</v>
      </c>
      <c r="AC177" s="48"/>
    </row>
    <row r="178" spans="1:29" ht="16.5" customHeight="1" x14ac:dyDescent="0.15">
      <c r="A178" s="41">
        <v>15</v>
      </c>
      <c r="B178" s="41" t="s">
        <v>28074</v>
      </c>
      <c r="C178" s="74" t="s">
        <v>28075</v>
      </c>
      <c r="D178" s="72"/>
      <c r="E178" s="168">
        <f>_15_同援日２．５</f>
        <v>563</v>
      </c>
      <c r="F178" s="57" t="s">
        <v>392</v>
      </c>
      <c r="G178" s="72"/>
      <c r="H178" s="168">
        <f>_15_同援日２．５＿０．５</f>
        <v>65</v>
      </c>
      <c r="I178" s="57" t="s">
        <v>392</v>
      </c>
      <c r="J178" s="35"/>
      <c r="M178" s="299" t="s">
        <v>17556</v>
      </c>
      <c r="N178" s="45" t="s">
        <v>398</v>
      </c>
      <c r="O178" s="46">
        <v>1</v>
      </c>
      <c r="P178" s="512"/>
      <c r="Q178" s="57"/>
      <c r="R178" s="512"/>
      <c r="S178" s="57"/>
      <c r="T178" s="122" t="s">
        <v>17564</v>
      </c>
      <c r="U178" s="37" t="s">
        <v>398</v>
      </c>
      <c r="V178" s="38">
        <v>0.25</v>
      </c>
      <c r="W178" s="79" t="s">
        <v>3575</v>
      </c>
      <c r="X178" s="122"/>
      <c r="Y178" s="37"/>
      <c r="Z178" s="38"/>
      <c r="AA178" s="79"/>
      <c r="AB178" s="208">
        <f>ROUND((ROUND((ROUND((ROUND((_15_同援日２．５*_15・通訳),0)*_15・２人),0)*(1+_15・A夜間)),0)*(1+_15・盲ろう)),0)+ROUND((ROUND((ROUND((ROUND((_15_同援日２．５＿０．５*_15・通訳),0)*_15・２人),0)*(1+_15・B深夜)),0)*(1+_15・盲ろう)),0)</f>
        <v>904</v>
      </c>
      <c r="AC178" s="48"/>
    </row>
    <row r="179" spans="1:29" ht="16.5" customHeight="1" x14ac:dyDescent="0.15">
      <c r="A179" s="41">
        <v>15</v>
      </c>
      <c r="B179" s="41" t="s">
        <v>28076</v>
      </c>
      <c r="C179" s="74" t="s">
        <v>28077</v>
      </c>
      <c r="D179" s="72"/>
      <c r="F179" s="57"/>
      <c r="G179" s="72"/>
      <c r="I179" s="57"/>
      <c r="J179" s="35"/>
      <c r="M179" s="299"/>
      <c r="N179" s="45"/>
      <c r="O179" s="46"/>
      <c r="P179" s="512"/>
      <c r="Q179" s="57"/>
      <c r="R179" s="512"/>
      <c r="S179" s="57"/>
      <c r="T179" s="114"/>
      <c r="U179" s="49"/>
      <c r="V179" s="50"/>
      <c r="W179" s="115"/>
      <c r="X179" s="114" t="s">
        <v>17570</v>
      </c>
      <c r="Y179" s="49"/>
      <c r="Z179" s="50"/>
      <c r="AA179" s="115"/>
      <c r="AB179" s="208">
        <f>ROUND((ROUND((ROUND((_15_同援日２．５*_15・通訳),0)*(1+_15・A夜間)),0)*(1+_15・区３)),0)+ROUND((ROUND((ROUND((_15_同援日２．５＿０．５*_15・通訳),0)*(1+_15・B深夜)),0)*(1+_15・区３)),0)</f>
        <v>868</v>
      </c>
      <c r="AC179" s="48"/>
    </row>
    <row r="180" spans="1:29" ht="16.5" customHeight="1" x14ac:dyDescent="0.15">
      <c r="A180" s="41">
        <v>15</v>
      </c>
      <c r="B180" s="41" t="s">
        <v>28078</v>
      </c>
      <c r="C180" s="74" t="s">
        <v>28079</v>
      </c>
      <c r="D180" s="72"/>
      <c r="F180" s="57"/>
      <c r="G180" s="72"/>
      <c r="I180" s="57"/>
      <c r="J180" s="35"/>
      <c r="M180" s="299" t="s">
        <v>17556</v>
      </c>
      <c r="N180" s="45" t="s">
        <v>398</v>
      </c>
      <c r="O180" s="46">
        <v>1</v>
      </c>
      <c r="P180" s="512"/>
      <c r="Q180" s="57"/>
      <c r="R180" s="512"/>
      <c r="S180" s="57"/>
      <c r="T180" s="122"/>
      <c r="U180" s="37"/>
      <c r="V180" s="38"/>
      <c r="W180" s="79"/>
      <c r="X180" s="72" t="s">
        <v>17572</v>
      </c>
      <c r="AA180" s="57"/>
      <c r="AB180" s="208">
        <f>ROUND((ROUND((ROUND((ROUND((_15_同援日２．５*_15・通訳),0)*_15・２人),0)*(1+_15・A夜間)),0)*(1+_15・区３)),0)+ROUND((ROUND((ROUND((ROUND((_15_同援日２．５＿０．５*_15・通訳),0)*_15・２人),0)*(1+_15・B深夜)),0)*(1+_15・区３)),0)</f>
        <v>868</v>
      </c>
      <c r="AC180" s="48"/>
    </row>
    <row r="181" spans="1:29" ht="16.5" customHeight="1" x14ac:dyDescent="0.15">
      <c r="A181" s="41">
        <v>15</v>
      </c>
      <c r="B181" s="41" t="s">
        <v>28080</v>
      </c>
      <c r="C181" s="74" t="s">
        <v>28081</v>
      </c>
      <c r="D181" s="72"/>
      <c r="F181" s="57"/>
      <c r="G181" s="72"/>
      <c r="I181" s="57"/>
      <c r="J181" s="35"/>
      <c r="M181" s="299"/>
      <c r="N181" s="45"/>
      <c r="O181" s="46"/>
      <c r="P181" s="512"/>
      <c r="Q181" s="57"/>
      <c r="R181" s="512"/>
      <c r="S181" s="57"/>
      <c r="T181" s="114" t="s">
        <v>17562</v>
      </c>
      <c r="U181" s="49"/>
      <c r="V181" s="50"/>
      <c r="W181" s="115"/>
      <c r="X181" s="72"/>
      <c r="Y181" s="12" t="s">
        <v>398</v>
      </c>
      <c r="Z181" s="13">
        <v>0.2</v>
      </c>
      <c r="AA181" s="57" t="s">
        <v>3575</v>
      </c>
      <c r="AB181" s="208">
        <f>ROUND((ROUND((ROUND((ROUND((_15_同援日２．５*_15・通訳),0)*(1+_15・A夜間)),0)*(1+_15・盲ろう)),0)*(1+_15・区３)),0)+ROUND((ROUND((ROUND((ROUND((_15_同援日２．５＿０．５*_15・通訳),0)*(1+_15・B深夜)),0)*(1+_15・盲ろう)),0)*(1+_15・区３)),0)</f>
        <v>1085</v>
      </c>
      <c r="AC181" s="48"/>
    </row>
    <row r="182" spans="1:29" ht="16.5" customHeight="1" x14ac:dyDescent="0.15">
      <c r="A182" s="41">
        <v>15</v>
      </c>
      <c r="B182" s="41" t="s">
        <v>28082</v>
      </c>
      <c r="C182" s="74" t="s">
        <v>28083</v>
      </c>
      <c r="D182" s="72"/>
      <c r="F182" s="57"/>
      <c r="G182" s="72"/>
      <c r="I182" s="57"/>
      <c r="J182" s="35"/>
      <c r="M182" s="299" t="s">
        <v>17556</v>
      </c>
      <c r="N182" s="45" t="s">
        <v>398</v>
      </c>
      <c r="O182" s="46">
        <v>1</v>
      </c>
      <c r="P182" s="512"/>
      <c r="Q182" s="57"/>
      <c r="R182" s="512"/>
      <c r="S182" s="57"/>
      <c r="T182" s="122" t="s">
        <v>17564</v>
      </c>
      <c r="U182" s="37" t="s">
        <v>398</v>
      </c>
      <c r="V182" s="38">
        <v>0.25</v>
      </c>
      <c r="W182" s="79" t="s">
        <v>3575</v>
      </c>
      <c r="X182" s="122"/>
      <c r="Y182" s="37"/>
      <c r="Z182" s="38"/>
      <c r="AA182" s="79"/>
      <c r="AB182" s="208">
        <f>ROUND((ROUND((ROUND((ROUND((ROUND((_15_同援日２．５*_15・通訳),0)*_15・２人),0)*(1+_15・A夜間)),0)*(1+_15・盲ろう)),0)*(1+_15・区３)),0)+ROUND((ROUND((ROUND((ROUND((ROUND((_15_同援日２．５＿０．５*_15・通訳),0)*_15・２人),0)*(1+_15・B深夜)),0)*(1+_15・盲ろう)),0)*(1+_15・区３)),0)</f>
        <v>1085</v>
      </c>
      <c r="AC182" s="48"/>
    </row>
    <row r="183" spans="1:29" ht="16.5" customHeight="1" x14ac:dyDescent="0.15">
      <c r="A183" s="41">
        <v>15</v>
      </c>
      <c r="B183" s="41" t="s">
        <v>28084</v>
      </c>
      <c r="C183" s="74" t="s">
        <v>28085</v>
      </c>
      <c r="D183" s="72"/>
      <c r="F183" s="57"/>
      <c r="G183" s="72"/>
      <c r="I183" s="57"/>
      <c r="J183" s="35"/>
      <c r="M183" s="299"/>
      <c r="N183" s="45"/>
      <c r="O183" s="46"/>
      <c r="P183" s="512"/>
      <c r="Q183" s="57"/>
      <c r="R183" s="512"/>
      <c r="S183" s="57"/>
      <c r="T183" s="114"/>
      <c r="U183" s="49"/>
      <c r="V183" s="50"/>
      <c r="W183" s="115"/>
      <c r="X183" s="114" t="s">
        <v>17580</v>
      </c>
      <c r="Y183" s="49"/>
      <c r="Z183" s="50"/>
      <c r="AA183" s="115"/>
      <c r="AB183" s="208">
        <f>ROUND((ROUND((ROUND((_15_同援日２．５*_15・通訳),0)*(1+_15・A夜間)),0)*(1+_15・区４)),0)+ROUND((ROUND((ROUND((_15_同援日２．５＿０．５*_15・通訳),0)*(1+_15・B深夜)),0)*(1+_15・区４)),0)</f>
        <v>1013</v>
      </c>
      <c r="AC183" s="48"/>
    </row>
    <row r="184" spans="1:29" ht="16.5" customHeight="1" x14ac:dyDescent="0.15">
      <c r="A184" s="41">
        <v>15</v>
      </c>
      <c r="B184" s="41" t="s">
        <v>28086</v>
      </c>
      <c r="C184" s="74" t="s">
        <v>28087</v>
      </c>
      <c r="D184" s="72"/>
      <c r="F184" s="57"/>
      <c r="G184" s="72"/>
      <c r="I184" s="57"/>
      <c r="J184" s="35"/>
      <c r="M184" s="299" t="s">
        <v>17556</v>
      </c>
      <c r="N184" s="45" t="s">
        <v>398</v>
      </c>
      <c r="O184" s="46">
        <v>1</v>
      </c>
      <c r="P184" s="512"/>
      <c r="Q184" s="57"/>
      <c r="R184" s="512"/>
      <c r="S184" s="57"/>
      <c r="T184" s="122"/>
      <c r="U184" s="37"/>
      <c r="V184" s="38"/>
      <c r="W184" s="79"/>
      <c r="X184" s="72" t="s">
        <v>17572</v>
      </c>
      <c r="AA184" s="57"/>
      <c r="AB184" s="208">
        <f>ROUND((ROUND((ROUND((ROUND((_15_同援日２．５*_15・通訳),0)*_15・２人),0)*(1+_15・A夜間)),0)*(1+_15・区４)),0)+ROUND((ROUND((ROUND((ROUND((_15_同援日２．５＿０．５*_15・通訳),0)*_15・２人),0)*(1+_15・B深夜)),0)*(1+_15・区４)),0)</f>
        <v>1013</v>
      </c>
      <c r="AC184" s="48"/>
    </row>
    <row r="185" spans="1:29" ht="16.5" customHeight="1" x14ac:dyDescent="0.15">
      <c r="A185" s="41">
        <v>15</v>
      </c>
      <c r="B185" s="41" t="s">
        <v>3261</v>
      </c>
      <c r="C185" s="74" t="s">
        <v>28088</v>
      </c>
      <c r="D185" s="72"/>
      <c r="F185" s="57"/>
      <c r="G185" s="72"/>
      <c r="I185" s="57"/>
      <c r="J185" s="35"/>
      <c r="M185" s="299"/>
      <c r="N185" s="45"/>
      <c r="O185" s="46"/>
      <c r="P185" s="512"/>
      <c r="Q185" s="57"/>
      <c r="R185" s="512"/>
      <c r="S185" s="57"/>
      <c r="T185" s="114" t="s">
        <v>17562</v>
      </c>
      <c r="U185" s="49"/>
      <c r="V185" s="50"/>
      <c r="W185" s="115"/>
      <c r="X185" s="72"/>
      <c r="Y185" s="12" t="s">
        <v>398</v>
      </c>
      <c r="Z185" s="13">
        <v>0.4</v>
      </c>
      <c r="AA185" s="57" t="s">
        <v>3575</v>
      </c>
      <c r="AB185" s="208">
        <f>ROUND((ROUND((ROUND((ROUND((_15_同援日２．５*_15・通訳),0)*(1+_15・A夜間)),0)*(1+_15・盲ろう)),0)*(1+_15・区４)),0)+ROUND((ROUND((ROUND((ROUND((_15_同援日２．５＿０．５*_15・通訳),0)*(1+_15・B深夜)),0)*(1+_15・盲ろう)),0)*(1+_15・区４)),0)</f>
        <v>1265</v>
      </c>
      <c r="AC185" s="48"/>
    </row>
    <row r="186" spans="1:29" ht="16.5" customHeight="1" x14ac:dyDescent="0.15">
      <c r="A186" s="41">
        <v>15</v>
      </c>
      <c r="B186" s="41" t="s">
        <v>3263</v>
      </c>
      <c r="C186" s="74" t="s">
        <v>28089</v>
      </c>
      <c r="D186" s="122"/>
      <c r="E186" s="37"/>
      <c r="F186" s="79"/>
      <c r="G186" s="122"/>
      <c r="H186" s="37"/>
      <c r="I186" s="79"/>
      <c r="J186" s="43"/>
      <c r="K186" s="37"/>
      <c r="L186" s="38"/>
      <c r="M186" s="299" t="s">
        <v>17556</v>
      </c>
      <c r="N186" s="45" t="s">
        <v>398</v>
      </c>
      <c r="O186" s="46">
        <v>1</v>
      </c>
      <c r="P186" s="514"/>
      <c r="Q186" s="79"/>
      <c r="R186" s="514"/>
      <c r="S186" s="79"/>
      <c r="T186" s="122" t="s">
        <v>17564</v>
      </c>
      <c r="U186" s="37" t="s">
        <v>398</v>
      </c>
      <c r="V186" s="38">
        <v>0.25</v>
      </c>
      <c r="W186" s="79" t="s">
        <v>3575</v>
      </c>
      <c r="X186" s="122"/>
      <c r="Y186" s="37"/>
      <c r="Z186" s="38"/>
      <c r="AA186" s="79"/>
      <c r="AB186" s="208">
        <f>ROUND((ROUND((ROUND((ROUND((ROUND((_15_同援日２．５*_15・通訳),0)*_15・２人),0)*(1+_15・A夜間)),0)*(1+_15・盲ろう)),0)*(1+_15・区４)),0)+ROUND((ROUND((ROUND((ROUND((ROUND((_15_同援日２．５＿０．５*_15・通訳),0)*_15・２人),0)*(1+_15・B深夜)),0)*(1+_15・盲ろう)),0)*(1+_15・区４)),0)</f>
        <v>1265</v>
      </c>
      <c r="AC186" s="63"/>
    </row>
    <row r="187" spans="1:29" ht="16.5" customHeight="1" x14ac:dyDescent="0.15"/>
    <row r="188" spans="1:29"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41" fitToHeight="0" orientation="portrait" r:id="rId1"/>
  <headerFooter>
    <oddHeader>&amp;R&amp;"ＭＳ Ｐゴシック"&amp;9同行援護</oddHeader>
    <oddFooter>&amp;C&amp;"ＭＳ Ｐゴシック"&amp;14&amp;P</oddFooter>
  </headerFooter>
  <rowBreaks count="1" manualBreakCount="1">
    <brk id="114" max="16383"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2">
    <pageSetUpPr fitToPage="1"/>
  </sheetPr>
  <dimension ref="A1:AA188"/>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2.5" style="12" customWidth="1"/>
    <col min="5" max="5" width="13.875" style="10" customWidth="1"/>
    <col min="6" max="6" width="2.5" style="12" customWidth="1"/>
    <col min="7" max="7" width="5.5" style="10" customWidth="1"/>
    <col min="8" max="8" width="4.125" style="12" bestFit="1" customWidth="1"/>
    <col min="9" max="9" width="5.125" style="12" customWidth="1"/>
    <col min="10" max="10" width="16.5" style="12" customWidth="1"/>
    <col min="11" max="11" width="3.125" style="12" bestFit="1" customWidth="1"/>
    <col min="12" max="12" width="4.125" style="13" bestFit="1" customWidth="1"/>
    <col min="13" max="13" width="25.875" style="12" customWidth="1"/>
    <col min="14" max="14" width="3.125" style="12" bestFit="1" customWidth="1"/>
    <col min="15" max="15" width="5" style="13" bestFit="1" customWidth="1"/>
    <col min="16" max="16" width="4.125" style="13" bestFit="1" customWidth="1"/>
    <col min="17" max="17" width="4.875" style="12" bestFit="1" customWidth="1"/>
    <col min="18" max="18" width="21.5" style="12" customWidth="1"/>
    <col min="19" max="19" width="3.125" style="12" bestFit="1" customWidth="1"/>
    <col min="20" max="20" width="4.125" style="13" bestFit="1" customWidth="1"/>
    <col min="21" max="21" width="4.875" style="12" bestFit="1" customWidth="1"/>
    <col min="22" max="22" width="8.5" style="12" customWidth="1"/>
    <col min="23" max="23" width="3.125" style="12" bestFit="1" customWidth="1"/>
    <col min="24" max="24" width="4.125" style="13" bestFit="1" customWidth="1"/>
    <col min="25" max="25" width="4.875" style="12" bestFit="1" customWidth="1"/>
    <col min="26" max="26" width="7.125" style="206" customWidth="1"/>
    <col min="27" max="27" width="8.5" style="16" customWidth="1"/>
    <col min="28" max="16384" width="9" style="12"/>
  </cols>
  <sheetData>
    <row r="1" spans="1:27" ht="17.100000000000001" customHeight="1" x14ac:dyDescent="0.15"/>
    <row r="2" spans="1:27" ht="17.100000000000001" customHeight="1" x14ac:dyDescent="0.15"/>
    <row r="3" spans="1:27" ht="17.100000000000001" customHeight="1" x14ac:dyDescent="0.15"/>
    <row r="4" spans="1:27" ht="17.100000000000001" customHeight="1" x14ac:dyDescent="0.15">
      <c r="B4" s="17" t="s">
        <v>28090</v>
      </c>
      <c r="E4" s="71"/>
    </row>
    <row r="5" spans="1:27" ht="16.5" customHeight="1" x14ac:dyDescent="0.15">
      <c r="A5" s="19" t="s">
        <v>384</v>
      </c>
      <c r="B5" s="20"/>
      <c r="C5" s="21" t="s">
        <v>385</v>
      </c>
      <c r="D5" s="23"/>
      <c r="E5" s="23" t="s">
        <v>386</v>
      </c>
      <c r="F5" s="23"/>
      <c r="G5" s="23"/>
      <c r="H5" s="23"/>
      <c r="I5" s="23"/>
      <c r="J5" s="23"/>
      <c r="K5" s="23"/>
      <c r="L5" s="24"/>
      <c r="M5" s="23"/>
      <c r="N5" s="23"/>
      <c r="O5" s="24"/>
      <c r="P5" s="24"/>
      <c r="Q5" s="23"/>
      <c r="R5" s="23"/>
      <c r="S5" s="23"/>
      <c r="T5" s="24"/>
      <c r="U5" s="23"/>
      <c r="V5" s="23"/>
      <c r="W5" s="23"/>
      <c r="X5" s="24"/>
      <c r="Y5" s="23"/>
      <c r="Z5" s="21" t="s">
        <v>387</v>
      </c>
      <c r="AA5" s="21" t="s">
        <v>388</v>
      </c>
    </row>
    <row r="6" spans="1:27" ht="16.5" customHeight="1" x14ac:dyDescent="0.15">
      <c r="A6" s="26" t="s">
        <v>389</v>
      </c>
      <c r="B6" s="26" t="s">
        <v>390</v>
      </c>
      <c r="C6" s="27"/>
      <c r="D6" s="522"/>
      <c r="E6" s="29"/>
      <c r="F6" s="87" t="s">
        <v>1032</v>
      </c>
      <c r="G6" s="187"/>
      <c r="H6" s="187"/>
      <c r="I6" s="20"/>
      <c r="J6" s="29"/>
      <c r="K6" s="29"/>
      <c r="L6" s="30"/>
      <c r="M6" s="29"/>
      <c r="N6" s="29"/>
      <c r="O6" s="30"/>
      <c r="P6" s="30"/>
      <c r="Q6" s="29"/>
      <c r="R6" s="29"/>
      <c r="S6" s="29"/>
      <c r="T6" s="30"/>
      <c r="U6" s="29"/>
      <c r="V6" s="29"/>
      <c r="W6" s="29"/>
      <c r="X6" s="30"/>
      <c r="Y6" s="29"/>
      <c r="Z6" s="32" t="s">
        <v>391</v>
      </c>
      <c r="AA6" s="32" t="s">
        <v>392</v>
      </c>
    </row>
    <row r="7" spans="1:27" ht="16.5" customHeight="1" x14ac:dyDescent="0.15">
      <c r="A7" s="33">
        <v>15</v>
      </c>
      <c r="B7" s="33" t="s">
        <v>28091</v>
      </c>
      <c r="C7" s="135" t="s">
        <v>28092</v>
      </c>
      <c r="D7" s="921" t="s">
        <v>14065</v>
      </c>
      <c r="E7" s="10" t="s">
        <v>18487</v>
      </c>
      <c r="F7" s="921" t="s">
        <v>3849</v>
      </c>
      <c r="G7" s="72" t="s">
        <v>19945</v>
      </c>
      <c r="I7" s="57"/>
      <c r="J7" s="35"/>
      <c r="M7" s="43"/>
      <c r="N7" s="37"/>
      <c r="O7" s="38"/>
      <c r="P7" s="512"/>
      <c r="Q7" s="57"/>
      <c r="R7" s="35"/>
      <c r="U7" s="57"/>
      <c r="V7" s="35"/>
      <c r="Y7" s="57"/>
      <c r="Z7" s="207">
        <f>+ROUND((ROUND((_15_同援日０．５＿０．５*_15・通訳),0)*(1+_15・B深夜)),0)</f>
        <v>149</v>
      </c>
      <c r="AA7" s="40" t="s">
        <v>395</v>
      </c>
    </row>
    <row r="8" spans="1:27" ht="16.5" customHeight="1" x14ac:dyDescent="0.15">
      <c r="A8" s="41">
        <v>15</v>
      </c>
      <c r="B8" s="41" t="s">
        <v>28093</v>
      </c>
      <c r="C8" s="127" t="s">
        <v>28094</v>
      </c>
      <c r="D8" s="921"/>
      <c r="E8" s="10" t="s">
        <v>18259</v>
      </c>
      <c r="F8" s="921"/>
      <c r="G8" s="72" t="s">
        <v>18259</v>
      </c>
      <c r="I8" s="57"/>
      <c r="J8" s="35"/>
      <c r="M8" s="299" t="s">
        <v>17556</v>
      </c>
      <c r="N8" s="45" t="s">
        <v>398</v>
      </c>
      <c r="O8" s="46">
        <v>1</v>
      </c>
      <c r="P8" s="512"/>
      <c r="Q8" s="57"/>
      <c r="R8" s="43"/>
      <c r="S8" s="37"/>
      <c r="T8" s="38"/>
      <c r="U8" s="79"/>
      <c r="V8" s="35"/>
      <c r="Y8" s="57"/>
      <c r="Z8" s="208">
        <f>+ROUND((ROUND((ROUND((_15_同援日０．５＿０．５*_15・通訳),0)*_15・２人),0)*(1+_15・B深夜)),0)</f>
        <v>149</v>
      </c>
      <c r="AA8" s="48"/>
    </row>
    <row r="9" spans="1:27" ht="16.5" customHeight="1" x14ac:dyDescent="0.15">
      <c r="A9" s="41">
        <v>15</v>
      </c>
      <c r="B9" s="41" t="s">
        <v>28095</v>
      </c>
      <c r="C9" s="127" t="s">
        <v>28096</v>
      </c>
      <c r="D9" s="921"/>
      <c r="F9" s="921"/>
      <c r="G9" s="72"/>
      <c r="I9" s="57"/>
      <c r="J9" s="35"/>
      <c r="M9" s="163"/>
      <c r="N9" s="45"/>
      <c r="O9" s="46"/>
      <c r="P9" s="512"/>
      <c r="Q9" s="57"/>
      <c r="R9" s="114" t="s">
        <v>17562</v>
      </c>
      <c r="S9" s="49"/>
      <c r="T9" s="50"/>
      <c r="U9" s="115"/>
      <c r="V9" s="35"/>
      <c r="Y9" s="57"/>
      <c r="Z9" s="208">
        <f>+ROUND((ROUND((ROUND((_15_同援日０．５＿０．５*_15・通訳),0)*(1+_15・B深夜)),0)*(1+_15・盲ろう)),0)</f>
        <v>186</v>
      </c>
      <c r="AA9" s="48"/>
    </row>
    <row r="10" spans="1:27" ht="16.5" customHeight="1" x14ac:dyDescent="0.15">
      <c r="A10" s="41">
        <v>15</v>
      </c>
      <c r="B10" s="41" t="s">
        <v>28097</v>
      </c>
      <c r="C10" s="127" t="s">
        <v>28098</v>
      </c>
      <c r="D10" s="921"/>
      <c r="F10" s="921"/>
      <c r="G10" s="72"/>
      <c r="H10" s="168">
        <f>_15_同援日０．５＿０．５</f>
        <v>110</v>
      </c>
      <c r="I10" s="57" t="s">
        <v>392</v>
      </c>
      <c r="J10" s="35"/>
      <c r="M10" s="299" t="s">
        <v>17556</v>
      </c>
      <c r="N10" s="45" t="s">
        <v>398</v>
      </c>
      <c r="O10" s="46">
        <v>1</v>
      </c>
      <c r="P10" s="512"/>
      <c r="Q10" s="57"/>
      <c r="R10" s="269" t="s">
        <v>17564</v>
      </c>
      <c r="S10" s="37" t="s">
        <v>398</v>
      </c>
      <c r="T10" s="38">
        <v>0.25</v>
      </c>
      <c r="U10" s="79" t="s">
        <v>3575</v>
      </c>
      <c r="V10" s="43"/>
      <c r="W10" s="37"/>
      <c r="X10" s="38"/>
      <c r="Y10" s="79"/>
      <c r="Z10" s="208">
        <f>+ROUND((ROUND((ROUND((ROUND((_15_同援日０．５＿０．５*_15・通訳),0)*_15・２人),0)*(1+_15・B深夜)),0)*(1+_15・盲ろう)),0)</f>
        <v>186</v>
      </c>
      <c r="AA10" s="48"/>
    </row>
    <row r="11" spans="1:27" ht="16.5" customHeight="1" x14ac:dyDescent="0.15">
      <c r="A11" s="41">
        <v>15</v>
      </c>
      <c r="B11" s="41" t="s">
        <v>28099</v>
      </c>
      <c r="C11" s="127" t="s">
        <v>28100</v>
      </c>
      <c r="D11" s="523"/>
      <c r="F11" s="523"/>
      <c r="G11" s="72"/>
      <c r="I11" s="57"/>
      <c r="J11" s="35"/>
      <c r="M11" s="163"/>
      <c r="N11" s="45"/>
      <c r="O11" s="46"/>
      <c r="P11" s="512"/>
      <c r="Q11" s="57"/>
      <c r="R11" s="53"/>
      <c r="S11" s="49"/>
      <c r="T11" s="50"/>
      <c r="U11" s="115"/>
      <c r="V11" s="114" t="s">
        <v>17570</v>
      </c>
      <c r="W11" s="49"/>
      <c r="X11" s="50"/>
      <c r="Y11" s="115"/>
      <c r="Z11" s="208">
        <f>+ROUND((ROUND((ROUND((_15_同援日０．５＿０．５*_15・通訳),0)*(1+_15・B深夜)),0)*(1+_15・区３)),0)</f>
        <v>179</v>
      </c>
      <c r="AA11" s="48"/>
    </row>
    <row r="12" spans="1:27" ht="16.5" customHeight="1" x14ac:dyDescent="0.15">
      <c r="A12" s="41">
        <v>15</v>
      </c>
      <c r="B12" s="41" t="s">
        <v>28101</v>
      </c>
      <c r="C12" s="127" t="s">
        <v>28102</v>
      </c>
      <c r="D12" s="523"/>
      <c r="F12" s="523"/>
      <c r="G12" s="72"/>
      <c r="I12" s="57"/>
      <c r="J12" s="72" t="s">
        <v>25732</v>
      </c>
      <c r="M12" s="299" t="s">
        <v>17556</v>
      </c>
      <c r="N12" s="45" t="s">
        <v>398</v>
      </c>
      <c r="O12" s="46">
        <v>1</v>
      </c>
      <c r="P12" s="517" t="s">
        <v>18493</v>
      </c>
      <c r="Q12" s="57"/>
      <c r="R12" s="43"/>
      <c r="S12" s="37"/>
      <c r="T12" s="38"/>
      <c r="U12" s="79"/>
      <c r="V12" s="92" t="s">
        <v>17572</v>
      </c>
      <c r="Y12" s="57"/>
      <c r="Z12" s="208">
        <f>+ROUND((ROUND((ROUND((ROUND((_15_同援日０．５＿０．５*_15・通訳),0)*_15・２人),0)*(1+_15・B深夜)),0)*(1+_15・区３)),0)</f>
        <v>179</v>
      </c>
      <c r="AA12" s="48"/>
    </row>
    <row r="13" spans="1:27" ht="16.5" customHeight="1" x14ac:dyDescent="0.15">
      <c r="A13" s="41">
        <v>15</v>
      </c>
      <c r="B13" s="41" t="s">
        <v>28103</v>
      </c>
      <c r="C13" s="127" t="s">
        <v>28104</v>
      </c>
      <c r="D13" s="523"/>
      <c r="F13" s="523"/>
      <c r="G13" s="72"/>
      <c r="I13" s="57"/>
      <c r="J13" s="92" t="s">
        <v>25734</v>
      </c>
      <c r="K13" s="12" t="s">
        <v>398</v>
      </c>
      <c r="L13" s="13">
        <v>0.9</v>
      </c>
      <c r="M13" s="163"/>
      <c r="N13" s="45"/>
      <c r="O13" s="46"/>
      <c r="P13" s="512"/>
      <c r="Q13" s="519" t="s">
        <v>18826</v>
      </c>
      <c r="R13" s="114" t="s">
        <v>17562</v>
      </c>
      <c r="S13" s="49"/>
      <c r="T13" s="50"/>
      <c r="U13" s="115"/>
      <c r="V13" s="35"/>
      <c r="W13" s="12" t="s">
        <v>398</v>
      </c>
      <c r="X13" s="13">
        <v>0.2</v>
      </c>
      <c r="Y13" s="57" t="s">
        <v>3575</v>
      </c>
      <c r="Z13" s="208">
        <f>+ROUND((ROUND((ROUND((ROUND((_15_同援日０．５＿０．５*_15・通訳),0)*(1+_15・B深夜)),0)*(1+_15・盲ろう)),0)*(1+_15・区３)),0)</f>
        <v>223</v>
      </c>
      <c r="AA13" s="48"/>
    </row>
    <row r="14" spans="1:27" ht="16.5" customHeight="1" x14ac:dyDescent="0.15">
      <c r="A14" s="41">
        <v>15</v>
      </c>
      <c r="B14" s="41" t="s">
        <v>28105</v>
      </c>
      <c r="C14" s="127" t="s">
        <v>28106</v>
      </c>
      <c r="D14" s="523"/>
      <c r="F14" s="523"/>
      <c r="G14" s="72"/>
      <c r="I14" s="57"/>
      <c r="J14" s="35"/>
      <c r="M14" s="299" t="s">
        <v>17556</v>
      </c>
      <c r="N14" s="45" t="s">
        <v>398</v>
      </c>
      <c r="O14" s="46">
        <v>1</v>
      </c>
      <c r="P14" s="512"/>
      <c r="Q14" s="57"/>
      <c r="R14" s="269" t="s">
        <v>17564</v>
      </c>
      <c r="S14" s="37" t="s">
        <v>398</v>
      </c>
      <c r="T14" s="38">
        <v>0.25</v>
      </c>
      <c r="U14" s="79" t="s">
        <v>3575</v>
      </c>
      <c r="V14" s="43"/>
      <c r="W14" s="37"/>
      <c r="X14" s="38"/>
      <c r="Y14" s="79"/>
      <c r="Z14" s="208">
        <f>+ROUND((ROUND((ROUND((ROUND((ROUND((_15_同援日０．５＿０．５*_15・通訳),0)*_15・２人),0)*(1+_15・B深夜)),0)*(1+_15・盲ろう)),0)*(1+_15・区３)),0)</f>
        <v>223</v>
      </c>
      <c r="AA14" s="48"/>
    </row>
    <row r="15" spans="1:27" ht="16.5" customHeight="1" x14ac:dyDescent="0.15">
      <c r="A15" s="41">
        <v>15</v>
      </c>
      <c r="B15" s="41" t="s">
        <v>3268</v>
      </c>
      <c r="C15" s="127" t="s">
        <v>28107</v>
      </c>
      <c r="D15" s="523"/>
      <c r="F15" s="523"/>
      <c r="G15" s="72"/>
      <c r="I15" s="57"/>
      <c r="J15" s="35"/>
      <c r="M15" s="163"/>
      <c r="N15" s="45"/>
      <c r="O15" s="46"/>
      <c r="P15" s="35" t="s">
        <v>398</v>
      </c>
      <c r="Q15" s="234">
        <v>0.5</v>
      </c>
      <c r="R15" s="53"/>
      <c r="S15" s="49"/>
      <c r="T15" s="50"/>
      <c r="U15" s="115"/>
      <c r="V15" s="114" t="s">
        <v>17580</v>
      </c>
      <c r="W15" s="49"/>
      <c r="X15" s="50"/>
      <c r="Y15" s="115"/>
      <c r="Z15" s="208">
        <f>+ROUND((ROUND((ROUND((_15_同援日０．５＿０．５*_15・通訳),0)*(1+_15・B深夜)),0)*(1+_15・区４)),0)</f>
        <v>209</v>
      </c>
      <c r="AA15" s="48"/>
    </row>
    <row r="16" spans="1:27" ht="16.5" customHeight="1" x14ac:dyDescent="0.15">
      <c r="A16" s="41">
        <v>15</v>
      </c>
      <c r="B16" s="41" t="s">
        <v>3270</v>
      </c>
      <c r="C16" s="127" t="s">
        <v>28108</v>
      </c>
      <c r="D16" s="523"/>
      <c r="F16" s="523"/>
      <c r="G16" s="72"/>
      <c r="I16" s="57"/>
      <c r="J16" s="35"/>
      <c r="M16" s="299" t="s">
        <v>17556</v>
      </c>
      <c r="N16" s="45" t="s">
        <v>398</v>
      </c>
      <c r="O16" s="46">
        <v>1</v>
      </c>
      <c r="P16" s="512"/>
      <c r="Q16" s="513" t="s">
        <v>3575</v>
      </c>
      <c r="R16" s="43"/>
      <c r="S16" s="37"/>
      <c r="T16" s="38"/>
      <c r="U16" s="79"/>
      <c r="V16" s="92" t="s">
        <v>17572</v>
      </c>
      <c r="Y16" s="57"/>
      <c r="Z16" s="208">
        <f>+ROUND((ROUND((ROUND((ROUND((_15_同援日０．５＿０．５*_15・通訳),0)*_15・２人),0)*(1+_15・B深夜)),0)*(1+_15・区４)),0)</f>
        <v>209</v>
      </c>
      <c r="AA16" s="48"/>
    </row>
    <row r="17" spans="1:27" ht="16.5" customHeight="1" x14ac:dyDescent="0.15">
      <c r="A17" s="41">
        <v>15</v>
      </c>
      <c r="B17" s="41" t="s">
        <v>28109</v>
      </c>
      <c r="C17" s="127" t="s">
        <v>28110</v>
      </c>
      <c r="D17" s="523"/>
      <c r="F17" s="523"/>
      <c r="G17" s="72"/>
      <c r="I17" s="57"/>
      <c r="J17" s="35"/>
      <c r="M17" s="163"/>
      <c r="N17" s="45"/>
      <c r="O17" s="46"/>
      <c r="P17" s="512"/>
      <c r="Q17" s="57"/>
      <c r="R17" s="114" t="s">
        <v>17562</v>
      </c>
      <c r="S17" s="49"/>
      <c r="T17" s="50"/>
      <c r="U17" s="115"/>
      <c r="V17" s="35"/>
      <c r="W17" s="12" t="s">
        <v>398</v>
      </c>
      <c r="X17" s="13">
        <v>0.4</v>
      </c>
      <c r="Y17" s="57" t="s">
        <v>3575</v>
      </c>
      <c r="Z17" s="208">
        <f>+ROUND((ROUND((ROUND((ROUND((_15_同援日０．５＿０．５*_15・通訳),0)*(1+_15・B深夜)),0)*(1+_15・盲ろう)),0)*(1+_15・区４)),0)</f>
        <v>260</v>
      </c>
      <c r="AA17" s="48"/>
    </row>
    <row r="18" spans="1:27" ht="16.5" customHeight="1" x14ac:dyDescent="0.15">
      <c r="A18" s="41">
        <v>15</v>
      </c>
      <c r="B18" s="41" t="s">
        <v>28111</v>
      </c>
      <c r="C18" s="127" t="s">
        <v>28112</v>
      </c>
      <c r="D18" s="523"/>
      <c r="F18" s="523"/>
      <c r="G18" s="122"/>
      <c r="H18" s="37"/>
      <c r="I18" s="79"/>
      <c r="J18" s="35"/>
      <c r="M18" s="299" t="s">
        <v>17556</v>
      </c>
      <c r="N18" s="45" t="s">
        <v>398</v>
      </c>
      <c r="O18" s="46">
        <v>1</v>
      </c>
      <c r="P18" s="512"/>
      <c r="Q18" s="57"/>
      <c r="R18" s="269" t="s">
        <v>17564</v>
      </c>
      <c r="S18" s="37" t="s">
        <v>398</v>
      </c>
      <c r="T18" s="38">
        <v>0.25</v>
      </c>
      <c r="U18" s="79" t="s">
        <v>3575</v>
      </c>
      <c r="V18" s="43"/>
      <c r="W18" s="37"/>
      <c r="X18" s="38"/>
      <c r="Y18" s="79"/>
      <c r="Z18" s="208">
        <f>+ROUND((ROUND((ROUND((ROUND((ROUND((_15_同援日０．５＿０．５*_15・通訳),0)*_15・２人),0)*(1+_15・B深夜)),0)*(1+_15・盲ろう)),0)*(1+_15・区４)),0)</f>
        <v>260</v>
      </c>
      <c r="AA18" s="48"/>
    </row>
    <row r="19" spans="1:27" ht="16.5" customHeight="1" x14ac:dyDescent="0.15">
      <c r="A19" s="41">
        <v>15</v>
      </c>
      <c r="B19" s="41" t="s">
        <v>28113</v>
      </c>
      <c r="C19" s="127" t="s">
        <v>28114</v>
      </c>
      <c r="D19" s="523"/>
      <c r="F19" s="523"/>
      <c r="G19" s="114" t="s">
        <v>19970</v>
      </c>
      <c r="H19" s="49"/>
      <c r="I19" s="115"/>
      <c r="J19" s="35"/>
      <c r="M19" s="163"/>
      <c r="N19" s="45"/>
      <c r="O19" s="46"/>
      <c r="P19" s="512"/>
      <c r="Q19" s="57"/>
      <c r="R19" s="53"/>
      <c r="S19" s="49"/>
      <c r="T19" s="50"/>
      <c r="U19" s="115"/>
      <c r="V19" s="53"/>
      <c r="W19" s="49"/>
      <c r="X19" s="50"/>
      <c r="Y19" s="115"/>
      <c r="Z19" s="208">
        <f>+ROUND((ROUND((_15_同援日０．５＿１．０*_15・通訳),0)*(1+_15・B深夜)),0)</f>
        <v>329</v>
      </c>
      <c r="AA19" s="48"/>
    </row>
    <row r="20" spans="1:27" ht="16.5" customHeight="1" x14ac:dyDescent="0.15">
      <c r="A20" s="41">
        <v>15</v>
      </c>
      <c r="B20" s="41" t="s">
        <v>28115</v>
      </c>
      <c r="C20" s="127" t="s">
        <v>28116</v>
      </c>
      <c r="D20" s="523"/>
      <c r="F20" s="523"/>
      <c r="G20" s="72" t="s">
        <v>17589</v>
      </c>
      <c r="I20" s="57"/>
      <c r="J20" s="35"/>
      <c r="M20" s="299" t="s">
        <v>17556</v>
      </c>
      <c r="N20" s="45" t="s">
        <v>398</v>
      </c>
      <c r="O20" s="46">
        <v>1</v>
      </c>
      <c r="P20" s="512"/>
      <c r="Q20" s="57"/>
      <c r="R20" s="43"/>
      <c r="S20" s="37"/>
      <c r="T20" s="38"/>
      <c r="U20" s="79"/>
      <c r="V20" s="35"/>
      <c r="Y20" s="57"/>
      <c r="Z20" s="208">
        <f>+ROUND((ROUND((ROUND((_15_同援日０．５＿１．０*_15・通訳),0)*_15・２人),0)*(1+_15・B深夜)),0)</f>
        <v>329</v>
      </c>
      <c r="AA20" s="48"/>
    </row>
    <row r="21" spans="1:27" ht="16.5" customHeight="1" x14ac:dyDescent="0.15">
      <c r="A21" s="41">
        <v>15</v>
      </c>
      <c r="B21" s="41" t="s">
        <v>28117</v>
      </c>
      <c r="C21" s="127" t="s">
        <v>28118</v>
      </c>
      <c r="D21" s="523"/>
      <c r="F21" s="523"/>
      <c r="G21" s="72" t="s">
        <v>17591</v>
      </c>
      <c r="I21" s="57"/>
      <c r="J21" s="35"/>
      <c r="M21" s="163"/>
      <c r="N21" s="45"/>
      <c r="O21" s="46"/>
      <c r="P21" s="512"/>
      <c r="Q21" s="57"/>
      <c r="R21" s="114" t="s">
        <v>17562</v>
      </c>
      <c r="S21" s="49"/>
      <c r="T21" s="50"/>
      <c r="U21" s="115"/>
      <c r="V21" s="35"/>
      <c r="Y21" s="57"/>
      <c r="Z21" s="208">
        <f>+ROUND((ROUND((ROUND((_15_同援日０．５＿１．０*_15・通訳),0)*(1+_15・B深夜)),0)*(1+_15・盲ろう)),0)</f>
        <v>411</v>
      </c>
      <c r="AA21" s="48"/>
    </row>
    <row r="22" spans="1:27" ht="16.5" customHeight="1" x14ac:dyDescent="0.15">
      <c r="A22" s="41">
        <v>15</v>
      </c>
      <c r="B22" s="41" t="s">
        <v>28119</v>
      </c>
      <c r="C22" s="127" t="s">
        <v>28120</v>
      </c>
      <c r="D22" s="523"/>
      <c r="F22" s="523"/>
      <c r="G22" s="72"/>
      <c r="H22" s="168">
        <f>_15_同援日０．５＿１．０</f>
        <v>243</v>
      </c>
      <c r="I22" s="57" t="s">
        <v>392</v>
      </c>
      <c r="J22" s="35"/>
      <c r="M22" s="299" t="s">
        <v>17556</v>
      </c>
      <c r="N22" s="45" t="s">
        <v>398</v>
      </c>
      <c r="O22" s="46">
        <v>1</v>
      </c>
      <c r="P22" s="512"/>
      <c r="Q22" s="57"/>
      <c r="R22" s="269" t="s">
        <v>17564</v>
      </c>
      <c r="S22" s="37" t="s">
        <v>398</v>
      </c>
      <c r="T22" s="38">
        <v>0.25</v>
      </c>
      <c r="U22" s="79" t="s">
        <v>3575</v>
      </c>
      <c r="V22" s="43"/>
      <c r="W22" s="37"/>
      <c r="X22" s="38"/>
      <c r="Y22" s="79"/>
      <c r="Z22" s="208">
        <f>+ROUND((ROUND((ROUND((ROUND((_15_同援日０．５＿１．０*_15・通訳),0)*_15・２人),0)*(1+_15・B深夜)),0)*(1+_15・盲ろう)),0)</f>
        <v>411</v>
      </c>
      <c r="AA22" s="48"/>
    </row>
    <row r="23" spans="1:27" ht="16.5" customHeight="1" x14ac:dyDescent="0.15">
      <c r="A23" s="41">
        <v>15</v>
      </c>
      <c r="B23" s="41" t="s">
        <v>28121</v>
      </c>
      <c r="C23" s="127" t="s">
        <v>28122</v>
      </c>
      <c r="D23" s="523"/>
      <c r="F23" s="523"/>
      <c r="G23" s="72"/>
      <c r="I23" s="57"/>
      <c r="J23" s="35"/>
      <c r="M23" s="163"/>
      <c r="N23" s="45"/>
      <c r="O23" s="46"/>
      <c r="P23" s="512"/>
      <c r="Q23" s="57"/>
      <c r="R23" s="53"/>
      <c r="S23" s="49"/>
      <c r="T23" s="50"/>
      <c r="U23" s="115"/>
      <c r="V23" s="114" t="s">
        <v>17570</v>
      </c>
      <c r="W23" s="49"/>
      <c r="X23" s="50"/>
      <c r="Y23" s="115"/>
      <c r="Z23" s="208">
        <f>+ROUND((ROUND((ROUND((_15_同援日０．５＿１．０*_15・通訳),0)*(1+_15・B深夜)),0)*(1+_15・区３)),0)</f>
        <v>395</v>
      </c>
      <c r="AA23" s="48"/>
    </row>
    <row r="24" spans="1:27" ht="16.5" customHeight="1" x14ac:dyDescent="0.15">
      <c r="A24" s="41">
        <v>15</v>
      </c>
      <c r="B24" s="41" t="s">
        <v>28123</v>
      </c>
      <c r="C24" s="127" t="s">
        <v>28124</v>
      </c>
      <c r="D24" s="523"/>
      <c r="F24" s="523"/>
      <c r="G24" s="72"/>
      <c r="I24" s="57"/>
      <c r="J24" s="35"/>
      <c r="M24" s="299" t="s">
        <v>17556</v>
      </c>
      <c r="N24" s="45" t="s">
        <v>398</v>
      </c>
      <c r="O24" s="46">
        <v>1</v>
      </c>
      <c r="P24" s="512"/>
      <c r="Q24" s="57"/>
      <c r="R24" s="43"/>
      <c r="S24" s="37"/>
      <c r="T24" s="38"/>
      <c r="U24" s="79"/>
      <c r="V24" s="92" t="s">
        <v>17572</v>
      </c>
      <c r="Y24" s="57"/>
      <c r="Z24" s="208">
        <f>+ROUND((ROUND((ROUND((ROUND((_15_同援日０．５＿１．０*_15・通訳),0)*_15・２人),0)*(1+_15・B深夜)),0)*(1+_15・区３)),0)</f>
        <v>395</v>
      </c>
      <c r="AA24" s="48"/>
    </row>
    <row r="25" spans="1:27" ht="16.5" customHeight="1" x14ac:dyDescent="0.15">
      <c r="A25" s="41">
        <v>15</v>
      </c>
      <c r="B25" s="41" t="s">
        <v>3275</v>
      </c>
      <c r="C25" s="127" t="s">
        <v>28125</v>
      </c>
      <c r="D25" s="523"/>
      <c r="F25" s="523"/>
      <c r="G25" s="72"/>
      <c r="I25" s="57"/>
      <c r="J25" s="35"/>
      <c r="M25" s="163"/>
      <c r="N25" s="45"/>
      <c r="O25" s="46"/>
      <c r="P25" s="512"/>
      <c r="Q25" s="57"/>
      <c r="R25" s="114" t="s">
        <v>17562</v>
      </c>
      <c r="S25" s="49"/>
      <c r="T25" s="50"/>
      <c r="U25" s="115"/>
      <c r="V25" s="35"/>
      <c r="W25" s="12" t="s">
        <v>398</v>
      </c>
      <c r="X25" s="13">
        <v>0.2</v>
      </c>
      <c r="Y25" s="57" t="s">
        <v>3575</v>
      </c>
      <c r="Z25" s="208">
        <f>+ROUND((ROUND((ROUND((ROUND((_15_同援日０．５＿１．０*_15・通訳),0)*(1+_15・B深夜)),0)*(1+_15・盲ろう)),0)*(1+_15・区３)),0)</f>
        <v>493</v>
      </c>
      <c r="AA25" s="48"/>
    </row>
    <row r="26" spans="1:27" ht="16.5" customHeight="1" x14ac:dyDescent="0.15">
      <c r="A26" s="41">
        <v>15</v>
      </c>
      <c r="B26" s="41" t="s">
        <v>3277</v>
      </c>
      <c r="C26" s="127" t="s">
        <v>28126</v>
      </c>
      <c r="D26" s="523"/>
      <c r="F26" s="523"/>
      <c r="G26" s="72"/>
      <c r="I26" s="57"/>
      <c r="J26" s="35"/>
      <c r="M26" s="299" t="s">
        <v>17556</v>
      </c>
      <c r="N26" s="45" t="s">
        <v>398</v>
      </c>
      <c r="O26" s="46">
        <v>1</v>
      </c>
      <c r="P26" s="512"/>
      <c r="Q26" s="57"/>
      <c r="R26" s="269" t="s">
        <v>17564</v>
      </c>
      <c r="S26" s="37" t="s">
        <v>398</v>
      </c>
      <c r="T26" s="38">
        <v>0.25</v>
      </c>
      <c r="U26" s="79" t="s">
        <v>3575</v>
      </c>
      <c r="V26" s="43"/>
      <c r="W26" s="37"/>
      <c r="X26" s="38"/>
      <c r="Y26" s="79"/>
      <c r="Z26" s="208">
        <f>+ROUND((ROUND((ROUND((ROUND((ROUND((_15_同援日０．５＿１．０*_15・通訳),0)*_15・２人),0)*(1+_15・B深夜)),0)*(1+_15・盲ろう)),0)*(1+_15・区３)),0)</f>
        <v>493</v>
      </c>
      <c r="AA26" s="48"/>
    </row>
    <row r="27" spans="1:27" ht="16.5" customHeight="1" x14ac:dyDescent="0.15">
      <c r="A27" s="41">
        <v>15</v>
      </c>
      <c r="B27" s="41" t="s">
        <v>28127</v>
      </c>
      <c r="C27" s="127" t="s">
        <v>28128</v>
      </c>
      <c r="D27" s="523"/>
      <c r="F27" s="523"/>
      <c r="G27" s="72"/>
      <c r="I27" s="57"/>
      <c r="J27" s="35"/>
      <c r="M27" s="163"/>
      <c r="N27" s="45"/>
      <c r="O27" s="46"/>
      <c r="P27" s="512"/>
      <c r="Q27" s="57"/>
      <c r="R27" s="53"/>
      <c r="S27" s="49"/>
      <c r="T27" s="50"/>
      <c r="U27" s="115"/>
      <c r="V27" s="114" t="s">
        <v>17580</v>
      </c>
      <c r="W27" s="49"/>
      <c r="X27" s="50"/>
      <c r="Y27" s="115"/>
      <c r="Z27" s="208">
        <f>+ROUND((ROUND((ROUND((_15_同援日０．５＿１．０*_15・通訳),0)*(1+_15・B深夜)),0)*(1+_15・区４)),0)</f>
        <v>461</v>
      </c>
      <c r="AA27" s="48"/>
    </row>
    <row r="28" spans="1:27" ht="16.5" customHeight="1" x14ac:dyDescent="0.15">
      <c r="A28" s="41">
        <v>15</v>
      </c>
      <c r="B28" s="41" t="s">
        <v>28129</v>
      </c>
      <c r="C28" s="127" t="s">
        <v>28130</v>
      </c>
      <c r="D28" s="523"/>
      <c r="F28" s="523"/>
      <c r="G28" s="72"/>
      <c r="I28" s="57"/>
      <c r="J28" s="35"/>
      <c r="M28" s="299" t="s">
        <v>17556</v>
      </c>
      <c r="N28" s="45" t="s">
        <v>398</v>
      </c>
      <c r="O28" s="46">
        <v>1</v>
      </c>
      <c r="P28" s="512"/>
      <c r="Q28" s="57"/>
      <c r="R28" s="43"/>
      <c r="S28" s="37"/>
      <c r="T28" s="38"/>
      <c r="U28" s="79"/>
      <c r="V28" s="92" t="s">
        <v>17572</v>
      </c>
      <c r="Y28" s="57"/>
      <c r="Z28" s="208">
        <f>+ROUND((ROUND((ROUND((ROUND((_15_同援日０．５＿１．０*_15・通訳),0)*_15・２人),0)*(1+_15・B深夜)),0)*(1+_15・区４)),0)</f>
        <v>461</v>
      </c>
      <c r="AA28" s="48"/>
    </row>
    <row r="29" spans="1:27" ht="16.5" customHeight="1" x14ac:dyDescent="0.15">
      <c r="A29" s="41">
        <v>15</v>
      </c>
      <c r="B29" s="41" t="s">
        <v>28131</v>
      </c>
      <c r="C29" s="127" t="s">
        <v>28132</v>
      </c>
      <c r="D29" s="523"/>
      <c r="F29" s="523"/>
      <c r="G29" s="72"/>
      <c r="I29" s="57"/>
      <c r="J29" s="35"/>
      <c r="M29" s="163"/>
      <c r="N29" s="45"/>
      <c r="O29" s="46"/>
      <c r="P29" s="512"/>
      <c r="Q29" s="57"/>
      <c r="R29" s="114" t="s">
        <v>17562</v>
      </c>
      <c r="S29" s="49"/>
      <c r="T29" s="50"/>
      <c r="U29" s="115"/>
      <c r="V29" s="35"/>
      <c r="W29" s="12" t="s">
        <v>398</v>
      </c>
      <c r="X29" s="13">
        <v>0.4</v>
      </c>
      <c r="Y29" s="57" t="s">
        <v>3575</v>
      </c>
      <c r="Z29" s="208">
        <f>+ROUND((ROUND((ROUND((ROUND((_15_同援日０．５＿１．０*_15・通訳),0)*(1+_15・B深夜)),0)*(1+_15・盲ろう)),0)*(1+_15・区４)),0)</f>
        <v>575</v>
      </c>
      <c r="AA29" s="48"/>
    </row>
    <row r="30" spans="1:27" ht="16.5" customHeight="1" x14ac:dyDescent="0.15">
      <c r="A30" s="41">
        <v>15</v>
      </c>
      <c r="B30" s="41" t="s">
        <v>28133</v>
      </c>
      <c r="C30" s="127" t="s">
        <v>28134</v>
      </c>
      <c r="D30" s="523"/>
      <c r="F30" s="523"/>
      <c r="G30" s="122"/>
      <c r="H30" s="37"/>
      <c r="I30" s="79"/>
      <c r="J30" s="35"/>
      <c r="M30" s="299" t="s">
        <v>17556</v>
      </c>
      <c r="N30" s="45" t="s">
        <v>398</v>
      </c>
      <c r="O30" s="46">
        <v>1</v>
      </c>
      <c r="P30" s="512"/>
      <c r="Q30" s="57"/>
      <c r="R30" s="269" t="s">
        <v>17564</v>
      </c>
      <c r="S30" s="37" t="s">
        <v>398</v>
      </c>
      <c r="T30" s="38">
        <v>0.25</v>
      </c>
      <c r="U30" s="79" t="s">
        <v>3575</v>
      </c>
      <c r="V30" s="43"/>
      <c r="W30" s="37"/>
      <c r="X30" s="38"/>
      <c r="Y30" s="79"/>
      <c r="Z30" s="208">
        <f>+ROUND((ROUND((ROUND((ROUND((ROUND((_15_同援日０．５＿１．０*_15・通訳),0)*_15・２人),0)*(1+_15・B深夜)),0)*(1+_15・盲ろう)),0)*(1+_15・区４)),0)</f>
        <v>575</v>
      </c>
      <c r="AA30" s="48"/>
    </row>
    <row r="31" spans="1:27" ht="16.5" customHeight="1" x14ac:dyDescent="0.15">
      <c r="A31" s="41">
        <v>15</v>
      </c>
      <c r="B31" s="41" t="s">
        <v>28135</v>
      </c>
      <c r="C31" s="127" t="s">
        <v>28136</v>
      </c>
      <c r="D31" s="523"/>
      <c r="F31" s="523"/>
      <c r="G31" s="114" t="s">
        <v>19995</v>
      </c>
      <c r="H31" s="49"/>
      <c r="I31" s="115"/>
      <c r="J31" s="35"/>
      <c r="M31" s="163"/>
      <c r="N31" s="45"/>
      <c r="O31" s="46"/>
      <c r="P31" s="512"/>
      <c r="Q31" s="57"/>
      <c r="R31" s="53"/>
      <c r="S31" s="49"/>
      <c r="T31" s="50"/>
      <c r="U31" s="115"/>
      <c r="V31" s="53"/>
      <c r="W31" s="49"/>
      <c r="X31" s="50"/>
      <c r="Y31" s="115"/>
      <c r="Z31" s="208">
        <f>+ROUND((ROUND((_15_同援日０．５＿１．５*_15・通訳),0)*(1+_15・B深夜)),0)</f>
        <v>416</v>
      </c>
      <c r="AA31" s="48"/>
    </row>
    <row r="32" spans="1:27" ht="16.5" customHeight="1" x14ac:dyDescent="0.15">
      <c r="A32" s="41">
        <v>15</v>
      </c>
      <c r="B32" s="41" t="s">
        <v>28137</v>
      </c>
      <c r="C32" s="127" t="s">
        <v>28138</v>
      </c>
      <c r="D32" s="523"/>
      <c r="F32" s="523"/>
      <c r="G32" s="72" t="s">
        <v>17616</v>
      </c>
      <c r="I32" s="57"/>
      <c r="J32" s="35"/>
      <c r="M32" s="299" t="s">
        <v>17556</v>
      </c>
      <c r="N32" s="45" t="s">
        <v>398</v>
      </c>
      <c r="O32" s="46">
        <v>1</v>
      </c>
      <c r="P32" s="512"/>
      <c r="Q32" s="57"/>
      <c r="R32" s="43"/>
      <c r="S32" s="37"/>
      <c r="T32" s="38"/>
      <c r="U32" s="79"/>
      <c r="V32" s="35"/>
      <c r="Y32" s="57"/>
      <c r="Z32" s="208">
        <f>+ROUND((ROUND((ROUND((_15_同援日０．５＿１．５*_15・通訳),0)*_15・２人),0)*(1+_15・B深夜)),0)</f>
        <v>416</v>
      </c>
      <c r="AA32" s="48"/>
    </row>
    <row r="33" spans="1:27" ht="16.5" customHeight="1" x14ac:dyDescent="0.15">
      <c r="A33" s="41">
        <v>15</v>
      </c>
      <c r="B33" s="41" t="s">
        <v>28139</v>
      </c>
      <c r="C33" s="127" t="s">
        <v>28140</v>
      </c>
      <c r="D33" s="523"/>
      <c r="F33" s="523"/>
      <c r="G33" s="72" t="s">
        <v>18183</v>
      </c>
      <c r="I33" s="57"/>
      <c r="J33" s="35"/>
      <c r="M33" s="163"/>
      <c r="N33" s="45"/>
      <c r="O33" s="46"/>
      <c r="P33" s="512"/>
      <c r="Q33" s="57"/>
      <c r="R33" s="114" t="s">
        <v>17562</v>
      </c>
      <c r="S33" s="49"/>
      <c r="T33" s="50"/>
      <c r="U33" s="115"/>
      <c r="V33" s="35"/>
      <c r="Y33" s="57"/>
      <c r="Z33" s="208">
        <f>+ROUND((ROUND((ROUND((_15_同援日０．５＿１．５*_15・通訳),0)*(1+_15・B深夜)),0)*(1+_15・盲ろう)),0)</f>
        <v>520</v>
      </c>
      <c r="AA33" s="48"/>
    </row>
    <row r="34" spans="1:27" ht="16.5" customHeight="1" x14ac:dyDescent="0.15">
      <c r="A34" s="41">
        <v>15</v>
      </c>
      <c r="B34" s="41" t="s">
        <v>28141</v>
      </c>
      <c r="C34" s="127" t="s">
        <v>28142</v>
      </c>
      <c r="D34" s="523"/>
      <c r="F34" s="523"/>
      <c r="G34" s="72"/>
      <c r="H34" s="168">
        <f>_15_同援日０．５＿１．５</f>
        <v>308</v>
      </c>
      <c r="I34" s="57" t="s">
        <v>392</v>
      </c>
      <c r="J34" s="35"/>
      <c r="M34" s="299" t="s">
        <v>17556</v>
      </c>
      <c r="N34" s="45" t="s">
        <v>398</v>
      </c>
      <c r="O34" s="46">
        <v>1</v>
      </c>
      <c r="P34" s="512"/>
      <c r="Q34" s="57"/>
      <c r="R34" s="269" t="s">
        <v>17564</v>
      </c>
      <c r="S34" s="37" t="s">
        <v>398</v>
      </c>
      <c r="T34" s="38">
        <v>0.25</v>
      </c>
      <c r="U34" s="79" t="s">
        <v>3575</v>
      </c>
      <c r="V34" s="43"/>
      <c r="W34" s="37"/>
      <c r="X34" s="38"/>
      <c r="Y34" s="79"/>
      <c r="Z34" s="208">
        <f>+ROUND((ROUND((ROUND((ROUND((_15_同援日０．５＿１．５*_15・通訳),0)*_15・２人),0)*(1+_15・B深夜)),0)*(1+_15・盲ろう)),0)</f>
        <v>520</v>
      </c>
      <c r="AA34" s="48"/>
    </row>
    <row r="35" spans="1:27" ht="16.5" customHeight="1" x14ac:dyDescent="0.15">
      <c r="A35" s="41">
        <v>15</v>
      </c>
      <c r="B35" s="41" t="s">
        <v>3283</v>
      </c>
      <c r="C35" s="127" t="s">
        <v>28143</v>
      </c>
      <c r="D35" s="523"/>
      <c r="F35" s="523"/>
      <c r="G35" s="72"/>
      <c r="I35" s="57"/>
      <c r="J35" s="35"/>
      <c r="M35" s="163"/>
      <c r="N35" s="45"/>
      <c r="O35" s="46"/>
      <c r="P35" s="512"/>
      <c r="Q35" s="57"/>
      <c r="R35" s="53"/>
      <c r="S35" s="49"/>
      <c r="T35" s="50"/>
      <c r="U35" s="115"/>
      <c r="V35" s="114" t="s">
        <v>17570</v>
      </c>
      <c r="W35" s="49"/>
      <c r="X35" s="50"/>
      <c r="Y35" s="115"/>
      <c r="Z35" s="208">
        <f>+ROUND((ROUND((ROUND((_15_同援日０．５＿１．５*_15・通訳),0)*(1+_15・B深夜)),0)*(1+_15・区３)),0)</f>
        <v>499</v>
      </c>
      <c r="AA35" s="48"/>
    </row>
    <row r="36" spans="1:27" ht="16.5" customHeight="1" x14ac:dyDescent="0.15">
      <c r="A36" s="41">
        <v>15</v>
      </c>
      <c r="B36" s="41" t="s">
        <v>3285</v>
      </c>
      <c r="C36" s="127" t="s">
        <v>28144</v>
      </c>
      <c r="D36" s="523"/>
      <c r="F36" s="523"/>
      <c r="G36" s="72"/>
      <c r="I36" s="57"/>
      <c r="J36" s="35"/>
      <c r="M36" s="299" t="s">
        <v>17556</v>
      </c>
      <c r="N36" s="45" t="s">
        <v>398</v>
      </c>
      <c r="O36" s="46">
        <v>1</v>
      </c>
      <c r="P36" s="512"/>
      <c r="Q36" s="57"/>
      <c r="R36" s="43"/>
      <c r="S36" s="37"/>
      <c r="T36" s="38"/>
      <c r="U36" s="79"/>
      <c r="V36" s="92" t="s">
        <v>17572</v>
      </c>
      <c r="Y36" s="57"/>
      <c r="Z36" s="208">
        <f>+ROUND((ROUND((ROUND((ROUND((_15_同援日０．５＿１．５*_15・通訳),0)*_15・２人),0)*(1+_15・B深夜)),0)*(1+_15・区３)),0)</f>
        <v>499</v>
      </c>
      <c r="AA36" s="48"/>
    </row>
    <row r="37" spans="1:27" ht="16.5" customHeight="1" x14ac:dyDescent="0.15">
      <c r="A37" s="41">
        <v>15</v>
      </c>
      <c r="B37" s="41" t="s">
        <v>28145</v>
      </c>
      <c r="C37" s="127" t="s">
        <v>28146</v>
      </c>
      <c r="D37" s="523"/>
      <c r="F37" s="523"/>
      <c r="G37" s="72"/>
      <c r="I37" s="57"/>
      <c r="J37" s="35"/>
      <c r="M37" s="163"/>
      <c r="N37" s="45"/>
      <c r="O37" s="46"/>
      <c r="P37" s="512"/>
      <c r="Q37" s="57"/>
      <c r="R37" s="114" t="s">
        <v>17562</v>
      </c>
      <c r="S37" s="49"/>
      <c r="T37" s="50"/>
      <c r="U37" s="115"/>
      <c r="V37" s="35"/>
      <c r="W37" s="12" t="s">
        <v>398</v>
      </c>
      <c r="X37" s="13">
        <v>0.2</v>
      </c>
      <c r="Y37" s="57" t="s">
        <v>3575</v>
      </c>
      <c r="Z37" s="208">
        <f>+ROUND((ROUND((ROUND((ROUND((_15_同援日０．５＿１．５*_15・通訳),0)*(1+_15・B深夜)),0)*(1+_15・盲ろう)),0)*(1+_15・区３)),0)</f>
        <v>624</v>
      </c>
      <c r="AA37" s="48"/>
    </row>
    <row r="38" spans="1:27" ht="16.5" customHeight="1" x14ac:dyDescent="0.15">
      <c r="A38" s="41">
        <v>15</v>
      </c>
      <c r="B38" s="41" t="s">
        <v>28147</v>
      </c>
      <c r="C38" s="127" t="s">
        <v>28148</v>
      </c>
      <c r="D38" s="523"/>
      <c r="F38" s="523"/>
      <c r="G38" s="72"/>
      <c r="I38" s="57"/>
      <c r="J38" s="35"/>
      <c r="M38" s="299" t="s">
        <v>17556</v>
      </c>
      <c r="N38" s="45" t="s">
        <v>398</v>
      </c>
      <c r="O38" s="46">
        <v>1</v>
      </c>
      <c r="P38" s="512"/>
      <c r="Q38" s="57"/>
      <c r="R38" s="269" t="s">
        <v>17564</v>
      </c>
      <c r="S38" s="37" t="s">
        <v>398</v>
      </c>
      <c r="T38" s="38">
        <v>0.25</v>
      </c>
      <c r="U38" s="79" t="s">
        <v>3575</v>
      </c>
      <c r="V38" s="43"/>
      <c r="W38" s="37"/>
      <c r="X38" s="38"/>
      <c r="Y38" s="79"/>
      <c r="Z38" s="208">
        <f>+ROUND((ROUND((ROUND((ROUND((ROUND((_15_同援日０．５＿１．５*_15・通訳),0)*_15・２人),0)*(1+_15・B深夜)),0)*(1+_15・盲ろう)),0)*(1+_15・区３)),0)</f>
        <v>624</v>
      </c>
      <c r="AA38" s="48"/>
    </row>
    <row r="39" spans="1:27" ht="16.5" customHeight="1" x14ac:dyDescent="0.15">
      <c r="A39" s="41">
        <v>15</v>
      </c>
      <c r="B39" s="41" t="s">
        <v>28149</v>
      </c>
      <c r="C39" s="127" t="s">
        <v>28150</v>
      </c>
      <c r="D39" s="523"/>
      <c r="F39" s="523"/>
      <c r="G39" s="72"/>
      <c r="I39" s="57"/>
      <c r="J39" s="35"/>
      <c r="M39" s="163"/>
      <c r="N39" s="45"/>
      <c r="O39" s="46"/>
      <c r="P39" s="512"/>
      <c r="Q39" s="57"/>
      <c r="R39" s="53"/>
      <c r="S39" s="49"/>
      <c r="T39" s="50"/>
      <c r="U39" s="115"/>
      <c r="V39" s="114" t="s">
        <v>17580</v>
      </c>
      <c r="W39" s="49"/>
      <c r="X39" s="50"/>
      <c r="Y39" s="115"/>
      <c r="Z39" s="208">
        <f>+ROUND((ROUND((ROUND((_15_同援日０．５＿１．５*_15・通訳),0)*(1+_15・B深夜)),0)*(1+_15・区４)),0)</f>
        <v>582</v>
      </c>
      <c r="AA39" s="48"/>
    </row>
    <row r="40" spans="1:27" ht="16.5" customHeight="1" x14ac:dyDescent="0.15">
      <c r="A40" s="41">
        <v>15</v>
      </c>
      <c r="B40" s="41" t="s">
        <v>28151</v>
      </c>
      <c r="C40" s="127" t="s">
        <v>28152</v>
      </c>
      <c r="D40" s="523"/>
      <c r="F40" s="523"/>
      <c r="G40" s="72"/>
      <c r="I40" s="57"/>
      <c r="J40" s="35"/>
      <c r="M40" s="299" t="s">
        <v>17556</v>
      </c>
      <c r="N40" s="45" t="s">
        <v>398</v>
      </c>
      <c r="O40" s="46">
        <v>1</v>
      </c>
      <c r="P40" s="512"/>
      <c r="Q40" s="57"/>
      <c r="R40" s="43"/>
      <c r="S40" s="37"/>
      <c r="T40" s="38"/>
      <c r="U40" s="79"/>
      <c r="V40" s="92" t="s">
        <v>17572</v>
      </c>
      <c r="Y40" s="57"/>
      <c r="Z40" s="208">
        <f>+ROUND((ROUND((ROUND((ROUND((_15_同援日０．５＿１．５*_15・通訳),0)*_15・２人),0)*(1+_15・B深夜)),0)*(1+_15・区４)),0)</f>
        <v>582</v>
      </c>
      <c r="AA40" s="48"/>
    </row>
    <row r="41" spans="1:27" ht="16.5" customHeight="1" x14ac:dyDescent="0.15">
      <c r="A41" s="41">
        <v>15</v>
      </c>
      <c r="B41" s="41" t="s">
        <v>28153</v>
      </c>
      <c r="C41" s="127" t="s">
        <v>28154</v>
      </c>
      <c r="D41" s="523"/>
      <c r="F41" s="523"/>
      <c r="G41" s="72"/>
      <c r="I41" s="57"/>
      <c r="J41" s="35"/>
      <c r="M41" s="163"/>
      <c r="N41" s="45"/>
      <c r="O41" s="46"/>
      <c r="P41" s="512"/>
      <c r="Q41" s="57"/>
      <c r="R41" s="114" t="s">
        <v>17562</v>
      </c>
      <c r="S41" s="49"/>
      <c r="T41" s="50"/>
      <c r="U41" s="115"/>
      <c r="V41" s="35"/>
      <c r="W41" s="12" t="s">
        <v>398</v>
      </c>
      <c r="X41" s="13">
        <v>0.4</v>
      </c>
      <c r="Y41" s="57" t="s">
        <v>3575</v>
      </c>
      <c r="Z41" s="208">
        <f>+ROUND((ROUND((ROUND((ROUND((_15_同援日０．５＿１．５*_15・通訳),0)*(1+_15・B深夜)),0)*(1+_15・盲ろう)),0)*(1+_15・区４)),0)</f>
        <v>728</v>
      </c>
      <c r="AA41" s="48"/>
    </row>
    <row r="42" spans="1:27" ht="16.5" customHeight="1" x14ac:dyDescent="0.15">
      <c r="A42" s="41">
        <v>15</v>
      </c>
      <c r="B42" s="41" t="s">
        <v>28155</v>
      </c>
      <c r="C42" s="127" t="s">
        <v>28156</v>
      </c>
      <c r="D42" s="523"/>
      <c r="F42" s="523"/>
      <c r="G42" s="122"/>
      <c r="H42" s="37"/>
      <c r="I42" s="79"/>
      <c r="J42" s="35"/>
      <c r="M42" s="299" t="s">
        <v>17556</v>
      </c>
      <c r="N42" s="45" t="s">
        <v>398</v>
      </c>
      <c r="O42" s="46">
        <v>1</v>
      </c>
      <c r="P42" s="512"/>
      <c r="Q42" s="57"/>
      <c r="R42" s="269" t="s">
        <v>17564</v>
      </c>
      <c r="S42" s="37" t="s">
        <v>398</v>
      </c>
      <c r="T42" s="38">
        <v>0.25</v>
      </c>
      <c r="U42" s="79" t="s">
        <v>3575</v>
      </c>
      <c r="V42" s="43"/>
      <c r="W42" s="37"/>
      <c r="X42" s="38"/>
      <c r="Y42" s="79"/>
      <c r="Z42" s="208">
        <f>+ROUND((ROUND((ROUND((ROUND((ROUND((_15_同援日０．５＿１．５*_15・通訳),0)*_15・２人),0)*(1+_15・B深夜)),0)*(1+_15・盲ろう)),0)*(1+_15・区４)),0)</f>
        <v>728</v>
      </c>
      <c r="AA42" s="48"/>
    </row>
    <row r="43" spans="1:27" ht="16.5" customHeight="1" x14ac:dyDescent="0.15">
      <c r="A43" s="41">
        <v>15</v>
      </c>
      <c r="B43" s="41" t="s">
        <v>28157</v>
      </c>
      <c r="C43" s="127" t="s">
        <v>28158</v>
      </c>
      <c r="D43" s="523"/>
      <c r="F43" s="523"/>
      <c r="G43" s="114" t="s">
        <v>20032</v>
      </c>
      <c r="H43" s="49"/>
      <c r="I43" s="115"/>
      <c r="J43" s="35"/>
      <c r="M43" s="163"/>
      <c r="N43" s="45"/>
      <c r="O43" s="46"/>
      <c r="P43" s="512"/>
      <c r="Q43" s="57"/>
      <c r="R43" s="53"/>
      <c r="S43" s="49"/>
      <c r="T43" s="50"/>
      <c r="U43" s="115"/>
      <c r="V43" s="53"/>
      <c r="W43" s="49"/>
      <c r="X43" s="50"/>
      <c r="Y43" s="115"/>
      <c r="Z43" s="208">
        <f>+ROUND((ROUND((_15_同援日０．５＿２．０*_15・通訳),0)*(1+_15・B深夜)),0)</f>
        <v>504</v>
      </c>
      <c r="AA43" s="48"/>
    </row>
    <row r="44" spans="1:27" ht="16.5" customHeight="1" x14ac:dyDescent="0.15">
      <c r="A44" s="41">
        <v>15</v>
      </c>
      <c r="B44" s="41" t="s">
        <v>28159</v>
      </c>
      <c r="C44" s="127" t="s">
        <v>28160</v>
      </c>
      <c r="D44" s="523"/>
      <c r="F44" s="523"/>
      <c r="G44" s="72" t="s">
        <v>17643</v>
      </c>
      <c r="I44" s="57"/>
      <c r="J44" s="35"/>
      <c r="M44" s="299" t="s">
        <v>17556</v>
      </c>
      <c r="N44" s="45" t="s">
        <v>398</v>
      </c>
      <c r="O44" s="46">
        <v>1</v>
      </c>
      <c r="P44" s="512"/>
      <c r="Q44" s="57"/>
      <c r="R44" s="43"/>
      <c r="S44" s="37"/>
      <c r="T44" s="38"/>
      <c r="U44" s="79"/>
      <c r="V44" s="35"/>
      <c r="Y44" s="57"/>
      <c r="Z44" s="208">
        <f>+ROUND((ROUND((ROUND((_15_同援日０．５＿２．０*_15・通訳),0)*_15・２人),0)*(1+_15・B深夜)),0)</f>
        <v>504</v>
      </c>
      <c r="AA44" s="48"/>
    </row>
    <row r="45" spans="1:27" ht="16.5" customHeight="1" x14ac:dyDescent="0.15">
      <c r="A45" s="41">
        <v>15</v>
      </c>
      <c r="B45" s="41" t="s">
        <v>3290</v>
      </c>
      <c r="C45" s="127" t="s">
        <v>28161</v>
      </c>
      <c r="D45" s="523"/>
      <c r="F45" s="523"/>
      <c r="G45" s="72" t="s">
        <v>17645</v>
      </c>
      <c r="I45" s="57"/>
      <c r="J45" s="35"/>
      <c r="M45" s="163"/>
      <c r="N45" s="45"/>
      <c r="O45" s="46"/>
      <c r="P45" s="512"/>
      <c r="Q45" s="57"/>
      <c r="R45" s="114" t="s">
        <v>17562</v>
      </c>
      <c r="S45" s="49"/>
      <c r="T45" s="50"/>
      <c r="U45" s="115"/>
      <c r="V45" s="35"/>
      <c r="Y45" s="57"/>
      <c r="Z45" s="208">
        <f>+ROUND((ROUND((ROUND((_15_同援日０．５＿２．０*_15・通訳),0)*(1+_15・B深夜)),0)*(1+_15・盲ろう)),0)</f>
        <v>630</v>
      </c>
      <c r="AA45" s="48"/>
    </row>
    <row r="46" spans="1:27" ht="16.5" customHeight="1" x14ac:dyDescent="0.15">
      <c r="A46" s="41">
        <v>15</v>
      </c>
      <c r="B46" s="41" t="s">
        <v>3292</v>
      </c>
      <c r="C46" s="127" t="s">
        <v>28162</v>
      </c>
      <c r="D46" s="523"/>
      <c r="F46" s="523"/>
      <c r="G46" s="72"/>
      <c r="H46" s="168">
        <f>_15_同援日０．５＿２．０</f>
        <v>373</v>
      </c>
      <c r="I46" s="57" t="s">
        <v>392</v>
      </c>
      <c r="J46" s="35"/>
      <c r="M46" s="299" t="s">
        <v>17556</v>
      </c>
      <c r="N46" s="45" t="s">
        <v>398</v>
      </c>
      <c r="O46" s="46">
        <v>1</v>
      </c>
      <c r="P46" s="512"/>
      <c r="Q46" s="57"/>
      <c r="R46" s="269" t="s">
        <v>17564</v>
      </c>
      <c r="S46" s="37" t="s">
        <v>398</v>
      </c>
      <c r="T46" s="38">
        <v>0.25</v>
      </c>
      <c r="U46" s="79" t="s">
        <v>3575</v>
      </c>
      <c r="V46" s="43"/>
      <c r="W46" s="37"/>
      <c r="X46" s="38"/>
      <c r="Y46" s="79"/>
      <c r="Z46" s="208">
        <f>+ROUND((ROUND((ROUND((ROUND((_15_同援日０．５＿２．０*_15・通訳),0)*_15・２人),0)*(1+_15・B深夜)),0)*(1+_15・盲ろう)),0)</f>
        <v>630</v>
      </c>
      <c r="AA46" s="48"/>
    </row>
    <row r="47" spans="1:27" ht="16.5" customHeight="1" x14ac:dyDescent="0.15">
      <c r="A47" s="41">
        <v>15</v>
      </c>
      <c r="B47" s="41" t="s">
        <v>28163</v>
      </c>
      <c r="C47" s="127" t="s">
        <v>28164</v>
      </c>
      <c r="D47" s="523"/>
      <c r="F47" s="523"/>
      <c r="G47" s="72"/>
      <c r="I47" s="57"/>
      <c r="J47" s="35"/>
      <c r="M47" s="163"/>
      <c r="N47" s="45"/>
      <c r="O47" s="46"/>
      <c r="P47" s="512"/>
      <c r="Q47" s="57"/>
      <c r="R47" s="53"/>
      <c r="S47" s="49"/>
      <c r="T47" s="50"/>
      <c r="U47" s="115"/>
      <c r="V47" s="114" t="s">
        <v>17570</v>
      </c>
      <c r="W47" s="49"/>
      <c r="X47" s="50"/>
      <c r="Y47" s="115"/>
      <c r="Z47" s="208">
        <f>+ROUND((ROUND((ROUND((_15_同援日０．５＿２．０*_15・通訳),0)*(1+_15・B深夜)),0)*(1+_15・区３)),0)</f>
        <v>605</v>
      </c>
      <c r="AA47" s="48"/>
    </row>
    <row r="48" spans="1:27" ht="16.5" customHeight="1" x14ac:dyDescent="0.15">
      <c r="A48" s="41">
        <v>15</v>
      </c>
      <c r="B48" s="41" t="s">
        <v>28165</v>
      </c>
      <c r="C48" s="127" t="s">
        <v>28166</v>
      </c>
      <c r="D48" s="523"/>
      <c r="F48" s="523"/>
      <c r="G48" s="72"/>
      <c r="I48" s="57"/>
      <c r="J48" s="35"/>
      <c r="M48" s="299" t="s">
        <v>17556</v>
      </c>
      <c r="N48" s="45" t="s">
        <v>398</v>
      </c>
      <c r="O48" s="46">
        <v>1</v>
      </c>
      <c r="P48" s="512"/>
      <c r="Q48" s="57"/>
      <c r="R48" s="43"/>
      <c r="S48" s="37"/>
      <c r="T48" s="38"/>
      <c r="U48" s="79"/>
      <c r="V48" s="92" t="s">
        <v>17572</v>
      </c>
      <c r="Y48" s="57"/>
      <c r="Z48" s="208">
        <f>+ROUND((ROUND((ROUND((ROUND((_15_同援日０．５＿２．０*_15・通訳),0)*_15・２人),0)*(1+_15・B深夜)),0)*(1+_15・区３)),0)</f>
        <v>605</v>
      </c>
      <c r="AA48" s="48"/>
    </row>
    <row r="49" spans="1:27" ht="16.5" customHeight="1" x14ac:dyDescent="0.15">
      <c r="A49" s="41">
        <v>15</v>
      </c>
      <c r="B49" s="41" t="s">
        <v>28167</v>
      </c>
      <c r="C49" s="127" t="s">
        <v>28168</v>
      </c>
      <c r="D49" s="523"/>
      <c r="F49" s="523"/>
      <c r="G49" s="72"/>
      <c r="I49" s="57"/>
      <c r="J49" s="35"/>
      <c r="M49" s="163"/>
      <c r="N49" s="45"/>
      <c r="O49" s="46"/>
      <c r="P49" s="512"/>
      <c r="Q49" s="57"/>
      <c r="R49" s="114" t="s">
        <v>17562</v>
      </c>
      <c r="S49" s="49"/>
      <c r="T49" s="50"/>
      <c r="U49" s="115"/>
      <c r="V49" s="35"/>
      <c r="W49" s="12" t="s">
        <v>398</v>
      </c>
      <c r="X49" s="13">
        <v>0.2</v>
      </c>
      <c r="Y49" s="57" t="s">
        <v>3575</v>
      </c>
      <c r="Z49" s="208">
        <f>+ROUND((ROUND((ROUND((ROUND((_15_同援日０．５＿２．０*_15・通訳),0)*(1+_15・B深夜)),0)*(1+_15・盲ろう)),0)*(1+_15・区３)),0)</f>
        <v>756</v>
      </c>
      <c r="AA49" s="48"/>
    </row>
    <row r="50" spans="1:27" ht="16.5" customHeight="1" x14ac:dyDescent="0.15">
      <c r="A50" s="41">
        <v>15</v>
      </c>
      <c r="B50" s="41" t="s">
        <v>28169</v>
      </c>
      <c r="C50" s="127" t="s">
        <v>28170</v>
      </c>
      <c r="D50" s="523"/>
      <c r="F50" s="523"/>
      <c r="G50" s="72"/>
      <c r="I50" s="57"/>
      <c r="J50" s="35"/>
      <c r="M50" s="299" t="s">
        <v>17556</v>
      </c>
      <c r="N50" s="45" t="s">
        <v>398</v>
      </c>
      <c r="O50" s="46">
        <v>1</v>
      </c>
      <c r="P50" s="512"/>
      <c r="Q50" s="57"/>
      <c r="R50" s="269" t="s">
        <v>17564</v>
      </c>
      <c r="S50" s="37" t="s">
        <v>398</v>
      </c>
      <c r="T50" s="38">
        <v>0.25</v>
      </c>
      <c r="U50" s="79" t="s">
        <v>3575</v>
      </c>
      <c r="V50" s="43"/>
      <c r="W50" s="37"/>
      <c r="X50" s="38"/>
      <c r="Y50" s="79"/>
      <c r="Z50" s="208">
        <f>+ROUND((ROUND((ROUND((ROUND((ROUND((_15_同援日０．５＿２．０*_15・通訳),0)*_15・２人),0)*(1+_15・B深夜)),0)*(1+_15・盲ろう)),0)*(1+_15・区３)),0)</f>
        <v>756</v>
      </c>
      <c r="AA50" s="48"/>
    </row>
    <row r="51" spans="1:27" ht="16.5" customHeight="1" x14ac:dyDescent="0.15">
      <c r="A51" s="41">
        <v>15</v>
      </c>
      <c r="B51" s="41" t="s">
        <v>28171</v>
      </c>
      <c r="C51" s="127" t="s">
        <v>28172</v>
      </c>
      <c r="D51" s="523"/>
      <c r="F51" s="523"/>
      <c r="G51" s="72"/>
      <c r="I51" s="57"/>
      <c r="J51" s="35"/>
      <c r="M51" s="163"/>
      <c r="N51" s="45"/>
      <c r="O51" s="46"/>
      <c r="P51" s="512"/>
      <c r="Q51" s="57"/>
      <c r="R51" s="53"/>
      <c r="S51" s="49"/>
      <c r="T51" s="50"/>
      <c r="U51" s="115"/>
      <c r="V51" s="114" t="s">
        <v>17580</v>
      </c>
      <c r="W51" s="49"/>
      <c r="X51" s="50"/>
      <c r="Y51" s="115"/>
      <c r="Z51" s="208">
        <f>+ROUND((ROUND((ROUND((_15_同援日０．５＿２．０*_15・通訳),0)*(1+_15・B深夜)),0)*(1+_15・区４)),0)</f>
        <v>706</v>
      </c>
      <c r="AA51" s="48"/>
    </row>
    <row r="52" spans="1:27" ht="16.5" customHeight="1" x14ac:dyDescent="0.15">
      <c r="A52" s="41">
        <v>15</v>
      </c>
      <c r="B52" s="41" t="s">
        <v>28173</v>
      </c>
      <c r="C52" s="127" t="s">
        <v>28174</v>
      </c>
      <c r="D52" s="523"/>
      <c r="F52" s="523"/>
      <c r="G52" s="72"/>
      <c r="I52" s="57"/>
      <c r="J52" s="35"/>
      <c r="M52" s="299" t="s">
        <v>17556</v>
      </c>
      <c r="N52" s="45" t="s">
        <v>398</v>
      </c>
      <c r="O52" s="46">
        <v>1</v>
      </c>
      <c r="P52" s="512"/>
      <c r="Q52" s="57"/>
      <c r="R52" s="43"/>
      <c r="S52" s="37"/>
      <c r="T52" s="38"/>
      <c r="U52" s="79"/>
      <c r="V52" s="92" t="s">
        <v>17572</v>
      </c>
      <c r="Y52" s="57"/>
      <c r="Z52" s="208">
        <f>+ROUND((ROUND((ROUND((ROUND((_15_同援日０．５＿２．０*_15・通訳),0)*_15・２人),0)*(1+_15・B深夜)),0)*(1+_15・区４)),0)</f>
        <v>706</v>
      </c>
      <c r="AA52" s="48"/>
    </row>
    <row r="53" spans="1:27" ht="16.5" customHeight="1" x14ac:dyDescent="0.15">
      <c r="A53" s="41">
        <v>15</v>
      </c>
      <c r="B53" s="41" t="s">
        <v>28175</v>
      </c>
      <c r="C53" s="127" t="s">
        <v>28176</v>
      </c>
      <c r="D53" s="523"/>
      <c r="F53" s="523"/>
      <c r="G53" s="72"/>
      <c r="I53" s="57"/>
      <c r="J53" s="35"/>
      <c r="M53" s="163"/>
      <c r="N53" s="45"/>
      <c r="O53" s="46"/>
      <c r="P53" s="512"/>
      <c r="Q53" s="57"/>
      <c r="R53" s="114" t="s">
        <v>17562</v>
      </c>
      <c r="S53" s="49"/>
      <c r="T53" s="50"/>
      <c r="U53" s="115"/>
      <c r="V53" s="35"/>
      <c r="W53" s="12" t="s">
        <v>398</v>
      </c>
      <c r="X53" s="13">
        <v>0.4</v>
      </c>
      <c r="Y53" s="57" t="s">
        <v>3575</v>
      </c>
      <c r="Z53" s="208">
        <f>+ROUND((ROUND((ROUND((ROUND((_15_同援日０．５＿２．０*_15・通訳),0)*(1+_15・B深夜)),0)*(1+_15・盲ろう)),0)*(1+_15・区４)),0)</f>
        <v>882</v>
      </c>
      <c r="AA53" s="48"/>
    </row>
    <row r="54" spans="1:27" ht="16.5" customHeight="1" x14ac:dyDescent="0.15">
      <c r="A54" s="41">
        <v>15</v>
      </c>
      <c r="B54" s="41" t="s">
        <v>28177</v>
      </c>
      <c r="C54" s="127" t="s">
        <v>28178</v>
      </c>
      <c r="D54" s="523"/>
      <c r="F54" s="523"/>
      <c r="G54" s="122"/>
      <c r="H54" s="37"/>
      <c r="I54" s="79"/>
      <c r="J54" s="35"/>
      <c r="M54" s="299" t="s">
        <v>17556</v>
      </c>
      <c r="N54" s="45" t="s">
        <v>398</v>
      </c>
      <c r="O54" s="46">
        <v>1</v>
      </c>
      <c r="P54" s="512"/>
      <c r="Q54" s="57"/>
      <c r="R54" s="269" t="s">
        <v>17564</v>
      </c>
      <c r="S54" s="37" t="s">
        <v>398</v>
      </c>
      <c r="T54" s="38">
        <v>0.25</v>
      </c>
      <c r="U54" s="79" t="s">
        <v>3575</v>
      </c>
      <c r="V54" s="43"/>
      <c r="W54" s="37"/>
      <c r="X54" s="38"/>
      <c r="Y54" s="79"/>
      <c r="Z54" s="208">
        <f>+ROUND((ROUND((ROUND((ROUND((ROUND((_15_同援日０．５＿２．０*_15・通訳),0)*_15・２人),0)*(1+_15・B深夜)),0)*(1+_15・盲ろう)),0)*(1+_15・区４)),0)</f>
        <v>882</v>
      </c>
      <c r="AA54" s="48"/>
    </row>
    <row r="55" spans="1:27" ht="16.5" customHeight="1" x14ac:dyDescent="0.15">
      <c r="A55" s="41">
        <v>15</v>
      </c>
      <c r="B55" s="41" t="s">
        <v>3297</v>
      </c>
      <c r="C55" s="127" t="s">
        <v>28179</v>
      </c>
      <c r="D55" s="523"/>
      <c r="F55" s="523"/>
      <c r="G55" s="114" t="s">
        <v>20077</v>
      </c>
      <c r="H55" s="49"/>
      <c r="I55" s="115"/>
      <c r="J55" s="35"/>
      <c r="M55" s="163"/>
      <c r="N55" s="45"/>
      <c r="O55" s="46"/>
      <c r="P55" s="512"/>
      <c r="Q55" s="57"/>
      <c r="R55" s="53"/>
      <c r="S55" s="49"/>
      <c r="T55" s="50"/>
      <c r="U55" s="115"/>
      <c r="V55" s="53"/>
      <c r="W55" s="49"/>
      <c r="X55" s="50"/>
      <c r="Y55" s="115"/>
      <c r="Z55" s="208">
        <f>+ROUND((ROUND((_15_同援日０．５＿２．５*_15・通訳),0)*(1+_15・B深夜)),0)</f>
        <v>591</v>
      </c>
      <c r="AA55" s="48"/>
    </row>
    <row r="56" spans="1:27" ht="16.5" customHeight="1" x14ac:dyDescent="0.15">
      <c r="A56" s="41">
        <v>15</v>
      </c>
      <c r="B56" s="41" t="s">
        <v>3299</v>
      </c>
      <c r="C56" s="127" t="s">
        <v>28180</v>
      </c>
      <c r="D56" s="523"/>
      <c r="F56" s="523"/>
      <c r="G56" s="72" t="s">
        <v>17670</v>
      </c>
      <c r="I56" s="57"/>
      <c r="J56" s="35"/>
      <c r="M56" s="299" t="s">
        <v>17556</v>
      </c>
      <c r="N56" s="45" t="s">
        <v>398</v>
      </c>
      <c r="O56" s="46">
        <v>1</v>
      </c>
      <c r="P56" s="512"/>
      <c r="Q56" s="57"/>
      <c r="R56" s="43"/>
      <c r="S56" s="37"/>
      <c r="T56" s="38"/>
      <c r="U56" s="79"/>
      <c r="V56" s="35"/>
      <c r="Y56" s="57"/>
      <c r="Z56" s="208">
        <f>+ROUND((ROUND((ROUND((_15_同援日０．５＿２．５*_15・通訳),0)*_15・２人),0)*(1+_15・B深夜)),0)</f>
        <v>591</v>
      </c>
      <c r="AA56" s="48"/>
    </row>
    <row r="57" spans="1:27" ht="16.5" customHeight="1" x14ac:dyDescent="0.15">
      <c r="A57" s="41">
        <v>15</v>
      </c>
      <c r="B57" s="41" t="s">
        <v>28181</v>
      </c>
      <c r="C57" s="127" t="s">
        <v>28182</v>
      </c>
      <c r="D57" s="523"/>
      <c r="F57" s="523"/>
      <c r="G57" s="72" t="s">
        <v>17672</v>
      </c>
      <c r="I57" s="57"/>
      <c r="J57" s="35"/>
      <c r="M57" s="163"/>
      <c r="N57" s="45"/>
      <c r="O57" s="46"/>
      <c r="P57" s="512"/>
      <c r="Q57" s="57"/>
      <c r="R57" s="114" t="s">
        <v>17562</v>
      </c>
      <c r="S57" s="49"/>
      <c r="T57" s="50"/>
      <c r="U57" s="115"/>
      <c r="V57" s="35"/>
      <c r="Y57" s="57"/>
      <c r="Z57" s="208">
        <f>+ROUND((ROUND((ROUND((_15_同援日０．５＿２．５*_15・通訳),0)*(1+_15・B深夜)),0)*(1+_15・盲ろう)),0)</f>
        <v>739</v>
      </c>
      <c r="AA57" s="48"/>
    </row>
    <row r="58" spans="1:27" ht="16.5" customHeight="1" x14ac:dyDescent="0.15">
      <c r="A58" s="41">
        <v>15</v>
      </c>
      <c r="B58" s="41" t="s">
        <v>28183</v>
      </c>
      <c r="C58" s="127" t="s">
        <v>28184</v>
      </c>
      <c r="D58" s="523"/>
      <c r="F58" s="523"/>
      <c r="G58" s="72"/>
      <c r="H58" s="168">
        <f>_15_同援日０．５＿２．５</f>
        <v>438</v>
      </c>
      <c r="I58" s="57" t="s">
        <v>392</v>
      </c>
      <c r="J58" s="35"/>
      <c r="M58" s="299" t="s">
        <v>17556</v>
      </c>
      <c r="N58" s="45" t="s">
        <v>398</v>
      </c>
      <c r="O58" s="46">
        <v>1</v>
      </c>
      <c r="P58" s="512"/>
      <c r="Q58" s="57"/>
      <c r="R58" s="269" t="s">
        <v>17564</v>
      </c>
      <c r="S58" s="37" t="s">
        <v>398</v>
      </c>
      <c r="T58" s="38">
        <v>0.25</v>
      </c>
      <c r="U58" s="79" t="s">
        <v>3575</v>
      </c>
      <c r="V58" s="43"/>
      <c r="W58" s="37"/>
      <c r="X58" s="38"/>
      <c r="Y58" s="79"/>
      <c r="Z58" s="208">
        <f>+ROUND((ROUND((ROUND((ROUND((_15_同援日０．５＿２．５*_15・通訳),0)*_15・２人),0)*(1+_15・B深夜)),0)*(1+_15・盲ろう)),0)</f>
        <v>739</v>
      </c>
      <c r="AA58" s="48"/>
    </row>
    <row r="59" spans="1:27" ht="16.5" customHeight="1" x14ac:dyDescent="0.15">
      <c r="A59" s="41">
        <v>15</v>
      </c>
      <c r="B59" s="41" t="s">
        <v>28185</v>
      </c>
      <c r="C59" s="127" t="s">
        <v>28186</v>
      </c>
      <c r="D59" s="523"/>
      <c r="F59" s="523"/>
      <c r="G59" s="72"/>
      <c r="I59" s="57"/>
      <c r="J59" s="35"/>
      <c r="M59" s="163"/>
      <c r="N59" s="45"/>
      <c r="O59" s="46"/>
      <c r="P59" s="512"/>
      <c r="Q59" s="57"/>
      <c r="R59" s="53"/>
      <c r="S59" s="49"/>
      <c r="T59" s="50"/>
      <c r="U59" s="115"/>
      <c r="V59" s="114" t="s">
        <v>17570</v>
      </c>
      <c r="W59" s="49"/>
      <c r="X59" s="50"/>
      <c r="Y59" s="115"/>
      <c r="Z59" s="208">
        <f>+ROUND((ROUND((ROUND((_15_同援日０．５＿２．５*_15・通訳),0)*(1+_15・B深夜)),0)*(1+_15・区３)),0)</f>
        <v>709</v>
      </c>
      <c r="AA59" s="48"/>
    </row>
    <row r="60" spans="1:27" ht="16.5" customHeight="1" x14ac:dyDescent="0.15">
      <c r="A60" s="41">
        <v>15</v>
      </c>
      <c r="B60" s="41" t="s">
        <v>28187</v>
      </c>
      <c r="C60" s="127" t="s">
        <v>28188</v>
      </c>
      <c r="D60" s="523"/>
      <c r="F60" s="523"/>
      <c r="G60" s="72"/>
      <c r="I60" s="57"/>
      <c r="J60" s="35"/>
      <c r="M60" s="299" t="s">
        <v>17556</v>
      </c>
      <c r="N60" s="45" t="s">
        <v>398</v>
      </c>
      <c r="O60" s="46">
        <v>1</v>
      </c>
      <c r="P60" s="512"/>
      <c r="Q60" s="57"/>
      <c r="R60" s="43"/>
      <c r="S60" s="37"/>
      <c r="T60" s="38"/>
      <c r="U60" s="79"/>
      <c r="V60" s="92" t="s">
        <v>17572</v>
      </c>
      <c r="Y60" s="57"/>
      <c r="Z60" s="208">
        <f>+ROUND((ROUND((ROUND((ROUND((_15_同援日０．５＿２．５*_15・通訳),0)*_15・２人),0)*(1+_15・B深夜)),0)*(1+_15・区３)),0)</f>
        <v>709</v>
      </c>
      <c r="AA60" s="48"/>
    </row>
    <row r="61" spans="1:27" ht="16.5" customHeight="1" x14ac:dyDescent="0.15">
      <c r="A61" s="41">
        <v>15</v>
      </c>
      <c r="B61" s="41" t="s">
        <v>28189</v>
      </c>
      <c r="C61" s="127" t="s">
        <v>28190</v>
      </c>
      <c r="D61" s="523"/>
      <c r="F61" s="523"/>
      <c r="G61" s="72"/>
      <c r="I61" s="57"/>
      <c r="J61" s="35"/>
      <c r="M61" s="163"/>
      <c r="N61" s="45"/>
      <c r="O61" s="46"/>
      <c r="P61" s="512"/>
      <c r="Q61" s="57"/>
      <c r="R61" s="114" t="s">
        <v>17562</v>
      </c>
      <c r="S61" s="49"/>
      <c r="T61" s="50"/>
      <c r="U61" s="115"/>
      <c r="V61" s="35"/>
      <c r="W61" s="12" t="s">
        <v>398</v>
      </c>
      <c r="X61" s="13">
        <v>0.2</v>
      </c>
      <c r="Y61" s="57" t="s">
        <v>3575</v>
      </c>
      <c r="Z61" s="208">
        <f>+ROUND((ROUND((ROUND((ROUND((_15_同援日０．５＿２．５*_15・通訳),0)*(1+_15・B深夜)),0)*(1+_15・盲ろう)),0)*(1+_15・区３)),0)</f>
        <v>887</v>
      </c>
      <c r="AA61" s="48"/>
    </row>
    <row r="62" spans="1:27" ht="16.5" customHeight="1" x14ac:dyDescent="0.15">
      <c r="A62" s="41">
        <v>15</v>
      </c>
      <c r="B62" s="41" t="s">
        <v>28191</v>
      </c>
      <c r="C62" s="127" t="s">
        <v>28192</v>
      </c>
      <c r="D62" s="523"/>
      <c r="F62" s="523"/>
      <c r="G62" s="72"/>
      <c r="I62" s="57"/>
      <c r="J62" s="35"/>
      <c r="M62" s="299" t="s">
        <v>17556</v>
      </c>
      <c r="N62" s="45" t="s">
        <v>398</v>
      </c>
      <c r="O62" s="46">
        <v>1</v>
      </c>
      <c r="P62" s="512"/>
      <c r="Q62" s="57"/>
      <c r="R62" s="269" t="s">
        <v>17564</v>
      </c>
      <c r="S62" s="37" t="s">
        <v>398</v>
      </c>
      <c r="T62" s="38">
        <v>0.25</v>
      </c>
      <c r="U62" s="79" t="s">
        <v>3575</v>
      </c>
      <c r="V62" s="43"/>
      <c r="W62" s="37"/>
      <c r="X62" s="38"/>
      <c r="Y62" s="79"/>
      <c r="Z62" s="208">
        <f>+ROUND((ROUND((ROUND((ROUND((ROUND((_15_同援日０．５＿２．５*_15・通訳),0)*_15・２人),0)*(1+_15・B深夜)),0)*(1+_15・盲ろう)),0)*(1+_15・区３)),0)</f>
        <v>887</v>
      </c>
      <c r="AA62" s="48"/>
    </row>
    <row r="63" spans="1:27" ht="16.5" customHeight="1" x14ac:dyDescent="0.15">
      <c r="A63" s="41">
        <v>15</v>
      </c>
      <c r="B63" s="41" t="s">
        <v>28193</v>
      </c>
      <c r="C63" s="127" t="s">
        <v>28194</v>
      </c>
      <c r="D63" s="523"/>
      <c r="F63" s="523"/>
      <c r="G63" s="72"/>
      <c r="I63" s="57"/>
      <c r="J63" s="35"/>
      <c r="M63" s="163"/>
      <c r="N63" s="45"/>
      <c r="O63" s="46"/>
      <c r="P63" s="512"/>
      <c r="Q63" s="57"/>
      <c r="R63" s="53"/>
      <c r="S63" s="49"/>
      <c r="T63" s="50"/>
      <c r="U63" s="115"/>
      <c r="V63" s="114" t="s">
        <v>17580</v>
      </c>
      <c r="W63" s="49"/>
      <c r="X63" s="50"/>
      <c r="Y63" s="115"/>
      <c r="Z63" s="208">
        <f>+ROUND((ROUND((ROUND((_15_同援日０．５＿２．５*_15・通訳),0)*(1+_15・B深夜)),0)*(1+_15・区４)),0)</f>
        <v>827</v>
      </c>
      <c r="AA63" s="48"/>
    </row>
    <row r="64" spans="1:27" ht="16.5" customHeight="1" x14ac:dyDescent="0.15">
      <c r="A64" s="41">
        <v>15</v>
      </c>
      <c r="B64" s="41" t="s">
        <v>28195</v>
      </c>
      <c r="C64" s="127" t="s">
        <v>28196</v>
      </c>
      <c r="D64" s="523"/>
      <c r="F64" s="523"/>
      <c r="G64" s="72"/>
      <c r="I64" s="57"/>
      <c r="J64" s="35"/>
      <c r="M64" s="299" t="s">
        <v>17556</v>
      </c>
      <c r="N64" s="45" t="s">
        <v>398</v>
      </c>
      <c r="O64" s="46">
        <v>1</v>
      </c>
      <c r="P64" s="512"/>
      <c r="Q64" s="57"/>
      <c r="R64" s="43"/>
      <c r="S64" s="37"/>
      <c r="T64" s="38"/>
      <c r="U64" s="79"/>
      <c r="V64" s="92" t="s">
        <v>17572</v>
      </c>
      <c r="Y64" s="57"/>
      <c r="Z64" s="208">
        <f>+ROUND((ROUND((ROUND((ROUND((_15_同援日０．５＿２．５*_15・通訳),0)*_15・２人),0)*(1+_15・B深夜)),0)*(1+_15・区４)),0)</f>
        <v>827</v>
      </c>
      <c r="AA64" s="48"/>
    </row>
    <row r="65" spans="1:27" ht="16.5" customHeight="1" x14ac:dyDescent="0.15">
      <c r="A65" s="41">
        <v>15</v>
      </c>
      <c r="B65" s="41" t="s">
        <v>3304</v>
      </c>
      <c r="C65" s="127" t="s">
        <v>28197</v>
      </c>
      <c r="D65" s="523"/>
      <c r="F65" s="523"/>
      <c r="G65" s="72"/>
      <c r="I65" s="57"/>
      <c r="J65" s="35"/>
      <c r="M65" s="163"/>
      <c r="N65" s="45"/>
      <c r="O65" s="46"/>
      <c r="P65" s="512"/>
      <c r="Q65" s="57"/>
      <c r="R65" s="114" t="s">
        <v>17562</v>
      </c>
      <c r="S65" s="49"/>
      <c r="T65" s="50"/>
      <c r="U65" s="115"/>
      <c r="V65" s="35"/>
      <c r="W65" s="12" t="s">
        <v>398</v>
      </c>
      <c r="X65" s="13">
        <v>0.4</v>
      </c>
      <c r="Y65" s="57" t="s">
        <v>3575</v>
      </c>
      <c r="Z65" s="208">
        <f>+ROUND((ROUND((ROUND((ROUND((_15_同援日０．５＿２．５*_15・通訳),0)*(1+_15・B深夜)),0)*(1+_15・盲ろう)),0)*(1+_15・区４)),0)</f>
        <v>1035</v>
      </c>
      <c r="AA65" s="48"/>
    </row>
    <row r="66" spans="1:27" ht="16.5" customHeight="1" x14ac:dyDescent="0.15">
      <c r="A66" s="41">
        <v>15</v>
      </c>
      <c r="B66" s="41" t="s">
        <v>3306</v>
      </c>
      <c r="C66" s="127" t="s">
        <v>28198</v>
      </c>
      <c r="D66" s="523"/>
      <c r="E66" s="190"/>
      <c r="F66" s="523"/>
      <c r="G66" s="122"/>
      <c r="H66" s="37"/>
      <c r="I66" s="79"/>
      <c r="J66" s="35"/>
      <c r="M66" s="299" t="s">
        <v>17556</v>
      </c>
      <c r="N66" s="45" t="s">
        <v>398</v>
      </c>
      <c r="O66" s="46">
        <v>1</v>
      </c>
      <c r="P66" s="512"/>
      <c r="Q66" s="57"/>
      <c r="R66" s="269" t="s">
        <v>17564</v>
      </c>
      <c r="S66" s="37" t="s">
        <v>398</v>
      </c>
      <c r="T66" s="38">
        <v>0.25</v>
      </c>
      <c r="U66" s="79" t="s">
        <v>3575</v>
      </c>
      <c r="V66" s="43"/>
      <c r="W66" s="37"/>
      <c r="X66" s="38"/>
      <c r="Y66" s="79"/>
      <c r="Z66" s="208">
        <f>+ROUND((ROUND((ROUND((ROUND((ROUND((_15_同援日０．５＿２．５*_15・通訳),0)*_15・２人),0)*(1+_15・B深夜)),0)*(1+_15・盲ろう)),0)*(1+_15・区４)),0)</f>
        <v>1035</v>
      </c>
      <c r="AA66" s="48"/>
    </row>
    <row r="67" spans="1:27" ht="16.5" customHeight="1" x14ac:dyDescent="0.15">
      <c r="A67" s="41">
        <v>15</v>
      </c>
      <c r="B67" s="41" t="s">
        <v>28199</v>
      </c>
      <c r="C67" s="127" t="s">
        <v>28200</v>
      </c>
      <c r="D67" s="523"/>
      <c r="E67" s="253" t="s">
        <v>18513</v>
      </c>
      <c r="F67" s="523"/>
      <c r="G67" s="114" t="s">
        <v>19945</v>
      </c>
      <c r="H67" s="49"/>
      <c r="I67" s="115"/>
      <c r="J67" s="35"/>
      <c r="M67" s="163"/>
      <c r="N67" s="45"/>
      <c r="O67" s="46"/>
      <c r="P67" s="512"/>
      <c r="Q67" s="57"/>
      <c r="R67" s="53"/>
      <c r="S67" s="49"/>
      <c r="T67" s="50"/>
      <c r="U67" s="115"/>
      <c r="V67" s="53"/>
      <c r="W67" s="49"/>
      <c r="X67" s="50"/>
      <c r="Y67" s="115"/>
      <c r="Z67" s="208">
        <f>+ROUND((ROUND((_15_同援日１．０＿０．５*_15・通訳),0)*(1+_15・B深夜)),0)</f>
        <v>180</v>
      </c>
      <c r="AA67" s="48"/>
    </row>
    <row r="68" spans="1:27" ht="16.5" customHeight="1" x14ac:dyDescent="0.15">
      <c r="A68" s="41">
        <v>15</v>
      </c>
      <c r="B68" s="41" t="s">
        <v>28201</v>
      </c>
      <c r="C68" s="127" t="s">
        <v>28202</v>
      </c>
      <c r="D68" s="523"/>
      <c r="E68" s="10" t="s">
        <v>17589</v>
      </c>
      <c r="F68" s="523"/>
      <c r="G68" s="72" t="s">
        <v>18259</v>
      </c>
      <c r="I68" s="57"/>
      <c r="J68" s="35"/>
      <c r="M68" s="299" t="s">
        <v>17556</v>
      </c>
      <c r="N68" s="45" t="s">
        <v>398</v>
      </c>
      <c r="O68" s="46">
        <v>1</v>
      </c>
      <c r="P68" s="512"/>
      <c r="Q68" s="57"/>
      <c r="R68" s="43"/>
      <c r="S68" s="37"/>
      <c r="T68" s="38"/>
      <c r="U68" s="79"/>
      <c r="V68" s="35"/>
      <c r="Y68" s="57"/>
      <c r="Z68" s="208">
        <f>+ROUND((ROUND((ROUND((_15_同援日１．０＿０．５*_15・通訳),0)*_15・２人),0)*(1+_15・B深夜)),0)</f>
        <v>180</v>
      </c>
      <c r="AA68" s="48"/>
    </row>
    <row r="69" spans="1:27" ht="16.5" customHeight="1" x14ac:dyDescent="0.15">
      <c r="A69" s="41">
        <v>15</v>
      </c>
      <c r="B69" s="41" t="s">
        <v>28203</v>
      </c>
      <c r="C69" s="127" t="s">
        <v>28204</v>
      </c>
      <c r="D69" s="523"/>
      <c r="E69" s="10" t="s">
        <v>17591</v>
      </c>
      <c r="F69" s="523"/>
      <c r="G69" s="72"/>
      <c r="I69" s="57"/>
      <c r="J69" s="35"/>
      <c r="M69" s="163"/>
      <c r="N69" s="45"/>
      <c r="O69" s="46"/>
      <c r="P69" s="512"/>
      <c r="Q69" s="57"/>
      <c r="R69" s="114" t="s">
        <v>17562</v>
      </c>
      <c r="S69" s="49"/>
      <c r="T69" s="50"/>
      <c r="U69" s="115"/>
      <c r="V69" s="35"/>
      <c r="Y69" s="57"/>
      <c r="Z69" s="208">
        <f>+ROUND((ROUND((ROUND((_15_同援日１．０＿０．５*_15・通訳),0)*(1+_15・B深夜)),0)*(1+_15・盲ろう)),0)</f>
        <v>225</v>
      </c>
      <c r="AA69" s="48"/>
    </row>
    <row r="70" spans="1:27" ht="16.5" customHeight="1" x14ac:dyDescent="0.15">
      <c r="A70" s="41">
        <v>15</v>
      </c>
      <c r="B70" s="41" t="s">
        <v>28205</v>
      </c>
      <c r="C70" s="127" t="s">
        <v>28206</v>
      </c>
      <c r="D70" s="523"/>
      <c r="F70" s="523"/>
      <c r="G70" s="72"/>
      <c r="H70" s="168">
        <f>_15_同援日１．０＿０．５</f>
        <v>133</v>
      </c>
      <c r="I70" s="57" t="s">
        <v>392</v>
      </c>
      <c r="J70" s="35"/>
      <c r="M70" s="299" t="s">
        <v>17556</v>
      </c>
      <c r="N70" s="45" t="s">
        <v>398</v>
      </c>
      <c r="O70" s="46">
        <v>1</v>
      </c>
      <c r="P70" s="512"/>
      <c r="Q70" s="57"/>
      <c r="R70" s="269" t="s">
        <v>17564</v>
      </c>
      <c r="S70" s="37" t="s">
        <v>398</v>
      </c>
      <c r="T70" s="38">
        <v>0.25</v>
      </c>
      <c r="U70" s="79" t="s">
        <v>3575</v>
      </c>
      <c r="V70" s="43"/>
      <c r="W70" s="37"/>
      <c r="X70" s="38"/>
      <c r="Y70" s="79"/>
      <c r="Z70" s="208">
        <f>+ROUND((ROUND((ROUND((ROUND((_15_同援日１．０＿０．５*_15・通訳),0)*_15・２人),0)*(1+_15・B深夜)),0)*(1+_15・盲ろう)),0)</f>
        <v>225</v>
      </c>
      <c r="AA70" s="48"/>
    </row>
    <row r="71" spans="1:27" ht="16.5" customHeight="1" x14ac:dyDescent="0.15">
      <c r="A71" s="41">
        <v>15</v>
      </c>
      <c r="B71" s="41" t="s">
        <v>28207</v>
      </c>
      <c r="C71" s="127" t="s">
        <v>28208</v>
      </c>
      <c r="D71" s="523"/>
      <c r="F71" s="523"/>
      <c r="G71" s="72"/>
      <c r="I71" s="57"/>
      <c r="J71" s="35"/>
      <c r="M71" s="163"/>
      <c r="N71" s="45"/>
      <c r="O71" s="46"/>
      <c r="P71" s="512"/>
      <c r="Q71" s="57"/>
      <c r="R71" s="53"/>
      <c r="S71" s="49"/>
      <c r="T71" s="50"/>
      <c r="U71" s="115"/>
      <c r="V71" s="114" t="s">
        <v>17570</v>
      </c>
      <c r="W71" s="49"/>
      <c r="X71" s="50"/>
      <c r="Y71" s="115"/>
      <c r="Z71" s="208">
        <f>+ROUND((ROUND((ROUND((_15_同援日１．０＿０．５*_15・通訳),0)*(1+_15・B深夜)),0)*(1+_15・区３)),0)</f>
        <v>216</v>
      </c>
      <c r="AA71" s="48"/>
    </row>
    <row r="72" spans="1:27" ht="16.5" customHeight="1" x14ac:dyDescent="0.15">
      <c r="A72" s="41">
        <v>15</v>
      </c>
      <c r="B72" s="41" t="s">
        <v>28209</v>
      </c>
      <c r="C72" s="127" t="s">
        <v>28210</v>
      </c>
      <c r="D72" s="523"/>
      <c r="F72" s="523"/>
      <c r="G72" s="72"/>
      <c r="I72" s="57"/>
      <c r="J72" s="35"/>
      <c r="M72" s="299" t="s">
        <v>17556</v>
      </c>
      <c r="N72" s="45" t="s">
        <v>398</v>
      </c>
      <c r="O72" s="46">
        <v>1</v>
      </c>
      <c r="P72" s="512"/>
      <c r="Q72" s="57"/>
      <c r="R72" s="43"/>
      <c r="S72" s="37"/>
      <c r="T72" s="38"/>
      <c r="U72" s="79"/>
      <c r="V72" s="92" t="s">
        <v>17572</v>
      </c>
      <c r="Y72" s="57"/>
      <c r="Z72" s="208">
        <f>+ROUND((ROUND((ROUND((ROUND((_15_同援日１．０＿０．５*_15・通訳),0)*_15・２人),0)*(1+_15・B深夜)),0)*(1+_15・区３)),0)</f>
        <v>216</v>
      </c>
      <c r="AA72" s="48"/>
    </row>
    <row r="73" spans="1:27" ht="16.5" customHeight="1" x14ac:dyDescent="0.15">
      <c r="A73" s="41">
        <v>15</v>
      </c>
      <c r="B73" s="41" t="s">
        <v>28211</v>
      </c>
      <c r="C73" s="127" t="s">
        <v>28212</v>
      </c>
      <c r="D73" s="523"/>
      <c r="F73" s="523"/>
      <c r="G73" s="72"/>
      <c r="I73" s="57"/>
      <c r="J73" s="35"/>
      <c r="M73" s="163"/>
      <c r="N73" s="45"/>
      <c r="O73" s="46"/>
      <c r="P73" s="512"/>
      <c r="Q73" s="57"/>
      <c r="R73" s="114" t="s">
        <v>17562</v>
      </c>
      <c r="S73" s="49"/>
      <c r="T73" s="50"/>
      <c r="U73" s="115"/>
      <c r="V73" s="35"/>
      <c r="W73" s="12" t="s">
        <v>398</v>
      </c>
      <c r="X73" s="13">
        <v>0.2</v>
      </c>
      <c r="Y73" s="57" t="s">
        <v>3575</v>
      </c>
      <c r="Z73" s="208">
        <f>+ROUND((ROUND((ROUND((ROUND((_15_同援日１．０＿０．５*_15・通訳),0)*(1+_15・B深夜)),0)*(1+_15・盲ろう)),0)*(1+_15・区３)),0)</f>
        <v>270</v>
      </c>
      <c r="AA73" s="48"/>
    </row>
    <row r="74" spans="1:27" ht="16.5" customHeight="1" x14ac:dyDescent="0.15">
      <c r="A74" s="41">
        <v>15</v>
      </c>
      <c r="B74" s="41" t="s">
        <v>28213</v>
      </c>
      <c r="C74" s="127" t="s">
        <v>28214</v>
      </c>
      <c r="D74" s="523"/>
      <c r="F74" s="523"/>
      <c r="G74" s="72"/>
      <c r="I74" s="57"/>
      <c r="J74" s="35"/>
      <c r="M74" s="299" t="s">
        <v>17556</v>
      </c>
      <c r="N74" s="45" t="s">
        <v>398</v>
      </c>
      <c r="O74" s="46">
        <v>1</v>
      </c>
      <c r="P74" s="512"/>
      <c r="Q74" s="57"/>
      <c r="R74" s="269" t="s">
        <v>17564</v>
      </c>
      <c r="S74" s="37" t="s">
        <v>398</v>
      </c>
      <c r="T74" s="38">
        <v>0.25</v>
      </c>
      <c r="U74" s="79" t="s">
        <v>3575</v>
      </c>
      <c r="V74" s="43"/>
      <c r="W74" s="37"/>
      <c r="X74" s="38"/>
      <c r="Y74" s="79"/>
      <c r="Z74" s="208">
        <f>+ROUND((ROUND((ROUND((ROUND((ROUND((_15_同援日１．０＿０．５*_15・通訳),0)*_15・２人),0)*(1+_15・B深夜)),0)*(1+_15・盲ろう)),0)*(1+_15・区３)),0)</f>
        <v>270</v>
      </c>
      <c r="AA74" s="48"/>
    </row>
    <row r="75" spans="1:27" ht="16.5" customHeight="1" x14ac:dyDescent="0.15">
      <c r="A75" s="41">
        <v>15</v>
      </c>
      <c r="B75" s="41" t="s">
        <v>3311</v>
      </c>
      <c r="C75" s="127" t="s">
        <v>28215</v>
      </c>
      <c r="D75" s="523"/>
      <c r="F75" s="523"/>
      <c r="G75" s="72"/>
      <c r="I75" s="57"/>
      <c r="J75" s="35"/>
      <c r="M75" s="163"/>
      <c r="N75" s="45"/>
      <c r="O75" s="46"/>
      <c r="P75" s="512"/>
      <c r="Q75" s="57"/>
      <c r="R75" s="53"/>
      <c r="S75" s="49"/>
      <c r="T75" s="50"/>
      <c r="U75" s="115"/>
      <c r="V75" s="114" t="s">
        <v>17580</v>
      </c>
      <c r="W75" s="49"/>
      <c r="X75" s="50"/>
      <c r="Y75" s="115"/>
      <c r="Z75" s="208">
        <f>+ROUND((ROUND((ROUND((_15_同援日１．０＿０．５*_15・通訳),0)*(1+_15・B深夜)),0)*(1+_15・区４)),0)</f>
        <v>252</v>
      </c>
      <c r="AA75" s="48"/>
    </row>
    <row r="76" spans="1:27" ht="16.5" customHeight="1" x14ac:dyDescent="0.15">
      <c r="A76" s="41">
        <v>15</v>
      </c>
      <c r="B76" s="41" t="s">
        <v>3313</v>
      </c>
      <c r="C76" s="127" t="s">
        <v>28216</v>
      </c>
      <c r="D76" s="523"/>
      <c r="F76" s="523"/>
      <c r="G76" s="72"/>
      <c r="I76" s="57"/>
      <c r="J76" s="35"/>
      <c r="M76" s="299" t="s">
        <v>17556</v>
      </c>
      <c r="N76" s="45" t="s">
        <v>398</v>
      </c>
      <c r="O76" s="46">
        <v>1</v>
      </c>
      <c r="P76" s="512"/>
      <c r="Q76" s="57"/>
      <c r="R76" s="43"/>
      <c r="S76" s="37"/>
      <c r="T76" s="38"/>
      <c r="U76" s="79"/>
      <c r="V76" s="92" t="s">
        <v>17572</v>
      </c>
      <c r="Y76" s="57"/>
      <c r="Z76" s="208">
        <f>+ROUND((ROUND((ROUND((ROUND((_15_同援日１．０＿０．５*_15・通訳),0)*_15・２人),0)*(1+_15・B深夜)),0)*(1+_15・区４)),0)</f>
        <v>252</v>
      </c>
      <c r="AA76" s="48"/>
    </row>
    <row r="77" spans="1:27" ht="16.5" customHeight="1" x14ac:dyDescent="0.15">
      <c r="A77" s="41">
        <v>15</v>
      </c>
      <c r="B77" s="41" t="s">
        <v>28217</v>
      </c>
      <c r="C77" s="127" t="s">
        <v>28218</v>
      </c>
      <c r="D77" s="523"/>
      <c r="F77" s="523"/>
      <c r="G77" s="72"/>
      <c r="I77" s="57"/>
      <c r="J77" s="35"/>
      <c r="M77" s="163"/>
      <c r="N77" s="45"/>
      <c r="O77" s="46"/>
      <c r="P77" s="512"/>
      <c r="Q77" s="57"/>
      <c r="R77" s="114" t="s">
        <v>17562</v>
      </c>
      <c r="S77" s="49"/>
      <c r="T77" s="50"/>
      <c r="U77" s="115"/>
      <c r="V77" s="35"/>
      <c r="W77" s="12" t="s">
        <v>398</v>
      </c>
      <c r="X77" s="13">
        <v>0.4</v>
      </c>
      <c r="Y77" s="57" t="s">
        <v>3575</v>
      </c>
      <c r="Z77" s="208">
        <f>+ROUND((ROUND((ROUND((ROUND((_15_同援日１．０＿０．５*_15・通訳),0)*(1+_15・B深夜)),0)*(1+_15・盲ろう)),0)*(1+_15・区４)),0)</f>
        <v>315</v>
      </c>
      <c r="AA77" s="48"/>
    </row>
    <row r="78" spans="1:27" ht="16.5" customHeight="1" x14ac:dyDescent="0.15">
      <c r="A78" s="41">
        <v>15</v>
      </c>
      <c r="B78" s="41" t="s">
        <v>28219</v>
      </c>
      <c r="C78" s="127" t="s">
        <v>28220</v>
      </c>
      <c r="D78" s="523"/>
      <c r="F78" s="523"/>
      <c r="G78" s="122"/>
      <c r="H78" s="37"/>
      <c r="I78" s="79"/>
      <c r="J78" s="35"/>
      <c r="M78" s="299" t="s">
        <v>17556</v>
      </c>
      <c r="N78" s="45" t="s">
        <v>398</v>
      </c>
      <c r="O78" s="46">
        <v>1</v>
      </c>
      <c r="P78" s="512"/>
      <c r="Q78" s="57"/>
      <c r="R78" s="269" t="s">
        <v>17564</v>
      </c>
      <c r="S78" s="37" t="s">
        <v>398</v>
      </c>
      <c r="T78" s="38">
        <v>0.25</v>
      </c>
      <c r="U78" s="79" t="s">
        <v>3575</v>
      </c>
      <c r="V78" s="43"/>
      <c r="W78" s="37"/>
      <c r="X78" s="38"/>
      <c r="Y78" s="79"/>
      <c r="Z78" s="208">
        <f>+ROUND((ROUND((ROUND((ROUND((ROUND((_15_同援日１．０＿０．５*_15・通訳),0)*_15・２人),0)*(1+_15・B深夜)),0)*(1+_15・盲ろう)),0)*(1+_15・区４)),0)</f>
        <v>315</v>
      </c>
      <c r="AA78" s="48"/>
    </row>
    <row r="79" spans="1:27" ht="16.5" customHeight="1" x14ac:dyDescent="0.15">
      <c r="A79" s="41">
        <v>15</v>
      </c>
      <c r="B79" s="41" t="s">
        <v>28221</v>
      </c>
      <c r="C79" s="127" t="s">
        <v>28222</v>
      </c>
      <c r="D79" s="523"/>
      <c r="F79" s="523"/>
      <c r="G79" s="114" t="s">
        <v>19970</v>
      </c>
      <c r="H79" s="49"/>
      <c r="I79" s="115"/>
      <c r="J79" s="35"/>
      <c r="M79" s="163"/>
      <c r="N79" s="45"/>
      <c r="O79" s="46"/>
      <c r="P79" s="512"/>
      <c r="Q79" s="57"/>
      <c r="R79" s="53"/>
      <c r="S79" s="49"/>
      <c r="T79" s="50"/>
      <c r="U79" s="115"/>
      <c r="V79" s="53"/>
      <c r="W79" s="49"/>
      <c r="X79" s="50"/>
      <c r="Y79" s="115"/>
      <c r="Z79" s="208">
        <f>+ROUND((ROUND((_15_同援日１．０＿１．０*_15・通訳),0)*(1+_15・B深夜)),0)</f>
        <v>267</v>
      </c>
      <c r="AA79" s="48"/>
    </row>
    <row r="80" spans="1:27" ht="16.5" customHeight="1" x14ac:dyDescent="0.15">
      <c r="A80" s="41">
        <v>15</v>
      </c>
      <c r="B80" s="41" t="s">
        <v>28223</v>
      </c>
      <c r="C80" s="127" t="s">
        <v>28224</v>
      </c>
      <c r="D80" s="523"/>
      <c r="F80" s="523"/>
      <c r="G80" s="72" t="s">
        <v>17589</v>
      </c>
      <c r="I80" s="57"/>
      <c r="J80" s="35"/>
      <c r="M80" s="299" t="s">
        <v>17556</v>
      </c>
      <c r="N80" s="45" t="s">
        <v>398</v>
      </c>
      <c r="O80" s="46">
        <v>1</v>
      </c>
      <c r="P80" s="512"/>
      <c r="Q80" s="57"/>
      <c r="R80" s="43"/>
      <c r="S80" s="37"/>
      <c r="T80" s="38"/>
      <c r="U80" s="79"/>
      <c r="V80" s="35"/>
      <c r="Y80" s="57"/>
      <c r="Z80" s="208">
        <f>+ROUND((ROUND((ROUND((_15_同援日１．０＿１．０*_15・通訳),0)*_15・２人),0)*(1+_15・B深夜)),0)</f>
        <v>267</v>
      </c>
      <c r="AA80" s="48"/>
    </row>
    <row r="81" spans="1:27" ht="16.5" customHeight="1" x14ac:dyDescent="0.15">
      <c r="A81" s="41">
        <v>15</v>
      </c>
      <c r="B81" s="41" t="s">
        <v>28225</v>
      </c>
      <c r="C81" s="127" t="s">
        <v>28226</v>
      </c>
      <c r="D81" s="523"/>
      <c r="F81" s="523"/>
      <c r="G81" s="72" t="s">
        <v>17591</v>
      </c>
      <c r="I81" s="57"/>
      <c r="J81" s="35"/>
      <c r="M81" s="163"/>
      <c r="N81" s="45"/>
      <c r="O81" s="46"/>
      <c r="P81" s="512"/>
      <c r="Q81" s="57"/>
      <c r="R81" s="114" t="s">
        <v>17562</v>
      </c>
      <c r="S81" s="49"/>
      <c r="T81" s="50"/>
      <c r="U81" s="115"/>
      <c r="V81" s="35"/>
      <c r="Y81" s="57"/>
      <c r="Z81" s="208">
        <f>+ROUND((ROUND((ROUND((_15_同援日１．０＿１．０*_15・通訳),0)*(1+_15・B深夜)),0)*(1+_15・盲ろう)),0)</f>
        <v>334</v>
      </c>
      <c r="AA81" s="48"/>
    </row>
    <row r="82" spans="1:27" ht="16.5" customHeight="1" x14ac:dyDescent="0.15">
      <c r="A82" s="41">
        <v>15</v>
      </c>
      <c r="B82" s="41" t="s">
        <v>28227</v>
      </c>
      <c r="C82" s="127" t="s">
        <v>28228</v>
      </c>
      <c r="D82" s="523"/>
      <c r="F82" s="523"/>
      <c r="G82" s="72"/>
      <c r="H82" s="168">
        <f>_15_同援日１．０＿１．０</f>
        <v>198</v>
      </c>
      <c r="I82" s="57" t="s">
        <v>392</v>
      </c>
      <c r="J82" s="35"/>
      <c r="M82" s="299" t="s">
        <v>17556</v>
      </c>
      <c r="N82" s="45" t="s">
        <v>398</v>
      </c>
      <c r="O82" s="46">
        <v>1</v>
      </c>
      <c r="P82" s="512"/>
      <c r="Q82" s="57"/>
      <c r="R82" s="269" t="s">
        <v>17564</v>
      </c>
      <c r="S82" s="37" t="s">
        <v>398</v>
      </c>
      <c r="T82" s="38">
        <v>0.25</v>
      </c>
      <c r="U82" s="79" t="s">
        <v>3575</v>
      </c>
      <c r="V82" s="43"/>
      <c r="W82" s="37"/>
      <c r="X82" s="38"/>
      <c r="Y82" s="79"/>
      <c r="Z82" s="208">
        <f>+ROUND((ROUND((ROUND((ROUND((_15_同援日１．０＿１．０*_15・通訳),0)*_15・２人),0)*(1+_15・B深夜)),0)*(1+_15・盲ろう)),0)</f>
        <v>334</v>
      </c>
      <c r="AA82" s="48"/>
    </row>
    <row r="83" spans="1:27" ht="16.5" customHeight="1" x14ac:dyDescent="0.15">
      <c r="A83" s="41">
        <v>15</v>
      </c>
      <c r="B83" s="41" t="s">
        <v>28229</v>
      </c>
      <c r="C83" s="127" t="s">
        <v>28230</v>
      </c>
      <c r="D83" s="523"/>
      <c r="F83" s="523"/>
      <c r="G83" s="72"/>
      <c r="I83" s="57"/>
      <c r="J83" s="35"/>
      <c r="M83" s="163"/>
      <c r="N83" s="45"/>
      <c r="O83" s="46"/>
      <c r="P83" s="512"/>
      <c r="Q83" s="57"/>
      <c r="R83" s="53"/>
      <c r="S83" s="49"/>
      <c r="T83" s="50"/>
      <c r="U83" s="115"/>
      <c r="V83" s="114" t="s">
        <v>17570</v>
      </c>
      <c r="W83" s="49"/>
      <c r="X83" s="50"/>
      <c r="Y83" s="115"/>
      <c r="Z83" s="208">
        <f>+ROUND((ROUND((ROUND((_15_同援日１．０＿１．０*_15・通訳),0)*(1+_15・B深夜)),0)*(1+_15・区３)),0)</f>
        <v>320</v>
      </c>
      <c r="AA83" s="48"/>
    </row>
    <row r="84" spans="1:27" ht="16.5" customHeight="1" x14ac:dyDescent="0.15">
      <c r="A84" s="41">
        <v>15</v>
      </c>
      <c r="B84" s="41" t="s">
        <v>28231</v>
      </c>
      <c r="C84" s="127" t="s">
        <v>28232</v>
      </c>
      <c r="D84" s="523"/>
      <c r="F84" s="523"/>
      <c r="G84" s="72"/>
      <c r="I84" s="57"/>
      <c r="J84" s="35"/>
      <c r="M84" s="299" t="s">
        <v>17556</v>
      </c>
      <c r="N84" s="45" t="s">
        <v>398</v>
      </c>
      <c r="O84" s="46">
        <v>1</v>
      </c>
      <c r="P84" s="512"/>
      <c r="Q84" s="57"/>
      <c r="R84" s="43"/>
      <c r="S84" s="37"/>
      <c r="T84" s="38"/>
      <c r="U84" s="79"/>
      <c r="V84" s="92" t="s">
        <v>17572</v>
      </c>
      <c r="Y84" s="57"/>
      <c r="Z84" s="208">
        <f>+ROUND((ROUND((ROUND((ROUND((_15_同援日１．０＿１．０*_15・通訳),0)*_15・２人),0)*(1+_15・B深夜)),0)*(1+_15・区３)),0)</f>
        <v>320</v>
      </c>
      <c r="AA84" s="48"/>
    </row>
    <row r="85" spans="1:27" ht="16.5" customHeight="1" x14ac:dyDescent="0.15">
      <c r="A85" s="41">
        <v>15</v>
      </c>
      <c r="B85" s="41" t="s">
        <v>3318</v>
      </c>
      <c r="C85" s="127" t="s">
        <v>28233</v>
      </c>
      <c r="D85" s="523"/>
      <c r="F85" s="523"/>
      <c r="G85" s="72"/>
      <c r="I85" s="57"/>
      <c r="J85" s="35"/>
      <c r="M85" s="163"/>
      <c r="N85" s="45"/>
      <c r="O85" s="46"/>
      <c r="P85" s="512"/>
      <c r="Q85" s="57"/>
      <c r="R85" s="114" t="s">
        <v>17562</v>
      </c>
      <c r="S85" s="49"/>
      <c r="T85" s="50"/>
      <c r="U85" s="115"/>
      <c r="V85" s="35"/>
      <c r="W85" s="12" t="s">
        <v>398</v>
      </c>
      <c r="X85" s="13">
        <v>0.2</v>
      </c>
      <c r="Y85" s="57" t="s">
        <v>3575</v>
      </c>
      <c r="Z85" s="208">
        <f>+ROUND((ROUND((ROUND((ROUND((_15_同援日１．０＿１．０*_15・通訳),0)*(1+_15・B深夜)),0)*(1+_15・盲ろう)),0)*(1+_15・区３)),0)</f>
        <v>401</v>
      </c>
      <c r="AA85" s="48"/>
    </row>
    <row r="86" spans="1:27" ht="16.5" customHeight="1" x14ac:dyDescent="0.15">
      <c r="A86" s="41">
        <v>15</v>
      </c>
      <c r="B86" s="41" t="s">
        <v>3320</v>
      </c>
      <c r="C86" s="127" t="s">
        <v>28234</v>
      </c>
      <c r="D86" s="523"/>
      <c r="F86" s="523"/>
      <c r="G86" s="72"/>
      <c r="I86" s="57"/>
      <c r="J86" s="35"/>
      <c r="M86" s="299" t="s">
        <v>17556</v>
      </c>
      <c r="N86" s="45" t="s">
        <v>398</v>
      </c>
      <c r="O86" s="46">
        <v>1</v>
      </c>
      <c r="P86" s="512"/>
      <c r="Q86" s="57"/>
      <c r="R86" s="269" t="s">
        <v>17564</v>
      </c>
      <c r="S86" s="37" t="s">
        <v>398</v>
      </c>
      <c r="T86" s="38">
        <v>0.25</v>
      </c>
      <c r="U86" s="79" t="s">
        <v>3575</v>
      </c>
      <c r="V86" s="43"/>
      <c r="W86" s="37"/>
      <c r="X86" s="38"/>
      <c r="Y86" s="79"/>
      <c r="Z86" s="208">
        <f>+ROUND((ROUND((ROUND((ROUND((ROUND((_15_同援日１．０＿１．０*_15・通訳),0)*_15・２人),0)*(1+_15・B深夜)),0)*(1+_15・盲ろう)),0)*(1+_15・区３)),0)</f>
        <v>401</v>
      </c>
      <c r="AA86" s="48"/>
    </row>
    <row r="87" spans="1:27" ht="16.5" customHeight="1" x14ac:dyDescent="0.15">
      <c r="A87" s="41">
        <v>15</v>
      </c>
      <c r="B87" s="41" t="s">
        <v>28235</v>
      </c>
      <c r="C87" s="127" t="s">
        <v>28236</v>
      </c>
      <c r="D87" s="523"/>
      <c r="F87" s="523"/>
      <c r="G87" s="72"/>
      <c r="I87" s="57"/>
      <c r="J87" s="35"/>
      <c r="M87" s="163"/>
      <c r="N87" s="45"/>
      <c r="O87" s="46"/>
      <c r="P87" s="512"/>
      <c r="Q87" s="57"/>
      <c r="R87" s="53"/>
      <c r="S87" s="49"/>
      <c r="T87" s="50"/>
      <c r="U87" s="115"/>
      <c r="V87" s="114" t="s">
        <v>17580</v>
      </c>
      <c r="W87" s="49"/>
      <c r="X87" s="50"/>
      <c r="Y87" s="115"/>
      <c r="Z87" s="208">
        <f>+ROUND((ROUND((ROUND((_15_同援日１．０＿１．０*_15・通訳),0)*(1+_15・B深夜)),0)*(1+_15・区４)),0)</f>
        <v>374</v>
      </c>
      <c r="AA87" s="48"/>
    </row>
    <row r="88" spans="1:27" ht="16.5" customHeight="1" x14ac:dyDescent="0.15">
      <c r="A88" s="41">
        <v>15</v>
      </c>
      <c r="B88" s="41" t="s">
        <v>28237</v>
      </c>
      <c r="C88" s="127" t="s">
        <v>28238</v>
      </c>
      <c r="D88" s="523"/>
      <c r="F88" s="523"/>
      <c r="G88" s="72"/>
      <c r="I88" s="57"/>
      <c r="J88" s="35"/>
      <c r="M88" s="299" t="s">
        <v>17556</v>
      </c>
      <c r="N88" s="45" t="s">
        <v>398</v>
      </c>
      <c r="O88" s="46">
        <v>1</v>
      </c>
      <c r="P88" s="512"/>
      <c r="Q88" s="57"/>
      <c r="R88" s="43"/>
      <c r="S88" s="37"/>
      <c r="T88" s="38"/>
      <c r="U88" s="79"/>
      <c r="V88" s="92" t="s">
        <v>17572</v>
      </c>
      <c r="Y88" s="57"/>
      <c r="Z88" s="208">
        <f>+ROUND((ROUND((ROUND((ROUND((_15_同援日１．０＿１．０*_15・通訳),0)*_15・２人),0)*(1+_15・B深夜)),0)*(1+_15・区４)),0)</f>
        <v>374</v>
      </c>
      <c r="AA88" s="48"/>
    </row>
    <row r="89" spans="1:27" ht="16.5" customHeight="1" x14ac:dyDescent="0.15">
      <c r="A89" s="41">
        <v>15</v>
      </c>
      <c r="B89" s="41" t="s">
        <v>28239</v>
      </c>
      <c r="C89" s="127" t="s">
        <v>28240</v>
      </c>
      <c r="D89" s="523"/>
      <c r="F89" s="523"/>
      <c r="G89" s="72"/>
      <c r="I89" s="57"/>
      <c r="J89" s="35"/>
      <c r="M89" s="163"/>
      <c r="N89" s="45"/>
      <c r="O89" s="46"/>
      <c r="P89" s="512"/>
      <c r="Q89" s="57"/>
      <c r="R89" s="114" t="s">
        <v>17562</v>
      </c>
      <c r="S89" s="49"/>
      <c r="T89" s="50"/>
      <c r="U89" s="115"/>
      <c r="V89" s="35"/>
      <c r="W89" s="12" t="s">
        <v>398</v>
      </c>
      <c r="X89" s="13">
        <v>0.4</v>
      </c>
      <c r="Y89" s="57" t="s">
        <v>3575</v>
      </c>
      <c r="Z89" s="208">
        <f>+ROUND((ROUND((ROUND((ROUND((_15_同援日１．０＿１．０*_15・通訳),0)*(1+_15・B深夜)),0)*(1+_15・盲ろう)),0)*(1+_15・区４)),0)</f>
        <v>468</v>
      </c>
      <c r="AA89" s="48"/>
    </row>
    <row r="90" spans="1:27" ht="16.5" customHeight="1" x14ac:dyDescent="0.15">
      <c r="A90" s="41">
        <v>15</v>
      </c>
      <c r="B90" s="41" t="s">
        <v>28241</v>
      </c>
      <c r="C90" s="127" t="s">
        <v>28242</v>
      </c>
      <c r="D90" s="523"/>
      <c r="F90" s="523"/>
      <c r="G90" s="122"/>
      <c r="H90" s="37"/>
      <c r="I90" s="79"/>
      <c r="J90" s="35"/>
      <c r="M90" s="299" t="s">
        <v>17556</v>
      </c>
      <c r="N90" s="45" t="s">
        <v>398</v>
      </c>
      <c r="O90" s="46">
        <v>1</v>
      </c>
      <c r="P90" s="512"/>
      <c r="Q90" s="57"/>
      <c r="R90" s="269" t="s">
        <v>17564</v>
      </c>
      <c r="S90" s="37" t="s">
        <v>398</v>
      </c>
      <c r="T90" s="38">
        <v>0.25</v>
      </c>
      <c r="U90" s="79" t="s">
        <v>3575</v>
      </c>
      <c r="V90" s="43"/>
      <c r="W90" s="37"/>
      <c r="X90" s="38"/>
      <c r="Y90" s="79"/>
      <c r="Z90" s="208">
        <f>+ROUND((ROUND((ROUND((ROUND((ROUND((_15_同援日１．０＿１．０*_15・通訳),0)*_15・２人),0)*(1+_15・B深夜)),0)*(1+_15・盲ろう)),0)*(1+_15・区４)),0)</f>
        <v>468</v>
      </c>
      <c r="AA90" s="48"/>
    </row>
    <row r="91" spans="1:27" ht="16.5" customHeight="1" x14ac:dyDescent="0.15">
      <c r="A91" s="41">
        <v>15</v>
      </c>
      <c r="B91" s="41" t="s">
        <v>28243</v>
      </c>
      <c r="C91" s="127" t="s">
        <v>28244</v>
      </c>
      <c r="D91" s="523"/>
      <c r="F91" s="523"/>
      <c r="G91" s="114" t="s">
        <v>19995</v>
      </c>
      <c r="H91" s="49"/>
      <c r="I91" s="115"/>
      <c r="J91" s="35"/>
      <c r="M91" s="163"/>
      <c r="N91" s="45"/>
      <c r="O91" s="46"/>
      <c r="P91" s="512"/>
      <c r="Q91" s="57"/>
      <c r="R91" s="53"/>
      <c r="S91" s="49"/>
      <c r="T91" s="50"/>
      <c r="U91" s="115"/>
      <c r="V91" s="53"/>
      <c r="W91" s="49"/>
      <c r="X91" s="50"/>
      <c r="Y91" s="115"/>
      <c r="Z91" s="208">
        <f>+ROUND((ROUND((_15_同援日１．０＿１．５*_15・通訳),0)*(1+_15・B深夜)),0)</f>
        <v>356</v>
      </c>
      <c r="AA91" s="48"/>
    </row>
    <row r="92" spans="1:27" ht="16.5" customHeight="1" x14ac:dyDescent="0.15">
      <c r="A92" s="41">
        <v>15</v>
      </c>
      <c r="B92" s="41" t="s">
        <v>28245</v>
      </c>
      <c r="C92" s="127" t="s">
        <v>28246</v>
      </c>
      <c r="D92" s="523"/>
      <c r="F92" s="523"/>
      <c r="G92" s="72" t="s">
        <v>17616</v>
      </c>
      <c r="I92" s="57"/>
      <c r="J92" s="35"/>
      <c r="M92" s="299" t="s">
        <v>17556</v>
      </c>
      <c r="N92" s="45" t="s">
        <v>398</v>
      </c>
      <c r="O92" s="46">
        <v>1</v>
      </c>
      <c r="P92" s="512"/>
      <c r="Q92" s="57"/>
      <c r="R92" s="43"/>
      <c r="S92" s="37"/>
      <c r="T92" s="38"/>
      <c r="U92" s="79"/>
      <c r="V92" s="35"/>
      <c r="Y92" s="57"/>
      <c r="Z92" s="208">
        <f>+ROUND((ROUND((ROUND((_15_同援日１．０＿１．５*_15・通訳),0)*_15・２人),0)*(1+_15・B深夜)),0)</f>
        <v>356</v>
      </c>
      <c r="AA92" s="48"/>
    </row>
    <row r="93" spans="1:27" ht="16.5" customHeight="1" x14ac:dyDescent="0.15">
      <c r="A93" s="41">
        <v>15</v>
      </c>
      <c r="B93" s="41" t="s">
        <v>28247</v>
      </c>
      <c r="C93" s="127" t="s">
        <v>28248</v>
      </c>
      <c r="D93" s="523"/>
      <c r="F93" s="523"/>
      <c r="G93" s="72" t="s">
        <v>18183</v>
      </c>
      <c r="I93" s="57"/>
      <c r="J93" s="35"/>
      <c r="M93" s="163"/>
      <c r="N93" s="45"/>
      <c r="O93" s="46"/>
      <c r="P93" s="512"/>
      <c r="Q93" s="57"/>
      <c r="R93" s="114" t="s">
        <v>17562</v>
      </c>
      <c r="S93" s="49"/>
      <c r="T93" s="50"/>
      <c r="U93" s="115"/>
      <c r="V93" s="35"/>
      <c r="Y93" s="57"/>
      <c r="Z93" s="208">
        <f>+ROUND((ROUND((ROUND((_15_同援日１．０＿１．５*_15・通訳),0)*(1+_15・B深夜)),0)*(1+_15・盲ろう)),0)</f>
        <v>445</v>
      </c>
      <c r="AA93" s="48"/>
    </row>
    <row r="94" spans="1:27" ht="16.5" customHeight="1" x14ac:dyDescent="0.15">
      <c r="A94" s="41">
        <v>15</v>
      </c>
      <c r="B94" s="41" t="s">
        <v>28249</v>
      </c>
      <c r="C94" s="127" t="s">
        <v>28250</v>
      </c>
      <c r="D94" s="523"/>
      <c r="F94" s="523"/>
      <c r="G94" s="72"/>
      <c r="H94" s="168">
        <f>_15_同援日１．０＿１．５</f>
        <v>263</v>
      </c>
      <c r="I94" s="57" t="s">
        <v>392</v>
      </c>
      <c r="J94" s="35"/>
      <c r="M94" s="299" t="s">
        <v>17556</v>
      </c>
      <c r="N94" s="45" t="s">
        <v>398</v>
      </c>
      <c r="O94" s="46">
        <v>1</v>
      </c>
      <c r="P94" s="512"/>
      <c r="Q94" s="57"/>
      <c r="R94" s="269" t="s">
        <v>17564</v>
      </c>
      <c r="S94" s="37" t="s">
        <v>398</v>
      </c>
      <c r="T94" s="38">
        <v>0.25</v>
      </c>
      <c r="U94" s="79" t="s">
        <v>3575</v>
      </c>
      <c r="V94" s="43"/>
      <c r="W94" s="37"/>
      <c r="X94" s="38"/>
      <c r="Y94" s="79"/>
      <c r="Z94" s="208">
        <f>+ROUND((ROUND((ROUND((ROUND((_15_同援日１．０＿１．５*_15・通訳),0)*_15・２人),0)*(1+_15・B深夜)),0)*(1+_15・盲ろう)),0)</f>
        <v>445</v>
      </c>
      <c r="AA94" s="48"/>
    </row>
    <row r="95" spans="1:27" ht="16.5" customHeight="1" x14ac:dyDescent="0.15">
      <c r="A95" s="41">
        <v>15</v>
      </c>
      <c r="B95" s="41" t="s">
        <v>3325</v>
      </c>
      <c r="C95" s="127" t="s">
        <v>28251</v>
      </c>
      <c r="D95" s="523"/>
      <c r="F95" s="523"/>
      <c r="G95" s="72"/>
      <c r="I95" s="57"/>
      <c r="J95" s="35"/>
      <c r="M95" s="163"/>
      <c r="N95" s="45"/>
      <c r="O95" s="46"/>
      <c r="P95" s="512"/>
      <c r="Q95" s="57"/>
      <c r="R95" s="53"/>
      <c r="S95" s="49"/>
      <c r="T95" s="50"/>
      <c r="U95" s="115"/>
      <c r="V95" s="114" t="s">
        <v>17570</v>
      </c>
      <c r="W95" s="49"/>
      <c r="X95" s="50"/>
      <c r="Y95" s="115"/>
      <c r="Z95" s="208">
        <f>+ROUND((ROUND((ROUND((_15_同援日１．０＿１．５*_15・通訳),0)*(1+_15・B深夜)),0)*(1+_15・区３)),0)</f>
        <v>427</v>
      </c>
      <c r="AA95" s="48"/>
    </row>
    <row r="96" spans="1:27" ht="16.5" customHeight="1" x14ac:dyDescent="0.15">
      <c r="A96" s="41">
        <v>15</v>
      </c>
      <c r="B96" s="41" t="s">
        <v>3327</v>
      </c>
      <c r="C96" s="127" t="s">
        <v>28252</v>
      </c>
      <c r="D96" s="523"/>
      <c r="F96" s="523"/>
      <c r="G96" s="72"/>
      <c r="I96" s="57"/>
      <c r="J96" s="35"/>
      <c r="M96" s="299" t="s">
        <v>17556</v>
      </c>
      <c r="N96" s="45" t="s">
        <v>398</v>
      </c>
      <c r="O96" s="46">
        <v>1</v>
      </c>
      <c r="P96" s="512"/>
      <c r="Q96" s="57"/>
      <c r="R96" s="43"/>
      <c r="S96" s="37"/>
      <c r="T96" s="38"/>
      <c r="U96" s="79"/>
      <c r="V96" s="92" t="s">
        <v>17572</v>
      </c>
      <c r="Y96" s="57"/>
      <c r="Z96" s="208">
        <f>+ROUND((ROUND((ROUND((ROUND((_15_同援日１．０＿１．５*_15・通訳),0)*_15・２人),0)*(1+_15・B深夜)),0)*(1+_15・区３)),0)</f>
        <v>427</v>
      </c>
      <c r="AA96" s="48"/>
    </row>
    <row r="97" spans="1:27" ht="16.5" customHeight="1" x14ac:dyDescent="0.15">
      <c r="A97" s="41">
        <v>15</v>
      </c>
      <c r="B97" s="41" t="s">
        <v>28253</v>
      </c>
      <c r="C97" s="127" t="s">
        <v>28254</v>
      </c>
      <c r="D97" s="523"/>
      <c r="F97" s="523"/>
      <c r="G97" s="72"/>
      <c r="I97" s="57"/>
      <c r="J97" s="35"/>
      <c r="M97" s="163"/>
      <c r="N97" s="45"/>
      <c r="O97" s="46"/>
      <c r="P97" s="512"/>
      <c r="Q97" s="57"/>
      <c r="R97" s="114" t="s">
        <v>17562</v>
      </c>
      <c r="S97" s="49"/>
      <c r="T97" s="50"/>
      <c r="U97" s="115"/>
      <c r="V97" s="35"/>
      <c r="W97" s="12" t="s">
        <v>398</v>
      </c>
      <c r="X97" s="13">
        <v>0.2</v>
      </c>
      <c r="Y97" s="57" t="s">
        <v>3575</v>
      </c>
      <c r="Z97" s="208">
        <f>+ROUND((ROUND((ROUND((ROUND((_15_同援日１．０＿１．５*_15・通訳),0)*(1+_15・B深夜)),0)*(1+_15・盲ろう)),0)*(1+_15・区３)),0)</f>
        <v>534</v>
      </c>
      <c r="AA97" s="48"/>
    </row>
    <row r="98" spans="1:27" ht="16.5" customHeight="1" x14ac:dyDescent="0.15">
      <c r="A98" s="41">
        <v>15</v>
      </c>
      <c r="B98" s="41" t="s">
        <v>28255</v>
      </c>
      <c r="C98" s="127" t="s">
        <v>28256</v>
      </c>
      <c r="D98" s="523"/>
      <c r="F98" s="523"/>
      <c r="G98" s="72"/>
      <c r="I98" s="57"/>
      <c r="J98" s="35"/>
      <c r="M98" s="299" t="s">
        <v>17556</v>
      </c>
      <c r="N98" s="45" t="s">
        <v>398</v>
      </c>
      <c r="O98" s="46">
        <v>1</v>
      </c>
      <c r="P98" s="512"/>
      <c r="Q98" s="57"/>
      <c r="R98" s="269" t="s">
        <v>17564</v>
      </c>
      <c r="S98" s="37" t="s">
        <v>398</v>
      </c>
      <c r="T98" s="38">
        <v>0.25</v>
      </c>
      <c r="U98" s="79" t="s">
        <v>3575</v>
      </c>
      <c r="V98" s="43"/>
      <c r="W98" s="37"/>
      <c r="X98" s="38"/>
      <c r="Y98" s="79"/>
      <c r="Z98" s="208">
        <f>+ROUND((ROUND((ROUND((ROUND((ROUND((_15_同援日１．０＿１．５*_15・通訳),0)*_15・２人),0)*(1+_15・B深夜)),0)*(1+_15・盲ろう)),0)*(1+_15・区３)),0)</f>
        <v>534</v>
      </c>
      <c r="AA98" s="48"/>
    </row>
    <row r="99" spans="1:27" ht="16.5" customHeight="1" x14ac:dyDescent="0.15">
      <c r="A99" s="41">
        <v>15</v>
      </c>
      <c r="B99" s="41" t="s">
        <v>28257</v>
      </c>
      <c r="C99" s="127" t="s">
        <v>28258</v>
      </c>
      <c r="D99" s="523"/>
      <c r="F99" s="523"/>
      <c r="G99" s="72"/>
      <c r="I99" s="57"/>
      <c r="J99" s="35"/>
      <c r="M99" s="163"/>
      <c r="N99" s="45"/>
      <c r="O99" s="46"/>
      <c r="P99" s="512"/>
      <c r="Q99" s="57"/>
      <c r="R99" s="53"/>
      <c r="S99" s="49"/>
      <c r="T99" s="50"/>
      <c r="U99" s="115"/>
      <c r="V99" s="114" t="s">
        <v>17580</v>
      </c>
      <c r="W99" s="49"/>
      <c r="X99" s="50"/>
      <c r="Y99" s="115"/>
      <c r="Z99" s="208">
        <f>+ROUND((ROUND((ROUND((_15_同援日１．０＿１．５*_15・通訳),0)*(1+_15・B深夜)),0)*(1+_15・区４)),0)</f>
        <v>498</v>
      </c>
      <c r="AA99" s="48"/>
    </row>
    <row r="100" spans="1:27" ht="16.5" customHeight="1" x14ac:dyDescent="0.15">
      <c r="A100" s="41">
        <v>15</v>
      </c>
      <c r="B100" s="41" t="s">
        <v>28259</v>
      </c>
      <c r="C100" s="127" t="s">
        <v>28260</v>
      </c>
      <c r="D100" s="523"/>
      <c r="F100" s="523"/>
      <c r="G100" s="72"/>
      <c r="I100" s="57"/>
      <c r="J100" s="35"/>
      <c r="M100" s="299" t="s">
        <v>17556</v>
      </c>
      <c r="N100" s="45" t="s">
        <v>398</v>
      </c>
      <c r="O100" s="46">
        <v>1</v>
      </c>
      <c r="P100" s="512"/>
      <c r="Q100" s="57"/>
      <c r="R100" s="43"/>
      <c r="S100" s="37"/>
      <c r="T100" s="38"/>
      <c r="U100" s="79"/>
      <c r="V100" s="92" t="s">
        <v>17572</v>
      </c>
      <c r="Y100" s="57"/>
      <c r="Z100" s="208">
        <f>+ROUND((ROUND((ROUND((ROUND((_15_同援日１．０＿１．５*_15・通訳),0)*_15・２人),0)*(1+_15・B深夜)),0)*(1+_15・区４)),0)</f>
        <v>498</v>
      </c>
      <c r="AA100" s="48"/>
    </row>
    <row r="101" spans="1:27" ht="16.5" customHeight="1" x14ac:dyDescent="0.15">
      <c r="A101" s="41">
        <v>15</v>
      </c>
      <c r="B101" s="41" t="s">
        <v>28261</v>
      </c>
      <c r="C101" s="127" t="s">
        <v>28262</v>
      </c>
      <c r="D101" s="523"/>
      <c r="F101" s="523"/>
      <c r="G101" s="72"/>
      <c r="I101" s="57"/>
      <c r="J101" s="35"/>
      <c r="M101" s="163"/>
      <c r="N101" s="45"/>
      <c r="O101" s="46"/>
      <c r="P101" s="512"/>
      <c r="Q101" s="57"/>
      <c r="R101" s="114" t="s">
        <v>17562</v>
      </c>
      <c r="S101" s="49"/>
      <c r="T101" s="50"/>
      <c r="U101" s="115"/>
      <c r="V101" s="35"/>
      <c r="W101" s="12" t="s">
        <v>398</v>
      </c>
      <c r="X101" s="13">
        <v>0.4</v>
      </c>
      <c r="Y101" s="57" t="s">
        <v>3575</v>
      </c>
      <c r="Z101" s="208">
        <f>+ROUND((ROUND((ROUND((ROUND((_15_同援日１．０＿１．５*_15・通訳),0)*(1+_15・B深夜)),0)*(1+_15・盲ろう)),0)*(1+_15・区４)),0)</f>
        <v>623</v>
      </c>
      <c r="AA101" s="48"/>
    </row>
    <row r="102" spans="1:27" ht="16.5" customHeight="1" x14ac:dyDescent="0.15">
      <c r="A102" s="41">
        <v>15</v>
      </c>
      <c r="B102" s="41" t="s">
        <v>28263</v>
      </c>
      <c r="C102" s="127" t="s">
        <v>28264</v>
      </c>
      <c r="D102" s="523"/>
      <c r="F102" s="523"/>
      <c r="G102" s="122"/>
      <c r="H102" s="37"/>
      <c r="I102" s="79"/>
      <c r="J102" s="35"/>
      <c r="M102" s="299" t="s">
        <v>17556</v>
      </c>
      <c r="N102" s="45" t="s">
        <v>398</v>
      </c>
      <c r="O102" s="46">
        <v>1</v>
      </c>
      <c r="P102" s="512"/>
      <c r="Q102" s="57"/>
      <c r="R102" s="269" t="s">
        <v>17564</v>
      </c>
      <c r="S102" s="37" t="s">
        <v>398</v>
      </c>
      <c r="T102" s="38">
        <v>0.25</v>
      </c>
      <c r="U102" s="79" t="s">
        <v>3575</v>
      </c>
      <c r="V102" s="43"/>
      <c r="W102" s="37"/>
      <c r="X102" s="38"/>
      <c r="Y102" s="79"/>
      <c r="Z102" s="208">
        <f>+ROUND((ROUND((ROUND((ROUND((ROUND((_15_同援日１．０＿１．５*_15・通訳),0)*_15・２人),0)*(1+_15・B深夜)),0)*(1+_15・盲ろう)),0)*(1+_15・区４)),0)</f>
        <v>623</v>
      </c>
      <c r="AA102" s="48"/>
    </row>
    <row r="103" spans="1:27" ht="16.5" customHeight="1" x14ac:dyDescent="0.15">
      <c r="A103" s="41">
        <v>15</v>
      </c>
      <c r="B103" s="41" t="s">
        <v>28265</v>
      </c>
      <c r="C103" s="127" t="s">
        <v>28266</v>
      </c>
      <c r="D103" s="523"/>
      <c r="F103" s="523"/>
      <c r="G103" s="114" t="s">
        <v>20032</v>
      </c>
      <c r="H103" s="49"/>
      <c r="I103" s="115"/>
      <c r="J103" s="35"/>
      <c r="M103" s="163"/>
      <c r="N103" s="45"/>
      <c r="O103" s="46"/>
      <c r="P103" s="512"/>
      <c r="Q103" s="57"/>
      <c r="R103" s="53"/>
      <c r="S103" s="49"/>
      <c r="T103" s="50"/>
      <c r="U103" s="115"/>
      <c r="V103" s="53"/>
      <c r="W103" s="49"/>
      <c r="X103" s="50"/>
      <c r="Y103" s="115"/>
      <c r="Z103" s="208">
        <f>+ROUND((ROUND((_15_同援日１．０＿２．０*_15・通訳),0)*(1+_15・B深夜)),0)</f>
        <v>443</v>
      </c>
      <c r="AA103" s="48"/>
    </row>
    <row r="104" spans="1:27" ht="16.5" customHeight="1" x14ac:dyDescent="0.15">
      <c r="A104" s="41">
        <v>15</v>
      </c>
      <c r="B104" s="41" t="s">
        <v>28267</v>
      </c>
      <c r="C104" s="127" t="s">
        <v>28268</v>
      </c>
      <c r="D104" s="523"/>
      <c r="F104" s="523"/>
      <c r="G104" s="72" t="s">
        <v>17643</v>
      </c>
      <c r="I104" s="57"/>
      <c r="J104" s="35"/>
      <c r="M104" s="299" t="s">
        <v>17556</v>
      </c>
      <c r="N104" s="45" t="s">
        <v>398</v>
      </c>
      <c r="O104" s="46">
        <v>1</v>
      </c>
      <c r="P104" s="512"/>
      <c r="Q104" s="57"/>
      <c r="R104" s="43"/>
      <c r="S104" s="37"/>
      <c r="T104" s="38"/>
      <c r="U104" s="79"/>
      <c r="V104" s="35"/>
      <c r="Y104" s="57"/>
      <c r="Z104" s="208">
        <f>+ROUND((ROUND((ROUND((_15_同援日１．０＿２．０*_15・通訳),0)*_15・２人),0)*(1+_15・B深夜)),0)</f>
        <v>443</v>
      </c>
      <c r="AA104" s="48"/>
    </row>
    <row r="105" spans="1:27" ht="16.5" customHeight="1" x14ac:dyDescent="0.15">
      <c r="A105" s="41">
        <v>15</v>
      </c>
      <c r="B105" s="41" t="s">
        <v>3332</v>
      </c>
      <c r="C105" s="127" t="s">
        <v>28269</v>
      </c>
      <c r="D105" s="523"/>
      <c r="F105" s="523"/>
      <c r="G105" s="72" t="s">
        <v>17645</v>
      </c>
      <c r="I105" s="57"/>
      <c r="J105" s="35"/>
      <c r="M105" s="163"/>
      <c r="N105" s="45"/>
      <c r="O105" s="46"/>
      <c r="P105" s="512"/>
      <c r="Q105" s="57"/>
      <c r="R105" s="114" t="s">
        <v>17562</v>
      </c>
      <c r="S105" s="49"/>
      <c r="T105" s="50"/>
      <c r="U105" s="115"/>
      <c r="V105" s="35"/>
      <c r="Y105" s="57"/>
      <c r="Z105" s="208">
        <f>+ROUND((ROUND((ROUND((_15_同援日１．０＿２．０*_15・通訳),0)*(1+_15・B深夜)),0)*(1+_15・盲ろう)),0)</f>
        <v>554</v>
      </c>
      <c r="AA105" s="48"/>
    </row>
    <row r="106" spans="1:27" ht="16.5" customHeight="1" x14ac:dyDescent="0.15">
      <c r="A106" s="41">
        <v>15</v>
      </c>
      <c r="B106" s="41" t="s">
        <v>3334</v>
      </c>
      <c r="C106" s="127" t="s">
        <v>28270</v>
      </c>
      <c r="D106" s="523"/>
      <c r="F106" s="523"/>
      <c r="G106" s="72"/>
      <c r="H106" s="168">
        <f>_15_同援日１．０＿２．０</f>
        <v>328</v>
      </c>
      <c r="I106" s="57" t="s">
        <v>392</v>
      </c>
      <c r="J106" s="35"/>
      <c r="M106" s="299" t="s">
        <v>17556</v>
      </c>
      <c r="N106" s="45" t="s">
        <v>398</v>
      </c>
      <c r="O106" s="46">
        <v>1</v>
      </c>
      <c r="P106" s="512"/>
      <c r="Q106" s="57"/>
      <c r="R106" s="269" t="s">
        <v>17564</v>
      </c>
      <c r="S106" s="37" t="s">
        <v>398</v>
      </c>
      <c r="T106" s="38">
        <v>0.25</v>
      </c>
      <c r="U106" s="79" t="s">
        <v>3575</v>
      </c>
      <c r="V106" s="43"/>
      <c r="W106" s="37"/>
      <c r="X106" s="38"/>
      <c r="Y106" s="79"/>
      <c r="Z106" s="208">
        <f>+ROUND((ROUND((ROUND((ROUND((_15_同援日１．０＿２．０*_15・通訳),0)*_15・２人),0)*(1+_15・B深夜)),0)*(1+_15・盲ろう)),0)</f>
        <v>554</v>
      </c>
      <c r="AA106" s="48"/>
    </row>
    <row r="107" spans="1:27" ht="16.5" customHeight="1" x14ac:dyDescent="0.15">
      <c r="A107" s="41">
        <v>15</v>
      </c>
      <c r="B107" s="41" t="s">
        <v>28271</v>
      </c>
      <c r="C107" s="127" t="s">
        <v>28272</v>
      </c>
      <c r="D107" s="523"/>
      <c r="F107" s="523"/>
      <c r="G107" s="72"/>
      <c r="I107" s="57"/>
      <c r="J107" s="35"/>
      <c r="M107" s="163"/>
      <c r="N107" s="45"/>
      <c r="O107" s="46"/>
      <c r="P107" s="512"/>
      <c r="Q107" s="57"/>
      <c r="R107" s="53"/>
      <c r="S107" s="49"/>
      <c r="T107" s="50"/>
      <c r="U107" s="115"/>
      <c r="V107" s="114" t="s">
        <v>17570</v>
      </c>
      <c r="W107" s="49"/>
      <c r="X107" s="50"/>
      <c r="Y107" s="115"/>
      <c r="Z107" s="208">
        <f>+ROUND((ROUND((ROUND((_15_同援日１．０＿２．０*_15・通訳),0)*(1+_15・B深夜)),0)*(1+_15・区３)),0)</f>
        <v>532</v>
      </c>
      <c r="AA107" s="48"/>
    </row>
    <row r="108" spans="1:27" ht="16.5" customHeight="1" x14ac:dyDescent="0.15">
      <c r="A108" s="41">
        <v>15</v>
      </c>
      <c r="B108" s="41" t="s">
        <v>28273</v>
      </c>
      <c r="C108" s="127" t="s">
        <v>28274</v>
      </c>
      <c r="D108" s="523"/>
      <c r="F108" s="523"/>
      <c r="G108" s="72"/>
      <c r="I108" s="57"/>
      <c r="J108" s="35"/>
      <c r="M108" s="299" t="s">
        <v>17556</v>
      </c>
      <c r="N108" s="45" t="s">
        <v>398</v>
      </c>
      <c r="O108" s="46">
        <v>1</v>
      </c>
      <c r="P108" s="512"/>
      <c r="Q108" s="57"/>
      <c r="R108" s="43"/>
      <c r="S108" s="37"/>
      <c r="T108" s="38"/>
      <c r="U108" s="79"/>
      <c r="V108" s="92" t="s">
        <v>17572</v>
      </c>
      <c r="Y108" s="57"/>
      <c r="Z108" s="208">
        <f>+ROUND((ROUND((ROUND((ROUND((_15_同援日１．０＿２．０*_15・通訳),0)*_15・２人),0)*(1+_15・B深夜)),0)*(1+_15・区３)),0)</f>
        <v>532</v>
      </c>
      <c r="AA108" s="48"/>
    </row>
    <row r="109" spans="1:27" ht="16.5" customHeight="1" x14ac:dyDescent="0.15">
      <c r="A109" s="41">
        <v>15</v>
      </c>
      <c r="B109" s="41" t="s">
        <v>28275</v>
      </c>
      <c r="C109" s="127" t="s">
        <v>28276</v>
      </c>
      <c r="D109" s="523"/>
      <c r="F109" s="523"/>
      <c r="G109" s="72"/>
      <c r="I109" s="57"/>
      <c r="J109" s="35"/>
      <c r="M109" s="163"/>
      <c r="N109" s="45"/>
      <c r="O109" s="46"/>
      <c r="P109" s="512"/>
      <c r="Q109" s="57"/>
      <c r="R109" s="114" t="s">
        <v>17562</v>
      </c>
      <c r="S109" s="49"/>
      <c r="T109" s="50"/>
      <c r="U109" s="115"/>
      <c r="V109" s="35"/>
      <c r="W109" s="12" t="s">
        <v>398</v>
      </c>
      <c r="X109" s="13">
        <v>0.2</v>
      </c>
      <c r="Y109" s="57" t="s">
        <v>3575</v>
      </c>
      <c r="Z109" s="208">
        <f>+ROUND((ROUND((ROUND((ROUND((_15_同援日１．０＿２．０*_15・通訳),0)*(1+_15・B深夜)),0)*(1+_15・盲ろう)),0)*(1+_15・区３)),0)</f>
        <v>665</v>
      </c>
      <c r="AA109" s="48"/>
    </row>
    <row r="110" spans="1:27" ht="16.5" customHeight="1" x14ac:dyDescent="0.15">
      <c r="A110" s="41">
        <v>15</v>
      </c>
      <c r="B110" s="41" t="s">
        <v>28277</v>
      </c>
      <c r="C110" s="127" t="s">
        <v>28278</v>
      </c>
      <c r="D110" s="523"/>
      <c r="F110" s="523"/>
      <c r="G110" s="72"/>
      <c r="I110" s="57"/>
      <c r="J110" s="35"/>
      <c r="M110" s="299" t="s">
        <v>17556</v>
      </c>
      <c r="N110" s="45" t="s">
        <v>398</v>
      </c>
      <c r="O110" s="46">
        <v>1</v>
      </c>
      <c r="P110" s="512"/>
      <c r="Q110" s="57"/>
      <c r="R110" s="269" t="s">
        <v>17564</v>
      </c>
      <c r="S110" s="37" t="s">
        <v>398</v>
      </c>
      <c r="T110" s="38">
        <v>0.25</v>
      </c>
      <c r="U110" s="79" t="s">
        <v>3575</v>
      </c>
      <c r="V110" s="43"/>
      <c r="W110" s="37"/>
      <c r="X110" s="38"/>
      <c r="Y110" s="79"/>
      <c r="Z110" s="208">
        <f>+ROUND((ROUND((ROUND((ROUND((ROUND((_15_同援日１．０＿２．０*_15・通訳),0)*_15・２人),0)*(1+_15・B深夜)),0)*(1+_15・盲ろう)),0)*(1+_15・区３)),0)</f>
        <v>665</v>
      </c>
      <c r="AA110" s="48"/>
    </row>
    <row r="111" spans="1:27" ht="16.5" customHeight="1" x14ac:dyDescent="0.15">
      <c r="A111" s="41">
        <v>15</v>
      </c>
      <c r="B111" s="41" t="s">
        <v>28279</v>
      </c>
      <c r="C111" s="127" t="s">
        <v>28280</v>
      </c>
      <c r="D111" s="523"/>
      <c r="F111" s="523"/>
      <c r="G111" s="72"/>
      <c r="I111" s="57"/>
      <c r="J111" s="35"/>
      <c r="M111" s="163"/>
      <c r="N111" s="45"/>
      <c r="O111" s="46"/>
      <c r="P111" s="512"/>
      <c r="Q111" s="57"/>
      <c r="R111" s="53"/>
      <c r="S111" s="49"/>
      <c r="T111" s="50"/>
      <c r="U111" s="115"/>
      <c r="V111" s="114" t="s">
        <v>17580</v>
      </c>
      <c r="W111" s="49"/>
      <c r="X111" s="50"/>
      <c r="Y111" s="115"/>
      <c r="Z111" s="208">
        <f>+ROUND((ROUND((ROUND((_15_同援日１．０＿２．０*_15・通訳),0)*(1+_15・B深夜)),0)*(1+_15・区４)),0)</f>
        <v>620</v>
      </c>
      <c r="AA111" s="48"/>
    </row>
    <row r="112" spans="1:27" ht="16.5" customHeight="1" x14ac:dyDescent="0.15">
      <c r="A112" s="41">
        <v>15</v>
      </c>
      <c r="B112" s="41" t="s">
        <v>28281</v>
      </c>
      <c r="C112" s="127" t="s">
        <v>28282</v>
      </c>
      <c r="D112" s="523"/>
      <c r="F112" s="523"/>
      <c r="G112" s="72"/>
      <c r="I112" s="57"/>
      <c r="J112" s="35"/>
      <c r="M112" s="299" t="s">
        <v>17556</v>
      </c>
      <c r="N112" s="45" t="s">
        <v>398</v>
      </c>
      <c r="O112" s="46">
        <v>1</v>
      </c>
      <c r="P112" s="512"/>
      <c r="Q112" s="57"/>
      <c r="R112" s="43"/>
      <c r="S112" s="37"/>
      <c r="T112" s="38"/>
      <c r="U112" s="79"/>
      <c r="V112" s="92" t="s">
        <v>17572</v>
      </c>
      <c r="Y112" s="57"/>
      <c r="Z112" s="208">
        <f>+ROUND((ROUND((ROUND((ROUND((_15_同援日１．０＿２．０*_15・通訳),0)*_15・２人),0)*(1+_15・B深夜)),0)*(1+_15・区４)),0)</f>
        <v>620</v>
      </c>
      <c r="AA112" s="48"/>
    </row>
    <row r="113" spans="1:27" ht="16.5" customHeight="1" x14ac:dyDescent="0.15">
      <c r="A113" s="41">
        <v>15</v>
      </c>
      <c r="B113" s="41" t="s">
        <v>28283</v>
      </c>
      <c r="C113" s="127" t="s">
        <v>28284</v>
      </c>
      <c r="D113" s="523"/>
      <c r="F113" s="523"/>
      <c r="G113" s="72"/>
      <c r="I113" s="57"/>
      <c r="J113" s="35"/>
      <c r="M113" s="163"/>
      <c r="N113" s="45"/>
      <c r="O113" s="46"/>
      <c r="P113" s="512"/>
      <c r="Q113" s="57"/>
      <c r="R113" s="114" t="s">
        <v>17562</v>
      </c>
      <c r="S113" s="49"/>
      <c r="T113" s="50"/>
      <c r="U113" s="115"/>
      <c r="V113" s="35"/>
      <c r="W113" s="12" t="s">
        <v>398</v>
      </c>
      <c r="X113" s="13">
        <v>0.4</v>
      </c>
      <c r="Y113" s="57" t="s">
        <v>3575</v>
      </c>
      <c r="Z113" s="208">
        <f>+ROUND((ROUND((ROUND((ROUND((_15_同援日１．０＿２．０*_15・通訳),0)*(1+_15・B深夜)),0)*(1+_15・盲ろう)),0)*(1+_15・区４)),0)</f>
        <v>776</v>
      </c>
      <c r="AA113" s="48"/>
    </row>
    <row r="114" spans="1:27" ht="16.5" customHeight="1" x14ac:dyDescent="0.15">
      <c r="A114" s="41">
        <v>15</v>
      </c>
      <c r="B114" s="41" t="s">
        <v>28285</v>
      </c>
      <c r="C114" s="127" t="s">
        <v>28286</v>
      </c>
      <c r="D114" s="524"/>
      <c r="E114" s="190"/>
      <c r="F114" s="524"/>
      <c r="G114" s="122"/>
      <c r="H114" s="37"/>
      <c r="I114" s="79"/>
      <c r="J114" s="43"/>
      <c r="K114" s="37"/>
      <c r="L114" s="38"/>
      <c r="M114" s="299" t="s">
        <v>17556</v>
      </c>
      <c r="N114" s="45" t="s">
        <v>398</v>
      </c>
      <c r="O114" s="46">
        <v>1</v>
      </c>
      <c r="P114" s="514"/>
      <c r="Q114" s="79"/>
      <c r="R114" s="269" t="s">
        <v>17564</v>
      </c>
      <c r="S114" s="37" t="s">
        <v>398</v>
      </c>
      <c r="T114" s="38">
        <v>0.25</v>
      </c>
      <c r="U114" s="79" t="s">
        <v>3575</v>
      </c>
      <c r="V114" s="43"/>
      <c r="W114" s="37"/>
      <c r="X114" s="38"/>
      <c r="Y114" s="79"/>
      <c r="Z114" s="208">
        <f>+ROUND((ROUND((ROUND((ROUND((ROUND((_15_同援日１．０＿２．０*_15・通訳),0)*_15・２人),0)*(1+_15・B深夜)),0)*(1+_15・盲ろう)),0)*(1+_15・区４)),0)</f>
        <v>776</v>
      </c>
      <c r="AA114" s="63"/>
    </row>
    <row r="115" spans="1:27" ht="16.5" customHeight="1" x14ac:dyDescent="0.15">
      <c r="A115" s="41">
        <v>15</v>
      </c>
      <c r="B115" s="41" t="s">
        <v>3339</v>
      </c>
      <c r="C115" s="127" t="s">
        <v>28287</v>
      </c>
      <c r="D115" s="525"/>
      <c r="E115" s="253" t="s">
        <v>18538</v>
      </c>
      <c r="F115" s="525"/>
      <c r="G115" s="114" t="s">
        <v>19945</v>
      </c>
      <c r="H115" s="49"/>
      <c r="I115" s="115"/>
      <c r="J115" s="53"/>
      <c r="K115" s="49"/>
      <c r="L115" s="50"/>
      <c r="M115" s="163"/>
      <c r="N115" s="45"/>
      <c r="O115" s="46"/>
      <c r="P115" s="515"/>
      <c r="Q115" s="115"/>
      <c r="R115" s="53"/>
      <c r="S115" s="49"/>
      <c r="T115" s="50"/>
      <c r="U115" s="115"/>
      <c r="V115" s="53"/>
      <c r="W115" s="49"/>
      <c r="X115" s="50"/>
      <c r="Y115" s="115"/>
      <c r="Z115" s="208">
        <f>+ROUND((ROUND((_15_同援日１．５＿０．５*_15・通訳),0)*(1+_15・B深夜)),0)</f>
        <v>89</v>
      </c>
      <c r="AA115" s="64"/>
    </row>
    <row r="116" spans="1:27" ht="16.5" customHeight="1" x14ac:dyDescent="0.15">
      <c r="A116" s="41">
        <v>15</v>
      </c>
      <c r="B116" s="41" t="s">
        <v>3341</v>
      </c>
      <c r="C116" s="127" t="s">
        <v>28288</v>
      </c>
      <c r="D116" s="523"/>
      <c r="E116" s="10" t="s">
        <v>17616</v>
      </c>
      <c r="F116" s="523"/>
      <c r="G116" s="72" t="s">
        <v>18259</v>
      </c>
      <c r="I116" s="57"/>
      <c r="J116" s="35"/>
      <c r="M116" s="299" t="s">
        <v>17556</v>
      </c>
      <c r="N116" s="45" t="s">
        <v>398</v>
      </c>
      <c r="O116" s="46">
        <v>1</v>
      </c>
      <c r="P116" s="512"/>
      <c r="Q116" s="57"/>
      <c r="R116" s="43"/>
      <c r="S116" s="37"/>
      <c r="T116" s="38"/>
      <c r="U116" s="79"/>
      <c r="V116" s="35"/>
      <c r="Y116" s="57"/>
      <c r="Z116" s="208">
        <f>+ROUND((ROUND((ROUND((_15_同援日１．５＿０．５*_15・通訳),0)*_15・２人),0)*(1+_15・B深夜)),0)</f>
        <v>89</v>
      </c>
      <c r="AA116" s="48"/>
    </row>
    <row r="117" spans="1:27" ht="16.5" customHeight="1" x14ac:dyDescent="0.15">
      <c r="A117" s="41">
        <v>15</v>
      </c>
      <c r="B117" s="41" t="s">
        <v>28289</v>
      </c>
      <c r="C117" s="127" t="s">
        <v>28290</v>
      </c>
      <c r="D117" s="523"/>
      <c r="E117" s="10" t="s">
        <v>18183</v>
      </c>
      <c r="F117" s="523"/>
      <c r="G117" s="72"/>
      <c r="I117" s="57"/>
      <c r="J117" s="35"/>
      <c r="M117" s="163"/>
      <c r="N117" s="45"/>
      <c r="O117" s="46"/>
      <c r="P117" s="512"/>
      <c r="Q117" s="57"/>
      <c r="R117" s="114" t="s">
        <v>17562</v>
      </c>
      <c r="S117" s="49"/>
      <c r="T117" s="50"/>
      <c r="U117" s="115"/>
      <c r="V117" s="35"/>
      <c r="Y117" s="57"/>
      <c r="Z117" s="208">
        <f>+ROUND((ROUND((ROUND((_15_同援日１．５＿０．５*_15・通訳),0)*(1+_15・B深夜)),0)*(1+_15・盲ろう)),0)</f>
        <v>111</v>
      </c>
      <c r="AA117" s="48"/>
    </row>
    <row r="118" spans="1:27" ht="16.5" customHeight="1" x14ac:dyDescent="0.15">
      <c r="A118" s="41">
        <v>15</v>
      </c>
      <c r="B118" s="41" t="s">
        <v>28291</v>
      </c>
      <c r="C118" s="127" t="s">
        <v>28292</v>
      </c>
      <c r="D118" s="523"/>
      <c r="F118" s="523"/>
      <c r="G118" s="72"/>
      <c r="H118" s="168">
        <f>_15_同援日１．５＿０．５</f>
        <v>65</v>
      </c>
      <c r="I118" s="57" t="s">
        <v>392</v>
      </c>
      <c r="J118" s="35"/>
      <c r="M118" s="299" t="s">
        <v>17556</v>
      </c>
      <c r="N118" s="45" t="s">
        <v>398</v>
      </c>
      <c r="O118" s="46">
        <v>1</v>
      </c>
      <c r="P118" s="512"/>
      <c r="Q118" s="57"/>
      <c r="R118" s="269" t="s">
        <v>17564</v>
      </c>
      <c r="S118" s="37" t="s">
        <v>398</v>
      </c>
      <c r="T118" s="38">
        <v>0.25</v>
      </c>
      <c r="U118" s="79" t="s">
        <v>3575</v>
      </c>
      <c r="V118" s="43"/>
      <c r="W118" s="37"/>
      <c r="X118" s="38"/>
      <c r="Y118" s="79"/>
      <c r="Z118" s="208">
        <f>+ROUND((ROUND((ROUND((ROUND((_15_同援日１．５＿０．５*_15・通訳),0)*_15・２人),0)*(1+_15・B深夜)),0)*(1+_15・盲ろう)),0)</f>
        <v>111</v>
      </c>
      <c r="AA118" s="48"/>
    </row>
    <row r="119" spans="1:27" ht="16.5" customHeight="1" x14ac:dyDescent="0.15">
      <c r="A119" s="41">
        <v>15</v>
      </c>
      <c r="B119" s="41" t="s">
        <v>28293</v>
      </c>
      <c r="C119" s="127" t="s">
        <v>28294</v>
      </c>
      <c r="D119" s="523"/>
      <c r="F119" s="523"/>
      <c r="G119" s="72"/>
      <c r="I119" s="57"/>
      <c r="J119" s="35"/>
      <c r="M119" s="163"/>
      <c r="N119" s="45"/>
      <c r="O119" s="46"/>
      <c r="P119" s="512"/>
      <c r="Q119" s="57"/>
      <c r="R119" s="53"/>
      <c r="S119" s="49"/>
      <c r="T119" s="50"/>
      <c r="U119" s="115"/>
      <c r="V119" s="114" t="s">
        <v>17570</v>
      </c>
      <c r="W119" s="49"/>
      <c r="X119" s="50"/>
      <c r="Y119" s="115"/>
      <c r="Z119" s="208">
        <f>+ROUND((ROUND((ROUND((_15_同援日１．５＿０．５*_15・通訳),0)*(1+_15・B深夜)),0)*(1+_15・区３)),0)</f>
        <v>107</v>
      </c>
      <c r="AA119" s="48"/>
    </row>
    <row r="120" spans="1:27" ht="16.5" customHeight="1" x14ac:dyDescent="0.15">
      <c r="A120" s="41">
        <v>15</v>
      </c>
      <c r="B120" s="41" t="s">
        <v>28295</v>
      </c>
      <c r="C120" s="127" t="s">
        <v>28296</v>
      </c>
      <c r="D120" s="523"/>
      <c r="F120" s="523"/>
      <c r="G120" s="72"/>
      <c r="I120" s="57"/>
      <c r="J120" s="35"/>
      <c r="M120" s="299" t="s">
        <v>17556</v>
      </c>
      <c r="N120" s="45" t="s">
        <v>398</v>
      </c>
      <c r="O120" s="46">
        <v>1</v>
      </c>
      <c r="P120" s="512"/>
      <c r="Q120" s="57"/>
      <c r="R120" s="43"/>
      <c r="S120" s="37"/>
      <c r="T120" s="38"/>
      <c r="U120" s="79"/>
      <c r="V120" s="92" t="s">
        <v>17572</v>
      </c>
      <c r="Y120" s="57"/>
      <c r="Z120" s="208">
        <f>+ROUND((ROUND((ROUND((ROUND((_15_同援日１．５＿０．５*_15・通訳),0)*_15・２人),0)*(1+_15・B深夜)),0)*(1+_15・区３)),0)</f>
        <v>107</v>
      </c>
      <c r="AA120" s="48"/>
    </row>
    <row r="121" spans="1:27" ht="16.5" customHeight="1" x14ac:dyDescent="0.15">
      <c r="A121" s="41">
        <v>15</v>
      </c>
      <c r="B121" s="41" t="s">
        <v>28297</v>
      </c>
      <c r="C121" s="127" t="s">
        <v>28298</v>
      </c>
      <c r="D121" s="523"/>
      <c r="F121" s="523"/>
      <c r="G121" s="72"/>
      <c r="I121" s="57"/>
      <c r="J121" s="35"/>
      <c r="M121" s="163"/>
      <c r="N121" s="45"/>
      <c r="O121" s="46"/>
      <c r="P121" s="512"/>
      <c r="Q121" s="57"/>
      <c r="R121" s="114" t="s">
        <v>17562</v>
      </c>
      <c r="S121" s="49"/>
      <c r="T121" s="50"/>
      <c r="U121" s="115"/>
      <c r="V121" s="35"/>
      <c r="W121" s="12" t="s">
        <v>398</v>
      </c>
      <c r="X121" s="13">
        <v>0.2</v>
      </c>
      <c r="Y121" s="57" t="s">
        <v>3575</v>
      </c>
      <c r="Z121" s="208">
        <f>+ROUND((ROUND((ROUND((ROUND((_15_同援日１．５＿０．５*_15・通訳),0)*(1+_15・B深夜)),0)*(1+_15・盲ろう)),0)*(1+_15・区３)),0)</f>
        <v>133</v>
      </c>
      <c r="AA121" s="48"/>
    </row>
    <row r="122" spans="1:27" ht="16.5" customHeight="1" x14ac:dyDescent="0.15">
      <c r="A122" s="41">
        <v>15</v>
      </c>
      <c r="B122" s="41" t="s">
        <v>28299</v>
      </c>
      <c r="C122" s="127" t="s">
        <v>28300</v>
      </c>
      <c r="D122" s="523"/>
      <c r="F122" s="523"/>
      <c r="G122" s="72"/>
      <c r="I122" s="57"/>
      <c r="J122" s="35"/>
      <c r="M122" s="299" t="s">
        <v>17556</v>
      </c>
      <c r="N122" s="45" t="s">
        <v>398</v>
      </c>
      <c r="O122" s="46">
        <v>1</v>
      </c>
      <c r="P122" s="512"/>
      <c r="Q122" s="57"/>
      <c r="R122" s="269" t="s">
        <v>17564</v>
      </c>
      <c r="S122" s="37" t="s">
        <v>398</v>
      </c>
      <c r="T122" s="38">
        <v>0.25</v>
      </c>
      <c r="U122" s="79" t="s">
        <v>3575</v>
      </c>
      <c r="V122" s="43"/>
      <c r="W122" s="37"/>
      <c r="X122" s="38"/>
      <c r="Y122" s="79"/>
      <c r="Z122" s="208">
        <f>+ROUND((ROUND((ROUND((ROUND((ROUND((_15_同援日１．５＿０．５*_15・通訳),0)*_15・２人),0)*(1+_15・B深夜)),0)*(1+_15・盲ろう)),0)*(1+_15・区３)),0)</f>
        <v>133</v>
      </c>
      <c r="AA122" s="48"/>
    </row>
    <row r="123" spans="1:27" ht="16.5" customHeight="1" x14ac:dyDescent="0.15">
      <c r="A123" s="41">
        <v>15</v>
      </c>
      <c r="B123" s="41" t="s">
        <v>28301</v>
      </c>
      <c r="C123" s="127" t="s">
        <v>28302</v>
      </c>
      <c r="D123" s="523"/>
      <c r="F123" s="523"/>
      <c r="G123" s="72"/>
      <c r="I123" s="57"/>
      <c r="J123" s="35"/>
      <c r="M123" s="163"/>
      <c r="N123" s="45"/>
      <c r="O123" s="46"/>
      <c r="P123" s="512"/>
      <c r="Q123" s="57"/>
      <c r="R123" s="53"/>
      <c r="S123" s="49"/>
      <c r="T123" s="50"/>
      <c r="U123" s="115"/>
      <c r="V123" s="114" t="s">
        <v>17580</v>
      </c>
      <c r="W123" s="49"/>
      <c r="X123" s="50"/>
      <c r="Y123" s="115"/>
      <c r="Z123" s="208">
        <f>+ROUND((ROUND((ROUND((_15_同援日１．５＿０．５*_15・通訳),0)*(1+_15・B深夜)),0)*(1+_15・区４)),0)</f>
        <v>125</v>
      </c>
      <c r="AA123" s="48"/>
    </row>
    <row r="124" spans="1:27" ht="16.5" customHeight="1" x14ac:dyDescent="0.15">
      <c r="A124" s="41">
        <v>15</v>
      </c>
      <c r="B124" s="41" t="s">
        <v>28303</v>
      </c>
      <c r="C124" s="127" t="s">
        <v>28304</v>
      </c>
      <c r="D124" s="523"/>
      <c r="F124" s="523"/>
      <c r="G124" s="72"/>
      <c r="I124" s="57"/>
      <c r="J124" s="35"/>
      <c r="M124" s="299" t="s">
        <v>17556</v>
      </c>
      <c r="N124" s="45" t="s">
        <v>398</v>
      </c>
      <c r="O124" s="46">
        <v>1</v>
      </c>
      <c r="P124" s="512"/>
      <c r="Q124" s="57"/>
      <c r="R124" s="43"/>
      <c r="S124" s="37"/>
      <c r="T124" s="38"/>
      <c r="U124" s="79"/>
      <c r="V124" s="92" t="s">
        <v>17572</v>
      </c>
      <c r="Y124" s="57"/>
      <c r="Z124" s="208">
        <f>+ROUND((ROUND((ROUND((ROUND((_15_同援日１．５＿０．５*_15・通訳),0)*_15・２人),0)*(1+_15・B深夜)),0)*(1+_15・区４)),0)</f>
        <v>125</v>
      </c>
      <c r="AA124" s="48"/>
    </row>
    <row r="125" spans="1:27" ht="16.5" customHeight="1" x14ac:dyDescent="0.15">
      <c r="A125" s="41">
        <v>15</v>
      </c>
      <c r="B125" s="41" t="s">
        <v>3346</v>
      </c>
      <c r="C125" s="127" t="s">
        <v>28305</v>
      </c>
      <c r="D125" s="523"/>
      <c r="F125" s="523"/>
      <c r="G125" s="72"/>
      <c r="I125" s="57"/>
      <c r="J125" s="35"/>
      <c r="M125" s="163"/>
      <c r="N125" s="45"/>
      <c r="O125" s="46"/>
      <c r="P125" s="512"/>
      <c r="Q125" s="57"/>
      <c r="R125" s="114" t="s">
        <v>17562</v>
      </c>
      <c r="S125" s="49"/>
      <c r="T125" s="50"/>
      <c r="U125" s="115"/>
      <c r="V125" s="35"/>
      <c r="W125" s="12" t="s">
        <v>398</v>
      </c>
      <c r="X125" s="13">
        <v>0.4</v>
      </c>
      <c r="Y125" s="57" t="s">
        <v>3575</v>
      </c>
      <c r="Z125" s="208">
        <f>+ROUND((ROUND((ROUND((ROUND((_15_同援日１．５＿０．５*_15・通訳),0)*(1+_15・B深夜)),0)*(1+_15・盲ろう)),0)*(1+_15・区４)),0)</f>
        <v>155</v>
      </c>
      <c r="AA125" s="48"/>
    </row>
    <row r="126" spans="1:27" ht="16.5" customHeight="1" x14ac:dyDescent="0.15">
      <c r="A126" s="41">
        <v>15</v>
      </c>
      <c r="B126" s="41" t="s">
        <v>3348</v>
      </c>
      <c r="C126" s="127" t="s">
        <v>28306</v>
      </c>
      <c r="D126" s="523"/>
      <c r="F126" s="523"/>
      <c r="G126" s="122"/>
      <c r="H126" s="37"/>
      <c r="I126" s="79"/>
      <c r="J126" s="35"/>
      <c r="M126" s="299" t="s">
        <v>17556</v>
      </c>
      <c r="N126" s="45" t="s">
        <v>398</v>
      </c>
      <c r="O126" s="46">
        <v>1</v>
      </c>
      <c r="P126" s="512"/>
      <c r="Q126" s="57"/>
      <c r="R126" s="269" t="s">
        <v>17564</v>
      </c>
      <c r="S126" s="37" t="s">
        <v>398</v>
      </c>
      <c r="T126" s="38">
        <v>0.25</v>
      </c>
      <c r="U126" s="79" t="s">
        <v>3575</v>
      </c>
      <c r="V126" s="43"/>
      <c r="W126" s="37"/>
      <c r="X126" s="38"/>
      <c r="Y126" s="79"/>
      <c r="Z126" s="208">
        <f>+ROUND((ROUND((ROUND((ROUND((ROUND((_15_同援日１．５＿０．５*_15・通訳),0)*_15・２人),0)*(1+_15・B深夜)),0)*(1+_15・盲ろう)),0)*(1+_15・区４)),0)</f>
        <v>155</v>
      </c>
      <c r="AA126" s="48"/>
    </row>
    <row r="127" spans="1:27" ht="16.5" customHeight="1" x14ac:dyDescent="0.15">
      <c r="A127" s="41">
        <v>15</v>
      </c>
      <c r="B127" s="41" t="s">
        <v>28307</v>
      </c>
      <c r="C127" s="127" t="s">
        <v>28308</v>
      </c>
      <c r="D127" s="523"/>
      <c r="F127" s="523"/>
      <c r="G127" s="114" t="s">
        <v>19970</v>
      </c>
      <c r="H127" s="49"/>
      <c r="I127" s="115"/>
      <c r="J127" s="35"/>
      <c r="M127" s="163"/>
      <c r="N127" s="45"/>
      <c r="O127" s="46"/>
      <c r="P127" s="512"/>
      <c r="Q127" s="57"/>
      <c r="R127" s="53"/>
      <c r="S127" s="49"/>
      <c r="T127" s="50"/>
      <c r="U127" s="115"/>
      <c r="V127" s="53"/>
      <c r="W127" s="49"/>
      <c r="X127" s="50"/>
      <c r="Y127" s="115"/>
      <c r="Z127" s="208">
        <f>+ROUND((ROUND((_15_同援日１．５＿１．０*_15・通訳),0)*(1+_15・B深夜)),0)</f>
        <v>176</v>
      </c>
      <c r="AA127" s="48"/>
    </row>
    <row r="128" spans="1:27" ht="16.5" customHeight="1" x14ac:dyDescent="0.15">
      <c r="A128" s="41">
        <v>15</v>
      </c>
      <c r="B128" s="41" t="s">
        <v>28309</v>
      </c>
      <c r="C128" s="127" t="s">
        <v>28310</v>
      </c>
      <c r="D128" s="523"/>
      <c r="F128" s="523"/>
      <c r="G128" s="72" t="s">
        <v>17589</v>
      </c>
      <c r="I128" s="57"/>
      <c r="J128" s="35"/>
      <c r="M128" s="299" t="s">
        <v>17556</v>
      </c>
      <c r="N128" s="45" t="s">
        <v>398</v>
      </c>
      <c r="O128" s="46">
        <v>1</v>
      </c>
      <c r="P128" s="512"/>
      <c r="Q128" s="57"/>
      <c r="R128" s="43"/>
      <c r="S128" s="37"/>
      <c r="T128" s="38"/>
      <c r="U128" s="79"/>
      <c r="V128" s="35"/>
      <c r="Y128" s="57"/>
      <c r="Z128" s="208">
        <f>+ROUND((ROUND((ROUND((_15_同援日１．５＿１．０*_15・通訳),0)*_15・２人),0)*(1+_15・B深夜)),0)</f>
        <v>176</v>
      </c>
      <c r="AA128" s="48"/>
    </row>
    <row r="129" spans="1:27" ht="16.5" customHeight="1" x14ac:dyDescent="0.15">
      <c r="A129" s="41">
        <v>15</v>
      </c>
      <c r="B129" s="41" t="s">
        <v>28311</v>
      </c>
      <c r="C129" s="127" t="s">
        <v>28312</v>
      </c>
      <c r="D129" s="523"/>
      <c r="F129" s="523"/>
      <c r="G129" s="72" t="s">
        <v>17591</v>
      </c>
      <c r="I129" s="57"/>
      <c r="J129" s="35"/>
      <c r="M129" s="163"/>
      <c r="N129" s="45"/>
      <c r="O129" s="46"/>
      <c r="P129" s="512"/>
      <c r="Q129" s="57"/>
      <c r="R129" s="114" t="s">
        <v>17562</v>
      </c>
      <c r="S129" s="49"/>
      <c r="T129" s="50"/>
      <c r="U129" s="115"/>
      <c r="V129" s="35"/>
      <c r="Y129" s="57"/>
      <c r="Z129" s="208">
        <f>+ROUND((ROUND((ROUND((_15_同援日１．５＿１．０*_15・通訳),0)*(1+_15・B深夜)),0)*(1+_15・盲ろう)),0)</f>
        <v>220</v>
      </c>
      <c r="AA129" s="48"/>
    </row>
    <row r="130" spans="1:27" ht="16.5" customHeight="1" x14ac:dyDescent="0.15">
      <c r="A130" s="41">
        <v>15</v>
      </c>
      <c r="B130" s="41" t="s">
        <v>28313</v>
      </c>
      <c r="C130" s="127" t="s">
        <v>28314</v>
      </c>
      <c r="D130" s="523"/>
      <c r="F130" s="523"/>
      <c r="G130" s="72"/>
      <c r="H130" s="168">
        <f>_15_同援日１．５＿１．０</f>
        <v>130</v>
      </c>
      <c r="I130" s="57" t="s">
        <v>392</v>
      </c>
      <c r="J130" s="35"/>
      <c r="M130" s="299" t="s">
        <v>17556</v>
      </c>
      <c r="N130" s="45" t="s">
        <v>398</v>
      </c>
      <c r="O130" s="46">
        <v>1</v>
      </c>
      <c r="P130" s="512"/>
      <c r="Q130" s="57"/>
      <c r="R130" s="269" t="s">
        <v>17564</v>
      </c>
      <c r="S130" s="37" t="s">
        <v>398</v>
      </c>
      <c r="T130" s="38">
        <v>0.25</v>
      </c>
      <c r="U130" s="79" t="s">
        <v>3575</v>
      </c>
      <c r="V130" s="43"/>
      <c r="W130" s="37"/>
      <c r="X130" s="38"/>
      <c r="Y130" s="79"/>
      <c r="Z130" s="208">
        <f>+ROUND((ROUND((ROUND((ROUND((_15_同援日１．５＿１．０*_15・通訳),0)*_15・２人),0)*(1+_15・B深夜)),0)*(1+_15・盲ろう)),0)</f>
        <v>220</v>
      </c>
      <c r="AA130" s="48"/>
    </row>
    <row r="131" spans="1:27" ht="16.5" customHeight="1" x14ac:dyDescent="0.15">
      <c r="A131" s="41">
        <v>15</v>
      </c>
      <c r="B131" s="41" t="s">
        <v>28315</v>
      </c>
      <c r="C131" s="127" t="s">
        <v>28316</v>
      </c>
      <c r="D131" s="523"/>
      <c r="F131" s="523"/>
      <c r="G131" s="72"/>
      <c r="I131" s="57"/>
      <c r="J131" s="35"/>
      <c r="M131" s="163"/>
      <c r="N131" s="45"/>
      <c r="O131" s="46"/>
      <c r="P131" s="512"/>
      <c r="Q131" s="57"/>
      <c r="R131" s="53"/>
      <c r="S131" s="49"/>
      <c r="T131" s="50"/>
      <c r="U131" s="115"/>
      <c r="V131" s="114" t="s">
        <v>17570</v>
      </c>
      <c r="W131" s="49"/>
      <c r="X131" s="50"/>
      <c r="Y131" s="115"/>
      <c r="Z131" s="208">
        <f>+ROUND((ROUND((ROUND((_15_同援日１．５＿１．０*_15・通訳),0)*(1+_15・B深夜)),0)*(1+_15・区３)),0)</f>
        <v>211</v>
      </c>
      <c r="AA131" s="48"/>
    </row>
    <row r="132" spans="1:27" ht="16.5" customHeight="1" x14ac:dyDescent="0.15">
      <c r="A132" s="41">
        <v>15</v>
      </c>
      <c r="B132" s="41" t="s">
        <v>28317</v>
      </c>
      <c r="C132" s="127" t="s">
        <v>28318</v>
      </c>
      <c r="D132" s="523"/>
      <c r="F132" s="523"/>
      <c r="G132" s="72"/>
      <c r="I132" s="57"/>
      <c r="J132" s="35"/>
      <c r="M132" s="299" t="s">
        <v>17556</v>
      </c>
      <c r="N132" s="45" t="s">
        <v>398</v>
      </c>
      <c r="O132" s="46">
        <v>1</v>
      </c>
      <c r="P132" s="512"/>
      <c r="Q132" s="57"/>
      <c r="R132" s="43"/>
      <c r="S132" s="37"/>
      <c r="T132" s="38"/>
      <c r="U132" s="79"/>
      <c r="V132" s="92" t="s">
        <v>17572</v>
      </c>
      <c r="Y132" s="57"/>
      <c r="Z132" s="208">
        <f>+ROUND((ROUND((ROUND((ROUND((_15_同援日１．５＿１．０*_15・通訳),0)*_15・２人),0)*(1+_15・B深夜)),0)*(1+_15・区３)),0)</f>
        <v>211</v>
      </c>
      <c r="AA132" s="48"/>
    </row>
    <row r="133" spans="1:27" ht="16.5" customHeight="1" x14ac:dyDescent="0.15">
      <c r="A133" s="41">
        <v>15</v>
      </c>
      <c r="B133" s="41" t="s">
        <v>28319</v>
      </c>
      <c r="C133" s="127" t="s">
        <v>28320</v>
      </c>
      <c r="D133" s="523"/>
      <c r="F133" s="523"/>
      <c r="G133" s="72"/>
      <c r="I133" s="57"/>
      <c r="J133" s="35"/>
      <c r="M133" s="163"/>
      <c r="N133" s="45"/>
      <c r="O133" s="46"/>
      <c r="P133" s="512"/>
      <c r="Q133" s="57"/>
      <c r="R133" s="114" t="s">
        <v>17562</v>
      </c>
      <c r="S133" s="49"/>
      <c r="T133" s="50"/>
      <c r="U133" s="115"/>
      <c r="V133" s="35"/>
      <c r="W133" s="12" t="s">
        <v>398</v>
      </c>
      <c r="X133" s="13">
        <v>0.2</v>
      </c>
      <c r="Y133" s="57" t="s">
        <v>3575</v>
      </c>
      <c r="Z133" s="208">
        <f>+ROUND((ROUND((ROUND((ROUND((_15_同援日１．５＿１．０*_15・通訳),0)*(1+_15・B深夜)),0)*(1+_15・盲ろう)),0)*(1+_15・区３)),0)</f>
        <v>264</v>
      </c>
      <c r="AA133" s="48"/>
    </row>
    <row r="134" spans="1:27" ht="16.5" customHeight="1" x14ac:dyDescent="0.15">
      <c r="A134" s="41">
        <v>15</v>
      </c>
      <c r="B134" s="41" t="s">
        <v>28321</v>
      </c>
      <c r="C134" s="127" t="s">
        <v>28322</v>
      </c>
      <c r="D134" s="523"/>
      <c r="F134" s="523"/>
      <c r="G134" s="72"/>
      <c r="I134" s="57"/>
      <c r="J134" s="35"/>
      <c r="M134" s="299" t="s">
        <v>17556</v>
      </c>
      <c r="N134" s="45" t="s">
        <v>398</v>
      </c>
      <c r="O134" s="46">
        <v>1</v>
      </c>
      <c r="P134" s="512"/>
      <c r="Q134" s="57"/>
      <c r="R134" s="269" t="s">
        <v>17564</v>
      </c>
      <c r="S134" s="37" t="s">
        <v>398</v>
      </c>
      <c r="T134" s="38">
        <v>0.25</v>
      </c>
      <c r="U134" s="79" t="s">
        <v>3575</v>
      </c>
      <c r="V134" s="43"/>
      <c r="W134" s="37"/>
      <c r="X134" s="38"/>
      <c r="Y134" s="79"/>
      <c r="Z134" s="208">
        <f>+ROUND((ROUND((ROUND((ROUND((ROUND((_15_同援日１．５＿１．０*_15・通訳),0)*_15・２人),0)*(1+_15・B深夜)),0)*(1+_15・盲ろう)),0)*(1+_15・区３)),0)</f>
        <v>264</v>
      </c>
      <c r="AA134" s="48"/>
    </row>
    <row r="135" spans="1:27" ht="16.5" customHeight="1" x14ac:dyDescent="0.15">
      <c r="A135" s="41">
        <v>15</v>
      </c>
      <c r="B135" s="41" t="s">
        <v>3353</v>
      </c>
      <c r="C135" s="127" t="s">
        <v>28323</v>
      </c>
      <c r="D135" s="523"/>
      <c r="F135" s="523"/>
      <c r="G135" s="72"/>
      <c r="I135" s="57"/>
      <c r="J135" s="35"/>
      <c r="M135" s="163"/>
      <c r="N135" s="45"/>
      <c r="O135" s="46"/>
      <c r="P135" s="512"/>
      <c r="Q135" s="57"/>
      <c r="R135" s="53"/>
      <c r="S135" s="49"/>
      <c r="T135" s="50"/>
      <c r="U135" s="115"/>
      <c r="V135" s="114" t="s">
        <v>17580</v>
      </c>
      <c r="W135" s="49"/>
      <c r="X135" s="50"/>
      <c r="Y135" s="115"/>
      <c r="Z135" s="208">
        <f>+ROUND((ROUND((ROUND((_15_同援日１．５＿１．０*_15・通訳),0)*(1+_15・B深夜)),0)*(1+_15・区４)),0)</f>
        <v>246</v>
      </c>
      <c r="AA135" s="48"/>
    </row>
    <row r="136" spans="1:27" ht="16.5" customHeight="1" x14ac:dyDescent="0.15">
      <c r="A136" s="41">
        <v>15</v>
      </c>
      <c r="B136" s="41" t="s">
        <v>3355</v>
      </c>
      <c r="C136" s="127" t="s">
        <v>28324</v>
      </c>
      <c r="D136" s="523"/>
      <c r="F136" s="523"/>
      <c r="G136" s="72"/>
      <c r="I136" s="57"/>
      <c r="J136" s="35"/>
      <c r="M136" s="299" t="s">
        <v>17556</v>
      </c>
      <c r="N136" s="45" t="s">
        <v>398</v>
      </c>
      <c r="O136" s="46">
        <v>1</v>
      </c>
      <c r="P136" s="512"/>
      <c r="Q136" s="57"/>
      <c r="R136" s="43"/>
      <c r="S136" s="37"/>
      <c r="T136" s="38"/>
      <c r="U136" s="79"/>
      <c r="V136" s="92" t="s">
        <v>17572</v>
      </c>
      <c r="Y136" s="57"/>
      <c r="Z136" s="208">
        <f>+ROUND((ROUND((ROUND((ROUND((_15_同援日１．５＿１．０*_15・通訳),0)*_15・２人),0)*(1+_15・B深夜)),0)*(1+_15・区４)),0)</f>
        <v>246</v>
      </c>
      <c r="AA136" s="48"/>
    </row>
    <row r="137" spans="1:27" ht="16.5" customHeight="1" x14ac:dyDescent="0.15">
      <c r="A137" s="41">
        <v>15</v>
      </c>
      <c r="B137" s="41" t="s">
        <v>28325</v>
      </c>
      <c r="C137" s="127" t="s">
        <v>28326</v>
      </c>
      <c r="D137" s="523"/>
      <c r="F137" s="523"/>
      <c r="G137" s="72"/>
      <c r="I137" s="57"/>
      <c r="J137" s="35"/>
      <c r="M137" s="163"/>
      <c r="N137" s="45"/>
      <c r="O137" s="46"/>
      <c r="P137" s="512"/>
      <c r="Q137" s="57"/>
      <c r="R137" s="114" t="s">
        <v>17562</v>
      </c>
      <c r="S137" s="49"/>
      <c r="T137" s="50"/>
      <c r="U137" s="115"/>
      <c r="V137" s="35"/>
      <c r="W137" s="12" t="s">
        <v>398</v>
      </c>
      <c r="X137" s="13">
        <v>0.4</v>
      </c>
      <c r="Y137" s="57" t="s">
        <v>3575</v>
      </c>
      <c r="Z137" s="208">
        <f>+ROUND((ROUND((ROUND((ROUND((_15_同援日１．５＿１．０*_15・通訳),0)*(1+_15・B深夜)),0)*(1+_15・盲ろう)),0)*(1+_15・区４)),0)</f>
        <v>308</v>
      </c>
      <c r="AA137" s="48"/>
    </row>
    <row r="138" spans="1:27" ht="16.5" customHeight="1" x14ac:dyDescent="0.15">
      <c r="A138" s="41">
        <v>15</v>
      </c>
      <c r="B138" s="41" t="s">
        <v>28327</v>
      </c>
      <c r="C138" s="127" t="s">
        <v>28328</v>
      </c>
      <c r="D138" s="523"/>
      <c r="F138" s="523"/>
      <c r="G138" s="122"/>
      <c r="H138" s="37"/>
      <c r="I138" s="79"/>
      <c r="J138" s="35"/>
      <c r="M138" s="299" t="s">
        <v>17556</v>
      </c>
      <c r="N138" s="45" t="s">
        <v>398</v>
      </c>
      <c r="O138" s="46">
        <v>1</v>
      </c>
      <c r="P138" s="512"/>
      <c r="Q138" s="57"/>
      <c r="R138" s="269" t="s">
        <v>17564</v>
      </c>
      <c r="S138" s="37" t="s">
        <v>398</v>
      </c>
      <c r="T138" s="38">
        <v>0.25</v>
      </c>
      <c r="U138" s="79" t="s">
        <v>3575</v>
      </c>
      <c r="V138" s="43"/>
      <c r="W138" s="37"/>
      <c r="X138" s="38"/>
      <c r="Y138" s="79"/>
      <c r="Z138" s="208">
        <f>+ROUND((ROUND((ROUND((ROUND((ROUND((_15_同援日１．５＿１．０*_15・通訳),0)*_15・２人),0)*(1+_15・B深夜)),0)*(1+_15・盲ろう)),0)*(1+_15・区４)),0)</f>
        <v>308</v>
      </c>
      <c r="AA138" s="48"/>
    </row>
    <row r="139" spans="1:27" ht="16.5" customHeight="1" x14ac:dyDescent="0.15">
      <c r="A139" s="41">
        <v>15</v>
      </c>
      <c r="B139" s="41" t="s">
        <v>28329</v>
      </c>
      <c r="C139" s="127" t="s">
        <v>28330</v>
      </c>
      <c r="D139" s="523"/>
      <c r="F139" s="523"/>
      <c r="G139" s="114" t="s">
        <v>19995</v>
      </c>
      <c r="H139" s="49"/>
      <c r="I139" s="115"/>
      <c r="J139" s="35"/>
      <c r="M139" s="163"/>
      <c r="N139" s="45"/>
      <c r="O139" s="46"/>
      <c r="P139" s="512"/>
      <c r="Q139" s="57"/>
      <c r="R139" s="53"/>
      <c r="S139" s="49"/>
      <c r="T139" s="50"/>
      <c r="U139" s="115"/>
      <c r="V139" s="53"/>
      <c r="W139" s="49"/>
      <c r="X139" s="50"/>
      <c r="Y139" s="115"/>
      <c r="Z139" s="208">
        <f>+ROUND((ROUND((_15_同援日１．５＿１．５*_15・通訳),0)*(1+_15・B深夜)),0)</f>
        <v>264</v>
      </c>
      <c r="AA139" s="48"/>
    </row>
    <row r="140" spans="1:27" ht="16.5" customHeight="1" x14ac:dyDescent="0.15">
      <c r="A140" s="41">
        <v>15</v>
      </c>
      <c r="B140" s="41" t="s">
        <v>28331</v>
      </c>
      <c r="C140" s="127" t="s">
        <v>28332</v>
      </c>
      <c r="D140" s="523"/>
      <c r="F140" s="523"/>
      <c r="G140" s="72" t="s">
        <v>17616</v>
      </c>
      <c r="I140" s="57"/>
      <c r="J140" s="35"/>
      <c r="M140" s="299" t="s">
        <v>17556</v>
      </c>
      <c r="N140" s="45" t="s">
        <v>398</v>
      </c>
      <c r="O140" s="46">
        <v>1</v>
      </c>
      <c r="P140" s="512"/>
      <c r="Q140" s="57"/>
      <c r="R140" s="43"/>
      <c r="S140" s="37"/>
      <c r="T140" s="38"/>
      <c r="U140" s="79"/>
      <c r="V140" s="35"/>
      <c r="Y140" s="57"/>
      <c r="Z140" s="208">
        <f>+ROUND((ROUND((ROUND((_15_同援日１．５＿１．５*_15・通訳),0)*_15・２人),0)*(1+_15・B深夜)),0)</f>
        <v>264</v>
      </c>
      <c r="AA140" s="48"/>
    </row>
    <row r="141" spans="1:27" ht="16.5" customHeight="1" x14ac:dyDescent="0.15">
      <c r="A141" s="41">
        <v>15</v>
      </c>
      <c r="B141" s="41" t="s">
        <v>28333</v>
      </c>
      <c r="C141" s="127" t="s">
        <v>28334</v>
      </c>
      <c r="D141" s="523"/>
      <c r="F141" s="523"/>
      <c r="G141" s="72" t="s">
        <v>18183</v>
      </c>
      <c r="I141" s="57"/>
      <c r="J141" s="35"/>
      <c r="M141" s="163"/>
      <c r="N141" s="45"/>
      <c r="O141" s="46"/>
      <c r="P141" s="512"/>
      <c r="Q141" s="57"/>
      <c r="R141" s="114" t="s">
        <v>17562</v>
      </c>
      <c r="S141" s="49"/>
      <c r="T141" s="50"/>
      <c r="U141" s="115"/>
      <c r="V141" s="35"/>
      <c r="Y141" s="57"/>
      <c r="Z141" s="208">
        <f>+ROUND((ROUND((ROUND((_15_同援日１．５＿１．５*_15・通訳),0)*(1+_15・B深夜)),0)*(1+_15・盲ろう)),0)</f>
        <v>330</v>
      </c>
      <c r="AA141" s="48"/>
    </row>
    <row r="142" spans="1:27" ht="16.5" customHeight="1" x14ac:dyDescent="0.15">
      <c r="A142" s="41">
        <v>15</v>
      </c>
      <c r="B142" s="41" t="s">
        <v>28335</v>
      </c>
      <c r="C142" s="127" t="s">
        <v>28336</v>
      </c>
      <c r="D142" s="523"/>
      <c r="F142" s="523"/>
      <c r="G142" s="72"/>
      <c r="H142" s="168">
        <f>_15_同援日１．５＿１．５</f>
        <v>195</v>
      </c>
      <c r="I142" s="57" t="s">
        <v>392</v>
      </c>
      <c r="J142" s="35"/>
      <c r="M142" s="299" t="s">
        <v>17556</v>
      </c>
      <c r="N142" s="45" t="s">
        <v>398</v>
      </c>
      <c r="O142" s="46">
        <v>1</v>
      </c>
      <c r="P142" s="512"/>
      <c r="Q142" s="57"/>
      <c r="R142" s="269" t="s">
        <v>17564</v>
      </c>
      <c r="S142" s="37" t="s">
        <v>398</v>
      </c>
      <c r="T142" s="38">
        <v>0.25</v>
      </c>
      <c r="U142" s="79" t="s">
        <v>3575</v>
      </c>
      <c r="V142" s="43"/>
      <c r="W142" s="37"/>
      <c r="X142" s="38"/>
      <c r="Y142" s="79"/>
      <c r="Z142" s="208">
        <f>+ROUND((ROUND((ROUND((ROUND((_15_同援日１．５＿１．５*_15・通訳),0)*_15・２人),0)*(1+_15・B深夜)),0)*(1+_15・盲ろう)),0)</f>
        <v>330</v>
      </c>
      <c r="AA142" s="48"/>
    </row>
    <row r="143" spans="1:27" ht="16.5" customHeight="1" x14ac:dyDescent="0.15">
      <c r="A143" s="41">
        <v>15</v>
      </c>
      <c r="B143" s="41" t="s">
        <v>28337</v>
      </c>
      <c r="C143" s="127" t="s">
        <v>28338</v>
      </c>
      <c r="D143" s="523"/>
      <c r="F143" s="523"/>
      <c r="G143" s="72"/>
      <c r="I143" s="57"/>
      <c r="J143" s="35"/>
      <c r="M143" s="163"/>
      <c r="N143" s="45"/>
      <c r="O143" s="46"/>
      <c r="P143" s="512"/>
      <c r="Q143" s="57"/>
      <c r="R143" s="53"/>
      <c r="S143" s="49"/>
      <c r="T143" s="50"/>
      <c r="U143" s="115"/>
      <c r="V143" s="114" t="s">
        <v>17570</v>
      </c>
      <c r="W143" s="49"/>
      <c r="X143" s="50"/>
      <c r="Y143" s="115"/>
      <c r="Z143" s="208">
        <f>+ROUND((ROUND((ROUND((_15_同援日１．５＿１．５*_15・通訳),0)*(1+_15・B深夜)),0)*(1+_15・区３)),0)</f>
        <v>317</v>
      </c>
      <c r="AA143" s="48"/>
    </row>
    <row r="144" spans="1:27" ht="16.5" customHeight="1" x14ac:dyDescent="0.15">
      <c r="A144" s="41">
        <v>15</v>
      </c>
      <c r="B144" s="41" t="s">
        <v>28339</v>
      </c>
      <c r="C144" s="127" t="s">
        <v>28340</v>
      </c>
      <c r="D144" s="523"/>
      <c r="F144" s="523"/>
      <c r="G144" s="72"/>
      <c r="I144" s="57"/>
      <c r="J144" s="35"/>
      <c r="M144" s="299" t="s">
        <v>17556</v>
      </c>
      <c r="N144" s="45" t="s">
        <v>398</v>
      </c>
      <c r="O144" s="46">
        <v>1</v>
      </c>
      <c r="P144" s="512"/>
      <c r="Q144" s="57"/>
      <c r="R144" s="43"/>
      <c r="S144" s="37"/>
      <c r="T144" s="38"/>
      <c r="U144" s="79"/>
      <c r="V144" s="92" t="s">
        <v>17572</v>
      </c>
      <c r="Y144" s="57"/>
      <c r="Z144" s="208">
        <f>+ROUND((ROUND((ROUND((ROUND((_15_同援日１．５＿１．５*_15・通訳),0)*_15・２人),0)*(1+_15・B深夜)),0)*(1+_15・区３)),0)</f>
        <v>317</v>
      </c>
      <c r="AA144" s="48"/>
    </row>
    <row r="145" spans="1:27" ht="16.5" customHeight="1" x14ac:dyDescent="0.15">
      <c r="A145" s="41">
        <v>15</v>
      </c>
      <c r="B145" s="41" t="s">
        <v>3360</v>
      </c>
      <c r="C145" s="127" t="s">
        <v>28341</v>
      </c>
      <c r="D145" s="523"/>
      <c r="F145" s="523"/>
      <c r="G145" s="72"/>
      <c r="I145" s="57"/>
      <c r="J145" s="35"/>
      <c r="M145" s="163"/>
      <c r="N145" s="45"/>
      <c r="O145" s="46"/>
      <c r="P145" s="512"/>
      <c r="Q145" s="57"/>
      <c r="R145" s="114" t="s">
        <v>17562</v>
      </c>
      <c r="S145" s="49"/>
      <c r="T145" s="50"/>
      <c r="U145" s="115"/>
      <c r="V145" s="35"/>
      <c r="W145" s="12" t="s">
        <v>398</v>
      </c>
      <c r="X145" s="13">
        <v>0.2</v>
      </c>
      <c r="Y145" s="57" t="s">
        <v>3575</v>
      </c>
      <c r="Z145" s="208">
        <f>+ROUND((ROUND((ROUND((ROUND((_15_同援日１．５＿１．５*_15・通訳),0)*(1+_15・B深夜)),0)*(1+_15・盲ろう)),0)*(1+_15・区３)),0)</f>
        <v>396</v>
      </c>
      <c r="AA145" s="48"/>
    </row>
    <row r="146" spans="1:27" ht="16.5" customHeight="1" x14ac:dyDescent="0.15">
      <c r="A146" s="41">
        <v>15</v>
      </c>
      <c r="B146" s="41" t="s">
        <v>3362</v>
      </c>
      <c r="C146" s="127" t="s">
        <v>28342</v>
      </c>
      <c r="D146" s="523"/>
      <c r="F146" s="523"/>
      <c r="G146" s="72"/>
      <c r="I146" s="57"/>
      <c r="J146" s="35"/>
      <c r="M146" s="299" t="s">
        <v>17556</v>
      </c>
      <c r="N146" s="45" t="s">
        <v>398</v>
      </c>
      <c r="O146" s="46">
        <v>1</v>
      </c>
      <c r="P146" s="512"/>
      <c r="Q146" s="57"/>
      <c r="R146" s="269" t="s">
        <v>17564</v>
      </c>
      <c r="S146" s="37" t="s">
        <v>398</v>
      </c>
      <c r="T146" s="38">
        <v>0.25</v>
      </c>
      <c r="U146" s="79" t="s">
        <v>3575</v>
      </c>
      <c r="V146" s="43"/>
      <c r="W146" s="37"/>
      <c r="X146" s="38"/>
      <c r="Y146" s="79"/>
      <c r="Z146" s="208">
        <f>+ROUND((ROUND((ROUND((ROUND((ROUND((_15_同援日１．５＿１．５*_15・通訳),0)*_15・２人),0)*(1+_15・B深夜)),0)*(1+_15・盲ろう)),0)*(1+_15・区３)),0)</f>
        <v>396</v>
      </c>
      <c r="AA146" s="48"/>
    </row>
    <row r="147" spans="1:27" ht="16.5" customHeight="1" x14ac:dyDescent="0.15">
      <c r="A147" s="41">
        <v>15</v>
      </c>
      <c r="B147" s="41" t="s">
        <v>28343</v>
      </c>
      <c r="C147" s="127" t="s">
        <v>28344</v>
      </c>
      <c r="D147" s="523"/>
      <c r="F147" s="523"/>
      <c r="G147" s="72"/>
      <c r="I147" s="57"/>
      <c r="J147" s="35"/>
      <c r="M147" s="163"/>
      <c r="N147" s="45"/>
      <c r="O147" s="46"/>
      <c r="P147" s="512"/>
      <c r="Q147" s="57"/>
      <c r="R147" s="53"/>
      <c r="S147" s="49"/>
      <c r="T147" s="50"/>
      <c r="U147" s="115"/>
      <c r="V147" s="114" t="s">
        <v>17580</v>
      </c>
      <c r="W147" s="49"/>
      <c r="X147" s="50"/>
      <c r="Y147" s="115"/>
      <c r="Z147" s="208">
        <f>+ROUND((ROUND((ROUND((_15_同援日１．５＿１．５*_15・通訳),0)*(1+_15・B深夜)),0)*(1+_15・区４)),0)</f>
        <v>370</v>
      </c>
      <c r="AA147" s="48"/>
    </row>
    <row r="148" spans="1:27" ht="16.5" customHeight="1" x14ac:dyDescent="0.15">
      <c r="A148" s="41">
        <v>15</v>
      </c>
      <c r="B148" s="41" t="s">
        <v>28345</v>
      </c>
      <c r="C148" s="127" t="s">
        <v>28346</v>
      </c>
      <c r="D148" s="523"/>
      <c r="F148" s="523"/>
      <c r="G148" s="72"/>
      <c r="I148" s="57"/>
      <c r="J148" s="35"/>
      <c r="M148" s="299" t="s">
        <v>17556</v>
      </c>
      <c r="N148" s="45" t="s">
        <v>398</v>
      </c>
      <c r="O148" s="46">
        <v>1</v>
      </c>
      <c r="P148" s="512"/>
      <c r="Q148" s="57"/>
      <c r="R148" s="43"/>
      <c r="S148" s="37"/>
      <c r="T148" s="38"/>
      <c r="U148" s="79"/>
      <c r="V148" s="92" t="s">
        <v>17572</v>
      </c>
      <c r="Y148" s="57"/>
      <c r="Z148" s="208">
        <f>+ROUND((ROUND((ROUND((ROUND((_15_同援日１．５＿１．５*_15・通訳),0)*_15・２人),0)*(1+_15・B深夜)),0)*(1+_15・区４)),0)</f>
        <v>370</v>
      </c>
      <c r="AA148" s="48"/>
    </row>
    <row r="149" spans="1:27" ht="16.5" customHeight="1" x14ac:dyDescent="0.15">
      <c r="A149" s="41">
        <v>15</v>
      </c>
      <c r="B149" s="41" t="s">
        <v>28347</v>
      </c>
      <c r="C149" s="127" t="s">
        <v>28348</v>
      </c>
      <c r="D149" s="523"/>
      <c r="F149" s="523"/>
      <c r="G149" s="72"/>
      <c r="I149" s="57"/>
      <c r="J149" s="35"/>
      <c r="M149" s="163"/>
      <c r="N149" s="45"/>
      <c r="O149" s="46"/>
      <c r="P149" s="512"/>
      <c r="Q149" s="57"/>
      <c r="R149" s="114" t="s">
        <v>17562</v>
      </c>
      <c r="S149" s="49"/>
      <c r="T149" s="50"/>
      <c r="U149" s="115"/>
      <c r="V149" s="35"/>
      <c r="W149" s="12" t="s">
        <v>398</v>
      </c>
      <c r="X149" s="13">
        <v>0.4</v>
      </c>
      <c r="Y149" s="57" t="s">
        <v>3575</v>
      </c>
      <c r="Z149" s="208">
        <f>+ROUND((ROUND((ROUND((ROUND((_15_同援日１．５＿１．５*_15・通訳),0)*(1+_15・B深夜)),0)*(1+_15・盲ろう)),0)*(1+_15・区４)),0)</f>
        <v>462</v>
      </c>
      <c r="AA149" s="48"/>
    </row>
    <row r="150" spans="1:27" ht="16.5" customHeight="1" x14ac:dyDescent="0.15">
      <c r="A150" s="41">
        <v>15</v>
      </c>
      <c r="B150" s="41" t="s">
        <v>28349</v>
      </c>
      <c r="C150" s="127" t="s">
        <v>28350</v>
      </c>
      <c r="D150" s="523"/>
      <c r="E150" s="190"/>
      <c r="F150" s="523"/>
      <c r="G150" s="122"/>
      <c r="H150" s="37"/>
      <c r="I150" s="79"/>
      <c r="J150" s="35"/>
      <c r="M150" s="299" t="s">
        <v>17556</v>
      </c>
      <c r="N150" s="45" t="s">
        <v>398</v>
      </c>
      <c r="O150" s="46">
        <v>1</v>
      </c>
      <c r="P150" s="512"/>
      <c r="Q150" s="57"/>
      <c r="R150" s="269" t="s">
        <v>17564</v>
      </c>
      <c r="S150" s="37" t="s">
        <v>398</v>
      </c>
      <c r="T150" s="38">
        <v>0.25</v>
      </c>
      <c r="U150" s="79" t="s">
        <v>3575</v>
      </c>
      <c r="V150" s="43"/>
      <c r="W150" s="37"/>
      <c r="X150" s="38"/>
      <c r="Y150" s="79"/>
      <c r="Z150" s="208">
        <f>+ROUND((ROUND((ROUND((ROUND((ROUND((_15_同援日１．５＿１．５*_15・通訳),0)*_15・２人),0)*(1+_15・B深夜)),0)*(1+_15・盲ろう)),0)*(1+_15・区４)),0)</f>
        <v>462</v>
      </c>
      <c r="AA150" s="48"/>
    </row>
    <row r="151" spans="1:27" ht="16.5" customHeight="1" x14ac:dyDescent="0.15">
      <c r="A151" s="41">
        <v>15</v>
      </c>
      <c r="B151" s="41" t="s">
        <v>28351</v>
      </c>
      <c r="C151" s="127" t="s">
        <v>28352</v>
      </c>
      <c r="D151" s="523"/>
      <c r="E151" s="253" t="s">
        <v>18563</v>
      </c>
      <c r="F151" s="523"/>
      <c r="G151" s="114" t="s">
        <v>19945</v>
      </c>
      <c r="H151" s="49"/>
      <c r="I151" s="115"/>
      <c r="J151" s="35"/>
      <c r="M151" s="163"/>
      <c r="N151" s="45"/>
      <c r="O151" s="46"/>
      <c r="P151" s="512"/>
      <c r="Q151" s="57"/>
      <c r="R151" s="53"/>
      <c r="S151" s="49"/>
      <c r="T151" s="50"/>
      <c r="U151" s="115"/>
      <c r="V151" s="53"/>
      <c r="W151" s="49"/>
      <c r="X151" s="50"/>
      <c r="Y151" s="115"/>
      <c r="Z151" s="208">
        <f>+ROUND((ROUND((_15_同援日２．０＿０．５*_15・通訳),0)*(1+_15・B深夜)),0)</f>
        <v>89</v>
      </c>
      <c r="AA151" s="48"/>
    </row>
    <row r="152" spans="1:27" ht="16.5" customHeight="1" x14ac:dyDescent="0.15">
      <c r="A152" s="41">
        <v>15</v>
      </c>
      <c r="B152" s="41" t="s">
        <v>28353</v>
      </c>
      <c r="C152" s="127" t="s">
        <v>28354</v>
      </c>
      <c r="D152" s="523"/>
      <c r="E152" s="10" t="s">
        <v>17643</v>
      </c>
      <c r="F152" s="523"/>
      <c r="G152" s="72" t="s">
        <v>18259</v>
      </c>
      <c r="I152" s="57"/>
      <c r="J152" s="35"/>
      <c r="M152" s="299" t="s">
        <v>17556</v>
      </c>
      <c r="N152" s="45" t="s">
        <v>398</v>
      </c>
      <c r="O152" s="46">
        <v>1</v>
      </c>
      <c r="P152" s="512"/>
      <c r="Q152" s="57"/>
      <c r="R152" s="43"/>
      <c r="S152" s="37"/>
      <c r="T152" s="38"/>
      <c r="U152" s="79"/>
      <c r="V152" s="35"/>
      <c r="Y152" s="57"/>
      <c r="Z152" s="208">
        <f>+ROUND((ROUND((ROUND((_15_同援日２．０＿０．５*_15・通訳),0)*_15・２人),0)*(1+_15・B深夜)),0)</f>
        <v>89</v>
      </c>
      <c r="AA152" s="48"/>
    </row>
    <row r="153" spans="1:27" ht="16.5" customHeight="1" x14ac:dyDescent="0.15">
      <c r="A153" s="41">
        <v>15</v>
      </c>
      <c r="B153" s="41" t="s">
        <v>28355</v>
      </c>
      <c r="C153" s="127" t="s">
        <v>28356</v>
      </c>
      <c r="D153" s="523"/>
      <c r="E153" s="10" t="s">
        <v>17645</v>
      </c>
      <c r="F153" s="523"/>
      <c r="G153" s="72"/>
      <c r="I153" s="57"/>
      <c r="J153" s="35"/>
      <c r="M153" s="163"/>
      <c r="N153" s="45"/>
      <c r="O153" s="46"/>
      <c r="P153" s="512"/>
      <c r="Q153" s="57"/>
      <c r="R153" s="114" t="s">
        <v>17562</v>
      </c>
      <c r="S153" s="49"/>
      <c r="T153" s="50"/>
      <c r="U153" s="115"/>
      <c r="V153" s="35"/>
      <c r="Y153" s="57"/>
      <c r="Z153" s="208">
        <f>+ROUND((ROUND((ROUND((_15_同援日２．０＿０．５*_15・通訳),0)*(1+_15・B深夜)),0)*(1+_15・盲ろう)),0)</f>
        <v>111</v>
      </c>
      <c r="AA153" s="48"/>
    </row>
    <row r="154" spans="1:27" ht="16.5" customHeight="1" x14ac:dyDescent="0.15">
      <c r="A154" s="41">
        <v>15</v>
      </c>
      <c r="B154" s="41" t="s">
        <v>28357</v>
      </c>
      <c r="C154" s="127" t="s">
        <v>28358</v>
      </c>
      <c r="D154" s="523"/>
      <c r="F154" s="523"/>
      <c r="G154" s="72"/>
      <c r="H154" s="168">
        <f>_15_同援日２．０＿０．５</f>
        <v>65</v>
      </c>
      <c r="I154" s="57" t="s">
        <v>392</v>
      </c>
      <c r="J154" s="35"/>
      <c r="M154" s="299" t="s">
        <v>17556</v>
      </c>
      <c r="N154" s="45" t="s">
        <v>398</v>
      </c>
      <c r="O154" s="46">
        <v>1</v>
      </c>
      <c r="P154" s="512"/>
      <c r="Q154" s="57"/>
      <c r="R154" s="269" t="s">
        <v>17564</v>
      </c>
      <c r="S154" s="37" t="s">
        <v>398</v>
      </c>
      <c r="T154" s="38">
        <v>0.25</v>
      </c>
      <c r="U154" s="79" t="s">
        <v>3575</v>
      </c>
      <c r="V154" s="43"/>
      <c r="W154" s="37"/>
      <c r="X154" s="38"/>
      <c r="Y154" s="79"/>
      <c r="Z154" s="208">
        <f>+ROUND((ROUND((ROUND((ROUND((_15_同援日２．０＿０．５*_15・通訳),0)*_15・２人),0)*(1+_15・B深夜)),0)*(1+_15・盲ろう)),0)</f>
        <v>111</v>
      </c>
      <c r="AA154" s="48"/>
    </row>
    <row r="155" spans="1:27" ht="16.5" customHeight="1" x14ac:dyDescent="0.15">
      <c r="A155" s="41">
        <v>15</v>
      </c>
      <c r="B155" s="41" t="s">
        <v>3367</v>
      </c>
      <c r="C155" s="127" t="s">
        <v>28359</v>
      </c>
      <c r="D155" s="523"/>
      <c r="F155" s="523"/>
      <c r="G155" s="72"/>
      <c r="I155" s="57"/>
      <c r="J155" s="35"/>
      <c r="M155" s="163"/>
      <c r="N155" s="45"/>
      <c r="O155" s="46"/>
      <c r="P155" s="512"/>
      <c r="Q155" s="57"/>
      <c r="R155" s="53"/>
      <c r="S155" s="49"/>
      <c r="T155" s="50"/>
      <c r="U155" s="115"/>
      <c r="V155" s="114" t="s">
        <v>17570</v>
      </c>
      <c r="W155" s="49"/>
      <c r="X155" s="50"/>
      <c r="Y155" s="115"/>
      <c r="Z155" s="208">
        <f>+ROUND((ROUND((ROUND((_15_同援日２．０＿０．５*_15・通訳),0)*(1+_15・B深夜)),0)*(1+_15・区３)),0)</f>
        <v>107</v>
      </c>
      <c r="AA155" s="48"/>
    </row>
    <row r="156" spans="1:27" ht="16.5" customHeight="1" x14ac:dyDescent="0.15">
      <c r="A156" s="41">
        <v>15</v>
      </c>
      <c r="B156" s="41" t="s">
        <v>3369</v>
      </c>
      <c r="C156" s="127" t="s">
        <v>28360</v>
      </c>
      <c r="D156" s="523"/>
      <c r="F156" s="523"/>
      <c r="G156" s="72"/>
      <c r="I156" s="57"/>
      <c r="J156" s="35"/>
      <c r="M156" s="299" t="s">
        <v>17556</v>
      </c>
      <c r="N156" s="45" t="s">
        <v>398</v>
      </c>
      <c r="O156" s="46">
        <v>1</v>
      </c>
      <c r="P156" s="512"/>
      <c r="Q156" s="57"/>
      <c r="R156" s="43"/>
      <c r="S156" s="37"/>
      <c r="T156" s="38"/>
      <c r="U156" s="79"/>
      <c r="V156" s="92" t="s">
        <v>17572</v>
      </c>
      <c r="Y156" s="57"/>
      <c r="Z156" s="208">
        <f>+ROUND((ROUND((ROUND((ROUND((_15_同援日２．０＿０．５*_15・通訳),0)*_15・２人),0)*(1+_15・B深夜)),0)*(1+_15・区３)),0)</f>
        <v>107</v>
      </c>
      <c r="AA156" s="48"/>
    </row>
    <row r="157" spans="1:27" ht="16.5" customHeight="1" x14ac:dyDescent="0.15">
      <c r="A157" s="41">
        <v>15</v>
      </c>
      <c r="B157" s="41" t="s">
        <v>28361</v>
      </c>
      <c r="C157" s="127" t="s">
        <v>28362</v>
      </c>
      <c r="D157" s="523"/>
      <c r="F157" s="523"/>
      <c r="G157" s="72"/>
      <c r="I157" s="57"/>
      <c r="J157" s="35"/>
      <c r="M157" s="163"/>
      <c r="N157" s="45"/>
      <c r="O157" s="46"/>
      <c r="P157" s="512"/>
      <c r="Q157" s="57"/>
      <c r="R157" s="114" t="s">
        <v>17562</v>
      </c>
      <c r="S157" s="49"/>
      <c r="T157" s="50"/>
      <c r="U157" s="115"/>
      <c r="V157" s="35"/>
      <c r="W157" s="12" t="s">
        <v>398</v>
      </c>
      <c r="X157" s="13">
        <v>0.2</v>
      </c>
      <c r="Y157" s="57" t="s">
        <v>3575</v>
      </c>
      <c r="Z157" s="208">
        <f>+ROUND((ROUND((ROUND((ROUND((_15_同援日２．０＿０．５*_15・通訳),0)*(1+_15・B深夜)),0)*(1+_15・盲ろう)),0)*(1+_15・区３)),0)</f>
        <v>133</v>
      </c>
      <c r="AA157" s="48"/>
    </row>
    <row r="158" spans="1:27" ht="16.5" customHeight="1" x14ac:dyDescent="0.15">
      <c r="A158" s="41">
        <v>15</v>
      </c>
      <c r="B158" s="41" t="s">
        <v>28363</v>
      </c>
      <c r="C158" s="127" t="s">
        <v>28364</v>
      </c>
      <c r="D158" s="523"/>
      <c r="F158" s="523"/>
      <c r="G158" s="72"/>
      <c r="I158" s="57"/>
      <c r="J158" s="35"/>
      <c r="M158" s="299" t="s">
        <v>17556</v>
      </c>
      <c r="N158" s="45" t="s">
        <v>398</v>
      </c>
      <c r="O158" s="46">
        <v>1</v>
      </c>
      <c r="P158" s="512"/>
      <c r="Q158" s="57"/>
      <c r="R158" s="269" t="s">
        <v>17564</v>
      </c>
      <c r="S158" s="37" t="s">
        <v>398</v>
      </c>
      <c r="T158" s="38">
        <v>0.25</v>
      </c>
      <c r="U158" s="79" t="s">
        <v>3575</v>
      </c>
      <c r="V158" s="43"/>
      <c r="W158" s="37"/>
      <c r="X158" s="38"/>
      <c r="Y158" s="79"/>
      <c r="Z158" s="208">
        <f>+ROUND((ROUND((ROUND((ROUND((ROUND((_15_同援日２．０＿０．５*_15・通訳),0)*_15・２人),0)*(1+_15・B深夜)),0)*(1+_15・盲ろう)),0)*(1+_15・区３)),0)</f>
        <v>133</v>
      </c>
      <c r="AA158" s="48"/>
    </row>
    <row r="159" spans="1:27" ht="16.5" customHeight="1" x14ac:dyDescent="0.15">
      <c r="A159" s="41">
        <v>15</v>
      </c>
      <c r="B159" s="41" t="s">
        <v>28365</v>
      </c>
      <c r="C159" s="127" t="s">
        <v>28366</v>
      </c>
      <c r="D159" s="523"/>
      <c r="F159" s="523"/>
      <c r="G159" s="72"/>
      <c r="I159" s="57"/>
      <c r="J159" s="35"/>
      <c r="M159" s="163"/>
      <c r="N159" s="45"/>
      <c r="O159" s="46"/>
      <c r="P159" s="512"/>
      <c r="Q159" s="57"/>
      <c r="R159" s="53"/>
      <c r="S159" s="49"/>
      <c r="T159" s="50"/>
      <c r="U159" s="115"/>
      <c r="V159" s="114" t="s">
        <v>17580</v>
      </c>
      <c r="W159" s="49"/>
      <c r="X159" s="50"/>
      <c r="Y159" s="115"/>
      <c r="Z159" s="208">
        <f>+ROUND((ROUND((ROUND((_15_同援日２．０＿０．５*_15・通訳),0)*(1+_15・B深夜)),0)*(1+_15・区４)),0)</f>
        <v>125</v>
      </c>
      <c r="AA159" s="48"/>
    </row>
    <row r="160" spans="1:27" ht="16.5" customHeight="1" x14ac:dyDescent="0.15">
      <c r="A160" s="41">
        <v>15</v>
      </c>
      <c r="B160" s="41" t="s">
        <v>28367</v>
      </c>
      <c r="C160" s="127" t="s">
        <v>28368</v>
      </c>
      <c r="D160" s="523"/>
      <c r="F160" s="523"/>
      <c r="G160" s="72"/>
      <c r="I160" s="57"/>
      <c r="J160" s="35"/>
      <c r="M160" s="299" t="s">
        <v>17556</v>
      </c>
      <c r="N160" s="45" t="s">
        <v>398</v>
      </c>
      <c r="O160" s="46">
        <v>1</v>
      </c>
      <c r="P160" s="512"/>
      <c r="Q160" s="57"/>
      <c r="R160" s="43"/>
      <c r="S160" s="37"/>
      <c r="T160" s="38"/>
      <c r="U160" s="79"/>
      <c r="V160" s="92" t="s">
        <v>17572</v>
      </c>
      <c r="Y160" s="57"/>
      <c r="Z160" s="208">
        <f>+ROUND((ROUND((ROUND((ROUND((_15_同援日２．０＿０．５*_15・通訳),0)*_15・２人),0)*(1+_15・B深夜)),0)*(1+_15・区４)),0)</f>
        <v>125</v>
      </c>
      <c r="AA160" s="48"/>
    </row>
    <row r="161" spans="1:27" ht="16.5" customHeight="1" x14ac:dyDescent="0.15">
      <c r="A161" s="41">
        <v>15</v>
      </c>
      <c r="B161" s="41" t="s">
        <v>28369</v>
      </c>
      <c r="C161" s="127" t="s">
        <v>28370</v>
      </c>
      <c r="D161" s="523"/>
      <c r="F161" s="523"/>
      <c r="G161" s="72"/>
      <c r="I161" s="57"/>
      <c r="J161" s="35"/>
      <c r="M161" s="163"/>
      <c r="N161" s="45"/>
      <c r="O161" s="46"/>
      <c r="P161" s="512"/>
      <c r="Q161" s="57"/>
      <c r="R161" s="114" t="s">
        <v>17562</v>
      </c>
      <c r="S161" s="49"/>
      <c r="T161" s="50"/>
      <c r="U161" s="115"/>
      <c r="V161" s="35"/>
      <c r="W161" s="12" t="s">
        <v>398</v>
      </c>
      <c r="X161" s="13">
        <v>0.4</v>
      </c>
      <c r="Y161" s="57" t="s">
        <v>3575</v>
      </c>
      <c r="Z161" s="208">
        <f>+ROUND((ROUND((ROUND((ROUND((_15_同援日２．０＿０．５*_15・通訳),0)*(1+_15・B深夜)),0)*(1+_15・盲ろう)),0)*(1+_15・区４)),0)</f>
        <v>155</v>
      </c>
      <c r="AA161" s="48"/>
    </row>
    <row r="162" spans="1:27" ht="16.5" customHeight="1" x14ac:dyDescent="0.15">
      <c r="A162" s="41">
        <v>15</v>
      </c>
      <c r="B162" s="41" t="s">
        <v>28371</v>
      </c>
      <c r="C162" s="127" t="s">
        <v>28372</v>
      </c>
      <c r="D162" s="523"/>
      <c r="F162" s="523"/>
      <c r="G162" s="122"/>
      <c r="H162" s="37"/>
      <c r="I162" s="79"/>
      <c r="J162" s="35"/>
      <c r="M162" s="299" t="s">
        <v>17556</v>
      </c>
      <c r="N162" s="45" t="s">
        <v>398</v>
      </c>
      <c r="O162" s="46">
        <v>1</v>
      </c>
      <c r="P162" s="512"/>
      <c r="Q162" s="57"/>
      <c r="R162" s="269" t="s">
        <v>17564</v>
      </c>
      <c r="S162" s="37" t="s">
        <v>398</v>
      </c>
      <c r="T162" s="38">
        <v>0.25</v>
      </c>
      <c r="U162" s="79" t="s">
        <v>3575</v>
      </c>
      <c r="V162" s="43"/>
      <c r="W162" s="37"/>
      <c r="X162" s="38"/>
      <c r="Y162" s="79"/>
      <c r="Z162" s="208">
        <f>+ROUND((ROUND((ROUND((ROUND((ROUND((_15_同援日２．０＿０．５*_15・通訳),0)*_15・２人),0)*(1+_15・B深夜)),0)*(1+_15・盲ろう)),0)*(1+_15・区４)),0)</f>
        <v>155</v>
      </c>
      <c r="AA162" s="48"/>
    </row>
    <row r="163" spans="1:27" ht="16.5" customHeight="1" x14ac:dyDescent="0.15">
      <c r="A163" s="41">
        <v>15</v>
      </c>
      <c r="B163" s="41" t="s">
        <v>28373</v>
      </c>
      <c r="C163" s="127" t="s">
        <v>28374</v>
      </c>
      <c r="D163" s="523"/>
      <c r="F163" s="523"/>
      <c r="G163" s="114" t="s">
        <v>19970</v>
      </c>
      <c r="H163" s="49"/>
      <c r="I163" s="115"/>
      <c r="J163" s="35"/>
      <c r="M163" s="163"/>
      <c r="N163" s="45"/>
      <c r="O163" s="46"/>
      <c r="P163" s="512"/>
      <c r="Q163" s="57"/>
      <c r="R163" s="53"/>
      <c r="S163" s="49"/>
      <c r="T163" s="50"/>
      <c r="U163" s="115"/>
      <c r="V163" s="53"/>
      <c r="W163" s="49"/>
      <c r="X163" s="50"/>
      <c r="Y163" s="115"/>
      <c r="Z163" s="208">
        <f>+ROUND((ROUND((_15_同援日２．０＿１．０*_15・通訳),0)*(1+_15・B深夜)),0)</f>
        <v>176</v>
      </c>
      <c r="AA163" s="48"/>
    </row>
    <row r="164" spans="1:27" ht="16.5" customHeight="1" x14ac:dyDescent="0.15">
      <c r="A164" s="41">
        <v>15</v>
      </c>
      <c r="B164" s="41" t="s">
        <v>28375</v>
      </c>
      <c r="C164" s="127" t="s">
        <v>28376</v>
      </c>
      <c r="D164" s="523"/>
      <c r="F164" s="523"/>
      <c r="G164" s="72" t="s">
        <v>17589</v>
      </c>
      <c r="I164" s="57"/>
      <c r="J164" s="35"/>
      <c r="M164" s="299" t="s">
        <v>17556</v>
      </c>
      <c r="N164" s="45" t="s">
        <v>398</v>
      </c>
      <c r="O164" s="46">
        <v>1</v>
      </c>
      <c r="P164" s="512"/>
      <c r="Q164" s="57"/>
      <c r="R164" s="43"/>
      <c r="S164" s="37"/>
      <c r="T164" s="38"/>
      <c r="U164" s="79"/>
      <c r="V164" s="35"/>
      <c r="Y164" s="57"/>
      <c r="Z164" s="208">
        <f>+ROUND((ROUND((ROUND((_15_同援日２．０＿１．０*_15・通訳),0)*_15・２人),0)*(1+_15・B深夜)),0)</f>
        <v>176</v>
      </c>
      <c r="AA164" s="48"/>
    </row>
    <row r="165" spans="1:27" ht="16.5" customHeight="1" x14ac:dyDescent="0.15">
      <c r="A165" s="41">
        <v>15</v>
      </c>
      <c r="B165" s="41" t="s">
        <v>3374</v>
      </c>
      <c r="C165" s="127" t="s">
        <v>28377</v>
      </c>
      <c r="D165" s="523"/>
      <c r="F165" s="523"/>
      <c r="G165" s="72" t="s">
        <v>17591</v>
      </c>
      <c r="I165" s="57"/>
      <c r="J165" s="35"/>
      <c r="M165" s="163"/>
      <c r="N165" s="45"/>
      <c r="O165" s="46"/>
      <c r="P165" s="512"/>
      <c r="Q165" s="57"/>
      <c r="R165" s="114" t="s">
        <v>17562</v>
      </c>
      <c r="S165" s="49"/>
      <c r="T165" s="50"/>
      <c r="U165" s="115"/>
      <c r="V165" s="35"/>
      <c r="Y165" s="57"/>
      <c r="Z165" s="208">
        <f>+ROUND((ROUND((ROUND((_15_同援日２．０＿１．０*_15・通訳),0)*(1+_15・B深夜)),0)*(1+_15・盲ろう)),0)</f>
        <v>220</v>
      </c>
      <c r="AA165" s="48"/>
    </row>
    <row r="166" spans="1:27" ht="16.5" customHeight="1" x14ac:dyDescent="0.15">
      <c r="A166" s="41">
        <v>15</v>
      </c>
      <c r="B166" s="41" t="s">
        <v>3376</v>
      </c>
      <c r="C166" s="127" t="s">
        <v>28378</v>
      </c>
      <c r="D166" s="523"/>
      <c r="F166" s="523"/>
      <c r="G166" s="72"/>
      <c r="H166" s="168">
        <f>_15_同援日２．０＿１．０</f>
        <v>130</v>
      </c>
      <c r="I166" s="57" t="s">
        <v>392</v>
      </c>
      <c r="J166" s="35"/>
      <c r="M166" s="299" t="s">
        <v>17556</v>
      </c>
      <c r="N166" s="45" t="s">
        <v>398</v>
      </c>
      <c r="O166" s="46">
        <v>1</v>
      </c>
      <c r="P166" s="512"/>
      <c r="Q166" s="57"/>
      <c r="R166" s="269" t="s">
        <v>17564</v>
      </c>
      <c r="S166" s="37" t="s">
        <v>398</v>
      </c>
      <c r="T166" s="38">
        <v>0.25</v>
      </c>
      <c r="U166" s="79" t="s">
        <v>3575</v>
      </c>
      <c r="V166" s="43"/>
      <c r="W166" s="37"/>
      <c r="X166" s="38"/>
      <c r="Y166" s="79"/>
      <c r="Z166" s="208">
        <f>+ROUND((ROUND((ROUND((ROUND((_15_同援日２．０＿１．０*_15・通訳),0)*_15・２人),0)*(1+_15・B深夜)),0)*(1+_15・盲ろう)),0)</f>
        <v>220</v>
      </c>
      <c r="AA166" s="48"/>
    </row>
    <row r="167" spans="1:27" ht="16.5" customHeight="1" x14ac:dyDescent="0.15">
      <c r="A167" s="41">
        <v>15</v>
      </c>
      <c r="B167" s="41" t="s">
        <v>28379</v>
      </c>
      <c r="C167" s="127" t="s">
        <v>28380</v>
      </c>
      <c r="D167" s="523"/>
      <c r="F167" s="523"/>
      <c r="G167" s="72"/>
      <c r="I167" s="57"/>
      <c r="J167" s="35"/>
      <c r="M167" s="163"/>
      <c r="N167" s="45"/>
      <c r="O167" s="46"/>
      <c r="P167" s="512"/>
      <c r="Q167" s="57"/>
      <c r="R167" s="53"/>
      <c r="S167" s="49"/>
      <c r="T167" s="50"/>
      <c r="U167" s="115"/>
      <c r="V167" s="114" t="s">
        <v>17570</v>
      </c>
      <c r="W167" s="49"/>
      <c r="X167" s="50"/>
      <c r="Y167" s="115"/>
      <c r="Z167" s="208">
        <f>+ROUND((ROUND((ROUND((_15_同援日２．０＿１．０*_15・通訳),0)*(1+_15・B深夜)),0)*(1+_15・区３)),0)</f>
        <v>211</v>
      </c>
      <c r="AA167" s="48"/>
    </row>
    <row r="168" spans="1:27" ht="16.5" customHeight="1" x14ac:dyDescent="0.15">
      <c r="A168" s="41">
        <v>15</v>
      </c>
      <c r="B168" s="41" t="s">
        <v>28381</v>
      </c>
      <c r="C168" s="127" t="s">
        <v>28382</v>
      </c>
      <c r="D168" s="523"/>
      <c r="F168" s="523"/>
      <c r="G168" s="72"/>
      <c r="I168" s="57"/>
      <c r="J168" s="35"/>
      <c r="M168" s="299" t="s">
        <v>17556</v>
      </c>
      <c r="N168" s="45" t="s">
        <v>398</v>
      </c>
      <c r="O168" s="46">
        <v>1</v>
      </c>
      <c r="P168" s="512"/>
      <c r="Q168" s="57"/>
      <c r="R168" s="43"/>
      <c r="S168" s="37"/>
      <c r="T168" s="38"/>
      <c r="U168" s="79"/>
      <c r="V168" s="92" t="s">
        <v>17572</v>
      </c>
      <c r="Y168" s="57"/>
      <c r="Z168" s="208">
        <f>+ROUND((ROUND((ROUND((ROUND((_15_同援日２．０＿１．０*_15・通訳),0)*_15・２人),0)*(1+_15・B深夜)),0)*(1+_15・区３)),0)</f>
        <v>211</v>
      </c>
      <c r="AA168" s="48"/>
    </row>
    <row r="169" spans="1:27" ht="16.5" customHeight="1" x14ac:dyDescent="0.15">
      <c r="A169" s="41">
        <v>15</v>
      </c>
      <c r="B169" s="41" t="s">
        <v>28383</v>
      </c>
      <c r="C169" s="127" t="s">
        <v>28384</v>
      </c>
      <c r="D169" s="523"/>
      <c r="F169" s="523"/>
      <c r="G169" s="72"/>
      <c r="I169" s="57"/>
      <c r="J169" s="35"/>
      <c r="M169" s="163"/>
      <c r="N169" s="45"/>
      <c r="O169" s="46"/>
      <c r="P169" s="512"/>
      <c r="Q169" s="57"/>
      <c r="R169" s="114" t="s">
        <v>17562</v>
      </c>
      <c r="S169" s="49"/>
      <c r="T169" s="50"/>
      <c r="U169" s="115"/>
      <c r="V169" s="35"/>
      <c r="W169" s="12" t="s">
        <v>398</v>
      </c>
      <c r="X169" s="13">
        <v>0.2</v>
      </c>
      <c r="Y169" s="57" t="s">
        <v>3575</v>
      </c>
      <c r="Z169" s="208">
        <f>+ROUND((ROUND((ROUND((ROUND((_15_同援日２．０＿１．０*_15・通訳),0)*(1+_15・B深夜)),0)*(1+_15・盲ろう)),0)*(1+_15・区３)),0)</f>
        <v>264</v>
      </c>
      <c r="AA169" s="48"/>
    </row>
    <row r="170" spans="1:27" ht="16.5" customHeight="1" x14ac:dyDescent="0.15">
      <c r="A170" s="41">
        <v>15</v>
      </c>
      <c r="B170" s="41" t="s">
        <v>28385</v>
      </c>
      <c r="C170" s="127" t="s">
        <v>28386</v>
      </c>
      <c r="D170" s="523"/>
      <c r="F170" s="523"/>
      <c r="G170" s="72"/>
      <c r="I170" s="57"/>
      <c r="J170" s="35"/>
      <c r="M170" s="299" t="s">
        <v>17556</v>
      </c>
      <c r="N170" s="45" t="s">
        <v>398</v>
      </c>
      <c r="O170" s="46">
        <v>1</v>
      </c>
      <c r="P170" s="512"/>
      <c r="Q170" s="57"/>
      <c r="R170" s="269" t="s">
        <v>17564</v>
      </c>
      <c r="S170" s="37" t="s">
        <v>398</v>
      </c>
      <c r="T170" s="38">
        <v>0.25</v>
      </c>
      <c r="U170" s="79" t="s">
        <v>3575</v>
      </c>
      <c r="V170" s="43"/>
      <c r="W170" s="37"/>
      <c r="X170" s="38"/>
      <c r="Y170" s="79"/>
      <c r="Z170" s="208">
        <f>+ROUND((ROUND((ROUND((ROUND((ROUND((_15_同援日２．０＿１．０*_15・通訳),0)*_15・２人),0)*(1+_15・B深夜)),0)*(1+_15・盲ろう)),0)*(1+_15・区３)),0)</f>
        <v>264</v>
      </c>
      <c r="AA170" s="48"/>
    </row>
    <row r="171" spans="1:27" ht="16.5" customHeight="1" x14ac:dyDescent="0.15">
      <c r="A171" s="41">
        <v>15</v>
      </c>
      <c r="B171" s="41" t="s">
        <v>28387</v>
      </c>
      <c r="C171" s="127" t="s">
        <v>28388</v>
      </c>
      <c r="D171" s="523"/>
      <c r="F171" s="523"/>
      <c r="G171" s="72"/>
      <c r="I171" s="57"/>
      <c r="J171" s="35"/>
      <c r="M171" s="163"/>
      <c r="N171" s="45"/>
      <c r="O171" s="46"/>
      <c r="P171" s="512"/>
      <c r="Q171" s="57"/>
      <c r="R171" s="53"/>
      <c r="S171" s="49"/>
      <c r="T171" s="50"/>
      <c r="U171" s="115"/>
      <c r="V171" s="114" t="s">
        <v>17580</v>
      </c>
      <c r="W171" s="49"/>
      <c r="X171" s="50"/>
      <c r="Y171" s="115"/>
      <c r="Z171" s="208">
        <f>+ROUND((ROUND((ROUND((_15_同援日２．０＿１．０*_15・通訳),0)*(1+_15・B深夜)),0)*(1+_15・区４)),0)</f>
        <v>246</v>
      </c>
      <c r="AA171" s="48"/>
    </row>
    <row r="172" spans="1:27" ht="16.5" customHeight="1" x14ac:dyDescent="0.15">
      <c r="A172" s="41">
        <v>15</v>
      </c>
      <c r="B172" s="41" t="s">
        <v>28389</v>
      </c>
      <c r="C172" s="127" t="s">
        <v>28390</v>
      </c>
      <c r="D172" s="523"/>
      <c r="F172" s="523"/>
      <c r="G172" s="72"/>
      <c r="I172" s="57"/>
      <c r="J172" s="35"/>
      <c r="M172" s="299" t="s">
        <v>17556</v>
      </c>
      <c r="N172" s="45" t="s">
        <v>398</v>
      </c>
      <c r="O172" s="46">
        <v>1</v>
      </c>
      <c r="P172" s="512"/>
      <c r="Q172" s="57"/>
      <c r="R172" s="43"/>
      <c r="S172" s="37"/>
      <c r="T172" s="38"/>
      <c r="U172" s="79"/>
      <c r="V172" s="92" t="s">
        <v>17572</v>
      </c>
      <c r="Y172" s="57"/>
      <c r="Z172" s="208">
        <f>+ROUND((ROUND((ROUND((ROUND((_15_同援日２．０＿１．０*_15・通訳),0)*_15・２人),0)*(1+_15・B深夜)),0)*(1+_15・区４)),0)</f>
        <v>246</v>
      </c>
      <c r="AA172" s="48"/>
    </row>
    <row r="173" spans="1:27" ht="16.5" customHeight="1" x14ac:dyDescent="0.15">
      <c r="A173" s="41">
        <v>15</v>
      </c>
      <c r="B173" s="41" t="s">
        <v>28391</v>
      </c>
      <c r="C173" s="127" t="s">
        <v>28392</v>
      </c>
      <c r="D173" s="523"/>
      <c r="F173" s="523"/>
      <c r="G173" s="72"/>
      <c r="I173" s="57"/>
      <c r="J173" s="35"/>
      <c r="M173" s="163"/>
      <c r="N173" s="45"/>
      <c r="O173" s="46"/>
      <c r="P173" s="512"/>
      <c r="Q173" s="57"/>
      <c r="R173" s="114" t="s">
        <v>17562</v>
      </c>
      <c r="S173" s="49"/>
      <c r="T173" s="50"/>
      <c r="U173" s="115"/>
      <c r="V173" s="35"/>
      <c r="W173" s="12" t="s">
        <v>398</v>
      </c>
      <c r="X173" s="13">
        <v>0.4</v>
      </c>
      <c r="Y173" s="57" t="s">
        <v>3575</v>
      </c>
      <c r="Z173" s="208">
        <f>+ROUND((ROUND((ROUND((ROUND((_15_同援日２．０＿１．０*_15・通訳),0)*(1+_15・B深夜)),0)*(1+_15・盲ろう)),0)*(1+_15・区４)),0)</f>
        <v>308</v>
      </c>
      <c r="AA173" s="48"/>
    </row>
    <row r="174" spans="1:27" ht="16.5" customHeight="1" x14ac:dyDescent="0.15">
      <c r="A174" s="41">
        <v>15</v>
      </c>
      <c r="B174" s="41" t="s">
        <v>28393</v>
      </c>
      <c r="C174" s="127" t="s">
        <v>28394</v>
      </c>
      <c r="D174" s="523"/>
      <c r="E174" s="190"/>
      <c r="F174" s="523"/>
      <c r="G174" s="122"/>
      <c r="H174" s="37"/>
      <c r="I174" s="79"/>
      <c r="J174" s="35"/>
      <c r="M174" s="299" t="s">
        <v>17556</v>
      </c>
      <c r="N174" s="45" t="s">
        <v>398</v>
      </c>
      <c r="O174" s="46">
        <v>1</v>
      </c>
      <c r="P174" s="512"/>
      <c r="Q174" s="57"/>
      <c r="R174" s="269" t="s">
        <v>17564</v>
      </c>
      <c r="S174" s="37" t="s">
        <v>398</v>
      </c>
      <c r="T174" s="38">
        <v>0.25</v>
      </c>
      <c r="U174" s="79" t="s">
        <v>3575</v>
      </c>
      <c r="V174" s="43"/>
      <c r="W174" s="37"/>
      <c r="X174" s="38"/>
      <c r="Y174" s="79"/>
      <c r="Z174" s="208">
        <f>+ROUND((ROUND((ROUND((ROUND((ROUND((_15_同援日２．０＿１．０*_15・通訳),0)*_15・２人),0)*(1+_15・B深夜)),0)*(1+_15・盲ろう)),0)*(1+_15・区４)),0)</f>
        <v>308</v>
      </c>
      <c r="AA174" s="48"/>
    </row>
    <row r="175" spans="1:27" ht="16.5" customHeight="1" x14ac:dyDescent="0.15">
      <c r="A175" s="41">
        <v>15</v>
      </c>
      <c r="B175" s="41" t="s">
        <v>3381</v>
      </c>
      <c r="C175" s="127" t="s">
        <v>28395</v>
      </c>
      <c r="D175" s="523"/>
      <c r="E175" s="253" t="s">
        <v>18588</v>
      </c>
      <c r="F175" s="523"/>
      <c r="G175" s="114" t="s">
        <v>19945</v>
      </c>
      <c r="H175" s="49"/>
      <c r="I175" s="115"/>
      <c r="J175" s="35"/>
      <c r="M175" s="163"/>
      <c r="N175" s="45"/>
      <c r="O175" s="46"/>
      <c r="P175" s="512"/>
      <c r="Q175" s="57"/>
      <c r="R175" s="53"/>
      <c r="S175" s="49"/>
      <c r="T175" s="50"/>
      <c r="U175" s="115"/>
      <c r="V175" s="53"/>
      <c r="W175" s="49"/>
      <c r="X175" s="50"/>
      <c r="Y175" s="115"/>
      <c r="Z175" s="208">
        <f>+ROUND((ROUND((_15_同援日２．５＿０．５*_15・通訳),0)*(1+_15・B深夜)),0)</f>
        <v>89</v>
      </c>
      <c r="AA175" s="48"/>
    </row>
    <row r="176" spans="1:27" ht="16.5" customHeight="1" x14ac:dyDescent="0.15">
      <c r="A176" s="41">
        <v>15</v>
      </c>
      <c r="B176" s="41" t="s">
        <v>3383</v>
      </c>
      <c r="C176" s="127" t="s">
        <v>28396</v>
      </c>
      <c r="D176" s="523"/>
      <c r="E176" s="10" t="s">
        <v>17670</v>
      </c>
      <c r="F176" s="523"/>
      <c r="G176" s="72" t="s">
        <v>18259</v>
      </c>
      <c r="I176" s="57"/>
      <c r="J176" s="35"/>
      <c r="M176" s="299" t="s">
        <v>17556</v>
      </c>
      <c r="N176" s="45" t="s">
        <v>398</v>
      </c>
      <c r="O176" s="46">
        <v>1</v>
      </c>
      <c r="P176" s="512"/>
      <c r="Q176" s="57"/>
      <c r="R176" s="43"/>
      <c r="S176" s="37"/>
      <c r="T176" s="38"/>
      <c r="U176" s="79"/>
      <c r="V176" s="35"/>
      <c r="Y176" s="57"/>
      <c r="Z176" s="208">
        <f>+ROUND((ROUND((ROUND((_15_同援日２．５＿０．５*_15・通訳),0)*_15・２人),0)*(1+_15・B深夜)),0)</f>
        <v>89</v>
      </c>
      <c r="AA176" s="48"/>
    </row>
    <row r="177" spans="1:27" ht="16.5" customHeight="1" x14ac:dyDescent="0.15">
      <c r="A177" s="41">
        <v>15</v>
      </c>
      <c r="B177" s="41" t="s">
        <v>28397</v>
      </c>
      <c r="C177" s="127" t="s">
        <v>28398</v>
      </c>
      <c r="D177" s="523"/>
      <c r="E177" s="10" t="s">
        <v>17672</v>
      </c>
      <c r="F177" s="523"/>
      <c r="G177" s="72"/>
      <c r="I177" s="57"/>
      <c r="J177" s="35"/>
      <c r="M177" s="163"/>
      <c r="N177" s="45"/>
      <c r="O177" s="46"/>
      <c r="P177" s="512"/>
      <c r="Q177" s="57"/>
      <c r="R177" s="114" t="s">
        <v>17562</v>
      </c>
      <c r="S177" s="49"/>
      <c r="T177" s="50"/>
      <c r="U177" s="115"/>
      <c r="V177" s="35"/>
      <c r="Y177" s="57"/>
      <c r="Z177" s="208">
        <f>+ROUND((ROUND((ROUND((_15_同援日２．５＿０．５*_15・通訳),0)*(1+_15・B深夜)),0)*(1+_15・盲ろう)),0)</f>
        <v>111</v>
      </c>
      <c r="AA177" s="48"/>
    </row>
    <row r="178" spans="1:27" ht="16.5" customHeight="1" x14ac:dyDescent="0.15">
      <c r="A178" s="41">
        <v>15</v>
      </c>
      <c r="B178" s="41" t="s">
        <v>28399</v>
      </c>
      <c r="C178" s="127" t="s">
        <v>28400</v>
      </c>
      <c r="D178" s="523"/>
      <c r="F178" s="523"/>
      <c r="G178" s="72"/>
      <c r="H178" s="168">
        <f>_15_同援日２．５＿０．５</f>
        <v>65</v>
      </c>
      <c r="I178" s="57" t="s">
        <v>392</v>
      </c>
      <c r="J178" s="35"/>
      <c r="M178" s="299" t="s">
        <v>17556</v>
      </c>
      <c r="N178" s="45" t="s">
        <v>398</v>
      </c>
      <c r="O178" s="46">
        <v>1</v>
      </c>
      <c r="P178" s="512"/>
      <c r="Q178" s="57"/>
      <c r="R178" s="269" t="s">
        <v>17564</v>
      </c>
      <c r="S178" s="37" t="s">
        <v>398</v>
      </c>
      <c r="T178" s="38">
        <v>0.25</v>
      </c>
      <c r="U178" s="79" t="s">
        <v>3575</v>
      </c>
      <c r="V178" s="43"/>
      <c r="W178" s="37"/>
      <c r="X178" s="38"/>
      <c r="Y178" s="79"/>
      <c r="Z178" s="208">
        <f>+ROUND((ROUND((ROUND((ROUND((_15_同援日２．５＿０．５*_15・通訳),0)*_15・２人),0)*(1+_15・B深夜)),0)*(1+_15・盲ろう)),0)</f>
        <v>111</v>
      </c>
      <c r="AA178" s="48"/>
    </row>
    <row r="179" spans="1:27" ht="16.5" customHeight="1" x14ac:dyDescent="0.15">
      <c r="A179" s="41">
        <v>15</v>
      </c>
      <c r="B179" s="41" t="s">
        <v>28401</v>
      </c>
      <c r="C179" s="127" t="s">
        <v>28402</v>
      </c>
      <c r="D179" s="523"/>
      <c r="F179" s="523"/>
      <c r="G179" s="72"/>
      <c r="I179" s="57"/>
      <c r="J179" s="35"/>
      <c r="M179" s="163"/>
      <c r="N179" s="45"/>
      <c r="O179" s="46"/>
      <c r="P179" s="512"/>
      <c r="Q179" s="57"/>
      <c r="R179" s="53"/>
      <c r="S179" s="49"/>
      <c r="T179" s="50"/>
      <c r="U179" s="115"/>
      <c r="V179" s="114" t="s">
        <v>17570</v>
      </c>
      <c r="W179" s="49"/>
      <c r="X179" s="50"/>
      <c r="Y179" s="115"/>
      <c r="Z179" s="208">
        <f>+ROUND((ROUND((ROUND((_15_同援日２．５＿０．５*_15・通訳),0)*(1+_15・B深夜)),0)*(1+_15・区３)),0)</f>
        <v>107</v>
      </c>
      <c r="AA179" s="48"/>
    </row>
    <row r="180" spans="1:27" ht="16.5" customHeight="1" x14ac:dyDescent="0.15">
      <c r="A180" s="41">
        <v>15</v>
      </c>
      <c r="B180" s="41" t="s">
        <v>28403</v>
      </c>
      <c r="C180" s="127" t="s">
        <v>28404</v>
      </c>
      <c r="D180" s="523"/>
      <c r="F180" s="523"/>
      <c r="G180" s="72"/>
      <c r="I180" s="57"/>
      <c r="J180" s="35"/>
      <c r="M180" s="299" t="s">
        <v>17556</v>
      </c>
      <c r="N180" s="45" t="s">
        <v>398</v>
      </c>
      <c r="O180" s="46">
        <v>1</v>
      </c>
      <c r="P180" s="512"/>
      <c r="Q180" s="57"/>
      <c r="R180" s="43"/>
      <c r="S180" s="37"/>
      <c r="T180" s="38"/>
      <c r="U180" s="79"/>
      <c r="V180" s="92" t="s">
        <v>17572</v>
      </c>
      <c r="Y180" s="57"/>
      <c r="Z180" s="208">
        <f>+ROUND((ROUND((ROUND((ROUND((_15_同援日２．５＿０．５*_15・通訳),0)*_15・２人),0)*(1+_15・B深夜)),0)*(1+_15・区３)),0)</f>
        <v>107</v>
      </c>
      <c r="AA180" s="48"/>
    </row>
    <row r="181" spans="1:27" ht="16.5" customHeight="1" x14ac:dyDescent="0.15">
      <c r="A181" s="41">
        <v>15</v>
      </c>
      <c r="B181" s="41" t="s">
        <v>28405</v>
      </c>
      <c r="C181" s="127" t="s">
        <v>28406</v>
      </c>
      <c r="D181" s="523"/>
      <c r="F181" s="523"/>
      <c r="G181" s="72"/>
      <c r="I181" s="57"/>
      <c r="J181" s="35"/>
      <c r="M181" s="163"/>
      <c r="N181" s="45"/>
      <c r="O181" s="46"/>
      <c r="P181" s="512"/>
      <c r="Q181" s="57"/>
      <c r="R181" s="114" t="s">
        <v>17562</v>
      </c>
      <c r="S181" s="49"/>
      <c r="T181" s="50"/>
      <c r="U181" s="115"/>
      <c r="V181" s="35"/>
      <c r="W181" s="12" t="s">
        <v>398</v>
      </c>
      <c r="X181" s="13">
        <v>0.2</v>
      </c>
      <c r="Y181" s="57" t="s">
        <v>3575</v>
      </c>
      <c r="Z181" s="208">
        <f>+ROUND((ROUND((ROUND((ROUND((_15_同援日２．５＿０．５*_15・通訳),0)*(1+_15・B深夜)),0)*(1+_15・盲ろう)),0)*(1+_15・区３)),0)</f>
        <v>133</v>
      </c>
      <c r="AA181" s="48"/>
    </row>
    <row r="182" spans="1:27" ht="16.5" customHeight="1" x14ac:dyDescent="0.15">
      <c r="A182" s="41">
        <v>15</v>
      </c>
      <c r="B182" s="41" t="s">
        <v>28407</v>
      </c>
      <c r="C182" s="127" t="s">
        <v>28408</v>
      </c>
      <c r="D182" s="523"/>
      <c r="F182" s="523"/>
      <c r="G182" s="72"/>
      <c r="I182" s="57"/>
      <c r="J182" s="35"/>
      <c r="M182" s="299" t="s">
        <v>17556</v>
      </c>
      <c r="N182" s="45" t="s">
        <v>398</v>
      </c>
      <c r="O182" s="46">
        <v>1</v>
      </c>
      <c r="P182" s="512"/>
      <c r="Q182" s="57"/>
      <c r="R182" s="269" t="s">
        <v>17564</v>
      </c>
      <c r="S182" s="37" t="s">
        <v>398</v>
      </c>
      <c r="T182" s="38">
        <v>0.25</v>
      </c>
      <c r="U182" s="79" t="s">
        <v>3575</v>
      </c>
      <c r="V182" s="43"/>
      <c r="W182" s="37"/>
      <c r="X182" s="38"/>
      <c r="Y182" s="79"/>
      <c r="Z182" s="208">
        <f>+ROUND((ROUND((ROUND((ROUND((ROUND((_15_同援日２．５＿０．５*_15・通訳),0)*_15・２人),0)*(1+_15・B深夜)),0)*(1+_15・盲ろう)),0)*(1+_15・区３)),0)</f>
        <v>133</v>
      </c>
      <c r="AA182" s="48"/>
    </row>
    <row r="183" spans="1:27" ht="16.5" customHeight="1" x14ac:dyDescent="0.15">
      <c r="A183" s="41">
        <v>15</v>
      </c>
      <c r="B183" s="41" t="s">
        <v>28409</v>
      </c>
      <c r="C183" s="127" t="s">
        <v>28410</v>
      </c>
      <c r="D183" s="523"/>
      <c r="F183" s="523"/>
      <c r="G183" s="72"/>
      <c r="I183" s="57"/>
      <c r="J183" s="35"/>
      <c r="M183" s="163"/>
      <c r="N183" s="45"/>
      <c r="O183" s="46"/>
      <c r="P183" s="512"/>
      <c r="Q183" s="57"/>
      <c r="R183" s="53"/>
      <c r="S183" s="49"/>
      <c r="T183" s="50"/>
      <c r="U183" s="115"/>
      <c r="V183" s="114" t="s">
        <v>17580</v>
      </c>
      <c r="W183" s="49"/>
      <c r="X183" s="50"/>
      <c r="Y183" s="115"/>
      <c r="Z183" s="208">
        <f>+ROUND((ROUND((ROUND((_15_同援日２．５＿０．５*_15・通訳),0)*(1+_15・B深夜)),0)*(1+_15・区４)),0)</f>
        <v>125</v>
      </c>
      <c r="AA183" s="48"/>
    </row>
    <row r="184" spans="1:27" ht="16.5" customHeight="1" x14ac:dyDescent="0.15">
      <c r="A184" s="41">
        <v>15</v>
      </c>
      <c r="B184" s="41" t="s">
        <v>28411</v>
      </c>
      <c r="C184" s="127" t="s">
        <v>28412</v>
      </c>
      <c r="D184" s="523"/>
      <c r="F184" s="523"/>
      <c r="G184" s="72"/>
      <c r="I184" s="57"/>
      <c r="J184" s="35"/>
      <c r="M184" s="299" t="s">
        <v>17556</v>
      </c>
      <c r="N184" s="45" t="s">
        <v>398</v>
      </c>
      <c r="O184" s="46">
        <v>1</v>
      </c>
      <c r="P184" s="512"/>
      <c r="Q184" s="57"/>
      <c r="R184" s="43"/>
      <c r="S184" s="37"/>
      <c r="T184" s="38"/>
      <c r="U184" s="79"/>
      <c r="V184" s="92" t="s">
        <v>17572</v>
      </c>
      <c r="Y184" s="57"/>
      <c r="Z184" s="208">
        <f>+ROUND((ROUND((ROUND((ROUND((_15_同援日２．５＿０．５*_15・通訳),0)*_15・２人),0)*(1+_15・B深夜)),0)*(1+_15・区４)),0)</f>
        <v>125</v>
      </c>
      <c r="AA184" s="48"/>
    </row>
    <row r="185" spans="1:27" ht="16.5" customHeight="1" x14ac:dyDescent="0.15">
      <c r="A185" s="41">
        <v>15</v>
      </c>
      <c r="B185" s="41" t="s">
        <v>3388</v>
      </c>
      <c r="C185" s="127" t="s">
        <v>28413</v>
      </c>
      <c r="D185" s="523"/>
      <c r="F185" s="523"/>
      <c r="G185" s="72"/>
      <c r="I185" s="57"/>
      <c r="J185" s="35"/>
      <c r="M185" s="163"/>
      <c r="N185" s="45"/>
      <c r="O185" s="46"/>
      <c r="P185" s="512"/>
      <c r="Q185" s="57"/>
      <c r="R185" s="114" t="s">
        <v>17562</v>
      </c>
      <c r="S185" s="49"/>
      <c r="T185" s="50"/>
      <c r="U185" s="115"/>
      <c r="V185" s="35"/>
      <c r="W185" s="12" t="s">
        <v>398</v>
      </c>
      <c r="X185" s="13">
        <v>0.4</v>
      </c>
      <c r="Y185" s="57" t="s">
        <v>3575</v>
      </c>
      <c r="Z185" s="208">
        <f>+ROUND((ROUND((ROUND((ROUND((_15_同援日２．５＿０．５*_15・通訳),0)*(1+_15・B深夜)),0)*(1+_15・盲ろう)),0)*(1+_15・区４)),0)</f>
        <v>155</v>
      </c>
      <c r="AA185" s="48"/>
    </row>
    <row r="186" spans="1:27" ht="16.5" customHeight="1" x14ac:dyDescent="0.15">
      <c r="A186" s="41">
        <v>15</v>
      </c>
      <c r="B186" s="41" t="s">
        <v>3390</v>
      </c>
      <c r="C186" s="127" t="s">
        <v>28414</v>
      </c>
      <c r="D186" s="524"/>
      <c r="E186" s="190"/>
      <c r="F186" s="524"/>
      <c r="G186" s="122"/>
      <c r="H186" s="37"/>
      <c r="I186" s="79"/>
      <c r="J186" s="43"/>
      <c r="K186" s="37"/>
      <c r="L186" s="38"/>
      <c r="M186" s="299" t="s">
        <v>17556</v>
      </c>
      <c r="N186" s="45" t="s">
        <v>398</v>
      </c>
      <c r="O186" s="46">
        <v>1</v>
      </c>
      <c r="P186" s="514"/>
      <c r="Q186" s="79"/>
      <c r="R186" s="269" t="s">
        <v>17564</v>
      </c>
      <c r="S186" s="37" t="s">
        <v>398</v>
      </c>
      <c r="T186" s="38">
        <v>0.25</v>
      </c>
      <c r="U186" s="79" t="s">
        <v>3575</v>
      </c>
      <c r="V186" s="43"/>
      <c r="W186" s="37"/>
      <c r="X186" s="38"/>
      <c r="Y186" s="79"/>
      <c r="Z186" s="208">
        <f>+ROUND((ROUND((ROUND((ROUND((ROUND((_15_同援日２．５＿０．５*_15・通訳),0)*_15・２人),0)*(1+_15・B深夜)),0)*(1+_15・盲ろう)),0)*(1+_15・区４)),0)</f>
        <v>155</v>
      </c>
      <c r="AA186" s="63"/>
    </row>
    <row r="187" spans="1:27" ht="16.5" customHeight="1" x14ac:dyDescent="0.15"/>
    <row r="188" spans="1:27" ht="16.5" customHeight="1" x14ac:dyDescent="0.15"/>
  </sheetData>
  <mergeCells count="2">
    <mergeCell ref="D7:D10"/>
    <mergeCell ref="F7:F10"/>
  </mergeCells>
  <phoneticPr fontId="1"/>
  <printOptions horizontalCentered="1"/>
  <pageMargins left="0.59055118110236227" right="0.59055118110236227" top="0.62992125984251968" bottom="0.39370078740157483" header="0.51181102362204722" footer="0.31496062992125984"/>
  <pageSetup paperSize="9" scale="42" fitToHeight="0" orientation="portrait" r:id="rId1"/>
  <headerFooter>
    <oddHeader>&amp;R&amp;"ＭＳ Ｐゴシック"&amp;9同行援護</oddHeader>
    <oddFooter>&amp;C&amp;"ＭＳ Ｐゴシック"&amp;14&amp;P</oddFooter>
  </headerFooter>
  <rowBreaks count="1" manualBreakCount="1">
    <brk id="114" max="26"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3">
    <pageSetUpPr fitToPage="1"/>
  </sheetPr>
  <dimension ref="A1:AF236"/>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4.5" style="10" customWidth="1"/>
    <col min="5" max="5" width="4.125" style="12" bestFit="1" customWidth="1"/>
    <col min="6" max="6" width="4.875" style="12" bestFit="1" customWidth="1"/>
    <col min="7" max="7" width="4.5" style="10" customWidth="1"/>
    <col min="8" max="8" width="4.125" style="12" bestFit="1" customWidth="1"/>
    <col min="9" max="9" width="4.875" style="12" bestFit="1" customWidth="1"/>
    <col min="10" max="10" width="4.5" style="10" customWidth="1"/>
    <col min="11" max="11" width="4.125" style="12" bestFit="1" customWidth="1"/>
    <col min="12" max="12" width="4.875" style="12" bestFit="1" customWidth="1"/>
    <col min="13" max="13" width="15.5" style="12" customWidth="1"/>
    <col min="14" max="14" width="3.125" style="12" bestFit="1" customWidth="1"/>
    <col min="15" max="15" width="4.125" style="13" bestFit="1" customWidth="1"/>
    <col min="16" max="16" width="25.5" style="12" customWidth="1"/>
    <col min="17" max="17" width="3.125" style="12" bestFit="1" customWidth="1"/>
    <col min="18" max="18" width="5" style="13" bestFit="1" customWidth="1"/>
    <col min="19" max="19" width="4.125" style="13" bestFit="1" customWidth="1"/>
    <col min="20" max="20" width="4.875" style="12" bestFit="1" customWidth="1"/>
    <col min="21" max="21" width="4.125" style="13" bestFit="1" customWidth="1"/>
    <col min="22" max="22" width="4.875" style="12" bestFit="1" customWidth="1"/>
    <col min="23" max="23" width="22.5" style="12" customWidth="1"/>
    <col min="24" max="24" width="3.125" style="12" bestFit="1" customWidth="1"/>
    <col min="25" max="25" width="4.125" style="13" bestFit="1" customWidth="1"/>
    <col min="26" max="26" width="4.875" style="12" bestFit="1" customWidth="1"/>
    <col min="27" max="27" width="7.5" style="12" customWidth="1"/>
    <col min="28" max="28" width="3.125" style="12" bestFit="1" customWidth="1"/>
    <col min="29" max="29" width="4.125" style="13" bestFit="1" customWidth="1"/>
    <col min="30" max="30" width="4.875" style="12" bestFit="1" customWidth="1"/>
    <col min="31" max="31" width="7.125" style="206" customWidth="1"/>
    <col min="32" max="32" width="8.5" style="16" customWidth="1"/>
    <col min="33" max="16384" width="9" style="12"/>
  </cols>
  <sheetData>
    <row r="1" spans="1:32" ht="17.100000000000001" customHeight="1" x14ac:dyDescent="0.15"/>
    <row r="2" spans="1:32" ht="17.100000000000001" customHeight="1" x14ac:dyDescent="0.15"/>
    <row r="3" spans="1:32" ht="17.100000000000001" customHeight="1" x14ac:dyDescent="0.15"/>
    <row r="4" spans="1:32" ht="17.100000000000001" customHeight="1" x14ac:dyDescent="0.15">
      <c r="B4" s="17" t="s">
        <v>28415</v>
      </c>
      <c r="D4" s="71"/>
    </row>
    <row r="5" spans="1:32" ht="16.5" customHeight="1" x14ac:dyDescent="0.15">
      <c r="A5" s="19" t="s">
        <v>384</v>
      </c>
      <c r="B5" s="20"/>
      <c r="C5" s="21" t="s">
        <v>385</v>
      </c>
      <c r="D5" s="23" t="s">
        <v>386</v>
      </c>
      <c r="E5" s="23"/>
      <c r="F5" s="23"/>
      <c r="G5" s="23"/>
      <c r="H5" s="23"/>
      <c r="I5" s="23"/>
      <c r="J5" s="23"/>
      <c r="K5" s="23"/>
      <c r="L5" s="23"/>
      <c r="M5" s="23"/>
      <c r="N5" s="23"/>
      <c r="O5" s="24"/>
      <c r="P5" s="23"/>
      <c r="Q5" s="23"/>
      <c r="R5" s="24"/>
      <c r="S5" s="24"/>
      <c r="T5" s="23"/>
      <c r="U5" s="24"/>
      <c r="V5" s="23"/>
      <c r="W5" s="23"/>
      <c r="X5" s="23"/>
      <c r="Y5" s="24"/>
      <c r="Z5" s="23"/>
      <c r="AA5" s="23"/>
      <c r="AB5" s="23"/>
      <c r="AC5" s="24"/>
      <c r="AD5" s="23"/>
      <c r="AE5" s="21" t="s">
        <v>387</v>
      </c>
      <c r="AF5" s="21" t="s">
        <v>388</v>
      </c>
    </row>
    <row r="6" spans="1:32" ht="16.5" customHeight="1" x14ac:dyDescent="0.15">
      <c r="A6" s="26" t="s">
        <v>389</v>
      </c>
      <c r="B6" s="26" t="s">
        <v>390</v>
      </c>
      <c r="C6" s="27"/>
      <c r="D6" s="87" t="s">
        <v>1032</v>
      </c>
      <c r="E6" s="187"/>
      <c r="F6" s="20"/>
      <c r="G6" s="87" t="s">
        <v>3910</v>
      </c>
      <c r="H6" s="187"/>
      <c r="I6" s="20"/>
      <c r="J6" s="29"/>
      <c r="K6" s="29"/>
      <c r="L6" s="29"/>
      <c r="M6" s="29"/>
      <c r="N6" s="29"/>
      <c r="O6" s="30"/>
      <c r="P6" s="29"/>
      <c r="Q6" s="29"/>
      <c r="R6" s="30"/>
      <c r="S6" s="30"/>
      <c r="T6" s="29"/>
      <c r="U6" s="30"/>
      <c r="V6" s="29"/>
      <c r="W6" s="29"/>
      <c r="X6" s="29"/>
      <c r="Y6" s="30"/>
      <c r="Z6" s="29"/>
      <c r="AA6" s="29"/>
      <c r="AB6" s="29"/>
      <c r="AC6" s="30"/>
      <c r="AD6" s="29"/>
      <c r="AE6" s="32" t="s">
        <v>391</v>
      </c>
      <c r="AF6" s="32" t="s">
        <v>392</v>
      </c>
    </row>
    <row r="7" spans="1:32" ht="16.5" customHeight="1" x14ac:dyDescent="0.15">
      <c r="A7" s="33">
        <v>15</v>
      </c>
      <c r="B7" s="33" t="s">
        <v>28416</v>
      </c>
      <c r="C7" s="34" t="s">
        <v>28417</v>
      </c>
      <c r="D7" s="72" t="s">
        <v>18487</v>
      </c>
      <c r="F7" s="57"/>
      <c r="G7" s="72" t="s">
        <v>18819</v>
      </c>
      <c r="I7" s="57"/>
      <c r="J7" s="72" t="s">
        <v>19919</v>
      </c>
      <c r="L7" s="57"/>
      <c r="M7" s="35"/>
      <c r="P7" s="122"/>
      <c r="Q7" s="37"/>
      <c r="R7" s="38"/>
      <c r="S7" s="512"/>
      <c r="T7" s="57"/>
      <c r="U7" s="512"/>
      <c r="V7" s="57"/>
      <c r="W7" s="72"/>
      <c r="Z7" s="57"/>
      <c r="AA7" s="72"/>
      <c r="AD7" s="57"/>
      <c r="AE7" s="207">
        <f>ROUND((ROUND((_15_同援日０．５*_15・通訳),0)*(1+_15・A深夜)),0)+ROUND((ROUND((_15_同援日０．５＿０．５*_15・通訳),0)*(1+_15・B早朝)),0)+ROUND((_15_同援日０．５＿０．５＿０．５*_15・通訳),0)</f>
        <v>501</v>
      </c>
      <c r="AF7" s="40" t="s">
        <v>395</v>
      </c>
    </row>
    <row r="8" spans="1:32" ht="16.5" customHeight="1" x14ac:dyDescent="0.15">
      <c r="A8" s="41">
        <v>15</v>
      </c>
      <c r="B8" s="41" t="s">
        <v>28418</v>
      </c>
      <c r="C8" s="74" t="s">
        <v>28419</v>
      </c>
      <c r="D8" s="72" t="s">
        <v>18259</v>
      </c>
      <c r="F8" s="57"/>
      <c r="G8" s="72" t="s">
        <v>18259</v>
      </c>
      <c r="I8" s="57"/>
      <c r="J8" s="72" t="s">
        <v>18259</v>
      </c>
      <c r="L8" s="57"/>
      <c r="M8" s="35"/>
      <c r="P8" s="299" t="s">
        <v>17556</v>
      </c>
      <c r="Q8" s="45" t="s">
        <v>398</v>
      </c>
      <c r="R8" s="46">
        <v>1</v>
      </c>
      <c r="S8" s="512"/>
      <c r="T8" s="57"/>
      <c r="U8" s="512"/>
      <c r="V8" s="57"/>
      <c r="W8" s="122"/>
      <c r="X8" s="37"/>
      <c r="Y8" s="38"/>
      <c r="Z8" s="79"/>
      <c r="AA8" s="72"/>
      <c r="AD8" s="57"/>
      <c r="AE8" s="208">
        <f>ROUND((ROUND((ROUND((_15_同援日０．５*_15・通訳),0)*_15・２人),0)*(1+_15・A深夜)),0)+ROUND((ROUND((ROUND((_15_同援日０．５＿０．５*_15・通訳),0)*_15・２人),0)*(1+_15・B早朝)),0)+ROUND((ROUND((_15_同援日０．５＿０．５＿０．５*_15・通訳),0)*_15・２人),0)</f>
        <v>501</v>
      </c>
      <c r="AF8" s="48"/>
    </row>
    <row r="9" spans="1:32" ht="16.5" customHeight="1" x14ac:dyDescent="0.15">
      <c r="A9" s="41">
        <v>15</v>
      </c>
      <c r="B9" s="41" t="s">
        <v>28420</v>
      </c>
      <c r="C9" s="74" t="s">
        <v>28421</v>
      </c>
      <c r="D9" s="72"/>
      <c r="F9" s="57"/>
      <c r="G9" s="72"/>
      <c r="I9" s="57"/>
      <c r="J9" s="72"/>
      <c r="L9" s="57"/>
      <c r="M9" s="35"/>
      <c r="P9" s="299"/>
      <c r="Q9" s="45"/>
      <c r="R9" s="46"/>
      <c r="S9" s="512"/>
      <c r="T9" s="57"/>
      <c r="U9" s="512"/>
      <c r="V9" s="57"/>
      <c r="W9" s="114" t="s">
        <v>17562</v>
      </c>
      <c r="X9" s="49"/>
      <c r="Y9" s="50"/>
      <c r="Z9" s="115"/>
      <c r="AA9" s="72"/>
      <c r="AD9" s="57"/>
      <c r="AE9" s="208">
        <f>ROUND((ROUND((ROUND((_15_同援日０．５*_15・通訳),0)*(1+_15・A深夜)),0)*(1+_15・盲ろう)),0)+ROUND((ROUND((ROUND((_15_同援日０．５＿０．５*_15・通訳),0)*(1+_15・B早朝)),0)*(1+_15・盲ろう)),0)+ROUND((ROUND((_15_同援日０．５＿０．５＿０．５*_15・通訳),0)*(1+_15・盲ろう)),0)</f>
        <v>626</v>
      </c>
      <c r="AF9" s="48"/>
    </row>
    <row r="10" spans="1:32" ht="16.5" customHeight="1" x14ac:dyDescent="0.15">
      <c r="A10" s="41">
        <v>15</v>
      </c>
      <c r="B10" s="41" t="s">
        <v>28422</v>
      </c>
      <c r="C10" s="74" t="s">
        <v>28423</v>
      </c>
      <c r="D10" s="72"/>
      <c r="E10" s="168">
        <f>_15_同援日０．５</f>
        <v>190</v>
      </c>
      <c r="F10" s="57" t="s">
        <v>392</v>
      </c>
      <c r="G10" s="72"/>
      <c r="H10" s="168">
        <f>_15_同援日０．５＿０．５</f>
        <v>110</v>
      </c>
      <c r="I10" s="57" t="s">
        <v>392</v>
      </c>
      <c r="J10" s="72"/>
      <c r="K10" s="168">
        <f>_15_同援日０．５＿０．５＿０．５</f>
        <v>133</v>
      </c>
      <c r="L10" s="57" t="s">
        <v>392</v>
      </c>
      <c r="M10" s="35"/>
      <c r="P10" s="299" t="s">
        <v>17556</v>
      </c>
      <c r="Q10" s="45" t="s">
        <v>398</v>
      </c>
      <c r="R10" s="46">
        <v>1</v>
      </c>
      <c r="S10" s="512"/>
      <c r="T10" s="57"/>
      <c r="U10" s="512"/>
      <c r="V10" s="57"/>
      <c r="W10" s="122" t="s">
        <v>17564</v>
      </c>
      <c r="X10" s="37" t="s">
        <v>398</v>
      </c>
      <c r="Y10" s="38">
        <v>0.25</v>
      </c>
      <c r="Z10" s="79" t="s">
        <v>3575</v>
      </c>
      <c r="AA10" s="122"/>
      <c r="AB10" s="37"/>
      <c r="AC10" s="38"/>
      <c r="AD10" s="79"/>
      <c r="AE10" s="208">
        <f>ROUND((ROUND((ROUND((ROUND((_15_同援日０．５*_15・通訳),0)*_15・２人),0)*(1+_15・A深夜)),0)*(1+_15・盲ろう)),0)+ROUND((ROUND((ROUND((ROUND((_15_同援日０．５＿０．５*_15・通訳),0)*_15・２人),0)*(1+_15・B早朝)),0)*(1+_15・盲ろう)),0)+ROUND((ROUND((ROUND((_15_同援日０．５＿０．５＿０．５*_15・通訳),0)*_15・２人),0)*(1+_15・盲ろう)),0)</f>
        <v>626</v>
      </c>
      <c r="AF10" s="48"/>
    </row>
    <row r="11" spans="1:32" ht="16.5" customHeight="1" x14ac:dyDescent="0.15">
      <c r="A11" s="41">
        <v>15</v>
      </c>
      <c r="B11" s="41" t="s">
        <v>28424</v>
      </c>
      <c r="C11" s="74" t="s">
        <v>28425</v>
      </c>
      <c r="D11" s="72"/>
      <c r="F11" s="57"/>
      <c r="G11" s="72"/>
      <c r="I11" s="57"/>
      <c r="J11" s="72"/>
      <c r="L11" s="57"/>
      <c r="M11" s="35"/>
      <c r="P11" s="299"/>
      <c r="Q11" s="45"/>
      <c r="R11" s="46"/>
      <c r="S11" s="512"/>
      <c r="T11" s="57"/>
      <c r="U11" s="512"/>
      <c r="V11" s="57"/>
      <c r="W11" s="114"/>
      <c r="X11" s="49"/>
      <c r="Y11" s="50"/>
      <c r="Z11" s="115"/>
      <c r="AA11" s="114" t="s">
        <v>17570</v>
      </c>
      <c r="AB11" s="49"/>
      <c r="AC11" s="50"/>
      <c r="AD11" s="115"/>
      <c r="AE11" s="208">
        <f>ROUND((ROUND((ROUND((_15_同援日０．５*_15・通訳),0)*(1+_15・A深夜)),0)*(1+_15・区３)),0)+ROUND((ROUND((ROUND((_15_同援日０．５＿０．５*_15・通訳),0)*(1+_15・B早朝)),0)*(1+_15・区３)),0)+ROUND((ROUND((_15_同援日０．５＿０．５＿０．５*_15・通訳),0)*(1+_15・区３)),0)</f>
        <v>601</v>
      </c>
      <c r="AF11" s="48"/>
    </row>
    <row r="12" spans="1:32" ht="16.5" customHeight="1" x14ac:dyDescent="0.15">
      <c r="A12" s="41">
        <v>15</v>
      </c>
      <c r="B12" s="41" t="s">
        <v>28426</v>
      </c>
      <c r="C12" s="74" t="s">
        <v>28427</v>
      </c>
      <c r="D12" s="72"/>
      <c r="F12" s="57"/>
      <c r="G12" s="72"/>
      <c r="I12" s="57"/>
      <c r="J12" s="72"/>
      <c r="L12" s="57"/>
      <c r="M12" s="72" t="s">
        <v>28428</v>
      </c>
      <c r="P12" s="299" t="s">
        <v>17556</v>
      </c>
      <c r="Q12" s="45" t="s">
        <v>398</v>
      </c>
      <c r="R12" s="46">
        <v>1</v>
      </c>
      <c r="S12" s="517" t="s">
        <v>18493</v>
      </c>
      <c r="T12" s="57"/>
      <c r="U12" s="526" t="s">
        <v>18134</v>
      </c>
      <c r="V12" s="57"/>
      <c r="W12" s="122"/>
      <c r="X12" s="37"/>
      <c r="Y12" s="38"/>
      <c r="Z12" s="79"/>
      <c r="AA12" s="72" t="s">
        <v>17572</v>
      </c>
      <c r="AD12" s="57"/>
      <c r="AE12" s="208">
        <f>ROUND((ROUND((ROUND((ROUND((_15_同援日０．５*_15・通訳),0)*_15・２人),0)*(1+_15・A深夜)),0)*(1+_15・区３)),0)+ROUND((ROUND((ROUND((ROUND((_15_同援日０．５＿０．５*_15・通訳),0)*_15・２人),0)*(1+_15・B早朝)),0)*(1+_15・区３)),0)+ROUND((ROUND((ROUND((_15_同援日０．５＿０．５＿０．５*_15・通訳),0)*_15・２人),0)*(1+_15・区３)),0)</f>
        <v>601</v>
      </c>
      <c r="AF12" s="48"/>
    </row>
    <row r="13" spans="1:32" ht="16.5" customHeight="1" x14ac:dyDescent="0.15">
      <c r="A13" s="41">
        <v>15</v>
      </c>
      <c r="B13" s="41" t="s">
        <v>28429</v>
      </c>
      <c r="C13" s="74" t="s">
        <v>28430</v>
      </c>
      <c r="D13" s="72"/>
      <c r="F13" s="57"/>
      <c r="G13" s="72"/>
      <c r="I13" s="57"/>
      <c r="J13" s="72"/>
      <c r="L13" s="57"/>
      <c r="M13" s="92" t="s">
        <v>25734</v>
      </c>
      <c r="N13" s="12" t="s">
        <v>398</v>
      </c>
      <c r="O13" s="13">
        <v>0.9</v>
      </c>
      <c r="P13" s="299"/>
      <c r="Q13" s="45"/>
      <c r="R13" s="46"/>
      <c r="S13" s="512"/>
      <c r="T13" s="519" t="s">
        <v>18826</v>
      </c>
      <c r="U13" s="512"/>
      <c r="V13" s="519" t="s">
        <v>27752</v>
      </c>
      <c r="W13" s="114" t="s">
        <v>17562</v>
      </c>
      <c r="X13" s="49"/>
      <c r="Y13" s="50"/>
      <c r="Z13" s="115"/>
      <c r="AA13" s="72"/>
      <c r="AB13" s="12" t="s">
        <v>398</v>
      </c>
      <c r="AC13" s="13">
        <v>0.2</v>
      </c>
      <c r="AD13" s="57" t="s">
        <v>3575</v>
      </c>
      <c r="AE13" s="208">
        <f>ROUND((ROUND((ROUND((ROUND((_15_同援日０．５*_15・通訳),0)*(1+_15・A深夜)),0)*(1+_15・盲ろう)),0)*(1+_15・区３)),0)+ROUND((ROUND((ROUND((ROUND((_15_同援日０．５＿０．５*_15・通訳),0)*(1+_15・B早朝)),0)*(1+_15・盲ろう)),0)*(1+_15・区３)),0)+ROUND((ROUND((ROUND((_15_同援日０．５＿０．５＿０．５*_15・通訳),0)*(1+_15・盲ろう)),0)*(1+_15・区３)),0)</f>
        <v>751</v>
      </c>
      <c r="AF13" s="48"/>
    </row>
    <row r="14" spans="1:32" ht="16.5" customHeight="1" x14ac:dyDescent="0.15">
      <c r="A14" s="41">
        <v>15</v>
      </c>
      <c r="B14" s="41" t="s">
        <v>28431</v>
      </c>
      <c r="C14" s="74" t="s">
        <v>28432</v>
      </c>
      <c r="D14" s="72"/>
      <c r="F14" s="57"/>
      <c r="G14" s="72"/>
      <c r="I14" s="57"/>
      <c r="J14" s="72"/>
      <c r="L14" s="57"/>
      <c r="M14" s="35"/>
      <c r="P14" s="299" t="s">
        <v>17556</v>
      </c>
      <c r="Q14" s="45" t="s">
        <v>398</v>
      </c>
      <c r="R14" s="46">
        <v>1</v>
      </c>
      <c r="S14" s="512"/>
      <c r="T14" s="57"/>
      <c r="U14" s="512"/>
      <c r="V14" s="57"/>
      <c r="W14" s="122" t="s">
        <v>17564</v>
      </c>
      <c r="X14" s="37" t="s">
        <v>398</v>
      </c>
      <c r="Y14" s="38">
        <v>0.25</v>
      </c>
      <c r="Z14" s="79" t="s">
        <v>3575</v>
      </c>
      <c r="AA14" s="122"/>
      <c r="AB14" s="37"/>
      <c r="AC14" s="38"/>
      <c r="AD14" s="79"/>
      <c r="AE14" s="208">
        <f>ROUND((ROUND((ROUND((ROUND((ROUND((_15_同援日０．５*_15・通訳),0)*_15・２人),0)*(1+_15・A深夜)),0)*(1+_15・盲ろう)),0)*(1+_15・区３)),0)+ROUND((ROUND((ROUND((ROUND((ROUND((_15_同援日０．５＿０．５*_15・通訳),0)*_15・２人),0)*(1+_15・B早朝)),0)*(1+_15・盲ろう)),0)*(1+_15・区３)),0)+ROUND((ROUND((ROUND((ROUND((_15_同援日０．５＿０．５＿０．５*_15・通訳),0)*_15・２人),0)*(1+_15・盲ろう)),0)*(1+_15・区３)),0)</f>
        <v>751</v>
      </c>
      <c r="AF14" s="48"/>
    </row>
    <row r="15" spans="1:32" ht="16.5" customHeight="1" x14ac:dyDescent="0.15">
      <c r="A15" s="41">
        <v>15</v>
      </c>
      <c r="B15" s="41" t="s">
        <v>3395</v>
      </c>
      <c r="C15" s="74" t="s">
        <v>28433</v>
      </c>
      <c r="D15" s="72"/>
      <c r="F15" s="57"/>
      <c r="G15" s="72"/>
      <c r="I15" s="57"/>
      <c r="J15" s="72"/>
      <c r="L15" s="57"/>
      <c r="M15" s="35"/>
      <c r="P15" s="299"/>
      <c r="Q15" s="45"/>
      <c r="R15" s="46"/>
      <c r="S15" s="35" t="s">
        <v>398</v>
      </c>
      <c r="T15" s="234">
        <v>0.5</v>
      </c>
      <c r="U15" s="35" t="s">
        <v>398</v>
      </c>
      <c r="V15" s="234">
        <v>0.25</v>
      </c>
      <c r="W15" s="114"/>
      <c r="X15" s="49"/>
      <c r="Y15" s="50"/>
      <c r="Z15" s="115"/>
      <c r="AA15" s="114" t="s">
        <v>17580</v>
      </c>
      <c r="AB15" s="49"/>
      <c r="AC15" s="50"/>
      <c r="AD15" s="115"/>
      <c r="AE15" s="208">
        <f>ROUND((ROUND((ROUND((_15_同援日０．５*_15・通訳),0)*(1+_15・A深夜)),0)*(1+_15・区４)),0)+ROUND((ROUND((ROUND((_15_同援日０．５＿０．５*_15・通訳),0)*(1+_15・B早朝)),0)*(1+_15・区４)),0)+ROUND((ROUND((_15_同援日０．５＿０．５＿０．５*_15・通訳),0)*(1+_15・区４)),0)</f>
        <v>702</v>
      </c>
      <c r="AF15" s="48"/>
    </row>
    <row r="16" spans="1:32" ht="16.5" customHeight="1" x14ac:dyDescent="0.15">
      <c r="A16" s="41">
        <v>15</v>
      </c>
      <c r="B16" s="41" t="s">
        <v>3397</v>
      </c>
      <c r="C16" s="74" t="s">
        <v>28434</v>
      </c>
      <c r="D16" s="72"/>
      <c r="F16" s="57"/>
      <c r="G16" s="72"/>
      <c r="I16" s="57"/>
      <c r="J16" s="72"/>
      <c r="L16" s="57"/>
      <c r="M16" s="35"/>
      <c r="P16" s="299" t="s">
        <v>17556</v>
      </c>
      <c r="Q16" s="45" t="s">
        <v>398</v>
      </c>
      <c r="R16" s="46">
        <v>1</v>
      </c>
      <c r="S16" s="512"/>
      <c r="T16" s="513" t="s">
        <v>3575</v>
      </c>
      <c r="U16" s="512"/>
      <c r="V16" s="513" t="s">
        <v>3575</v>
      </c>
      <c r="W16" s="122"/>
      <c r="X16" s="37"/>
      <c r="Y16" s="38"/>
      <c r="Z16" s="79"/>
      <c r="AA16" s="72" t="s">
        <v>17572</v>
      </c>
      <c r="AD16" s="57"/>
      <c r="AE16" s="208">
        <f>ROUND((ROUND((ROUND((ROUND((_15_同援日０．５*_15・通訳),0)*_15・２人),0)*(1+_15・A深夜)),0)*(1+_15・区４)),0)+ROUND((ROUND((ROUND((ROUND((_15_同援日０．５＿０．５*_15・通訳),0)*_15・２人),0)*(1+_15・B早朝)),0)*(1+_15・区４)),0)+ROUND((ROUND((ROUND((_15_同援日０．５＿０．５＿０．５*_15・通訳),0)*_15・２人),0)*(1+_15・区４)),0)</f>
        <v>702</v>
      </c>
      <c r="AF16" s="48"/>
    </row>
    <row r="17" spans="1:32" ht="16.5" customHeight="1" x14ac:dyDescent="0.15">
      <c r="A17" s="41">
        <v>15</v>
      </c>
      <c r="B17" s="41" t="s">
        <v>28435</v>
      </c>
      <c r="C17" s="74" t="s">
        <v>28436</v>
      </c>
      <c r="D17" s="72"/>
      <c r="F17" s="57"/>
      <c r="G17" s="72"/>
      <c r="I17" s="57"/>
      <c r="J17" s="72"/>
      <c r="L17" s="57"/>
      <c r="M17" s="35"/>
      <c r="P17" s="299"/>
      <c r="Q17" s="45"/>
      <c r="R17" s="46"/>
      <c r="S17" s="512"/>
      <c r="T17" s="57"/>
      <c r="U17" s="512"/>
      <c r="V17" s="57"/>
      <c r="W17" s="114" t="s">
        <v>17562</v>
      </c>
      <c r="X17" s="49"/>
      <c r="Y17" s="50"/>
      <c r="Z17" s="115"/>
      <c r="AA17" s="72"/>
      <c r="AB17" s="12" t="s">
        <v>398</v>
      </c>
      <c r="AC17" s="13">
        <v>0.4</v>
      </c>
      <c r="AD17" s="57" t="s">
        <v>3575</v>
      </c>
      <c r="AE17" s="208">
        <f>ROUND((ROUND((ROUND((ROUND((_15_同援日０．５*_15・通訳),0)*(1+_15・A深夜)),0)*(1+_15・盲ろう)),0)*(1+_15・区４)),0)+ROUND((ROUND((ROUND((ROUND((_15_同援日０．５＿０．５*_15・通訳),0)*(1+_15・B早朝)),0)*(1+_15・盲ろう)),0)*(1+_15・区４)),0)+ROUND((ROUND((ROUND((_15_同援日０．５＿０．５＿０．５*_15・通訳),0)*(1+_15・盲ろう)),0)*(1+_15・区４)),0)</f>
        <v>876</v>
      </c>
      <c r="AF17" s="48"/>
    </row>
    <row r="18" spans="1:32" ht="16.5" customHeight="1" x14ac:dyDescent="0.15">
      <c r="A18" s="41">
        <v>15</v>
      </c>
      <c r="B18" s="41" t="s">
        <v>28437</v>
      </c>
      <c r="C18" s="74" t="s">
        <v>28438</v>
      </c>
      <c r="D18" s="72"/>
      <c r="F18" s="57"/>
      <c r="G18" s="72"/>
      <c r="I18" s="57"/>
      <c r="J18" s="122"/>
      <c r="K18" s="37"/>
      <c r="L18" s="79"/>
      <c r="M18" s="35"/>
      <c r="P18" s="299" t="s">
        <v>17556</v>
      </c>
      <c r="Q18" s="45" t="s">
        <v>398</v>
      </c>
      <c r="R18" s="46">
        <v>1</v>
      </c>
      <c r="S18" s="512"/>
      <c r="T18" s="57"/>
      <c r="U18" s="512"/>
      <c r="V18" s="57"/>
      <c r="W18" s="122" t="s">
        <v>17564</v>
      </c>
      <c r="X18" s="37" t="s">
        <v>398</v>
      </c>
      <c r="Y18" s="38">
        <v>0.25</v>
      </c>
      <c r="Z18" s="79" t="s">
        <v>3575</v>
      </c>
      <c r="AA18" s="122"/>
      <c r="AB18" s="37"/>
      <c r="AC18" s="38"/>
      <c r="AD18" s="79"/>
      <c r="AE18" s="208">
        <f>ROUND((ROUND((ROUND((ROUND((ROUND((_15_同援日０．５*_15・通訳),0)*_15・２人),0)*(1+_15・A深夜)),0)*(1+_15・盲ろう)),0)*(1+_15・区４)),0)+ROUND((ROUND((ROUND((ROUND((ROUND((_15_同援日０．５＿０．５*_15・通訳),0)*_15・２人),0)*(1+_15・B早朝)),0)*(1+_15・盲ろう)),0)*(1+_15・区４)),0)+ROUND((ROUND((ROUND((ROUND((_15_同援日０．５＿０．５＿０．５*_15・通訳),0)*_15・２人),0)*(1+_15・盲ろう)),0)*(1+_15・区４)),0)</f>
        <v>876</v>
      </c>
      <c r="AF18" s="48"/>
    </row>
    <row r="19" spans="1:32" ht="16.5" customHeight="1" x14ac:dyDescent="0.15">
      <c r="A19" s="41">
        <v>15</v>
      </c>
      <c r="B19" s="41" t="s">
        <v>28439</v>
      </c>
      <c r="C19" s="74" t="s">
        <v>28440</v>
      </c>
      <c r="D19" s="72"/>
      <c r="F19" s="57"/>
      <c r="G19" s="72"/>
      <c r="I19" s="57"/>
      <c r="J19" s="114" t="s">
        <v>21246</v>
      </c>
      <c r="K19" s="49"/>
      <c r="L19" s="115"/>
      <c r="M19" s="35"/>
      <c r="P19" s="299"/>
      <c r="Q19" s="45"/>
      <c r="R19" s="46"/>
      <c r="S19" s="512"/>
      <c r="T19" s="57"/>
      <c r="U19" s="512"/>
      <c r="V19" s="57"/>
      <c r="W19" s="114"/>
      <c r="X19" s="49"/>
      <c r="Y19" s="50"/>
      <c r="Z19" s="115"/>
      <c r="AA19" s="114"/>
      <c r="AB19" s="49"/>
      <c r="AC19" s="50"/>
      <c r="AD19" s="115"/>
      <c r="AE19" s="208">
        <f>ROUND((ROUND((_15_同援日０．５*_15・通訳),0)*(1+_15・A深夜)),0)+ROUND((ROUND((_15_同援日０．５＿０．５*_15・通訳),0)*(1+_15・B早朝)),0)+ROUND((_15_同援日０．５＿０．５＿１．０*_15・通訳),0)</f>
        <v>559</v>
      </c>
      <c r="AF19" s="48"/>
    </row>
    <row r="20" spans="1:32" ht="16.5" customHeight="1" x14ac:dyDescent="0.15">
      <c r="A20" s="41">
        <v>15</v>
      </c>
      <c r="B20" s="41" t="s">
        <v>28441</v>
      </c>
      <c r="C20" s="74" t="s">
        <v>28442</v>
      </c>
      <c r="D20" s="72"/>
      <c r="F20" s="57"/>
      <c r="G20" s="72"/>
      <c r="I20" s="57"/>
      <c r="J20" s="72" t="s">
        <v>17589</v>
      </c>
      <c r="L20" s="57"/>
      <c r="M20" s="35"/>
      <c r="P20" s="299" t="s">
        <v>17556</v>
      </c>
      <c r="Q20" s="45" t="s">
        <v>398</v>
      </c>
      <c r="R20" s="46">
        <v>1</v>
      </c>
      <c r="S20" s="512"/>
      <c r="T20" s="57"/>
      <c r="U20" s="512"/>
      <c r="V20" s="57"/>
      <c r="W20" s="122"/>
      <c r="X20" s="37"/>
      <c r="Y20" s="38"/>
      <c r="Z20" s="79"/>
      <c r="AA20" s="72"/>
      <c r="AD20" s="57"/>
      <c r="AE20" s="208">
        <f>ROUND((ROUND((ROUND((_15_同援日０．５*_15・通訳),0)*_15・２人),0)*(1+_15・A深夜)),0)+ROUND((ROUND((ROUND((_15_同援日０．５＿０．５*_15・通訳),0)*_15・２人),0)*(1+_15・B早朝)),0)+ROUND((ROUND((_15_同援日０．５＿０．５＿１．０*_15・通訳),0)*_15・２人),0)</f>
        <v>559</v>
      </c>
      <c r="AF20" s="48"/>
    </row>
    <row r="21" spans="1:32" ht="16.5" customHeight="1" x14ac:dyDescent="0.15">
      <c r="A21" s="41">
        <v>15</v>
      </c>
      <c r="B21" s="41" t="s">
        <v>28443</v>
      </c>
      <c r="C21" s="74" t="s">
        <v>28444</v>
      </c>
      <c r="D21" s="72"/>
      <c r="F21" s="57"/>
      <c r="G21" s="72"/>
      <c r="I21" s="57"/>
      <c r="J21" s="72" t="s">
        <v>17591</v>
      </c>
      <c r="L21" s="57"/>
      <c r="M21" s="35"/>
      <c r="P21" s="299"/>
      <c r="Q21" s="45"/>
      <c r="R21" s="46"/>
      <c r="S21" s="512"/>
      <c r="T21" s="57"/>
      <c r="U21" s="512"/>
      <c r="V21" s="57"/>
      <c r="W21" s="114" t="s">
        <v>17562</v>
      </c>
      <c r="X21" s="49"/>
      <c r="Y21" s="50"/>
      <c r="Z21" s="115"/>
      <c r="AA21" s="72"/>
      <c r="AD21" s="57"/>
      <c r="AE21" s="208">
        <f>ROUND((ROUND((ROUND((_15_同援日０．５*_15・通訳),0)*(1+_15・A深夜)),0)*(1+_15・盲ろう)),0)+ROUND((ROUND((ROUND((_15_同援日０．５＿０．５*_15・通訳),0)*(1+_15・B早朝)),0)*(1+_15・盲ろう)),0)+ROUND((ROUND((_15_同援日０．５＿０．５＿１．０*_15・通訳),0)*(1+_15・盲ろう)),0)</f>
        <v>699</v>
      </c>
      <c r="AF21" s="48"/>
    </row>
    <row r="22" spans="1:32" ht="16.5" customHeight="1" x14ac:dyDescent="0.15">
      <c r="A22" s="41">
        <v>15</v>
      </c>
      <c r="B22" s="41" t="s">
        <v>28445</v>
      </c>
      <c r="C22" s="74" t="s">
        <v>28446</v>
      </c>
      <c r="D22" s="72"/>
      <c r="F22" s="57"/>
      <c r="G22" s="72"/>
      <c r="I22" s="57"/>
      <c r="J22" s="72"/>
      <c r="K22" s="168">
        <f>_15_同援日０．５＿０．５＿１．０</f>
        <v>198</v>
      </c>
      <c r="L22" s="57" t="s">
        <v>392</v>
      </c>
      <c r="M22" s="35"/>
      <c r="P22" s="299" t="s">
        <v>17556</v>
      </c>
      <c r="Q22" s="45" t="s">
        <v>398</v>
      </c>
      <c r="R22" s="46">
        <v>1</v>
      </c>
      <c r="S22" s="512"/>
      <c r="T22" s="57"/>
      <c r="U22" s="512"/>
      <c r="V22" s="57"/>
      <c r="W22" s="122" t="s">
        <v>17564</v>
      </c>
      <c r="X22" s="37" t="s">
        <v>398</v>
      </c>
      <c r="Y22" s="38">
        <v>0.25</v>
      </c>
      <c r="Z22" s="79" t="s">
        <v>3575</v>
      </c>
      <c r="AA22" s="122"/>
      <c r="AB22" s="37"/>
      <c r="AC22" s="38"/>
      <c r="AD22" s="79"/>
      <c r="AE22" s="208">
        <f>ROUND((ROUND((ROUND((ROUND((_15_同援日０．５*_15・通訳),0)*_15・２人),0)*(1+_15・A深夜)),0)*(1+_15・盲ろう)),0)+ROUND((ROUND((ROUND((ROUND((_15_同援日０．５＿０．５*_15・通訳),0)*_15・２人),0)*(1+_15・B早朝)),0)*(1+_15・盲ろう)),0)+ROUND((ROUND((ROUND((_15_同援日０．５＿０．５＿１．０*_15・通訳),0)*_15・２人),0)*(1+_15・盲ろう)),0)</f>
        <v>699</v>
      </c>
      <c r="AF22" s="48"/>
    </row>
    <row r="23" spans="1:32" ht="16.5" customHeight="1" x14ac:dyDescent="0.15">
      <c r="A23" s="41">
        <v>15</v>
      </c>
      <c r="B23" s="41" t="s">
        <v>28447</v>
      </c>
      <c r="C23" s="74" t="s">
        <v>28448</v>
      </c>
      <c r="D23" s="72"/>
      <c r="F23" s="57"/>
      <c r="G23" s="72"/>
      <c r="I23" s="57"/>
      <c r="J23" s="72"/>
      <c r="L23" s="57"/>
      <c r="M23" s="35"/>
      <c r="P23" s="299"/>
      <c r="Q23" s="45"/>
      <c r="R23" s="46"/>
      <c r="S23" s="512"/>
      <c r="T23" s="57"/>
      <c r="U23" s="512"/>
      <c r="V23" s="57"/>
      <c r="W23" s="114"/>
      <c r="X23" s="49"/>
      <c r="Y23" s="50"/>
      <c r="Z23" s="115"/>
      <c r="AA23" s="114" t="s">
        <v>17570</v>
      </c>
      <c r="AB23" s="49"/>
      <c r="AC23" s="50"/>
      <c r="AD23" s="115"/>
      <c r="AE23" s="208">
        <f>ROUND((ROUND((ROUND((_15_同援日０．５*_15・通訳),0)*(1+_15・A深夜)),0)*(1+_15・区３)),0)+ROUND((ROUND((ROUND((_15_同援日０．５＿０．５*_15・通訳),0)*(1+_15・B早朝)),0)*(1+_15・区３)),0)+ROUND((ROUND((_15_同援日０．５＿０．５＿１．０*_15・通訳),0)*(1+_15・区３)),0)</f>
        <v>671</v>
      </c>
      <c r="AF23" s="48"/>
    </row>
    <row r="24" spans="1:32" ht="16.5" customHeight="1" x14ac:dyDescent="0.15">
      <c r="A24" s="41">
        <v>15</v>
      </c>
      <c r="B24" s="41" t="s">
        <v>28449</v>
      </c>
      <c r="C24" s="74" t="s">
        <v>28450</v>
      </c>
      <c r="D24" s="72"/>
      <c r="F24" s="57"/>
      <c r="G24" s="72"/>
      <c r="I24" s="57"/>
      <c r="J24" s="72"/>
      <c r="L24" s="57"/>
      <c r="M24" s="35"/>
      <c r="P24" s="299" t="s">
        <v>17556</v>
      </c>
      <c r="Q24" s="45" t="s">
        <v>398</v>
      </c>
      <c r="R24" s="46">
        <v>1</v>
      </c>
      <c r="S24" s="512"/>
      <c r="T24" s="57"/>
      <c r="U24" s="512"/>
      <c r="V24" s="57"/>
      <c r="W24" s="122"/>
      <c r="X24" s="37"/>
      <c r="Y24" s="38"/>
      <c r="Z24" s="79"/>
      <c r="AA24" s="72" t="s">
        <v>17572</v>
      </c>
      <c r="AD24" s="57"/>
      <c r="AE24" s="208">
        <f>ROUND((ROUND((ROUND((ROUND((_15_同援日０．５*_15・通訳),0)*_15・２人),0)*(1+_15・A深夜)),0)*(1+_15・区３)),0)+ROUND((ROUND((ROUND((ROUND((_15_同援日０．５＿０．５*_15・通訳),0)*_15・２人),0)*(1+_15・B早朝)),0)*(1+_15・区３)),0)+ROUND((ROUND((ROUND((_15_同援日０．５＿０．５＿１．０*_15・通訳),0)*_15・２人),0)*(1+_15・区３)),0)</f>
        <v>671</v>
      </c>
      <c r="AF24" s="48"/>
    </row>
    <row r="25" spans="1:32" ht="16.5" customHeight="1" x14ac:dyDescent="0.15">
      <c r="A25" s="41">
        <v>15</v>
      </c>
      <c r="B25" s="41" t="s">
        <v>3403</v>
      </c>
      <c r="C25" s="74" t="s">
        <v>28451</v>
      </c>
      <c r="D25" s="72"/>
      <c r="F25" s="57"/>
      <c r="G25" s="72"/>
      <c r="I25" s="57"/>
      <c r="J25" s="72"/>
      <c r="L25" s="57"/>
      <c r="M25" s="35"/>
      <c r="P25" s="299"/>
      <c r="Q25" s="45"/>
      <c r="R25" s="46"/>
      <c r="S25" s="512"/>
      <c r="T25" s="57"/>
      <c r="U25" s="512"/>
      <c r="V25" s="57"/>
      <c r="W25" s="114" t="s">
        <v>17562</v>
      </c>
      <c r="X25" s="49"/>
      <c r="Y25" s="50"/>
      <c r="Z25" s="115"/>
      <c r="AA25" s="72"/>
      <c r="AB25" s="12" t="s">
        <v>398</v>
      </c>
      <c r="AC25" s="13">
        <v>0.2</v>
      </c>
      <c r="AD25" s="57" t="s">
        <v>3575</v>
      </c>
      <c r="AE25" s="208">
        <f>ROUND((ROUND((ROUND((ROUND((_15_同援日０．５*_15・通訳),0)*(1+_15・A深夜)),0)*(1+_15・盲ろう)),0)*(1+_15・区３)),0)+ROUND((ROUND((ROUND((ROUND((_15_同援日０．５＿０．５*_15・通訳),0)*(1+_15・B早朝)),0)*(1+_15・盲ろう)),0)*(1+_15・区３)),0)+ROUND((ROUND((ROUND((_15_同援日０．５＿０．５＿１．０*_15・通訳),0)*(1+_15・盲ろう)),0)*(1+_15・区３)),0)</f>
        <v>839</v>
      </c>
      <c r="AF25" s="48"/>
    </row>
    <row r="26" spans="1:32" ht="16.5" customHeight="1" x14ac:dyDescent="0.15">
      <c r="A26" s="41">
        <v>15</v>
      </c>
      <c r="B26" s="41" t="s">
        <v>3405</v>
      </c>
      <c r="C26" s="74" t="s">
        <v>28452</v>
      </c>
      <c r="D26" s="72"/>
      <c r="F26" s="57"/>
      <c r="G26" s="72"/>
      <c r="I26" s="57"/>
      <c r="J26" s="72"/>
      <c r="L26" s="57"/>
      <c r="M26" s="35"/>
      <c r="P26" s="299" t="s">
        <v>17556</v>
      </c>
      <c r="Q26" s="45" t="s">
        <v>398</v>
      </c>
      <c r="R26" s="46">
        <v>1</v>
      </c>
      <c r="S26" s="512"/>
      <c r="T26" s="57"/>
      <c r="U26" s="512"/>
      <c r="V26" s="57"/>
      <c r="W26" s="122" t="s">
        <v>17564</v>
      </c>
      <c r="X26" s="37" t="s">
        <v>398</v>
      </c>
      <c r="Y26" s="38">
        <v>0.25</v>
      </c>
      <c r="Z26" s="79" t="s">
        <v>3575</v>
      </c>
      <c r="AA26" s="122"/>
      <c r="AB26" s="37"/>
      <c r="AC26" s="38"/>
      <c r="AD26" s="79"/>
      <c r="AE26" s="208">
        <f>ROUND((ROUND((ROUND((ROUND((ROUND((_15_同援日０．５*_15・通訳),0)*_15・２人),0)*(1+_15・A深夜)),0)*(1+_15・盲ろう)),0)*(1+_15・区３)),0)+ROUND((ROUND((ROUND((ROUND((ROUND((_15_同援日０．５＿０．５*_15・通訳),0)*_15・２人),0)*(1+_15・B早朝)),0)*(1+_15・盲ろう)),0)*(1+_15・区３)),0)+ROUND((ROUND((ROUND((ROUND((_15_同援日０．５＿０．５＿１．０*_15・通訳),0)*_15・２人),0)*(1+_15・盲ろう)),0)*(1+_15・区３)),0)</f>
        <v>839</v>
      </c>
      <c r="AF26" s="48"/>
    </row>
    <row r="27" spans="1:32" ht="16.5" customHeight="1" x14ac:dyDescent="0.15">
      <c r="A27" s="41">
        <v>15</v>
      </c>
      <c r="B27" s="41" t="s">
        <v>28453</v>
      </c>
      <c r="C27" s="74" t="s">
        <v>28454</v>
      </c>
      <c r="D27" s="72"/>
      <c r="F27" s="57"/>
      <c r="G27" s="72"/>
      <c r="I27" s="57"/>
      <c r="J27" s="72"/>
      <c r="L27" s="57"/>
      <c r="M27" s="35"/>
      <c r="P27" s="299"/>
      <c r="Q27" s="45"/>
      <c r="R27" s="46"/>
      <c r="S27" s="512"/>
      <c r="T27" s="57"/>
      <c r="U27" s="512"/>
      <c r="V27" s="57"/>
      <c r="W27" s="114"/>
      <c r="X27" s="49"/>
      <c r="Y27" s="50"/>
      <c r="Z27" s="115"/>
      <c r="AA27" s="114" t="s">
        <v>17580</v>
      </c>
      <c r="AB27" s="49"/>
      <c r="AC27" s="50"/>
      <c r="AD27" s="115"/>
      <c r="AE27" s="208">
        <f>ROUND((ROUND((ROUND((_15_同援日０．５*_15・通訳),0)*(1+_15・A深夜)),0)*(1+_15・区４)),0)+ROUND((ROUND((ROUND((_15_同援日０．５＿０．５*_15・通訳),0)*(1+_15・B早朝)),0)*(1+_15・区４)),0)+ROUND((ROUND((_15_同援日０．５＿０．５＿１．０*_15・通訳),0)*(1+_15・区４)),0)</f>
        <v>783</v>
      </c>
      <c r="AF27" s="48"/>
    </row>
    <row r="28" spans="1:32" ht="16.5" customHeight="1" x14ac:dyDescent="0.15">
      <c r="A28" s="41">
        <v>15</v>
      </c>
      <c r="B28" s="41" t="s">
        <v>28455</v>
      </c>
      <c r="C28" s="74" t="s">
        <v>28456</v>
      </c>
      <c r="D28" s="72"/>
      <c r="F28" s="57"/>
      <c r="G28" s="72"/>
      <c r="I28" s="57"/>
      <c r="J28" s="72"/>
      <c r="L28" s="57"/>
      <c r="M28" s="35"/>
      <c r="P28" s="299" t="s">
        <v>17556</v>
      </c>
      <c r="Q28" s="45" t="s">
        <v>398</v>
      </c>
      <c r="R28" s="46">
        <v>1</v>
      </c>
      <c r="S28" s="512"/>
      <c r="T28" s="57"/>
      <c r="U28" s="512"/>
      <c r="V28" s="57"/>
      <c r="W28" s="122"/>
      <c r="X28" s="37"/>
      <c r="Y28" s="38"/>
      <c r="Z28" s="79"/>
      <c r="AA28" s="72" t="s">
        <v>17572</v>
      </c>
      <c r="AD28" s="57"/>
      <c r="AE28" s="208">
        <f>ROUND((ROUND((ROUND((ROUND((_15_同援日０．５*_15・通訳),0)*_15・２人),0)*(1+_15・A深夜)),0)*(1+_15・区４)),0)+ROUND((ROUND((ROUND((ROUND((_15_同援日０．５＿０．５*_15・通訳),0)*_15・２人),0)*(1+_15・B早朝)),0)*(1+_15・区４)),0)+ROUND((ROUND((ROUND((_15_同援日０．５＿０．５＿１．０*_15・通訳),0)*_15・２人),0)*(1+_15・区４)),0)</f>
        <v>783</v>
      </c>
      <c r="AF28" s="48"/>
    </row>
    <row r="29" spans="1:32" ht="16.5" customHeight="1" x14ac:dyDescent="0.15">
      <c r="A29" s="41">
        <v>15</v>
      </c>
      <c r="B29" s="41" t="s">
        <v>28457</v>
      </c>
      <c r="C29" s="74" t="s">
        <v>28458</v>
      </c>
      <c r="D29" s="72"/>
      <c r="F29" s="57"/>
      <c r="G29" s="72"/>
      <c r="I29" s="57"/>
      <c r="J29" s="72"/>
      <c r="L29" s="57"/>
      <c r="M29" s="35"/>
      <c r="P29" s="299"/>
      <c r="Q29" s="45"/>
      <c r="R29" s="46"/>
      <c r="S29" s="512"/>
      <c r="T29" s="57"/>
      <c r="U29" s="512"/>
      <c r="V29" s="57"/>
      <c r="W29" s="114" t="s">
        <v>17562</v>
      </c>
      <c r="X29" s="49"/>
      <c r="Y29" s="50"/>
      <c r="Z29" s="115"/>
      <c r="AA29" s="72"/>
      <c r="AB29" s="12" t="s">
        <v>398</v>
      </c>
      <c r="AC29" s="13">
        <v>0.4</v>
      </c>
      <c r="AD29" s="57" t="s">
        <v>3575</v>
      </c>
      <c r="AE29" s="208">
        <f>ROUND((ROUND((ROUND((ROUND((_15_同援日０．５*_15・通訳),0)*(1+_15・A深夜)),0)*(1+_15・盲ろう)),0)*(1+_15・区４)),0)+ROUND((ROUND((ROUND((ROUND((_15_同援日０．５＿０．５*_15・通訳),0)*(1+_15・B早朝)),0)*(1+_15・盲ろう)),0)*(1+_15・区４)),0)+ROUND((ROUND((ROUND((_15_同援日０．５＿０．５＿１．０*_15・通訳),0)*(1+_15・盲ろう)),0)*(1+_15・区４)),0)</f>
        <v>978</v>
      </c>
      <c r="AF29" s="48"/>
    </row>
    <row r="30" spans="1:32" ht="16.5" customHeight="1" x14ac:dyDescent="0.15">
      <c r="A30" s="41">
        <v>15</v>
      </c>
      <c r="B30" s="41" t="s">
        <v>28459</v>
      </c>
      <c r="C30" s="74" t="s">
        <v>28460</v>
      </c>
      <c r="D30" s="72"/>
      <c r="F30" s="57"/>
      <c r="G30" s="72"/>
      <c r="I30" s="57"/>
      <c r="J30" s="122"/>
      <c r="K30" s="37"/>
      <c r="L30" s="79"/>
      <c r="M30" s="35"/>
      <c r="P30" s="299" t="s">
        <v>17556</v>
      </c>
      <c r="Q30" s="45" t="s">
        <v>398</v>
      </c>
      <c r="R30" s="46">
        <v>1</v>
      </c>
      <c r="S30" s="512"/>
      <c r="T30" s="57"/>
      <c r="U30" s="512"/>
      <c r="V30" s="57"/>
      <c r="W30" s="122" t="s">
        <v>17564</v>
      </c>
      <c r="X30" s="37" t="s">
        <v>398</v>
      </c>
      <c r="Y30" s="38">
        <v>0.25</v>
      </c>
      <c r="Z30" s="79" t="s">
        <v>3575</v>
      </c>
      <c r="AA30" s="122"/>
      <c r="AB30" s="37"/>
      <c r="AC30" s="38"/>
      <c r="AD30" s="79"/>
      <c r="AE30" s="208">
        <f>ROUND((ROUND((ROUND((ROUND((ROUND((_15_同援日０．５*_15・通訳),0)*_15・２人),0)*(1+_15・A深夜)),0)*(1+_15・盲ろう)),0)*(1+_15・区４)),0)+ROUND((ROUND((ROUND((ROUND((ROUND((_15_同援日０．５＿０．５*_15・通訳),0)*_15・２人),0)*(1+_15・B早朝)),0)*(1+_15・盲ろう)),0)*(1+_15・区４)),0)+ROUND((ROUND((ROUND((ROUND((_15_同援日０．５＿０．５＿１．０*_15・通訳),0)*_15・２人),0)*(1+_15・盲ろう)),0)*(1+_15・区４)),0)</f>
        <v>978</v>
      </c>
      <c r="AF30" s="48"/>
    </row>
    <row r="31" spans="1:32" ht="16.5" customHeight="1" x14ac:dyDescent="0.15">
      <c r="A31" s="41">
        <v>15</v>
      </c>
      <c r="B31" s="41" t="s">
        <v>28461</v>
      </c>
      <c r="C31" s="74" t="s">
        <v>28462</v>
      </c>
      <c r="D31" s="72"/>
      <c r="F31" s="57"/>
      <c r="G31" s="72"/>
      <c r="I31" s="57"/>
      <c r="J31" s="114" t="s">
        <v>21291</v>
      </c>
      <c r="K31" s="49"/>
      <c r="L31" s="115"/>
      <c r="M31" s="35"/>
      <c r="P31" s="299"/>
      <c r="Q31" s="45"/>
      <c r="R31" s="46"/>
      <c r="S31" s="512"/>
      <c r="T31" s="57"/>
      <c r="U31" s="512"/>
      <c r="V31" s="57"/>
      <c r="W31" s="114"/>
      <c r="X31" s="49"/>
      <c r="Y31" s="50"/>
      <c r="Z31" s="115"/>
      <c r="AA31" s="114"/>
      <c r="AB31" s="49"/>
      <c r="AC31" s="50"/>
      <c r="AD31" s="115"/>
      <c r="AE31" s="208">
        <f>ROUND((ROUND((_15_同援日０．５*_15・通訳),0)*(1+_15・A深夜)),0)+ROUND((ROUND((_15_同援日０．５＿０．５*_15・通訳),0)*(1+_15・B早朝)),0)+ROUND((_15_同援日０．５＿０．５＿１．５*_15・通訳),0)</f>
        <v>618</v>
      </c>
      <c r="AF31" s="48"/>
    </row>
    <row r="32" spans="1:32" ht="16.5" customHeight="1" x14ac:dyDescent="0.15">
      <c r="A32" s="41">
        <v>15</v>
      </c>
      <c r="B32" s="41" t="s">
        <v>28463</v>
      </c>
      <c r="C32" s="74" t="s">
        <v>28464</v>
      </c>
      <c r="D32" s="72"/>
      <c r="F32" s="57"/>
      <c r="G32" s="72"/>
      <c r="I32" s="57"/>
      <c r="J32" s="72" t="s">
        <v>17616</v>
      </c>
      <c r="L32" s="57"/>
      <c r="M32" s="35"/>
      <c r="P32" s="299" t="s">
        <v>17556</v>
      </c>
      <c r="Q32" s="45" t="s">
        <v>398</v>
      </c>
      <c r="R32" s="46">
        <v>1</v>
      </c>
      <c r="S32" s="512"/>
      <c r="T32" s="57"/>
      <c r="U32" s="512"/>
      <c r="V32" s="57"/>
      <c r="W32" s="122"/>
      <c r="X32" s="37"/>
      <c r="Y32" s="38"/>
      <c r="Z32" s="79"/>
      <c r="AA32" s="72"/>
      <c r="AD32" s="57"/>
      <c r="AE32" s="208">
        <f>ROUND((ROUND((ROUND((_15_同援日０．５*_15・通訳),0)*_15・２人),0)*(1+_15・A深夜)),0)+ROUND((ROUND((ROUND((_15_同援日０．５＿０．５*_15・通訳),0)*_15・２人),0)*(1+_15・B早朝)),0)+ROUND((ROUND((_15_同援日０．５＿０．５＿１．５*_15・通訳),0)*_15・２人),0)</f>
        <v>618</v>
      </c>
      <c r="AF32" s="48"/>
    </row>
    <row r="33" spans="1:32" ht="16.5" customHeight="1" x14ac:dyDescent="0.15">
      <c r="A33" s="41">
        <v>15</v>
      </c>
      <c r="B33" s="41" t="s">
        <v>28465</v>
      </c>
      <c r="C33" s="74" t="s">
        <v>28466</v>
      </c>
      <c r="D33" s="72"/>
      <c r="F33" s="57"/>
      <c r="G33" s="72"/>
      <c r="I33" s="57"/>
      <c r="J33" s="72" t="s">
        <v>18183</v>
      </c>
      <c r="L33" s="57"/>
      <c r="M33" s="35"/>
      <c r="P33" s="299"/>
      <c r="Q33" s="45"/>
      <c r="R33" s="46"/>
      <c r="S33" s="512"/>
      <c r="T33" s="57"/>
      <c r="U33" s="512"/>
      <c r="V33" s="57"/>
      <c r="W33" s="114" t="s">
        <v>17562</v>
      </c>
      <c r="X33" s="49"/>
      <c r="Y33" s="50"/>
      <c r="Z33" s="115"/>
      <c r="AA33" s="72"/>
      <c r="AD33" s="57"/>
      <c r="AE33" s="208">
        <f>ROUND((ROUND((ROUND((_15_同援日０．５*_15・通訳),0)*(1+_15・A深夜)),0)*(1+_15・盲ろう)),0)+ROUND((ROUND((ROUND((_15_同援日０．５＿０．５*_15・通訳),0)*(1+_15・B早朝)),0)*(1+_15・盲ろう)),0)+ROUND((ROUND((_15_同援日０．５＿０．５＿１．５*_15・通訳),0)*(1+_15・盲ろう)),0)</f>
        <v>772</v>
      </c>
      <c r="AF33" s="48"/>
    </row>
    <row r="34" spans="1:32" ht="16.5" customHeight="1" x14ac:dyDescent="0.15">
      <c r="A34" s="41">
        <v>15</v>
      </c>
      <c r="B34" s="41" t="s">
        <v>28467</v>
      </c>
      <c r="C34" s="74" t="s">
        <v>28468</v>
      </c>
      <c r="D34" s="72"/>
      <c r="F34" s="57"/>
      <c r="G34" s="72"/>
      <c r="I34" s="57"/>
      <c r="J34" s="72"/>
      <c r="K34" s="168">
        <f>_15_同援日０．５＿０．５＿１．５</f>
        <v>263</v>
      </c>
      <c r="L34" s="57" t="s">
        <v>392</v>
      </c>
      <c r="M34" s="35"/>
      <c r="P34" s="299" t="s">
        <v>17556</v>
      </c>
      <c r="Q34" s="45" t="s">
        <v>398</v>
      </c>
      <c r="R34" s="46">
        <v>1</v>
      </c>
      <c r="S34" s="512"/>
      <c r="T34" s="57"/>
      <c r="U34" s="512"/>
      <c r="V34" s="57"/>
      <c r="W34" s="122" t="s">
        <v>17564</v>
      </c>
      <c r="X34" s="37" t="s">
        <v>398</v>
      </c>
      <c r="Y34" s="38">
        <v>0.25</v>
      </c>
      <c r="Z34" s="79" t="s">
        <v>3575</v>
      </c>
      <c r="AA34" s="122"/>
      <c r="AB34" s="37"/>
      <c r="AC34" s="38"/>
      <c r="AD34" s="79"/>
      <c r="AE34" s="208">
        <f>ROUND((ROUND((ROUND((ROUND((_15_同援日０．５*_15・通訳),0)*_15・２人),0)*(1+_15・A深夜)),0)*(1+_15・盲ろう)),0)+ROUND((ROUND((ROUND((ROUND((_15_同援日０．５＿０．５*_15・通訳),0)*_15・２人),0)*(1+_15・B早朝)),0)*(1+_15・盲ろう)),0)+ROUND((ROUND((ROUND((_15_同援日０．５＿０．５＿１．５*_15・通訳),0)*_15・２人),0)*(1+_15・盲ろう)),0)</f>
        <v>772</v>
      </c>
      <c r="AF34" s="48"/>
    </row>
    <row r="35" spans="1:32" ht="16.5" customHeight="1" x14ac:dyDescent="0.15">
      <c r="A35" s="41">
        <v>15</v>
      </c>
      <c r="B35" s="41" t="s">
        <v>3410</v>
      </c>
      <c r="C35" s="74" t="s">
        <v>28469</v>
      </c>
      <c r="D35" s="72"/>
      <c r="F35" s="57"/>
      <c r="G35" s="72"/>
      <c r="I35" s="57"/>
      <c r="J35" s="72"/>
      <c r="L35" s="57"/>
      <c r="M35" s="35"/>
      <c r="P35" s="299"/>
      <c r="Q35" s="45"/>
      <c r="R35" s="46"/>
      <c r="S35" s="512"/>
      <c r="T35" s="57"/>
      <c r="U35" s="512"/>
      <c r="V35" s="57"/>
      <c r="W35" s="114"/>
      <c r="X35" s="49"/>
      <c r="Y35" s="50"/>
      <c r="Z35" s="115"/>
      <c r="AA35" s="114" t="s">
        <v>17570</v>
      </c>
      <c r="AB35" s="49"/>
      <c r="AC35" s="50"/>
      <c r="AD35" s="115"/>
      <c r="AE35" s="208">
        <f>ROUND((ROUND((ROUND((_15_同援日０．５*_15・通訳),0)*(1+_15・A深夜)),0)*(1+_15・区３)),0)+ROUND((ROUND((ROUND((_15_同援日０．５＿０．５*_15・通訳),0)*(1+_15・B早朝)),0)*(1+_15・区３)),0)+ROUND((ROUND((_15_同援日０．５＿０．５＿１．５*_15・通訳),0)*(1+_15・区３)),0)</f>
        <v>741</v>
      </c>
      <c r="AF35" s="48"/>
    </row>
    <row r="36" spans="1:32" ht="16.5" customHeight="1" x14ac:dyDescent="0.15">
      <c r="A36" s="41">
        <v>15</v>
      </c>
      <c r="B36" s="41" t="s">
        <v>3412</v>
      </c>
      <c r="C36" s="74" t="s">
        <v>28470</v>
      </c>
      <c r="D36" s="72"/>
      <c r="F36" s="57"/>
      <c r="G36" s="72"/>
      <c r="I36" s="57"/>
      <c r="J36" s="72"/>
      <c r="L36" s="57"/>
      <c r="M36" s="35"/>
      <c r="P36" s="299" t="s">
        <v>17556</v>
      </c>
      <c r="Q36" s="45" t="s">
        <v>398</v>
      </c>
      <c r="R36" s="46">
        <v>1</v>
      </c>
      <c r="S36" s="512"/>
      <c r="T36" s="57"/>
      <c r="U36" s="512"/>
      <c r="V36" s="57"/>
      <c r="W36" s="122"/>
      <c r="X36" s="37"/>
      <c r="Y36" s="38"/>
      <c r="Z36" s="79"/>
      <c r="AA36" s="72" t="s">
        <v>17572</v>
      </c>
      <c r="AD36" s="57"/>
      <c r="AE36" s="208">
        <f>ROUND((ROUND((ROUND((ROUND((_15_同援日０．５*_15・通訳),0)*_15・２人),0)*(1+_15・A深夜)),0)*(1+_15・区３)),0)+ROUND((ROUND((ROUND((ROUND((_15_同援日０．５＿０．５*_15・通訳),0)*_15・２人),0)*(1+_15・B早朝)),0)*(1+_15・区３)),0)+ROUND((ROUND((ROUND((_15_同援日０．５＿０．５＿１．５*_15・通訳),0)*_15・２人),0)*(1+_15・区３)),0)</f>
        <v>741</v>
      </c>
      <c r="AF36" s="48"/>
    </row>
    <row r="37" spans="1:32" ht="16.5" customHeight="1" x14ac:dyDescent="0.15">
      <c r="A37" s="41">
        <v>15</v>
      </c>
      <c r="B37" s="41" t="s">
        <v>28471</v>
      </c>
      <c r="C37" s="74" t="s">
        <v>28472</v>
      </c>
      <c r="D37" s="72"/>
      <c r="F37" s="57"/>
      <c r="G37" s="72"/>
      <c r="I37" s="57"/>
      <c r="J37" s="72"/>
      <c r="L37" s="57"/>
      <c r="M37" s="35"/>
      <c r="P37" s="299"/>
      <c r="Q37" s="45"/>
      <c r="R37" s="46"/>
      <c r="S37" s="512"/>
      <c r="T37" s="57"/>
      <c r="U37" s="512"/>
      <c r="V37" s="57"/>
      <c r="W37" s="114" t="s">
        <v>17562</v>
      </c>
      <c r="X37" s="49"/>
      <c r="Y37" s="50"/>
      <c r="Z37" s="115"/>
      <c r="AA37" s="72"/>
      <c r="AB37" s="12" t="s">
        <v>398</v>
      </c>
      <c r="AC37" s="13">
        <v>0.2</v>
      </c>
      <c r="AD37" s="57" t="s">
        <v>3575</v>
      </c>
      <c r="AE37" s="208">
        <f>ROUND((ROUND((ROUND((ROUND((_15_同援日０．５*_15・通訳),0)*(1+_15・A深夜)),0)*(1+_15・盲ろう)),0)*(1+_15・区３)),0)+ROUND((ROUND((ROUND((ROUND((_15_同援日０．５＿０．５*_15・通訳),0)*(1+_15・B早朝)),0)*(1+_15・盲ろう)),0)*(1+_15・区３)),0)+ROUND((ROUND((ROUND((_15_同援日０．５＿０．５＿１．５*_15・通訳),0)*(1+_15・盲ろう)),0)*(1+_15・区３)),0)</f>
        <v>926</v>
      </c>
      <c r="AF37" s="48"/>
    </row>
    <row r="38" spans="1:32" ht="16.5" customHeight="1" x14ac:dyDescent="0.15">
      <c r="A38" s="41">
        <v>15</v>
      </c>
      <c r="B38" s="41" t="s">
        <v>28473</v>
      </c>
      <c r="C38" s="74" t="s">
        <v>28474</v>
      </c>
      <c r="D38" s="72"/>
      <c r="F38" s="57"/>
      <c r="G38" s="72"/>
      <c r="I38" s="57"/>
      <c r="J38" s="72"/>
      <c r="L38" s="57"/>
      <c r="M38" s="35"/>
      <c r="P38" s="299" t="s">
        <v>17556</v>
      </c>
      <c r="Q38" s="45" t="s">
        <v>398</v>
      </c>
      <c r="R38" s="46">
        <v>1</v>
      </c>
      <c r="S38" s="512"/>
      <c r="T38" s="57"/>
      <c r="U38" s="512"/>
      <c r="V38" s="57"/>
      <c r="W38" s="122" t="s">
        <v>17564</v>
      </c>
      <c r="X38" s="37" t="s">
        <v>398</v>
      </c>
      <c r="Y38" s="38">
        <v>0.25</v>
      </c>
      <c r="Z38" s="79" t="s">
        <v>3575</v>
      </c>
      <c r="AA38" s="122"/>
      <c r="AB38" s="37"/>
      <c r="AC38" s="38"/>
      <c r="AD38" s="79"/>
      <c r="AE38" s="208">
        <f>ROUND((ROUND((ROUND((ROUND((ROUND((_15_同援日０．５*_15・通訳),0)*_15・２人),0)*(1+_15・A深夜)),0)*(1+_15・盲ろう)),0)*(1+_15・区３)),0)+ROUND((ROUND((ROUND((ROUND((ROUND((_15_同援日０．５＿０．５*_15・通訳),0)*_15・２人),0)*(1+_15・B早朝)),0)*(1+_15・盲ろう)),0)*(1+_15・区３)),0)+ROUND((ROUND((ROUND((ROUND((_15_同援日０．５＿０．５＿１．５*_15・通訳),0)*_15・２人),0)*(1+_15・盲ろう)),0)*(1+_15・区３)),0)</f>
        <v>926</v>
      </c>
      <c r="AF38" s="48"/>
    </row>
    <row r="39" spans="1:32" ht="16.5" customHeight="1" x14ac:dyDescent="0.15">
      <c r="A39" s="41">
        <v>15</v>
      </c>
      <c r="B39" s="41" t="s">
        <v>28475</v>
      </c>
      <c r="C39" s="74" t="s">
        <v>28476</v>
      </c>
      <c r="D39" s="72"/>
      <c r="F39" s="57"/>
      <c r="G39" s="72"/>
      <c r="I39" s="57"/>
      <c r="J39" s="72"/>
      <c r="L39" s="57"/>
      <c r="M39" s="35"/>
      <c r="P39" s="299"/>
      <c r="Q39" s="45"/>
      <c r="R39" s="46"/>
      <c r="S39" s="512"/>
      <c r="T39" s="57"/>
      <c r="U39" s="512"/>
      <c r="V39" s="57"/>
      <c r="W39" s="114"/>
      <c r="X39" s="49"/>
      <c r="Y39" s="50"/>
      <c r="Z39" s="115"/>
      <c r="AA39" s="114" t="s">
        <v>17580</v>
      </c>
      <c r="AB39" s="49"/>
      <c r="AC39" s="50"/>
      <c r="AD39" s="115"/>
      <c r="AE39" s="208">
        <f>ROUND((ROUND((ROUND((_15_同援日０．５*_15・通訳),0)*(1+_15・A深夜)),0)*(1+_15・区４)),0)+ROUND((ROUND((ROUND((_15_同援日０．５＿０．５*_15・通訳),0)*(1+_15・B早朝)),0)*(1+_15・区４)),0)+ROUND((ROUND((_15_同援日０．５＿０．５＿１．５*_15・通訳),0)*(1+_15・区４)),0)</f>
        <v>866</v>
      </c>
      <c r="AF39" s="48"/>
    </row>
    <row r="40" spans="1:32" ht="16.5" customHeight="1" x14ac:dyDescent="0.15">
      <c r="A40" s="41">
        <v>15</v>
      </c>
      <c r="B40" s="41" t="s">
        <v>28477</v>
      </c>
      <c r="C40" s="74" t="s">
        <v>28478</v>
      </c>
      <c r="D40" s="72"/>
      <c r="F40" s="57"/>
      <c r="G40" s="72"/>
      <c r="I40" s="57"/>
      <c r="J40" s="72"/>
      <c r="L40" s="57"/>
      <c r="M40" s="35"/>
      <c r="P40" s="299" t="s">
        <v>17556</v>
      </c>
      <c r="Q40" s="45" t="s">
        <v>398</v>
      </c>
      <c r="R40" s="46">
        <v>1</v>
      </c>
      <c r="S40" s="512"/>
      <c r="T40" s="57"/>
      <c r="U40" s="512"/>
      <c r="V40" s="57"/>
      <c r="W40" s="122"/>
      <c r="X40" s="37"/>
      <c r="Y40" s="38"/>
      <c r="Z40" s="79"/>
      <c r="AA40" s="72" t="s">
        <v>17572</v>
      </c>
      <c r="AD40" s="57"/>
      <c r="AE40" s="208">
        <f>ROUND((ROUND((ROUND((ROUND((_15_同援日０．５*_15・通訳),0)*_15・２人),0)*(1+_15・A深夜)),0)*(1+_15・区４)),0)+ROUND((ROUND((ROUND((ROUND((_15_同援日０．５＿０．５*_15・通訳),0)*_15・２人),0)*(1+_15・B早朝)),0)*(1+_15・区４)),0)+ROUND((ROUND((ROUND((_15_同援日０．５＿０．５＿１．５*_15・通訳),0)*_15・２人),0)*(1+_15・区４)),0)</f>
        <v>866</v>
      </c>
      <c r="AF40" s="48"/>
    </row>
    <row r="41" spans="1:32" ht="16.5" customHeight="1" x14ac:dyDescent="0.15">
      <c r="A41" s="41">
        <v>15</v>
      </c>
      <c r="B41" s="41" t="s">
        <v>28479</v>
      </c>
      <c r="C41" s="74" t="s">
        <v>28480</v>
      </c>
      <c r="D41" s="72"/>
      <c r="F41" s="57"/>
      <c r="G41" s="72"/>
      <c r="I41" s="57"/>
      <c r="J41" s="72"/>
      <c r="L41" s="57"/>
      <c r="M41" s="35"/>
      <c r="P41" s="299"/>
      <c r="Q41" s="45"/>
      <c r="R41" s="46"/>
      <c r="S41" s="512"/>
      <c r="T41" s="57"/>
      <c r="U41" s="512"/>
      <c r="V41" s="57"/>
      <c r="W41" s="114" t="s">
        <v>17562</v>
      </c>
      <c r="X41" s="49"/>
      <c r="Y41" s="50"/>
      <c r="Z41" s="115"/>
      <c r="AA41" s="72"/>
      <c r="AB41" s="12" t="s">
        <v>398</v>
      </c>
      <c r="AC41" s="13">
        <v>0.4</v>
      </c>
      <c r="AD41" s="57" t="s">
        <v>3575</v>
      </c>
      <c r="AE41" s="208">
        <f>ROUND((ROUND((ROUND((ROUND((_15_同援日０．５*_15・通訳),0)*(1+_15・A深夜)),0)*(1+_15・盲ろう)),0)*(1+_15・区４)),0)+ROUND((ROUND((ROUND((ROUND((_15_同援日０．５＿０．５*_15・通訳),0)*(1+_15・B早朝)),0)*(1+_15・盲ろう)),0)*(1+_15・区４)),0)+ROUND((ROUND((ROUND((_15_同援日０．５＿０．５＿１．５*_15・通訳),0)*(1+_15・盲ろう)),0)*(1+_15・区４)),0)</f>
        <v>1080</v>
      </c>
      <c r="AF41" s="48"/>
    </row>
    <row r="42" spans="1:32" ht="16.5" customHeight="1" x14ac:dyDescent="0.15">
      <c r="A42" s="41">
        <v>15</v>
      </c>
      <c r="B42" s="41" t="s">
        <v>28481</v>
      </c>
      <c r="C42" s="74" t="s">
        <v>28482</v>
      </c>
      <c r="D42" s="72"/>
      <c r="F42" s="57"/>
      <c r="G42" s="72"/>
      <c r="I42" s="57"/>
      <c r="J42" s="122"/>
      <c r="K42" s="37"/>
      <c r="L42" s="79"/>
      <c r="M42" s="35"/>
      <c r="P42" s="299" t="s">
        <v>17556</v>
      </c>
      <c r="Q42" s="45" t="s">
        <v>398</v>
      </c>
      <c r="R42" s="46">
        <v>1</v>
      </c>
      <c r="S42" s="512"/>
      <c r="T42" s="57"/>
      <c r="U42" s="512"/>
      <c r="V42" s="57"/>
      <c r="W42" s="122" t="s">
        <v>17564</v>
      </c>
      <c r="X42" s="37" t="s">
        <v>398</v>
      </c>
      <c r="Y42" s="38">
        <v>0.25</v>
      </c>
      <c r="Z42" s="79" t="s">
        <v>3575</v>
      </c>
      <c r="AA42" s="122"/>
      <c r="AB42" s="37"/>
      <c r="AC42" s="38"/>
      <c r="AD42" s="79"/>
      <c r="AE42" s="208">
        <f>ROUND((ROUND((ROUND((ROUND((ROUND((_15_同援日０．５*_15・通訳),0)*_15・２人),0)*(1+_15・A深夜)),0)*(1+_15・盲ろう)),0)*(1+_15・区４)),0)+ROUND((ROUND((ROUND((ROUND((ROUND((_15_同援日０．５＿０．５*_15・通訳),0)*_15・２人),0)*(1+_15・B早朝)),0)*(1+_15・盲ろう)),0)*(1+_15・区４)),0)+ROUND((ROUND((ROUND((ROUND((_15_同援日０．５＿０．５＿１．５*_15・通訳),0)*_15・２人),0)*(1+_15・盲ろう)),0)*(1+_15・区４)),0)</f>
        <v>1080</v>
      </c>
      <c r="AF42" s="48"/>
    </row>
    <row r="43" spans="1:32" ht="16.5" customHeight="1" x14ac:dyDescent="0.15">
      <c r="A43" s="41">
        <v>15</v>
      </c>
      <c r="B43" s="41" t="s">
        <v>28483</v>
      </c>
      <c r="C43" s="74" t="s">
        <v>28484</v>
      </c>
      <c r="D43" s="72"/>
      <c r="F43" s="57"/>
      <c r="G43" s="72"/>
      <c r="I43" s="57"/>
      <c r="J43" s="114" t="s">
        <v>21336</v>
      </c>
      <c r="K43" s="49"/>
      <c r="L43" s="115"/>
      <c r="M43" s="35"/>
      <c r="P43" s="299"/>
      <c r="Q43" s="45"/>
      <c r="R43" s="46"/>
      <c r="S43" s="512"/>
      <c r="T43" s="57"/>
      <c r="U43" s="512"/>
      <c r="V43" s="57"/>
      <c r="W43" s="114"/>
      <c r="X43" s="49"/>
      <c r="Y43" s="50"/>
      <c r="Z43" s="115"/>
      <c r="AA43" s="114"/>
      <c r="AB43" s="49"/>
      <c r="AC43" s="50"/>
      <c r="AD43" s="115"/>
      <c r="AE43" s="208">
        <f>ROUND((ROUND((_15_同援日０．５*_15・通訳),0)*(1+_15・A深夜)),0)+ROUND((ROUND((_15_同援日０．５＿０．５*_15・通訳),0)*(1+_15・B早朝)),0)+ROUND((_15_同援日０．５＿０．５＿２．０*_15・通訳),0)</f>
        <v>676</v>
      </c>
      <c r="AF43" s="48"/>
    </row>
    <row r="44" spans="1:32" ht="16.5" customHeight="1" x14ac:dyDescent="0.15">
      <c r="A44" s="41">
        <v>15</v>
      </c>
      <c r="B44" s="41" t="s">
        <v>28485</v>
      </c>
      <c r="C44" s="74" t="s">
        <v>28486</v>
      </c>
      <c r="D44" s="72"/>
      <c r="F44" s="57"/>
      <c r="G44" s="72"/>
      <c r="I44" s="57"/>
      <c r="J44" s="72" t="s">
        <v>17643</v>
      </c>
      <c r="L44" s="57"/>
      <c r="M44" s="35"/>
      <c r="P44" s="299" t="s">
        <v>17556</v>
      </c>
      <c r="Q44" s="45" t="s">
        <v>398</v>
      </c>
      <c r="R44" s="46">
        <v>1</v>
      </c>
      <c r="S44" s="512"/>
      <c r="T44" s="57"/>
      <c r="U44" s="512"/>
      <c r="V44" s="57"/>
      <c r="W44" s="122"/>
      <c r="X44" s="37"/>
      <c r="Y44" s="38"/>
      <c r="Z44" s="79"/>
      <c r="AA44" s="72"/>
      <c r="AD44" s="57"/>
      <c r="AE44" s="208">
        <f>ROUND((ROUND((ROUND((_15_同援日０．５*_15・通訳),0)*_15・２人),0)*(1+_15・A深夜)),0)+ROUND((ROUND((ROUND((_15_同援日０．５＿０．５*_15・通訳),0)*_15・２人),0)*(1+_15・B早朝)),0)+ROUND((ROUND((_15_同援日０．５＿０．５＿２．０*_15・通訳),0)*_15・２人),0)</f>
        <v>676</v>
      </c>
      <c r="AF44" s="48"/>
    </row>
    <row r="45" spans="1:32" ht="16.5" customHeight="1" x14ac:dyDescent="0.15">
      <c r="A45" s="41">
        <v>15</v>
      </c>
      <c r="B45" s="41" t="s">
        <v>3417</v>
      </c>
      <c r="C45" s="74" t="s">
        <v>28487</v>
      </c>
      <c r="D45" s="72"/>
      <c r="F45" s="57"/>
      <c r="G45" s="72"/>
      <c r="I45" s="57"/>
      <c r="J45" s="72" t="s">
        <v>17645</v>
      </c>
      <c r="L45" s="57"/>
      <c r="M45" s="35"/>
      <c r="P45" s="299"/>
      <c r="Q45" s="45"/>
      <c r="R45" s="46"/>
      <c r="S45" s="512"/>
      <c r="T45" s="57"/>
      <c r="U45" s="512"/>
      <c r="V45" s="57"/>
      <c r="W45" s="114" t="s">
        <v>17562</v>
      </c>
      <c r="X45" s="49"/>
      <c r="Y45" s="50"/>
      <c r="Z45" s="115"/>
      <c r="AA45" s="72"/>
      <c r="AD45" s="57"/>
      <c r="AE45" s="208">
        <f>ROUND((ROUND((ROUND((_15_同援日０．５*_15・通訳),0)*(1+_15・A深夜)),0)*(1+_15・盲ろう)),0)+ROUND((ROUND((ROUND((_15_同援日０．５＿０．５*_15・通訳),0)*(1+_15・B早朝)),0)*(1+_15・盲ろう)),0)+ROUND((ROUND((_15_同援日０．５＿０．５＿２．０*_15・通訳),0)*(1+_15・盲ろう)),0)</f>
        <v>845</v>
      </c>
      <c r="AF45" s="48"/>
    </row>
    <row r="46" spans="1:32" ht="16.5" customHeight="1" x14ac:dyDescent="0.15">
      <c r="A46" s="41">
        <v>15</v>
      </c>
      <c r="B46" s="41" t="s">
        <v>3419</v>
      </c>
      <c r="C46" s="74" t="s">
        <v>28488</v>
      </c>
      <c r="D46" s="72"/>
      <c r="F46" s="57"/>
      <c r="G46" s="72"/>
      <c r="I46" s="57"/>
      <c r="J46" s="72"/>
      <c r="K46" s="168">
        <f>_15_同援日０．５＿０．５＿２．０</f>
        <v>328</v>
      </c>
      <c r="L46" s="57" t="s">
        <v>392</v>
      </c>
      <c r="M46" s="35"/>
      <c r="P46" s="299" t="s">
        <v>17556</v>
      </c>
      <c r="Q46" s="45" t="s">
        <v>398</v>
      </c>
      <c r="R46" s="46">
        <v>1</v>
      </c>
      <c r="S46" s="512"/>
      <c r="T46" s="57"/>
      <c r="U46" s="512"/>
      <c r="V46" s="57"/>
      <c r="W46" s="122" t="s">
        <v>17564</v>
      </c>
      <c r="X46" s="37" t="s">
        <v>398</v>
      </c>
      <c r="Y46" s="38">
        <v>0.25</v>
      </c>
      <c r="Z46" s="79" t="s">
        <v>3575</v>
      </c>
      <c r="AA46" s="122"/>
      <c r="AB46" s="37"/>
      <c r="AC46" s="38"/>
      <c r="AD46" s="79"/>
      <c r="AE46" s="208">
        <f>ROUND((ROUND((ROUND((ROUND((_15_同援日０．５*_15・通訳),0)*_15・２人),0)*(1+_15・A深夜)),0)*(1+_15・盲ろう)),0)+ROUND((ROUND((ROUND((ROUND((_15_同援日０．５＿０．５*_15・通訳),0)*_15・２人),0)*(1+_15・B早朝)),0)*(1+_15・盲ろう)),0)+ROUND((ROUND((ROUND((_15_同援日０．５＿０．５＿２．０*_15・通訳),0)*_15・２人),0)*(1+_15・盲ろう)),0)</f>
        <v>845</v>
      </c>
      <c r="AF46" s="48"/>
    </row>
    <row r="47" spans="1:32" ht="16.5" customHeight="1" x14ac:dyDescent="0.15">
      <c r="A47" s="41">
        <v>15</v>
      </c>
      <c r="B47" s="41" t="s">
        <v>28489</v>
      </c>
      <c r="C47" s="74" t="s">
        <v>28490</v>
      </c>
      <c r="D47" s="72"/>
      <c r="F47" s="57"/>
      <c r="G47" s="72"/>
      <c r="I47" s="57"/>
      <c r="J47" s="72"/>
      <c r="L47" s="57"/>
      <c r="M47" s="35"/>
      <c r="P47" s="299"/>
      <c r="Q47" s="45"/>
      <c r="R47" s="46"/>
      <c r="S47" s="512"/>
      <c r="T47" s="57"/>
      <c r="U47" s="512"/>
      <c r="V47" s="57"/>
      <c r="W47" s="114"/>
      <c r="X47" s="49"/>
      <c r="Y47" s="50"/>
      <c r="Z47" s="115"/>
      <c r="AA47" s="114" t="s">
        <v>17570</v>
      </c>
      <c r="AB47" s="49"/>
      <c r="AC47" s="50"/>
      <c r="AD47" s="115"/>
      <c r="AE47" s="208">
        <f>ROUND((ROUND((ROUND((_15_同援日０．５*_15・通訳),0)*(1+_15・A深夜)),0)*(1+_15・区３)),0)+ROUND((ROUND((ROUND((_15_同援日０．５＿０．５*_15・通訳),0)*(1+_15・B早朝)),0)*(1+_15・区３)),0)+ROUND((ROUND((_15_同援日０．５＿０．５＿２．０*_15・通訳),0)*(1+_15・区３)),0)</f>
        <v>811</v>
      </c>
      <c r="AF47" s="48"/>
    </row>
    <row r="48" spans="1:32" ht="16.5" customHeight="1" x14ac:dyDescent="0.15">
      <c r="A48" s="41">
        <v>15</v>
      </c>
      <c r="B48" s="41" t="s">
        <v>28491</v>
      </c>
      <c r="C48" s="74" t="s">
        <v>28492</v>
      </c>
      <c r="D48" s="72"/>
      <c r="F48" s="57"/>
      <c r="G48" s="72"/>
      <c r="I48" s="57"/>
      <c r="J48" s="72"/>
      <c r="L48" s="57"/>
      <c r="M48" s="35"/>
      <c r="P48" s="299" t="s">
        <v>17556</v>
      </c>
      <c r="Q48" s="45" t="s">
        <v>398</v>
      </c>
      <c r="R48" s="46">
        <v>1</v>
      </c>
      <c r="S48" s="512"/>
      <c r="T48" s="57"/>
      <c r="U48" s="512"/>
      <c r="V48" s="57"/>
      <c r="W48" s="122"/>
      <c r="X48" s="37"/>
      <c r="Y48" s="38"/>
      <c r="Z48" s="79"/>
      <c r="AA48" s="72" t="s">
        <v>17572</v>
      </c>
      <c r="AD48" s="57"/>
      <c r="AE48" s="208">
        <f>ROUND((ROUND((ROUND((ROUND((_15_同援日０．５*_15・通訳),0)*_15・２人),0)*(1+_15・A深夜)),0)*(1+_15・区３)),0)+ROUND((ROUND((ROUND((ROUND((_15_同援日０．５＿０．５*_15・通訳),0)*_15・２人),0)*(1+_15・B早朝)),0)*(1+_15・区３)),0)+ROUND((ROUND((ROUND((_15_同援日０．５＿０．５＿２．０*_15・通訳),0)*_15・２人),0)*(1+_15・区３)),0)</f>
        <v>811</v>
      </c>
      <c r="AF48" s="48"/>
    </row>
    <row r="49" spans="1:32" ht="16.5" customHeight="1" x14ac:dyDescent="0.15">
      <c r="A49" s="41">
        <v>15</v>
      </c>
      <c r="B49" s="41" t="s">
        <v>28493</v>
      </c>
      <c r="C49" s="74" t="s">
        <v>28494</v>
      </c>
      <c r="D49" s="72"/>
      <c r="F49" s="57"/>
      <c r="G49" s="72"/>
      <c r="I49" s="57"/>
      <c r="J49" s="72"/>
      <c r="L49" s="57"/>
      <c r="M49" s="35"/>
      <c r="P49" s="299"/>
      <c r="Q49" s="45"/>
      <c r="R49" s="46"/>
      <c r="S49" s="512"/>
      <c r="T49" s="57"/>
      <c r="U49" s="512"/>
      <c r="V49" s="57"/>
      <c r="W49" s="114" t="s">
        <v>17562</v>
      </c>
      <c r="X49" s="49"/>
      <c r="Y49" s="50"/>
      <c r="Z49" s="115"/>
      <c r="AA49" s="72"/>
      <c r="AB49" s="12" t="s">
        <v>398</v>
      </c>
      <c r="AC49" s="13">
        <v>0.2</v>
      </c>
      <c r="AD49" s="57" t="s">
        <v>3575</v>
      </c>
      <c r="AE49" s="208">
        <f>ROUND((ROUND((ROUND((ROUND((_15_同援日０．５*_15・通訳),0)*(1+_15・A深夜)),0)*(1+_15・盲ろう)),0)*(1+_15・区３)),0)+ROUND((ROUND((ROUND((ROUND((_15_同援日０．５＿０．５*_15・通訳),0)*(1+_15・B早朝)),0)*(1+_15・盲ろう)),0)*(1+_15・区３)),0)+ROUND((ROUND((ROUND((_15_同援日０．５＿０．５＿２．０*_15・通訳),0)*(1+_15・盲ろう)),0)*(1+_15・区３)),0)</f>
        <v>1014</v>
      </c>
      <c r="AF49" s="48"/>
    </row>
    <row r="50" spans="1:32" ht="16.5" customHeight="1" x14ac:dyDescent="0.15">
      <c r="A50" s="41">
        <v>15</v>
      </c>
      <c r="B50" s="41" t="s">
        <v>28495</v>
      </c>
      <c r="C50" s="74" t="s">
        <v>28496</v>
      </c>
      <c r="D50" s="72"/>
      <c r="F50" s="57"/>
      <c r="G50" s="72"/>
      <c r="I50" s="57"/>
      <c r="J50" s="72"/>
      <c r="L50" s="57"/>
      <c r="M50" s="35"/>
      <c r="P50" s="299" t="s">
        <v>17556</v>
      </c>
      <c r="Q50" s="45" t="s">
        <v>398</v>
      </c>
      <c r="R50" s="46">
        <v>1</v>
      </c>
      <c r="S50" s="512"/>
      <c r="T50" s="57"/>
      <c r="U50" s="512"/>
      <c r="V50" s="57"/>
      <c r="W50" s="122" t="s">
        <v>17564</v>
      </c>
      <c r="X50" s="37" t="s">
        <v>398</v>
      </c>
      <c r="Y50" s="38">
        <v>0.25</v>
      </c>
      <c r="Z50" s="79" t="s">
        <v>3575</v>
      </c>
      <c r="AA50" s="122"/>
      <c r="AB50" s="37"/>
      <c r="AC50" s="38"/>
      <c r="AD50" s="79"/>
      <c r="AE50" s="208">
        <f>ROUND((ROUND((ROUND((ROUND((ROUND((_15_同援日０．５*_15・通訳),0)*_15・２人),0)*(1+_15・A深夜)),0)*(1+_15・盲ろう)),0)*(1+_15・区３)),0)+ROUND((ROUND((ROUND((ROUND((ROUND((_15_同援日０．５＿０．５*_15・通訳),0)*_15・２人),0)*(1+_15・B早朝)),0)*(1+_15・盲ろう)),0)*(1+_15・区３)),0)+ROUND((ROUND((ROUND((ROUND((_15_同援日０．５＿０．５＿２．０*_15・通訳),0)*_15・２人),0)*(1+_15・盲ろう)),0)*(1+_15・区３)),0)</f>
        <v>1014</v>
      </c>
      <c r="AF50" s="48"/>
    </row>
    <row r="51" spans="1:32" ht="16.5" customHeight="1" x14ac:dyDescent="0.15">
      <c r="A51" s="41">
        <v>15</v>
      </c>
      <c r="B51" s="41" t="s">
        <v>28497</v>
      </c>
      <c r="C51" s="74" t="s">
        <v>28498</v>
      </c>
      <c r="D51" s="72"/>
      <c r="F51" s="57"/>
      <c r="G51" s="72"/>
      <c r="I51" s="57"/>
      <c r="J51" s="72"/>
      <c r="L51" s="57"/>
      <c r="M51" s="35"/>
      <c r="P51" s="299"/>
      <c r="Q51" s="45"/>
      <c r="R51" s="46"/>
      <c r="S51" s="512"/>
      <c r="T51" s="57"/>
      <c r="U51" s="512"/>
      <c r="V51" s="57"/>
      <c r="W51" s="114"/>
      <c r="X51" s="49"/>
      <c r="Y51" s="50"/>
      <c r="Z51" s="115"/>
      <c r="AA51" s="114" t="s">
        <v>17580</v>
      </c>
      <c r="AB51" s="49"/>
      <c r="AC51" s="50"/>
      <c r="AD51" s="115"/>
      <c r="AE51" s="208">
        <f>ROUND((ROUND((ROUND((_15_同援日０．５*_15・通訳),0)*(1+_15・A深夜)),0)*(1+_15・区４)),0)+ROUND((ROUND((ROUND((_15_同援日０．５＿０．５*_15・通訳),0)*(1+_15・B早朝)),0)*(1+_15・区４)),0)+ROUND((ROUND((_15_同援日０．５＿０．５＿２．０*_15・通訳),0)*(1+_15・区４)),0)</f>
        <v>947</v>
      </c>
      <c r="AF51" s="48"/>
    </row>
    <row r="52" spans="1:32" ht="16.5" customHeight="1" x14ac:dyDescent="0.15">
      <c r="A52" s="41">
        <v>15</v>
      </c>
      <c r="B52" s="41" t="s">
        <v>28499</v>
      </c>
      <c r="C52" s="74" t="s">
        <v>28500</v>
      </c>
      <c r="D52" s="72"/>
      <c r="F52" s="57"/>
      <c r="G52" s="72"/>
      <c r="I52" s="57"/>
      <c r="J52" s="72"/>
      <c r="L52" s="57"/>
      <c r="M52" s="35"/>
      <c r="P52" s="299" t="s">
        <v>17556</v>
      </c>
      <c r="Q52" s="45" t="s">
        <v>398</v>
      </c>
      <c r="R52" s="46">
        <v>1</v>
      </c>
      <c r="S52" s="512"/>
      <c r="T52" s="57"/>
      <c r="U52" s="512"/>
      <c r="V52" s="57"/>
      <c r="W52" s="122"/>
      <c r="X52" s="37"/>
      <c r="Y52" s="38"/>
      <c r="Z52" s="79"/>
      <c r="AA52" s="72" t="s">
        <v>17572</v>
      </c>
      <c r="AD52" s="57"/>
      <c r="AE52" s="208">
        <f>ROUND((ROUND((ROUND((ROUND((_15_同援日０．５*_15・通訳),0)*_15・２人),0)*(1+_15・A深夜)),0)*(1+_15・区４)),0)+ROUND((ROUND((ROUND((ROUND((_15_同援日０．５＿０．５*_15・通訳),0)*_15・２人),0)*(1+_15・B早朝)),0)*(1+_15・区４)),0)+ROUND((ROUND((ROUND((_15_同援日０．５＿０．５＿２．０*_15・通訳),0)*_15・２人),0)*(1+_15・区４)),0)</f>
        <v>947</v>
      </c>
      <c r="AF52" s="48"/>
    </row>
    <row r="53" spans="1:32" ht="16.5" customHeight="1" x14ac:dyDescent="0.15">
      <c r="A53" s="41">
        <v>15</v>
      </c>
      <c r="B53" s="41" t="s">
        <v>28501</v>
      </c>
      <c r="C53" s="74" t="s">
        <v>28502</v>
      </c>
      <c r="D53" s="72"/>
      <c r="F53" s="57"/>
      <c r="G53" s="72"/>
      <c r="I53" s="57"/>
      <c r="J53" s="72"/>
      <c r="L53" s="57"/>
      <c r="M53" s="35"/>
      <c r="P53" s="299"/>
      <c r="Q53" s="45"/>
      <c r="R53" s="46"/>
      <c r="S53" s="512"/>
      <c r="T53" s="57"/>
      <c r="U53" s="512"/>
      <c r="V53" s="57"/>
      <c r="W53" s="114" t="s">
        <v>17562</v>
      </c>
      <c r="X53" s="49"/>
      <c r="Y53" s="50"/>
      <c r="Z53" s="115"/>
      <c r="AA53" s="72"/>
      <c r="AB53" s="12" t="s">
        <v>398</v>
      </c>
      <c r="AC53" s="13">
        <v>0.4</v>
      </c>
      <c r="AD53" s="57" t="s">
        <v>3575</v>
      </c>
      <c r="AE53" s="208">
        <f>ROUND((ROUND((ROUND((ROUND((_15_同援日０．５*_15・通訳),0)*(1+_15・A深夜)),0)*(1+_15・盲ろう)),0)*(1+_15・区４)),0)+ROUND((ROUND((ROUND((ROUND((_15_同援日０．５＿０．５*_15・通訳),0)*(1+_15・B早朝)),0)*(1+_15・盲ろう)),0)*(1+_15・区４)),0)+ROUND((ROUND((ROUND((_15_同援日０．５＿０．５＿２．０*_15・通訳),0)*(1+_15・盲ろう)),0)*(1+_15・区４)),0)</f>
        <v>1183</v>
      </c>
      <c r="AF53" s="48"/>
    </row>
    <row r="54" spans="1:32" ht="16.5" customHeight="1" x14ac:dyDescent="0.15">
      <c r="A54" s="41">
        <v>15</v>
      </c>
      <c r="B54" s="41" t="s">
        <v>28503</v>
      </c>
      <c r="C54" s="74" t="s">
        <v>28504</v>
      </c>
      <c r="D54" s="72"/>
      <c r="F54" s="57"/>
      <c r="G54" s="122"/>
      <c r="H54" s="37"/>
      <c r="I54" s="79"/>
      <c r="J54" s="122"/>
      <c r="K54" s="37"/>
      <c r="L54" s="79"/>
      <c r="M54" s="35"/>
      <c r="P54" s="299" t="s">
        <v>17556</v>
      </c>
      <c r="Q54" s="45" t="s">
        <v>398</v>
      </c>
      <c r="R54" s="46">
        <v>1</v>
      </c>
      <c r="S54" s="512"/>
      <c r="T54" s="57"/>
      <c r="U54" s="512"/>
      <c r="V54" s="57"/>
      <c r="W54" s="122" t="s">
        <v>17564</v>
      </c>
      <c r="X54" s="37" t="s">
        <v>398</v>
      </c>
      <c r="Y54" s="38">
        <v>0.25</v>
      </c>
      <c r="Z54" s="79" t="s">
        <v>3575</v>
      </c>
      <c r="AA54" s="122"/>
      <c r="AB54" s="37"/>
      <c r="AC54" s="38"/>
      <c r="AD54" s="79"/>
      <c r="AE54" s="208">
        <f>ROUND((ROUND((ROUND((ROUND((ROUND((_15_同援日０．５*_15・通訳),0)*_15・２人),0)*(1+_15・A深夜)),0)*(1+_15・盲ろう)),0)*(1+_15・区４)),0)+ROUND((ROUND((ROUND((ROUND((ROUND((_15_同援日０．５＿０．５*_15・通訳),0)*_15・２人),0)*(1+_15・B早朝)),0)*(1+_15・盲ろう)),0)*(1+_15・区４)),0)+ROUND((ROUND((ROUND((ROUND((_15_同援日０．５＿０．５＿２．０*_15・通訳),0)*_15・２人),0)*(1+_15・盲ろう)),0)*(1+_15・区４)),0)</f>
        <v>1183</v>
      </c>
      <c r="AF54" s="48"/>
    </row>
    <row r="55" spans="1:32" ht="16.5" customHeight="1" x14ac:dyDescent="0.15">
      <c r="A55" s="41">
        <v>15</v>
      </c>
      <c r="B55" s="41" t="s">
        <v>3424</v>
      </c>
      <c r="C55" s="74" t="s">
        <v>28505</v>
      </c>
      <c r="D55" s="72"/>
      <c r="F55" s="57"/>
      <c r="G55" s="114" t="s">
        <v>18846</v>
      </c>
      <c r="H55" s="49"/>
      <c r="I55" s="115"/>
      <c r="J55" s="114" t="s">
        <v>19919</v>
      </c>
      <c r="K55" s="49"/>
      <c r="L55" s="115"/>
      <c r="M55" s="35"/>
      <c r="P55" s="299"/>
      <c r="Q55" s="45"/>
      <c r="R55" s="46"/>
      <c r="S55" s="512"/>
      <c r="T55" s="57"/>
      <c r="U55" s="512"/>
      <c r="V55" s="57"/>
      <c r="W55" s="114"/>
      <c r="X55" s="49"/>
      <c r="Y55" s="50"/>
      <c r="Z55" s="115"/>
      <c r="AA55" s="114"/>
      <c r="AB55" s="49"/>
      <c r="AC55" s="50"/>
      <c r="AD55" s="115"/>
      <c r="AE55" s="208">
        <f>ROUND((ROUND((_15_同援日０．５*_15・通訳),0)*(1+_15・A深夜)),0)+ROUND((ROUND((_15_同援日０．５＿１．０*_15・通訳),0)*(1+_15・B早朝)),0)+ROUND((_15_同援日０．５＿１．０＿０．５*_15・通訳),0)</f>
        <v>590</v>
      </c>
      <c r="AF55" s="48"/>
    </row>
    <row r="56" spans="1:32" ht="16.5" customHeight="1" x14ac:dyDescent="0.15">
      <c r="A56" s="41">
        <v>15</v>
      </c>
      <c r="B56" s="41" t="s">
        <v>3426</v>
      </c>
      <c r="C56" s="74" t="s">
        <v>28506</v>
      </c>
      <c r="D56" s="72"/>
      <c r="F56" s="57"/>
      <c r="G56" s="72" t="s">
        <v>17589</v>
      </c>
      <c r="I56" s="57"/>
      <c r="J56" s="72" t="s">
        <v>18259</v>
      </c>
      <c r="L56" s="57"/>
      <c r="M56" s="35"/>
      <c r="P56" s="299" t="s">
        <v>17556</v>
      </c>
      <c r="Q56" s="45" t="s">
        <v>398</v>
      </c>
      <c r="R56" s="46">
        <v>1</v>
      </c>
      <c r="S56" s="512"/>
      <c r="T56" s="57"/>
      <c r="U56" s="512"/>
      <c r="V56" s="57"/>
      <c r="W56" s="122"/>
      <c r="X56" s="37"/>
      <c r="Y56" s="38"/>
      <c r="Z56" s="79"/>
      <c r="AA56" s="72"/>
      <c r="AD56" s="57"/>
      <c r="AE56" s="208">
        <f>ROUND((ROUND((ROUND((_15_同援日０．５*_15・通訳),0)*_15・２人),0)*(1+_15・A深夜)),0)+ROUND((ROUND((ROUND((_15_同援日０．５＿１．０*_15・通訳),0)*_15・２人),0)*(1+_15・B早朝)),0)+ROUND((ROUND((_15_同援日０．５＿１．０＿０．５*_15・通訳),0)*_15・２人),0)</f>
        <v>590</v>
      </c>
      <c r="AF56" s="48"/>
    </row>
    <row r="57" spans="1:32" ht="16.5" customHeight="1" x14ac:dyDescent="0.15">
      <c r="A57" s="41">
        <v>15</v>
      </c>
      <c r="B57" s="41" t="s">
        <v>28507</v>
      </c>
      <c r="C57" s="74" t="s">
        <v>28508</v>
      </c>
      <c r="D57" s="72"/>
      <c r="F57" s="57"/>
      <c r="G57" s="72" t="s">
        <v>17591</v>
      </c>
      <c r="I57" s="57"/>
      <c r="J57" s="72"/>
      <c r="L57" s="57"/>
      <c r="M57" s="35"/>
      <c r="P57" s="299"/>
      <c r="Q57" s="45"/>
      <c r="R57" s="46"/>
      <c r="S57" s="512"/>
      <c r="T57" s="57"/>
      <c r="U57" s="512"/>
      <c r="V57" s="57"/>
      <c r="W57" s="114" t="s">
        <v>17562</v>
      </c>
      <c r="X57" s="49"/>
      <c r="Y57" s="50"/>
      <c r="Z57" s="115"/>
      <c r="AA57" s="72"/>
      <c r="AD57" s="57"/>
      <c r="AE57" s="208">
        <f>ROUND((ROUND((ROUND((_15_同援日０．５*_15・通訳),0)*(1+_15・A深夜)),0)*(1+_15・盲ろう)),0)+ROUND((ROUND((ROUND((_15_同援日０．５＿１．０*_15・通訳),0)*(1+_15・B早朝)),0)*(1+_15・盲ろう)),0)+ROUND((ROUND((_15_同援日０．５＿１．０＿０．５*_15・通訳),0)*(1+_15・盲ろう)),0)</f>
        <v>738</v>
      </c>
      <c r="AF57" s="48"/>
    </row>
    <row r="58" spans="1:32" ht="16.5" customHeight="1" x14ac:dyDescent="0.15">
      <c r="A58" s="41">
        <v>15</v>
      </c>
      <c r="B58" s="41" t="s">
        <v>28509</v>
      </c>
      <c r="C58" s="74" t="s">
        <v>28510</v>
      </c>
      <c r="D58" s="72"/>
      <c r="F58" s="57"/>
      <c r="G58" s="72"/>
      <c r="H58" s="168">
        <f>_15_同援日０．５＿１．０</f>
        <v>243</v>
      </c>
      <c r="I58" s="57" t="s">
        <v>392</v>
      </c>
      <c r="J58" s="72"/>
      <c r="K58" s="168">
        <f>_15_同援日０．５＿１．０＿０．５</f>
        <v>65</v>
      </c>
      <c r="L58" s="57" t="s">
        <v>392</v>
      </c>
      <c r="M58" s="35"/>
      <c r="P58" s="299" t="s">
        <v>17556</v>
      </c>
      <c r="Q58" s="45" t="s">
        <v>398</v>
      </c>
      <c r="R58" s="46">
        <v>1</v>
      </c>
      <c r="S58" s="512"/>
      <c r="T58" s="57"/>
      <c r="U58" s="512"/>
      <c r="V58" s="57"/>
      <c r="W58" s="122" t="s">
        <v>17564</v>
      </c>
      <c r="X58" s="37" t="s">
        <v>398</v>
      </c>
      <c r="Y58" s="38">
        <v>0.25</v>
      </c>
      <c r="Z58" s="79" t="s">
        <v>3575</v>
      </c>
      <c r="AA58" s="122"/>
      <c r="AB58" s="37"/>
      <c r="AC58" s="38"/>
      <c r="AD58" s="79"/>
      <c r="AE58" s="208">
        <f>ROUND((ROUND((ROUND((ROUND((_15_同援日０．５*_15・通訳),0)*_15・２人),0)*(1+_15・A深夜)),0)*(1+_15・盲ろう)),0)+ROUND((ROUND((ROUND((ROUND((_15_同援日０．５＿１．０*_15・通訳),0)*_15・２人),0)*(1+_15・B早朝)),0)*(1+_15・盲ろう)),0)+ROUND((ROUND((ROUND((_15_同援日０．５＿１．０＿０．５*_15・通訳),0)*_15・２人),0)*(1+_15・盲ろう)),0)</f>
        <v>738</v>
      </c>
      <c r="AF58" s="48"/>
    </row>
    <row r="59" spans="1:32" ht="16.5" customHeight="1" x14ac:dyDescent="0.15">
      <c r="A59" s="41">
        <v>15</v>
      </c>
      <c r="B59" s="41" t="s">
        <v>28511</v>
      </c>
      <c r="C59" s="74" t="s">
        <v>28512</v>
      </c>
      <c r="D59" s="72"/>
      <c r="F59" s="57"/>
      <c r="G59" s="72"/>
      <c r="I59" s="57"/>
      <c r="J59" s="72"/>
      <c r="L59" s="57"/>
      <c r="M59" s="35"/>
      <c r="P59" s="299"/>
      <c r="Q59" s="45"/>
      <c r="R59" s="46"/>
      <c r="S59" s="512"/>
      <c r="T59" s="57"/>
      <c r="U59" s="512"/>
      <c r="V59" s="57"/>
      <c r="W59" s="114"/>
      <c r="X59" s="49"/>
      <c r="Y59" s="50"/>
      <c r="Z59" s="115"/>
      <c r="AA59" s="114" t="s">
        <v>17570</v>
      </c>
      <c r="AB59" s="49"/>
      <c r="AC59" s="50"/>
      <c r="AD59" s="115"/>
      <c r="AE59" s="208">
        <f>ROUND((ROUND((ROUND((_15_同援日０．５*_15・通訳),0)*(1+_15・A深夜)),0)*(1+_15・区３)),0)+ROUND((ROUND((ROUND((_15_同援日０．５＿１．０*_15・通訳),0)*(1+_15・B早朝)),0)*(1+_15・区３)),0)+ROUND((ROUND((_15_同援日０．５＿１．０＿０．５*_15・通訳),0)*(1+_15・区３)),0)</f>
        <v>708</v>
      </c>
      <c r="AF59" s="48"/>
    </row>
    <row r="60" spans="1:32" ht="16.5" customHeight="1" x14ac:dyDescent="0.15">
      <c r="A60" s="41">
        <v>15</v>
      </c>
      <c r="B60" s="41" t="s">
        <v>28513</v>
      </c>
      <c r="C60" s="74" t="s">
        <v>28514</v>
      </c>
      <c r="D60" s="72"/>
      <c r="F60" s="57"/>
      <c r="G60" s="72"/>
      <c r="I60" s="57"/>
      <c r="J60" s="72"/>
      <c r="L60" s="57"/>
      <c r="M60" s="35"/>
      <c r="P60" s="299" t="s">
        <v>17556</v>
      </c>
      <c r="Q60" s="45" t="s">
        <v>398</v>
      </c>
      <c r="R60" s="46">
        <v>1</v>
      </c>
      <c r="S60" s="512"/>
      <c r="T60" s="57"/>
      <c r="U60" s="512"/>
      <c r="V60" s="57"/>
      <c r="W60" s="122"/>
      <c r="X60" s="37"/>
      <c r="Y60" s="38"/>
      <c r="Z60" s="79"/>
      <c r="AA60" s="72" t="s">
        <v>17572</v>
      </c>
      <c r="AD60" s="57"/>
      <c r="AE60" s="208">
        <f>ROUND((ROUND((ROUND((ROUND((_15_同援日０．５*_15・通訳),0)*_15・２人),0)*(1+_15・A深夜)),0)*(1+_15・区３)),0)+ROUND((ROUND((ROUND((ROUND((_15_同援日０．５＿１．０*_15・通訳),0)*_15・２人),0)*(1+_15・B早朝)),0)*(1+_15・区３)),0)+ROUND((ROUND((ROUND((_15_同援日０．５＿１．０＿０．５*_15・通訳),0)*_15・２人),0)*(1+_15・区３)),0)</f>
        <v>708</v>
      </c>
      <c r="AF60" s="48"/>
    </row>
    <row r="61" spans="1:32" ht="16.5" customHeight="1" x14ac:dyDescent="0.15">
      <c r="A61" s="41">
        <v>15</v>
      </c>
      <c r="B61" s="41" t="s">
        <v>28515</v>
      </c>
      <c r="C61" s="74" t="s">
        <v>28516</v>
      </c>
      <c r="D61" s="72"/>
      <c r="F61" s="57"/>
      <c r="G61" s="72"/>
      <c r="I61" s="57"/>
      <c r="J61" s="72"/>
      <c r="L61" s="57"/>
      <c r="M61" s="35"/>
      <c r="P61" s="299"/>
      <c r="Q61" s="45"/>
      <c r="R61" s="46"/>
      <c r="S61" s="512"/>
      <c r="T61" s="57"/>
      <c r="U61" s="512"/>
      <c r="V61" s="57"/>
      <c r="W61" s="114" t="s">
        <v>17562</v>
      </c>
      <c r="X61" s="49"/>
      <c r="Y61" s="50"/>
      <c r="Z61" s="115"/>
      <c r="AA61" s="72"/>
      <c r="AB61" s="12" t="s">
        <v>398</v>
      </c>
      <c r="AC61" s="13">
        <v>0.2</v>
      </c>
      <c r="AD61" s="57" t="s">
        <v>3575</v>
      </c>
      <c r="AE61" s="208">
        <f>ROUND((ROUND((ROUND((ROUND((_15_同援日０．５*_15・通訳),0)*(1+_15・A深夜)),0)*(1+_15・盲ろう)),0)*(1+_15・区３)),0)+ROUND((ROUND((ROUND((ROUND((_15_同援日０．５＿１．０*_15・通訳),0)*(1+_15・B早朝)),0)*(1+_15・盲ろう)),0)*(1+_15・区３)),0)+ROUND((ROUND((ROUND((_15_同援日０．５＿１．０＿０．５*_15・通訳),0)*(1+_15・盲ろう)),0)*(1+_15・区３)),0)</f>
        <v>886</v>
      </c>
      <c r="AF61" s="48"/>
    </row>
    <row r="62" spans="1:32" ht="16.5" customHeight="1" x14ac:dyDescent="0.15">
      <c r="A62" s="41">
        <v>15</v>
      </c>
      <c r="B62" s="41" t="s">
        <v>28517</v>
      </c>
      <c r="C62" s="74" t="s">
        <v>28518</v>
      </c>
      <c r="D62" s="72"/>
      <c r="F62" s="57"/>
      <c r="G62" s="72"/>
      <c r="I62" s="57"/>
      <c r="J62" s="72"/>
      <c r="L62" s="57"/>
      <c r="M62" s="35"/>
      <c r="P62" s="299" t="s">
        <v>17556</v>
      </c>
      <c r="Q62" s="45" t="s">
        <v>398</v>
      </c>
      <c r="R62" s="46">
        <v>1</v>
      </c>
      <c r="S62" s="512"/>
      <c r="T62" s="57"/>
      <c r="U62" s="512"/>
      <c r="V62" s="57"/>
      <c r="W62" s="122" t="s">
        <v>17564</v>
      </c>
      <c r="X62" s="37" t="s">
        <v>398</v>
      </c>
      <c r="Y62" s="38">
        <v>0.25</v>
      </c>
      <c r="Z62" s="79" t="s">
        <v>3575</v>
      </c>
      <c r="AA62" s="122"/>
      <c r="AB62" s="37"/>
      <c r="AC62" s="38"/>
      <c r="AD62" s="79"/>
      <c r="AE62" s="208">
        <f>ROUND((ROUND((ROUND((ROUND((ROUND((_15_同援日０．５*_15・通訳),0)*_15・２人),0)*(1+_15・A深夜)),0)*(1+_15・盲ろう)),0)*(1+_15・区３)),0)+ROUND((ROUND((ROUND((ROUND((ROUND((_15_同援日０．５＿１．０*_15・通訳),0)*_15・２人),0)*(1+_15・B早朝)),0)*(1+_15・盲ろう)),0)*(1+_15・区３)),0)+ROUND((ROUND((ROUND((ROUND((_15_同援日０．５＿１．０＿０．５*_15・通訳),0)*_15・２人),0)*(1+_15・盲ろう)),0)*(1+_15・区３)),0)</f>
        <v>886</v>
      </c>
      <c r="AF62" s="48"/>
    </row>
    <row r="63" spans="1:32" ht="16.5" customHeight="1" x14ac:dyDescent="0.15">
      <c r="A63" s="41">
        <v>15</v>
      </c>
      <c r="B63" s="41" t="s">
        <v>28519</v>
      </c>
      <c r="C63" s="74" t="s">
        <v>28520</v>
      </c>
      <c r="D63" s="72"/>
      <c r="F63" s="57"/>
      <c r="G63" s="72"/>
      <c r="I63" s="57"/>
      <c r="J63" s="72"/>
      <c r="L63" s="57"/>
      <c r="M63" s="35"/>
      <c r="P63" s="299"/>
      <c r="Q63" s="45"/>
      <c r="R63" s="46"/>
      <c r="S63" s="512"/>
      <c r="T63" s="57"/>
      <c r="U63" s="512"/>
      <c r="V63" s="57"/>
      <c r="W63" s="114"/>
      <c r="X63" s="49"/>
      <c r="Y63" s="50"/>
      <c r="Z63" s="115"/>
      <c r="AA63" s="114" t="s">
        <v>17580</v>
      </c>
      <c r="AB63" s="49"/>
      <c r="AC63" s="50"/>
      <c r="AD63" s="115"/>
      <c r="AE63" s="208">
        <f>ROUND((ROUND((ROUND((_15_同援日０．５*_15・通訳),0)*(1+_15・A深夜)),0)*(1+_15・区４)),0)+ROUND((ROUND((ROUND((_15_同援日０．５＿１．０*_15・通訳),0)*(1+_15・B早朝)),0)*(1+_15・区４)),0)+ROUND((ROUND((_15_同援日０．５＿１．０＿０．５*_15・通訳),0)*(1+_15・区４)),0)</f>
        <v>827</v>
      </c>
      <c r="AF63" s="48"/>
    </row>
    <row r="64" spans="1:32" ht="16.5" customHeight="1" x14ac:dyDescent="0.15">
      <c r="A64" s="41">
        <v>15</v>
      </c>
      <c r="B64" s="41" t="s">
        <v>28521</v>
      </c>
      <c r="C64" s="74" t="s">
        <v>28522</v>
      </c>
      <c r="D64" s="72"/>
      <c r="F64" s="57"/>
      <c r="G64" s="72"/>
      <c r="I64" s="57"/>
      <c r="J64" s="72"/>
      <c r="L64" s="57"/>
      <c r="M64" s="35"/>
      <c r="P64" s="299" t="s">
        <v>17556</v>
      </c>
      <c r="Q64" s="45" t="s">
        <v>398</v>
      </c>
      <c r="R64" s="46">
        <v>1</v>
      </c>
      <c r="S64" s="512"/>
      <c r="T64" s="57"/>
      <c r="U64" s="512"/>
      <c r="V64" s="57"/>
      <c r="W64" s="122"/>
      <c r="X64" s="37"/>
      <c r="Y64" s="38"/>
      <c r="Z64" s="79"/>
      <c r="AA64" s="72" t="s">
        <v>17572</v>
      </c>
      <c r="AD64" s="57"/>
      <c r="AE64" s="208">
        <f>ROUND((ROUND((ROUND((ROUND((_15_同援日０．５*_15・通訳),0)*_15・２人),0)*(1+_15・A深夜)),0)*(1+_15・区４)),0)+ROUND((ROUND((ROUND((ROUND((_15_同援日０．５＿１．０*_15・通訳),0)*_15・２人),0)*(1+_15・B早朝)),0)*(1+_15・区４)),0)+ROUND((ROUND((ROUND((_15_同援日０．５＿１．０＿０．５*_15・通訳),0)*_15・２人),0)*(1+_15・区４)),0)</f>
        <v>827</v>
      </c>
      <c r="AF64" s="48"/>
    </row>
    <row r="65" spans="1:32" ht="16.5" customHeight="1" x14ac:dyDescent="0.15">
      <c r="A65" s="41">
        <v>15</v>
      </c>
      <c r="B65" s="41" t="s">
        <v>3432</v>
      </c>
      <c r="C65" s="74" t="s">
        <v>28523</v>
      </c>
      <c r="D65" s="72"/>
      <c r="F65" s="57"/>
      <c r="G65" s="72"/>
      <c r="I65" s="57"/>
      <c r="J65" s="72"/>
      <c r="L65" s="57"/>
      <c r="M65" s="35"/>
      <c r="P65" s="299"/>
      <c r="Q65" s="45"/>
      <c r="R65" s="46"/>
      <c r="S65" s="512"/>
      <c r="T65" s="57"/>
      <c r="U65" s="512"/>
      <c r="V65" s="57"/>
      <c r="W65" s="114" t="s">
        <v>17562</v>
      </c>
      <c r="X65" s="49"/>
      <c r="Y65" s="50"/>
      <c r="Z65" s="115"/>
      <c r="AA65" s="72"/>
      <c r="AB65" s="12" t="s">
        <v>398</v>
      </c>
      <c r="AC65" s="13">
        <v>0.4</v>
      </c>
      <c r="AD65" s="57" t="s">
        <v>3575</v>
      </c>
      <c r="AE65" s="208">
        <f>ROUND((ROUND((ROUND((ROUND((_15_同援日０．５*_15・通訳),0)*(1+_15・A深夜)),0)*(1+_15・盲ろう)),0)*(1+_15・区４)),0)+ROUND((ROUND((ROUND((ROUND((_15_同援日０．５＿１．０*_15・通訳),0)*(1+_15・B早朝)),0)*(1+_15・盲ろう)),0)*(1+_15・区４)),0)+ROUND((ROUND((ROUND((_15_同援日０．５＿１．０＿０．５*_15・通訳),0)*(1+_15・盲ろう)),0)*(1+_15・区４)),0)</f>
        <v>1033</v>
      </c>
      <c r="AF65" s="48"/>
    </row>
    <row r="66" spans="1:32" ht="16.5" customHeight="1" x14ac:dyDescent="0.15">
      <c r="A66" s="41">
        <v>15</v>
      </c>
      <c r="B66" s="41" t="s">
        <v>3434</v>
      </c>
      <c r="C66" s="74" t="s">
        <v>28524</v>
      </c>
      <c r="D66" s="72"/>
      <c r="F66" s="57"/>
      <c r="G66" s="72"/>
      <c r="I66" s="57"/>
      <c r="J66" s="122"/>
      <c r="K66" s="37"/>
      <c r="L66" s="79"/>
      <c r="M66" s="35"/>
      <c r="P66" s="299" t="s">
        <v>17556</v>
      </c>
      <c r="Q66" s="45" t="s">
        <v>398</v>
      </c>
      <c r="R66" s="46">
        <v>1</v>
      </c>
      <c r="S66" s="512"/>
      <c r="T66" s="57"/>
      <c r="U66" s="512"/>
      <c r="V66" s="57"/>
      <c r="W66" s="122" t="s">
        <v>17564</v>
      </c>
      <c r="X66" s="37" t="s">
        <v>398</v>
      </c>
      <c r="Y66" s="38">
        <v>0.25</v>
      </c>
      <c r="Z66" s="79" t="s">
        <v>3575</v>
      </c>
      <c r="AA66" s="122"/>
      <c r="AB66" s="37"/>
      <c r="AC66" s="38"/>
      <c r="AD66" s="79"/>
      <c r="AE66" s="208">
        <f>ROUND((ROUND((ROUND((ROUND((ROUND((_15_同援日０．５*_15・通訳),0)*_15・２人),0)*(1+_15・A深夜)),0)*(1+_15・盲ろう)),0)*(1+_15・区４)),0)+ROUND((ROUND((ROUND((ROUND((ROUND((_15_同援日０．５＿１．０*_15・通訳),0)*_15・２人),0)*(1+_15・B早朝)),0)*(1+_15・盲ろう)),0)*(1+_15・区４)),0)+ROUND((ROUND((ROUND((ROUND((_15_同援日０．５＿１．０＿０．５*_15・通訳),0)*_15・２人),0)*(1+_15・盲ろう)),0)*(1+_15・区４)),0)</f>
        <v>1033</v>
      </c>
      <c r="AF66" s="48"/>
    </row>
    <row r="67" spans="1:32" ht="16.5" customHeight="1" x14ac:dyDescent="0.15">
      <c r="A67" s="41">
        <v>15</v>
      </c>
      <c r="B67" s="41" t="s">
        <v>28525</v>
      </c>
      <c r="C67" s="74" t="s">
        <v>28526</v>
      </c>
      <c r="D67" s="72"/>
      <c r="F67" s="57"/>
      <c r="G67" s="72"/>
      <c r="I67" s="57"/>
      <c r="J67" s="114" t="s">
        <v>21246</v>
      </c>
      <c r="K67" s="49"/>
      <c r="L67" s="115"/>
      <c r="M67" s="35"/>
      <c r="P67" s="299"/>
      <c r="Q67" s="45"/>
      <c r="R67" s="46"/>
      <c r="S67" s="512"/>
      <c r="T67" s="57"/>
      <c r="U67" s="512"/>
      <c r="V67" s="57"/>
      <c r="W67" s="114"/>
      <c r="X67" s="49"/>
      <c r="Y67" s="50"/>
      <c r="Z67" s="115"/>
      <c r="AA67" s="114"/>
      <c r="AB67" s="49"/>
      <c r="AC67" s="50"/>
      <c r="AD67" s="115"/>
      <c r="AE67" s="208">
        <f>ROUND((ROUND((_15_同援日０．５*_15・通訳),0)*(1+_15・A深夜)),0)+ROUND((ROUND((_15_同援日０．５＿１．０*_15・通訳),0)*(1+_15・B早朝)),0)+ROUND((_15_同援日０．５＿１．０＿１．０*_15・通訳),0)</f>
        <v>648</v>
      </c>
      <c r="AF67" s="48"/>
    </row>
    <row r="68" spans="1:32" ht="16.5" customHeight="1" x14ac:dyDescent="0.15">
      <c r="A68" s="41">
        <v>15</v>
      </c>
      <c r="B68" s="41" t="s">
        <v>28527</v>
      </c>
      <c r="C68" s="74" t="s">
        <v>28528</v>
      </c>
      <c r="D68" s="72"/>
      <c r="F68" s="57"/>
      <c r="G68" s="72"/>
      <c r="I68" s="57"/>
      <c r="J68" s="72" t="s">
        <v>17589</v>
      </c>
      <c r="L68" s="57"/>
      <c r="M68" s="35"/>
      <c r="P68" s="299" t="s">
        <v>17556</v>
      </c>
      <c r="Q68" s="45" t="s">
        <v>398</v>
      </c>
      <c r="R68" s="46">
        <v>1</v>
      </c>
      <c r="S68" s="512"/>
      <c r="T68" s="57"/>
      <c r="U68" s="512"/>
      <c r="V68" s="57"/>
      <c r="W68" s="122"/>
      <c r="X68" s="37"/>
      <c r="Y68" s="38"/>
      <c r="Z68" s="79"/>
      <c r="AA68" s="72"/>
      <c r="AD68" s="57"/>
      <c r="AE68" s="208">
        <f>ROUND((ROUND((ROUND((_15_同援日０．５*_15・通訳),0)*_15・２人),0)*(1+_15・A深夜)),0)+ROUND((ROUND((ROUND((_15_同援日０．５＿１．０*_15・通訳),0)*_15・２人),0)*(1+_15・B早朝)),0)+ROUND((ROUND((_15_同援日０．５＿１．０＿１．０*_15・通訳),0)*_15・２人),0)</f>
        <v>648</v>
      </c>
      <c r="AF68" s="48"/>
    </row>
    <row r="69" spans="1:32" ht="16.5" customHeight="1" x14ac:dyDescent="0.15">
      <c r="A69" s="41">
        <v>15</v>
      </c>
      <c r="B69" s="41" t="s">
        <v>28529</v>
      </c>
      <c r="C69" s="74" t="s">
        <v>28530</v>
      </c>
      <c r="D69" s="72"/>
      <c r="F69" s="57"/>
      <c r="G69" s="72"/>
      <c r="I69" s="57"/>
      <c r="J69" s="72" t="s">
        <v>17591</v>
      </c>
      <c r="L69" s="57"/>
      <c r="M69" s="35"/>
      <c r="P69" s="299"/>
      <c r="Q69" s="45"/>
      <c r="R69" s="46"/>
      <c r="S69" s="512"/>
      <c r="T69" s="57"/>
      <c r="U69" s="512"/>
      <c r="V69" s="57"/>
      <c r="W69" s="114" t="s">
        <v>17562</v>
      </c>
      <c r="X69" s="49"/>
      <c r="Y69" s="50"/>
      <c r="Z69" s="115"/>
      <c r="AA69" s="72"/>
      <c r="AD69" s="57"/>
      <c r="AE69" s="208">
        <f>ROUND((ROUND((ROUND((_15_同援日０．５*_15・通訳),0)*(1+_15・A深夜)),0)*(1+_15・盲ろう)),0)+ROUND((ROUND((ROUND((_15_同援日０．５＿１．０*_15・通訳),0)*(1+_15・B早朝)),0)*(1+_15・盲ろう)),0)+ROUND((ROUND((_15_同援日０．５＿１．０＿１．０*_15・通訳),0)*(1+_15・盲ろう)),0)</f>
        <v>810</v>
      </c>
      <c r="AF69" s="48"/>
    </row>
    <row r="70" spans="1:32" ht="16.5" customHeight="1" x14ac:dyDescent="0.15">
      <c r="A70" s="41">
        <v>15</v>
      </c>
      <c r="B70" s="41" t="s">
        <v>28531</v>
      </c>
      <c r="C70" s="74" t="s">
        <v>28532</v>
      </c>
      <c r="D70" s="72"/>
      <c r="F70" s="57"/>
      <c r="G70" s="72"/>
      <c r="I70" s="57"/>
      <c r="J70" s="72"/>
      <c r="K70" s="168">
        <f>_15_同援日０．５＿１．０＿１．０</f>
        <v>130</v>
      </c>
      <c r="L70" s="57" t="s">
        <v>392</v>
      </c>
      <c r="M70" s="35"/>
      <c r="P70" s="299" t="s">
        <v>17556</v>
      </c>
      <c r="Q70" s="45" t="s">
        <v>398</v>
      </c>
      <c r="R70" s="46">
        <v>1</v>
      </c>
      <c r="S70" s="512"/>
      <c r="T70" s="57"/>
      <c r="U70" s="512"/>
      <c r="V70" s="57"/>
      <c r="W70" s="122" t="s">
        <v>17564</v>
      </c>
      <c r="X70" s="37" t="s">
        <v>398</v>
      </c>
      <c r="Y70" s="38">
        <v>0.25</v>
      </c>
      <c r="Z70" s="79" t="s">
        <v>3575</v>
      </c>
      <c r="AA70" s="122"/>
      <c r="AB70" s="37"/>
      <c r="AC70" s="38"/>
      <c r="AD70" s="79"/>
      <c r="AE70" s="208">
        <f>ROUND((ROUND((ROUND((ROUND((_15_同援日０．５*_15・通訳),0)*_15・２人),0)*(1+_15・A深夜)),0)*(1+_15・盲ろう)),0)+ROUND((ROUND((ROUND((ROUND((_15_同援日０．５＿１．０*_15・通訳),0)*_15・２人),0)*(1+_15・B早朝)),0)*(1+_15・盲ろう)),0)+ROUND((ROUND((ROUND((_15_同援日０．５＿１．０＿１．０*_15・通訳),0)*_15・２人),0)*(1+_15・盲ろう)),0)</f>
        <v>810</v>
      </c>
      <c r="AF70" s="48"/>
    </row>
    <row r="71" spans="1:32" ht="16.5" customHeight="1" x14ac:dyDescent="0.15">
      <c r="A71" s="41">
        <v>15</v>
      </c>
      <c r="B71" s="41" t="s">
        <v>28533</v>
      </c>
      <c r="C71" s="74" t="s">
        <v>28534</v>
      </c>
      <c r="D71" s="72"/>
      <c r="F71" s="57"/>
      <c r="G71" s="72"/>
      <c r="I71" s="57"/>
      <c r="J71" s="72"/>
      <c r="L71" s="57"/>
      <c r="M71" s="35"/>
      <c r="P71" s="299"/>
      <c r="Q71" s="45"/>
      <c r="R71" s="46"/>
      <c r="S71" s="512"/>
      <c r="T71" s="57"/>
      <c r="U71" s="512"/>
      <c r="V71" s="57"/>
      <c r="W71" s="114"/>
      <c r="X71" s="49"/>
      <c r="Y71" s="50"/>
      <c r="Z71" s="115"/>
      <c r="AA71" s="114" t="s">
        <v>17570</v>
      </c>
      <c r="AB71" s="49"/>
      <c r="AC71" s="50"/>
      <c r="AD71" s="115"/>
      <c r="AE71" s="208">
        <f>ROUND((ROUND((ROUND((_15_同援日０．５*_15・通訳),0)*(1+_15・A深夜)),0)*(1+_15・区３)),0)+ROUND((ROUND((ROUND((_15_同援日０．５＿１．０*_15・通訳),0)*(1+_15・B早朝)),0)*(1+_15・区３)),0)+ROUND((ROUND((_15_同援日０．５＿１．０＿１．０*_15・通訳),0)*(1+_15・区３)),0)</f>
        <v>777</v>
      </c>
      <c r="AF71" s="48"/>
    </row>
    <row r="72" spans="1:32" ht="16.5" customHeight="1" x14ac:dyDescent="0.15">
      <c r="A72" s="41">
        <v>15</v>
      </c>
      <c r="B72" s="41" t="s">
        <v>28535</v>
      </c>
      <c r="C72" s="74" t="s">
        <v>28536</v>
      </c>
      <c r="D72" s="72"/>
      <c r="F72" s="57"/>
      <c r="G72" s="72"/>
      <c r="I72" s="57"/>
      <c r="J72" s="72"/>
      <c r="L72" s="57"/>
      <c r="M72" s="35"/>
      <c r="P72" s="299" t="s">
        <v>17556</v>
      </c>
      <c r="Q72" s="45" t="s">
        <v>398</v>
      </c>
      <c r="R72" s="46">
        <v>1</v>
      </c>
      <c r="S72" s="512"/>
      <c r="T72" s="57"/>
      <c r="U72" s="512"/>
      <c r="V72" s="57"/>
      <c r="W72" s="122"/>
      <c r="X72" s="37"/>
      <c r="Y72" s="38"/>
      <c r="Z72" s="79"/>
      <c r="AA72" s="72" t="s">
        <v>17572</v>
      </c>
      <c r="AD72" s="57"/>
      <c r="AE72" s="208">
        <f>ROUND((ROUND((ROUND((ROUND((_15_同援日０．５*_15・通訳),0)*_15・２人),0)*(1+_15・A深夜)),0)*(1+_15・区３)),0)+ROUND((ROUND((ROUND((ROUND((_15_同援日０．５＿１．０*_15・通訳),0)*_15・２人),0)*(1+_15・B早朝)),0)*(1+_15・区３)),0)+ROUND((ROUND((ROUND((_15_同援日０．５＿１．０＿１．０*_15・通訳),0)*_15・２人),0)*(1+_15・区３)),0)</f>
        <v>777</v>
      </c>
      <c r="AF72" s="48"/>
    </row>
    <row r="73" spans="1:32" ht="16.5" customHeight="1" x14ac:dyDescent="0.15">
      <c r="A73" s="41">
        <v>15</v>
      </c>
      <c r="B73" s="41" t="s">
        <v>28537</v>
      </c>
      <c r="C73" s="74" t="s">
        <v>28538</v>
      </c>
      <c r="D73" s="72"/>
      <c r="F73" s="57"/>
      <c r="G73" s="72"/>
      <c r="I73" s="57"/>
      <c r="J73" s="72"/>
      <c r="L73" s="57"/>
      <c r="M73" s="35"/>
      <c r="P73" s="299"/>
      <c r="Q73" s="45"/>
      <c r="R73" s="46"/>
      <c r="S73" s="512"/>
      <c r="T73" s="57"/>
      <c r="U73" s="512"/>
      <c r="V73" s="57"/>
      <c r="W73" s="114" t="s">
        <v>17562</v>
      </c>
      <c r="X73" s="49"/>
      <c r="Y73" s="50"/>
      <c r="Z73" s="115"/>
      <c r="AA73" s="72"/>
      <c r="AB73" s="12" t="s">
        <v>398</v>
      </c>
      <c r="AC73" s="13">
        <v>0.2</v>
      </c>
      <c r="AD73" s="57" t="s">
        <v>3575</v>
      </c>
      <c r="AE73" s="208">
        <f>ROUND((ROUND((ROUND((ROUND((_15_同援日０．５*_15・通訳),0)*(1+_15・A深夜)),0)*(1+_15・盲ろう)),0)*(1+_15・区３)),0)+ROUND((ROUND((ROUND((ROUND((_15_同援日０．５＿１．０*_15・通訳),0)*(1+_15・B早朝)),0)*(1+_15・盲ろう)),0)*(1+_15・区３)),0)+ROUND((ROUND((ROUND((_15_同援日０．５＿１．０＿１．０*_15・通訳),0)*(1+_15・盲ろう)),0)*(1+_15・区３)),0)</f>
        <v>972</v>
      </c>
      <c r="AF73" s="48"/>
    </row>
    <row r="74" spans="1:32" ht="16.5" customHeight="1" x14ac:dyDescent="0.15">
      <c r="A74" s="41">
        <v>15</v>
      </c>
      <c r="B74" s="41" t="s">
        <v>28539</v>
      </c>
      <c r="C74" s="74" t="s">
        <v>28540</v>
      </c>
      <c r="D74" s="72"/>
      <c r="F74" s="57"/>
      <c r="G74" s="72"/>
      <c r="I74" s="57"/>
      <c r="J74" s="72"/>
      <c r="L74" s="57"/>
      <c r="M74" s="35"/>
      <c r="P74" s="299" t="s">
        <v>17556</v>
      </c>
      <c r="Q74" s="45" t="s">
        <v>398</v>
      </c>
      <c r="R74" s="46">
        <v>1</v>
      </c>
      <c r="S74" s="512"/>
      <c r="T74" s="57"/>
      <c r="U74" s="512"/>
      <c r="V74" s="57"/>
      <c r="W74" s="122" t="s">
        <v>17564</v>
      </c>
      <c r="X74" s="37" t="s">
        <v>398</v>
      </c>
      <c r="Y74" s="38">
        <v>0.25</v>
      </c>
      <c r="Z74" s="79" t="s">
        <v>3575</v>
      </c>
      <c r="AA74" s="122"/>
      <c r="AB74" s="37"/>
      <c r="AC74" s="38"/>
      <c r="AD74" s="79"/>
      <c r="AE74" s="208">
        <f>ROUND((ROUND((ROUND((ROUND((ROUND((_15_同援日０．５*_15・通訳),0)*_15・２人),0)*(1+_15・A深夜)),0)*(1+_15・盲ろう)),0)*(1+_15・区３)),0)+ROUND((ROUND((ROUND((ROUND((ROUND((_15_同援日０．５＿１．０*_15・通訳),0)*_15・２人),0)*(1+_15・B早朝)),0)*(1+_15・盲ろう)),0)*(1+_15・区３)),0)+ROUND((ROUND((ROUND((ROUND((_15_同援日０．５＿１．０＿１．０*_15・通訳),0)*_15・２人),0)*(1+_15・盲ろう)),0)*(1+_15・区３)),0)</f>
        <v>972</v>
      </c>
      <c r="AF74" s="48"/>
    </row>
    <row r="75" spans="1:32" ht="16.5" customHeight="1" x14ac:dyDescent="0.15">
      <c r="A75" s="41">
        <v>15</v>
      </c>
      <c r="B75" s="41" t="s">
        <v>3439</v>
      </c>
      <c r="C75" s="74" t="s">
        <v>28541</v>
      </c>
      <c r="D75" s="72"/>
      <c r="F75" s="57"/>
      <c r="G75" s="72"/>
      <c r="I75" s="57"/>
      <c r="J75" s="72"/>
      <c r="L75" s="57"/>
      <c r="M75" s="35"/>
      <c r="P75" s="299"/>
      <c r="Q75" s="45"/>
      <c r="R75" s="46"/>
      <c r="S75" s="512"/>
      <c r="T75" s="57"/>
      <c r="U75" s="512"/>
      <c r="V75" s="57"/>
      <c r="W75" s="114"/>
      <c r="X75" s="49"/>
      <c r="Y75" s="50"/>
      <c r="Z75" s="115"/>
      <c r="AA75" s="114" t="s">
        <v>17580</v>
      </c>
      <c r="AB75" s="49"/>
      <c r="AC75" s="50"/>
      <c r="AD75" s="115"/>
      <c r="AE75" s="208">
        <f>ROUND((ROUND((ROUND((_15_同援日０．５*_15・通訳),0)*(1+_15・A深夜)),0)*(1+_15・区４)),0)+ROUND((ROUND((ROUND((_15_同援日０．５＿１．０*_15・通訳),0)*(1+_15・B早朝)),0)*(1+_15・区４)),0)+ROUND((ROUND((_15_同援日０．５＿１．０＿１．０*_15・通訳),0)*(1+_15・区４)),0)</f>
        <v>908</v>
      </c>
      <c r="AF75" s="48"/>
    </row>
    <row r="76" spans="1:32" ht="16.5" customHeight="1" x14ac:dyDescent="0.15">
      <c r="A76" s="41">
        <v>15</v>
      </c>
      <c r="B76" s="41" t="s">
        <v>3441</v>
      </c>
      <c r="C76" s="74" t="s">
        <v>28542</v>
      </c>
      <c r="D76" s="72"/>
      <c r="F76" s="57"/>
      <c r="G76" s="72"/>
      <c r="I76" s="57"/>
      <c r="J76" s="72"/>
      <c r="L76" s="57"/>
      <c r="M76" s="35"/>
      <c r="P76" s="299" t="s">
        <v>17556</v>
      </c>
      <c r="Q76" s="45" t="s">
        <v>398</v>
      </c>
      <c r="R76" s="46">
        <v>1</v>
      </c>
      <c r="S76" s="512"/>
      <c r="T76" s="57"/>
      <c r="U76" s="512"/>
      <c r="V76" s="57"/>
      <c r="W76" s="122"/>
      <c r="X76" s="37"/>
      <c r="Y76" s="38"/>
      <c r="Z76" s="79"/>
      <c r="AA76" s="72" t="s">
        <v>17572</v>
      </c>
      <c r="AD76" s="57"/>
      <c r="AE76" s="208">
        <f>ROUND((ROUND((ROUND((ROUND((_15_同援日０．５*_15・通訳),0)*_15・２人),0)*(1+_15・A深夜)),0)*(1+_15・区４)),0)+ROUND((ROUND((ROUND((ROUND((_15_同援日０．５＿１．０*_15・通訳),0)*_15・２人),0)*(1+_15・B早朝)),0)*(1+_15・区４)),0)+ROUND((ROUND((ROUND((_15_同援日０．５＿１．０＿１．０*_15・通訳),0)*_15・２人),0)*(1+_15・区４)),0)</f>
        <v>908</v>
      </c>
      <c r="AF76" s="48"/>
    </row>
    <row r="77" spans="1:32" ht="16.5" customHeight="1" x14ac:dyDescent="0.15">
      <c r="A77" s="41">
        <v>15</v>
      </c>
      <c r="B77" s="41" t="s">
        <v>28543</v>
      </c>
      <c r="C77" s="74" t="s">
        <v>28544</v>
      </c>
      <c r="D77" s="72"/>
      <c r="F77" s="57"/>
      <c r="G77" s="72"/>
      <c r="I77" s="57"/>
      <c r="J77" s="72"/>
      <c r="L77" s="57"/>
      <c r="M77" s="35"/>
      <c r="P77" s="299"/>
      <c r="Q77" s="45"/>
      <c r="R77" s="46"/>
      <c r="S77" s="512"/>
      <c r="T77" s="57"/>
      <c r="U77" s="512"/>
      <c r="V77" s="57"/>
      <c r="W77" s="114" t="s">
        <v>17562</v>
      </c>
      <c r="X77" s="49"/>
      <c r="Y77" s="50"/>
      <c r="Z77" s="115"/>
      <c r="AA77" s="72"/>
      <c r="AB77" s="12" t="s">
        <v>398</v>
      </c>
      <c r="AC77" s="13">
        <v>0.4</v>
      </c>
      <c r="AD77" s="57" t="s">
        <v>3575</v>
      </c>
      <c r="AE77" s="208">
        <f>ROUND((ROUND((ROUND((ROUND((_15_同援日０．５*_15・通訳),0)*(1+_15・A深夜)),0)*(1+_15・盲ろう)),0)*(1+_15・区４)),0)+ROUND((ROUND((ROUND((ROUND((_15_同援日０．５＿１．０*_15・通訳),0)*(1+_15・B早朝)),0)*(1+_15・盲ろう)),0)*(1+_15・区４)),0)+ROUND((ROUND((ROUND((_15_同援日０．５＿１．０＿１．０*_15・通訳),0)*(1+_15・盲ろう)),0)*(1+_15・区４)),0)</f>
        <v>1133</v>
      </c>
      <c r="AF77" s="48"/>
    </row>
    <row r="78" spans="1:32" ht="16.5" customHeight="1" x14ac:dyDescent="0.15">
      <c r="A78" s="41">
        <v>15</v>
      </c>
      <c r="B78" s="41" t="s">
        <v>28545</v>
      </c>
      <c r="C78" s="74" t="s">
        <v>28546</v>
      </c>
      <c r="D78" s="72"/>
      <c r="F78" s="57"/>
      <c r="G78" s="72"/>
      <c r="I78" s="57"/>
      <c r="J78" s="122"/>
      <c r="K78" s="37"/>
      <c r="L78" s="79"/>
      <c r="M78" s="35"/>
      <c r="P78" s="299" t="s">
        <v>17556</v>
      </c>
      <c r="Q78" s="45" t="s">
        <v>398</v>
      </c>
      <c r="R78" s="46">
        <v>1</v>
      </c>
      <c r="S78" s="512"/>
      <c r="T78" s="57"/>
      <c r="U78" s="512"/>
      <c r="V78" s="57"/>
      <c r="W78" s="122" t="s">
        <v>17564</v>
      </c>
      <c r="X78" s="37" t="s">
        <v>398</v>
      </c>
      <c r="Y78" s="38">
        <v>0.25</v>
      </c>
      <c r="Z78" s="79" t="s">
        <v>3575</v>
      </c>
      <c r="AA78" s="122"/>
      <c r="AB78" s="37"/>
      <c r="AC78" s="38"/>
      <c r="AD78" s="79"/>
      <c r="AE78" s="208">
        <f>ROUND((ROUND((ROUND((ROUND((ROUND((_15_同援日０．５*_15・通訳),0)*_15・２人),0)*(1+_15・A深夜)),0)*(1+_15・盲ろう)),0)*(1+_15・区４)),0)+ROUND((ROUND((ROUND((ROUND((ROUND((_15_同援日０．５＿１．０*_15・通訳),0)*_15・２人),0)*(1+_15・B早朝)),0)*(1+_15・盲ろう)),0)*(1+_15・区４)),0)+ROUND((ROUND((ROUND((ROUND((_15_同援日０．５＿１．０＿１．０*_15・通訳),0)*_15・２人),0)*(1+_15・盲ろう)),0)*(1+_15・区４)),0)</f>
        <v>1133</v>
      </c>
      <c r="AF78" s="48"/>
    </row>
    <row r="79" spans="1:32" ht="16.5" customHeight="1" x14ac:dyDescent="0.15">
      <c r="A79" s="41">
        <v>15</v>
      </c>
      <c r="B79" s="41" t="s">
        <v>28547</v>
      </c>
      <c r="C79" s="74" t="s">
        <v>28548</v>
      </c>
      <c r="D79" s="72"/>
      <c r="F79" s="57"/>
      <c r="G79" s="72"/>
      <c r="I79" s="57"/>
      <c r="J79" s="114" t="s">
        <v>21291</v>
      </c>
      <c r="K79" s="49"/>
      <c r="L79" s="115"/>
      <c r="M79" s="35"/>
      <c r="P79" s="299"/>
      <c r="Q79" s="45"/>
      <c r="R79" s="46"/>
      <c r="S79" s="512"/>
      <c r="T79" s="57"/>
      <c r="U79" s="512"/>
      <c r="V79" s="57"/>
      <c r="W79" s="114"/>
      <c r="X79" s="49"/>
      <c r="Y79" s="50"/>
      <c r="Z79" s="115"/>
      <c r="AA79" s="114"/>
      <c r="AB79" s="49"/>
      <c r="AC79" s="50"/>
      <c r="AD79" s="115"/>
      <c r="AE79" s="208">
        <f>ROUND((ROUND((_15_同援日０．５*_15・通訳),0)*(1+_15・A深夜)),0)+ROUND((ROUND((_15_同援日０．５＿１．０*_15・通訳),0)*(1+_15・B早朝)),0)+ROUND((_15_同援日０．５＿１．０＿１．５*_15・通訳),0)</f>
        <v>707</v>
      </c>
      <c r="AF79" s="48"/>
    </row>
    <row r="80" spans="1:32" ht="16.5" customHeight="1" x14ac:dyDescent="0.15">
      <c r="A80" s="41">
        <v>15</v>
      </c>
      <c r="B80" s="41" t="s">
        <v>28549</v>
      </c>
      <c r="C80" s="74" t="s">
        <v>28550</v>
      </c>
      <c r="D80" s="72"/>
      <c r="F80" s="57"/>
      <c r="G80" s="72"/>
      <c r="I80" s="57"/>
      <c r="J80" s="72" t="s">
        <v>17616</v>
      </c>
      <c r="L80" s="57"/>
      <c r="M80" s="35"/>
      <c r="P80" s="299" t="s">
        <v>17556</v>
      </c>
      <c r="Q80" s="45" t="s">
        <v>398</v>
      </c>
      <c r="R80" s="46">
        <v>1</v>
      </c>
      <c r="S80" s="512"/>
      <c r="T80" s="57"/>
      <c r="U80" s="512"/>
      <c r="V80" s="57"/>
      <c r="W80" s="122"/>
      <c r="X80" s="37"/>
      <c r="Y80" s="38"/>
      <c r="Z80" s="79"/>
      <c r="AA80" s="72"/>
      <c r="AD80" s="57"/>
      <c r="AE80" s="208">
        <f>ROUND((ROUND((ROUND((_15_同援日０．５*_15・通訳),0)*_15・２人),0)*(1+_15・A深夜)),0)+ROUND((ROUND((ROUND((_15_同援日０．５＿１．０*_15・通訳),0)*_15・２人),0)*(1+_15・B早朝)),0)+ROUND((ROUND((_15_同援日０．５＿１．０＿１．５*_15・通訳),0)*_15・２人),0)</f>
        <v>707</v>
      </c>
      <c r="AF80" s="48"/>
    </row>
    <row r="81" spans="1:32" ht="16.5" customHeight="1" x14ac:dyDescent="0.15">
      <c r="A81" s="41">
        <v>15</v>
      </c>
      <c r="B81" s="41" t="s">
        <v>28551</v>
      </c>
      <c r="C81" s="74" t="s">
        <v>28552</v>
      </c>
      <c r="D81" s="72"/>
      <c r="F81" s="57"/>
      <c r="G81" s="72"/>
      <c r="I81" s="57"/>
      <c r="J81" s="72" t="s">
        <v>18183</v>
      </c>
      <c r="L81" s="57"/>
      <c r="M81" s="35"/>
      <c r="P81" s="299"/>
      <c r="Q81" s="45"/>
      <c r="R81" s="46"/>
      <c r="S81" s="512"/>
      <c r="T81" s="57"/>
      <c r="U81" s="512"/>
      <c r="V81" s="57"/>
      <c r="W81" s="114" t="s">
        <v>17562</v>
      </c>
      <c r="X81" s="49"/>
      <c r="Y81" s="50"/>
      <c r="Z81" s="115"/>
      <c r="AA81" s="72"/>
      <c r="AD81" s="57"/>
      <c r="AE81" s="208">
        <f>ROUND((ROUND((ROUND((_15_同援日０．５*_15・通訳),0)*(1+_15・A深夜)),0)*(1+_15・盲ろう)),0)+ROUND((ROUND((ROUND((_15_同援日０．５＿１．０*_15・通訳),0)*(1+_15・B早朝)),0)*(1+_15・盲ろう)),0)+ROUND((ROUND((_15_同援日０．５＿１．０＿１．５*_15・通訳),0)*(1+_15・盲ろう)),0)</f>
        <v>884</v>
      </c>
      <c r="AF81" s="48"/>
    </row>
    <row r="82" spans="1:32" ht="16.5" customHeight="1" x14ac:dyDescent="0.15">
      <c r="A82" s="41">
        <v>15</v>
      </c>
      <c r="B82" s="41" t="s">
        <v>28553</v>
      </c>
      <c r="C82" s="74" t="s">
        <v>28554</v>
      </c>
      <c r="D82" s="72"/>
      <c r="F82" s="57"/>
      <c r="G82" s="72"/>
      <c r="I82" s="57"/>
      <c r="J82" s="72"/>
      <c r="K82" s="168">
        <f>_15_同援日０．５＿１．０＿１．５</f>
        <v>195</v>
      </c>
      <c r="L82" s="57" t="s">
        <v>392</v>
      </c>
      <c r="M82" s="35"/>
      <c r="P82" s="299" t="s">
        <v>17556</v>
      </c>
      <c r="Q82" s="45" t="s">
        <v>398</v>
      </c>
      <c r="R82" s="46">
        <v>1</v>
      </c>
      <c r="S82" s="512"/>
      <c r="T82" s="57"/>
      <c r="U82" s="512"/>
      <c r="V82" s="57"/>
      <c r="W82" s="122" t="s">
        <v>17564</v>
      </c>
      <c r="X82" s="37" t="s">
        <v>398</v>
      </c>
      <c r="Y82" s="38">
        <v>0.25</v>
      </c>
      <c r="Z82" s="79" t="s">
        <v>3575</v>
      </c>
      <c r="AA82" s="122"/>
      <c r="AB82" s="37"/>
      <c r="AC82" s="38"/>
      <c r="AD82" s="79"/>
      <c r="AE82" s="208">
        <f>ROUND((ROUND((ROUND((ROUND((_15_同援日０．５*_15・通訳),0)*_15・２人),0)*(1+_15・A深夜)),0)*(1+_15・盲ろう)),0)+ROUND((ROUND((ROUND((ROUND((_15_同援日０．５＿１．０*_15・通訳),0)*_15・２人),0)*(1+_15・B早朝)),0)*(1+_15・盲ろう)),0)+ROUND((ROUND((ROUND((_15_同援日０．５＿１．０＿１．５*_15・通訳),0)*_15・２人),0)*(1+_15・盲ろう)),0)</f>
        <v>884</v>
      </c>
      <c r="AF82" s="48"/>
    </row>
    <row r="83" spans="1:32" ht="16.5" customHeight="1" x14ac:dyDescent="0.15">
      <c r="A83" s="41">
        <v>15</v>
      </c>
      <c r="B83" s="41" t="s">
        <v>28555</v>
      </c>
      <c r="C83" s="74" t="s">
        <v>28556</v>
      </c>
      <c r="D83" s="72"/>
      <c r="F83" s="57"/>
      <c r="G83" s="72"/>
      <c r="I83" s="57"/>
      <c r="J83" s="72"/>
      <c r="L83" s="57"/>
      <c r="M83" s="35"/>
      <c r="P83" s="299"/>
      <c r="Q83" s="45"/>
      <c r="R83" s="46"/>
      <c r="S83" s="512"/>
      <c r="T83" s="57"/>
      <c r="U83" s="512"/>
      <c r="V83" s="57"/>
      <c r="W83" s="114"/>
      <c r="X83" s="49"/>
      <c r="Y83" s="50"/>
      <c r="Z83" s="115"/>
      <c r="AA83" s="114" t="s">
        <v>17570</v>
      </c>
      <c r="AB83" s="49"/>
      <c r="AC83" s="50"/>
      <c r="AD83" s="115"/>
      <c r="AE83" s="208">
        <f>ROUND((ROUND((ROUND((_15_同援日０．５*_15・通訳),0)*(1+_15・A深夜)),0)*(1+_15・区３)),0)+ROUND((ROUND((ROUND((_15_同援日０．５＿１．０*_15・通訳),0)*(1+_15・B早朝)),0)*(1+_15・区３)),0)+ROUND((ROUND((_15_同援日０．５＿１．０＿１．５*_15・通訳),0)*(1+_15・区３)),0)</f>
        <v>848</v>
      </c>
      <c r="AF83" s="48"/>
    </row>
    <row r="84" spans="1:32" ht="16.5" customHeight="1" x14ac:dyDescent="0.15">
      <c r="A84" s="41">
        <v>15</v>
      </c>
      <c r="B84" s="41" t="s">
        <v>28557</v>
      </c>
      <c r="C84" s="74" t="s">
        <v>28558</v>
      </c>
      <c r="D84" s="72"/>
      <c r="F84" s="57"/>
      <c r="G84" s="72"/>
      <c r="I84" s="57"/>
      <c r="J84" s="72"/>
      <c r="L84" s="57"/>
      <c r="M84" s="35"/>
      <c r="P84" s="299" t="s">
        <v>17556</v>
      </c>
      <c r="Q84" s="45" t="s">
        <v>398</v>
      </c>
      <c r="R84" s="46">
        <v>1</v>
      </c>
      <c r="S84" s="512"/>
      <c r="T84" s="57"/>
      <c r="U84" s="512"/>
      <c r="V84" s="57"/>
      <c r="W84" s="122"/>
      <c r="X84" s="37"/>
      <c r="Y84" s="38"/>
      <c r="Z84" s="79"/>
      <c r="AA84" s="72" t="s">
        <v>17572</v>
      </c>
      <c r="AD84" s="57"/>
      <c r="AE84" s="208">
        <f>ROUND((ROUND((ROUND((ROUND((_15_同援日０．５*_15・通訳),0)*_15・２人),0)*(1+_15・A深夜)),0)*(1+_15・区３)),0)+ROUND((ROUND((ROUND((ROUND((_15_同援日０．５＿１．０*_15・通訳),0)*_15・２人),0)*(1+_15・B早朝)),0)*(1+_15・区３)),0)+ROUND((ROUND((ROUND((_15_同援日０．５＿１．０＿１．５*_15・通訳),0)*_15・２人),0)*(1+_15・区３)),0)</f>
        <v>848</v>
      </c>
      <c r="AF84" s="48"/>
    </row>
    <row r="85" spans="1:32" ht="16.5" customHeight="1" x14ac:dyDescent="0.15">
      <c r="A85" s="41">
        <v>15</v>
      </c>
      <c r="B85" s="41" t="s">
        <v>3446</v>
      </c>
      <c r="C85" s="74" t="s">
        <v>28559</v>
      </c>
      <c r="D85" s="72"/>
      <c r="F85" s="57"/>
      <c r="G85" s="72"/>
      <c r="I85" s="57"/>
      <c r="J85" s="72"/>
      <c r="L85" s="57"/>
      <c r="M85" s="35"/>
      <c r="P85" s="299"/>
      <c r="Q85" s="45"/>
      <c r="R85" s="46"/>
      <c r="S85" s="512"/>
      <c r="T85" s="57"/>
      <c r="U85" s="512"/>
      <c r="V85" s="57"/>
      <c r="W85" s="114" t="s">
        <v>17562</v>
      </c>
      <c r="X85" s="49"/>
      <c r="Y85" s="50"/>
      <c r="Z85" s="115"/>
      <c r="AA85" s="72"/>
      <c r="AB85" s="12" t="s">
        <v>398</v>
      </c>
      <c r="AC85" s="13">
        <v>0.2</v>
      </c>
      <c r="AD85" s="57" t="s">
        <v>3575</v>
      </c>
      <c r="AE85" s="208">
        <f>ROUND((ROUND((ROUND((ROUND((_15_同援日０．５*_15・通訳),0)*(1+_15・A深夜)),0)*(1+_15・盲ろう)),0)*(1+_15・区３)),0)+ROUND((ROUND((ROUND((ROUND((_15_同援日０．５＿１．０*_15・通訳),0)*(1+_15・B早朝)),0)*(1+_15・盲ろう)),0)*(1+_15・区３)),0)+ROUND((ROUND((ROUND((_15_同援日０．５＿１．０＿１．５*_15・通訳),0)*(1+_15・盲ろう)),0)*(1+_15・区３)),0)</f>
        <v>1061</v>
      </c>
      <c r="AF85" s="48"/>
    </row>
    <row r="86" spans="1:32" ht="16.5" customHeight="1" x14ac:dyDescent="0.15">
      <c r="A86" s="41">
        <v>15</v>
      </c>
      <c r="B86" s="41" t="s">
        <v>3448</v>
      </c>
      <c r="C86" s="74" t="s">
        <v>28560</v>
      </c>
      <c r="D86" s="72"/>
      <c r="F86" s="57"/>
      <c r="G86" s="72"/>
      <c r="I86" s="57"/>
      <c r="J86" s="72"/>
      <c r="L86" s="57"/>
      <c r="M86" s="35"/>
      <c r="P86" s="299" t="s">
        <v>17556</v>
      </c>
      <c r="Q86" s="45" t="s">
        <v>398</v>
      </c>
      <c r="R86" s="46">
        <v>1</v>
      </c>
      <c r="S86" s="512"/>
      <c r="T86" s="57"/>
      <c r="U86" s="512"/>
      <c r="V86" s="57"/>
      <c r="W86" s="122" t="s">
        <v>17564</v>
      </c>
      <c r="X86" s="37" t="s">
        <v>398</v>
      </c>
      <c r="Y86" s="38">
        <v>0.25</v>
      </c>
      <c r="Z86" s="79" t="s">
        <v>3575</v>
      </c>
      <c r="AA86" s="122"/>
      <c r="AB86" s="37"/>
      <c r="AC86" s="38"/>
      <c r="AD86" s="79"/>
      <c r="AE86" s="208">
        <f>ROUND((ROUND((ROUND((ROUND((ROUND((_15_同援日０．５*_15・通訳),0)*_15・２人),0)*(1+_15・A深夜)),0)*(1+_15・盲ろう)),0)*(1+_15・区３)),0)+ROUND((ROUND((ROUND((ROUND((ROUND((_15_同援日０．５＿１．０*_15・通訳),0)*_15・２人),0)*(1+_15・B早朝)),0)*(1+_15・盲ろう)),0)*(1+_15・区３)),0)+ROUND((ROUND((ROUND((ROUND((_15_同援日０．５＿１．０＿１．５*_15・通訳),0)*_15・２人),0)*(1+_15・盲ろう)),0)*(1+_15・区３)),0)</f>
        <v>1061</v>
      </c>
      <c r="AF86" s="48"/>
    </row>
    <row r="87" spans="1:32" ht="16.5" customHeight="1" x14ac:dyDescent="0.15">
      <c r="A87" s="41">
        <v>15</v>
      </c>
      <c r="B87" s="41" t="s">
        <v>28561</v>
      </c>
      <c r="C87" s="74" t="s">
        <v>28562</v>
      </c>
      <c r="D87" s="72"/>
      <c r="F87" s="57"/>
      <c r="G87" s="72"/>
      <c r="I87" s="57"/>
      <c r="J87" s="72"/>
      <c r="L87" s="57"/>
      <c r="M87" s="35"/>
      <c r="P87" s="299"/>
      <c r="Q87" s="45"/>
      <c r="R87" s="46"/>
      <c r="S87" s="512"/>
      <c r="T87" s="57"/>
      <c r="U87" s="512"/>
      <c r="V87" s="57"/>
      <c r="W87" s="114"/>
      <c r="X87" s="49"/>
      <c r="Y87" s="50"/>
      <c r="Z87" s="115"/>
      <c r="AA87" s="114" t="s">
        <v>17580</v>
      </c>
      <c r="AB87" s="49"/>
      <c r="AC87" s="50"/>
      <c r="AD87" s="115"/>
      <c r="AE87" s="208">
        <f>ROUND((ROUND((ROUND((_15_同援日０．５*_15・通訳),0)*(1+_15・A深夜)),0)*(1+_15・区４)),0)+ROUND((ROUND((ROUND((_15_同援日０．５＿１．０*_15・通訳),0)*(1+_15・B早朝)),0)*(1+_15・区４)),0)+ROUND((ROUND((_15_同援日０．５＿１．０＿１．５*_15・通訳),0)*(1+_15・区４)),0)</f>
        <v>990</v>
      </c>
      <c r="AF87" s="48"/>
    </row>
    <row r="88" spans="1:32" ht="16.5" customHeight="1" x14ac:dyDescent="0.15">
      <c r="A88" s="41">
        <v>15</v>
      </c>
      <c r="B88" s="41" t="s">
        <v>28563</v>
      </c>
      <c r="C88" s="74" t="s">
        <v>28564</v>
      </c>
      <c r="D88" s="72"/>
      <c r="F88" s="57"/>
      <c r="G88" s="72"/>
      <c r="I88" s="57"/>
      <c r="J88" s="72"/>
      <c r="L88" s="57"/>
      <c r="M88" s="35"/>
      <c r="P88" s="299" t="s">
        <v>17556</v>
      </c>
      <c r="Q88" s="45" t="s">
        <v>398</v>
      </c>
      <c r="R88" s="46">
        <v>1</v>
      </c>
      <c r="S88" s="512"/>
      <c r="T88" s="57"/>
      <c r="U88" s="512"/>
      <c r="V88" s="57"/>
      <c r="W88" s="122"/>
      <c r="X88" s="37"/>
      <c r="Y88" s="38"/>
      <c r="Z88" s="79"/>
      <c r="AA88" s="72" t="s">
        <v>17572</v>
      </c>
      <c r="AD88" s="57"/>
      <c r="AE88" s="208">
        <f>ROUND((ROUND((ROUND((ROUND((_15_同援日０．５*_15・通訳),0)*_15・２人),0)*(1+_15・A深夜)),0)*(1+_15・区４)),0)+ROUND((ROUND((ROUND((ROUND((_15_同援日０．５＿１．０*_15・通訳),0)*_15・２人),0)*(1+_15・B早朝)),0)*(1+_15・区４)),0)+ROUND((ROUND((ROUND((_15_同援日０．５＿１．０＿１．５*_15・通訳),0)*_15・２人),0)*(1+_15・区４)),0)</f>
        <v>990</v>
      </c>
      <c r="AF88" s="48"/>
    </row>
    <row r="89" spans="1:32" ht="16.5" customHeight="1" x14ac:dyDescent="0.15">
      <c r="A89" s="41">
        <v>15</v>
      </c>
      <c r="B89" s="41" t="s">
        <v>28565</v>
      </c>
      <c r="C89" s="74" t="s">
        <v>28566</v>
      </c>
      <c r="D89" s="72"/>
      <c r="F89" s="57"/>
      <c r="G89" s="72"/>
      <c r="I89" s="57"/>
      <c r="J89" s="72"/>
      <c r="L89" s="57"/>
      <c r="M89" s="35"/>
      <c r="P89" s="299"/>
      <c r="Q89" s="45"/>
      <c r="R89" s="46"/>
      <c r="S89" s="512"/>
      <c r="T89" s="57"/>
      <c r="U89" s="512"/>
      <c r="V89" s="57"/>
      <c r="W89" s="114" t="s">
        <v>17562</v>
      </c>
      <c r="X89" s="49"/>
      <c r="Y89" s="50"/>
      <c r="Z89" s="115"/>
      <c r="AA89" s="72"/>
      <c r="AB89" s="12" t="s">
        <v>398</v>
      </c>
      <c r="AC89" s="13">
        <v>0.4</v>
      </c>
      <c r="AD89" s="57" t="s">
        <v>3575</v>
      </c>
      <c r="AE89" s="208">
        <f>ROUND((ROUND((ROUND((ROUND((_15_同援日０．５*_15・通訳),0)*(1+_15・A深夜)),0)*(1+_15・盲ろう)),0)*(1+_15・区４)),0)+ROUND((ROUND((ROUND((ROUND((_15_同援日０．５＿１．０*_15・通訳),0)*(1+_15・B早朝)),0)*(1+_15・盲ろう)),0)*(1+_15・区４)),0)+ROUND((ROUND((ROUND((_15_同援日０．５＿１．０＿１．５*_15・通訳),0)*(1+_15・盲ろう)),0)*(1+_15・区４)),0)</f>
        <v>1237</v>
      </c>
      <c r="AF89" s="48"/>
    </row>
    <row r="90" spans="1:32" ht="16.5" customHeight="1" x14ac:dyDescent="0.15">
      <c r="A90" s="41">
        <v>15</v>
      </c>
      <c r="B90" s="41" t="s">
        <v>28567</v>
      </c>
      <c r="C90" s="74" t="s">
        <v>28568</v>
      </c>
      <c r="D90" s="72"/>
      <c r="F90" s="57"/>
      <c r="G90" s="122"/>
      <c r="H90" s="37"/>
      <c r="I90" s="79"/>
      <c r="J90" s="122"/>
      <c r="K90" s="37"/>
      <c r="L90" s="79"/>
      <c r="M90" s="35"/>
      <c r="P90" s="299" t="s">
        <v>17556</v>
      </c>
      <c r="Q90" s="45" t="s">
        <v>398</v>
      </c>
      <c r="R90" s="46">
        <v>1</v>
      </c>
      <c r="S90" s="512"/>
      <c r="T90" s="57"/>
      <c r="U90" s="512"/>
      <c r="V90" s="57"/>
      <c r="W90" s="122" t="s">
        <v>17564</v>
      </c>
      <c r="X90" s="37" t="s">
        <v>398</v>
      </c>
      <c r="Y90" s="38">
        <v>0.25</v>
      </c>
      <c r="Z90" s="79" t="s">
        <v>3575</v>
      </c>
      <c r="AA90" s="122"/>
      <c r="AB90" s="37"/>
      <c r="AC90" s="38"/>
      <c r="AD90" s="79"/>
      <c r="AE90" s="208">
        <f>ROUND((ROUND((ROUND((ROUND((ROUND((_15_同援日０．５*_15・通訳),0)*_15・２人),0)*(1+_15・A深夜)),0)*(1+_15・盲ろう)),0)*(1+_15・区４)),0)+ROUND((ROUND((ROUND((ROUND((ROUND((_15_同援日０．５＿１．０*_15・通訳),0)*_15・２人),0)*(1+_15・B早朝)),0)*(1+_15・盲ろう)),0)*(1+_15・区４)),0)+ROUND((ROUND((ROUND((ROUND((_15_同援日０．５＿１．０＿１．５*_15・通訳),0)*_15・２人),0)*(1+_15・盲ろう)),0)*(1+_15・区４)),0)</f>
        <v>1237</v>
      </c>
      <c r="AF90" s="48"/>
    </row>
    <row r="91" spans="1:32" ht="16.5" customHeight="1" x14ac:dyDescent="0.15">
      <c r="A91" s="41">
        <v>15</v>
      </c>
      <c r="B91" s="41" t="s">
        <v>28569</v>
      </c>
      <c r="C91" s="74" t="s">
        <v>28570</v>
      </c>
      <c r="D91" s="72"/>
      <c r="F91" s="57"/>
      <c r="G91" s="114" t="s">
        <v>18871</v>
      </c>
      <c r="H91" s="49"/>
      <c r="I91" s="115"/>
      <c r="J91" s="114" t="s">
        <v>19919</v>
      </c>
      <c r="K91" s="49"/>
      <c r="L91" s="115"/>
      <c r="M91" s="35"/>
      <c r="P91" s="299"/>
      <c r="Q91" s="45"/>
      <c r="R91" s="46"/>
      <c r="S91" s="512"/>
      <c r="T91" s="57"/>
      <c r="U91" s="512"/>
      <c r="V91" s="57"/>
      <c r="W91" s="114"/>
      <c r="X91" s="49"/>
      <c r="Y91" s="50"/>
      <c r="Z91" s="115"/>
      <c r="AA91" s="114"/>
      <c r="AB91" s="49"/>
      <c r="AC91" s="50"/>
      <c r="AD91" s="115"/>
      <c r="AE91" s="208">
        <f>ROUND((ROUND((_15_同援日０．５*_15・通訳),0)*(1+_15・A深夜)),0)+ROUND((ROUND((_15_同援日０．５＿１．５*_15・通訳),0)*(1+_15・B早朝)),0)+ROUND((_15_同援日０．５＿１．５＿０．５*_15・通訳),0)</f>
        <v>662</v>
      </c>
      <c r="AF91" s="48"/>
    </row>
    <row r="92" spans="1:32" ht="16.5" customHeight="1" x14ac:dyDescent="0.15">
      <c r="A92" s="41">
        <v>15</v>
      </c>
      <c r="B92" s="41" t="s">
        <v>28571</v>
      </c>
      <c r="C92" s="74" t="s">
        <v>28572</v>
      </c>
      <c r="D92" s="72"/>
      <c r="F92" s="57"/>
      <c r="G92" s="72" t="s">
        <v>17616</v>
      </c>
      <c r="I92" s="57"/>
      <c r="J92" s="72" t="s">
        <v>18259</v>
      </c>
      <c r="L92" s="57"/>
      <c r="M92" s="35"/>
      <c r="P92" s="299" t="s">
        <v>17556</v>
      </c>
      <c r="Q92" s="45" t="s">
        <v>398</v>
      </c>
      <c r="R92" s="46">
        <v>1</v>
      </c>
      <c r="S92" s="512"/>
      <c r="T92" s="57"/>
      <c r="U92" s="512"/>
      <c r="V92" s="57"/>
      <c r="W92" s="122"/>
      <c r="X92" s="37"/>
      <c r="Y92" s="38"/>
      <c r="Z92" s="79"/>
      <c r="AA92" s="72"/>
      <c r="AD92" s="57"/>
      <c r="AE92" s="208">
        <f>ROUND((ROUND((ROUND((_15_同援日０．５*_15・通訳),0)*_15・２人),0)*(1+_15・A深夜)),0)+ROUND((ROUND((ROUND((_15_同援日０．５＿１．５*_15・通訳),0)*_15・２人),0)*(1+_15・B早朝)),0)+ROUND((ROUND((_15_同援日０．５＿１．５＿０．５*_15・通訳),0)*_15・２人),0)</f>
        <v>662</v>
      </c>
      <c r="AF92" s="48"/>
    </row>
    <row r="93" spans="1:32" ht="16.5" customHeight="1" x14ac:dyDescent="0.15">
      <c r="A93" s="41">
        <v>15</v>
      </c>
      <c r="B93" s="41" t="s">
        <v>28573</v>
      </c>
      <c r="C93" s="74" t="s">
        <v>28574</v>
      </c>
      <c r="D93" s="72"/>
      <c r="F93" s="57"/>
      <c r="G93" s="72" t="s">
        <v>18183</v>
      </c>
      <c r="I93" s="57"/>
      <c r="J93" s="72"/>
      <c r="L93" s="57"/>
      <c r="M93" s="35"/>
      <c r="P93" s="299"/>
      <c r="Q93" s="45"/>
      <c r="R93" s="46"/>
      <c r="S93" s="512"/>
      <c r="T93" s="57"/>
      <c r="U93" s="512"/>
      <c r="V93" s="57"/>
      <c r="W93" s="114" t="s">
        <v>17562</v>
      </c>
      <c r="X93" s="49"/>
      <c r="Y93" s="50"/>
      <c r="Z93" s="115"/>
      <c r="AA93" s="72"/>
      <c r="AD93" s="57"/>
      <c r="AE93" s="208">
        <f>ROUND((ROUND((ROUND((_15_同援日０．５*_15・通訳),0)*(1+_15・A深夜)),0)*(1+_15・盲ろう)),0)+ROUND((ROUND((ROUND((_15_同援日０．５＿１．５*_15・通訳),0)*(1+_15・B早朝)),0)*(1+_15・盲ろう)),0)+ROUND((ROUND((_15_同援日０．５＿１．５＿０．５*_15・通訳),0)*(1+_15・盲ろう)),0)</f>
        <v>828</v>
      </c>
      <c r="AF93" s="48"/>
    </row>
    <row r="94" spans="1:32" ht="16.5" customHeight="1" x14ac:dyDescent="0.15">
      <c r="A94" s="41">
        <v>15</v>
      </c>
      <c r="B94" s="41" t="s">
        <v>28575</v>
      </c>
      <c r="C94" s="74" t="s">
        <v>28576</v>
      </c>
      <c r="D94" s="72"/>
      <c r="F94" s="57"/>
      <c r="G94" s="72"/>
      <c r="H94" s="168">
        <f>_15_同援日０．５＿１．５</f>
        <v>308</v>
      </c>
      <c r="I94" s="57" t="s">
        <v>392</v>
      </c>
      <c r="J94" s="72"/>
      <c r="K94" s="168">
        <f>_15_同援日０．５＿１．５＿０．５</f>
        <v>65</v>
      </c>
      <c r="L94" s="57" t="s">
        <v>392</v>
      </c>
      <c r="M94" s="35"/>
      <c r="P94" s="299" t="s">
        <v>17556</v>
      </c>
      <c r="Q94" s="45" t="s">
        <v>398</v>
      </c>
      <c r="R94" s="46">
        <v>1</v>
      </c>
      <c r="S94" s="512"/>
      <c r="T94" s="57"/>
      <c r="U94" s="512"/>
      <c r="V94" s="57"/>
      <c r="W94" s="122" t="s">
        <v>17564</v>
      </c>
      <c r="X94" s="37" t="s">
        <v>398</v>
      </c>
      <c r="Y94" s="38">
        <v>0.25</v>
      </c>
      <c r="Z94" s="79" t="s">
        <v>3575</v>
      </c>
      <c r="AA94" s="122"/>
      <c r="AB94" s="37"/>
      <c r="AC94" s="38"/>
      <c r="AD94" s="79"/>
      <c r="AE94" s="208">
        <f>ROUND((ROUND((ROUND((ROUND((_15_同援日０．５*_15・通訳),0)*_15・２人),0)*(1+_15・A深夜)),0)*(1+_15・盲ろう)),0)+ROUND((ROUND((ROUND((ROUND((_15_同援日０．５＿１．５*_15・通訳),0)*_15・２人),0)*(1+_15・B早朝)),0)*(1+_15・盲ろう)),0)+ROUND((ROUND((ROUND((_15_同援日０．５＿１．５＿０．５*_15・通訳),0)*_15・２人),0)*(1+_15・盲ろう)),0)</f>
        <v>828</v>
      </c>
      <c r="AF94" s="48"/>
    </row>
    <row r="95" spans="1:32" ht="16.5" customHeight="1" x14ac:dyDescent="0.15">
      <c r="A95" s="41">
        <v>15</v>
      </c>
      <c r="B95" s="41" t="s">
        <v>3453</v>
      </c>
      <c r="C95" s="74" t="s">
        <v>28577</v>
      </c>
      <c r="D95" s="72"/>
      <c r="F95" s="57"/>
      <c r="G95" s="72"/>
      <c r="I95" s="57"/>
      <c r="J95" s="72"/>
      <c r="L95" s="57"/>
      <c r="M95" s="35"/>
      <c r="P95" s="299"/>
      <c r="Q95" s="45"/>
      <c r="R95" s="46"/>
      <c r="S95" s="512"/>
      <c r="T95" s="57"/>
      <c r="U95" s="512"/>
      <c r="V95" s="57"/>
      <c r="W95" s="114"/>
      <c r="X95" s="49"/>
      <c r="Y95" s="50"/>
      <c r="Z95" s="115"/>
      <c r="AA95" s="114" t="s">
        <v>17570</v>
      </c>
      <c r="AB95" s="49"/>
      <c r="AC95" s="50"/>
      <c r="AD95" s="115"/>
      <c r="AE95" s="208">
        <f>ROUND((ROUND((ROUND((_15_同援日０．５*_15・通訳),0)*(1+_15・A深夜)),0)*(1+_15・区３)),0)+ROUND((ROUND((ROUND((_15_同援日０．５＿１．５*_15・通訳),0)*(1+_15・B早朝)),0)*(1+_15・区３)),0)+ROUND((ROUND((_15_同援日０．５＿１．５＿０．５*_15・通訳),0)*(1+_15・区３)),0)</f>
        <v>794</v>
      </c>
      <c r="AF95" s="48"/>
    </row>
    <row r="96" spans="1:32" ht="16.5" customHeight="1" x14ac:dyDescent="0.15">
      <c r="A96" s="41">
        <v>15</v>
      </c>
      <c r="B96" s="41" t="s">
        <v>3455</v>
      </c>
      <c r="C96" s="74" t="s">
        <v>28578</v>
      </c>
      <c r="D96" s="72"/>
      <c r="F96" s="57"/>
      <c r="G96" s="72"/>
      <c r="I96" s="57"/>
      <c r="J96" s="72"/>
      <c r="L96" s="57"/>
      <c r="M96" s="35"/>
      <c r="P96" s="299" t="s">
        <v>17556</v>
      </c>
      <c r="Q96" s="45" t="s">
        <v>398</v>
      </c>
      <c r="R96" s="46">
        <v>1</v>
      </c>
      <c r="S96" s="512"/>
      <c r="T96" s="57"/>
      <c r="U96" s="512"/>
      <c r="V96" s="57"/>
      <c r="W96" s="122"/>
      <c r="X96" s="37"/>
      <c r="Y96" s="38"/>
      <c r="Z96" s="79"/>
      <c r="AA96" s="72" t="s">
        <v>17572</v>
      </c>
      <c r="AD96" s="57"/>
      <c r="AE96" s="208">
        <f>ROUND((ROUND((ROUND((ROUND((_15_同援日０．５*_15・通訳),0)*_15・２人),0)*(1+_15・A深夜)),0)*(1+_15・区３)),0)+ROUND((ROUND((ROUND((ROUND((_15_同援日０．５＿１．５*_15・通訳),0)*_15・２人),0)*(1+_15・B早朝)),0)*(1+_15・区３)),0)+ROUND((ROUND((ROUND((_15_同援日０．５＿１．５＿０．５*_15・通訳),0)*_15・２人),0)*(1+_15・区３)),0)</f>
        <v>794</v>
      </c>
      <c r="AF96" s="48"/>
    </row>
    <row r="97" spans="1:32" ht="16.5" customHeight="1" x14ac:dyDescent="0.15">
      <c r="A97" s="41">
        <v>15</v>
      </c>
      <c r="B97" s="41" t="s">
        <v>28579</v>
      </c>
      <c r="C97" s="74" t="s">
        <v>28580</v>
      </c>
      <c r="D97" s="72"/>
      <c r="F97" s="57"/>
      <c r="G97" s="72"/>
      <c r="I97" s="57"/>
      <c r="J97" s="72"/>
      <c r="L97" s="57"/>
      <c r="M97" s="35"/>
      <c r="P97" s="299"/>
      <c r="Q97" s="45"/>
      <c r="R97" s="46"/>
      <c r="S97" s="512"/>
      <c r="T97" s="57"/>
      <c r="U97" s="512"/>
      <c r="V97" s="57"/>
      <c r="W97" s="114" t="s">
        <v>17562</v>
      </c>
      <c r="X97" s="49"/>
      <c r="Y97" s="50"/>
      <c r="Z97" s="115"/>
      <c r="AA97" s="72"/>
      <c r="AB97" s="12" t="s">
        <v>398</v>
      </c>
      <c r="AC97" s="13">
        <v>0.2</v>
      </c>
      <c r="AD97" s="57" t="s">
        <v>3575</v>
      </c>
      <c r="AE97" s="208">
        <f>ROUND((ROUND((ROUND((ROUND((_15_同援日０．５*_15・通訳),0)*(1+_15・A深夜)),0)*(1+_15・盲ろう)),0)*(1+_15・区３)),0)+ROUND((ROUND((ROUND((ROUND((_15_同援日０．５＿１．５*_15・通訳),0)*(1+_15・B早朝)),0)*(1+_15・盲ろう)),0)*(1+_15・区３)),0)+ROUND((ROUND((ROUND((_15_同援日０．５＿１．５＿０．５*_15・通訳),0)*(1+_15・盲ろう)),0)*(1+_15・区３)),0)</f>
        <v>994</v>
      </c>
      <c r="AF97" s="48"/>
    </row>
    <row r="98" spans="1:32" ht="16.5" customHeight="1" x14ac:dyDescent="0.15">
      <c r="A98" s="41">
        <v>15</v>
      </c>
      <c r="B98" s="41" t="s">
        <v>28581</v>
      </c>
      <c r="C98" s="74" t="s">
        <v>28582</v>
      </c>
      <c r="D98" s="72"/>
      <c r="F98" s="57"/>
      <c r="G98" s="72"/>
      <c r="I98" s="57"/>
      <c r="J98" s="72"/>
      <c r="L98" s="57"/>
      <c r="M98" s="35"/>
      <c r="P98" s="299" t="s">
        <v>17556</v>
      </c>
      <c r="Q98" s="45" t="s">
        <v>398</v>
      </c>
      <c r="R98" s="46">
        <v>1</v>
      </c>
      <c r="S98" s="512"/>
      <c r="T98" s="57"/>
      <c r="U98" s="512"/>
      <c r="V98" s="57"/>
      <c r="W98" s="122" t="s">
        <v>17564</v>
      </c>
      <c r="X98" s="37" t="s">
        <v>398</v>
      </c>
      <c r="Y98" s="38">
        <v>0.25</v>
      </c>
      <c r="Z98" s="79" t="s">
        <v>3575</v>
      </c>
      <c r="AA98" s="122"/>
      <c r="AB98" s="37"/>
      <c r="AC98" s="38"/>
      <c r="AD98" s="79"/>
      <c r="AE98" s="208">
        <f>ROUND((ROUND((ROUND((ROUND((ROUND((_15_同援日０．５*_15・通訳),0)*_15・２人),0)*(1+_15・A深夜)),0)*(1+_15・盲ろう)),0)*(1+_15・区３)),0)+ROUND((ROUND((ROUND((ROUND((ROUND((_15_同援日０．５＿１．５*_15・通訳),0)*_15・２人),0)*(1+_15・B早朝)),0)*(1+_15・盲ろう)),0)*(1+_15・区３)),0)+ROUND((ROUND((ROUND((ROUND((_15_同援日０．５＿１．５＿０．５*_15・通訳),0)*_15・２人),0)*(1+_15・盲ろう)),0)*(1+_15・区３)),0)</f>
        <v>994</v>
      </c>
      <c r="AF98" s="48"/>
    </row>
    <row r="99" spans="1:32" ht="16.5" customHeight="1" x14ac:dyDescent="0.15">
      <c r="A99" s="41">
        <v>15</v>
      </c>
      <c r="B99" s="41" t="s">
        <v>28583</v>
      </c>
      <c r="C99" s="74" t="s">
        <v>28584</v>
      </c>
      <c r="D99" s="72"/>
      <c r="F99" s="57"/>
      <c r="G99" s="72"/>
      <c r="I99" s="57"/>
      <c r="J99" s="72"/>
      <c r="L99" s="57"/>
      <c r="M99" s="35"/>
      <c r="P99" s="299"/>
      <c r="Q99" s="45"/>
      <c r="R99" s="46"/>
      <c r="S99" s="512"/>
      <c r="T99" s="57"/>
      <c r="U99" s="512"/>
      <c r="V99" s="57"/>
      <c r="W99" s="114"/>
      <c r="X99" s="49"/>
      <c r="Y99" s="50"/>
      <c r="Z99" s="115"/>
      <c r="AA99" s="114" t="s">
        <v>17580</v>
      </c>
      <c r="AB99" s="49"/>
      <c r="AC99" s="50"/>
      <c r="AD99" s="115"/>
      <c r="AE99" s="208">
        <f>ROUND((ROUND((ROUND((_15_同援日０．５*_15・通訳),0)*(1+_15・A深夜)),0)*(1+_15・区４)),0)+ROUND((ROUND((ROUND((_15_同援日０．５＿１．５*_15・通訳),0)*(1+_15・B早朝)),0)*(1+_15・区４)),0)+ROUND((ROUND((_15_同援日０．５＿１．５＿０．５*_15・通訳),0)*(1+_15・区４)),0)</f>
        <v>927</v>
      </c>
      <c r="AF99" s="48"/>
    </row>
    <row r="100" spans="1:32" ht="16.5" customHeight="1" x14ac:dyDescent="0.15">
      <c r="A100" s="41">
        <v>15</v>
      </c>
      <c r="B100" s="41" t="s">
        <v>28585</v>
      </c>
      <c r="C100" s="74" t="s">
        <v>28586</v>
      </c>
      <c r="D100" s="72"/>
      <c r="F100" s="57"/>
      <c r="G100" s="72"/>
      <c r="I100" s="57"/>
      <c r="J100" s="72"/>
      <c r="L100" s="57"/>
      <c r="M100" s="35"/>
      <c r="P100" s="299" t="s">
        <v>17556</v>
      </c>
      <c r="Q100" s="45" t="s">
        <v>398</v>
      </c>
      <c r="R100" s="46">
        <v>1</v>
      </c>
      <c r="S100" s="512"/>
      <c r="T100" s="57"/>
      <c r="U100" s="512"/>
      <c r="V100" s="57"/>
      <c r="W100" s="122"/>
      <c r="X100" s="37"/>
      <c r="Y100" s="38"/>
      <c r="Z100" s="79"/>
      <c r="AA100" s="72" t="s">
        <v>17572</v>
      </c>
      <c r="AD100" s="57"/>
      <c r="AE100" s="208">
        <f>ROUND((ROUND((ROUND((ROUND((_15_同援日０．５*_15・通訳),0)*_15・２人),0)*(1+_15・A深夜)),0)*(1+_15・区４)),0)+ROUND((ROUND((ROUND((ROUND((_15_同援日０．５＿１．５*_15・通訳),0)*_15・２人),0)*(1+_15・B早朝)),0)*(1+_15・区４)),0)+ROUND((ROUND((ROUND((_15_同援日０．５＿１．５＿０．５*_15・通訳),0)*_15・２人),0)*(1+_15・区４)),0)</f>
        <v>927</v>
      </c>
      <c r="AF100" s="48"/>
    </row>
    <row r="101" spans="1:32" ht="16.5" customHeight="1" x14ac:dyDescent="0.15">
      <c r="A101" s="41">
        <v>15</v>
      </c>
      <c r="B101" s="41" t="s">
        <v>28587</v>
      </c>
      <c r="C101" s="74" t="s">
        <v>28588</v>
      </c>
      <c r="D101" s="72"/>
      <c r="F101" s="57"/>
      <c r="G101" s="72"/>
      <c r="I101" s="57"/>
      <c r="J101" s="72"/>
      <c r="L101" s="57"/>
      <c r="M101" s="35"/>
      <c r="P101" s="299"/>
      <c r="Q101" s="45"/>
      <c r="R101" s="46"/>
      <c r="S101" s="512"/>
      <c r="T101" s="57"/>
      <c r="U101" s="512"/>
      <c r="V101" s="57"/>
      <c r="W101" s="114" t="s">
        <v>17562</v>
      </c>
      <c r="X101" s="49"/>
      <c r="Y101" s="50"/>
      <c r="Z101" s="115"/>
      <c r="AA101" s="72"/>
      <c r="AB101" s="12" t="s">
        <v>398</v>
      </c>
      <c r="AC101" s="13">
        <v>0.4</v>
      </c>
      <c r="AD101" s="57" t="s">
        <v>3575</v>
      </c>
      <c r="AE101" s="208">
        <f>ROUND((ROUND((ROUND((ROUND((_15_同援日０．５*_15・通訳),0)*(1+_15・A深夜)),0)*(1+_15・盲ろう)),0)*(1+_15・区４)),0)+ROUND((ROUND((ROUND((ROUND((_15_同援日０．５＿１．５*_15・通訳),0)*(1+_15・B早朝)),0)*(1+_15・盲ろう)),0)*(1+_15・区４)),0)+ROUND((ROUND((ROUND((_15_同援日０．５＿１．５＿０．５*_15・通訳),0)*(1+_15・盲ろう)),0)*(1+_15・区４)),0)</f>
        <v>1159</v>
      </c>
      <c r="AF101" s="48"/>
    </row>
    <row r="102" spans="1:32" ht="16.5" customHeight="1" x14ac:dyDescent="0.15">
      <c r="A102" s="41">
        <v>15</v>
      </c>
      <c r="B102" s="41" t="s">
        <v>28589</v>
      </c>
      <c r="C102" s="74" t="s">
        <v>28590</v>
      </c>
      <c r="D102" s="72"/>
      <c r="F102" s="57"/>
      <c r="G102" s="72"/>
      <c r="I102" s="57"/>
      <c r="J102" s="122"/>
      <c r="K102" s="37"/>
      <c r="L102" s="79"/>
      <c r="M102" s="35"/>
      <c r="P102" s="299" t="s">
        <v>17556</v>
      </c>
      <c r="Q102" s="45" t="s">
        <v>398</v>
      </c>
      <c r="R102" s="46">
        <v>1</v>
      </c>
      <c r="S102" s="512"/>
      <c r="T102" s="57"/>
      <c r="U102" s="512"/>
      <c r="V102" s="57"/>
      <c r="W102" s="122" t="s">
        <v>17564</v>
      </c>
      <c r="X102" s="37" t="s">
        <v>398</v>
      </c>
      <c r="Y102" s="38">
        <v>0.25</v>
      </c>
      <c r="Z102" s="79" t="s">
        <v>3575</v>
      </c>
      <c r="AA102" s="122"/>
      <c r="AB102" s="37"/>
      <c r="AC102" s="38"/>
      <c r="AD102" s="79"/>
      <c r="AE102" s="208">
        <f>ROUND((ROUND((ROUND((ROUND((ROUND((_15_同援日０．５*_15・通訳),0)*_15・２人),0)*(1+_15・A深夜)),0)*(1+_15・盲ろう)),0)*(1+_15・区４)),0)+ROUND((ROUND((ROUND((ROUND((ROUND((_15_同援日０．５＿１．５*_15・通訳),0)*_15・２人),0)*(1+_15・B早朝)),0)*(1+_15・盲ろう)),0)*(1+_15・区４)),0)+ROUND((ROUND((ROUND((ROUND((_15_同援日０．５＿１．５＿０．５*_15・通訳),0)*_15・２人),0)*(1+_15・盲ろう)),0)*(1+_15・区４)),0)</f>
        <v>1159</v>
      </c>
      <c r="AF102" s="48"/>
    </row>
    <row r="103" spans="1:32" ht="16.5" customHeight="1" x14ac:dyDescent="0.15">
      <c r="A103" s="41">
        <v>15</v>
      </c>
      <c r="B103" s="41" t="s">
        <v>28591</v>
      </c>
      <c r="C103" s="74" t="s">
        <v>28592</v>
      </c>
      <c r="D103" s="72"/>
      <c r="F103" s="57"/>
      <c r="G103" s="72"/>
      <c r="I103" s="57"/>
      <c r="J103" s="114" t="s">
        <v>21246</v>
      </c>
      <c r="K103" s="49"/>
      <c r="L103" s="115"/>
      <c r="M103" s="35"/>
      <c r="P103" s="299"/>
      <c r="Q103" s="45"/>
      <c r="R103" s="46"/>
      <c r="S103" s="512"/>
      <c r="T103" s="57"/>
      <c r="U103" s="512"/>
      <c r="V103" s="57"/>
      <c r="W103" s="114"/>
      <c r="X103" s="49"/>
      <c r="Y103" s="50"/>
      <c r="Z103" s="115"/>
      <c r="AA103" s="114"/>
      <c r="AB103" s="49"/>
      <c r="AC103" s="50"/>
      <c r="AD103" s="115"/>
      <c r="AE103" s="208">
        <f>ROUND((ROUND((_15_同援日０．５*_15・通訳),0)*(1+_15・A深夜)),0)+ROUND((ROUND((_15_同援日０．５＿１．５*_15・通訳),0)*(1+_15・B早朝)),0)+ROUND((_15_同援日０．５＿１．５＿１．０*_15・通訳),0)</f>
        <v>720</v>
      </c>
      <c r="AF103" s="48"/>
    </row>
    <row r="104" spans="1:32" ht="16.5" customHeight="1" x14ac:dyDescent="0.15">
      <c r="A104" s="41">
        <v>15</v>
      </c>
      <c r="B104" s="41" t="s">
        <v>28593</v>
      </c>
      <c r="C104" s="74" t="s">
        <v>28594</v>
      </c>
      <c r="D104" s="72"/>
      <c r="F104" s="57"/>
      <c r="G104" s="72"/>
      <c r="I104" s="57"/>
      <c r="J104" s="72" t="s">
        <v>17589</v>
      </c>
      <c r="L104" s="57"/>
      <c r="M104" s="35"/>
      <c r="P104" s="299" t="s">
        <v>17556</v>
      </c>
      <c r="Q104" s="45" t="s">
        <v>398</v>
      </c>
      <c r="R104" s="46">
        <v>1</v>
      </c>
      <c r="S104" s="512"/>
      <c r="T104" s="57"/>
      <c r="U104" s="512"/>
      <c r="V104" s="57"/>
      <c r="W104" s="122"/>
      <c r="X104" s="37"/>
      <c r="Y104" s="38"/>
      <c r="Z104" s="79"/>
      <c r="AA104" s="72"/>
      <c r="AD104" s="57"/>
      <c r="AE104" s="208">
        <f>ROUND((ROUND((ROUND((_15_同援日０．５*_15・通訳),0)*_15・２人),0)*(1+_15・A深夜)),0)+ROUND((ROUND((ROUND((_15_同援日０．５＿１．５*_15・通訳),0)*_15・２人),0)*(1+_15・B早朝)),0)+ROUND((ROUND((_15_同援日０．５＿１．５＿１．０*_15・通訳),0)*_15・２人),0)</f>
        <v>720</v>
      </c>
      <c r="AF104" s="48"/>
    </row>
    <row r="105" spans="1:32" ht="16.5" customHeight="1" x14ac:dyDescent="0.15">
      <c r="A105" s="41">
        <v>15</v>
      </c>
      <c r="B105" s="41" t="s">
        <v>3460</v>
      </c>
      <c r="C105" s="74" t="s">
        <v>28595</v>
      </c>
      <c r="D105" s="72"/>
      <c r="F105" s="57"/>
      <c r="G105" s="72"/>
      <c r="I105" s="57"/>
      <c r="J105" s="72" t="s">
        <v>17591</v>
      </c>
      <c r="L105" s="57"/>
      <c r="M105" s="35"/>
      <c r="P105" s="299"/>
      <c r="Q105" s="45"/>
      <c r="R105" s="46"/>
      <c r="S105" s="512"/>
      <c r="T105" s="57"/>
      <c r="U105" s="512"/>
      <c r="V105" s="57"/>
      <c r="W105" s="114" t="s">
        <v>17562</v>
      </c>
      <c r="X105" s="49"/>
      <c r="Y105" s="50"/>
      <c r="Z105" s="115"/>
      <c r="AA105" s="72"/>
      <c r="AD105" s="57"/>
      <c r="AE105" s="208">
        <f>ROUND((ROUND((ROUND((_15_同援日０．５*_15・通訳),0)*(1+_15・A深夜)),0)*(1+_15・盲ろう)),0)+ROUND((ROUND((ROUND((_15_同援日０．５＿１．５*_15・通訳),0)*(1+_15・B早朝)),0)*(1+_15・盲ろう)),0)+ROUND((ROUND((_15_同援日０．５＿１．５＿１．０*_15・通訳),0)*(1+_15・盲ろう)),0)</f>
        <v>900</v>
      </c>
      <c r="AF105" s="48"/>
    </row>
    <row r="106" spans="1:32" ht="16.5" customHeight="1" x14ac:dyDescent="0.15">
      <c r="A106" s="41">
        <v>15</v>
      </c>
      <c r="B106" s="41" t="s">
        <v>3462</v>
      </c>
      <c r="C106" s="74" t="s">
        <v>28596</v>
      </c>
      <c r="D106" s="72"/>
      <c r="F106" s="57"/>
      <c r="G106" s="72"/>
      <c r="I106" s="57"/>
      <c r="J106" s="72"/>
      <c r="K106" s="168">
        <f>_15_同援日０．５＿１．５＿１．０</f>
        <v>130</v>
      </c>
      <c r="L106" s="57" t="s">
        <v>392</v>
      </c>
      <c r="M106" s="35"/>
      <c r="P106" s="299" t="s">
        <v>17556</v>
      </c>
      <c r="Q106" s="45" t="s">
        <v>398</v>
      </c>
      <c r="R106" s="46">
        <v>1</v>
      </c>
      <c r="S106" s="512"/>
      <c r="T106" s="57"/>
      <c r="U106" s="512"/>
      <c r="V106" s="57"/>
      <c r="W106" s="122" t="s">
        <v>17564</v>
      </c>
      <c r="X106" s="37" t="s">
        <v>398</v>
      </c>
      <c r="Y106" s="38">
        <v>0.25</v>
      </c>
      <c r="Z106" s="79" t="s">
        <v>3575</v>
      </c>
      <c r="AA106" s="122"/>
      <c r="AB106" s="37"/>
      <c r="AC106" s="38"/>
      <c r="AD106" s="79"/>
      <c r="AE106" s="208">
        <f>ROUND((ROUND((ROUND((ROUND((_15_同援日０．５*_15・通訳),0)*_15・２人),0)*(1+_15・A深夜)),0)*(1+_15・盲ろう)),0)+ROUND((ROUND((ROUND((ROUND((_15_同援日０．５＿１．５*_15・通訳),0)*_15・２人),0)*(1+_15・B早朝)),0)*(1+_15・盲ろう)),0)+ROUND((ROUND((ROUND((_15_同援日０．５＿１．５＿１．０*_15・通訳),0)*_15・２人),0)*(1+_15・盲ろう)),0)</f>
        <v>900</v>
      </c>
      <c r="AF106" s="48"/>
    </row>
    <row r="107" spans="1:32" ht="16.5" customHeight="1" x14ac:dyDescent="0.15">
      <c r="A107" s="41">
        <v>15</v>
      </c>
      <c r="B107" s="41" t="s">
        <v>28597</v>
      </c>
      <c r="C107" s="74" t="s">
        <v>28598</v>
      </c>
      <c r="D107" s="72"/>
      <c r="F107" s="57"/>
      <c r="G107" s="72"/>
      <c r="I107" s="57"/>
      <c r="J107" s="72"/>
      <c r="L107" s="57"/>
      <c r="M107" s="35"/>
      <c r="P107" s="299"/>
      <c r="Q107" s="45"/>
      <c r="R107" s="46"/>
      <c r="S107" s="512"/>
      <c r="T107" s="57"/>
      <c r="U107" s="512"/>
      <c r="V107" s="57"/>
      <c r="W107" s="114"/>
      <c r="X107" s="49"/>
      <c r="Y107" s="50"/>
      <c r="Z107" s="115"/>
      <c r="AA107" s="114" t="s">
        <v>17570</v>
      </c>
      <c r="AB107" s="49"/>
      <c r="AC107" s="50"/>
      <c r="AD107" s="115"/>
      <c r="AE107" s="208">
        <f>ROUND((ROUND((ROUND((_15_同援日０．５*_15・通訳),0)*(1+_15・A深夜)),0)*(1+_15・区３)),0)+ROUND((ROUND((ROUND((_15_同援日０．５＿１．５*_15・通訳),0)*(1+_15・B早朝)),0)*(1+_15・区３)),0)+ROUND((ROUND((_15_同援日０．５＿１．５＿１．０*_15・通訳),0)*(1+_15・区３)),0)</f>
        <v>863</v>
      </c>
      <c r="AF107" s="48"/>
    </row>
    <row r="108" spans="1:32" ht="16.5" customHeight="1" x14ac:dyDescent="0.15">
      <c r="A108" s="41">
        <v>15</v>
      </c>
      <c r="B108" s="41" t="s">
        <v>28599</v>
      </c>
      <c r="C108" s="74" t="s">
        <v>28600</v>
      </c>
      <c r="D108" s="72"/>
      <c r="F108" s="57"/>
      <c r="G108" s="72"/>
      <c r="I108" s="57"/>
      <c r="J108" s="72"/>
      <c r="L108" s="57"/>
      <c r="M108" s="35"/>
      <c r="P108" s="299" t="s">
        <v>17556</v>
      </c>
      <c r="Q108" s="45" t="s">
        <v>398</v>
      </c>
      <c r="R108" s="46">
        <v>1</v>
      </c>
      <c r="S108" s="512"/>
      <c r="T108" s="57"/>
      <c r="U108" s="512"/>
      <c r="V108" s="57"/>
      <c r="W108" s="122"/>
      <c r="X108" s="37"/>
      <c r="Y108" s="38"/>
      <c r="Z108" s="79"/>
      <c r="AA108" s="72" t="s">
        <v>17572</v>
      </c>
      <c r="AD108" s="57"/>
      <c r="AE108" s="208">
        <f>ROUND((ROUND((ROUND((ROUND((_15_同援日０．５*_15・通訳),0)*_15・２人),0)*(1+_15・A深夜)),0)*(1+_15・区３)),0)+ROUND((ROUND((ROUND((ROUND((_15_同援日０．５＿１．５*_15・通訳),0)*_15・２人),0)*(1+_15・B早朝)),0)*(1+_15・区３)),0)+ROUND((ROUND((ROUND((_15_同援日０．５＿１．５＿１．０*_15・通訳),0)*_15・２人),0)*(1+_15・区３)),0)</f>
        <v>863</v>
      </c>
      <c r="AF108" s="48"/>
    </row>
    <row r="109" spans="1:32" ht="16.5" customHeight="1" x14ac:dyDescent="0.15">
      <c r="A109" s="41">
        <v>15</v>
      </c>
      <c r="B109" s="41" t="s">
        <v>28601</v>
      </c>
      <c r="C109" s="74" t="s">
        <v>28602</v>
      </c>
      <c r="D109" s="72"/>
      <c r="F109" s="57"/>
      <c r="G109" s="72"/>
      <c r="I109" s="57"/>
      <c r="J109" s="72"/>
      <c r="L109" s="57"/>
      <c r="M109" s="35"/>
      <c r="P109" s="299"/>
      <c r="Q109" s="45"/>
      <c r="R109" s="46"/>
      <c r="S109" s="512"/>
      <c r="T109" s="57"/>
      <c r="U109" s="512"/>
      <c r="V109" s="57"/>
      <c r="W109" s="114" t="s">
        <v>17562</v>
      </c>
      <c r="X109" s="49"/>
      <c r="Y109" s="50"/>
      <c r="Z109" s="115"/>
      <c r="AA109" s="72"/>
      <c r="AB109" s="12" t="s">
        <v>398</v>
      </c>
      <c r="AC109" s="13">
        <v>0.2</v>
      </c>
      <c r="AD109" s="57" t="s">
        <v>3575</v>
      </c>
      <c r="AE109" s="208">
        <f>ROUND((ROUND((ROUND((ROUND((_15_同援日０．５*_15・通訳),0)*(1+_15・A深夜)),0)*(1+_15・盲ろう)),0)*(1+_15・区３)),0)+ROUND((ROUND((ROUND((ROUND((_15_同援日０．５＿１．５*_15・通訳),0)*(1+_15・B早朝)),0)*(1+_15・盲ろう)),0)*(1+_15・区３)),0)+ROUND((ROUND((ROUND((_15_同援日０．５＿１．５＿１．０*_15・通訳),0)*(1+_15・盲ろう)),0)*(1+_15・区３)),0)</f>
        <v>1080</v>
      </c>
      <c r="AF109" s="48"/>
    </row>
    <row r="110" spans="1:32" ht="16.5" customHeight="1" x14ac:dyDescent="0.15">
      <c r="A110" s="41">
        <v>15</v>
      </c>
      <c r="B110" s="41" t="s">
        <v>28603</v>
      </c>
      <c r="C110" s="74" t="s">
        <v>28604</v>
      </c>
      <c r="D110" s="72"/>
      <c r="F110" s="57"/>
      <c r="G110" s="72"/>
      <c r="I110" s="57"/>
      <c r="J110" s="72"/>
      <c r="L110" s="57"/>
      <c r="M110" s="35"/>
      <c r="P110" s="299" t="s">
        <v>17556</v>
      </c>
      <c r="Q110" s="45" t="s">
        <v>398</v>
      </c>
      <c r="R110" s="46">
        <v>1</v>
      </c>
      <c r="S110" s="512"/>
      <c r="T110" s="57"/>
      <c r="U110" s="512"/>
      <c r="V110" s="57"/>
      <c r="W110" s="122" t="s">
        <v>17564</v>
      </c>
      <c r="X110" s="37" t="s">
        <v>398</v>
      </c>
      <c r="Y110" s="38">
        <v>0.25</v>
      </c>
      <c r="Z110" s="79" t="s">
        <v>3575</v>
      </c>
      <c r="AA110" s="122"/>
      <c r="AB110" s="37"/>
      <c r="AC110" s="38"/>
      <c r="AD110" s="79"/>
      <c r="AE110" s="208">
        <f>ROUND((ROUND((ROUND((ROUND((ROUND((_15_同援日０．５*_15・通訳),0)*_15・２人),0)*(1+_15・A深夜)),0)*(1+_15・盲ろう)),0)*(1+_15・区３)),0)+ROUND((ROUND((ROUND((ROUND((ROUND((_15_同援日０．５＿１．５*_15・通訳),0)*_15・２人),0)*(1+_15・B早朝)),0)*(1+_15・盲ろう)),0)*(1+_15・区３)),0)+ROUND((ROUND((ROUND((ROUND((_15_同援日０．５＿１．５＿１．０*_15・通訳),0)*_15・２人),0)*(1+_15・盲ろう)),0)*(1+_15・区３)),0)</f>
        <v>1080</v>
      </c>
      <c r="AF110" s="48"/>
    </row>
    <row r="111" spans="1:32" ht="16.5" customHeight="1" x14ac:dyDescent="0.15">
      <c r="A111" s="41">
        <v>15</v>
      </c>
      <c r="B111" s="41" t="s">
        <v>28605</v>
      </c>
      <c r="C111" s="74" t="s">
        <v>28606</v>
      </c>
      <c r="D111" s="72"/>
      <c r="F111" s="57"/>
      <c r="G111" s="72"/>
      <c r="I111" s="57"/>
      <c r="J111" s="72"/>
      <c r="L111" s="57"/>
      <c r="M111" s="35"/>
      <c r="P111" s="299"/>
      <c r="Q111" s="45"/>
      <c r="R111" s="46"/>
      <c r="S111" s="512"/>
      <c r="T111" s="57"/>
      <c r="U111" s="512"/>
      <c r="V111" s="57"/>
      <c r="W111" s="114"/>
      <c r="X111" s="49"/>
      <c r="Y111" s="50"/>
      <c r="Z111" s="115"/>
      <c r="AA111" s="114" t="s">
        <v>17580</v>
      </c>
      <c r="AB111" s="49"/>
      <c r="AC111" s="50"/>
      <c r="AD111" s="115"/>
      <c r="AE111" s="208">
        <f>ROUND((ROUND((ROUND((_15_同援日０．５*_15・通訳),0)*(1+_15・A深夜)),0)*(1+_15・区４)),0)+ROUND((ROUND((ROUND((_15_同援日０．５＿１．５*_15・通訳),0)*(1+_15・B早朝)),0)*(1+_15・区４)),0)+ROUND((ROUND((_15_同援日０．５＿１．５＿１．０*_15・通訳),0)*(1+_15・区４)),0)</f>
        <v>1008</v>
      </c>
      <c r="AF111" s="48"/>
    </row>
    <row r="112" spans="1:32" ht="16.5" customHeight="1" x14ac:dyDescent="0.15">
      <c r="A112" s="41">
        <v>15</v>
      </c>
      <c r="B112" s="41" t="s">
        <v>28607</v>
      </c>
      <c r="C112" s="74" t="s">
        <v>28608</v>
      </c>
      <c r="D112" s="72"/>
      <c r="F112" s="57"/>
      <c r="G112" s="72"/>
      <c r="I112" s="57"/>
      <c r="J112" s="72"/>
      <c r="L112" s="57"/>
      <c r="M112" s="35"/>
      <c r="P112" s="299" t="s">
        <v>17556</v>
      </c>
      <c r="Q112" s="45" t="s">
        <v>398</v>
      </c>
      <c r="R112" s="46">
        <v>1</v>
      </c>
      <c r="S112" s="512"/>
      <c r="T112" s="57"/>
      <c r="U112" s="512"/>
      <c r="V112" s="57"/>
      <c r="W112" s="122"/>
      <c r="X112" s="37"/>
      <c r="Y112" s="38"/>
      <c r="Z112" s="79"/>
      <c r="AA112" s="72" t="s">
        <v>17572</v>
      </c>
      <c r="AD112" s="57"/>
      <c r="AE112" s="208">
        <f>ROUND((ROUND((ROUND((ROUND((_15_同援日０．５*_15・通訳),0)*_15・２人),0)*(1+_15・A深夜)),0)*(1+_15・区４)),0)+ROUND((ROUND((ROUND((ROUND((_15_同援日０．５＿１．５*_15・通訳),0)*_15・２人),0)*(1+_15・B早朝)),0)*(1+_15・区４)),0)+ROUND((ROUND((ROUND((_15_同援日０．５＿１．５＿１．０*_15・通訳),0)*_15・２人),0)*(1+_15・区４)),0)</f>
        <v>1008</v>
      </c>
      <c r="AF112" s="48"/>
    </row>
    <row r="113" spans="1:32" ht="16.5" customHeight="1" x14ac:dyDescent="0.15">
      <c r="A113" s="41">
        <v>15</v>
      </c>
      <c r="B113" s="41" t="s">
        <v>28609</v>
      </c>
      <c r="C113" s="74" t="s">
        <v>28610</v>
      </c>
      <c r="D113" s="72"/>
      <c r="F113" s="57"/>
      <c r="G113" s="72"/>
      <c r="I113" s="57"/>
      <c r="J113" s="72"/>
      <c r="L113" s="57"/>
      <c r="M113" s="35"/>
      <c r="P113" s="299"/>
      <c r="Q113" s="45"/>
      <c r="R113" s="46"/>
      <c r="S113" s="512"/>
      <c r="T113" s="57"/>
      <c r="U113" s="512"/>
      <c r="V113" s="57"/>
      <c r="W113" s="114" t="s">
        <v>17562</v>
      </c>
      <c r="X113" s="49"/>
      <c r="Y113" s="50"/>
      <c r="Z113" s="115"/>
      <c r="AA113" s="72"/>
      <c r="AB113" s="12" t="s">
        <v>398</v>
      </c>
      <c r="AC113" s="13">
        <v>0.4</v>
      </c>
      <c r="AD113" s="57" t="s">
        <v>3575</v>
      </c>
      <c r="AE113" s="208">
        <f>ROUND((ROUND((ROUND((ROUND((_15_同援日０．５*_15・通訳),0)*(1+_15・A深夜)),0)*(1+_15・盲ろう)),0)*(1+_15・区４)),0)+ROUND((ROUND((ROUND((ROUND((_15_同援日０．５＿１．５*_15・通訳),0)*(1+_15・B早朝)),0)*(1+_15・盲ろう)),0)*(1+_15・区４)),0)+ROUND((ROUND((ROUND((_15_同援日０．５＿１．５＿１．０*_15・通訳),0)*(1+_15・盲ろう)),0)*(1+_15・区４)),0)</f>
        <v>1259</v>
      </c>
      <c r="AF113" s="48"/>
    </row>
    <row r="114" spans="1:32" ht="16.5" customHeight="1" x14ac:dyDescent="0.15">
      <c r="A114" s="41">
        <v>15</v>
      </c>
      <c r="B114" s="41" t="s">
        <v>28611</v>
      </c>
      <c r="C114" s="74" t="s">
        <v>28612</v>
      </c>
      <c r="D114" s="122"/>
      <c r="E114" s="37"/>
      <c r="F114" s="79"/>
      <c r="G114" s="122"/>
      <c r="H114" s="37"/>
      <c r="I114" s="79"/>
      <c r="J114" s="122"/>
      <c r="K114" s="37"/>
      <c r="L114" s="79"/>
      <c r="M114" s="43"/>
      <c r="N114" s="37"/>
      <c r="O114" s="38"/>
      <c r="P114" s="299" t="s">
        <v>17556</v>
      </c>
      <c r="Q114" s="45" t="s">
        <v>398</v>
      </c>
      <c r="R114" s="46">
        <v>1</v>
      </c>
      <c r="S114" s="514"/>
      <c r="T114" s="79"/>
      <c r="U114" s="514"/>
      <c r="V114" s="79"/>
      <c r="W114" s="122" t="s">
        <v>17564</v>
      </c>
      <c r="X114" s="37" t="s">
        <v>398</v>
      </c>
      <c r="Y114" s="38">
        <v>0.25</v>
      </c>
      <c r="Z114" s="79" t="s">
        <v>3575</v>
      </c>
      <c r="AA114" s="122"/>
      <c r="AB114" s="37"/>
      <c r="AC114" s="38"/>
      <c r="AD114" s="79"/>
      <c r="AE114" s="208">
        <f>ROUND((ROUND((ROUND((ROUND((ROUND((_15_同援日０．５*_15・通訳),0)*_15・２人),0)*(1+_15・A深夜)),0)*(1+_15・盲ろう)),0)*(1+_15・区４)),0)+ROUND((ROUND((ROUND((ROUND((ROUND((_15_同援日０．５＿１．５*_15・通訳),0)*_15・２人),0)*(1+_15・B早朝)),0)*(1+_15・盲ろう)),0)*(1+_15・区４)),0)+ROUND((ROUND((ROUND((ROUND((_15_同援日０．５＿１．５＿１．０*_15・通訳),0)*_15・２人),0)*(1+_15・盲ろう)),0)*(1+_15・区４)),0)</f>
        <v>1259</v>
      </c>
      <c r="AF114" s="63"/>
    </row>
    <row r="115" spans="1:32" ht="16.5" customHeight="1" x14ac:dyDescent="0.15">
      <c r="A115" s="41">
        <v>15</v>
      </c>
      <c r="B115" s="41" t="s">
        <v>3467</v>
      </c>
      <c r="C115" s="74" t="s">
        <v>28613</v>
      </c>
      <c r="D115" s="114" t="s">
        <v>18513</v>
      </c>
      <c r="E115" s="49"/>
      <c r="F115" s="115"/>
      <c r="G115" s="114" t="s">
        <v>18819</v>
      </c>
      <c r="H115" s="49"/>
      <c r="I115" s="115"/>
      <c r="J115" s="114" t="s">
        <v>19919</v>
      </c>
      <c r="K115" s="49"/>
      <c r="L115" s="115"/>
      <c r="M115" s="53"/>
      <c r="N115" s="49"/>
      <c r="O115" s="50"/>
      <c r="P115" s="299"/>
      <c r="Q115" s="45"/>
      <c r="R115" s="46"/>
      <c r="S115" s="515"/>
      <c r="T115" s="115"/>
      <c r="U115" s="515"/>
      <c r="V115" s="115"/>
      <c r="W115" s="114"/>
      <c r="X115" s="49"/>
      <c r="Y115" s="50"/>
      <c r="Z115" s="115"/>
      <c r="AA115" s="114"/>
      <c r="AB115" s="49"/>
      <c r="AC115" s="50"/>
      <c r="AD115" s="115"/>
      <c r="AE115" s="208">
        <f>ROUND((ROUND((_15_同援日１．０*_15・通訳),0)*(1+_15・A深夜)),0)+ROUND((ROUND((_15_同援日１．０＿０．５*_15・通訳),0)*(1+_15・B早朝)),0)+ROUND((_15_同援日１．０＿０．５＿０．５*_15・通訳),0)</f>
        <v>614</v>
      </c>
      <c r="AF115" s="64"/>
    </row>
    <row r="116" spans="1:32" ht="16.5" customHeight="1" x14ac:dyDescent="0.15">
      <c r="A116" s="41">
        <v>15</v>
      </c>
      <c r="B116" s="41" t="s">
        <v>3469</v>
      </c>
      <c r="C116" s="74" t="s">
        <v>28614</v>
      </c>
      <c r="D116" s="72" t="s">
        <v>17589</v>
      </c>
      <c r="F116" s="57"/>
      <c r="G116" s="72" t="s">
        <v>18259</v>
      </c>
      <c r="I116" s="57"/>
      <c r="J116" s="72" t="s">
        <v>18259</v>
      </c>
      <c r="L116" s="57"/>
      <c r="M116" s="35"/>
      <c r="P116" s="299" t="s">
        <v>17556</v>
      </c>
      <c r="Q116" s="45" t="s">
        <v>398</v>
      </c>
      <c r="R116" s="46">
        <v>1</v>
      </c>
      <c r="S116" s="512"/>
      <c r="T116" s="57"/>
      <c r="U116" s="512"/>
      <c r="V116" s="57"/>
      <c r="W116" s="122"/>
      <c r="X116" s="37"/>
      <c r="Y116" s="38"/>
      <c r="Z116" s="79"/>
      <c r="AA116" s="72"/>
      <c r="AD116" s="57"/>
      <c r="AE116" s="208">
        <f>ROUND((ROUND((ROUND((_15_同援日１．０*_15・通訳),0)*_15・２人),0)*(1+_15・A深夜)),0)+ROUND((ROUND((ROUND((_15_同援日１．０＿０．５*_15・通訳),0)*_15・２人),0)*(1+_15・B早朝)),0)+ROUND((ROUND((_15_同援日１．０＿０．５＿０．５*_15・通訳),0)*_15・２人),0)</f>
        <v>614</v>
      </c>
      <c r="AF116" s="48"/>
    </row>
    <row r="117" spans="1:32" ht="16.5" customHeight="1" x14ac:dyDescent="0.15">
      <c r="A117" s="41">
        <v>15</v>
      </c>
      <c r="B117" s="41" t="s">
        <v>28615</v>
      </c>
      <c r="C117" s="74" t="s">
        <v>28616</v>
      </c>
      <c r="D117" s="72" t="s">
        <v>17591</v>
      </c>
      <c r="F117" s="57"/>
      <c r="G117" s="72"/>
      <c r="I117" s="57"/>
      <c r="J117" s="72"/>
      <c r="L117" s="57"/>
      <c r="M117" s="35"/>
      <c r="P117" s="299"/>
      <c r="Q117" s="45"/>
      <c r="R117" s="46"/>
      <c r="S117" s="512"/>
      <c r="T117" s="57"/>
      <c r="U117" s="512"/>
      <c r="V117" s="57"/>
      <c r="W117" s="114" t="s">
        <v>17562</v>
      </c>
      <c r="X117" s="49"/>
      <c r="Y117" s="50"/>
      <c r="Z117" s="115"/>
      <c r="AA117" s="72"/>
      <c r="AD117" s="57"/>
      <c r="AE117" s="208">
        <f>ROUND((ROUND((ROUND((_15_同援日１．０*_15・通訳),0)*(1+_15・A深夜)),0)*(1+_15・盲ろう)),0)+ROUND((ROUND((ROUND((_15_同援日１．０＿０．５*_15・通訳),0)*(1+_15・B早朝)),0)*(1+_15・盲ろう)),0)+ROUND((ROUND((_15_同援日１．０＿０．５＿０．５*_15・通訳),0)*(1+_15・盲ろう)),0)</f>
        <v>768</v>
      </c>
      <c r="AF117" s="48"/>
    </row>
    <row r="118" spans="1:32" ht="16.5" customHeight="1" x14ac:dyDescent="0.15">
      <c r="A118" s="41">
        <v>15</v>
      </c>
      <c r="B118" s="41" t="s">
        <v>28617</v>
      </c>
      <c r="C118" s="74" t="s">
        <v>28618</v>
      </c>
      <c r="D118" s="72"/>
      <c r="E118" s="168">
        <f>_15_同援日１．０</f>
        <v>300</v>
      </c>
      <c r="F118" s="57" t="s">
        <v>392</v>
      </c>
      <c r="G118" s="72"/>
      <c r="H118" s="168">
        <f>_15_同援日１．０＿０．５</f>
        <v>133</v>
      </c>
      <c r="I118" s="57" t="s">
        <v>392</v>
      </c>
      <c r="J118" s="72"/>
      <c r="K118" s="168">
        <f>_15_同援日１．０＿０．５＿０．５</f>
        <v>65</v>
      </c>
      <c r="L118" s="57" t="s">
        <v>392</v>
      </c>
      <c r="M118" s="35"/>
      <c r="P118" s="299" t="s">
        <v>17556</v>
      </c>
      <c r="Q118" s="45" t="s">
        <v>398</v>
      </c>
      <c r="R118" s="46">
        <v>1</v>
      </c>
      <c r="S118" s="512"/>
      <c r="T118" s="57"/>
      <c r="U118" s="512"/>
      <c r="V118" s="57"/>
      <c r="W118" s="122" t="s">
        <v>17564</v>
      </c>
      <c r="X118" s="37" t="s">
        <v>398</v>
      </c>
      <c r="Y118" s="38">
        <v>0.25</v>
      </c>
      <c r="Z118" s="79" t="s">
        <v>3575</v>
      </c>
      <c r="AA118" s="122"/>
      <c r="AB118" s="37"/>
      <c r="AC118" s="38"/>
      <c r="AD118" s="79"/>
      <c r="AE118" s="208">
        <f>ROUND((ROUND((ROUND((ROUND((_15_同援日１．０*_15・通訳),0)*_15・２人),0)*(1+_15・A深夜)),0)*(1+_15・盲ろう)),0)+ROUND((ROUND((ROUND((ROUND((_15_同援日１．０＿０．５*_15・通訳),0)*_15・２人),0)*(1+_15・B早朝)),0)*(1+_15・盲ろう)),0)+ROUND((ROUND((ROUND((_15_同援日１．０＿０．５＿０．５*_15・通訳),0)*_15・２人),0)*(1+_15・盲ろう)),0)</f>
        <v>768</v>
      </c>
      <c r="AF118" s="48"/>
    </row>
    <row r="119" spans="1:32" ht="16.5" customHeight="1" x14ac:dyDescent="0.15">
      <c r="A119" s="41">
        <v>15</v>
      </c>
      <c r="B119" s="41" t="s">
        <v>28619</v>
      </c>
      <c r="C119" s="74" t="s">
        <v>28620</v>
      </c>
      <c r="D119" s="72"/>
      <c r="F119" s="57"/>
      <c r="G119" s="72"/>
      <c r="I119" s="57"/>
      <c r="J119" s="72"/>
      <c r="L119" s="57"/>
      <c r="M119" s="35"/>
      <c r="P119" s="299"/>
      <c r="Q119" s="45"/>
      <c r="R119" s="46"/>
      <c r="S119" s="512"/>
      <c r="T119" s="57"/>
      <c r="U119" s="512"/>
      <c r="V119" s="57"/>
      <c r="W119" s="114"/>
      <c r="X119" s="49"/>
      <c r="Y119" s="50"/>
      <c r="Z119" s="115"/>
      <c r="AA119" s="114" t="s">
        <v>17570</v>
      </c>
      <c r="AB119" s="49"/>
      <c r="AC119" s="50"/>
      <c r="AD119" s="115"/>
      <c r="AE119" s="208">
        <f>ROUND((ROUND((ROUND((_15_同援日１．０*_15・通訳),0)*(1+_15・A深夜)),0)*(1+_15・区３)),0)+ROUND((ROUND((ROUND((_15_同援日１．０＿０．５*_15・通訳),0)*(1+_15・B早朝)),0)*(1+_15・区３)),0)+ROUND((ROUND((_15_同援日１．０＿０．５＿０．５*_15・通訳),0)*(1+_15・区３)),0)</f>
        <v>737</v>
      </c>
      <c r="AF119" s="48"/>
    </row>
    <row r="120" spans="1:32" ht="16.5" customHeight="1" x14ac:dyDescent="0.15">
      <c r="A120" s="41">
        <v>15</v>
      </c>
      <c r="B120" s="41" t="s">
        <v>28621</v>
      </c>
      <c r="C120" s="74" t="s">
        <v>28622</v>
      </c>
      <c r="D120" s="72"/>
      <c r="F120" s="57"/>
      <c r="G120" s="72"/>
      <c r="I120" s="57"/>
      <c r="J120" s="72"/>
      <c r="L120" s="57"/>
      <c r="M120" s="35"/>
      <c r="P120" s="299" t="s">
        <v>17556</v>
      </c>
      <c r="Q120" s="45" t="s">
        <v>398</v>
      </c>
      <c r="R120" s="46">
        <v>1</v>
      </c>
      <c r="S120" s="512"/>
      <c r="T120" s="57"/>
      <c r="U120" s="512"/>
      <c r="V120" s="57"/>
      <c r="W120" s="122"/>
      <c r="X120" s="37"/>
      <c r="Y120" s="38"/>
      <c r="Z120" s="79"/>
      <c r="AA120" s="72" t="s">
        <v>17572</v>
      </c>
      <c r="AD120" s="57"/>
      <c r="AE120" s="208">
        <f>ROUND((ROUND((ROUND((ROUND((_15_同援日１．０*_15・通訳),0)*_15・２人),0)*(1+_15・A深夜)),0)*(1+_15・区３)),0)+ROUND((ROUND((ROUND((ROUND((_15_同援日１．０＿０．５*_15・通訳),0)*_15・２人),0)*(1+_15・B早朝)),0)*(1+_15・区３)),0)+ROUND((ROUND((ROUND((_15_同援日１．０＿０．５＿０．５*_15・通訳),0)*_15・２人),0)*(1+_15・区３)),0)</f>
        <v>737</v>
      </c>
      <c r="AF120" s="48"/>
    </row>
    <row r="121" spans="1:32" ht="16.5" customHeight="1" x14ac:dyDescent="0.15">
      <c r="A121" s="41">
        <v>15</v>
      </c>
      <c r="B121" s="41" t="s">
        <v>28623</v>
      </c>
      <c r="C121" s="74" t="s">
        <v>28624</v>
      </c>
      <c r="D121" s="72"/>
      <c r="F121" s="57"/>
      <c r="G121" s="72"/>
      <c r="I121" s="57"/>
      <c r="J121" s="72"/>
      <c r="L121" s="57"/>
      <c r="M121" s="35"/>
      <c r="P121" s="299"/>
      <c r="Q121" s="45"/>
      <c r="R121" s="46"/>
      <c r="S121" s="512"/>
      <c r="T121" s="57"/>
      <c r="U121" s="512"/>
      <c r="V121" s="57"/>
      <c r="W121" s="114" t="s">
        <v>17562</v>
      </c>
      <c r="X121" s="49"/>
      <c r="Y121" s="50"/>
      <c r="Z121" s="115"/>
      <c r="AA121" s="72"/>
      <c r="AB121" s="12" t="s">
        <v>398</v>
      </c>
      <c r="AC121" s="13">
        <v>0.2</v>
      </c>
      <c r="AD121" s="57" t="s">
        <v>3575</v>
      </c>
      <c r="AE121" s="208">
        <f>ROUND((ROUND((ROUND((ROUND((_15_同援日１．０*_15・通訳),0)*(1+_15・A深夜)),0)*(1+_15・盲ろう)),0)*(1+_15・区３)),0)+ROUND((ROUND((ROUND((ROUND((_15_同援日１．０＿０．５*_15・通訳),0)*(1+_15・B早朝)),0)*(1+_15・盲ろう)),0)*(1+_15・区３)),0)+ROUND((ROUND((ROUND((_15_同援日１．０＿０．５＿０．５*_15・通訳),0)*(1+_15・盲ろう)),0)*(1+_15・区３)),0)</f>
        <v>922</v>
      </c>
      <c r="AF121" s="48"/>
    </row>
    <row r="122" spans="1:32" ht="16.5" customHeight="1" x14ac:dyDescent="0.15">
      <c r="A122" s="41">
        <v>15</v>
      </c>
      <c r="B122" s="41" t="s">
        <v>28625</v>
      </c>
      <c r="C122" s="74" t="s">
        <v>28626</v>
      </c>
      <c r="D122" s="72"/>
      <c r="F122" s="57"/>
      <c r="G122" s="72"/>
      <c r="I122" s="57"/>
      <c r="J122" s="72"/>
      <c r="L122" s="57"/>
      <c r="M122" s="35"/>
      <c r="P122" s="299" t="s">
        <v>17556</v>
      </c>
      <c r="Q122" s="45" t="s">
        <v>398</v>
      </c>
      <c r="R122" s="46">
        <v>1</v>
      </c>
      <c r="S122" s="512"/>
      <c r="T122" s="57"/>
      <c r="U122" s="512"/>
      <c r="V122" s="57"/>
      <c r="W122" s="122" t="s">
        <v>17564</v>
      </c>
      <c r="X122" s="37" t="s">
        <v>398</v>
      </c>
      <c r="Y122" s="38">
        <v>0.25</v>
      </c>
      <c r="Z122" s="79" t="s">
        <v>3575</v>
      </c>
      <c r="AA122" s="122"/>
      <c r="AB122" s="37"/>
      <c r="AC122" s="38"/>
      <c r="AD122" s="79"/>
      <c r="AE122" s="208">
        <f>ROUND((ROUND((ROUND((ROUND((ROUND((_15_同援日１．０*_15・通訳),0)*_15・２人),0)*(1+_15・A深夜)),0)*(1+_15・盲ろう)),0)*(1+_15・区３)),0)+ROUND((ROUND((ROUND((ROUND((ROUND((_15_同援日１．０＿０．５*_15・通訳),0)*_15・２人),0)*(1+_15・B早朝)),0)*(1+_15・盲ろう)),0)*(1+_15・区３)),0)+ROUND((ROUND((ROUND((ROUND((_15_同援日１．０＿０．５＿０．５*_15・通訳),0)*_15・２人),0)*(1+_15・盲ろう)),0)*(1+_15・区３)),0)</f>
        <v>922</v>
      </c>
      <c r="AF122" s="48"/>
    </row>
    <row r="123" spans="1:32" ht="16.5" customHeight="1" x14ac:dyDescent="0.15">
      <c r="A123" s="41">
        <v>15</v>
      </c>
      <c r="B123" s="41" t="s">
        <v>28627</v>
      </c>
      <c r="C123" s="74" t="s">
        <v>28628</v>
      </c>
      <c r="D123" s="72"/>
      <c r="F123" s="57"/>
      <c r="G123" s="72"/>
      <c r="I123" s="57"/>
      <c r="J123" s="72"/>
      <c r="L123" s="57"/>
      <c r="M123" s="35"/>
      <c r="P123" s="299"/>
      <c r="Q123" s="45"/>
      <c r="R123" s="46"/>
      <c r="S123" s="512"/>
      <c r="T123" s="57"/>
      <c r="U123" s="512"/>
      <c r="V123" s="57"/>
      <c r="W123" s="114"/>
      <c r="X123" s="49"/>
      <c r="Y123" s="50"/>
      <c r="Z123" s="115"/>
      <c r="AA123" s="114" t="s">
        <v>17580</v>
      </c>
      <c r="AB123" s="49"/>
      <c r="AC123" s="50"/>
      <c r="AD123" s="115"/>
      <c r="AE123" s="208">
        <f>ROUND((ROUND((ROUND((_15_同援日１．０*_15・通訳),0)*(1+_15・A深夜)),0)*(1+_15・区４)),0)+ROUND((ROUND((ROUND((_15_同援日１．０＿０．５*_15・通訳),0)*(1+_15・B早朝)),0)*(1+_15・区４)),0)+ROUND((ROUND((_15_同援日１．０＿０．５＿０．５*_15・通訳),0)*(1+_15・区４)),0)</f>
        <v>860</v>
      </c>
      <c r="AF123" s="48"/>
    </row>
    <row r="124" spans="1:32" ht="16.5" customHeight="1" x14ac:dyDescent="0.15">
      <c r="A124" s="41">
        <v>15</v>
      </c>
      <c r="B124" s="41" t="s">
        <v>28629</v>
      </c>
      <c r="C124" s="74" t="s">
        <v>28630</v>
      </c>
      <c r="D124" s="72"/>
      <c r="F124" s="57"/>
      <c r="G124" s="72"/>
      <c r="I124" s="57"/>
      <c r="J124" s="72"/>
      <c r="L124" s="57"/>
      <c r="M124" s="35"/>
      <c r="P124" s="299" t="s">
        <v>17556</v>
      </c>
      <c r="Q124" s="45" t="s">
        <v>398</v>
      </c>
      <c r="R124" s="46">
        <v>1</v>
      </c>
      <c r="S124" s="512"/>
      <c r="T124" s="57"/>
      <c r="U124" s="512"/>
      <c r="V124" s="57"/>
      <c r="W124" s="122"/>
      <c r="X124" s="37"/>
      <c r="Y124" s="38"/>
      <c r="Z124" s="79"/>
      <c r="AA124" s="72" t="s">
        <v>17572</v>
      </c>
      <c r="AD124" s="57"/>
      <c r="AE124" s="208">
        <f>ROUND((ROUND((ROUND((ROUND((_15_同援日１．０*_15・通訳),0)*_15・２人),0)*(1+_15・A深夜)),0)*(1+_15・区４)),0)+ROUND((ROUND((ROUND((ROUND((_15_同援日１．０＿０．５*_15・通訳),0)*_15・２人),0)*(1+_15・B早朝)),0)*(1+_15・区４)),0)+ROUND((ROUND((ROUND((_15_同援日１．０＿０．５＿０．５*_15・通訳),0)*_15・２人),0)*(1+_15・区４)),0)</f>
        <v>860</v>
      </c>
      <c r="AF124" s="48"/>
    </row>
    <row r="125" spans="1:32" ht="16.5" customHeight="1" x14ac:dyDescent="0.15">
      <c r="A125" s="41">
        <v>15</v>
      </c>
      <c r="B125" s="41" t="s">
        <v>3474</v>
      </c>
      <c r="C125" s="74" t="s">
        <v>28631</v>
      </c>
      <c r="D125" s="72"/>
      <c r="F125" s="57"/>
      <c r="G125" s="72"/>
      <c r="I125" s="57"/>
      <c r="J125" s="72"/>
      <c r="L125" s="57"/>
      <c r="M125" s="35"/>
      <c r="P125" s="299"/>
      <c r="Q125" s="45"/>
      <c r="R125" s="46"/>
      <c r="S125" s="512"/>
      <c r="T125" s="57"/>
      <c r="U125" s="512"/>
      <c r="V125" s="57"/>
      <c r="W125" s="114" t="s">
        <v>17562</v>
      </c>
      <c r="X125" s="49"/>
      <c r="Y125" s="50"/>
      <c r="Z125" s="115"/>
      <c r="AA125" s="72"/>
      <c r="AB125" s="12" t="s">
        <v>398</v>
      </c>
      <c r="AC125" s="13">
        <v>0.4</v>
      </c>
      <c r="AD125" s="57" t="s">
        <v>3575</v>
      </c>
      <c r="AE125" s="208">
        <f>ROUND((ROUND((ROUND((ROUND((_15_同援日１．０*_15・通訳),0)*(1+_15・A深夜)),0)*(1+_15・盲ろう)),0)*(1+_15・区４)),0)+ROUND((ROUND((ROUND((ROUND((_15_同援日１．０＿０．５*_15・通訳),0)*(1+_15・B早朝)),0)*(1+_15・盲ろう)),0)*(1+_15・区４)),0)+ROUND((ROUND((ROUND((_15_同援日１．０＿０．５＿０．５*_15・通訳),0)*(1+_15・盲ろう)),0)*(1+_15・区４)),0)</f>
        <v>1075</v>
      </c>
      <c r="AF125" s="48"/>
    </row>
    <row r="126" spans="1:32" ht="16.5" customHeight="1" x14ac:dyDescent="0.15">
      <c r="A126" s="41">
        <v>15</v>
      </c>
      <c r="B126" s="41" t="s">
        <v>3476</v>
      </c>
      <c r="C126" s="74" t="s">
        <v>28632</v>
      </c>
      <c r="D126" s="72"/>
      <c r="F126" s="57"/>
      <c r="G126" s="72"/>
      <c r="I126" s="57"/>
      <c r="J126" s="122"/>
      <c r="K126" s="37"/>
      <c r="L126" s="79"/>
      <c r="M126" s="35"/>
      <c r="P126" s="299" t="s">
        <v>17556</v>
      </c>
      <c r="Q126" s="45" t="s">
        <v>398</v>
      </c>
      <c r="R126" s="46">
        <v>1</v>
      </c>
      <c r="S126" s="512"/>
      <c r="T126" s="57"/>
      <c r="U126" s="512"/>
      <c r="V126" s="57"/>
      <c r="W126" s="122" t="s">
        <v>17564</v>
      </c>
      <c r="X126" s="37" t="s">
        <v>398</v>
      </c>
      <c r="Y126" s="38">
        <v>0.25</v>
      </c>
      <c r="Z126" s="79" t="s">
        <v>3575</v>
      </c>
      <c r="AA126" s="122"/>
      <c r="AB126" s="37"/>
      <c r="AC126" s="38"/>
      <c r="AD126" s="79"/>
      <c r="AE126" s="208">
        <f>ROUND((ROUND((ROUND((ROUND((ROUND((_15_同援日１．０*_15・通訳),0)*_15・２人),0)*(1+_15・A深夜)),0)*(1+_15・盲ろう)),0)*(1+_15・区４)),0)+ROUND((ROUND((ROUND((ROUND((ROUND((_15_同援日１．０＿０．５*_15・通訳),0)*_15・２人),0)*(1+_15・B早朝)),0)*(1+_15・盲ろう)),0)*(1+_15・区４)),0)+ROUND((ROUND((ROUND((ROUND((_15_同援日１．０＿０．５＿０．５*_15・通訳),0)*_15・２人),0)*(1+_15・盲ろう)),0)*(1+_15・区４)),0)</f>
        <v>1075</v>
      </c>
      <c r="AF126" s="48"/>
    </row>
    <row r="127" spans="1:32" ht="16.5" customHeight="1" x14ac:dyDescent="0.15">
      <c r="A127" s="41">
        <v>15</v>
      </c>
      <c r="B127" s="41" t="s">
        <v>28633</v>
      </c>
      <c r="C127" s="74" t="s">
        <v>28634</v>
      </c>
      <c r="D127" s="72"/>
      <c r="F127" s="57"/>
      <c r="G127" s="72"/>
      <c r="I127" s="57"/>
      <c r="J127" s="114" t="s">
        <v>21246</v>
      </c>
      <c r="K127" s="49"/>
      <c r="L127" s="115"/>
      <c r="M127" s="35"/>
      <c r="P127" s="299"/>
      <c r="Q127" s="45"/>
      <c r="R127" s="46"/>
      <c r="S127" s="512"/>
      <c r="T127" s="57"/>
      <c r="U127" s="512"/>
      <c r="V127" s="57"/>
      <c r="W127" s="114"/>
      <c r="X127" s="49"/>
      <c r="Y127" s="50"/>
      <c r="Z127" s="115"/>
      <c r="AA127" s="114"/>
      <c r="AB127" s="49"/>
      <c r="AC127" s="50"/>
      <c r="AD127" s="115"/>
      <c r="AE127" s="208">
        <f>ROUND((ROUND((_15_同援日１．０*_15・通訳),0)*(1+_15・A深夜)),0)+ROUND((ROUND((_15_同援日１．０＿０．５*_15・通訳),0)*(1+_15・B早朝)),0)+ROUND((_15_同援日１．０＿０．５＿１．０*_15・通訳),0)</f>
        <v>672</v>
      </c>
      <c r="AF127" s="48"/>
    </row>
    <row r="128" spans="1:32" ht="16.5" customHeight="1" x14ac:dyDescent="0.15">
      <c r="A128" s="41">
        <v>15</v>
      </c>
      <c r="B128" s="41" t="s">
        <v>28635</v>
      </c>
      <c r="C128" s="74" t="s">
        <v>28636</v>
      </c>
      <c r="D128" s="72"/>
      <c r="F128" s="57"/>
      <c r="G128" s="72"/>
      <c r="I128" s="57"/>
      <c r="J128" s="72" t="s">
        <v>17589</v>
      </c>
      <c r="L128" s="57"/>
      <c r="M128" s="35"/>
      <c r="P128" s="299" t="s">
        <v>17556</v>
      </c>
      <c r="Q128" s="45" t="s">
        <v>398</v>
      </c>
      <c r="R128" s="46">
        <v>1</v>
      </c>
      <c r="S128" s="512"/>
      <c r="T128" s="57"/>
      <c r="U128" s="512"/>
      <c r="V128" s="57"/>
      <c r="W128" s="122"/>
      <c r="X128" s="37"/>
      <c r="Y128" s="38"/>
      <c r="Z128" s="79"/>
      <c r="AA128" s="72"/>
      <c r="AD128" s="57"/>
      <c r="AE128" s="208">
        <f>ROUND((ROUND((ROUND((_15_同援日１．０*_15・通訳),0)*_15・２人),0)*(1+_15・A深夜)),0)+ROUND((ROUND((ROUND((_15_同援日１．０＿０．５*_15・通訳),0)*_15・２人),0)*(1+_15・B早朝)),0)+ROUND((ROUND((_15_同援日１．０＿０．５＿１．０*_15・通訳),0)*_15・２人),0)</f>
        <v>672</v>
      </c>
      <c r="AF128" s="48"/>
    </row>
    <row r="129" spans="1:32" ht="16.5" customHeight="1" x14ac:dyDescent="0.15">
      <c r="A129" s="41">
        <v>15</v>
      </c>
      <c r="B129" s="41" t="s">
        <v>28637</v>
      </c>
      <c r="C129" s="74" t="s">
        <v>28638</v>
      </c>
      <c r="D129" s="72"/>
      <c r="F129" s="57"/>
      <c r="G129" s="72"/>
      <c r="I129" s="57"/>
      <c r="J129" s="72" t="s">
        <v>17591</v>
      </c>
      <c r="L129" s="57"/>
      <c r="M129" s="35"/>
      <c r="P129" s="299"/>
      <c r="Q129" s="45"/>
      <c r="R129" s="46"/>
      <c r="S129" s="512"/>
      <c r="T129" s="57"/>
      <c r="U129" s="512"/>
      <c r="V129" s="57"/>
      <c r="W129" s="114" t="s">
        <v>17562</v>
      </c>
      <c r="X129" s="49"/>
      <c r="Y129" s="50"/>
      <c r="Z129" s="115"/>
      <c r="AA129" s="72"/>
      <c r="AD129" s="57"/>
      <c r="AE129" s="208">
        <f>ROUND((ROUND((ROUND((_15_同援日１．０*_15・通訳),0)*(1+_15・A深夜)),0)*(1+_15・盲ろう)),0)+ROUND((ROUND((ROUND((_15_同援日１．０＿０．５*_15・通訳),0)*(1+_15・B早朝)),0)*(1+_15・盲ろう)),0)+ROUND((ROUND((_15_同援日１．０＿０．５＿１．０*_15・通訳),0)*(1+_15・盲ろう)),0)</f>
        <v>840</v>
      </c>
      <c r="AF129" s="48"/>
    </row>
    <row r="130" spans="1:32" ht="16.5" customHeight="1" x14ac:dyDescent="0.15">
      <c r="A130" s="41">
        <v>15</v>
      </c>
      <c r="B130" s="41" t="s">
        <v>28639</v>
      </c>
      <c r="C130" s="74" t="s">
        <v>28640</v>
      </c>
      <c r="D130" s="72"/>
      <c r="F130" s="57"/>
      <c r="G130" s="72"/>
      <c r="I130" s="57"/>
      <c r="J130" s="72"/>
      <c r="K130" s="168">
        <f>_15_同援日１．０＿０．５＿１．０</f>
        <v>130</v>
      </c>
      <c r="L130" s="57" t="s">
        <v>392</v>
      </c>
      <c r="M130" s="35"/>
      <c r="P130" s="299" t="s">
        <v>17556</v>
      </c>
      <c r="Q130" s="45" t="s">
        <v>398</v>
      </c>
      <c r="R130" s="46">
        <v>1</v>
      </c>
      <c r="S130" s="512"/>
      <c r="T130" s="57"/>
      <c r="U130" s="512"/>
      <c r="V130" s="57"/>
      <c r="W130" s="122" t="s">
        <v>17564</v>
      </c>
      <c r="X130" s="37" t="s">
        <v>398</v>
      </c>
      <c r="Y130" s="38">
        <v>0.25</v>
      </c>
      <c r="Z130" s="79" t="s">
        <v>3575</v>
      </c>
      <c r="AA130" s="122"/>
      <c r="AB130" s="37"/>
      <c r="AC130" s="38"/>
      <c r="AD130" s="79"/>
      <c r="AE130" s="208">
        <f>ROUND((ROUND((ROUND((ROUND((_15_同援日１．０*_15・通訳),0)*_15・２人),0)*(1+_15・A深夜)),0)*(1+_15・盲ろう)),0)+ROUND((ROUND((ROUND((ROUND((_15_同援日１．０＿０．５*_15・通訳),0)*_15・２人),0)*(1+_15・B早朝)),0)*(1+_15・盲ろう)),0)+ROUND((ROUND((ROUND((_15_同援日１．０＿０．５＿１．０*_15・通訳),0)*_15・２人),0)*(1+_15・盲ろう)),0)</f>
        <v>840</v>
      </c>
      <c r="AF130" s="48"/>
    </row>
    <row r="131" spans="1:32" ht="16.5" customHeight="1" x14ac:dyDescent="0.15">
      <c r="A131" s="41">
        <v>15</v>
      </c>
      <c r="B131" s="41" t="s">
        <v>28641</v>
      </c>
      <c r="C131" s="74" t="s">
        <v>28642</v>
      </c>
      <c r="D131" s="72"/>
      <c r="F131" s="57"/>
      <c r="G131" s="72"/>
      <c r="I131" s="57"/>
      <c r="J131" s="72"/>
      <c r="L131" s="57"/>
      <c r="M131" s="35"/>
      <c r="P131" s="299"/>
      <c r="Q131" s="45"/>
      <c r="R131" s="46"/>
      <c r="S131" s="512"/>
      <c r="T131" s="57"/>
      <c r="U131" s="512"/>
      <c r="V131" s="57"/>
      <c r="W131" s="114"/>
      <c r="X131" s="49"/>
      <c r="Y131" s="50"/>
      <c r="Z131" s="115"/>
      <c r="AA131" s="114" t="s">
        <v>17570</v>
      </c>
      <c r="AB131" s="49"/>
      <c r="AC131" s="50"/>
      <c r="AD131" s="115"/>
      <c r="AE131" s="208">
        <f>ROUND((ROUND((ROUND((_15_同援日１．０*_15・通訳),0)*(1+_15・A深夜)),0)*(1+_15・区３)),0)+ROUND((ROUND((ROUND((_15_同援日１．０＿０．５*_15・通訳),0)*(1+_15・B早朝)),0)*(1+_15・区３)),0)+ROUND((ROUND((_15_同援日１．０＿０．５＿１．０*_15・通訳),0)*(1+_15・区３)),0)</f>
        <v>806</v>
      </c>
      <c r="AF131" s="48"/>
    </row>
    <row r="132" spans="1:32" ht="16.5" customHeight="1" x14ac:dyDescent="0.15">
      <c r="A132" s="41">
        <v>15</v>
      </c>
      <c r="B132" s="41" t="s">
        <v>28643</v>
      </c>
      <c r="C132" s="74" t="s">
        <v>28644</v>
      </c>
      <c r="D132" s="72"/>
      <c r="F132" s="57"/>
      <c r="G132" s="72"/>
      <c r="I132" s="57"/>
      <c r="J132" s="72"/>
      <c r="L132" s="57"/>
      <c r="M132" s="35"/>
      <c r="P132" s="299" t="s">
        <v>17556</v>
      </c>
      <c r="Q132" s="45" t="s">
        <v>398</v>
      </c>
      <c r="R132" s="46">
        <v>1</v>
      </c>
      <c r="S132" s="512"/>
      <c r="T132" s="57"/>
      <c r="U132" s="512"/>
      <c r="V132" s="57"/>
      <c r="W132" s="122"/>
      <c r="X132" s="37"/>
      <c r="Y132" s="38"/>
      <c r="Z132" s="79"/>
      <c r="AA132" s="72" t="s">
        <v>17572</v>
      </c>
      <c r="AD132" s="57"/>
      <c r="AE132" s="208">
        <f>ROUND((ROUND((ROUND((ROUND((_15_同援日１．０*_15・通訳),0)*_15・２人),0)*(1+_15・A深夜)),0)*(1+_15・区３)),0)+ROUND((ROUND((ROUND((ROUND((_15_同援日１．０＿０．５*_15・通訳),0)*_15・２人),0)*(1+_15・B早朝)),0)*(1+_15・区３)),0)+ROUND((ROUND((ROUND((_15_同援日１．０＿０．５＿１．０*_15・通訳),0)*_15・２人),0)*(1+_15・区３)),0)</f>
        <v>806</v>
      </c>
      <c r="AF132" s="48"/>
    </row>
    <row r="133" spans="1:32" ht="16.5" customHeight="1" x14ac:dyDescent="0.15">
      <c r="A133" s="41">
        <v>15</v>
      </c>
      <c r="B133" s="41" t="s">
        <v>28645</v>
      </c>
      <c r="C133" s="74" t="s">
        <v>28646</v>
      </c>
      <c r="D133" s="72"/>
      <c r="F133" s="57"/>
      <c r="G133" s="72"/>
      <c r="I133" s="57"/>
      <c r="J133" s="72"/>
      <c r="L133" s="57"/>
      <c r="M133" s="35"/>
      <c r="P133" s="299"/>
      <c r="Q133" s="45"/>
      <c r="R133" s="46"/>
      <c r="S133" s="512"/>
      <c r="T133" s="57"/>
      <c r="U133" s="512"/>
      <c r="V133" s="57"/>
      <c r="W133" s="114" t="s">
        <v>17562</v>
      </c>
      <c r="X133" s="49"/>
      <c r="Y133" s="50"/>
      <c r="Z133" s="115"/>
      <c r="AA133" s="72"/>
      <c r="AB133" s="12" t="s">
        <v>398</v>
      </c>
      <c r="AC133" s="13">
        <v>0.2</v>
      </c>
      <c r="AD133" s="57" t="s">
        <v>3575</v>
      </c>
      <c r="AE133" s="208">
        <f>ROUND((ROUND((ROUND((ROUND((_15_同援日１．０*_15・通訳),0)*(1+_15・A深夜)),0)*(1+_15・盲ろう)),0)*(1+_15・区３)),0)+ROUND((ROUND((ROUND((ROUND((_15_同援日１．０＿０．５*_15・通訳),0)*(1+_15・B早朝)),0)*(1+_15・盲ろう)),0)*(1+_15・区３)),0)+ROUND((ROUND((ROUND((_15_同援日１．０＿０．５＿１．０*_15・通訳),0)*(1+_15・盲ろう)),0)*(1+_15・区３)),0)</f>
        <v>1008</v>
      </c>
      <c r="AF133" s="48"/>
    </row>
    <row r="134" spans="1:32" ht="16.5" customHeight="1" x14ac:dyDescent="0.15">
      <c r="A134" s="41">
        <v>15</v>
      </c>
      <c r="B134" s="41" t="s">
        <v>28647</v>
      </c>
      <c r="C134" s="74" t="s">
        <v>28648</v>
      </c>
      <c r="D134" s="72"/>
      <c r="F134" s="57"/>
      <c r="G134" s="72"/>
      <c r="I134" s="57"/>
      <c r="J134" s="72"/>
      <c r="L134" s="57"/>
      <c r="M134" s="35"/>
      <c r="P134" s="299" t="s">
        <v>17556</v>
      </c>
      <c r="Q134" s="45" t="s">
        <v>398</v>
      </c>
      <c r="R134" s="46">
        <v>1</v>
      </c>
      <c r="S134" s="512"/>
      <c r="T134" s="57"/>
      <c r="U134" s="512"/>
      <c r="V134" s="57"/>
      <c r="W134" s="122" t="s">
        <v>17564</v>
      </c>
      <c r="X134" s="37" t="s">
        <v>398</v>
      </c>
      <c r="Y134" s="38">
        <v>0.25</v>
      </c>
      <c r="Z134" s="79" t="s">
        <v>3575</v>
      </c>
      <c r="AA134" s="122"/>
      <c r="AB134" s="37"/>
      <c r="AC134" s="38"/>
      <c r="AD134" s="79"/>
      <c r="AE134" s="208">
        <f>ROUND((ROUND((ROUND((ROUND((ROUND((_15_同援日１．０*_15・通訳),0)*_15・２人),0)*(1+_15・A深夜)),0)*(1+_15・盲ろう)),0)*(1+_15・区３)),0)+ROUND((ROUND((ROUND((ROUND((ROUND((_15_同援日１．０＿０．５*_15・通訳),0)*_15・２人),0)*(1+_15・B早朝)),0)*(1+_15・盲ろう)),0)*(1+_15・区３)),0)+ROUND((ROUND((ROUND((ROUND((_15_同援日１．０＿０．５＿１．０*_15・通訳),0)*_15・２人),0)*(1+_15・盲ろう)),0)*(1+_15・区３)),0)</f>
        <v>1008</v>
      </c>
      <c r="AF134" s="48"/>
    </row>
    <row r="135" spans="1:32" ht="16.5" customHeight="1" x14ac:dyDescent="0.15">
      <c r="A135" s="41">
        <v>15</v>
      </c>
      <c r="B135" s="41" t="s">
        <v>3481</v>
      </c>
      <c r="C135" s="74" t="s">
        <v>28649</v>
      </c>
      <c r="D135" s="72"/>
      <c r="F135" s="57"/>
      <c r="G135" s="72"/>
      <c r="I135" s="57"/>
      <c r="J135" s="72"/>
      <c r="L135" s="57"/>
      <c r="M135" s="35"/>
      <c r="P135" s="299"/>
      <c r="Q135" s="45"/>
      <c r="R135" s="46"/>
      <c r="S135" s="512"/>
      <c r="T135" s="57"/>
      <c r="U135" s="512"/>
      <c r="V135" s="57"/>
      <c r="W135" s="114"/>
      <c r="X135" s="49"/>
      <c r="Y135" s="50"/>
      <c r="Z135" s="115"/>
      <c r="AA135" s="114" t="s">
        <v>17580</v>
      </c>
      <c r="AB135" s="49"/>
      <c r="AC135" s="50"/>
      <c r="AD135" s="115"/>
      <c r="AE135" s="208">
        <f>ROUND((ROUND((ROUND((_15_同援日１．０*_15・通訳),0)*(1+_15・A深夜)),0)*(1+_15・区４)),0)+ROUND((ROUND((ROUND((_15_同援日１．０＿０．５*_15・通訳),0)*(1+_15・B早朝)),0)*(1+_15・区４)),0)+ROUND((ROUND((_15_同援日１．０＿０．５＿１．０*_15・通訳),0)*(1+_15・区４)),0)</f>
        <v>941</v>
      </c>
      <c r="AF135" s="48"/>
    </row>
    <row r="136" spans="1:32" ht="16.5" customHeight="1" x14ac:dyDescent="0.15">
      <c r="A136" s="41">
        <v>15</v>
      </c>
      <c r="B136" s="41" t="s">
        <v>3483</v>
      </c>
      <c r="C136" s="74" t="s">
        <v>28650</v>
      </c>
      <c r="D136" s="72"/>
      <c r="F136" s="57"/>
      <c r="G136" s="72"/>
      <c r="I136" s="57"/>
      <c r="J136" s="72"/>
      <c r="L136" s="57"/>
      <c r="M136" s="35"/>
      <c r="P136" s="299" t="s">
        <v>17556</v>
      </c>
      <c r="Q136" s="45" t="s">
        <v>398</v>
      </c>
      <c r="R136" s="46">
        <v>1</v>
      </c>
      <c r="S136" s="512"/>
      <c r="T136" s="57"/>
      <c r="U136" s="512"/>
      <c r="V136" s="57"/>
      <c r="W136" s="122"/>
      <c r="X136" s="37"/>
      <c r="Y136" s="38"/>
      <c r="Z136" s="79"/>
      <c r="AA136" s="72" t="s">
        <v>17572</v>
      </c>
      <c r="AD136" s="57"/>
      <c r="AE136" s="208">
        <f>ROUND((ROUND((ROUND((ROUND((_15_同援日１．０*_15・通訳),0)*_15・２人),0)*(1+_15・A深夜)),0)*(1+_15・区４)),0)+ROUND((ROUND((ROUND((ROUND((_15_同援日１．０＿０．５*_15・通訳),0)*_15・２人),0)*(1+_15・B早朝)),0)*(1+_15・区４)),0)+ROUND((ROUND((ROUND((_15_同援日１．０＿０．５＿１．０*_15・通訳),0)*_15・２人),0)*(1+_15・区４)),0)</f>
        <v>941</v>
      </c>
      <c r="AF136" s="48"/>
    </row>
    <row r="137" spans="1:32" ht="16.5" customHeight="1" x14ac:dyDescent="0.15">
      <c r="A137" s="41">
        <v>15</v>
      </c>
      <c r="B137" s="41" t="s">
        <v>28651</v>
      </c>
      <c r="C137" s="74" t="s">
        <v>28652</v>
      </c>
      <c r="D137" s="72"/>
      <c r="F137" s="57"/>
      <c r="G137" s="72"/>
      <c r="I137" s="57"/>
      <c r="J137" s="72"/>
      <c r="L137" s="57"/>
      <c r="M137" s="35"/>
      <c r="P137" s="299"/>
      <c r="Q137" s="45"/>
      <c r="R137" s="46"/>
      <c r="S137" s="512"/>
      <c r="T137" s="57"/>
      <c r="U137" s="512"/>
      <c r="V137" s="57"/>
      <c r="W137" s="114" t="s">
        <v>17562</v>
      </c>
      <c r="X137" s="49"/>
      <c r="Y137" s="50"/>
      <c r="Z137" s="115"/>
      <c r="AA137" s="72"/>
      <c r="AB137" s="12" t="s">
        <v>398</v>
      </c>
      <c r="AC137" s="13">
        <v>0.4</v>
      </c>
      <c r="AD137" s="57" t="s">
        <v>3575</v>
      </c>
      <c r="AE137" s="208">
        <f>ROUND((ROUND((ROUND((ROUND((_15_同援日１．０*_15・通訳),0)*(1+_15・A深夜)),0)*(1+_15・盲ろう)),0)*(1+_15・区４)),0)+ROUND((ROUND((ROUND((ROUND((_15_同援日１．０＿０．５*_15・通訳),0)*(1+_15・B早朝)),0)*(1+_15・盲ろう)),0)*(1+_15・区４)),0)+ROUND((ROUND((ROUND((_15_同援日１．０＿０．５＿１．０*_15・通訳),0)*(1+_15・盲ろう)),0)*(1+_15・区４)),0)</f>
        <v>1175</v>
      </c>
      <c r="AF137" s="48"/>
    </row>
    <row r="138" spans="1:32" ht="16.5" customHeight="1" x14ac:dyDescent="0.15">
      <c r="A138" s="41">
        <v>15</v>
      </c>
      <c r="B138" s="41" t="s">
        <v>28653</v>
      </c>
      <c r="C138" s="74" t="s">
        <v>28654</v>
      </c>
      <c r="D138" s="72"/>
      <c r="F138" s="57"/>
      <c r="G138" s="72"/>
      <c r="I138" s="57"/>
      <c r="J138" s="122"/>
      <c r="K138" s="37"/>
      <c r="L138" s="79"/>
      <c r="M138" s="35"/>
      <c r="P138" s="299" t="s">
        <v>17556</v>
      </c>
      <c r="Q138" s="45" t="s">
        <v>398</v>
      </c>
      <c r="R138" s="46">
        <v>1</v>
      </c>
      <c r="S138" s="512"/>
      <c r="T138" s="57"/>
      <c r="U138" s="512"/>
      <c r="V138" s="57"/>
      <c r="W138" s="122" t="s">
        <v>17564</v>
      </c>
      <c r="X138" s="37" t="s">
        <v>398</v>
      </c>
      <c r="Y138" s="38">
        <v>0.25</v>
      </c>
      <c r="Z138" s="79" t="s">
        <v>3575</v>
      </c>
      <c r="AA138" s="122"/>
      <c r="AB138" s="37"/>
      <c r="AC138" s="38"/>
      <c r="AD138" s="79"/>
      <c r="AE138" s="208">
        <f>ROUND((ROUND((ROUND((ROUND((ROUND((_15_同援日１．０*_15・通訳),0)*_15・２人),0)*(1+_15・A深夜)),0)*(1+_15・盲ろう)),0)*(1+_15・区４)),0)+ROUND((ROUND((ROUND((ROUND((ROUND((_15_同援日１．０＿０．５*_15・通訳),0)*_15・２人),0)*(1+_15・B早朝)),0)*(1+_15・盲ろう)),0)*(1+_15・区４)),0)+ROUND((ROUND((ROUND((ROUND((_15_同援日１．０＿０．５＿１．０*_15・通訳),0)*_15・２人),0)*(1+_15・盲ろう)),0)*(1+_15・区４)),0)</f>
        <v>1175</v>
      </c>
      <c r="AF138" s="48"/>
    </row>
    <row r="139" spans="1:32" ht="16.5" customHeight="1" x14ac:dyDescent="0.15">
      <c r="A139" s="41">
        <v>15</v>
      </c>
      <c r="B139" s="41" t="s">
        <v>28655</v>
      </c>
      <c r="C139" s="74" t="s">
        <v>28656</v>
      </c>
      <c r="D139" s="72"/>
      <c r="F139" s="57"/>
      <c r="G139" s="72"/>
      <c r="I139" s="57"/>
      <c r="J139" s="114" t="s">
        <v>21291</v>
      </c>
      <c r="K139" s="49"/>
      <c r="L139" s="115"/>
      <c r="M139" s="35"/>
      <c r="P139" s="299"/>
      <c r="Q139" s="45"/>
      <c r="R139" s="46"/>
      <c r="S139" s="512"/>
      <c r="T139" s="57"/>
      <c r="U139" s="512"/>
      <c r="V139" s="57"/>
      <c r="W139" s="114"/>
      <c r="X139" s="49"/>
      <c r="Y139" s="50"/>
      <c r="Z139" s="115"/>
      <c r="AA139" s="114"/>
      <c r="AB139" s="49"/>
      <c r="AC139" s="50"/>
      <c r="AD139" s="115"/>
      <c r="AE139" s="208">
        <f>ROUND((ROUND((_15_同援日１．０*_15・通訳),0)*(1+_15・A深夜)),0)+ROUND((ROUND((_15_同援日１．０＿０．５*_15・通訳),0)*(1+_15・B早朝)),0)+ROUND((_15_同援日１．０＿０．５＿１．５*_15・通訳),0)</f>
        <v>731</v>
      </c>
      <c r="AF139" s="48"/>
    </row>
    <row r="140" spans="1:32" ht="16.5" customHeight="1" x14ac:dyDescent="0.15">
      <c r="A140" s="41">
        <v>15</v>
      </c>
      <c r="B140" s="41" t="s">
        <v>28657</v>
      </c>
      <c r="C140" s="74" t="s">
        <v>28658</v>
      </c>
      <c r="D140" s="72"/>
      <c r="F140" s="57"/>
      <c r="G140" s="72"/>
      <c r="I140" s="57"/>
      <c r="J140" s="72" t="s">
        <v>17616</v>
      </c>
      <c r="L140" s="57"/>
      <c r="M140" s="35"/>
      <c r="P140" s="299" t="s">
        <v>17556</v>
      </c>
      <c r="Q140" s="45" t="s">
        <v>398</v>
      </c>
      <c r="R140" s="46">
        <v>1</v>
      </c>
      <c r="S140" s="512"/>
      <c r="T140" s="57"/>
      <c r="U140" s="512"/>
      <c r="V140" s="57"/>
      <c r="W140" s="122"/>
      <c r="X140" s="37"/>
      <c r="Y140" s="38"/>
      <c r="Z140" s="79"/>
      <c r="AA140" s="72"/>
      <c r="AD140" s="57"/>
      <c r="AE140" s="208">
        <f>ROUND((ROUND((ROUND((_15_同援日１．０*_15・通訳),0)*_15・２人),0)*(1+_15・A深夜)),0)+ROUND((ROUND((ROUND((_15_同援日１．０＿０．５*_15・通訳),0)*_15・２人),0)*(1+_15・B早朝)),0)+ROUND((ROUND((_15_同援日１．０＿０．５＿１．５*_15・通訳),0)*_15・２人),0)</f>
        <v>731</v>
      </c>
      <c r="AF140" s="48"/>
    </row>
    <row r="141" spans="1:32" ht="16.5" customHeight="1" x14ac:dyDescent="0.15">
      <c r="A141" s="41">
        <v>15</v>
      </c>
      <c r="B141" s="41" t="s">
        <v>28659</v>
      </c>
      <c r="C141" s="74" t="s">
        <v>28660</v>
      </c>
      <c r="D141" s="72"/>
      <c r="F141" s="57"/>
      <c r="G141" s="72"/>
      <c r="I141" s="57"/>
      <c r="J141" s="72" t="s">
        <v>18183</v>
      </c>
      <c r="L141" s="57"/>
      <c r="M141" s="35"/>
      <c r="P141" s="299"/>
      <c r="Q141" s="45"/>
      <c r="R141" s="46"/>
      <c r="S141" s="512"/>
      <c r="T141" s="57"/>
      <c r="U141" s="512"/>
      <c r="V141" s="57"/>
      <c r="W141" s="114" t="s">
        <v>17562</v>
      </c>
      <c r="X141" s="49"/>
      <c r="Y141" s="50"/>
      <c r="Z141" s="115"/>
      <c r="AA141" s="72"/>
      <c r="AD141" s="57"/>
      <c r="AE141" s="208">
        <f>ROUND((ROUND((ROUND((_15_同援日１．０*_15・通訳),0)*(1+_15・A深夜)),0)*(1+_15・盲ろう)),0)+ROUND((ROUND((ROUND((_15_同援日１．０＿０．５*_15・通訳),0)*(1+_15・B早朝)),0)*(1+_15・盲ろう)),0)+ROUND((ROUND((_15_同援日１．０＿０．５＿１．５*_15・通訳),0)*(1+_15・盲ろう)),0)</f>
        <v>914</v>
      </c>
      <c r="AF141" s="48"/>
    </row>
    <row r="142" spans="1:32" ht="16.5" customHeight="1" x14ac:dyDescent="0.15">
      <c r="A142" s="41">
        <v>15</v>
      </c>
      <c r="B142" s="41" t="s">
        <v>28661</v>
      </c>
      <c r="C142" s="74" t="s">
        <v>28662</v>
      </c>
      <c r="D142" s="72"/>
      <c r="F142" s="57"/>
      <c r="G142" s="72"/>
      <c r="I142" s="57"/>
      <c r="J142" s="72"/>
      <c r="K142" s="168">
        <f>_15_同援日１．０＿０．５＿１．５</f>
        <v>195</v>
      </c>
      <c r="L142" s="57" t="s">
        <v>392</v>
      </c>
      <c r="M142" s="35"/>
      <c r="P142" s="299" t="s">
        <v>17556</v>
      </c>
      <c r="Q142" s="45" t="s">
        <v>398</v>
      </c>
      <c r="R142" s="46">
        <v>1</v>
      </c>
      <c r="S142" s="512"/>
      <c r="T142" s="57"/>
      <c r="U142" s="512"/>
      <c r="V142" s="57"/>
      <c r="W142" s="122" t="s">
        <v>17564</v>
      </c>
      <c r="X142" s="37" t="s">
        <v>398</v>
      </c>
      <c r="Y142" s="38">
        <v>0.25</v>
      </c>
      <c r="Z142" s="79" t="s">
        <v>3575</v>
      </c>
      <c r="AA142" s="122"/>
      <c r="AB142" s="37"/>
      <c r="AC142" s="38"/>
      <c r="AD142" s="79"/>
      <c r="AE142" s="208">
        <f>ROUND((ROUND((ROUND((ROUND((_15_同援日１．０*_15・通訳),0)*_15・２人),0)*(1+_15・A深夜)),0)*(1+_15・盲ろう)),0)+ROUND((ROUND((ROUND((ROUND((_15_同援日１．０＿０．５*_15・通訳),0)*_15・２人),0)*(1+_15・B早朝)),0)*(1+_15・盲ろう)),0)+ROUND((ROUND((ROUND((_15_同援日１．０＿０．５＿１．５*_15・通訳),0)*_15・２人),0)*(1+_15・盲ろう)),0)</f>
        <v>914</v>
      </c>
      <c r="AF142" s="48"/>
    </row>
    <row r="143" spans="1:32" ht="16.5" customHeight="1" x14ac:dyDescent="0.15">
      <c r="A143" s="41">
        <v>15</v>
      </c>
      <c r="B143" s="41" t="s">
        <v>28663</v>
      </c>
      <c r="C143" s="74" t="s">
        <v>28664</v>
      </c>
      <c r="D143" s="72"/>
      <c r="F143" s="57"/>
      <c r="G143" s="72"/>
      <c r="I143" s="57"/>
      <c r="J143" s="72"/>
      <c r="L143" s="57"/>
      <c r="M143" s="35"/>
      <c r="P143" s="299"/>
      <c r="Q143" s="45"/>
      <c r="R143" s="46"/>
      <c r="S143" s="512"/>
      <c r="T143" s="57"/>
      <c r="U143" s="512"/>
      <c r="V143" s="57"/>
      <c r="W143" s="114"/>
      <c r="X143" s="49"/>
      <c r="Y143" s="50"/>
      <c r="Z143" s="115"/>
      <c r="AA143" s="114" t="s">
        <v>17570</v>
      </c>
      <c r="AB143" s="49"/>
      <c r="AC143" s="50"/>
      <c r="AD143" s="115"/>
      <c r="AE143" s="208">
        <f>ROUND((ROUND((ROUND((_15_同援日１．０*_15・通訳),0)*(1+_15・A深夜)),0)*(1+_15・区３)),0)+ROUND((ROUND((ROUND((_15_同援日１．０＿０．５*_15・通訳),0)*(1+_15・B早朝)),0)*(1+_15・区３)),0)+ROUND((ROUND((_15_同援日１．０＿０．５＿１．５*_15・通訳),0)*(1+_15・区３)),0)</f>
        <v>877</v>
      </c>
      <c r="AF143" s="48"/>
    </row>
    <row r="144" spans="1:32" ht="16.5" customHeight="1" x14ac:dyDescent="0.15">
      <c r="A144" s="41">
        <v>15</v>
      </c>
      <c r="B144" s="41" t="s">
        <v>28665</v>
      </c>
      <c r="C144" s="74" t="s">
        <v>28666</v>
      </c>
      <c r="D144" s="72"/>
      <c r="F144" s="57"/>
      <c r="G144" s="72"/>
      <c r="I144" s="57"/>
      <c r="J144" s="72"/>
      <c r="L144" s="57"/>
      <c r="M144" s="35"/>
      <c r="P144" s="299" t="s">
        <v>17556</v>
      </c>
      <c r="Q144" s="45" t="s">
        <v>398</v>
      </c>
      <c r="R144" s="46">
        <v>1</v>
      </c>
      <c r="S144" s="512"/>
      <c r="T144" s="57"/>
      <c r="U144" s="512"/>
      <c r="V144" s="57"/>
      <c r="W144" s="122"/>
      <c r="X144" s="37"/>
      <c r="Y144" s="38"/>
      <c r="Z144" s="79"/>
      <c r="AA144" s="72" t="s">
        <v>17572</v>
      </c>
      <c r="AD144" s="57"/>
      <c r="AE144" s="208">
        <f>ROUND((ROUND((ROUND((ROUND((_15_同援日１．０*_15・通訳),0)*_15・２人),0)*(1+_15・A深夜)),0)*(1+_15・区３)),0)+ROUND((ROUND((ROUND((ROUND((_15_同援日１．０＿０．５*_15・通訳),0)*_15・２人),0)*(1+_15・B早朝)),0)*(1+_15・区３)),0)+ROUND((ROUND((ROUND((_15_同援日１．０＿０．５＿１．５*_15・通訳),0)*_15・２人),0)*(1+_15・区３)),0)</f>
        <v>877</v>
      </c>
      <c r="AF144" s="48"/>
    </row>
    <row r="145" spans="1:32" ht="16.5" customHeight="1" x14ac:dyDescent="0.15">
      <c r="A145" s="41">
        <v>15</v>
      </c>
      <c r="B145" s="41" t="s">
        <v>3489</v>
      </c>
      <c r="C145" s="74" t="s">
        <v>28667</v>
      </c>
      <c r="D145" s="72"/>
      <c r="F145" s="57"/>
      <c r="G145" s="72"/>
      <c r="I145" s="57"/>
      <c r="J145" s="72"/>
      <c r="L145" s="57"/>
      <c r="M145" s="35"/>
      <c r="P145" s="299"/>
      <c r="Q145" s="45"/>
      <c r="R145" s="46"/>
      <c r="S145" s="512"/>
      <c r="T145" s="57"/>
      <c r="U145" s="512"/>
      <c r="V145" s="57"/>
      <c r="W145" s="114" t="s">
        <v>17562</v>
      </c>
      <c r="X145" s="49"/>
      <c r="Y145" s="50"/>
      <c r="Z145" s="115"/>
      <c r="AA145" s="72"/>
      <c r="AB145" s="12" t="s">
        <v>398</v>
      </c>
      <c r="AC145" s="13">
        <v>0.2</v>
      </c>
      <c r="AD145" s="57" t="s">
        <v>3575</v>
      </c>
      <c r="AE145" s="208">
        <f>ROUND((ROUND((ROUND((ROUND((_15_同援日１．０*_15・通訳),0)*(1+_15・A深夜)),0)*(1+_15・盲ろう)),0)*(1+_15・区３)),0)+ROUND((ROUND((ROUND((ROUND((_15_同援日１．０＿０．５*_15・通訳),0)*(1+_15・B早朝)),0)*(1+_15・盲ろう)),0)*(1+_15・区３)),0)+ROUND((ROUND((ROUND((_15_同援日１．０＿０．５＿１．５*_15・通訳),0)*(1+_15・盲ろう)),0)*(1+_15・区３)),0)</f>
        <v>1097</v>
      </c>
      <c r="AF145" s="48"/>
    </row>
    <row r="146" spans="1:32" ht="16.5" customHeight="1" x14ac:dyDescent="0.15">
      <c r="A146" s="41">
        <v>15</v>
      </c>
      <c r="B146" s="41" t="s">
        <v>3491</v>
      </c>
      <c r="C146" s="74" t="s">
        <v>28668</v>
      </c>
      <c r="D146" s="72"/>
      <c r="F146" s="57"/>
      <c r="G146" s="72"/>
      <c r="I146" s="57"/>
      <c r="J146" s="72"/>
      <c r="L146" s="57"/>
      <c r="M146" s="35"/>
      <c r="P146" s="299" t="s">
        <v>17556</v>
      </c>
      <c r="Q146" s="45" t="s">
        <v>398</v>
      </c>
      <c r="R146" s="46">
        <v>1</v>
      </c>
      <c r="S146" s="512"/>
      <c r="T146" s="57"/>
      <c r="U146" s="512"/>
      <c r="V146" s="57"/>
      <c r="W146" s="122" t="s">
        <v>17564</v>
      </c>
      <c r="X146" s="37" t="s">
        <v>398</v>
      </c>
      <c r="Y146" s="38">
        <v>0.25</v>
      </c>
      <c r="Z146" s="79" t="s">
        <v>3575</v>
      </c>
      <c r="AA146" s="122"/>
      <c r="AB146" s="37"/>
      <c r="AC146" s="38"/>
      <c r="AD146" s="79"/>
      <c r="AE146" s="208">
        <f>ROUND((ROUND((ROUND((ROUND((ROUND((_15_同援日１．０*_15・通訳),0)*_15・２人),0)*(1+_15・A深夜)),0)*(1+_15・盲ろう)),0)*(1+_15・区３)),0)+ROUND((ROUND((ROUND((ROUND((ROUND((_15_同援日１．０＿０．５*_15・通訳),0)*_15・２人),0)*(1+_15・B早朝)),0)*(1+_15・盲ろう)),0)*(1+_15・区３)),0)+ROUND((ROUND((ROUND((ROUND((_15_同援日１．０＿０．５＿１．５*_15・通訳),0)*_15・２人),0)*(1+_15・盲ろう)),0)*(1+_15・区３)),0)</f>
        <v>1097</v>
      </c>
      <c r="AF146" s="48"/>
    </row>
    <row r="147" spans="1:32" ht="16.5" customHeight="1" x14ac:dyDescent="0.15">
      <c r="A147" s="41">
        <v>15</v>
      </c>
      <c r="B147" s="41" t="s">
        <v>28669</v>
      </c>
      <c r="C147" s="74" t="s">
        <v>28670</v>
      </c>
      <c r="D147" s="72"/>
      <c r="F147" s="57"/>
      <c r="G147" s="72"/>
      <c r="I147" s="57"/>
      <c r="J147" s="72"/>
      <c r="L147" s="57"/>
      <c r="M147" s="35"/>
      <c r="P147" s="299"/>
      <c r="Q147" s="45"/>
      <c r="R147" s="46"/>
      <c r="S147" s="512"/>
      <c r="T147" s="57"/>
      <c r="U147" s="512"/>
      <c r="V147" s="57"/>
      <c r="W147" s="114"/>
      <c r="X147" s="49"/>
      <c r="Y147" s="50"/>
      <c r="Z147" s="115"/>
      <c r="AA147" s="114" t="s">
        <v>17580</v>
      </c>
      <c r="AB147" s="49"/>
      <c r="AC147" s="50"/>
      <c r="AD147" s="115"/>
      <c r="AE147" s="208">
        <f>ROUND((ROUND((ROUND((_15_同援日１．０*_15・通訳),0)*(1+_15・A深夜)),0)*(1+_15・区４)),0)+ROUND((ROUND((ROUND((_15_同援日１．０＿０．５*_15・通訳),0)*(1+_15・B早朝)),0)*(1+_15・区４)),0)+ROUND((ROUND((_15_同援日１．０＿０．５＿１．５*_15・通訳),0)*(1+_15・区４)),0)</f>
        <v>1023</v>
      </c>
      <c r="AF147" s="48"/>
    </row>
    <row r="148" spans="1:32" ht="16.5" customHeight="1" x14ac:dyDescent="0.15">
      <c r="A148" s="41">
        <v>15</v>
      </c>
      <c r="B148" s="41" t="s">
        <v>28671</v>
      </c>
      <c r="C148" s="74" t="s">
        <v>28672</v>
      </c>
      <c r="D148" s="72"/>
      <c r="F148" s="57"/>
      <c r="G148" s="72"/>
      <c r="I148" s="57"/>
      <c r="J148" s="72"/>
      <c r="L148" s="57"/>
      <c r="M148" s="35"/>
      <c r="P148" s="299" t="s">
        <v>17556</v>
      </c>
      <c r="Q148" s="45" t="s">
        <v>398</v>
      </c>
      <c r="R148" s="46">
        <v>1</v>
      </c>
      <c r="S148" s="512"/>
      <c r="T148" s="57"/>
      <c r="U148" s="512"/>
      <c r="V148" s="57"/>
      <c r="W148" s="122"/>
      <c r="X148" s="37"/>
      <c r="Y148" s="38"/>
      <c r="Z148" s="79"/>
      <c r="AA148" s="72" t="s">
        <v>17572</v>
      </c>
      <c r="AD148" s="57"/>
      <c r="AE148" s="208">
        <f>ROUND((ROUND((ROUND((ROUND((_15_同援日１．０*_15・通訳),0)*_15・２人),0)*(1+_15・A深夜)),0)*(1+_15・区４)),0)+ROUND((ROUND((ROUND((ROUND((_15_同援日１．０＿０．５*_15・通訳),0)*_15・２人),0)*(1+_15・B早朝)),0)*(1+_15・区４)),0)+ROUND((ROUND((ROUND((_15_同援日１．０＿０．５＿１．５*_15・通訳),0)*_15・２人),0)*(1+_15・区４)),0)</f>
        <v>1023</v>
      </c>
      <c r="AF148" s="48"/>
    </row>
    <row r="149" spans="1:32" ht="16.5" customHeight="1" x14ac:dyDescent="0.15">
      <c r="A149" s="41">
        <v>15</v>
      </c>
      <c r="B149" s="41" t="s">
        <v>28673</v>
      </c>
      <c r="C149" s="74" t="s">
        <v>28674</v>
      </c>
      <c r="D149" s="72"/>
      <c r="F149" s="57"/>
      <c r="G149" s="72"/>
      <c r="I149" s="57"/>
      <c r="J149" s="72"/>
      <c r="L149" s="57"/>
      <c r="M149" s="35"/>
      <c r="P149" s="299"/>
      <c r="Q149" s="45"/>
      <c r="R149" s="46"/>
      <c r="S149" s="512"/>
      <c r="T149" s="57"/>
      <c r="U149" s="512"/>
      <c r="V149" s="57"/>
      <c r="W149" s="114" t="s">
        <v>17562</v>
      </c>
      <c r="X149" s="49"/>
      <c r="Y149" s="50"/>
      <c r="Z149" s="115"/>
      <c r="AA149" s="72"/>
      <c r="AB149" s="12" t="s">
        <v>398</v>
      </c>
      <c r="AC149" s="13">
        <v>0.4</v>
      </c>
      <c r="AD149" s="57" t="s">
        <v>3575</v>
      </c>
      <c r="AE149" s="208">
        <f>ROUND((ROUND((ROUND((ROUND((_15_同援日１．０*_15・通訳),0)*(1+_15・A深夜)),0)*(1+_15・盲ろう)),0)*(1+_15・区４)),0)+ROUND((ROUND((ROUND((ROUND((_15_同援日１．０＿０．５*_15・通訳),0)*(1+_15・B早朝)),0)*(1+_15・盲ろう)),0)*(1+_15・区４)),0)+ROUND((ROUND((ROUND((_15_同援日１．０＿０．５＿１．５*_15・通訳),0)*(1+_15・盲ろう)),0)*(1+_15・区４)),0)</f>
        <v>1279</v>
      </c>
      <c r="AF149" s="48"/>
    </row>
    <row r="150" spans="1:32" ht="16.5" customHeight="1" x14ac:dyDescent="0.15">
      <c r="A150" s="41">
        <v>15</v>
      </c>
      <c r="B150" s="41" t="s">
        <v>28675</v>
      </c>
      <c r="C150" s="74" t="s">
        <v>28676</v>
      </c>
      <c r="D150" s="72"/>
      <c r="F150" s="57"/>
      <c r="G150" s="122"/>
      <c r="H150" s="37"/>
      <c r="I150" s="79"/>
      <c r="J150" s="122"/>
      <c r="K150" s="37"/>
      <c r="L150" s="79"/>
      <c r="M150" s="35"/>
      <c r="P150" s="299" t="s">
        <v>17556</v>
      </c>
      <c r="Q150" s="45" t="s">
        <v>398</v>
      </c>
      <c r="R150" s="46">
        <v>1</v>
      </c>
      <c r="S150" s="512"/>
      <c r="T150" s="57"/>
      <c r="U150" s="512"/>
      <c r="V150" s="57"/>
      <c r="W150" s="122" t="s">
        <v>17564</v>
      </c>
      <c r="X150" s="37" t="s">
        <v>398</v>
      </c>
      <c r="Y150" s="38">
        <v>0.25</v>
      </c>
      <c r="Z150" s="79" t="s">
        <v>3575</v>
      </c>
      <c r="AA150" s="122"/>
      <c r="AB150" s="37"/>
      <c r="AC150" s="38"/>
      <c r="AD150" s="79"/>
      <c r="AE150" s="208">
        <f>ROUND((ROUND((ROUND((ROUND((ROUND((_15_同援日１．０*_15・通訳),0)*_15・２人),0)*(1+_15・A深夜)),0)*(1+_15・盲ろう)),0)*(1+_15・区４)),0)+ROUND((ROUND((ROUND((ROUND((ROUND((_15_同援日１．０＿０．５*_15・通訳),0)*_15・２人),0)*(1+_15・B早朝)),0)*(1+_15・盲ろう)),0)*(1+_15・区４)),0)+ROUND((ROUND((ROUND((ROUND((_15_同援日１．０＿０．５＿１．５*_15・通訳),0)*_15・２人),0)*(1+_15・盲ろう)),0)*(1+_15・区４)),0)</f>
        <v>1279</v>
      </c>
      <c r="AF150" s="48"/>
    </row>
    <row r="151" spans="1:32" ht="16.5" customHeight="1" x14ac:dyDescent="0.15">
      <c r="A151" s="41">
        <v>15</v>
      </c>
      <c r="B151" s="41" t="s">
        <v>28677</v>
      </c>
      <c r="C151" s="74" t="s">
        <v>28678</v>
      </c>
      <c r="D151" s="72"/>
      <c r="F151" s="57"/>
      <c r="G151" s="114" t="s">
        <v>18846</v>
      </c>
      <c r="H151" s="49"/>
      <c r="I151" s="115"/>
      <c r="J151" s="114" t="s">
        <v>19919</v>
      </c>
      <c r="K151" s="49"/>
      <c r="L151" s="115"/>
      <c r="M151" s="35"/>
      <c r="P151" s="299"/>
      <c r="Q151" s="45"/>
      <c r="R151" s="46"/>
      <c r="S151" s="512"/>
      <c r="T151" s="57"/>
      <c r="U151" s="512"/>
      <c r="V151" s="57"/>
      <c r="W151" s="114"/>
      <c r="X151" s="49"/>
      <c r="Y151" s="50"/>
      <c r="Z151" s="115"/>
      <c r="AA151" s="114"/>
      <c r="AB151" s="49"/>
      <c r="AC151" s="50"/>
      <c r="AD151" s="115"/>
      <c r="AE151" s="208">
        <f>ROUND((ROUND((_15_同援日１．０*_15・通訳),0)*(1+_15・A深夜)),0)+ROUND((ROUND((_15_同援日１．０＿１．０*_15・通訳),0)*(1+_15・B早朝)),0)+ROUND((_15_同援日１．０＿１．０＿０．５*_15・通訳),0)</f>
        <v>687</v>
      </c>
      <c r="AF151" s="48"/>
    </row>
    <row r="152" spans="1:32" ht="16.5" customHeight="1" x14ac:dyDescent="0.15">
      <c r="A152" s="41">
        <v>15</v>
      </c>
      <c r="B152" s="41" t="s">
        <v>28679</v>
      </c>
      <c r="C152" s="74" t="s">
        <v>28680</v>
      </c>
      <c r="D152" s="72"/>
      <c r="F152" s="57"/>
      <c r="G152" s="72" t="s">
        <v>17589</v>
      </c>
      <c r="I152" s="57"/>
      <c r="J152" s="72" t="s">
        <v>18259</v>
      </c>
      <c r="L152" s="57"/>
      <c r="M152" s="35"/>
      <c r="P152" s="299" t="s">
        <v>17556</v>
      </c>
      <c r="Q152" s="45" t="s">
        <v>398</v>
      </c>
      <c r="R152" s="46">
        <v>1</v>
      </c>
      <c r="S152" s="512"/>
      <c r="T152" s="57"/>
      <c r="U152" s="512"/>
      <c r="V152" s="57"/>
      <c r="W152" s="122"/>
      <c r="X152" s="37"/>
      <c r="Y152" s="38"/>
      <c r="Z152" s="79"/>
      <c r="AA152" s="72"/>
      <c r="AD152" s="57"/>
      <c r="AE152" s="208">
        <f>ROUND((ROUND((ROUND((_15_同援日１．０*_15・通訳),0)*_15・２人),0)*(1+_15・A深夜)),0)+ROUND((ROUND((ROUND((_15_同援日１．０＿１．０*_15・通訳),0)*_15・２人),0)*(1+_15・B早朝)),0)+ROUND((ROUND((_15_同援日１．０＿１．０＿０．５*_15・通訳),0)*_15・２人),0)</f>
        <v>687</v>
      </c>
      <c r="AF152" s="48"/>
    </row>
    <row r="153" spans="1:32" ht="16.5" customHeight="1" x14ac:dyDescent="0.15">
      <c r="A153" s="41">
        <v>15</v>
      </c>
      <c r="B153" s="41" t="s">
        <v>28681</v>
      </c>
      <c r="C153" s="74" t="s">
        <v>28682</v>
      </c>
      <c r="D153" s="72"/>
      <c r="F153" s="57"/>
      <c r="G153" s="72" t="s">
        <v>17591</v>
      </c>
      <c r="I153" s="57"/>
      <c r="J153" s="72"/>
      <c r="L153" s="57"/>
      <c r="M153" s="35"/>
      <c r="P153" s="299"/>
      <c r="Q153" s="45"/>
      <c r="R153" s="46"/>
      <c r="S153" s="512"/>
      <c r="T153" s="57"/>
      <c r="U153" s="512"/>
      <c r="V153" s="57"/>
      <c r="W153" s="114" t="s">
        <v>17562</v>
      </c>
      <c r="X153" s="49"/>
      <c r="Y153" s="50"/>
      <c r="Z153" s="115"/>
      <c r="AA153" s="72"/>
      <c r="AD153" s="57"/>
      <c r="AE153" s="208">
        <f>ROUND((ROUND((ROUND((_15_同援日１．０*_15・通訳),0)*(1+_15・A深夜)),0)*(1+_15・盲ろう)),0)+ROUND((ROUND((ROUND((_15_同援日１．０＿１．０*_15・通訳),0)*(1+_15・B早朝)),0)*(1+_15・盲ろう)),0)+ROUND((ROUND((_15_同援日１．０＿１．０＿０．５*_15・通訳),0)*(1+_15・盲ろう)),0)</f>
        <v>859</v>
      </c>
      <c r="AF153" s="48"/>
    </row>
    <row r="154" spans="1:32" ht="16.5" customHeight="1" x14ac:dyDescent="0.15">
      <c r="A154" s="41">
        <v>15</v>
      </c>
      <c r="B154" s="41" t="s">
        <v>28683</v>
      </c>
      <c r="C154" s="74" t="s">
        <v>28684</v>
      </c>
      <c r="D154" s="72"/>
      <c r="F154" s="57"/>
      <c r="G154" s="72"/>
      <c r="H154" s="168">
        <f>_15_同援日１．０＿１．０</f>
        <v>198</v>
      </c>
      <c r="I154" s="57" t="s">
        <v>392</v>
      </c>
      <c r="J154" s="72"/>
      <c r="K154" s="168">
        <f>_15_同援日１．０＿１．０＿０．５</f>
        <v>65</v>
      </c>
      <c r="L154" s="57" t="s">
        <v>392</v>
      </c>
      <c r="M154" s="35"/>
      <c r="P154" s="299" t="s">
        <v>17556</v>
      </c>
      <c r="Q154" s="45" t="s">
        <v>398</v>
      </c>
      <c r="R154" s="46">
        <v>1</v>
      </c>
      <c r="S154" s="512"/>
      <c r="T154" s="57"/>
      <c r="U154" s="512"/>
      <c r="V154" s="57"/>
      <c r="W154" s="122" t="s">
        <v>17564</v>
      </c>
      <c r="X154" s="37" t="s">
        <v>398</v>
      </c>
      <c r="Y154" s="38">
        <v>0.25</v>
      </c>
      <c r="Z154" s="79" t="s">
        <v>3575</v>
      </c>
      <c r="AA154" s="122"/>
      <c r="AB154" s="37"/>
      <c r="AC154" s="38"/>
      <c r="AD154" s="79"/>
      <c r="AE154" s="208">
        <f>ROUND((ROUND((ROUND((ROUND((_15_同援日１．０*_15・通訳),0)*_15・２人),0)*(1+_15・A深夜)),0)*(1+_15・盲ろう)),0)+ROUND((ROUND((ROUND((ROUND((_15_同援日１．０＿１．０*_15・通訳),0)*_15・２人),0)*(1+_15・B早朝)),0)*(1+_15・盲ろう)),0)+ROUND((ROUND((ROUND((_15_同援日１．０＿１．０＿０．５*_15・通訳),0)*_15・２人),0)*(1+_15・盲ろう)),0)</f>
        <v>859</v>
      </c>
      <c r="AF154" s="48"/>
    </row>
    <row r="155" spans="1:32" ht="16.5" customHeight="1" x14ac:dyDescent="0.15">
      <c r="A155" s="41">
        <v>15</v>
      </c>
      <c r="B155" s="41" t="s">
        <v>3496</v>
      </c>
      <c r="C155" s="74" t="s">
        <v>28685</v>
      </c>
      <c r="D155" s="72"/>
      <c r="F155" s="57"/>
      <c r="G155" s="72"/>
      <c r="I155" s="57"/>
      <c r="J155" s="72"/>
      <c r="L155" s="57"/>
      <c r="M155" s="35"/>
      <c r="P155" s="299"/>
      <c r="Q155" s="45"/>
      <c r="R155" s="46"/>
      <c r="S155" s="512"/>
      <c r="T155" s="57"/>
      <c r="U155" s="512"/>
      <c r="V155" s="57"/>
      <c r="W155" s="114"/>
      <c r="X155" s="49"/>
      <c r="Y155" s="50"/>
      <c r="Z155" s="115"/>
      <c r="AA155" s="114" t="s">
        <v>17570</v>
      </c>
      <c r="AB155" s="49"/>
      <c r="AC155" s="50"/>
      <c r="AD155" s="115"/>
      <c r="AE155" s="208">
        <f>ROUND((ROUND((ROUND((_15_同援日１．０*_15・通訳),0)*(1+_15・A深夜)),0)*(1+_15・区３)),0)+ROUND((ROUND((ROUND((_15_同援日１．０＿１．０*_15・通訳),0)*(1+_15・B早朝)),0)*(1+_15・区３)),0)+ROUND((ROUND((_15_同援日１．０＿１．０＿０．５*_15・通訳),0)*(1+_15・区３)),0)</f>
        <v>825</v>
      </c>
      <c r="AF155" s="48"/>
    </row>
    <row r="156" spans="1:32" ht="16.5" customHeight="1" x14ac:dyDescent="0.15">
      <c r="A156" s="41">
        <v>15</v>
      </c>
      <c r="B156" s="41" t="s">
        <v>3498</v>
      </c>
      <c r="C156" s="74" t="s">
        <v>28686</v>
      </c>
      <c r="D156" s="72"/>
      <c r="F156" s="57"/>
      <c r="G156" s="72"/>
      <c r="I156" s="57"/>
      <c r="J156" s="72"/>
      <c r="L156" s="57"/>
      <c r="M156" s="35"/>
      <c r="P156" s="299" t="s">
        <v>17556</v>
      </c>
      <c r="Q156" s="45" t="s">
        <v>398</v>
      </c>
      <c r="R156" s="46">
        <v>1</v>
      </c>
      <c r="S156" s="512"/>
      <c r="T156" s="57"/>
      <c r="U156" s="512"/>
      <c r="V156" s="57"/>
      <c r="W156" s="122"/>
      <c r="X156" s="37"/>
      <c r="Y156" s="38"/>
      <c r="Z156" s="79"/>
      <c r="AA156" s="72" t="s">
        <v>17572</v>
      </c>
      <c r="AD156" s="57"/>
      <c r="AE156" s="208">
        <f>ROUND((ROUND((ROUND((ROUND((_15_同援日１．０*_15・通訳),0)*_15・２人),0)*(1+_15・A深夜)),0)*(1+_15・区３)),0)+ROUND((ROUND((ROUND((ROUND((_15_同援日１．０＿１．０*_15・通訳),0)*_15・２人),0)*(1+_15・B早朝)),0)*(1+_15・区３)),0)+ROUND((ROUND((ROUND((_15_同援日１．０＿１．０＿０．５*_15・通訳),0)*_15・２人),0)*(1+_15・区３)),0)</f>
        <v>825</v>
      </c>
      <c r="AF156" s="48"/>
    </row>
    <row r="157" spans="1:32" ht="16.5" customHeight="1" x14ac:dyDescent="0.15">
      <c r="A157" s="41">
        <v>15</v>
      </c>
      <c r="B157" s="41" t="s">
        <v>28687</v>
      </c>
      <c r="C157" s="74" t="s">
        <v>28688</v>
      </c>
      <c r="D157" s="72"/>
      <c r="F157" s="57"/>
      <c r="G157" s="72"/>
      <c r="I157" s="57"/>
      <c r="J157" s="72"/>
      <c r="L157" s="57"/>
      <c r="M157" s="35"/>
      <c r="P157" s="299"/>
      <c r="Q157" s="45"/>
      <c r="R157" s="46"/>
      <c r="S157" s="512"/>
      <c r="T157" s="57"/>
      <c r="U157" s="512"/>
      <c r="V157" s="57"/>
      <c r="W157" s="114" t="s">
        <v>17562</v>
      </c>
      <c r="X157" s="49"/>
      <c r="Y157" s="50"/>
      <c r="Z157" s="115"/>
      <c r="AA157" s="72"/>
      <c r="AB157" s="12" t="s">
        <v>398</v>
      </c>
      <c r="AC157" s="13">
        <v>0.2</v>
      </c>
      <c r="AD157" s="57" t="s">
        <v>3575</v>
      </c>
      <c r="AE157" s="208">
        <f>ROUND((ROUND((ROUND((ROUND((_15_同援日１．０*_15・通訳),0)*(1+_15・A深夜)),0)*(1+_15・盲ろう)),0)*(1+_15・区３)),0)+ROUND((ROUND((ROUND((ROUND((_15_同援日１．０＿１．０*_15・通訳),0)*(1+_15・B早朝)),0)*(1+_15・盲ろう)),0)*(1+_15・区３)),0)+ROUND((ROUND((ROUND((_15_同援日１．０＿１．０＿０．５*_15・通訳),0)*(1+_15・盲ろう)),0)*(1+_15・区３)),0)</f>
        <v>1031</v>
      </c>
      <c r="AF157" s="48"/>
    </row>
    <row r="158" spans="1:32" ht="16.5" customHeight="1" x14ac:dyDescent="0.15">
      <c r="A158" s="41">
        <v>15</v>
      </c>
      <c r="B158" s="41" t="s">
        <v>28689</v>
      </c>
      <c r="C158" s="74" t="s">
        <v>28690</v>
      </c>
      <c r="D158" s="72"/>
      <c r="F158" s="57"/>
      <c r="G158" s="72"/>
      <c r="I158" s="57"/>
      <c r="J158" s="72"/>
      <c r="L158" s="57"/>
      <c r="M158" s="35"/>
      <c r="P158" s="299" t="s">
        <v>17556</v>
      </c>
      <c r="Q158" s="45" t="s">
        <v>398</v>
      </c>
      <c r="R158" s="46">
        <v>1</v>
      </c>
      <c r="S158" s="512"/>
      <c r="T158" s="57"/>
      <c r="U158" s="512"/>
      <c r="V158" s="57"/>
      <c r="W158" s="122" t="s">
        <v>17564</v>
      </c>
      <c r="X158" s="37" t="s">
        <v>398</v>
      </c>
      <c r="Y158" s="38">
        <v>0.25</v>
      </c>
      <c r="Z158" s="79" t="s">
        <v>3575</v>
      </c>
      <c r="AA158" s="122"/>
      <c r="AB158" s="37"/>
      <c r="AC158" s="38"/>
      <c r="AD158" s="79"/>
      <c r="AE158" s="208">
        <f>ROUND((ROUND((ROUND((ROUND((ROUND((_15_同援日１．０*_15・通訳),0)*_15・２人),0)*(1+_15・A深夜)),0)*(1+_15・盲ろう)),0)*(1+_15・区３)),0)+ROUND((ROUND((ROUND((ROUND((ROUND((_15_同援日１．０＿１．０*_15・通訳),0)*_15・２人),0)*(1+_15・B早朝)),0)*(1+_15・盲ろう)),0)*(1+_15・区３)),0)+ROUND((ROUND((ROUND((ROUND((_15_同援日１．０＿１．０＿０．５*_15・通訳),0)*_15・２人),0)*(1+_15・盲ろう)),0)*(1+_15・区３)),0)</f>
        <v>1031</v>
      </c>
      <c r="AF158" s="48"/>
    </row>
    <row r="159" spans="1:32" ht="16.5" customHeight="1" x14ac:dyDescent="0.15">
      <c r="A159" s="41">
        <v>15</v>
      </c>
      <c r="B159" s="41" t="s">
        <v>28691</v>
      </c>
      <c r="C159" s="74" t="s">
        <v>28692</v>
      </c>
      <c r="D159" s="72"/>
      <c r="F159" s="57"/>
      <c r="G159" s="72"/>
      <c r="I159" s="57"/>
      <c r="J159" s="72"/>
      <c r="L159" s="57"/>
      <c r="M159" s="35"/>
      <c r="P159" s="299"/>
      <c r="Q159" s="45"/>
      <c r="R159" s="46"/>
      <c r="S159" s="512"/>
      <c r="T159" s="57"/>
      <c r="U159" s="512"/>
      <c r="V159" s="57"/>
      <c r="W159" s="114"/>
      <c r="X159" s="49"/>
      <c r="Y159" s="50"/>
      <c r="Z159" s="115"/>
      <c r="AA159" s="114" t="s">
        <v>17580</v>
      </c>
      <c r="AB159" s="49"/>
      <c r="AC159" s="50"/>
      <c r="AD159" s="115"/>
      <c r="AE159" s="208">
        <f>ROUND((ROUND((ROUND((_15_同援日１．０*_15・通訳),0)*(1+_15・A深夜)),0)*(1+_15・区４)),0)+ROUND((ROUND((ROUND((_15_同援日１．０＿１．０*_15・通訳),0)*(1+_15・B早朝)),0)*(1+_15・区４)),0)+ROUND((ROUND((_15_同援日１．０＿１．０＿０．５*_15・通訳),0)*(1+_15・区４)),0)</f>
        <v>962</v>
      </c>
      <c r="AF159" s="48"/>
    </row>
    <row r="160" spans="1:32" ht="16.5" customHeight="1" x14ac:dyDescent="0.15">
      <c r="A160" s="41">
        <v>15</v>
      </c>
      <c r="B160" s="41" t="s">
        <v>28693</v>
      </c>
      <c r="C160" s="74" t="s">
        <v>28694</v>
      </c>
      <c r="D160" s="72"/>
      <c r="F160" s="57"/>
      <c r="G160" s="72"/>
      <c r="I160" s="57"/>
      <c r="J160" s="72"/>
      <c r="L160" s="57"/>
      <c r="M160" s="35"/>
      <c r="P160" s="299" t="s">
        <v>17556</v>
      </c>
      <c r="Q160" s="45" t="s">
        <v>398</v>
      </c>
      <c r="R160" s="46">
        <v>1</v>
      </c>
      <c r="S160" s="512"/>
      <c r="T160" s="57"/>
      <c r="U160" s="512"/>
      <c r="V160" s="57"/>
      <c r="W160" s="122"/>
      <c r="X160" s="37"/>
      <c r="Y160" s="38"/>
      <c r="Z160" s="79"/>
      <c r="AA160" s="72" t="s">
        <v>17572</v>
      </c>
      <c r="AD160" s="57"/>
      <c r="AE160" s="208">
        <f>ROUND((ROUND((ROUND((ROUND((_15_同援日１．０*_15・通訳),0)*_15・２人),0)*(1+_15・A深夜)),0)*(1+_15・区４)),0)+ROUND((ROUND((ROUND((ROUND((_15_同援日１．０＿１．０*_15・通訳),0)*_15・２人),0)*(1+_15・B早朝)),0)*(1+_15・区４)),0)+ROUND((ROUND((ROUND((_15_同援日１．０＿１．０＿０．５*_15・通訳),0)*_15・２人),0)*(1+_15・区４)),0)</f>
        <v>962</v>
      </c>
      <c r="AF160" s="48"/>
    </row>
    <row r="161" spans="1:32" ht="16.5" customHeight="1" x14ac:dyDescent="0.15">
      <c r="A161" s="41">
        <v>15</v>
      </c>
      <c r="B161" s="41" t="s">
        <v>28695</v>
      </c>
      <c r="C161" s="74" t="s">
        <v>28696</v>
      </c>
      <c r="D161" s="72"/>
      <c r="F161" s="57"/>
      <c r="G161" s="72"/>
      <c r="I161" s="57"/>
      <c r="J161" s="72"/>
      <c r="L161" s="57"/>
      <c r="M161" s="35"/>
      <c r="P161" s="299"/>
      <c r="Q161" s="45"/>
      <c r="R161" s="46"/>
      <c r="S161" s="512"/>
      <c r="T161" s="57"/>
      <c r="U161" s="512"/>
      <c r="V161" s="57"/>
      <c r="W161" s="114" t="s">
        <v>17562</v>
      </c>
      <c r="X161" s="49"/>
      <c r="Y161" s="50"/>
      <c r="Z161" s="115"/>
      <c r="AA161" s="72"/>
      <c r="AB161" s="12" t="s">
        <v>398</v>
      </c>
      <c r="AC161" s="13">
        <v>0.4</v>
      </c>
      <c r="AD161" s="57" t="s">
        <v>3575</v>
      </c>
      <c r="AE161" s="208">
        <f>ROUND((ROUND((ROUND((ROUND((_15_同援日１．０*_15・通訳),0)*(1+_15・A深夜)),0)*(1+_15・盲ろう)),0)*(1+_15・区４)),0)+ROUND((ROUND((ROUND((ROUND((_15_同援日１．０＿１．０*_15・通訳),0)*(1+_15・B早朝)),0)*(1+_15・盲ろう)),0)*(1+_15・区４)),0)+ROUND((ROUND((ROUND((_15_同援日１．０＿１．０＿０．５*_15・通訳),0)*(1+_15・盲ろう)),0)*(1+_15・区４)),0)</f>
        <v>1203</v>
      </c>
      <c r="AF161" s="48"/>
    </row>
    <row r="162" spans="1:32" ht="16.5" customHeight="1" x14ac:dyDescent="0.15">
      <c r="A162" s="41">
        <v>15</v>
      </c>
      <c r="B162" s="41" t="s">
        <v>28697</v>
      </c>
      <c r="C162" s="74" t="s">
        <v>28698</v>
      </c>
      <c r="D162" s="72"/>
      <c r="F162" s="57"/>
      <c r="G162" s="72"/>
      <c r="I162" s="57"/>
      <c r="J162" s="122"/>
      <c r="K162" s="37"/>
      <c r="L162" s="79"/>
      <c r="M162" s="35"/>
      <c r="P162" s="299" t="s">
        <v>17556</v>
      </c>
      <c r="Q162" s="45" t="s">
        <v>398</v>
      </c>
      <c r="R162" s="46">
        <v>1</v>
      </c>
      <c r="S162" s="512"/>
      <c r="T162" s="57"/>
      <c r="U162" s="512"/>
      <c r="V162" s="57"/>
      <c r="W162" s="122" t="s">
        <v>17564</v>
      </c>
      <c r="X162" s="37" t="s">
        <v>398</v>
      </c>
      <c r="Y162" s="38">
        <v>0.25</v>
      </c>
      <c r="Z162" s="79" t="s">
        <v>3575</v>
      </c>
      <c r="AA162" s="122"/>
      <c r="AB162" s="37"/>
      <c r="AC162" s="38"/>
      <c r="AD162" s="79"/>
      <c r="AE162" s="208">
        <f>ROUND((ROUND((ROUND((ROUND((ROUND((_15_同援日１．０*_15・通訳),0)*_15・２人),0)*(1+_15・A深夜)),0)*(1+_15・盲ろう)),0)*(1+_15・区４)),0)+ROUND((ROUND((ROUND((ROUND((ROUND((_15_同援日１．０＿１．０*_15・通訳),0)*_15・２人),0)*(1+_15・B早朝)),0)*(1+_15・盲ろう)),0)*(1+_15・区４)),0)+ROUND((ROUND((ROUND((ROUND((_15_同援日１．０＿１．０＿０．５*_15・通訳),0)*_15・２人),0)*(1+_15・盲ろう)),0)*(1+_15・区４)),0)</f>
        <v>1203</v>
      </c>
      <c r="AF162" s="48"/>
    </row>
    <row r="163" spans="1:32" ht="16.5" customHeight="1" x14ac:dyDescent="0.15">
      <c r="A163" s="41">
        <v>15</v>
      </c>
      <c r="B163" s="41" t="s">
        <v>28699</v>
      </c>
      <c r="C163" s="74" t="s">
        <v>28700</v>
      </c>
      <c r="D163" s="72"/>
      <c r="F163" s="57"/>
      <c r="G163" s="72"/>
      <c r="I163" s="57"/>
      <c r="J163" s="114" t="s">
        <v>21246</v>
      </c>
      <c r="K163" s="49"/>
      <c r="L163" s="115"/>
      <c r="M163" s="35"/>
      <c r="P163" s="299"/>
      <c r="Q163" s="45"/>
      <c r="R163" s="46"/>
      <c r="S163" s="512"/>
      <c r="T163" s="57"/>
      <c r="U163" s="512"/>
      <c r="V163" s="57"/>
      <c r="W163" s="114"/>
      <c r="X163" s="49"/>
      <c r="Y163" s="50"/>
      <c r="Z163" s="115"/>
      <c r="AA163" s="114"/>
      <c r="AB163" s="49"/>
      <c r="AC163" s="50"/>
      <c r="AD163" s="115"/>
      <c r="AE163" s="208">
        <f>ROUND((ROUND((_15_同援日１．０*_15・通訳),0)*(1+_15・A深夜)),0)+ROUND((ROUND((_15_同援日１．０＿１．０*_15・通訳),0)*(1+_15・B早朝)),0)+ROUND((_15_同援日１．０＿１．０＿１．０*_15・通訳),0)</f>
        <v>745</v>
      </c>
      <c r="AF163" s="48"/>
    </row>
    <row r="164" spans="1:32" ht="16.5" customHeight="1" x14ac:dyDescent="0.15">
      <c r="A164" s="41">
        <v>15</v>
      </c>
      <c r="B164" s="41" t="s">
        <v>28701</v>
      </c>
      <c r="C164" s="74" t="s">
        <v>28702</v>
      </c>
      <c r="D164" s="72"/>
      <c r="F164" s="57"/>
      <c r="G164" s="72"/>
      <c r="I164" s="57"/>
      <c r="J164" s="72" t="s">
        <v>17589</v>
      </c>
      <c r="L164" s="57"/>
      <c r="M164" s="35"/>
      <c r="P164" s="299" t="s">
        <v>17556</v>
      </c>
      <c r="Q164" s="45" t="s">
        <v>398</v>
      </c>
      <c r="R164" s="46">
        <v>1</v>
      </c>
      <c r="S164" s="512"/>
      <c r="T164" s="57"/>
      <c r="U164" s="512"/>
      <c r="V164" s="57"/>
      <c r="W164" s="122"/>
      <c r="X164" s="37"/>
      <c r="Y164" s="38"/>
      <c r="Z164" s="79"/>
      <c r="AA164" s="72"/>
      <c r="AD164" s="57"/>
      <c r="AE164" s="208">
        <f>ROUND((ROUND((ROUND((_15_同援日１．０*_15・通訳),0)*_15・２人),0)*(1+_15・A深夜)),0)+ROUND((ROUND((ROUND((_15_同援日１．０＿１．０*_15・通訳),0)*_15・２人),0)*(1+_15・B早朝)),0)+ROUND((ROUND((_15_同援日１．０＿１．０＿１．０*_15・通訳),0)*_15・２人),0)</f>
        <v>745</v>
      </c>
      <c r="AF164" s="48"/>
    </row>
    <row r="165" spans="1:32" ht="16.5" customHeight="1" x14ac:dyDescent="0.15">
      <c r="A165" s="41">
        <v>15</v>
      </c>
      <c r="B165" s="41" t="s">
        <v>3503</v>
      </c>
      <c r="C165" s="74" t="s">
        <v>28703</v>
      </c>
      <c r="D165" s="72"/>
      <c r="F165" s="57"/>
      <c r="G165" s="72"/>
      <c r="I165" s="57"/>
      <c r="J165" s="72" t="s">
        <v>17591</v>
      </c>
      <c r="L165" s="57"/>
      <c r="M165" s="35"/>
      <c r="P165" s="299"/>
      <c r="Q165" s="45"/>
      <c r="R165" s="46"/>
      <c r="S165" s="512"/>
      <c r="T165" s="57"/>
      <c r="U165" s="512"/>
      <c r="V165" s="57"/>
      <c r="W165" s="114" t="s">
        <v>17562</v>
      </c>
      <c r="X165" s="49"/>
      <c r="Y165" s="50"/>
      <c r="Z165" s="115"/>
      <c r="AA165" s="72"/>
      <c r="AD165" s="57"/>
      <c r="AE165" s="208">
        <f>ROUND((ROUND((ROUND((_15_同援日１．０*_15・通訳),0)*(1+_15・A深夜)),0)*(1+_15・盲ろう)),0)+ROUND((ROUND((ROUND((_15_同援日１．０＿１．０*_15・通訳),0)*(1+_15・B早朝)),0)*(1+_15・盲ろう)),0)+ROUND((ROUND((_15_同援日１．０＿１．０＿１．０*_15・通訳),0)*(1+_15・盲ろう)),0)</f>
        <v>931</v>
      </c>
      <c r="AF165" s="48"/>
    </row>
    <row r="166" spans="1:32" ht="16.5" customHeight="1" x14ac:dyDescent="0.15">
      <c r="A166" s="41">
        <v>15</v>
      </c>
      <c r="B166" s="41" t="s">
        <v>3505</v>
      </c>
      <c r="C166" s="74" t="s">
        <v>28704</v>
      </c>
      <c r="D166" s="72"/>
      <c r="F166" s="57"/>
      <c r="G166" s="72"/>
      <c r="I166" s="57"/>
      <c r="J166" s="72"/>
      <c r="K166" s="168">
        <f>_15_同援日１．０＿１．０＿１．０</f>
        <v>130</v>
      </c>
      <c r="L166" s="57" t="s">
        <v>392</v>
      </c>
      <c r="M166" s="35"/>
      <c r="P166" s="299" t="s">
        <v>17556</v>
      </c>
      <c r="Q166" s="45" t="s">
        <v>398</v>
      </c>
      <c r="R166" s="46">
        <v>1</v>
      </c>
      <c r="S166" s="512"/>
      <c r="T166" s="57"/>
      <c r="U166" s="512"/>
      <c r="V166" s="57"/>
      <c r="W166" s="122" t="s">
        <v>17564</v>
      </c>
      <c r="X166" s="37" t="s">
        <v>398</v>
      </c>
      <c r="Y166" s="38">
        <v>0.25</v>
      </c>
      <c r="Z166" s="79" t="s">
        <v>3575</v>
      </c>
      <c r="AA166" s="122"/>
      <c r="AB166" s="37"/>
      <c r="AC166" s="38"/>
      <c r="AD166" s="79"/>
      <c r="AE166" s="208">
        <f>ROUND((ROUND((ROUND((ROUND((_15_同援日１．０*_15・通訳),0)*_15・２人),0)*(1+_15・A深夜)),0)*(1+_15・盲ろう)),0)+ROUND((ROUND((ROUND((ROUND((_15_同援日１．０＿１．０*_15・通訳),0)*_15・２人),0)*(1+_15・B早朝)),0)*(1+_15・盲ろう)),0)+ROUND((ROUND((ROUND((_15_同援日１．０＿１．０＿１．０*_15・通訳),0)*_15・２人),0)*(1+_15・盲ろう)),0)</f>
        <v>931</v>
      </c>
      <c r="AF166" s="48"/>
    </row>
    <row r="167" spans="1:32" ht="16.5" customHeight="1" x14ac:dyDescent="0.15">
      <c r="A167" s="41">
        <v>15</v>
      </c>
      <c r="B167" s="41" t="s">
        <v>28705</v>
      </c>
      <c r="C167" s="74" t="s">
        <v>28706</v>
      </c>
      <c r="D167" s="72"/>
      <c r="F167" s="57"/>
      <c r="G167" s="72"/>
      <c r="I167" s="57"/>
      <c r="J167" s="72"/>
      <c r="L167" s="57"/>
      <c r="M167" s="35"/>
      <c r="P167" s="299"/>
      <c r="Q167" s="45"/>
      <c r="R167" s="46"/>
      <c r="S167" s="512"/>
      <c r="T167" s="57"/>
      <c r="U167" s="512"/>
      <c r="V167" s="57"/>
      <c r="W167" s="114"/>
      <c r="X167" s="49"/>
      <c r="Y167" s="50"/>
      <c r="Z167" s="115"/>
      <c r="AA167" s="114" t="s">
        <v>17570</v>
      </c>
      <c r="AB167" s="49"/>
      <c r="AC167" s="50"/>
      <c r="AD167" s="115"/>
      <c r="AE167" s="208">
        <f>ROUND((ROUND((ROUND((_15_同援日１．０*_15・通訳),0)*(1+_15・A深夜)),0)*(1+_15・区３)),0)+ROUND((ROUND((ROUND((_15_同援日１．０＿１．０*_15・通訳),0)*(1+_15・B早朝)),0)*(1+_15・区３)),0)+ROUND((ROUND((_15_同援日１．０＿１．０＿１．０*_15・通訳),0)*(1+_15・区３)),0)</f>
        <v>894</v>
      </c>
      <c r="AF167" s="48"/>
    </row>
    <row r="168" spans="1:32" ht="16.5" customHeight="1" x14ac:dyDescent="0.15">
      <c r="A168" s="41">
        <v>15</v>
      </c>
      <c r="B168" s="41" t="s">
        <v>28707</v>
      </c>
      <c r="C168" s="74" t="s">
        <v>28708</v>
      </c>
      <c r="D168" s="72"/>
      <c r="F168" s="57"/>
      <c r="G168" s="72"/>
      <c r="I168" s="57"/>
      <c r="J168" s="72"/>
      <c r="L168" s="57"/>
      <c r="M168" s="35"/>
      <c r="P168" s="299" t="s">
        <v>17556</v>
      </c>
      <c r="Q168" s="45" t="s">
        <v>398</v>
      </c>
      <c r="R168" s="46">
        <v>1</v>
      </c>
      <c r="S168" s="512"/>
      <c r="T168" s="57"/>
      <c r="U168" s="512"/>
      <c r="V168" s="57"/>
      <c r="W168" s="122"/>
      <c r="X168" s="37"/>
      <c r="Y168" s="38"/>
      <c r="Z168" s="79"/>
      <c r="AA168" s="72" t="s">
        <v>17572</v>
      </c>
      <c r="AD168" s="57"/>
      <c r="AE168" s="208">
        <f>ROUND((ROUND((ROUND((ROUND((_15_同援日１．０*_15・通訳),0)*_15・２人),0)*(1+_15・A深夜)),0)*(1+_15・区３)),0)+ROUND((ROUND((ROUND((ROUND((_15_同援日１．０＿１．０*_15・通訳),0)*_15・２人),0)*(1+_15・B早朝)),0)*(1+_15・区３)),0)+ROUND((ROUND((ROUND((_15_同援日１．０＿１．０＿１．０*_15・通訳),0)*_15・２人),0)*(1+_15・区３)),0)</f>
        <v>894</v>
      </c>
      <c r="AF168" s="48"/>
    </row>
    <row r="169" spans="1:32" ht="16.5" customHeight="1" x14ac:dyDescent="0.15">
      <c r="A169" s="41">
        <v>15</v>
      </c>
      <c r="B169" s="41" t="s">
        <v>28709</v>
      </c>
      <c r="C169" s="74" t="s">
        <v>28710</v>
      </c>
      <c r="D169" s="72"/>
      <c r="F169" s="57"/>
      <c r="G169" s="72"/>
      <c r="I169" s="57"/>
      <c r="J169" s="72"/>
      <c r="L169" s="57"/>
      <c r="M169" s="35"/>
      <c r="P169" s="299"/>
      <c r="Q169" s="45"/>
      <c r="R169" s="46"/>
      <c r="S169" s="512"/>
      <c r="T169" s="57"/>
      <c r="U169" s="512"/>
      <c r="V169" s="57"/>
      <c r="W169" s="114" t="s">
        <v>17562</v>
      </c>
      <c r="X169" s="49"/>
      <c r="Y169" s="50"/>
      <c r="Z169" s="115"/>
      <c r="AA169" s="72"/>
      <c r="AB169" s="12" t="s">
        <v>398</v>
      </c>
      <c r="AC169" s="13">
        <v>0.2</v>
      </c>
      <c r="AD169" s="57" t="s">
        <v>3575</v>
      </c>
      <c r="AE169" s="208">
        <f>ROUND((ROUND((ROUND((ROUND((_15_同援日１．０*_15・通訳),0)*(1+_15・A深夜)),0)*(1+_15・盲ろう)),0)*(1+_15・区３)),0)+ROUND((ROUND((ROUND((ROUND((_15_同援日１．０＿１．０*_15・通訳),0)*(1+_15・B早朝)),0)*(1+_15・盲ろう)),0)*(1+_15・区３)),0)+ROUND((ROUND((ROUND((_15_同援日１．０＿１．０＿１．０*_15・通訳),0)*(1+_15・盲ろう)),0)*(1+_15・区３)),0)</f>
        <v>1117</v>
      </c>
      <c r="AF169" s="48"/>
    </row>
    <row r="170" spans="1:32" ht="16.5" customHeight="1" x14ac:dyDescent="0.15">
      <c r="A170" s="41">
        <v>15</v>
      </c>
      <c r="B170" s="41" t="s">
        <v>28711</v>
      </c>
      <c r="C170" s="74" t="s">
        <v>28712</v>
      </c>
      <c r="D170" s="72"/>
      <c r="F170" s="57"/>
      <c r="G170" s="72"/>
      <c r="I170" s="57"/>
      <c r="J170" s="72"/>
      <c r="L170" s="57"/>
      <c r="M170" s="35"/>
      <c r="P170" s="299" t="s">
        <v>17556</v>
      </c>
      <c r="Q170" s="45" t="s">
        <v>398</v>
      </c>
      <c r="R170" s="46">
        <v>1</v>
      </c>
      <c r="S170" s="512"/>
      <c r="T170" s="57"/>
      <c r="U170" s="512"/>
      <c r="V170" s="57"/>
      <c r="W170" s="122" t="s">
        <v>17564</v>
      </c>
      <c r="X170" s="37" t="s">
        <v>398</v>
      </c>
      <c r="Y170" s="38">
        <v>0.25</v>
      </c>
      <c r="Z170" s="79" t="s">
        <v>3575</v>
      </c>
      <c r="AA170" s="122"/>
      <c r="AB170" s="37"/>
      <c r="AC170" s="38"/>
      <c r="AD170" s="79"/>
      <c r="AE170" s="208">
        <f>ROUND((ROUND((ROUND((ROUND((ROUND((_15_同援日１．０*_15・通訳),0)*_15・２人),0)*(1+_15・A深夜)),0)*(1+_15・盲ろう)),0)*(1+_15・区３)),0)+ROUND((ROUND((ROUND((ROUND((ROUND((_15_同援日１．０＿１．０*_15・通訳),0)*_15・２人),0)*(1+_15・B早朝)),0)*(1+_15・盲ろう)),0)*(1+_15・区３)),0)+ROUND((ROUND((ROUND((ROUND((_15_同援日１．０＿１．０＿１．０*_15・通訳),0)*_15・２人),0)*(1+_15・盲ろう)),0)*(1+_15・区３)),0)</f>
        <v>1117</v>
      </c>
      <c r="AF170" s="48"/>
    </row>
    <row r="171" spans="1:32" ht="16.5" customHeight="1" x14ac:dyDescent="0.15">
      <c r="A171" s="41">
        <v>15</v>
      </c>
      <c r="B171" s="41" t="s">
        <v>28713</v>
      </c>
      <c r="C171" s="74" t="s">
        <v>28714</v>
      </c>
      <c r="D171" s="72"/>
      <c r="F171" s="57"/>
      <c r="G171" s="72"/>
      <c r="I171" s="57"/>
      <c r="J171" s="72"/>
      <c r="L171" s="57"/>
      <c r="M171" s="35"/>
      <c r="P171" s="299"/>
      <c r="Q171" s="45"/>
      <c r="R171" s="46"/>
      <c r="S171" s="512"/>
      <c r="T171" s="57"/>
      <c r="U171" s="512"/>
      <c r="V171" s="57"/>
      <c r="W171" s="114"/>
      <c r="X171" s="49"/>
      <c r="Y171" s="50"/>
      <c r="Z171" s="115"/>
      <c r="AA171" s="114" t="s">
        <v>17580</v>
      </c>
      <c r="AB171" s="49"/>
      <c r="AC171" s="50"/>
      <c r="AD171" s="115"/>
      <c r="AE171" s="208">
        <f>ROUND((ROUND((ROUND((_15_同援日１．０*_15・通訳),0)*(1+_15・A深夜)),0)*(1+_15・区４)),0)+ROUND((ROUND((ROUND((_15_同援日１．０＿１．０*_15・通訳),0)*(1+_15・B早朝)),0)*(1+_15・区４)),0)+ROUND((ROUND((_15_同援日１．０＿１．０＿１．０*_15・通訳),0)*(1+_15・区４)),0)</f>
        <v>1043</v>
      </c>
      <c r="AF171" s="48"/>
    </row>
    <row r="172" spans="1:32" ht="16.5" customHeight="1" x14ac:dyDescent="0.15">
      <c r="A172" s="41">
        <v>15</v>
      </c>
      <c r="B172" s="41" t="s">
        <v>28715</v>
      </c>
      <c r="C172" s="74" t="s">
        <v>28716</v>
      </c>
      <c r="D172" s="72"/>
      <c r="F172" s="57"/>
      <c r="G172" s="72"/>
      <c r="I172" s="57"/>
      <c r="J172" s="72"/>
      <c r="L172" s="57"/>
      <c r="M172" s="35"/>
      <c r="P172" s="299" t="s">
        <v>17556</v>
      </c>
      <c r="Q172" s="45" t="s">
        <v>398</v>
      </c>
      <c r="R172" s="46">
        <v>1</v>
      </c>
      <c r="S172" s="512"/>
      <c r="T172" s="57"/>
      <c r="U172" s="512"/>
      <c r="V172" s="57"/>
      <c r="W172" s="122"/>
      <c r="X172" s="37"/>
      <c r="Y172" s="38"/>
      <c r="Z172" s="79"/>
      <c r="AA172" s="72" t="s">
        <v>17572</v>
      </c>
      <c r="AD172" s="57"/>
      <c r="AE172" s="208">
        <f>ROUND((ROUND((ROUND((ROUND((_15_同援日１．０*_15・通訳),0)*_15・２人),0)*(1+_15・A深夜)),0)*(1+_15・区４)),0)+ROUND((ROUND((ROUND((ROUND((_15_同援日１．０＿１．０*_15・通訳),0)*_15・２人),0)*(1+_15・B早朝)),0)*(1+_15・区４)),0)+ROUND((ROUND((ROUND((_15_同援日１．０＿１．０＿１．０*_15・通訳),0)*_15・２人),0)*(1+_15・区４)),0)</f>
        <v>1043</v>
      </c>
      <c r="AF172" s="48"/>
    </row>
    <row r="173" spans="1:32" ht="16.5" customHeight="1" x14ac:dyDescent="0.15">
      <c r="A173" s="41">
        <v>15</v>
      </c>
      <c r="B173" s="41" t="s">
        <v>28717</v>
      </c>
      <c r="C173" s="74" t="s">
        <v>28718</v>
      </c>
      <c r="D173" s="72"/>
      <c r="F173" s="57"/>
      <c r="G173" s="72"/>
      <c r="I173" s="57"/>
      <c r="J173" s="72"/>
      <c r="L173" s="57"/>
      <c r="M173" s="35"/>
      <c r="P173" s="299"/>
      <c r="Q173" s="45"/>
      <c r="R173" s="46"/>
      <c r="S173" s="512"/>
      <c r="T173" s="57"/>
      <c r="U173" s="512"/>
      <c r="V173" s="57"/>
      <c r="W173" s="114" t="s">
        <v>17562</v>
      </c>
      <c r="X173" s="49"/>
      <c r="Y173" s="50"/>
      <c r="Z173" s="115"/>
      <c r="AA173" s="72"/>
      <c r="AB173" s="12" t="s">
        <v>398</v>
      </c>
      <c r="AC173" s="13">
        <v>0.4</v>
      </c>
      <c r="AD173" s="57" t="s">
        <v>3575</v>
      </c>
      <c r="AE173" s="208">
        <f>ROUND((ROUND((ROUND((ROUND((_15_同援日１．０*_15・通訳),0)*(1+_15・A深夜)),0)*(1+_15・盲ろう)),0)*(1+_15・区４)),0)+ROUND((ROUND((ROUND((ROUND((_15_同援日１．０＿１．０*_15・通訳),0)*(1+_15・B早朝)),0)*(1+_15・盲ろう)),0)*(1+_15・区４)),0)+ROUND((ROUND((ROUND((_15_同援日１．０＿１．０＿１．０*_15・通訳),0)*(1+_15・盲ろう)),0)*(1+_15・区４)),0)</f>
        <v>1303</v>
      </c>
      <c r="AF173" s="48"/>
    </row>
    <row r="174" spans="1:32" ht="16.5" customHeight="1" x14ac:dyDescent="0.15">
      <c r="A174" s="41">
        <v>15</v>
      </c>
      <c r="B174" s="41" t="s">
        <v>28719</v>
      </c>
      <c r="C174" s="74" t="s">
        <v>28720</v>
      </c>
      <c r="D174" s="72"/>
      <c r="F174" s="57"/>
      <c r="G174" s="122"/>
      <c r="H174" s="37"/>
      <c r="I174" s="79"/>
      <c r="J174" s="122"/>
      <c r="K174" s="37"/>
      <c r="L174" s="79"/>
      <c r="M174" s="35"/>
      <c r="P174" s="299" t="s">
        <v>17556</v>
      </c>
      <c r="Q174" s="45" t="s">
        <v>398</v>
      </c>
      <c r="R174" s="46">
        <v>1</v>
      </c>
      <c r="S174" s="512"/>
      <c r="T174" s="57"/>
      <c r="U174" s="512"/>
      <c r="V174" s="57"/>
      <c r="W174" s="122" t="s">
        <v>17564</v>
      </c>
      <c r="X174" s="37" t="s">
        <v>398</v>
      </c>
      <c r="Y174" s="38">
        <v>0.25</v>
      </c>
      <c r="Z174" s="79" t="s">
        <v>3575</v>
      </c>
      <c r="AA174" s="122"/>
      <c r="AB174" s="37"/>
      <c r="AC174" s="38"/>
      <c r="AD174" s="79"/>
      <c r="AE174" s="208">
        <f>ROUND((ROUND((ROUND((ROUND((ROUND((_15_同援日１．０*_15・通訳),0)*_15・２人),0)*(1+_15・A深夜)),0)*(1+_15・盲ろう)),0)*(1+_15・区４)),0)+ROUND((ROUND((ROUND((ROUND((ROUND((_15_同援日１．０＿１．０*_15・通訳),0)*_15・２人),0)*(1+_15・B早朝)),0)*(1+_15・盲ろう)),0)*(1+_15・区４)),0)+ROUND((ROUND((ROUND((ROUND((_15_同援日１．０＿１．０＿１．０*_15・通訳),0)*_15・２人),0)*(1+_15・盲ろう)),0)*(1+_15・区４)),0)</f>
        <v>1303</v>
      </c>
      <c r="AF174" s="48"/>
    </row>
    <row r="175" spans="1:32" ht="16.5" customHeight="1" x14ac:dyDescent="0.15">
      <c r="A175" s="41">
        <v>15</v>
      </c>
      <c r="B175" s="41" t="s">
        <v>3510</v>
      </c>
      <c r="C175" s="74" t="s">
        <v>28721</v>
      </c>
      <c r="D175" s="72"/>
      <c r="F175" s="57"/>
      <c r="G175" s="114" t="s">
        <v>18871</v>
      </c>
      <c r="H175" s="49"/>
      <c r="I175" s="115"/>
      <c r="J175" s="114" t="s">
        <v>21813</v>
      </c>
      <c r="K175" s="49"/>
      <c r="L175" s="115"/>
      <c r="M175" s="35"/>
      <c r="P175" s="299"/>
      <c r="Q175" s="45"/>
      <c r="R175" s="46"/>
      <c r="S175" s="512"/>
      <c r="T175" s="57"/>
      <c r="U175" s="512"/>
      <c r="V175" s="57"/>
      <c r="W175" s="114"/>
      <c r="X175" s="49"/>
      <c r="Y175" s="50"/>
      <c r="Z175" s="115"/>
      <c r="AA175" s="114"/>
      <c r="AB175" s="49"/>
      <c r="AC175" s="50"/>
      <c r="AD175" s="115"/>
      <c r="AE175" s="208">
        <f>ROUND((ROUND((_15_同援日１．０*_15・通訳),0)*(1+_15・A深夜)),0)+ROUND((ROUND((_15_同援日１．０＿１．５*_15・通訳),0)*(1+_15・B早朝)),0)+ROUND((_15_同援日１．０＿１．５＿０．５*_15・通訳),0)</f>
        <v>760</v>
      </c>
      <c r="AF175" s="48"/>
    </row>
    <row r="176" spans="1:32" ht="16.5" customHeight="1" x14ac:dyDescent="0.15">
      <c r="A176" s="41">
        <v>15</v>
      </c>
      <c r="B176" s="41" t="s">
        <v>3512</v>
      </c>
      <c r="C176" s="74" t="s">
        <v>28722</v>
      </c>
      <c r="D176" s="72"/>
      <c r="F176" s="57"/>
      <c r="G176" s="72" t="s">
        <v>17616</v>
      </c>
      <c r="I176" s="57"/>
      <c r="J176" s="72" t="s">
        <v>18259</v>
      </c>
      <c r="L176" s="57"/>
      <c r="M176" s="35"/>
      <c r="P176" s="299" t="s">
        <v>17556</v>
      </c>
      <c r="Q176" s="45" t="s">
        <v>398</v>
      </c>
      <c r="R176" s="46">
        <v>1</v>
      </c>
      <c r="S176" s="512"/>
      <c r="T176" s="57"/>
      <c r="U176" s="512"/>
      <c r="V176" s="57"/>
      <c r="W176" s="122"/>
      <c r="X176" s="37"/>
      <c r="Y176" s="38"/>
      <c r="Z176" s="79"/>
      <c r="AA176" s="72"/>
      <c r="AD176" s="57"/>
      <c r="AE176" s="208">
        <f>ROUND((ROUND((ROUND((_15_同援日１．０*_15・通訳),0)*_15・２人),0)*(1+_15・A深夜)),0)+ROUND((ROUND((ROUND((_15_同援日１．０＿１．５*_15・通訳),0)*_15・２人),0)*(1+_15・B早朝)),0)+ROUND((ROUND((_15_同援日１．０＿１．５＿０．５*_15・通訳),0)*_15・２人),0)</f>
        <v>760</v>
      </c>
      <c r="AF176" s="48"/>
    </row>
    <row r="177" spans="1:32" ht="16.5" customHeight="1" x14ac:dyDescent="0.15">
      <c r="A177" s="41">
        <v>15</v>
      </c>
      <c r="B177" s="41" t="s">
        <v>28723</v>
      </c>
      <c r="C177" s="74" t="s">
        <v>28724</v>
      </c>
      <c r="D177" s="72"/>
      <c r="F177" s="57"/>
      <c r="G177" s="72" t="s">
        <v>18183</v>
      </c>
      <c r="I177" s="57"/>
      <c r="J177" s="72"/>
      <c r="L177" s="57"/>
      <c r="M177" s="35"/>
      <c r="P177" s="299"/>
      <c r="Q177" s="45"/>
      <c r="R177" s="46"/>
      <c r="S177" s="512"/>
      <c r="T177" s="57"/>
      <c r="U177" s="512"/>
      <c r="V177" s="57"/>
      <c r="W177" s="114" t="s">
        <v>17562</v>
      </c>
      <c r="X177" s="49"/>
      <c r="Y177" s="50"/>
      <c r="Z177" s="115"/>
      <c r="AA177" s="72"/>
      <c r="AD177" s="57"/>
      <c r="AE177" s="208">
        <f>ROUND((ROUND((ROUND((_15_同援日１．０*_15・通訳),0)*(1+_15・A深夜)),0)*(1+_15・盲ろう)),0)+ROUND((ROUND((ROUND((_15_同援日１．０＿１．５*_15・通訳),0)*(1+_15・B早朝)),0)*(1+_15・盲ろう)),0)+ROUND((ROUND((_15_同援日１．０＿１．５＿０．５*_15・通訳),0)*(1+_15・盲ろう)),0)</f>
        <v>950</v>
      </c>
      <c r="AF177" s="48"/>
    </row>
    <row r="178" spans="1:32" ht="16.5" customHeight="1" x14ac:dyDescent="0.15">
      <c r="A178" s="41">
        <v>15</v>
      </c>
      <c r="B178" s="41" t="s">
        <v>28725</v>
      </c>
      <c r="C178" s="74" t="s">
        <v>28726</v>
      </c>
      <c r="D178" s="72"/>
      <c r="F178" s="57"/>
      <c r="G178" s="72"/>
      <c r="H178" s="168">
        <f>_15_同援日１．０＿１．５</f>
        <v>263</v>
      </c>
      <c r="I178" s="57" t="s">
        <v>392</v>
      </c>
      <c r="J178" s="72"/>
      <c r="K178" s="168">
        <f>_15_同援日１．０＿１．５＿０．５</f>
        <v>65</v>
      </c>
      <c r="L178" s="57" t="s">
        <v>392</v>
      </c>
      <c r="M178" s="35"/>
      <c r="P178" s="299" t="s">
        <v>17556</v>
      </c>
      <c r="Q178" s="45" t="s">
        <v>398</v>
      </c>
      <c r="R178" s="46">
        <v>1</v>
      </c>
      <c r="S178" s="512"/>
      <c r="T178" s="57"/>
      <c r="U178" s="512"/>
      <c r="V178" s="57"/>
      <c r="W178" s="122" t="s">
        <v>17564</v>
      </c>
      <c r="X178" s="37" t="s">
        <v>398</v>
      </c>
      <c r="Y178" s="38">
        <v>0.25</v>
      </c>
      <c r="Z178" s="79" t="s">
        <v>3575</v>
      </c>
      <c r="AA178" s="122"/>
      <c r="AB178" s="37"/>
      <c r="AC178" s="38"/>
      <c r="AD178" s="79"/>
      <c r="AE178" s="208">
        <f>ROUND((ROUND((ROUND((ROUND((_15_同援日１．０*_15・通訳),0)*_15・２人),0)*(1+_15・A深夜)),0)*(1+_15・盲ろう)),0)+ROUND((ROUND((ROUND((ROUND((_15_同援日１．０＿１．５*_15・通訳),0)*_15・２人),0)*(1+_15・B早朝)),0)*(1+_15・盲ろう)),0)+ROUND((ROUND((ROUND((_15_同援日１．０＿１．５＿０．５*_15・通訳),0)*_15・２人),0)*(1+_15・盲ろう)),0)</f>
        <v>950</v>
      </c>
      <c r="AF178" s="48"/>
    </row>
    <row r="179" spans="1:32" ht="16.5" customHeight="1" x14ac:dyDescent="0.15">
      <c r="A179" s="41">
        <v>15</v>
      </c>
      <c r="B179" s="41" t="s">
        <v>28727</v>
      </c>
      <c r="C179" s="74" t="s">
        <v>28728</v>
      </c>
      <c r="D179" s="72"/>
      <c r="F179" s="57"/>
      <c r="G179" s="72"/>
      <c r="I179" s="57"/>
      <c r="J179" s="72"/>
      <c r="L179" s="57"/>
      <c r="M179" s="35"/>
      <c r="P179" s="299"/>
      <c r="Q179" s="45"/>
      <c r="R179" s="46"/>
      <c r="S179" s="512"/>
      <c r="T179" s="57"/>
      <c r="U179" s="512"/>
      <c r="V179" s="57"/>
      <c r="W179" s="114"/>
      <c r="X179" s="49"/>
      <c r="Y179" s="50"/>
      <c r="Z179" s="115"/>
      <c r="AA179" s="114" t="s">
        <v>17570</v>
      </c>
      <c r="AB179" s="49"/>
      <c r="AC179" s="50"/>
      <c r="AD179" s="115"/>
      <c r="AE179" s="208">
        <f>ROUND((ROUND((ROUND((_15_同援日１．０*_15・通訳),0)*(1+_15・A深夜)),0)*(1+_15・区３)),0)+ROUND((ROUND((ROUND((_15_同援日１．０＿１．５*_15・通訳),0)*(1+_15・B早朝)),0)*(1+_15・区３)),0)+ROUND((ROUND((_15_同援日１．０＿１．５＿０．５*_15・通訳),0)*(1+_15・区３)),0)</f>
        <v>912</v>
      </c>
      <c r="AF179" s="48"/>
    </row>
    <row r="180" spans="1:32" ht="16.5" customHeight="1" x14ac:dyDescent="0.15">
      <c r="A180" s="41">
        <v>15</v>
      </c>
      <c r="B180" s="41" t="s">
        <v>28729</v>
      </c>
      <c r="C180" s="74" t="s">
        <v>28730</v>
      </c>
      <c r="D180" s="72"/>
      <c r="F180" s="57"/>
      <c r="G180" s="72"/>
      <c r="I180" s="57"/>
      <c r="J180" s="72"/>
      <c r="L180" s="57"/>
      <c r="M180" s="35"/>
      <c r="P180" s="299" t="s">
        <v>17556</v>
      </c>
      <c r="Q180" s="45" t="s">
        <v>398</v>
      </c>
      <c r="R180" s="46">
        <v>1</v>
      </c>
      <c r="S180" s="512"/>
      <c r="T180" s="57"/>
      <c r="U180" s="512"/>
      <c r="V180" s="57"/>
      <c r="W180" s="122"/>
      <c r="X180" s="37"/>
      <c r="Y180" s="38"/>
      <c r="Z180" s="79"/>
      <c r="AA180" s="72" t="s">
        <v>17572</v>
      </c>
      <c r="AD180" s="57"/>
      <c r="AE180" s="208">
        <f>ROUND((ROUND((ROUND((ROUND((_15_同援日１．０*_15・通訳),0)*_15・２人),0)*(1+_15・A深夜)),0)*(1+_15・区３)),0)+ROUND((ROUND((ROUND((ROUND((_15_同援日１．０＿１．５*_15・通訳),0)*_15・２人),0)*(1+_15・B早朝)),0)*(1+_15・区３)),0)+ROUND((ROUND((ROUND((_15_同援日１．０＿１．５＿０．５*_15・通訳),0)*_15・２人),0)*(1+_15・区３)),0)</f>
        <v>912</v>
      </c>
      <c r="AF180" s="48"/>
    </row>
    <row r="181" spans="1:32" ht="16.5" customHeight="1" x14ac:dyDescent="0.15">
      <c r="A181" s="41">
        <v>15</v>
      </c>
      <c r="B181" s="41" t="s">
        <v>28731</v>
      </c>
      <c r="C181" s="74" t="s">
        <v>28732</v>
      </c>
      <c r="D181" s="72"/>
      <c r="F181" s="57"/>
      <c r="G181" s="72"/>
      <c r="I181" s="57"/>
      <c r="J181" s="72"/>
      <c r="L181" s="57"/>
      <c r="M181" s="35"/>
      <c r="P181" s="299"/>
      <c r="Q181" s="45"/>
      <c r="R181" s="46"/>
      <c r="S181" s="512"/>
      <c r="T181" s="57"/>
      <c r="U181" s="512"/>
      <c r="V181" s="57"/>
      <c r="W181" s="114" t="s">
        <v>17562</v>
      </c>
      <c r="X181" s="49"/>
      <c r="Y181" s="50"/>
      <c r="Z181" s="115"/>
      <c r="AA181" s="72"/>
      <c r="AB181" s="12" t="s">
        <v>398</v>
      </c>
      <c r="AC181" s="13">
        <v>0.2</v>
      </c>
      <c r="AD181" s="57" t="s">
        <v>3575</v>
      </c>
      <c r="AE181" s="208">
        <f>ROUND((ROUND((ROUND((ROUND((_15_同援日１．０*_15・通訳),0)*(1+_15・A深夜)),0)*(1+_15・盲ろう)),0)*(1+_15・区３)),0)+ROUND((ROUND((ROUND((ROUND((_15_同援日１．０＿１．５*_15・通訳),0)*(1+_15・B早朝)),0)*(1+_15・盲ろう)),0)*(1+_15・区３)),0)+ROUND((ROUND((ROUND((_15_同援日１．０＿１．５＿０．５*_15・通訳),0)*(1+_15・盲ろう)),0)*(1+_15・区３)),0)</f>
        <v>1140</v>
      </c>
      <c r="AF181" s="48"/>
    </row>
    <row r="182" spans="1:32" ht="16.5" customHeight="1" x14ac:dyDescent="0.15">
      <c r="A182" s="41">
        <v>15</v>
      </c>
      <c r="B182" s="41" t="s">
        <v>28733</v>
      </c>
      <c r="C182" s="74" t="s">
        <v>28734</v>
      </c>
      <c r="D182" s="72"/>
      <c r="F182" s="57"/>
      <c r="G182" s="72"/>
      <c r="I182" s="57"/>
      <c r="J182" s="72"/>
      <c r="L182" s="57"/>
      <c r="M182" s="35"/>
      <c r="P182" s="299" t="s">
        <v>17556</v>
      </c>
      <c r="Q182" s="45" t="s">
        <v>398</v>
      </c>
      <c r="R182" s="46">
        <v>1</v>
      </c>
      <c r="S182" s="512"/>
      <c r="T182" s="57"/>
      <c r="U182" s="512"/>
      <c r="V182" s="57"/>
      <c r="W182" s="122" t="s">
        <v>17564</v>
      </c>
      <c r="X182" s="37" t="s">
        <v>398</v>
      </c>
      <c r="Y182" s="38">
        <v>0.25</v>
      </c>
      <c r="Z182" s="79" t="s">
        <v>3575</v>
      </c>
      <c r="AA182" s="122"/>
      <c r="AB182" s="37"/>
      <c r="AC182" s="38"/>
      <c r="AD182" s="79"/>
      <c r="AE182" s="208">
        <f>ROUND((ROUND((ROUND((ROUND((ROUND((_15_同援日１．０*_15・通訳),0)*_15・２人),0)*(1+_15・A深夜)),0)*(1+_15・盲ろう)),0)*(1+_15・区３)),0)+ROUND((ROUND((ROUND((ROUND((ROUND((_15_同援日１．０＿１．５*_15・通訳),0)*_15・２人),0)*(1+_15・B早朝)),0)*(1+_15・盲ろう)),0)*(1+_15・区３)),0)+ROUND((ROUND((ROUND((ROUND((_15_同援日１．０＿１．５＿０．５*_15・通訳),0)*_15・２人),0)*(1+_15・盲ろう)),0)*(1+_15・区３)),0)</f>
        <v>1140</v>
      </c>
      <c r="AF182" s="48"/>
    </row>
    <row r="183" spans="1:32" ht="16.5" customHeight="1" x14ac:dyDescent="0.15">
      <c r="A183" s="41">
        <v>15</v>
      </c>
      <c r="B183" s="41" t="s">
        <v>28735</v>
      </c>
      <c r="C183" s="74" t="s">
        <v>28736</v>
      </c>
      <c r="D183" s="72"/>
      <c r="F183" s="57"/>
      <c r="G183" s="72"/>
      <c r="I183" s="57"/>
      <c r="J183" s="72"/>
      <c r="L183" s="57"/>
      <c r="M183" s="35"/>
      <c r="P183" s="299"/>
      <c r="Q183" s="45"/>
      <c r="R183" s="46"/>
      <c r="S183" s="512"/>
      <c r="T183" s="57"/>
      <c r="U183" s="512"/>
      <c r="V183" s="57"/>
      <c r="W183" s="114"/>
      <c r="X183" s="49"/>
      <c r="Y183" s="50"/>
      <c r="Z183" s="115"/>
      <c r="AA183" s="114" t="s">
        <v>17580</v>
      </c>
      <c r="AB183" s="49"/>
      <c r="AC183" s="50"/>
      <c r="AD183" s="115"/>
      <c r="AE183" s="208">
        <f>ROUND((ROUND((ROUND((_15_同援日１．０*_15・通訳),0)*(1+_15・A深夜)),0)*(1+_15・区４)),0)+ROUND((ROUND((ROUND((_15_同援日１．０＿１．５*_15・通訳),0)*(1+_15・B早朝)),0)*(1+_15・区４)),0)+ROUND((ROUND((_15_同援日１．０＿１．５＿０．５*_15・通訳),0)*(1+_15・区４)),0)</f>
        <v>1064</v>
      </c>
      <c r="AF183" s="48"/>
    </row>
    <row r="184" spans="1:32" ht="16.5" customHeight="1" x14ac:dyDescent="0.15">
      <c r="A184" s="41">
        <v>15</v>
      </c>
      <c r="B184" s="41" t="s">
        <v>28737</v>
      </c>
      <c r="C184" s="74" t="s">
        <v>28738</v>
      </c>
      <c r="D184" s="72"/>
      <c r="F184" s="57"/>
      <c r="G184" s="72"/>
      <c r="I184" s="57"/>
      <c r="J184" s="72"/>
      <c r="L184" s="57"/>
      <c r="M184" s="35"/>
      <c r="P184" s="299" t="s">
        <v>17556</v>
      </c>
      <c r="Q184" s="45" t="s">
        <v>398</v>
      </c>
      <c r="R184" s="46">
        <v>1</v>
      </c>
      <c r="S184" s="512"/>
      <c r="T184" s="57"/>
      <c r="U184" s="512"/>
      <c r="V184" s="57"/>
      <c r="W184" s="122"/>
      <c r="X184" s="37"/>
      <c r="Y184" s="38"/>
      <c r="Z184" s="79"/>
      <c r="AA184" s="72" t="s">
        <v>17572</v>
      </c>
      <c r="AD184" s="57"/>
      <c r="AE184" s="208">
        <f>ROUND((ROUND((ROUND((ROUND((_15_同援日１．０*_15・通訳),0)*_15・２人),0)*(1+_15・A深夜)),0)*(1+_15・区４)),0)+ROUND((ROUND((ROUND((ROUND((_15_同援日１．０＿１．５*_15・通訳),0)*_15・２人),0)*(1+_15・B早朝)),0)*(1+_15・区４)),0)+ROUND((ROUND((ROUND((_15_同援日１．０＿１．５＿０．５*_15・通訳),0)*_15・２人),0)*(1+_15・区４)),0)</f>
        <v>1064</v>
      </c>
      <c r="AF184" s="48"/>
    </row>
    <row r="185" spans="1:32" ht="16.5" customHeight="1" x14ac:dyDescent="0.15">
      <c r="A185" s="41">
        <v>15</v>
      </c>
      <c r="B185" s="41" t="s">
        <v>3517</v>
      </c>
      <c r="C185" s="74" t="s">
        <v>28739</v>
      </c>
      <c r="D185" s="72"/>
      <c r="F185" s="57"/>
      <c r="G185" s="72"/>
      <c r="I185" s="57"/>
      <c r="J185" s="72"/>
      <c r="L185" s="57"/>
      <c r="M185" s="35"/>
      <c r="P185" s="299"/>
      <c r="Q185" s="45"/>
      <c r="R185" s="46"/>
      <c r="S185" s="512"/>
      <c r="T185" s="57"/>
      <c r="U185" s="512"/>
      <c r="V185" s="57"/>
      <c r="W185" s="114" t="s">
        <v>17562</v>
      </c>
      <c r="X185" s="49"/>
      <c r="Y185" s="50"/>
      <c r="Z185" s="115"/>
      <c r="AA185" s="72"/>
      <c r="AB185" s="12" t="s">
        <v>398</v>
      </c>
      <c r="AC185" s="13">
        <v>0.4</v>
      </c>
      <c r="AD185" s="57" t="s">
        <v>3575</v>
      </c>
      <c r="AE185" s="208">
        <f>ROUND((ROUND((ROUND((ROUND((_15_同援日１．０*_15・通訳),0)*(1+_15・A深夜)),0)*(1+_15・盲ろう)),0)*(1+_15・区４)),0)+ROUND((ROUND((ROUND((ROUND((_15_同援日１．０＿１．５*_15・通訳),0)*(1+_15・B早朝)),0)*(1+_15・盲ろう)),0)*(1+_15・区４)),0)+ROUND((ROUND((ROUND((_15_同援日１．０＿１．５＿０．５*_15・通訳),0)*(1+_15・盲ろう)),0)*(1+_15・区４)),0)</f>
        <v>1330</v>
      </c>
      <c r="AF185" s="48"/>
    </row>
    <row r="186" spans="1:32" ht="16.5" customHeight="1" x14ac:dyDescent="0.15">
      <c r="A186" s="41">
        <v>15</v>
      </c>
      <c r="B186" s="41" t="s">
        <v>3519</v>
      </c>
      <c r="C186" s="74" t="s">
        <v>28740</v>
      </c>
      <c r="D186" s="122"/>
      <c r="E186" s="37"/>
      <c r="F186" s="79"/>
      <c r="G186" s="122"/>
      <c r="H186" s="37"/>
      <c r="I186" s="79"/>
      <c r="J186" s="122"/>
      <c r="K186" s="37"/>
      <c r="L186" s="79"/>
      <c r="M186" s="35"/>
      <c r="P186" s="299" t="s">
        <v>17556</v>
      </c>
      <c r="Q186" s="45" t="s">
        <v>398</v>
      </c>
      <c r="R186" s="46">
        <v>1</v>
      </c>
      <c r="S186" s="512"/>
      <c r="T186" s="57"/>
      <c r="U186" s="512"/>
      <c r="V186" s="57"/>
      <c r="W186" s="122" t="s">
        <v>17564</v>
      </c>
      <c r="X186" s="37" t="s">
        <v>398</v>
      </c>
      <c r="Y186" s="38">
        <v>0.25</v>
      </c>
      <c r="Z186" s="79" t="s">
        <v>3575</v>
      </c>
      <c r="AA186" s="122"/>
      <c r="AB186" s="37"/>
      <c r="AC186" s="38"/>
      <c r="AD186" s="79"/>
      <c r="AE186" s="208">
        <f>ROUND((ROUND((ROUND((ROUND((ROUND((_15_同援日１．０*_15・通訳),0)*_15・２人),0)*(1+_15・A深夜)),0)*(1+_15・盲ろう)),0)*(1+_15・区４)),0)+ROUND((ROUND((ROUND((ROUND((ROUND((_15_同援日１．０＿１．５*_15・通訳),0)*_15・２人),0)*(1+_15・B早朝)),0)*(1+_15・盲ろう)),0)*(1+_15・区４)),0)+ROUND((ROUND((ROUND((ROUND((_15_同援日１．０＿１．５＿０．５*_15・通訳),0)*_15・２人),0)*(1+_15・盲ろう)),0)*(1+_15・区４)),0)</f>
        <v>1330</v>
      </c>
      <c r="AF186" s="48"/>
    </row>
    <row r="187" spans="1:32" ht="16.5" customHeight="1" x14ac:dyDescent="0.15">
      <c r="A187" s="41">
        <v>15</v>
      </c>
      <c r="B187" s="41" t="s">
        <v>28741</v>
      </c>
      <c r="C187" s="74" t="s">
        <v>28742</v>
      </c>
      <c r="D187" s="114" t="s">
        <v>18538</v>
      </c>
      <c r="E187" s="49"/>
      <c r="F187" s="115"/>
      <c r="G187" s="114" t="s">
        <v>18819</v>
      </c>
      <c r="H187" s="49"/>
      <c r="I187" s="115"/>
      <c r="J187" s="114" t="s">
        <v>19919</v>
      </c>
      <c r="K187" s="49"/>
      <c r="L187" s="115"/>
      <c r="M187" s="35"/>
      <c r="P187" s="299"/>
      <c r="Q187" s="45"/>
      <c r="R187" s="46"/>
      <c r="S187" s="512"/>
      <c r="T187" s="57"/>
      <c r="U187" s="512"/>
      <c r="V187" s="57"/>
      <c r="W187" s="114"/>
      <c r="X187" s="49"/>
      <c r="Y187" s="50"/>
      <c r="Z187" s="115"/>
      <c r="AA187" s="114"/>
      <c r="AB187" s="49"/>
      <c r="AC187" s="50"/>
      <c r="AD187" s="115"/>
      <c r="AE187" s="208">
        <f>ROUND((ROUND((_15_同援日１．５*_15・通訳),0)*(1+_15・A深夜)),0)+ROUND((ROUND((_15_同援日１．５＿０．５*_15・通訳),0)*(1+_15・B早朝)),0)+ROUND((_15_同援日１．５＿０．５＿０．５*_15・通訳),0)</f>
        <v>718</v>
      </c>
      <c r="AF187" s="48"/>
    </row>
    <row r="188" spans="1:32" ht="16.5" customHeight="1" x14ac:dyDescent="0.15">
      <c r="A188" s="41">
        <v>15</v>
      </c>
      <c r="B188" s="41" t="s">
        <v>28743</v>
      </c>
      <c r="C188" s="74" t="s">
        <v>28744</v>
      </c>
      <c r="D188" s="72" t="s">
        <v>17616</v>
      </c>
      <c r="F188" s="57"/>
      <c r="G188" s="72" t="s">
        <v>18259</v>
      </c>
      <c r="I188" s="57"/>
      <c r="J188" s="72" t="s">
        <v>18259</v>
      </c>
      <c r="L188" s="57"/>
      <c r="M188" s="35"/>
      <c r="P188" s="299" t="s">
        <v>17556</v>
      </c>
      <c r="Q188" s="45" t="s">
        <v>398</v>
      </c>
      <c r="R188" s="46">
        <v>1</v>
      </c>
      <c r="S188" s="512"/>
      <c r="T188" s="57"/>
      <c r="U188" s="512"/>
      <c r="V188" s="57"/>
      <c r="W188" s="122"/>
      <c r="X188" s="37"/>
      <c r="Y188" s="38"/>
      <c r="Z188" s="79"/>
      <c r="AA188" s="72"/>
      <c r="AD188" s="57"/>
      <c r="AE188" s="208">
        <f>ROUND((ROUND((ROUND((_15_同援日１．５*_15・通訳),0)*_15・２人),0)*(1+_15・A深夜)),0)+ROUND((ROUND((ROUND((_15_同援日１．５＿０．５*_15・通訳),0)*_15・２人),0)*(1+_15・B早朝)),0)+ROUND((ROUND((_15_同援日１．５＿０．５＿０．５*_15・通訳),0)*_15・２人),0)</f>
        <v>718</v>
      </c>
      <c r="AF188" s="48"/>
    </row>
    <row r="189" spans="1:32" ht="16.5" customHeight="1" x14ac:dyDescent="0.15">
      <c r="A189" s="41">
        <v>15</v>
      </c>
      <c r="B189" s="41" t="s">
        <v>28745</v>
      </c>
      <c r="C189" s="74" t="s">
        <v>28746</v>
      </c>
      <c r="D189" s="72" t="s">
        <v>18183</v>
      </c>
      <c r="F189" s="57"/>
      <c r="G189" s="72"/>
      <c r="I189" s="57"/>
      <c r="J189" s="72"/>
      <c r="L189" s="57"/>
      <c r="M189" s="35"/>
      <c r="P189" s="299"/>
      <c r="Q189" s="45"/>
      <c r="R189" s="46"/>
      <c r="S189" s="512"/>
      <c r="T189" s="57"/>
      <c r="U189" s="512"/>
      <c r="V189" s="57"/>
      <c r="W189" s="114" t="s">
        <v>17562</v>
      </c>
      <c r="X189" s="49"/>
      <c r="Y189" s="50"/>
      <c r="Z189" s="115"/>
      <c r="AA189" s="72"/>
      <c r="AD189" s="57"/>
      <c r="AE189" s="208">
        <f>ROUND((ROUND((ROUND((_15_同援日１．５*_15・通訳),0)*(1+_15・A深夜)),0)*(1+_15・盲ろう)),0)+ROUND((ROUND((ROUND((_15_同援日１．５＿０．５*_15・通訳),0)*(1+_15・B早朝)),0)*(1+_15・盲ろう)),0)+ROUND((ROUND((_15_同援日１．５＿０．５＿０．５*_15・通訳),0)*(1+_15・盲ろう)),0)</f>
        <v>898</v>
      </c>
      <c r="AF189" s="48"/>
    </row>
    <row r="190" spans="1:32" ht="16.5" customHeight="1" x14ac:dyDescent="0.15">
      <c r="A190" s="41">
        <v>15</v>
      </c>
      <c r="B190" s="41" t="s">
        <v>28747</v>
      </c>
      <c r="C190" s="74" t="s">
        <v>28748</v>
      </c>
      <c r="D190" s="72"/>
      <c r="E190" s="168">
        <f>_15_同援日１．５</f>
        <v>433</v>
      </c>
      <c r="F190" s="57" t="s">
        <v>392</v>
      </c>
      <c r="G190" s="72"/>
      <c r="H190" s="168">
        <f>_15_同援日１．５＿０．５</f>
        <v>65</v>
      </c>
      <c r="I190" s="57" t="s">
        <v>392</v>
      </c>
      <c r="J190" s="72"/>
      <c r="K190" s="168">
        <f>_15_同援日１．５＿０．５＿０．５</f>
        <v>65</v>
      </c>
      <c r="L190" s="57" t="s">
        <v>392</v>
      </c>
      <c r="M190" s="35"/>
      <c r="P190" s="299" t="s">
        <v>17556</v>
      </c>
      <c r="Q190" s="45" t="s">
        <v>398</v>
      </c>
      <c r="R190" s="46">
        <v>1</v>
      </c>
      <c r="S190" s="512"/>
      <c r="T190" s="57"/>
      <c r="U190" s="512"/>
      <c r="V190" s="57"/>
      <c r="W190" s="122" t="s">
        <v>17564</v>
      </c>
      <c r="X190" s="37" t="s">
        <v>398</v>
      </c>
      <c r="Y190" s="38">
        <v>0.25</v>
      </c>
      <c r="Z190" s="79" t="s">
        <v>3575</v>
      </c>
      <c r="AA190" s="122"/>
      <c r="AB190" s="37"/>
      <c r="AC190" s="38"/>
      <c r="AD190" s="79"/>
      <c r="AE190" s="208">
        <f>ROUND((ROUND((ROUND((ROUND((_15_同援日１．５*_15・通訳),0)*_15・２人),0)*(1+_15・A深夜)),0)*(1+_15・盲ろう)),0)+ROUND((ROUND((ROUND((ROUND((_15_同援日１．５＿０．５*_15・通訳),0)*_15・２人),0)*(1+_15・B早朝)),0)*(1+_15・盲ろう)),0)+ROUND((ROUND((ROUND((_15_同援日１．５＿０．５＿０．５*_15・通訳),0)*_15・２人),0)*(1+_15・盲ろう)),0)</f>
        <v>898</v>
      </c>
      <c r="AF190" s="48"/>
    </row>
    <row r="191" spans="1:32" ht="16.5" customHeight="1" x14ac:dyDescent="0.15">
      <c r="A191" s="41">
        <v>15</v>
      </c>
      <c r="B191" s="41" t="s">
        <v>28749</v>
      </c>
      <c r="C191" s="74" t="s">
        <v>28750</v>
      </c>
      <c r="D191" s="72"/>
      <c r="F191" s="57"/>
      <c r="G191" s="72"/>
      <c r="I191" s="57"/>
      <c r="J191" s="72"/>
      <c r="L191" s="57"/>
      <c r="M191" s="35"/>
      <c r="P191" s="299"/>
      <c r="Q191" s="45"/>
      <c r="R191" s="46"/>
      <c r="S191" s="512"/>
      <c r="T191" s="57"/>
      <c r="U191" s="512"/>
      <c r="V191" s="57"/>
      <c r="W191" s="114"/>
      <c r="X191" s="49"/>
      <c r="Y191" s="50"/>
      <c r="Z191" s="115"/>
      <c r="AA191" s="114" t="s">
        <v>17570</v>
      </c>
      <c r="AB191" s="49"/>
      <c r="AC191" s="50"/>
      <c r="AD191" s="115"/>
      <c r="AE191" s="208">
        <f>ROUND((ROUND((ROUND((_15_同援日１．５*_15・通訳),0)*(1+_15・A深夜)),0)*(1+_15・区３)),0)+ROUND((ROUND((ROUND((_15_同援日１．５＿０．５*_15・通訳),0)*(1+_15・B早朝)),0)*(1+_15・区３)),0)+ROUND((ROUND((_15_同援日１．５＿０．５＿０．５*_15・通訳),0)*(1+_15・区３)),0)</f>
        <v>862</v>
      </c>
      <c r="AF191" s="48"/>
    </row>
    <row r="192" spans="1:32" ht="16.5" customHeight="1" x14ac:dyDescent="0.15">
      <c r="A192" s="41">
        <v>15</v>
      </c>
      <c r="B192" s="41" t="s">
        <v>28751</v>
      </c>
      <c r="C192" s="74" t="s">
        <v>28752</v>
      </c>
      <c r="D192" s="72"/>
      <c r="F192" s="57"/>
      <c r="G192" s="72"/>
      <c r="I192" s="57"/>
      <c r="J192" s="72"/>
      <c r="L192" s="57"/>
      <c r="M192" s="35"/>
      <c r="P192" s="299" t="s">
        <v>17556</v>
      </c>
      <c r="Q192" s="45" t="s">
        <v>398</v>
      </c>
      <c r="R192" s="46">
        <v>1</v>
      </c>
      <c r="S192" s="512"/>
      <c r="T192" s="57"/>
      <c r="U192" s="512"/>
      <c r="V192" s="57"/>
      <c r="W192" s="122"/>
      <c r="X192" s="37"/>
      <c r="Y192" s="38"/>
      <c r="Z192" s="79"/>
      <c r="AA192" s="72" t="s">
        <v>17572</v>
      </c>
      <c r="AD192" s="57"/>
      <c r="AE192" s="208">
        <f>ROUND((ROUND((ROUND((ROUND((_15_同援日１．５*_15・通訳),0)*_15・２人),0)*(1+_15・A深夜)),0)*(1+_15・区３)),0)+ROUND((ROUND((ROUND((ROUND((_15_同援日１．５＿０．５*_15・通訳),0)*_15・２人),0)*(1+_15・B早朝)),0)*(1+_15・区３)),0)+ROUND((ROUND((ROUND((_15_同援日１．５＿０．５＿０．５*_15・通訳),0)*_15・２人),0)*(1+_15・区３)),0)</f>
        <v>862</v>
      </c>
      <c r="AF192" s="48"/>
    </row>
    <row r="193" spans="1:32" ht="16.5" customHeight="1" x14ac:dyDescent="0.15">
      <c r="A193" s="41">
        <v>15</v>
      </c>
      <c r="B193" s="41" t="s">
        <v>28753</v>
      </c>
      <c r="C193" s="74" t="s">
        <v>28754</v>
      </c>
      <c r="D193" s="72"/>
      <c r="F193" s="57"/>
      <c r="G193" s="72"/>
      <c r="I193" s="57"/>
      <c r="J193" s="72"/>
      <c r="L193" s="57"/>
      <c r="M193" s="35"/>
      <c r="P193" s="299"/>
      <c r="Q193" s="45"/>
      <c r="R193" s="46"/>
      <c r="S193" s="512"/>
      <c r="T193" s="57"/>
      <c r="U193" s="512"/>
      <c r="V193" s="57"/>
      <c r="W193" s="114" t="s">
        <v>17562</v>
      </c>
      <c r="X193" s="49"/>
      <c r="Y193" s="50"/>
      <c r="Z193" s="115"/>
      <c r="AA193" s="72"/>
      <c r="AB193" s="12" t="s">
        <v>398</v>
      </c>
      <c r="AC193" s="13">
        <v>0.2</v>
      </c>
      <c r="AD193" s="57" t="s">
        <v>3575</v>
      </c>
      <c r="AE193" s="208">
        <f>ROUND((ROUND((ROUND((ROUND((_15_同援日１．５*_15・通訳),0)*(1+_15・A深夜)),0)*(1+_15・盲ろう)),0)*(1+_15・区３)),0)+ROUND((ROUND((ROUND((ROUND((_15_同援日１．５＿０．５*_15・通訳),0)*(1+_15・B早朝)),0)*(1+_15・盲ろう)),0)*(1+_15・区３)),0)+ROUND((ROUND((ROUND((_15_同援日１．５＿０．５＿０．５*_15・通訳),0)*(1+_15・盲ろう)),0)*(1+_15・区３)),0)</f>
        <v>1078</v>
      </c>
      <c r="AF193" s="48"/>
    </row>
    <row r="194" spans="1:32" ht="16.5" customHeight="1" x14ac:dyDescent="0.15">
      <c r="A194" s="41">
        <v>15</v>
      </c>
      <c r="B194" s="41" t="s">
        <v>28755</v>
      </c>
      <c r="C194" s="74" t="s">
        <v>28756</v>
      </c>
      <c r="D194" s="72"/>
      <c r="F194" s="57"/>
      <c r="G194" s="72"/>
      <c r="I194" s="57"/>
      <c r="J194" s="72"/>
      <c r="L194" s="57"/>
      <c r="M194" s="35"/>
      <c r="P194" s="299" t="s">
        <v>17556</v>
      </c>
      <c r="Q194" s="45" t="s">
        <v>398</v>
      </c>
      <c r="R194" s="46">
        <v>1</v>
      </c>
      <c r="S194" s="512"/>
      <c r="T194" s="57"/>
      <c r="U194" s="512"/>
      <c r="V194" s="57"/>
      <c r="W194" s="122" t="s">
        <v>17564</v>
      </c>
      <c r="X194" s="37" t="s">
        <v>398</v>
      </c>
      <c r="Y194" s="38">
        <v>0.25</v>
      </c>
      <c r="Z194" s="79" t="s">
        <v>3575</v>
      </c>
      <c r="AA194" s="122"/>
      <c r="AB194" s="37"/>
      <c r="AC194" s="38"/>
      <c r="AD194" s="79"/>
      <c r="AE194" s="208">
        <f>ROUND((ROUND((ROUND((ROUND((ROUND((_15_同援日１．５*_15・通訳),0)*_15・２人),0)*(1+_15・A深夜)),0)*(1+_15・盲ろう)),0)*(1+_15・区３)),0)+ROUND((ROUND((ROUND((ROUND((ROUND((_15_同援日１．５＿０．５*_15・通訳),0)*_15・２人),0)*(1+_15・B早朝)),0)*(1+_15・盲ろう)),0)*(1+_15・区３)),0)+ROUND((ROUND((ROUND((ROUND((_15_同援日１．５＿０．５＿０．５*_15・通訳),0)*_15・２人),0)*(1+_15・盲ろう)),0)*(1+_15・区３)),0)</f>
        <v>1078</v>
      </c>
      <c r="AF194" s="48"/>
    </row>
    <row r="195" spans="1:32" ht="16.5" customHeight="1" x14ac:dyDescent="0.15">
      <c r="A195" s="41">
        <v>15</v>
      </c>
      <c r="B195" s="41" t="s">
        <v>3524</v>
      </c>
      <c r="C195" s="74" t="s">
        <v>28757</v>
      </c>
      <c r="D195" s="72"/>
      <c r="F195" s="57"/>
      <c r="G195" s="72"/>
      <c r="I195" s="57"/>
      <c r="J195" s="72"/>
      <c r="L195" s="57"/>
      <c r="M195" s="35"/>
      <c r="P195" s="299"/>
      <c r="Q195" s="45"/>
      <c r="R195" s="46"/>
      <c r="S195" s="512"/>
      <c r="T195" s="57"/>
      <c r="U195" s="512"/>
      <c r="V195" s="57"/>
      <c r="W195" s="114"/>
      <c r="X195" s="49"/>
      <c r="Y195" s="50"/>
      <c r="Z195" s="115"/>
      <c r="AA195" s="114" t="s">
        <v>17580</v>
      </c>
      <c r="AB195" s="49"/>
      <c r="AC195" s="50"/>
      <c r="AD195" s="115"/>
      <c r="AE195" s="208">
        <f>ROUND((ROUND((ROUND((_15_同援日１．５*_15・通訳),0)*(1+_15・A深夜)),0)*(1+_15・区４)),0)+ROUND((ROUND((ROUND((_15_同援日１．５＿０．５*_15・通訳),0)*(1+_15・B早朝)),0)*(1+_15・区４)),0)+ROUND((ROUND((_15_同援日１．５＿０．５＿０．５*_15・通訳),0)*(1+_15・区４)),0)</f>
        <v>1006</v>
      </c>
      <c r="AF195" s="48"/>
    </row>
    <row r="196" spans="1:32" ht="16.5" customHeight="1" x14ac:dyDescent="0.15">
      <c r="A196" s="41">
        <v>15</v>
      </c>
      <c r="B196" s="41" t="s">
        <v>3526</v>
      </c>
      <c r="C196" s="74" t="s">
        <v>28758</v>
      </c>
      <c r="D196" s="72"/>
      <c r="F196" s="57"/>
      <c r="G196" s="72"/>
      <c r="I196" s="57"/>
      <c r="J196" s="72"/>
      <c r="L196" s="57"/>
      <c r="M196" s="35"/>
      <c r="P196" s="299" t="s">
        <v>17556</v>
      </c>
      <c r="Q196" s="45" t="s">
        <v>398</v>
      </c>
      <c r="R196" s="46">
        <v>1</v>
      </c>
      <c r="S196" s="512"/>
      <c r="T196" s="57"/>
      <c r="U196" s="512"/>
      <c r="V196" s="57"/>
      <c r="W196" s="122"/>
      <c r="X196" s="37"/>
      <c r="Y196" s="38"/>
      <c r="Z196" s="79"/>
      <c r="AA196" s="72" t="s">
        <v>17572</v>
      </c>
      <c r="AD196" s="57"/>
      <c r="AE196" s="208">
        <f>ROUND((ROUND((ROUND((ROUND((_15_同援日１．５*_15・通訳),0)*_15・２人),0)*(1+_15・A深夜)),0)*(1+_15・区４)),0)+ROUND((ROUND((ROUND((ROUND((_15_同援日１．５＿０．５*_15・通訳),0)*_15・２人),0)*(1+_15・B早朝)),0)*(1+_15・区４)),0)+ROUND((ROUND((ROUND((_15_同援日１．５＿０．５＿０．５*_15・通訳),0)*_15・２人),0)*(1+_15・区４)),0)</f>
        <v>1006</v>
      </c>
      <c r="AF196" s="48"/>
    </row>
    <row r="197" spans="1:32" ht="16.5" customHeight="1" x14ac:dyDescent="0.15">
      <c r="A197" s="41">
        <v>15</v>
      </c>
      <c r="B197" s="41" t="s">
        <v>28759</v>
      </c>
      <c r="C197" s="74" t="s">
        <v>28760</v>
      </c>
      <c r="D197" s="72"/>
      <c r="F197" s="57"/>
      <c r="G197" s="72"/>
      <c r="I197" s="57"/>
      <c r="J197" s="72"/>
      <c r="L197" s="57"/>
      <c r="M197" s="35"/>
      <c r="P197" s="299"/>
      <c r="Q197" s="45"/>
      <c r="R197" s="46"/>
      <c r="S197" s="512"/>
      <c r="T197" s="57"/>
      <c r="U197" s="512"/>
      <c r="V197" s="57"/>
      <c r="W197" s="114" t="s">
        <v>17562</v>
      </c>
      <c r="X197" s="49"/>
      <c r="Y197" s="50"/>
      <c r="Z197" s="115"/>
      <c r="AA197" s="72"/>
      <c r="AB197" s="12" t="s">
        <v>398</v>
      </c>
      <c r="AC197" s="13">
        <v>0.4</v>
      </c>
      <c r="AD197" s="57" t="s">
        <v>3575</v>
      </c>
      <c r="AE197" s="208">
        <f>ROUND((ROUND((ROUND((ROUND((_15_同援日１．５*_15・通訳),0)*(1+_15・A深夜)),0)*(1+_15・盲ろう)),0)*(1+_15・区４)),0)+ROUND((ROUND((ROUND((ROUND((_15_同援日１．５＿０．５*_15・通訳),0)*(1+_15・B早朝)),0)*(1+_15・盲ろう)),0)*(1+_15・区４)),0)+ROUND((ROUND((ROUND((_15_同援日１．５＿０．５＿０．５*_15・通訳),0)*(1+_15・盲ろう)),0)*(1+_15・区４)),0)</f>
        <v>1257</v>
      </c>
      <c r="AF197" s="48"/>
    </row>
    <row r="198" spans="1:32" ht="16.5" customHeight="1" x14ac:dyDescent="0.15">
      <c r="A198" s="41">
        <v>15</v>
      </c>
      <c r="B198" s="41" t="s">
        <v>28761</v>
      </c>
      <c r="C198" s="74" t="s">
        <v>28762</v>
      </c>
      <c r="D198" s="72"/>
      <c r="F198" s="57"/>
      <c r="G198" s="72"/>
      <c r="I198" s="57"/>
      <c r="J198" s="122"/>
      <c r="K198" s="37"/>
      <c r="L198" s="79"/>
      <c r="M198" s="35"/>
      <c r="P198" s="299" t="s">
        <v>17556</v>
      </c>
      <c r="Q198" s="45" t="s">
        <v>398</v>
      </c>
      <c r="R198" s="46">
        <v>1</v>
      </c>
      <c r="S198" s="512"/>
      <c r="T198" s="57"/>
      <c r="U198" s="512"/>
      <c r="V198" s="57"/>
      <c r="W198" s="122" t="s">
        <v>17564</v>
      </c>
      <c r="X198" s="37" t="s">
        <v>398</v>
      </c>
      <c r="Y198" s="38">
        <v>0.25</v>
      </c>
      <c r="Z198" s="79" t="s">
        <v>3575</v>
      </c>
      <c r="AA198" s="122"/>
      <c r="AB198" s="37"/>
      <c r="AC198" s="38"/>
      <c r="AD198" s="79"/>
      <c r="AE198" s="208">
        <f>ROUND((ROUND((ROUND((ROUND((ROUND((_15_同援日１．５*_15・通訳),0)*_15・２人),0)*(1+_15・A深夜)),0)*(1+_15・盲ろう)),0)*(1+_15・区４)),0)+ROUND((ROUND((ROUND((ROUND((ROUND((_15_同援日１．５＿０．５*_15・通訳),0)*_15・２人),0)*(1+_15・B早朝)),0)*(1+_15・盲ろう)),0)*(1+_15・区４)),0)+ROUND((ROUND((ROUND((ROUND((_15_同援日１．５＿０．５＿０．５*_15・通訳),0)*_15・２人),0)*(1+_15・盲ろう)),0)*(1+_15・区４)),0)</f>
        <v>1257</v>
      </c>
      <c r="AF198" s="48"/>
    </row>
    <row r="199" spans="1:32" ht="16.5" customHeight="1" x14ac:dyDescent="0.15">
      <c r="A199" s="41">
        <v>15</v>
      </c>
      <c r="B199" s="41" t="s">
        <v>28763</v>
      </c>
      <c r="C199" s="74" t="s">
        <v>28764</v>
      </c>
      <c r="D199" s="72"/>
      <c r="F199" s="57"/>
      <c r="G199" s="72"/>
      <c r="I199" s="57"/>
      <c r="J199" s="114" t="s">
        <v>21246</v>
      </c>
      <c r="K199" s="49"/>
      <c r="L199" s="115"/>
      <c r="M199" s="35"/>
      <c r="P199" s="299"/>
      <c r="Q199" s="45"/>
      <c r="R199" s="46"/>
      <c r="S199" s="512"/>
      <c r="T199" s="57"/>
      <c r="U199" s="512"/>
      <c r="V199" s="57"/>
      <c r="W199" s="114"/>
      <c r="X199" s="49"/>
      <c r="Y199" s="50"/>
      <c r="Z199" s="115"/>
      <c r="AA199" s="114"/>
      <c r="AB199" s="49"/>
      <c r="AC199" s="50"/>
      <c r="AD199" s="115"/>
      <c r="AE199" s="208">
        <f>ROUND((ROUND((_15_同援日１．５*_15・通訳),0)*(1+_15・A深夜)),0)+ROUND((ROUND((_15_同援日１．５＿０．５*_15・通訳),0)*(1+_15・B早朝)),0)+ROUND((_15_同援日１．５＿０．５＿１．０*_15・通訳),0)</f>
        <v>776</v>
      </c>
      <c r="AF199" s="48"/>
    </row>
    <row r="200" spans="1:32" ht="16.5" customHeight="1" x14ac:dyDescent="0.15">
      <c r="A200" s="41">
        <v>15</v>
      </c>
      <c r="B200" s="41" t="s">
        <v>28765</v>
      </c>
      <c r="C200" s="74" t="s">
        <v>28766</v>
      </c>
      <c r="D200" s="72"/>
      <c r="F200" s="57"/>
      <c r="G200" s="72"/>
      <c r="I200" s="57"/>
      <c r="J200" s="72" t="s">
        <v>17589</v>
      </c>
      <c r="L200" s="57"/>
      <c r="M200" s="35"/>
      <c r="P200" s="299" t="s">
        <v>17556</v>
      </c>
      <c r="Q200" s="45" t="s">
        <v>398</v>
      </c>
      <c r="R200" s="46">
        <v>1</v>
      </c>
      <c r="S200" s="512"/>
      <c r="T200" s="57"/>
      <c r="U200" s="512"/>
      <c r="V200" s="57"/>
      <c r="W200" s="122"/>
      <c r="X200" s="37"/>
      <c r="Y200" s="38"/>
      <c r="Z200" s="79"/>
      <c r="AA200" s="72"/>
      <c r="AD200" s="57"/>
      <c r="AE200" s="208">
        <f>ROUND((ROUND((ROUND((_15_同援日１．５*_15・通訳),0)*_15・２人),0)*(1+_15・A深夜)),0)+ROUND((ROUND((ROUND((_15_同援日１．５＿０．５*_15・通訳),0)*_15・２人),0)*(1+_15・B早朝)),0)+ROUND((ROUND((_15_同援日１．５＿０．５＿１．０*_15・通訳),0)*_15・２人),0)</f>
        <v>776</v>
      </c>
      <c r="AF200" s="48"/>
    </row>
    <row r="201" spans="1:32" ht="16.5" customHeight="1" x14ac:dyDescent="0.15">
      <c r="A201" s="41">
        <v>15</v>
      </c>
      <c r="B201" s="41" t="s">
        <v>28767</v>
      </c>
      <c r="C201" s="74" t="s">
        <v>28768</v>
      </c>
      <c r="D201" s="72"/>
      <c r="F201" s="57"/>
      <c r="G201" s="72"/>
      <c r="I201" s="57"/>
      <c r="J201" s="72" t="s">
        <v>17591</v>
      </c>
      <c r="L201" s="57"/>
      <c r="M201" s="35"/>
      <c r="P201" s="299"/>
      <c r="Q201" s="45"/>
      <c r="R201" s="46"/>
      <c r="S201" s="512"/>
      <c r="T201" s="57"/>
      <c r="U201" s="512"/>
      <c r="V201" s="57"/>
      <c r="W201" s="114" t="s">
        <v>17562</v>
      </c>
      <c r="X201" s="49"/>
      <c r="Y201" s="50"/>
      <c r="Z201" s="115"/>
      <c r="AA201" s="72"/>
      <c r="AD201" s="57"/>
      <c r="AE201" s="208">
        <f>ROUND((ROUND((ROUND((_15_同援日１．５*_15・通訳),0)*(1+_15・A深夜)),0)*(1+_15・盲ろう)),0)+ROUND((ROUND((ROUND((_15_同援日１．５＿０．５*_15・通訳),0)*(1+_15・B早朝)),0)*(1+_15・盲ろう)),0)+ROUND((ROUND((_15_同援日１．５＿０．５＿１．０*_15・通訳),0)*(1+_15・盲ろう)),0)</f>
        <v>970</v>
      </c>
      <c r="AF201" s="48"/>
    </row>
    <row r="202" spans="1:32" ht="16.5" customHeight="1" x14ac:dyDescent="0.15">
      <c r="A202" s="41">
        <v>15</v>
      </c>
      <c r="B202" s="41" t="s">
        <v>28769</v>
      </c>
      <c r="C202" s="74" t="s">
        <v>28770</v>
      </c>
      <c r="D202" s="72"/>
      <c r="F202" s="57"/>
      <c r="G202" s="72"/>
      <c r="I202" s="57"/>
      <c r="J202" s="72"/>
      <c r="K202" s="168">
        <f>_15_同援日１．５＿０．５＿１．０</f>
        <v>130</v>
      </c>
      <c r="L202" s="57" t="s">
        <v>392</v>
      </c>
      <c r="M202" s="35"/>
      <c r="P202" s="299" t="s">
        <v>17556</v>
      </c>
      <c r="Q202" s="45" t="s">
        <v>398</v>
      </c>
      <c r="R202" s="46">
        <v>1</v>
      </c>
      <c r="S202" s="512"/>
      <c r="T202" s="57"/>
      <c r="U202" s="512"/>
      <c r="V202" s="57"/>
      <c r="W202" s="122" t="s">
        <v>17564</v>
      </c>
      <c r="X202" s="37" t="s">
        <v>398</v>
      </c>
      <c r="Y202" s="38">
        <v>0.25</v>
      </c>
      <c r="Z202" s="79" t="s">
        <v>3575</v>
      </c>
      <c r="AA202" s="122"/>
      <c r="AB202" s="37"/>
      <c r="AC202" s="38"/>
      <c r="AD202" s="79"/>
      <c r="AE202" s="208">
        <f>ROUND((ROUND((ROUND((ROUND((_15_同援日１．５*_15・通訳),0)*_15・２人),0)*(1+_15・A深夜)),0)*(1+_15・盲ろう)),0)+ROUND((ROUND((ROUND((ROUND((_15_同援日１．５＿０．５*_15・通訳),0)*_15・２人),0)*(1+_15・B早朝)),0)*(1+_15・盲ろう)),0)+ROUND((ROUND((ROUND((_15_同援日１．５＿０．５＿１．０*_15・通訳),0)*_15・２人),0)*(1+_15・盲ろう)),0)</f>
        <v>970</v>
      </c>
      <c r="AF202" s="48"/>
    </row>
    <row r="203" spans="1:32" ht="16.5" customHeight="1" x14ac:dyDescent="0.15">
      <c r="A203" s="41">
        <v>15</v>
      </c>
      <c r="B203" s="41" t="s">
        <v>28771</v>
      </c>
      <c r="C203" s="74" t="s">
        <v>28772</v>
      </c>
      <c r="D203" s="72"/>
      <c r="F203" s="57"/>
      <c r="G203" s="72"/>
      <c r="I203" s="57"/>
      <c r="J203" s="72"/>
      <c r="L203" s="57"/>
      <c r="M203" s="35"/>
      <c r="P203" s="299"/>
      <c r="Q203" s="45"/>
      <c r="R203" s="46"/>
      <c r="S203" s="512"/>
      <c r="T203" s="57"/>
      <c r="U203" s="512"/>
      <c r="V203" s="57"/>
      <c r="W203" s="114"/>
      <c r="X203" s="49"/>
      <c r="Y203" s="50"/>
      <c r="Z203" s="115"/>
      <c r="AA203" s="114" t="s">
        <v>17570</v>
      </c>
      <c r="AB203" s="49"/>
      <c r="AC203" s="50"/>
      <c r="AD203" s="115"/>
      <c r="AE203" s="208">
        <f>ROUND((ROUND((ROUND((_15_同援日１．５*_15・通訳),0)*(1+_15・A深夜)),0)*(1+_15・区３)),0)+ROUND((ROUND((ROUND((_15_同援日１．５＿０．５*_15・通訳),0)*(1+_15・B早朝)),0)*(1+_15・区３)),0)+ROUND((ROUND((_15_同援日１．５＿０．５＿１．０*_15・通訳),0)*(1+_15・区３)),0)</f>
        <v>931</v>
      </c>
      <c r="AF203" s="48"/>
    </row>
    <row r="204" spans="1:32" ht="16.5" customHeight="1" x14ac:dyDescent="0.15">
      <c r="A204" s="41">
        <v>15</v>
      </c>
      <c r="B204" s="41" t="s">
        <v>28773</v>
      </c>
      <c r="C204" s="74" t="s">
        <v>28774</v>
      </c>
      <c r="D204" s="72"/>
      <c r="F204" s="57"/>
      <c r="G204" s="72"/>
      <c r="I204" s="57"/>
      <c r="J204" s="72"/>
      <c r="L204" s="57"/>
      <c r="M204" s="35"/>
      <c r="P204" s="299" t="s">
        <v>17556</v>
      </c>
      <c r="Q204" s="45" t="s">
        <v>398</v>
      </c>
      <c r="R204" s="46">
        <v>1</v>
      </c>
      <c r="S204" s="512"/>
      <c r="T204" s="57"/>
      <c r="U204" s="512"/>
      <c r="V204" s="57"/>
      <c r="W204" s="122"/>
      <c r="X204" s="37"/>
      <c r="Y204" s="38"/>
      <c r="Z204" s="79"/>
      <c r="AA204" s="72" t="s">
        <v>17572</v>
      </c>
      <c r="AD204" s="57"/>
      <c r="AE204" s="208">
        <f>ROUND((ROUND((ROUND((ROUND((_15_同援日１．５*_15・通訳),0)*_15・２人),0)*(1+_15・A深夜)),0)*(1+_15・区３)),0)+ROUND((ROUND((ROUND((ROUND((_15_同援日１．５＿０．５*_15・通訳),0)*_15・２人),0)*(1+_15・B早朝)),0)*(1+_15・区３)),0)+ROUND((ROUND((ROUND((_15_同援日１．５＿０．５＿１．０*_15・通訳),0)*_15・２人),0)*(1+_15・区３)),0)</f>
        <v>931</v>
      </c>
      <c r="AF204" s="48"/>
    </row>
    <row r="205" spans="1:32" ht="16.5" customHeight="1" x14ac:dyDescent="0.15">
      <c r="A205" s="41">
        <v>15</v>
      </c>
      <c r="B205" s="41" t="s">
        <v>3531</v>
      </c>
      <c r="C205" s="74" t="s">
        <v>28775</v>
      </c>
      <c r="D205" s="72"/>
      <c r="F205" s="57"/>
      <c r="G205" s="72"/>
      <c r="I205" s="57"/>
      <c r="J205" s="72"/>
      <c r="L205" s="57"/>
      <c r="M205" s="35"/>
      <c r="P205" s="299"/>
      <c r="Q205" s="45"/>
      <c r="R205" s="46"/>
      <c r="S205" s="512"/>
      <c r="T205" s="57"/>
      <c r="U205" s="512"/>
      <c r="V205" s="57"/>
      <c r="W205" s="114" t="s">
        <v>17562</v>
      </c>
      <c r="X205" s="49"/>
      <c r="Y205" s="50"/>
      <c r="Z205" s="115"/>
      <c r="AA205" s="72"/>
      <c r="AB205" s="12" t="s">
        <v>398</v>
      </c>
      <c r="AC205" s="13">
        <v>0.2</v>
      </c>
      <c r="AD205" s="57" t="s">
        <v>3575</v>
      </c>
      <c r="AE205" s="208">
        <f>ROUND((ROUND((ROUND((ROUND((_15_同援日１．５*_15・通訳),0)*(1+_15・A深夜)),0)*(1+_15・盲ろう)),0)*(1+_15・区３)),0)+ROUND((ROUND((ROUND((ROUND((_15_同援日１．５＿０．５*_15・通訳),0)*(1+_15・B早朝)),0)*(1+_15・盲ろう)),0)*(1+_15・区３)),0)+ROUND((ROUND((ROUND((_15_同援日１．５＿０．５＿１．０*_15・通訳),0)*(1+_15・盲ろう)),0)*(1+_15・区３)),0)</f>
        <v>1164</v>
      </c>
      <c r="AF205" s="48"/>
    </row>
    <row r="206" spans="1:32" ht="16.5" customHeight="1" x14ac:dyDescent="0.15">
      <c r="A206" s="41">
        <v>15</v>
      </c>
      <c r="B206" s="41" t="s">
        <v>3533</v>
      </c>
      <c r="C206" s="74" t="s">
        <v>28776</v>
      </c>
      <c r="D206" s="72"/>
      <c r="F206" s="57"/>
      <c r="G206" s="72"/>
      <c r="I206" s="57"/>
      <c r="J206" s="72"/>
      <c r="L206" s="57"/>
      <c r="M206" s="35"/>
      <c r="P206" s="299" t="s">
        <v>17556</v>
      </c>
      <c r="Q206" s="45" t="s">
        <v>398</v>
      </c>
      <c r="R206" s="46">
        <v>1</v>
      </c>
      <c r="S206" s="512"/>
      <c r="T206" s="57"/>
      <c r="U206" s="512"/>
      <c r="V206" s="57"/>
      <c r="W206" s="122" t="s">
        <v>17564</v>
      </c>
      <c r="X206" s="37" t="s">
        <v>398</v>
      </c>
      <c r="Y206" s="38">
        <v>0.25</v>
      </c>
      <c r="Z206" s="79" t="s">
        <v>3575</v>
      </c>
      <c r="AA206" s="122"/>
      <c r="AB206" s="37"/>
      <c r="AC206" s="38"/>
      <c r="AD206" s="79"/>
      <c r="AE206" s="208">
        <f>ROUND((ROUND((ROUND((ROUND((ROUND((_15_同援日１．５*_15・通訳),0)*_15・２人),0)*(1+_15・A深夜)),0)*(1+_15・盲ろう)),0)*(1+_15・区３)),0)+ROUND((ROUND((ROUND((ROUND((ROUND((_15_同援日１．５＿０．５*_15・通訳),0)*_15・２人),0)*(1+_15・B早朝)),0)*(1+_15・盲ろう)),0)*(1+_15・区３)),0)+ROUND((ROUND((ROUND((ROUND((_15_同援日１．５＿０．５＿１．０*_15・通訳),0)*_15・２人),0)*(1+_15・盲ろう)),0)*(1+_15・区３)),0)</f>
        <v>1164</v>
      </c>
      <c r="AF206" s="48"/>
    </row>
    <row r="207" spans="1:32" ht="16.5" customHeight="1" x14ac:dyDescent="0.15">
      <c r="A207" s="41">
        <v>15</v>
      </c>
      <c r="B207" s="41" t="s">
        <v>28777</v>
      </c>
      <c r="C207" s="74" t="s">
        <v>28778</v>
      </c>
      <c r="D207" s="72"/>
      <c r="F207" s="57"/>
      <c r="G207" s="72"/>
      <c r="I207" s="57"/>
      <c r="J207" s="72"/>
      <c r="L207" s="57"/>
      <c r="M207" s="35"/>
      <c r="P207" s="299"/>
      <c r="Q207" s="45"/>
      <c r="R207" s="46"/>
      <c r="S207" s="512"/>
      <c r="T207" s="57"/>
      <c r="U207" s="512"/>
      <c r="V207" s="57"/>
      <c r="W207" s="114"/>
      <c r="X207" s="49"/>
      <c r="Y207" s="50"/>
      <c r="Z207" s="115"/>
      <c r="AA207" s="114" t="s">
        <v>17580</v>
      </c>
      <c r="AB207" s="49"/>
      <c r="AC207" s="50"/>
      <c r="AD207" s="115"/>
      <c r="AE207" s="208">
        <f>ROUND((ROUND((ROUND((_15_同援日１．５*_15・通訳),0)*(1+_15・A深夜)),0)*(1+_15・区４)),0)+ROUND((ROUND((ROUND((_15_同援日１．５＿０．５*_15・通訳),0)*(1+_15・B早朝)),0)*(1+_15・区４)),0)+ROUND((ROUND((_15_同援日１．５＿０．５＿１．０*_15・通訳),0)*(1+_15・区４)),0)</f>
        <v>1087</v>
      </c>
      <c r="AF207" s="48"/>
    </row>
    <row r="208" spans="1:32" ht="16.5" customHeight="1" x14ac:dyDescent="0.15">
      <c r="A208" s="41">
        <v>15</v>
      </c>
      <c r="B208" s="41" t="s">
        <v>28779</v>
      </c>
      <c r="C208" s="74" t="s">
        <v>28780</v>
      </c>
      <c r="D208" s="72"/>
      <c r="F208" s="57"/>
      <c r="G208" s="72"/>
      <c r="I208" s="57"/>
      <c r="J208" s="72"/>
      <c r="L208" s="57"/>
      <c r="M208" s="35"/>
      <c r="P208" s="299" t="s">
        <v>17556</v>
      </c>
      <c r="Q208" s="45" t="s">
        <v>398</v>
      </c>
      <c r="R208" s="46">
        <v>1</v>
      </c>
      <c r="S208" s="512"/>
      <c r="T208" s="57"/>
      <c r="U208" s="512"/>
      <c r="V208" s="57"/>
      <c r="W208" s="122"/>
      <c r="X208" s="37"/>
      <c r="Y208" s="38"/>
      <c r="Z208" s="79"/>
      <c r="AA208" s="72" t="s">
        <v>17572</v>
      </c>
      <c r="AD208" s="57"/>
      <c r="AE208" s="208">
        <f>ROUND((ROUND((ROUND((ROUND((_15_同援日１．５*_15・通訳),0)*_15・２人),0)*(1+_15・A深夜)),0)*(1+_15・区４)),0)+ROUND((ROUND((ROUND((ROUND((_15_同援日１．５＿０．５*_15・通訳),0)*_15・２人),0)*(1+_15・B早朝)),0)*(1+_15・区４)),0)+ROUND((ROUND((ROUND((_15_同援日１．５＿０．５＿１．０*_15・通訳),0)*_15・２人),0)*(1+_15・区４)),0)</f>
        <v>1087</v>
      </c>
      <c r="AF208" s="48"/>
    </row>
    <row r="209" spans="1:32" ht="16.5" customHeight="1" x14ac:dyDescent="0.15">
      <c r="A209" s="41">
        <v>15</v>
      </c>
      <c r="B209" s="41" t="s">
        <v>28781</v>
      </c>
      <c r="C209" s="74" t="s">
        <v>28782</v>
      </c>
      <c r="D209" s="72"/>
      <c r="F209" s="57"/>
      <c r="G209" s="72"/>
      <c r="I209" s="57"/>
      <c r="J209" s="72"/>
      <c r="L209" s="57"/>
      <c r="M209" s="35"/>
      <c r="P209" s="299"/>
      <c r="Q209" s="45"/>
      <c r="R209" s="46"/>
      <c r="S209" s="512"/>
      <c r="T209" s="57"/>
      <c r="U209" s="512"/>
      <c r="V209" s="57"/>
      <c r="W209" s="114" t="s">
        <v>17562</v>
      </c>
      <c r="X209" s="49"/>
      <c r="Y209" s="50"/>
      <c r="Z209" s="115"/>
      <c r="AA209" s="72"/>
      <c r="AB209" s="12" t="s">
        <v>398</v>
      </c>
      <c r="AC209" s="13">
        <v>0.4</v>
      </c>
      <c r="AD209" s="57" t="s">
        <v>3575</v>
      </c>
      <c r="AE209" s="208">
        <f>ROUND((ROUND((ROUND((ROUND((_15_同援日１．５*_15・通訳),0)*(1+_15・A深夜)),0)*(1+_15・盲ろう)),0)*(1+_15・区４)),0)+ROUND((ROUND((ROUND((ROUND((_15_同援日１．５＿０．５*_15・通訳),0)*(1+_15・B早朝)),0)*(1+_15・盲ろう)),0)*(1+_15・区４)),0)+ROUND((ROUND((ROUND((_15_同援日１．５＿０．５＿１．０*_15・通訳),0)*(1+_15・盲ろう)),0)*(1+_15・区４)),0)</f>
        <v>1357</v>
      </c>
      <c r="AF209" s="48"/>
    </row>
    <row r="210" spans="1:32" ht="16.5" customHeight="1" x14ac:dyDescent="0.15">
      <c r="A210" s="41">
        <v>15</v>
      </c>
      <c r="B210" s="41" t="s">
        <v>28783</v>
      </c>
      <c r="C210" s="74" t="s">
        <v>28784</v>
      </c>
      <c r="D210" s="72"/>
      <c r="F210" s="57"/>
      <c r="G210" s="122"/>
      <c r="H210" s="37"/>
      <c r="I210" s="79"/>
      <c r="J210" s="122"/>
      <c r="K210" s="37"/>
      <c r="L210" s="79"/>
      <c r="M210" s="35"/>
      <c r="P210" s="299" t="s">
        <v>17556</v>
      </c>
      <c r="Q210" s="45" t="s">
        <v>398</v>
      </c>
      <c r="R210" s="46">
        <v>1</v>
      </c>
      <c r="S210" s="512"/>
      <c r="T210" s="57"/>
      <c r="U210" s="512"/>
      <c r="V210" s="57"/>
      <c r="W210" s="122" t="s">
        <v>17564</v>
      </c>
      <c r="X210" s="37" t="s">
        <v>398</v>
      </c>
      <c r="Y210" s="38">
        <v>0.25</v>
      </c>
      <c r="Z210" s="79" t="s">
        <v>3575</v>
      </c>
      <c r="AA210" s="122"/>
      <c r="AB210" s="37"/>
      <c r="AC210" s="38"/>
      <c r="AD210" s="79"/>
      <c r="AE210" s="208">
        <f>ROUND((ROUND((ROUND((ROUND((ROUND((_15_同援日１．５*_15・通訳),0)*_15・２人),0)*(1+_15・A深夜)),0)*(1+_15・盲ろう)),0)*(1+_15・区４)),0)+ROUND((ROUND((ROUND((ROUND((ROUND((_15_同援日１．５＿０．５*_15・通訳),0)*_15・２人),0)*(1+_15・B早朝)),0)*(1+_15・盲ろう)),0)*(1+_15・区４)),0)+ROUND((ROUND((ROUND((ROUND((_15_同援日１．５＿０．５＿１．０*_15・通訳),0)*_15・２人),0)*(1+_15・盲ろう)),0)*(1+_15・区４)),0)</f>
        <v>1357</v>
      </c>
      <c r="AF210" s="48"/>
    </row>
    <row r="211" spans="1:32" ht="16.5" customHeight="1" x14ac:dyDescent="0.15">
      <c r="A211" s="41">
        <v>15</v>
      </c>
      <c r="B211" s="41" t="s">
        <v>28785</v>
      </c>
      <c r="C211" s="74" t="s">
        <v>28786</v>
      </c>
      <c r="D211" s="72"/>
      <c r="F211" s="57"/>
      <c r="G211" s="114" t="s">
        <v>18846</v>
      </c>
      <c r="H211" s="49"/>
      <c r="I211" s="115"/>
      <c r="J211" s="114" t="s">
        <v>19919</v>
      </c>
      <c r="K211" s="49"/>
      <c r="L211" s="115"/>
      <c r="M211" s="35"/>
      <c r="P211" s="299"/>
      <c r="Q211" s="45"/>
      <c r="R211" s="46"/>
      <c r="S211" s="512"/>
      <c r="T211" s="57"/>
      <c r="U211" s="512"/>
      <c r="V211" s="57"/>
      <c r="W211" s="114"/>
      <c r="X211" s="49"/>
      <c r="Y211" s="50"/>
      <c r="Z211" s="115"/>
      <c r="AA211" s="114"/>
      <c r="AB211" s="49"/>
      <c r="AC211" s="50"/>
      <c r="AD211" s="115"/>
      <c r="AE211" s="208">
        <f>ROUND((ROUND((_15_同援日１．５*_15・通訳),0)*(1+_15・A深夜)),0)+ROUND((ROUND((_15_同援日１．５＿１．０*_15・通訳),0)*(1+_15・B早朝)),0)+ROUND((_15_同援日１．５＿１．０＿０．５*_15・通訳),0)</f>
        <v>790</v>
      </c>
      <c r="AF211" s="48"/>
    </row>
    <row r="212" spans="1:32" ht="16.5" customHeight="1" x14ac:dyDescent="0.15">
      <c r="A212" s="41">
        <v>15</v>
      </c>
      <c r="B212" s="41" t="s">
        <v>28787</v>
      </c>
      <c r="C212" s="74" t="s">
        <v>28788</v>
      </c>
      <c r="D212" s="72"/>
      <c r="F212" s="57"/>
      <c r="G212" s="72" t="s">
        <v>17589</v>
      </c>
      <c r="I212" s="57"/>
      <c r="J212" s="72" t="s">
        <v>18259</v>
      </c>
      <c r="L212" s="57"/>
      <c r="M212" s="35"/>
      <c r="P212" s="299" t="s">
        <v>17556</v>
      </c>
      <c r="Q212" s="45" t="s">
        <v>398</v>
      </c>
      <c r="R212" s="46">
        <v>1</v>
      </c>
      <c r="S212" s="512"/>
      <c r="T212" s="57"/>
      <c r="U212" s="512"/>
      <c r="V212" s="57"/>
      <c r="W212" s="122"/>
      <c r="X212" s="37"/>
      <c r="Y212" s="38"/>
      <c r="Z212" s="79"/>
      <c r="AA212" s="72"/>
      <c r="AD212" s="57"/>
      <c r="AE212" s="208">
        <f>ROUND((ROUND((ROUND((_15_同援日１．５*_15・通訳),0)*_15・２人),0)*(1+_15・A深夜)),0)+ROUND((ROUND((ROUND((_15_同援日１．５＿１．０*_15・通訳),0)*_15・２人),0)*(1+_15・B早朝)),0)+ROUND((ROUND((_15_同援日１．５＿１．０＿０．５*_15・通訳),0)*_15・２人),0)</f>
        <v>790</v>
      </c>
      <c r="AF212" s="48"/>
    </row>
    <row r="213" spans="1:32" ht="16.5" customHeight="1" x14ac:dyDescent="0.15">
      <c r="A213" s="41">
        <v>15</v>
      </c>
      <c r="B213" s="41" t="s">
        <v>28789</v>
      </c>
      <c r="C213" s="74" t="s">
        <v>28790</v>
      </c>
      <c r="D213" s="72"/>
      <c r="F213" s="57"/>
      <c r="G213" s="72" t="s">
        <v>17591</v>
      </c>
      <c r="I213" s="57"/>
      <c r="J213" s="72"/>
      <c r="L213" s="57"/>
      <c r="M213" s="35"/>
      <c r="P213" s="299"/>
      <c r="Q213" s="45"/>
      <c r="R213" s="46"/>
      <c r="S213" s="512"/>
      <c r="T213" s="57"/>
      <c r="U213" s="512"/>
      <c r="V213" s="57"/>
      <c r="W213" s="114" t="s">
        <v>17562</v>
      </c>
      <c r="X213" s="49"/>
      <c r="Y213" s="50"/>
      <c r="Z213" s="115"/>
      <c r="AA213" s="72"/>
      <c r="AD213" s="57"/>
      <c r="AE213" s="208">
        <f>ROUND((ROUND((ROUND((_15_同援日１．５*_15・通訳),0)*(1+_15・A深夜)),0)*(1+_15・盲ろう)),0)+ROUND((ROUND((ROUND((_15_同援日１．５＿１．０*_15・通訳),0)*(1+_15・B早朝)),0)*(1+_15・盲ろう)),0)+ROUND((ROUND((_15_同援日１．５＿１．０＿０．５*_15・通訳),0)*(1+_15・盲ろう)),0)</f>
        <v>988</v>
      </c>
      <c r="AF213" s="48"/>
    </row>
    <row r="214" spans="1:32" ht="16.5" customHeight="1" x14ac:dyDescent="0.15">
      <c r="A214" s="41">
        <v>15</v>
      </c>
      <c r="B214" s="41" t="s">
        <v>28791</v>
      </c>
      <c r="C214" s="74" t="s">
        <v>28792</v>
      </c>
      <c r="D214" s="72"/>
      <c r="F214" s="57"/>
      <c r="G214" s="72"/>
      <c r="H214" s="168">
        <f>_15_同援日１．５＿１．０</f>
        <v>130</v>
      </c>
      <c r="I214" s="57" t="s">
        <v>392</v>
      </c>
      <c r="J214" s="72"/>
      <c r="K214" s="168">
        <f>_15_同援日１．５＿１．０＿０．５</f>
        <v>65</v>
      </c>
      <c r="L214" s="57" t="s">
        <v>392</v>
      </c>
      <c r="M214" s="35"/>
      <c r="P214" s="299" t="s">
        <v>17556</v>
      </c>
      <c r="Q214" s="45" t="s">
        <v>398</v>
      </c>
      <c r="R214" s="46">
        <v>1</v>
      </c>
      <c r="S214" s="512"/>
      <c r="T214" s="57"/>
      <c r="U214" s="512"/>
      <c r="V214" s="57"/>
      <c r="W214" s="122" t="s">
        <v>17564</v>
      </c>
      <c r="X214" s="37" t="s">
        <v>398</v>
      </c>
      <c r="Y214" s="38">
        <v>0.25</v>
      </c>
      <c r="Z214" s="79" t="s">
        <v>3575</v>
      </c>
      <c r="AA214" s="122"/>
      <c r="AB214" s="37"/>
      <c r="AC214" s="38"/>
      <c r="AD214" s="79"/>
      <c r="AE214" s="208">
        <f>ROUND((ROUND((ROUND((ROUND((_15_同援日１．５*_15・通訳),0)*_15・２人),0)*(1+_15・A深夜)),0)*(1+_15・盲ろう)),0)+ROUND((ROUND((ROUND((ROUND((_15_同援日１．５＿１．０*_15・通訳),0)*_15・２人),0)*(1+_15・B早朝)),0)*(1+_15・盲ろう)),0)+ROUND((ROUND((ROUND((_15_同援日１．５＿１．０＿０．５*_15・通訳),0)*_15・２人),0)*(1+_15・盲ろう)),0)</f>
        <v>988</v>
      </c>
      <c r="AF214" s="48"/>
    </row>
    <row r="215" spans="1:32" ht="16.5" customHeight="1" x14ac:dyDescent="0.15">
      <c r="A215" s="41">
        <v>15</v>
      </c>
      <c r="B215" s="41" t="s">
        <v>3538</v>
      </c>
      <c r="C215" s="74" t="s">
        <v>28793</v>
      </c>
      <c r="D215" s="72"/>
      <c r="F215" s="57"/>
      <c r="G215" s="72"/>
      <c r="I215" s="57"/>
      <c r="J215" s="72"/>
      <c r="L215" s="57"/>
      <c r="M215" s="35"/>
      <c r="P215" s="299"/>
      <c r="Q215" s="45"/>
      <c r="R215" s="46"/>
      <c r="S215" s="512"/>
      <c r="T215" s="57"/>
      <c r="U215" s="512"/>
      <c r="V215" s="57"/>
      <c r="W215" s="114"/>
      <c r="X215" s="49"/>
      <c r="Y215" s="50"/>
      <c r="Z215" s="115"/>
      <c r="AA215" s="114" t="s">
        <v>17570</v>
      </c>
      <c r="AB215" s="49"/>
      <c r="AC215" s="50"/>
      <c r="AD215" s="115"/>
      <c r="AE215" s="208">
        <f>ROUND((ROUND((ROUND((_15_同援日１．５*_15・通訳),0)*(1+_15・A深夜)),0)*(1+_15・区３)),0)+ROUND((ROUND((ROUND((_15_同援日１．５＿１．０*_15・通訳),0)*(1+_15・B早朝)),0)*(1+_15・区３)),0)+ROUND((ROUND((_15_同援日１．５＿１．０＿０．５*_15・通訳),0)*(1+_15・区３)),0)</f>
        <v>948</v>
      </c>
      <c r="AF215" s="48"/>
    </row>
    <row r="216" spans="1:32" ht="16.5" customHeight="1" x14ac:dyDescent="0.15">
      <c r="A216" s="41">
        <v>15</v>
      </c>
      <c r="B216" s="41" t="s">
        <v>3540</v>
      </c>
      <c r="C216" s="74" t="s">
        <v>28794</v>
      </c>
      <c r="D216" s="72"/>
      <c r="F216" s="57"/>
      <c r="G216" s="72"/>
      <c r="I216" s="57"/>
      <c r="J216" s="72"/>
      <c r="L216" s="57"/>
      <c r="M216" s="35"/>
      <c r="P216" s="299" t="s">
        <v>17556</v>
      </c>
      <c r="Q216" s="45" t="s">
        <v>398</v>
      </c>
      <c r="R216" s="46">
        <v>1</v>
      </c>
      <c r="S216" s="512"/>
      <c r="T216" s="57"/>
      <c r="U216" s="512"/>
      <c r="V216" s="57"/>
      <c r="W216" s="122"/>
      <c r="X216" s="37"/>
      <c r="Y216" s="38"/>
      <c r="Z216" s="79"/>
      <c r="AA216" s="72" t="s">
        <v>17572</v>
      </c>
      <c r="AD216" s="57"/>
      <c r="AE216" s="208">
        <f>ROUND((ROUND((ROUND((ROUND((_15_同援日１．５*_15・通訳),0)*_15・２人),0)*(1+_15・A深夜)),0)*(1+_15・区３)),0)+ROUND((ROUND((ROUND((ROUND((_15_同援日１．５＿１．０*_15・通訳),0)*_15・２人),0)*(1+_15・B早朝)),0)*(1+_15・区３)),0)+ROUND((ROUND((ROUND((_15_同援日１．５＿１．０＿０．５*_15・通訳),0)*_15・２人),0)*(1+_15・区３)),0)</f>
        <v>948</v>
      </c>
      <c r="AF216" s="48"/>
    </row>
    <row r="217" spans="1:32" ht="16.5" customHeight="1" x14ac:dyDescent="0.15">
      <c r="A217" s="41">
        <v>15</v>
      </c>
      <c r="B217" s="41" t="s">
        <v>28795</v>
      </c>
      <c r="C217" s="74" t="s">
        <v>28796</v>
      </c>
      <c r="D217" s="72"/>
      <c r="F217" s="57"/>
      <c r="G217" s="72"/>
      <c r="I217" s="57"/>
      <c r="J217" s="72"/>
      <c r="L217" s="57"/>
      <c r="M217" s="35"/>
      <c r="P217" s="299"/>
      <c r="Q217" s="45"/>
      <c r="R217" s="46"/>
      <c r="S217" s="512"/>
      <c r="T217" s="57"/>
      <c r="U217" s="512"/>
      <c r="V217" s="57"/>
      <c r="W217" s="114" t="s">
        <v>17562</v>
      </c>
      <c r="X217" s="49"/>
      <c r="Y217" s="50"/>
      <c r="Z217" s="115"/>
      <c r="AA217" s="72"/>
      <c r="AB217" s="12" t="s">
        <v>398</v>
      </c>
      <c r="AC217" s="13">
        <v>0.2</v>
      </c>
      <c r="AD217" s="57" t="s">
        <v>3575</v>
      </c>
      <c r="AE217" s="208">
        <f>ROUND((ROUND((ROUND((ROUND((_15_同援日１．５*_15・通訳),0)*(1+_15・A深夜)),0)*(1+_15・盲ろう)),0)*(1+_15・区３)),0)+ROUND((ROUND((ROUND((ROUND((_15_同援日１．５＿１．０*_15・通訳),0)*(1+_15・B早朝)),0)*(1+_15・盲ろう)),0)*(1+_15・区３)),0)+ROUND((ROUND((ROUND((_15_同援日１．５＿１．０＿０．５*_15・通訳),0)*(1+_15・盲ろう)),0)*(1+_15・区３)),0)</f>
        <v>1186</v>
      </c>
      <c r="AF217" s="48"/>
    </row>
    <row r="218" spans="1:32" ht="16.5" customHeight="1" x14ac:dyDescent="0.15">
      <c r="A218" s="41">
        <v>15</v>
      </c>
      <c r="B218" s="41" t="s">
        <v>28797</v>
      </c>
      <c r="C218" s="74" t="s">
        <v>28798</v>
      </c>
      <c r="D218" s="72"/>
      <c r="F218" s="57"/>
      <c r="G218" s="72"/>
      <c r="I218" s="57"/>
      <c r="J218" s="72"/>
      <c r="L218" s="57"/>
      <c r="M218" s="35"/>
      <c r="P218" s="299" t="s">
        <v>17556</v>
      </c>
      <c r="Q218" s="45" t="s">
        <v>398</v>
      </c>
      <c r="R218" s="46">
        <v>1</v>
      </c>
      <c r="S218" s="512"/>
      <c r="T218" s="57"/>
      <c r="U218" s="512"/>
      <c r="V218" s="57"/>
      <c r="W218" s="122" t="s">
        <v>17564</v>
      </c>
      <c r="X218" s="37" t="s">
        <v>398</v>
      </c>
      <c r="Y218" s="38">
        <v>0.25</v>
      </c>
      <c r="Z218" s="79" t="s">
        <v>3575</v>
      </c>
      <c r="AA218" s="122"/>
      <c r="AB218" s="37"/>
      <c r="AC218" s="38"/>
      <c r="AD218" s="79"/>
      <c r="AE218" s="208">
        <f>ROUND((ROUND((ROUND((ROUND((ROUND((_15_同援日１．５*_15・通訳),0)*_15・２人),0)*(1+_15・A深夜)),0)*(1+_15・盲ろう)),0)*(1+_15・区３)),0)+ROUND((ROUND((ROUND((ROUND((ROUND((_15_同援日１．５＿１．０*_15・通訳),0)*_15・２人),0)*(1+_15・B早朝)),0)*(1+_15・盲ろう)),0)*(1+_15・区３)),0)+ROUND((ROUND((ROUND((ROUND((_15_同援日１．５＿１．０＿０．５*_15・通訳),0)*_15・２人),0)*(1+_15・盲ろう)),0)*(1+_15・区３)),0)</f>
        <v>1186</v>
      </c>
      <c r="AF218" s="48"/>
    </row>
    <row r="219" spans="1:32" ht="16.5" customHeight="1" x14ac:dyDescent="0.15">
      <c r="A219" s="41">
        <v>15</v>
      </c>
      <c r="B219" s="41" t="s">
        <v>28799</v>
      </c>
      <c r="C219" s="74" t="s">
        <v>28800</v>
      </c>
      <c r="D219" s="72"/>
      <c r="F219" s="57"/>
      <c r="G219" s="72"/>
      <c r="I219" s="57"/>
      <c r="J219" s="72"/>
      <c r="L219" s="57"/>
      <c r="M219" s="35"/>
      <c r="P219" s="299"/>
      <c r="Q219" s="45"/>
      <c r="R219" s="46"/>
      <c r="S219" s="512"/>
      <c r="T219" s="57"/>
      <c r="U219" s="512"/>
      <c r="V219" s="57"/>
      <c r="W219" s="114"/>
      <c r="X219" s="49"/>
      <c r="Y219" s="50"/>
      <c r="Z219" s="115"/>
      <c r="AA219" s="114" t="s">
        <v>17580</v>
      </c>
      <c r="AB219" s="49"/>
      <c r="AC219" s="50"/>
      <c r="AD219" s="115"/>
      <c r="AE219" s="208">
        <f>ROUND((ROUND((ROUND((_15_同援日１．５*_15・通訳),0)*(1+_15・A深夜)),0)*(1+_15・区４)),0)+ROUND((ROUND((ROUND((_15_同援日１．５＿１．０*_15・通訳),0)*(1+_15・B早朝)),0)*(1+_15・区４)),0)+ROUND((ROUND((_15_同援日１．５＿１．０＿０．５*_15・通訳),0)*(1+_15・区４)),0)</f>
        <v>1106</v>
      </c>
      <c r="AF219" s="48"/>
    </row>
    <row r="220" spans="1:32" ht="16.5" customHeight="1" x14ac:dyDescent="0.15">
      <c r="A220" s="41">
        <v>15</v>
      </c>
      <c r="B220" s="41" t="s">
        <v>28801</v>
      </c>
      <c r="C220" s="74" t="s">
        <v>28802</v>
      </c>
      <c r="D220" s="72"/>
      <c r="F220" s="57"/>
      <c r="G220" s="72"/>
      <c r="I220" s="57"/>
      <c r="J220" s="72"/>
      <c r="L220" s="57"/>
      <c r="M220" s="35"/>
      <c r="P220" s="299" t="s">
        <v>17556</v>
      </c>
      <c r="Q220" s="45" t="s">
        <v>398</v>
      </c>
      <c r="R220" s="46">
        <v>1</v>
      </c>
      <c r="S220" s="512"/>
      <c r="T220" s="57"/>
      <c r="U220" s="512"/>
      <c r="V220" s="57"/>
      <c r="W220" s="122"/>
      <c r="X220" s="37"/>
      <c r="Y220" s="38"/>
      <c r="Z220" s="79"/>
      <c r="AA220" s="72" t="s">
        <v>17572</v>
      </c>
      <c r="AD220" s="57"/>
      <c r="AE220" s="208">
        <f>ROUND((ROUND((ROUND((ROUND((_15_同援日１．５*_15・通訳),0)*_15・２人),0)*(1+_15・A深夜)),0)*(1+_15・区４)),0)+ROUND((ROUND((ROUND((ROUND((_15_同援日１．５＿１．０*_15・通訳),0)*_15・２人),0)*(1+_15・B早朝)),0)*(1+_15・区４)),0)+ROUND((ROUND((ROUND((_15_同援日１．５＿１．０＿０．５*_15・通訳),0)*_15・２人),0)*(1+_15・区４)),0)</f>
        <v>1106</v>
      </c>
      <c r="AF220" s="48"/>
    </row>
    <row r="221" spans="1:32" ht="16.5" customHeight="1" x14ac:dyDescent="0.15">
      <c r="A221" s="41">
        <v>15</v>
      </c>
      <c r="B221" s="41" t="s">
        <v>28803</v>
      </c>
      <c r="C221" s="74" t="s">
        <v>28804</v>
      </c>
      <c r="D221" s="72"/>
      <c r="F221" s="57"/>
      <c r="G221" s="72"/>
      <c r="I221" s="57"/>
      <c r="J221" s="72"/>
      <c r="L221" s="57"/>
      <c r="M221" s="35"/>
      <c r="P221" s="299"/>
      <c r="Q221" s="45"/>
      <c r="R221" s="46"/>
      <c r="S221" s="512"/>
      <c r="T221" s="57"/>
      <c r="U221" s="512"/>
      <c r="V221" s="57"/>
      <c r="W221" s="114" t="s">
        <v>17562</v>
      </c>
      <c r="X221" s="49"/>
      <c r="Y221" s="50"/>
      <c r="Z221" s="115"/>
      <c r="AA221" s="72"/>
      <c r="AB221" s="12" t="s">
        <v>398</v>
      </c>
      <c r="AC221" s="13">
        <v>0.4</v>
      </c>
      <c r="AD221" s="57" t="s">
        <v>3575</v>
      </c>
      <c r="AE221" s="208">
        <f>ROUND((ROUND((ROUND((ROUND((_15_同援日１．５*_15・通訳),0)*(1+_15・A深夜)),0)*(1+_15・盲ろう)),0)*(1+_15・区４)),0)+ROUND((ROUND((ROUND((ROUND((_15_同援日１．５＿１．０*_15・通訳),0)*(1+_15・B早朝)),0)*(1+_15・盲ろう)),0)*(1+_15・区４)),0)+ROUND((ROUND((ROUND((_15_同援日１．５＿１．０＿０．５*_15・通訳),0)*(1+_15・盲ろう)),0)*(1+_15・区４)),0)</f>
        <v>1383</v>
      </c>
      <c r="AF221" s="48"/>
    </row>
    <row r="222" spans="1:32" ht="16.5" customHeight="1" x14ac:dyDescent="0.15">
      <c r="A222" s="41">
        <v>15</v>
      </c>
      <c r="B222" s="41" t="s">
        <v>28805</v>
      </c>
      <c r="C222" s="74" t="s">
        <v>28806</v>
      </c>
      <c r="D222" s="122"/>
      <c r="E222" s="37"/>
      <c r="F222" s="79"/>
      <c r="G222" s="122"/>
      <c r="H222" s="37"/>
      <c r="I222" s="79"/>
      <c r="J222" s="72"/>
      <c r="L222" s="57"/>
      <c r="M222" s="35"/>
      <c r="P222" s="299" t="s">
        <v>17556</v>
      </c>
      <c r="Q222" s="45" t="s">
        <v>398</v>
      </c>
      <c r="R222" s="46">
        <v>1</v>
      </c>
      <c r="S222" s="512"/>
      <c r="T222" s="57"/>
      <c r="U222" s="512"/>
      <c r="V222" s="57"/>
      <c r="W222" s="122" t="s">
        <v>17564</v>
      </c>
      <c r="X222" s="37" t="s">
        <v>398</v>
      </c>
      <c r="Y222" s="38">
        <v>0.25</v>
      </c>
      <c r="Z222" s="79" t="s">
        <v>3575</v>
      </c>
      <c r="AA222" s="122"/>
      <c r="AB222" s="37"/>
      <c r="AC222" s="38"/>
      <c r="AD222" s="79"/>
      <c r="AE222" s="208">
        <f>ROUND((ROUND((ROUND((ROUND((ROUND((_15_同援日１．５*_15・通訳),0)*_15・２人),0)*(1+_15・A深夜)),0)*(1+_15・盲ろう)),0)*(1+_15・区４)),0)+ROUND((ROUND((ROUND((ROUND((ROUND((_15_同援日１．５＿１．０*_15・通訳),0)*_15・２人),0)*(1+_15・B早朝)),0)*(1+_15・盲ろう)),0)*(1+_15・区４)),0)+ROUND((ROUND((ROUND((ROUND((_15_同援日１．５＿１．０＿０．５*_15・通訳),0)*_15・２人),0)*(1+_15・盲ろう)),0)*(1+_15・区４)),0)</f>
        <v>1383</v>
      </c>
      <c r="AF222" s="48"/>
    </row>
    <row r="223" spans="1:32" ht="16.5" customHeight="1" x14ac:dyDescent="0.15">
      <c r="A223" s="41">
        <v>15</v>
      </c>
      <c r="B223" s="41" t="s">
        <v>28807</v>
      </c>
      <c r="C223" s="74" t="s">
        <v>28808</v>
      </c>
      <c r="D223" s="114" t="s">
        <v>18563</v>
      </c>
      <c r="E223" s="49"/>
      <c r="F223" s="115"/>
      <c r="G223" s="114" t="s">
        <v>18819</v>
      </c>
      <c r="H223" s="49"/>
      <c r="I223" s="115"/>
      <c r="J223" s="114" t="s">
        <v>19919</v>
      </c>
      <c r="K223" s="49"/>
      <c r="L223" s="115"/>
      <c r="M223" s="35"/>
      <c r="P223" s="299"/>
      <c r="Q223" s="45"/>
      <c r="R223" s="46"/>
      <c r="S223" s="512"/>
      <c r="T223" s="57"/>
      <c r="U223" s="512"/>
      <c r="V223" s="57"/>
      <c r="W223" s="114"/>
      <c r="X223" s="49"/>
      <c r="Y223" s="50"/>
      <c r="Z223" s="115"/>
      <c r="AA223" s="114"/>
      <c r="AB223" s="49"/>
      <c r="AC223" s="50"/>
      <c r="AD223" s="115"/>
      <c r="AE223" s="208">
        <f>ROUND((ROUND((_15_同援日２．０*_15・通訳),0)*(1+_15・A深夜)),0)+ROUND((ROUND((_15_同援日２．０＿０．５*_15・通訳),0)*(1+_15・B早朝)),0)+ROUND((_15_同援日２．０＿０．５＿０．５*_15・通訳),0)</f>
        <v>805</v>
      </c>
      <c r="AF223" s="48"/>
    </row>
    <row r="224" spans="1:32" ht="16.5" customHeight="1" x14ac:dyDescent="0.15">
      <c r="A224" s="41">
        <v>15</v>
      </c>
      <c r="B224" s="41" t="s">
        <v>28809</v>
      </c>
      <c r="C224" s="74" t="s">
        <v>28810</v>
      </c>
      <c r="D224" s="72" t="s">
        <v>17643</v>
      </c>
      <c r="F224" s="57"/>
      <c r="G224" s="72" t="s">
        <v>18259</v>
      </c>
      <c r="I224" s="57"/>
      <c r="J224" s="72" t="s">
        <v>18259</v>
      </c>
      <c r="L224" s="57"/>
      <c r="M224" s="35"/>
      <c r="P224" s="299" t="s">
        <v>17556</v>
      </c>
      <c r="Q224" s="45" t="s">
        <v>398</v>
      </c>
      <c r="R224" s="46">
        <v>1</v>
      </c>
      <c r="S224" s="512"/>
      <c r="T224" s="57"/>
      <c r="U224" s="512"/>
      <c r="V224" s="57"/>
      <c r="W224" s="122"/>
      <c r="X224" s="37"/>
      <c r="Y224" s="38"/>
      <c r="Z224" s="79"/>
      <c r="AA224" s="72"/>
      <c r="AD224" s="57"/>
      <c r="AE224" s="208">
        <f>ROUND((ROUND((ROUND((_15_同援日２．０*_15・通訳),0)*_15・２人),0)*(1+_15・A深夜)),0)+ROUND((ROUND((ROUND((_15_同援日２．０＿０．５*_15・通訳),0)*_15・２人),0)*(1+_15・B早朝)),0)+ROUND((ROUND((_15_同援日２．０＿０．５＿０．５*_15・通訳),0)*_15・２人),0)</f>
        <v>805</v>
      </c>
      <c r="AF224" s="48"/>
    </row>
    <row r="225" spans="1:32" ht="16.5" customHeight="1" x14ac:dyDescent="0.15">
      <c r="A225" s="41">
        <v>15</v>
      </c>
      <c r="B225" s="41" t="s">
        <v>3545</v>
      </c>
      <c r="C225" s="74" t="s">
        <v>28811</v>
      </c>
      <c r="D225" s="72" t="s">
        <v>17645</v>
      </c>
      <c r="F225" s="57"/>
      <c r="G225" s="72"/>
      <c r="I225" s="57"/>
      <c r="J225" s="72"/>
      <c r="L225" s="57"/>
      <c r="M225" s="35"/>
      <c r="P225" s="299"/>
      <c r="Q225" s="45"/>
      <c r="R225" s="46"/>
      <c r="S225" s="512"/>
      <c r="T225" s="57"/>
      <c r="U225" s="512"/>
      <c r="V225" s="57"/>
      <c r="W225" s="114" t="s">
        <v>17562</v>
      </c>
      <c r="X225" s="49"/>
      <c r="Y225" s="50"/>
      <c r="Z225" s="115"/>
      <c r="AA225" s="72"/>
      <c r="AD225" s="57"/>
      <c r="AE225" s="208">
        <f>ROUND((ROUND((ROUND((_15_同援日２．０*_15・通訳),0)*(1+_15・A深夜)),0)*(1+_15・盲ろう)),0)+ROUND((ROUND((ROUND((_15_同援日２．０＿０．５*_15・通訳),0)*(1+_15・B早朝)),0)*(1+_15・盲ろう)),0)+ROUND((ROUND((_15_同援日２．０＿０．５＿０．５*_15・通訳),0)*(1+_15・盲ろう)),0)</f>
        <v>1007</v>
      </c>
      <c r="AF225" s="48"/>
    </row>
    <row r="226" spans="1:32" ht="16.5" customHeight="1" x14ac:dyDescent="0.15">
      <c r="A226" s="41">
        <v>15</v>
      </c>
      <c r="B226" s="41" t="s">
        <v>3547</v>
      </c>
      <c r="C226" s="74" t="s">
        <v>28812</v>
      </c>
      <c r="D226" s="72"/>
      <c r="E226" s="168">
        <f>_15_同援日２．０</f>
        <v>498</v>
      </c>
      <c r="F226" s="57" t="s">
        <v>392</v>
      </c>
      <c r="G226" s="72"/>
      <c r="H226" s="168">
        <f>_15_同援日２．０＿０．５</f>
        <v>65</v>
      </c>
      <c r="I226" s="57" t="s">
        <v>392</v>
      </c>
      <c r="J226" s="72"/>
      <c r="K226" s="168">
        <f>_15_同援日２．０＿０．５＿０．５</f>
        <v>65</v>
      </c>
      <c r="L226" s="57" t="s">
        <v>392</v>
      </c>
      <c r="M226" s="35"/>
      <c r="P226" s="299" t="s">
        <v>17556</v>
      </c>
      <c r="Q226" s="45" t="s">
        <v>398</v>
      </c>
      <c r="R226" s="46">
        <v>1</v>
      </c>
      <c r="S226" s="512"/>
      <c r="T226" s="57"/>
      <c r="U226" s="512"/>
      <c r="V226" s="57"/>
      <c r="W226" s="122" t="s">
        <v>17564</v>
      </c>
      <c r="X226" s="37" t="s">
        <v>398</v>
      </c>
      <c r="Y226" s="38">
        <v>0.25</v>
      </c>
      <c r="Z226" s="79" t="s">
        <v>3575</v>
      </c>
      <c r="AA226" s="122"/>
      <c r="AB226" s="37"/>
      <c r="AC226" s="38"/>
      <c r="AD226" s="79"/>
      <c r="AE226" s="208">
        <f>ROUND((ROUND((ROUND((ROUND((_15_同援日２．０*_15・通訳),0)*_15・２人),0)*(1+_15・A深夜)),0)*(1+_15・盲ろう)),0)+ROUND((ROUND((ROUND((ROUND((_15_同援日２．０＿０．５*_15・通訳),0)*_15・２人),0)*(1+_15・B早朝)),0)*(1+_15・盲ろう)),0)+ROUND((ROUND((ROUND((_15_同援日２．０＿０．５＿０．５*_15・通訳),0)*_15・２人),0)*(1+_15・盲ろう)),0)</f>
        <v>1007</v>
      </c>
      <c r="AF226" s="48"/>
    </row>
    <row r="227" spans="1:32" ht="16.5" customHeight="1" x14ac:dyDescent="0.15">
      <c r="A227" s="41">
        <v>15</v>
      </c>
      <c r="B227" s="41" t="s">
        <v>28813</v>
      </c>
      <c r="C227" s="74" t="s">
        <v>28814</v>
      </c>
      <c r="D227" s="72"/>
      <c r="F227" s="57"/>
      <c r="G227" s="72"/>
      <c r="I227" s="57"/>
      <c r="J227" s="72"/>
      <c r="L227" s="57"/>
      <c r="M227" s="35"/>
      <c r="P227" s="299"/>
      <c r="Q227" s="45"/>
      <c r="R227" s="46"/>
      <c r="S227" s="512"/>
      <c r="T227" s="57"/>
      <c r="U227" s="512"/>
      <c r="V227" s="57"/>
      <c r="W227" s="114"/>
      <c r="X227" s="49"/>
      <c r="Y227" s="50"/>
      <c r="Z227" s="115"/>
      <c r="AA227" s="114" t="s">
        <v>17570</v>
      </c>
      <c r="AB227" s="49"/>
      <c r="AC227" s="50"/>
      <c r="AD227" s="115"/>
      <c r="AE227" s="208">
        <f>ROUND((ROUND((ROUND((_15_同援日２．０*_15・通訳),0)*(1+_15・A深夜)),0)*(1+_15・区３)),0)+ROUND((ROUND((ROUND((_15_同援日２．０＿０．５*_15・通訳),0)*(1+_15・B早朝)),0)*(1+_15・区３)),0)+ROUND((ROUND((_15_同援日２．０＿０．５＿０．５*_15・通訳),0)*(1+_15・区３)),0)</f>
        <v>966</v>
      </c>
      <c r="AF227" s="48"/>
    </row>
    <row r="228" spans="1:32" ht="16.5" customHeight="1" x14ac:dyDescent="0.15">
      <c r="A228" s="41">
        <v>15</v>
      </c>
      <c r="B228" s="41" t="s">
        <v>28815</v>
      </c>
      <c r="C228" s="74" t="s">
        <v>28816</v>
      </c>
      <c r="D228" s="72"/>
      <c r="F228" s="57"/>
      <c r="G228" s="72"/>
      <c r="I228" s="57"/>
      <c r="J228" s="72"/>
      <c r="L228" s="57"/>
      <c r="M228" s="35"/>
      <c r="P228" s="299" t="s">
        <v>17556</v>
      </c>
      <c r="Q228" s="45" t="s">
        <v>398</v>
      </c>
      <c r="R228" s="46">
        <v>1</v>
      </c>
      <c r="S228" s="512"/>
      <c r="T228" s="57"/>
      <c r="U228" s="512"/>
      <c r="V228" s="57"/>
      <c r="W228" s="122"/>
      <c r="X228" s="37"/>
      <c r="Y228" s="38"/>
      <c r="Z228" s="79"/>
      <c r="AA228" s="72" t="s">
        <v>17572</v>
      </c>
      <c r="AD228" s="57"/>
      <c r="AE228" s="208">
        <f>ROUND((ROUND((ROUND((ROUND((_15_同援日２．０*_15・通訳),0)*_15・２人),0)*(1+_15・A深夜)),0)*(1+_15・区３)),0)+ROUND((ROUND((ROUND((ROUND((_15_同援日２．０＿０．５*_15・通訳),0)*_15・２人),0)*(1+_15・B早朝)),0)*(1+_15・区３)),0)+ROUND((ROUND((ROUND((_15_同援日２．０＿０．５＿０．５*_15・通訳),0)*_15・２人),0)*(1+_15・区３)),0)</f>
        <v>966</v>
      </c>
      <c r="AF228" s="48"/>
    </row>
    <row r="229" spans="1:32" ht="16.5" customHeight="1" x14ac:dyDescent="0.15">
      <c r="A229" s="41">
        <v>15</v>
      </c>
      <c r="B229" s="41" t="s">
        <v>28817</v>
      </c>
      <c r="C229" s="74" t="s">
        <v>28818</v>
      </c>
      <c r="D229" s="72"/>
      <c r="F229" s="57"/>
      <c r="G229" s="72"/>
      <c r="I229" s="57"/>
      <c r="J229" s="72"/>
      <c r="L229" s="57"/>
      <c r="M229" s="35"/>
      <c r="P229" s="299"/>
      <c r="Q229" s="45"/>
      <c r="R229" s="46"/>
      <c r="S229" s="512"/>
      <c r="T229" s="57"/>
      <c r="U229" s="512"/>
      <c r="V229" s="57"/>
      <c r="W229" s="114" t="s">
        <v>17562</v>
      </c>
      <c r="X229" s="49"/>
      <c r="Y229" s="50"/>
      <c r="Z229" s="115"/>
      <c r="AA229" s="72"/>
      <c r="AB229" s="12" t="s">
        <v>398</v>
      </c>
      <c r="AC229" s="13">
        <v>0.2</v>
      </c>
      <c r="AD229" s="57" t="s">
        <v>3575</v>
      </c>
      <c r="AE229" s="208">
        <f>ROUND((ROUND((ROUND((ROUND((_15_同援日２．０*_15・通訳),0)*(1+_15・A深夜)),0)*(1+_15・盲ろう)),0)*(1+_15・区３)),0)+ROUND((ROUND((ROUND((ROUND((_15_同援日２．０＿０．５*_15・通訳),0)*(1+_15・B早朝)),0)*(1+_15・盲ろう)),0)*(1+_15・区３)),0)+ROUND((ROUND((ROUND((_15_同援日２．０＿０．５＿０．５*_15・通訳),0)*(1+_15・盲ろう)),0)*(1+_15・区３)),0)</f>
        <v>1209</v>
      </c>
      <c r="AF229" s="48"/>
    </row>
    <row r="230" spans="1:32" ht="16.5" customHeight="1" x14ac:dyDescent="0.15">
      <c r="A230" s="41">
        <v>15</v>
      </c>
      <c r="B230" s="41" t="s">
        <v>28819</v>
      </c>
      <c r="C230" s="74" t="s">
        <v>28820</v>
      </c>
      <c r="D230" s="72"/>
      <c r="F230" s="57"/>
      <c r="G230" s="72"/>
      <c r="I230" s="57"/>
      <c r="J230" s="72"/>
      <c r="L230" s="57"/>
      <c r="M230" s="35"/>
      <c r="P230" s="299" t="s">
        <v>17556</v>
      </c>
      <c r="Q230" s="45" t="s">
        <v>398</v>
      </c>
      <c r="R230" s="46">
        <v>1</v>
      </c>
      <c r="S230" s="512"/>
      <c r="T230" s="57"/>
      <c r="U230" s="512"/>
      <c r="V230" s="57"/>
      <c r="W230" s="122" t="s">
        <v>17564</v>
      </c>
      <c r="X230" s="37" t="s">
        <v>398</v>
      </c>
      <c r="Y230" s="38">
        <v>0.25</v>
      </c>
      <c r="Z230" s="79" t="s">
        <v>3575</v>
      </c>
      <c r="AA230" s="122"/>
      <c r="AB230" s="37"/>
      <c r="AC230" s="38"/>
      <c r="AD230" s="79"/>
      <c r="AE230" s="208">
        <f>ROUND((ROUND((ROUND((ROUND((ROUND((_15_同援日２．０*_15・通訳),0)*_15・２人),0)*(1+_15・A深夜)),0)*(1+_15・盲ろう)),0)*(1+_15・区３)),0)+ROUND((ROUND((ROUND((ROUND((ROUND((_15_同援日２．０＿０．５*_15・通訳),0)*_15・２人),0)*(1+_15・B早朝)),0)*(1+_15・盲ろう)),0)*(1+_15・区３)),0)+ROUND((ROUND((ROUND((ROUND((_15_同援日２．０＿０．５＿０．５*_15・通訳),0)*_15・２人),0)*(1+_15・盲ろう)),0)*(1+_15・区３)),0)</f>
        <v>1209</v>
      </c>
      <c r="AF230" s="48"/>
    </row>
    <row r="231" spans="1:32" ht="16.5" customHeight="1" x14ac:dyDescent="0.15">
      <c r="A231" s="41">
        <v>15</v>
      </c>
      <c r="B231" s="41" t="s">
        <v>28821</v>
      </c>
      <c r="C231" s="74" t="s">
        <v>28822</v>
      </c>
      <c r="D231" s="72"/>
      <c r="F231" s="57"/>
      <c r="G231" s="72"/>
      <c r="I231" s="57"/>
      <c r="J231" s="72"/>
      <c r="L231" s="57"/>
      <c r="M231" s="35"/>
      <c r="P231" s="299"/>
      <c r="Q231" s="45"/>
      <c r="R231" s="46"/>
      <c r="S231" s="512"/>
      <c r="T231" s="57"/>
      <c r="U231" s="512"/>
      <c r="V231" s="57"/>
      <c r="W231" s="114"/>
      <c r="X231" s="49"/>
      <c r="Y231" s="50"/>
      <c r="Z231" s="115"/>
      <c r="AA231" s="114" t="s">
        <v>17580</v>
      </c>
      <c r="AB231" s="49"/>
      <c r="AC231" s="50"/>
      <c r="AD231" s="115"/>
      <c r="AE231" s="208">
        <f>ROUND((ROUND((ROUND((_15_同援日２．０*_15・通訳),0)*(1+_15・A深夜)),0)*(1+_15・区４)),0)+ROUND((ROUND((ROUND((_15_同援日２．０＿０．５*_15・通訳),0)*(1+_15・B早朝)),0)*(1+_15・区４)),0)+ROUND((ROUND((_15_同援日２．０＿０．５＿０．５*_15・通訳),0)*(1+_15・区４)),0)</f>
        <v>1128</v>
      </c>
      <c r="AF231" s="48"/>
    </row>
    <row r="232" spans="1:32" ht="16.5" customHeight="1" x14ac:dyDescent="0.15">
      <c r="A232" s="41">
        <v>15</v>
      </c>
      <c r="B232" s="41" t="s">
        <v>28823</v>
      </c>
      <c r="C232" s="74" t="s">
        <v>28824</v>
      </c>
      <c r="D232" s="72"/>
      <c r="F232" s="57"/>
      <c r="G232" s="72"/>
      <c r="I232" s="57"/>
      <c r="J232" s="72"/>
      <c r="L232" s="57"/>
      <c r="M232" s="35"/>
      <c r="P232" s="299" t="s">
        <v>17556</v>
      </c>
      <c r="Q232" s="45" t="s">
        <v>398</v>
      </c>
      <c r="R232" s="46">
        <v>1</v>
      </c>
      <c r="S232" s="512"/>
      <c r="T232" s="57"/>
      <c r="U232" s="512"/>
      <c r="V232" s="57"/>
      <c r="W232" s="122"/>
      <c r="X232" s="37"/>
      <c r="Y232" s="38"/>
      <c r="Z232" s="79"/>
      <c r="AA232" s="72" t="s">
        <v>17572</v>
      </c>
      <c r="AD232" s="57"/>
      <c r="AE232" s="208">
        <f>ROUND((ROUND((ROUND((ROUND((_15_同援日２．０*_15・通訳),0)*_15・２人),0)*(1+_15・A深夜)),0)*(1+_15・区４)),0)+ROUND((ROUND((ROUND((ROUND((_15_同援日２．０＿０．５*_15・通訳),0)*_15・２人),0)*(1+_15・B早朝)),0)*(1+_15・区４)),0)+ROUND((ROUND((ROUND((_15_同援日２．０＿０．５＿０．５*_15・通訳),0)*_15・２人),0)*(1+_15・区４)),0)</f>
        <v>1128</v>
      </c>
      <c r="AF232" s="48"/>
    </row>
    <row r="233" spans="1:32" ht="16.5" customHeight="1" x14ac:dyDescent="0.15">
      <c r="A233" s="41">
        <v>15</v>
      </c>
      <c r="B233" s="41" t="s">
        <v>28825</v>
      </c>
      <c r="C233" s="74" t="s">
        <v>28826</v>
      </c>
      <c r="D233" s="72"/>
      <c r="F233" s="57"/>
      <c r="G233" s="72"/>
      <c r="I233" s="57"/>
      <c r="J233" s="72"/>
      <c r="L233" s="57"/>
      <c r="M233" s="35"/>
      <c r="P233" s="299"/>
      <c r="Q233" s="45"/>
      <c r="R233" s="46"/>
      <c r="S233" s="512"/>
      <c r="T233" s="57"/>
      <c r="U233" s="512"/>
      <c r="V233" s="57"/>
      <c r="W233" s="114" t="s">
        <v>17562</v>
      </c>
      <c r="X233" s="49"/>
      <c r="Y233" s="50"/>
      <c r="Z233" s="115"/>
      <c r="AA233" s="72"/>
      <c r="AB233" s="12" t="s">
        <v>398</v>
      </c>
      <c r="AC233" s="13">
        <v>0.4</v>
      </c>
      <c r="AD233" s="57" t="s">
        <v>3575</v>
      </c>
      <c r="AE233" s="208">
        <f>ROUND((ROUND((ROUND((ROUND((_15_同援日２．０*_15・通訳),0)*(1+_15・A深夜)),0)*(1+_15・盲ろう)),0)*(1+_15・区４)),0)+ROUND((ROUND((ROUND((ROUND((_15_同援日２．０＿０．５*_15・通訳),0)*(1+_15・B早朝)),0)*(1+_15・盲ろう)),0)*(1+_15・区４)),0)+ROUND((ROUND((ROUND((_15_同援日２．０＿０．５＿０．５*_15・通訳),0)*(1+_15・盲ろう)),0)*(1+_15・区４)),0)</f>
        <v>1410</v>
      </c>
      <c r="AF233" s="48"/>
    </row>
    <row r="234" spans="1:32" ht="16.5" customHeight="1" x14ac:dyDescent="0.15">
      <c r="A234" s="41">
        <v>15</v>
      </c>
      <c r="B234" s="41" t="s">
        <v>28827</v>
      </c>
      <c r="C234" s="74" t="s">
        <v>28828</v>
      </c>
      <c r="D234" s="122"/>
      <c r="E234" s="37"/>
      <c r="F234" s="79"/>
      <c r="G234" s="122"/>
      <c r="H234" s="37"/>
      <c r="I234" s="79"/>
      <c r="J234" s="122"/>
      <c r="K234" s="37"/>
      <c r="L234" s="79"/>
      <c r="M234" s="43"/>
      <c r="N234" s="37"/>
      <c r="O234" s="38"/>
      <c r="P234" s="299" t="s">
        <v>17556</v>
      </c>
      <c r="Q234" s="45" t="s">
        <v>398</v>
      </c>
      <c r="R234" s="46">
        <v>1</v>
      </c>
      <c r="S234" s="514"/>
      <c r="T234" s="79"/>
      <c r="U234" s="514"/>
      <c r="V234" s="79"/>
      <c r="W234" s="122" t="s">
        <v>17564</v>
      </c>
      <c r="X234" s="37" t="s">
        <v>398</v>
      </c>
      <c r="Y234" s="38">
        <v>0.25</v>
      </c>
      <c r="Z234" s="79" t="s">
        <v>3575</v>
      </c>
      <c r="AA234" s="122"/>
      <c r="AB234" s="37"/>
      <c r="AC234" s="38"/>
      <c r="AD234" s="79"/>
      <c r="AE234" s="208">
        <f>ROUND((ROUND((ROUND((ROUND((ROUND((_15_同援日２．０*_15・通訳),0)*_15・２人),0)*(1+_15・A深夜)),0)*(1+_15・盲ろう)),0)*(1+_15・区４)),0)+ROUND((ROUND((ROUND((ROUND((ROUND((_15_同援日２．０＿０．５*_15・通訳),0)*_15・２人),0)*(1+_15・B早朝)),0)*(1+_15・盲ろう)),0)*(1+_15・区４)),0)+ROUND((ROUND((ROUND((ROUND((_15_同援日２．０＿０．５＿０．５*_15・通訳),0)*_15・２人),0)*(1+_15・盲ろう)),0)*(1+_15・区４)),0)</f>
        <v>1410</v>
      </c>
      <c r="AF234" s="63"/>
    </row>
    <row r="235" spans="1:32" ht="16.5" customHeight="1" x14ac:dyDescent="0.15"/>
    <row r="236" spans="1:32"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39" fitToHeight="0" orientation="portrait" r:id="rId1"/>
  <headerFooter>
    <oddHeader>&amp;R&amp;"ＭＳ Ｐゴシック"&amp;9同行援護</oddHeader>
    <oddFooter>&amp;C&amp;"ＭＳ Ｐゴシック"&amp;14&amp;P</oddFooter>
  </headerFooter>
  <rowBreaks count="1" manualBreakCount="1">
    <brk id="114" max="16383"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4">
    <pageSetUpPr fitToPage="1"/>
  </sheetPr>
  <dimension ref="A1:AA188"/>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4.5" style="10" customWidth="1"/>
    <col min="5" max="5" width="4.125" style="12" bestFit="1" customWidth="1"/>
    <col min="6" max="6" width="4.875" style="12" bestFit="1" customWidth="1"/>
    <col min="7" max="7" width="4.5" style="10" customWidth="1"/>
    <col min="8" max="8" width="4.125" style="12" bestFit="1" customWidth="1"/>
    <col min="9" max="9" width="4.875" style="12" bestFit="1" customWidth="1"/>
    <col min="10" max="10" width="16.125" style="12" customWidth="1"/>
    <col min="11" max="11" width="3.125" style="12" bestFit="1" customWidth="1"/>
    <col min="12" max="12" width="4.125" style="13" bestFit="1" customWidth="1"/>
    <col min="13" max="13" width="26.5" style="12" bestFit="1" customWidth="1"/>
    <col min="14" max="14" width="3.125" style="12" bestFit="1" customWidth="1"/>
    <col min="15" max="15" width="5" style="13" bestFit="1" customWidth="1"/>
    <col min="16" max="16" width="4.125" style="13" bestFit="1" customWidth="1"/>
    <col min="17" max="17" width="4.875" style="12" bestFit="1" customWidth="1"/>
    <col min="18" max="18" width="21.5" style="12" customWidth="1"/>
    <col min="19" max="19" width="3.125" style="12" bestFit="1" customWidth="1"/>
    <col min="20" max="20" width="4.125" style="13" bestFit="1" customWidth="1"/>
    <col min="21" max="21" width="4.875" style="12" bestFit="1" customWidth="1"/>
    <col min="22" max="22" width="8.125" style="12" customWidth="1"/>
    <col min="23" max="23" width="3.125" style="12" bestFit="1" customWidth="1"/>
    <col min="24" max="24" width="4.125" style="13" bestFit="1" customWidth="1"/>
    <col min="25" max="25" width="4.875" style="12" bestFit="1" customWidth="1"/>
    <col min="26" max="26" width="7.125" style="206" customWidth="1"/>
    <col min="27" max="27" width="8.5" style="16" customWidth="1"/>
    <col min="28" max="16384" width="9" style="12"/>
  </cols>
  <sheetData>
    <row r="1" spans="1:27" ht="17.100000000000001" customHeight="1" x14ac:dyDescent="0.15"/>
    <row r="2" spans="1:27" ht="17.100000000000001" customHeight="1" x14ac:dyDescent="0.15"/>
    <row r="3" spans="1:27" ht="17.100000000000001" customHeight="1" x14ac:dyDescent="0.15"/>
    <row r="4" spans="1:27" ht="17.100000000000001" customHeight="1" x14ac:dyDescent="0.15">
      <c r="B4" s="17" t="s">
        <v>28829</v>
      </c>
      <c r="D4" s="71"/>
    </row>
    <row r="5" spans="1:27" ht="16.5" customHeight="1" x14ac:dyDescent="0.15">
      <c r="A5" s="19" t="s">
        <v>384</v>
      </c>
      <c r="B5" s="20"/>
      <c r="C5" s="21" t="s">
        <v>385</v>
      </c>
      <c r="D5" s="23" t="s">
        <v>386</v>
      </c>
      <c r="E5" s="23"/>
      <c r="F5" s="23"/>
      <c r="G5" s="23"/>
      <c r="H5" s="23"/>
      <c r="I5" s="23"/>
      <c r="J5" s="23"/>
      <c r="K5" s="23"/>
      <c r="L5" s="24"/>
      <c r="M5" s="23"/>
      <c r="N5" s="23"/>
      <c r="O5" s="24"/>
      <c r="P5" s="24"/>
      <c r="Q5" s="23"/>
      <c r="R5" s="23"/>
      <c r="S5" s="23"/>
      <c r="T5" s="24"/>
      <c r="U5" s="23"/>
      <c r="V5" s="23"/>
      <c r="W5" s="23"/>
      <c r="X5" s="24"/>
      <c r="Y5" s="23"/>
      <c r="Z5" s="21" t="s">
        <v>387</v>
      </c>
      <c r="AA5" s="21" t="s">
        <v>388</v>
      </c>
    </row>
    <row r="6" spans="1:27" ht="16.5" customHeight="1" x14ac:dyDescent="0.15">
      <c r="A6" s="26" t="s">
        <v>389</v>
      </c>
      <c r="B6" s="26" t="s">
        <v>390</v>
      </c>
      <c r="C6" s="27"/>
      <c r="D6" s="87" t="s">
        <v>1032</v>
      </c>
      <c r="E6" s="187"/>
      <c r="F6" s="20"/>
      <c r="G6" s="29"/>
      <c r="H6" s="29"/>
      <c r="I6" s="29"/>
      <c r="J6" s="29"/>
      <c r="K6" s="29"/>
      <c r="L6" s="30"/>
      <c r="M6" s="29"/>
      <c r="N6" s="29"/>
      <c r="O6" s="30"/>
      <c r="P6" s="30"/>
      <c r="Q6" s="29"/>
      <c r="R6" s="29"/>
      <c r="S6" s="29"/>
      <c r="T6" s="30"/>
      <c r="U6" s="29"/>
      <c r="V6" s="29"/>
      <c r="W6" s="29"/>
      <c r="X6" s="30"/>
      <c r="Y6" s="29"/>
      <c r="Z6" s="32" t="s">
        <v>391</v>
      </c>
      <c r="AA6" s="32" t="s">
        <v>392</v>
      </c>
    </row>
    <row r="7" spans="1:27" ht="16.5" customHeight="1" x14ac:dyDescent="0.15">
      <c r="A7" s="33">
        <v>15</v>
      </c>
      <c r="B7" s="33" t="s">
        <v>3552</v>
      </c>
      <c r="C7" s="34" t="s">
        <v>28830</v>
      </c>
      <c r="D7" s="72" t="s">
        <v>18487</v>
      </c>
      <c r="F7" s="57"/>
      <c r="G7" s="72" t="s">
        <v>19187</v>
      </c>
      <c r="I7" s="57"/>
      <c r="J7" s="35"/>
      <c r="M7" s="43"/>
      <c r="N7" s="37"/>
      <c r="O7" s="38"/>
      <c r="P7" s="512"/>
      <c r="Q7" s="57"/>
      <c r="R7" s="35"/>
      <c r="U7" s="57"/>
      <c r="V7" s="35"/>
      <c r="Y7" s="57"/>
      <c r="Z7" s="207">
        <f>ROUND((ROUND((_15_同援日０．５*_15・通訳),0)*(1+_15・A深夜)),0)+ROUND((_15_同援日０．５＿０．５*_15・通訳),0)</f>
        <v>356</v>
      </c>
      <c r="AA7" s="40" t="s">
        <v>395</v>
      </c>
    </row>
    <row r="8" spans="1:27" ht="16.5" customHeight="1" x14ac:dyDescent="0.15">
      <c r="A8" s="41">
        <v>15</v>
      </c>
      <c r="B8" s="41" t="s">
        <v>3554</v>
      </c>
      <c r="C8" s="74" t="s">
        <v>28831</v>
      </c>
      <c r="D8" s="72" t="s">
        <v>18259</v>
      </c>
      <c r="F8" s="57"/>
      <c r="G8" s="72" t="s">
        <v>18259</v>
      </c>
      <c r="I8" s="57"/>
      <c r="J8" s="35"/>
      <c r="M8" s="299" t="s">
        <v>17556</v>
      </c>
      <c r="N8" s="45" t="s">
        <v>398</v>
      </c>
      <c r="O8" s="46">
        <v>1</v>
      </c>
      <c r="P8" s="512"/>
      <c r="Q8" s="57"/>
      <c r="R8" s="43"/>
      <c r="S8" s="37"/>
      <c r="T8" s="38"/>
      <c r="U8" s="79"/>
      <c r="V8" s="35"/>
      <c r="Y8" s="57"/>
      <c r="Z8" s="208">
        <f>ROUND((ROUND((ROUND((_15_同援日０．５*_15・通訳),0)*_15・２人),0)*(1+_15・A深夜)),0)+ROUND((ROUND((_15_同援日０．５＿０．５*_15・通訳),0)*_15・２人),0)</f>
        <v>356</v>
      </c>
      <c r="AA8" s="48"/>
    </row>
    <row r="9" spans="1:27" ht="16.5" customHeight="1" x14ac:dyDescent="0.15">
      <c r="A9" s="41">
        <v>15</v>
      </c>
      <c r="B9" s="41" t="s">
        <v>28832</v>
      </c>
      <c r="C9" s="74" t="s">
        <v>28833</v>
      </c>
      <c r="D9" s="72"/>
      <c r="F9" s="57"/>
      <c r="G9" s="72"/>
      <c r="I9" s="57"/>
      <c r="J9" s="35"/>
      <c r="M9" s="163"/>
      <c r="N9" s="45"/>
      <c r="O9" s="46"/>
      <c r="P9" s="512"/>
      <c r="Q9" s="57"/>
      <c r="R9" s="114" t="s">
        <v>17562</v>
      </c>
      <c r="S9" s="49"/>
      <c r="T9" s="50"/>
      <c r="U9" s="115"/>
      <c r="V9" s="35"/>
      <c r="Y9" s="57"/>
      <c r="Z9" s="208">
        <f>ROUND((ROUND((ROUND((_15_同援日０．５*_15・通訳),0)*(1+_15・A深夜)),0)*(1+_15・盲ろう)),0)+ROUND((ROUND((_15_同援日０．５＿０．５*_15・通訳),0)*(1+_15・盲ろう)),0)</f>
        <v>445</v>
      </c>
      <c r="AA9" s="48"/>
    </row>
    <row r="10" spans="1:27" ht="16.5" customHeight="1" x14ac:dyDescent="0.15">
      <c r="A10" s="41">
        <v>15</v>
      </c>
      <c r="B10" s="41" t="s">
        <v>28834</v>
      </c>
      <c r="C10" s="74" t="s">
        <v>28835</v>
      </c>
      <c r="D10" s="72"/>
      <c r="E10" s="168">
        <f>_15_同援日０．５</f>
        <v>190</v>
      </c>
      <c r="F10" s="57" t="s">
        <v>392</v>
      </c>
      <c r="G10" s="72"/>
      <c r="H10" s="168">
        <f>_15_同援日０．５＿０．５</f>
        <v>110</v>
      </c>
      <c r="I10" s="57" t="s">
        <v>392</v>
      </c>
      <c r="J10" s="35"/>
      <c r="M10" s="299" t="s">
        <v>17556</v>
      </c>
      <c r="N10" s="45" t="s">
        <v>398</v>
      </c>
      <c r="O10" s="46">
        <v>1</v>
      </c>
      <c r="P10" s="512"/>
      <c r="Q10" s="57"/>
      <c r="R10" s="269" t="s">
        <v>17564</v>
      </c>
      <c r="S10" s="37" t="s">
        <v>398</v>
      </c>
      <c r="T10" s="38">
        <v>0.25</v>
      </c>
      <c r="U10" s="79" t="s">
        <v>3575</v>
      </c>
      <c r="V10" s="43"/>
      <c r="W10" s="37"/>
      <c r="X10" s="38"/>
      <c r="Y10" s="79"/>
      <c r="Z10" s="208">
        <f>ROUND((ROUND((ROUND((ROUND((_15_同援日０．５*_15・通訳),0)*_15・２人),0)*(1+_15・A深夜)),0)*(1+_15・盲ろう)),0)+ROUND((ROUND((ROUND((_15_同援日０．５＿０．５*_15・通訳),0)*_15・２人),0)*(1+_15・盲ろう)),0)</f>
        <v>445</v>
      </c>
      <c r="AA10" s="48"/>
    </row>
    <row r="11" spans="1:27" ht="16.5" customHeight="1" x14ac:dyDescent="0.15">
      <c r="A11" s="41">
        <v>15</v>
      </c>
      <c r="B11" s="41" t="s">
        <v>28836</v>
      </c>
      <c r="C11" s="74" t="s">
        <v>28837</v>
      </c>
      <c r="D11" s="72"/>
      <c r="F11" s="57"/>
      <c r="G11" s="72"/>
      <c r="I11" s="57"/>
      <c r="J11" s="35"/>
      <c r="M11" s="163"/>
      <c r="N11" s="45"/>
      <c r="O11" s="46"/>
      <c r="P11" s="512"/>
      <c r="Q11" s="57"/>
      <c r="R11" s="53"/>
      <c r="S11" s="49"/>
      <c r="T11" s="50"/>
      <c r="U11" s="115"/>
      <c r="V11" s="114" t="s">
        <v>17570</v>
      </c>
      <c r="W11" s="49"/>
      <c r="X11" s="50"/>
      <c r="Y11" s="115"/>
      <c r="Z11" s="208">
        <f>ROUND((ROUND((ROUND((_15_同援日０．５*_15・通訳),0)*(1+_15・A深夜)),0)*(1+_15・区３)),0)+ROUND((ROUND((_15_同援日０．５＿０．５*_15・通訳),0)*(1+_15・区３)),0)</f>
        <v>427</v>
      </c>
      <c r="AA11" s="48"/>
    </row>
    <row r="12" spans="1:27" ht="16.5" customHeight="1" x14ac:dyDescent="0.15">
      <c r="A12" s="41">
        <v>15</v>
      </c>
      <c r="B12" s="41" t="s">
        <v>28838</v>
      </c>
      <c r="C12" s="74" t="s">
        <v>28839</v>
      </c>
      <c r="D12" s="72"/>
      <c r="F12" s="57"/>
      <c r="G12" s="72"/>
      <c r="I12" s="57"/>
      <c r="J12" s="72" t="s">
        <v>25732</v>
      </c>
      <c r="M12" s="299" t="s">
        <v>17556</v>
      </c>
      <c r="N12" s="45" t="s">
        <v>398</v>
      </c>
      <c r="O12" s="46">
        <v>1</v>
      </c>
      <c r="P12" s="512" t="s">
        <v>18493</v>
      </c>
      <c r="Q12" s="57"/>
      <c r="R12" s="43"/>
      <c r="S12" s="37"/>
      <c r="T12" s="38"/>
      <c r="U12" s="79"/>
      <c r="V12" s="92" t="s">
        <v>17572</v>
      </c>
      <c r="Y12" s="57"/>
      <c r="Z12" s="208">
        <f>ROUND((ROUND((ROUND((ROUND((_15_同援日０．５*_15・通訳),0)*_15・２人),0)*(1+_15・A深夜)),0)*(1+_15・区３)),0)+ROUND((ROUND((ROUND((_15_同援日０．５＿０．５*_15・通訳),0)*_15・２人),0)*(1+_15・区３)),0)</f>
        <v>427</v>
      </c>
      <c r="AA12" s="48"/>
    </row>
    <row r="13" spans="1:27" ht="16.5" customHeight="1" x14ac:dyDescent="0.15">
      <c r="A13" s="41">
        <v>15</v>
      </c>
      <c r="B13" s="41" t="s">
        <v>28840</v>
      </c>
      <c r="C13" s="74" t="s">
        <v>28841</v>
      </c>
      <c r="D13" s="72"/>
      <c r="F13" s="57"/>
      <c r="G13" s="72"/>
      <c r="I13" s="57"/>
      <c r="J13" s="92" t="s">
        <v>25734</v>
      </c>
      <c r="K13" s="12" t="s">
        <v>398</v>
      </c>
      <c r="L13" s="13">
        <v>0.9</v>
      </c>
      <c r="M13" s="163"/>
      <c r="N13" s="45"/>
      <c r="O13" s="46"/>
      <c r="P13" s="512"/>
      <c r="Q13" s="513" t="s">
        <v>18826</v>
      </c>
      <c r="R13" s="114" t="s">
        <v>17562</v>
      </c>
      <c r="S13" s="49"/>
      <c r="T13" s="50"/>
      <c r="U13" s="115"/>
      <c r="V13" s="35"/>
      <c r="W13" s="12" t="s">
        <v>398</v>
      </c>
      <c r="X13" s="13">
        <v>0.2</v>
      </c>
      <c r="Y13" s="57" t="s">
        <v>3575</v>
      </c>
      <c r="Z13" s="208">
        <f>ROUND((ROUND((ROUND((ROUND((_15_同援日０．５*_15・通訳),0)*(1+_15・A深夜)),0)*(1+_15・盲ろう)),0)*(1+_15・区３)),0)+ROUND((ROUND((ROUND((_15_同援日０．５＿０．５*_15・通訳),0)*(1+_15・盲ろう)),0)*(1+_15・区３)),0)</f>
        <v>534</v>
      </c>
      <c r="AA13" s="48"/>
    </row>
    <row r="14" spans="1:27" ht="16.5" customHeight="1" x14ac:dyDescent="0.15">
      <c r="A14" s="41">
        <v>15</v>
      </c>
      <c r="B14" s="41" t="s">
        <v>28842</v>
      </c>
      <c r="C14" s="74" t="s">
        <v>28843</v>
      </c>
      <c r="D14" s="72"/>
      <c r="F14" s="57"/>
      <c r="G14" s="72"/>
      <c r="I14" s="57"/>
      <c r="J14" s="35"/>
      <c r="M14" s="299" t="s">
        <v>17556</v>
      </c>
      <c r="N14" s="45" t="s">
        <v>398</v>
      </c>
      <c r="O14" s="46">
        <v>1</v>
      </c>
      <c r="P14" s="512"/>
      <c r="Q14" s="57"/>
      <c r="R14" s="269" t="s">
        <v>17564</v>
      </c>
      <c r="S14" s="37" t="s">
        <v>398</v>
      </c>
      <c r="T14" s="38">
        <v>0.25</v>
      </c>
      <c r="U14" s="79" t="s">
        <v>3575</v>
      </c>
      <c r="V14" s="43"/>
      <c r="W14" s="37"/>
      <c r="X14" s="38"/>
      <c r="Y14" s="79"/>
      <c r="Z14" s="208">
        <f>ROUND((ROUND((ROUND((ROUND((ROUND((_15_同援日０．５*_15・通訳),0)*_15・２人),0)*(1+_15・A深夜)),0)*(1+_15・盲ろう)),0)*(1+_15・区３)),0)+ROUND((ROUND((ROUND((ROUND((_15_同援日０．５＿０．５*_15・通訳),0)*_15・２人),0)*(1+_15・盲ろう)),0)*(1+_15・区３)),0)</f>
        <v>534</v>
      </c>
      <c r="AA14" s="48"/>
    </row>
    <row r="15" spans="1:27" ht="16.5" customHeight="1" x14ac:dyDescent="0.15">
      <c r="A15" s="41">
        <v>15</v>
      </c>
      <c r="B15" s="41" t="s">
        <v>28844</v>
      </c>
      <c r="C15" s="74" t="s">
        <v>28845</v>
      </c>
      <c r="D15" s="72"/>
      <c r="F15" s="57"/>
      <c r="G15" s="72"/>
      <c r="I15" s="57"/>
      <c r="J15" s="35"/>
      <c r="M15" s="163"/>
      <c r="N15" s="45"/>
      <c r="O15" s="46"/>
      <c r="P15" s="35" t="s">
        <v>398</v>
      </c>
      <c r="Q15" s="234">
        <v>0.5</v>
      </c>
      <c r="R15" s="53"/>
      <c r="S15" s="49"/>
      <c r="T15" s="50"/>
      <c r="U15" s="115"/>
      <c r="V15" s="114" t="s">
        <v>17580</v>
      </c>
      <c r="W15" s="49"/>
      <c r="X15" s="50"/>
      <c r="Y15" s="115"/>
      <c r="Z15" s="208">
        <f>ROUND((ROUND((ROUND((_15_同援日０．５*_15・通訳),0)*(1+_15・A深夜)),0)*(1+_15・区４)),0)+ROUND((ROUND((_15_同援日０．５＿０．５*_15・通訳),0)*(1+_15・区４)),0)</f>
        <v>499</v>
      </c>
      <c r="AA15" s="48"/>
    </row>
    <row r="16" spans="1:27" ht="16.5" customHeight="1" x14ac:dyDescent="0.15">
      <c r="A16" s="41">
        <v>15</v>
      </c>
      <c r="B16" s="41" t="s">
        <v>28846</v>
      </c>
      <c r="C16" s="74" t="s">
        <v>28847</v>
      </c>
      <c r="D16" s="72"/>
      <c r="F16" s="57"/>
      <c r="G16" s="72"/>
      <c r="I16" s="57"/>
      <c r="J16" s="35"/>
      <c r="M16" s="299" t="s">
        <v>17556</v>
      </c>
      <c r="N16" s="45" t="s">
        <v>398</v>
      </c>
      <c r="O16" s="46">
        <v>1</v>
      </c>
      <c r="P16" s="512"/>
      <c r="Q16" s="513" t="s">
        <v>3575</v>
      </c>
      <c r="R16" s="43"/>
      <c r="S16" s="37"/>
      <c r="T16" s="38"/>
      <c r="U16" s="79"/>
      <c r="V16" s="92" t="s">
        <v>17572</v>
      </c>
      <c r="Y16" s="57"/>
      <c r="Z16" s="208">
        <f>ROUND((ROUND((ROUND((ROUND((_15_同援日０．５*_15・通訳),0)*_15・２人),0)*(1+_15・A深夜)),0)*(1+_15・区４)),0)+ROUND((ROUND((ROUND((_15_同援日０．５＿０．５*_15・通訳),0)*_15・２人),0)*(1+_15・区４)),0)</f>
        <v>499</v>
      </c>
      <c r="AA16" s="48"/>
    </row>
    <row r="17" spans="1:27" ht="16.5" customHeight="1" x14ac:dyDescent="0.15">
      <c r="A17" s="41">
        <v>15</v>
      </c>
      <c r="B17" s="41" t="s">
        <v>3559</v>
      </c>
      <c r="C17" s="74" t="s">
        <v>28848</v>
      </c>
      <c r="D17" s="72"/>
      <c r="F17" s="57"/>
      <c r="G17" s="72"/>
      <c r="I17" s="57"/>
      <c r="J17" s="35"/>
      <c r="M17" s="163"/>
      <c r="N17" s="45"/>
      <c r="O17" s="46"/>
      <c r="P17" s="512"/>
      <c r="Q17" s="57"/>
      <c r="R17" s="114" t="s">
        <v>17562</v>
      </c>
      <c r="S17" s="49"/>
      <c r="T17" s="50"/>
      <c r="U17" s="115"/>
      <c r="V17" s="35"/>
      <c r="W17" s="12" t="s">
        <v>398</v>
      </c>
      <c r="X17" s="13">
        <v>0.4</v>
      </c>
      <c r="Y17" s="57" t="s">
        <v>3575</v>
      </c>
      <c r="Z17" s="208">
        <f>ROUND((ROUND((ROUND((ROUND((_15_同援日０．５*_15・通訳),0)*(1+_15・A深夜)),0)*(1+_15・盲ろう)),0)*(1+_15・区４)),0)+ROUND((ROUND((ROUND((_15_同援日０．５＿０．５*_15・通訳),0)*(1+_15・盲ろう)),0)*(1+_15・区４)),0)</f>
        <v>623</v>
      </c>
      <c r="AA17" s="48"/>
    </row>
    <row r="18" spans="1:27" ht="16.5" customHeight="1" x14ac:dyDescent="0.15">
      <c r="A18" s="41">
        <v>15</v>
      </c>
      <c r="B18" s="41" t="s">
        <v>3561</v>
      </c>
      <c r="C18" s="74" t="s">
        <v>28849</v>
      </c>
      <c r="D18" s="72"/>
      <c r="F18" s="57"/>
      <c r="G18" s="122"/>
      <c r="H18" s="37"/>
      <c r="I18" s="79"/>
      <c r="J18" s="35"/>
      <c r="M18" s="299" t="s">
        <v>17556</v>
      </c>
      <c r="N18" s="45" t="s">
        <v>398</v>
      </c>
      <c r="O18" s="46">
        <v>1</v>
      </c>
      <c r="P18" s="512"/>
      <c r="Q18" s="57"/>
      <c r="R18" s="269" t="s">
        <v>17564</v>
      </c>
      <c r="S18" s="37" t="s">
        <v>398</v>
      </c>
      <c r="T18" s="38">
        <v>0.25</v>
      </c>
      <c r="U18" s="79" t="s">
        <v>3575</v>
      </c>
      <c r="V18" s="43"/>
      <c r="W18" s="37"/>
      <c r="X18" s="38"/>
      <c r="Y18" s="79"/>
      <c r="Z18" s="208">
        <f>ROUND((ROUND((ROUND((ROUND((ROUND((_15_同援日０．５*_15・通訳),0)*_15・２人),0)*(1+_15・A深夜)),0)*(1+_15・盲ろう)),0)*(1+_15・区４)),0)+ROUND((ROUND((ROUND((ROUND((_15_同援日０．５＿０．５*_15・通訳),0)*_15・２人),0)*(1+_15・盲ろう)),0)*(1+_15・区４)),0)</f>
        <v>623</v>
      </c>
      <c r="AA18" s="48"/>
    </row>
    <row r="19" spans="1:27" ht="16.5" customHeight="1" x14ac:dyDescent="0.15">
      <c r="A19" s="41">
        <v>15</v>
      </c>
      <c r="B19" s="41" t="s">
        <v>28850</v>
      </c>
      <c r="C19" s="74" t="s">
        <v>28851</v>
      </c>
      <c r="D19" s="72"/>
      <c r="F19" s="57"/>
      <c r="G19" s="114" t="s">
        <v>19212</v>
      </c>
      <c r="H19" s="49"/>
      <c r="I19" s="115"/>
      <c r="J19" s="35"/>
      <c r="M19" s="163"/>
      <c r="N19" s="45"/>
      <c r="O19" s="46"/>
      <c r="P19" s="512"/>
      <c r="Q19" s="57"/>
      <c r="R19" s="53"/>
      <c r="S19" s="49"/>
      <c r="T19" s="50"/>
      <c r="U19" s="115"/>
      <c r="V19" s="53"/>
      <c r="W19" s="49"/>
      <c r="X19" s="50"/>
      <c r="Y19" s="115"/>
      <c r="Z19" s="208">
        <f>ROUND((ROUND((_15_同援日０．５*_15・通訳),0)*(1+_15・A深夜)),0)+ROUND((_15_同援日０．５＿１．０*_15・通訳),0)</f>
        <v>476</v>
      </c>
      <c r="AA19" s="48"/>
    </row>
    <row r="20" spans="1:27" ht="16.5" customHeight="1" x14ac:dyDescent="0.15">
      <c r="A20" s="41">
        <v>15</v>
      </c>
      <c r="B20" s="41" t="s">
        <v>28852</v>
      </c>
      <c r="C20" s="74" t="s">
        <v>28853</v>
      </c>
      <c r="D20" s="72"/>
      <c r="F20" s="57"/>
      <c r="G20" s="72" t="s">
        <v>17589</v>
      </c>
      <c r="I20" s="57"/>
      <c r="J20" s="35"/>
      <c r="M20" s="299" t="s">
        <v>17556</v>
      </c>
      <c r="N20" s="45" t="s">
        <v>398</v>
      </c>
      <c r="O20" s="46">
        <v>1</v>
      </c>
      <c r="P20" s="512"/>
      <c r="Q20" s="57"/>
      <c r="R20" s="43"/>
      <c r="S20" s="37"/>
      <c r="T20" s="38"/>
      <c r="U20" s="79"/>
      <c r="V20" s="35"/>
      <c r="Y20" s="57"/>
      <c r="Z20" s="208">
        <f>ROUND((ROUND((ROUND((_15_同援日０．５*_15・通訳),0)*_15・２人),0)*(1+_15・A深夜)),0)+ROUND((ROUND((_15_同援日０．５＿１．０*_15・通訳),0)*_15・２人),0)</f>
        <v>476</v>
      </c>
      <c r="AA20" s="48"/>
    </row>
    <row r="21" spans="1:27" ht="16.5" customHeight="1" x14ac:dyDescent="0.15">
      <c r="A21" s="41">
        <v>15</v>
      </c>
      <c r="B21" s="41" t="s">
        <v>28854</v>
      </c>
      <c r="C21" s="74" t="s">
        <v>28855</v>
      </c>
      <c r="D21" s="72"/>
      <c r="F21" s="57"/>
      <c r="G21" s="72" t="s">
        <v>17591</v>
      </c>
      <c r="I21" s="57"/>
      <c r="J21" s="35"/>
      <c r="M21" s="163"/>
      <c r="N21" s="45"/>
      <c r="O21" s="46"/>
      <c r="P21" s="512"/>
      <c r="Q21" s="57"/>
      <c r="R21" s="114" t="s">
        <v>17562</v>
      </c>
      <c r="S21" s="49"/>
      <c r="T21" s="50"/>
      <c r="U21" s="115"/>
      <c r="V21" s="35"/>
      <c r="Y21" s="57"/>
      <c r="Z21" s="208">
        <f>ROUND((ROUND((ROUND((_15_同援日０．５*_15・通訳),0)*(1+_15・A深夜)),0)*(1+_15・盲ろう)),0)+ROUND((ROUND((_15_同援日０．５＿１．０*_15・通訳),0)*(1+_15・盲ろう)),0)</f>
        <v>595</v>
      </c>
      <c r="AA21" s="48"/>
    </row>
    <row r="22" spans="1:27" ht="16.5" customHeight="1" x14ac:dyDescent="0.15">
      <c r="A22" s="41">
        <v>15</v>
      </c>
      <c r="B22" s="41" t="s">
        <v>28856</v>
      </c>
      <c r="C22" s="74" t="s">
        <v>28857</v>
      </c>
      <c r="D22" s="72"/>
      <c r="F22" s="57"/>
      <c r="G22" s="72"/>
      <c r="H22" s="168">
        <f>_15_同援日０．５＿１．０</f>
        <v>243</v>
      </c>
      <c r="I22" s="57" t="s">
        <v>392</v>
      </c>
      <c r="J22" s="35"/>
      <c r="M22" s="299" t="s">
        <v>17556</v>
      </c>
      <c r="N22" s="45" t="s">
        <v>398</v>
      </c>
      <c r="O22" s="46">
        <v>1</v>
      </c>
      <c r="P22" s="512"/>
      <c r="Q22" s="57"/>
      <c r="R22" s="269" t="s">
        <v>17564</v>
      </c>
      <c r="S22" s="37" t="s">
        <v>398</v>
      </c>
      <c r="T22" s="38">
        <v>0.25</v>
      </c>
      <c r="U22" s="79" t="s">
        <v>3575</v>
      </c>
      <c r="V22" s="43"/>
      <c r="W22" s="37"/>
      <c r="X22" s="38"/>
      <c r="Y22" s="79"/>
      <c r="Z22" s="208">
        <f>ROUND((ROUND((ROUND((ROUND((_15_同援日０．５*_15・通訳),0)*_15・２人),0)*(1+_15・A深夜)),0)*(1+_15・盲ろう)),0)+ROUND((ROUND((ROUND((_15_同援日０．５＿１．０*_15・通訳),0)*_15・２人),0)*(1+_15・盲ろう)),0)</f>
        <v>595</v>
      </c>
      <c r="AA22" s="48"/>
    </row>
    <row r="23" spans="1:27" ht="16.5" customHeight="1" x14ac:dyDescent="0.15">
      <c r="A23" s="41">
        <v>15</v>
      </c>
      <c r="B23" s="41" t="s">
        <v>28858</v>
      </c>
      <c r="C23" s="74" t="s">
        <v>28859</v>
      </c>
      <c r="D23" s="72"/>
      <c r="F23" s="57"/>
      <c r="G23" s="72"/>
      <c r="I23" s="57"/>
      <c r="J23" s="35"/>
      <c r="M23" s="163"/>
      <c r="N23" s="45"/>
      <c r="O23" s="46"/>
      <c r="P23" s="512"/>
      <c r="Q23" s="57"/>
      <c r="R23" s="53"/>
      <c r="S23" s="49"/>
      <c r="T23" s="50"/>
      <c r="U23" s="115"/>
      <c r="V23" s="114" t="s">
        <v>17570</v>
      </c>
      <c r="W23" s="49"/>
      <c r="X23" s="50"/>
      <c r="Y23" s="115"/>
      <c r="Z23" s="208">
        <f>ROUND((ROUND((ROUND((_15_同援日０．５*_15・通訳),0)*(1+_15・A深夜)),0)*(1+_15・区３)),0)+ROUND((ROUND((_15_同援日０．５＿１．０*_15・通訳),0)*(1+_15・区３)),0)</f>
        <v>571</v>
      </c>
      <c r="AA23" s="48"/>
    </row>
    <row r="24" spans="1:27" ht="16.5" customHeight="1" x14ac:dyDescent="0.15">
      <c r="A24" s="41">
        <v>15</v>
      </c>
      <c r="B24" s="41" t="s">
        <v>28860</v>
      </c>
      <c r="C24" s="74" t="s">
        <v>28861</v>
      </c>
      <c r="D24" s="72"/>
      <c r="F24" s="57"/>
      <c r="G24" s="72"/>
      <c r="I24" s="57"/>
      <c r="J24" s="35"/>
      <c r="M24" s="299" t="s">
        <v>17556</v>
      </c>
      <c r="N24" s="45" t="s">
        <v>398</v>
      </c>
      <c r="O24" s="46">
        <v>1</v>
      </c>
      <c r="P24" s="512"/>
      <c r="Q24" s="57"/>
      <c r="R24" s="43"/>
      <c r="S24" s="37"/>
      <c r="T24" s="38"/>
      <c r="U24" s="79"/>
      <c r="V24" s="92" t="s">
        <v>17572</v>
      </c>
      <c r="Y24" s="57"/>
      <c r="Z24" s="208">
        <f>ROUND((ROUND((ROUND((ROUND((_15_同援日０．５*_15・通訳),0)*_15・２人),0)*(1+_15・A深夜)),0)*(1+_15・区３)),0)+ROUND((ROUND((ROUND((_15_同援日０．５＿１．０*_15・通訳),0)*_15・２人),0)*(1+_15・区３)),0)</f>
        <v>571</v>
      </c>
      <c r="AA24" s="48"/>
    </row>
    <row r="25" spans="1:27" ht="16.5" customHeight="1" x14ac:dyDescent="0.15">
      <c r="A25" s="41">
        <v>15</v>
      </c>
      <c r="B25" s="41" t="s">
        <v>28862</v>
      </c>
      <c r="C25" s="74" t="s">
        <v>28863</v>
      </c>
      <c r="D25" s="72"/>
      <c r="F25" s="57"/>
      <c r="G25" s="72"/>
      <c r="I25" s="57"/>
      <c r="J25" s="35"/>
      <c r="M25" s="163"/>
      <c r="N25" s="45"/>
      <c r="O25" s="46"/>
      <c r="P25" s="512"/>
      <c r="Q25" s="57"/>
      <c r="R25" s="114" t="s">
        <v>17562</v>
      </c>
      <c r="S25" s="49"/>
      <c r="T25" s="50"/>
      <c r="U25" s="115"/>
      <c r="V25" s="35"/>
      <c r="W25" s="12" t="s">
        <v>398</v>
      </c>
      <c r="X25" s="13">
        <v>0.2</v>
      </c>
      <c r="Y25" s="57" t="s">
        <v>3575</v>
      </c>
      <c r="Z25" s="208">
        <f>ROUND((ROUND((ROUND((ROUND((_15_同援日０．５*_15・通訳),0)*(1+_15・A深夜)),0)*(1+_15・盲ろう)),0)*(1+_15・区３)),0)+ROUND((ROUND((ROUND((_15_同援日０．５＿１．０*_15・通訳),0)*(1+_15・盲ろう)),0)*(1+_15・区３)),0)</f>
        <v>714</v>
      </c>
      <c r="AA25" s="48"/>
    </row>
    <row r="26" spans="1:27" ht="16.5" customHeight="1" x14ac:dyDescent="0.15">
      <c r="A26" s="41">
        <v>15</v>
      </c>
      <c r="B26" s="41" t="s">
        <v>28864</v>
      </c>
      <c r="C26" s="74" t="s">
        <v>28865</v>
      </c>
      <c r="D26" s="72"/>
      <c r="F26" s="57"/>
      <c r="G26" s="72"/>
      <c r="I26" s="57"/>
      <c r="J26" s="35"/>
      <c r="M26" s="299" t="s">
        <v>17556</v>
      </c>
      <c r="N26" s="45" t="s">
        <v>398</v>
      </c>
      <c r="O26" s="46">
        <v>1</v>
      </c>
      <c r="P26" s="512"/>
      <c r="Q26" s="57"/>
      <c r="R26" s="269" t="s">
        <v>17564</v>
      </c>
      <c r="S26" s="37" t="s">
        <v>398</v>
      </c>
      <c r="T26" s="38">
        <v>0.25</v>
      </c>
      <c r="U26" s="79" t="s">
        <v>3575</v>
      </c>
      <c r="V26" s="43"/>
      <c r="W26" s="37"/>
      <c r="X26" s="38"/>
      <c r="Y26" s="79"/>
      <c r="Z26" s="208">
        <f>ROUND((ROUND((ROUND((ROUND((ROUND((_15_同援日０．５*_15・通訳),0)*_15・２人),0)*(1+_15・A深夜)),0)*(1+_15・盲ろう)),0)*(1+_15・区３)),0)+ROUND((ROUND((ROUND((ROUND((_15_同援日０．５＿１．０*_15・通訳),0)*_15・２人),0)*(1+_15・盲ろう)),0)*(1+_15・区３)),0)</f>
        <v>714</v>
      </c>
      <c r="AA26" s="48"/>
    </row>
    <row r="27" spans="1:27" ht="16.5" customHeight="1" x14ac:dyDescent="0.15">
      <c r="A27" s="41">
        <v>15</v>
      </c>
      <c r="B27" s="41" t="s">
        <v>3566</v>
      </c>
      <c r="C27" s="74" t="s">
        <v>28866</v>
      </c>
      <c r="D27" s="72"/>
      <c r="F27" s="57"/>
      <c r="G27" s="72"/>
      <c r="I27" s="57"/>
      <c r="J27" s="35"/>
      <c r="M27" s="163"/>
      <c r="N27" s="45"/>
      <c r="O27" s="46"/>
      <c r="P27" s="512"/>
      <c r="Q27" s="57"/>
      <c r="R27" s="53"/>
      <c r="S27" s="49"/>
      <c r="T27" s="50"/>
      <c r="U27" s="115"/>
      <c r="V27" s="114" t="s">
        <v>17580</v>
      </c>
      <c r="W27" s="49"/>
      <c r="X27" s="50"/>
      <c r="Y27" s="115"/>
      <c r="Z27" s="208">
        <f>ROUND((ROUND((ROUND((_15_同援日０．５*_15・通訳),0)*(1+_15・A深夜)),0)*(1+_15・区４)),0)+ROUND((ROUND((_15_同援日０．５＿１．０*_15・通訳),0)*(1+_15・区４)),0)</f>
        <v>667</v>
      </c>
      <c r="AA27" s="48"/>
    </row>
    <row r="28" spans="1:27" ht="16.5" customHeight="1" x14ac:dyDescent="0.15">
      <c r="A28" s="41">
        <v>15</v>
      </c>
      <c r="B28" s="41" t="s">
        <v>3568</v>
      </c>
      <c r="C28" s="74" t="s">
        <v>28867</v>
      </c>
      <c r="D28" s="72"/>
      <c r="F28" s="57"/>
      <c r="G28" s="72"/>
      <c r="I28" s="57"/>
      <c r="J28" s="35"/>
      <c r="M28" s="299" t="s">
        <v>17556</v>
      </c>
      <c r="N28" s="45" t="s">
        <v>398</v>
      </c>
      <c r="O28" s="46">
        <v>1</v>
      </c>
      <c r="P28" s="512"/>
      <c r="Q28" s="57"/>
      <c r="R28" s="43"/>
      <c r="S28" s="37"/>
      <c r="T28" s="38"/>
      <c r="U28" s="79"/>
      <c r="V28" s="92" t="s">
        <v>17572</v>
      </c>
      <c r="Y28" s="57"/>
      <c r="Z28" s="208">
        <f>ROUND((ROUND((ROUND((ROUND((_15_同援日０．５*_15・通訳),0)*_15・２人),0)*(1+_15・A深夜)),0)*(1+_15・区４)),0)+ROUND((ROUND((ROUND((_15_同援日０．５＿１．０*_15・通訳),0)*_15・２人),0)*(1+_15・区４)),0)</f>
        <v>667</v>
      </c>
      <c r="AA28" s="48"/>
    </row>
    <row r="29" spans="1:27" ht="16.5" customHeight="1" x14ac:dyDescent="0.15">
      <c r="A29" s="41">
        <v>15</v>
      </c>
      <c r="B29" s="41" t="s">
        <v>28868</v>
      </c>
      <c r="C29" s="74" t="s">
        <v>28869</v>
      </c>
      <c r="D29" s="72"/>
      <c r="F29" s="57"/>
      <c r="G29" s="72"/>
      <c r="I29" s="57"/>
      <c r="J29" s="35"/>
      <c r="M29" s="163"/>
      <c r="N29" s="45"/>
      <c r="O29" s="46"/>
      <c r="P29" s="512"/>
      <c r="Q29" s="57"/>
      <c r="R29" s="114" t="s">
        <v>17562</v>
      </c>
      <c r="S29" s="49"/>
      <c r="T29" s="50"/>
      <c r="U29" s="115"/>
      <c r="V29" s="35"/>
      <c r="W29" s="12" t="s">
        <v>398</v>
      </c>
      <c r="X29" s="13">
        <v>0.4</v>
      </c>
      <c r="Y29" s="57" t="s">
        <v>3575</v>
      </c>
      <c r="Z29" s="208">
        <f>ROUND((ROUND((ROUND((ROUND((_15_同援日０．５*_15・通訳),0)*(1+_15・A深夜)),0)*(1+_15・盲ろう)),0)*(1+_15・区４)),0)+ROUND((ROUND((ROUND((_15_同援日０．５＿１．０*_15・通訳),0)*(1+_15・盲ろう)),0)*(1+_15・区４)),0)</f>
        <v>833</v>
      </c>
      <c r="AA29" s="48"/>
    </row>
    <row r="30" spans="1:27" ht="16.5" customHeight="1" x14ac:dyDescent="0.15">
      <c r="A30" s="41">
        <v>15</v>
      </c>
      <c r="B30" s="41" t="s">
        <v>28870</v>
      </c>
      <c r="C30" s="74" t="s">
        <v>28871</v>
      </c>
      <c r="D30" s="72"/>
      <c r="F30" s="57"/>
      <c r="G30" s="122"/>
      <c r="H30" s="37"/>
      <c r="I30" s="79"/>
      <c r="J30" s="35"/>
      <c r="M30" s="299" t="s">
        <v>17556</v>
      </c>
      <c r="N30" s="45" t="s">
        <v>398</v>
      </c>
      <c r="O30" s="46">
        <v>1</v>
      </c>
      <c r="P30" s="512"/>
      <c r="Q30" s="57"/>
      <c r="R30" s="269" t="s">
        <v>17564</v>
      </c>
      <c r="S30" s="37" t="s">
        <v>398</v>
      </c>
      <c r="T30" s="38">
        <v>0.25</v>
      </c>
      <c r="U30" s="79" t="s">
        <v>3575</v>
      </c>
      <c r="V30" s="43"/>
      <c r="W30" s="37"/>
      <c r="X30" s="38"/>
      <c r="Y30" s="79"/>
      <c r="Z30" s="208">
        <f>ROUND((ROUND((ROUND((ROUND((ROUND((_15_同援日０．５*_15・通訳),0)*_15・２人),0)*(1+_15・A深夜)),0)*(1+_15・盲ろう)),0)*(1+_15・区４)),0)+ROUND((ROUND((ROUND((ROUND((_15_同援日０．５＿１．０*_15・通訳),0)*_15・２人),0)*(1+_15・盲ろう)),0)*(1+_15・区４)),0)</f>
        <v>833</v>
      </c>
      <c r="AA30" s="48"/>
    </row>
    <row r="31" spans="1:27" ht="16.5" customHeight="1" x14ac:dyDescent="0.15">
      <c r="A31" s="41">
        <v>15</v>
      </c>
      <c r="B31" s="41" t="s">
        <v>28872</v>
      </c>
      <c r="C31" s="74" t="s">
        <v>28873</v>
      </c>
      <c r="D31" s="72"/>
      <c r="F31" s="57"/>
      <c r="G31" s="114" t="s">
        <v>19237</v>
      </c>
      <c r="H31" s="49"/>
      <c r="I31" s="115"/>
      <c r="J31" s="35"/>
      <c r="M31" s="163"/>
      <c r="N31" s="45"/>
      <c r="O31" s="46"/>
      <c r="P31" s="512"/>
      <c r="Q31" s="57"/>
      <c r="R31" s="53"/>
      <c r="S31" s="49"/>
      <c r="T31" s="50"/>
      <c r="U31" s="115"/>
      <c r="V31" s="53"/>
      <c r="W31" s="49"/>
      <c r="X31" s="50"/>
      <c r="Y31" s="115"/>
      <c r="Z31" s="208">
        <f>ROUND((ROUND((_15_同援日０．５*_15・通訳),0)*(1+_15・A深夜)),0)+ROUND((_15_同援日０．５＿１．５*_15・通訳),0)</f>
        <v>534</v>
      </c>
      <c r="AA31" s="48"/>
    </row>
    <row r="32" spans="1:27" ht="16.5" customHeight="1" x14ac:dyDescent="0.15">
      <c r="A32" s="41">
        <v>15</v>
      </c>
      <c r="B32" s="41" t="s">
        <v>28874</v>
      </c>
      <c r="C32" s="74" t="s">
        <v>28875</v>
      </c>
      <c r="D32" s="72"/>
      <c r="F32" s="57"/>
      <c r="G32" s="72" t="s">
        <v>17616</v>
      </c>
      <c r="I32" s="57"/>
      <c r="J32" s="35"/>
      <c r="M32" s="299" t="s">
        <v>17556</v>
      </c>
      <c r="N32" s="45" t="s">
        <v>398</v>
      </c>
      <c r="O32" s="46">
        <v>1</v>
      </c>
      <c r="P32" s="512"/>
      <c r="Q32" s="57"/>
      <c r="R32" s="43"/>
      <c r="S32" s="37"/>
      <c r="T32" s="38"/>
      <c r="U32" s="79"/>
      <c r="V32" s="35"/>
      <c r="Y32" s="57"/>
      <c r="Z32" s="208">
        <f>ROUND((ROUND((ROUND((_15_同援日０．５*_15・通訳),0)*_15・２人),0)*(1+_15・A深夜)),0)+ROUND((ROUND((_15_同援日０．５＿１．５*_15・通訳),0)*_15・２人),0)</f>
        <v>534</v>
      </c>
      <c r="AA32" s="48"/>
    </row>
    <row r="33" spans="1:27" ht="16.5" customHeight="1" x14ac:dyDescent="0.15">
      <c r="A33" s="41">
        <v>15</v>
      </c>
      <c r="B33" s="41" t="s">
        <v>28876</v>
      </c>
      <c r="C33" s="74" t="s">
        <v>28877</v>
      </c>
      <c r="D33" s="72"/>
      <c r="F33" s="57"/>
      <c r="G33" s="72" t="s">
        <v>18183</v>
      </c>
      <c r="I33" s="57"/>
      <c r="J33" s="35"/>
      <c r="M33" s="163"/>
      <c r="N33" s="45"/>
      <c r="O33" s="46"/>
      <c r="P33" s="512"/>
      <c r="Q33" s="57"/>
      <c r="R33" s="114" t="s">
        <v>17562</v>
      </c>
      <c r="S33" s="49"/>
      <c r="T33" s="50"/>
      <c r="U33" s="115"/>
      <c r="V33" s="35"/>
      <c r="Y33" s="57"/>
      <c r="Z33" s="208">
        <f>ROUND((ROUND((ROUND((_15_同援日０．５*_15・通訳),0)*(1+_15・A深夜)),0)*(1+_15・盲ろう)),0)+ROUND((ROUND((_15_同援日０．５＿１．５*_15・通訳),0)*(1+_15・盲ろう)),0)</f>
        <v>667</v>
      </c>
      <c r="AA33" s="48"/>
    </row>
    <row r="34" spans="1:27" ht="16.5" customHeight="1" x14ac:dyDescent="0.15">
      <c r="A34" s="41">
        <v>15</v>
      </c>
      <c r="B34" s="41" t="s">
        <v>28878</v>
      </c>
      <c r="C34" s="74" t="s">
        <v>28879</v>
      </c>
      <c r="D34" s="72"/>
      <c r="F34" s="57"/>
      <c r="G34" s="72"/>
      <c r="H34" s="168">
        <f>_15_同援日０．５＿１．５</f>
        <v>308</v>
      </c>
      <c r="I34" s="57" t="s">
        <v>392</v>
      </c>
      <c r="J34" s="35"/>
      <c r="M34" s="299" t="s">
        <v>17556</v>
      </c>
      <c r="N34" s="45" t="s">
        <v>398</v>
      </c>
      <c r="O34" s="46">
        <v>1</v>
      </c>
      <c r="P34" s="512"/>
      <c r="Q34" s="57"/>
      <c r="R34" s="269" t="s">
        <v>17564</v>
      </c>
      <c r="S34" s="37" t="s">
        <v>398</v>
      </c>
      <c r="T34" s="38">
        <v>0.25</v>
      </c>
      <c r="U34" s="79" t="s">
        <v>3575</v>
      </c>
      <c r="V34" s="43"/>
      <c r="W34" s="37"/>
      <c r="X34" s="38"/>
      <c r="Y34" s="79"/>
      <c r="Z34" s="208">
        <f>ROUND((ROUND((ROUND((ROUND((_15_同援日０．５*_15・通訳),0)*_15・２人),0)*(1+_15・A深夜)),0)*(1+_15・盲ろう)),0)+ROUND((ROUND((ROUND((_15_同援日０．５＿１．５*_15・通訳),0)*_15・２人),0)*(1+_15・盲ろう)),0)</f>
        <v>667</v>
      </c>
      <c r="AA34" s="48"/>
    </row>
    <row r="35" spans="1:27" ht="16.5" customHeight="1" x14ac:dyDescent="0.15">
      <c r="A35" s="41">
        <v>15</v>
      </c>
      <c r="B35" s="41" t="s">
        <v>28880</v>
      </c>
      <c r="C35" s="74" t="s">
        <v>28881</v>
      </c>
      <c r="D35" s="72"/>
      <c r="F35" s="57"/>
      <c r="G35" s="72"/>
      <c r="I35" s="57"/>
      <c r="J35" s="35"/>
      <c r="M35" s="163"/>
      <c r="N35" s="45"/>
      <c r="O35" s="46"/>
      <c r="P35" s="512"/>
      <c r="Q35" s="57"/>
      <c r="R35" s="53"/>
      <c r="S35" s="49"/>
      <c r="T35" s="50"/>
      <c r="U35" s="115"/>
      <c r="V35" s="114" t="s">
        <v>17570</v>
      </c>
      <c r="W35" s="49"/>
      <c r="X35" s="50"/>
      <c r="Y35" s="115"/>
      <c r="Z35" s="208">
        <f>ROUND((ROUND((ROUND((_15_同援日０．５*_15・通訳),0)*(1+_15・A深夜)),0)*(1+_15・区３)),0)+ROUND((ROUND((_15_同援日０．５＿１．５*_15・通訳),0)*(1+_15・区３)),0)</f>
        <v>640</v>
      </c>
      <c r="AA35" s="48"/>
    </row>
    <row r="36" spans="1:27" ht="16.5" customHeight="1" x14ac:dyDescent="0.15">
      <c r="A36" s="41">
        <v>15</v>
      </c>
      <c r="B36" s="41" t="s">
        <v>28882</v>
      </c>
      <c r="C36" s="74" t="s">
        <v>28883</v>
      </c>
      <c r="D36" s="72"/>
      <c r="F36" s="57"/>
      <c r="G36" s="72"/>
      <c r="I36" s="57"/>
      <c r="J36" s="35"/>
      <c r="M36" s="299" t="s">
        <v>17556</v>
      </c>
      <c r="N36" s="45" t="s">
        <v>398</v>
      </c>
      <c r="O36" s="46">
        <v>1</v>
      </c>
      <c r="P36" s="512"/>
      <c r="Q36" s="57"/>
      <c r="R36" s="43"/>
      <c r="S36" s="37"/>
      <c r="T36" s="38"/>
      <c r="U36" s="79"/>
      <c r="V36" s="92" t="s">
        <v>17572</v>
      </c>
      <c r="Y36" s="57"/>
      <c r="Z36" s="208">
        <f>ROUND((ROUND((ROUND((ROUND((_15_同援日０．５*_15・通訳),0)*_15・２人),0)*(1+_15・A深夜)),0)*(1+_15・区３)),0)+ROUND((ROUND((ROUND((_15_同援日０．５＿１．５*_15・通訳),0)*_15・２人),0)*(1+_15・区３)),0)</f>
        <v>640</v>
      </c>
      <c r="AA36" s="48"/>
    </row>
    <row r="37" spans="1:27" ht="16.5" customHeight="1" x14ac:dyDescent="0.15">
      <c r="A37" s="41">
        <v>15</v>
      </c>
      <c r="B37" s="41" t="s">
        <v>3576</v>
      </c>
      <c r="C37" s="74" t="s">
        <v>28884</v>
      </c>
      <c r="D37" s="72"/>
      <c r="F37" s="57"/>
      <c r="G37" s="72"/>
      <c r="I37" s="57"/>
      <c r="J37" s="35"/>
      <c r="M37" s="163"/>
      <c r="N37" s="45"/>
      <c r="O37" s="46"/>
      <c r="P37" s="512"/>
      <c r="Q37" s="57"/>
      <c r="R37" s="114" t="s">
        <v>17562</v>
      </c>
      <c r="S37" s="49"/>
      <c r="T37" s="50"/>
      <c r="U37" s="115"/>
      <c r="V37" s="35"/>
      <c r="W37" s="12" t="s">
        <v>398</v>
      </c>
      <c r="X37" s="13">
        <v>0.2</v>
      </c>
      <c r="Y37" s="57" t="s">
        <v>3575</v>
      </c>
      <c r="Z37" s="208">
        <f>ROUND((ROUND((ROUND((ROUND((_15_同援日０．５*_15・通訳),0)*(1+_15・A深夜)),0)*(1+_15・盲ろう)),0)*(1+_15・区３)),0)+ROUND((ROUND((ROUND((_15_同援日０．５＿１．５*_15・通訳),0)*(1+_15・盲ろう)),0)*(1+_15・区３)),0)</f>
        <v>800</v>
      </c>
      <c r="AA37" s="48"/>
    </row>
    <row r="38" spans="1:27" ht="16.5" customHeight="1" x14ac:dyDescent="0.15">
      <c r="A38" s="41">
        <v>15</v>
      </c>
      <c r="B38" s="41" t="s">
        <v>3578</v>
      </c>
      <c r="C38" s="74" t="s">
        <v>28885</v>
      </c>
      <c r="D38" s="72"/>
      <c r="F38" s="57"/>
      <c r="G38" s="72"/>
      <c r="I38" s="57"/>
      <c r="J38" s="35"/>
      <c r="M38" s="299" t="s">
        <v>17556</v>
      </c>
      <c r="N38" s="45" t="s">
        <v>398</v>
      </c>
      <c r="O38" s="46">
        <v>1</v>
      </c>
      <c r="P38" s="512"/>
      <c r="Q38" s="57"/>
      <c r="R38" s="269" t="s">
        <v>17564</v>
      </c>
      <c r="S38" s="37" t="s">
        <v>398</v>
      </c>
      <c r="T38" s="38">
        <v>0.25</v>
      </c>
      <c r="U38" s="79" t="s">
        <v>3575</v>
      </c>
      <c r="V38" s="43"/>
      <c r="W38" s="37"/>
      <c r="X38" s="38"/>
      <c r="Y38" s="79"/>
      <c r="Z38" s="208">
        <f>ROUND((ROUND((ROUND((ROUND((ROUND((_15_同援日０．５*_15・通訳),0)*_15・２人),0)*(1+_15・A深夜)),0)*(1+_15・盲ろう)),0)*(1+_15・区３)),0)+ROUND((ROUND((ROUND((ROUND((_15_同援日０．５＿１．５*_15・通訳),0)*_15・２人),0)*(1+_15・盲ろう)),0)*(1+_15・区３)),0)</f>
        <v>800</v>
      </c>
      <c r="AA38" s="48"/>
    </row>
    <row r="39" spans="1:27" ht="16.5" customHeight="1" x14ac:dyDescent="0.15">
      <c r="A39" s="41">
        <v>15</v>
      </c>
      <c r="B39" s="41" t="s">
        <v>28886</v>
      </c>
      <c r="C39" s="74" t="s">
        <v>28887</v>
      </c>
      <c r="D39" s="72"/>
      <c r="F39" s="57"/>
      <c r="G39" s="72"/>
      <c r="I39" s="57"/>
      <c r="J39" s="35"/>
      <c r="M39" s="163"/>
      <c r="N39" s="45"/>
      <c r="O39" s="46"/>
      <c r="P39" s="512"/>
      <c r="Q39" s="57"/>
      <c r="R39" s="53"/>
      <c r="S39" s="49"/>
      <c r="T39" s="50"/>
      <c r="U39" s="115"/>
      <c r="V39" s="114" t="s">
        <v>17580</v>
      </c>
      <c r="W39" s="49"/>
      <c r="X39" s="50"/>
      <c r="Y39" s="115"/>
      <c r="Z39" s="208">
        <f>ROUND((ROUND((ROUND((_15_同援日０．５*_15・通訳),0)*(1+_15・A深夜)),0)*(1+_15・区４)),0)+ROUND((ROUND((_15_同援日０．５＿１．５*_15・通訳),0)*(1+_15・区４)),0)</f>
        <v>748</v>
      </c>
      <c r="AA39" s="48"/>
    </row>
    <row r="40" spans="1:27" ht="16.5" customHeight="1" x14ac:dyDescent="0.15">
      <c r="A40" s="41">
        <v>15</v>
      </c>
      <c r="B40" s="41" t="s">
        <v>28888</v>
      </c>
      <c r="C40" s="74" t="s">
        <v>28889</v>
      </c>
      <c r="D40" s="72"/>
      <c r="F40" s="57"/>
      <c r="G40" s="72"/>
      <c r="I40" s="57"/>
      <c r="J40" s="35"/>
      <c r="M40" s="299" t="s">
        <v>17556</v>
      </c>
      <c r="N40" s="45" t="s">
        <v>398</v>
      </c>
      <c r="O40" s="46">
        <v>1</v>
      </c>
      <c r="P40" s="512"/>
      <c r="Q40" s="57"/>
      <c r="R40" s="43"/>
      <c r="S40" s="37"/>
      <c r="T40" s="38"/>
      <c r="U40" s="79"/>
      <c r="V40" s="92" t="s">
        <v>17572</v>
      </c>
      <c r="Y40" s="57"/>
      <c r="Z40" s="208">
        <f>ROUND((ROUND((ROUND((ROUND((_15_同援日０．５*_15・通訳),0)*_15・２人),0)*(1+_15・A深夜)),0)*(1+_15・区４)),0)+ROUND((ROUND((ROUND((_15_同援日０．５＿１．５*_15・通訳),0)*_15・２人),0)*(1+_15・区４)),0)</f>
        <v>748</v>
      </c>
      <c r="AA40" s="48"/>
    </row>
    <row r="41" spans="1:27" ht="16.5" customHeight="1" x14ac:dyDescent="0.15">
      <c r="A41" s="41">
        <v>15</v>
      </c>
      <c r="B41" s="41" t="s">
        <v>28890</v>
      </c>
      <c r="C41" s="74" t="s">
        <v>28891</v>
      </c>
      <c r="D41" s="72"/>
      <c r="F41" s="57"/>
      <c r="G41" s="72"/>
      <c r="I41" s="57"/>
      <c r="J41" s="35"/>
      <c r="M41" s="163"/>
      <c r="N41" s="45"/>
      <c r="O41" s="46"/>
      <c r="P41" s="512"/>
      <c r="Q41" s="57"/>
      <c r="R41" s="114" t="s">
        <v>17562</v>
      </c>
      <c r="S41" s="49"/>
      <c r="T41" s="50"/>
      <c r="U41" s="115"/>
      <c r="V41" s="35"/>
      <c r="W41" s="12" t="s">
        <v>398</v>
      </c>
      <c r="X41" s="13">
        <v>0.4</v>
      </c>
      <c r="Y41" s="57" t="s">
        <v>3575</v>
      </c>
      <c r="Z41" s="208">
        <f>ROUND((ROUND((ROUND((ROUND((_15_同援日０．５*_15・通訳),0)*(1+_15・A深夜)),0)*(1+_15・盲ろう)),0)*(1+_15・区４)),0)+ROUND((ROUND((ROUND((_15_同援日０．５＿１．５*_15・通訳),0)*(1+_15・盲ろう)),0)*(1+_15・区４)),0)</f>
        <v>933</v>
      </c>
      <c r="AA41" s="48"/>
    </row>
    <row r="42" spans="1:27" ht="16.5" customHeight="1" x14ac:dyDescent="0.15">
      <c r="A42" s="41">
        <v>15</v>
      </c>
      <c r="B42" s="41" t="s">
        <v>28892</v>
      </c>
      <c r="C42" s="74" t="s">
        <v>28893</v>
      </c>
      <c r="D42" s="72"/>
      <c r="F42" s="57"/>
      <c r="G42" s="122"/>
      <c r="H42" s="37"/>
      <c r="I42" s="79"/>
      <c r="J42" s="35"/>
      <c r="M42" s="299" t="s">
        <v>17556</v>
      </c>
      <c r="N42" s="45" t="s">
        <v>398</v>
      </c>
      <c r="O42" s="46">
        <v>1</v>
      </c>
      <c r="P42" s="512"/>
      <c r="Q42" s="57"/>
      <c r="R42" s="269" t="s">
        <v>17564</v>
      </c>
      <c r="S42" s="37" t="s">
        <v>398</v>
      </c>
      <c r="T42" s="38">
        <v>0.25</v>
      </c>
      <c r="U42" s="79" t="s">
        <v>3575</v>
      </c>
      <c r="V42" s="43"/>
      <c r="W42" s="37"/>
      <c r="X42" s="38"/>
      <c r="Y42" s="79"/>
      <c r="Z42" s="208">
        <f>ROUND((ROUND((ROUND((ROUND((ROUND((_15_同援日０．５*_15・通訳),0)*_15・２人),0)*(1+_15・A深夜)),0)*(1+_15・盲ろう)),0)*(1+_15・区４)),0)+ROUND((ROUND((ROUND((ROUND((_15_同援日０．５＿１．５*_15・通訳),0)*_15・２人),0)*(1+_15・盲ろう)),0)*(1+_15・区４)),0)</f>
        <v>933</v>
      </c>
      <c r="AA42" s="48"/>
    </row>
    <row r="43" spans="1:27" ht="16.5" customHeight="1" x14ac:dyDescent="0.15">
      <c r="A43" s="41">
        <v>15</v>
      </c>
      <c r="B43" s="41" t="s">
        <v>28894</v>
      </c>
      <c r="C43" s="74" t="s">
        <v>28895</v>
      </c>
      <c r="D43" s="72"/>
      <c r="F43" s="57"/>
      <c r="G43" s="114" t="s">
        <v>19262</v>
      </c>
      <c r="H43" s="49"/>
      <c r="I43" s="115"/>
      <c r="J43" s="35"/>
      <c r="M43" s="163"/>
      <c r="N43" s="45"/>
      <c r="O43" s="46"/>
      <c r="P43" s="512"/>
      <c r="Q43" s="57"/>
      <c r="R43" s="53"/>
      <c r="S43" s="49"/>
      <c r="T43" s="50"/>
      <c r="U43" s="115"/>
      <c r="V43" s="53"/>
      <c r="W43" s="49"/>
      <c r="X43" s="50"/>
      <c r="Y43" s="115"/>
      <c r="Z43" s="208">
        <f>ROUND((ROUND((_15_同援日０．５*_15・通訳),0)*(1+_15・A深夜)),0)+ROUND((_15_同援日０．５＿２．０*_15・通訳),0)</f>
        <v>593</v>
      </c>
      <c r="AA43" s="48"/>
    </row>
    <row r="44" spans="1:27" ht="16.5" customHeight="1" x14ac:dyDescent="0.15">
      <c r="A44" s="41">
        <v>15</v>
      </c>
      <c r="B44" s="41" t="s">
        <v>28896</v>
      </c>
      <c r="C44" s="74" t="s">
        <v>28897</v>
      </c>
      <c r="D44" s="72"/>
      <c r="F44" s="57"/>
      <c r="G44" s="72" t="s">
        <v>17643</v>
      </c>
      <c r="I44" s="57"/>
      <c r="J44" s="35"/>
      <c r="M44" s="299" t="s">
        <v>17556</v>
      </c>
      <c r="N44" s="45" t="s">
        <v>398</v>
      </c>
      <c r="O44" s="46">
        <v>1</v>
      </c>
      <c r="P44" s="512"/>
      <c r="Q44" s="57"/>
      <c r="R44" s="43"/>
      <c r="S44" s="37"/>
      <c r="T44" s="38"/>
      <c r="U44" s="79"/>
      <c r="V44" s="35"/>
      <c r="Y44" s="57"/>
      <c r="Z44" s="208">
        <f>ROUND((ROUND((ROUND((_15_同援日０．５*_15・通訳),0)*_15・２人),0)*(1+_15・A深夜)),0)+ROUND((ROUND((_15_同援日０．５＿２．０*_15・通訳),0)*_15・２人),0)</f>
        <v>593</v>
      </c>
      <c r="AA44" s="48"/>
    </row>
    <row r="45" spans="1:27" ht="16.5" customHeight="1" x14ac:dyDescent="0.15">
      <c r="A45" s="41">
        <v>15</v>
      </c>
      <c r="B45" s="41" t="s">
        <v>28898</v>
      </c>
      <c r="C45" s="74" t="s">
        <v>28899</v>
      </c>
      <c r="D45" s="72"/>
      <c r="F45" s="57"/>
      <c r="G45" s="72" t="s">
        <v>17645</v>
      </c>
      <c r="I45" s="57"/>
      <c r="J45" s="35"/>
      <c r="M45" s="163"/>
      <c r="N45" s="45"/>
      <c r="O45" s="46"/>
      <c r="P45" s="512"/>
      <c r="Q45" s="57"/>
      <c r="R45" s="114" t="s">
        <v>17562</v>
      </c>
      <c r="S45" s="49"/>
      <c r="T45" s="50"/>
      <c r="U45" s="115"/>
      <c r="V45" s="35"/>
      <c r="Y45" s="57"/>
      <c r="Z45" s="208">
        <f>ROUND((ROUND((ROUND((_15_同援日０．５*_15・通訳),0)*(1+_15・A深夜)),0)*(1+_15・盲ろう)),0)+ROUND((ROUND((_15_同援日０．５＿２．０*_15・通訳),0)*(1+_15・盲ろう)),0)</f>
        <v>741</v>
      </c>
      <c r="AA45" s="48"/>
    </row>
    <row r="46" spans="1:27" ht="16.5" customHeight="1" x14ac:dyDescent="0.15">
      <c r="A46" s="41">
        <v>15</v>
      </c>
      <c r="B46" s="41" t="s">
        <v>28900</v>
      </c>
      <c r="C46" s="74" t="s">
        <v>28901</v>
      </c>
      <c r="D46" s="72"/>
      <c r="F46" s="57"/>
      <c r="G46" s="72"/>
      <c r="H46" s="168">
        <f>_15_同援日０．５＿２．０</f>
        <v>373</v>
      </c>
      <c r="I46" s="57" t="s">
        <v>392</v>
      </c>
      <c r="J46" s="35"/>
      <c r="M46" s="299" t="s">
        <v>17556</v>
      </c>
      <c r="N46" s="45" t="s">
        <v>398</v>
      </c>
      <c r="O46" s="46">
        <v>1</v>
      </c>
      <c r="P46" s="512"/>
      <c r="Q46" s="57"/>
      <c r="R46" s="269" t="s">
        <v>17564</v>
      </c>
      <c r="S46" s="37" t="s">
        <v>398</v>
      </c>
      <c r="T46" s="38">
        <v>0.25</v>
      </c>
      <c r="U46" s="79" t="s">
        <v>3575</v>
      </c>
      <c r="V46" s="43"/>
      <c r="W46" s="37"/>
      <c r="X46" s="38"/>
      <c r="Y46" s="79"/>
      <c r="Z46" s="208">
        <f>ROUND((ROUND((ROUND((ROUND((_15_同援日０．５*_15・通訳),0)*_15・２人),0)*(1+_15・A深夜)),0)*(1+_15・盲ろう)),0)+ROUND((ROUND((ROUND((_15_同援日０．５＿２．０*_15・通訳),0)*_15・２人),0)*(1+_15・盲ろう)),0)</f>
        <v>741</v>
      </c>
      <c r="AA46" s="48"/>
    </row>
    <row r="47" spans="1:27" ht="16.5" customHeight="1" x14ac:dyDescent="0.15">
      <c r="A47" s="41">
        <v>15</v>
      </c>
      <c r="B47" s="41" t="s">
        <v>3583</v>
      </c>
      <c r="C47" s="74" t="s">
        <v>28902</v>
      </c>
      <c r="D47" s="72"/>
      <c r="F47" s="57"/>
      <c r="G47" s="72"/>
      <c r="I47" s="57"/>
      <c r="J47" s="35"/>
      <c r="M47" s="163"/>
      <c r="N47" s="45"/>
      <c r="O47" s="46"/>
      <c r="P47" s="512"/>
      <c r="Q47" s="57"/>
      <c r="R47" s="53"/>
      <c r="S47" s="49"/>
      <c r="T47" s="50"/>
      <c r="U47" s="115"/>
      <c r="V47" s="114" t="s">
        <v>17570</v>
      </c>
      <c r="W47" s="49"/>
      <c r="X47" s="50"/>
      <c r="Y47" s="115"/>
      <c r="Z47" s="208">
        <f>ROUND((ROUND((ROUND((_15_同援日０．５*_15・通訳),0)*(1+_15・A深夜)),0)*(1+_15・区３)),0)+ROUND((ROUND((_15_同援日０．５＿２．０*_15・通訳),0)*(1+_15・区３)),0)</f>
        <v>711</v>
      </c>
      <c r="AA47" s="48"/>
    </row>
    <row r="48" spans="1:27" ht="16.5" customHeight="1" x14ac:dyDescent="0.15">
      <c r="A48" s="41">
        <v>15</v>
      </c>
      <c r="B48" s="41" t="s">
        <v>3585</v>
      </c>
      <c r="C48" s="74" t="s">
        <v>28903</v>
      </c>
      <c r="D48" s="72"/>
      <c r="F48" s="57"/>
      <c r="G48" s="72"/>
      <c r="I48" s="57"/>
      <c r="J48" s="35"/>
      <c r="M48" s="299" t="s">
        <v>17556</v>
      </c>
      <c r="N48" s="45" t="s">
        <v>398</v>
      </c>
      <c r="O48" s="46">
        <v>1</v>
      </c>
      <c r="P48" s="512"/>
      <c r="Q48" s="57"/>
      <c r="R48" s="43"/>
      <c r="S48" s="37"/>
      <c r="T48" s="38"/>
      <c r="U48" s="79"/>
      <c r="V48" s="92" t="s">
        <v>17572</v>
      </c>
      <c r="Y48" s="57"/>
      <c r="Z48" s="208">
        <f>ROUND((ROUND((ROUND((ROUND((_15_同援日０．５*_15・通訳),0)*_15・２人),0)*(1+_15・A深夜)),0)*(1+_15・区３)),0)+ROUND((ROUND((ROUND((_15_同援日０．５＿２．０*_15・通訳),0)*_15・２人),0)*(1+_15・区３)),0)</f>
        <v>711</v>
      </c>
      <c r="AA48" s="48"/>
    </row>
    <row r="49" spans="1:27" ht="16.5" customHeight="1" x14ac:dyDescent="0.15">
      <c r="A49" s="41">
        <v>15</v>
      </c>
      <c r="B49" s="41" t="s">
        <v>28904</v>
      </c>
      <c r="C49" s="74" t="s">
        <v>28905</v>
      </c>
      <c r="D49" s="72"/>
      <c r="F49" s="57"/>
      <c r="G49" s="72"/>
      <c r="I49" s="57"/>
      <c r="J49" s="35"/>
      <c r="M49" s="163"/>
      <c r="N49" s="45"/>
      <c r="O49" s="46"/>
      <c r="P49" s="512"/>
      <c r="Q49" s="57"/>
      <c r="R49" s="114" t="s">
        <v>17562</v>
      </c>
      <c r="S49" s="49"/>
      <c r="T49" s="50"/>
      <c r="U49" s="115"/>
      <c r="V49" s="35"/>
      <c r="W49" s="12" t="s">
        <v>398</v>
      </c>
      <c r="X49" s="13">
        <v>0.2</v>
      </c>
      <c r="Y49" s="57" t="s">
        <v>3575</v>
      </c>
      <c r="Z49" s="208">
        <f>ROUND((ROUND((ROUND((ROUND((_15_同援日０．５*_15・通訳),0)*(1+_15・A深夜)),0)*(1+_15・盲ろう)),0)*(1+_15・区３)),0)+ROUND((ROUND((ROUND((_15_同援日０．５＿２．０*_15・通訳),0)*(1+_15・盲ろう)),0)*(1+_15・区３)),0)</f>
        <v>889</v>
      </c>
      <c r="AA49" s="48"/>
    </row>
    <row r="50" spans="1:27" ht="16.5" customHeight="1" x14ac:dyDescent="0.15">
      <c r="A50" s="41">
        <v>15</v>
      </c>
      <c r="B50" s="41" t="s">
        <v>28906</v>
      </c>
      <c r="C50" s="74" t="s">
        <v>28907</v>
      </c>
      <c r="D50" s="72"/>
      <c r="F50" s="57"/>
      <c r="G50" s="72"/>
      <c r="I50" s="57"/>
      <c r="J50" s="35"/>
      <c r="M50" s="299" t="s">
        <v>17556</v>
      </c>
      <c r="N50" s="45" t="s">
        <v>398</v>
      </c>
      <c r="O50" s="46">
        <v>1</v>
      </c>
      <c r="P50" s="512"/>
      <c r="Q50" s="57"/>
      <c r="R50" s="269" t="s">
        <v>17564</v>
      </c>
      <c r="S50" s="37" t="s">
        <v>398</v>
      </c>
      <c r="T50" s="38">
        <v>0.25</v>
      </c>
      <c r="U50" s="79" t="s">
        <v>3575</v>
      </c>
      <c r="V50" s="43"/>
      <c r="W50" s="37"/>
      <c r="X50" s="38"/>
      <c r="Y50" s="79"/>
      <c r="Z50" s="208">
        <f>ROUND((ROUND((ROUND((ROUND((ROUND((_15_同援日０．５*_15・通訳),0)*_15・２人),0)*(1+_15・A深夜)),0)*(1+_15・盲ろう)),0)*(1+_15・区３)),0)+ROUND((ROUND((ROUND((ROUND((_15_同援日０．５＿２．０*_15・通訳),0)*_15・２人),0)*(1+_15・盲ろう)),0)*(1+_15・区３)),0)</f>
        <v>889</v>
      </c>
      <c r="AA50" s="48"/>
    </row>
    <row r="51" spans="1:27" ht="16.5" customHeight="1" x14ac:dyDescent="0.15">
      <c r="A51" s="41">
        <v>15</v>
      </c>
      <c r="B51" s="41" t="s">
        <v>28908</v>
      </c>
      <c r="C51" s="74" t="s">
        <v>28909</v>
      </c>
      <c r="D51" s="72"/>
      <c r="F51" s="57"/>
      <c r="G51" s="72"/>
      <c r="I51" s="57"/>
      <c r="J51" s="35"/>
      <c r="M51" s="163"/>
      <c r="N51" s="45"/>
      <c r="O51" s="46"/>
      <c r="P51" s="512"/>
      <c r="Q51" s="57"/>
      <c r="R51" s="53"/>
      <c r="S51" s="49"/>
      <c r="T51" s="50"/>
      <c r="U51" s="115"/>
      <c r="V51" s="114" t="s">
        <v>17580</v>
      </c>
      <c r="W51" s="49"/>
      <c r="X51" s="50"/>
      <c r="Y51" s="115"/>
      <c r="Z51" s="208">
        <f>ROUND((ROUND((ROUND((_15_同援日０．５*_15・通訳),0)*(1+_15・A深夜)),0)*(1+_15・区４)),0)+ROUND((ROUND((_15_同援日０．５＿２．０*_15・通訳),0)*(1+_15・区４)),0)</f>
        <v>830</v>
      </c>
      <c r="AA51" s="48"/>
    </row>
    <row r="52" spans="1:27" ht="16.5" customHeight="1" x14ac:dyDescent="0.15">
      <c r="A52" s="41">
        <v>15</v>
      </c>
      <c r="B52" s="41" t="s">
        <v>28910</v>
      </c>
      <c r="C52" s="74" t="s">
        <v>28911</v>
      </c>
      <c r="D52" s="72"/>
      <c r="F52" s="57"/>
      <c r="G52" s="72"/>
      <c r="I52" s="57"/>
      <c r="J52" s="35"/>
      <c r="M52" s="299" t="s">
        <v>17556</v>
      </c>
      <c r="N52" s="45" t="s">
        <v>398</v>
      </c>
      <c r="O52" s="46">
        <v>1</v>
      </c>
      <c r="P52" s="512"/>
      <c r="Q52" s="57"/>
      <c r="R52" s="43"/>
      <c r="S52" s="37"/>
      <c r="T52" s="38"/>
      <c r="U52" s="79"/>
      <c r="V52" s="92" t="s">
        <v>17572</v>
      </c>
      <c r="Y52" s="57"/>
      <c r="Z52" s="208">
        <f>ROUND((ROUND((ROUND((ROUND((_15_同援日０．５*_15・通訳),0)*_15・２人),0)*(1+_15・A深夜)),0)*(1+_15・区４)),0)+ROUND((ROUND((ROUND((_15_同援日０．５＿２．０*_15・通訳),0)*_15・２人),0)*(1+_15・区４)),0)</f>
        <v>830</v>
      </c>
      <c r="AA52" s="48"/>
    </row>
    <row r="53" spans="1:27" ht="16.5" customHeight="1" x14ac:dyDescent="0.15">
      <c r="A53" s="41">
        <v>15</v>
      </c>
      <c r="B53" s="41" t="s">
        <v>28912</v>
      </c>
      <c r="C53" s="74" t="s">
        <v>28913</v>
      </c>
      <c r="D53" s="72"/>
      <c r="F53" s="57"/>
      <c r="G53" s="72"/>
      <c r="I53" s="57"/>
      <c r="J53" s="35"/>
      <c r="M53" s="163"/>
      <c r="N53" s="45"/>
      <c r="O53" s="46"/>
      <c r="P53" s="512"/>
      <c r="Q53" s="57"/>
      <c r="R53" s="114" t="s">
        <v>17562</v>
      </c>
      <c r="S53" s="49"/>
      <c r="T53" s="50"/>
      <c r="U53" s="115"/>
      <c r="V53" s="35"/>
      <c r="W53" s="12" t="s">
        <v>398</v>
      </c>
      <c r="X53" s="13">
        <v>0.4</v>
      </c>
      <c r="Y53" s="57" t="s">
        <v>3575</v>
      </c>
      <c r="Z53" s="208">
        <f>ROUND((ROUND((ROUND((ROUND((_15_同援日０．５*_15・通訳),0)*(1+_15・A深夜)),0)*(1+_15・盲ろう)),0)*(1+_15・区４)),0)+ROUND((ROUND((ROUND((_15_同援日０．５＿２．０*_15・通訳),0)*(1+_15・盲ろう)),0)*(1+_15・区４)),0)</f>
        <v>1037</v>
      </c>
      <c r="AA53" s="48"/>
    </row>
    <row r="54" spans="1:27" ht="16.5" customHeight="1" x14ac:dyDescent="0.15">
      <c r="A54" s="41">
        <v>15</v>
      </c>
      <c r="B54" s="41" t="s">
        <v>28914</v>
      </c>
      <c r="C54" s="74" t="s">
        <v>28915</v>
      </c>
      <c r="D54" s="72"/>
      <c r="F54" s="57"/>
      <c r="G54" s="122"/>
      <c r="H54" s="37"/>
      <c r="I54" s="79"/>
      <c r="J54" s="35"/>
      <c r="M54" s="299" t="s">
        <v>17556</v>
      </c>
      <c r="N54" s="45" t="s">
        <v>398</v>
      </c>
      <c r="O54" s="46">
        <v>1</v>
      </c>
      <c r="P54" s="512"/>
      <c r="Q54" s="57"/>
      <c r="R54" s="269" t="s">
        <v>17564</v>
      </c>
      <c r="S54" s="37" t="s">
        <v>398</v>
      </c>
      <c r="T54" s="38">
        <v>0.25</v>
      </c>
      <c r="U54" s="79" t="s">
        <v>3575</v>
      </c>
      <c r="V54" s="43"/>
      <c r="W54" s="37"/>
      <c r="X54" s="38"/>
      <c r="Y54" s="79"/>
      <c r="Z54" s="208">
        <f>ROUND((ROUND((ROUND((ROUND((ROUND((_15_同援日０．５*_15・通訳),0)*_15・２人),0)*(1+_15・A深夜)),0)*(1+_15・盲ろう)),0)*(1+_15・区４)),0)+ROUND((ROUND((ROUND((ROUND((_15_同援日０．５＿２．０*_15・通訳),0)*_15・２人),0)*(1+_15・盲ろう)),0)*(1+_15・区４)),0)</f>
        <v>1037</v>
      </c>
      <c r="AA54" s="48"/>
    </row>
    <row r="55" spans="1:27" ht="16.5" customHeight="1" x14ac:dyDescent="0.15">
      <c r="A55" s="41">
        <v>15</v>
      </c>
      <c r="B55" s="41" t="s">
        <v>28916</v>
      </c>
      <c r="C55" s="74" t="s">
        <v>28917</v>
      </c>
      <c r="D55" s="72"/>
      <c r="F55" s="57"/>
      <c r="G55" s="114" t="s">
        <v>19287</v>
      </c>
      <c r="H55" s="49"/>
      <c r="I55" s="115"/>
      <c r="J55" s="35"/>
      <c r="M55" s="163"/>
      <c r="N55" s="45"/>
      <c r="O55" s="46"/>
      <c r="P55" s="512"/>
      <c r="Q55" s="57"/>
      <c r="R55" s="53"/>
      <c r="S55" s="49"/>
      <c r="T55" s="50"/>
      <c r="U55" s="115"/>
      <c r="V55" s="53"/>
      <c r="W55" s="49"/>
      <c r="X55" s="50"/>
      <c r="Y55" s="115"/>
      <c r="Z55" s="208">
        <f>ROUND((ROUND((_15_同援日０．５*_15・通訳),0)*(1+_15・A深夜)),0)+ROUND((_15_同援日０．５＿２．５*_15・通訳),0)</f>
        <v>651</v>
      </c>
      <c r="AA55" s="48"/>
    </row>
    <row r="56" spans="1:27" ht="16.5" customHeight="1" x14ac:dyDescent="0.15">
      <c r="A56" s="41">
        <v>15</v>
      </c>
      <c r="B56" s="41" t="s">
        <v>28918</v>
      </c>
      <c r="C56" s="74" t="s">
        <v>28919</v>
      </c>
      <c r="D56" s="72"/>
      <c r="F56" s="57"/>
      <c r="G56" s="72" t="s">
        <v>17670</v>
      </c>
      <c r="I56" s="57"/>
      <c r="J56" s="35"/>
      <c r="M56" s="299" t="s">
        <v>17556</v>
      </c>
      <c r="N56" s="45" t="s">
        <v>398</v>
      </c>
      <c r="O56" s="46">
        <v>1</v>
      </c>
      <c r="P56" s="512"/>
      <c r="Q56" s="57"/>
      <c r="R56" s="43"/>
      <c r="S56" s="37"/>
      <c r="T56" s="38"/>
      <c r="U56" s="79"/>
      <c r="V56" s="35"/>
      <c r="Y56" s="57"/>
      <c r="Z56" s="208">
        <f>ROUND((ROUND((ROUND((_15_同援日０．５*_15・通訳),0)*_15・２人),0)*(1+_15・A深夜)),0)+ROUND((ROUND((_15_同援日０．５＿２．５*_15・通訳),0)*_15・２人),0)</f>
        <v>651</v>
      </c>
      <c r="AA56" s="48"/>
    </row>
    <row r="57" spans="1:27" ht="16.5" customHeight="1" x14ac:dyDescent="0.15">
      <c r="A57" s="41">
        <v>15</v>
      </c>
      <c r="B57" s="41" t="s">
        <v>3590</v>
      </c>
      <c r="C57" s="74" t="s">
        <v>28920</v>
      </c>
      <c r="D57" s="72"/>
      <c r="F57" s="57"/>
      <c r="G57" s="72" t="s">
        <v>17672</v>
      </c>
      <c r="I57" s="57"/>
      <c r="J57" s="35"/>
      <c r="M57" s="163"/>
      <c r="N57" s="45"/>
      <c r="O57" s="46"/>
      <c r="P57" s="512"/>
      <c r="Q57" s="57"/>
      <c r="R57" s="114" t="s">
        <v>17562</v>
      </c>
      <c r="S57" s="49"/>
      <c r="T57" s="50"/>
      <c r="U57" s="115"/>
      <c r="V57" s="35"/>
      <c r="Y57" s="57"/>
      <c r="Z57" s="208">
        <f>ROUND((ROUND((ROUND((_15_同援日０．５*_15・通訳),0)*(1+_15・A深夜)),0)*(1+_15・盲ろう)),0)+ROUND((ROUND((_15_同援日０．５＿２．５*_15・通訳),0)*(1+_15・盲ろう)),0)</f>
        <v>814</v>
      </c>
      <c r="AA57" s="48"/>
    </row>
    <row r="58" spans="1:27" ht="16.5" customHeight="1" x14ac:dyDescent="0.15">
      <c r="A58" s="41">
        <v>15</v>
      </c>
      <c r="B58" s="41" t="s">
        <v>3592</v>
      </c>
      <c r="C58" s="74" t="s">
        <v>28921</v>
      </c>
      <c r="D58" s="72"/>
      <c r="F58" s="57"/>
      <c r="G58" s="72"/>
      <c r="H58" s="168">
        <f>_15_同援日０．５＿２．５</f>
        <v>438</v>
      </c>
      <c r="I58" s="57" t="s">
        <v>392</v>
      </c>
      <c r="J58" s="35"/>
      <c r="M58" s="299" t="s">
        <v>17556</v>
      </c>
      <c r="N58" s="45" t="s">
        <v>398</v>
      </c>
      <c r="O58" s="46">
        <v>1</v>
      </c>
      <c r="P58" s="512"/>
      <c r="Q58" s="57"/>
      <c r="R58" s="269" t="s">
        <v>17564</v>
      </c>
      <c r="S58" s="37" t="s">
        <v>398</v>
      </c>
      <c r="T58" s="38">
        <v>0.25</v>
      </c>
      <c r="U58" s="79" t="s">
        <v>3575</v>
      </c>
      <c r="V58" s="43"/>
      <c r="W58" s="37"/>
      <c r="X58" s="38"/>
      <c r="Y58" s="79"/>
      <c r="Z58" s="208">
        <f>ROUND((ROUND((ROUND((ROUND((_15_同援日０．５*_15・通訳),0)*_15・２人),0)*(1+_15・A深夜)),0)*(1+_15・盲ろう)),0)+ROUND((ROUND((ROUND((_15_同援日０．５＿２．５*_15・通訳),0)*_15・２人),0)*(1+_15・盲ろう)),0)</f>
        <v>814</v>
      </c>
      <c r="AA58" s="48"/>
    </row>
    <row r="59" spans="1:27" ht="16.5" customHeight="1" x14ac:dyDescent="0.15">
      <c r="A59" s="41">
        <v>15</v>
      </c>
      <c r="B59" s="41" t="s">
        <v>28922</v>
      </c>
      <c r="C59" s="74" t="s">
        <v>28923</v>
      </c>
      <c r="D59" s="72"/>
      <c r="F59" s="57"/>
      <c r="G59" s="72"/>
      <c r="I59" s="57"/>
      <c r="J59" s="35"/>
      <c r="M59" s="163"/>
      <c r="N59" s="45"/>
      <c r="O59" s="46"/>
      <c r="P59" s="512"/>
      <c r="Q59" s="57"/>
      <c r="R59" s="53"/>
      <c r="S59" s="49"/>
      <c r="T59" s="50"/>
      <c r="U59" s="115"/>
      <c r="V59" s="114" t="s">
        <v>17570</v>
      </c>
      <c r="W59" s="49"/>
      <c r="X59" s="50"/>
      <c r="Y59" s="115"/>
      <c r="Z59" s="208">
        <f>ROUND((ROUND((ROUND((_15_同援日０．５*_15・通訳),0)*(1+_15・A深夜)),0)*(1+_15・区３)),0)+ROUND((ROUND((_15_同援日０．５＿２．５*_15・通訳),0)*(1+_15・区３)),0)</f>
        <v>781</v>
      </c>
      <c r="AA59" s="48"/>
    </row>
    <row r="60" spans="1:27" ht="16.5" customHeight="1" x14ac:dyDescent="0.15">
      <c r="A60" s="41">
        <v>15</v>
      </c>
      <c r="B60" s="41" t="s">
        <v>28924</v>
      </c>
      <c r="C60" s="74" t="s">
        <v>28925</v>
      </c>
      <c r="D60" s="72"/>
      <c r="F60" s="57"/>
      <c r="G60" s="72"/>
      <c r="I60" s="57"/>
      <c r="J60" s="35"/>
      <c r="M60" s="299" t="s">
        <v>17556</v>
      </c>
      <c r="N60" s="45" t="s">
        <v>398</v>
      </c>
      <c r="O60" s="46">
        <v>1</v>
      </c>
      <c r="P60" s="512"/>
      <c r="Q60" s="57"/>
      <c r="R60" s="43"/>
      <c r="S60" s="37"/>
      <c r="T60" s="38"/>
      <c r="U60" s="79"/>
      <c r="V60" s="92" t="s">
        <v>17572</v>
      </c>
      <c r="Y60" s="57"/>
      <c r="Z60" s="208">
        <f>ROUND((ROUND((ROUND((ROUND((_15_同援日０．５*_15・通訳),0)*_15・２人),0)*(1+_15・A深夜)),0)*(1+_15・区３)),0)+ROUND((ROUND((ROUND((_15_同援日０．５＿２．５*_15・通訳),0)*_15・２人),0)*(1+_15・区３)),0)</f>
        <v>781</v>
      </c>
      <c r="AA60" s="48"/>
    </row>
    <row r="61" spans="1:27" ht="16.5" customHeight="1" x14ac:dyDescent="0.15">
      <c r="A61" s="41">
        <v>15</v>
      </c>
      <c r="B61" s="41" t="s">
        <v>28926</v>
      </c>
      <c r="C61" s="74" t="s">
        <v>28927</v>
      </c>
      <c r="D61" s="72"/>
      <c r="F61" s="57"/>
      <c r="G61" s="72"/>
      <c r="I61" s="57"/>
      <c r="J61" s="35"/>
      <c r="M61" s="163"/>
      <c r="N61" s="45"/>
      <c r="O61" s="46"/>
      <c r="P61" s="512"/>
      <c r="Q61" s="57"/>
      <c r="R61" s="114" t="s">
        <v>17562</v>
      </c>
      <c r="S61" s="49"/>
      <c r="T61" s="50"/>
      <c r="U61" s="115"/>
      <c r="V61" s="35"/>
      <c r="W61" s="12" t="s">
        <v>398</v>
      </c>
      <c r="X61" s="13">
        <v>0.2</v>
      </c>
      <c r="Y61" s="57" t="s">
        <v>3575</v>
      </c>
      <c r="Z61" s="208">
        <f>ROUND((ROUND((ROUND((ROUND((_15_同援日０．５*_15・通訳),0)*(1+_15・A深夜)),0)*(1+_15・盲ろう)),0)*(1+_15・区３)),0)+ROUND((ROUND((ROUND((_15_同援日０．５＿２．５*_15・通訳),0)*(1+_15・盲ろう)),0)*(1+_15・区３)),0)</f>
        <v>977</v>
      </c>
      <c r="AA61" s="48"/>
    </row>
    <row r="62" spans="1:27" ht="16.5" customHeight="1" x14ac:dyDescent="0.15">
      <c r="A62" s="41">
        <v>15</v>
      </c>
      <c r="B62" s="41" t="s">
        <v>28928</v>
      </c>
      <c r="C62" s="74" t="s">
        <v>28929</v>
      </c>
      <c r="D62" s="72"/>
      <c r="F62" s="57"/>
      <c r="G62" s="72"/>
      <c r="I62" s="57"/>
      <c r="J62" s="35"/>
      <c r="M62" s="299" t="s">
        <v>17556</v>
      </c>
      <c r="N62" s="45" t="s">
        <v>398</v>
      </c>
      <c r="O62" s="46">
        <v>1</v>
      </c>
      <c r="P62" s="512"/>
      <c r="Q62" s="57"/>
      <c r="R62" s="269" t="s">
        <v>17564</v>
      </c>
      <c r="S62" s="37" t="s">
        <v>398</v>
      </c>
      <c r="T62" s="38">
        <v>0.25</v>
      </c>
      <c r="U62" s="79" t="s">
        <v>3575</v>
      </c>
      <c r="V62" s="43"/>
      <c r="W62" s="37"/>
      <c r="X62" s="38"/>
      <c r="Y62" s="79"/>
      <c r="Z62" s="208">
        <f>ROUND((ROUND((ROUND((ROUND((ROUND((_15_同援日０．５*_15・通訳),0)*_15・２人),0)*(1+_15・A深夜)),0)*(1+_15・盲ろう)),0)*(1+_15・区３)),0)+ROUND((ROUND((ROUND((ROUND((_15_同援日０．５＿２．５*_15・通訳),0)*_15・２人),0)*(1+_15・盲ろう)),0)*(1+_15・区３)),0)</f>
        <v>977</v>
      </c>
      <c r="AA62" s="48"/>
    </row>
    <row r="63" spans="1:27" ht="16.5" customHeight="1" x14ac:dyDescent="0.15">
      <c r="A63" s="41">
        <v>15</v>
      </c>
      <c r="B63" s="41" t="s">
        <v>28930</v>
      </c>
      <c r="C63" s="74" t="s">
        <v>28931</v>
      </c>
      <c r="D63" s="72"/>
      <c r="F63" s="57"/>
      <c r="G63" s="72"/>
      <c r="I63" s="57"/>
      <c r="J63" s="35"/>
      <c r="M63" s="163"/>
      <c r="N63" s="45"/>
      <c r="O63" s="46"/>
      <c r="P63" s="512"/>
      <c r="Q63" s="57"/>
      <c r="R63" s="53"/>
      <c r="S63" s="49"/>
      <c r="T63" s="50"/>
      <c r="U63" s="115"/>
      <c r="V63" s="114" t="s">
        <v>17580</v>
      </c>
      <c r="W63" s="49"/>
      <c r="X63" s="50"/>
      <c r="Y63" s="115"/>
      <c r="Z63" s="208">
        <f>ROUND((ROUND((ROUND((_15_同援日０．５*_15・通訳),0)*(1+_15・A深夜)),0)*(1+_15・区４)),0)+ROUND((ROUND((_15_同援日０．５＿２．５*_15・通訳),0)*(1+_15・区４)),0)</f>
        <v>912</v>
      </c>
      <c r="AA63" s="48"/>
    </row>
    <row r="64" spans="1:27" ht="16.5" customHeight="1" x14ac:dyDescent="0.15">
      <c r="A64" s="41">
        <v>15</v>
      </c>
      <c r="B64" s="41" t="s">
        <v>28932</v>
      </c>
      <c r="C64" s="74" t="s">
        <v>28933</v>
      </c>
      <c r="D64" s="72"/>
      <c r="F64" s="57"/>
      <c r="G64" s="72"/>
      <c r="I64" s="57"/>
      <c r="J64" s="35"/>
      <c r="M64" s="299" t="s">
        <v>17556</v>
      </c>
      <c r="N64" s="45" t="s">
        <v>398</v>
      </c>
      <c r="O64" s="46">
        <v>1</v>
      </c>
      <c r="P64" s="512"/>
      <c r="Q64" s="57"/>
      <c r="R64" s="43"/>
      <c r="S64" s="37"/>
      <c r="T64" s="38"/>
      <c r="U64" s="79"/>
      <c r="V64" s="92" t="s">
        <v>17572</v>
      </c>
      <c r="Y64" s="57"/>
      <c r="Z64" s="208">
        <f>ROUND((ROUND((ROUND((ROUND((_15_同援日０．５*_15・通訳),0)*_15・２人),0)*(1+_15・A深夜)),0)*(1+_15・区４)),0)+ROUND((ROUND((ROUND((_15_同援日０．５＿２．５*_15・通訳),0)*_15・２人),0)*(1+_15・区４)),0)</f>
        <v>912</v>
      </c>
      <c r="AA64" s="48"/>
    </row>
    <row r="65" spans="1:27" ht="16.5" customHeight="1" x14ac:dyDescent="0.15">
      <c r="A65" s="41">
        <v>15</v>
      </c>
      <c r="B65" s="41" t="s">
        <v>28934</v>
      </c>
      <c r="C65" s="74" t="s">
        <v>28935</v>
      </c>
      <c r="D65" s="72"/>
      <c r="F65" s="57"/>
      <c r="G65" s="72"/>
      <c r="I65" s="57"/>
      <c r="J65" s="35"/>
      <c r="M65" s="163"/>
      <c r="N65" s="45"/>
      <c r="O65" s="46"/>
      <c r="P65" s="512"/>
      <c r="Q65" s="57"/>
      <c r="R65" s="114" t="s">
        <v>17562</v>
      </c>
      <c r="S65" s="49"/>
      <c r="T65" s="50"/>
      <c r="U65" s="115"/>
      <c r="V65" s="35"/>
      <c r="W65" s="12" t="s">
        <v>398</v>
      </c>
      <c r="X65" s="13">
        <v>0.4</v>
      </c>
      <c r="Y65" s="57" t="s">
        <v>3575</v>
      </c>
      <c r="Z65" s="208">
        <f>ROUND((ROUND((ROUND((ROUND((_15_同援日０．５*_15・通訳),0)*(1+_15・A深夜)),0)*(1+_15・盲ろう)),0)*(1+_15・区４)),0)+ROUND((ROUND((ROUND((_15_同援日０．５＿２．５*_15・通訳),0)*(1+_15・盲ろう)),0)*(1+_15・区４)),0)</f>
        <v>1139</v>
      </c>
      <c r="AA65" s="48"/>
    </row>
    <row r="66" spans="1:27" ht="16.5" customHeight="1" x14ac:dyDescent="0.15">
      <c r="A66" s="41">
        <v>15</v>
      </c>
      <c r="B66" s="41" t="s">
        <v>28936</v>
      </c>
      <c r="C66" s="74" t="s">
        <v>28937</v>
      </c>
      <c r="D66" s="122"/>
      <c r="E66" s="37"/>
      <c r="F66" s="79"/>
      <c r="G66" s="122"/>
      <c r="H66" s="37"/>
      <c r="I66" s="79"/>
      <c r="J66" s="35"/>
      <c r="M66" s="299" t="s">
        <v>17556</v>
      </c>
      <c r="N66" s="45" t="s">
        <v>398</v>
      </c>
      <c r="O66" s="46">
        <v>1</v>
      </c>
      <c r="P66" s="512"/>
      <c r="Q66" s="57"/>
      <c r="R66" s="269" t="s">
        <v>17564</v>
      </c>
      <c r="S66" s="37" t="s">
        <v>398</v>
      </c>
      <c r="T66" s="38">
        <v>0.25</v>
      </c>
      <c r="U66" s="79" t="s">
        <v>3575</v>
      </c>
      <c r="V66" s="43"/>
      <c r="W66" s="37"/>
      <c r="X66" s="38"/>
      <c r="Y66" s="79"/>
      <c r="Z66" s="208">
        <f>ROUND((ROUND((ROUND((ROUND((ROUND((_15_同援日０．５*_15・通訳),0)*_15・２人),0)*(1+_15・A深夜)),0)*(1+_15・盲ろう)),0)*(1+_15・区４)),0)+ROUND((ROUND((ROUND((ROUND((_15_同援日０．５＿２．５*_15・通訳),0)*_15・２人),0)*(1+_15・盲ろう)),0)*(1+_15・区４)),0)</f>
        <v>1139</v>
      </c>
      <c r="AA66" s="48"/>
    </row>
    <row r="67" spans="1:27" ht="16.5" customHeight="1" x14ac:dyDescent="0.15">
      <c r="A67" s="41">
        <v>15</v>
      </c>
      <c r="B67" s="41" t="s">
        <v>3596</v>
      </c>
      <c r="C67" s="74" t="s">
        <v>28938</v>
      </c>
      <c r="D67" s="114" t="s">
        <v>18513</v>
      </c>
      <c r="E67" s="49"/>
      <c r="F67" s="115"/>
      <c r="G67" s="114" t="s">
        <v>19187</v>
      </c>
      <c r="H67" s="49"/>
      <c r="I67" s="115"/>
      <c r="J67" s="35"/>
      <c r="M67" s="163"/>
      <c r="N67" s="45"/>
      <c r="O67" s="46"/>
      <c r="P67" s="512"/>
      <c r="Q67" s="57"/>
      <c r="R67" s="53"/>
      <c r="S67" s="49"/>
      <c r="T67" s="50"/>
      <c r="U67" s="115"/>
      <c r="V67" s="53"/>
      <c r="W67" s="49"/>
      <c r="X67" s="50"/>
      <c r="Y67" s="115"/>
      <c r="Z67" s="208">
        <f>ROUND((ROUND((_15_同援日１．０*_15・通訳),0)*(1+_15・A深夜)),0)+ROUND((_15_同援日１．０＿０．５*_15・通訳),0)</f>
        <v>525</v>
      </c>
      <c r="AA67" s="48"/>
    </row>
    <row r="68" spans="1:27" ht="16.5" customHeight="1" x14ac:dyDescent="0.15">
      <c r="A68" s="41">
        <v>15</v>
      </c>
      <c r="B68" s="41" t="s">
        <v>3598</v>
      </c>
      <c r="C68" s="74" t="s">
        <v>28939</v>
      </c>
      <c r="D68" s="72" t="s">
        <v>17589</v>
      </c>
      <c r="F68" s="57"/>
      <c r="G68" s="72" t="s">
        <v>18259</v>
      </c>
      <c r="I68" s="57"/>
      <c r="J68" s="35"/>
      <c r="M68" s="299" t="s">
        <v>17556</v>
      </c>
      <c r="N68" s="45" t="s">
        <v>398</v>
      </c>
      <c r="O68" s="46">
        <v>1</v>
      </c>
      <c r="P68" s="512"/>
      <c r="Q68" s="57"/>
      <c r="R68" s="43"/>
      <c r="S68" s="37"/>
      <c r="T68" s="38"/>
      <c r="U68" s="79"/>
      <c r="V68" s="35"/>
      <c r="Y68" s="57"/>
      <c r="Z68" s="208">
        <f>ROUND((ROUND((ROUND((_15_同援日１．０*_15・通訳),0)*_15・２人),0)*(1+_15・A深夜)),0)+ROUND((ROUND((_15_同援日１．０＿０．５*_15・通訳),0)*_15・２人),0)</f>
        <v>525</v>
      </c>
      <c r="AA68" s="48"/>
    </row>
    <row r="69" spans="1:27" ht="16.5" customHeight="1" x14ac:dyDescent="0.15">
      <c r="A69" s="41">
        <v>15</v>
      </c>
      <c r="B69" s="41" t="s">
        <v>28940</v>
      </c>
      <c r="C69" s="74" t="s">
        <v>28941</v>
      </c>
      <c r="D69" s="72" t="s">
        <v>17591</v>
      </c>
      <c r="F69" s="57"/>
      <c r="G69" s="72"/>
      <c r="I69" s="57"/>
      <c r="J69" s="35"/>
      <c r="M69" s="163"/>
      <c r="N69" s="45"/>
      <c r="O69" s="46"/>
      <c r="P69" s="512"/>
      <c r="Q69" s="57"/>
      <c r="R69" s="114" t="s">
        <v>17562</v>
      </c>
      <c r="S69" s="49"/>
      <c r="T69" s="50"/>
      <c r="U69" s="115"/>
      <c r="V69" s="35"/>
      <c r="Y69" s="57"/>
      <c r="Z69" s="208">
        <f>ROUND((ROUND((ROUND((_15_同援日１．０*_15・通訳),0)*(1+_15・A深夜)),0)*(1+_15・盲ろう)),0)+ROUND((ROUND((_15_同援日１．０＿０．５*_15・通訳),0)*(1+_15・盲ろう)),0)</f>
        <v>656</v>
      </c>
      <c r="AA69" s="48"/>
    </row>
    <row r="70" spans="1:27" ht="16.5" customHeight="1" x14ac:dyDescent="0.15">
      <c r="A70" s="41">
        <v>15</v>
      </c>
      <c r="B70" s="41" t="s">
        <v>28942</v>
      </c>
      <c r="C70" s="74" t="s">
        <v>28943</v>
      </c>
      <c r="D70" s="72"/>
      <c r="E70" s="168">
        <f>_15_同援日１．０</f>
        <v>300</v>
      </c>
      <c r="F70" s="57" t="s">
        <v>392</v>
      </c>
      <c r="G70" s="72"/>
      <c r="H70" s="168">
        <f>_15_同援日１．０＿０．５</f>
        <v>133</v>
      </c>
      <c r="I70" s="57" t="s">
        <v>392</v>
      </c>
      <c r="J70" s="35"/>
      <c r="M70" s="299" t="s">
        <v>17556</v>
      </c>
      <c r="N70" s="45" t="s">
        <v>398</v>
      </c>
      <c r="O70" s="46">
        <v>1</v>
      </c>
      <c r="P70" s="512"/>
      <c r="Q70" s="57"/>
      <c r="R70" s="269" t="s">
        <v>17564</v>
      </c>
      <c r="S70" s="37" t="s">
        <v>398</v>
      </c>
      <c r="T70" s="38">
        <v>0.25</v>
      </c>
      <c r="U70" s="79" t="s">
        <v>3575</v>
      </c>
      <c r="V70" s="43"/>
      <c r="W70" s="37"/>
      <c r="X70" s="38"/>
      <c r="Y70" s="79"/>
      <c r="Z70" s="208">
        <f>ROUND((ROUND((ROUND((ROUND((_15_同援日１．０*_15・通訳),0)*_15・２人),0)*(1+_15・A深夜)),0)*(1+_15・盲ろう)),0)+ROUND((ROUND((ROUND((_15_同援日１．０＿０．５*_15・通訳),0)*_15・２人),0)*(1+_15・盲ろう)),0)</f>
        <v>656</v>
      </c>
      <c r="AA70" s="48"/>
    </row>
    <row r="71" spans="1:27" ht="16.5" customHeight="1" x14ac:dyDescent="0.15">
      <c r="A71" s="41">
        <v>15</v>
      </c>
      <c r="B71" s="41" t="s">
        <v>28944</v>
      </c>
      <c r="C71" s="74" t="s">
        <v>28945</v>
      </c>
      <c r="D71" s="72"/>
      <c r="F71" s="57"/>
      <c r="G71" s="72"/>
      <c r="I71" s="57"/>
      <c r="J71" s="35"/>
      <c r="M71" s="163"/>
      <c r="N71" s="45"/>
      <c r="O71" s="46"/>
      <c r="P71" s="512"/>
      <c r="Q71" s="57"/>
      <c r="R71" s="53"/>
      <c r="S71" s="49"/>
      <c r="T71" s="50"/>
      <c r="U71" s="115"/>
      <c r="V71" s="114" t="s">
        <v>17570</v>
      </c>
      <c r="W71" s="49"/>
      <c r="X71" s="50"/>
      <c r="Y71" s="115"/>
      <c r="Z71" s="208">
        <f>ROUND((ROUND((ROUND((_15_同援日１．０*_15・通訳),0)*(1+_15・A深夜)),0)*(1+_15・区３)),0)+ROUND((ROUND((_15_同援日１．０＿０．５*_15・通訳),0)*(1+_15・区３)),0)</f>
        <v>630</v>
      </c>
      <c r="AA71" s="48"/>
    </row>
    <row r="72" spans="1:27" ht="16.5" customHeight="1" x14ac:dyDescent="0.15">
      <c r="A72" s="41">
        <v>15</v>
      </c>
      <c r="B72" s="41" t="s">
        <v>28946</v>
      </c>
      <c r="C72" s="74" t="s">
        <v>28947</v>
      </c>
      <c r="D72" s="72"/>
      <c r="F72" s="57"/>
      <c r="G72" s="72"/>
      <c r="I72" s="57"/>
      <c r="J72" s="35"/>
      <c r="M72" s="299" t="s">
        <v>17556</v>
      </c>
      <c r="N72" s="45" t="s">
        <v>398</v>
      </c>
      <c r="O72" s="46">
        <v>1</v>
      </c>
      <c r="P72" s="512"/>
      <c r="Q72" s="57"/>
      <c r="R72" s="43"/>
      <c r="S72" s="37"/>
      <c r="T72" s="38"/>
      <c r="U72" s="79"/>
      <c r="V72" s="92" t="s">
        <v>17572</v>
      </c>
      <c r="Y72" s="57"/>
      <c r="Z72" s="208">
        <f>ROUND((ROUND((ROUND((ROUND((_15_同援日１．０*_15・通訳),0)*_15・２人),0)*(1+_15・A深夜)),0)*(1+_15・区３)),0)+ROUND((ROUND((ROUND((_15_同援日１．０＿０．５*_15・通訳),0)*_15・２人),0)*(1+_15・区３)),0)</f>
        <v>630</v>
      </c>
      <c r="AA72" s="48"/>
    </row>
    <row r="73" spans="1:27" ht="16.5" customHeight="1" x14ac:dyDescent="0.15">
      <c r="A73" s="41">
        <v>15</v>
      </c>
      <c r="B73" s="41" t="s">
        <v>28948</v>
      </c>
      <c r="C73" s="74" t="s">
        <v>28949</v>
      </c>
      <c r="D73" s="72"/>
      <c r="F73" s="57"/>
      <c r="G73" s="72"/>
      <c r="I73" s="57"/>
      <c r="J73" s="35"/>
      <c r="M73" s="163"/>
      <c r="N73" s="45"/>
      <c r="O73" s="46"/>
      <c r="P73" s="512"/>
      <c r="Q73" s="57"/>
      <c r="R73" s="114" t="s">
        <v>17562</v>
      </c>
      <c r="S73" s="49"/>
      <c r="T73" s="50"/>
      <c r="U73" s="115"/>
      <c r="V73" s="35"/>
      <c r="W73" s="12" t="s">
        <v>398</v>
      </c>
      <c r="X73" s="13">
        <v>0.2</v>
      </c>
      <c r="Y73" s="57" t="s">
        <v>3575</v>
      </c>
      <c r="Z73" s="208">
        <f>ROUND((ROUND((ROUND((ROUND((_15_同援日１．０*_15・通訳),0)*(1+_15・A深夜)),0)*(1+_15・盲ろう)),0)*(1+_15・区３)),0)+ROUND((ROUND((ROUND((_15_同援日１．０＿０．５*_15・通訳),0)*(1+_15・盲ろう)),0)*(1+_15・区３)),0)</f>
        <v>787</v>
      </c>
      <c r="AA73" s="48"/>
    </row>
    <row r="74" spans="1:27" ht="16.5" customHeight="1" x14ac:dyDescent="0.15">
      <c r="A74" s="41">
        <v>15</v>
      </c>
      <c r="B74" s="41" t="s">
        <v>28950</v>
      </c>
      <c r="C74" s="74" t="s">
        <v>28951</v>
      </c>
      <c r="D74" s="72"/>
      <c r="F74" s="57"/>
      <c r="G74" s="72"/>
      <c r="I74" s="57"/>
      <c r="J74" s="35"/>
      <c r="M74" s="299" t="s">
        <v>17556</v>
      </c>
      <c r="N74" s="45" t="s">
        <v>398</v>
      </c>
      <c r="O74" s="46">
        <v>1</v>
      </c>
      <c r="P74" s="512"/>
      <c r="Q74" s="57"/>
      <c r="R74" s="269" t="s">
        <v>17564</v>
      </c>
      <c r="S74" s="37" t="s">
        <v>398</v>
      </c>
      <c r="T74" s="38">
        <v>0.25</v>
      </c>
      <c r="U74" s="79" t="s">
        <v>3575</v>
      </c>
      <c r="V74" s="43"/>
      <c r="W74" s="37"/>
      <c r="X74" s="38"/>
      <c r="Y74" s="79"/>
      <c r="Z74" s="208">
        <f>ROUND((ROUND((ROUND((ROUND((ROUND((_15_同援日１．０*_15・通訳),0)*_15・２人),0)*(1+_15・A深夜)),0)*(1+_15・盲ろう)),0)*(1+_15・区３)),0)+ROUND((ROUND((ROUND((ROUND((_15_同援日１．０＿０．５*_15・通訳),0)*_15・２人),0)*(1+_15・盲ろう)),0)*(1+_15・区３)),0)</f>
        <v>787</v>
      </c>
      <c r="AA74" s="48"/>
    </row>
    <row r="75" spans="1:27" ht="16.5" customHeight="1" x14ac:dyDescent="0.15">
      <c r="A75" s="41">
        <v>15</v>
      </c>
      <c r="B75" s="41" t="s">
        <v>28952</v>
      </c>
      <c r="C75" s="74" t="s">
        <v>28953</v>
      </c>
      <c r="D75" s="72"/>
      <c r="F75" s="57"/>
      <c r="G75" s="72"/>
      <c r="I75" s="57"/>
      <c r="J75" s="35"/>
      <c r="M75" s="163"/>
      <c r="N75" s="45"/>
      <c r="O75" s="46"/>
      <c r="P75" s="512"/>
      <c r="Q75" s="57"/>
      <c r="R75" s="53"/>
      <c r="S75" s="49"/>
      <c r="T75" s="50"/>
      <c r="U75" s="115"/>
      <c r="V75" s="114" t="s">
        <v>17580</v>
      </c>
      <c r="W75" s="49"/>
      <c r="X75" s="50"/>
      <c r="Y75" s="115"/>
      <c r="Z75" s="208">
        <f>ROUND((ROUND((ROUND((_15_同援日１．０*_15・通訳),0)*(1+_15・A深夜)),0)*(1+_15・区４)),0)+ROUND((ROUND((_15_同援日１．０＿０．５*_15・通訳),0)*(1+_15・区４)),0)</f>
        <v>735</v>
      </c>
      <c r="AA75" s="48"/>
    </row>
    <row r="76" spans="1:27" ht="16.5" customHeight="1" x14ac:dyDescent="0.15">
      <c r="A76" s="41">
        <v>15</v>
      </c>
      <c r="B76" s="41" t="s">
        <v>28954</v>
      </c>
      <c r="C76" s="74" t="s">
        <v>28955</v>
      </c>
      <c r="D76" s="72"/>
      <c r="F76" s="57"/>
      <c r="G76" s="72"/>
      <c r="I76" s="57"/>
      <c r="J76" s="35"/>
      <c r="M76" s="299" t="s">
        <v>17556</v>
      </c>
      <c r="N76" s="45" t="s">
        <v>398</v>
      </c>
      <c r="O76" s="46">
        <v>1</v>
      </c>
      <c r="P76" s="512"/>
      <c r="Q76" s="57"/>
      <c r="R76" s="43"/>
      <c r="S76" s="37"/>
      <c r="T76" s="38"/>
      <c r="U76" s="79"/>
      <c r="V76" s="92" t="s">
        <v>17572</v>
      </c>
      <c r="Y76" s="57"/>
      <c r="Z76" s="208">
        <f>ROUND((ROUND((ROUND((ROUND((_15_同援日１．０*_15・通訳),0)*_15・２人),0)*(1+_15・A深夜)),0)*(1+_15・区４)),0)+ROUND((ROUND((ROUND((_15_同援日１．０＿０．５*_15・通訳),0)*_15・２人),0)*(1+_15・区４)),0)</f>
        <v>735</v>
      </c>
      <c r="AA76" s="48"/>
    </row>
    <row r="77" spans="1:27" ht="16.5" customHeight="1" x14ac:dyDescent="0.15">
      <c r="A77" s="41">
        <v>15</v>
      </c>
      <c r="B77" s="41" t="s">
        <v>3604</v>
      </c>
      <c r="C77" s="74" t="s">
        <v>28956</v>
      </c>
      <c r="D77" s="72"/>
      <c r="F77" s="57"/>
      <c r="G77" s="72"/>
      <c r="I77" s="57"/>
      <c r="J77" s="35"/>
      <c r="M77" s="163"/>
      <c r="N77" s="45"/>
      <c r="O77" s="46"/>
      <c r="P77" s="512"/>
      <c r="Q77" s="57"/>
      <c r="R77" s="114" t="s">
        <v>17562</v>
      </c>
      <c r="S77" s="49"/>
      <c r="T77" s="50"/>
      <c r="U77" s="115"/>
      <c r="V77" s="35"/>
      <c r="W77" s="12" t="s">
        <v>398</v>
      </c>
      <c r="X77" s="13">
        <v>0.4</v>
      </c>
      <c r="Y77" s="57" t="s">
        <v>3575</v>
      </c>
      <c r="Z77" s="208">
        <f>ROUND((ROUND((ROUND((ROUND((_15_同援日１．０*_15・通訳),0)*(1+_15・A深夜)),0)*(1+_15・盲ろう)),0)*(1+_15・区４)),0)+ROUND((ROUND((ROUND((_15_同援日１．０＿０．５*_15・通訳),0)*(1+_15・盲ろう)),0)*(1+_15・区４)),0)</f>
        <v>918</v>
      </c>
      <c r="AA77" s="48"/>
    </row>
    <row r="78" spans="1:27" ht="16.5" customHeight="1" x14ac:dyDescent="0.15">
      <c r="A78" s="41">
        <v>15</v>
      </c>
      <c r="B78" s="41" t="s">
        <v>3606</v>
      </c>
      <c r="C78" s="74" t="s">
        <v>28957</v>
      </c>
      <c r="D78" s="72"/>
      <c r="F78" s="57"/>
      <c r="G78" s="122"/>
      <c r="H78" s="37"/>
      <c r="I78" s="79"/>
      <c r="J78" s="35"/>
      <c r="M78" s="299" t="s">
        <v>17556</v>
      </c>
      <c r="N78" s="45" t="s">
        <v>398</v>
      </c>
      <c r="O78" s="46">
        <v>1</v>
      </c>
      <c r="P78" s="512"/>
      <c r="Q78" s="57"/>
      <c r="R78" s="269" t="s">
        <v>17564</v>
      </c>
      <c r="S78" s="37" t="s">
        <v>398</v>
      </c>
      <c r="T78" s="38">
        <v>0.25</v>
      </c>
      <c r="U78" s="79" t="s">
        <v>3575</v>
      </c>
      <c r="V78" s="43"/>
      <c r="W78" s="37"/>
      <c r="X78" s="38"/>
      <c r="Y78" s="79"/>
      <c r="Z78" s="208">
        <f>ROUND((ROUND((ROUND((ROUND((ROUND((_15_同援日１．０*_15・通訳),0)*_15・２人),0)*(1+_15・A深夜)),0)*(1+_15・盲ろう)),0)*(1+_15・区４)),0)+ROUND((ROUND((ROUND((ROUND((_15_同援日１．０＿０．５*_15・通訳),0)*_15・２人),0)*(1+_15・盲ろう)),0)*(1+_15・区４)),0)</f>
        <v>918</v>
      </c>
      <c r="AA78" s="48"/>
    </row>
    <row r="79" spans="1:27" ht="16.5" customHeight="1" x14ac:dyDescent="0.15">
      <c r="A79" s="41">
        <v>15</v>
      </c>
      <c r="B79" s="41" t="s">
        <v>28958</v>
      </c>
      <c r="C79" s="74" t="s">
        <v>28959</v>
      </c>
      <c r="D79" s="72"/>
      <c r="F79" s="57"/>
      <c r="G79" s="114" t="s">
        <v>19212</v>
      </c>
      <c r="H79" s="49"/>
      <c r="I79" s="115"/>
      <c r="J79" s="35"/>
      <c r="M79" s="163"/>
      <c r="N79" s="45"/>
      <c r="O79" s="46"/>
      <c r="P79" s="512"/>
      <c r="Q79" s="57"/>
      <c r="R79" s="53"/>
      <c r="S79" s="49"/>
      <c r="T79" s="50"/>
      <c r="U79" s="115"/>
      <c r="V79" s="53"/>
      <c r="W79" s="49"/>
      <c r="X79" s="50"/>
      <c r="Y79" s="115"/>
      <c r="Z79" s="208">
        <f>ROUND((ROUND((_15_同援日１．０*_15・通訳),0)*(1+_15・A深夜)),0)+ROUND((_15_同援日１．０＿１．０*_15・通訳),0)</f>
        <v>583</v>
      </c>
      <c r="AA79" s="48"/>
    </row>
    <row r="80" spans="1:27" ht="16.5" customHeight="1" x14ac:dyDescent="0.15">
      <c r="A80" s="41">
        <v>15</v>
      </c>
      <c r="B80" s="41" t="s">
        <v>28960</v>
      </c>
      <c r="C80" s="74" t="s">
        <v>28961</v>
      </c>
      <c r="D80" s="72"/>
      <c r="F80" s="57"/>
      <c r="G80" s="72" t="s">
        <v>17589</v>
      </c>
      <c r="I80" s="57"/>
      <c r="J80" s="35"/>
      <c r="M80" s="299" t="s">
        <v>17556</v>
      </c>
      <c r="N80" s="45" t="s">
        <v>398</v>
      </c>
      <c r="O80" s="46">
        <v>1</v>
      </c>
      <c r="P80" s="512"/>
      <c r="Q80" s="57"/>
      <c r="R80" s="43"/>
      <c r="S80" s="37"/>
      <c r="T80" s="38"/>
      <c r="U80" s="79"/>
      <c r="V80" s="35"/>
      <c r="Y80" s="57"/>
      <c r="Z80" s="208">
        <f>ROUND((ROUND((ROUND((_15_同援日１．０*_15・通訳),0)*_15・２人),0)*(1+_15・A深夜)),0)+ROUND((ROUND((_15_同援日１．０＿１．０*_15・通訳),0)*_15・２人),0)</f>
        <v>583</v>
      </c>
      <c r="AA80" s="48"/>
    </row>
    <row r="81" spans="1:27" ht="16.5" customHeight="1" x14ac:dyDescent="0.15">
      <c r="A81" s="41">
        <v>15</v>
      </c>
      <c r="B81" s="41" t="s">
        <v>28962</v>
      </c>
      <c r="C81" s="74" t="s">
        <v>28963</v>
      </c>
      <c r="D81" s="72"/>
      <c r="F81" s="57"/>
      <c r="G81" s="72" t="s">
        <v>17591</v>
      </c>
      <c r="I81" s="57"/>
      <c r="J81" s="35"/>
      <c r="M81" s="163"/>
      <c r="N81" s="45"/>
      <c r="O81" s="46"/>
      <c r="P81" s="512"/>
      <c r="Q81" s="57"/>
      <c r="R81" s="114" t="s">
        <v>17562</v>
      </c>
      <c r="S81" s="49"/>
      <c r="T81" s="50"/>
      <c r="U81" s="115"/>
      <c r="V81" s="35"/>
      <c r="Y81" s="57"/>
      <c r="Z81" s="208">
        <f>ROUND((ROUND((ROUND((_15_同援日１．０*_15・通訳),0)*(1+_15・A深夜)),0)*(1+_15・盲ろう)),0)+ROUND((ROUND((_15_同援日１．０＿１．０*_15・通訳),0)*(1+_15・盲ろう)),0)</f>
        <v>729</v>
      </c>
      <c r="AA81" s="48"/>
    </row>
    <row r="82" spans="1:27" ht="16.5" customHeight="1" x14ac:dyDescent="0.15">
      <c r="A82" s="41">
        <v>15</v>
      </c>
      <c r="B82" s="41" t="s">
        <v>28964</v>
      </c>
      <c r="C82" s="74" t="s">
        <v>28965</v>
      </c>
      <c r="D82" s="72"/>
      <c r="F82" s="57"/>
      <c r="G82" s="72"/>
      <c r="H82" s="168">
        <f>_15_同援日１．０＿１．０</f>
        <v>198</v>
      </c>
      <c r="I82" s="57" t="s">
        <v>392</v>
      </c>
      <c r="J82" s="35"/>
      <c r="M82" s="299" t="s">
        <v>17556</v>
      </c>
      <c r="N82" s="45" t="s">
        <v>398</v>
      </c>
      <c r="O82" s="46">
        <v>1</v>
      </c>
      <c r="P82" s="512"/>
      <c r="Q82" s="57"/>
      <c r="R82" s="269" t="s">
        <v>17564</v>
      </c>
      <c r="S82" s="37" t="s">
        <v>398</v>
      </c>
      <c r="T82" s="38">
        <v>0.25</v>
      </c>
      <c r="U82" s="79" t="s">
        <v>3575</v>
      </c>
      <c r="V82" s="43"/>
      <c r="W82" s="37"/>
      <c r="X82" s="38"/>
      <c r="Y82" s="79"/>
      <c r="Z82" s="208">
        <f>ROUND((ROUND((ROUND((ROUND((_15_同援日１．０*_15・通訳),0)*_15・２人),0)*(1+_15・A深夜)),0)*(1+_15・盲ろう)),0)+ROUND((ROUND((ROUND((_15_同援日１．０＿１．０*_15・通訳),0)*_15・２人),0)*(1+_15・盲ろう)),0)</f>
        <v>729</v>
      </c>
      <c r="AA82" s="48"/>
    </row>
    <row r="83" spans="1:27" ht="16.5" customHeight="1" x14ac:dyDescent="0.15">
      <c r="A83" s="41">
        <v>15</v>
      </c>
      <c r="B83" s="41" t="s">
        <v>28966</v>
      </c>
      <c r="C83" s="74" t="s">
        <v>28967</v>
      </c>
      <c r="D83" s="72"/>
      <c r="F83" s="57"/>
      <c r="G83" s="72"/>
      <c r="I83" s="57"/>
      <c r="J83" s="35"/>
      <c r="M83" s="163"/>
      <c r="N83" s="45"/>
      <c r="O83" s="46"/>
      <c r="P83" s="512"/>
      <c r="Q83" s="57"/>
      <c r="R83" s="53"/>
      <c r="S83" s="49"/>
      <c r="T83" s="50"/>
      <c r="U83" s="115"/>
      <c r="V83" s="114" t="s">
        <v>17570</v>
      </c>
      <c r="W83" s="49"/>
      <c r="X83" s="50"/>
      <c r="Y83" s="115"/>
      <c r="Z83" s="208">
        <f>ROUND((ROUND((ROUND((_15_同援日１．０*_15・通訳),0)*(1+_15・A深夜)),0)*(1+_15・区３)),0)+ROUND((ROUND((_15_同援日１．０＿１．０*_15・通訳),0)*(1+_15・区３)),0)</f>
        <v>700</v>
      </c>
      <c r="AA83" s="48"/>
    </row>
    <row r="84" spans="1:27" ht="16.5" customHeight="1" x14ac:dyDescent="0.15">
      <c r="A84" s="41">
        <v>15</v>
      </c>
      <c r="B84" s="41" t="s">
        <v>28968</v>
      </c>
      <c r="C84" s="74" t="s">
        <v>28969</v>
      </c>
      <c r="D84" s="72"/>
      <c r="F84" s="57"/>
      <c r="G84" s="72"/>
      <c r="I84" s="57"/>
      <c r="J84" s="35"/>
      <c r="M84" s="299" t="s">
        <v>17556</v>
      </c>
      <c r="N84" s="45" t="s">
        <v>398</v>
      </c>
      <c r="O84" s="46">
        <v>1</v>
      </c>
      <c r="P84" s="512"/>
      <c r="Q84" s="57"/>
      <c r="R84" s="43"/>
      <c r="S84" s="37"/>
      <c r="T84" s="38"/>
      <c r="U84" s="79"/>
      <c r="V84" s="92" t="s">
        <v>17572</v>
      </c>
      <c r="Y84" s="57"/>
      <c r="Z84" s="208">
        <f>ROUND((ROUND((ROUND((ROUND((_15_同援日１．０*_15・通訳),0)*_15・２人),0)*(1+_15・A深夜)),0)*(1+_15・区３)),0)+ROUND((ROUND((ROUND((_15_同援日１．０＿１．０*_15・通訳),0)*_15・２人),0)*(1+_15・区３)),0)</f>
        <v>700</v>
      </c>
      <c r="AA84" s="48"/>
    </row>
    <row r="85" spans="1:27" ht="16.5" customHeight="1" x14ac:dyDescent="0.15">
      <c r="A85" s="41">
        <v>15</v>
      </c>
      <c r="B85" s="41" t="s">
        <v>28970</v>
      </c>
      <c r="C85" s="74" t="s">
        <v>28971</v>
      </c>
      <c r="D85" s="72"/>
      <c r="F85" s="57"/>
      <c r="G85" s="72"/>
      <c r="I85" s="57"/>
      <c r="J85" s="35"/>
      <c r="M85" s="163"/>
      <c r="N85" s="45"/>
      <c r="O85" s="46"/>
      <c r="P85" s="512"/>
      <c r="Q85" s="57"/>
      <c r="R85" s="114" t="s">
        <v>17562</v>
      </c>
      <c r="S85" s="49"/>
      <c r="T85" s="50"/>
      <c r="U85" s="115"/>
      <c r="V85" s="35"/>
      <c r="W85" s="12" t="s">
        <v>398</v>
      </c>
      <c r="X85" s="13">
        <v>0.2</v>
      </c>
      <c r="Y85" s="57" t="s">
        <v>3575</v>
      </c>
      <c r="Z85" s="208">
        <f>ROUND((ROUND((ROUND((ROUND((_15_同援日１．０*_15・通訳),0)*(1+_15・A深夜)),0)*(1+_15・盲ろう)),0)*(1+_15・区３)),0)+ROUND((ROUND((ROUND((_15_同援日１．０＿１．０*_15・通訳),0)*(1+_15・盲ろう)),0)*(1+_15・区３)),0)</f>
        <v>875</v>
      </c>
      <c r="AA85" s="48"/>
    </row>
    <row r="86" spans="1:27" ht="16.5" customHeight="1" x14ac:dyDescent="0.15">
      <c r="A86" s="41">
        <v>15</v>
      </c>
      <c r="B86" s="41" t="s">
        <v>28972</v>
      </c>
      <c r="C86" s="74" t="s">
        <v>28973</v>
      </c>
      <c r="D86" s="72"/>
      <c r="F86" s="57"/>
      <c r="G86" s="72"/>
      <c r="I86" s="57"/>
      <c r="J86" s="35"/>
      <c r="M86" s="299" t="s">
        <v>17556</v>
      </c>
      <c r="N86" s="45" t="s">
        <v>398</v>
      </c>
      <c r="O86" s="46">
        <v>1</v>
      </c>
      <c r="P86" s="512"/>
      <c r="Q86" s="57"/>
      <c r="R86" s="269" t="s">
        <v>17564</v>
      </c>
      <c r="S86" s="37" t="s">
        <v>398</v>
      </c>
      <c r="T86" s="38">
        <v>0.25</v>
      </c>
      <c r="U86" s="79" t="s">
        <v>3575</v>
      </c>
      <c r="V86" s="43"/>
      <c r="W86" s="37"/>
      <c r="X86" s="38"/>
      <c r="Y86" s="79"/>
      <c r="Z86" s="208">
        <f>ROUND((ROUND((ROUND((ROUND((ROUND((_15_同援日１．０*_15・通訳),0)*_15・２人),0)*(1+_15・A深夜)),0)*(1+_15・盲ろう)),0)*(1+_15・区３)),0)+ROUND((ROUND((ROUND((ROUND((_15_同援日１．０＿１．０*_15・通訳),0)*_15・２人),0)*(1+_15・盲ろう)),0)*(1+_15・区３)),0)</f>
        <v>875</v>
      </c>
      <c r="AA86" s="48"/>
    </row>
    <row r="87" spans="1:27" ht="16.5" customHeight="1" x14ac:dyDescent="0.15">
      <c r="A87" s="41">
        <v>15</v>
      </c>
      <c r="B87" s="41" t="s">
        <v>3610</v>
      </c>
      <c r="C87" s="74" t="s">
        <v>28974</v>
      </c>
      <c r="D87" s="72"/>
      <c r="F87" s="57"/>
      <c r="G87" s="72"/>
      <c r="I87" s="57"/>
      <c r="J87" s="35"/>
      <c r="M87" s="163"/>
      <c r="N87" s="45"/>
      <c r="O87" s="46"/>
      <c r="P87" s="512"/>
      <c r="Q87" s="57"/>
      <c r="R87" s="53"/>
      <c r="S87" s="49"/>
      <c r="T87" s="50"/>
      <c r="U87" s="115"/>
      <c r="V87" s="114" t="s">
        <v>17580</v>
      </c>
      <c r="W87" s="49"/>
      <c r="X87" s="50"/>
      <c r="Y87" s="115"/>
      <c r="Z87" s="208">
        <f>ROUND((ROUND((ROUND((_15_同援日１．０*_15・通訳),0)*(1+_15・A深夜)),0)*(1+_15・区４)),0)+ROUND((ROUND((_15_同援日１．０＿１．０*_15・通訳),0)*(1+_15・区４)),0)</f>
        <v>816</v>
      </c>
      <c r="AA87" s="48"/>
    </row>
    <row r="88" spans="1:27" ht="16.5" customHeight="1" x14ac:dyDescent="0.15">
      <c r="A88" s="41">
        <v>15</v>
      </c>
      <c r="B88" s="41" t="s">
        <v>3612</v>
      </c>
      <c r="C88" s="74" t="s">
        <v>28975</v>
      </c>
      <c r="D88" s="72"/>
      <c r="F88" s="57"/>
      <c r="G88" s="72"/>
      <c r="I88" s="57"/>
      <c r="J88" s="35"/>
      <c r="M88" s="299" t="s">
        <v>17556</v>
      </c>
      <c r="N88" s="45" t="s">
        <v>398</v>
      </c>
      <c r="O88" s="46">
        <v>1</v>
      </c>
      <c r="P88" s="512"/>
      <c r="Q88" s="57"/>
      <c r="R88" s="43"/>
      <c r="S88" s="37"/>
      <c r="T88" s="38"/>
      <c r="U88" s="79"/>
      <c r="V88" s="92" t="s">
        <v>17572</v>
      </c>
      <c r="Y88" s="57"/>
      <c r="Z88" s="208">
        <f>ROUND((ROUND((ROUND((ROUND((_15_同援日１．０*_15・通訳),0)*_15・２人),0)*(1+_15・A深夜)),0)*(1+_15・区４)),0)+ROUND((ROUND((ROUND((_15_同援日１．０＿１．０*_15・通訳),0)*_15・２人),0)*(1+_15・区４)),0)</f>
        <v>816</v>
      </c>
      <c r="AA88" s="48"/>
    </row>
    <row r="89" spans="1:27" ht="16.5" customHeight="1" x14ac:dyDescent="0.15">
      <c r="A89" s="41">
        <v>15</v>
      </c>
      <c r="B89" s="41" t="s">
        <v>28976</v>
      </c>
      <c r="C89" s="74" t="s">
        <v>28977</v>
      </c>
      <c r="D89" s="72"/>
      <c r="F89" s="57"/>
      <c r="G89" s="72"/>
      <c r="I89" s="57"/>
      <c r="J89" s="35"/>
      <c r="M89" s="163"/>
      <c r="N89" s="45"/>
      <c r="O89" s="46"/>
      <c r="P89" s="512"/>
      <c r="Q89" s="57"/>
      <c r="R89" s="114" t="s">
        <v>17562</v>
      </c>
      <c r="S89" s="49"/>
      <c r="T89" s="50"/>
      <c r="U89" s="115"/>
      <c r="V89" s="35"/>
      <c r="W89" s="12" t="s">
        <v>398</v>
      </c>
      <c r="X89" s="13">
        <v>0.4</v>
      </c>
      <c r="Y89" s="57" t="s">
        <v>3575</v>
      </c>
      <c r="Z89" s="208">
        <f>ROUND((ROUND((ROUND((ROUND((_15_同援日１．０*_15・通訳),0)*(1+_15・A深夜)),0)*(1+_15・盲ろう)),0)*(1+_15・区４)),0)+ROUND((ROUND((ROUND((_15_同援日１．０＿１．０*_15・通訳),0)*(1+_15・盲ろう)),0)*(1+_15・区４)),0)</f>
        <v>1020</v>
      </c>
      <c r="AA89" s="48"/>
    </row>
    <row r="90" spans="1:27" ht="16.5" customHeight="1" x14ac:dyDescent="0.15">
      <c r="A90" s="41">
        <v>15</v>
      </c>
      <c r="B90" s="41" t="s">
        <v>28978</v>
      </c>
      <c r="C90" s="74" t="s">
        <v>28979</v>
      </c>
      <c r="D90" s="72"/>
      <c r="F90" s="57"/>
      <c r="G90" s="122"/>
      <c r="H90" s="37"/>
      <c r="I90" s="79"/>
      <c r="J90" s="35"/>
      <c r="M90" s="299" t="s">
        <v>17556</v>
      </c>
      <c r="N90" s="45" t="s">
        <v>398</v>
      </c>
      <c r="O90" s="46">
        <v>1</v>
      </c>
      <c r="P90" s="512"/>
      <c r="Q90" s="57"/>
      <c r="R90" s="269" t="s">
        <v>17564</v>
      </c>
      <c r="S90" s="37" t="s">
        <v>398</v>
      </c>
      <c r="T90" s="38">
        <v>0.25</v>
      </c>
      <c r="U90" s="79" t="s">
        <v>3575</v>
      </c>
      <c r="V90" s="43"/>
      <c r="W90" s="37"/>
      <c r="X90" s="38"/>
      <c r="Y90" s="79"/>
      <c r="Z90" s="208">
        <f>ROUND((ROUND((ROUND((ROUND((ROUND((_15_同援日１．０*_15・通訳),0)*_15・２人),0)*(1+_15・A深夜)),0)*(1+_15・盲ろう)),0)*(1+_15・区４)),0)+ROUND((ROUND((ROUND((ROUND((_15_同援日１．０＿１．０*_15・通訳),0)*_15・２人),0)*(1+_15・盲ろう)),0)*(1+_15・区４)),0)</f>
        <v>1020</v>
      </c>
      <c r="AA90" s="48"/>
    </row>
    <row r="91" spans="1:27" ht="16.5" customHeight="1" x14ac:dyDescent="0.15">
      <c r="A91" s="41">
        <v>15</v>
      </c>
      <c r="B91" s="41" t="s">
        <v>28980</v>
      </c>
      <c r="C91" s="74" t="s">
        <v>28981</v>
      </c>
      <c r="D91" s="72"/>
      <c r="F91" s="57"/>
      <c r="G91" s="114" t="s">
        <v>19237</v>
      </c>
      <c r="H91" s="49"/>
      <c r="I91" s="115"/>
      <c r="J91" s="35"/>
      <c r="M91" s="163"/>
      <c r="N91" s="45"/>
      <c r="O91" s="46"/>
      <c r="P91" s="512"/>
      <c r="Q91" s="57"/>
      <c r="R91" s="53"/>
      <c r="S91" s="49"/>
      <c r="T91" s="50"/>
      <c r="U91" s="115"/>
      <c r="V91" s="53"/>
      <c r="W91" s="49"/>
      <c r="X91" s="50"/>
      <c r="Y91" s="115"/>
      <c r="Z91" s="208">
        <f>ROUND((ROUND((_15_同援日１．０*_15・通訳),0)*(1+_15・A深夜)),0)+ROUND((_15_同援日１．０＿１．５*_15・通訳),0)</f>
        <v>642</v>
      </c>
      <c r="AA91" s="48"/>
    </row>
    <row r="92" spans="1:27" ht="16.5" customHeight="1" x14ac:dyDescent="0.15">
      <c r="A92" s="41">
        <v>15</v>
      </c>
      <c r="B92" s="41" t="s">
        <v>28982</v>
      </c>
      <c r="C92" s="74" t="s">
        <v>28983</v>
      </c>
      <c r="D92" s="72"/>
      <c r="F92" s="57"/>
      <c r="G92" s="72" t="s">
        <v>17616</v>
      </c>
      <c r="I92" s="57"/>
      <c r="J92" s="35"/>
      <c r="M92" s="299" t="s">
        <v>17556</v>
      </c>
      <c r="N92" s="45" t="s">
        <v>398</v>
      </c>
      <c r="O92" s="46">
        <v>1</v>
      </c>
      <c r="P92" s="512"/>
      <c r="Q92" s="57"/>
      <c r="R92" s="43"/>
      <c r="S92" s="37"/>
      <c r="T92" s="38"/>
      <c r="U92" s="79"/>
      <c r="V92" s="35"/>
      <c r="Y92" s="57"/>
      <c r="Z92" s="208">
        <f>ROUND((ROUND((ROUND((_15_同援日１．０*_15・通訳),0)*_15・２人),0)*(1+_15・A深夜)),0)+ROUND((ROUND((_15_同援日１．０＿１．５*_15・通訳),0)*_15・２人),0)</f>
        <v>642</v>
      </c>
      <c r="AA92" s="48"/>
    </row>
    <row r="93" spans="1:27" ht="16.5" customHeight="1" x14ac:dyDescent="0.15">
      <c r="A93" s="41">
        <v>15</v>
      </c>
      <c r="B93" s="41" t="s">
        <v>28984</v>
      </c>
      <c r="C93" s="74" t="s">
        <v>28985</v>
      </c>
      <c r="D93" s="72"/>
      <c r="F93" s="57"/>
      <c r="G93" s="72" t="s">
        <v>18183</v>
      </c>
      <c r="I93" s="57"/>
      <c r="J93" s="35"/>
      <c r="M93" s="163"/>
      <c r="N93" s="45"/>
      <c r="O93" s="46"/>
      <c r="P93" s="512"/>
      <c r="Q93" s="57"/>
      <c r="R93" s="114" t="s">
        <v>17562</v>
      </c>
      <c r="S93" s="49"/>
      <c r="T93" s="50"/>
      <c r="U93" s="115"/>
      <c r="V93" s="35"/>
      <c r="Y93" s="57"/>
      <c r="Z93" s="208">
        <f>ROUND((ROUND((ROUND((_15_同援日１．０*_15・通訳),0)*(1+_15・A深夜)),0)*(1+_15・盲ろう)),0)+ROUND((ROUND((_15_同援日１．０＿１．５*_15・通訳),0)*(1+_15・盲ろう)),0)</f>
        <v>802</v>
      </c>
      <c r="AA93" s="48"/>
    </row>
    <row r="94" spans="1:27" ht="16.5" customHeight="1" x14ac:dyDescent="0.15">
      <c r="A94" s="41">
        <v>15</v>
      </c>
      <c r="B94" s="41" t="s">
        <v>28986</v>
      </c>
      <c r="C94" s="74" t="s">
        <v>28987</v>
      </c>
      <c r="D94" s="72"/>
      <c r="F94" s="57"/>
      <c r="G94" s="72"/>
      <c r="H94" s="168">
        <f>_15_同援日１．０＿１．５</f>
        <v>263</v>
      </c>
      <c r="I94" s="57" t="s">
        <v>392</v>
      </c>
      <c r="J94" s="35"/>
      <c r="M94" s="299" t="s">
        <v>17556</v>
      </c>
      <c r="N94" s="45" t="s">
        <v>398</v>
      </c>
      <c r="O94" s="46">
        <v>1</v>
      </c>
      <c r="P94" s="512"/>
      <c r="Q94" s="57"/>
      <c r="R94" s="269" t="s">
        <v>17564</v>
      </c>
      <c r="S94" s="37" t="s">
        <v>398</v>
      </c>
      <c r="T94" s="38">
        <v>0.25</v>
      </c>
      <c r="U94" s="79" t="s">
        <v>3575</v>
      </c>
      <c r="V94" s="43"/>
      <c r="W94" s="37"/>
      <c r="X94" s="38"/>
      <c r="Y94" s="79"/>
      <c r="Z94" s="208">
        <f>ROUND((ROUND((ROUND((ROUND((_15_同援日１．０*_15・通訳),0)*_15・２人),0)*(1+_15・A深夜)),0)*(1+_15・盲ろう)),0)+ROUND((ROUND((ROUND((_15_同援日１．０＿１．５*_15・通訳),0)*_15・２人),0)*(1+_15・盲ろう)),0)</f>
        <v>802</v>
      </c>
      <c r="AA94" s="48"/>
    </row>
    <row r="95" spans="1:27" ht="16.5" customHeight="1" x14ac:dyDescent="0.15">
      <c r="A95" s="41">
        <v>15</v>
      </c>
      <c r="B95" s="41" t="s">
        <v>28988</v>
      </c>
      <c r="C95" s="74" t="s">
        <v>28989</v>
      </c>
      <c r="D95" s="72"/>
      <c r="F95" s="57"/>
      <c r="G95" s="72"/>
      <c r="I95" s="57"/>
      <c r="J95" s="35"/>
      <c r="M95" s="163"/>
      <c r="N95" s="45"/>
      <c r="O95" s="46"/>
      <c r="P95" s="512"/>
      <c r="Q95" s="57"/>
      <c r="R95" s="53"/>
      <c r="S95" s="49"/>
      <c r="T95" s="50"/>
      <c r="U95" s="115"/>
      <c r="V95" s="114" t="s">
        <v>17570</v>
      </c>
      <c r="W95" s="49"/>
      <c r="X95" s="50"/>
      <c r="Y95" s="115"/>
      <c r="Z95" s="208">
        <f>ROUND((ROUND((ROUND((_15_同援日１．０*_15・通訳),0)*(1+_15・A深夜)),0)*(1+_15・区３)),0)+ROUND((ROUND((_15_同援日１．０＿１．５*_15・通訳),0)*(1+_15・区３)),0)</f>
        <v>770</v>
      </c>
      <c r="AA95" s="48"/>
    </row>
    <row r="96" spans="1:27" ht="16.5" customHeight="1" x14ac:dyDescent="0.15">
      <c r="A96" s="41">
        <v>15</v>
      </c>
      <c r="B96" s="41" t="s">
        <v>28990</v>
      </c>
      <c r="C96" s="74" t="s">
        <v>28991</v>
      </c>
      <c r="D96" s="72"/>
      <c r="F96" s="57"/>
      <c r="G96" s="72"/>
      <c r="I96" s="57"/>
      <c r="J96" s="35"/>
      <c r="M96" s="299" t="s">
        <v>17556</v>
      </c>
      <c r="N96" s="45" t="s">
        <v>398</v>
      </c>
      <c r="O96" s="46">
        <v>1</v>
      </c>
      <c r="P96" s="512"/>
      <c r="Q96" s="57"/>
      <c r="R96" s="43"/>
      <c r="S96" s="37"/>
      <c r="T96" s="38"/>
      <c r="U96" s="79"/>
      <c r="V96" s="92" t="s">
        <v>17572</v>
      </c>
      <c r="Y96" s="57"/>
      <c r="Z96" s="208">
        <f>ROUND((ROUND((ROUND((ROUND((_15_同援日１．０*_15・通訳),0)*_15・２人),0)*(1+_15・A深夜)),0)*(1+_15・区３)),0)+ROUND((ROUND((ROUND((_15_同援日１．０＿１．５*_15・通訳),0)*_15・２人),0)*(1+_15・区３)),0)</f>
        <v>770</v>
      </c>
      <c r="AA96" s="48"/>
    </row>
    <row r="97" spans="1:27" ht="16.5" customHeight="1" x14ac:dyDescent="0.15">
      <c r="A97" s="41">
        <v>15</v>
      </c>
      <c r="B97" s="41" t="s">
        <v>3616</v>
      </c>
      <c r="C97" s="74" t="s">
        <v>28992</v>
      </c>
      <c r="D97" s="72"/>
      <c r="F97" s="57"/>
      <c r="G97" s="72"/>
      <c r="I97" s="57"/>
      <c r="J97" s="35"/>
      <c r="M97" s="163"/>
      <c r="N97" s="45"/>
      <c r="O97" s="46"/>
      <c r="P97" s="512"/>
      <c r="Q97" s="57"/>
      <c r="R97" s="114" t="s">
        <v>17562</v>
      </c>
      <c r="S97" s="49"/>
      <c r="T97" s="50"/>
      <c r="U97" s="115"/>
      <c r="V97" s="35"/>
      <c r="W97" s="12" t="s">
        <v>398</v>
      </c>
      <c r="X97" s="13">
        <v>0.2</v>
      </c>
      <c r="Y97" s="57" t="s">
        <v>3575</v>
      </c>
      <c r="Z97" s="208">
        <f>ROUND((ROUND((ROUND((ROUND((_15_同援日１．０*_15・通訳),0)*(1+_15・A深夜)),0)*(1+_15・盲ろう)),0)*(1+_15・区３)),0)+ROUND((ROUND((ROUND((_15_同援日１．０＿１．５*_15・通訳),0)*(1+_15・盲ろう)),0)*(1+_15・区３)),0)</f>
        <v>962</v>
      </c>
      <c r="AA97" s="48"/>
    </row>
    <row r="98" spans="1:27" ht="16.5" customHeight="1" x14ac:dyDescent="0.15">
      <c r="A98" s="41">
        <v>15</v>
      </c>
      <c r="B98" s="41" t="s">
        <v>3618</v>
      </c>
      <c r="C98" s="74" t="s">
        <v>28993</v>
      </c>
      <c r="D98" s="72"/>
      <c r="F98" s="57"/>
      <c r="G98" s="72"/>
      <c r="I98" s="57"/>
      <c r="J98" s="35"/>
      <c r="M98" s="299" t="s">
        <v>17556</v>
      </c>
      <c r="N98" s="45" t="s">
        <v>398</v>
      </c>
      <c r="O98" s="46">
        <v>1</v>
      </c>
      <c r="P98" s="512"/>
      <c r="Q98" s="57"/>
      <c r="R98" s="269" t="s">
        <v>17564</v>
      </c>
      <c r="S98" s="37" t="s">
        <v>398</v>
      </c>
      <c r="T98" s="38">
        <v>0.25</v>
      </c>
      <c r="U98" s="79" t="s">
        <v>3575</v>
      </c>
      <c r="V98" s="43"/>
      <c r="W98" s="37"/>
      <c r="X98" s="38"/>
      <c r="Y98" s="79"/>
      <c r="Z98" s="208">
        <f>ROUND((ROUND((ROUND((ROUND((ROUND((_15_同援日１．０*_15・通訳),0)*_15・２人),0)*(1+_15・A深夜)),0)*(1+_15・盲ろう)),0)*(1+_15・区３)),0)+ROUND((ROUND((ROUND((ROUND((_15_同援日１．０＿１．５*_15・通訳),0)*_15・２人),0)*(1+_15・盲ろう)),0)*(1+_15・区３)),0)</f>
        <v>962</v>
      </c>
      <c r="AA98" s="48"/>
    </row>
    <row r="99" spans="1:27" ht="16.5" customHeight="1" x14ac:dyDescent="0.15">
      <c r="A99" s="41">
        <v>15</v>
      </c>
      <c r="B99" s="41" t="s">
        <v>28994</v>
      </c>
      <c r="C99" s="74" t="s">
        <v>28995</v>
      </c>
      <c r="D99" s="72"/>
      <c r="F99" s="57"/>
      <c r="G99" s="72"/>
      <c r="I99" s="57"/>
      <c r="J99" s="35"/>
      <c r="M99" s="163"/>
      <c r="N99" s="45"/>
      <c r="O99" s="46"/>
      <c r="P99" s="512"/>
      <c r="Q99" s="57"/>
      <c r="R99" s="53"/>
      <c r="S99" s="49"/>
      <c r="T99" s="50"/>
      <c r="U99" s="115"/>
      <c r="V99" s="114" t="s">
        <v>17580</v>
      </c>
      <c r="W99" s="49"/>
      <c r="X99" s="50"/>
      <c r="Y99" s="115"/>
      <c r="Z99" s="208">
        <f>ROUND((ROUND((ROUND((_15_同援日１．０*_15・通訳),0)*(1+_15・A深夜)),0)*(1+_15・区４)),0)+ROUND((ROUND((_15_同援日１．０＿１．５*_15・通訳),0)*(1+_15・区４)),0)</f>
        <v>899</v>
      </c>
      <c r="AA99" s="48"/>
    </row>
    <row r="100" spans="1:27" ht="16.5" customHeight="1" x14ac:dyDescent="0.15">
      <c r="A100" s="41">
        <v>15</v>
      </c>
      <c r="B100" s="41" t="s">
        <v>28996</v>
      </c>
      <c r="C100" s="74" t="s">
        <v>28997</v>
      </c>
      <c r="D100" s="72"/>
      <c r="F100" s="57"/>
      <c r="G100" s="72"/>
      <c r="I100" s="57"/>
      <c r="J100" s="35"/>
      <c r="M100" s="299" t="s">
        <v>17556</v>
      </c>
      <c r="N100" s="45" t="s">
        <v>398</v>
      </c>
      <c r="O100" s="46">
        <v>1</v>
      </c>
      <c r="P100" s="512"/>
      <c r="Q100" s="57"/>
      <c r="R100" s="43"/>
      <c r="S100" s="37"/>
      <c r="T100" s="38"/>
      <c r="U100" s="79"/>
      <c r="V100" s="92" t="s">
        <v>17572</v>
      </c>
      <c r="Y100" s="57"/>
      <c r="Z100" s="208">
        <f>ROUND((ROUND((ROUND((ROUND((_15_同援日１．０*_15・通訳),0)*_15・２人),0)*(1+_15・A深夜)),0)*(1+_15・区４)),0)+ROUND((ROUND((ROUND((_15_同援日１．０＿１．５*_15・通訳),0)*_15・２人),0)*(1+_15・区４)),0)</f>
        <v>899</v>
      </c>
      <c r="AA100" s="48"/>
    </row>
    <row r="101" spans="1:27" ht="16.5" customHeight="1" x14ac:dyDescent="0.15">
      <c r="A101" s="41">
        <v>15</v>
      </c>
      <c r="B101" s="41" t="s">
        <v>28998</v>
      </c>
      <c r="C101" s="74" t="s">
        <v>28999</v>
      </c>
      <c r="D101" s="72"/>
      <c r="F101" s="57"/>
      <c r="G101" s="72"/>
      <c r="I101" s="57"/>
      <c r="J101" s="35"/>
      <c r="M101" s="163"/>
      <c r="N101" s="45"/>
      <c r="O101" s="46"/>
      <c r="P101" s="512"/>
      <c r="Q101" s="57"/>
      <c r="R101" s="114" t="s">
        <v>17562</v>
      </c>
      <c r="S101" s="49"/>
      <c r="T101" s="50"/>
      <c r="U101" s="115"/>
      <c r="V101" s="35"/>
      <c r="W101" s="12" t="s">
        <v>398</v>
      </c>
      <c r="X101" s="13">
        <v>0.4</v>
      </c>
      <c r="Y101" s="57" t="s">
        <v>3575</v>
      </c>
      <c r="Z101" s="208">
        <f>ROUND((ROUND((ROUND((ROUND((_15_同援日１．０*_15・通訳),0)*(1+_15・A深夜)),0)*(1+_15・盲ろう)),0)*(1+_15・区４)),0)+ROUND((ROUND((ROUND((_15_同援日１．０＿１．５*_15・通訳),0)*(1+_15・盲ろう)),0)*(1+_15・区４)),0)</f>
        <v>1122</v>
      </c>
      <c r="AA101" s="48"/>
    </row>
    <row r="102" spans="1:27" ht="16.5" customHeight="1" x14ac:dyDescent="0.15">
      <c r="A102" s="41">
        <v>15</v>
      </c>
      <c r="B102" s="41" t="s">
        <v>29000</v>
      </c>
      <c r="C102" s="74" t="s">
        <v>29001</v>
      </c>
      <c r="D102" s="72"/>
      <c r="F102" s="57"/>
      <c r="G102" s="122"/>
      <c r="H102" s="37"/>
      <c r="I102" s="79"/>
      <c r="J102" s="35"/>
      <c r="M102" s="299" t="s">
        <v>17556</v>
      </c>
      <c r="N102" s="45" t="s">
        <v>398</v>
      </c>
      <c r="O102" s="46">
        <v>1</v>
      </c>
      <c r="P102" s="512"/>
      <c r="Q102" s="57"/>
      <c r="R102" s="269" t="s">
        <v>17564</v>
      </c>
      <c r="S102" s="37" t="s">
        <v>398</v>
      </c>
      <c r="T102" s="38">
        <v>0.25</v>
      </c>
      <c r="U102" s="79" t="s">
        <v>3575</v>
      </c>
      <c r="V102" s="43"/>
      <c r="W102" s="37"/>
      <c r="X102" s="38"/>
      <c r="Y102" s="79"/>
      <c r="Z102" s="208">
        <f>ROUND((ROUND((ROUND((ROUND((ROUND((_15_同援日１．０*_15・通訳),0)*_15・２人),0)*(1+_15・A深夜)),0)*(1+_15・盲ろう)),0)*(1+_15・区４)),0)+ROUND((ROUND((ROUND((ROUND((_15_同援日１．０＿１．５*_15・通訳),0)*_15・２人),0)*(1+_15・盲ろう)),0)*(1+_15・区４)),0)</f>
        <v>1122</v>
      </c>
      <c r="AA102" s="48"/>
    </row>
    <row r="103" spans="1:27" ht="16.5" customHeight="1" x14ac:dyDescent="0.15">
      <c r="A103" s="41">
        <v>15</v>
      </c>
      <c r="B103" s="41" t="s">
        <v>29002</v>
      </c>
      <c r="C103" s="74" t="s">
        <v>29003</v>
      </c>
      <c r="D103" s="72"/>
      <c r="F103" s="57"/>
      <c r="G103" s="114" t="s">
        <v>19262</v>
      </c>
      <c r="H103" s="49"/>
      <c r="I103" s="115"/>
      <c r="J103" s="35"/>
      <c r="M103" s="163"/>
      <c r="N103" s="45"/>
      <c r="O103" s="46"/>
      <c r="P103" s="512"/>
      <c r="Q103" s="57"/>
      <c r="R103" s="53"/>
      <c r="S103" s="49"/>
      <c r="T103" s="50"/>
      <c r="U103" s="115"/>
      <c r="V103" s="53"/>
      <c r="W103" s="49"/>
      <c r="X103" s="50"/>
      <c r="Y103" s="115"/>
      <c r="Z103" s="208">
        <f>ROUND((ROUND((_15_同援日１．０*_15・通訳),0)*(1+_15・A深夜)),0)+ROUND((_15_同援日１．０＿２．０*_15・通訳),0)</f>
        <v>700</v>
      </c>
      <c r="AA103" s="48"/>
    </row>
    <row r="104" spans="1:27" ht="16.5" customHeight="1" x14ac:dyDescent="0.15">
      <c r="A104" s="41">
        <v>15</v>
      </c>
      <c r="B104" s="41" t="s">
        <v>29004</v>
      </c>
      <c r="C104" s="74" t="s">
        <v>29005</v>
      </c>
      <c r="D104" s="72"/>
      <c r="F104" s="57"/>
      <c r="G104" s="72" t="s">
        <v>17643</v>
      </c>
      <c r="I104" s="57"/>
      <c r="J104" s="35"/>
      <c r="M104" s="299" t="s">
        <v>17556</v>
      </c>
      <c r="N104" s="45" t="s">
        <v>398</v>
      </c>
      <c r="O104" s="46">
        <v>1</v>
      </c>
      <c r="P104" s="512"/>
      <c r="Q104" s="57"/>
      <c r="R104" s="43"/>
      <c r="S104" s="37"/>
      <c r="T104" s="38"/>
      <c r="U104" s="79"/>
      <c r="V104" s="35"/>
      <c r="Y104" s="57"/>
      <c r="Z104" s="208">
        <f>ROUND((ROUND((ROUND((_15_同援日１．０*_15・通訳),0)*_15・２人),0)*(1+_15・A深夜)),0)+ROUND((ROUND((_15_同援日１．０＿２．０*_15・通訳),0)*_15・２人),0)</f>
        <v>700</v>
      </c>
      <c r="AA104" s="48"/>
    </row>
    <row r="105" spans="1:27" ht="16.5" customHeight="1" x14ac:dyDescent="0.15">
      <c r="A105" s="41">
        <v>15</v>
      </c>
      <c r="B105" s="41" t="s">
        <v>29006</v>
      </c>
      <c r="C105" s="74" t="s">
        <v>29007</v>
      </c>
      <c r="D105" s="72"/>
      <c r="F105" s="57"/>
      <c r="G105" s="72" t="s">
        <v>17645</v>
      </c>
      <c r="I105" s="57"/>
      <c r="J105" s="35"/>
      <c r="M105" s="163"/>
      <c r="N105" s="45"/>
      <c r="O105" s="46"/>
      <c r="P105" s="512"/>
      <c r="Q105" s="57"/>
      <c r="R105" s="114" t="s">
        <v>17562</v>
      </c>
      <c r="S105" s="49"/>
      <c r="T105" s="50"/>
      <c r="U105" s="115"/>
      <c r="V105" s="35"/>
      <c r="Y105" s="57"/>
      <c r="Z105" s="208">
        <f>ROUND((ROUND((ROUND((_15_同援日１．０*_15・通訳),0)*(1+_15・A深夜)),0)*(1+_15・盲ろう)),0)+ROUND((ROUND((_15_同援日１．０＿２．０*_15・通訳),0)*(1+_15・盲ろう)),0)</f>
        <v>875</v>
      </c>
      <c r="AA105" s="48"/>
    </row>
    <row r="106" spans="1:27" ht="16.5" customHeight="1" x14ac:dyDescent="0.15">
      <c r="A106" s="41">
        <v>15</v>
      </c>
      <c r="B106" s="41" t="s">
        <v>29008</v>
      </c>
      <c r="C106" s="74" t="s">
        <v>29009</v>
      </c>
      <c r="D106" s="72"/>
      <c r="F106" s="57"/>
      <c r="G106" s="72"/>
      <c r="H106" s="168">
        <f>_15_同援日１．０＿２．０</f>
        <v>328</v>
      </c>
      <c r="I106" s="57" t="s">
        <v>392</v>
      </c>
      <c r="J106" s="35"/>
      <c r="M106" s="299" t="s">
        <v>17556</v>
      </c>
      <c r="N106" s="45" t="s">
        <v>398</v>
      </c>
      <c r="O106" s="46">
        <v>1</v>
      </c>
      <c r="P106" s="512"/>
      <c r="Q106" s="57"/>
      <c r="R106" s="269" t="s">
        <v>17564</v>
      </c>
      <c r="S106" s="37" t="s">
        <v>398</v>
      </c>
      <c r="T106" s="38">
        <v>0.25</v>
      </c>
      <c r="U106" s="79" t="s">
        <v>3575</v>
      </c>
      <c r="V106" s="43"/>
      <c r="W106" s="37"/>
      <c r="X106" s="38"/>
      <c r="Y106" s="79"/>
      <c r="Z106" s="208">
        <f>ROUND((ROUND((ROUND((ROUND((_15_同援日１．０*_15・通訳),0)*_15・２人),0)*(1+_15・A深夜)),0)*(1+_15・盲ろう)),0)+ROUND((ROUND((ROUND((_15_同援日１．０＿２．０*_15・通訳),0)*_15・２人),0)*(1+_15・盲ろう)),0)</f>
        <v>875</v>
      </c>
      <c r="AA106" s="48"/>
    </row>
    <row r="107" spans="1:27" ht="16.5" customHeight="1" x14ac:dyDescent="0.15">
      <c r="A107" s="41">
        <v>15</v>
      </c>
      <c r="B107" s="41" t="s">
        <v>3623</v>
      </c>
      <c r="C107" s="74" t="s">
        <v>29010</v>
      </c>
      <c r="D107" s="72"/>
      <c r="F107" s="57"/>
      <c r="G107" s="72"/>
      <c r="I107" s="57"/>
      <c r="J107" s="35"/>
      <c r="M107" s="163"/>
      <c r="N107" s="45"/>
      <c r="O107" s="46"/>
      <c r="P107" s="512"/>
      <c r="Q107" s="57"/>
      <c r="R107" s="53"/>
      <c r="S107" s="49"/>
      <c r="T107" s="50"/>
      <c r="U107" s="115"/>
      <c r="V107" s="114" t="s">
        <v>17570</v>
      </c>
      <c r="W107" s="49"/>
      <c r="X107" s="50"/>
      <c r="Y107" s="115"/>
      <c r="Z107" s="208">
        <f>ROUND((ROUND((ROUND((_15_同援日１．０*_15・通訳),0)*(1+_15・A深夜)),0)*(1+_15・区３)),0)+ROUND((ROUND((_15_同援日１．０＿２．０*_15・通訳),0)*(1+_15・区３)),0)</f>
        <v>840</v>
      </c>
      <c r="AA107" s="48"/>
    </row>
    <row r="108" spans="1:27" ht="16.5" customHeight="1" x14ac:dyDescent="0.15">
      <c r="A108" s="41">
        <v>15</v>
      </c>
      <c r="B108" s="41" t="s">
        <v>3625</v>
      </c>
      <c r="C108" s="74" t="s">
        <v>29011</v>
      </c>
      <c r="D108" s="72"/>
      <c r="F108" s="57"/>
      <c r="G108" s="72"/>
      <c r="I108" s="57"/>
      <c r="J108" s="35"/>
      <c r="M108" s="299" t="s">
        <v>17556</v>
      </c>
      <c r="N108" s="45" t="s">
        <v>398</v>
      </c>
      <c r="O108" s="46">
        <v>1</v>
      </c>
      <c r="P108" s="512"/>
      <c r="Q108" s="57"/>
      <c r="R108" s="43"/>
      <c r="S108" s="37"/>
      <c r="T108" s="38"/>
      <c r="U108" s="79"/>
      <c r="V108" s="92" t="s">
        <v>17572</v>
      </c>
      <c r="Y108" s="57"/>
      <c r="Z108" s="208">
        <f>ROUND((ROUND((ROUND((ROUND((_15_同援日１．０*_15・通訳),0)*_15・２人),0)*(1+_15・A深夜)),0)*(1+_15・区３)),0)+ROUND((ROUND((ROUND((_15_同援日１．０＿２．０*_15・通訳),0)*_15・２人),0)*(1+_15・区３)),0)</f>
        <v>840</v>
      </c>
      <c r="AA108" s="48"/>
    </row>
    <row r="109" spans="1:27" ht="16.5" customHeight="1" x14ac:dyDescent="0.15">
      <c r="A109" s="41">
        <v>15</v>
      </c>
      <c r="B109" s="41" t="s">
        <v>29012</v>
      </c>
      <c r="C109" s="74" t="s">
        <v>29013</v>
      </c>
      <c r="D109" s="72"/>
      <c r="F109" s="57"/>
      <c r="G109" s="72"/>
      <c r="I109" s="57"/>
      <c r="J109" s="35"/>
      <c r="M109" s="163"/>
      <c r="N109" s="45"/>
      <c r="O109" s="46"/>
      <c r="P109" s="512"/>
      <c r="Q109" s="57"/>
      <c r="R109" s="114" t="s">
        <v>17562</v>
      </c>
      <c r="S109" s="49"/>
      <c r="T109" s="50"/>
      <c r="U109" s="115"/>
      <c r="V109" s="35"/>
      <c r="W109" s="12" t="s">
        <v>398</v>
      </c>
      <c r="X109" s="13">
        <v>0.2</v>
      </c>
      <c r="Y109" s="57" t="s">
        <v>3575</v>
      </c>
      <c r="Z109" s="208">
        <f>ROUND((ROUND((ROUND((ROUND((_15_同援日１．０*_15・通訳),0)*(1+_15・A深夜)),0)*(1+_15・盲ろう)),0)*(1+_15・区３)),0)+ROUND((ROUND((ROUND((_15_同援日１．０＿２．０*_15・通訳),0)*(1+_15・盲ろう)),0)*(1+_15・区３)),0)</f>
        <v>1050</v>
      </c>
      <c r="AA109" s="48"/>
    </row>
    <row r="110" spans="1:27" ht="16.5" customHeight="1" x14ac:dyDescent="0.15">
      <c r="A110" s="41">
        <v>15</v>
      </c>
      <c r="B110" s="41" t="s">
        <v>29014</v>
      </c>
      <c r="C110" s="74" t="s">
        <v>29015</v>
      </c>
      <c r="D110" s="72"/>
      <c r="F110" s="57"/>
      <c r="G110" s="72"/>
      <c r="I110" s="57"/>
      <c r="J110" s="35"/>
      <c r="M110" s="299" t="s">
        <v>17556</v>
      </c>
      <c r="N110" s="45" t="s">
        <v>398</v>
      </c>
      <c r="O110" s="46">
        <v>1</v>
      </c>
      <c r="P110" s="512"/>
      <c r="Q110" s="57"/>
      <c r="R110" s="269" t="s">
        <v>17564</v>
      </c>
      <c r="S110" s="37" t="s">
        <v>398</v>
      </c>
      <c r="T110" s="38">
        <v>0.25</v>
      </c>
      <c r="U110" s="79" t="s">
        <v>3575</v>
      </c>
      <c r="V110" s="43"/>
      <c r="W110" s="37"/>
      <c r="X110" s="38"/>
      <c r="Y110" s="79"/>
      <c r="Z110" s="208">
        <f>ROUND((ROUND((ROUND((ROUND((ROUND((_15_同援日１．０*_15・通訳),0)*_15・２人),0)*(1+_15・A深夜)),0)*(1+_15・盲ろう)),0)*(1+_15・区３)),0)+ROUND((ROUND((ROUND((ROUND((_15_同援日１．０＿２．０*_15・通訳),0)*_15・２人),0)*(1+_15・盲ろう)),0)*(1+_15・区３)),0)</f>
        <v>1050</v>
      </c>
      <c r="AA110" s="48"/>
    </row>
    <row r="111" spans="1:27" ht="16.5" customHeight="1" x14ac:dyDescent="0.15">
      <c r="A111" s="41">
        <v>15</v>
      </c>
      <c r="B111" s="41" t="s">
        <v>29016</v>
      </c>
      <c r="C111" s="74" t="s">
        <v>29017</v>
      </c>
      <c r="D111" s="72"/>
      <c r="F111" s="57"/>
      <c r="G111" s="72"/>
      <c r="I111" s="57"/>
      <c r="J111" s="35"/>
      <c r="M111" s="163"/>
      <c r="N111" s="45"/>
      <c r="O111" s="46"/>
      <c r="P111" s="512"/>
      <c r="Q111" s="57"/>
      <c r="R111" s="53"/>
      <c r="S111" s="49"/>
      <c r="T111" s="50"/>
      <c r="U111" s="115"/>
      <c r="V111" s="114" t="s">
        <v>17580</v>
      </c>
      <c r="W111" s="49"/>
      <c r="X111" s="50"/>
      <c r="Y111" s="115"/>
      <c r="Z111" s="208">
        <f>ROUND((ROUND((ROUND((_15_同援日１．０*_15・通訳),0)*(1+_15・A深夜)),0)*(1+_15・区４)),0)+ROUND((ROUND((_15_同援日１．０＿２．０*_15・通訳),0)*(1+_15・区４)),0)</f>
        <v>980</v>
      </c>
      <c r="AA111" s="48"/>
    </row>
    <row r="112" spans="1:27" ht="16.5" customHeight="1" x14ac:dyDescent="0.15">
      <c r="A112" s="41">
        <v>15</v>
      </c>
      <c r="B112" s="41" t="s">
        <v>29018</v>
      </c>
      <c r="C112" s="74" t="s">
        <v>29019</v>
      </c>
      <c r="D112" s="72"/>
      <c r="F112" s="57"/>
      <c r="G112" s="72"/>
      <c r="I112" s="57"/>
      <c r="J112" s="35"/>
      <c r="M112" s="299" t="s">
        <v>17556</v>
      </c>
      <c r="N112" s="45" t="s">
        <v>398</v>
      </c>
      <c r="O112" s="46">
        <v>1</v>
      </c>
      <c r="P112" s="512"/>
      <c r="Q112" s="57"/>
      <c r="R112" s="43"/>
      <c r="S112" s="37"/>
      <c r="T112" s="38"/>
      <c r="U112" s="79"/>
      <c r="V112" s="92" t="s">
        <v>17572</v>
      </c>
      <c r="Y112" s="57"/>
      <c r="Z112" s="208">
        <f>ROUND((ROUND((ROUND((ROUND((_15_同援日１．０*_15・通訳),0)*_15・２人),0)*(1+_15・A深夜)),0)*(1+_15・区４)),0)+ROUND((ROUND((ROUND((_15_同援日１．０＿２．０*_15・通訳),0)*_15・２人),0)*(1+_15・区４)),0)</f>
        <v>980</v>
      </c>
      <c r="AA112" s="48"/>
    </row>
    <row r="113" spans="1:27" ht="16.5" customHeight="1" x14ac:dyDescent="0.15">
      <c r="A113" s="41">
        <v>15</v>
      </c>
      <c r="B113" s="41" t="s">
        <v>29020</v>
      </c>
      <c r="C113" s="74" t="s">
        <v>29021</v>
      </c>
      <c r="D113" s="72"/>
      <c r="F113" s="57"/>
      <c r="G113" s="72"/>
      <c r="I113" s="57"/>
      <c r="J113" s="35"/>
      <c r="M113" s="163"/>
      <c r="N113" s="45"/>
      <c r="O113" s="46"/>
      <c r="P113" s="512"/>
      <c r="Q113" s="57"/>
      <c r="R113" s="114" t="s">
        <v>17562</v>
      </c>
      <c r="S113" s="49"/>
      <c r="T113" s="50"/>
      <c r="U113" s="115"/>
      <c r="V113" s="35"/>
      <c r="W113" s="12" t="s">
        <v>398</v>
      </c>
      <c r="X113" s="13">
        <v>0.4</v>
      </c>
      <c r="Y113" s="57" t="s">
        <v>3575</v>
      </c>
      <c r="Z113" s="208">
        <f>ROUND((ROUND((ROUND((ROUND((_15_同援日１．０*_15・通訳),0)*(1+_15・A深夜)),0)*(1+_15・盲ろう)),0)*(1+_15・区４)),0)+ROUND((ROUND((ROUND((_15_同援日１．０＿２．０*_15・通訳),0)*(1+_15・盲ろう)),0)*(1+_15・区４)),0)</f>
        <v>1225</v>
      </c>
      <c r="AA113" s="48"/>
    </row>
    <row r="114" spans="1:27" ht="16.5" customHeight="1" x14ac:dyDescent="0.15">
      <c r="A114" s="41">
        <v>15</v>
      </c>
      <c r="B114" s="41" t="s">
        <v>29022</v>
      </c>
      <c r="C114" s="74" t="s">
        <v>29023</v>
      </c>
      <c r="D114" s="122"/>
      <c r="E114" s="37"/>
      <c r="F114" s="79"/>
      <c r="G114" s="122"/>
      <c r="H114" s="37"/>
      <c r="I114" s="79"/>
      <c r="J114" s="43"/>
      <c r="K114" s="37"/>
      <c r="L114" s="38"/>
      <c r="M114" s="299" t="s">
        <v>17556</v>
      </c>
      <c r="N114" s="45" t="s">
        <v>398</v>
      </c>
      <c r="O114" s="46">
        <v>1</v>
      </c>
      <c r="P114" s="514"/>
      <c r="Q114" s="79"/>
      <c r="R114" s="269" t="s">
        <v>17564</v>
      </c>
      <c r="S114" s="37" t="s">
        <v>398</v>
      </c>
      <c r="T114" s="38">
        <v>0.25</v>
      </c>
      <c r="U114" s="79" t="s">
        <v>3575</v>
      </c>
      <c r="V114" s="43"/>
      <c r="W114" s="37"/>
      <c r="X114" s="38"/>
      <c r="Y114" s="79"/>
      <c r="Z114" s="208">
        <f>ROUND((ROUND((ROUND((ROUND((ROUND((_15_同援日１．０*_15・通訳),0)*_15・２人),0)*(1+_15・A深夜)),0)*(1+_15・盲ろう)),0)*(1+_15・区４)),0)+ROUND((ROUND((ROUND((ROUND((_15_同援日１．０＿２．０*_15・通訳),0)*_15・２人),0)*(1+_15・盲ろう)),0)*(1+_15・区４)),0)</f>
        <v>1225</v>
      </c>
      <c r="AA114" s="63"/>
    </row>
    <row r="115" spans="1:27" ht="16.5" customHeight="1" x14ac:dyDescent="0.15">
      <c r="A115" s="41">
        <v>15</v>
      </c>
      <c r="B115" s="41" t="s">
        <v>29024</v>
      </c>
      <c r="C115" s="74" t="s">
        <v>29025</v>
      </c>
      <c r="D115" s="114" t="s">
        <v>18538</v>
      </c>
      <c r="E115" s="49"/>
      <c r="F115" s="115"/>
      <c r="G115" s="114" t="s">
        <v>19187</v>
      </c>
      <c r="H115" s="49"/>
      <c r="I115" s="115"/>
      <c r="J115" s="53"/>
      <c r="K115" s="49"/>
      <c r="L115" s="50"/>
      <c r="M115" s="163"/>
      <c r="N115" s="45"/>
      <c r="O115" s="46"/>
      <c r="P115" s="515"/>
      <c r="Q115" s="115"/>
      <c r="R115" s="53"/>
      <c r="S115" s="49"/>
      <c r="T115" s="50"/>
      <c r="U115" s="115"/>
      <c r="V115" s="53"/>
      <c r="W115" s="49"/>
      <c r="X115" s="50"/>
      <c r="Y115" s="115"/>
      <c r="Z115" s="208">
        <f>ROUND((ROUND((_15_同援日１．５*_15・通訳),0)*(1+_15・A深夜)),0)+ROUND((_15_同援日１．５＿０．５*_15・通訳),0)</f>
        <v>644</v>
      </c>
      <c r="AA115" s="64"/>
    </row>
    <row r="116" spans="1:27" ht="16.5" customHeight="1" x14ac:dyDescent="0.15">
      <c r="A116" s="41">
        <v>15</v>
      </c>
      <c r="B116" s="41" t="s">
        <v>29026</v>
      </c>
      <c r="C116" s="74" t="s">
        <v>29027</v>
      </c>
      <c r="D116" s="72" t="s">
        <v>17616</v>
      </c>
      <c r="F116" s="57"/>
      <c r="G116" s="72" t="s">
        <v>18259</v>
      </c>
      <c r="I116" s="57"/>
      <c r="J116" s="35"/>
      <c r="M116" s="299" t="s">
        <v>17556</v>
      </c>
      <c r="N116" s="45" t="s">
        <v>398</v>
      </c>
      <c r="O116" s="46">
        <v>1</v>
      </c>
      <c r="P116" s="512"/>
      <c r="Q116" s="57"/>
      <c r="R116" s="43"/>
      <c r="S116" s="37"/>
      <c r="T116" s="38"/>
      <c r="U116" s="79"/>
      <c r="V116" s="35"/>
      <c r="Y116" s="57"/>
      <c r="Z116" s="208">
        <f>ROUND((ROUND((ROUND((_15_同援日１．５*_15・通訳),0)*_15・２人),0)*(1+_15・A深夜)),0)+ROUND((ROUND((_15_同援日１．５＿０．５*_15・通訳),0)*_15・２人),0)</f>
        <v>644</v>
      </c>
      <c r="AA116" s="48"/>
    </row>
    <row r="117" spans="1:27" ht="16.5" customHeight="1" x14ac:dyDescent="0.15">
      <c r="A117" s="41">
        <v>15</v>
      </c>
      <c r="B117" s="41" t="s">
        <v>3629</v>
      </c>
      <c r="C117" s="74" t="s">
        <v>29028</v>
      </c>
      <c r="D117" s="72" t="s">
        <v>18183</v>
      </c>
      <c r="F117" s="57"/>
      <c r="G117" s="72"/>
      <c r="I117" s="57"/>
      <c r="J117" s="35"/>
      <c r="M117" s="163"/>
      <c r="N117" s="45"/>
      <c r="O117" s="46"/>
      <c r="P117" s="512"/>
      <c r="Q117" s="57"/>
      <c r="R117" s="114" t="s">
        <v>17562</v>
      </c>
      <c r="S117" s="49"/>
      <c r="T117" s="50"/>
      <c r="U117" s="115"/>
      <c r="V117" s="35"/>
      <c r="Y117" s="57"/>
      <c r="Z117" s="208">
        <f>ROUND((ROUND((ROUND((_15_同援日１．５*_15・通訳),0)*(1+_15・A深夜)),0)*(1+_15・盲ろう)),0)+ROUND((ROUND((_15_同援日１．５＿０．５*_15・通訳),0)*(1+_15・盲ろう)),0)</f>
        <v>805</v>
      </c>
      <c r="AA117" s="48"/>
    </row>
    <row r="118" spans="1:27" ht="16.5" customHeight="1" x14ac:dyDescent="0.15">
      <c r="A118" s="41">
        <v>15</v>
      </c>
      <c r="B118" s="41" t="s">
        <v>3631</v>
      </c>
      <c r="C118" s="74" t="s">
        <v>29029</v>
      </c>
      <c r="D118" s="72"/>
      <c r="E118" s="168">
        <f>_15_同援日１．５</f>
        <v>433</v>
      </c>
      <c r="F118" s="57" t="s">
        <v>392</v>
      </c>
      <c r="G118" s="72"/>
      <c r="H118" s="168">
        <f>_15_同援日１．５＿０．５</f>
        <v>65</v>
      </c>
      <c r="I118" s="57" t="s">
        <v>392</v>
      </c>
      <c r="J118" s="35"/>
      <c r="M118" s="299" t="s">
        <v>17556</v>
      </c>
      <c r="N118" s="45" t="s">
        <v>398</v>
      </c>
      <c r="O118" s="46">
        <v>1</v>
      </c>
      <c r="P118" s="512"/>
      <c r="Q118" s="57"/>
      <c r="R118" s="269" t="s">
        <v>17564</v>
      </c>
      <c r="S118" s="37" t="s">
        <v>398</v>
      </c>
      <c r="T118" s="38">
        <v>0.25</v>
      </c>
      <c r="U118" s="79" t="s">
        <v>3575</v>
      </c>
      <c r="V118" s="43"/>
      <c r="W118" s="37"/>
      <c r="X118" s="38"/>
      <c r="Y118" s="79"/>
      <c r="Z118" s="208">
        <f>ROUND((ROUND((ROUND((ROUND((_15_同援日１．５*_15・通訳),0)*_15・２人),0)*(1+_15・A深夜)),0)*(1+_15・盲ろう)),0)+ROUND((ROUND((ROUND((_15_同援日１．５＿０．５*_15・通訳),0)*_15・２人),0)*(1+_15・盲ろう)),0)</f>
        <v>805</v>
      </c>
      <c r="AA118" s="48"/>
    </row>
    <row r="119" spans="1:27" ht="16.5" customHeight="1" x14ac:dyDescent="0.15">
      <c r="A119" s="41">
        <v>15</v>
      </c>
      <c r="B119" s="41" t="s">
        <v>29030</v>
      </c>
      <c r="C119" s="74" t="s">
        <v>29031</v>
      </c>
      <c r="D119" s="72"/>
      <c r="F119" s="57"/>
      <c r="G119" s="72"/>
      <c r="I119" s="57"/>
      <c r="J119" s="35"/>
      <c r="M119" s="163"/>
      <c r="N119" s="45"/>
      <c r="O119" s="46"/>
      <c r="P119" s="512"/>
      <c r="Q119" s="57"/>
      <c r="R119" s="53"/>
      <c r="S119" s="49"/>
      <c r="T119" s="50"/>
      <c r="U119" s="115"/>
      <c r="V119" s="114" t="s">
        <v>17570</v>
      </c>
      <c r="W119" s="49"/>
      <c r="X119" s="50"/>
      <c r="Y119" s="115"/>
      <c r="Z119" s="208">
        <f>ROUND((ROUND((ROUND((_15_同援日１．５*_15・通訳),0)*(1+_15・A深夜)),0)*(1+_15・区３)),0)+ROUND((ROUND((_15_同援日１．５＿０．５*_15・通訳),0)*(1+_15・区３)),0)</f>
        <v>773</v>
      </c>
      <c r="AA119" s="48"/>
    </row>
    <row r="120" spans="1:27" ht="16.5" customHeight="1" x14ac:dyDescent="0.15">
      <c r="A120" s="41">
        <v>15</v>
      </c>
      <c r="B120" s="41" t="s">
        <v>29032</v>
      </c>
      <c r="C120" s="74" t="s">
        <v>29033</v>
      </c>
      <c r="D120" s="72"/>
      <c r="F120" s="57"/>
      <c r="G120" s="72"/>
      <c r="I120" s="57"/>
      <c r="J120" s="35"/>
      <c r="M120" s="299" t="s">
        <v>17556</v>
      </c>
      <c r="N120" s="45" t="s">
        <v>398</v>
      </c>
      <c r="O120" s="46">
        <v>1</v>
      </c>
      <c r="P120" s="512"/>
      <c r="Q120" s="57"/>
      <c r="R120" s="43"/>
      <c r="S120" s="37"/>
      <c r="T120" s="38"/>
      <c r="U120" s="79"/>
      <c r="V120" s="92" t="s">
        <v>17572</v>
      </c>
      <c r="Y120" s="57"/>
      <c r="Z120" s="208">
        <f>ROUND((ROUND((ROUND((ROUND((_15_同援日１．５*_15・通訳),0)*_15・２人),0)*(1+_15・A深夜)),0)*(1+_15・区３)),0)+ROUND((ROUND((ROUND((_15_同援日１．５＿０．５*_15・通訳),0)*_15・２人),0)*(1+_15・区３)),0)</f>
        <v>773</v>
      </c>
      <c r="AA120" s="48"/>
    </row>
    <row r="121" spans="1:27" ht="16.5" customHeight="1" x14ac:dyDescent="0.15">
      <c r="A121" s="41">
        <v>15</v>
      </c>
      <c r="B121" s="41" t="s">
        <v>29034</v>
      </c>
      <c r="C121" s="74" t="s">
        <v>29035</v>
      </c>
      <c r="D121" s="72"/>
      <c r="F121" s="57"/>
      <c r="G121" s="72"/>
      <c r="I121" s="57"/>
      <c r="J121" s="35"/>
      <c r="M121" s="163"/>
      <c r="N121" s="45"/>
      <c r="O121" s="46"/>
      <c r="P121" s="512"/>
      <c r="Q121" s="57"/>
      <c r="R121" s="114" t="s">
        <v>17562</v>
      </c>
      <c r="S121" s="49"/>
      <c r="T121" s="50"/>
      <c r="U121" s="115"/>
      <c r="V121" s="35"/>
      <c r="W121" s="12" t="s">
        <v>398</v>
      </c>
      <c r="X121" s="13">
        <v>0.2</v>
      </c>
      <c r="Y121" s="57" t="s">
        <v>3575</v>
      </c>
      <c r="Z121" s="208">
        <f>ROUND((ROUND((ROUND((ROUND((_15_同援日１．５*_15・通訳),0)*(1+_15・A深夜)),0)*(1+_15・盲ろう)),0)*(1+_15・区３)),0)+ROUND((ROUND((ROUND((_15_同援日１．５＿０．５*_15・通訳),0)*(1+_15・盲ろう)),0)*(1+_15・区３)),0)</f>
        <v>966</v>
      </c>
      <c r="AA121" s="48"/>
    </row>
    <row r="122" spans="1:27" ht="16.5" customHeight="1" x14ac:dyDescent="0.15">
      <c r="A122" s="41">
        <v>15</v>
      </c>
      <c r="B122" s="41" t="s">
        <v>29036</v>
      </c>
      <c r="C122" s="74" t="s">
        <v>29037</v>
      </c>
      <c r="D122" s="72"/>
      <c r="F122" s="57"/>
      <c r="G122" s="72"/>
      <c r="I122" s="57"/>
      <c r="J122" s="35"/>
      <c r="M122" s="299" t="s">
        <v>17556</v>
      </c>
      <c r="N122" s="45" t="s">
        <v>398</v>
      </c>
      <c r="O122" s="46">
        <v>1</v>
      </c>
      <c r="P122" s="512"/>
      <c r="Q122" s="57"/>
      <c r="R122" s="269" t="s">
        <v>17564</v>
      </c>
      <c r="S122" s="37" t="s">
        <v>398</v>
      </c>
      <c r="T122" s="38">
        <v>0.25</v>
      </c>
      <c r="U122" s="79" t="s">
        <v>3575</v>
      </c>
      <c r="V122" s="43"/>
      <c r="W122" s="37"/>
      <c r="X122" s="38"/>
      <c r="Y122" s="79"/>
      <c r="Z122" s="208">
        <f>ROUND((ROUND((ROUND((ROUND((ROUND((_15_同援日１．５*_15・通訳),0)*_15・２人),0)*(1+_15・A深夜)),0)*(1+_15・盲ろう)),0)*(1+_15・区３)),0)+ROUND((ROUND((ROUND((ROUND((_15_同援日１．５＿０．５*_15・通訳),0)*_15・２人),0)*(1+_15・盲ろう)),0)*(1+_15・区３)),0)</f>
        <v>966</v>
      </c>
      <c r="AA122" s="48"/>
    </row>
    <row r="123" spans="1:27" ht="16.5" customHeight="1" x14ac:dyDescent="0.15">
      <c r="A123" s="41">
        <v>15</v>
      </c>
      <c r="B123" s="41" t="s">
        <v>29038</v>
      </c>
      <c r="C123" s="74" t="s">
        <v>29039</v>
      </c>
      <c r="D123" s="72"/>
      <c r="F123" s="57"/>
      <c r="G123" s="72"/>
      <c r="I123" s="57"/>
      <c r="J123" s="35"/>
      <c r="M123" s="163"/>
      <c r="N123" s="45"/>
      <c r="O123" s="46"/>
      <c r="P123" s="512"/>
      <c r="Q123" s="57"/>
      <c r="R123" s="53"/>
      <c r="S123" s="49"/>
      <c r="T123" s="50"/>
      <c r="U123" s="115"/>
      <c r="V123" s="114" t="s">
        <v>17580</v>
      </c>
      <c r="W123" s="49"/>
      <c r="X123" s="50"/>
      <c r="Y123" s="115"/>
      <c r="Z123" s="208">
        <f>ROUND((ROUND((ROUND((_15_同援日１．５*_15・通訳),0)*(1+_15・A深夜)),0)*(1+_15・区４)),0)+ROUND((ROUND((_15_同援日１．５＿０．５*_15・通訳),0)*(1+_15・区４)),0)</f>
        <v>902</v>
      </c>
      <c r="AA123" s="48"/>
    </row>
    <row r="124" spans="1:27" ht="16.5" customHeight="1" x14ac:dyDescent="0.15">
      <c r="A124" s="41">
        <v>15</v>
      </c>
      <c r="B124" s="41" t="s">
        <v>29040</v>
      </c>
      <c r="C124" s="74" t="s">
        <v>29041</v>
      </c>
      <c r="D124" s="72"/>
      <c r="F124" s="57"/>
      <c r="G124" s="72"/>
      <c r="I124" s="57"/>
      <c r="J124" s="35"/>
      <c r="M124" s="299" t="s">
        <v>17556</v>
      </c>
      <c r="N124" s="45" t="s">
        <v>398</v>
      </c>
      <c r="O124" s="46">
        <v>1</v>
      </c>
      <c r="P124" s="512"/>
      <c r="Q124" s="57"/>
      <c r="R124" s="43"/>
      <c r="S124" s="37"/>
      <c r="T124" s="38"/>
      <c r="U124" s="79"/>
      <c r="V124" s="92" t="s">
        <v>17572</v>
      </c>
      <c r="Y124" s="57"/>
      <c r="Z124" s="208">
        <f>ROUND((ROUND((ROUND((ROUND((_15_同援日１．５*_15・通訳),0)*_15・２人),0)*(1+_15・A深夜)),0)*(1+_15・区４)),0)+ROUND((ROUND((ROUND((_15_同援日１．５＿０．５*_15・通訳),0)*_15・２人),0)*(1+_15・区４)),0)</f>
        <v>902</v>
      </c>
      <c r="AA124" s="48"/>
    </row>
    <row r="125" spans="1:27" ht="16.5" customHeight="1" x14ac:dyDescent="0.15">
      <c r="A125" s="41">
        <v>15</v>
      </c>
      <c r="B125" s="41" t="s">
        <v>29042</v>
      </c>
      <c r="C125" s="74" t="s">
        <v>29043</v>
      </c>
      <c r="D125" s="72"/>
      <c r="F125" s="57"/>
      <c r="G125" s="72"/>
      <c r="I125" s="57"/>
      <c r="J125" s="35"/>
      <c r="M125" s="163"/>
      <c r="N125" s="45"/>
      <c r="O125" s="46"/>
      <c r="P125" s="512"/>
      <c r="Q125" s="57"/>
      <c r="R125" s="114" t="s">
        <v>17562</v>
      </c>
      <c r="S125" s="49"/>
      <c r="T125" s="50"/>
      <c r="U125" s="115"/>
      <c r="V125" s="35"/>
      <c r="W125" s="12" t="s">
        <v>398</v>
      </c>
      <c r="X125" s="13">
        <v>0.4</v>
      </c>
      <c r="Y125" s="57" t="s">
        <v>3575</v>
      </c>
      <c r="Z125" s="208">
        <f>ROUND((ROUND((ROUND((ROUND((_15_同援日１．５*_15・通訳),0)*(1+_15・A深夜)),0)*(1+_15・盲ろう)),0)*(1+_15・区４)),0)+ROUND((ROUND((ROUND((_15_同援日１．５＿０．５*_15・通訳),0)*(1+_15・盲ろう)),0)*(1+_15・区４)),0)</f>
        <v>1127</v>
      </c>
      <c r="AA125" s="48"/>
    </row>
    <row r="126" spans="1:27" ht="16.5" customHeight="1" x14ac:dyDescent="0.15">
      <c r="A126" s="41">
        <v>15</v>
      </c>
      <c r="B126" s="41" t="s">
        <v>29044</v>
      </c>
      <c r="C126" s="74" t="s">
        <v>29045</v>
      </c>
      <c r="D126" s="72"/>
      <c r="F126" s="57"/>
      <c r="G126" s="122"/>
      <c r="H126" s="37"/>
      <c r="I126" s="79"/>
      <c r="J126" s="35"/>
      <c r="M126" s="299" t="s">
        <v>17556</v>
      </c>
      <c r="N126" s="45" t="s">
        <v>398</v>
      </c>
      <c r="O126" s="46">
        <v>1</v>
      </c>
      <c r="P126" s="512"/>
      <c r="Q126" s="57"/>
      <c r="R126" s="269" t="s">
        <v>17564</v>
      </c>
      <c r="S126" s="37" t="s">
        <v>398</v>
      </c>
      <c r="T126" s="38">
        <v>0.25</v>
      </c>
      <c r="U126" s="79" t="s">
        <v>3575</v>
      </c>
      <c r="V126" s="43"/>
      <c r="W126" s="37"/>
      <c r="X126" s="38"/>
      <c r="Y126" s="79"/>
      <c r="Z126" s="208">
        <f>ROUND((ROUND((ROUND((ROUND((ROUND((_15_同援日１．５*_15・通訳),0)*_15・２人),0)*(1+_15・A深夜)),0)*(1+_15・盲ろう)),0)*(1+_15・区４)),0)+ROUND((ROUND((ROUND((ROUND((_15_同援日１．５＿０．５*_15・通訳),0)*_15・２人),0)*(1+_15・盲ろう)),0)*(1+_15・区４)),0)</f>
        <v>1127</v>
      </c>
      <c r="AA126" s="48"/>
    </row>
    <row r="127" spans="1:27" ht="16.5" customHeight="1" x14ac:dyDescent="0.15">
      <c r="A127" s="41">
        <v>15</v>
      </c>
      <c r="B127" s="41" t="s">
        <v>3636</v>
      </c>
      <c r="C127" s="74" t="s">
        <v>29046</v>
      </c>
      <c r="D127" s="72"/>
      <c r="F127" s="57"/>
      <c r="G127" s="114" t="s">
        <v>19212</v>
      </c>
      <c r="H127" s="49"/>
      <c r="I127" s="115"/>
      <c r="J127" s="35"/>
      <c r="M127" s="163"/>
      <c r="N127" s="45"/>
      <c r="O127" s="46"/>
      <c r="P127" s="512"/>
      <c r="Q127" s="57"/>
      <c r="R127" s="53"/>
      <c r="S127" s="49"/>
      <c r="T127" s="50"/>
      <c r="U127" s="115"/>
      <c r="V127" s="53"/>
      <c r="W127" s="49"/>
      <c r="X127" s="50"/>
      <c r="Y127" s="115"/>
      <c r="Z127" s="208">
        <f>ROUND((ROUND((_15_同援日１．５*_15・通訳),0)*(1+_15・A深夜)),0)+ROUND((_15_同援日１．５＿１．０*_15・通訳),0)</f>
        <v>702</v>
      </c>
      <c r="AA127" s="48"/>
    </row>
    <row r="128" spans="1:27" ht="16.5" customHeight="1" x14ac:dyDescent="0.15">
      <c r="A128" s="41">
        <v>15</v>
      </c>
      <c r="B128" s="41" t="s">
        <v>3638</v>
      </c>
      <c r="C128" s="74" t="s">
        <v>29047</v>
      </c>
      <c r="D128" s="72"/>
      <c r="F128" s="57"/>
      <c r="G128" s="72" t="s">
        <v>17589</v>
      </c>
      <c r="I128" s="57"/>
      <c r="J128" s="35"/>
      <c r="M128" s="299" t="s">
        <v>17556</v>
      </c>
      <c r="N128" s="45" t="s">
        <v>398</v>
      </c>
      <c r="O128" s="46">
        <v>1</v>
      </c>
      <c r="P128" s="512"/>
      <c r="Q128" s="57"/>
      <c r="R128" s="43"/>
      <c r="S128" s="37"/>
      <c r="T128" s="38"/>
      <c r="U128" s="79"/>
      <c r="V128" s="35"/>
      <c r="Y128" s="57"/>
      <c r="Z128" s="208">
        <f>ROUND((ROUND((ROUND((_15_同援日１．５*_15・通訳),0)*_15・２人),0)*(1+_15・A深夜)),0)+ROUND((ROUND((_15_同援日１．５＿１．０*_15・通訳),0)*_15・２人),0)</f>
        <v>702</v>
      </c>
      <c r="AA128" s="48"/>
    </row>
    <row r="129" spans="1:27" ht="16.5" customHeight="1" x14ac:dyDescent="0.15">
      <c r="A129" s="41">
        <v>15</v>
      </c>
      <c r="B129" s="41" t="s">
        <v>29048</v>
      </c>
      <c r="C129" s="74" t="s">
        <v>29049</v>
      </c>
      <c r="D129" s="72"/>
      <c r="F129" s="57"/>
      <c r="G129" s="72" t="s">
        <v>17591</v>
      </c>
      <c r="I129" s="57"/>
      <c r="J129" s="35"/>
      <c r="M129" s="163"/>
      <c r="N129" s="45"/>
      <c r="O129" s="46"/>
      <c r="P129" s="512"/>
      <c r="Q129" s="57"/>
      <c r="R129" s="114" t="s">
        <v>17562</v>
      </c>
      <c r="S129" s="49"/>
      <c r="T129" s="50"/>
      <c r="U129" s="115"/>
      <c r="V129" s="35"/>
      <c r="Y129" s="57"/>
      <c r="Z129" s="208">
        <f>ROUND((ROUND((ROUND((_15_同援日１．５*_15・通訳),0)*(1+_15・A深夜)),0)*(1+_15・盲ろう)),0)+ROUND((ROUND((_15_同援日１．５＿１．０*_15・通訳),0)*(1+_15・盲ろう)),0)</f>
        <v>877</v>
      </c>
      <c r="AA129" s="48"/>
    </row>
    <row r="130" spans="1:27" ht="16.5" customHeight="1" x14ac:dyDescent="0.15">
      <c r="A130" s="41">
        <v>15</v>
      </c>
      <c r="B130" s="41" t="s">
        <v>29050</v>
      </c>
      <c r="C130" s="74" t="s">
        <v>29051</v>
      </c>
      <c r="D130" s="72"/>
      <c r="F130" s="57"/>
      <c r="G130" s="72"/>
      <c r="H130" s="168">
        <f>_15_同援日１．５＿１．０</f>
        <v>130</v>
      </c>
      <c r="I130" s="57" t="s">
        <v>392</v>
      </c>
      <c r="J130" s="35"/>
      <c r="M130" s="299" t="s">
        <v>17556</v>
      </c>
      <c r="N130" s="45" t="s">
        <v>398</v>
      </c>
      <c r="O130" s="46">
        <v>1</v>
      </c>
      <c r="P130" s="512"/>
      <c r="Q130" s="57"/>
      <c r="R130" s="269" t="s">
        <v>17564</v>
      </c>
      <c r="S130" s="37" t="s">
        <v>398</v>
      </c>
      <c r="T130" s="38">
        <v>0.25</v>
      </c>
      <c r="U130" s="79" t="s">
        <v>3575</v>
      </c>
      <c r="V130" s="43"/>
      <c r="W130" s="37"/>
      <c r="X130" s="38"/>
      <c r="Y130" s="79"/>
      <c r="Z130" s="208">
        <f>ROUND((ROUND((ROUND((ROUND((_15_同援日１．５*_15・通訳),0)*_15・２人),0)*(1+_15・A深夜)),0)*(1+_15・盲ろう)),0)+ROUND((ROUND((ROUND((_15_同援日１．５＿１．０*_15・通訳),0)*_15・２人),0)*(1+_15・盲ろう)),0)</f>
        <v>877</v>
      </c>
      <c r="AA130" s="48"/>
    </row>
    <row r="131" spans="1:27" ht="16.5" customHeight="1" x14ac:dyDescent="0.15">
      <c r="A131" s="41">
        <v>15</v>
      </c>
      <c r="B131" s="41" t="s">
        <v>29052</v>
      </c>
      <c r="C131" s="74" t="s">
        <v>29053</v>
      </c>
      <c r="D131" s="72"/>
      <c r="F131" s="57"/>
      <c r="G131" s="72"/>
      <c r="I131" s="57"/>
      <c r="J131" s="35"/>
      <c r="M131" s="163"/>
      <c r="N131" s="45"/>
      <c r="O131" s="46"/>
      <c r="P131" s="512"/>
      <c r="Q131" s="57"/>
      <c r="R131" s="53"/>
      <c r="S131" s="49"/>
      <c r="T131" s="50"/>
      <c r="U131" s="115"/>
      <c r="V131" s="114" t="s">
        <v>17570</v>
      </c>
      <c r="W131" s="49"/>
      <c r="X131" s="50"/>
      <c r="Y131" s="115"/>
      <c r="Z131" s="208">
        <f>ROUND((ROUND((ROUND((_15_同援日１．５*_15・通訳),0)*(1+_15・A深夜)),0)*(1+_15・区３)),0)+ROUND((ROUND((_15_同援日１．５＿１．０*_15・通訳),0)*(1+_15・区３)),0)</f>
        <v>842</v>
      </c>
      <c r="AA131" s="48"/>
    </row>
    <row r="132" spans="1:27" ht="16.5" customHeight="1" x14ac:dyDescent="0.15">
      <c r="A132" s="41">
        <v>15</v>
      </c>
      <c r="B132" s="41" t="s">
        <v>29054</v>
      </c>
      <c r="C132" s="74" t="s">
        <v>29055</v>
      </c>
      <c r="D132" s="72"/>
      <c r="F132" s="57"/>
      <c r="G132" s="72"/>
      <c r="I132" s="57"/>
      <c r="J132" s="35"/>
      <c r="M132" s="299" t="s">
        <v>17556</v>
      </c>
      <c r="N132" s="45" t="s">
        <v>398</v>
      </c>
      <c r="O132" s="46">
        <v>1</v>
      </c>
      <c r="P132" s="512"/>
      <c r="Q132" s="57"/>
      <c r="R132" s="43"/>
      <c r="S132" s="37"/>
      <c r="T132" s="38"/>
      <c r="U132" s="79"/>
      <c r="V132" s="92" t="s">
        <v>17572</v>
      </c>
      <c r="Y132" s="57"/>
      <c r="Z132" s="208">
        <f>ROUND((ROUND((ROUND((ROUND((_15_同援日１．５*_15・通訳),0)*_15・２人),0)*(1+_15・A深夜)),0)*(1+_15・区３)),0)+ROUND((ROUND((ROUND((_15_同援日１．５＿１．０*_15・通訳),0)*_15・２人),0)*(1+_15・区３)),0)</f>
        <v>842</v>
      </c>
      <c r="AA132" s="48"/>
    </row>
    <row r="133" spans="1:27" ht="16.5" customHeight="1" x14ac:dyDescent="0.15">
      <c r="A133" s="41">
        <v>15</v>
      </c>
      <c r="B133" s="41" t="s">
        <v>29056</v>
      </c>
      <c r="C133" s="74" t="s">
        <v>29057</v>
      </c>
      <c r="D133" s="72"/>
      <c r="F133" s="57"/>
      <c r="G133" s="72"/>
      <c r="I133" s="57"/>
      <c r="J133" s="35"/>
      <c r="M133" s="163"/>
      <c r="N133" s="45"/>
      <c r="O133" s="46"/>
      <c r="P133" s="512"/>
      <c r="Q133" s="57"/>
      <c r="R133" s="114" t="s">
        <v>17562</v>
      </c>
      <c r="S133" s="49"/>
      <c r="T133" s="50"/>
      <c r="U133" s="115"/>
      <c r="V133" s="35"/>
      <c r="W133" s="12" t="s">
        <v>398</v>
      </c>
      <c r="X133" s="13">
        <v>0.2</v>
      </c>
      <c r="Y133" s="57" t="s">
        <v>3575</v>
      </c>
      <c r="Z133" s="208">
        <f>ROUND((ROUND((ROUND((ROUND((_15_同援日１．５*_15・通訳),0)*(1+_15・A深夜)),0)*(1+_15・盲ろう)),0)*(1+_15・区３)),0)+ROUND((ROUND((ROUND((_15_同援日１．５＿１．０*_15・通訳),0)*(1+_15・盲ろう)),0)*(1+_15・区３)),0)</f>
        <v>1052</v>
      </c>
      <c r="AA133" s="48"/>
    </row>
    <row r="134" spans="1:27" ht="16.5" customHeight="1" x14ac:dyDescent="0.15">
      <c r="A134" s="41">
        <v>15</v>
      </c>
      <c r="B134" s="41" t="s">
        <v>29058</v>
      </c>
      <c r="C134" s="74" t="s">
        <v>29059</v>
      </c>
      <c r="D134" s="72"/>
      <c r="F134" s="57"/>
      <c r="G134" s="72"/>
      <c r="I134" s="57"/>
      <c r="J134" s="35"/>
      <c r="M134" s="299" t="s">
        <v>17556</v>
      </c>
      <c r="N134" s="45" t="s">
        <v>398</v>
      </c>
      <c r="O134" s="46">
        <v>1</v>
      </c>
      <c r="P134" s="512"/>
      <c r="Q134" s="57"/>
      <c r="R134" s="269" t="s">
        <v>17564</v>
      </c>
      <c r="S134" s="37" t="s">
        <v>398</v>
      </c>
      <c r="T134" s="38">
        <v>0.25</v>
      </c>
      <c r="U134" s="79" t="s">
        <v>3575</v>
      </c>
      <c r="V134" s="43"/>
      <c r="W134" s="37"/>
      <c r="X134" s="38"/>
      <c r="Y134" s="79"/>
      <c r="Z134" s="208">
        <f>ROUND((ROUND((ROUND((ROUND((ROUND((_15_同援日１．５*_15・通訳),0)*_15・２人),0)*(1+_15・A深夜)),0)*(1+_15・盲ろう)),0)*(1+_15・区３)),0)+ROUND((ROUND((ROUND((ROUND((_15_同援日１．５＿１．０*_15・通訳),0)*_15・２人),0)*(1+_15・盲ろう)),0)*(1+_15・区３)),0)</f>
        <v>1052</v>
      </c>
      <c r="AA134" s="48"/>
    </row>
    <row r="135" spans="1:27" ht="16.5" customHeight="1" x14ac:dyDescent="0.15">
      <c r="A135" s="41">
        <v>15</v>
      </c>
      <c r="B135" s="41" t="s">
        <v>29060</v>
      </c>
      <c r="C135" s="74" t="s">
        <v>29061</v>
      </c>
      <c r="D135" s="72"/>
      <c r="F135" s="57"/>
      <c r="G135" s="72"/>
      <c r="I135" s="57"/>
      <c r="J135" s="35"/>
      <c r="M135" s="163"/>
      <c r="N135" s="45"/>
      <c r="O135" s="46"/>
      <c r="P135" s="512"/>
      <c r="Q135" s="57"/>
      <c r="R135" s="53"/>
      <c r="S135" s="49"/>
      <c r="T135" s="50"/>
      <c r="U135" s="115"/>
      <c r="V135" s="114" t="s">
        <v>17580</v>
      </c>
      <c r="W135" s="49"/>
      <c r="X135" s="50"/>
      <c r="Y135" s="115"/>
      <c r="Z135" s="208">
        <f>ROUND((ROUND((ROUND((_15_同援日１．５*_15・通訳),0)*(1+_15・A深夜)),0)*(1+_15・区４)),0)+ROUND((ROUND((_15_同援日１．５＿１．０*_15・通訳),0)*(1+_15・区４)),0)</f>
        <v>983</v>
      </c>
      <c r="AA135" s="48"/>
    </row>
    <row r="136" spans="1:27" ht="16.5" customHeight="1" x14ac:dyDescent="0.15">
      <c r="A136" s="41">
        <v>15</v>
      </c>
      <c r="B136" s="41" t="s">
        <v>29062</v>
      </c>
      <c r="C136" s="74" t="s">
        <v>29063</v>
      </c>
      <c r="D136" s="72"/>
      <c r="F136" s="57"/>
      <c r="G136" s="72"/>
      <c r="I136" s="57"/>
      <c r="J136" s="35"/>
      <c r="M136" s="299" t="s">
        <v>17556</v>
      </c>
      <c r="N136" s="45" t="s">
        <v>398</v>
      </c>
      <c r="O136" s="46">
        <v>1</v>
      </c>
      <c r="P136" s="512"/>
      <c r="Q136" s="57"/>
      <c r="R136" s="43"/>
      <c r="S136" s="37"/>
      <c r="T136" s="38"/>
      <c r="U136" s="79"/>
      <c r="V136" s="92" t="s">
        <v>17572</v>
      </c>
      <c r="Y136" s="57"/>
      <c r="Z136" s="208">
        <f>ROUND((ROUND((ROUND((ROUND((_15_同援日１．５*_15・通訳),0)*_15・２人),0)*(1+_15・A深夜)),0)*(1+_15・区４)),0)+ROUND((ROUND((ROUND((_15_同援日１．５＿１．０*_15・通訳),0)*_15・２人),0)*(1+_15・区４)),0)</f>
        <v>983</v>
      </c>
      <c r="AA136" s="48"/>
    </row>
    <row r="137" spans="1:27" ht="16.5" customHeight="1" x14ac:dyDescent="0.15">
      <c r="A137" s="41">
        <v>15</v>
      </c>
      <c r="B137" s="41" t="s">
        <v>3645</v>
      </c>
      <c r="C137" s="74" t="s">
        <v>29064</v>
      </c>
      <c r="D137" s="72"/>
      <c r="F137" s="57"/>
      <c r="G137" s="72"/>
      <c r="I137" s="57"/>
      <c r="J137" s="35"/>
      <c r="M137" s="163"/>
      <c r="N137" s="45"/>
      <c r="O137" s="46"/>
      <c r="P137" s="512"/>
      <c r="Q137" s="57"/>
      <c r="R137" s="114" t="s">
        <v>17562</v>
      </c>
      <c r="S137" s="49"/>
      <c r="T137" s="50"/>
      <c r="U137" s="115"/>
      <c r="V137" s="35"/>
      <c r="W137" s="12" t="s">
        <v>398</v>
      </c>
      <c r="X137" s="13">
        <v>0.4</v>
      </c>
      <c r="Y137" s="57" t="s">
        <v>3575</v>
      </c>
      <c r="Z137" s="208">
        <f>ROUND((ROUND((ROUND((ROUND((_15_同援日１．５*_15・通訳),0)*(1+_15・A深夜)),0)*(1+_15・盲ろう)),0)*(1+_15・区４)),0)+ROUND((ROUND((ROUND((_15_同援日１．５＿１．０*_15・通訳),0)*(1+_15・盲ろう)),0)*(1+_15・区４)),0)</f>
        <v>1227</v>
      </c>
      <c r="AA137" s="48"/>
    </row>
    <row r="138" spans="1:27" ht="16.5" customHeight="1" x14ac:dyDescent="0.15">
      <c r="A138" s="41">
        <v>15</v>
      </c>
      <c r="B138" s="41" t="s">
        <v>3647</v>
      </c>
      <c r="C138" s="74" t="s">
        <v>29065</v>
      </c>
      <c r="D138" s="72"/>
      <c r="F138" s="57"/>
      <c r="G138" s="122"/>
      <c r="H138" s="37"/>
      <c r="I138" s="79"/>
      <c r="J138" s="35"/>
      <c r="M138" s="299" t="s">
        <v>17556</v>
      </c>
      <c r="N138" s="45" t="s">
        <v>398</v>
      </c>
      <c r="O138" s="46">
        <v>1</v>
      </c>
      <c r="P138" s="512"/>
      <c r="Q138" s="57"/>
      <c r="R138" s="269" t="s">
        <v>17564</v>
      </c>
      <c r="S138" s="37" t="s">
        <v>398</v>
      </c>
      <c r="T138" s="38">
        <v>0.25</v>
      </c>
      <c r="U138" s="79" t="s">
        <v>3575</v>
      </c>
      <c r="V138" s="43"/>
      <c r="W138" s="37"/>
      <c r="X138" s="38"/>
      <c r="Y138" s="79"/>
      <c r="Z138" s="208">
        <f>ROUND((ROUND((ROUND((ROUND((ROUND((_15_同援日１．５*_15・通訳),0)*_15・２人),0)*(1+_15・A深夜)),0)*(1+_15・盲ろう)),0)*(1+_15・区４)),0)+ROUND((ROUND((ROUND((ROUND((_15_同援日１．５＿１．０*_15・通訳),0)*_15・２人),0)*(1+_15・盲ろう)),0)*(1+_15・区４)),0)</f>
        <v>1227</v>
      </c>
      <c r="AA138" s="48"/>
    </row>
    <row r="139" spans="1:27" ht="16.5" customHeight="1" x14ac:dyDescent="0.15">
      <c r="A139" s="41">
        <v>15</v>
      </c>
      <c r="B139" s="41" t="s">
        <v>29066</v>
      </c>
      <c r="C139" s="74" t="s">
        <v>29067</v>
      </c>
      <c r="D139" s="72"/>
      <c r="F139" s="57"/>
      <c r="G139" s="114" t="s">
        <v>19237</v>
      </c>
      <c r="H139" s="49"/>
      <c r="I139" s="115"/>
      <c r="J139" s="35"/>
      <c r="M139" s="163"/>
      <c r="N139" s="45"/>
      <c r="O139" s="46"/>
      <c r="P139" s="512"/>
      <c r="Q139" s="57"/>
      <c r="R139" s="53"/>
      <c r="S139" s="49"/>
      <c r="T139" s="50"/>
      <c r="U139" s="115"/>
      <c r="V139" s="53"/>
      <c r="W139" s="49"/>
      <c r="X139" s="50"/>
      <c r="Y139" s="115"/>
      <c r="Z139" s="208">
        <f>ROUND((ROUND((_15_同援日１．５*_15・通訳),0)*(1+_15・A深夜)),0)+ROUND((_15_同援日１．５＿１．５*_15・通訳),0)</f>
        <v>761</v>
      </c>
      <c r="AA139" s="48"/>
    </row>
    <row r="140" spans="1:27" ht="16.5" customHeight="1" x14ac:dyDescent="0.15">
      <c r="A140" s="41">
        <v>15</v>
      </c>
      <c r="B140" s="41" t="s">
        <v>29068</v>
      </c>
      <c r="C140" s="74" t="s">
        <v>29069</v>
      </c>
      <c r="D140" s="72"/>
      <c r="F140" s="57"/>
      <c r="G140" s="72" t="s">
        <v>17616</v>
      </c>
      <c r="I140" s="57"/>
      <c r="J140" s="35"/>
      <c r="M140" s="299" t="s">
        <v>17556</v>
      </c>
      <c r="N140" s="45" t="s">
        <v>398</v>
      </c>
      <c r="O140" s="46">
        <v>1</v>
      </c>
      <c r="P140" s="512"/>
      <c r="Q140" s="57"/>
      <c r="R140" s="43"/>
      <c r="S140" s="37"/>
      <c r="T140" s="38"/>
      <c r="U140" s="79"/>
      <c r="V140" s="35"/>
      <c r="Y140" s="57"/>
      <c r="Z140" s="208">
        <f>ROUND((ROUND((ROUND((_15_同援日１．５*_15・通訳),0)*_15・２人),0)*(1+_15・A深夜)),0)+ROUND((ROUND((_15_同援日１．５＿１．５*_15・通訳),0)*_15・２人),0)</f>
        <v>761</v>
      </c>
      <c r="AA140" s="48"/>
    </row>
    <row r="141" spans="1:27" ht="16.5" customHeight="1" x14ac:dyDescent="0.15">
      <c r="A141" s="41">
        <v>15</v>
      </c>
      <c r="B141" s="41" t="s">
        <v>29070</v>
      </c>
      <c r="C141" s="74" t="s">
        <v>29071</v>
      </c>
      <c r="D141" s="72"/>
      <c r="F141" s="57"/>
      <c r="G141" s="72" t="s">
        <v>18183</v>
      </c>
      <c r="I141" s="57"/>
      <c r="J141" s="35"/>
      <c r="M141" s="163"/>
      <c r="N141" s="45"/>
      <c r="O141" s="46"/>
      <c r="P141" s="512"/>
      <c r="Q141" s="57"/>
      <c r="R141" s="114" t="s">
        <v>17562</v>
      </c>
      <c r="S141" s="49"/>
      <c r="T141" s="50"/>
      <c r="U141" s="115"/>
      <c r="V141" s="35"/>
      <c r="Y141" s="57"/>
      <c r="Z141" s="208">
        <f>ROUND((ROUND((ROUND((_15_同援日１．５*_15・通訳),0)*(1+_15・A深夜)),0)*(1+_15・盲ろう)),0)+ROUND((ROUND((_15_同援日１．５＿１．５*_15・通訳),0)*(1+_15・盲ろう)),0)</f>
        <v>951</v>
      </c>
      <c r="AA141" s="48"/>
    </row>
    <row r="142" spans="1:27" ht="16.5" customHeight="1" x14ac:dyDescent="0.15">
      <c r="A142" s="41">
        <v>15</v>
      </c>
      <c r="B142" s="41" t="s">
        <v>29072</v>
      </c>
      <c r="C142" s="74" t="s">
        <v>29073</v>
      </c>
      <c r="D142" s="72"/>
      <c r="F142" s="57"/>
      <c r="G142" s="72"/>
      <c r="H142" s="168">
        <f>_15_同援日１．５＿１．５</f>
        <v>195</v>
      </c>
      <c r="I142" s="57" t="s">
        <v>392</v>
      </c>
      <c r="J142" s="35"/>
      <c r="M142" s="299" t="s">
        <v>17556</v>
      </c>
      <c r="N142" s="45" t="s">
        <v>398</v>
      </c>
      <c r="O142" s="46">
        <v>1</v>
      </c>
      <c r="P142" s="512"/>
      <c r="Q142" s="57"/>
      <c r="R142" s="269" t="s">
        <v>17564</v>
      </c>
      <c r="S142" s="37" t="s">
        <v>398</v>
      </c>
      <c r="T142" s="38">
        <v>0.25</v>
      </c>
      <c r="U142" s="79" t="s">
        <v>3575</v>
      </c>
      <c r="V142" s="43"/>
      <c r="W142" s="37"/>
      <c r="X142" s="38"/>
      <c r="Y142" s="79"/>
      <c r="Z142" s="208">
        <f>ROUND((ROUND((ROUND((ROUND((_15_同援日１．５*_15・通訳),0)*_15・２人),0)*(1+_15・A深夜)),0)*(1+_15・盲ろう)),0)+ROUND((ROUND((ROUND((_15_同援日１．５＿１．５*_15・通訳),0)*_15・２人),0)*(1+_15・盲ろう)),0)</f>
        <v>951</v>
      </c>
      <c r="AA142" s="48"/>
    </row>
    <row r="143" spans="1:27" ht="16.5" customHeight="1" x14ac:dyDescent="0.15">
      <c r="A143" s="41">
        <v>15</v>
      </c>
      <c r="B143" s="41" t="s">
        <v>29074</v>
      </c>
      <c r="C143" s="74" t="s">
        <v>29075</v>
      </c>
      <c r="D143" s="72"/>
      <c r="F143" s="57"/>
      <c r="G143" s="72"/>
      <c r="I143" s="57"/>
      <c r="J143" s="35"/>
      <c r="M143" s="163"/>
      <c r="N143" s="45"/>
      <c r="O143" s="46"/>
      <c r="P143" s="512"/>
      <c r="Q143" s="57"/>
      <c r="R143" s="53"/>
      <c r="S143" s="49"/>
      <c r="T143" s="50"/>
      <c r="U143" s="115"/>
      <c r="V143" s="114" t="s">
        <v>17570</v>
      </c>
      <c r="W143" s="49"/>
      <c r="X143" s="50"/>
      <c r="Y143" s="115"/>
      <c r="Z143" s="208">
        <f>ROUND((ROUND((ROUND((_15_同援日１．５*_15・通訳),0)*(1+_15・A深夜)),0)*(1+_15・区３)),0)+ROUND((ROUND((_15_同援日１．５＿１．５*_15・通訳),0)*(1+_15・区３)),0)</f>
        <v>913</v>
      </c>
      <c r="AA143" s="48"/>
    </row>
    <row r="144" spans="1:27" ht="16.5" customHeight="1" x14ac:dyDescent="0.15">
      <c r="A144" s="41">
        <v>15</v>
      </c>
      <c r="B144" s="41" t="s">
        <v>29076</v>
      </c>
      <c r="C144" s="74" t="s">
        <v>29077</v>
      </c>
      <c r="D144" s="72"/>
      <c r="F144" s="57"/>
      <c r="G144" s="72"/>
      <c r="I144" s="57"/>
      <c r="J144" s="35"/>
      <c r="M144" s="299" t="s">
        <v>17556</v>
      </c>
      <c r="N144" s="45" t="s">
        <v>398</v>
      </c>
      <c r="O144" s="46">
        <v>1</v>
      </c>
      <c r="P144" s="512"/>
      <c r="Q144" s="57"/>
      <c r="R144" s="43"/>
      <c r="S144" s="37"/>
      <c r="T144" s="38"/>
      <c r="U144" s="79"/>
      <c r="V144" s="92" t="s">
        <v>17572</v>
      </c>
      <c r="Y144" s="57"/>
      <c r="Z144" s="208">
        <f>ROUND((ROUND((ROUND((ROUND((_15_同援日１．５*_15・通訳),0)*_15・２人),0)*(1+_15・A深夜)),0)*(1+_15・区３)),0)+ROUND((ROUND((ROUND((_15_同援日１．５＿１．５*_15・通訳),0)*_15・２人),0)*(1+_15・区３)),0)</f>
        <v>913</v>
      </c>
      <c r="AA144" s="48"/>
    </row>
    <row r="145" spans="1:27" ht="16.5" customHeight="1" x14ac:dyDescent="0.15">
      <c r="A145" s="41">
        <v>15</v>
      </c>
      <c r="B145" s="41" t="s">
        <v>29078</v>
      </c>
      <c r="C145" s="74" t="s">
        <v>29079</v>
      </c>
      <c r="D145" s="72"/>
      <c r="F145" s="57"/>
      <c r="G145" s="72"/>
      <c r="I145" s="57"/>
      <c r="J145" s="35"/>
      <c r="M145" s="163"/>
      <c r="N145" s="45"/>
      <c r="O145" s="46"/>
      <c r="P145" s="512"/>
      <c r="Q145" s="57"/>
      <c r="R145" s="114" t="s">
        <v>17562</v>
      </c>
      <c r="S145" s="49"/>
      <c r="T145" s="50"/>
      <c r="U145" s="115"/>
      <c r="V145" s="35"/>
      <c r="W145" s="12" t="s">
        <v>398</v>
      </c>
      <c r="X145" s="13">
        <v>0.2</v>
      </c>
      <c r="Y145" s="57" t="s">
        <v>3575</v>
      </c>
      <c r="Z145" s="208">
        <f>ROUND((ROUND((ROUND((ROUND((_15_同援日１．５*_15・通訳),0)*(1+_15・A深夜)),0)*(1+_15・盲ろう)),0)*(1+_15・区３)),0)+ROUND((ROUND((ROUND((_15_同援日１．５＿１．５*_15・通訳),0)*(1+_15・盲ろう)),0)*(1+_15・区３)),0)</f>
        <v>1141</v>
      </c>
      <c r="AA145" s="48"/>
    </row>
    <row r="146" spans="1:27" ht="16.5" customHeight="1" x14ac:dyDescent="0.15">
      <c r="A146" s="41">
        <v>15</v>
      </c>
      <c r="B146" s="41" t="s">
        <v>29080</v>
      </c>
      <c r="C146" s="74" t="s">
        <v>29081</v>
      </c>
      <c r="D146" s="72"/>
      <c r="F146" s="57"/>
      <c r="G146" s="72"/>
      <c r="I146" s="57"/>
      <c r="J146" s="35"/>
      <c r="M146" s="299" t="s">
        <v>17556</v>
      </c>
      <c r="N146" s="45" t="s">
        <v>398</v>
      </c>
      <c r="O146" s="46">
        <v>1</v>
      </c>
      <c r="P146" s="512"/>
      <c r="Q146" s="57"/>
      <c r="R146" s="269" t="s">
        <v>17564</v>
      </c>
      <c r="S146" s="37" t="s">
        <v>398</v>
      </c>
      <c r="T146" s="38">
        <v>0.25</v>
      </c>
      <c r="U146" s="79" t="s">
        <v>3575</v>
      </c>
      <c r="V146" s="43"/>
      <c r="W146" s="37"/>
      <c r="X146" s="38"/>
      <c r="Y146" s="79"/>
      <c r="Z146" s="208">
        <f>ROUND((ROUND((ROUND((ROUND((ROUND((_15_同援日１．５*_15・通訳),0)*_15・２人),0)*(1+_15・A深夜)),0)*(1+_15・盲ろう)),0)*(1+_15・区３)),0)+ROUND((ROUND((ROUND((ROUND((_15_同援日１．５＿１．５*_15・通訳),0)*_15・２人),0)*(1+_15・盲ろう)),0)*(1+_15・区３)),0)</f>
        <v>1141</v>
      </c>
      <c r="AA146" s="48"/>
    </row>
    <row r="147" spans="1:27" ht="16.5" customHeight="1" x14ac:dyDescent="0.15">
      <c r="A147" s="41">
        <v>15</v>
      </c>
      <c r="B147" s="41" t="s">
        <v>3652</v>
      </c>
      <c r="C147" s="74" t="s">
        <v>29082</v>
      </c>
      <c r="D147" s="72"/>
      <c r="F147" s="57"/>
      <c r="G147" s="72"/>
      <c r="I147" s="57"/>
      <c r="J147" s="35"/>
      <c r="M147" s="163"/>
      <c r="N147" s="45"/>
      <c r="O147" s="46"/>
      <c r="P147" s="512"/>
      <c r="Q147" s="57"/>
      <c r="R147" s="53"/>
      <c r="S147" s="49"/>
      <c r="T147" s="50"/>
      <c r="U147" s="115"/>
      <c r="V147" s="114" t="s">
        <v>17580</v>
      </c>
      <c r="W147" s="49"/>
      <c r="X147" s="50"/>
      <c r="Y147" s="115"/>
      <c r="Z147" s="208">
        <f>ROUND((ROUND((ROUND((_15_同援日１．５*_15・通訳),0)*(1+_15・A深夜)),0)*(1+_15・区４)),0)+ROUND((ROUND((_15_同援日１．５＿１．５*_15・通訳),0)*(1+_15・区４)),0)</f>
        <v>1065</v>
      </c>
      <c r="AA147" s="48"/>
    </row>
    <row r="148" spans="1:27" ht="16.5" customHeight="1" x14ac:dyDescent="0.15">
      <c r="A148" s="41">
        <v>15</v>
      </c>
      <c r="B148" s="41" t="s">
        <v>3654</v>
      </c>
      <c r="C148" s="74" t="s">
        <v>29083</v>
      </c>
      <c r="D148" s="72"/>
      <c r="F148" s="57"/>
      <c r="G148" s="72"/>
      <c r="I148" s="57"/>
      <c r="J148" s="35"/>
      <c r="M148" s="299" t="s">
        <v>17556</v>
      </c>
      <c r="N148" s="45" t="s">
        <v>398</v>
      </c>
      <c r="O148" s="46">
        <v>1</v>
      </c>
      <c r="P148" s="512"/>
      <c r="Q148" s="57"/>
      <c r="R148" s="43"/>
      <c r="S148" s="37"/>
      <c r="T148" s="38"/>
      <c r="U148" s="79"/>
      <c r="V148" s="92" t="s">
        <v>17572</v>
      </c>
      <c r="Y148" s="57"/>
      <c r="Z148" s="208">
        <f>ROUND((ROUND((ROUND((ROUND((_15_同援日１．５*_15・通訳),0)*_15・２人),0)*(1+_15・A深夜)),0)*(1+_15・区４)),0)+ROUND((ROUND((ROUND((_15_同援日１．５＿１．５*_15・通訳),0)*_15・２人),0)*(1+_15・区４)),0)</f>
        <v>1065</v>
      </c>
      <c r="AA148" s="48"/>
    </row>
    <row r="149" spans="1:27" ht="16.5" customHeight="1" x14ac:dyDescent="0.15">
      <c r="A149" s="41">
        <v>15</v>
      </c>
      <c r="B149" s="41" t="s">
        <v>29084</v>
      </c>
      <c r="C149" s="74" t="s">
        <v>29085</v>
      </c>
      <c r="D149" s="72"/>
      <c r="F149" s="57"/>
      <c r="G149" s="72"/>
      <c r="I149" s="57"/>
      <c r="J149" s="35"/>
      <c r="M149" s="163"/>
      <c r="N149" s="45"/>
      <c r="O149" s="46"/>
      <c r="P149" s="512"/>
      <c r="Q149" s="57"/>
      <c r="R149" s="114" t="s">
        <v>17562</v>
      </c>
      <c r="S149" s="49"/>
      <c r="T149" s="50"/>
      <c r="U149" s="115"/>
      <c r="V149" s="35"/>
      <c r="W149" s="12" t="s">
        <v>398</v>
      </c>
      <c r="X149" s="13">
        <v>0.4</v>
      </c>
      <c r="Y149" s="57" t="s">
        <v>3575</v>
      </c>
      <c r="Z149" s="208">
        <f>ROUND((ROUND((ROUND((ROUND((_15_同援日１．５*_15・通訳),0)*(1+_15・A深夜)),0)*(1+_15・盲ろう)),0)*(1+_15・区４)),0)+ROUND((ROUND((ROUND((_15_同援日１．５＿１．５*_15・通訳),0)*(1+_15・盲ろう)),0)*(1+_15・区４)),0)</f>
        <v>1331</v>
      </c>
      <c r="AA149" s="48"/>
    </row>
    <row r="150" spans="1:27" ht="16.5" customHeight="1" x14ac:dyDescent="0.15">
      <c r="A150" s="41">
        <v>15</v>
      </c>
      <c r="B150" s="41" t="s">
        <v>29086</v>
      </c>
      <c r="C150" s="74" t="s">
        <v>29087</v>
      </c>
      <c r="D150" s="122"/>
      <c r="E150" s="37"/>
      <c r="F150" s="79"/>
      <c r="G150" s="122"/>
      <c r="H150" s="37"/>
      <c r="I150" s="79"/>
      <c r="J150" s="35"/>
      <c r="M150" s="299" t="s">
        <v>17556</v>
      </c>
      <c r="N150" s="45" t="s">
        <v>398</v>
      </c>
      <c r="O150" s="46">
        <v>1</v>
      </c>
      <c r="P150" s="512"/>
      <c r="Q150" s="57"/>
      <c r="R150" s="269" t="s">
        <v>17564</v>
      </c>
      <c r="S150" s="37" t="s">
        <v>398</v>
      </c>
      <c r="T150" s="38">
        <v>0.25</v>
      </c>
      <c r="U150" s="79" t="s">
        <v>3575</v>
      </c>
      <c r="V150" s="43"/>
      <c r="W150" s="37"/>
      <c r="X150" s="38"/>
      <c r="Y150" s="79"/>
      <c r="Z150" s="208">
        <f>ROUND((ROUND((ROUND((ROUND((ROUND((_15_同援日１．５*_15・通訳),0)*_15・２人),0)*(1+_15・A深夜)),0)*(1+_15・盲ろう)),0)*(1+_15・区４)),0)+ROUND((ROUND((ROUND((ROUND((_15_同援日１．５＿１．５*_15・通訳),0)*_15・２人),0)*(1+_15・盲ろう)),0)*(1+_15・区４)),0)</f>
        <v>1331</v>
      </c>
      <c r="AA150" s="48"/>
    </row>
    <row r="151" spans="1:27" ht="16.5" customHeight="1" x14ac:dyDescent="0.15">
      <c r="A151" s="41">
        <v>15</v>
      </c>
      <c r="B151" s="41" t="s">
        <v>29088</v>
      </c>
      <c r="C151" s="74" t="s">
        <v>29089</v>
      </c>
      <c r="D151" s="114" t="s">
        <v>18563</v>
      </c>
      <c r="E151" s="49"/>
      <c r="F151" s="115"/>
      <c r="G151" s="114" t="s">
        <v>19187</v>
      </c>
      <c r="H151" s="49"/>
      <c r="I151" s="115"/>
      <c r="J151" s="35"/>
      <c r="M151" s="163"/>
      <c r="N151" s="45"/>
      <c r="O151" s="46"/>
      <c r="P151" s="512"/>
      <c r="Q151" s="57"/>
      <c r="R151" s="53"/>
      <c r="S151" s="49"/>
      <c r="T151" s="50"/>
      <c r="U151" s="115"/>
      <c r="V151" s="53"/>
      <c r="W151" s="49"/>
      <c r="X151" s="50"/>
      <c r="Y151" s="115"/>
      <c r="Z151" s="208">
        <f>ROUND((ROUND((_15_同援日２．０*_15・通訳),0)*(1+_15・A深夜)),0)+ROUND((_15_同援日２．０＿０．５*_15・通訳),0)</f>
        <v>731</v>
      </c>
      <c r="AA151" s="48"/>
    </row>
    <row r="152" spans="1:27" ht="16.5" customHeight="1" x14ac:dyDescent="0.15">
      <c r="A152" s="41">
        <v>15</v>
      </c>
      <c r="B152" s="41" t="s">
        <v>29090</v>
      </c>
      <c r="C152" s="74" t="s">
        <v>29091</v>
      </c>
      <c r="D152" s="72" t="s">
        <v>17643</v>
      </c>
      <c r="F152" s="57"/>
      <c r="G152" s="72" t="s">
        <v>18259</v>
      </c>
      <c r="I152" s="57"/>
      <c r="J152" s="35"/>
      <c r="M152" s="299" t="s">
        <v>17556</v>
      </c>
      <c r="N152" s="45" t="s">
        <v>398</v>
      </c>
      <c r="O152" s="46">
        <v>1</v>
      </c>
      <c r="P152" s="512"/>
      <c r="Q152" s="57"/>
      <c r="R152" s="43"/>
      <c r="S152" s="37"/>
      <c r="T152" s="38"/>
      <c r="U152" s="79"/>
      <c r="V152" s="35"/>
      <c r="Y152" s="57"/>
      <c r="Z152" s="208">
        <f>ROUND((ROUND((ROUND((_15_同援日２．０*_15・通訳),0)*_15・２人),0)*(1+_15・A深夜)),0)+ROUND((ROUND((_15_同援日２．０＿０．５*_15・通訳),0)*_15・２人),0)</f>
        <v>731</v>
      </c>
      <c r="AA152" s="48"/>
    </row>
    <row r="153" spans="1:27" ht="16.5" customHeight="1" x14ac:dyDescent="0.15">
      <c r="A153" s="41">
        <v>15</v>
      </c>
      <c r="B153" s="41" t="s">
        <v>29092</v>
      </c>
      <c r="C153" s="74" t="s">
        <v>29093</v>
      </c>
      <c r="D153" s="72" t="s">
        <v>17645</v>
      </c>
      <c r="F153" s="57"/>
      <c r="G153" s="72"/>
      <c r="I153" s="57"/>
      <c r="J153" s="35"/>
      <c r="M153" s="163"/>
      <c r="N153" s="45"/>
      <c r="O153" s="46"/>
      <c r="P153" s="512"/>
      <c r="Q153" s="57"/>
      <c r="R153" s="114" t="s">
        <v>17562</v>
      </c>
      <c r="S153" s="49"/>
      <c r="T153" s="50"/>
      <c r="U153" s="115"/>
      <c r="V153" s="35"/>
      <c r="Y153" s="57"/>
      <c r="Z153" s="208">
        <f>ROUND((ROUND((ROUND((_15_同援日２．０*_15・通訳),0)*(1+_15・A深夜)),0)*(1+_15・盲ろう)),0)+ROUND((ROUND((_15_同援日２．０＿０．５*_15・通訳),0)*(1+_15・盲ろう)),0)</f>
        <v>914</v>
      </c>
      <c r="AA153" s="48"/>
    </row>
    <row r="154" spans="1:27" ht="16.5" customHeight="1" x14ac:dyDescent="0.15">
      <c r="A154" s="41">
        <v>15</v>
      </c>
      <c r="B154" s="41" t="s">
        <v>29094</v>
      </c>
      <c r="C154" s="74" t="s">
        <v>29095</v>
      </c>
      <c r="D154" s="72"/>
      <c r="E154" s="168">
        <f>_15_同援日２．０</f>
        <v>498</v>
      </c>
      <c r="F154" s="57" t="s">
        <v>392</v>
      </c>
      <c r="G154" s="72"/>
      <c r="H154" s="168">
        <f>_15_同援日２．０＿０．５</f>
        <v>65</v>
      </c>
      <c r="I154" s="57" t="s">
        <v>392</v>
      </c>
      <c r="J154" s="35"/>
      <c r="M154" s="299" t="s">
        <v>17556</v>
      </c>
      <c r="N154" s="45" t="s">
        <v>398</v>
      </c>
      <c r="O154" s="46">
        <v>1</v>
      </c>
      <c r="P154" s="512"/>
      <c r="Q154" s="57"/>
      <c r="R154" s="269" t="s">
        <v>17564</v>
      </c>
      <c r="S154" s="37" t="s">
        <v>398</v>
      </c>
      <c r="T154" s="38">
        <v>0.25</v>
      </c>
      <c r="U154" s="79" t="s">
        <v>3575</v>
      </c>
      <c r="V154" s="43"/>
      <c r="W154" s="37"/>
      <c r="X154" s="38"/>
      <c r="Y154" s="79"/>
      <c r="Z154" s="208">
        <f>ROUND((ROUND((ROUND((ROUND((_15_同援日２．０*_15・通訳),0)*_15・２人),0)*(1+_15・A深夜)),0)*(1+_15・盲ろう)),0)+ROUND((ROUND((ROUND((_15_同援日２．０＿０．５*_15・通訳),0)*_15・２人),0)*(1+_15・盲ろう)),0)</f>
        <v>914</v>
      </c>
      <c r="AA154" s="48"/>
    </row>
    <row r="155" spans="1:27" ht="16.5" customHeight="1" x14ac:dyDescent="0.15">
      <c r="A155" s="41">
        <v>15</v>
      </c>
      <c r="B155" s="41" t="s">
        <v>29096</v>
      </c>
      <c r="C155" s="74" t="s">
        <v>29097</v>
      </c>
      <c r="D155" s="72"/>
      <c r="F155" s="57"/>
      <c r="G155" s="72"/>
      <c r="I155" s="57"/>
      <c r="J155" s="35"/>
      <c r="M155" s="163"/>
      <c r="N155" s="45"/>
      <c r="O155" s="46"/>
      <c r="P155" s="512"/>
      <c r="Q155" s="57"/>
      <c r="R155" s="53"/>
      <c r="S155" s="49"/>
      <c r="T155" s="50"/>
      <c r="U155" s="115"/>
      <c r="V155" s="114" t="s">
        <v>17570</v>
      </c>
      <c r="W155" s="49"/>
      <c r="X155" s="50"/>
      <c r="Y155" s="115"/>
      <c r="Z155" s="208">
        <f>ROUND((ROUND((ROUND((_15_同援日２．０*_15・通訳),0)*(1+_15・A深夜)),0)*(1+_15・区３)),0)+ROUND((ROUND((_15_同援日２．０＿０．５*_15・通訳),0)*(1+_15・区３)),0)</f>
        <v>877</v>
      </c>
      <c r="AA155" s="48"/>
    </row>
    <row r="156" spans="1:27" ht="16.5" customHeight="1" x14ac:dyDescent="0.15">
      <c r="A156" s="41">
        <v>15</v>
      </c>
      <c r="B156" s="41" t="s">
        <v>29098</v>
      </c>
      <c r="C156" s="74" t="s">
        <v>29099</v>
      </c>
      <c r="D156" s="72"/>
      <c r="F156" s="57"/>
      <c r="G156" s="72"/>
      <c r="I156" s="57"/>
      <c r="J156" s="35"/>
      <c r="M156" s="299" t="s">
        <v>17556</v>
      </c>
      <c r="N156" s="45" t="s">
        <v>398</v>
      </c>
      <c r="O156" s="46">
        <v>1</v>
      </c>
      <c r="P156" s="512"/>
      <c r="Q156" s="57"/>
      <c r="R156" s="43"/>
      <c r="S156" s="37"/>
      <c r="T156" s="38"/>
      <c r="U156" s="79"/>
      <c r="V156" s="92" t="s">
        <v>17572</v>
      </c>
      <c r="Y156" s="57"/>
      <c r="Z156" s="208">
        <f>ROUND((ROUND((ROUND((ROUND((_15_同援日２．０*_15・通訳),0)*_15・２人),0)*(1+_15・A深夜)),0)*(1+_15・区３)),0)+ROUND((ROUND((ROUND((_15_同援日２．０＿０．５*_15・通訳),0)*_15・２人),0)*(1+_15・区３)),0)</f>
        <v>877</v>
      </c>
      <c r="AA156" s="48"/>
    </row>
    <row r="157" spans="1:27" ht="16.5" customHeight="1" x14ac:dyDescent="0.15">
      <c r="A157" s="41">
        <v>15</v>
      </c>
      <c r="B157" s="41" t="s">
        <v>3658</v>
      </c>
      <c r="C157" s="74" t="s">
        <v>29100</v>
      </c>
      <c r="D157" s="72"/>
      <c r="F157" s="57"/>
      <c r="G157" s="72"/>
      <c r="I157" s="57"/>
      <c r="J157" s="35"/>
      <c r="M157" s="163"/>
      <c r="N157" s="45"/>
      <c r="O157" s="46"/>
      <c r="P157" s="512"/>
      <c r="Q157" s="57"/>
      <c r="R157" s="114" t="s">
        <v>17562</v>
      </c>
      <c r="S157" s="49"/>
      <c r="T157" s="50"/>
      <c r="U157" s="115"/>
      <c r="V157" s="35"/>
      <c r="W157" s="12" t="s">
        <v>398</v>
      </c>
      <c r="X157" s="13">
        <v>0.2</v>
      </c>
      <c r="Y157" s="57" t="s">
        <v>3575</v>
      </c>
      <c r="Z157" s="208">
        <f>ROUND((ROUND((ROUND((ROUND((_15_同援日２．０*_15・通訳),0)*(1+_15・A深夜)),0)*(1+_15・盲ろう)),0)*(1+_15・区３)),0)+ROUND((ROUND((ROUND((_15_同援日２．０＿０．５*_15・通訳),0)*(1+_15・盲ろう)),0)*(1+_15・区３)),0)</f>
        <v>1097</v>
      </c>
      <c r="AA157" s="48"/>
    </row>
    <row r="158" spans="1:27" ht="16.5" customHeight="1" x14ac:dyDescent="0.15">
      <c r="A158" s="41">
        <v>15</v>
      </c>
      <c r="B158" s="41" t="s">
        <v>3660</v>
      </c>
      <c r="C158" s="74" t="s">
        <v>29101</v>
      </c>
      <c r="D158" s="72"/>
      <c r="F158" s="57"/>
      <c r="G158" s="72"/>
      <c r="I158" s="57"/>
      <c r="J158" s="35"/>
      <c r="M158" s="299" t="s">
        <v>17556</v>
      </c>
      <c r="N158" s="45" t="s">
        <v>398</v>
      </c>
      <c r="O158" s="46">
        <v>1</v>
      </c>
      <c r="P158" s="512"/>
      <c r="Q158" s="57"/>
      <c r="R158" s="269" t="s">
        <v>17564</v>
      </c>
      <c r="S158" s="37" t="s">
        <v>398</v>
      </c>
      <c r="T158" s="38">
        <v>0.25</v>
      </c>
      <c r="U158" s="79" t="s">
        <v>3575</v>
      </c>
      <c r="V158" s="43"/>
      <c r="W158" s="37"/>
      <c r="X158" s="38"/>
      <c r="Y158" s="79"/>
      <c r="Z158" s="208">
        <f>ROUND((ROUND((ROUND((ROUND((ROUND((_15_同援日２．０*_15・通訳),0)*_15・２人),0)*(1+_15・A深夜)),0)*(1+_15・盲ろう)),0)*(1+_15・区３)),0)+ROUND((ROUND((ROUND((ROUND((_15_同援日２．０＿０．５*_15・通訳),0)*_15・２人),0)*(1+_15・盲ろう)),0)*(1+_15・区３)),0)</f>
        <v>1097</v>
      </c>
      <c r="AA158" s="48"/>
    </row>
    <row r="159" spans="1:27" ht="16.5" customHeight="1" x14ac:dyDescent="0.15">
      <c r="A159" s="41">
        <v>15</v>
      </c>
      <c r="B159" s="41" t="s">
        <v>29102</v>
      </c>
      <c r="C159" s="74" t="s">
        <v>29103</v>
      </c>
      <c r="D159" s="72"/>
      <c r="F159" s="57"/>
      <c r="G159" s="72"/>
      <c r="I159" s="57"/>
      <c r="J159" s="35"/>
      <c r="M159" s="163"/>
      <c r="N159" s="45"/>
      <c r="O159" s="46"/>
      <c r="P159" s="512"/>
      <c r="Q159" s="57"/>
      <c r="R159" s="53"/>
      <c r="S159" s="49"/>
      <c r="T159" s="50"/>
      <c r="U159" s="115"/>
      <c r="V159" s="114" t="s">
        <v>17580</v>
      </c>
      <c r="W159" s="49"/>
      <c r="X159" s="50"/>
      <c r="Y159" s="115"/>
      <c r="Z159" s="208">
        <f>ROUND((ROUND((ROUND((_15_同援日２．０*_15・通訳),0)*(1+_15・A深夜)),0)*(1+_15・区４)),0)+ROUND((ROUND((_15_同援日２．０＿０．５*_15・通訳),0)*(1+_15・区４)),0)</f>
        <v>1024</v>
      </c>
      <c r="AA159" s="48"/>
    </row>
    <row r="160" spans="1:27" ht="16.5" customHeight="1" x14ac:dyDescent="0.15">
      <c r="A160" s="41">
        <v>15</v>
      </c>
      <c r="B160" s="41" t="s">
        <v>29104</v>
      </c>
      <c r="C160" s="74" t="s">
        <v>29105</v>
      </c>
      <c r="D160" s="72"/>
      <c r="F160" s="57"/>
      <c r="G160" s="72"/>
      <c r="I160" s="57"/>
      <c r="J160" s="35"/>
      <c r="M160" s="299" t="s">
        <v>17556</v>
      </c>
      <c r="N160" s="45" t="s">
        <v>398</v>
      </c>
      <c r="O160" s="46">
        <v>1</v>
      </c>
      <c r="P160" s="512"/>
      <c r="Q160" s="57"/>
      <c r="R160" s="43"/>
      <c r="S160" s="37"/>
      <c r="T160" s="38"/>
      <c r="U160" s="79"/>
      <c r="V160" s="92" t="s">
        <v>17572</v>
      </c>
      <c r="Y160" s="57"/>
      <c r="Z160" s="208">
        <f>ROUND((ROUND((ROUND((ROUND((_15_同援日２．０*_15・通訳),0)*_15・２人),0)*(1+_15・A深夜)),0)*(1+_15・区４)),0)+ROUND((ROUND((ROUND((_15_同援日２．０＿０．５*_15・通訳),0)*_15・２人),0)*(1+_15・区４)),0)</f>
        <v>1024</v>
      </c>
      <c r="AA160" s="48"/>
    </row>
    <row r="161" spans="1:27" ht="16.5" customHeight="1" x14ac:dyDescent="0.15">
      <c r="A161" s="41">
        <v>15</v>
      </c>
      <c r="B161" s="41" t="s">
        <v>29106</v>
      </c>
      <c r="C161" s="74" t="s">
        <v>29107</v>
      </c>
      <c r="D161" s="72"/>
      <c r="F161" s="57"/>
      <c r="G161" s="72"/>
      <c r="I161" s="57"/>
      <c r="J161" s="35"/>
      <c r="M161" s="163"/>
      <c r="N161" s="45"/>
      <c r="O161" s="46"/>
      <c r="P161" s="512"/>
      <c r="Q161" s="57"/>
      <c r="R161" s="114" t="s">
        <v>17562</v>
      </c>
      <c r="S161" s="49"/>
      <c r="T161" s="50"/>
      <c r="U161" s="115"/>
      <c r="V161" s="35"/>
      <c r="W161" s="12" t="s">
        <v>398</v>
      </c>
      <c r="X161" s="13">
        <v>0.4</v>
      </c>
      <c r="Y161" s="57" t="s">
        <v>3575</v>
      </c>
      <c r="Z161" s="208">
        <f>ROUND((ROUND((ROUND((ROUND((_15_同援日２．０*_15・通訳),0)*(1+_15・A深夜)),0)*(1+_15・盲ろう)),0)*(1+_15・区４)),0)+ROUND((ROUND((ROUND((_15_同援日２．０＿０．５*_15・通訳),0)*(1+_15・盲ろう)),0)*(1+_15・区４)),0)</f>
        <v>1280</v>
      </c>
      <c r="AA161" s="48"/>
    </row>
    <row r="162" spans="1:27" ht="16.5" customHeight="1" x14ac:dyDescent="0.15">
      <c r="A162" s="41">
        <v>15</v>
      </c>
      <c r="B162" s="41" t="s">
        <v>29108</v>
      </c>
      <c r="C162" s="74" t="s">
        <v>29109</v>
      </c>
      <c r="D162" s="72"/>
      <c r="F162" s="57"/>
      <c r="G162" s="122"/>
      <c r="H162" s="37"/>
      <c r="I162" s="79"/>
      <c r="J162" s="35"/>
      <c r="M162" s="299" t="s">
        <v>17556</v>
      </c>
      <c r="N162" s="45" t="s">
        <v>398</v>
      </c>
      <c r="O162" s="46">
        <v>1</v>
      </c>
      <c r="P162" s="512"/>
      <c r="Q162" s="57"/>
      <c r="R162" s="269" t="s">
        <v>17564</v>
      </c>
      <c r="S162" s="37" t="s">
        <v>398</v>
      </c>
      <c r="T162" s="38">
        <v>0.25</v>
      </c>
      <c r="U162" s="79" t="s">
        <v>3575</v>
      </c>
      <c r="V162" s="43"/>
      <c r="W162" s="37"/>
      <c r="X162" s="38"/>
      <c r="Y162" s="79"/>
      <c r="Z162" s="208">
        <f>ROUND((ROUND((ROUND((ROUND((ROUND((_15_同援日２．０*_15・通訳),0)*_15・２人),0)*(1+_15・A深夜)),0)*(1+_15・盲ろう)),0)*(1+_15・区４)),0)+ROUND((ROUND((ROUND((ROUND((_15_同援日２．０＿０．５*_15・通訳),0)*_15・２人),0)*(1+_15・盲ろう)),0)*(1+_15・区４)),0)</f>
        <v>1280</v>
      </c>
      <c r="AA162" s="48"/>
    </row>
    <row r="163" spans="1:27" ht="16.5" customHeight="1" x14ac:dyDescent="0.15">
      <c r="A163" s="41">
        <v>15</v>
      </c>
      <c r="B163" s="41" t="s">
        <v>29110</v>
      </c>
      <c r="C163" s="74" t="s">
        <v>29111</v>
      </c>
      <c r="D163" s="72"/>
      <c r="F163" s="57"/>
      <c r="G163" s="114" t="s">
        <v>19212</v>
      </c>
      <c r="H163" s="49"/>
      <c r="I163" s="115"/>
      <c r="J163" s="35"/>
      <c r="M163" s="163"/>
      <c r="N163" s="45"/>
      <c r="O163" s="46"/>
      <c r="P163" s="512"/>
      <c r="Q163" s="57"/>
      <c r="R163" s="53"/>
      <c r="S163" s="49"/>
      <c r="T163" s="50"/>
      <c r="U163" s="115"/>
      <c r="V163" s="53"/>
      <c r="W163" s="49"/>
      <c r="X163" s="50"/>
      <c r="Y163" s="115"/>
      <c r="Z163" s="208">
        <f>ROUND((ROUND((_15_同援日２．０*_15・通訳),0)*(1+_15・A深夜)),0)+ROUND((_15_同援日２．０＿１．０*_15・通訳),0)</f>
        <v>789</v>
      </c>
      <c r="AA163" s="48"/>
    </row>
    <row r="164" spans="1:27" ht="16.5" customHeight="1" x14ac:dyDescent="0.15">
      <c r="A164" s="41">
        <v>15</v>
      </c>
      <c r="B164" s="41" t="s">
        <v>29112</v>
      </c>
      <c r="C164" s="74" t="s">
        <v>29113</v>
      </c>
      <c r="D164" s="72"/>
      <c r="F164" s="57"/>
      <c r="G164" s="72" t="s">
        <v>17589</v>
      </c>
      <c r="I164" s="57"/>
      <c r="J164" s="35"/>
      <c r="M164" s="299" t="s">
        <v>17556</v>
      </c>
      <c r="N164" s="45" t="s">
        <v>398</v>
      </c>
      <c r="O164" s="46">
        <v>1</v>
      </c>
      <c r="P164" s="512"/>
      <c r="Q164" s="57"/>
      <c r="R164" s="43"/>
      <c r="S164" s="37"/>
      <c r="T164" s="38"/>
      <c r="U164" s="79"/>
      <c r="V164" s="35"/>
      <c r="Y164" s="57"/>
      <c r="Z164" s="208">
        <f>ROUND((ROUND((ROUND((_15_同援日２．０*_15・通訳),0)*_15・２人),0)*(1+_15・A深夜)),0)+ROUND((ROUND((_15_同援日２．０＿１．０*_15・通訳),0)*_15・２人),0)</f>
        <v>789</v>
      </c>
      <c r="AA164" s="48"/>
    </row>
    <row r="165" spans="1:27" ht="16.5" customHeight="1" x14ac:dyDescent="0.15">
      <c r="A165" s="41">
        <v>15</v>
      </c>
      <c r="B165" s="41" t="s">
        <v>29114</v>
      </c>
      <c r="C165" s="74" t="s">
        <v>29115</v>
      </c>
      <c r="D165" s="72"/>
      <c r="F165" s="57"/>
      <c r="G165" s="72" t="s">
        <v>17591</v>
      </c>
      <c r="I165" s="57"/>
      <c r="J165" s="35"/>
      <c r="M165" s="163"/>
      <c r="N165" s="45"/>
      <c r="O165" s="46"/>
      <c r="P165" s="512"/>
      <c r="Q165" s="57"/>
      <c r="R165" s="114" t="s">
        <v>17562</v>
      </c>
      <c r="S165" s="49"/>
      <c r="T165" s="50"/>
      <c r="U165" s="115"/>
      <c r="V165" s="35"/>
      <c r="Y165" s="57"/>
      <c r="Z165" s="208">
        <f>ROUND((ROUND((ROUND((_15_同援日２．０*_15・通訳),0)*(1+_15・A深夜)),0)*(1+_15・盲ろう)),0)+ROUND((ROUND((_15_同援日２．０＿１．０*_15・通訳),0)*(1+_15・盲ろう)),0)</f>
        <v>986</v>
      </c>
      <c r="AA165" s="48"/>
    </row>
    <row r="166" spans="1:27" ht="16.5" customHeight="1" x14ac:dyDescent="0.15">
      <c r="A166" s="41">
        <v>15</v>
      </c>
      <c r="B166" s="41" t="s">
        <v>29116</v>
      </c>
      <c r="C166" s="74" t="s">
        <v>29117</v>
      </c>
      <c r="D166" s="72"/>
      <c r="F166" s="57"/>
      <c r="G166" s="72"/>
      <c r="H166" s="168">
        <f>_15_同援日２．０＿１．０</f>
        <v>130</v>
      </c>
      <c r="I166" s="57" t="s">
        <v>392</v>
      </c>
      <c r="J166" s="35"/>
      <c r="M166" s="299" t="s">
        <v>17556</v>
      </c>
      <c r="N166" s="45" t="s">
        <v>398</v>
      </c>
      <c r="O166" s="46">
        <v>1</v>
      </c>
      <c r="P166" s="512"/>
      <c r="Q166" s="57"/>
      <c r="R166" s="269" t="s">
        <v>17564</v>
      </c>
      <c r="S166" s="37" t="s">
        <v>398</v>
      </c>
      <c r="T166" s="38">
        <v>0.25</v>
      </c>
      <c r="U166" s="79" t="s">
        <v>3575</v>
      </c>
      <c r="V166" s="43"/>
      <c r="W166" s="37"/>
      <c r="X166" s="38"/>
      <c r="Y166" s="79"/>
      <c r="Z166" s="208">
        <f>ROUND((ROUND((ROUND((ROUND((_15_同援日２．０*_15・通訳),0)*_15・２人),0)*(1+_15・A深夜)),0)*(1+_15・盲ろう)),0)+ROUND((ROUND((ROUND((_15_同援日２．０＿１．０*_15・通訳),0)*_15・２人),0)*(1+_15・盲ろう)),0)</f>
        <v>986</v>
      </c>
      <c r="AA166" s="48"/>
    </row>
    <row r="167" spans="1:27" ht="16.5" customHeight="1" x14ac:dyDescent="0.15">
      <c r="A167" s="41">
        <v>15</v>
      </c>
      <c r="B167" s="41" t="s">
        <v>3665</v>
      </c>
      <c r="C167" s="74" t="s">
        <v>29118</v>
      </c>
      <c r="D167" s="72"/>
      <c r="F167" s="57"/>
      <c r="G167" s="72"/>
      <c r="I167" s="57"/>
      <c r="J167" s="35"/>
      <c r="M167" s="163"/>
      <c r="N167" s="45"/>
      <c r="O167" s="46"/>
      <c r="P167" s="512"/>
      <c r="Q167" s="57"/>
      <c r="R167" s="53"/>
      <c r="S167" s="49"/>
      <c r="T167" s="50"/>
      <c r="U167" s="115"/>
      <c r="V167" s="114" t="s">
        <v>17570</v>
      </c>
      <c r="W167" s="49"/>
      <c r="X167" s="50"/>
      <c r="Y167" s="115"/>
      <c r="Z167" s="208">
        <f>ROUND((ROUND((ROUND((_15_同援日２．０*_15・通訳),0)*(1+_15・A深夜)),0)*(1+_15・区３)),0)+ROUND((ROUND((_15_同援日２．０＿１．０*_15・通訳),0)*(1+_15・区３)),0)</f>
        <v>946</v>
      </c>
      <c r="AA167" s="48"/>
    </row>
    <row r="168" spans="1:27" ht="16.5" customHeight="1" x14ac:dyDescent="0.15">
      <c r="A168" s="41">
        <v>15</v>
      </c>
      <c r="B168" s="41" t="s">
        <v>3667</v>
      </c>
      <c r="C168" s="74" t="s">
        <v>29119</v>
      </c>
      <c r="D168" s="72"/>
      <c r="F168" s="57"/>
      <c r="G168" s="72"/>
      <c r="I168" s="57"/>
      <c r="J168" s="35"/>
      <c r="M168" s="299" t="s">
        <v>17556</v>
      </c>
      <c r="N168" s="45" t="s">
        <v>398</v>
      </c>
      <c r="O168" s="46">
        <v>1</v>
      </c>
      <c r="P168" s="512"/>
      <c r="Q168" s="57"/>
      <c r="R168" s="43"/>
      <c r="S168" s="37"/>
      <c r="T168" s="38"/>
      <c r="U168" s="79"/>
      <c r="V168" s="92" t="s">
        <v>17572</v>
      </c>
      <c r="Y168" s="57"/>
      <c r="Z168" s="208">
        <f>ROUND((ROUND((ROUND((ROUND((_15_同援日２．０*_15・通訳),0)*_15・２人),0)*(1+_15・A深夜)),0)*(1+_15・区３)),0)+ROUND((ROUND((ROUND((_15_同援日２．０＿１．０*_15・通訳),0)*_15・２人),0)*(1+_15・区３)),0)</f>
        <v>946</v>
      </c>
      <c r="AA168" s="48"/>
    </row>
    <row r="169" spans="1:27" ht="16.5" customHeight="1" x14ac:dyDescent="0.15">
      <c r="A169" s="41">
        <v>15</v>
      </c>
      <c r="B169" s="41" t="s">
        <v>29120</v>
      </c>
      <c r="C169" s="74" t="s">
        <v>29121</v>
      </c>
      <c r="D169" s="72"/>
      <c r="F169" s="57"/>
      <c r="G169" s="72"/>
      <c r="I169" s="57"/>
      <c r="J169" s="35"/>
      <c r="M169" s="163"/>
      <c r="N169" s="45"/>
      <c r="O169" s="46"/>
      <c r="P169" s="512"/>
      <c r="Q169" s="57"/>
      <c r="R169" s="114" t="s">
        <v>17562</v>
      </c>
      <c r="S169" s="49"/>
      <c r="T169" s="50"/>
      <c r="U169" s="115"/>
      <c r="V169" s="35"/>
      <c r="W169" s="12" t="s">
        <v>398</v>
      </c>
      <c r="X169" s="13">
        <v>0.2</v>
      </c>
      <c r="Y169" s="57" t="s">
        <v>3575</v>
      </c>
      <c r="Z169" s="208">
        <f>ROUND((ROUND((ROUND((ROUND((_15_同援日２．０*_15・通訳),0)*(1+_15・A深夜)),0)*(1+_15・盲ろう)),0)*(1+_15・区３)),0)+ROUND((ROUND((ROUND((_15_同援日２．０＿１．０*_15・通訳),0)*(1+_15・盲ろう)),0)*(1+_15・区３)),0)</f>
        <v>1183</v>
      </c>
      <c r="AA169" s="48"/>
    </row>
    <row r="170" spans="1:27" ht="16.5" customHeight="1" x14ac:dyDescent="0.15">
      <c r="A170" s="41">
        <v>15</v>
      </c>
      <c r="B170" s="41" t="s">
        <v>29122</v>
      </c>
      <c r="C170" s="74" t="s">
        <v>29123</v>
      </c>
      <c r="D170" s="72"/>
      <c r="F170" s="57"/>
      <c r="G170" s="72"/>
      <c r="I170" s="57"/>
      <c r="J170" s="35"/>
      <c r="M170" s="299" t="s">
        <v>17556</v>
      </c>
      <c r="N170" s="45" t="s">
        <v>398</v>
      </c>
      <c r="O170" s="46">
        <v>1</v>
      </c>
      <c r="P170" s="512"/>
      <c r="Q170" s="57"/>
      <c r="R170" s="269" t="s">
        <v>17564</v>
      </c>
      <c r="S170" s="37" t="s">
        <v>398</v>
      </c>
      <c r="T170" s="38">
        <v>0.25</v>
      </c>
      <c r="U170" s="79" t="s">
        <v>3575</v>
      </c>
      <c r="V170" s="43"/>
      <c r="W170" s="37"/>
      <c r="X170" s="38"/>
      <c r="Y170" s="79"/>
      <c r="Z170" s="208">
        <f>ROUND((ROUND((ROUND((ROUND((ROUND((_15_同援日２．０*_15・通訳),0)*_15・２人),0)*(1+_15・A深夜)),0)*(1+_15・盲ろう)),0)*(1+_15・区３)),0)+ROUND((ROUND((ROUND((ROUND((_15_同援日２．０＿１．０*_15・通訳),0)*_15・２人),0)*(1+_15・盲ろう)),0)*(1+_15・区３)),0)</f>
        <v>1183</v>
      </c>
      <c r="AA170" s="48"/>
    </row>
    <row r="171" spans="1:27" ht="16.5" customHeight="1" x14ac:dyDescent="0.15">
      <c r="A171" s="41">
        <v>15</v>
      </c>
      <c r="B171" s="41" t="s">
        <v>29124</v>
      </c>
      <c r="C171" s="74" t="s">
        <v>29125</v>
      </c>
      <c r="D171" s="72"/>
      <c r="F171" s="57"/>
      <c r="G171" s="72"/>
      <c r="I171" s="57"/>
      <c r="J171" s="35"/>
      <c r="M171" s="163"/>
      <c r="N171" s="45"/>
      <c r="O171" s="46"/>
      <c r="P171" s="512"/>
      <c r="Q171" s="57"/>
      <c r="R171" s="53"/>
      <c r="S171" s="49"/>
      <c r="T171" s="50"/>
      <c r="U171" s="115"/>
      <c r="V171" s="114" t="s">
        <v>17580</v>
      </c>
      <c r="W171" s="49"/>
      <c r="X171" s="50"/>
      <c r="Y171" s="115"/>
      <c r="Z171" s="208">
        <f>ROUND((ROUND((ROUND((_15_同援日２．０*_15・通訳),0)*(1+_15・A深夜)),0)*(1+_15・区４)),0)+ROUND((ROUND((_15_同援日２．０＿１．０*_15・通訳),0)*(1+_15・区４)),0)</f>
        <v>1105</v>
      </c>
      <c r="AA171" s="48"/>
    </row>
    <row r="172" spans="1:27" ht="16.5" customHeight="1" x14ac:dyDescent="0.15">
      <c r="A172" s="41">
        <v>15</v>
      </c>
      <c r="B172" s="41" t="s">
        <v>29126</v>
      </c>
      <c r="C172" s="74" t="s">
        <v>29127</v>
      </c>
      <c r="D172" s="72"/>
      <c r="F172" s="57"/>
      <c r="G172" s="72"/>
      <c r="I172" s="57"/>
      <c r="J172" s="35"/>
      <c r="M172" s="299" t="s">
        <v>17556</v>
      </c>
      <c r="N172" s="45" t="s">
        <v>398</v>
      </c>
      <c r="O172" s="46">
        <v>1</v>
      </c>
      <c r="P172" s="512"/>
      <c r="Q172" s="57"/>
      <c r="R172" s="43"/>
      <c r="S172" s="37"/>
      <c r="T172" s="38"/>
      <c r="U172" s="79"/>
      <c r="V172" s="92" t="s">
        <v>17572</v>
      </c>
      <c r="Y172" s="57"/>
      <c r="Z172" s="208">
        <f>ROUND((ROUND((ROUND((ROUND((_15_同援日２．０*_15・通訳),0)*_15・２人),0)*(1+_15・A深夜)),0)*(1+_15・区４)),0)+ROUND((ROUND((ROUND((_15_同援日２．０＿１．０*_15・通訳),0)*_15・２人),0)*(1+_15・区４)),0)</f>
        <v>1105</v>
      </c>
      <c r="AA172" s="48"/>
    </row>
    <row r="173" spans="1:27" ht="16.5" customHeight="1" x14ac:dyDescent="0.15">
      <c r="A173" s="41">
        <v>15</v>
      </c>
      <c r="B173" s="41" t="s">
        <v>29128</v>
      </c>
      <c r="C173" s="74" t="s">
        <v>29129</v>
      </c>
      <c r="D173" s="72"/>
      <c r="F173" s="57"/>
      <c r="G173" s="72"/>
      <c r="I173" s="57"/>
      <c r="J173" s="35"/>
      <c r="M173" s="163"/>
      <c r="N173" s="45"/>
      <c r="O173" s="46"/>
      <c r="P173" s="512"/>
      <c r="Q173" s="57"/>
      <c r="R173" s="114" t="s">
        <v>17562</v>
      </c>
      <c r="S173" s="49"/>
      <c r="T173" s="50"/>
      <c r="U173" s="115"/>
      <c r="V173" s="35"/>
      <c r="W173" s="12" t="s">
        <v>398</v>
      </c>
      <c r="X173" s="13">
        <v>0.4</v>
      </c>
      <c r="Y173" s="57" t="s">
        <v>3575</v>
      </c>
      <c r="Z173" s="208">
        <f>ROUND((ROUND((ROUND((ROUND((_15_同援日２．０*_15・通訳),0)*(1+_15・A深夜)),0)*(1+_15・盲ろう)),0)*(1+_15・区４)),0)+ROUND((ROUND((ROUND((_15_同援日２．０＿１．０*_15・通訳),0)*(1+_15・盲ろう)),0)*(1+_15・区４)),0)</f>
        <v>1380</v>
      </c>
      <c r="AA173" s="48"/>
    </row>
    <row r="174" spans="1:27" ht="16.5" customHeight="1" x14ac:dyDescent="0.15">
      <c r="A174" s="41">
        <v>15</v>
      </c>
      <c r="B174" s="41" t="s">
        <v>29130</v>
      </c>
      <c r="C174" s="74" t="s">
        <v>29131</v>
      </c>
      <c r="D174" s="122"/>
      <c r="E174" s="37"/>
      <c r="F174" s="79"/>
      <c r="G174" s="122"/>
      <c r="H174" s="37"/>
      <c r="I174" s="79"/>
      <c r="J174" s="35"/>
      <c r="M174" s="299" t="s">
        <v>17556</v>
      </c>
      <c r="N174" s="45" t="s">
        <v>398</v>
      </c>
      <c r="O174" s="46">
        <v>1</v>
      </c>
      <c r="P174" s="512"/>
      <c r="Q174" s="57"/>
      <c r="R174" s="269" t="s">
        <v>17564</v>
      </c>
      <c r="S174" s="37" t="s">
        <v>398</v>
      </c>
      <c r="T174" s="38">
        <v>0.25</v>
      </c>
      <c r="U174" s="79" t="s">
        <v>3575</v>
      </c>
      <c r="V174" s="43"/>
      <c r="W174" s="37"/>
      <c r="X174" s="38"/>
      <c r="Y174" s="79"/>
      <c r="Z174" s="208">
        <f>ROUND((ROUND((ROUND((ROUND((ROUND((_15_同援日２．０*_15・通訳),0)*_15・２人),0)*(1+_15・A深夜)),0)*(1+_15・盲ろう)),0)*(1+_15・区４)),0)+ROUND((ROUND((ROUND((ROUND((_15_同援日２．０＿１．０*_15・通訳),0)*_15・２人),0)*(1+_15・盲ろう)),0)*(1+_15・区４)),0)</f>
        <v>1380</v>
      </c>
      <c r="AA174" s="48"/>
    </row>
    <row r="175" spans="1:27" ht="16.5" customHeight="1" x14ac:dyDescent="0.15">
      <c r="A175" s="41">
        <v>15</v>
      </c>
      <c r="B175" s="41" t="s">
        <v>29132</v>
      </c>
      <c r="C175" s="74" t="s">
        <v>29133</v>
      </c>
      <c r="D175" s="114" t="s">
        <v>18588</v>
      </c>
      <c r="E175" s="49"/>
      <c r="F175" s="115"/>
      <c r="G175" s="114" t="s">
        <v>19187</v>
      </c>
      <c r="H175" s="49"/>
      <c r="I175" s="115"/>
      <c r="J175" s="35"/>
      <c r="M175" s="163"/>
      <c r="N175" s="45"/>
      <c r="O175" s="46"/>
      <c r="P175" s="512"/>
      <c r="Q175" s="57"/>
      <c r="R175" s="53"/>
      <c r="S175" s="49"/>
      <c r="T175" s="50"/>
      <c r="U175" s="115"/>
      <c r="V175" s="53"/>
      <c r="W175" s="49"/>
      <c r="X175" s="50"/>
      <c r="Y175" s="115"/>
      <c r="Z175" s="208">
        <f>ROUND((ROUND((_15_同援日２．５*_15・通訳),0)*(1+_15・A深夜)),0)+ROUND((_15_同援日２．５＿０．５*_15・通訳),0)</f>
        <v>820</v>
      </c>
      <c r="AA175" s="48"/>
    </row>
    <row r="176" spans="1:27" ht="16.5" customHeight="1" x14ac:dyDescent="0.15">
      <c r="A176" s="41">
        <v>15</v>
      </c>
      <c r="B176" s="41" t="s">
        <v>29134</v>
      </c>
      <c r="C176" s="74" t="s">
        <v>29135</v>
      </c>
      <c r="D176" s="72" t="s">
        <v>17670</v>
      </c>
      <c r="F176" s="57"/>
      <c r="G176" s="72" t="s">
        <v>18259</v>
      </c>
      <c r="I176" s="57"/>
      <c r="J176" s="35"/>
      <c r="M176" s="299" t="s">
        <v>17556</v>
      </c>
      <c r="N176" s="45" t="s">
        <v>398</v>
      </c>
      <c r="O176" s="46">
        <v>1</v>
      </c>
      <c r="P176" s="512"/>
      <c r="Q176" s="57"/>
      <c r="R176" s="43"/>
      <c r="S176" s="37"/>
      <c r="T176" s="38"/>
      <c r="U176" s="79"/>
      <c r="V176" s="35"/>
      <c r="Y176" s="57"/>
      <c r="Z176" s="208">
        <f>ROUND((ROUND((ROUND((_15_同援日２．５*_15・通訳),0)*_15・２人),0)*(1+_15・A深夜)),0)+ROUND((ROUND((_15_同援日２．５＿０．５*_15・通訳),0)*_15・２人),0)</f>
        <v>820</v>
      </c>
      <c r="AA176" s="48"/>
    </row>
    <row r="177" spans="1:27" ht="16.5" customHeight="1" x14ac:dyDescent="0.15">
      <c r="A177" s="41">
        <v>15</v>
      </c>
      <c r="B177" s="41" t="s">
        <v>3672</v>
      </c>
      <c r="C177" s="74" t="s">
        <v>29136</v>
      </c>
      <c r="D177" s="72" t="s">
        <v>17672</v>
      </c>
      <c r="F177" s="57"/>
      <c r="G177" s="72"/>
      <c r="I177" s="57"/>
      <c r="J177" s="35"/>
      <c r="M177" s="163"/>
      <c r="N177" s="45"/>
      <c r="O177" s="46"/>
      <c r="P177" s="512"/>
      <c r="Q177" s="57"/>
      <c r="R177" s="114" t="s">
        <v>17562</v>
      </c>
      <c r="S177" s="49"/>
      <c r="T177" s="50"/>
      <c r="U177" s="115"/>
      <c r="V177" s="35"/>
      <c r="Y177" s="57"/>
      <c r="Z177" s="208">
        <f>ROUND((ROUND((ROUND((_15_同援日２．５*_15・通訳),0)*(1+_15・A深夜)),0)*(1+_15・盲ろう)),0)+ROUND((ROUND((_15_同援日２．５＿０．５*_15・通訳),0)*(1+_15・盲ろう)),0)</f>
        <v>1025</v>
      </c>
      <c r="AA177" s="48"/>
    </row>
    <row r="178" spans="1:27" ht="16.5" customHeight="1" x14ac:dyDescent="0.15">
      <c r="A178" s="41">
        <v>15</v>
      </c>
      <c r="B178" s="41" t="s">
        <v>3674</v>
      </c>
      <c r="C178" s="74" t="s">
        <v>29137</v>
      </c>
      <c r="D178" s="72"/>
      <c r="E178" s="168">
        <f>_15_同援日２．５</f>
        <v>563</v>
      </c>
      <c r="F178" s="57" t="s">
        <v>392</v>
      </c>
      <c r="G178" s="72"/>
      <c r="H178" s="168">
        <f>_15_同援日２．５＿０．５</f>
        <v>65</v>
      </c>
      <c r="I178" s="57" t="s">
        <v>392</v>
      </c>
      <c r="J178" s="35"/>
      <c r="M178" s="299" t="s">
        <v>17556</v>
      </c>
      <c r="N178" s="45" t="s">
        <v>398</v>
      </c>
      <c r="O178" s="46">
        <v>1</v>
      </c>
      <c r="P178" s="512"/>
      <c r="Q178" s="57"/>
      <c r="R178" s="269" t="s">
        <v>17564</v>
      </c>
      <c r="S178" s="37" t="s">
        <v>398</v>
      </c>
      <c r="T178" s="38">
        <v>0.25</v>
      </c>
      <c r="U178" s="79" t="s">
        <v>3575</v>
      </c>
      <c r="V178" s="43"/>
      <c r="W178" s="37"/>
      <c r="X178" s="38"/>
      <c r="Y178" s="79"/>
      <c r="Z178" s="208">
        <f>ROUND((ROUND((ROUND((ROUND((_15_同援日２．５*_15・通訳),0)*_15・２人),0)*(1+_15・A深夜)),0)*(1+_15・盲ろう)),0)+ROUND((ROUND((ROUND((_15_同援日２．５＿０．５*_15・通訳),0)*_15・２人),0)*(1+_15・盲ろう)),0)</f>
        <v>1025</v>
      </c>
      <c r="AA178" s="48"/>
    </row>
    <row r="179" spans="1:27" ht="16.5" customHeight="1" x14ac:dyDescent="0.15">
      <c r="A179" s="41">
        <v>15</v>
      </c>
      <c r="B179" s="41" t="s">
        <v>29138</v>
      </c>
      <c r="C179" s="74" t="s">
        <v>29139</v>
      </c>
      <c r="D179" s="72"/>
      <c r="F179" s="57"/>
      <c r="G179" s="72"/>
      <c r="I179" s="57"/>
      <c r="J179" s="35"/>
      <c r="M179" s="163"/>
      <c r="N179" s="45"/>
      <c r="O179" s="46"/>
      <c r="P179" s="512"/>
      <c r="Q179" s="57"/>
      <c r="R179" s="53"/>
      <c r="S179" s="49"/>
      <c r="T179" s="50"/>
      <c r="U179" s="115"/>
      <c r="V179" s="114" t="s">
        <v>17570</v>
      </c>
      <c r="W179" s="49"/>
      <c r="X179" s="50"/>
      <c r="Y179" s="115"/>
      <c r="Z179" s="208">
        <f>ROUND((ROUND((ROUND((_15_同援日２．５*_15・通訳),0)*(1+_15・A深夜)),0)*(1+_15・区３)),0)+ROUND((ROUND((_15_同援日２．５＿０．５*_15・通訳),0)*(1+_15・区３)),0)</f>
        <v>984</v>
      </c>
      <c r="AA179" s="48"/>
    </row>
    <row r="180" spans="1:27" ht="16.5" customHeight="1" x14ac:dyDescent="0.15">
      <c r="A180" s="41">
        <v>15</v>
      </c>
      <c r="B180" s="41" t="s">
        <v>29140</v>
      </c>
      <c r="C180" s="74" t="s">
        <v>29141</v>
      </c>
      <c r="D180" s="72"/>
      <c r="F180" s="57"/>
      <c r="G180" s="72"/>
      <c r="I180" s="57"/>
      <c r="J180" s="35"/>
      <c r="M180" s="299" t="s">
        <v>17556</v>
      </c>
      <c r="N180" s="45" t="s">
        <v>398</v>
      </c>
      <c r="O180" s="46">
        <v>1</v>
      </c>
      <c r="P180" s="512"/>
      <c r="Q180" s="57"/>
      <c r="R180" s="43"/>
      <c r="S180" s="37"/>
      <c r="T180" s="38"/>
      <c r="U180" s="79"/>
      <c r="V180" s="92" t="s">
        <v>17572</v>
      </c>
      <c r="Y180" s="57"/>
      <c r="Z180" s="208">
        <f>ROUND((ROUND((ROUND((ROUND((_15_同援日２．５*_15・通訳),0)*_15・２人),0)*(1+_15・A深夜)),0)*(1+_15・区３)),0)+ROUND((ROUND((ROUND((_15_同援日２．５＿０．５*_15・通訳),0)*_15・２人),0)*(1+_15・区３)),0)</f>
        <v>984</v>
      </c>
      <c r="AA180" s="48"/>
    </row>
    <row r="181" spans="1:27" ht="16.5" customHeight="1" x14ac:dyDescent="0.15">
      <c r="A181" s="41">
        <v>15</v>
      </c>
      <c r="B181" s="41" t="s">
        <v>29142</v>
      </c>
      <c r="C181" s="74" t="s">
        <v>29143</v>
      </c>
      <c r="D181" s="72"/>
      <c r="F181" s="57"/>
      <c r="G181" s="72"/>
      <c r="I181" s="57"/>
      <c r="J181" s="35"/>
      <c r="M181" s="163"/>
      <c r="N181" s="45"/>
      <c r="O181" s="46"/>
      <c r="P181" s="512"/>
      <c r="Q181" s="57"/>
      <c r="R181" s="114" t="s">
        <v>17562</v>
      </c>
      <c r="S181" s="49"/>
      <c r="T181" s="50"/>
      <c r="U181" s="115"/>
      <c r="V181" s="35"/>
      <c r="W181" s="12" t="s">
        <v>398</v>
      </c>
      <c r="X181" s="13">
        <v>0.2</v>
      </c>
      <c r="Y181" s="57" t="s">
        <v>3575</v>
      </c>
      <c r="Z181" s="208">
        <f>ROUND((ROUND((ROUND((ROUND((_15_同援日２．５*_15・通訳),0)*(1+_15・A深夜)),0)*(1+_15・盲ろう)),0)*(1+_15・区３)),0)+ROUND((ROUND((ROUND((_15_同援日２．５＿０．５*_15・通訳),0)*(1+_15・盲ろう)),0)*(1+_15・区３)),0)</f>
        <v>1230</v>
      </c>
      <c r="AA181" s="48"/>
    </row>
    <row r="182" spans="1:27" ht="16.5" customHeight="1" x14ac:dyDescent="0.15">
      <c r="A182" s="41">
        <v>15</v>
      </c>
      <c r="B182" s="41" t="s">
        <v>29144</v>
      </c>
      <c r="C182" s="74" t="s">
        <v>29145</v>
      </c>
      <c r="D182" s="72"/>
      <c r="F182" s="57"/>
      <c r="G182" s="72"/>
      <c r="I182" s="57"/>
      <c r="J182" s="35"/>
      <c r="M182" s="299" t="s">
        <v>17556</v>
      </c>
      <c r="N182" s="45" t="s">
        <v>398</v>
      </c>
      <c r="O182" s="46">
        <v>1</v>
      </c>
      <c r="P182" s="512"/>
      <c r="Q182" s="57"/>
      <c r="R182" s="269" t="s">
        <v>17564</v>
      </c>
      <c r="S182" s="37" t="s">
        <v>398</v>
      </c>
      <c r="T182" s="38">
        <v>0.25</v>
      </c>
      <c r="U182" s="79" t="s">
        <v>3575</v>
      </c>
      <c r="V182" s="43"/>
      <c r="W182" s="37"/>
      <c r="X182" s="38"/>
      <c r="Y182" s="79"/>
      <c r="Z182" s="208">
        <f>ROUND((ROUND((ROUND((ROUND((ROUND((_15_同援日２．５*_15・通訳),0)*_15・２人),0)*(1+_15・A深夜)),0)*(1+_15・盲ろう)),0)*(1+_15・区３)),0)+ROUND((ROUND((ROUND((ROUND((_15_同援日２．５＿０．５*_15・通訳),0)*_15・２人),0)*(1+_15・盲ろう)),0)*(1+_15・区３)),0)</f>
        <v>1230</v>
      </c>
      <c r="AA182" s="48"/>
    </row>
    <row r="183" spans="1:27" ht="16.5" customHeight="1" x14ac:dyDescent="0.15">
      <c r="A183" s="41">
        <v>15</v>
      </c>
      <c r="B183" s="41" t="s">
        <v>29146</v>
      </c>
      <c r="C183" s="74" t="s">
        <v>29147</v>
      </c>
      <c r="D183" s="72"/>
      <c r="F183" s="57"/>
      <c r="G183" s="72"/>
      <c r="I183" s="57"/>
      <c r="J183" s="35"/>
      <c r="M183" s="163"/>
      <c r="N183" s="45"/>
      <c r="O183" s="46"/>
      <c r="P183" s="512"/>
      <c r="Q183" s="57"/>
      <c r="R183" s="53"/>
      <c r="S183" s="49"/>
      <c r="T183" s="50"/>
      <c r="U183" s="115"/>
      <c r="V183" s="114" t="s">
        <v>17580</v>
      </c>
      <c r="W183" s="49"/>
      <c r="X183" s="50"/>
      <c r="Y183" s="115"/>
      <c r="Z183" s="208">
        <f>ROUND((ROUND((ROUND((_15_同援日２．５*_15・通訳),0)*(1+_15・A深夜)),0)*(1+_15・区４)),0)+ROUND((ROUND((_15_同援日２．５＿０．５*_15・通訳),0)*(1+_15・区４)),0)</f>
        <v>1148</v>
      </c>
      <c r="AA183" s="48"/>
    </row>
    <row r="184" spans="1:27" ht="16.5" customHeight="1" x14ac:dyDescent="0.15">
      <c r="A184" s="41">
        <v>15</v>
      </c>
      <c r="B184" s="41" t="s">
        <v>29148</v>
      </c>
      <c r="C184" s="74" t="s">
        <v>29149</v>
      </c>
      <c r="D184" s="72"/>
      <c r="F184" s="57"/>
      <c r="G184" s="72"/>
      <c r="I184" s="57"/>
      <c r="J184" s="35"/>
      <c r="M184" s="299" t="s">
        <v>17556</v>
      </c>
      <c r="N184" s="45" t="s">
        <v>398</v>
      </c>
      <c r="O184" s="46">
        <v>1</v>
      </c>
      <c r="P184" s="512"/>
      <c r="Q184" s="57"/>
      <c r="R184" s="43"/>
      <c r="S184" s="37"/>
      <c r="T184" s="38"/>
      <c r="U184" s="79"/>
      <c r="V184" s="92" t="s">
        <v>17572</v>
      </c>
      <c r="Y184" s="57"/>
      <c r="Z184" s="208">
        <f>ROUND((ROUND((ROUND((ROUND((_15_同援日２．５*_15・通訳),0)*_15・２人),0)*(1+_15・A深夜)),0)*(1+_15・区４)),0)+ROUND((ROUND((ROUND((_15_同援日２．５＿０．５*_15・通訳),0)*_15・２人),0)*(1+_15・区４)),0)</f>
        <v>1148</v>
      </c>
      <c r="AA184" s="48"/>
    </row>
    <row r="185" spans="1:27" ht="16.5" customHeight="1" x14ac:dyDescent="0.15">
      <c r="A185" s="41">
        <v>15</v>
      </c>
      <c r="B185" s="41" t="s">
        <v>29150</v>
      </c>
      <c r="C185" s="74" t="s">
        <v>29151</v>
      </c>
      <c r="D185" s="72"/>
      <c r="F185" s="57"/>
      <c r="G185" s="72"/>
      <c r="I185" s="57"/>
      <c r="J185" s="35"/>
      <c r="M185" s="163"/>
      <c r="N185" s="45"/>
      <c r="O185" s="46"/>
      <c r="P185" s="512"/>
      <c r="Q185" s="57"/>
      <c r="R185" s="114" t="s">
        <v>17562</v>
      </c>
      <c r="S185" s="49"/>
      <c r="T185" s="50"/>
      <c r="U185" s="115"/>
      <c r="V185" s="35"/>
      <c r="W185" s="12" t="s">
        <v>398</v>
      </c>
      <c r="X185" s="13">
        <v>0.4</v>
      </c>
      <c r="Y185" s="57" t="s">
        <v>3575</v>
      </c>
      <c r="Z185" s="208">
        <f>ROUND((ROUND((ROUND((ROUND((_15_同援日２．５*_15・通訳),0)*(1+_15・A深夜)),0)*(1+_15・盲ろう)),0)*(1+_15・区４)),0)+ROUND((ROUND((ROUND((_15_同援日２．５＿０．５*_15・通訳),0)*(1+_15・盲ろう)),0)*(1+_15・区４)),0)</f>
        <v>1435</v>
      </c>
      <c r="AA185" s="48"/>
    </row>
    <row r="186" spans="1:27" ht="16.5" customHeight="1" x14ac:dyDescent="0.15">
      <c r="A186" s="41">
        <v>15</v>
      </c>
      <c r="B186" s="41" t="s">
        <v>29152</v>
      </c>
      <c r="C186" s="74" t="s">
        <v>29153</v>
      </c>
      <c r="D186" s="122"/>
      <c r="E186" s="37"/>
      <c r="F186" s="79"/>
      <c r="G186" s="122"/>
      <c r="H186" s="37"/>
      <c r="I186" s="79"/>
      <c r="J186" s="43"/>
      <c r="K186" s="37"/>
      <c r="L186" s="38"/>
      <c r="M186" s="299" t="s">
        <v>17556</v>
      </c>
      <c r="N186" s="45" t="s">
        <v>398</v>
      </c>
      <c r="O186" s="46">
        <v>1</v>
      </c>
      <c r="P186" s="514"/>
      <c r="Q186" s="79"/>
      <c r="R186" s="269" t="s">
        <v>17564</v>
      </c>
      <c r="S186" s="37" t="s">
        <v>398</v>
      </c>
      <c r="T186" s="38">
        <v>0.25</v>
      </c>
      <c r="U186" s="79" t="s">
        <v>3575</v>
      </c>
      <c r="V186" s="43"/>
      <c r="W186" s="37"/>
      <c r="X186" s="38"/>
      <c r="Y186" s="79"/>
      <c r="Z186" s="208">
        <f>ROUND((ROUND((ROUND((ROUND((ROUND((_15_同援日２．５*_15・通訳),0)*_15・２人),0)*(1+_15・A深夜)),0)*(1+_15・盲ろう)),0)*(1+_15・区４)),0)+ROUND((ROUND((ROUND((ROUND((_15_同援日２．５＿０．５*_15・通訳),0)*_15・２人),0)*(1+_15・盲ろう)),0)*(1+_15・区４)),0)</f>
        <v>1435</v>
      </c>
      <c r="AA186" s="63"/>
    </row>
    <row r="187" spans="1:27" ht="16.5" customHeight="1" x14ac:dyDescent="0.15"/>
    <row r="188" spans="1:27"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43" fitToHeight="0" orientation="portrait" r:id="rId1"/>
  <headerFooter>
    <oddHeader>&amp;R&amp;"ＭＳ Ｐゴシック"&amp;9同行援護</oddHeader>
    <oddFooter>&amp;C&amp;"ＭＳ Ｐゴシック"&amp;14&amp;P</oddFooter>
  </headerFooter>
  <rowBreaks count="1" manualBreakCount="1">
    <brk id="114" max="16383"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5">
    <pageSetUpPr fitToPage="1"/>
  </sheetPr>
  <dimension ref="A1:AF265"/>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7.125" style="10" customWidth="1"/>
    <col min="4" max="4" width="3.5" style="10" customWidth="1"/>
    <col min="5" max="5" width="4.125" style="12" bestFit="1" customWidth="1"/>
    <col min="6" max="6" width="5.5" style="12" customWidth="1"/>
    <col min="7" max="7" width="3.5" style="10" customWidth="1"/>
    <col min="8" max="8" width="4.125" style="12" bestFit="1" customWidth="1"/>
    <col min="9" max="9" width="5.5" style="12" customWidth="1"/>
    <col min="10" max="10" width="3.5" style="10" customWidth="1"/>
    <col min="11" max="11" width="4.125" style="12" bestFit="1" customWidth="1"/>
    <col min="12" max="12" width="5.125" style="12" customWidth="1"/>
    <col min="13" max="13" width="15.5" style="12" customWidth="1"/>
    <col min="14" max="14" width="3.125" style="12" bestFit="1" customWidth="1"/>
    <col min="15" max="15" width="4.125" style="13" bestFit="1" customWidth="1"/>
    <col min="16" max="16" width="25.5" style="12" customWidth="1"/>
    <col min="17" max="17" width="3.125" style="12" bestFit="1" customWidth="1"/>
    <col min="18" max="18" width="5" style="13" bestFit="1" customWidth="1"/>
    <col min="19" max="19" width="4.125" style="13" bestFit="1" customWidth="1"/>
    <col min="20" max="20" width="4.875" style="12" bestFit="1" customWidth="1"/>
    <col min="21" max="21" width="4.125" style="13" bestFit="1" customWidth="1"/>
    <col min="22" max="22" width="4.875" style="12" bestFit="1" customWidth="1"/>
    <col min="23" max="23" width="22.25" style="12" customWidth="1"/>
    <col min="24" max="24" width="3.125" style="12" bestFit="1" customWidth="1"/>
    <col min="25" max="25" width="4.125" style="13" bestFit="1" customWidth="1"/>
    <col min="26" max="26" width="4.875" style="12" bestFit="1" customWidth="1"/>
    <col min="27" max="27" width="8.5" style="12" customWidth="1"/>
    <col min="28" max="28" width="3.125" style="12" bestFit="1" customWidth="1"/>
    <col min="29" max="29" width="4.125" style="13" bestFit="1" customWidth="1"/>
    <col min="30" max="30" width="4.875" style="12" bestFit="1" customWidth="1"/>
    <col min="31" max="31" width="7.125" style="206" customWidth="1"/>
    <col min="32" max="32" width="8.5" style="16" customWidth="1"/>
    <col min="33" max="16384" width="9" style="12"/>
  </cols>
  <sheetData>
    <row r="1" spans="1:32" ht="17.100000000000001" customHeight="1" x14ac:dyDescent="0.15"/>
    <row r="2" spans="1:32" ht="17.100000000000001" customHeight="1" x14ac:dyDescent="0.15"/>
    <row r="3" spans="1:32" ht="17.100000000000001" customHeight="1" x14ac:dyDescent="0.15"/>
    <row r="4" spans="1:32" ht="17.100000000000001" customHeight="1" x14ac:dyDescent="0.15">
      <c r="B4" s="17" t="s">
        <v>29154</v>
      </c>
      <c r="D4" s="71"/>
    </row>
    <row r="5" spans="1:32" ht="16.5" customHeight="1" x14ac:dyDescent="0.15">
      <c r="A5" s="19" t="s">
        <v>384</v>
      </c>
      <c r="B5" s="20"/>
      <c r="C5" s="21" t="s">
        <v>385</v>
      </c>
      <c r="D5" s="23" t="s">
        <v>386</v>
      </c>
      <c r="E5" s="23"/>
      <c r="F5" s="23"/>
      <c r="G5" s="23"/>
      <c r="H5" s="23"/>
      <c r="I5" s="23"/>
      <c r="J5" s="23"/>
      <c r="K5" s="23"/>
      <c r="L5" s="23"/>
      <c r="M5" s="23"/>
      <c r="N5" s="23"/>
      <c r="O5" s="24"/>
      <c r="P5" s="23"/>
      <c r="Q5" s="23"/>
      <c r="R5" s="24"/>
      <c r="S5" s="24"/>
      <c r="T5" s="23"/>
      <c r="U5" s="24"/>
      <c r="V5" s="23"/>
      <c r="W5" s="23"/>
      <c r="X5" s="23"/>
      <c r="Y5" s="24"/>
      <c r="Z5" s="23"/>
      <c r="AA5" s="23"/>
      <c r="AB5" s="23"/>
      <c r="AC5" s="24"/>
      <c r="AD5" s="23"/>
      <c r="AE5" s="21" t="s">
        <v>387</v>
      </c>
      <c r="AF5" s="21" t="s">
        <v>388</v>
      </c>
    </row>
    <row r="6" spans="1:32" ht="16.5" customHeight="1" x14ac:dyDescent="0.15">
      <c r="A6" s="26" t="s">
        <v>389</v>
      </c>
      <c r="B6" s="26" t="s">
        <v>390</v>
      </c>
      <c r="C6" s="27"/>
      <c r="D6" s="29"/>
      <c r="E6" s="29"/>
      <c r="F6" s="29"/>
      <c r="G6" s="87" t="s">
        <v>1032</v>
      </c>
      <c r="H6" s="187"/>
      <c r="I6" s="20"/>
      <c r="J6" s="87" t="s">
        <v>1033</v>
      </c>
      <c r="K6" s="187"/>
      <c r="L6" s="20"/>
      <c r="M6" s="29"/>
      <c r="N6" s="29"/>
      <c r="O6" s="30"/>
      <c r="P6" s="29"/>
      <c r="Q6" s="29"/>
      <c r="R6" s="30"/>
      <c r="S6" s="30"/>
      <c r="T6" s="29"/>
      <c r="U6" s="30"/>
      <c r="V6" s="29"/>
      <c r="W6" s="29"/>
      <c r="X6" s="29"/>
      <c r="Y6" s="30"/>
      <c r="Z6" s="29"/>
      <c r="AA6" s="29"/>
      <c r="AB6" s="29"/>
      <c r="AC6" s="30"/>
      <c r="AD6" s="29"/>
      <c r="AE6" s="32" t="s">
        <v>391</v>
      </c>
      <c r="AF6" s="32" t="s">
        <v>392</v>
      </c>
    </row>
    <row r="7" spans="1:32" ht="16.5" customHeight="1" x14ac:dyDescent="0.15">
      <c r="A7" s="33">
        <v>15</v>
      </c>
      <c r="B7" s="33" t="s">
        <v>3678</v>
      </c>
      <c r="C7" s="34" t="s">
        <v>29155</v>
      </c>
      <c r="D7" s="72" t="s">
        <v>17553</v>
      </c>
      <c r="F7" s="57"/>
      <c r="G7" s="72" t="s">
        <v>19553</v>
      </c>
      <c r="I7" s="57"/>
      <c r="J7" s="72" t="s">
        <v>22681</v>
      </c>
      <c r="L7" s="57"/>
      <c r="M7" s="35"/>
      <c r="P7" s="122"/>
      <c r="Q7" s="37"/>
      <c r="R7" s="38"/>
      <c r="S7" s="512"/>
      <c r="T7" s="57"/>
      <c r="U7" s="512"/>
      <c r="V7" s="57"/>
      <c r="W7" s="72"/>
      <c r="Z7" s="57"/>
      <c r="AA7" s="72"/>
      <c r="AD7" s="57"/>
      <c r="AE7" s="207">
        <f>ROUND((_15_同援日０．５*_15・通訳),0)+ROUND((ROUND((_15_同援日０．５＿０．５*_15・通訳),0)*(1+_15・B夜間)),0)+ROUND((ROUND((_15_同援日０．５＿０．５＿０．５*_15・通訳),0)*(1+_15・C深夜)),0)</f>
        <v>475</v>
      </c>
      <c r="AF7" s="40" t="s">
        <v>395</v>
      </c>
    </row>
    <row r="8" spans="1:32" ht="16.5" customHeight="1" x14ac:dyDescent="0.15">
      <c r="A8" s="41">
        <v>15</v>
      </c>
      <c r="B8" s="41" t="s">
        <v>3680</v>
      </c>
      <c r="C8" s="74" t="s">
        <v>29156</v>
      </c>
      <c r="D8" s="72" t="s">
        <v>18259</v>
      </c>
      <c r="F8" s="57"/>
      <c r="G8" s="72" t="s">
        <v>18259</v>
      </c>
      <c r="I8" s="57"/>
      <c r="J8" s="72" t="s">
        <v>18259</v>
      </c>
      <c r="L8" s="57"/>
      <c r="M8" s="35"/>
      <c r="P8" s="299" t="s">
        <v>17556</v>
      </c>
      <c r="Q8" s="45" t="s">
        <v>398</v>
      </c>
      <c r="R8" s="46">
        <v>1</v>
      </c>
      <c r="S8" s="512"/>
      <c r="T8" s="57"/>
      <c r="U8" s="512"/>
      <c r="V8" s="57"/>
      <c r="W8" s="122"/>
      <c r="X8" s="37"/>
      <c r="Y8" s="38"/>
      <c r="Z8" s="79"/>
      <c r="AA8" s="72"/>
      <c r="AD8" s="57"/>
      <c r="AE8" s="208">
        <f>ROUND((ROUND((_15_同援日０．５*_15・通訳),0)*_15・２人),0)+ROUND((ROUND((ROUND((_15_同援日０．５＿０．５*_15・通訳),0)*_15・２人),0)*(1+_15・B夜間)),0)+ROUND((ROUND((ROUND((_15_同援日０．５＿０．５＿０．５*_15・通訳),0)*_15・２人),0)*(1+_15・C深夜)),0)</f>
        <v>475</v>
      </c>
      <c r="AF8" s="48"/>
    </row>
    <row r="9" spans="1:32" ht="16.5" customHeight="1" x14ac:dyDescent="0.15">
      <c r="A9" s="41">
        <v>15</v>
      </c>
      <c r="B9" s="41" t="s">
        <v>29157</v>
      </c>
      <c r="C9" s="74" t="s">
        <v>29158</v>
      </c>
      <c r="D9" s="72"/>
      <c r="F9" s="57"/>
      <c r="G9" s="72"/>
      <c r="I9" s="57"/>
      <c r="J9" s="72"/>
      <c r="L9" s="57"/>
      <c r="M9" s="35"/>
      <c r="P9" s="299"/>
      <c r="Q9" s="45"/>
      <c r="R9" s="46"/>
      <c r="S9" s="512"/>
      <c r="T9" s="57"/>
      <c r="U9" s="512"/>
      <c r="V9" s="57"/>
      <c r="W9" s="114" t="s">
        <v>17562</v>
      </c>
      <c r="X9" s="49"/>
      <c r="Y9" s="50"/>
      <c r="Z9" s="115"/>
      <c r="AA9" s="72"/>
      <c r="AD9" s="57"/>
      <c r="AE9" s="208">
        <f>ROUND((ROUND((_15_同援日０．５*_15・通訳),0)*(1+_15・盲ろう)),0)+ROUND((ROUND((ROUND((_15_同援日０．５＿０．５*_15・通訳),0)*(1+_15・B夜間)),0)*(1+_15・盲ろう)),0)+ROUND((ROUND((ROUND((_15_同援日０．５＿０．５＿０．５*_15・通訳),0)*(1+_15・C深夜)),0)*(1+_15・盲ろう)),0)</f>
        <v>594</v>
      </c>
      <c r="AF9" s="48"/>
    </row>
    <row r="10" spans="1:32" ht="16.5" customHeight="1" x14ac:dyDescent="0.15">
      <c r="A10" s="41">
        <v>15</v>
      </c>
      <c r="B10" s="41" t="s">
        <v>29159</v>
      </c>
      <c r="C10" s="74" t="s">
        <v>29160</v>
      </c>
      <c r="D10" s="72"/>
      <c r="E10" s="168">
        <f>_15_同援日０．５</f>
        <v>190</v>
      </c>
      <c r="F10" s="57" t="s">
        <v>392</v>
      </c>
      <c r="G10" s="72"/>
      <c r="H10" s="168">
        <f>_15_同援日０．５＿０．５</f>
        <v>110</v>
      </c>
      <c r="I10" s="57" t="s">
        <v>392</v>
      </c>
      <c r="J10" s="72"/>
      <c r="K10" s="168">
        <f>_15_同援日０．５＿０．５＿０．５</f>
        <v>133</v>
      </c>
      <c r="L10" s="57" t="s">
        <v>392</v>
      </c>
      <c r="M10" s="35"/>
      <c r="P10" s="299" t="s">
        <v>17556</v>
      </c>
      <c r="Q10" s="45" t="s">
        <v>398</v>
      </c>
      <c r="R10" s="46">
        <v>1</v>
      </c>
      <c r="S10" s="512"/>
      <c r="T10" s="57"/>
      <c r="U10" s="512"/>
      <c r="V10" s="57"/>
      <c r="W10" s="122" t="s">
        <v>17564</v>
      </c>
      <c r="X10" s="37" t="s">
        <v>398</v>
      </c>
      <c r="Y10" s="38">
        <v>0.25</v>
      </c>
      <c r="Z10" s="79" t="s">
        <v>3575</v>
      </c>
      <c r="AA10" s="122"/>
      <c r="AB10" s="37"/>
      <c r="AC10" s="38"/>
      <c r="AD10" s="79"/>
      <c r="AE10" s="208">
        <f>ROUND((ROUND((ROUND((_15_同援日０．５*_15・通訳),0)*_15・２人),0)*(1+_15・盲ろう)),0)+ROUND((ROUND((ROUND((ROUND((_15_同援日０．５＿０．５*_15・通訳),0)*_15・２人),0)*(1+_15・B夜間)),0)*(1+_15・盲ろう)),0)+ROUND((ROUND((ROUND((ROUND((_15_同援日０．５＿０．５＿０．５*_15・通訳),0)*_15・２人),0)*(1+_15・C深夜)),0)*(1+_15・盲ろう)),0)</f>
        <v>594</v>
      </c>
      <c r="AF10" s="48"/>
    </row>
    <row r="11" spans="1:32" ht="16.5" customHeight="1" x14ac:dyDescent="0.15">
      <c r="A11" s="41">
        <v>15</v>
      </c>
      <c r="B11" s="41" t="s">
        <v>29161</v>
      </c>
      <c r="C11" s="74" t="s">
        <v>29162</v>
      </c>
      <c r="D11" s="72"/>
      <c r="F11" s="57"/>
      <c r="G11" s="72"/>
      <c r="I11" s="57"/>
      <c r="J11" s="72"/>
      <c r="L11" s="57"/>
      <c r="M11" s="35"/>
      <c r="P11" s="299"/>
      <c r="Q11" s="45"/>
      <c r="R11" s="46"/>
      <c r="S11" s="512"/>
      <c r="T11" s="57"/>
      <c r="U11" s="512"/>
      <c r="V11" s="57"/>
      <c r="W11" s="114"/>
      <c r="X11" s="49"/>
      <c r="Y11" s="50"/>
      <c r="Z11" s="115"/>
      <c r="AA11" s="114" t="s">
        <v>17570</v>
      </c>
      <c r="AB11" s="49"/>
      <c r="AC11" s="50"/>
      <c r="AD11" s="115"/>
      <c r="AE11" s="208">
        <f>ROUND((ROUND((_15_同援日０．５*_15・通訳),0)*(1+_15・区３)),0)+ROUND((ROUND((ROUND((_15_同援日０．５＿０．５*_15・通訳),0)*(1+_15・B夜間)),0)*(1+_15・区３)),0)+ROUND((ROUND((ROUND((_15_同援日０．５＿０．５＿０．５*_15・通訳),0)*(1+_15・C深夜)),0)*(1+_15・区３)),0)</f>
        <v>570</v>
      </c>
      <c r="AF11" s="48"/>
    </row>
    <row r="12" spans="1:32" ht="16.5" customHeight="1" x14ac:dyDescent="0.15">
      <c r="A12" s="41">
        <v>15</v>
      </c>
      <c r="B12" s="41" t="s">
        <v>29163</v>
      </c>
      <c r="C12" s="74" t="s">
        <v>29164</v>
      </c>
      <c r="D12" s="72"/>
      <c r="F12" s="57"/>
      <c r="G12" s="72"/>
      <c r="I12" s="57"/>
      <c r="J12" s="72"/>
      <c r="L12" s="57"/>
      <c r="M12" s="72" t="s">
        <v>25732</v>
      </c>
      <c r="P12" s="299" t="s">
        <v>17556</v>
      </c>
      <c r="Q12" s="45" t="s">
        <v>398</v>
      </c>
      <c r="R12" s="46">
        <v>1</v>
      </c>
      <c r="S12" s="517" t="s">
        <v>18264</v>
      </c>
      <c r="T12" s="57"/>
      <c r="U12" s="526" t="s">
        <v>18493</v>
      </c>
      <c r="V12" s="57"/>
      <c r="W12" s="122"/>
      <c r="X12" s="37"/>
      <c r="Y12" s="38"/>
      <c r="Z12" s="79"/>
      <c r="AA12" s="72" t="s">
        <v>17572</v>
      </c>
      <c r="AD12" s="57"/>
      <c r="AE12" s="208">
        <f>ROUND((ROUND((ROUND((_15_同援日０．５*_15・通訳),0)*_15・２人),0)*(1+_15・区３)),0)+ROUND((ROUND((ROUND((ROUND((_15_同援日０．５＿０．５*_15・通訳),0)*_15・２人),0)*(1+_15・B夜間)),0)*(1+_15・区３)),0)+ROUND((ROUND((ROUND((ROUND((_15_同援日０．５＿０．５＿０．５*_15・通訳),0)*_15・２人),0)*(1+_15・C深夜)),0)*(1+_15・区３)),0)</f>
        <v>570</v>
      </c>
      <c r="AF12" s="48"/>
    </row>
    <row r="13" spans="1:32" ht="16.5" customHeight="1" x14ac:dyDescent="0.15">
      <c r="A13" s="41">
        <v>15</v>
      </c>
      <c r="B13" s="41" t="s">
        <v>29165</v>
      </c>
      <c r="C13" s="74" t="s">
        <v>29166</v>
      </c>
      <c r="D13" s="72"/>
      <c r="F13" s="57"/>
      <c r="G13" s="72"/>
      <c r="I13" s="57"/>
      <c r="J13" s="72"/>
      <c r="L13" s="57"/>
      <c r="M13" s="92" t="s">
        <v>25734</v>
      </c>
      <c r="N13" s="12" t="s">
        <v>398</v>
      </c>
      <c r="O13" s="13">
        <v>0.9</v>
      </c>
      <c r="P13" s="299"/>
      <c r="Q13" s="45"/>
      <c r="R13" s="46"/>
      <c r="S13" s="512"/>
      <c r="T13" s="519" t="s">
        <v>18826</v>
      </c>
      <c r="U13" s="512"/>
      <c r="V13" s="519" t="s">
        <v>18827</v>
      </c>
      <c r="W13" s="114" t="s">
        <v>17562</v>
      </c>
      <c r="X13" s="49"/>
      <c r="Y13" s="50"/>
      <c r="Z13" s="115"/>
      <c r="AA13" s="72"/>
      <c r="AB13" s="12" t="s">
        <v>398</v>
      </c>
      <c r="AC13" s="13">
        <v>0.2</v>
      </c>
      <c r="AD13" s="57" t="s">
        <v>3575</v>
      </c>
      <c r="AE13" s="208">
        <f>ROUND((ROUND((ROUND((_15_同援日０．５*_15・通訳),0)*(1+_15・盲ろう)),0)*(1+_15・区３)),0)+ROUND((ROUND((ROUND((ROUND((_15_同援日０．５＿０．５*_15・通訳),0)*(1+_15・B夜間)),0)*(1+_15・盲ろう)),0)*(1+_15・区３)),0)+ROUND((ROUND((ROUND((ROUND((_15_同援日０．５＿０．５＿０．５*_15・通訳),0)*(1+_15・C深夜)),0)*(1+_15・盲ろう)),0)*(1+_15・区３)),0)</f>
        <v>713</v>
      </c>
      <c r="AF13" s="48"/>
    </row>
    <row r="14" spans="1:32" ht="16.5" customHeight="1" x14ac:dyDescent="0.15">
      <c r="A14" s="41">
        <v>15</v>
      </c>
      <c r="B14" s="41" t="s">
        <v>29167</v>
      </c>
      <c r="C14" s="74" t="s">
        <v>29168</v>
      </c>
      <c r="D14" s="72"/>
      <c r="F14" s="57"/>
      <c r="G14" s="72"/>
      <c r="I14" s="57"/>
      <c r="J14" s="72"/>
      <c r="L14" s="57"/>
      <c r="M14" s="35"/>
      <c r="P14" s="299" t="s">
        <v>17556</v>
      </c>
      <c r="Q14" s="45" t="s">
        <v>398</v>
      </c>
      <c r="R14" s="46">
        <v>1</v>
      </c>
      <c r="S14" s="512"/>
      <c r="T14" s="57"/>
      <c r="U14" s="512"/>
      <c r="V14" s="57"/>
      <c r="W14" s="122" t="s">
        <v>17564</v>
      </c>
      <c r="X14" s="37" t="s">
        <v>398</v>
      </c>
      <c r="Y14" s="38">
        <v>0.25</v>
      </c>
      <c r="Z14" s="79" t="s">
        <v>3575</v>
      </c>
      <c r="AA14" s="122"/>
      <c r="AB14" s="37"/>
      <c r="AC14" s="38"/>
      <c r="AD14" s="79"/>
      <c r="AE14" s="208">
        <f>ROUND((ROUND((ROUND((ROUND((_15_同援日０．５*_15・通訳),0)*_15・２人),0)*(1+_15・盲ろう)),0)*(1+_15・区３)),0)+ROUND((ROUND((ROUND((ROUND((ROUND((_15_同援日０．５＿０．５*_15・通訳),0)*_15・２人),0)*(1+_15・B夜間)),0)*(1+_15・盲ろう)),0)*(1+_15・区３)),0)+ROUND((ROUND((ROUND((ROUND((ROUND((_15_同援日０．５＿０．５＿０．５*_15・通訳),0)*_15・２人),0)*(1+_15・C深夜)),0)*(1+_15・盲ろう)),0)*(1+_15・区３)),0)</f>
        <v>713</v>
      </c>
      <c r="AF14" s="48"/>
    </row>
    <row r="15" spans="1:32" ht="16.5" customHeight="1" x14ac:dyDescent="0.15">
      <c r="A15" s="41">
        <v>15</v>
      </c>
      <c r="B15" s="41" t="s">
        <v>29169</v>
      </c>
      <c r="C15" s="74" t="s">
        <v>29170</v>
      </c>
      <c r="D15" s="72"/>
      <c r="F15" s="57"/>
      <c r="G15" s="72"/>
      <c r="I15" s="57"/>
      <c r="J15" s="72"/>
      <c r="L15" s="57"/>
      <c r="M15" s="35"/>
      <c r="P15" s="299"/>
      <c r="Q15" s="45"/>
      <c r="R15" s="46"/>
      <c r="S15" s="35" t="s">
        <v>398</v>
      </c>
      <c r="T15" s="234">
        <v>0.25</v>
      </c>
      <c r="U15" s="35" t="s">
        <v>398</v>
      </c>
      <c r="V15" s="234">
        <v>0.5</v>
      </c>
      <c r="W15" s="114"/>
      <c r="X15" s="49"/>
      <c r="Y15" s="50"/>
      <c r="Z15" s="115"/>
      <c r="AA15" s="114" t="s">
        <v>17580</v>
      </c>
      <c r="AB15" s="49"/>
      <c r="AC15" s="50"/>
      <c r="AD15" s="115"/>
      <c r="AE15" s="208">
        <f>ROUND((ROUND((_15_同援日０．５*_15・通訳),0)*(1+_15・区４)),0)+ROUND((ROUND((ROUND((_15_同援日０．５＿０．５*_15・通訳),0)*(1+_15・B夜間)),0)*(1+_15・区４)),0)+ROUND((ROUND((ROUND((_15_同援日０．５＿０．５＿０．５*_15・通訳),0)*(1+_15・C深夜)),0)*(1+_15・区４)),0)</f>
        <v>665</v>
      </c>
      <c r="AF15" s="48"/>
    </row>
    <row r="16" spans="1:32" ht="16.5" customHeight="1" x14ac:dyDescent="0.15">
      <c r="A16" s="41">
        <v>15</v>
      </c>
      <c r="B16" s="41" t="s">
        <v>29171</v>
      </c>
      <c r="C16" s="74" t="s">
        <v>29172</v>
      </c>
      <c r="D16" s="72"/>
      <c r="F16" s="57"/>
      <c r="G16" s="72"/>
      <c r="I16" s="57"/>
      <c r="J16" s="72"/>
      <c r="L16" s="57"/>
      <c r="M16" s="35"/>
      <c r="P16" s="299" t="s">
        <v>17556</v>
      </c>
      <c r="Q16" s="45" t="s">
        <v>398</v>
      </c>
      <c r="R16" s="46">
        <v>1</v>
      </c>
      <c r="S16" s="512"/>
      <c r="T16" s="513" t="s">
        <v>3575</v>
      </c>
      <c r="U16" s="512"/>
      <c r="V16" s="513" t="s">
        <v>3575</v>
      </c>
      <c r="W16" s="122"/>
      <c r="X16" s="37"/>
      <c r="Y16" s="38"/>
      <c r="Z16" s="79"/>
      <c r="AA16" s="72" t="s">
        <v>17572</v>
      </c>
      <c r="AD16" s="57"/>
      <c r="AE16" s="208">
        <f>ROUND((ROUND((ROUND((_15_同援日０．５*_15・通訳),0)*_15・２人),0)*(1+_15・区４)),0)+ROUND((ROUND((ROUND((ROUND((_15_同援日０．５＿０．５*_15・通訳),0)*_15・２人),0)*(1+_15・B夜間)),0)*(1+_15・区４)),0)+ROUND((ROUND((ROUND((ROUND((_15_同援日０．５＿０．５＿０．５*_15・通訳),0)*_15・２人),0)*(1+_15・C深夜)),0)*(1+_15・区４)),0)</f>
        <v>665</v>
      </c>
      <c r="AF16" s="48"/>
    </row>
    <row r="17" spans="1:32" ht="16.5" customHeight="1" x14ac:dyDescent="0.15">
      <c r="A17" s="41">
        <v>15</v>
      </c>
      <c r="B17" s="41" t="s">
        <v>3684</v>
      </c>
      <c r="C17" s="74" t="s">
        <v>29173</v>
      </c>
      <c r="D17" s="72"/>
      <c r="F17" s="57"/>
      <c r="G17" s="72"/>
      <c r="I17" s="57"/>
      <c r="J17" s="72"/>
      <c r="L17" s="57"/>
      <c r="M17" s="35"/>
      <c r="P17" s="299"/>
      <c r="Q17" s="45"/>
      <c r="R17" s="46"/>
      <c r="S17" s="512"/>
      <c r="T17" s="57"/>
      <c r="U17" s="512"/>
      <c r="V17" s="57"/>
      <c r="W17" s="114" t="s">
        <v>17562</v>
      </c>
      <c r="X17" s="49"/>
      <c r="Y17" s="50"/>
      <c r="Z17" s="115"/>
      <c r="AA17" s="72"/>
      <c r="AB17" s="12" t="s">
        <v>398</v>
      </c>
      <c r="AC17" s="13">
        <v>0.4</v>
      </c>
      <c r="AD17" s="57" t="s">
        <v>3575</v>
      </c>
      <c r="AE17" s="208">
        <f>ROUND((ROUND((ROUND((_15_同援日０．５*_15・通訳),0)*(1+_15・盲ろう)),0)*(1+_15・区４)),0)+ROUND((ROUND((ROUND((ROUND((_15_同援日０．５＿０．５*_15・通訳),0)*(1+_15・B夜間)),0)*(1+_15・盲ろう)),0)*(1+_15・区４)),0)+ROUND((ROUND((ROUND((ROUND((_15_同援日０．５＿０．５＿０．５*_15・通訳),0)*(1+_15・C深夜)),0)*(1+_15・盲ろう)),0)*(1+_15・区４)),0)</f>
        <v>832</v>
      </c>
      <c r="AF17" s="48"/>
    </row>
    <row r="18" spans="1:32" ht="16.5" customHeight="1" x14ac:dyDescent="0.15">
      <c r="A18" s="41">
        <v>15</v>
      </c>
      <c r="B18" s="41" t="s">
        <v>3686</v>
      </c>
      <c r="C18" s="74" t="s">
        <v>29174</v>
      </c>
      <c r="D18" s="72"/>
      <c r="F18" s="57"/>
      <c r="G18" s="72"/>
      <c r="I18" s="57"/>
      <c r="J18" s="122"/>
      <c r="K18" s="37"/>
      <c r="L18" s="79"/>
      <c r="M18" s="35"/>
      <c r="P18" s="299" t="s">
        <v>17556</v>
      </c>
      <c r="Q18" s="45" t="s">
        <v>398</v>
      </c>
      <c r="R18" s="46">
        <v>1</v>
      </c>
      <c r="S18" s="512"/>
      <c r="T18" s="57"/>
      <c r="U18" s="512"/>
      <c r="V18" s="57"/>
      <c r="W18" s="122" t="s">
        <v>17564</v>
      </c>
      <c r="X18" s="37" t="s">
        <v>398</v>
      </c>
      <c r="Y18" s="38">
        <v>0.25</v>
      </c>
      <c r="Z18" s="79" t="s">
        <v>3575</v>
      </c>
      <c r="AA18" s="122"/>
      <c r="AB18" s="37"/>
      <c r="AC18" s="38"/>
      <c r="AD18" s="79"/>
      <c r="AE18" s="208">
        <f>ROUND((ROUND((ROUND((ROUND((_15_同援日０．５*_15・通訳),0)*_15・２人),0)*(1+_15・盲ろう)),0)*(1+_15・区４)),0)+ROUND((ROUND((ROUND((ROUND((ROUND((_15_同援日０．５＿０．５*_15・通訳),0)*_15・２人),0)*(1+_15・B夜間)),0)*(1+_15・盲ろう)),0)*(1+_15・区４)),0)+ROUND((ROUND((ROUND((ROUND((ROUND((_15_同援日０．５＿０．５＿０．５*_15・通訳),0)*_15・２人),0)*(1+_15・C深夜)),0)*(1+_15・盲ろう)),0)*(1+_15・区４)),0)</f>
        <v>832</v>
      </c>
      <c r="AF18" s="48"/>
    </row>
    <row r="19" spans="1:32" ht="16.5" customHeight="1" x14ac:dyDescent="0.15">
      <c r="A19" s="41">
        <v>15</v>
      </c>
      <c r="B19" s="41" t="s">
        <v>29175</v>
      </c>
      <c r="C19" s="74" t="s">
        <v>29176</v>
      </c>
      <c r="D19" s="72"/>
      <c r="F19" s="57"/>
      <c r="G19" s="72"/>
      <c r="I19" s="57"/>
      <c r="J19" s="114" t="s">
        <v>22723</v>
      </c>
      <c r="K19" s="49"/>
      <c r="L19" s="115"/>
      <c r="M19" s="35"/>
      <c r="P19" s="299"/>
      <c r="Q19" s="45"/>
      <c r="R19" s="46"/>
      <c r="S19" s="512"/>
      <c r="T19" s="57"/>
      <c r="U19" s="512"/>
      <c r="V19" s="57"/>
      <c r="W19" s="114"/>
      <c r="X19" s="49"/>
      <c r="Y19" s="50"/>
      <c r="Z19" s="115"/>
      <c r="AA19" s="114"/>
      <c r="AB19" s="49"/>
      <c r="AC19" s="50"/>
      <c r="AD19" s="115"/>
      <c r="AE19" s="208">
        <f>ROUND((_15_同援日０．５*_15・通訳),0)+ROUND((ROUND((_15_同援日０．５＿０．５*_15・通訳),0)*(1+_15・B夜間)),0)+ROUND((ROUND((_15_同援日０．５＿０．５＿１．０*_15・通訳),0)*(1+_15・C深夜)),0)</f>
        <v>562</v>
      </c>
      <c r="AF19" s="48"/>
    </row>
    <row r="20" spans="1:32" ht="16.5" customHeight="1" x14ac:dyDescent="0.15">
      <c r="A20" s="41">
        <v>15</v>
      </c>
      <c r="B20" s="41" t="s">
        <v>29177</v>
      </c>
      <c r="C20" s="74" t="s">
        <v>29178</v>
      </c>
      <c r="D20" s="72"/>
      <c r="F20" s="57"/>
      <c r="G20" s="72"/>
      <c r="I20" s="57"/>
      <c r="J20" s="72" t="s">
        <v>17589</v>
      </c>
      <c r="L20" s="57"/>
      <c r="M20" s="35"/>
      <c r="P20" s="299" t="s">
        <v>17556</v>
      </c>
      <c r="Q20" s="45" t="s">
        <v>398</v>
      </c>
      <c r="R20" s="46">
        <v>1</v>
      </c>
      <c r="S20" s="512"/>
      <c r="T20" s="57"/>
      <c r="U20" s="512"/>
      <c r="V20" s="57"/>
      <c r="W20" s="122"/>
      <c r="X20" s="37"/>
      <c r="Y20" s="38"/>
      <c r="Z20" s="79"/>
      <c r="AA20" s="72"/>
      <c r="AD20" s="57"/>
      <c r="AE20" s="208">
        <f>ROUND((ROUND((_15_同援日０．５*_15・通訳),0)*_15・２人),0)+ROUND((ROUND((ROUND((_15_同援日０．５＿０．５*_15・通訳),0)*_15・２人),0)*(1+_15・B夜間)),0)+ROUND((ROUND((ROUND((_15_同援日０．５＿０．５＿１．０*_15・通訳),0)*_15・２人),0)*(1+_15・C深夜)),0)</f>
        <v>562</v>
      </c>
      <c r="AF20" s="48"/>
    </row>
    <row r="21" spans="1:32" ht="16.5" customHeight="1" x14ac:dyDescent="0.15">
      <c r="A21" s="41">
        <v>15</v>
      </c>
      <c r="B21" s="41" t="s">
        <v>29179</v>
      </c>
      <c r="C21" s="74" t="s">
        <v>29180</v>
      </c>
      <c r="D21" s="72"/>
      <c r="F21" s="57"/>
      <c r="G21" s="72"/>
      <c r="I21" s="57"/>
      <c r="J21" s="72" t="s">
        <v>17591</v>
      </c>
      <c r="L21" s="57"/>
      <c r="M21" s="35"/>
      <c r="P21" s="299"/>
      <c r="Q21" s="45"/>
      <c r="R21" s="46"/>
      <c r="S21" s="512"/>
      <c r="T21" s="57"/>
      <c r="U21" s="512"/>
      <c r="V21" s="57"/>
      <c r="W21" s="114" t="s">
        <v>17562</v>
      </c>
      <c r="X21" s="49"/>
      <c r="Y21" s="50"/>
      <c r="Z21" s="115"/>
      <c r="AA21" s="72"/>
      <c r="AD21" s="57"/>
      <c r="AE21" s="208">
        <f>ROUND((ROUND((_15_同援日０．５*_15・通訳),0)*(1+_15・盲ろう)),0)+ROUND((ROUND((ROUND((_15_同援日０．５＿０．５*_15・通訳),0)*(1+_15・B夜間)),0)*(1+_15・盲ろう)),0)+ROUND((ROUND((ROUND((_15_同援日０．５＿０．５＿１．０*_15・通訳),0)*(1+_15・C深夜)),0)*(1+_15・盲ろう)),0)</f>
        <v>703</v>
      </c>
      <c r="AF21" s="48"/>
    </row>
    <row r="22" spans="1:32" ht="16.5" customHeight="1" x14ac:dyDescent="0.15">
      <c r="A22" s="41">
        <v>15</v>
      </c>
      <c r="B22" s="41" t="s">
        <v>29181</v>
      </c>
      <c r="C22" s="74" t="s">
        <v>29182</v>
      </c>
      <c r="D22" s="72"/>
      <c r="F22" s="57"/>
      <c r="G22" s="72"/>
      <c r="I22" s="57"/>
      <c r="J22" s="72"/>
      <c r="K22" s="168">
        <f>_15_同援日０．５＿０．５＿１．０</f>
        <v>198</v>
      </c>
      <c r="L22" s="57" t="s">
        <v>392</v>
      </c>
      <c r="M22" s="35"/>
      <c r="P22" s="299" t="s">
        <v>17556</v>
      </c>
      <c r="Q22" s="45" t="s">
        <v>398</v>
      </c>
      <c r="R22" s="46">
        <v>1</v>
      </c>
      <c r="S22" s="512"/>
      <c r="T22" s="57"/>
      <c r="U22" s="512"/>
      <c r="V22" s="57"/>
      <c r="W22" s="122" t="s">
        <v>17564</v>
      </c>
      <c r="X22" s="37" t="s">
        <v>398</v>
      </c>
      <c r="Y22" s="38">
        <v>0.25</v>
      </c>
      <c r="Z22" s="79" t="s">
        <v>3575</v>
      </c>
      <c r="AA22" s="122"/>
      <c r="AB22" s="37"/>
      <c r="AC22" s="38"/>
      <c r="AD22" s="79"/>
      <c r="AE22" s="208">
        <f>ROUND((ROUND((ROUND((_15_同援日０．５*_15・通訳),0)*_15・２人),0)*(1+_15・盲ろう)),0)+ROUND((ROUND((ROUND((ROUND((_15_同援日０．５＿０．５*_15・通訳),0)*_15・２人),0)*(1+_15・B夜間)),0)*(1+_15・盲ろう)),0)+ROUND((ROUND((ROUND((ROUND((_15_同援日０．５＿０．５＿１．０*_15・通訳),0)*_15・２人),0)*(1+_15・C深夜)),0)*(1+_15・盲ろう)),0)</f>
        <v>703</v>
      </c>
      <c r="AF22" s="48"/>
    </row>
    <row r="23" spans="1:32" ht="16.5" customHeight="1" x14ac:dyDescent="0.15">
      <c r="A23" s="41">
        <v>15</v>
      </c>
      <c r="B23" s="41" t="s">
        <v>29183</v>
      </c>
      <c r="C23" s="74" t="s">
        <v>29184</v>
      </c>
      <c r="D23" s="72"/>
      <c r="F23" s="57"/>
      <c r="G23" s="72"/>
      <c r="I23" s="57"/>
      <c r="J23" s="72"/>
      <c r="L23" s="57"/>
      <c r="M23" s="35"/>
      <c r="P23" s="299"/>
      <c r="Q23" s="45"/>
      <c r="R23" s="46"/>
      <c r="S23" s="512"/>
      <c r="T23" s="57"/>
      <c r="U23" s="512"/>
      <c r="V23" s="57"/>
      <c r="W23" s="114"/>
      <c r="X23" s="49"/>
      <c r="Y23" s="50"/>
      <c r="Z23" s="115"/>
      <c r="AA23" s="114" t="s">
        <v>17570</v>
      </c>
      <c r="AB23" s="49"/>
      <c r="AC23" s="50"/>
      <c r="AD23" s="115"/>
      <c r="AE23" s="208">
        <f>ROUND((ROUND((_15_同援日０．５*_15・通訳),0)*(1+_15・区３)),0)+ROUND((ROUND((ROUND((_15_同援日０．５＿０．５*_15・通訳),0)*(1+_15・B夜間)),0)*(1+_15・区３)),0)+ROUND((ROUND((ROUND((_15_同援日０．５＿０．５＿１．０*_15・通訳),0)*(1+_15・C深夜)),0)*(1+_15・区３)),0)</f>
        <v>674</v>
      </c>
      <c r="AF23" s="48"/>
    </row>
    <row r="24" spans="1:32" ht="16.5" customHeight="1" x14ac:dyDescent="0.15">
      <c r="A24" s="41">
        <v>15</v>
      </c>
      <c r="B24" s="41" t="s">
        <v>29185</v>
      </c>
      <c r="C24" s="74" t="s">
        <v>29186</v>
      </c>
      <c r="D24" s="72"/>
      <c r="F24" s="57"/>
      <c r="G24" s="72"/>
      <c r="I24" s="57"/>
      <c r="J24" s="72"/>
      <c r="L24" s="57"/>
      <c r="M24" s="35"/>
      <c r="P24" s="299" t="s">
        <v>17556</v>
      </c>
      <c r="Q24" s="45" t="s">
        <v>398</v>
      </c>
      <c r="R24" s="46">
        <v>1</v>
      </c>
      <c r="S24" s="512"/>
      <c r="T24" s="57"/>
      <c r="U24" s="512"/>
      <c r="V24" s="57"/>
      <c r="W24" s="122"/>
      <c r="X24" s="37"/>
      <c r="Y24" s="38"/>
      <c r="Z24" s="79"/>
      <c r="AA24" s="72" t="s">
        <v>17572</v>
      </c>
      <c r="AD24" s="57"/>
      <c r="AE24" s="208">
        <f>ROUND((ROUND((ROUND((_15_同援日０．５*_15・通訳),0)*_15・２人),0)*(1+_15・区３)),0)+ROUND((ROUND((ROUND((ROUND((_15_同援日０．５＿０．５*_15・通訳),0)*_15・２人),0)*(1+_15・B夜間)),0)*(1+_15・区３)),0)+ROUND((ROUND((ROUND((ROUND((_15_同援日０．５＿０．５＿１．０*_15・通訳),0)*_15・２人),0)*(1+_15・C深夜)),0)*(1+_15・区３)),0)</f>
        <v>674</v>
      </c>
      <c r="AF24" s="48"/>
    </row>
    <row r="25" spans="1:32" ht="16.5" customHeight="1" x14ac:dyDescent="0.15">
      <c r="A25" s="41">
        <v>15</v>
      </c>
      <c r="B25" s="41" t="s">
        <v>29187</v>
      </c>
      <c r="C25" s="74" t="s">
        <v>29188</v>
      </c>
      <c r="D25" s="72"/>
      <c r="F25" s="57"/>
      <c r="G25" s="72"/>
      <c r="I25" s="57"/>
      <c r="J25" s="72"/>
      <c r="L25" s="57"/>
      <c r="M25" s="35"/>
      <c r="P25" s="299"/>
      <c r="Q25" s="45"/>
      <c r="R25" s="46"/>
      <c r="S25" s="512"/>
      <c r="T25" s="57"/>
      <c r="U25" s="512"/>
      <c r="V25" s="57"/>
      <c r="W25" s="114" t="s">
        <v>17562</v>
      </c>
      <c r="X25" s="49"/>
      <c r="Y25" s="50"/>
      <c r="Z25" s="115"/>
      <c r="AA25" s="72"/>
      <c r="AB25" s="12" t="s">
        <v>398</v>
      </c>
      <c r="AC25" s="13">
        <v>0.2</v>
      </c>
      <c r="AD25" s="57" t="s">
        <v>3575</v>
      </c>
      <c r="AE25" s="208">
        <f>ROUND((ROUND((ROUND((_15_同援日０．５*_15・通訳),0)*(1+_15・盲ろう)),0)*(1+_15・区３)),0)+ROUND((ROUND((ROUND((ROUND((_15_同援日０．５＿０．５*_15・通訳),0)*(1+_15・B夜間)),0)*(1+_15・盲ろう)),0)*(1+_15・区３)),0)+ROUND((ROUND((ROUND((ROUND((_15_同援日０．５＿０．５＿１．０*_15・通訳),0)*(1+_15・C深夜)),0)*(1+_15・盲ろう)),0)*(1+_15・区３)),0)</f>
        <v>844</v>
      </c>
      <c r="AF25" s="48"/>
    </row>
    <row r="26" spans="1:32" ht="16.5" customHeight="1" x14ac:dyDescent="0.15">
      <c r="A26" s="41">
        <v>15</v>
      </c>
      <c r="B26" s="41" t="s">
        <v>29189</v>
      </c>
      <c r="C26" s="74" t="s">
        <v>29190</v>
      </c>
      <c r="D26" s="72"/>
      <c r="F26" s="57"/>
      <c r="G26" s="72"/>
      <c r="I26" s="57"/>
      <c r="J26" s="72"/>
      <c r="L26" s="57"/>
      <c r="M26" s="35"/>
      <c r="P26" s="299" t="s">
        <v>17556</v>
      </c>
      <c r="Q26" s="45" t="s">
        <v>398</v>
      </c>
      <c r="R26" s="46">
        <v>1</v>
      </c>
      <c r="S26" s="512"/>
      <c r="T26" s="57"/>
      <c r="U26" s="512"/>
      <c r="V26" s="57"/>
      <c r="W26" s="122" t="s">
        <v>17564</v>
      </c>
      <c r="X26" s="37" t="s">
        <v>398</v>
      </c>
      <c r="Y26" s="38">
        <v>0.25</v>
      </c>
      <c r="Z26" s="79" t="s">
        <v>3575</v>
      </c>
      <c r="AA26" s="122"/>
      <c r="AB26" s="37"/>
      <c r="AC26" s="38"/>
      <c r="AD26" s="79"/>
      <c r="AE26" s="208">
        <f>ROUND((ROUND((ROUND((ROUND((_15_同援日０．５*_15・通訳),0)*_15・２人),0)*(1+_15・盲ろう)),0)*(1+_15・区３)),0)+ROUND((ROUND((ROUND((ROUND((ROUND((_15_同援日０．５＿０．５*_15・通訳),0)*_15・２人),0)*(1+_15・B夜間)),0)*(1+_15・盲ろう)),0)*(1+_15・区３)),0)+ROUND((ROUND((ROUND((ROUND((ROUND((_15_同援日０．５＿０．５＿１．０*_15・通訳),0)*_15・２人),0)*(1+_15・C深夜)),0)*(1+_15・盲ろう)),0)*(1+_15・区３)),0)</f>
        <v>844</v>
      </c>
      <c r="AF26" s="48"/>
    </row>
    <row r="27" spans="1:32" ht="16.5" customHeight="1" x14ac:dyDescent="0.15">
      <c r="A27" s="41">
        <v>15</v>
      </c>
      <c r="B27" s="41" t="s">
        <v>3691</v>
      </c>
      <c r="C27" s="74" t="s">
        <v>29191</v>
      </c>
      <c r="D27" s="72"/>
      <c r="F27" s="57"/>
      <c r="G27" s="72"/>
      <c r="I27" s="57"/>
      <c r="J27" s="72"/>
      <c r="L27" s="57"/>
      <c r="M27" s="35"/>
      <c r="P27" s="299"/>
      <c r="Q27" s="45"/>
      <c r="R27" s="46"/>
      <c r="S27" s="512"/>
      <c r="T27" s="57"/>
      <c r="U27" s="512"/>
      <c r="V27" s="57"/>
      <c r="W27" s="114"/>
      <c r="X27" s="49"/>
      <c r="Y27" s="50"/>
      <c r="Z27" s="115"/>
      <c r="AA27" s="114" t="s">
        <v>17580</v>
      </c>
      <c r="AB27" s="49"/>
      <c r="AC27" s="50"/>
      <c r="AD27" s="115"/>
      <c r="AE27" s="208">
        <f>ROUND((ROUND((_15_同援日０．５*_15・通訳),0)*(1+_15・区４)),0)+ROUND((ROUND((ROUND((_15_同援日０．５＿０．５*_15・通訳),0)*(1+_15・B夜間)),0)*(1+_15・区４)),0)+ROUND((ROUND((ROUND((_15_同援日０．５＿０．５＿１．０*_15・通訳),0)*(1+_15・C深夜)),0)*(1+_15・区４)),0)</f>
        <v>787</v>
      </c>
      <c r="AF27" s="48"/>
    </row>
    <row r="28" spans="1:32" ht="16.5" customHeight="1" x14ac:dyDescent="0.15">
      <c r="A28" s="41">
        <v>15</v>
      </c>
      <c r="B28" s="41" t="s">
        <v>3693</v>
      </c>
      <c r="C28" s="74" t="s">
        <v>29192</v>
      </c>
      <c r="D28" s="72"/>
      <c r="F28" s="57"/>
      <c r="G28" s="72"/>
      <c r="I28" s="57"/>
      <c r="J28" s="72"/>
      <c r="L28" s="57"/>
      <c r="M28" s="35"/>
      <c r="P28" s="299" t="s">
        <v>17556</v>
      </c>
      <c r="Q28" s="45" t="s">
        <v>398</v>
      </c>
      <c r="R28" s="46">
        <v>1</v>
      </c>
      <c r="S28" s="512"/>
      <c r="T28" s="57"/>
      <c r="U28" s="512"/>
      <c r="V28" s="57"/>
      <c r="W28" s="122"/>
      <c r="X28" s="37"/>
      <c r="Y28" s="38"/>
      <c r="Z28" s="79"/>
      <c r="AA28" s="72" t="s">
        <v>17572</v>
      </c>
      <c r="AD28" s="57"/>
      <c r="AE28" s="208">
        <f>ROUND((ROUND((ROUND((_15_同援日０．５*_15・通訳),0)*_15・２人),0)*(1+_15・区４)),0)+ROUND((ROUND((ROUND((ROUND((_15_同援日０．５＿０．５*_15・通訳),0)*_15・２人),0)*(1+_15・B夜間)),0)*(1+_15・区４)),0)+ROUND((ROUND((ROUND((ROUND((_15_同援日０．５＿０．５＿１．０*_15・通訳),0)*_15・２人),0)*(1+_15・C深夜)),0)*(1+_15・区４)),0)</f>
        <v>787</v>
      </c>
      <c r="AF28" s="48"/>
    </row>
    <row r="29" spans="1:32" ht="16.5" customHeight="1" x14ac:dyDescent="0.15">
      <c r="A29" s="41">
        <v>15</v>
      </c>
      <c r="B29" s="41" t="s">
        <v>29193</v>
      </c>
      <c r="C29" s="74" t="s">
        <v>29194</v>
      </c>
      <c r="D29" s="72"/>
      <c r="F29" s="57"/>
      <c r="G29" s="72"/>
      <c r="I29" s="57"/>
      <c r="J29" s="72"/>
      <c r="L29" s="57"/>
      <c r="M29" s="35"/>
      <c r="P29" s="299"/>
      <c r="Q29" s="45"/>
      <c r="R29" s="46"/>
      <c r="S29" s="512"/>
      <c r="T29" s="57"/>
      <c r="U29" s="512"/>
      <c r="V29" s="57"/>
      <c r="W29" s="114" t="s">
        <v>17562</v>
      </c>
      <c r="X29" s="49"/>
      <c r="Y29" s="50"/>
      <c r="Z29" s="115"/>
      <c r="AA29" s="72"/>
      <c r="AB29" s="12" t="s">
        <v>398</v>
      </c>
      <c r="AC29" s="13">
        <v>0.4</v>
      </c>
      <c r="AD29" s="57" t="s">
        <v>3575</v>
      </c>
      <c r="AE29" s="208">
        <f>ROUND((ROUND((ROUND((_15_同援日０．５*_15・通訳),0)*(1+_15・盲ろう)),0)*(1+_15・区４)),0)+ROUND((ROUND((ROUND((ROUND((_15_同援日０．５＿０．５*_15・通訳),0)*(1+_15・B夜間)),0)*(1+_15・盲ろう)),0)*(1+_15・区４)),0)+ROUND((ROUND((ROUND((ROUND((_15_同援日０．５＿０．５＿１．０*_15・通訳),0)*(1+_15・C深夜)),0)*(1+_15・盲ろう)),0)*(1+_15・区４)),0)</f>
        <v>985</v>
      </c>
      <c r="AF29" s="48"/>
    </row>
    <row r="30" spans="1:32" ht="16.5" customHeight="1" x14ac:dyDescent="0.15">
      <c r="A30" s="41">
        <v>15</v>
      </c>
      <c r="B30" s="41" t="s">
        <v>29195</v>
      </c>
      <c r="C30" s="74" t="s">
        <v>29196</v>
      </c>
      <c r="D30" s="72"/>
      <c r="F30" s="57"/>
      <c r="G30" s="72"/>
      <c r="I30" s="57"/>
      <c r="J30" s="122"/>
      <c r="K30" s="37"/>
      <c r="L30" s="79"/>
      <c r="M30" s="35"/>
      <c r="P30" s="299" t="s">
        <v>17556</v>
      </c>
      <c r="Q30" s="45" t="s">
        <v>398</v>
      </c>
      <c r="R30" s="46">
        <v>1</v>
      </c>
      <c r="S30" s="512"/>
      <c r="T30" s="57"/>
      <c r="U30" s="512"/>
      <c r="V30" s="57"/>
      <c r="W30" s="122" t="s">
        <v>17564</v>
      </c>
      <c r="X30" s="37" t="s">
        <v>398</v>
      </c>
      <c r="Y30" s="38">
        <v>0.25</v>
      </c>
      <c r="Z30" s="79" t="s">
        <v>3575</v>
      </c>
      <c r="AA30" s="122"/>
      <c r="AB30" s="37"/>
      <c r="AC30" s="38"/>
      <c r="AD30" s="79"/>
      <c r="AE30" s="208">
        <f>ROUND((ROUND((ROUND((ROUND((_15_同援日０．５*_15・通訳),0)*_15・２人),0)*(1+_15・盲ろう)),0)*(1+_15・区４)),0)+ROUND((ROUND((ROUND((ROUND((ROUND((_15_同援日０．５＿０．５*_15・通訳),0)*_15・２人),0)*(1+_15・B夜間)),0)*(1+_15・盲ろう)),0)*(1+_15・区４)),0)+ROUND((ROUND((ROUND((ROUND((ROUND((_15_同援日０．５＿０．５＿１．０*_15・通訳),0)*_15・２人),0)*(1+_15・C深夜)),0)*(1+_15・盲ろう)),0)*(1+_15・区４)),0)</f>
        <v>985</v>
      </c>
      <c r="AF30" s="48"/>
    </row>
    <row r="31" spans="1:32" ht="16.5" customHeight="1" x14ac:dyDescent="0.15">
      <c r="A31" s="41">
        <v>15</v>
      </c>
      <c r="B31" s="41" t="s">
        <v>29197</v>
      </c>
      <c r="C31" s="74" t="s">
        <v>29198</v>
      </c>
      <c r="D31" s="72"/>
      <c r="F31" s="57"/>
      <c r="G31" s="72"/>
      <c r="I31" s="57"/>
      <c r="J31" s="114" t="s">
        <v>22767</v>
      </c>
      <c r="K31" s="49"/>
      <c r="L31" s="115"/>
      <c r="M31" s="35"/>
      <c r="P31" s="299"/>
      <c r="Q31" s="45"/>
      <c r="R31" s="46"/>
      <c r="S31" s="512"/>
      <c r="T31" s="57"/>
      <c r="U31" s="512"/>
      <c r="V31" s="57"/>
      <c r="W31" s="114"/>
      <c r="X31" s="49"/>
      <c r="Y31" s="50"/>
      <c r="Z31" s="115"/>
      <c r="AA31" s="114"/>
      <c r="AB31" s="49"/>
      <c r="AC31" s="50"/>
      <c r="AD31" s="115"/>
      <c r="AE31" s="208">
        <f>ROUND((_15_同援日０．５*_15・通訳),0)+ROUND((ROUND((_15_同援日０．５＿０．５*_15・通訳),0)*(1+_15・B夜間)),0)+ROUND((ROUND((_15_同援日０．５＿０．５＿１．５*_15・通訳),0)*(1+_15・C深夜)),0)</f>
        <v>651</v>
      </c>
      <c r="AF31" s="48"/>
    </row>
    <row r="32" spans="1:32" ht="16.5" customHeight="1" x14ac:dyDescent="0.15">
      <c r="A32" s="41">
        <v>15</v>
      </c>
      <c r="B32" s="41" t="s">
        <v>29199</v>
      </c>
      <c r="C32" s="74" t="s">
        <v>29200</v>
      </c>
      <c r="D32" s="72"/>
      <c r="F32" s="57"/>
      <c r="G32" s="72"/>
      <c r="I32" s="57"/>
      <c r="J32" s="72" t="s">
        <v>17616</v>
      </c>
      <c r="L32" s="57"/>
      <c r="M32" s="35"/>
      <c r="P32" s="299" t="s">
        <v>17556</v>
      </c>
      <c r="Q32" s="45" t="s">
        <v>398</v>
      </c>
      <c r="R32" s="46">
        <v>1</v>
      </c>
      <c r="S32" s="512"/>
      <c r="T32" s="57"/>
      <c r="U32" s="512"/>
      <c r="V32" s="57"/>
      <c r="W32" s="122"/>
      <c r="X32" s="37"/>
      <c r="Y32" s="38"/>
      <c r="Z32" s="79"/>
      <c r="AA32" s="72"/>
      <c r="AD32" s="57"/>
      <c r="AE32" s="208">
        <f>ROUND((ROUND((_15_同援日０．５*_15・通訳),0)*_15・２人),0)+ROUND((ROUND((ROUND((_15_同援日０．５＿０．５*_15・通訳),0)*_15・２人),0)*(1+_15・B夜間)),0)+ROUND((ROUND((ROUND((_15_同援日０．５＿０．５＿１．５*_15・通訳),0)*_15・２人),0)*(1+_15・C深夜)),0)</f>
        <v>651</v>
      </c>
      <c r="AF32" s="48"/>
    </row>
    <row r="33" spans="1:32" ht="16.5" customHeight="1" x14ac:dyDescent="0.15">
      <c r="A33" s="41">
        <v>15</v>
      </c>
      <c r="B33" s="41" t="s">
        <v>29201</v>
      </c>
      <c r="C33" s="74" t="s">
        <v>29202</v>
      </c>
      <c r="D33" s="72"/>
      <c r="F33" s="57"/>
      <c r="G33" s="72"/>
      <c r="I33" s="57"/>
      <c r="J33" s="72" t="s">
        <v>18183</v>
      </c>
      <c r="L33" s="57"/>
      <c r="M33" s="35"/>
      <c r="P33" s="299"/>
      <c r="Q33" s="45"/>
      <c r="R33" s="46"/>
      <c r="S33" s="512"/>
      <c r="T33" s="57"/>
      <c r="U33" s="512"/>
      <c r="V33" s="57"/>
      <c r="W33" s="114" t="s">
        <v>17562</v>
      </c>
      <c r="X33" s="49"/>
      <c r="Y33" s="50"/>
      <c r="Z33" s="115"/>
      <c r="AA33" s="72"/>
      <c r="AD33" s="57"/>
      <c r="AE33" s="208">
        <f>ROUND((ROUND((_15_同援日０．５*_15・通訳),0)*(1+_15・盲ろう)),0)+ROUND((ROUND((ROUND((_15_同援日０．５＿０．５*_15・通訳),0)*(1+_15・B夜間)),0)*(1+_15・盲ろう)),0)+ROUND((ROUND((ROUND((_15_同援日０．５＿０．５＿１．５*_15・通訳),0)*(1+_15・C深夜)),0)*(1+_15・盲ろう)),0)</f>
        <v>814</v>
      </c>
      <c r="AF33" s="48"/>
    </row>
    <row r="34" spans="1:32" ht="16.5" customHeight="1" x14ac:dyDescent="0.15">
      <c r="A34" s="41">
        <v>15</v>
      </c>
      <c r="B34" s="41" t="s">
        <v>29203</v>
      </c>
      <c r="C34" s="74" t="s">
        <v>29204</v>
      </c>
      <c r="D34" s="72"/>
      <c r="F34" s="57"/>
      <c r="G34" s="72"/>
      <c r="I34" s="57"/>
      <c r="J34" s="72"/>
      <c r="K34" s="168">
        <f>_15_同援日０．５＿０．５＿１．５</f>
        <v>263</v>
      </c>
      <c r="L34" s="57" t="s">
        <v>392</v>
      </c>
      <c r="M34" s="35"/>
      <c r="P34" s="299" t="s">
        <v>17556</v>
      </c>
      <c r="Q34" s="45" t="s">
        <v>398</v>
      </c>
      <c r="R34" s="46">
        <v>1</v>
      </c>
      <c r="S34" s="512"/>
      <c r="T34" s="57"/>
      <c r="U34" s="512"/>
      <c r="V34" s="57"/>
      <c r="W34" s="122" t="s">
        <v>17564</v>
      </c>
      <c r="X34" s="37" t="s">
        <v>398</v>
      </c>
      <c r="Y34" s="38">
        <v>0.25</v>
      </c>
      <c r="Z34" s="79" t="s">
        <v>3575</v>
      </c>
      <c r="AA34" s="122"/>
      <c r="AB34" s="37"/>
      <c r="AC34" s="38"/>
      <c r="AD34" s="79"/>
      <c r="AE34" s="208">
        <f>ROUND((ROUND((ROUND((_15_同援日０．５*_15・通訳),0)*_15・２人),0)*(1+_15・盲ろう)),0)+ROUND((ROUND((ROUND((ROUND((_15_同援日０．５＿０．５*_15・通訳),0)*_15・２人),0)*(1+_15・B夜間)),0)*(1+_15・盲ろう)),0)+ROUND((ROUND((ROUND((ROUND((_15_同援日０．５＿０．５＿１．５*_15・通訳),0)*_15・２人),0)*(1+_15・C深夜)),0)*(1+_15・盲ろう)),0)</f>
        <v>814</v>
      </c>
      <c r="AF34" s="48"/>
    </row>
    <row r="35" spans="1:32" ht="16.5" customHeight="1" x14ac:dyDescent="0.15">
      <c r="A35" s="41">
        <v>15</v>
      </c>
      <c r="B35" s="41" t="s">
        <v>29205</v>
      </c>
      <c r="C35" s="74" t="s">
        <v>29206</v>
      </c>
      <c r="D35" s="72"/>
      <c r="F35" s="57"/>
      <c r="G35" s="72"/>
      <c r="I35" s="57"/>
      <c r="J35" s="72"/>
      <c r="L35" s="57"/>
      <c r="M35" s="35"/>
      <c r="P35" s="299"/>
      <c r="Q35" s="45"/>
      <c r="R35" s="46"/>
      <c r="S35" s="512"/>
      <c r="T35" s="57"/>
      <c r="U35" s="512"/>
      <c r="V35" s="57"/>
      <c r="W35" s="114"/>
      <c r="X35" s="49"/>
      <c r="Y35" s="50"/>
      <c r="Z35" s="115"/>
      <c r="AA35" s="114" t="s">
        <v>17570</v>
      </c>
      <c r="AB35" s="49"/>
      <c r="AC35" s="50"/>
      <c r="AD35" s="115"/>
      <c r="AE35" s="208">
        <f>ROUND((ROUND((_15_同援日０．５*_15・通訳),0)*(1+_15・区３)),0)+ROUND((ROUND((ROUND((_15_同援日０．５＿０．５*_15・通訳),0)*(1+_15・B夜間)),0)*(1+_15・区３)),0)+ROUND((ROUND((ROUND((_15_同援日０．５＿０．５＿１．５*_15・通訳),0)*(1+_15・C深夜)),0)*(1+_15・区３)),0)</f>
        <v>781</v>
      </c>
      <c r="AF35" s="48"/>
    </row>
    <row r="36" spans="1:32" ht="16.5" customHeight="1" x14ac:dyDescent="0.15">
      <c r="A36" s="41">
        <v>15</v>
      </c>
      <c r="B36" s="41" t="s">
        <v>29207</v>
      </c>
      <c r="C36" s="74" t="s">
        <v>29208</v>
      </c>
      <c r="D36" s="72"/>
      <c r="F36" s="57"/>
      <c r="G36" s="72"/>
      <c r="I36" s="57"/>
      <c r="J36" s="72"/>
      <c r="L36" s="57"/>
      <c r="M36" s="35"/>
      <c r="P36" s="299" t="s">
        <v>17556</v>
      </c>
      <c r="Q36" s="45" t="s">
        <v>398</v>
      </c>
      <c r="R36" s="46">
        <v>1</v>
      </c>
      <c r="S36" s="512"/>
      <c r="T36" s="57"/>
      <c r="U36" s="512"/>
      <c r="V36" s="57"/>
      <c r="W36" s="122"/>
      <c r="X36" s="37"/>
      <c r="Y36" s="38"/>
      <c r="Z36" s="79"/>
      <c r="AA36" s="72" t="s">
        <v>17572</v>
      </c>
      <c r="AD36" s="57"/>
      <c r="AE36" s="208">
        <f>ROUND((ROUND((ROUND((_15_同援日０．５*_15・通訳),0)*_15・２人),0)*(1+_15・区３)),0)+ROUND((ROUND((ROUND((ROUND((_15_同援日０．５＿０．５*_15・通訳),0)*_15・２人),0)*(1+_15・B夜間)),0)*(1+_15・区３)),0)+ROUND((ROUND((ROUND((ROUND((_15_同援日０．５＿０．５＿１．５*_15・通訳),0)*_15・２人),0)*(1+_15・C深夜)),0)*(1+_15・区３)),0)</f>
        <v>781</v>
      </c>
      <c r="AF36" s="48"/>
    </row>
    <row r="37" spans="1:32" ht="16.5" customHeight="1" x14ac:dyDescent="0.15">
      <c r="A37" s="41">
        <v>15</v>
      </c>
      <c r="B37" s="41" t="s">
        <v>3697</v>
      </c>
      <c r="C37" s="74" t="s">
        <v>29209</v>
      </c>
      <c r="D37" s="72"/>
      <c r="F37" s="57"/>
      <c r="G37" s="72"/>
      <c r="I37" s="57"/>
      <c r="J37" s="72"/>
      <c r="L37" s="57"/>
      <c r="M37" s="35"/>
      <c r="P37" s="299"/>
      <c r="Q37" s="45"/>
      <c r="R37" s="46"/>
      <c r="S37" s="512"/>
      <c r="T37" s="57"/>
      <c r="U37" s="512"/>
      <c r="V37" s="57"/>
      <c r="W37" s="114" t="s">
        <v>17562</v>
      </c>
      <c r="X37" s="49"/>
      <c r="Y37" s="50"/>
      <c r="Z37" s="115"/>
      <c r="AA37" s="72"/>
      <c r="AB37" s="12" t="s">
        <v>398</v>
      </c>
      <c r="AC37" s="13">
        <v>0.2</v>
      </c>
      <c r="AD37" s="57" t="s">
        <v>3575</v>
      </c>
      <c r="AE37" s="208">
        <f>ROUND((ROUND((ROUND((_15_同援日０．５*_15・通訳),0)*(1+_15・盲ろう)),0)*(1+_15・区３)),0)+ROUND((ROUND((ROUND((ROUND((_15_同援日０．５＿０．５*_15・通訳),0)*(1+_15・B夜間)),0)*(1+_15・盲ろう)),0)*(1+_15・区３)),0)+ROUND((ROUND((ROUND((ROUND((_15_同援日０．５＿０．５＿１．５*_15・通訳),0)*(1+_15・C深夜)),0)*(1+_15・盲ろう)),0)*(1+_15・区３)),0)</f>
        <v>977</v>
      </c>
      <c r="AF37" s="48"/>
    </row>
    <row r="38" spans="1:32" ht="16.5" customHeight="1" x14ac:dyDescent="0.15">
      <c r="A38" s="41">
        <v>15</v>
      </c>
      <c r="B38" s="41" t="s">
        <v>3699</v>
      </c>
      <c r="C38" s="74" t="s">
        <v>29210</v>
      </c>
      <c r="D38" s="72"/>
      <c r="F38" s="57"/>
      <c r="G38" s="72"/>
      <c r="I38" s="57"/>
      <c r="J38" s="72"/>
      <c r="L38" s="57"/>
      <c r="M38" s="35"/>
      <c r="P38" s="299" t="s">
        <v>17556</v>
      </c>
      <c r="Q38" s="45" t="s">
        <v>398</v>
      </c>
      <c r="R38" s="46">
        <v>1</v>
      </c>
      <c r="S38" s="512"/>
      <c r="T38" s="57"/>
      <c r="U38" s="512"/>
      <c r="V38" s="57"/>
      <c r="W38" s="122" t="s">
        <v>17564</v>
      </c>
      <c r="X38" s="37" t="s">
        <v>398</v>
      </c>
      <c r="Y38" s="38">
        <v>0.25</v>
      </c>
      <c r="Z38" s="79" t="s">
        <v>3575</v>
      </c>
      <c r="AA38" s="122"/>
      <c r="AB38" s="37"/>
      <c r="AC38" s="38"/>
      <c r="AD38" s="79"/>
      <c r="AE38" s="208">
        <f>ROUND((ROUND((ROUND((ROUND((_15_同援日０．５*_15・通訳),0)*_15・２人),0)*(1+_15・盲ろう)),0)*(1+_15・区３)),0)+ROUND((ROUND((ROUND((ROUND((ROUND((_15_同援日０．５＿０．５*_15・通訳),0)*_15・２人),0)*(1+_15・B夜間)),0)*(1+_15・盲ろう)),0)*(1+_15・区３)),0)+ROUND((ROUND((ROUND((ROUND((ROUND((_15_同援日０．５＿０．５＿１．５*_15・通訳),0)*_15・２人),0)*(1+_15・C深夜)),0)*(1+_15・盲ろう)),0)*(1+_15・区３)),0)</f>
        <v>977</v>
      </c>
      <c r="AF38" s="48"/>
    </row>
    <row r="39" spans="1:32" ht="16.5" customHeight="1" x14ac:dyDescent="0.15">
      <c r="A39" s="41">
        <v>15</v>
      </c>
      <c r="B39" s="41" t="s">
        <v>29211</v>
      </c>
      <c r="C39" s="74" t="s">
        <v>29212</v>
      </c>
      <c r="D39" s="72"/>
      <c r="F39" s="57"/>
      <c r="G39" s="72"/>
      <c r="I39" s="57"/>
      <c r="J39" s="72"/>
      <c r="L39" s="57"/>
      <c r="M39" s="35"/>
      <c r="P39" s="299"/>
      <c r="Q39" s="45"/>
      <c r="R39" s="46"/>
      <c r="S39" s="512"/>
      <c r="T39" s="57"/>
      <c r="U39" s="512"/>
      <c r="V39" s="57"/>
      <c r="W39" s="114"/>
      <c r="X39" s="49"/>
      <c r="Y39" s="50"/>
      <c r="Z39" s="115"/>
      <c r="AA39" s="114" t="s">
        <v>17580</v>
      </c>
      <c r="AB39" s="49"/>
      <c r="AC39" s="50"/>
      <c r="AD39" s="115"/>
      <c r="AE39" s="208">
        <f>ROUND((ROUND((_15_同援日０．５*_15・通訳),0)*(1+_15・区４)),0)+ROUND((ROUND((ROUND((_15_同援日０．５＿０．５*_15・通訳),0)*(1+_15・B夜間)),0)*(1+_15・区４)),0)+ROUND((ROUND((ROUND((_15_同援日０．５＿０．５＿１．５*_15・通訳),0)*(1+_15・C深夜)),0)*(1+_15・区４)),0)</f>
        <v>911</v>
      </c>
      <c r="AF39" s="48"/>
    </row>
    <row r="40" spans="1:32" ht="16.5" customHeight="1" x14ac:dyDescent="0.15">
      <c r="A40" s="41">
        <v>15</v>
      </c>
      <c r="B40" s="41" t="s">
        <v>29213</v>
      </c>
      <c r="C40" s="74" t="s">
        <v>29214</v>
      </c>
      <c r="D40" s="72"/>
      <c r="F40" s="57"/>
      <c r="G40" s="72"/>
      <c r="I40" s="57"/>
      <c r="J40" s="72"/>
      <c r="L40" s="57"/>
      <c r="M40" s="35"/>
      <c r="P40" s="299" t="s">
        <v>17556</v>
      </c>
      <c r="Q40" s="45" t="s">
        <v>398</v>
      </c>
      <c r="R40" s="46">
        <v>1</v>
      </c>
      <c r="S40" s="512"/>
      <c r="T40" s="57"/>
      <c r="U40" s="512"/>
      <c r="V40" s="57"/>
      <c r="W40" s="122"/>
      <c r="X40" s="37"/>
      <c r="Y40" s="38"/>
      <c r="Z40" s="79"/>
      <c r="AA40" s="72" t="s">
        <v>17572</v>
      </c>
      <c r="AD40" s="57"/>
      <c r="AE40" s="208">
        <f>ROUND((ROUND((ROUND((_15_同援日０．５*_15・通訳),0)*_15・２人),0)*(1+_15・区４)),0)+ROUND((ROUND((ROUND((ROUND((_15_同援日０．５＿０．５*_15・通訳),0)*_15・２人),0)*(1+_15・B夜間)),0)*(1+_15・区４)),0)+ROUND((ROUND((ROUND((ROUND((_15_同援日０．５＿０．５＿１．５*_15・通訳),0)*_15・２人),0)*(1+_15・C深夜)),0)*(1+_15・区４)),0)</f>
        <v>911</v>
      </c>
      <c r="AF40" s="48"/>
    </row>
    <row r="41" spans="1:32" ht="16.5" customHeight="1" x14ac:dyDescent="0.15">
      <c r="A41" s="41">
        <v>15</v>
      </c>
      <c r="B41" s="41" t="s">
        <v>29215</v>
      </c>
      <c r="C41" s="74" t="s">
        <v>29216</v>
      </c>
      <c r="D41" s="72"/>
      <c r="F41" s="57"/>
      <c r="G41" s="72"/>
      <c r="I41" s="57"/>
      <c r="J41" s="72"/>
      <c r="L41" s="57"/>
      <c r="M41" s="35"/>
      <c r="P41" s="299"/>
      <c r="Q41" s="45"/>
      <c r="R41" s="46"/>
      <c r="S41" s="512"/>
      <c r="T41" s="57"/>
      <c r="U41" s="512"/>
      <c r="V41" s="57"/>
      <c r="W41" s="114" t="s">
        <v>17562</v>
      </c>
      <c r="X41" s="49"/>
      <c r="Y41" s="50"/>
      <c r="Z41" s="115"/>
      <c r="AA41" s="72"/>
      <c r="AB41" s="12" t="s">
        <v>398</v>
      </c>
      <c r="AC41" s="13">
        <v>0.4</v>
      </c>
      <c r="AD41" s="57" t="s">
        <v>3575</v>
      </c>
      <c r="AE41" s="208">
        <f>ROUND((ROUND((ROUND((_15_同援日０．５*_15・通訳),0)*(1+_15・盲ろう)),0)*(1+_15・区４)),0)+ROUND((ROUND((ROUND((ROUND((_15_同援日０．５＿０．５*_15・通訳),0)*(1+_15・B夜間)),0)*(1+_15・盲ろう)),0)*(1+_15・区４)),0)+ROUND((ROUND((ROUND((ROUND((_15_同援日０．５＿０．５＿１．５*_15・通訳),0)*(1+_15・C深夜)),0)*(1+_15・盲ろう)),0)*(1+_15・区４)),0)</f>
        <v>1140</v>
      </c>
      <c r="AF41" s="48"/>
    </row>
    <row r="42" spans="1:32" ht="16.5" customHeight="1" x14ac:dyDescent="0.15">
      <c r="A42" s="41">
        <v>15</v>
      </c>
      <c r="B42" s="41" t="s">
        <v>29217</v>
      </c>
      <c r="C42" s="74" t="s">
        <v>29218</v>
      </c>
      <c r="D42" s="72"/>
      <c r="F42" s="57"/>
      <c r="G42" s="72"/>
      <c r="I42" s="57"/>
      <c r="J42" s="122"/>
      <c r="K42" s="37"/>
      <c r="L42" s="79"/>
      <c r="M42" s="35"/>
      <c r="P42" s="299" t="s">
        <v>17556</v>
      </c>
      <c r="Q42" s="45" t="s">
        <v>398</v>
      </c>
      <c r="R42" s="46">
        <v>1</v>
      </c>
      <c r="S42" s="512"/>
      <c r="T42" s="57"/>
      <c r="U42" s="512"/>
      <c r="V42" s="57"/>
      <c r="W42" s="122" t="s">
        <v>17564</v>
      </c>
      <c r="X42" s="37" t="s">
        <v>398</v>
      </c>
      <c r="Y42" s="38">
        <v>0.25</v>
      </c>
      <c r="Z42" s="79" t="s">
        <v>3575</v>
      </c>
      <c r="AA42" s="122"/>
      <c r="AB42" s="37"/>
      <c r="AC42" s="38"/>
      <c r="AD42" s="79"/>
      <c r="AE42" s="208">
        <f>ROUND((ROUND((ROUND((ROUND((_15_同援日０．５*_15・通訳),0)*_15・２人),0)*(1+_15・盲ろう)),0)*(1+_15・区４)),0)+ROUND((ROUND((ROUND((ROUND((ROUND((_15_同援日０．５＿０．５*_15・通訳),0)*_15・２人),0)*(1+_15・B夜間)),0)*(1+_15・盲ろう)),0)*(1+_15・区４)),0)+ROUND((ROUND((ROUND((ROUND((ROUND((_15_同援日０．５＿０．５＿１．５*_15・通訳),0)*_15・２人),0)*(1+_15・C深夜)),0)*(1+_15・盲ろう)),0)*(1+_15・区４)),0)</f>
        <v>1140</v>
      </c>
      <c r="AF42" s="48"/>
    </row>
    <row r="43" spans="1:32" ht="16.5" customHeight="1" x14ac:dyDescent="0.15">
      <c r="A43" s="41">
        <v>15</v>
      </c>
      <c r="B43" s="41" t="s">
        <v>29219</v>
      </c>
      <c r="C43" s="74" t="s">
        <v>29220</v>
      </c>
      <c r="D43" s="72"/>
      <c r="F43" s="57"/>
      <c r="G43" s="72"/>
      <c r="I43" s="57"/>
      <c r="J43" s="114" t="s">
        <v>22812</v>
      </c>
      <c r="K43" s="49"/>
      <c r="L43" s="115"/>
      <c r="M43" s="35"/>
      <c r="P43" s="299"/>
      <c r="Q43" s="45"/>
      <c r="R43" s="46"/>
      <c r="S43" s="512"/>
      <c r="T43" s="57"/>
      <c r="U43" s="512"/>
      <c r="V43" s="57"/>
      <c r="W43" s="114"/>
      <c r="X43" s="49"/>
      <c r="Y43" s="50"/>
      <c r="Z43" s="115"/>
      <c r="AA43" s="114"/>
      <c r="AB43" s="49"/>
      <c r="AC43" s="50"/>
      <c r="AD43" s="115"/>
      <c r="AE43" s="208">
        <f>ROUND((_15_同援日０．５*_15・通訳),0)+ROUND((ROUND((_15_同援日０．５＿０．５*_15・通訳),0)*(1+_15・B夜間)),0)+ROUND((ROUND((_15_同援日０．５＿０．５＿２．０*_15・通訳),0)*(1+_15・C深夜)),0)</f>
        <v>738</v>
      </c>
      <c r="AF43" s="48"/>
    </row>
    <row r="44" spans="1:32" ht="16.5" customHeight="1" x14ac:dyDescent="0.15">
      <c r="A44" s="41">
        <v>15</v>
      </c>
      <c r="B44" s="41" t="s">
        <v>29221</v>
      </c>
      <c r="C44" s="74" t="s">
        <v>29222</v>
      </c>
      <c r="D44" s="72"/>
      <c r="F44" s="57"/>
      <c r="G44" s="72"/>
      <c r="I44" s="57"/>
      <c r="J44" s="72" t="s">
        <v>17643</v>
      </c>
      <c r="L44" s="57"/>
      <c r="M44" s="35"/>
      <c r="P44" s="299" t="s">
        <v>17556</v>
      </c>
      <c r="Q44" s="45" t="s">
        <v>398</v>
      </c>
      <c r="R44" s="46">
        <v>1</v>
      </c>
      <c r="S44" s="512"/>
      <c r="T44" s="57"/>
      <c r="U44" s="512"/>
      <c r="V44" s="57"/>
      <c r="W44" s="122"/>
      <c r="X44" s="37"/>
      <c r="Y44" s="38"/>
      <c r="Z44" s="79"/>
      <c r="AA44" s="72"/>
      <c r="AD44" s="57"/>
      <c r="AE44" s="208">
        <f>ROUND((ROUND((_15_同援日０．５*_15・通訳),0)*_15・２人),0)+ROUND((ROUND((ROUND((_15_同援日０．５＿０．５*_15・通訳),0)*_15・２人),0)*(1+_15・B夜間)),0)+ROUND((ROUND((ROUND((_15_同援日０．５＿０．５＿２．０*_15・通訳),0)*_15・２人),0)*(1+_15・C深夜)),0)</f>
        <v>738</v>
      </c>
      <c r="AF44" s="48"/>
    </row>
    <row r="45" spans="1:32" ht="16.5" customHeight="1" x14ac:dyDescent="0.15">
      <c r="A45" s="41">
        <v>15</v>
      </c>
      <c r="B45" s="41" t="s">
        <v>29223</v>
      </c>
      <c r="C45" s="74" t="s">
        <v>29224</v>
      </c>
      <c r="D45" s="72"/>
      <c r="F45" s="57"/>
      <c r="G45" s="72"/>
      <c r="I45" s="57"/>
      <c r="J45" s="72" t="s">
        <v>17645</v>
      </c>
      <c r="L45" s="57"/>
      <c r="M45" s="35"/>
      <c r="P45" s="299"/>
      <c r="Q45" s="45"/>
      <c r="R45" s="46"/>
      <c r="S45" s="512"/>
      <c r="T45" s="57"/>
      <c r="U45" s="512"/>
      <c r="V45" s="57"/>
      <c r="W45" s="114" t="s">
        <v>17562</v>
      </c>
      <c r="X45" s="49"/>
      <c r="Y45" s="50"/>
      <c r="Z45" s="115"/>
      <c r="AA45" s="72"/>
      <c r="AD45" s="57"/>
      <c r="AE45" s="208">
        <f>ROUND((ROUND((_15_同援日０．５*_15・通訳),0)*(1+_15・盲ろう)),0)+ROUND((ROUND((ROUND((_15_同援日０．５＿０．５*_15・通訳),0)*(1+_15・B夜間)),0)*(1+_15・盲ろう)),0)+ROUND((ROUND((ROUND((_15_同援日０．５＿０．５＿２．０*_15・通訳),0)*(1+_15・C深夜)),0)*(1+_15・盲ろう)),0)</f>
        <v>923</v>
      </c>
      <c r="AF45" s="48"/>
    </row>
    <row r="46" spans="1:32" ht="16.5" customHeight="1" x14ac:dyDescent="0.15">
      <c r="A46" s="41">
        <v>15</v>
      </c>
      <c r="B46" s="41" t="s">
        <v>29225</v>
      </c>
      <c r="C46" s="74" t="s">
        <v>29226</v>
      </c>
      <c r="D46" s="72"/>
      <c r="F46" s="57"/>
      <c r="G46" s="72"/>
      <c r="I46" s="57"/>
      <c r="J46" s="72"/>
      <c r="K46" s="168">
        <f>_15_同援日０．５＿０．５＿２．０</f>
        <v>328</v>
      </c>
      <c r="L46" s="57" t="s">
        <v>392</v>
      </c>
      <c r="M46" s="35"/>
      <c r="P46" s="299" t="s">
        <v>17556</v>
      </c>
      <c r="Q46" s="45" t="s">
        <v>398</v>
      </c>
      <c r="R46" s="46">
        <v>1</v>
      </c>
      <c r="S46" s="512"/>
      <c r="T46" s="57"/>
      <c r="U46" s="512"/>
      <c r="V46" s="57"/>
      <c r="W46" s="122" t="s">
        <v>17564</v>
      </c>
      <c r="X46" s="37" t="s">
        <v>398</v>
      </c>
      <c r="Y46" s="38">
        <v>0.25</v>
      </c>
      <c r="Z46" s="79" t="s">
        <v>3575</v>
      </c>
      <c r="AA46" s="122"/>
      <c r="AB46" s="37"/>
      <c r="AC46" s="38"/>
      <c r="AD46" s="79"/>
      <c r="AE46" s="208">
        <f>ROUND((ROUND((ROUND((_15_同援日０．５*_15・通訳),0)*_15・２人),0)*(1+_15・盲ろう)),0)+ROUND((ROUND((ROUND((ROUND((_15_同援日０．５＿０．５*_15・通訳),0)*_15・２人),0)*(1+_15・B夜間)),0)*(1+_15・盲ろう)),0)+ROUND((ROUND((ROUND((ROUND((_15_同援日０．５＿０．５＿２．０*_15・通訳),0)*_15・２人),0)*(1+_15・C深夜)),0)*(1+_15・盲ろう)),0)</f>
        <v>923</v>
      </c>
      <c r="AF46" s="48"/>
    </row>
    <row r="47" spans="1:32" ht="16.5" customHeight="1" x14ac:dyDescent="0.15">
      <c r="A47" s="41">
        <v>15</v>
      </c>
      <c r="B47" s="41" t="s">
        <v>3704</v>
      </c>
      <c r="C47" s="74" t="s">
        <v>29227</v>
      </c>
      <c r="D47" s="72"/>
      <c r="F47" s="57"/>
      <c r="G47" s="72"/>
      <c r="I47" s="57"/>
      <c r="J47" s="72"/>
      <c r="L47" s="57"/>
      <c r="M47" s="35"/>
      <c r="P47" s="299"/>
      <c r="Q47" s="45"/>
      <c r="R47" s="46"/>
      <c r="S47" s="512"/>
      <c r="T47" s="57"/>
      <c r="U47" s="512"/>
      <c r="V47" s="57"/>
      <c r="W47" s="114"/>
      <c r="X47" s="49"/>
      <c r="Y47" s="50"/>
      <c r="Z47" s="115"/>
      <c r="AA47" s="114" t="s">
        <v>17570</v>
      </c>
      <c r="AB47" s="49"/>
      <c r="AC47" s="50"/>
      <c r="AD47" s="115"/>
      <c r="AE47" s="208">
        <f>ROUND((ROUND((_15_同援日０．５*_15・通訳),0)*(1+_15・区３)),0)+ROUND((ROUND((ROUND((_15_同援日０．５＿０．５*_15・通訳),0)*(1+_15・B夜間)),0)*(1+_15・区３)),0)+ROUND((ROUND((ROUND((_15_同援日０．５＿０．５＿２．０*_15・通訳),0)*(1+_15・C深夜)),0)*(1+_15・区３)),0)</f>
        <v>886</v>
      </c>
      <c r="AF47" s="48"/>
    </row>
    <row r="48" spans="1:32" ht="16.5" customHeight="1" x14ac:dyDescent="0.15">
      <c r="A48" s="41">
        <v>15</v>
      </c>
      <c r="B48" s="41" t="s">
        <v>3706</v>
      </c>
      <c r="C48" s="74" t="s">
        <v>29228</v>
      </c>
      <c r="D48" s="72"/>
      <c r="F48" s="57"/>
      <c r="G48" s="72"/>
      <c r="I48" s="57"/>
      <c r="J48" s="72"/>
      <c r="L48" s="57"/>
      <c r="M48" s="35"/>
      <c r="P48" s="299" t="s">
        <v>17556</v>
      </c>
      <c r="Q48" s="45" t="s">
        <v>398</v>
      </c>
      <c r="R48" s="46">
        <v>1</v>
      </c>
      <c r="S48" s="512"/>
      <c r="T48" s="57"/>
      <c r="U48" s="512"/>
      <c r="V48" s="57"/>
      <c r="W48" s="122"/>
      <c r="X48" s="37"/>
      <c r="Y48" s="38"/>
      <c r="Z48" s="79"/>
      <c r="AA48" s="72" t="s">
        <v>17572</v>
      </c>
      <c r="AD48" s="57"/>
      <c r="AE48" s="208">
        <f>ROUND((ROUND((ROUND((_15_同援日０．５*_15・通訳),0)*_15・２人),0)*(1+_15・区３)),0)+ROUND((ROUND((ROUND((ROUND((_15_同援日０．５＿０．５*_15・通訳),0)*_15・２人),0)*(1+_15・B夜間)),0)*(1+_15・区３)),0)+ROUND((ROUND((ROUND((ROUND((_15_同援日０．５＿０．５＿２．０*_15・通訳),0)*_15・２人),0)*(1+_15・C深夜)),0)*(1+_15・区３)),0)</f>
        <v>886</v>
      </c>
      <c r="AF48" s="48"/>
    </row>
    <row r="49" spans="1:32" ht="16.5" customHeight="1" x14ac:dyDescent="0.15">
      <c r="A49" s="41">
        <v>15</v>
      </c>
      <c r="B49" s="41" t="s">
        <v>29229</v>
      </c>
      <c r="C49" s="74" t="s">
        <v>29230</v>
      </c>
      <c r="D49" s="72"/>
      <c r="F49" s="57"/>
      <c r="G49" s="72"/>
      <c r="I49" s="57"/>
      <c r="J49" s="72"/>
      <c r="L49" s="57"/>
      <c r="M49" s="35"/>
      <c r="P49" s="299"/>
      <c r="Q49" s="45"/>
      <c r="R49" s="46"/>
      <c r="S49" s="512"/>
      <c r="T49" s="57"/>
      <c r="U49" s="512"/>
      <c r="V49" s="57"/>
      <c r="W49" s="114" t="s">
        <v>17562</v>
      </c>
      <c r="X49" s="49"/>
      <c r="Y49" s="50"/>
      <c r="Z49" s="115"/>
      <c r="AA49" s="72"/>
      <c r="AB49" s="12" t="s">
        <v>398</v>
      </c>
      <c r="AC49" s="13">
        <v>0.2</v>
      </c>
      <c r="AD49" s="57" t="s">
        <v>3575</v>
      </c>
      <c r="AE49" s="208">
        <f>ROUND((ROUND((ROUND((_15_同援日０．５*_15・通訳),0)*(1+_15・盲ろう)),0)*(1+_15・区３)),0)+ROUND((ROUND((ROUND((ROUND((_15_同援日０．５＿０．５*_15・通訳),0)*(1+_15・B夜間)),0)*(1+_15・盲ろう)),0)*(1+_15・区３)),0)+ROUND((ROUND((ROUND((ROUND((_15_同援日０．５＿０．５＿２．０*_15・通訳),0)*(1+_15・C深夜)),0)*(1+_15・盲ろう)),0)*(1+_15・区３)),0)</f>
        <v>1108</v>
      </c>
      <c r="AF49" s="48"/>
    </row>
    <row r="50" spans="1:32" ht="16.5" customHeight="1" x14ac:dyDescent="0.15">
      <c r="A50" s="41">
        <v>15</v>
      </c>
      <c r="B50" s="41" t="s">
        <v>29231</v>
      </c>
      <c r="C50" s="74" t="s">
        <v>29232</v>
      </c>
      <c r="D50" s="72"/>
      <c r="F50" s="57"/>
      <c r="G50" s="72"/>
      <c r="I50" s="57"/>
      <c r="J50" s="72"/>
      <c r="L50" s="57"/>
      <c r="M50" s="35"/>
      <c r="P50" s="299" t="s">
        <v>17556</v>
      </c>
      <c r="Q50" s="45" t="s">
        <v>398</v>
      </c>
      <c r="R50" s="46">
        <v>1</v>
      </c>
      <c r="S50" s="512"/>
      <c r="T50" s="57"/>
      <c r="U50" s="512"/>
      <c r="V50" s="57"/>
      <c r="W50" s="122" t="s">
        <v>17564</v>
      </c>
      <c r="X50" s="37" t="s">
        <v>398</v>
      </c>
      <c r="Y50" s="38">
        <v>0.25</v>
      </c>
      <c r="Z50" s="79" t="s">
        <v>3575</v>
      </c>
      <c r="AA50" s="122"/>
      <c r="AB50" s="37"/>
      <c r="AC50" s="38"/>
      <c r="AD50" s="79"/>
      <c r="AE50" s="208">
        <f>ROUND((ROUND((ROUND((ROUND((_15_同援日０．５*_15・通訳),0)*_15・２人),0)*(1+_15・盲ろう)),0)*(1+_15・区３)),0)+ROUND((ROUND((ROUND((ROUND((ROUND((_15_同援日０．５＿０．５*_15・通訳),0)*_15・２人),0)*(1+_15・B夜間)),0)*(1+_15・盲ろう)),0)*(1+_15・区３)),0)+ROUND((ROUND((ROUND((ROUND((ROUND((_15_同援日０．５＿０．５＿２．０*_15・通訳),0)*_15・２人),0)*(1+_15・C深夜)),0)*(1+_15・盲ろう)),0)*(1+_15・区３)),0)</f>
        <v>1108</v>
      </c>
      <c r="AF50" s="48"/>
    </row>
    <row r="51" spans="1:32" ht="16.5" customHeight="1" x14ac:dyDescent="0.15">
      <c r="A51" s="41">
        <v>15</v>
      </c>
      <c r="B51" s="41" t="s">
        <v>29233</v>
      </c>
      <c r="C51" s="74" t="s">
        <v>29234</v>
      </c>
      <c r="D51" s="72"/>
      <c r="F51" s="57"/>
      <c r="G51" s="72"/>
      <c r="I51" s="57"/>
      <c r="J51" s="72"/>
      <c r="L51" s="57"/>
      <c r="M51" s="35"/>
      <c r="P51" s="299"/>
      <c r="Q51" s="45"/>
      <c r="R51" s="46"/>
      <c r="S51" s="512"/>
      <c r="T51" s="57"/>
      <c r="U51" s="512"/>
      <c r="V51" s="57"/>
      <c r="W51" s="114"/>
      <c r="X51" s="49"/>
      <c r="Y51" s="50"/>
      <c r="Z51" s="115"/>
      <c r="AA51" s="114" t="s">
        <v>17580</v>
      </c>
      <c r="AB51" s="49"/>
      <c r="AC51" s="50"/>
      <c r="AD51" s="115"/>
      <c r="AE51" s="208">
        <f>ROUND((ROUND((_15_同援日０．５*_15・通訳),0)*(1+_15・区４)),0)+ROUND((ROUND((ROUND((_15_同援日０．５＿０．５*_15・通訳),0)*(1+_15・B夜間)),0)*(1+_15・区４)),0)+ROUND((ROUND((ROUND((_15_同援日０．５＿０．５＿２．０*_15・通訳),0)*(1+_15・C深夜)),0)*(1+_15・区４)),0)</f>
        <v>1033</v>
      </c>
      <c r="AF51" s="48"/>
    </row>
    <row r="52" spans="1:32" ht="16.5" customHeight="1" x14ac:dyDescent="0.15">
      <c r="A52" s="41">
        <v>15</v>
      </c>
      <c r="B52" s="41" t="s">
        <v>29235</v>
      </c>
      <c r="C52" s="74" t="s">
        <v>29236</v>
      </c>
      <c r="D52" s="72"/>
      <c r="F52" s="57"/>
      <c r="G52" s="72"/>
      <c r="I52" s="57"/>
      <c r="J52" s="72"/>
      <c r="L52" s="57"/>
      <c r="M52" s="35"/>
      <c r="P52" s="299" t="s">
        <v>17556</v>
      </c>
      <c r="Q52" s="45" t="s">
        <v>398</v>
      </c>
      <c r="R52" s="46">
        <v>1</v>
      </c>
      <c r="S52" s="512"/>
      <c r="T52" s="57"/>
      <c r="U52" s="512"/>
      <c r="V52" s="57"/>
      <c r="W52" s="122"/>
      <c r="X52" s="37"/>
      <c r="Y52" s="38"/>
      <c r="Z52" s="79"/>
      <c r="AA52" s="72" t="s">
        <v>17572</v>
      </c>
      <c r="AD52" s="57"/>
      <c r="AE52" s="208">
        <f>ROUND((ROUND((ROUND((_15_同援日０．５*_15・通訳),0)*_15・２人),0)*(1+_15・区４)),0)+ROUND((ROUND((ROUND((ROUND((_15_同援日０．５＿０．５*_15・通訳),0)*_15・２人),0)*(1+_15・B夜間)),0)*(1+_15・区４)),0)+ROUND((ROUND((ROUND((ROUND((_15_同援日０．５＿０．５＿２．０*_15・通訳),0)*_15・２人),0)*(1+_15・C深夜)),0)*(1+_15・区４)),0)</f>
        <v>1033</v>
      </c>
      <c r="AF52" s="48"/>
    </row>
    <row r="53" spans="1:32" ht="16.5" customHeight="1" x14ac:dyDescent="0.15">
      <c r="A53" s="41">
        <v>15</v>
      </c>
      <c r="B53" s="41" t="s">
        <v>29237</v>
      </c>
      <c r="C53" s="74" t="s">
        <v>29238</v>
      </c>
      <c r="D53" s="72"/>
      <c r="F53" s="57"/>
      <c r="G53" s="72"/>
      <c r="I53" s="57"/>
      <c r="J53" s="72"/>
      <c r="L53" s="57"/>
      <c r="M53" s="35"/>
      <c r="P53" s="299"/>
      <c r="Q53" s="45"/>
      <c r="R53" s="46"/>
      <c r="S53" s="512"/>
      <c r="T53" s="57"/>
      <c r="U53" s="512"/>
      <c r="V53" s="57"/>
      <c r="W53" s="114" t="s">
        <v>17562</v>
      </c>
      <c r="X53" s="49"/>
      <c r="Y53" s="50"/>
      <c r="Z53" s="115"/>
      <c r="AA53" s="72"/>
      <c r="AB53" s="12" t="s">
        <v>398</v>
      </c>
      <c r="AC53" s="13">
        <v>0.4</v>
      </c>
      <c r="AD53" s="57" t="s">
        <v>3575</v>
      </c>
      <c r="AE53" s="208">
        <f>ROUND((ROUND((ROUND((_15_同援日０．５*_15・通訳),0)*(1+_15・盲ろう)),0)*(1+_15・区４)),0)+ROUND((ROUND((ROUND((ROUND((_15_同援日０．５＿０．５*_15・通訳),0)*(1+_15・B夜間)),0)*(1+_15・盲ろう)),0)*(1+_15・区４)),0)+ROUND((ROUND((ROUND((ROUND((_15_同援日０．５＿０．５＿２．０*_15・通訳),0)*(1+_15・C深夜)),0)*(1+_15・盲ろう)),0)*(1+_15・区４)),0)</f>
        <v>1293</v>
      </c>
      <c r="AF53" s="48"/>
    </row>
    <row r="54" spans="1:32" ht="16.5" customHeight="1" x14ac:dyDescent="0.15">
      <c r="A54" s="41">
        <v>15</v>
      </c>
      <c r="B54" s="41" t="s">
        <v>29239</v>
      </c>
      <c r="C54" s="74" t="s">
        <v>29240</v>
      </c>
      <c r="D54" s="72"/>
      <c r="F54" s="57"/>
      <c r="G54" s="122"/>
      <c r="H54" s="37"/>
      <c r="I54" s="79"/>
      <c r="J54" s="122"/>
      <c r="K54" s="37"/>
      <c r="L54" s="79"/>
      <c r="M54" s="35"/>
      <c r="P54" s="299" t="s">
        <v>17556</v>
      </c>
      <c r="Q54" s="45" t="s">
        <v>398</v>
      </c>
      <c r="R54" s="46">
        <v>1</v>
      </c>
      <c r="S54" s="512"/>
      <c r="T54" s="57"/>
      <c r="U54" s="512"/>
      <c r="V54" s="57"/>
      <c r="W54" s="122" t="s">
        <v>17564</v>
      </c>
      <c r="X54" s="37" t="s">
        <v>398</v>
      </c>
      <c r="Y54" s="38">
        <v>0.25</v>
      </c>
      <c r="Z54" s="79" t="s">
        <v>3575</v>
      </c>
      <c r="AA54" s="122"/>
      <c r="AB54" s="37"/>
      <c r="AC54" s="38"/>
      <c r="AD54" s="79"/>
      <c r="AE54" s="208">
        <f>ROUND((ROUND((ROUND((ROUND((_15_同援日０．５*_15・通訳),0)*_15・２人),0)*(1+_15・盲ろう)),0)*(1+_15・区４)),0)+ROUND((ROUND((ROUND((ROUND((ROUND((_15_同援日０．５＿０．５*_15・通訳),0)*_15・２人),0)*(1+_15・B夜間)),0)*(1+_15・盲ろう)),0)*(1+_15・区４)),0)+ROUND((ROUND((ROUND((ROUND((ROUND((_15_同援日０．５＿０．５＿２．０*_15・通訳),0)*_15・２人),0)*(1+_15・C深夜)),0)*(1+_15・盲ろう)),0)*(1+_15・区４)),0)</f>
        <v>1293</v>
      </c>
      <c r="AF54" s="48"/>
    </row>
    <row r="55" spans="1:32" ht="16.5" customHeight="1" x14ac:dyDescent="0.15">
      <c r="A55" s="41">
        <v>15</v>
      </c>
      <c r="B55" s="41" t="s">
        <v>29241</v>
      </c>
      <c r="C55" s="74" t="s">
        <v>29242</v>
      </c>
      <c r="D55" s="72"/>
      <c r="F55" s="57"/>
      <c r="G55" s="114" t="s">
        <v>19578</v>
      </c>
      <c r="H55" s="49"/>
      <c r="I55" s="115"/>
      <c r="J55" s="114" t="s">
        <v>22681</v>
      </c>
      <c r="K55" s="49"/>
      <c r="L55" s="115"/>
      <c r="M55" s="35"/>
      <c r="P55" s="299"/>
      <c r="Q55" s="45"/>
      <c r="R55" s="46"/>
      <c r="S55" s="512"/>
      <c r="T55" s="57"/>
      <c r="U55" s="512"/>
      <c r="V55" s="57"/>
      <c r="W55" s="114"/>
      <c r="X55" s="49"/>
      <c r="Y55" s="50"/>
      <c r="Z55" s="115"/>
      <c r="AA55" s="114"/>
      <c r="AB55" s="49"/>
      <c r="AC55" s="50"/>
      <c r="AD55" s="115"/>
      <c r="AE55" s="208">
        <f>ROUND((_15_同援日０．５*_15・通訳),0)+ROUND((ROUND((_15_同援日０．５＿１．０*_15・通訳),0)*(1+_15・B夜間)),0)+ROUND((ROUND((_15_同援日０．５＿１．０＿０．５*_15・通訳),0)*(1+_15・C深夜)),0)</f>
        <v>534</v>
      </c>
      <c r="AF55" s="48"/>
    </row>
    <row r="56" spans="1:32" ht="16.5" customHeight="1" x14ac:dyDescent="0.15">
      <c r="A56" s="41">
        <v>15</v>
      </c>
      <c r="B56" s="41" t="s">
        <v>29243</v>
      </c>
      <c r="C56" s="74" t="s">
        <v>29244</v>
      </c>
      <c r="D56" s="72"/>
      <c r="F56" s="57"/>
      <c r="G56" s="72" t="s">
        <v>17589</v>
      </c>
      <c r="I56" s="57"/>
      <c r="J56" s="72" t="s">
        <v>18259</v>
      </c>
      <c r="L56" s="57"/>
      <c r="M56" s="35"/>
      <c r="P56" s="299" t="s">
        <v>17556</v>
      </c>
      <c r="Q56" s="45" t="s">
        <v>398</v>
      </c>
      <c r="R56" s="46">
        <v>1</v>
      </c>
      <c r="S56" s="512"/>
      <c r="T56" s="57"/>
      <c r="U56" s="512"/>
      <c r="V56" s="57"/>
      <c r="W56" s="122"/>
      <c r="X56" s="37"/>
      <c r="Y56" s="38"/>
      <c r="Z56" s="79"/>
      <c r="AA56" s="72"/>
      <c r="AD56" s="57"/>
      <c r="AE56" s="208">
        <f>ROUND((ROUND((_15_同援日０．５*_15・通訳),0)*_15・２人),0)+ROUND((ROUND((ROUND((_15_同援日０．５＿１．０*_15・通訳),0)*_15・２人),0)*(1+_15・B夜間)),0)+ROUND((ROUND((ROUND((_15_同援日０．５＿１．０＿０．５*_15・通訳),0)*_15・２人),0)*(1+_15・C深夜)),0)</f>
        <v>534</v>
      </c>
      <c r="AF56" s="48"/>
    </row>
    <row r="57" spans="1:32" ht="16.5" customHeight="1" x14ac:dyDescent="0.15">
      <c r="A57" s="41">
        <v>15</v>
      </c>
      <c r="B57" s="41" t="s">
        <v>3713</v>
      </c>
      <c r="C57" s="74" t="s">
        <v>29245</v>
      </c>
      <c r="D57" s="72"/>
      <c r="F57" s="57"/>
      <c r="G57" s="72" t="s">
        <v>17591</v>
      </c>
      <c r="I57" s="57"/>
      <c r="J57" s="72"/>
      <c r="L57" s="57"/>
      <c r="M57" s="35"/>
      <c r="P57" s="299"/>
      <c r="Q57" s="45"/>
      <c r="R57" s="46"/>
      <c r="S57" s="512"/>
      <c r="T57" s="57"/>
      <c r="U57" s="512"/>
      <c r="V57" s="57"/>
      <c r="W57" s="114" t="s">
        <v>17562</v>
      </c>
      <c r="X57" s="49"/>
      <c r="Y57" s="50"/>
      <c r="Z57" s="115"/>
      <c r="AA57" s="72"/>
      <c r="AD57" s="57"/>
      <c r="AE57" s="208">
        <f>ROUND((ROUND((_15_同援日０．５*_15・通訳),0)*(1+_15・盲ろう)),0)+ROUND((ROUND((ROUND((_15_同援日０．５＿１．０*_15・通訳),0)*(1+_15・B夜間)),0)*(1+_15・盲ろう)),0)+ROUND((ROUND((ROUND((_15_同援日０．５＿１．０＿０．５*_15・通訳),0)*(1+_15・C深夜)),0)*(1+_15・盲ろう)),0)</f>
        <v>668</v>
      </c>
      <c r="AF57" s="48"/>
    </row>
    <row r="58" spans="1:32" ht="16.5" customHeight="1" x14ac:dyDescent="0.15">
      <c r="A58" s="41">
        <v>15</v>
      </c>
      <c r="B58" s="41" t="s">
        <v>3715</v>
      </c>
      <c r="C58" s="74" t="s">
        <v>29246</v>
      </c>
      <c r="D58" s="72"/>
      <c r="F58" s="57"/>
      <c r="G58" s="72"/>
      <c r="H58" s="168">
        <f>_15_同援日０．５＿１．０</f>
        <v>243</v>
      </c>
      <c r="I58" s="57" t="s">
        <v>392</v>
      </c>
      <c r="J58" s="72"/>
      <c r="K58" s="168">
        <f>_15_同援日０．５＿１．０＿０．５</f>
        <v>65</v>
      </c>
      <c r="L58" s="57" t="s">
        <v>392</v>
      </c>
      <c r="M58" s="35"/>
      <c r="P58" s="299" t="s">
        <v>17556</v>
      </c>
      <c r="Q58" s="45" t="s">
        <v>398</v>
      </c>
      <c r="R58" s="46">
        <v>1</v>
      </c>
      <c r="S58" s="512"/>
      <c r="T58" s="57"/>
      <c r="U58" s="512"/>
      <c r="V58" s="57"/>
      <c r="W58" s="122" t="s">
        <v>17564</v>
      </c>
      <c r="X58" s="37" t="s">
        <v>398</v>
      </c>
      <c r="Y58" s="38">
        <v>0.25</v>
      </c>
      <c r="Z58" s="79" t="s">
        <v>3575</v>
      </c>
      <c r="AA58" s="122"/>
      <c r="AB58" s="37"/>
      <c r="AC58" s="38"/>
      <c r="AD58" s="79"/>
      <c r="AE58" s="208">
        <f>ROUND((ROUND((ROUND((_15_同援日０．５*_15・通訳),0)*_15・２人),0)*(1+_15・盲ろう)),0)+ROUND((ROUND((ROUND((ROUND((_15_同援日０．５＿１．０*_15・通訳),0)*_15・２人),0)*(1+_15・B夜間)),0)*(1+_15・盲ろう)),0)+ROUND((ROUND((ROUND((ROUND((_15_同援日０．５＿１．０＿０．５*_15・通訳),0)*_15・２人),0)*(1+_15・C深夜)),0)*(1+_15・盲ろう)),0)</f>
        <v>668</v>
      </c>
      <c r="AF58" s="48"/>
    </row>
    <row r="59" spans="1:32" ht="16.5" customHeight="1" x14ac:dyDescent="0.15">
      <c r="A59" s="41">
        <v>15</v>
      </c>
      <c r="B59" s="41" t="s">
        <v>29247</v>
      </c>
      <c r="C59" s="74" t="s">
        <v>29248</v>
      </c>
      <c r="D59" s="72"/>
      <c r="F59" s="57"/>
      <c r="G59" s="72"/>
      <c r="I59" s="57"/>
      <c r="J59" s="72"/>
      <c r="L59" s="57"/>
      <c r="M59" s="35"/>
      <c r="P59" s="299"/>
      <c r="Q59" s="45"/>
      <c r="R59" s="46"/>
      <c r="S59" s="512"/>
      <c r="T59" s="57"/>
      <c r="U59" s="512"/>
      <c r="V59" s="57"/>
      <c r="W59" s="114"/>
      <c r="X59" s="49"/>
      <c r="Y59" s="50"/>
      <c r="Z59" s="115"/>
      <c r="AA59" s="114" t="s">
        <v>17570</v>
      </c>
      <c r="AB59" s="49"/>
      <c r="AC59" s="50"/>
      <c r="AD59" s="115"/>
      <c r="AE59" s="208">
        <f>ROUND((ROUND((_15_同援日０．５*_15・通訳),0)*(1+_15・区３)),0)+ROUND((ROUND((ROUND((_15_同援日０．５＿１．０*_15・通訳),0)*(1+_15・B夜間)),0)*(1+_15・区３)),0)+ROUND((ROUND((ROUND((_15_同援日０．５＿１．０＿０．５*_15・通訳),0)*(1+_15・C深夜)),0)*(1+_15・区３)),0)</f>
        <v>641</v>
      </c>
      <c r="AF59" s="48"/>
    </row>
    <row r="60" spans="1:32" ht="16.5" customHeight="1" x14ac:dyDescent="0.15">
      <c r="A60" s="41">
        <v>15</v>
      </c>
      <c r="B60" s="41" t="s">
        <v>29249</v>
      </c>
      <c r="C60" s="74" t="s">
        <v>29250</v>
      </c>
      <c r="D60" s="72"/>
      <c r="F60" s="57"/>
      <c r="G60" s="72"/>
      <c r="I60" s="57"/>
      <c r="J60" s="72"/>
      <c r="L60" s="57"/>
      <c r="M60" s="35"/>
      <c r="P60" s="299" t="s">
        <v>17556</v>
      </c>
      <c r="Q60" s="45" t="s">
        <v>398</v>
      </c>
      <c r="R60" s="46">
        <v>1</v>
      </c>
      <c r="S60" s="512"/>
      <c r="T60" s="57"/>
      <c r="U60" s="512"/>
      <c r="V60" s="57"/>
      <c r="W60" s="122"/>
      <c r="X60" s="37"/>
      <c r="Y60" s="38"/>
      <c r="Z60" s="79"/>
      <c r="AA60" s="72" t="s">
        <v>17572</v>
      </c>
      <c r="AD60" s="57"/>
      <c r="AE60" s="208">
        <f>ROUND((ROUND((ROUND((_15_同援日０．５*_15・通訳),0)*_15・２人),0)*(1+_15・区３)),0)+ROUND((ROUND((ROUND((ROUND((_15_同援日０．５＿１．０*_15・通訳),0)*_15・２人),0)*(1+_15・B夜間)),0)*(1+_15・区３)),0)+ROUND((ROUND((ROUND((ROUND((_15_同援日０．５＿１．０＿０．５*_15・通訳),0)*_15・２人),0)*(1+_15・C深夜)),0)*(1+_15・区３)),0)</f>
        <v>641</v>
      </c>
      <c r="AF60" s="48"/>
    </row>
    <row r="61" spans="1:32" ht="16.5" customHeight="1" x14ac:dyDescent="0.15">
      <c r="A61" s="41">
        <v>15</v>
      </c>
      <c r="B61" s="41" t="s">
        <v>29251</v>
      </c>
      <c r="C61" s="74" t="s">
        <v>29252</v>
      </c>
      <c r="D61" s="72"/>
      <c r="F61" s="57"/>
      <c r="G61" s="72"/>
      <c r="I61" s="57"/>
      <c r="J61" s="72"/>
      <c r="L61" s="57"/>
      <c r="M61" s="35"/>
      <c r="P61" s="299"/>
      <c r="Q61" s="45"/>
      <c r="R61" s="46"/>
      <c r="S61" s="512"/>
      <c r="T61" s="57"/>
      <c r="U61" s="512"/>
      <c r="V61" s="57"/>
      <c r="W61" s="114" t="s">
        <v>17562</v>
      </c>
      <c r="X61" s="49"/>
      <c r="Y61" s="50"/>
      <c r="Z61" s="115"/>
      <c r="AA61" s="72"/>
      <c r="AB61" s="12" t="s">
        <v>398</v>
      </c>
      <c r="AC61" s="13">
        <v>0.2</v>
      </c>
      <c r="AD61" s="57" t="s">
        <v>3575</v>
      </c>
      <c r="AE61" s="208">
        <f>ROUND((ROUND((ROUND((_15_同援日０．５*_15・通訳),0)*(1+_15・盲ろう)),0)*(1+_15・区３)),0)+ROUND((ROUND((ROUND((ROUND((_15_同援日０．５＿１．０*_15・通訳),0)*(1+_15・B夜間)),0)*(1+_15・盲ろう)),0)*(1+_15・区３)),0)+ROUND((ROUND((ROUND((ROUND((_15_同援日０．５＿１．０＿０．５*_15・通訳),0)*(1+_15・C深夜)),0)*(1+_15・盲ろう)),0)*(1+_15・区３)),0)</f>
        <v>802</v>
      </c>
      <c r="AF61" s="48"/>
    </row>
    <row r="62" spans="1:32" ht="16.5" customHeight="1" x14ac:dyDescent="0.15">
      <c r="A62" s="41">
        <v>15</v>
      </c>
      <c r="B62" s="41" t="s">
        <v>29253</v>
      </c>
      <c r="C62" s="74" t="s">
        <v>29254</v>
      </c>
      <c r="D62" s="72"/>
      <c r="F62" s="57"/>
      <c r="G62" s="72"/>
      <c r="I62" s="57"/>
      <c r="J62" s="72"/>
      <c r="L62" s="57"/>
      <c r="M62" s="35"/>
      <c r="P62" s="299" t="s">
        <v>17556</v>
      </c>
      <c r="Q62" s="45" t="s">
        <v>398</v>
      </c>
      <c r="R62" s="46">
        <v>1</v>
      </c>
      <c r="S62" s="512"/>
      <c r="T62" s="57"/>
      <c r="U62" s="512"/>
      <c r="V62" s="57"/>
      <c r="W62" s="122" t="s">
        <v>17564</v>
      </c>
      <c r="X62" s="37" t="s">
        <v>398</v>
      </c>
      <c r="Y62" s="38">
        <v>0.25</v>
      </c>
      <c r="Z62" s="79" t="s">
        <v>3575</v>
      </c>
      <c r="AA62" s="122"/>
      <c r="AB62" s="37"/>
      <c r="AC62" s="38"/>
      <c r="AD62" s="79"/>
      <c r="AE62" s="208">
        <f>ROUND((ROUND((ROUND((ROUND((_15_同援日０．５*_15・通訳),0)*_15・２人),0)*(1+_15・盲ろう)),0)*(1+_15・区３)),0)+ROUND((ROUND((ROUND((ROUND((ROUND((_15_同援日０．５＿１．０*_15・通訳),0)*_15・２人),0)*(1+_15・B夜間)),0)*(1+_15・盲ろう)),0)*(1+_15・区３)),0)+ROUND((ROUND((ROUND((ROUND((ROUND((_15_同援日０．５＿１．０＿０．５*_15・通訳),0)*_15・２人),0)*(1+_15・C深夜)),0)*(1+_15・盲ろう)),0)*(1+_15・区３)),0)</f>
        <v>802</v>
      </c>
      <c r="AF62" s="48"/>
    </row>
    <row r="63" spans="1:32" ht="16.5" customHeight="1" x14ac:dyDescent="0.15">
      <c r="A63" s="41">
        <v>15</v>
      </c>
      <c r="B63" s="41" t="s">
        <v>29255</v>
      </c>
      <c r="C63" s="74" t="s">
        <v>29256</v>
      </c>
      <c r="D63" s="72"/>
      <c r="F63" s="57"/>
      <c r="G63" s="72"/>
      <c r="I63" s="57"/>
      <c r="J63" s="72"/>
      <c r="L63" s="57"/>
      <c r="M63" s="35"/>
      <c r="P63" s="299"/>
      <c r="Q63" s="45"/>
      <c r="R63" s="46"/>
      <c r="S63" s="512"/>
      <c r="T63" s="57"/>
      <c r="U63" s="512"/>
      <c r="V63" s="57"/>
      <c r="W63" s="114"/>
      <c r="X63" s="49"/>
      <c r="Y63" s="50"/>
      <c r="Z63" s="115"/>
      <c r="AA63" s="114" t="s">
        <v>17580</v>
      </c>
      <c r="AB63" s="49"/>
      <c r="AC63" s="50"/>
      <c r="AD63" s="115"/>
      <c r="AE63" s="208">
        <f>ROUND((ROUND((_15_同援日０．５*_15・通訳),0)*(1+_15・区４)),0)+ROUND((ROUND((ROUND((_15_同援日０．５＿１．０*_15・通訳),0)*(1+_15・B夜間)),0)*(1+_15・区４)),0)+ROUND((ROUND((ROUND((_15_同援日０．５＿１．０＿０．５*_15・通訳),0)*(1+_15・C深夜)),0)*(1+_15・区４)),0)</f>
        <v>748</v>
      </c>
      <c r="AF63" s="48"/>
    </row>
    <row r="64" spans="1:32" ht="16.5" customHeight="1" x14ac:dyDescent="0.15">
      <c r="A64" s="41">
        <v>15</v>
      </c>
      <c r="B64" s="41" t="s">
        <v>29257</v>
      </c>
      <c r="C64" s="74" t="s">
        <v>29258</v>
      </c>
      <c r="D64" s="72"/>
      <c r="F64" s="57"/>
      <c r="G64" s="72"/>
      <c r="I64" s="57"/>
      <c r="J64" s="72"/>
      <c r="L64" s="57"/>
      <c r="M64" s="35"/>
      <c r="P64" s="299" t="s">
        <v>17556</v>
      </c>
      <c r="Q64" s="45" t="s">
        <v>398</v>
      </c>
      <c r="R64" s="46">
        <v>1</v>
      </c>
      <c r="S64" s="512"/>
      <c r="T64" s="57"/>
      <c r="U64" s="512"/>
      <c r="V64" s="57"/>
      <c r="W64" s="122"/>
      <c r="X64" s="37"/>
      <c r="Y64" s="38"/>
      <c r="Z64" s="79"/>
      <c r="AA64" s="72" t="s">
        <v>17572</v>
      </c>
      <c r="AD64" s="57"/>
      <c r="AE64" s="208">
        <f>ROUND((ROUND((ROUND((_15_同援日０．５*_15・通訳),0)*_15・２人),0)*(1+_15・区４)),0)+ROUND((ROUND((ROUND((ROUND((_15_同援日０．５＿１．０*_15・通訳),0)*_15・２人),0)*(1+_15・B夜間)),0)*(1+_15・区４)),0)+ROUND((ROUND((ROUND((ROUND((_15_同援日０．５＿１．０＿０．５*_15・通訳),0)*_15・２人),0)*(1+_15・C深夜)),0)*(1+_15・区４)),0)</f>
        <v>748</v>
      </c>
      <c r="AF64" s="48"/>
    </row>
    <row r="65" spans="1:32" ht="16.5" customHeight="1" x14ac:dyDescent="0.15">
      <c r="A65" s="41">
        <v>15</v>
      </c>
      <c r="B65" s="41" t="s">
        <v>29259</v>
      </c>
      <c r="C65" s="74" t="s">
        <v>29260</v>
      </c>
      <c r="D65" s="72"/>
      <c r="F65" s="57"/>
      <c r="G65" s="72"/>
      <c r="I65" s="57"/>
      <c r="J65" s="72"/>
      <c r="L65" s="57"/>
      <c r="M65" s="35"/>
      <c r="P65" s="299"/>
      <c r="Q65" s="45"/>
      <c r="R65" s="46"/>
      <c r="S65" s="512"/>
      <c r="T65" s="57"/>
      <c r="U65" s="512"/>
      <c r="V65" s="57"/>
      <c r="W65" s="114" t="s">
        <v>17562</v>
      </c>
      <c r="X65" s="49"/>
      <c r="Y65" s="50"/>
      <c r="Z65" s="115"/>
      <c r="AA65" s="72"/>
      <c r="AB65" s="12" t="s">
        <v>398</v>
      </c>
      <c r="AC65" s="13">
        <v>0.4</v>
      </c>
      <c r="AD65" s="57" t="s">
        <v>3575</v>
      </c>
      <c r="AE65" s="208">
        <f>ROUND((ROUND((ROUND((_15_同援日０．５*_15・通訳),0)*(1+_15・盲ろう)),0)*(1+_15・区４)),0)+ROUND((ROUND((ROUND((ROUND((_15_同援日０．５＿１．０*_15・通訳),0)*(1+_15・B夜間)),0)*(1+_15・盲ろう)),0)*(1+_15・区４)),0)+ROUND((ROUND((ROUND((ROUND((_15_同援日０．５＿１．０＿０．５*_15・通訳),0)*(1+_15・C深夜)),0)*(1+_15・盲ろう)),0)*(1+_15・区４)),0)</f>
        <v>935</v>
      </c>
      <c r="AF65" s="48"/>
    </row>
    <row r="66" spans="1:32" ht="16.5" customHeight="1" x14ac:dyDescent="0.15">
      <c r="A66" s="41">
        <v>15</v>
      </c>
      <c r="B66" s="41" t="s">
        <v>29261</v>
      </c>
      <c r="C66" s="74" t="s">
        <v>29262</v>
      </c>
      <c r="D66" s="72"/>
      <c r="F66" s="57"/>
      <c r="G66" s="72"/>
      <c r="I66" s="57"/>
      <c r="J66" s="72"/>
      <c r="L66" s="57"/>
      <c r="M66" s="35"/>
      <c r="P66" s="299" t="s">
        <v>17556</v>
      </c>
      <c r="Q66" s="45" t="s">
        <v>398</v>
      </c>
      <c r="R66" s="46">
        <v>1</v>
      </c>
      <c r="S66" s="512"/>
      <c r="T66" s="57"/>
      <c r="U66" s="512"/>
      <c r="V66" s="57"/>
      <c r="W66" s="122" t="s">
        <v>17564</v>
      </c>
      <c r="X66" s="37" t="s">
        <v>398</v>
      </c>
      <c r="Y66" s="38">
        <v>0.25</v>
      </c>
      <c r="Z66" s="79" t="s">
        <v>3575</v>
      </c>
      <c r="AA66" s="122"/>
      <c r="AB66" s="37"/>
      <c r="AC66" s="38"/>
      <c r="AD66" s="79"/>
      <c r="AE66" s="208">
        <f>ROUND((ROUND((ROUND((ROUND((_15_同援日０．５*_15・通訳),0)*_15・２人),0)*(1+_15・盲ろう)),0)*(1+_15・区４)),0)+ROUND((ROUND((ROUND((ROUND((ROUND((_15_同援日０．５＿１．０*_15・通訳),0)*_15・２人),0)*(1+_15・B夜間)),0)*(1+_15・盲ろう)),0)*(1+_15・区４)),0)+ROUND((ROUND((ROUND((ROUND((ROUND((_15_同援日０．５＿１．０＿０．５*_15・通訳),0)*_15・２人),0)*(1+_15・C深夜)),0)*(1+_15・盲ろう)),0)*(1+_15・区４)),0)</f>
        <v>935</v>
      </c>
      <c r="AF66" s="48"/>
    </row>
    <row r="67" spans="1:32" ht="16.5" customHeight="1" x14ac:dyDescent="0.15">
      <c r="A67" s="41">
        <v>15</v>
      </c>
      <c r="B67" s="41" t="s">
        <v>3720</v>
      </c>
      <c r="C67" s="74" t="s">
        <v>29263</v>
      </c>
      <c r="D67" s="72"/>
      <c r="F67" s="57"/>
      <c r="G67" s="72"/>
      <c r="I67" s="57"/>
      <c r="J67" s="114" t="s">
        <v>22723</v>
      </c>
      <c r="K67" s="49"/>
      <c r="L67" s="115"/>
      <c r="M67" s="35"/>
      <c r="P67" s="299"/>
      <c r="Q67" s="45"/>
      <c r="R67" s="46"/>
      <c r="S67" s="512"/>
      <c r="T67" s="57"/>
      <c r="U67" s="512"/>
      <c r="V67" s="57"/>
      <c r="W67" s="114"/>
      <c r="X67" s="49"/>
      <c r="Y67" s="50"/>
      <c r="Z67" s="115"/>
      <c r="AA67" s="114"/>
      <c r="AB67" s="49"/>
      <c r="AC67" s="50"/>
      <c r="AD67" s="115"/>
      <c r="AE67" s="208">
        <f>ROUND((_15_同援日０．５*_15・通訳),0)+ROUND((ROUND((_15_同援日０．５＿１．０*_15・通訳),0)*(1+_15・B夜間)),0)+ROUND((ROUND((_15_同援日０．５＿１．０＿１．０*_15・通訳),0)*(1+_15・C深夜)),0)</f>
        <v>621</v>
      </c>
      <c r="AF67" s="48"/>
    </row>
    <row r="68" spans="1:32" ht="16.5" customHeight="1" x14ac:dyDescent="0.15">
      <c r="A68" s="41">
        <v>15</v>
      </c>
      <c r="B68" s="41" t="s">
        <v>3722</v>
      </c>
      <c r="C68" s="74" t="s">
        <v>29264</v>
      </c>
      <c r="D68" s="72"/>
      <c r="F68" s="57"/>
      <c r="G68" s="72"/>
      <c r="I68" s="57"/>
      <c r="J68" s="72" t="s">
        <v>17589</v>
      </c>
      <c r="L68" s="57"/>
      <c r="M68" s="35"/>
      <c r="P68" s="299" t="s">
        <v>17556</v>
      </c>
      <c r="Q68" s="45" t="s">
        <v>398</v>
      </c>
      <c r="R68" s="46">
        <v>1</v>
      </c>
      <c r="S68" s="512"/>
      <c r="T68" s="57"/>
      <c r="U68" s="512"/>
      <c r="V68" s="57"/>
      <c r="W68" s="122"/>
      <c r="X68" s="37"/>
      <c r="Y68" s="38"/>
      <c r="Z68" s="79"/>
      <c r="AA68" s="72"/>
      <c r="AD68" s="57"/>
      <c r="AE68" s="208">
        <f>ROUND((ROUND((_15_同援日０．５*_15・通訳),0)*_15・２人),0)+ROUND((ROUND((ROUND((_15_同援日０．５＿１．０*_15・通訳),0)*_15・２人),0)*(1+_15・B夜間)),0)+ROUND((ROUND((ROUND((_15_同援日０．５＿１．０＿１．０*_15・通訳),0)*_15・２人),0)*(1+_15・C深夜)),0)</f>
        <v>621</v>
      </c>
      <c r="AF68" s="48"/>
    </row>
    <row r="69" spans="1:32" ht="16.5" customHeight="1" x14ac:dyDescent="0.15">
      <c r="A69" s="41">
        <v>15</v>
      </c>
      <c r="B69" s="41" t="s">
        <v>29265</v>
      </c>
      <c r="C69" s="74" t="s">
        <v>29266</v>
      </c>
      <c r="D69" s="72"/>
      <c r="F69" s="57"/>
      <c r="G69" s="72"/>
      <c r="I69" s="57"/>
      <c r="J69" s="72" t="s">
        <v>17591</v>
      </c>
      <c r="L69" s="57"/>
      <c r="M69" s="35"/>
      <c r="P69" s="299"/>
      <c r="Q69" s="45"/>
      <c r="R69" s="46"/>
      <c r="S69" s="512"/>
      <c r="T69" s="57"/>
      <c r="U69" s="512"/>
      <c r="V69" s="57"/>
      <c r="W69" s="114" t="s">
        <v>17562</v>
      </c>
      <c r="X69" s="49"/>
      <c r="Y69" s="50"/>
      <c r="Z69" s="115"/>
      <c r="AA69" s="72"/>
      <c r="AD69" s="57"/>
      <c r="AE69" s="208">
        <f>ROUND((ROUND((_15_同援日０．５*_15・通訳),0)*(1+_15・盲ろう)),0)+ROUND((ROUND((ROUND((_15_同援日０．５＿１．０*_15・通訳),0)*(1+_15・B夜間)),0)*(1+_15・盲ろう)),0)+ROUND((ROUND((ROUND((_15_同援日０．５＿１．０＿１．０*_15・通訳),0)*(1+_15・C深夜)),0)*(1+_15・盲ろう)),0)</f>
        <v>777</v>
      </c>
      <c r="AF69" s="48"/>
    </row>
    <row r="70" spans="1:32" ht="16.5" customHeight="1" x14ac:dyDescent="0.15">
      <c r="A70" s="41">
        <v>15</v>
      </c>
      <c r="B70" s="41" t="s">
        <v>29267</v>
      </c>
      <c r="C70" s="74" t="s">
        <v>29268</v>
      </c>
      <c r="D70" s="72"/>
      <c r="F70" s="57"/>
      <c r="G70" s="72"/>
      <c r="I70" s="57"/>
      <c r="J70" s="72"/>
      <c r="K70" s="168">
        <f>_15_同援日０．５＿１．０＿１．０</f>
        <v>130</v>
      </c>
      <c r="L70" s="57" t="s">
        <v>392</v>
      </c>
      <c r="M70" s="35"/>
      <c r="P70" s="299" t="s">
        <v>17556</v>
      </c>
      <c r="Q70" s="45" t="s">
        <v>398</v>
      </c>
      <c r="R70" s="46">
        <v>1</v>
      </c>
      <c r="S70" s="512"/>
      <c r="T70" s="57"/>
      <c r="U70" s="512"/>
      <c r="V70" s="57"/>
      <c r="W70" s="122" t="s">
        <v>17564</v>
      </c>
      <c r="X70" s="37" t="s">
        <v>398</v>
      </c>
      <c r="Y70" s="38">
        <v>0.25</v>
      </c>
      <c r="Z70" s="79" t="s">
        <v>3575</v>
      </c>
      <c r="AA70" s="122"/>
      <c r="AB70" s="37"/>
      <c r="AC70" s="38"/>
      <c r="AD70" s="79"/>
      <c r="AE70" s="208">
        <f>ROUND((ROUND((ROUND((_15_同援日０．５*_15・通訳),0)*_15・２人),0)*(1+_15・盲ろう)),0)+ROUND((ROUND((ROUND((ROUND((_15_同援日０．５＿１．０*_15・通訳),0)*_15・２人),0)*(1+_15・B夜間)),0)*(1+_15・盲ろう)),0)+ROUND((ROUND((ROUND((ROUND((_15_同援日０．５＿１．０＿１．０*_15・通訳),0)*_15・２人),0)*(1+_15・C深夜)),0)*(1+_15・盲ろう)),0)</f>
        <v>777</v>
      </c>
      <c r="AF70" s="48"/>
    </row>
    <row r="71" spans="1:32" ht="16.5" customHeight="1" x14ac:dyDescent="0.15">
      <c r="A71" s="41">
        <v>15</v>
      </c>
      <c r="B71" s="41" t="s">
        <v>29269</v>
      </c>
      <c r="C71" s="74" t="s">
        <v>29270</v>
      </c>
      <c r="D71" s="72"/>
      <c r="F71" s="57"/>
      <c r="G71" s="72"/>
      <c r="I71" s="57"/>
      <c r="J71" s="72"/>
      <c r="L71" s="57"/>
      <c r="M71" s="35"/>
      <c r="P71" s="299"/>
      <c r="Q71" s="45"/>
      <c r="R71" s="46"/>
      <c r="S71" s="512"/>
      <c r="T71" s="57"/>
      <c r="U71" s="512"/>
      <c r="V71" s="57"/>
      <c r="W71" s="114"/>
      <c r="X71" s="49"/>
      <c r="Y71" s="50"/>
      <c r="Z71" s="115"/>
      <c r="AA71" s="114" t="s">
        <v>17570</v>
      </c>
      <c r="AB71" s="49"/>
      <c r="AC71" s="50"/>
      <c r="AD71" s="115"/>
      <c r="AE71" s="208">
        <f>ROUND((ROUND((_15_同援日０．５*_15・通訳),0)*(1+_15・区３)),0)+ROUND((ROUND((ROUND((_15_同援日０．５＿１．０*_15・通訳),0)*(1+_15・B夜間)),0)*(1+_15・区３)),0)+ROUND((ROUND((ROUND((_15_同援日０．５＿１．０＿１．０*_15・通訳),0)*(1+_15・C深夜)),0)*(1+_15・区３)),0)</f>
        <v>745</v>
      </c>
      <c r="AF71" s="48"/>
    </row>
    <row r="72" spans="1:32" ht="16.5" customHeight="1" x14ac:dyDescent="0.15">
      <c r="A72" s="41">
        <v>15</v>
      </c>
      <c r="B72" s="41" t="s">
        <v>29271</v>
      </c>
      <c r="C72" s="74" t="s">
        <v>29272</v>
      </c>
      <c r="D72" s="72"/>
      <c r="F72" s="57"/>
      <c r="G72" s="72"/>
      <c r="I72" s="57"/>
      <c r="J72" s="72"/>
      <c r="L72" s="57"/>
      <c r="M72" s="35"/>
      <c r="P72" s="299" t="s">
        <v>17556</v>
      </c>
      <c r="Q72" s="45" t="s">
        <v>398</v>
      </c>
      <c r="R72" s="46">
        <v>1</v>
      </c>
      <c r="S72" s="512"/>
      <c r="T72" s="57"/>
      <c r="U72" s="512"/>
      <c r="V72" s="57"/>
      <c r="W72" s="122"/>
      <c r="X72" s="37"/>
      <c r="Y72" s="38"/>
      <c r="Z72" s="79"/>
      <c r="AA72" s="72" t="s">
        <v>17572</v>
      </c>
      <c r="AD72" s="57"/>
      <c r="AE72" s="208">
        <f>ROUND((ROUND((ROUND((_15_同援日０．５*_15・通訳),0)*_15・２人),0)*(1+_15・区３)),0)+ROUND((ROUND((ROUND((ROUND((_15_同援日０．５＿１．０*_15・通訳),0)*_15・２人),0)*(1+_15・B夜間)),0)*(1+_15・区３)),0)+ROUND((ROUND((ROUND((ROUND((_15_同援日０．５＿１．０＿１．０*_15・通訳),0)*_15・２人),0)*(1+_15・C深夜)),0)*(1+_15・区３)),0)</f>
        <v>745</v>
      </c>
      <c r="AF72" s="48"/>
    </row>
    <row r="73" spans="1:32" ht="16.5" customHeight="1" x14ac:dyDescent="0.15">
      <c r="A73" s="41">
        <v>15</v>
      </c>
      <c r="B73" s="41" t="s">
        <v>29273</v>
      </c>
      <c r="C73" s="74" t="s">
        <v>29274</v>
      </c>
      <c r="D73" s="72"/>
      <c r="F73" s="57"/>
      <c r="G73" s="72"/>
      <c r="I73" s="57"/>
      <c r="J73" s="72"/>
      <c r="L73" s="57"/>
      <c r="M73" s="35"/>
      <c r="P73" s="299"/>
      <c r="Q73" s="45"/>
      <c r="R73" s="46"/>
      <c r="S73" s="512"/>
      <c r="T73" s="57"/>
      <c r="U73" s="512"/>
      <c r="V73" s="57"/>
      <c r="W73" s="114" t="s">
        <v>17562</v>
      </c>
      <c r="X73" s="49"/>
      <c r="Y73" s="50"/>
      <c r="Z73" s="115"/>
      <c r="AA73" s="72"/>
      <c r="AB73" s="12" t="s">
        <v>398</v>
      </c>
      <c r="AC73" s="13">
        <v>0.2</v>
      </c>
      <c r="AD73" s="57" t="s">
        <v>3575</v>
      </c>
      <c r="AE73" s="208">
        <f>ROUND((ROUND((ROUND((_15_同援日０．５*_15・通訳),0)*(1+_15・盲ろう)),0)*(1+_15・区３)),0)+ROUND((ROUND((ROUND((ROUND((_15_同援日０．５＿１．０*_15・通訳),0)*(1+_15・B夜間)),0)*(1+_15・盲ろう)),0)*(1+_15・区３)),0)+ROUND((ROUND((ROUND((ROUND((_15_同援日０．５＿１．０＿１．０*_15・通訳),0)*(1+_15・C深夜)),0)*(1+_15・盲ろう)),0)*(1+_15・区３)),0)</f>
        <v>933</v>
      </c>
      <c r="AF73" s="48"/>
    </row>
    <row r="74" spans="1:32" ht="16.5" customHeight="1" x14ac:dyDescent="0.15">
      <c r="A74" s="41">
        <v>15</v>
      </c>
      <c r="B74" s="41" t="s">
        <v>29275</v>
      </c>
      <c r="C74" s="74" t="s">
        <v>29276</v>
      </c>
      <c r="D74" s="72"/>
      <c r="F74" s="57"/>
      <c r="G74" s="72"/>
      <c r="I74" s="57"/>
      <c r="J74" s="72"/>
      <c r="L74" s="57"/>
      <c r="M74" s="35"/>
      <c r="P74" s="299" t="s">
        <v>17556</v>
      </c>
      <c r="Q74" s="45" t="s">
        <v>398</v>
      </c>
      <c r="R74" s="46">
        <v>1</v>
      </c>
      <c r="S74" s="512"/>
      <c r="T74" s="57"/>
      <c r="U74" s="512"/>
      <c r="V74" s="57"/>
      <c r="W74" s="122" t="s">
        <v>17564</v>
      </c>
      <c r="X74" s="37" t="s">
        <v>398</v>
      </c>
      <c r="Y74" s="38">
        <v>0.25</v>
      </c>
      <c r="Z74" s="79" t="s">
        <v>3575</v>
      </c>
      <c r="AA74" s="122"/>
      <c r="AB74" s="37"/>
      <c r="AC74" s="38"/>
      <c r="AD74" s="79"/>
      <c r="AE74" s="208">
        <f>ROUND((ROUND((ROUND((ROUND((_15_同援日０．５*_15・通訳),0)*_15・２人),0)*(1+_15・盲ろう)),0)*(1+_15・区３)),0)+ROUND((ROUND((ROUND((ROUND((ROUND((_15_同援日０．５＿１．０*_15・通訳),0)*_15・２人),0)*(1+_15・B夜間)),0)*(1+_15・盲ろう)),0)*(1+_15・区３)),0)+ROUND((ROUND((ROUND((ROUND((ROUND((_15_同援日０．５＿１．０＿１．０*_15・通訳),0)*_15・２人),0)*(1+_15・C深夜)),0)*(1+_15・盲ろう)),0)*(1+_15・区３)),0)</f>
        <v>933</v>
      </c>
      <c r="AF74" s="48"/>
    </row>
    <row r="75" spans="1:32" ht="16.5" customHeight="1" x14ac:dyDescent="0.15">
      <c r="A75" s="41">
        <v>15</v>
      </c>
      <c r="B75" s="41" t="s">
        <v>29277</v>
      </c>
      <c r="C75" s="74" t="s">
        <v>29278</v>
      </c>
      <c r="D75" s="72"/>
      <c r="F75" s="57"/>
      <c r="G75" s="72"/>
      <c r="I75" s="57"/>
      <c r="J75" s="72"/>
      <c r="L75" s="57"/>
      <c r="M75" s="35"/>
      <c r="P75" s="299"/>
      <c r="Q75" s="45"/>
      <c r="R75" s="46"/>
      <c r="S75" s="512"/>
      <c r="T75" s="57"/>
      <c r="U75" s="512"/>
      <c r="V75" s="57"/>
      <c r="W75" s="114"/>
      <c r="X75" s="49"/>
      <c r="Y75" s="50"/>
      <c r="Z75" s="115"/>
      <c r="AA75" s="114" t="s">
        <v>17580</v>
      </c>
      <c r="AB75" s="49"/>
      <c r="AC75" s="50"/>
      <c r="AD75" s="115"/>
      <c r="AE75" s="208">
        <f>ROUND((ROUND((_15_同援日０．５*_15・通訳),0)*(1+_15・区４)),0)+ROUND((ROUND((ROUND((_15_同援日０．５＿１．０*_15・通訳),0)*(1+_15・B夜間)),0)*(1+_15・区４)),0)+ROUND((ROUND((ROUND((_15_同援日０．５＿１．０＿１．０*_15・通訳),0)*(1+_15・C深夜)),0)*(1+_15・区４)),0)</f>
        <v>869</v>
      </c>
      <c r="AF75" s="48"/>
    </row>
    <row r="76" spans="1:32" ht="16.5" customHeight="1" x14ac:dyDescent="0.15">
      <c r="A76" s="41">
        <v>15</v>
      </c>
      <c r="B76" s="41" t="s">
        <v>29279</v>
      </c>
      <c r="C76" s="74" t="s">
        <v>29280</v>
      </c>
      <c r="D76" s="72"/>
      <c r="F76" s="57"/>
      <c r="G76" s="72"/>
      <c r="I76" s="57"/>
      <c r="J76" s="72"/>
      <c r="L76" s="57"/>
      <c r="M76" s="35"/>
      <c r="P76" s="299" t="s">
        <v>17556</v>
      </c>
      <c r="Q76" s="45" t="s">
        <v>398</v>
      </c>
      <c r="R76" s="46">
        <v>1</v>
      </c>
      <c r="S76" s="512"/>
      <c r="T76" s="57"/>
      <c r="U76" s="512"/>
      <c r="V76" s="57"/>
      <c r="W76" s="122"/>
      <c r="X76" s="37"/>
      <c r="Y76" s="38"/>
      <c r="Z76" s="79"/>
      <c r="AA76" s="72" t="s">
        <v>17572</v>
      </c>
      <c r="AD76" s="57"/>
      <c r="AE76" s="208">
        <f>ROUND((ROUND((ROUND((_15_同援日０．５*_15・通訳),0)*_15・２人),0)*(1+_15・区４)),0)+ROUND((ROUND((ROUND((ROUND((_15_同援日０．５＿１．０*_15・通訳),0)*_15・２人),0)*(1+_15・B夜間)),0)*(1+_15・区４)),0)+ROUND((ROUND((ROUND((ROUND((_15_同援日０．５＿１．０＿１．０*_15・通訳),0)*_15・２人),0)*(1+_15・C深夜)),0)*(1+_15・区４)),0)</f>
        <v>869</v>
      </c>
      <c r="AF76" s="48"/>
    </row>
    <row r="77" spans="1:32" ht="16.5" customHeight="1" x14ac:dyDescent="0.15">
      <c r="A77" s="41">
        <v>15</v>
      </c>
      <c r="B77" s="41" t="s">
        <v>3727</v>
      </c>
      <c r="C77" s="74" t="s">
        <v>29281</v>
      </c>
      <c r="D77" s="72"/>
      <c r="F77" s="57"/>
      <c r="G77" s="72"/>
      <c r="I77" s="57"/>
      <c r="J77" s="72"/>
      <c r="L77" s="57"/>
      <c r="M77" s="35"/>
      <c r="P77" s="299"/>
      <c r="Q77" s="45"/>
      <c r="R77" s="46"/>
      <c r="S77" s="512"/>
      <c r="T77" s="57"/>
      <c r="U77" s="512"/>
      <c r="V77" s="57"/>
      <c r="W77" s="114" t="s">
        <v>17562</v>
      </c>
      <c r="X77" s="49"/>
      <c r="Y77" s="50"/>
      <c r="Z77" s="115"/>
      <c r="AA77" s="72"/>
      <c r="AB77" s="12" t="s">
        <v>398</v>
      </c>
      <c r="AC77" s="13">
        <v>0.4</v>
      </c>
      <c r="AD77" s="57" t="s">
        <v>3575</v>
      </c>
      <c r="AE77" s="208">
        <f>ROUND((ROUND((ROUND((_15_同援日０．５*_15・通訳),0)*(1+_15・盲ろう)),0)*(1+_15・区４)),0)+ROUND((ROUND((ROUND((ROUND((_15_同援日０．５＿１．０*_15・通訳),0)*(1+_15・B夜間)),0)*(1+_15・盲ろう)),0)*(1+_15・区４)),0)+ROUND((ROUND((ROUND((ROUND((_15_同援日０．５＿１．０＿１．０*_15・通訳),0)*(1+_15・C深夜)),0)*(1+_15・盲ろう)),0)*(1+_15・区４)),0)</f>
        <v>1088</v>
      </c>
      <c r="AF77" s="48"/>
    </row>
    <row r="78" spans="1:32" ht="16.5" customHeight="1" x14ac:dyDescent="0.15">
      <c r="A78" s="41">
        <v>15</v>
      </c>
      <c r="B78" s="41" t="s">
        <v>3729</v>
      </c>
      <c r="C78" s="74" t="s">
        <v>29282</v>
      </c>
      <c r="D78" s="72"/>
      <c r="F78" s="57"/>
      <c r="G78" s="72"/>
      <c r="I78" s="57"/>
      <c r="J78" s="72"/>
      <c r="L78" s="57"/>
      <c r="M78" s="35"/>
      <c r="P78" s="299" t="s">
        <v>17556</v>
      </c>
      <c r="Q78" s="45" t="s">
        <v>398</v>
      </c>
      <c r="R78" s="46">
        <v>1</v>
      </c>
      <c r="S78" s="512"/>
      <c r="T78" s="57"/>
      <c r="U78" s="512"/>
      <c r="V78" s="57"/>
      <c r="W78" s="122" t="s">
        <v>17564</v>
      </c>
      <c r="X78" s="37" t="s">
        <v>398</v>
      </c>
      <c r="Y78" s="38">
        <v>0.25</v>
      </c>
      <c r="Z78" s="79" t="s">
        <v>3575</v>
      </c>
      <c r="AA78" s="122"/>
      <c r="AB78" s="37"/>
      <c r="AC78" s="38"/>
      <c r="AD78" s="79"/>
      <c r="AE78" s="208">
        <f>ROUND((ROUND((ROUND((ROUND((_15_同援日０．５*_15・通訳),0)*_15・２人),0)*(1+_15・盲ろう)),0)*(1+_15・区４)),0)+ROUND((ROUND((ROUND((ROUND((ROUND((_15_同援日０．５＿１．０*_15・通訳),0)*_15・２人),0)*(1+_15・B夜間)),0)*(1+_15・盲ろう)),0)*(1+_15・区４)),0)+ROUND((ROUND((ROUND((ROUND((ROUND((_15_同援日０．５＿１．０＿１．０*_15・通訳),0)*_15・２人),0)*(1+_15・C深夜)),0)*(1+_15・盲ろう)),0)*(1+_15・区４)),0)</f>
        <v>1088</v>
      </c>
      <c r="AF78" s="48"/>
    </row>
    <row r="79" spans="1:32" ht="16.5" customHeight="1" x14ac:dyDescent="0.15">
      <c r="A79" s="41">
        <v>15</v>
      </c>
      <c r="B79" s="41" t="s">
        <v>29283</v>
      </c>
      <c r="C79" s="74" t="s">
        <v>29284</v>
      </c>
      <c r="D79" s="72"/>
      <c r="F79" s="57"/>
      <c r="G79" s="72"/>
      <c r="I79" s="57"/>
      <c r="J79" s="114" t="s">
        <v>22767</v>
      </c>
      <c r="K79" s="49"/>
      <c r="L79" s="115"/>
      <c r="M79" s="35"/>
      <c r="P79" s="299"/>
      <c r="Q79" s="45"/>
      <c r="R79" s="46"/>
      <c r="S79" s="512"/>
      <c r="T79" s="57"/>
      <c r="U79" s="512"/>
      <c r="V79" s="57"/>
      <c r="W79" s="114"/>
      <c r="X79" s="49"/>
      <c r="Y79" s="50"/>
      <c r="Z79" s="115"/>
      <c r="AA79" s="114"/>
      <c r="AB79" s="49"/>
      <c r="AC79" s="50"/>
      <c r="AD79" s="115"/>
      <c r="AE79" s="208">
        <f>ROUND((_15_同援日０．５*_15・通訳),0)+ROUND((ROUND((_15_同援日０．５＿１．０*_15・通訳),0)*(1+_15・B夜間)),0)+ROUND((ROUND((_15_同援日０．５＿１．０＿１．５*_15・通訳),0)*(1+_15・C深夜)),0)</f>
        <v>709</v>
      </c>
      <c r="AF79" s="48"/>
    </row>
    <row r="80" spans="1:32" ht="16.5" customHeight="1" x14ac:dyDescent="0.15">
      <c r="A80" s="41">
        <v>15</v>
      </c>
      <c r="B80" s="41" t="s">
        <v>29285</v>
      </c>
      <c r="C80" s="74" t="s">
        <v>29286</v>
      </c>
      <c r="D80" s="72"/>
      <c r="F80" s="57"/>
      <c r="G80" s="72"/>
      <c r="I80" s="57"/>
      <c r="J80" s="72" t="s">
        <v>17616</v>
      </c>
      <c r="L80" s="57"/>
      <c r="M80" s="35"/>
      <c r="P80" s="299" t="s">
        <v>17556</v>
      </c>
      <c r="Q80" s="45" t="s">
        <v>398</v>
      </c>
      <c r="R80" s="46">
        <v>1</v>
      </c>
      <c r="S80" s="512"/>
      <c r="T80" s="57"/>
      <c r="U80" s="512"/>
      <c r="V80" s="57"/>
      <c r="W80" s="122"/>
      <c r="X80" s="37"/>
      <c r="Y80" s="38"/>
      <c r="Z80" s="79"/>
      <c r="AA80" s="72"/>
      <c r="AD80" s="57"/>
      <c r="AE80" s="208">
        <f>ROUND((ROUND((_15_同援日０．５*_15・通訳),0)*_15・２人),0)+ROUND((ROUND((ROUND((_15_同援日０．５＿１．０*_15・通訳),0)*_15・２人),0)*(1+_15・B夜間)),0)+ROUND((ROUND((ROUND((_15_同援日０．５＿１．０＿１．５*_15・通訳),0)*_15・２人),0)*(1+_15・C深夜)),0)</f>
        <v>709</v>
      </c>
      <c r="AF80" s="48"/>
    </row>
    <row r="81" spans="1:32" ht="16.5" customHeight="1" x14ac:dyDescent="0.15">
      <c r="A81" s="41">
        <v>15</v>
      </c>
      <c r="B81" s="41" t="s">
        <v>29287</v>
      </c>
      <c r="C81" s="74" t="s">
        <v>29288</v>
      </c>
      <c r="D81" s="72"/>
      <c r="F81" s="57"/>
      <c r="G81" s="72"/>
      <c r="I81" s="57"/>
      <c r="J81" s="72" t="s">
        <v>18183</v>
      </c>
      <c r="L81" s="57"/>
      <c r="M81" s="35"/>
      <c r="P81" s="299"/>
      <c r="Q81" s="45"/>
      <c r="R81" s="46"/>
      <c r="S81" s="512"/>
      <c r="T81" s="57"/>
      <c r="U81" s="512"/>
      <c r="V81" s="57"/>
      <c r="W81" s="114" t="s">
        <v>17562</v>
      </c>
      <c r="X81" s="49"/>
      <c r="Y81" s="50"/>
      <c r="Z81" s="115"/>
      <c r="AA81" s="72"/>
      <c r="AD81" s="57"/>
      <c r="AE81" s="208">
        <f>ROUND((ROUND((_15_同援日０．５*_15・通訳),0)*(1+_15・盲ろう)),0)+ROUND((ROUND((ROUND((_15_同援日０．５＿１．０*_15・通訳),0)*(1+_15・B夜間)),0)*(1+_15・盲ろう)),0)+ROUND((ROUND((ROUND((_15_同援日０．５＿１．０＿１．５*_15・通訳),0)*(1+_15・C深夜)),0)*(1+_15・盲ろう)),0)</f>
        <v>887</v>
      </c>
      <c r="AF81" s="48"/>
    </row>
    <row r="82" spans="1:32" ht="16.5" customHeight="1" x14ac:dyDescent="0.15">
      <c r="A82" s="41">
        <v>15</v>
      </c>
      <c r="B82" s="41" t="s">
        <v>29289</v>
      </c>
      <c r="C82" s="74" t="s">
        <v>29290</v>
      </c>
      <c r="D82" s="72"/>
      <c r="F82" s="57"/>
      <c r="G82" s="72"/>
      <c r="I82" s="57"/>
      <c r="J82" s="72"/>
      <c r="K82" s="168">
        <f>_15_同援日０．５＿１．０＿１．５</f>
        <v>195</v>
      </c>
      <c r="L82" s="57" t="s">
        <v>392</v>
      </c>
      <c r="M82" s="35"/>
      <c r="P82" s="299" t="s">
        <v>17556</v>
      </c>
      <c r="Q82" s="45" t="s">
        <v>398</v>
      </c>
      <c r="R82" s="46">
        <v>1</v>
      </c>
      <c r="S82" s="512"/>
      <c r="T82" s="57"/>
      <c r="U82" s="512"/>
      <c r="V82" s="57"/>
      <c r="W82" s="122" t="s">
        <v>17564</v>
      </c>
      <c r="X82" s="37" t="s">
        <v>398</v>
      </c>
      <c r="Y82" s="38">
        <v>0.25</v>
      </c>
      <c r="Z82" s="79" t="s">
        <v>3575</v>
      </c>
      <c r="AA82" s="122"/>
      <c r="AB82" s="37"/>
      <c r="AC82" s="38"/>
      <c r="AD82" s="79"/>
      <c r="AE82" s="208">
        <f>ROUND((ROUND((ROUND((_15_同援日０．５*_15・通訳),0)*_15・２人),0)*(1+_15・盲ろう)),0)+ROUND((ROUND((ROUND((ROUND((_15_同援日０．５＿１．０*_15・通訳),0)*_15・２人),0)*(1+_15・B夜間)),0)*(1+_15・盲ろう)),0)+ROUND((ROUND((ROUND((ROUND((_15_同援日０．５＿１．０＿１．５*_15・通訳),0)*_15・２人),0)*(1+_15・C深夜)),0)*(1+_15・盲ろう)),0)</f>
        <v>887</v>
      </c>
      <c r="AF82" s="48"/>
    </row>
    <row r="83" spans="1:32" ht="16.5" customHeight="1" x14ac:dyDescent="0.15">
      <c r="A83" s="41">
        <v>15</v>
      </c>
      <c r="B83" s="41" t="s">
        <v>29291</v>
      </c>
      <c r="C83" s="74" t="s">
        <v>29292</v>
      </c>
      <c r="D83" s="72"/>
      <c r="F83" s="57"/>
      <c r="G83" s="72"/>
      <c r="I83" s="57"/>
      <c r="J83" s="72"/>
      <c r="L83" s="57"/>
      <c r="M83" s="35"/>
      <c r="P83" s="299"/>
      <c r="Q83" s="45"/>
      <c r="R83" s="46"/>
      <c r="S83" s="512"/>
      <c r="T83" s="57"/>
      <c r="U83" s="512"/>
      <c r="V83" s="57"/>
      <c r="W83" s="114"/>
      <c r="X83" s="49"/>
      <c r="Y83" s="50"/>
      <c r="Z83" s="115"/>
      <c r="AA83" s="114" t="s">
        <v>17570</v>
      </c>
      <c r="AB83" s="49"/>
      <c r="AC83" s="50"/>
      <c r="AD83" s="115"/>
      <c r="AE83" s="208">
        <f>ROUND((ROUND((_15_同援日０．５*_15・通訳),0)*(1+_15・区３)),0)+ROUND((ROUND((ROUND((_15_同援日０．５＿１．０*_15・通訳),0)*(1+_15・B夜間)),0)*(1+_15・区３)),0)+ROUND((ROUND((ROUND((_15_同援日０．５＿１．０＿１．５*_15・通訳),0)*(1+_15・C深夜)),0)*(1+_15・区３)),0)</f>
        <v>851</v>
      </c>
      <c r="AF83" s="48"/>
    </row>
    <row r="84" spans="1:32" ht="16.5" customHeight="1" x14ac:dyDescent="0.15">
      <c r="A84" s="41">
        <v>15</v>
      </c>
      <c r="B84" s="41" t="s">
        <v>29293</v>
      </c>
      <c r="C84" s="74" t="s">
        <v>29294</v>
      </c>
      <c r="D84" s="72"/>
      <c r="F84" s="57"/>
      <c r="G84" s="72"/>
      <c r="I84" s="57"/>
      <c r="J84" s="72"/>
      <c r="L84" s="57"/>
      <c r="M84" s="35"/>
      <c r="P84" s="299" t="s">
        <v>17556</v>
      </c>
      <c r="Q84" s="45" t="s">
        <v>398</v>
      </c>
      <c r="R84" s="46">
        <v>1</v>
      </c>
      <c r="S84" s="512"/>
      <c r="T84" s="57"/>
      <c r="U84" s="512"/>
      <c r="V84" s="57"/>
      <c r="W84" s="122"/>
      <c r="X84" s="37"/>
      <c r="Y84" s="38"/>
      <c r="Z84" s="79"/>
      <c r="AA84" s="72" t="s">
        <v>17572</v>
      </c>
      <c r="AD84" s="57"/>
      <c r="AE84" s="208">
        <f>ROUND((ROUND((ROUND((_15_同援日０．５*_15・通訳),0)*_15・２人),0)*(1+_15・区３)),0)+ROUND((ROUND((ROUND((ROUND((_15_同援日０．５＿１．０*_15・通訳),0)*_15・２人),0)*(1+_15・B夜間)),0)*(1+_15・区３)),0)+ROUND((ROUND((ROUND((ROUND((_15_同援日０．５＿１．０＿１．５*_15・通訳),0)*_15・２人),0)*(1+_15・C深夜)),0)*(1+_15・区３)),0)</f>
        <v>851</v>
      </c>
      <c r="AF84" s="48"/>
    </row>
    <row r="85" spans="1:32" ht="16.5" customHeight="1" x14ac:dyDescent="0.15">
      <c r="A85" s="41">
        <v>15</v>
      </c>
      <c r="B85" s="41" t="s">
        <v>29295</v>
      </c>
      <c r="C85" s="74" t="s">
        <v>29296</v>
      </c>
      <c r="D85" s="72"/>
      <c r="F85" s="57"/>
      <c r="G85" s="72"/>
      <c r="I85" s="57"/>
      <c r="J85" s="72"/>
      <c r="L85" s="57"/>
      <c r="M85" s="35"/>
      <c r="P85" s="299"/>
      <c r="Q85" s="45"/>
      <c r="R85" s="46"/>
      <c r="S85" s="512"/>
      <c r="T85" s="57"/>
      <c r="U85" s="512"/>
      <c r="V85" s="57"/>
      <c r="W85" s="114" t="s">
        <v>17562</v>
      </c>
      <c r="X85" s="49"/>
      <c r="Y85" s="50"/>
      <c r="Z85" s="115"/>
      <c r="AA85" s="72"/>
      <c r="AB85" s="12" t="s">
        <v>398</v>
      </c>
      <c r="AC85" s="13">
        <v>0.2</v>
      </c>
      <c r="AD85" s="57" t="s">
        <v>3575</v>
      </c>
      <c r="AE85" s="208">
        <f>ROUND((ROUND((ROUND((_15_同援日０．５*_15・通訳),0)*(1+_15・盲ろう)),0)*(1+_15・区３)),0)+ROUND((ROUND((ROUND((ROUND((_15_同援日０．５＿１．０*_15・通訳),0)*(1+_15・B夜間)),0)*(1+_15・盲ろう)),0)*(1+_15・区３)),0)+ROUND((ROUND((ROUND((ROUND((_15_同援日０．５＿１．０＿１．５*_15・通訳),0)*(1+_15・C深夜)),0)*(1+_15・盲ろう)),0)*(1+_15・区３)),0)</f>
        <v>1065</v>
      </c>
      <c r="AF85" s="48"/>
    </row>
    <row r="86" spans="1:32" ht="16.5" customHeight="1" x14ac:dyDescent="0.15">
      <c r="A86" s="41">
        <v>15</v>
      </c>
      <c r="B86" s="41" t="s">
        <v>29297</v>
      </c>
      <c r="C86" s="74" t="s">
        <v>29298</v>
      </c>
      <c r="D86" s="72"/>
      <c r="F86" s="57"/>
      <c r="G86" s="72"/>
      <c r="I86" s="57"/>
      <c r="J86" s="72"/>
      <c r="L86" s="57"/>
      <c r="M86" s="35"/>
      <c r="P86" s="299" t="s">
        <v>17556</v>
      </c>
      <c r="Q86" s="45" t="s">
        <v>398</v>
      </c>
      <c r="R86" s="46">
        <v>1</v>
      </c>
      <c r="S86" s="512"/>
      <c r="T86" s="57"/>
      <c r="U86" s="512"/>
      <c r="V86" s="57"/>
      <c r="W86" s="122" t="s">
        <v>17564</v>
      </c>
      <c r="X86" s="37" t="s">
        <v>398</v>
      </c>
      <c r="Y86" s="38">
        <v>0.25</v>
      </c>
      <c r="Z86" s="79" t="s">
        <v>3575</v>
      </c>
      <c r="AA86" s="122"/>
      <c r="AB86" s="37"/>
      <c r="AC86" s="38"/>
      <c r="AD86" s="79"/>
      <c r="AE86" s="208">
        <f>ROUND((ROUND((ROUND((ROUND((_15_同援日０．５*_15・通訳),0)*_15・２人),0)*(1+_15・盲ろう)),0)*(1+_15・区３)),0)+ROUND((ROUND((ROUND((ROUND((ROUND((_15_同援日０．５＿１．０*_15・通訳),0)*_15・２人),0)*(1+_15・B夜間)),0)*(1+_15・盲ろう)),0)*(1+_15・区３)),0)+ROUND((ROUND((ROUND((ROUND((ROUND((_15_同援日０．５＿１．０＿１．５*_15・通訳),0)*_15・２人),0)*(1+_15・C深夜)),0)*(1+_15・盲ろう)),0)*(1+_15・区３)),0)</f>
        <v>1065</v>
      </c>
      <c r="AF86" s="48"/>
    </row>
    <row r="87" spans="1:32" ht="16.5" customHeight="1" x14ac:dyDescent="0.15">
      <c r="A87" s="41">
        <v>15</v>
      </c>
      <c r="B87" s="41" t="s">
        <v>3734</v>
      </c>
      <c r="C87" s="74" t="s">
        <v>29299</v>
      </c>
      <c r="D87" s="72"/>
      <c r="F87" s="57"/>
      <c r="G87" s="72"/>
      <c r="I87" s="57"/>
      <c r="J87" s="72"/>
      <c r="L87" s="57"/>
      <c r="M87" s="35"/>
      <c r="P87" s="299"/>
      <c r="Q87" s="45"/>
      <c r="R87" s="46"/>
      <c r="S87" s="512"/>
      <c r="T87" s="57"/>
      <c r="U87" s="512"/>
      <c r="V87" s="57"/>
      <c r="W87" s="114"/>
      <c r="X87" s="49"/>
      <c r="Y87" s="50"/>
      <c r="Z87" s="115"/>
      <c r="AA87" s="114" t="s">
        <v>17580</v>
      </c>
      <c r="AB87" s="49"/>
      <c r="AC87" s="50"/>
      <c r="AD87" s="115"/>
      <c r="AE87" s="208">
        <f>ROUND((ROUND((_15_同援日０．５*_15・通訳),0)*(1+_15・区４)),0)+ROUND((ROUND((ROUND((_15_同援日０．５＿１．０*_15・通訳),0)*(1+_15・B夜間)),0)*(1+_15・区４)),0)+ROUND((ROUND((ROUND((_15_同援日０．５＿１．０＿１．５*_15・通訳),0)*(1+_15・C深夜)),0)*(1+_15・区４)),0)</f>
        <v>993</v>
      </c>
      <c r="AF87" s="48"/>
    </row>
    <row r="88" spans="1:32" ht="16.5" customHeight="1" x14ac:dyDescent="0.15">
      <c r="A88" s="41">
        <v>15</v>
      </c>
      <c r="B88" s="41" t="s">
        <v>3736</v>
      </c>
      <c r="C88" s="74" t="s">
        <v>29300</v>
      </c>
      <c r="D88" s="72"/>
      <c r="F88" s="57"/>
      <c r="G88" s="72"/>
      <c r="I88" s="57"/>
      <c r="J88" s="72"/>
      <c r="L88" s="57"/>
      <c r="M88" s="35"/>
      <c r="P88" s="299" t="s">
        <v>17556</v>
      </c>
      <c r="Q88" s="45" t="s">
        <v>398</v>
      </c>
      <c r="R88" s="46">
        <v>1</v>
      </c>
      <c r="S88" s="512"/>
      <c r="T88" s="57"/>
      <c r="U88" s="512"/>
      <c r="V88" s="57"/>
      <c r="W88" s="122"/>
      <c r="X88" s="37"/>
      <c r="Y88" s="38"/>
      <c r="Z88" s="79"/>
      <c r="AA88" s="72" t="s">
        <v>17572</v>
      </c>
      <c r="AD88" s="57"/>
      <c r="AE88" s="208">
        <f>ROUND((ROUND((ROUND((_15_同援日０．５*_15・通訳),0)*_15・２人),0)*(1+_15・区４)),0)+ROUND((ROUND((ROUND((ROUND((_15_同援日０．５＿１．０*_15・通訳),0)*_15・２人),0)*(1+_15・B夜間)),0)*(1+_15・区４)),0)+ROUND((ROUND((ROUND((ROUND((_15_同援日０．５＿１．０＿１．５*_15・通訳),0)*_15・２人),0)*(1+_15・C深夜)),0)*(1+_15・区４)),0)</f>
        <v>993</v>
      </c>
      <c r="AF88" s="48"/>
    </row>
    <row r="89" spans="1:32" ht="16.5" customHeight="1" x14ac:dyDescent="0.15">
      <c r="A89" s="41">
        <v>15</v>
      </c>
      <c r="B89" s="41" t="s">
        <v>29301</v>
      </c>
      <c r="C89" s="74" t="s">
        <v>29302</v>
      </c>
      <c r="D89" s="72"/>
      <c r="F89" s="57"/>
      <c r="G89" s="72"/>
      <c r="I89" s="57"/>
      <c r="J89" s="72"/>
      <c r="L89" s="57"/>
      <c r="M89" s="35"/>
      <c r="P89" s="299"/>
      <c r="Q89" s="45"/>
      <c r="R89" s="46"/>
      <c r="S89" s="512"/>
      <c r="T89" s="57"/>
      <c r="U89" s="512"/>
      <c r="V89" s="57"/>
      <c r="W89" s="114" t="s">
        <v>17562</v>
      </c>
      <c r="X89" s="49"/>
      <c r="Y89" s="50"/>
      <c r="Z89" s="115"/>
      <c r="AA89" s="72"/>
      <c r="AB89" s="12" t="s">
        <v>398</v>
      </c>
      <c r="AC89" s="13">
        <v>0.4</v>
      </c>
      <c r="AD89" s="57" t="s">
        <v>3575</v>
      </c>
      <c r="AE89" s="208">
        <f>ROUND((ROUND((ROUND((_15_同援日０．５*_15・通訳),0)*(1+_15・盲ろう)),0)*(1+_15・区４)),0)+ROUND((ROUND((ROUND((ROUND((_15_同援日０．５＿１．０*_15・通訳),0)*(1+_15・B夜間)),0)*(1+_15・盲ろう)),0)*(1+_15・区４)),0)+ROUND((ROUND((ROUND((ROUND((_15_同援日０．５＿１．０＿１．５*_15・通訳),0)*(1+_15・C深夜)),0)*(1+_15・盲ろう)),0)*(1+_15・区４)),0)</f>
        <v>1242</v>
      </c>
      <c r="AF89" s="48"/>
    </row>
    <row r="90" spans="1:32" ht="16.5" customHeight="1" x14ac:dyDescent="0.15">
      <c r="A90" s="41">
        <v>15</v>
      </c>
      <c r="B90" s="41" t="s">
        <v>29303</v>
      </c>
      <c r="C90" s="74" t="s">
        <v>29304</v>
      </c>
      <c r="D90" s="72"/>
      <c r="F90" s="57"/>
      <c r="G90" s="122"/>
      <c r="H90" s="37"/>
      <c r="I90" s="79"/>
      <c r="J90" s="122"/>
      <c r="K90" s="37"/>
      <c r="L90" s="79"/>
      <c r="M90" s="35"/>
      <c r="P90" s="299" t="s">
        <v>17556</v>
      </c>
      <c r="Q90" s="45" t="s">
        <v>398</v>
      </c>
      <c r="R90" s="46">
        <v>1</v>
      </c>
      <c r="S90" s="512"/>
      <c r="T90" s="57"/>
      <c r="U90" s="512"/>
      <c r="V90" s="57"/>
      <c r="W90" s="122" t="s">
        <v>17564</v>
      </c>
      <c r="X90" s="37" t="s">
        <v>398</v>
      </c>
      <c r="Y90" s="38">
        <v>0.25</v>
      </c>
      <c r="Z90" s="79" t="s">
        <v>3575</v>
      </c>
      <c r="AA90" s="122"/>
      <c r="AB90" s="37"/>
      <c r="AC90" s="38"/>
      <c r="AD90" s="79"/>
      <c r="AE90" s="208">
        <f>ROUND((ROUND((ROUND((ROUND((_15_同援日０．５*_15・通訳),0)*_15・２人),0)*(1+_15・盲ろう)),0)*(1+_15・区４)),0)+ROUND((ROUND((ROUND((ROUND((ROUND((_15_同援日０．５＿１．０*_15・通訳),0)*_15・２人),0)*(1+_15・B夜間)),0)*(1+_15・盲ろう)),0)*(1+_15・区４)),0)+ROUND((ROUND((ROUND((ROUND((ROUND((_15_同援日０．５＿１．０＿１．５*_15・通訳),0)*_15・２人),0)*(1+_15・C深夜)),0)*(1+_15・盲ろう)),0)*(1+_15・区４)),0)</f>
        <v>1242</v>
      </c>
      <c r="AF90" s="48"/>
    </row>
    <row r="91" spans="1:32" ht="16.5" customHeight="1" x14ac:dyDescent="0.15">
      <c r="A91" s="41">
        <v>15</v>
      </c>
      <c r="B91" s="41" t="s">
        <v>29305</v>
      </c>
      <c r="C91" s="74" t="s">
        <v>29306</v>
      </c>
      <c r="D91" s="72"/>
      <c r="F91" s="57"/>
      <c r="G91" s="114" t="s">
        <v>19603</v>
      </c>
      <c r="H91" s="49"/>
      <c r="I91" s="115"/>
      <c r="J91" s="114" t="s">
        <v>22681</v>
      </c>
      <c r="K91" s="49"/>
      <c r="L91" s="115"/>
      <c r="M91" s="35"/>
      <c r="P91" s="299"/>
      <c r="Q91" s="45"/>
      <c r="R91" s="46"/>
      <c r="S91" s="512"/>
      <c r="T91" s="57"/>
      <c r="U91" s="512"/>
      <c r="V91" s="57"/>
      <c r="W91" s="114"/>
      <c r="X91" s="49"/>
      <c r="Y91" s="50"/>
      <c r="Z91" s="115"/>
      <c r="AA91" s="114"/>
      <c r="AB91" s="49"/>
      <c r="AC91" s="50"/>
      <c r="AD91" s="115"/>
      <c r="AE91" s="208">
        <f>ROUND((_15_同援日０．５*_15・通訳),0)+ROUND((ROUND((_15_同援日０．５＿１．５*_15・通訳),0)*(1+_15・B夜間)),0)+ROUND((ROUND((_15_同援日０．５＿１．５＿０．５*_15・通訳),0)*(1+_15・C深夜)),0)</f>
        <v>606</v>
      </c>
      <c r="AF91" s="48"/>
    </row>
    <row r="92" spans="1:32" ht="16.5" customHeight="1" x14ac:dyDescent="0.15">
      <c r="A92" s="41">
        <v>15</v>
      </c>
      <c r="B92" s="41" t="s">
        <v>29307</v>
      </c>
      <c r="C92" s="74" t="s">
        <v>29308</v>
      </c>
      <c r="D92" s="72"/>
      <c r="F92" s="57"/>
      <c r="G92" s="72" t="s">
        <v>17616</v>
      </c>
      <c r="I92" s="57"/>
      <c r="J92" s="72" t="s">
        <v>18259</v>
      </c>
      <c r="L92" s="57"/>
      <c r="M92" s="35"/>
      <c r="P92" s="299" t="s">
        <v>17556</v>
      </c>
      <c r="Q92" s="45" t="s">
        <v>398</v>
      </c>
      <c r="R92" s="46">
        <v>1</v>
      </c>
      <c r="S92" s="512"/>
      <c r="T92" s="57"/>
      <c r="U92" s="512"/>
      <c r="V92" s="57"/>
      <c r="W92" s="122"/>
      <c r="X92" s="37"/>
      <c r="Y92" s="38"/>
      <c r="Z92" s="79"/>
      <c r="AA92" s="72"/>
      <c r="AD92" s="57"/>
      <c r="AE92" s="208">
        <f>ROUND((ROUND((_15_同援日０．５*_15・通訳),0)*_15・２人),0)+ROUND((ROUND((ROUND((_15_同援日０．５＿１．５*_15・通訳),0)*_15・２人),0)*(1+_15・B夜間)),0)+ROUND((ROUND((ROUND((_15_同援日０．５＿１．５＿０．５*_15・通訳),0)*_15・２人),0)*(1+_15・C深夜)),0)</f>
        <v>606</v>
      </c>
      <c r="AF92" s="48"/>
    </row>
    <row r="93" spans="1:32" ht="16.5" customHeight="1" x14ac:dyDescent="0.15">
      <c r="A93" s="41">
        <v>15</v>
      </c>
      <c r="B93" s="41" t="s">
        <v>29309</v>
      </c>
      <c r="C93" s="74" t="s">
        <v>29310</v>
      </c>
      <c r="D93" s="72"/>
      <c r="F93" s="57"/>
      <c r="G93" s="72" t="s">
        <v>18183</v>
      </c>
      <c r="I93" s="57"/>
      <c r="J93" s="72"/>
      <c r="L93" s="57"/>
      <c r="M93" s="35"/>
      <c r="P93" s="299"/>
      <c r="Q93" s="45"/>
      <c r="R93" s="46"/>
      <c r="S93" s="512"/>
      <c r="T93" s="57"/>
      <c r="U93" s="512"/>
      <c r="V93" s="57"/>
      <c r="W93" s="114" t="s">
        <v>17562</v>
      </c>
      <c r="X93" s="49"/>
      <c r="Y93" s="50"/>
      <c r="Z93" s="115"/>
      <c r="AA93" s="72"/>
      <c r="AD93" s="57"/>
      <c r="AE93" s="208">
        <f>ROUND((ROUND((_15_同援日０．５*_15・通訳),0)*(1+_15・盲ろう)),0)+ROUND((ROUND((ROUND((_15_同援日０．５＿１．５*_15・通訳),0)*(1+_15・B夜間)),0)*(1+_15・盲ろう)),0)+ROUND((ROUND((ROUND((_15_同援日０．５＿１．５＿０．５*_15・通訳),0)*(1+_15・C深夜)),0)*(1+_15・盲ろう)),0)</f>
        <v>758</v>
      </c>
      <c r="AF93" s="48"/>
    </row>
    <row r="94" spans="1:32" ht="16.5" customHeight="1" x14ac:dyDescent="0.15">
      <c r="A94" s="41">
        <v>15</v>
      </c>
      <c r="B94" s="41" t="s">
        <v>29311</v>
      </c>
      <c r="C94" s="74" t="s">
        <v>29312</v>
      </c>
      <c r="D94" s="72"/>
      <c r="F94" s="57"/>
      <c r="G94" s="72"/>
      <c r="H94" s="168">
        <f>_15_同援日０．５＿１．５</f>
        <v>308</v>
      </c>
      <c r="I94" s="57" t="s">
        <v>392</v>
      </c>
      <c r="J94" s="72"/>
      <c r="K94" s="168">
        <f>_15_同援日０．５＿１．５＿０．５</f>
        <v>65</v>
      </c>
      <c r="L94" s="57" t="s">
        <v>392</v>
      </c>
      <c r="M94" s="35"/>
      <c r="P94" s="299" t="s">
        <v>17556</v>
      </c>
      <c r="Q94" s="45" t="s">
        <v>398</v>
      </c>
      <c r="R94" s="46">
        <v>1</v>
      </c>
      <c r="S94" s="512"/>
      <c r="T94" s="57"/>
      <c r="U94" s="512"/>
      <c r="V94" s="57"/>
      <c r="W94" s="122" t="s">
        <v>17564</v>
      </c>
      <c r="X94" s="37" t="s">
        <v>398</v>
      </c>
      <c r="Y94" s="38">
        <v>0.25</v>
      </c>
      <c r="Z94" s="79" t="s">
        <v>3575</v>
      </c>
      <c r="AA94" s="122"/>
      <c r="AB94" s="37"/>
      <c r="AC94" s="38"/>
      <c r="AD94" s="79"/>
      <c r="AE94" s="208">
        <f>ROUND((ROUND((ROUND((_15_同援日０．５*_15・通訳),0)*_15・２人),0)*(1+_15・盲ろう)),0)+ROUND((ROUND((ROUND((ROUND((_15_同援日０．５＿１．５*_15・通訳),0)*_15・２人),0)*(1+_15・B夜間)),0)*(1+_15・盲ろう)),0)+ROUND((ROUND((ROUND((ROUND((_15_同援日０．５＿１．５＿０．５*_15・通訳),0)*_15・２人),0)*(1+_15・C深夜)),0)*(1+_15・盲ろう)),0)</f>
        <v>758</v>
      </c>
      <c r="AF94" s="48"/>
    </row>
    <row r="95" spans="1:32" ht="16.5" customHeight="1" x14ac:dyDescent="0.15">
      <c r="A95" s="41">
        <v>15</v>
      </c>
      <c r="B95" s="41" t="s">
        <v>29313</v>
      </c>
      <c r="C95" s="74" t="s">
        <v>29314</v>
      </c>
      <c r="D95" s="72"/>
      <c r="F95" s="57"/>
      <c r="G95" s="72"/>
      <c r="I95" s="57"/>
      <c r="J95" s="72"/>
      <c r="L95" s="57"/>
      <c r="M95" s="35"/>
      <c r="P95" s="299"/>
      <c r="Q95" s="45"/>
      <c r="R95" s="46"/>
      <c r="S95" s="512"/>
      <c r="T95" s="57"/>
      <c r="U95" s="512"/>
      <c r="V95" s="57"/>
      <c r="W95" s="114"/>
      <c r="X95" s="49"/>
      <c r="Y95" s="50"/>
      <c r="Z95" s="115"/>
      <c r="AA95" s="114" t="s">
        <v>17570</v>
      </c>
      <c r="AB95" s="49"/>
      <c r="AC95" s="50"/>
      <c r="AD95" s="115"/>
      <c r="AE95" s="208">
        <f>ROUND((ROUND((_15_同援日０．５*_15・通訳),0)*(1+_15・区３)),0)+ROUND((ROUND((ROUND((_15_同援日０．５＿１．５*_15・通訳),0)*(1+_15・B夜間)),0)*(1+_15・区３)),0)+ROUND((ROUND((ROUND((_15_同援日０．５＿１．５＿０．５*_15・通訳),0)*(1+_15・C深夜)),0)*(1+_15・区３)),0)</f>
        <v>727</v>
      </c>
      <c r="AF95" s="48"/>
    </row>
    <row r="96" spans="1:32" ht="16.5" customHeight="1" x14ac:dyDescent="0.15">
      <c r="A96" s="41">
        <v>15</v>
      </c>
      <c r="B96" s="41" t="s">
        <v>29315</v>
      </c>
      <c r="C96" s="74" t="s">
        <v>29316</v>
      </c>
      <c r="D96" s="72"/>
      <c r="F96" s="57"/>
      <c r="G96" s="72"/>
      <c r="I96" s="57"/>
      <c r="J96" s="72"/>
      <c r="L96" s="57"/>
      <c r="M96" s="35"/>
      <c r="P96" s="299" t="s">
        <v>17556</v>
      </c>
      <c r="Q96" s="45" t="s">
        <v>398</v>
      </c>
      <c r="R96" s="46">
        <v>1</v>
      </c>
      <c r="S96" s="512"/>
      <c r="T96" s="57"/>
      <c r="U96" s="512"/>
      <c r="V96" s="57"/>
      <c r="W96" s="122"/>
      <c r="X96" s="37"/>
      <c r="Y96" s="38"/>
      <c r="Z96" s="79"/>
      <c r="AA96" s="72" t="s">
        <v>17572</v>
      </c>
      <c r="AD96" s="57"/>
      <c r="AE96" s="208">
        <f>ROUND((ROUND((ROUND((_15_同援日０．５*_15・通訳),0)*_15・２人),0)*(1+_15・区３)),0)+ROUND((ROUND((ROUND((ROUND((_15_同援日０．５＿１．５*_15・通訳),0)*_15・２人),0)*(1+_15・B夜間)),0)*(1+_15・区３)),0)+ROUND((ROUND((ROUND((ROUND((_15_同援日０．５＿１．５＿０．５*_15・通訳),0)*_15・２人),0)*(1+_15・C深夜)),0)*(1+_15・区３)),0)</f>
        <v>727</v>
      </c>
      <c r="AF96" s="48"/>
    </row>
    <row r="97" spans="1:32" ht="16.5" customHeight="1" x14ac:dyDescent="0.15">
      <c r="A97" s="41">
        <v>15</v>
      </c>
      <c r="B97" s="41" t="s">
        <v>3741</v>
      </c>
      <c r="C97" s="74" t="s">
        <v>29317</v>
      </c>
      <c r="D97" s="72"/>
      <c r="F97" s="57"/>
      <c r="G97" s="72"/>
      <c r="I97" s="57"/>
      <c r="J97" s="72"/>
      <c r="L97" s="57"/>
      <c r="M97" s="35"/>
      <c r="P97" s="299"/>
      <c r="Q97" s="45"/>
      <c r="R97" s="46"/>
      <c r="S97" s="512"/>
      <c r="T97" s="57"/>
      <c r="U97" s="512"/>
      <c r="V97" s="57"/>
      <c r="W97" s="114" t="s">
        <v>17562</v>
      </c>
      <c r="X97" s="49"/>
      <c r="Y97" s="50"/>
      <c r="Z97" s="115"/>
      <c r="AA97" s="72"/>
      <c r="AB97" s="12" t="s">
        <v>398</v>
      </c>
      <c r="AC97" s="13">
        <v>0.2</v>
      </c>
      <c r="AD97" s="57" t="s">
        <v>3575</v>
      </c>
      <c r="AE97" s="208">
        <f>ROUND((ROUND((ROUND((_15_同援日０．５*_15・通訳),0)*(1+_15・盲ろう)),0)*(1+_15・区３)),0)+ROUND((ROUND((ROUND((ROUND((_15_同援日０．５＿１．５*_15・通訳),0)*(1+_15・B夜間)),0)*(1+_15・盲ろう)),0)*(1+_15・区３)),0)+ROUND((ROUND((ROUND((ROUND((_15_同援日０．５＿１．５＿０．５*_15・通訳),0)*(1+_15・C深夜)),0)*(1+_15・盲ろう)),0)*(1+_15・区３)),0)</f>
        <v>910</v>
      </c>
      <c r="AF97" s="48"/>
    </row>
    <row r="98" spans="1:32" ht="16.5" customHeight="1" x14ac:dyDescent="0.15">
      <c r="A98" s="41">
        <v>15</v>
      </c>
      <c r="B98" s="41" t="s">
        <v>3743</v>
      </c>
      <c r="C98" s="74" t="s">
        <v>29318</v>
      </c>
      <c r="D98" s="72"/>
      <c r="F98" s="57"/>
      <c r="G98" s="72"/>
      <c r="I98" s="57"/>
      <c r="J98" s="72"/>
      <c r="L98" s="57"/>
      <c r="M98" s="35"/>
      <c r="P98" s="299" t="s">
        <v>17556</v>
      </c>
      <c r="Q98" s="45" t="s">
        <v>398</v>
      </c>
      <c r="R98" s="46">
        <v>1</v>
      </c>
      <c r="S98" s="512"/>
      <c r="T98" s="57"/>
      <c r="U98" s="512"/>
      <c r="V98" s="57"/>
      <c r="W98" s="122" t="s">
        <v>17564</v>
      </c>
      <c r="X98" s="37" t="s">
        <v>398</v>
      </c>
      <c r="Y98" s="38">
        <v>0.25</v>
      </c>
      <c r="Z98" s="79" t="s">
        <v>3575</v>
      </c>
      <c r="AA98" s="122"/>
      <c r="AB98" s="37"/>
      <c r="AC98" s="38"/>
      <c r="AD98" s="79"/>
      <c r="AE98" s="208">
        <f>ROUND((ROUND((ROUND((ROUND((_15_同援日０．５*_15・通訳),0)*_15・２人),0)*(1+_15・盲ろう)),0)*(1+_15・区３)),0)+ROUND((ROUND((ROUND((ROUND((ROUND((_15_同援日０．５＿１．５*_15・通訳),0)*_15・２人),0)*(1+_15・B夜間)),0)*(1+_15・盲ろう)),0)*(1+_15・区３)),0)+ROUND((ROUND((ROUND((ROUND((ROUND((_15_同援日０．５＿１．５＿０．５*_15・通訳),0)*_15・２人),0)*(1+_15・C深夜)),0)*(1+_15・盲ろう)),0)*(1+_15・区３)),0)</f>
        <v>910</v>
      </c>
      <c r="AF98" s="48"/>
    </row>
    <row r="99" spans="1:32" ht="16.5" customHeight="1" x14ac:dyDescent="0.15">
      <c r="A99" s="41">
        <v>15</v>
      </c>
      <c r="B99" s="41" t="s">
        <v>29319</v>
      </c>
      <c r="C99" s="74" t="s">
        <v>29320</v>
      </c>
      <c r="D99" s="72"/>
      <c r="F99" s="57"/>
      <c r="G99" s="72"/>
      <c r="I99" s="57"/>
      <c r="J99" s="72"/>
      <c r="L99" s="57"/>
      <c r="M99" s="35"/>
      <c r="P99" s="299"/>
      <c r="Q99" s="45"/>
      <c r="R99" s="46"/>
      <c r="S99" s="512"/>
      <c r="T99" s="57"/>
      <c r="U99" s="512"/>
      <c r="V99" s="57"/>
      <c r="W99" s="114"/>
      <c r="X99" s="49"/>
      <c r="Y99" s="50"/>
      <c r="Z99" s="115"/>
      <c r="AA99" s="114" t="s">
        <v>17580</v>
      </c>
      <c r="AB99" s="49"/>
      <c r="AC99" s="50"/>
      <c r="AD99" s="115"/>
      <c r="AE99" s="208">
        <f>ROUND((ROUND((_15_同援日０．５*_15・通訳),0)*(1+_15・区４)),0)+ROUND((ROUND((ROUND((_15_同援日０．５＿１．５*_15・通訳),0)*(1+_15・B夜間)),0)*(1+_15・区４)),0)+ROUND((ROUND((ROUND((_15_同援日０．５＿１．５＿０．５*_15・通訳),0)*(1+_15・C深夜)),0)*(1+_15・区４)),0)</f>
        <v>848</v>
      </c>
      <c r="AF99" s="48"/>
    </row>
    <row r="100" spans="1:32" ht="16.5" customHeight="1" x14ac:dyDescent="0.15">
      <c r="A100" s="41">
        <v>15</v>
      </c>
      <c r="B100" s="41" t="s">
        <v>29321</v>
      </c>
      <c r="C100" s="74" t="s">
        <v>29322</v>
      </c>
      <c r="D100" s="72"/>
      <c r="F100" s="57"/>
      <c r="G100" s="72"/>
      <c r="I100" s="57"/>
      <c r="J100" s="72"/>
      <c r="L100" s="57"/>
      <c r="M100" s="35"/>
      <c r="P100" s="299" t="s">
        <v>17556</v>
      </c>
      <c r="Q100" s="45" t="s">
        <v>398</v>
      </c>
      <c r="R100" s="46">
        <v>1</v>
      </c>
      <c r="S100" s="512"/>
      <c r="T100" s="57"/>
      <c r="U100" s="512"/>
      <c r="V100" s="57"/>
      <c r="W100" s="122"/>
      <c r="X100" s="37"/>
      <c r="Y100" s="38"/>
      <c r="Z100" s="79"/>
      <c r="AA100" s="72" t="s">
        <v>17572</v>
      </c>
      <c r="AD100" s="57"/>
      <c r="AE100" s="208">
        <f>ROUND((ROUND((ROUND((_15_同援日０．５*_15・通訳),0)*_15・２人),0)*(1+_15・区４)),0)+ROUND((ROUND((ROUND((ROUND((_15_同援日０．５＿１．５*_15・通訳),0)*_15・２人),0)*(1+_15・B夜間)),0)*(1+_15・区４)),0)+ROUND((ROUND((ROUND((ROUND((_15_同援日０．５＿１．５＿０．５*_15・通訳),0)*_15・２人),0)*(1+_15・C深夜)),0)*(1+_15・区４)),0)</f>
        <v>848</v>
      </c>
      <c r="AF100" s="48"/>
    </row>
    <row r="101" spans="1:32" ht="16.5" customHeight="1" x14ac:dyDescent="0.15">
      <c r="A101" s="41">
        <v>15</v>
      </c>
      <c r="B101" s="41" t="s">
        <v>29323</v>
      </c>
      <c r="C101" s="74" t="s">
        <v>29324</v>
      </c>
      <c r="D101" s="72"/>
      <c r="F101" s="57"/>
      <c r="G101" s="72"/>
      <c r="I101" s="57"/>
      <c r="J101" s="72"/>
      <c r="L101" s="57"/>
      <c r="M101" s="35"/>
      <c r="P101" s="299"/>
      <c r="Q101" s="45"/>
      <c r="R101" s="46"/>
      <c r="S101" s="512"/>
      <c r="T101" s="57"/>
      <c r="U101" s="512"/>
      <c r="V101" s="57"/>
      <c r="W101" s="114" t="s">
        <v>17562</v>
      </c>
      <c r="X101" s="49"/>
      <c r="Y101" s="50"/>
      <c r="Z101" s="115"/>
      <c r="AA101" s="72"/>
      <c r="AB101" s="12" t="s">
        <v>398</v>
      </c>
      <c r="AC101" s="13">
        <v>0.4</v>
      </c>
      <c r="AD101" s="57" t="s">
        <v>3575</v>
      </c>
      <c r="AE101" s="208">
        <f>ROUND((ROUND((ROUND((_15_同援日０．５*_15・通訳),0)*(1+_15・盲ろう)),0)*(1+_15・区４)),0)+ROUND((ROUND((ROUND((ROUND((_15_同援日０．５＿１．５*_15・通訳),0)*(1+_15・B夜間)),0)*(1+_15・盲ろう)),0)*(1+_15・区４)),0)+ROUND((ROUND((ROUND((ROUND((_15_同援日０．５＿１．５＿０．５*_15・通訳),0)*(1+_15・C深夜)),0)*(1+_15・盲ろう)),0)*(1+_15・区４)),0)</f>
        <v>1061</v>
      </c>
      <c r="AF101" s="48"/>
    </row>
    <row r="102" spans="1:32" ht="16.5" customHeight="1" x14ac:dyDescent="0.15">
      <c r="A102" s="41">
        <v>15</v>
      </c>
      <c r="B102" s="41" t="s">
        <v>29325</v>
      </c>
      <c r="C102" s="74" t="s">
        <v>29326</v>
      </c>
      <c r="D102" s="72"/>
      <c r="F102" s="57"/>
      <c r="G102" s="72"/>
      <c r="I102" s="57"/>
      <c r="J102" s="122"/>
      <c r="K102" s="37"/>
      <c r="L102" s="79"/>
      <c r="M102" s="35"/>
      <c r="P102" s="299" t="s">
        <v>17556</v>
      </c>
      <c r="Q102" s="45" t="s">
        <v>398</v>
      </c>
      <c r="R102" s="46">
        <v>1</v>
      </c>
      <c r="S102" s="512"/>
      <c r="T102" s="57"/>
      <c r="U102" s="512"/>
      <c r="V102" s="57"/>
      <c r="W102" s="122" t="s">
        <v>17564</v>
      </c>
      <c r="X102" s="37" t="s">
        <v>398</v>
      </c>
      <c r="Y102" s="38">
        <v>0.25</v>
      </c>
      <c r="Z102" s="79" t="s">
        <v>3575</v>
      </c>
      <c r="AA102" s="122"/>
      <c r="AB102" s="37"/>
      <c r="AC102" s="38"/>
      <c r="AD102" s="79"/>
      <c r="AE102" s="208">
        <f>ROUND((ROUND((ROUND((ROUND((_15_同援日０．５*_15・通訳),0)*_15・２人),0)*(1+_15・盲ろう)),0)*(1+_15・区４)),0)+ROUND((ROUND((ROUND((ROUND((ROUND((_15_同援日０．５＿１．５*_15・通訳),0)*_15・２人),0)*(1+_15・B夜間)),0)*(1+_15・盲ろう)),0)*(1+_15・区４)),0)+ROUND((ROUND((ROUND((ROUND((ROUND((_15_同援日０．５＿１．５＿０．５*_15・通訳),0)*_15・２人),0)*(1+_15・C深夜)),0)*(1+_15・盲ろう)),0)*(1+_15・区４)),0)</f>
        <v>1061</v>
      </c>
      <c r="AF102" s="48"/>
    </row>
    <row r="103" spans="1:32" ht="16.5" customHeight="1" x14ac:dyDescent="0.15">
      <c r="A103" s="41">
        <v>15</v>
      </c>
      <c r="B103" s="41" t="s">
        <v>29327</v>
      </c>
      <c r="C103" s="74" t="s">
        <v>29328</v>
      </c>
      <c r="D103" s="72"/>
      <c r="F103" s="57"/>
      <c r="G103" s="72"/>
      <c r="I103" s="57"/>
      <c r="J103" s="114" t="s">
        <v>22723</v>
      </c>
      <c r="K103" s="49"/>
      <c r="L103" s="115"/>
      <c r="M103" s="35"/>
      <c r="P103" s="299"/>
      <c r="Q103" s="45"/>
      <c r="R103" s="46"/>
      <c r="S103" s="512"/>
      <c r="T103" s="57"/>
      <c r="U103" s="512"/>
      <c r="V103" s="57"/>
      <c r="W103" s="114"/>
      <c r="X103" s="49"/>
      <c r="Y103" s="50"/>
      <c r="Z103" s="115"/>
      <c r="AA103" s="114"/>
      <c r="AB103" s="49"/>
      <c r="AC103" s="50"/>
      <c r="AD103" s="115"/>
      <c r="AE103" s="208">
        <f>ROUND((_15_同援日０．５*_15・通訳),0)+ROUND((ROUND((_15_同援日０．５＿１．５*_15・通訳),0)*(1+_15・B夜間)),0)+ROUND((ROUND((_15_同援日０．５＿１．５＿１．０*_15・通訳),0)*(1+_15・C深夜)),0)</f>
        <v>693</v>
      </c>
      <c r="AF103" s="48"/>
    </row>
    <row r="104" spans="1:32" ht="16.5" customHeight="1" x14ac:dyDescent="0.15">
      <c r="A104" s="41">
        <v>15</v>
      </c>
      <c r="B104" s="41" t="s">
        <v>29329</v>
      </c>
      <c r="C104" s="74" t="s">
        <v>29330</v>
      </c>
      <c r="D104" s="72"/>
      <c r="F104" s="57"/>
      <c r="G104" s="72"/>
      <c r="I104" s="57"/>
      <c r="J104" s="72" t="s">
        <v>17589</v>
      </c>
      <c r="L104" s="57"/>
      <c r="M104" s="35"/>
      <c r="P104" s="299" t="s">
        <v>17556</v>
      </c>
      <c r="Q104" s="45" t="s">
        <v>398</v>
      </c>
      <c r="R104" s="46">
        <v>1</v>
      </c>
      <c r="S104" s="512"/>
      <c r="T104" s="57"/>
      <c r="U104" s="512"/>
      <c r="V104" s="57"/>
      <c r="W104" s="122"/>
      <c r="X104" s="37"/>
      <c r="Y104" s="38"/>
      <c r="Z104" s="79"/>
      <c r="AA104" s="72"/>
      <c r="AD104" s="57"/>
      <c r="AE104" s="208">
        <f>ROUND((ROUND((_15_同援日０．５*_15・通訳),0)*_15・２人),0)+ROUND((ROUND((ROUND((_15_同援日０．５＿１．５*_15・通訳),0)*_15・２人),0)*(1+_15・B夜間)),0)+ROUND((ROUND((ROUND((_15_同援日０．５＿１．５＿１．０*_15・通訳),0)*_15・２人),0)*(1+_15・C深夜)),0)</f>
        <v>693</v>
      </c>
      <c r="AF104" s="48"/>
    </row>
    <row r="105" spans="1:32" ht="16.5" customHeight="1" x14ac:dyDescent="0.15">
      <c r="A105" s="41">
        <v>15</v>
      </c>
      <c r="B105" s="41" t="s">
        <v>29331</v>
      </c>
      <c r="C105" s="74" t="s">
        <v>29332</v>
      </c>
      <c r="D105" s="72"/>
      <c r="F105" s="57"/>
      <c r="G105" s="72"/>
      <c r="I105" s="57"/>
      <c r="J105" s="72" t="s">
        <v>17591</v>
      </c>
      <c r="L105" s="57"/>
      <c r="M105" s="35"/>
      <c r="P105" s="299"/>
      <c r="Q105" s="45"/>
      <c r="R105" s="46"/>
      <c r="S105" s="512"/>
      <c r="T105" s="57"/>
      <c r="U105" s="512"/>
      <c r="V105" s="57"/>
      <c r="W105" s="114" t="s">
        <v>17562</v>
      </c>
      <c r="X105" s="49"/>
      <c r="Y105" s="50"/>
      <c r="Z105" s="115"/>
      <c r="AA105" s="72"/>
      <c r="AD105" s="57"/>
      <c r="AE105" s="208">
        <f>ROUND((ROUND((_15_同援日０．５*_15・通訳),0)*(1+_15・盲ろう)),0)+ROUND((ROUND((ROUND((_15_同援日０．５＿１．５*_15・通訳),0)*(1+_15・B夜間)),0)*(1+_15・盲ろう)),0)+ROUND((ROUND((ROUND((_15_同援日０．５＿１．５＿１．０*_15・通訳),0)*(1+_15・C深夜)),0)*(1+_15・盲ろう)),0)</f>
        <v>867</v>
      </c>
      <c r="AF105" s="48"/>
    </row>
    <row r="106" spans="1:32" ht="16.5" customHeight="1" x14ac:dyDescent="0.15">
      <c r="A106" s="41">
        <v>15</v>
      </c>
      <c r="B106" s="41" t="s">
        <v>29333</v>
      </c>
      <c r="C106" s="74" t="s">
        <v>29334</v>
      </c>
      <c r="D106" s="72"/>
      <c r="F106" s="57"/>
      <c r="G106" s="72"/>
      <c r="I106" s="57"/>
      <c r="J106" s="72"/>
      <c r="K106" s="168">
        <f>_15_同援日０．５＿１．５＿１．０</f>
        <v>130</v>
      </c>
      <c r="L106" s="57" t="s">
        <v>392</v>
      </c>
      <c r="M106" s="35"/>
      <c r="P106" s="299" t="s">
        <v>17556</v>
      </c>
      <c r="Q106" s="45" t="s">
        <v>398</v>
      </c>
      <c r="R106" s="46">
        <v>1</v>
      </c>
      <c r="S106" s="512"/>
      <c r="T106" s="57"/>
      <c r="U106" s="512"/>
      <c r="V106" s="57"/>
      <c r="W106" s="122" t="s">
        <v>17564</v>
      </c>
      <c r="X106" s="37" t="s">
        <v>398</v>
      </c>
      <c r="Y106" s="38">
        <v>0.25</v>
      </c>
      <c r="Z106" s="79" t="s">
        <v>3575</v>
      </c>
      <c r="AA106" s="122"/>
      <c r="AB106" s="37"/>
      <c r="AC106" s="38"/>
      <c r="AD106" s="79"/>
      <c r="AE106" s="208">
        <f>ROUND((ROUND((ROUND((_15_同援日０．５*_15・通訳),0)*_15・２人),0)*(1+_15・盲ろう)),0)+ROUND((ROUND((ROUND((ROUND((_15_同援日０．５＿１．５*_15・通訳),0)*_15・２人),0)*(1+_15・B夜間)),0)*(1+_15・盲ろう)),0)+ROUND((ROUND((ROUND((ROUND((_15_同援日０．５＿１．５＿１．０*_15・通訳),0)*_15・２人),0)*(1+_15・C深夜)),0)*(1+_15・盲ろう)),0)</f>
        <v>867</v>
      </c>
      <c r="AF106" s="48"/>
    </row>
    <row r="107" spans="1:32" ht="16.5" customHeight="1" x14ac:dyDescent="0.15">
      <c r="A107" s="41">
        <v>15</v>
      </c>
      <c r="B107" s="41" t="s">
        <v>3747</v>
      </c>
      <c r="C107" s="74" t="s">
        <v>29335</v>
      </c>
      <c r="D107" s="72"/>
      <c r="F107" s="57"/>
      <c r="G107" s="72"/>
      <c r="I107" s="57"/>
      <c r="J107" s="72"/>
      <c r="L107" s="57"/>
      <c r="M107" s="35"/>
      <c r="P107" s="299"/>
      <c r="Q107" s="45"/>
      <c r="R107" s="46"/>
      <c r="S107" s="512"/>
      <c r="T107" s="57"/>
      <c r="U107" s="512"/>
      <c r="V107" s="57"/>
      <c r="W107" s="114"/>
      <c r="X107" s="49"/>
      <c r="Y107" s="50"/>
      <c r="Z107" s="115"/>
      <c r="AA107" s="114" t="s">
        <v>17570</v>
      </c>
      <c r="AB107" s="49"/>
      <c r="AC107" s="50"/>
      <c r="AD107" s="115"/>
      <c r="AE107" s="208">
        <f>ROUND((ROUND((_15_同援日０．５*_15・通訳),0)*(1+_15・区３)),0)+ROUND((ROUND((ROUND((_15_同援日０．５＿１．５*_15・通訳),0)*(1+_15・B夜間)),0)*(1+_15・区３)),0)+ROUND((ROUND((ROUND((_15_同援日０．５＿１．５＿１．０*_15・通訳),0)*(1+_15・C深夜)),0)*(1+_15・区３)),0)</f>
        <v>831</v>
      </c>
      <c r="AF107" s="48"/>
    </row>
    <row r="108" spans="1:32" ht="16.5" customHeight="1" x14ac:dyDescent="0.15">
      <c r="A108" s="41">
        <v>15</v>
      </c>
      <c r="B108" s="41" t="s">
        <v>3749</v>
      </c>
      <c r="C108" s="74" t="s">
        <v>29336</v>
      </c>
      <c r="D108" s="72"/>
      <c r="F108" s="57"/>
      <c r="G108" s="72"/>
      <c r="I108" s="57"/>
      <c r="J108" s="72"/>
      <c r="L108" s="57"/>
      <c r="M108" s="35"/>
      <c r="P108" s="299" t="s">
        <v>17556</v>
      </c>
      <c r="Q108" s="45" t="s">
        <v>398</v>
      </c>
      <c r="R108" s="46">
        <v>1</v>
      </c>
      <c r="S108" s="512"/>
      <c r="T108" s="57"/>
      <c r="U108" s="512"/>
      <c r="V108" s="57"/>
      <c r="W108" s="122"/>
      <c r="X108" s="37"/>
      <c r="Y108" s="38"/>
      <c r="Z108" s="79"/>
      <c r="AA108" s="72" t="s">
        <v>17572</v>
      </c>
      <c r="AD108" s="57"/>
      <c r="AE108" s="208">
        <f>ROUND((ROUND((ROUND((_15_同援日０．５*_15・通訳),0)*_15・２人),0)*(1+_15・区３)),0)+ROUND((ROUND((ROUND((ROUND((_15_同援日０．５＿１．５*_15・通訳),0)*_15・２人),0)*(1+_15・B夜間)),0)*(1+_15・区３)),0)+ROUND((ROUND((ROUND((ROUND((_15_同援日０．５＿１．５＿１．０*_15・通訳),0)*_15・２人),0)*(1+_15・C深夜)),0)*(1+_15・区３)),0)</f>
        <v>831</v>
      </c>
      <c r="AF108" s="48"/>
    </row>
    <row r="109" spans="1:32" ht="16.5" customHeight="1" x14ac:dyDescent="0.15">
      <c r="A109" s="41">
        <v>15</v>
      </c>
      <c r="B109" s="41" t="s">
        <v>29337</v>
      </c>
      <c r="C109" s="74" t="s">
        <v>29338</v>
      </c>
      <c r="D109" s="72"/>
      <c r="F109" s="57"/>
      <c r="G109" s="72"/>
      <c r="I109" s="57"/>
      <c r="J109" s="72"/>
      <c r="L109" s="57"/>
      <c r="M109" s="35"/>
      <c r="P109" s="299"/>
      <c r="Q109" s="45"/>
      <c r="R109" s="46"/>
      <c r="S109" s="512"/>
      <c r="T109" s="57"/>
      <c r="U109" s="512"/>
      <c r="V109" s="57"/>
      <c r="W109" s="114" t="s">
        <v>17562</v>
      </c>
      <c r="X109" s="49"/>
      <c r="Y109" s="50"/>
      <c r="Z109" s="115"/>
      <c r="AA109" s="72"/>
      <c r="AB109" s="12" t="s">
        <v>398</v>
      </c>
      <c r="AC109" s="13">
        <v>0.2</v>
      </c>
      <c r="AD109" s="57" t="s">
        <v>3575</v>
      </c>
      <c r="AE109" s="208">
        <f>ROUND((ROUND((ROUND((_15_同援日０．５*_15・通訳),0)*(1+_15・盲ろう)),0)*(1+_15・区３)),0)+ROUND((ROUND((ROUND((ROUND((_15_同援日０．５＿１．５*_15・通訳),0)*(1+_15・B夜間)),0)*(1+_15・盲ろう)),0)*(1+_15・区３)),0)+ROUND((ROUND((ROUND((ROUND((_15_同援日０．５＿１．５＿１．０*_15・通訳),0)*(1+_15・C深夜)),0)*(1+_15・盲ろう)),0)*(1+_15・区３)),0)</f>
        <v>1041</v>
      </c>
      <c r="AF109" s="48"/>
    </row>
    <row r="110" spans="1:32" ht="16.5" customHeight="1" x14ac:dyDescent="0.15">
      <c r="A110" s="41">
        <v>15</v>
      </c>
      <c r="B110" s="41" t="s">
        <v>29339</v>
      </c>
      <c r="C110" s="74" t="s">
        <v>29340</v>
      </c>
      <c r="D110" s="72"/>
      <c r="F110" s="57"/>
      <c r="G110" s="72"/>
      <c r="I110" s="57"/>
      <c r="J110" s="72"/>
      <c r="L110" s="57"/>
      <c r="M110" s="35"/>
      <c r="P110" s="299" t="s">
        <v>17556</v>
      </c>
      <c r="Q110" s="45" t="s">
        <v>398</v>
      </c>
      <c r="R110" s="46">
        <v>1</v>
      </c>
      <c r="S110" s="512"/>
      <c r="T110" s="57"/>
      <c r="U110" s="512"/>
      <c r="V110" s="57"/>
      <c r="W110" s="122" t="s">
        <v>17564</v>
      </c>
      <c r="X110" s="37" t="s">
        <v>398</v>
      </c>
      <c r="Y110" s="38">
        <v>0.25</v>
      </c>
      <c r="Z110" s="79" t="s">
        <v>3575</v>
      </c>
      <c r="AA110" s="122"/>
      <c r="AB110" s="37"/>
      <c r="AC110" s="38"/>
      <c r="AD110" s="79"/>
      <c r="AE110" s="208">
        <f>ROUND((ROUND((ROUND((ROUND((_15_同援日０．５*_15・通訳),0)*_15・２人),0)*(1+_15・盲ろう)),0)*(1+_15・区３)),0)+ROUND((ROUND((ROUND((ROUND((ROUND((_15_同援日０．５＿１．５*_15・通訳),0)*_15・２人),0)*(1+_15・B夜間)),0)*(1+_15・盲ろう)),0)*(1+_15・区３)),0)+ROUND((ROUND((ROUND((ROUND((ROUND((_15_同援日０．５＿１．５＿１．０*_15・通訳),0)*_15・２人),0)*(1+_15・C深夜)),0)*(1+_15・盲ろう)),0)*(1+_15・区３)),0)</f>
        <v>1041</v>
      </c>
      <c r="AF110" s="48"/>
    </row>
    <row r="111" spans="1:32" ht="16.5" customHeight="1" x14ac:dyDescent="0.15">
      <c r="A111" s="41">
        <v>15</v>
      </c>
      <c r="B111" s="41" t="s">
        <v>29341</v>
      </c>
      <c r="C111" s="74" t="s">
        <v>29342</v>
      </c>
      <c r="D111" s="72"/>
      <c r="F111" s="57"/>
      <c r="G111" s="72"/>
      <c r="I111" s="57"/>
      <c r="J111" s="72"/>
      <c r="L111" s="57"/>
      <c r="M111" s="35"/>
      <c r="P111" s="299"/>
      <c r="Q111" s="45"/>
      <c r="R111" s="46"/>
      <c r="S111" s="512"/>
      <c r="T111" s="57"/>
      <c r="U111" s="512"/>
      <c r="V111" s="57"/>
      <c r="W111" s="114"/>
      <c r="X111" s="49"/>
      <c r="Y111" s="50"/>
      <c r="Z111" s="115"/>
      <c r="AA111" s="114" t="s">
        <v>17580</v>
      </c>
      <c r="AB111" s="49"/>
      <c r="AC111" s="50"/>
      <c r="AD111" s="115"/>
      <c r="AE111" s="208">
        <f>ROUND((ROUND((_15_同援日０．５*_15・通訳),0)*(1+_15・区４)),0)+ROUND((ROUND((ROUND((_15_同援日０．５＿１．５*_15・通訳),0)*(1+_15・B夜間)),0)*(1+_15・区４)),0)+ROUND((ROUND((ROUND((_15_同援日０．５＿１．５＿１．０*_15・通訳),0)*(1+_15・C深夜)),0)*(1+_15・区４)),0)</f>
        <v>969</v>
      </c>
      <c r="AF111" s="48"/>
    </row>
    <row r="112" spans="1:32" ht="16.5" customHeight="1" x14ac:dyDescent="0.15">
      <c r="A112" s="41">
        <v>15</v>
      </c>
      <c r="B112" s="41" t="s">
        <v>29343</v>
      </c>
      <c r="C112" s="74" t="s">
        <v>29344</v>
      </c>
      <c r="D112" s="72"/>
      <c r="F112" s="57"/>
      <c r="G112" s="72"/>
      <c r="I112" s="57"/>
      <c r="J112" s="72"/>
      <c r="L112" s="57"/>
      <c r="M112" s="35"/>
      <c r="P112" s="299" t="s">
        <v>17556</v>
      </c>
      <c r="Q112" s="45" t="s">
        <v>398</v>
      </c>
      <c r="R112" s="46">
        <v>1</v>
      </c>
      <c r="S112" s="512"/>
      <c r="T112" s="57"/>
      <c r="U112" s="512"/>
      <c r="V112" s="57"/>
      <c r="W112" s="122"/>
      <c r="X112" s="37"/>
      <c r="Y112" s="38"/>
      <c r="Z112" s="79"/>
      <c r="AA112" s="72" t="s">
        <v>17572</v>
      </c>
      <c r="AD112" s="57"/>
      <c r="AE112" s="208">
        <f>ROUND((ROUND((ROUND((_15_同援日０．５*_15・通訳),0)*_15・２人),0)*(1+_15・区４)),0)+ROUND((ROUND((ROUND((ROUND((_15_同援日０．５＿１．５*_15・通訳),0)*_15・２人),0)*(1+_15・B夜間)),0)*(1+_15・区４)),0)+ROUND((ROUND((ROUND((ROUND((_15_同援日０．５＿１．５＿１．０*_15・通訳),0)*_15・２人),0)*(1+_15・C深夜)),0)*(1+_15・区４)),0)</f>
        <v>969</v>
      </c>
      <c r="AF112" s="48"/>
    </row>
    <row r="113" spans="1:32" ht="16.5" customHeight="1" x14ac:dyDescent="0.15">
      <c r="A113" s="41">
        <v>15</v>
      </c>
      <c r="B113" s="41" t="s">
        <v>29345</v>
      </c>
      <c r="C113" s="74" t="s">
        <v>29346</v>
      </c>
      <c r="D113" s="72"/>
      <c r="F113" s="57"/>
      <c r="G113" s="72"/>
      <c r="I113" s="57"/>
      <c r="J113" s="72"/>
      <c r="L113" s="57"/>
      <c r="M113" s="35"/>
      <c r="P113" s="299"/>
      <c r="Q113" s="45"/>
      <c r="R113" s="46"/>
      <c r="S113" s="512"/>
      <c r="T113" s="57"/>
      <c r="U113" s="512"/>
      <c r="V113" s="57"/>
      <c r="W113" s="114" t="s">
        <v>17562</v>
      </c>
      <c r="X113" s="49"/>
      <c r="Y113" s="50"/>
      <c r="Z113" s="115"/>
      <c r="AA113" s="72"/>
      <c r="AB113" s="12" t="s">
        <v>398</v>
      </c>
      <c r="AC113" s="13">
        <v>0.4</v>
      </c>
      <c r="AD113" s="57" t="s">
        <v>3575</v>
      </c>
      <c r="AE113" s="208">
        <f>ROUND((ROUND((ROUND((_15_同援日０．５*_15・通訳),0)*(1+_15・盲ろう)),0)*(1+_15・区４)),0)+ROUND((ROUND((ROUND((ROUND((_15_同援日０．５＿１．５*_15・通訳),0)*(1+_15・B夜間)),0)*(1+_15・盲ろう)),0)*(1+_15・区４)),0)+ROUND((ROUND((ROUND((ROUND((_15_同援日０．５＿１．５＿１．０*_15・通訳),0)*(1+_15・C深夜)),0)*(1+_15・盲ろう)),0)*(1+_15・区４)),0)</f>
        <v>1214</v>
      </c>
      <c r="AF113" s="48"/>
    </row>
    <row r="114" spans="1:32" ht="16.5" customHeight="1" x14ac:dyDescent="0.15">
      <c r="A114" s="41">
        <v>15</v>
      </c>
      <c r="B114" s="41" t="s">
        <v>29347</v>
      </c>
      <c r="C114" s="74" t="s">
        <v>29348</v>
      </c>
      <c r="D114" s="72"/>
      <c r="F114" s="57"/>
      <c r="G114" s="122"/>
      <c r="H114" s="37"/>
      <c r="I114" s="79"/>
      <c r="J114" s="122"/>
      <c r="K114" s="37"/>
      <c r="L114" s="79"/>
      <c r="M114" s="35"/>
      <c r="P114" s="299" t="s">
        <v>17556</v>
      </c>
      <c r="Q114" s="45" t="s">
        <v>398</v>
      </c>
      <c r="R114" s="46">
        <v>1</v>
      </c>
      <c r="S114" s="512"/>
      <c r="T114" s="57"/>
      <c r="U114" s="512"/>
      <c r="V114" s="57"/>
      <c r="W114" s="122" t="s">
        <v>17564</v>
      </c>
      <c r="X114" s="37" t="s">
        <v>398</v>
      </c>
      <c r="Y114" s="38">
        <v>0.25</v>
      </c>
      <c r="Z114" s="79" t="s">
        <v>3575</v>
      </c>
      <c r="AA114" s="122"/>
      <c r="AB114" s="37"/>
      <c r="AC114" s="38"/>
      <c r="AD114" s="79"/>
      <c r="AE114" s="208">
        <f>ROUND((ROUND((ROUND((ROUND((_15_同援日０．５*_15・通訳),0)*_15・２人),0)*(1+_15・盲ろう)),0)*(1+_15・区４)),0)+ROUND((ROUND((ROUND((ROUND((ROUND((_15_同援日０．５＿１．５*_15・通訳),0)*_15・２人),0)*(1+_15・B夜間)),0)*(1+_15・盲ろう)),0)*(1+_15・区４)),0)+ROUND((ROUND((ROUND((ROUND((ROUND((_15_同援日０．５＿１．５＿１．０*_15・通訳),0)*_15・２人),0)*(1+_15・C深夜)),0)*(1+_15・盲ろう)),0)*(1+_15・区４)),0)</f>
        <v>1214</v>
      </c>
      <c r="AF114" s="48"/>
    </row>
    <row r="115" spans="1:32" ht="16.5" customHeight="1" x14ac:dyDescent="0.15">
      <c r="A115" s="41">
        <v>15</v>
      </c>
      <c r="B115" s="41" t="s">
        <v>29349</v>
      </c>
      <c r="C115" s="74" t="s">
        <v>29350</v>
      </c>
      <c r="D115" s="72"/>
      <c r="F115" s="57"/>
      <c r="G115" s="114" t="s">
        <v>19628</v>
      </c>
      <c r="H115" s="49"/>
      <c r="I115" s="115"/>
      <c r="J115" s="114" t="s">
        <v>22681</v>
      </c>
      <c r="K115" s="49"/>
      <c r="L115" s="115"/>
      <c r="M115" s="35"/>
      <c r="P115" s="299"/>
      <c r="Q115" s="45"/>
      <c r="R115" s="46"/>
      <c r="S115" s="512"/>
      <c r="T115" s="57"/>
      <c r="U115" s="512"/>
      <c r="V115" s="57"/>
      <c r="W115" s="114"/>
      <c r="X115" s="49"/>
      <c r="Y115" s="50"/>
      <c r="Z115" s="115"/>
      <c r="AA115" s="114"/>
      <c r="AB115" s="49"/>
      <c r="AC115" s="50"/>
      <c r="AD115" s="115"/>
      <c r="AE115" s="208">
        <f>ROUND((_15_同援日０．５*_15・通訳),0)+ROUND((ROUND((_15_同援日０．５＿２．０*_15・通訳),0)*(1+_15・B夜間)),0)+ROUND((ROUND((_15_同援日０．５＿２．０＿０．５*_15・通訳),0)*(1+_15・C深夜)),0)</f>
        <v>680</v>
      </c>
      <c r="AF115" s="48"/>
    </row>
    <row r="116" spans="1:32" ht="16.5" customHeight="1" x14ac:dyDescent="0.15">
      <c r="A116" s="41">
        <v>15</v>
      </c>
      <c r="B116" s="41" t="s">
        <v>29351</v>
      </c>
      <c r="C116" s="74" t="s">
        <v>29352</v>
      </c>
      <c r="D116" s="72"/>
      <c r="F116" s="57"/>
      <c r="G116" s="72" t="s">
        <v>17643</v>
      </c>
      <c r="I116" s="57"/>
      <c r="J116" s="72" t="s">
        <v>18259</v>
      </c>
      <c r="L116" s="57"/>
      <c r="M116" s="35"/>
      <c r="P116" s="299" t="s">
        <v>17556</v>
      </c>
      <c r="Q116" s="45" t="s">
        <v>398</v>
      </c>
      <c r="R116" s="46">
        <v>1</v>
      </c>
      <c r="S116" s="512"/>
      <c r="T116" s="57"/>
      <c r="U116" s="512"/>
      <c r="V116" s="57"/>
      <c r="W116" s="122"/>
      <c r="X116" s="37"/>
      <c r="Y116" s="38"/>
      <c r="Z116" s="79"/>
      <c r="AA116" s="72"/>
      <c r="AD116" s="57"/>
      <c r="AE116" s="208">
        <f>ROUND((ROUND((_15_同援日０．５*_15・通訳),0)*_15・２人),0)+ROUND((ROUND((ROUND((_15_同援日０．５＿２．０*_15・通訳),0)*_15・２人),0)*(1+_15・B夜間)),0)+ROUND((ROUND((ROUND((_15_同援日０．５＿２．０＿０．５*_15・通訳),0)*_15・２人),0)*(1+_15・C深夜)),0)</f>
        <v>680</v>
      </c>
      <c r="AF116" s="48"/>
    </row>
    <row r="117" spans="1:32" ht="16.5" customHeight="1" x14ac:dyDescent="0.15">
      <c r="A117" s="41">
        <v>15</v>
      </c>
      <c r="B117" s="41" t="s">
        <v>3753</v>
      </c>
      <c r="C117" s="74" t="s">
        <v>29353</v>
      </c>
      <c r="D117" s="72"/>
      <c r="F117" s="57"/>
      <c r="G117" s="72" t="s">
        <v>17645</v>
      </c>
      <c r="I117" s="57"/>
      <c r="J117" s="72"/>
      <c r="L117" s="57"/>
      <c r="M117" s="35"/>
      <c r="P117" s="299"/>
      <c r="Q117" s="45"/>
      <c r="R117" s="46"/>
      <c r="S117" s="512"/>
      <c r="T117" s="57"/>
      <c r="U117" s="512"/>
      <c r="V117" s="57"/>
      <c r="W117" s="114" t="s">
        <v>17562</v>
      </c>
      <c r="X117" s="49"/>
      <c r="Y117" s="50"/>
      <c r="Z117" s="115"/>
      <c r="AA117" s="72"/>
      <c r="AD117" s="57"/>
      <c r="AE117" s="208">
        <f>ROUND((ROUND((_15_同援日０．５*_15・通訳),0)*(1+_15・盲ろう)),0)+ROUND((ROUND((ROUND((_15_同援日０．５＿２．０*_15・通訳),0)*(1+_15・B夜間)),0)*(1+_15・盲ろう)),0)+ROUND((ROUND((ROUND((_15_同援日０．５＿２．０＿０．５*_15・通訳),0)*(1+_15・C深夜)),0)*(1+_15・盲ろう)),0)</f>
        <v>850</v>
      </c>
      <c r="AF117" s="48"/>
    </row>
    <row r="118" spans="1:32" ht="16.5" customHeight="1" x14ac:dyDescent="0.15">
      <c r="A118" s="41">
        <v>15</v>
      </c>
      <c r="B118" s="41" t="s">
        <v>3755</v>
      </c>
      <c r="C118" s="74" t="s">
        <v>29354</v>
      </c>
      <c r="D118" s="72"/>
      <c r="F118" s="57"/>
      <c r="G118" s="72"/>
      <c r="H118" s="168">
        <f>_15_同援日０．５＿２．０</f>
        <v>373</v>
      </c>
      <c r="I118" s="57" t="s">
        <v>392</v>
      </c>
      <c r="J118" s="72"/>
      <c r="K118" s="168">
        <f>_15_同援日０．５＿２．０＿０．５</f>
        <v>65</v>
      </c>
      <c r="L118" s="57" t="s">
        <v>392</v>
      </c>
      <c r="M118" s="35"/>
      <c r="P118" s="299" t="s">
        <v>17556</v>
      </c>
      <c r="Q118" s="45" t="s">
        <v>398</v>
      </c>
      <c r="R118" s="46">
        <v>1</v>
      </c>
      <c r="S118" s="512"/>
      <c r="T118" s="57"/>
      <c r="U118" s="512"/>
      <c r="V118" s="57"/>
      <c r="W118" s="122" t="s">
        <v>17564</v>
      </c>
      <c r="X118" s="37" t="s">
        <v>398</v>
      </c>
      <c r="Y118" s="38">
        <v>0.25</v>
      </c>
      <c r="Z118" s="79" t="s">
        <v>3575</v>
      </c>
      <c r="AA118" s="122"/>
      <c r="AB118" s="37"/>
      <c r="AC118" s="38"/>
      <c r="AD118" s="79"/>
      <c r="AE118" s="208">
        <f>ROUND((ROUND((ROUND((_15_同援日０．５*_15・通訳),0)*_15・２人),0)*(1+_15・盲ろう)),0)+ROUND((ROUND((ROUND((ROUND((_15_同援日０．５＿２．０*_15・通訳),0)*_15・２人),0)*(1+_15・B夜間)),0)*(1+_15・盲ろう)),0)+ROUND((ROUND((ROUND((ROUND((_15_同援日０．５＿２．０＿０．５*_15・通訳),0)*_15・２人),0)*(1+_15・C深夜)),0)*(1+_15・盲ろう)),0)</f>
        <v>850</v>
      </c>
      <c r="AF118" s="48"/>
    </row>
    <row r="119" spans="1:32" ht="16.5" customHeight="1" x14ac:dyDescent="0.15">
      <c r="A119" s="41">
        <v>15</v>
      </c>
      <c r="B119" s="41" t="s">
        <v>29355</v>
      </c>
      <c r="C119" s="74" t="s">
        <v>29356</v>
      </c>
      <c r="D119" s="72"/>
      <c r="F119" s="57"/>
      <c r="G119" s="72"/>
      <c r="I119" s="57"/>
      <c r="J119" s="72"/>
      <c r="L119" s="57"/>
      <c r="M119" s="35"/>
      <c r="P119" s="299"/>
      <c r="Q119" s="45"/>
      <c r="R119" s="46"/>
      <c r="S119" s="512"/>
      <c r="T119" s="57"/>
      <c r="U119" s="512"/>
      <c r="V119" s="57"/>
      <c r="W119" s="114"/>
      <c r="X119" s="49"/>
      <c r="Y119" s="50"/>
      <c r="Z119" s="115"/>
      <c r="AA119" s="114" t="s">
        <v>17570</v>
      </c>
      <c r="AB119" s="49"/>
      <c r="AC119" s="50"/>
      <c r="AD119" s="115"/>
      <c r="AE119" s="208">
        <f>ROUND((ROUND((_15_同援日０．５*_15・通訳),0)*(1+_15・区３)),0)+ROUND((ROUND((ROUND((_15_同援日０．５＿２．０*_15・通訳),0)*(1+_15・B夜間)),0)*(1+_15・区３)),0)+ROUND((ROUND((ROUND((_15_同援日０．５＿２．０＿０．５*_15・通訳),0)*(1+_15・C深夜)),0)*(1+_15・区３)),0)</f>
        <v>816</v>
      </c>
      <c r="AF119" s="48"/>
    </row>
    <row r="120" spans="1:32" ht="16.5" customHeight="1" x14ac:dyDescent="0.15">
      <c r="A120" s="41">
        <v>15</v>
      </c>
      <c r="B120" s="41" t="s">
        <v>29357</v>
      </c>
      <c r="C120" s="74" t="s">
        <v>29358</v>
      </c>
      <c r="D120" s="72"/>
      <c r="F120" s="57"/>
      <c r="G120" s="72"/>
      <c r="I120" s="57"/>
      <c r="J120" s="72"/>
      <c r="L120" s="57"/>
      <c r="M120" s="35"/>
      <c r="P120" s="299" t="s">
        <v>17556</v>
      </c>
      <c r="Q120" s="45" t="s">
        <v>398</v>
      </c>
      <c r="R120" s="46">
        <v>1</v>
      </c>
      <c r="S120" s="512"/>
      <c r="T120" s="57"/>
      <c r="U120" s="512"/>
      <c r="V120" s="57"/>
      <c r="W120" s="122"/>
      <c r="X120" s="37"/>
      <c r="Y120" s="38"/>
      <c r="Z120" s="79"/>
      <c r="AA120" s="72" t="s">
        <v>17572</v>
      </c>
      <c r="AD120" s="57"/>
      <c r="AE120" s="208">
        <f>ROUND((ROUND((ROUND((_15_同援日０．５*_15・通訳),0)*_15・２人),0)*(1+_15・区３)),0)+ROUND((ROUND((ROUND((ROUND((_15_同援日０．５＿２．０*_15・通訳),0)*_15・２人),0)*(1+_15・B夜間)),0)*(1+_15・区３)),0)+ROUND((ROUND((ROUND((ROUND((_15_同援日０．５＿２．０＿０．５*_15・通訳),0)*_15・２人),0)*(1+_15・C深夜)),0)*(1+_15・区３)),0)</f>
        <v>816</v>
      </c>
      <c r="AF120" s="48"/>
    </row>
    <row r="121" spans="1:32" ht="16.5" customHeight="1" x14ac:dyDescent="0.15">
      <c r="A121" s="41">
        <v>15</v>
      </c>
      <c r="B121" s="41" t="s">
        <v>29359</v>
      </c>
      <c r="C121" s="74" t="s">
        <v>29360</v>
      </c>
      <c r="D121" s="72"/>
      <c r="F121" s="57"/>
      <c r="G121" s="72"/>
      <c r="I121" s="57"/>
      <c r="J121" s="72"/>
      <c r="L121" s="57"/>
      <c r="M121" s="35"/>
      <c r="P121" s="299"/>
      <c r="Q121" s="45"/>
      <c r="R121" s="46"/>
      <c r="S121" s="512"/>
      <c r="T121" s="57"/>
      <c r="U121" s="512"/>
      <c r="V121" s="57"/>
      <c r="W121" s="114" t="s">
        <v>17562</v>
      </c>
      <c r="X121" s="49"/>
      <c r="Y121" s="50"/>
      <c r="Z121" s="115"/>
      <c r="AA121" s="72"/>
      <c r="AB121" s="12" t="s">
        <v>398</v>
      </c>
      <c r="AC121" s="13">
        <v>0.2</v>
      </c>
      <c r="AD121" s="57" t="s">
        <v>3575</v>
      </c>
      <c r="AE121" s="208">
        <f>ROUND((ROUND((ROUND((_15_同援日０．５*_15・通訳),0)*(1+_15・盲ろう)),0)*(1+_15・区３)),0)+ROUND((ROUND((ROUND((ROUND((_15_同援日０．５＿２．０*_15・通訳),0)*(1+_15・B夜間)),0)*(1+_15・盲ろう)),0)*(1+_15・区３)),0)+ROUND((ROUND((ROUND((ROUND((_15_同援日０．５＿２．０＿０．５*_15・通訳),0)*(1+_15・C深夜)),0)*(1+_15・盲ろう)),0)*(1+_15・区３)),0)</f>
        <v>1020</v>
      </c>
      <c r="AF121" s="48"/>
    </row>
    <row r="122" spans="1:32" ht="16.5" customHeight="1" x14ac:dyDescent="0.15">
      <c r="A122" s="41">
        <v>15</v>
      </c>
      <c r="B122" s="41" t="s">
        <v>29361</v>
      </c>
      <c r="C122" s="74" t="s">
        <v>29362</v>
      </c>
      <c r="D122" s="72"/>
      <c r="F122" s="57"/>
      <c r="G122" s="72"/>
      <c r="I122" s="57"/>
      <c r="J122" s="72"/>
      <c r="L122" s="57"/>
      <c r="M122" s="35"/>
      <c r="P122" s="299" t="s">
        <v>17556</v>
      </c>
      <c r="Q122" s="45" t="s">
        <v>398</v>
      </c>
      <c r="R122" s="46">
        <v>1</v>
      </c>
      <c r="S122" s="512"/>
      <c r="T122" s="57"/>
      <c r="U122" s="512"/>
      <c r="V122" s="57"/>
      <c r="W122" s="122" t="s">
        <v>17564</v>
      </c>
      <c r="X122" s="37" t="s">
        <v>398</v>
      </c>
      <c r="Y122" s="38">
        <v>0.25</v>
      </c>
      <c r="Z122" s="79" t="s">
        <v>3575</v>
      </c>
      <c r="AA122" s="122"/>
      <c r="AB122" s="37"/>
      <c r="AC122" s="38"/>
      <c r="AD122" s="79"/>
      <c r="AE122" s="208">
        <f>ROUND((ROUND((ROUND((ROUND((_15_同援日０．５*_15・通訳),0)*_15・２人),0)*(1+_15・盲ろう)),0)*(1+_15・区３)),0)+ROUND((ROUND((ROUND((ROUND((ROUND((_15_同援日０．５＿２．０*_15・通訳),0)*_15・２人),0)*(1+_15・B夜間)),0)*(1+_15・盲ろう)),0)*(1+_15・区３)),0)+ROUND((ROUND((ROUND((ROUND((ROUND((_15_同援日０．５＿２．０＿０．５*_15・通訳),0)*_15・２人),0)*(1+_15・C深夜)),0)*(1+_15・盲ろう)),0)*(1+_15・区３)),0)</f>
        <v>1020</v>
      </c>
      <c r="AF122" s="48"/>
    </row>
    <row r="123" spans="1:32" ht="16.5" customHeight="1" x14ac:dyDescent="0.15">
      <c r="A123" s="41">
        <v>15</v>
      </c>
      <c r="B123" s="41" t="s">
        <v>29363</v>
      </c>
      <c r="C123" s="74" t="s">
        <v>29364</v>
      </c>
      <c r="D123" s="72"/>
      <c r="F123" s="57"/>
      <c r="G123" s="72"/>
      <c r="I123" s="57"/>
      <c r="J123" s="72"/>
      <c r="L123" s="57"/>
      <c r="M123" s="35"/>
      <c r="P123" s="299"/>
      <c r="Q123" s="45"/>
      <c r="R123" s="46"/>
      <c r="S123" s="512"/>
      <c r="T123" s="57"/>
      <c r="U123" s="512"/>
      <c r="V123" s="57"/>
      <c r="W123" s="114"/>
      <c r="X123" s="49"/>
      <c r="Y123" s="50"/>
      <c r="Z123" s="115"/>
      <c r="AA123" s="114" t="s">
        <v>17580</v>
      </c>
      <c r="AB123" s="49"/>
      <c r="AC123" s="50"/>
      <c r="AD123" s="115"/>
      <c r="AE123" s="208">
        <f>ROUND((ROUND((_15_同援日０．５*_15・通訳),0)*(1+_15・区４)),0)+ROUND((ROUND((ROUND((_15_同援日０．５＿２．０*_15・通訳),0)*(1+_15・B夜間)),0)*(1+_15・区４)),0)+ROUND((ROUND((ROUND((_15_同援日０．５＿２．０＿０．５*_15・通訳),0)*(1+_15・C深夜)),0)*(1+_15・区４)),0)</f>
        <v>952</v>
      </c>
      <c r="AF123" s="48"/>
    </row>
    <row r="124" spans="1:32" ht="16.5" customHeight="1" x14ac:dyDescent="0.15">
      <c r="A124" s="41">
        <v>15</v>
      </c>
      <c r="B124" s="41" t="s">
        <v>29365</v>
      </c>
      <c r="C124" s="74" t="s">
        <v>29366</v>
      </c>
      <c r="D124" s="72"/>
      <c r="F124" s="57"/>
      <c r="G124" s="72"/>
      <c r="I124" s="57"/>
      <c r="J124" s="72"/>
      <c r="L124" s="57"/>
      <c r="M124" s="35"/>
      <c r="P124" s="299" t="s">
        <v>17556</v>
      </c>
      <c r="Q124" s="45" t="s">
        <v>398</v>
      </c>
      <c r="R124" s="46">
        <v>1</v>
      </c>
      <c r="S124" s="512"/>
      <c r="T124" s="57"/>
      <c r="U124" s="512"/>
      <c r="V124" s="57"/>
      <c r="W124" s="122"/>
      <c r="X124" s="37"/>
      <c r="Y124" s="38"/>
      <c r="Z124" s="79"/>
      <c r="AA124" s="72" t="s">
        <v>17572</v>
      </c>
      <c r="AD124" s="57"/>
      <c r="AE124" s="208">
        <f>ROUND((ROUND((ROUND((_15_同援日０．５*_15・通訳),0)*_15・２人),0)*(1+_15・区４)),0)+ROUND((ROUND((ROUND((ROUND((_15_同援日０．５＿２．０*_15・通訳),0)*_15・２人),0)*(1+_15・B夜間)),0)*(1+_15・区４)),0)+ROUND((ROUND((ROUND((ROUND((_15_同援日０．５＿２．０＿０．５*_15・通訳),0)*_15・２人),0)*(1+_15・C深夜)),0)*(1+_15・区４)),0)</f>
        <v>952</v>
      </c>
      <c r="AF124" s="48"/>
    </row>
    <row r="125" spans="1:32" ht="16.5" customHeight="1" x14ac:dyDescent="0.15">
      <c r="A125" s="41">
        <v>15</v>
      </c>
      <c r="B125" s="41" t="s">
        <v>29367</v>
      </c>
      <c r="C125" s="74" t="s">
        <v>29368</v>
      </c>
      <c r="D125" s="72"/>
      <c r="F125" s="57"/>
      <c r="G125" s="72"/>
      <c r="I125" s="57"/>
      <c r="J125" s="72"/>
      <c r="L125" s="57"/>
      <c r="M125" s="35"/>
      <c r="P125" s="299"/>
      <c r="Q125" s="45"/>
      <c r="R125" s="46"/>
      <c r="S125" s="512"/>
      <c r="T125" s="57"/>
      <c r="U125" s="512"/>
      <c r="V125" s="57"/>
      <c r="W125" s="114" t="s">
        <v>17562</v>
      </c>
      <c r="X125" s="49"/>
      <c r="Y125" s="50"/>
      <c r="Z125" s="115"/>
      <c r="AA125" s="72"/>
      <c r="AB125" s="12" t="s">
        <v>398</v>
      </c>
      <c r="AC125" s="13">
        <v>0.4</v>
      </c>
      <c r="AD125" s="57" t="s">
        <v>3575</v>
      </c>
      <c r="AE125" s="208">
        <f>ROUND((ROUND((ROUND((_15_同援日０．５*_15・通訳),0)*(1+_15・盲ろう)),0)*(1+_15・区４)),0)+ROUND((ROUND((ROUND((ROUND((_15_同援日０．５＿２．０*_15・通訳),0)*(1+_15・B夜間)),0)*(1+_15・盲ろう)),0)*(1+_15・区４)),0)+ROUND((ROUND((ROUND((ROUND((_15_同援日０．５＿２．０＿０．５*_15・通訳),0)*(1+_15・C深夜)),0)*(1+_15・盲ろう)),0)*(1+_15・区４)),0)</f>
        <v>1190</v>
      </c>
      <c r="AF125" s="48"/>
    </row>
    <row r="126" spans="1:32" ht="16.5" customHeight="1" x14ac:dyDescent="0.15">
      <c r="A126" s="41">
        <v>15</v>
      </c>
      <c r="B126" s="41" t="s">
        <v>29369</v>
      </c>
      <c r="C126" s="74" t="s">
        <v>29370</v>
      </c>
      <c r="D126" s="122"/>
      <c r="E126" s="37"/>
      <c r="F126" s="79"/>
      <c r="G126" s="122"/>
      <c r="H126" s="37"/>
      <c r="I126" s="79"/>
      <c r="J126" s="122"/>
      <c r="K126" s="37"/>
      <c r="L126" s="79"/>
      <c r="M126" s="43"/>
      <c r="N126" s="37"/>
      <c r="O126" s="38"/>
      <c r="P126" s="299" t="s">
        <v>17556</v>
      </c>
      <c r="Q126" s="45" t="s">
        <v>398</v>
      </c>
      <c r="R126" s="46">
        <v>1</v>
      </c>
      <c r="S126" s="514"/>
      <c r="T126" s="79"/>
      <c r="U126" s="514"/>
      <c r="V126" s="79"/>
      <c r="W126" s="122" t="s">
        <v>17564</v>
      </c>
      <c r="X126" s="37" t="s">
        <v>398</v>
      </c>
      <c r="Y126" s="38">
        <v>0.25</v>
      </c>
      <c r="Z126" s="79" t="s">
        <v>3575</v>
      </c>
      <c r="AA126" s="122"/>
      <c r="AB126" s="37"/>
      <c r="AC126" s="38"/>
      <c r="AD126" s="79"/>
      <c r="AE126" s="208">
        <f>ROUND((ROUND((ROUND((ROUND((_15_同援日０．５*_15・通訳),0)*_15・２人),0)*(1+_15・盲ろう)),0)*(1+_15・区４)),0)+ROUND((ROUND((ROUND((ROUND((ROUND((_15_同援日０．５＿２．０*_15・通訳),0)*_15・２人),0)*(1+_15・B夜間)),0)*(1+_15・盲ろう)),0)*(1+_15・区４)),0)+ROUND((ROUND((ROUND((ROUND((ROUND((_15_同援日０．５＿２．０＿０．５*_15・通訳),0)*_15・２人),0)*(1+_15・C深夜)),0)*(1+_15・盲ろう)),0)*(1+_15・区４)),0)</f>
        <v>1190</v>
      </c>
      <c r="AF126" s="63"/>
    </row>
    <row r="127" spans="1:32" ht="16.5" customHeight="1" x14ac:dyDescent="0.15">
      <c r="A127" s="41">
        <v>15</v>
      </c>
      <c r="B127" s="41" t="s">
        <v>3760</v>
      </c>
      <c r="C127" s="74" t="s">
        <v>29371</v>
      </c>
      <c r="D127" s="114" t="s">
        <v>17587</v>
      </c>
      <c r="E127" s="49"/>
      <c r="F127" s="115"/>
      <c r="G127" s="114" t="s">
        <v>19553</v>
      </c>
      <c r="H127" s="49"/>
      <c r="I127" s="115"/>
      <c r="J127" s="114" t="s">
        <v>22681</v>
      </c>
      <c r="K127" s="49"/>
      <c r="L127" s="115"/>
      <c r="M127" s="53"/>
      <c r="N127" s="49"/>
      <c r="O127" s="50"/>
      <c r="P127" s="299"/>
      <c r="Q127" s="45"/>
      <c r="R127" s="46"/>
      <c r="S127" s="515"/>
      <c r="T127" s="115"/>
      <c r="U127" s="515"/>
      <c r="V127" s="115"/>
      <c r="W127" s="114"/>
      <c r="X127" s="49"/>
      <c r="Y127" s="50"/>
      <c r="Z127" s="115"/>
      <c r="AA127" s="114"/>
      <c r="AB127" s="49"/>
      <c r="AC127" s="50"/>
      <c r="AD127" s="115"/>
      <c r="AE127" s="208">
        <f>ROUND((_15_同援日１．０*_15・通訳),0)+ROUND((ROUND((_15_同援日１．０＿０．５*_15・通訳),0)*(1+_15・B夜間)),0)+ROUND((ROUND((_15_同援日１．０＿０．５＿０．５*_15・通訳),0)*(1+_15・C深夜)),0)</f>
        <v>509</v>
      </c>
      <c r="AF127" s="64"/>
    </row>
    <row r="128" spans="1:32" ht="16.5" customHeight="1" x14ac:dyDescent="0.15">
      <c r="A128" s="41">
        <v>15</v>
      </c>
      <c r="B128" s="41" t="s">
        <v>3762</v>
      </c>
      <c r="C128" s="74" t="s">
        <v>29372</v>
      </c>
      <c r="D128" s="72" t="s">
        <v>17589</v>
      </c>
      <c r="F128" s="57"/>
      <c r="G128" s="72" t="s">
        <v>18259</v>
      </c>
      <c r="I128" s="57"/>
      <c r="J128" s="72" t="s">
        <v>18259</v>
      </c>
      <c r="L128" s="57"/>
      <c r="M128" s="35"/>
      <c r="P128" s="299" t="s">
        <v>17556</v>
      </c>
      <c r="Q128" s="45" t="s">
        <v>398</v>
      </c>
      <c r="R128" s="46">
        <v>1</v>
      </c>
      <c r="S128" s="512"/>
      <c r="T128" s="57"/>
      <c r="U128" s="512"/>
      <c r="V128" s="57"/>
      <c r="W128" s="122"/>
      <c r="X128" s="37"/>
      <c r="Y128" s="38"/>
      <c r="Z128" s="79"/>
      <c r="AA128" s="72"/>
      <c r="AD128" s="57"/>
      <c r="AE128" s="208">
        <f>ROUND((ROUND((_15_同援日１．０*_15・通訳),0)*_15・２人),0)+ROUND((ROUND((ROUND((_15_同援日１．０＿０．５*_15・通訳),0)*_15・２人),0)*(1+_15・B夜間)),0)+ROUND((ROUND((ROUND((_15_同援日１．０＿０．５＿０．５*_15・通訳),0)*_15・２人),0)*(1+_15・C深夜)),0)</f>
        <v>509</v>
      </c>
      <c r="AF128" s="48"/>
    </row>
    <row r="129" spans="1:32" ht="16.5" customHeight="1" x14ac:dyDescent="0.15">
      <c r="A129" s="41">
        <v>15</v>
      </c>
      <c r="B129" s="41" t="s">
        <v>29373</v>
      </c>
      <c r="C129" s="74" t="s">
        <v>29374</v>
      </c>
      <c r="D129" s="72" t="s">
        <v>17591</v>
      </c>
      <c r="F129" s="57"/>
      <c r="G129" s="72"/>
      <c r="I129" s="57"/>
      <c r="J129" s="72"/>
      <c r="L129" s="57"/>
      <c r="M129" s="35"/>
      <c r="P129" s="299"/>
      <c r="Q129" s="45"/>
      <c r="R129" s="46"/>
      <c r="S129" s="512"/>
      <c r="T129" s="57"/>
      <c r="U129" s="512"/>
      <c r="V129" s="57"/>
      <c r="W129" s="114" t="s">
        <v>17562</v>
      </c>
      <c r="X129" s="49"/>
      <c r="Y129" s="50"/>
      <c r="Z129" s="115"/>
      <c r="AA129" s="72"/>
      <c r="AD129" s="57"/>
      <c r="AE129" s="208">
        <f>ROUND((ROUND((_15_同援日１．０*_15・通訳),0)*(1+_15・盲ろう)),0)+ROUND((ROUND((ROUND((_15_同援日１．０＿０．５*_15・通訳),0)*(1+_15・B夜間)),0)*(1+_15・盲ろう)),0)+ROUND((ROUND((ROUND((_15_同援日１．０＿０．５＿０．５*_15・通訳),0)*(1+_15・C深夜)),0)*(1+_15・盲ろう)),0)</f>
        <v>637</v>
      </c>
      <c r="AF129" s="48"/>
    </row>
    <row r="130" spans="1:32" ht="16.5" customHeight="1" x14ac:dyDescent="0.15">
      <c r="A130" s="41">
        <v>15</v>
      </c>
      <c r="B130" s="41" t="s">
        <v>29375</v>
      </c>
      <c r="C130" s="74" t="s">
        <v>29376</v>
      </c>
      <c r="D130" s="72"/>
      <c r="E130" s="168">
        <f>_15_同援日１．０</f>
        <v>300</v>
      </c>
      <c r="F130" s="57" t="s">
        <v>392</v>
      </c>
      <c r="G130" s="72"/>
      <c r="H130" s="168">
        <f>_15_同援日１．０＿０．５</f>
        <v>133</v>
      </c>
      <c r="I130" s="57" t="s">
        <v>392</v>
      </c>
      <c r="J130" s="72"/>
      <c r="K130" s="168">
        <f>_15_同援日１．０＿０．５＿０．５</f>
        <v>65</v>
      </c>
      <c r="L130" s="57" t="s">
        <v>392</v>
      </c>
      <c r="M130" s="35"/>
      <c r="P130" s="299" t="s">
        <v>17556</v>
      </c>
      <c r="Q130" s="45" t="s">
        <v>398</v>
      </c>
      <c r="R130" s="46">
        <v>1</v>
      </c>
      <c r="S130" s="512"/>
      <c r="T130" s="57"/>
      <c r="U130" s="512"/>
      <c r="V130" s="57"/>
      <c r="W130" s="122" t="s">
        <v>17564</v>
      </c>
      <c r="X130" s="37" t="s">
        <v>398</v>
      </c>
      <c r="Y130" s="38">
        <v>0.25</v>
      </c>
      <c r="Z130" s="79" t="s">
        <v>3575</v>
      </c>
      <c r="AA130" s="122"/>
      <c r="AB130" s="37"/>
      <c r="AC130" s="38"/>
      <c r="AD130" s="79"/>
      <c r="AE130" s="208">
        <f>ROUND((ROUND((ROUND((_15_同援日１．０*_15・通訳),0)*_15・２人),0)*(1+_15・盲ろう)),0)+ROUND((ROUND((ROUND((ROUND((_15_同援日１．０＿０．５*_15・通訳),0)*_15・２人),0)*(1+_15・B夜間)),0)*(1+_15・盲ろう)),0)+ROUND((ROUND((ROUND((ROUND((_15_同援日１．０＿０．５＿０．５*_15・通訳),0)*_15・２人),0)*(1+_15・C深夜)),0)*(1+_15・盲ろう)),0)</f>
        <v>637</v>
      </c>
      <c r="AF130" s="48"/>
    </row>
    <row r="131" spans="1:32" ht="16.5" customHeight="1" x14ac:dyDescent="0.15">
      <c r="A131" s="41">
        <v>15</v>
      </c>
      <c r="B131" s="41" t="s">
        <v>29377</v>
      </c>
      <c r="C131" s="74" t="s">
        <v>29378</v>
      </c>
      <c r="D131" s="72"/>
      <c r="F131" s="57"/>
      <c r="G131" s="72"/>
      <c r="I131" s="57"/>
      <c r="J131" s="72"/>
      <c r="L131" s="57"/>
      <c r="M131" s="35"/>
      <c r="P131" s="299"/>
      <c r="Q131" s="45"/>
      <c r="R131" s="46"/>
      <c r="S131" s="512"/>
      <c r="T131" s="57"/>
      <c r="U131" s="512"/>
      <c r="V131" s="57"/>
      <c r="W131" s="114"/>
      <c r="X131" s="49"/>
      <c r="Y131" s="50"/>
      <c r="Z131" s="115"/>
      <c r="AA131" s="114" t="s">
        <v>17570</v>
      </c>
      <c r="AB131" s="49"/>
      <c r="AC131" s="50"/>
      <c r="AD131" s="115"/>
      <c r="AE131" s="208">
        <f>ROUND((ROUND((_15_同援日１．０*_15・通訳),0)*(1+_15・区３)),0)+ROUND((ROUND((ROUND((_15_同援日１．０＿０．５*_15・通訳),0)*(1+_15・B夜間)),0)*(1+_15・区３)),0)+ROUND((ROUND((ROUND((_15_同援日１．０＿０．５＿０．５*_15・通訳),0)*(1+_15・C深夜)),0)*(1+_15・区３)),0)</f>
        <v>611</v>
      </c>
      <c r="AF131" s="48"/>
    </row>
    <row r="132" spans="1:32" ht="16.5" customHeight="1" x14ac:dyDescent="0.15">
      <c r="A132" s="41">
        <v>15</v>
      </c>
      <c r="B132" s="41" t="s">
        <v>29379</v>
      </c>
      <c r="C132" s="74" t="s">
        <v>29380</v>
      </c>
      <c r="D132" s="72"/>
      <c r="F132" s="57"/>
      <c r="G132" s="72"/>
      <c r="I132" s="57"/>
      <c r="J132" s="72"/>
      <c r="L132" s="57"/>
      <c r="M132" s="35"/>
      <c r="P132" s="299" t="s">
        <v>17556</v>
      </c>
      <c r="Q132" s="45" t="s">
        <v>398</v>
      </c>
      <c r="R132" s="46">
        <v>1</v>
      </c>
      <c r="S132" s="512"/>
      <c r="T132" s="57"/>
      <c r="U132" s="512"/>
      <c r="V132" s="57"/>
      <c r="W132" s="122"/>
      <c r="X132" s="37"/>
      <c r="Y132" s="38"/>
      <c r="Z132" s="79"/>
      <c r="AA132" s="72" t="s">
        <v>17572</v>
      </c>
      <c r="AD132" s="57"/>
      <c r="AE132" s="208">
        <f>ROUND((ROUND((ROUND((_15_同援日１．０*_15・通訳),0)*_15・２人),0)*(1+_15・区３)),0)+ROUND((ROUND((ROUND((ROUND((_15_同援日１．０＿０．５*_15・通訳),0)*_15・２人),0)*(1+_15・B夜間)),0)*(1+_15・区３)),0)+ROUND((ROUND((ROUND((ROUND((_15_同援日１．０＿０．５＿０．５*_15・通訳),0)*_15・２人),0)*(1+_15・C深夜)),0)*(1+_15・区３)),0)</f>
        <v>611</v>
      </c>
      <c r="AF132" s="48"/>
    </row>
    <row r="133" spans="1:32" ht="16.5" customHeight="1" x14ac:dyDescent="0.15">
      <c r="A133" s="41">
        <v>15</v>
      </c>
      <c r="B133" s="41" t="s">
        <v>29381</v>
      </c>
      <c r="C133" s="74" t="s">
        <v>29382</v>
      </c>
      <c r="D133" s="72"/>
      <c r="F133" s="57"/>
      <c r="G133" s="72"/>
      <c r="I133" s="57"/>
      <c r="J133" s="72"/>
      <c r="L133" s="57"/>
      <c r="M133" s="35"/>
      <c r="P133" s="299"/>
      <c r="Q133" s="45"/>
      <c r="R133" s="46"/>
      <c r="S133" s="512"/>
      <c r="T133" s="57"/>
      <c r="U133" s="512"/>
      <c r="V133" s="57"/>
      <c r="W133" s="114" t="s">
        <v>17562</v>
      </c>
      <c r="X133" s="49"/>
      <c r="Y133" s="50"/>
      <c r="Z133" s="115"/>
      <c r="AA133" s="72"/>
      <c r="AB133" s="12" t="s">
        <v>398</v>
      </c>
      <c r="AC133" s="13">
        <v>0.2</v>
      </c>
      <c r="AD133" s="57" t="s">
        <v>3575</v>
      </c>
      <c r="AE133" s="208">
        <f>ROUND((ROUND((ROUND((_15_同援日１．０*_15・通訳),0)*(1+_15・盲ろう)),0)*(1+_15・区３)),0)+ROUND((ROUND((ROUND((ROUND((_15_同援日１．０＿０．５*_15・通訳),0)*(1+_15・B夜間)),0)*(1+_15・盲ろう)),0)*(1+_15・区３)),0)+ROUND((ROUND((ROUND((ROUND((_15_同援日１．０＿０．５＿０．５*_15・通訳),0)*(1+_15・C深夜)),0)*(1+_15・盲ろう)),0)*(1+_15・区３)),0)</f>
        <v>765</v>
      </c>
      <c r="AF133" s="48"/>
    </row>
    <row r="134" spans="1:32" ht="16.5" customHeight="1" x14ac:dyDescent="0.15">
      <c r="A134" s="41">
        <v>15</v>
      </c>
      <c r="B134" s="41" t="s">
        <v>29383</v>
      </c>
      <c r="C134" s="74" t="s">
        <v>29384</v>
      </c>
      <c r="D134" s="72"/>
      <c r="F134" s="57"/>
      <c r="G134" s="72"/>
      <c r="I134" s="57"/>
      <c r="J134" s="72"/>
      <c r="L134" s="57"/>
      <c r="M134" s="35"/>
      <c r="P134" s="299" t="s">
        <v>17556</v>
      </c>
      <c r="Q134" s="45" t="s">
        <v>398</v>
      </c>
      <c r="R134" s="46">
        <v>1</v>
      </c>
      <c r="S134" s="512"/>
      <c r="T134" s="57"/>
      <c r="U134" s="512"/>
      <c r="V134" s="57"/>
      <c r="W134" s="122" t="s">
        <v>17564</v>
      </c>
      <c r="X134" s="37" t="s">
        <v>398</v>
      </c>
      <c r="Y134" s="38">
        <v>0.25</v>
      </c>
      <c r="Z134" s="79" t="s">
        <v>3575</v>
      </c>
      <c r="AA134" s="122"/>
      <c r="AB134" s="37"/>
      <c r="AC134" s="38"/>
      <c r="AD134" s="79"/>
      <c r="AE134" s="208">
        <f>ROUND((ROUND((ROUND((ROUND((_15_同援日１．０*_15・通訳),0)*_15・２人),0)*(1+_15・盲ろう)),0)*(1+_15・区３)),0)+ROUND((ROUND((ROUND((ROUND((ROUND((_15_同援日１．０＿０．５*_15・通訳),0)*_15・２人),0)*(1+_15・B夜間)),0)*(1+_15・盲ろう)),0)*(1+_15・区３)),0)+ROUND((ROUND((ROUND((ROUND((ROUND((_15_同援日１．０＿０．５＿０．５*_15・通訳),0)*_15・２人),0)*(1+_15・C深夜)),0)*(1+_15・盲ろう)),0)*(1+_15・区３)),0)</f>
        <v>765</v>
      </c>
      <c r="AF134" s="48"/>
    </row>
    <row r="135" spans="1:32" ht="16.5" customHeight="1" x14ac:dyDescent="0.15">
      <c r="A135" s="41">
        <v>15</v>
      </c>
      <c r="B135" s="41" t="s">
        <v>29385</v>
      </c>
      <c r="C135" s="74" t="s">
        <v>29386</v>
      </c>
      <c r="D135" s="72"/>
      <c r="F135" s="57"/>
      <c r="G135" s="72"/>
      <c r="I135" s="57"/>
      <c r="J135" s="72"/>
      <c r="L135" s="57"/>
      <c r="M135" s="35"/>
      <c r="P135" s="299"/>
      <c r="Q135" s="45"/>
      <c r="R135" s="46"/>
      <c r="S135" s="512"/>
      <c r="T135" s="57"/>
      <c r="U135" s="512"/>
      <c r="V135" s="57"/>
      <c r="W135" s="114"/>
      <c r="X135" s="49"/>
      <c r="Y135" s="50"/>
      <c r="Z135" s="115"/>
      <c r="AA135" s="114" t="s">
        <v>17580</v>
      </c>
      <c r="AB135" s="49"/>
      <c r="AC135" s="50"/>
      <c r="AD135" s="115"/>
      <c r="AE135" s="208">
        <f>ROUND((ROUND((_15_同援日１．０*_15・通訳),0)*(1+_15・区４)),0)+ROUND((ROUND((ROUND((_15_同援日１．０＿０．５*_15・通訳),0)*(1+_15・B夜間)),0)*(1+_15・区４)),0)+ROUND((ROUND((ROUND((_15_同援日１．０＿０．５＿０．５*_15・通訳),0)*(1+_15・C深夜)),0)*(1+_15・区４)),0)</f>
        <v>713</v>
      </c>
      <c r="AF135" s="48"/>
    </row>
    <row r="136" spans="1:32" ht="16.5" customHeight="1" x14ac:dyDescent="0.15">
      <c r="A136" s="41">
        <v>15</v>
      </c>
      <c r="B136" s="41" t="s">
        <v>29387</v>
      </c>
      <c r="C136" s="74" t="s">
        <v>29388</v>
      </c>
      <c r="D136" s="72"/>
      <c r="F136" s="57"/>
      <c r="G136" s="72"/>
      <c r="I136" s="57"/>
      <c r="J136" s="72"/>
      <c r="L136" s="57"/>
      <c r="M136" s="35"/>
      <c r="P136" s="299" t="s">
        <v>17556</v>
      </c>
      <c r="Q136" s="45" t="s">
        <v>398</v>
      </c>
      <c r="R136" s="46">
        <v>1</v>
      </c>
      <c r="S136" s="512"/>
      <c r="T136" s="57"/>
      <c r="U136" s="512"/>
      <c r="V136" s="57"/>
      <c r="W136" s="122"/>
      <c r="X136" s="37"/>
      <c r="Y136" s="38"/>
      <c r="Z136" s="79"/>
      <c r="AA136" s="72" t="s">
        <v>17572</v>
      </c>
      <c r="AD136" s="57"/>
      <c r="AE136" s="208">
        <f>ROUND((ROUND((ROUND((_15_同援日１．０*_15・通訳),0)*_15・２人),0)*(1+_15・区４)),0)+ROUND((ROUND((ROUND((ROUND((_15_同援日１．０＿０．５*_15・通訳),0)*_15・２人),0)*(1+_15・B夜間)),0)*(1+_15・区４)),0)+ROUND((ROUND((ROUND((ROUND((_15_同援日１．０＿０．５＿０．５*_15・通訳),0)*_15・２人),0)*(1+_15・C深夜)),0)*(1+_15・区４)),0)</f>
        <v>713</v>
      </c>
      <c r="AF136" s="48"/>
    </row>
    <row r="137" spans="1:32" ht="16.5" customHeight="1" x14ac:dyDescent="0.15">
      <c r="A137" s="41">
        <v>15</v>
      </c>
      <c r="B137" s="41" t="s">
        <v>3766</v>
      </c>
      <c r="C137" s="74" t="s">
        <v>29389</v>
      </c>
      <c r="D137" s="72"/>
      <c r="F137" s="57"/>
      <c r="G137" s="72"/>
      <c r="I137" s="57"/>
      <c r="J137" s="72"/>
      <c r="L137" s="57"/>
      <c r="M137" s="35"/>
      <c r="P137" s="299"/>
      <c r="Q137" s="45"/>
      <c r="R137" s="46"/>
      <c r="S137" s="512"/>
      <c r="T137" s="57"/>
      <c r="U137" s="512"/>
      <c r="V137" s="57"/>
      <c r="W137" s="114" t="s">
        <v>17562</v>
      </c>
      <c r="X137" s="49"/>
      <c r="Y137" s="50"/>
      <c r="Z137" s="115"/>
      <c r="AA137" s="72"/>
      <c r="AB137" s="12" t="s">
        <v>398</v>
      </c>
      <c r="AC137" s="13">
        <v>0.4</v>
      </c>
      <c r="AD137" s="57" t="s">
        <v>3575</v>
      </c>
      <c r="AE137" s="208">
        <f>ROUND((ROUND((ROUND((_15_同援日１．０*_15・通訳),0)*(1+_15・盲ろう)),0)*(1+_15・区４)),0)+ROUND((ROUND((ROUND((ROUND((_15_同援日１．０＿０．５*_15・通訳),0)*(1+_15・B夜間)),0)*(1+_15・盲ろう)),0)*(1+_15・区４)),0)+ROUND((ROUND((ROUND((ROUND((_15_同援日１．０＿０．５＿０．５*_15・通訳),0)*(1+_15・C深夜)),0)*(1+_15・盲ろう)),0)*(1+_15・区４)),0)</f>
        <v>891</v>
      </c>
      <c r="AF137" s="48"/>
    </row>
    <row r="138" spans="1:32" ht="16.5" customHeight="1" x14ac:dyDescent="0.15">
      <c r="A138" s="41">
        <v>15</v>
      </c>
      <c r="B138" s="41" t="s">
        <v>3768</v>
      </c>
      <c r="C138" s="74" t="s">
        <v>29390</v>
      </c>
      <c r="D138" s="72"/>
      <c r="F138" s="57"/>
      <c r="G138" s="72"/>
      <c r="I138" s="57"/>
      <c r="J138" s="122"/>
      <c r="K138" s="37"/>
      <c r="L138" s="79"/>
      <c r="M138" s="35"/>
      <c r="P138" s="299" t="s">
        <v>17556</v>
      </c>
      <c r="Q138" s="45" t="s">
        <v>398</v>
      </c>
      <c r="R138" s="46">
        <v>1</v>
      </c>
      <c r="S138" s="512"/>
      <c r="T138" s="57"/>
      <c r="U138" s="512"/>
      <c r="V138" s="57"/>
      <c r="W138" s="122" t="s">
        <v>17564</v>
      </c>
      <c r="X138" s="37" t="s">
        <v>398</v>
      </c>
      <c r="Y138" s="38">
        <v>0.25</v>
      </c>
      <c r="Z138" s="79" t="s">
        <v>3575</v>
      </c>
      <c r="AA138" s="122"/>
      <c r="AB138" s="37"/>
      <c r="AC138" s="38"/>
      <c r="AD138" s="79"/>
      <c r="AE138" s="208">
        <f>ROUND((ROUND((ROUND((ROUND((_15_同援日１．０*_15・通訳),0)*_15・２人),0)*(1+_15・盲ろう)),0)*(1+_15・区４)),0)+ROUND((ROUND((ROUND((ROUND((ROUND((_15_同援日１．０＿０．５*_15・通訳),0)*_15・２人),0)*(1+_15・B夜間)),0)*(1+_15・盲ろう)),0)*(1+_15・区４)),0)+ROUND((ROUND((ROUND((ROUND((ROUND((_15_同援日１．０＿０．５＿０．５*_15・通訳),0)*_15・２人),0)*(1+_15・C深夜)),0)*(1+_15・盲ろう)),0)*(1+_15・区４)),0)</f>
        <v>891</v>
      </c>
      <c r="AF138" s="48"/>
    </row>
    <row r="139" spans="1:32" ht="16.5" customHeight="1" x14ac:dyDescent="0.15">
      <c r="A139" s="41">
        <v>15</v>
      </c>
      <c r="B139" s="41" t="s">
        <v>29391</v>
      </c>
      <c r="C139" s="74" t="s">
        <v>29392</v>
      </c>
      <c r="D139" s="72"/>
      <c r="F139" s="57"/>
      <c r="G139" s="72"/>
      <c r="I139" s="57"/>
      <c r="J139" s="114" t="s">
        <v>22723</v>
      </c>
      <c r="K139" s="49"/>
      <c r="L139" s="115"/>
      <c r="M139" s="35"/>
      <c r="P139" s="299"/>
      <c r="Q139" s="45"/>
      <c r="R139" s="46"/>
      <c r="S139" s="512"/>
      <c r="T139" s="57"/>
      <c r="U139" s="512"/>
      <c r="V139" s="57"/>
      <c r="W139" s="114"/>
      <c r="X139" s="49"/>
      <c r="Y139" s="50"/>
      <c r="Z139" s="115"/>
      <c r="AA139" s="114"/>
      <c r="AB139" s="49"/>
      <c r="AC139" s="50"/>
      <c r="AD139" s="115"/>
      <c r="AE139" s="208">
        <f>ROUND((_15_同援日１．０*_15・通訳),0)+ROUND((ROUND((_15_同援日１．０＿０．５*_15・通訳),0)*(1+_15・B夜間)),0)+ROUND((ROUND((_15_同援日１．０＿０．５＿１．０*_15・通訳),0)*(1+_15・C深夜)),0)</f>
        <v>596</v>
      </c>
      <c r="AF139" s="48"/>
    </row>
    <row r="140" spans="1:32" ht="16.5" customHeight="1" x14ac:dyDescent="0.15">
      <c r="A140" s="41">
        <v>15</v>
      </c>
      <c r="B140" s="41" t="s">
        <v>29393</v>
      </c>
      <c r="C140" s="74" t="s">
        <v>29394</v>
      </c>
      <c r="D140" s="72"/>
      <c r="F140" s="57"/>
      <c r="G140" s="72"/>
      <c r="I140" s="57"/>
      <c r="J140" s="72" t="s">
        <v>17589</v>
      </c>
      <c r="L140" s="57"/>
      <c r="M140" s="35"/>
      <c r="P140" s="299" t="s">
        <v>17556</v>
      </c>
      <c r="Q140" s="45" t="s">
        <v>398</v>
      </c>
      <c r="R140" s="46">
        <v>1</v>
      </c>
      <c r="S140" s="512"/>
      <c r="T140" s="57"/>
      <c r="U140" s="512"/>
      <c r="V140" s="57"/>
      <c r="W140" s="122"/>
      <c r="X140" s="37"/>
      <c r="Y140" s="38"/>
      <c r="Z140" s="79"/>
      <c r="AA140" s="72"/>
      <c r="AD140" s="57"/>
      <c r="AE140" s="208">
        <f>ROUND((ROUND((_15_同援日１．０*_15・通訳),0)*_15・２人),0)+ROUND((ROUND((ROUND((_15_同援日１．０＿０．５*_15・通訳),0)*_15・２人),0)*(1+_15・B夜間)),0)+ROUND((ROUND((ROUND((_15_同援日１．０＿０．５＿１．０*_15・通訳),0)*_15・２人),0)*(1+_15・C深夜)),0)</f>
        <v>596</v>
      </c>
      <c r="AF140" s="48"/>
    </row>
    <row r="141" spans="1:32" ht="16.5" customHeight="1" x14ac:dyDescent="0.15">
      <c r="A141" s="41">
        <v>15</v>
      </c>
      <c r="B141" s="41" t="s">
        <v>29395</v>
      </c>
      <c r="C141" s="74" t="s">
        <v>29396</v>
      </c>
      <c r="D141" s="72"/>
      <c r="F141" s="57"/>
      <c r="G141" s="72"/>
      <c r="I141" s="57"/>
      <c r="J141" s="72" t="s">
        <v>17591</v>
      </c>
      <c r="L141" s="57"/>
      <c r="M141" s="35"/>
      <c r="P141" s="299"/>
      <c r="Q141" s="45"/>
      <c r="R141" s="46"/>
      <c r="S141" s="512"/>
      <c r="T141" s="57"/>
      <c r="U141" s="512"/>
      <c r="V141" s="57"/>
      <c r="W141" s="114" t="s">
        <v>17562</v>
      </c>
      <c r="X141" s="49"/>
      <c r="Y141" s="50"/>
      <c r="Z141" s="115"/>
      <c r="AA141" s="72"/>
      <c r="AD141" s="57"/>
      <c r="AE141" s="208">
        <f>ROUND((ROUND((_15_同援日１．０*_15・通訳),0)*(1+_15・盲ろう)),0)+ROUND((ROUND((ROUND((_15_同援日１．０＿０．５*_15・通訳),0)*(1+_15・B夜間)),0)*(1+_15・盲ろう)),0)+ROUND((ROUND((ROUND((_15_同援日１．０＿０．５＿１．０*_15・通訳),0)*(1+_15・C深夜)),0)*(1+_15・盲ろう)),0)</f>
        <v>746</v>
      </c>
      <c r="AF141" s="48"/>
    </row>
    <row r="142" spans="1:32" ht="16.5" customHeight="1" x14ac:dyDescent="0.15">
      <c r="A142" s="41">
        <v>15</v>
      </c>
      <c r="B142" s="41" t="s">
        <v>29397</v>
      </c>
      <c r="C142" s="74" t="s">
        <v>29398</v>
      </c>
      <c r="D142" s="72"/>
      <c r="F142" s="57"/>
      <c r="G142" s="72"/>
      <c r="I142" s="57"/>
      <c r="J142" s="72"/>
      <c r="K142" s="168">
        <f>_15_同援日１．０＿０．５＿１．０</f>
        <v>130</v>
      </c>
      <c r="L142" s="57" t="s">
        <v>392</v>
      </c>
      <c r="M142" s="35"/>
      <c r="P142" s="299" t="s">
        <v>17556</v>
      </c>
      <c r="Q142" s="45" t="s">
        <v>398</v>
      </c>
      <c r="R142" s="46">
        <v>1</v>
      </c>
      <c r="S142" s="512"/>
      <c r="T142" s="57"/>
      <c r="U142" s="512"/>
      <c r="V142" s="57"/>
      <c r="W142" s="122" t="s">
        <v>17564</v>
      </c>
      <c r="X142" s="37" t="s">
        <v>398</v>
      </c>
      <c r="Y142" s="38">
        <v>0.25</v>
      </c>
      <c r="Z142" s="79" t="s">
        <v>3575</v>
      </c>
      <c r="AA142" s="122"/>
      <c r="AB142" s="37"/>
      <c r="AC142" s="38"/>
      <c r="AD142" s="79"/>
      <c r="AE142" s="208">
        <f>ROUND((ROUND((ROUND((_15_同援日１．０*_15・通訳),0)*_15・２人),0)*(1+_15・盲ろう)),0)+ROUND((ROUND((ROUND((ROUND((_15_同援日１．０＿０．５*_15・通訳),0)*_15・２人),0)*(1+_15・B夜間)),0)*(1+_15・盲ろう)),0)+ROUND((ROUND((ROUND((ROUND((_15_同援日１．０＿０．５＿１．０*_15・通訳),0)*_15・２人),0)*(1+_15・C深夜)),0)*(1+_15・盲ろう)),0)</f>
        <v>746</v>
      </c>
      <c r="AF142" s="48"/>
    </row>
    <row r="143" spans="1:32" ht="16.5" customHeight="1" x14ac:dyDescent="0.15">
      <c r="A143" s="41">
        <v>15</v>
      </c>
      <c r="B143" s="41" t="s">
        <v>29399</v>
      </c>
      <c r="C143" s="74" t="s">
        <v>29400</v>
      </c>
      <c r="D143" s="72"/>
      <c r="F143" s="57"/>
      <c r="G143" s="72"/>
      <c r="I143" s="57"/>
      <c r="J143" s="72"/>
      <c r="L143" s="57"/>
      <c r="M143" s="35"/>
      <c r="P143" s="299"/>
      <c r="Q143" s="45"/>
      <c r="R143" s="46"/>
      <c r="S143" s="512"/>
      <c r="T143" s="57"/>
      <c r="U143" s="512"/>
      <c r="V143" s="57"/>
      <c r="W143" s="114"/>
      <c r="X143" s="49"/>
      <c r="Y143" s="50"/>
      <c r="Z143" s="115"/>
      <c r="AA143" s="114" t="s">
        <v>17570</v>
      </c>
      <c r="AB143" s="49"/>
      <c r="AC143" s="50"/>
      <c r="AD143" s="115"/>
      <c r="AE143" s="208">
        <f>ROUND((ROUND((_15_同援日１．０*_15・通訳),0)*(1+_15・区３)),0)+ROUND((ROUND((ROUND((_15_同援日１．０＿０．５*_15・通訳),0)*(1+_15・B夜間)),0)*(1+_15・区３)),0)+ROUND((ROUND((ROUND((_15_同援日１．０＿０．５＿１．０*_15・通訳),0)*(1+_15・C深夜)),0)*(1+_15・区３)),0)</f>
        <v>715</v>
      </c>
      <c r="AF143" s="48"/>
    </row>
    <row r="144" spans="1:32" ht="16.5" customHeight="1" x14ac:dyDescent="0.15">
      <c r="A144" s="41">
        <v>15</v>
      </c>
      <c r="B144" s="41" t="s">
        <v>29401</v>
      </c>
      <c r="C144" s="74" t="s">
        <v>29402</v>
      </c>
      <c r="D144" s="72"/>
      <c r="F144" s="57"/>
      <c r="G144" s="72"/>
      <c r="I144" s="57"/>
      <c r="J144" s="72"/>
      <c r="L144" s="57"/>
      <c r="M144" s="35"/>
      <c r="P144" s="299" t="s">
        <v>17556</v>
      </c>
      <c r="Q144" s="45" t="s">
        <v>398</v>
      </c>
      <c r="R144" s="46">
        <v>1</v>
      </c>
      <c r="S144" s="512"/>
      <c r="T144" s="57"/>
      <c r="U144" s="512"/>
      <c r="V144" s="57"/>
      <c r="W144" s="122"/>
      <c r="X144" s="37"/>
      <c r="Y144" s="38"/>
      <c r="Z144" s="79"/>
      <c r="AA144" s="72" t="s">
        <v>17572</v>
      </c>
      <c r="AD144" s="57"/>
      <c r="AE144" s="208">
        <f>ROUND((ROUND((ROUND((_15_同援日１．０*_15・通訳),0)*_15・２人),0)*(1+_15・区３)),0)+ROUND((ROUND((ROUND((ROUND((_15_同援日１．０＿０．５*_15・通訳),0)*_15・２人),0)*(1+_15・B夜間)),0)*(1+_15・区３)),0)+ROUND((ROUND((ROUND((ROUND((_15_同援日１．０＿０．５＿１．０*_15・通訳),0)*_15・２人),0)*(1+_15・C深夜)),0)*(1+_15・区３)),0)</f>
        <v>715</v>
      </c>
      <c r="AF144" s="48"/>
    </row>
    <row r="145" spans="1:32" ht="16.5" customHeight="1" x14ac:dyDescent="0.15">
      <c r="A145" s="41">
        <v>15</v>
      </c>
      <c r="B145" s="41" t="s">
        <v>29403</v>
      </c>
      <c r="C145" s="74" t="s">
        <v>29404</v>
      </c>
      <c r="D145" s="72"/>
      <c r="F145" s="57"/>
      <c r="G145" s="72"/>
      <c r="I145" s="57"/>
      <c r="J145" s="72"/>
      <c r="L145" s="57"/>
      <c r="M145" s="35"/>
      <c r="P145" s="299"/>
      <c r="Q145" s="45"/>
      <c r="R145" s="46"/>
      <c r="S145" s="512"/>
      <c r="T145" s="57"/>
      <c r="U145" s="512"/>
      <c r="V145" s="57"/>
      <c r="W145" s="114" t="s">
        <v>17562</v>
      </c>
      <c r="X145" s="49"/>
      <c r="Y145" s="50"/>
      <c r="Z145" s="115"/>
      <c r="AA145" s="72"/>
      <c r="AB145" s="12" t="s">
        <v>398</v>
      </c>
      <c r="AC145" s="13">
        <v>0.2</v>
      </c>
      <c r="AD145" s="57" t="s">
        <v>3575</v>
      </c>
      <c r="AE145" s="208">
        <f>ROUND((ROUND((ROUND((_15_同援日１．０*_15・通訳),0)*(1+_15・盲ろう)),0)*(1+_15・区３)),0)+ROUND((ROUND((ROUND((ROUND((_15_同援日１．０＿０．５*_15・通訳),0)*(1+_15・B夜間)),0)*(1+_15・盲ろう)),0)*(1+_15・区３)),0)+ROUND((ROUND((ROUND((ROUND((_15_同援日１．０＿０．５＿１．０*_15・通訳),0)*(1+_15・C深夜)),0)*(1+_15・盲ろう)),0)*(1+_15・区３)),0)</f>
        <v>896</v>
      </c>
      <c r="AF145" s="48"/>
    </row>
    <row r="146" spans="1:32" ht="16.5" customHeight="1" x14ac:dyDescent="0.15">
      <c r="A146" s="41">
        <v>15</v>
      </c>
      <c r="B146" s="41" t="s">
        <v>29405</v>
      </c>
      <c r="C146" s="74" t="s">
        <v>29406</v>
      </c>
      <c r="D146" s="72"/>
      <c r="F146" s="57"/>
      <c r="G146" s="72"/>
      <c r="I146" s="57"/>
      <c r="J146" s="72"/>
      <c r="L146" s="57"/>
      <c r="M146" s="35"/>
      <c r="P146" s="299" t="s">
        <v>17556</v>
      </c>
      <c r="Q146" s="45" t="s">
        <v>398</v>
      </c>
      <c r="R146" s="46">
        <v>1</v>
      </c>
      <c r="S146" s="512"/>
      <c r="T146" s="57"/>
      <c r="U146" s="512"/>
      <c r="V146" s="57"/>
      <c r="W146" s="122" t="s">
        <v>17564</v>
      </c>
      <c r="X146" s="37" t="s">
        <v>398</v>
      </c>
      <c r="Y146" s="38">
        <v>0.25</v>
      </c>
      <c r="Z146" s="79" t="s">
        <v>3575</v>
      </c>
      <c r="AA146" s="122"/>
      <c r="AB146" s="37"/>
      <c r="AC146" s="38"/>
      <c r="AD146" s="79"/>
      <c r="AE146" s="208">
        <f>ROUND((ROUND((ROUND((ROUND((_15_同援日１．０*_15・通訳),0)*_15・２人),0)*(1+_15・盲ろう)),0)*(1+_15・区３)),0)+ROUND((ROUND((ROUND((ROUND((ROUND((_15_同援日１．０＿０．５*_15・通訳),0)*_15・２人),0)*(1+_15・B夜間)),0)*(1+_15・盲ろう)),0)*(1+_15・区３)),0)+ROUND((ROUND((ROUND((ROUND((ROUND((_15_同援日１．０＿０．５＿１．０*_15・通訳),0)*_15・２人),0)*(1+_15・C深夜)),0)*(1+_15・盲ろう)),0)*(1+_15・区３)),0)</f>
        <v>896</v>
      </c>
      <c r="AF146" s="48"/>
    </row>
    <row r="147" spans="1:32" ht="16.5" customHeight="1" x14ac:dyDescent="0.15">
      <c r="A147" s="41">
        <v>15</v>
      </c>
      <c r="B147" s="41" t="s">
        <v>3773</v>
      </c>
      <c r="C147" s="74" t="s">
        <v>29407</v>
      </c>
      <c r="D147" s="72"/>
      <c r="F147" s="57"/>
      <c r="G147" s="72"/>
      <c r="I147" s="57"/>
      <c r="J147" s="72"/>
      <c r="L147" s="57"/>
      <c r="M147" s="35"/>
      <c r="P147" s="299"/>
      <c r="Q147" s="45"/>
      <c r="R147" s="46"/>
      <c r="S147" s="512"/>
      <c r="T147" s="57"/>
      <c r="U147" s="512"/>
      <c r="V147" s="57"/>
      <c r="W147" s="114"/>
      <c r="X147" s="49"/>
      <c r="Y147" s="50"/>
      <c r="Z147" s="115"/>
      <c r="AA147" s="114" t="s">
        <v>17580</v>
      </c>
      <c r="AB147" s="49"/>
      <c r="AC147" s="50"/>
      <c r="AD147" s="115"/>
      <c r="AE147" s="208">
        <f>ROUND((ROUND((_15_同援日１．０*_15・通訳),0)*(1+_15・区４)),0)+ROUND((ROUND((ROUND((_15_同援日１．０＿０．５*_15・通訳),0)*(1+_15・B夜間)),0)*(1+_15・区４)),0)+ROUND((ROUND((ROUND((_15_同援日１．０＿０．５＿１．０*_15・通訳),0)*(1+_15・C深夜)),0)*(1+_15・区４)),0)</f>
        <v>834</v>
      </c>
      <c r="AF147" s="48"/>
    </row>
    <row r="148" spans="1:32" ht="16.5" customHeight="1" x14ac:dyDescent="0.15">
      <c r="A148" s="41">
        <v>15</v>
      </c>
      <c r="B148" s="41" t="s">
        <v>3775</v>
      </c>
      <c r="C148" s="74" t="s">
        <v>29408</v>
      </c>
      <c r="D148" s="72"/>
      <c r="F148" s="57"/>
      <c r="G148" s="72"/>
      <c r="I148" s="57"/>
      <c r="J148" s="72"/>
      <c r="L148" s="57"/>
      <c r="M148" s="35"/>
      <c r="P148" s="299" t="s">
        <v>17556</v>
      </c>
      <c r="Q148" s="45" t="s">
        <v>398</v>
      </c>
      <c r="R148" s="46">
        <v>1</v>
      </c>
      <c r="S148" s="512"/>
      <c r="T148" s="57"/>
      <c r="U148" s="512"/>
      <c r="V148" s="57"/>
      <c r="W148" s="122"/>
      <c r="X148" s="37"/>
      <c r="Y148" s="38"/>
      <c r="Z148" s="79"/>
      <c r="AA148" s="72" t="s">
        <v>17572</v>
      </c>
      <c r="AD148" s="57"/>
      <c r="AE148" s="208">
        <f>ROUND((ROUND((ROUND((_15_同援日１．０*_15・通訳),0)*_15・２人),0)*(1+_15・区４)),0)+ROUND((ROUND((ROUND((ROUND((_15_同援日１．０＿０．５*_15・通訳),0)*_15・２人),0)*(1+_15・B夜間)),0)*(1+_15・区４)),0)+ROUND((ROUND((ROUND((ROUND((_15_同援日１．０＿０．５＿１．０*_15・通訳),0)*_15・２人),0)*(1+_15・C深夜)),0)*(1+_15・区４)),0)</f>
        <v>834</v>
      </c>
      <c r="AF148" s="48"/>
    </row>
    <row r="149" spans="1:32" ht="16.5" customHeight="1" x14ac:dyDescent="0.15">
      <c r="A149" s="41">
        <v>15</v>
      </c>
      <c r="B149" s="41" t="s">
        <v>29409</v>
      </c>
      <c r="C149" s="74" t="s">
        <v>29410</v>
      </c>
      <c r="D149" s="72"/>
      <c r="F149" s="57"/>
      <c r="G149" s="72"/>
      <c r="I149" s="57"/>
      <c r="J149" s="72"/>
      <c r="L149" s="57"/>
      <c r="M149" s="35"/>
      <c r="P149" s="299"/>
      <c r="Q149" s="45"/>
      <c r="R149" s="46"/>
      <c r="S149" s="512"/>
      <c r="T149" s="57"/>
      <c r="U149" s="512"/>
      <c r="V149" s="57"/>
      <c r="W149" s="114" t="s">
        <v>17562</v>
      </c>
      <c r="X149" s="49"/>
      <c r="Y149" s="50"/>
      <c r="Z149" s="115"/>
      <c r="AA149" s="72"/>
      <c r="AB149" s="12" t="s">
        <v>398</v>
      </c>
      <c r="AC149" s="13">
        <v>0.4</v>
      </c>
      <c r="AD149" s="57" t="s">
        <v>3575</v>
      </c>
      <c r="AE149" s="208">
        <f>ROUND((ROUND((ROUND((_15_同援日１．０*_15・通訳),0)*(1+_15・盲ろう)),0)*(1+_15・区４)),0)+ROUND((ROUND((ROUND((ROUND((_15_同援日１．０＿０．５*_15・通訳),0)*(1+_15・B夜間)),0)*(1+_15・盲ろう)),0)*(1+_15・区４)),0)+ROUND((ROUND((ROUND((ROUND((_15_同援日１．０＿０．５＿１．０*_15・通訳),0)*(1+_15・C深夜)),0)*(1+_15・盲ろう)),0)*(1+_15・区４)),0)</f>
        <v>1044</v>
      </c>
      <c r="AF149" s="48"/>
    </row>
    <row r="150" spans="1:32" ht="16.5" customHeight="1" x14ac:dyDescent="0.15">
      <c r="A150" s="41">
        <v>15</v>
      </c>
      <c r="B150" s="41" t="s">
        <v>29411</v>
      </c>
      <c r="C150" s="74" t="s">
        <v>29412</v>
      </c>
      <c r="D150" s="72"/>
      <c r="F150" s="57"/>
      <c r="G150" s="72"/>
      <c r="I150" s="57"/>
      <c r="J150" s="122"/>
      <c r="K150" s="37"/>
      <c r="L150" s="79"/>
      <c r="M150" s="35"/>
      <c r="P150" s="299" t="s">
        <v>17556</v>
      </c>
      <c r="Q150" s="45" t="s">
        <v>398</v>
      </c>
      <c r="R150" s="46">
        <v>1</v>
      </c>
      <c r="S150" s="512"/>
      <c r="T150" s="57"/>
      <c r="U150" s="512"/>
      <c r="V150" s="57"/>
      <c r="W150" s="122" t="s">
        <v>17564</v>
      </c>
      <c r="X150" s="37" t="s">
        <v>398</v>
      </c>
      <c r="Y150" s="38">
        <v>0.25</v>
      </c>
      <c r="Z150" s="79" t="s">
        <v>3575</v>
      </c>
      <c r="AA150" s="122"/>
      <c r="AB150" s="37"/>
      <c r="AC150" s="38"/>
      <c r="AD150" s="79"/>
      <c r="AE150" s="208">
        <f>ROUND((ROUND((ROUND((ROUND((_15_同援日１．０*_15・通訳),0)*_15・２人),0)*(1+_15・盲ろう)),0)*(1+_15・区４)),0)+ROUND((ROUND((ROUND((ROUND((ROUND((_15_同援日１．０＿０．５*_15・通訳),0)*_15・２人),0)*(1+_15・B夜間)),0)*(1+_15・盲ろう)),0)*(1+_15・区４)),0)+ROUND((ROUND((ROUND((ROUND((ROUND((_15_同援日１．０＿０．５＿１．０*_15・通訳),0)*_15・２人),0)*(1+_15・C深夜)),0)*(1+_15・盲ろう)),0)*(1+_15・区４)),0)</f>
        <v>1044</v>
      </c>
      <c r="AF150" s="48"/>
    </row>
    <row r="151" spans="1:32" ht="16.5" customHeight="1" x14ac:dyDescent="0.15">
      <c r="A151" s="41">
        <v>15</v>
      </c>
      <c r="B151" s="41" t="s">
        <v>29413</v>
      </c>
      <c r="C151" s="74" t="s">
        <v>29414</v>
      </c>
      <c r="D151" s="72"/>
      <c r="F151" s="57"/>
      <c r="G151" s="72"/>
      <c r="I151" s="57"/>
      <c r="J151" s="114" t="s">
        <v>22767</v>
      </c>
      <c r="K151" s="49"/>
      <c r="L151" s="115"/>
      <c r="M151" s="35"/>
      <c r="P151" s="299"/>
      <c r="Q151" s="45"/>
      <c r="R151" s="46"/>
      <c r="S151" s="512"/>
      <c r="T151" s="57"/>
      <c r="U151" s="512"/>
      <c r="V151" s="57"/>
      <c r="W151" s="114"/>
      <c r="X151" s="49"/>
      <c r="Y151" s="50"/>
      <c r="Z151" s="115"/>
      <c r="AA151" s="114"/>
      <c r="AB151" s="49"/>
      <c r="AC151" s="50"/>
      <c r="AD151" s="115"/>
      <c r="AE151" s="208">
        <f>ROUND((_15_同援日１．０*_15・通訳),0)+ROUND((ROUND((_15_同援日１．０＿０．５*_15・通訳),0)*(1+_15・B夜間)),0)+ROUND((ROUND((_15_同援日１．０＿０．５＿１．５*_15・通訳),0)*(1+_15・C深夜)),0)</f>
        <v>684</v>
      </c>
      <c r="AF151" s="48"/>
    </row>
    <row r="152" spans="1:32" ht="16.5" customHeight="1" x14ac:dyDescent="0.15">
      <c r="A152" s="41">
        <v>15</v>
      </c>
      <c r="B152" s="41" t="s">
        <v>29415</v>
      </c>
      <c r="C152" s="74" t="s">
        <v>29416</v>
      </c>
      <c r="D152" s="72"/>
      <c r="F152" s="57"/>
      <c r="G152" s="72"/>
      <c r="I152" s="57"/>
      <c r="J152" s="72" t="s">
        <v>17616</v>
      </c>
      <c r="L152" s="57"/>
      <c r="M152" s="35"/>
      <c r="P152" s="299" t="s">
        <v>17556</v>
      </c>
      <c r="Q152" s="45" t="s">
        <v>398</v>
      </c>
      <c r="R152" s="46">
        <v>1</v>
      </c>
      <c r="S152" s="512"/>
      <c r="T152" s="57"/>
      <c r="U152" s="512"/>
      <c r="V152" s="57"/>
      <c r="W152" s="122"/>
      <c r="X152" s="37"/>
      <c r="Y152" s="38"/>
      <c r="Z152" s="79"/>
      <c r="AA152" s="72"/>
      <c r="AD152" s="57"/>
      <c r="AE152" s="208">
        <f>ROUND((ROUND((_15_同援日１．０*_15・通訳),0)*_15・２人),0)+ROUND((ROUND((ROUND((_15_同援日１．０＿０．５*_15・通訳),0)*_15・２人),0)*(1+_15・B夜間)),0)+ROUND((ROUND((ROUND((_15_同援日１．０＿０．５＿１．５*_15・通訳),0)*_15・２人),0)*(1+_15・C深夜)),0)</f>
        <v>684</v>
      </c>
      <c r="AF152" s="48"/>
    </row>
    <row r="153" spans="1:32" ht="16.5" customHeight="1" x14ac:dyDescent="0.15">
      <c r="A153" s="41">
        <v>15</v>
      </c>
      <c r="B153" s="41" t="s">
        <v>29417</v>
      </c>
      <c r="C153" s="74" t="s">
        <v>29418</v>
      </c>
      <c r="D153" s="72"/>
      <c r="F153" s="57"/>
      <c r="G153" s="72"/>
      <c r="I153" s="57"/>
      <c r="J153" s="72" t="s">
        <v>18183</v>
      </c>
      <c r="L153" s="57"/>
      <c r="M153" s="35"/>
      <c r="P153" s="299"/>
      <c r="Q153" s="45"/>
      <c r="R153" s="46"/>
      <c r="S153" s="512"/>
      <c r="T153" s="57"/>
      <c r="U153" s="512"/>
      <c r="V153" s="57"/>
      <c r="W153" s="114" t="s">
        <v>17562</v>
      </c>
      <c r="X153" s="49"/>
      <c r="Y153" s="50"/>
      <c r="Z153" s="115"/>
      <c r="AA153" s="72"/>
      <c r="AD153" s="57"/>
      <c r="AE153" s="208">
        <f>ROUND((ROUND((_15_同援日１．０*_15・通訳),0)*(1+_15・盲ろう)),0)+ROUND((ROUND((ROUND((_15_同援日１．０＿０．５*_15・通訳),0)*(1+_15・B夜間)),0)*(1+_15・盲ろう)),0)+ROUND((ROUND((ROUND((_15_同援日１．０＿０．５＿１．５*_15・通訳),0)*(1+_15・C深夜)),0)*(1+_15・盲ろう)),0)</f>
        <v>856</v>
      </c>
      <c r="AF153" s="48"/>
    </row>
    <row r="154" spans="1:32" ht="16.5" customHeight="1" x14ac:dyDescent="0.15">
      <c r="A154" s="41">
        <v>15</v>
      </c>
      <c r="B154" s="41" t="s">
        <v>29419</v>
      </c>
      <c r="C154" s="74" t="s">
        <v>29420</v>
      </c>
      <c r="D154" s="72"/>
      <c r="F154" s="57"/>
      <c r="G154" s="72"/>
      <c r="I154" s="57"/>
      <c r="J154" s="72"/>
      <c r="K154" s="168">
        <f>_15_同援日１．０＿０．５＿１．５</f>
        <v>195</v>
      </c>
      <c r="L154" s="57" t="s">
        <v>392</v>
      </c>
      <c r="M154" s="35"/>
      <c r="P154" s="299" t="s">
        <v>17556</v>
      </c>
      <c r="Q154" s="45" t="s">
        <v>398</v>
      </c>
      <c r="R154" s="46">
        <v>1</v>
      </c>
      <c r="S154" s="512"/>
      <c r="T154" s="57"/>
      <c r="U154" s="512"/>
      <c r="V154" s="57"/>
      <c r="W154" s="122" t="s">
        <v>17564</v>
      </c>
      <c r="X154" s="37" t="s">
        <v>398</v>
      </c>
      <c r="Y154" s="38">
        <v>0.25</v>
      </c>
      <c r="Z154" s="79" t="s">
        <v>3575</v>
      </c>
      <c r="AA154" s="122"/>
      <c r="AB154" s="37"/>
      <c r="AC154" s="38"/>
      <c r="AD154" s="79"/>
      <c r="AE154" s="208">
        <f>ROUND((ROUND((ROUND((_15_同援日１．０*_15・通訳),0)*_15・２人),0)*(1+_15・盲ろう)),0)+ROUND((ROUND((ROUND((ROUND((_15_同援日１．０＿０．５*_15・通訳),0)*_15・２人),0)*(1+_15・B夜間)),0)*(1+_15・盲ろう)),0)+ROUND((ROUND((ROUND((ROUND((_15_同援日１．０＿０．５＿１．５*_15・通訳),0)*_15・２人),0)*(1+_15・C深夜)),0)*(1+_15・盲ろう)),0)</f>
        <v>856</v>
      </c>
      <c r="AF154" s="48"/>
    </row>
    <row r="155" spans="1:32" ht="16.5" customHeight="1" x14ac:dyDescent="0.15">
      <c r="A155" s="41">
        <v>15</v>
      </c>
      <c r="B155" s="41" t="s">
        <v>29421</v>
      </c>
      <c r="C155" s="74" t="s">
        <v>29422</v>
      </c>
      <c r="D155" s="72"/>
      <c r="F155" s="57"/>
      <c r="G155" s="72"/>
      <c r="I155" s="57"/>
      <c r="J155" s="72"/>
      <c r="L155" s="57"/>
      <c r="M155" s="35"/>
      <c r="P155" s="299"/>
      <c r="Q155" s="45"/>
      <c r="R155" s="46"/>
      <c r="S155" s="512"/>
      <c r="T155" s="57"/>
      <c r="U155" s="512"/>
      <c r="V155" s="57"/>
      <c r="W155" s="114"/>
      <c r="X155" s="49"/>
      <c r="Y155" s="50"/>
      <c r="Z155" s="115"/>
      <c r="AA155" s="114" t="s">
        <v>17570</v>
      </c>
      <c r="AB155" s="49"/>
      <c r="AC155" s="50"/>
      <c r="AD155" s="115"/>
      <c r="AE155" s="208">
        <f>ROUND((ROUND((_15_同援日１．０*_15・通訳),0)*(1+_15・区３)),0)+ROUND((ROUND((ROUND((_15_同援日１．０＿０．５*_15・通訳),0)*(1+_15・B夜間)),0)*(1+_15・区３)),0)+ROUND((ROUND((ROUND((_15_同援日１．０＿０．５＿１．５*_15・通訳),0)*(1+_15・C深夜)),0)*(1+_15・区３)),0)</f>
        <v>821</v>
      </c>
      <c r="AF155" s="48"/>
    </row>
    <row r="156" spans="1:32" ht="16.5" customHeight="1" x14ac:dyDescent="0.15">
      <c r="A156" s="41">
        <v>15</v>
      </c>
      <c r="B156" s="41" t="s">
        <v>29423</v>
      </c>
      <c r="C156" s="74" t="s">
        <v>29424</v>
      </c>
      <c r="D156" s="72"/>
      <c r="F156" s="57"/>
      <c r="G156" s="72"/>
      <c r="I156" s="57"/>
      <c r="J156" s="72"/>
      <c r="L156" s="57"/>
      <c r="M156" s="35"/>
      <c r="P156" s="299" t="s">
        <v>17556</v>
      </c>
      <c r="Q156" s="45" t="s">
        <v>398</v>
      </c>
      <c r="R156" s="46">
        <v>1</v>
      </c>
      <c r="S156" s="512"/>
      <c r="T156" s="57"/>
      <c r="U156" s="512"/>
      <c r="V156" s="57"/>
      <c r="W156" s="122"/>
      <c r="X156" s="37"/>
      <c r="Y156" s="38"/>
      <c r="Z156" s="79"/>
      <c r="AA156" s="72" t="s">
        <v>17572</v>
      </c>
      <c r="AD156" s="57"/>
      <c r="AE156" s="208">
        <f>ROUND((ROUND((ROUND((_15_同援日１．０*_15・通訳),0)*_15・２人),0)*(1+_15・区３)),0)+ROUND((ROUND((ROUND((ROUND((_15_同援日１．０＿０．５*_15・通訳),0)*_15・２人),0)*(1+_15・B夜間)),0)*(1+_15・区３)),0)+ROUND((ROUND((ROUND((ROUND((_15_同援日１．０＿０．５＿１．５*_15・通訳),0)*_15・２人),0)*(1+_15・C深夜)),0)*(1+_15・区３)),0)</f>
        <v>821</v>
      </c>
      <c r="AF156" s="48"/>
    </row>
    <row r="157" spans="1:32" ht="16.5" customHeight="1" x14ac:dyDescent="0.15">
      <c r="A157" s="41">
        <v>15</v>
      </c>
      <c r="B157" s="41" t="s">
        <v>3782</v>
      </c>
      <c r="C157" s="74" t="s">
        <v>29425</v>
      </c>
      <c r="D157" s="72"/>
      <c r="F157" s="57"/>
      <c r="G157" s="72"/>
      <c r="I157" s="57"/>
      <c r="J157" s="72"/>
      <c r="L157" s="57"/>
      <c r="M157" s="35"/>
      <c r="P157" s="299"/>
      <c r="Q157" s="45"/>
      <c r="R157" s="46"/>
      <c r="S157" s="512"/>
      <c r="T157" s="57"/>
      <c r="U157" s="512"/>
      <c r="V157" s="57"/>
      <c r="W157" s="114" t="s">
        <v>17562</v>
      </c>
      <c r="X157" s="49"/>
      <c r="Y157" s="50"/>
      <c r="Z157" s="115"/>
      <c r="AA157" s="72"/>
      <c r="AB157" s="12" t="s">
        <v>398</v>
      </c>
      <c r="AC157" s="13">
        <v>0.2</v>
      </c>
      <c r="AD157" s="57" t="s">
        <v>3575</v>
      </c>
      <c r="AE157" s="208">
        <f>ROUND((ROUND((ROUND((_15_同援日１．０*_15・通訳),0)*(1+_15・盲ろう)),0)*(1+_15・区３)),0)+ROUND((ROUND((ROUND((ROUND((_15_同援日１．０＿０．５*_15・通訳),0)*(1+_15・B夜間)),0)*(1+_15・盲ろう)),0)*(1+_15・区３)),0)+ROUND((ROUND((ROUND((ROUND((_15_同援日１．０＿０．５＿１．５*_15・通訳),0)*(1+_15・C深夜)),0)*(1+_15・盲ろう)),0)*(1+_15・区３)),0)</f>
        <v>1028</v>
      </c>
      <c r="AF157" s="48"/>
    </row>
    <row r="158" spans="1:32" ht="16.5" customHeight="1" x14ac:dyDescent="0.15">
      <c r="A158" s="41">
        <v>15</v>
      </c>
      <c r="B158" s="41" t="s">
        <v>3784</v>
      </c>
      <c r="C158" s="74" t="s">
        <v>29426</v>
      </c>
      <c r="D158" s="72"/>
      <c r="F158" s="57"/>
      <c r="G158" s="72"/>
      <c r="I158" s="57"/>
      <c r="J158" s="72"/>
      <c r="L158" s="57"/>
      <c r="M158" s="35"/>
      <c r="P158" s="299" t="s">
        <v>17556</v>
      </c>
      <c r="Q158" s="45" t="s">
        <v>398</v>
      </c>
      <c r="R158" s="46">
        <v>1</v>
      </c>
      <c r="S158" s="512"/>
      <c r="T158" s="57"/>
      <c r="U158" s="512"/>
      <c r="V158" s="57"/>
      <c r="W158" s="122" t="s">
        <v>17564</v>
      </c>
      <c r="X158" s="37" t="s">
        <v>398</v>
      </c>
      <c r="Y158" s="38">
        <v>0.25</v>
      </c>
      <c r="Z158" s="79" t="s">
        <v>3575</v>
      </c>
      <c r="AA158" s="122"/>
      <c r="AB158" s="37"/>
      <c r="AC158" s="38"/>
      <c r="AD158" s="79"/>
      <c r="AE158" s="208">
        <f>ROUND((ROUND((ROUND((ROUND((_15_同援日１．０*_15・通訳),0)*_15・２人),0)*(1+_15・盲ろう)),0)*(1+_15・区３)),0)+ROUND((ROUND((ROUND((ROUND((ROUND((_15_同援日１．０＿０．５*_15・通訳),0)*_15・２人),0)*(1+_15・B夜間)),0)*(1+_15・盲ろう)),0)*(1+_15・区３)),0)+ROUND((ROUND((ROUND((ROUND((ROUND((_15_同援日１．０＿０．５＿１．５*_15・通訳),0)*_15・２人),0)*(1+_15・C深夜)),0)*(1+_15・盲ろう)),0)*(1+_15・区３)),0)</f>
        <v>1028</v>
      </c>
      <c r="AF158" s="48"/>
    </row>
    <row r="159" spans="1:32" ht="16.5" customHeight="1" x14ac:dyDescent="0.15">
      <c r="A159" s="41">
        <v>15</v>
      </c>
      <c r="B159" s="41" t="s">
        <v>29427</v>
      </c>
      <c r="C159" s="74" t="s">
        <v>29428</v>
      </c>
      <c r="D159" s="72"/>
      <c r="F159" s="57"/>
      <c r="G159" s="72"/>
      <c r="I159" s="57"/>
      <c r="J159" s="72"/>
      <c r="L159" s="57"/>
      <c r="M159" s="35"/>
      <c r="P159" s="299"/>
      <c r="Q159" s="45"/>
      <c r="R159" s="46"/>
      <c r="S159" s="512"/>
      <c r="T159" s="57"/>
      <c r="U159" s="512"/>
      <c r="V159" s="57"/>
      <c r="W159" s="114"/>
      <c r="X159" s="49"/>
      <c r="Y159" s="50"/>
      <c r="Z159" s="115"/>
      <c r="AA159" s="114" t="s">
        <v>17580</v>
      </c>
      <c r="AB159" s="49"/>
      <c r="AC159" s="50"/>
      <c r="AD159" s="115"/>
      <c r="AE159" s="208">
        <f>ROUND((ROUND((_15_同援日１．０*_15・通訳),0)*(1+_15・区４)),0)+ROUND((ROUND((ROUND((_15_同援日１．０＿０．５*_15・通訳),0)*(1+_15・B夜間)),0)*(1+_15・区４)),0)+ROUND((ROUND((ROUND((_15_同援日１．０＿０．５＿１．５*_15・通訳),0)*(1+_15・C深夜)),0)*(1+_15・区４)),0)</f>
        <v>958</v>
      </c>
      <c r="AF159" s="48"/>
    </row>
    <row r="160" spans="1:32" ht="16.5" customHeight="1" x14ac:dyDescent="0.15">
      <c r="A160" s="41">
        <v>15</v>
      </c>
      <c r="B160" s="41" t="s">
        <v>29429</v>
      </c>
      <c r="C160" s="74" t="s">
        <v>29430</v>
      </c>
      <c r="D160" s="72"/>
      <c r="F160" s="57"/>
      <c r="G160" s="72"/>
      <c r="I160" s="57"/>
      <c r="J160" s="72"/>
      <c r="L160" s="57"/>
      <c r="M160" s="35"/>
      <c r="P160" s="299" t="s">
        <v>17556</v>
      </c>
      <c r="Q160" s="45" t="s">
        <v>398</v>
      </c>
      <c r="R160" s="46">
        <v>1</v>
      </c>
      <c r="S160" s="512"/>
      <c r="T160" s="57"/>
      <c r="U160" s="512"/>
      <c r="V160" s="57"/>
      <c r="W160" s="122"/>
      <c r="X160" s="37"/>
      <c r="Y160" s="38"/>
      <c r="Z160" s="79"/>
      <c r="AA160" s="72" t="s">
        <v>17572</v>
      </c>
      <c r="AD160" s="57"/>
      <c r="AE160" s="208">
        <f>ROUND((ROUND((ROUND((_15_同援日１．０*_15・通訳),0)*_15・２人),0)*(1+_15・区４)),0)+ROUND((ROUND((ROUND((ROUND((_15_同援日１．０＿０．５*_15・通訳),0)*_15・２人),0)*(1+_15・B夜間)),0)*(1+_15・区４)),0)+ROUND((ROUND((ROUND((ROUND((_15_同援日１．０＿０．５＿１．５*_15・通訳),0)*_15・２人),0)*(1+_15・C深夜)),0)*(1+_15・区４)),0)</f>
        <v>958</v>
      </c>
      <c r="AF160" s="48"/>
    </row>
    <row r="161" spans="1:32" ht="16.5" customHeight="1" x14ac:dyDescent="0.15">
      <c r="A161" s="41">
        <v>15</v>
      </c>
      <c r="B161" s="41" t="s">
        <v>29431</v>
      </c>
      <c r="C161" s="74" t="s">
        <v>29432</v>
      </c>
      <c r="D161" s="72"/>
      <c r="F161" s="57"/>
      <c r="G161" s="72"/>
      <c r="I161" s="57"/>
      <c r="J161" s="72"/>
      <c r="L161" s="57"/>
      <c r="M161" s="35"/>
      <c r="P161" s="299"/>
      <c r="Q161" s="45"/>
      <c r="R161" s="46"/>
      <c r="S161" s="512"/>
      <c r="T161" s="57"/>
      <c r="U161" s="512"/>
      <c r="V161" s="57"/>
      <c r="W161" s="114" t="s">
        <v>17562</v>
      </c>
      <c r="X161" s="49"/>
      <c r="Y161" s="50"/>
      <c r="Z161" s="115"/>
      <c r="AA161" s="72"/>
      <c r="AB161" s="12" t="s">
        <v>398</v>
      </c>
      <c r="AC161" s="13">
        <v>0.4</v>
      </c>
      <c r="AD161" s="57" t="s">
        <v>3575</v>
      </c>
      <c r="AE161" s="208">
        <f>ROUND((ROUND((ROUND((_15_同援日１．０*_15・通訳),0)*(1+_15・盲ろう)),0)*(1+_15・区４)),0)+ROUND((ROUND((ROUND((ROUND((_15_同援日１．０＿０．５*_15・通訳),0)*(1+_15・B夜間)),0)*(1+_15・盲ろう)),0)*(1+_15・区４)),0)+ROUND((ROUND((ROUND((ROUND((_15_同援日１．０＿０．５＿１．５*_15・通訳),0)*(1+_15・C深夜)),0)*(1+_15・盲ろう)),0)*(1+_15・区４)),0)</f>
        <v>1198</v>
      </c>
      <c r="AF161" s="48"/>
    </row>
    <row r="162" spans="1:32" ht="16.5" customHeight="1" x14ac:dyDescent="0.15">
      <c r="A162" s="41">
        <v>15</v>
      </c>
      <c r="B162" s="41" t="s">
        <v>29433</v>
      </c>
      <c r="C162" s="74" t="s">
        <v>29434</v>
      </c>
      <c r="D162" s="72"/>
      <c r="F162" s="57"/>
      <c r="G162" s="122"/>
      <c r="H162" s="37"/>
      <c r="I162" s="79"/>
      <c r="J162" s="122"/>
      <c r="K162" s="37"/>
      <c r="L162" s="79"/>
      <c r="M162" s="35"/>
      <c r="P162" s="299" t="s">
        <v>17556</v>
      </c>
      <c r="Q162" s="45" t="s">
        <v>398</v>
      </c>
      <c r="R162" s="46">
        <v>1</v>
      </c>
      <c r="S162" s="512"/>
      <c r="T162" s="57"/>
      <c r="U162" s="512"/>
      <c r="V162" s="57"/>
      <c r="W162" s="122" t="s">
        <v>17564</v>
      </c>
      <c r="X162" s="37" t="s">
        <v>398</v>
      </c>
      <c r="Y162" s="38">
        <v>0.25</v>
      </c>
      <c r="Z162" s="79" t="s">
        <v>3575</v>
      </c>
      <c r="AA162" s="122"/>
      <c r="AB162" s="37"/>
      <c r="AC162" s="38"/>
      <c r="AD162" s="79"/>
      <c r="AE162" s="208">
        <f>ROUND((ROUND((ROUND((ROUND((_15_同援日１．０*_15・通訳),0)*_15・２人),0)*(1+_15・盲ろう)),0)*(1+_15・区４)),0)+ROUND((ROUND((ROUND((ROUND((ROUND((_15_同援日１．０＿０．５*_15・通訳),0)*_15・２人),0)*(1+_15・B夜間)),0)*(1+_15・盲ろう)),0)*(1+_15・区４)),0)+ROUND((ROUND((ROUND((ROUND((ROUND((_15_同援日１．０＿０．５＿１．５*_15・通訳),0)*_15・２人),0)*(1+_15・C深夜)),0)*(1+_15・盲ろう)),0)*(1+_15・区４)),0)</f>
        <v>1198</v>
      </c>
      <c r="AF162" s="48"/>
    </row>
    <row r="163" spans="1:32" ht="16.5" customHeight="1" x14ac:dyDescent="0.15">
      <c r="A163" s="41">
        <v>15</v>
      </c>
      <c r="B163" s="41" t="s">
        <v>29435</v>
      </c>
      <c r="C163" s="74" t="s">
        <v>29436</v>
      </c>
      <c r="D163" s="72"/>
      <c r="F163" s="57"/>
      <c r="G163" s="114" t="s">
        <v>19578</v>
      </c>
      <c r="H163" s="49"/>
      <c r="I163" s="115"/>
      <c r="J163" s="114" t="s">
        <v>22681</v>
      </c>
      <c r="K163" s="49"/>
      <c r="L163" s="115"/>
      <c r="M163" s="35"/>
      <c r="P163" s="299"/>
      <c r="Q163" s="45"/>
      <c r="R163" s="46"/>
      <c r="S163" s="512"/>
      <c r="T163" s="57"/>
      <c r="U163" s="512"/>
      <c r="V163" s="57"/>
      <c r="W163" s="114"/>
      <c r="X163" s="49"/>
      <c r="Y163" s="50"/>
      <c r="Z163" s="115"/>
      <c r="AA163" s="114"/>
      <c r="AB163" s="49"/>
      <c r="AC163" s="50"/>
      <c r="AD163" s="115"/>
      <c r="AE163" s="208">
        <f>ROUND((_15_同援日１．０*_15・通訳),0)+ROUND((ROUND((_15_同援日１．０＿１．０*_15・通訳),0)*(1+_15・B夜間)),0)+ROUND((ROUND((_15_同援日１．０＿１．０＿０．５*_15・通訳),0)*(1+_15・C深夜)),0)</f>
        <v>582</v>
      </c>
      <c r="AF163" s="48"/>
    </row>
    <row r="164" spans="1:32" ht="16.5" customHeight="1" x14ac:dyDescent="0.15">
      <c r="A164" s="41">
        <v>15</v>
      </c>
      <c r="B164" s="41" t="s">
        <v>29437</v>
      </c>
      <c r="C164" s="74" t="s">
        <v>29438</v>
      </c>
      <c r="D164" s="72"/>
      <c r="F164" s="57"/>
      <c r="G164" s="72" t="s">
        <v>17589</v>
      </c>
      <c r="I164" s="57"/>
      <c r="J164" s="72" t="s">
        <v>18259</v>
      </c>
      <c r="L164" s="57"/>
      <c r="M164" s="35"/>
      <c r="P164" s="299" t="s">
        <v>17556</v>
      </c>
      <c r="Q164" s="45" t="s">
        <v>398</v>
      </c>
      <c r="R164" s="46">
        <v>1</v>
      </c>
      <c r="S164" s="512"/>
      <c r="T164" s="57"/>
      <c r="U164" s="512"/>
      <c r="V164" s="57"/>
      <c r="W164" s="122"/>
      <c r="X164" s="37"/>
      <c r="Y164" s="38"/>
      <c r="Z164" s="79"/>
      <c r="AA164" s="72"/>
      <c r="AD164" s="57"/>
      <c r="AE164" s="208">
        <f>ROUND((ROUND((_15_同援日１．０*_15・通訳),0)*_15・２人),0)+ROUND((ROUND((ROUND((_15_同援日１．０＿１．０*_15・通訳),0)*_15・２人),0)*(1+_15・B夜間)),0)+ROUND((ROUND((ROUND((_15_同援日１．０＿１．０＿０．５*_15・通訳),0)*_15・２人),0)*(1+_15・C深夜)),0)</f>
        <v>582</v>
      </c>
      <c r="AF164" s="48"/>
    </row>
    <row r="165" spans="1:32" ht="16.5" customHeight="1" x14ac:dyDescent="0.15">
      <c r="A165" s="41">
        <v>15</v>
      </c>
      <c r="B165" s="41" t="s">
        <v>29439</v>
      </c>
      <c r="C165" s="74" t="s">
        <v>29440</v>
      </c>
      <c r="D165" s="72"/>
      <c r="F165" s="57"/>
      <c r="G165" s="72" t="s">
        <v>17591</v>
      </c>
      <c r="I165" s="57"/>
      <c r="J165" s="72"/>
      <c r="L165" s="57"/>
      <c r="M165" s="35"/>
      <c r="P165" s="299"/>
      <c r="Q165" s="45"/>
      <c r="R165" s="46"/>
      <c r="S165" s="512"/>
      <c r="T165" s="57"/>
      <c r="U165" s="512"/>
      <c r="V165" s="57"/>
      <c r="W165" s="114" t="s">
        <v>17562</v>
      </c>
      <c r="X165" s="49"/>
      <c r="Y165" s="50"/>
      <c r="Z165" s="115"/>
      <c r="AA165" s="72"/>
      <c r="AD165" s="57"/>
      <c r="AE165" s="208">
        <f>ROUND((ROUND((_15_同援日１．０*_15・通訳),0)*(1+_15・盲ろう)),0)+ROUND((ROUND((ROUND((_15_同援日１．０＿１．０*_15・通訳),0)*(1+_15・B夜間)),0)*(1+_15・盲ろう)),0)+ROUND((ROUND((ROUND((_15_同援日１．０＿１．０＿０．５*_15・通訳),0)*(1+_15・C深夜)),0)*(1+_15・盲ろう)),0)</f>
        <v>728</v>
      </c>
      <c r="AF165" s="48"/>
    </row>
    <row r="166" spans="1:32" ht="16.5" customHeight="1" x14ac:dyDescent="0.15">
      <c r="A166" s="41">
        <v>15</v>
      </c>
      <c r="B166" s="41" t="s">
        <v>29441</v>
      </c>
      <c r="C166" s="74" t="s">
        <v>29442</v>
      </c>
      <c r="D166" s="72"/>
      <c r="F166" s="57"/>
      <c r="G166" s="72"/>
      <c r="H166" s="168">
        <f>_15_同援日１．０＿１．０</f>
        <v>198</v>
      </c>
      <c r="I166" s="57" t="s">
        <v>392</v>
      </c>
      <c r="J166" s="72"/>
      <c r="K166" s="168">
        <f>_15_同援日１．０＿１．０＿０．５</f>
        <v>65</v>
      </c>
      <c r="L166" s="57" t="s">
        <v>392</v>
      </c>
      <c r="M166" s="35"/>
      <c r="P166" s="299" t="s">
        <v>17556</v>
      </c>
      <c r="Q166" s="45" t="s">
        <v>398</v>
      </c>
      <c r="R166" s="46">
        <v>1</v>
      </c>
      <c r="S166" s="512"/>
      <c r="T166" s="57"/>
      <c r="U166" s="512"/>
      <c r="V166" s="57"/>
      <c r="W166" s="122" t="s">
        <v>17564</v>
      </c>
      <c r="X166" s="37" t="s">
        <v>398</v>
      </c>
      <c r="Y166" s="38">
        <v>0.25</v>
      </c>
      <c r="Z166" s="79" t="s">
        <v>3575</v>
      </c>
      <c r="AA166" s="122"/>
      <c r="AB166" s="37"/>
      <c r="AC166" s="38"/>
      <c r="AD166" s="79"/>
      <c r="AE166" s="208">
        <f>ROUND((ROUND((ROUND((_15_同援日１．０*_15・通訳),0)*_15・２人),0)*(1+_15・盲ろう)),0)+ROUND((ROUND((ROUND((ROUND((_15_同援日１．０＿１．０*_15・通訳),0)*_15・２人),0)*(1+_15・B夜間)),0)*(1+_15・盲ろう)),0)+ROUND((ROUND((ROUND((ROUND((_15_同援日１．０＿１．０＿０．５*_15・通訳),0)*_15・２人),0)*(1+_15・C深夜)),0)*(1+_15・盲ろう)),0)</f>
        <v>728</v>
      </c>
      <c r="AF166" s="48"/>
    </row>
    <row r="167" spans="1:32" ht="16.5" customHeight="1" x14ac:dyDescent="0.15">
      <c r="A167" s="41">
        <v>15</v>
      </c>
      <c r="B167" s="41" t="s">
        <v>3789</v>
      </c>
      <c r="C167" s="74" t="s">
        <v>29443</v>
      </c>
      <c r="D167" s="72"/>
      <c r="F167" s="57"/>
      <c r="G167" s="72"/>
      <c r="I167" s="57"/>
      <c r="J167" s="72"/>
      <c r="L167" s="57"/>
      <c r="M167" s="35"/>
      <c r="P167" s="299"/>
      <c r="Q167" s="45"/>
      <c r="R167" s="46"/>
      <c r="S167" s="512"/>
      <c r="T167" s="57"/>
      <c r="U167" s="512"/>
      <c r="V167" s="57"/>
      <c r="W167" s="114"/>
      <c r="X167" s="49"/>
      <c r="Y167" s="50"/>
      <c r="Z167" s="115"/>
      <c r="AA167" s="114" t="s">
        <v>17570</v>
      </c>
      <c r="AB167" s="49"/>
      <c r="AC167" s="50"/>
      <c r="AD167" s="115"/>
      <c r="AE167" s="208">
        <f>ROUND((ROUND((_15_同援日１．０*_15・通訳),0)*(1+_15・区３)),0)+ROUND((ROUND((ROUND((_15_同援日１．０＿１．０*_15・通訳),0)*(1+_15・B夜間)),0)*(1+_15・区３)),0)+ROUND((ROUND((ROUND((_15_同援日１．０＿１．０＿０．５*_15・通訳),0)*(1+_15・C深夜)),0)*(1+_15・区３)),0)</f>
        <v>699</v>
      </c>
      <c r="AF167" s="48"/>
    </row>
    <row r="168" spans="1:32" ht="16.5" customHeight="1" x14ac:dyDescent="0.15">
      <c r="A168" s="41">
        <v>15</v>
      </c>
      <c r="B168" s="41" t="s">
        <v>3791</v>
      </c>
      <c r="C168" s="74" t="s">
        <v>29444</v>
      </c>
      <c r="D168" s="72"/>
      <c r="F168" s="57"/>
      <c r="G168" s="72"/>
      <c r="I168" s="57"/>
      <c r="J168" s="72"/>
      <c r="L168" s="57"/>
      <c r="M168" s="35"/>
      <c r="P168" s="299" t="s">
        <v>17556</v>
      </c>
      <c r="Q168" s="45" t="s">
        <v>398</v>
      </c>
      <c r="R168" s="46">
        <v>1</v>
      </c>
      <c r="S168" s="512"/>
      <c r="T168" s="57"/>
      <c r="U168" s="512"/>
      <c r="V168" s="57"/>
      <c r="W168" s="122"/>
      <c r="X168" s="37"/>
      <c r="Y168" s="38"/>
      <c r="Z168" s="79"/>
      <c r="AA168" s="72" t="s">
        <v>17572</v>
      </c>
      <c r="AD168" s="57"/>
      <c r="AE168" s="208">
        <f>ROUND((ROUND((ROUND((_15_同援日１．０*_15・通訳),0)*_15・２人),0)*(1+_15・区３)),0)+ROUND((ROUND((ROUND((ROUND((_15_同援日１．０＿１．０*_15・通訳),0)*_15・２人),0)*(1+_15・B夜間)),0)*(1+_15・区３)),0)+ROUND((ROUND((ROUND((ROUND((_15_同援日１．０＿１．０＿０．５*_15・通訳),0)*_15・２人),0)*(1+_15・C深夜)),0)*(1+_15・区３)),0)</f>
        <v>699</v>
      </c>
      <c r="AF168" s="48"/>
    </row>
    <row r="169" spans="1:32" ht="16.5" customHeight="1" x14ac:dyDescent="0.15">
      <c r="A169" s="41">
        <v>15</v>
      </c>
      <c r="B169" s="41" t="s">
        <v>29445</v>
      </c>
      <c r="C169" s="74" t="s">
        <v>29446</v>
      </c>
      <c r="D169" s="72"/>
      <c r="F169" s="57"/>
      <c r="G169" s="72"/>
      <c r="I169" s="57"/>
      <c r="J169" s="72"/>
      <c r="L169" s="57"/>
      <c r="M169" s="35"/>
      <c r="P169" s="299"/>
      <c r="Q169" s="45"/>
      <c r="R169" s="46"/>
      <c r="S169" s="512"/>
      <c r="T169" s="57"/>
      <c r="U169" s="512"/>
      <c r="V169" s="57"/>
      <c r="W169" s="114" t="s">
        <v>17562</v>
      </c>
      <c r="X169" s="49"/>
      <c r="Y169" s="50"/>
      <c r="Z169" s="115"/>
      <c r="AA169" s="72"/>
      <c r="AB169" s="12" t="s">
        <v>398</v>
      </c>
      <c r="AC169" s="13">
        <v>0.2</v>
      </c>
      <c r="AD169" s="57" t="s">
        <v>3575</v>
      </c>
      <c r="AE169" s="208">
        <f>ROUND((ROUND((ROUND((_15_同援日１．０*_15・通訳),0)*(1+_15・盲ろう)),0)*(1+_15・区３)),0)+ROUND((ROUND((ROUND((ROUND((_15_同援日１．０＿１．０*_15・通訳),0)*(1+_15・B夜間)),0)*(1+_15・盲ろう)),0)*(1+_15・区３)),0)+ROUND((ROUND((ROUND((ROUND((_15_同援日１．０＿１．０＿０．５*_15・通訳),0)*(1+_15・C深夜)),0)*(1+_15・盲ろう)),0)*(1+_15・区３)),0)</f>
        <v>874</v>
      </c>
      <c r="AF169" s="48"/>
    </row>
    <row r="170" spans="1:32" ht="16.5" customHeight="1" x14ac:dyDescent="0.15">
      <c r="A170" s="41">
        <v>15</v>
      </c>
      <c r="B170" s="41" t="s">
        <v>29447</v>
      </c>
      <c r="C170" s="74" t="s">
        <v>29448</v>
      </c>
      <c r="D170" s="72"/>
      <c r="F170" s="57"/>
      <c r="G170" s="72"/>
      <c r="I170" s="57"/>
      <c r="J170" s="72"/>
      <c r="L170" s="57"/>
      <c r="M170" s="35"/>
      <c r="P170" s="299" t="s">
        <v>17556</v>
      </c>
      <c r="Q170" s="45" t="s">
        <v>398</v>
      </c>
      <c r="R170" s="46">
        <v>1</v>
      </c>
      <c r="S170" s="512"/>
      <c r="T170" s="57"/>
      <c r="U170" s="512"/>
      <c r="V170" s="57"/>
      <c r="W170" s="122" t="s">
        <v>17564</v>
      </c>
      <c r="X170" s="37" t="s">
        <v>398</v>
      </c>
      <c r="Y170" s="38">
        <v>0.25</v>
      </c>
      <c r="Z170" s="79" t="s">
        <v>3575</v>
      </c>
      <c r="AA170" s="122"/>
      <c r="AB170" s="37"/>
      <c r="AC170" s="38"/>
      <c r="AD170" s="79"/>
      <c r="AE170" s="208">
        <f>ROUND((ROUND((ROUND((ROUND((_15_同援日１．０*_15・通訳),0)*_15・２人),0)*(1+_15・盲ろう)),0)*(1+_15・区３)),0)+ROUND((ROUND((ROUND((ROUND((ROUND((_15_同援日１．０＿１．０*_15・通訳),0)*_15・２人),0)*(1+_15・B夜間)),0)*(1+_15・盲ろう)),0)*(1+_15・区３)),0)+ROUND((ROUND((ROUND((ROUND((ROUND((_15_同援日１．０＿１．０＿０．５*_15・通訳),0)*_15・２人),0)*(1+_15・C深夜)),0)*(1+_15・盲ろう)),0)*(1+_15・区３)),0)</f>
        <v>874</v>
      </c>
      <c r="AF170" s="48"/>
    </row>
    <row r="171" spans="1:32" ht="16.5" customHeight="1" x14ac:dyDescent="0.15">
      <c r="A171" s="41">
        <v>15</v>
      </c>
      <c r="B171" s="41" t="s">
        <v>29449</v>
      </c>
      <c r="C171" s="74" t="s">
        <v>29450</v>
      </c>
      <c r="D171" s="72"/>
      <c r="F171" s="57"/>
      <c r="G171" s="72"/>
      <c r="I171" s="57"/>
      <c r="J171" s="72"/>
      <c r="L171" s="57"/>
      <c r="M171" s="35"/>
      <c r="P171" s="299"/>
      <c r="Q171" s="45"/>
      <c r="R171" s="46"/>
      <c r="S171" s="512"/>
      <c r="T171" s="57"/>
      <c r="U171" s="512"/>
      <c r="V171" s="57"/>
      <c r="W171" s="114"/>
      <c r="X171" s="49"/>
      <c r="Y171" s="50"/>
      <c r="Z171" s="115"/>
      <c r="AA171" s="114" t="s">
        <v>17580</v>
      </c>
      <c r="AB171" s="49"/>
      <c r="AC171" s="50"/>
      <c r="AD171" s="115"/>
      <c r="AE171" s="208">
        <f>ROUND((ROUND((_15_同援日１．０*_15・通訳),0)*(1+_15・区４)),0)+ROUND((ROUND((ROUND((_15_同援日１．０＿１．０*_15・通訳),0)*(1+_15・B夜間)),0)*(1+_15・区４)),0)+ROUND((ROUND((ROUND((_15_同援日１．０＿１．０＿０．５*_15・通訳),0)*(1+_15・C深夜)),0)*(1+_15・区４)),0)</f>
        <v>815</v>
      </c>
      <c r="AF171" s="48"/>
    </row>
    <row r="172" spans="1:32" ht="16.5" customHeight="1" x14ac:dyDescent="0.15">
      <c r="A172" s="41">
        <v>15</v>
      </c>
      <c r="B172" s="41" t="s">
        <v>29451</v>
      </c>
      <c r="C172" s="74" t="s">
        <v>29452</v>
      </c>
      <c r="D172" s="72"/>
      <c r="F172" s="57"/>
      <c r="G172" s="72"/>
      <c r="I172" s="57"/>
      <c r="J172" s="72"/>
      <c r="L172" s="57"/>
      <c r="M172" s="35"/>
      <c r="P172" s="299" t="s">
        <v>17556</v>
      </c>
      <c r="Q172" s="45" t="s">
        <v>398</v>
      </c>
      <c r="R172" s="46">
        <v>1</v>
      </c>
      <c r="S172" s="512"/>
      <c r="T172" s="57"/>
      <c r="U172" s="512"/>
      <c r="V172" s="57"/>
      <c r="W172" s="122"/>
      <c r="X172" s="37"/>
      <c r="Y172" s="38"/>
      <c r="Z172" s="79"/>
      <c r="AA172" s="72" t="s">
        <v>17572</v>
      </c>
      <c r="AD172" s="57"/>
      <c r="AE172" s="208">
        <f>ROUND((ROUND((ROUND((_15_同援日１．０*_15・通訳),0)*_15・２人),0)*(1+_15・区４)),0)+ROUND((ROUND((ROUND((ROUND((_15_同援日１．０＿１．０*_15・通訳),0)*_15・２人),0)*(1+_15・B夜間)),0)*(1+_15・区４)),0)+ROUND((ROUND((ROUND((ROUND((_15_同援日１．０＿１．０＿０．５*_15・通訳),0)*_15・２人),0)*(1+_15・C深夜)),0)*(1+_15・区４)),0)</f>
        <v>815</v>
      </c>
      <c r="AF172" s="48"/>
    </row>
    <row r="173" spans="1:32" ht="16.5" customHeight="1" x14ac:dyDescent="0.15">
      <c r="A173" s="41">
        <v>15</v>
      </c>
      <c r="B173" s="41" t="s">
        <v>29453</v>
      </c>
      <c r="C173" s="74" t="s">
        <v>29454</v>
      </c>
      <c r="D173" s="72"/>
      <c r="F173" s="57"/>
      <c r="G173" s="72"/>
      <c r="I173" s="57"/>
      <c r="J173" s="72"/>
      <c r="L173" s="57"/>
      <c r="M173" s="35"/>
      <c r="P173" s="299"/>
      <c r="Q173" s="45"/>
      <c r="R173" s="46"/>
      <c r="S173" s="512"/>
      <c r="T173" s="57"/>
      <c r="U173" s="512"/>
      <c r="V173" s="57"/>
      <c r="W173" s="114" t="s">
        <v>17562</v>
      </c>
      <c r="X173" s="49"/>
      <c r="Y173" s="50"/>
      <c r="Z173" s="115"/>
      <c r="AA173" s="72"/>
      <c r="AB173" s="12" t="s">
        <v>398</v>
      </c>
      <c r="AC173" s="13">
        <v>0.4</v>
      </c>
      <c r="AD173" s="57" t="s">
        <v>3575</v>
      </c>
      <c r="AE173" s="208">
        <f>ROUND((ROUND((ROUND((_15_同援日１．０*_15・通訳),0)*(1+_15・盲ろう)),0)*(1+_15・区４)),0)+ROUND((ROUND((ROUND((ROUND((_15_同援日１．０＿１．０*_15・通訳),0)*(1+_15・B夜間)),0)*(1+_15・盲ろう)),0)*(1+_15・区４)),0)+ROUND((ROUND((ROUND((ROUND((_15_同援日１．０＿１．０＿０．５*_15・通訳),0)*(1+_15・C深夜)),0)*(1+_15・盲ろう)),0)*(1+_15・区４)),0)</f>
        <v>1019</v>
      </c>
      <c r="AF173" s="48"/>
    </row>
    <row r="174" spans="1:32" ht="16.5" customHeight="1" x14ac:dyDescent="0.15">
      <c r="A174" s="41">
        <v>15</v>
      </c>
      <c r="B174" s="41" t="s">
        <v>29455</v>
      </c>
      <c r="C174" s="74" t="s">
        <v>29456</v>
      </c>
      <c r="D174" s="72"/>
      <c r="F174" s="57"/>
      <c r="G174" s="72"/>
      <c r="I174" s="57"/>
      <c r="J174" s="122"/>
      <c r="K174" s="37"/>
      <c r="L174" s="79"/>
      <c r="M174" s="35"/>
      <c r="P174" s="299" t="s">
        <v>17556</v>
      </c>
      <c r="Q174" s="45" t="s">
        <v>398</v>
      </c>
      <c r="R174" s="46">
        <v>1</v>
      </c>
      <c r="S174" s="512"/>
      <c r="T174" s="57"/>
      <c r="U174" s="512"/>
      <c r="V174" s="57"/>
      <c r="W174" s="122" t="s">
        <v>17564</v>
      </c>
      <c r="X174" s="37" t="s">
        <v>398</v>
      </c>
      <c r="Y174" s="38">
        <v>0.25</v>
      </c>
      <c r="Z174" s="79" t="s">
        <v>3575</v>
      </c>
      <c r="AA174" s="122"/>
      <c r="AB174" s="37"/>
      <c r="AC174" s="38"/>
      <c r="AD174" s="79"/>
      <c r="AE174" s="208">
        <f>ROUND((ROUND((ROUND((ROUND((_15_同援日１．０*_15・通訳),0)*_15・２人),0)*(1+_15・盲ろう)),0)*(1+_15・区４)),0)+ROUND((ROUND((ROUND((ROUND((ROUND((_15_同援日１．０＿１．０*_15・通訳),0)*_15・２人),0)*(1+_15・B夜間)),0)*(1+_15・盲ろう)),0)*(1+_15・区４)),0)+ROUND((ROUND((ROUND((ROUND((ROUND((_15_同援日１．０＿１．０＿０．５*_15・通訳),0)*_15・２人),0)*(1+_15・C深夜)),0)*(1+_15・盲ろう)),0)*(1+_15・区４)),0)</f>
        <v>1019</v>
      </c>
      <c r="AF174" s="48"/>
    </row>
    <row r="175" spans="1:32" ht="16.5" customHeight="1" x14ac:dyDescent="0.15">
      <c r="A175" s="41">
        <v>15</v>
      </c>
      <c r="B175" s="41" t="s">
        <v>29457</v>
      </c>
      <c r="C175" s="74" t="s">
        <v>29458</v>
      </c>
      <c r="D175" s="72"/>
      <c r="F175" s="57"/>
      <c r="G175" s="72"/>
      <c r="I175" s="57"/>
      <c r="J175" s="114" t="s">
        <v>22723</v>
      </c>
      <c r="K175" s="49"/>
      <c r="L175" s="115"/>
      <c r="M175" s="35"/>
      <c r="P175" s="299"/>
      <c r="Q175" s="45"/>
      <c r="R175" s="46"/>
      <c r="S175" s="512"/>
      <c r="T175" s="57"/>
      <c r="U175" s="512"/>
      <c r="V175" s="57"/>
      <c r="W175" s="114"/>
      <c r="X175" s="49"/>
      <c r="Y175" s="50"/>
      <c r="Z175" s="115"/>
      <c r="AA175" s="114"/>
      <c r="AB175" s="49"/>
      <c r="AC175" s="50"/>
      <c r="AD175" s="115"/>
      <c r="AE175" s="208">
        <f>ROUND((_15_同援日１．０*_15・通訳),0)+ROUND((ROUND((_15_同援日１．０＿１．０*_15・通訳),0)*(1+_15・B夜間)),0)+ROUND((ROUND((_15_同援日１．０＿１．０＿１．０*_15・通訳),0)*(1+_15・C深夜)),0)</f>
        <v>669</v>
      </c>
      <c r="AF175" s="48"/>
    </row>
    <row r="176" spans="1:32" ht="16.5" customHeight="1" x14ac:dyDescent="0.15">
      <c r="A176" s="41">
        <v>15</v>
      </c>
      <c r="B176" s="41" t="s">
        <v>29459</v>
      </c>
      <c r="C176" s="74" t="s">
        <v>29460</v>
      </c>
      <c r="D176" s="72"/>
      <c r="F176" s="57"/>
      <c r="G176" s="72"/>
      <c r="I176" s="57"/>
      <c r="J176" s="72" t="s">
        <v>17589</v>
      </c>
      <c r="L176" s="57"/>
      <c r="M176" s="35"/>
      <c r="P176" s="299" t="s">
        <v>17556</v>
      </c>
      <c r="Q176" s="45" t="s">
        <v>398</v>
      </c>
      <c r="R176" s="46">
        <v>1</v>
      </c>
      <c r="S176" s="512"/>
      <c r="T176" s="57"/>
      <c r="U176" s="512"/>
      <c r="V176" s="57"/>
      <c r="W176" s="122"/>
      <c r="X176" s="37"/>
      <c r="Y176" s="38"/>
      <c r="Z176" s="79"/>
      <c r="AA176" s="72"/>
      <c r="AD176" s="57"/>
      <c r="AE176" s="208">
        <f>ROUND((ROUND((_15_同援日１．０*_15・通訳),0)*_15・２人),0)+ROUND((ROUND((ROUND((_15_同援日１．０＿１．０*_15・通訳),0)*_15・２人),0)*(1+_15・B夜間)),0)+ROUND((ROUND((ROUND((_15_同援日１．０＿１．０＿１．０*_15・通訳),0)*_15・２人),0)*(1+_15・C深夜)),0)</f>
        <v>669</v>
      </c>
      <c r="AF176" s="48"/>
    </row>
    <row r="177" spans="1:32" ht="16.5" customHeight="1" x14ac:dyDescent="0.15">
      <c r="A177" s="41">
        <v>15</v>
      </c>
      <c r="B177" s="41" t="s">
        <v>3796</v>
      </c>
      <c r="C177" s="74" t="s">
        <v>29461</v>
      </c>
      <c r="D177" s="72"/>
      <c r="F177" s="57"/>
      <c r="G177" s="72"/>
      <c r="I177" s="57"/>
      <c r="J177" s="72" t="s">
        <v>17591</v>
      </c>
      <c r="L177" s="57"/>
      <c r="M177" s="35"/>
      <c r="P177" s="299"/>
      <c r="Q177" s="45"/>
      <c r="R177" s="46"/>
      <c r="S177" s="512"/>
      <c r="T177" s="57"/>
      <c r="U177" s="512"/>
      <c r="V177" s="57"/>
      <c r="W177" s="114" t="s">
        <v>17562</v>
      </c>
      <c r="X177" s="49"/>
      <c r="Y177" s="50"/>
      <c r="Z177" s="115"/>
      <c r="AA177" s="72"/>
      <c r="AD177" s="57"/>
      <c r="AE177" s="208">
        <f>ROUND((ROUND((_15_同援日１．０*_15・通訳),0)*(1+_15・盲ろう)),0)+ROUND((ROUND((ROUND((_15_同援日１．０＿１．０*_15・通訳),0)*(1+_15・B夜間)),0)*(1+_15・盲ろう)),0)+ROUND((ROUND((ROUND((_15_同援日１．０＿１．０＿１．０*_15・通訳),0)*(1+_15・C深夜)),0)*(1+_15・盲ろう)),0)</f>
        <v>837</v>
      </c>
      <c r="AF177" s="48"/>
    </row>
    <row r="178" spans="1:32" ht="16.5" customHeight="1" x14ac:dyDescent="0.15">
      <c r="A178" s="41">
        <v>15</v>
      </c>
      <c r="B178" s="41" t="s">
        <v>3798</v>
      </c>
      <c r="C178" s="74" t="s">
        <v>29462</v>
      </c>
      <c r="D178" s="72"/>
      <c r="F178" s="57"/>
      <c r="G178" s="72"/>
      <c r="I178" s="57"/>
      <c r="J178" s="72"/>
      <c r="K178" s="168">
        <f>_15_同援日１．０＿１．０＿１．０</f>
        <v>130</v>
      </c>
      <c r="L178" s="57" t="s">
        <v>392</v>
      </c>
      <c r="M178" s="35"/>
      <c r="P178" s="299" t="s">
        <v>17556</v>
      </c>
      <c r="Q178" s="45" t="s">
        <v>398</v>
      </c>
      <c r="R178" s="46">
        <v>1</v>
      </c>
      <c r="S178" s="512"/>
      <c r="T178" s="57"/>
      <c r="U178" s="512"/>
      <c r="V178" s="57"/>
      <c r="W178" s="122" t="s">
        <v>17564</v>
      </c>
      <c r="X178" s="37" t="s">
        <v>398</v>
      </c>
      <c r="Y178" s="38">
        <v>0.25</v>
      </c>
      <c r="Z178" s="79" t="s">
        <v>3575</v>
      </c>
      <c r="AA178" s="122"/>
      <c r="AB178" s="37"/>
      <c r="AC178" s="38"/>
      <c r="AD178" s="79"/>
      <c r="AE178" s="208">
        <f>ROUND((ROUND((ROUND((_15_同援日１．０*_15・通訳),0)*_15・２人),0)*(1+_15・盲ろう)),0)+ROUND((ROUND((ROUND((ROUND((_15_同援日１．０＿１．０*_15・通訳),0)*_15・２人),0)*(1+_15・B夜間)),0)*(1+_15・盲ろう)),0)+ROUND((ROUND((ROUND((ROUND((_15_同援日１．０＿１．０＿１．０*_15・通訳),0)*_15・２人),0)*(1+_15・C深夜)),0)*(1+_15・盲ろう)),0)</f>
        <v>837</v>
      </c>
      <c r="AF178" s="48"/>
    </row>
    <row r="179" spans="1:32" ht="16.5" customHeight="1" x14ac:dyDescent="0.15">
      <c r="A179" s="41">
        <v>15</v>
      </c>
      <c r="B179" s="41" t="s">
        <v>29463</v>
      </c>
      <c r="C179" s="74" t="s">
        <v>29464</v>
      </c>
      <c r="D179" s="72"/>
      <c r="F179" s="57"/>
      <c r="G179" s="72"/>
      <c r="I179" s="57"/>
      <c r="J179" s="72"/>
      <c r="L179" s="57"/>
      <c r="M179" s="35"/>
      <c r="P179" s="299"/>
      <c r="Q179" s="45"/>
      <c r="R179" s="46"/>
      <c r="S179" s="512"/>
      <c r="T179" s="57"/>
      <c r="U179" s="512"/>
      <c r="V179" s="57"/>
      <c r="W179" s="114"/>
      <c r="X179" s="49"/>
      <c r="Y179" s="50"/>
      <c r="Z179" s="115"/>
      <c r="AA179" s="114" t="s">
        <v>17570</v>
      </c>
      <c r="AB179" s="49"/>
      <c r="AC179" s="50"/>
      <c r="AD179" s="115"/>
      <c r="AE179" s="208">
        <f>ROUND((ROUND((_15_同援日１．０*_15・通訳),0)*(1+_15・区３)),0)+ROUND((ROUND((ROUND((_15_同援日１．０＿１．０*_15・通訳),0)*(1+_15・B夜間)),0)*(1+_15・区３)),0)+ROUND((ROUND((ROUND((_15_同援日１．０＿１．０＿１．０*_15・通訳),0)*(1+_15・C深夜)),0)*(1+_15・区３)),0)</f>
        <v>803</v>
      </c>
      <c r="AF179" s="48"/>
    </row>
    <row r="180" spans="1:32" ht="16.5" customHeight="1" x14ac:dyDescent="0.15">
      <c r="A180" s="41">
        <v>15</v>
      </c>
      <c r="B180" s="41" t="s">
        <v>29465</v>
      </c>
      <c r="C180" s="74" t="s">
        <v>29466</v>
      </c>
      <c r="D180" s="72"/>
      <c r="F180" s="57"/>
      <c r="G180" s="72"/>
      <c r="I180" s="57"/>
      <c r="J180" s="72"/>
      <c r="L180" s="57"/>
      <c r="M180" s="35"/>
      <c r="P180" s="299" t="s">
        <v>17556</v>
      </c>
      <c r="Q180" s="45" t="s">
        <v>398</v>
      </c>
      <c r="R180" s="46">
        <v>1</v>
      </c>
      <c r="S180" s="512"/>
      <c r="T180" s="57"/>
      <c r="U180" s="512"/>
      <c r="V180" s="57"/>
      <c r="W180" s="122"/>
      <c r="X180" s="37"/>
      <c r="Y180" s="38"/>
      <c r="Z180" s="79"/>
      <c r="AA180" s="72" t="s">
        <v>17572</v>
      </c>
      <c r="AD180" s="57"/>
      <c r="AE180" s="208">
        <f>ROUND((ROUND((ROUND((_15_同援日１．０*_15・通訳),0)*_15・２人),0)*(1+_15・区３)),0)+ROUND((ROUND((ROUND((ROUND((_15_同援日１．０＿１．０*_15・通訳),0)*_15・２人),0)*(1+_15・B夜間)),0)*(1+_15・区３)),0)+ROUND((ROUND((ROUND((ROUND((_15_同援日１．０＿１．０＿１．０*_15・通訳),0)*_15・２人),0)*(1+_15・C深夜)),0)*(1+_15・区３)),0)</f>
        <v>803</v>
      </c>
      <c r="AF180" s="48"/>
    </row>
    <row r="181" spans="1:32" ht="16.5" customHeight="1" x14ac:dyDescent="0.15">
      <c r="A181" s="41">
        <v>15</v>
      </c>
      <c r="B181" s="41" t="s">
        <v>29467</v>
      </c>
      <c r="C181" s="74" t="s">
        <v>29468</v>
      </c>
      <c r="D181" s="72"/>
      <c r="F181" s="57"/>
      <c r="G181" s="72"/>
      <c r="I181" s="57"/>
      <c r="J181" s="72"/>
      <c r="L181" s="57"/>
      <c r="M181" s="35"/>
      <c r="P181" s="299"/>
      <c r="Q181" s="45"/>
      <c r="R181" s="46"/>
      <c r="S181" s="512"/>
      <c r="T181" s="57"/>
      <c r="U181" s="512"/>
      <c r="V181" s="57"/>
      <c r="W181" s="114" t="s">
        <v>17562</v>
      </c>
      <c r="X181" s="49"/>
      <c r="Y181" s="50"/>
      <c r="Z181" s="115"/>
      <c r="AA181" s="72"/>
      <c r="AB181" s="12" t="s">
        <v>398</v>
      </c>
      <c r="AC181" s="13">
        <v>0.2</v>
      </c>
      <c r="AD181" s="57" t="s">
        <v>3575</v>
      </c>
      <c r="AE181" s="208">
        <f>ROUND((ROUND((ROUND((_15_同援日１．０*_15・通訳),0)*(1+_15・盲ろう)),0)*(1+_15・区３)),0)+ROUND((ROUND((ROUND((ROUND((_15_同援日１．０＿１．０*_15・通訳),0)*(1+_15・B夜間)),0)*(1+_15・盲ろう)),0)*(1+_15・区３)),0)+ROUND((ROUND((ROUND((ROUND((_15_同援日１．０＿１．０＿１．０*_15・通訳),0)*(1+_15・C深夜)),0)*(1+_15・盲ろう)),0)*(1+_15・区３)),0)</f>
        <v>1005</v>
      </c>
      <c r="AF181" s="48"/>
    </row>
    <row r="182" spans="1:32" ht="16.5" customHeight="1" x14ac:dyDescent="0.15">
      <c r="A182" s="41">
        <v>15</v>
      </c>
      <c r="B182" s="41" t="s">
        <v>29469</v>
      </c>
      <c r="C182" s="74" t="s">
        <v>29470</v>
      </c>
      <c r="D182" s="72"/>
      <c r="F182" s="57"/>
      <c r="G182" s="72"/>
      <c r="I182" s="57"/>
      <c r="J182" s="72"/>
      <c r="L182" s="57"/>
      <c r="M182" s="35"/>
      <c r="P182" s="299" t="s">
        <v>17556</v>
      </c>
      <c r="Q182" s="45" t="s">
        <v>398</v>
      </c>
      <c r="R182" s="46">
        <v>1</v>
      </c>
      <c r="S182" s="512"/>
      <c r="T182" s="57"/>
      <c r="U182" s="512"/>
      <c r="V182" s="57"/>
      <c r="W182" s="122" t="s">
        <v>17564</v>
      </c>
      <c r="X182" s="37" t="s">
        <v>398</v>
      </c>
      <c r="Y182" s="38">
        <v>0.25</v>
      </c>
      <c r="Z182" s="79" t="s">
        <v>3575</v>
      </c>
      <c r="AA182" s="122"/>
      <c r="AB182" s="37"/>
      <c r="AC182" s="38"/>
      <c r="AD182" s="79"/>
      <c r="AE182" s="208">
        <f>ROUND((ROUND((ROUND((ROUND((_15_同援日１．０*_15・通訳),0)*_15・２人),0)*(1+_15・盲ろう)),0)*(1+_15・区３)),0)+ROUND((ROUND((ROUND((ROUND((ROUND((_15_同援日１．０＿１．０*_15・通訳),0)*_15・２人),0)*(1+_15・B夜間)),0)*(1+_15・盲ろう)),0)*(1+_15・区３)),0)+ROUND((ROUND((ROUND((ROUND((ROUND((_15_同援日１．０＿１．０＿１．０*_15・通訳),0)*_15・２人),0)*(1+_15・C深夜)),0)*(1+_15・盲ろう)),0)*(1+_15・区３)),0)</f>
        <v>1005</v>
      </c>
      <c r="AF182" s="48"/>
    </row>
    <row r="183" spans="1:32" ht="16.5" customHeight="1" x14ac:dyDescent="0.15">
      <c r="A183" s="41">
        <v>15</v>
      </c>
      <c r="B183" s="41" t="s">
        <v>29471</v>
      </c>
      <c r="C183" s="74" t="s">
        <v>29472</v>
      </c>
      <c r="D183" s="72"/>
      <c r="F183" s="57"/>
      <c r="G183" s="72"/>
      <c r="I183" s="57"/>
      <c r="J183" s="72"/>
      <c r="L183" s="57"/>
      <c r="M183" s="35"/>
      <c r="P183" s="299"/>
      <c r="Q183" s="45"/>
      <c r="R183" s="46"/>
      <c r="S183" s="512"/>
      <c r="T183" s="57"/>
      <c r="U183" s="512"/>
      <c r="V183" s="57"/>
      <c r="W183" s="114"/>
      <c r="X183" s="49"/>
      <c r="Y183" s="50"/>
      <c r="Z183" s="115"/>
      <c r="AA183" s="114" t="s">
        <v>17580</v>
      </c>
      <c r="AB183" s="49"/>
      <c r="AC183" s="50"/>
      <c r="AD183" s="115"/>
      <c r="AE183" s="208">
        <f>ROUND((ROUND((_15_同援日１．０*_15・通訳),0)*(1+_15・区４)),0)+ROUND((ROUND((ROUND((_15_同援日１．０＿１．０*_15・通訳),0)*(1+_15・B夜間)),0)*(1+_15・区４)),0)+ROUND((ROUND((ROUND((_15_同援日１．０＿１．０＿１．０*_15・通訳),0)*(1+_15・C深夜)),0)*(1+_15・区４)),0)</f>
        <v>936</v>
      </c>
      <c r="AF183" s="48"/>
    </row>
    <row r="184" spans="1:32" ht="16.5" customHeight="1" x14ac:dyDescent="0.15">
      <c r="A184" s="41">
        <v>15</v>
      </c>
      <c r="B184" s="41" t="s">
        <v>29473</v>
      </c>
      <c r="C184" s="74" t="s">
        <v>29474</v>
      </c>
      <c r="D184" s="72"/>
      <c r="F184" s="57"/>
      <c r="G184" s="72"/>
      <c r="I184" s="57"/>
      <c r="J184" s="72"/>
      <c r="L184" s="57"/>
      <c r="M184" s="35"/>
      <c r="P184" s="299" t="s">
        <v>17556</v>
      </c>
      <c r="Q184" s="45" t="s">
        <v>398</v>
      </c>
      <c r="R184" s="46">
        <v>1</v>
      </c>
      <c r="S184" s="512"/>
      <c r="T184" s="57"/>
      <c r="U184" s="512"/>
      <c r="V184" s="57"/>
      <c r="W184" s="122"/>
      <c r="X184" s="37"/>
      <c r="Y184" s="38"/>
      <c r="Z184" s="79"/>
      <c r="AA184" s="72" t="s">
        <v>17572</v>
      </c>
      <c r="AD184" s="57"/>
      <c r="AE184" s="208">
        <f>ROUND((ROUND((ROUND((_15_同援日１．０*_15・通訳),0)*_15・２人),0)*(1+_15・区４)),0)+ROUND((ROUND((ROUND((ROUND((_15_同援日１．０＿１．０*_15・通訳),0)*_15・２人),0)*(1+_15・B夜間)),0)*(1+_15・区４)),0)+ROUND((ROUND((ROUND((ROUND((_15_同援日１．０＿１．０＿１．０*_15・通訳),0)*_15・２人),0)*(1+_15・C深夜)),0)*(1+_15・区４)),0)</f>
        <v>936</v>
      </c>
      <c r="AF184" s="48"/>
    </row>
    <row r="185" spans="1:32" ht="16.5" customHeight="1" x14ac:dyDescent="0.15">
      <c r="A185" s="41">
        <v>15</v>
      </c>
      <c r="B185" s="41" t="s">
        <v>29475</v>
      </c>
      <c r="C185" s="74" t="s">
        <v>29476</v>
      </c>
      <c r="D185" s="72"/>
      <c r="F185" s="57"/>
      <c r="G185" s="72"/>
      <c r="I185" s="57"/>
      <c r="J185" s="72"/>
      <c r="L185" s="57"/>
      <c r="M185" s="35"/>
      <c r="P185" s="299"/>
      <c r="Q185" s="45"/>
      <c r="R185" s="46"/>
      <c r="S185" s="512"/>
      <c r="T185" s="57"/>
      <c r="U185" s="512"/>
      <c r="V185" s="57"/>
      <c r="W185" s="114" t="s">
        <v>17562</v>
      </c>
      <c r="X185" s="49"/>
      <c r="Y185" s="50"/>
      <c r="Z185" s="115"/>
      <c r="AA185" s="72"/>
      <c r="AB185" s="12" t="s">
        <v>398</v>
      </c>
      <c r="AC185" s="13">
        <v>0.4</v>
      </c>
      <c r="AD185" s="57" t="s">
        <v>3575</v>
      </c>
      <c r="AE185" s="208">
        <f>ROUND((ROUND((ROUND((_15_同援日１．０*_15・通訳),0)*(1+_15・盲ろう)),0)*(1+_15・区４)),0)+ROUND((ROUND((ROUND((ROUND((_15_同援日１．０＿１．０*_15・通訳),0)*(1+_15・B夜間)),0)*(1+_15・盲ろう)),0)*(1+_15・区４)),0)+ROUND((ROUND((ROUND((ROUND((_15_同援日１．０＿１．０＿１．０*_15・通訳),0)*(1+_15・C深夜)),0)*(1+_15・盲ろう)),0)*(1+_15・区４)),0)</f>
        <v>1172</v>
      </c>
      <c r="AF185" s="48"/>
    </row>
    <row r="186" spans="1:32" ht="16.5" customHeight="1" x14ac:dyDescent="0.15">
      <c r="A186" s="41">
        <v>15</v>
      </c>
      <c r="B186" s="41" t="s">
        <v>29477</v>
      </c>
      <c r="C186" s="74" t="s">
        <v>29478</v>
      </c>
      <c r="D186" s="72"/>
      <c r="F186" s="57"/>
      <c r="G186" s="122"/>
      <c r="H186" s="37"/>
      <c r="I186" s="79"/>
      <c r="J186" s="122"/>
      <c r="K186" s="37"/>
      <c r="L186" s="79"/>
      <c r="M186" s="35"/>
      <c r="P186" s="299" t="s">
        <v>17556</v>
      </c>
      <c r="Q186" s="45" t="s">
        <v>398</v>
      </c>
      <c r="R186" s="46">
        <v>1</v>
      </c>
      <c r="S186" s="512"/>
      <c r="T186" s="57"/>
      <c r="U186" s="512"/>
      <c r="V186" s="57"/>
      <c r="W186" s="122" t="s">
        <v>17564</v>
      </c>
      <c r="X186" s="37" t="s">
        <v>398</v>
      </c>
      <c r="Y186" s="38">
        <v>0.25</v>
      </c>
      <c r="Z186" s="79" t="s">
        <v>3575</v>
      </c>
      <c r="AA186" s="122"/>
      <c r="AB186" s="37"/>
      <c r="AC186" s="38"/>
      <c r="AD186" s="79"/>
      <c r="AE186" s="208">
        <f>ROUND((ROUND((ROUND((ROUND((_15_同援日１．０*_15・通訳),0)*_15・２人),0)*(1+_15・盲ろう)),0)*(1+_15・区４)),0)+ROUND((ROUND((ROUND((ROUND((ROUND((_15_同援日１．０＿１．０*_15・通訳),0)*_15・２人),0)*(1+_15・B夜間)),0)*(1+_15・盲ろう)),0)*(1+_15・区４)),0)+ROUND((ROUND((ROUND((ROUND((ROUND((_15_同援日１．０＿１．０＿１．０*_15・通訳),0)*_15・２人),0)*(1+_15・C深夜)),0)*(1+_15・盲ろう)),0)*(1+_15・区４)),0)</f>
        <v>1172</v>
      </c>
      <c r="AF186" s="48"/>
    </row>
    <row r="187" spans="1:32" ht="16.5" customHeight="1" x14ac:dyDescent="0.15">
      <c r="A187" s="41">
        <v>15</v>
      </c>
      <c r="B187" s="41" t="s">
        <v>3803</v>
      </c>
      <c r="C187" s="74" t="s">
        <v>29479</v>
      </c>
      <c r="D187" s="72"/>
      <c r="F187" s="57"/>
      <c r="G187" s="114" t="s">
        <v>19603</v>
      </c>
      <c r="H187" s="49"/>
      <c r="I187" s="115"/>
      <c r="J187" s="114" t="s">
        <v>22681</v>
      </c>
      <c r="K187" s="49"/>
      <c r="L187" s="115"/>
      <c r="M187" s="35"/>
      <c r="P187" s="299"/>
      <c r="Q187" s="45"/>
      <c r="R187" s="46"/>
      <c r="S187" s="512"/>
      <c r="T187" s="57"/>
      <c r="U187" s="512"/>
      <c r="V187" s="57"/>
      <c r="W187" s="114"/>
      <c r="X187" s="49"/>
      <c r="Y187" s="50"/>
      <c r="Z187" s="115"/>
      <c r="AA187" s="114"/>
      <c r="AB187" s="49"/>
      <c r="AC187" s="50"/>
      <c r="AD187" s="115"/>
      <c r="AE187" s="208">
        <f>ROUND((_15_同援日１．０*_15・通訳),0)+ROUND((ROUND((_15_同援日１．０＿１．５*_15・通訳),0)*(1+_15・B夜間)),0)+ROUND((ROUND((_15_同援日１．０＿１．５＿０．５*_15・通訳),0)*(1+_15・C深夜)),0)</f>
        <v>655</v>
      </c>
      <c r="AF187" s="48"/>
    </row>
    <row r="188" spans="1:32" ht="16.5" customHeight="1" x14ac:dyDescent="0.15">
      <c r="A188" s="41">
        <v>15</v>
      </c>
      <c r="B188" s="41" t="s">
        <v>3805</v>
      </c>
      <c r="C188" s="74" t="s">
        <v>29480</v>
      </c>
      <c r="D188" s="72"/>
      <c r="F188" s="57"/>
      <c r="G188" s="72" t="s">
        <v>17616</v>
      </c>
      <c r="I188" s="57"/>
      <c r="J188" s="72" t="s">
        <v>18259</v>
      </c>
      <c r="L188" s="57"/>
      <c r="M188" s="35"/>
      <c r="P188" s="299" t="s">
        <v>17556</v>
      </c>
      <c r="Q188" s="45" t="s">
        <v>398</v>
      </c>
      <c r="R188" s="46">
        <v>1</v>
      </c>
      <c r="S188" s="512"/>
      <c r="T188" s="57"/>
      <c r="U188" s="512"/>
      <c r="V188" s="57"/>
      <c r="W188" s="122"/>
      <c r="X188" s="37"/>
      <c r="Y188" s="38"/>
      <c r="Z188" s="79"/>
      <c r="AA188" s="72"/>
      <c r="AD188" s="57"/>
      <c r="AE188" s="208">
        <f>ROUND((ROUND((_15_同援日１．０*_15・通訳),0)*_15・２人),0)+ROUND((ROUND((ROUND((_15_同援日１．０＿１．５*_15・通訳),0)*_15・２人),0)*(1+_15・B夜間)),0)+ROUND((ROUND((ROUND((_15_同援日１．０＿１．５＿０．５*_15・通訳),0)*_15・２人),0)*(1+_15・C深夜)),0)</f>
        <v>655</v>
      </c>
      <c r="AF188" s="48"/>
    </row>
    <row r="189" spans="1:32" ht="16.5" customHeight="1" x14ac:dyDescent="0.15">
      <c r="A189" s="41">
        <v>15</v>
      </c>
      <c r="B189" s="41" t="s">
        <v>29481</v>
      </c>
      <c r="C189" s="74" t="s">
        <v>29482</v>
      </c>
      <c r="D189" s="72"/>
      <c r="F189" s="57"/>
      <c r="G189" s="72" t="s">
        <v>18183</v>
      </c>
      <c r="I189" s="57"/>
      <c r="J189" s="72"/>
      <c r="L189" s="57"/>
      <c r="M189" s="35"/>
      <c r="P189" s="299"/>
      <c r="Q189" s="45"/>
      <c r="R189" s="46"/>
      <c r="S189" s="512"/>
      <c r="T189" s="57"/>
      <c r="U189" s="512"/>
      <c r="V189" s="57"/>
      <c r="W189" s="114" t="s">
        <v>17562</v>
      </c>
      <c r="X189" s="49"/>
      <c r="Y189" s="50"/>
      <c r="Z189" s="115"/>
      <c r="AA189" s="72"/>
      <c r="AD189" s="57"/>
      <c r="AE189" s="208">
        <f>ROUND((ROUND((_15_同援日１．０*_15・通訳),0)*(1+_15・盲ろう)),0)+ROUND((ROUND((ROUND((_15_同援日１．０＿１．５*_15・通訳),0)*(1+_15・B夜間)),0)*(1+_15・盲ろう)),0)+ROUND((ROUND((ROUND((_15_同援日１．０＿１．５＿０．５*_15・通訳),0)*(1+_15・C深夜)),0)*(1+_15・盲ろう)),0)</f>
        <v>819</v>
      </c>
      <c r="AF189" s="48"/>
    </row>
    <row r="190" spans="1:32" ht="16.5" customHeight="1" x14ac:dyDescent="0.15">
      <c r="A190" s="41">
        <v>15</v>
      </c>
      <c r="B190" s="41" t="s">
        <v>29483</v>
      </c>
      <c r="C190" s="74" t="s">
        <v>29484</v>
      </c>
      <c r="D190" s="72"/>
      <c r="F190" s="57"/>
      <c r="G190" s="72"/>
      <c r="H190" s="168">
        <f>_15_同援日１．０＿１．５</f>
        <v>263</v>
      </c>
      <c r="I190" s="57" t="s">
        <v>392</v>
      </c>
      <c r="J190" s="72"/>
      <c r="K190" s="168">
        <f>_15_同援日１．０＿１．５＿０．５</f>
        <v>65</v>
      </c>
      <c r="L190" s="57" t="s">
        <v>392</v>
      </c>
      <c r="M190" s="35"/>
      <c r="P190" s="299" t="s">
        <v>17556</v>
      </c>
      <c r="Q190" s="45" t="s">
        <v>398</v>
      </c>
      <c r="R190" s="46">
        <v>1</v>
      </c>
      <c r="S190" s="512"/>
      <c r="T190" s="57"/>
      <c r="U190" s="512"/>
      <c r="V190" s="57"/>
      <c r="W190" s="122" t="s">
        <v>17564</v>
      </c>
      <c r="X190" s="37" t="s">
        <v>398</v>
      </c>
      <c r="Y190" s="38">
        <v>0.25</v>
      </c>
      <c r="Z190" s="79" t="s">
        <v>3575</v>
      </c>
      <c r="AA190" s="122"/>
      <c r="AB190" s="37"/>
      <c r="AC190" s="38"/>
      <c r="AD190" s="79"/>
      <c r="AE190" s="208">
        <f>ROUND((ROUND((ROUND((_15_同援日１．０*_15・通訳),0)*_15・２人),0)*(1+_15・盲ろう)),0)+ROUND((ROUND((ROUND((ROUND((_15_同援日１．０＿１．５*_15・通訳),0)*_15・２人),0)*(1+_15・B夜間)),0)*(1+_15・盲ろう)),0)+ROUND((ROUND((ROUND((ROUND((_15_同援日１．０＿１．５＿０．５*_15・通訳),0)*_15・２人),0)*(1+_15・C深夜)),0)*(1+_15・盲ろう)),0)</f>
        <v>819</v>
      </c>
      <c r="AF190" s="48"/>
    </row>
    <row r="191" spans="1:32" ht="16.5" customHeight="1" x14ac:dyDescent="0.15">
      <c r="A191" s="41">
        <v>15</v>
      </c>
      <c r="B191" s="41" t="s">
        <v>29485</v>
      </c>
      <c r="C191" s="74" t="s">
        <v>29486</v>
      </c>
      <c r="D191" s="72"/>
      <c r="F191" s="57"/>
      <c r="G191" s="72"/>
      <c r="I191" s="57"/>
      <c r="J191" s="72"/>
      <c r="L191" s="57"/>
      <c r="M191" s="35"/>
      <c r="P191" s="299"/>
      <c r="Q191" s="45"/>
      <c r="R191" s="46"/>
      <c r="S191" s="512"/>
      <c r="T191" s="57"/>
      <c r="U191" s="512"/>
      <c r="V191" s="57"/>
      <c r="W191" s="114"/>
      <c r="X191" s="49"/>
      <c r="Y191" s="50"/>
      <c r="Z191" s="115"/>
      <c r="AA191" s="114" t="s">
        <v>17570</v>
      </c>
      <c r="AB191" s="49"/>
      <c r="AC191" s="50"/>
      <c r="AD191" s="115"/>
      <c r="AE191" s="208">
        <f>ROUND((ROUND((_15_同援日１．０*_15・通訳),0)*(1+_15・区３)),0)+ROUND((ROUND((ROUND((_15_同援日１．０＿１．５*_15・通訳),0)*(1+_15・B夜間)),0)*(1+_15・区３)),0)+ROUND((ROUND((ROUND((_15_同援日１．０＿１．５＿０．５*_15・通訳),0)*(1+_15・C深夜)),0)*(1+_15・区３)),0)</f>
        <v>786</v>
      </c>
      <c r="AF191" s="48"/>
    </row>
    <row r="192" spans="1:32" ht="16.5" customHeight="1" x14ac:dyDescent="0.15">
      <c r="A192" s="41">
        <v>15</v>
      </c>
      <c r="B192" s="41" t="s">
        <v>29487</v>
      </c>
      <c r="C192" s="74" t="s">
        <v>29488</v>
      </c>
      <c r="D192" s="72"/>
      <c r="F192" s="57"/>
      <c r="G192" s="72"/>
      <c r="I192" s="57"/>
      <c r="J192" s="72"/>
      <c r="L192" s="57"/>
      <c r="M192" s="35"/>
      <c r="P192" s="299" t="s">
        <v>17556</v>
      </c>
      <c r="Q192" s="45" t="s">
        <v>398</v>
      </c>
      <c r="R192" s="46">
        <v>1</v>
      </c>
      <c r="S192" s="512"/>
      <c r="T192" s="57"/>
      <c r="U192" s="512"/>
      <c r="V192" s="57"/>
      <c r="W192" s="122"/>
      <c r="X192" s="37"/>
      <c r="Y192" s="38"/>
      <c r="Z192" s="79"/>
      <c r="AA192" s="72" t="s">
        <v>17572</v>
      </c>
      <c r="AD192" s="57"/>
      <c r="AE192" s="208">
        <f>ROUND((ROUND((ROUND((_15_同援日１．０*_15・通訳),0)*_15・２人),0)*(1+_15・区３)),0)+ROUND((ROUND((ROUND((ROUND((_15_同援日１．０＿１．５*_15・通訳),0)*_15・２人),0)*(1+_15・B夜間)),0)*(1+_15・区３)),0)+ROUND((ROUND((ROUND((ROUND((_15_同援日１．０＿１．５＿０．５*_15・通訳),0)*_15・２人),0)*(1+_15・C深夜)),0)*(1+_15・区３)),0)</f>
        <v>786</v>
      </c>
      <c r="AF192" s="48"/>
    </row>
    <row r="193" spans="1:32" ht="16.5" customHeight="1" x14ac:dyDescent="0.15">
      <c r="A193" s="41">
        <v>15</v>
      </c>
      <c r="B193" s="41" t="s">
        <v>29489</v>
      </c>
      <c r="C193" s="74" t="s">
        <v>29490</v>
      </c>
      <c r="D193" s="72"/>
      <c r="F193" s="57"/>
      <c r="G193" s="72"/>
      <c r="I193" s="57"/>
      <c r="J193" s="72"/>
      <c r="L193" s="57"/>
      <c r="M193" s="35"/>
      <c r="P193" s="299"/>
      <c r="Q193" s="45"/>
      <c r="R193" s="46"/>
      <c r="S193" s="512"/>
      <c r="T193" s="57"/>
      <c r="U193" s="512"/>
      <c r="V193" s="57"/>
      <c r="W193" s="114" t="s">
        <v>17562</v>
      </c>
      <c r="X193" s="49"/>
      <c r="Y193" s="50"/>
      <c r="Z193" s="115"/>
      <c r="AA193" s="72"/>
      <c r="AB193" s="12" t="s">
        <v>398</v>
      </c>
      <c r="AC193" s="13">
        <v>0.2</v>
      </c>
      <c r="AD193" s="57" t="s">
        <v>3575</v>
      </c>
      <c r="AE193" s="208">
        <f>ROUND((ROUND((ROUND((_15_同援日１．０*_15・通訳),0)*(1+_15・盲ろう)),0)*(1+_15・区３)),0)+ROUND((ROUND((ROUND((ROUND((_15_同援日１．０＿１．５*_15・通訳),0)*(1+_15・B夜間)),0)*(1+_15・盲ろう)),0)*(1+_15・区３)),0)+ROUND((ROUND((ROUND((ROUND((_15_同援日１．０＿１．５＿０．５*_15・通訳),0)*(1+_15・C深夜)),0)*(1+_15・盲ろう)),0)*(1+_15・区３)),0)</f>
        <v>983</v>
      </c>
      <c r="AF193" s="48"/>
    </row>
    <row r="194" spans="1:32" ht="16.5" customHeight="1" x14ac:dyDescent="0.15">
      <c r="A194" s="41">
        <v>15</v>
      </c>
      <c r="B194" s="41" t="s">
        <v>29491</v>
      </c>
      <c r="C194" s="74" t="s">
        <v>29492</v>
      </c>
      <c r="D194" s="72"/>
      <c r="F194" s="57"/>
      <c r="G194" s="72"/>
      <c r="I194" s="57"/>
      <c r="J194" s="72"/>
      <c r="L194" s="57"/>
      <c r="M194" s="35"/>
      <c r="P194" s="299" t="s">
        <v>17556</v>
      </c>
      <c r="Q194" s="45" t="s">
        <v>398</v>
      </c>
      <c r="R194" s="46">
        <v>1</v>
      </c>
      <c r="S194" s="512"/>
      <c r="T194" s="57"/>
      <c r="U194" s="512"/>
      <c r="V194" s="57"/>
      <c r="W194" s="122" t="s">
        <v>17564</v>
      </c>
      <c r="X194" s="37" t="s">
        <v>398</v>
      </c>
      <c r="Y194" s="38">
        <v>0.25</v>
      </c>
      <c r="Z194" s="79" t="s">
        <v>3575</v>
      </c>
      <c r="AA194" s="122"/>
      <c r="AB194" s="37"/>
      <c r="AC194" s="38"/>
      <c r="AD194" s="79"/>
      <c r="AE194" s="208">
        <f>ROUND((ROUND((ROUND((ROUND((_15_同援日１．０*_15・通訳),0)*_15・２人),0)*(1+_15・盲ろう)),0)*(1+_15・区３)),0)+ROUND((ROUND((ROUND((ROUND((ROUND((_15_同援日１．０＿１．５*_15・通訳),0)*_15・２人),0)*(1+_15・B夜間)),0)*(1+_15・盲ろう)),0)*(1+_15・区３)),0)+ROUND((ROUND((ROUND((ROUND((ROUND((_15_同援日１．０＿１．５＿０．５*_15・通訳),0)*_15・２人),0)*(1+_15・C深夜)),0)*(1+_15・盲ろう)),0)*(1+_15・区３)),0)</f>
        <v>983</v>
      </c>
      <c r="AF194" s="48"/>
    </row>
    <row r="195" spans="1:32" ht="16.5" customHeight="1" x14ac:dyDescent="0.15">
      <c r="A195" s="41">
        <v>15</v>
      </c>
      <c r="B195" s="41" t="s">
        <v>29493</v>
      </c>
      <c r="C195" s="74" t="s">
        <v>29494</v>
      </c>
      <c r="D195" s="72"/>
      <c r="F195" s="57"/>
      <c r="G195" s="72"/>
      <c r="I195" s="57"/>
      <c r="J195" s="72"/>
      <c r="L195" s="57"/>
      <c r="M195" s="35"/>
      <c r="P195" s="299"/>
      <c r="Q195" s="45"/>
      <c r="R195" s="46"/>
      <c r="S195" s="512"/>
      <c r="T195" s="57"/>
      <c r="U195" s="512"/>
      <c r="V195" s="57"/>
      <c r="W195" s="114"/>
      <c r="X195" s="49"/>
      <c r="Y195" s="50"/>
      <c r="Z195" s="115"/>
      <c r="AA195" s="114" t="s">
        <v>17580</v>
      </c>
      <c r="AB195" s="49"/>
      <c r="AC195" s="50"/>
      <c r="AD195" s="115"/>
      <c r="AE195" s="208">
        <f>ROUND((ROUND((_15_同援日１．０*_15・通訳),0)*(1+_15・区４)),0)+ROUND((ROUND((ROUND((_15_同援日１．０＿１．５*_15・通訳),0)*(1+_15・B夜間)),0)*(1+_15・区４)),0)+ROUND((ROUND((ROUND((_15_同援日１．０＿１．５＿０．５*_15・通訳),0)*(1+_15・C深夜)),0)*(1+_15・区４)),0)</f>
        <v>917</v>
      </c>
      <c r="AF195" s="48"/>
    </row>
    <row r="196" spans="1:32" ht="16.5" customHeight="1" x14ac:dyDescent="0.15">
      <c r="A196" s="41">
        <v>15</v>
      </c>
      <c r="B196" s="41" t="s">
        <v>29495</v>
      </c>
      <c r="C196" s="74" t="s">
        <v>29496</v>
      </c>
      <c r="D196" s="72"/>
      <c r="F196" s="57"/>
      <c r="G196" s="72"/>
      <c r="I196" s="57"/>
      <c r="J196" s="72"/>
      <c r="L196" s="57"/>
      <c r="M196" s="35"/>
      <c r="P196" s="299" t="s">
        <v>17556</v>
      </c>
      <c r="Q196" s="45" t="s">
        <v>398</v>
      </c>
      <c r="R196" s="46">
        <v>1</v>
      </c>
      <c r="S196" s="512"/>
      <c r="T196" s="57"/>
      <c r="U196" s="512"/>
      <c r="V196" s="57"/>
      <c r="W196" s="122"/>
      <c r="X196" s="37"/>
      <c r="Y196" s="38"/>
      <c r="Z196" s="79"/>
      <c r="AA196" s="72" t="s">
        <v>17572</v>
      </c>
      <c r="AD196" s="57"/>
      <c r="AE196" s="208">
        <f>ROUND((ROUND((ROUND((_15_同援日１．０*_15・通訳),0)*_15・２人),0)*(1+_15・区４)),0)+ROUND((ROUND((ROUND((ROUND((_15_同援日１．０＿１．５*_15・通訳),0)*_15・２人),0)*(1+_15・B夜間)),0)*(1+_15・区４)),0)+ROUND((ROUND((ROUND((ROUND((_15_同援日１．０＿１．５＿０．５*_15・通訳),0)*_15・２人),0)*(1+_15・C深夜)),0)*(1+_15・区４)),0)</f>
        <v>917</v>
      </c>
      <c r="AF196" s="48"/>
    </row>
    <row r="197" spans="1:32" ht="16.5" customHeight="1" x14ac:dyDescent="0.15">
      <c r="A197" s="41">
        <v>15</v>
      </c>
      <c r="B197" s="41" t="s">
        <v>3810</v>
      </c>
      <c r="C197" s="74" t="s">
        <v>29497</v>
      </c>
      <c r="D197" s="72"/>
      <c r="F197" s="57"/>
      <c r="G197" s="72"/>
      <c r="I197" s="57"/>
      <c r="J197" s="72"/>
      <c r="L197" s="57"/>
      <c r="M197" s="35"/>
      <c r="P197" s="299"/>
      <c r="Q197" s="45"/>
      <c r="R197" s="46"/>
      <c r="S197" s="512"/>
      <c r="T197" s="57"/>
      <c r="U197" s="512"/>
      <c r="V197" s="57"/>
      <c r="W197" s="114" t="s">
        <v>17562</v>
      </c>
      <c r="X197" s="49"/>
      <c r="Y197" s="50"/>
      <c r="Z197" s="115"/>
      <c r="AA197" s="72"/>
      <c r="AB197" s="12" t="s">
        <v>398</v>
      </c>
      <c r="AC197" s="13">
        <v>0.4</v>
      </c>
      <c r="AD197" s="57" t="s">
        <v>3575</v>
      </c>
      <c r="AE197" s="208">
        <f>ROUND((ROUND((ROUND((_15_同援日１．０*_15・通訳),0)*(1+_15・盲ろう)),0)*(1+_15・区４)),0)+ROUND((ROUND((ROUND((ROUND((_15_同援日１．０＿１．５*_15・通訳),0)*(1+_15・B夜間)),0)*(1+_15・盲ろう)),0)*(1+_15・区４)),0)+ROUND((ROUND((ROUND((ROUND((_15_同援日１．０＿１．５＿０．５*_15・通訳),0)*(1+_15・C深夜)),0)*(1+_15・盲ろう)),0)*(1+_15・区４)),0)</f>
        <v>1146</v>
      </c>
      <c r="AF197" s="48"/>
    </row>
    <row r="198" spans="1:32" ht="16.5" customHeight="1" x14ac:dyDescent="0.15">
      <c r="A198" s="41">
        <v>15</v>
      </c>
      <c r="B198" s="41" t="s">
        <v>3812</v>
      </c>
      <c r="C198" s="74" t="s">
        <v>29498</v>
      </c>
      <c r="D198" s="122"/>
      <c r="E198" s="37"/>
      <c r="F198" s="79"/>
      <c r="G198" s="122"/>
      <c r="H198" s="37"/>
      <c r="I198" s="79"/>
      <c r="J198" s="122"/>
      <c r="K198" s="37"/>
      <c r="L198" s="79"/>
      <c r="M198" s="35"/>
      <c r="P198" s="299" t="s">
        <v>17556</v>
      </c>
      <c r="Q198" s="45" t="s">
        <v>398</v>
      </c>
      <c r="R198" s="46">
        <v>1</v>
      </c>
      <c r="S198" s="512"/>
      <c r="T198" s="57"/>
      <c r="U198" s="512"/>
      <c r="V198" s="57"/>
      <c r="W198" s="122" t="s">
        <v>17564</v>
      </c>
      <c r="X198" s="37" t="s">
        <v>398</v>
      </c>
      <c r="Y198" s="38">
        <v>0.25</v>
      </c>
      <c r="Z198" s="79" t="s">
        <v>3575</v>
      </c>
      <c r="AA198" s="122"/>
      <c r="AB198" s="37"/>
      <c r="AC198" s="38"/>
      <c r="AD198" s="79"/>
      <c r="AE198" s="208">
        <f>ROUND((ROUND((ROUND((ROUND((_15_同援日１．０*_15・通訳),0)*_15・２人),0)*(1+_15・盲ろう)),0)*(1+_15・区４)),0)+ROUND((ROUND((ROUND((ROUND((ROUND((_15_同援日１．０＿１．５*_15・通訳),0)*_15・２人),0)*(1+_15・B夜間)),0)*(1+_15・盲ろう)),0)*(1+_15・区４)),0)+ROUND((ROUND((ROUND((ROUND((ROUND((_15_同援日１．０＿１．５＿０．５*_15・通訳),0)*_15・２人),0)*(1+_15・C深夜)),0)*(1+_15・盲ろう)),0)*(1+_15・区４)),0)</f>
        <v>1146</v>
      </c>
      <c r="AF198" s="48"/>
    </row>
    <row r="199" spans="1:32" ht="16.5" customHeight="1" x14ac:dyDescent="0.15">
      <c r="A199" s="41">
        <v>15</v>
      </c>
      <c r="B199" s="41" t="s">
        <v>29499</v>
      </c>
      <c r="C199" s="74" t="s">
        <v>29500</v>
      </c>
      <c r="D199" s="114" t="s">
        <v>17614</v>
      </c>
      <c r="E199" s="49"/>
      <c r="F199" s="115"/>
      <c r="G199" s="114" t="s">
        <v>19553</v>
      </c>
      <c r="H199" s="49"/>
      <c r="I199" s="115"/>
      <c r="J199" s="114" t="s">
        <v>22681</v>
      </c>
      <c r="K199" s="49"/>
      <c r="L199" s="115"/>
      <c r="M199" s="35"/>
      <c r="P199" s="299"/>
      <c r="Q199" s="45"/>
      <c r="R199" s="46"/>
      <c r="S199" s="512"/>
      <c r="T199" s="57"/>
      <c r="U199" s="512"/>
      <c r="V199" s="57"/>
      <c r="W199" s="114"/>
      <c r="X199" s="49"/>
      <c r="Y199" s="50"/>
      <c r="Z199" s="115"/>
      <c r="AA199" s="114"/>
      <c r="AB199" s="49"/>
      <c r="AC199" s="50"/>
      <c r="AD199" s="115"/>
      <c r="AE199" s="208">
        <f>ROUND((_15_同援日１．５*_15・通訳),0)+ROUND((ROUND((_15_同援日１．５＿０．５*_15・通訳),0)*(1+_15・B夜間)),0)+ROUND((ROUND((_15_同援日１．５＿０．５＿０．５*_15・通訳),0)*(1+_15・C深夜)),0)</f>
        <v>553</v>
      </c>
      <c r="AF199" s="48"/>
    </row>
    <row r="200" spans="1:32" ht="16.5" customHeight="1" x14ac:dyDescent="0.15">
      <c r="A200" s="41">
        <v>15</v>
      </c>
      <c r="B200" s="41" t="s">
        <v>29501</v>
      </c>
      <c r="C200" s="74" t="s">
        <v>29502</v>
      </c>
      <c r="D200" s="72" t="s">
        <v>17616</v>
      </c>
      <c r="F200" s="57"/>
      <c r="G200" s="72" t="s">
        <v>18259</v>
      </c>
      <c r="I200" s="57"/>
      <c r="J200" s="72" t="s">
        <v>18259</v>
      </c>
      <c r="L200" s="57"/>
      <c r="M200" s="35"/>
      <c r="P200" s="299" t="s">
        <v>17556</v>
      </c>
      <c r="Q200" s="45" t="s">
        <v>398</v>
      </c>
      <c r="R200" s="46">
        <v>1</v>
      </c>
      <c r="S200" s="512"/>
      <c r="T200" s="57"/>
      <c r="U200" s="512"/>
      <c r="V200" s="57"/>
      <c r="W200" s="122"/>
      <c r="X200" s="37"/>
      <c r="Y200" s="38"/>
      <c r="Z200" s="79"/>
      <c r="AA200" s="72"/>
      <c r="AD200" s="57"/>
      <c r="AE200" s="208">
        <f>ROUND((ROUND((_15_同援日１．５*_15・通訳),0)*_15・２人),0)+ROUND((ROUND((ROUND((_15_同援日１．５＿０．５*_15・通訳),0)*_15・２人),0)*(1+_15・B夜間)),0)+ROUND((ROUND((ROUND((_15_同援日１．５＿０．５＿０．５*_15・通訳),0)*_15・２人),0)*(1+_15・C深夜)),0)</f>
        <v>553</v>
      </c>
      <c r="AF200" s="48"/>
    </row>
    <row r="201" spans="1:32" ht="16.5" customHeight="1" x14ac:dyDescent="0.15">
      <c r="A201" s="41">
        <v>15</v>
      </c>
      <c r="B201" s="41" t="s">
        <v>29503</v>
      </c>
      <c r="C201" s="74" t="s">
        <v>29504</v>
      </c>
      <c r="D201" s="72" t="s">
        <v>18183</v>
      </c>
      <c r="F201" s="57"/>
      <c r="G201" s="72"/>
      <c r="I201" s="57"/>
      <c r="J201" s="72"/>
      <c r="L201" s="57"/>
      <c r="M201" s="35"/>
      <c r="P201" s="299"/>
      <c r="Q201" s="45"/>
      <c r="R201" s="46"/>
      <c r="S201" s="512"/>
      <c r="T201" s="57"/>
      <c r="U201" s="512"/>
      <c r="V201" s="57"/>
      <c r="W201" s="114" t="s">
        <v>17562</v>
      </c>
      <c r="X201" s="49"/>
      <c r="Y201" s="50"/>
      <c r="Z201" s="115"/>
      <c r="AA201" s="72"/>
      <c r="AD201" s="57"/>
      <c r="AE201" s="208">
        <f>ROUND((ROUND((_15_同援日１．５*_15・通訳),0)*(1+_15・盲ろう)),0)+ROUND((ROUND((ROUND((_15_同援日１．５＿０．５*_15・通訳),0)*(1+_15・B夜間)),0)*(1+_15・盲ろう)),0)+ROUND((ROUND((ROUND((_15_同援日１．５＿０．５＿０．５*_15・通訳),0)*(1+_15・C深夜)),0)*(1+_15・盲ろう)),0)</f>
        <v>692</v>
      </c>
      <c r="AF201" s="48"/>
    </row>
    <row r="202" spans="1:32" ht="16.5" customHeight="1" x14ac:dyDescent="0.15">
      <c r="A202" s="41">
        <v>15</v>
      </c>
      <c r="B202" s="41" t="s">
        <v>29505</v>
      </c>
      <c r="C202" s="74" t="s">
        <v>29506</v>
      </c>
      <c r="D202" s="72"/>
      <c r="E202" s="168">
        <f>_15_同援日１．５</f>
        <v>433</v>
      </c>
      <c r="F202" s="57" t="s">
        <v>392</v>
      </c>
      <c r="G202" s="72"/>
      <c r="H202" s="168">
        <f>_15_同援日１．５＿０．５</f>
        <v>65</v>
      </c>
      <c r="I202" s="57" t="s">
        <v>392</v>
      </c>
      <c r="J202" s="72"/>
      <c r="K202" s="168">
        <f>_15_同援日１．５＿０．５＿０．５</f>
        <v>65</v>
      </c>
      <c r="L202" s="57" t="s">
        <v>392</v>
      </c>
      <c r="M202" s="35"/>
      <c r="P202" s="299" t="s">
        <v>17556</v>
      </c>
      <c r="Q202" s="45" t="s">
        <v>398</v>
      </c>
      <c r="R202" s="46">
        <v>1</v>
      </c>
      <c r="S202" s="512"/>
      <c r="T202" s="57"/>
      <c r="U202" s="512"/>
      <c r="V202" s="57"/>
      <c r="W202" s="122" t="s">
        <v>17564</v>
      </c>
      <c r="X202" s="37" t="s">
        <v>398</v>
      </c>
      <c r="Y202" s="38">
        <v>0.25</v>
      </c>
      <c r="Z202" s="79" t="s">
        <v>3575</v>
      </c>
      <c r="AA202" s="122"/>
      <c r="AB202" s="37"/>
      <c r="AC202" s="38"/>
      <c r="AD202" s="79"/>
      <c r="AE202" s="208">
        <f>ROUND((ROUND((ROUND((_15_同援日１．５*_15・通訳),0)*_15・２人),0)*(1+_15・盲ろう)),0)+ROUND((ROUND((ROUND((ROUND((_15_同援日１．５＿０．５*_15・通訳),0)*_15・２人),0)*(1+_15・B夜間)),0)*(1+_15・盲ろう)),0)+ROUND((ROUND((ROUND((ROUND((_15_同援日１．５＿０．５＿０．５*_15・通訳),0)*_15・２人),0)*(1+_15・C深夜)),0)*(1+_15・盲ろう)),0)</f>
        <v>692</v>
      </c>
      <c r="AF202" s="48"/>
    </row>
    <row r="203" spans="1:32" ht="16.5" customHeight="1" x14ac:dyDescent="0.15">
      <c r="A203" s="41">
        <v>15</v>
      </c>
      <c r="B203" s="41" t="s">
        <v>29507</v>
      </c>
      <c r="C203" s="74" t="s">
        <v>29508</v>
      </c>
      <c r="D203" s="72"/>
      <c r="F203" s="57"/>
      <c r="G203" s="72"/>
      <c r="I203" s="57"/>
      <c r="J203" s="72"/>
      <c r="L203" s="57"/>
      <c r="M203" s="35"/>
      <c r="P203" s="299"/>
      <c r="Q203" s="45"/>
      <c r="R203" s="46"/>
      <c r="S203" s="512"/>
      <c r="T203" s="57"/>
      <c r="U203" s="512"/>
      <c r="V203" s="57"/>
      <c r="W203" s="114"/>
      <c r="X203" s="49"/>
      <c r="Y203" s="50"/>
      <c r="Z203" s="115"/>
      <c r="AA203" s="114" t="s">
        <v>17570</v>
      </c>
      <c r="AB203" s="49"/>
      <c r="AC203" s="50"/>
      <c r="AD203" s="115"/>
      <c r="AE203" s="208">
        <f>ROUND((ROUND((_15_同援日１．５*_15・通訳),0)*(1+_15・区３)),0)+ROUND((ROUND((ROUND((_15_同援日１．５＿０．５*_15・通訳),0)*(1+_15・B夜間)),0)*(1+_15・区３)),0)+ROUND((ROUND((ROUND((_15_同援日１．５＿０．５＿０．５*_15・通訳),0)*(1+_15・C深夜)),0)*(1+_15・区３)),0)</f>
        <v>664</v>
      </c>
      <c r="AF203" s="48"/>
    </row>
    <row r="204" spans="1:32" ht="16.5" customHeight="1" x14ac:dyDescent="0.15">
      <c r="A204" s="41">
        <v>15</v>
      </c>
      <c r="B204" s="41" t="s">
        <v>29509</v>
      </c>
      <c r="C204" s="74" t="s">
        <v>29510</v>
      </c>
      <c r="D204" s="72"/>
      <c r="F204" s="57"/>
      <c r="G204" s="72"/>
      <c r="I204" s="57"/>
      <c r="J204" s="72"/>
      <c r="L204" s="57"/>
      <c r="M204" s="35"/>
      <c r="P204" s="299" t="s">
        <v>17556</v>
      </c>
      <c r="Q204" s="45" t="s">
        <v>398</v>
      </c>
      <c r="R204" s="46">
        <v>1</v>
      </c>
      <c r="S204" s="512"/>
      <c r="T204" s="57"/>
      <c r="U204" s="512"/>
      <c r="V204" s="57"/>
      <c r="W204" s="122"/>
      <c r="X204" s="37"/>
      <c r="Y204" s="38"/>
      <c r="Z204" s="79"/>
      <c r="AA204" s="72" t="s">
        <v>17572</v>
      </c>
      <c r="AD204" s="57"/>
      <c r="AE204" s="208">
        <f>ROUND((ROUND((ROUND((_15_同援日１．５*_15・通訳),0)*_15・２人),0)*(1+_15・区３)),0)+ROUND((ROUND((ROUND((ROUND((_15_同援日１．５＿０．５*_15・通訳),0)*_15・２人),0)*(1+_15・B夜間)),0)*(1+_15・区３)),0)+ROUND((ROUND((ROUND((ROUND((_15_同援日１．５＿０．５＿０．５*_15・通訳),0)*_15・２人),0)*(1+_15・C深夜)),0)*(1+_15・区３)),0)</f>
        <v>664</v>
      </c>
      <c r="AF204" s="48"/>
    </row>
    <row r="205" spans="1:32" ht="16.5" customHeight="1" x14ac:dyDescent="0.15">
      <c r="A205" s="41">
        <v>15</v>
      </c>
      <c r="B205" s="41" t="s">
        <v>29511</v>
      </c>
      <c r="C205" s="74" t="s">
        <v>29512</v>
      </c>
      <c r="D205" s="72"/>
      <c r="F205" s="57"/>
      <c r="G205" s="72"/>
      <c r="I205" s="57"/>
      <c r="J205" s="72"/>
      <c r="L205" s="57"/>
      <c r="M205" s="35"/>
      <c r="P205" s="299"/>
      <c r="Q205" s="45"/>
      <c r="R205" s="46"/>
      <c r="S205" s="512"/>
      <c r="T205" s="57"/>
      <c r="U205" s="512"/>
      <c r="V205" s="57"/>
      <c r="W205" s="114" t="s">
        <v>17562</v>
      </c>
      <c r="X205" s="49"/>
      <c r="Y205" s="50"/>
      <c r="Z205" s="115"/>
      <c r="AA205" s="72"/>
      <c r="AB205" s="12" t="s">
        <v>398</v>
      </c>
      <c r="AC205" s="13">
        <v>0.2</v>
      </c>
      <c r="AD205" s="57" t="s">
        <v>3575</v>
      </c>
      <c r="AE205" s="208">
        <f>ROUND((ROUND((ROUND((_15_同援日１．５*_15・通訳),0)*(1+_15・盲ろう)),0)*(1+_15・区３)),0)+ROUND((ROUND((ROUND((ROUND((_15_同援日１．５＿０．５*_15・通訳),0)*(1+_15・B夜間)),0)*(1+_15・盲ろう)),0)*(1+_15・区３)),0)+ROUND((ROUND((ROUND((ROUND((_15_同援日１．５＿０．５＿０．５*_15・通訳),0)*(1+_15・C深夜)),0)*(1+_15・盲ろう)),0)*(1+_15・区３)),0)</f>
        <v>831</v>
      </c>
      <c r="AF205" s="48"/>
    </row>
    <row r="206" spans="1:32" ht="16.5" customHeight="1" x14ac:dyDescent="0.15">
      <c r="A206" s="41">
        <v>15</v>
      </c>
      <c r="B206" s="41" t="s">
        <v>29513</v>
      </c>
      <c r="C206" s="74" t="s">
        <v>29514</v>
      </c>
      <c r="D206" s="72"/>
      <c r="F206" s="57"/>
      <c r="G206" s="72"/>
      <c r="I206" s="57"/>
      <c r="J206" s="72"/>
      <c r="L206" s="57"/>
      <c r="M206" s="35"/>
      <c r="P206" s="299" t="s">
        <v>17556</v>
      </c>
      <c r="Q206" s="45" t="s">
        <v>398</v>
      </c>
      <c r="R206" s="46">
        <v>1</v>
      </c>
      <c r="S206" s="512"/>
      <c r="T206" s="57"/>
      <c r="U206" s="512"/>
      <c r="V206" s="57"/>
      <c r="W206" s="122" t="s">
        <v>17564</v>
      </c>
      <c r="X206" s="37" t="s">
        <v>398</v>
      </c>
      <c r="Y206" s="38">
        <v>0.25</v>
      </c>
      <c r="Z206" s="79" t="s">
        <v>3575</v>
      </c>
      <c r="AA206" s="122"/>
      <c r="AB206" s="37"/>
      <c r="AC206" s="38"/>
      <c r="AD206" s="79"/>
      <c r="AE206" s="208">
        <f>ROUND((ROUND((ROUND((ROUND((_15_同援日１．５*_15・通訳),0)*_15・２人),0)*(1+_15・盲ろう)),0)*(1+_15・区３)),0)+ROUND((ROUND((ROUND((ROUND((ROUND((_15_同援日１．５＿０．５*_15・通訳),0)*_15・２人),0)*(1+_15・B夜間)),0)*(1+_15・盲ろう)),0)*(1+_15・区３)),0)+ROUND((ROUND((ROUND((ROUND((ROUND((_15_同援日１．５＿０．５＿０．５*_15・通訳),0)*_15・２人),0)*(1+_15・C深夜)),0)*(1+_15・盲ろう)),0)*(1+_15・区３)),0)</f>
        <v>831</v>
      </c>
      <c r="AF206" s="48"/>
    </row>
    <row r="207" spans="1:32" ht="16.5" customHeight="1" x14ac:dyDescent="0.15">
      <c r="A207" s="41">
        <v>15</v>
      </c>
      <c r="B207" s="41" t="s">
        <v>3816</v>
      </c>
      <c r="C207" s="74" t="s">
        <v>29515</v>
      </c>
      <c r="D207" s="72"/>
      <c r="F207" s="57"/>
      <c r="G207" s="72"/>
      <c r="I207" s="57"/>
      <c r="J207" s="72"/>
      <c r="L207" s="57"/>
      <c r="M207" s="35"/>
      <c r="P207" s="299"/>
      <c r="Q207" s="45"/>
      <c r="R207" s="46"/>
      <c r="S207" s="512"/>
      <c r="T207" s="57"/>
      <c r="U207" s="512"/>
      <c r="V207" s="57"/>
      <c r="W207" s="114"/>
      <c r="X207" s="49"/>
      <c r="Y207" s="50"/>
      <c r="Z207" s="115"/>
      <c r="AA207" s="114" t="s">
        <v>17580</v>
      </c>
      <c r="AB207" s="49"/>
      <c r="AC207" s="50"/>
      <c r="AD207" s="115"/>
      <c r="AE207" s="208">
        <f>ROUND((ROUND((_15_同援日１．５*_15・通訳),0)*(1+_15・区４)),0)+ROUND((ROUND((ROUND((_15_同援日１．５＿０．５*_15・通訳),0)*(1+_15・B夜間)),0)*(1+_15・区４)),0)+ROUND((ROUND((ROUND((_15_同援日１．５＿０．５＿０．５*_15・通訳),0)*(1+_15・C深夜)),0)*(1+_15・区４)),0)</f>
        <v>775</v>
      </c>
      <c r="AF207" s="48"/>
    </row>
    <row r="208" spans="1:32" ht="16.5" customHeight="1" x14ac:dyDescent="0.15">
      <c r="A208" s="41">
        <v>15</v>
      </c>
      <c r="B208" s="41" t="s">
        <v>3818</v>
      </c>
      <c r="C208" s="74" t="s">
        <v>29516</v>
      </c>
      <c r="D208" s="72"/>
      <c r="F208" s="57"/>
      <c r="G208" s="72"/>
      <c r="I208" s="57"/>
      <c r="J208" s="72"/>
      <c r="L208" s="57"/>
      <c r="M208" s="35"/>
      <c r="P208" s="299" t="s">
        <v>17556</v>
      </c>
      <c r="Q208" s="45" t="s">
        <v>398</v>
      </c>
      <c r="R208" s="46">
        <v>1</v>
      </c>
      <c r="S208" s="512"/>
      <c r="T208" s="57"/>
      <c r="U208" s="512"/>
      <c r="V208" s="57"/>
      <c r="W208" s="122"/>
      <c r="X208" s="37"/>
      <c r="Y208" s="38"/>
      <c r="Z208" s="79"/>
      <c r="AA208" s="72" t="s">
        <v>17572</v>
      </c>
      <c r="AD208" s="57"/>
      <c r="AE208" s="208">
        <f>ROUND((ROUND((ROUND((_15_同援日１．５*_15・通訳),0)*_15・２人),0)*(1+_15・区４)),0)+ROUND((ROUND((ROUND((ROUND((_15_同援日１．５＿０．５*_15・通訳),0)*_15・２人),0)*(1+_15・B夜間)),0)*(1+_15・区４)),0)+ROUND((ROUND((ROUND((ROUND((_15_同援日１．５＿０．５＿０．５*_15・通訳),0)*_15・２人),0)*(1+_15・C深夜)),0)*(1+_15・区４)),0)</f>
        <v>775</v>
      </c>
      <c r="AF208" s="48"/>
    </row>
    <row r="209" spans="1:32" ht="16.5" customHeight="1" x14ac:dyDescent="0.15">
      <c r="A209" s="41">
        <v>15</v>
      </c>
      <c r="B209" s="41" t="s">
        <v>29517</v>
      </c>
      <c r="C209" s="74" t="s">
        <v>29518</v>
      </c>
      <c r="D209" s="72"/>
      <c r="F209" s="57"/>
      <c r="G209" s="72"/>
      <c r="I209" s="57"/>
      <c r="J209" s="72"/>
      <c r="L209" s="57"/>
      <c r="M209" s="35"/>
      <c r="P209" s="299"/>
      <c r="Q209" s="45"/>
      <c r="R209" s="46"/>
      <c r="S209" s="512"/>
      <c r="T209" s="57"/>
      <c r="U209" s="512"/>
      <c r="V209" s="57"/>
      <c r="W209" s="114" t="s">
        <v>17562</v>
      </c>
      <c r="X209" s="49"/>
      <c r="Y209" s="50"/>
      <c r="Z209" s="115"/>
      <c r="AA209" s="72"/>
      <c r="AB209" s="12" t="s">
        <v>398</v>
      </c>
      <c r="AC209" s="13">
        <v>0.4</v>
      </c>
      <c r="AD209" s="57" t="s">
        <v>3575</v>
      </c>
      <c r="AE209" s="208">
        <f>ROUND((ROUND((ROUND((_15_同援日１．５*_15・通訳),0)*(1+_15・盲ろう)),0)*(1+_15・区４)),0)+ROUND((ROUND((ROUND((ROUND((_15_同援日１．５＿０．５*_15・通訳),0)*(1+_15・B夜間)),0)*(1+_15・盲ろう)),0)*(1+_15・区４)),0)+ROUND((ROUND((ROUND((ROUND((_15_同援日１．５＿０．５＿０．５*_15・通訳),0)*(1+_15・C深夜)),0)*(1+_15・盲ろう)),0)*(1+_15・区４)),0)</f>
        <v>968</v>
      </c>
      <c r="AF209" s="48"/>
    </row>
    <row r="210" spans="1:32" ht="16.5" customHeight="1" x14ac:dyDescent="0.15">
      <c r="A210" s="41">
        <v>15</v>
      </c>
      <c r="B210" s="41" t="s">
        <v>29519</v>
      </c>
      <c r="C210" s="74" t="s">
        <v>29520</v>
      </c>
      <c r="D210" s="72"/>
      <c r="F210" s="57"/>
      <c r="G210" s="72"/>
      <c r="I210" s="57"/>
      <c r="J210" s="122"/>
      <c r="K210" s="37"/>
      <c r="L210" s="79"/>
      <c r="M210" s="35"/>
      <c r="P210" s="299" t="s">
        <v>17556</v>
      </c>
      <c r="Q210" s="45" t="s">
        <v>398</v>
      </c>
      <c r="R210" s="46">
        <v>1</v>
      </c>
      <c r="S210" s="512"/>
      <c r="T210" s="57"/>
      <c r="U210" s="512"/>
      <c r="V210" s="57"/>
      <c r="W210" s="122" t="s">
        <v>17564</v>
      </c>
      <c r="X210" s="37" t="s">
        <v>398</v>
      </c>
      <c r="Y210" s="38">
        <v>0.25</v>
      </c>
      <c r="Z210" s="79" t="s">
        <v>3575</v>
      </c>
      <c r="AA210" s="122"/>
      <c r="AB210" s="37"/>
      <c r="AC210" s="38"/>
      <c r="AD210" s="79"/>
      <c r="AE210" s="208">
        <f>ROUND((ROUND((ROUND((ROUND((_15_同援日１．５*_15・通訳),0)*_15・２人),0)*(1+_15・盲ろう)),0)*(1+_15・区４)),0)+ROUND((ROUND((ROUND((ROUND((ROUND((_15_同援日１．５＿０．５*_15・通訳),0)*_15・２人),0)*(1+_15・B夜間)),0)*(1+_15・盲ろう)),0)*(1+_15・区４)),0)+ROUND((ROUND((ROUND((ROUND((ROUND((_15_同援日１．５＿０．５＿０．５*_15・通訳),0)*_15・２人),0)*(1+_15・C深夜)),0)*(1+_15・盲ろう)),0)*(1+_15・区４)),0)</f>
        <v>968</v>
      </c>
      <c r="AF210" s="48"/>
    </row>
    <row r="211" spans="1:32" ht="16.5" customHeight="1" x14ac:dyDescent="0.15">
      <c r="A211" s="41">
        <v>15</v>
      </c>
      <c r="B211" s="41" t="s">
        <v>29521</v>
      </c>
      <c r="C211" s="74" t="s">
        <v>29522</v>
      </c>
      <c r="D211" s="72"/>
      <c r="F211" s="57"/>
      <c r="G211" s="72"/>
      <c r="I211" s="57"/>
      <c r="J211" s="114" t="s">
        <v>22723</v>
      </c>
      <c r="K211" s="49"/>
      <c r="L211" s="115"/>
      <c r="M211" s="35"/>
      <c r="P211" s="299"/>
      <c r="Q211" s="45"/>
      <c r="R211" s="46"/>
      <c r="S211" s="512"/>
      <c r="T211" s="57"/>
      <c r="U211" s="512"/>
      <c r="V211" s="57"/>
      <c r="W211" s="114"/>
      <c r="X211" s="49"/>
      <c r="Y211" s="50"/>
      <c r="Z211" s="115"/>
      <c r="AA211" s="114"/>
      <c r="AB211" s="49"/>
      <c r="AC211" s="50"/>
      <c r="AD211" s="115"/>
      <c r="AE211" s="208">
        <f>ROUND((_15_同援日１．５*_15・通訳),0)+ROUND((ROUND((_15_同援日１．５＿０．５*_15・通訳),0)*(1+_15・B夜間)),0)+ROUND((ROUND((_15_同援日１．５＿０．５＿１．０*_15・通訳),0)*(1+_15・C深夜)),0)</f>
        <v>640</v>
      </c>
      <c r="AF211" s="48"/>
    </row>
    <row r="212" spans="1:32" ht="16.5" customHeight="1" x14ac:dyDescent="0.15">
      <c r="A212" s="41">
        <v>15</v>
      </c>
      <c r="B212" s="41" t="s">
        <v>29523</v>
      </c>
      <c r="C212" s="74" t="s">
        <v>29524</v>
      </c>
      <c r="D212" s="72"/>
      <c r="F212" s="57"/>
      <c r="G212" s="72"/>
      <c r="I212" s="57"/>
      <c r="J212" s="72" t="s">
        <v>17589</v>
      </c>
      <c r="L212" s="57"/>
      <c r="M212" s="35"/>
      <c r="P212" s="299" t="s">
        <v>17556</v>
      </c>
      <c r="Q212" s="45" t="s">
        <v>398</v>
      </c>
      <c r="R212" s="46">
        <v>1</v>
      </c>
      <c r="S212" s="512"/>
      <c r="T212" s="57"/>
      <c r="U212" s="512"/>
      <c r="V212" s="57"/>
      <c r="W212" s="122"/>
      <c r="X212" s="37"/>
      <c r="Y212" s="38"/>
      <c r="Z212" s="79"/>
      <c r="AA212" s="72"/>
      <c r="AD212" s="57"/>
      <c r="AE212" s="208">
        <f>ROUND((ROUND((_15_同援日１．５*_15・通訳),0)*_15・２人),0)+ROUND((ROUND((ROUND((_15_同援日１．５＿０．５*_15・通訳),0)*_15・２人),0)*(1+_15・B夜間)),0)+ROUND((ROUND((ROUND((_15_同援日１．５＿０．５＿１．０*_15・通訳),0)*_15・２人),0)*(1+_15・C深夜)),0)</f>
        <v>640</v>
      </c>
      <c r="AF212" s="48"/>
    </row>
    <row r="213" spans="1:32" ht="16.5" customHeight="1" x14ac:dyDescent="0.15">
      <c r="A213" s="41">
        <v>15</v>
      </c>
      <c r="B213" s="41" t="s">
        <v>29525</v>
      </c>
      <c r="C213" s="74" t="s">
        <v>29526</v>
      </c>
      <c r="D213" s="72"/>
      <c r="F213" s="57"/>
      <c r="G213" s="72"/>
      <c r="I213" s="57"/>
      <c r="J213" s="72" t="s">
        <v>17591</v>
      </c>
      <c r="L213" s="57"/>
      <c r="M213" s="35"/>
      <c r="P213" s="299"/>
      <c r="Q213" s="45"/>
      <c r="R213" s="46"/>
      <c r="S213" s="512"/>
      <c r="T213" s="57"/>
      <c r="U213" s="512"/>
      <c r="V213" s="57"/>
      <c r="W213" s="114" t="s">
        <v>17562</v>
      </c>
      <c r="X213" s="49"/>
      <c r="Y213" s="50"/>
      <c r="Z213" s="115"/>
      <c r="AA213" s="72"/>
      <c r="AD213" s="57"/>
      <c r="AE213" s="208">
        <f>ROUND((ROUND((_15_同援日１．５*_15・通訳),0)*(1+_15・盲ろう)),0)+ROUND((ROUND((ROUND((_15_同援日１．５＿０．５*_15・通訳),0)*(1+_15・B夜間)),0)*(1+_15・盲ろう)),0)+ROUND((ROUND((ROUND((_15_同援日１．５＿０．５＿１．０*_15・通訳),0)*(1+_15・C深夜)),0)*(1+_15・盲ろう)),0)</f>
        <v>801</v>
      </c>
      <c r="AF213" s="48"/>
    </row>
    <row r="214" spans="1:32" ht="16.5" customHeight="1" x14ac:dyDescent="0.15">
      <c r="A214" s="41">
        <v>15</v>
      </c>
      <c r="B214" s="41" t="s">
        <v>29527</v>
      </c>
      <c r="C214" s="74" t="s">
        <v>29528</v>
      </c>
      <c r="D214" s="72"/>
      <c r="F214" s="57"/>
      <c r="G214" s="72"/>
      <c r="I214" s="57"/>
      <c r="J214" s="72"/>
      <c r="K214" s="168">
        <f>_15_同援日１．５＿０．５＿１．０</f>
        <v>130</v>
      </c>
      <c r="L214" s="57" t="s">
        <v>392</v>
      </c>
      <c r="M214" s="35"/>
      <c r="P214" s="299" t="s">
        <v>17556</v>
      </c>
      <c r="Q214" s="45" t="s">
        <v>398</v>
      </c>
      <c r="R214" s="46">
        <v>1</v>
      </c>
      <c r="S214" s="512"/>
      <c r="T214" s="57"/>
      <c r="U214" s="512"/>
      <c r="V214" s="57"/>
      <c r="W214" s="122" t="s">
        <v>17564</v>
      </c>
      <c r="X214" s="37" t="s">
        <v>398</v>
      </c>
      <c r="Y214" s="38">
        <v>0.25</v>
      </c>
      <c r="Z214" s="79" t="s">
        <v>3575</v>
      </c>
      <c r="AA214" s="122"/>
      <c r="AB214" s="37"/>
      <c r="AC214" s="38"/>
      <c r="AD214" s="79"/>
      <c r="AE214" s="208">
        <f>ROUND((ROUND((ROUND((_15_同援日１．５*_15・通訳),0)*_15・２人),0)*(1+_15・盲ろう)),0)+ROUND((ROUND((ROUND((ROUND((_15_同援日１．５＿０．５*_15・通訳),0)*_15・２人),0)*(1+_15・B夜間)),0)*(1+_15・盲ろう)),0)+ROUND((ROUND((ROUND((ROUND((_15_同援日１．５＿０．５＿１．０*_15・通訳),0)*_15・２人),0)*(1+_15・C深夜)),0)*(1+_15・盲ろう)),0)</f>
        <v>801</v>
      </c>
      <c r="AF214" s="48"/>
    </row>
    <row r="215" spans="1:32" ht="16.5" customHeight="1" x14ac:dyDescent="0.15">
      <c r="A215" s="41">
        <v>15</v>
      </c>
      <c r="B215" s="41" t="s">
        <v>29529</v>
      </c>
      <c r="C215" s="74" t="s">
        <v>29530</v>
      </c>
      <c r="D215" s="72"/>
      <c r="F215" s="57"/>
      <c r="G215" s="72"/>
      <c r="I215" s="57"/>
      <c r="J215" s="72"/>
      <c r="L215" s="57"/>
      <c r="M215" s="35"/>
      <c r="P215" s="299"/>
      <c r="Q215" s="45"/>
      <c r="R215" s="46"/>
      <c r="S215" s="512"/>
      <c r="T215" s="57"/>
      <c r="U215" s="512"/>
      <c r="V215" s="57"/>
      <c r="W215" s="114"/>
      <c r="X215" s="49"/>
      <c r="Y215" s="50"/>
      <c r="Z215" s="115"/>
      <c r="AA215" s="114" t="s">
        <v>17570</v>
      </c>
      <c r="AB215" s="49"/>
      <c r="AC215" s="50"/>
      <c r="AD215" s="115"/>
      <c r="AE215" s="208">
        <f>ROUND((ROUND((_15_同援日１．５*_15・通訳),0)*(1+_15・区３)),0)+ROUND((ROUND((ROUND((_15_同援日１．５＿０．５*_15・通訳),0)*(1+_15・B夜間)),0)*(1+_15・区３)),0)+ROUND((ROUND((ROUND((_15_同援日１．５＿０．５＿１．０*_15・通訳),0)*(1+_15・C深夜)),0)*(1+_15・区３)),0)</f>
        <v>768</v>
      </c>
      <c r="AF215" s="48"/>
    </row>
    <row r="216" spans="1:32" ht="16.5" customHeight="1" x14ac:dyDescent="0.15">
      <c r="A216" s="41">
        <v>15</v>
      </c>
      <c r="B216" s="41" t="s">
        <v>29531</v>
      </c>
      <c r="C216" s="74" t="s">
        <v>29532</v>
      </c>
      <c r="D216" s="72"/>
      <c r="F216" s="57"/>
      <c r="G216" s="72"/>
      <c r="I216" s="57"/>
      <c r="J216" s="72"/>
      <c r="L216" s="57"/>
      <c r="M216" s="35"/>
      <c r="P216" s="299" t="s">
        <v>17556</v>
      </c>
      <c r="Q216" s="45" t="s">
        <v>398</v>
      </c>
      <c r="R216" s="46">
        <v>1</v>
      </c>
      <c r="S216" s="512"/>
      <c r="T216" s="57"/>
      <c r="U216" s="512"/>
      <c r="V216" s="57"/>
      <c r="W216" s="122"/>
      <c r="X216" s="37"/>
      <c r="Y216" s="38"/>
      <c r="Z216" s="79"/>
      <c r="AA216" s="72" t="s">
        <v>17572</v>
      </c>
      <c r="AD216" s="57"/>
      <c r="AE216" s="208">
        <f>ROUND((ROUND((ROUND((_15_同援日１．５*_15・通訳),0)*_15・２人),0)*(1+_15・区３)),0)+ROUND((ROUND((ROUND((ROUND((_15_同援日１．５＿０．５*_15・通訳),0)*_15・２人),0)*(1+_15・B夜間)),0)*(1+_15・区３)),0)+ROUND((ROUND((ROUND((ROUND((_15_同援日１．５＿０．５＿１．０*_15・通訳),0)*_15・２人),0)*(1+_15・C深夜)),0)*(1+_15・区３)),0)</f>
        <v>768</v>
      </c>
      <c r="AF216" s="48"/>
    </row>
    <row r="217" spans="1:32" ht="16.5" customHeight="1" x14ac:dyDescent="0.15">
      <c r="A217" s="41">
        <v>15</v>
      </c>
      <c r="B217" s="41" t="s">
        <v>3822</v>
      </c>
      <c r="C217" s="74" t="s">
        <v>29533</v>
      </c>
      <c r="D217" s="72"/>
      <c r="F217" s="57"/>
      <c r="G217" s="72"/>
      <c r="I217" s="57"/>
      <c r="J217" s="72"/>
      <c r="L217" s="57"/>
      <c r="M217" s="35"/>
      <c r="P217" s="299"/>
      <c r="Q217" s="45"/>
      <c r="R217" s="46"/>
      <c r="S217" s="512"/>
      <c r="T217" s="57"/>
      <c r="U217" s="512"/>
      <c r="V217" s="57"/>
      <c r="W217" s="114" t="s">
        <v>17562</v>
      </c>
      <c r="X217" s="49"/>
      <c r="Y217" s="50"/>
      <c r="Z217" s="115"/>
      <c r="AA217" s="72"/>
      <c r="AB217" s="12" t="s">
        <v>398</v>
      </c>
      <c r="AC217" s="13">
        <v>0.2</v>
      </c>
      <c r="AD217" s="57" t="s">
        <v>3575</v>
      </c>
      <c r="AE217" s="208">
        <f>ROUND((ROUND((ROUND((_15_同援日１．５*_15・通訳),0)*(1+_15・盲ろう)),0)*(1+_15・区３)),0)+ROUND((ROUND((ROUND((ROUND((_15_同援日１．５＿０．５*_15・通訳),0)*(1+_15・B夜間)),0)*(1+_15・盲ろう)),0)*(1+_15・区３)),0)+ROUND((ROUND((ROUND((ROUND((_15_同援日１．５＿０．５＿１．０*_15・通訳),0)*(1+_15・C深夜)),0)*(1+_15・盲ろう)),0)*(1+_15・区３)),0)</f>
        <v>962</v>
      </c>
      <c r="AF217" s="48"/>
    </row>
    <row r="218" spans="1:32" ht="16.5" customHeight="1" x14ac:dyDescent="0.15">
      <c r="A218" s="41">
        <v>15</v>
      </c>
      <c r="B218" s="41" t="s">
        <v>3824</v>
      </c>
      <c r="C218" s="74" t="s">
        <v>29534</v>
      </c>
      <c r="D218" s="72"/>
      <c r="F218" s="57"/>
      <c r="G218" s="72"/>
      <c r="I218" s="57"/>
      <c r="J218" s="72"/>
      <c r="L218" s="57"/>
      <c r="M218" s="35"/>
      <c r="P218" s="299" t="s">
        <v>17556</v>
      </c>
      <c r="Q218" s="45" t="s">
        <v>398</v>
      </c>
      <c r="R218" s="46">
        <v>1</v>
      </c>
      <c r="S218" s="512"/>
      <c r="T218" s="57"/>
      <c r="U218" s="512"/>
      <c r="V218" s="57"/>
      <c r="W218" s="122" t="s">
        <v>17564</v>
      </c>
      <c r="X218" s="37" t="s">
        <v>398</v>
      </c>
      <c r="Y218" s="38">
        <v>0.25</v>
      </c>
      <c r="Z218" s="79" t="s">
        <v>3575</v>
      </c>
      <c r="AA218" s="122"/>
      <c r="AB218" s="37"/>
      <c r="AC218" s="38"/>
      <c r="AD218" s="79"/>
      <c r="AE218" s="208">
        <f>ROUND((ROUND((ROUND((ROUND((_15_同援日１．５*_15・通訳),0)*_15・２人),0)*(1+_15・盲ろう)),0)*(1+_15・区３)),0)+ROUND((ROUND((ROUND((ROUND((ROUND((_15_同援日１．５＿０．５*_15・通訳),0)*_15・２人),0)*(1+_15・B夜間)),0)*(1+_15・盲ろう)),0)*(1+_15・区３)),0)+ROUND((ROUND((ROUND((ROUND((ROUND((_15_同援日１．５＿０．５＿１．０*_15・通訳),0)*_15・２人),0)*(1+_15・C深夜)),0)*(1+_15・盲ろう)),0)*(1+_15・区３)),0)</f>
        <v>962</v>
      </c>
      <c r="AF218" s="48"/>
    </row>
    <row r="219" spans="1:32" ht="16.5" customHeight="1" x14ac:dyDescent="0.15">
      <c r="A219" s="41">
        <v>15</v>
      </c>
      <c r="B219" s="41" t="s">
        <v>29535</v>
      </c>
      <c r="C219" s="74" t="s">
        <v>29536</v>
      </c>
      <c r="D219" s="72"/>
      <c r="F219" s="57"/>
      <c r="G219" s="72"/>
      <c r="I219" s="57"/>
      <c r="J219" s="72"/>
      <c r="L219" s="57"/>
      <c r="M219" s="35"/>
      <c r="P219" s="299"/>
      <c r="Q219" s="45"/>
      <c r="R219" s="46"/>
      <c r="S219" s="512"/>
      <c r="T219" s="57"/>
      <c r="U219" s="512"/>
      <c r="V219" s="57"/>
      <c r="W219" s="114"/>
      <c r="X219" s="49"/>
      <c r="Y219" s="50"/>
      <c r="Z219" s="115"/>
      <c r="AA219" s="114" t="s">
        <v>17580</v>
      </c>
      <c r="AB219" s="49"/>
      <c r="AC219" s="50"/>
      <c r="AD219" s="115"/>
      <c r="AE219" s="208">
        <f>ROUND((ROUND((_15_同援日１．５*_15・通訳),0)*(1+_15・区４)),0)+ROUND((ROUND((ROUND((_15_同援日１．５＿０．５*_15・通訳),0)*(1+_15・B夜間)),0)*(1+_15・区４)),0)+ROUND((ROUND((ROUND((_15_同援日１．５＿０．５＿１．０*_15・通訳),0)*(1+_15・C深夜)),0)*(1+_15・区４)),0)</f>
        <v>896</v>
      </c>
      <c r="AF219" s="48"/>
    </row>
    <row r="220" spans="1:32" ht="16.5" customHeight="1" x14ac:dyDescent="0.15">
      <c r="A220" s="41">
        <v>15</v>
      </c>
      <c r="B220" s="41" t="s">
        <v>29537</v>
      </c>
      <c r="C220" s="74" t="s">
        <v>29538</v>
      </c>
      <c r="D220" s="72"/>
      <c r="F220" s="57"/>
      <c r="G220" s="72"/>
      <c r="I220" s="57"/>
      <c r="J220" s="72"/>
      <c r="L220" s="57"/>
      <c r="M220" s="35"/>
      <c r="P220" s="299" t="s">
        <v>17556</v>
      </c>
      <c r="Q220" s="45" t="s">
        <v>398</v>
      </c>
      <c r="R220" s="46">
        <v>1</v>
      </c>
      <c r="S220" s="512"/>
      <c r="T220" s="57"/>
      <c r="U220" s="512"/>
      <c r="V220" s="57"/>
      <c r="W220" s="122"/>
      <c r="X220" s="37"/>
      <c r="Y220" s="38"/>
      <c r="Z220" s="79"/>
      <c r="AA220" s="72" t="s">
        <v>17572</v>
      </c>
      <c r="AD220" s="57"/>
      <c r="AE220" s="208">
        <f>ROUND((ROUND((ROUND((_15_同援日１．５*_15・通訳),0)*_15・２人),0)*(1+_15・区４)),0)+ROUND((ROUND((ROUND((ROUND((_15_同援日１．５＿０．５*_15・通訳),0)*_15・２人),0)*(1+_15・B夜間)),0)*(1+_15・区４)),0)+ROUND((ROUND((ROUND((ROUND((_15_同援日１．５＿０．５＿１．０*_15・通訳),0)*_15・２人),0)*(1+_15・C深夜)),0)*(1+_15・区４)),0)</f>
        <v>896</v>
      </c>
      <c r="AF220" s="48"/>
    </row>
    <row r="221" spans="1:32" ht="16.5" customHeight="1" x14ac:dyDescent="0.15">
      <c r="A221" s="41">
        <v>15</v>
      </c>
      <c r="B221" s="41" t="s">
        <v>29539</v>
      </c>
      <c r="C221" s="74" t="s">
        <v>29540</v>
      </c>
      <c r="D221" s="72"/>
      <c r="F221" s="57"/>
      <c r="G221" s="72"/>
      <c r="I221" s="57"/>
      <c r="J221" s="72"/>
      <c r="L221" s="57"/>
      <c r="M221" s="35"/>
      <c r="P221" s="299"/>
      <c r="Q221" s="45"/>
      <c r="R221" s="46"/>
      <c r="S221" s="512"/>
      <c r="T221" s="57"/>
      <c r="U221" s="512"/>
      <c r="V221" s="57"/>
      <c r="W221" s="114" t="s">
        <v>17562</v>
      </c>
      <c r="X221" s="49"/>
      <c r="Y221" s="50"/>
      <c r="Z221" s="115"/>
      <c r="AA221" s="72"/>
      <c r="AB221" s="12" t="s">
        <v>398</v>
      </c>
      <c r="AC221" s="13">
        <v>0.4</v>
      </c>
      <c r="AD221" s="57" t="s">
        <v>3575</v>
      </c>
      <c r="AE221" s="208">
        <f>ROUND((ROUND((ROUND((_15_同援日１．５*_15・通訳),0)*(1+_15・盲ろう)),0)*(1+_15・区４)),0)+ROUND((ROUND((ROUND((ROUND((_15_同援日１．５＿０．５*_15・通訳),0)*(1+_15・B夜間)),0)*(1+_15・盲ろう)),0)*(1+_15・区４)),0)+ROUND((ROUND((ROUND((ROUND((_15_同援日１．５＿０．５＿１．０*_15・通訳),0)*(1+_15・C深夜)),0)*(1+_15・盲ろう)),0)*(1+_15・区４)),0)</f>
        <v>1121</v>
      </c>
      <c r="AF221" s="48"/>
    </row>
    <row r="222" spans="1:32" ht="16.5" customHeight="1" x14ac:dyDescent="0.15">
      <c r="A222" s="41">
        <v>15</v>
      </c>
      <c r="B222" s="41" t="s">
        <v>29541</v>
      </c>
      <c r="C222" s="74" t="s">
        <v>29542</v>
      </c>
      <c r="D222" s="72"/>
      <c r="F222" s="57"/>
      <c r="G222" s="122"/>
      <c r="H222" s="37"/>
      <c r="I222" s="79"/>
      <c r="J222" s="122"/>
      <c r="K222" s="37"/>
      <c r="L222" s="79"/>
      <c r="M222" s="35"/>
      <c r="P222" s="299" t="s">
        <v>17556</v>
      </c>
      <c r="Q222" s="45" t="s">
        <v>398</v>
      </c>
      <c r="R222" s="46">
        <v>1</v>
      </c>
      <c r="S222" s="512"/>
      <c r="T222" s="57"/>
      <c r="U222" s="512"/>
      <c r="V222" s="57"/>
      <c r="W222" s="122" t="s">
        <v>17564</v>
      </c>
      <c r="X222" s="37" t="s">
        <v>398</v>
      </c>
      <c r="Y222" s="38">
        <v>0.25</v>
      </c>
      <c r="Z222" s="79" t="s">
        <v>3575</v>
      </c>
      <c r="AA222" s="122"/>
      <c r="AB222" s="37"/>
      <c r="AC222" s="38"/>
      <c r="AD222" s="79"/>
      <c r="AE222" s="208">
        <f>ROUND((ROUND((ROUND((ROUND((_15_同援日１．５*_15・通訳),0)*_15・２人),0)*(1+_15・盲ろう)),0)*(1+_15・区４)),0)+ROUND((ROUND((ROUND((ROUND((ROUND((_15_同援日１．５＿０．５*_15・通訳),0)*_15・２人),0)*(1+_15・B夜間)),0)*(1+_15・盲ろう)),0)*(1+_15・区４)),0)+ROUND((ROUND((ROUND((ROUND((ROUND((_15_同援日１．５＿０．５＿１．０*_15・通訳),0)*_15・２人),0)*(1+_15・C深夜)),0)*(1+_15・盲ろう)),0)*(1+_15・区４)),0)</f>
        <v>1121</v>
      </c>
      <c r="AF222" s="48"/>
    </row>
    <row r="223" spans="1:32" ht="16.5" customHeight="1" x14ac:dyDescent="0.15">
      <c r="A223" s="41">
        <v>15</v>
      </c>
      <c r="B223" s="41" t="s">
        <v>29543</v>
      </c>
      <c r="C223" s="74" t="s">
        <v>29544</v>
      </c>
      <c r="D223" s="72"/>
      <c r="F223" s="57"/>
      <c r="G223" s="114" t="s">
        <v>19578</v>
      </c>
      <c r="H223" s="49"/>
      <c r="I223" s="115"/>
      <c r="J223" s="114" t="s">
        <v>22681</v>
      </c>
      <c r="K223" s="49"/>
      <c r="L223" s="115"/>
      <c r="M223" s="35"/>
      <c r="P223" s="299"/>
      <c r="Q223" s="45"/>
      <c r="R223" s="46"/>
      <c r="S223" s="512"/>
      <c r="T223" s="57"/>
      <c r="U223" s="512"/>
      <c r="V223" s="57"/>
      <c r="W223" s="114"/>
      <c r="X223" s="49"/>
      <c r="Y223" s="50"/>
      <c r="Z223" s="115"/>
      <c r="AA223" s="114"/>
      <c r="AB223" s="49"/>
      <c r="AC223" s="50"/>
      <c r="AD223" s="115"/>
      <c r="AE223" s="208">
        <f>ROUND((_15_同援日１．５*_15・通訳),0)+ROUND((ROUND((_15_同援日１．５＿１．０*_15・通訳),0)*(1+_15・B夜間)),0)+ROUND((ROUND((_15_同援日１．５＿１．０＿０．５*_15・通訳),0)*(1+_15・C深夜)),0)</f>
        <v>625</v>
      </c>
      <c r="AF223" s="48"/>
    </row>
    <row r="224" spans="1:32" ht="16.5" customHeight="1" x14ac:dyDescent="0.15">
      <c r="A224" s="41">
        <v>15</v>
      </c>
      <c r="B224" s="41" t="s">
        <v>29545</v>
      </c>
      <c r="C224" s="74" t="s">
        <v>29546</v>
      </c>
      <c r="D224" s="72"/>
      <c r="F224" s="57"/>
      <c r="G224" s="72" t="s">
        <v>17589</v>
      </c>
      <c r="I224" s="57"/>
      <c r="J224" s="72" t="s">
        <v>18259</v>
      </c>
      <c r="L224" s="57"/>
      <c r="M224" s="35"/>
      <c r="P224" s="299" t="s">
        <v>17556</v>
      </c>
      <c r="Q224" s="45" t="s">
        <v>398</v>
      </c>
      <c r="R224" s="46">
        <v>1</v>
      </c>
      <c r="S224" s="512"/>
      <c r="T224" s="57"/>
      <c r="U224" s="512"/>
      <c r="V224" s="57"/>
      <c r="W224" s="122"/>
      <c r="X224" s="37"/>
      <c r="Y224" s="38"/>
      <c r="Z224" s="79"/>
      <c r="AA224" s="72"/>
      <c r="AD224" s="57"/>
      <c r="AE224" s="208">
        <f>ROUND((ROUND((_15_同援日１．５*_15・通訳),0)*_15・２人),0)+ROUND((ROUND((ROUND((_15_同援日１．５＿１．０*_15・通訳),0)*_15・２人),0)*(1+_15・B夜間)),0)+ROUND((ROUND((ROUND((_15_同援日１．５＿１．０＿０．５*_15・通訳),0)*_15・２人),0)*(1+_15・C深夜)),0)</f>
        <v>625</v>
      </c>
      <c r="AF224" s="48"/>
    </row>
    <row r="225" spans="1:32" ht="16.5" customHeight="1" x14ac:dyDescent="0.15">
      <c r="A225" s="41">
        <v>15</v>
      </c>
      <c r="B225" s="41" t="s">
        <v>29547</v>
      </c>
      <c r="C225" s="74" t="s">
        <v>29548</v>
      </c>
      <c r="D225" s="72"/>
      <c r="F225" s="57"/>
      <c r="G225" s="72" t="s">
        <v>17591</v>
      </c>
      <c r="I225" s="57"/>
      <c r="J225" s="72"/>
      <c r="L225" s="57"/>
      <c r="M225" s="35"/>
      <c r="P225" s="299"/>
      <c r="Q225" s="45"/>
      <c r="R225" s="46"/>
      <c r="S225" s="512"/>
      <c r="T225" s="57"/>
      <c r="U225" s="512"/>
      <c r="V225" s="57"/>
      <c r="W225" s="114" t="s">
        <v>17562</v>
      </c>
      <c r="X225" s="49"/>
      <c r="Y225" s="50"/>
      <c r="Z225" s="115"/>
      <c r="AA225" s="72"/>
      <c r="AD225" s="57"/>
      <c r="AE225" s="208">
        <f>ROUND((ROUND((_15_同援日１．５*_15・通訳),0)*(1+_15・盲ろう)),0)+ROUND((ROUND((ROUND((_15_同援日１．５＿１．０*_15・通訳),0)*(1+_15・B夜間)),0)*(1+_15・盲ろう)),0)+ROUND((ROUND((ROUND((_15_同援日１．５＿１．０＿０．５*_15・通訳),0)*(1+_15・C深夜)),0)*(1+_15・盲ろう)),0)</f>
        <v>782</v>
      </c>
      <c r="AF225" s="48"/>
    </row>
    <row r="226" spans="1:32" ht="16.5" customHeight="1" x14ac:dyDescent="0.15">
      <c r="A226" s="41">
        <v>15</v>
      </c>
      <c r="B226" s="41" t="s">
        <v>29549</v>
      </c>
      <c r="C226" s="74" t="s">
        <v>29550</v>
      </c>
      <c r="D226" s="72"/>
      <c r="F226" s="57"/>
      <c r="G226" s="72"/>
      <c r="H226" s="168">
        <f>_15_同援日１．５＿１．０</f>
        <v>130</v>
      </c>
      <c r="I226" s="57" t="s">
        <v>392</v>
      </c>
      <c r="J226" s="72"/>
      <c r="K226" s="168">
        <f>_15_同援日１．５＿１．０＿０．５</f>
        <v>65</v>
      </c>
      <c r="L226" s="57" t="s">
        <v>392</v>
      </c>
      <c r="M226" s="35"/>
      <c r="P226" s="299" t="s">
        <v>17556</v>
      </c>
      <c r="Q226" s="45" t="s">
        <v>398</v>
      </c>
      <c r="R226" s="46">
        <v>1</v>
      </c>
      <c r="S226" s="512"/>
      <c r="T226" s="57"/>
      <c r="U226" s="512"/>
      <c r="V226" s="57"/>
      <c r="W226" s="122" t="s">
        <v>17564</v>
      </c>
      <c r="X226" s="37" t="s">
        <v>398</v>
      </c>
      <c r="Y226" s="38">
        <v>0.25</v>
      </c>
      <c r="Z226" s="79" t="s">
        <v>3575</v>
      </c>
      <c r="AA226" s="122"/>
      <c r="AB226" s="37"/>
      <c r="AC226" s="38"/>
      <c r="AD226" s="79"/>
      <c r="AE226" s="208">
        <f>ROUND((ROUND((ROUND((_15_同援日１．５*_15・通訳),0)*_15・２人),0)*(1+_15・盲ろう)),0)+ROUND((ROUND((ROUND((ROUND((_15_同援日１．５＿１．０*_15・通訳),0)*_15・２人),0)*(1+_15・B夜間)),0)*(1+_15・盲ろう)),0)+ROUND((ROUND((ROUND((ROUND((_15_同援日１．５＿１．０＿０．５*_15・通訳),0)*_15・２人),0)*(1+_15・C深夜)),0)*(1+_15・盲ろう)),0)</f>
        <v>782</v>
      </c>
      <c r="AF226" s="48"/>
    </row>
    <row r="227" spans="1:32" ht="16.5" customHeight="1" x14ac:dyDescent="0.15">
      <c r="A227" s="41">
        <v>15</v>
      </c>
      <c r="B227" s="41" t="s">
        <v>3829</v>
      </c>
      <c r="C227" s="74" t="s">
        <v>29551</v>
      </c>
      <c r="D227" s="72"/>
      <c r="F227" s="57"/>
      <c r="G227" s="72"/>
      <c r="I227" s="57"/>
      <c r="J227" s="72"/>
      <c r="L227" s="57"/>
      <c r="M227" s="35"/>
      <c r="P227" s="299"/>
      <c r="Q227" s="45"/>
      <c r="R227" s="46"/>
      <c r="S227" s="512"/>
      <c r="T227" s="57"/>
      <c r="U227" s="512"/>
      <c r="V227" s="57"/>
      <c r="W227" s="114"/>
      <c r="X227" s="49"/>
      <c r="Y227" s="50"/>
      <c r="Z227" s="115"/>
      <c r="AA227" s="114" t="s">
        <v>17570</v>
      </c>
      <c r="AB227" s="49"/>
      <c r="AC227" s="50"/>
      <c r="AD227" s="115"/>
      <c r="AE227" s="208">
        <f>ROUND((ROUND((_15_同援日１．５*_15・通訳),0)*(1+_15・区３)),0)+ROUND((ROUND((ROUND((_15_同援日１．５＿１．０*_15・通訳),0)*(1+_15・B夜間)),0)*(1+_15・区３)),0)+ROUND((ROUND((ROUND((_15_同援日１．５＿１．０＿０．５*_15・通訳),0)*(1+_15・C深夜)),0)*(1+_15・区３)),0)</f>
        <v>750</v>
      </c>
      <c r="AF227" s="48"/>
    </row>
    <row r="228" spans="1:32" ht="16.5" customHeight="1" x14ac:dyDescent="0.15">
      <c r="A228" s="41">
        <v>15</v>
      </c>
      <c r="B228" s="41" t="s">
        <v>3831</v>
      </c>
      <c r="C228" s="74" t="s">
        <v>29552</v>
      </c>
      <c r="D228" s="72"/>
      <c r="F228" s="57"/>
      <c r="G228" s="72"/>
      <c r="I228" s="57"/>
      <c r="J228" s="72"/>
      <c r="L228" s="57"/>
      <c r="M228" s="35"/>
      <c r="P228" s="299" t="s">
        <v>17556</v>
      </c>
      <c r="Q228" s="45" t="s">
        <v>398</v>
      </c>
      <c r="R228" s="46">
        <v>1</v>
      </c>
      <c r="S228" s="512"/>
      <c r="T228" s="57"/>
      <c r="U228" s="512"/>
      <c r="V228" s="57"/>
      <c r="W228" s="122"/>
      <c r="X228" s="37"/>
      <c r="Y228" s="38"/>
      <c r="Z228" s="79"/>
      <c r="AA228" s="72" t="s">
        <v>17572</v>
      </c>
      <c r="AD228" s="57"/>
      <c r="AE228" s="208">
        <f>ROUND((ROUND((ROUND((_15_同援日１．５*_15・通訳),0)*_15・２人),0)*(1+_15・区３)),0)+ROUND((ROUND((ROUND((ROUND((_15_同援日１．５＿１．０*_15・通訳),0)*_15・２人),0)*(1+_15・B夜間)),0)*(1+_15・区３)),0)+ROUND((ROUND((ROUND((ROUND((_15_同援日１．５＿１．０＿０．５*_15・通訳),0)*_15・２人),0)*(1+_15・C深夜)),0)*(1+_15・区３)),0)</f>
        <v>750</v>
      </c>
      <c r="AF228" s="48"/>
    </row>
    <row r="229" spans="1:32" ht="16.5" customHeight="1" x14ac:dyDescent="0.15">
      <c r="A229" s="41">
        <v>15</v>
      </c>
      <c r="B229" s="41" t="s">
        <v>29553</v>
      </c>
      <c r="C229" s="74" t="s">
        <v>29554</v>
      </c>
      <c r="D229" s="72"/>
      <c r="F229" s="57"/>
      <c r="G229" s="72"/>
      <c r="I229" s="57"/>
      <c r="J229" s="72"/>
      <c r="L229" s="57"/>
      <c r="M229" s="35"/>
      <c r="P229" s="299"/>
      <c r="Q229" s="45"/>
      <c r="R229" s="46"/>
      <c r="S229" s="512"/>
      <c r="T229" s="57"/>
      <c r="U229" s="512"/>
      <c r="V229" s="57"/>
      <c r="W229" s="114" t="s">
        <v>17562</v>
      </c>
      <c r="X229" s="49"/>
      <c r="Y229" s="50"/>
      <c r="Z229" s="115"/>
      <c r="AA229" s="72"/>
      <c r="AB229" s="12" t="s">
        <v>398</v>
      </c>
      <c r="AC229" s="13">
        <v>0.2</v>
      </c>
      <c r="AD229" s="57" t="s">
        <v>3575</v>
      </c>
      <c r="AE229" s="208">
        <f>ROUND((ROUND((ROUND((_15_同援日１．５*_15・通訳),0)*(1+_15・盲ろう)),0)*(1+_15・区３)),0)+ROUND((ROUND((ROUND((ROUND((_15_同援日１．５＿１．０*_15・通訳),0)*(1+_15・B夜間)),0)*(1+_15・盲ろう)),0)*(1+_15・区３)),0)+ROUND((ROUND((ROUND((ROUND((_15_同援日１．５＿１．０＿０．５*_15・通訳),0)*(1+_15・C深夜)),0)*(1+_15・盲ろう)),0)*(1+_15・区３)),0)</f>
        <v>939</v>
      </c>
      <c r="AF229" s="48"/>
    </row>
    <row r="230" spans="1:32" ht="16.5" customHeight="1" x14ac:dyDescent="0.15">
      <c r="A230" s="41">
        <v>15</v>
      </c>
      <c r="B230" s="41" t="s">
        <v>29555</v>
      </c>
      <c r="C230" s="74" t="s">
        <v>29556</v>
      </c>
      <c r="D230" s="72"/>
      <c r="F230" s="57"/>
      <c r="G230" s="72"/>
      <c r="I230" s="57"/>
      <c r="J230" s="72"/>
      <c r="L230" s="57"/>
      <c r="M230" s="35"/>
      <c r="P230" s="299" t="s">
        <v>17556</v>
      </c>
      <c r="Q230" s="45" t="s">
        <v>398</v>
      </c>
      <c r="R230" s="46">
        <v>1</v>
      </c>
      <c r="S230" s="512"/>
      <c r="T230" s="57"/>
      <c r="U230" s="512"/>
      <c r="V230" s="57"/>
      <c r="W230" s="122" t="s">
        <v>17564</v>
      </c>
      <c r="X230" s="37" t="s">
        <v>398</v>
      </c>
      <c r="Y230" s="38">
        <v>0.25</v>
      </c>
      <c r="Z230" s="79" t="s">
        <v>3575</v>
      </c>
      <c r="AA230" s="122"/>
      <c r="AB230" s="37"/>
      <c r="AC230" s="38"/>
      <c r="AD230" s="79"/>
      <c r="AE230" s="208">
        <f>ROUND((ROUND((ROUND((ROUND((_15_同援日１．５*_15・通訳),0)*_15・２人),0)*(1+_15・盲ろう)),0)*(1+_15・区３)),0)+ROUND((ROUND((ROUND((ROUND((ROUND((_15_同援日１．５＿１．０*_15・通訳),0)*_15・２人),0)*(1+_15・B夜間)),0)*(1+_15・盲ろう)),0)*(1+_15・区３)),0)+ROUND((ROUND((ROUND((ROUND((ROUND((_15_同援日１．５＿１．０＿０．５*_15・通訳),0)*_15・２人),0)*(1+_15・C深夜)),0)*(1+_15・盲ろう)),0)*(1+_15・区３)),0)</f>
        <v>939</v>
      </c>
      <c r="AF230" s="48"/>
    </row>
    <row r="231" spans="1:32" ht="16.5" customHeight="1" x14ac:dyDescent="0.15">
      <c r="A231" s="41">
        <v>15</v>
      </c>
      <c r="B231" s="41" t="s">
        <v>29557</v>
      </c>
      <c r="C231" s="74" t="s">
        <v>29558</v>
      </c>
      <c r="D231" s="72"/>
      <c r="F231" s="57"/>
      <c r="G231" s="72"/>
      <c r="I231" s="57"/>
      <c r="J231" s="72"/>
      <c r="L231" s="57"/>
      <c r="M231" s="35"/>
      <c r="P231" s="299"/>
      <c r="Q231" s="45"/>
      <c r="R231" s="46"/>
      <c r="S231" s="512"/>
      <c r="T231" s="57"/>
      <c r="U231" s="512"/>
      <c r="V231" s="57"/>
      <c r="W231" s="114"/>
      <c r="X231" s="49"/>
      <c r="Y231" s="50"/>
      <c r="Z231" s="115"/>
      <c r="AA231" s="114" t="s">
        <v>17580</v>
      </c>
      <c r="AB231" s="49"/>
      <c r="AC231" s="50"/>
      <c r="AD231" s="115"/>
      <c r="AE231" s="208">
        <f>ROUND((ROUND((_15_同援日１．５*_15・通訳),0)*(1+_15・区４)),0)+ROUND((ROUND((ROUND((_15_同援日１．５＿１．０*_15・通訳),0)*(1+_15・B夜間)),0)*(1+_15・区４)),0)+ROUND((ROUND((ROUND((_15_同援日１．５＿１．０＿０．５*_15・通訳),0)*(1+_15・C深夜)),0)*(1+_15・区４)),0)</f>
        <v>875</v>
      </c>
      <c r="AF231" s="48"/>
    </row>
    <row r="232" spans="1:32" ht="16.5" customHeight="1" x14ac:dyDescent="0.15">
      <c r="A232" s="41">
        <v>15</v>
      </c>
      <c r="B232" s="41" t="s">
        <v>29559</v>
      </c>
      <c r="C232" s="74" t="s">
        <v>29560</v>
      </c>
      <c r="D232" s="72"/>
      <c r="F232" s="57"/>
      <c r="G232" s="72"/>
      <c r="I232" s="57"/>
      <c r="J232" s="72"/>
      <c r="L232" s="57"/>
      <c r="M232" s="35"/>
      <c r="P232" s="299" t="s">
        <v>17556</v>
      </c>
      <c r="Q232" s="45" t="s">
        <v>398</v>
      </c>
      <c r="R232" s="46">
        <v>1</v>
      </c>
      <c r="S232" s="512"/>
      <c r="T232" s="57"/>
      <c r="U232" s="512"/>
      <c r="V232" s="57"/>
      <c r="W232" s="122"/>
      <c r="X232" s="37"/>
      <c r="Y232" s="38"/>
      <c r="Z232" s="79"/>
      <c r="AA232" s="72" t="s">
        <v>17572</v>
      </c>
      <c r="AD232" s="57"/>
      <c r="AE232" s="208">
        <f>ROUND((ROUND((ROUND((_15_同援日１．５*_15・通訳),0)*_15・２人),0)*(1+_15・区４)),0)+ROUND((ROUND((ROUND((ROUND((_15_同援日１．５＿１．０*_15・通訳),0)*_15・２人),0)*(1+_15・B夜間)),0)*(1+_15・区４)),0)+ROUND((ROUND((ROUND((ROUND((_15_同援日１．５＿１．０＿０．５*_15・通訳),0)*_15・２人),0)*(1+_15・C深夜)),0)*(1+_15・区４)),0)</f>
        <v>875</v>
      </c>
      <c r="AF232" s="48"/>
    </row>
    <row r="233" spans="1:32" ht="16.5" customHeight="1" x14ac:dyDescent="0.15">
      <c r="A233" s="41">
        <v>15</v>
      </c>
      <c r="B233" s="41" t="s">
        <v>29561</v>
      </c>
      <c r="C233" s="74" t="s">
        <v>29562</v>
      </c>
      <c r="D233" s="72"/>
      <c r="F233" s="57"/>
      <c r="G233" s="72"/>
      <c r="I233" s="57"/>
      <c r="J233" s="72"/>
      <c r="L233" s="57"/>
      <c r="M233" s="35"/>
      <c r="P233" s="299"/>
      <c r="Q233" s="45"/>
      <c r="R233" s="46"/>
      <c r="S233" s="512"/>
      <c r="T233" s="57"/>
      <c r="U233" s="512"/>
      <c r="V233" s="57"/>
      <c r="W233" s="114" t="s">
        <v>17562</v>
      </c>
      <c r="X233" s="49"/>
      <c r="Y233" s="50"/>
      <c r="Z233" s="115"/>
      <c r="AA233" s="72"/>
      <c r="AB233" s="12" t="s">
        <v>398</v>
      </c>
      <c r="AC233" s="13">
        <v>0.4</v>
      </c>
      <c r="AD233" s="57" t="s">
        <v>3575</v>
      </c>
      <c r="AE233" s="208">
        <f>ROUND((ROUND((ROUND((_15_同援日１．５*_15・通訳),0)*(1+_15・盲ろう)),0)*(1+_15・区４)),0)+ROUND((ROUND((ROUND((ROUND((_15_同援日１．５＿１．０*_15・通訳),0)*(1+_15・B夜間)),0)*(1+_15・盲ろう)),0)*(1+_15・区４)),0)+ROUND((ROUND((ROUND((ROUND((_15_同援日１．５＿１．０＿０．５*_15・通訳),0)*(1+_15・C深夜)),0)*(1+_15・盲ろう)),0)*(1+_15・区４)),0)</f>
        <v>1094</v>
      </c>
      <c r="AF233" s="48"/>
    </row>
    <row r="234" spans="1:32" ht="16.5" customHeight="1" x14ac:dyDescent="0.15">
      <c r="A234" s="41">
        <v>15</v>
      </c>
      <c r="B234" s="41" t="s">
        <v>29563</v>
      </c>
      <c r="C234" s="74" t="s">
        <v>29564</v>
      </c>
      <c r="D234" s="122"/>
      <c r="E234" s="37"/>
      <c r="F234" s="79"/>
      <c r="G234" s="122"/>
      <c r="H234" s="37"/>
      <c r="I234" s="79"/>
      <c r="J234" s="122"/>
      <c r="K234" s="37"/>
      <c r="L234" s="79"/>
      <c r="M234" s="43"/>
      <c r="N234" s="37"/>
      <c r="O234" s="38"/>
      <c r="P234" s="299" t="s">
        <v>17556</v>
      </c>
      <c r="Q234" s="45" t="s">
        <v>398</v>
      </c>
      <c r="R234" s="46">
        <v>1</v>
      </c>
      <c r="S234" s="514"/>
      <c r="T234" s="79"/>
      <c r="U234" s="514"/>
      <c r="V234" s="79"/>
      <c r="W234" s="122" t="s">
        <v>17564</v>
      </c>
      <c r="X234" s="37" t="s">
        <v>398</v>
      </c>
      <c r="Y234" s="38">
        <v>0.25</v>
      </c>
      <c r="Z234" s="79" t="s">
        <v>3575</v>
      </c>
      <c r="AA234" s="122"/>
      <c r="AB234" s="37"/>
      <c r="AC234" s="38"/>
      <c r="AD234" s="79"/>
      <c r="AE234" s="208">
        <f>ROUND((ROUND((ROUND((ROUND((_15_同援日１．５*_15・通訳),0)*_15・２人),0)*(1+_15・盲ろう)),0)*(1+_15・区４)),0)+ROUND((ROUND((ROUND((ROUND((ROUND((_15_同援日１．５＿１．０*_15・通訳),0)*_15・２人),0)*(1+_15・B夜間)),0)*(1+_15・盲ろう)),0)*(1+_15・区４)),0)+ROUND((ROUND((ROUND((ROUND((ROUND((_15_同援日１．５＿１．０＿０．５*_15・通訳),0)*_15・２人),0)*(1+_15・C深夜)),0)*(1+_15・盲ろう)),0)*(1+_15・区４)),0)</f>
        <v>1094</v>
      </c>
      <c r="AF234" s="63"/>
    </row>
    <row r="235" spans="1:32" ht="16.5" customHeight="1" x14ac:dyDescent="0.15">
      <c r="A235" s="41">
        <v>15</v>
      </c>
      <c r="B235" s="41" t="s">
        <v>29565</v>
      </c>
      <c r="C235" s="74" t="s">
        <v>29566</v>
      </c>
      <c r="D235" s="114" t="s">
        <v>17641</v>
      </c>
      <c r="E235" s="49"/>
      <c r="F235" s="115"/>
      <c r="G235" s="114" t="s">
        <v>19553</v>
      </c>
      <c r="H235" s="49"/>
      <c r="I235" s="115"/>
      <c r="J235" s="114" t="s">
        <v>22681</v>
      </c>
      <c r="K235" s="49"/>
      <c r="L235" s="115"/>
      <c r="M235" s="53"/>
      <c r="N235" s="49"/>
      <c r="O235" s="50"/>
      <c r="P235" s="299"/>
      <c r="Q235" s="45"/>
      <c r="R235" s="46"/>
      <c r="S235" s="515"/>
      <c r="T235" s="115"/>
      <c r="U235" s="515"/>
      <c r="V235" s="115"/>
      <c r="W235" s="114"/>
      <c r="X235" s="49"/>
      <c r="Y235" s="50"/>
      <c r="Z235" s="115"/>
      <c r="AA235" s="114"/>
      <c r="AB235" s="49"/>
      <c r="AC235" s="50"/>
      <c r="AD235" s="115"/>
      <c r="AE235" s="208">
        <f>ROUND((_15_同援日２．０*_15・通訳),0)+ROUND((ROUND((_15_同援日２．０＿０．５*_15・通訳),0)*(1+_15・B夜間)),0)+ROUND((ROUND((_15_同援日２．０＿０．５＿０．５*_15・通訳),0)*(1+_15・C深夜)),0)</f>
        <v>611</v>
      </c>
      <c r="AF235" s="64"/>
    </row>
    <row r="236" spans="1:32" ht="16.5" customHeight="1" x14ac:dyDescent="0.15">
      <c r="A236" s="41">
        <v>15</v>
      </c>
      <c r="B236" s="41" t="s">
        <v>29567</v>
      </c>
      <c r="C236" s="74" t="s">
        <v>29568</v>
      </c>
      <c r="D236" s="72" t="s">
        <v>17643</v>
      </c>
      <c r="F236" s="57"/>
      <c r="G236" s="72" t="s">
        <v>18259</v>
      </c>
      <c r="I236" s="57"/>
      <c r="J236" s="72" t="s">
        <v>18259</v>
      </c>
      <c r="L236" s="57"/>
      <c r="M236" s="35"/>
      <c r="P236" s="299" t="s">
        <v>17556</v>
      </c>
      <c r="Q236" s="45" t="s">
        <v>398</v>
      </c>
      <c r="R236" s="46">
        <v>1</v>
      </c>
      <c r="S236" s="512"/>
      <c r="T236" s="57"/>
      <c r="U236" s="512"/>
      <c r="V236" s="57"/>
      <c r="W236" s="122"/>
      <c r="X236" s="37"/>
      <c r="Y236" s="38"/>
      <c r="Z236" s="79"/>
      <c r="AA236" s="72"/>
      <c r="AD236" s="57"/>
      <c r="AE236" s="208">
        <f>ROUND((ROUND((_15_同援日２．０*_15・通訳),0)*_15・２人),0)+ROUND((ROUND((ROUND((_15_同援日２．０＿０．５*_15・通訳),0)*_15・２人),0)*(1+_15・B夜間)),0)+ROUND((ROUND((ROUND((_15_同援日２．０＿０．５＿０．５*_15・通訳),0)*_15・２人),0)*(1+_15・C深夜)),0)</f>
        <v>611</v>
      </c>
      <c r="AF236" s="48"/>
    </row>
    <row r="237" spans="1:32" ht="16.5" customHeight="1" x14ac:dyDescent="0.15">
      <c r="A237" s="41">
        <v>15</v>
      </c>
      <c r="B237" s="41" t="s">
        <v>3835</v>
      </c>
      <c r="C237" s="74" t="s">
        <v>29569</v>
      </c>
      <c r="D237" s="72" t="s">
        <v>17645</v>
      </c>
      <c r="F237" s="57"/>
      <c r="G237" s="72"/>
      <c r="I237" s="57"/>
      <c r="J237" s="72"/>
      <c r="L237" s="57"/>
      <c r="M237" s="35"/>
      <c r="P237" s="299"/>
      <c r="Q237" s="45"/>
      <c r="R237" s="46"/>
      <c r="S237" s="512"/>
      <c r="T237" s="57"/>
      <c r="U237" s="512"/>
      <c r="V237" s="57"/>
      <c r="W237" s="114" t="s">
        <v>17562</v>
      </c>
      <c r="X237" s="49"/>
      <c r="Y237" s="50"/>
      <c r="Z237" s="115"/>
      <c r="AA237" s="72"/>
      <c r="AD237" s="57"/>
      <c r="AE237" s="208">
        <f>ROUND((ROUND((_15_同援日２．０*_15・通訳),0)*(1+_15・盲ろう)),0)+ROUND((ROUND((ROUND((_15_同援日２．０＿０．５*_15・通訳),0)*(1+_15・B夜間)),0)*(1+_15・盲ろう)),0)+ROUND((ROUND((ROUND((_15_同援日２．０＿０．５＿０．５*_15・通訳),0)*(1+_15・C深夜)),0)*(1+_15・盲ろう)),0)</f>
        <v>764</v>
      </c>
      <c r="AF237" s="48"/>
    </row>
    <row r="238" spans="1:32" ht="16.5" customHeight="1" x14ac:dyDescent="0.15">
      <c r="A238" s="41">
        <v>15</v>
      </c>
      <c r="B238" s="41" t="s">
        <v>3837</v>
      </c>
      <c r="C238" s="74" t="s">
        <v>29570</v>
      </c>
      <c r="D238" s="72"/>
      <c r="E238" s="168">
        <f>_15_同援日２．０</f>
        <v>498</v>
      </c>
      <c r="F238" s="57" t="s">
        <v>392</v>
      </c>
      <c r="G238" s="72"/>
      <c r="H238" s="168">
        <f>_15_同援日２．０＿０．５</f>
        <v>65</v>
      </c>
      <c r="I238" s="57" t="s">
        <v>392</v>
      </c>
      <c r="J238" s="72"/>
      <c r="K238" s="168">
        <f>_15_同援日２．０＿０．５＿０．５</f>
        <v>65</v>
      </c>
      <c r="L238" s="57" t="s">
        <v>392</v>
      </c>
      <c r="M238" s="35"/>
      <c r="P238" s="299" t="s">
        <v>17556</v>
      </c>
      <c r="Q238" s="45" t="s">
        <v>398</v>
      </c>
      <c r="R238" s="46">
        <v>1</v>
      </c>
      <c r="S238" s="512"/>
      <c r="T238" s="57"/>
      <c r="U238" s="512"/>
      <c r="V238" s="57"/>
      <c r="W238" s="122" t="s">
        <v>17564</v>
      </c>
      <c r="X238" s="37" t="s">
        <v>398</v>
      </c>
      <c r="Y238" s="38">
        <v>0.25</v>
      </c>
      <c r="Z238" s="79" t="s">
        <v>3575</v>
      </c>
      <c r="AA238" s="122"/>
      <c r="AB238" s="37"/>
      <c r="AC238" s="38"/>
      <c r="AD238" s="79"/>
      <c r="AE238" s="208">
        <f>ROUND((ROUND((ROUND((_15_同援日２．０*_15・通訳),0)*_15・２人),0)*(1+_15・盲ろう)),0)+ROUND((ROUND((ROUND((ROUND((_15_同援日２．０＿０．５*_15・通訳),0)*_15・２人),0)*(1+_15・B夜間)),0)*(1+_15・盲ろう)),0)+ROUND((ROUND((ROUND((ROUND((_15_同援日２．０＿０．５＿０．５*_15・通訳),0)*_15・２人),0)*(1+_15・C深夜)),0)*(1+_15・盲ろう)),0)</f>
        <v>764</v>
      </c>
      <c r="AF238" s="48"/>
    </row>
    <row r="239" spans="1:32" ht="16.5" customHeight="1" x14ac:dyDescent="0.15">
      <c r="A239" s="41">
        <v>15</v>
      </c>
      <c r="B239" s="41" t="s">
        <v>29571</v>
      </c>
      <c r="C239" s="74" t="s">
        <v>29572</v>
      </c>
      <c r="D239" s="72"/>
      <c r="F239" s="57"/>
      <c r="G239" s="72"/>
      <c r="I239" s="57"/>
      <c r="J239" s="72"/>
      <c r="L239" s="57"/>
      <c r="M239" s="35"/>
      <c r="P239" s="299"/>
      <c r="Q239" s="45"/>
      <c r="R239" s="46"/>
      <c r="S239" s="512"/>
      <c r="T239" s="57"/>
      <c r="U239" s="512"/>
      <c r="V239" s="57"/>
      <c r="W239" s="114"/>
      <c r="X239" s="49"/>
      <c r="Y239" s="50"/>
      <c r="Z239" s="115"/>
      <c r="AA239" s="114" t="s">
        <v>17570</v>
      </c>
      <c r="AB239" s="49"/>
      <c r="AC239" s="50"/>
      <c r="AD239" s="115"/>
      <c r="AE239" s="208">
        <f>ROUND((ROUND((_15_同援日２．０*_15・通訳),0)*(1+_15・区３)),0)+ROUND((ROUND((ROUND((_15_同援日２．０＿０．５*_15・通訳),0)*(1+_15・B夜間)),0)*(1+_15・区３)),0)+ROUND((ROUND((ROUND((_15_同援日２．０＿０．５＿０．５*_15・通訳),0)*(1+_15・C深夜)),0)*(1+_15・区３)),0)</f>
        <v>734</v>
      </c>
      <c r="AF239" s="48"/>
    </row>
    <row r="240" spans="1:32" ht="16.5" customHeight="1" x14ac:dyDescent="0.15">
      <c r="A240" s="41">
        <v>15</v>
      </c>
      <c r="B240" s="41" t="s">
        <v>29573</v>
      </c>
      <c r="C240" s="74" t="s">
        <v>29574</v>
      </c>
      <c r="D240" s="72"/>
      <c r="F240" s="57"/>
      <c r="G240" s="72"/>
      <c r="I240" s="57"/>
      <c r="J240" s="72"/>
      <c r="L240" s="57"/>
      <c r="M240" s="35"/>
      <c r="P240" s="299" t="s">
        <v>17556</v>
      </c>
      <c r="Q240" s="45" t="s">
        <v>398</v>
      </c>
      <c r="R240" s="46">
        <v>1</v>
      </c>
      <c r="S240" s="512"/>
      <c r="T240" s="57"/>
      <c r="U240" s="512"/>
      <c r="V240" s="57"/>
      <c r="W240" s="122"/>
      <c r="X240" s="37"/>
      <c r="Y240" s="38"/>
      <c r="Z240" s="79"/>
      <c r="AA240" s="72" t="s">
        <v>17572</v>
      </c>
      <c r="AD240" s="57"/>
      <c r="AE240" s="208">
        <f>ROUND((ROUND((ROUND((_15_同援日２．０*_15・通訳),0)*_15・２人),0)*(1+_15・区３)),0)+ROUND((ROUND((ROUND((ROUND((_15_同援日２．０＿０．５*_15・通訳),0)*_15・２人),0)*(1+_15・B夜間)),0)*(1+_15・区３)),0)+ROUND((ROUND((ROUND((ROUND((_15_同援日２．０＿０．５＿０．５*_15・通訳),0)*_15・２人),0)*(1+_15・C深夜)),0)*(1+_15・区３)),0)</f>
        <v>734</v>
      </c>
      <c r="AF240" s="48"/>
    </row>
    <row r="241" spans="1:32" ht="16.5" customHeight="1" x14ac:dyDescent="0.15">
      <c r="A241" s="41">
        <v>15</v>
      </c>
      <c r="B241" s="41" t="s">
        <v>29575</v>
      </c>
      <c r="C241" s="74" t="s">
        <v>29576</v>
      </c>
      <c r="D241" s="72"/>
      <c r="F241" s="57"/>
      <c r="G241" s="72"/>
      <c r="I241" s="57"/>
      <c r="J241" s="72"/>
      <c r="L241" s="57"/>
      <c r="M241" s="35"/>
      <c r="P241" s="299"/>
      <c r="Q241" s="45"/>
      <c r="R241" s="46"/>
      <c r="S241" s="512"/>
      <c r="T241" s="57"/>
      <c r="U241" s="512"/>
      <c r="V241" s="57"/>
      <c r="W241" s="114" t="s">
        <v>17562</v>
      </c>
      <c r="X241" s="49"/>
      <c r="Y241" s="50"/>
      <c r="Z241" s="115"/>
      <c r="AA241" s="72"/>
      <c r="AB241" s="12" t="s">
        <v>398</v>
      </c>
      <c r="AC241" s="13">
        <v>0.2</v>
      </c>
      <c r="AD241" s="57" t="s">
        <v>3575</v>
      </c>
      <c r="AE241" s="208">
        <f>ROUND((ROUND((ROUND((_15_同援日２．０*_15・通訳),0)*(1+_15・盲ろう)),0)*(1+_15・区３)),0)+ROUND((ROUND((ROUND((ROUND((_15_同援日２．０＿０．５*_15・通訳),0)*(1+_15・B夜間)),0)*(1+_15・盲ろう)),0)*(1+_15・区３)),0)+ROUND((ROUND((ROUND((ROUND((_15_同援日２．０＿０．５＿０．５*_15・通訳),0)*(1+_15・C深夜)),0)*(1+_15・盲ろう)),0)*(1+_15・区３)),0)</f>
        <v>917</v>
      </c>
      <c r="AF241" s="48"/>
    </row>
    <row r="242" spans="1:32" ht="16.5" customHeight="1" x14ac:dyDescent="0.15">
      <c r="A242" s="41">
        <v>15</v>
      </c>
      <c r="B242" s="41" t="s">
        <v>29577</v>
      </c>
      <c r="C242" s="74" t="s">
        <v>29578</v>
      </c>
      <c r="D242" s="72"/>
      <c r="F242" s="57"/>
      <c r="G242" s="72"/>
      <c r="I242" s="57"/>
      <c r="J242" s="72"/>
      <c r="L242" s="57"/>
      <c r="M242" s="35"/>
      <c r="P242" s="299" t="s">
        <v>17556</v>
      </c>
      <c r="Q242" s="45" t="s">
        <v>398</v>
      </c>
      <c r="R242" s="46">
        <v>1</v>
      </c>
      <c r="S242" s="512"/>
      <c r="T242" s="57"/>
      <c r="U242" s="512"/>
      <c r="V242" s="57"/>
      <c r="W242" s="122" t="s">
        <v>17564</v>
      </c>
      <c r="X242" s="37" t="s">
        <v>398</v>
      </c>
      <c r="Y242" s="38">
        <v>0.25</v>
      </c>
      <c r="Z242" s="79" t="s">
        <v>3575</v>
      </c>
      <c r="AA242" s="122"/>
      <c r="AB242" s="37"/>
      <c r="AC242" s="38"/>
      <c r="AD242" s="79"/>
      <c r="AE242" s="208">
        <f>ROUND((ROUND((ROUND((ROUND((_15_同援日２．０*_15・通訳),0)*_15・２人),0)*(1+_15・盲ろう)),0)*(1+_15・区３)),0)+ROUND((ROUND((ROUND((ROUND((ROUND((_15_同援日２．０＿０．５*_15・通訳),0)*_15・２人),0)*(1+_15・B夜間)),0)*(1+_15・盲ろう)),0)*(1+_15・区３)),0)+ROUND((ROUND((ROUND((ROUND((ROUND((_15_同援日２．０＿０．５＿０．５*_15・通訳),0)*_15・２人),0)*(1+_15・C深夜)),0)*(1+_15・盲ろう)),0)*(1+_15・区３)),0)</f>
        <v>917</v>
      </c>
      <c r="AF242" s="48"/>
    </row>
    <row r="243" spans="1:32" ht="16.5" customHeight="1" x14ac:dyDescent="0.15">
      <c r="A243" s="41">
        <v>15</v>
      </c>
      <c r="B243" s="41" t="s">
        <v>29579</v>
      </c>
      <c r="C243" s="74" t="s">
        <v>29580</v>
      </c>
      <c r="D243" s="72"/>
      <c r="F243" s="57"/>
      <c r="G243" s="72"/>
      <c r="I243" s="57"/>
      <c r="J243" s="72"/>
      <c r="L243" s="57"/>
      <c r="M243" s="35"/>
      <c r="P243" s="299"/>
      <c r="Q243" s="45"/>
      <c r="R243" s="46"/>
      <c r="S243" s="512"/>
      <c r="T243" s="57"/>
      <c r="U243" s="512"/>
      <c r="V243" s="57"/>
      <c r="W243" s="114"/>
      <c r="X243" s="49"/>
      <c r="Y243" s="50"/>
      <c r="Z243" s="115"/>
      <c r="AA243" s="114" t="s">
        <v>17580</v>
      </c>
      <c r="AB243" s="49"/>
      <c r="AC243" s="50"/>
      <c r="AD243" s="115"/>
      <c r="AE243" s="208">
        <f>ROUND((ROUND((_15_同援日２．０*_15・通訳),0)*(1+_15・区４)),0)+ROUND((ROUND((ROUND((_15_同援日２．０＿０．５*_15・通訳),0)*(1+_15・B夜間)),0)*(1+_15・区４)),0)+ROUND((ROUND((ROUND((_15_同援日２．０＿０．５＿０．５*_15・通訳),0)*(1+_15・C深夜)),0)*(1+_15・区４)),0)</f>
        <v>856</v>
      </c>
      <c r="AF243" s="48"/>
    </row>
    <row r="244" spans="1:32" ht="16.5" customHeight="1" x14ac:dyDescent="0.15">
      <c r="A244" s="41">
        <v>15</v>
      </c>
      <c r="B244" s="41" t="s">
        <v>29581</v>
      </c>
      <c r="C244" s="74" t="s">
        <v>29582</v>
      </c>
      <c r="D244" s="72"/>
      <c r="F244" s="57"/>
      <c r="G244" s="72"/>
      <c r="I244" s="57"/>
      <c r="J244" s="72"/>
      <c r="L244" s="57"/>
      <c r="M244" s="35"/>
      <c r="P244" s="299" t="s">
        <v>17556</v>
      </c>
      <c r="Q244" s="45" t="s">
        <v>398</v>
      </c>
      <c r="R244" s="46">
        <v>1</v>
      </c>
      <c r="S244" s="512"/>
      <c r="T244" s="57"/>
      <c r="U244" s="512"/>
      <c r="V244" s="57"/>
      <c r="W244" s="122"/>
      <c r="X244" s="37"/>
      <c r="Y244" s="38"/>
      <c r="Z244" s="79"/>
      <c r="AA244" s="72" t="s">
        <v>17572</v>
      </c>
      <c r="AD244" s="57"/>
      <c r="AE244" s="208">
        <f>ROUND((ROUND((ROUND((_15_同援日２．０*_15・通訳),0)*_15・２人),0)*(1+_15・区４)),0)+ROUND((ROUND((ROUND((ROUND((_15_同援日２．０＿０．５*_15・通訳),0)*_15・２人),0)*(1+_15・B夜間)),0)*(1+_15・区４)),0)+ROUND((ROUND((ROUND((ROUND((_15_同援日２．０＿０．５＿０．５*_15・通訳),0)*_15・２人),0)*(1+_15・C深夜)),0)*(1+_15・区４)),0)</f>
        <v>856</v>
      </c>
      <c r="AF244" s="48"/>
    </row>
    <row r="245" spans="1:32" ht="16.5" customHeight="1" x14ac:dyDescent="0.15">
      <c r="A245" s="41">
        <v>15</v>
      </c>
      <c r="B245" s="41" t="s">
        <v>29583</v>
      </c>
      <c r="C245" s="74" t="s">
        <v>29584</v>
      </c>
      <c r="D245" s="72"/>
      <c r="F245" s="57"/>
      <c r="G245" s="72"/>
      <c r="I245" s="57"/>
      <c r="J245" s="72"/>
      <c r="L245" s="57"/>
      <c r="M245" s="35"/>
      <c r="P245" s="299"/>
      <c r="Q245" s="45"/>
      <c r="R245" s="46"/>
      <c r="S245" s="512"/>
      <c r="T245" s="57"/>
      <c r="U245" s="512"/>
      <c r="V245" s="57"/>
      <c r="W245" s="114" t="s">
        <v>17562</v>
      </c>
      <c r="X245" s="49"/>
      <c r="Y245" s="50"/>
      <c r="Z245" s="115"/>
      <c r="AA245" s="72"/>
      <c r="AB245" s="12" t="s">
        <v>398</v>
      </c>
      <c r="AC245" s="13">
        <v>0.4</v>
      </c>
      <c r="AD245" s="57" t="s">
        <v>3575</v>
      </c>
      <c r="AE245" s="208">
        <f>ROUND((ROUND((ROUND((_15_同援日２．０*_15・通訳),0)*(1+_15・盲ろう)),0)*(1+_15・区４)),0)+ROUND((ROUND((ROUND((ROUND((_15_同援日２．０＿０．５*_15・通訳),0)*(1+_15・B夜間)),0)*(1+_15・盲ろう)),0)*(1+_15・区４)),0)+ROUND((ROUND((ROUND((ROUND((_15_同援日２．０＿０．５＿０．５*_15・通訳),0)*(1+_15・C深夜)),0)*(1+_15・盲ろう)),0)*(1+_15・区４)),0)</f>
        <v>1069</v>
      </c>
      <c r="AF245" s="48"/>
    </row>
    <row r="246" spans="1:32" ht="16.5" customHeight="1" x14ac:dyDescent="0.15">
      <c r="A246" s="41">
        <v>15</v>
      </c>
      <c r="B246" s="41" t="s">
        <v>29585</v>
      </c>
      <c r="C246" s="74" t="s">
        <v>29586</v>
      </c>
      <c r="D246" s="122"/>
      <c r="E246" s="37"/>
      <c r="F246" s="79"/>
      <c r="G246" s="122"/>
      <c r="H246" s="37"/>
      <c r="I246" s="79"/>
      <c r="J246" s="122"/>
      <c r="K246" s="37"/>
      <c r="L246" s="79"/>
      <c r="M246" s="43"/>
      <c r="N246" s="37"/>
      <c r="O246" s="38"/>
      <c r="P246" s="299" t="s">
        <v>17556</v>
      </c>
      <c r="Q246" s="45" t="s">
        <v>398</v>
      </c>
      <c r="R246" s="46">
        <v>1</v>
      </c>
      <c r="S246" s="514"/>
      <c r="T246" s="79"/>
      <c r="U246" s="514"/>
      <c r="V246" s="79"/>
      <c r="W246" s="122" t="s">
        <v>17564</v>
      </c>
      <c r="X246" s="37" t="s">
        <v>398</v>
      </c>
      <c r="Y246" s="38">
        <v>0.25</v>
      </c>
      <c r="Z246" s="79" t="s">
        <v>3575</v>
      </c>
      <c r="AA246" s="122"/>
      <c r="AB246" s="37"/>
      <c r="AC246" s="38"/>
      <c r="AD246" s="79"/>
      <c r="AE246" s="208">
        <f>ROUND((ROUND((ROUND((ROUND((_15_同援日２．０*_15・通訳),0)*_15・２人),0)*(1+_15・盲ろう)),0)*(1+_15・区４)),0)+ROUND((ROUND((ROUND((ROUND((ROUND((_15_同援日２．０＿０．５*_15・通訳),0)*_15・２人),0)*(1+_15・B夜間)),0)*(1+_15・盲ろう)),0)*(1+_15・区４)),0)+ROUND((ROUND((ROUND((ROUND((ROUND((_15_同援日２．０＿０．５＿０．５*_15・通訳),0)*_15・２人),0)*(1+_15・C深夜)),0)*(1+_15・盲ろう)),0)*(1+_15・区４)),0)</f>
        <v>1069</v>
      </c>
      <c r="AF246" s="63"/>
    </row>
    <row r="247" spans="1:32" ht="16.5" customHeight="1" x14ac:dyDescent="0.15">
      <c r="A247" s="80"/>
      <c r="B247" s="80"/>
      <c r="C247" s="81"/>
      <c r="P247" s="254"/>
      <c r="W247" s="254"/>
      <c r="AA247" s="254"/>
      <c r="AE247" s="209"/>
      <c r="AF247" s="85"/>
    </row>
    <row r="248" spans="1:32" ht="16.5" customHeight="1" x14ac:dyDescent="0.15">
      <c r="A248" s="80"/>
      <c r="B248" s="80"/>
      <c r="C248" s="81"/>
      <c r="P248" s="254"/>
      <c r="W248" s="254"/>
      <c r="AA248" s="254"/>
      <c r="AE248" s="209"/>
      <c r="AF248" s="85"/>
    </row>
    <row r="249" spans="1:32" ht="16.5" customHeight="1" x14ac:dyDescent="0.15">
      <c r="A249" s="80"/>
      <c r="B249" s="157" t="s">
        <v>29587</v>
      </c>
      <c r="C249" s="81"/>
      <c r="D249" s="71"/>
      <c r="P249" s="254"/>
      <c r="W249" s="254"/>
      <c r="AA249" s="254"/>
      <c r="AE249" s="209"/>
      <c r="AF249" s="85"/>
    </row>
    <row r="250" spans="1:32" ht="16.5" customHeight="1" x14ac:dyDescent="0.15">
      <c r="A250" s="87" t="s">
        <v>384</v>
      </c>
      <c r="B250" s="20"/>
      <c r="C250" s="88" t="s">
        <v>385</v>
      </c>
      <c r="D250" s="23" t="s">
        <v>386</v>
      </c>
      <c r="E250" s="23"/>
      <c r="F250" s="23"/>
      <c r="G250" s="23"/>
      <c r="H250" s="23"/>
      <c r="I250" s="23"/>
      <c r="J250" s="23"/>
      <c r="K250" s="23"/>
      <c r="L250" s="23"/>
      <c r="M250" s="23"/>
      <c r="N250" s="23"/>
      <c r="O250" s="24"/>
      <c r="P250" s="23"/>
      <c r="Q250" s="23"/>
      <c r="R250" s="24"/>
      <c r="S250" s="24"/>
      <c r="T250" s="23"/>
      <c r="U250" s="24"/>
      <c r="V250" s="23"/>
      <c r="W250" s="23"/>
      <c r="X250" s="23"/>
      <c r="Y250" s="24"/>
      <c r="Z250" s="23"/>
      <c r="AA250" s="23"/>
      <c r="AB250" s="23"/>
      <c r="AC250" s="24"/>
      <c r="AD250" s="23"/>
      <c r="AE250" s="21" t="s">
        <v>387</v>
      </c>
      <c r="AF250" s="21" t="s">
        <v>388</v>
      </c>
    </row>
    <row r="251" spans="1:32" ht="16.5" customHeight="1" x14ac:dyDescent="0.15">
      <c r="A251" s="26" t="s">
        <v>389</v>
      </c>
      <c r="B251" s="26" t="s">
        <v>390</v>
      </c>
      <c r="C251" s="89"/>
      <c r="D251" s="87" t="s">
        <v>1032</v>
      </c>
      <c r="E251" s="187"/>
      <c r="F251" s="20"/>
      <c r="G251" s="29"/>
      <c r="H251" s="29"/>
      <c r="I251" s="29"/>
      <c r="J251" s="87" t="s">
        <v>3910</v>
      </c>
      <c r="K251" s="187"/>
      <c r="L251" s="20"/>
      <c r="M251" s="29"/>
      <c r="N251" s="29"/>
      <c r="O251" s="30"/>
      <c r="P251" s="29"/>
      <c r="Q251" s="29"/>
      <c r="R251" s="30"/>
      <c r="S251" s="30"/>
      <c r="T251" s="29"/>
      <c r="U251" s="30"/>
      <c r="V251" s="29"/>
      <c r="W251" s="29"/>
      <c r="X251" s="29"/>
      <c r="Y251" s="30"/>
      <c r="Z251" s="29"/>
      <c r="AA251" s="29"/>
      <c r="AB251" s="29"/>
      <c r="AC251" s="30"/>
      <c r="AD251" s="29"/>
      <c r="AE251" s="32" t="s">
        <v>391</v>
      </c>
      <c r="AF251" s="32" t="s">
        <v>392</v>
      </c>
    </row>
    <row r="252" spans="1:32" ht="16.5" customHeight="1" x14ac:dyDescent="0.15">
      <c r="A252" s="33">
        <v>15</v>
      </c>
      <c r="B252" s="33" t="s">
        <v>3842</v>
      </c>
      <c r="C252" s="34" t="s">
        <v>29588</v>
      </c>
      <c r="D252" s="72" t="s">
        <v>18128</v>
      </c>
      <c r="F252" s="57"/>
      <c r="G252" s="72" t="s">
        <v>19187</v>
      </c>
      <c r="I252" s="57"/>
      <c r="J252" s="72" t="s">
        <v>23550</v>
      </c>
      <c r="L252" s="57"/>
      <c r="M252" s="35"/>
      <c r="P252" s="122"/>
      <c r="Q252" s="37"/>
      <c r="R252" s="38"/>
      <c r="S252" s="512"/>
      <c r="T252" s="57"/>
      <c r="U252" s="512"/>
      <c r="V252" s="57"/>
      <c r="W252" s="72"/>
      <c r="Z252" s="57"/>
      <c r="AA252" s="72"/>
      <c r="AD252" s="57"/>
      <c r="AE252" s="207">
        <f>ROUND((ROUND((_15_同援日０．５*_15・通訳),0)*(1+_15・A早朝)),0)+ROUND((_15_同援日０．５＿２．０*_15・通訳),0)+ROUND((ROUND((_15_同援日０．５＿２．０＿０．５*_15・通訳),0)*(1+_15・C夜間)),0)</f>
        <v>624</v>
      </c>
      <c r="AF252" s="40" t="s">
        <v>395</v>
      </c>
    </row>
    <row r="253" spans="1:32" ht="16.5" customHeight="1" x14ac:dyDescent="0.15">
      <c r="A253" s="41">
        <v>15</v>
      </c>
      <c r="B253" s="41" t="s">
        <v>3844</v>
      </c>
      <c r="C253" s="74" t="s">
        <v>29589</v>
      </c>
      <c r="D253" s="72" t="s">
        <v>18259</v>
      </c>
      <c r="F253" s="57"/>
      <c r="G253" s="72" t="s">
        <v>17643</v>
      </c>
      <c r="I253" s="57"/>
      <c r="J253" s="72" t="s">
        <v>18259</v>
      </c>
      <c r="L253" s="57"/>
      <c r="M253" s="35"/>
      <c r="P253" s="299" t="s">
        <v>17556</v>
      </c>
      <c r="Q253" s="45" t="s">
        <v>398</v>
      </c>
      <c r="R253" s="46">
        <v>1</v>
      </c>
      <c r="S253" s="512"/>
      <c r="T253" s="57"/>
      <c r="U253" s="512"/>
      <c r="V253" s="57"/>
      <c r="W253" s="122"/>
      <c r="X253" s="37"/>
      <c r="Y253" s="38"/>
      <c r="Z253" s="79"/>
      <c r="AA253" s="72"/>
      <c r="AD253" s="57"/>
      <c r="AE253" s="208">
        <f>ROUND((ROUND((ROUND((_15_同援日０．５*_15・通訳),0)*_15・２人),0)*(1+_15・A早朝)),0)+ROUND((ROUND((_15_同援日０．５＿２．０*_15・通訳),0)*_15・２人),0)+ROUND((ROUND((ROUND((_15_同援日０．５＿２．０＿０．５*_15・通訳),0)*_15・２人),0)*(1+_15・C夜間)),0)</f>
        <v>624</v>
      </c>
      <c r="AF253" s="48"/>
    </row>
    <row r="254" spans="1:32" ht="16.5" customHeight="1" x14ac:dyDescent="0.15">
      <c r="A254" s="41">
        <v>15</v>
      </c>
      <c r="B254" s="41" t="s">
        <v>29590</v>
      </c>
      <c r="C254" s="74" t="s">
        <v>29591</v>
      </c>
      <c r="D254" s="72"/>
      <c r="F254" s="57"/>
      <c r="G254" s="72" t="s">
        <v>17645</v>
      </c>
      <c r="I254" s="57"/>
      <c r="J254" s="72"/>
      <c r="L254" s="57"/>
      <c r="M254" s="35"/>
      <c r="P254" s="299"/>
      <c r="Q254" s="45"/>
      <c r="R254" s="46"/>
      <c r="S254" s="512"/>
      <c r="T254" s="57"/>
      <c r="U254" s="512"/>
      <c r="V254" s="57"/>
      <c r="W254" s="114" t="s">
        <v>17562</v>
      </c>
      <c r="X254" s="49"/>
      <c r="Y254" s="50"/>
      <c r="Z254" s="115"/>
      <c r="AA254" s="72"/>
      <c r="AD254" s="57"/>
      <c r="AE254" s="208">
        <f>ROUND((ROUND((ROUND((_15_同援日０．５*_15・通訳),0)*(1+_15・A早朝)),0)*(1+_15・盲ろう)),0)+ROUND((ROUND((_15_同援日０．５＿２．０*_15・通訳),0)*(1+_15・盲ろう)),0)+ROUND((ROUND((ROUND((_15_同援日０．５＿２．０＿０．５*_15・通訳),0)*(1+_15・C夜間)),0)*(1+_15・盲ろう)),0)</f>
        <v>781</v>
      </c>
      <c r="AF254" s="48"/>
    </row>
    <row r="255" spans="1:32" ht="16.5" customHeight="1" x14ac:dyDescent="0.15">
      <c r="A255" s="41">
        <v>15</v>
      </c>
      <c r="B255" s="41" t="s">
        <v>29592</v>
      </c>
      <c r="C255" s="74" t="s">
        <v>29593</v>
      </c>
      <c r="D255" s="72"/>
      <c r="E255" s="168">
        <f>_15_同援日０．５</f>
        <v>190</v>
      </c>
      <c r="F255" s="57" t="s">
        <v>392</v>
      </c>
      <c r="G255" s="72"/>
      <c r="H255" s="168">
        <f>_15_同援日０．５＿２．０</f>
        <v>373</v>
      </c>
      <c r="I255" s="57" t="s">
        <v>392</v>
      </c>
      <c r="J255" s="72"/>
      <c r="K255" s="168">
        <f>_15_同援日０．５＿２．０＿０．５</f>
        <v>65</v>
      </c>
      <c r="L255" s="57" t="s">
        <v>392</v>
      </c>
      <c r="M255" s="35"/>
      <c r="P255" s="299" t="s">
        <v>17556</v>
      </c>
      <c r="Q255" s="45" t="s">
        <v>398</v>
      </c>
      <c r="R255" s="46">
        <v>1</v>
      </c>
      <c r="S255" s="512" t="s">
        <v>18134</v>
      </c>
      <c r="T255" s="57"/>
      <c r="U255" s="512" t="s">
        <v>18264</v>
      </c>
      <c r="V255" s="57"/>
      <c r="W255" s="122" t="s">
        <v>17564</v>
      </c>
      <c r="X255" s="37" t="s">
        <v>398</v>
      </c>
      <c r="Y255" s="38">
        <v>0.25</v>
      </c>
      <c r="Z255" s="79" t="s">
        <v>3575</v>
      </c>
      <c r="AA255" s="122"/>
      <c r="AB255" s="37"/>
      <c r="AC255" s="38"/>
      <c r="AD255" s="79"/>
      <c r="AE255" s="208">
        <f>ROUND((ROUND((ROUND((ROUND((_15_同援日０．５*_15・通訳),0)*_15・２人),0)*(1+_15・A早朝)),0)*(1+_15・盲ろう)),0)+ROUND((ROUND((ROUND((_15_同援日０．５＿２．０*_15・通訳),0)*_15・２人),0)*(1+_15・盲ろう)),0)+ROUND((ROUND((ROUND((ROUND((_15_同援日０．５＿２．０＿０．５*_15・通訳),0)*_15・２人),0)*(1+_15・C夜間)),0)*(1+_15・盲ろう)),0)</f>
        <v>781</v>
      </c>
      <c r="AF255" s="48"/>
    </row>
    <row r="256" spans="1:32" ht="16.5" customHeight="1" x14ac:dyDescent="0.15">
      <c r="A256" s="41">
        <v>15</v>
      </c>
      <c r="B256" s="41" t="s">
        <v>29594</v>
      </c>
      <c r="C256" s="74" t="s">
        <v>29595</v>
      </c>
      <c r="D256" s="72"/>
      <c r="F256" s="57"/>
      <c r="G256" s="72"/>
      <c r="I256" s="57"/>
      <c r="J256" s="72"/>
      <c r="L256" s="57"/>
      <c r="M256" s="35"/>
      <c r="P256" s="299"/>
      <c r="Q256" s="45"/>
      <c r="R256" s="46"/>
      <c r="S256" s="512"/>
      <c r="T256" s="513" t="s">
        <v>18826</v>
      </c>
      <c r="U256" s="512"/>
      <c r="V256" s="513" t="s">
        <v>21213</v>
      </c>
      <c r="W256" s="114"/>
      <c r="X256" s="49"/>
      <c r="Y256" s="50"/>
      <c r="Z256" s="115"/>
      <c r="AA256" s="114" t="s">
        <v>17570</v>
      </c>
      <c r="AB256" s="49"/>
      <c r="AC256" s="50"/>
      <c r="AD256" s="115"/>
      <c r="AE256" s="208">
        <f>ROUND((ROUND((ROUND((_15_同援日０．５*_15・通訳),0)*(1+_15・A早朝)),0)*(1+_15・区３)),0)+ROUND((ROUND((_15_同援日０．５＿２．０*_15・通訳),0)*(1+_15・区３)),0)+ROUND((ROUND((ROUND((_15_同援日０．５＿２．０＿０．５*_15・通訳),0)*(1+_15・C夜間)),0)*(1+_15・区３)),0)</f>
        <v>749</v>
      </c>
      <c r="AF256" s="48"/>
    </row>
    <row r="257" spans="1:32" ht="16.5" customHeight="1" x14ac:dyDescent="0.15">
      <c r="A257" s="41">
        <v>15</v>
      </c>
      <c r="B257" s="41" t="s">
        <v>29596</v>
      </c>
      <c r="C257" s="74" t="s">
        <v>29597</v>
      </c>
      <c r="D257" s="72"/>
      <c r="F257" s="57"/>
      <c r="G257" s="72"/>
      <c r="I257" s="57"/>
      <c r="J257" s="72"/>
      <c r="L257" s="57"/>
      <c r="M257" s="35" t="s">
        <v>25732</v>
      </c>
      <c r="P257" s="299" t="s">
        <v>17556</v>
      </c>
      <c r="Q257" s="45" t="s">
        <v>398</v>
      </c>
      <c r="R257" s="46">
        <v>1</v>
      </c>
      <c r="S257" s="512"/>
      <c r="T257" s="57"/>
      <c r="U257" s="512"/>
      <c r="V257" s="57"/>
      <c r="W257" s="122"/>
      <c r="X257" s="37"/>
      <c r="Y257" s="38"/>
      <c r="Z257" s="79"/>
      <c r="AA257" s="72" t="s">
        <v>17572</v>
      </c>
      <c r="AD257" s="57"/>
      <c r="AE257" s="208">
        <f>ROUND((ROUND((ROUND((ROUND((_15_同援日０．５*_15・通訳),0)*_15・２人),0)*(1+_15・A早朝)),0)*(1+_15・区３)),0)+ROUND((ROUND((ROUND((_15_同援日０．５＿２．０*_15・通訳),0)*_15・２人),0)*(1+_15・区３)),0)+ROUND((ROUND((ROUND((ROUND((_15_同援日０．５＿２．０＿０．５*_15・通訳),0)*_15・２人),0)*(1+_15・C夜間)),0)*(1+_15・区３)),0)</f>
        <v>749</v>
      </c>
      <c r="AF257" s="48"/>
    </row>
    <row r="258" spans="1:32" ht="16.5" customHeight="1" x14ac:dyDescent="0.15">
      <c r="A258" s="41">
        <v>15</v>
      </c>
      <c r="B258" s="41" t="s">
        <v>29598</v>
      </c>
      <c r="C258" s="74" t="s">
        <v>29599</v>
      </c>
      <c r="D258" s="72"/>
      <c r="F258" s="57"/>
      <c r="G258" s="72"/>
      <c r="I258" s="57"/>
      <c r="J258" s="72"/>
      <c r="L258" s="57"/>
      <c r="M258" s="35" t="s">
        <v>25734</v>
      </c>
      <c r="N258" s="12" t="s">
        <v>398</v>
      </c>
      <c r="O258" s="13">
        <v>0.9</v>
      </c>
      <c r="P258" s="299"/>
      <c r="Q258" s="45"/>
      <c r="R258" s="46"/>
      <c r="S258" s="35" t="s">
        <v>398</v>
      </c>
      <c r="T258" s="234">
        <v>0.25</v>
      </c>
      <c r="U258" s="35" t="s">
        <v>398</v>
      </c>
      <c r="V258" s="234">
        <v>0.25</v>
      </c>
      <c r="W258" s="114" t="s">
        <v>17562</v>
      </c>
      <c r="X258" s="49"/>
      <c r="Y258" s="50"/>
      <c r="Z258" s="115"/>
      <c r="AA258" s="72"/>
      <c r="AB258" s="12" t="s">
        <v>398</v>
      </c>
      <c r="AC258" s="13">
        <v>0.2</v>
      </c>
      <c r="AD258" s="57" t="s">
        <v>3575</v>
      </c>
      <c r="AE258" s="208">
        <f>ROUND((ROUND((ROUND((ROUND((_15_同援日０．５*_15・通訳),0)*(1+_15・A早朝)),0)*(1+_15・盲ろう)),0)*(1+_15・区３)),0)+ROUND((ROUND((ROUND((_15_同援日０．５＿２．０*_15・通訳),0)*(1+_15・盲ろう)),0)*(1+_15・区３)),0)+ROUND((ROUND((ROUND((ROUND((_15_同援日０．５＿２．０＿０．５*_15・通訳),0)*(1+_15・C夜間)),0)*(1+_15・盲ろう)),0)*(1+_15・区３)),0)</f>
        <v>938</v>
      </c>
      <c r="AF258" s="48"/>
    </row>
    <row r="259" spans="1:32" ht="16.5" customHeight="1" x14ac:dyDescent="0.15">
      <c r="A259" s="41">
        <v>15</v>
      </c>
      <c r="B259" s="41" t="s">
        <v>29600</v>
      </c>
      <c r="C259" s="74" t="s">
        <v>29601</v>
      </c>
      <c r="D259" s="72"/>
      <c r="F259" s="57"/>
      <c r="G259" s="72"/>
      <c r="I259" s="57"/>
      <c r="J259" s="72"/>
      <c r="L259" s="57"/>
      <c r="M259" s="35"/>
      <c r="P259" s="299" t="s">
        <v>17556</v>
      </c>
      <c r="Q259" s="45" t="s">
        <v>398</v>
      </c>
      <c r="R259" s="46">
        <v>1</v>
      </c>
      <c r="S259" s="512"/>
      <c r="T259" s="513" t="s">
        <v>3575</v>
      </c>
      <c r="U259" s="512"/>
      <c r="V259" s="513" t="s">
        <v>3575</v>
      </c>
      <c r="W259" s="122" t="s">
        <v>17564</v>
      </c>
      <c r="X259" s="37" t="s">
        <v>398</v>
      </c>
      <c r="Y259" s="38">
        <v>0.25</v>
      </c>
      <c r="Z259" s="79" t="s">
        <v>3575</v>
      </c>
      <c r="AA259" s="122"/>
      <c r="AB259" s="37"/>
      <c r="AC259" s="38"/>
      <c r="AD259" s="79"/>
      <c r="AE259" s="208">
        <f>ROUND((ROUND((ROUND((ROUND((ROUND((_15_同援日０．５*_15・通訳),0)*_15・２人),0)*(1+_15・A早朝)),0)*(1+_15・盲ろう)),0)*(1+_15・区３)),0)+ROUND((ROUND((ROUND((ROUND((_15_同援日０．５＿２．０*_15・通訳),0)*_15・２人),0)*(1+_15・盲ろう)),0)*(1+_15・区３)),0)+ROUND((ROUND((ROUND((ROUND((ROUND((_15_同援日０．５＿２．０＿０．５*_15・通訳),0)*_15・２人),0)*(1+_15・C夜間)),0)*(1+_15・盲ろう)),0)*(1+_15・区３)),0)</f>
        <v>938</v>
      </c>
      <c r="AF259" s="48"/>
    </row>
    <row r="260" spans="1:32" ht="16.5" customHeight="1" x14ac:dyDescent="0.15">
      <c r="A260" s="41">
        <v>15</v>
      </c>
      <c r="B260" s="41" t="s">
        <v>29602</v>
      </c>
      <c r="C260" s="74" t="s">
        <v>29603</v>
      </c>
      <c r="D260" s="72"/>
      <c r="F260" s="57"/>
      <c r="G260" s="72"/>
      <c r="I260" s="57"/>
      <c r="J260" s="72"/>
      <c r="L260" s="57"/>
      <c r="M260" s="35"/>
      <c r="P260" s="299"/>
      <c r="Q260" s="45"/>
      <c r="R260" s="46"/>
      <c r="S260" s="512"/>
      <c r="T260" s="57"/>
      <c r="U260" s="512"/>
      <c r="V260" s="57"/>
      <c r="W260" s="114"/>
      <c r="X260" s="49"/>
      <c r="Y260" s="50"/>
      <c r="Z260" s="115"/>
      <c r="AA260" s="114" t="s">
        <v>17580</v>
      </c>
      <c r="AB260" s="49"/>
      <c r="AC260" s="50"/>
      <c r="AD260" s="115"/>
      <c r="AE260" s="208">
        <f>ROUND((ROUND((ROUND((_15_同援日０．５*_15・通訳),0)*(1+_15・A早朝)),0)*(1+_15・区４)),0)+ROUND((ROUND((_15_同援日０．５＿２．０*_15・通訳),0)*(1+_15・区４)),0)+ROUND((ROUND((ROUND((_15_同援日０．５＿２．０＿０．５*_15・通訳),0)*(1+_15・C夜間)),0)*(1+_15・区４)),0)</f>
        <v>874</v>
      </c>
      <c r="AF260" s="48"/>
    </row>
    <row r="261" spans="1:32" ht="16.5" customHeight="1" x14ac:dyDescent="0.15">
      <c r="A261" s="41">
        <v>15</v>
      </c>
      <c r="B261" s="41" t="s">
        <v>29604</v>
      </c>
      <c r="C261" s="74" t="s">
        <v>29605</v>
      </c>
      <c r="D261" s="72"/>
      <c r="F261" s="57"/>
      <c r="G261" s="72"/>
      <c r="I261" s="57"/>
      <c r="J261" s="72"/>
      <c r="L261" s="57"/>
      <c r="M261" s="35"/>
      <c r="P261" s="299" t="s">
        <v>17556</v>
      </c>
      <c r="Q261" s="45" t="s">
        <v>398</v>
      </c>
      <c r="R261" s="46">
        <v>1</v>
      </c>
      <c r="S261" s="512"/>
      <c r="T261" s="57"/>
      <c r="U261" s="512"/>
      <c r="V261" s="57"/>
      <c r="W261" s="122"/>
      <c r="X261" s="37"/>
      <c r="Y261" s="38"/>
      <c r="Z261" s="79"/>
      <c r="AA261" s="72" t="s">
        <v>17572</v>
      </c>
      <c r="AD261" s="57"/>
      <c r="AE261" s="208">
        <f>ROUND((ROUND((ROUND((ROUND((_15_同援日０．５*_15・通訳),0)*_15・２人),0)*(1+_15・A早朝)),0)*(1+_15・区４)),0)+ROUND((ROUND((ROUND((_15_同援日０．５＿２．０*_15・通訳),0)*_15・２人),0)*(1+_15・区４)),0)+ROUND((ROUND((ROUND((ROUND((_15_同援日０．５＿２．０＿０．５*_15・通訳),0)*_15・２人),0)*(1+_15・C夜間)),0)*(1+_15・区４)),0)</f>
        <v>874</v>
      </c>
      <c r="AF261" s="48"/>
    </row>
    <row r="262" spans="1:32" ht="16.5" customHeight="1" x14ac:dyDescent="0.15">
      <c r="A262" s="41">
        <v>15</v>
      </c>
      <c r="B262" s="41" t="s">
        <v>3851</v>
      </c>
      <c r="C262" s="74" t="s">
        <v>29606</v>
      </c>
      <c r="D262" s="72"/>
      <c r="F262" s="57"/>
      <c r="G262" s="72"/>
      <c r="I262" s="57"/>
      <c r="J262" s="72"/>
      <c r="L262" s="57"/>
      <c r="M262" s="35"/>
      <c r="P262" s="299"/>
      <c r="Q262" s="45"/>
      <c r="R262" s="46"/>
      <c r="S262" s="512"/>
      <c r="T262" s="57"/>
      <c r="U262" s="512"/>
      <c r="V262" s="57"/>
      <c r="W262" s="114" t="s">
        <v>17562</v>
      </c>
      <c r="X262" s="49"/>
      <c r="Y262" s="50"/>
      <c r="Z262" s="115"/>
      <c r="AA262" s="72"/>
      <c r="AB262" s="12" t="s">
        <v>398</v>
      </c>
      <c r="AC262" s="13">
        <v>0.4</v>
      </c>
      <c r="AD262" s="57" t="s">
        <v>3575</v>
      </c>
      <c r="AE262" s="208">
        <f>ROUND((ROUND((ROUND((ROUND((_15_同援日０．５*_15・通訳),0)*(1+_15・A早朝)),0)*(1+_15・盲ろう)),0)*(1+_15・区４)),0)+ROUND((ROUND((ROUND((_15_同援日０．５＿２．０*_15・通訳),0)*(1+_15・盲ろう)),0)*(1+_15・区４)),0)+ROUND((ROUND((ROUND((ROUND((_15_同援日０．５＿２．０＿０．５*_15・通訳),0)*(1+_15・C夜間)),0)*(1+_15・盲ろう)),0)*(1+_15・区４)),0)</f>
        <v>1093</v>
      </c>
      <c r="AF262" s="48"/>
    </row>
    <row r="263" spans="1:32" ht="16.5" customHeight="1" x14ac:dyDescent="0.15">
      <c r="A263" s="41">
        <v>15</v>
      </c>
      <c r="B263" s="41" t="s">
        <v>3853</v>
      </c>
      <c r="C263" s="74" t="s">
        <v>29607</v>
      </c>
      <c r="D263" s="122"/>
      <c r="E263" s="37"/>
      <c r="F263" s="79"/>
      <c r="G263" s="122"/>
      <c r="H263" s="37"/>
      <c r="I263" s="79"/>
      <c r="J263" s="122"/>
      <c r="K263" s="37"/>
      <c r="L263" s="79"/>
      <c r="M263" s="43"/>
      <c r="N263" s="37"/>
      <c r="O263" s="38"/>
      <c r="P263" s="299" t="s">
        <v>17556</v>
      </c>
      <c r="Q263" s="45" t="s">
        <v>398</v>
      </c>
      <c r="R263" s="46">
        <v>1</v>
      </c>
      <c r="S263" s="514"/>
      <c r="T263" s="79"/>
      <c r="U263" s="514"/>
      <c r="V263" s="79"/>
      <c r="W263" s="122" t="s">
        <v>17564</v>
      </c>
      <c r="X263" s="37" t="s">
        <v>398</v>
      </c>
      <c r="Y263" s="38">
        <v>0.25</v>
      </c>
      <c r="Z263" s="79" t="s">
        <v>3575</v>
      </c>
      <c r="AA263" s="122"/>
      <c r="AB263" s="37"/>
      <c r="AC263" s="38"/>
      <c r="AD263" s="79"/>
      <c r="AE263" s="208">
        <f>ROUND((ROUND((ROUND((ROUND((ROUND((_15_同援日０．５*_15・通訳),0)*_15・２人),0)*(1+_15・A早朝)),0)*(1+_15・盲ろう)),0)*(1+_15・区４)),0)+ROUND((ROUND((ROUND((ROUND((_15_同援日０．５＿２．０*_15・通訳),0)*_15・２人),0)*(1+_15・盲ろう)),0)*(1+_15・区４)),0)+ROUND((ROUND((ROUND((ROUND((ROUND((_15_同援日０．５＿２．０＿０．５*_15・通訳),0)*_15・２人),0)*(1+_15・C夜間)),0)*(1+_15・盲ろう)),0)*(1+_15・区４)),0)</f>
        <v>1093</v>
      </c>
      <c r="AF263" s="63"/>
    </row>
    <row r="264" spans="1:32" ht="16.5" customHeight="1" x14ac:dyDescent="0.15"/>
    <row r="265" spans="1:32"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39" fitToHeight="0" orientation="portrait" r:id="rId1"/>
  <headerFooter>
    <oddHeader>&amp;R&amp;"ＭＳ Ｐゴシック"&amp;9同行援護</oddHeader>
    <oddFooter>&amp;C&amp;"ＭＳ Ｐゴシック"&amp;14&amp;P</oddFooter>
  </headerFooter>
  <rowBreaks count="2" manualBreakCount="2">
    <brk id="126" max="16383" man="1"/>
    <brk id="234" max="31"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6">
    <pageSetUpPr fitToPage="1"/>
  </sheetPr>
  <dimension ref="A1:V260"/>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6.5" style="10" customWidth="1"/>
    <col min="5" max="5" width="5.875" style="12" bestFit="1" customWidth="1"/>
    <col min="6" max="6" width="4.875" style="12" bestFit="1" customWidth="1"/>
    <col min="7" max="7" width="16.5" style="12" customWidth="1"/>
    <col min="8" max="8" width="3.125" style="12" bestFit="1" customWidth="1"/>
    <col min="9" max="9" width="4.125" style="13" bestFit="1" customWidth="1"/>
    <col min="10" max="10" width="26.5" style="12" customWidth="1"/>
    <col min="11" max="11" width="3.125" style="12" bestFit="1" customWidth="1"/>
    <col min="12" max="12" width="5" style="13" bestFit="1" customWidth="1"/>
    <col min="13" max="13" width="22.875" style="12" customWidth="1"/>
    <col min="14" max="14" width="3.125" style="12" bestFit="1" customWidth="1"/>
    <col min="15" max="15" width="4.125" style="13" bestFit="1" customWidth="1"/>
    <col min="16" max="16" width="4.875" style="12" bestFit="1" customWidth="1"/>
    <col min="17" max="17" width="8.5" style="12" customWidth="1"/>
    <col min="18" max="18" width="3.125" style="12" bestFit="1" customWidth="1"/>
    <col min="19" max="19" width="4.125" style="13" bestFit="1" customWidth="1"/>
    <col min="20" max="20" width="4.875" style="12" bestFit="1" customWidth="1"/>
    <col min="21" max="21" width="7.125" style="206" customWidth="1"/>
    <col min="22" max="22" width="8.5" style="16" customWidth="1"/>
    <col min="23" max="16384" width="9" style="12"/>
  </cols>
  <sheetData>
    <row r="1" spans="1:22" ht="17.100000000000001" customHeight="1" x14ac:dyDescent="0.15"/>
    <row r="2" spans="1:22" ht="17.100000000000001" customHeight="1" x14ac:dyDescent="0.15"/>
    <row r="3" spans="1:22" ht="17.100000000000001" customHeight="1" x14ac:dyDescent="0.15"/>
    <row r="4" spans="1:22" ht="17.100000000000001" customHeight="1" x14ac:dyDescent="0.15">
      <c r="B4" s="17" t="s">
        <v>29608</v>
      </c>
      <c r="D4" s="71"/>
    </row>
    <row r="5" spans="1:22" ht="16.5" customHeight="1" x14ac:dyDescent="0.15">
      <c r="A5" s="19" t="s">
        <v>384</v>
      </c>
      <c r="B5" s="20"/>
      <c r="C5" s="21" t="s">
        <v>385</v>
      </c>
      <c r="D5" s="23" t="s">
        <v>386</v>
      </c>
      <c r="E5" s="23"/>
      <c r="F5" s="23"/>
      <c r="G5" s="23"/>
      <c r="H5" s="23"/>
      <c r="I5" s="24"/>
      <c r="J5" s="23"/>
      <c r="K5" s="23"/>
      <c r="L5" s="24"/>
      <c r="M5" s="23"/>
      <c r="N5" s="23"/>
      <c r="O5" s="24"/>
      <c r="P5" s="23"/>
      <c r="Q5" s="23"/>
      <c r="R5" s="23"/>
      <c r="S5" s="24"/>
      <c r="T5" s="23"/>
      <c r="U5" s="21" t="s">
        <v>387</v>
      </c>
      <c r="V5" s="21" t="s">
        <v>388</v>
      </c>
    </row>
    <row r="6" spans="1:22" ht="16.5" customHeight="1" x14ac:dyDescent="0.15">
      <c r="A6" s="26" t="s">
        <v>389</v>
      </c>
      <c r="B6" s="26" t="s">
        <v>390</v>
      </c>
      <c r="C6" s="27"/>
      <c r="D6" s="29"/>
      <c r="E6" s="29"/>
      <c r="F6" s="29"/>
      <c r="G6" s="29"/>
      <c r="H6" s="29"/>
      <c r="I6" s="30"/>
      <c r="J6" s="29"/>
      <c r="K6" s="29"/>
      <c r="L6" s="30"/>
      <c r="M6" s="29"/>
      <c r="N6" s="29"/>
      <c r="O6" s="30"/>
      <c r="P6" s="29"/>
      <c r="Q6" s="29"/>
      <c r="R6" s="29"/>
      <c r="S6" s="30"/>
      <c r="T6" s="29"/>
      <c r="U6" s="32" t="s">
        <v>391</v>
      </c>
      <c r="V6" s="32" t="s">
        <v>392</v>
      </c>
    </row>
    <row r="7" spans="1:22" ht="16.5" customHeight="1" x14ac:dyDescent="0.15">
      <c r="A7" s="33">
        <v>15</v>
      </c>
      <c r="B7" s="33" t="s">
        <v>29609</v>
      </c>
      <c r="C7" s="34" t="s">
        <v>29610</v>
      </c>
      <c r="D7" s="72" t="s">
        <v>23593</v>
      </c>
      <c r="F7" s="57"/>
      <c r="G7" s="35"/>
      <c r="J7" s="43"/>
      <c r="K7" s="37"/>
      <c r="L7" s="38"/>
      <c r="M7" s="35"/>
      <c r="P7" s="57"/>
      <c r="Q7" s="35"/>
      <c r="T7" s="57"/>
      <c r="U7" s="207">
        <f>ROUND((_15_同援日増０．５*_15・通訳),0)</f>
        <v>59</v>
      </c>
      <c r="V7" s="40" t="s">
        <v>395</v>
      </c>
    </row>
    <row r="8" spans="1:22" ht="16.5" customHeight="1" x14ac:dyDescent="0.15">
      <c r="A8" s="41">
        <v>15</v>
      </c>
      <c r="B8" s="41" t="s">
        <v>29611</v>
      </c>
      <c r="C8" s="74" t="s">
        <v>29612</v>
      </c>
      <c r="D8" s="72" t="s">
        <v>18259</v>
      </c>
      <c r="F8" s="57"/>
      <c r="G8" s="35"/>
      <c r="J8" s="299" t="s">
        <v>17556</v>
      </c>
      <c r="K8" s="45" t="s">
        <v>398</v>
      </c>
      <c r="L8" s="46">
        <v>1</v>
      </c>
      <c r="M8" s="43"/>
      <c r="N8" s="37"/>
      <c r="O8" s="38"/>
      <c r="P8" s="79"/>
      <c r="Q8" s="35"/>
      <c r="T8" s="57"/>
      <c r="U8" s="208">
        <f>ROUND((ROUND((_15_同援日増０．５*_15・通訳),0)*_15・２人),0)</f>
        <v>59</v>
      </c>
      <c r="V8" s="48"/>
    </row>
    <row r="9" spans="1:22" ht="16.5" customHeight="1" x14ac:dyDescent="0.15">
      <c r="A9" s="41">
        <v>15</v>
      </c>
      <c r="B9" s="41" t="s">
        <v>29613</v>
      </c>
      <c r="C9" s="74" t="s">
        <v>29614</v>
      </c>
      <c r="D9" s="72"/>
      <c r="F9" s="57"/>
      <c r="G9" s="35"/>
      <c r="J9" s="163"/>
      <c r="K9" s="45"/>
      <c r="L9" s="46"/>
      <c r="M9" s="114" t="s">
        <v>17562</v>
      </c>
      <c r="N9" s="49"/>
      <c r="O9" s="50"/>
      <c r="P9" s="115"/>
      <c r="Q9" s="35"/>
      <c r="T9" s="57"/>
      <c r="U9" s="208">
        <f>ROUND((ROUND((_15_同援日増０．５*_15・通訳),0)*(1+_15・盲ろう)),0)</f>
        <v>74</v>
      </c>
      <c r="V9" s="48"/>
    </row>
    <row r="10" spans="1:22" ht="16.5" customHeight="1" x14ac:dyDescent="0.15">
      <c r="A10" s="41">
        <v>15</v>
      </c>
      <c r="B10" s="41" t="s">
        <v>29615</v>
      </c>
      <c r="C10" s="74" t="s">
        <v>29616</v>
      </c>
      <c r="D10" s="72"/>
      <c r="E10" s="168">
        <f>_15_同援日増０．５</f>
        <v>65</v>
      </c>
      <c r="F10" s="57" t="s">
        <v>392</v>
      </c>
      <c r="G10" s="35"/>
      <c r="J10" s="299" t="s">
        <v>17556</v>
      </c>
      <c r="K10" s="45" t="s">
        <v>398</v>
      </c>
      <c r="L10" s="46">
        <v>1</v>
      </c>
      <c r="M10" s="269" t="s">
        <v>17564</v>
      </c>
      <c r="N10" s="37" t="s">
        <v>398</v>
      </c>
      <c r="O10" s="38">
        <v>0.25</v>
      </c>
      <c r="P10" s="79" t="s">
        <v>3575</v>
      </c>
      <c r="Q10" s="43"/>
      <c r="R10" s="37"/>
      <c r="S10" s="38"/>
      <c r="T10" s="79"/>
      <c r="U10" s="208">
        <f>ROUND((ROUND((ROUND((_15_同援日増０．５*_15・通訳),0)*_15・２人),0)*(1+_15・盲ろう)),0)</f>
        <v>74</v>
      </c>
      <c r="V10" s="48"/>
    </row>
    <row r="11" spans="1:22" ht="16.5" customHeight="1" x14ac:dyDescent="0.15">
      <c r="A11" s="41">
        <v>15</v>
      </c>
      <c r="B11" s="41" t="s">
        <v>29617</v>
      </c>
      <c r="C11" s="74" t="s">
        <v>29618</v>
      </c>
      <c r="D11" s="72"/>
      <c r="F11" s="57"/>
      <c r="G11" s="35"/>
      <c r="J11" s="163"/>
      <c r="K11" s="45"/>
      <c r="L11" s="46"/>
      <c r="M11" s="53"/>
      <c r="N11" s="49"/>
      <c r="O11" s="50"/>
      <c r="P11" s="115"/>
      <c r="Q11" s="114" t="s">
        <v>17570</v>
      </c>
      <c r="R11" s="49"/>
      <c r="S11" s="50"/>
      <c r="T11" s="115"/>
      <c r="U11" s="208">
        <f>ROUND((ROUND((_15_同援日増０．５*_15・通訳),0)*(1+_15・区３)),0)</f>
        <v>71</v>
      </c>
      <c r="V11" s="48"/>
    </row>
    <row r="12" spans="1:22" ht="16.5" customHeight="1" x14ac:dyDescent="0.15">
      <c r="A12" s="41">
        <v>15</v>
      </c>
      <c r="B12" s="41" t="s">
        <v>29619</v>
      </c>
      <c r="C12" s="74" t="s">
        <v>29620</v>
      </c>
      <c r="D12" s="72"/>
      <c r="F12" s="57"/>
      <c r="G12" s="72" t="s">
        <v>25732</v>
      </c>
      <c r="J12" s="299" t="s">
        <v>17556</v>
      </c>
      <c r="K12" s="45" t="s">
        <v>398</v>
      </c>
      <c r="L12" s="46">
        <v>1</v>
      </c>
      <c r="M12" s="43"/>
      <c r="N12" s="37"/>
      <c r="O12" s="38"/>
      <c r="P12" s="79"/>
      <c r="Q12" s="92" t="s">
        <v>17572</v>
      </c>
      <c r="T12" s="57"/>
      <c r="U12" s="208">
        <f>ROUND((ROUND((ROUND((_15_同援日増０．５*_15・通訳),0)*_15・２人),0)*(1+_15・区３)),0)</f>
        <v>71</v>
      </c>
      <c r="V12" s="48"/>
    </row>
    <row r="13" spans="1:22" ht="16.5" customHeight="1" x14ac:dyDescent="0.15">
      <c r="A13" s="41">
        <v>15</v>
      </c>
      <c r="B13" s="41" t="s">
        <v>29621</v>
      </c>
      <c r="C13" s="74" t="s">
        <v>29622</v>
      </c>
      <c r="D13" s="72"/>
      <c r="F13" s="57"/>
      <c r="G13" s="92" t="s">
        <v>25734</v>
      </c>
      <c r="H13" s="12" t="s">
        <v>398</v>
      </c>
      <c r="I13" s="13">
        <v>0.9</v>
      </c>
      <c r="J13" s="163"/>
      <c r="K13" s="45"/>
      <c r="L13" s="46"/>
      <c r="M13" s="114" t="s">
        <v>17562</v>
      </c>
      <c r="N13" s="49"/>
      <c r="O13" s="50"/>
      <c r="P13" s="115"/>
      <c r="Q13" s="35"/>
      <c r="R13" s="12" t="s">
        <v>398</v>
      </c>
      <c r="S13" s="13">
        <v>0.2</v>
      </c>
      <c r="T13" s="57" t="s">
        <v>3575</v>
      </c>
      <c r="U13" s="208">
        <f>ROUND((ROUND((ROUND((_15_同援日増０．５*_15・通訳),0)*(1+_15・盲ろう)),0)*(1+_15・区３)),0)</f>
        <v>89</v>
      </c>
      <c r="V13" s="48"/>
    </row>
    <row r="14" spans="1:22" ht="16.5" customHeight="1" x14ac:dyDescent="0.15">
      <c r="A14" s="41">
        <v>15</v>
      </c>
      <c r="B14" s="41" t="s">
        <v>29623</v>
      </c>
      <c r="C14" s="74" t="s">
        <v>29624</v>
      </c>
      <c r="D14" s="72"/>
      <c r="F14" s="57"/>
      <c r="G14" s="35"/>
      <c r="J14" s="299" t="s">
        <v>17556</v>
      </c>
      <c r="K14" s="45" t="s">
        <v>398</v>
      </c>
      <c r="L14" s="46">
        <v>1</v>
      </c>
      <c r="M14" s="269" t="s">
        <v>17564</v>
      </c>
      <c r="N14" s="37" t="s">
        <v>398</v>
      </c>
      <c r="O14" s="38">
        <v>0.25</v>
      </c>
      <c r="P14" s="79" t="s">
        <v>3575</v>
      </c>
      <c r="Q14" s="43"/>
      <c r="R14" s="37"/>
      <c r="S14" s="38"/>
      <c r="T14" s="79"/>
      <c r="U14" s="208">
        <f>ROUND((ROUND((ROUND((ROUND((_15_同援日増０．５*_15・通訳),0)*_15・２人),0)*(1+_15・盲ろう)),0)*(1+_15・区３)),0)</f>
        <v>89</v>
      </c>
      <c r="V14" s="48"/>
    </row>
    <row r="15" spans="1:22" ht="16.5" customHeight="1" x14ac:dyDescent="0.15">
      <c r="A15" s="41">
        <v>15</v>
      </c>
      <c r="B15" s="41" t="s">
        <v>3857</v>
      </c>
      <c r="C15" s="74" t="s">
        <v>29625</v>
      </c>
      <c r="D15" s="72"/>
      <c r="F15" s="57"/>
      <c r="G15" s="35"/>
      <c r="J15" s="163"/>
      <c r="K15" s="45"/>
      <c r="L15" s="46"/>
      <c r="M15" s="53"/>
      <c r="N15" s="49"/>
      <c r="O15" s="50"/>
      <c r="P15" s="115"/>
      <c r="Q15" s="114" t="s">
        <v>17580</v>
      </c>
      <c r="R15" s="49"/>
      <c r="S15" s="50"/>
      <c r="T15" s="115"/>
      <c r="U15" s="208">
        <f>ROUND((ROUND((_15_同援日増０．５*_15・通訳),0)*(1+_15・区４)),0)</f>
        <v>83</v>
      </c>
      <c r="V15" s="48"/>
    </row>
    <row r="16" spans="1:22" ht="16.5" customHeight="1" x14ac:dyDescent="0.15">
      <c r="A16" s="41">
        <v>15</v>
      </c>
      <c r="B16" s="41" t="s">
        <v>3859</v>
      </c>
      <c r="C16" s="74" t="s">
        <v>29626</v>
      </c>
      <c r="D16" s="72"/>
      <c r="F16" s="57"/>
      <c r="G16" s="35"/>
      <c r="J16" s="299" t="s">
        <v>17556</v>
      </c>
      <c r="K16" s="45" t="s">
        <v>398</v>
      </c>
      <c r="L16" s="46">
        <v>1</v>
      </c>
      <c r="M16" s="43"/>
      <c r="N16" s="37"/>
      <c r="O16" s="38"/>
      <c r="P16" s="79"/>
      <c r="Q16" s="92" t="s">
        <v>17572</v>
      </c>
      <c r="T16" s="57"/>
      <c r="U16" s="208">
        <f>ROUND((ROUND((ROUND((_15_同援日増０．５*_15・通訳),0)*_15・２人),0)*(1+_15・区４)),0)</f>
        <v>83</v>
      </c>
      <c r="V16" s="48"/>
    </row>
    <row r="17" spans="1:22" ht="16.5" customHeight="1" x14ac:dyDescent="0.15">
      <c r="A17" s="41">
        <v>15</v>
      </c>
      <c r="B17" s="41" t="s">
        <v>29627</v>
      </c>
      <c r="C17" s="74" t="s">
        <v>29628</v>
      </c>
      <c r="D17" s="72"/>
      <c r="F17" s="57"/>
      <c r="G17" s="35"/>
      <c r="J17" s="163"/>
      <c r="K17" s="45"/>
      <c r="L17" s="46"/>
      <c r="M17" s="114" t="s">
        <v>17562</v>
      </c>
      <c r="N17" s="49"/>
      <c r="O17" s="50"/>
      <c r="P17" s="115"/>
      <c r="Q17" s="35"/>
      <c r="R17" s="12" t="s">
        <v>398</v>
      </c>
      <c r="S17" s="13">
        <v>0.4</v>
      </c>
      <c r="T17" s="57" t="s">
        <v>3575</v>
      </c>
      <c r="U17" s="208">
        <f>ROUND((ROUND((ROUND((_15_同援日増０．５*_15・通訳),0)*(1+_15・盲ろう)),0)*(1+_15・区４)),0)</f>
        <v>104</v>
      </c>
      <c r="V17" s="48"/>
    </row>
    <row r="18" spans="1:22" ht="16.5" customHeight="1" x14ac:dyDescent="0.15">
      <c r="A18" s="41">
        <v>15</v>
      </c>
      <c r="B18" s="41" t="s">
        <v>29629</v>
      </c>
      <c r="C18" s="74" t="s">
        <v>29630</v>
      </c>
      <c r="D18" s="122"/>
      <c r="E18" s="37"/>
      <c r="F18" s="79"/>
      <c r="G18" s="35"/>
      <c r="J18" s="299" t="s">
        <v>17556</v>
      </c>
      <c r="K18" s="45" t="s">
        <v>398</v>
      </c>
      <c r="L18" s="46">
        <v>1</v>
      </c>
      <c r="M18" s="269" t="s">
        <v>17564</v>
      </c>
      <c r="N18" s="37" t="s">
        <v>398</v>
      </c>
      <c r="O18" s="38">
        <v>0.25</v>
      </c>
      <c r="P18" s="79" t="s">
        <v>3575</v>
      </c>
      <c r="Q18" s="43"/>
      <c r="R18" s="37"/>
      <c r="S18" s="38"/>
      <c r="T18" s="79"/>
      <c r="U18" s="208">
        <f>ROUND((ROUND((ROUND((ROUND((_15_同援日増０．５*_15・通訳),0)*_15・２人),0)*(1+_15・盲ろう)),0)*(1+_15・区４)),0)</f>
        <v>104</v>
      </c>
      <c r="V18" s="48"/>
    </row>
    <row r="19" spans="1:22" ht="16.5" customHeight="1" x14ac:dyDescent="0.15">
      <c r="A19" s="41">
        <v>15</v>
      </c>
      <c r="B19" s="41" t="s">
        <v>29631</v>
      </c>
      <c r="C19" s="74" t="s">
        <v>29632</v>
      </c>
      <c r="D19" s="114" t="s">
        <v>23637</v>
      </c>
      <c r="E19" s="49"/>
      <c r="F19" s="115"/>
      <c r="G19" s="35"/>
      <c r="J19" s="163"/>
      <c r="K19" s="45"/>
      <c r="L19" s="46"/>
      <c r="M19" s="53"/>
      <c r="N19" s="49"/>
      <c r="O19" s="50"/>
      <c r="P19" s="115"/>
      <c r="Q19" s="53"/>
      <c r="R19" s="49"/>
      <c r="S19" s="50"/>
      <c r="T19" s="115"/>
      <c r="U19" s="208">
        <f>ROUND((_15_同援日増１．０*_15・通訳),0)</f>
        <v>117</v>
      </c>
      <c r="V19" s="48"/>
    </row>
    <row r="20" spans="1:22" ht="16.5" customHeight="1" x14ac:dyDescent="0.15">
      <c r="A20" s="41">
        <v>15</v>
      </c>
      <c r="B20" s="41" t="s">
        <v>29633</v>
      </c>
      <c r="C20" s="74" t="s">
        <v>29634</v>
      </c>
      <c r="D20" s="72" t="s">
        <v>17589</v>
      </c>
      <c r="F20" s="57"/>
      <c r="G20" s="35"/>
      <c r="J20" s="299" t="s">
        <v>17556</v>
      </c>
      <c r="K20" s="45" t="s">
        <v>398</v>
      </c>
      <c r="L20" s="46">
        <v>1</v>
      </c>
      <c r="M20" s="43"/>
      <c r="N20" s="37"/>
      <c r="O20" s="38"/>
      <c r="P20" s="79"/>
      <c r="Q20" s="35"/>
      <c r="T20" s="57"/>
      <c r="U20" s="208">
        <f>ROUND((ROUND((_15_同援日増１．０*_15・通訳),0)*_15・２人),0)</f>
        <v>117</v>
      </c>
      <c r="V20" s="48"/>
    </row>
    <row r="21" spans="1:22" ht="16.5" customHeight="1" x14ac:dyDescent="0.15">
      <c r="A21" s="41">
        <v>15</v>
      </c>
      <c r="B21" s="41" t="s">
        <v>29635</v>
      </c>
      <c r="C21" s="74" t="s">
        <v>29636</v>
      </c>
      <c r="D21" s="72" t="s">
        <v>17591</v>
      </c>
      <c r="F21" s="57"/>
      <c r="G21" s="35"/>
      <c r="J21" s="163"/>
      <c r="K21" s="45"/>
      <c r="L21" s="46"/>
      <c r="M21" s="114" t="s">
        <v>17562</v>
      </c>
      <c r="N21" s="49"/>
      <c r="O21" s="50"/>
      <c r="P21" s="115"/>
      <c r="Q21" s="35"/>
      <c r="T21" s="57"/>
      <c r="U21" s="208">
        <f>ROUND((ROUND((_15_同援日増１．０*_15・通訳),0)*(1+_15・盲ろう)),0)</f>
        <v>146</v>
      </c>
      <c r="V21" s="48"/>
    </row>
    <row r="22" spans="1:22" ht="16.5" customHeight="1" x14ac:dyDescent="0.15">
      <c r="A22" s="41">
        <v>15</v>
      </c>
      <c r="B22" s="41" t="s">
        <v>29637</v>
      </c>
      <c r="C22" s="74" t="s">
        <v>29638</v>
      </c>
      <c r="D22" s="72"/>
      <c r="E22" s="168">
        <f>_15_同援日増１．０</f>
        <v>130</v>
      </c>
      <c r="F22" s="57" t="s">
        <v>392</v>
      </c>
      <c r="G22" s="35"/>
      <c r="J22" s="299" t="s">
        <v>17556</v>
      </c>
      <c r="K22" s="45" t="s">
        <v>398</v>
      </c>
      <c r="L22" s="46">
        <v>1</v>
      </c>
      <c r="M22" s="269" t="s">
        <v>17564</v>
      </c>
      <c r="N22" s="37" t="s">
        <v>398</v>
      </c>
      <c r="O22" s="38">
        <v>0.25</v>
      </c>
      <c r="P22" s="79" t="s">
        <v>3575</v>
      </c>
      <c r="Q22" s="43"/>
      <c r="R22" s="37"/>
      <c r="S22" s="38"/>
      <c r="T22" s="79"/>
      <c r="U22" s="208">
        <f>ROUND((ROUND((ROUND((_15_同援日増１．０*_15・通訳),0)*_15・２人),0)*(1+_15・盲ろう)),0)</f>
        <v>146</v>
      </c>
      <c r="V22" s="48"/>
    </row>
    <row r="23" spans="1:22" ht="16.5" customHeight="1" x14ac:dyDescent="0.15">
      <c r="A23" s="41">
        <v>15</v>
      </c>
      <c r="B23" s="41" t="s">
        <v>29639</v>
      </c>
      <c r="C23" s="74" t="s">
        <v>29640</v>
      </c>
      <c r="D23" s="72"/>
      <c r="F23" s="57"/>
      <c r="G23" s="35"/>
      <c r="J23" s="163"/>
      <c r="K23" s="45"/>
      <c r="L23" s="46"/>
      <c r="M23" s="53"/>
      <c r="N23" s="49"/>
      <c r="O23" s="50"/>
      <c r="P23" s="115"/>
      <c r="Q23" s="114" t="s">
        <v>17570</v>
      </c>
      <c r="R23" s="49"/>
      <c r="S23" s="50"/>
      <c r="T23" s="115"/>
      <c r="U23" s="208">
        <f>ROUND((ROUND((_15_同援日増１．０*_15・通訳),0)*(1+_15・区３)),0)</f>
        <v>140</v>
      </c>
      <c r="V23" s="48"/>
    </row>
    <row r="24" spans="1:22" ht="16.5" customHeight="1" x14ac:dyDescent="0.15">
      <c r="A24" s="41">
        <v>15</v>
      </c>
      <c r="B24" s="41" t="s">
        <v>29641</v>
      </c>
      <c r="C24" s="74" t="s">
        <v>29642</v>
      </c>
      <c r="D24" s="72"/>
      <c r="F24" s="57"/>
      <c r="G24" s="35"/>
      <c r="J24" s="299" t="s">
        <v>17556</v>
      </c>
      <c r="K24" s="45" t="s">
        <v>398</v>
      </c>
      <c r="L24" s="46">
        <v>1</v>
      </c>
      <c r="M24" s="43"/>
      <c r="N24" s="37"/>
      <c r="O24" s="38"/>
      <c r="P24" s="79"/>
      <c r="Q24" s="92" t="s">
        <v>17572</v>
      </c>
      <c r="T24" s="57"/>
      <c r="U24" s="208">
        <f>ROUND((ROUND((ROUND((_15_同援日増１．０*_15・通訳),0)*_15・２人),0)*(1+_15・区３)),0)</f>
        <v>140</v>
      </c>
      <c r="V24" s="48"/>
    </row>
    <row r="25" spans="1:22" ht="16.5" customHeight="1" x14ac:dyDescent="0.15">
      <c r="A25" s="41">
        <v>15</v>
      </c>
      <c r="B25" s="41" t="s">
        <v>3863</v>
      </c>
      <c r="C25" s="74" t="s">
        <v>29643</v>
      </c>
      <c r="D25" s="72"/>
      <c r="F25" s="57"/>
      <c r="G25" s="35"/>
      <c r="J25" s="163"/>
      <c r="K25" s="45"/>
      <c r="L25" s="46"/>
      <c r="M25" s="114" t="s">
        <v>17562</v>
      </c>
      <c r="N25" s="49"/>
      <c r="O25" s="50"/>
      <c r="P25" s="115"/>
      <c r="Q25" s="35"/>
      <c r="R25" s="12" t="s">
        <v>398</v>
      </c>
      <c r="S25" s="13">
        <v>0.2</v>
      </c>
      <c r="T25" s="57" t="s">
        <v>3575</v>
      </c>
      <c r="U25" s="208">
        <f>ROUND((ROUND((ROUND((_15_同援日増１．０*_15・通訳),0)*(1+_15・盲ろう)),0)*(1+_15・区３)),0)</f>
        <v>175</v>
      </c>
      <c r="V25" s="48"/>
    </row>
    <row r="26" spans="1:22" ht="16.5" customHeight="1" x14ac:dyDescent="0.15">
      <c r="A26" s="41">
        <v>15</v>
      </c>
      <c r="B26" s="41" t="s">
        <v>3865</v>
      </c>
      <c r="C26" s="74" t="s">
        <v>29644</v>
      </c>
      <c r="D26" s="72"/>
      <c r="F26" s="57"/>
      <c r="G26" s="35"/>
      <c r="J26" s="299" t="s">
        <v>17556</v>
      </c>
      <c r="K26" s="45" t="s">
        <v>398</v>
      </c>
      <c r="L26" s="46">
        <v>1</v>
      </c>
      <c r="M26" s="269" t="s">
        <v>17564</v>
      </c>
      <c r="N26" s="37" t="s">
        <v>398</v>
      </c>
      <c r="O26" s="38">
        <v>0.25</v>
      </c>
      <c r="P26" s="79" t="s">
        <v>3575</v>
      </c>
      <c r="Q26" s="43"/>
      <c r="R26" s="37"/>
      <c r="S26" s="38"/>
      <c r="T26" s="79"/>
      <c r="U26" s="208">
        <f>ROUND((ROUND((ROUND((ROUND((_15_同援日増１．０*_15・通訳),0)*_15・２人),0)*(1+_15・盲ろう)),0)*(1+_15・区３)),0)</f>
        <v>175</v>
      </c>
      <c r="V26" s="48"/>
    </row>
    <row r="27" spans="1:22" ht="16.5" customHeight="1" x14ac:dyDescent="0.15">
      <c r="A27" s="41">
        <v>15</v>
      </c>
      <c r="B27" s="41" t="s">
        <v>29645</v>
      </c>
      <c r="C27" s="74" t="s">
        <v>29646</v>
      </c>
      <c r="D27" s="72"/>
      <c r="F27" s="57"/>
      <c r="G27" s="35"/>
      <c r="J27" s="163"/>
      <c r="K27" s="45"/>
      <c r="L27" s="46"/>
      <c r="M27" s="53"/>
      <c r="N27" s="49"/>
      <c r="O27" s="50"/>
      <c r="P27" s="115"/>
      <c r="Q27" s="114" t="s">
        <v>17580</v>
      </c>
      <c r="R27" s="49"/>
      <c r="S27" s="50"/>
      <c r="T27" s="115"/>
      <c r="U27" s="208">
        <f>ROUND((ROUND((_15_同援日増１．０*_15・通訳),0)*(1+_15・区４)),0)</f>
        <v>164</v>
      </c>
      <c r="V27" s="48"/>
    </row>
    <row r="28" spans="1:22" ht="16.5" customHeight="1" x14ac:dyDescent="0.15">
      <c r="A28" s="41">
        <v>15</v>
      </c>
      <c r="B28" s="41" t="s">
        <v>29647</v>
      </c>
      <c r="C28" s="74" t="s">
        <v>29648</v>
      </c>
      <c r="D28" s="72"/>
      <c r="F28" s="57"/>
      <c r="G28" s="35"/>
      <c r="J28" s="299" t="s">
        <v>17556</v>
      </c>
      <c r="K28" s="45" t="s">
        <v>398</v>
      </c>
      <c r="L28" s="46">
        <v>1</v>
      </c>
      <c r="M28" s="43"/>
      <c r="N28" s="37"/>
      <c r="O28" s="38"/>
      <c r="P28" s="79"/>
      <c r="Q28" s="92" t="s">
        <v>17572</v>
      </c>
      <c r="T28" s="57"/>
      <c r="U28" s="208">
        <f>ROUND((ROUND((ROUND((_15_同援日増１．０*_15・通訳),0)*_15・２人),0)*(1+_15・区４)),0)</f>
        <v>164</v>
      </c>
      <c r="V28" s="48"/>
    </row>
    <row r="29" spans="1:22" ht="16.5" customHeight="1" x14ac:dyDescent="0.15">
      <c r="A29" s="41">
        <v>15</v>
      </c>
      <c r="B29" s="41" t="s">
        <v>29649</v>
      </c>
      <c r="C29" s="74" t="s">
        <v>29650</v>
      </c>
      <c r="D29" s="72"/>
      <c r="F29" s="57"/>
      <c r="G29" s="35"/>
      <c r="J29" s="163"/>
      <c r="K29" s="45"/>
      <c r="L29" s="46"/>
      <c r="M29" s="114" t="s">
        <v>17562</v>
      </c>
      <c r="N29" s="49"/>
      <c r="O29" s="50"/>
      <c r="P29" s="115"/>
      <c r="Q29" s="35"/>
      <c r="R29" s="12" t="s">
        <v>398</v>
      </c>
      <c r="S29" s="13">
        <v>0.4</v>
      </c>
      <c r="T29" s="57" t="s">
        <v>3575</v>
      </c>
      <c r="U29" s="208">
        <f>ROUND((ROUND((ROUND((_15_同援日増１．０*_15・通訳),0)*(1+_15・盲ろう)),0)*(1+_15・区４)),0)</f>
        <v>204</v>
      </c>
      <c r="V29" s="48"/>
    </row>
    <row r="30" spans="1:22" ht="16.5" customHeight="1" x14ac:dyDescent="0.15">
      <c r="A30" s="41">
        <v>15</v>
      </c>
      <c r="B30" s="41" t="s">
        <v>29651</v>
      </c>
      <c r="C30" s="74" t="s">
        <v>29652</v>
      </c>
      <c r="D30" s="122"/>
      <c r="E30" s="37"/>
      <c r="F30" s="79"/>
      <c r="G30" s="35"/>
      <c r="J30" s="299" t="s">
        <v>17556</v>
      </c>
      <c r="K30" s="45" t="s">
        <v>398</v>
      </c>
      <c r="L30" s="46">
        <v>1</v>
      </c>
      <c r="M30" s="269" t="s">
        <v>17564</v>
      </c>
      <c r="N30" s="37" t="s">
        <v>398</v>
      </c>
      <c r="O30" s="38">
        <v>0.25</v>
      </c>
      <c r="P30" s="79" t="s">
        <v>3575</v>
      </c>
      <c r="Q30" s="43"/>
      <c r="R30" s="37"/>
      <c r="S30" s="38"/>
      <c r="T30" s="79"/>
      <c r="U30" s="208">
        <f>ROUND((ROUND((ROUND((ROUND((_15_同援日増１．０*_15・通訳),0)*_15・２人),0)*(1+_15・盲ろう)),0)*(1+_15・区４)),0)</f>
        <v>204</v>
      </c>
      <c r="V30" s="48"/>
    </row>
    <row r="31" spans="1:22" ht="16.5" customHeight="1" x14ac:dyDescent="0.15">
      <c r="A31" s="41">
        <v>15</v>
      </c>
      <c r="B31" s="41" t="s">
        <v>29653</v>
      </c>
      <c r="C31" s="74" t="s">
        <v>29654</v>
      </c>
      <c r="D31" s="114" t="s">
        <v>23682</v>
      </c>
      <c r="E31" s="49"/>
      <c r="F31" s="115"/>
      <c r="G31" s="35"/>
      <c r="J31" s="163"/>
      <c r="K31" s="45"/>
      <c r="L31" s="46"/>
      <c r="M31" s="53"/>
      <c r="N31" s="49"/>
      <c r="O31" s="50"/>
      <c r="P31" s="115"/>
      <c r="Q31" s="53"/>
      <c r="R31" s="49"/>
      <c r="S31" s="50"/>
      <c r="T31" s="115"/>
      <c r="U31" s="208">
        <f>ROUND((_15_同援日増１．５*_15・通訳),0)</f>
        <v>176</v>
      </c>
      <c r="V31" s="48"/>
    </row>
    <row r="32" spans="1:22" ht="16.5" customHeight="1" x14ac:dyDescent="0.15">
      <c r="A32" s="41">
        <v>15</v>
      </c>
      <c r="B32" s="41" t="s">
        <v>29655</v>
      </c>
      <c r="C32" s="74" t="s">
        <v>29656</v>
      </c>
      <c r="D32" s="72" t="s">
        <v>17616</v>
      </c>
      <c r="F32" s="57"/>
      <c r="G32" s="35"/>
      <c r="J32" s="299" t="s">
        <v>17556</v>
      </c>
      <c r="K32" s="45" t="s">
        <v>398</v>
      </c>
      <c r="L32" s="46">
        <v>1</v>
      </c>
      <c r="M32" s="43"/>
      <c r="N32" s="37"/>
      <c r="O32" s="38"/>
      <c r="P32" s="79"/>
      <c r="Q32" s="35"/>
      <c r="T32" s="57"/>
      <c r="U32" s="208">
        <f>ROUND((ROUND((_15_同援日増１．５*_15・通訳),0)*_15・２人),0)</f>
        <v>176</v>
      </c>
      <c r="V32" s="48"/>
    </row>
    <row r="33" spans="1:22" ht="16.5" customHeight="1" x14ac:dyDescent="0.15">
      <c r="A33" s="41">
        <v>15</v>
      </c>
      <c r="B33" s="41" t="s">
        <v>29657</v>
      </c>
      <c r="C33" s="74" t="s">
        <v>29658</v>
      </c>
      <c r="D33" s="72" t="s">
        <v>18183</v>
      </c>
      <c r="F33" s="57"/>
      <c r="G33" s="35"/>
      <c r="J33" s="163"/>
      <c r="K33" s="45"/>
      <c r="L33" s="46"/>
      <c r="M33" s="114" t="s">
        <v>17562</v>
      </c>
      <c r="N33" s="49"/>
      <c r="O33" s="50"/>
      <c r="P33" s="115"/>
      <c r="Q33" s="35"/>
      <c r="T33" s="57"/>
      <c r="U33" s="208">
        <f>ROUND((ROUND((_15_同援日増１．５*_15・通訳),0)*(1+_15・盲ろう)),0)</f>
        <v>220</v>
      </c>
      <c r="V33" s="48"/>
    </row>
    <row r="34" spans="1:22" ht="16.5" customHeight="1" x14ac:dyDescent="0.15">
      <c r="A34" s="41">
        <v>15</v>
      </c>
      <c r="B34" s="41" t="s">
        <v>29659</v>
      </c>
      <c r="C34" s="74" t="s">
        <v>29660</v>
      </c>
      <c r="D34" s="72"/>
      <c r="E34" s="168">
        <f>_15_同援日増１．５</f>
        <v>195</v>
      </c>
      <c r="F34" s="57" t="s">
        <v>392</v>
      </c>
      <c r="G34" s="35"/>
      <c r="J34" s="299" t="s">
        <v>17556</v>
      </c>
      <c r="K34" s="45" t="s">
        <v>398</v>
      </c>
      <c r="L34" s="46">
        <v>1</v>
      </c>
      <c r="M34" s="269" t="s">
        <v>17564</v>
      </c>
      <c r="N34" s="37" t="s">
        <v>398</v>
      </c>
      <c r="O34" s="38">
        <v>0.25</v>
      </c>
      <c r="P34" s="79" t="s">
        <v>3575</v>
      </c>
      <c r="Q34" s="43"/>
      <c r="R34" s="37"/>
      <c r="S34" s="38"/>
      <c r="T34" s="79"/>
      <c r="U34" s="208">
        <f>ROUND((ROUND((ROUND((_15_同援日増１．５*_15・通訳),0)*_15・２人),0)*(1+_15・盲ろう)),0)</f>
        <v>220</v>
      </c>
      <c r="V34" s="48"/>
    </row>
    <row r="35" spans="1:22" ht="16.5" customHeight="1" x14ac:dyDescent="0.15">
      <c r="A35" s="41">
        <v>15</v>
      </c>
      <c r="B35" s="41" t="s">
        <v>3869</v>
      </c>
      <c r="C35" s="74" t="s">
        <v>29661</v>
      </c>
      <c r="D35" s="72"/>
      <c r="F35" s="57"/>
      <c r="G35" s="35"/>
      <c r="J35" s="163"/>
      <c r="K35" s="45"/>
      <c r="L35" s="46"/>
      <c r="M35" s="53"/>
      <c r="N35" s="49"/>
      <c r="O35" s="50"/>
      <c r="P35" s="115"/>
      <c r="Q35" s="114" t="s">
        <v>17570</v>
      </c>
      <c r="R35" s="49"/>
      <c r="S35" s="50"/>
      <c r="T35" s="115"/>
      <c r="U35" s="208">
        <f>ROUND((ROUND((_15_同援日増１．５*_15・通訳),0)*(1+_15・区３)),0)</f>
        <v>211</v>
      </c>
      <c r="V35" s="48"/>
    </row>
    <row r="36" spans="1:22" ht="16.5" customHeight="1" x14ac:dyDescent="0.15">
      <c r="A36" s="41">
        <v>15</v>
      </c>
      <c r="B36" s="41" t="s">
        <v>3871</v>
      </c>
      <c r="C36" s="74" t="s">
        <v>29662</v>
      </c>
      <c r="D36" s="72"/>
      <c r="F36" s="57"/>
      <c r="G36" s="35"/>
      <c r="J36" s="299" t="s">
        <v>17556</v>
      </c>
      <c r="K36" s="45" t="s">
        <v>398</v>
      </c>
      <c r="L36" s="46">
        <v>1</v>
      </c>
      <c r="M36" s="43"/>
      <c r="N36" s="37"/>
      <c r="O36" s="38"/>
      <c r="P36" s="79"/>
      <c r="Q36" s="92" t="s">
        <v>17572</v>
      </c>
      <c r="T36" s="57"/>
      <c r="U36" s="208">
        <f>ROUND((ROUND((ROUND((_15_同援日増１．５*_15・通訳),0)*_15・２人),0)*(1+_15・区３)),0)</f>
        <v>211</v>
      </c>
      <c r="V36" s="48"/>
    </row>
    <row r="37" spans="1:22" ht="16.5" customHeight="1" x14ac:dyDescent="0.15">
      <c r="A37" s="41">
        <v>15</v>
      </c>
      <c r="B37" s="41" t="s">
        <v>29663</v>
      </c>
      <c r="C37" s="74" t="s">
        <v>29664</v>
      </c>
      <c r="D37" s="72"/>
      <c r="F37" s="57"/>
      <c r="G37" s="35"/>
      <c r="J37" s="163"/>
      <c r="K37" s="45"/>
      <c r="L37" s="46"/>
      <c r="M37" s="114" t="s">
        <v>17562</v>
      </c>
      <c r="N37" s="49"/>
      <c r="O37" s="50"/>
      <c r="P37" s="115"/>
      <c r="Q37" s="35"/>
      <c r="R37" s="12" t="s">
        <v>398</v>
      </c>
      <c r="S37" s="13">
        <v>0.2</v>
      </c>
      <c r="T37" s="57" t="s">
        <v>3575</v>
      </c>
      <c r="U37" s="208">
        <f>ROUND((ROUND((ROUND((_15_同援日増１．５*_15・通訳),0)*(1+_15・盲ろう)),0)*(1+_15・区３)),0)</f>
        <v>264</v>
      </c>
      <c r="V37" s="48"/>
    </row>
    <row r="38" spans="1:22" ht="16.5" customHeight="1" x14ac:dyDescent="0.15">
      <c r="A38" s="41">
        <v>15</v>
      </c>
      <c r="B38" s="41" t="s">
        <v>29665</v>
      </c>
      <c r="C38" s="74" t="s">
        <v>29666</v>
      </c>
      <c r="D38" s="72"/>
      <c r="F38" s="57"/>
      <c r="G38" s="35"/>
      <c r="J38" s="299" t="s">
        <v>17556</v>
      </c>
      <c r="K38" s="45" t="s">
        <v>398</v>
      </c>
      <c r="L38" s="46">
        <v>1</v>
      </c>
      <c r="M38" s="269" t="s">
        <v>17564</v>
      </c>
      <c r="N38" s="37" t="s">
        <v>398</v>
      </c>
      <c r="O38" s="38">
        <v>0.25</v>
      </c>
      <c r="P38" s="79" t="s">
        <v>3575</v>
      </c>
      <c r="Q38" s="43"/>
      <c r="R38" s="37"/>
      <c r="S38" s="38"/>
      <c r="T38" s="79"/>
      <c r="U38" s="208">
        <f>ROUND((ROUND((ROUND((ROUND((_15_同援日増１．５*_15・通訳),0)*_15・２人),0)*(1+_15・盲ろう)),0)*(1+_15・区３)),0)</f>
        <v>264</v>
      </c>
      <c r="V38" s="48"/>
    </row>
    <row r="39" spans="1:22" ht="16.5" customHeight="1" x14ac:dyDescent="0.15">
      <c r="A39" s="41">
        <v>15</v>
      </c>
      <c r="B39" s="41" t="s">
        <v>29667</v>
      </c>
      <c r="C39" s="74" t="s">
        <v>29668</v>
      </c>
      <c r="D39" s="72"/>
      <c r="F39" s="57"/>
      <c r="G39" s="35"/>
      <c r="J39" s="163"/>
      <c r="K39" s="45"/>
      <c r="L39" s="46"/>
      <c r="M39" s="53"/>
      <c r="N39" s="49"/>
      <c r="O39" s="50"/>
      <c r="P39" s="115"/>
      <c r="Q39" s="114" t="s">
        <v>17580</v>
      </c>
      <c r="R39" s="49"/>
      <c r="S39" s="50"/>
      <c r="T39" s="115"/>
      <c r="U39" s="208">
        <f>ROUND((ROUND((_15_同援日増１．５*_15・通訳),0)*(1+_15・区４)),0)</f>
        <v>246</v>
      </c>
      <c r="V39" s="48"/>
    </row>
    <row r="40" spans="1:22" ht="16.5" customHeight="1" x14ac:dyDescent="0.15">
      <c r="A40" s="41">
        <v>15</v>
      </c>
      <c r="B40" s="41" t="s">
        <v>29669</v>
      </c>
      <c r="C40" s="74" t="s">
        <v>29670</v>
      </c>
      <c r="D40" s="72"/>
      <c r="F40" s="57"/>
      <c r="G40" s="35"/>
      <c r="J40" s="299" t="s">
        <v>17556</v>
      </c>
      <c r="K40" s="45" t="s">
        <v>398</v>
      </c>
      <c r="L40" s="46">
        <v>1</v>
      </c>
      <c r="M40" s="43"/>
      <c r="N40" s="37"/>
      <c r="O40" s="38"/>
      <c r="P40" s="79"/>
      <c r="Q40" s="92" t="s">
        <v>17572</v>
      </c>
      <c r="T40" s="57"/>
      <c r="U40" s="208">
        <f>ROUND((ROUND((ROUND((_15_同援日増１．５*_15・通訳),0)*_15・２人),0)*(1+_15・区４)),0)</f>
        <v>246</v>
      </c>
      <c r="V40" s="48"/>
    </row>
    <row r="41" spans="1:22" ht="16.5" customHeight="1" x14ac:dyDescent="0.15">
      <c r="A41" s="41">
        <v>15</v>
      </c>
      <c r="B41" s="41" t="s">
        <v>29671</v>
      </c>
      <c r="C41" s="74" t="s">
        <v>29672</v>
      </c>
      <c r="D41" s="72"/>
      <c r="F41" s="57"/>
      <c r="G41" s="35"/>
      <c r="J41" s="163"/>
      <c r="K41" s="45"/>
      <c r="L41" s="46"/>
      <c r="M41" s="114" t="s">
        <v>17562</v>
      </c>
      <c r="N41" s="49"/>
      <c r="O41" s="50"/>
      <c r="P41" s="115"/>
      <c r="Q41" s="35"/>
      <c r="R41" s="12" t="s">
        <v>398</v>
      </c>
      <c r="S41" s="13">
        <v>0.4</v>
      </c>
      <c r="T41" s="57" t="s">
        <v>3575</v>
      </c>
      <c r="U41" s="208">
        <f>ROUND((ROUND((ROUND((_15_同援日増１．５*_15・通訳),0)*(1+_15・盲ろう)),0)*(1+_15・区４)),0)</f>
        <v>308</v>
      </c>
      <c r="V41" s="48"/>
    </row>
    <row r="42" spans="1:22" ht="16.5" customHeight="1" x14ac:dyDescent="0.15">
      <c r="A42" s="41">
        <v>15</v>
      </c>
      <c r="B42" s="41" t="s">
        <v>29673</v>
      </c>
      <c r="C42" s="74" t="s">
        <v>29674</v>
      </c>
      <c r="D42" s="122"/>
      <c r="E42" s="37"/>
      <c r="F42" s="79"/>
      <c r="G42" s="35"/>
      <c r="J42" s="299" t="s">
        <v>17556</v>
      </c>
      <c r="K42" s="45" t="s">
        <v>398</v>
      </c>
      <c r="L42" s="46">
        <v>1</v>
      </c>
      <c r="M42" s="269" t="s">
        <v>17564</v>
      </c>
      <c r="N42" s="37" t="s">
        <v>398</v>
      </c>
      <c r="O42" s="38">
        <v>0.25</v>
      </c>
      <c r="P42" s="79" t="s">
        <v>3575</v>
      </c>
      <c r="Q42" s="43"/>
      <c r="R42" s="37"/>
      <c r="S42" s="38"/>
      <c r="T42" s="79"/>
      <c r="U42" s="208">
        <f>ROUND((ROUND((ROUND((ROUND((_15_同援日増１．５*_15・通訳),0)*_15・２人),0)*(1+_15・盲ろう)),0)*(1+_15・区４)),0)</f>
        <v>308</v>
      </c>
      <c r="V42" s="48"/>
    </row>
    <row r="43" spans="1:22" ht="16.5" customHeight="1" x14ac:dyDescent="0.15">
      <c r="A43" s="41">
        <v>15</v>
      </c>
      <c r="B43" s="41" t="s">
        <v>29675</v>
      </c>
      <c r="C43" s="74" t="s">
        <v>29676</v>
      </c>
      <c r="D43" s="114" t="s">
        <v>23727</v>
      </c>
      <c r="E43" s="49"/>
      <c r="F43" s="115"/>
      <c r="G43" s="35"/>
      <c r="J43" s="163"/>
      <c r="K43" s="45"/>
      <c r="L43" s="46"/>
      <c r="M43" s="53"/>
      <c r="N43" s="49"/>
      <c r="O43" s="50"/>
      <c r="P43" s="115"/>
      <c r="Q43" s="53"/>
      <c r="R43" s="49"/>
      <c r="S43" s="50"/>
      <c r="T43" s="115"/>
      <c r="U43" s="208">
        <f>ROUND((_15_同援日増２．０*_15・通訳),0)</f>
        <v>234</v>
      </c>
      <c r="V43" s="48"/>
    </row>
    <row r="44" spans="1:22" ht="16.5" customHeight="1" x14ac:dyDescent="0.15">
      <c r="A44" s="41">
        <v>15</v>
      </c>
      <c r="B44" s="41" t="s">
        <v>29677</v>
      </c>
      <c r="C44" s="74" t="s">
        <v>29678</v>
      </c>
      <c r="D44" s="72" t="s">
        <v>17643</v>
      </c>
      <c r="F44" s="57"/>
      <c r="G44" s="35"/>
      <c r="J44" s="299" t="s">
        <v>17556</v>
      </c>
      <c r="K44" s="45" t="s">
        <v>398</v>
      </c>
      <c r="L44" s="46">
        <v>1</v>
      </c>
      <c r="M44" s="43"/>
      <c r="N44" s="37"/>
      <c r="O44" s="38"/>
      <c r="P44" s="79"/>
      <c r="Q44" s="35"/>
      <c r="T44" s="57"/>
      <c r="U44" s="208">
        <f>ROUND((ROUND((_15_同援日増２．０*_15・通訳),0)*_15・２人),0)</f>
        <v>234</v>
      </c>
      <c r="V44" s="48"/>
    </row>
    <row r="45" spans="1:22" ht="16.5" customHeight="1" x14ac:dyDescent="0.15">
      <c r="A45" s="41">
        <v>15</v>
      </c>
      <c r="B45" s="41" t="s">
        <v>3875</v>
      </c>
      <c r="C45" s="74" t="s">
        <v>29679</v>
      </c>
      <c r="D45" s="72" t="s">
        <v>17645</v>
      </c>
      <c r="F45" s="57"/>
      <c r="G45" s="35"/>
      <c r="J45" s="163"/>
      <c r="K45" s="45"/>
      <c r="L45" s="46"/>
      <c r="M45" s="114" t="s">
        <v>17562</v>
      </c>
      <c r="N45" s="49"/>
      <c r="O45" s="50"/>
      <c r="P45" s="115"/>
      <c r="Q45" s="35"/>
      <c r="T45" s="57"/>
      <c r="U45" s="208">
        <f>ROUND((ROUND((_15_同援日増２．０*_15・通訳),0)*(1+_15・盲ろう)),0)</f>
        <v>293</v>
      </c>
      <c r="V45" s="48"/>
    </row>
    <row r="46" spans="1:22" ht="16.5" customHeight="1" x14ac:dyDescent="0.15">
      <c r="A46" s="41">
        <v>15</v>
      </c>
      <c r="B46" s="41" t="s">
        <v>3877</v>
      </c>
      <c r="C46" s="74" t="s">
        <v>29680</v>
      </c>
      <c r="D46" s="72"/>
      <c r="E46" s="168">
        <f>_15_同援日増２．０</f>
        <v>260</v>
      </c>
      <c r="F46" s="57" t="s">
        <v>392</v>
      </c>
      <c r="G46" s="35"/>
      <c r="J46" s="299" t="s">
        <v>17556</v>
      </c>
      <c r="K46" s="45" t="s">
        <v>398</v>
      </c>
      <c r="L46" s="46">
        <v>1</v>
      </c>
      <c r="M46" s="269" t="s">
        <v>17564</v>
      </c>
      <c r="N46" s="37" t="s">
        <v>398</v>
      </c>
      <c r="O46" s="38">
        <v>0.25</v>
      </c>
      <c r="P46" s="79" t="s">
        <v>3575</v>
      </c>
      <c r="Q46" s="43"/>
      <c r="R46" s="37"/>
      <c r="S46" s="38"/>
      <c r="T46" s="79"/>
      <c r="U46" s="208">
        <f>ROUND((ROUND((ROUND((_15_同援日増２．０*_15・通訳),0)*_15・２人),0)*(1+_15・盲ろう)),0)</f>
        <v>293</v>
      </c>
      <c r="V46" s="48"/>
    </row>
    <row r="47" spans="1:22" ht="16.5" customHeight="1" x14ac:dyDescent="0.15">
      <c r="A47" s="41">
        <v>15</v>
      </c>
      <c r="B47" s="41" t="s">
        <v>29681</v>
      </c>
      <c r="C47" s="74" t="s">
        <v>29682</v>
      </c>
      <c r="D47" s="72"/>
      <c r="F47" s="57"/>
      <c r="G47" s="35"/>
      <c r="J47" s="163"/>
      <c r="K47" s="45"/>
      <c r="L47" s="46"/>
      <c r="M47" s="53"/>
      <c r="N47" s="49"/>
      <c r="O47" s="50"/>
      <c r="P47" s="115"/>
      <c r="Q47" s="114" t="s">
        <v>17570</v>
      </c>
      <c r="R47" s="49"/>
      <c r="S47" s="50"/>
      <c r="T47" s="115"/>
      <c r="U47" s="208">
        <f>ROUND((ROUND((_15_同援日増２．０*_15・通訳),0)*(1+_15・区３)),0)</f>
        <v>281</v>
      </c>
      <c r="V47" s="48"/>
    </row>
    <row r="48" spans="1:22" ht="16.5" customHeight="1" x14ac:dyDescent="0.15">
      <c r="A48" s="41">
        <v>15</v>
      </c>
      <c r="B48" s="41" t="s">
        <v>29683</v>
      </c>
      <c r="C48" s="74" t="s">
        <v>29684</v>
      </c>
      <c r="D48" s="72"/>
      <c r="F48" s="57"/>
      <c r="G48" s="35"/>
      <c r="J48" s="299" t="s">
        <v>17556</v>
      </c>
      <c r="K48" s="45" t="s">
        <v>398</v>
      </c>
      <c r="L48" s="46">
        <v>1</v>
      </c>
      <c r="M48" s="43"/>
      <c r="N48" s="37"/>
      <c r="O48" s="38"/>
      <c r="P48" s="79"/>
      <c r="Q48" s="92" t="s">
        <v>17572</v>
      </c>
      <c r="T48" s="57"/>
      <c r="U48" s="208">
        <f>ROUND((ROUND((ROUND((_15_同援日増２．０*_15・通訳),0)*_15・２人),0)*(1+_15・区３)),0)</f>
        <v>281</v>
      </c>
      <c r="V48" s="48"/>
    </row>
    <row r="49" spans="1:22" ht="16.5" customHeight="1" x14ac:dyDescent="0.15">
      <c r="A49" s="41">
        <v>15</v>
      </c>
      <c r="B49" s="41" t="s">
        <v>29685</v>
      </c>
      <c r="C49" s="74" t="s">
        <v>29686</v>
      </c>
      <c r="D49" s="72"/>
      <c r="F49" s="57"/>
      <c r="G49" s="35"/>
      <c r="J49" s="163"/>
      <c r="K49" s="45"/>
      <c r="L49" s="46"/>
      <c r="M49" s="114" t="s">
        <v>17562</v>
      </c>
      <c r="N49" s="49"/>
      <c r="O49" s="50"/>
      <c r="P49" s="115"/>
      <c r="Q49" s="35"/>
      <c r="R49" s="12" t="s">
        <v>398</v>
      </c>
      <c r="S49" s="13">
        <v>0.2</v>
      </c>
      <c r="T49" s="57" t="s">
        <v>3575</v>
      </c>
      <c r="U49" s="208">
        <f>ROUND((ROUND((ROUND((_15_同援日増２．０*_15・通訳),0)*(1+_15・盲ろう)),0)*(1+_15・区３)),0)</f>
        <v>352</v>
      </c>
      <c r="V49" s="48"/>
    </row>
    <row r="50" spans="1:22" ht="16.5" customHeight="1" x14ac:dyDescent="0.15">
      <c r="A50" s="41">
        <v>15</v>
      </c>
      <c r="B50" s="41" t="s">
        <v>29687</v>
      </c>
      <c r="C50" s="74" t="s">
        <v>29688</v>
      </c>
      <c r="D50" s="72"/>
      <c r="F50" s="57"/>
      <c r="G50" s="35"/>
      <c r="J50" s="299" t="s">
        <v>17556</v>
      </c>
      <c r="K50" s="45" t="s">
        <v>398</v>
      </c>
      <c r="L50" s="46">
        <v>1</v>
      </c>
      <c r="M50" s="269" t="s">
        <v>17564</v>
      </c>
      <c r="N50" s="37" t="s">
        <v>398</v>
      </c>
      <c r="O50" s="38">
        <v>0.25</v>
      </c>
      <c r="P50" s="79" t="s">
        <v>3575</v>
      </c>
      <c r="Q50" s="43"/>
      <c r="R50" s="37"/>
      <c r="S50" s="38"/>
      <c r="T50" s="79"/>
      <c r="U50" s="208">
        <f>ROUND((ROUND((ROUND((ROUND((_15_同援日増２．０*_15・通訳),0)*_15・２人),0)*(1+_15・盲ろう)),0)*(1+_15・区３)),0)</f>
        <v>352</v>
      </c>
      <c r="V50" s="48"/>
    </row>
    <row r="51" spans="1:22" ht="16.5" customHeight="1" x14ac:dyDescent="0.15">
      <c r="A51" s="41">
        <v>15</v>
      </c>
      <c r="B51" s="41" t="s">
        <v>29689</v>
      </c>
      <c r="C51" s="74" t="s">
        <v>29690</v>
      </c>
      <c r="D51" s="72"/>
      <c r="F51" s="57"/>
      <c r="G51" s="35"/>
      <c r="J51" s="163"/>
      <c r="K51" s="45"/>
      <c r="L51" s="46"/>
      <c r="M51" s="53"/>
      <c r="N51" s="49"/>
      <c r="O51" s="50"/>
      <c r="P51" s="115"/>
      <c r="Q51" s="114" t="s">
        <v>17580</v>
      </c>
      <c r="R51" s="49"/>
      <c r="S51" s="50"/>
      <c r="T51" s="115"/>
      <c r="U51" s="208">
        <f>ROUND((ROUND((_15_同援日増２．０*_15・通訳),0)*(1+_15・区４)),0)</f>
        <v>328</v>
      </c>
      <c r="V51" s="48"/>
    </row>
    <row r="52" spans="1:22" ht="16.5" customHeight="1" x14ac:dyDescent="0.15">
      <c r="A52" s="41">
        <v>15</v>
      </c>
      <c r="B52" s="41" t="s">
        <v>29691</v>
      </c>
      <c r="C52" s="74" t="s">
        <v>29692</v>
      </c>
      <c r="D52" s="72"/>
      <c r="F52" s="57"/>
      <c r="G52" s="35"/>
      <c r="J52" s="299" t="s">
        <v>17556</v>
      </c>
      <c r="K52" s="45" t="s">
        <v>398</v>
      </c>
      <c r="L52" s="46">
        <v>1</v>
      </c>
      <c r="M52" s="43"/>
      <c r="N52" s="37"/>
      <c r="O52" s="38"/>
      <c r="P52" s="79"/>
      <c r="Q52" s="92" t="s">
        <v>17572</v>
      </c>
      <c r="T52" s="57"/>
      <c r="U52" s="208">
        <f>ROUND((ROUND((ROUND((_15_同援日増２．０*_15・通訳),0)*_15・２人),0)*(1+_15・区４)),0)</f>
        <v>328</v>
      </c>
      <c r="V52" s="48"/>
    </row>
    <row r="53" spans="1:22" ht="16.5" customHeight="1" x14ac:dyDescent="0.15">
      <c r="A53" s="41">
        <v>15</v>
      </c>
      <c r="B53" s="41" t="s">
        <v>29693</v>
      </c>
      <c r="C53" s="74" t="s">
        <v>29694</v>
      </c>
      <c r="D53" s="72"/>
      <c r="F53" s="57"/>
      <c r="G53" s="35"/>
      <c r="J53" s="163"/>
      <c r="K53" s="45"/>
      <c r="L53" s="46"/>
      <c r="M53" s="114" t="s">
        <v>17562</v>
      </c>
      <c r="N53" s="49"/>
      <c r="O53" s="50"/>
      <c r="P53" s="115"/>
      <c r="Q53" s="35"/>
      <c r="R53" s="12" t="s">
        <v>398</v>
      </c>
      <c r="S53" s="13">
        <v>0.4</v>
      </c>
      <c r="T53" s="57" t="s">
        <v>3575</v>
      </c>
      <c r="U53" s="208">
        <f>ROUND((ROUND((ROUND((_15_同援日増２．０*_15・通訳),0)*(1+_15・盲ろう)),0)*(1+_15・区４)),0)</f>
        <v>410</v>
      </c>
      <c r="V53" s="48"/>
    </row>
    <row r="54" spans="1:22" ht="16.5" customHeight="1" x14ac:dyDescent="0.15">
      <c r="A54" s="41">
        <v>15</v>
      </c>
      <c r="B54" s="41" t="s">
        <v>29695</v>
      </c>
      <c r="C54" s="74" t="s">
        <v>29696</v>
      </c>
      <c r="D54" s="122"/>
      <c r="E54" s="37"/>
      <c r="F54" s="79"/>
      <c r="G54" s="35"/>
      <c r="J54" s="299" t="s">
        <v>17556</v>
      </c>
      <c r="K54" s="45" t="s">
        <v>398</v>
      </c>
      <c r="L54" s="46">
        <v>1</v>
      </c>
      <c r="M54" s="269" t="s">
        <v>17564</v>
      </c>
      <c r="N54" s="37" t="s">
        <v>398</v>
      </c>
      <c r="O54" s="38">
        <v>0.25</v>
      </c>
      <c r="P54" s="79" t="s">
        <v>3575</v>
      </c>
      <c r="Q54" s="43"/>
      <c r="R54" s="37"/>
      <c r="S54" s="38"/>
      <c r="T54" s="79"/>
      <c r="U54" s="208">
        <f>ROUND((ROUND((ROUND((ROUND((_15_同援日増２．０*_15・通訳),0)*_15・２人),0)*(1+_15・盲ろう)),0)*(1+_15・区４)),0)</f>
        <v>410</v>
      </c>
      <c r="V54" s="48"/>
    </row>
    <row r="55" spans="1:22" ht="16.5" customHeight="1" x14ac:dyDescent="0.15">
      <c r="A55" s="41">
        <v>15</v>
      </c>
      <c r="B55" s="41" t="s">
        <v>3881</v>
      </c>
      <c r="C55" s="74" t="s">
        <v>29697</v>
      </c>
      <c r="D55" s="114" t="s">
        <v>23772</v>
      </c>
      <c r="E55" s="49"/>
      <c r="F55" s="115"/>
      <c r="G55" s="35"/>
      <c r="J55" s="163"/>
      <c r="K55" s="45"/>
      <c r="L55" s="46"/>
      <c r="M55" s="53"/>
      <c r="N55" s="49"/>
      <c r="O55" s="50"/>
      <c r="P55" s="115"/>
      <c r="Q55" s="53"/>
      <c r="R55" s="49"/>
      <c r="S55" s="50"/>
      <c r="T55" s="115"/>
      <c r="U55" s="208">
        <f>ROUND((_15_同援日増２．５*_15・通訳),0)</f>
        <v>293</v>
      </c>
      <c r="V55" s="48"/>
    </row>
    <row r="56" spans="1:22" ht="16.5" customHeight="1" x14ac:dyDescent="0.15">
      <c r="A56" s="41">
        <v>15</v>
      </c>
      <c r="B56" s="41" t="s">
        <v>3883</v>
      </c>
      <c r="C56" s="74" t="s">
        <v>29698</v>
      </c>
      <c r="D56" s="72" t="s">
        <v>17670</v>
      </c>
      <c r="F56" s="57"/>
      <c r="G56" s="35"/>
      <c r="J56" s="299" t="s">
        <v>17556</v>
      </c>
      <c r="K56" s="45" t="s">
        <v>398</v>
      </c>
      <c r="L56" s="46">
        <v>1</v>
      </c>
      <c r="M56" s="43"/>
      <c r="N56" s="37"/>
      <c r="O56" s="38"/>
      <c r="P56" s="79"/>
      <c r="Q56" s="35"/>
      <c r="T56" s="57"/>
      <c r="U56" s="208">
        <f>ROUND((ROUND((_15_同援日増２．５*_15・通訳),0)*_15・２人),0)</f>
        <v>293</v>
      </c>
      <c r="V56" s="48"/>
    </row>
    <row r="57" spans="1:22" ht="16.5" customHeight="1" x14ac:dyDescent="0.15">
      <c r="A57" s="41">
        <v>15</v>
      </c>
      <c r="B57" s="41" t="s">
        <v>29699</v>
      </c>
      <c r="C57" s="74" t="s">
        <v>29700</v>
      </c>
      <c r="D57" s="72" t="s">
        <v>17672</v>
      </c>
      <c r="F57" s="57"/>
      <c r="G57" s="35"/>
      <c r="J57" s="163"/>
      <c r="K57" s="45"/>
      <c r="L57" s="46"/>
      <c r="M57" s="114" t="s">
        <v>17562</v>
      </c>
      <c r="N57" s="49"/>
      <c r="O57" s="50"/>
      <c r="P57" s="115"/>
      <c r="Q57" s="35"/>
      <c r="T57" s="57"/>
      <c r="U57" s="208">
        <f>ROUND((ROUND((_15_同援日増２．５*_15・通訳),0)*(1+_15・盲ろう)),0)</f>
        <v>366</v>
      </c>
      <c r="V57" s="48"/>
    </row>
    <row r="58" spans="1:22" ht="16.5" customHeight="1" x14ac:dyDescent="0.15">
      <c r="A58" s="41">
        <v>15</v>
      </c>
      <c r="B58" s="41" t="s">
        <v>29701</v>
      </c>
      <c r="C58" s="74" t="s">
        <v>29702</v>
      </c>
      <c r="D58" s="72"/>
      <c r="E58" s="168">
        <f>_15_同援日増２．５</f>
        <v>325</v>
      </c>
      <c r="F58" s="57" t="s">
        <v>392</v>
      </c>
      <c r="G58" s="35"/>
      <c r="J58" s="299" t="s">
        <v>17556</v>
      </c>
      <c r="K58" s="45" t="s">
        <v>398</v>
      </c>
      <c r="L58" s="46">
        <v>1</v>
      </c>
      <c r="M58" s="269" t="s">
        <v>17564</v>
      </c>
      <c r="N58" s="37" t="s">
        <v>398</v>
      </c>
      <c r="O58" s="38">
        <v>0.25</v>
      </c>
      <c r="P58" s="79" t="s">
        <v>3575</v>
      </c>
      <c r="Q58" s="43"/>
      <c r="R58" s="37"/>
      <c r="S58" s="38"/>
      <c r="T58" s="79"/>
      <c r="U58" s="208">
        <f>ROUND((ROUND((ROUND((_15_同援日増２．５*_15・通訳),0)*_15・２人),0)*(1+_15・盲ろう)),0)</f>
        <v>366</v>
      </c>
      <c r="V58" s="48"/>
    </row>
    <row r="59" spans="1:22" ht="16.5" customHeight="1" x14ac:dyDescent="0.15">
      <c r="A59" s="41">
        <v>15</v>
      </c>
      <c r="B59" s="41" t="s">
        <v>29703</v>
      </c>
      <c r="C59" s="74" t="s">
        <v>29704</v>
      </c>
      <c r="D59" s="72"/>
      <c r="F59" s="57"/>
      <c r="G59" s="35"/>
      <c r="J59" s="163"/>
      <c r="K59" s="45"/>
      <c r="L59" s="46"/>
      <c r="M59" s="53"/>
      <c r="N59" s="49"/>
      <c r="O59" s="50"/>
      <c r="P59" s="115"/>
      <c r="Q59" s="114" t="s">
        <v>17570</v>
      </c>
      <c r="R59" s="49"/>
      <c r="S59" s="50"/>
      <c r="T59" s="115"/>
      <c r="U59" s="208">
        <f>ROUND((ROUND((_15_同援日増２．５*_15・通訳),0)*(1+_15・区３)),0)</f>
        <v>352</v>
      </c>
      <c r="V59" s="48"/>
    </row>
    <row r="60" spans="1:22" ht="16.5" customHeight="1" x14ac:dyDescent="0.15">
      <c r="A60" s="41">
        <v>15</v>
      </c>
      <c r="B60" s="41" t="s">
        <v>29705</v>
      </c>
      <c r="C60" s="74" t="s">
        <v>29706</v>
      </c>
      <c r="D60" s="72"/>
      <c r="F60" s="57"/>
      <c r="G60" s="35"/>
      <c r="J60" s="299" t="s">
        <v>17556</v>
      </c>
      <c r="K60" s="45" t="s">
        <v>398</v>
      </c>
      <c r="L60" s="46">
        <v>1</v>
      </c>
      <c r="M60" s="43"/>
      <c r="N60" s="37"/>
      <c r="O60" s="38"/>
      <c r="P60" s="79"/>
      <c r="Q60" s="92" t="s">
        <v>17572</v>
      </c>
      <c r="T60" s="57"/>
      <c r="U60" s="208">
        <f>ROUND((ROUND((ROUND((_15_同援日増２．５*_15・通訳),0)*_15・２人),0)*(1+_15・区３)),0)</f>
        <v>352</v>
      </c>
      <c r="V60" s="48"/>
    </row>
    <row r="61" spans="1:22" ht="16.5" customHeight="1" x14ac:dyDescent="0.15">
      <c r="A61" s="41">
        <v>15</v>
      </c>
      <c r="B61" s="41" t="s">
        <v>29707</v>
      </c>
      <c r="C61" s="74" t="s">
        <v>29708</v>
      </c>
      <c r="D61" s="72"/>
      <c r="F61" s="57"/>
      <c r="G61" s="35"/>
      <c r="J61" s="163"/>
      <c r="K61" s="45"/>
      <c r="L61" s="46"/>
      <c r="M61" s="114" t="s">
        <v>17562</v>
      </c>
      <c r="N61" s="49"/>
      <c r="O61" s="50"/>
      <c r="P61" s="115"/>
      <c r="Q61" s="35"/>
      <c r="R61" s="12" t="s">
        <v>398</v>
      </c>
      <c r="S61" s="13">
        <v>0.2</v>
      </c>
      <c r="T61" s="57" t="s">
        <v>3575</v>
      </c>
      <c r="U61" s="208">
        <f>ROUND((ROUND((ROUND((_15_同援日増２．５*_15・通訳),0)*(1+_15・盲ろう)),0)*(1+_15・区３)),0)</f>
        <v>439</v>
      </c>
      <c r="V61" s="48"/>
    </row>
    <row r="62" spans="1:22" ht="16.5" customHeight="1" x14ac:dyDescent="0.15">
      <c r="A62" s="41">
        <v>15</v>
      </c>
      <c r="B62" s="41" t="s">
        <v>29709</v>
      </c>
      <c r="C62" s="74" t="s">
        <v>29710</v>
      </c>
      <c r="D62" s="72"/>
      <c r="F62" s="57"/>
      <c r="G62" s="35"/>
      <c r="J62" s="299" t="s">
        <v>17556</v>
      </c>
      <c r="K62" s="45" t="s">
        <v>398</v>
      </c>
      <c r="L62" s="46">
        <v>1</v>
      </c>
      <c r="M62" s="269" t="s">
        <v>17564</v>
      </c>
      <c r="N62" s="37" t="s">
        <v>398</v>
      </c>
      <c r="O62" s="38">
        <v>0.25</v>
      </c>
      <c r="P62" s="79" t="s">
        <v>3575</v>
      </c>
      <c r="Q62" s="43"/>
      <c r="R62" s="37"/>
      <c r="S62" s="38"/>
      <c r="T62" s="79"/>
      <c r="U62" s="208">
        <f>ROUND((ROUND((ROUND((ROUND((_15_同援日増２．５*_15・通訳),0)*_15・２人),0)*(1+_15・盲ろう)),0)*(1+_15・区３)),0)</f>
        <v>439</v>
      </c>
      <c r="V62" s="48"/>
    </row>
    <row r="63" spans="1:22" ht="16.5" customHeight="1" x14ac:dyDescent="0.15">
      <c r="A63" s="41">
        <v>15</v>
      </c>
      <c r="B63" s="41" t="s">
        <v>29711</v>
      </c>
      <c r="C63" s="74" t="s">
        <v>29712</v>
      </c>
      <c r="D63" s="72"/>
      <c r="F63" s="57"/>
      <c r="G63" s="35"/>
      <c r="J63" s="163"/>
      <c r="K63" s="45"/>
      <c r="L63" s="46"/>
      <c r="M63" s="53"/>
      <c r="N63" s="49"/>
      <c r="O63" s="50"/>
      <c r="P63" s="115"/>
      <c r="Q63" s="114" t="s">
        <v>17580</v>
      </c>
      <c r="R63" s="49"/>
      <c r="S63" s="50"/>
      <c r="T63" s="115"/>
      <c r="U63" s="208">
        <f>ROUND((ROUND((_15_同援日増２．５*_15・通訳),0)*(1+_15・区４)),0)</f>
        <v>410</v>
      </c>
      <c r="V63" s="48"/>
    </row>
    <row r="64" spans="1:22" ht="16.5" customHeight="1" x14ac:dyDescent="0.15">
      <c r="A64" s="41">
        <v>15</v>
      </c>
      <c r="B64" s="41" t="s">
        <v>29713</v>
      </c>
      <c r="C64" s="74" t="s">
        <v>29714</v>
      </c>
      <c r="D64" s="72"/>
      <c r="F64" s="57"/>
      <c r="G64" s="35"/>
      <c r="J64" s="299" t="s">
        <v>17556</v>
      </c>
      <c r="K64" s="45" t="s">
        <v>398</v>
      </c>
      <c r="L64" s="46">
        <v>1</v>
      </c>
      <c r="M64" s="43"/>
      <c r="N64" s="37"/>
      <c r="O64" s="38"/>
      <c r="P64" s="79"/>
      <c r="Q64" s="92" t="s">
        <v>17572</v>
      </c>
      <c r="T64" s="57"/>
      <c r="U64" s="208">
        <f>ROUND((ROUND((ROUND((_15_同援日増２．５*_15・通訳),0)*_15・２人),0)*(1+_15・区４)),0)</f>
        <v>410</v>
      </c>
      <c r="V64" s="48"/>
    </row>
    <row r="65" spans="1:22" ht="16.5" customHeight="1" x14ac:dyDescent="0.15">
      <c r="A65" s="41">
        <v>15</v>
      </c>
      <c r="B65" s="41" t="s">
        <v>3887</v>
      </c>
      <c r="C65" s="74" t="s">
        <v>29715</v>
      </c>
      <c r="D65" s="72"/>
      <c r="F65" s="57"/>
      <c r="G65" s="35"/>
      <c r="J65" s="163"/>
      <c r="K65" s="45"/>
      <c r="L65" s="46"/>
      <c r="M65" s="114" t="s">
        <v>17562</v>
      </c>
      <c r="N65" s="49"/>
      <c r="O65" s="50"/>
      <c r="P65" s="115"/>
      <c r="Q65" s="35"/>
      <c r="R65" s="12" t="s">
        <v>398</v>
      </c>
      <c r="S65" s="13">
        <v>0.4</v>
      </c>
      <c r="T65" s="57" t="s">
        <v>3575</v>
      </c>
      <c r="U65" s="208">
        <f>ROUND((ROUND((ROUND((_15_同援日増２．５*_15・通訳),0)*(1+_15・盲ろう)),0)*(1+_15・区４)),0)</f>
        <v>512</v>
      </c>
      <c r="V65" s="48"/>
    </row>
    <row r="66" spans="1:22" ht="16.5" customHeight="1" x14ac:dyDescent="0.15">
      <c r="A66" s="41">
        <v>15</v>
      </c>
      <c r="B66" s="41" t="s">
        <v>3889</v>
      </c>
      <c r="C66" s="74" t="s">
        <v>29716</v>
      </c>
      <c r="D66" s="122"/>
      <c r="E66" s="37"/>
      <c r="F66" s="79"/>
      <c r="G66" s="35"/>
      <c r="J66" s="299" t="s">
        <v>17556</v>
      </c>
      <c r="K66" s="45" t="s">
        <v>398</v>
      </c>
      <c r="L66" s="46">
        <v>1</v>
      </c>
      <c r="M66" s="269" t="s">
        <v>17564</v>
      </c>
      <c r="N66" s="37" t="s">
        <v>398</v>
      </c>
      <c r="O66" s="38">
        <v>0.25</v>
      </c>
      <c r="P66" s="79" t="s">
        <v>3575</v>
      </c>
      <c r="Q66" s="43"/>
      <c r="R66" s="37"/>
      <c r="S66" s="38"/>
      <c r="T66" s="79"/>
      <c r="U66" s="208">
        <f>ROUND((ROUND((ROUND((ROUND((_15_同援日増２．５*_15・通訳),0)*_15・２人),0)*(1+_15・盲ろう)),0)*(1+_15・区４)),0)</f>
        <v>512</v>
      </c>
      <c r="V66" s="48"/>
    </row>
    <row r="67" spans="1:22" ht="16.5" customHeight="1" x14ac:dyDescent="0.15">
      <c r="A67" s="41">
        <v>15</v>
      </c>
      <c r="B67" s="41" t="s">
        <v>29717</v>
      </c>
      <c r="C67" s="74" t="s">
        <v>29718</v>
      </c>
      <c r="D67" s="114" t="s">
        <v>23814</v>
      </c>
      <c r="E67" s="49"/>
      <c r="F67" s="115"/>
      <c r="G67" s="35"/>
      <c r="J67" s="163"/>
      <c r="K67" s="45"/>
      <c r="L67" s="46"/>
      <c r="M67" s="53"/>
      <c r="N67" s="49"/>
      <c r="O67" s="50"/>
      <c r="P67" s="115"/>
      <c r="Q67" s="53"/>
      <c r="R67" s="49"/>
      <c r="S67" s="50"/>
      <c r="T67" s="115"/>
      <c r="U67" s="208">
        <f>ROUND((_15_同援日増３．０*_15・通訳),0)</f>
        <v>351</v>
      </c>
      <c r="V67" s="48"/>
    </row>
    <row r="68" spans="1:22" ht="16.5" customHeight="1" x14ac:dyDescent="0.15">
      <c r="A68" s="41">
        <v>15</v>
      </c>
      <c r="B68" s="41" t="s">
        <v>29719</v>
      </c>
      <c r="C68" s="74" t="s">
        <v>29720</v>
      </c>
      <c r="D68" s="72" t="s">
        <v>17697</v>
      </c>
      <c r="F68" s="57"/>
      <c r="G68" s="35"/>
      <c r="J68" s="299" t="s">
        <v>17556</v>
      </c>
      <c r="K68" s="45" t="s">
        <v>398</v>
      </c>
      <c r="L68" s="46">
        <v>1</v>
      </c>
      <c r="M68" s="43"/>
      <c r="N68" s="37"/>
      <c r="O68" s="38"/>
      <c r="P68" s="79"/>
      <c r="Q68" s="35"/>
      <c r="T68" s="57"/>
      <c r="U68" s="208">
        <f>ROUND((ROUND((_15_同援日増３．０*_15・通訳),0)*_15・２人),0)</f>
        <v>351</v>
      </c>
      <c r="V68" s="48"/>
    </row>
    <row r="69" spans="1:22" ht="16.5" customHeight="1" x14ac:dyDescent="0.15">
      <c r="A69" s="41">
        <v>15</v>
      </c>
      <c r="B69" s="41" t="s">
        <v>29721</v>
      </c>
      <c r="C69" s="74" t="s">
        <v>29722</v>
      </c>
      <c r="D69" s="72" t="s">
        <v>18387</v>
      </c>
      <c r="F69" s="57"/>
      <c r="G69" s="35"/>
      <c r="J69" s="163"/>
      <c r="K69" s="45"/>
      <c r="L69" s="46"/>
      <c r="M69" s="114" t="s">
        <v>17562</v>
      </c>
      <c r="N69" s="49"/>
      <c r="O69" s="50"/>
      <c r="P69" s="115"/>
      <c r="Q69" s="35"/>
      <c r="T69" s="57"/>
      <c r="U69" s="208">
        <f>ROUND((ROUND((_15_同援日増３．０*_15・通訳),0)*(1+_15・盲ろう)),0)</f>
        <v>439</v>
      </c>
      <c r="V69" s="48"/>
    </row>
    <row r="70" spans="1:22" ht="16.5" customHeight="1" x14ac:dyDescent="0.15">
      <c r="A70" s="41">
        <v>15</v>
      </c>
      <c r="B70" s="41" t="s">
        <v>29723</v>
      </c>
      <c r="C70" s="74" t="s">
        <v>29724</v>
      </c>
      <c r="D70" s="72"/>
      <c r="E70" s="168">
        <f>_15_同援日増３．０</f>
        <v>390</v>
      </c>
      <c r="F70" s="57" t="s">
        <v>392</v>
      </c>
      <c r="G70" s="35"/>
      <c r="J70" s="299" t="s">
        <v>17556</v>
      </c>
      <c r="K70" s="45" t="s">
        <v>398</v>
      </c>
      <c r="L70" s="46">
        <v>1</v>
      </c>
      <c r="M70" s="269" t="s">
        <v>17564</v>
      </c>
      <c r="N70" s="37" t="s">
        <v>398</v>
      </c>
      <c r="O70" s="38">
        <v>0.25</v>
      </c>
      <c r="P70" s="79" t="s">
        <v>3575</v>
      </c>
      <c r="Q70" s="43"/>
      <c r="R70" s="37"/>
      <c r="S70" s="38"/>
      <c r="T70" s="79"/>
      <c r="U70" s="208">
        <f>ROUND((ROUND((ROUND((_15_同援日増３．０*_15・通訳),0)*_15・２人),0)*(1+_15・盲ろう)),0)</f>
        <v>439</v>
      </c>
      <c r="V70" s="48"/>
    </row>
    <row r="71" spans="1:22" ht="16.5" customHeight="1" x14ac:dyDescent="0.15">
      <c r="A71" s="41">
        <v>15</v>
      </c>
      <c r="B71" s="41" t="s">
        <v>29725</v>
      </c>
      <c r="C71" s="74" t="s">
        <v>29726</v>
      </c>
      <c r="D71" s="72"/>
      <c r="F71" s="57"/>
      <c r="G71" s="35"/>
      <c r="J71" s="163"/>
      <c r="K71" s="45"/>
      <c r="L71" s="46"/>
      <c r="M71" s="53"/>
      <c r="N71" s="49"/>
      <c r="O71" s="50"/>
      <c r="P71" s="115"/>
      <c r="Q71" s="114" t="s">
        <v>17570</v>
      </c>
      <c r="R71" s="49"/>
      <c r="S71" s="50"/>
      <c r="T71" s="115"/>
      <c r="U71" s="208">
        <f>ROUND((ROUND((_15_同援日増３．０*_15・通訳),0)*(1+_15・区３)),0)</f>
        <v>421</v>
      </c>
      <c r="V71" s="48"/>
    </row>
    <row r="72" spans="1:22" ht="16.5" customHeight="1" x14ac:dyDescent="0.15">
      <c r="A72" s="41">
        <v>15</v>
      </c>
      <c r="B72" s="41" t="s">
        <v>29727</v>
      </c>
      <c r="C72" s="74" t="s">
        <v>29728</v>
      </c>
      <c r="D72" s="72"/>
      <c r="F72" s="57"/>
      <c r="G72" s="35"/>
      <c r="J72" s="299" t="s">
        <v>17556</v>
      </c>
      <c r="K72" s="45" t="s">
        <v>398</v>
      </c>
      <c r="L72" s="46">
        <v>1</v>
      </c>
      <c r="M72" s="43"/>
      <c r="N72" s="37"/>
      <c r="O72" s="38"/>
      <c r="P72" s="79"/>
      <c r="Q72" s="92" t="s">
        <v>17572</v>
      </c>
      <c r="T72" s="57"/>
      <c r="U72" s="208">
        <f>ROUND((ROUND((ROUND((_15_同援日増３．０*_15・通訳),0)*_15・２人),0)*(1+_15・区３)),0)</f>
        <v>421</v>
      </c>
      <c r="V72" s="48"/>
    </row>
    <row r="73" spans="1:22" ht="16.5" customHeight="1" x14ac:dyDescent="0.15">
      <c r="A73" s="41">
        <v>15</v>
      </c>
      <c r="B73" s="41" t="s">
        <v>29729</v>
      </c>
      <c r="C73" s="74" t="s">
        <v>29730</v>
      </c>
      <c r="D73" s="72"/>
      <c r="F73" s="57"/>
      <c r="G73" s="35"/>
      <c r="J73" s="163"/>
      <c r="K73" s="45"/>
      <c r="L73" s="46"/>
      <c r="M73" s="114" t="s">
        <v>17562</v>
      </c>
      <c r="N73" s="49"/>
      <c r="O73" s="50"/>
      <c r="P73" s="115"/>
      <c r="Q73" s="35"/>
      <c r="R73" s="12" t="s">
        <v>398</v>
      </c>
      <c r="S73" s="13">
        <v>0.2</v>
      </c>
      <c r="T73" s="57" t="s">
        <v>3575</v>
      </c>
      <c r="U73" s="208">
        <f>ROUND((ROUND((ROUND((_15_同援日増３．０*_15・通訳),0)*(1+_15・盲ろう)),0)*(1+_15・区３)),0)</f>
        <v>527</v>
      </c>
      <c r="V73" s="48"/>
    </row>
    <row r="74" spans="1:22" ht="16.5" customHeight="1" x14ac:dyDescent="0.15">
      <c r="A74" s="41">
        <v>15</v>
      </c>
      <c r="B74" s="41" t="s">
        <v>29731</v>
      </c>
      <c r="C74" s="74" t="s">
        <v>29732</v>
      </c>
      <c r="D74" s="72"/>
      <c r="F74" s="57"/>
      <c r="G74" s="35"/>
      <c r="J74" s="299" t="s">
        <v>17556</v>
      </c>
      <c r="K74" s="45" t="s">
        <v>398</v>
      </c>
      <c r="L74" s="46">
        <v>1</v>
      </c>
      <c r="M74" s="269" t="s">
        <v>17564</v>
      </c>
      <c r="N74" s="37" t="s">
        <v>398</v>
      </c>
      <c r="O74" s="38">
        <v>0.25</v>
      </c>
      <c r="P74" s="79" t="s">
        <v>3575</v>
      </c>
      <c r="Q74" s="43"/>
      <c r="R74" s="37"/>
      <c r="S74" s="38"/>
      <c r="T74" s="79"/>
      <c r="U74" s="208">
        <f>ROUND((ROUND((ROUND((ROUND((_15_同援日増３．０*_15・通訳),0)*_15・２人),0)*(1+_15・盲ろう)),0)*(1+_15・区３)),0)</f>
        <v>527</v>
      </c>
      <c r="V74" s="48"/>
    </row>
    <row r="75" spans="1:22" ht="16.5" customHeight="1" x14ac:dyDescent="0.15">
      <c r="A75" s="41">
        <v>15</v>
      </c>
      <c r="B75" s="41" t="s">
        <v>3893</v>
      </c>
      <c r="C75" s="74" t="s">
        <v>29733</v>
      </c>
      <c r="D75" s="72"/>
      <c r="F75" s="57"/>
      <c r="G75" s="35"/>
      <c r="J75" s="163"/>
      <c r="K75" s="45"/>
      <c r="L75" s="46"/>
      <c r="M75" s="53"/>
      <c r="N75" s="49"/>
      <c r="O75" s="50"/>
      <c r="P75" s="115"/>
      <c r="Q75" s="114" t="s">
        <v>17580</v>
      </c>
      <c r="R75" s="49"/>
      <c r="S75" s="50"/>
      <c r="T75" s="115"/>
      <c r="U75" s="208">
        <f>ROUND((ROUND((_15_同援日増３．０*_15・通訳),0)*(1+_15・区４)),0)</f>
        <v>491</v>
      </c>
      <c r="V75" s="48"/>
    </row>
    <row r="76" spans="1:22" ht="16.5" customHeight="1" x14ac:dyDescent="0.15">
      <c r="A76" s="41">
        <v>15</v>
      </c>
      <c r="B76" s="41" t="s">
        <v>3895</v>
      </c>
      <c r="C76" s="74" t="s">
        <v>29734</v>
      </c>
      <c r="D76" s="72"/>
      <c r="F76" s="57"/>
      <c r="G76" s="35"/>
      <c r="J76" s="299" t="s">
        <v>17556</v>
      </c>
      <c r="K76" s="45" t="s">
        <v>398</v>
      </c>
      <c r="L76" s="46">
        <v>1</v>
      </c>
      <c r="M76" s="43"/>
      <c r="N76" s="37"/>
      <c r="O76" s="38"/>
      <c r="P76" s="79"/>
      <c r="Q76" s="92" t="s">
        <v>17572</v>
      </c>
      <c r="T76" s="57"/>
      <c r="U76" s="208">
        <f>ROUND((ROUND((ROUND((_15_同援日増３．０*_15・通訳),0)*_15・２人),0)*(1+_15・区４)),0)</f>
        <v>491</v>
      </c>
      <c r="V76" s="48"/>
    </row>
    <row r="77" spans="1:22" ht="16.5" customHeight="1" x14ac:dyDescent="0.15">
      <c r="A77" s="41">
        <v>15</v>
      </c>
      <c r="B77" s="41" t="s">
        <v>29735</v>
      </c>
      <c r="C77" s="74" t="s">
        <v>29736</v>
      </c>
      <c r="D77" s="72"/>
      <c r="F77" s="57"/>
      <c r="G77" s="35"/>
      <c r="J77" s="163"/>
      <c r="K77" s="45"/>
      <c r="L77" s="46"/>
      <c r="M77" s="114" t="s">
        <v>17562</v>
      </c>
      <c r="N77" s="49"/>
      <c r="O77" s="50"/>
      <c r="P77" s="115"/>
      <c r="Q77" s="35"/>
      <c r="R77" s="12" t="s">
        <v>398</v>
      </c>
      <c r="S77" s="13">
        <v>0.4</v>
      </c>
      <c r="T77" s="57" t="s">
        <v>3575</v>
      </c>
      <c r="U77" s="208">
        <f>ROUND((ROUND((ROUND((_15_同援日増３．０*_15・通訳),0)*(1+_15・盲ろう)),0)*(1+_15・区４)),0)</f>
        <v>615</v>
      </c>
      <c r="V77" s="48"/>
    </row>
    <row r="78" spans="1:22" ht="16.5" customHeight="1" x14ac:dyDescent="0.15">
      <c r="A78" s="41">
        <v>15</v>
      </c>
      <c r="B78" s="41" t="s">
        <v>29737</v>
      </c>
      <c r="C78" s="74" t="s">
        <v>29738</v>
      </c>
      <c r="D78" s="122"/>
      <c r="E78" s="37"/>
      <c r="F78" s="79"/>
      <c r="G78" s="35"/>
      <c r="J78" s="299" t="s">
        <v>17556</v>
      </c>
      <c r="K78" s="45" t="s">
        <v>398</v>
      </c>
      <c r="L78" s="46">
        <v>1</v>
      </c>
      <c r="M78" s="269" t="s">
        <v>17564</v>
      </c>
      <c r="N78" s="37" t="s">
        <v>398</v>
      </c>
      <c r="O78" s="38">
        <v>0.25</v>
      </c>
      <c r="P78" s="79" t="s">
        <v>3575</v>
      </c>
      <c r="Q78" s="43"/>
      <c r="R78" s="37"/>
      <c r="S78" s="38"/>
      <c r="T78" s="79"/>
      <c r="U78" s="208">
        <f>ROUND((ROUND((ROUND((ROUND((_15_同援日増３．０*_15・通訳),0)*_15・２人),0)*(1+_15・盲ろう)),0)*(1+_15・区４)),0)</f>
        <v>615</v>
      </c>
      <c r="V78" s="48"/>
    </row>
    <row r="79" spans="1:22" ht="16.5" customHeight="1" x14ac:dyDescent="0.15">
      <c r="A79" s="41">
        <v>15</v>
      </c>
      <c r="B79" s="41" t="s">
        <v>29739</v>
      </c>
      <c r="C79" s="74" t="s">
        <v>29740</v>
      </c>
      <c r="D79" s="114" t="s">
        <v>23858</v>
      </c>
      <c r="E79" s="49"/>
      <c r="F79" s="115"/>
      <c r="G79" s="35"/>
      <c r="J79" s="163"/>
      <c r="K79" s="45"/>
      <c r="L79" s="46"/>
      <c r="M79" s="53"/>
      <c r="N79" s="49"/>
      <c r="O79" s="50"/>
      <c r="P79" s="115"/>
      <c r="Q79" s="53"/>
      <c r="R79" s="49"/>
      <c r="S79" s="50"/>
      <c r="T79" s="115"/>
      <c r="U79" s="208">
        <f>ROUND((_15_同援日増３．５*_15・通訳),0)</f>
        <v>410</v>
      </c>
      <c r="V79" s="48"/>
    </row>
    <row r="80" spans="1:22" ht="16.5" customHeight="1" x14ac:dyDescent="0.15">
      <c r="A80" s="41">
        <v>15</v>
      </c>
      <c r="B80" s="41" t="s">
        <v>29741</v>
      </c>
      <c r="C80" s="74" t="s">
        <v>29742</v>
      </c>
      <c r="D80" s="72" t="s">
        <v>17724</v>
      </c>
      <c r="F80" s="57"/>
      <c r="G80" s="35"/>
      <c r="J80" s="299" t="s">
        <v>17556</v>
      </c>
      <c r="K80" s="45" t="s">
        <v>398</v>
      </c>
      <c r="L80" s="46">
        <v>1</v>
      </c>
      <c r="M80" s="43"/>
      <c r="N80" s="37"/>
      <c r="O80" s="38"/>
      <c r="P80" s="79"/>
      <c r="Q80" s="35"/>
      <c r="T80" s="57"/>
      <c r="U80" s="208">
        <f>ROUND((ROUND((_15_同援日増３．５*_15・通訳),0)*_15・２人),0)</f>
        <v>410</v>
      </c>
      <c r="V80" s="48"/>
    </row>
    <row r="81" spans="1:22" ht="16.5" customHeight="1" x14ac:dyDescent="0.15">
      <c r="A81" s="41">
        <v>15</v>
      </c>
      <c r="B81" s="41" t="s">
        <v>29743</v>
      </c>
      <c r="C81" s="74" t="s">
        <v>29744</v>
      </c>
      <c r="D81" s="72" t="s">
        <v>17726</v>
      </c>
      <c r="F81" s="57"/>
      <c r="G81" s="35"/>
      <c r="J81" s="163"/>
      <c r="K81" s="45"/>
      <c r="L81" s="46"/>
      <c r="M81" s="114" t="s">
        <v>17562</v>
      </c>
      <c r="N81" s="49"/>
      <c r="O81" s="50"/>
      <c r="P81" s="115"/>
      <c r="Q81" s="35"/>
      <c r="T81" s="57"/>
      <c r="U81" s="208">
        <f>ROUND((ROUND((_15_同援日増３．５*_15・通訳),0)*(1+_15・盲ろう)),0)</f>
        <v>513</v>
      </c>
      <c r="V81" s="48"/>
    </row>
    <row r="82" spans="1:22" ht="16.5" customHeight="1" x14ac:dyDescent="0.15">
      <c r="A82" s="41">
        <v>15</v>
      </c>
      <c r="B82" s="41" t="s">
        <v>29745</v>
      </c>
      <c r="C82" s="74" t="s">
        <v>29746</v>
      </c>
      <c r="D82" s="72"/>
      <c r="E82" s="168">
        <f>_15_同援日増３．５</f>
        <v>455</v>
      </c>
      <c r="F82" s="57" t="s">
        <v>392</v>
      </c>
      <c r="G82" s="35"/>
      <c r="J82" s="299" t="s">
        <v>17556</v>
      </c>
      <c r="K82" s="45" t="s">
        <v>398</v>
      </c>
      <c r="L82" s="46">
        <v>1</v>
      </c>
      <c r="M82" s="269" t="s">
        <v>17564</v>
      </c>
      <c r="N82" s="37" t="s">
        <v>398</v>
      </c>
      <c r="O82" s="38">
        <v>0.25</v>
      </c>
      <c r="P82" s="79" t="s">
        <v>3575</v>
      </c>
      <c r="Q82" s="43"/>
      <c r="R82" s="37"/>
      <c r="S82" s="38"/>
      <c r="T82" s="79"/>
      <c r="U82" s="208">
        <f>ROUND((ROUND((ROUND((_15_同援日増３．５*_15・通訳),0)*_15・２人),0)*(1+_15・盲ろう)),0)</f>
        <v>513</v>
      </c>
      <c r="V82" s="48"/>
    </row>
    <row r="83" spans="1:22" ht="16.5" customHeight="1" x14ac:dyDescent="0.15">
      <c r="A83" s="41">
        <v>15</v>
      </c>
      <c r="B83" s="41" t="s">
        <v>29747</v>
      </c>
      <c r="C83" s="74" t="s">
        <v>29748</v>
      </c>
      <c r="D83" s="72"/>
      <c r="F83" s="57"/>
      <c r="G83" s="35"/>
      <c r="J83" s="163"/>
      <c r="K83" s="45"/>
      <c r="L83" s="46"/>
      <c r="M83" s="53"/>
      <c r="N83" s="49"/>
      <c r="O83" s="50"/>
      <c r="P83" s="115"/>
      <c r="Q83" s="114" t="s">
        <v>17570</v>
      </c>
      <c r="R83" s="49"/>
      <c r="S83" s="50"/>
      <c r="T83" s="115"/>
      <c r="U83" s="208">
        <f>ROUND((ROUND((_15_同援日増３．５*_15・通訳),0)*(1+_15・区３)),0)</f>
        <v>492</v>
      </c>
      <c r="V83" s="48"/>
    </row>
    <row r="84" spans="1:22" ht="16.5" customHeight="1" x14ac:dyDescent="0.15">
      <c r="A84" s="41">
        <v>15</v>
      </c>
      <c r="B84" s="41" t="s">
        <v>29749</v>
      </c>
      <c r="C84" s="74" t="s">
        <v>29750</v>
      </c>
      <c r="D84" s="72"/>
      <c r="F84" s="57"/>
      <c r="G84" s="35"/>
      <c r="J84" s="299" t="s">
        <v>17556</v>
      </c>
      <c r="K84" s="45" t="s">
        <v>398</v>
      </c>
      <c r="L84" s="46">
        <v>1</v>
      </c>
      <c r="M84" s="43"/>
      <c r="N84" s="37"/>
      <c r="O84" s="38"/>
      <c r="P84" s="79"/>
      <c r="Q84" s="92" t="s">
        <v>17572</v>
      </c>
      <c r="T84" s="57"/>
      <c r="U84" s="208">
        <f>ROUND((ROUND((ROUND((_15_同援日増３．５*_15・通訳),0)*_15・２人),0)*(1+_15・区３)),0)</f>
        <v>492</v>
      </c>
      <c r="V84" s="48"/>
    </row>
    <row r="85" spans="1:22" ht="16.5" customHeight="1" x14ac:dyDescent="0.15">
      <c r="A85" s="41">
        <v>15</v>
      </c>
      <c r="B85" s="41" t="s">
        <v>3899</v>
      </c>
      <c r="C85" s="74" t="s">
        <v>29751</v>
      </c>
      <c r="D85" s="72"/>
      <c r="F85" s="57"/>
      <c r="G85" s="35"/>
      <c r="J85" s="163"/>
      <c r="K85" s="45"/>
      <c r="L85" s="46"/>
      <c r="M85" s="114" t="s">
        <v>17562</v>
      </c>
      <c r="N85" s="49"/>
      <c r="O85" s="50"/>
      <c r="P85" s="115"/>
      <c r="Q85" s="35"/>
      <c r="R85" s="12" t="s">
        <v>398</v>
      </c>
      <c r="S85" s="13">
        <v>0.2</v>
      </c>
      <c r="T85" s="57" t="s">
        <v>3575</v>
      </c>
      <c r="U85" s="208">
        <f>ROUND((ROUND((ROUND((_15_同援日増３．５*_15・通訳),0)*(1+_15・盲ろう)),0)*(1+_15・区３)),0)</f>
        <v>616</v>
      </c>
      <c r="V85" s="48"/>
    </row>
    <row r="86" spans="1:22" ht="16.5" customHeight="1" x14ac:dyDescent="0.15">
      <c r="A86" s="41">
        <v>15</v>
      </c>
      <c r="B86" s="41" t="s">
        <v>3901</v>
      </c>
      <c r="C86" s="74" t="s">
        <v>29752</v>
      </c>
      <c r="D86" s="72"/>
      <c r="F86" s="57"/>
      <c r="G86" s="35"/>
      <c r="J86" s="299" t="s">
        <v>17556</v>
      </c>
      <c r="K86" s="45" t="s">
        <v>398</v>
      </c>
      <c r="L86" s="46">
        <v>1</v>
      </c>
      <c r="M86" s="269" t="s">
        <v>17564</v>
      </c>
      <c r="N86" s="37" t="s">
        <v>398</v>
      </c>
      <c r="O86" s="38">
        <v>0.25</v>
      </c>
      <c r="P86" s="79" t="s">
        <v>3575</v>
      </c>
      <c r="Q86" s="43"/>
      <c r="R86" s="37"/>
      <c r="S86" s="38"/>
      <c r="T86" s="79"/>
      <c r="U86" s="208">
        <f>ROUND((ROUND((ROUND((ROUND((_15_同援日増３．５*_15・通訳),0)*_15・２人),0)*(1+_15・盲ろう)),0)*(1+_15・区３)),0)</f>
        <v>616</v>
      </c>
      <c r="V86" s="48"/>
    </row>
    <row r="87" spans="1:22" ht="16.5" customHeight="1" x14ac:dyDescent="0.15">
      <c r="A87" s="41">
        <v>15</v>
      </c>
      <c r="B87" s="41" t="s">
        <v>29753</v>
      </c>
      <c r="C87" s="74" t="s">
        <v>29754</v>
      </c>
      <c r="D87" s="72"/>
      <c r="F87" s="57"/>
      <c r="G87" s="35"/>
      <c r="J87" s="163"/>
      <c r="K87" s="45"/>
      <c r="L87" s="46"/>
      <c r="M87" s="53"/>
      <c r="N87" s="49"/>
      <c r="O87" s="50"/>
      <c r="P87" s="115"/>
      <c r="Q87" s="114" t="s">
        <v>17580</v>
      </c>
      <c r="R87" s="49"/>
      <c r="S87" s="50"/>
      <c r="T87" s="115"/>
      <c r="U87" s="208">
        <f>ROUND((ROUND((_15_同援日増３．５*_15・通訳),0)*(1+_15・区４)),0)</f>
        <v>574</v>
      </c>
      <c r="V87" s="48"/>
    </row>
    <row r="88" spans="1:22" ht="16.5" customHeight="1" x14ac:dyDescent="0.15">
      <c r="A88" s="41">
        <v>15</v>
      </c>
      <c r="B88" s="41" t="s">
        <v>29755</v>
      </c>
      <c r="C88" s="74" t="s">
        <v>29756</v>
      </c>
      <c r="D88" s="72"/>
      <c r="F88" s="57"/>
      <c r="G88" s="35"/>
      <c r="J88" s="299" t="s">
        <v>17556</v>
      </c>
      <c r="K88" s="45" t="s">
        <v>398</v>
      </c>
      <c r="L88" s="46">
        <v>1</v>
      </c>
      <c r="M88" s="43"/>
      <c r="N88" s="37"/>
      <c r="O88" s="38"/>
      <c r="P88" s="79"/>
      <c r="Q88" s="92" t="s">
        <v>17572</v>
      </c>
      <c r="T88" s="57"/>
      <c r="U88" s="208">
        <f>ROUND((ROUND((ROUND((_15_同援日増３．５*_15・通訳),0)*_15・２人),0)*(1+_15・区４)),0)</f>
        <v>574</v>
      </c>
      <c r="V88" s="48"/>
    </row>
    <row r="89" spans="1:22" ht="16.5" customHeight="1" x14ac:dyDescent="0.15">
      <c r="A89" s="41">
        <v>15</v>
      </c>
      <c r="B89" s="41" t="s">
        <v>29757</v>
      </c>
      <c r="C89" s="74" t="s">
        <v>29758</v>
      </c>
      <c r="D89" s="72"/>
      <c r="F89" s="57"/>
      <c r="G89" s="35"/>
      <c r="J89" s="163"/>
      <c r="K89" s="45"/>
      <c r="L89" s="46"/>
      <c r="M89" s="114" t="s">
        <v>17562</v>
      </c>
      <c r="N89" s="49"/>
      <c r="O89" s="50"/>
      <c r="P89" s="115"/>
      <c r="Q89" s="35"/>
      <c r="R89" s="12" t="s">
        <v>398</v>
      </c>
      <c r="S89" s="13">
        <v>0.4</v>
      </c>
      <c r="T89" s="57" t="s">
        <v>3575</v>
      </c>
      <c r="U89" s="208">
        <f>ROUND((ROUND((ROUND((_15_同援日増３．５*_15・通訳),0)*(1+_15・盲ろう)),0)*(1+_15・区４)),0)</f>
        <v>718</v>
      </c>
      <c r="V89" s="48"/>
    </row>
    <row r="90" spans="1:22" ht="16.5" customHeight="1" x14ac:dyDescent="0.15">
      <c r="A90" s="41">
        <v>15</v>
      </c>
      <c r="B90" s="41" t="s">
        <v>29759</v>
      </c>
      <c r="C90" s="74" t="s">
        <v>29760</v>
      </c>
      <c r="D90" s="122"/>
      <c r="E90" s="37"/>
      <c r="F90" s="79"/>
      <c r="G90" s="35"/>
      <c r="J90" s="299" t="s">
        <v>17556</v>
      </c>
      <c r="K90" s="45" t="s">
        <v>398</v>
      </c>
      <c r="L90" s="46">
        <v>1</v>
      </c>
      <c r="M90" s="269" t="s">
        <v>17564</v>
      </c>
      <c r="N90" s="37" t="s">
        <v>398</v>
      </c>
      <c r="O90" s="38">
        <v>0.25</v>
      </c>
      <c r="P90" s="79" t="s">
        <v>3575</v>
      </c>
      <c r="Q90" s="43"/>
      <c r="R90" s="37"/>
      <c r="S90" s="38"/>
      <c r="T90" s="79"/>
      <c r="U90" s="208">
        <f>ROUND((ROUND((ROUND((ROUND((_15_同援日増３．５*_15・通訳),0)*_15・２人),0)*(1+_15・盲ろう)),0)*(1+_15・区４)),0)</f>
        <v>718</v>
      </c>
      <c r="V90" s="48"/>
    </row>
    <row r="91" spans="1:22" ht="16.5" customHeight="1" x14ac:dyDescent="0.15">
      <c r="A91" s="41">
        <v>15</v>
      </c>
      <c r="B91" s="41" t="s">
        <v>29761</v>
      </c>
      <c r="C91" s="74" t="s">
        <v>29762</v>
      </c>
      <c r="D91" s="114" t="s">
        <v>23903</v>
      </c>
      <c r="E91" s="49"/>
      <c r="F91" s="115"/>
      <c r="G91" s="35"/>
      <c r="J91" s="163"/>
      <c r="K91" s="45"/>
      <c r="L91" s="46"/>
      <c r="M91" s="53"/>
      <c r="N91" s="49"/>
      <c r="O91" s="50"/>
      <c r="P91" s="115"/>
      <c r="Q91" s="53"/>
      <c r="R91" s="49"/>
      <c r="S91" s="50"/>
      <c r="T91" s="115"/>
      <c r="U91" s="208">
        <f>ROUND((_15_同援日増４．０*_15・通訳),0)</f>
        <v>468</v>
      </c>
      <c r="V91" s="48"/>
    </row>
    <row r="92" spans="1:22" ht="16.5" customHeight="1" x14ac:dyDescent="0.15">
      <c r="A92" s="41">
        <v>15</v>
      </c>
      <c r="B92" s="41" t="s">
        <v>29763</v>
      </c>
      <c r="C92" s="74" t="s">
        <v>29764</v>
      </c>
      <c r="D92" s="72" t="s">
        <v>17751</v>
      </c>
      <c r="F92" s="57"/>
      <c r="G92" s="35"/>
      <c r="J92" s="299" t="s">
        <v>17556</v>
      </c>
      <c r="K92" s="45" t="s">
        <v>398</v>
      </c>
      <c r="L92" s="46">
        <v>1</v>
      </c>
      <c r="M92" s="43"/>
      <c r="N92" s="37"/>
      <c r="O92" s="38"/>
      <c r="P92" s="79"/>
      <c r="Q92" s="35"/>
      <c r="T92" s="57"/>
      <c r="U92" s="208">
        <f>ROUND((ROUND((_15_同援日増４．０*_15・通訳),0)*_15・２人),0)</f>
        <v>468</v>
      </c>
      <c r="V92" s="48"/>
    </row>
    <row r="93" spans="1:22" ht="16.5" customHeight="1" x14ac:dyDescent="0.15">
      <c r="A93" s="41">
        <v>15</v>
      </c>
      <c r="B93" s="41" t="s">
        <v>29765</v>
      </c>
      <c r="C93" s="74" t="s">
        <v>29766</v>
      </c>
      <c r="D93" s="72" t="s">
        <v>17753</v>
      </c>
      <c r="F93" s="57"/>
      <c r="G93" s="35"/>
      <c r="J93" s="163"/>
      <c r="K93" s="45"/>
      <c r="L93" s="46"/>
      <c r="M93" s="114" t="s">
        <v>17562</v>
      </c>
      <c r="N93" s="49"/>
      <c r="O93" s="50"/>
      <c r="P93" s="115"/>
      <c r="Q93" s="35"/>
      <c r="T93" s="57"/>
      <c r="U93" s="208">
        <f>ROUND((ROUND((_15_同援日増４．０*_15・通訳),0)*(1+_15・盲ろう)),0)</f>
        <v>585</v>
      </c>
      <c r="V93" s="48"/>
    </row>
    <row r="94" spans="1:22" ht="16.5" customHeight="1" x14ac:dyDescent="0.15">
      <c r="A94" s="41">
        <v>15</v>
      </c>
      <c r="B94" s="41" t="s">
        <v>29767</v>
      </c>
      <c r="C94" s="74" t="s">
        <v>29768</v>
      </c>
      <c r="D94" s="72"/>
      <c r="E94" s="168">
        <f>_15_同援日増４．０</f>
        <v>520</v>
      </c>
      <c r="F94" s="57" t="s">
        <v>392</v>
      </c>
      <c r="G94" s="35"/>
      <c r="J94" s="299" t="s">
        <v>17556</v>
      </c>
      <c r="K94" s="45" t="s">
        <v>398</v>
      </c>
      <c r="L94" s="46">
        <v>1</v>
      </c>
      <c r="M94" s="269" t="s">
        <v>17564</v>
      </c>
      <c r="N94" s="37" t="s">
        <v>398</v>
      </c>
      <c r="O94" s="38">
        <v>0.25</v>
      </c>
      <c r="P94" s="79" t="s">
        <v>3575</v>
      </c>
      <c r="Q94" s="43"/>
      <c r="R94" s="37"/>
      <c r="S94" s="38"/>
      <c r="T94" s="79"/>
      <c r="U94" s="208">
        <f>ROUND((ROUND((ROUND((_15_同援日増４．０*_15・通訳),0)*_15・２人),0)*(1+_15・盲ろう)),0)</f>
        <v>585</v>
      </c>
      <c r="V94" s="48"/>
    </row>
    <row r="95" spans="1:22" ht="16.5" customHeight="1" x14ac:dyDescent="0.15">
      <c r="A95" s="41">
        <v>15</v>
      </c>
      <c r="B95" s="41" t="s">
        <v>3905</v>
      </c>
      <c r="C95" s="74" t="s">
        <v>29769</v>
      </c>
      <c r="D95" s="72"/>
      <c r="F95" s="57"/>
      <c r="G95" s="35"/>
      <c r="J95" s="163"/>
      <c r="K95" s="45"/>
      <c r="L95" s="46"/>
      <c r="M95" s="53"/>
      <c r="N95" s="49"/>
      <c r="O95" s="50"/>
      <c r="P95" s="115"/>
      <c r="Q95" s="114" t="s">
        <v>17570</v>
      </c>
      <c r="R95" s="49"/>
      <c r="S95" s="50"/>
      <c r="T95" s="115"/>
      <c r="U95" s="208">
        <f>ROUND((ROUND((_15_同援日増４．０*_15・通訳),0)*(1+_15・区３)),0)</f>
        <v>562</v>
      </c>
      <c r="V95" s="48"/>
    </row>
    <row r="96" spans="1:22" ht="16.5" customHeight="1" x14ac:dyDescent="0.15">
      <c r="A96" s="41">
        <v>15</v>
      </c>
      <c r="B96" s="41" t="s">
        <v>3907</v>
      </c>
      <c r="C96" s="74" t="s">
        <v>29770</v>
      </c>
      <c r="D96" s="72"/>
      <c r="F96" s="57"/>
      <c r="G96" s="35"/>
      <c r="J96" s="299" t="s">
        <v>17556</v>
      </c>
      <c r="K96" s="45" t="s">
        <v>398</v>
      </c>
      <c r="L96" s="46">
        <v>1</v>
      </c>
      <c r="M96" s="43"/>
      <c r="N96" s="37"/>
      <c r="O96" s="38"/>
      <c r="P96" s="79"/>
      <c r="Q96" s="92" t="s">
        <v>17572</v>
      </c>
      <c r="T96" s="57"/>
      <c r="U96" s="208">
        <f>ROUND((ROUND((ROUND((_15_同援日増４．０*_15・通訳),0)*_15・２人),0)*(1+_15・区３)),0)</f>
        <v>562</v>
      </c>
      <c r="V96" s="48"/>
    </row>
    <row r="97" spans="1:22" ht="16.5" customHeight="1" x14ac:dyDescent="0.15">
      <c r="A97" s="41">
        <v>15</v>
      </c>
      <c r="B97" s="41" t="s">
        <v>29771</v>
      </c>
      <c r="C97" s="74" t="s">
        <v>29772</v>
      </c>
      <c r="D97" s="72"/>
      <c r="F97" s="57"/>
      <c r="G97" s="35"/>
      <c r="J97" s="163"/>
      <c r="K97" s="45"/>
      <c r="L97" s="46"/>
      <c r="M97" s="114" t="s">
        <v>17562</v>
      </c>
      <c r="N97" s="49"/>
      <c r="O97" s="50"/>
      <c r="P97" s="115"/>
      <c r="Q97" s="35"/>
      <c r="R97" s="12" t="s">
        <v>398</v>
      </c>
      <c r="S97" s="13">
        <v>0.2</v>
      </c>
      <c r="T97" s="57" t="s">
        <v>3575</v>
      </c>
      <c r="U97" s="208">
        <f>ROUND((ROUND((ROUND((_15_同援日増４．０*_15・通訳),0)*(1+_15・盲ろう)),0)*(1+_15・区３)),0)</f>
        <v>702</v>
      </c>
      <c r="V97" s="48"/>
    </row>
    <row r="98" spans="1:22" ht="16.5" customHeight="1" x14ac:dyDescent="0.15">
      <c r="A98" s="41">
        <v>15</v>
      </c>
      <c r="B98" s="41" t="s">
        <v>29773</v>
      </c>
      <c r="C98" s="74" t="s">
        <v>29774</v>
      </c>
      <c r="D98" s="72"/>
      <c r="F98" s="57"/>
      <c r="G98" s="35"/>
      <c r="J98" s="299" t="s">
        <v>17556</v>
      </c>
      <c r="K98" s="45" t="s">
        <v>398</v>
      </c>
      <c r="L98" s="46">
        <v>1</v>
      </c>
      <c r="M98" s="269" t="s">
        <v>17564</v>
      </c>
      <c r="N98" s="37" t="s">
        <v>398</v>
      </c>
      <c r="O98" s="38">
        <v>0.25</v>
      </c>
      <c r="P98" s="79" t="s">
        <v>3575</v>
      </c>
      <c r="Q98" s="43"/>
      <c r="R98" s="37"/>
      <c r="S98" s="38"/>
      <c r="T98" s="79"/>
      <c r="U98" s="208">
        <f>ROUND((ROUND((ROUND((ROUND((_15_同援日増４．０*_15・通訳),0)*_15・２人),0)*(1+_15・盲ろう)),0)*(1+_15・区３)),0)</f>
        <v>702</v>
      </c>
      <c r="V98" s="48"/>
    </row>
    <row r="99" spans="1:22" ht="16.5" customHeight="1" x14ac:dyDescent="0.15">
      <c r="A99" s="41">
        <v>15</v>
      </c>
      <c r="B99" s="41" t="s">
        <v>29775</v>
      </c>
      <c r="C99" s="74" t="s">
        <v>29776</v>
      </c>
      <c r="D99" s="72"/>
      <c r="F99" s="57"/>
      <c r="G99" s="35"/>
      <c r="J99" s="163"/>
      <c r="K99" s="45"/>
      <c r="L99" s="46"/>
      <c r="M99" s="53"/>
      <c r="N99" s="49"/>
      <c r="O99" s="50"/>
      <c r="P99" s="115"/>
      <c r="Q99" s="114" t="s">
        <v>17580</v>
      </c>
      <c r="R99" s="49"/>
      <c r="S99" s="50"/>
      <c r="T99" s="115"/>
      <c r="U99" s="208">
        <f>ROUND((ROUND((_15_同援日増４．０*_15・通訳),0)*(1+_15・区４)),0)</f>
        <v>655</v>
      </c>
      <c r="V99" s="48"/>
    </row>
    <row r="100" spans="1:22" ht="16.5" customHeight="1" x14ac:dyDescent="0.15">
      <c r="A100" s="41">
        <v>15</v>
      </c>
      <c r="B100" s="41" t="s">
        <v>29777</v>
      </c>
      <c r="C100" s="74" t="s">
        <v>29778</v>
      </c>
      <c r="D100" s="72"/>
      <c r="F100" s="57"/>
      <c r="G100" s="35"/>
      <c r="J100" s="299" t="s">
        <v>17556</v>
      </c>
      <c r="K100" s="45" t="s">
        <v>398</v>
      </c>
      <c r="L100" s="46">
        <v>1</v>
      </c>
      <c r="M100" s="43"/>
      <c r="N100" s="37"/>
      <c r="O100" s="38"/>
      <c r="P100" s="79"/>
      <c r="Q100" s="92" t="s">
        <v>17572</v>
      </c>
      <c r="T100" s="57"/>
      <c r="U100" s="208">
        <f>ROUND((ROUND((ROUND((_15_同援日増４．０*_15・通訳),0)*_15・２人),0)*(1+_15・区４)),0)</f>
        <v>655</v>
      </c>
      <c r="V100" s="48"/>
    </row>
    <row r="101" spans="1:22" ht="16.5" customHeight="1" x14ac:dyDescent="0.15">
      <c r="A101" s="41">
        <v>15</v>
      </c>
      <c r="B101" s="41" t="s">
        <v>29779</v>
      </c>
      <c r="C101" s="74" t="s">
        <v>29780</v>
      </c>
      <c r="D101" s="72"/>
      <c r="F101" s="57"/>
      <c r="G101" s="35"/>
      <c r="J101" s="163"/>
      <c r="K101" s="45"/>
      <c r="L101" s="46"/>
      <c r="M101" s="114" t="s">
        <v>17562</v>
      </c>
      <c r="N101" s="49"/>
      <c r="O101" s="50"/>
      <c r="P101" s="115"/>
      <c r="Q101" s="35"/>
      <c r="R101" s="12" t="s">
        <v>398</v>
      </c>
      <c r="S101" s="13">
        <v>0.4</v>
      </c>
      <c r="T101" s="57" t="s">
        <v>3575</v>
      </c>
      <c r="U101" s="208">
        <f>ROUND((ROUND((ROUND((_15_同援日増４．０*_15・通訳),0)*(1+_15・盲ろう)),0)*(1+_15・区４)),0)</f>
        <v>819</v>
      </c>
      <c r="V101" s="48"/>
    </row>
    <row r="102" spans="1:22" ht="16.5" customHeight="1" x14ac:dyDescent="0.15">
      <c r="A102" s="41">
        <v>15</v>
      </c>
      <c r="B102" s="41" t="s">
        <v>29781</v>
      </c>
      <c r="C102" s="74" t="s">
        <v>29782</v>
      </c>
      <c r="D102" s="122"/>
      <c r="E102" s="37"/>
      <c r="F102" s="79"/>
      <c r="G102" s="43"/>
      <c r="H102" s="37"/>
      <c r="I102" s="38"/>
      <c r="J102" s="299" t="s">
        <v>17556</v>
      </c>
      <c r="K102" s="45" t="s">
        <v>398</v>
      </c>
      <c r="L102" s="46">
        <v>1</v>
      </c>
      <c r="M102" s="269" t="s">
        <v>17564</v>
      </c>
      <c r="N102" s="37" t="s">
        <v>398</v>
      </c>
      <c r="O102" s="38">
        <v>0.25</v>
      </c>
      <c r="P102" s="79" t="s">
        <v>3575</v>
      </c>
      <c r="Q102" s="43"/>
      <c r="R102" s="37"/>
      <c r="S102" s="38"/>
      <c r="T102" s="79"/>
      <c r="U102" s="208">
        <f>ROUND((ROUND((ROUND((ROUND((_15_同援日増４．０*_15・通訳),0)*_15・２人),0)*(1+_15・盲ろう)),0)*(1+_15・区４)),0)</f>
        <v>819</v>
      </c>
      <c r="V102" s="63"/>
    </row>
    <row r="103" spans="1:22" ht="16.5" customHeight="1" x14ac:dyDescent="0.15">
      <c r="A103" s="41">
        <v>15</v>
      </c>
      <c r="B103" s="41" t="s">
        <v>29783</v>
      </c>
      <c r="C103" s="74" t="s">
        <v>29784</v>
      </c>
      <c r="D103" s="114" t="s">
        <v>23948</v>
      </c>
      <c r="E103" s="49"/>
      <c r="F103" s="115"/>
      <c r="G103" s="53"/>
      <c r="H103" s="49"/>
      <c r="I103" s="50"/>
      <c r="J103" s="163"/>
      <c r="K103" s="45"/>
      <c r="L103" s="46"/>
      <c r="M103" s="53"/>
      <c r="N103" s="49"/>
      <c r="O103" s="50"/>
      <c r="P103" s="115"/>
      <c r="Q103" s="53"/>
      <c r="R103" s="49"/>
      <c r="S103" s="50"/>
      <c r="T103" s="115"/>
      <c r="U103" s="208">
        <f>ROUND((_15_同援日増４．５*_15・通訳),0)</f>
        <v>527</v>
      </c>
      <c r="V103" s="64"/>
    </row>
    <row r="104" spans="1:22" ht="16.5" customHeight="1" x14ac:dyDescent="0.15">
      <c r="A104" s="41">
        <v>15</v>
      </c>
      <c r="B104" s="41" t="s">
        <v>29785</v>
      </c>
      <c r="C104" s="74" t="s">
        <v>29786</v>
      </c>
      <c r="D104" s="72" t="s">
        <v>17778</v>
      </c>
      <c r="F104" s="57"/>
      <c r="G104" s="35"/>
      <c r="J104" s="299" t="s">
        <v>17556</v>
      </c>
      <c r="K104" s="45" t="s">
        <v>398</v>
      </c>
      <c r="L104" s="46">
        <v>1</v>
      </c>
      <c r="M104" s="43"/>
      <c r="N104" s="37"/>
      <c r="O104" s="38"/>
      <c r="P104" s="79"/>
      <c r="Q104" s="35"/>
      <c r="T104" s="57"/>
      <c r="U104" s="208">
        <f>ROUND((ROUND((_15_同援日増４．５*_15・通訳),0)*_15・２人),0)</f>
        <v>527</v>
      </c>
      <c r="V104" s="48"/>
    </row>
    <row r="105" spans="1:22" ht="16.5" customHeight="1" x14ac:dyDescent="0.15">
      <c r="A105" s="41">
        <v>15</v>
      </c>
      <c r="B105" s="41" t="s">
        <v>3913</v>
      </c>
      <c r="C105" s="74" t="s">
        <v>29787</v>
      </c>
      <c r="D105" s="72" t="s">
        <v>18463</v>
      </c>
      <c r="F105" s="57"/>
      <c r="G105" s="35"/>
      <c r="J105" s="163"/>
      <c r="K105" s="45"/>
      <c r="L105" s="46"/>
      <c r="M105" s="114" t="s">
        <v>17562</v>
      </c>
      <c r="N105" s="49"/>
      <c r="O105" s="50"/>
      <c r="P105" s="115"/>
      <c r="Q105" s="35"/>
      <c r="T105" s="57"/>
      <c r="U105" s="208">
        <f>ROUND((ROUND((_15_同援日増４．５*_15・通訳),0)*(1+_15・盲ろう)),0)</f>
        <v>659</v>
      </c>
      <c r="V105" s="48"/>
    </row>
    <row r="106" spans="1:22" ht="16.5" customHeight="1" x14ac:dyDescent="0.15">
      <c r="A106" s="41">
        <v>15</v>
      </c>
      <c r="B106" s="41" t="s">
        <v>3915</v>
      </c>
      <c r="C106" s="74" t="s">
        <v>29788</v>
      </c>
      <c r="D106" s="72"/>
      <c r="E106" s="168">
        <f>_15_同援日増４．５</f>
        <v>585</v>
      </c>
      <c r="F106" s="57" t="s">
        <v>392</v>
      </c>
      <c r="G106" s="35"/>
      <c r="J106" s="299" t="s">
        <v>17556</v>
      </c>
      <c r="K106" s="45" t="s">
        <v>398</v>
      </c>
      <c r="L106" s="46">
        <v>1</v>
      </c>
      <c r="M106" s="269" t="s">
        <v>17564</v>
      </c>
      <c r="N106" s="37" t="s">
        <v>398</v>
      </c>
      <c r="O106" s="38">
        <v>0.25</v>
      </c>
      <c r="P106" s="79" t="s">
        <v>3575</v>
      </c>
      <c r="Q106" s="43"/>
      <c r="R106" s="37"/>
      <c r="S106" s="38"/>
      <c r="T106" s="79"/>
      <c r="U106" s="208">
        <f>ROUND((ROUND((ROUND((_15_同援日増４．５*_15・通訳),0)*_15・２人),0)*(1+_15・盲ろう)),0)</f>
        <v>659</v>
      </c>
      <c r="V106" s="48"/>
    </row>
    <row r="107" spans="1:22" ht="16.5" customHeight="1" x14ac:dyDescent="0.15">
      <c r="A107" s="41">
        <v>15</v>
      </c>
      <c r="B107" s="41" t="s">
        <v>29789</v>
      </c>
      <c r="C107" s="74" t="s">
        <v>29790</v>
      </c>
      <c r="D107" s="72"/>
      <c r="F107" s="57"/>
      <c r="G107" s="35"/>
      <c r="J107" s="163"/>
      <c r="K107" s="45"/>
      <c r="L107" s="46"/>
      <c r="M107" s="53"/>
      <c r="N107" s="49"/>
      <c r="O107" s="50"/>
      <c r="P107" s="115"/>
      <c r="Q107" s="114" t="s">
        <v>17570</v>
      </c>
      <c r="R107" s="49"/>
      <c r="S107" s="50"/>
      <c r="T107" s="115"/>
      <c r="U107" s="208">
        <f>ROUND((ROUND((_15_同援日増４．５*_15・通訳),0)*(1+_15・区３)),0)</f>
        <v>632</v>
      </c>
      <c r="V107" s="48"/>
    </row>
    <row r="108" spans="1:22" ht="16.5" customHeight="1" x14ac:dyDescent="0.15">
      <c r="A108" s="41">
        <v>15</v>
      </c>
      <c r="B108" s="41" t="s">
        <v>29791</v>
      </c>
      <c r="C108" s="74" t="s">
        <v>29792</v>
      </c>
      <c r="D108" s="72"/>
      <c r="F108" s="57"/>
      <c r="G108" s="35"/>
      <c r="J108" s="299" t="s">
        <v>17556</v>
      </c>
      <c r="K108" s="45" t="s">
        <v>398</v>
      </c>
      <c r="L108" s="46">
        <v>1</v>
      </c>
      <c r="M108" s="43"/>
      <c r="N108" s="37"/>
      <c r="O108" s="38"/>
      <c r="P108" s="79"/>
      <c r="Q108" s="92" t="s">
        <v>17572</v>
      </c>
      <c r="T108" s="57"/>
      <c r="U108" s="208">
        <f>ROUND((ROUND((ROUND((_15_同援日増４．５*_15・通訳),0)*_15・２人),0)*(1+_15・区３)),0)</f>
        <v>632</v>
      </c>
      <c r="V108" s="48"/>
    </row>
    <row r="109" spans="1:22" ht="16.5" customHeight="1" x14ac:dyDescent="0.15">
      <c r="A109" s="41">
        <v>15</v>
      </c>
      <c r="B109" s="41" t="s">
        <v>29793</v>
      </c>
      <c r="C109" s="74" t="s">
        <v>29794</v>
      </c>
      <c r="D109" s="72"/>
      <c r="F109" s="57"/>
      <c r="G109" s="35"/>
      <c r="J109" s="163"/>
      <c r="K109" s="45"/>
      <c r="L109" s="46"/>
      <c r="M109" s="114" t="s">
        <v>17562</v>
      </c>
      <c r="N109" s="49"/>
      <c r="O109" s="50"/>
      <c r="P109" s="115"/>
      <c r="Q109" s="35"/>
      <c r="R109" s="12" t="s">
        <v>398</v>
      </c>
      <c r="S109" s="13">
        <v>0.2</v>
      </c>
      <c r="T109" s="57" t="s">
        <v>3575</v>
      </c>
      <c r="U109" s="208">
        <f>ROUND((ROUND((ROUND((_15_同援日増４．５*_15・通訳),0)*(1+_15・盲ろう)),0)*(1+_15・区３)),0)</f>
        <v>791</v>
      </c>
      <c r="V109" s="48"/>
    </row>
    <row r="110" spans="1:22" ht="16.5" customHeight="1" x14ac:dyDescent="0.15">
      <c r="A110" s="41">
        <v>15</v>
      </c>
      <c r="B110" s="41" t="s">
        <v>29795</v>
      </c>
      <c r="C110" s="74" t="s">
        <v>29796</v>
      </c>
      <c r="D110" s="72"/>
      <c r="F110" s="57"/>
      <c r="G110" s="35"/>
      <c r="J110" s="299" t="s">
        <v>17556</v>
      </c>
      <c r="K110" s="45" t="s">
        <v>398</v>
      </c>
      <c r="L110" s="46">
        <v>1</v>
      </c>
      <c r="M110" s="269" t="s">
        <v>17564</v>
      </c>
      <c r="N110" s="37" t="s">
        <v>398</v>
      </c>
      <c r="O110" s="38">
        <v>0.25</v>
      </c>
      <c r="P110" s="79" t="s">
        <v>3575</v>
      </c>
      <c r="Q110" s="43"/>
      <c r="R110" s="37"/>
      <c r="S110" s="38"/>
      <c r="T110" s="79"/>
      <c r="U110" s="208">
        <f>ROUND((ROUND((ROUND((ROUND((_15_同援日増４．５*_15・通訳),0)*_15・２人),0)*(1+_15・盲ろう)),0)*(1+_15・区３)),0)</f>
        <v>791</v>
      </c>
      <c r="V110" s="48"/>
    </row>
    <row r="111" spans="1:22" ht="16.5" customHeight="1" x14ac:dyDescent="0.15">
      <c r="A111" s="41">
        <v>15</v>
      </c>
      <c r="B111" s="41" t="s">
        <v>29797</v>
      </c>
      <c r="C111" s="74" t="s">
        <v>29798</v>
      </c>
      <c r="D111" s="72"/>
      <c r="F111" s="57"/>
      <c r="G111" s="35"/>
      <c r="J111" s="163"/>
      <c r="K111" s="45"/>
      <c r="L111" s="46"/>
      <c r="M111" s="53"/>
      <c r="N111" s="49"/>
      <c r="O111" s="50"/>
      <c r="P111" s="115"/>
      <c r="Q111" s="114" t="s">
        <v>17580</v>
      </c>
      <c r="R111" s="49"/>
      <c r="S111" s="50"/>
      <c r="T111" s="115"/>
      <c r="U111" s="208">
        <f>ROUND((ROUND((_15_同援日増４．５*_15・通訳),0)*(1+_15・区４)),0)</f>
        <v>738</v>
      </c>
      <c r="V111" s="48"/>
    </row>
    <row r="112" spans="1:22" ht="16.5" customHeight="1" x14ac:dyDescent="0.15">
      <c r="A112" s="41">
        <v>15</v>
      </c>
      <c r="B112" s="41" t="s">
        <v>29799</v>
      </c>
      <c r="C112" s="74" t="s">
        <v>29800</v>
      </c>
      <c r="D112" s="72"/>
      <c r="F112" s="57"/>
      <c r="G112" s="35"/>
      <c r="J112" s="299" t="s">
        <v>17556</v>
      </c>
      <c r="K112" s="45" t="s">
        <v>398</v>
      </c>
      <c r="L112" s="46">
        <v>1</v>
      </c>
      <c r="M112" s="43"/>
      <c r="N112" s="37"/>
      <c r="O112" s="38"/>
      <c r="P112" s="79"/>
      <c r="Q112" s="92" t="s">
        <v>17572</v>
      </c>
      <c r="T112" s="57"/>
      <c r="U112" s="208">
        <f>ROUND((ROUND((ROUND((_15_同援日増４．５*_15・通訳),0)*_15・２人),0)*(1+_15・区４)),0)</f>
        <v>738</v>
      </c>
      <c r="V112" s="48"/>
    </row>
    <row r="113" spans="1:22" ht="16.5" customHeight="1" x14ac:dyDescent="0.15">
      <c r="A113" s="41">
        <v>15</v>
      </c>
      <c r="B113" s="41" t="s">
        <v>29801</v>
      </c>
      <c r="C113" s="74" t="s">
        <v>29802</v>
      </c>
      <c r="D113" s="72"/>
      <c r="F113" s="57"/>
      <c r="G113" s="35"/>
      <c r="J113" s="163"/>
      <c r="K113" s="45"/>
      <c r="L113" s="46"/>
      <c r="M113" s="114" t="s">
        <v>17562</v>
      </c>
      <c r="N113" s="49"/>
      <c r="O113" s="50"/>
      <c r="P113" s="115"/>
      <c r="Q113" s="35"/>
      <c r="R113" s="12" t="s">
        <v>398</v>
      </c>
      <c r="S113" s="13">
        <v>0.4</v>
      </c>
      <c r="T113" s="57" t="s">
        <v>3575</v>
      </c>
      <c r="U113" s="208">
        <f>ROUND((ROUND((ROUND((_15_同援日増４．５*_15・通訳),0)*(1+_15・盲ろう)),0)*(1+_15・区４)),0)</f>
        <v>923</v>
      </c>
      <c r="V113" s="48"/>
    </row>
    <row r="114" spans="1:22" ht="16.5" customHeight="1" x14ac:dyDescent="0.15">
      <c r="A114" s="41">
        <v>15</v>
      </c>
      <c r="B114" s="41" t="s">
        <v>29803</v>
      </c>
      <c r="C114" s="74" t="s">
        <v>29804</v>
      </c>
      <c r="D114" s="122"/>
      <c r="E114" s="37"/>
      <c r="F114" s="79"/>
      <c r="G114" s="35"/>
      <c r="J114" s="299" t="s">
        <v>17556</v>
      </c>
      <c r="K114" s="45" t="s">
        <v>398</v>
      </c>
      <c r="L114" s="46">
        <v>1</v>
      </c>
      <c r="M114" s="269" t="s">
        <v>17564</v>
      </c>
      <c r="N114" s="37" t="s">
        <v>398</v>
      </c>
      <c r="O114" s="38">
        <v>0.25</v>
      </c>
      <c r="P114" s="79" t="s">
        <v>3575</v>
      </c>
      <c r="Q114" s="43"/>
      <c r="R114" s="37"/>
      <c r="S114" s="38"/>
      <c r="T114" s="79"/>
      <c r="U114" s="208">
        <f>ROUND((ROUND((ROUND((ROUND((_15_同援日増４．５*_15・通訳),0)*_15・２人),0)*(1+_15・盲ろう)),0)*(1+_15・区４)),0)</f>
        <v>923</v>
      </c>
      <c r="V114" s="48"/>
    </row>
    <row r="115" spans="1:22" ht="16.5" customHeight="1" x14ac:dyDescent="0.15">
      <c r="A115" s="41">
        <v>15</v>
      </c>
      <c r="B115" s="41" t="s">
        <v>3919</v>
      </c>
      <c r="C115" s="74" t="s">
        <v>29805</v>
      </c>
      <c r="D115" s="114" t="s">
        <v>23993</v>
      </c>
      <c r="E115" s="49"/>
      <c r="F115" s="115"/>
      <c r="G115" s="35"/>
      <c r="J115" s="163"/>
      <c r="K115" s="45"/>
      <c r="L115" s="46"/>
      <c r="M115" s="53"/>
      <c r="N115" s="49"/>
      <c r="O115" s="50"/>
      <c r="P115" s="115"/>
      <c r="Q115" s="53"/>
      <c r="R115" s="49"/>
      <c r="S115" s="50"/>
      <c r="T115" s="115"/>
      <c r="U115" s="208">
        <f>ROUND((_15_同援日増５．０*_15・通訳),0)</f>
        <v>585</v>
      </c>
      <c r="V115" s="48"/>
    </row>
    <row r="116" spans="1:22" ht="16.5" customHeight="1" x14ac:dyDescent="0.15">
      <c r="A116" s="41">
        <v>15</v>
      </c>
      <c r="B116" s="41" t="s">
        <v>3921</v>
      </c>
      <c r="C116" s="74" t="s">
        <v>29806</v>
      </c>
      <c r="D116" s="72" t="s">
        <v>17805</v>
      </c>
      <c r="F116" s="57"/>
      <c r="G116" s="35"/>
      <c r="J116" s="299" t="s">
        <v>17556</v>
      </c>
      <c r="K116" s="45" t="s">
        <v>398</v>
      </c>
      <c r="L116" s="46">
        <v>1</v>
      </c>
      <c r="M116" s="43"/>
      <c r="N116" s="37"/>
      <c r="O116" s="38"/>
      <c r="P116" s="79"/>
      <c r="Q116" s="35"/>
      <c r="T116" s="57"/>
      <c r="U116" s="208">
        <f>ROUND((ROUND((_15_同援日増５．０*_15・通訳),0)*_15・２人),0)</f>
        <v>585</v>
      </c>
      <c r="V116" s="48"/>
    </row>
    <row r="117" spans="1:22" ht="16.5" customHeight="1" x14ac:dyDescent="0.15">
      <c r="A117" s="41">
        <v>15</v>
      </c>
      <c r="B117" s="41" t="s">
        <v>29807</v>
      </c>
      <c r="C117" s="74" t="s">
        <v>29808</v>
      </c>
      <c r="D117" s="72" t="s">
        <v>18716</v>
      </c>
      <c r="F117" s="57"/>
      <c r="G117" s="35"/>
      <c r="J117" s="163"/>
      <c r="K117" s="45"/>
      <c r="L117" s="46"/>
      <c r="M117" s="114" t="s">
        <v>17562</v>
      </c>
      <c r="N117" s="49"/>
      <c r="O117" s="50"/>
      <c r="P117" s="115"/>
      <c r="Q117" s="35"/>
      <c r="T117" s="57"/>
      <c r="U117" s="208">
        <f>ROUND((ROUND((_15_同援日増５．０*_15・通訳),0)*(1+_15・盲ろう)),0)</f>
        <v>731</v>
      </c>
      <c r="V117" s="48"/>
    </row>
    <row r="118" spans="1:22" ht="16.5" customHeight="1" x14ac:dyDescent="0.15">
      <c r="A118" s="41">
        <v>15</v>
      </c>
      <c r="B118" s="41" t="s">
        <v>29809</v>
      </c>
      <c r="C118" s="74" t="s">
        <v>29810</v>
      </c>
      <c r="D118" s="72"/>
      <c r="E118" s="168">
        <f>_15_同援日増５．０</f>
        <v>650</v>
      </c>
      <c r="F118" s="57" t="s">
        <v>392</v>
      </c>
      <c r="G118" s="35"/>
      <c r="J118" s="299" t="s">
        <v>17556</v>
      </c>
      <c r="K118" s="45" t="s">
        <v>398</v>
      </c>
      <c r="L118" s="46">
        <v>1</v>
      </c>
      <c r="M118" s="269" t="s">
        <v>17564</v>
      </c>
      <c r="N118" s="37" t="s">
        <v>398</v>
      </c>
      <c r="O118" s="38">
        <v>0.25</v>
      </c>
      <c r="P118" s="79" t="s">
        <v>3575</v>
      </c>
      <c r="Q118" s="43"/>
      <c r="R118" s="37"/>
      <c r="S118" s="38"/>
      <c r="T118" s="79"/>
      <c r="U118" s="208">
        <f>ROUND((ROUND((ROUND((_15_同援日増５．０*_15・通訳),0)*_15・２人),0)*(1+_15・盲ろう)),0)</f>
        <v>731</v>
      </c>
      <c r="V118" s="48"/>
    </row>
    <row r="119" spans="1:22" ht="16.5" customHeight="1" x14ac:dyDescent="0.15">
      <c r="A119" s="41">
        <v>15</v>
      </c>
      <c r="B119" s="41" t="s">
        <v>29811</v>
      </c>
      <c r="C119" s="74" t="s">
        <v>29812</v>
      </c>
      <c r="D119" s="72"/>
      <c r="F119" s="57"/>
      <c r="G119" s="35"/>
      <c r="J119" s="163"/>
      <c r="K119" s="45"/>
      <c r="L119" s="46"/>
      <c r="M119" s="53"/>
      <c r="N119" s="49"/>
      <c r="O119" s="50"/>
      <c r="P119" s="115"/>
      <c r="Q119" s="114" t="s">
        <v>17570</v>
      </c>
      <c r="R119" s="49"/>
      <c r="S119" s="50"/>
      <c r="T119" s="115"/>
      <c r="U119" s="208">
        <f>ROUND((ROUND((_15_同援日増５．０*_15・通訳),0)*(1+_15・区３)),0)</f>
        <v>702</v>
      </c>
      <c r="V119" s="48"/>
    </row>
    <row r="120" spans="1:22" ht="16.5" customHeight="1" x14ac:dyDescent="0.15">
      <c r="A120" s="41">
        <v>15</v>
      </c>
      <c r="B120" s="41" t="s">
        <v>29813</v>
      </c>
      <c r="C120" s="74" t="s">
        <v>29814</v>
      </c>
      <c r="D120" s="72"/>
      <c r="F120" s="57"/>
      <c r="G120" s="35"/>
      <c r="J120" s="299" t="s">
        <v>17556</v>
      </c>
      <c r="K120" s="45" t="s">
        <v>398</v>
      </c>
      <c r="L120" s="46">
        <v>1</v>
      </c>
      <c r="M120" s="43"/>
      <c r="N120" s="37"/>
      <c r="O120" s="38"/>
      <c r="P120" s="79"/>
      <c r="Q120" s="92" t="s">
        <v>17572</v>
      </c>
      <c r="T120" s="57"/>
      <c r="U120" s="208">
        <f>ROUND((ROUND((ROUND((_15_同援日増５．０*_15・通訳),0)*_15・２人),0)*(1+_15・区３)),0)</f>
        <v>702</v>
      </c>
      <c r="V120" s="48"/>
    </row>
    <row r="121" spans="1:22" ht="16.5" customHeight="1" x14ac:dyDescent="0.15">
      <c r="A121" s="41">
        <v>15</v>
      </c>
      <c r="B121" s="41" t="s">
        <v>29815</v>
      </c>
      <c r="C121" s="74" t="s">
        <v>29816</v>
      </c>
      <c r="D121" s="72"/>
      <c r="F121" s="57"/>
      <c r="G121" s="35"/>
      <c r="J121" s="163"/>
      <c r="K121" s="45"/>
      <c r="L121" s="46"/>
      <c r="M121" s="114" t="s">
        <v>17562</v>
      </c>
      <c r="N121" s="49"/>
      <c r="O121" s="50"/>
      <c r="P121" s="115"/>
      <c r="Q121" s="35"/>
      <c r="R121" s="12" t="s">
        <v>398</v>
      </c>
      <c r="S121" s="13">
        <v>0.2</v>
      </c>
      <c r="T121" s="57" t="s">
        <v>3575</v>
      </c>
      <c r="U121" s="208">
        <f>ROUND((ROUND((ROUND((_15_同援日増５．０*_15・通訳),0)*(1+_15・盲ろう)),0)*(1+_15・区３)),0)</f>
        <v>877</v>
      </c>
      <c r="V121" s="48"/>
    </row>
    <row r="122" spans="1:22" ht="16.5" customHeight="1" x14ac:dyDescent="0.15">
      <c r="A122" s="41">
        <v>15</v>
      </c>
      <c r="B122" s="41" t="s">
        <v>29817</v>
      </c>
      <c r="C122" s="74" t="s">
        <v>29818</v>
      </c>
      <c r="D122" s="72"/>
      <c r="F122" s="57"/>
      <c r="G122" s="35"/>
      <c r="J122" s="299" t="s">
        <v>17556</v>
      </c>
      <c r="K122" s="45" t="s">
        <v>398</v>
      </c>
      <c r="L122" s="46">
        <v>1</v>
      </c>
      <c r="M122" s="269" t="s">
        <v>17564</v>
      </c>
      <c r="N122" s="37" t="s">
        <v>398</v>
      </c>
      <c r="O122" s="38">
        <v>0.25</v>
      </c>
      <c r="P122" s="79" t="s">
        <v>3575</v>
      </c>
      <c r="Q122" s="43"/>
      <c r="R122" s="37"/>
      <c r="S122" s="38"/>
      <c r="T122" s="79"/>
      <c r="U122" s="208">
        <f>ROUND((ROUND((ROUND((ROUND((_15_同援日増５．０*_15・通訳),0)*_15・２人),0)*(1+_15・盲ろう)),0)*(1+_15・区３)),0)</f>
        <v>877</v>
      </c>
      <c r="V122" s="48"/>
    </row>
    <row r="123" spans="1:22" ht="16.5" customHeight="1" x14ac:dyDescent="0.15">
      <c r="A123" s="41">
        <v>15</v>
      </c>
      <c r="B123" s="41" t="s">
        <v>29819</v>
      </c>
      <c r="C123" s="74" t="s">
        <v>29820</v>
      </c>
      <c r="D123" s="72"/>
      <c r="F123" s="57"/>
      <c r="G123" s="35"/>
      <c r="J123" s="163"/>
      <c r="K123" s="45"/>
      <c r="L123" s="46"/>
      <c r="M123" s="53"/>
      <c r="N123" s="49"/>
      <c r="O123" s="50"/>
      <c r="P123" s="115"/>
      <c r="Q123" s="114" t="s">
        <v>17580</v>
      </c>
      <c r="R123" s="49"/>
      <c r="S123" s="50"/>
      <c r="T123" s="115"/>
      <c r="U123" s="208">
        <f>ROUND((ROUND((_15_同援日増５．０*_15・通訳),0)*(1+_15・区４)),0)</f>
        <v>819</v>
      </c>
      <c r="V123" s="48"/>
    </row>
    <row r="124" spans="1:22" ht="16.5" customHeight="1" x14ac:dyDescent="0.15">
      <c r="A124" s="41">
        <v>15</v>
      </c>
      <c r="B124" s="41" t="s">
        <v>29821</v>
      </c>
      <c r="C124" s="74" t="s">
        <v>29822</v>
      </c>
      <c r="D124" s="72"/>
      <c r="F124" s="57"/>
      <c r="G124" s="35"/>
      <c r="J124" s="299" t="s">
        <v>17556</v>
      </c>
      <c r="K124" s="45" t="s">
        <v>398</v>
      </c>
      <c r="L124" s="46">
        <v>1</v>
      </c>
      <c r="M124" s="43"/>
      <c r="N124" s="37"/>
      <c r="O124" s="38"/>
      <c r="P124" s="79"/>
      <c r="Q124" s="92" t="s">
        <v>17572</v>
      </c>
      <c r="T124" s="57"/>
      <c r="U124" s="208">
        <f>ROUND((ROUND((ROUND((_15_同援日増５．０*_15・通訳),0)*_15・２人),0)*(1+_15・区４)),0)</f>
        <v>819</v>
      </c>
      <c r="V124" s="48"/>
    </row>
    <row r="125" spans="1:22" ht="16.5" customHeight="1" x14ac:dyDescent="0.15">
      <c r="A125" s="41">
        <v>15</v>
      </c>
      <c r="B125" s="41" t="s">
        <v>3925</v>
      </c>
      <c r="C125" s="74" t="s">
        <v>29823</v>
      </c>
      <c r="D125" s="72"/>
      <c r="F125" s="57"/>
      <c r="G125" s="35"/>
      <c r="J125" s="163"/>
      <c r="K125" s="45"/>
      <c r="L125" s="46"/>
      <c r="M125" s="114" t="s">
        <v>17562</v>
      </c>
      <c r="N125" s="49"/>
      <c r="O125" s="50"/>
      <c r="P125" s="115"/>
      <c r="Q125" s="35"/>
      <c r="R125" s="12" t="s">
        <v>398</v>
      </c>
      <c r="S125" s="13">
        <v>0.4</v>
      </c>
      <c r="T125" s="57" t="s">
        <v>3575</v>
      </c>
      <c r="U125" s="208">
        <f>ROUND((ROUND((ROUND((_15_同援日増５．０*_15・通訳),0)*(1+_15・盲ろう)),0)*(1+_15・区４)),0)</f>
        <v>1023</v>
      </c>
      <c r="V125" s="48"/>
    </row>
    <row r="126" spans="1:22" ht="16.5" customHeight="1" x14ac:dyDescent="0.15">
      <c r="A126" s="41">
        <v>15</v>
      </c>
      <c r="B126" s="41" t="s">
        <v>3927</v>
      </c>
      <c r="C126" s="74" t="s">
        <v>29824</v>
      </c>
      <c r="D126" s="122"/>
      <c r="E126" s="37"/>
      <c r="F126" s="79"/>
      <c r="G126" s="35"/>
      <c r="J126" s="299" t="s">
        <v>17556</v>
      </c>
      <c r="K126" s="45" t="s">
        <v>398</v>
      </c>
      <c r="L126" s="46">
        <v>1</v>
      </c>
      <c r="M126" s="269" t="s">
        <v>17564</v>
      </c>
      <c r="N126" s="37" t="s">
        <v>398</v>
      </c>
      <c r="O126" s="38">
        <v>0.25</v>
      </c>
      <c r="P126" s="79" t="s">
        <v>3575</v>
      </c>
      <c r="Q126" s="43"/>
      <c r="R126" s="37"/>
      <c r="S126" s="38"/>
      <c r="T126" s="79"/>
      <c r="U126" s="208">
        <f>ROUND((ROUND((ROUND((ROUND((_15_同援日増５．０*_15・通訳),0)*_15・２人),0)*(1+_15・盲ろう)),0)*(1+_15・区４)),0)</f>
        <v>1023</v>
      </c>
      <c r="V126" s="48"/>
    </row>
    <row r="127" spans="1:22" ht="16.5" customHeight="1" x14ac:dyDescent="0.15">
      <c r="A127" s="41">
        <v>15</v>
      </c>
      <c r="B127" s="41" t="s">
        <v>29825</v>
      </c>
      <c r="C127" s="74" t="s">
        <v>29826</v>
      </c>
      <c r="D127" s="114" t="s">
        <v>24035</v>
      </c>
      <c r="E127" s="49"/>
      <c r="F127" s="115"/>
      <c r="G127" s="35"/>
      <c r="J127" s="163"/>
      <c r="K127" s="45"/>
      <c r="L127" s="46"/>
      <c r="M127" s="53"/>
      <c r="N127" s="49"/>
      <c r="O127" s="50"/>
      <c r="P127" s="115"/>
      <c r="Q127" s="53"/>
      <c r="R127" s="49"/>
      <c r="S127" s="50"/>
      <c r="T127" s="115"/>
      <c r="U127" s="208">
        <f>ROUND((_15_同援日増５．５*_15・通訳),0)</f>
        <v>644</v>
      </c>
      <c r="V127" s="48"/>
    </row>
    <row r="128" spans="1:22" ht="16.5" customHeight="1" x14ac:dyDescent="0.15">
      <c r="A128" s="41">
        <v>15</v>
      </c>
      <c r="B128" s="41" t="s">
        <v>29827</v>
      </c>
      <c r="C128" s="74" t="s">
        <v>29828</v>
      </c>
      <c r="D128" s="72" t="s">
        <v>17832</v>
      </c>
      <c r="F128" s="57"/>
      <c r="G128" s="35"/>
      <c r="J128" s="299" t="s">
        <v>17556</v>
      </c>
      <c r="K128" s="45" t="s">
        <v>398</v>
      </c>
      <c r="L128" s="46">
        <v>1</v>
      </c>
      <c r="M128" s="43"/>
      <c r="N128" s="37"/>
      <c r="O128" s="38"/>
      <c r="P128" s="79"/>
      <c r="Q128" s="35"/>
      <c r="T128" s="57"/>
      <c r="U128" s="208">
        <f>ROUND((ROUND((_15_同援日増５．５*_15・通訳),0)*_15・２人),0)</f>
        <v>644</v>
      </c>
      <c r="V128" s="48"/>
    </row>
    <row r="129" spans="1:22" ht="16.5" customHeight="1" x14ac:dyDescent="0.15">
      <c r="A129" s="41">
        <v>15</v>
      </c>
      <c r="B129" s="41" t="s">
        <v>29829</v>
      </c>
      <c r="C129" s="74" t="s">
        <v>29830</v>
      </c>
      <c r="D129" s="72" t="s">
        <v>18742</v>
      </c>
      <c r="F129" s="57"/>
      <c r="G129" s="35"/>
      <c r="J129" s="163"/>
      <c r="K129" s="45"/>
      <c r="L129" s="46"/>
      <c r="M129" s="114" t="s">
        <v>17562</v>
      </c>
      <c r="N129" s="49"/>
      <c r="O129" s="50"/>
      <c r="P129" s="115"/>
      <c r="Q129" s="35"/>
      <c r="T129" s="57"/>
      <c r="U129" s="208">
        <f>ROUND((ROUND((_15_同援日増５．５*_15・通訳),0)*(1+_15・盲ろう)),0)</f>
        <v>805</v>
      </c>
      <c r="V129" s="48"/>
    </row>
    <row r="130" spans="1:22" ht="16.5" customHeight="1" x14ac:dyDescent="0.15">
      <c r="A130" s="41">
        <v>15</v>
      </c>
      <c r="B130" s="41" t="s">
        <v>29831</v>
      </c>
      <c r="C130" s="74" t="s">
        <v>29832</v>
      </c>
      <c r="D130" s="72"/>
      <c r="E130" s="168">
        <f>_15_同援日増５．５</f>
        <v>715</v>
      </c>
      <c r="F130" s="57" t="s">
        <v>392</v>
      </c>
      <c r="G130" s="35"/>
      <c r="J130" s="299" t="s">
        <v>17556</v>
      </c>
      <c r="K130" s="45" t="s">
        <v>398</v>
      </c>
      <c r="L130" s="46">
        <v>1</v>
      </c>
      <c r="M130" s="269" t="s">
        <v>17564</v>
      </c>
      <c r="N130" s="37" t="s">
        <v>398</v>
      </c>
      <c r="O130" s="38">
        <v>0.25</v>
      </c>
      <c r="P130" s="79" t="s">
        <v>3575</v>
      </c>
      <c r="Q130" s="43"/>
      <c r="R130" s="37"/>
      <c r="S130" s="38"/>
      <c r="T130" s="79"/>
      <c r="U130" s="208">
        <f>ROUND((ROUND((ROUND((_15_同援日増５．５*_15・通訳),0)*_15・２人),0)*(1+_15・盲ろう)),0)</f>
        <v>805</v>
      </c>
      <c r="V130" s="48"/>
    </row>
    <row r="131" spans="1:22" ht="16.5" customHeight="1" x14ac:dyDescent="0.15">
      <c r="A131" s="41">
        <v>15</v>
      </c>
      <c r="B131" s="41" t="s">
        <v>29833</v>
      </c>
      <c r="C131" s="74" t="s">
        <v>29834</v>
      </c>
      <c r="D131" s="72"/>
      <c r="F131" s="57"/>
      <c r="G131" s="35"/>
      <c r="J131" s="163"/>
      <c r="K131" s="45"/>
      <c r="L131" s="46"/>
      <c r="M131" s="53"/>
      <c r="N131" s="49"/>
      <c r="O131" s="50"/>
      <c r="P131" s="115"/>
      <c r="Q131" s="114" t="s">
        <v>17570</v>
      </c>
      <c r="R131" s="49"/>
      <c r="S131" s="50"/>
      <c r="T131" s="115"/>
      <c r="U131" s="208">
        <f>ROUND((ROUND((_15_同援日増５．５*_15・通訳),0)*(1+_15・区３)),0)</f>
        <v>773</v>
      </c>
      <c r="V131" s="48"/>
    </row>
    <row r="132" spans="1:22" ht="16.5" customHeight="1" x14ac:dyDescent="0.15">
      <c r="A132" s="41">
        <v>15</v>
      </c>
      <c r="B132" s="41" t="s">
        <v>29835</v>
      </c>
      <c r="C132" s="74" t="s">
        <v>29836</v>
      </c>
      <c r="D132" s="72"/>
      <c r="F132" s="57"/>
      <c r="G132" s="35"/>
      <c r="J132" s="299" t="s">
        <v>17556</v>
      </c>
      <c r="K132" s="45" t="s">
        <v>398</v>
      </c>
      <c r="L132" s="46">
        <v>1</v>
      </c>
      <c r="M132" s="43"/>
      <c r="N132" s="37"/>
      <c r="O132" s="38"/>
      <c r="P132" s="79"/>
      <c r="Q132" s="92" t="s">
        <v>17572</v>
      </c>
      <c r="T132" s="57"/>
      <c r="U132" s="208">
        <f>ROUND((ROUND((ROUND((_15_同援日増５．５*_15・通訳),0)*_15・２人),0)*(1+_15・区３)),0)</f>
        <v>773</v>
      </c>
      <c r="V132" s="48"/>
    </row>
    <row r="133" spans="1:22" ht="16.5" customHeight="1" x14ac:dyDescent="0.15">
      <c r="A133" s="41">
        <v>15</v>
      </c>
      <c r="B133" s="41" t="s">
        <v>29837</v>
      </c>
      <c r="C133" s="74" t="s">
        <v>29838</v>
      </c>
      <c r="D133" s="72"/>
      <c r="F133" s="57"/>
      <c r="G133" s="35"/>
      <c r="J133" s="163"/>
      <c r="K133" s="45"/>
      <c r="L133" s="46"/>
      <c r="M133" s="114" t="s">
        <v>17562</v>
      </c>
      <c r="N133" s="49"/>
      <c r="O133" s="50"/>
      <c r="P133" s="115"/>
      <c r="Q133" s="35"/>
      <c r="R133" s="12" t="s">
        <v>398</v>
      </c>
      <c r="S133" s="13">
        <v>0.2</v>
      </c>
      <c r="T133" s="57" t="s">
        <v>3575</v>
      </c>
      <c r="U133" s="208">
        <f>ROUND((ROUND((ROUND((_15_同援日増５．５*_15・通訳),0)*(1+_15・盲ろう)),0)*(1+_15・区３)),0)</f>
        <v>966</v>
      </c>
      <c r="V133" s="48"/>
    </row>
    <row r="134" spans="1:22" ht="16.5" customHeight="1" x14ac:dyDescent="0.15">
      <c r="A134" s="41">
        <v>15</v>
      </c>
      <c r="B134" s="41" t="s">
        <v>29839</v>
      </c>
      <c r="C134" s="74" t="s">
        <v>29840</v>
      </c>
      <c r="D134" s="72"/>
      <c r="F134" s="57"/>
      <c r="G134" s="35"/>
      <c r="J134" s="299" t="s">
        <v>17556</v>
      </c>
      <c r="K134" s="45" t="s">
        <v>398</v>
      </c>
      <c r="L134" s="46">
        <v>1</v>
      </c>
      <c r="M134" s="269" t="s">
        <v>17564</v>
      </c>
      <c r="N134" s="37" t="s">
        <v>398</v>
      </c>
      <c r="O134" s="38">
        <v>0.25</v>
      </c>
      <c r="P134" s="79" t="s">
        <v>3575</v>
      </c>
      <c r="Q134" s="43"/>
      <c r="R134" s="37"/>
      <c r="S134" s="38"/>
      <c r="T134" s="79"/>
      <c r="U134" s="208">
        <f>ROUND((ROUND((ROUND((ROUND((_15_同援日増５．５*_15・通訳),0)*_15・２人),0)*(1+_15・盲ろう)),0)*(1+_15・区３)),0)</f>
        <v>966</v>
      </c>
      <c r="V134" s="48"/>
    </row>
    <row r="135" spans="1:22" ht="16.5" customHeight="1" x14ac:dyDescent="0.15">
      <c r="A135" s="41">
        <v>15</v>
      </c>
      <c r="B135" s="41" t="s">
        <v>3931</v>
      </c>
      <c r="C135" s="74" t="s">
        <v>29841</v>
      </c>
      <c r="D135" s="72"/>
      <c r="F135" s="57"/>
      <c r="G135" s="35"/>
      <c r="J135" s="163"/>
      <c r="K135" s="45"/>
      <c r="L135" s="46"/>
      <c r="M135" s="53"/>
      <c r="N135" s="49"/>
      <c r="O135" s="50"/>
      <c r="P135" s="115"/>
      <c r="Q135" s="114" t="s">
        <v>17580</v>
      </c>
      <c r="R135" s="49"/>
      <c r="S135" s="50"/>
      <c r="T135" s="115"/>
      <c r="U135" s="208">
        <f>ROUND((ROUND((_15_同援日増５．５*_15・通訳),0)*(1+_15・区４)),0)</f>
        <v>902</v>
      </c>
      <c r="V135" s="48"/>
    </row>
    <row r="136" spans="1:22" ht="16.5" customHeight="1" x14ac:dyDescent="0.15">
      <c r="A136" s="41">
        <v>15</v>
      </c>
      <c r="B136" s="41" t="s">
        <v>3933</v>
      </c>
      <c r="C136" s="74" t="s">
        <v>29842</v>
      </c>
      <c r="D136" s="72"/>
      <c r="F136" s="57"/>
      <c r="G136" s="35"/>
      <c r="J136" s="299" t="s">
        <v>17556</v>
      </c>
      <c r="K136" s="45" t="s">
        <v>398</v>
      </c>
      <c r="L136" s="46">
        <v>1</v>
      </c>
      <c r="M136" s="43"/>
      <c r="N136" s="37"/>
      <c r="O136" s="38"/>
      <c r="P136" s="79"/>
      <c r="Q136" s="92" t="s">
        <v>17572</v>
      </c>
      <c r="T136" s="57"/>
      <c r="U136" s="208">
        <f>ROUND((ROUND((ROUND((_15_同援日増５．５*_15・通訳),0)*_15・２人),0)*(1+_15・区４)),0)</f>
        <v>902</v>
      </c>
      <c r="V136" s="48"/>
    </row>
    <row r="137" spans="1:22" ht="16.5" customHeight="1" x14ac:dyDescent="0.15">
      <c r="A137" s="41">
        <v>15</v>
      </c>
      <c r="B137" s="41" t="s">
        <v>29843</v>
      </c>
      <c r="C137" s="74" t="s">
        <v>29844</v>
      </c>
      <c r="D137" s="72"/>
      <c r="F137" s="57"/>
      <c r="G137" s="35"/>
      <c r="J137" s="163"/>
      <c r="K137" s="45"/>
      <c r="L137" s="46"/>
      <c r="M137" s="114" t="s">
        <v>17562</v>
      </c>
      <c r="N137" s="49"/>
      <c r="O137" s="50"/>
      <c r="P137" s="115"/>
      <c r="Q137" s="35"/>
      <c r="R137" s="12" t="s">
        <v>398</v>
      </c>
      <c r="S137" s="13">
        <v>0.4</v>
      </c>
      <c r="T137" s="57" t="s">
        <v>3575</v>
      </c>
      <c r="U137" s="208">
        <f>ROUND((ROUND((ROUND((_15_同援日増５．５*_15・通訳),0)*(1+_15・盲ろう)),0)*(1+_15・区４)),0)</f>
        <v>1127</v>
      </c>
      <c r="V137" s="48"/>
    </row>
    <row r="138" spans="1:22" ht="16.5" customHeight="1" x14ac:dyDescent="0.15">
      <c r="A138" s="41">
        <v>15</v>
      </c>
      <c r="B138" s="41" t="s">
        <v>29845</v>
      </c>
      <c r="C138" s="74" t="s">
        <v>29846</v>
      </c>
      <c r="D138" s="122"/>
      <c r="E138" s="37"/>
      <c r="F138" s="79"/>
      <c r="G138" s="35"/>
      <c r="J138" s="299" t="s">
        <v>17556</v>
      </c>
      <c r="K138" s="45" t="s">
        <v>398</v>
      </c>
      <c r="L138" s="46">
        <v>1</v>
      </c>
      <c r="M138" s="269" t="s">
        <v>17564</v>
      </c>
      <c r="N138" s="37" t="s">
        <v>398</v>
      </c>
      <c r="O138" s="38">
        <v>0.25</v>
      </c>
      <c r="P138" s="79" t="s">
        <v>3575</v>
      </c>
      <c r="Q138" s="43"/>
      <c r="R138" s="37"/>
      <c r="S138" s="38"/>
      <c r="T138" s="79"/>
      <c r="U138" s="208">
        <f>ROUND((ROUND((ROUND((ROUND((_15_同援日増５．５*_15・通訳),0)*_15・２人),0)*(1+_15・盲ろう)),0)*(1+_15・区４)),0)</f>
        <v>1127</v>
      </c>
      <c r="V138" s="48"/>
    </row>
    <row r="139" spans="1:22" ht="16.5" customHeight="1" x14ac:dyDescent="0.15">
      <c r="A139" s="41">
        <v>15</v>
      </c>
      <c r="B139" s="41" t="s">
        <v>29847</v>
      </c>
      <c r="C139" s="74" t="s">
        <v>29848</v>
      </c>
      <c r="D139" s="114" t="s">
        <v>24079</v>
      </c>
      <c r="E139" s="49"/>
      <c r="F139" s="115"/>
      <c r="G139" s="35"/>
      <c r="J139" s="163"/>
      <c r="K139" s="45"/>
      <c r="L139" s="46"/>
      <c r="M139" s="53"/>
      <c r="N139" s="49"/>
      <c r="O139" s="50"/>
      <c r="P139" s="115"/>
      <c r="Q139" s="53"/>
      <c r="R139" s="49"/>
      <c r="S139" s="50"/>
      <c r="T139" s="115"/>
      <c r="U139" s="208">
        <f>ROUND((_15_同援日増６．０*_15・通訳),0)</f>
        <v>702</v>
      </c>
      <c r="V139" s="48"/>
    </row>
    <row r="140" spans="1:22" ht="16.5" customHeight="1" x14ac:dyDescent="0.15">
      <c r="A140" s="41">
        <v>15</v>
      </c>
      <c r="B140" s="41" t="s">
        <v>29849</v>
      </c>
      <c r="C140" s="74" t="s">
        <v>29850</v>
      </c>
      <c r="D140" s="72" t="s">
        <v>17859</v>
      </c>
      <c r="F140" s="57"/>
      <c r="G140" s="35"/>
      <c r="J140" s="299" t="s">
        <v>17556</v>
      </c>
      <c r="K140" s="45" t="s">
        <v>398</v>
      </c>
      <c r="L140" s="46">
        <v>1</v>
      </c>
      <c r="M140" s="43"/>
      <c r="N140" s="37"/>
      <c r="O140" s="38"/>
      <c r="P140" s="79"/>
      <c r="Q140" s="35"/>
      <c r="T140" s="57"/>
      <c r="U140" s="208">
        <f>ROUND((ROUND((_15_同援日増６．０*_15・通訳),0)*_15・２人),0)</f>
        <v>702</v>
      </c>
      <c r="V140" s="48"/>
    </row>
    <row r="141" spans="1:22" ht="16.5" customHeight="1" x14ac:dyDescent="0.15">
      <c r="A141" s="41">
        <v>15</v>
      </c>
      <c r="B141" s="41" t="s">
        <v>29851</v>
      </c>
      <c r="C141" s="74" t="s">
        <v>29852</v>
      </c>
      <c r="D141" s="72" t="s">
        <v>18768</v>
      </c>
      <c r="F141" s="57"/>
      <c r="G141" s="35"/>
      <c r="J141" s="163"/>
      <c r="K141" s="45"/>
      <c r="L141" s="46"/>
      <c r="M141" s="114" t="s">
        <v>17562</v>
      </c>
      <c r="N141" s="49"/>
      <c r="O141" s="50"/>
      <c r="P141" s="115"/>
      <c r="Q141" s="35"/>
      <c r="T141" s="57"/>
      <c r="U141" s="208">
        <f>ROUND((ROUND((_15_同援日増６．０*_15・通訳),0)*(1+_15・盲ろう)),0)</f>
        <v>878</v>
      </c>
      <c r="V141" s="48"/>
    </row>
    <row r="142" spans="1:22" ht="16.5" customHeight="1" x14ac:dyDescent="0.15">
      <c r="A142" s="41">
        <v>15</v>
      </c>
      <c r="B142" s="41" t="s">
        <v>29853</v>
      </c>
      <c r="C142" s="74" t="s">
        <v>29854</v>
      </c>
      <c r="D142" s="72"/>
      <c r="E142" s="168">
        <f>_15_同援日増６．０</f>
        <v>780</v>
      </c>
      <c r="F142" s="57" t="s">
        <v>392</v>
      </c>
      <c r="G142" s="35"/>
      <c r="J142" s="299" t="s">
        <v>17556</v>
      </c>
      <c r="K142" s="45" t="s">
        <v>398</v>
      </c>
      <c r="L142" s="46">
        <v>1</v>
      </c>
      <c r="M142" s="269" t="s">
        <v>17564</v>
      </c>
      <c r="N142" s="37" t="s">
        <v>398</v>
      </c>
      <c r="O142" s="38">
        <v>0.25</v>
      </c>
      <c r="P142" s="79" t="s">
        <v>3575</v>
      </c>
      <c r="Q142" s="43"/>
      <c r="R142" s="37"/>
      <c r="S142" s="38"/>
      <c r="T142" s="79"/>
      <c r="U142" s="208">
        <f>ROUND((ROUND((ROUND((_15_同援日増６．０*_15・通訳),0)*_15・２人),0)*(1+_15・盲ろう)),0)</f>
        <v>878</v>
      </c>
      <c r="V142" s="48"/>
    </row>
    <row r="143" spans="1:22" ht="16.5" customHeight="1" x14ac:dyDescent="0.15">
      <c r="A143" s="41">
        <v>15</v>
      </c>
      <c r="B143" s="41" t="s">
        <v>29855</v>
      </c>
      <c r="C143" s="74" t="s">
        <v>29856</v>
      </c>
      <c r="D143" s="72"/>
      <c r="F143" s="57"/>
      <c r="G143" s="35"/>
      <c r="J143" s="163"/>
      <c r="K143" s="45"/>
      <c r="L143" s="46"/>
      <c r="M143" s="53"/>
      <c r="N143" s="49"/>
      <c r="O143" s="50"/>
      <c r="P143" s="115"/>
      <c r="Q143" s="114" t="s">
        <v>17570</v>
      </c>
      <c r="R143" s="49"/>
      <c r="S143" s="50"/>
      <c r="T143" s="115"/>
      <c r="U143" s="208">
        <f>ROUND((ROUND((_15_同援日増６．０*_15・通訳),0)*(1+_15・区３)),0)</f>
        <v>842</v>
      </c>
      <c r="V143" s="48"/>
    </row>
    <row r="144" spans="1:22" ht="16.5" customHeight="1" x14ac:dyDescent="0.15">
      <c r="A144" s="41">
        <v>15</v>
      </c>
      <c r="B144" s="41" t="s">
        <v>29857</v>
      </c>
      <c r="C144" s="74" t="s">
        <v>29858</v>
      </c>
      <c r="D144" s="72"/>
      <c r="F144" s="57"/>
      <c r="G144" s="35"/>
      <c r="J144" s="299" t="s">
        <v>17556</v>
      </c>
      <c r="K144" s="45" t="s">
        <v>398</v>
      </c>
      <c r="L144" s="46">
        <v>1</v>
      </c>
      <c r="M144" s="43"/>
      <c r="N144" s="37"/>
      <c r="O144" s="38"/>
      <c r="P144" s="79"/>
      <c r="Q144" s="92" t="s">
        <v>17572</v>
      </c>
      <c r="T144" s="57"/>
      <c r="U144" s="208">
        <f>ROUND((ROUND((ROUND((_15_同援日増６．０*_15・通訳),0)*_15・２人),0)*(1+_15・区３)),0)</f>
        <v>842</v>
      </c>
      <c r="V144" s="48"/>
    </row>
    <row r="145" spans="1:22" ht="16.5" customHeight="1" x14ac:dyDescent="0.15">
      <c r="A145" s="41">
        <v>15</v>
      </c>
      <c r="B145" s="41" t="s">
        <v>3937</v>
      </c>
      <c r="C145" s="74" t="s">
        <v>29859</v>
      </c>
      <c r="D145" s="72"/>
      <c r="F145" s="57"/>
      <c r="G145" s="35"/>
      <c r="J145" s="163"/>
      <c r="K145" s="45"/>
      <c r="L145" s="46"/>
      <c r="M145" s="114" t="s">
        <v>17562</v>
      </c>
      <c r="N145" s="49"/>
      <c r="O145" s="50"/>
      <c r="P145" s="115"/>
      <c r="Q145" s="35"/>
      <c r="R145" s="12" t="s">
        <v>398</v>
      </c>
      <c r="S145" s="13">
        <v>0.2</v>
      </c>
      <c r="T145" s="57" t="s">
        <v>3575</v>
      </c>
      <c r="U145" s="208">
        <f>ROUND((ROUND((ROUND((_15_同援日増６．０*_15・通訳),0)*(1+_15・盲ろう)),0)*(1+_15・区３)),0)</f>
        <v>1054</v>
      </c>
      <c r="V145" s="48"/>
    </row>
    <row r="146" spans="1:22" ht="16.5" customHeight="1" x14ac:dyDescent="0.15">
      <c r="A146" s="41">
        <v>15</v>
      </c>
      <c r="B146" s="41" t="s">
        <v>3939</v>
      </c>
      <c r="C146" s="74" t="s">
        <v>29860</v>
      </c>
      <c r="D146" s="72"/>
      <c r="F146" s="57"/>
      <c r="G146" s="35"/>
      <c r="J146" s="299" t="s">
        <v>17556</v>
      </c>
      <c r="K146" s="45" t="s">
        <v>398</v>
      </c>
      <c r="L146" s="46">
        <v>1</v>
      </c>
      <c r="M146" s="269" t="s">
        <v>17564</v>
      </c>
      <c r="N146" s="37" t="s">
        <v>398</v>
      </c>
      <c r="O146" s="38">
        <v>0.25</v>
      </c>
      <c r="P146" s="79" t="s">
        <v>3575</v>
      </c>
      <c r="Q146" s="43"/>
      <c r="R146" s="37"/>
      <c r="S146" s="38"/>
      <c r="T146" s="79"/>
      <c r="U146" s="208">
        <f>ROUND((ROUND((ROUND((ROUND((_15_同援日増６．０*_15・通訳),0)*_15・２人),0)*(1+_15・盲ろう)),0)*(1+_15・区３)),0)</f>
        <v>1054</v>
      </c>
      <c r="V146" s="48"/>
    </row>
    <row r="147" spans="1:22" ht="16.5" customHeight="1" x14ac:dyDescent="0.15">
      <c r="A147" s="41">
        <v>15</v>
      </c>
      <c r="B147" s="41" t="s">
        <v>29861</v>
      </c>
      <c r="C147" s="74" t="s">
        <v>29862</v>
      </c>
      <c r="D147" s="72"/>
      <c r="F147" s="57"/>
      <c r="G147" s="35"/>
      <c r="J147" s="163"/>
      <c r="K147" s="45"/>
      <c r="L147" s="46"/>
      <c r="M147" s="53"/>
      <c r="N147" s="49"/>
      <c r="O147" s="50"/>
      <c r="P147" s="115"/>
      <c r="Q147" s="114" t="s">
        <v>17580</v>
      </c>
      <c r="R147" s="49"/>
      <c r="S147" s="50"/>
      <c r="T147" s="115"/>
      <c r="U147" s="208">
        <f>ROUND((ROUND((_15_同援日増６．０*_15・通訳),0)*(1+_15・区４)),0)</f>
        <v>983</v>
      </c>
      <c r="V147" s="48"/>
    </row>
    <row r="148" spans="1:22" ht="16.5" customHeight="1" x14ac:dyDescent="0.15">
      <c r="A148" s="41">
        <v>15</v>
      </c>
      <c r="B148" s="41" t="s">
        <v>29863</v>
      </c>
      <c r="C148" s="74" t="s">
        <v>29864</v>
      </c>
      <c r="D148" s="72"/>
      <c r="F148" s="57"/>
      <c r="G148" s="35"/>
      <c r="J148" s="299" t="s">
        <v>17556</v>
      </c>
      <c r="K148" s="45" t="s">
        <v>398</v>
      </c>
      <c r="L148" s="46">
        <v>1</v>
      </c>
      <c r="M148" s="43"/>
      <c r="N148" s="37"/>
      <c r="O148" s="38"/>
      <c r="P148" s="79"/>
      <c r="Q148" s="92" t="s">
        <v>17572</v>
      </c>
      <c r="T148" s="57"/>
      <c r="U148" s="208">
        <f>ROUND((ROUND((ROUND((_15_同援日増６．０*_15・通訳),0)*_15・２人),0)*(1+_15・区４)),0)</f>
        <v>983</v>
      </c>
      <c r="V148" s="48"/>
    </row>
    <row r="149" spans="1:22" ht="16.5" customHeight="1" x14ac:dyDescent="0.15">
      <c r="A149" s="41">
        <v>15</v>
      </c>
      <c r="B149" s="41" t="s">
        <v>29865</v>
      </c>
      <c r="C149" s="74" t="s">
        <v>29866</v>
      </c>
      <c r="D149" s="72"/>
      <c r="F149" s="57"/>
      <c r="G149" s="35"/>
      <c r="J149" s="163"/>
      <c r="K149" s="45"/>
      <c r="L149" s="46"/>
      <c r="M149" s="114" t="s">
        <v>17562</v>
      </c>
      <c r="N149" s="49"/>
      <c r="O149" s="50"/>
      <c r="P149" s="115"/>
      <c r="Q149" s="35"/>
      <c r="R149" s="12" t="s">
        <v>398</v>
      </c>
      <c r="S149" s="13">
        <v>0.4</v>
      </c>
      <c r="T149" s="57" t="s">
        <v>3575</v>
      </c>
      <c r="U149" s="208">
        <f>ROUND((ROUND((ROUND((_15_同援日増６．０*_15・通訳),0)*(1+_15・盲ろう)),0)*(1+_15・区４)),0)</f>
        <v>1229</v>
      </c>
      <c r="V149" s="48"/>
    </row>
    <row r="150" spans="1:22" ht="16.5" customHeight="1" x14ac:dyDescent="0.15">
      <c r="A150" s="41">
        <v>15</v>
      </c>
      <c r="B150" s="41" t="s">
        <v>29867</v>
      </c>
      <c r="C150" s="74" t="s">
        <v>29868</v>
      </c>
      <c r="D150" s="122"/>
      <c r="E150" s="37"/>
      <c r="F150" s="79"/>
      <c r="G150" s="35"/>
      <c r="J150" s="299" t="s">
        <v>17556</v>
      </c>
      <c r="K150" s="45" t="s">
        <v>398</v>
      </c>
      <c r="L150" s="46">
        <v>1</v>
      </c>
      <c r="M150" s="269" t="s">
        <v>17564</v>
      </c>
      <c r="N150" s="37" t="s">
        <v>398</v>
      </c>
      <c r="O150" s="38">
        <v>0.25</v>
      </c>
      <c r="P150" s="79" t="s">
        <v>3575</v>
      </c>
      <c r="Q150" s="43"/>
      <c r="R150" s="37"/>
      <c r="S150" s="38"/>
      <c r="T150" s="79"/>
      <c r="U150" s="208">
        <f>ROUND((ROUND((ROUND((ROUND((_15_同援日増６．０*_15・通訳),0)*_15・２人),0)*(1+_15・盲ろう)),0)*(1+_15・区４)),0)</f>
        <v>1229</v>
      </c>
      <c r="V150" s="48"/>
    </row>
    <row r="151" spans="1:22" ht="16.5" customHeight="1" x14ac:dyDescent="0.15">
      <c r="A151" s="41">
        <v>15</v>
      </c>
      <c r="B151" s="41" t="s">
        <v>29869</v>
      </c>
      <c r="C151" s="74" t="s">
        <v>29870</v>
      </c>
      <c r="D151" s="114" t="s">
        <v>24124</v>
      </c>
      <c r="E151" s="49"/>
      <c r="F151" s="115"/>
      <c r="G151" s="35"/>
      <c r="J151" s="163"/>
      <c r="K151" s="45"/>
      <c r="L151" s="46"/>
      <c r="M151" s="53"/>
      <c r="N151" s="49"/>
      <c r="O151" s="50"/>
      <c r="P151" s="115"/>
      <c r="Q151" s="53"/>
      <c r="R151" s="49"/>
      <c r="S151" s="50"/>
      <c r="T151" s="115"/>
      <c r="U151" s="208">
        <f>ROUND((_15_同援日増６．５*_15・通訳),0)</f>
        <v>761</v>
      </c>
      <c r="V151" s="48"/>
    </row>
    <row r="152" spans="1:22" ht="16.5" customHeight="1" x14ac:dyDescent="0.15">
      <c r="A152" s="41">
        <v>15</v>
      </c>
      <c r="B152" s="41" t="s">
        <v>29871</v>
      </c>
      <c r="C152" s="74" t="s">
        <v>29872</v>
      </c>
      <c r="D152" s="72" t="s">
        <v>17886</v>
      </c>
      <c r="F152" s="57"/>
      <c r="G152" s="35"/>
      <c r="J152" s="299" t="s">
        <v>17556</v>
      </c>
      <c r="K152" s="45" t="s">
        <v>398</v>
      </c>
      <c r="L152" s="46">
        <v>1</v>
      </c>
      <c r="M152" s="43"/>
      <c r="N152" s="37"/>
      <c r="O152" s="38"/>
      <c r="P152" s="79"/>
      <c r="Q152" s="35"/>
      <c r="T152" s="57"/>
      <c r="U152" s="208">
        <f>ROUND((ROUND((_15_同援日増６．５*_15・通訳),0)*_15・２人),0)</f>
        <v>761</v>
      </c>
      <c r="V152" s="48"/>
    </row>
    <row r="153" spans="1:22" ht="16.5" customHeight="1" x14ac:dyDescent="0.15">
      <c r="A153" s="41">
        <v>15</v>
      </c>
      <c r="B153" s="41" t="s">
        <v>29873</v>
      </c>
      <c r="C153" s="74" t="s">
        <v>29874</v>
      </c>
      <c r="D153" s="72" t="s">
        <v>18794</v>
      </c>
      <c r="F153" s="57"/>
      <c r="G153" s="35"/>
      <c r="J153" s="163"/>
      <c r="K153" s="45"/>
      <c r="L153" s="46"/>
      <c r="M153" s="114" t="s">
        <v>17562</v>
      </c>
      <c r="N153" s="49"/>
      <c r="O153" s="50"/>
      <c r="P153" s="115"/>
      <c r="Q153" s="35"/>
      <c r="T153" s="57"/>
      <c r="U153" s="208">
        <f>ROUND((ROUND((_15_同援日増６．５*_15・通訳),0)*(1+_15・盲ろう)),0)</f>
        <v>951</v>
      </c>
      <c r="V153" s="48"/>
    </row>
    <row r="154" spans="1:22" ht="16.5" customHeight="1" x14ac:dyDescent="0.15">
      <c r="A154" s="41">
        <v>15</v>
      </c>
      <c r="B154" s="41" t="s">
        <v>29875</v>
      </c>
      <c r="C154" s="74" t="s">
        <v>29876</v>
      </c>
      <c r="D154" s="72"/>
      <c r="E154" s="168">
        <f>_15_同援日増６．５</f>
        <v>845</v>
      </c>
      <c r="F154" s="57" t="s">
        <v>392</v>
      </c>
      <c r="G154" s="35"/>
      <c r="J154" s="299" t="s">
        <v>17556</v>
      </c>
      <c r="K154" s="45" t="s">
        <v>398</v>
      </c>
      <c r="L154" s="46">
        <v>1</v>
      </c>
      <c r="M154" s="269" t="s">
        <v>17564</v>
      </c>
      <c r="N154" s="37" t="s">
        <v>398</v>
      </c>
      <c r="O154" s="38">
        <v>0.25</v>
      </c>
      <c r="P154" s="79" t="s">
        <v>3575</v>
      </c>
      <c r="Q154" s="43"/>
      <c r="R154" s="37"/>
      <c r="S154" s="38"/>
      <c r="T154" s="79"/>
      <c r="U154" s="208">
        <f>ROUND((ROUND((ROUND((_15_同援日増６．５*_15・通訳),0)*_15・２人),0)*(1+_15・盲ろう)),0)</f>
        <v>951</v>
      </c>
      <c r="V154" s="48"/>
    </row>
    <row r="155" spans="1:22" ht="16.5" customHeight="1" x14ac:dyDescent="0.15">
      <c r="A155" s="41">
        <v>15</v>
      </c>
      <c r="B155" s="41" t="s">
        <v>3943</v>
      </c>
      <c r="C155" s="74" t="s">
        <v>29877</v>
      </c>
      <c r="D155" s="72"/>
      <c r="F155" s="57"/>
      <c r="G155" s="35"/>
      <c r="J155" s="163"/>
      <c r="K155" s="45"/>
      <c r="L155" s="46"/>
      <c r="M155" s="53"/>
      <c r="N155" s="49"/>
      <c r="O155" s="50"/>
      <c r="P155" s="115"/>
      <c r="Q155" s="114" t="s">
        <v>17570</v>
      </c>
      <c r="R155" s="49"/>
      <c r="S155" s="50"/>
      <c r="T155" s="115"/>
      <c r="U155" s="208">
        <f>ROUND((ROUND((_15_同援日増６．５*_15・通訳),0)*(1+_15・区３)),0)</f>
        <v>913</v>
      </c>
      <c r="V155" s="48"/>
    </row>
    <row r="156" spans="1:22" ht="16.5" customHeight="1" x14ac:dyDescent="0.15">
      <c r="A156" s="41">
        <v>15</v>
      </c>
      <c r="B156" s="41" t="s">
        <v>3945</v>
      </c>
      <c r="C156" s="74" t="s">
        <v>29878</v>
      </c>
      <c r="D156" s="72"/>
      <c r="F156" s="57"/>
      <c r="G156" s="35"/>
      <c r="J156" s="299" t="s">
        <v>17556</v>
      </c>
      <c r="K156" s="45" t="s">
        <v>398</v>
      </c>
      <c r="L156" s="46">
        <v>1</v>
      </c>
      <c r="M156" s="43"/>
      <c r="N156" s="37"/>
      <c r="O156" s="38"/>
      <c r="P156" s="79"/>
      <c r="Q156" s="92" t="s">
        <v>17572</v>
      </c>
      <c r="T156" s="57"/>
      <c r="U156" s="208">
        <f>ROUND((ROUND((ROUND((_15_同援日増６．５*_15・通訳),0)*_15・２人),0)*(1+_15・区３)),0)</f>
        <v>913</v>
      </c>
      <c r="V156" s="48"/>
    </row>
    <row r="157" spans="1:22" ht="16.5" customHeight="1" x14ac:dyDescent="0.15">
      <c r="A157" s="41">
        <v>15</v>
      </c>
      <c r="B157" s="41" t="s">
        <v>29879</v>
      </c>
      <c r="C157" s="74" t="s">
        <v>29880</v>
      </c>
      <c r="D157" s="72"/>
      <c r="F157" s="57"/>
      <c r="G157" s="35"/>
      <c r="J157" s="163"/>
      <c r="K157" s="45"/>
      <c r="L157" s="46"/>
      <c r="M157" s="114" t="s">
        <v>17562</v>
      </c>
      <c r="N157" s="49"/>
      <c r="O157" s="50"/>
      <c r="P157" s="115"/>
      <c r="Q157" s="35"/>
      <c r="R157" s="12" t="s">
        <v>398</v>
      </c>
      <c r="S157" s="13">
        <v>0.2</v>
      </c>
      <c r="T157" s="57" t="s">
        <v>3575</v>
      </c>
      <c r="U157" s="208">
        <f>ROUND((ROUND((ROUND((_15_同援日増６．５*_15・通訳),0)*(1+_15・盲ろう)),0)*(1+_15・区３)),0)</f>
        <v>1141</v>
      </c>
      <c r="V157" s="48"/>
    </row>
    <row r="158" spans="1:22" ht="16.5" customHeight="1" x14ac:dyDescent="0.15">
      <c r="A158" s="41">
        <v>15</v>
      </c>
      <c r="B158" s="41" t="s">
        <v>29881</v>
      </c>
      <c r="C158" s="74" t="s">
        <v>29882</v>
      </c>
      <c r="D158" s="72"/>
      <c r="F158" s="57"/>
      <c r="G158" s="35"/>
      <c r="J158" s="299" t="s">
        <v>17556</v>
      </c>
      <c r="K158" s="45" t="s">
        <v>398</v>
      </c>
      <c r="L158" s="46">
        <v>1</v>
      </c>
      <c r="M158" s="269" t="s">
        <v>17564</v>
      </c>
      <c r="N158" s="37" t="s">
        <v>398</v>
      </c>
      <c r="O158" s="38">
        <v>0.25</v>
      </c>
      <c r="P158" s="79" t="s">
        <v>3575</v>
      </c>
      <c r="Q158" s="43"/>
      <c r="R158" s="37"/>
      <c r="S158" s="38"/>
      <c r="T158" s="79"/>
      <c r="U158" s="208">
        <f>ROUND((ROUND((ROUND((ROUND((_15_同援日増６．５*_15・通訳),0)*_15・２人),0)*(1+_15・盲ろう)),0)*(1+_15・区３)),0)</f>
        <v>1141</v>
      </c>
      <c r="V158" s="48"/>
    </row>
    <row r="159" spans="1:22" ht="16.5" customHeight="1" x14ac:dyDescent="0.15">
      <c r="A159" s="41">
        <v>15</v>
      </c>
      <c r="B159" s="41" t="s">
        <v>29883</v>
      </c>
      <c r="C159" s="74" t="s">
        <v>29884</v>
      </c>
      <c r="D159" s="72"/>
      <c r="F159" s="57"/>
      <c r="G159" s="35"/>
      <c r="J159" s="163"/>
      <c r="K159" s="45"/>
      <c r="L159" s="46"/>
      <c r="M159" s="53"/>
      <c r="N159" s="49"/>
      <c r="O159" s="50"/>
      <c r="P159" s="115"/>
      <c r="Q159" s="114" t="s">
        <v>17580</v>
      </c>
      <c r="R159" s="49"/>
      <c r="S159" s="50"/>
      <c r="T159" s="115"/>
      <c r="U159" s="208">
        <f>ROUND((ROUND((_15_同援日増６．５*_15・通訳),0)*(1+_15・区４)),0)</f>
        <v>1065</v>
      </c>
      <c r="V159" s="48"/>
    </row>
    <row r="160" spans="1:22" ht="16.5" customHeight="1" x14ac:dyDescent="0.15">
      <c r="A160" s="41">
        <v>15</v>
      </c>
      <c r="B160" s="41" t="s">
        <v>29885</v>
      </c>
      <c r="C160" s="74" t="s">
        <v>29886</v>
      </c>
      <c r="D160" s="72"/>
      <c r="F160" s="57"/>
      <c r="G160" s="35"/>
      <c r="J160" s="299" t="s">
        <v>17556</v>
      </c>
      <c r="K160" s="45" t="s">
        <v>398</v>
      </c>
      <c r="L160" s="46">
        <v>1</v>
      </c>
      <c r="M160" s="43"/>
      <c r="N160" s="37"/>
      <c r="O160" s="38"/>
      <c r="P160" s="79"/>
      <c r="Q160" s="92" t="s">
        <v>17572</v>
      </c>
      <c r="T160" s="57"/>
      <c r="U160" s="208">
        <f>ROUND((ROUND((ROUND((_15_同援日増６．５*_15・通訳),0)*_15・２人),0)*(1+_15・区４)),0)</f>
        <v>1065</v>
      </c>
      <c r="V160" s="48"/>
    </row>
    <row r="161" spans="1:22" ht="16.5" customHeight="1" x14ac:dyDescent="0.15">
      <c r="A161" s="41">
        <v>15</v>
      </c>
      <c r="B161" s="41" t="s">
        <v>29887</v>
      </c>
      <c r="C161" s="74" t="s">
        <v>29888</v>
      </c>
      <c r="D161" s="72"/>
      <c r="F161" s="57"/>
      <c r="G161" s="35"/>
      <c r="J161" s="163"/>
      <c r="K161" s="45"/>
      <c r="L161" s="46"/>
      <c r="M161" s="114" t="s">
        <v>17562</v>
      </c>
      <c r="N161" s="49"/>
      <c r="O161" s="50"/>
      <c r="P161" s="115"/>
      <c r="Q161" s="35"/>
      <c r="R161" s="12" t="s">
        <v>398</v>
      </c>
      <c r="S161" s="13">
        <v>0.4</v>
      </c>
      <c r="T161" s="57" t="s">
        <v>3575</v>
      </c>
      <c r="U161" s="208">
        <f>ROUND((ROUND((ROUND((_15_同援日増６．５*_15・通訳),0)*(1+_15・盲ろう)),0)*(1+_15・区４)),0)</f>
        <v>1331</v>
      </c>
      <c r="V161" s="48"/>
    </row>
    <row r="162" spans="1:22" ht="16.5" customHeight="1" x14ac:dyDescent="0.15">
      <c r="A162" s="41">
        <v>15</v>
      </c>
      <c r="B162" s="41" t="s">
        <v>29889</v>
      </c>
      <c r="C162" s="74" t="s">
        <v>29890</v>
      </c>
      <c r="D162" s="122"/>
      <c r="E162" s="37"/>
      <c r="F162" s="79"/>
      <c r="G162" s="35"/>
      <c r="J162" s="299" t="s">
        <v>17556</v>
      </c>
      <c r="K162" s="45" t="s">
        <v>398</v>
      </c>
      <c r="L162" s="46">
        <v>1</v>
      </c>
      <c r="M162" s="269" t="s">
        <v>17564</v>
      </c>
      <c r="N162" s="37" t="s">
        <v>398</v>
      </c>
      <c r="O162" s="38">
        <v>0.25</v>
      </c>
      <c r="P162" s="79" t="s">
        <v>3575</v>
      </c>
      <c r="Q162" s="43"/>
      <c r="R162" s="37"/>
      <c r="S162" s="38"/>
      <c r="T162" s="79"/>
      <c r="U162" s="208">
        <f>ROUND((ROUND((ROUND((ROUND((_15_同援日増６．５*_15・通訳),0)*_15・２人),0)*(1+_15・盲ろう)),0)*(1+_15・区４)),0)</f>
        <v>1331</v>
      </c>
      <c r="V162" s="48"/>
    </row>
    <row r="163" spans="1:22" ht="16.5" customHeight="1" x14ac:dyDescent="0.15">
      <c r="A163" s="41">
        <v>15</v>
      </c>
      <c r="B163" s="41" t="s">
        <v>29891</v>
      </c>
      <c r="C163" s="74" t="s">
        <v>29892</v>
      </c>
      <c r="D163" s="114" t="s">
        <v>24169</v>
      </c>
      <c r="E163" s="49"/>
      <c r="F163" s="115"/>
      <c r="G163" s="35"/>
      <c r="J163" s="163"/>
      <c r="K163" s="45"/>
      <c r="L163" s="46"/>
      <c r="M163" s="53"/>
      <c r="N163" s="49"/>
      <c r="O163" s="50"/>
      <c r="P163" s="115"/>
      <c r="Q163" s="53"/>
      <c r="R163" s="49"/>
      <c r="S163" s="50"/>
      <c r="T163" s="115"/>
      <c r="U163" s="208">
        <f>ROUND((_15_同援日増７．０*_15・通訳),0)</f>
        <v>819</v>
      </c>
      <c r="V163" s="48"/>
    </row>
    <row r="164" spans="1:22" ht="16.5" customHeight="1" x14ac:dyDescent="0.15">
      <c r="A164" s="41">
        <v>15</v>
      </c>
      <c r="B164" s="41" t="s">
        <v>29893</v>
      </c>
      <c r="C164" s="74" t="s">
        <v>29894</v>
      </c>
      <c r="D164" s="72" t="s">
        <v>17913</v>
      </c>
      <c r="F164" s="57"/>
      <c r="G164" s="35"/>
      <c r="J164" s="299" t="s">
        <v>17556</v>
      </c>
      <c r="K164" s="45" t="s">
        <v>398</v>
      </c>
      <c r="L164" s="46">
        <v>1</v>
      </c>
      <c r="M164" s="43"/>
      <c r="N164" s="37"/>
      <c r="O164" s="38"/>
      <c r="P164" s="79"/>
      <c r="Q164" s="35"/>
      <c r="T164" s="57"/>
      <c r="U164" s="208">
        <f>ROUND((ROUND((_15_同援日増７．０*_15・通訳),0)*_15・２人),0)</f>
        <v>819</v>
      </c>
      <c r="V164" s="48"/>
    </row>
    <row r="165" spans="1:22" ht="16.5" customHeight="1" x14ac:dyDescent="0.15">
      <c r="A165" s="41">
        <v>15</v>
      </c>
      <c r="B165" s="41" t="s">
        <v>3949</v>
      </c>
      <c r="C165" s="74" t="s">
        <v>29895</v>
      </c>
      <c r="D165" s="72" t="s">
        <v>24174</v>
      </c>
      <c r="F165" s="57"/>
      <c r="G165" s="35"/>
      <c r="J165" s="163"/>
      <c r="K165" s="45"/>
      <c r="L165" s="46"/>
      <c r="M165" s="114" t="s">
        <v>17562</v>
      </c>
      <c r="N165" s="49"/>
      <c r="O165" s="50"/>
      <c r="P165" s="115"/>
      <c r="Q165" s="35"/>
      <c r="T165" s="57"/>
      <c r="U165" s="208">
        <f>ROUND((ROUND((_15_同援日増７．０*_15・通訳),0)*(1+_15・盲ろう)),0)</f>
        <v>1024</v>
      </c>
      <c r="V165" s="48"/>
    </row>
    <row r="166" spans="1:22" ht="16.5" customHeight="1" x14ac:dyDescent="0.15">
      <c r="A166" s="41">
        <v>15</v>
      </c>
      <c r="B166" s="41" t="s">
        <v>3951</v>
      </c>
      <c r="C166" s="74" t="s">
        <v>29896</v>
      </c>
      <c r="D166" s="72"/>
      <c r="E166" s="168">
        <f>_15_同援日増７．０</f>
        <v>910</v>
      </c>
      <c r="F166" s="57" t="s">
        <v>392</v>
      </c>
      <c r="G166" s="35"/>
      <c r="J166" s="299" t="s">
        <v>17556</v>
      </c>
      <c r="K166" s="45" t="s">
        <v>398</v>
      </c>
      <c r="L166" s="46">
        <v>1</v>
      </c>
      <c r="M166" s="269" t="s">
        <v>17564</v>
      </c>
      <c r="N166" s="37" t="s">
        <v>398</v>
      </c>
      <c r="O166" s="38">
        <v>0.25</v>
      </c>
      <c r="P166" s="79" t="s">
        <v>3575</v>
      </c>
      <c r="Q166" s="43"/>
      <c r="R166" s="37"/>
      <c r="S166" s="38"/>
      <c r="T166" s="79"/>
      <c r="U166" s="208">
        <f>ROUND((ROUND((ROUND((_15_同援日増７．０*_15・通訳),0)*_15・２人),0)*(1+_15・盲ろう)),0)</f>
        <v>1024</v>
      </c>
      <c r="V166" s="48"/>
    </row>
    <row r="167" spans="1:22" ht="16.5" customHeight="1" x14ac:dyDescent="0.15">
      <c r="A167" s="41">
        <v>15</v>
      </c>
      <c r="B167" s="41" t="s">
        <v>29897</v>
      </c>
      <c r="C167" s="74" t="s">
        <v>29898</v>
      </c>
      <c r="D167" s="72"/>
      <c r="F167" s="57"/>
      <c r="G167" s="35"/>
      <c r="J167" s="163"/>
      <c r="K167" s="45"/>
      <c r="L167" s="46"/>
      <c r="M167" s="53"/>
      <c r="N167" s="49"/>
      <c r="O167" s="50"/>
      <c r="P167" s="115"/>
      <c r="Q167" s="114" t="s">
        <v>17570</v>
      </c>
      <c r="R167" s="49"/>
      <c r="S167" s="50"/>
      <c r="T167" s="115"/>
      <c r="U167" s="208">
        <f>ROUND((ROUND((_15_同援日増７．０*_15・通訳),0)*(1+_15・区３)),0)</f>
        <v>983</v>
      </c>
      <c r="V167" s="48"/>
    </row>
    <row r="168" spans="1:22" ht="16.5" customHeight="1" x14ac:dyDescent="0.15">
      <c r="A168" s="41">
        <v>15</v>
      </c>
      <c r="B168" s="41" t="s">
        <v>29899</v>
      </c>
      <c r="C168" s="74" t="s">
        <v>29900</v>
      </c>
      <c r="D168" s="72"/>
      <c r="F168" s="57"/>
      <c r="G168" s="35"/>
      <c r="J168" s="299" t="s">
        <v>17556</v>
      </c>
      <c r="K168" s="45" t="s">
        <v>398</v>
      </c>
      <c r="L168" s="46">
        <v>1</v>
      </c>
      <c r="M168" s="43"/>
      <c r="N168" s="37"/>
      <c r="O168" s="38"/>
      <c r="P168" s="79"/>
      <c r="Q168" s="92" t="s">
        <v>17572</v>
      </c>
      <c r="T168" s="57"/>
      <c r="U168" s="208">
        <f>ROUND((ROUND((ROUND((_15_同援日増７．０*_15・通訳),0)*_15・２人),0)*(1+_15・区３)),0)</f>
        <v>983</v>
      </c>
      <c r="V168" s="48"/>
    </row>
    <row r="169" spans="1:22" ht="16.5" customHeight="1" x14ac:dyDescent="0.15">
      <c r="A169" s="41">
        <v>15</v>
      </c>
      <c r="B169" s="41" t="s">
        <v>29901</v>
      </c>
      <c r="C169" s="74" t="s">
        <v>29902</v>
      </c>
      <c r="D169" s="72"/>
      <c r="F169" s="57"/>
      <c r="G169" s="35"/>
      <c r="J169" s="163"/>
      <c r="K169" s="45"/>
      <c r="L169" s="46"/>
      <c r="M169" s="114" t="s">
        <v>17562</v>
      </c>
      <c r="N169" s="49"/>
      <c r="O169" s="50"/>
      <c r="P169" s="115"/>
      <c r="Q169" s="35"/>
      <c r="R169" s="12" t="s">
        <v>398</v>
      </c>
      <c r="S169" s="13">
        <v>0.2</v>
      </c>
      <c r="T169" s="57" t="s">
        <v>3575</v>
      </c>
      <c r="U169" s="208">
        <f>ROUND((ROUND((ROUND((_15_同援日増７．０*_15・通訳),0)*(1+_15・盲ろう)),0)*(1+_15・区３)),0)</f>
        <v>1229</v>
      </c>
      <c r="V169" s="48"/>
    </row>
    <row r="170" spans="1:22" ht="16.5" customHeight="1" x14ac:dyDescent="0.15">
      <c r="A170" s="41">
        <v>15</v>
      </c>
      <c r="B170" s="41" t="s">
        <v>29903</v>
      </c>
      <c r="C170" s="74" t="s">
        <v>29904</v>
      </c>
      <c r="D170" s="72"/>
      <c r="F170" s="57"/>
      <c r="G170" s="35"/>
      <c r="J170" s="299" t="s">
        <v>17556</v>
      </c>
      <c r="K170" s="45" t="s">
        <v>398</v>
      </c>
      <c r="L170" s="46">
        <v>1</v>
      </c>
      <c r="M170" s="269" t="s">
        <v>17564</v>
      </c>
      <c r="N170" s="37" t="s">
        <v>398</v>
      </c>
      <c r="O170" s="38">
        <v>0.25</v>
      </c>
      <c r="P170" s="79" t="s">
        <v>3575</v>
      </c>
      <c r="Q170" s="43"/>
      <c r="R170" s="37"/>
      <c r="S170" s="38"/>
      <c r="T170" s="79"/>
      <c r="U170" s="208">
        <f>ROUND((ROUND((ROUND((ROUND((_15_同援日増７．０*_15・通訳),0)*_15・２人),0)*(1+_15・盲ろう)),0)*(1+_15・区３)),0)</f>
        <v>1229</v>
      </c>
      <c r="V170" s="48"/>
    </row>
    <row r="171" spans="1:22" ht="16.5" customHeight="1" x14ac:dyDescent="0.15">
      <c r="A171" s="41">
        <v>15</v>
      </c>
      <c r="B171" s="41" t="s">
        <v>29905</v>
      </c>
      <c r="C171" s="74" t="s">
        <v>29906</v>
      </c>
      <c r="D171" s="72"/>
      <c r="F171" s="57"/>
      <c r="G171" s="35"/>
      <c r="J171" s="163"/>
      <c r="K171" s="45"/>
      <c r="L171" s="46"/>
      <c r="M171" s="53"/>
      <c r="N171" s="49"/>
      <c r="O171" s="50"/>
      <c r="P171" s="115"/>
      <c r="Q171" s="114" t="s">
        <v>17580</v>
      </c>
      <c r="R171" s="49"/>
      <c r="S171" s="50"/>
      <c r="T171" s="115"/>
      <c r="U171" s="208">
        <f>ROUND((ROUND((_15_同援日増７．０*_15・通訳),0)*(1+_15・区４)),0)</f>
        <v>1147</v>
      </c>
      <c r="V171" s="48"/>
    </row>
    <row r="172" spans="1:22" ht="16.5" customHeight="1" x14ac:dyDescent="0.15">
      <c r="A172" s="41">
        <v>15</v>
      </c>
      <c r="B172" s="41" t="s">
        <v>29907</v>
      </c>
      <c r="C172" s="74" t="s">
        <v>29908</v>
      </c>
      <c r="D172" s="72"/>
      <c r="F172" s="57"/>
      <c r="G172" s="35"/>
      <c r="J172" s="299" t="s">
        <v>17556</v>
      </c>
      <c r="K172" s="45" t="s">
        <v>398</v>
      </c>
      <c r="L172" s="46">
        <v>1</v>
      </c>
      <c r="M172" s="43"/>
      <c r="N172" s="37"/>
      <c r="O172" s="38"/>
      <c r="P172" s="79"/>
      <c r="Q172" s="92" t="s">
        <v>17572</v>
      </c>
      <c r="T172" s="57"/>
      <c r="U172" s="208">
        <f>ROUND((ROUND((ROUND((_15_同援日増７．０*_15・通訳),0)*_15・２人),0)*(1+_15・区４)),0)</f>
        <v>1147</v>
      </c>
      <c r="V172" s="48"/>
    </row>
    <row r="173" spans="1:22" ht="16.5" customHeight="1" x14ac:dyDescent="0.15">
      <c r="A173" s="41">
        <v>15</v>
      </c>
      <c r="B173" s="41" t="s">
        <v>29909</v>
      </c>
      <c r="C173" s="74" t="s">
        <v>29910</v>
      </c>
      <c r="D173" s="72"/>
      <c r="F173" s="57"/>
      <c r="G173" s="35"/>
      <c r="J173" s="163"/>
      <c r="K173" s="45"/>
      <c r="L173" s="46"/>
      <c r="M173" s="114" t="s">
        <v>17562</v>
      </c>
      <c r="N173" s="49"/>
      <c r="O173" s="50"/>
      <c r="P173" s="115"/>
      <c r="Q173" s="35"/>
      <c r="R173" s="12" t="s">
        <v>398</v>
      </c>
      <c r="S173" s="13">
        <v>0.4</v>
      </c>
      <c r="T173" s="57" t="s">
        <v>3575</v>
      </c>
      <c r="U173" s="208">
        <f>ROUND((ROUND((ROUND((_15_同援日増７．０*_15・通訳),0)*(1+_15・盲ろう)),0)*(1+_15・区４)),0)</f>
        <v>1434</v>
      </c>
      <c r="V173" s="48"/>
    </row>
    <row r="174" spans="1:22" ht="16.5" customHeight="1" x14ac:dyDescent="0.15">
      <c r="A174" s="41">
        <v>15</v>
      </c>
      <c r="B174" s="41" t="s">
        <v>29911</v>
      </c>
      <c r="C174" s="74" t="s">
        <v>29912</v>
      </c>
      <c r="D174" s="122"/>
      <c r="E174" s="37"/>
      <c r="F174" s="79"/>
      <c r="G174" s="35"/>
      <c r="J174" s="299" t="s">
        <v>17556</v>
      </c>
      <c r="K174" s="45" t="s">
        <v>398</v>
      </c>
      <c r="L174" s="46">
        <v>1</v>
      </c>
      <c r="M174" s="269" t="s">
        <v>17564</v>
      </c>
      <c r="N174" s="37" t="s">
        <v>398</v>
      </c>
      <c r="O174" s="38">
        <v>0.25</v>
      </c>
      <c r="P174" s="79" t="s">
        <v>3575</v>
      </c>
      <c r="Q174" s="43"/>
      <c r="R174" s="37"/>
      <c r="S174" s="38"/>
      <c r="T174" s="79"/>
      <c r="U174" s="208">
        <f>ROUND((ROUND((ROUND((ROUND((_15_同援日増７．０*_15・通訳),0)*_15・２人),0)*(1+_15・盲ろう)),0)*(1+_15・区４)),0)</f>
        <v>1434</v>
      </c>
      <c r="V174" s="48"/>
    </row>
    <row r="175" spans="1:22" ht="16.5" customHeight="1" x14ac:dyDescent="0.15">
      <c r="A175" s="41">
        <v>15</v>
      </c>
      <c r="B175" s="41" t="s">
        <v>3955</v>
      </c>
      <c r="C175" s="74" t="s">
        <v>29913</v>
      </c>
      <c r="D175" s="114" t="s">
        <v>24215</v>
      </c>
      <c r="E175" s="49"/>
      <c r="F175" s="115"/>
      <c r="G175" s="35"/>
      <c r="J175" s="163"/>
      <c r="K175" s="45"/>
      <c r="L175" s="46"/>
      <c r="M175" s="53"/>
      <c r="N175" s="49"/>
      <c r="O175" s="50"/>
      <c r="P175" s="115"/>
      <c r="Q175" s="53"/>
      <c r="R175" s="49"/>
      <c r="S175" s="50"/>
      <c r="T175" s="115"/>
      <c r="U175" s="208">
        <f>ROUND((_15_同援日増７．５*_15・通訳),0)</f>
        <v>878</v>
      </c>
      <c r="V175" s="48"/>
    </row>
    <row r="176" spans="1:22" ht="16.5" customHeight="1" x14ac:dyDescent="0.15">
      <c r="A176" s="41">
        <v>15</v>
      </c>
      <c r="B176" s="41" t="s">
        <v>3957</v>
      </c>
      <c r="C176" s="74" t="s">
        <v>29914</v>
      </c>
      <c r="D176" s="72" t="s">
        <v>17940</v>
      </c>
      <c r="F176" s="57"/>
      <c r="G176" s="35"/>
      <c r="J176" s="299" t="s">
        <v>17556</v>
      </c>
      <c r="K176" s="45" t="s">
        <v>398</v>
      </c>
      <c r="L176" s="46">
        <v>1</v>
      </c>
      <c r="M176" s="43"/>
      <c r="N176" s="37"/>
      <c r="O176" s="38"/>
      <c r="P176" s="79"/>
      <c r="Q176" s="35"/>
      <c r="T176" s="57"/>
      <c r="U176" s="208">
        <f>ROUND((ROUND((_15_同援日増７．５*_15・通訳),0)*_15・２人),0)</f>
        <v>878</v>
      </c>
      <c r="V176" s="48"/>
    </row>
    <row r="177" spans="1:22" ht="16.5" customHeight="1" x14ac:dyDescent="0.15">
      <c r="A177" s="41">
        <v>15</v>
      </c>
      <c r="B177" s="41" t="s">
        <v>29915</v>
      </c>
      <c r="C177" s="74" t="s">
        <v>29916</v>
      </c>
      <c r="D177" s="72" t="s">
        <v>24219</v>
      </c>
      <c r="F177" s="57"/>
      <c r="G177" s="35"/>
      <c r="J177" s="163"/>
      <c r="K177" s="45"/>
      <c r="L177" s="46"/>
      <c r="M177" s="114" t="s">
        <v>17562</v>
      </c>
      <c r="N177" s="49"/>
      <c r="O177" s="50"/>
      <c r="P177" s="115"/>
      <c r="Q177" s="35"/>
      <c r="T177" s="57"/>
      <c r="U177" s="208">
        <f>ROUND((ROUND((_15_同援日増７．５*_15・通訳),0)*(1+_15・盲ろう)),0)</f>
        <v>1098</v>
      </c>
      <c r="V177" s="48"/>
    </row>
    <row r="178" spans="1:22" ht="16.5" customHeight="1" x14ac:dyDescent="0.15">
      <c r="A178" s="41">
        <v>15</v>
      </c>
      <c r="B178" s="41" t="s">
        <v>29917</v>
      </c>
      <c r="C178" s="74" t="s">
        <v>29918</v>
      </c>
      <c r="D178" s="72"/>
      <c r="E178" s="168">
        <f>_15_同援日増７．５</f>
        <v>975</v>
      </c>
      <c r="F178" s="57" t="s">
        <v>392</v>
      </c>
      <c r="G178" s="35"/>
      <c r="J178" s="299" t="s">
        <v>17556</v>
      </c>
      <c r="K178" s="45" t="s">
        <v>398</v>
      </c>
      <c r="L178" s="46">
        <v>1</v>
      </c>
      <c r="M178" s="269" t="s">
        <v>17564</v>
      </c>
      <c r="N178" s="37" t="s">
        <v>398</v>
      </c>
      <c r="O178" s="38">
        <v>0.25</v>
      </c>
      <c r="P178" s="79" t="s">
        <v>3575</v>
      </c>
      <c r="Q178" s="43"/>
      <c r="R178" s="37"/>
      <c r="S178" s="38"/>
      <c r="T178" s="79"/>
      <c r="U178" s="208">
        <f>ROUND((ROUND((ROUND((_15_同援日増７．５*_15・通訳),0)*_15・２人),0)*(1+_15・盲ろう)),0)</f>
        <v>1098</v>
      </c>
      <c r="V178" s="48"/>
    </row>
    <row r="179" spans="1:22" ht="16.5" customHeight="1" x14ac:dyDescent="0.15">
      <c r="A179" s="41">
        <v>15</v>
      </c>
      <c r="B179" s="41" t="s">
        <v>29919</v>
      </c>
      <c r="C179" s="74" t="s">
        <v>29920</v>
      </c>
      <c r="D179" s="72"/>
      <c r="F179" s="57"/>
      <c r="G179" s="35"/>
      <c r="J179" s="163"/>
      <c r="K179" s="45"/>
      <c r="L179" s="46"/>
      <c r="M179" s="53"/>
      <c r="N179" s="49"/>
      <c r="O179" s="50"/>
      <c r="P179" s="115"/>
      <c r="Q179" s="114" t="s">
        <v>17570</v>
      </c>
      <c r="R179" s="49"/>
      <c r="S179" s="50"/>
      <c r="T179" s="115"/>
      <c r="U179" s="208">
        <f>ROUND((ROUND((_15_同援日増７．５*_15・通訳),0)*(1+_15・区３)),0)</f>
        <v>1054</v>
      </c>
      <c r="V179" s="48"/>
    </row>
    <row r="180" spans="1:22" ht="16.5" customHeight="1" x14ac:dyDescent="0.15">
      <c r="A180" s="41">
        <v>15</v>
      </c>
      <c r="B180" s="41" t="s">
        <v>29921</v>
      </c>
      <c r="C180" s="74" t="s">
        <v>29922</v>
      </c>
      <c r="D180" s="72"/>
      <c r="F180" s="57"/>
      <c r="G180" s="35"/>
      <c r="J180" s="299" t="s">
        <v>17556</v>
      </c>
      <c r="K180" s="45" t="s">
        <v>398</v>
      </c>
      <c r="L180" s="46">
        <v>1</v>
      </c>
      <c r="M180" s="43"/>
      <c r="N180" s="37"/>
      <c r="O180" s="38"/>
      <c r="P180" s="79"/>
      <c r="Q180" s="92" t="s">
        <v>17572</v>
      </c>
      <c r="T180" s="57"/>
      <c r="U180" s="208">
        <f>ROUND((ROUND((ROUND((_15_同援日増７．５*_15・通訳),0)*_15・２人),0)*(1+_15・区３)),0)</f>
        <v>1054</v>
      </c>
      <c r="V180" s="48"/>
    </row>
    <row r="181" spans="1:22" ht="16.5" customHeight="1" x14ac:dyDescent="0.15">
      <c r="A181" s="41">
        <v>15</v>
      </c>
      <c r="B181" s="41" t="s">
        <v>29923</v>
      </c>
      <c r="C181" s="74" t="s">
        <v>29924</v>
      </c>
      <c r="D181" s="72"/>
      <c r="F181" s="57"/>
      <c r="G181" s="35"/>
      <c r="J181" s="163"/>
      <c r="K181" s="45"/>
      <c r="L181" s="46"/>
      <c r="M181" s="114" t="s">
        <v>17562</v>
      </c>
      <c r="N181" s="49"/>
      <c r="O181" s="50"/>
      <c r="P181" s="115"/>
      <c r="Q181" s="35"/>
      <c r="R181" s="12" t="s">
        <v>398</v>
      </c>
      <c r="S181" s="13">
        <v>0.2</v>
      </c>
      <c r="T181" s="57" t="s">
        <v>3575</v>
      </c>
      <c r="U181" s="208">
        <f>ROUND((ROUND((ROUND((_15_同援日増７．５*_15・通訳),0)*(1+_15・盲ろう)),0)*(1+_15・区３)),0)</f>
        <v>1318</v>
      </c>
      <c r="V181" s="48"/>
    </row>
    <row r="182" spans="1:22" ht="16.5" customHeight="1" x14ac:dyDescent="0.15">
      <c r="A182" s="41">
        <v>15</v>
      </c>
      <c r="B182" s="41" t="s">
        <v>29925</v>
      </c>
      <c r="C182" s="74" t="s">
        <v>29926</v>
      </c>
      <c r="D182" s="72"/>
      <c r="F182" s="57"/>
      <c r="G182" s="35"/>
      <c r="J182" s="299" t="s">
        <v>17556</v>
      </c>
      <c r="K182" s="45" t="s">
        <v>398</v>
      </c>
      <c r="L182" s="46">
        <v>1</v>
      </c>
      <c r="M182" s="269" t="s">
        <v>17564</v>
      </c>
      <c r="N182" s="37" t="s">
        <v>398</v>
      </c>
      <c r="O182" s="38">
        <v>0.25</v>
      </c>
      <c r="P182" s="79" t="s">
        <v>3575</v>
      </c>
      <c r="Q182" s="43"/>
      <c r="R182" s="37"/>
      <c r="S182" s="38"/>
      <c r="T182" s="79"/>
      <c r="U182" s="208">
        <f>ROUND((ROUND((ROUND((ROUND((_15_同援日増７．５*_15・通訳),0)*_15・２人),0)*(1+_15・盲ろう)),0)*(1+_15・区３)),0)</f>
        <v>1318</v>
      </c>
      <c r="V182" s="48"/>
    </row>
    <row r="183" spans="1:22" ht="16.5" customHeight="1" x14ac:dyDescent="0.15">
      <c r="A183" s="41">
        <v>15</v>
      </c>
      <c r="B183" s="41" t="s">
        <v>29927</v>
      </c>
      <c r="C183" s="74" t="s">
        <v>29928</v>
      </c>
      <c r="D183" s="72"/>
      <c r="F183" s="57"/>
      <c r="G183" s="35"/>
      <c r="J183" s="163"/>
      <c r="K183" s="45"/>
      <c r="L183" s="46"/>
      <c r="M183" s="53"/>
      <c r="N183" s="49"/>
      <c r="O183" s="50"/>
      <c r="P183" s="115"/>
      <c r="Q183" s="114" t="s">
        <v>17580</v>
      </c>
      <c r="R183" s="49"/>
      <c r="S183" s="50"/>
      <c r="T183" s="115"/>
      <c r="U183" s="208">
        <f>ROUND((ROUND((_15_同援日増７．５*_15・通訳),0)*(1+_15・区４)),0)</f>
        <v>1229</v>
      </c>
      <c r="V183" s="48"/>
    </row>
    <row r="184" spans="1:22" ht="16.5" customHeight="1" x14ac:dyDescent="0.15">
      <c r="A184" s="41">
        <v>15</v>
      </c>
      <c r="B184" s="41" t="s">
        <v>29929</v>
      </c>
      <c r="C184" s="74" t="s">
        <v>29930</v>
      </c>
      <c r="D184" s="72"/>
      <c r="F184" s="57"/>
      <c r="G184" s="35"/>
      <c r="J184" s="299" t="s">
        <v>17556</v>
      </c>
      <c r="K184" s="45" t="s">
        <v>398</v>
      </c>
      <c r="L184" s="46">
        <v>1</v>
      </c>
      <c r="M184" s="43"/>
      <c r="N184" s="37"/>
      <c r="O184" s="38"/>
      <c r="P184" s="79"/>
      <c r="Q184" s="92" t="s">
        <v>17572</v>
      </c>
      <c r="T184" s="57"/>
      <c r="U184" s="208">
        <f>ROUND((ROUND((ROUND((_15_同援日増７．５*_15・通訳),0)*_15・２人),0)*(1+_15・区４)),0)</f>
        <v>1229</v>
      </c>
      <c r="V184" s="48"/>
    </row>
    <row r="185" spans="1:22" ht="16.5" customHeight="1" x14ac:dyDescent="0.15">
      <c r="A185" s="41">
        <v>15</v>
      </c>
      <c r="B185" s="41" t="s">
        <v>3961</v>
      </c>
      <c r="C185" s="74" t="s">
        <v>29931</v>
      </c>
      <c r="D185" s="72"/>
      <c r="F185" s="57"/>
      <c r="G185" s="35"/>
      <c r="J185" s="163"/>
      <c r="K185" s="45"/>
      <c r="L185" s="46"/>
      <c r="M185" s="114" t="s">
        <v>17562</v>
      </c>
      <c r="N185" s="49"/>
      <c r="O185" s="50"/>
      <c r="P185" s="115"/>
      <c r="Q185" s="35"/>
      <c r="R185" s="12" t="s">
        <v>398</v>
      </c>
      <c r="S185" s="13">
        <v>0.4</v>
      </c>
      <c r="T185" s="57" t="s">
        <v>3575</v>
      </c>
      <c r="U185" s="208">
        <f>ROUND((ROUND((ROUND((_15_同援日増７．５*_15・通訳),0)*(1+_15・盲ろう)),0)*(1+_15・区４)),0)</f>
        <v>1537</v>
      </c>
      <c r="V185" s="48"/>
    </row>
    <row r="186" spans="1:22" ht="16.5" customHeight="1" x14ac:dyDescent="0.15">
      <c r="A186" s="41">
        <v>15</v>
      </c>
      <c r="B186" s="41" t="s">
        <v>3963</v>
      </c>
      <c r="C186" s="74" t="s">
        <v>29932</v>
      </c>
      <c r="D186" s="122"/>
      <c r="E186" s="37"/>
      <c r="F186" s="79"/>
      <c r="G186" s="35"/>
      <c r="J186" s="299" t="s">
        <v>17556</v>
      </c>
      <c r="K186" s="45" t="s">
        <v>398</v>
      </c>
      <c r="L186" s="46">
        <v>1</v>
      </c>
      <c r="M186" s="269" t="s">
        <v>17564</v>
      </c>
      <c r="N186" s="37" t="s">
        <v>398</v>
      </c>
      <c r="O186" s="38">
        <v>0.25</v>
      </c>
      <c r="P186" s="79" t="s">
        <v>3575</v>
      </c>
      <c r="Q186" s="43"/>
      <c r="R186" s="37"/>
      <c r="S186" s="38"/>
      <c r="T186" s="79"/>
      <c r="U186" s="208">
        <f>ROUND((ROUND((ROUND((ROUND((_15_同援日増７．５*_15・通訳),0)*_15・２人),0)*(1+_15・盲ろう)),0)*(1+_15・区４)),0)</f>
        <v>1537</v>
      </c>
      <c r="V186" s="48"/>
    </row>
    <row r="187" spans="1:22" ht="16.5" customHeight="1" x14ac:dyDescent="0.15">
      <c r="A187" s="41">
        <v>15</v>
      </c>
      <c r="B187" s="41" t="s">
        <v>29933</v>
      </c>
      <c r="C187" s="74" t="s">
        <v>29934</v>
      </c>
      <c r="D187" s="114" t="s">
        <v>24258</v>
      </c>
      <c r="E187" s="49"/>
      <c r="F187" s="115"/>
      <c r="G187" s="35"/>
      <c r="J187" s="163"/>
      <c r="K187" s="45"/>
      <c r="L187" s="46"/>
      <c r="M187" s="53"/>
      <c r="N187" s="49"/>
      <c r="O187" s="50"/>
      <c r="P187" s="115"/>
      <c r="Q187" s="53"/>
      <c r="R187" s="49"/>
      <c r="S187" s="50"/>
      <c r="T187" s="115"/>
      <c r="U187" s="208">
        <f>ROUND((_15_同援日増８．０*_15・通訳),0)</f>
        <v>936</v>
      </c>
      <c r="V187" s="48"/>
    </row>
    <row r="188" spans="1:22" ht="16.5" customHeight="1" x14ac:dyDescent="0.15">
      <c r="A188" s="41">
        <v>15</v>
      </c>
      <c r="B188" s="41" t="s">
        <v>29935</v>
      </c>
      <c r="C188" s="74" t="s">
        <v>29936</v>
      </c>
      <c r="D188" s="72" t="s">
        <v>17967</v>
      </c>
      <c r="F188" s="57"/>
      <c r="G188" s="35"/>
      <c r="J188" s="299" t="s">
        <v>17556</v>
      </c>
      <c r="K188" s="45" t="s">
        <v>398</v>
      </c>
      <c r="L188" s="46">
        <v>1</v>
      </c>
      <c r="M188" s="43"/>
      <c r="N188" s="37"/>
      <c r="O188" s="38"/>
      <c r="P188" s="79"/>
      <c r="Q188" s="35"/>
      <c r="T188" s="57"/>
      <c r="U188" s="208">
        <f>ROUND((ROUND((_15_同援日増８．０*_15・通訳),0)*_15・２人),0)</f>
        <v>936</v>
      </c>
      <c r="V188" s="48"/>
    </row>
    <row r="189" spans="1:22" ht="16.5" customHeight="1" x14ac:dyDescent="0.15">
      <c r="A189" s="41">
        <v>15</v>
      </c>
      <c r="B189" s="41" t="s">
        <v>29937</v>
      </c>
      <c r="C189" s="74" t="s">
        <v>29938</v>
      </c>
      <c r="D189" s="72" t="s">
        <v>17969</v>
      </c>
      <c r="F189" s="57"/>
      <c r="G189" s="35"/>
      <c r="J189" s="163"/>
      <c r="K189" s="45"/>
      <c r="L189" s="46"/>
      <c r="M189" s="114" t="s">
        <v>17562</v>
      </c>
      <c r="N189" s="49"/>
      <c r="O189" s="50"/>
      <c r="P189" s="115"/>
      <c r="Q189" s="35"/>
      <c r="T189" s="57"/>
      <c r="U189" s="208">
        <f>ROUND((ROUND((_15_同援日増８．０*_15・通訳),0)*(1+_15・盲ろう)),0)</f>
        <v>1170</v>
      </c>
      <c r="V189" s="48"/>
    </row>
    <row r="190" spans="1:22" ht="16.5" customHeight="1" x14ac:dyDescent="0.15">
      <c r="A190" s="41">
        <v>15</v>
      </c>
      <c r="B190" s="41" t="s">
        <v>29939</v>
      </c>
      <c r="C190" s="74" t="s">
        <v>29940</v>
      </c>
      <c r="D190" s="72"/>
      <c r="E190" s="168">
        <f>_15_同援日増８．０</f>
        <v>1040</v>
      </c>
      <c r="F190" s="57" t="s">
        <v>392</v>
      </c>
      <c r="G190" s="35"/>
      <c r="J190" s="299" t="s">
        <v>17556</v>
      </c>
      <c r="K190" s="45" t="s">
        <v>398</v>
      </c>
      <c r="L190" s="46">
        <v>1</v>
      </c>
      <c r="M190" s="269" t="s">
        <v>17564</v>
      </c>
      <c r="N190" s="37" t="s">
        <v>398</v>
      </c>
      <c r="O190" s="38">
        <v>0.25</v>
      </c>
      <c r="P190" s="79" t="s">
        <v>3575</v>
      </c>
      <c r="Q190" s="43"/>
      <c r="R190" s="37"/>
      <c r="S190" s="38"/>
      <c r="T190" s="79"/>
      <c r="U190" s="208">
        <f>ROUND((ROUND((ROUND((_15_同援日増８．０*_15・通訳),0)*_15・２人),0)*(1+_15・盲ろう)),0)</f>
        <v>1170</v>
      </c>
      <c r="V190" s="48"/>
    </row>
    <row r="191" spans="1:22" ht="16.5" customHeight="1" x14ac:dyDescent="0.15">
      <c r="A191" s="41">
        <v>15</v>
      </c>
      <c r="B191" s="41" t="s">
        <v>29941</v>
      </c>
      <c r="C191" s="74" t="s">
        <v>29942</v>
      </c>
      <c r="D191" s="72"/>
      <c r="F191" s="57"/>
      <c r="G191" s="35"/>
      <c r="J191" s="163"/>
      <c r="K191" s="45"/>
      <c r="L191" s="46"/>
      <c r="M191" s="53"/>
      <c r="N191" s="49"/>
      <c r="O191" s="50"/>
      <c r="P191" s="115"/>
      <c r="Q191" s="114" t="s">
        <v>17570</v>
      </c>
      <c r="R191" s="49"/>
      <c r="S191" s="50"/>
      <c r="T191" s="115"/>
      <c r="U191" s="208">
        <f>ROUND((ROUND((_15_同援日増８．０*_15・通訳),0)*(1+_15・区３)),0)</f>
        <v>1123</v>
      </c>
      <c r="V191" s="48"/>
    </row>
    <row r="192" spans="1:22" ht="16.5" customHeight="1" x14ac:dyDescent="0.15">
      <c r="A192" s="41">
        <v>15</v>
      </c>
      <c r="B192" s="41" t="s">
        <v>29943</v>
      </c>
      <c r="C192" s="74" t="s">
        <v>29944</v>
      </c>
      <c r="D192" s="72"/>
      <c r="F192" s="57"/>
      <c r="G192" s="35"/>
      <c r="J192" s="299" t="s">
        <v>17556</v>
      </c>
      <c r="K192" s="45" t="s">
        <v>398</v>
      </c>
      <c r="L192" s="46">
        <v>1</v>
      </c>
      <c r="M192" s="43"/>
      <c r="N192" s="37"/>
      <c r="O192" s="38"/>
      <c r="P192" s="79"/>
      <c r="Q192" s="92" t="s">
        <v>17572</v>
      </c>
      <c r="T192" s="57"/>
      <c r="U192" s="208">
        <f>ROUND((ROUND((ROUND((_15_同援日増８．０*_15・通訳),0)*_15・２人),0)*(1+_15・区３)),0)</f>
        <v>1123</v>
      </c>
      <c r="V192" s="48"/>
    </row>
    <row r="193" spans="1:22" ht="16.5" customHeight="1" x14ac:dyDescent="0.15">
      <c r="A193" s="41">
        <v>15</v>
      </c>
      <c r="B193" s="41" t="s">
        <v>29945</v>
      </c>
      <c r="C193" s="74" t="s">
        <v>29946</v>
      </c>
      <c r="D193" s="72"/>
      <c r="F193" s="57"/>
      <c r="G193" s="35"/>
      <c r="J193" s="163"/>
      <c r="K193" s="45"/>
      <c r="L193" s="46"/>
      <c r="M193" s="114" t="s">
        <v>17562</v>
      </c>
      <c r="N193" s="49"/>
      <c r="O193" s="50"/>
      <c r="P193" s="115"/>
      <c r="Q193" s="35"/>
      <c r="R193" s="12" t="s">
        <v>398</v>
      </c>
      <c r="S193" s="13">
        <v>0.2</v>
      </c>
      <c r="T193" s="57" t="s">
        <v>3575</v>
      </c>
      <c r="U193" s="208">
        <f>ROUND((ROUND((ROUND((_15_同援日増８．０*_15・通訳),0)*(1+_15・盲ろう)),0)*(1+_15・区３)),0)</f>
        <v>1404</v>
      </c>
      <c r="V193" s="48"/>
    </row>
    <row r="194" spans="1:22" ht="16.5" customHeight="1" x14ac:dyDescent="0.15">
      <c r="A194" s="41">
        <v>15</v>
      </c>
      <c r="B194" s="41" t="s">
        <v>29947</v>
      </c>
      <c r="C194" s="74" t="s">
        <v>29948</v>
      </c>
      <c r="D194" s="72"/>
      <c r="F194" s="57"/>
      <c r="G194" s="35"/>
      <c r="J194" s="299" t="s">
        <v>17556</v>
      </c>
      <c r="K194" s="45" t="s">
        <v>398</v>
      </c>
      <c r="L194" s="46">
        <v>1</v>
      </c>
      <c r="M194" s="269" t="s">
        <v>17564</v>
      </c>
      <c r="N194" s="37" t="s">
        <v>398</v>
      </c>
      <c r="O194" s="38">
        <v>0.25</v>
      </c>
      <c r="P194" s="79" t="s">
        <v>3575</v>
      </c>
      <c r="Q194" s="43"/>
      <c r="R194" s="37"/>
      <c r="S194" s="38"/>
      <c r="T194" s="79"/>
      <c r="U194" s="208">
        <f>ROUND((ROUND((ROUND((ROUND((_15_同援日増８．０*_15・通訳),0)*_15・２人),0)*(1+_15・盲ろう)),0)*(1+_15・区３)),0)</f>
        <v>1404</v>
      </c>
      <c r="V194" s="48"/>
    </row>
    <row r="195" spans="1:22" ht="16.5" customHeight="1" x14ac:dyDescent="0.15">
      <c r="A195" s="41">
        <v>15</v>
      </c>
      <c r="B195" s="41" t="s">
        <v>3967</v>
      </c>
      <c r="C195" s="74" t="s">
        <v>29949</v>
      </c>
      <c r="D195" s="72"/>
      <c r="F195" s="57"/>
      <c r="G195" s="35"/>
      <c r="J195" s="163"/>
      <c r="K195" s="45"/>
      <c r="L195" s="46"/>
      <c r="M195" s="53"/>
      <c r="N195" s="49"/>
      <c r="O195" s="50"/>
      <c r="P195" s="115"/>
      <c r="Q195" s="114" t="s">
        <v>17580</v>
      </c>
      <c r="R195" s="49"/>
      <c r="S195" s="50"/>
      <c r="T195" s="115"/>
      <c r="U195" s="208">
        <f>ROUND((ROUND((_15_同援日増８．０*_15・通訳),0)*(1+_15・区４)),0)</f>
        <v>1310</v>
      </c>
      <c r="V195" s="48"/>
    </row>
    <row r="196" spans="1:22" ht="16.5" customHeight="1" x14ac:dyDescent="0.15">
      <c r="A196" s="41">
        <v>15</v>
      </c>
      <c r="B196" s="41" t="s">
        <v>3969</v>
      </c>
      <c r="C196" s="74" t="s">
        <v>29950</v>
      </c>
      <c r="D196" s="72"/>
      <c r="F196" s="57"/>
      <c r="G196" s="35"/>
      <c r="J196" s="299" t="s">
        <v>17556</v>
      </c>
      <c r="K196" s="45" t="s">
        <v>398</v>
      </c>
      <c r="L196" s="46">
        <v>1</v>
      </c>
      <c r="M196" s="43"/>
      <c r="N196" s="37"/>
      <c r="O196" s="38"/>
      <c r="P196" s="79"/>
      <c r="Q196" s="92" t="s">
        <v>17572</v>
      </c>
      <c r="T196" s="57"/>
      <c r="U196" s="208">
        <f>ROUND((ROUND((ROUND((_15_同援日増８．０*_15・通訳),0)*_15・２人),0)*(1+_15・区４)),0)</f>
        <v>1310</v>
      </c>
      <c r="V196" s="48"/>
    </row>
    <row r="197" spans="1:22" ht="16.5" customHeight="1" x14ac:dyDescent="0.15">
      <c r="A197" s="41">
        <v>15</v>
      </c>
      <c r="B197" s="41" t="s">
        <v>29951</v>
      </c>
      <c r="C197" s="74" t="s">
        <v>29952</v>
      </c>
      <c r="D197" s="72"/>
      <c r="F197" s="57"/>
      <c r="G197" s="35"/>
      <c r="J197" s="163"/>
      <c r="K197" s="45"/>
      <c r="L197" s="46"/>
      <c r="M197" s="114" t="s">
        <v>17562</v>
      </c>
      <c r="N197" s="49"/>
      <c r="O197" s="50"/>
      <c r="P197" s="115"/>
      <c r="Q197" s="35"/>
      <c r="R197" s="12" t="s">
        <v>398</v>
      </c>
      <c r="S197" s="13">
        <v>0.4</v>
      </c>
      <c r="T197" s="57" t="s">
        <v>3575</v>
      </c>
      <c r="U197" s="208">
        <f>ROUND((ROUND((ROUND((_15_同援日増８．０*_15・通訳),0)*(1+_15・盲ろう)),0)*(1+_15・区４)),0)</f>
        <v>1638</v>
      </c>
      <c r="V197" s="48"/>
    </row>
    <row r="198" spans="1:22" ht="16.5" customHeight="1" x14ac:dyDescent="0.15">
      <c r="A198" s="41">
        <v>15</v>
      </c>
      <c r="B198" s="41" t="s">
        <v>29953</v>
      </c>
      <c r="C198" s="74" t="s">
        <v>29954</v>
      </c>
      <c r="D198" s="122"/>
      <c r="E198" s="37"/>
      <c r="F198" s="79"/>
      <c r="G198" s="43"/>
      <c r="H198" s="37"/>
      <c r="I198" s="38"/>
      <c r="J198" s="299" t="s">
        <v>17556</v>
      </c>
      <c r="K198" s="45" t="s">
        <v>398</v>
      </c>
      <c r="L198" s="46">
        <v>1</v>
      </c>
      <c r="M198" s="269" t="s">
        <v>17564</v>
      </c>
      <c r="N198" s="37" t="s">
        <v>398</v>
      </c>
      <c r="O198" s="38">
        <v>0.25</v>
      </c>
      <c r="P198" s="79" t="s">
        <v>3575</v>
      </c>
      <c r="Q198" s="43"/>
      <c r="R198" s="37"/>
      <c r="S198" s="38"/>
      <c r="T198" s="79"/>
      <c r="U198" s="208">
        <f>ROUND((ROUND((ROUND((ROUND((_15_同援日増８．０*_15・通訳),0)*_15・２人),0)*(1+_15・盲ろう)),0)*(1+_15・区４)),0)</f>
        <v>1638</v>
      </c>
      <c r="V198" s="63"/>
    </row>
    <row r="199" spans="1:22" ht="16.5" customHeight="1" x14ac:dyDescent="0.15">
      <c r="A199" s="41">
        <v>15</v>
      </c>
      <c r="B199" s="41" t="s">
        <v>29955</v>
      </c>
      <c r="C199" s="74" t="s">
        <v>29956</v>
      </c>
      <c r="D199" s="114" t="s">
        <v>24302</v>
      </c>
      <c r="E199" s="49"/>
      <c r="F199" s="115"/>
      <c r="G199" s="53"/>
      <c r="H199" s="49"/>
      <c r="I199" s="50"/>
      <c r="J199" s="163"/>
      <c r="K199" s="45"/>
      <c r="L199" s="46"/>
      <c r="M199" s="53"/>
      <c r="N199" s="49"/>
      <c r="O199" s="50"/>
      <c r="P199" s="115"/>
      <c r="Q199" s="53"/>
      <c r="R199" s="49"/>
      <c r="S199" s="50"/>
      <c r="T199" s="115"/>
      <c r="U199" s="208">
        <f>ROUND((_15_同援日増８．５*_15・通訳),0)</f>
        <v>995</v>
      </c>
      <c r="V199" s="64"/>
    </row>
    <row r="200" spans="1:22" ht="16.5" customHeight="1" x14ac:dyDescent="0.15">
      <c r="A200" s="41">
        <v>15</v>
      </c>
      <c r="B200" s="41" t="s">
        <v>29957</v>
      </c>
      <c r="C200" s="74" t="s">
        <v>29958</v>
      </c>
      <c r="D200" s="72" t="s">
        <v>17994</v>
      </c>
      <c r="F200" s="57"/>
      <c r="G200" s="35"/>
      <c r="J200" s="299" t="s">
        <v>17556</v>
      </c>
      <c r="K200" s="45" t="s">
        <v>398</v>
      </c>
      <c r="L200" s="46">
        <v>1</v>
      </c>
      <c r="M200" s="43"/>
      <c r="N200" s="37"/>
      <c r="O200" s="38"/>
      <c r="P200" s="79"/>
      <c r="Q200" s="35"/>
      <c r="T200" s="57"/>
      <c r="U200" s="208">
        <f>ROUND((ROUND((_15_同援日増８．５*_15・通訳),0)*_15・２人),0)</f>
        <v>995</v>
      </c>
      <c r="V200" s="48"/>
    </row>
    <row r="201" spans="1:22" ht="16.5" customHeight="1" x14ac:dyDescent="0.15">
      <c r="A201" s="41">
        <v>15</v>
      </c>
      <c r="B201" s="41" t="s">
        <v>29959</v>
      </c>
      <c r="C201" s="74" t="s">
        <v>29960</v>
      </c>
      <c r="D201" s="72" t="s">
        <v>17996</v>
      </c>
      <c r="F201" s="57"/>
      <c r="G201" s="35"/>
      <c r="J201" s="163"/>
      <c r="K201" s="45"/>
      <c r="L201" s="46"/>
      <c r="M201" s="114" t="s">
        <v>17562</v>
      </c>
      <c r="N201" s="49"/>
      <c r="O201" s="50"/>
      <c r="P201" s="115"/>
      <c r="Q201" s="35"/>
      <c r="T201" s="57"/>
      <c r="U201" s="208">
        <f>ROUND((ROUND((_15_同援日増８．５*_15・通訳),0)*(1+_15・盲ろう)),0)</f>
        <v>1244</v>
      </c>
      <c r="V201" s="48"/>
    </row>
    <row r="202" spans="1:22" ht="16.5" customHeight="1" x14ac:dyDescent="0.15">
      <c r="A202" s="41">
        <v>15</v>
      </c>
      <c r="B202" s="41" t="s">
        <v>29961</v>
      </c>
      <c r="C202" s="74" t="s">
        <v>29962</v>
      </c>
      <c r="D202" s="72"/>
      <c r="E202" s="168">
        <f>_15_同援日増８．５</f>
        <v>1105</v>
      </c>
      <c r="F202" s="57" t="s">
        <v>392</v>
      </c>
      <c r="G202" s="35"/>
      <c r="J202" s="299" t="s">
        <v>17556</v>
      </c>
      <c r="K202" s="45" t="s">
        <v>398</v>
      </c>
      <c r="L202" s="46">
        <v>1</v>
      </c>
      <c r="M202" s="269" t="s">
        <v>17564</v>
      </c>
      <c r="N202" s="37" t="s">
        <v>398</v>
      </c>
      <c r="O202" s="38">
        <v>0.25</v>
      </c>
      <c r="P202" s="79" t="s">
        <v>3575</v>
      </c>
      <c r="Q202" s="43"/>
      <c r="R202" s="37"/>
      <c r="S202" s="38"/>
      <c r="T202" s="79"/>
      <c r="U202" s="208">
        <f>ROUND((ROUND((ROUND((_15_同援日増８．５*_15・通訳),0)*_15・２人),0)*(1+_15・盲ろう)),0)</f>
        <v>1244</v>
      </c>
      <c r="V202" s="48"/>
    </row>
    <row r="203" spans="1:22" ht="16.5" customHeight="1" x14ac:dyDescent="0.15">
      <c r="A203" s="41">
        <v>15</v>
      </c>
      <c r="B203" s="41" t="s">
        <v>29963</v>
      </c>
      <c r="C203" s="74" t="s">
        <v>29964</v>
      </c>
      <c r="D203" s="72"/>
      <c r="F203" s="57"/>
      <c r="G203" s="35"/>
      <c r="J203" s="163"/>
      <c r="K203" s="45"/>
      <c r="L203" s="46"/>
      <c r="M203" s="53"/>
      <c r="N203" s="49"/>
      <c r="O203" s="50"/>
      <c r="P203" s="115"/>
      <c r="Q203" s="114" t="s">
        <v>17570</v>
      </c>
      <c r="R203" s="49"/>
      <c r="S203" s="50"/>
      <c r="T203" s="115"/>
      <c r="U203" s="208">
        <f>ROUND((ROUND((_15_同援日増８．５*_15・通訳),0)*(1+_15・区３)),0)</f>
        <v>1194</v>
      </c>
      <c r="V203" s="48"/>
    </row>
    <row r="204" spans="1:22" ht="16.5" customHeight="1" x14ac:dyDescent="0.15">
      <c r="A204" s="41">
        <v>15</v>
      </c>
      <c r="B204" s="41" t="s">
        <v>29965</v>
      </c>
      <c r="C204" s="74" t="s">
        <v>29966</v>
      </c>
      <c r="D204" s="72"/>
      <c r="F204" s="57"/>
      <c r="G204" s="35"/>
      <c r="J204" s="299" t="s">
        <v>17556</v>
      </c>
      <c r="K204" s="45" t="s">
        <v>398</v>
      </c>
      <c r="L204" s="46">
        <v>1</v>
      </c>
      <c r="M204" s="43"/>
      <c r="N204" s="37"/>
      <c r="O204" s="38"/>
      <c r="P204" s="79"/>
      <c r="Q204" s="92" t="s">
        <v>17572</v>
      </c>
      <c r="T204" s="57"/>
      <c r="U204" s="208">
        <f>ROUND((ROUND((ROUND((_15_同援日増８．５*_15・通訳),0)*_15・２人),0)*(1+_15・区３)),0)</f>
        <v>1194</v>
      </c>
      <c r="V204" s="48"/>
    </row>
    <row r="205" spans="1:22" ht="16.5" customHeight="1" x14ac:dyDescent="0.15">
      <c r="A205" s="41">
        <v>15</v>
      </c>
      <c r="B205" s="41" t="s">
        <v>3974</v>
      </c>
      <c r="C205" s="74" t="s">
        <v>29967</v>
      </c>
      <c r="D205" s="72"/>
      <c r="F205" s="57"/>
      <c r="G205" s="35"/>
      <c r="J205" s="163"/>
      <c r="K205" s="45"/>
      <c r="L205" s="46"/>
      <c r="M205" s="114" t="s">
        <v>17562</v>
      </c>
      <c r="N205" s="49"/>
      <c r="O205" s="50"/>
      <c r="P205" s="115"/>
      <c r="Q205" s="35"/>
      <c r="R205" s="12" t="s">
        <v>398</v>
      </c>
      <c r="S205" s="13">
        <v>0.2</v>
      </c>
      <c r="T205" s="57" t="s">
        <v>3575</v>
      </c>
      <c r="U205" s="208">
        <f>ROUND((ROUND((ROUND((_15_同援日増８．５*_15・通訳),0)*(1+_15・盲ろう)),0)*(1+_15・区３)),0)</f>
        <v>1493</v>
      </c>
      <c r="V205" s="48"/>
    </row>
    <row r="206" spans="1:22" ht="16.5" customHeight="1" x14ac:dyDescent="0.15">
      <c r="A206" s="41">
        <v>15</v>
      </c>
      <c r="B206" s="41" t="s">
        <v>3976</v>
      </c>
      <c r="C206" s="74" t="s">
        <v>29968</v>
      </c>
      <c r="D206" s="72"/>
      <c r="F206" s="57"/>
      <c r="G206" s="35"/>
      <c r="J206" s="299" t="s">
        <v>17556</v>
      </c>
      <c r="K206" s="45" t="s">
        <v>398</v>
      </c>
      <c r="L206" s="46">
        <v>1</v>
      </c>
      <c r="M206" s="269" t="s">
        <v>17564</v>
      </c>
      <c r="N206" s="37" t="s">
        <v>398</v>
      </c>
      <c r="O206" s="38">
        <v>0.25</v>
      </c>
      <c r="P206" s="79" t="s">
        <v>3575</v>
      </c>
      <c r="Q206" s="43"/>
      <c r="R206" s="37"/>
      <c r="S206" s="38"/>
      <c r="T206" s="79"/>
      <c r="U206" s="208">
        <f>ROUND((ROUND((ROUND((ROUND((_15_同援日増８．５*_15・通訳),0)*_15・２人),0)*(1+_15・盲ろう)),0)*(1+_15・区３)),0)</f>
        <v>1493</v>
      </c>
      <c r="V206" s="48"/>
    </row>
    <row r="207" spans="1:22" ht="16.5" customHeight="1" x14ac:dyDescent="0.15">
      <c r="A207" s="41">
        <v>15</v>
      </c>
      <c r="B207" s="41" t="s">
        <v>29969</v>
      </c>
      <c r="C207" s="74" t="s">
        <v>29970</v>
      </c>
      <c r="D207" s="72"/>
      <c r="F207" s="57"/>
      <c r="G207" s="35"/>
      <c r="J207" s="163"/>
      <c r="K207" s="45"/>
      <c r="L207" s="46"/>
      <c r="M207" s="53"/>
      <c r="N207" s="49"/>
      <c r="O207" s="50"/>
      <c r="P207" s="115"/>
      <c r="Q207" s="114" t="s">
        <v>17580</v>
      </c>
      <c r="R207" s="49"/>
      <c r="S207" s="50"/>
      <c r="T207" s="115"/>
      <c r="U207" s="208">
        <f>ROUND((ROUND((_15_同援日増８．５*_15・通訳),0)*(1+_15・区４)),0)</f>
        <v>1393</v>
      </c>
      <c r="V207" s="48"/>
    </row>
    <row r="208" spans="1:22" ht="16.5" customHeight="1" x14ac:dyDescent="0.15">
      <c r="A208" s="41">
        <v>15</v>
      </c>
      <c r="B208" s="41" t="s">
        <v>29971</v>
      </c>
      <c r="C208" s="74" t="s">
        <v>29972</v>
      </c>
      <c r="D208" s="72"/>
      <c r="F208" s="57"/>
      <c r="G208" s="35"/>
      <c r="J208" s="299" t="s">
        <v>17556</v>
      </c>
      <c r="K208" s="45" t="s">
        <v>398</v>
      </c>
      <c r="L208" s="46">
        <v>1</v>
      </c>
      <c r="M208" s="43"/>
      <c r="N208" s="37"/>
      <c r="O208" s="38"/>
      <c r="P208" s="79"/>
      <c r="Q208" s="92" t="s">
        <v>17572</v>
      </c>
      <c r="T208" s="57"/>
      <c r="U208" s="208">
        <f>ROUND((ROUND((ROUND((_15_同援日増８．５*_15・通訳),0)*_15・２人),0)*(1+_15・区４)),0)</f>
        <v>1393</v>
      </c>
      <c r="V208" s="48"/>
    </row>
    <row r="209" spans="1:22" ht="16.5" customHeight="1" x14ac:dyDescent="0.15">
      <c r="A209" s="41">
        <v>15</v>
      </c>
      <c r="B209" s="41" t="s">
        <v>29973</v>
      </c>
      <c r="C209" s="74" t="s">
        <v>29974</v>
      </c>
      <c r="D209" s="72"/>
      <c r="F209" s="57"/>
      <c r="G209" s="35"/>
      <c r="J209" s="163"/>
      <c r="K209" s="45"/>
      <c r="L209" s="46"/>
      <c r="M209" s="114" t="s">
        <v>17562</v>
      </c>
      <c r="N209" s="49"/>
      <c r="O209" s="50"/>
      <c r="P209" s="115"/>
      <c r="Q209" s="35"/>
      <c r="R209" s="12" t="s">
        <v>398</v>
      </c>
      <c r="S209" s="13">
        <v>0.4</v>
      </c>
      <c r="T209" s="57" t="s">
        <v>3575</v>
      </c>
      <c r="U209" s="208">
        <f>ROUND((ROUND((ROUND((_15_同援日増８．５*_15・通訳),0)*(1+_15・盲ろう)),0)*(1+_15・区４)),0)</f>
        <v>1742</v>
      </c>
      <c r="V209" s="48"/>
    </row>
    <row r="210" spans="1:22" ht="16.5" customHeight="1" x14ac:dyDescent="0.15">
      <c r="A210" s="41">
        <v>15</v>
      </c>
      <c r="B210" s="41" t="s">
        <v>29975</v>
      </c>
      <c r="C210" s="74" t="s">
        <v>29976</v>
      </c>
      <c r="D210" s="122"/>
      <c r="E210" s="37"/>
      <c r="F210" s="79"/>
      <c r="G210" s="35"/>
      <c r="J210" s="299" t="s">
        <v>17556</v>
      </c>
      <c r="K210" s="45" t="s">
        <v>398</v>
      </c>
      <c r="L210" s="46">
        <v>1</v>
      </c>
      <c r="M210" s="269" t="s">
        <v>17564</v>
      </c>
      <c r="N210" s="37" t="s">
        <v>398</v>
      </c>
      <c r="O210" s="38">
        <v>0.25</v>
      </c>
      <c r="P210" s="79" t="s">
        <v>3575</v>
      </c>
      <c r="Q210" s="43"/>
      <c r="R210" s="37"/>
      <c r="S210" s="38"/>
      <c r="T210" s="79"/>
      <c r="U210" s="208">
        <f>ROUND((ROUND((ROUND((ROUND((_15_同援日増８．５*_15・通訳),0)*_15・２人),0)*(1+_15・盲ろう)),0)*(1+_15・区４)),0)</f>
        <v>1742</v>
      </c>
      <c r="V210" s="48"/>
    </row>
    <row r="211" spans="1:22" ht="16.5" customHeight="1" x14ac:dyDescent="0.15">
      <c r="A211" s="41">
        <v>15</v>
      </c>
      <c r="B211" s="41" t="s">
        <v>29977</v>
      </c>
      <c r="C211" s="74" t="s">
        <v>29978</v>
      </c>
      <c r="D211" s="114" t="s">
        <v>24347</v>
      </c>
      <c r="E211" s="49"/>
      <c r="F211" s="115"/>
      <c r="G211" s="35"/>
      <c r="J211" s="163"/>
      <c r="K211" s="45"/>
      <c r="L211" s="46"/>
      <c r="M211" s="53"/>
      <c r="N211" s="49"/>
      <c r="O211" s="50"/>
      <c r="P211" s="115"/>
      <c r="Q211" s="53"/>
      <c r="R211" s="49"/>
      <c r="S211" s="50"/>
      <c r="T211" s="115"/>
      <c r="U211" s="208">
        <f>ROUND((_15_同援日増９．０*_15・通訳),0)</f>
        <v>1053</v>
      </c>
      <c r="V211" s="48"/>
    </row>
    <row r="212" spans="1:22" ht="16.5" customHeight="1" x14ac:dyDescent="0.15">
      <c r="A212" s="41">
        <v>15</v>
      </c>
      <c r="B212" s="41" t="s">
        <v>29979</v>
      </c>
      <c r="C212" s="74" t="s">
        <v>29980</v>
      </c>
      <c r="D212" s="72" t="s">
        <v>18021</v>
      </c>
      <c r="F212" s="57"/>
      <c r="G212" s="35"/>
      <c r="J212" s="299" t="s">
        <v>17556</v>
      </c>
      <c r="K212" s="45" t="s">
        <v>398</v>
      </c>
      <c r="L212" s="46">
        <v>1</v>
      </c>
      <c r="M212" s="43"/>
      <c r="N212" s="37"/>
      <c r="O212" s="38"/>
      <c r="P212" s="79"/>
      <c r="Q212" s="35"/>
      <c r="T212" s="57"/>
      <c r="U212" s="208">
        <f>ROUND((ROUND((_15_同援日増９．０*_15・通訳),0)*_15・２人),0)</f>
        <v>1053</v>
      </c>
      <c r="V212" s="48"/>
    </row>
    <row r="213" spans="1:22" ht="16.5" customHeight="1" x14ac:dyDescent="0.15">
      <c r="A213" s="41">
        <v>15</v>
      </c>
      <c r="B213" s="41" t="s">
        <v>29981</v>
      </c>
      <c r="C213" s="74" t="s">
        <v>29982</v>
      </c>
      <c r="D213" s="72" t="s">
        <v>18023</v>
      </c>
      <c r="F213" s="57"/>
      <c r="G213" s="35"/>
      <c r="J213" s="163"/>
      <c r="K213" s="45"/>
      <c r="L213" s="46"/>
      <c r="M213" s="114" t="s">
        <v>17562</v>
      </c>
      <c r="N213" s="49"/>
      <c r="O213" s="50"/>
      <c r="P213" s="115"/>
      <c r="Q213" s="35"/>
      <c r="T213" s="57"/>
      <c r="U213" s="208">
        <f>ROUND((ROUND((_15_同援日増９．０*_15・通訳),0)*(1+_15・盲ろう)),0)</f>
        <v>1316</v>
      </c>
      <c r="V213" s="48"/>
    </row>
    <row r="214" spans="1:22" ht="16.5" customHeight="1" x14ac:dyDescent="0.15">
      <c r="A214" s="41">
        <v>15</v>
      </c>
      <c r="B214" s="41" t="s">
        <v>29983</v>
      </c>
      <c r="C214" s="74" t="s">
        <v>29984</v>
      </c>
      <c r="D214" s="72"/>
      <c r="E214" s="168">
        <f>_15_同援日増９．０</f>
        <v>1170</v>
      </c>
      <c r="F214" s="57" t="s">
        <v>392</v>
      </c>
      <c r="G214" s="35"/>
      <c r="J214" s="299" t="s">
        <v>17556</v>
      </c>
      <c r="K214" s="45" t="s">
        <v>398</v>
      </c>
      <c r="L214" s="46">
        <v>1</v>
      </c>
      <c r="M214" s="269" t="s">
        <v>17564</v>
      </c>
      <c r="N214" s="37" t="s">
        <v>398</v>
      </c>
      <c r="O214" s="38">
        <v>0.25</v>
      </c>
      <c r="P214" s="79" t="s">
        <v>3575</v>
      </c>
      <c r="Q214" s="43"/>
      <c r="R214" s="37"/>
      <c r="S214" s="38"/>
      <c r="T214" s="79"/>
      <c r="U214" s="208">
        <f>ROUND((ROUND((ROUND((_15_同援日増９．０*_15・通訳),0)*_15・２人),0)*(1+_15・盲ろう)),0)</f>
        <v>1316</v>
      </c>
      <c r="V214" s="48"/>
    </row>
    <row r="215" spans="1:22" ht="16.5" customHeight="1" x14ac:dyDescent="0.15">
      <c r="A215" s="41">
        <v>15</v>
      </c>
      <c r="B215" s="41" t="s">
        <v>3980</v>
      </c>
      <c r="C215" s="74" t="s">
        <v>29985</v>
      </c>
      <c r="D215" s="72"/>
      <c r="F215" s="57"/>
      <c r="G215" s="35"/>
      <c r="J215" s="163"/>
      <c r="K215" s="45"/>
      <c r="L215" s="46"/>
      <c r="M215" s="53"/>
      <c r="N215" s="49"/>
      <c r="O215" s="50"/>
      <c r="P215" s="115"/>
      <c r="Q215" s="114" t="s">
        <v>17570</v>
      </c>
      <c r="R215" s="49"/>
      <c r="S215" s="50"/>
      <c r="T215" s="115"/>
      <c r="U215" s="208">
        <f>ROUND((ROUND((_15_同援日増９．０*_15・通訳),0)*(1+_15・区３)),0)</f>
        <v>1264</v>
      </c>
      <c r="V215" s="48"/>
    </row>
    <row r="216" spans="1:22" ht="16.5" customHeight="1" x14ac:dyDescent="0.15">
      <c r="A216" s="41">
        <v>15</v>
      </c>
      <c r="B216" s="41" t="s">
        <v>3982</v>
      </c>
      <c r="C216" s="74" t="s">
        <v>29986</v>
      </c>
      <c r="D216" s="72"/>
      <c r="F216" s="57"/>
      <c r="G216" s="35"/>
      <c r="J216" s="299" t="s">
        <v>17556</v>
      </c>
      <c r="K216" s="45" t="s">
        <v>398</v>
      </c>
      <c r="L216" s="46">
        <v>1</v>
      </c>
      <c r="M216" s="43"/>
      <c r="N216" s="37"/>
      <c r="O216" s="38"/>
      <c r="P216" s="79"/>
      <c r="Q216" s="92" t="s">
        <v>17572</v>
      </c>
      <c r="T216" s="57"/>
      <c r="U216" s="208">
        <f>ROUND((ROUND((ROUND((_15_同援日増９．０*_15・通訳),0)*_15・２人),0)*(1+_15・区３)),0)</f>
        <v>1264</v>
      </c>
      <c r="V216" s="48"/>
    </row>
    <row r="217" spans="1:22" ht="16.5" customHeight="1" x14ac:dyDescent="0.15">
      <c r="A217" s="41">
        <v>15</v>
      </c>
      <c r="B217" s="41" t="s">
        <v>29987</v>
      </c>
      <c r="C217" s="74" t="s">
        <v>29988</v>
      </c>
      <c r="D217" s="72"/>
      <c r="F217" s="57"/>
      <c r="G217" s="35"/>
      <c r="J217" s="163"/>
      <c r="K217" s="45"/>
      <c r="L217" s="46"/>
      <c r="M217" s="114" t="s">
        <v>17562</v>
      </c>
      <c r="N217" s="49"/>
      <c r="O217" s="50"/>
      <c r="P217" s="115"/>
      <c r="Q217" s="35"/>
      <c r="R217" s="12" t="s">
        <v>398</v>
      </c>
      <c r="S217" s="13">
        <v>0.2</v>
      </c>
      <c r="T217" s="57" t="s">
        <v>3575</v>
      </c>
      <c r="U217" s="208">
        <f>ROUND((ROUND((ROUND((_15_同援日増９．０*_15・通訳),0)*(1+_15・盲ろう)),0)*(1+_15・区３)),0)</f>
        <v>1579</v>
      </c>
      <c r="V217" s="48"/>
    </row>
    <row r="218" spans="1:22" ht="16.5" customHeight="1" x14ac:dyDescent="0.15">
      <c r="A218" s="41">
        <v>15</v>
      </c>
      <c r="B218" s="41" t="s">
        <v>29989</v>
      </c>
      <c r="C218" s="74" t="s">
        <v>29990</v>
      </c>
      <c r="D218" s="72"/>
      <c r="F218" s="57"/>
      <c r="G218" s="35"/>
      <c r="J218" s="299" t="s">
        <v>17556</v>
      </c>
      <c r="K218" s="45" t="s">
        <v>398</v>
      </c>
      <c r="L218" s="46">
        <v>1</v>
      </c>
      <c r="M218" s="269" t="s">
        <v>17564</v>
      </c>
      <c r="N218" s="37" t="s">
        <v>398</v>
      </c>
      <c r="O218" s="38">
        <v>0.25</v>
      </c>
      <c r="P218" s="79" t="s">
        <v>3575</v>
      </c>
      <c r="Q218" s="43"/>
      <c r="R218" s="37"/>
      <c r="S218" s="38"/>
      <c r="T218" s="79"/>
      <c r="U218" s="208">
        <f>ROUND((ROUND((ROUND((ROUND((_15_同援日増９．０*_15・通訳),0)*_15・２人),0)*(1+_15・盲ろう)),0)*(1+_15・区３)),0)</f>
        <v>1579</v>
      </c>
      <c r="V218" s="48"/>
    </row>
    <row r="219" spans="1:22" ht="16.5" customHeight="1" x14ac:dyDescent="0.15">
      <c r="A219" s="41">
        <v>15</v>
      </c>
      <c r="B219" s="41" t="s">
        <v>29991</v>
      </c>
      <c r="C219" s="74" t="s">
        <v>29992</v>
      </c>
      <c r="D219" s="72"/>
      <c r="F219" s="57"/>
      <c r="G219" s="35"/>
      <c r="J219" s="163"/>
      <c r="K219" s="45"/>
      <c r="L219" s="46"/>
      <c r="M219" s="53"/>
      <c r="N219" s="49"/>
      <c r="O219" s="50"/>
      <c r="P219" s="115"/>
      <c r="Q219" s="114" t="s">
        <v>17580</v>
      </c>
      <c r="R219" s="49"/>
      <c r="S219" s="50"/>
      <c r="T219" s="115"/>
      <c r="U219" s="208">
        <f>ROUND((ROUND((_15_同援日増９．０*_15・通訳),0)*(1+_15・区４)),0)</f>
        <v>1474</v>
      </c>
      <c r="V219" s="48"/>
    </row>
    <row r="220" spans="1:22" ht="16.5" customHeight="1" x14ac:dyDescent="0.15">
      <c r="A220" s="41">
        <v>15</v>
      </c>
      <c r="B220" s="41" t="s">
        <v>29993</v>
      </c>
      <c r="C220" s="74" t="s">
        <v>29994</v>
      </c>
      <c r="D220" s="72"/>
      <c r="F220" s="57"/>
      <c r="G220" s="35"/>
      <c r="J220" s="299" t="s">
        <v>17556</v>
      </c>
      <c r="K220" s="45" t="s">
        <v>398</v>
      </c>
      <c r="L220" s="46">
        <v>1</v>
      </c>
      <c r="M220" s="43"/>
      <c r="N220" s="37"/>
      <c r="O220" s="38"/>
      <c r="P220" s="79"/>
      <c r="Q220" s="92" t="s">
        <v>17572</v>
      </c>
      <c r="T220" s="57"/>
      <c r="U220" s="208">
        <f>ROUND((ROUND((ROUND((_15_同援日増９．０*_15・通訳),0)*_15・２人),0)*(1+_15・区４)),0)</f>
        <v>1474</v>
      </c>
      <c r="V220" s="48"/>
    </row>
    <row r="221" spans="1:22" ht="16.5" customHeight="1" x14ac:dyDescent="0.15">
      <c r="A221" s="41">
        <v>15</v>
      </c>
      <c r="B221" s="41" t="s">
        <v>29995</v>
      </c>
      <c r="C221" s="74" t="s">
        <v>29996</v>
      </c>
      <c r="D221" s="72"/>
      <c r="F221" s="57"/>
      <c r="G221" s="35"/>
      <c r="J221" s="163"/>
      <c r="K221" s="45"/>
      <c r="L221" s="46"/>
      <c r="M221" s="114" t="s">
        <v>17562</v>
      </c>
      <c r="N221" s="49"/>
      <c r="O221" s="50"/>
      <c r="P221" s="115"/>
      <c r="Q221" s="35"/>
      <c r="R221" s="12" t="s">
        <v>398</v>
      </c>
      <c r="S221" s="13">
        <v>0.4</v>
      </c>
      <c r="T221" s="57" t="s">
        <v>3575</v>
      </c>
      <c r="U221" s="208">
        <f>ROUND((ROUND((ROUND((_15_同援日増９．０*_15・通訳),0)*(1+_15・盲ろう)),0)*(1+_15・区４)),0)</f>
        <v>1842</v>
      </c>
      <c r="V221" s="48"/>
    </row>
    <row r="222" spans="1:22" ht="16.5" customHeight="1" x14ac:dyDescent="0.15">
      <c r="A222" s="41">
        <v>15</v>
      </c>
      <c r="B222" s="41" t="s">
        <v>29997</v>
      </c>
      <c r="C222" s="74" t="s">
        <v>29998</v>
      </c>
      <c r="D222" s="122"/>
      <c r="E222" s="37"/>
      <c r="F222" s="79"/>
      <c r="G222" s="35"/>
      <c r="J222" s="299" t="s">
        <v>17556</v>
      </c>
      <c r="K222" s="45" t="s">
        <v>398</v>
      </c>
      <c r="L222" s="46">
        <v>1</v>
      </c>
      <c r="M222" s="269" t="s">
        <v>17564</v>
      </c>
      <c r="N222" s="37" t="s">
        <v>398</v>
      </c>
      <c r="O222" s="38">
        <v>0.25</v>
      </c>
      <c r="P222" s="79" t="s">
        <v>3575</v>
      </c>
      <c r="Q222" s="43"/>
      <c r="R222" s="37"/>
      <c r="S222" s="38"/>
      <c r="T222" s="79"/>
      <c r="U222" s="208">
        <f>ROUND((ROUND((ROUND((ROUND((_15_同援日増９．０*_15・通訳),0)*_15・２人),0)*(1+_15・盲ろう)),0)*(1+_15・区４)),0)</f>
        <v>1842</v>
      </c>
      <c r="V222" s="48"/>
    </row>
    <row r="223" spans="1:22" ht="16.5" customHeight="1" x14ac:dyDescent="0.15">
      <c r="A223" s="41">
        <v>15</v>
      </c>
      <c r="B223" s="41" t="s">
        <v>29999</v>
      </c>
      <c r="C223" s="74" t="s">
        <v>30000</v>
      </c>
      <c r="D223" s="114" t="s">
        <v>24392</v>
      </c>
      <c r="E223" s="49"/>
      <c r="F223" s="115"/>
      <c r="G223" s="35"/>
      <c r="J223" s="163"/>
      <c r="K223" s="45"/>
      <c r="L223" s="46"/>
      <c r="M223" s="53"/>
      <c r="N223" s="49"/>
      <c r="O223" s="50"/>
      <c r="P223" s="115"/>
      <c r="Q223" s="53"/>
      <c r="R223" s="49"/>
      <c r="S223" s="50"/>
      <c r="T223" s="115"/>
      <c r="U223" s="208">
        <f>ROUND((_15_同援日増９．５*_15・通訳),0)</f>
        <v>1112</v>
      </c>
      <c r="V223" s="48"/>
    </row>
    <row r="224" spans="1:22" ht="16.5" customHeight="1" x14ac:dyDescent="0.15">
      <c r="A224" s="41">
        <v>15</v>
      </c>
      <c r="B224" s="41" t="s">
        <v>30001</v>
      </c>
      <c r="C224" s="74" t="s">
        <v>30002</v>
      </c>
      <c r="D224" s="72" t="s">
        <v>18048</v>
      </c>
      <c r="F224" s="57"/>
      <c r="G224" s="35"/>
      <c r="J224" s="299" t="s">
        <v>17556</v>
      </c>
      <c r="K224" s="45" t="s">
        <v>398</v>
      </c>
      <c r="L224" s="46">
        <v>1</v>
      </c>
      <c r="M224" s="43"/>
      <c r="N224" s="37"/>
      <c r="O224" s="38"/>
      <c r="P224" s="79"/>
      <c r="Q224" s="35"/>
      <c r="T224" s="57"/>
      <c r="U224" s="208">
        <f>ROUND((ROUND((_15_同援日増９．５*_15・通訳),0)*_15・２人),0)</f>
        <v>1112</v>
      </c>
      <c r="V224" s="48"/>
    </row>
    <row r="225" spans="1:22" ht="16.5" customHeight="1" x14ac:dyDescent="0.15">
      <c r="A225" s="41">
        <v>15</v>
      </c>
      <c r="B225" s="41" t="s">
        <v>3986</v>
      </c>
      <c r="C225" s="74" t="s">
        <v>30003</v>
      </c>
      <c r="D225" s="72" t="s">
        <v>18050</v>
      </c>
      <c r="F225" s="57"/>
      <c r="G225" s="35"/>
      <c r="J225" s="163"/>
      <c r="K225" s="45"/>
      <c r="L225" s="46"/>
      <c r="M225" s="114" t="s">
        <v>17562</v>
      </c>
      <c r="N225" s="49"/>
      <c r="O225" s="50"/>
      <c r="P225" s="115"/>
      <c r="Q225" s="35"/>
      <c r="T225" s="57"/>
      <c r="U225" s="208">
        <f>ROUND((ROUND((_15_同援日増９．５*_15・通訳),0)*(1+_15・盲ろう)),0)</f>
        <v>1390</v>
      </c>
      <c r="V225" s="48"/>
    </row>
    <row r="226" spans="1:22" ht="16.5" customHeight="1" x14ac:dyDescent="0.15">
      <c r="A226" s="41">
        <v>15</v>
      </c>
      <c r="B226" s="41" t="s">
        <v>3988</v>
      </c>
      <c r="C226" s="74" t="s">
        <v>30004</v>
      </c>
      <c r="D226" s="72"/>
      <c r="E226" s="168">
        <f>_15_同援日増９．５</f>
        <v>1235</v>
      </c>
      <c r="F226" s="57" t="s">
        <v>392</v>
      </c>
      <c r="G226" s="35"/>
      <c r="J226" s="299" t="s">
        <v>17556</v>
      </c>
      <c r="K226" s="45" t="s">
        <v>398</v>
      </c>
      <c r="L226" s="46">
        <v>1</v>
      </c>
      <c r="M226" s="269" t="s">
        <v>17564</v>
      </c>
      <c r="N226" s="37" t="s">
        <v>398</v>
      </c>
      <c r="O226" s="38">
        <v>0.25</v>
      </c>
      <c r="P226" s="79" t="s">
        <v>3575</v>
      </c>
      <c r="Q226" s="43"/>
      <c r="R226" s="37"/>
      <c r="S226" s="38"/>
      <c r="T226" s="79"/>
      <c r="U226" s="208">
        <f>ROUND((ROUND((ROUND((_15_同援日増９．５*_15・通訳),0)*_15・２人),0)*(1+_15・盲ろう)),0)</f>
        <v>1390</v>
      </c>
      <c r="V226" s="48"/>
    </row>
    <row r="227" spans="1:22" ht="16.5" customHeight="1" x14ac:dyDescent="0.15">
      <c r="A227" s="41">
        <v>15</v>
      </c>
      <c r="B227" s="41" t="s">
        <v>30005</v>
      </c>
      <c r="C227" s="74" t="s">
        <v>30006</v>
      </c>
      <c r="D227" s="72"/>
      <c r="F227" s="57"/>
      <c r="G227" s="35"/>
      <c r="J227" s="163"/>
      <c r="K227" s="45"/>
      <c r="L227" s="46"/>
      <c r="M227" s="53"/>
      <c r="N227" s="49"/>
      <c r="O227" s="50"/>
      <c r="P227" s="115"/>
      <c r="Q227" s="114" t="s">
        <v>17570</v>
      </c>
      <c r="R227" s="49"/>
      <c r="S227" s="50"/>
      <c r="T227" s="115"/>
      <c r="U227" s="208">
        <f>ROUND((ROUND((_15_同援日増９．５*_15・通訳),0)*(1+_15・区３)),0)</f>
        <v>1334</v>
      </c>
      <c r="V227" s="48"/>
    </row>
    <row r="228" spans="1:22" ht="16.5" customHeight="1" x14ac:dyDescent="0.15">
      <c r="A228" s="41">
        <v>15</v>
      </c>
      <c r="B228" s="41" t="s">
        <v>30007</v>
      </c>
      <c r="C228" s="74" t="s">
        <v>30008</v>
      </c>
      <c r="D228" s="72"/>
      <c r="F228" s="57"/>
      <c r="G228" s="35"/>
      <c r="J228" s="299" t="s">
        <v>17556</v>
      </c>
      <c r="K228" s="45" t="s">
        <v>398</v>
      </c>
      <c r="L228" s="46">
        <v>1</v>
      </c>
      <c r="M228" s="43"/>
      <c r="N228" s="37"/>
      <c r="O228" s="38"/>
      <c r="P228" s="79"/>
      <c r="Q228" s="92" t="s">
        <v>17572</v>
      </c>
      <c r="T228" s="57"/>
      <c r="U228" s="208">
        <f>ROUND((ROUND((ROUND((_15_同援日増９．５*_15・通訳),0)*_15・２人),0)*(1+_15・区３)),0)</f>
        <v>1334</v>
      </c>
      <c r="V228" s="48"/>
    </row>
    <row r="229" spans="1:22" ht="16.5" customHeight="1" x14ac:dyDescent="0.15">
      <c r="A229" s="41">
        <v>15</v>
      </c>
      <c r="B229" s="41" t="s">
        <v>30009</v>
      </c>
      <c r="C229" s="74" t="s">
        <v>30010</v>
      </c>
      <c r="D229" s="72"/>
      <c r="F229" s="57"/>
      <c r="G229" s="35"/>
      <c r="J229" s="163"/>
      <c r="K229" s="45"/>
      <c r="L229" s="46"/>
      <c r="M229" s="114" t="s">
        <v>17562</v>
      </c>
      <c r="N229" s="49"/>
      <c r="O229" s="50"/>
      <c r="P229" s="115"/>
      <c r="Q229" s="35"/>
      <c r="R229" s="12" t="s">
        <v>398</v>
      </c>
      <c r="S229" s="13">
        <v>0.2</v>
      </c>
      <c r="T229" s="57" t="s">
        <v>3575</v>
      </c>
      <c r="U229" s="208">
        <f>ROUND((ROUND((ROUND((_15_同援日増９．５*_15・通訳),0)*(1+_15・盲ろう)),0)*(1+_15・区３)),0)</f>
        <v>1668</v>
      </c>
      <c r="V229" s="48"/>
    </row>
    <row r="230" spans="1:22" ht="16.5" customHeight="1" x14ac:dyDescent="0.15">
      <c r="A230" s="41">
        <v>15</v>
      </c>
      <c r="B230" s="41" t="s">
        <v>30011</v>
      </c>
      <c r="C230" s="74" t="s">
        <v>30012</v>
      </c>
      <c r="D230" s="72"/>
      <c r="F230" s="57"/>
      <c r="G230" s="35"/>
      <c r="J230" s="299" t="s">
        <v>17556</v>
      </c>
      <c r="K230" s="45" t="s">
        <v>398</v>
      </c>
      <c r="L230" s="46">
        <v>1</v>
      </c>
      <c r="M230" s="269" t="s">
        <v>17564</v>
      </c>
      <c r="N230" s="37" t="s">
        <v>398</v>
      </c>
      <c r="O230" s="38">
        <v>0.25</v>
      </c>
      <c r="P230" s="79" t="s">
        <v>3575</v>
      </c>
      <c r="Q230" s="43"/>
      <c r="R230" s="37"/>
      <c r="S230" s="38"/>
      <c r="T230" s="79"/>
      <c r="U230" s="208">
        <f>ROUND((ROUND((ROUND((ROUND((_15_同援日増９．５*_15・通訳),0)*_15・２人),0)*(1+_15・盲ろう)),0)*(1+_15・区３)),0)</f>
        <v>1668</v>
      </c>
      <c r="V230" s="48"/>
    </row>
    <row r="231" spans="1:22" ht="16.5" customHeight="1" x14ac:dyDescent="0.15">
      <c r="A231" s="41">
        <v>15</v>
      </c>
      <c r="B231" s="41" t="s">
        <v>30013</v>
      </c>
      <c r="C231" s="74" t="s">
        <v>30014</v>
      </c>
      <c r="D231" s="72"/>
      <c r="F231" s="57"/>
      <c r="G231" s="35"/>
      <c r="J231" s="163"/>
      <c r="K231" s="45"/>
      <c r="L231" s="46"/>
      <c r="M231" s="53"/>
      <c r="N231" s="49"/>
      <c r="O231" s="50"/>
      <c r="P231" s="115"/>
      <c r="Q231" s="114" t="s">
        <v>17580</v>
      </c>
      <c r="R231" s="49"/>
      <c r="S231" s="50"/>
      <c r="T231" s="115"/>
      <c r="U231" s="208">
        <f>ROUND((ROUND((_15_同援日増９．５*_15・通訳),0)*(1+_15・区４)),0)</f>
        <v>1557</v>
      </c>
      <c r="V231" s="48"/>
    </row>
    <row r="232" spans="1:22" ht="16.5" customHeight="1" x14ac:dyDescent="0.15">
      <c r="A232" s="41">
        <v>15</v>
      </c>
      <c r="B232" s="41" t="s">
        <v>30015</v>
      </c>
      <c r="C232" s="74" t="s">
        <v>30016</v>
      </c>
      <c r="D232" s="72"/>
      <c r="F232" s="57"/>
      <c r="G232" s="35"/>
      <c r="J232" s="299" t="s">
        <v>17556</v>
      </c>
      <c r="K232" s="45" t="s">
        <v>398</v>
      </c>
      <c r="L232" s="46">
        <v>1</v>
      </c>
      <c r="M232" s="43"/>
      <c r="N232" s="37"/>
      <c r="O232" s="38"/>
      <c r="P232" s="79"/>
      <c r="Q232" s="92" t="s">
        <v>17572</v>
      </c>
      <c r="T232" s="57"/>
      <c r="U232" s="208">
        <f>ROUND((ROUND((ROUND((_15_同援日増９．５*_15・通訳),0)*_15・２人),0)*(1+_15・区４)),0)</f>
        <v>1557</v>
      </c>
      <c r="V232" s="48"/>
    </row>
    <row r="233" spans="1:22" ht="16.5" customHeight="1" x14ac:dyDescent="0.15">
      <c r="A233" s="41">
        <v>15</v>
      </c>
      <c r="B233" s="41" t="s">
        <v>30017</v>
      </c>
      <c r="C233" s="74" t="s">
        <v>30018</v>
      </c>
      <c r="D233" s="72"/>
      <c r="F233" s="57"/>
      <c r="G233" s="35"/>
      <c r="J233" s="163"/>
      <c r="K233" s="45"/>
      <c r="L233" s="46"/>
      <c r="M233" s="114" t="s">
        <v>17562</v>
      </c>
      <c r="N233" s="49"/>
      <c r="O233" s="50"/>
      <c r="P233" s="115"/>
      <c r="Q233" s="35"/>
      <c r="R233" s="12" t="s">
        <v>398</v>
      </c>
      <c r="S233" s="13">
        <v>0.4</v>
      </c>
      <c r="T233" s="57" t="s">
        <v>3575</v>
      </c>
      <c r="U233" s="208">
        <f>ROUND((ROUND((ROUND((_15_同援日増９．５*_15・通訳),0)*(1+_15・盲ろう)),0)*(1+_15・区４)),0)</f>
        <v>1946</v>
      </c>
      <c r="V233" s="48"/>
    </row>
    <row r="234" spans="1:22" ht="16.5" customHeight="1" x14ac:dyDescent="0.15">
      <c r="A234" s="41">
        <v>15</v>
      </c>
      <c r="B234" s="41" t="s">
        <v>30019</v>
      </c>
      <c r="C234" s="74" t="s">
        <v>30020</v>
      </c>
      <c r="D234" s="122"/>
      <c r="E234" s="37"/>
      <c r="F234" s="79"/>
      <c r="G234" s="35"/>
      <c r="J234" s="299" t="s">
        <v>17556</v>
      </c>
      <c r="K234" s="45" t="s">
        <v>398</v>
      </c>
      <c r="L234" s="46">
        <v>1</v>
      </c>
      <c r="M234" s="269" t="s">
        <v>17564</v>
      </c>
      <c r="N234" s="37" t="s">
        <v>398</v>
      </c>
      <c r="O234" s="38">
        <v>0.25</v>
      </c>
      <c r="P234" s="79" t="s">
        <v>3575</v>
      </c>
      <c r="Q234" s="43"/>
      <c r="R234" s="37"/>
      <c r="S234" s="38"/>
      <c r="T234" s="79"/>
      <c r="U234" s="208">
        <f>ROUND((ROUND((ROUND((ROUND((_15_同援日増９．５*_15・通訳),0)*_15・２人),0)*(1+_15・盲ろう)),0)*(1+_15・区４)),0)</f>
        <v>1946</v>
      </c>
      <c r="V234" s="48"/>
    </row>
    <row r="235" spans="1:22" ht="16.5" customHeight="1" x14ac:dyDescent="0.15">
      <c r="A235" s="41">
        <v>15</v>
      </c>
      <c r="B235" s="41" t="s">
        <v>3992</v>
      </c>
      <c r="C235" s="74" t="s">
        <v>30021</v>
      </c>
      <c r="D235" s="114" t="s">
        <v>24437</v>
      </c>
      <c r="E235" s="49"/>
      <c r="F235" s="115"/>
      <c r="G235" s="35"/>
      <c r="J235" s="163"/>
      <c r="K235" s="45"/>
      <c r="L235" s="46"/>
      <c r="M235" s="53"/>
      <c r="N235" s="49"/>
      <c r="O235" s="50"/>
      <c r="P235" s="115"/>
      <c r="Q235" s="53"/>
      <c r="R235" s="49"/>
      <c r="S235" s="50"/>
      <c r="T235" s="115"/>
      <c r="U235" s="208">
        <f>ROUND((_15_同援日増１０．０*_15・通訳),0)</f>
        <v>1170</v>
      </c>
      <c r="V235" s="48"/>
    </row>
    <row r="236" spans="1:22" ht="16.5" customHeight="1" x14ac:dyDescent="0.15">
      <c r="A236" s="41">
        <v>15</v>
      </c>
      <c r="B236" s="41" t="s">
        <v>3994</v>
      </c>
      <c r="C236" s="74" t="s">
        <v>30022</v>
      </c>
      <c r="D236" s="72" t="s">
        <v>18075</v>
      </c>
      <c r="F236" s="57"/>
      <c r="G236" s="35"/>
      <c r="J236" s="299" t="s">
        <v>17556</v>
      </c>
      <c r="K236" s="45" t="s">
        <v>398</v>
      </c>
      <c r="L236" s="46">
        <v>1</v>
      </c>
      <c r="M236" s="43"/>
      <c r="N236" s="37"/>
      <c r="O236" s="38"/>
      <c r="P236" s="79"/>
      <c r="Q236" s="35"/>
      <c r="T236" s="57"/>
      <c r="U236" s="208">
        <f>ROUND((ROUND((_15_同援日増１０．０*_15・通訳),0)*_15・２人),0)</f>
        <v>1170</v>
      </c>
      <c r="V236" s="48"/>
    </row>
    <row r="237" spans="1:22" ht="16.5" customHeight="1" x14ac:dyDescent="0.15">
      <c r="A237" s="41">
        <v>15</v>
      </c>
      <c r="B237" s="41" t="s">
        <v>30023</v>
      </c>
      <c r="C237" s="74" t="s">
        <v>30024</v>
      </c>
      <c r="D237" s="72" t="s">
        <v>18077</v>
      </c>
      <c r="F237" s="57"/>
      <c r="G237" s="35"/>
      <c r="J237" s="163"/>
      <c r="K237" s="45"/>
      <c r="L237" s="46"/>
      <c r="M237" s="114" t="s">
        <v>17562</v>
      </c>
      <c r="N237" s="49"/>
      <c r="O237" s="50"/>
      <c r="P237" s="115"/>
      <c r="Q237" s="35"/>
      <c r="T237" s="57"/>
      <c r="U237" s="208">
        <f>ROUND((ROUND((_15_同援日増１０．０*_15・通訳),0)*(1+_15・盲ろう)),0)</f>
        <v>1463</v>
      </c>
      <c r="V237" s="48"/>
    </row>
    <row r="238" spans="1:22" ht="16.5" customHeight="1" x14ac:dyDescent="0.15">
      <c r="A238" s="41">
        <v>15</v>
      </c>
      <c r="B238" s="41" t="s">
        <v>30025</v>
      </c>
      <c r="C238" s="74" t="s">
        <v>30026</v>
      </c>
      <c r="D238" s="72"/>
      <c r="E238" s="168">
        <f>_15_同援日増１０．０</f>
        <v>1300</v>
      </c>
      <c r="F238" s="57" t="s">
        <v>392</v>
      </c>
      <c r="G238" s="35"/>
      <c r="J238" s="299" t="s">
        <v>17556</v>
      </c>
      <c r="K238" s="45" t="s">
        <v>398</v>
      </c>
      <c r="L238" s="46">
        <v>1</v>
      </c>
      <c r="M238" s="269" t="s">
        <v>17564</v>
      </c>
      <c r="N238" s="37" t="s">
        <v>398</v>
      </c>
      <c r="O238" s="38">
        <v>0.25</v>
      </c>
      <c r="P238" s="79" t="s">
        <v>3575</v>
      </c>
      <c r="Q238" s="43"/>
      <c r="R238" s="37"/>
      <c r="S238" s="38"/>
      <c r="T238" s="79"/>
      <c r="U238" s="208">
        <f>ROUND((ROUND((ROUND((_15_同援日増１０．０*_15・通訳),0)*_15・２人),0)*(1+_15・盲ろう)),0)</f>
        <v>1463</v>
      </c>
      <c r="V238" s="48"/>
    </row>
    <row r="239" spans="1:22" ht="16.5" customHeight="1" x14ac:dyDescent="0.15">
      <c r="A239" s="41">
        <v>15</v>
      </c>
      <c r="B239" s="41" t="s">
        <v>30027</v>
      </c>
      <c r="C239" s="74" t="s">
        <v>30028</v>
      </c>
      <c r="D239" s="72"/>
      <c r="F239" s="57"/>
      <c r="G239" s="35"/>
      <c r="J239" s="163"/>
      <c r="K239" s="45"/>
      <c r="L239" s="46"/>
      <c r="M239" s="53"/>
      <c r="N239" s="49"/>
      <c r="O239" s="50"/>
      <c r="P239" s="115"/>
      <c r="Q239" s="114" t="s">
        <v>17570</v>
      </c>
      <c r="R239" s="49"/>
      <c r="S239" s="50"/>
      <c r="T239" s="115"/>
      <c r="U239" s="208">
        <f>ROUND((ROUND((_15_同援日増１０．０*_15・通訳),0)*(1+_15・区３)),0)</f>
        <v>1404</v>
      </c>
      <c r="V239" s="48"/>
    </row>
    <row r="240" spans="1:22" ht="16.5" customHeight="1" x14ac:dyDescent="0.15">
      <c r="A240" s="41">
        <v>15</v>
      </c>
      <c r="B240" s="41" t="s">
        <v>30029</v>
      </c>
      <c r="C240" s="74" t="s">
        <v>30030</v>
      </c>
      <c r="D240" s="72"/>
      <c r="F240" s="57"/>
      <c r="G240" s="35"/>
      <c r="J240" s="299" t="s">
        <v>17556</v>
      </c>
      <c r="K240" s="45" t="s">
        <v>398</v>
      </c>
      <c r="L240" s="46">
        <v>1</v>
      </c>
      <c r="M240" s="43"/>
      <c r="N240" s="37"/>
      <c r="O240" s="38"/>
      <c r="P240" s="79"/>
      <c r="Q240" s="92" t="s">
        <v>17572</v>
      </c>
      <c r="T240" s="57"/>
      <c r="U240" s="208">
        <f>ROUND((ROUND((ROUND((_15_同援日増１０．０*_15・通訳),0)*_15・２人),0)*(1+_15・区３)),0)</f>
        <v>1404</v>
      </c>
      <c r="V240" s="48"/>
    </row>
    <row r="241" spans="1:22" ht="16.5" customHeight="1" x14ac:dyDescent="0.15">
      <c r="A241" s="41">
        <v>15</v>
      </c>
      <c r="B241" s="41" t="s">
        <v>30031</v>
      </c>
      <c r="C241" s="74" t="s">
        <v>30032</v>
      </c>
      <c r="D241" s="72"/>
      <c r="F241" s="57"/>
      <c r="G241" s="35"/>
      <c r="J241" s="163"/>
      <c r="K241" s="45"/>
      <c r="L241" s="46"/>
      <c r="M241" s="114" t="s">
        <v>17562</v>
      </c>
      <c r="N241" s="49"/>
      <c r="O241" s="50"/>
      <c r="P241" s="115"/>
      <c r="Q241" s="35"/>
      <c r="R241" s="12" t="s">
        <v>398</v>
      </c>
      <c r="S241" s="13">
        <v>0.2</v>
      </c>
      <c r="T241" s="57" t="s">
        <v>3575</v>
      </c>
      <c r="U241" s="208">
        <f>ROUND((ROUND((ROUND((_15_同援日増１０．０*_15・通訳),0)*(1+_15・盲ろう)),0)*(1+_15・区３)),0)</f>
        <v>1756</v>
      </c>
      <c r="V241" s="48"/>
    </row>
    <row r="242" spans="1:22" ht="16.5" customHeight="1" x14ac:dyDescent="0.15">
      <c r="A242" s="41">
        <v>15</v>
      </c>
      <c r="B242" s="41" t="s">
        <v>30033</v>
      </c>
      <c r="C242" s="74" t="s">
        <v>30034</v>
      </c>
      <c r="D242" s="72"/>
      <c r="F242" s="57"/>
      <c r="G242" s="35"/>
      <c r="J242" s="299" t="s">
        <v>17556</v>
      </c>
      <c r="K242" s="45" t="s">
        <v>398</v>
      </c>
      <c r="L242" s="46">
        <v>1</v>
      </c>
      <c r="M242" s="269" t="s">
        <v>17564</v>
      </c>
      <c r="N242" s="37" t="s">
        <v>398</v>
      </c>
      <c r="O242" s="38">
        <v>0.25</v>
      </c>
      <c r="P242" s="79" t="s">
        <v>3575</v>
      </c>
      <c r="Q242" s="43"/>
      <c r="R242" s="37"/>
      <c r="S242" s="38"/>
      <c r="T242" s="79"/>
      <c r="U242" s="208">
        <f>ROUND((ROUND((ROUND((ROUND((_15_同援日増１０．０*_15・通訳),0)*_15・２人),0)*(1+_15・盲ろう)),0)*(1+_15・区３)),0)</f>
        <v>1756</v>
      </c>
      <c r="V242" s="48"/>
    </row>
    <row r="243" spans="1:22" ht="16.5" customHeight="1" x14ac:dyDescent="0.15">
      <c r="A243" s="41">
        <v>15</v>
      </c>
      <c r="B243" s="41" t="s">
        <v>30035</v>
      </c>
      <c r="C243" s="74" t="s">
        <v>30036</v>
      </c>
      <c r="D243" s="72"/>
      <c r="F243" s="57"/>
      <c r="G243" s="35"/>
      <c r="J243" s="163"/>
      <c r="K243" s="45"/>
      <c r="L243" s="46"/>
      <c r="M243" s="53"/>
      <c r="N243" s="49"/>
      <c r="O243" s="50"/>
      <c r="P243" s="115"/>
      <c r="Q243" s="114" t="s">
        <v>17580</v>
      </c>
      <c r="R243" s="49"/>
      <c r="S243" s="50"/>
      <c r="T243" s="115"/>
      <c r="U243" s="208">
        <f>ROUND((ROUND((_15_同援日増１０．０*_15・通訳),0)*(1+_15・区４)),0)</f>
        <v>1638</v>
      </c>
      <c r="V243" s="48"/>
    </row>
    <row r="244" spans="1:22" ht="16.5" customHeight="1" x14ac:dyDescent="0.15">
      <c r="A244" s="41">
        <v>15</v>
      </c>
      <c r="B244" s="41" t="s">
        <v>30037</v>
      </c>
      <c r="C244" s="74" t="s">
        <v>30038</v>
      </c>
      <c r="D244" s="72"/>
      <c r="F244" s="57"/>
      <c r="G244" s="35"/>
      <c r="J244" s="299" t="s">
        <v>17556</v>
      </c>
      <c r="K244" s="45" t="s">
        <v>398</v>
      </c>
      <c r="L244" s="46">
        <v>1</v>
      </c>
      <c r="M244" s="43"/>
      <c r="N244" s="37"/>
      <c r="O244" s="38"/>
      <c r="P244" s="79"/>
      <c r="Q244" s="92" t="s">
        <v>17572</v>
      </c>
      <c r="T244" s="57"/>
      <c r="U244" s="208">
        <f>ROUND((ROUND((ROUND((_15_同援日増１０．０*_15・通訳),0)*_15・２人),0)*(1+_15・区４)),0)</f>
        <v>1638</v>
      </c>
      <c r="V244" s="48"/>
    </row>
    <row r="245" spans="1:22" ht="16.5" customHeight="1" x14ac:dyDescent="0.15">
      <c r="A245" s="41">
        <v>15</v>
      </c>
      <c r="B245" s="41" t="s">
        <v>3998</v>
      </c>
      <c r="C245" s="74" t="s">
        <v>30039</v>
      </c>
      <c r="D245" s="72"/>
      <c r="F245" s="57"/>
      <c r="G245" s="35"/>
      <c r="J245" s="163"/>
      <c r="K245" s="45"/>
      <c r="L245" s="46"/>
      <c r="M245" s="114" t="s">
        <v>17562</v>
      </c>
      <c r="N245" s="49"/>
      <c r="O245" s="50"/>
      <c r="P245" s="115"/>
      <c r="Q245" s="35"/>
      <c r="R245" s="12" t="s">
        <v>398</v>
      </c>
      <c r="S245" s="13">
        <v>0.4</v>
      </c>
      <c r="T245" s="57" t="s">
        <v>3575</v>
      </c>
      <c r="U245" s="208">
        <f>ROUND((ROUND((ROUND((_15_同援日増１０．０*_15・通訳),0)*(1+_15・盲ろう)),0)*(1+_15・区４)),0)</f>
        <v>2048</v>
      </c>
      <c r="V245" s="48"/>
    </row>
    <row r="246" spans="1:22" ht="16.5" customHeight="1" x14ac:dyDescent="0.15">
      <c r="A246" s="41">
        <v>15</v>
      </c>
      <c r="B246" s="41" t="s">
        <v>4000</v>
      </c>
      <c r="C246" s="74" t="s">
        <v>30040</v>
      </c>
      <c r="D246" s="122"/>
      <c r="E246" s="37"/>
      <c r="F246" s="79"/>
      <c r="G246" s="35"/>
      <c r="J246" s="299" t="s">
        <v>17556</v>
      </c>
      <c r="K246" s="45" t="s">
        <v>398</v>
      </c>
      <c r="L246" s="46">
        <v>1</v>
      </c>
      <c r="M246" s="269" t="s">
        <v>17564</v>
      </c>
      <c r="N246" s="37" t="s">
        <v>398</v>
      </c>
      <c r="O246" s="38">
        <v>0.25</v>
      </c>
      <c r="P246" s="79" t="s">
        <v>3575</v>
      </c>
      <c r="Q246" s="43"/>
      <c r="R246" s="37"/>
      <c r="S246" s="38"/>
      <c r="T246" s="79"/>
      <c r="U246" s="208">
        <f>ROUND((ROUND((ROUND((ROUND((_15_同援日増１０．０*_15・通訳),0)*_15・２人),0)*(1+_15・盲ろう)),0)*(1+_15・区４)),0)</f>
        <v>2048</v>
      </c>
      <c r="V246" s="48"/>
    </row>
    <row r="247" spans="1:22" ht="16.5" customHeight="1" x14ac:dyDescent="0.15">
      <c r="A247" s="41">
        <v>15</v>
      </c>
      <c r="B247" s="41" t="s">
        <v>30041</v>
      </c>
      <c r="C247" s="74" t="s">
        <v>30042</v>
      </c>
      <c r="D247" s="114" t="s">
        <v>24479</v>
      </c>
      <c r="E247" s="49"/>
      <c r="F247" s="115"/>
      <c r="G247" s="35"/>
      <c r="J247" s="163"/>
      <c r="K247" s="45"/>
      <c r="L247" s="46"/>
      <c r="M247" s="53"/>
      <c r="N247" s="49"/>
      <c r="O247" s="50"/>
      <c r="P247" s="115"/>
      <c r="Q247" s="53"/>
      <c r="R247" s="49"/>
      <c r="S247" s="50"/>
      <c r="T247" s="115"/>
      <c r="U247" s="208">
        <f>ROUND((_15_同援日増１０．５*_15・通訳),0)</f>
        <v>1229</v>
      </c>
      <c r="V247" s="48"/>
    </row>
    <row r="248" spans="1:22" ht="16.5" customHeight="1" x14ac:dyDescent="0.15">
      <c r="A248" s="41">
        <v>15</v>
      </c>
      <c r="B248" s="41" t="s">
        <v>30043</v>
      </c>
      <c r="C248" s="74" t="s">
        <v>30044</v>
      </c>
      <c r="D248" s="72" t="s">
        <v>18102</v>
      </c>
      <c r="F248" s="57"/>
      <c r="G248" s="35"/>
      <c r="J248" s="299" t="s">
        <v>17556</v>
      </c>
      <c r="K248" s="45" t="s">
        <v>398</v>
      </c>
      <c r="L248" s="46">
        <v>1</v>
      </c>
      <c r="M248" s="43"/>
      <c r="N248" s="37"/>
      <c r="O248" s="38"/>
      <c r="P248" s="79"/>
      <c r="Q248" s="35"/>
      <c r="T248" s="57"/>
      <c r="U248" s="208">
        <f>ROUND((ROUND((_15_同援日増１０．５*_15・通訳),0)*_15・２人),0)</f>
        <v>1229</v>
      </c>
      <c r="V248" s="48"/>
    </row>
    <row r="249" spans="1:22" ht="16.5" customHeight="1" x14ac:dyDescent="0.15">
      <c r="A249" s="41">
        <v>15</v>
      </c>
      <c r="B249" s="41" t="s">
        <v>30045</v>
      </c>
      <c r="C249" s="74" t="s">
        <v>30046</v>
      </c>
      <c r="D249" s="72" t="s">
        <v>18104</v>
      </c>
      <c r="F249" s="57"/>
      <c r="G249" s="35"/>
      <c r="J249" s="163"/>
      <c r="K249" s="45"/>
      <c r="L249" s="46"/>
      <c r="M249" s="114" t="s">
        <v>17562</v>
      </c>
      <c r="N249" s="49"/>
      <c r="O249" s="50"/>
      <c r="P249" s="115"/>
      <c r="Q249" s="35"/>
      <c r="T249" s="57"/>
      <c r="U249" s="208">
        <f>ROUND((ROUND((_15_同援日増１０．５*_15・通訳),0)*(1+_15・盲ろう)),0)</f>
        <v>1536</v>
      </c>
      <c r="V249" s="48"/>
    </row>
    <row r="250" spans="1:22" ht="16.5" customHeight="1" x14ac:dyDescent="0.15">
      <c r="A250" s="41">
        <v>15</v>
      </c>
      <c r="B250" s="41" t="s">
        <v>30047</v>
      </c>
      <c r="C250" s="74" t="s">
        <v>30048</v>
      </c>
      <c r="D250" s="72"/>
      <c r="E250" s="168">
        <f>_15_同援日増１０．５</f>
        <v>1365</v>
      </c>
      <c r="F250" s="57" t="s">
        <v>392</v>
      </c>
      <c r="G250" s="35"/>
      <c r="J250" s="299" t="s">
        <v>17556</v>
      </c>
      <c r="K250" s="45" t="s">
        <v>398</v>
      </c>
      <c r="L250" s="46">
        <v>1</v>
      </c>
      <c r="M250" s="269" t="s">
        <v>17564</v>
      </c>
      <c r="N250" s="37" t="s">
        <v>398</v>
      </c>
      <c r="O250" s="38">
        <v>0.25</v>
      </c>
      <c r="P250" s="79" t="s">
        <v>3575</v>
      </c>
      <c r="Q250" s="43"/>
      <c r="R250" s="37"/>
      <c r="S250" s="38"/>
      <c r="T250" s="79"/>
      <c r="U250" s="208">
        <f>ROUND((ROUND((ROUND((_15_同援日増１０．５*_15・通訳),0)*_15・２人),0)*(1+_15・盲ろう)),0)</f>
        <v>1536</v>
      </c>
      <c r="V250" s="48"/>
    </row>
    <row r="251" spans="1:22" ht="16.5" customHeight="1" x14ac:dyDescent="0.15">
      <c r="A251" s="41">
        <v>15</v>
      </c>
      <c r="B251" s="41" t="s">
        <v>30049</v>
      </c>
      <c r="C251" s="74" t="s">
        <v>30050</v>
      </c>
      <c r="D251" s="72"/>
      <c r="F251" s="57"/>
      <c r="G251" s="35"/>
      <c r="J251" s="163"/>
      <c r="K251" s="45"/>
      <c r="L251" s="46"/>
      <c r="M251" s="53"/>
      <c r="N251" s="49"/>
      <c r="O251" s="50"/>
      <c r="P251" s="115"/>
      <c r="Q251" s="114" t="s">
        <v>17570</v>
      </c>
      <c r="R251" s="49"/>
      <c r="S251" s="50"/>
      <c r="T251" s="115"/>
      <c r="U251" s="208">
        <f>ROUND((ROUND((_15_同援日増１０．５*_15・通訳),0)*(1+_15・区３)),0)</f>
        <v>1475</v>
      </c>
      <c r="V251" s="48"/>
    </row>
    <row r="252" spans="1:22" ht="16.5" customHeight="1" x14ac:dyDescent="0.15">
      <c r="A252" s="41">
        <v>15</v>
      </c>
      <c r="B252" s="41" t="s">
        <v>30051</v>
      </c>
      <c r="C252" s="74" t="s">
        <v>30052</v>
      </c>
      <c r="D252" s="72"/>
      <c r="F252" s="57"/>
      <c r="G252" s="35"/>
      <c r="J252" s="299" t="s">
        <v>17556</v>
      </c>
      <c r="K252" s="45" t="s">
        <v>398</v>
      </c>
      <c r="L252" s="46">
        <v>1</v>
      </c>
      <c r="M252" s="43"/>
      <c r="N252" s="37"/>
      <c r="O252" s="38"/>
      <c r="P252" s="79"/>
      <c r="Q252" s="92" t="s">
        <v>17572</v>
      </c>
      <c r="T252" s="57"/>
      <c r="U252" s="208">
        <f>ROUND((ROUND((ROUND((_15_同援日増１０．５*_15・通訳),0)*_15・２人),0)*(1+_15・区３)),0)</f>
        <v>1475</v>
      </c>
      <c r="V252" s="48"/>
    </row>
    <row r="253" spans="1:22" ht="16.5" customHeight="1" x14ac:dyDescent="0.15">
      <c r="A253" s="41">
        <v>15</v>
      </c>
      <c r="B253" s="41" t="s">
        <v>30053</v>
      </c>
      <c r="C253" s="74" t="s">
        <v>30054</v>
      </c>
      <c r="D253" s="72"/>
      <c r="F253" s="57"/>
      <c r="G253" s="35"/>
      <c r="J253" s="163"/>
      <c r="K253" s="45"/>
      <c r="L253" s="46"/>
      <c r="M253" s="114" t="s">
        <v>17562</v>
      </c>
      <c r="N253" s="49"/>
      <c r="O253" s="50"/>
      <c r="P253" s="115"/>
      <c r="Q253" s="35"/>
      <c r="R253" s="12" t="s">
        <v>398</v>
      </c>
      <c r="S253" s="13">
        <v>0.2</v>
      </c>
      <c r="T253" s="57" t="s">
        <v>3575</v>
      </c>
      <c r="U253" s="208">
        <f>ROUND((ROUND((ROUND((_15_同援日増１０．５*_15・通訳),0)*(1+_15・盲ろう)),0)*(1+_15・区３)),0)</f>
        <v>1843</v>
      </c>
      <c r="V253" s="48"/>
    </row>
    <row r="254" spans="1:22" ht="16.5" customHeight="1" x14ac:dyDescent="0.15">
      <c r="A254" s="41">
        <v>15</v>
      </c>
      <c r="B254" s="41" t="s">
        <v>30055</v>
      </c>
      <c r="C254" s="74" t="s">
        <v>30056</v>
      </c>
      <c r="D254" s="72"/>
      <c r="F254" s="57"/>
      <c r="G254" s="35"/>
      <c r="J254" s="299" t="s">
        <v>17556</v>
      </c>
      <c r="K254" s="45" t="s">
        <v>398</v>
      </c>
      <c r="L254" s="46">
        <v>1</v>
      </c>
      <c r="M254" s="269" t="s">
        <v>17564</v>
      </c>
      <c r="N254" s="37" t="s">
        <v>398</v>
      </c>
      <c r="O254" s="38">
        <v>0.25</v>
      </c>
      <c r="P254" s="79" t="s">
        <v>3575</v>
      </c>
      <c r="Q254" s="43"/>
      <c r="R254" s="37"/>
      <c r="S254" s="38"/>
      <c r="T254" s="79"/>
      <c r="U254" s="208">
        <f>ROUND((ROUND((ROUND((ROUND((_15_同援日増１０．５*_15・通訳),0)*_15・２人),0)*(1+_15・盲ろう)),0)*(1+_15・区３)),0)</f>
        <v>1843</v>
      </c>
      <c r="V254" s="48"/>
    </row>
    <row r="255" spans="1:22" ht="16.5" customHeight="1" x14ac:dyDescent="0.15">
      <c r="A255" s="41">
        <v>15</v>
      </c>
      <c r="B255" s="41" t="s">
        <v>4004</v>
      </c>
      <c r="C255" s="74" t="s">
        <v>30057</v>
      </c>
      <c r="D255" s="72"/>
      <c r="F255" s="57"/>
      <c r="G255" s="35"/>
      <c r="J255" s="163"/>
      <c r="K255" s="45"/>
      <c r="L255" s="46"/>
      <c r="M255" s="53"/>
      <c r="N255" s="49"/>
      <c r="O255" s="50"/>
      <c r="P255" s="115"/>
      <c r="Q255" s="114" t="s">
        <v>17580</v>
      </c>
      <c r="R255" s="49"/>
      <c r="S255" s="50"/>
      <c r="T255" s="115"/>
      <c r="U255" s="208">
        <f>ROUND((ROUND((_15_同援日増１０．５*_15・通訳),0)*(1+_15・区４)),0)</f>
        <v>1721</v>
      </c>
      <c r="V255" s="48"/>
    </row>
    <row r="256" spans="1:22" ht="16.5" customHeight="1" x14ac:dyDescent="0.15">
      <c r="A256" s="41">
        <v>15</v>
      </c>
      <c r="B256" s="41" t="s">
        <v>4006</v>
      </c>
      <c r="C256" s="74" t="s">
        <v>30058</v>
      </c>
      <c r="D256" s="72"/>
      <c r="F256" s="57"/>
      <c r="G256" s="35"/>
      <c r="J256" s="299" t="s">
        <v>17556</v>
      </c>
      <c r="K256" s="45" t="s">
        <v>398</v>
      </c>
      <c r="L256" s="46">
        <v>1</v>
      </c>
      <c r="M256" s="43"/>
      <c r="N256" s="37"/>
      <c r="O256" s="38"/>
      <c r="P256" s="79"/>
      <c r="Q256" s="92" t="s">
        <v>17572</v>
      </c>
      <c r="T256" s="57"/>
      <c r="U256" s="208">
        <f>ROUND((ROUND((ROUND((_15_同援日増１０．５*_15・通訳),0)*_15・２人),0)*(1+_15・区４)),0)</f>
        <v>1721</v>
      </c>
      <c r="V256" s="48"/>
    </row>
    <row r="257" spans="1:22" ht="16.5" customHeight="1" x14ac:dyDescent="0.15">
      <c r="A257" s="41">
        <v>15</v>
      </c>
      <c r="B257" s="41" t="s">
        <v>30059</v>
      </c>
      <c r="C257" s="74" t="s">
        <v>30060</v>
      </c>
      <c r="D257" s="72"/>
      <c r="F257" s="57"/>
      <c r="G257" s="35"/>
      <c r="J257" s="163"/>
      <c r="K257" s="45"/>
      <c r="L257" s="46"/>
      <c r="M257" s="114" t="s">
        <v>17562</v>
      </c>
      <c r="N257" s="49"/>
      <c r="O257" s="50"/>
      <c r="P257" s="115"/>
      <c r="Q257" s="35"/>
      <c r="R257" s="12" t="s">
        <v>398</v>
      </c>
      <c r="S257" s="13">
        <v>0.4</v>
      </c>
      <c r="T257" s="57" t="s">
        <v>3575</v>
      </c>
      <c r="U257" s="208">
        <f>ROUND((ROUND((ROUND((_15_同援日増１０．５*_15・通訳),0)*(1+_15・盲ろう)),0)*(1+_15・区４)),0)</f>
        <v>2150</v>
      </c>
      <c r="V257" s="48"/>
    </row>
    <row r="258" spans="1:22" ht="16.5" customHeight="1" x14ac:dyDescent="0.15">
      <c r="A258" s="41">
        <v>15</v>
      </c>
      <c r="B258" s="41" t="s">
        <v>30061</v>
      </c>
      <c r="C258" s="74" t="s">
        <v>30062</v>
      </c>
      <c r="D258" s="122"/>
      <c r="E258" s="37"/>
      <c r="F258" s="79"/>
      <c r="G258" s="43"/>
      <c r="H258" s="37"/>
      <c r="I258" s="38"/>
      <c r="J258" s="299" t="s">
        <v>17556</v>
      </c>
      <c r="K258" s="45" t="s">
        <v>398</v>
      </c>
      <c r="L258" s="46">
        <v>1</v>
      </c>
      <c r="M258" s="269" t="s">
        <v>17564</v>
      </c>
      <c r="N258" s="37" t="s">
        <v>398</v>
      </c>
      <c r="O258" s="38">
        <v>0.25</v>
      </c>
      <c r="P258" s="79" t="s">
        <v>3575</v>
      </c>
      <c r="Q258" s="43"/>
      <c r="R258" s="37"/>
      <c r="S258" s="38"/>
      <c r="T258" s="79"/>
      <c r="U258" s="208">
        <f>ROUND((ROUND((ROUND((ROUND((_15_同援日増１０．５*_15・通訳),0)*_15・２人),0)*(1+_15・盲ろう)),0)*(1+_15・区４)),0)</f>
        <v>2150</v>
      </c>
      <c r="V258" s="63"/>
    </row>
    <row r="259" spans="1:22" ht="16.5" customHeight="1" x14ac:dyDescent="0.15"/>
    <row r="260" spans="1:22"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47" fitToHeight="0" orientation="portrait" r:id="rId1"/>
  <headerFooter>
    <oddHeader>&amp;R&amp;"ＭＳ Ｐゴシック"&amp;9同行援護</oddHeader>
    <oddFooter>&amp;C&amp;"ＭＳ Ｐゴシック"&amp;14&amp;P</oddFooter>
  </headerFooter>
  <rowBreaks count="2" manualBreakCount="2">
    <brk id="102" max="16383" man="1"/>
    <brk id="198" max="16383" man="1"/>
  </row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7">
    <pageSetUpPr fitToPage="1"/>
  </sheetPr>
  <dimension ref="A1:X181"/>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8.5" style="10" customWidth="1"/>
    <col min="5" max="5" width="4.125" style="12" bestFit="1" customWidth="1"/>
    <col min="6" max="6" width="4.875" style="12" bestFit="1" customWidth="1"/>
    <col min="7" max="7" width="16.5" style="12" customWidth="1"/>
    <col min="8" max="8" width="3.125" style="12" bestFit="1" customWidth="1"/>
    <col min="9" max="9" width="4.125" style="13" bestFit="1" customWidth="1"/>
    <col min="10" max="10" width="26.5" style="12" bestFit="1" customWidth="1"/>
    <col min="11" max="11" width="3.125" style="12" bestFit="1" customWidth="1"/>
    <col min="12" max="12" width="5" style="13" bestFit="1" customWidth="1"/>
    <col min="13" max="13" width="4.125" style="13" bestFit="1" customWidth="1"/>
    <col min="14" max="14" width="4.875" style="12" bestFit="1" customWidth="1"/>
    <col min="15" max="15" width="22.125" style="12" customWidth="1"/>
    <col min="16" max="16" width="3.125" style="12" bestFit="1" customWidth="1"/>
    <col min="17" max="17" width="4.125" style="13" bestFit="1" customWidth="1"/>
    <col min="18" max="18" width="4.875" style="12" bestFit="1" customWidth="1"/>
    <col min="19" max="19" width="8.5" style="12" customWidth="1"/>
    <col min="20" max="20" width="3.125" style="12" bestFit="1" customWidth="1"/>
    <col min="21" max="21" width="4.125" style="13" bestFit="1" customWidth="1"/>
    <col min="22" max="22" width="4.875" style="12" bestFit="1" customWidth="1"/>
    <col min="23" max="23" width="7.125" style="206" customWidth="1"/>
    <col min="24" max="24" width="8.5" style="16" customWidth="1"/>
    <col min="25" max="16384" width="9" style="12"/>
  </cols>
  <sheetData>
    <row r="1" spans="1:24" ht="17.100000000000001" customHeight="1" x14ac:dyDescent="0.15"/>
    <row r="2" spans="1:24" ht="17.100000000000001" customHeight="1" x14ac:dyDescent="0.15"/>
    <row r="3" spans="1:24" ht="17.100000000000001" customHeight="1" x14ac:dyDescent="0.15"/>
    <row r="4" spans="1:24" ht="17.100000000000001" customHeight="1" x14ac:dyDescent="0.15">
      <c r="B4" s="17" t="s">
        <v>30063</v>
      </c>
      <c r="D4" s="71"/>
    </row>
    <row r="5" spans="1:24" ht="16.5" customHeight="1" x14ac:dyDescent="0.15">
      <c r="A5" s="19" t="s">
        <v>384</v>
      </c>
      <c r="B5" s="20"/>
      <c r="C5" s="21" t="s">
        <v>385</v>
      </c>
      <c r="D5" s="23" t="s">
        <v>386</v>
      </c>
      <c r="E5" s="23"/>
      <c r="F5" s="23"/>
      <c r="G5" s="23"/>
      <c r="H5" s="23"/>
      <c r="I5" s="24"/>
      <c r="J5" s="23"/>
      <c r="K5" s="23"/>
      <c r="L5" s="24"/>
      <c r="M5" s="24"/>
      <c r="N5" s="23"/>
      <c r="O5" s="23"/>
      <c r="P5" s="23"/>
      <c r="Q5" s="24"/>
      <c r="R5" s="23"/>
      <c r="S5" s="23"/>
      <c r="T5" s="23"/>
      <c r="U5" s="24"/>
      <c r="V5" s="23"/>
      <c r="W5" s="21" t="s">
        <v>387</v>
      </c>
      <c r="X5" s="21" t="s">
        <v>388</v>
      </c>
    </row>
    <row r="6" spans="1:24" ht="16.5" customHeight="1" x14ac:dyDescent="0.15">
      <c r="A6" s="26" t="s">
        <v>389</v>
      </c>
      <c r="B6" s="26" t="s">
        <v>390</v>
      </c>
      <c r="C6" s="27"/>
      <c r="D6" s="29"/>
      <c r="E6" s="29"/>
      <c r="F6" s="29"/>
      <c r="G6" s="29"/>
      <c r="H6" s="29"/>
      <c r="I6" s="30"/>
      <c r="J6" s="29"/>
      <c r="K6" s="29"/>
      <c r="L6" s="30"/>
      <c r="M6" s="30"/>
      <c r="N6" s="29"/>
      <c r="O6" s="29"/>
      <c r="P6" s="29"/>
      <c r="Q6" s="30"/>
      <c r="R6" s="29"/>
      <c r="S6" s="29"/>
      <c r="T6" s="29"/>
      <c r="U6" s="30"/>
      <c r="V6" s="29"/>
      <c r="W6" s="32" t="s">
        <v>391</v>
      </c>
      <c r="X6" s="32" t="s">
        <v>392</v>
      </c>
    </row>
    <row r="7" spans="1:24" ht="16.5" customHeight="1" x14ac:dyDescent="0.15">
      <c r="A7" s="33">
        <v>15</v>
      </c>
      <c r="B7" s="33" t="s">
        <v>30064</v>
      </c>
      <c r="C7" s="34" t="s">
        <v>30065</v>
      </c>
      <c r="D7" s="72" t="s">
        <v>24524</v>
      </c>
      <c r="F7" s="57"/>
      <c r="G7" s="35"/>
      <c r="J7" s="43"/>
      <c r="K7" s="37"/>
      <c r="L7" s="38"/>
      <c r="M7" s="512"/>
      <c r="N7" s="57"/>
      <c r="O7" s="35"/>
      <c r="R7" s="57"/>
      <c r="S7" s="35"/>
      <c r="V7" s="57"/>
      <c r="W7" s="207">
        <f>ROUND((ROUND((_15_同援日増０．５*_15・通訳),0)*(1+_15・A早朝)),0)</f>
        <v>74</v>
      </c>
      <c r="X7" s="40" t="s">
        <v>395</v>
      </c>
    </row>
    <row r="8" spans="1:24" ht="16.5" customHeight="1" x14ac:dyDescent="0.15">
      <c r="A8" s="41">
        <v>15</v>
      </c>
      <c r="B8" s="41" t="s">
        <v>30066</v>
      </c>
      <c r="C8" s="74" t="s">
        <v>30067</v>
      </c>
      <c r="D8" s="72" t="s">
        <v>18259</v>
      </c>
      <c r="F8" s="57"/>
      <c r="G8" s="35"/>
      <c r="J8" s="299" t="s">
        <v>17556</v>
      </c>
      <c r="K8" s="45" t="s">
        <v>398</v>
      </c>
      <c r="L8" s="46">
        <v>1</v>
      </c>
      <c r="M8" s="512"/>
      <c r="N8" s="57"/>
      <c r="O8" s="43"/>
      <c r="P8" s="37"/>
      <c r="Q8" s="38"/>
      <c r="R8" s="79"/>
      <c r="S8" s="35"/>
      <c r="V8" s="57"/>
      <c r="W8" s="208">
        <f>ROUND((ROUND((ROUND((_15_同援日増０．５*_15・通訳),0)*_15・２人),0)*(1+_15・A早朝)),0)</f>
        <v>74</v>
      </c>
      <c r="X8" s="48"/>
    </row>
    <row r="9" spans="1:24" ht="16.5" customHeight="1" x14ac:dyDescent="0.15">
      <c r="A9" s="41">
        <v>15</v>
      </c>
      <c r="B9" s="41" t="s">
        <v>30068</v>
      </c>
      <c r="C9" s="74" t="s">
        <v>30069</v>
      </c>
      <c r="D9" s="72"/>
      <c r="F9" s="57"/>
      <c r="G9" s="35"/>
      <c r="J9" s="163"/>
      <c r="K9" s="45"/>
      <c r="L9" s="46"/>
      <c r="M9" s="512"/>
      <c r="N9" s="57"/>
      <c r="O9" s="114" t="s">
        <v>17562</v>
      </c>
      <c r="P9" s="49"/>
      <c r="Q9" s="50"/>
      <c r="R9" s="115"/>
      <c r="S9" s="35"/>
      <c r="V9" s="57"/>
      <c r="W9" s="208">
        <f>ROUND((ROUND((ROUND((_15_同援日増０．５*_15・通訳),0)*(1+_15・A早朝)),0)*(1+_15・盲ろう)),0)</f>
        <v>93</v>
      </c>
      <c r="X9" s="48"/>
    </row>
    <row r="10" spans="1:24" ht="16.5" customHeight="1" x14ac:dyDescent="0.15">
      <c r="A10" s="41">
        <v>15</v>
      </c>
      <c r="B10" s="41" t="s">
        <v>30070</v>
      </c>
      <c r="C10" s="74" t="s">
        <v>30071</v>
      </c>
      <c r="D10" s="72"/>
      <c r="E10" s="168">
        <f>_15_同援日増０．５</f>
        <v>65</v>
      </c>
      <c r="F10" s="57" t="s">
        <v>392</v>
      </c>
      <c r="G10" s="35"/>
      <c r="J10" s="299" t="s">
        <v>17556</v>
      </c>
      <c r="K10" s="45" t="s">
        <v>398</v>
      </c>
      <c r="L10" s="46">
        <v>1</v>
      </c>
      <c r="M10" s="512"/>
      <c r="N10" s="57"/>
      <c r="O10" s="269" t="s">
        <v>17564</v>
      </c>
      <c r="P10" s="37" t="s">
        <v>398</v>
      </c>
      <c r="Q10" s="38">
        <v>0.25</v>
      </c>
      <c r="R10" s="79" t="s">
        <v>3575</v>
      </c>
      <c r="S10" s="43"/>
      <c r="T10" s="37"/>
      <c r="U10" s="38"/>
      <c r="V10" s="79"/>
      <c r="W10" s="208">
        <f>ROUND((ROUND((ROUND((ROUND((_15_同援日増０．５*_15・通訳),0)*_15・２人),0)*(1+_15・A早朝)),0)*(1+_15・盲ろう)),0)</f>
        <v>93</v>
      </c>
      <c r="X10" s="48"/>
    </row>
    <row r="11" spans="1:24" ht="16.5" customHeight="1" x14ac:dyDescent="0.15">
      <c r="A11" s="41">
        <v>15</v>
      </c>
      <c r="B11" s="41" t="s">
        <v>30072</v>
      </c>
      <c r="C11" s="74" t="s">
        <v>30073</v>
      </c>
      <c r="D11" s="72"/>
      <c r="F11" s="57"/>
      <c r="G11" s="35"/>
      <c r="J11" s="163"/>
      <c r="K11" s="45"/>
      <c r="L11" s="46"/>
      <c r="M11" s="512"/>
      <c r="N11" s="57"/>
      <c r="O11" s="53"/>
      <c r="P11" s="49"/>
      <c r="Q11" s="50"/>
      <c r="R11" s="115"/>
      <c r="S11" s="114" t="s">
        <v>17570</v>
      </c>
      <c r="T11" s="49"/>
      <c r="U11" s="50"/>
      <c r="V11" s="115"/>
      <c r="W11" s="208">
        <f>ROUND((ROUND((ROUND((_15_同援日増０．５*_15・通訳),0)*(1+_15・A早朝)),0)*(1+_15・区３)),0)</f>
        <v>89</v>
      </c>
      <c r="X11" s="48"/>
    </row>
    <row r="12" spans="1:24" ht="16.5" customHeight="1" x14ac:dyDescent="0.15">
      <c r="A12" s="41">
        <v>15</v>
      </c>
      <c r="B12" s="41" t="s">
        <v>30074</v>
      </c>
      <c r="C12" s="74" t="s">
        <v>30075</v>
      </c>
      <c r="D12" s="72"/>
      <c r="F12" s="57"/>
      <c r="G12" s="92" t="s">
        <v>25732</v>
      </c>
      <c r="J12" s="299" t="s">
        <v>17556</v>
      </c>
      <c r="K12" s="45" t="s">
        <v>398</v>
      </c>
      <c r="L12" s="46">
        <v>1</v>
      </c>
      <c r="M12" s="517" t="s">
        <v>18134</v>
      </c>
      <c r="N12" s="57"/>
      <c r="O12" s="43"/>
      <c r="P12" s="37"/>
      <c r="Q12" s="38"/>
      <c r="R12" s="79"/>
      <c r="S12" s="92" t="s">
        <v>17572</v>
      </c>
      <c r="V12" s="57"/>
      <c r="W12" s="208">
        <f>ROUND((ROUND((ROUND((ROUND((_15_同援日増０．５*_15・通訳),0)*_15・２人),0)*(1+_15・A早朝)),0)*(1+_15・区３)),0)</f>
        <v>89</v>
      </c>
      <c r="X12" s="48"/>
    </row>
    <row r="13" spans="1:24" ht="16.5" customHeight="1" x14ac:dyDescent="0.15">
      <c r="A13" s="41">
        <v>15</v>
      </c>
      <c r="B13" s="41" t="s">
        <v>4010</v>
      </c>
      <c r="C13" s="74" t="s">
        <v>30076</v>
      </c>
      <c r="D13" s="72"/>
      <c r="F13" s="57"/>
      <c r="G13" s="72" t="s">
        <v>25734</v>
      </c>
      <c r="H13" s="12" t="s">
        <v>398</v>
      </c>
      <c r="I13" s="13">
        <v>0.9</v>
      </c>
      <c r="J13" s="163"/>
      <c r="K13" s="45"/>
      <c r="L13" s="46"/>
      <c r="M13" s="512"/>
      <c r="N13" s="519" t="s">
        <v>18136</v>
      </c>
      <c r="O13" s="114" t="s">
        <v>17562</v>
      </c>
      <c r="P13" s="49"/>
      <c r="Q13" s="50"/>
      <c r="R13" s="115"/>
      <c r="S13" s="35"/>
      <c r="T13" s="12" t="s">
        <v>398</v>
      </c>
      <c r="U13" s="13">
        <v>0.2</v>
      </c>
      <c r="V13" s="57" t="s">
        <v>3575</v>
      </c>
      <c r="W13" s="208">
        <f>ROUND((ROUND((ROUND((ROUND((_15_同援日増０．５*_15・通訳),0)*(1+_15・A早朝)),0)*(1+_15・盲ろう)),0)*(1+_15・区３)),0)</f>
        <v>112</v>
      </c>
      <c r="X13" s="48"/>
    </row>
    <row r="14" spans="1:24" ht="16.5" customHeight="1" x14ac:dyDescent="0.15">
      <c r="A14" s="41">
        <v>15</v>
      </c>
      <c r="B14" s="41" t="s">
        <v>4012</v>
      </c>
      <c r="C14" s="74" t="s">
        <v>30077</v>
      </c>
      <c r="D14" s="72"/>
      <c r="F14" s="57"/>
      <c r="G14" s="35"/>
      <c r="J14" s="299" t="s">
        <v>17556</v>
      </c>
      <c r="K14" s="45" t="s">
        <v>398</v>
      </c>
      <c r="L14" s="46">
        <v>1</v>
      </c>
      <c r="M14" s="512"/>
      <c r="N14" s="57"/>
      <c r="O14" s="269" t="s">
        <v>17564</v>
      </c>
      <c r="P14" s="37" t="s">
        <v>398</v>
      </c>
      <c r="Q14" s="38">
        <v>0.25</v>
      </c>
      <c r="R14" s="79" t="s">
        <v>3575</v>
      </c>
      <c r="S14" s="43"/>
      <c r="T14" s="37"/>
      <c r="U14" s="38"/>
      <c r="V14" s="79"/>
      <c r="W14" s="208">
        <f>ROUND((ROUND((ROUND((ROUND((ROUND((_15_同援日増０．５*_15・通訳),0)*_15・２人),0)*(1+_15・A早朝)),0)*(1+_15・盲ろう)),0)*(1+_15・区３)),0)</f>
        <v>112</v>
      </c>
      <c r="X14" s="48"/>
    </row>
    <row r="15" spans="1:24" ht="16.5" customHeight="1" x14ac:dyDescent="0.15">
      <c r="A15" s="41">
        <v>15</v>
      </c>
      <c r="B15" s="41" t="s">
        <v>30078</v>
      </c>
      <c r="C15" s="74" t="s">
        <v>30079</v>
      </c>
      <c r="D15" s="72"/>
      <c r="F15" s="57"/>
      <c r="G15" s="35"/>
      <c r="J15" s="163"/>
      <c r="K15" s="45"/>
      <c r="L15" s="46"/>
      <c r="M15" s="35" t="s">
        <v>398</v>
      </c>
      <c r="N15" s="234">
        <v>0.25</v>
      </c>
      <c r="O15" s="53"/>
      <c r="P15" s="49"/>
      <c r="Q15" s="50"/>
      <c r="R15" s="115"/>
      <c r="S15" s="114" t="s">
        <v>17580</v>
      </c>
      <c r="T15" s="49"/>
      <c r="U15" s="50"/>
      <c r="V15" s="115"/>
      <c r="W15" s="208">
        <f>ROUND((ROUND((ROUND((_15_同援日増０．５*_15・通訳),0)*(1+_15・A早朝)),0)*(1+_15・区４)),0)</f>
        <v>104</v>
      </c>
      <c r="X15" s="48"/>
    </row>
    <row r="16" spans="1:24" ht="16.5" customHeight="1" x14ac:dyDescent="0.15">
      <c r="A16" s="41">
        <v>15</v>
      </c>
      <c r="B16" s="41" t="s">
        <v>30080</v>
      </c>
      <c r="C16" s="74" t="s">
        <v>30081</v>
      </c>
      <c r="D16" s="72"/>
      <c r="F16" s="57"/>
      <c r="G16" s="35"/>
      <c r="J16" s="299" t="s">
        <v>17556</v>
      </c>
      <c r="K16" s="45" t="s">
        <v>398</v>
      </c>
      <c r="L16" s="46">
        <v>1</v>
      </c>
      <c r="M16" s="512"/>
      <c r="N16" s="513" t="s">
        <v>3575</v>
      </c>
      <c r="O16" s="43"/>
      <c r="P16" s="37"/>
      <c r="Q16" s="38"/>
      <c r="R16" s="79"/>
      <c r="S16" s="92" t="s">
        <v>17572</v>
      </c>
      <c r="V16" s="57"/>
      <c r="W16" s="208">
        <f>ROUND((ROUND((ROUND((ROUND((_15_同援日増０．５*_15・通訳),0)*_15・２人),0)*(1+_15・A早朝)),0)*(1+_15・区４)),0)</f>
        <v>104</v>
      </c>
      <c r="X16" s="48"/>
    </row>
    <row r="17" spans="1:24" ht="16.5" customHeight="1" x14ac:dyDescent="0.15">
      <c r="A17" s="41">
        <v>15</v>
      </c>
      <c r="B17" s="41" t="s">
        <v>30082</v>
      </c>
      <c r="C17" s="74" t="s">
        <v>30083</v>
      </c>
      <c r="D17" s="72"/>
      <c r="F17" s="57"/>
      <c r="G17" s="35"/>
      <c r="J17" s="163"/>
      <c r="K17" s="45"/>
      <c r="L17" s="46"/>
      <c r="M17" s="512"/>
      <c r="N17" s="57"/>
      <c r="O17" s="114" t="s">
        <v>17562</v>
      </c>
      <c r="P17" s="49"/>
      <c r="Q17" s="50"/>
      <c r="R17" s="115"/>
      <c r="S17" s="35"/>
      <c r="T17" s="12" t="s">
        <v>398</v>
      </c>
      <c r="U17" s="13">
        <v>0.4</v>
      </c>
      <c r="V17" s="57" t="s">
        <v>3575</v>
      </c>
      <c r="W17" s="208">
        <f>ROUND((ROUND((ROUND((ROUND((_15_同援日増０．５*_15・通訳),0)*(1+_15・A早朝)),0)*(1+_15・盲ろう)),0)*(1+_15・区４)),0)</f>
        <v>130</v>
      </c>
      <c r="X17" s="48"/>
    </row>
    <row r="18" spans="1:24" ht="16.5" customHeight="1" x14ac:dyDescent="0.15">
      <c r="A18" s="41">
        <v>15</v>
      </c>
      <c r="B18" s="41" t="s">
        <v>30084</v>
      </c>
      <c r="C18" s="74" t="s">
        <v>30085</v>
      </c>
      <c r="D18" s="122"/>
      <c r="E18" s="37"/>
      <c r="F18" s="79"/>
      <c r="G18" s="35"/>
      <c r="J18" s="299" t="s">
        <v>17556</v>
      </c>
      <c r="K18" s="45" t="s">
        <v>398</v>
      </c>
      <c r="L18" s="46">
        <v>1</v>
      </c>
      <c r="M18" s="512"/>
      <c r="N18" s="57"/>
      <c r="O18" s="269" t="s">
        <v>17564</v>
      </c>
      <c r="P18" s="37" t="s">
        <v>398</v>
      </c>
      <c r="Q18" s="38">
        <v>0.25</v>
      </c>
      <c r="R18" s="79" t="s">
        <v>3575</v>
      </c>
      <c r="S18" s="43"/>
      <c r="T18" s="37"/>
      <c r="U18" s="38"/>
      <c r="V18" s="79"/>
      <c r="W18" s="208">
        <f>ROUND((ROUND((ROUND((ROUND((ROUND((_15_同援日増０．５*_15・通訳),0)*_15・２人),0)*(1+_15・A早朝)),0)*(1+_15・盲ろう)),0)*(1+_15・区４)),0)</f>
        <v>130</v>
      </c>
      <c r="X18" s="48"/>
    </row>
    <row r="19" spans="1:24" ht="16.5" customHeight="1" x14ac:dyDescent="0.15">
      <c r="A19" s="41">
        <v>15</v>
      </c>
      <c r="B19" s="41" t="s">
        <v>30086</v>
      </c>
      <c r="C19" s="74" t="s">
        <v>30087</v>
      </c>
      <c r="D19" s="114" t="s">
        <v>24569</v>
      </c>
      <c r="E19" s="49"/>
      <c r="F19" s="115"/>
      <c r="G19" s="35"/>
      <c r="J19" s="163"/>
      <c r="K19" s="45"/>
      <c r="L19" s="46"/>
      <c r="M19" s="512"/>
      <c r="N19" s="57"/>
      <c r="O19" s="53"/>
      <c r="P19" s="49"/>
      <c r="Q19" s="50"/>
      <c r="R19" s="115"/>
      <c r="S19" s="53"/>
      <c r="T19" s="49"/>
      <c r="U19" s="50"/>
      <c r="V19" s="115"/>
      <c r="W19" s="208">
        <f>ROUND((ROUND((_15_同援日増１．０*_15・通訳),0)*(1+_15・A早朝)),0)</f>
        <v>146</v>
      </c>
      <c r="X19" s="48"/>
    </row>
    <row r="20" spans="1:24" ht="16.5" customHeight="1" x14ac:dyDescent="0.15">
      <c r="A20" s="41">
        <v>15</v>
      </c>
      <c r="B20" s="41" t="s">
        <v>30088</v>
      </c>
      <c r="C20" s="74" t="s">
        <v>30089</v>
      </c>
      <c r="D20" s="72" t="s">
        <v>17589</v>
      </c>
      <c r="F20" s="57"/>
      <c r="G20" s="35"/>
      <c r="J20" s="299" t="s">
        <v>17556</v>
      </c>
      <c r="K20" s="45" t="s">
        <v>398</v>
      </c>
      <c r="L20" s="46">
        <v>1</v>
      </c>
      <c r="M20" s="512"/>
      <c r="N20" s="57"/>
      <c r="O20" s="43"/>
      <c r="P20" s="37"/>
      <c r="Q20" s="38"/>
      <c r="R20" s="79"/>
      <c r="S20" s="35"/>
      <c r="V20" s="57"/>
      <c r="W20" s="208">
        <f>ROUND((ROUND((ROUND((_15_同援日増１．０*_15・通訳),0)*_15・２人),0)*(1+_15・A早朝)),0)</f>
        <v>146</v>
      </c>
      <c r="X20" s="48"/>
    </row>
    <row r="21" spans="1:24" ht="16.5" customHeight="1" x14ac:dyDescent="0.15">
      <c r="A21" s="41">
        <v>15</v>
      </c>
      <c r="B21" s="41" t="s">
        <v>30090</v>
      </c>
      <c r="C21" s="74" t="s">
        <v>30091</v>
      </c>
      <c r="D21" s="72" t="s">
        <v>17591</v>
      </c>
      <c r="F21" s="57"/>
      <c r="G21" s="35"/>
      <c r="J21" s="163"/>
      <c r="K21" s="45"/>
      <c r="L21" s="46"/>
      <c r="M21" s="512"/>
      <c r="N21" s="57"/>
      <c r="O21" s="114" t="s">
        <v>17562</v>
      </c>
      <c r="P21" s="49"/>
      <c r="Q21" s="50"/>
      <c r="R21" s="115"/>
      <c r="S21" s="35"/>
      <c r="V21" s="57"/>
      <c r="W21" s="208">
        <f>ROUND((ROUND((ROUND((_15_同援日増１．０*_15・通訳),0)*(1+_15・A早朝)),0)*(1+_15・盲ろう)),0)</f>
        <v>183</v>
      </c>
      <c r="X21" s="48"/>
    </row>
    <row r="22" spans="1:24" ht="16.5" customHeight="1" x14ac:dyDescent="0.15">
      <c r="A22" s="41">
        <v>15</v>
      </c>
      <c r="B22" s="41" t="s">
        <v>30092</v>
      </c>
      <c r="C22" s="74" t="s">
        <v>30093</v>
      </c>
      <c r="D22" s="72"/>
      <c r="E22" s="168">
        <f>_15_同援日増１．０</f>
        <v>130</v>
      </c>
      <c r="F22" s="57" t="s">
        <v>392</v>
      </c>
      <c r="G22" s="35"/>
      <c r="J22" s="299" t="s">
        <v>17556</v>
      </c>
      <c r="K22" s="45" t="s">
        <v>398</v>
      </c>
      <c r="L22" s="46">
        <v>1</v>
      </c>
      <c r="M22" s="512"/>
      <c r="N22" s="57"/>
      <c r="O22" s="269" t="s">
        <v>17564</v>
      </c>
      <c r="P22" s="37" t="s">
        <v>398</v>
      </c>
      <c r="Q22" s="38">
        <v>0.25</v>
      </c>
      <c r="R22" s="79" t="s">
        <v>3575</v>
      </c>
      <c r="S22" s="43"/>
      <c r="T22" s="37"/>
      <c r="U22" s="38"/>
      <c r="V22" s="79"/>
      <c r="W22" s="208">
        <f>ROUND((ROUND((ROUND((ROUND((_15_同援日増１．０*_15・通訳),0)*_15・２人),0)*(1+_15・A早朝)),0)*(1+_15・盲ろう)),0)</f>
        <v>183</v>
      </c>
      <c r="X22" s="48"/>
    </row>
    <row r="23" spans="1:24" ht="16.5" customHeight="1" x14ac:dyDescent="0.15">
      <c r="A23" s="41">
        <v>15</v>
      </c>
      <c r="B23" s="41" t="s">
        <v>4016</v>
      </c>
      <c r="C23" s="74" t="s">
        <v>30094</v>
      </c>
      <c r="D23" s="72"/>
      <c r="F23" s="57"/>
      <c r="G23" s="35"/>
      <c r="J23" s="163"/>
      <c r="K23" s="45"/>
      <c r="L23" s="46"/>
      <c r="M23" s="512"/>
      <c r="N23" s="57"/>
      <c r="O23" s="53"/>
      <c r="P23" s="49"/>
      <c r="Q23" s="50"/>
      <c r="R23" s="115"/>
      <c r="S23" s="114" t="s">
        <v>17570</v>
      </c>
      <c r="T23" s="49"/>
      <c r="U23" s="50"/>
      <c r="V23" s="115"/>
      <c r="W23" s="208">
        <f>ROUND((ROUND((ROUND((_15_同援日増１．０*_15・通訳),0)*(1+_15・A早朝)),0)*(1+_15・区３)),0)</f>
        <v>175</v>
      </c>
      <c r="X23" s="48"/>
    </row>
    <row r="24" spans="1:24" ht="16.5" customHeight="1" x14ac:dyDescent="0.15">
      <c r="A24" s="41">
        <v>15</v>
      </c>
      <c r="B24" s="41" t="s">
        <v>4018</v>
      </c>
      <c r="C24" s="74" t="s">
        <v>30095</v>
      </c>
      <c r="D24" s="72"/>
      <c r="F24" s="57"/>
      <c r="G24" s="35"/>
      <c r="J24" s="299" t="s">
        <v>17556</v>
      </c>
      <c r="K24" s="45" t="s">
        <v>398</v>
      </c>
      <c r="L24" s="46">
        <v>1</v>
      </c>
      <c r="M24" s="512"/>
      <c r="N24" s="57"/>
      <c r="O24" s="43"/>
      <c r="P24" s="37"/>
      <c r="Q24" s="38"/>
      <c r="R24" s="79"/>
      <c r="S24" s="92" t="s">
        <v>17572</v>
      </c>
      <c r="V24" s="57"/>
      <c r="W24" s="208">
        <f>ROUND((ROUND((ROUND((ROUND((_15_同援日増１．０*_15・通訳),0)*_15・２人),0)*(1+_15・A早朝)),0)*(1+_15・区３)),0)</f>
        <v>175</v>
      </c>
      <c r="X24" s="48"/>
    </row>
    <row r="25" spans="1:24" ht="16.5" customHeight="1" x14ac:dyDescent="0.15">
      <c r="A25" s="41">
        <v>15</v>
      </c>
      <c r="B25" s="41" t="s">
        <v>30096</v>
      </c>
      <c r="C25" s="74" t="s">
        <v>30097</v>
      </c>
      <c r="D25" s="72"/>
      <c r="F25" s="57"/>
      <c r="G25" s="35"/>
      <c r="J25" s="163"/>
      <c r="K25" s="45"/>
      <c r="L25" s="46"/>
      <c r="M25" s="512"/>
      <c r="N25" s="57"/>
      <c r="O25" s="114" t="s">
        <v>17562</v>
      </c>
      <c r="P25" s="49"/>
      <c r="Q25" s="50"/>
      <c r="R25" s="115"/>
      <c r="S25" s="35"/>
      <c r="T25" s="12" t="s">
        <v>398</v>
      </c>
      <c r="U25" s="13">
        <v>0.2</v>
      </c>
      <c r="V25" s="57" t="s">
        <v>3575</v>
      </c>
      <c r="W25" s="208">
        <f>ROUND((ROUND((ROUND((ROUND((_15_同援日増１．０*_15・通訳),0)*(1+_15・A早朝)),0)*(1+_15・盲ろう)),0)*(1+_15・区３)),0)</f>
        <v>220</v>
      </c>
      <c r="X25" s="48"/>
    </row>
    <row r="26" spans="1:24" ht="16.5" customHeight="1" x14ac:dyDescent="0.15">
      <c r="A26" s="41">
        <v>15</v>
      </c>
      <c r="B26" s="41" t="s">
        <v>30098</v>
      </c>
      <c r="C26" s="74" t="s">
        <v>30099</v>
      </c>
      <c r="D26" s="72"/>
      <c r="F26" s="57"/>
      <c r="G26" s="35"/>
      <c r="J26" s="299" t="s">
        <v>17556</v>
      </c>
      <c r="K26" s="45" t="s">
        <v>398</v>
      </c>
      <c r="L26" s="46">
        <v>1</v>
      </c>
      <c r="M26" s="512"/>
      <c r="N26" s="57"/>
      <c r="O26" s="269" t="s">
        <v>17564</v>
      </c>
      <c r="P26" s="37" t="s">
        <v>398</v>
      </c>
      <c r="Q26" s="38">
        <v>0.25</v>
      </c>
      <c r="R26" s="79" t="s">
        <v>3575</v>
      </c>
      <c r="S26" s="43"/>
      <c r="T26" s="37"/>
      <c r="U26" s="38"/>
      <c r="V26" s="79"/>
      <c r="W26" s="208">
        <f>ROUND((ROUND((ROUND((ROUND((ROUND((_15_同援日増１．０*_15・通訳),0)*_15・２人),0)*(1+_15・A早朝)),0)*(1+_15・盲ろう)),0)*(1+_15・区３)),0)</f>
        <v>220</v>
      </c>
      <c r="X26" s="48"/>
    </row>
    <row r="27" spans="1:24" ht="16.5" customHeight="1" x14ac:dyDescent="0.15">
      <c r="A27" s="41">
        <v>15</v>
      </c>
      <c r="B27" s="41" t="s">
        <v>30100</v>
      </c>
      <c r="C27" s="74" t="s">
        <v>30101</v>
      </c>
      <c r="D27" s="72"/>
      <c r="F27" s="57"/>
      <c r="G27" s="35"/>
      <c r="J27" s="163"/>
      <c r="K27" s="45"/>
      <c r="L27" s="46"/>
      <c r="M27" s="512"/>
      <c r="N27" s="57"/>
      <c r="O27" s="53"/>
      <c r="P27" s="49"/>
      <c r="Q27" s="50"/>
      <c r="R27" s="115"/>
      <c r="S27" s="114" t="s">
        <v>17580</v>
      </c>
      <c r="T27" s="49"/>
      <c r="U27" s="50"/>
      <c r="V27" s="115"/>
      <c r="W27" s="208">
        <f>ROUND((ROUND((ROUND((_15_同援日増１．０*_15・通訳),0)*(1+_15・A早朝)),0)*(1+_15・区４)),0)</f>
        <v>204</v>
      </c>
      <c r="X27" s="48"/>
    </row>
    <row r="28" spans="1:24" ht="16.5" customHeight="1" x14ac:dyDescent="0.15">
      <c r="A28" s="41">
        <v>15</v>
      </c>
      <c r="B28" s="41" t="s">
        <v>30102</v>
      </c>
      <c r="C28" s="74" t="s">
        <v>30103</v>
      </c>
      <c r="D28" s="72"/>
      <c r="F28" s="57"/>
      <c r="G28" s="35"/>
      <c r="J28" s="299" t="s">
        <v>17556</v>
      </c>
      <c r="K28" s="45" t="s">
        <v>398</v>
      </c>
      <c r="L28" s="46">
        <v>1</v>
      </c>
      <c r="M28" s="512"/>
      <c r="N28" s="57"/>
      <c r="O28" s="43"/>
      <c r="P28" s="37"/>
      <c r="Q28" s="38"/>
      <c r="R28" s="79"/>
      <c r="S28" s="92" t="s">
        <v>17572</v>
      </c>
      <c r="V28" s="57"/>
      <c r="W28" s="208">
        <f>ROUND((ROUND((ROUND((ROUND((_15_同援日増１．０*_15・通訳),0)*_15・２人),0)*(1+_15・A早朝)),0)*(1+_15・区４)),0)</f>
        <v>204</v>
      </c>
      <c r="X28" s="48"/>
    </row>
    <row r="29" spans="1:24" ht="16.5" customHeight="1" x14ac:dyDescent="0.15">
      <c r="A29" s="41">
        <v>15</v>
      </c>
      <c r="B29" s="41" t="s">
        <v>30104</v>
      </c>
      <c r="C29" s="74" t="s">
        <v>30105</v>
      </c>
      <c r="D29" s="72"/>
      <c r="F29" s="57"/>
      <c r="G29" s="35"/>
      <c r="J29" s="163"/>
      <c r="K29" s="45"/>
      <c r="L29" s="46"/>
      <c r="M29" s="512"/>
      <c r="N29" s="57"/>
      <c r="O29" s="114" t="s">
        <v>17562</v>
      </c>
      <c r="P29" s="49"/>
      <c r="Q29" s="50"/>
      <c r="R29" s="115"/>
      <c r="S29" s="35"/>
      <c r="T29" s="12" t="s">
        <v>398</v>
      </c>
      <c r="U29" s="13">
        <v>0.4</v>
      </c>
      <c r="V29" s="57" t="s">
        <v>3575</v>
      </c>
      <c r="W29" s="208">
        <f>ROUND((ROUND((ROUND((ROUND((_15_同援日増１．０*_15・通訳),0)*(1+_15・A早朝)),0)*(1+_15・盲ろう)),0)*(1+_15・区４)),0)</f>
        <v>256</v>
      </c>
      <c r="X29" s="48"/>
    </row>
    <row r="30" spans="1:24" ht="16.5" customHeight="1" x14ac:dyDescent="0.15">
      <c r="A30" s="41">
        <v>15</v>
      </c>
      <c r="B30" s="41" t="s">
        <v>30106</v>
      </c>
      <c r="C30" s="74" t="s">
        <v>30107</v>
      </c>
      <c r="D30" s="122"/>
      <c r="E30" s="37"/>
      <c r="F30" s="79"/>
      <c r="G30" s="35"/>
      <c r="J30" s="299" t="s">
        <v>17556</v>
      </c>
      <c r="K30" s="45" t="s">
        <v>398</v>
      </c>
      <c r="L30" s="46">
        <v>1</v>
      </c>
      <c r="M30" s="512"/>
      <c r="N30" s="57"/>
      <c r="O30" s="269" t="s">
        <v>17564</v>
      </c>
      <c r="P30" s="37" t="s">
        <v>398</v>
      </c>
      <c r="Q30" s="38">
        <v>0.25</v>
      </c>
      <c r="R30" s="79" t="s">
        <v>3575</v>
      </c>
      <c r="S30" s="43"/>
      <c r="T30" s="37"/>
      <c r="U30" s="38"/>
      <c r="V30" s="79"/>
      <c r="W30" s="208">
        <f>ROUND((ROUND((ROUND((ROUND((ROUND((_15_同援日増１．０*_15・通訳),0)*_15・２人),0)*(1+_15・A早朝)),0)*(1+_15・盲ろう)),0)*(1+_15・区４)),0)</f>
        <v>256</v>
      </c>
      <c r="X30" s="48"/>
    </row>
    <row r="31" spans="1:24" ht="16.5" customHeight="1" x14ac:dyDescent="0.15">
      <c r="A31" s="41">
        <v>15</v>
      </c>
      <c r="B31" s="41" t="s">
        <v>30108</v>
      </c>
      <c r="C31" s="74" t="s">
        <v>30109</v>
      </c>
      <c r="D31" s="114" t="s">
        <v>24614</v>
      </c>
      <c r="E31" s="49"/>
      <c r="F31" s="115"/>
      <c r="G31" s="35"/>
      <c r="J31" s="163"/>
      <c r="K31" s="45"/>
      <c r="L31" s="46"/>
      <c r="M31" s="512"/>
      <c r="N31" s="57"/>
      <c r="O31" s="53"/>
      <c r="P31" s="49"/>
      <c r="Q31" s="50"/>
      <c r="R31" s="115"/>
      <c r="S31" s="53"/>
      <c r="T31" s="49"/>
      <c r="U31" s="50"/>
      <c r="V31" s="115"/>
      <c r="W31" s="208">
        <f>ROUND((ROUND((_15_同援日増１．５*_15・通訳),0)*(1+_15・A早朝)),0)</f>
        <v>220</v>
      </c>
      <c r="X31" s="48"/>
    </row>
    <row r="32" spans="1:24" ht="16.5" customHeight="1" x14ac:dyDescent="0.15">
      <c r="A32" s="41">
        <v>15</v>
      </c>
      <c r="B32" s="41" t="s">
        <v>30110</v>
      </c>
      <c r="C32" s="74" t="s">
        <v>30111</v>
      </c>
      <c r="D32" s="72" t="s">
        <v>17616</v>
      </c>
      <c r="F32" s="57"/>
      <c r="G32" s="35"/>
      <c r="J32" s="299" t="s">
        <v>17556</v>
      </c>
      <c r="K32" s="45" t="s">
        <v>398</v>
      </c>
      <c r="L32" s="46">
        <v>1</v>
      </c>
      <c r="M32" s="512"/>
      <c r="N32" s="57"/>
      <c r="O32" s="43"/>
      <c r="P32" s="37"/>
      <c r="Q32" s="38"/>
      <c r="R32" s="79"/>
      <c r="S32" s="35"/>
      <c r="V32" s="57"/>
      <c r="W32" s="208">
        <f>ROUND((ROUND((ROUND((_15_同援日増１．５*_15・通訳),0)*_15・２人),0)*(1+_15・A早朝)),0)</f>
        <v>220</v>
      </c>
      <c r="X32" s="48"/>
    </row>
    <row r="33" spans="1:24" ht="16.5" customHeight="1" x14ac:dyDescent="0.15">
      <c r="A33" s="41">
        <v>15</v>
      </c>
      <c r="B33" s="41" t="s">
        <v>4022</v>
      </c>
      <c r="C33" s="74" t="s">
        <v>30112</v>
      </c>
      <c r="D33" s="72" t="s">
        <v>18183</v>
      </c>
      <c r="F33" s="57"/>
      <c r="G33" s="35"/>
      <c r="J33" s="163"/>
      <c r="K33" s="45"/>
      <c r="L33" s="46"/>
      <c r="M33" s="512"/>
      <c r="N33" s="57"/>
      <c r="O33" s="114" t="s">
        <v>17562</v>
      </c>
      <c r="P33" s="49"/>
      <c r="Q33" s="50"/>
      <c r="R33" s="115"/>
      <c r="S33" s="35"/>
      <c r="V33" s="57"/>
      <c r="W33" s="208">
        <f>ROUND((ROUND((ROUND((_15_同援日増１．５*_15・通訳),0)*(1+_15・A早朝)),0)*(1+_15・盲ろう)),0)</f>
        <v>275</v>
      </c>
      <c r="X33" s="48"/>
    </row>
    <row r="34" spans="1:24" ht="16.5" customHeight="1" x14ac:dyDescent="0.15">
      <c r="A34" s="41">
        <v>15</v>
      </c>
      <c r="B34" s="41" t="s">
        <v>4024</v>
      </c>
      <c r="C34" s="74" t="s">
        <v>30113</v>
      </c>
      <c r="D34" s="72"/>
      <c r="E34" s="168">
        <f>_15_同援日増１．５</f>
        <v>195</v>
      </c>
      <c r="F34" s="57" t="s">
        <v>392</v>
      </c>
      <c r="G34" s="35"/>
      <c r="J34" s="299" t="s">
        <v>17556</v>
      </c>
      <c r="K34" s="45" t="s">
        <v>398</v>
      </c>
      <c r="L34" s="46">
        <v>1</v>
      </c>
      <c r="M34" s="512"/>
      <c r="N34" s="57"/>
      <c r="O34" s="269" t="s">
        <v>17564</v>
      </c>
      <c r="P34" s="37" t="s">
        <v>398</v>
      </c>
      <c r="Q34" s="38">
        <v>0.25</v>
      </c>
      <c r="R34" s="79" t="s">
        <v>3575</v>
      </c>
      <c r="S34" s="43"/>
      <c r="T34" s="37"/>
      <c r="U34" s="38"/>
      <c r="V34" s="79"/>
      <c r="W34" s="208">
        <f>ROUND((ROUND((ROUND((ROUND((_15_同援日増１．５*_15・通訳),0)*_15・２人),0)*(1+_15・A早朝)),0)*(1+_15・盲ろう)),0)</f>
        <v>275</v>
      </c>
      <c r="X34" s="48"/>
    </row>
    <row r="35" spans="1:24" ht="16.5" customHeight="1" x14ac:dyDescent="0.15">
      <c r="A35" s="41">
        <v>15</v>
      </c>
      <c r="B35" s="41" t="s">
        <v>30114</v>
      </c>
      <c r="C35" s="74" t="s">
        <v>30115</v>
      </c>
      <c r="D35" s="72"/>
      <c r="F35" s="57"/>
      <c r="G35" s="35"/>
      <c r="J35" s="163"/>
      <c r="K35" s="45"/>
      <c r="L35" s="46"/>
      <c r="M35" s="512"/>
      <c r="N35" s="57"/>
      <c r="O35" s="53"/>
      <c r="P35" s="49"/>
      <c r="Q35" s="50"/>
      <c r="R35" s="115"/>
      <c r="S35" s="114" t="s">
        <v>17570</v>
      </c>
      <c r="T35" s="49"/>
      <c r="U35" s="50"/>
      <c r="V35" s="115"/>
      <c r="W35" s="208">
        <f>ROUND((ROUND((ROUND((_15_同援日増１．５*_15・通訳),0)*(1+_15・A早朝)),0)*(1+_15・区３)),0)</f>
        <v>264</v>
      </c>
      <c r="X35" s="48"/>
    </row>
    <row r="36" spans="1:24" ht="16.5" customHeight="1" x14ac:dyDescent="0.15">
      <c r="A36" s="41">
        <v>15</v>
      </c>
      <c r="B36" s="41" t="s">
        <v>30116</v>
      </c>
      <c r="C36" s="74" t="s">
        <v>30117</v>
      </c>
      <c r="D36" s="72"/>
      <c r="F36" s="57"/>
      <c r="G36" s="35"/>
      <c r="J36" s="299" t="s">
        <v>17556</v>
      </c>
      <c r="K36" s="45" t="s">
        <v>398</v>
      </c>
      <c r="L36" s="46">
        <v>1</v>
      </c>
      <c r="M36" s="512"/>
      <c r="N36" s="57"/>
      <c r="O36" s="43"/>
      <c r="P36" s="37"/>
      <c r="Q36" s="38"/>
      <c r="R36" s="79"/>
      <c r="S36" s="92" t="s">
        <v>17572</v>
      </c>
      <c r="V36" s="57"/>
      <c r="W36" s="208">
        <f>ROUND((ROUND((ROUND((ROUND((_15_同援日増１．５*_15・通訳),0)*_15・２人),0)*(1+_15・A早朝)),0)*(1+_15・区３)),0)</f>
        <v>264</v>
      </c>
      <c r="X36" s="48"/>
    </row>
    <row r="37" spans="1:24" ht="16.5" customHeight="1" x14ac:dyDescent="0.15">
      <c r="A37" s="41">
        <v>15</v>
      </c>
      <c r="B37" s="41" t="s">
        <v>30118</v>
      </c>
      <c r="C37" s="74" t="s">
        <v>30119</v>
      </c>
      <c r="D37" s="72"/>
      <c r="F37" s="57"/>
      <c r="G37" s="35"/>
      <c r="J37" s="163"/>
      <c r="K37" s="45"/>
      <c r="L37" s="46"/>
      <c r="M37" s="512"/>
      <c r="N37" s="57"/>
      <c r="O37" s="114" t="s">
        <v>17562</v>
      </c>
      <c r="P37" s="49"/>
      <c r="Q37" s="50"/>
      <c r="R37" s="115"/>
      <c r="S37" s="35"/>
      <c r="T37" s="12" t="s">
        <v>398</v>
      </c>
      <c r="U37" s="13">
        <v>0.2</v>
      </c>
      <c r="V37" s="57" t="s">
        <v>3575</v>
      </c>
      <c r="W37" s="208">
        <f>ROUND((ROUND((ROUND((ROUND((_15_同援日増１．５*_15・通訳),0)*(1+_15・A早朝)),0)*(1+_15・盲ろう)),0)*(1+_15・区３)),0)</f>
        <v>330</v>
      </c>
      <c r="X37" s="48"/>
    </row>
    <row r="38" spans="1:24" ht="16.5" customHeight="1" x14ac:dyDescent="0.15">
      <c r="A38" s="41">
        <v>15</v>
      </c>
      <c r="B38" s="41" t="s">
        <v>30120</v>
      </c>
      <c r="C38" s="74" t="s">
        <v>30121</v>
      </c>
      <c r="D38" s="72"/>
      <c r="F38" s="57"/>
      <c r="G38" s="35"/>
      <c r="J38" s="299" t="s">
        <v>17556</v>
      </c>
      <c r="K38" s="45" t="s">
        <v>398</v>
      </c>
      <c r="L38" s="46">
        <v>1</v>
      </c>
      <c r="M38" s="512"/>
      <c r="N38" s="57"/>
      <c r="O38" s="269" t="s">
        <v>17564</v>
      </c>
      <c r="P38" s="37" t="s">
        <v>398</v>
      </c>
      <c r="Q38" s="38">
        <v>0.25</v>
      </c>
      <c r="R38" s="79" t="s">
        <v>3575</v>
      </c>
      <c r="S38" s="43"/>
      <c r="T38" s="37"/>
      <c r="U38" s="38"/>
      <c r="V38" s="79"/>
      <c r="W38" s="208">
        <f>ROUND((ROUND((ROUND((ROUND((ROUND((_15_同援日増１．５*_15・通訳),0)*_15・２人),0)*(1+_15・A早朝)),0)*(1+_15・盲ろう)),0)*(1+_15・区３)),0)</f>
        <v>330</v>
      </c>
      <c r="X38" s="48"/>
    </row>
    <row r="39" spans="1:24" ht="16.5" customHeight="1" x14ac:dyDescent="0.15">
      <c r="A39" s="41">
        <v>15</v>
      </c>
      <c r="B39" s="41" t="s">
        <v>30122</v>
      </c>
      <c r="C39" s="74" t="s">
        <v>30123</v>
      </c>
      <c r="D39" s="72"/>
      <c r="F39" s="57"/>
      <c r="G39" s="35"/>
      <c r="J39" s="163"/>
      <c r="K39" s="45"/>
      <c r="L39" s="46"/>
      <c r="M39" s="512"/>
      <c r="N39" s="57"/>
      <c r="O39" s="53"/>
      <c r="P39" s="49"/>
      <c r="Q39" s="50"/>
      <c r="R39" s="115"/>
      <c r="S39" s="114" t="s">
        <v>17580</v>
      </c>
      <c r="T39" s="49"/>
      <c r="U39" s="50"/>
      <c r="V39" s="115"/>
      <c r="W39" s="208">
        <f>ROUND((ROUND((ROUND((_15_同援日増１．５*_15・通訳),0)*(1+_15・A早朝)),0)*(1+_15・区４)),0)</f>
        <v>308</v>
      </c>
      <c r="X39" s="48"/>
    </row>
    <row r="40" spans="1:24" ht="16.5" customHeight="1" x14ac:dyDescent="0.15">
      <c r="A40" s="41">
        <v>15</v>
      </c>
      <c r="B40" s="41" t="s">
        <v>30124</v>
      </c>
      <c r="C40" s="74" t="s">
        <v>30125</v>
      </c>
      <c r="D40" s="72"/>
      <c r="F40" s="57"/>
      <c r="G40" s="35"/>
      <c r="J40" s="299" t="s">
        <v>17556</v>
      </c>
      <c r="K40" s="45" t="s">
        <v>398</v>
      </c>
      <c r="L40" s="46">
        <v>1</v>
      </c>
      <c r="M40" s="512"/>
      <c r="N40" s="57"/>
      <c r="O40" s="43"/>
      <c r="P40" s="37"/>
      <c r="Q40" s="38"/>
      <c r="R40" s="79"/>
      <c r="S40" s="92" t="s">
        <v>17572</v>
      </c>
      <c r="V40" s="57"/>
      <c r="W40" s="208">
        <f>ROUND((ROUND((ROUND((ROUND((_15_同援日増１．５*_15・通訳),0)*_15・２人),0)*(1+_15・A早朝)),0)*(1+_15・区４)),0)</f>
        <v>308</v>
      </c>
      <c r="X40" s="48"/>
    </row>
    <row r="41" spans="1:24" ht="16.5" customHeight="1" x14ac:dyDescent="0.15">
      <c r="A41" s="41">
        <v>15</v>
      </c>
      <c r="B41" s="41" t="s">
        <v>30126</v>
      </c>
      <c r="C41" s="74" t="s">
        <v>30127</v>
      </c>
      <c r="D41" s="72"/>
      <c r="F41" s="57"/>
      <c r="G41" s="35"/>
      <c r="J41" s="163"/>
      <c r="K41" s="45"/>
      <c r="L41" s="46"/>
      <c r="M41" s="512"/>
      <c r="N41" s="57"/>
      <c r="O41" s="114" t="s">
        <v>17562</v>
      </c>
      <c r="P41" s="49"/>
      <c r="Q41" s="50"/>
      <c r="R41" s="115"/>
      <c r="S41" s="35"/>
      <c r="T41" s="12" t="s">
        <v>398</v>
      </c>
      <c r="U41" s="13">
        <v>0.4</v>
      </c>
      <c r="V41" s="57" t="s">
        <v>3575</v>
      </c>
      <c r="W41" s="208">
        <f>ROUND((ROUND((ROUND((ROUND((_15_同援日増１．５*_15・通訳),0)*(1+_15・A早朝)),0)*(1+_15・盲ろう)),0)*(1+_15・区４)),0)</f>
        <v>385</v>
      </c>
      <c r="X41" s="48"/>
    </row>
    <row r="42" spans="1:24" ht="16.5" customHeight="1" x14ac:dyDescent="0.15">
      <c r="A42" s="41">
        <v>15</v>
      </c>
      <c r="B42" s="41" t="s">
        <v>30128</v>
      </c>
      <c r="C42" s="74" t="s">
        <v>30129</v>
      </c>
      <c r="D42" s="122"/>
      <c r="E42" s="37"/>
      <c r="F42" s="79"/>
      <c r="G42" s="35"/>
      <c r="J42" s="299" t="s">
        <v>17556</v>
      </c>
      <c r="K42" s="45" t="s">
        <v>398</v>
      </c>
      <c r="L42" s="46">
        <v>1</v>
      </c>
      <c r="M42" s="512"/>
      <c r="N42" s="57"/>
      <c r="O42" s="269" t="s">
        <v>17564</v>
      </c>
      <c r="P42" s="37" t="s">
        <v>398</v>
      </c>
      <c r="Q42" s="38">
        <v>0.25</v>
      </c>
      <c r="R42" s="79" t="s">
        <v>3575</v>
      </c>
      <c r="S42" s="43"/>
      <c r="T42" s="37"/>
      <c r="U42" s="38"/>
      <c r="V42" s="79"/>
      <c r="W42" s="208">
        <f>ROUND((ROUND((ROUND((ROUND((ROUND((_15_同援日増１．５*_15・通訳),0)*_15・２人),0)*(1+_15・A早朝)),0)*(1+_15・盲ろう)),0)*(1+_15・区４)),0)</f>
        <v>385</v>
      </c>
      <c r="X42" s="48"/>
    </row>
    <row r="43" spans="1:24" ht="16.5" customHeight="1" x14ac:dyDescent="0.15">
      <c r="A43" s="41">
        <v>15</v>
      </c>
      <c r="B43" s="41" t="s">
        <v>4028</v>
      </c>
      <c r="C43" s="74" t="s">
        <v>30130</v>
      </c>
      <c r="D43" s="114" t="s">
        <v>24659</v>
      </c>
      <c r="E43" s="49"/>
      <c r="F43" s="115"/>
      <c r="G43" s="35"/>
      <c r="J43" s="163"/>
      <c r="K43" s="45"/>
      <c r="L43" s="46"/>
      <c r="M43" s="512"/>
      <c r="N43" s="57"/>
      <c r="O43" s="53"/>
      <c r="P43" s="49"/>
      <c r="Q43" s="50"/>
      <c r="R43" s="115"/>
      <c r="S43" s="53"/>
      <c r="T43" s="49"/>
      <c r="U43" s="50"/>
      <c r="V43" s="115"/>
      <c r="W43" s="208">
        <f>ROUND((ROUND((_15_同援日増２．０*_15・通訳),0)*(1+_15・A早朝)),0)</f>
        <v>293</v>
      </c>
      <c r="X43" s="48"/>
    </row>
    <row r="44" spans="1:24" ht="16.5" customHeight="1" x14ac:dyDescent="0.15">
      <c r="A44" s="41">
        <v>15</v>
      </c>
      <c r="B44" s="41" t="s">
        <v>4030</v>
      </c>
      <c r="C44" s="74" t="s">
        <v>30131</v>
      </c>
      <c r="D44" s="72" t="s">
        <v>17643</v>
      </c>
      <c r="F44" s="57"/>
      <c r="G44" s="35"/>
      <c r="J44" s="299" t="s">
        <v>17556</v>
      </c>
      <c r="K44" s="45" t="s">
        <v>398</v>
      </c>
      <c r="L44" s="46">
        <v>1</v>
      </c>
      <c r="M44" s="512"/>
      <c r="N44" s="57"/>
      <c r="O44" s="43"/>
      <c r="P44" s="37"/>
      <c r="Q44" s="38"/>
      <c r="R44" s="79"/>
      <c r="S44" s="35"/>
      <c r="V44" s="57"/>
      <c r="W44" s="208">
        <f>ROUND((ROUND((ROUND((_15_同援日増２．０*_15・通訳),0)*_15・２人),0)*(1+_15・A早朝)),0)</f>
        <v>293</v>
      </c>
      <c r="X44" s="48"/>
    </row>
    <row r="45" spans="1:24" ht="16.5" customHeight="1" x14ac:dyDescent="0.15">
      <c r="A45" s="41">
        <v>15</v>
      </c>
      <c r="B45" s="41" t="s">
        <v>30132</v>
      </c>
      <c r="C45" s="74" t="s">
        <v>30133</v>
      </c>
      <c r="D45" s="72" t="s">
        <v>17645</v>
      </c>
      <c r="F45" s="57"/>
      <c r="G45" s="35"/>
      <c r="J45" s="163"/>
      <c r="K45" s="45"/>
      <c r="L45" s="46"/>
      <c r="M45" s="512"/>
      <c r="N45" s="57"/>
      <c r="O45" s="114" t="s">
        <v>17562</v>
      </c>
      <c r="P45" s="49"/>
      <c r="Q45" s="50"/>
      <c r="R45" s="115"/>
      <c r="S45" s="35"/>
      <c r="V45" s="57"/>
      <c r="W45" s="208">
        <f>ROUND((ROUND((ROUND((_15_同援日増２．０*_15・通訳),0)*(1+_15・A早朝)),0)*(1+_15・盲ろう)),0)</f>
        <v>366</v>
      </c>
      <c r="X45" s="48"/>
    </row>
    <row r="46" spans="1:24" ht="16.5" customHeight="1" x14ac:dyDescent="0.15">
      <c r="A46" s="41">
        <v>15</v>
      </c>
      <c r="B46" s="41" t="s">
        <v>30134</v>
      </c>
      <c r="C46" s="74" t="s">
        <v>30135</v>
      </c>
      <c r="D46" s="72"/>
      <c r="E46" s="168">
        <f>_15_同援日増２．０</f>
        <v>260</v>
      </c>
      <c r="F46" s="57" t="s">
        <v>392</v>
      </c>
      <c r="G46" s="35"/>
      <c r="J46" s="299" t="s">
        <v>17556</v>
      </c>
      <c r="K46" s="45" t="s">
        <v>398</v>
      </c>
      <c r="L46" s="46">
        <v>1</v>
      </c>
      <c r="M46" s="512"/>
      <c r="N46" s="57"/>
      <c r="O46" s="269" t="s">
        <v>17564</v>
      </c>
      <c r="P46" s="37" t="s">
        <v>398</v>
      </c>
      <c r="Q46" s="38">
        <v>0.25</v>
      </c>
      <c r="R46" s="79" t="s">
        <v>3575</v>
      </c>
      <c r="S46" s="43"/>
      <c r="T46" s="37"/>
      <c r="U46" s="38"/>
      <c r="V46" s="79"/>
      <c r="W46" s="208">
        <f>ROUND((ROUND((ROUND((ROUND((_15_同援日増２．０*_15・通訳),0)*_15・２人),0)*(1+_15・A早朝)),0)*(1+_15・盲ろう)),0)</f>
        <v>366</v>
      </c>
      <c r="X46" s="48"/>
    </row>
    <row r="47" spans="1:24" ht="16.5" customHeight="1" x14ac:dyDescent="0.15">
      <c r="A47" s="41">
        <v>15</v>
      </c>
      <c r="B47" s="41" t="s">
        <v>30136</v>
      </c>
      <c r="C47" s="74" t="s">
        <v>30137</v>
      </c>
      <c r="D47" s="72"/>
      <c r="F47" s="57"/>
      <c r="G47" s="35"/>
      <c r="J47" s="163"/>
      <c r="K47" s="45"/>
      <c r="L47" s="46"/>
      <c r="M47" s="512"/>
      <c r="N47" s="57"/>
      <c r="O47" s="53"/>
      <c r="P47" s="49"/>
      <c r="Q47" s="50"/>
      <c r="R47" s="115"/>
      <c r="S47" s="114" t="s">
        <v>17570</v>
      </c>
      <c r="T47" s="49"/>
      <c r="U47" s="50"/>
      <c r="V47" s="115"/>
      <c r="W47" s="208">
        <f>ROUND((ROUND((ROUND((_15_同援日増２．０*_15・通訳),0)*(1+_15・A早朝)),0)*(1+_15・区３)),0)</f>
        <v>352</v>
      </c>
      <c r="X47" s="48"/>
    </row>
    <row r="48" spans="1:24" ht="16.5" customHeight="1" x14ac:dyDescent="0.15">
      <c r="A48" s="41">
        <v>15</v>
      </c>
      <c r="B48" s="41" t="s">
        <v>30138</v>
      </c>
      <c r="C48" s="74" t="s">
        <v>30139</v>
      </c>
      <c r="D48" s="72"/>
      <c r="F48" s="57"/>
      <c r="G48" s="35"/>
      <c r="J48" s="299" t="s">
        <v>17556</v>
      </c>
      <c r="K48" s="45" t="s">
        <v>398</v>
      </c>
      <c r="L48" s="46">
        <v>1</v>
      </c>
      <c r="M48" s="512"/>
      <c r="N48" s="57"/>
      <c r="O48" s="43"/>
      <c r="P48" s="37"/>
      <c r="Q48" s="38"/>
      <c r="R48" s="79"/>
      <c r="S48" s="92" t="s">
        <v>17572</v>
      </c>
      <c r="V48" s="57"/>
      <c r="W48" s="208">
        <f>ROUND((ROUND((ROUND((ROUND((_15_同援日増２．０*_15・通訳),0)*_15・２人),0)*(1+_15・A早朝)),0)*(1+_15・区３)),0)</f>
        <v>352</v>
      </c>
      <c r="X48" s="48"/>
    </row>
    <row r="49" spans="1:24" ht="16.5" customHeight="1" x14ac:dyDescent="0.15">
      <c r="A49" s="41">
        <v>15</v>
      </c>
      <c r="B49" s="41" t="s">
        <v>30140</v>
      </c>
      <c r="C49" s="74" t="s">
        <v>30141</v>
      </c>
      <c r="D49" s="72"/>
      <c r="F49" s="57"/>
      <c r="G49" s="35"/>
      <c r="J49" s="163"/>
      <c r="K49" s="45"/>
      <c r="L49" s="46"/>
      <c r="M49" s="512"/>
      <c r="N49" s="57"/>
      <c r="O49" s="114" t="s">
        <v>17562</v>
      </c>
      <c r="P49" s="49"/>
      <c r="Q49" s="50"/>
      <c r="R49" s="115"/>
      <c r="S49" s="35"/>
      <c r="T49" s="12" t="s">
        <v>398</v>
      </c>
      <c r="U49" s="13">
        <v>0.2</v>
      </c>
      <c r="V49" s="57" t="s">
        <v>3575</v>
      </c>
      <c r="W49" s="208">
        <f>ROUND((ROUND((ROUND((ROUND((_15_同援日増２．０*_15・通訳),0)*(1+_15・A早朝)),0)*(1+_15・盲ろう)),0)*(1+_15・区３)),0)</f>
        <v>439</v>
      </c>
      <c r="X49" s="48"/>
    </row>
    <row r="50" spans="1:24" ht="16.5" customHeight="1" x14ac:dyDescent="0.15">
      <c r="A50" s="41">
        <v>15</v>
      </c>
      <c r="B50" s="41" t="s">
        <v>30142</v>
      </c>
      <c r="C50" s="74" t="s">
        <v>30143</v>
      </c>
      <c r="D50" s="72"/>
      <c r="F50" s="57"/>
      <c r="G50" s="35"/>
      <c r="J50" s="299" t="s">
        <v>17556</v>
      </c>
      <c r="K50" s="45" t="s">
        <v>398</v>
      </c>
      <c r="L50" s="46">
        <v>1</v>
      </c>
      <c r="M50" s="512"/>
      <c r="N50" s="57"/>
      <c r="O50" s="269" t="s">
        <v>17564</v>
      </c>
      <c r="P50" s="37" t="s">
        <v>398</v>
      </c>
      <c r="Q50" s="38">
        <v>0.25</v>
      </c>
      <c r="R50" s="79" t="s">
        <v>3575</v>
      </c>
      <c r="S50" s="43"/>
      <c r="T50" s="37"/>
      <c r="U50" s="38"/>
      <c r="V50" s="79"/>
      <c r="W50" s="208">
        <f>ROUND((ROUND((ROUND((ROUND((ROUND((_15_同援日増２．０*_15・通訳),0)*_15・２人),0)*(1+_15・A早朝)),0)*(1+_15・盲ろう)),0)*(1+_15・区３)),0)</f>
        <v>439</v>
      </c>
      <c r="X50" s="48"/>
    </row>
    <row r="51" spans="1:24" ht="16.5" customHeight="1" x14ac:dyDescent="0.15">
      <c r="A51" s="41">
        <v>15</v>
      </c>
      <c r="B51" s="41" t="s">
        <v>30144</v>
      </c>
      <c r="C51" s="74" t="s">
        <v>30145</v>
      </c>
      <c r="D51" s="72"/>
      <c r="F51" s="57"/>
      <c r="G51" s="35"/>
      <c r="J51" s="163"/>
      <c r="K51" s="45"/>
      <c r="L51" s="46"/>
      <c r="M51" s="512"/>
      <c r="N51" s="57"/>
      <c r="O51" s="53"/>
      <c r="P51" s="49"/>
      <c r="Q51" s="50"/>
      <c r="R51" s="115"/>
      <c r="S51" s="114" t="s">
        <v>17580</v>
      </c>
      <c r="T51" s="49"/>
      <c r="U51" s="50"/>
      <c r="V51" s="115"/>
      <c r="W51" s="208">
        <f>ROUND((ROUND((ROUND((_15_同援日増２．０*_15・通訳),0)*(1+_15・A早朝)),0)*(1+_15・区４)),0)</f>
        <v>410</v>
      </c>
      <c r="X51" s="48"/>
    </row>
    <row r="52" spans="1:24" ht="16.5" customHeight="1" x14ac:dyDescent="0.15">
      <c r="A52" s="41">
        <v>15</v>
      </c>
      <c r="B52" s="41" t="s">
        <v>30146</v>
      </c>
      <c r="C52" s="74" t="s">
        <v>30147</v>
      </c>
      <c r="D52" s="72"/>
      <c r="F52" s="57"/>
      <c r="G52" s="35"/>
      <c r="J52" s="299" t="s">
        <v>17556</v>
      </c>
      <c r="K52" s="45" t="s">
        <v>398</v>
      </c>
      <c r="L52" s="46">
        <v>1</v>
      </c>
      <c r="M52" s="512"/>
      <c r="N52" s="57"/>
      <c r="O52" s="43"/>
      <c r="P52" s="37"/>
      <c r="Q52" s="38"/>
      <c r="R52" s="79"/>
      <c r="S52" s="92" t="s">
        <v>17572</v>
      </c>
      <c r="V52" s="57"/>
      <c r="W52" s="208">
        <f>ROUND((ROUND((ROUND((ROUND((_15_同援日増２．０*_15・通訳),0)*_15・２人),0)*(1+_15・A早朝)),0)*(1+_15・区４)),0)</f>
        <v>410</v>
      </c>
      <c r="X52" s="48"/>
    </row>
    <row r="53" spans="1:24" ht="16.5" customHeight="1" x14ac:dyDescent="0.15">
      <c r="A53" s="41">
        <v>15</v>
      </c>
      <c r="B53" s="41" t="s">
        <v>4035</v>
      </c>
      <c r="C53" s="74" t="s">
        <v>30148</v>
      </c>
      <c r="D53" s="72"/>
      <c r="F53" s="57"/>
      <c r="G53" s="35"/>
      <c r="J53" s="163"/>
      <c r="K53" s="45"/>
      <c r="L53" s="46"/>
      <c r="M53" s="512"/>
      <c r="N53" s="57"/>
      <c r="O53" s="114" t="s">
        <v>17562</v>
      </c>
      <c r="P53" s="49"/>
      <c r="Q53" s="50"/>
      <c r="R53" s="115"/>
      <c r="S53" s="35"/>
      <c r="T53" s="12" t="s">
        <v>398</v>
      </c>
      <c r="U53" s="13">
        <v>0.4</v>
      </c>
      <c r="V53" s="57" t="s">
        <v>3575</v>
      </c>
      <c r="W53" s="208">
        <f>ROUND((ROUND((ROUND((ROUND((_15_同援日増２．０*_15・通訳),0)*(1+_15・A早朝)),0)*(1+_15・盲ろう)),0)*(1+_15・区４)),0)</f>
        <v>512</v>
      </c>
      <c r="X53" s="48"/>
    </row>
    <row r="54" spans="1:24" ht="16.5" customHeight="1" x14ac:dyDescent="0.15">
      <c r="A54" s="41">
        <v>15</v>
      </c>
      <c r="B54" s="41" t="s">
        <v>4037</v>
      </c>
      <c r="C54" s="74" t="s">
        <v>30149</v>
      </c>
      <c r="D54" s="122"/>
      <c r="E54" s="37"/>
      <c r="F54" s="79"/>
      <c r="G54" s="35"/>
      <c r="J54" s="299" t="s">
        <v>17556</v>
      </c>
      <c r="K54" s="45" t="s">
        <v>398</v>
      </c>
      <c r="L54" s="46">
        <v>1</v>
      </c>
      <c r="M54" s="512"/>
      <c r="N54" s="57"/>
      <c r="O54" s="269" t="s">
        <v>17564</v>
      </c>
      <c r="P54" s="37" t="s">
        <v>398</v>
      </c>
      <c r="Q54" s="38">
        <v>0.25</v>
      </c>
      <c r="R54" s="79" t="s">
        <v>3575</v>
      </c>
      <c r="S54" s="43"/>
      <c r="T54" s="37"/>
      <c r="U54" s="38"/>
      <c r="V54" s="79"/>
      <c r="W54" s="208">
        <f>ROUND((ROUND((ROUND((ROUND((ROUND((_15_同援日増２．０*_15・通訳),0)*_15・２人),0)*(1+_15・A早朝)),0)*(1+_15・盲ろう)),0)*(1+_15・区４)),0)</f>
        <v>512</v>
      </c>
      <c r="X54" s="48"/>
    </row>
    <row r="55" spans="1:24" ht="16.5" customHeight="1" x14ac:dyDescent="0.15">
      <c r="A55" s="41">
        <v>15</v>
      </c>
      <c r="B55" s="41" t="s">
        <v>30150</v>
      </c>
      <c r="C55" s="74" t="s">
        <v>30151</v>
      </c>
      <c r="D55" s="114" t="s">
        <v>24701</v>
      </c>
      <c r="E55" s="49"/>
      <c r="F55" s="115"/>
      <c r="G55" s="35"/>
      <c r="J55" s="163"/>
      <c r="K55" s="45"/>
      <c r="L55" s="46"/>
      <c r="M55" s="512"/>
      <c r="N55" s="57"/>
      <c r="O55" s="53"/>
      <c r="P55" s="49"/>
      <c r="Q55" s="50"/>
      <c r="R55" s="115"/>
      <c r="S55" s="53"/>
      <c r="T55" s="49"/>
      <c r="U55" s="50"/>
      <c r="V55" s="115"/>
      <c r="W55" s="208">
        <f>ROUND((ROUND((_15_同援日増２．５*_15・通訳),0)*(1+_15・A早朝)),0)</f>
        <v>366</v>
      </c>
      <c r="X55" s="48"/>
    </row>
    <row r="56" spans="1:24" ht="16.5" customHeight="1" x14ac:dyDescent="0.15">
      <c r="A56" s="41">
        <v>15</v>
      </c>
      <c r="B56" s="41" t="s">
        <v>30152</v>
      </c>
      <c r="C56" s="74" t="s">
        <v>30153</v>
      </c>
      <c r="D56" s="72" t="s">
        <v>17670</v>
      </c>
      <c r="F56" s="57"/>
      <c r="G56" s="35"/>
      <c r="J56" s="299" t="s">
        <v>17556</v>
      </c>
      <c r="K56" s="45" t="s">
        <v>398</v>
      </c>
      <c r="L56" s="46">
        <v>1</v>
      </c>
      <c r="M56" s="512"/>
      <c r="N56" s="57"/>
      <c r="O56" s="43"/>
      <c r="P56" s="37"/>
      <c r="Q56" s="38"/>
      <c r="R56" s="79"/>
      <c r="S56" s="35"/>
      <c r="V56" s="57"/>
      <c r="W56" s="208">
        <f>ROUND((ROUND((ROUND((_15_同援日増２．５*_15・通訳),0)*_15・２人),0)*(1+_15・A早朝)),0)</f>
        <v>366</v>
      </c>
      <c r="X56" s="48"/>
    </row>
    <row r="57" spans="1:24" ht="16.5" customHeight="1" x14ac:dyDescent="0.15">
      <c r="A57" s="41">
        <v>15</v>
      </c>
      <c r="B57" s="41" t="s">
        <v>30154</v>
      </c>
      <c r="C57" s="74" t="s">
        <v>30155</v>
      </c>
      <c r="D57" s="72" t="s">
        <v>17672</v>
      </c>
      <c r="F57" s="57"/>
      <c r="G57" s="35"/>
      <c r="J57" s="163"/>
      <c r="K57" s="45"/>
      <c r="L57" s="46"/>
      <c r="M57" s="512"/>
      <c r="N57" s="57"/>
      <c r="O57" s="114" t="s">
        <v>17562</v>
      </c>
      <c r="P57" s="49"/>
      <c r="Q57" s="50"/>
      <c r="R57" s="115"/>
      <c r="S57" s="35"/>
      <c r="V57" s="57"/>
      <c r="W57" s="208">
        <f>ROUND((ROUND((ROUND((_15_同援日増２．５*_15・通訳),0)*(1+_15・A早朝)),0)*(1+_15・盲ろう)),0)</f>
        <v>458</v>
      </c>
      <c r="X57" s="48"/>
    </row>
    <row r="58" spans="1:24" ht="16.5" customHeight="1" x14ac:dyDescent="0.15">
      <c r="A58" s="41">
        <v>15</v>
      </c>
      <c r="B58" s="41" t="s">
        <v>30156</v>
      </c>
      <c r="C58" s="74" t="s">
        <v>30157</v>
      </c>
      <c r="D58" s="72"/>
      <c r="E58" s="168">
        <f>_15_同援日増２．５</f>
        <v>325</v>
      </c>
      <c r="F58" s="57" t="s">
        <v>392</v>
      </c>
      <c r="G58" s="35"/>
      <c r="J58" s="299" t="s">
        <v>17556</v>
      </c>
      <c r="K58" s="45" t="s">
        <v>398</v>
      </c>
      <c r="L58" s="46">
        <v>1</v>
      </c>
      <c r="M58" s="512"/>
      <c r="N58" s="57"/>
      <c r="O58" s="269" t="s">
        <v>17564</v>
      </c>
      <c r="P58" s="37" t="s">
        <v>398</v>
      </c>
      <c r="Q58" s="38">
        <v>0.25</v>
      </c>
      <c r="R58" s="79" t="s">
        <v>3575</v>
      </c>
      <c r="S58" s="43"/>
      <c r="T58" s="37"/>
      <c r="U58" s="38"/>
      <c r="V58" s="79"/>
      <c r="W58" s="208">
        <f>ROUND((ROUND((ROUND((ROUND((_15_同援日増２．５*_15・通訳),0)*_15・２人),0)*(1+_15・A早朝)),0)*(1+_15・盲ろう)),0)</f>
        <v>458</v>
      </c>
      <c r="X58" s="48"/>
    </row>
    <row r="59" spans="1:24" ht="16.5" customHeight="1" x14ac:dyDescent="0.15">
      <c r="A59" s="41">
        <v>15</v>
      </c>
      <c r="B59" s="41" t="s">
        <v>30158</v>
      </c>
      <c r="C59" s="74" t="s">
        <v>30159</v>
      </c>
      <c r="D59" s="72"/>
      <c r="F59" s="57"/>
      <c r="G59" s="35"/>
      <c r="J59" s="163"/>
      <c r="K59" s="45"/>
      <c r="L59" s="46"/>
      <c r="M59" s="512"/>
      <c r="N59" s="57"/>
      <c r="O59" s="53"/>
      <c r="P59" s="49"/>
      <c r="Q59" s="50"/>
      <c r="R59" s="115"/>
      <c r="S59" s="114" t="s">
        <v>17570</v>
      </c>
      <c r="T59" s="49"/>
      <c r="U59" s="50"/>
      <c r="V59" s="115"/>
      <c r="W59" s="208">
        <f>ROUND((ROUND((ROUND((_15_同援日増２．５*_15・通訳),0)*(1+_15・A早朝)),0)*(1+_15・区３)),0)</f>
        <v>439</v>
      </c>
      <c r="X59" s="48"/>
    </row>
    <row r="60" spans="1:24" ht="16.5" customHeight="1" x14ac:dyDescent="0.15">
      <c r="A60" s="41">
        <v>15</v>
      </c>
      <c r="B60" s="41" t="s">
        <v>30160</v>
      </c>
      <c r="C60" s="74" t="s">
        <v>30161</v>
      </c>
      <c r="D60" s="72"/>
      <c r="F60" s="57"/>
      <c r="G60" s="35"/>
      <c r="J60" s="299" t="s">
        <v>17556</v>
      </c>
      <c r="K60" s="45" t="s">
        <v>398</v>
      </c>
      <c r="L60" s="46">
        <v>1</v>
      </c>
      <c r="M60" s="512"/>
      <c r="N60" s="57"/>
      <c r="O60" s="43"/>
      <c r="P60" s="37"/>
      <c r="Q60" s="38"/>
      <c r="R60" s="79"/>
      <c r="S60" s="92" t="s">
        <v>17572</v>
      </c>
      <c r="V60" s="57"/>
      <c r="W60" s="208">
        <f>ROUND((ROUND((ROUND((ROUND((_15_同援日増２．５*_15・通訳),0)*_15・２人),0)*(1+_15・A早朝)),0)*(1+_15・区３)),0)</f>
        <v>439</v>
      </c>
      <c r="X60" s="48"/>
    </row>
    <row r="61" spans="1:24" ht="16.5" customHeight="1" x14ac:dyDescent="0.15">
      <c r="A61" s="41">
        <v>15</v>
      </c>
      <c r="B61" s="41" t="s">
        <v>30162</v>
      </c>
      <c r="C61" s="74" t="s">
        <v>30163</v>
      </c>
      <c r="D61" s="72"/>
      <c r="F61" s="57"/>
      <c r="G61" s="35"/>
      <c r="J61" s="163"/>
      <c r="K61" s="45"/>
      <c r="L61" s="46"/>
      <c r="M61" s="512"/>
      <c r="N61" s="57"/>
      <c r="O61" s="114" t="s">
        <v>17562</v>
      </c>
      <c r="P61" s="49"/>
      <c r="Q61" s="50"/>
      <c r="R61" s="115"/>
      <c r="S61" s="35"/>
      <c r="T61" s="12" t="s">
        <v>398</v>
      </c>
      <c r="U61" s="13">
        <v>0.2</v>
      </c>
      <c r="V61" s="57" t="s">
        <v>3575</v>
      </c>
      <c r="W61" s="208">
        <f>ROUND((ROUND((ROUND((ROUND((_15_同援日増２．５*_15・通訳),0)*(1+_15・A早朝)),0)*(1+_15・盲ろう)),0)*(1+_15・区３)),0)</f>
        <v>550</v>
      </c>
      <c r="X61" s="48"/>
    </row>
    <row r="62" spans="1:24" ht="16.5" customHeight="1" x14ac:dyDescent="0.15">
      <c r="A62" s="41">
        <v>15</v>
      </c>
      <c r="B62" s="41" t="s">
        <v>30164</v>
      </c>
      <c r="C62" s="74" t="s">
        <v>30165</v>
      </c>
      <c r="D62" s="72"/>
      <c r="F62" s="57"/>
      <c r="G62" s="35"/>
      <c r="J62" s="299" t="s">
        <v>17556</v>
      </c>
      <c r="K62" s="45" t="s">
        <v>398</v>
      </c>
      <c r="L62" s="46">
        <v>1</v>
      </c>
      <c r="M62" s="512"/>
      <c r="N62" s="57"/>
      <c r="O62" s="269" t="s">
        <v>17564</v>
      </c>
      <c r="P62" s="37" t="s">
        <v>398</v>
      </c>
      <c r="Q62" s="38">
        <v>0.25</v>
      </c>
      <c r="R62" s="79" t="s">
        <v>3575</v>
      </c>
      <c r="S62" s="43"/>
      <c r="T62" s="37"/>
      <c r="U62" s="38"/>
      <c r="V62" s="79"/>
      <c r="W62" s="208">
        <f>ROUND((ROUND((ROUND((ROUND((ROUND((_15_同援日増２．５*_15・通訳),0)*_15・２人),0)*(1+_15・A早朝)),0)*(1+_15・盲ろう)),0)*(1+_15・区３)),0)</f>
        <v>550</v>
      </c>
      <c r="X62" s="48"/>
    </row>
    <row r="63" spans="1:24" ht="16.5" customHeight="1" x14ac:dyDescent="0.15">
      <c r="A63" s="41">
        <v>15</v>
      </c>
      <c r="B63" s="41" t="s">
        <v>4041</v>
      </c>
      <c r="C63" s="74" t="s">
        <v>30166</v>
      </c>
      <c r="D63" s="72"/>
      <c r="F63" s="57"/>
      <c r="G63" s="35"/>
      <c r="J63" s="163"/>
      <c r="K63" s="45"/>
      <c r="L63" s="46"/>
      <c r="M63" s="512"/>
      <c r="N63" s="57"/>
      <c r="O63" s="53"/>
      <c r="P63" s="49"/>
      <c r="Q63" s="50"/>
      <c r="R63" s="115"/>
      <c r="S63" s="114" t="s">
        <v>17580</v>
      </c>
      <c r="T63" s="49"/>
      <c r="U63" s="50"/>
      <c r="V63" s="115"/>
      <c r="W63" s="208">
        <f>ROUND((ROUND((ROUND((_15_同援日増２．５*_15・通訳),0)*(1+_15・A早朝)),0)*(1+_15・区４)),0)</f>
        <v>512</v>
      </c>
      <c r="X63" s="48"/>
    </row>
    <row r="64" spans="1:24" ht="16.5" customHeight="1" x14ac:dyDescent="0.15">
      <c r="A64" s="41">
        <v>15</v>
      </c>
      <c r="B64" s="41" t="s">
        <v>4043</v>
      </c>
      <c r="C64" s="74" t="s">
        <v>30167</v>
      </c>
      <c r="D64" s="72"/>
      <c r="F64" s="57"/>
      <c r="G64" s="35"/>
      <c r="J64" s="299" t="s">
        <v>17556</v>
      </c>
      <c r="K64" s="45" t="s">
        <v>398</v>
      </c>
      <c r="L64" s="46">
        <v>1</v>
      </c>
      <c r="M64" s="512"/>
      <c r="N64" s="57"/>
      <c r="O64" s="43"/>
      <c r="P64" s="37"/>
      <c r="Q64" s="38"/>
      <c r="R64" s="79"/>
      <c r="S64" s="92" t="s">
        <v>17572</v>
      </c>
      <c r="V64" s="57"/>
      <c r="W64" s="208">
        <f>ROUND((ROUND((ROUND((ROUND((_15_同援日増２．５*_15・通訳),0)*_15・２人),0)*(1+_15・A早朝)),0)*(1+_15・区４)),0)</f>
        <v>512</v>
      </c>
      <c r="X64" s="48"/>
    </row>
    <row r="65" spans="1:24" ht="16.5" customHeight="1" x14ac:dyDescent="0.15">
      <c r="A65" s="41">
        <v>15</v>
      </c>
      <c r="B65" s="41" t="s">
        <v>30168</v>
      </c>
      <c r="C65" s="74" t="s">
        <v>30169</v>
      </c>
      <c r="D65" s="72"/>
      <c r="F65" s="57"/>
      <c r="G65" s="35"/>
      <c r="J65" s="163"/>
      <c r="K65" s="45"/>
      <c r="L65" s="46"/>
      <c r="M65" s="512"/>
      <c r="N65" s="57"/>
      <c r="O65" s="114" t="s">
        <v>17562</v>
      </c>
      <c r="P65" s="49"/>
      <c r="Q65" s="50"/>
      <c r="R65" s="115"/>
      <c r="S65" s="35"/>
      <c r="T65" s="12" t="s">
        <v>398</v>
      </c>
      <c r="U65" s="13">
        <v>0.4</v>
      </c>
      <c r="V65" s="57" t="s">
        <v>3575</v>
      </c>
      <c r="W65" s="208">
        <f>ROUND((ROUND((ROUND((ROUND((_15_同援日増２．５*_15・通訳),0)*(1+_15・A早朝)),0)*(1+_15・盲ろう)),0)*(1+_15・区４)),0)</f>
        <v>641</v>
      </c>
      <c r="X65" s="48"/>
    </row>
    <row r="66" spans="1:24" ht="16.5" customHeight="1" x14ac:dyDescent="0.15">
      <c r="A66" s="41">
        <v>15</v>
      </c>
      <c r="B66" s="41" t="s">
        <v>30170</v>
      </c>
      <c r="C66" s="74" t="s">
        <v>30171</v>
      </c>
      <c r="D66" s="122"/>
      <c r="E66" s="37"/>
      <c r="F66" s="79"/>
      <c r="G66" s="43"/>
      <c r="H66" s="37"/>
      <c r="I66" s="38"/>
      <c r="J66" s="299" t="s">
        <v>17556</v>
      </c>
      <c r="K66" s="45" t="s">
        <v>398</v>
      </c>
      <c r="L66" s="46">
        <v>1</v>
      </c>
      <c r="M66" s="514"/>
      <c r="N66" s="79"/>
      <c r="O66" s="269" t="s">
        <v>17564</v>
      </c>
      <c r="P66" s="37" t="s">
        <v>398</v>
      </c>
      <c r="Q66" s="38">
        <v>0.25</v>
      </c>
      <c r="R66" s="79" t="s">
        <v>3575</v>
      </c>
      <c r="S66" s="43"/>
      <c r="T66" s="37"/>
      <c r="U66" s="38"/>
      <c r="V66" s="79"/>
      <c r="W66" s="208">
        <f>ROUND((ROUND((ROUND((ROUND((ROUND((_15_同援日増２．５*_15・通訳),0)*_15・２人),0)*(1+_15・A早朝)),0)*(1+_15・盲ろう)),0)*(1+_15・区４)),0)</f>
        <v>641</v>
      </c>
      <c r="X66" s="63"/>
    </row>
    <row r="67" spans="1:24" ht="16.5" customHeight="1" x14ac:dyDescent="0.15">
      <c r="A67" s="80"/>
      <c r="B67" s="80"/>
      <c r="C67" s="81"/>
      <c r="W67" s="209"/>
      <c r="X67" s="85"/>
    </row>
    <row r="68" spans="1:24" ht="16.5" customHeight="1" x14ac:dyDescent="0.15">
      <c r="A68" s="80"/>
      <c r="B68" s="80"/>
      <c r="C68" s="81"/>
      <c r="W68" s="209"/>
      <c r="X68" s="85"/>
    </row>
    <row r="69" spans="1:24" ht="16.5" customHeight="1" x14ac:dyDescent="0.15">
      <c r="A69" s="80"/>
      <c r="B69" s="157" t="s">
        <v>30172</v>
      </c>
      <c r="C69" s="81"/>
      <c r="D69" s="71"/>
      <c r="W69" s="209"/>
      <c r="X69" s="85"/>
    </row>
    <row r="70" spans="1:24" ht="16.5" customHeight="1" x14ac:dyDescent="0.15">
      <c r="A70" s="87" t="s">
        <v>384</v>
      </c>
      <c r="B70" s="20"/>
      <c r="C70" s="88" t="s">
        <v>385</v>
      </c>
      <c r="D70" s="23" t="s">
        <v>386</v>
      </c>
      <c r="E70" s="23"/>
      <c r="F70" s="23"/>
      <c r="G70" s="23"/>
      <c r="H70" s="23"/>
      <c r="I70" s="24"/>
      <c r="J70" s="23"/>
      <c r="K70" s="23"/>
      <c r="L70" s="24"/>
      <c r="M70" s="24"/>
      <c r="N70" s="23"/>
      <c r="O70" s="23"/>
      <c r="P70" s="23"/>
      <c r="Q70" s="24"/>
      <c r="R70" s="23"/>
      <c r="S70" s="23"/>
      <c r="T70" s="23"/>
      <c r="U70" s="24"/>
      <c r="V70" s="23"/>
      <c r="W70" s="21" t="s">
        <v>387</v>
      </c>
      <c r="X70" s="21" t="s">
        <v>388</v>
      </c>
    </row>
    <row r="71" spans="1:24" ht="16.5" customHeight="1" x14ac:dyDescent="0.15">
      <c r="A71" s="26" t="s">
        <v>389</v>
      </c>
      <c r="B71" s="26" t="s">
        <v>390</v>
      </c>
      <c r="C71" s="89"/>
      <c r="D71" s="29"/>
      <c r="E71" s="29"/>
      <c r="F71" s="29"/>
      <c r="G71" s="29"/>
      <c r="H71" s="29"/>
      <c r="I71" s="30"/>
      <c r="J71" s="29"/>
      <c r="K71" s="29"/>
      <c r="L71" s="30"/>
      <c r="M71" s="30"/>
      <c r="N71" s="29"/>
      <c r="O71" s="29"/>
      <c r="P71" s="29"/>
      <c r="Q71" s="30"/>
      <c r="R71" s="29"/>
      <c r="S71" s="29"/>
      <c r="T71" s="29"/>
      <c r="U71" s="30"/>
      <c r="V71" s="29"/>
      <c r="W71" s="32" t="s">
        <v>391</v>
      </c>
      <c r="X71" s="32" t="s">
        <v>392</v>
      </c>
    </row>
    <row r="72" spans="1:24" ht="16.5" customHeight="1" x14ac:dyDescent="0.15">
      <c r="A72" s="33">
        <v>15</v>
      </c>
      <c r="B72" s="33" t="s">
        <v>30173</v>
      </c>
      <c r="C72" s="34" t="s">
        <v>30174</v>
      </c>
      <c r="D72" s="72" t="s">
        <v>24746</v>
      </c>
      <c r="F72" s="57"/>
      <c r="G72" s="35"/>
      <c r="J72" s="43"/>
      <c r="K72" s="37"/>
      <c r="L72" s="38"/>
      <c r="M72" s="512"/>
      <c r="N72" s="57"/>
      <c r="O72" s="35"/>
      <c r="R72" s="57"/>
      <c r="S72" s="35"/>
      <c r="V72" s="57"/>
      <c r="W72" s="207">
        <f>ROUND((ROUND((_15_同援日増０．５*_15・通訳),0)*(1+_15・A夜間)),0)</f>
        <v>74</v>
      </c>
      <c r="X72" s="40" t="s">
        <v>395</v>
      </c>
    </row>
    <row r="73" spans="1:24" ht="16.5" customHeight="1" x14ac:dyDescent="0.15">
      <c r="A73" s="41">
        <v>15</v>
      </c>
      <c r="B73" s="41" t="s">
        <v>30175</v>
      </c>
      <c r="C73" s="74" t="s">
        <v>30176</v>
      </c>
      <c r="D73" s="72" t="s">
        <v>18259</v>
      </c>
      <c r="F73" s="57"/>
      <c r="G73" s="35"/>
      <c r="J73" s="299" t="s">
        <v>17556</v>
      </c>
      <c r="K73" s="45" t="s">
        <v>398</v>
      </c>
      <c r="L73" s="46">
        <v>1</v>
      </c>
      <c r="M73" s="512"/>
      <c r="N73" s="57"/>
      <c r="O73" s="43"/>
      <c r="P73" s="37"/>
      <c r="Q73" s="38"/>
      <c r="R73" s="79"/>
      <c r="S73" s="35"/>
      <c r="V73" s="57"/>
      <c r="W73" s="208">
        <f>ROUND((ROUND((ROUND((_15_同援日増０．５*_15・通訳),0)*_15・２人),0)*(1+_15・A夜間)),0)</f>
        <v>74</v>
      </c>
      <c r="X73" s="48"/>
    </row>
    <row r="74" spans="1:24" ht="16.5" customHeight="1" x14ac:dyDescent="0.15">
      <c r="A74" s="41">
        <v>15</v>
      </c>
      <c r="B74" s="41" t="s">
        <v>30177</v>
      </c>
      <c r="C74" s="74" t="s">
        <v>30178</v>
      </c>
      <c r="D74" s="72"/>
      <c r="F74" s="57"/>
      <c r="G74" s="35"/>
      <c r="J74" s="163"/>
      <c r="K74" s="45"/>
      <c r="L74" s="46"/>
      <c r="M74" s="512"/>
      <c r="N74" s="57"/>
      <c r="O74" s="114" t="s">
        <v>17562</v>
      </c>
      <c r="P74" s="49"/>
      <c r="Q74" s="50"/>
      <c r="R74" s="115"/>
      <c r="S74" s="35"/>
      <c r="V74" s="57"/>
      <c r="W74" s="208">
        <f>ROUND((ROUND((ROUND((_15_同援日増０．５*_15・通訳),0)*(1+_15・A夜間)),0)*(1+_15・盲ろう)),0)</f>
        <v>93</v>
      </c>
      <c r="X74" s="48"/>
    </row>
    <row r="75" spans="1:24" ht="16.5" customHeight="1" x14ac:dyDescent="0.15">
      <c r="A75" s="41">
        <v>15</v>
      </c>
      <c r="B75" s="41" t="s">
        <v>30179</v>
      </c>
      <c r="C75" s="74" t="s">
        <v>30180</v>
      </c>
      <c r="D75" s="72"/>
      <c r="E75" s="168">
        <f>_15_同援日増０．５</f>
        <v>65</v>
      </c>
      <c r="F75" s="57" t="s">
        <v>392</v>
      </c>
      <c r="G75" s="35"/>
      <c r="J75" s="299" t="s">
        <v>17556</v>
      </c>
      <c r="K75" s="45" t="s">
        <v>398</v>
      </c>
      <c r="L75" s="46">
        <v>1</v>
      </c>
      <c r="M75" s="512"/>
      <c r="N75" s="57"/>
      <c r="O75" s="269" t="s">
        <v>17564</v>
      </c>
      <c r="P75" s="37" t="s">
        <v>398</v>
      </c>
      <c r="Q75" s="38">
        <v>0.25</v>
      </c>
      <c r="R75" s="79" t="s">
        <v>3575</v>
      </c>
      <c r="S75" s="43"/>
      <c r="T75" s="37"/>
      <c r="U75" s="38"/>
      <c r="V75" s="79"/>
      <c r="W75" s="208">
        <f>ROUND((ROUND((ROUND((ROUND((_15_同援日増０．５*_15・通訳),0)*_15・２人),0)*(1+_15・A夜間)),0)*(1+_15・盲ろう)),0)</f>
        <v>93</v>
      </c>
      <c r="X75" s="48"/>
    </row>
    <row r="76" spans="1:24" ht="16.5" customHeight="1" x14ac:dyDescent="0.15">
      <c r="A76" s="41">
        <v>15</v>
      </c>
      <c r="B76" s="41" t="s">
        <v>30181</v>
      </c>
      <c r="C76" s="74" t="s">
        <v>30182</v>
      </c>
      <c r="D76" s="72"/>
      <c r="F76" s="57"/>
      <c r="G76" s="35"/>
      <c r="J76" s="163"/>
      <c r="K76" s="45"/>
      <c r="L76" s="46"/>
      <c r="M76" s="512"/>
      <c r="N76" s="57"/>
      <c r="O76" s="53"/>
      <c r="P76" s="49"/>
      <c r="Q76" s="50"/>
      <c r="R76" s="115"/>
      <c r="S76" s="114" t="s">
        <v>17570</v>
      </c>
      <c r="T76" s="49"/>
      <c r="U76" s="50"/>
      <c r="V76" s="115"/>
      <c r="W76" s="208">
        <f>ROUND((ROUND((ROUND((_15_同援日増０．５*_15・通訳),0)*(1+_15・A夜間)),0)*(1+_15・区３)),0)</f>
        <v>89</v>
      </c>
      <c r="X76" s="48"/>
    </row>
    <row r="77" spans="1:24" ht="16.5" customHeight="1" x14ac:dyDescent="0.15">
      <c r="A77" s="41">
        <v>15</v>
      </c>
      <c r="B77" s="41" t="s">
        <v>30183</v>
      </c>
      <c r="C77" s="74" t="s">
        <v>30184</v>
      </c>
      <c r="D77" s="72"/>
      <c r="F77" s="57"/>
      <c r="G77" s="72" t="s">
        <v>25732</v>
      </c>
      <c r="J77" s="299" t="s">
        <v>17556</v>
      </c>
      <c r="K77" s="45" t="s">
        <v>398</v>
      </c>
      <c r="L77" s="46">
        <v>1</v>
      </c>
      <c r="M77" s="517" t="s">
        <v>18264</v>
      </c>
      <c r="N77" s="57"/>
      <c r="O77" s="43"/>
      <c r="P77" s="37"/>
      <c r="Q77" s="38"/>
      <c r="R77" s="79"/>
      <c r="S77" s="92" t="s">
        <v>17572</v>
      </c>
      <c r="V77" s="57"/>
      <c r="W77" s="208">
        <f>ROUND((ROUND((ROUND((ROUND((_15_同援日増０．５*_15・通訳),0)*_15・２人),0)*(1+_15・A夜間)),0)*(1+_15・区３)),0)</f>
        <v>89</v>
      </c>
      <c r="X77" s="48"/>
    </row>
    <row r="78" spans="1:24" ht="16.5" customHeight="1" x14ac:dyDescent="0.15">
      <c r="A78" s="41">
        <v>15</v>
      </c>
      <c r="B78" s="41" t="s">
        <v>4047</v>
      </c>
      <c r="C78" s="74" t="s">
        <v>30185</v>
      </c>
      <c r="D78" s="72"/>
      <c r="F78" s="57"/>
      <c r="G78" s="92" t="s">
        <v>25734</v>
      </c>
      <c r="H78" s="12" t="s">
        <v>398</v>
      </c>
      <c r="I78" s="13">
        <v>0.9</v>
      </c>
      <c r="J78" s="163"/>
      <c r="K78" s="45"/>
      <c r="L78" s="46"/>
      <c r="M78" s="512"/>
      <c r="N78" s="519" t="s">
        <v>18136</v>
      </c>
      <c r="O78" s="114" t="s">
        <v>17562</v>
      </c>
      <c r="P78" s="49"/>
      <c r="Q78" s="50"/>
      <c r="R78" s="115"/>
      <c r="S78" s="35"/>
      <c r="T78" s="12" t="s">
        <v>398</v>
      </c>
      <c r="U78" s="13">
        <v>0.2</v>
      </c>
      <c r="V78" s="57" t="s">
        <v>3575</v>
      </c>
      <c r="W78" s="208">
        <f>ROUND((ROUND((ROUND((ROUND((_15_同援日増０．５*_15・通訳),0)*(1+_15・A夜間)),0)*(1+_15・盲ろう)),0)*(1+_15・区３)),0)</f>
        <v>112</v>
      </c>
      <c r="X78" s="48"/>
    </row>
    <row r="79" spans="1:24" ht="16.5" customHeight="1" x14ac:dyDescent="0.15">
      <c r="A79" s="41">
        <v>15</v>
      </c>
      <c r="B79" s="41" t="s">
        <v>4049</v>
      </c>
      <c r="C79" s="74" t="s">
        <v>30186</v>
      </c>
      <c r="D79" s="72"/>
      <c r="F79" s="57"/>
      <c r="G79" s="35"/>
      <c r="J79" s="299" t="s">
        <v>17556</v>
      </c>
      <c r="K79" s="45" t="s">
        <v>398</v>
      </c>
      <c r="L79" s="46">
        <v>1</v>
      </c>
      <c r="M79" s="512"/>
      <c r="N79" s="57"/>
      <c r="O79" s="269" t="s">
        <v>17564</v>
      </c>
      <c r="P79" s="37" t="s">
        <v>398</v>
      </c>
      <c r="Q79" s="38">
        <v>0.25</v>
      </c>
      <c r="R79" s="79" t="s">
        <v>3575</v>
      </c>
      <c r="S79" s="43"/>
      <c r="T79" s="37"/>
      <c r="U79" s="38"/>
      <c r="V79" s="79"/>
      <c r="W79" s="208">
        <f>ROUND((ROUND((ROUND((ROUND((ROUND((_15_同援日増０．５*_15・通訳),0)*_15・２人),0)*(1+_15・A夜間)),0)*(1+_15・盲ろう)),0)*(1+_15・区３)),0)</f>
        <v>112</v>
      </c>
      <c r="X79" s="48"/>
    </row>
    <row r="80" spans="1:24" ht="16.5" customHeight="1" x14ac:dyDescent="0.15">
      <c r="A80" s="41">
        <v>15</v>
      </c>
      <c r="B80" s="41" t="s">
        <v>30187</v>
      </c>
      <c r="C80" s="74" t="s">
        <v>30188</v>
      </c>
      <c r="D80" s="72"/>
      <c r="F80" s="57"/>
      <c r="G80" s="35"/>
      <c r="J80" s="163"/>
      <c r="K80" s="45"/>
      <c r="L80" s="46"/>
      <c r="M80" s="35" t="s">
        <v>398</v>
      </c>
      <c r="N80" s="234">
        <v>0.25</v>
      </c>
      <c r="O80" s="53"/>
      <c r="P80" s="49"/>
      <c r="Q80" s="50"/>
      <c r="R80" s="115"/>
      <c r="S80" s="114" t="s">
        <v>17580</v>
      </c>
      <c r="T80" s="49"/>
      <c r="U80" s="50"/>
      <c r="V80" s="115"/>
      <c r="W80" s="208">
        <f>ROUND((ROUND((ROUND((_15_同援日増０．５*_15・通訳),0)*(1+_15・A夜間)),0)*(1+_15・区４)),0)</f>
        <v>104</v>
      </c>
      <c r="X80" s="48"/>
    </row>
    <row r="81" spans="1:24" ht="16.5" customHeight="1" x14ac:dyDescent="0.15">
      <c r="A81" s="41">
        <v>15</v>
      </c>
      <c r="B81" s="41" t="s">
        <v>30189</v>
      </c>
      <c r="C81" s="74" t="s">
        <v>30190</v>
      </c>
      <c r="D81" s="72"/>
      <c r="F81" s="57"/>
      <c r="G81" s="35"/>
      <c r="J81" s="299" t="s">
        <v>17556</v>
      </c>
      <c r="K81" s="45" t="s">
        <v>398</v>
      </c>
      <c r="L81" s="46">
        <v>1</v>
      </c>
      <c r="M81" s="512"/>
      <c r="N81" s="513" t="s">
        <v>3575</v>
      </c>
      <c r="O81" s="43"/>
      <c r="P81" s="37"/>
      <c r="Q81" s="38"/>
      <c r="R81" s="79"/>
      <c r="S81" s="92" t="s">
        <v>17572</v>
      </c>
      <c r="V81" s="57"/>
      <c r="W81" s="208">
        <f>ROUND((ROUND((ROUND((ROUND((_15_同援日増０．５*_15・通訳),0)*_15・２人),0)*(1+_15・A夜間)),0)*(1+_15・区４)),0)</f>
        <v>104</v>
      </c>
      <c r="X81" s="48"/>
    </row>
    <row r="82" spans="1:24" ht="16.5" customHeight="1" x14ac:dyDescent="0.15">
      <c r="A82" s="41">
        <v>15</v>
      </c>
      <c r="B82" s="41" t="s">
        <v>30191</v>
      </c>
      <c r="C82" s="74" t="s">
        <v>30192</v>
      </c>
      <c r="D82" s="72"/>
      <c r="F82" s="57"/>
      <c r="G82" s="35"/>
      <c r="J82" s="163"/>
      <c r="K82" s="45"/>
      <c r="L82" s="46"/>
      <c r="M82" s="512"/>
      <c r="N82" s="57"/>
      <c r="O82" s="114" t="s">
        <v>17562</v>
      </c>
      <c r="P82" s="49"/>
      <c r="Q82" s="50"/>
      <c r="R82" s="115"/>
      <c r="S82" s="35"/>
      <c r="T82" s="12" t="s">
        <v>398</v>
      </c>
      <c r="U82" s="13">
        <v>0.4</v>
      </c>
      <c r="V82" s="57" t="s">
        <v>3575</v>
      </c>
      <c r="W82" s="208">
        <f>ROUND((ROUND((ROUND((ROUND((_15_同援日増０．５*_15・通訳),0)*(1+_15・A夜間)),0)*(1+_15・盲ろう)),0)*(1+_15・区４)),0)</f>
        <v>130</v>
      </c>
      <c r="X82" s="48"/>
    </row>
    <row r="83" spans="1:24" ht="16.5" customHeight="1" x14ac:dyDescent="0.15">
      <c r="A83" s="41">
        <v>15</v>
      </c>
      <c r="B83" s="41" t="s">
        <v>30193</v>
      </c>
      <c r="C83" s="74" t="s">
        <v>30194</v>
      </c>
      <c r="D83" s="122"/>
      <c r="E83" s="37"/>
      <c r="F83" s="79"/>
      <c r="G83" s="35"/>
      <c r="J83" s="299" t="s">
        <v>17556</v>
      </c>
      <c r="K83" s="45" t="s">
        <v>398</v>
      </c>
      <c r="L83" s="46">
        <v>1</v>
      </c>
      <c r="M83" s="512"/>
      <c r="N83" s="57"/>
      <c r="O83" s="269" t="s">
        <v>17564</v>
      </c>
      <c r="P83" s="37" t="s">
        <v>398</v>
      </c>
      <c r="Q83" s="38">
        <v>0.25</v>
      </c>
      <c r="R83" s="79" t="s">
        <v>3575</v>
      </c>
      <c r="S83" s="43"/>
      <c r="T83" s="37"/>
      <c r="U83" s="38"/>
      <c r="V83" s="79"/>
      <c r="W83" s="208">
        <f>ROUND((ROUND((ROUND((ROUND((ROUND((_15_同援日増０．５*_15・通訳),0)*_15・２人),0)*(1+_15・A夜間)),0)*(1+_15・盲ろう)),0)*(1+_15・区４)),0)</f>
        <v>130</v>
      </c>
      <c r="X83" s="48"/>
    </row>
    <row r="84" spans="1:24" ht="16.5" customHeight="1" x14ac:dyDescent="0.15">
      <c r="A84" s="41">
        <v>15</v>
      </c>
      <c r="B84" s="41" t="s">
        <v>30195</v>
      </c>
      <c r="C84" s="74" t="s">
        <v>30196</v>
      </c>
      <c r="D84" s="114" t="s">
        <v>24791</v>
      </c>
      <c r="E84" s="49"/>
      <c r="F84" s="115"/>
      <c r="G84" s="35"/>
      <c r="J84" s="163"/>
      <c r="K84" s="45"/>
      <c r="L84" s="46"/>
      <c r="M84" s="512"/>
      <c r="N84" s="57"/>
      <c r="O84" s="53"/>
      <c r="P84" s="49"/>
      <c r="Q84" s="50"/>
      <c r="R84" s="115"/>
      <c r="S84" s="53"/>
      <c r="T84" s="49"/>
      <c r="U84" s="50"/>
      <c r="V84" s="115"/>
      <c r="W84" s="208">
        <f>ROUND((ROUND((_15_同援日増１．０*_15・通訳),0)*(1+_15・A夜間)),0)</f>
        <v>146</v>
      </c>
      <c r="X84" s="48"/>
    </row>
    <row r="85" spans="1:24" ht="16.5" customHeight="1" x14ac:dyDescent="0.15">
      <c r="A85" s="41">
        <v>15</v>
      </c>
      <c r="B85" s="41" t="s">
        <v>30197</v>
      </c>
      <c r="C85" s="74" t="s">
        <v>30198</v>
      </c>
      <c r="D85" s="72" t="s">
        <v>17589</v>
      </c>
      <c r="F85" s="57"/>
      <c r="G85" s="35"/>
      <c r="J85" s="299" t="s">
        <v>17556</v>
      </c>
      <c r="K85" s="45" t="s">
        <v>398</v>
      </c>
      <c r="L85" s="46">
        <v>1</v>
      </c>
      <c r="M85" s="512"/>
      <c r="N85" s="57"/>
      <c r="O85" s="43"/>
      <c r="P85" s="37"/>
      <c r="Q85" s="38"/>
      <c r="R85" s="79"/>
      <c r="S85" s="35"/>
      <c r="V85" s="57"/>
      <c r="W85" s="208">
        <f>ROUND((ROUND((ROUND((_15_同援日増１．０*_15・通訳),0)*_15・２人),0)*(1+_15・A夜間)),0)</f>
        <v>146</v>
      </c>
      <c r="X85" s="48"/>
    </row>
    <row r="86" spans="1:24" ht="16.5" customHeight="1" x14ac:dyDescent="0.15">
      <c r="A86" s="41">
        <v>15</v>
      </c>
      <c r="B86" s="41" t="s">
        <v>30199</v>
      </c>
      <c r="C86" s="74" t="s">
        <v>30200</v>
      </c>
      <c r="D86" s="72" t="s">
        <v>17591</v>
      </c>
      <c r="F86" s="57"/>
      <c r="G86" s="35"/>
      <c r="J86" s="163"/>
      <c r="K86" s="45"/>
      <c r="L86" s="46"/>
      <c r="M86" s="512"/>
      <c r="N86" s="57"/>
      <c r="O86" s="114" t="s">
        <v>17562</v>
      </c>
      <c r="P86" s="49"/>
      <c r="Q86" s="50"/>
      <c r="R86" s="115"/>
      <c r="S86" s="35"/>
      <c r="V86" s="57"/>
      <c r="W86" s="208">
        <f>ROUND((ROUND((ROUND((_15_同援日増１．０*_15・通訳),0)*(1+_15・A夜間)),0)*(1+_15・盲ろう)),0)</f>
        <v>183</v>
      </c>
      <c r="X86" s="48"/>
    </row>
    <row r="87" spans="1:24" ht="16.5" customHeight="1" x14ac:dyDescent="0.15">
      <c r="A87" s="41">
        <v>15</v>
      </c>
      <c r="B87" s="41" t="s">
        <v>30201</v>
      </c>
      <c r="C87" s="74" t="s">
        <v>30202</v>
      </c>
      <c r="D87" s="72"/>
      <c r="E87" s="168">
        <f>_15_同援日増１．０</f>
        <v>130</v>
      </c>
      <c r="F87" s="57" t="s">
        <v>392</v>
      </c>
      <c r="G87" s="35"/>
      <c r="J87" s="299" t="s">
        <v>17556</v>
      </c>
      <c r="K87" s="45" t="s">
        <v>398</v>
      </c>
      <c r="L87" s="46">
        <v>1</v>
      </c>
      <c r="M87" s="512"/>
      <c r="N87" s="57"/>
      <c r="O87" s="269" t="s">
        <v>17564</v>
      </c>
      <c r="P87" s="37" t="s">
        <v>398</v>
      </c>
      <c r="Q87" s="38">
        <v>0.25</v>
      </c>
      <c r="R87" s="79" t="s">
        <v>3575</v>
      </c>
      <c r="S87" s="43"/>
      <c r="T87" s="37"/>
      <c r="U87" s="38"/>
      <c r="V87" s="79"/>
      <c r="W87" s="208">
        <f>ROUND((ROUND((ROUND((ROUND((_15_同援日増１．０*_15・通訳),0)*_15・２人),0)*(1+_15・A夜間)),0)*(1+_15・盲ろう)),0)</f>
        <v>183</v>
      </c>
      <c r="X87" s="48"/>
    </row>
    <row r="88" spans="1:24" ht="16.5" customHeight="1" x14ac:dyDescent="0.15">
      <c r="A88" s="41">
        <v>15</v>
      </c>
      <c r="B88" s="41" t="s">
        <v>4053</v>
      </c>
      <c r="C88" s="74" t="s">
        <v>30203</v>
      </c>
      <c r="D88" s="72"/>
      <c r="F88" s="57"/>
      <c r="G88" s="35"/>
      <c r="J88" s="163"/>
      <c r="K88" s="45"/>
      <c r="L88" s="46"/>
      <c r="M88" s="512"/>
      <c r="N88" s="57"/>
      <c r="O88" s="53"/>
      <c r="P88" s="49"/>
      <c r="Q88" s="50"/>
      <c r="R88" s="115"/>
      <c r="S88" s="114" t="s">
        <v>17570</v>
      </c>
      <c r="T88" s="49"/>
      <c r="U88" s="50"/>
      <c r="V88" s="115"/>
      <c r="W88" s="208">
        <f>ROUND((ROUND((ROUND((_15_同援日増１．０*_15・通訳),0)*(1+_15・A夜間)),0)*(1+_15・区３)),0)</f>
        <v>175</v>
      </c>
      <c r="X88" s="48"/>
    </row>
    <row r="89" spans="1:24" ht="16.5" customHeight="1" x14ac:dyDescent="0.15">
      <c r="A89" s="41">
        <v>15</v>
      </c>
      <c r="B89" s="41" t="s">
        <v>4055</v>
      </c>
      <c r="C89" s="74" t="s">
        <v>30204</v>
      </c>
      <c r="D89" s="72"/>
      <c r="F89" s="57"/>
      <c r="G89" s="35"/>
      <c r="J89" s="299" t="s">
        <v>17556</v>
      </c>
      <c r="K89" s="45" t="s">
        <v>398</v>
      </c>
      <c r="L89" s="46">
        <v>1</v>
      </c>
      <c r="M89" s="512"/>
      <c r="N89" s="57"/>
      <c r="O89" s="43"/>
      <c r="P89" s="37"/>
      <c r="Q89" s="38"/>
      <c r="R89" s="79"/>
      <c r="S89" s="92" t="s">
        <v>17572</v>
      </c>
      <c r="V89" s="57"/>
      <c r="W89" s="208">
        <f>ROUND((ROUND((ROUND((ROUND((_15_同援日増１．０*_15・通訳),0)*_15・２人),0)*(1+_15・A夜間)),0)*(1+_15・区３)),0)</f>
        <v>175</v>
      </c>
      <c r="X89" s="48"/>
    </row>
    <row r="90" spans="1:24" ht="16.5" customHeight="1" x14ac:dyDescent="0.15">
      <c r="A90" s="41">
        <v>15</v>
      </c>
      <c r="B90" s="41" t="s">
        <v>30205</v>
      </c>
      <c r="C90" s="74" t="s">
        <v>30206</v>
      </c>
      <c r="D90" s="72"/>
      <c r="F90" s="57"/>
      <c r="G90" s="35"/>
      <c r="J90" s="163"/>
      <c r="K90" s="45"/>
      <c r="L90" s="46"/>
      <c r="M90" s="512"/>
      <c r="N90" s="57"/>
      <c r="O90" s="114" t="s">
        <v>17562</v>
      </c>
      <c r="P90" s="49"/>
      <c r="Q90" s="50"/>
      <c r="R90" s="115"/>
      <c r="S90" s="35"/>
      <c r="T90" s="12" t="s">
        <v>398</v>
      </c>
      <c r="U90" s="13">
        <v>0.2</v>
      </c>
      <c r="V90" s="57" t="s">
        <v>3575</v>
      </c>
      <c r="W90" s="208">
        <f>ROUND((ROUND((ROUND((ROUND((_15_同援日増１．０*_15・通訳),0)*(1+_15・A夜間)),0)*(1+_15・盲ろう)),0)*(1+_15・区３)),0)</f>
        <v>220</v>
      </c>
      <c r="X90" s="48"/>
    </row>
    <row r="91" spans="1:24" ht="16.5" customHeight="1" x14ac:dyDescent="0.15">
      <c r="A91" s="41">
        <v>15</v>
      </c>
      <c r="B91" s="41" t="s">
        <v>30207</v>
      </c>
      <c r="C91" s="74" t="s">
        <v>30208</v>
      </c>
      <c r="D91" s="72"/>
      <c r="F91" s="57"/>
      <c r="G91" s="35"/>
      <c r="J91" s="299" t="s">
        <v>17556</v>
      </c>
      <c r="K91" s="45" t="s">
        <v>398</v>
      </c>
      <c r="L91" s="46">
        <v>1</v>
      </c>
      <c r="M91" s="512"/>
      <c r="N91" s="57"/>
      <c r="O91" s="269" t="s">
        <v>17564</v>
      </c>
      <c r="P91" s="37" t="s">
        <v>398</v>
      </c>
      <c r="Q91" s="38">
        <v>0.25</v>
      </c>
      <c r="R91" s="79" t="s">
        <v>3575</v>
      </c>
      <c r="S91" s="43"/>
      <c r="T91" s="37"/>
      <c r="U91" s="38"/>
      <c r="V91" s="79"/>
      <c r="W91" s="208">
        <f>ROUND((ROUND((ROUND((ROUND((ROUND((_15_同援日増１．０*_15・通訳),0)*_15・２人),0)*(1+_15・A夜間)),0)*(1+_15・盲ろう)),0)*(1+_15・区３)),0)</f>
        <v>220</v>
      </c>
      <c r="X91" s="48"/>
    </row>
    <row r="92" spans="1:24" ht="16.5" customHeight="1" x14ac:dyDescent="0.15">
      <c r="A92" s="41">
        <v>15</v>
      </c>
      <c r="B92" s="41" t="s">
        <v>30209</v>
      </c>
      <c r="C92" s="74" t="s">
        <v>30210</v>
      </c>
      <c r="D92" s="72"/>
      <c r="F92" s="57"/>
      <c r="G92" s="35"/>
      <c r="J92" s="163"/>
      <c r="K92" s="45"/>
      <c r="L92" s="46"/>
      <c r="M92" s="512"/>
      <c r="N92" s="57"/>
      <c r="O92" s="53"/>
      <c r="P92" s="49"/>
      <c r="Q92" s="50"/>
      <c r="R92" s="115"/>
      <c r="S92" s="114" t="s">
        <v>17580</v>
      </c>
      <c r="T92" s="49"/>
      <c r="U92" s="50"/>
      <c r="V92" s="115"/>
      <c r="W92" s="208">
        <f>ROUND((ROUND((ROUND((_15_同援日増１．０*_15・通訳),0)*(1+_15・A夜間)),0)*(1+_15・区４)),0)</f>
        <v>204</v>
      </c>
      <c r="X92" s="48"/>
    </row>
    <row r="93" spans="1:24" ht="16.5" customHeight="1" x14ac:dyDescent="0.15">
      <c r="A93" s="41">
        <v>15</v>
      </c>
      <c r="B93" s="41" t="s">
        <v>30211</v>
      </c>
      <c r="C93" s="74" t="s">
        <v>30212</v>
      </c>
      <c r="D93" s="72"/>
      <c r="F93" s="57"/>
      <c r="G93" s="35"/>
      <c r="J93" s="299" t="s">
        <v>17556</v>
      </c>
      <c r="K93" s="45" t="s">
        <v>398</v>
      </c>
      <c r="L93" s="46">
        <v>1</v>
      </c>
      <c r="M93" s="512"/>
      <c r="N93" s="57"/>
      <c r="O93" s="43"/>
      <c r="P93" s="37"/>
      <c r="Q93" s="38"/>
      <c r="R93" s="79"/>
      <c r="S93" s="92" t="s">
        <v>17572</v>
      </c>
      <c r="V93" s="57"/>
      <c r="W93" s="208">
        <f>ROUND((ROUND((ROUND((ROUND((_15_同援日増１．０*_15・通訳),0)*_15・２人),0)*(1+_15・A夜間)),0)*(1+_15・区４)),0)</f>
        <v>204</v>
      </c>
      <c r="X93" s="48"/>
    </row>
    <row r="94" spans="1:24" ht="16.5" customHeight="1" x14ac:dyDescent="0.15">
      <c r="A94" s="41">
        <v>15</v>
      </c>
      <c r="B94" s="41" t="s">
        <v>30213</v>
      </c>
      <c r="C94" s="74" t="s">
        <v>30214</v>
      </c>
      <c r="D94" s="72"/>
      <c r="F94" s="57"/>
      <c r="G94" s="35"/>
      <c r="J94" s="163"/>
      <c r="K94" s="45"/>
      <c r="L94" s="46"/>
      <c r="M94" s="512"/>
      <c r="N94" s="57"/>
      <c r="O94" s="114" t="s">
        <v>17562</v>
      </c>
      <c r="P94" s="49"/>
      <c r="Q94" s="50"/>
      <c r="R94" s="115"/>
      <c r="S94" s="35"/>
      <c r="T94" s="12" t="s">
        <v>398</v>
      </c>
      <c r="U94" s="13">
        <v>0.4</v>
      </c>
      <c r="V94" s="57" t="s">
        <v>3575</v>
      </c>
      <c r="W94" s="208">
        <f>ROUND((ROUND((ROUND((ROUND((_15_同援日増１．０*_15・通訳),0)*(1+_15・A夜間)),0)*(1+_15・盲ろう)),0)*(1+_15・区４)),0)</f>
        <v>256</v>
      </c>
      <c r="X94" s="48"/>
    </row>
    <row r="95" spans="1:24" ht="16.5" customHeight="1" x14ac:dyDescent="0.15">
      <c r="A95" s="41">
        <v>15</v>
      </c>
      <c r="B95" s="41" t="s">
        <v>30215</v>
      </c>
      <c r="C95" s="74" t="s">
        <v>30216</v>
      </c>
      <c r="D95" s="122"/>
      <c r="E95" s="37"/>
      <c r="F95" s="79"/>
      <c r="G95" s="35"/>
      <c r="J95" s="299" t="s">
        <v>17556</v>
      </c>
      <c r="K95" s="45" t="s">
        <v>398</v>
      </c>
      <c r="L95" s="46">
        <v>1</v>
      </c>
      <c r="M95" s="512"/>
      <c r="N95" s="57"/>
      <c r="O95" s="269" t="s">
        <v>17564</v>
      </c>
      <c r="P95" s="37" t="s">
        <v>398</v>
      </c>
      <c r="Q95" s="38">
        <v>0.25</v>
      </c>
      <c r="R95" s="79" t="s">
        <v>3575</v>
      </c>
      <c r="S95" s="43"/>
      <c r="T95" s="37"/>
      <c r="U95" s="38"/>
      <c r="V95" s="79"/>
      <c r="W95" s="208">
        <f>ROUND((ROUND((ROUND((ROUND((ROUND((_15_同援日増１．０*_15・通訳),0)*_15・２人),0)*(1+_15・A夜間)),0)*(1+_15・盲ろう)),0)*(1+_15・区４)),0)</f>
        <v>256</v>
      </c>
      <c r="X95" s="48"/>
    </row>
    <row r="96" spans="1:24" ht="16.5" customHeight="1" x14ac:dyDescent="0.15">
      <c r="A96" s="41">
        <v>15</v>
      </c>
      <c r="B96" s="41" t="s">
        <v>30217</v>
      </c>
      <c r="C96" s="74" t="s">
        <v>30218</v>
      </c>
      <c r="D96" s="114" t="s">
        <v>24836</v>
      </c>
      <c r="E96" s="49"/>
      <c r="F96" s="115"/>
      <c r="G96" s="35"/>
      <c r="J96" s="163"/>
      <c r="K96" s="45"/>
      <c r="L96" s="46"/>
      <c r="M96" s="512"/>
      <c r="N96" s="57"/>
      <c r="O96" s="53"/>
      <c r="P96" s="49"/>
      <c r="Q96" s="50"/>
      <c r="R96" s="115"/>
      <c r="S96" s="53"/>
      <c r="T96" s="49"/>
      <c r="U96" s="50"/>
      <c r="V96" s="115"/>
      <c r="W96" s="208">
        <f>ROUND((ROUND((_15_同援日増１．５*_15・通訳),0)*(1+_15・A夜間)),0)</f>
        <v>220</v>
      </c>
      <c r="X96" s="48"/>
    </row>
    <row r="97" spans="1:24" ht="16.5" customHeight="1" x14ac:dyDescent="0.15">
      <c r="A97" s="41">
        <v>15</v>
      </c>
      <c r="B97" s="41" t="s">
        <v>30219</v>
      </c>
      <c r="C97" s="74" t="s">
        <v>30220</v>
      </c>
      <c r="D97" s="72" t="s">
        <v>17616</v>
      </c>
      <c r="F97" s="57"/>
      <c r="G97" s="35"/>
      <c r="J97" s="299" t="s">
        <v>17556</v>
      </c>
      <c r="K97" s="45" t="s">
        <v>398</v>
      </c>
      <c r="L97" s="46">
        <v>1</v>
      </c>
      <c r="M97" s="512"/>
      <c r="N97" s="57"/>
      <c r="O97" s="43"/>
      <c r="P97" s="37"/>
      <c r="Q97" s="38"/>
      <c r="R97" s="79"/>
      <c r="S97" s="35"/>
      <c r="V97" s="57"/>
      <c r="W97" s="208">
        <f>ROUND((ROUND((ROUND((_15_同援日増１．５*_15・通訳),0)*_15・２人),0)*(1+_15・A夜間)),0)</f>
        <v>220</v>
      </c>
      <c r="X97" s="48"/>
    </row>
    <row r="98" spans="1:24" ht="16.5" customHeight="1" x14ac:dyDescent="0.15">
      <c r="A98" s="41">
        <v>15</v>
      </c>
      <c r="B98" s="41" t="s">
        <v>4059</v>
      </c>
      <c r="C98" s="74" t="s">
        <v>30221</v>
      </c>
      <c r="D98" s="72" t="s">
        <v>18183</v>
      </c>
      <c r="F98" s="57"/>
      <c r="G98" s="35"/>
      <c r="J98" s="163"/>
      <c r="K98" s="45"/>
      <c r="L98" s="46"/>
      <c r="M98" s="512"/>
      <c r="N98" s="57"/>
      <c r="O98" s="114" t="s">
        <v>17562</v>
      </c>
      <c r="P98" s="49"/>
      <c r="Q98" s="50"/>
      <c r="R98" s="115"/>
      <c r="S98" s="35"/>
      <c r="V98" s="57"/>
      <c r="W98" s="208">
        <f>ROUND((ROUND((ROUND((_15_同援日増１．５*_15・通訳),0)*(1+_15・A夜間)),0)*(1+_15・盲ろう)),0)</f>
        <v>275</v>
      </c>
      <c r="X98" s="48"/>
    </row>
    <row r="99" spans="1:24" ht="16.5" customHeight="1" x14ac:dyDescent="0.15">
      <c r="A99" s="41">
        <v>15</v>
      </c>
      <c r="B99" s="41" t="s">
        <v>4061</v>
      </c>
      <c r="C99" s="74" t="s">
        <v>30222</v>
      </c>
      <c r="D99" s="72"/>
      <c r="E99" s="168">
        <f>_15_同援日増１．５</f>
        <v>195</v>
      </c>
      <c r="F99" s="57" t="s">
        <v>392</v>
      </c>
      <c r="G99" s="35"/>
      <c r="J99" s="299" t="s">
        <v>17556</v>
      </c>
      <c r="K99" s="45" t="s">
        <v>398</v>
      </c>
      <c r="L99" s="46">
        <v>1</v>
      </c>
      <c r="M99" s="512"/>
      <c r="N99" s="57"/>
      <c r="O99" s="269" t="s">
        <v>17564</v>
      </c>
      <c r="P99" s="37" t="s">
        <v>398</v>
      </c>
      <c r="Q99" s="38">
        <v>0.25</v>
      </c>
      <c r="R99" s="79" t="s">
        <v>3575</v>
      </c>
      <c r="S99" s="43"/>
      <c r="T99" s="37"/>
      <c r="U99" s="38"/>
      <c r="V99" s="79"/>
      <c r="W99" s="208">
        <f>ROUND((ROUND((ROUND((ROUND((_15_同援日増１．５*_15・通訳),0)*_15・２人),0)*(1+_15・A夜間)),0)*(1+_15・盲ろう)),0)</f>
        <v>275</v>
      </c>
      <c r="X99" s="48"/>
    </row>
    <row r="100" spans="1:24" ht="16.5" customHeight="1" x14ac:dyDescent="0.15">
      <c r="A100" s="41">
        <v>15</v>
      </c>
      <c r="B100" s="41" t="s">
        <v>30223</v>
      </c>
      <c r="C100" s="74" t="s">
        <v>30224</v>
      </c>
      <c r="D100" s="72"/>
      <c r="F100" s="57"/>
      <c r="G100" s="35"/>
      <c r="J100" s="163"/>
      <c r="K100" s="45"/>
      <c r="L100" s="46"/>
      <c r="M100" s="512"/>
      <c r="N100" s="57"/>
      <c r="O100" s="53"/>
      <c r="P100" s="49"/>
      <c r="Q100" s="50"/>
      <c r="R100" s="115"/>
      <c r="S100" s="114" t="s">
        <v>17570</v>
      </c>
      <c r="T100" s="49"/>
      <c r="U100" s="50"/>
      <c r="V100" s="115"/>
      <c r="W100" s="208">
        <f>ROUND((ROUND((ROUND((_15_同援日増１．５*_15・通訳),0)*(1+_15・A夜間)),0)*(1+_15・区３)),0)</f>
        <v>264</v>
      </c>
      <c r="X100" s="48"/>
    </row>
    <row r="101" spans="1:24" ht="16.5" customHeight="1" x14ac:dyDescent="0.15">
      <c r="A101" s="41">
        <v>15</v>
      </c>
      <c r="B101" s="41" t="s">
        <v>30225</v>
      </c>
      <c r="C101" s="74" t="s">
        <v>30226</v>
      </c>
      <c r="D101" s="72"/>
      <c r="F101" s="57"/>
      <c r="G101" s="35"/>
      <c r="J101" s="299" t="s">
        <v>17556</v>
      </c>
      <c r="K101" s="45" t="s">
        <v>398</v>
      </c>
      <c r="L101" s="46">
        <v>1</v>
      </c>
      <c r="M101" s="512"/>
      <c r="N101" s="57"/>
      <c r="O101" s="43"/>
      <c r="P101" s="37"/>
      <c r="Q101" s="38"/>
      <c r="R101" s="79"/>
      <c r="S101" s="92" t="s">
        <v>17572</v>
      </c>
      <c r="V101" s="57"/>
      <c r="W101" s="208">
        <f>ROUND((ROUND((ROUND((ROUND((_15_同援日増１．５*_15・通訳),0)*_15・２人),0)*(1+_15・A夜間)),0)*(1+_15・区３)),0)</f>
        <v>264</v>
      </c>
      <c r="X101" s="48"/>
    </row>
    <row r="102" spans="1:24" ht="16.5" customHeight="1" x14ac:dyDescent="0.15">
      <c r="A102" s="41">
        <v>15</v>
      </c>
      <c r="B102" s="41" t="s">
        <v>30227</v>
      </c>
      <c r="C102" s="74" t="s">
        <v>30228</v>
      </c>
      <c r="D102" s="72"/>
      <c r="F102" s="57"/>
      <c r="G102" s="35"/>
      <c r="J102" s="163"/>
      <c r="K102" s="45"/>
      <c r="L102" s="46"/>
      <c r="M102" s="512"/>
      <c r="N102" s="57"/>
      <c r="O102" s="114" t="s">
        <v>17562</v>
      </c>
      <c r="P102" s="49"/>
      <c r="Q102" s="50"/>
      <c r="R102" s="115"/>
      <c r="S102" s="35"/>
      <c r="T102" s="12" t="s">
        <v>398</v>
      </c>
      <c r="U102" s="13">
        <v>0.2</v>
      </c>
      <c r="V102" s="57" t="s">
        <v>3575</v>
      </c>
      <c r="W102" s="208">
        <f>ROUND((ROUND((ROUND((ROUND((_15_同援日増１．５*_15・通訳),0)*(1+_15・A夜間)),0)*(1+_15・盲ろう)),0)*(1+_15・区３)),0)</f>
        <v>330</v>
      </c>
      <c r="X102" s="48"/>
    </row>
    <row r="103" spans="1:24" ht="16.5" customHeight="1" x14ac:dyDescent="0.15">
      <c r="A103" s="41">
        <v>15</v>
      </c>
      <c r="B103" s="41" t="s">
        <v>30229</v>
      </c>
      <c r="C103" s="74" t="s">
        <v>30230</v>
      </c>
      <c r="D103" s="72"/>
      <c r="F103" s="57"/>
      <c r="G103" s="35"/>
      <c r="J103" s="299" t="s">
        <v>17556</v>
      </c>
      <c r="K103" s="45" t="s">
        <v>398</v>
      </c>
      <c r="L103" s="46">
        <v>1</v>
      </c>
      <c r="M103" s="512"/>
      <c r="N103" s="57"/>
      <c r="O103" s="269" t="s">
        <v>17564</v>
      </c>
      <c r="P103" s="37" t="s">
        <v>398</v>
      </c>
      <c r="Q103" s="38">
        <v>0.25</v>
      </c>
      <c r="R103" s="79" t="s">
        <v>3575</v>
      </c>
      <c r="S103" s="43"/>
      <c r="T103" s="37"/>
      <c r="U103" s="38"/>
      <c r="V103" s="79"/>
      <c r="W103" s="208">
        <f>ROUND((ROUND((ROUND((ROUND((ROUND((_15_同援日増１．５*_15・通訳),0)*_15・２人),0)*(1+_15・A夜間)),0)*(1+_15・盲ろう)),0)*(1+_15・区３)),0)</f>
        <v>330</v>
      </c>
      <c r="X103" s="48"/>
    </row>
    <row r="104" spans="1:24" ht="16.5" customHeight="1" x14ac:dyDescent="0.15">
      <c r="A104" s="41">
        <v>15</v>
      </c>
      <c r="B104" s="41" t="s">
        <v>30231</v>
      </c>
      <c r="C104" s="74" t="s">
        <v>30232</v>
      </c>
      <c r="D104" s="72"/>
      <c r="F104" s="57"/>
      <c r="G104" s="35"/>
      <c r="J104" s="163"/>
      <c r="K104" s="45"/>
      <c r="L104" s="46"/>
      <c r="M104" s="512"/>
      <c r="N104" s="57"/>
      <c r="O104" s="53"/>
      <c r="P104" s="49"/>
      <c r="Q104" s="50"/>
      <c r="R104" s="115"/>
      <c r="S104" s="114" t="s">
        <v>17580</v>
      </c>
      <c r="T104" s="49"/>
      <c r="U104" s="50"/>
      <c r="V104" s="115"/>
      <c r="W104" s="208">
        <f>ROUND((ROUND((ROUND((_15_同援日増１．５*_15・通訳),0)*(1+_15・A夜間)),0)*(1+_15・区４)),0)</f>
        <v>308</v>
      </c>
      <c r="X104" s="48"/>
    </row>
    <row r="105" spans="1:24" ht="16.5" customHeight="1" x14ac:dyDescent="0.15">
      <c r="A105" s="41">
        <v>15</v>
      </c>
      <c r="B105" s="41" t="s">
        <v>30233</v>
      </c>
      <c r="C105" s="74" t="s">
        <v>30234</v>
      </c>
      <c r="D105" s="72"/>
      <c r="F105" s="57"/>
      <c r="G105" s="35"/>
      <c r="J105" s="299" t="s">
        <v>17556</v>
      </c>
      <c r="K105" s="45" t="s">
        <v>398</v>
      </c>
      <c r="L105" s="46">
        <v>1</v>
      </c>
      <c r="M105" s="512"/>
      <c r="N105" s="57"/>
      <c r="O105" s="43"/>
      <c r="P105" s="37"/>
      <c r="Q105" s="38"/>
      <c r="R105" s="79"/>
      <c r="S105" s="92" t="s">
        <v>17572</v>
      </c>
      <c r="V105" s="57"/>
      <c r="W105" s="208">
        <f>ROUND((ROUND((ROUND((ROUND((_15_同援日増１．５*_15・通訳),0)*_15・２人),0)*(1+_15・A夜間)),0)*(1+_15・区４)),0)</f>
        <v>308</v>
      </c>
      <c r="X105" s="48"/>
    </row>
    <row r="106" spans="1:24" ht="16.5" customHeight="1" x14ac:dyDescent="0.15">
      <c r="A106" s="41">
        <v>15</v>
      </c>
      <c r="B106" s="41" t="s">
        <v>30235</v>
      </c>
      <c r="C106" s="74" t="s">
        <v>30236</v>
      </c>
      <c r="D106" s="72"/>
      <c r="F106" s="57"/>
      <c r="G106" s="35"/>
      <c r="J106" s="163"/>
      <c r="K106" s="45"/>
      <c r="L106" s="46"/>
      <c r="M106" s="512"/>
      <c r="N106" s="57"/>
      <c r="O106" s="114" t="s">
        <v>17562</v>
      </c>
      <c r="P106" s="49"/>
      <c r="Q106" s="50"/>
      <c r="R106" s="115"/>
      <c r="S106" s="35"/>
      <c r="T106" s="12" t="s">
        <v>398</v>
      </c>
      <c r="U106" s="13">
        <v>0.4</v>
      </c>
      <c r="V106" s="57" t="s">
        <v>3575</v>
      </c>
      <c r="W106" s="208">
        <f>ROUND((ROUND((ROUND((ROUND((_15_同援日増１．５*_15・通訳),0)*(1+_15・A夜間)),0)*(1+_15・盲ろう)),0)*(1+_15・区４)),0)</f>
        <v>385</v>
      </c>
      <c r="X106" s="48"/>
    </row>
    <row r="107" spans="1:24" ht="16.5" customHeight="1" x14ac:dyDescent="0.15">
      <c r="A107" s="41">
        <v>15</v>
      </c>
      <c r="B107" s="41" t="s">
        <v>30237</v>
      </c>
      <c r="C107" s="74" t="s">
        <v>30238</v>
      </c>
      <c r="D107" s="122"/>
      <c r="E107" s="37"/>
      <c r="F107" s="79"/>
      <c r="G107" s="43"/>
      <c r="H107" s="37"/>
      <c r="I107" s="38"/>
      <c r="J107" s="299" t="s">
        <v>17556</v>
      </c>
      <c r="K107" s="45" t="s">
        <v>398</v>
      </c>
      <c r="L107" s="46">
        <v>1</v>
      </c>
      <c r="M107" s="514"/>
      <c r="N107" s="79"/>
      <c r="O107" s="269" t="s">
        <v>17564</v>
      </c>
      <c r="P107" s="37" t="s">
        <v>398</v>
      </c>
      <c r="Q107" s="38">
        <v>0.25</v>
      </c>
      <c r="R107" s="79" t="s">
        <v>3575</v>
      </c>
      <c r="S107" s="43"/>
      <c r="T107" s="37"/>
      <c r="U107" s="38"/>
      <c r="V107" s="79"/>
      <c r="W107" s="208">
        <f>ROUND((ROUND((ROUND((ROUND((ROUND((_15_同援日増１．５*_15・通訳),0)*_15・２人),0)*(1+_15・A夜間)),0)*(1+_15・盲ろう)),0)*(1+_15・区４)),0)</f>
        <v>385</v>
      </c>
      <c r="X107" s="63"/>
    </row>
    <row r="108" spans="1:24" ht="16.5" customHeight="1" x14ac:dyDescent="0.15">
      <c r="A108" s="41">
        <v>15</v>
      </c>
      <c r="B108" s="41" t="s">
        <v>4065</v>
      </c>
      <c r="C108" s="74" t="s">
        <v>30239</v>
      </c>
      <c r="D108" s="114" t="s">
        <v>24881</v>
      </c>
      <c r="E108" s="49"/>
      <c r="F108" s="115"/>
      <c r="G108" s="53"/>
      <c r="H108" s="49"/>
      <c r="I108" s="50"/>
      <c r="J108" s="163"/>
      <c r="K108" s="45"/>
      <c r="L108" s="46"/>
      <c r="M108" s="515"/>
      <c r="N108" s="115"/>
      <c r="O108" s="53"/>
      <c r="P108" s="49"/>
      <c r="Q108" s="50"/>
      <c r="R108" s="115"/>
      <c r="S108" s="53"/>
      <c r="T108" s="49"/>
      <c r="U108" s="50"/>
      <c r="V108" s="115"/>
      <c r="W108" s="208">
        <f>ROUND((ROUND((_15_同援日増２．０*_15・通訳),0)*(1+_15・A夜間)),0)</f>
        <v>293</v>
      </c>
      <c r="X108" s="64"/>
    </row>
    <row r="109" spans="1:24" ht="16.5" customHeight="1" x14ac:dyDescent="0.15">
      <c r="A109" s="41">
        <v>15</v>
      </c>
      <c r="B109" s="41" t="s">
        <v>4067</v>
      </c>
      <c r="C109" s="74" t="s">
        <v>30240</v>
      </c>
      <c r="D109" s="72" t="s">
        <v>17643</v>
      </c>
      <c r="F109" s="57"/>
      <c r="G109" s="35"/>
      <c r="J109" s="299" t="s">
        <v>17556</v>
      </c>
      <c r="K109" s="45" t="s">
        <v>398</v>
      </c>
      <c r="L109" s="46">
        <v>1</v>
      </c>
      <c r="M109" s="512"/>
      <c r="N109" s="57"/>
      <c r="O109" s="43"/>
      <c r="P109" s="37"/>
      <c r="Q109" s="38"/>
      <c r="R109" s="79"/>
      <c r="S109" s="35"/>
      <c r="V109" s="57"/>
      <c r="W109" s="208">
        <f>ROUND((ROUND((ROUND((_15_同援日増２．０*_15・通訳),0)*_15・２人),0)*(1+_15・A夜間)),0)</f>
        <v>293</v>
      </c>
      <c r="X109" s="48"/>
    </row>
    <row r="110" spans="1:24" ht="16.5" customHeight="1" x14ac:dyDescent="0.15">
      <c r="A110" s="41">
        <v>15</v>
      </c>
      <c r="B110" s="41" t="s">
        <v>30241</v>
      </c>
      <c r="C110" s="74" t="s">
        <v>30242</v>
      </c>
      <c r="D110" s="72" t="s">
        <v>17645</v>
      </c>
      <c r="F110" s="57"/>
      <c r="G110" s="35"/>
      <c r="J110" s="163"/>
      <c r="K110" s="45"/>
      <c r="L110" s="46"/>
      <c r="M110" s="512"/>
      <c r="N110" s="57"/>
      <c r="O110" s="114" t="s">
        <v>17562</v>
      </c>
      <c r="P110" s="49"/>
      <c r="Q110" s="50"/>
      <c r="R110" s="115"/>
      <c r="S110" s="35"/>
      <c r="V110" s="57"/>
      <c r="W110" s="208">
        <f>ROUND((ROUND((ROUND((_15_同援日増２．０*_15・通訳),0)*(1+_15・A夜間)),0)*(1+_15・盲ろう)),0)</f>
        <v>366</v>
      </c>
      <c r="X110" s="48"/>
    </row>
    <row r="111" spans="1:24" ht="16.5" customHeight="1" x14ac:dyDescent="0.15">
      <c r="A111" s="41">
        <v>15</v>
      </c>
      <c r="B111" s="41" t="s">
        <v>30243</v>
      </c>
      <c r="C111" s="74" t="s">
        <v>30244</v>
      </c>
      <c r="D111" s="72"/>
      <c r="E111" s="168">
        <f>_15_同援日増２．０</f>
        <v>260</v>
      </c>
      <c r="F111" s="57" t="s">
        <v>392</v>
      </c>
      <c r="G111" s="35"/>
      <c r="J111" s="299" t="s">
        <v>17556</v>
      </c>
      <c r="K111" s="45" t="s">
        <v>398</v>
      </c>
      <c r="L111" s="46">
        <v>1</v>
      </c>
      <c r="M111" s="512"/>
      <c r="N111" s="57"/>
      <c r="O111" s="269" t="s">
        <v>17564</v>
      </c>
      <c r="P111" s="37" t="s">
        <v>398</v>
      </c>
      <c r="Q111" s="38">
        <v>0.25</v>
      </c>
      <c r="R111" s="79" t="s">
        <v>3575</v>
      </c>
      <c r="S111" s="43"/>
      <c r="T111" s="37"/>
      <c r="U111" s="38"/>
      <c r="V111" s="79"/>
      <c r="W111" s="208">
        <f>ROUND((ROUND((ROUND((ROUND((_15_同援日増２．０*_15・通訳),0)*_15・２人),0)*(1+_15・A夜間)),0)*(1+_15・盲ろう)),0)</f>
        <v>366</v>
      </c>
      <c r="X111" s="48"/>
    </row>
    <row r="112" spans="1:24" ht="16.5" customHeight="1" x14ac:dyDescent="0.15">
      <c r="A112" s="41">
        <v>15</v>
      </c>
      <c r="B112" s="41" t="s">
        <v>30245</v>
      </c>
      <c r="C112" s="74" t="s">
        <v>30246</v>
      </c>
      <c r="D112" s="72"/>
      <c r="F112" s="57"/>
      <c r="G112" s="35"/>
      <c r="J112" s="163"/>
      <c r="K112" s="45"/>
      <c r="L112" s="46"/>
      <c r="M112" s="512"/>
      <c r="N112" s="57"/>
      <c r="O112" s="53"/>
      <c r="P112" s="49"/>
      <c r="Q112" s="50"/>
      <c r="R112" s="115"/>
      <c r="S112" s="114" t="s">
        <v>17570</v>
      </c>
      <c r="T112" s="49"/>
      <c r="U112" s="50"/>
      <c r="V112" s="115"/>
      <c r="W112" s="208">
        <f>ROUND((ROUND((ROUND((_15_同援日増２．０*_15・通訳),0)*(1+_15・A夜間)),0)*(1+_15・区３)),0)</f>
        <v>352</v>
      </c>
      <c r="X112" s="48"/>
    </row>
    <row r="113" spans="1:24" ht="16.5" customHeight="1" x14ac:dyDescent="0.15">
      <c r="A113" s="41">
        <v>15</v>
      </c>
      <c r="B113" s="41" t="s">
        <v>30247</v>
      </c>
      <c r="C113" s="74" t="s">
        <v>30248</v>
      </c>
      <c r="D113" s="72"/>
      <c r="F113" s="57"/>
      <c r="G113" s="35"/>
      <c r="J113" s="299" t="s">
        <v>17556</v>
      </c>
      <c r="K113" s="45" t="s">
        <v>398</v>
      </c>
      <c r="L113" s="46">
        <v>1</v>
      </c>
      <c r="M113" s="512"/>
      <c r="N113" s="57"/>
      <c r="O113" s="43"/>
      <c r="P113" s="37"/>
      <c r="Q113" s="38"/>
      <c r="R113" s="79"/>
      <c r="S113" s="92" t="s">
        <v>17572</v>
      </c>
      <c r="V113" s="57"/>
      <c r="W113" s="208">
        <f>ROUND((ROUND((ROUND((ROUND((_15_同援日増２．０*_15・通訳),0)*_15・２人),0)*(1+_15・A夜間)),0)*(1+_15・区３)),0)</f>
        <v>352</v>
      </c>
      <c r="X113" s="48"/>
    </row>
    <row r="114" spans="1:24" ht="16.5" customHeight="1" x14ac:dyDescent="0.15">
      <c r="A114" s="41">
        <v>15</v>
      </c>
      <c r="B114" s="41" t="s">
        <v>30249</v>
      </c>
      <c r="C114" s="74" t="s">
        <v>30250</v>
      </c>
      <c r="D114" s="72"/>
      <c r="F114" s="57"/>
      <c r="G114" s="35"/>
      <c r="J114" s="163"/>
      <c r="K114" s="45"/>
      <c r="L114" s="46"/>
      <c r="M114" s="512"/>
      <c r="N114" s="57"/>
      <c r="O114" s="114" t="s">
        <v>17562</v>
      </c>
      <c r="P114" s="49"/>
      <c r="Q114" s="50"/>
      <c r="R114" s="115"/>
      <c r="S114" s="35"/>
      <c r="T114" s="12" t="s">
        <v>398</v>
      </c>
      <c r="U114" s="13">
        <v>0.2</v>
      </c>
      <c r="V114" s="57" t="s">
        <v>3575</v>
      </c>
      <c r="W114" s="208">
        <f>ROUND((ROUND((ROUND((ROUND((_15_同援日増２．０*_15・通訳),0)*(1+_15・A夜間)),0)*(1+_15・盲ろう)),0)*(1+_15・区３)),0)</f>
        <v>439</v>
      </c>
      <c r="X114" s="48"/>
    </row>
    <row r="115" spans="1:24" ht="16.5" customHeight="1" x14ac:dyDescent="0.15">
      <c r="A115" s="41">
        <v>15</v>
      </c>
      <c r="B115" s="41" t="s">
        <v>30251</v>
      </c>
      <c r="C115" s="74" t="s">
        <v>30252</v>
      </c>
      <c r="D115" s="72"/>
      <c r="F115" s="57"/>
      <c r="G115" s="35"/>
      <c r="J115" s="299" t="s">
        <v>17556</v>
      </c>
      <c r="K115" s="45" t="s">
        <v>398</v>
      </c>
      <c r="L115" s="46">
        <v>1</v>
      </c>
      <c r="M115" s="512"/>
      <c r="N115" s="57"/>
      <c r="O115" s="269" t="s">
        <v>17564</v>
      </c>
      <c r="P115" s="37" t="s">
        <v>398</v>
      </c>
      <c r="Q115" s="38">
        <v>0.25</v>
      </c>
      <c r="R115" s="79" t="s">
        <v>3575</v>
      </c>
      <c r="S115" s="43"/>
      <c r="T115" s="37"/>
      <c r="U115" s="38"/>
      <c r="V115" s="79"/>
      <c r="W115" s="208">
        <f>ROUND((ROUND((ROUND((ROUND((ROUND((_15_同援日増２．０*_15・通訳),0)*_15・２人),0)*(1+_15・A夜間)),0)*(1+_15・盲ろう)),0)*(1+_15・区３)),0)</f>
        <v>439</v>
      </c>
      <c r="X115" s="48"/>
    </row>
    <row r="116" spans="1:24" ht="16.5" customHeight="1" x14ac:dyDescent="0.15">
      <c r="A116" s="41">
        <v>15</v>
      </c>
      <c r="B116" s="41" t="s">
        <v>30253</v>
      </c>
      <c r="C116" s="74" t="s">
        <v>30254</v>
      </c>
      <c r="D116" s="72"/>
      <c r="F116" s="57"/>
      <c r="G116" s="35"/>
      <c r="J116" s="163"/>
      <c r="K116" s="45"/>
      <c r="L116" s="46"/>
      <c r="M116" s="512"/>
      <c r="N116" s="57"/>
      <c r="O116" s="53"/>
      <c r="P116" s="49"/>
      <c r="Q116" s="50"/>
      <c r="R116" s="115"/>
      <c r="S116" s="114" t="s">
        <v>17580</v>
      </c>
      <c r="T116" s="49"/>
      <c r="U116" s="50"/>
      <c r="V116" s="115"/>
      <c r="W116" s="208">
        <f>ROUND((ROUND((ROUND((_15_同援日増２．０*_15・通訳),0)*(1+_15・A夜間)),0)*(1+_15・区４)),0)</f>
        <v>410</v>
      </c>
      <c r="X116" s="48"/>
    </row>
    <row r="117" spans="1:24" ht="16.5" customHeight="1" x14ac:dyDescent="0.15">
      <c r="A117" s="41">
        <v>15</v>
      </c>
      <c r="B117" s="41" t="s">
        <v>30255</v>
      </c>
      <c r="C117" s="74" t="s">
        <v>30256</v>
      </c>
      <c r="D117" s="72"/>
      <c r="F117" s="57"/>
      <c r="G117" s="35"/>
      <c r="J117" s="299" t="s">
        <v>17556</v>
      </c>
      <c r="K117" s="45" t="s">
        <v>398</v>
      </c>
      <c r="L117" s="46">
        <v>1</v>
      </c>
      <c r="M117" s="512"/>
      <c r="N117" s="57"/>
      <c r="O117" s="43"/>
      <c r="P117" s="37"/>
      <c r="Q117" s="38"/>
      <c r="R117" s="79"/>
      <c r="S117" s="92" t="s">
        <v>17572</v>
      </c>
      <c r="V117" s="57"/>
      <c r="W117" s="208">
        <f>ROUND((ROUND((ROUND((ROUND((_15_同援日増２．０*_15・通訳),0)*_15・２人),0)*(1+_15・A夜間)),0)*(1+_15・区４)),0)</f>
        <v>410</v>
      </c>
      <c r="X117" s="48"/>
    </row>
    <row r="118" spans="1:24" ht="16.5" customHeight="1" x14ac:dyDescent="0.15">
      <c r="A118" s="41">
        <v>15</v>
      </c>
      <c r="B118" s="41" t="s">
        <v>4071</v>
      </c>
      <c r="C118" s="74" t="s">
        <v>30257</v>
      </c>
      <c r="D118" s="72"/>
      <c r="F118" s="57"/>
      <c r="G118" s="35"/>
      <c r="J118" s="163"/>
      <c r="K118" s="45"/>
      <c r="L118" s="46"/>
      <c r="M118" s="512"/>
      <c r="N118" s="57"/>
      <c r="O118" s="114" t="s">
        <v>17562</v>
      </c>
      <c r="P118" s="49"/>
      <c r="Q118" s="50"/>
      <c r="R118" s="115"/>
      <c r="S118" s="35"/>
      <c r="T118" s="12" t="s">
        <v>398</v>
      </c>
      <c r="U118" s="13">
        <v>0.4</v>
      </c>
      <c r="V118" s="57" t="s">
        <v>3575</v>
      </c>
      <c r="W118" s="208">
        <f>ROUND((ROUND((ROUND((ROUND((_15_同援日増２．０*_15・通訳),0)*(1+_15・A夜間)),0)*(1+_15・盲ろう)),0)*(1+_15・区４)),0)</f>
        <v>512</v>
      </c>
      <c r="X118" s="48"/>
    </row>
    <row r="119" spans="1:24" ht="16.5" customHeight="1" x14ac:dyDescent="0.15">
      <c r="A119" s="41">
        <v>15</v>
      </c>
      <c r="B119" s="41" t="s">
        <v>4073</v>
      </c>
      <c r="C119" s="74" t="s">
        <v>30258</v>
      </c>
      <c r="D119" s="122"/>
      <c r="E119" s="37"/>
      <c r="F119" s="79"/>
      <c r="G119" s="35"/>
      <c r="J119" s="299" t="s">
        <v>17556</v>
      </c>
      <c r="K119" s="45" t="s">
        <v>398</v>
      </c>
      <c r="L119" s="46">
        <v>1</v>
      </c>
      <c r="M119" s="512"/>
      <c r="N119" s="57"/>
      <c r="O119" s="269" t="s">
        <v>17564</v>
      </c>
      <c r="P119" s="37" t="s">
        <v>398</v>
      </c>
      <c r="Q119" s="38">
        <v>0.25</v>
      </c>
      <c r="R119" s="79" t="s">
        <v>3575</v>
      </c>
      <c r="S119" s="43"/>
      <c r="T119" s="37"/>
      <c r="U119" s="38"/>
      <c r="V119" s="79"/>
      <c r="W119" s="208">
        <f>ROUND((ROUND((ROUND((ROUND((ROUND((_15_同援日増２．０*_15・通訳),0)*_15・２人),0)*(1+_15・A夜間)),0)*(1+_15・盲ろう)),0)*(1+_15・区４)),0)</f>
        <v>512</v>
      </c>
      <c r="X119" s="48"/>
    </row>
    <row r="120" spans="1:24" ht="16.5" customHeight="1" x14ac:dyDescent="0.15">
      <c r="A120" s="41">
        <v>15</v>
      </c>
      <c r="B120" s="41" t="s">
        <v>30259</v>
      </c>
      <c r="C120" s="74" t="s">
        <v>30260</v>
      </c>
      <c r="D120" s="114" t="s">
        <v>24923</v>
      </c>
      <c r="E120" s="49"/>
      <c r="F120" s="115"/>
      <c r="G120" s="35"/>
      <c r="J120" s="163"/>
      <c r="K120" s="45"/>
      <c r="L120" s="46"/>
      <c r="M120" s="512"/>
      <c r="N120" s="57"/>
      <c r="O120" s="53"/>
      <c r="P120" s="49"/>
      <c r="Q120" s="50"/>
      <c r="R120" s="115"/>
      <c r="S120" s="53"/>
      <c r="T120" s="49"/>
      <c r="U120" s="50"/>
      <c r="V120" s="115"/>
      <c r="W120" s="208">
        <f>ROUND((ROUND((_15_同援日増２．５*_15・通訳),0)*(1+_15・A夜間)),0)</f>
        <v>366</v>
      </c>
      <c r="X120" s="48"/>
    </row>
    <row r="121" spans="1:24" ht="16.5" customHeight="1" x14ac:dyDescent="0.15">
      <c r="A121" s="41">
        <v>15</v>
      </c>
      <c r="B121" s="41" t="s">
        <v>30261</v>
      </c>
      <c r="C121" s="74" t="s">
        <v>30262</v>
      </c>
      <c r="D121" s="72" t="s">
        <v>17670</v>
      </c>
      <c r="F121" s="57"/>
      <c r="G121" s="35"/>
      <c r="J121" s="299" t="s">
        <v>17556</v>
      </c>
      <c r="K121" s="45" t="s">
        <v>398</v>
      </c>
      <c r="L121" s="46">
        <v>1</v>
      </c>
      <c r="M121" s="512"/>
      <c r="N121" s="57"/>
      <c r="O121" s="43"/>
      <c r="P121" s="37"/>
      <c r="Q121" s="38"/>
      <c r="R121" s="79"/>
      <c r="S121" s="35"/>
      <c r="V121" s="57"/>
      <c r="W121" s="208">
        <f>ROUND((ROUND((ROUND((_15_同援日増２．５*_15・通訳),0)*_15・２人),0)*(1+_15・A夜間)),0)</f>
        <v>366</v>
      </c>
      <c r="X121" s="48"/>
    </row>
    <row r="122" spans="1:24" ht="16.5" customHeight="1" x14ac:dyDescent="0.15">
      <c r="A122" s="41">
        <v>15</v>
      </c>
      <c r="B122" s="41" t="s">
        <v>30263</v>
      </c>
      <c r="C122" s="74" t="s">
        <v>30264</v>
      </c>
      <c r="D122" s="72" t="s">
        <v>17672</v>
      </c>
      <c r="F122" s="57"/>
      <c r="G122" s="35"/>
      <c r="J122" s="163"/>
      <c r="K122" s="45"/>
      <c r="L122" s="46"/>
      <c r="M122" s="512"/>
      <c r="N122" s="57"/>
      <c r="O122" s="114" t="s">
        <v>17562</v>
      </c>
      <c r="P122" s="49"/>
      <c r="Q122" s="50"/>
      <c r="R122" s="115"/>
      <c r="S122" s="35"/>
      <c r="V122" s="57"/>
      <c r="W122" s="208">
        <f>ROUND((ROUND((ROUND((_15_同援日増２．５*_15・通訳),0)*(1+_15・A夜間)),0)*(1+_15・盲ろう)),0)</f>
        <v>458</v>
      </c>
      <c r="X122" s="48"/>
    </row>
    <row r="123" spans="1:24" ht="16.5" customHeight="1" x14ac:dyDescent="0.15">
      <c r="A123" s="41">
        <v>15</v>
      </c>
      <c r="B123" s="41" t="s">
        <v>30265</v>
      </c>
      <c r="C123" s="74" t="s">
        <v>30266</v>
      </c>
      <c r="D123" s="72"/>
      <c r="E123" s="168">
        <f>_15_同援日増２．５</f>
        <v>325</v>
      </c>
      <c r="F123" s="57" t="s">
        <v>392</v>
      </c>
      <c r="G123" s="35"/>
      <c r="J123" s="299" t="s">
        <v>17556</v>
      </c>
      <c r="K123" s="45" t="s">
        <v>398</v>
      </c>
      <c r="L123" s="46">
        <v>1</v>
      </c>
      <c r="M123" s="512"/>
      <c r="N123" s="57"/>
      <c r="O123" s="269" t="s">
        <v>17564</v>
      </c>
      <c r="P123" s="37" t="s">
        <v>398</v>
      </c>
      <c r="Q123" s="38">
        <v>0.25</v>
      </c>
      <c r="R123" s="79" t="s">
        <v>3575</v>
      </c>
      <c r="S123" s="43"/>
      <c r="T123" s="37"/>
      <c r="U123" s="38"/>
      <c r="V123" s="79"/>
      <c r="W123" s="208">
        <f>ROUND((ROUND((ROUND((ROUND((_15_同援日増２．５*_15・通訳),0)*_15・２人),0)*(1+_15・A夜間)),0)*(1+_15・盲ろう)),0)</f>
        <v>458</v>
      </c>
      <c r="X123" s="48"/>
    </row>
    <row r="124" spans="1:24" ht="16.5" customHeight="1" x14ac:dyDescent="0.15">
      <c r="A124" s="41">
        <v>15</v>
      </c>
      <c r="B124" s="41" t="s">
        <v>30267</v>
      </c>
      <c r="C124" s="74" t="s">
        <v>30268</v>
      </c>
      <c r="D124" s="72"/>
      <c r="F124" s="57"/>
      <c r="G124" s="35"/>
      <c r="J124" s="163"/>
      <c r="K124" s="45"/>
      <c r="L124" s="46"/>
      <c r="M124" s="512"/>
      <c r="N124" s="57"/>
      <c r="O124" s="53"/>
      <c r="P124" s="49"/>
      <c r="Q124" s="50"/>
      <c r="R124" s="115"/>
      <c r="S124" s="114" t="s">
        <v>17570</v>
      </c>
      <c r="T124" s="49"/>
      <c r="U124" s="50"/>
      <c r="V124" s="115"/>
      <c r="W124" s="208">
        <f>ROUND((ROUND((ROUND((_15_同援日増２．５*_15・通訳),0)*(1+_15・A夜間)),0)*(1+_15・区３)),0)</f>
        <v>439</v>
      </c>
      <c r="X124" s="48"/>
    </row>
    <row r="125" spans="1:24" ht="16.5" customHeight="1" x14ac:dyDescent="0.15">
      <c r="A125" s="41">
        <v>15</v>
      </c>
      <c r="B125" s="41" t="s">
        <v>30269</v>
      </c>
      <c r="C125" s="74" t="s">
        <v>30270</v>
      </c>
      <c r="D125" s="72"/>
      <c r="F125" s="57"/>
      <c r="G125" s="35"/>
      <c r="J125" s="299" t="s">
        <v>17556</v>
      </c>
      <c r="K125" s="45" t="s">
        <v>398</v>
      </c>
      <c r="L125" s="46">
        <v>1</v>
      </c>
      <c r="M125" s="512"/>
      <c r="N125" s="57"/>
      <c r="O125" s="43"/>
      <c r="P125" s="37"/>
      <c r="Q125" s="38"/>
      <c r="R125" s="79"/>
      <c r="S125" s="92" t="s">
        <v>17572</v>
      </c>
      <c r="V125" s="57"/>
      <c r="W125" s="208">
        <f>ROUND((ROUND((ROUND((ROUND((_15_同援日増２．５*_15・通訳),0)*_15・２人),0)*(1+_15・A夜間)),0)*(1+_15・区３)),0)</f>
        <v>439</v>
      </c>
      <c r="X125" s="48"/>
    </row>
    <row r="126" spans="1:24" ht="16.5" customHeight="1" x14ac:dyDescent="0.15">
      <c r="A126" s="41">
        <v>15</v>
      </c>
      <c r="B126" s="41" t="s">
        <v>30271</v>
      </c>
      <c r="C126" s="74" t="s">
        <v>30272</v>
      </c>
      <c r="D126" s="72"/>
      <c r="F126" s="57"/>
      <c r="G126" s="35"/>
      <c r="J126" s="163"/>
      <c r="K126" s="45"/>
      <c r="L126" s="46"/>
      <c r="M126" s="512"/>
      <c r="N126" s="57"/>
      <c r="O126" s="114" t="s">
        <v>17562</v>
      </c>
      <c r="P126" s="49"/>
      <c r="Q126" s="50"/>
      <c r="R126" s="115"/>
      <c r="S126" s="35"/>
      <c r="T126" s="12" t="s">
        <v>398</v>
      </c>
      <c r="U126" s="13">
        <v>0.2</v>
      </c>
      <c r="V126" s="57" t="s">
        <v>3575</v>
      </c>
      <c r="W126" s="208">
        <f>ROUND((ROUND((ROUND((ROUND((_15_同援日増２．５*_15・通訳),0)*(1+_15・A夜間)),0)*(1+_15・盲ろう)),0)*(1+_15・区３)),0)</f>
        <v>550</v>
      </c>
      <c r="X126" s="48"/>
    </row>
    <row r="127" spans="1:24" ht="16.5" customHeight="1" x14ac:dyDescent="0.15">
      <c r="A127" s="41">
        <v>15</v>
      </c>
      <c r="B127" s="41" t="s">
        <v>30273</v>
      </c>
      <c r="C127" s="74" t="s">
        <v>30274</v>
      </c>
      <c r="D127" s="72"/>
      <c r="F127" s="57"/>
      <c r="G127" s="35"/>
      <c r="J127" s="299" t="s">
        <v>17556</v>
      </c>
      <c r="K127" s="45" t="s">
        <v>398</v>
      </c>
      <c r="L127" s="46">
        <v>1</v>
      </c>
      <c r="M127" s="512"/>
      <c r="N127" s="57"/>
      <c r="O127" s="269" t="s">
        <v>17564</v>
      </c>
      <c r="P127" s="37" t="s">
        <v>398</v>
      </c>
      <c r="Q127" s="38">
        <v>0.25</v>
      </c>
      <c r="R127" s="79" t="s">
        <v>3575</v>
      </c>
      <c r="S127" s="43"/>
      <c r="T127" s="37"/>
      <c r="U127" s="38"/>
      <c r="V127" s="79"/>
      <c r="W127" s="208">
        <f>ROUND((ROUND((ROUND((ROUND((ROUND((_15_同援日増２．５*_15・通訳),0)*_15・２人),0)*(1+_15・A夜間)),0)*(1+_15・盲ろう)),0)*(1+_15・区３)),0)</f>
        <v>550</v>
      </c>
      <c r="X127" s="48"/>
    </row>
    <row r="128" spans="1:24" ht="16.5" customHeight="1" x14ac:dyDescent="0.15">
      <c r="A128" s="41">
        <v>15</v>
      </c>
      <c r="B128" s="41" t="s">
        <v>4077</v>
      </c>
      <c r="C128" s="74" t="s">
        <v>30275</v>
      </c>
      <c r="D128" s="72"/>
      <c r="F128" s="57"/>
      <c r="G128" s="35"/>
      <c r="J128" s="163"/>
      <c r="K128" s="45"/>
      <c r="L128" s="46"/>
      <c r="M128" s="512"/>
      <c r="N128" s="57"/>
      <c r="O128" s="53"/>
      <c r="P128" s="49"/>
      <c r="Q128" s="50"/>
      <c r="R128" s="115"/>
      <c r="S128" s="114" t="s">
        <v>17580</v>
      </c>
      <c r="T128" s="49"/>
      <c r="U128" s="50"/>
      <c r="V128" s="115"/>
      <c r="W128" s="208">
        <f>ROUND((ROUND((ROUND((_15_同援日増２．５*_15・通訳),0)*(1+_15・A夜間)),0)*(1+_15・区４)),0)</f>
        <v>512</v>
      </c>
      <c r="X128" s="48"/>
    </row>
    <row r="129" spans="1:24" ht="16.5" customHeight="1" x14ac:dyDescent="0.15">
      <c r="A129" s="41">
        <v>15</v>
      </c>
      <c r="B129" s="41" t="s">
        <v>4079</v>
      </c>
      <c r="C129" s="74" t="s">
        <v>30276</v>
      </c>
      <c r="D129" s="72"/>
      <c r="F129" s="57"/>
      <c r="G129" s="35"/>
      <c r="J129" s="299" t="s">
        <v>17556</v>
      </c>
      <c r="K129" s="45" t="s">
        <v>398</v>
      </c>
      <c r="L129" s="46">
        <v>1</v>
      </c>
      <c r="M129" s="512"/>
      <c r="N129" s="57"/>
      <c r="O129" s="43"/>
      <c r="P129" s="37"/>
      <c r="Q129" s="38"/>
      <c r="R129" s="79"/>
      <c r="S129" s="92" t="s">
        <v>17572</v>
      </c>
      <c r="V129" s="57"/>
      <c r="W129" s="208">
        <f>ROUND((ROUND((ROUND((ROUND((_15_同援日増２．５*_15・通訳),0)*_15・２人),0)*(1+_15・A夜間)),0)*(1+_15・区４)),0)</f>
        <v>512</v>
      </c>
      <c r="X129" s="48"/>
    </row>
    <row r="130" spans="1:24" ht="16.5" customHeight="1" x14ac:dyDescent="0.15">
      <c r="A130" s="41">
        <v>15</v>
      </c>
      <c r="B130" s="41" t="s">
        <v>30277</v>
      </c>
      <c r="C130" s="74" t="s">
        <v>30278</v>
      </c>
      <c r="D130" s="72"/>
      <c r="F130" s="57"/>
      <c r="G130" s="35"/>
      <c r="J130" s="163"/>
      <c r="K130" s="45"/>
      <c r="L130" s="46"/>
      <c r="M130" s="512"/>
      <c r="N130" s="57"/>
      <c r="O130" s="114" t="s">
        <v>17562</v>
      </c>
      <c r="P130" s="49"/>
      <c r="Q130" s="50"/>
      <c r="R130" s="115"/>
      <c r="S130" s="35"/>
      <c r="T130" s="12" t="s">
        <v>398</v>
      </c>
      <c r="U130" s="13">
        <v>0.4</v>
      </c>
      <c r="V130" s="57" t="s">
        <v>3575</v>
      </c>
      <c r="W130" s="208">
        <f>ROUND((ROUND((ROUND((ROUND((_15_同援日増２．５*_15・通訳),0)*(1+_15・A夜間)),0)*(1+_15・盲ろう)),0)*(1+_15・区４)),0)</f>
        <v>641</v>
      </c>
      <c r="X130" s="48"/>
    </row>
    <row r="131" spans="1:24" ht="16.5" customHeight="1" x14ac:dyDescent="0.15">
      <c r="A131" s="41">
        <v>15</v>
      </c>
      <c r="B131" s="41" t="s">
        <v>30279</v>
      </c>
      <c r="C131" s="74" t="s">
        <v>30280</v>
      </c>
      <c r="D131" s="122"/>
      <c r="E131" s="37"/>
      <c r="F131" s="79"/>
      <c r="G131" s="35"/>
      <c r="J131" s="299" t="s">
        <v>17556</v>
      </c>
      <c r="K131" s="45" t="s">
        <v>398</v>
      </c>
      <c r="L131" s="46">
        <v>1</v>
      </c>
      <c r="M131" s="512"/>
      <c r="N131" s="57"/>
      <c r="O131" s="269" t="s">
        <v>17564</v>
      </c>
      <c r="P131" s="37" t="s">
        <v>398</v>
      </c>
      <c r="Q131" s="38">
        <v>0.25</v>
      </c>
      <c r="R131" s="79" t="s">
        <v>3575</v>
      </c>
      <c r="S131" s="43"/>
      <c r="T131" s="37"/>
      <c r="U131" s="38"/>
      <c r="V131" s="79"/>
      <c r="W131" s="208">
        <f>ROUND((ROUND((ROUND((ROUND((ROUND((_15_同援日増２．５*_15・通訳),0)*_15・２人),0)*(1+_15・A夜間)),0)*(1+_15・盲ろう)),0)*(1+_15・区４)),0)</f>
        <v>641</v>
      </c>
      <c r="X131" s="48"/>
    </row>
    <row r="132" spans="1:24" ht="16.5" customHeight="1" x14ac:dyDescent="0.15">
      <c r="A132" s="41">
        <v>15</v>
      </c>
      <c r="B132" s="41" t="s">
        <v>30281</v>
      </c>
      <c r="C132" s="74" t="s">
        <v>30282</v>
      </c>
      <c r="D132" s="114" t="s">
        <v>24967</v>
      </c>
      <c r="E132" s="49"/>
      <c r="F132" s="115"/>
      <c r="G132" s="35"/>
      <c r="J132" s="163"/>
      <c r="K132" s="45"/>
      <c r="L132" s="46"/>
      <c r="M132" s="512"/>
      <c r="N132" s="57"/>
      <c r="O132" s="53"/>
      <c r="P132" s="49"/>
      <c r="Q132" s="50"/>
      <c r="R132" s="115"/>
      <c r="S132" s="53"/>
      <c r="T132" s="49"/>
      <c r="U132" s="50"/>
      <c r="V132" s="115"/>
      <c r="W132" s="208">
        <f>ROUND((ROUND((_15_同援日増３．０*_15・通訳),0)*(1+_15・A夜間)),0)</f>
        <v>439</v>
      </c>
      <c r="X132" s="48"/>
    </row>
    <row r="133" spans="1:24" ht="16.5" customHeight="1" x14ac:dyDescent="0.15">
      <c r="A133" s="41">
        <v>15</v>
      </c>
      <c r="B133" s="41" t="s">
        <v>30283</v>
      </c>
      <c r="C133" s="74" t="s">
        <v>30284</v>
      </c>
      <c r="D133" s="72" t="s">
        <v>17697</v>
      </c>
      <c r="F133" s="57"/>
      <c r="G133" s="35"/>
      <c r="J133" s="299" t="s">
        <v>17556</v>
      </c>
      <c r="K133" s="45" t="s">
        <v>398</v>
      </c>
      <c r="L133" s="46">
        <v>1</v>
      </c>
      <c r="M133" s="512"/>
      <c r="N133" s="57"/>
      <c r="O133" s="43"/>
      <c r="P133" s="37"/>
      <c r="Q133" s="38"/>
      <c r="R133" s="79"/>
      <c r="S133" s="35"/>
      <c r="V133" s="57"/>
      <c r="W133" s="208">
        <f>ROUND((ROUND((ROUND((_15_同援日増３．０*_15・通訳),0)*_15・２人),0)*(1+_15・A夜間)),0)</f>
        <v>439</v>
      </c>
      <c r="X133" s="48"/>
    </row>
    <row r="134" spans="1:24" ht="16.5" customHeight="1" x14ac:dyDescent="0.15">
      <c r="A134" s="41">
        <v>15</v>
      </c>
      <c r="B134" s="41" t="s">
        <v>30285</v>
      </c>
      <c r="C134" s="74" t="s">
        <v>30286</v>
      </c>
      <c r="D134" s="72" t="s">
        <v>18387</v>
      </c>
      <c r="F134" s="57"/>
      <c r="G134" s="35"/>
      <c r="J134" s="163"/>
      <c r="K134" s="45"/>
      <c r="L134" s="46"/>
      <c r="M134" s="512"/>
      <c r="N134" s="57"/>
      <c r="O134" s="114" t="s">
        <v>17562</v>
      </c>
      <c r="P134" s="49"/>
      <c r="Q134" s="50"/>
      <c r="R134" s="115"/>
      <c r="S134" s="35"/>
      <c r="V134" s="57"/>
      <c r="W134" s="208">
        <f>ROUND((ROUND((ROUND((_15_同援日増３．０*_15・通訳),0)*(1+_15・A夜間)),0)*(1+_15・盲ろう)),0)</f>
        <v>549</v>
      </c>
      <c r="X134" s="48"/>
    </row>
    <row r="135" spans="1:24" ht="16.5" customHeight="1" x14ac:dyDescent="0.15">
      <c r="A135" s="41">
        <v>15</v>
      </c>
      <c r="B135" s="41" t="s">
        <v>30287</v>
      </c>
      <c r="C135" s="74" t="s">
        <v>30288</v>
      </c>
      <c r="D135" s="72"/>
      <c r="E135" s="168">
        <f>_15_同援日増３．０</f>
        <v>390</v>
      </c>
      <c r="F135" s="57" t="s">
        <v>392</v>
      </c>
      <c r="G135" s="35"/>
      <c r="J135" s="299" t="s">
        <v>17556</v>
      </c>
      <c r="K135" s="45" t="s">
        <v>398</v>
      </c>
      <c r="L135" s="46">
        <v>1</v>
      </c>
      <c r="M135" s="512"/>
      <c r="N135" s="57"/>
      <c r="O135" s="269" t="s">
        <v>17564</v>
      </c>
      <c r="P135" s="37" t="s">
        <v>398</v>
      </c>
      <c r="Q135" s="38">
        <v>0.25</v>
      </c>
      <c r="R135" s="79" t="s">
        <v>3575</v>
      </c>
      <c r="S135" s="43"/>
      <c r="T135" s="37"/>
      <c r="U135" s="38"/>
      <c r="V135" s="79"/>
      <c r="W135" s="208">
        <f>ROUND((ROUND((ROUND((ROUND((_15_同援日増３．０*_15・通訳),0)*_15・２人),0)*(1+_15・A夜間)),0)*(1+_15・盲ろう)),0)</f>
        <v>549</v>
      </c>
      <c r="X135" s="48"/>
    </row>
    <row r="136" spans="1:24" ht="16.5" customHeight="1" x14ac:dyDescent="0.15">
      <c r="A136" s="41">
        <v>15</v>
      </c>
      <c r="B136" s="41" t="s">
        <v>30289</v>
      </c>
      <c r="C136" s="74" t="s">
        <v>30290</v>
      </c>
      <c r="D136" s="72"/>
      <c r="F136" s="57"/>
      <c r="G136" s="35"/>
      <c r="J136" s="163"/>
      <c r="K136" s="45"/>
      <c r="L136" s="46"/>
      <c r="M136" s="512"/>
      <c r="N136" s="57"/>
      <c r="O136" s="53"/>
      <c r="P136" s="49"/>
      <c r="Q136" s="50"/>
      <c r="R136" s="115"/>
      <c r="S136" s="114" t="s">
        <v>17570</v>
      </c>
      <c r="T136" s="49"/>
      <c r="U136" s="50"/>
      <c r="V136" s="115"/>
      <c r="W136" s="208">
        <f>ROUND((ROUND((ROUND((_15_同援日増３．０*_15・通訳),0)*(1+_15・A夜間)),0)*(1+_15・区３)),0)</f>
        <v>527</v>
      </c>
      <c r="X136" s="48"/>
    </row>
    <row r="137" spans="1:24" ht="16.5" customHeight="1" x14ac:dyDescent="0.15">
      <c r="A137" s="41">
        <v>15</v>
      </c>
      <c r="B137" s="41" t="s">
        <v>30291</v>
      </c>
      <c r="C137" s="74" t="s">
        <v>30292</v>
      </c>
      <c r="D137" s="72"/>
      <c r="F137" s="57"/>
      <c r="G137" s="35"/>
      <c r="J137" s="299" t="s">
        <v>17556</v>
      </c>
      <c r="K137" s="45" t="s">
        <v>398</v>
      </c>
      <c r="L137" s="46">
        <v>1</v>
      </c>
      <c r="M137" s="512"/>
      <c r="N137" s="57"/>
      <c r="O137" s="43"/>
      <c r="P137" s="37"/>
      <c r="Q137" s="38"/>
      <c r="R137" s="79"/>
      <c r="S137" s="92" t="s">
        <v>17572</v>
      </c>
      <c r="V137" s="57"/>
      <c r="W137" s="208">
        <f>ROUND((ROUND((ROUND((ROUND((_15_同援日増３．０*_15・通訳),0)*_15・２人),0)*(1+_15・A夜間)),0)*(1+_15・区３)),0)</f>
        <v>527</v>
      </c>
      <c r="X137" s="48"/>
    </row>
    <row r="138" spans="1:24" ht="16.5" customHeight="1" x14ac:dyDescent="0.15">
      <c r="A138" s="41">
        <v>15</v>
      </c>
      <c r="B138" s="41" t="s">
        <v>4083</v>
      </c>
      <c r="C138" s="74" t="s">
        <v>30293</v>
      </c>
      <c r="D138" s="72"/>
      <c r="F138" s="57"/>
      <c r="G138" s="35"/>
      <c r="J138" s="163"/>
      <c r="K138" s="45"/>
      <c r="L138" s="46"/>
      <c r="M138" s="512"/>
      <c r="N138" s="57"/>
      <c r="O138" s="114" t="s">
        <v>17562</v>
      </c>
      <c r="P138" s="49"/>
      <c r="Q138" s="50"/>
      <c r="R138" s="115"/>
      <c r="S138" s="35"/>
      <c r="T138" s="12" t="s">
        <v>398</v>
      </c>
      <c r="U138" s="13">
        <v>0.2</v>
      </c>
      <c r="V138" s="57" t="s">
        <v>3575</v>
      </c>
      <c r="W138" s="208">
        <f>ROUND((ROUND((ROUND((ROUND((_15_同援日増３．０*_15・通訳),0)*(1+_15・A夜間)),0)*(1+_15・盲ろう)),0)*(1+_15・区３)),0)</f>
        <v>659</v>
      </c>
      <c r="X138" s="48"/>
    </row>
    <row r="139" spans="1:24" ht="16.5" customHeight="1" x14ac:dyDescent="0.15">
      <c r="A139" s="41">
        <v>15</v>
      </c>
      <c r="B139" s="41" t="s">
        <v>4085</v>
      </c>
      <c r="C139" s="74" t="s">
        <v>30294</v>
      </c>
      <c r="D139" s="72"/>
      <c r="F139" s="57"/>
      <c r="G139" s="35"/>
      <c r="J139" s="299" t="s">
        <v>17556</v>
      </c>
      <c r="K139" s="45" t="s">
        <v>398</v>
      </c>
      <c r="L139" s="46">
        <v>1</v>
      </c>
      <c r="M139" s="512"/>
      <c r="N139" s="57"/>
      <c r="O139" s="269" t="s">
        <v>17564</v>
      </c>
      <c r="P139" s="37" t="s">
        <v>398</v>
      </c>
      <c r="Q139" s="38">
        <v>0.25</v>
      </c>
      <c r="R139" s="79" t="s">
        <v>3575</v>
      </c>
      <c r="S139" s="43"/>
      <c r="T139" s="37"/>
      <c r="U139" s="38"/>
      <c r="V139" s="79"/>
      <c r="W139" s="208">
        <f>ROUND((ROUND((ROUND((ROUND((ROUND((_15_同援日増３．０*_15・通訳),0)*_15・２人),0)*(1+_15・A夜間)),0)*(1+_15・盲ろう)),0)*(1+_15・区３)),0)</f>
        <v>659</v>
      </c>
      <c r="X139" s="48"/>
    </row>
    <row r="140" spans="1:24" ht="16.5" customHeight="1" x14ac:dyDescent="0.15">
      <c r="A140" s="41">
        <v>15</v>
      </c>
      <c r="B140" s="41" t="s">
        <v>30295</v>
      </c>
      <c r="C140" s="74" t="s">
        <v>30296</v>
      </c>
      <c r="D140" s="72"/>
      <c r="F140" s="57"/>
      <c r="G140" s="35"/>
      <c r="J140" s="163"/>
      <c r="K140" s="45"/>
      <c r="L140" s="46"/>
      <c r="M140" s="512"/>
      <c r="N140" s="57"/>
      <c r="O140" s="53"/>
      <c r="P140" s="49"/>
      <c r="Q140" s="50"/>
      <c r="R140" s="115"/>
      <c r="S140" s="114" t="s">
        <v>17580</v>
      </c>
      <c r="T140" s="49"/>
      <c r="U140" s="50"/>
      <c r="V140" s="115"/>
      <c r="W140" s="208">
        <f>ROUND((ROUND((ROUND((_15_同援日増３．０*_15・通訳),0)*(1+_15・A夜間)),0)*(1+_15・区４)),0)</f>
        <v>615</v>
      </c>
      <c r="X140" s="48"/>
    </row>
    <row r="141" spans="1:24" ht="16.5" customHeight="1" x14ac:dyDescent="0.15">
      <c r="A141" s="41">
        <v>15</v>
      </c>
      <c r="B141" s="41" t="s">
        <v>30297</v>
      </c>
      <c r="C141" s="74" t="s">
        <v>30298</v>
      </c>
      <c r="D141" s="72"/>
      <c r="F141" s="57"/>
      <c r="G141" s="35"/>
      <c r="J141" s="299" t="s">
        <v>17556</v>
      </c>
      <c r="K141" s="45" t="s">
        <v>398</v>
      </c>
      <c r="L141" s="46">
        <v>1</v>
      </c>
      <c r="M141" s="512"/>
      <c r="N141" s="57"/>
      <c r="O141" s="43"/>
      <c r="P141" s="37"/>
      <c r="Q141" s="38"/>
      <c r="R141" s="79"/>
      <c r="S141" s="92" t="s">
        <v>17572</v>
      </c>
      <c r="V141" s="57"/>
      <c r="W141" s="208">
        <f>ROUND((ROUND((ROUND((ROUND((_15_同援日増３．０*_15・通訳),0)*_15・２人),0)*(1+_15・A夜間)),0)*(1+_15・区４)),0)</f>
        <v>615</v>
      </c>
      <c r="X141" s="48"/>
    </row>
    <row r="142" spans="1:24" ht="16.5" customHeight="1" x14ac:dyDescent="0.15">
      <c r="A142" s="41">
        <v>15</v>
      </c>
      <c r="B142" s="41" t="s">
        <v>30299</v>
      </c>
      <c r="C142" s="74" t="s">
        <v>30300</v>
      </c>
      <c r="D142" s="72"/>
      <c r="F142" s="57"/>
      <c r="G142" s="35"/>
      <c r="J142" s="163"/>
      <c r="K142" s="45"/>
      <c r="L142" s="46"/>
      <c r="M142" s="512"/>
      <c r="N142" s="57"/>
      <c r="O142" s="114" t="s">
        <v>17562</v>
      </c>
      <c r="P142" s="49"/>
      <c r="Q142" s="50"/>
      <c r="R142" s="115"/>
      <c r="S142" s="35"/>
      <c r="T142" s="12" t="s">
        <v>398</v>
      </c>
      <c r="U142" s="13">
        <v>0.4</v>
      </c>
      <c r="V142" s="57" t="s">
        <v>3575</v>
      </c>
      <c r="W142" s="208">
        <f>ROUND((ROUND((ROUND((ROUND((_15_同援日増３．０*_15・通訳),0)*(1+_15・A夜間)),0)*(1+_15・盲ろう)),0)*(1+_15・区４)),0)</f>
        <v>769</v>
      </c>
      <c r="X142" s="48"/>
    </row>
    <row r="143" spans="1:24" ht="16.5" customHeight="1" x14ac:dyDescent="0.15">
      <c r="A143" s="41">
        <v>15</v>
      </c>
      <c r="B143" s="41" t="s">
        <v>30301</v>
      </c>
      <c r="C143" s="74" t="s">
        <v>30302</v>
      </c>
      <c r="D143" s="122"/>
      <c r="E143" s="37"/>
      <c r="F143" s="79"/>
      <c r="G143" s="35"/>
      <c r="J143" s="299" t="s">
        <v>17556</v>
      </c>
      <c r="K143" s="45" t="s">
        <v>398</v>
      </c>
      <c r="L143" s="46">
        <v>1</v>
      </c>
      <c r="M143" s="512"/>
      <c r="N143" s="57"/>
      <c r="O143" s="269" t="s">
        <v>17564</v>
      </c>
      <c r="P143" s="37" t="s">
        <v>398</v>
      </c>
      <c r="Q143" s="38">
        <v>0.25</v>
      </c>
      <c r="R143" s="79" t="s">
        <v>3575</v>
      </c>
      <c r="S143" s="43"/>
      <c r="T143" s="37"/>
      <c r="U143" s="38"/>
      <c r="V143" s="79"/>
      <c r="W143" s="208">
        <f>ROUND((ROUND((ROUND((ROUND((ROUND((_15_同援日増３．０*_15・通訳),0)*_15・２人),0)*(1+_15・A夜間)),0)*(1+_15・盲ろう)),0)*(1+_15・区４)),0)</f>
        <v>769</v>
      </c>
      <c r="X143" s="48"/>
    </row>
    <row r="144" spans="1:24" ht="16.5" customHeight="1" x14ac:dyDescent="0.15">
      <c r="A144" s="41">
        <v>15</v>
      </c>
      <c r="B144" s="41" t="s">
        <v>30303</v>
      </c>
      <c r="C144" s="74" t="s">
        <v>30304</v>
      </c>
      <c r="D144" s="114" t="s">
        <v>25012</v>
      </c>
      <c r="E144" s="49"/>
      <c r="F144" s="115"/>
      <c r="G144" s="35"/>
      <c r="J144" s="163"/>
      <c r="K144" s="45"/>
      <c r="L144" s="46"/>
      <c r="M144" s="512"/>
      <c r="N144" s="57"/>
      <c r="O144" s="53"/>
      <c r="P144" s="49"/>
      <c r="Q144" s="50"/>
      <c r="R144" s="115"/>
      <c r="S144" s="53"/>
      <c r="T144" s="49"/>
      <c r="U144" s="50"/>
      <c r="V144" s="115"/>
      <c r="W144" s="208">
        <f>ROUND((ROUND((_15_同援日増３．５*_15・通訳),0)*(1+_15・A夜間)),0)</f>
        <v>513</v>
      </c>
      <c r="X144" s="48"/>
    </row>
    <row r="145" spans="1:24" ht="16.5" customHeight="1" x14ac:dyDescent="0.15">
      <c r="A145" s="41">
        <v>15</v>
      </c>
      <c r="B145" s="41" t="s">
        <v>30305</v>
      </c>
      <c r="C145" s="74" t="s">
        <v>30306</v>
      </c>
      <c r="D145" s="72" t="s">
        <v>17724</v>
      </c>
      <c r="F145" s="57"/>
      <c r="G145" s="35"/>
      <c r="J145" s="299" t="s">
        <v>17556</v>
      </c>
      <c r="K145" s="45" t="s">
        <v>398</v>
      </c>
      <c r="L145" s="46">
        <v>1</v>
      </c>
      <c r="M145" s="512"/>
      <c r="N145" s="57"/>
      <c r="O145" s="43"/>
      <c r="P145" s="37"/>
      <c r="Q145" s="38"/>
      <c r="R145" s="79"/>
      <c r="S145" s="35"/>
      <c r="V145" s="57"/>
      <c r="W145" s="208">
        <f>ROUND((ROUND((ROUND((_15_同援日増３．５*_15・通訳),0)*_15・２人),0)*(1+_15・A夜間)),0)</f>
        <v>513</v>
      </c>
      <c r="X145" s="48"/>
    </row>
    <row r="146" spans="1:24" ht="16.5" customHeight="1" x14ac:dyDescent="0.15">
      <c r="A146" s="41">
        <v>15</v>
      </c>
      <c r="B146" s="41" t="s">
        <v>30307</v>
      </c>
      <c r="C146" s="74" t="s">
        <v>30308</v>
      </c>
      <c r="D146" s="72" t="s">
        <v>17726</v>
      </c>
      <c r="F146" s="57"/>
      <c r="G146" s="35"/>
      <c r="J146" s="163"/>
      <c r="K146" s="45"/>
      <c r="L146" s="46"/>
      <c r="M146" s="512"/>
      <c r="N146" s="57"/>
      <c r="O146" s="114" t="s">
        <v>17562</v>
      </c>
      <c r="P146" s="49"/>
      <c r="Q146" s="50"/>
      <c r="R146" s="115"/>
      <c r="S146" s="35"/>
      <c r="V146" s="57"/>
      <c r="W146" s="208">
        <f>ROUND((ROUND((ROUND((_15_同援日増３．５*_15・通訳),0)*(1+_15・A夜間)),0)*(1+_15・盲ろう)),0)</f>
        <v>641</v>
      </c>
      <c r="X146" s="48"/>
    </row>
    <row r="147" spans="1:24" ht="16.5" customHeight="1" x14ac:dyDescent="0.15">
      <c r="A147" s="41">
        <v>15</v>
      </c>
      <c r="B147" s="41" t="s">
        <v>30309</v>
      </c>
      <c r="C147" s="74" t="s">
        <v>30310</v>
      </c>
      <c r="D147" s="72"/>
      <c r="E147" s="168">
        <f>_15_同援日増３．５</f>
        <v>455</v>
      </c>
      <c r="F147" s="57" t="s">
        <v>392</v>
      </c>
      <c r="G147" s="35"/>
      <c r="J147" s="299" t="s">
        <v>17556</v>
      </c>
      <c r="K147" s="45" t="s">
        <v>398</v>
      </c>
      <c r="L147" s="46">
        <v>1</v>
      </c>
      <c r="M147" s="512"/>
      <c r="N147" s="57"/>
      <c r="O147" s="269" t="s">
        <v>17564</v>
      </c>
      <c r="P147" s="37" t="s">
        <v>398</v>
      </c>
      <c r="Q147" s="38">
        <v>0.25</v>
      </c>
      <c r="R147" s="79" t="s">
        <v>3575</v>
      </c>
      <c r="S147" s="43"/>
      <c r="T147" s="37"/>
      <c r="U147" s="38"/>
      <c r="V147" s="79"/>
      <c r="W147" s="208">
        <f>ROUND((ROUND((ROUND((ROUND((_15_同援日増３．５*_15・通訳),0)*_15・２人),0)*(1+_15・A夜間)),0)*(1+_15・盲ろう)),0)</f>
        <v>641</v>
      </c>
      <c r="X147" s="48"/>
    </row>
    <row r="148" spans="1:24" ht="16.5" customHeight="1" x14ac:dyDescent="0.15">
      <c r="A148" s="41">
        <v>15</v>
      </c>
      <c r="B148" s="41" t="s">
        <v>4089</v>
      </c>
      <c r="C148" s="74" t="s">
        <v>30311</v>
      </c>
      <c r="D148" s="72"/>
      <c r="F148" s="57"/>
      <c r="G148" s="35"/>
      <c r="J148" s="163"/>
      <c r="K148" s="45"/>
      <c r="L148" s="46"/>
      <c r="M148" s="512"/>
      <c r="N148" s="57"/>
      <c r="O148" s="53"/>
      <c r="P148" s="49"/>
      <c r="Q148" s="50"/>
      <c r="R148" s="115"/>
      <c r="S148" s="114" t="s">
        <v>17570</v>
      </c>
      <c r="T148" s="49"/>
      <c r="U148" s="50"/>
      <c r="V148" s="115"/>
      <c r="W148" s="208">
        <f>ROUND((ROUND((ROUND((_15_同援日増３．５*_15・通訳),0)*(1+_15・A夜間)),0)*(1+_15・区３)),0)</f>
        <v>616</v>
      </c>
      <c r="X148" s="48"/>
    </row>
    <row r="149" spans="1:24" ht="16.5" customHeight="1" x14ac:dyDescent="0.15">
      <c r="A149" s="41">
        <v>15</v>
      </c>
      <c r="B149" s="41" t="s">
        <v>4091</v>
      </c>
      <c r="C149" s="74" t="s">
        <v>30312</v>
      </c>
      <c r="D149" s="72"/>
      <c r="F149" s="57"/>
      <c r="G149" s="35"/>
      <c r="J149" s="299" t="s">
        <v>17556</v>
      </c>
      <c r="K149" s="45" t="s">
        <v>398</v>
      </c>
      <c r="L149" s="46">
        <v>1</v>
      </c>
      <c r="M149" s="512"/>
      <c r="N149" s="57"/>
      <c r="O149" s="43"/>
      <c r="P149" s="37"/>
      <c r="Q149" s="38"/>
      <c r="R149" s="79"/>
      <c r="S149" s="92" t="s">
        <v>17572</v>
      </c>
      <c r="V149" s="57"/>
      <c r="W149" s="208">
        <f>ROUND((ROUND((ROUND((ROUND((_15_同援日増３．５*_15・通訳),0)*_15・２人),0)*(1+_15・A夜間)),0)*(1+_15・区３)),0)</f>
        <v>616</v>
      </c>
      <c r="X149" s="48"/>
    </row>
    <row r="150" spans="1:24" ht="16.5" customHeight="1" x14ac:dyDescent="0.15">
      <c r="A150" s="41">
        <v>15</v>
      </c>
      <c r="B150" s="41" t="s">
        <v>30313</v>
      </c>
      <c r="C150" s="74" t="s">
        <v>30314</v>
      </c>
      <c r="D150" s="72"/>
      <c r="F150" s="57"/>
      <c r="G150" s="35"/>
      <c r="J150" s="163"/>
      <c r="K150" s="45"/>
      <c r="L150" s="46"/>
      <c r="M150" s="512"/>
      <c r="N150" s="57"/>
      <c r="O150" s="114" t="s">
        <v>17562</v>
      </c>
      <c r="P150" s="49"/>
      <c r="Q150" s="50"/>
      <c r="R150" s="115"/>
      <c r="S150" s="35"/>
      <c r="T150" s="12" t="s">
        <v>398</v>
      </c>
      <c r="U150" s="13">
        <v>0.2</v>
      </c>
      <c r="V150" s="57" t="s">
        <v>3575</v>
      </c>
      <c r="W150" s="208">
        <f>ROUND((ROUND((ROUND((ROUND((_15_同援日増３．５*_15・通訳),0)*(1+_15・A夜間)),0)*(1+_15・盲ろう)),0)*(1+_15・区３)),0)</f>
        <v>769</v>
      </c>
      <c r="X150" s="48"/>
    </row>
    <row r="151" spans="1:24" ht="16.5" customHeight="1" x14ac:dyDescent="0.15">
      <c r="A151" s="41">
        <v>15</v>
      </c>
      <c r="B151" s="41" t="s">
        <v>30315</v>
      </c>
      <c r="C151" s="74" t="s">
        <v>30316</v>
      </c>
      <c r="D151" s="72"/>
      <c r="F151" s="57"/>
      <c r="G151" s="35"/>
      <c r="J151" s="299" t="s">
        <v>17556</v>
      </c>
      <c r="K151" s="45" t="s">
        <v>398</v>
      </c>
      <c r="L151" s="46">
        <v>1</v>
      </c>
      <c r="M151" s="512"/>
      <c r="N151" s="57"/>
      <c r="O151" s="269" t="s">
        <v>17564</v>
      </c>
      <c r="P151" s="37" t="s">
        <v>398</v>
      </c>
      <c r="Q151" s="38">
        <v>0.25</v>
      </c>
      <c r="R151" s="79" t="s">
        <v>3575</v>
      </c>
      <c r="S151" s="43"/>
      <c r="T151" s="37"/>
      <c r="U151" s="38"/>
      <c r="V151" s="79"/>
      <c r="W151" s="208">
        <f>ROUND((ROUND((ROUND((ROUND((ROUND((_15_同援日増３．５*_15・通訳),0)*_15・２人),0)*(1+_15・A夜間)),0)*(1+_15・盲ろう)),0)*(1+_15・区３)),0)</f>
        <v>769</v>
      </c>
      <c r="X151" s="48"/>
    </row>
    <row r="152" spans="1:24" ht="16.5" customHeight="1" x14ac:dyDescent="0.15">
      <c r="A152" s="41">
        <v>15</v>
      </c>
      <c r="B152" s="41" t="s">
        <v>30317</v>
      </c>
      <c r="C152" s="74" t="s">
        <v>30318</v>
      </c>
      <c r="D152" s="72"/>
      <c r="F152" s="57"/>
      <c r="G152" s="35"/>
      <c r="J152" s="163"/>
      <c r="K152" s="45"/>
      <c r="L152" s="46"/>
      <c r="M152" s="512"/>
      <c r="N152" s="57"/>
      <c r="O152" s="53"/>
      <c r="P152" s="49"/>
      <c r="Q152" s="50"/>
      <c r="R152" s="115"/>
      <c r="S152" s="114" t="s">
        <v>17580</v>
      </c>
      <c r="T152" s="49"/>
      <c r="U152" s="50"/>
      <c r="V152" s="115"/>
      <c r="W152" s="208">
        <f>ROUND((ROUND((ROUND((_15_同援日増３．５*_15・通訳),0)*(1+_15・A夜間)),0)*(1+_15・区４)),0)</f>
        <v>718</v>
      </c>
      <c r="X152" s="48"/>
    </row>
    <row r="153" spans="1:24" ht="16.5" customHeight="1" x14ac:dyDescent="0.15">
      <c r="A153" s="41">
        <v>15</v>
      </c>
      <c r="B153" s="41" t="s">
        <v>30319</v>
      </c>
      <c r="C153" s="74" t="s">
        <v>30320</v>
      </c>
      <c r="D153" s="72"/>
      <c r="F153" s="57"/>
      <c r="G153" s="35"/>
      <c r="J153" s="299" t="s">
        <v>17556</v>
      </c>
      <c r="K153" s="45" t="s">
        <v>398</v>
      </c>
      <c r="L153" s="46">
        <v>1</v>
      </c>
      <c r="M153" s="512"/>
      <c r="N153" s="57"/>
      <c r="O153" s="43"/>
      <c r="P153" s="37"/>
      <c r="Q153" s="38"/>
      <c r="R153" s="79"/>
      <c r="S153" s="92" t="s">
        <v>17572</v>
      </c>
      <c r="V153" s="57"/>
      <c r="W153" s="208">
        <f>ROUND((ROUND((ROUND((ROUND((_15_同援日増３．５*_15・通訳),0)*_15・２人),0)*(1+_15・A夜間)),0)*(1+_15・区４)),0)</f>
        <v>718</v>
      </c>
      <c r="X153" s="48"/>
    </row>
    <row r="154" spans="1:24" ht="16.5" customHeight="1" x14ac:dyDescent="0.15">
      <c r="A154" s="41">
        <v>15</v>
      </c>
      <c r="B154" s="41" t="s">
        <v>30321</v>
      </c>
      <c r="C154" s="74" t="s">
        <v>30322</v>
      </c>
      <c r="D154" s="72"/>
      <c r="F154" s="57"/>
      <c r="G154" s="35"/>
      <c r="J154" s="163"/>
      <c r="K154" s="45"/>
      <c r="L154" s="46"/>
      <c r="M154" s="512"/>
      <c r="N154" s="57"/>
      <c r="O154" s="114" t="s">
        <v>17562</v>
      </c>
      <c r="P154" s="49"/>
      <c r="Q154" s="50"/>
      <c r="R154" s="115"/>
      <c r="S154" s="35"/>
      <c r="T154" s="12" t="s">
        <v>398</v>
      </c>
      <c r="U154" s="13">
        <v>0.4</v>
      </c>
      <c r="V154" s="57" t="s">
        <v>3575</v>
      </c>
      <c r="W154" s="208">
        <f>ROUND((ROUND((ROUND((ROUND((_15_同援日増３．５*_15・通訳),0)*(1+_15・A夜間)),0)*(1+_15・盲ろう)),0)*(1+_15・区４)),0)</f>
        <v>897</v>
      </c>
      <c r="X154" s="48"/>
    </row>
    <row r="155" spans="1:24" ht="16.5" customHeight="1" x14ac:dyDescent="0.15">
      <c r="A155" s="41">
        <v>15</v>
      </c>
      <c r="B155" s="41" t="s">
        <v>30323</v>
      </c>
      <c r="C155" s="74" t="s">
        <v>30324</v>
      </c>
      <c r="D155" s="122"/>
      <c r="E155" s="37"/>
      <c r="F155" s="79"/>
      <c r="G155" s="35"/>
      <c r="J155" s="299" t="s">
        <v>17556</v>
      </c>
      <c r="K155" s="45" t="s">
        <v>398</v>
      </c>
      <c r="L155" s="46">
        <v>1</v>
      </c>
      <c r="M155" s="512"/>
      <c r="N155" s="57"/>
      <c r="O155" s="269" t="s">
        <v>17564</v>
      </c>
      <c r="P155" s="37" t="s">
        <v>398</v>
      </c>
      <c r="Q155" s="38">
        <v>0.25</v>
      </c>
      <c r="R155" s="79" t="s">
        <v>3575</v>
      </c>
      <c r="S155" s="43"/>
      <c r="T155" s="37"/>
      <c r="U155" s="38"/>
      <c r="V155" s="79"/>
      <c r="W155" s="208">
        <f>ROUND((ROUND((ROUND((ROUND((ROUND((_15_同援日増３．５*_15・通訳),0)*_15・２人),0)*(1+_15・A夜間)),0)*(1+_15・盲ろう)),0)*(1+_15・区４)),0)</f>
        <v>897</v>
      </c>
      <c r="X155" s="48"/>
    </row>
    <row r="156" spans="1:24" ht="16.5" customHeight="1" x14ac:dyDescent="0.15">
      <c r="A156" s="41">
        <v>15</v>
      </c>
      <c r="B156" s="41" t="s">
        <v>30325</v>
      </c>
      <c r="C156" s="74" t="s">
        <v>30326</v>
      </c>
      <c r="D156" s="114" t="s">
        <v>25057</v>
      </c>
      <c r="E156" s="49"/>
      <c r="F156" s="115"/>
      <c r="G156" s="35"/>
      <c r="J156" s="163"/>
      <c r="K156" s="45"/>
      <c r="L156" s="46"/>
      <c r="M156" s="512"/>
      <c r="N156" s="57"/>
      <c r="O156" s="53"/>
      <c r="P156" s="49"/>
      <c r="Q156" s="50"/>
      <c r="R156" s="115"/>
      <c r="S156" s="53"/>
      <c r="T156" s="49"/>
      <c r="U156" s="50"/>
      <c r="V156" s="115"/>
      <c r="W156" s="208">
        <f>ROUND((ROUND((_15_同援日増４．０*_15・通訳),0)*(1+_15・A夜間)),0)</f>
        <v>585</v>
      </c>
      <c r="X156" s="48"/>
    </row>
    <row r="157" spans="1:24" ht="16.5" customHeight="1" x14ac:dyDescent="0.15">
      <c r="A157" s="41">
        <v>15</v>
      </c>
      <c r="B157" s="41" t="s">
        <v>30327</v>
      </c>
      <c r="C157" s="74" t="s">
        <v>30328</v>
      </c>
      <c r="D157" s="72" t="s">
        <v>17751</v>
      </c>
      <c r="F157" s="57"/>
      <c r="G157" s="35"/>
      <c r="J157" s="299" t="s">
        <v>17556</v>
      </c>
      <c r="K157" s="45" t="s">
        <v>398</v>
      </c>
      <c r="L157" s="46">
        <v>1</v>
      </c>
      <c r="M157" s="512"/>
      <c r="N157" s="57"/>
      <c r="O157" s="43"/>
      <c r="P157" s="37"/>
      <c r="Q157" s="38"/>
      <c r="R157" s="79"/>
      <c r="S157" s="35"/>
      <c r="V157" s="57"/>
      <c r="W157" s="208">
        <f>ROUND((ROUND((ROUND((_15_同援日増４．０*_15・通訳),0)*_15・２人),0)*(1+_15・A夜間)),0)</f>
        <v>585</v>
      </c>
      <c r="X157" s="48"/>
    </row>
    <row r="158" spans="1:24" ht="16.5" customHeight="1" x14ac:dyDescent="0.15">
      <c r="A158" s="41">
        <v>15</v>
      </c>
      <c r="B158" s="41" t="s">
        <v>4096</v>
      </c>
      <c r="C158" s="74" t="s">
        <v>30329</v>
      </c>
      <c r="D158" s="72" t="s">
        <v>17753</v>
      </c>
      <c r="F158" s="57"/>
      <c r="G158" s="35"/>
      <c r="J158" s="163"/>
      <c r="K158" s="45"/>
      <c r="L158" s="46"/>
      <c r="M158" s="512"/>
      <c r="N158" s="57"/>
      <c r="O158" s="114" t="s">
        <v>17562</v>
      </c>
      <c r="P158" s="49"/>
      <c r="Q158" s="50"/>
      <c r="R158" s="115"/>
      <c r="S158" s="35"/>
      <c r="V158" s="57"/>
      <c r="W158" s="208">
        <f>ROUND((ROUND((ROUND((_15_同援日増４．０*_15・通訳),0)*(1+_15・A夜間)),0)*(1+_15・盲ろう)),0)</f>
        <v>731</v>
      </c>
      <c r="X158" s="48"/>
    </row>
    <row r="159" spans="1:24" ht="16.5" customHeight="1" x14ac:dyDescent="0.15">
      <c r="A159" s="41">
        <v>15</v>
      </c>
      <c r="B159" s="41" t="s">
        <v>4098</v>
      </c>
      <c r="C159" s="74" t="s">
        <v>30330</v>
      </c>
      <c r="D159" s="72"/>
      <c r="E159" s="168">
        <f>_15_同援日増４．０</f>
        <v>520</v>
      </c>
      <c r="F159" s="57" t="s">
        <v>392</v>
      </c>
      <c r="G159" s="35"/>
      <c r="J159" s="299" t="s">
        <v>17556</v>
      </c>
      <c r="K159" s="45" t="s">
        <v>398</v>
      </c>
      <c r="L159" s="46">
        <v>1</v>
      </c>
      <c r="M159" s="512"/>
      <c r="N159" s="57"/>
      <c r="O159" s="269" t="s">
        <v>17564</v>
      </c>
      <c r="P159" s="37" t="s">
        <v>398</v>
      </c>
      <c r="Q159" s="38">
        <v>0.25</v>
      </c>
      <c r="R159" s="79" t="s">
        <v>3575</v>
      </c>
      <c r="S159" s="43"/>
      <c r="T159" s="37"/>
      <c r="U159" s="38"/>
      <c r="V159" s="79"/>
      <c r="W159" s="208">
        <f>ROUND((ROUND((ROUND((ROUND((_15_同援日増４．０*_15・通訳),0)*_15・２人),0)*(1+_15・A夜間)),0)*(1+_15・盲ろう)),0)</f>
        <v>731</v>
      </c>
      <c r="X159" s="48"/>
    </row>
    <row r="160" spans="1:24" ht="16.5" customHeight="1" x14ac:dyDescent="0.15">
      <c r="A160" s="41">
        <v>15</v>
      </c>
      <c r="B160" s="41" t="s">
        <v>30331</v>
      </c>
      <c r="C160" s="74" t="s">
        <v>30332</v>
      </c>
      <c r="D160" s="72"/>
      <c r="F160" s="57"/>
      <c r="G160" s="35"/>
      <c r="J160" s="163"/>
      <c r="K160" s="45"/>
      <c r="L160" s="46"/>
      <c r="M160" s="512"/>
      <c r="N160" s="57"/>
      <c r="O160" s="53"/>
      <c r="P160" s="49"/>
      <c r="Q160" s="50"/>
      <c r="R160" s="115"/>
      <c r="S160" s="114" t="s">
        <v>17570</v>
      </c>
      <c r="T160" s="49"/>
      <c r="U160" s="50"/>
      <c r="V160" s="115"/>
      <c r="W160" s="208">
        <f>ROUND((ROUND((ROUND((_15_同援日増４．０*_15・通訳),0)*(1+_15・A夜間)),0)*(1+_15・区３)),0)</f>
        <v>702</v>
      </c>
      <c r="X160" s="48"/>
    </row>
    <row r="161" spans="1:24" ht="16.5" customHeight="1" x14ac:dyDescent="0.15">
      <c r="A161" s="41">
        <v>15</v>
      </c>
      <c r="B161" s="41" t="s">
        <v>30333</v>
      </c>
      <c r="C161" s="74" t="s">
        <v>30334</v>
      </c>
      <c r="D161" s="72"/>
      <c r="F161" s="57"/>
      <c r="G161" s="35"/>
      <c r="J161" s="299" t="s">
        <v>17556</v>
      </c>
      <c r="K161" s="45" t="s">
        <v>398</v>
      </c>
      <c r="L161" s="46">
        <v>1</v>
      </c>
      <c r="M161" s="512"/>
      <c r="N161" s="57"/>
      <c r="O161" s="43"/>
      <c r="P161" s="37"/>
      <c r="Q161" s="38"/>
      <c r="R161" s="79"/>
      <c r="S161" s="92" t="s">
        <v>17572</v>
      </c>
      <c r="V161" s="57"/>
      <c r="W161" s="208">
        <f>ROUND((ROUND((ROUND((ROUND((_15_同援日増４．０*_15・通訳),0)*_15・２人),0)*(1+_15・A夜間)),0)*(1+_15・区３)),0)</f>
        <v>702</v>
      </c>
      <c r="X161" s="48"/>
    </row>
    <row r="162" spans="1:24" ht="16.5" customHeight="1" x14ac:dyDescent="0.15">
      <c r="A162" s="41">
        <v>15</v>
      </c>
      <c r="B162" s="41" t="s">
        <v>30335</v>
      </c>
      <c r="C162" s="74" t="s">
        <v>30336</v>
      </c>
      <c r="D162" s="72"/>
      <c r="F162" s="57"/>
      <c r="G162" s="35"/>
      <c r="J162" s="163"/>
      <c r="K162" s="45"/>
      <c r="L162" s="46"/>
      <c r="M162" s="512"/>
      <c r="N162" s="57"/>
      <c r="O162" s="114" t="s">
        <v>17562</v>
      </c>
      <c r="P162" s="49"/>
      <c r="Q162" s="50"/>
      <c r="R162" s="115"/>
      <c r="S162" s="35"/>
      <c r="T162" s="12" t="s">
        <v>398</v>
      </c>
      <c r="U162" s="13">
        <v>0.2</v>
      </c>
      <c r="V162" s="57" t="s">
        <v>3575</v>
      </c>
      <c r="W162" s="208">
        <f>ROUND((ROUND((ROUND((ROUND((_15_同援日増４．０*_15・通訳),0)*(1+_15・A夜間)),0)*(1+_15・盲ろう)),0)*(1+_15・区３)),0)</f>
        <v>877</v>
      </c>
      <c r="X162" s="48"/>
    </row>
    <row r="163" spans="1:24" ht="16.5" customHeight="1" x14ac:dyDescent="0.15">
      <c r="A163" s="41">
        <v>15</v>
      </c>
      <c r="B163" s="41" t="s">
        <v>30337</v>
      </c>
      <c r="C163" s="74" t="s">
        <v>30338</v>
      </c>
      <c r="D163" s="72"/>
      <c r="F163" s="57"/>
      <c r="G163" s="35"/>
      <c r="J163" s="299" t="s">
        <v>17556</v>
      </c>
      <c r="K163" s="45" t="s">
        <v>398</v>
      </c>
      <c r="L163" s="46">
        <v>1</v>
      </c>
      <c r="M163" s="512"/>
      <c r="N163" s="57"/>
      <c r="O163" s="269" t="s">
        <v>17564</v>
      </c>
      <c r="P163" s="37" t="s">
        <v>398</v>
      </c>
      <c r="Q163" s="38">
        <v>0.25</v>
      </c>
      <c r="R163" s="79" t="s">
        <v>3575</v>
      </c>
      <c r="S163" s="43"/>
      <c r="T163" s="37"/>
      <c r="U163" s="38"/>
      <c r="V163" s="79"/>
      <c r="W163" s="208">
        <f>ROUND((ROUND((ROUND((ROUND((ROUND((_15_同援日増４．０*_15・通訳),0)*_15・２人),0)*(1+_15・A夜間)),0)*(1+_15・盲ろう)),0)*(1+_15・区３)),0)</f>
        <v>877</v>
      </c>
      <c r="X163" s="48"/>
    </row>
    <row r="164" spans="1:24" ht="16.5" customHeight="1" x14ac:dyDescent="0.15">
      <c r="A164" s="41">
        <v>15</v>
      </c>
      <c r="B164" s="41" t="s">
        <v>30339</v>
      </c>
      <c r="C164" s="74" t="s">
        <v>30340</v>
      </c>
      <c r="D164" s="72"/>
      <c r="F164" s="57"/>
      <c r="G164" s="35"/>
      <c r="J164" s="163"/>
      <c r="K164" s="45"/>
      <c r="L164" s="46"/>
      <c r="M164" s="512"/>
      <c r="N164" s="57"/>
      <c r="O164" s="53"/>
      <c r="P164" s="49"/>
      <c r="Q164" s="50"/>
      <c r="R164" s="115"/>
      <c r="S164" s="114" t="s">
        <v>17580</v>
      </c>
      <c r="T164" s="49"/>
      <c r="U164" s="50"/>
      <c r="V164" s="115"/>
      <c r="W164" s="208">
        <f>ROUND((ROUND((ROUND((_15_同援日増４．０*_15・通訳),0)*(1+_15・A夜間)),0)*(1+_15・区４)),0)</f>
        <v>819</v>
      </c>
      <c r="X164" s="48"/>
    </row>
    <row r="165" spans="1:24" ht="16.5" customHeight="1" x14ac:dyDescent="0.15">
      <c r="A165" s="41">
        <v>15</v>
      </c>
      <c r="B165" s="41" t="s">
        <v>30341</v>
      </c>
      <c r="C165" s="74" t="s">
        <v>30342</v>
      </c>
      <c r="D165" s="72"/>
      <c r="F165" s="57"/>
      <c r="G165" s="35"/>
      <c r="J165" s="299" t="s">
        <v>17556</v>
      </c>
      <c r="K165" s="45" t="s">
        <v>398</v>
      </c>
      <c r="L165" s="46">
        <v>1</v>
      </c>
      <c r="M165" s="512"/>
      <c r="N165" s="57"/>
      <c r="O165" s="43"/>
      <c r="P165" s="37"/>
      <c r="Q165" s="38"/>
      <c r="R165" s="79"/>
      <c r="S165" s="92" t="s">
        <v>17572</v>
      </c>
      <c r="V165" s="57"/>
      <c r="W165" s="208">
        <f>ROUND((ROUND((ROUND((ROUND((_15_同援日増４．０*_15・通訳),0)*_15・２人),0)*(1+_15・A夜間)),0)*(1+_15・区４)),0)</f>
        <v>819</v>
      </c>
      <c r="X165" s="48"/>
    </row>
    <row r="166" spans="1:24" ht="16.5" customHeight="1" x14ac:dyDescent="0.15">
      <c r="A166" s="41">
        <v>15</v>
      </c>
      <c r="B166" s="41" t="s">
        <v>30343</v>
      </c>
      <c r="C166" s="74" t="s">
        <v>30344</v>
      </c>
      <c r="D166" s="72"/>
      <c r="F166" s="57"/>
      <c r="G166" s="35"/>
      <c r="J166" s="163"/>
      <c r="K166" s="45"/>
      <c r="L166" s="46"/>
      <c r="M166" s="512"/>
      <c r="N166" s="57"/>
      <c r="O166" s="114" t="s">
        <v>17562</v>
      </c>
      <c r="P166" s="49"/>
      <c r="Q166" s="50"/>
      <c r="R166" s="115"/>
      <c r="S166" s="35"/>
      <c r="T166" s="12" t="s">
        <v>398</v>
      </c>
      <c r="U166" s="13">
        <v>0.4</v>
      </c>
      <c r="V166" s="57" t="s">
        <v>3575</v>
      </c>
      <c r="W166" s="208">
        <f>ROUND((ROUND((ROUND((ROUND((_15_同援日増４．０*_15・通訳),0)*(1+_15・A夜間)),0)*(1+_15・盲ろう)),0)*(1+_15・区４)),0)</f>
        <v>1023</v>
      </c>
      <c r="X166" s="48"/>
    </row>
    <row r="167" spans="1:24" ht="16.5" customHeight="1" x14ac:dyDescent="0.15">
      <c r="A167" s="41">
        <v>15</v>
      </c>
      <c r="B167" s="41" t="s">
        <v>30345</v>
      </c>
      <c r="C167" s="74" t="s">
        <v>30346</v>
      </c>
      <c r="D167" s="122"/>
      <c r="E167" s="37"/>
      <c r="F167" s="79"/>
      <c r="G167" s="35"/>
      <c r="J167" s="299" t="s">
        <v>17556</v>
      </c>
      <c r="K167" s="45" t="s">
        <v>398</v>
      </c>
      <c r="L167" s="46">
        <v>1</v>
      </c>
      <c r="M167" s="512"/>
      <c r="N167" s="57"/>
      <c r="O167" s="269" t="s">
        <v>17564</v>
      </c>
      <c r="P167" s="37" t="s">
        <v>398</v>
      </c>
      <c r="Q167" s="38">
        <v>0.25</v>
      </c>
      <c r="R167" s="79" t="s">
        <v>3575</v>
      </c>
      <c r="S167" s="43"/>
      <c r="T167" s="37"/>
      <c r="U167" s="38"/>
      <c r="V167" s="79"/>
      <c r="W167" s="208">
        <f>ROUND((ROUND((ROUND((ROUND((ROUND((_15_同援日増４．０*_15・通訳),0)*_15・２人),0)*(1+_15・A夜間)),0)*(1+_15・盲ろう)),0)*(1+_15・区４)),0)</f>
        <v>1023</v>
      </c>
      <c r="X167" s="48"/>
    </row>
    <row r="168" spans="1:24" ht="16.5" customHeight="1" x14ac:dyDescent="0.15">
      <c r="A168" s="41">
        <v>15</v>
      </c>
      <c r="B168" s="41" t="s">
        <v>4102</v>
      </c>
      <c r="C168" s="74" t="s">
        <v>30347</v>
      </c>
      <c r="D168" s="114" t="s">
        <v>25102</v>
      </c>
      <c r="E168" s="49"/>
      <c r="F168" s="115"/>
      <c r="G168" s="35"/>
      <c r="J168" s="163"/>
      <c r="K168" s="45"/>
      <c r="L168" s="46"/>
      <c r="M168" s="512"/>
      <c r="N168" s="57"/>
      <c r="O168" s="53"/>
      <c r="P168" s="49"/>
      <c r="Q168" s="50"/>
      <c r="R168" s="115"/>
      <c r="S168" s="53"/>
      <c r="T168" s="49"/>
      <c r="U168" s="50"/>
      <c r="V168" s="115"/>
      <c r="W168" s="208">
        <f>ROUND((ROUND((_15_同援日増４．５*_15・通訳),0)*(1+_15・A夜間)),0)</f>
        <v>659</v>
      </c>
      <c r="X168" s="48"/>
    </row>
    <row r="169" spans="1:24" ht="16.5" customHeight="1" x14ac:dyDescent="0.15">
      <c r="A169" s="41">
        <v>15</v>
      </c>
      <c r="B169" s="41" t="s">
        <v>4104</v>
      </c>
      <c r="C169" s="74" t="s">
        <v>30348</v>
      </c>
      <c r="D169" s="72" t="s">
        <v>17778</v>
      </c>
      <c r="F169" s="57"/>
      <c r="G169" s="35"/>
      <c r="J169" s="299" t="s">
        <v>17556</v>
      </c>
      <c r="K169" s="45" t="s">
        <v>398</v>
      </c>
      <c r="L169" s="46">
        <v>1</v>
      </c>
      <c r="M169" s="512"/>
      <c r="N169" s="57"/>
      <c r="O169" s="43"/>
      <c r="P169" s="37"/>
      <c r="Q169" s="38"/>
      <c r="R169" s="79"/>
      <c r="S169" s="35"/>
      <c r="V169" s="57"/>
      <c r="W169" s="208">
        <f>ROUND((ROUND((ROUND((_15_同援日増４．５*_15・通訳),0)*_15・２人),0)*(1+_15・A夜間)),0)</f>
        <v>659</v>
      </c>
      <c r="X169" s="48"/>
    </row>
    <row r="170" spans="1:24" ht="16.5" customHeight="1" x14ac:dyDescent="0.15">
      <c r="A170" s="41">
        <v>15</v>
      </c>
      <c r="B170" s="41" t="s">
        <v>30349</v>
      </c>
      <c r="C170" s="74" t="s">
        <v>30350</v>
      </c>
      <c r="D170" s="72" t="s">
        <v>18463</v>
      </c>
      <c r="F170" s="57"/>
      <c r="G170" s="35"/>
      <c r="J170" s="163"/>
      <c r="K170" s="45"/>
      <c r="L170" s="46"/>
      <c r="M170" s="512"/>
      <c r="N170" s="57"/>
      <c r="O170" s="114" t="s">
        <v>17562</v>
      </c>
      <c r="P170" s="49"/>
      <c r="Q170" s="50"/>
      <c r="R170" s="115"/>
      <c r="S170" s="35"/>
      <c r="V170" s="57"/>
      <c r="W170" s="208">
        <f>ROUND((ROUND((ROUND((_15_同援日増４．５*_15・通訳),0)*(1+_15・A夜間)),0)*(1+_15・盲ろう)),0)</f>
        <v>824</v>
      </c>
      <c r="X170" s="48"/>
    </row>
    <row r="171" spans="1:24" ht="16.5" customHeight="1" x14ac:dyDescent="0.15">
      <c r="A171" s="41">
        <v>15</v>
      </c>
      <c r="B171" s="41" t="s">
        <v>30351</v>
      </c>
      <c r="C171" s="74" t="s">
        <v>30352</v>
      </c>
      <c r="D171" s="72"/>
      <c r="E171" s="168">
        <f>_15_同援日増４．５</f>
        <v>585</v>
      </c>
      <c r="F171" s="57" t="s">
        <v>392</v>
      </c>
      <c r="G171" s="35"/>
      <c r="J171" s="299" t="s">
        <v>17556</v>
      </c>
      <c r="K171" s="45" t="s">
        <v>398</v>
      </c>
      <c r="L171" s="46">
        <v>1</v>
      </c>
      <c r="M171" s="512"/>
      <c r="N171" s="57"/>
      <c r="O171" s="269" t="s">
        <v>17564</v>
      </c>
      <c r="P171" s="37" t="s">
        <v>398</v>
      </c>
      <c r="Q171" s="38">
        <v>0.25</v>
      </c>
      <c r="R171" s="79" t="s">
        <v>3575</v>
      </c>
      <c r="S171" s="43"/>
      <c r="T171" s="37"/>
      <c r="U171" s="38"/>
      <c r="V171" s="79"/>
      <c r="W171" s="208">
        <f>ROUND((ROUND((ROUND((ROUND((_15_同援日増４．５*_15・通訳),0)*_15・２人),0)*(1+_15・A夜間)),0)*(1+_15・盲ろう)),0)</f>
        <v>824</v>
      </c>
      <c r="X171" s="48"/>
    </row>
    <row r="172" spans="1:24" ht="16.5" customHeight="1" x14ac:dyDescent="0.15">
      <c r="A172" s="41">
        <v>15</v>
      </c>
      <c r="B172" s="41" t="s">
        <v>30353</v>
      </c>
      <c r="C172" s="74" t="s">
        <v>30354</v>
      </c>
      <c r="D172" s="72"/>
      <c r="F172" s="57"/>
      <c r="G172" s="35"/>
      <c r="J172" s="163"/>
      <c r="K172" s="45"/>
      <c r="L172" s="46"/>
      <c r="M172" s="512"/>
      <c r="N172" s="57"/>
      <c r="O172" s="53"/>
      <c r="P172" s="49"/>
      <c r="Q172" s="50"/>
      <c r="R172" s="115"/>
      <c r="S172" s="114" t="s">
        <v>17570</v>
      </c>
      <c r="T172" s="49"/>
      <c r="U172" s="50"/>
      <c r="V172" s="115"/>
      <c r="W172" s="208">
        <f>ROUND((ROUND((ROUND((_15_同援日増４．５*_15・通訳),0)*(1+_15・A夜間)),0)*(1+_15・区３)),0)</f>
        <v>791</v>
      </c>
      <c r="X172" s="48"/>
    </row>
    <row r="173" spans="1:24" ht="16.5" customHeight="1" x14ac:dyDescent="0.15">
      <c r="A173" s="41">
        <v>15</v>
      </c>
      <c r="B173" s="41" t="s">
        <v>30355</v>
      </c>
      <c r="C173" s="74" t="s">
        <v>30356</v>
      </c>
      <c r="D173" s="72"/>
      <c r="F173" s="57"/>
      <c r="G173" s="35"/>
      <c r="J173" s="299" t="s">
        <v>17556</v>
      </c>
      <c r="K173" s="45" t="s">
        <v>398</v>
      </c>
      <c r="L173" s="46">
        <v>1</v>
      </c>
      <c r="M173" s="512"/>
      <c r="N173" s="57"/>
      <c r="O173" s="43"/>
      <c r="P173" s="37"/>
      <c r="Q173" s="38"/>
      <c r="R173" s="79"/>
      <c r="S173" s="92" t="s">
        <v>17572</v>
      </c>
      <c r="V173" s="57"/>
      <c r="W173" s="208">
        <f>ROUND((ROUND((ROUND((ROUND((_15_同援日増４．５*_15・通訳),0)*_15・２人),0)*(1+_15・A夜間)),0)*(1+_15・区３)),0)</f>
        <v>791</v>
      </c>
      <c r="X173" s="48"/>
    </row>
    <row r="174" spans="1:24" ht="16.5" customHeight="1" x14ac:dyDescent="0.15">
      <c r="A174" s="41">
        <v>15</v>
      </c>
      <c r="B174" s="41" t="s">
        <v>30357</v>
      </c>
      <c r="C174" s="74" t="s">
        <v>30358</v>
      </c>
      <c r="D174" s="72"/>
      <c r="F174" s="57"/>
      <c r="G174" s="35"/>
      <c r="J174" s="163"/>
      <c r="K174" s="45"/>
      <c r="L174" s="46"/>
      <c r="M174" s="512"/>
      <c r="N174" s="57"/>
      <c r="O174" s="114" t="s">
        <v>17562</v>
      </c>
      <c r="P174" s="49"/>
      <c r="Q174" s="50"/>
      <c r="R174" s="115"/>
      <c r="S174" s="35"/>
      <c r="T174" s="12" t="s">
        <v>398</v>
      </c>
      <c r="U174" s="13">
        <v>0.2</v>
      </c>
      <c r="V174" s="57" t="s">
        <v>3575</v>
      </c>
      <c r="W174" s="208">
        <f>ROUND((ROUND((ROUND((ROUND((_15_同援日増４．５*_15・通訳),0)*(1+_15・A夜間)),0)*(1+_15・盲ろう)),0)*(1+_15・区３)),0)</f>
        <v>989</v>
      </c>
      <c r="X174" s="48"/>
    </row>
    <row r="175" spans="1:24" ht="16.5" customHeight="1" x14ac:dyDescent="0.15">
      <c r="A175" s="41">
        <v>15</v>
      </c>
      <c r="B175" s="41" t="s">
        <v>30359</v>
      </c>
      <c r="C175" s="74" t="s">
        <v>30360</v>
      </c>
      <c r="D175" s="72"/>
      <c r="F175" s="57"/>
      <c r="G175" s="35"/>
      <c r="J175" s="299" t="s">
        <v>17556</v>
      </c>
      <c r="K175" s="45" t="s">
        <v>398</v>
      </c>
      <c r="L175" s="46">
        <v>1</v>
      </c>
      <c r="M175" s="512"/>
      <c r="N175" s="57"/>
      <c r="O175" s="269" t="s">
        <v>17564</v>
      </c>
      <c r="P175" s="37" t="s">
        <v>398</v>
      </c>
      <c r="Q175" s="38">
        <v>0.25</v>
      </c>
      <c r="R175" s="79" t="s">
        <v>3575</v>
      </c>
      <c r="S175" s="43"/>
      <c r="T175" s="37"/>
      <c r="U175" s="38"/>
      <c r="V175" s="79"/>
      <c r="W175" s="208">
        <f>ROUND((ROUND((ROUND((ROUND((ROUND((_15_同援日増４．５*_15・通訳),0)*_15・２人),0)*(1+_15・A夜間)),0)*(1+_15・盲ろう)),0)*(1+_15・区３)),0)</f>
        <v>989</v>
      </c>
      <c r="X175" s="48"/>
    </row>
    <row r="176" spans="1:24" ht="16.5" customHeight="1" x14ac:dyDescent="0.15">
      <c r="A176" s="41">
        <v>15</v>
      </c>
      <c r="B176" s="41" t="s">
        <v>30361</v>
      </c>
      <c r="C176" s="74" t="s">
        <v>30362</v>
      </c>
      <c r="D176" s="72"/>
      <c r="F176" s="57"/>
      <c r="G176" s="35"/>
      <c r="J176" s="163"/>
      <c r="K176" s="45"/>
      <c r="L176" s="46"/>
      <c r="M176" s="512"/>
      <c r="N176" s="57"/>
      <c r="O176" s="53"/>
      <c r="P176" s="49"/>
      <c r="Q176" s="50"/>
      <c r="R176" s="115"/>
      <c r="S176" s="114" t="s">
        <v>17580</v>
      </c>
      <c r="T176" s="49"/>
      <c r="U176" s="50"/>
      <c r="V176" s="115"/>
      <c r="W176" s="208">
        <f>ROUND((ROUND((ROUND((_15_同援日増４．５*_15・通訳),0)*(1+_15・A夜間)),0)*(1+_15・区４)),0)</f>
        <v>923</v>
      </c>
      <c r="X176" s="48"/>
    </row>
    <row r="177" spans="1:24" ht="16.5" customHeight="1" x14ac:dyDescent="0.15">
      <c r="A177" s="41">
        <v>15</v>
      </c>
      <c r="B177" s="41" t="s">
        <v>30363</v>
      </c>
      <c r="C177" s="74" t="s">
        <v>30364</v>
      </c>
      <c r="D177" s="72"/>
      <c r="F177" s="57"/>
      <c r="G177" s="35"/>
      <c r="J177" s="299" t="s">
        <v>17556</v>
      </c>
      <c r="K177" s="45" t="s">
        <v>398</v>
      </c>
      <c r="L177" s="46">
        <v>1</v>
      </c>
      <c r="M177" s="512"/>
      <c r="N177" s="57"/>
      <c r="O177" s="43"/>
      <c r="P177" s="37"/>
      <c r="Q177" s="38"/>
      <c r="R177" s="79"/>
      <c r="S177" s="92" t="s">
        <v>17572</v>
      </c>
      <c r="V177" s="57"/>
      <c r="W177" s="208">
        <f>ROUND((ROUND((ROUND((ROUND((_15_同援日増４．５*_15・通訳),0)*_15・２人),0)*(1+_15・A夜間)),0)*(1+_15・区４)),0)</f>
        <v>923</v>
      </c>
      <c r="X177" s="48"/>
    </row>
    <row r="178" spans="1:24" ht="16.5" customHeight="1" x14ac:dyDescent="0.15">
      <c r="A178" s="41">
        <v>15</v>
      </c>
      <c r="B178" s="41" t="s">
        <v>4108</v>
      </c>
      <c r="C178" s="74" t="s">
        <v>30365</v>
      </c>
      <c r="D178" s="72"/>
      <c r="F178" s="57"/>
      <c r="G178" s="35"/>
      <c r="J178" s="163"/>
      <c r="K178" s="45"/>
      <c r="L178" s="46"/>
      <c r="M178" s="512"/>
      <c r="N178" s="57"/>
      <c r="O178" s="114" t="s">
        <v>17562</v>
      </c>
      <c r="P178" s="49"/>
      <c r="Q178" s="50"/>
      <c r="R178" s="115"/>
      <c r="S178" s="35"/>
      <c r="T178" s="12" t="s">
        <v>398</v>
      </c>
      <c r="U178" s="13">
        <v>0.4</v>
      </c>
      <c r="V178" s="57" t="s">
        <v>3575</v>
      </c>
      <c r="W178" s="208">
        <f>ROUND((ROUND((ROUND((ROUND((_15_同援日増４．５*_15・通訳),0)*(1+_15・A夜間)),0)*(1+_15・盲ろう)),0)*(1+_15・区４)),0)</f>
        <v>1154</v>
      </c>
      <c r="X178" s="48"/>
    </row>
    <row r="179" spans="1:24" ht="16.5" customHeight="1" x14ac:dyDescent="0.15">
      <c r="A179" s="41">
        <v>15</v>
      </c>
      <c r="B179" s="41" t="s">
        <v>4110</v>
      </c>
      <c r="C179" s="74" t="s">
        <v>30366</v>
      </c>
      <c r="D179" s="122"/>
      <c r="E179" s="37"/>
      <c r="F179" s="79"/>
      <c r="G179" s="43"/>
      <c r="H179" s="37"/>
      <c r="I179" s="38"/>
      <c r="J179" s="299" t="s">
        <v>17556</v>
      </c>
      <c r="K179" s="45" t="s">
        <v>398</v>
      </c>
      <c r="L179" s="46">
        <v>1</v>
      </c>
      <c r="M179" s="514"/>
      <c r="N179" s="79"/>
      <c r="O179" s="269" t="s">
        <v>17564</v>
      </c>
      <c r="P179" s="37" t="s">
        <v>398</v>
      </c>
      <c r="Q179" s="38">
        <v>0.25</v>
      </c>
      <c r="R179" s="79" t="s">
        <v>3575</v>
      </c>
      <c r="S179" s="43"/>
      <c r="T179" s="37"/>
      <c r="U179" s="38"/>
      <c r="V179" s="79"/>
      <c r="W179" s="208">
        <f>ROUND((ROUND((ROUND((ROUND((ROUND((_15_同援日増４．５*_15・通訳),0)*_15・２人),0)*(1+_15・A夜間)),0)*(1+_15・盲ろう)),0)*(1+_15・区４)),0)</f>
        <v>1154</v>
      </c>
      <c r="X179" s="63"/>
    </row>
    <row r="180" spans="1:24" ht="16.5" customHeight="1" x14ac:dyDescent="0.15"/>
    <row r="181" spans="1:24"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45" fitToHeight="0" orientation="portrait" r:id="rId1"/>
  <headerFooter>
    <oddHeader>&amp;R&amp;"ＭＳ Ｐゴシック"&amp;9同行援護</oddHeader>
    <oddFooter>&amp;C&amp;"ＭＳ Ｐゴシック"&amp;14&amp;P</oddFooter>
  </headerFooter>
  <rowBreaks count="1" manualBreakCount="1">
    <brk id="107" max="16383"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8">
    <pageSetUpPr fitToPage="1"/>
  </sheetPr>
  <dimension ref="A1:X164"/>
  <sheetViews>
    <sheetView view="pageBreakPreview" zoomScaleNormal="100" zoomScaleSheetLayoutView="100" workbookViewId="0"/>
  </sheetViews>
  <sheetFormatPr defaultColWidth="9" defaultRowHeight="14.25" x14ac:dyDescent="0.15"/>
  <cols>
    <col min="1" max="1" width="4.5" style="9" customWidth="1"/>
    <col min="2" max="2" width="7.5" style="9" customWidth="1"/>
    <col min="3" max="3" width="36.5" style="10" customWidth="1"/>
    <col min="4" max="4" width="8.5" style="10" customWidth="1"/>
    <col min="5" max="5" width="4.125" style="12" bestFit="1" customWidth="1"/>
    <col min="6" max="6" width="4.875" style="12" bestFit="1" customWidth="1"/>
    <col min="7" max="7" width="16.5" style="12" customWidth="1"/>
    <col min="8" max="8" width="3.125" style="12" bestFit="1" customWidth="1"/>
    <col min="9" max="9" width="4.125" style="13" bestFit="1" customWidth="1"/>
    <col min="10" max="10" width="26.5" style="12" bestFit="1" customWidth="1"/>
    <col min="11" max="11" width="3.125" style="12" bestFit="1" customWidth="1"/>
    <col min="12" max="12" width="5" style="13" bestFit="1" customWidth="1"/>
    <col min="13" max="13" width="4.125" style="13" bestFit="1" customWidth="1"/>
    <col min="14" max="14" width="4.875" style="12" bestFit="1" customWidth="1"/>
    <col min="15" max="15" width="22.125" style="12" customWidth="1"/>
    <col min="16" max="16" width="3.125" style="12" bestFit="1" customWidth="1"/>
    <col min="17" max="17" width="4.125" style="13" bestFit="1" customWidth="1"/>
    <col min="18" max="18" width="4.875" style="12" bestFit="1" customWidth="1"/>
    <col min="19" max="19" width="8.5" style="12" customWidth="1"/>
    <col min="20" max="20" width="3.125" style="12" bestFit="1" customWidth="1"/>
    <col min="21" max="21" width="4.125" style="13" bestFit="1" customWidth="1"/>
    <col min="22" max="22" width="4.875" style="12" bestFit="1" customWidth="1"/>
    <col min="23" max="23" width="7.125" style="206" customWidth="1"/>
    <col min="24" max="24" width="8.5" style="16" customWidth="1"/>
    <col min="25" max="16384" width="9" style="12"/>
  </cols>
  <sheetData>
    <row r="1" spans="1:24" ht="17.100000000000001" customHeight="1" x14ac:dyDescent="0.15"/>
    <row r="2" spans="1:24" ht="17.100000000000001" customHeight="1" x14ac:dyDescent="0.15"/>
    <row r="3" spans="1:24" ht="17.100000000000001" customHeight="1" x14ac:dyDescent="0.15"/>
    <row r="4" spans="1:24" ht="17.100000000000001" customHeight="1" x14ac:dyDescent="0.15">
      <c r="B4" s="17" t="s">
        <v>30367</v>
      </c>
      <c r="D4" s="71"/>
    </row>
    <row r="5" spans="1:24" ht="16.5" customHeight="1" x14ac:dyDescent="0.15">
      <c r="A5" s="19" t="s">
        <v>384</v>
      </c>
      <c r="B5" s="20"/>
      <c r="C5" s="21" t="s">
        <v>385</v>
      </c>
      <c r="D5" s="23" t="s">
        <v>386</v>
      </c>
      <c r="E5" s="23"/>
      <c r="F5" s="23"/>
      <c r="G5" s="23"/>
      <c r="H5" s="23"/>
      <c r="I5" s="24"/>
      <c r="J5" s="23"/>
      <c r="K5" s="23"/>
      <c r="L5" s="24"/>
      <c r="M5" s="24"/>
      <c r="N5" s="23"/>
      <c r="O5" s="23"/>
      <c r="P5" s="23"/>
      <c r="Q5" s="24"/>
      <c r="R5" s="23"/>
      <c r="S5" s="23"/>
      <c r="T5" s="23"/>
      <c r="U5" s="24"/>
      <c r="V5" s="23"/>
      <c r="W5" s="21" t="s">
        <v>387</v>
      </c>
      <c r="X5" s="21" t="s">
        <v>388</v>
      </c>
    </row>
    <row r="6" spans="1:24" ht="16.5" customHeight="1" x14ac:dyDescent="0.15">
      <c r="A6" s="26" t="s">
        <v>389</v>
      </c>
      <c r="B6" s="26" t="s">
        <v>390</v>
      </c>
      <c r="C6" s="27"/>
      <c r="D6" s="29"/>
      <c r="E6" s="29"/>
      <c r="F6" s="29"/>
      <c r="G6" s="29"/>
      <c r="H6" s="29"/>
      <c r="I6" s="30"/>
      <c r="J6" s="29"/>
      <c r="K6" s="29"/>
      <c r="L6" s="30"/>
      <c r="M6" s="30"/>
      <c r="N6" s="29"/>
      <c r="O6" s="29"/>
      <c r="P6" s="29"/>
      <c r="Q6" s="30"/>
      <c r="R6" s="29"/>
      <c r="S6" s="29"/>
      <c r="T6" s="29"/>
      <c r="U6" s="30"/>
      <c r="V6" s="29"/>
      <c r="W6" s="32" t="s">
        <v>391</v>
      </c>
      <c r="X6" s="32" t="s">
        <v>392</v>
      </c>
    </row>
    <row r="7" spans="1:24" ht="16.5" customHeight="1" x14ac:dyDescent="0.15">
      <c r="A7" s="33">
        <v>15</v>
      </c>
      <c r="B7" s="33" t="s">
        <v>30368</v>
      </c>
      <c r="C7" s="34" t="s">
        <v>30369</v>
      </c>
      <c r="D7" s="72" t="s">
        <v>25145</v>
      </c>
      <c r="F7" s="57"/>
      <c r="G7" s="35"/>
      <c r="J7" s="43"/>
      <c r="K7" s="37"/>
      <c r="L7" s="38"/>
      <c r="M7" s="512"/>
      <c r="N7" s="57"/>
      <c r="O7" s="35"/>
      <c r="R7" s="57"/>
      <c r="S7" s="35"/>
      <c r="V7" s="57"/>
      <c r="W7" s="207">
        <f>ROUND((ROUND((_15_同援日増０．５*_15・通訳),0)*(1+_15・A深夜)),0)</f>
        <v>89</v>
      </c>
      <c r="X7" s="40" t="s">
        <v>395</v>
      </c>
    </row>
    <row r="8" spans="1:24" ht="16.5" customHeight="1" x14ac:dyDescent="0.15">
      <c r="A8" s="41">
        <v>15</v>
      </c>
      <c r="B8" s="41" t="s">
        <v>30370</v>
      </c>
      <c r="C8" s="74" t="s">
        <v>30371</v>
      </c>
      <c r="D8" s="72" t="s">
        <v>18259</v>
      </c>
      <c r="F8" s="57"/>
      <c r="G8" s="35"/>
      <c r="J8" s="299" t="s">
        <v>17556</v>
      </c>
      <c r="K8" s="45" t="s">
        <v>398</v>
      </c>
      <c r="L8" s="46">
        <v>1</v>
      </c>
      <c r="M8" s="512"/>
      <c r="N8" s="57"/>
      <c r="O8" s="43"/>
      <c r="P8" s="37"/>
      <c r="Q8" s="38"/>
      <c r="R8" s="79"/>
      <c r="S8" s="35"/>
      <c r="V8" s="57"/>
      <c r="W8" s="208">
        <f>ROUND((ROUND((ROUND((_15_同援日増０．５*_15・通訳),0)*_15・２人),0)*(1+_15・A深夜)),0)</f>
        <v>89</v>
      </c>
      <c r="X8" s="48"/>
    </row>
    <row r="9" spans="1:24" ht="16.5" customHeight="1" x14ac:dyDescent="0.15">
      <c r="A9" s="41">
        <v>15</v>
      </c>
      <c r="B9" s="41" t="s">
        <v>30372</v>
      </c>
      <c r="C9" s="74" t="s">
        <v>30373</v>
      </c>
      <c r="D9" s="72"/>
      <c r="F9" s="57"/>
      <c r="G9" s="35"/>
      <c r="J9" s="163"/>
      <c r="K9" s="45"/>
      <c r="L9" s="46"/>
      <c r="M9" s="512"/>
      <c r="N9" s="57"/>
      <c r="O9" s="114" t="s">
        <v>17562</v>
      </c>
      <c r="P9" s="49"/>
      <c r="Q9" s="50"/>
      <c r="R9" s="115"/>
      <c r="S9" s="35"/>
      <c r="V9" s="57"/>
      <c r="W9" s="208">
        <f>ROUND((ROUND((ROUND((_15_同援日増０．５*_15・通訳),0)*(1+_15・A深夜)),0)*(1+_15・盲ろう)),0)</f>
        <v>111</v>
      </c>
      <c r="X9" s="48"/>
    </row>
    <row r="10" spans="1:24" ht="16.5" customHeight="1" x14ac:dyDescent="0.15">
      <c r="A10" s="41">
        <v>15</v>
      </c>
      <c r="B10" s="41" t="s">
        <v>30374</v>
      </c>
      <c r="C10" s="74" t="s">
        <v>30375</v>
      </c>
      <c r="D10" s="72"/>
      <c r="E10" s="168">
        <f>_15_同援日増０．５</f>
        <v>65</v>
      </c>
      <c r="F10" s="57" t="s">
        <v>392</v>
      </c>
      <c r="G10" s="35"/>
      <c r="J10" s="299" t="s">
        <v>17556</v>
      </c>
      <c r="K10" s="45" t="s">
        <v>398</v>
      </c>
      <c r="L10" s="46">
        <v>1</v>
      </c>
      <c r="M10" s="512"/>
      <c r="N10" s="57"/>
      <c r="O10" s="269" t="s">
        <v>17564</v>
      </c>
      <c r="P10" s="37" t="s">
        <v>398</v>
      </c>
      <c r="Q10" s="38">
        <v>0.25</v>
      </c>
      <c r="R10" s="79" t="s">
        <v>3575</v>
      </c>
      <c r="S10" s="43"/>
      <c r="T10" s="37"/>
      <c r="U10" s="38"/>
      <c r="V10" s="79"/>
      <c r="W10" s="208">
        <f>ROUND((ROUND((ROUND((ROUND((_15_同援日増０．５*_15・通訳),0)*_15・２人),0)*(1+_15・A深夜)),0)*(1+_15・盲ろう)),0)</f>
        <v>111</v>
      </c>
      <c r="X10" s="48"/>
    </row>
    <row r="11" spans="1:24" ht="16.5" customHeight="1" x14ac:dyDescent="0.15">
      <c r="A11" s="41">
        <v>15</v>
      </c>
      <c r="B11" s="41" t="s">
        <v>30376</v>
      </c>
      <c r="C11" s="74" t="s">
        <v>30377</v>
      </c>
      <c r="D11" s="72"/>
      <c r="F11" s="57"/>
      <c r="G11" s="35"/>
      <c r="J11" s="163"/>
      <c r="K11" s="45"/>
      <c r="L11" s="46"/>
      <c r="M11" s="512"/>
      <c r="N11" s="57"/>
      <c r="O11" s="53"/>
      <c r="P11" s="49"/>
      <c r="Q11" s="50"/>
      <c r="R11" s="115"/>
      <c r="S11" s="114" t="s">
        <v>17570</v>
      </c>
      <c r="T11" s="49"/>
      <c r="U11" s="50"/>
      <c r="V11" s="115"/>
      <c r="W11" s="208">
        <f>ROUND((ROUND((ROUND((_15_同援日増０．５*_15・通訳),0)*(1+_15・A深夜)),0)*(1+_15・区３)),0)</f>
        <v>107</v>
      </c>
      <c r="X11" s="48"/>
    </row>
    <row r="12" spans="1:24" ht="16.5" customHeight="1" x14ac:dyDescent="0.15">
      <c r="A12" s="41">
        <v>15</v>
      </c>
      <c r="B12" s="41" t="s">
        <v>30378</v>
      </c>
      <c r="C12" s="74" t="s">
        <v>30379</v>
      </c>
      <c r="D12" s="72"/>
      <c r="F12" s="57"/>
      <c r="G12" s="72" t="s">
        <v>25732</v>
      </c>
      <c r="J12" s="299" t="s">
        <v>17556</v>
      </c>
      <c r="K12" s="45" t="s">
        <v>398</v>
      </c>
      <c r="L12" s="46">
        <v>1</v>
      </c>
      <c r="M12" s="517" t="s">
        <v>18493</v>
      </c>
      <c r="N12" s="57"/>
      <c r="O12" s="43"/>
      <c r="P12" s="37"/>
      <c r="Q12" s="38"/>
      <c r="R12" s="79"/>
      <c r="S12" s="92" t="s">
        <v>17572</v>
      </c>
      <c r="V12" s="57"/>
      <c r="W12" s="208">
        <f>ROUND((ROUND((ROUND((ROUND((_15_同援日増０．５*_15・通訳),0)*_15・２人),0)*(1+_15・A深夜)),0)*(1+_15・区３)),0)</f>
        <v>107</v>
      </c>
      <c r="X12" s="48"/>
    </row>
    <row r="13" spans="1:24" ht="16.5" customHeight="1" x14ac:dyDescent="0.15">
      <c r="A13" s="41">
        <v>15</v>
      </c>
      <c r="B13" s="41" t="s">
        <v>30380</v>
      </c>
      <c r="C13" s="74" t="s">
        <v>30381</v>
      </c>
      <c r="D13" s="72"/>
      <c r="F13" s="57"/>
      <c r="G13" s="92" t="s">
        <v>25734</v>
      </c>
      <c r="H13" s="12" t="s">
        <v>398</v>
      </c>
      <c r="I13" s="13">
        <v>0.9</v>
      </c>
      <c r="J13" s="163"/>
      <c r="K13" s="45"/>
      <c r="L13" s="46"/>
      <c r="M13" s="512"/>
      <c r="N13" s="519" t="s">
        <v>18136</v>
      </c>
      <c r="O13" s="114" t="s">
        <v>17562</v>
      </c>
      <c r="P13" s="49"/>
      <c r="Q13" s="50"/>
      <c r="R13" s="115"/>
      <c r="S13" s="35"/>
      <c r="T13" s="12" t="s">
        <v>398</v>
      </c>
      <c r="U13" s="13">
        <v>0.2</v>
      </c>
      <c r="V13" s="57" t="s">
        <v>3575</v>
      </c>
      <c r="W13" s="208">
        <f>ROUND((ROUND((ROUND((ROUND((_15_同援日増０．５*_15・通訳),0)*(1+_15・A深夜)),0)*(1+_15・盲ろう)),0)*(1+_15・区３)),0)</f>
        <v>133</v>
      </c>
      <c r="X13" s="48"/>
    </row>
    <row r="14" spans="1:24" ht="16.5" customHeight="1" x14ac:dyDescent="0.15">
      <c r="A14" s="41">
        <v>15</v>
      </c>
      <c r="B14" s="41" t="s">
        <v>30382</v>
      </c>
      <c r="C14" s="74" t="s">
        <v>30383</v>
      </c>
      <c r="D14" s="72"/>
      <c r="F14" s="57"/>
      <c r="G14" s="35"/>
      <c r="J14" s="299" t="s">
        <v>17556</v>
      </c>
      <c r="K14" s="45" t="s">
        <v>398</v>
      </c>
      <c r="L14" s="46">
        <v>1</v>
      </c>
      <c r="M14" s="512"/>
      <c r="N14" s="57"/>
      <c r="O14" s="269" t="s">
        <v>17564</v>
      </c>
      <c r="P14" s="37" t="s">
        <v>398</v>
      </c>
      <c r="Q14" s="38">
        <v>0.25</v>
      </c>
      <c r="R14" s="79" t="s">
        <v>3575</v>
      </c>
      <c r="S14" s="43"/>
      <c r="T14" s="37"/>
      <c r="U14" s="38"/>
      <c r="V14" s="79"/>
      <c r="W14" s="208">
        <f>ROUND((ROUND((ROUND((ROUND((ROUND((_15_同援日増０．５*_15・通訳),0)*_15・２人),0)*(1+_15・A深夜)),0)*(1+_15・盲ろう)),0)*(1+_15・区３)),0)</f>
        <v>133</v>
      </c>
      <c r="X14" s="48"/>
    </row>
    <row r="15" spans="1:24" ht="16.5" customHeight="1" x14ac:dyDescent="0.15">
      <c r="A15" s="41">
        <v>15</v>
      </c>
      <c r="B15" s="41" t="s">
        <v>4114</v>
      </c>
      <c r="C15" s="74" t="s">
        <v>30384</v>
      </c>
      <c r="D15" s="72"/>
      <c r="F15" s="57"/>
      <c r="G15" s="35"/>
      <c r="J15" s="163"/>
      <c r="K15" s="45"/>
      <c r="L15" s="46"/>
      <c r="M15" s="35" t="s">
        <v>398</v>
      </c>
      <c r="N15" s="234">
        <v>0.5</v>
      </c>
      <c r="O15" s="53"/>
      <c r="P15" s="49"/>
      <c r="Q15" s="50"/>
      <c r="R15" s="115"/>
      <c r="S15" s="114" t="s">
        <v>17580</v>
      </c>
      <c r="T15" s="49"/>
      <c r="U15" s="50"/>
      <c r="V15" s="115"/>
      <c r="W15" s="208">
        <f>ROUND((ROUND((ROUND((_15_同援日増０．５*_15・通訳),0)*(1+_15・A深夜)),0)*(1+_15・区４)),0)</f>
        <v>125</v>
      </c>
      <c r="X15" s="48"/>
    </row>
    <row r="16" spans="1:24" ht="16.5" customHeight="1" x14ac:dyDescent="0.15">
      <c r="A16" s="41">
        <v>15</v>
      </c>
      <c r="B16" s="41" t="s">
        <v>4116</v>
      </c>
      <c r="C16" s="74" t="s">
        <v>30385</v>
      </c>
      <c r="D16" s="72"/>
      <c r="F16" s="57"/>
      <c r="G16" s="35"/>
      <c r="J16" s="299" t="s">
        <v>17556</v>
      </c>
      <c r="K16" s="45" t="s">
        <v>398</v>
      </c>
      <c r="L16" s="46">
        <v>1</v>
      </c>
      <c r="M16" s="512"/>
      <c r="N16" s="513" t="s">
        <v>3575</v>
      </c>
      <c r="O16" s="43"/>
      <c r="P16" s="37"/>
      <c r="Q16" s="38"/>
      <c r="R16" s="79"/>
      <c r="S16" s="92" t="s">
        <v>17572</v>
      </c>
      <c r="V16" s="57"/>
      <c r="W16" s="208">
        <f>ROUND((ROUND((ROUND((ROUND((_15_同援日増０．５*_15・通訳),0)*_15・２人),0)*(1+_15・A深夜)),0)*(1+_15・区４)),0)</f>
        <v>125</v>
      </c>
      <c r="X16" s="48"/>
    </row>
    <row r="17" spans="1:24" ht="16.5" customHeight="1" x14ac:dyDescent="0.15">
      <c r="A17" s="41">
        <v>15</v>
      </c>
      <c r="B17" s="41" t="s">
        <v>30386</v>
      </c>
      <c r="C17" s="74" t="s">
        <v>30387</v>
      </c>
      <c r="D17" s="72"/>
      <c r="F17" s="57"/>
      <c r="G17" s="35"/>
      <c r="J17" s="163"/>
      <c r="K17" s="45"/>
      <c r="L17" s="46"/>
      <c r="M17" s="512"/>
      <c r="N17" s="57"/>
      <c r="O17" s="114" t="s">
        <v>17562</v>
      </c>
      <c r="P17" s="49"/>
      <c r="Q17" s="50"/>
      <c r="R17" s="115"/>
      <c r="S17" s="35"/>
      <c r="T17" s="12" t="s">
        <v>398</v>
      </c>
      <c r="U17" s="13">
        <v>0.4</v>
      </c>
      <c r="V17" s="57" t="s">
        <v>3575</v>
      </c>
      <c r="W17" s="208">
        <f>ROUND((ROUND((ROUND((ROUND((_15_同援日増０．５*_15・通訳),0)*(1+_15・A深夜)),0)*(1+_15・盲ろう)),0)*(1+_15・区４)),0)</f>
        <v>155</v>
      </c>
      <c r="X17" s="48"/>
    </row>
    <row r="18" spans="1:24" ht="16.5" customHeight="1" x14ac:dyDescent="0.15">
      <c r="A18" s="41">
        <v>15</v>
      </c>
      <c r="B18" s="41" t="s">
        <v>30388</v>
      </c>
      <c r="C18" s="74" t="s">
        <v>30389</v>
      </c>
      <c r="D18" s="122"/>
      <c r="E18" s="37"/>
      <c r="F18" s="79"/>
      <c r="G18" s="35"/>
      <c r="J18" s="299" t="s">
        <v>17556</v>
      </c>
      <c r="K18" s="45" t="s">
        <v>398</v>
      </c>
      <c r="L18" s="46">
        <v>1</v>
      </c>
      <c r="M18" s="512"/>
      <c r="N18" s="57"/>
      <c r="O18" s="269" t="s">
        <v>17564</v>
      </c>
      <c r="P18" s="37" t="s">
        <v>398</v>
      </c>
      <c r="Q18" s="38">
        <v>0.25</v>
      </c>
      <c r="R18" s="79" t="s">
        <v>3575</v>
      </c>
      <c r="S18" s="43"/>
      <c r="T18" s="37"/>
      <c r="U18" s="38"/>
      <c r="V18" s="79"/>
      <c r="W18" s="208">
        <f>ROUND((ROUND((ROUND((ROUND((ROUND((_15_同援日増０．５*_15・通訳),0)*_15・２人),0)*(1+_15・A深夜)),0)*(1+_15・盲ろう)),0)*(1+_15・区４)),0)</f>
        <v>155</v>
      </c>
      <c r="X18" s="48"/>
    </row>
    <row r="19" spans="1:24" ht="16.5" customHeight="1" x14ac:dyDescent="0.15">
      <c r="A19" s="41">
        <v>15</v>
      </c>
      <c r="B19" s="41" t="s">
        <v>30390</v>
      </c>
      <c r="C19" s="74" t="s">
        <v>30391</v>
      </c>
      <c r="D19" s="114" t="s">
        <v>25189</v>
      </c>
      <c r="E19" s="49"/>
      <c r="F19" s="115"/>
      <c r="G19" s="35"/>
      <c r="J19" s="163"/>
      <c r="K19" s="45"/>
      <c r="L19" s="46"/>
      <c r="M19" s="512"/>
      <c r="N19" s="57"/>
      <c r="O19" s="53"/>
      <c r="P19" s="49"/>
      <c r="Q19" s="50"/>
      <c r="R19" s="115"/>
      <c r="S19" s="53"/>
      <c r="T19" s="49"/>
      <c r="U19" s="50"/>
      <c r="V19" s="115"/>
      <c r="W19" s="208">
        <f>ROUND((ROUND((_15_同援日増１．０*_15・通訳),0)*(1+_15・A深夜)),0)</f>
        <v>176</v>
      </c>
      <c r="X19" s="48"/>
    </row>
    <row r="20" spans="1:24" ht="16.5" customHeight="1" x14ac:dyDescent="0.15">
      <c r="A20" s="41">
        <v>15</v>
      </c>
      <c r="B20" s="41" t="s">
        <v>30392</v>
      </c>
      <c r="C20" s="74" t="s">
        <v>30393</v>
      </c>
      <c r="D20" s="72" t="s">
        <v>17589</v>
      </c>
      <c r="F20" s="57"/>
      <c r="G20" s="35"/>
      <c r="J20" s="299" t="s">
        <v>17556</v>
      </c>
      <c r="K20" s="45" t="s">
        <v>398</v>
      </c>
      <c r="L20" s="46">
        <v>1</v>
      </c>
      <c r="M20" s="512"/>
      <c r="N20" s="57"/>
      <c r="O20" s="43"/>
      <c r="P20" s="37"/>
      <c r="Q20" s="38"/>
      <c r="R20" s="79"/>
      <c r="S20" s="35"/>
      <c r="V20" s="57"/>
      <c r="W20" s="208">
        <f>ROUND((ROUND((ROUND((_15_同援日増１．０*_15・通訳),0)*_15・２人),0)*(1+_15・A深夜)),0)</f>
        <v>176</v>
      </c>
      <c r="X20" s="48"/>
    </row>
    <row r="21" spans="1:24" ht="16.5" customHeight="1" x14ac:dyDescent="0.15">
      <c r="A21" s="41">
        <v>15</v>
      </c>
      <c r="B21" s="41" t="s">
        <v>30394</v>
      </c>
      <c r="C21" s="74" t="s">
        <v>30395</v>
      </c>
      <c r="D21" s="72" t="s">
        <v>17591</v>
      </c>
      <c r="F21" s="57"/>
      <c r="G21" s="35"/>
      <c r="J21" s="163"/>
      <c r="K21" s="45"/>
      <c r="L21" s="46"/>
      <c r="M21" s="512"/>
      <c r="N21" s="57"/>
      <c r="O21" s="114" t="s">
        <v>17562</v>
      </c>
      <c r="P21" s="49"/>
      <c r="Q21" s="50"/>
      <c r="R21" s="115"/>
      <c r="S21" s="35"/>
      <c r="V21" s="57"/>
      <c r="W21" s="208">
        <f>ROUND((ROUND((ROUND((_15_同援日増１．０*_15・通訳),0)*(1+_15・A深夜)),0)*(1+_15・盲ろう)),0)</f>
        <v>220</v>
      </c>
      <c r="X21" s="48"/>
    </row>
    <row r="22" spans="1:24" ht="16.5" customHeight="1" x14ac:dyDescent="0.15">
      <c r="A22" s="41">
        <v>15</v>
      </c>
      <c r="B22" s="41" t="s">
        <v>30396</v>
      </c>
      <c r="C22" s="74" t="s">
        <v>30397</v>
      </c>
      <c r="D22" s="72"/>
      <c r="E22" s="168">
        <f>_15_同援日増１．０</f>
        <v>130</v>
      </c>
      <c r="F22" s="57" t="s">
        <v>392</v>
      </c>
      <c r="G22" s="35"/>
      <c r="J22" s="299" t="s">
        <v>17556</v>
      </c>
      <c r="K22" s="45" t="s">
        <v>398</v>
      </c>
      <c r="L22" s="46">
        <v>1</v>
      </c>
      <c r="M22" s="512"/>
      <c r="N22" s="57"/>
      <c r="O22" s="269" t="s">
        <v>17564</v>
      </c>
      <c r="P22" s="37" t="s">
        <v>398</v>
      </c>
      <c r="Q22" s="38">
        <v>0.25</v>
      </c>
      <c r="R22" s="79" t="s">
        <v>3575</v>
      </c>
      <c r="S22" s="43"/>
      <c r="T22" s="37"/>
      <c r="U22" s="38"/>
      <c r="V22" s="79"/>
      <c r="W22" s="208">
        <f>ROUND((ROUND((ROUND((ROUND((_15_同援日増１．０*_15・通訳),0)*_15・２人),0)*(1+_15・A深夜)),0)*(1+_15・盲ろう)),0)</f>
        <v>220</v>
      </c>
      <c r="X22" s="48"/>
    </row>
    <row r="23" spans="1:24" ht="16.5" customHeight="1" x14ac:dyDescent="0.15">
      <c r="A23" s="41">
        <v>15</v>
      </c>
      <c r="B23" s="41" t="s">
        <v>30398</v>
      </c>
      <c r="C23" s="74" t="s">
        <v>30399</v>
      </c>
      <c r="D23" s="72"/>
      <c r="F23" s="57"/>
      <c r="G23" s="35"/>
      <c r="J23" s="163"/>
      <c r="K23" s="45"/>
      <c r="L23" s="46"/>
      <c r="M23" s="512"/>
      <c r="N23" s="57"/>
      <c r="O23" s="53"/>
      <c r="P23" s="49"/>
      <c r="Q23" s="50"/>
      <c r="R23" s="115"/>
      <c r="S23" s="114" t="s">
        <v>17570</v>
      </c>
      <c r="T23" s="49"/>
      <c r="U23" s="50"/>
      <c r="V23" s="115"/>
      <c r="W23" s="208">
        <f>ROUND((ROUND((ROUND((_15_同援日増１．０*_15・通訳),0)*(1+_15・A深夜)),0)*(1+_15・区３)),0)</f>
        <v>211</v>
      </c>
      <c r="X23" s="48"/>
    </row>
    <row r="24" spans="1:24" ht="16.5" customHeight="1" x14ac:dyDescent="0.15">
      <c r="A24" s="41">
        <v>15</v>
      </c>
      <c r="B24" s="41" t="s">
        <v>30400</v>
      </c>
      <c r="C24" s="74" t="s">
        <v>30401</v>
      </c>
      <c r="D24" s="72"/>
      <c r="F24" s="57"/>
      <c r="G24" s="35"/>
      <c r="J24" s="299" t="s">
        <v>17556</v>
      </c>
      <c r="K24" s="45" t="s">
        <v>398</v>
      </c>
      <c r="L24" s="46">
        <v>1</v>
      </c>
      <c r="M24" s="512"/>
      <c r="N24" s="57"/>
      <c r="O24" s="43"/>
      <c r="P24" s="37"/>
      <c r="Q24" s="38"/>
      <c r="R24" s="79"/>
      <c r="S24" s="92" t="s">
        <v>17572</v>
      </c>
      <c r="V24" s="57"/>
      <c r="W24" s="208">
        <f>ROUND((ROUND((ROUND((ROUND((_15_同援日増１．０*_15・通訳),0)*_15・２人),0)*(1+_15・A深夜)),0)*(1+_15・区３)),0)</f>
        <v>211</v>
      </c>
      <c r="X24" s="48"/>
    </row>
    <row r="25" spans="1:24" ht="16.5" customHeight="1" x14ac:dyDescent="0.15">
      <c r="A25" s="41">
        <v>15</v>
      </c>
      <c r="B25" s="41" t="s">
        <v>4120</v>
      </c>
      <c r="C25" s="74" t="s">
        <v>30402</v>
      </c>
      <c r="D25" s="72"/>
      <c r="F25" s="57"/>
      <c r="G25" s="35"/>
      <c r="J25" s="163"/>
      <c r="K25" s="45"/>
      <c r="L25" s="46"/>
      <c r="M25" s="512"/>
      <c r="N25" s="57"/>
      <c r="O25" s="114" t="s">
        <v>17562</v>
      </c>
      <c r="P25" s="49"/>
      <c r="Q25" s="50"/>
      <c r="R25" s="115"/>
      <c r="S25" s="35"/>
      <c r="T25" s="12" t="s">
        <v>398</v>
      </c>
      <c r="U25" s="13">
        <v>0.2</v>
      </c>
      <c r="V25" s="57" t="s">
        <v>3575</v>
      </c>
      <c r="W25" s="208">
        <f>ROUND((ROUND((ROUND((ROUND((_15_同援日増１．０*_15・通訳),0)*(1+_15・A深夜)),0)*(1+_15・盲ろう)),0)*(1+_15・区３)),0)</f>
        <v>264</v>
      </c>
      <c r="X25" s="48"/>
    </row>
    <row r="26" spans="1:24" ht="16.5" customHeight="1" x14ac:dyDescent="0.15">
      <c r="A26" s="41">
        <v>15</v>
      </c>
      <c r="B26" s="41" t="s">
        <v>4122</v>
      </c>
      <c r="C26" s="74" t="s">
        <v>30403</v>
      </c>
      <c r="D26" s="72"/>
      <c r="F26" s="57"/>
      <c r="G26" s="35"/>
      <c r="J26" s="299" t="s">
        <v>17556</v>
      </c>
      <c r="K26" s="45" t="s">
        <v>398</v>
      </c>
      <c r="L26" s="46">
        <v>1</v>
      </c>
      <c r="M26" s="512"/>
      <c r="N26" s="57"/>
      <c r="O26" s="269" t="s">
        <v>17564</v>
      </c>
      <c r="P26" s="37" t="s">
        <v>398</v>
      </c>
      <c r="Q26" s="38">
        <v>0.25</v>
      </c>
      <c r="R26" s="79" t="s">
        <v>3575</v>
      </c>
      <c r="S26" s="43"/>
      <c r="T26" s="37"/>
      <c r="U26" s="38"/>
      <c r="V26" s="79"/>
      <c r="W26" s="208">
        <f>ROUND((ROUND((ROUND((ROUND((ROUND((_15_同援日増１．０*_15・通訳),0)*_15・２人),0)*(1+_15・A深夜)),0)*(1+_15・盲ろう)),0)*(1+_15・区３)),0)</f>
        <v>264</v>
      </c>
      <c r="X26" s="48"/>
    </row>
    <row r="27" spans="1:24" ht="16.5" customHeight="1" x14ac:dyDescent="0.15">
      <c r="A27" s="41">
        <v>15</v>
      </c>
      <c r="B27" s="41" t="s">
        <v>30404</v>
      </c>
      <c r="C27" s="74" t="s">
        <v>30405</v>
      </c>
      <c r="D27" s="72"/>
      <c r="F27" s="57"/>
      <c r="G27" s="35"/>
      <c r="J27" s="163"/>
      <c r="K27" s="45"/>
      <c r="L27" s="46"/>
      <c r="M27" s="512"/>
      <c r="N27" s="57"/>
      <c r="O27" s="53"/>
      <c r="P27" s="49"/>
      <c r="Q27" s="50"/>
      <c r="R27" s="115"/>
      <c r="S27" s="114" t="s">
        <v>17580</v>
      </c>
      <c r="T27" s="49"/>
      <c r="U27" s="50"/>
      <c r="V27" s="115"/>
      <c r="W27" s="208">
        <f>ROUND((ROUND((ROUND((_15_同援日増１．０*_15・通訳),0)*(1+_15・A深夜)),0)*(1+_15・区４)),0)</f>
        <v>246</v>
      </c>
      <c r="X27" s="48"/>
    </row>
    <row r="28" spans="1:24" ht="16.5" customHeight="1" x14ac:dyDescent="0.15">
      <c r="A28" s="41">
        <v>15</v>
      </c>
      <c r="B28" s="41" t="s">
        <v>30406</v>
      </c>
      <c r="C28" s="74" t="s">
        <v>30407</v>
      </c>
      <c r="D28" s="72"/>
      <c r="F28" s="57"/>
      <c r="G28" s="35"/>
      <c r="J28" s="299" t="s">
        <v>17556</v>
      </c>
      <c r="K28" s="45" t="s">
        <v>398</v>
      </c>
      <c r="L28" s="46">
        <v>1</v>
      </c>
      <c r="M28" s="512"/>
      <c r="N28" s="57"/>
      <c r="O28" s="43"/>
      <c r="P28" s="37"/>
      <c r="Q28" s="38"/>
      <c r="R28" s="79"/>
      <c r="S28" s="92" t="s">
        <v>17572</v>
      </c>
      <c r="V28" s="57"/>
      <c r="W28" s="208">
        <f>ROUND((ROUND((ROUND((ROUND((_15_同援日増１．０*_15・通訳),0)*_15・２人),0)*(1+_15・A深夜)),0)*(1+_15・区４)),0)</f>
        <v>246</v>
      </c>
      <c r="X28" s="48"/>
    </row>
    <row r="29" spans="1:24" ht="16.5" customHeight="1" x14ac:dyDescent="0.15">
      <c r="A29" s="41">
        <v>15</v>
      </c>
      <c r="B29" s="41" t="s">
        <v>30408</v>
      </c>
      <c r="C29" s="74" t="s">
        <v>30409</v>
      </c>
      <c r="D29" s="72"/>
      <c r="F29" s="57"/>
      <c r="G29" s="35"/>
      <c r="J29" s="163"/>
      <c r="K29" s="45"/>
      <c r="L29" s="46"/>
      <c r="M29" s="512"/>
      <c r="N29" s="57"/>
      <c r="O29" s="114" t="s">
        <v>17562</v>
      </c>
      <c r="P29" s="49"/>
      <c r="Q29" s="50"/>
      <c r="R29" s="115"/>
      <c r="S29" s="35"/>
      <c r="T29" s="12" t="s">
        <v>398</v>
      </c>
      <c r="U29" s="13">
        <v>0.4</v>
      </c>
      <c r="V29" s="57" t="s">
        <v>3575</v>
      </c>
      <c r="W29" s="208">
        <f>ROUND((ROUND((ROUND((ROUND((_15_同援日増１．０*_15・通訳),0)*(1+_15・A深夜)),0)*(1+_15・盲ろう)),0)*(1+_15・区４)),0)</f>
        <v>308</v>
      </c>
      <c r="X29" s="48"/>
    </row>
    <row r="30" spans="1:24" ht="16.5" customHeight="1" x14ac:dyDescent="0.15">
      <c r="A30" s="41">
        <v>15</v>
      </c>
      <c r="B30" s="41" t="s">
        <v>30410</v>
      </c>
      <c r="C30" s="74" t="s">
        <v>30411</v>
      </c>
      <c r="D30" s="122"/>
      <c r="E30" s="37"/>
      <c r="F30" s="79"/>
      <c r="G30" s="35"/>
      <c r="J30" s="299" t="s">
        <v>17556</v>
      </c>
      <c r="K30" s="45" t="s">
        <v>398</v>
      </c>
      <c r="L30" s="46">
        <v>1</v>
      </c>
      <c r="M30" s="512"/>
      <c r="N30" s="57"/>
      <c r="O30" s="269" t="s">
        <v>17564</v>
      </c>
      <c r="P30" s="37" t="s">
        <v>398</v>
      </c>
      <c r="Q30" s="38">
        <v>0.25</v>
      </c>
      <c r="R30" s="79" t="s">
        <v>3575</v>
      </c>
      <c r="S30" s="43"/>
      <c r="T30" s="37"/>
      <c r="U30" s="38"/>
      <c r="V30" s="79"/>
      <c r="W30" s="208">
        <f>ROUND((ROUND((ROUND((ROUND((ROUND((_15_同援日増１．０*_15・通訳),0)*_15・２人),0)*(1+_15・A深夜)),0)*(1+_15・盲ろう)),0)*(1+_15・区４)),0)</f>
        <v>308</v>
      </c>
      <c r="X30" s="48"/>
    </row>
    <row r="31" spans="1:24" ht="16.5" customHeight="1" x14ac:dyDescent="0.15">
      <c r="A31" s="41">
        <v>15</v>
      </c>
      <c r="B31" s="41" t="s">
        <v>30412</v>
      </c>
      <c r="C31" s="74" t="s">
        <v>30413</v>
      </c>
      <c r="D31" s="114" t="s">
        <v>25234</v>
      </c>
      <c r="E31" s="49"/>
      <c r="F31" s="115"/>
      <c r="G31" s="35"/>
      <c r="J31" s="163"/>
      <c r="K31" s="45"/>
      <c r="L31" s="46"/>
      <c r="M31" s="512"/>
      <c r="N31" s="57"/>
      <c r="O31" s="53"/>
      <c r="P31" s="49"/>
      <c r="Q31" s="50"/>
      <c r="R31" s="115"/>
      <c r="S31" s="53"/>
      <c r="T31" s="49"/>
      <c r="U31" s="50"/>
      <c r="V31" s="115"/>
      <c r="W31" s="208">
        <f>ROUND((ROUND((_15_同援日増１．５*_15・通訳),0)*(1+_15・A深夜)),0)</f>
        <v>264</v>
      </c>
      <c r="X31" s="48"/>
    </row>
    <row r="32" spans="1:24" ht="16.5" customHeight="1" x14ac:dyDescent="0.15">
      <c r="A32" s="41">
        <v>15</v>
      </c>
      <c r="B32" s="41" t="s">
        <v>30414</v>
      </c>
      <c r="C32" s="74" t="s">
        <v>30415</v>
      </c>
      <c r="D32" s="72" t="s">
        <v>17616</v>
      </c>
      <c r="F32" s="57"/>
      <c r="G32" s="35"/>
      <c r="J32" s="299" t="s">
        <v>17556</v>
      </c>
      <c r="K32" s="45" t="s">
        <v>398</v>
      </c>
      <c r="L32" s="46">
        <v>1</v>
      </c>
      <c r="M32" s="512"/>
      <c r="N32" s="57"/>
      <c r="O32" s="43"/>
      <c r="P32" s="37"/>
      <c r="Q32" s="38"/>
      <c r="R32" s="79"/>
      <c r="S32" s="35"/>
      <c r="V32" s="57"/>
      <c r="W32" s="208">
        <f>ROUND((ROUND((ROUND((_15_同援日増１．５*_15・通訳),0)*_15・２人),0)*(1+_15・A深夜)),0)</f>
        <v>264</v>
      </c>
      <c r="X32" s="48"/>
    </row>
    <row r="33" spans="1:24" ht="16.5" customHeight="1" x14ac:dyDescent="0.15">
      <c r="A33" s="41">
        <v>15</v>
      </c>
      <c r="B33" s="41" t="s">
        <v>30416</v>
      </c>
      <c r="C33" s="74" t="s">
        <v>30417</v>
      </c>
      <c r="D33" s="72" t="s">
        <v>18183</v>
      </c>
      <c r="F33" s="57"/>
      <c r="G33" s="35"/>
      <c r="J33" s="163"/>
      <c r="K33" s="45"/>
      <c r="L33" s="46"/>
      <c r="M33" s="512"/>
      <c r="N33" s="57"/>
      <c r="O33" s="114" t="s">
        <v>17562</v>
      </c>
      <c r="P33" s="49"/>
      <c r="Q33" s="50"/>
      <c r="R33" s="115"/>
      <c r="S33" s="35"/>
      <c r="V33" s="57"/>
      <c r="W33" s="208">
        <f>ROUND((ROUND((ROUND((_15_同援日増１．５*_15・通訳),0)*(1+_15・A深夜)),0)*(1+_15・盲ろう)),0)</f>
        <v>330</v>
      </c>
      <c r="X33" s="48"/>
    </row>
    <row r="34" spans="1:24" ht="16.5" customHeight="1" x14ac:dyDescent="0.15">
      <c r="A34" s="41">
        <v>15</v>
      </c>
      <c r="B34" s="41" t="s">
        <v>30418</v>
      </c>
      <c r="C34" s="74" t="s">
        <v>30419</v>
      </c>
      <c r="D34" s="72"/>
      <c r="E34" s="168">
        <f>_15_同援日増１．５</f>
        <v>195</v>
      </c>
      <c r="F34" s="57" t="s">
        <v>392</v>
      </c>
      <c r="G34" s="35"/>
      <c r="J34" s="299" t="s">
        <v>17556</v>
      </c>
      <c r="K34" s="45" t="s">
        <v>398</v>
      </c>
      <c r="L34" s="46">
        <v>1</v>
      </c>
      <c r="M34" s="512"/>
      <c r="N34" s="57"/>
      <c r="O34" s="269" t="s">
        <v>17564</v>
      </c>
      <c r="P34" s="37" t="s">
        <v>398</v>
      </c>
      <c r="Q34" s="38">
        <v>0.25</v>
      </c>
      <c r="R34" s="79" t="s">
        <v>3575</v>
      </c>
      <c r="S34" s="43"/>
      <c r="T34" s="37"/>
      <c r="U34" s="38"/>
      <c r="V34" s="79"/>
      <c r="W34" s="208">
        <f>ROUND((ROUND((ROUND((ROUND((_15_同援日増１．５*_15・通訳),0)*_15・２人),0)*(1+_15・A深夜)),0)*(1+_15・盲ろう)),0)</f>
        <v>330</v>
      </c>
      <c r="X34" s="48"/>
    </row>
    <row r="35" spans="1:24" ht="16.5" customHeight="1" x14ac:dyDescent="0.15">
      <c r="A35" s="41">
        <v>15</v>
      </c>
      <c r="B35" s="41" t="s">
        <v>4126</v>
      </c>
      <c r="C35" s="74" t="s">
        <v>30420</v>
      </c>
      <c r="D35" s="72"/>
      <c r="F35" s="57"/>
      <c r="G35" s="35"/>
      <c r="J35" s="163"/>
      <c r="K35" s="45"/>
      <c r="L35" s="46"/>
      <c r="M35" s="512"/>
      <c r="N35" s="57"/>
      <c r="O35" s="53"/>
      <c r="P35" s="49"/>
      <c r="Q35" s="50"/>
      <c r="R35" s="115"/>
      <c r="S35" s="114" t="s">
        <v>17570</v>
      </c>
      <c r="T35" s="49"/>
      <c r="U35" s="50"/>
      <c r="V35" s="115"/>
      <c r="W35" s="208">
        <f>ROUND((ROUND((ROUND((_15_同援日増１．５*_15・通訳),0)*(1+_15・A深夜)),0)*(1+_15・区３)),0)</f>
        <v>317</v>
      </c>
      <c r="X35" s="48"/>
    </row>
    <row r="36" spans="1:24" ht="16.5" customHeight="1" x14ac:dyDescent="0.15">
      <c r="A36" s="41">
        <v>15</v>
      </c>
      <c r="B36" s="41" t="s">
        <v>4128</v>
      </c>
      <c r="C36" s="74" t="s">
        <v>30421</v>
      </c>
      <c r="D36" s="72"/>
      <c r="F36" s="57"/>
      <c r="G36" s="35"/>
      <c r="J36" s="299" t="s">
        <v>17556</v>
      </c>
      <c r="K36" s="45" t="s">
        <v>398</v>
      </c>
      <c r="L36" s="46">
        <v>1</v>
      </c>
      <c r="M36" s="512"/>
      <c r="N36" s="57"/>
      <c r="O36" s="43"/>
      <c r="P36" s="37"/>
      <c r="Q36" s="38"/>
      <c r="R36" s="79"/>
      <c r="S36" s="92" t="s">
        <v>17572</v>
      </c>
      <c r="V36" s="57"/>
      <c r="W36" s="208">
        <f>ROUND((ROUND((ROUND((ROUND((_15_同援日増１．５*_15・通訳),0)*_15・２人),0)*(1+_15・A深夜)),0)*(1+_15・区３)),0)</f>
        <v>317</v>
      </c>
      <c r="X36" s="48"/>
    </row>
    <row r="37" spans="1:24" ht="16.5" customHeight="1" x14ac:dyDescent="0.15">
      <c r="A37" s="41">
        <v>15</v>
      </c>
      <c r="B37" s="41" t="s">
        <v>30422</v>
      </c>
      <c r="C37" s="74" t="s">
        <v>30423</v>
      </c>
      <c r="D37" s="72"/>
      <c r="F37" s="57"/>
      <c r="G37" s="35"/>
      <c r="J37" s="163"/>
      <c r="K37" s="45"/>
      <c r="L37" s="46"/>
      <c r="M37" s="512"/>
      <c r="N37" s="57"/>
      <c r="O37" s="114" t="s">
        <v>17562</v>
      </c>
      <c r="P37" s="49"/>
      <c r="Q37" s="50"/>
      <c r="R37" s="115"/>
      <c r="S37" s="35"/>
      <c r="T37" s="12" t="s">
        <v>398</v>
      </c>
      <c r="U37" s="13">
        <v>0.2</v>
      </c>
      <c r="V37" s="57" t="s">
        <v>3575</v>
      </c>
      <c r="W37" s="208">
        <f>ROUND((ROUND((ROUND((ROUND((_15_同援日増１．５*_15・通訳),0)*(1+_15・A深夜)),0)*(1+_15・盲ろう)),0)*(1+_15・区３)),0)</f>
        <v>396</v>
      </c>
      <c r="X37" s="48"/>
    </row>
    <row r="38" spans="1:24" ht="16.5" customHeight="1" x14ac:dyDescent="0.15">
      <c r="A38" s="41">
        <v>15</v>
      </c>
      <c r="B38" s="41" t="s">
        <v>30424</v>
      </c>
      <c r="C38" s="74" t="s">
        <v>30425</v>
      </c>
      <c r="D38" s="72"/>
      <c r="F38" s="57"/>
      <c r="G38" s="35"/>
      <c r="J38" s="299" t="s">
        <v>17556</v>
      </c>
      <c r="K38" s="45" t="s">
        <v>398</v>
      </c>
      <c r="L38" s="46">
        <v>1</v>
      </c>
      <c r="M38" s="512"/>
      <c r="N38" s="57"/>
      <c r="O38" s="269" t="s">
        <v>17564</v>
      </c>
      <c r="P38" s="37" t="s">
        <v>398</v>
      </c>
      <c r="Q38" s="38">
        <v>0.25</v>
      </c>
      <c r="R38" s="79" t="s">
        <v>3575</v>
      </c>
      <c r="S38" s="43"/>
      <c r="T38" s="37"/>
      <c r="U38" s="38"/>
      <c r="V38" s="79"/>
      <c r="W38" s="208">
        <f>ROUND((ROUND((ROUND((ROUND((ROUND((_15_同援日増１．５*_15・通訳),0)*_15・２人),0)*(1+_15・A深夜)),0)*(1+_15・盲ろう)),0)*(1+_15・区３)),0)</f>
        <v>396</v>
      </c>
      <c r="X38" s="48"/>
    </row>
    <row r="39" spans="1:24" ht="16.5" customHeight="1" x14ac:dyDescent="0.15">
      <c r="A39" s="41">
        <v>15</v>
      </c>
      <c r="B39" s="41" t="s">
        <v>30426</v>
      </c>
      <c r="C39" s="74" t="s">
        <v>30427</v>
      </c>
      <c r="D39" s="72"/>
      <c r="F39" s="57"/>
      <c r="G39" s="35"/>
      <c r="J39" s="163"/>
      <c r="K39" s="45"/>
      <c r="L39" s="46"/>
      <c r="M39" s="512"/>
      <c r="N39" s="57"/>
      <c r="O39" s="53"/>
      <c r="P39" s="49"/>
      <c r="Q39" s="50"/>
      <c r="R39" s="115"/>
      <c r="S39" s="114" t="s">
        <v>17580</v>
      </c>
      <c r="T39" s="49"/>
      <c r="U39" s="50"/>
      <c r="V39" s="115"/>
      <c r="W39" s="208">
        <f>ROUND((ROUND((ROUND((_15_同援日増１．５*_15・通訳),0)*(1+_15・A深夜)),0)*(1+_15・区４)),0)</f>
        <v>370</v>
      </c>
      <c r="X39" s="48"/>
    </row>
    <row r="40" spans="1:24" ht="16.5" customHeight="1" x14ac:dyDescent="0.15">
      <c r="A40" s="41">
        <v>15</v>
      </c>
      <c r="B40" s="41" t="s">
        <v>30428</v>
      </c>
      <c r="C40" s="74" t="s">
        <v>30429</v>
      </c>
      <c r="D40" s="72"/>
      <c r="F40" s="57"/>
      <c r="G40" s="35"/>
      <c r="J40" s="299" t="s">
        <v>17556</v>
      </c>
      <c r="K40" s="45" t="s">
        <v>398</v>
      </c>
      <c r="L40" s="46">
        <v>1</v>
      </c>
      <c r="M40" s="512"/>
      <c r="N40" s="57"/>
      <c r="O40" s="43"/>
      <c r="P40" s="37"/>
      <c r="Q40" s="38"/>
      <c r="R40" s="79"/>
      <c r="S40" s="92" t="s">
        <v>17572</v>
      </c>
      <c r="V40" s="57"/>
      <c r="W40" s="208">
        <f>ROUND((ROUND((ROUND((ROUND((_15_同援日増１．５*_15・通訳),0)*_15・２人),0)*(1+_15・A深夜)),0)*(1+_15・区４)),0)</f>
        <v>370</v>
      </c>
      <c r="X40" s="48"/>
    </row>
    <row r="41" spans="1:24" ht="16.5" customHeight="1" x14ac:dyDescent="0.15">
      <c r="A41" s="41">
        <v>15</v>
      </c>
      <c r="B41" s="41" t="s">
        <v>30430</v>
      </c>
      <c r="C41" s="74" t="s">
        <v>30431</v>
      </c>
      <c r="D41" s="72"/>
      <c r="F41" s="57"/>
      <c r="G41" s="35"/>
      <c r="J41" s="163"/>
      <c r="K41" s="45"/>
      <c r="L41" s="46"/>
      <c r="M41" s="512"/>
      <c r="N41" s="57"/>
      <c r="O41" s="114" t="s">
        <v>17562</v>
      </c>
      <c r="P41" s="49"/>
      <c r="Q41" s="50"/>
      <c r="R41" s="115"/>
      <c r="S41" s="35"/>
      <c r="T41" s="12" t="s">
        <v>398</v>
      </c>
      <c r="U41" s="13">
        <v>0.4</v>
      </c>
      <c r="V41" s="57" t="s">
        <v>3575</v>
      </c>
      <c r="W41" s="208">
        <f>ROUND((ROUND((ROUND((ROUND((_15_同援日増１．５*_15・通訳),0)*(1+_15・A深夜)),0)*(1+_15・盲ろう)),0)*(1+_15・区４)),0)</f>
        <v>462</v>
      </c>
      <c r="X41" s="48"/>
    </row>
    <row r="42" spans="1:24" ht="16.5" customHeight="1" x14ac:dyDescent="0.15">
      <c r="A42" s="41">
        <v>15</v>
      </c>
      <c r="B42" s="41" t="s">
        <v>30432</v>
      </c>
      <c r="C42" s="74" t="s">
        <v>30433</v>
      </c>
      <c r="D42" s="122"/>
      <c r="E42" s="37"/>
      <c r="F42" s="79"/>
      <c r="G42" s="35"/>
      <c r="J42" s="299" t="s">
        <v>17556</v>
      </c>
      <c r="K42" s="45" t="s">
        <v>398</v>
      </c>
      <c r="L42" s="46">
        <v>1</v>
      </c>
      <c r="M42" s="512"/>
      <c r="N42" s="57"/>
      <c r="O42" s="269" t="s">
        <v>17564</v>
      </c>
      <c r="P42" s="37" t="s">
        <v>398</v>
      </c>
      <c r="Q42" s="38">
        <v>0.25</v>
      </c>
      <c r="R42" s="79" t="s">
        <v>3575</v>
      </c>
      <c r="S42" s="43"/>
      <c r="T42" s="37"/>
      <c r="U42" s="38"/>
      <c r="V42" s="79"/>
      <c r="W42" s="208">
        <f>ROUND((ROUND((ROUND((ROUND((ROUND((_15_同援日増１．５*_15・通訳),0)*_15・２人),0)*(1+_15・A深夜)),0)*(1+_15・盲ろう)),0)*(1+_15・区４)),0)</f>
        <v>462</v>
      </c>
      <c r="X42" s="48"/>
    </row>
    <row r="43" spans="1:24" ht="16.5" customHeight="1" x14ac:dyDescent="0.15">
      <c r="A43" s="41">
        <v>15</v>
      </c>
      <c r="B43" s="41" t="s">
        <v>30434</v>
      </c>
      <c r="C43" s="74" t="s">
        <v>30435</v>
      </c>
      <c r="D43" s="114" t="s">
        <v>25279</v>
      </c>
      <c r="E43" s="49"/>
      <c r="F43" s="115"/>
      <c r="G43" s="35"/>
      <c r="J43" s="163"/>
      <c r="K43" s="45"/>
      <c r="L43" s="46"/>
      <c r="M43" s="512"/>
      <c r="N43" s="57"/>
      <c r="O43" s="53"/>
      <c r="P43" s="49"/>
      <c r="Q43" s="50"/>
      <c r="R43" s="115"/>
      <c r="S43" s="53"/>
      <c r="T43" s="49"/>
      <c r="U43" s="50"/>
      <c r="V43" s="115"/>
      <c r="W43" s="208">
        <f>ROUND((ROUND((_15_同援日増２．０*_15・通訳),0)*(1+_15・A深夜)),0)</f>
        <v>351</v>
      </c>
      <c r="X43" s="48"/>
    </row>
    <row r="44" spans="1:24" ht="16.5" customHeight="1" x14ac:dyDescent="0.15">
      <c r="A44" s="41">
        <v>15</v>
      </c>
      <c r="B44" s="41" t="s">
        <v>30436</v>
      </c>
      <c r="C44" s="74" t="s">
        <v>30437</v>
      </c>
      <c r="D44" s="72" t="s">
        <v>17643</v>
      </c>
      <c r="F44" s="57"/>
      <c r="G44" s="35"/>
      <c r="J44" s="299" t="s">
        <v>17556</v>
      </c>
      <c r="K44" s="45" t="s">
        <v>398</v>
      </c>
      <c r="L44" s="46">
        <v>1</v>
      </c>
      <c r="M44" s="512"/>
      <c r="N44" s="57"/>
      <c r="O44" s="43"/>
      <c r="P44" s="37"/>
      <c r="Q44" s="38"/>
      <c r="R44" s="79"/>
      <c r="S44" s="35"/>
      <c r="V44" s="57"/>
      <c r="W44" s="208">
        <f>ROUND((ROUND((ROUND((_15_同援日増２．０*_15・通訳),0)*_15・２人),0)*(1+_15・A深夜)),0)</f>
        <v>351</v>
      </c>
      <c r="X44" s="48"/>
    </row>
    <row r="45" spans="1:24" ht="16.5" customHeight="1" x14ac:dyDescent="0.15">
      <c r="A45" s="41">
        <v>15</v>
      </c>
      <c r="B45" s="41" t="s">
        <v>4132</v>
      </c>
      <c r="C45" s="74" t="s">
        <v>30438</v>
      </c>
      <c r="D45" s="72" t="s">
        <v>17645</v>
      </c>
      <c r="F45" s="57"/>
      <c r="G45" s="35"/>
      <c r="J45" s="163"/>
      <c r="K45" s="45"/>
      <c r="L45" s="46"/>
      <c r="M45" s="512"/>
      <c r="N45" s="57"/>
      <c r="O45" s="114" t="s">
        <v>17562</v>
      </c>
      <c r="P45" s="49"/>
      <c r="Q45" s="50"/>
      <c r="R45" s="115"/>
      <c r="S45" s="35"/>
      <c r="V45" s="57"/>
      <c r="W45" s="208">
        <f>ROUND((ROUND((ROUND((_15_同援日増２．０*_15・通訳),0)*(1+_15・A深夜)),0)*(1+_15・盲ろう)),0)</f>
        <v>439</v>
      </c>
      <c r="X45" s="48"/>
    </row>
    <row r="46" spans="1:24" ht="16.5" customHeight="1" x14ac:dyDescent="0.15">
      <c r="A46" s="41">
        <v>15</v>
      </c>
      <c r="B46" s="41" t="s">
        <v>4134</v>
      </c>
      <c r="C46" s="74" t="s">
        <v>30439</v>
      </c>
      <c r="D46" s="72"/>
      <c r="E46" s="168">
        <f>_15_同援日増２．０</f>
        <v>260</v>
      </c>
      <c r="F46" s="57" t="s">
        <v>392</v>
      </c>
      <c r="G46" s="35"/>
      <c r="J46" s="299" t="s">
        <v>17556</v>
      </c>
      <c r="K46" s="45" t="s">
        <v>398</v>
      </c>
      <c r="L46" s="46">
        <v>1</v>
      </c>
      <c r="M46" s="512"/>
      <c r="N46" s="57"/>
      <c r="O46" s="269" t="s">
        <v>17564</v>
      </c>
      <c r="P46" s="37" t="s">
        <v>398</v>
      </c>
      <c r="Q46" s="38">
        <v>0.25</v>
      </c>
      <c r="R46" s="79" t="s">
        <v>3575</v>
      </c>
      <c r="S46" s="43"/>
      <c r="T46" s="37"/>
      <c r="U46" s="38"/>
      <c r="V46" s="79"/>
      <c r="W46" s="208">
        <f>ROUND((ROUND((ROUND((ROUND((_15_同援日増２．０*_15・通訳),0)*_15・２人),0)*(1+_15・A深夜)),0)*(1+_15・盲ろう)),0)</f>
        <v>439</v>
      </c>
      <c r="X46" s="48"/>
    </row>
    <row r="47" spans="1:24" ht="16.5" customHeight="1" x14ac:dyDescent="0.15">
      <c r="A47" s="41">
        <v>15</v>
      </c>
      <c r="B47" s="41" t="s">
        <v>30440</v>
      </c>
      <c r="C47" s="74" t="s">
        <v>30441</v>
      </c>
      <c r="D47" s="72"/>
      <c r="F47" s="57"/>
      <c r="G47" s="35"/>
      <c r="J47" s="163"/>
      <c r="K47" s="45"/>
      <c r="L47" s="46"/>
      <c r="M47" s="512"/>
      <c r="N47" s="57"/>
      <c r="O47" s="53"/>
      <c r="P47" s="49"/>
      <c r="Q47" s="50"/>
      <c r="R47" s="115"/>
      <c r="S47" s="114" t="s">
        <v>17570</v>
      </c>
      <c r="T47" s="49"/>
      <c r="U47" s="50"/>
      <c r="V47" s="115"/>
      <c r="W47" s="208">
        <f>ROUND((ROUND((ROUND((_15_同援日増２．０*_15・通訳),0)*(1+_15・A深夜)),0)*(1+_15・区３)),0)</f>
        <v>421</v>
      </c>
      <c r="X47" s="48"/>
    </row>
    <row r="48" spans="1:24" ht="16.5" customHeight="1" x14ac:dyDescent="0.15">
      <c r="A48" s="41">
        <v>15</v>
      </c>
      <c r="B48" s="41" t="s">
        <v>30442</v>
      </c>
      <c r="C48" s="74" t="s">
        <v>30443</v>
      </c>
      <c r="D48" s="72"/>
      <c r="F48" s="57"/>
      <c r="G48" s="35"/>
      <c r="J48" s="299" t="s">
        <v>17556</v>
      </c>
      <c r="K48" s="45" t="s">
        <v>398</v>
      </c>
      <c r="L48" s="46">
        <v>1</v>
      </c>
      <c r="M48" s="512"/>
      <c r="N48" s="57"/>
      <c r="O48" s="43"/>
      <c r="P48" s="37"/>
      <c r="Q48" s="38"/>
      <c r="R48" s="79"/>
      <c r="S48" s="92" t="s">
        <v>17572</v>
      </c>
      <c r="V48" s="57"/>
      <c r="W48" s="208">
        <f>ROUND((ROUND((ROUND((ROUND((_15_同援日増２．０*_15・通訳),0)*_15・２人),0)*(1+_15・A深夜)),0)*(1+_15・区３)),0)</f>
        <v>421</v>
      </c>
      <c r="X48" s="48"/>
    </row>
    <row r="49" spans="1:24" ht="16.5" customHeight="1" x14ac:dyDescent="0.15">
      <c r="A49" s="41">
        <v>15</v>
      </c>
      <c r="B49" s="41" t="s">
        <v>30444</v>
      </c>
      <c r="C49" s="74" t="s">
        <v>30445</v>
      </c>
      <c r="D49" s="72"/>
      <c r="F49" s="57"/>
      <c r="G49" s="35"/>
      <c r="J49" s="163"/>
      <c r="K49" s="45"/>
      <c r="L49" s="46"/>
      <c r="M49" s="512"/>
      <c r="N49" s="57"/>
      <c r="O49" s="114" t="s">
        <v>17562</v>
      </c>
      <c r="P49" s="49"/>
      <c r="Q49" s="50"/>
      <c r="R49" s="115"/>
      <c r="S49" s="35"/>
      <c r="T49" s="12" t="s">
        <v>398</v>
      </c>
      <c r="U49" s="13">
        <v>0.2</v>
      </c>
      <c r="V49" s="57" t="s">
        <v>3575</v>
      </c>
      <c r="W49" s="208">
        <f>ROUND((ROUND((ROUND((ROUND((_15_同援日増２．０*_15・通訳),0)*(1+_15・A深夜)),0)*(1+_15・盲ろう)),0)*(1+_15・区３)),0)</f>
        <v>527</v>
      </c>
      <c r="X49" s="48"/>
    </row>
    <row r="50" spans="1:24" ht="16.5" customHeight="1" x14ac:dyDescent="0.15">
      <c r="A50" s="41">
        <v>15</v>
      </c>
      <c r="B50" s="41" t="s">
        <v>30446</v>
      </c>
      <c r="C50" s="74" t="s">
        <v>30447</v>
      </c>
      <c r="D50" s="72"/>
      <c r="F50" s="57"/>
      <c r="G50" s="35"/>
      <c r="J50" s="299" t="s">
        <v>17556</v>
      </c>
      <c r="K50" s="45" t="s">
        <v>398</v>
      </c>
      <c r="L50" s="46">
        <v>1</v>
      </c>
      <c r="M50" s="512"/>
      <c r="N50" s="57"/>
      <c r="O50" s="269" t="s">
        <v>17564</v>
      </c>
      <c r="P50" s="37" t="s">
        <v>398</v>
      </c>
      <c r="Q50" s="38">
        <v>0.25</v>
      </c>
      <c r="R50" s="79" t="s">
        <v>3575</v>
      </c>
      <c r="S50" s="43"/>
      <c r="T50" s="37"/>
      <c r="U50" s="38"/>
      <c r="V50" s="79"/>
      <c r="W50" s="208">
        <f>ROUND((ROUND((ROUND((ROUND((ROUND((_15_同援日増２．０*_15・通訳),0)*_15・２人),0)*(1+_15・A深夜)),0)*(1+_15・盲ろう)),0)*(1+_15・区３)),0)</f>
        <v>527</v>
      </c>
      <c r="X50" s="48"/>
    </row>
    <row r="51" spans="1:24" ht="16.5" customHeight="1" x14ac:dyDescent="0.15">
      <c r="A51" s="41">
        <v>15</v>
      </c>
      <c r="B51" s="41" t="s">
        <v>30448</v>
      </c>
      <c r="C51" s="74" t="s">
        <v>30449</v>
      </c>
      <c r="D51" s="72"/>
      <c r="F51" s="57"/>
      <c r="G51" s="35"/>
      <c r="J51" s="163"/>
      <c r="K51" s="45"/>
      <c r="L51" s="46"/>
      <c r="M51" s="512"/>
      <c r="N51" s="57"/>
      <c r="O51" s="53"/>
      <c r="P51" s="49"/>
      <c r="Q51" s="50"/>
      <c r="R51" s="115"/>
      <c r="S51" s="114" t="s">
        <v>17580</v>
      </c>
      <c r="T51" s="49"/>
      <c r="U51" s="50"/>
      <c r="V51" s="115"/>
      <c r="W51" s="208">
        <f>ROUND((ROUND((ROUND((_15_同援日増２．０*_15・通訳),0)*(1+_15・A深夜)),0)*(1+_15・区４)),0)</f>
        <v>491</v>
      </c>
      <c r="X51" s="48"/>
    </row>
    <row r="52" spans="1:24" ht="16.5" customHeight="1" x14ac:dyDescent="0.15">
      <c r="A52" s="41">
        <v>15</v>
      </c>
      <c r="B52" s="41" t="s">
        <v>30450</v>
      </c>
      <c r="C52" s="74" t="s">
        <v>30451</v>
      </c>
      <c r="D52" s="72"/>
      <c r="F52" s="57"/>
      <c r="G52" s="35"/>
      <c r="J52" s="299" t="s">
        <v>17556</v>
      </c>
      <c r="K52" s="45" t="s">
        <v>398</v>
      </c>
      <c r="L52" s="46">
        <v>1</v>
      </c>
      <c r="M52" s="512"/>
      <c r="N52" s="57"/>
      <c r="O52" s="43"/>
      <c r="P52" s="37"/>
      <c r="Q52" s="38"/>
      <c r="R52" s="79"/>
      <c r="S52" s="92" t="s">
        <v>17572</v>
      </c>
      <c r="V52" s="57"/>
      <c r="W52" s="208">
        <f>ROUND((ROUND((ROUND((ROUND((_15_同援日増２．０*_15・通訳),0)*_15・２人),0)*(1+_15・A深夜)),0)*(1+_15・区４)),0)</f>
        <v>491</v>
      </c>
      <c r="X52" s="48"/>
    </row>
    <row r="53" spans="1:24" ht="16.5" customHeight="1" x14ac:dyDescent="0.15">
      <c r="A53" s="41">
        <v>15</v>
      </c>
      <c r="B53" s="41" t="s">
        <v>30452</v>
      </c>
      <c r="C53" s="74" t="s">
        <v>30453</v>
      </c>
      <c r="D53" s="72"/>
      <c r="F53" s="57"/>
      <c r="G53" s="35"/>
      <c r="J53" s="163"/>
      <c r="K53" s="45"/>
      <c r="L53" s="46"/>
      <c r="M53" s="512"/>
      <c r="N53" s="57"/>
      <c r="O53" s="114" t="s">
        <v>17562</v>
      </c>
      <c r="P53" s="49"/>
      <c r="Q53" s="50"/>
      <c r="R53" s="115"/>
      <c r="S53" s="35"/>
      <c r="T53" s="12" t="s">
        <v>398</v>
      </c>
      <c r="U53" s="13">
        <v>0.4</v>
      </c>
      <c r="V53" s="57" t="s">
        <v>3575</v>
      </c>
      <c r="W53" s="208">
        <f>ROUND((ROUND((ROUND((ROUND((_15_同援日増２．０*_15・通訳),0)*(1+_15・A深夜)),0)*(1+_15・盲ろう)),0)*(1+_15・区４)),0)</f>
        <v>615</v>
      </c>
      <c r="X53" s="48"/>
    </row>
    <row r="54" spans="1:24" ht="16.5" customHeight="1" x14ac:dyDescent="0.15">
      <c r="A54" s="41">
        <v>15</v>
      </c>
      <c r="B54" s="41" t="s">
        <v>30454</v>
      </c>
      <c r="C54" s="74" t="s">
        <v>30455</v>
      </c>
      <c r="D54" s="122"/>
      <c r="E54" s="37"/>
      <c r="F54" s="79"/>
      <c r="G54" s="35"/>
      <c r="J54" s="299" t="s">
        <v>17556</v>
      </c>
      <c r="K54" s="45" t="s">
        <v>398</v>
      </c>
      <c r="L54" s="46">
        <v>1</v>
      </c>
      <c r="M54" s="512"/>
      <c r="N54" s="57"/>
      <c r="O54" s="269" t="s">
        <v>17564</v>
      </c>
      <c r="P54" s="37" t="s">
        <v>398</v>
      </c>
      <c r="Q54" s="38">
        <v>0.25</v>
      </c>
      <c r="R54" s="79" t="s">
        <v>3575</v>
      </c>
      <c r="S54" s="43"/>
      <c r="T54" s="37"/>
      <c r="U54" s="38"/>
      <c r="V54" s="79"/>
      <c r="W54" s="208">
        <f>ROUND((ROUND((ROUND((ROUND((ROUND((_15_同援日増２．０*_15・通訳),0)*_15・２人),0)*(1+_15・A深夜)),0)*(1+_15・盲ろう)),0)*(1+_15・区４)),0)</f>
        <v>615</v>
      </c>
      <c r="X54" s="48"/>
    </row>
    <row r="55" spans="1:24" ht="16.5" customHeight="1" x14ac:dyDescent="0.15">
      <c r="A55" s="41">
        <v>15</v>
      </c>
      <c r="B55" s="41" t="s">
        <v>4138</v>
      </c>
      <c r="C55" s="74" t="s">
        <v>30456</v>
      </c>
      <c r="D55" s="114" t="s">
        <v>25324</v>
      </c>
      <c r="E55" s="49"/>
      <c r="F55" s="115"/>
      <c r="G55" s="35"/>
      <c r="J55" s="163"/>
      <c r="K55" s="45"/>
      <c r="L55" s="46"/>
      <c r="M55" s="512"/>
      <c r="N55" s="57"/>
      <c r="O55" s="53"/>
      <c r="P55" s="49"/>
      <c r="Q55" s="50"/>
      <c r="R55" s="115"/>
      <c r="S55" s="53"/>
      <c r="T55" s="49"/>
      <c r="U55" s="50"/>
      <c r="V55" s="115"/>
      <c r="W55" s="208">
        <f>ROUND((ROUND((_15_同援日増２．５*_15・通訳),0)*(1+_15・A深夜)),0)</f>
        <v>440</v>
      </c>
      <c r="X55" s="48"/>
    </row>
    <row r="56" spans="1:24" ht="16.5" customHeight="1" x14ac:dyDescent="0.15">
      <c r="A56" s="41">
        <v>15</v>
      </c>
      <c r="B56" s="41" t="s">
        <v>4140</v>
      </c>
      <c r="C56" s="74" t="s">
        <v>30457</v>
      </c>
      <c r="D56" s="72" t="s">
        <v>17670</v>
      </c>
      <c r="F56" s="57"/>
      <c r="G56" s="35"/>
      <c r="J56" s="299" t="s">
        <v>17556</v>
      </c>
      <c r="K56" s="45" t="s">
        <v>398</v>
      </c>
      <c r="L56" s="46">
        <v>1</v>
      </c>
      <c r="M56" s="512"/>
      <c r="N56" s="57"/>
      <c r="O56" s="43"/>
      <c r="P56" s="37"/>
      <c r="Q56" s="38"/>
      <c r="R56" s="79"/>
      <c r="S56" s="35"/>
      <c r="V56" s="57"/>
      <c r="W56" s="208">
        <f>ROUND((ROUND((ROUND((_15_同援日増２．５*_15・通訳),0)*_15・２人),0)*(1+_15・A深夜)),0)</f>
        <v>440</v>
      </c>
      <c r="X56" s="48"/>
    </row>
    <row r="57" spans="1:24" ht="16.5" customHeight="1" x14ac:dyDescent="0.15">
      <c r="A57" s="41">
        <v>15</v>
      </c>
      <c r="B57" s="41" t="s">
        <v>30458</v>
      </c>
      <c r="C57" s="74" t="s">
        <v>30459</v>
      </c>
      <c r="D57" s="72" t="s">
        <v>17672</v>
      </c>
      <c r="F57" s="57"/>
      <c r="G57" s="35"/>
      <c r="J57" s="163"/>
      <c r="K57" s="45"/>
      <c r="L57" s="46"/>
      <c r="M57" s="512"/>
      <c r="N57" s="57"/>
      <c r="O57" s="114" t="s">
        <v>17562</v>
      </c>
      <c r="P57" s="49"/>
      <c r="Q57" s="50"/>
      <c r="R57" s="115"/>
      <c r="S57" s="35"/>
      <c r="V57" s="57"/>
      <c r="W57" s="208">
        <f>ROUND((ROUND((ROUND((_15_同援日増２．５*_15・通訳),0)*(1+_15・A深夜)),0)*(1+_15・盲ろう)),0)</f>
        <v>550</v>
      </c>
      <c r="X57" s="48"/>
    </row>
    <row r="58" spans="1:24" ht="16.5" customHeight="1" x14ac:dyDescent="0.15">
      <c r="A58" s="41">
        <v>15</v>
      </c>
      <c r="B58" s="41" t="s">
        <v>30460</v>
      </c>
      <c r="C58" s="74" t="s">
        <v>30461</v>
      </c>
      <c r="D58" s="72"/>
      <c r="E58" s="168">
        <f>_15_同援日増２．５</f>
        <v>325</v>
      </c>
      <c r="F58" s="57" t="s">
        <v>392</v>
      </c>
      <c r="G58" s="35"/>
      <c r="J58" s="299" t="s">
        <v>17556</v>
      </c>
      <c r="K58" s="45" t="s">
        <v>398</v>
      </c>
      <c r="L58" s="46">
        <v>1</v>
      </c>
      <c r="M58" s="512"/>
      <c r="N58" s="57"/>
      <c r="O58" s="269" t="s">
        <v>17564</v>
      </c>
      <c r="P58" s="37" t="s">
        <v>398</v>
      </c>
      <c r="Q58" s="38">
        <v>0.25</v>
      </c>
      <c r="R58" s="79" t="s">
        <v>3575</v>
      </c>
      <c r="S58" s="43"/>
      <c r="T58" s="37"/>
      <c r="U58" s="38"/>
      <c r="V58" s="79"/>
      <c r="W58" s="208">
        <f>ROUND((ROUND((ROUND((ROUND((_15_同援日増２．５*_15・通訳),0)*_15・２人),0)*(1+_15・A深夜)),0)*(1+_15・盲ろう)),0)</f>
        <v>550</v>
      </c>
      <c r="X58" s="48"/>
    </row>
    <row r="59" spans="1:24" ht="16.5" customHeight="1" x14ac:dyDescent="0.15">
      <c r="A59" s="41">
        <v>15</v>
      </c>
      <c r="B59" s="41" t="s">
        <v>30462</v>
      </c>
      <c r="C59" s="74" t="s">
        <v>30463</v>
      </c>
      <c r="D59" s="72"/>
      <c r="F59" s="57"/>
      <c r="G59" s="35"/>
      <c r="J59" s="163"/>
      <c r="K59" s="45"/>
      <c r="L59" s="46"/>
      <c r="M59" s="512"/>
      <c r="N59" s="57"/>
      <c r="O59" s="53"/>
      <c r="P59" s="49"/>
      <c r="Q59" s="50"/>
      <c r="R59" s="115"/>
      <c r="S59" s="114" t="s">
        <v>17570</v>
      </c>
      <c r="T59" s="49"/>
      <c r="U59" s="50"/>
      <c r="V59" s="115"/>
      <c r="W59" s="208">
        <f>ROUND((ROUND((ROUND((_15_同援日増２．５*_15・通訳),0)*(1+_15・A深夜)),0)*(1+_15・区３)),0)</f>
        <v>528</v>
      </c>
      <c r="X59" s="48"/>
    </row>
    <row r="60" spans="1:24" ht="16.5" customHeight="1" x14ac:dyDescent="0.15">
      <c r="A60" s="41">
        <v>15</v>
      </c>
      <c r="B60" s="41" t="s">
        <v>30464</v>
      </c>
      <c r="C60" s="74" t="s">
        <v>30465</v>
      </c>
      <c r="D60" s="72"/>
      <c r="F60" s="57"/>
      <c r="G60" s="35"/>
      <c r="J60" s="299" t="s">
        <v>17556</v>
      </c>
      <c r="K60" s="45" t="s">
        <v>398</v>
      </c>
      <c r="L60" s="46">
        <v>1</v>
      </c>
      <c r="M60" s="512"/>
      <c r="N60" s="57"/>
      <c r="O60" s="43"/>
      <c r="P60" s="37"/>
      <c r="Q60" s="38"/>
      <c r="R60" s="79"/>
      <c r="S60" s="92" t="s">
        <v>17572</v>
      </c>
      <c r="V60" s="57"/>
      <c r="W60" s="208">
        <f>ROUND((ROUND((ROUND((ROUND((_15_同援日増２．５*_15・通訳),0)*_15・２人),0)*(1+_15・A深夜)),0)*(1+_15・区３)),0)</f>
        <v>528</v>
      </c>
      <c r="X60" s="48"/>
    </row>
    <row r="61" spans="1:24" ht="16.5" customHeight="1" x14ac:dyDescent="0.15">
      <c r="A61" s="41">
        <v>15</v>
      </c>
      <c r="B61" s="41" t="s">
        <v>30466</v>
      </c>
      <c r="C61" s="74" t="s">
        <v>30467</v>
      </c>
      <c r="D61" s="72"/>
      <c r="F61" s="57"/>
      <c r="G61" s="35"/>
      <c r="J61" s="163"/>
      <c r="K61" s="45"/>
      <c r="L61" s="46"/>
      <c r="M61" s="512"/>
      <c r="N61" s="57"/>
      <c r="O61" s="114" t="s">
        <v>17562</v>
      </c>
      <c r="P61" s="49"/>
      <c r="Q61" s="50"/>
      <c r="R61" s="115"/>
      <c r="S61" s="35"/>
      <c r="T61" s="12" t="s">
        <v>398</v>
      </c>
      <c r="U61" s="13">
        <v>0.2</v>
      </c>
      <c r="V61" s="57" t="s">
        <v>3575</v>
      </c>
      <c r="W61" s="208">
        <f>ROUND((ROUND((ROUND((ROUND((_15_同援日増２．５*_15・通訳),0)*(1+_15・A深夜)),0)*(1+_15・盲ろう)),0)*(1+_15・区３)),0)</f>
        <v>660</v>
      </c>
      <c r="X61" s="48"/>
    </row>
    <row r="62" spans="1:24" ht="16.5" customHeight="1" x14ac:dyDescent="0.15">
      <c r="A62" s="41">
        <v>15</v>
      </c>
      <c r="B62" s="41" t="s">
        <v>30468</v>
      </c>
      <c r="C62" s="74" t="s">
        <v>30469</v>
      </c>
      <c r="D62" s="72"/>
      <c r="F62" s="57"/>
      <c r="G62" s="35"/>
      <c r="J62" s="299" t="s">
        <v>17556</v>
      </c>
      <c r="K62" s="45" t="s">
        <v>398</v>
      </c>
      <c r="L62" s="46">
        <v>1</v>
      </c>
      <c r="M62" s="512"/>
      <c r="N62" s="57"/>
      <c r="O62" s="269" t="s">
        <v>17564</v>
      </c>
      <c r="P62" s="37" t="s">
        <v>398</v>
      </c>
      <c r="Q62" s="38">
        <v>0.25</v>
      </c>
      <c r="R62" s="79" t="s">
        <v>3575</v>
      </c>
      <c r="S62" s="43"/>
      <c r="T62" s="37"/>
      <c r="U62" s="38"/>
      <c r="V62" s="79"/>
      <c r="W62" s="208">
        <f>ROUND((ROUND((ROUND((ROUND((ROUND((_15_同援日増２．５*_15・通訳),0)*_15・２人),0)*(1+_15・A深夜)),0)*(1+_15・盲ろう)),0)*(1+_15・区３)),0)</f>
        <v>660</v>
      </c>
      <c r="X62" s="48"/>
    </row>
    <row r="63" spans="1:24" ht="16.5" customHeight="1" x14ac:dyDescent="0.15">
      <c r="A63" s="41">
        <v>15</v>
      </c>
      <c r="B63" s="41" t="s">
        <v>30470</v>
      </c>
      <c r="C63" s="74" t="s">
        <v>30471</v>
      </c>
      <c r="D63" s="72"/>
      <c r="F63" s="57"/>
      <c r="G63" s="35"/>
      <c r="J63" s="163"/>
      <c r="K63" s="45"/>
      <c r="L63" s="46"/>
      <c r="M63" s="512"/>
      <c r="N63" s="57"/>
      <c r="O63" s="53"/>
      <c r="P63" s="49"/>
      <c r="Q63" s="50"/>
      <c r="R63" s="115"/>
      <c r="S63" s="114" t="s">
        <v>17580</v>
      </c>
      <c r="T63" s="49"/>
      <c r="U63" s="50"/>
      <c r="V63" s="115"/>
      <c r="W63" s="208">
        <f>ROUND((ROUND((ROUND((_15_同援日増２．５*_15・通訳),0)*(1+_15・A深夜)),0)*(1+_15・区４)),0)</f>
        <v>616</v>
      </c>
      <c r="X63" s="48"/>
    </row>
    <row r="64" spans="1:24" ht="16.5" customHeight="1" x14ac:dyDescent="0.15">
      <c r="A64" s="41">
        <v>15</v>
      </c>
      <c r="B64" s="41" t="s">
        <v>30472</v>
      </c>
      <c r="C64" s="74" t="s">
        <v>30473</v>
      </c>
      <c r="D64" s="72"/>
      <c r="F64" s="57"/>
      <c r="G64" s="35"/>
      <c r="J64" s="299" t="s">
        <v>17556</v>
      </c>
      <c r="K64" s="45" t="s">
        <v>398</v>
      </c>
      <c r="L64" s="46">
        <v>1</v>
      </c>
      <c r="M64" s="512"/>
      <c r="N64" s="57"/>
      <c r="O64" s="43"/>
      <c r="P64" s="37"/>
      <c r="Q64" s="38"/>
      <c r="R64" s="79"/>
      <c r="S64" s="92" t="s">
        <v>17572</v>
      </c>
      <c r="V64" s="57"/>
      <c r="W64" s="208">
        <f>ROUND((ROUND((ROUND((ROUND((_15_同援日増２．５*_15・通訳),0)*_15・２人),0)*(1+_15・A深夜)),0)*(1+_15・区４)),0)</f>
        <v>616</v>
      </c>
      <c r="X64" s="48"/>
    </row>
    <row r="65" spans="1:24" ht="16.5" customHeight="1" x14ac:dyDescent="0.15">
      <c r="A65" s="41">
        <v>15</v>
      </c>
      <c r="B65" s="41" t="s">
        <v>4144</v>
      </c>
      <c r="C65" s="74" t="s">
        <v>30474</v>
      </c>
      <c r="D65" s="72"/>
      <c r="F65" s="57"/>
      <c r="G65" s="35"/>
      <c r="J65" s="163"/>
      <c r="K65" s="45"/>
      <c r="L65" s="46"/>
      <c r="M65" s="512"/>
      <c r="N65" s="57"/>
      <c r="O65" s="114" t="s">
        <v>17562</v>
      </c>
      <c r="P65" s="49"/>
      <c r="Q65" s="50"/>
      <c r="R65" s="115"/>
      <c r="S65" s="35"/>
      <c r="T65" s="12" t="s">
        <v>398</v>
      </c>
      <c r="U65" s="13">
        <v>0.4</v>
      </c>
      <c r="V65" s="57" t="s">
        <v>3575</v>
      </c>
      <c r="W65" s="208">
        <f>ROUND((ROUND((ROUND((ROUND((_15_同援日増２．５*_15・通訳),0)*(1+_15・A深夜)),0)*(1+_15・盲ろう)),0)*(1+_15・区４)),0)</f>
        <v>770</v>
      </c>
      <c r="X65" s="48"/>
    </row>
    <row r="66" spans="1:24" ht="16.5" customHeight="1" x14ac:dyDescent="0.15">
      <c r="A66" s="41">
        <v>15</v>
      </c>
      <c r="B66" s="41" t="s">
        <v>4146</v>
      </c>
      <c r="C66" s="74" t="s">
        <v>30475</v>
      </c>
      <c r="D66" s="122"/>
      <c r="E66" s="37"/>
      <c r="F66" s="79"/>
      <c r="G66" s="35"/>
      <c r="J66" s="299" t="s">
        <v>17556</v>
      </c>
      <c r="K66" s="45" t="s">
        <v>398</v>
      </c>
      <c r="L66" s="46">
        <v>1</v>
      </c>
      <c r="M66" s="512"/>
      <c r="N66" s="57"/>
      <c r="O66" s="269" t="s">
        <v>17564</v>
      </c>
      <c r="P66" s="37" t="s">
        <v>398</v>
      </c>
      <c r="Q66" s="38">
        <v>0.25</v>
      </c>
      <c r="R66" s="79" t="s">
        <v>3575</v>
      </c>
      <c r="S66" s="43"/>
      <c r="T66" s="37"/>
      <c r="U66" s="38"/>
      <c r="V66" s="79"/>
      <c r="W66" s="208">
        <f>ROUND((ROUND((ROUND((ROUND((ROUND((_15_同援日増２．５*_15・通訳),0)*_15・２人),0)*(1+_15・A深夜)),0)*(1+_15・盲ろう)),0)*(1+_15・区４)),0)</f>
        <v>770</v>
      </c>
      <c r="X66" s="48"/>
    </row>
    <row r="67" spans="1:24" ht="16.5" customHeight="1" x14ac:dyDescent="0.15">
      <c r="A67" s="41">
        <v>15</v>
      </c>
      <c r="B67" s="41" t="s">
        <v>30476</v>
      </c>
      <c r="C67" s="74" t="s">
        <v>30477</v>
      </c>
      <c r="D67" s="114" t="s">
        <v>25366</v>
      </c>
      <c r="E67" s="49"/>
      <c r="F67" s="115"/>
      <c r="G67" s="35"/>
      <c r="J67" s="163"/>
      <c r="K67" s="45"/>
      <c r="L67" s="46"/>
      <c r="M67" s="512"/>
      <c r="N67" s="57"/>
      <c r="O67" s="53"/>
      <c r="P67" s="49"/>
      <c r="Q67" s="50"/>
      <c r="R67" s="115"/>
      <c r="S67" s="53"/>
      <c r="T67" s="49"/>
      <c r="U67" s="50"/>
      <c r="V67" s="115"/>
      <c r="W67" s="208">
        <f>ROUND((ROUND((_15_同援日増３．０*_15・通訳),0)*(1+_15・A深夜)),0)</f>
        <v>527</v>
      </c>
      <c r="X67" s="48"/>
    </row>
    <row r="68" spans="1:24" ht="16.5" customHeight="1" x14ac:dyDescent="0.15">
      <c r="A68" s="41">
        <v>15</v>
      </c>
      <c r="B68" s="41" t="s">
        <v>30478</v>
      </c>
      <c r="C68" s="74" t="s">
        <v>30479</v>
      </c>
      <c r="D68" s="72" t="s">
        <v>17697</v>
      </c>
      <c r="F68" s="57"/>
      <c r="G68" s="35"/>
      <c r="J68" s="299" t="s">
        <v>17556</v>
      </c>
      <c r="K68" s="45" t="s">
        <v>398</v>
      </c>
      <c r="L68" s="46">
        <v>1</v>
      </c>
      <c r="M68" s="512"/>
      <c r="N68" s="57"/>
      <c r="O68" s="43"/>
      <c r="P68" s="37"/>
      <c r="Q68" s="38"/>
      <c r="R68" s="79"/>
      <c r="S68" s="35"/>
      <c r="V68" s="57"/>
      <c r="W68" s="208">
        <f>ROUND((ROUND((ROUND((_15_同援日増３．０*_15・通訳),0)*_15・２人),0)*(1+_15・A深夜)),0)</f>
        <v>527</v>
      </c>
      <c r="X68" s="48"/>
    </row>
    <row r="69" spans="1:24" ht="16.5" customHeight="1" x14ac:dyDescent="0.15">
      <c r="A69" s="41">
        <v>15</v>
      </c>
      <c r="B69" s="41" t="s">
        <v>30480</v>
      </c>
      <c r="C69" s="74" t="s">
        <v>30481</v>
      </c>
      <c r="D69" s="72" t="s">
        <v>18387</v>
      </c>
      <c r="F69" s="57"/>
      <c r="G69" s="35"/>
      <c r="J69" s="163"/>
      <c r="K69" s="45"/>
      <c r="L69" s="46"/>
      <c r="M69" s="512"/>
      <c r="N69" s="57"/>
      <c r="O69" s="114" t="s">
        <v>17562</v>
      </c>
      <c r="P69" s="49"/>
      <c r="Q69" s="50"/>
      <c r="R69" s="115"/>
      <c r="S69" s="35"/>
      <c r="V69" s="57"/>
      <c r="W69" s="208">
        <f>ROUND((ROUND((ROUND((_15_同援日増３．０*_15・通訳),0)*(1+_15・A深夜)),0)*(1+_15・盲ろう)),0)</f>
        <v>659</v>
      </c>
      <c r="X69" s="48"/>
    </row>
    <row r="70" spans="1:24" ht="16.5" customHeight="1" x14ac:dyDescent="0.15">
      <c r="A70" s="41">
        <v>15</v>
      </c>
      <c r="B70" s="41" t="s">
        <v>30482</v>
      </c>
      <c r="C70" s="74" t="s">
        <v>30483</v>
      </c>
      <c r="D70" s="72"/>
      <c r="E70" s="168">
        <f>_15_同援日増３．０</f>
        <v>390</v>
      </c>
      <c r="F70" s="57" t="s">
        <v>392</v>
      </c>
      <c r="G70" s="35"/>
      <c r="J70" s="299" t="s">
        <v>17556</v>
      </c>
      <c r="K70" s="45" t="s">
        <v>398</v>
      </c>
      <c r="L70" s="46">
        <v>1</v>
      </c>
      <c r="M70" s="512"/>
      <c r="N70" s="57"/>
      <c r="O70" s="269" t="s">
        <v>17564</v>
      </c>
      <c r="P70" s="37" t="s">
        <v>398</v>
      </c>
      <c r="Q70" s="38">
        <v>0.25</v>
      </c>
      <c r="R70" s="79" t="s">
        <v>3575</v>
      </c>
      <c r="S70" s="43"/>
      <c r="T70" s="37"/>
      <c r="U70" s="38"/>
      <c r="V70" s="79"/>
      <c r="W70" s="208">
        <f>ROUND((ROUND((ROUND((ROUND((_15_同援日増３．０*_15・通訳),0)*_15・２人),0)*(1+_15・A深夜)),0)*(1+_15・盲ろう)),0)</f>
        <v>659</v>
      </c>
      <c r="X70" s="48"/>
    </row>
    <row r="71" spans="1:24" ht="16.5" customHeight="1" x14ac:dyDescent="0.15">
      <c r="A71" s="41">
        <v>15</v>
      </c>
      <c r="B71" s="41" t="s">
        <v>30484</v>
      </c>
      <c r="C71" s="74" t="s">
        <v>30485</v>
      </c>
      <c r="D71" s="72"/>
      <c r="F71" s="57"/>
      <c r="G71" s="35"/>
      <c r="J71" s="163"/>
      <c r="K71" s="45"/>
      <c r="L71" s="46"/>
      <c r="M71" s="512"/>
      <c r="N71" s="57"/>
      <c r="O71" s="53"/>
      <c r="P71" s="49"/>
      <c r="Q71" s="50"/>
      <c r="R71" s="115"/>
      <c r="S71" s="114" t="s">
        <v>17570</v>
      </c>
      <c r="T71" s="49"/>
      <c r="U71" s="50"/>
      <c r="V71" s="115"/>
      <c r="W71" s="208">
        <f>ROUND((ROUND((ROUND((_15_同援日増３．０*_15・通訳),0)*(1+_15・A深夜)),0)*(1+_15・区３)),0)</f>
        <v>632</v>
      </c>
      <c r="X71" s="48"/>
    </row>
    <row r="72" spans="1:24" ht="16.5" customHeight="1" x14ac:dyDescent="0.15">
      <c r="A72" s="41">
        <v>15</v>
      </c>
      <c r="B72" s="41" t="s">
        <v>30486</v>
      </c>
      <c r="C72" s="74" t="s">
        <v>30487</v>
      </c>
      <c r="D72" s="72"/>
      <c r="F72" s="57"/>
      <c r="G72" s="35"/>
      <c r="J72" s="299" t="s">
        <v>17556</v>
      </c>
      <c r="K72" s="45" t="s">
        <v>398</v>
      </c>
      <c r="L72" s="46">
        <v>1</v>
      </c>
      <c r="M72" s="512"/>
      <c r="N72" s="57"/>
      <c r="O72" s="43"/>
      <c r="P72" s="37"/>
      <c r="Q72" s="38"/>
      <c r="R72" s="79"/>
      <c r="S72" s="92" t="s">
        <v>17572</v>
      </c>
      <c r="V72" s="57"/>
      <c r="W72" s="208">
        <f>ROUND((ROUND((ROUND((ROUND((_15_同援日増３．０*_15・通訳),0)*_15・２人),0)*(1+_15・A深夜)),0)*(1+_15・区３)),0)</f>
        <v>632</v>
      </c>
      <c r="X72" s="48"/>
    </row>
    <row r="73" spans="1:24" ht="16.5" customHeight="1" x14ac:dyDescent="0.15">
      <c r="A73" s="41">
        <v>15</v>
      </c>
      <c r="B73" s="41" t="s">
        <v>30488</v>
      </c>
      <c r="C73" s="74" t="s">
        <v>30489</v>
      </c>
      <c r="D73" s="72"/>
      <c r="F73" s="57"/>
      <c r="G73" s="35"/>
      <c r="J73" s="163"/>
      <c r="K73" s="45"/>
      <c r="L73" s="46"/>
      <c r="M73" s="512"/>
      <c r="N73" s="57"/>
      <c r="O73" s="114" t="s">
        <v>17562</v>
      </c>
      <c r="P73" s="49"/>
      <c r="Q73" s="50"/>
      <c r="R73" s="115"/>
      <c r="S73" s="35"/>
      <c r="T73" s="12" t="s">
        <v>398</v>
      </c>
      <c r="U73" s="13">
        <v>0.2</v>
      </c>
      <c r="V73" s="57" t="s">
        <v>3575</v>
      </c>
      <c r="W73" s="208">
        <f>ROUND((ROUND((ROUND((ROUND((_15_同援日増３．０*_15・通訳),0)*(1+_15・A深夜)),0)*(1+_15・盲ろう)),0)*(1+_15・区３)),0)</f>
        <v>791</v>
      </c>
      <c r="X73" s="48"/>
    </row>
    <row r="74" spans="1:24" ht="16.5" customHeight="1" x14ac:dyDescent="0.15">
      <c r="A74" s="41">
        <v>15</v>
      </c>
      <c r="B74" s="41" t="s">
        <v>30490</v>
      </c>
      <c r="C74" s="74" t="s">
        <v>30491</v>
      </c>
      <c r="D74" s="72"/>
      <c r="F74" s="57"/>
      <c r="G74" s="35"/>
      <c r="J74" s="299" t="s">
        <v>17556</v>
      </c>
      <c r="K74" s="45" t="s">
        <v>398</v>
      </c>
      <c r="L74" s="46">
        <v>1</v>
      </c>
      <c r="M74" s="512"/>
      <c r="N74" s="57"/>
      <c r="O74" s="269" t="s">
        <v>17564</v>
      </c>
      <c r="P74" s="37" t="s">
        <v>398</v>
      </c>
      <c r="Q74" s="38">
        <v>0.25</v>
      </c>
      <c r="R74" s="79" t="s">
        <v>3575</v>
      </c>
      <c r="S74" s="43"/>
      <c r="T74" s="37"/>
      <c r="U74" s="38"/>
      <c r="V74" s="79"/>
      <c r="W74" s="208">
        <f>ROUND((ROUND((ROUND((ROUND((ROUND((_15_同援日増３．０*_15・通訳),0)*_15・２人),0)*(1+_15・A深夜)),0)*(1+_15・盲ろう)),0)*(1+_15・区３)),0)</f>
        <v>791</v>
      </c>
      <c r="X74" s="48"/>
    </row>
    <row r="75" spans="1:24" ht="16.5" customHeight="1" x14ac:dyDescent="0.15">
      <c r="A75" s="41">
        <v>15</v>
      </c>
      <c r="B75" s="41" t="s">
        <v>4150</v>
      </c>
      <c r="C75" s="74" t="s">
        <v>30492</v>
      </c>
      <c r="D75" s="72"/>
      <c r="F75" s="57"/>
      <c r="G75" s="35"/>
      <c r="J75" s="163"/>
      <c r="K75" s="45"/>
      <c r="L75" s="46"/>
      <c r="M75" s="512"/>
      <c r="N75" s="57"/>
      <c r="O75" s="53"/>
      <c r="P75" s="49"/>
      <c r="Q75" s="50"/>
      <c r="R75" s="115"/>
      <c r="S75" s="114" t="s">
        <v>17580</v>
      </c>
      <c r="T75" s="49"/>
      <c r="U75" s="50"/>
      <c r="V75" s="115"/>
      <c r="W75" s="208">
        <f>ROUND((ROUND((ROUND((_15_同援日増３．０*_15・通訳),0)*(1+_15・A深夜)),0)*(1+_15・区４)),0)</f>
        <v>738</v>
      </c>
      <c r="X75" s="48"/>
    </row>
    <row r="76" spans="1:24" ht="16.5" customHeight="1" x14ac:dyDescent="0.15">
      <c r="A76" s="41">
        <v>15</v>
      </c>
      <c r="B76" s="41" t="s">
        <v>4152</v>
      </c>
      <c r="C76" s="74" t="s">
        <v>30493</v>
      </c>
      <c r="D76" s="72"/>
      <c r="F76" s="57"/>
      <c r="G76" s="35"/>
      <c r="J76" s="299" t="s">
        <v>17556</v>
      </c>
      <c r="K76" s="45" t="s">
        <v>398</v>
      </c>
      <c r="L76" s="46">
        <v>1</v>
      </c>
      <c r="M76" s="512"/>
      <c r="N76" s="57"/>
      <c r="O76" s="43"/>
      <c r="P76" s="37"/>
      <c r="Q76" s="38"/>
      <c r="R76" s="79"/>
      <c r="S76" s="92" t="s">
        <v>17572</v>
      </c>
      <c r="V76" s="57"/>
      <c r="W76" s="208">
        <f>ROUND((ROUND((ROUND((ROUND((_15_同援日増３．０*_15・通訳),0)*_15・２人),0)*(1+_15・A深夜)),0)*(1+_15・区４)),0)</f>
        <v>738</v>
      </c>
      <c r="X76" s="48"/>
    </row>
    <row r="77" spans="1:24" ht="16.5" customHeight="1" x14ac:dyDescent="0.15">
      <c r="A77" s="41">
        <v>15</v>
      </c>
      <c r="B77" s="41" t="s">
        <v>30494</v>
      </c>
      <c r="C77" s="74" t="s">
        <v>30495</v>
      </c>
      <c r="D77" s="72"/>
      <c r="F77" s="57"/>
      <c r="G77" s="35"/>
      <c r="J77" s="163"/>
      <c r="K77" s="45"/>
      <c r="L77" s="46"/>
      <c r="M77" s="512"/>
      <c r="N77" s="57"/>
      <c r="O77" s="114" t="s">
        <v>17562</v>
      </c>
      <c r="P77" s="49"/>
      <c r="Q77" s="50"/>
      <c r="R77" s="115"/>
      <c r="S77" s="35"/>
      <c r="T77" s="12" t="s">
        <v>398</v>
      </c>
      <c r="U77" s="13">
        <v>0.4</v>
      </c>
      <c r="V77" s="57" t="s">
        <v>3575</v>
      </c>
      <c r="W77" s="208">
        <f>ROUND((ROUND((ROUND((ROUND((_15_同援日増３．０*_15・通訳),0)*(1+_15・A深夜)),0)*(1+_15・盲ろう)),0)*(1+_15・区４)),0)</f>
        <v>923</v>
      </c>
      <c r="X77" s="48"/>
    </row>
    <row r="78" spans="1:24" ht="16.5" customHeight="1" x14ac:dyDescent="0.15">
      <c r="A78" s="41">
        <v>15</v>
      </c>
      <c r="B78" s="41" t="s">
        <v>30496</v>
      </c>
      <c r="C78" s="74" t="s">
        <v>30497</v>
      </c>
      <c r="D78" s="122"/>
      <c r="E78" s="37"/>
      <c r="F78" s="79"/>
      <c r="G78" s="35"/>
      <c r="J78" s="299" t="s">
        <v>17556</v>
      </c>
      <c r="K78" s="45" t="s">
        <v>398</v>
      </c>
      <c r="L78" s="46">
        <v>1</v>
      </c>
      <c r="M78" s="512"/>
      <c r="N78" s="57"/>
      <c r="O78" s="269" t="s">
        <v>17564</v>
      </c>
      <c r="P78" s="37" t="s">
        <v>398</v>
      </c>
      <c r="Q78" s="38">
        <v>0.25</v>
      </c>
      <c r="R78" s="79" t="s">
        <v>3575</v>
      </c>
      <c r="S78" s="43"/>
      <c r="T78" s="37"/>
      <c r="U78" s="38"/>
      <c r="V78" s="79"/>
      <c r="W78" s="208">
        <f>ROUND((ROUND((ROUND((ROUND((ROUND((_15_同援日増３．０*_15・通訳),0)*_15・２人),0)*(1+_15・A深夜)),0)*(1+_15・盲ろう)),0)*(1+_15・区４)),0)</f>
        <v>923</v>
      </c>
      <c r="X78" s="48"/>
    </row>
    <row r="79" spans="1:24" ht="16.5" customHeight="1" x14ac:dyDescent="0.15">
      <c r="A79" s="41">
        <v>15</v>
      </c>
      <c r="B79" s="41" t="s">
        <v>30498</v>
      </c>
      <c r="C79" s="74" t="s">
        <v>30499</v>
      </c>
      <c r="D79" s="114" t="s">
        <v>25410</v>
      </c>
      <c r="E79" s="49"/>
      <c r="F79" s="115"/>
      <c r="G79" s="35"/>
      <c r="J79" s="163"/>
      <c r="K79" s="45"/>
      <c r="L79" s="46"/>
      <c r="M79" s="512"/>
      <c r="N79" s="57"/>
      <c r="O79" s="53"/>
      <c r="P79" s="49"/>
      <c r="Q79" s="50"/>
      <c r="R79" s="115"/>
      <c r="S79" s="53"/>
      <c r="T79" s="49"/>
      <c r="U79" s="50"/>
      <c r="V79" s="115"/>
      <c r="W79" s="208">
        <f>ROUND((ROUND((_15_同援日増３．５*_15・通訳),0)*(1+_15・A深夜)),0)</f>
        <v>615</v>
      </c>
      <c r="X79" s="48"/>
    </row>
    <row r="80" spans="1:24" ht="16.5" customHeight="1" x14ac:dyDescent="0.15">
      <c r="A80" s="41">
        <v>15</v>
      </c>
      <c r="B80" s="41" t="s">
        <v>30500</v>
      </c>
      <c r="C80" s="74" t="s">
        <v>30501</v>
      </c>
      <c r="D80" s="72" t="s">
        <v>17724</v>
      </c>
      <c r="F80" s="57"/>
      <c r="G80" s="35"/>
      <c r="J80" s="299" t="s">
        <v>17556</v>
      </c>
      <c r="K80" s="45" t="s">
        <v>398</v>
      </c>
      <c r="L80" s="46">
        <v>1</v>
      </c>
      <c r="M80" s="512"/>
      <c r="N80" s="57"/>
      <c r="O80" s="43"/>
      <c r="P80" s="37"/>
      <c r="Q80" s="38"/>
      <c r="R80" s="79"/>
      <c r="S80" s="35"/>
      <c r="V80" s="57"/>
      <c r="W80" s="208">
        <f>ROUND((ROUND((ROUND((_15_同援日増３．５*_15・通訳),0)*_15・２人),0)*(1+_15・A深夜)),0)</f>
        <v>615</v>
      </c>
      <c r="X80" s="48"/>
    </row>
    <row r="81" spans="1:24" ht="16.5" customHeight="1" x14ac:dyDescent="0.15">
      <c r="A81" s="41">
        <v>15</v>
      </c>
      <c r="B81" s="41" t="s">
        <v>30502</v>
      </c>
      <c r="C81" s="74" t="s">
        <v>30503</v>
      </c>
      <c r="D81" s="72" t="s">
        <v>17726</v>
      </c>
      <c r="F81" s="57"/>
      <c r="G81" s="35"/>
      <c r="J81" s="163"/>
      <c r="K81" s="45"/>
      <c r="L81" s="46"/>
      <c r="M81" s="512"/>
      <c r="N81" s="57"/>
      <c r="O81" s="114" t="s">
        <v>17562</v>
      </c>
      <c r="P81" s="49"/>
      <c r="Q81" s="50"/>
      <c r="R81" s="115"/>
      <c r="S81" s="35"/>
      <c r="V81" s="57"/>
      <c r="W81" s="208">
        <f>ROUND((ROUND((ROUND((_15_同援日増３．５*_15・通訳),0)*(1+_15・A深夜)),0)*(1+_15・盲ろう)),0)</f>
        <v>769</v>
      </c>
      <c r="X81" s="48"/>
    </row>
    <row r="82" spans="1:24" ht="16.5" customHeight="1" x14ac:dyDescent="0.15">
      <c r="A82" s="41">
        <v>15</v>
      </c>
      <c r="B82" s="41" t="s">
        <v>30504</v>
      </c>
      <c r="C82" s="74" t="s">
        <v>30505</v>
      </c>
      <c r="D82" s="72"/>
      <c r="E82" s="168">
        <f>_15_同援日増３．５</f>
        <v>455</v>
      </c>
      <c r="F82" s="57" t="s">
        <v>392</v>
      </c>
      <c r="G82" s="35"/>
      <c r="J82" s="299" t="s">
        <v>17556</v>
      </c>
      <c r="K82" s="45" t="s">
        <v>398</v>
      </c>
      <c r="L82" s="46">
        <v>1</v>
      </c>
      <c r="M82" s="512"/>
      <c r="N82" s="57"/>
      <c r="O82" s="269" t="s">
        <v>17564</v>
      </c>
      <c r="P82" s="37" t="s">
        <v>398</v>
      </c>
      <c r="Q82" s="38">
        <v>0.25</v>
      </c>
      <c r="R82" s="79" t="s">
        <v>3575</v>
      </c>
      <c r="S82" s="43"/>
      <c r="T82" s="37"/>
      <c r="U82" s="38"/>
      <c r="V82" s="79"/>
      <c r="W82" s="208">
        <f>ROUND((ROUND((ROUND((ROUND((_15_同援日増３．５*_15・通訳),0)*_15・２人),0)*(1+_15・A深夜)),0)*(1+_15・盲ろう)),0)</f>
        <v>769</v>
      </c>
      <c r="X82" s="48"/>
    </row>
    <row r="83" spans="1:24" ht="16.5" customHeight="1" x14ac:dyDescent="0.15">
      <c r="A83" s="41">
        <v>15</v>
      </c>
      <c r="B83" s="41" t="s">
        <v>30506</v>
      </c>
      <c r="C83" s="74" t="s">
        <v>30507</v>
      </c>
      <c r="D83" s="72"/>
      <c r="F83" s="57"/>
      <c r="G83" s="35"/>
      <c r="J83" s="163"/>
      <c r="K83" s="45"/>
      <c r="L83" s="46"/>
      <c r="M83" s="512"/>
      <c r="N83" s="57"/>
      <c r="O83" s="53"/>
      <c r="P83" s="49"/>
      <c r="Q83" s="50"/>
      <c r="R83" s="115"/>
      <c r="S83" s="114" t="s">
        <v>17570</v>
      </c>
      <c r="T83" s="49"/>
      <c r="U83" s="50"/>
      <c r="V83" s="115"/>
      <c r="W83" s="208">
        <f>ROUND((ROUND((ROUND((_15_同援日増３．５*_15・通訳),0)*(1+_15・A深夜)),0)*(1+_15・区３)),0)</f>
        <v>738</v>
      </c>
      <c r="X83" s="48"/>
    </row>
    <row r="84" spans="1:24" ht="16.5" customHeight="1" x14ac:dyDescent="0.15">
      <c r="A84" s="41">
        <v>15</v>
      </c>
      <c r="B84" s="41" t="s">
        <v>30508</v>
      </c>
      <c r="C84" s="74" t="s">
        <v>30509</v>
      </c>
      <c r="D84" s="72"/>
      <c r="F84" s="57"/>
      <c r="G84" s="35"/>
      <c r="J84" s="299" t="s">
        <v>17556</v>
      </c>
      <c r="K84" s="45" t="s">
        <v>398</v>
      </c>
      <c r="L84" s="46">
        <v>1</v>
      </c>
      <c r="M84" s="512"/>
      <c r="N84" s="57"/>
      <c r="O84" s="43"/>
      <c r="P84" s="37"/>
      <c r="Q84" s="38"/>
      <c r="R84" s="79"/>
      <c r="S84" s="92" t="s">
        <v>17572</v>
      </c>
      <c r="V84" s="57"/>
      <c r="W84" s="208">
        <f>ROUND((ROUND((ROUND((ROUND((_15_同援日増３．５*_15・通訳),0)*_15・２人),0)*(1+_15・A深夜)),0)*(1+_15・区３)),0)</f>
        <v>738</v>
      </c>
      <c r="X84" s="48"/>
    </row>
    <row r="85" spans="1:24" ht="16.5" customHeight="1" x14ac:dyDescent="0.15">
      <c r="A85" s="41">
        <v>15</v>
      </c>
      <c r="B85" s="41" t="s">
        <v>4156</v>
      </c>
      <c r="C85" s="74" t="s">
        <v>30510</v>
      </c>
      <c r="D85" s="72"/>
      <c r="F85" s="57"/>
      <c r="G85" s="35"/>
      <c r="J85" s="163"/>
      <c r="K85" s="45"/>
      <c r="L85" s="46"/>
      <c r="M85" s="512"/>
      <c r="N85" s="57"/>
      <c r="O85" s="114" t="s">
        <v>17562</v>
      </c>
      <c r="P85" s="49"/>
      <c r="Q85" s="50"/>
      <c r="R85" s="115"/>
      <c r="S85" s="35"/>
      <c r="T85" s="12" t="s">
        <v>398</v>
      </c>
      <c r="U85" s="13">
        <v>0.2</v>
      </c>
      <c r="V85" s="57" t="s">
        <v>3575</v>
      </c>
      <c r="W85" s="208">
        <f>ROUND((ROUND((ROUND((ROUND((_15_同援日増３．５*_15・通訳),0)*(1+_15・A深夜)),0)*(1+_15・盲ろう)),0)*(1+_15・区３)),0)</f>
        <v>923</v>
      </c>
      <c r="X85" s="48"/>
    </row>
    <row r="86" spans="1:24" ht="16.5" customHeight="1" x14ac:dyDescent="0.15">
      <c r="A86" s="41">
        <v>15</v>
      </c>
      <c r="B86" s="41" t="s">
        <v>4158</v>
      </c>
      <c r="C86" s="74" t="s">
        <v>30511</v>
      </c>
      <c r="D86" s="72"/>
      <c r="F86" s="57"/>
      <c r="G86" s="35"/>
      <c r="J86" s="299" t="s">
        <v>17556</v>
      </c>
      <c r="K86" s="45" t="s">
        <v>398</v>
      </c>
      <c r="L86" s="46">
        <v>1</v>
      </c>
      <c r="M86" s="512"/>
      <c r="N86" s="57"/>
      <c r="O86" s="269" t="s">
        <v>17564</v>
      </c>
      <c r="P86" s="37" t="s">
        <v>398</v>
      </c>
      <c r="Q86" s="38">
        <v>0.25</v>
      </c>
      <c r="R86" s="79" t="s">
        <v>3575</v>
      </c>
      <c r="S86" s="43"/>
      <c r="T86" s="37"/>
      <c r="U86" s="38"/>
      <c r="V86" s="79"/>
      <c r="W86" s="208">
        <f>ROUND((ROUND((ROUND((ROUND((ROUND((_15_同援日増３．５*_15・通訳),0)*_15・２人),0)*(1+_15・A深夜)),0)*(1+_15・盲ろう)),0)*(1+_15・区３)),0)</f>
        <v>923</v>
      </c>
      <c r="X86" s="48"/>
    </row>
    <row r="87" spans="1:24" ht="16.5" customHeight="1" x14ac:dyDescent="0.15">
      <c r="A87" s="41">
        <v>15</v>
      </c>
      <c r="B87" s="41" t="s">
        <v>30512</v>
      </c>
      <c r="C87" s="74" t="s">
        <v>30513</v>
      </c>
      <c r="D87" s="72"/>
      <c r="F87" s="57"/>
      <c r="G87" s="35"/>
      <c r="J87" s="163"/>
      <c r="K87" s="45"/>
      <c r="L87" s="46"/>
      <c r="M87" s="512"/>
      <c r="N87" s="57"/>
      <c r="O87" s="53"/>
      <c r="P87" s="49"/>
      <c r="Q87" s="50"/>
      <c r="R87" s="115"/>
      <c r="S87" s="114" t="s">
        <v>17580</v>
      </c>
      <c r="T87" s="49"/>
      <c r="U87" s="50"/>
      <c r="V87" s="115"/>
      <c r="W87" s="208">
        <f>ROUND((ROUND((ROUND((_15_同援日増３．５*_15・通訳),0)*(1+_15・A深夜)),0)*(1+_15・区４)),0)</f>
        <v>861</v>
      </c>
      <c r="X87" s="48"/>
    </row>
    <row r="88" spans="1:24" ht="16.5" customHeight="1" x14ac:dyDescent="0.15">
      <c r="A88" s="41">
        <v>15</v>
      </c>
      <c r="B88" s="41" t="s">
        <v>30514</v>
      </c>
      <c r="C88" s="74" t="s">
        <v>30515</v>
      </c>
      <c r="D88" s="72"/>
      <c r="F88" s="57"/>
      <c r="G88" s="35"/>
      <c r="J88" s="299" t="s">
        <v>17556</v>
      </c>
      <c r="K88" s="45" t="s">
        <v>398</v>
      </c>
      <c r="L88" s="46">
        <v>1</v>
      </c>
      <c r="M88" s="512"/>
      <c r="N88" s="57"/>
      <c r="O88" s="43"/>
      <c r="P88" s="37"/>
      <c r="Q88" s="38"/>
      <c r="R88" s="79"/>
      <c r="S88" s="92" t="s">
        <v>17572</v>
      </c>
      <c r="V88" s="57"/>
      <c r="W88" s="208">
        <f>ROUND((ROUND((ROUND((ROUND((_15_同援日増３．５*_15・通訳),0)*_15・２人),0)*(1+_15・A深夜)),0)*(1+_15・区４)),0)</f>
        <v>861</v>
      </c>
      <c r="X88" s="48"/>
    </row>
    <row r="89" spans="1:24" ht="16.5" customHeight="1" x14ac:dyDescent="0.15">
      <c r="A89" s="41">
        <v>15</v>
      </c>
      <c r="B89" s="41" t="s">
        <v>30516</v>
      </c>
      <c r="C89" s="74" t="s">
        <v>30517</v>
      </c>
      <c r="D89" s="72"/>
      <c r="F89" s="57"/>
      <c r="G89" s="35"/>
      <c r="J89" s="163"/>
      <c r="K89" s="45"/>
      <c r="L89" s="46"/>
      <c r="M89" s="512"/>
      <c r="N89" s="57"/>
      <c r="O89" s="114" t="s">
        <v>17562</v>
      </c>
      <c r="P89" s="49"/>
      <c r="Q89" s="50"/>
      <c r="R89" s="115"/>
      <c r="S89" s="35"/>
      <c r="T89" s="12" t="s">
        <v>398</v>
      </c>
      <c r="U89" s="13">
        <v>0.4</v>
      </c>
      <c r="V89" s="57" t="s">
        <v>3575</v>
      </c>
      <c r="W89" s="208">
        <f>ROUND((ROUND((ROUND((ROUND((_15_同援日増３．５*_15・通訳),0)*(1+_15・A深夜)),0)*(1+_15・盲ろう)),0)*(1+_15・区４)),0)</f>
        <v>1077</v>
      </c>
      <c r="X89" s="48"/>
    </row>
    <row r="90" spans="1:24" ht="16.5" customHeight="1" x14ac:dyDescent="0.15">
      <c r="A90" s="41">
        <v>15</v>
      </c>
      <c r="B90" s="41" t="s">
        <v>30518</v>
      </c>
      <c r="C90" s="74" t="s">
        <v>30519</v>
      </c>
      <c r="D90" s="122"/>
      <c r="E90" s="37"/>
      <c r="F90" s="79"/>
      <c r="G90" s="35"/>
      <c r="J90" s="299" t="s">
        <v>17556</v>
      </c>
      <c r="K90" s="45" t="s">
        <v>398</v>
      </c>
      <c r="L90" s="46">
        <v>1</v>
      </c>
      <c r="M90" s="512"/>
      <c r="N90" s="57"/>
      <c r="O90" s="269" t="s">
        <v>17564</v>
      </c>
      <c r="P90" s="37" t="s">
        <v>398</v>
      </c>
      <c r="Q90" s="38">
        <v>0.25</v>
      </c>
      <c r="R90" s="79" t="s">
        <v>3575</v>
      </c>
      <c r="S90" s="43"/>
      <c r="T90" s="37"/>
      <c r="U90" s="38"/>
      <c r="V90" s="79"/>
      <c r="W90" s="208">
        <f>ROUND((ROUND((ROUND((ROUND((ROUND((_15_同援日増３．５*_15・通訳),0)*_15・２人),0)*(1+_15・A深夜)),0)*(1+_15・盲ろう)),0)*(1+_15・区４)),0)</f>
        <v>1077</v>
      </c>
      <c r="X90" s="48"/>
    </row>
    <row r="91" spans="1:24" ht="16.5" customHeight="1" x14ac:dyDescent="0.15">
      <c r="A91" s="41">
        <v>15</v>
      </c>
      <c r="B91" s="41" t="s">
        <v>30520</v>
      </c>
      <c r="C91" s="74" t="s">
        <v>30521</v>
      </c>
      <c r="D91" s="114" t="s">
        <v>25455</v>
      </c>
      <c r="E91" s="49"/>
      <c r="F91" s="115"/>
      <c r="G91" s="35"/>
      <c r="J91" s="163"/>
      <c r="K91" s="45"/>
      <c r="L91" s="46"/>
      <c r="M91" s="512"/>
      <c r="N91" s="57"/>
      <c r="O91" s="53"/>
      <c r="P91" s="49"/>
      <c r="Q91" s="50"/>
      <c r="R91" s="115"/>
      <c r="S91" s="53"/>
      <c r="T91" s="49"/>
      <c r="U91" s="50"/>
      <c r="V91" s="115"/>
      <c r="W91" s="208">
        <f>ROUND((ROUND((_15_同援日増４．０*_15・通訳),0)*(1+_15・A深夜)),0)</f>
        <v>702</v>
      </c>
      <c r="X91" s="48"/>
    </row>
    <row r="92" spans="1:24" ht="16.5" customHeight="1" x14ac:dyDescent="0.15">
      <c r="A92" s="41">
        <v>15</v>
      </c>
      <c r="B92" s="41" t="s">
        <v>30522</v>
      </c>
      <c r="C92" s="74" t="s">
        <v>30523</v>
      </c>
      <c r="D92" s="72" t="s">
        <v>17751</v>
      </c>
      <c r="F92" s="57"/>
      <c r="G92" s="35"/>
      <c r="J92" s="299" t="s">
        <v>17556</v>
      </c>
      <c r="K92" s="45" t="s">
        <v>398</v>
      </c>
      <c r="L92" s="46">
        <v>1</v>
      </c>
      <c r="M92" s="512"/>
      <c r="N92" s="57"/>
      <c r="O92" s="43"/>
      <c r="P92" s="37"/>
      <c r="Q92" s="38"/>
      <c r="R92" s="79"/>
      <c r="S92" s="35"/>
      <c r="V92" s="57"/>
      <c r="W92" s="208">
        <f>ROUND((ROUND((ROUND((_15_同援日増４．０*_15・通訳),0)*_15・２人),0)*(1+_15・A深夜)),0)</f>
        <v>702</v>
      </c>
      <c r="X92" s="48"/>
    </row>
    <row r="93" spans="1:24" ht="16.5" customHeight="1" x14ac:dyDescent="0.15">
      <c r="A93" s="41">
        <v>15</v>
      </c>
      <c r="B93" s="41" t="s">
        <v>30524</v>
      </c>
      <c r="C93" s="74" t="s">
        <v>30525</v>
      </c>
      <c r="D93" s="72" t="s">
        <v>17753</v>
      </c>
      <c r="F93" s="57"/>
      <c r="G93" s="35"/>
      <c r="J93" s="163"/>
      <c r="K93" s="45"/>
      <c r="L93" s="46"/>
      <c r="M93" s="512"/>
      <c r="N93" s="57"/>
      <c r="O93" s="114" t="s">
        <v>17562</v>
      </c>
      <c r="P93" s="49"/>
      <c r="Q93" s="50"/>
      <c r="R93" s="115"/>
      <c r="S93" s="35"/>
      <c r="V93" s="57"/>
      <c r="W93" s="208">
        <f>ROUND((ROUND((ROUND((_15_同援日増４．０*_15・通訳),0)*(1+_15・A深夜)),0)*(1+_15・盲ろう)),0)</f>
        <v>878</v>
      </c>
      <c r="X93" s="48"/>
    </row>
    <row r="94" spans="1:24" ht="16.5" customHeight="1" x14ac:dyDescent="0.15">
      <c r="A94" s="41">
        <v>15</v>
      </c>
      <c r="B94" s="41" t="s">
        <v>30526</v>
      </c>
      <c r="C94" s="74" t="s">
        <v>30527</v>
      </c>
      <c r="D94" s="72"/>
      <c r="E94" s="168">
        <f>_15_同援日増４．０</f>
        <v>520</v>
      </c>
      <c r="F94" s="57" t="s">
        <v>392</v>
      </c>
      <c r="G94" s="35"/>
      <c r="J94" s="299" t="s">
        <v>17556</v>
      </c>
      <c r="K94" s="45" t="s">
        <v>398</v>
      </c>
      <c r="L94" s="46">
        <v>1</v>
      </c>
      <c r="M94" s="512"/>
      <c r="N94" s="57"/>
      <c r="O94" s="269" t="s">
        <v>17564</v>
      </c>
      <c r="P94" s="37" t="s">
        <v>398</v>
      </c>
      <c r="Q94" s="38">
        <v>0.25</v>
      </c>
      <c r="R94" s="79" t="s">
        <v>3575</v>
      </c>
      <c r="S94" s="43"/>
      <c r="T94" s="37"/>
      <c r="U94" s="38"/>
      <c r="V94" s="79"/>
      <c r="W94" s="208">
        <f>ROUND((ROUND((ROUND((ROUND((_15_同援日増４．０*_15・通訳),0)*_15・２人),0)*(1+_15・A深夜)),0)*(1+_15・盲ろう)),0)</f>
        <v>878</v>
      </c>
      <c r="X94" s="48"/>
    </row>
    <row r="95" spans="1:24" ht="16.5" customHeight="1" x14ac:dyDescent="0.15">
      <c r="A95" s="41">
        <v>15</v>
      </c>
      <c r="B95" s="41" t="s">
        <v>4162</v>
      </c>
      <c r="C95" s="74" t="s">
        <v>30528</v>
      </c>
      <c r="D95" s="72"/>
      <c r="F95" s="57"/>
      <c r="G95" s="35"/>
      <c r="J95" s="163"/>
      <c r="K95" s="45"/>
      <c r="L95" s="46"/>
      <c r="M95" s="512"/>
      <c r="N95" s="57"/>
      <c r="O95" s="53"/>
      <c r="P95" s="49"/>
      <c r="Q95" s="50"/>
      <c r="R95" s="115"/>
      <c r="S95" s="114" t="s">
        <v>17570</v>
      </c>
      <c r="T95" s="49"/>
      <c r="U95" s="50"/>
      <c r="V95" s="115"/>
      <c r="W95" s="208">
        <f>ROUND((ROUND((ROUND((_15_同援日増４．０*_15・通訳),0)*(1+_15・A深夜)),0)*(1+_15・区３)),0)</f>
        <v>842</v>
      </c>
      <c r="X95" s="48"/>
    </row>
    <row r="96" spans="1:24" ht="16.5" customHeight="1" x14ac:dyDescent="0.15">
      <c r="A96" s="41">
        <v>15</v>
      </c>
      <c r="B96" s="41" t="s">
        <v>4164</v>
      </c>
      <c r="C96" s="74" t="s">
        <v>30529</v>
      </c>
      <c r="D96" s="72"/>
      <c r="F96" s="57"/>
      <c r="G96" s="35"/>
      <c r="J96" s="299" t="s">
        <v>17556</v>
      </c>
      <c r="K96" s="45" t="s">
        <v>398</v>
      </c>
      <c r="L96" s="46">
        <v>1</v>
      </c>
      <c r="M96" s="512"/>
      <c r="N96" s="57"/>
      <c r="O96" s="43"/>
      <c r="P96" s="37"/>
      <c r="Q96" s="38"/>
      <c r="R96" s="79"/>
      <c r="S96" s="92" t="s">
        <v>17572</v>
      </c>
      <c r="V96" s="57"/>
      <c r="W96" s="208">
        <f>ROUND((ROUND((ROUND((ROUND((_15_同援日増４．０*_15・通訳),0)*_15・２人),0)*(1+_15・A深夜)),0)*(1+_15・区３)),0)</f>
        <v>842</v>
      </c>
      <c r="X96" s="48"/>
    </row>
    <row r="97" spans="1:24" ht="16.5" customHeight="1" x14ac:dyDescent="0.15">
      <c r="A97" s="41">
        <v>15</v>
      </c>
      <c r="B97" s="41" t="s">
        <v>30530</v>
      </c>
      <c r="C97" s="74" t="s">
        <v>30531</v>
      </c>
      <c r="D97" s="72"/>
      <c r="F97" s="57"/>
      <c r="G97" s="35"/>
      <c r="J97" s="163"/>
      <c r="K97" s="45"/>
      <c r="L97" s="46"/>
      <c r="M97" s="512"/>
      <c r="N97" s="57"/>
      <c r="O97" s="114" t="s">
        <v>17562</v>
      </c>
      <c r="P97" s="49"/>
      <c r="Q97" s="50"/>
      <c r="R97" s="115"/>
      <c r="S97" s="35"/>
      <c r="T97" s="12" t="s">
        <v>398</v>
      </c>
      <c r="U97" s="13">
        <v>0.2</v>
      </c>
      <c r="V97" s="57" t="s">
        <v>3575</v>
      </c>
      <c r="W97" s="208">
        <f>ROUND((ROUND((ROUND((ROUND((_15_同援日増４．０*_15・通訳),0)*(1+_15・A深夜)),0)*(1+_15・盲ろう)),0)*(1+_15・区３)),0)</f>
        <v>1054</v>
      </c>
      <c r="X97" s="48"/>
    </row>
    <row r="98" spans="1:24" ht="16.5" customHeight="1" x14ac:dyDescent="0.15">
      <c r="A98" s="41">
        <v>15</v>
      </c>
      <c r="B98" s="41" t="s">
        <v>30532</v>
      </c>
      <c r="C98" s="74" t="s">
        <v>30533</v>
      </c>
      <c r="D98" s="72"/>
      <c r="F98" s="57"/>
      <c r="G98" s="35"/>
      <c r="J98" s="299" t="s">
        <v>17556</v>
      </c>
      <c r="K98" s="45" t="s">
        <v>398</v>
      </c>
      <c r="L98" s="46">
        <v>1</v>
      </c>
      <c r="M98" s="512"/>
      <c r="N98" s="57"/>
      <c r="O98" s="269" t="s">
        <v>17564</v>
      </c>
      <c r="P98" s="37" t="s">
        <v>398</v>
      </c>
      <c r="Q98" s="38">
        <v>0.25</v>
      </c>
      <c r="R98" s="79" t="s">
        <v>3575</v>
      </c>
      <c r="S98" s="43"/>
      <c r="T98" s="37"/>
      <c r="U98" s="38"/>
      <c r="V98" s="79"/>
      <c r="W98" s="208">
        <f>ROUND((ROUND((ROUND((ROUND((ROUND((_15_同援日増４．０*_15・通訳),0)*_15・２人),0)*(1+_15・A深夜)),0)*(1+_15・盲ろう)),0)*(1+_15・区３)),0)</f>
        <v>1054</v>
      </c>
      <c r="X98" s="48"/>
    </row>
    <row r="99" spans="1:24" ht="16.5" customHeight="1" x14ac:dyDescent="0.15">
      <c r="A99" s="41">
        <v>15</v>
      </c>
      <c r="B99" s="41" t="s">
        <v>30534</v>
      </c>
      <c r="C99" s="74" t="s">
        <v>30535</v>
      </c>
      <c r="D99" s="72"/>
      <c r="F99" s="57"/>
      <c r="G99" s="35"/>
      <c r="J99" s="163"/>
      <c r="K99" s="45"/>
      <c r="L99" s="46"/>
      <c r="M99" s="512"/>
      <c r="N99" s="57"/>
      <c r="O99" s="53"/>
      <c r="P99" s="49"/>
      <c r="Q99" s="50"/>
      <c r="R99" s="115"/>
      <c r="S99" s="114" t="s">
        <v>17580</v>
      </c>
      <c r="T99" s="49"/>
      <c r="U99" s="50"/>
      <c r="V99" s="115"/>
      <c r="W99" s="208">
        <f>ROUND((ROUND((ROUND((_15_同援日増４．０*_15・通訳),0)*(1+_15・A深夜)),0)*(1+_15・区４)),0)</f>
        <v>983</v>
      </c>
      <c r="X99" s="48"/>
    </row>
    <row r="100" spans="1:24" ht="16.5" customHeight="1" x14ac:dyDescent="0.15">
      <c r="A100" s="41">
        <v>15</v>
      </c>
      <c r="B100" s="41" t="s">
        <v>30536</v>
      </c>
      <c r="C100" s="74" t="s">
        <v>30537</v>
      </c>
      <c r="D100" s="72"/>
      <c r="F100" s="57"/>
      <c r="G100" s="35"/>
      <c r="J100" s="299" t="s">
        <v>17556</v>
      </c>
      <c r="K100" s="45" t="s">
        <v>398</v>
      </c>
      <c r="L100" s="46">
        <v>1</v>
      </c>
      <c r="M100" s="512"/>
      <c r="N100" s="57"/>
      <c r="O100" s="43"/>
      <c r="P100" s="37"/>
      <c r="Q100" s="38"/>
      <c r="R100" s="79"/>
      <c r="S100" s="92" t="s">
        <v>17572</v>
      </c>
      <c r="V100" s="57"/>
      <c r="W100" s="208">
        <f>ROUND((ROUND((ROUND((ROUND((_15_同援日増４．０*_15・通訳),0)*_15・２人),0)*(1+_15・A深夜)),0)*(1+_15・区４)),0)</f>
        <v>983</v>
      </c>
      <c r="X100" s="48"/>
    </row>
    <row r="101" spans="1:24" ht="16.5" customHeight="1" x14ac:dyDescent="0.15">
      <c r="A101" s="41">
        <v>15</v>
      </c>
      <c r="B101" s="41" t="s">
        <v>30538</v>
      </c>
      <c r="C101" s="74" t="s">
        <v>30539</v>
      </c>
      <c r="D101" s="72"/>
      <c r="F101" s="57"/>
      <c r="G101" s="35"/>
      <c r="J101" s="163"/>
      <c r="K101" s="45"/>
      <c r="L101" s="46"/>
      <c r="M101" s="512"/>
      <c r="N101" s="57"/>
      <c r="O101" s="114" t="s">
        <v>17562</v>
      </c>
      <c r="P101" s="49"/>
      <c r="Q101" s="50"/>
      <c r="R101" s="115"/>
      <c r="S101" s="35"/>
      <c r="T101" s="12" t="s">
        <v>398</v>
      </c>
      <c r="U101" s="13">
        <v>0.4</v>
      </c>
      <c r="V101" s="57" t="s">
        <v>3575</v>
      </c>
      <c r="W101" s="208">
        <f>ROUND((ROUND((ROUND((ROUND((_15_同援日増４．０*_15・通訳),0)*(1+_15・A深夜)),0)*(1+_15・盲ろう)),0)*(1+_15・区４)),0)</f>
        <v>1229</v>
      </c>
      <c r="X101" s="48"/>
    </row>
    <row r="102" spans="1:24" ht="16.5" customHeight="1" x14ac:dyDescent="0.15">
      <c r="A102" s="41">
        <v>15</v>
      </c>
      <c r="B102" s="41" t="s">
        <v>30540</v>
      </c>
      <c r="C102" s="74" t="s">
        <v>30541</v>
      </c>
      <c r="D102" s="122"/>
      <c r="E102" s="37"/>
      <c r="F102" s="79"/>
      <c r="G102" s="43"/>
      <c r="H102" s="37"/>
      <c r="I102" s="38"/>
      <c r="J102" s="299" t="s">
        <v>17556</v>
      </c>
      <c r="K102" s="45" t="s">
        <v>398</v>
      </c>
      <c r="L102" s="46">
        <v>1</v>
      </c>
      <c r="M102" s="514"/>
      <c r="N102" s="79"/>
      <c r="O102" s="269" t="s">
        <v>17564</v>
      </c>
      <c r="P102" s="37" t="s">
        <v>398</v>
      </c>
      <c r="Q102" s="38">
        <v>0.25</v>
      </c>
      <c r="R102" s="79" t="s">
        <v>3575</v>
      </c>
      <c r="S102" s="43"/>
      <c r="T102" s="37"/>
      <c r="U102" s="38"/>
      <c r="V102" s="79"/>
      <c r="W102" s="208">
        <f>ROUND((ROUND((ROUND((ROUND((ROUND((_15_同援日増４．０*_15・通訳),0)*_15・２人),0)*(1+_15・A深夜)),0)*(1+_15・盲ろう)),0)*(1+_15・区４)),0)</f>
        <v>1229</v>
      </c>
      <c r="X102" s="63"/>
    </row>
    <row r="103" spans="1:24" ht="16.5" customHeight="1" x14ac:dyDescent="0.15">
      <c r="A103" s="41">
        <v>15</v>
      </c>
      <c r="B103" s="41" t="s">
        <v>30542</v>
      </c>
      <c r="C103" s="74" t="s">
        <v>30543</v>
      </c>
      <c r="D103" s="114" t="s">
        <v>25500</v>
      </c>
      <c r="E103" s="49"/>
      <c r="F103" s="115"/>
      <c r="G103" s="53"/>
      <c r="H103" s="49"/>
      <c r="I103" s="50"/>
      <c r="J103" s="163"/>
      <c r="K103" s="45"/>
      <c r="L103" s="46"/>
      <c r="M103" s="515"/>
      <c r="N103" s="115"/>
      <c r="O103" s="53"/>
      <c r="P103" s="49"/>
      <c r="Q103" s="50"/>
      <c r="R103" s="115"/>
      <c r="S103" s="53"/>
      <c r="T103" s="49"/>
      <c r="U103" s="50"/>
      <c r="V103" s="115"/>
      <c r="W103" s="208">
        <f>ROUND((ROUND((_15_同援日増４．５*_15・通訳),0)*(1+_15・A深夜)),0)</f>
        <v>791</v>
      </c>
      <c r="X103" s="64"/>
    </row>
    <row r="104" spans="1:24" ht="16.5" customHeight="1" x14ac:dyDescent="0.15">
      <c r="A104" s="41">
        <v>15</v>
      </c>
      <c r="B104" s="41" t="s">
        <v>30544</v>
      </c>
      <c r="C104" s="74" t="s">
        <v>30545</v>
      </c>
      <c r="D104" s="72" t="s">
        <v>17778</v>
      </c>
      <c r="F104" s="57"/>
      <c r="G104" s="35"/>
      <c r="J104" s="299" t="s">
        <v>17556</v>
      </c>
      <c r="K104" s="45" t="s">
        <v>398</v>
      </c>
      <c r="L104" s="46">
        <v>1</v>
      </c>
      <c r="M104" s="512"/>
      <c r="N104" s="57"/>
      <c r="O104" s="43"/>
      <c r="P104" s="37"/>
      <c r="Q104" s="38"/>
      <c r="R104" s="79"/>
      <c r="S104" s="35"/>
      <c r="V104" s="57"/>
      <c r="W104" s="208">
        <f>ROUND((ROUND((ROUND((_15_同援日増４．５*_15・通訳),0)*_15・２人),0)*(1+_15・A深夜)),0)</f>
        <v>791</v>
      </c>
      <c r="X104" s="48"/>
    </row>
    <row r="105" spans="1:24" ht="16.5" customHeight="1" x14ac:dyDescent="0.15">
      <c r="A105" s="41">
        <v>15</v>
      </c>
      <c r="B105" s="41" t="s">
        <v>4168</v>
      </c>
      <c r="C105" s="74" t="s">
        <v>30546</v>
      </c>
      <c r="D105" s="72" t="s">
        <v>18463</v>
      </c>
      <c r="F105" s="57"/>
      <c r="G105" s="35"/>
      <c r="J105" s="163"/>
      <c r="K105" s="45"/>
      <c r="L105" s="46"/>
      <c r="M105" s="512"/>
      <c r="N105" s="57"/>
      <c r="O105" s="114" t="s">
        <v>17562</v>
      </c>
      <c r="P105" s="49"/>
      <c r="Q105" s="50"/>
      <c r="R105" s="115"/>
      <c r="S105" s="35"/>
      <c r="V105" s="57"/>
      <c r="W105" s="208">
        <f>ROUND((ROUND((ROUND((_15_同援日増４．５*_15・通訳),0)*(1+_15・A深夜)),0)*(1+_15・盲ろう)),0)</f>
        <v>989</v>
      </c>
      <c r="X105" s="48"/>
    </row>
    <row r="106" spans="1:24" ht="16.5" customHeight="1" x14ac:dyDescent="0.15">
      <c r="A106" s="41">
        <v>15</v>
      </c>
      <c r="B106" s="41" t="s">
        <v>4170</v>
      </c>
      <c r="C106" s="74" t="s">
        <v>30547</v>
      </c>
      <c r="D106" s="72"/>
      <c r="E106" s="168">
        <f>_15_同援日増４．５</f>
        <v>585</v>
      </c>
      <c r="F106" s="57" t="s">
        <v>392</v>
      </c>
      <c r="G106" s="35"/>
      <c r="J106" s="299" t="s">
        <v>17556</v>
      </c>
      <c r="K106" s="45" t="s">
        <v>398</v>
      </c>
      <c r="L106" s="46">
        <v>1</v>
      </c>
      <c r="M106" s="512"/>
      <c r="N106" s="57"/>
      <c r="O106" s="269" t="s">
        <v>17564</v>
      </c>
      <c r="P106" s="37" t="s">
        <v>398</v>
      </c>
      <c r="Q106" s="38">
        <v>0.25</v>
      </c>
      <c r="R106" s="79" t="s">
        <v>3575</v>
      </c>
      <c r="S106" s="43"/>
      <c r="T106" s="37"/>
      <c r="U106" s="38"/>
      <c r="V106" s="79"/>
      <c r="W106" s="208">
        <f>ROUND((ROUND((ROUND((ROUND((_15_同援日増４．５*_15・通訳),0)*_15・２人),0)*(1+_15・A深夜)),0)*(1+_15・盲ろう)),0)</f>
        <v>989</v>
      </c>
      <c r="X106" s="48"/>
    </row>
    <row r="107" spans="1:24" ht="16.5" customHeight="1" x14ac:dyDescent="0.15">
      <c r="A107" s="41">
        <v>15</v>
      </c>
      <c r="B107" s="41" t="s">
        <v>30548</v>
      </c>
      <c r="C107" s="74" t="s">
        <v>30549</v>
      </c>
      <c r="D107" s="72"/>
      <c r="F107" s="57"/>
      <c r="G107" s="35"/>
      <c r="J107" s="163"/>
      <c r="K107" s="45"/>
      <c r="L107" s="46"/>
      <c r="M107" s="512"/>
      <c r="N107" s="57"/>
      <c r="O107" s="53"/>
      <c r="P107" s="49"/>
      <c r="Q107" s="50"/>
      <c r="R107" s="115"/>
      <c r="S107" s="114" t="s">
        <v>17570</v>
      </c>
      <c r="T107" s="49"/>
      <c r="U107" s="50"/>
      <c r="V107" s="115"/>
      <c r="W107" s="208">
        <f>ROUND((ROUND((ROUND((_15_同援日増４．５*_15・通訳),0)*(1+_15・A深夜)),0)*(1+_15・区３)),0)</f>
        <v>949</v>
      </c>
      <c r="X107" s="48"/>
    </row>
    <row r="108" spans="1:24" ht="16.5" customHeight="1" x14ac:dyDescent="0.15">
      <c r="A108" s="41">
        <v>15</v>
      </c>
      <c r="B108" s="41" t="s">
        <v>30550</v>
      </c>
      <c r="C108" s="74" t="s">
        <v>30551</v>
      </c>
      <c r="D108" s="72"/>
      <c r="F108" s="57"/>
      <c r="G108" s="35"/>
      <c r="J108" s="299" t="s">
        <v>17556</v>
      </c>
      <c r="K108" s="45" t="s">
        <v>398</v>
      </c>
      <c r="L108" s="46">
        <v>1</v>
      </c>
      <c r="M108" s="512"/>
      <c r="N108" s="57"/>
      <c r="O108" s="43"/>
      <c r="P108" s="37"/>
      <c r="Q108" s="38"/>
      <c r="R108" s="79"/>
      <c r="S108" s="92" t="s">
        <v>17572</v>
      </c>
      <c r="V108" s="57"/>
      <c r="W108" s="208">
        <f>ROUND((ROUND((ROUND((ROUND((_15_同援日増４．５*_15・通訳),0)*_15・２人),0)*(1+_15・A深夜)),0)*(1+_15・区３)),0)</f>
        <v>949</v>
      </c>
      <c r="X108" s="48"/>
    </row>
    <row r="109" spans="1:24" ht="16.5" customHeight="1" x14ac:dyDescent="0.15">
      <c r="A109" s="41">
        <v>15</v>
      </c>
      <c r="B109" s="41" t="s">
        <v>30552</v>
      </c>
      <c r="C109" s="74" t="s">
        <v>30553</v>
      </c>
      <c r="D109" s="72"/>
      <c r="F109" s="57"/>
      <c r="G109" s="35"/>
      <c r="J109" s="163"/>
      <c r="K109" s="45"/>
      <c r="L109" s="46"/>
      <c r="M109" s="512"/>
      <c r="N109" s="57"/>
      <c r="O109" s="114" t="s">
        <v>17562</v>
      </c>
      <c r="P109" s="49"/>
      <c r="Q109" s="50"/>
      <c r="R109" s="115"/>
      <c r="S109" s="35"/>
      <c r="T109" s="12" t="s">
        <v>398</v>
      </c>
      <c r="U109" s="13">
        <v>0.2</v>
      </c>
      <c r="V109" s="57" t="s">
        <v>3575</v>
      </c>
      <c r="W109" s="208">
        <f>ROUND((ROUND((ROUND((ROUND((_15_同援日増４．５*_15・通訳),0)*(1+_15・A深夜)),0)*(1+_15・盲ろう)),0)*(1+_15・区３)),0)</f>
        <v>1187</v>
      </c>
      <c r="X109" s="48"/>
    </row>
    <row r="110" spans="1:24" ht="16.5" customHeight="1" x14ac:dyDescent="0.15">
      <c r="A110" s="41">
        <v>15</v>
      </c>
      <c r="B110" s="41" t="s">
        <v>30554</v>
      </c>
      <c r="C110" s="74" t="s">
        <v>30555</v>
      </c>
      <c r="D110" s="72"/>
      <c r="F110" s="57"/>
      <c r="G110" s="35"/>
      <c r="J110" s="299" t="s">
        <v>17556</v>
      </c>
      <c r="K110" s="45" t="s">
        <v>398</v>
      </c>
      <c r="L110" s="46">
        <v>1</v>
      </c>
      <c r="M110" s="512"/>
      <c r="N110" s="57"/>
      <c r="O110" s="269" t="s">
        <v>17564</v>
      </c>
      <c r="P110" s="37" t="s">
        <v>398</v>
      </c>
      <c r="Q110" s="38">
        <v>0.25</v>
      </c>
      <c r="R110" s="79" t="s">
        <v>3575</v>
      </c>
      <c r="S110" s="43"/>
      <c r="T110" s="37"/>
      <c r="U110" s="38"/>
      <c r="V110" s="79"/>
      <c r="W110" s="208">
        <f>ROUND((ROUND((ROUND((ROUND((ROUND((_15_同援日増４．５*_15・通訳),0)*_15・２人),0)*(1+_15・A深夜)),0)*(1+_15・盲ろう)),0)*(1+_15・区３)),0)</f>
        <v>1187</v>
      </c>
      <c r="X110" s="48"/>
    </row>
    <row r="111" spans="1:24" ht="16.5" customHeight="1" x14ac:dyDescent="0.15">
      <c r="A111" s="41">
        <v>15</v>
      </c>
      <c r="B111" s="41" t="s">
        <v>30556</v>
      </c>
      <c r="C111" s="74" t="s">
        <v>30557</v>
      </c>
      <c r="D111" s="72"/>
      <c r="F111" s="57"/>
      <c r="G111" s="35"/>
      <c r="J111" s="163"/>
      <c r="K111" s="45"/>
      <c r="L111" s="46"/>
      <c r="M111" s="512"/>
      <c r="N111" s="57"/>
      <c r="O111" s="53"/>
      <c r="P111" s="49"/>
      <c r="Q111" s="50"/>
      <c r="R111" s="115"/>
      <c r="S111" s="114" t="s">
        <v>17580</v>
      </c>
      <c r="T111" s="49"/>
      <c r="U111" s="50"/>
      <c r="V111" s="115"/>
      <c r="W111" s="208">
        <f>ROUND((ROUND((ROUND((_15_同援日増４．５*_15・通訳),0)*(1+_15・A深夜)),0)*(1+_15・区４)),0)</f>
        <v>1107</v>
      </c>
      <c r="X111" s="48"/>
    </row>
    <row r="112" spans="1:24" ht="16.5" customHeight="1" x14ac:dyDescent="0.15">
      <c r="A112" s="41">
        <v>15</v>
      </c>
      <c r="B112" s="41" t="s">
        <v>30558</v>
      </c>
      <c r="C112" s="74" t="s">
        <v>30559</v>
      </c>
      <c r="D112" s="72"/>
      <c r="F112" s="57"/>
      <c r="G112" s="35"/>
      <c r="J112" s="299" t="s">
        <v>17556</v>
      </c>
      <c r="K112" s="45" t="s">
        <v>398</v>
      </c>
      <c r="L112" s="46">
        <v>1</v>
      </c>
      <c r="M112" s="512"/>
      <c r="N112" s="57"/>
      <c r="O112" s="43"/>
      <c r="P112" s="37"/>
      <c r="Q112" s="38"/>
      <c r="R112" s="79"/>
      <c r="S112" s="92" t="s">
        <v>17572</v>
      </c>
      <c r="V112" s="57"/>
      <c r="W112" s="208">
        <f>ROUND((ROUND((ROUND((ROUND((_15_同援日増４．５*_15・通訳),0)*_15・２人),0)*(1+_15・A深夜)),0)*(1+_15・区４)),0)</f>
        <v>1107</v>
      </c>
      <c r="X112" s="48"/>
    </row>
    <row r="113" spans="1:24" ht="16.5" customHeight="1" x14ac:dyDescent="0.15">
      <c r="A113" s="41">
        <v>15</v>
      </c>
      <c r="B113" s="41" t="s">
        <v>30560</v>
      </c>
      <c r="C113" s="74" t="s">
        <v>30561</v>
      </c>
      <c r="D113" s="72"/>
      <c r="F113" s="57"/>
      <c r="G113" s="35"/>
      <c r="J113" s="163"/>
      <c r="K113" s="45"/>
      <c r="L113" s="46"/>
      <c r="M113" s="512"/>
      <c r="N113" s="57"/>
      <c r="O113" s="114" t="s">
        <v>17562</v>
      </c>
      <c r="P113" s="49"/>
      <c r="Q113" s="50"/>
      <c r="R113" s="115"/>
      <c r="S113" s="35"/>
      <c r="T113" s="12" t="s">
        <v>398</v>
      </c>
      <c r="U113" s="13">
        <v>0.4</v>
      </c>
      <c r="V113" s="57" t="s">
        <v>3575</v>
      </c>
      <c r="W113" s="208">
        <f>ROUND((ROUND((ROUND((ROUND((_15_同援日増４．５*_15・通訳),0)*(1+_15・A深夜)),0)*(1+_15・盲ろう)),0)*(1+_15・区４)),0)</f>
        <v>1385</v>
      </c>
      <c r="X113" s="48"/>
    </row>
    <row r="114" spans="1:24" ht="16.5" customHeight="1" x14ac:dyDescent="0.15">
      <c r="A114" s="41">
        <v>15</v>
      </c>
      <c r="B114" s="41" t="s">
        <v>30562</v>
      </c>
      <c r="C114" s="74" t="s">
        <v>30563</v>
      </c>
      <c r="D114" s="122"/>
      <c r="E114" s="37"/>
      <c r="F114" s="79"/>
      <c r="G114" s="35"/>
      <c r="J114" s="299" t="s">
        <v>17556</v>
      </c>
      <c r="K114" s="45" t="s">
        <v>398</v>
      </c>
      <c r="L114" s="46">
        <v>1</v>
      </c>
      <c r="M114" s="512"/>
      <c r="N114" s="57"/>
      <c r="O114" s="269" t="s">
        <v>17564</v>
      </c>
      <c r="P114" s="37" t="s">
        <v>398</v>
      </c>
      <c r="Q114" s="38">
        <v>0.25</v>
      </c>
      <c r="R114" s="79" t="s">
        <v>3575</v>
      </c>
      <c r="S114" s="43"/>
      <c r="T114" s="37"/>
      <c r="U114" s="38"/>
      <c r="V114" s="79"/>
      <c r="W114" s="208">
        <f>ROUND((ROUND((ROUND((ROUND((ROUND((_15_同援日増４．５*_15・通訳),0)*_15・２人),0)*(1+_15・A深夜)),0)*(1+_15・盲ろう)),0)*(1+_15・区４)),0)</f>
        <v>1385</v>
      </c>
      <c r="X114" s="48"/>
    </row>
    <row r="115" spans="1:24" ht="16.5" customHeight="1" x14ac:dyDescent="0.15">
      <c r="A115" s="41">
        <v>15</v>
      </c>
      <c r="B115" s="41" t="s">
        <v>4174</v>
      </c>
      <c r="C115" s="74" t="s">
        <v>30564</v>
      </c>
      <c r="D115" s="114" t="s">
        <v>25545</v>
      </c>
      <c r="E115" s="49"/>
      <c r="F115" s="115"/>
      <c r="G115" s="35"/>
      <c r="J115" s="163"/>
      <c r="K115" s="45"/>
      <c r="L115" s="46"/>
      <c r="M115" s="512"/>
      <c r="N115" s="57"/>
      <c r="O115" s="53"/>
      <c r="P115" s="49"/>
      <c r="Q115" s="50"/>
      <c r="R115" s="115"/>
      <c r="S115" s="53"/>
      <c r="T115" s="49"/>
      <c r="U115" s="50"/>
      <c r="V115" s="115"/>
      <c r="W115" s="208">
        <f>ROUND((ROUND((_15_同援日増５．０*_15・通訳),0)*(1+_15・A深夜)),0)</f>
        <v>878</v>
      </c>
      <c r="X115" s="48"/>
    </row>
    <row r="116" spans="1:24" ht="16.5" customHeight="1" x14ac:dyDescent="0.15">
      <c r="A116" s="41">
        <v>15</v>
      </c>
      <c r="B116" s="41" t="s">
        <v>4176</v>
      </c>
      <c r="C116" s="74" t="s">
        <v>30565</v>
      </c>
      <c r="D116" s="72" t="s">
        <v>17805</v>
      </c>
      <c r="F116" s="57"/>
      <c r="G116" s="35"/>
      <c r="J116" s="299" t="s">
        <v>17556</v>
      </c>
      <c r="K116" s="45" t="s">
        <v>398</v>
      </c>
      <c r="L116" s="46">
        <v>1</v>
      </c>
      <c r="M116" s="512"/>
      <c r="N116" s="57"/>
      <c r="O116" s="43"/>
      <c r="P116" s="37"/>
      <c r="Q116" s="38"/>
      <c r="R116" s="79"/>
      <c r="S116" s="35"/>
      <c r="V116" s="57"/>
      <c r="W116" s="208">
        <f>ROUND((ROUND((ROUND((_15_同援日増５．０*_15・通訳),0)*_15・２人),0)*(1+_15・A深夜)),0)</f>
        <v>878</v>
      </c>
      <c r="X116" s="48"/>
    </row>
    <row r="117" spans="1:24" ht="16.5" customHeight="1" x14ac:dyDescent="0.15">
      <c r="A117" s="41">
        <v>15</v>
      </c>
      <c r="B117" s="41" t="s">
        <v>30566</v>
      </c>
      <c r="C117" s="74" t="s">
        <v>30567</v>
      </c>
      <c r="D117" s="72" t="s">
        <v>18716</v>
      </c>
      <c r="F117" s="57"/>
      <c r="G117" s="35"/>
      <c r="J117" s="163"/>
      <c r="K117" s="45"/>
      <c r="L117" s="46"/>
      <c r="M117" s="512"/>
      <c r="N117" s="57"/>
      <c r="O117" s="114" t="s">
        <v>17562</v>
      </c>
      <c r="P117" s="49"/>
      <c r="Q117" s="50"/>
      <c r="R117" s="115"/>
      <c r="S117" s="35"/>
      <c r="V117" s="57"/>
      <c r="W117" s="208">
        <f>ROUND((ROUND((ROUND((_15_同援日増５．０*_15・通訳),0)*(1+_15・A深夜)),0)*(1+_15・盲ろう)),0)</f>
        <v>1098</v>
      </c>
      <c r="X117" s="48"/>
    </row>
    <row r="118" spans="1:24" ht="16.5" customHeight="1" x14ac:dyDescent="0.15">
      <c r="A118" s="41">
        <v>15</v>
      </c>
      <c r="B118" s="41" t="s">
        <v>30568</v>
      </c>
      <c r="C118" s="74" t="s">
        <v>30569</v>
      </c>
      <c r="D118" s="72"/>
      <c r="E118" s="168">
        <f>_15_同援日増５．０</f>
        <v>650</v>
      </c>
      <c r="F118" s="57" t="s">
        <v>392</v>
      </c>
      <c r="G118" s="35"/>
      <c r="J118" s="299" t="s">
        <v>17556</v>
      </c>
      <c r="K118" s="45" t="s">
        <v>398</v>
      </c>
      <c r="L118" s="46">
        <v>1</v>
      </c>
      <c r="M118" s="512"/>
      <c r="N118" s="57"/>
      <c r="O118" s="269" t="s">
        <v>17564</v>
      </c>
      <c r="P118" s="37" t="s">
        <v>398</v>
      </c>
      <c r="Q118" s="38">
        <v>0.25</v>
      </c>
      <c r="R118" s="79" t="s">
        <v>3575</v>
      </c>
      <c r="S118" s="43"/>
      <c r="T118" s="37"/>
      <c r="U118" s="38"/>
      <c r="V118" s="79"/>
      <c r="W118" s="208">
        <f>ROUND((ROUND((ROUND((ROUND((_15_同援日増５．０*_15・通訳),0)*_15・２人),0)*(1+_15・A深夜)),0)*(1+_15・盲ろう)),0)</f>
        <v>1098</v>
      </c>
      <c r="X118" s="48"/>
    </row>
    <row r="119" spans="1:24" ht="16.5" customHeight="1" x14ac:dyDescent="0.15">
      <c r="A119" s="41">
        <v>15</v>
      </c>
      <c r="B119" s="41" t="s">
        <v>30570</v>
      </c>
      <c r="C119" s="74" t="s">
        <v>30571</v>
      </c>
      <c r="D119" s="72"/>
      <c r="F119" s="57"/>
      <c r="G119" s="35"/>
      <c r="J119" s="163"/>
      <c r="K119" s="45"/>
      <c r="L119" s="46"/>
      <c r="M119" s="512"/>
      <c r="N119" s="57"/>
      <c r="O119" s="53"/>
      <c r="P119" s="49"/>
      <c r="Q119" s="50"/>
      <c r="R119" s="115"/>
      <c r="S119" s="114" t="s">
        <v>17570</v>
      </c>
      <c r="T119" s="49"/>
      <c r="U119" s="50"/>
      <c r="V119" s="115"/>
      <c r="W119" s="208">
        <f>ROUND((ROUND((ROUND((_15_同援日増５．０*_15・通訳),0)*(1+_15・A深夜)),0)*(1+_15・区３)),0)</f>
        <v>1054</v>
      </c>
      <c r="X119" s="48"/>
    </row>
    <row r="120" spans="1:24" ht="16.5" customHeight="1" x14ac:dyDescent="0.15">
      <c r="A120" s="41">
        <v>15</v>
      </c>
      <c r="B120" s="41" t="s">
        <v>30572</v>
      </c>
      <c r="C120" s="74" t="s">
        <v>30573</v>
      </c>
      <c r="D120" s="72"/>
      <c r="F120" s="57"/>
      <c r="G120" s="35"/>
      <c r="J120" s="299" t="s">
        <v>17556</v>
      </c>
      <c r="K120" s="45" t="s">
        <v>398</v>
      </c>
      <c r="L120" s="46">
        <v>1</v>
      </c>
      <c r="M120" s="512"/>
      <c r="N120" s="57"/>
      <c r="O120" s="43"/>
      <c r="P120" s="37"/>
      <c r="Q120" s="38"/>
      <c r="R120" s="79"/>
      <c r="S120" s="92" t="s">
        <v>17572</v>
      </c>
      <c r="V120" s="57"/>
      <c r="W120" s="208">
        <f>ROUND((ROUND((ROUND((ROUND((_15_同援日増５．０*_15・通訳),0)*_15・２人),0)*(1+_15・A深夜)),0)*(1+_15・区３)),0)</f>
        <v>1054</v>
      </c>
      <c r="X120" s="48"/>
    </row>
    <row r="121" spans="1:24" ht="16.5" customHeight="1" x14ac:dyDescent="0.15">
      <c r="A121" s="41">
        <v>15</v>
      </c>
      <c r="B121" s="41" t="s">
        <v>30574</v>
      </c>
      <c r="C121" s="74" t="s">
        <v>30575</v>
      </c>
      <c r="D121" s="72"/>
      <c r="F121" s="57"/>
      <c r="G121" s="35"/>
      <c r="J121" s="163"/>
      <c r="K121" s="45"/>
      <c r="L121" s="46"/>
      <c r="M121" s="512"/>
      <c r="N121" s="57"/>
      <c r="O121" s="114" t="s">
        <v>17562</v>
      </c>
      <c r="P121" s="49"/>
      <c r="Q121" s="50"/>
      <c r="R121" s="115"/>
      <c r="S121" s="35"/>
      <c r="T121" s="12" t="s">
        <v>398</v>
      </c>
      <c r="U121" s="13">
        <v>0.2</v>
      </c>
      <c r="V121" s="57" t="s">
        <v>3575</v>
      </c>
      <c r="W121" s="208">
        <f>ROUND((ROUND((ROUND((ROUND((_15_同援日増５．０*_15・通訳),0)*(1+_15・A深夜)),0)*(1+_15・盲ろう)),0)*(1+_15・区３)),0)</f>
        <v>1318</v>
      </c>
      <c r="X121" s="48"/>
    </row>
    <row r="122" spans="1:24" ht="16.5" customHeight="1" x14ac:dyDescent="0.15">
      <c r="A122" s="41">
        <v>15</v>
      </c>
      <c r="B122" s="41" t="s">
        <v>30576</v>
      </c>
      <c r="C122" s="74" t="s">
        <v>30577</v>
      </c>
      <c r="D122" s="72"/>
      <c r="F122" s="57"/>
      <c r="G122" s="35"/>
      <c r="J122" s="299" t="s">
        <v>17556</v>
      </c>
      <c r="K122" s="45" t="s">
        <v>398</v>
      </c>
      <c r="L122" s="46">
        <v>1</v>
      </c>
      <c r="M122" s="512"/>
      <c r="N122" s="57"/>
      <c r="O122" s="269" t="s">
        <v>17564</v>
      </c>
      <c r="P122" s="37" t="s">
        <v>398</v>
      </c>
      <c r="Q122" s="38">
        <v>0.25</v>
      </c>
      <c r="R122" s="79" t="s">
        <v>3575</v>
      </c>
      <c r="S122" s="43"/>
      <c r="T122" s="37"/>
      <c r="U122" s="38"/>
      <c r="V122" s="79"/>
      <c r="W122" s="208">
        <f>ROUND((ROUND((ROUND((ROUND((ROUND((_15_同援日増５．０*_15・通訳),0)*_15・２人),0)*(1+_15・A深夜)),0)*(1+_15・盲ろう)),0)*(1+_15・区３)),0)</f>
        <v>1318</v>
      </c>
      <c r="X122" s="48"/>
    </row>
    <row r="123" spans="1:24" ht="16.5" customHeight="1" x14ac:dyDescent="0.15">
      <c r="A123" s="41">
        <v>15</v>
      </c>
      <c r="B123" s="41" t="s">
        <v>30578</v>
      </c>
      <c r="C123" s="74" t="s">
        <v>30579</v>
      </c>
      <c r="D123" s="72"/>
      <c r="F123" s="57"/>
      <c r="G123" s="35"/>
      <c r="J123" s="163"/>
      <c r="K123" s="45"/>
      <c r="L123" s="46"/>
      <c r="M123" s="512"/>
      <c r="N123" s="57"/>
      <c r="O123" s="53"/>
      <c r="P123" s="49"/>
      <c r="Q123" s="50"/>
      <c r="R123" s="115"/>
      <c r="S123" s="114" t="s">
        <v>17580</v>
      </c>
      <c r="T123" s="49"/>
      <c r="U123" s="50"/>
      <c r="V123" s="115"/>
      <c r="W123" s="208">
        <f>ROUND((ROUND((ROUND((_15_同援日増５．０*_15・通訳),0)*(1+_15・A深夜)),0)*(1+_15・区４)),0)</f>
        <v>1229</v>
      </c>
      <c r="X123" s="48"/>
    </row>
    <row r="124" spans="1:24" ht="16.5" customHeight="1" x14ac:dyDescent="0.15">
      <c r="A124" s="41">
        <v>15</v>
      </c>
      <c r="B124" s="41" t="s">
        <v>30580</v>
      </c>
      <c r="C124" s="74" t="s">
        <v>30581</v>
      </c>
      <c r="D124" s="72"/>
      <c r="F124" s="57"/>
      <c r="G124" s="35"/>
      <c r="J124" s="299" t="s">
        <v>17556</v>
      </c>
      <c r="K124" s="45" t="s">
        <v>398</v>
      </c>
      <c r="L124" s="46">
        <v>1</v>
      </c>
      <c r="M124" s="512"/>
      <c r="N124" s="57"/>
      <c r="O124" s="43"/>
      <c r="P124" s="37"/>
      <c r="Q124" s="38"/>
      <c r="R124" s="79"/>
      <c r="S124" s="92" t="s">
        <v>17572</v>
      </c>
      <c r="V124" s="57"/>
      <c r="W124" s="208">
        <f>ROUND((ROUND((ROUND((ROUND((_15_同援日増５．０*_15・通訳),0)*_15・２人),0)*(1+_15・A深夜)),0)*(1+_15・区４)),0)</f>
        <v>1229</v>
      </c>
      <c r="X124" s="48"/>
    </row>
    <row r="125" spans="1:24" ht="16.5" customHeight="1" x14ac:dyDescent="0.15">
      <c r="A125" s="41">
        <v>15</v>
      </c>
      <c r="B125" s="41" t="s">
        <v>4180</v>
      </c>
      <c r="C125" s="74" t="s">
        <v>30582</v>
      </c>
      <c r="D125" s="72"/>
      <c r="F125" s="57"/>
      <c r="G125" s="35"/>
      <c r="J125" s="163"/>
      <c r="K125" s="45"/>
      <c r="L125" s="46"/>
      <c r="M125" s="512"/>
      <c r="N125" s="57"/>
      <c r="O125" s="114" t="s">
        <v>17562</v>
      </c>
      <c r="P125" s="49"/>
      <c r="Q125" s="50"/>
      <c r="R125" s="115"/>
      <c r="S125" s="35"/>
      <c r="T125" s="12" t="s">
        <v>398</v>
      </c>
      <c r="U125" s="13">
        <v>0.4</v>
      </c>
      <c r="V125" s="57" t="s">
        <v>3575</v>
      </c>
      <c r="W125" s="208">
        <f>ROUND((ROUND((ROUND((ROUND((_15_同援日増５．０*_15・通訳),0)*(1+_15・A深夜)),0)*(1+_15・盲ろう)),0)*(1+_15・区４)),0)</f>
        <v>1537</v>
      </c>
      <c r="X125" s="48"/>
    </row>
    <row r="126" spans="1:24" ht="16.5" customHeight="1" x14ac:dyDescent="0.15">
      <c r="A126" s="41">
        <v>15</v>
      </c>
      <c r="B126" s="41" t="s">
        <v>4182</v>
      </c>
      <c r="C126" s="74" t="s">
        <v>30583</v>
      </c>
      <c r="D126" s="122"/>
      <c r="E126" s="37"/>
      <c r="F126" s="79"/>
      <c r="G126" s="35"/>
      <c r="J126" s="299" t="s">
        <v>17556</v>
      </c>
      <c r="K126" s="45" t="s">
        <v>398</v>
      </c>
      <c r="L126" s="46">
        <v>1</v>
      </c>
      <c r="M126" s="512"/>
      <c r="N126" s="57"/>
      <c r="O126" s="269" t="s">
        <v>17564</v>
      </c>
      <c r="P126" s="37" t="s">
        <v>398</v>
      </c>
      <c r="Q126" s="38">
        <v>0.25</v>
      </c>
      <c r="R126" s="79" t="s">
        <v>3575</v>
      </c>
      <c r="S126" s="43"/>
      <c r="T126" s="37"/>
      <c r="U126" s="38"/>
      <c r="V126" s="79"/>
      <c r="W126" s="208">
        <f>ROUND((ROUND((ROUND((ROUND((ROUND((_15_同援日増５．０*_15・通訳),0)*_15・２人),0)*(1+_15・A深夜)),0)*(1+_15・盲ろう)),0)*(1+_15・区４)),0)</f>
        <v>1537</v>
      </c>
      <c r="X126" s="48"/>
    </row>
    <row r="127" spans="1:24" ht="16.5" customHeight="1" x14ac:dyDescent="0.15">
      <c r="A127" s="41">
        <v>15</v>
      </c>
      <c r="B127" s="41" t="s">
        <v>30584</v>
      </c>
      <c r="C127" s="74" t="s">
        <v>30585</v>
      </c>
      <c r="D127" s="114" t="s">
        <v>25587</v>
      </c>
      <c r="E127" s="49"/>
      <c r="F127" s="115"/>
      <c r="G127" s="35"/>
      <c r="J127" s="163"/>
      <c r="K127" s="45"/>
      <c r="L127" s="46"/>
      <c r="M127" s="512"/>
      <c r="N127" s="57"/>
      <c r="O127" s="53"/>
      <c r="P127" s="49"/>
      <c r="Q127" s="50"/>
      <c r="R127" s="115"/>
      <c r="S127" s="53"/>
      <c r="T127" s="49"/>
      <c r="U127" s="50"/>
      <c r="V127" s="115"/>
      <c r="W127" s="208">
        <f>ROUND((ROUND((_15_同援日増５．５*_15・通訳),0)*(1+_15・A深夜)),0)</f>
        <v>966</v>
      </c>
      <c r="X127" s="48"/>
    </row>
    <row r="128" spans="1:24" ht="16.5" customHeight="1" x14ac:dyDescent="0.15">
      <c r="A128" s="41">
        <v>15</v>
      </c>
      <c r="B128" s="41" t="s">
        <v>30586</v>
      </c>
      <c r="C128" s="74" t="s">
        <v>30587</v>
      </c>
      <c r="D128" s="72" t="s">
        <v>17832</v>
      </c>
      <c r="F128" s="57"/>
      <c r="G128" s="35"/>
      <c r="J128" s="299" t="s">
        <v>17556</v>
      </c>
      <c r="K128" s="45" t="s">
        <v>398</v>
      </c>
      <c r="L128" s="46">
        <v>1</v>
      </c>
      <c r="M128" s="512"/>
      <c r="N128" s="57"/>
      <c r="O128" s="43"/>
      <c r="P128" s="37"/>
      <c r="Q128" s="38"/>
      <c r="R128" s="79"/>
      <c r="S128" s="35"/>
      <c r="V128" s="57"/>
      <c r="W128" s="208">
        <f>ROUND((ROUND((ROUND((_15_同援日増５．５*_15・通訳),0)*_15・２人),0)*(1+_15・A深夜)),0)</f>
        <v>966</v>
      </c>
      <c r="X128" s="48"/>
    </row>
    <row r="129" spans="1:24" ht="16.5" customHeight="1" x14ac:dyDescent="0.15">
      <c r="A129" s="41">
        <v>15</v>
      </c>
      <c r="B129" s="41" t="s">
        <v>30588</v>
      </c>
      <c r="C129" s="74" t="s">
        <v>30589</v>
      </c>
      <c r="D129" s="72" t="s">
        <v>18742</v>
      </c>
      <c r="F129" s="57"/>
      <c r="G129" s="35"/>
      <c r="J129" s="163"/>
      <c r="K129" s="45"/>
      <c r="L129" s="46"/>
      <c r="M129" s="512"/>
      <c r="N129" s="57"/>
      <c r="O129" s="114" t="s">
        <v>17562</v>
      </c>
      <c r="P129" s="49"/>
      <c r="Q129" s="50"/>
      <c r="R129" s="115"/>
      <c r="S129" s="35"/>
      <c r="V129" s="57"/>
      <c r="W129" s="208">
        <f>ROUND((ROUND((ROUND((_15_同援日増５．５*_15・通訳),0)*(1+_15・A深夜)),0)*(1+_15・盲ろう)),0)</f>
        <v>1208</v>
      </c>
      <c r="X129" s="48"/>
    </row>
    <row r="130" spans="1:24" ht="16.5" customHeight="1" x14ac:dyDescent="0.15">
      <c r="A130" s="41">
        <v>15</v>
      </c>
      <c r="B130" s="41" t="s">
        <v>30590</v>
      </c>
      <c r="C130" s="74" t="s">
        <v>30591</v>
      </c>
      <c r="D130" s="72"/>
      <c r="E130" s="168">
        <f>_15_同援日増５．５</f>
        <v>715</v>
      </c>
      <c r="F130" s="57" t="s">
        <v>392</v>
      </c>
      <c r="G130" s="35"/>
      <c r="J130" s="299" t="s">
        <v>17556</v>
      </c>
      <c r="K130" s="45" t="s">
        <v>398</v>
      </c>
      <c r="L130" s="46">
        <v>1</v>
      </c>
      <c r="M130" s="512"/>
      <c r="N130" s="57"/>
      <c r="O130" s="269" t="s">
        <v>17564</v>
      </c>
      <c r="P130" s="37" t="s">
        <v>398</v>
      </c>
      <c r="Q130" s="38">
        <v>0.25</v>
      </c>
      <c r="R130" s="79" t="s">
        <v>3575</v>
      </c>
      <c r="S130" s="43"/>
      <c r="T130" s="37"/>
      <c r="U130" s="38"/>
      <c r="V130" s="79"/>
      <c r="W130" s="208">
        <f>ROUND((ROUND((ROUND((ROUND((_15_同援日増５．５*_15・通訳),0)*_15・２人),0)*(1+_15・A深夜)),0)*(1+_15・盲ろう)),0)</f>
        <v>1208</v>
      </c>
      <c r="X130" s="48"/>
    </row>
    <row r="131" spans="1:24" ht="16.5" customHeight="1" x14ac:dyDescent="0.15">
      <c r="A131" s="41">
        <v>15</v>
      </c>
      <c r="B131" s="41" t="s">
        <v>30592</v>
      </c>
      <c r="C131" s="74" t="s">
        <v>30593</v>
      </c>
      <c r="D131" s="72"/>
      <c r="F131" s="57"/>
      <c r="G131" s="35"/>
      <c r="J131" s="163"/>
      <c r="K131" s="45"/>
      <c r="L131" s="46"/>
      <c r="M131" s="512"/>
      <c r="N131" s="57"/>
      <c r="O131" s="53"/>
      <c r="P131" s="49"/>
      <c r="Q131" s="50"/>
      <c r="R131" s="115"/>
      <c r="S131" s="114" t="s">
        <v>17570</v>
      </c>
      <c r="T131" s="49"/>
      <c r="U131" s="50"/>
      <c r="V131" s="115"/>
      <c r="W131" s="208">
        <f>ROUND((ROUND((ROUND((_15_同援日増５．５*_15・通訳),0)*(1+_15・A深夜)),0)*(1+_15・区３)),0)</f>
        <v>1159</v>
      </c>
      <c r="X131" s="48"/>
    </row>
    <row r="132" spans="1:24" ht="16.5" customHeight="1" x14ac:dyDescent="0.15">
      <c r="A132" s="41">
        <v>15</v>
      </c>
      <c r="B132" s="41" t="s">
        <v>30594</v>
      </c>
      <c r="C132" s="74" t="s">
        <v>30595</v>
      </c>
      <c r="D132" s="72"/>
      <c r="F132" s="57"/>
      <c r="G132" s="35"/>
      <c r="J132" s="299" t="s">
        <v>17556</v>
      </c>
      <c r="K132" s="45" t="s">
        <v>398</v>
      </c>
      <c r="L132" s="46">
        <v>1</v>
      </c>
      <c r="M132" s="512"/>
      <c r="N132" s="57"/>
      <c r="O132" s="43"/>
      <c r="P132" s="37"/>
      <c r="Q132" s="38"/>
      <c r="R132" s="79"/>
      <c r="S132" s="92" t="s">
        <v>17572</v>
      </c>
      <c r="V132" s="57"/>
      <c r="W132" s="208">
        <f>ROUND((ROUND((ROUND((ROUND((_15_同援日増５．５*_15・通訳),0)*_15・２人),0)*(1+_15・A深夜)),0)*(1+_15・区３)),0)</f>
        <v>1159</v>
      </c>
      <c r="X132" s="48"/>
    </row>
    <row r="133" spans="1:24" ht="16.5" customHeight="1" x14ac:dyDescent="0.15">
      <c r="A133" s="41">
        <v>15</v>
      </c>
      <c r="B133" s="41" t="s">
        <v>30596</v>
      </c>
      <c r="C133" s="74" t="s">
        <v>30597</v>
      </c>
      <c r="D133" s="72"/>
      <c r="F133" s="57"/>
      <c r="G133" s="35"/>
      <c r="J133" s="163"/>
      <c r="K133" s="45"/>
      <c r="L133" s="46"/>
      <c r="M133" s="512"/>
      <c r="N133" s="57"/>
      <c r="O133" s="114" t="s">
        <v>17562</v>
      </c>
      <c r="P133" s="49"/>
      <c r="Q133" s="50"/>
      <c r="R133" s="115"/>
      <c r="S133" s="35"/>
      <c r="T133" s="12" t="s">
        <v>398</v>
      </c>
      <c r="U133" s="13">
        <v>0.2</v>
      </c>
      <c r="V133" s="57" t="s">
        <v>3575</v>
      </c>
      <c r="W133" s="208">
        <f>ROUND((ROUND((ROUND((ROUND((_15_同援日増５．５*_15・通訳),0)*(1+_15・A深夜)),0)*(1+_15・盲ろう)),0)*(1+_15・区３)),0)</f>
        <v>1450</v>
      </c>
      <c r="X133" s="48"/>
    </row>
    <row r="134" spans="1:24" ht="16.5" customHeight="1" x14ac:dyDescent="0.15">
      <c r="A134" s="41">
        <v>15</v>
      </c>
      <c r="B134" s="41" t="s">
        <v>30598</v>
      </c>
      <c r="C134" s="74" t="s">
        <v>30599</v>
      </c>
      <c r="D134" s="72"/>
      <c r="F134" s="57"/>
      <c r="G134" s="35"/>
      <c r="J134" s="299" t="s">
        <v>17556</v>
      </c>
      <c r="K134" s="45" t="s">
        <v>398</v>
      </c>
      <c r="L134" s="46">
        <v>1</v>
      </c>
      <c r="M134" s="512"/>
      <c r="N134" s="57"/>
      <c r="O134" s="269" t="s">
        <v>17564</v>
      </c>
      <c r="P134" s="37" t="s">
        <v>398</v>
      </c>
      <c r="Q134" s="38">
        <v>0.25</v>
      </c>
      <c r="R134" s="79" t="s">
        <v>3575</v>
      </c>
      <c r="S134" s="43"/>
      <c r="T134" s="37"/>
      <c r="U134" s="38"/>
      <c r="V134" s="79"/>
      <c r="W134" s="208">
        <f>ROUND((ROUND((ROUND((ROUND((ROUND((_15_同援日増５．５*_15・通訳),0)*_15・２人),0)*(1+_15・A深夜)),0)*(1+_15・盲ろう)),0)*(1+_15・区３)),0)</f>
        <v>1450</v>
      </c>
      <c r="X134" s="48"/>
    </row>
    <row r="135" spans="1:24" ht="16.5" customHeight="1" x14ac:dyDescent="0.15">
      <c r="A135" s="41">
        <v>15</v>
      </c>
      <c r="B135" s="41" t="s">
        <v>4186</v>
      </c>
      <c r="C135" s="74" t="s">
        <v>30600</v>
      </c>
      <c r="D135" s="72"/>
      <c r="F135" s="57"/>
      <c r="G135" s="35"/>
      <c r="J135" s="163"/>
      <c r="K135" s="45"/>
      <c r="L135" s="46"/>
      <c r="M135" s="512"/>
      <c r="N135" s="57"/>
      <c r="O135" s="53"/>
      <c r="P135" s="49"/>
      <c r="Q135" s="50"/>
      <c r="R135" s="115"/>
      <c r="S135" s="114" t="s">
        <v>17580</v>
      </c>
      <c r="T135" s="49"/>
      <c r="U135" s="50"/>
      <c r="V135" s="115"/>
      <c r="W135" s="208">
        <f>ROUND((ROUND((ROUND((_15_同援日増５．５*_15・通訳),0)*(1+_15・A深夜)),0)*(1+_15・区４)),0)</f>
        <v>1352</v>
      </c>
      <c r="X135" s="48"/>
    </row>
    <row r="136" spans="1:24" ht="16.5" customHeight="1" x14ac:dyDescent="0.15">
      <c r="A136" s="41">
        <v>15</v>
      </c>
      <c r="B136" s="41" t="s">
        <v>4188</v>
      </c>
      <c r="C136" s="74" t="s">
        <v>30601</v>
      </c>
      <c r="D136" s="72"/>
      <c r="F136" s="57"/>
      <c r="G136" s="35"/>
      <c r="J136" s="299" t="s">
        <v>17556</v>
      </c>
      <c r="K136" s="45" t="s">
        <v>398</v>
      </c>
      <c r="L136" s="46">
        <v>1</v>
      </c>
      <c r="M136" s="512"/>
      <c r="N136" s="57"/>
      <c r="O136" s="43"/>
      <c r="P136" s="37"/>
      <c r="Q136" s="38"/>
      <c r="R136" s="79"/>
      <c r="S136" s="92" t="s">
        <v>17572</v>
      </c>
      <c r="V136" s="57"/>
      <c r="W136" s="208">
        <f>ROUND((ROUND((ROUND((ROUND((_15_同援日増５．５*_15・通訳),0)*_15・２人),0)*(1+_15・A深夜)),0)*(1+_15・区４)),0)</f>
        <v>1352</v>
      </c>
      <c r="X136" s="48"/>
    </row>
    <row r="137" spans="1:24" ht="16.5" customHeight="1" x14ac:dyDescent="0.15">
      <c r="A137" s="41">
        <v>15</v>
      </c>
      <c r="B137" s="41" t="s">
        <v>30602</v>
      </c>
      <c r="C137" s="74" t="s">
        <v>30603</v>
      </c>
      <c r="D137" s="72"/>
      <c r="F137" s="57"/>
      <c r="G137" s="35"/>
      <c r="J137" s="163"/>
      <c r="K137" s="45"/>
      <c r="L137" s="46"/>
      <c r="M137" s="512"/>
      <c r="N137" s="57"/>
      <c r="O137" s="114" t="s">
        <v>17562</v>
      </c>
      <c r="P137" s="49"/>
      <c r="Q137" s="50"/>
      <c r="R137" s="115"/>
      <c r="S137" s="35"/>
      <c r="T137" s="12" t="s">
        <v>398</v>
      </c>
      <c r="U137" s="13">
        <v>0.4</v>
      </c>
      <c r="V137" s="57" t="s">
        <v>3575</v>
      </c>
      <c r="W137" s="208">
        <f>ROUND((ROUND((ROUND((ROUND((_15_同援日増５．５*_15・通訳),0)*(1+_15・A深夜)),0)*(1+_15・盲ろう)),0)*(1+_15・区４)),0)</f>
        <v>1691</v>
      </c>
      <c r="X137" s="48"/>
    </row>
    <row r="138" spans="1:24" ht="16.5" customHeight="1" x14ac:dyDescent="0.15">
      <c r="A138" s="41">
        <v>15</v>
      </c>
      <c r="B138" s="41" t="s">
        <v>30604</v>
      </c>
      <c r="C138" s="74" t="s">
        <v>30605</v>
      </c>
      <c r="D138" s="122"/>
      <c r="E138" s="37"/>
      <c r="F138" s="79"/>
      <c r="G138" s="35"/>
      <c r="J138" s="299" t="s">
        <v>17556</v>
      </c>
      <c r="K138" s="45" t="s">
        <v>398</v>
      </c>
      <c r="L138" s="46">
        <v>1</v>
      </c>
      <c r="M138" s="512"/>
      <c r="N138" s="57"/>
      <c r="O138" s="269" t="s">
        <v>17564</v>
      </c>
      <c r="P138" s="37" t="s">
        <v>398</v>
      </c>
      <c r="Q138" s="38">
        <v>0.25</v>
      </c>
      <c r="R138" s="79" t="s">
        <v>3575</v>
      </c>
      <c r="S138" s="43"/>
      <c r="T138" s="37"/>
      <c r="U138" s="38"/>
      <c r="V138" s="79"/>
      <c r="W138" s="208">
        <f>ROUND((ROUND((ROUND((ROUND((ROUND((_15_同援日増５．５*_15・通訳),0)*_15・２人),0)*(1+_15・A深夜)),0)*(1+_15・盲ろう)),0)*(1+_15・区４)),0)</f>
        <v>1691</v>
      </c>
      <c r="X138" s="48"/>
    </row>
    <row r="139" spans="1:24" ht="16.5" customHeight="1" x14ac:dyDescent="0.15">
      <c r="A139" s="41">
        <v>15</v>
      </c>
      <c r="B139" s="41" t="s">
        <v>30606</v>
      </c>
      <c r="C139" s="74" t="s">
        <v>30607</v>
      </c>
      <c r="D139" s="114" t="s">
        <v>25631</v>
      </c>
      <c r="E139" s="49"/>
      <c r="F139" s="115"/>
      <c r="G139" s="35"/>
      <c r="J139" s="163"/>
      <c r="K139" s="45"/>
      <c r="L139" s="46"/>
      <c r="M139" s="512"/>
      <c r="N139" s="57"/>
      <c r="O139" s="53"/>
      <c r="P139" s="49"/>
      <c r="Q139" s="50"/>
      <c r="R139" s="115"/>
      <c r="S139" s="53"/>
      <c r="T139" s="49"/>
      <c r="U139" s="50"/>
      <c r="V139" s="115"/>
      <c r="W139" s="208">
        <f>ROUND((ROUND((_15_同援日増６．０*_15・通訳),0)*(1+_15・A深夜)),0)</f>
        <v>1053</v>
      </c>
      <c r="X139" s="48"/>
    </row>
    <row r="140" spans="1:24" ht="16.5" customHeight="1" x14ac:dyDescent="0.15">
      <c r="A140" s="41">
        <v>15</v>
      </c>
      <c r="B140" s="41" t="s">
        <v>30608</v>
      </c>
      <c r="C140" s="74" t="s">
        <v>30609</v>
      </c>
      <c r="D140" s="72" t="s">
        <v>17859</v>
      </c>
      <c r="F140" s="57"/>
      <c r="G140" s="35"/>
      <c r="J140" s="299" t="s">
        <v>17556</v>
      </c>
      <c r="K140" s="45" t="s">
        <v>398</v>
      </c>
      <c r="L140" s="46">
        <v>1</v>
      </c>
      <c r="M140" s="512"/>
      <c r="N140" s="57"/>
      <c r="O140" s="43"/>
      <c r="P140" s="37"/>
      <c r="Q140" s="38"/>
      <c r="R140" s="79"/>
      <c r="S140" s="35"/>
      <c r="V140" s="57"/>
      <c r="W140" s="208">
        <f>ROUND((ROUND((ROUND((_15_同援日増６．０*_15・通訳),0)*_15・２人),0)*(1+_15・A深夜)),0)</f>
        <v>1053</v>
      </c>
      <c r="X140" s="48"/>
    </row>
    <row r="141" spans="1:24" ht="16.5" customHeight="1" x14ac:dyDescent="0.15">
      <c r="A141" s="41">
        <v>15</v>
      </c>
      <c r="B141" s="41" t="s">
        <v>30610</v>
      </c>
      <c r="C141" s="74" t="s">
        <v>30611</v>
      </c>
      <c r="D141" s="72" t="s">
        <v>18768</v>
      </c>
      <c r="F141" s="57"/>
      <c r="G141" s="35"/>
      <c r="J141" s="163"/>
      <c r="K141" s="45"/>
      <c r="L141" s="46"/>
      <c r="M141" s="512"/>
      <c r="N141" s="57"/>
      <c r="O141" s="114" t="s">
        <v>17562</v>
      </c>
      <c r="P141" s="49"/>
      <c r="Q141" s="50"/>
      <c r="R141" s="115"/>
      <c r="S141" s="35"/>
      <c r="V141" s="57"/>
      <c r="W141" s="208">
        <f>ROUND((ROUND((ROUND((_15_同援日増６．０*_15・通訳),0)*(1+_15・A深夜)),0)*(1+_15・盲ろう)),0)</f>
        <v>1316</v>
      </c>
      <c r="X141" s="48"/>
    </row>
    <row r="142" spans="1:24" ht="16.5" customHeight="1" x14ac:dyDescent="0.15">
      <c r="A142" s="41">
        <v>15</v>
      </c>
      <c r="B142" s="41" t="s">
        <v>30612</v>
      </c>
      <c r="C142" s="74" t="s">
        <v>30613</v>
      </c>
      <c r="D142" s="72"/>
      <c r="E142" s="168">
        <f>_15_同援日増６．０</f>
        <v>780</v>
      </c>
      <c r="F142" s="57" t="s">
        <v>392</v>
      </c>
      <c r="G142" s="35"/>
      <c r="J142" s="299" t="s">
        <v>17556</v>
      </c>
      <c r="K142" s="45" t="s">
        <v>398</v>
      </c>
      <c r="L142" s="46">
        <v>1</v>
      </c>
      <c r="M142" s="512"/>
      <c r="N142" s="57"/>
      <c r="O142" s="269" t="s">
        <v>17564</v>
      </c>
      <c r="P142" s="37" t="s">
        <v>398</v>
      </c>
      <c r="Q142" s="38">
        <v>0.25</v>
      </c>
      <c r="R142" s="79" t="s">
        <v>3575</v>
      </c>
      <c r="S142" s="43"/>
      <c r="T142" s="37"/>
      <c r="U142" s="38"/>
      <c r="V142" s="79"/>
      <c r="W142" s="208">
        <f>ROUND((ROUND((ROUND((ROUND((_15_同援日増６．０*_15・通訳),0)*_15・２人),0)*(1+_15・A深夜)),0)*(1+_15・盲ろう)),0)</f>
        <v>1316</v>
      </c>
      <c r="X142" s="48"/>
    </row>
    <row r="143" spans="1:24" ht="16.5" customHeight="1" x14ac:dyDescent="0.15">
      <c r="A143" s="41">
        <v>15</v>
      </c>
      <c r="B143" s="41" t="s">
        <v>30614</v>
      </c>
      <c r="C143" s="74" t="s">
        <v>30615</v>
      </c>
      <c r="D143" s="72"/>
      <c r="F143" s="57"/>
      <c r="G143" s="35"/>
      <c r="J143" s="163"/>
      <c r="K143" s="45"/>
      <c r="L143" s="46"/>
      <c r="M143" s="512"/>
      <c r="N143" s="57"/>
      <c r="O143" s="53"/>
      <c r="P143" s="49"/>
      <c r="Q143" s="50"/>
      <c r="R143" s="115"/>
      <c r="S143" s="114" t="s">
        <v>17570</v>
      </c>
      <c r="T143" s="49"/>
      <c r="U143" s="50"/>
      <c r="V143" s="115"/>
      <c r="W143" s="208">
        <f>ROUND((ROUND((ROUND((_15_同援日増６．０*_15・通訳),0)*(1+_15・A深夜)),0)*(1+_15・区３)),0)</f>
        <v>1264</v>
      </c>
      <c r="X143" s="48"/>
    </row>
    <row r="144" spans="1:24" ht="16.5" customHeight="1" x14ac:dyDescent="0.15">
      <c r="A144" s="41">
        <v>15</v>
      </c>
      <c r="B144" s="41" t="s">
        <v>30616</v>
      </c>
      <c r="C144" s="74" t="s">
        <v>30617</v>
      </c>
      <c r="D144" s="72"/>
      <c r="F144" s="57"/>
      <c r="G144" s="35"/>
      <c r="J144" s="299" t="s">
        <v>17556</v>
      </c>
      <c r="K144" s="45" t="s">
        <v>398</v>
      </c>
      <c r="L144" s="46">
        <v>1</v>
      </c>
      <c r="M144" s="512"/>
      <c r="N144" s="57"/>
      <c r="O144" s="43"/>
      <c r="P144" s="37"/>
      <c r="Q144" s="38"/>
      <c r="R144" s="79"/>
      <c r="S144" s="92" t="s">
        <v>17572</v>
      </c>
      <c r="V144" s="57"/>
      <c r="W144" s="208">
        <f>ROUND((ROUND((ROUND((ROUND((_15_同援日増６．０*_15・通訳),0)*_15・２人),0)*(1+_15・A深夜)),0)*(1+_15・区３)),0)</f>
        <v>1264</v>
      </c>
      <c r="X144" s="48"/>
    </row>
    <row r="145" spans="1:24" ht="16.5" customHeight="1" x14ac:dyDescent="0.15">
      <c r="A145" s="41">
        <v>15</v>
      </c>
      <c r="B145" s="41" t="s">
        <v>4192</v>
      </c>
      <c r="C145" s="74" t="s">
        <v>30618</v>
      </c>
      <c r="D145" s="72"/>
      <c r="F145" s="57"/>
      <c r="G145" s="35"/>
      <c r="J145" s="163"/>
      <c r="K145" s="45"/>
      <c r="L145" s="46"/>
      <c r="M145" s="512"/>
      <c r="N145" s="57"/>
      <c r="O145" s="114" t="s">
        <v>17562</v>
      </c>
      <c r="P145" s="49"/>
      <c r="Q145" s="50"/>
      <c r="R145" s="115"/>
      <c r="S145" s="35"/>
      <c r="T145" s="12" t="s">
        <v>398</v>
      </c>
      <c r="U145" s="13">
        <v>0.2</v>
      </c>
      <c r="V145" s="57" t="s">
        <v>3575</v>
      </c>
      <c r="W145" s="208">
        <f>ROUND((ROUND((ROUND((ROUND((_15_同援日増６．０*_15・通訳),0)*(1+_15・A深夜)),0)*(1+_15・盲ろう)),0)*(1+_15・区３)),0)</f>
        <v>1579</v>
      </c>
      <c r="X145" s="48"/>
    </row>
    <row r="146" spans="1:24" ht="16.5" customHeight="1" x14ac:dyDescent="0.15">
      <c r="A146" s="41">
        <v>15</v>
      </c>
      <c r="B146" s="41" t="s">
        <v>4194</v>
      </c>
      <c r="C146" s="74" t="s">
        <v>30619</v>
      </c>
      <c r="D146" s="72"/>
      <c r="F146" s="57"/>
      <c r="G146" s="35"/>
      <c r="J146" s="299" t="s">
        <v>17556</v>
      </c>
      <c r="K146" s="45" t="s">
        <v>398</v>
      </c>
      <c r="L146" s="46">
        <v>1</v>
      </c>
      <c r="M146" s="512"/>
      <c r="N146" s="57"/>
      <c r="O146" s="269" t="s">
        <v>17564</v>
      </c>
      <c r="P146" s="37" t="s">
        <v>398</v>
      </c>
      <c r="Q146" s="38">
        <v>0.25</v>
      </c>
      <c r="R146" s="79" t="s">
        <v>3575</v>
      </c>
      <c r="S146" s="43"/>
      <c r="T146" s="37"/>
      <c r="U146" s="38"/>
      <c r="V146" s="79"/>
      <c r="W146" s="208">
        <f>ROUND((ROUND((ROUND((ROUND((ROUND((_15_同援日増６．０*_15・通訳),0)*_15・２人),0)*(1+_15・A深夜)),0)*(1+_15・盲ろう)),0)*(1+_15・区３)),0)</f>
        <v>1579</v>
      </c>
      <c r="X146" s="48"/>
    </row>
    <row r="147" spans="1:24" ht="16.5" customHeight="1" x14ac:dyDescent="0.15">
      <c r="A147" s="41">
        <v>15</v>
      </c>
      <c r="B147" s="41" t="s">
        <v>30620</v>
      </c>
      <c r="C147" s="74" t="s">
        <v>30621</v>
      </c>
      <c r="D147" s="72"/>
      <c r="F147" s="57"/>
      <c r="G147" s="35"/>
      <c r="J147" s="163"/>
      <c r="K147" s="45"/>
      <c r="L147" s="46"/>
      <c r="M147" s="512"/>
      <c r="N147" s="57"/>
      <c r="O147" s="53"/>
      <c r="P147" s="49"/>
      <c r="Q147" s="50"/>
      <c r="R147" s="115"/>
      <c r="S147" s="114" t="s">
        <v>17580</v>
      </c>
      <c r="T147" s="49"/>
      <c r="U147" s="50"/>
      <c r="V147" s="115"/>
      <c r="W147" s="208">
        <f>ROUND((ROUND((ROUND((_15_同援日増６．０*_15・通訳),0)*(1+_15・A深夜)),0)*(1+_15・区４)),0)</f>
        <v>1474</v>
      </c>
      <c r="X147" s="48"/>
    </row>
    <row r="148" spans="1:24" ht="16.5" customHeight="1" x14ac:dyDescent="0.15">
      <c r="A148" s="41">
        <v>15</v>
      </c>
      <c r="B148" s="41" t="s">
        <v>30622</v>
      </c>
      <c r="C148" s="74" t="s">
        <v>30623</v>
      </c>
      <c r="D148" s="72"/>
      <c r="F148" s="57"/>
      <c r="G148" s="35"/>
      <c r="J148" s="299" t="s">
        <v>17556</v>
      </c>
      <c r="K148" s="45" t="s">
        <v>398</v>
      </c>
      <c r="L148" s="46">
        <v>1</v>
      </c>
      <c r="M148" s="512"/>
      <c r="N148" s="57"/>
      <c r="O148" s="43"/>
      <c r="P148" s="37"/>
      <c r="Q148" s="38"/>
      <c r="R148" s="79"/>
      <c r="S148" s="92" t="s">
        <v>17572</v>
      </c>
      <c r="V148" s="57"/>
      <c r="W148" s="208">
        <f>ROUND((ROUND((ROUND((ROUND((_15_同援日増６．０*_15・通訳),0)*_15・２人),0)*(1+_15・A深夜)),0)*(1+_15・区４)),0)</f>
        <v>1474</v>
      </c>
      <c r="X148" s="48"/>
    </row>
    <row r="149" spans="1:24" ht="16.5" customHeight="1" x14ac:dyDescent="0.15">
      <c r="A149" s="41">
        <v>15</v>
      </c>
      <c r="B149" s="41" t="s">
        <v>30624</v>
      </c>
      <c r="C149" s="74" t="s">
        <v>30625</v>
      </c>
      <c r="D149" s="72"/>
      <c r="F149" s="57"/>
      <c r="G149" s="35"/>
      <c r="J149" s="163"/>
      <c r="K149" s="45"/>
      <c r="L149" s="46"/>
      <c r="M149" s="512"/>
      <c r="N149" s="57"/>
      <c r="O149" s="114" t="s">
        <v>17562</v>
      </c>
      <c r="P149" s="49"/>
      <c r="Q149" s="50"/>
      <c r="R149" s="115"/>
      <c r="S149" s="35"/>
      <c r="T149" s="12" t="s">
        <v>398</v>
      </c>
      <c r="U149" s="13">
        <v>0.4</v>
      </c>
      <c r="V149" s="57" t="s">
        <v>3575</v>
      </c>
      <c r="W149" s="208">
        <f>ROUND((ROUND((ROUND((ROUND((_15_同援日増６．０*_15・通訳),0)*(1+_15・A深夜)),0)*(1+_15・盲ろう)),0)*(1+_15・区４)),0)</f>
        <v>1842</v>
      </c>
      <c r="X149" s="48"/>
    </row>
    <row r="150" spans="1:24" ht="16.5" customHeight="1" x14ac:dyDescent="0.15">
      <c r="A150" s="41">
        <v>15</v>
      </c>
      <c r="B150" s="41" t="s">
        <v>30626</v>
      </c>
      <c r="C150" s="74" t="s">
        <v>30627</v>
      </c>
      <c r="D150" s="122"/>
      <c r="E150" s="37"/>
      <c r="F150" s="79"/>
      <c r="G150" s="35"/>
      <c r="J150" s="299" t="s">
        <v>17556</v>
      </c>
      <c r="K150" s="45" t="s">
        <v>398</v>
      </c>
      <c r="L150" s="46">
        <v>1</v>
      </c>
      <c r="M150" s="512"/>
      <c r="N150" s="57"/>
      <c r="O150" s="269" t="s">
        <v>17564</v>
      </c>
      <c r="P150" s="37" t="s">
        <v>398</v>
      </c>
      <c r="Q150" s="38">
        <v>0.25</v>
      </c>
      <c r="R150" s="79" t="s">
        <v>3575</v>
      </c>
      <c r="S150" s="43"/>
      <c r="T150" s="37"/>
      <c r="U150" s="38"/>
      <c r="V150" s="79"/>
      <c r="W150" s="208">
        <f>ROUND((ROUND((ROUND((ROUND((ROUND((_15_同援日増６．０*_15・通訳),0)*_15・２人),0)*(1+_15・A深夜)),0)*(1+_15・盲ろう)),0)*(1+_15・区４)),0)</f>
        <v>1842</v>
      </c>
      <c r="X150" s="48"/>
    </row>
    <row r="151" spans="1:24" ht="16.5" customHeight="1" x14ac:dyDescent="0.15">
      <c r="A151" s="41">
        <v>15</v>
      </c>
      <c r="B151" s="41" t="s">
        <v>30628</v>
      </c>
      <c r="C151" s="74" t="s">
        <v>30629</v>
      </c>
      <c r="D151" s="114" t="s">
        <v>25676</v>
      </c>
      <c r="E151" s="49"/>
      <c r="F151" s="115"/>
      <c r="G151" s="35"/>
      <c r="J151" s="163"/>
      <c r="K151" s="45"/>
      <c r="L151" s="46"/>
      <c r="M151" s="512"/>
      <c r="N151" s="57"/>
      <c r="O151" s="53"/>
      <c r="P151" s="49"/>
      <c r="Q151" s="50"/>
      <c r="R151" s="115"/>
      <c r="S151" s="53"/>
      <c r="T151" s="49"/>
      <c r="U151" s="50"/>
      <c r="V151" s="115"/>
      <c r="W151" s="208">
        <f>ROUND((ROUND((_15_同援日増６．５*_15・通訳),0)*(1+_15・A深夜)),0)</f>
        <v>1142</v>
      </c>
      <c r="X151" s="48"/>
    </row>
    <row r="152" spans="1:24" ht="16.5" customHeight="1" x14ac:dyDescent="0.15">
      <c r="A152" s="41">
        <v>15</v>
      </c>
      <c r="B152" s="41" t="s">
        <v>30630</v>
      </c>
      <c r="C152" s="74" t="s">
        <v>30631</v>
      </c>
      <c r="D152" s="72" t="s">
        <v>17886</v>
      </c>
      <c r="F152" s="57"/>
      <c r="G152" s="35"/>
      <c r="J152" s="299" t="s">
        <v>17556</v>
      </c>
      <c r="K152" s="45" t="s">
        <v>398</v>
      </c>
      <c r="L152" s="46">
        <v>1</v>
      </c>
      <c r="M152" s="512"/>
      <c r="N152" s="57"/>
      <c r="O152" s="43"/>
      <c r="P152" s="37"/>
      <c r="Q152" s="38"/>
      <c r="R152" s="79"/>
      <c r="S152" s="35"/>
      <c r="V152" s="57"/>
      <c r="W152" s="208">
        <f>ROUND((ROUND((ROUND((_15_同援日増６．５*_15・通訳),0)*_15・２人),0)*(1+_15・A深夜)),0)</f>
        <v>1142</v>
      </c>
      <c r="X152" s="48"/>
    </row>
    <row r="153" spans="1:24" ht="16.5" customHeight="1" x14ac:dyDescent="0.15">
      <c r="A153" s="41">
        <v>15</v>
      </c>
      <c r="B153" s="41" t="s">
        <v>30632</v>
      </c>
      <c r="C153" s="74" t="s">
        <v>30633</v>
      </c>
      <c r="D153" s="72" t="s">
        <v>18794</v>
      </c>
      <c r="F153" s="57"/>
      <c r="G153" s="35"/>
      <c r="J153" s="163"/>
      <c r="K153" s="45"/>
      <c r="L153" s="46"/>
      <c r="M153" s="512"/>
      <c r="N153" s="57"/>
      <c r="O153" s="114" t="s">
        <v>17562</v>
      </c>
      <c r="P153" s="49"/>
      <c r="Q153" s="50"/>
      <c r="R153" s="115"/>
      <c r="S153" s="35"/>
      <c r="V153" s="57"/>
      <c r="W153" s="208">
        <f>ROUND((ROUND((ROUND((_15_同援日増６．５*_15・通訳),0)*(1+_15・A深夜)),0)*(1+_15・盲ろう)),0)</f>
        <v>1428</v>
      </c>
      <c r="X153" s="48"/>
    </row>
    <row r="154" spans="1:24" ht="16.5" customHeight="1" x14ac:dyDescent="0.15">
      <c r="A154" s="41">
        <v>15</v>
      </c>
      <c r="B154" s="41" t="s">
        <v>30634</v>
      </c>
      <c r="C154" s="74" t="s">
        <v>30635</v>
      </c>
      <c r="D154" s="72"/>
      <c r="E154" s="168">
        <f>_15_同援日増６．５</f>
        <v>845</v>
      </c>
      <c r="F154" s="57" t="s">
        <v>392</v>
      </c>
      <c r="G154" s="35"/>
      <c r="J154" s="299" t="s">
        <v>17556</v>
      </c>
      <c r="K154" s="45" t="s">
        <v>398</v>
      </c>
      <c r="L154" s="46">
        <v>1</v>
      </c>
      <c r="M154" s="512"/>
      <c r="N154" s="57"/>
      <c r="O154" s="269" t="s">
        <v>17564</v>
      </c>
      <c r="P154" s="37" t="s">
        <v>398</v>
      </c>
      <c r="Q154" s="38">
        <v>0.25</v>
      </c>
      <c r="R154" s="79" t="s">
        <v>3575</v>
      </c>
      <c r="S154" s="43"/>
      <c r="T154" s="37"/>
      <c r="U154" s="38"/>
      <c r="V154" s="79"/>
      <c r="W154" s="208">
        <f>ROUND((ROUND((ROUND((ROUND((_15_同援日増６．５*_15・通訳),0)*_15・２人),0)*(1+_15・A深夜)),0)*(1+_15・盲ろう)),0)</f>
        <v>1428</v>
      </c>
      <c r="X154" s="48"/>
    </row>
    <row r="155" spans="1:24" ht="16.5" customHeight="1" x14ac:dyDescent="0.15">
      <c r="A155" s="41">
        <v>15</v>
      </c>
      <c r="B155" s="41" t="s">
        <v>4198</v>
      </c>
      <c r="C155" s="74" t="s">
        <v>30636</v>
      </c>
      <c r="D155" s="72"/>
      <c r="F155" s="57"/>
      <c r="G155" s="35"/>
      <c r="J155" s="163"/>
      <c r="K155" s="45"/>
      <c r="L155" s="46"/>
      <c r="M155" s="512"/>
      <c r="N155" s="57"/>
      <c r="O155" s="53"/>
      <c r="P155" s="49"/>
      <c r="Q155" s="50"/>
      <c r="R155" s="115"/>
      <c r="S155" s="114" t="s">
        <v>17570</v>
      </c>
      <c r="T155" s="49"/>
      <c r="U155" s="50"/>
      <c r="V155" s="115"/>
      <c r="W155" s="208">
        <f>ROUND((ROUND((ROUND((_15_同援日増６．５*_15・通訳),0)*(1+_15・A深夜)),0)*(1+_15・区３)),0)</f>
        <v>1370</v>
      </c>
      <c r="X155" s="48"/>
    </row>
    <row r="156" spans="1:24" ht="16.5" customHeight="1" x14ac:dyDescent="0.15">
      <c r="A156" s="41">
        <v>15</v>
      </c>
      <c r="B156" s="41" t="s">
        <v>4200</v>
      </c>
      <c r="C156" s="74" t="s">
        <v>30637</v>
      </c>
      <c r="D156" s="72"/>
      <c r="F156" s="57"/>
      <c r="G156" s="35"/>
      <c r="J156" s="299" t="s">
        <v>17556</v>
      </c>
      <c r="K156" s="45" t="s">
        <v>398</v>
      </c>
      <c r="L156" s="46">
        <v>1</v>
      </c>
      <c r="M156" s="512"/>
      <c r="N156" s="57"/>
      <c r="O156" s="43"/>
      <c r="P156" s="37"/>
      <c r="Q156" s="38"/>
      <c r="R156" s="79"/>
      <c r="S156" s="92" t="s">
        <v>17572</v>
      </c>
      <c r="V156" s="57"/>
      <c r="W156" s="208">
        <f>ROUND((ROUND((ROUND((ROUND((_15_同援日増６．５*_15・通訳),0)*_15・２人),0)*(1+_15・A深夜)),0)*(1+_15・区３)),0)</f>
        <v>1370</v>
      </c>
      <c r="X156" s="48"/>
    </row>
    <row r="157" spans="1:24" ht="16.5" customHeight="1" x14ac:dyDescent="0.15">
      <c r="A157" s="41">
        <v>15</v>
      </c>
      <c r="B157" s="41" t="s">
        <v>30638</v>
      </c>
      <c r="C157" s="74" t="s">
        <v>30639</v>
      </c>
      <c r="D157" s="72"/>
      <c r="F157" s="57"/>
      <c r="G157" s="35"/>
      <c r="J157" s="163"/>
      <c r="K157" s="45"/>
      <c r="L157" s="46"/>
      <c r="M157" s="512"/>
      <c r="N157" s="57"/>
      <c r="O157" s="114" t="s">
        <v>17562</v>
      </c>
      <c r="P157" s="49"/>
      <c r="Q157" s="50"/>
      <c r="R157" s="115"/>
      <c r="S157" s="35"/>
      <c r="T157" s="12" t="s">
        <v>398</v>
      </c>
      <c r="U157" s="13">
        <v>0.2</v>
      </c>
      <c r="V157" s="57" t="s">
        <v>3575</v>
      </c>
      <c r="W157" s="208">
        <f>ROUND((ROUND((ROUND((ROUND((_15_同援日増６．５*_15・通訳),0)*(1+_15・A深夜)),0)*(1+_15・盲ろう)),0)*(1+_15・区３)),0)</f>
        <v>1714</v>
      </c>
      <c r="X157" s="48"/>
    </row>
    <row r="158" spans="1:24" ht="16.5" customHeight="1" x14ac:dyDescent="0.15">
      <c r="A158" s="41">
        <v>15</v>
      </c>
      <c r="B158" s="41" t="s">
        <v>30640</v>
      </c>
      <c r="C158" s="74" t="s">
        <v>30641</v>
      </c>
      <c r="D158" s="72"/>
      <c r="F158" s="57"/>
      <c r="G158" s="35"/>
      <c r="J158" s="299" t="s">
        <v>17556</v>
      </c>
      <c r="K158" s="45" t="s">
        <v>398</v>
      </c>
      <c r="L158" s="46">
        <v>1</v>
      </c>
      <c r="M158" s="512"/>
      <c r="N158" s="57"/>
      <c r="O158" s="269" t="s">
        <v>17564</v>
      </c>
      <c r="P158" s="37" t="s">
        <v>398</v>
      </c>
      <c r="Q158" s="38">
        <v>0.25</v>
      </c>
      <c r="R158" s="79" t="s">
        <v>3575</v>
      </c>
      <c r="S158" s="43"/>
      <c r="T158" s="37"/>
      <c r="U158" s="38"/>
      <c r="V158" s="79"/>
      <c r="W158" s="208">
        <f>ROUND((ROUND((ROUND((ROUND((ROUND((_15_同援日増６．５*_15・通訳),0)*_15・２人),0)*(1+_15・A深夜)),0)*(1+_15・盲ろう)),0)*(1+_15・区３)),0)</f>
        <v>1714</v>
      </c>
      <c r="X158" s="48"/>
    </row>
    <row r="159" spans="1:24" ht="16.5" customHeight="1" x14ac:dyDescent="0.15">
      <c r="A159" s="41">
        <v>15</v>
      </c>
      <c r="B159" s="41" t="s">
        <v>30642</v>
      </c>
      <c r="C159" s="74" t="s">
        <v>30643</v>
      </c>
      <c r="D159" s="72"/>
      <c r="F159" s="57"/>
      <c r="G159" s="35"/>
      <c r="J159" s="163"/>
      <c r="K159" s="45"/>
      <c r="L159" s="46"/>
      <c r="M159" s="512"/>
      <c r="N159" s="57"/>
      <c r="O159" s="53"/>
      <c r="P159" s="49"/>
      <c r="Q159" s="50"/>
      <c r="R159" s="115"/>
      <c r="S159" s="114" t="s">
        <v>17580</v>
      </c>
      <c r="T159" s="49"/>
      <c r="U159" s="50"/>
      <c r="V159" s="115"/>
      <c r="W159" s="208">
        <f>ROUND((ROUND((ROUND((_15_同援日増６．５*_15・通訳),0)*(1+_15・A深夜)),0)*(1+_15・区４)),0)</f>
        <v>1599</v>
      </c>
      <c r="X159" s="48"/>
    </row>
    <row r="160" spans="1:24" ht="16.5" customHeight="1" x14ac:dyDescent="0.15">
      <c r="A160" s="41">
        <v>15</v>
      </c>
      <c r="B160" s="41" t="s">
        <v>30644</v>
      </c>
      <c r="C160" s="74" t="s">
        <v>30645</v>
      </c>
      <c r="D160" s="72"/>
      <c r="F160" s="57"/>
      <c r="G160" s="35"/>
      <c r="J160" s="299" t="s">
        <v>17556</v>
      </c>
      <c r="K160" s="45" t="s">
        <v>398</v>
      </c>
      <c r="L160" s="46">
        <v>1</v>
      </c>
      <c r="M160" s="512"/>
      <c r="N160" s="57"/>
      <c r="O160" s="43"/>
      <c r="P160" s="37"/>
      <c r="Q160" s="38"/>
      <c r="R160" s="79"/>
      <c r="S160" s="92" t="s">
        <v>17572</v>
      </c>
      <c r="V160" s="57"/>
      <c r="W160" s="208">
        <f>ROUND((ROUND((ROUND((ROUND((_15_同援日増６．５*_15・通訳),0)*_15・２人),0)*(1+_15・A深夜)),0)*(1+_15・区４)),0)</f>
        <v>1599</v>
      </c>
      <c r="X160" s="48"/>
    </row>
    <row r="161" spans="1:24" ht="16.5" customHeight="1" x14ac:dyDescent="0.15">
      <c r="A161" s="41">
        <v>15</v>
      </c>
      <c r="B161" s="41" t="s">
        <v>30646</v>
      </c>
      <c r="C161" s="74" t="s">
        <v>30647</v>
      </c>
      <c r="D161" s="72"/>
      <c r="F161" s="57"/>
      <c r="G161" s="35"/>
      <c r="J161" s="163"/>
      <c r="K161" s="45"/>
      <c r="L161" s="46"/>
      <c r="M161" s="512"/>
      <c r="N161" s="57"/>
      <c r="O161" s="114" t="s">
        <v>17562</v>
      </c>
      <c r="P161" s="49"/>
      <c r="Q161" s="50"/>
      <c r="R161" s="115"/>
      <c r="S161" s="35"/>
      <c r="T161" s="12" t="s">
        <v>398</v>
      </c>
      <c r="U161" s="13">
        <v>0.4</v>
      </c>
      <c r="V161" s="57" t="s">
        <v>3575</v>
      </c>
      <c r="W161" s="208">
        <f>ROUND((ROUND((ROUND((ROUND((_15_同援日増６．５*_15・通訳),0)*(1+_15・A深夜)),0)*(1+_15・盲ろう)),0)*(1+_15・区４)),0)</f>
        <v>1999</v>
      </c>
      <c r="X161" s="48"/>
    </row>
    <row r="162" spans="1:24" ht="16.5" customHeight="1" x14ac:dyDescent="0.15">
      <c r="A162" s="41">
        <v>15</v>
      </c>
      <c r="B162" s="41" t="s">
        <v>30648</v>
      </c>
      <c r="C162" s="74" t="s">
        <v>30649</v>
      </c>
      <c r="D162" s="122"/>
      <c r="E162" s="37"/>
      <c r="F162" s="79"/>
      <c r="G162" s="43"/>
      <c r="H162" s="37"/>
      <c r="I162" s="38"/>
      <c r="J162" s="299" t="s">
        <v>17556</v>
      </c>
      <c r="K162" s="45" t="s">
        <v>398</v>
      </c>
      <c r="L162" s="46">
        <v>1</v>
      </c>
      <c r="M162" s="514"/>
      <c r="N162" s="79"/>
      <c r="O162" s="269" t="s">
        <v>17564</v>
      </c>
      <c r="P162" s="37" t="s">
        <v>398</v>
      </c>
      <c r="Q162" s="38">
        <v>0.25</v>
      </c>
      <c r="R162" s="79" t="s">
        <v>3575</v>
      </c>
      <c r="S162" s="43"/>
      <c r="T162" s="37"/>
      <c r="U162" s="38"/>
      <c r="V162" s="79"/>
      <c r="W162" s="208">
        <f>ROUND((ROUND((ROUND((ROUND((ROUND((_15_同援日増６．５*_15・通訳),0)*_15・２人),0)*(1+_15・A深夜)),0)*(1+_15・盲ろう)),0)*(1+_15・区４)),0)</f>
        <v>1999</v>
      </c>
      <c r="X162" s="63"/>
    </row>
    <row r="163" spans="1:24" ht="16.5" customHeight="1" x14ac:dyDescent="0.15"/>
    <row r="164" spans="1:24" ht="16.5" customHeight="1" x14ac:dyDescent="0.15"/>
  </sheetData>
  <phoneticPr fontId="1"/>
  <printOptions horizontalCentered="1"/>
  <pageMargins left="0.59055118110236227" right="0.59055118110236227" top="0.62992125984251968" bottom="0.39370078740157483" header="0.51181102362204722" footer="0.31496062992125984"/>
  <pageSetup paperSize="9" scale="45" fitToHeight="0" orientation="portrait" r:id="rId1"/>
  <headerFooter>
    <oddHeader>&amp;R&amp;"ＭＳ Ｐゴシック"&amp;9同行援護</oddHeader>
    <oddFooter>&amp;C&amp;"ＭＳ Ｐゴシック"&amp;14&amp;P</oddFooter>
  </headerFooter>
  <rowBreaks count="1" manualBreakCount="1">
    <brk id="10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AC181"/>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9.875" style="10" customWidth="1"/>
    <col min="4" max="4" width="4.875" style="10" customWidth="1"/>
    <col min="5" max="5" width="5.5" style="117" bestFit="1" customWidth="1"/>
    <col min="6" max="6" width="4.875" style="10" customWidth="1"/>
    <col min="7" max="7" width="5.5" style="117" bestFit="1" customWidth="1"/>
    <col min="8" max="8" width="4.875" style="10" customWidth="1"/>
    <col min="9" max="9" width="5.5" style="117" bestFit="1" customWidth="1"/>
    <col min="10" max="10" width="11.875" style="12" customWidth="1"/>
    <col min="11" max="11" width="3.5" style="12" bestFit="1" customWidth="1"/>
    <col min="12" max="12" width="4.5" style="13" bestFit="1" customWidth="1"/>
    <col min="13" max="13" width="24.875" style="14" bestFit="1" customWidth="1"/>
    <col min="14" max="14" width="3.5" style="12" bestFit="1" customWidth="1"/>
    <col min="15" max="15" width="5.5" style="13" bestFit="1" customWidth="1"/>
    <col min="16" max="16" width="3.5" style="12" bestFit="1" customWidth="1"/>
    <col min="17" max="17" width="4.5" style="13" bestFit="1" customWidth="1"/>
    <col min="18" max="18" width="5.5" style="12" bestFit="1" customWidth="1"/>
    <col min="19" max="19" width="3.5" style="12" bestFit="1" customWidth="1"/>
    <col min="20" max="20" width="4.5" style="13" bestFit="1" customWidth="1"/>
    <col min="21" max="21" width="5.5" style="12" bestFit="1" customWidth="1"/>
    <col min="22" max="22" width="3.5" style="12" bestFit="1" customWidth="1"/>
    <col min="23" max="23" width="4.5" style="13" bestFit="1" customWidth="1"/>
    <col min="24" max="24" width="5.5" style="12" bestFit="1" customWidth="1"/>
    <col min="25" max="25" width="9.875" style="12" customWidth="1"/>
    <col min="26" max="26" width="4.5" style="12" bestFit="1" customWidth="1"/>
    <col min="27" max="27" width="7.125" style="15" customWidth="1"/>
    <col min="28" max="28" width="8.5" style="16" customWidth="1"/>
    <col min="29" max="16384" width="8.875" style="12"/>
  </cols>
  <sheetData>
    <row r="1" spans="1:28" ht="17.100000000000001" customHeight="1" x14ac:dyDescent="0.15">
      <c r="D1" s="11"/>
      <c r="E1" s="12"/>
      <c r="F1" s="11"/>
      <c r="G1" s="12"/>
      <c r="H1" s="11"/>
      <c r="I1" s="12"/>
    </row>
    <row r="2" spans="1:28" ht="17.100000000000001" customHeight="1" x14ac:dyDescent="0.15"/>
    <row r="3" spans="1:28" ht="17.100000000000001" customHeight="1" x14ac:dyDescent="0.15"/>
    <row r="4" spans="1:28" ht="17.100000000000001" customHeight="1" x14ac:dyDescent="0.15">
      <c r="B4" s="17" t="s">
        <v>2407</v>
      </c>
      <c r="D4" s="71"/>
    </row>
    <row r="5" spans="1:28" ht="16.5" customHeight="1" x14ac:dyDescent="0.15">
      <c r="A5" s="19" t="s">
        <v>384</v>
      </c>
      <c r="B5" s="20"/>
      <c r="C5" s="21" t="s">
        <v>385</v>
      </c>
      <c r="D5" s="23" t="s">
        <v>386</v>
      </c>
      <c r="E5" s="118"/>
      <c r="F5" s="23"/>
      <c r="G5" s="118"/>
      <c r="H5" s="23"/>
      <c r="I5" s="118"/>
      <c r="J5" s="23"/>
      <c r="K5" s="23"/>
      <c r="L5" s="24"/>
      <c r="M5" s="23"/>
      <c r="N5" s="23"/>
      <c r="O5" s="24"/>
      <c r="P5" s="23"/>
      <c r="Q5" s="24"/>
      <c r="R5" s="23"/>
      <c r="S5" s="23"/>
      <c r="T5" s="24"/>
      <c r="U5" s="23"/>
      <c r="V5" s="23"/>
      <c r="W5" s="24"/>
      <c r="X5" s="23"/>
      <c r="Y5" s="23"/>
      <c r="Z5" s="23"/>
      <c r="AA5" s="25" t="s">
        <v>387</v>
      </c>
      <c r="AB5" s="21" t="s">
        <v>388</v>
      </c>
    </row>
    <row r="6" spans="1:28" ht="16.5" customHeight="1" x14ac:dyDescent="0.15">
      <c r="A6" s="26" t="s">
        <v>389</v>
      </c>
      <c r="B6" s="26" t="s">
        <v>390</v>
      </c>
      <c r="C6" s="27"/>
      <c r="D6" s="29"/>
      <c r="E6" s="120"/>
      <c r="F6" s="87" t="s">
        <v>1032</v>
      </c>
      <c r="G6" s="124"/>
      <c r="H6" s="87" t="s">
        <v>1033</v>
      </c>
      <c r="I6" s="119"/>
      <c r="J6" s="29"/>
      <c r="K6" s="29"/>
      <c r="L6" s="30"/>
      <c r="M6" s="29"/>
      <c r="N6" s="29"/>
      <c r="O6" s="30"/>
      <c r="P6" s="29"/>
      <c r="Q6" s="30"/>
      <c r="R6" s="29"/>
      <c r="S6" s="29"/>
      <c r="T6" s="30"/>
      <c r="U6" s="29"/>
      <c r="V6" s="29"/>
      <c r="W6" s="30"/>
      <c r="X6" s="29"/>
      <c r="Y6" s="29"/>
      <c r="Z6" s="29"/>
      <c r="AA6" s="31" t="s">
        <v>391</v>
      </c>
      <c r="AB6" s="32" t="s">
        <v>392</v>
      </c>
    </row>
    <row r="7" spans="1:28" ht="16.5" customHeight="1" x14ac:dyDescent="0.15">
      <c r="A7" s="33">
        <v>11</v>
      </c>
      <c r="B7" s="33">
        <v>1743</v>
      </c>
      <c r="C7" s="34" t="s">
        <v>2408</v>
      </c>
      <c r="D7" s="709" t="s">
        <v>394</v>
      </c>
      <c r="E7" s="718"/>
      <c r="F7" s="709" t="s">
        <v>2409</v>
      </c>
      <c r="G7" s="718"/>
      <c r="H7" s="709" t="s">
        <v>1617</v>
      </c>
      <c r="I7" s="718"/>
      <c r="J7" s="35"/>
      <c r="M7" s="36"/>
      <c r="N7" s="37"/>
      <c r="O7" s="38"/>
      <c r="P7" s="35"/>
      <c r="R7" s="57"/>
      <c r="S7" s="72" t="s">
        <v>1416</v>
      </c>
      <c r="U7" s="57"/>
      <c r="V7" s="72" t="s">
        <v>1618</v>
      </c>
      <c r="X7" s="57"/>
      <c r="Y7" s="35"/>
      <c r="AA7" s="39">
        <f>_11_A身体０．５+ROUND((_11_B身体０．５＿２．０*(1+_11・B夜間)),0)+ROUND((_11_C身体０．５＿２．０＿０．５*(1+_11・C深夜)),0)</f>
        <v>999</v>
      </c>
      <c r="AB7" s="40" t="s">
        <v>395</v>
      </c>
    </row>
    <row r="8" spans="1:28" ht="16.5" customHeight="1" x14ac:dyDescent="0.15">
      <c r="A8" s="41">
        <v>11</v>
      </c>
      <c r="B8" s="41">
        <v>1744</v>
      </c>
      <c r="C8" s="42" t="s">
        <v>2410</v>
      </c>
      <c r="D8" s="709"/>
      <c r="E8" s="718"/>
      <c r="F8" s="709"/>
      <c r="G8" s="718"/>
      <c r="H8" s="709"/>
      <c r="I8" s="718"/>
      <c r="J8" s="43"/>
      <c r="K8" s="37"/>
      <c r="L8" s="38"/>
      <c r="M8" s="44" t="s">
        <v>397</v>
      </c>
      <c r="N8" s="45" t="s">
        <v>398</v>
      </c>
      <c r="O8" s="46">
        <v>1</v>
      </c>
      <c r="P8" s="35"/>
      <c r="R8" s="57"/>
      <c r="S8" s="12" t="s">
        <v>398</v>
      </c>
      <c r="T8" s="13">
        <v>0.25</v>
      </c>
      <c r="U8" s="728" t="s">
        <v>676</v>
      </c>
      <c r="V8" s="12" t="s">
        <v>398</v>
      </c>
      <c r="W8" s="13">
        <v>0.5</v>
      </c>
      <c r="X8" s="728" t="s">
        <v>676</v>
      </c>
      <c r="Y8" s="35"/>
      <c r="AA8" s="47">
        <f>ROUND((_11_A身体０．５*_11・２人),0)+ROUND((ROUND((_11_B身体０．５＿２．０*_11・２人),0)*(1+_11・B夜間)),0)+ROUND((ROUND((_11_C身体０．５＿２．０＿０．５*_11・２人),0)*(1+_11・C深夜)),0)</f>
        <v>999</v>
      </c>
      <c r="AB8" s="48"/>
    </row>
    <row r="9" spans="1:28" ht="16.5" customHeight="1" x14ac:dyDescent="0.15">
      <c r="A9" s="41">
        <v>11</v>
      </c>
      <c r="B9" s="41">
        <v>1745</v>
      </c>
      <c r="C9" s="42" t="s">
        <v>2411</v>
      </c>
      <c r="D9" s="709"/>
      <c r="E9" s="718"/>
      <c r="F9" s="709"/>
      <c r="G9" s="718"/>
      <c r="H9" s="709"/>
      <c r="I9" s="718"/>
      <c r="J9" s="705" t="s">
        <v>400</v>
      </c>
      <c r="K9" s="49" t="s">
        <v>398</v>
      </c>
      <c r="L9" s="50">
        <v>0.7</v>
      </c>
      <c r="M9" s="44"/>
      <c r="N9" s="45"/>
      <c r="O9" s="46"/>
      <c r="P9" s="35"/>
      <c r="R9" s="57"/>
      <c r="U9" s="728"/>
      <c r="X9" s="728"/>
      <c r="Y9" s="35"/>
      <c r="AA9" s="47">
        <f>ROUND((_11_A身体０．５*_11・基礎１),0)+ROUND((ROUND((_11_B身体０．５＿２．０*_11・基礎１),0)*(1+_11・B夜間)),0)+ROUND((ROUND((_11_C身体０．５＿２．０＿０．５*_11・基礎１),0)*(1+_11・C深夜)),0)</f>
        <v>700</v>
      </c>
      <c r="AB9" s="48"/>
    </row>
    <row r="10" spans="1:28" ht="16.5" customHeight="1" x14ac:dyDescent="0.15">
      <c r="A10" s="41">
        <v>11</v>
      </c>
      <c r="B10" s="41">
        <v>1746</v>
      </c>
      <c r="C10" s="42" t="s">
        <v>2412</v>
      </c>
      <c r="D10" s="100">
        <f>_11_A身体０．５</f>
        <v>255</v>
      </c>
      <c r="E10" s="12" t="s">
        <v>392</v>
      </c>
      <c r="F10" s="100">
        <f>_11_B身体０．５＿２．０</f>
        <v>495</v>
      </c>
      <c r="G10" s="12" t="s">
        <v>392</v>
      </c>
      <c r="H10" s="100">
        <f>_11_C身体０．５＿２．０＿０．５</f>
        <v>83</v>
      </c>
      <c r="I10" s="12" t="s">
        <v>392</v>
      </c>
      <c r="J10" s="711"/>
      <c r="K10" s="37"/>
      <c r="L10" s="38"/>
      <c r="M10" s="44" t="s">
        <v>397</v>
      </c>
      <c r="N10" s="45" t="s">
        <v>398</v>
      </c>
      <c r="O10" s="46">
        <v>1</v>
      </c>
      <c r="P10" s="35"/>
      <c r="R10" s="57"/>
      <c r="U10" s="57"/>
      <c r="X10" s="57"/>
      <c r="Y10" s="43"/>
      <c r="Z10" s="37"/>
      <c r="AA10" s="47">
        <f>ROUND((ROUND((_11_A身体０．５*_11・基礎１),0)*_11・２人),0)+ROUND((ROUND((ROUND((_11_B身体０．５＿２．０*_11・基礎１),0)*_11・２人),0)*(1+_11・B夜間)),0)+ROUND((ROUND((ROUND((_11_C身体０．５＿２．０＿０．５*_11・基礎１),0)*_11・２人),0)*(1+_11・C深夜)),0)</f>
        <v>700</v>
      </c>
      <c r="AB10" s="48"/>
    </row>
    <row r="11" spans="1:28" ht="16.5" customHeight="1" x14ac:dyDescent="0.15">
      <c r="A11" s="41">
        <v>11</v>
      </c>
      <c r="B11" s="41" t="s">
        <v>2413</v>
      </c>
      <c r="C11" s="42" t="s">
        <v>2414</v>
      </c>
      <c r="D11" s="121"/>
      <c r="E11" s="99"/>
      <c r="F11" s="121"/>
      <c r="G11" s="99"/>
      <c r="H11" s="121"/>
      <c r="I11" s="99"/>
      <c r="J11" s="53"/>
      <c r="K11" s="49"/>
      <c r="L11" s="50"/>
      <c r="M11" s="44"/>
      <c r="N11" s="45"/>
      <c r="O11" s="46"/>
      <c r="P11" s="35"/>
      <c r="R11" s="57"/>
      <c r="U11" s="57"/>
      <c r="X11" s="57"/>
      <c r="Y11" s="707" t="s">
        <v>404</v>
      </c>
      <c r="Z11" s="708"/>
      <c r="AA11" s="47">
        <f>ROUND((_11_A身体０．５*_11・初任),0)+ROUND((ROUND((_11_B身体０．５＿２．０*(1+_11・B夜間)),0)*_11・初任),0)+ROUND((ROUND((_11_C身体０．５＿２．０＿０．５*(1+_11・C深夜)),0)*_11・初任),0)</f>
        <v>700</v>
      </c>
      <c r="AB11" s="48"/>
    </row>
    <row r="12" spans="1:28" ht="16.5" customHeight="1" x14ac:dyDescent="0.15">
      <c r="A12" s="41">
        <v>11</v>
      </c>
      <c r="B12" s="41" t="s">
        <v>2415</v>
      </c>
      <c r="C12" s="42" t="s">
        <v>2416</v>
      </c>
      <c r="D12" s="121"/>
      <c r="E12" s="99"/>
      <c r="F12" s="121"/>
      <c r="G12" s="99"/>
      <c r="H12" s="121"/>
      <c r="I12" s="99"/>
      <c r="J12" s="43"/>
      <c r="K12" s="37"/>
      <c r="L12" s="38"/>
      <c r="M12" s="44" t="s">
        <v>397</v>
      </c>
      <c r="N12" s="45" t="s">
        <v>398</v>
      </c>
      <c r="O12" s="46">
        <v>1</v>
      </c>
      <c r="P12" s="35"/>
      <c r="R12" s="57"/>
      <c r="U12" s="57"/>
      <c r="X12" s="57"/>
      <c r="Y12" s="709"/>
      <c r="Z12" s="704"/>
      <c r="AA12" s="47">
        <f>ROUND((ROUND((_11_A身体０．５*_11・２人),0)*_11・初任),0)+ROUND((ROUND((ROUND((_11_B身体０．５＿２．０*_11・２人),0)*(1+_11・B夜間)),0)*_11・初任),0)+ROUND((ROUND((ROUND((_11_C身体０．５＿２．０＿０．５*_11・２人),0)*(1+_11・C深夜)),0)*_11・初任),0)</f>
        <v>700</v>
      </c>
      <c r="AB12" s="48"/>
    </row>
    <row r="13" spans="1:28" ht="16.5" customHeight="1" x14ac:dyDescent="0.15">
      <c r="A13" s="41">
        <v>11</v>
      </c>
      <c r="B13" s="41" t="s">
        <v>2417</v>
      </c>
      <c r="C13" s="42" t="s">
        <v>2418</v>
      </c>
      <c r="D13" s="72"/>
      <c r="E13" s="99"/>
      <c r="F13" s="72"/>
      <c r="G13" s="99"/>
      <c r="H13" s="72"/>
      <c r="I13" s="99"/>
      <c r="J13" s="705" t="s">
        <v>400</v>
      </c>
      <c r="K13" s="49" t="s">
        <v>398</v>
      </c>
      <c r="L13" s="50">
        <v>0.7</v>
      </c>
      <c r="M13" s="44"/>
      <c r="N13" s="45"/>
      <c r="O13" s="46"/>
      <c r="P13" s="35"/>
      <c r="R13" s="57"/>
      <c r="U13" s="57"/>
      <c r="X13" s="57"/>
      <c r="Y13" s="709"/>
      <c r="Z13" s="704"/>
      <c r="AA13" s="47">
        <f>ROUND((ROUND((_11_A身体０．５*_11・基礎１),0)*_11・初任),0)+ROUND((ROUND((ROUND((_11_B身体０．５＿２．０*_11・基礎１),0)*(1+_11・B夜間)),0)*_11・初任),0)+ROUND((ROUND((ROUND((_11_C身体０．５＿２．０＿０．５*_11・基礎１),0)*(1+_11・C深夜)),0)*_11・初任),0)</f>
        <v>490</v>
      </c>
      <c r="AB13" s="48"/>
    </row>
    <row r="14" spans="1:28" ht="16.5" customHeight="1" x14ac:dyDescent="0.15">
      <c r="A14" s="41">
        <v>11</v>
      </c>
      <c r="B14" s="41" t="s">
        <v>2419</v>
      </c>
      <c r="C14" s="42" t="s">
        <v>2420</v>
      </c>
      <c r="D14" s="72"/>
      <c r="E14" s="99"/>
      <c r="F14" s="72"/>
      <c r="G14" s="99"/>
      <c r="H14" s="72"/>
      <c r="I14" s="99"/>
      <c r="J14" s="711"/>
      <c r="K14" s="37"/>
      <c r="L14" s="38"/>
      <c r="M14" s="44" t="s">
        <v>397</v>
      </c>
      <c r="N14" s="45" t="s">
        <v>398</v>
      </c>
      <c r="O14" s="46">
        <v>1</v>
      </c>
      <c r="P14" s="35"/>
      <c r="R14" s="57"/>
      <c r="U14" s="57"/>
      <c r="X14" s="57"/>
      <c r="Y14" s="55" t="s">
        <v>398</v>
      </c>
      <c r="Z14" s="38">
        <f>_11・初任</f>
        <v>0.7</v>
      </c>
      <c r="AA14" s="47">
        <f>ROUND((ROUND((ROUND((_11_A身体０．５*_11・基礎１),0)*_11・２人),0)*_11・初任),0)+ROUND((ROUND((ROUND((ROUND((_11_B身体０．５＿２．０*_11・基礎１),0)*_11・２人),0)*(1+_11・B夜間)),0)*_11・初任),0)+ROUND((ROUND((ROUND((ROUND((_11_C身体０．５＿２．０＿０．５*_11・基礎１),0)*_11・２人),0)*(1+_11・C深夜)),0)*_11・初任),0)</f>
        <v>490</v>
      </c>
      <c r="AB14" s="48"/>
    </row>
    <row r="15" spans="1:28" ht="16.5" customHeight="1" x14ac:dyDescent="0.15">
      <c r="A15" s="41">
        <v>11</v>
      </c>
      <c r="B15" s="41">
        <v>1747</v>
      </c>
      <c r="C15" s="42" t="s">
        <v>2421</v>
      </c>
      <c r="D15" s="72"/>
      <c r="E15" s="12"/>
      <c r="F15" s="707" t="s">
        <v>2422</v>
      </c>
      <c r="G15" s="717"/>
      <c r="H15" s="707" t="s">
        <v>1617</v>
      </c>
      <c r="I15" s="717"/>
      <c r="J15" s="53"/>
      <c r="K15" s="49"/>
      <c r="L15" s="50"/>
      <c r="M15" s="44"/>
      <c r="N15" s="45"/>
      <c r="O15" s="46"/>
      <c r="P15" s="35"/>
      <c r="R15" s="57"/>
      <c r="U15" s="57"/>
      <c r="X15" s="57"/>
      <c r="Y15" s="53"/>
      <c r="Z15" s="49"/>
      <c r="AA15" s="47">
        <f>_11_A身体０．５+ROUND((_11_B身体０．５＿１．５*(1+_11・B夜間)),0)+ROUND((_11_C身体０．５＿１．５＿０．５*(1+_11・C深夜)),0)</f>
        <v>895</v>
      </c>
      <c r="AB15" s="48"/>
    </row>
    <row r="16" spans="1:28" ht="16.5" customHeight="1" x14ac:dyDescent="0.15">
      <c r="A16" s="41">
        <v>11</v>
      </c>
      <c r="B16" s="41">
        <v>1748</v>
      </c>
      <c r="C16" s="42" t="s">
        <v>2423</v>
      </c>
      <c r="D16" s="72"/>
      <c r="E16" s="12"/>
      <c r="F16" s="709"/>
      <c r="G16" s="718"/>
      <c r="H16" s="709"/>
      <c r="I16" s="718"/>
      <c r="J16" s="43"/>
      <c r="K16" s="37"/>
      <c r="L16" s="38"/>
      <c r="M16" s="44" t="s">
        <v>397</v>
      </c>
      <c r="N16" s="45" t="s">
        <v>398</v>
      </c>
      <c r="O16" s="46">
        <v>1</v>
      </c>
      <c r="P16" s="35"/>
      <c r="R16" s="57"/>
      <c r="U16" s="57"/>
      <c r="X16" s="57"/>
      <c r="Y16" s="35"/>
      <c r="AA16" s="47">
        <f>ROUND((_11_A身体０．５*_11・２人),0)+ROUND((ROUND((_11_B身体０．５＿１．５*_11・２人),0)*(1+_11・B夜間)),0)+ROUND((ROUND((_11_C身体０．５＿１．５＿０．５*_11・２人),0)*(1+_11・C深夜)),0)</f>
        <v>895</v>
      </c>
      <c r="AB16" s="48"/>
    </row>
    <row r="17" spans="1:28" ht="16.5" customHeight="1" x14ac:dyDescent="0.15">
      <c r="A17" s="41">
        <v>11</v>
      </c>
      <c r="B17" s="41">
        <v>1749</v>
      </c>
      <c r="C17" s="42" t="s">
        <v>2424</v>
      </c>
      <c r="D17" s="72"/>
      <c r="E17" s="99"/>
      <c r="F17" s="709"/>
      <c r="G17" s="718"/>
      <c r="H17" s="709"/>
      <c r="I17" s="718"/>
      <c r="J17" s="705" t="s">
        <v>400</v>
      </c>
      <c r="K17" s="49" t="s">
        <v>398</v>
      </c>
      <c r="L17" s="50">
        <v>0.7</v>
      </c>
      <c r="M17" s="44"/>
      <c r="N17" s="45"/>
      <c r="O17" s="46"/>
      <c r="P17" s="35"/>
      <c r="R17" s="57"/>
      <c r="U17" s="57"/>
      <c r="X17" s="57"/>
      <c r="Y17" s="35"/>
      <c r="AA17" s="47">
        <f>ROUND((_11_A身体０．５*_11・基礎１),0)+ROUND((ROUND((_11_B身体０．５＿１．５*_11・基礎１),0)*(1+_11・B夜間)),0)+ROUND((ROUND((_11_C身体０．５＿１．５＿０．５*_11・基礎１),0)*(1+_11・C深夜)),0)</f>
        <v>628</v>
      </c>
      <c r="AB17" s="48"/>
    </row>
    <row r="18" spans="1:28" ht="16.5" customHeight="1" x14ac:dyDescent="0.15">
      <c r="A18" s="41">
        <v>11</v>
      </c>
      <c r="B18" s="41">
        <v>1750</v>
      </c>
      <c r="C18" s="42" t="s">
        <v>2425</v>
      </c>
      <c r="D18" s="72"/>
      <c r="E18" s="99"/>
      <c r="F18" s="100">
        <f>_11_B身体０．５＿１．５</f>
        <v>411</v>
      </c>
      <c r="G18" s="12" t="s">
        <v>392</v>
      </c>
      <c r="H18" s="100">
        <f>_11_C身体０．５＿１．５＿０．５</f>
        <v>84</v>
      </c>
      <c r="I18" s="12" t="s">
        <v>392</v>
      </c>
      <c r="J18" s="711"/>
      <c r="K18" s="37"/>
      <c r="L18" s="38"/>
      <c r="M18" s="44" t="s">
        <v>397</v>
      </c>
      <c r="N18" s="45" t="s">
        <v>398</v>
      </c>
      <c r="O18" s="46">
        <v>1</v>
      </c>
      <c r="P18" s="35"/>
      <c r="R18" s="57"/>
      <c r="U18" s="57"/>
      <c r="X18" s="57"/>
      <c r="Y18" s="43"/>
      <c r="Z18" s="37"/>
      <c r="AA18" s="47">
        <f>ROUND((ROUND((_11_A身体０．５*_11・基礎１),0)*_11・２人),0)+ROUND((ROUND((ROUND((_11_B身体０．５＿１．５*_11・基礎１),0)*_11・２人),0)*(1+_11・B夜間)),0)+ROUND((ROUND((ROUND((_11_C身体０．５＿１．５＿０．５*_11・基礎１),0)*_11・２人),0)*(1+_11・C深夜)),0)</f>
        <v>628</v>
      </c>
      <c r="AB18" s="48"/>
    </row>
    <row r="19" spans="1:28" ht="16.5" customHeight="1" x14ac:dyDescent="0.15">
      <c r="A19" s="41">
        <v>11</v>
      </c>
      <c r="B19" s="41" t="s">
        <v>2426</v>
      </c>
      <c r="C19" s="42" t="s">
        <v>2427</v>
      </c>
      <c r="D19" s="72"/>
      <c r="E19" s="99"/>
      <c r="F19" s="143"/>
      <c r="G19" s="99"/>
      <c r="H19" s="72"/>
      <c r="I19" s="99"/>
      <c r="J19" s="53"/>
      <c r="K19" s="49"/>
      <c r="L19" s="50"/>
      <c r="M19" s="44"/>
      <c r="N19" s="45"/>
      <c r="O19" s="46"/>
      <c r="P19" s="35"/>
      <c r="R19" s="57"/>
      <c r="U19" s="57"/>
      <c r="X19" s="57"/>
      <c r="Y19" s="707" t="s">
        <v>404</v>
      </c>
      <c r="Z19" s="708"/>
      <c r="AA19" s="47">
        <f>ROUND((_11_A身体０．５*_11・初任),0)+ROUND((ROUND((_11_B身体０．５＿１．５*(1+_11・B夜間)),0)*_11・初任),0)+ROUND((ROUND((_11_C身体０．５＿１．５＿０．５*(1+_11・C深夜)),0)*_11・初任),0)</f>
        <v>627</v>
      </c>
      <c r="AB19" s="48"/>
    </row>
    <row r="20" spans="1:28" ht="16.5" customHeight="1" x14ac:dyDescent="0.15">
      <c r="A20" s="41">
        <v>11</v>
      </c>
      <c r="B20" s="41" t="s">
        <v>2428</v>
      </c>
      <c r="C20" s="42" t="s">
        <v>2429</v>
      </c>
      <c r="D20" s="72"/>
      <c r="E20" s="99"/>
      <c r="F20" s="143"/>
      <c r="G20" s="99"/>
      <c r="H20" s="72"/>
      <c r="I20" s="99"/>
      <c r="J20" s="43"/>
      <c r="K20" s="37"/>
      <c r="L20" s="38"/>
      <c r="M20" s="44" t="s">
        <v>397</v>
      </c>
      <c r="N20" s="45" t="s">
        <v>398</v>
      </c>
      <c r="O20" s="46">
        <v>1</v>
      </c>
      <c r="P20" s="35"/>
      <c r="R20" s="57"/>
      <c r="U20" s="57"/>
      <c r="X20" s="57"/>
      <c r="Y20" s="709"/>
      <c r="Z20" s="704"/>
      <c r="AA20" s="47">
        <f>ROUND((ROUND((_11_A身体０．５*_11・２人),0)*_11・初任),0)+ROUND((ROUND((ROUND((_11_B身体０．５＿１．５*_11・２人),0)*(1+_11・B夜間)),0)*_11・初任),0)+ROUND((ROUND((ROUND((_11_C身体０．５＿１．５＿０．５*_11・２人),0)*(1+_11・C深夜)),0)*_11・初任),0)</f>
        <v>627</v>
      </c>
      <c r="AB20" s="48"/>
    </row>
    <row r="21" spans="1:28" ht="16.5" customHeight="1" x14ac:dyDescent="0.15">
      <c r="A21" s="41">
        <v>11</v>
      </c>
      <c r="B21" s="41" t="s">
        <v>2430</v>
      </c>
      <c r="C21" s="42" t="s">
        <v>2431</v>
      </c>
      <c r="D21" s="72"/>
      <c r="E21" s="99"/>
      <c r="F21" s="72"/>
      <c r="G21" s="99"/>
      <c r="H21" s="72"/>
      <c r="I21" s="99"/>
      <c r="J21" s="705" t="s">
        <v>400</v>
      </c>
      <c r="K21" s="49" t="s">
        <v>398</v>
      </c>
      <c r="L21" s="50">
        <v>0.7</v>
      </c>
      <c r="M21" s="44"/>
      <c r="N21" s="45"/>
      <c r="O21" s="46"/>
      <c r="P21" s="35"/>
      <c r="R21" s="57"/>
      <c r="U21" s="57"/>
      <c r="X21" s="57"/>
      <c r="Y21" s="709"/>
      <c r="Z21" s="704"/>
      <c r="AA21" s="47">
        <f>ROUND((ROUND((_11_A身体０．５*_11・基礎１),0)*_11・初任),0)+ROUND((ROUND((ROUND((_11_B身体０．５＿１．５*_11・基礎１),0)*(1+_11・B夜間)),0)*_11・初任),0)+ROUND((ROUND((ROUND((_11_C身体０．５＿１．５＿０．５*_11・基礎１),0)*(1+_11・C深夜)),0)*_11・初任),0)</f>
        <v>439</v>
      </c>
      <c r="AB21" s="48"/>
    </row>
    <row r="22" spans="1:28" ht="16.5" customHeight="1" x14ac:dyDescent="0.15">
      <c r="A22" s="41">
        <v>11</v>
      </c>
      <c r="B22" s="41" t="s">
        <v>2432</v>
      </c>
      <c r="C22" s="42" t="s">
        <v>2433</v>
      </c>
      <c r="D22" s="72"/>
      <c r="E22" s="99"/>
      <c r="F22" s="72"/>
      <c r="G22" s="99"/>
      <c r="H22" s="72"/>
      <c r="I22" s="99"/>
      <c r="J22" s="711"/>
      <c r="K22" s="37"/>
      <c r="L22" s="38"/>
      <c r="M22" s="44" t="s">
        <v>397</v>
      </c>
      <c r="N22" s="45" t="s">
        <v>398</v>
      </c>
      <c r="O22" s="46">
        <v>1</v>
      </c>
      <c r="P22" s="35"/>
      <c r="R22" s="57"/>
      <c r="U22" s="57"/>
      <c r="X22" s="57"/>
      <c r="Y22" s="55" t="s">
        <v>398</v>
      </c>
      <c r="Z22" s="38">
        <f>_11・初任</f>
        <v>0.7</v>
      </c>
      <c r="AA22" s="47">
        <f>ROUND((ROUND((ROUND((_11_A身体０．５*_11・基礎１),0)*_11・２人),0)*_11・初任),0)+ROUND((ROUND((ROUND((ROUND((_11_B身体０．５＿１．５*_11・基礎１),0)*_11・２人),0)*(1+_11・B夜間)),0)*_11・初任),0)+ROUND((ROUND((ROUND((ROUND((_11_C身体０．５＿１．５＿０．５*_11・基礎１),0)*_11・２人),0)*(1+_11・C深夜)),0)*_11・初任),0)</f>
        <v>439</v>
      </c>
      <c r="AB22" s="48"/>
    </row>
    <row r="23" spans="1:28" ht="16.5" customHeight="1" x14ac:dyDescent="0.15">
      <c r="A23" s="41">
        <v>11</v>
      </c>
      <c r="B23" s="41">
        <v>1751</v>
      </c>
      <c r="C23" s="42" t="s">
        <v>2434</v>
      </c>
      <c r="D23" s="72"/>
      <c r="E23" s="99"/>
      <c r="F23" s="72"/>
      <c r="G23" s="99"/>
      <c r="H23" s="707" t="s">
        <v>1695</v>
      </c>
      <c r="I23" s="717"/>
      <c r="J23" s="53"/>
      <c r="K23" s="49"/>
      <c r="L23" s="50"/>
      <c r="M23" s="44"/>
      <c r="N23" s="45"/>
      <c r="O23" s="46"/>
      <c r="P23" s="35"/>
      <c r="R23" s="57"/>
      <c r="U23" s="57"/>
      <c r="X23" s="57"/>
      <c r="Y23" s="53"/>
      <c r="Z23" s="49"/>
      <c r="AA23" s="47">
        <f>_11_A身体０．５+ROUND((_11_B身体０．５＿１．５*(1+_11・B夜間)),0)+ROUND((_11_C身体０．５＿１．５＿１．０*(1+_11・C深夜)),0)</f>
        <v>1020</v>
      </c>
      <c r="AB23" s="48"/>
    </row>
    <row r="24" spans="1:28" ht="16.5" customHeight="1" x14ac:dyDescent="0.15">
      <c r="A24" s="41">
        <v>11</v>
      </c>
      <c r="B24" s="41">
        <v>1752</v>
      </c>
      <c r="C24" s="42" t="s">
        <v>2435</v>
      </c>
      <c r="D24" s="72"/>
      <c r="E24" s="99"/>
      <c r="F24" s="72"/>
      <c r="G24" s="99"/>
      <c r="H24" s="709"/>
      <c r="I24" s="718"/>
      <c r="J24" s="43"/>
      <c r="K24" s="37"/>
      <c r="L24" s="38"/>
      <c r="M24" s="44" t="s">
        <v>397</v>
      </c>
      <c r="N24" s="45" t="s">
        <v>398</v>
      </c>
      <c r="O24" s="46">
        <v>1</v>
      </c>
      <c r="P24" s="35"/>
      <c r="R24" s="57"/>
      <c r="U24" s="57"/>
      <c r="X24" s="57"/>
      <c r="Y24" s="35"/>
      <c r="AA24" s="47">
        <f>ROUND((_11_A身体０．５*_11・２人),0)+ROUND((ROUND((_11_B身体０．５＿１．５*_11・２人),0)*(1+_11・B夜間)),0)+ROUND((ROUND((_11_C身体０．５＿１．５＿１．０*_11・２人),0)*(1+_11・C深夜)),0)</f>
        <v>1020</v>
      </c>
      <c r="AB24" s="48"/>
    </row>
    <row r="25" spans="1:28" ht="16.5" customHeight="1" x14ac:dyDescent="0.15">
      <c r="A25" s="41">
        <v>11</v>
      </c>
      <c r="B25" s="41">
        <v>1753</v>
      </c>
      <c r="C25" s="42" t="s">
        <v>2436</v>
      </c>
      <c r="D25" s="72"/>
      <c r="E25" s="99"/>
      <c r="F25" s="72"/>
      <c r="G25" s="99"/>
      <c r="H25" s="709"/>
      <c r="I25" s="718"/>
      <c r="J25" s="705" t="s">
        <v>400</v>
      </c>
      <c r="K25" s="49" t="s">
        <v>398</v>
      </c>
      <c r="L25" s="50">
        <v>0.7</v>
      </c>
      <c r="M25" s="44"/>
      <c r="N25" s="45"/>
      <c r="O25" s="46"/>
      <c r="P25" s="35"/>
      <c r="R25" s="57"/>
      <c r="U25" s="57"/>
      <c r="X25" s="57"/>
      <c r="Y25" s="35"/>
      <c r="AA25" s="47">
        <f>ROUND((_11_A身体０．５*_11・基礎１),0)+ROUND((ROUND((_11_B身体０．５＿１．５*_11・基礎１),0)*(1+_11・B夜間)),0)+ROUND((ROUND((_11_C身体０．５＿１．５＿１．０*_11・基礎１),0)*(1+_11・C深夜)),0)</f>
        <v>715</v>
      </c>
      <c r="AB25" s="48"/>
    </row>
    <row r="26" spans="1:28" ht="16.5" customHeight="1" x14ac:dyDescent="0.15">
      <c r="A26" s="41">
        <v>11</v>
      </c>
      <c r="B26" s="41">
        <v>1754</v>
      </c>
      <c r="C26" s="42" t="s">
        <v>2437</v>
      </c>
      <c r="D26" s="72"/>
      <c r="E26" s="99"/>
      <c r="F26" s="72"/>
      <c r="G26" s="99"/>
      <c r="H26" s="100">
        <f>_11_C身体０．５＿１．５＿１．０</f>
        <v>167</v>
      </c>
      <c r="I26" s="12" t="s">
        <v>392</v>
      </c>
      <c r="J26" s="711"/>
      <c r="K26" s="37"/>
      <c r="L26" s="38"/>
      <c r="M26" s="44" t="s">
        <v>397</v>
      </c>
      <c r="N26" s="45" t="s">
        <v>398</v>
      </c>
      <c r="O26" s="46">
        <v>1</v>
      </c>
      <c r="P26" s="35"/>
      <c r="R26" s="57"/>
      <c r="U26" s="57"/>
      <c r="X26" s="57"/>
      <c r="Y26" s="43"/>
      <c r="Z26" s="37"/>
      <c r="AA26" s="47">
        <f>ROUND((ROUND((_11_A身体０．５*_11・基礎１),0)*_11・２人),0)+ROUND((ROUND((ROUND((_11_B身体０．５＿１．５*_11・基礎１),0)*_11・２人),0)*(1+_11・B夜間)),0)+ROUND((ROUND((ROUND((_11_C身体０．５＿１．５＿１．０*_11・基礎１),0)*_11・２人),0)*(1+_11・C深夜)),0)</f>
        <v>715</v>
      </c>
      <c r="AB26" s="48"/>
    </row>
    <row r="27" spans="1:28" ht="16.5" customHeight="1" x14ac:dyDescent="0.15">
      <c r="A27" s="41">
        <v>11</v>
      </c>
      <c r="B27" s="41" t="s">
        <v>2438</v>
      </c>
      <c r="C27" s="42" t="s">
        <v>2439</v>
      </c>
      <c r="D27" s="72"/>
      <c r="E27" s="99"/>
      <c r="F27" s="72"/>
      <c r="G27" s="99"/>
      <c r="H27" s="121"/>
      <c r="I27" s="99"/>
      <c r="J27" s="53"/>
      <c r="K27" s="49"/>
      <c r="L27" s="50"/>
      <c r="M27" s="44"/>
      <c r="N27" s="45"/>
      <c r="O27" s="46"/>
      <c r="P27" s="35"/>
      <c r="R27" s="57"/>
      <c r="U27" s="57"/>
      <c r="X27" s="57"/>
      <c r="Y27" s="707" t="s">
        <v>404</v>
      </c>
      <c r="Z27" s="708"/>
      <c r="AA27" s="47">
        <f>ROUND((_11_A身体０．５*_11・初任),0)+ROUND((ROUND((_11_B身体０．５＿１．５*(1+_11・B夜間)),0)*_11・初任),0)+ROUND((ROUND((_11_C身体０．５＿１．５＿１．０*(1+_11・C深夜)),0)*_11・初任),0)</f>
        <v>715</v>
      </c>
      <c r="AB27" s="48"/>
    </row>
    <row r="28" spans="1:28" ht="16.5" customHeight="1" x14ac:dyDescent="0.15">
      <c r="A28" s="41">
        <v>11</v>
      </c>
      <c r="B28" s="41" t="s">
        <v>2440</v>
      </c>
      <c r="C28" s="42" t="s">
        <v>2441</v>
      </c>
      <c r="D28" s="72"/>
      <c r="E28" s="99"/>
      <c r="F28" s="72"/>
      <c r="G28" s="99"/>
      <c r="H28" s="121"/>
      <c r="I28" s="99"/>
      <c r="J28" s="43"/>
      <c r="K28" s="37"/>
      <c r="L28" s="38"/>
      <c r="M28" s="44" t="s">
        <v>397</v>
      </c>
      <c r="N28" s="45" t="s">
        <v>398</v>
      </c>
      <c r="O28" s="46">
        <v>1</v>
      </c>
      <c r="P28" s="35"/>
      <c r="R28" s="57"/>
      <c r="U28" s="57"/>
      <c r="X28" s="57"/>
      <c r="Y28" s="709"/>
      <c r="Z28" s="704"/>
      <c r="AA28" s="47">
        <f>ROUND((ROUND((_11_A身体０．５*_11・２人),0)*_11・初任),0)+ROUND((ROUND((ROUND((_11_B身体０．５＿１．５*_11・２人),0)*(1+_11・B夜間)),0)*_11・初任),0)+ROUND((ROUND((ROUND((_11_C身体０．５＿１．５＿１．０*_11・２人),0)*(1+_11・C深夜)),0)*_11・初任),0)</f>
        <v>715</v>
      </c>
      <c r="AB28" s="48"/>
    </row>
    <row r="29" spans="1:28" ht="16.5" customHeight="1" x14ac:dyDescent="0.15">
      <c r="A29" s="41">
        <v>11</v>
      </c>
      <c r="B29" s="41" t="s">
        <v>2442</v>
      </c>
      <c r="C29" s="42" t="s">
        <v>2443</v>
      </c>
      <c r="D29" s="72"/>
      <c r="E29" s="99"/>
      <c r="F29" s="72"/>
      <c r="G29" s="99"/>
      <c r="H29" s="72"/>
      <c r="I29" s="99"/>
      <c r="J29" s="705" t="s">
        <v>400</v>
      </c>
      <c r="K29" s="49" t="s">
        <v>398</v>
      </c>
      <c r="L29" s="50">
        <v>0.7</v>
      </c>
      <c r="M29" s="44"/>
      <c r="N29" s="45"/>
      <c r="O29" s="46"/>
      <c r="P29" s="35"/>
      <c r="R29" s="57"/>
      <c r="U29" s="57"/>
      <c r="X29" s="57"/>
      <c r="Y29" s="709"/>
      <c r="Z29" s="704"/>
      <c r="AA29" s="47">
        <f>ROUND((ROUND((_11_A身体０．５*_11・基礎１),0)*_11・初任),0)+ROUND((ROUND((ROUND((_11_B身体０．５＿１．５*_11・基礎１),0)*(1+_11・B夜間)),0)*_11・初任),0)+ROUND((ROUND((ROUND((_11_C身体０．５＿１．５＿１．０*_11・基礎１),0)*(1+_11・C深夜)),0)*_11・初任),0)</f>
        <v>500</v>
      </c>
      <c r="AB29" s="48"/>
    </row>
    <row r="30" spans="1:28" ht="16.5" customHeight="1" x14ac:dyDescent="0.15">
      <c r="A30" s="41">
        <v>11</v>
      </c>
      <c r="B30" s="41" t="s">
        <v>2444</v>
      </c>
      <c r="C30" s="42" t="s">
        <v>2445</v>
      </c>
      <c r="D30" s="72"/>
      <c r="E30" s="99"/>
      <c r="F30" s="72"/>
      <c r="G30" s="99"/>
      <c r="H30" s="72"/>
      <c r="I30" s="99"/>
      <c r="J30" s="711"/>
      <c r="K30" s="37"/>
      <c r="L30" s="38"/>
      <c r="M30" s="44" t="s">
        <v>397</v>
      </c>
      <c r="N30" s="45" t="s">
        <v>398</v>
      </c>
      <c r="O30" s="46">
        <v>1</v>
      </c>
      <c r="P30" s="35"/>
      <c r="R30" s="57"/>
      <c r="U30" s="57"/>
      <c r="X30" s="57"/>
      <c r="Y30" s="55" t="s">
        <v>398</v>
      </c>
      <c r="Z30" s="38">
        <f>_11・初任</f>
        <v>0.7</v>
      </c>
      <c r="AA30" s="47">
        <f>ROUND((ROUND((ROUND((_11_A身体０．５*_11・基礎１),0)*_11・２人),0)*_11・初任),0)+ROUND((ROUND((ROUND((ROUND((_11_B身体０．５＿１．５*_11・基礎１),0)*_11・２人),0)*(1+_11・B夜間)),0)*_11・初任),0)+ROUND((ROUND((ROUND((ROUND((_11_C身体０．５＿１．５＿１．０*_11・基礎１),0)*_11・２人),0)*(1+_11・C深夜)),0)*_11・初任),0)</f>
        <v>500</v>
      </c>
      <c r="AB30" s="48"/>
    </row>
    <row r="31" spans="1:28" ht="16.5" customHeight="1" x14ac:dyDescent="0.15">
      <c r="A31" s="41">
        <v>11</v>
      </c>
      <c r="B31" s="41">
        <v>1755</v>
      </c>
      <c r="C31" s="42" t="s">
        <v>2446</v>
      </c>
      <c r="D31" s="707" t="s">
        <v>412</v>
      </c>
      <c r="E31" s="717"/>
      <c r="F31" s="707" t="s">
        <v>2447</v>
      </c>
      <c r="G31" s="717"/>
      <c r="H31" s="707" t="s">
        <v>1617</v>
      </c>
      <c r="I31" s="717"/>
      <c r="J31" s="53"/>
      <c r="K31" s="49"/>
      <c r="L31" s="50"/>
      <c r="M31" s="44"/>
      <c r="N31" s="45"/>
      <c r="O31" s="46"/>
      <c r="P31" s="35"/>
      <c r="R31" s="57"/>
      <c r="U31" s="57"/>
      <c r="X31" s="57"/>
      <c r="Y31" s="53"/>
      <c r="Z31" s="49"/>
      <c r="AA31" s="47">
        <f>_11_A身体１．０+ROUND((_11_B身体１．０＿１．５*(1+_11・B夜間)),0)+ROUND((_11_C身体１．０＿１．５＿０．５*(1+_11・C深夜)),0)</f>
        <v>962</v>
      </c>
      <c r="AB31" s="48"/>
    </row>
    <row r="32" spans="1:28" ht="16.5" customHeight="1" x14ac:dyDescent="0.15">
      <c r="A32" s="41">
        <v>11</v>
      </c>
      <c r="B32" s="41">
        <v>1756</v>
      </c>
      <c r="C32" s="42" t="s">
        <v>2448</v>
      </c>
      <c r="D32" s="709"/>
      <c r="E32" s="718"/>
      <c r="F32" s="709"/>
      <c r="G32" s="718"/>
      <c r="H32" s="709"/>
      <c r="I32" s="718"/>
      <c r="J32" s="43"/>
      <c r="K32" s="37"/>
      <c r="L32" s="38"/>
      <c r="M32" s="44" t="s">
        <v>397</v>
      </c>
      <c r="N32" s="45" t="s">
        <v>398</v>
      </c>
      <c r="O32" s="46">
        <v>1</v>
      </c>
      <c r="P32" s="35"/>
      <c r="R32" s="57"/>
      <c r="U32" s="57"/>
      <c r="X32" s="57"/>
      <c r="Y32" s="35"/>
      <c r="AA32" s="47">
        <f>ROUND((_11_A身体１．０*_11・２人),0)+ROUND((ROUND((_11_B身体１．０＿１．５*_11・２人),0)*(1+_11・B夜間)),0)+ROUND((ROUND((_11_C身体１．０＿１．５＿０．５*_11・２人),0)*(1+_11・C深夜)),0)</f>
        <v>962</v>
      </c>
      <c r="AB32" s="48"/>
    </row>
    <row r="33" spans="1:28" ht="16.5" customHeight="1" x14ac:dyDescent="0.15">
      <c r="A33" s="41">
        <v>11</v>
      </c>
      <c r="B33" s="41">
        <v>1757</v>
      </c>
      <c r="C33" s="42" t="s">
        <v>2449</v>
      </c>
      <c r="D33" s="709"/>
      <c r="E33" s="718"/>
      <c r="F33" s="709"/>
      <c r="G33" s="718"/>
      <c r="H33" s="709"/>
      <c r="I33" s="718"/>
      <c r="J33" s="705" t="s">
        <v>400</v>
      </c>
      <c r="K33" s="49" t="s">
        <v>398</v>
      </c>
      <c r="L33" s="50">
        <v>0.7</v>
      </c>
      <c r="M33" s="44"/>
      <c r="N33" s="45"/>
      <c r="O33" s="46"/>
      <c r="P33" s="35"/>
      <c r="R33" s="57"/>
      <c r="U33" s="57"/>
      <c r="X33" s="57"/>
      <c r="Y33" s="35"/>
      <c r="AA33" s="47">
        <f>ROUND((_11_A身体１．０*_11・基礎１),0)+ROUND((ROUND((_11_B身体１．０＿１．５*_11・基礎１),0)*(1+_11・B夜間)),0)+ROUND((ROUND((_11_C身体１．０＿１．５＿０．５*_11・基礎１),0)*(1+_11・C深夜)),0)</f>
        <v>673</v>
      </c>
      <c r="AB33" s="48"/>
    </row>
    <row r="34" spans="1:28" ht="16.5" customHeight="1" x14ac:dyDescent="0.15">
      <c r="A34" s="41">
        <v>11</v>
      </c>
      <c r="B34" s="41">
        <v>1758</v>
      </c>
      <c r="C34" s="42" t="s">
        <v>2450</v>
      </c>
      <c r="D34" s="100">
        <f>_11_A身体１．０</f>
        <v>402</v>
      </c>
      <c r="E34" s="12" t="s">
        <v>392</v>
      </c>
      <c r="F34" s="100">
        <f>_11_B身体１．０＿１．５</f>
        <v>348</v>
      </c>
      <c r="G34" s="12" t="s">
        <v>392</v>
      </c>
      <c r="H34" s="100">
        <f>_11_C身体１．０＿１．５＿０．５</f>
        <v>83</v>
      </c>
      <c r="I34" s="12" t="s">
        <v>392</v>
      </c>
      <c r="J34" s="711"/>
      <c r="K34" s="37"/>
      <c r="L34" s="38"/>
      <c r="M34" s="44" t="s">
        <v>397</v>
      </c>
      <c r="N34" s="45" t="s">
        <v>398</v>
      </c>
      <c r="O34" s="46">
        <v>1</v>
      </c>
      <c r="P34" s="35"/>
      <c r="R34" s="57"/>
      <c r="U34" s="57"/>
      <c r="X34" s="57"/>
      <c r="Y34" s="43"/>
      <c r="Z34" s="37"/>
      <c r="AA34" s="47">
        <f>ROUND((ROUND((_11_A身体１．０*_11・基礎１),0)*_11・２人),0)+ROUND((ROUND((ROUND((_11_B身体１．０＿１．５*_11・基礎１),0)*_11・２人),0)*(1+_11・B夜間)),0)+ROUND((ROUND((ROUND((_11_C身体１．０＿１．５＿０．５*_11・基礎１),0)*_11・２人),0)*(1+_11・C深夜)),0)</f>
        <v>673</v>
      </c>
      <c r="AB34" s="48"/>
    </row>
    <row r="35" spans="1:28" ht="16.5" customHeight="1" x14ac:dyDescent="0.15">
      <c r="A35" s="41">
        <v>11</v>
      </c>
      <c r="B35" s="41" t="s">
        <v>2451</v>
      </c>
      <c r="C35" s="42" t="s">
        <v>2452</v>
      </c>
      <c r="D35" s="121"/>
      <c r="E35" s="99"/>
      <c r="F35" s="121"/>
      <c r="G35" s="99"/>
      <c r="H35" s="121"/>
      <c r="I35" s="99"/>
      <c r="J35" s="53"/>
      <c r="K35" s="49"/>
      <c r="L35" s="50"/>
      <c r="M35" s="44"/>
      <c r="N35" s="45"/>
      <c r="O35" s="46"/>
      <c r="P35" s="35"/>
      <c r="R35" s="57"/>
      <c r="U35" s="57"/>
      <c r="X35" s="57"/>
      <c r="Y35" s="707" t="s">
        <v>404</v>
      </c>
      <c r="Z35" s="708"/>
      <c r="AA35" s="47">
        <f>ROUND((_11_A身体１．０*_11・初任),0)+ROUND((ROUND((_11_B身体１．０＿１．５*(1+_11・B夜間)),0)*_11・初任),0)+ROUND((ROUND((_11_C身体１．０＿１．５＿０．５*(1+_11・C深夜)),0)*_11・初任),0)</f>
        <v>674</v>
      </c>
      <c r="AB35" s="48"/>
    </row>
    <row r="36" spans="1:28" ht="16.5" customHeight="1" x14ac:dyDescent="0.15">
      <c r="A36" s="41">
        <v>11</v>
      </c>
      <c r="B36" s="41" t="s">
        <v>2453</v>
      </c>
      <c r="C36" s="42" t="s">
        <v>2454</v>
      </c>
      <c r="D36" s="121"/>
      <c r="E36" s="99"/>
      <c r="F36" s="121"/>
      <c r="G36" s="99"/>
      <c r="H36" s="121"/>
      <c r="I36" s="99"/>
      <c r="J36" s="43"/>
      <c r="K36" s="37"/>
      <c r="L36" s="38"/>
      <c r="M36" s="44" t="s">
        <v>397</v>
      </c>
      <c r="N36" s="45" t="s">
        <v>398</v>
      </c>
      <c r="O36" s="46">
        <v>1</v>
      </c>
      <c r="P36" s="35"/>
      <c r="R36" s="57"/>
      <c r="U36" s="57"/>
      <c r="X36" s="57"/>
      <c r="Y36" s="709"/>
      <c r="Z36" s="704"/>
      <c r="AA36" s="47">
        <f>ROUND((ROUND((_11_A身体１．０*_11・２人),0)*_11・初任),0)+ROUND((ROUND((ROUND((_11_B身体１．０＿１．５*_11・２人),0)*(1+_11・B夜間)),0)*_11・初任),0)+ROUND((ROUND((ROUND((_11_C身体１．０＿１．５＿０．５*_11・２人),0)*(1+_11・C深夜)),0)*_11・初任),0)</f>
        <v>674</v>
      </c>
      <c r="AB36" s="48"/>
    </row>
    <row r="37" spans="1:28" ht="16.5" customHeight="1" x14ac:dyDescent="0.15">
      <c r="A37" s="41">
        <v>11</v>
      </c>
      <c r="B37" s="41" t="s">
        <v>2455</v>
      </c>
      <c r="C37" s="42" t="s">
        <v>2456</v>
      </c>
      <c r="D37" s="72"/>
      <c r="E37" s="99"/>
      <c r="F37" s="72"/>
      <c r="G37" s="99"/>
      <c r="H37" s="72"/>
      <c r="I37" s="99"/>
      <c r="J37" s="705" t="s">
        <v>400</v>
      </c>
      <c r="K37" s="49" t="s">
        <v>398</v>
      </c>
      <c r="L37" s="50">
        <v>0.7</v>
      </c>
      <c r="M37" s="44"/>
      <c r="N37" s="45"/>
      <c r="O37" s="46"/>
      <c r="P37" s="35"/>
      <c r="R37" s="57"/>
      <c r="U37" s="57"/>
      <c r="X37" s="57"/>
      <c r="Y37" s="709"/>
      <c r="Z37" s="704"/>
      <c r="AA37" s="47">
        <f>ROUND((ROUND((_11_A身体１．０*_11・基礎１),0)*_11・初任),0)+ROUND((ROUND((ROUND((_11_B身体１．０＿１．５*_11・基礎１),0)*(1+_11・B夜間)),0)*_11・初任),0)+ROUND((ROUND((ROUND((_11_C身体１．０＿１．５＿０．５*_11・基礎１),0)*(1+_11・C深夜)),0)*_11・初任),0)</f>
        <v>472</v>
      </c>
      <c r="AB37" s="48"/>
    </row>
    <row r="38" spans="1:28" ht="16.5" customHeight="1" x14ac:dyDescent="0.15">
      <c r="A38" s="41">
        <v>11</v>
      </c>
      <c r="B38" s="41" t="s">
        <v>2457</v>
      </c>
      <c r="C38" s="42" t="s">
        <v>2458</v>
      </c>
      <c r="D38" s="72"/>
      <c r="E38" s="99"/>
      <c r="F38" s="72"/>
      <c r="G38" s="99"/>
      <c r="H38" s="72"/>
      <c r="I38" s="99"/>
      <c r="J38" s="711"/>
      <c r="K38" s="37"/>
      <c r="L38" s="38"/>
      <c r="M38" s="44" t="s">
        <v>397</v>
      </c>
      <c r="N38" s="45" t="s">
        <v>398</v>
      </c>
      <c r="O38" s="46">
        <v>1</v>
      </c>
      <c r="P38" s="35"/>
      <c r="R38" s="57"/>
      <c r="U38" s="57"/>
      <c r="X38" s="57"/>
      <c r="Y38" s="55" t="s">
        <v>398</v>
      </c>
      <c r="Z38" s="38">
        <f>_11・初任</f>
        <v>0.7</v>
      </c>
      <c r="AA38" s="47">
        <f>ROUND((ROUND((ROUND((_11_A身体１．０*_11・基礎１),0)*_11・２人),0)*_11・初任),0)+ROUND((ROUND((ROUND((ROUND((_11_B身体１．０＿１．５*_11・基礎１),0)*_11・２人),0)*(1+_11・B夜間)),0)*_11・初任),0)+ROUND((ROUND((ROUND((ROUND((_11_C身体１．０＿１．５＿０．５*_11・基礎１),0)*_11・２人),0)*(1+_11・C深夜)),0)*_11・初任),0)</f>
        <v>472</v>
      </c>
      <c r="AB38" s="48"/>
    </row>
    <row r="39" spans="1:28" ht="16.5" customHeight="1" x14ac:dyDescent="0.15">
      <c r="A39" s="41">
        <v>11</v>
      </c>
      <c r="B39" s="41">
        <v>1759</v>
      </c>
      <c r="C39" s="42" t="s">
        <v>2459</v>
      </c>
      <c r="D39" s="707" t="s">
        <v>2460</v>
      </c>
      <c r="E39" s="717"/>
      <c r="F39" s="707" t="s">
        <v>2461</v>
      </c>
      <c r="G39" s="717"/>
      <c r="H39" s="707" t="s">
        <v>1617</v>
      </c>
      <c r="I39" s="717"/>
      <c r="J39" s="53"/>
      <c r="K39" s="49"/>
      <c r="L39" s="50"/>
      <c r="M39" s="44"/>
      <c r="N39" s="45"/>
      <c r="O39" s="46"/>
      <c r="P39" s="35"/>
      <c r="R39" s="57"/>
      <c r="U39" s="57"/>
      <c r="X39" s="57"/>
      <c r="Y39" s="53"/>
      <c r="Z39" s="49"/>
      <c r="AA39" s="47">
        <f>_11_A身体０．５+ROUND((_11_B身体０．５＿１．０*(1+_11・B夜間)),0)+ROUND((_11_C身体０．５＿１．０＿０．５*(1+_11・C深夜)),0)</f>
        <v>789</v>
      </c>
      <c r="AB39" s="48"/>
    </row>
    <row r="40" spans="1:28" ht="16.5" customHeight="1" x14ac:dyDescent="0.15">
      <c r="A40" s="41">
        <v>11</v>
      </c>
      <c r="B40" s="41">
        <v>1760</v>
      </c>
      <c r="C40" s="42" t="s">
        <v>2462</v>
      </c>
      <c r="D40" s="709"/>
      <c r="E40" s="718"/>
      <c r="F40" s="709"/>
      <c r="G40" s="718"/>
      <c r="H40" s="709"/>
      <c r="I40" s="718"/>
      <c r="J40" s="43"/>
      <c r="K40" s="37"/>
      <c r="L40" s="38"/>
      <c r="M40" s="44" t="s">
        <v>397</v>
      </c>
      <c r="N40" s="45" t="s">
        <v>398</v>
      </c>
      <c r="O40" s="46">
        <v>1</v>
      </c>
      <c r="P40" s="35"/>
      <c r="R40" s="57"/>
      <c r="U40" s="57"/>
      <c r="X40" s="57"/>
      <c r="Y40" s="35"/>
      <c r="AA40" s="47">
        <f>ROUND((_11_A身体０．５*_11・２人),0)+ROUND((ROUND((_11_B身体０．５＿１．０*_11・２人),0)*(1+_11・B夜間)),0)+ROUND((ROUND((_11_C身体０．５＿１．０＿０．５*_11・２人),0)*(1+_11・C深夜)),0)</f>
        <v>789</v>
      </c>
      <c r="AB40" s="48"/>
    </row>
    <row r="41" spans="1:28" ht="16.5" customHeight="1" x14ac:dyDescent="0.15">
      <c r="A41" s="41">
        <v>11</v>
      </c>
      <c r="B41" s="41">
        <v>1761</v>
      </c>
      <c r="C41" s="42" t="s">
        <v>2463</v>
      </c>
      <c r="D41" s="709"/>
      <c r="E41" s="718"/>
      <c r="F41" s="709"/>
      <c r="G41" s="718"/>
      <c r="H41" s="709"/>
      <c r="I41" s="718"/>
      <c r="J41" s="705" t="s">
        <v>400</v>
      </c>
      <c r="K41" s="49" t="s">
        <v>398</v>
      </c>
      <c r="L41" s="50">
        <v>0.7</v>
      </c>
      <c r="M41" s="44"/>
      <c r="N41" s="45"/>
      <c r="O41" s="46"/>
      <c r="P41" s="35"/>
      <c r="R41" s="57"/>
      <c r="U41" s="57"/>
      <c r="X41" s="57"/>
      <c r="Y41" s="35"/>
      <c r="AA41" s="47">
        <f>ROUND((_11_A身体０．５*_11・基礎１),0)+ROUND((ROUND((_11_B身体０．５＿１．０*_11・基礎１),0)*(1+_11・B夜間)),0)+ROUND((ROUND((_11_C身体０．５＿１．０＿０．５*_11・基礎１),0)*(1+_11・C深夜)),0)</f>
        <v>553</v>
      </c>
      <c r="AB41" s="48"/>
    </row>
    <row r="42" spans="1:28" ht="16.5" customHeight="1" x14ac:dyDescent="0.15">
      <c r="A42" s="41">
        <v>11</v>
      </c>
      <c r="B42" s="41">
        <v>1762</v>
      </c>
      <c r="C42" s="42" t="s">
        <v>2464</v>
      </c>
      <c r="D42" s="100">
        <f>_11_A身体０．５</f>
        <v>255</v>
      </c>
      <c r="E42" s="12" t="s">
        <v>392</v>
      </c>
      <c r="F42" s="100">
        <f>_11_B身体０．５＿１．０</f>
        <v>329</v>
      </c>
      <c r="G42" s="12" t="s">
        <v>392</v>
      </c>
      <c r="H42" s="100">
        <f>_11_C身体０．５＿１．０＿０．５</f>
        <v>82</v>
      </c>
      <c r="I42" s="12" t="s">
        <v>392</v>
      </c>
      <c r="J42" s="711"/>
      <c r="K42" s="37"/>
      <c r="L42" s="38"/>
      <c r="M42" s="44" t="s">
        <v>397</v>
      </c>
      <c r="N42" s="45" t="s">
        <v>398</v>
      </c>
      <c r="O42" s="46">
        <v>1</v>
      </c>
      <c r="P42" s="35"/>
      <c r="R42" s="57"/>
      <c r="U42" s="57"/>
      <c r="X42" s="57"/>
      <c r="Y42" s="43"/>
      <c r="Z42" s="37"/>
      <c r="AA42" s="47">
        <f>ROUND((ROUND((_11_A身体０．５*_11・基礎１),0)*_11・２人),0)+ROUND((ROUND((ROUND((_11_B身体０．５＿１．０*_11・基礎１),0)*_11・２人),0)*(1+_11・B夜間)),0)+ROUND((ROUND((ROUND((_11_C身体０．５＿１．０＿０．５*_11・基礎１),0)*_11・２人),0)*(1+_11・C深夜)),0)</f>
        <v>553</v>
      </c>
      <c r="AB42" s="48"/>
    </row>
    <row r="43" spans="1:28" ht="16.5" customHeight="1" x14ac:dyDescent="0.15">
      <c r="A43" s="41">
        <v>11</v>
      </c>
      <c r="B43" s="41" t="s">
        <v>2465</v>
      </c>
      <c r="C43" s="42" t="s">
        <v>2466</v>
      </c>
      <c r="D43" s="121"/>
      <c r="E43" s="99"/>
      <c r="F43" s="121"/>
      <c r="G43" s="99"/>
      <c r="H43" s="72"/>
      <c r="I43" s="99"/>
      <c r="J43" s="53"/>
      <c r="K43" s="49"/>
      <c r="L43" s="50"/>
      <c r="M43" s="44"/>
      <c r="N43" s="45"/>
      <c r="O43" s="46"/>
      <c r="P43" s="35"/>
      <c r="R43" s="57"/>
      <c r="U43" s="57"/>
      <c r="X43" s="57"/>
      <c r="Y43" s="707" t="s">
        <v>404</v>
      </c>
      <c r="Z43" s="708"/>
      <c r="AA43" s="47">
        <f>ROUND((_11_A身体０．５*_11・初任),0)+ROUND((ROUND((_11_B身体０．５＿１．０*(1+_11・B夜間)),0)*_11・初任),0)+ROUND((ROUND((_11_C身体０．５＿１．０＿０．５*(1+_11・C深夜)),0)*_11・初任),0)</f>
        <v>553</v>
      </c>
      <c r="AB43" s="48"/>
    </row>
    <row r="44" spans="1:28" ht="16.5" customHeight="1" x14ac:dyDescent="0.15">
      <c r="A44" s="41">
        <v>11</v>
      </c>
      <c r="B44" s="41" t="s">
        <v>2467</v>
      </c>
      <c r="C44" s="42" t="s">
        <v>2468</v>
      </c>
      <c r="D44" s="121"/>
      <c r="E44" s="99"/>
      <c r="F44" s="121"/>
      <c r="G44" s="99"/>
      <c r="H44" s="72"/>
      <c r="I44" s="99"/>
      <c r="J44" s="43"/>
      <c r="K44" s="37"/>
      <c r="L44" s="38"/>
      <c r="M44" s="44" t="s">
        <v>397</v>
      </c>
      <c r="N44" s="45" t="s">
        <v>398</v>
      </c>
      <c r="O44" s="46">
        <v>1</v>
      </c>
      <c r="P44" s="35"/>
      <c r="R44" s="57"/>
      <c r="U44" s="57"/>
      <c r="X44" s="57"/>
      <c r="Y44" s="709"/>
      <c r="Z44" s="704"/>
      <c r="AA44" s="47">
        <f>ROUND((ROUND((_11_A身体０．５*_11・２人),0)*_11・初任),0)+ROUND((ROUND((ROUND((_11_B身体０．５＿１．０*_11・２人),0)*(1+_11・B夜間)),0)*_11・初任),0)+ROUND((ROUND((ROUND((_11_C身体０．５＿１．０＿０．５*_11・２人),0)*(1+_11・C深夜)),0)*_11・初任),0)</f>
        <v>553</v>
      </c>
      <c r="AB44" s="48"/>
    </row>
    <row r="45" spans="1:28" ht="16.5" customHeight="1" x14ac:dyDescent="0.15">
      <c r="A45" s="41">
        <v>11</v>
      </c>
      <c r="B45" s="41" t="s">
        <v>2469</v>
      </c>
      <c r="C45" s="42" t="s">
        <v>2470</v>
      </c>
      <c r="D45" s="72"/>
      <c r="E45" s="99"/>
      <c r="F45" s="72"/>
      <c r="G45" s="99"/>
      <c r="H45" s="72"/>
      <c r="I45" s="99"/>
      <c r="J45" s="705" t="s">
        <v>400</v>
      </c>
      <c r="K45" s="49" t="s">
        <v>398</v>
      </c>
      <c r="L45" s="50">
        <v>0.7</v>
      </c>
      <c r="M45" s="44"/>
      <c r="N45" s="45"/>
      <c r="O45" s="46"/>
      <c r="P45" s="35"/>
      <c r="R45" s="57"/>
      <c r="U45" s="57"/>
      <c r="X45" s="57"/>
      <c r="Y45" s="709"/>
      <c r="Z45" s="704"/>
      <c r="AA45" s="47">
        <f>ROUND((ROUND((_11_A身体０．５*_11・基礎１),0)*_11・初任),0)+ROUND((ROUND((ROUND((_11_B身体０．５＿１．０*_11・基礎１),0)*(1+_11・B夜間)),0)*_11・初任),0)+ROUND((ROUND((ROUND((_11_C身体０．５＿１．０＿０．５*_11・基礎１),0)*(1+_11・C深夜)),0)*_11・初任),0)</f>
        <v>387</v>
      </c>
      <c r="AB45" s="48"/>
    </row>
    <row r="46" spans="1:28" ht="16.5" customHeight="1" x14ac:dyDescent="0.15">
      <c r="A46" s="41">
        <v>11</v>
      </c>
      <c r="B46" s="41" t="s">
        <v>2471</v>
      </c>
      <c r="C46" s="42" t="s">
        <v>2472</v>
      </c>
      <c r="D46" s="72"/>
      <c r="E46" s="99"/>
      <c r="F46" s="72"/>
      <c r="G46" s="99"/>
      <c r="H46" s="72"/>
      <c r="I46" s="99"/>
      <c r="J46" s="711"/>
      <c r="K46" s="37"/>
      <c r="L46" s="38"/>
      <c r="M46" s="44" t="s">
        <v>397</v>
      </c>
      <c r="N46" s="45" t="s">
        <v>398</v>
      </c>
      <c r="O46" s="46">
        <v>1</v>
      </c>
      <c r="P46" s="35"/>
      <c r="R46" s="57"/>
      <c r="U46" s="57"/>
      <c r="X46" s="57"/>
      <c r="Y46" s="55" t="s">
        <v>398</v>
      </c>
      <c r="Z46" s="38">
        <f>_11・初任</f>
        <v>0.7</v>
      </c>
      <c r="AA46" s="47">
        <f>ROUND((ROUND((ROUND((_11_A身体０．５*_11・基礎１),0)*_11・２人),0)*_11・初任),0)+ROUND((ROUND((ROUND((ROUND((_11_B身体０．５＿１．０*_11・基礎１),0)*_11・２人),0)*(1+_11・B夜間)),0)*_11・初任),0)+ROUND((ROUND((ROUND((ROUND((_11_C身体０．５＿１．０＿０．５*_11・基礎１),0)*_11・２人),0)*(1+_11・C深夜)),0)*_11・初任),0)</f>
        <v>387</v>
      </c>
      <c r="AB46" s="48"/>
    </row>
    <row r="47" spans="1:28" ht="16.5" customHeight="1" x14ac:dyDescent="0.15">
      <c r="A47" s="41">
        <v>11</v>
      </c>
      <c r="B47" s="41">
        <v>1763</v>
      </c>
      <c r="C47" s="42" t="s">
        <v>2473</v>
      </c>
      <c r="D47" s="72"/>
      <c r="E47" s="99"/>
      <c r="F47" s="72"/>
      <c r="G47" s="99"/>
      <c r="H47" s="707" t="s">
        <v>1695</v>
      </c>
      <c r="I47" s="717"/>
      <c r="J47" s="53"/>
      <c r="K47" s="49"/>
      <c r="L47" s="50"/>
      <c r="M47" s="44"/>
      <c r="N47" s="45"/>
      <c r="O47" s="46"/>
      <c r="P47" s="35"/>
      <c r="R47" s="57"/>
      <c r="U47" s="57"/>
      <c r="X47" s="57"/>
      <c r="Y47" s="53"/>
      <c r="Z47" s="49"/>
      <c r="AA47" s="47">
        <f>_11_A身体０．５+ROUND((_11_B身体０．５＿１．０*(1+_11・B夜間)),0)+ROUND((_11_C身体０．５＿１．０＿１．０*(1+_11・C深夜)),0)</f>
        <v>915</v>
      </c>
      <c r="AB47" s="48"/>
    </row>
    <row r="48" spans="1:28" ht="16.5" customHeight="1" x14ac:dyDescent="0.15">
      <c r="A48" s="41">
        <v>11</v>
      </c>
      <c r="B48" s="41">
        <v>1764</v>
      </c>
      <c r="C48" s="42" t="s">
        <v>2474</v>
      </c>
      <c r="D48" s="72"/>
      <c r="E48" s="99"/>
      <c r="F48" s="72"/>
      <c r="G48" s="99"/>
      <c r="H48" s="709"/>
      <c r="I48" s="718"/>
      <c r="J48" s="43"/>
      <c r="K48" s="37"/>
      <c r="L48" s="38"/>
      <c r="M48" s="44" t="s">
        <v>397</v>
      </c>
      <c r="N48" s="45" t="s">
        <v>398</v>
      </c>
      <c r="O48" s="46">
        <v>1</v>
      </c>
      <c r="P48" s="35"/>
      <c r="R48" s="57"/>
      <c r="U48" s="57"/>
      <c r="X48" s="57"/>
      <c r="Y48" s="35"/>
      <c r="AA48" s="47">
        <f>ROUND((_11_A身体０．５*_11・２人),0)+ROUND((ROUND((_11_B身体０．５＿１．０*_11・２人),0)*(1+_11・B夜間)),0)+ROUND((ROUND((_11_C身体０．５＿１．０＿１．０*_11・２人),0)*(1+_11・C深夜)),0)</f>
        <v>915</v>
      </c>
      <c r="AB48" s="48"/>
    </row>
    <row r="49" spans="1:28" ht="16.5" customHeight="1" x14ac:dyDescent="0.15">
      <c r="A49" s="41">
        <v>11</v>
      </c>
      <c r="B49" s="41">
        <v>1765</v>
      </c>
      <c r="C49" s="42" t="s">
        <v>2475</v>
      </c>
      <c r="D49" s="72"/>
      <c r="E49" s="99"/>
      <c r="F49" s="72"/>
      <c r="G49" s="99"/>
      <c r="H49" s="709"/>
      <c r="I49" s="718"/>
      <c r="J49" s="705" t="s">
        <v>400</v>
      </c>
      <c r="K49" s="49" t="s">
        <v>398</v>
      </c>
      <c r="L49" s="50">
        <v>0.7</v>
      </c>
      <c r="M49" s="44"/>
      <c r="N49" s="45"/>
      <c r="O49" s="46"/>
      <c r="P49" s="35"/>
      <c r="R49" s="57"/>
      <c r="U49" s="57"/>
      <c r="X49" s="57"/>
      <c r="Y49" s="35"/>
      <c r="AA49" s="47">
        <f>ROUND((_11_A身体０．５*_11・基礎１),0)+ROUND((ROUND((_11_B身体０．５＿１．０*_11・基礎１),0)*(1+_11・B夜間)),0)+ROUND((ROUND((_11_C身体０．５＿１．０＿１．０*_11・基礎１),0)*(1+_11・C深夜)),0)</f>
        <v>641</v>
      </c>
      <c r="AB49" s="48"/>
    </row>
    <row r="50" spans="1:28" ht="16.5" customHeight="1" x14ac:dyDescent="0.15">
      <c r="A50" s="41">
        <v>11</v>
      </c>
      <c r="B50" s="41">
        <v>1766</v>
      </c>
      <c r="C50" s="42" t="s">
        <v>2476</v>
      </c>
      <c r="D50" s="72"/>
      <c r="E50" s="99"/>
      <c r="F50" s="72"/>
      <c r="G50" s="99"/>
      <c r="H50" s="100">
        <f>_11_C身体０．５＿１．０＿１．０</f>
        <v>166</v>
      </c>
      <c r="I50" s="12" t="s">
        <v>392</v>
      </c>
      <c r="J50" s="711"/>
      <c r="K50" s="37"/>
      <c r="L50" s="38"/>
      <c r="M50" s="44" t="s">
        <v>397</v>
      </c>
      <c r="N50" s="45" t="s">
        <v>398</v>
      </c>
      <c r="O50" s="46">
        <v>1</v>
      </c>
      <c r="P50" s="35"/>
      <c r="R50" s="57"/>
      <c r="U50" s="57"/>
      <c r="X50" s="57"/>
      <c r="Y50" s="43"/>
      <c r="Z50" s="37"/>
      <c r="AA50" s="47">
        <f>ROUND((ROUND((_11_A身体０．５*_11・基礎１),0)*_11・２人),0)+ROUND((ROUND((ROUND((_11_B身体０．５＿１．０*_11・基礎１),0)*_11・２人),0)*(1+_11・B夜間)),0)+ROUND((ROUND((ROUND((_11_C身体０．５＿１．０＿１．０*_11・基礎１),0)*_11・２人),0)*(1+_11・C深夜)),0)</f>
        <v>641</v>
      </c>
      <c r="AB50" s="48"/>
    </row>
    <row r="51" spans="1:28" ht="16.5" customHeight="1" x14ac:dyDescent="0.15">
      <c r="A51" s="41">
        <v>11</v>
      </c>
      <c r="B51" s="41" t="s">
        <v>2477</v>
      </c>
      <c r="C51" s="42" t="s">
        <v>2478</v>
      </c>
      <c r="D51" s="72"/>
      <c r="E51" s="99"/>
      <c r="F51" s="72"/>
      <c r="G51" s="99"/>
      <c r="H51" s="121"/>
      <c r="I51" s="99"/>
      <c r="J51" s="53"/>
      <c r="K51" s="49"/>
      <c r="L51" s="50"/>
      <c r="M51" s="44"/>
      <c r="N51" s="45"/>
      <c r="O51" s="46"/>
      <c r="P51" s="35"/>
      <c r="R51" s="57"/>
      <c r="U51" s="57"/>
      <c r="X51" s="57"/>
      <c r="Y51" s="707" t="s">
        <v>404</v>
      </c>
      <c r="Z51" s="708"/>
      <c r="AA51" s="47">
        <f>ROUND((_11_A身体０．５*_11・初任),0)+ROUND((ROUND((_11_B身体０．５＿１．０*(1+_11・B夜間)),0)*_11・初任),0)+ROUND((ROUND((_11_C身体０．５＿１．０＿１．０*(1+_11・C深夜)),0)*_11・初任),0)</f>
        <v>641</v>
      </c>
      <c r="AB51" s="48"/>
    </row>
    <row r="52" spans="1:28" ht="16.5" customHeight="1" x14ac:dyDescent="0.15">
      <c r="A52" s="41">
        <v>11</v>
      </c>
      <c r="B52" s="41" t="s">
        <v>2479</v>
      </c>
      <c r="C52" s="42" t="s">
        <v>2480</v>
      </c>
      <c r="D52" s="72"/>
      <c r="E52" s="99"/>
      <c r="F52" s="72"/>
      <c r="G52" s="99"/>
      <c r="H52" s="121"/>
      <c r="I52" s="99"/>
      <c r="J52" s="43"/>
      <c r="K52" s="37"/>
      <c r="L52" s="38"/>
      <c r="M52" s="44" t="s">
        <v>397</v>
      </c>
      <c r="N52" s="45" t="s">
        <v>398</v>
      </c>
      <c r="O52" s="46">
        <v>1</v>
      </c>
      <c r="P52" s="35"/>
      <c r="R52" s="57"/>
      <c r="U52" s="57"/>
      <c r="X52" s="57"/>
      <c r="Y52" s="709"/>
      <c r="Z52" s="704"/>
      <c r="AA52" s="47">
        <f>ROUND((ROUND((_11_A身体０．５*_11・２人),0)*_11・初任),0)+ROUND((ROUND((ROUND((_11_B身体０．５＿１．０*_11・２人),0)*(1+_11・B夜間)),0)*_11・初任),0)+ROUND((ROUND((ROUND((_11_C身体０．５＿１．０＿１．０*_11・２人),0)*(1+_11・C深夜)),0)*_11・初任),0)</f>
        <v>641</v>
      </c>
      <c r="AB52" s="48"/>
    </row>
    <row r="53" spans="1:28" ht="16.5" customHeight="1" x14ac:dyDescent="0.15">
      <c r="A53" s="41">
        <v>11</v>
      </c>
      <c r="B53" s="41" t="s">
        <v>2481</v>
      </c>
      <c r="C53" s="42" t="s">
        <v>2482</v>
      </c>
      <c r="D53" s="72"/>
      <c r="E53" s="99"/>
      <c r="F53" s="72"/>
      <c r="G53" s="99"/>
      <c r="H53" s="72"/>
      <c r="I53" s="99"/>
      <c r="J53" s="705" t="s">
        <v>400</v>
      </c>
      <c r="K53" s="49" t="s">
        <v>398</v>
      </c>
      <c r="L53" s="50">
        <v>0.7</v>
      </c>
      <c r="M53" s="44"/>
      <c r="N53" s="45"/>
      <c r="O53" s="46"/>
      <c r="P53" s="35"/>
      <c r="R53" s="57"/>
      <c r="U53" s="57"/>
      <c r="X53" s="57"/>
      <c r="Y53" s="709"/>
      <c r="Z53" s="704"/>
      <c r="AA53" s="47">
        <f>ROUND((ROUND((_11_A身体０．５*_11・基礎１),0)*_11・初任),0)+ROUND((ROUND((ROUND((_11_B身体０．５＿１．０*_11・基礎１),0)*(1+_11・B夜間)),0)*_11・初任),0)+ROUND((ROUND((ROUND((_11_C身体０．５＿１．０＿１．０*_11・基礎１),0)*(1+_11・C深夜)),0)*_11・初任),0)</f>
        <v>449</v>
      </c>
      <c r="AB53" s="48"/>
    </row>
    <row r="54" spans="1:28" ht="16.5" customHeight="1" x14ac:dyDescent="0.15">
      <c r="A54" s="41">
        <v>11</v>
      </c>
      <c r="B54" s="41" t="s">
        <v>2483</v>
      </c>
      <c r="C54" s="42" t="s">
        <v>2484</v>
      </c>
      <c r="D54" s="72"/>
      <c r="E54" s="99"/>
      <c r="F54" s="72"/>
      <c r="G54" s="99"/>
      <c r="H54" s="72"/>
      <c r="I54" s="99"/>
      <c r="J54" s="711"/>
      <c r="K54" s="37"/>
      <c r="L54" s="38"/>
      <c r="M54" s="44" t="s">
        <v>397</v>
      </c>
      <c r="N54" s="45" t="s">
        <v>398</v>
      </c>
      <c r="O54" s="46">
        <v>1</v>
      </c>
      <c r="P54" s="35"/>
      <c r="R54" s="57"/>
      <c r="U54" s="57"/>
      <c r="X54" s="57"/>
      <c r="Y54" s="55" t="s">
        <v>398</v>
      </c>
      <c r="Z54" s="38">
        <f>_11・初任</f>
        <v>0.7</v>
      </c>
      <c r="AA54" s="47">
        <f>ROUND((ROUND((ROUND((_11_A身体０．５*_11・基礎１),0)*_11・２人),0)*_11・初任),0)+ROUND((ROUND((ROUND((ROUND((_11_B身体０．５＿１．０*_11・基礎１),0)*_11・２人),0)*(1+_11・B夜間)),0)*_11・初任),0)+ROUND((ROUND((ROUND((ROUND((_11_C身体０．５＿１．０＿１．０*_11・基礎１),0)*_11・２人),0)*(1+_11・C深夜)),0)*_11・初任),0)</f>
        <v>449</v>
      </c>
      <c r="AB54" s="48"/>
    </row>
    <row r="55" spans="1:28" ht="16.5" customHeight="1" x14ac:dyDescent="0.15">
      <c r="A55" s="41">
        <v>11</v>
      </c>
      <c r="B55" s="41">
        <v>1767</v>
      </c>
      <c r="C55" s="42" t="s">
        <v>2485</v>
      </c>
      <c r="D55" s="72"/>
      <c r="E55" s="99"/>
      <c r="F55" s="72"/>
      <c r="G55" s="99"/>
      <c r="H55" s="707" t="s">
        <v>1644</v>
      </c>
      <c r="I55" s="717"/>
      <c r="J55" s="53"/>
      <c r="K55" s="49"/>
      <c r="L55" s="50"/>
      <c r="M55" s="44"/>
      <c r="N55" s="45"/>
      <c r="O55" s="46"/>
      <c r="P55" s="35"/>
      <c r="R55" s="57"/>
      <c r="U55" s="57"/>
      <c r="X55" s="57"/>
      <c r="Y55" s="53"/>
      <c r="Z55" s="49"/>
      <c r="AA55" s="47">
        <f>_11_A身体０．５+ROUND((_11_B身体０．５＿１．０*(1+_11・B夜間)),0)+ROUND((_11_C身体０．５＿１．０＿１．５*(1+_11・C深夜)),0)</f>
        <v>1040</v>
      </c>
      <c r="AB55" s="48"/>
    </row>
    <row r="56" spans="1:28" ht="16.5" customHeight="1" x14ac:dyDescent="0.15">
      <c r="A56" s="41">
        <v>11</v>
      </c>
      <c r="B56" s="41">
        <v>1768</v>
      </c>
      <c r="C56" s="42" t="s">
        <v>2486</v>
      </c>
      <c r="D56" s="72"/>
      <c r="E56" s="99"/>
      <c r="F56" s="72"/>
      <c r="G56" s="99"/>
      <c r="H56" s="709"/>
      <c r="I56" s="718"/>
      <c r="J56" s="43"/>
      <c r="K56" s="37"/>
      <c r="L56" s="38"/>
      <c r="M56" s="44" t="s">
        <v>397</v>
      </c>
      <c r="N56" s="45" t="s">
        <v>398</v>
      </c>
      <c r="O56" s="46">
        <v>1</v>
      </c>
      <c r="P56" s="35"/>
      <c r="R56" s="57"/>
      <c r="U56" s="57"/>
      <c r="X56" s="57"/>
      <c r="Y56" s="35"/>
      <c r="AA56" s="47">
        <f>ROUND((_11_A身体０．５*_11・２人),0)+ROUND((ROUND((_11_B身体０．５＿１．０*_11・２人),0)*(1+_11・B夜間)),0)+ROUND((ROUND((_11_C身体０．５＿１．０＿１．５*_11・２人),0)*(1+_11・C深夜)),0)</f>
        <v>1040</v>
      </c>
      <c r="AB56" s="48"/>
    </row>
    <row r="57" spans="1:28" ht="16.5" customHeight="1" x14ac:dyDescent="0.15">
      <c r="A57" s="41">
        <v>11</v>
      </c>
      <c r="B57" s="41">
        <v>1769</v>
      </c>
      <c r="C57" s="42" t="s">
        <v>2487</v>
      </c>
      <c r="D57" s="72"/>
      <c r="E57" s="99"/>
      <c r="F57" s="72"/>
      <c r="G57" s="99"/>
      <c r="H57" s="709"/>
      <c r="I57" s="718"/>
      <c r="J57" s="705" t="s">
        <v>400</v>
      </c>
      <c r="K57" s="49" t="s">
        <v>398</v>
      </c>
      <c r="L57" s="50">
        <v>0.7</v>
      </c>
      <c r="M57" s="44"/>
      <c r="N57" s="45"/>
      <c r="O57" s="46"/>
      <c r="P57" s="35"/>
      <c r="R57" s="57"/>
      <c r="U57" s="57"/>
      <c r="X57" s="57"/>
      <c r="Y57" s="35"/>
      <c r="AA57" s="47">
        <f>ROUND((_11_A身体０．５*_11・基礎１),0)+ROUND((ROUND((_11_B身体０．５＿１．０*_11・基礎１),0)*(1+_11・B夜間)),0)+ROUND((ROUND((_11_C身体０．５＿１．０＿１．５*_11・基礎１),0)*(1+_11・C深夜)),0)</f>
        <v>728</v>
      </c>
      <c r="AB57" s="48"/>
    </row>
    <row r="58" spans="1:28" ht="16.5" customHeight="1" x14ac:dyDescent="0.15">
      <c r="A58" s="41">
        <v>11</v>
      </c>
      <c r="B58" s="41">
        <v>1770</v>
      </c>
      <c r="C58" s="42" t="s">
        <v>2488</v>
      </c>
      <c r="D58" s="72"/>
      <c r="E58" s="99"/>
      <c r="F58" s="72"/>
      <c r="G58" s="99"/>
      <c r="H58" s="100">
        <f>_11_C身体０．５＿１．０＿１．５</f>
        <v>249</v>
      </c>
      <c r="I58" s="12" t="s">
        <v>392</v>
      </c>
      <c r="J58" s="711"/>
      <c r="K58" s="37"/>
      <c r="L58" s="38"/>
      <c r="M58" s="44" t="s">
        <v>397</v>
      </c>
      <c r="N58" s="45" t="s">
        <v>398</v>
      </c>
      <c r="O58" s="46">
        <v>1</v>
      </c>
      <c r="P58" s="35"/>
      <c r="R58" s="57"/>
      <c r="U58" s="57"/>
      <c r="X58" s="57"/>
      <c r="Y58" s="43"/>
      <c r="Z58" s="37"/>
      <c r="AA58" s="47">
        <f>ROUND((ROUND((_11_A身体０．５*_11・基礎１),0)*_11・２人),0)+ROUND((ROUND((ROUND((_11_B身体０．５＿１．０*_11・基礎１),0)*_11・２人),0)*(1+_11・B夜間)),0)+ROUND((ROUND((ROUND((_11_C身体０．５＿１．０＿１．５*_11・基礎１),0)*_11・２人),0)*(1+_11・C深夜)),0)</f>
        <v>728</v>
      </c>
      <c r="AB58" s="48"/>
    </row>
    <row r="59" spans="1:28" ht="16.5" customHeight="1" x14ac:dyDescent="0.15">
      <c r="A59" s="41">
        <v>11</v>
      </c>
      <c r="B59" s="41" t="s">
        <v>2489</v>
      </c>
      <c r="C59" s="42" t="s">
        <v>2490</v>
      </c>
      <c r="D59" s="72"/>
      <c r="E59" s="99"/>
      <c r="F59" s="72"/>
      <c r="G59" s="99"/>
      <c r="H59" s="121"/>
      <c r="I59" s="99"/>
      <c r="J59" s="53"/>
      <c r="K59" s="49"/>
      <c r="L59" s="50"/>
      <c r="M59" s="44"/>
      <c r="N59" s="45"/>
      <c r="O59" s="46"/>
      <c r="P59" s="35"/>
      <c r="R59" s="57"/>
      <c r="U59" s="57"/>
      <c r="X59" s="57"/>
      <c r="Y59" s="707" t="s">
        <v>404</v>
      </c>
      <c r="Z59" s="708"/>
      <c r="AA59" s="47">
        <f>ROUND((_11_A身体０．５*_11・初任),0)+ROUND((ROUND((_11_B身体０．５＿１．０*(1+_11・B夜間)),0)*_11・初任),0)+ROUND((ROUND((_11_C身体０．５＿１．０＿１．５*(1+_11・C深夜)),0)*_11・初任),0)</f>
        <v>729</v>
      </c>
      <c r="AB59" s="48"/>
    </row>
    <row r="60" spans="1:28" ht="16.5" customHeight="1" x14ac:dyDescent="0.15">
      <c r="A60" s="41">
        <v>11</v>
      </c>
      <c r="B60" s="41" t="s">
        <v>2491</v>
      </c>
      <c r="C60" s="42" t="s">
        <v>2492</v>
      </c>
      <c r="D60" s="72"/>
      <c r="E60" s="99"/>
      <c r="F60" s="72"/>
      <c r="G60" s="99"/>
      <c r="H60" s="121"/>
      <c r="I60" s="99"/>
      <c r="J60" s="43"/>
      <c r="K60" s="37"/>
      <c r="L60" s="38"/>
      <c r="M60" s="44" t="s">
        <v>397</v>
      </c>
      <c r="N60" s="45" t="s">
        <v>398</v>
      </c>
      <c r="O60" s="46">
        <v>1</v>
      </c>
      <c r="P60" s="35"/>
      <c r="R60" s="57"/>
      <c r="U60" s="57"/>
      <c r="X60" s="57"/>
      <c r="Y60" s="709"/>
      <c r="Z60" s="704"/>
      <c r="AA60" s="47">
        <f>ROUND((ROUND((_11_A身体０．５*_11・２人),0)*_11・初任),0)+ROUND((ROUND((ROUND((_11_B身体０．５＿１．０*_11・２人),0)*(1+_11・B夜間)),0)*_11・初任),0)+ROUND((ROUND((ROUND((_11_C身体０．５＿１．０＿１．５*_11・２人),0)*(1+_11・C深夜)),0)*_11・初任),0)</f>
        <v>729</v>
      </c>
      <c r="AB60" s="48"/>
    </row>
    <row r="61" spans="1:28" ht="16.5" customHeight="1" x14ac:dyDescent="0.15">
      <c r="A61" s="41">
        <v>11</v>
      </c>
      <c r="B61" s="41" t="s">
        <v>2493</v>
      </c>
      <c r="C61" s="42" t="s">
        <v>2494</v>
      </c>
      <c r="D61" s="72"/>
      <c r="E61" s="99"/>
      <c r="F61" s="72"/>
      <c r="G61" s="99"/>
      <c r="H61" s="72"/>
      <c r="I61" s="99"/>
      <c r="J61" s="705" t="s">
        <v>400</v>
      </c>
      <c r="K61" s="49" t="s">
        <v>398</v>
      </c>
      <c r="L61" s="50">
        <v>0.7</v>
      </c>
      <c r="M61" s="44"/>
      <c r="N61" s="45"/>
      <c r="O61" s="46"/>
      <c r="P61" s="35"/>
      <c r="R61" s="57"/>
      <c r="U61" s="57"/>
      <c r="X61" s="57"/>
      <c r="Y61" s="709"/>
      <c r="Z61" s="704"/>
      <c r="AA61" s="47">
        <f>ROUND((ROUND((_11_A身体０．５*_11・基礎１),0)*_11・初任),0)+ROUND((ROUND((ROUND((_11_B身体０．５＿１．０*_11・基礎１),0)*(1+_11・B夜間)),0)*_11・初任),0)+ROUND((ROUND((ROUND((_11_C身体０．５＿１．０＿１．５*_11・基礎１),0)*(1+_11・C深夜)),0)*_11・初任),0)</f>
        <v>510</v>
      </c>
      <c r="AB61" s="48"/>
    </row>
    <row r="62" spans="1:28" ht="16.5" customHeight="1" x14ac:dyDescent="0.15">
      <c r="A62" s="41">
        <v>11</v>
      </c>
      <c r="B62" s="41" t="s">
        <v>2495</v>
      </c>
      <c r="C62" s="42" t="s">
        <v>2496</v>
      </c>
      <c r="D62" s="72"/>
      <c r="E62" s="99"/>
      <c r="F62" s="72"/>
      <c r="G62" s="99"/>
      <c r="H62" s="72"/>
      <c r="I62" s="99"/>
      <c r="J62" s="711"/>
      <c r="K62" s="37"/>
      <c r="L62" s="38"/>
      <c r="M62" s="44" t="s">
        <v>397</v>
      </c>
      <c r="N62" s="45" t="s">
        <v>398</v>
      </c>
      <c r="O62" s="46">
        <v>1</v>
      </c>
      <c r="P62" s="35"/>
      <c r="R62" s="57"/>
      <c r="U62" s="57"/>
      <c r="X62" s="57"/>
      <c r="Y62" s="55" t="s">
        <v>398</v>
      </c>
      <c r="Z62" s="38">
        <f>_11・初任</f>
        <v>0.7</v>
      </c>
      <c r="AA62" s="47">
        <f>ROUND((ROUND((ROUND((_11_A身体０．５*_11・基礎１),0)*_11・２人),0)*_11・初任),0)+ROUND((ROUND((ROUND((ROUND((_11_B身体０．５＿１．０*_11・基礎１),0)*_11・２人),0)*(1+_11・B夜間)),0)*_11・初任),0)+ROUND((ROUND((ROUND((ROUND((_11_C身体０．５＿１．０＿１．５*_11・基礎１),0)*_11・２人),0)*(1+_11・C深夜)),0)*_11・初任),0)</f>
        <v>510</v>
      </c>
      <c r="AB62" s="48"/>
    </row>
    <row r="63" spans="1:28" ht="16.5" customHeight="1" x14ac:dyDescent="0.15">
      <c r="A63" s="41">
        <v>11</v>
      </c>
      <c r="B63" s="41">
        <v>1771</v>
      </c>
      <c r="C63" s="42" t="s">
        <v>2497</v>
      </c>
      <c r="D63" s="707" t="s">
        <v>2498</v>
      </c>
      <c r="E63" s="717"/>
      <c r="F63" s="707" t="s">
        <v>2461</v>
      </c>
      <c r="G63" s="717"/>
      <c r="H63" s="707" t="s">
        <v>1617</v>
      </c>
      <c r="I63" s="717"/>
      <c r="J63" s="53"/>
      <c r="K63" s="49"/>
      <c r="L63" s="50"/>
      <c r="M63" s="44"/>
      <c r="N63" s="45"/>
      <c r="O63" s="46"/>
      <c r="P63" s="35"/>
      <c r="R63" s="57"/>
      <c r="U63" s="57"/>
      <c r="X63" s="57"/>
      <c r="Y63" s="53"/>
      <c r="Z63" s="49"/>
      <c r="AA63" s="47">
        <f>_11_A身体１．０+ROUND((_11_B身体１．０＿１．０*(1+_11・B夜間)),0)+ROUND((_11_C身体１．０＿１．０＿０．５*(1+_11・C深夜)),0)</f>
        <v>858</v>
      </c>
      <c r="AB63" s="48"/>
    </row>
    <row r="64" spans="1:28" ht="16.5" customHeight="1" x14ac:dyDescent="0.15">
      <c r="A64" s="41">
        <v>11</v>
      </c>
      <c r="B64" s="41">
        <v>1772</v>
      </c>
      <c r="C64" s="42" t="s">
        <v>2499</v>
      </c>
      <c r="D64" s="709"/>
      <c r="E64" s="718"/>
      <c r="F64" s="709"/>
      <c r="G64" s="718"/>
      <c r="H64" s="709"/>
      <c r="I64" s="718"/>
      <c r="J64" s="43"/>
      <c r="K64" s="37"/>
      <c r="L64" s="38"/>
      <c r="M64" s="44" t="s">
        <v>397</v>
      </c>
      <c r="N64" s="45" t="s">
        <v>398</v>
      </c>
      <c r="O64" s="46">
        <v>1</v>
      </c>
      <c r="P64" s="35"/>
      <c r="R64" s="57"/>
      <c r="U64" s="57"/>
      <c r="X64" s="57"/>
      <c r="Y64" s="35"/>
      <c r="AA64" s="47">
        <f>ROUND((_11_A身体１．０*_11・２人),0)+ROUND((ROUND((_11_B身体１．０＿１．０*_11・２人),0)*(1+_11・B夜間)),0)+ROUND((ROUND((_11_C身体１．０＿１．０＿０．５*_11・２人),0)*(1+_11・C深夜)),0)</f>
        <v>858</v>
      </c>
      <c r="AB64" s="48"/>
    </row>
    <row r="65" spans="1:28" ht="16.5" customHeight="1" x14ac:dyDescent="0.15">
      <c r="A65" s="41">
        <v>11</v>
      </c>
      <c r="B65" s="41">
        <v>1773</v>
      </c>
      <c r="C65" s="42" t="s">
        <v>2500</v>
      </c>
      <c r="D65" s="709"/>
      <c r="E65" s="718"/>
      <c r="F65" s="709"/>
      <c r="G65" s="718"/>
      <c r="H65" s="709"/>
      <c r="I65" s="718"/>
      <c r="J65" s="705" t="s">
        <v>400</v>
      </c>
      <c r="K65" s="49" t="s">
        <v>398</v>
      </c>
      <c r="L65" s="50">
        <v>0.7</v>
      </c>
      <c r="M65" s="44"/>
      <c r="N65" s="45"/>
      <c r="O65" s="46"/>
      <c r="P65" s="35"/>
      <c r="R65" s="57"/>
      <c r="U65" s="57"/>
      <c r="X65" s="57"/>
      <c r="Y65" s="35"/>
      <c r="AA65" s="47">
        <f>ROUND((_11_A身体１．０*_11・基礎１),0)+ROUND((ROUND((_11_B身体１．０＿１．０*_11・基礎１),0)*(1+_11・B夜間)),0)+ROUND((ROUND((_11_C身体１．０＿１．０＿０．５*_11・基礎１),0)*(1+_11・C深夜)),0)</f>
        <v>601</v>
      </c>
      <c r="AB65" s="48"/>
    </row>
    <row r="66" spans="1:28" ht="16.5" customHeight="1" x14ac:dyDescent="0.15">
      <c r="A66" s="41">
        <v>11</v>
      </c>
      <c r="B66" s="41">
        <v>1774</v>
      </c>
      <c r="C66" s="42" t="s">
        <v>2501</v>
      </c>
      <c r="D66" s="100">
        <f>_11_A身体１．０</f>
        <v>402</v>
      </c>
      <c r="E66" s="12" t="s">
        <v>392</v>
      </c>
      <c r="F66" s="100">
        <f>_11_B身体１．０＿１．０</f>
        <v>264</v>
      </c>
      <c r="G66" s="12" t="s">
        <v>392</v>
      </c>
      <c r="H66" s="100">
        <f>_11_C身体１．０＿１．０＿０．５</f>
        <v>84</v>
      </c>
      <c r="I66" s="12" t="s">
        <v>392</v>
      </c>
      <c r="J66" s="711"/>
      <c r="K66" s="37"/>
      <c r="L66" s="38"/>
      <c r="M66" s="44" t="s">
        <v>397</v>
      </c>
      <c r="N66" s="45" t="s">
        <v>398</v>
      </c>
      <c r="O66" s="46">
        <v>1</v>
      </c>
      <c r="P66" s="35"/>
      <c r="R66" s="57"/>
      <c r="U66" s="57"/>
      <c r="X66" s="57"/>
      <c r="Y66" s="43"/>
      <c r="Z66" s="37"/>
      <c r="AA66" s="47">
        <f>ROUND((ROUND((_11_A身体１．０*_11・基礎１),0)*_11・２人),0)+ROUND((ROUND((ROUND((_11_B身体１．０＿１．０*_11・基礎１),0)*_11・２人),0)*(1+_11・B夜間)),0)+ROUND((ROUND((ROUND((_11_C身体１．０＿１．０＿０．５*_11・基礎１),0)*_11・２人),0)*(1+_11・C深夜)),0)</f>
        <v>601</v>
      </c>
      <c r="AB66" s="48"/>
    </row>
    <row r="67" spans="1:28" ht="16.5" customHeight="1" x14ac:dyDescent="0.15">
      <c r="A67" s="41">
        <v>11</v>
      </c>
      <c r="B67" s="41" t="s">
        <v>2502</v>
      </c>
      <c r="C67" s="42" t="s">
        <v>2503</v>
      </c>
      <c r="D67" s="121"/>
      <c r="E67" s="99"/>
      <c r="F67" s="121"/>
      <c r="G67" s="99"/>
      <c r="H67" s="121"/>
      <c r="I67" s="99"/>
      <c r="J67" s="53"/>
      <c r="K67" s="49"/>
      <c r="L67" s="50"/>
      <c r="M67" s="44"/>
      <c r="N67" s="45"/>
      <c r="O67" s="46"/>
      <c r="P67" s="35"/>
      <c r="R67" s="57"/>
      <c r="U67" s="57"/>
      <c r="X67" s="57"/>
      <c r="Y67" s="707" t="s">
        <v>404</v>
      </c>
      <c r="Z67" s="708"/>
      <c r="AA67" s="47">
        <f>ROUND((_11_A身体１．０*_11・初任),0)+ROUND((ROUND((_11_B身体１．０＿１．０*(1+_11・B夜間)),0)*_11・初任),0)+ROUND((ROUND((_11_C身体１．０＿１．０＿０．５*(1+_11・C深夜)),0)*_11・初任),0)</f>
        <v>600</v>
      </c>
      <c r="AB67" s="48"/>
    </row>
    <row r="68" spans="1:28" ht="16.5" customHeight="1" x14ac:dyDescent="0.15">
      <c r="A68" s="41">
        <v>11</v>
      </c>
      <c r="B68" s="41" t="s">
        <v>2504</v>
      </c>
      <c r="C68" s="42" t="s">
        <v>2505</v>
      </c>
      <c r="D68" s="121"/>
      <c r="E68" s="99"/>
      <c r="F68" s="121"/>
      <c r="G68" s="99"/>
      <c r="H68" s="121"/>
      <c r="I68" s="99"/>
      <c r="J68" s="43"/>
      <c r="K68" s="37"/>
      <c r="L68" s="38"/>
      <c r="M68" s="44" t="s">
        <v>397</v>
      </c>
      <c r="N68" s="45" t="s">
        <v>398</v>
      </c>
      <c r="O68" s="46">
        <v>1</v>
      </c>
      <c r="P68" s="35"/>
      <c r="R68" s="57"/>
      <c r="U68" s="57"/>
      <c r="X68" s="57"/>
      <c r="Y68" s="709"/>
      <c r="Z68" s="704"/>
      <c r="AA68" s="47">
        <f>ROUND((ROUND((_11_A身体１．０*_11・２人),0)*_11・初任),0)+ROUND((ROUND((ROUND((_11_B身体１．０＿１．０*_11・２人),0)*(1+_11・B夜間)),0)*_11・初任),0)+ROUND((ROUND((ROUND((_11_C身体１．０＿１．０＿０．５*_11・２人),0)*(1+_11・C深夜)),0)*_11・初任),0)</f>
        <v>600</v>
      </c>
      <c r="AB68" s="48"/>
    </row>
    <row r="69" spans="1:28" ht="16.5" customHeight="1" x14ac:dyDescent="0.15">
      <c r="A69" s="41">
        <v>11</v>
      </c>
      <c r="B69" s="41" t="s">
        <v>2506</v>
      </c>
      <c r="C69" s="42" t="s">
        <v>2507</v>
      </c>
      <c r="D69" s="72"/>
      <c r="E69" s="99"/>
      <c r="F69" s="72"/>
      <c r="G69" s="99"/>
      <c r="H69" s="72"/>
      <c r="I69" s="99"/>
      <c r="J69" s="705" t="s">
        <v>400</v>
      </c>
      <c r="K69" s="49" t="s">
        <v>398</v>
      </c>
      <c r="L69" s="50">
        <v>0.7</v>
      </c>
      <c r="M69" s="44"/>
      <c r="N69" s="45"/>
      <c r="O69" s="46"/>
      <c r="P69" s="35"/>
      <c r="R69" s="57"/>
      <c r="U69" s="57"/>
      <c r="X69" s="57"/>
      <c r="Y69" s="709"/>
      <c r="Z69" s="704"/>
      <c r="AA69" s="47">
        <f>ROUND((ROUND((_11_A身体１．０*_11・基礎１),0)*_11・初任),0)+ROUND((ROUND((ROUND((_11_B身体１．０＿１．０*_11・基礎１),0)*(1+_11・B夜間)),0)*_11・初任),0)+ROUND((ROUND((ROUND((_11_C身体１．０＿１．０＿０．５*_11・基礎１),0)*(1+_11・C深夜)),0)*_11・初任),0)</f>
        <v>421</v>
      </c>
      <c r="AB69" s="48"/>
    </row>
    <row r="70" spans="1:28" ht="16.5" customHeight="1" x14ac:dyDescent="0.15">
      <c r="A70" s="41">
        <v>11</v>
      </c>
      <c r="B70" s="41" t="s">
        <v>2508</v>
      </c>
      <c r="C70" s="42" t="s">
        <v>2509</v>
      </c>
      <c r="D70" s="72"/>
      <c r="E70" s="99"/>
      <c r="F70" s="72"/>
      <c r="G70" s="99"/>
      <c r="H70" s="72"/>
      <c r="I70" s="99"/>
      <c r="J70" s="711"/>
      <c r="K70" s="37"/>
      <c r="L70" s="38"/>
      <c r="M70" s="44" t="s">
        <v>397</v>
      </c>
      <c r="N70" s="45" t="s">
        <v>398</v>
      </c>
      <c r="O70" s="46">
        <v>1</v>
      </c>
      <c r="P70" s="35"/>
      <c r="R70" s="57"/>
      <c r="U70" s="57"/>
      <c r="X70" s="57"/>
      <c r="Y70" s="55" t="s">
        <v>398</v>
      </c>
      <c r="Z70" s="38">
        <f>_11・初任</f>
        <v>0.7</v>
      </c>
      <c r="AA70" s="47">
        <f>ROUND((ROUND((ROUND((_11_A身体１．０*_11・基礎１),0)*_11・２人),0)*_11・初任),0)+ROUND((ROUND((ROUND((ROUND((_11_B身体１．０＿１．０*_11・基礎１),0)*_11・２人),0)*(1+_11・B夜間)),0)*_11・初任),0)+ROUND((ROUND((ROUND((ROUND((_11_C身体１．０＿１．０＿０．５*_11・基礎１),0)*_11・２人),0)*(1+_11・C深夜)),0)*_11・初任),0)</f>
        <v>421</v>
      </c>
      <c r="AB70" s="48"/>
    </row>
    <row r="71" spans="1:28" ht="16.5" customHeight="1" x14ac:dyDescent="0.15">
      <c r="A71" s="41">
        <v>11</v>
      </c>
      <c r="B71" s="41">
        <v>1775</v>
      </c>
      <c r="C71" s="42" t="s">
        <v>2510</v>
      </c>
      <c r="D71" s="132"/>
      <c r="E71" s="106"/>
      <c r="F71" s="132"/>
      <c r="G71" s="106"/>
      <c r="H71" s="707" t="s">
        <v>1695</v>
      </c>
      <c r="I71" s="717"/>
      <c r="J71" s="53"/>
      <c r="K71" s="49"/>
      <c r="L71" s="50"/>
      <c r="M71" s="44"/>
      <c r="N71" s="45"/>
      <c r="O71" s="46"/>
      <c r="P71" s="35"/>
      <c r="R71" s="57"/>
      <c r="U71" s="57"/>
      <c r="X71" s="57"/>
      <c r="Y71" s="53"/>
      <c r="Z71" s="49"/>
      <c r="AA71" s="47">
        <f>_11_A身体１．０+ROUND((_11_B身体１．０＿１．０*(1+_11・B夜間)),0)+ROUND((_11_C身体１．０＿１．０＿１．０*(1+_11・C深夜)),0)</f>
        <v>983</v>
      </c>
      <c r="AB71" s="48"/>
    </row>
    <row r="72" spans="1:28" ht="16.5" customHeight="1" x14ac:dyDescent="0.15">
      <c r="A72" s="41">
        <v>11</v>
      </c>
      <c r="B72" s="41">
        <v>1776</v>
      </c>
      <c r="C72" s="42" t="s">
        <v>2511</v>
      </c>
      <c r="D72" s="132"/>
      <c r="E72" s="106"/>
      <c r="F72" s="132"/>
      <c r="G72" s="106"/>
      <c r="H72" s="709"/>
      <c r="I72" s="718"/>
      <c r="J72" s="43"/>
      <c r="K72" s="37"/>
      <c r="L72" s="38"/>
      <c r="M72" s="44" t="s">
        <v>397</v>
      </c>
      <c r="N72" s="45" t="s">
        <v>398</v>
      </c>
      <c r="O72" s="46">
        <v>1</v>
      </c>
      <c r="P72" s="35"/>
      <c r="R72" s="57"/>
      <c r="U72" s="57"/>
      <c r="X72" s="57"/>
      <c r="Y72" s="35"/>
      <c r="AA72" s="47">
        <f>ROUND((_11_A身体１．０*_11・２人),0)+ROUND((ROUND((_11_B身体１．０＿１．０*_11・２人),0)*(1+_11・B夜間)),0)+ROUND((ROUND((_11_C身体１．０＿１．０＿１．０*_11・２人),0)*(1+_11・C深夜)),0)</f>
        <v>983</v>
      </c>
      <c r="AB72" s="48"/>
    </row>
    <row r="73" spans="1:28" ht="16.5" customHeight="1" x14ac:dyDescent="0.15">
      <c r="A73" s="41">
        <v>11</v>
      </c>
      <c r="B73" s="41">
        <v>1777</v>
      </c>
      <c r="C73" s="42" t="s">
        <v>2512</v>
      </c>
      <c r="D73" s="132"/>
      <c r="E73" s="106"/>
      <c r="F73" s="132"/>
      <c r="G73" s="106"/>
      <c r="H73" s="709"/>
      <c r="I73" s="718"/>
      <c r="J73" s="705" t="s">
        <v>400</v>
      </c>
      <c r="K73" s="49" t="s">
        <v>398</v>
      </c>
      <c r="L73" s="50">
        <v>0.7</v>
      </c>
      <c r="M73" s="44"/>
      <c r="N73" s="45"/>
      <c r="O73" s="46"/>
      <c r="P73" s="35"/>
      <c r="R73" s="57"/>
      <c r="U73" s="57"/>
      <c r="X73" s="57"/>
      <c r="Y73" s="35"/>
      <c r="AA73" s="47">
        <f>ROUND((_11_A身体１．０*_11・基礎１),0)+ROUND((ROUND((_11_B身体１．０＿１．０*_11・基礎１),0)*(1+_11・B夜間)),0)+ROUND((ROUND((_11_C身体１．０＿１．０＿１．０*_11・基礎１),0)*(1+_11・C深夜)),0)</f>
        <v>688</v>
      </c>
      <c r="AB73" s="48"/>
    </row>
    <row r="74" spans="1:28" ht="16.5" customHeight="1" x14ac:dyDescent="0.15">
      <c r="A74" s="41">
        <v>11</v>
      </c>
      <c r="B74" s="41">
        <v>1778</v>
      </c>
      <c r="C74" s="42" t="s">
        <v>2513</v>
      </c>
      <c r="D74" s="141"/>
      <c r="E74" s="57"/>
      <c r="F74" s="141"/>
      <c r="G74" s="57"/>
      <c r="H74" s="100">
        <f>_11_C身体１．０＿１．０＿１．０</f>
        <v>167</v>
      </c>
      <c r="I74" s="12" t="s">
        <v>392</v>
      </c>
      <c r="J74" s="711"/>
      <c r="K74" s="37"/>
      <c r="L74" s="38"/>
      <c r="M74" s="44" t="s">
        <v>397</v>
      </c>
      <c r="N74" s="45" t="s">
        <v>398</v>
      </c>
      <c r="O74" s="46">
        <v>1</v>
      </c>
      <c r="P74" s="35"/>
      <c r="R74" s="57"/>
      <c r="U74" s="57"/>
      <c r="X74" s="57"/>
      <c r="Y74" s="43"/>
      <c r="Z74" s="37"/>
      <c r="AA74" s="47">
        <f>ROUND((ROUND((_11_A身体１．０*_11・基礎１),0)*_11・２人),0)+ROUND((ROUND((ROUND((_11_B身体１．０＿１．０*_11・基礎１),0)*_11・２人),0)*(1+_11・B夜間)),0)+ROUND((ROUND((ROUND((_11_C身体１．０＿１．０＿１．０*_11・基礎１),0)*_11・２人),0)*(1+_11・C深夜)),0)</f>
        <v>688</v>
      </c>
      <c r="AB74" s="48"/>
    </row>
    <row r="75" spans="1:28" ht="16.5" customHeight="1" x14ac:dyDescent="0.15">
      <c r="A75" s="41">
        <v>11</v>
      </c>
      <c r="B75" s="41" t="s">
        <v>2514</v>
      </c>
      <c r="C75" s="42" t="s">
        <v>2515</v>
      </c>
      <c r="D75" s="72"/>
      <c r="E75" s="108"/>
      <c r="F75" s="72"/>
      <c r="G75" s="108"/>
      <c r="H75" s="121"/>
      <c r="I75" s="99"/>
      <c r="J75" s="53"/>
      <c r="K75" s="49"/>
      <c r="L75" s="50"/>
      <c r="M75" s="44"/>
      <c r="N75" s="45"/>
      <c r="O75" s="46"/>
      <c r="P75" s="35"/>
      <c r="R75" s="57"/>
      <c r="U75" s="57"/>
      <c r="X75" s="57"/>
      <c r="Y75" s="707" t="s">
        <v>404</v>
      </c>
      <c r="Z75" s="708"/>
      <c r="AA75" s="47">
        <f>ROUND((_11_A身体１．０*_11・初任),0)+ROUND((ROUND((_11_B身体１．０＿１．０*(1+_11・B夜間)),0)*_11・初任),0)+ROUND((ROUND((_11_C身体１．０＿１．０＿１．０*(1+_11・C深夜)),0)*_11・初任),0)</f>
        <v>688</v>
      </c>
      <c r="AB75" s="48"/>
    </row>
    <row r="76" spans="1:28" ht="16.5" customHeight="1" x14ac:dyDescent="0.15">
      <c r="A76" s="41">
        <v>11</v>
      </c>
      <c r="B76" s="41" t="s">
        <v>2516</v>
      </c>
      <c r="C76" s="42" t="s">
        <v>2517</v>
      </c>
      <c r="D76" s="72"/>
      <c r="E76" s="99"/>
      <c r="F76" s="72"/>
      <c r="G76" s="99"/>
      <c r="H76" s="121"/>
      <c r="I76" s="99"/>
      <c r="J76" s="43"/>
      <c r="K76" s="37"/>
      <c r="L76" s="38"/>
      <c r="M76" s="44" t="s">
        <v>397</v>
      </c>
      <c r="N76" s="45" t="s">
        <v>398</v>
      </c>
      <c r="O76" s="46">
        <v>1</v>
      </c>
      <c r="P76" s="35"/>
      <c r="R76" s="57"/>
      <c r="U76" s="57"/>
      <c r="X76" s="57"/>
      <c r="Y76" s="709"/>
      <c r="Z76" s="704"/>
      <c r="AA76" s="47">
        <f>ROUND((ROUND((_11_A身体１．０*_11・２人),0)*_11・初任),0)+ROUND((ROUND((ROUND((_11_B身体１．０＿１．０*_11・２人),0)*(1+_11・B夜間)),0)*_11・初任),0)+ROUND((ROUND((ROUND((_11_C身体１．０＿１．０＿１．０*_11・２人),0)*(1+_11・C深夜)),0)*_11・初任),0)</f>
        <v>688</v>
      </c>
      <c r="AB76" s="48"/>
    </row>
    <row r="77" spans="1:28" ht="16.5" customHeight="1" x14ac:dyDescent="0.15">
      <c r="A77" s="41">
        <v>11</v>
      </c>
      <c r="B77" s="41" t="s">
        <v>2518</v>
      </c>
      <c r="C77" s="42" t="s">
        <v>2519</v>
      </c>
      <c r="D77" s="72"/>
      <c r="E77" s="99"/>
      <c r="F77" s="72"/>
      <c r="G77" s="99"/>
      <c r="H77" s="72"/>
      <c r="I77" s="99"/>
      <c r="J77" s="705" t="s">
        <v>400</v>
      </c>
      <c r="K77" s="49" t="s">
        <v>398</v>
      </c>
      <c r="L77" s="50">
        <v>0.7</v>
      </c>
      <c r="M77" s="44"/>
      <c r="N77" s="45"/>
      <c r="O77" s="46"/>
      <c r="P77" s="35"/>
      <c r="R77" s="57"/>
      <c r="U77" s="57"/>
      <c r="X77" s="57"/>
      <c r="Y77" s="709"/>
      <c r="Z77" s="704"/>
      <c r="AA77" s="47">
        <f>ROUND((ROUND((_11_A身体１．０*_11・基礎１),0)*_11・初任),0)+ROUND((ROUND((ROUND((_11_B身体１．０＿１．０*_11・基礎１),0)*(1+_11・B夜間)),0)*_11・初任),0)+ROUND((ROUND((ROUND((_11_C身体１．０＿１．０＿１．０*_11・基礎１),0)*(1+_11・C深夜)),0)*_11・初任),0)</f>
        <v>482</v>
      </c>
      <c r="AB77" s="48"/>
    </row>
    <row r="78" spans="1:28" ht="16.5" customHeight="1" x14ac:dyDescent="0.15">
      <c r="A78" s="41">
        <v>11</v>
      </c>
      <c r="B78" s="41" t="s">
        <v>2520</v>
      </c>
      <c r="C78" s="42" t="s">
        <v>2521</v>
      </c>
      <c r="D78" s="72"/>
      <c r="E78" s="99"/>
      <c r="F78" s="72"/>
      <c r="G78" s="99"/>
      <c r="H78" s="72"/>
      <c r="I78" s="99"/>
      <c r="J78" s="711"/>
      <c r="K78" s="37"/>
      <c r="L78" s="38"/>
      <c r="M78" s="44" t="s">
        <v>397</v>
      </c>
      <c r="N78" s="45" t="s">
        <v>398</v>
      </c>
      <c r="O78" s="46">
        <v>1</v>
      </c>
      <c r="P78" s="35"/>
      <c r="R78" s="57"/>
      <c r="U78" s="57"/>
      <c r="X78" s="57"/>
      <c r="Y78" s="55" t="s">
        <v>398</v>
      </c>
      <c r="Z78" s="38">
        <f>_11・初任</f>
        <v>0.7</v>
      </c>
      <c r="AA78" s="47">
        <f>ROUND((ROUND((ROUND((_11_A身体１．０*_11・基礎１),0)*_11・２人),0)*_11・初任),0)+ROUND((ROUND((ROUND((ROUND((_11_B身体１．０＿１．０*_11・基礎１),0)*_11・２人),0)*(1+_11・B夜間)),0)*_11・初任),0)+ROUND((ROUND((ROUND((ROUND((_11_C身体１．０＿１．０＿１．０*_11・基礎１),0)*_11・２人),0)*(1+_11・C深夜)),0)*_11・初任),0)</f>
        <v>482</v>
      </c>
      <c r="AB78" s="48"/>
    </row>
    <row r="79" spans="1:28" ht="16.5" customHeight="1" x14ac:dyDescent="0.15">
      <c r="A79" s="41">
        <v>11</v>
      </c>
      <c r="B79" s="41">
        <v>1779</v>
      </c>
      <c r="C79" s="42" t="s">
        <v>2522</v>
      </c>
      <c r="D79" s="707" t="s">
        <v>2523</v>
      </c>
      <c r="E79" s="717"/>
      <c r="F79" s="707" t="s">
        <v>2461</v>
      </c>
      <c r="G79" s="717"/>
      <c r="H79" s="707" t="s">
        <v>1617</v>
      </c>
      <c r="I79" s="717"/>
      <c r="J79" s="53"/>
      <c r="K79" s="49"/>
      <c r="L79" s="50"/>
      <c r="M79" s="44"/>
      <c r="N79" s="45"/>
      <c r="O79" s="46"/>
      <c r="P79" s="35"/>
      <c r="R79" s="57"/>
      <c r="U79" s="57"/>
      <c r="X79" s="57"/>
      <c r="Y79" s="53"/>
      <c r="Z79" s="49"/>
      <c r="AA79" s="47">
        <f>_11_A身体１．５+ROUND((_11_B身体１．５＿１．０*(1+_11・B夜間)),0)+ROUND((_11_C身体１．５＿１．０＿０．５*(1+_11・C深夜)),0)</f>
        <v>917</v>
      </c>
      <c r="AB79" s="48"/>
    </row>
    <row r="80" spans="1:28" ht="16.5" customHeight="1" x14ac:dyDescent="0.15">
      <c r="A80" s="41">
        <v>11</v>
      </c>
      <c r="B80" s="41">
        <v>1780</v>
      </c>
      <c r="C80" s="42" t="s">
        <v>2524</v>
      </c>
      <c r="D80" s="709"/>
      <c r="E80" s="718"/>
      <c r="F80" s="709"/>
      <c r="G80" s="718"/>
      <c r="H80" s="709"/>
      <c r="I80" s="718"/>
      <c r="J80" s="43"/>
      <c r="K80" s="37"/>
      <c r="L80" s="38"/>
      <c r="M80" s="44" t="s">
        <v>397</v>
      </c>
      <c r="N80" s="45" t="s">
        <v>398</v>
      </c>
      <c r="O80" s="46">
        <v>1</v>
      </c>
      <c r="P80" s="35"/>
      <c r="R80" s="57"/>
      <c r="U80" s="57"/>
      <c r="X80" s="57"/>
      <c r="Y80" s="35"/>
      <c r="AA80" s="47">
        <f>ROUND((_11_A身体１．５*_11・２人),0)+ROUND((ROUND((_11_B身体１．５＿１．０*_11・２人),0)*(1+_11・B夜間)),0)+ROUND((ROUND((_11_C身体１．５＿１．０＿０．５*_11・２人),0)*(1+_11・C深夜)),0)</f>
        <v>917</v>
      </c>
      <c r="AB80" s="48"/>
    </row>
    <row r="81" spans="1:28" ht="16.5" customHeight="1" x14ac:dyDescent="0.15">
      <c r="A81" s="41">
        <v>11</v>
      </c>
      <c r="B81" s="41">
        <v>1781</v>
      </c>
      <c r="C81" s="42" t="s">
        <v>2525</v>
      </c>
      <c r="D81" s="709"/>
      <c r="E81" s="718"/>
      <c r="F81" s="709"/>
      <c r="G81" s="718"/>
      <c r="H81" s="709"/>
      <c r="I81" s="718"/>
      <c r="J81" s="705" t="s">
        <v>400</v>
      </c>
      <c r="K81" s="49" t="s">
        <v>398</v>
      </c>
      <c r="L81" s="50">
        <v>0.7</v>
      </c>
      <c r="M81" s="44"/>
      <c r="N81" s="45"/>
      <c r="O81" s="46"/>
      <c r="P81" s="35"/>
      <c r="R81" s="57"/>
      <c r="U81" s="57"/>
      <c r="X81" s="57"/>
      <c r="Y81" s="35"/>
      <c r="AA81" s="47">
        <f>ROUND((_11_A身体１．５*_11・基礎１),0)+ROUND((ROUND((_11_B身体１．５＿１．０*_11・基礎１),0)*(1+_11・B夜間)),0)+ROUND((ROUND((_11_C身体１．５＿１．０＿０．５*_11・基礎１),0)*(1+_11・C深夜)),0)</f>
        <v>641</v>
      </c>
      <c r="AB81" s="48"/>
    </row>
    <row r="82" spans="1:28" ht="16.5" customHeight="1" x14ac:dyDescent="0.15">
      <c r="A82" s="41">
        <v>11</v>
      </c>
      <c r="B82" s="41">
        <v>1782</v>
      </c>
      <c r="C82" s="42" t="s">
        <v>2526</v>
      </c>
      <c r="D82" s="100">
        <f>_11_A身体１．５</f>
        <v>584</v>
      </c>
      <c r="E82" s="12" t="s">
        <v>392</v>
      </c>
      <c r="F82" s="100">
        <f>_11_B身体１．５＿１．０</f>
        <v>166</v>
      </c>
      <c r="G82" s="12" t="s">
        <v>392</v>
      </c>
      <c r="H82" s="100">
        <f>_11_C身体１．５＿１．０＿０．５</f>
        <v>83</v>
      </c>
      <c r="I82" s="12" t="s">
        <v>392</v>
      </c>
      <c r="J82" s="711"/>
      <c r="K82" s="37"/>
      <c r="L82" s="38"/>
      <c r="M82" s="44" t="s">
        <v>397</v>
      </c>
      <c r="N82" s="45" t="s">
        <v>398</v>
      </c>
      <c r="O82" s="46">
        <v>1</v>
      </c>
      <c r="P82" s="35"/>
      <c r="R82" s="57"/>
      <c r="U82" s="57"/>
      <c r="X82" s="57"/>
      <c r="Y82" s="43"/>
      <c r="Z82" s="37"/>
      <c r="AA82" s="47">
        <f>ROUND((ROUND((_11_A身体１．５*_11・基礎１),0)*_11・２人),0)+ROUND((ROUND((ROUND((_11_B身体１．５＿１．０*_11・基礎１),0)*_11・２人),0)*(1+_11・B夜間)),0)+ROUND((ROUND((ROUND((_11_C身体１．５＿１．０＿０．５*_11・基礎１),0)*_11・２人),0)*(1+_11・C深夜)),0)</f>
        <v>641</v>
      </c>
      <c r="AB82" s="48"/>
    </row>
    <row r="83" spans="1:28" ht="16.5" customHeight="1" x14ac:dyDescent="0.15">
      <c r="A83" s="41">
        <v>11</v>
      </c>
      <c r="B83" s="41" t="s">
        <v>2527</v>
      </c>
      <c r="C83" s="42" t="s">
        <v>2528</v>
      </c>
      <c r="D83" s="121"/>
      <c r="E83" s="99"/>
      <c r="F83" s="121"/>
      <c r="G83" s="99"/>
      <c r="H83" s="121"/>
      <c r="I83" s="99"/>
      <c r="J83" s="53"/>
      <c r="K83" s="49"/>
      <c r="L83" s="50"/>
      <c r="M83" s="44"/>
      <c r="N83" s="45"/>
      <c r="O83" s="46"/>
      <c r="P83" s="35"/>
      <c r="R83" s="57"/>
      <c r="U83" s="57"/>
      <c r="X83" s="57"/>
      <c r="Y83" s="707" t="s">
        <v>404</v>
      </c>
      <c r="Z83" s="708"/>
      <c r="AA83" s="47">
        <f>ROUND((_11_A身体１．５*_11・初任),0)+ROUND((ROUND((_11_B身体１．５＿１．０*(1+_11・B夜間)),0)*_11・初任),0)+ROUND((ROUND((_11_C身体１．５＿１．０＿０．５*(1+_11・C深夜)),0)*_11・初任),0)</f>
        <v>643</v>
      </c>
      <c r="AB83" s="48"/>
    </row>
    <row r="84" spans="1:28" ht="16.5" customHeight="1" x14ac:dyDescent="0.15">
      <c r="A84" s="41">
        <v>11</v>
      </c>
      <c r="B84" s="41" t="s">
        <v>2529</v>
      </c>
      <c r="C84" s="42" t="s">
        <v>2530</v>
      </c>
      <c r="D84" s="121"/>
      <c r="E84" s="99"/>
      <c r="F84" s="121"/>
      <c r="G84" s="99"/>
      <c r="H84" s="121"/>
      <c r="I84" s="99"/>
      <c r="J84" s="43"/>
      <c r="K84" s="37"/>
      <c r="L84" s="38"/>
      <c r="M84" s="44" t="s">
        <v>397</v>
      </c>
      <c r="N84" s="45" t="s">
        <v>398</v>
      </c>
      <c r="O84" s="46">
        <v>1</v>
      </c>
      <c r="P84" s="35"/>
      <c r="R84" s="57"/>
      <c r="U84" s="57"/>
      <c r="X84" s="57"/>
      <c r="Y84" s="709"/>
      <c r="Z84" s="704"/>
      <c r="AA84" s="47">
        <f>ROUND((ROUND((_11_A身体１．５*_11・２人),0)*_11・初任),0)+ROUND((ROUND((ROUND((_11_B身体１．５＿１．０*_11・２人),0)*(1+_11・B夜間)),0)*_11・初任),0)+ROUND((ROUND((ROUND((_11_C身体１．５＿１．０＿０．５*_11・２人),0)*(1+_11・C深夜)),0)*_11・初任),0)</f>
        <v>643</v>
      </c>
      <c r="AB84" s="48"/>
    </row>
    <row r="85" spans="1:28" ht="16.5" customHeight="1" x14ac:dyDescent="0.15">
      <c r="A85" s="41">
        <v>11</v>
      </c>
      <c r="B85" s="41" t="s">
        <v>2531</v>
      </c>
      <c r="C85" s="42" t="s">
        <v>2532</v>
      </c>
      <c r="D85" s="72"/>
      <c r="E85" s="99"/>
      <c r="F85" s="72"/>
      <c r="G85" s="99"/>
      <c r="H85" s="72"/>
      <c r="I85" s="99"/>
      <c r="J85" s="705" t="s">
        <v>400</v>
      </c>
      <c r="K85" s="49" t="s">
        <v>398</v>
      </c>
      <c r="L85" s="50">
        <v>0.7</v>
      </c>
      <c r="M85" s="44"/>
      <c r="N85" s="45"/>
      <c r="O85" s="46"/>
      <c r="P85" s="35"/>
      <c r="R85" s="57"/>
      <c r="U85" s="57"/>
      <c r="X85" s="57"/>
      <c r="Y85" s="709"/>
      <c r="Z85" s="704"/>
      <c r="AA85" s="47">
        <f>ROUND((ROUND((_11_A身体１．５*_11・基礎１),0)*_11・初任),0)+ROUND((ROUND((ROUND((_11_B身体１．５＿１．０*_11・基礎１),0)*(1+_11・B夜間)),0)*_11・初任),0)+ROUND((ROUND((ROUND((_11_C身体１．５＿１．０＿０．５*_11・基礎１),0)*(1+_11・C深夜)),0)*_11・初任),0)</f>
        <v>449</v>
      </c>
      <c r="AB85" s="48"/>
    </row>
    <row r="86" spans="1:28" ht="16.5" customHeight="1" x14ac:dyDescent="0.15">
      <c r="A86" s="41">
        <v>11</v>
      </c>
      <c r="B86" s="41" t="s">
        <v>2533</v>
      </c>
      <c r="C86" s="42" t="s">
        <v>2534</v>
      </c>
      <c r="D86" s="122"/>
      <c r="E86" s="111"/>
      <c r="F86" s="122"/>
      <c r="G86" s="111"/>
      <c r="H86" s="122"/>
      <c r="I86" s="113"/>
      <c r="J86" s="711"/>
      <c r="K86" s="37"/>
      <c r="L86" s="38"/>
      <c r="M86" s="44" t="s">
        <v>397</v>
      </c>
      <c r="N86" s="45" t="s">
        <v>398</v>
      </c>
      <c r="O86" s="46">
        <v>1</v>
      </c>
      <c r="P86" s="43"/>
      <c r="Q86" s="38"/>
      <c r="R86" s="79"/>
      <c r="S86" s="37"/>
      <c r="T86" s="38"/>
      <c r="U86" s="79"/>
      <c r="V86" s="37"/>
      <c r="W86" s="38"/>
      <c r="X86" s="79"/>
      <c r="Y86" s="55" t="s">
        <v>398</v>
      </c>
      <c r="Z86" s="38">
        <f>_11・初任</f>
        <v>0.7</v>
      </c>
      <c r="AA86" s="47">
        <f>ROUND((ROUND((ROUND((_11_A身体１．５*_11・基礎１),0)*_11・２人),0)*_11・初任),0)+ROUND((ROUND((ROUND((ROUND((_11_B身体１．５＿１．０*_11・基礎１),0)*_11・２人),0)*(1+_11・B夜間)),0)*_11・初任),0)+ROUND((ROUND((ROUND((ROUND((_11_C身体１．５＿１．０＿０．５*_11・基礎１),0)*_11・２人),0)*(1+_11・C深夜)),0)*_11・初任),0)</f>
        <v>449</v>
      </c>
      <c r="AB86" s="63"/>
    </row>
    <row r="87" spans="1:28" ht="16.5" customHeight="1" x14ac:dyDescent="0.15">
      <c r="A87" s="41">
        <v>11</v>
      </c>
      <c r="B87" s="41">
        <v>1783</v>
      </c>
      <c r="C87" s="42" t="s">
        <v>2535</v>
      </c>
      <c r="D87" s="707" t="s">
        <v>2536</v>
      </c>
      <c r="E87" s="717"/>
      <c r="F87" s="707" t="s">
        <v>1415</v>
      </c>
      <c r="G87" s="717"/>
      <c r="H87" s="707" t="s">
        <v>1617</v>
      </c>
      <c r="I87" s="717"/>
      <c r="J87" s="53"/>
      <c r="K87" s="49"/>
      <c r="L87" s="50"/>
      <c r="M87" s="44"/>
      <c r="N87" s="45"/>
      <c r="O87" s="46"/>
      <c r="P87" s="35"/>
      <c r="R87" s="57"/>
      <c r="S87" s="72" t="s">
        <v>1416</v>
      </c>
      <c r="U87" s="57"/>
      <c r="V87" s="72" t="s">
        <v>1618</v>
      </c>
      <c r="X87" s="57"/>
      <c r="Y87" s="53"/>
      <c r="Z87" s="49"/>
      <c r="AA87" s="47">
        <f>_11_A身体０．５+ROUND((_11_B身体０．５＿０．５*(1+_11・B夜間)),0)+ROUND((_11_C身体０．５＿０．５＿０．５*(1+_11・C深夜)),0)</f>
        <v>712</v>
      </c>
      <c r="AB87" s="48"/>
    </row>
    <row r="88" spans="1:28" ht="16.5" customHeight="1" x14ac:dyDescent="0.15">
      <c r="A88" s="41">
        <v>11</v>
      </c>
      <c r="B88" s="41">
        <v>1784</v>
      </c>
      <c r="C88" s="42" t="s">
        <v>2537</v>
      </c>
      <c r="D88" s="709"/>
      <c r="E88" s="718"/>
      <c r="F88" s="709"/>
      <c r="G88" s="718"/>
      <c r="H88" s="709"/>
      <c r="I88" s="718"/>
      <c r="J88" s="43"/>
      <c r="K88" s="37"/>
      <c r="L88" s="38"/>
      <c r="M88" s="44" t="s">
        <v>397</v>
      </c>
      <c r="N88" s="45" t="s">
        <v>398</v>
      </c>
      <c r="O88" s="46">
        <v>1</v>
      </c>
      <c r="P88" s="35"/>
      <c r="R88" s="57"/>
      <c r="S88" s="12" t="s">
        <v>398</v>
      </c>
      <c r="T88" s="13">
        <v>0.25</v>
      </c>
      <c r="U88" s="728" t="s">
        <v>676</v>
      </c>
      <c r="V88" s="12" t="s">
        <v>398</v>
      </c>
      <c r="W88" s="13">
        <v>0.5</v>
      </c>
      <c r="X88" s="728" t="s">
        <v>676</v>
      </c>
      <c r="Y88" s="35"/>
      <c r="AA88" s="47">
        <f>ROUND((_11_A身体０．５*_11・２人),0)+ROUND((ROUND((_11_B身体０．５＿０．５*_11・２人),0)*(1+_11・B夜間)),0)+ROUND((ROUND((_11_C身体０．５＿０．５＿０．５*_11・２人),0)*(1+_11・C深夜)),0)</f>
        <v>712</v>
      </c>
      <c r="AB88" s="48"/>
    </row>
    <row r="89" spans="1:28" ht="16.5" customHeight="1" x14ac:dyDescent="0.15">
      <c r="A89" s="41">
        <v>11</v>
      </c>
      <c r="B89" s="41">
        <v>1785</v>
      </c>
      <c r="C89" s="42" t="s">
        <v>2538</v>
      </c>
      <c r="D89" s="709"/>
      <c r="E89" s="718"/>
      <c r="F89" s="709"/>
      <c r="G89" s="718"/>
      <c r="H89" s="709"/>
      <c r="I89" s="718"/>
      <c r="J89" s="705" t="s">
        <v>400</v>
      </c>
      <c r="K89" s="49" t="s">
        <v>398</v>
      </c>
      <c r="L89" s="50">
        <v>0.7</v>
      </c>
      <c r="M89" s="44"/>
      <c r="N89" s="45"/>
      <c r="O89" s="46"/>
      <c r="P89" s="35"/>
      <c r="R89" s="57"/>
      <c r="U89" s="728"/>
      <c r="X89" s="728"/>
      <c r="Y89" s="35"/>
      <c r="AA89" s="47">
        <f>ROUND((_11_A身体０．５*_11・基礎１),0)+ROUND((ROUND((_11_B身体０．５＿０．５*_11・基礎１),0)*(1+_11・B夜間)),0)+ROUND((ROUND((_11_C身体０．５＿０．５＿０．５*_11・基礎１),0)*(1+_11・C深夜)),0)</f>
        <v>499</v>
      </c>
      <c r="AB89" s="48"/>
    </row>
    <row r="90" spans="1:28" ht="16.5" customHeight="1" x14ac:dyDescent="0.15">
      <c r="A90" s="41">
        <v>11</v>
      </c>
      <c r="B90" s="41">
        <v>1786</v>
      </c>
      <c r="C90" s="42" t="s">
        <v>2539</v>
      </c>
      <c r="D90" s="100">
        <f>_11_A身体０．５</f>
        <v>255</v>
      </c>
      <c r="E90" s="12" t="s">
        <v>392</v>
      </c>
      <c r="F90" s="100">
        <f>_11_B身体０．５＿０．５</f>
        <v>147</v>
      </c>
      <c r="G90" s="12" t="s">
        <v>392</v>
      </c>
      <c r="H90" s="100">
        <f>_11_C身体０．５＿０．５＿０．５</f>
        <v>182</v>
      </c>
      <c r="I90" s="12" t="s">
        <v>392</v>
      </c>
      <c r="J90" s="711"/>
      <c r="K90" s="37"/>
      <c r="L90" s="38"/>
      <c r="M90" s="44" t="s">
        <v>397</v>
      </c>
      <c r="N90" s="45" t="s">
        <v>398</v>
      </c>
      <c r="O90" s="46">
        <v>1</v>
      </c>
      <c r="P90" s="35"/>
      <c r="R90" s="57"/>
      <c r="U90" s="57"/>
      <c r="X90" s="57"/>
      <c r="Y90" s="43"/>
      <c r="Z90" s="37"/>
      <c r="AA90" s="47">
        <f>ROUND((ROUND((_11_A身体０．５*_11・基礎１),0)*_11・２人),0)+ROUND((ROUND((ROUND((_11_B身体０．５＿０．５*_11・基礎１),0)*_11・２人),0)*(1+_11・B夜間)),0)+ROUND((ROUND((ROUND((_11_C身体０．５＿０．５＿０．５*_11・基礎１),0)*_11・２人),0)*(1+_11・C深夜)),0)</f>
        <v>499</v>
      </c>
      <c r="AB90" s="48"/>
    </row>
    <row r="91" spans="1:28" ht="16.5" customHeight="1" x14ac:dyDescent="0.15">
      <c r="A91" s="41">
        <v>11</v>
      </c>
      <c r="B91" s="41" t="s">
        <v>2540</v>
      </c>
      <c r="C91" s="42" t="s">
        <v>2541</v>
      </c>
      <c r="D91" s="121"/>
      <c r="E91" s="99"/>
      <c r="F91" s="121"/>
      <c r="G91" s="99"/>
      <c r="H91" s="121"/>
      <c r="I91" s="99"/>
      <c r="J91" s="53"/>
      <c r="K91" s="49"/>
      <c r="L91" s="50"/>
      <c r="M91" s="44"/>
      <c r="N91" s="45"/>
      <c r="O91" s="46"/>
      <c r="P91" s="35"/>
      <c r="R91" s="57"/>
      <c r="U91" s="57"/>
      <c r="X91" s="57"/>
      <c r="Y91" s="707" t="s">
        <v>404</v>
      </c>
      <c r="Z91" s="708"/>
      <c r="AA91" s="47">
        <f>ROUND((_11_A身体０．５*_11・初任),0)+ROUND((ROUND((_11_B身体０．５＿０．５*(1+_11・B夜間)),0)*_11・初任),0)+ROUND((ROUND((_11_C身体０．５＿０．５＿０．５*(1+_11・C深夜)),0)*_11・初任),0)</f>
        <v>499</v>
      </c>
      <c r="AB91" s="48"/>
    </row>
    <row r="92" spans="1:28" ht="16.5" customHeight="1" x14ac:dyDescent="0.15">
      <c r="A92" s="41">
        <v>11</v>
      </c>
      <c r="B92" s="41" t="s">
        <v>2542</v>
      </c>
      <c r="C92" s="42" t="s">
        <v>2543</v>
      </c>
      <c r="D92" s="121"/>
      <c r="E92" s="99"/>
      <c r="F92" s="121"/>
      <c r="G92" s="99"/>
      <c r="H92" s="121"/>
      <c r="I92" s="99"/>
      <c r="J92" s="43"/>
      <c r="K92" s="37"/>
      <c r="L92" s="38"/>
      <c r="M92" s="44" t="s">
        <v>397</v>
      </c>
      <c r="N92" s="45" t="s">
        <v>398</v>
      </c>
      <c r="O92" s="46">
        <v>1</v>
      </c>
      <c r="P92" s="35"/>
      <c r="R92" s="57"/>
      <c r="U92" s="57"/>
      <c r="X92" s="57"/>
      <c r="Y92" s="709"/>
      <c r="Z92" s="704"/>
      <c r="AA92" s="47">
        <f>ROUND((ROUND((_11_A身体０．５*_11・２人),0)*_11・初任),0)+ROUND((ROUND((ROUND((_11_B身体０．５＿０．５*_11・２人),0)*(1+_11・B夜間)),0)*_11・初任),0)+ROUND((ROUND((ROUND((_11_C身体０．５＿０．５＿０．５*_11・２人),0)*(1+_11・C深夜)),0)*_11・初任),0)</f>
        <v>499</v>
      </c>
      <c r="AB92" s="48"/>
    </row>
    <row r="93" spans="1:28" ht="16.5" customHeight="1" x14ac:dyDescent="0.15">
      <c r="A93" s="41">
        <v>11</v>
      </c>
      <c r="B93" s="41" t="s">
        <v>2544</v>
      </c>
      <c r="C93" s="42" t="s">
        <v>2545</v>
      </c>
      <c r="D93" s="72"/>
      <c r="E93" s="99"/>
      <c r="F93" s="72"/>
      <c r="G93" s="99"/>
      <c r="H93" s="72"/>
      <c r="I93" s="99"/>
      <c r="J93" s="705" t="s">
        <v>400</v>
      </c>
      <c r="K93" s="49" t="s">
        <v>398</v>
      </c>
      <c r="L93" s="50">
        <v>0.7</v>
      </c>
      <c r="M93" s="44"/>
      <c r="N93" s="45"/>
      <c r="O93" s="46"/>
      <c r="P93" s="35"/>
      <c r="R93" s="57"/>
      <c r="U93" s="57"/>
      <c r="X93" s="57"/>
      <c r="Y93" s="709"/>
      <c r="Z93" s="704"/>
      <c r="AA93" s="47">
        <f>ROUND((ROUND((_11_A身体０．５*_11・基礎１),0)*_11・初任),0)+ROUND((ROUND((ROUND((_11_B身体０．５＿０．５*_11・基礎１),0)*(1+_11・B夜間)),0)*_11・初任),0)+ROUND((ROUND((ROUND((_11_C身体０．５＿０．５＿０．５*_11・基礎１),0)*(1+_11・C深夜)),0)*_11・初任),0)</f>
        <v>349</v>
      </c>
      <c r="AB93" s="48"/>
    </row>
    <row r="94" spans="1:28" ht="16.5" customHeight="1" x14ac:dyDescent="0.15">
      <c r="A94" s="41">
        <v>11</v>
      </c>
      <c r="B94" s="41" t="s">
        <v>2546</v>
      </c>
      <c r="C94" s="42" t="s">
        <v>2547</v>
      </c>
      <c r="D94" s="72"/>
      <c r="E94" s="99"/>
      <c r="F94" s="72"/>
      <c r="G94" s="99"/>
      <c r="H94" s="72"/>
      <c r="I94" s="99"/>
      <c r="J94" s="711"/>
      <c r="K94" s="37"/>
      <c r="L94" s="38"/>
      <c r="M94" s="44" t="s">
        <v>397</v>
      </c>
      <c r="N94" s="45" t="s">
        <v>398</v>
      </c>
      <c r="O94" s="46">
        <v>1</v>
      </c>
      <c r="P94" s="35"/>
      <c r="R94" s="57"/>
      <c r="U94" s="57"/>
      <c r="X94" s="57"/>
      <c r="Y94" s="55" t="s">
        <v>398</v>
      </c>
      <c r="Z94" s="38">
        <f>_11・初任</f>
        <v>0.7</v>
      </c>
      <c r="AA94" s="47">
        <f>ROUND((ROUND((ROUND((_11_A身体０．５*_11・基礎１),0)*_11・２人),0)*_11・初任),0)+ROUND((ROUND((ROUND((ROUND((_11_B身体０．５＿０．５*_11・基礎１),0)*_11・２人),0)*(1+_11・B夜間)),0)*_11・初任),0)+ROUND((ROUND((ROUND((ROUND((_11_C身体０．５＿０．５＿０．５*_11・基礎１),0)*_11・２人),0)*(1+_11・C深夜)),0)*_11・初任),0)</f>
        <v>349</v>
      </c>
      <c r="AB94" s="48"/>
    </row>
    <row r="95" spans="1:28" ht="16.5" customHeight="1" x14ac:dyDescent="0.15">
      <c r="A95" s="41">
        <v>11</v>
      </c>
      <c r="B95" s="41">
        <v>1787</v>
      </c>
      <c r="C95" s="42" t="s">
        <v>2548</v>
      </c>
      <c r="D95" s="72"/>
      <c r="E95" s="99"/>
      <c r="F95" s="72"/>
      <c r="G95" s="99"/>
      <c r="H95" s="707" t="s">
        <v>1695</v>
      </c>
      <c r="I95" s="717"/>
      <c r="J95" s="53"/>
      <c r="K95" s="49"/>
      <c r="L95" s="50"/>
      <c r="M95" s="44"/>
      <c r="N95" s="45"/>
      <c r="O95" s="46"/>
      <c r="P95" s="35"/>
      <c r="R95" s="57"/>
      <c r="U95" s="57"/>
      <c r="X95" s="57"/>
      <c r="Y95" s="53"/>
      <c r="Z95" s="49"/>
      <c r="AA95" s="47">
        <f>_11_A身体０．５+ROUND((_11_B身体０．５＿０．５*(1+_11・B夜間)),0)+ROUND((_11_C身体０．５＿０．５＿１．０*(1+_11・C深夜)),0)</f>
        <v>835</v>
      </c>
      <c r="AB95" s="48"/>
    </row>
    <row r="96" spans="1:28" ht="16.5" customHeight="1" x14ac:dyDescent="0.15">
      <c r="A96" s="41">
        <v>11</v>
      </c>
      <c r="B96" s="41">
        <v>1788</v>
      </c>
      <c r="C96" s="42" t="s">
        <v>2549</v>
      </c>
      <c r="D96" s="72"/>
      <c r="E96" s="99"/>
      <c r="F96" s="72"/>
      <c r="G96" s="99"/>
      <c r="H96" s="709"/>
      <c r="I96" s="718"/>
      <c r="J96" s="43"/>
      <c r="K96" s="37"/>
      <c r="L96" s="38"/>
      <c r="M96" s="44" t="s">
        <v>397</v>
      </c>
      <c r="N96" s="45" t="s">
        <v>398</v>
      </c>
      <c r="O96" s="46">
        <v>1</v>
      </c>
      <c r="P96" s="35"/>
      <c r="R96" s="57"/>
      <c r="U96" s="57"/>
      <c r="X96" s="57"/>
      <c r="Y96" s="35"/>
      <c r="AA96" s="47">
        <f>ROUND((_11_A身体０．５*_11・２人),0)+ROUND((ROUND((_11_B身体０．５＿０．５*_11・２人),0)*(1+_11・B夜間)),0)+ROUND((ROUND((_11_C身体０．５＿０．５＿１．０*_11・２人),0)*(1+_11・C深夜)),0)</f>
        <v>835</v>
      </c>
      <c r="AB96" s="48"/>
    </row>
    <row r="97" spans="1:28" ht="16.5" customHeight="1" x14ac:dyDescent="0.15">
      <c r="A97" s="41">
        <v>11</v>
      </c>
      <c r="B97" s="41">
        <v>1789</v>
      </c>
      <c r="C97" s="42" t="s">
        <v>2550</v>
      </c>
      <c r="D97" s="72"/>
      <c r="E97" s="99"/>
      <c r="F97" s="72"/>
      <c r="G97" s="99"/>
      <c r="H97" s="709"/>
      <c r="I97" s="718"/>
      <c r="J97" s="705" t="s">
        <v>400</v>
      </c>
      <c r="K97" s="49" t="s">
        <v>398</v>
      </c>
      <c r="L97" s="50">
        <v>0.7</v>
      </c>
      <c r="M97" s="44"/>
      <c r="N97" s="45"/>
      <c r="O97" s="46"/>
      <c r="P97" s="35"/>
      <c r="R97" s="57"/>
      <c r="U97" s="57"/>
      <c r="X97" s="57"/>
      <c r="Y97" s="35"/>
      <c r="AA97" s="47">
        <f>ROUND((_11_A身体０．５*_11・基礎１),0)+ROUND((ROUND((_11_B身体０．５＿０．５*_11・基礎１),0)*(1+_11・B夜間)),0)+ROUND((ROUND((_11_C身体０．５＿０．５＿１．０*_11・基礎１),0)*(1+_11・C深夜)),0)</f>
        <v>586</v>
      </c>
      <c r="AB97" s="48"/>
    </row>
    <row r="98" spans="1:28" ht="16.5" customHeight="1" x14ac:dyDescent="0.15">
      <c r="A98" s="41">
        <v>11</v>
      </c>
      <c r="B98" s="41">
        <v>1790</v>
      </c>
      <c r="C98" s="42" t="s">
        <v>2551</v>
      </c>
      <c r="D98" s="72"/>
      <c r="E98" s="99"/>
      <c r="F98" s="72"/>
      <c r="G98" s="99"/>
      <c r="H98" s="100">
        <f>_11_C身体０．５＿０．５＿１．０</f>
        <v>264</v>
      </c>
      <c r="I98" s="12" t="s">
        <v>392</v>
      </c>
      <c r="J98" s="711"/>
      <c r="K98" s="37"/>
      <c r="L98" s="38"/>
      <c r="M98" s="44" t="s">
        <v>397</v>
      </c>
      <c r="N98" s="45" t="s">
        <v>398</v>
      </c>
      <c r="O98" s="46">
        <v>1</v>
      </c>
      <c r="P98" s="35"/>
      <c r="R98" s="57"/>
      <c r="U98" s="57"/>
      <c r="X98" s="57"/>
      <c r="Y98" s="43"/>
      <c r="Z98" s="37"/>
      <c r="AA98" s="47">
        <f>ROUND((ROUND((_11_A身体０．５*_11・基礎１),0)*_11・２人),0)+ROUND((ROUND((ROUND((_11_B身体０．５＿０．５*_11・基礎１),0)*_11・２人),0)*(1+_11・B夜間)),0)+ROUND((ROUND((ROUND((_11_C身体０．５＿０．５＿１．０*_11・基礎１),0)*_11・２人),0)*(1+_11・C深夜)),0)</f>
        <v>586</v>
      </c>
      <c r="AB98" s="48"/>
    </row>
    <row r="99" spans="1:28" ht="16.5" customHeight="1" x14ac:dyDescent="0.15">
      <c r="A99" s="41">
        <v>11</v>
      </c>
      <c r="B99" s="41" t="s">
        <v>2552</v>
      </c>
      <c r="C99" s="42" t="s">
        <v>2553</v>
      </c>
      <c r="D99" s="72"/>
      <c r="E99" s="99"/>
      <c r="F99" s="72"/>
      <c r="G99" s="99"/>
      <c r="H99" s="121"/>
      <c r="I99" s="99"/>
      <c r="J99" s="53"/>
      <c r="K99" s="49"/>
      <c r="L99" s="50"/>
      <c r="M99" s="44"/>
      <c r="N99" s="45"/>
      <c r="O99" s="46"/>
      <c r="P99" s="35"/>
      <c r="R99" s="57"/>
      <c r="U99" s="57"/>
      <c r="X99" s="57"/>
      <c r="Y99" s="707" t="s">
        <v>404</v>
      </c>
      <c r="Z99" s="708"/>
      <c r="AA99" s="47">
        <f>ROUND((_11_A身体０．５*_11・初任),0)+ROUND((ROUND((_11_B身体０．５＿０．５*(1+_11・B夜間)),0)*_11・初任),0)+ROUND((ROUND((_11_C身体０．５＿０．５＿１．０*(1+_11・C深夜)),0)*_11・初任),0)</f>
        <v>585</v>
      </c>
      <c r="AB99" s="48"/>
    </row>
    <row r="100" spans="1:28" ht="16.5" customHeight="1" x14ac:dyDescent="0.15">
      <c r="A100" s="41">
        <v>11</v>
      </c>
      <c r="B100" s="41" t="s">
        <v>2554</v>
      </c>
      <c r="C100" s="42" t="s">
        <v>2555</v>
      </c>
      <c r="D100" s="72"/>
      <c r="E100" s="99"/>
      <c r="F100" s="72"/>
      <c r="G100" s="99"/>
      <c r="H100" s="121"/>
      <c r="I100" s="99"/>
      <c r="J100" s="43"/>
      <c r="K100" s="37"/>
      <c r="L100" s="38"/>
      <c r="M100" s="44" t="s">
        <v>397</v>
      </c>
      <c r="N100" s="45" t="s">
        <v>398</v>
      </c>
      <c r="O100" s="46">
        <v>1</v>
      </c>
      <c r="P100" s="35"/>
      <c r="R100" s="57"/>
      <c r="U100" s="57"/>
      <c r="X100" s="57"/>
      <c r="Y100" s="709"/>
      <c r="Z100" s="704"/>
      <c r="AA100" s="47">
        <f>ROUND((ROUND((_11_A身体０．５*_11・２人),0)*_11・初任),0)+ROUND((ROUND((ROUND((_11_B身体０．５＿０．５*_11・２人),0)*(1+_11・B夜間)),0)*_11・初任),0)+ROUND((ROUND((ROUND((_11_C身体０．５＿０．５＿１．０*_11・２人),0)*(1+_11・C深夜)),0)*_11・初任),0)</f>
        <v>585</v>
      </c>
      <c r="AB100" s="48"/>
    </row>
    <row r="101" spans="1:28" ht="16.5" customHeight="1" x14ac:dyDescent="0.15">
      <c r="A101" s="41">
        <v>11</v>
      </c>
      <c r="B101" s="41" t="s">
        <v>2556</v>
      </c>
      <c r="C101" s="42" t="s">
        <v>2557</v>
      </c>
      <c r="D101" s="72"/>
      <c r="E101" s="99"/>
      <c r="F101" s="72"/>
      <c r="G101" s="99"/>
      <c r="H101" s="72"/>
      <c r="I101" s="99"/>
      <c r="J101" s="705" t="s">
        <v>400</v>
      </c>
      <c r="K101" s="49" t="s">
        <v>398</v>
      </c>
      <c r="L101" s="50">
        <v>0.7</v>
      </c>
      <c r="M101" s="44"/>
      <c r="N101" s="45"/>
      <c r="O101" s="46"/>
      <c r="P101" s="35"/>
      <c r="R101" s="57"/>
      <c r="U101" s="57"/>
      <c r="X101" s="57"/>
      <c r="Y101" s="709"/>
      <c r="Z101" s="704"/>
      <c r="AA101" s="47">
        <f>ROUND((ROUND((_11_A身体０．５*_11・基礎１),0)*_11・初任),0)+ROUND((ROUND((ROUND((_11_B身体０．５＿０．５*_11・基礎１),0)*(1+_11・B夜間)),0)*_11・初任),0)+ROUND((ROUND((ROUND((_11_C身体０．５＿０．５＿１．０*_11・基礎１),0)*(1+_11・C深夜)),0)*_11・初任),0)</f>
        <v>410</v>
      </c>
      <c r="AB101" s="48"/>
    </row>
    <row r="102" spans="1:28" ht="16.5" customHeight="1" x14ac:dyDescent="0.15">
      <c r="A102" s="41">
        <v>11</v>
      </c>
      <c r="B102" s="41" t="s">
        <v>2558</v>
      </c>
      <c r="C102" s="42" t="s">
        <v>2559</v>
      </c>
      <c r="D102" s="72"/>
      <c r="E102" s="99"/>
      <c r="F102" s="72"/>
      <c r="G102" s="99"/>
      <c r="H102" s="122"/>
      <c r="I102" s="111"/>
      <c r="J102" s="711"/>
      <c r="K102" s="37"/>
      <c r="L102" s="38"/>
      <c r="M102" s="44" t="s">
        <v>397</v>
      </c>
      <c r="N102" s="45" t="s">
        <v>398</v>
      </c>
      <c r="O102" s="46">
        <v>1</v>
      </c>
      <c r="P102" s="35"/>
      <c r="R102" s="57"/>
      <c r="U102" s="57"/>
      <c r="X102" s="57"/>
      <c r="Y102" s="55" t="s">
        <v>398</v>
      </c>
      <c r="Z102" s="38">
        <f>_11・初任</f>
        <v>0.7</v>
      </c>
      <c r="AA102" s="47">
        <f>ROUND((ROUND((ROUND((_11_A身体０．５*_11・基礎１),0)*_11・２人),0)*_11・初任),0)+ROUND((ROUND((ROUND((ROUND((_11_B身体０．５＿０．５*_11・基礎１),0)*_11・２人),0)*(1+_11・B夜間)),0)*_11・初任),0)+ROUND((ROUND((ROUND((ROUND((_11_C身体０．５＿０．５＿１．０*_11・基礎１),0)*_11・２人),0)*(1+_11・C深夜)),0)*_11・初任),0)</f>
        <v>410</v>
      </c>
      <c r="AB102" s="48"/>
    </row>
    <row r="103" spans="1:28" ht="16.5" customHeight="1" x14ac:dyDescent="0.15">
      <c r="A103" s="33">
        <v>11</v>
      </c>
      <c r="B103" s="33">
        <v>1791</v>
      </c>
      <c r="C103" s="144" t="s">
        <v>2560</v>
      </c>
      <c r="D103" s="132"/>
      <c r="E103" s="106"/>
      <c r="F103" s="132"/>
      <c r="G103" s="106"/>
      <c r="H103" s="709" t="s">
        <v>1644</v>
      </c>
      <c r="I103" s="718"/>
      <c r="J103" s="35"/>
      <c r="M103" s="36"/>
      <c r="N103" s="37"/>
      <c r="O103" s="38"/>
      <c r="P103" s="35"/>
      <c r="R103" s="57"/>
      <c r="S103" s="72"/>
      <c r="U103" s="57"/>
      <c r="V103" s="72"/>
      <c r="X103" s="57"/>
      <c r="Y103" s="35"/>
      <c r="AA103" s="39">
        <f>_11_A身体０．５+ROUND((_11_B身体０．５＿０．５*(1+_11・B夜間)),0)+ROUND((_11_C身体０．５＿０．５＿１．５*(1+_11・C深夜)),0)</f>
        <v>961</v>
      </c>
      <c r="AB103" s="48"/>
    </row>
    <row r="104" spans="1:28" ht="16.5" customHeight="1" x14ac:dyDescent="0.15">
      <c r="A104" s="41">
        <v>11</v>
      </c>
      <c r="B104" s="41">
        <v>1792</v>
      </c>
      <c r="C104" s="42" t="s">
        <v>2561</v>
      </c>
      <c r="D104" s="132"/>
      <c r="E104" s="106"/>
      <c r="F104" s="132"/>
      <c r="G104" s="106"/>
      <c r="H104" s="709"/>
      <c r="I104" s="718"/>
      <c r="J104" s="43"/>
      <c r="K104" s="37"/>
      <c r="L104" s="38"/>
      <c r="M104" s="44" t="s">
        <v>397</v>
      </c>
      <c r="N104" s="45" t="s">
        <v>398</v>
      </c>
      <c r="O104" s="46">
        <v>1</v>
      </c>
      <c r="P104" s="35"/>
      <c r="R104" s="57"/>
      <c r="U104" s="145"/>
      <c r="X104" s="145"/>
      <c r="Y104" s="35"/>
      <c r="AA104" s="47">
        <f>ROUND((_11_A身体０．５*_11・２人),0)+ROUND((ROUND((_11_B身体０．５＿０．５*_11・２人),0)*(1+_11・B夜間)),0)+ROUND((ROUND((_11_C身体０．５＿０．５＿１．５*_11・２人),0)*(1+_11・C深夜)),0)</f>
        <v>961</v>
      </c>
      <c r="AB104" s="48"/>
    </row>
    <row r="105" spans="1:28" ht="16.5" customHeight="1" x14ac:dyDescent="0.15">
      <c r="A105" s="41">
        <v>11</v>
      </c>
      <c r="B105" s="41">
        <v>1793</v>
      </c>
      <c r="C105" s="42" t="s">
        <v>2562</v>
      </c>
      <c r="D105" s="132"/>
      <c r="E105" s="106"/>
      <c r="F105" s="132"/>
      <c r="G105" s="106"/>
      <c r="H105" s="709"/>
      <c r="I105" s="718"/>
      <c r="J105" s="705" t="s">
        <v>400</v>
      </c>
      <c r="K105" s="49" t="s">
        <v>398</v>
      </c>
      <c r="L105" s="50">
        <v>0.7</v>
      </c>
      <c r="M105" s="44"/>
      <c r="N105" s="45"/>
      <c r="O105" s="46"/>
      <c r="P105" s="35"/>
      <c r="R105" s="57"/>
      <c r="U105" s="145"/>
      <c r="X105" s="145"/>
      <c r="Y105" s="35"/>
      <c r="AA105" s="47">
        <f>ROUND((_11_A身体０．５*_11・基礎１),0)+ROUND((ROUND((_11_B身体０．５＿０．５*_11・基礎１),0)*(1+_11・B夜間)),0)+ROUND((ROUND((_11_C身体０．５＿０．５＿１．５*_11・基礎１),0)*(1+_11・C深夜)),0)</f>
        <v>674</v>
      </c>
      <c r="AB105" s="48"/>
    </row>
    <row r="106" spans="1:28" ht="16.5" customHeight="1" x14ac:dyDescent="0.15">
      <c r="A106" s="41">
        <v>11</v>
      </c>
      <c r="B106" s="41">
        <v>1794</v>
      </c>
      <c r="C106" s="42" t="s">
        <v>2563</v>
      </c>
      <c r="D106" s="141"/>
      <c r="E106" s="12"/>
      <c r="F106" s="141"/>
      <c r="G106" s="57"/>
      <c r="H106" s="100">
        <f>_11_C身体０．５＿０．５＿１．５</f>
        <v>348</v>
      </c>
      <c r="I106" s="12" t="s">
        <v>392</v>
      </c>
      <c r="J106" s="711"/>
      <c r="K106" s="37"/>
      <c r="L106" s="38"/>
      <c r="M106" s="44" t="s">
        <v>397</v>
      </c>
      <c r="N106" s="45" t="s">
        <v>398</v>
      </c>
      <c r="O106" s="46">
        <v>1</v>
      </c>
      <c r="P106" s="35"/>
      <c r="R106" s="57"/>
      <c r="U106" s="57"/>
      <c r="X106" s="57"/>
      <c r="Y106" s="43"/>
      <c r="Z106" s="37"/>
      <c r="AA106" s="47">
        <f>ROUND((ROUND((_11_A身体０．５*_11・基礎１),0)*_11・２人),0)+ROUND((ROUND((ROUND((_11_B身体０．５＿０．５*_11・基礎１),0)*_11・２人),0)*(1+_11・B夜間)),0)+ROUND((ROUND((ROUND((_11_C身体０．５＿０．５＿１．５*_11・基礎１),0)*_11・２人),0)*(1+_11・C深夜)),0)</f>
        <v>674</v>
      </c>
      <c r="AB106" s="48"/>
    </row>
    <row r="107" spans="1:28" ht="16.5" customHeight="1" x14ac:dyDescent="0.15">
      <c r="A107" s="41">
        <v>11</v>
      </c>
      <c r="B107" s="41" t="s">
        <v>2564</v>
      </c>
      <c r="C107" s="42" t="s">
        <v>2565</v>
      </c>
      <c r="D107" s="72"/>
      <c r="E107" s="142"/>
      <c r="F107" s="72"/>
      <c r="G107" s="108"/>
      <c r="H107" s="121"/>
      <c r="I107" s="99"/>
      <c r="J107" s="53"/>
      <c r="K107" s="49"/>
      <c r="L107" s="50"/>
      <c r="M107" s="44"/>
      <c r="N107" s="45"/>
      <c r="O107" s="46"/>
      <c r="P107" s="35"/>
      <c r="R107" s="57"/>
      <c r="U107" s="57"/>
      <c r="X107" s="57"/>
      <c r="Y107" s="707" t="s">
        <v>404</v>
      </c>
      <c r="Z107" s="708"/>
      <c r="AA107" s="47">
        <f>ROUND((_11_A身体０．５*_11・初任),0)+ROUND((ROUND((_11_B身体０．５＿０．５*(1+_11・B夜間)),0)*_11・初任),0)+ROUND((ROUND((_11_C身体０．５＿０．５＿１．５*(1+_11・C深夜)),0)*_11・初任),0)</f>
        <v>673</v>
      </c>
      <c r="AB107" s="48"/>
    </row>
    <row r="108" spans="1:28" ht="16.5" customHeight="1" x14ac:dyDescent="0.15">
      <c r="A108" s="41">
        <v>11</v>
      </c>
      <c r="B108" s="41" t="s">
        <v>2566</v>
      </c>
      <c r="C108" s="42" t="s">
        <v>2567</v>
      </c>
      <c r="D108" s="72"/>
      <c r="E108" s="99"/>
      <c r="F108" s="72"/>
      <c r="G108" s="99"/>
      <c r="H108" s="121"/>
      <c r="I108" s="99"/>
      <c r="J108" s="43"/>
      <c r="K108" s="37"/>
      <c r="L108" s="38"/>
      <c r="M108" s="44" t="s">
        <v>397</v>
      </c>
      <c r="N108" s="45" t="s">
        <v>398</v>
      </c>
      <c r="O108" s="46">
        <v>1</v>
      </c>
      <c r="P108" s="35"/>
      <c r="R108" s="57"/>
      <c r="U108" s="57"/>
      <c r="X108" s="57"/>
      <c r="Y108" s="709"/>
      <c r="Z108" s="704"/>
      <c r="AA108" s="47">
        <f>ROUND((ROUND((_11_A身体０．５*_11・２人),0)*_11・初任),0)+ROUND((ROUND((ROUND((_11_B身体０．５＿０．５*_11・２人),0)*(1+_11・B夜間)),0)*_11・初任),0)+ROUND((ROUND((ROUND((_11_C身体０．５＿０．５＿１．５*_11・２人),0)*(1+_11・C深夜)),0)*_11・初任),0)</f>
        <v>673</v>
      </c>
      <c r="AB108" s="48"/>
    </row>
    <row r="109" spans="1:28" ht="16.5" customHeight="1" x14ac:dyDescent="0.15">
      <c r="A109" s="41">
        <v>11</v>
      </c>
      <c r="B109" s="41" t="s">
        <v>2568</v>
      </c>
      <c r="C109" s="42" t="s">
        <v>2569</v>
      </c>
      <c r="D109" s="72"/>
      <c r="E109" s="99"/>
      <c r="F109" s="72"/>
      <c r="G109" s="99"/>
      <c r="H109" s="72"/>
      <c r="I109" s="99"/>
      <c r="J109" s="705" t="s">
        <v>400</v>
      </c>
      <c r="K109" s="49" t="s">
        <v>398</v>
      </c>
      <c r="L109" s="50">
        <v>0.7</v>
      </c>
      <c r="M109" s="44"/>
      <c r="N109" s="45"/>
      <c r="O109" s="46"/>
      <c r="P109" s="35"/>
      <c r="R109" s="57"/>
      <c r="U109" s="57"/>
      <c r="X109" s="57"/>
      <c r="Y109" s="709"/>
      <c r="Z109" s="704"/>
      <c r="AA109" s="47">
        <f>ROUND((ROUND((_11_A身体０．５*_11・基礎１),0)*_11・初任),0)+ROUND((ROUND((ROUND((_11_B身体０．５＿０．５*_11・基礎１),0)*(1+_11・B夜間)),0)*_11・初任),0)+ROUND((ROUND((ROUND((_11_C身体０．５＿０．５＿１．５*_11・基礎１),0)*(1+_11・C深夜)),0)*_11・初任),0)</f>
        <v>471</v>
      </c>
      <c r="AB109" s="48"/>
    </row>
    <row r="110" spans="1:28" ht="16.5" customHeight="1" x14ac:dyDescent="0.15">
      <c r="A110" s="41">
        <v>11</v>
      </c>
      <c r="B110" s="41" t="s">
        <v>2570</v>
      </c>
      <c r="C110" s="42" t="s">
        <v>2571</v>
      </c>
      <c r="D110" s="72"/>
      <c r="E110" s="99"/>
      <c r="F110" s="72"/>
      <c r="G110" s="99"/>
      <c r="H110" s="72"/>
      <c r="I110" s="99"/>
      <c r="J110" s="711"/>
      <c r="K110" s="37"/>
      <c r="L110" s="38"/>
      <c r="M110" s="44" t="s">
        <v>397</v>
      </c>
      <c r="N110" s="45" t="s">
        <v>398</v>
      </c>
      <c r="O110" s="46">
        <v>1</v>
      </c>
      <c r="P110" s="35"/>
      <c r="R110" s="57"/>
      <c r="U110" s="57"/>
      <c r="X110" s="57"/>
      <c r="Y110" s="55" t="s">
        <v>398</v>
      </c>
      <c r="Z110" s="38">
        <f>_11・初任</f>
        <v>0.7</v>
      </c>
      <c r="AA110" s="47">
        <f>ROUND((ROUND((ROUND((_11_A身体０．５*_11・基礎１),0)*_11・２人),0)*_11・初任),0)+ROUND((ROUND((ROUND((ROUND((_11_B身体０．５＿０．５*_11・基礎１),0)*_11・２人),0)*(1+_11・B夜間)),0)*_11・初任),0)+ROUND((ROUND((ROUND((ROUND((_11_C身体０．５＿０．５＿１．５*_11・基礎１),0)*_11・２人),0)*(1+_11・C深夜)),0)*_11・初任),0)</f>
        <v>471</v>
      </c>
      <c r="AB110" s="48"/>
    </row>
    <row r="111" spans="1:28" ht="16.5" customHeight="1" x14ac:dyDescent="0.15">
      <c r="A111" s="41">
        <v>11</v>
      </c>
      <c r="B111" s="41">
        <v>1795</v>
      </c>
      <c r="C111" s="42" t="s">
        <v>2572</v>
      </c>
      <c r="D111" s="72"/>
      <c r="E111" s="99"/>
      <c r="F111" s="72"/>
      <c r="G111" s="99"/>
      <c r="H111" s="707" t="s">
        <v>1657</v>
      </c>
      <c r="I111" s="717"/>
      <c r="J111" s="53"/>
      <c r="K111" s="49"/>
      <c r="L111" s="50"/>
      <c r="M111" s="44"/>
      <c r="N111" s="45"/>
      <c r="O111" s="46"/>
      <c r="P111" s="35"/>
      <c r="R111" s="57"/>
      <c r="U111" s="57"/>
      <c r="X111" s="57"/>
      <c r="Y111" s="53"/>
      <c r="Z111" s="49"/>
      <c r="AA111" s="47">
        <f>_11_A身体０．５+ROUND((_11_B身体０．５＿０．５*(1+_11・B夜間)),0)+ROUND((_11_C身体０．５＿０．５＿２．０*(1+_11・C深夜)),0)</f>
        <v>1086</v>
      </c>
      <c r="AB111" s="48"/>
    </row>
    <row r="112" spans="1:28" ht="16.5" customHeight="1" x14ac:dyDescent="0.15">
      <c r="A112" s="41">
        <v>11</v>
      </c>
      <c r="B112" s="41">
        <v>1796</v>
      </c>
      <c r="C112" s="42" t="s">
        <v>2573</v>
      </c>
      <c r="D112" s="72"/>
      <c r="E112" s="99"/>
      <c r="F112" s="72"/>
      <c r="G112" s="99"/>
      <c r="H112" s="709"/>
      <c r="I112" s="718"/>
      <c r="J112" s="43"/>
      <c r="K112" s="37"/>
      <c r="L112" s="38"/>
      <c r="M112" s="44" t="s">
        <v>397</v>
      </c>
      <c r="N112" s="45" t="s">
        <v>398</v>
      </c>
      <c r="O112" s="46">
        <v>1</v>
      </c>
      <c r="P112" s="35"/>
      <c r="R112" s="57"/>
      <c r="U112" s="57"/>
      <c r="X112" s="57"/>
      <c r="Y112" s="35"/>
      <c r="AA112" s="47">
        <f>ROUND((_11_A身体０．５*_11・２人),0)+ROUND((ROUND((_11_B身体０．５＿０．５*_11・２人),0)*(1+_11・B夜間)),0)+ROUND((ROUND((_11_C身体０．５＿０．５＿２．０*_11・２人),0)*(1+_11・C深夜)),0)</f>
        <v>1086</v>
      </c>
      <c r="AB112" s="48"/>
    </row>
    <row r="113" spans="1:28" ht="16.5" customHeight="1" x14ac:dyDescent="0.15">
      <c r="A113" s="41">
        <v>11</v>
      </c>
      <c r="B113" s="41">
        <v>1797</v>
      </c>
      <c r="C113" s="42" t="s">
        <v>2574</v>
      </c>
      <c r="D113" s="72"/>
      <c r="E113" s="99"/>
      <c r="F113" s="72"/>
      <c r="G113" s="99"/>
      <c r="H113" s="709"/>
      <c r="I113" s="718"/>
      <c r="J113" s="705" t="s">
        <v>400</v>
      </c>
      <c r="K113" s="49" t="s">
        <v>398</v>
      </c>
      <c r="L113" s="50">
        <v>0.7</v>
      </c>
      <c r="M113" s="44"/>
      <c r="N113" s="45"/>
      <c r="O113" s="46"/>
      <c r="P113" s="35"/>
      <c r="R113" s="57"/>
      <c r="U113" s="57"/>
      <c r="X113" s="57"/>
      <c r="Y113" s="35"/>
      <c r="AA113" s="47">
        <f>ROUND((_11_A身体０．５*_11・基礎１),0)+ROUND((ROUND((_11_B身体０．５＿０．５*_11・基礎１),0)*(1+_11・B夜間)),0)+ROUND((ROUND((_11_C身体０．５＿０．５＿２．０*_11・基礎１),0)*(1+_11・C深夜)),0)</f>
        <v>761</v>
      </c>
      <c r="AB113" s="48"/>
    </row>
    <row r="114" spans="1:28" ht="16.5" customHeight="1" x14ac:dyDescent="0.15">
      <c r="A114" s="41">
        <v>11</v>
      </c>
      <c r="B114" s="41">
        <v>1798</v>
      </c>
      <c r="C114" s="42" t="s">
        <v>2575</v>
      </c>
      <c r="D114" s="72"/>
      <c r="E114" s="99"/>
      <c r="F114" s="72"/>
      <c r="G114" s="99"/>
      <c r="H114" s="100">
        <f>_11_C身体０．５＿０．５＿２．０</f>
        <v>431</v>
      </c>
      <c r="I114" s="12" t="s">
        <v>392</v>
      </c>
      <c r="J114" s="711"/>
      <c r="K114" s="37"/>
      <c r="L114" s="38"/>
      <c r="M114" s="44" t="s">
        <v>397</v>
      </c>
      <c r="N114" s="45" t="s">
        <v>398</v>
      </c>
      <c r="O114" s="46">
        <v>1</v>
      </c>
      <c r="P114" s="35"/>
      <c r="R114" s="57"/>
      <c r="U114" s="57"/>
      <c r="X114" s="57"/>
      <c r="Y114" s="43"/>
      <c r="Z114" s="37"/>
      <c r="AA114" s="47">
        <f>ROUND((ROUND((_11_A身体０．５*_11・基礎１),0)*_11・２人),0)+ROUND((ROUND((ROUND((_11_B身体０．５＿０．５*_11・基礎１),0)*_11・２人),0)*(1+_11・B夜間)),0)+ROUND((ROUND((ROUND((_11_C身体０．５＿０．５＿２．０*_11・基礎１),0)*_11・２人),0)*(1+_11・C深夜)),0)</f>
        <v>761</v>
      </c>
      <c r="AB114" s="48"/>
    </row>
    <row r="115" spans="1:28" ht="16.5" customHeight="1" x14ac:dyDescent="0.15">
      <c r="A115" s="41">
        <v>11</v>
      </c>
      <c r="B115" s="41" t="s">
        <v>2576</v>
      </c>
      <c r="C115" s="42" t="s">
        <v>2577</v>
      </c>
      <c r="D115" s="72"/>
      <c r="E115" s="99"/>
      <c r="F115" s="72"/>
      <c r="G115" s="99"/>
      <c r="H115" s="121"/>
      <c r="I115" s="99"/>
      <c r="J115" s="53"/>
      <c r="K115" s="49"/>
      <c r="L115" s="50"/>
      <c r="M115" s="44"/>
      <c r="N115" s="45"/>
      <c r="O115" s="46"/>
      <c r="P115" s="35"/>
      <c r="R115" s="57"/>
      <c r="U115" s="57"/>
      <c r="X115" s="57"/>
      <c r="Y115" s="707" t="s">
        <v>404</v>
      </c>
      <c r="Z115" s="708"/>
      <c r="AA115" s="47">
        <f>ROUND((_11_A身体０．５*_11・初任),0)+ROUND((ROUND((_11_B身体０．５＿０．５*(1+_11・B夜間)),0)*_11・初任),0)+ROUND((ROUND((_11_C身体０．５＿０．５＿２．０*(1+_11・C深夜)),0)*_11・初任),0)</f>
        <v>761</v>
      </c>
      <c r="AB115" s="48"/>
    </row>
    <row r="116" spans="1:28" ht="16.5" customHeight="1" x14ac:dyDescent="0.15">
      <c r="A116" s="41">
        <v>11</v>
      </c>
      <c r="B116" s="41" t="s">
        <v>2578</v>
      </c>
      <c r="C116" s="42" t="s">
        <v>2579</v>
      </c>
      <c r="D116" s="72"/>
      <c r="E116" s="99"/>
      <c r="F116" s="72"/>
      <c r="G116" s="99"/>
      <c r="H116" s="121"/>
      <c r="I116" s="99"/>
      <c r="J116" s="43"/>
      <c r="K116" s="37"/>
      <c r="L116" s="38"/>
      <c r="M116" s="44" t="s">
        <v>397</v>
      </c>
      <c r="N116" s="45" t="s">
        <v>398</v>
      </c>
      <c r="O116" s="46">
        <v>1</v>
      </c>
      <c r="P116" s="35"/>
      <c r="R116" s="57"/>
      <c r="U116" s="57"/>
      <c r="X116" s="57"/>
      <c r="Y116" s="709"/>
      <c r="Z116" s="704"/>
      <c r="AA116" s="47">
        <f>ROUND((ROUND((_11_A身体０．５*_11・２人),0)*_11・初任),0)+ROUND((ROUND((ROUND((_11_B身体０．５＿０．５*_11・２人),0)*(1+_11・B夜間)),0)*_11・初任),0)+ROUND((ROUND((ROUND((_11_C身体０．５＿０．５＿２．０*_11・２人),0)*(1+_11・C深夜)),0)*_11・初任),0)</f>
        <v>761</v>
      </c>
      <c r="AB116" s="48"/>
    </row>
    <row r="117" spans="1:28" ht="16.5" customHeight="1" x14ac:dyDescent="0.15">
      <c r="A117" s="41">
        <v>11</v>
      </c>
      <c r="B117" s="41" t="s">
        <v>2580</v>
      </c>
      <c r="C117" s="42" t="s">
        <v>2581</v>
      </c>
      <c r="D117" s="72"/>
      <c r="E117" s="99"/>
      <c r="F117" s="72"/>
      <c r="G117" s="99"/>
      <c r="H117" s="72"/>
      <c r="I117" s="99"/>
      <c r="J117" s="705" t="s">
        <v>400</v>
      </c>
      <c r="K117" s="49" t="s">
        <v>398</v>
      </c>
      <c r="L117" s="50">
        <v>0.7</v>
      </c>
      <c r="M117" s="44"/>
      <c r="N117" s="45"/>
      <c r="O117" s="46"/>
      <c r="P117" s="35"/>
      <c r="R117" s="57"/>
      <c r="U117" s="57"/>
      <c r="X117" s="57"/>
      <c r="Y117" s="709"/>
      <c r="Z117" s="704"/>
      <c r="AA117" s="47">
        <f>ROUND((ROUND((_11_A身体０．５*_11・基礎１),0)*_11・初任),0)+ROUND((ROUND((ROUND((_11_B身体０．５＿０．５*_11・基礎１),0)*(1+_11・B夜間)),0)*_11・初任),0)+ROUND((ROUND((ROUND((_11_C身体０．５＿０．５＿２．０*_11・基礎１),0)*(1+_11・C深夜)),0)*_11・初任),0)</f>
        <v>532</v>
      </c>
      <c r="AB117" s="48"/>
    </row>
    <row r="118" spans="1:28" ht="16.5" customHeight="1" x14ac:dyDescent="0.15">
      <c r="A118" s="41">
        <v>11</v>
      </c>
      <c r="B118" s="41" t="s">
        <v>2582</v>
      </c>
      <c r="C118" s="42" t="s">
        <v>2583</v>
      </c>
      <c r="D118" s="72"/>
      <c r="E118" s="99"/>
      <c r="F118" s="72"/>
      <c r="G118" s="99"/>
      <c r="H118" s="72"/>
      <c r="I118" s="99"/>
      <c r="J118" s="711"/>
      <c r="K118" s="37"/>
      <c r="L118" s="38"/>
      <c r="M118" s="44" t="s">
        <v>397</v>
      </c>
      <c r="N118" s="45" t="s">
        <v>398</v>
      </c>
      <c r="O118" s="46">
        <v>1</v>
      </c>
      <c r="P118" s="35"/>
      <c r="R118" s="57"/>
      <c r="U118" s="57"/>
      <c r="X118" s="57"/>
      <c r="Y118" s="55" t="s">
        <v>398</v>
      </c>
      <c r="Z118" s="38">
        <f>_11・初任</f>
        <v>0.7</v>
      </c>
      <c r="AA118" s="47">
        <f>ROUND((ROUND((ROUND((_11_A身体０．５*_11・基礎１),0)*_11・２人),0)*_11・初任),0)+ROUND((ROUND((ROUND((ROUND((_11_B身体０．５＿０．５*_11・基礎１),0)*_11・２人),0)*(1+_11・B夜間)),0)*_11・初任),0)+ROUND((ROUND((ROUND((ROUND((_11_C身体０．５＿０．５＿２．０*_11・基礎１),0)*_11・２人),0)*(1+_11・C深夜)),0)*_11・初任),0)</f>
        <v>532</v>
      </c>
      <c r="AB118" s="48"/>
    </row>
    <row r="119" spans="1:28" ht="16.5" customHeight="1" x14ac:dyDescent="0.15">
      <c r="A119" s="41">
        <v>11</v>
      </c>
      <c r="B119" s="41">
        <v>1799</v>
      </c>
      <c r="C119" s="42" t="s">
        <v>2584</v>
      </c>
      <c r="D119" s="707" t="s">
        <v>2585</v>
      </c>
      <c r="E119" s="717"/>
      <c r="F119" s="707" t="s">
        <v>1415</v>
      </c>
      <c r="G119" s="717"/>
      <c r="H119" s="707" t="s">
        <v>1617</v>
      </c>
      <c r="I119" s="717"/>
      <c r="J119" s="53"/>
      <c r="K119" s="49"/>
      <c r="L119" s="50"/>
      <c r="M119" s="44"/>
      <c r="N119" s="45"/>
      <c r="O119" s="46"/>
      <c r="P119" s="35"/>
      <c r="R119" s="57"/>
      <c r="U119" s="57"/>
      <c r="X119" s="57"/>
      <c r="Y119" s="53"/>
      <c r="Z119" s="49"/>
      <c r="AA119" s="47">
        <f>_11_A身体１．０+ROUND((_11_B身体１．０＿０．５*(1+_11・B夜間)),0)+ROUND((_11_C身体１．０＿０．５＿０．５*(1+_11・C深夜)),0)</f>
        <v>753</v>
      </c>
      <c r="AB119" s="48"/>
    </row>
    <row r="120" spans="1:28" ht="16.5" customHeight="1" x14ac:dyDescent="0.15">
      <c r="A120" s="41">
        <v>11</v>
      </c>
      <c r="B120" s="41">
        <v>1800</v>
      </c>
      <c r="C120" s="42" t="s">
        <v>2586</v>
      </c>
      <c r="D120" s="709"/>
      <c r="E120" s="718"/>
      <c r="F120" s="709"/>
      <c r="G120" s="718"/>
      <c r="H120" s="709"/>
      <c r="I120" s="718"/>
      <c r="J120" s="43"/>
      <c r="K120" s="37"/>
      <c r="L120" s="38"/>
      <c r="M120" s="44" t="s">
        <v>397</v>
      </c>
      <c r="N120" s="45" t="s">
        <v>398</v>
      </c>
      <c r="O120" s="46">
        <v>1</v>
      </c>
      <c r="P120" s="35"/>
      <c r="R120" s="57"/>
      <c r="U120" s="57"/>
      <c r="X120" s="57"/>
      <c r="Y120" s="35"/>
      <c r="AA120" s="47">
        <f>ROUND((_11_A身体１．０*_11・２人),0)+ROUND((ROUND((_11_B身体１．０＿０．５*_11・２人),0)*(1+_11・B夜間)),0)+ROUND((ROUND((_11_C身体１．０＿０．５＿０．５*_11・２人),0)*(1+_11・C深夜)),0)</f>
        <v>753</v>
      </c>
      <c r="AB120" s="48"/>
    </row>
    <row r="121" spans="1:28" ht="16.5" customHeight="1" x14ac:dyDescent="0.15">
      <c r="A121" s="41">
        <v>11</v>
      </c>
      <c r="B121" s="41">
        <v>1801</v>
      </c>
      <c r="C121" s="42" t="s">
        <v>2587</v>
      </c>
      <c r="D121" s="709"/>
      <c r="E121" s="718"/>
      <c r="F121" s="709"/>
      <c r="G121" s="718"/>
      <c r="H121" s="709"/>
      <c r="I121" s="718"/>
      <c r="J121" s="705" t="s">
        <v>400</v>
      </c>
      <c r="K121" s="49" t="s">
        <v>398</v>
      </c>
      <c r="L121" s="50">
        <v>0.7</v>
      </c>
      <c r="M121" s="44"/>
      <c r="N121" s="45"/>
      <c r="O121" s="46"/>
      <c r="P121" s="35"/>
      <c r="R121" s="57"/>
      <c r="U121" s="57"/>
      <c r="X121" s="57"/>
      <c r="Y121" s="35"/>
      <c r="AA121" s="47">
        <f>ROUND((_11_A身体１．０*_11・基礎１),0)+ROUND((ROUND((_11_B身体１．０＿０．５*_11・基礎１),0)*(1+_11・B夜間)),0)+ROUND((ROUND((_11_C身体１．０＿０．５＿０．５*_11・基礎１),0)*(1+_11・C深夜)),0)</f>
        <v>526</v>
      </c>
      <c r="AB121" s="48"/>
    </row>
    <row r="122" spans="1:28" ht="16.5" customHeight="1" x14ac:dyDescent="0.15">
      <c r="A122" s="41">
        <v>11</v>
      </c>
      <c r="B122" s="41">
        <v>1802</v>
      </c>
      <c r="C122" s="42" t="s">
        <v>2588</v>
      </c>
      <c r="D122" s="100">
        <f>_11_A身体１．０</f>
        <v>402</v>
      </c>
      <c r="E122" s="12" t="s">
        <v>392</v>
      </c>
      <c r="F122" s="100">
        <f>_11_B身体１．０＿０．５</f>
        <v>182</v>
      </c>
      <c r="G122" s="12" t="s">
        <v>392</v>
      </c>
      <c r="H122" s="100">
        <f>_11_C身体１．０＿０．５＿０．５</f>
        <v>82</v>
      </c>
      <c r="I122" s="12" t="s">
        <v>392</v>
      </c>
      <c r="J122" s="711"/>
      <c r="K122" s="37"/>
      <c r="L122" s="38"/>
      <c r="M122" s="44" t="s">
        <v>397</v>
      </c>
      <c r="N122" s="45" t="s">
        <v>398</v>
      </c>
      <c r="O122" s="46">
        <v>1</v>
      </c>
      <c r="P122" s="35"/>
      <c r="R122" s="57"/>
      <c r="U122" s="57"/>
      <c r="X122" s="57"/>
      <c r="Y122" s="43"/>
      <c r="Z122" s="37"/>
      <c r="AA122" s="47">
        <f>ROUND((ROUND((_11_A身体１．０*_11・基礎１),0)*_11・２人),0)+ROUND((ROUND((ROUND((_11_B身体１．０＿０．５*_11・基礎１),0)*_11・２人),0)*(1+_11・B夜間)),0)+ROUND((ROUND((ROUND((_11_C身体１．０＿０．５＿０．５*_11・基礎１),0)*_11・２人),0)*(1+_11・C深夜)),0)</f>
        <v>526</v>
      </c>
      <c r="AB122" s="48"/>
    </row>
    <row r="123" spans="1:28" ht="16.5" customHeight="1" x14ac:dyDescent="0.15">
      <c r="A123" s="41">
        <v>11</v>
      </c>
      <c r="B123" s="41" t="s">
        <v>2589</v>
      </c>
      <c r="C123" s="42" t="s">
        <v>2590</v>
      </c>
      <c r="D123" s="121"/>
      <c r="E123" s="99"/>
      <c r="F123" s="121"/>
      <c r="G123" s="99"/>
      <c r="H123" s="121"/>
      <c r="I123" s="99"/>
      <c r="J123" s="53"/>
      <c r="K123" s="49"/>
      <c r="L123" s="50"/>
      <c r="M123" s="44"/>
      <c r="N123" s="45"/>
      <c r="O123" s="46"/>
      <c r="P123" s="35"/>
      <c r="R123" s="57"/>
      <c r="U123" s="57"/>
      <c r="X123" s="57"/>
      <c r="Y123" s="707" t="s">
        <v>404</v>
      </c>
      <c r="Z123" s="708"/>
      <c r="AA123" s="47">
        <f>ROUND((_11_A身体１．０*_11・初任),0)+ROUND((ROUND((_11_B身体１．０＿０．５*(1+_11・B夜間)),0)*_11・初任),0)+ROUND((ROUND((_11_C身体１．０＿０．５＿０．５*(1+_11・C深夜)),0)*_11・初任),0)</f>
        <v>527</v>
      </c>
      <c r="AB123" s="48"/>
    </row>
    <row r="124" spans="1:28" ht="16.5" customHeight="1" x14ac:dyDescent="0.15">
      <c r="A124" s="41">
        <v>11</v>
      </c>
      <c r="B124" s="41" t="s">
        <v>2591</v>
      </c>
      <c r="C124" s="42" t="s">
        <v>2592</v>
      </c>
      <c r="D124" s="121"/>
      <c r="E124" s="99"/>
      <c r="F124" s="121"/>
      <c r="G124" s="99"/>
      <c r="H124" s="121"/>
      <c r="I124" s="99"/>
      <c r="J124" s="43"/>
      <c r="K124" s="37"/>
      <c r="L124" s="38"/>
      <c r="M124" s="44" t="s">
        <v>397</v>
      </c>
      <c r="N124" s="45" t="s">
        <v>398</v>
      </c>
      <c r="O124" s="46">
        <v>1</v>
      </c>
      <c r="P124" s="35"/>
      <c r="R124" s="57"/>
      <c r="U124" s="57"/>
      <c r="X124" s="57"/>
      <c r="Y124" s="709"/>
      <c r="Z124" s="704"/>
      <c r="AA124" s="47">
        <f>ROUND((ROUND((_11_A身体１．０*_11・２人),0)*_11・初任),0)+ROUND((ROUND((ROUND((_11_B身体１．０＿０．５*_11・２人),0)*(1+_11・B夜間)),0)*_11・初任),0)+ROUND((ROUND((ROUND((_11_C身体１．０＿０．５＿０．５*_11・２人),0)*(1+_11・C深夜)),0)*_11・初任),0)</f>
        <v>527</v>
      </c>
      <c r="AB124" s="48"/>
    </row>
    <row r="125" spans="1:28" ht="16.5" customHeight="1" x14ac:dyDescent="0.15">
      <c r="A125" s="41">
        <v>11</v>
      </c>
      <c r="B125" s="41" t="s">
        <v>2593</v>
      </c>
      <c r="C125" s="42" t="s">
        <v>2594</v>
      </c>
      <c r="D125" s="72"/>
      <c r="E125" s="99"/>
      <c r="F125" s="72"/>
      <c r="G125" s="99"/>
      <c r="H125" s="72"/>
      <c r="I125" s="99"/>
      <c r="J125" s="705" t="s">
        <v>400</v>
      </c>
      <c r="K125" s="49" t="s">
        <v>398</v>
      </c>
      <c r="L125" s="50">
        <v>0.7</v>
      </c>
      <c r="M125" s="44"/>
      <c r="N125" s="45"/>
      <c r="O125" s="46"/>
      <c r="P125" s="35"/>
      <c r="R125" s="57"/>
      <c r="U125" s="57"/>
      <c r="X125" s="57"/>
      <c r="Y125" s="709"/>
      <c r="Z125" s="704"/>
      <c r="AA125" s="47">
        <f>ROUND((ROUND((_11_A身体１．０*_11・基礎１),0)*_11・初任),0)+ROUND((ROUND((ROUND((_11_B身体１．０＿０．５*_11・基礎１),0)*(1+_11・B夜間)),0)*_11・初任),0)+ROUND((ROUND((ROUND((_11_C身体１．０＿０．５＿０．５*_11・基礎１),0)*(1+_11・C深夜)),0)*_11・初任),0)</f>
        <v>368</v>
      </c>
      <c r="AB125" s="48"/>
    </row>
    <row r="126" spans="1:28" ht="16.5" customHeight="1" x14ac:dyDescent="0.15">
      <c r="A126" s="41">
        <v>11</v>
      </c>
      <c r="B126" s="41" t="s">
        <v>2595</v>
      </c>
      <c r="C126" s="42" t="s">
        <v>2596</v>
      </c>
      <c r="D126" s="72"/>
      <c r="E126" s="99"/>
      <c r="F126" s="72"/>
      <c r="G126" s="99"/>
      <c r="H126" s="72"/>
      <c r="I126" s="99"/>
      <c r="J126" s="711"/>
      <c r="K126" s="37"/>
      <c r="L126" s="38"/>
      <c r="M126" s="44" t="s">
        <v>397</v>
      </c>
      <c r="N126" s="45" t="s">
        <v>398</v>
      </c>
      <c r="O126" s="46">
        <v>1</v>
      </c>
      <c r="P126" s="35"/>
      <c r="R126" s="57"/>
      <c r="U126" s="57"/>
      <c r="X126" s="57"/>
      <c r="Y126" s="55" t="s">
        <v>398</v>
      </c>
      <c r="Z126" s="38">
        <f>_11・初任</f>
        <v>0.7</v>
      </c>
      <c r="AA126" s="47">
        <f>ROUND((ROUND((ROUND((_11_A身体１．０*_11・基礎１),0)*_11・２人),0)*_11・初任),0)+ROUND((ROUND((ROUND((ROUND((_11_B身体１．０＿０．５*_11・基礎１),0)*_11・２人),0)*(1+_11・B夜間)),0)*_11・初任),0)+ROUND((ROUND((ROUND((ROUND((_11_C身体１．０＿０．５＿０．５*_11・基礎１),0)*_11・２人),0)*(1+_11・C深夜)),0)*_11・初任),0)</f>
        <v>368</v>
      </c>
      <c r="AB126" s="48"/>
    </row>
    <row r="127" spans="1:28" ht="16.5" customHeight="1" x14ac:dyDescent="0.15">
      <c r="A127" s="41">
        <v>11</v>
      </c>
      <c r="B127" s="41">
        <v>1803</v>
      </c>
      <c r="C127" s="42" t="s">
        <v>2597</v>
      </c>
      <c r="D127" s="72"/>
      <c r="E127" s="99"/>
      <c r="F127" s="72"/>
      <c r="G127" s="99"/>
      <c r="H127" s="707" t="s">
        <v>1695</v>
      </c>
      <c r="I127" s="717"/>
      <c r="J127" s="53"/>
      <c r="K127" s="49"/>
      <c r="L127" s="50"/>
      <c r="M127" s="44"/>
      <c r="N127" s="45"/>
      <c r="O127" s="46"/>
      <c r="P127" s="35"/>
      <c r="R127" s="57"/>
      <c r="U127" s="57"/>
      <c r="X127" s="57"/>
      <c r="Y127" s="53"/>
      <c r="Z127" s="49"/>
      <c r="AA127" s="47">
        <f>_11_A身体１．０+ROUND((_11_B身体１．０＿０．５*(1+_11・B夜間)),0)+ROUND((_11_C身体１．０＿０．５＿１．０*(1+_11・C深夜)),0)</f>
        <v>879</v>
      </c>
      <c r="AB127" s="48"/>
    </row>
    <row r="128" spans="1:28" ht="16.5" customHeight="1" x14ac:dyDescent="0.15">
      <c r="A128" s="41">
        <v>11</v>
      </c>
      <c r="B128" s="41">
        <v>1804</v>
      </c>
      <c r="C128" s="42" t="s">
        <v>2598</v>
      </c>
      <c r="D128" s="72"/>
      <c r="E128" s="99"/>
      <c r="F128" s="72"/>
      <c r="G128" s="99"/>
      <c r="H128" s="709"/>
      <c r="I128" s="718"/>
      <c r="J128" s="43"/>
      <c r="K128" s="37"/>
      <c r="L128" s="38"/>
      <c r="M128" s="44" t="s">
        <v>397</v>
      </c>
      <c r="N128" s="45" t="s">
        <v>398</v>
      </c>
      <c r="O128" s="46">
        <v>1</v>
      </c>
      <c r="P128" s="35"/>
      <c r="R128" s="57"/>
      <c r="U128" s="57"/>
      <c r="X128" s="57"/>
      <c r="Y128" s="35"/>
      <c r="AA128" s="47">
        <f>ROUND((_11_A身体１．０*_11・２人),0)+ROUND((ROUND((_11_B身体１．０＿０．５*_11・２人),0)*(1+_11・B夜間)),0)+ROUND((ROUND((_11_C身体１．０＿０．５＿１．０*_11・２人),0)*(1+_11・C深夜)),0)</f>
        <v>879</v>
      </c>
      <c r="AB128" s="48"/>
    </row>
    <row r="129" spans="1:28" ht="16.5" customHeight="1" x14ac:dyDescent="0.15">
      <c r="A129" s="41">
        <v>11</v>
      </c>
      <c r="B129" s="41">
        <v>1805</v>
      </c>
      <c r="C129" s="42" t="s">
        <v>2599</v>
      </c>
      <c r="D129" s="72"/>
      <c r="E129" s="99"/>
      <c r="F129" s="72"/>
      <c r="G129" s="99"/>
      <c r="H129" s="709"/>
      <c r="I129" s="718"/>
      <c r="J129" s="705" t="s">
        <v>400</v>
      </c>
      <c r="K129" s="49" t="s">
        <v>398</v>
      </c>
      <c r="L129" s="50">
        <v>0.7</v>
      </c>
      <c r="M129" s="44"/>
      <c r="N129" s="45"/>
      <c r="O129" s="46"/>
      <c r="P129" s="35"/>
      <c r="R129" s="57"/>
      <c r="U129" s="57"/>
      <c r="X129" s="57"/>
      <c r="Y129" s="35"/>
      <c r="AA129" s="47">
        <f>ROUND((_11_A身体１．０*_11・基礎１),0)+ROUND((ROUND((_11_B身体１．０＿０．５*_11・基礎１),0)*(1+_11・B夜間)),0)+ROUND((ROUND((_11_C身体１．０＿０．５＿１．０*_11・基礎１),0)*(1+_11・C深夜)),0)</f>
        <v>614</v>
      </c>
      <c r="AB129" s="48"/>
    </row>
    <row r="130" spans="1:28" ht="16.5" customHeight="1" x14ac:dyDescent="0.15">
      <c r="A130" s="41">
        <v>11</v>
      </c>
      <c r="B130" s="41">
        <v>1806</v>
      </c>
      <c r="C130" s="42" t="s">
        <v>2600</v>
      </c>
      <c r="D130" s="72"/>
      <c r="E130" s="99"/>
      <c r="F130" s="72"/>
      <c r="G130" s="99"/>
      <c r="H130" s="100">
        <f>_11_C身体１．０＿０．５＿１．０</f>
        <v>166</v>
      </c>
      <c r="I130" s="12" t="s">
        <v>392</v>
      </c>
      <c r="J130" s="711"/>
      <c r="K130" s="37"/>
      <c r="L130" s="38"/>
      <c r="M130" s="44" t="s">
        <v>397</v>
      </c>
      <c r="N130" s="45" t="s">
        <v>398</v>
      </c>
      <c r="O130" s="46">
        <v>1</v>
      </c>
      <c r="P130" s="35"/>
      <c r="R130" s="57"/>
      <c r="U130" s="57"/>
      <c r="X130" s="57"/>
      <c r="Y130" s="43"/>
      <c r="Z130" s="37"/>
      <c r="AA130" s="47">
        <f>ROUND((ROUND((_11_A身体１．０*_11・基礎１),0)*_11・２人),0)+ROUND((ROUND((ROUND((_11_B身体１．０＿０．５*_11・基礎１),0)*_11・２人),0)*(1+_11・B夜間)),0)+ROUND((ROUND((ROUND((_11_C身体１．０＿０．５＿１．０*_11・基礎１),0)*_11・２人),0)*(1+_11・C深夜)),0)</f>
        <v>614</v>
      </c>
      <c r="AB130" s="48"/>
    </row>
    <row r="131" spans="1:28" ht="16.5" customHeight="1" x14ac:dyDescent="0.15">
      <c r="A131" s="41">
        <v>11</v>
      </c>
      <c r="B131" s="41" t="s">
        <v>2601</v>
      </c>
      <c r="C131" s="42" t="s">
        <v>2602</v>
      </c>
      <c r="D131" s="72"/>
      <c r="E131" s="99"/>
      <c r="F131" s="72"/>
      <c r="G131" s="99"/>
      <c r="H131" s="121"/>
      <c r="I131" s="99"/>
      <c r="J131" s="53"/>
      <c r="K131" s="49"/>
      <c r="L131" s="50"/>
      <c r="M131" s="44"/>
      <c r="N131" s="45"/>
      <c r="O131" s="46"/>
      <c r="P131" s="35"/>
      <c r="R131" s="57"/>
      <c r="U131" s="57"/>
      <c r="X131" s="57"/>
      <c r="Y131" s="707" t="s">
        <v>404</v>
      </c>
      <c r="Z131" s="708"/>
      <c r="AA131" s="47">
        <f>ROUND((_11_A身体１．０*_11・初任),0)+ROUND((ROUND((_11_B身体１．０＿０．５*(1+_11・B夜間)),0)*_11・初任),0)+ROUND((ROUND((_11_C身体１．０＿０．５＿１．０*(1+_11・C深夜)),0)*_11・初任),0)</f>
        <v>615</v>
      </c>
      <c r="AB131" s="48"/>
    </row>
    <row r="132" spans="1:28" ht="16.5" customHeight="1" x14ac:dyDescent="0.15">
      <c r="A132" s="41">
        <v>11</v>
      </c>
      <c r="B132" s="41" t="s">
        <v>2603</v>
      </c>
      <c r="C132" s="42" t="s">
        <v>2604</v>
      </c>
      <c r="D132" s="72"/>
      <c r="E132" s="99"/>
      <c r="F132" s="72"/>
      <c r="G132" s="99"/>
      <c r="H132" s="121"/>
      <c r="I132" s="99"/>
      <c r="J132" s="43"/>
      <c r="K132" s="37"/>
      <c r="L132" s="38"/>
      <c r="M132" s="44" t="s">
        <v>397</v>
      </c>
      <c r="N132" s="45" t="s">
        <v>398</v>
      </c>
      <c r="O132" s="46">
        <v>1</v>
      </c>
      <c r="P132" s="35"/>
      <c r="R132" s="57"/>
      <c r="U132" s="57"/>
      <c r="X132" s="57"/>
      <c r="Y132" s="709"/>
      <c r="Z132" s="704"/>
      <c r="AA132" s="47">
        <f>ROUND((ROUND((_11_A身体１．０*_11・２人),0)*_11・初任),0)+ROUND((ROUND((ROUND((_11_B身体１．０＿０．５*_11・２人),0)*(1+_11・B夜間)),0)*_11・初任),0)+ROUND((ROUND((ROUND((_11_C身体１．０＿０．５＿１．０*_11・２人),0)*(1+_11・C深夜)),0)*_11・初任),0)</f>
        <v>615</v>
      </c>
      <c r="AB132" s="48"/>
    </row>
    <row r="133" spans="1:28" ht="16.5" customHeight="1" x14ac:dyDescent="0.15">
      <c r="A133" s="41">
        <v>11</v>
      </c>
      <c r="B133" s="41" t="s">
        <v>2605</v>
      </c>
      <c r="C133" s="42" t="s">
        <v>2606</v>
      </c>
      <c r="D133" s="72"/>
      <c r="E133" s="99"/>
      <c r="F133" s="72"/>
      <c r="G133" s="99"/>
      <c r="H133" s="72"/>
      <c r="I133" s="99"/>
      <c r="J133" s="705" t="s">
        <v>400</v>
      </c>
      <c r="K133" s="49" t="s">
        <v>398</v>
      </c>
      <c r="L133" s="50">
        <v>0.7</v>
      </c>
      <c r="M133" s="44"/>
      <c r="N133" s="45"/>
      <c r="O133" s="46"/>
      <c r="P133" s="35"/>
      <c r="R133" s="57"/>
      <c r="U133" s="57"/>
      <c r="X133" s="57"/>
      <c r="Y133" s="709"/>
      <c r="Z133" s="704"/>
      <c r="AA133" s="47">
        <f>ROUND((ROUND((_11_A身体１．０*_11・基礎１),0)*_11・初任),0)+ROUND((ROUND((ROUND((_11_B身体１．０＿０．５*_11・基礎１),0)*(1+_11・B夜間)),0)*_11・初任),0)+ROUND((ROUND((ROUND((_11_C身体１．０＿０．５＿１．０*_11・基礎１),0)*(1+_11・C深夜)),0)*_11・初任),0)</f>
        <v>430</v>
      </c>
      <c r="AB133" s="48"/>
    </row>
    <row r="134" spans="1:28" ht="16.5" customHeight="1" x14ac:dyDescent="0.15">
      <c r="A134" s="41">
        <v>11</v>
      </c>
      <c r="B134" s="41" t="s">
        <v>2607</v>
      </c>
      <c r="C134" s="42" t="s">
        <v>2608</v>
      </c>
      <c r="D134" s="72"/>
      <c r="E134" s="99"/>
      <c r="F134" s="72"/>
      <c r="G134" s="99"/>
      <c r="H134" s="72"/>
      <c r="I134" s="99"/>
      <c r="J134" s="711"/>
      <c r="K134" s="37"/>
      <c r="L134" s="38"/>
      <c r="M134" s="44" t="s">
        <v>397</v>
      </c>
      <c r="N134" s="45" t="s">
        <v>398</v>
      </c>
      <c r="O134" s="46">
        <v>1</v>
      </c>
      <c r="P134" s="35"/>
      <c r="R134" s="57"/>
      <c r="U134" s="57"/>
      <c r="X134" s="57"/>
      <c r="Y134" s="55" t="s">
        <v>398</v>
      </c>
      <c r="Z134" s="38">
        <f>_11・初任</f>
        <v>0.7</v>
      </c>
      <c r="AA134" s="47">
        <f>ROUND((ROUND((ROUND((_11_A身体１．０*_11・基礎１),0)*_11・２人),0)*_11・初任),0)+ROUND((ROUND((ROUND((ROUND((_11_B身体１．０＿０．５*_11・基礎１),0)*_11・２人),0)*(1+_11・B夜間)),0)*_11・初任),0)+ROUND((ROUND((ROUND((ROUND((_11_C身体１．０＿０．５＿１．０*_11・基礎１),0)*_11・２人),0)*(1+_11・C深夜)),0)*_11・初任),0)</f>
        <v>430</v>
      </c>
      <c r="AB134" s="48"/>
    </row>
    <row r="135" spans="1:28" ht="16.5" customHeight="1" x14ac:dyDescent="0.15">
      <c r="A135" s="41">
        <v>11</v>
      </c>
      <c r="B135" s="41">
        <v>1807</v>
      </c>
      <c r="C135" s="42" t="s">
        <v>2609</v>
      </c>
      <c r="D135" s="132"/>
      <c r="E135" s="106"/>
      <c r="F135" s="132"/>
      <c r="G135" s="106"/>
      <c r="H135" s="707" t="s">
        <v>1644</v>
      </c>
      <c r="I135" s="717"/>
      <c r="J135" s="53"/>
      <c r="K135" s="49"/>
      <c r="L135" s="50"/>
      <c r="M135" s="44"/>
      <c r="N135" s="45"/>
      <c r="O135" s="46"/>
      <c r="P135" s="35"/>
      <c r="R135" s="57"/>
      <c r="U135" s="145"/>
      <c r="X135" s="145"/>
      <c r="Y135" s="53"/>
      <c r="Z135" s="49"/>
      <c r="AA135" s="47">
        <f>_11_A身体１．０+ROUND((_11_B身体１．０＿０．５*(1+_11・B夜間)),0)+ROUND((_11_C身体１．０＿０．５＿１．５*(1+_11・C深夜)),0)</f>
        <v>1004</v>
      </c>
      <c r="AB135" s="48"/>
    </row>
    <row r="136" spans="1:28" ht="16.5" customHeight="1" x14ac:dyDescent="0.15">
      <c r="A136" s="41">
        <v>11</v>
      </c>
      <c r="B136" s="41">
        <v>1808</v>
      </c>
      <c r="C136" s="42" t="s">
        <v>2610</v>
      </c>
      <c r="D136" s="132"/>
      <c r="E136" s="106"/>
      <c r="F136" s="132"/>
      <c r="G136" s="106"/>
      <c r="H136" s="709"/>
      <c r="I136" s="718"/>
      <c r="J136" s="43"/>
      <c r="K136" s="37"/>
      <c r="L136" s="38"/>
      <c r="M136" s="44" t="s">
        <v>397</v>
      </c>
      <c r="N136" s="45" t="s">
        <v>398</v>
      </c>
      <c r="O136" s="46">
        <v>1</v>
      </c>
      <c r="P136" s="35"/>
      <c r="R136" s="57"/>
      <c r="U136" s="145"/>
      <c r="X136" s="145"/>
      <c r="Y136" s="35"/>
      <c r="AA136" s="47">
        <f>ROUND((_11_A身体１．０*_11・２人),0)+ROUND((ROUND((_11_B身体１．０＿０．５*_11・２人),0)*(1+_11・B夜間)),0)+ROUND((ROUND((_11_C身体１．０＿０．５＿１．５*_11・２人),0)*(1+_11・C深夜)),0)</f>
        <v>1004</v>
      </c>
      <c r="AB136" s="48"/>
    </row>
    <row r="137" spans="1:28" ht="16.5" customHeight="1" x14ac:dyDescent="0.15">
      <c r="A137" s="41">
        <v>11</v>
      </c>
      <c r="B137" s="41">
        <v>1809</v>
      </c>
      <c r="C137" s="42" t="s">
        <v>2611</v>
      </c>
      <c r="D137" s="132"/>
      <c r="E137" s="106"/>
      <c r="F137" s="132"/>
      <c r="G137" s="106"/>
      <c r="H137" s="709"/>
      <c r="I137" s="718"/>
      <c r="J137" s="705" t="s">
        <v>400</v>
      </c>
      <c r="K137" s="49" t="s">
        <v>398</v>
      </c>
      <c r="L137" s="50">
        <v>0.7</v>
      </c>
      <c r="M137" s="44"/>
      <c r="N137" s="45"/>
      <c r="O137" s="46"/>
      <c r="P137" s="35"/>
      <c r="R137" s="57"/>
      <c r="U137" s="57"/>
      <c r="X137" s="57"/>
      <c r="Y137" s="35"/>
      <c r="AA137" s="47">
        <f>ROUND((_11_A身体１．０*_11・基礎１),0)+ROUND((ROUND((_11_B身体１．０＿０．５*_11・基礎１),0)*(1+_11・B夜間)),0)+ROUND((ROUND((_11_C身体１．０＿０．５＿１．５*_11・基礎１),0)*(1+_11・C深夜)),0)</f>
        <v>701</v>
      </c>
      <c r="AB137" s="48"/>
    </row>
    <row r="138" spans="1:28" ht="16.5" customHeight="1" x14ac:dyDescent="0.15">
      <c r="A138" s="41">
        <v>11</v>
      </c>
      <c r="B138" s="41">
        <v>1810</v>
      </c>
      <c r="C138" s="42" t="s">
        <v>2612</v>
      </c>
      <c r="D138" s="141"/>
      <c r="E138" s="12"/>
      <c r="F138" s="141"/>
      <c r="G138" s="57"/>
      <c r="H138" s="100">
        <f>_11_C身体１．０＿０．５＿１．５</f>
        <v>249</v>
      </c>
      <c r="I138" s="12" t="s">
        <v>392</v>
      </c>
      <c r="J138" s="711"/>
      <c r="K138" s="37"/>
      <c r="L138" s="38"/>
      <c r="M138" s="44" t="s">
        <v>397</v>
      </c>
      <c r="N138" s="45" t="s">
        <v>398</v>
      </c>
      <c r="O138" s="46">
        <v>1</v>
      </c>
      <c r="P138" s="35"/>
      <c r="R138" s="57"/>
      <c r="U138" s="57"/>
      <c r="X138" s="57"/>
      <c r="Y138" s="43"/>
      <c r="Z138" s="37"/>
      <c r="AA138" s="47">
        <f>ROUND((ROUND((_11_A身体１．０*_11・基礎１),0)*_11・２人),0)+ROUND((ROUND((ROUND((_11_B身体１．０＿０．５*_11・基礎１),0)*_11・２人),0)*(1+_11・B夜間)),0)+ROUND((ROUND((ROUND((_11_C身体１．０＿０．５＿１．５*_11・基礎１),0)*_11・２人),0)*(1+_11・C深夜)),0)</f>
        <v>701</v>
      </c>
      <c r="AB138" s="48"/>
    </row>
    <row r="139" spans="1:28" ht="16.5" customHeight="1" x14ac:dyDescent="0.15">
      <c r="A139" s="41">
        <v>11</v>
      </c>
      <c r="B139" s="41" t="s">
        <v>2613</v>
      </c>
      <c r="C139" s="42" t="s">
        <v>2614</v>
      </c>
      <c r="D139" s="72"/>
      <c r="E139" s="99"/>
      <c r="F139" s="72"/>
      <c r="G139" s="99"/>
      <c r="H139" s="121"/>
      <c r="I139" s="99"/>
      <c r="J139" s="53"/>
      <c r="K139" s="49"/>
      <c r="L139" s="50"/>
      <c r="M139" s="44"/>
      <c r="N139" s="45"/>
      <c r="O139" s="46"/>
      <c r="P139" s="35"/>
      <c r="R139" s="57"/>
      <c r="U139" s="57"/>
      <c r="X139" s="57"/>
      <c r="Y139" s="707" t="s">
        <v>404</v>
      </c>
      <c r="Z139" s="708"/>
      <c r="AA139" s="47">
        <f>ROUND((_11_A身体１．０*_11・初任),0)+ROUND((ROUND((_11_B身体１．０＿０．５*(1+_11・B夜間)),0)*_11・初任),0)+ROUND((ROUND((_11_C身体１．０＿０．５＿１．５*(1+_11・C深夜)),0)*_11・初任),0)</f>
        <v>703</v>
      </c>
      <c r="AB139" s="48"/>
    </row>
    <row r="140" spans="1:28" ht="16.5" customHeight="1" x14ac:dyDescent="0.15">
      <c r="A140" s="41">
        <v>11</v>
      </c>
      <c r="B140" s="41" t="s">
        <v>2615</v>
      </c>
      <c r="C140" s="42" t="s">
        <v>2616</v>
      </c>
      <c r="D140" s="72"/>
      <c r="E140" s="99"/>
      <c r="F140" s="72"/>
      <c r="G140" s="99"/>
      <c r="H140" s="121"/>
      <c r="I140" s="99"/>
      <c r="J140" s="43"/>
      <c r="K140" s="37"/>
      <c r="L140" s="38"/>
      <c r="M140" s="44" t="s">
        <v>397</v>
      </c>
      <c r="N140" s="45" t="s">
        <v>398</v>
      </c>
      <c r="O140" s="46">
        <v>1</v>
      </c>
      <c r="P140" s="35"/>
      <c r="R140" s="57"/>
      <c r="U140" s="57"/>
      <c r="X140" s="57"/>
      <c r="Y140" s="709"/>
      <c r="Z140" s="704"/>
      <c r="AA140" s="47">
        <f>ROUND((ROUND((_11_A身体１．０*_11・２人),0)*_11・初任),0)+ROUND((ROUND((ROUND((_11_B身体１．０＿０．５*_11・２人),0)*(1+_11・B夜間)),0)*_11・初任),0)+ROUND((ROUND((ROUND((_11_C身体１．０＿０．５＿１．５*_11・２人),0)*(1+_11・C深夜)),0)*_11・初任),0)</f>
        <v>703</v>
      </c>
      <c r="AB140" s="48"/>
    </row>
    <row r="141" spans="1:28" ht="16.5" customHeight="1" x14ac:dyDescent="0.15">
      <c r="A141" s="41">
        <v>11</v>
      </c>
      <c r="B141" s="41" t="s">
        <v>2617</v>
      </c>
      <c r="C141" s="42" t="s">
        <v>2618</v>
      </c>
      <c r="D141" s="72"/>
      <c r="E141" s="99"/>
      <c r="F141" s="72"/>
      <c r="G141" s="99"/>
      <c r="H141" s="72"/>
      <c r="I141" s="99"/>
      <c r="J141" s="705" t="s">
        <v>400</v>
      </c>
      <c r="K141" s="49" t="s">
        <v>398</v>
      </c>
      <c r="L141" s="50">
        <v>0.7</v>
      </c>
      <c r="M141" s="44"/>
      <c r="N141" s="45"/>
      <c r="O141" s="46"/>
      <c r="P141" s="35"/>
      <c r="R141" s="57"/>
      <c r="U141" s="57"/>
      <c r="X141" s="57"/>
      <c r="Y141" s="709"/>
      <c r="Z141" s="704"/>
      <c r="AA141" s="47">
        <f>ROUND((ROUND((_11_A身体１．０*_11・基礎１),0)*_11・初任),0)+ROUND((ROUND((ROUND((_11_B身体１．０＿０．５*_11・基礎１),0)*(1+_11・B夜間)),0)*_11・初任),0)+ROUND((ROUND((ROUND((_11_C身体１．０＿０．５＿１．５*_11・基礎１),0)*(1+_11・C深夜)),0)*_11・初任),0)</f>
        <v>491</v>
      </c>
      <c r="AB141" s="48"/>
    </row>
    <row r="142" spans="1:28" ht="16.5" customHeight="1" x14ac:dyDescent="0.15">
      <c r="A142" s="41">
        <v>11</v>
      </c>
      <c r="B142" s="41" t="s">
        <v>2619</v>
      </c>
      <c r="C142" s="42" t="s">
        <v>2620</v>
      </c>
      <c r="D142" s="72"/>
      <c r="E142" s="99"/>
      <c r="F142" s="72"/>
      <c r="G142" s="99"/>
      <c r="H142" s="72"/>
      <c r="I142" s="99"/>
      <c r="J142" s="711"/>
      <c r="K142" s="37"/>
      <c r="L142" s="38"/>
      <c r="M142" s="44" t="s">
        <v>397</v>
      </c>
      <c r="N142" s="45" t="s">
        <v>398</v>
      </c>
      <c r="O142" s="46">
        <v>1</v>
      </c>
      <c r="P142" s="35"/>
      <c r="R142" s="57"/>
      <c r="U142" s="57"/>
      <c r="X142" s="57"/>
      <c r="Y142" s="55" t="s">
        <v>398</v>
      </c>
      <c r="Z142" s="38">
        <f>_11・初任</f>
        <v>0.7</v>
      </c>
      <c r="AA142" s="47">
        <f>ROUND((ROUND((ROUND((_11_A身体１．０*_11・基礎１),0)*_11・２人),0)*_11・初任),0)+ROUND((ROUND((ROUND((ROUND((_11_B身体１．０＿０．５*_11・基礎１),0)*_11・２人),0)*(1+_11・B夜間)),0)*_11・初任),0)+ROUND((ROUND((ROUND((ROUND((_11_C身体１．０＿０．５＿１．５*_11・基礎１),0)*_11・２人),0)*(1+_11・C深夜)),0)*_11・初任),0)</f>
        <v>491</v>
      </c>
      <c r="AB142" s="48"/>
    </row>
    <row r="143" spans="1:28" ht="16.5" customHeight="1" x14ac:dyDescent="0.15">
      <c r="A143" s="41">
        <v>11</v>
      </c>
      <c r="B143" s="41">
        <v>1811</v>
      </c>
      <c r="C143" s="42" t="s">
        <v>2621</v>
      </c>
      <c r="D143" s="707" t="s">
        <v>2622</v>
      </c>
      <c r="E143" s="717"/>
      <c r="F143" s="707" t="s">
        <v>1415</v>
      </c>
      <c r="G143" s="717"/>
      <c r="H143" s="707" t="s">
        <v>1617</v>
      </c>
      <c r="I143" s="717"/>
      <c r="J143" s="53"/>
      <c r="K143" s="49"/>
      <c r="L143" s="50"/>
      <c r="M143" s="44"/>
      <c r="N143" s="45"/>
      <c r="O143" s="46"/>
      <c r="P143" s="35"/>
      <c r="R143" s="57"/>
      <c r="U143" s="57"/>
      <c r="X143" s="57"/>
      <c r="Y143" s="53"/>
      <c r="Z143" s="49"/>
      <c r="AA143" s="47">
        <f>_11_A身体１．５+ROUND((_11_B身体１．５＿０．５*(1+_11・B夜間)),0)+ROUND((_11_C身体１．５＿０．５＿０．５*(1+_11・C深夜)),0)</f>
        <v>813</v>
      </c>
      <c r="AB143" s="48"/>
    </row>
    <row r="144" spans="1:28" ht="16.5" customHeight="1" x14ac:dyDescent="0.15">
      <c r="A144" s="41">
        <v>11</v>
      </c>
      <c r="B144" s="41">
        <v>1812</v>
      </c>
      <c r="C144" s="42" t="s">
        <v>2623</v>
      </c>
      <c r="D144" s="709"/>
      <c r="E144" s="718"/>
      <c r="F144" s="709"/>
      <c r="G144" s="718"/>
      <c r="H144" s="709"/>
      <c r="I144" s="718"/>
      <c r="J144" s="43"/>
      <c r="K144" s="37"/>
      <c r="L144" s="38"/>
      <c r="M144" s="44" t="s">
        <v>397</v>
      </c>
      <c r="N144" s="45" t="s">
        <v>398</v>
      </c>
      <c r="O144" s="46">
        <v>1</v>
      </c>
      <c r="P144" s="35"/>
      <c r="R144" s="57"/>
      <c r="U144" s="57"/>
      <c r="X144" s="57"/>
      <c r="Y144" s="35"/>
      <c r="AA144" s="47">
        <f>ROUND((_11_A身体１．５*_11・２人),0)+ROUND((ROUND((_11_B身体１．５＿０．５*_11・２人),0)*(1+_11・B夜間)),0)+ROUND((ROUND((_11_C身体１．５＿０．５＿０．５*_11・２人),0)*(1+_11・C深夜)),0)</f>
        <v>813</v>
      </c>
      <c r="AB144" s="48"/>
    </row>
    <row r="145" spans="1:28" ht="16.5" customHeight="1" x14ac:dyDescent="0.15">
      <c r="A145" s="41">
        <v>11</v>
      </c>
      <c r="B145" s="41">
        <v>1813</v>
      </c>
      <c r="C145" s="42" t="s">
        <v>2624</v>
      </c>
      <c r="D145" s="709"/>
      <c r="E145" s="718"/>
      <c r="F145" s="709"/>
      <c r="G145" s="718"/>
      <c r="H145" s="709"/>
      <c r="I145" s="718"/>
      <c r="J145" s="705" t="s">
        <v>400</v>
      </c>
      <c r="K145" s="49" t="s">
        <v>398</v>
      </c>
      <c r="L145" s="50">
        <v>0.7</v>
      </c>
      <c r="M145" s="44"/>
      <c r="N145" s="45"/>
      <c r="O145" s="46"/>
      <c r="P145" s="35"/>
      <c r="R145" s="57"/>
      <c r="U145" s="57"/>
      <c r="X145" s="57"/>
      <c r="Y145" s="35"/>
      <c r="AA145" s="47">
        <f>ROUND((_11_A身体１．５*_11・基礎１),0)+ROUND((ROUND((_11_B身体１．５＿０．５*_11・基礎１),0)*(1+_11・B夜間)),0)+ROUND((ROUND((_11_C身体１．５＿０．５＿０．５*_11・基礎１),0)*(1+_11・C深夜)),0)</f>
        <v>569</v>
      </c>
      <c r="AB145" s="48"/>
    </row>
    <row r="146" spans="1:28" ht="16.5" customHeight="1" x14ac:dyDescent="0.15">
      <c r="A146" s="41">
        <v>11</v>
      </c>
      <c r="B146" s="41">
        <v>1814</v>
      </c>
      <c r="C146" s="42" t="s">
        <v>2625</v>
      </c>
      <c r="D146" s="100">
        <f>_11_A身体１．５</f>
        <v>584</v>
      </c>
      <c r="E146" s="12" t="s">
        <v>392</v>
      </c>
      <c r="F146" s="100">
        <f>_11_B身体１．５＿０．５</f>
        <v>82</v>
      </c>
      <c r="G146" s="12" t="s">
        <v>392</v>
      </c>
      <c r="H146" s="100">
        <f>_11_C身体１．５＿０．５＿０．５</f>
        <v>84</v>
      </c>
      <c r="I146" s="12" t="s">
        <v>392</v>
      </c>
      <c r="J146" s="711"/>
      <c r="K146" s="37"/>
      <c r="L146" s="38"/>
      <c r="M146" s="44" t="s">
        <v>397</v>
      </c>
      <c r="N146" s="45" t="s">
        <v>398</v>
      </c>
      <c r="O146" s="46">
        <v>1</v>
      </c>
      <c r="P146" s="35"/>
      <c r="R146" s="57"/>
      <c r="U146" s="57"/>
      <c r="X146" s="57"/>
      <c r="Y146" s="43"/>
      <c r="Z146" s="37"/>
      <c r="AA146" s="47">
        <f>ROUND((ROUND((_11_A身体１．５*_11・基礎１),0)*_11・２人),0)+ROUND((ROUND((ROUND((_11_B身体１．５＿０．５*_11・基礎１),0)*_11・２人),0)*(1+_11・B夜間)),0)+ROUND((ROUND((ROUND((_11_C身体１．５＿０．５＿０．５*_11・基礎１),0)*_11・２人),0)*(1+_11・C深夜)),0)</f>
        <v>569</v>
      </c>
      <c r="AB146" s="48"/>
    </row>
    <row r="147" spans="1:28" ht="16.5" customHeight="1" x14ac:dyDescent="0.15">
      <c r="A147" s="41">
        <v>11</v>
      </c>
      <c r="B147" s="41" t="s">
        <v>2626</v>
      </c>
      <c r="C147" s="42" t="s">
        <v>2627</v>
      </c>
      <c r="D147" s="121"/>
      <c r="E147" s="99"/>
      <c r="F147" s="121"/>
      <c r="G147" s="99"/>
      <c r="H147" s="121"/>
      <c r="I147" s="99"/>
      <c r="J147" s="53"/>
      <c r="K147" s="49"/>
      <c r="L147" s="50"/>
      <c r="M147" s="44"/>
      <c r="N147" s="45"/>
      <c r="O147" s="46"/>
      <c r="P147" s="35"/>
      <c r="R147" s="57"/>
      <c r="U147" s="57"/>
      <c r="X147" s="57"/>
      <c r="Y147" s="707" t="s">
        <v>404</v>
      </c>
      <c r="Z147" s="708"/>
      <c r="AA147" s="47">
        <f>ROUND((_11_A身体１．５*_11・初任),0)+ROUND((ROUND((_11_B身体１．５＿０．５*(1+_11・B夜間)),0)*_11・初任),0)+ROUND((ROUND((_11_C身体１．５＿０．５＿０．５*(1+_11・C深夜)),0)*_11・初任),0)</f>
        <v>569</v>
      </c>
      <c r="AB147" s="48"/>
    </row>
    <row r="148" spans="1:28" ht="16.5" customHeight="1" x14ac:dyDescent="0.15">
      <c r="A148" s="41">
        <v>11</v>
      </c>
      <c r="B148" s="41" t="s">
        <v>2628</v>
      </c>
      <c r="C148" s="42" t="s">
        <v>2629</v>
      </c>
      <c r="D148" s="121"/>
      <c r="E148" s="99"/>
      <c r="F148" s="121"/>
      <c r="G148" s="99"/>
      <c r="H148" s="121"/>
      <c r="I148" s="99"/>
      <c r="J148" s="43"/>
      <c r="K148" s="37"/>
      <c r="L148" s="38"/>
      <c r="M148" s="44" t="s">
        <v>397</v>
      </c>
      <c r="N148" s="45" t="s">
        <v>398</v>
      </c>
      <c r="O148" s="46">
        <v>1</v>
      </c>
      <c r="P148" s="35"/>
      <c r="R148" s="57"/>
      <c r="U148" s="57"/>
      <c r="X148" s="57"/>
      <c r="Y148" s="709"/>
      <c r="Z148" s="704"/>
      <c r="AA148" s="47">
        <f>ROUND((ROUND((_11_A身体１．５*_11・２人),0)*_11・初任),0)+ROUND((ROUND((ROUND((_11_B身体１．５＿０．５*_11・２人),0)*(1+_11・B夜間)),0)*_11・初任),0)+ROUND((ROUND((ROUND((_11_C身体１．５＿０．５＿０．５*_11・２人),0)*(1+_11・C深夜)),0)*_11・初任),0)</f>
        <v>569</v>
      </c>
      <c r="AB148" s="48"/>
    </row>
    <row r="149" spans="1:28" ht="16.5" customHeight="1" x14ac:dyDescent="0.15">
      <c r="A149" s="41">
        <v>11</v>
      </c>
      <c r="B149" s="41" t="s">
        <v>2630</v>
      </c>
      <c r="C149" s="42" t="s">
        <v>2631</v>
      </c>
      <c r="D149" s="72"/>
      <c r="E149" s="99"/>
      <c r="F149" s="72"/>
      <c r="G149" s="99"/>
      <c r="H149" s="72"/>
      <c r="I149" s="99"/>
      <c r="J149" s="705" t="s">
        <v>400</v>
      </c>
      <c r="K149" s="49" t="s">
        <v>398</v>
      </c>
      <c r="L149" s="50">
        <v>0.7</v>
      </c>
      <c r="M149" s="44"/>
      <c r="N149" s="45"/>
      <c r="O149" s="46"/>
      <c r="P149" s="35"/>
      <c r="R149" s="57"/>
      <c r="U149" s="57"/>
      <c r="X149" s="57"/>
      <c r="Y149" s="709"/>
      <c r="Z149" s="704"/>
      <c r="AA149" s="47">
        <f>ROUND((ROUND((_11_A身体１．５*_11・基礎１),0)*_11・初任),0)+ROUND((ROUND((ROUND((_11_B身体１．５＿０．５*_11・基礎１),0)*(1+_11・B夜間)),0)*_11・初任),0)+ROUND((ROUND((ROUND((_11_C身体１．５＿０．５＿０．５*_11・基礎１),0)*(1+_11・C深夜)),0)*_11・初任),0)</f>
        <v>398</v>
      </c>
      <c r="AB149" s="48"/>
    </row>
    <row r="150" spans="1:28" ht="16.5" customHeight="1" x14ac:dyDescent="0.15">
      <c r="A150" s="41">
        <v>11</v>
      </c>
      <c r="B150" s="41" t="s">
        <v>2632</v>
      </c>
      <c r="C150" s="42" t="s">
        <v>2633</v>
      </c>
      <c r="D150" s="72"/>
      <c r="E150" s="99"/>
      <c r="F150" s="72"/>
      <c r="G150" s="99"/>
      <c r="H150" s="72"/>
      <c r="I150" s="99"/>
      <c r="J150" s="711"/>
      <c r="K150" s="37"/>
      <c r="L150" s="38"/>
      <c r="M150" s="44" t="s">
        <v>397</v>
      </c>
      <c r="N150" s="45" t="s">
        <v>398</v>
      </c>
      <c r="O150" s="46">
        <v>1</v>
      </c>
      <c r="P150" s="35"/>
      <c r="R150" s="57"/>
      <c r="U150" s="57"/>
      <c r="X150" s="57"/>
      <c r="Y150" s="55" t="s">
        <v>398</v>
      </c>
      <c r="Z150" s="38">
        <f>_11・初任</f>
        <v>0.7</v>
      </c>
      <c r="AA150" s="47">
        <f>ROUND((ROUND((ROUND((_11_A身体１．５*_11・基礎１),0)*_11・２人),0)*_11・初任),0)+ROUND((ROUND((ROUND((ROUND((_11_B身体１．５＿０．５*_11・基礎１),0)*_11・２人),0)*(1+_11・B夜間)),0)*_11・初任),0)+ROUND((ROUND((ROUND((ROUND((_11_C身体１．５＿０．５＿０．５*_11・基礎１),0)*_11・２人),0)*(1+_11・C深夜)),0)*_11・初任),0)</f>
        <v>398</v>
      </c>
      <c r="AB150" s="48"/>
    </row>
    <row r="151" spans="1:28" ht="16.5" customHeight="1" x14ac:dyDescent="0.15">
      <c r="A151" s="41">
        <v>11</v>
      </c>
      <c r="B151" s="41">
        <v>1815</v>
      </c>
      <c r="C151" s="42" t="s">
        <v>2634</v>
      </c>
      <c r="D151" s="72"/>
      <c r="E151" s="99"/>
      <c r="F151" s="72"/>
      <c r="G151" s="99"/>
      <c r="H151" s="707" t="s">
        <v>1695</v>
      </c>
      <c r="I151" s="717"/>
      <c r="J151" s="53"/>
      <c r="K151" s="49"/>
      <c r="L151" s="50"/>
      <c r="M151" s="44"/>
      <c r="N151" s="45"/>
      <c r="O151" s="46"/>
      <c r="P151" s="35"/>
      <c r="R151" s="57"/>
      <c r="U151" s="57"/>
      <c r="X151" s="57"/>
      <c r="Y151" s="53"/>
      <c r="Z151" s="49"/>
      <c r="AA151" s="47">
        <f>_11_A身体１．５+ROUND((_11_B身体１．５＿０．５*(1+_11・B夜間)),0)+ROUND((_11_C身体１．５＿０．５＿１．０*(1+_11・C深夜)),0)</f>
        <v>938</v>
      </c>
      <c r="AB151" s="48"/>
    </row>
    <row r="152" spans="1:28" ht="16.5" customHeight="1" x14ac:dyDescent="0.15">
      <c r="A152" s="41">
        <v>11</v>
      </c>
      <c r="B152" s="41">
        <v>1816</v>
      </c>
      <c r="C152" s="42" t="s">
        <v>2635</v>
      </c>
      <c r="D152" s="72"/>
      <c r="E152" s="99"/>
      <c r="F152" s="72"/>
      <c r="G152" s="99"/>
      <c r="H152" s="709"/>
      <c r="I152" s="718"/>
      <c r="J152" s="43"/>
      <c r="K152" s="37"/>
      <c r="L152" s="38"/>
      <c r="M152" s="44" t="s">
        <v>397</v>
      </c>
      <c r="N152" s="45" t="s">
        <v>398</v>
      </c>
      <c r="O152" s="46">
        <v>1</v>
      </c>
      <c r="P152" s="35"/>
      <c r="R152" s="57"/>
      <c r="U152" s="57"/>
      <c r="X152" s="57"/>
      <c r="Y152" s="35"/>
      <c r="AA152" s="47">
        <f>ROUND((_11_A身体１．５*_11・２人),0)+ROUND((ROUND((_11_B身体１．５＿０．５*_11・２人),0)*(1+_11・B夜間)),0)+ROUND((ROUND((_11_C身体１．５＿０．５＿１．０*_11・２人),0)*(1+_11・C深夜)),0)</f>
        <v>938</v>
      </c>
      <c r="AB152" s="48"/>
    </row>
    <row r="153" spans="1:28" ht="16.5" customHeight="1" x14ac:dyDescent="0.15">
      <c r="A153" s="41">
        <v>11</v>
      </c>
      <c r="B153" s="41">
        <v>1817</v>
      </c>
      <c r="C153" s="42" t="s">
        <v>2636</v>
      </c>
      <c r="D153" s="72"/>
      <c r="E153" s="99"/>
      <c r="F153" s="72"/>
      <c r="G153" s="99"/>
      <c r="H153" s="709"/>
      <c r="I153" s="718"/>
      <c r="J153" s="705" t="s">
        <v>400</v>
      </c>
      <c r="K153" s="49" t="s">
        <v>398</v>
      </c>
      <c r="L153" s="50">
        <v>0.7</v>
      </c>
      <c r="M153" s="44"/>
      <c r="N153" s="45"/>
      <c r="O153" s="46"/>
      <c r="P153" s="35"/>
      <c r="R153" s="57"/>
      <c r="U153" s="57"/>
      <c r="X153" s="57"/>
      <c r="Y153" s="35"/>
      <c r="AA153" s="47">
        <f>ROUND((_11_A身体１．５*_11・基礎１),0)+ROUND((ROUND((_11_B身体１．５＿０．５*_11・基礎１),0)*(1+_11・B夜間)),0)+ROUND((ROUND((_11_C身体１．５＿０．５＿１．０*_11・基礎１),0)*(1+_11・C深夜)),0)</f>
        <v>656</v>
      </c>
      <c r="AB153" s="48"/>
    </row>
    <row r="154" spans="1:28" ht="16.5" customHeight="1" x14ac:dyDescent="0.15">
      <c r="A154" s="41">
        <v>11</v>
      </c>
      <c r="B154" s="41">
        <v>1818</v>
      </c>
      <c r="C154" s="42" t="s">
        <v>2637</v>
      </c>
      <c r="D154" s="72"/>
      <c r="E154" s="99"/>
      <c r="F154" s="72"/>
      <c r="G154" s="99"/>
      <c r="H154" s="100">
        <f>_11_C身体１．５＿０．５＿１．０</f>
        <v>167</v>
      </c>
      <c r="I154" s="12" t="s">
        <v>392</v>
      </c>
      <c r="J154" s="711"/>
      <c r="K154" s="37"/>
      <c r="L154" s="38"/>
      <c r="M154" s="44" t="s">
        <v>397</v>
      </c>
      <c r="N154" s="45" t="s">
        <v>398</v>
      </c>
      <c r="O154" s="46">
        <v>1</v>
      </c>
      <c r="P154" s="35"/>
      <c r="R154" s="57"/>
      <c r="U154" s="57"/>
      <c r="X154" s="57"/>
      <c r="Y154" s="43"/>
      <c r="Z154" s="37"/>
      <c r="AA154" s="47">
        <f>ROUND((ROUND((_11_A身体１．５*_11・基礎１),0)*_11・２人),0)+ROUND((ROUND((ROUND((_11_B身体１．５＿０．５*_11・基礎１),0)*_11・２人),0)*(1+_11・B夜間)),0)+ROUND((ROUND((ROUND((_11_C身体１．５＿０．５＿１．０*_11・基礎１),0)*_11・２人),0)*(1+_11・C深夜)),0)</f>
        <v>656</v>
      </c>
      <c r="AB154" s="48"/>
    </row>
    <row r="155" spans="1:28" ht="16.5" customHeight="1" x14ac:dyDescent="0.15">
      <c r="A155" s="41">
        <v>11</v>
      </c>
      <c r="B155" s="41" t="s">
        <v>2638</v>
      </c>
      <c r="C155" s="42" t="s">
        <v>2639</v>
      </c>
      <c r="D155" s="72"/>
      <c r="E155" s="99"/>
      <c r="F155" s="72"/>
      <c r="G155" s="99"/>
      <c r="H155" s="121"/>
      <c r="I155" s="99"/>
      <c r="J155" s="53"/>
      <c r="K155" s="49"/>
      <c r="L155" s="50"/>
      <c r="M155" s="44"/>
      <c r="N155" s="45"/>
      <c r="O155" s="46"/>
      <c r="P155" s="35"/>
      <c r="R155" s="57"/>
      <c r="U155" s="57"/>
      <c r="X155" s="57"/>
      <c r="Y155" s="707" t="s">
        <v>404</v>
      </c>
      <c r="Z155" s="708"/>
      <c r="AA155" s="47">
        <f>ROUND((_11_A身体１．５*_11・初任),0)+ROUND((ROUND((_11_B身体１．５＿０．５*(1+_11・B夜間)),0)*_11・初任),0)+ROUND((ROUND((_11_C身体１．５＿０．５＿１．０*(1+_11・C深夜)),0)*_11・初任),0)</f>
        <v>657</v>
      </c>
      <c r="AB155" s="48"/>
    </row>
    <row r="156" spans="1:28" ht="16.5" customHeight="1" x14ac:dyDescent="0.15">
      <c r="A156" s="41">
        <v>11</v>
      </c>
      <c r="B156" s="41" t="s">
        <v>2640</v>
      </c>
      <c r="C156" s="42" t="s">
        <v>2641</v>
      </c>
      <c r="D156" s="72"/>
      <c r="E156" s="99"/>
      <c r="F156" s="72"/>
      <c r="G156" s="99"/>
      <c r="H156" s="121"/>
      <c r="I156" s="99"/>
      <c r="J156" s="43"/>
      <c r="K156" s="37"/>
      <c r="L156" s="38"/>
      <c r="M156" s="44" t="s">
        <v>397</v>
      </c>
      <c r="N156" s="45" t="s">
        <v>398</v>
      </c>
      <c r="O156" s="46">
        <v>1</v>
      </c>
      <c r="P156" s="35"/>
      <c r="R156" s="57"/>
      <c r="U156" s="57"/>
      <c r="X156" s="57"/>
      <c r="Y156" s="709"/>
      <c r="Z156" s="704"/>
      <c r="AA156" s="47">
        <f>ROUND((ROUND((_11_A身体１．５*_11・２人),0)*_11・初任),0)+ROUND((ROUND((ROUND((_11_B身体１．５＿０．５*_11・２人),0)*(1+_11・B夜間)),0)*_11・初任),0)+ROUND((ROUND((ROUND((_11_C身体１．５＿０．５＿１．０*_11・２人),0)*(1+_11・C深夜)),0)*_11・初任),0)</f>
        <v>657</v>
      </c>
      <c r="AB156" s="48"/>
    </row>
    <row r="157" spans="1:28" ht="16.5" customHeight="1" x14ac:dyDescent="0.15">
      <c r="A157" s="41">
        <v>11</v>
      </c>
      <c r="B157" s="41" t="s">
        <v>2642</v>
      </c>
      <c r="C157" s="42" t="s">
        <v>2643</v>
      </c>
      <c r="D157" s="72"/>
      <c r="E157" s="99"/>
      <c r="F157" s="72"/>
      <c r="G157" s="99"/>
      <c r="H157" s="72"/>
      <c r="I157" s="99"/>
      <c r="J157" s="705" t="s">
        <v>400</v>
      </c>
      <c r="K157" s="49" t="s">
        <v>398</v>
      </c>
      <c r="L157" s="50">
        <v>0.7</v>
      </c>
      <c r="M157" s="44"/>
      <c r="N157" s="45"/>
      <c r="O157" s="46"/>
      <c r="P157" s="35"/>
      <c r="R157" s="57"/>
      <c r="U157" s="57"/>
      <c r="X157" s="57"/>
      <c r="Y157" s="709"/>
      <c r="Z157" s="704"/>
      <c r="AA157" s="47">
        <f>ROUND((ROUND((_11_A身体１．５*_11・基礎１),0)*_11・初任),0)+ROUND((ROUND((ROUND((_11_B身体１．５＿０．５*_11・基礎１),0)*(1+_11・B夜間)),0)*_11・初任),0)+ROUND((ROUND((ROUND((_11_C身体１．５＿０．５＿１．０*_11・基礎１),0)*(1+_11・C深夜)),0)*_11・初任),0)</f>
        <v>459</v>
      </c>
      <c r="AB157" s="48"/>
    </row>
    <row r="158" spans="1:28" ht="16.5" customHeight="1" x14ac:dyDescent="0.15">
      <c r="A158" s="41">
        <v>11</v>
      </c>
      <c r="B158" s="41" t="s">
        <v>2644</v>
      </c>
      <c r="C158" s="42" t="s">
        <v>2645</v>
      </c>
      <c r="D158" s="72"/>
      <c r="E158" s="99"/>
      <c r="F158" s="72"/>
      <c r="G158" s="99"/>
      <c r="H158" s="72"/>
      <c r="I158" s="99"/>
      <c r="J158" s="711"/>
      <c r="K158" s="37"/>
      <c r="L158" s="38"/>
      <c r="M158" s="44" t="s">
        <v>397</v>
      </c>
      <c r="N158" s="45" t="s">
        <v>398</v>
      </c>
      <c r="O158" s="46">
        <v>1</v>
      </c>
      <c r="P158" s="35"/>
      <c r="R158" s="57"/>
      <c r="U158" s="57"/>
      <c r="X158" s="57"/>
      <c r="Y158" s="55" t="s">
        <v>398</v>
      </c>
      <c r="Z158" s="38">
        <f>_11・初任</f>
        <v>0.7</v>
      </c>
      <c r="AA158" s="47">
        <f>ROUND((ROUND((ROUND((_11_A身体１．５*_11・基礎１),0)*_11・２人),0)*_11・初任),0)+ROUND((ROUND((ROUND((ROUND((_11_B身体１．５＿０．５*_11・基礎１),0)*_11・２人),0)*(1+_11・B夜間)),0)*_11・初任),0)+ROUND((ROUND((ROUND((ROUND((_11_C身体１．５＿０．５＿１．０*_11・基礎１),0)*_11・２人),0)*(1+_11・C深夜)),0)*_11・初任),0)</f>
        <v>459</v>
      </c>
      <c r="AB158" s="48"/>
    </row>
    <row r="159" spans="1:28" ht="16.5" customHeight="1" x14ac:dyDescent="0.15">
      <c r="A159" s="41">
        <v>11</v>
      </c>
      <c r="B159" s="41">
        <v>1819</v>
      </c>
      <c r="C159" s="42" t="s">
        <v>2646</v>
      </c>
      <c r="D159" s="707" t="s">
        <v>2647</v>
      </c>
      <c r="E159" s="717"/>
      <c r="F159" s="707" t="s">
        <v>1415</v>
      </c>
      <c r="G159" s="717"/>
      <c r="H159" s="707" t="s">
        <v>1617</v>
      </c>
      <c r="I159" s="717"/>
      <c r="J159" s="53"/>
      <c r="K159" s="49"/>
      <c r="L159" s="50"/>
      <c r="M159" s="44"/>
      <c r="N159" s="45"/>
      <c r="O159" s="46"/>
      <c r="P159" s="35"/>
      <c r="R159" s="57"/>
      <c r="U159" s="57"/>
      <c r="X159" s="57"/>
      <c r="Y159" s="53"/>
      <c r="Z159" s="49"/>
      <c r="AA159" s="47">
        <f>_11_A身体２．０+ROUND((_11_B身体２．０＿０．５*(1+_11・B夜間)),0)+ROUND((_11_C身体２．０＿０．５＿０．５*(1+_11・C深夜)),0)</f>
        <v>896</v>
      </c>
      <c r="AB159" s="48"/>
    </row>
    <row r="160" spans="1:28" ht="16.5" customHeight="1" x14ac:dyDescent="0.15">
      <c r="A160" s="41">
        <v>11</v>
      </c>
      <c r="B160" s="41">
        <v>1820</v>
      </c>
      <c r="C160" s="42" t="s">
        <v>2648</v>
      </c>
      <c r="D160" s="709"/>
      <c r="E160" s="718"/>
      <c r="F160" s="709"/>
      <c r="G160" s="718"/>
      <c r="H160" s="709"/>
      <c r="I160" s="718"/>
      <c r="J160" s="43"/>
      <c r="K160" s="37"/>
      <c r="L160" s="38"/>
      <c r="M160" s="44" t="s">
        <v>397</v>
      </c>
      <c r="N160" s="45" t="s">
        <v>398</v>
      </c>
      <c r="O160" s="46">
        <v>1</v>
      </c>
      <c r="P160" s="35"/>
      <c r="R160" s="57"/>
      <c r="U160" s="57"/>
      <c r="X160" s="57"/>
      <c r="Y160" s="35"/>
      <c r="AA160" s="47">
        <f>ROUND((_11_A身体２．０*_11・２人),0)+ROUND((ROUND((_11_B身体２．０＿０．５*_11・２人),0)*(1+_11・B夜間)),0)+ROUND((ROUND((_11_C身体２．０＿０．５＿０．５*_11・２人),0)*(1+_11・C深夜)),0)</f>
        <v>896</v>
      </c>
      <c r="AB160" s="48"/>
    </row>
    <row r="161" spans="1:29" ht="16.5" customHeight="1" x14ac:dyDescent="0.15">
      <c r="A161" s="41">
        <v>11</v>
      </c>
      <c r="B161" s="41">
        <v>1821</v>
      </c>
      <c r="C161" s="42" t="s">
        <v>2649</v>
      </c>
      <c r="D161" s="709"/>
      <c r="E161" s="718"/>
      <c r="F161" s="709"/>
      <c r="G161" s="718"/>
      <c r="H161" s="709"/>
      <c r="I161" s="718"/>
      <c r="J161" s="705" t="s">
        <v>400</v>
      </c>
      <c r="K161" s="49" t="s">
        <v>398</v>
      </c>
      <c r="L161" s="50">
        <v>0.7</v>
      </c>
      <c r="M161" s="44"/>
      <c r="N161" s="45"/>
      <c r="O161" s="46"/>
      <c r="P161" s="35"/>
      <c r="R161" s="57"/>
      <c r="U161" s="57"/>
      <c r="X161" s="57"/>
      <c r="Y161" s="35"/>
      <c r="AA161" s="47">
        <f>ROUND((_11_A身体２．０*_11・基礎１),0)+ROUND((ROUND((_11_B身体２．０＿０．５*_11・基礎１),0)*(1+_11・B夜間)),0)+ROUND((ROUND((_11_C身体２．０＿０．５＿０．５*_11・基礎１),0)*(1+_11・C深夜)),0)</f>
        <v>627</v>
      </c>
      <c r="AB161" s="48"/>
    </row>
    <row r="162" spans="1:29" ht="16.5" customHeight="1" x14ac:dyDescent="0.15">
      <c r="A162" s="41">
        <v>11</v>
      </c>
      <c r="B162" s="41">
        <v>1822</v>
      </c>
      <c r="C162" s="42" t="s">
        <v>2650</v>
      </c>
      <c r="D162" s="100">
        <f>_11_A身体２．０</f>
        <v>666</v>
      </c>
      <c r="E162" s="12" t="s">
        <v>392</v>
      </c>
      <c r="F162" s="100">
        <f>_11_B身体２．０＿０．５</f>
        <v>84</v>
      </c>
      <c r="G162" s="12" t="s">
        <v>392</v>
      </c>
      <c r="H162" s="100">
        <f>_11_C身体２．０＿０．５＿０．５</f>
        <v>83</v>
      </c>
      <c r="I162" s="12" t="s">
        <v>392</v>
      </c>
      <c r="J162" s="711"/>
      <c r="K162" s="37"/>
      <c r="L162" s="38"/>
      <c r="M162" s="44" t="s">
        <v>397</v>
      </c>
      <c r="N162" s="45" t="s">
        <v>398</v>
      </c>
      <c r="O162" s="46">
        <v>1</v>
      </c>
      <c r="P162" s="35"/>
      <c r="R162" s="57"/>
      <c r="U162" s="57"/>
      <c r="X162" s="57"/>
      <c r="Y162" s="43"/>
      <c r="Z162" s="37"/>
      <c r="AA162" s="47">
        <f>ROUND((ROUND((_11_A身体２．０*_11・基礎１),0)*_11・２人),0)+ROUND((ROUND((ROUND((_11_B身体２．０＿０．５*_11・基礎１),0)*_11・２人),0)*(1+_11・B夜間)),0)+ROUND((ROUND((ROUND((_11_C身体２．０＿０．５＿０．５*_11・基礎１),0)*_11・２人),0)*(1+_11・C深夜)),0)</f>
        <v>627</v>
      </c>
      <c r="AB162" s="48"/>
    </row>
    <row r="163" spans="1:29" ht="16.5" customHeight="1" x14ac:dyDescent="0.15">
      <c r="A163" s="41">
        <v>11</v>
      </c>
      <c r="B163" s="41" t="s">
        <v>2651</v>
      </c>
      <c r="C163" s="42" t="s">
        <v>2652</v>
      </c>
      <c r="D163" s="121"/>
      <c r="E163" s="99"/>
      <c r="F163" s="72"/>
      <c r="G163" s="99"/>
      <c r="H163" s="121"/>
      <c r="I163" s="99"/>
      <c r="J163" s="53"/>
      <c r="K163" s="49"/>
      <c r="L163" s="50"/>
      <c r="M163" s="44"/>
      <c r="N163" s="45"/>
      <c r="O163" s="46"/>
      <c r="P163" s="35"/>
      <c r="R163" s="57"/>
      <c r="U163" s="57"/>
      <c r="X163" s="57"/>
      <c r="Y163" s="707" t="s">
        <v>404</v>
      </c>
      <c r="Z163" s="708"/>
      <c r="AA163" s="47">
        <f>ROUND((_11_A身体２．０*_11・初任),0)+ROUND((ROUND((_11_B身体２．０＿０．５*(1+_11・B夜間)),0)*_11・初任),0)+ROUND((ROUND((_11_C身体２．０＿０．５＿０．５*(1+_11・C深夜)),0)*_11・初任),0)</f>
        <v>628</v>
      </c>
      <c r="AB163" s="48"/>
    </row>
    <row r="164" spans="1:29" ht="16.5" customHeight="1" x14ac:dyDescent="0.15">
      <c r="A164" s="41">
        <v>11</v>
      </c>
      <c r="B164" s="41" t="s">
        <v>2653</v>
      </c>
      <c r="C164" s="42" t="s">
        <v>2654</v>
      </c>
      <c r="D164" s="121"/>
      <c r="E164" s="99"/>
      <c r="F164" s="72"/>
      <c r="G164" s="99"/>
      <c r="H164" s="121"/>
      <c r="I164" s="99"/>
      <c r="J164" s="43"/>
      <c r="K164" s="37"/>
      <c r="L164" s="38"/>
      <c r="M164" s="44" t="s">
        <v>397</v>
      </c>
      <c r="N164" s="45" t="s">
        <v>398</v>
      </c>
      <c r="O164" s="46">
        <v>1</v>
      </c>
      <c r="P164" s="35"/>
      <c r="R164" s="57"/>
      <c r="U164" s="57"/>
      <c r="X164" s="57"/>
      <c r="Y164" s="709"/>
      <c r="Z164" s="704"/>
      <c r="AA164" s="47">
        <f>ROUND((ROUND((_11_A身体２．０*_11・２人),0)*_11・初任),0)+ROUND((ROUND((ROUND((_11_B身体２．０＿０．５*_11・２人),0)*(1+_11・B夜間)),0)*_11・初任),0)+ROUND((ROUND((ROUND((_11_C身体２．０＿０．５＿０．５*_11・２人),0)*(1+_11・C深夜)),0)*_11・初任),0)</f>
        <v>628</v>
      </c>
      <c r="AB164" s="48"/>
    </row>
    <row r="165" spans="1:29" ht="16.5" customHeight="1" x14ac:dyDescent="0.15">
      <c r="A165" s="41">
        <v>11</v>
      </c>
      <c r="B165" s="41" t="s">
        <v>2655</v>
      </c>
      <c r="C165" s="42" t="s">
        <v>2656</v>
      </c>
      <c r="D165" s="72"/>
      <c r="E165" s="99"/>
      <c r="F165" s="72"/>
      <c r="G165" s="99"/>
      <c r="H165" s="72"/>
      <c r="I165" s="99"/>
      <c r="J165" s="705" t="s">
        <v>400</v>
      </c>
      <c r="K165" s="49" t="s">
        <v>398</v>
      </c>
      <c r="L165" s="50">
        <v>0.7</v>
      </c>
      <c r="M165" s="44"/>
      <c r="N165" s="45"/>
      <c r="O165" s="46"/>
      <c r="P165" s="35"/>
      <c r="R165" s="57"/>
      <c r="U165" s="57"/>
      <c r="X165" s="57"/>
      <c r="Y165" s="709"/>
      <c r="Z165" s="704"/>
      <c r="AA165" s="47">
        <f>ROUND((ROUND((_11_A身体２．０*_11・基礎１),0)*_11・初任),0)+ROUND((ROUND((ROUND((_11_B身体２．０＿０．５*_11・基礎１),0)*(1+_11・B夜間)),0)*_11・初任),0)+ROUND((ROUND((ROUND((_11_C身体２．０＿０．５＿０．５*_11・基礎１),0)*(1+_11・C深夜)),0)*_11・初任),0)</f>
        <v>439</v>
      </c>
      <c r="AB165" s="48"/>
    </row>
    <row r="166" spans="1:29" ht="16.5" customHeight="1" x14ac:dyDescent="0.15">
      <c r="A166" s="41">
        <v>11</v>
      </c>
      <c r="B166" s="41" t="s">
        <v>2657</v>
      </c>
      <c r="C166" s="42" t="s">
        <v>2658</v>
      </c>
      <c r="D166" s="122"/>
      <c r="E166" s="111"/>
      <c r="F166" s="122"/>
      <c r="G166" s="111"/>
      <c r="H166" s="122"/>
      <c r="I166" s="111"/>
      <c r="J166" s="711"/>
      <c r="K166" s="37"/>
      <c r="L166" s="38"/>
      <c r="M166" s="44" t="s">
        <v>397</v>
      </c>
      <c r="N166" s="45" t="s">
        <v>398</v>
      </c>
      <c r="O166" s="46">
        <v>1</v>
      </c>
      <c r="P166" s="43"/>
      <c r="Q166" s="38"/>
      <c r="R166" s="79"/>
      <c r="S166" s="37"/>
      <c r="T166" s="38"/>
      <c r="U166" s="79"/>
      <c r="V166" s="37"/>
      <c r="W166" s="38"/>
      <c r="X166" s="79"/>
      <c r="Y166" s="55" t="s">
        <v>398</v>
      </c>
      <c r="Z166" s="38">
        <f>_11・初任</f>
        <v>0.7</v>
      </c>
      <c r="AA166" s="47">
        <f>ROUND((ROUND((ROUND((_11_A身体２．０*_11・基礎１),0)*_11・２人),0)*_11・初任),0)+ROUND((ROUND((ROUND((ROUND((_11_B身体２．０＿０．５*_11・基礎１),0)*_11・２人),0)*(1+_11・B夜間)),0)*_11・初任),0)+ROUND((ROUND((ROUND((ROUND((_11_C身体２．０＿０．５＿０．５*_11・基礎１),0)*_11・２人),0)*(1+_11・C深夜)),0)*_11・初任),0)</f>
        <v>439</v>
      </c>
      <c r="AB166" s="63"/>
    </row>
    <row r="167" spans="1:29" ht="16.5" customHeight="1" x14ac:dyDescent="0.15">
      <c r="A167" s="146"/>
      <c r="B167" s="146"/>
      <c r="C167" s="147"/>
      <c r="D167" s="148"/>
      <c r="E167" s="148"/>
      <c r="F167" s="148"/>
      <c r="G167" s="148"/>
      <c r="H167" s="148"/>
      <c r="I167" s="148"/>
      <c r="J167" s="149"/>
      <c r="K167" s="150"/>
      <c r="L167" s="150"/>
      <c r="M167" s="151"/>
      <c r="N167" s="151"/>
      <c r="O167" s="151"/>
      <c r="P167" s="151"/>
      <c r="Q167" s="151"/>
      <c r="R167" s="151"/>
      <c r="S167" s="152"/>
      <c r="T167" s="148"/>
      <c r="U167" s="151"/>
      <c r="V167" s="153"/>
      <c r="W167" s="153"/>
      <c r="X167" s="153"/>
      <c r="Y167" s="153"/>
      <c r="Z167" s="153"/>
      <c r="AA167" s="154"/>
      <c r="AB167" s="155"/>
      <c r="AC167" s="156"/>
    </row>
    <row r="168" spans="1:29" ht="16.5" customHeight="1" x14ac:dyDescent="0.15">
      <c r="A168" s="146"/>
      <c r="B168" s="146"/>
      <c r="C168" s="147"/>
      <c r="D168" s="148"/>
      <c r="E168" s="148"/>
      <c r="F168" s="148"/>
      <c r="G168" s="148"/>
      <c r="H168" s="148"/>
      <c r="I168" s="148"/>
      <c r="J168" s="149"/>
      <c r="K168" s="150"/>
      <c r="L168" s="150"/>
      <c r="M168" s="151"/>
      <c r="N168" s="151"/>
      <c r="O168" s="151"/>
      <c r="P168" s="151"/>
      <c r="Q168" s="151"/>
      <c r="R168" s="151"/>
      <c r="S168" s="152"/>
      <c r="T168" s="148"/>
      <c r="U168" s="151"/>
      <c r="V168" s="153"/>
      <c r="W168" s="153"/>
      <c r="X168" s="153"/>
      <c r="Y168" s="153"/>
      <c r="Z168" s="153"/>
      <c r="AA168" s="154"/>
      <c r="AB168" s="155"/>
      <c r="AC168" s="156"/>
    </row>
    <row r="169" spans="1:29" ht="16.5" customHeight="1" x14ac:dyDescent="0.15">
      <c r="A169" s="157"/>
      <c r="B169" s="86" t="s">
        <v>2659</v>
      </c>
      <c r="C169" s="81"/>
      <c r="D169" s="71"/>
      <c r="E169" s="12"/>
      <c r="F169" s="12"/>
      <c r="G169" s="10"/>
      <c r="H169" s="12"/>
      <c r="I169" s="12"/>
      <c r="J169" s="83"/>
      <c r="L169" s="12"/>
      <c r="M169" s="12"/>
      <c r="O169" s="71"/>
      <c r="P169" s="71"/>
      <c r="Q169" s="12"/>
      <c r="R169" s="13"/>
      <c r="S169" s="71"/>
      <c r="T169" s="12"/>
      <c r="U169" s="13"/>
      <c r="V169" s="71"/>
      <c r="W169" s="12"/>
      <c r="X169" s="71"/>
      <c r="Y169" s="13"/>
      <c r="AA169" s="158"/>
      <c r="AB169" s="82"/>
    </row>
    <row r="170" spans="1:29" ht="16.5" customHeight="1" x14ac:dyDescent="0.15">
      <c r="A170" s="87" t="s">
        <v>384</v>
      </c>
      <c r="B170" s="20"/>
      <c r="C170" s="88" t="s">
        <v>385</v>
      </c>
      <c r="D170" s="23" t="s">
        <v>386</v>
      </c>
      <c r="E170" s="118"/>
      <c r="F170" s="23"/>
      <c r="G170" s="118"/>
      <c r="H170" s="23"/>
      <c r="I170" s="118"/>
      <c r="J170" s="123"/>
      <c r="K170" s="23"/>
      <c r="L170" s="24"/>
      <c r="M170" s="23"/>
      <c r="N170" s="23"/>
      <c r="O170" s="24"/>
      <c r="P170" s="23"/>
      <c r="Q170" s="24"/>
      <c r="R170" s="23"/>
      <c r="S170" s="23"/>
      <c r="T170" s="24"/>
      <c r="U170" s="23"/>
      <c r="V170" s="23"/>
      <c r="W170" s="24"/>
      <c r="X170" s="23"/>
      <c r="Y170" s="23"/>
      <c r="Z170" s="23"/>
      <c r="AA170" s="25" t="s">
        <v>387</v>
      </c>
      <c r="AB170" s="21" t="s">
        <v>388</v>
      </c>
      <c r="AC170" s="71"/>
    </row>
    <row r="171" spans="1:29" ht="16.5" customHeight="1" x14ac:dyDescent="0.15">
      <c r="A171" s="26" t="s">
        <v>389</v>
      </c>
      <c r="B171" s="26" t="s">
        <v>390</v>
      </c>
      <c r="C171" s="89"/>
      <c r="D171" s="87" t="s">
        <v>1032</v>
      </c>
      <c r="E171" s="119"/>
      <c r="F171" s="159"/>
      <c r="G171" s="160"/>
      <c r="H171" s="87" t="s">
        <v>1033</v>
      </c>
      <c r="I171" s="119"/>
      <c r="J171" s="90"/>
      <c r="K171" s="29"/>
      <c r="L171" s="30"/>
      <c r="M171" s="29"/>
      <c r="N171" s="29"/>
      <c r="O171" s="30"/>
      <c r="P171" s="29"/>
      <c r="Q171" s="30"/>
      <c r="R171" s="29"/>
      <c r="S171" s="29"/>
      <c r="T171" s="30"/>
      <c r="U171" s="29"/>
      <c r="V171" s="29"/>
      <c r="W171" s="30"/>
      <c r="X171" s="29"/>
      <c r="Y171" s="29"/>
      <c r="Z171" s="29"/>
      <c r="AA171" s="31" t="s">
        <v>391</v>
      </c>
      <c r="AB171" s="32" t="s">
        <v>392</v>
      </c>
      <c r="AC171" s="71"/>
    </row>
    <row r="172" spans="1:29" ht="16.5" customHeight="1" x14ac:dyDescent="0.15">
      <c r="A172" s="33">
        <v>11</v>
      </c>
      <c r="B172" s="33">
        <v>1823</v>
      </c>
      <c r="C172" s="34" t="s">
        <v>2660</v>
      </c>
      <c r="D172" s="709" t="s">
        <v>673</v>
      </c>
      <c r="E172" s="718"/>
      <c r="F172" s="709" t="s">
        <v>2661</v>
      </c>
      <c r="G172" s="718"/>
      <c r="H172" s="709" t="s">
        <v>1415</v>
      </c>
      <c r="I172" s="718"/>
      <c r="J172" s="91"/>
      <c r="M172" s="36"/>
      <c r="N172" s="37"/>
      <c r="O172" s="38"/>
      <c r="P172" s="72" t="s">
        <v>2662</v>
      </c>
      <c r="R172" s="57"/>
      <c r="S172" s="35"/>
      <c r="U172" s="57"/>
      <c r="V172" s="72" t="s">
        <v>2663</v>
      </c>
      <c r="X172" s="57"/>
      <c r="Y172" s="35"/>
      <c r="AA172" s="39">
        <f>ROUND((_11_A身体０．５*(1+_11・A早朝)),0)+_11_B身体０．５＿２．０+ROUND((_11_C身体０．５＿２．０＿０．５*(1+_11・C夜間)),0)</f>
        <v>918</v>
      </c>
      <c r="AB172" s="48"/>
      <c r="AC172" s="71"/>
    </row>
    <row r="173" spans="1:29" ht="16.5" customHeight="1" x14ac:dyDescent="0.15">
      <c r="A173" s="41">
        <v>11</v>
      </c>
      <c r="B173" s="41">
        <v>1824</v>
      </c>
      <c r="C173" s="42" t="s">
        <v>2664</v>
      </c>
      <c r="D173" s="709"/>
      <c r="E173" s="718"/>
      <c r="F173" s="709"/>
      <c r="G173" s="718"/>
      <c r="H173" s="709"/>
      <c r="I173" s="718"/>
      <c r="J173" s="94"/>
      <c r="K173" s="37"/>
      <c r="L173" s="38"/>
      <c r="M173" s="44" t="s">
        <v>397</v>
      </c>
      <c r="N173" s="45" t="s">
        <v>398</v>
      </c>
      <c r="O173" s="46">
        <v>1</v>
      </c>
      <c r="P173" s="35" t="s">
        <v>398</v>
      </c>
      <c r="Q173" s="13">
        <v>0.25</v>
      </c>
      <c r="R173" s="728" t="s">
        <v>676</v>
      </c>
      <c r="S173" s="35"/>
      <c r="U173" s="57"/>
      <c r="V173" s="12" t="s">
        <v>398</v>
      </c>
      <c r="W173" s="13">
        <v>0.25</v>
      </c>
      <c r="X173" s="728" t="s">
        <v>676</v>
      </c>
      <c r="Y173" s="35"/>
      <c r="AA173" s="47">
        <f>ROUND((ROUND((_11_A身体０．５*_11・２人),0)*(1+_11・A早朝)),0)+ROUND((_11_B身体０．５＿２．０*_11・２人),0)+ROUND((ROUND((_11_C身体０．５＿２．０＿０．５*_11・２人),0)*(1+_11・C夜間)),0)</f>
        <v>918</v>
      </c>
      <c r="AB173" s="48"/>
      <c r="AC173" s="71"/>
    </row>
    <row r="174" spans="1:29" ht="16.5" customHeight="1" x14ac:dyDescent="0.15">
      <c r="A174" s="41">
        <v>11</v>
      </c>
      <c r="B174" s="41">
        <v>1825</v>
      </c>
      <c r="C174" s="42" t="s">
        <v>2665</v>
      </c>
      <c r="D174" s="709"/>
      <c r="E174" s="718"/>
      <c r="F174" s="709"/>
      <c r="G174" s="718"/>
      <c r="H174" s="709"/>
      <c r="I174" s="718"/>
      <c r="J174" s="705" t="s">
        <v>400</v>
      </c>
      <c r="K174" s="49" t="s">
        <v>398</v>
      </c>
      <c r="L174" s="50">
        <v>0.7</v>
      </c>
      <c r="M174" s="44"/>
      <c r="N174" s="45"/>
      <c r="O174" s="46"/>
      <c r="P174" s="35"/>
      <c r="R174" s="728"/>
      <c r="S174" s="35"/>
      <c r="U174" s="57"/>
      <c r="X174" s="728"/>
      <c r="Y174" s="35"/>
      <c r="AA174" s="47">
        <f>ROUND((ROUND((_11_A身体０．５*_11・基礎１),0)*(1+_11・A早朝)),0)+ROUND((_11_B身体０．５＿２．０*_11・基礎１),0)+ROUND((ROUND((_11_C身体０．５＿２．０＿０．５*_11・基礎１),0)*(1+_11・C夜間)),0)</f>
        <v>644</v>
      </c>
      <c r="AB174" s="48"/>
      <c r="AC174" s="71"/>
    </row>
    <row r="175" spans="1:29" ht="16.5" customHeight="1" x14ac:dyDescent="0.15">
      <c r="A175" s="41">
        <v>11</v>
      </c>
      <c r="B175" s="41">
        <v>1826</v>
      </c>
      <c r="C175" s="42" t="s">
        <v>2666</v>
      </c>
      <c r="D175" s="100">
        <f>_11_A身体０．５</f>
        <v>255</v>
      </c>
      <c r="E175" s="12" t="s">
        <v>392</v>
      </c>
      <c r="F175" s="100">
        <f>_11_B身体０．５＿２．０</f>
        <v>495</v>
      </c>
      <c r="G175" s="12" t="s">
        <v>392</v>
      </c>
      <c r="H175" s="100">
        <f>_11_C身体０．５＿２．０＿０．５</f>
        <v>83</v>
      </c>
      <c r="I175" s="12" t="s">
        <v>392</v>
      </c>
      <c r="J175" s="723"/>
      <c r="K175" s="37"/>
      <c r="L175" s="38"/>
      <c r="M175" s="44" t="s">
        <v>397</v>
      </c>
      <c r="N175" s="45" t="s">
        <v>398</v>
      </c>
      <c r="O175" s="46">
        <v>1</v>
      </c>
      <c r="P175" s="35"/>
      <c r="R175" s="57"/>
      <c r="S175" s="35"/>
      <c r="U175" s="57"/>
      <c r="X175" s="57"/>
      <c r="Y175" s="43"/>
      <c r="Z175" s="37"/>
      <c r="AA175" s="47">
        <f>ROUND((ROUND((ROUND((_11_A身体０．５*_11・基礎１),0)*_11・２人),0)*(1+_11・A早朝)),0)+ROUND((ROUND((_11_B身体０．５＿２．０*_11・基礎１),0)*_11・２人),0)+ROUND((ROUND((ROUND((_11_C身体０．５＿２．０＿０．５*_11・基礎１),0)*_11・２人),0)*(1+_11・C夜間)),0)</f>
        <v>644</v>
      </c>
      <c r="AB175" s="48"/>
      <c r="AC175" s="71"/>
    </row>
    <row r="176" spans="1:29" ht="16.5" customHeight="1" x14ac:dyDescent="0.15">
      <c r="A176" s="41">
        <v>11</v>
      </c>
      <c r="B176" s="41" t="s">
        <v>2667</v>
      </c>
      <c r="C176" s="42" t="s">
        <v>2668</v>
      </c>
      <c r="D176" s="121"/>
      <c r="E176" s="99"/>
      <c r="F176" s="121"/>
      <c r="G176" s="99"/>
      <c r="H176" s="121"/>
      <c r="I176" s="99"/>
      <c r="J176" s="96"/>
      <c r="K176" s="49"/>
      <c r="L176" s="50"/>
      <c r="M176" s="44"/>
      <c r="N176" s="45"/>
      <c r="O176" s="46"/>
      <c r="P176" s="35"/>
      <c r="R176" s="57"/>
      <c r="S176" s="35"/>
      <c r="U176" s="57"/>
      <c r="X176" s="57"/>
      <c r="Y176" s="707" t="s">
        <v>404</v>
      </c>
      <c r="Z176" s="708"/>
      <c r="AA176" s="47">
        <f>ROUND((ROUND((_11_A身体０．５*(1+_11・A早朝)),0)*_11・初任),0)+ROUND((_11_B身体０．５＿２．０*_11・初任),0)+ROUND((ROUND((_11_C身体０．５＿２．０＿０．５*(1+_11・C夜間)),0)*_11・初任),0)</f>
        <v>643</v>
      </c>
      <c r="AB176" s="48"/>
    </row>
    <row r="177" spans="1:28" ht="16.5" customHeight="1" x14ac:dyDescent="0.15">
      <c r="A177" s="41">
        <v>11</v>
      </c>
      <c r="B177" s="41" t="s">
        <v>2669</v>
      </c>
      <c r="C177" s="42" t="s">
        <v>2670</v>
      </c>
      <c r="D177" s="121"/>
      <c r="E177" s="99"/>
      <c r="F177" s="121"/>
      <c r="G177" s="99"/>
      <c r="H177" s="121"/>
      <c r="I177" s="99"/>
      <c r="J177" s="94"/>
      <c r="K177" s="37"/>
      <c r="L177" s="38"/>
      <c r="M177" s="44" t="s">
        <v>397</v>
      </c>
      <c r="N177" s="45" t="s">
        <v>398</v>
      </c>
      <c r="O177" s="46">
        <v>1</v>
      </c>
      <c r="P177" s="35"/>
      <c r="R177" s="57"/>
      <c r="S177" s="35"/>
      <c r="U177" s="57"/>
      <c r="X177" s="57"/>
      <c r="Y177" s="709"/>
      <c r="Z177" s="704"/>
      <c r="AA177" s="47">
        <f>ROUND((ROUND((ROUND((_11_A身体０．５*_11・２人),0)*(1+_11・A早朝)),0)*_11・初任),0)+ROUND((ROUND((_11_B身体０．５＿２．０*_11・２人),0)*_11・初任),0)+ROUND((ROUND((ROUND((_11_C身体０．５＿２．０＿０．５*_11・２人),0)*(1+_11・C夜間)),0)*_11・初任),0)</f>
        <v>643</v>
      </c>
      <c r="AB177" s="48"/>
    </row>
    <row r="178" spans="1:28" ht="16.5" customHeight="1" x14ac:dyDescent="0.15">
      <c r="A178" s="41">
        <v>11</v>
      </c>
      <c r="B178" s="41" t="s">
        <v>2671</v>
      </c>
      <c r="C178" s="42" t="s">
        <v>2672</v>
      </c>
      <c r="D178" s="72"/>
      <c r="E178" s="99"/>
      <c r="F178" s="72"/>
      <c r="G178" s="99"/>
      <c r="H178" s="72"/>
      <c r="I178" s="99"/>
      <c r="J178" s="705" t="s">
        <v>400</v>
      </c>
      <c r="K178" s="49" t="s">
        <v>398</v>
      </c>
      <c r="L178" s="50">
        <v>0.7</v>
      </c>
      <c r="M178" s="44"/>
      <c r="N178" s="45"/>
      <c r="O178" s="46"/>
      <c r="P178" s="35"/>
      <c r="R178" s="57"/>
      <c r="S178" s="35"/>
      <c r="U178" s="57"/>
      <c r="X178" s="57"/>
      <c r="Y178" s="709"/>
      <c r="Z178" s="704"/>
      <c r="AA178" s="47">
        <f>ROUND((ROUND((ROUND((_11_A身体０．５*_11・基礎１),0)*(1+_11・A早朝)),0)*_11・初任),0)+ROUND((ROUND((_11_B身体０．５＿２．０*_11・基礎１),0)*_11・初任),0)+ROUND((ROUND((ROUND((_11_C身体０．５＿２．０＿０．５*_11・基礎１),0)*(1+_11・C夜間)),0)*_11・初任),0)</f>
        <v>451</v>
      </c>
      <c r="AB178" s="48"/>
    </row>
    <row r="179" spans="1:28" ht="16.5" customHeight="1" x14ac:dyDescent="0.15">
      <c r="A179" s="41">
        <v>11</v>
      </c>
      <c r="B179" s="41" t="s">
        <v>2673</v>
      </c>
      <c r="C179" s="42" t="s">
        <v>2674</v>
      </c>
      <c r="D179" s="122"/>
      <c r="E179" s="111"/>
      <c r="F179" s="122"/>
      <c r="G179" s="111"/>
      <c r="H179" s="122"/>
      <c r="I179" s="111"/>
      <c r="J179" s="723"/>
      <c r="K179" s="37"/>
      <c r="L179" s="38"/>
      <c r="M179" s="44" t="s">
        <v>397</v>
      </c>
      <c r="N179" s="45" t="s">
        <v>398</v>
      </c>
      <c r="O179" s="46">
        <v>1</v>
      </c>
      <c r="P179" s="43"/>
      <c r="Q179" s="38"/>
      <c r="R179" s="79"/>
      <c r="S179" s="43"/>
      <c r="T179" s="38"/>
      <c r="U179" s="79"/>
      <c r="V179" s="37"/>
      <c r="W179" s="38"/>
      <c r="X179" s="79"/>
      <c r="Y179" s="55" t="s">
        <v>398</v>
      </c>
      <c r="Z179" s="38">
        <f>_11・初任</f>
        <v>0.7</v>
      </c>
      <c r="AA179" s="47">
        <f>ROUND((ROUND((ROUND((ROUND((_11_A身体０．５*_11・基礎１),0)*_11・２人),0)*(1+_11・A早朝)),0)*_11・初任),0)+ROUND((ROUND((ROUND((_11_B身体０．５＿２．０*_11・基礎１),0)*_11・２人),0)*_11・初任),0)+ROUND((ROUND((ROUND((ROUND((_11_C身体０．５＿２．０＿０．５*_11・基礎１),0)*_11・２人),0)*(1+_11・C夜間)),0)*_11・初任),0)</f>
        <v>451</v>
      </c>
      <c r="AB179" s="63"/>
    </row>
    <row r="180" spans="1:28" ht="16.5" customHeight="1" x14ac:dyDescent="0.15"/>
    <row r="181" spans="1:28" ht="16.5" customHeight="1" x14ac:dyDescent="0.15"/>
  </sheetData>
  <mergeCells count="111">
    <mergeCell ref="Y176:Z178"/>
    <mergeCell ref="J178:J179"/>
    <mergeCell ref="D172:E174"/>
    <mergeCell ref="F172:G174"/>
    <mergeCell ref="H172:I174"/>
    <mergeCell ref="R173:R174"/>
    <mergeCell ref="X173:X174"/>
    <mergeCell ref="J174:J175"/>
    <mergeCell ref="D159:E161"/>
    <mergeCell ref="F159:G161"/>
    <mergeCell ref="H159:I161"/>
    <mergeCell ref="J161:J162"/>
    <mergeCell ref="Y163:Z165"/>
    <mergeCell ref="J165:J166"/>
    <mergeCell ref="Y147:Z149"/>
    <mergeCell ref="J149:J150"/>
    <mergeCell ref="H151:I153"/>
    <mergeCell ref="J153:J154"/>
    <mergeCell ref="Y155:Z157"/>
    <mergeCell ref="J157:J158"/>
    <mergeCell ref="H135:I137"/>
    <mergeCell ref="J137:J138"/>
    <mergeCell ref="Y139:Z141"/>
    <mergeCell ref="J141:J142"/>
    <mergeCell ref="D143:E145"/>
    <mergeCell ref="F143:G145"/>
    <mergeCell ref="H143:I145"/>
    <mergeCell ref="J145:J146"/>
    <mergeCell ref="Y123:Z125"/>
    <mergeCell ref="J125:J126"/>
    <mergeCell ref="H127:I129"/>
    <mergeCell ref="J129:J130"/>
    <mergeCell ref="Y131:Z133"/>
    <mergeCell ref="J133:J134"/>
    <mergeCell ref="Y115:Z117"/>
    <mergeCell ref="J117:J118"/>
    <mergeCell ref="D119:E121"/>
    <mergeCell ref="F119:G121"/>
    <mergeCell ref="H119:I121"/>
    <mergeCell ref="J121:J122"/>
    <mergeCell ref="H103:I105"/>
    <mergeCell ref="J105:J106"/>
    <mergeCell ref="Y107:Z109"/>
    <mergeCell ref="J109:J110"/>
    <mergeCell ref="H111:I113"/>
    <mergeCell ref="J113:J114"/>
    <mergeCell ref="Y91:Z93"/>
    <mergeCell ref="J93:J94"/>
    <mergeCell ref="H95:I97"/>
    <mergeCell ref="J97:J98"/>
    <mergeCell ref="Y99:Z101"/>
    <mergeCell ref="J101:J102"/>
    <mergeCell ref="D87:E89"/>
    <mergeCell ref="F87:G89"/>
    <mergeCell ref="H87:I89"/>
    <mergeCell ref="U88:U89"/>
    <mergeCell ref="X88:X89"/>
    <mergeCell ref="J89:J90"/>
    <mergeCell ref="D79:E81"/>
    <mergeCell ref="F79:G81"/>
    <mergeCell ref="H79:I81"/>
    <mergeCell ref="J81:J82"/>
    <mergeCell ref="Y83:Z85"/>
    <mergeCell ref="J85:J86"/>
    <mergeCell ref="Y67:Z69"/>
    <mergeCell ref="J69:J70"/>
    <mergeCell ref="H71:I73"/>
    <mergeCell ref="J73:J74"/>
    <mergeCell ref="Y75:Z77"/>
    <mergeCell ref="J77:J78"/>
    <mergeCell ref="H55:I57"/>
    <mergeCell ref="J57:J58"/>
    <mergeCell ref="Y59:Z61"/>
    <mergeCell ref="J61:J62"/>
    <mergeCell ref="D63:E65"/>
    <mergeCell ref="F63:G65"/>
    <mergeCell ref="H63:I65"/>
    <mergeCell ref="J65:J66"/>
    <mergeCell ref="Y43:Z45"/>
    <mergeCell ref="J45:J46"/>
    <mergeCell ref="H47:I49"/>
    <mergeCell ref="J49:J50"/>
    <mergeCell ref="Y51:Z53"/>
    <mergeCell ref="J53:J54"/>
    <mergeCell ref="Y35:Z37"/>
    <mergeCell ref="J37:J38"/>
    <mergeCell ref="D39:E41"/>
    <mergeCell ref="F39:G41"/>
    <mergeCell ref="H39:I41"/>
    <mergeCell ref="J41:J42"/>
    <mergeCell ref="H23:I25"/>
    <mergeCell ref="J25:J26"/>
    <mergeCell ref="Y27:Z29"/>
    <mergeCell ref="J29:J30"/>
    <mergeCell ref="D31:E33"/>
    <mergeCell ref="F31:G33"/>
    <mergeCell ref="H31:I33"/>
    <mergeCell ref="J33:J34"/>
    <mergeCell ref="Y11:Z13"/>
    <mergeCell ref="J13:J14"/>
    <mergeCell ref="F15:G17"/>
    <mergeCell ref="H15:I17"/>
    <mergeCell ref="J17:J18"/>
    <mergeCell ref="Y19:Z21"/>
    <mergeCell ref="J21:J22"/>
    <mergeCell ref="D7:E9"/>
    <mergeCell ref="F7:G9"/>
    <mergeCell ref="H7:I9"/>
    <mergeCell ref="U8:U9"/>
    <mergeCell ref="X8:X9"/>
    <mergeCell ref="J9:J10"/>
  </mergeCells>
  <phoneticPr fontId="1"/>
  <printOptions horizontalCentered="1"/>
  <pageMargins left="0.70866141732283472" right="0.70866141732283472" top="0.74803149606299213" bottom="0.74803149606299213" header="0.31496062992125984" footer="0.31496062992125984"/>
  <pageSetup paperSize="9" scale="43" fitToHeight="0" orientation="portrait" r:id="rId1"/>
  <headerFooter>
    <oddHeader>&amp;R&amp;"ＭＳ Ｐゴシック"&amp;9居宅介護</oddHeader>
    <oddFooter>&amp;C&amp;"ＭＳ Ｐゴシック"&amp;14&amp;P</oddFooter>
  </headerFooter>
  <rowBreaks count="1" manualBreakCount="1">
    <brk id="86" max="27"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9">
    <tabColor rgb="FFFFFF00"/>
    <pageSetUpPr autoPageBreaks="0" fitToPage="1"/>
  </sheetPr>
  <dimension ref="A1:AS27"/>
  <sheetViews>
    <sheetView view="pageBreakPreview" zoomScaleNormal="100" zoomScaleSheetLayoutView="100" workbookViewId="0"/>
  </sheetViews>
  <sheetFormatPr defaultRowHeight="17.100000000000001" customHeight="1" x14ac:dyDescent="0.15"/>
  <cols>
    <col min="1" max="1" width="4.5" style="151" customWidth="1"/>
    <col min="2" max="2" width="7.5" style="151" customWidth="1"/>
    <col min="3" max="3" width="36.5" style="152" customWidth="1"/>
    <col min="4" max="10" width="2.5" style="151" customWidth="1"/>
    <col min="11" max="15" width="2.5" style="152" customWidth="1"/>
    <col min="16" max="18" width="2.5" style="151" customWidth="1"/>
    <col min="19" max="19" width="2.5" style="152" customWidth="1"/>
    <col min="20" max="23" width="2.5" style="151" customWidth="1"/>
    <col min="24" max="25" width="2.5" style="533" customWidth="1"/>
    <col min="26" max="41" width="2.5" style="151" customWidth="1"/>
    <col min="42" max="42" width="7.125" style="151" customWidth="1"/>
    <col min="43" max="43" width="8.5" style="151" customWidth="1"/>
    <col min="44" max="44" width="2.875" style="151" customWidth="1"/>
    <col min="45" max="253" width="9" style="151"/>
    <col min="254" max="254" width="4.5" style="151" customWidth="1"/>
    <col min="255" max="255" width="7.5" style="151" customWidth="1"/>
    <col min="256" max="256" width="35.5" style="151" customWidth="1"/>
    <col min="257" max="297" width="2.5" style="151" customWidth="1"/>
    <col min="298" max="299" width="8.5" style="151" customWidth="1"/>
    <col min="300" max="300" width="2.875" style="151" customWidth="1"/>
    <col min="301" max="509" width="9" style="151"/>
    <col min="510" max="510" width="4.5" style="151" customWidth="1"/>
    <col min="511" max="511" width="7.5" style="151" customWidth="1"/>
    <col min="512" max="512" width="35.5" style="151" customWidth="1"/>
    <col min="513" max="553" width="2.5" style="151" customWidth="1"/>
    <col min="554" max="555" width="8.5" style="151" customWidth="1"/>
    <col min="556" max="556" width="2.875" style="151" customWidth="1"/>
    <col min="557" max="765" width="9" style="151"/>
    <col min="766" max="766" width="4.5" style="151" customWidth="1"/>
    <col min="767" max="767" width="7.5" style="151" customWidth="1"/>
    <col min="768" max="768" width="35.5" style="151" customWidth="1"/>
    <col min="769" max="809" width="2.5" style="151" customWidth="1"/>
    <col min="810" max="811" width="8.5" style="151" customWidth="1"/>
    <col min="812" max="812" width="2.875" style="151" customWidth="1"/>
    <col min="813" max="1021" width="9" style="151"/>
    <col min="1022" max="1022" width="4.5" style="151" customWidth="1"/>
    <col min="1023" max="1023" width="7.5" style="151" customWidth="1"/>
    <col min="1024" max="1024" width="35.5" style="151" customWidth="1"/>
    <col min="1025" max="1065" width="2.5" style="151" customWidth="1"/>
    <col min="1066" max="1067" width="8.5" style="151" customWidth="1"/>
    <col min="1068" max="1068" width="2.875" style="151" customWidth="1"/>
    <col min="1069" max="1277" width="9" style="151"/>
    <col min="1278" max="1278" width="4.5" style="151" customWidth="1"/>
    <col min="1279" max="1279" width="7.5" style="151" customWidth="1"/>
    <col min="1280" max="1280" width="35.5" style="151" customWidth="1"/>
    <col min="1281" max="1321" width="2.5" style="151" customWidth="1"/>
    <col min="1322" max="1323" width="8.5" style="151" customWidth="1"/>
    <col min="1324" max="1324" width="2.875" style="151" customWidth="1"/>
    <col min="1325" max="1533" width="9" style="151"/>
    <col min="1534" max="1534" width="4.5" style="151" customWidth="1"/>
    <col min="1535" max="1535" width="7.5" style="151" customWidth="1"/>
    <col min="1536" max="1536" width="35.5" style="151" customWidth="1"/>
    <col min="1537" max="1577" width="2.5" style="151" customWidth="1"/>
    <col min="1578" max="1579" width="8.5" style="151" customWidth="1"/>
    <col min="1580" max="1580" width="2.875" style="151" customWidth="1"/>
    <col min="1581" max="1789" width="9" style="151"/>
    <col min="1790" max="1790" width="4.5" style="151" customWidth="1"/>
    <col min="1791" max="1791" width="7.5" style="151" customWidth="1"/>
    <col min="1792" max="1792" width="35.5" style="151" customWidth="1"/>
    <col min="1793" max="1833" width="2.5" style="151" customWidth="1"/>
    <col min="1834" max="1835" width="8.5" style="151" customWidth="1"/>
    <col min="1836" max="1836" width="2.875" style="151" customWidth="1"/>
    <col min="1837" max="2045" width="9" style="151"/>
    <col min="2046" max="2046" width="4.5" style="151" customWidth="1"/>
    <col min="2047" max="2047" width="7.5" style="151" customWidth="1"/>
    <col min="2048" max="2048" width="35.5" style="151" customWidth="1"/>
    <col min="2049" max="2089" width="2.5" style="151" customWidth="1"/>
    <col min="2090" max="2091" width="8.5" style="151" customWidth="1"/>
    <col min="2092" max="2092" width="2.875" style="151" customWidth="1"/>
    <col min="2093" max="2301" width="9" style="151"/>
    <col min="2302" max="2302" width="4.5" style="151" customWidth="1"/>
    <col min="2303" max="2303" width="7.5" style="151" customWidth="1"/>
    <col min="2304" max="2304" width="35.5" style="151" customWidth="1"/>
    <col min="2305" max="2345" width="2.5" style="151" customWidth="1"/>
    <col min="2346" max="2347" width="8.5" style="151" customWidth="1"/>
    <col min="2348" max="2348" width="2.875" style="151" customWidth="1"/>
    <col min="2349" max="2557" width="9" style="151"/>
    <col min="2558" max="2558" width="4.5" style="151" customWidth="1"/>
    <col min="2559" max="2559" width="7.5" style="151" customWidth="1"/>
    <col min="2560" max="2560" width="35.5" style="151" customWidth="1"/>
    <col min="2561" max="2601" width="2.5" style="151" customWidth="1"/>
    <col min="2602" max="2603" width="8.5" style="151" customWidth="1"/>
    <col min="2604" max="2604" width="2.875" style="151" customWidth="1"/>
    <col min="2605" max="2813" width="9" style="151"/>
    <col min="2814" max="2814" width="4.5" style="151" customWidth="1"/>
    <col min="2815" max="2815" width="7.5" style="151" customWidth="1"/>
    <col min="2816" max="2816" width="35.5" style="151" customWidth="1"/>
    <col min="2817" max="2857" width="2.5" style="151" customWidth="1"/>
    <col min="2858" max="2859" width="8.5" style="151" customWidth="1"/>
    <col min="2860" max="2860" width="2.875" style="151" customWidth="1"/>
    <col min="2861" max="3069" width="9" style="151"/>
    <col min="3070" max="3070" width="4.5" style="151" customWidth="1"/>
    <col min="3071" max="3071" width="7.5" style="151" customWidth="1"/>
    <col min="3072" max="3072" width="35.5" style="151" customWidth="1"/>
    <col min="3073" max="3113" width="2.5" style="151" customWidth="1"/>
    <col min="3114" max="3115" width="8.5" style="151" customWidth="1"/>
    <col min="3116" max="3116" width="2.875" style="151" customWidth="1"/>
    <col min="3117" max="3325" width="9" style="151"/>
    <col min="3326" max="3326" width="4.5" style="151" customWidth="1"/>
    <col min="3327" max="3327" width="7.5" style="151" customWidth="1"/>
    <col min="3328" max="3328" width="35.5" style="151" customWidth="1"/>
    <col min="3329" max="3369" width="2.5" style="151" customWidth="1"/>
    <col min="3370" max="3371" width="8.5" style="151" customWidth="1"/>
    <col min="3372" max="3372" width="2.875" style="151" customWidth="1"/>
    <col min="3373" max="3581" width="9" style="151"/>
    <col min="3582" max="3582" width="4.5" style="151" customWidth="1"/>
    <col min="3583" max="3583" width="7.5" style="151" customWidth="1"/>
    <col min="3584" max="3584" width="35.5" style="151" customWidth="1"/>
    <col min="3585" max="3625" width="2.5" style="151" customWidth="1"/>
    <col min="3626" max="3627" width="8.5" style="151" customWidth="1"/>
    <col min="3628" max="3628" width="2.875" style="151" customWidth="1"/>
    <col min="3629" max="3837" width="9" style="151"/>
    <col min="3838" max="3838" width="4.5" style="151" customWidth="1"/>
    <col min="3839" max="3839" width="7.5" style="151" customWidth="1"/>
    <col min="3840" max="3840" width="35.5" style="151" customWidth="1"/>
    <col min="3841" max="3881" width="2.5" style="151" customWidth="1"/>
    <col min="3882" max="3883" width="8.5" style="151" customWidth="1"/>
    <col min="3884" max="3884" width="2.875" style="151" customWidth="1"/>
    <col min="3885" max="4093" width="9" style="151"/>
    <col min="4094" max="4094" width="4.5" style="151" customWidth="1"/>
    <col min="4095" max="4095" width="7.5" style="151" customWidth="1"/>
    <col min="4096" max="4096" width="35.5" style="151" customWidth="1"/>
    <col min="4097" max="4137" width="2.5" style="151" customWidth="1"/>
    <col min="4138" max="4139" width="8.5" style="151" customWidth="1"/>
    <col min="4140" max="4140" width="2.875" style="151" customWidth="1"/>
    <col min="4141" max="4349" width="9" style="151"/>
    <col min="4350" max="4350" width="4.5" style="151" customWidth="1"/>
    <col min="4351" max="4351" width="7.5" style="151" customWidth="1"/>
    <col min="4352" max="4352" width="35.5" style="151" customWidth="1"/>
    <col min="4353" max="4393" width="2.5" style="151" customWidth="1"/>
    <col min="4394" max="4395" width="8.5" style="151" customWidth="1"/>
    <col min="4396" max="4396" width="2.875" style="151" customWidth="1"/>
    <col min="4397" max="4605" width="9" style="151"/>
    <col min="4606" max="4606" width="4.5" style="151" customWidth="1"/>
    <col min="4607" max="4607" width="7.5" style="151" customWidth="1"/>
    <col min="4608" max="4608" width="35.5" style="151" customWidth="1"/>
    <col min="4609" max="4649" width="2.5" style="151" customWidth="1"/>
    <col min="4650" max="4651" width="8.5" style="151" customWidth="1"/>
    <col min="4652" max="4652" width="2.875" style="151" customWidth="1"/>
    <col min="4653" max="4861" width="9" style="151"/>
    <col min="4862" max="4862" width="4.5" style="151" customWidth="1"/>
    <col min="4863" max="4863" width="7.5" style="151" customWidth="1"/>
    <col min="4864" max="4864" width="35.5" style="151" customWidth="1"/>
    <col min="4865" max="4905" width="2.5" style="151" customWidth="1"/>
    <col min="4906" max="4907" width="8.5" style="151" customWidth="1"/>
    <col min="4908" max="4908" width="2.875" style="151" customWidth="1"/>
    <col min="4909" max="5117" width="9" style="151"/>
    <col min="5118" max="5118" width="4.5" style="151" customWidth="1"/>
    <col min="5119" max="5119" width="7.5" style="151" customWidth="1"/>
    <col min="5120" max="5120" width="35.5" style="151" customWidth="1"/>
    <col min="5121" max="5161" width="2.5" style="151" customWidth="1"/>
    <col min="5162" max="5163" width="8.5" style="151" customWidth="1"/>
    <col min="5164" max="5164" width="2.875" style="151" customWidth="1"/>
    <col min="5165" max="5373" width="9" style="151"/>
    <col min="5374" max="5374" width="4.5" style="151" customWidth="1"/>
    <col min="5375" max="5375" width="7.5" style="151" customWidth="1"/>
    <col min="5376" max="5376" width="35.5" style="151" customWidth="1"/>
    <col min="5377" max="5417" width="2.5" style="151" customWidth="1"/>
    <col min="5418" max="5419" width="8.5" style="151" customWidth="1"/>
    <col min="5420" max="5420" width="2.875" style="151" customWidth="1"/>
    <col min="5421" max="5629" width="9" style="151"/>
    <col min="5630" max="5630" width="4.5" style="151" customWidth="1"/>
    <col min="5631" max="5631" width="7.5" style="151" customWidth="1"/>
    <col min="5632" max="5632" width="35.5" style="151" customWidth="1"/>
    <col min="5633" max="5673" width="2.5" style="151" customWidth="1"/>
    <col min="5674" max="5675" width="8.5" style="151" customWidth="1"/>
    <col min="5676" max="5676" width="2.875" style="151" customWidth="1"/>
    <col min="5677" max="5885" width="9" style="151"/>
    <col min="5886" max="5886" width="4.5" style="151" customWidth="1"/>
    <col min="5887" max="5887" width="7.5" style="151" customWidth="1"/>
    <col min="5888" max="5888" width="35.5" style="151" customWidth="1"/>
    <col min="5889" max="5929" width="2.5" style="151" customWidth="1"/>
    <col min="5930" max="5931" width="8.5" style="151" customWidth="1"/>
    <col min="5932" max="5932" width="2.875" style="151" customWidth="1"/>
    <col min="5933" max="6141" width="9" style="151"/>
    <col min="6142" max="6142" width="4.5" style="151" customWidth="1"/>
    <col min="6143" max="6143" width="7.5" style="151" customWidth="1"/>
    <col min="6144" max="6144" width="35.5" style="151" customWidth="1"/>
    <col min="6145" max="6185" width="2.5" style="151" customWidth="1"/>
    <col min="6186" max="6187" width="8.5" style="151" customWidth="1"/>
    <col min="6188" max="6188" width="2.875" style="151" customWidth="1"/>
    <col min="6189" max="6397" width="9" style="151"/>
    <col min="6398" max="6398" width="4.5" style="151" customWidth="1"/>
    <col min="6399" max="6399" width="7.5" style="151" customWidth="1"/>
    <col min="6400" max="6400" width="35.5" style="151" customWidth="1"/>
    <col min="6401" max="6441" width="2.5" style="151" customWidth="1"/>
    <col min="6442" max="6443" width="8.5" style="151" customWidth="1"/>
    <col min="6444" max="6444" width="2.875" style="151" customWidth="1"/>
    <col min="6445" max="6653" width="9" style="151"/>
    <col min="6654" max="6654" width="4.5" style="151" customWidth="1"/>
    <col min="6655" max="6655" width="7.5" style="151" customWidth="1"/>
    <col min="6656" max="6656" width="35.5" style="151" customWidth="1"/>
    <col min="6657" max="6697" width="2.5" style="151" customWidth="1"/>
    <col min="6698" max="6699" width="8.5" style="151" customWidth="1"/>
    <col min="6700" max="6700" width="2.875" style="151" customWidth="1"/>
    <col min="6701" max="6909" width="9" style="151"/>
    <col min="6910" max="6910" width="4.5" style="151" customWidth="1"/>
    <col min="6911" max="6911" width="7.5" style="151" customWidth="1"/>
    <col min="6912" max="6912" width="35.5" style="151" customWidth="1"/>
    <col min="6913" max="6953" width="2.5" style="151" customWidth="1"/>
    <col min="6954" max="6955" width="8.5" style="151" customWidth="1"/>
    <col min="6956" max="6956" width="2.875" style="151" customWidth="1"/>
    <col min="6957" max="7165" width="9" style="151"/>
    <col min="7166" max="7166" width="4.5" style="151" customWidth="1"/>
    <col min="7167" max="7167" width="7.5" style="151" customWidth="1"/>
    <col min="7168" max="7168" width="35.5" style="151" customWidth="1"/>
    <col min="7169" max="7209" width="2.5" style="151" customWidth="1"/>
    <col min="7210" max="7211" width="8.5" style="151" customWidth="1"/>
    <col min="7212" max="7212" width="2.875" style="151" customWidth="1"/>
    <col min="7213" max="7421" width="9" style="151"/>
    <col min="7422" max="7422" width="4.5" style="151" customWidth="1"/>
    <col min="7423" max="7423" width="7.5" style="151" customWidth="1"/>
    <col min="7424" max="7424" width="35.5" style="151" customWidth="1"/>
    <col min="7425" max="7465" width="2.5" style="151" customWidth="1"/>
    <col min="7466" max="7467" width="8.5" style="151" customWidth="1"/>
    <col min="7468" max="7468" width="2.875" style="151" customWidth="1"/>
    <col min="7469" max="7677" width="9" style="151"/>
    <col min="7678" max="7678" width="4.5" style="151" customWidth="1"/>
    <col min="7679" max="7679" width="7.5" style="151" customWidth="1"/>
    <col min="7680" max="7680" width="35.5" style="151" customWidth="1"/>
    <col min="7681" max="7721" width="2.5" style="151" customWidth="1"/>
    <col min="7722" max="7723" width="8.5" style="151" customWidth="1"/>
    <col min="7724" max="7724" width="2.875" style="151" customWidth="1"/>
    <col min="7725" max="7933" width="9" style="151"/>
    <col min="7934" max="7934" width="4.5" style="151" customWidth="1"/>
    <col min="7935" max="7935" width="7.5" style="151" customWidth="1"/>
    <col min="7936" max="7936" width="35.5" style="151" customWidth="1"/>
    <col min="7937" max="7977" width="2.5" style="151" customWidth="1"/>
    <col min="7978" max="7979" width="8.5" style="151" customWidth="1"/>
    <col min="7980" max="7980" width="2.875" style="151" customWidth="1"/>
    <col min="7981" max="8189" width="9" style="151"/>
    <col min="8190" max="8190" width="4.5" style="151" customWidth="1"/>
    <col min="8191" max="8191" width="7.5" style="151" customWidth="1"/>
    <col min="8192" max="8192" width="35.5" style="151" customWidth="1"/>
    <col min="8193" max="8233" width="2.5" style="151" customWidth="1"/>
    <col min="8234" max="8235" width="8.5" style="151" customWidth="1"/>
    <col min="8236" max="8236" width="2.875" style="151" customWidth="1"/>
    <col min="8237" max="8445" width="9" style="151"/>
    <col min="8446" max="8446" width="4.5" style="151" customWidth="1"/>
    <col min="8447" max="8447" width="7.5" style="151" customWidth="1"/>
    <col min="8448" max="8448" width="35.5" style="151" customWidth="1"/>
    <col min="8449" max="8489" width="2.5" style="151" customWidth="1"/>
    <col min="8490" max="8491" width="8.5" style="151" customWidth="1"/>
    <col min="8492" max="8492" width="2.875" style="151" customWidth="1"/>
    <col min="8493" max="8701" width="9" style="151"/>
    <col min="8702" max="8702" width="4.5" style="151" customWidth="1"/>
    <col min="8703" max="8703" width="7.5" style="151" customWidth="1"/>
    <col min="8704" max="8704" width="35.5" style="151" customWidth="1"/>
    <col min="8705" max="8745" width="2.5" style="151" customWidth="1"/>
    <col min="8746" max="8747" width="8.5" style="151" customWidth="1"/>
    <col min="8748" max="8748" width="2.875" style="151" customWidth="1"/>
    <col min="8749" max="8957" width="9" style="151"/>
    <col min="8958" max="8958" width="4.5" style="151" customWidth="1"/>
    <col min="8959" max="8959" width="7.5" style="151" customWidth="1"/>
    <col min="8960" max="8960" width="35.5" style="151" customWidth="1"/>
    <col min="8961" max="9001" width="2.5" style="151" customWidth="1"/>
    <col min="9002" max="9003" width="8.5" style="151" customWidth="1"/>
    <col min="9004" max="9004" width="2.875" style="151" customWidth="1"/>
    <col min="9005" max="9213" width="9" style="151"/>
    <col min="9214" max="9214" width="4.5" style="151" customWidth="1"/>
    <col min="9215" max="9215" width="7.5" style="151" customWidth="1"/>
    <col min="9216" max="9216" width="35.5" style="151" customWidth="1"/>
    <col min="9217" max="9257" width="2.5" style="151" customWidth="1"/>
    <col min="9258" max="9259" width="8.5" style="151" customWidth="1"/>
    <col min="9260" max="9260" width="2.875" style="151" customWidth="1"/>
    <col min="9261" max="9469" width="9" style="151"/>
    <col min="9470" max="9470" width="4.5" style="151" customWidth="1"/>
    <col min="9471" max="9471" width="7.5" style="151" customWidth="1"/>
    <col min="9472" max="9472" width="35.5" style="151" customWidth="1"/>
    <col min="9473" max="9513" width="2.5" style="151" customWidth="1"/>
    <col min="9514" max="9515" width="8.5" style="151" customWidth="1"/>
    <col min="9516" max="9516" width="2.875" style="151" customWidth="1"/>
    <col min="9517" max="9725" width="9" style="151"/>
    <col min="9726" max="9726" width="4.5" style="151" customWidth="1"/>
    <col min="9727" max="9727" width="7.5" style="151" customWidth="1"/>
    <col min="9728" max="9728" width="35.5" style="151" customWidth="1"/>
    <col min="9729" max="9769" width="2.5" style="151" customWidth="1"/>
    <col min="9770" max="9771" width="8.5" style="151" customWidth="1"/>
    <col min="9772" max="9772" width="2.875" style="151" customWidth="1"/>
    <col min="9773" max="9981" width="9" style="151"/>
    <col min="9982" max="9982" width="4.5" style="151" customWidth="1"/>
    <col min="9983" max="9983" width="7.5" style="151" customWidth="1"/>
    <col min="9984" max="9984" width="35.5" style="151" customWidth="1"/>
    <col min="9985" max="10025" width="2.5" style="151" customWidth="1"/>
    <col min="10026" max="10027" width="8.5" style="151" customWidth="1"/>
    <col min="10028" max="10028" width="2.875" style="151" customWidth="1"/>
    <col min="10029" max="10237" width="9" style="151"/>
    <col min="10238" max="10238" width="4.5" style="151" customWidth="1"/>
    <col min="10239" max="10239" width="7.5" style="151" customWidth="1"/>
    <col min="10240" max="10240" width="35.5" style="151" customWidth="1"/>
    <col min="10241" max="10281" width="2.5" style="151" customWidth="1"/>
    <col min="10282" max="10283" width="8.5" style="151" customWidth="1"/>
    <col min="10284" max="10284" width="2.875" style="151" customWidth="1"/>
    <col min="10285" max="10493" width="9" style="151"/>
    <col min="10494" max="10494" width="4.5" style="151" customWidth="1"/>
    <col min="10495" max="10495" width="7.5" style="151" customWidth="1"/>
    <col min="10496" max="10496" width="35.5" style="151" customWidth="1"/>
    <col min="10497" max="10537" width="2.5" style="151" customWidth="1"/>
    <col min="10538" max="10539" width="8.5" style="151" customWidth="1"/>
    <col min="10540" max="10540" width="2.875" style="151" customWidth="1"/>
    <col min="10541" max="10749" width="9" style="151"/>
    <col min="10750" max="10750" width="4.5" style="151" customWidth="1"/>
    <col min="10751" max="10751" width="7.5" style="151" customWidth="1"/>
    <col min="10752" max="10752" width="35.5" style="151" customWidth="1"/>
    <col min="10753" max="10793" width="2.5" style="151" customWidth="1"/>
    <col min="10794" max="10795" width="8.5" style="151" customWidth="1"/>
    <col min="10796" max="10796" width="2.875" style="151" customWidth="1"/>
    <col min="10797" max="11005" width="9" style="151"/>
    <col min="11006" max="11006" width="4.5" style="151" customWidth="1"/>
    <col min="11007" max="11007" width="7.5" style="151" customWidth="1"/>
    <col min="11008" max="11008" width="35.5" style="151" customWidth="1"/>
    <col min="11009" max="11049" width="2.5" style="151" customWidth="1"/>
    <col min="11050" max="11051" width="8.5" style="151" customWidth="1"/>
    <col min="11052" max="11052" width="2.875" style="151" customWidth="1"/>
    <col min="11053" max="11261" width="9" style="151"/>
    <col min="11262" max="11262" width="4.5" style="151" customWidth="1"/>
    <col min="11263" max="11263" width="7.5" style="151" customWidth="1"/>
    <col min="11264" max="11264" width="35.5" style="151" customWidth="1"/>
    <col min="11265" max="11305" width="2.5" style="151" customWidth="1"/>
    <col min="11306" max="11307" width="8.5" style="151" customWidth="1"/>
    <col min="11308" max="11308" width="2.875" style="151" customWidth="1"/>
    <col min="11309" max="11517" width="9" style="151"/>
    <col min="11518" max="11518" width="4.5" style="151" customWidth="1"/>
    <col min="11519" max="11519" width="7.5" style="151" customWidth="1"/>
    <col min="11520" max="11520" width="35.5" style="151" customWidth="1"/>
    <col min="11521" max="11561" width="2.5" style="151" customWidth="1"/>
    <col min="11562" max="11563" width="8.5" style="151" customWidth="1"/>
    <col min="11564" max="11564" width="2.875" style="151" customWidth="1"/>
    <col min="11565" max="11773" width="9" style="151"/>
    <col min="11774" max="11774" width="4.5" style="151" customWidth="1"/>
    <col min="11775" max="11775" width="7.5" style="151" customWidth="1"/>
    <col min="11776" max="11776" width="35.5" style="151" customWidth="1"/>
    <col min="11777" max="11817" width="2.5" style="151" customWidth="1"/>
    <col min="11818" max="11819" width="8.5" style="151" customWidth="1"/>
    <col min="11820" max="11820" width="2.875" style="151" customWidth="1"/>
    <col min="11821" max="12029" width="9" style="151"/>
    <col min="12030" max="12030" width="4.5" style="151" customWidth="1"/>
    <col min="12031" max="12031" width="7.5" style="151" customWidth="1"/>
    <col min="12032" max="12032" width="35.5" style="151" customWidth="1"/>
    <col min="12033" max="12073" width="2.5" style="151" customWidth="1"/>
    <col min="12074" max="12075" width="8.5" style="151" customWidth="1"/>
    <col min="12076" max="12076" width="2.875" style="151" customWidth="1"/>
    <col min="12077" max="12285" width="9" style="151"/>
    <col min="12286" max="12286" width="4.5" style="151" customWidth="1"/>
    <col min="12287" max="12287" width="7.5" style="151" customWidth="1"/>
    <col min="12288" max="12288" width="35.5" style="151" customWidth="1"/>
    <col min="12289" max="12329" width="2.5" style="151" customWidth="1"/>
    <col min="12330" max="12331" width="8.5" style="151" customWidth="1"/>
    <col min="12332" max="12332" width="2.875" style="151" customWidth="1"/>
    <col min="12333" max="12541" width="9" style="151"/>
    <col min="12542" max="12542" width="4.5" style="151" customWidth="1"/>
    <col min="12543" max="12543" width="7.5" style="151" customWidth="1"/>
    <col min="12544" max="12544" width="35.5" style="151" customWidth="1"/>
    <col min="12545" max="12585" width="2.5" style="151" customWidth="1"/>
    <col min="12586" max="12587" width="8.5" style="151" customWidth="1"/>
    <col min="12588" max="12588" width="2.875" style="151" customWidth="1"/>
    <col min="12589" max="12797" width="9" style="151"/>
    <col min="12798" max="12798" width="4.5" style="151" customWidth="1"/>
    <col min="12799" max="12799" width="7.5" style="151" customWidth="1"/>
    <col min="12800" max="12800" width="35.5" style="151" customWidth="1"/>
    <col min="12801" max="12841" width="2.5" style="151" customWidth="1"/>
    <col min="12842" max="12843" width="8.5" style="151" customWidth="1"/>
    <col min="12844" max="12844" width="2.875" style="151" customWidth="1"/>
    <col min="12845" max="13053" width="9" style="151"/>
    <col min="13054" max="13054" width="4.5" style="151" customWidth="1"/>
    <col min="13055" max="13055" width="7.5" style="151" customWidth="1"/>
    <col min="13056" max="13056" width="35.5" style="151" customWidth="1"/>
    <col min="13057" max="13097" width="2.5" style="151" customWidth="1"/>
    <col min="13098" max="13099" width="8.5" style="151" customWidth="1"/>
    <col min="13100" max="13100" width="2.875" style="151" customWidth="1"/>
    <col min="13101" max="13309" width="9" style="151"/>
    <col min="13310" max="13310" width="4.5" style="151" customWidth="1"/>
    <col min="13311" max="13311" width="7.5" style="151" customWidth="1"/>
    <col min="13312" max="13312" width="35.5" style="151" customWidth="1"/>
    <col min="13313" max="13353" width="2.5" style="151" customWidth="1"/>
    <col min="13354" max="13355" width="8.5" style="151" customWidth="1"/>
    <col min="13356" max="13356" width="2.875" style="151" customWidth="1"/>
    <col min="13357" max="13565" width="9" style="151"/>
    <col min="13566" max="13566" width="4.5" style="151" customWidth="1"/>
    <col min="13567" max="13567" width="7.5" style="151" customWidth="1"/>
    <col min="13568" max="13568" width="35.5" style="151" customWidth="1"/>
    <col min="13569" max="13609" width="2.5" style="151" customWidth="1"/>
    <col min="13610" max="13611" width="8.5" style="151" customWidth="1"/>
    <col min="13612" max="13612" width="2.875" style="151" customWidth="1"/>
    <col min="13613" max="13821" width="9" style="151"/>
    <col min="13822" max="13822" width="4.5" style="151" customWidth="1"/>
    <col min="13823" max="13823" width="7.5" style="151" customWidth="1"/>
    <col min="13824" max="13824" width="35.5" style="151" customWidth="1"/>
    <col min="13825" max="13865" width="2.5" style="151" customWidth="1"/>
    <col min="13866" max="13867" width="8.5" style="151" customWidth="1"/>
    <col min="13868" max="13868" width="2.875" style="151" customWidth="1"/>
    <col min="13869" max="14077" width="9" style="151"/>
    <col min="14078" max="14078" width="4.5" style="151" customWidth="1"/>
    <col min="14079" max="14079" width="7.5" style="151" customWidth="1"/>
    <col min="14080" max="14080" width="35.5" style="151" customWidth="1"/>
    <col min="14081" max="14121" width="2.5" style="151" customWidth="1"/>
    <col min="14122" max="14123" width="8.5" style="151" customWidth="1"/>
    <col min="14124" max="14124" width="2.875" style="151" customWidth="1"/>
    <col min="14125" max="14333" width="9" style="151"/>
    <col min="14334" max="14334" width="4.5" style="151" customWidth="1"/>
    <col min="14335" max="14335" width="7.5" style="151" customWidth="1"/>
    <col min="14336" max="14336" width="35.5" style="151" customWidth="1"/>
    <col min="14337" max="14377" width="2.5" style="151" customWidth="1"/>
    <col min="14378" max="14379" width="8.5" style="151" customWidth="1"/>
    <col min="14380" max="14380" width="2.875" style="151" customWidth="1"/>
    <col min="14381" max="14589" width="9" style="151"/>
    <col min="14590" max="14590" width="4.5" style="151" customWidth="1"/>
    <col min="14591" max="14591" width="7.5" style="151" customWidth="1"/>
    <col min="14592" max="14592" width="35.5" style="151" customWidth="1"/>
    <col min="14593" max="14633" width="2.5" style="151" customWidth="1"/>
    <col min="14634" max="14635" width="8.5" style="151" customWidth="1"/>
    <col min="14636" max="14636" width="2.875" style="151" customWidth="1"/>
    <col min="14637" max="14845" width="9" style="151"/>
    <col min="14846" max="14846" width="4.5" style="151" customWidth="1"/>
    <col min="14847" max="14847" width="7.5" style="151" customWidth="1"/>
    <col min="14848" max="14848" width="35.5" style="151" customWidth="1"/>
    <col min="14849" max="14889" width="2.5" style="151" customWidth="1"/>
    <col min="14890" max="14891" width="8.5" style="151" customWidth="1"/>
    <col min="14892" max="14892" width="2.875" style="151" customWidth="1"/>
    <col min="14893" max="15101" width="9" style="151"/>
    <col min="15102" max="15102" width="4.5" style="151" customWidth="1"/>
    <col min="15103" max="15103" width="7.5" style="151" customWidth="1"/>
    <col min="15104" max="15104" width="35.5" style="151" customWidth="1"/>
    <col min="15105" max="15145" width="2.5" style="151" customWidth="1"/>
    <col min="15146" max="15147" width="8.5" style="151" customWidth="1"/>
    <col min="15148" max="15148" width="2.875" style="151" customWidth="1"/>
    <col min="15149" max="15357" width="9" style="151"/>
    <col min="15358" max="15358" width="4.5" style="151" customWidth="1"/>
    <col min="15359" max="15359" width="7.5" style="151" customWidth="1"/>
    <col min="15360" max="15360" width="35.5" style="151" customWidth="1"/>
    <col min="15361" max="15401" width="2.5" style="151" customWidth="1"/>
    <col min="15402" max="15403" width="8.5" style="151" customWidth="1"/>
    <col min="15404" max="15404" width="2.875" style="151" customWidth="1"/>
    <col min="15405" max="15613" width="9" style="151"/>
    <col min="15614" max="15614" width="4.5" style="151" customWidth="1"/>
    <col min="15615" max="15615" width="7.5" style="151" customWidth="1"/>
    <col min="15616" max="15616" width="35.5" style="151" customWidth="1"/>
    <col min="15617" max="15657" width="2.5" style="151" customWidth="1"/>
    <col min="15658" max="15659" width="8.5" style="151" customWidth="1"/>
    <col min="15660" max="15660" width="2.875" style="151" customWidth="1"/>
    <col min="15661" max="15869" width="9" style="151"/>
    <col min="15870" max="15870" width="4.5" style="151" customWidth="1"/>
    <col min="15871" max="15871" width="7.5" style="151" customWidth="1"/>
    <col min="15872" max="15872" width="35.5" style="151" customWidth="1"/>
    <col min="15873" max="15913" width="2.5" style="151" customWidth="1"/>
    <col min="15914" max="15915" width="8.5" style="151" customWidth="1"/>
    <col min="15916" max="15916" width="2.875" style="151" customWidth="1"/>
    <col min="15917" max="16125" width="9" style="151"/>
    <col min="16126" max="16126" width="4.5" style="151" customWidth="1"/>
    <col min="16127" max="16127" width="7.5" style="151" customWidth="1"/>
    <col min="16128" max="16128" width="35.5" style="151" customWidth="1"/>
    <col min="16129" max="16169" width="2.5" style="151" customWidth="1"/>
    <col min="16170" max="16171" width="8.5" style="151" customWidth="1"/>
    <col min="16172" max="16172" width="2.875" style="151" customWidth="1"/>
    <col min="16173" max="16384" width="9" style="151"/>
  </cols>
  <sheetData>
    <row r="1" spans="1:43" ht="17.100000000000001" customHeight="1" x14ac:dyDescent="0.15">
      <c r="A1" s="376"/>
    </row>
    <row r="2" spans="1:43" ht="17.100000000000001" customHeight="1" x14ac:dyDescent="0.15">
      <c r="A2" s="376"/>
    </row>
    <row r="3" spans="1:43" ht="17.100000000000001" customHeight="1" x14ac:dyDescent="0.15">
      <c r="A3" s="376"/>
    </row>
    <row r="4" spans="1:43" ht="17.100000000000001" customHeight="1" x14ac:dyDescent="0.15">
      <c r="A4" s="376"/>
      <c r="B4" s="376"/>
    </row>
    <row r="5" spans="1:43" ht="17.100000000000001" customHeight="1" x14ac:dyDescent="0.15">
      <c r="A5" s="300" t="s">
        <v>15540</v>
      </c>
      <c r="B5" s="301"/>
      <c r="C5" s="302" t="s">
        <v>15541</v>
      </c>
      <c r="D5" s="890" t="s">
        <v>15542</v>
      </c>
      <c r="E5" s="891"/>
      <c r="F5" s="891"/>
      <c r="G5" s="891"/>
      <c r="H5" s="891"/>
      <c r="I5" s="891"/>
      <c r="J5" s="891"/>
      <c r="K5" s="891"/>
      <c r="L5" s="891"/>
      <c r="M5" s="891"/>
      <c r="N5" s="891"/>
      <c r="O5" s="891"/>
      <c r="P5" s="891"/>
      <c r="Q5" s="891"/>
      <c r="R5" s="891"/>
      <c r="S5" s="891"/>
      <c r="T5" s="891"/>
      <c r="U5" s="891"/>
      <c r="V5" s="891"/>
      <c r="W5" s="891"/>
      <c r="X5" s="891"/>
      <c r="Y5" s="891"/>
      <c r="Z5" s="891"/>
      <c r="AA5" s="891"/>
      <c r="AB5" s="891"/>
      <c r="AC5" s="891"/>
      <c r="AD5" s="891"/>
      <c r="AE5" s="891"/>
      <c r="AF5" s="891"/>
      <c r="AG5" s="891"/>
      <c r="AH5" s="891"/>
      <c r="AI5" s="891"/>
      <c r="AJ5" s="891"/>
      <c r="AK5" s="891"/>
      <c r="AL5" s="891"/>
      <c r="AM5" s="891"/>
      <c r="AN5" s="891"/>
      <c r="AO5" s="892"/>
      <c r="AP5" s="306" t="s">
        <v>15543</v>
      </c>
      <c r="AQ5" s="306" t="s">
        <v>15544</v>
      </c>
    </row>
    <row r="6" spans="1:43" ht="17.100000000000001" customHeight="1" x14ac:dyDescent="0.15">
      <c r="A6" s="379" t="s">
        <v>15545</v>
      </c>
      <c r="B6" s="380" t="s">
        <v>15546</v>
      </c>
      <c r="C6" s="381"/>
      <c r="D6" s="382"/>
      <c r="E6" s="383"/>
      <c r="F6" s="383"/>
      <c r="G6" s="383"/>
      <c r="H6" s="383"/>
      <c r="I6" s="383"/>
      <c r="J6" s="383"/>
      <c r="K6" s="383"/>
      <c r="L6" s="383"/>
      <c r="M6" s="383"/>
      <c r="N6" s="383"/>
      <c r="O6" s="383"/>
      <c r="P6" s="383"/>
      <c r="Q6" s="383"/>
      <c r="R6" s="383"/>
      <c r="S6" s="383"/>
      <c r="T6" s="383"/>
      <c r="U6" s="383"/>
      <c r="V6" s="383"/>
      <c r="W6" s="383"/>
      <c r="X6" s="449"/>
      <c r="Y6" s="449"/>
      <c r="Z6" s="383"/>
      <c r="AA6" s="383"/>
      <c r="AB6" s="383"/>
      <c r="AC6" s="383"/>
      <c r="AD6" s="383"/>
      <c r="AE6" s="383"/>
      <c r="AF6" s="383"/>
      <c r="AG6" s="383"/>
      <c r="AH6" s="383"/>
      <c r="AI6" s="383"/>
      <c r="AJ6" s="383"/>
      <c r="AK6" s="383"/>
      <c r="AL6" s="383"/>
      <c r="AM6" s="383"/>
      <c r="AN6" s="383"/>
      <c r="AO6" s="383"/>
      <c r="AP6" s="384" t="s">
        <v>391</v>
      </c>
      <c r="AQ6" s="384" t="s">
        <v>392</v>
      </c>
    </row>
    <row r="7" spans="1:43" ht="17.100000000000001" customHeight="1" x14ac:dyDescent="0.15">
      <c r="A7" s="311">
        <v>15</v>
      </c>
      <c r="B7" s="312" t="s">
        <v>15547</v>
      </c>
      <c r="C7" s="313" t="s">
        <v>30650</v>
      </c>
      <c r="D7" s="438" t="s">
        <v>30651</v>
      </c>
      <c r="E7" s="467"/>
      <c r="F7" s="467"/>
      <c r="G7" s="467"/>
      <c r="H7" s="467"/>
      <c r="I7" s="439"/>
      <c r="J7" s="315"/>
      <c r="K7" s="315"/>
      <c r="L7" s="315"/>
      <c r="M7" s="315"/>
      <c r="N7" s="315"/>
      <c r="O7" s="315"/>
      <c r="P7" s="315"/>
      <c r="Q7" s="315"/>
      <c r="R7" s="315"/>
      <c r="S7" s="315"/>
      <c r="T7" s="440"/>
      <c r="U7" s="440"/>
      <c r="V7" s="441"/>
      <c r="W7" s="442"/>
      <c r="X7" s="442"/>
      <c r="Y7" s="315"/>
      <c r="Z7" s="315"/>
      <c r="AA7" s="441"/>
      <c r="AB7" s="443"/>
      <c r="AC7" s="443"/>
      <c r="AD7" s="315"/>
      <c r="AE7" s="315"/>
      <c r="AF7" s="315"/>
      <c r="AG7" s="315"/>
      <c r="AH7" s="315"/>
      <c r="AI7" s="315"/>
      <c r="AJ7" s="867"/>
      <c r="AK7" s="867"/>
      <c r="AL7" s="444" t="s">
        <v>15820</v>
      </c>
      <c r="AM7" s="444"/>
      <c r="AN7" s="315"/>
      <c r="AO7" s="315"/>
      <c r="AP7" s="362"/>
      <c r="AQ7" s="445" t="s">
        <v>30652</v>
      </c>
    </row>
    <row r="8" spans="1:43" ht="17.100000000000001" customHeight="1" x14ac:dyDescent="0.15">
      <c r="A8" s="321">
        <v>15</v>
      </c>
      <c r="B8" s="322" t="s">
        <v>15560</v>
      </c>
      <c r="C8" s="323" t="s">
        <v>30653</v>
      </c>
      <c r="D8" s="534" t="s">
        <v>15562</v>
      </c>
      <c r="E8" s="309"/>
      <c r="F8" s="309"/>
      <c r="G8" s="309"/>
      <c r="H8" s="309"/>
      <c r="I8" s="334"/>
      <c r="J8" s="325"/>
      <c r="K8" s="325"/>
      <c r="L8" s="325"/>
      <c r="M8" s="325"/>
      <c r="N8" s="325"/>
      <c r="O8" s="325"/>
      <c r="P8" s="325"/>
      <c r="Q8" s="325"/>
      <c r="R8" s="325"/>
      <c r="S8" s="325"/>
      <c r="T8" s="449"/>
      <c r="U8" s="449"/>
      <c r="V8" s="391"/>
      <c r="W8" s="450"/>
      <c r="X8" s="450"/>
      <c r="Y8" s="325"/>
      <c r="Z8" s="345" t="s">
        <v>15563</v>
      </c>
      <c r="AA8" s="391"/>
      <c r="AB8" s="453"/>
      <c r="AC8" s="453"/>
      <c r="AD8" s="325"/>
      <c r="AE8" s="325"/>
      <c r="AF8" s="325"/>
      <c r="AG8" s="325"/>
      <c r="AH8" s="325"/>
      <c r="AI8" s="325"/>
      <c r="AJ8" s="868">
        <v>5</v>
      </c>
      <c r="AK8" s="868"/>
      <c r="AL8" s="452" t="s">
        <v>15825</v>
      </c>
      <c r="AM8" s="452"/>
      <c r="AN8" s="325"/>
      <c r="AO8" s="325"/>
      <c r="AP8" s="328">
        <f>-ROUND(AJ8,0)</f>
        <v>-5</v>
      </c>
      <c r="AQ8" s="339" t="s">
        <v>15826</v>
      </c>
    </row>
    <row r="9" spans="1:43" ht="17.100000000000001" customHeight="1" x14ac:dyDescent="0.15">
      <c r="A9" s="321">
        <v>15</v>
      </c>
      <c r="B9" s="322">
        <v>6010</v>
      </c>
      <c r="C9" s="323" t="s">
        <v>30654</v>
      </c>
      <c r="D9" s="887" t="s">
        <v>15566</v>
      </c>
      <c r="E9" s="888"/>
      <c r="F9" s="888"/>
      <c r="G9" s="888"/>
      <c r="H9" s="889"/>
      <c r="I9" s="338" t="s">
        <v>30655</v>
      </c>
      <c r="J9" s="325"/>
      <c r="K9" s="325"/>
      <c r="L9" s="325"/>
      <c r="M9" s="325"/>
      <c r="N9" s="325"/>
      <c r="O9" s="325"/>
      <c r="P9" s="325"/>
      <c r="Q9" s="325"/>
      <c r="R9" s="325"/>
      <c r="S9" s="325"/>
      <c r="T9" s="449"/>
      <c r="U9" s="449"/>
      <c r="V9" s="391"/>
      <c r="W9" s="450"/>
      <c r="X9" s="450"/>
      <c r="Y9" s="325"/>
      <c r="Z9" s="325"/>
      <c r="AA9" s="391"/>
      <c r="AB9" s="453"/>
      <c r="AC9" s="453"/>
      <c r="AD9" s="325"/>
      <c r="AE9" s="325"/>
      <c r="AF9" s="325"/>
      <c r="AG9" s="325"/>
      <c r="AH9" s="325"/>
      <c r="AI9" s="325"/>
      <c r="AJ9" s="868"/>
      <c r="AK9" s="868"/>
      <c r="AL9" s="452" t="s">
        <v>15568</v>
      </c>
      <c r="AM9" s="452"/>
      <c r="AN9" s="325"/>
      <c r="AO9" s="325"/>
      <c r="AP9" s="535"/>
      <c r="AQ9" s="329" t="s">
        <v>15556</v>
      </c>
    </row>
    <row r="10" spans="1:43" ht="17.100000000000001" customHeight="1" x14ac:dyDescent="0.15">
      <c r="A10" s="340">
        <v>15</v>
      </c>
      <c r="B10" s="341">
        <v>6011</v>
      </c>
      <c r="C10" s="342" t="s">
        <v>30656</v>
      </c>
      <c r="D10" s="869"/>
      <c r="E10" s="870"/>
      <c r="F10" s="870"/>
      <c r="G10" s="870"/>
      <c r="H10" s="872"/>
      <c r="I10" s="338" t="s">
        <v>30657</v>
      </c>
      <c r="J10" s="343"/>
      <c r="K10" s="343"/>
      <c r="L10" s="343"/>
      <c r="M10" s="343"/>
      <c r="N10" s="343"/>
      <c r="O10" s="343"/>
      <c r="P10" s="343"/>
      <c r="Q10" s="343"/>
      <c r="R10" s="343"/>
      <c r="S10" s="343"/>
      <c r="T10" s="454"/>
      <c r="U10" s="454"/>
      <c r="V10" s="455"/>
      <c r="W10" s="456"/>
      <c r="X10" s="456"/>
      <c r="Y10" s="343"/>
      <c r="Z10" s="343"/>
      <c r="AA10" s="455"/>
      <c r="AB10" s="451"/>
      <c r="AC10" s="451"/>
      <c r="AD10" s="343"/>
      <c r="AE10" s="343"/>
      <c r="AF10" s="343"/>
      <c r="AG10" s="343"/>
      <c r="AH10" s="343"/>
      <c r="AI10" s="343"/>
      <c r="AJ10" s="868"/>
      <c r="AK10" s="868"/>
      <c r="AL10" s="348" t="s">
        <v>15568</v>
      </c>
      <c r="AM10" s="348"/>
      <c r="AN10" s="343"/>
      <c r="AO10" s="343"/>
      <c r="AP10" s="353"/>
      <c r="AQ10" s="339"/>
    </row>
    <row r="11" spans="1:43" ht="17.100000000000001" customHeight="1" x14ac:dyDescent="0.15">
      <c r="A11" s="340">
        <v>15</v>
      </c>
      <c r="B11" s="341">
        <v>6012</v>
      </c>
      <c r="C11" s="342" t="s">
        <v>30658</v>
      </c>
      <c r="D11" s="869"/>
      <c r="E11" s="870"/>
      <c r="F11" s="870"/>
      <c r="G11" s="870"/>
      <c r="H11" s="872"/>
      <c r="I11" s="338" t="s">
        <v>30659</v>
      </c>
      <c r="J11" s="343"/>
      <c r="K11" s="343"/>
      <c r="L11" s="343"/>
      <c r="M11" s="343"/>
      <c r="N11" s="343"/>
      <c r="O11" s="343"/>
      <c r="P11" s="343"/>
      <c r="Q11" s="343"/>
      <c r="R11" s="343"/>
      <c r="S11" s="343"/>
      <c r="T11" s="454"/>
      <c r="U11" s="454"/>
      <c r="V11" s="455"/>
      <c r="W11" s="456"/>
      <c r="X11" s="456"/>
      <c r="Y11" s="343"/>
      <c r="Z11" s="343"/>
      <c r="AA11" s="455"/>
      <c r="AB11" s="451"/>
      <c r="AC11" s="451"/>
      <c r="AD11" s="343"/>
      <c r="AE11" s="343"/>
      <c r="AF11" s="343"/>
      <c r="AG11" s="343"/>
      <c r="AH11" s="343"/>
      <c r="AI11" s="343"/>
      <c r="AJ11" s="868"/>
      <c r="AK11" s="868"/>
      <c r="AL11" s="348" t="s">
        <v>15568</v>
      </c>
      <c r="AM11" s="348"/>
      <c r="AN11" s="343"/>
      <c r="AO11" s="343"/>
      <c r="AP11" s="353"/>
      <c r="AQ11" s="339"/>
    </row>
    <row r="12" spans="1:43" ht="17.100000000000001" customHeight="1" x14ac:dyDescent="0.15">
      <c r="A12" s="340">
        <v>15</v>
      </c>
      <c r="B12" s="341">
        <v>6013</v>
      </c>
      <c r="C12" s="342" t="s">
        <v>30660</v>
      </c>
      <c r="D12" s="873"/>
      <c r="E12" s="874"/>
      <c r="F12" s="874"/>
      <c r="G12" s="874"/>
      <c r="H12" s="876"/>
      <c r="I12" s="338" t="s">
        <v>30661</v>
      </c>
      <c r="J12" s="343"/>
      <c r="K12" s="343"/>
      <c r="L12" s="343"/>
      <c r="M12" s="343"/>
      <c r="N12" s="343"/>
      <c r="O12" s="343"/>
      <c r="P12" s="343"/>
      <c r="Q12" s="343"/>
      <c r="R12" s="343"/>
      <c r="S12" s="343"/>
      <c r="T12" s="454"/>
      <c r="U12" s="454"/>
      <c r="V12" s="455"/>
      <c r="W12" s="456"/>
      <c r="X12" s="456"/>
      <c r="Y12" s="343"/>
      <c r="Z12" s="343"/>
      <c r="AA12" s="455"/>
      <c r="AB12" s="451"/>
      <c r="AC12" s="451"/>
      <c r="AD12" s="343"/>
      <c r="AE12" s="343"/>
      <c r="AF12" s="343"/>
      <c r="AG12" s="343"/>
      <c r="AH12" s="343"/>
      <c r="AI12" s="343"/>
      <c r="AJ12" s="868"/>
      <c r="AK12" s="868"/>
      <c r="AL12" s="348" t="s">
        <v>15568</v>
      </c>
      <c r="AM12" s="348"/>
      <c r="AN12" s="343"/>
      <c r="AO12" s="343"/>
      <c r="AP12" s="353"/>
      <c r="AQ12" s="339"/>
    </row>
    <row r="13" spans="1:43" ht="17.100000000000001" customHeight="1" x14ac:dyDescent="0.15">
      <c r="A13" s="340">
        <v>15</v>
      </c>
      <c r="B13" s="341">
        <v>6015</v>
      </c>
      <c r="C13" s="342" t="s">
        <v>30662</v>
      </c>
      <c r="D13" s="345" t="s">
        <v>15576</v>
      </c>
      <c r="E13" s="334"/>
      <c r="F13" s="334"/>
      <c r="G13" s="334"/>
      <c r="H13" s="334"/>
      <c r="I13" s="334"/>
      <c r="J13" s="343"/>
      <c r="K13" s="343"/>
      <c r="L13" s="343"/>
      <c r="M13" s="343"/>
      <c r="N13" s="343"/>
      <c r="O13" s="343"/>
      <c r="P13" s="343"/>
      <c r="Q13" s="343"/>
      <c r="R13" s="343"/>
      <c r="S13" s="343"/>
      <c r="T13" s="454"/>
      <c r="U13" s="454"/>
      <c r="V13" s="455"/>
      <c r="W13" s="456"/>
      <c r="X13" s="456"/>
      <c r="Y13" s="343"/>
      <c r="Z13" s="343"/>
      <c r="AA13" s="455"/>
      <c r="AB13" s="451"/>
      <c r="AC13" s="451"/>
      <c r="AD13" s="343"/>
      <c r="AE13" s="343"/>
      <c r="AF13" s="343"/>
      <c r="AG13" s="343"/>
      <c r="AH13" s="343"/>
      <c r="AI13" s="343"/>
      <c r="AJ13" s="877"/>
      <c r="AK13" s="877"/>
      <c r="AL13" s="348" t="s">
        <v>15568</v>
      </c>
      <c r="AM13" s="348"/>
      <c r="AN13" s="343"/>
      <c r="AO13" s="343"/>
      <c r="AP13" s="353"/>
      <c r="AQ13" s="339"/>
    </row>
    <row r="14" spans="1:43" ht="17.100000000000001" customHeight="1" x14ac:dyDescent="0.15">
      <c r="A14" s="340">
        <v>15</v>
      </c>
      <c r="B14" s="341">
        <v>6025</v>
      </c>
      <c r="C14" s="342" t="s">
        <v>30663</v>
      </c>
      <c r="D14" s="887" t="s">
        <v>15578</v>
      </c>
      <c r="E14" s="888"/>
      <c r="F14" s="888"/>
      <c r="G14" s="888"/>
      <c r="H14" s="889"/>
      <c r="I14" s="458"/>
      <c r="J14" s="343"/>
      <c r="K14" s="343"/>
      <c r="L14" s="343"/>
      <c r="M14" s="343"/>
      <c r="N14" s="343"/>
      <c r="O14" s="343"/>
      <c r="P14" s="343"/>
      <c r="Q14" s="343"/>
      <c r="R14" s="343"/>
      <c r="S14" s="343"/>
      <c r="T14" s="454"/>
      <c r="U14" s="454"/>
      <c r="V14" s="455"/>
      <c r="W14" s="456"/>
      <c r="X14" s="456"/>
      <c r="Y14" s="343"/>
      <c r="Z14" s="343"/>
      <c r="AA14" s="455"/>
      <c r="AB14" s="451"/>
      <c r="AC14" s="451"/>
      <c r="AD14" s="343"/>
      <c r="AE14" s="343"/>
      <c r="AF14" s="343"/>
      <c r="AG14" s="343"/>
      <c r="AH14" s="343"/>
      <c r="AI14" s="343"/>
      <c r="AJ14" s="877">
        <v>100</v>
      </c>
      <c r="AK14" s="877"/>
      <c r="AL14" s="348" t="s">
        <v>15568</v>
      </c>
      <c r="AM14" s="348"/>
      <c r="AN14" s="343"/>
      <c r="AO14" s="343"/>
      <c r="AP14" s="353">
        <f>ROUND(AJ14,0)</f>
        <v>100</v>
      </c>
      <c r="AQ14" s="329" t="s">
        <v>15833</v>
      </c>
    </row>
    <row r="15" spans="1:43" ht="17.100000000000001" customHeight="1" x14ac:dyDescent="0.15">
      <c r="A15" s="340">
        <v>15</v>
      </c>
      <c r="B15" s="341">
        <v>6026</v>
      </c>
      <c r="C15" s="342" t="s">
        <v>30664</v>
      </c>
      <c r="D15" s="873"/>
      <c r="E15" s="874"/>
      <c r="F15" s="874"/>
      <c r="G15" s="874"/>
      <c r="H15" s="876"/>
      <c r="I15" s="345" t="s">
        <v>15581</v>
      </c>
      <c r="J15" s="343"/>
      <c r="K15" s="343"/>
      <c r="L15" s="343"/>
      <c r="M15" s="343"/>
      <c r="N15" s="343"/>
      <c r="O15" s="343"/>
      <c r="P15" s="343"/>
      <c r="Q15" s="343"/>
      <c r="R15" s="343"/>
      <c r="S15" s="343"/>
      <c r="T15" s="454"/>
      <c r="U15" s="454"/>
      <c r="V15" s="455"/>
      <c r="W15" s="456"/>
      <c r="X15" s="456"/>
      <c r="Y15" s="343"/>
      <c r="Z15" s="343"/>
      <c r="AA15" s="455"/>
      <c r="AB15" s="451"/>
      <c r="AC15" s="451"/>
      <c r="AD15" s="343"/>
      <c r="AE15" s="343"/>
      <c r="AF15" s="343"/>
      <c r="AG15" s="343"/>
      <c r="AH15" s="343"/>
      <c r="AI15" s="343"/>
      <c r="AJ15" s="877">
        <v>50</v>
      </c>
      <c r="AK15" s="877"/>
      <c r="AL15" s="348" t="s">
        <v>15568</v>
      </c>
      <c r="AM15" s="348"/>
      <c r="AN15" s="343"/>
      <c r="AO15" s="343"/>
      <c r="AP15" s="353">
        <f>ROUND(AJ14,0)+ROUND(AJ15,0)</f>
        <v>150</v>
      </c>
      <c r="AQ15" s="333"/>
    </row>
    <row r="16" spans="1:43" ht="17.100000000000001" customHeight="1" x14ac:dyDescent="0.15">
      <c r="A16" s="340">
        <v>15</v>
      </c>
      <c r="B16" s="341">
        <v>6100</v>
      </c>
      <c r="C16" s="342" t="s">
        <v>30665</v>
      </c>
      <c r="D16" s="330" t="s">
        <v>15583</v>
      </c>
      <c r="E16" s="334"/>
      <c r="F16" s="334"/>
      <c r="G16" s="334"/>
      <c r="H16" s="334"/>
      <c r="I16" s="334"/>
      <c r="J16" s="343"/>
      <c r="K16" s="343"/>
      <c r="L16" s="343"/>
      <c r="M16" s="343"/>
      <c r="N16" s="343"/>
      <c r="O16" s="343"/>
      <c r="P16" s="343"/>
      <c r="Q16" s="343"/>
      <c r="R16" s="343"/>
      <c r="S16" s="343"/>
      <c r="T16" s="454"/>
      <c r="U16" s="454"/>
      <c r="V16" s="455"/>
      <c r="W16" s="456"/>
      <c r="X16" s="456"/>
      <c r="Y16" s="343"/>
      <c r="Z16" s="343"/>
      <c r="AA16" s="455"/>
      <c r="AB16" s="451"/>
      <c r="AC16" s="451"/>
      <c r="AD16" s="343"/>
      <c r="AE16" s="343"/>
      <c r="AF16" s="343"/>
      <c r="AG16" s="343"/>
      <c r="AH16" s="343"/>
      <c r="AI16" s="343"/>
      <c r="AJ16" s="877">
        <v>100</v>
      </c>
      <c r="AK16" s="877"/>
      <c r="AL16" s="348" t="s">
        <v>15568</v>
      </c>
      <c r="AM16" s="348"/>
      <c r="AN16" s="343"/>
      <c r="AO16" s="343"/>
      <c r="AP16" s="353">
        <f>ROUND(AJ16,0)</f>
        <v>100</v>
      </c>
      <c r="AQ16" s="462" t="s">
        <v>15585</v>
      </c>
    </row>
    <row r="17" spans="1:45" ht="17.100000000000001" customHeight="1" x14ac:dyDescent="0.15">
      <c r="A17" s="340">
        <v>15</v>
      </c>
      <c r="B17" s="341">
        <v>6020</v>
      </c>
      <c r="C17" s="342" t="s">
        <v>30666</v>
      </c>
      <c r="D17" s="345" t="s">
        <v>15837</v>
      </c>
      <c r="E17" s="334"/>
      <c r="F17" s="334"/>
      <c r="G17" s="334"/>
      <c r="H17" s="334"/>
      <c r="I17" s="334"/>
      <c r="J17" s="343"/>
      <c r="K17" s="343"/>
      <c r="L17" s="343"/>
      <c r="M17" s="343"/>
      <c r="N17" s="343"/>
      <c r="O17" s="343"/>
      <c r="P17" s="343"/>
      <c r="Q17" s="343"/>
      <c r="R17" s="343"/>
      <c r="S17" s="343"/>
      <c r="T17" s="454"/>
      <c r="U17" s="454"/>
      <c r="V17" s="455"/>
      <c r="W17" s="456"/>
      <c r="X17" s="456"/>
      <c r="Y17" s="343"/>
      <c r="Z17" s="343"/>
      <c r="AA17" s="455"/>
      <c r="AB17" s="451"/>
      <c r="AC17" s="451"/>
      <c r="AD17" s="343"/>
      <c r="AE17" s="343"/>
      <c r="AF17" s="343"/>
      <c r="AG17" s="343"/>
      <c r="AH17" s="343"/>
      <c r="AI17" s="343"/>
      <c r="AJ17" s="877">
        <v>200</v>
      </c>
      <c r="AK17" s="877"/>
      <c r="AL17" s="348" t="s">
        <v>15568</v>
      </c>
      <c r="AM17" s="348"/>
      <c r="AN17" s="343"/>
      <c r="AO17" s="343"/>
      <c r="AP17" s="353">
        <f>ROUND(AJ17,0)</f>
        <v>200</v>
      </c>
      <c r="AQ17" s="329" t="s">
        <v>15588</v>
      </c>
    </row>
    <row r="18" spans="1:45" ht="17.100000000000001" customHeight="1" x14ac:dyDescent="0.15">
      <c r="A18" s="340">
        <v>15</v>
      </c>
      <c r="B18" s="341">
        <v>5010</v>
      </c>
      <c r="C18" s="342" t="s">
        <v>30667</v>
      </c>
      <c r="D18" s="345" t="s">
        <v>15591</v>
      </c>
      <c r="E18" s="334"/>
      <c r="F18" s="334"/>
      <c r="G18" s="334"/>
      <c r="H18" s="334"/>
      <c r="I18" s="334"/>
      <c r="J18" s="343"/>
      <c r="K18" s="343"/>
      <c r="L18" s="343"/>
      <c r="M18" s="343"/>
      <c r="N18" s="343"/>
      <c r="O18" s="343"/>
      <c r="P18" s="343"/>
      <c r="Q18" s="343"/>
      <c r="R18" s="343"/>
      <c r="S18" s="343"/>
      <c r="T18" s="454"/>
      <c r="U18" s="454"/>
      <c r="V18" s="455"/>
      <c r="W18" s="456"/>
      <c r="X18" s="456"/>
      <c r="Y18" s="343"/>
      <c r="Z18" s="343"/>
      <c r="AA18" s="455"/>
      <c r="AB18" s="451"/>
      <c r="AC18" s="451"/>
      <c r="AD18" s="343"/>
      <c r="AE18" s="343"/>
      <c r="AF18" s="343"/>
      <c r="AG18" s="343"/>
      <c r="AH18" s="343"/>
      <c r="AI18" s="343"/>
      <c r="AJ18" s="877">
        <v>150</v>
      </c>
      <c r="AK18" s="877"/>
      <c r="AL18" s="348" t="s">
        <v>15568</v>
      </c>
      <c r="AM18" s="348"/>
      <c r="AN18" s="343"/>
      <c r="AO18" s="343"/>
      <c r="AP18" s="353">
        <f>ROUND(AJ18,0)</f>
        <v>150</v>
      </c>
      <c r="AQ18" s="333"/>
    </row>
    <row r="19" spans="1:45" ht="17.100000000000001" customHeight="1" x14ac:dyDescent="0.15">
      <c r="A19" s="340">
        <v>15</v>
      </c>
      <c r="B19" s="341">
        <v>6715</v>
      </c>
      <c r="C19" s="342" t="s">
        <v>30668</v>
      </c>
      <c r="D19" s="830" t="s">
        <v>15596</v>
      </c>
      <c r="E19" s="878"/>
      <c r="F19" s="878"/>
      <c r="G19" s="878"/>
      <c r="H19" s="879"/>
      <c r="I19" s="447" t="s">
        <v>15597</v>
      </c>
      <c r="J19" s="343"/>
      <c r="K19" s="343"/>
      <c r="L19" s="343"/>
      <c r="M19" s="343"/>
      <c r="N19" s="343"/>
      <c r="O19" s="343"/>
      <c r="P19" s="343"/>
      <c r="Q19" s="343"/>
      <c r="R19" s="343"/>
      <c r="S19" s="343"/>
      <c r="T19" s="454"/>
      <c r="U19" s="454"/>
      <c r="V19" s="455"/>
      <c r="W19" s="456"/>
      <c r="X19" s="456"/>
      <c r="Y19" s="343"/>
      <c r="Z19" s="343"/>
      <c r="AA19" s="343"/>
      <c r="AB19" s="343"/>
      <c r="AC19" s="343"/>
      <c r="AD19" s="343"/>
      <c r="AE19" s="343"/>
      <c r="AF19" s="343"/>
      <c r="AG19" s="343"/>
      <c r="AH19" s="391"/>
      <c r="AI19" s="536"/>
      <c r="AJ19" s="926"/>
      <c r="AK19" s="926"/>
      <c r="AL19" s="348" t="s">
        <v>15568</v>
      </c>
      <c r="AM19" s="348"/>
      <c r="AN19" s="343"/>
      <c r="AO19" s="343"/>
      <c r="AP19" s="353"/>
      <c r="AQ19" s="329" t="s">
        <v>15598</v>
      </c>
      <c r="AS19" s="377"/>
    </row>
    <row r="20" spans="1:45" ht="17.100000000000001" customHeight="1" x14ac:dyDescent="0.15">
      <c r="A20" s="340">
        <v>15</v>
      </c>
      <c r="B20" s="341">
        <v>6710</v>
      </c>
      <c r="C20" s="342" t="s">
        <v>30669</v>
      </c>
      <c r="D20" s="880"/>
      <c r="E20" s="881"/>
      <c r="F20" s="881"/>
      <c r="G20" s="881"/>
      <c r="H20" s="882"/>
      <c r="I20" s="338" t="s">
        <v>15600</v>
      </c>
      <c r="J20" s="343"/>
      <c r="K20" s="343"/>
      <c r="L20" s="343"/>
      <c r="M20" s="343"/>
      <c r="N20" s="343"/>
      <c r="O20" s="343"/>
      <c r="P20" s="343"/>
      <c r="Q20" s="343"/>
      <c r="R20" s="343"/>
      <c r="S20" s="343"/>
      <c r="T20" s="454"/>
      <c r="U20" s="454"/>
      <c r="V20" s="455"/>
      <c r="W20" s="456"/>
      <c r="X20" s="456"/>
      <c r="Y20" s="343"/>
      <c r="Z20" s="343"/>
      <c r="AA20" s="343"/>
      <c r="AB20" s="343"/>
      <c r="AC20" s="343"/>
      <c r="AD20" s="343"/>
      <c r="AE20" s="343"/>
      <c r="AF20" s="343"/>
      <c r="AG20" s="343"/>
      <c r="AH20" s="455"/>
      <c r="AI20" s="536"/>
      <c r="AJ20" s="926"/>
      <c r="AK20" s="926"/>
      <c r="AL20" s="348" t="s">
        <v>15568</v>
      </c>
      <c r="AM20" s="348"/>
      <c r="AN20" s="343"/>
      <c r="AO20" s="343"/>
      <c r="AP20" s="353"/>
      <c r="AQ20" s="339"/>
      <c r="AS20" s="377"/>
    </row>
    <row r="21" spans="1:45" ht="17.100000000000001" customHeight="1" x14ac:dyDescent="0.15">
      <c r="A21" s="340">
        <v>15</v>
      </c>
      <c r="B21" s="341">
        <v>6665</v>
      </c>
      <c r="C21" s="342" t="s">
        <v>30670</v>
      </c>
      <c r="D21" s="880"/>
      <c r="E21" s="881"/>
      <c r="F21" s="881"/>
      <c r="G21" s="881"/>
      <c r="H21" s="882"/>
      <c r="I21" s="338" t="s">
        <v>15602</v>
      </c>
      <c r="J21" s="343"/>
      <c r="K21" s="343"/>
      <c r="L21" s="343"/>
      <c r="M21" s="343"/>
      <c r="N21" s="343"/>
      <c r="O21" s="343"/>
      <c r="P21" s="343"/>
      <c r="Q21" s="343"/>
      <c r="R21" s="343"/>
      <c r="S21" s="343"/>
      <c r="T21" s="454"/>
      <c r="U21" s="454"/>
      <c r="V21" s="455"/>
      <c r="W21" s="456"/>
      <c r="X21" s="456"/>
      <c r="Y21" s="343"/>
      <c r="Z21" s="343"/>
      <c r="AA21" s="343"/>
      <c r="AB21" s="343"/>
      <c r="AC21" s="343"/>
      <c r="AD21" s="343"/>
      <c r="AE21" s="343"/>
      <c r="AF21" s="343"/>
      <c r="AG21" s="343"/>
      <c r="AH21" s="391"/>
      <c r="AI21" s="536"/>
      <c r="AJ21" s="926"/>
      <c r="AK21" s="926"/>
      <c r="AL21" s="348" t="s">
        <v>15568</v>
      </c>
      <c r="AM21" s="348"/>
      <c r="AN21" s="343"/>
      <c r="AO21" s="343"/>
      <c r="AP21" s="353"/>
      <c r="AQ21" s="339"/>
      <c r="AS21" s="377"/>
    </row>
    <row r="22" spans="1:45" ht="17.100000000000001" customHeight="1" x14ac:dyDescent="0.15">
      <c r="A22" s="311">
        <v>15</v>
      </c>
      <c r="B22" s="312">
        <v>6670</v>
      </c>
      <c r="C22" s="313" t="s">
        <v>30671</v>
      </c>
      <c r="D22" s="423"/>
      <c r="E22" s="424"/>
      <c r="F22" s="424"/>
      <c r="G22" s="424"/>
      <c r="H22" s="425"/>
      <c r="I22" s="360" t="s">
        <v>15604</v>
      </c>
      <c r="J22" s="315"/>
      <c r="K22" s="315"/>
      <c r="L22" s="315"/>
      <c r="M22" s="315"/>
      <c r="N22" s="315"/>
      <c r="O22" s="315"/>
      <c r="P22" s="315"/>
      <c r="Q22" s="315"/>
      <c r="R22" s="315"/>
      <c r="S22" s="315"/>
      <c r="T22" s="440"/>
      <c r="U22" s="440"/>
      <c r="V22" s="441"/>
      <c r="W22" s="442"/>
      <c r="X22" s="442"/>
      <c r="Y22" s="315"/>
      <c r="Z22" s="315"/>
      <c r="AA22" s="315"/>
      <c r="AB22" s="315"/>
      <c r="AC22" s="315"/>
      <c r="AD22" s="315"/>
      <c r="AE22" s="315"/>
      <c r="AF22" s="315"/>
      <c r="AG22" s="315"/>
      <c r="AH22" s="537"/>
      <c r="AI22" s="538"/>
      <c r="AJ22" s="927"/>
      <c r="AK22" s="927"/>
      <c r="AL22" s="444" t="s">
        <v>15568</v>
      </c>
      <c r="AM22" s="444"/>
      <c r="AN22" s="315"/>
      <c r="AO22" s="315"/>
      <c r="AP22" s="362"/>
      <c r="AQ22" s="339"/>
      <c r="AS22" s="377"/>
    </row>
    <row r="23" spans="1:45" ht="17.100000000000001" customHeight="1" x14ac:dyDescent="0.15">
      <c r="A23" s="311">
        <v>15</v>
      </c>
      <c r="B23" s="312">
        <v>6675</v>
      </c>
      <c r="C23" s="313" t="s">
        <v>30672</v>
      </c>
      <c r="D23" s="469"/>
      <c r="E23" s="470"/>
      <c r="F23" s="470"/>
      <c r="G23" s="470"/>
      <c r="H23" s="471"/>
      <c r="I23" s="360" t="s">
        <v>15606</v>
      </c>
      <c r="J23" s="315"/>
      <c r="K23" s="315"/>
      <c r="L23" s="315"/>
      <c r="M23" s="315"/>
      <c r="N23" s="315"/>
      <c r="O23" s="315"/>
      <c r="P23" s="315"/>
      <c r="Q23" s="315"/>
      <c r="R23" s="315"/>
      <c r="S23" s="315"/>
      <c r="T23" s="440"/>
      <c r="U23" s="440"/>
      <c r="V23" s="441"/>
      <c r="W23" s="442"/>
      <c r="X23" s="442"/>
      <c r="Y23" s="315"/>
      <c r="Z23" s="315"/>
      <c r="AA23" s="315"/>
      <c r="AB23" s="315"/>
      <c r="AC23" s="315"/>
      <c r="AD23" s="315"/>
      <c r="AE23" s="315"/>
      <c r="AF23" s="315"/>
      <c r="AG23" s="315"/>
      <c r="AH23" s="537"/>
      <c r="AI23" s="538"/>
      <c r="AJ23" s="927"/>
      <c r="AK23" s="927"/>
      <c r="AL23" s="444" t="s">
        <v>15568</v>
      </c>
      <c r="AM23" s="444"/>
      <c r="AN23" s="315"/>
      <c r="AO23" s="315"/>
      <c r="AP23" s="362"/>
      <c r="AQ23" s="339"/>
      <c r="AS23" s="377"/>
    </row>
    <row r="24" spans="1:45" ht="17.100000000000001" customHeight="1" x14ac:dyDescent="0.15">
      <c r="A24" s="311">
        <v>15</v>
      </c>
      <c r="B24" s="311">
        <v>6685</v>
      </c>
      <c r="C24" s="313" t="s">
        <v>30673</v>
      </c>
      <c r="D24" s="314" t="s">
        <v>15608</v>
      </c>
      <c r="E24" s="472"/>
      <c r="F24" s="315"/>
      <c r="G24" s="315"/>
      <c r="H24" s="315"/>
      <c r="I24" s="364"/>
      <c r="J24" s="315"/>
      <c r="K24" s="315"/>
      <c r="L24" s="315"/>
      <c r="M24" s="315"/>
      <c r="N24" s="315"/>
      <c r="O24" s="315"/>
      <c r="P24" s="315"/>
      <c r="Q24" s="315"/>
      <c r="R24" s="315"/>
      <c r="S24" s="315"/>
      <c r="T24" s="315"/>
      <c r="U24" s="315"/>
      <c r="V24" s="315"/>
      <c r="W24" s="315"/>
      <c r="X24" s="315"/>
      <c r="Y24" s="315"/>
      <c r="Z24" s="315"/>
      <c r="AA24" s="472"/>
      <c r="AB24" s="315"/>
      <c r="AC24" s="315"/>
      <c r="AD24" s="315"/>
      <c r="AE24" s="315"/>
      <c r="AF24" s="315"/>
      <c r="AG24" s="315"/>
      <c r="AH24" s="537"/>
      <c r="AI24" s="538"/>
      <c r="AJ24" s="927"/>
      <c r="AK24" s="927"/>
      <c r="AL24" s="473" t="s">
        <v>15584</v>
      </c>
      <c r="AM24" s="315"/>
      <c r="AN24" s="315"/>
      <c r="AO24" s="315"/>
      <c r="AP24" s="362"/>
      <c r="AQ24" s="354"/>
    </row>
    <row r="25" spans="1:45" ht="17.100000000000001" customHeight="1" x14ac:dyDescent="0.15">
      <c r="A25" s="340">
        <v>15</v>
      </c>
      <c r="B25" s="340">
        <v>6772</v>
      </c>
      <c r="C25" s="342" t="s">
        <v>30674</v>
      </c>
      <c r="D25" s="830" t="s">
        <v>15850</v>
      </c>
      <c r="E25" s="878"/>
      <c r="F25" s="878"/>
      <c r="G25" s="878"/>
      <c r="H25" s="879"/>
      <c r="I25" s="325" t="s">
        <v>15611</v>
      </c>
      <c r="J25" s="343"/>
      <c r="K25" s="343"/>
      <c r="L25" s="343"/>
      <c r="M25" s="343"/>
      <c r="N25" s="343"/>
      <c r="O25" s="343"/>
      <c r="P25" s="343"/>
      <c r="Q25" s="343"/>
      <c r="R25" s="343"/>
      <c r="S25" s="343"/>
      <c r="T25" s="343"/>
      <c r="U25" s="343"/>
      <c r="V25" s="343"/>
      <c r="W25" s="343"/>
      <c r="X25" s="343"/>
      <c r="Y25" s="343"/>
      <c r="Z25" s="343"/>
      <c r="AA25" s="459"/>
      <c r="AB25" s="343"/>
      <c r="AC25" s="343"/>
      <c r="AD25" s="343"/>
      <c r="AE25" s="343"/>
      <c r="AF25" s="343"/>
      <c r="AG25" s="343"/>
      <c r="AH25" s="391"/>
      <c r="AI25" s="536"/>
      <c r="AJ25" s="926"/>
      <c r="AK25" s="926"/>
      <c r="AL25" s="461" t="s">
        <v>15584</v>
      </c>
      <c r="AM25" s="343"/>
      <c r="AN25" s="343"/>
      <c r="AO25" s="343"/>
      <c r="AP25" s="353"/>
      <c r="AQ25" s="354"/>
    </row>
    <row r="26" spans="1:45" ht="17.100000000000001" customHeight="1" x14ac:dyDescent="0.15">
      <c r="A26" s="340">
        <v>15</v>
      </c>
      <c r="B26" s="340">
        <v>6773</v>
      </c>
      <c r="C26" s="342" t="s">
        <v>30675</v>
      </c>
      <c r="D26" s="831"/>
      <c r="E26" s="884"/>
      <c r="F26" s="884"/>
      <c r="G26" s="884"/>
      <c r="H26" s="886"/>
      <c r="I26" s="325" t="s">
        <v>15613</v>
      </c>
      <c r="J26" s="343"/>
      <c r="K26" s="343"/>
      <c r="L26" s="343"/>
      <c r="M26" s="343"/>
      <c r="N26" s="343"/>
      <c r="O26" s="343"/>
      <c r="P26" s="343"/>
      <c r="Q26" s="343"/>
      <c r="R26" s="343"/>
      <c r="S26" s="343"/>
      <c r="T26" s="343"/>
      <c r="U26" s="343"/>
      <c r="V26" s="343"/>
      <c r="W26" s="343"/>
      <c r="X26" s="343"/>
      <c r="Y26" s="343"/>
      <c r="Z26" s="343"/>
      <c r="AA26" s="459"/>
      <c r="AB26" s="343"/>
      <c r="AC26" s="343"/>
      <c r="AD26" s="343"/>
      <c r="AE26" s="343"/>
      <c r="AF26" s="343"/>
      <c r="AG26" s="343"/>
      <c r="AH26" s="391"/>
      <c r="AI26" s="536"/>
      <c r="AJ26" s="926"/>
      <c r="AK26" s="926"/>
      <c r="AL26" s="461" t="s">
        <v>15584</v>
      </c>
      <c r="AM26" s="343"/>
      <c r="AN26" s="343"/>
      <c r="AO26" s="343"/>
      <c r="AP26" s="353"/>
      <c r="AQ26" s="354"/>
    </row>
    <row r="27" spans="1:45" ht="17.100000000000001" customHeight="1" x14ac:dyDescent="0.15">
      <c r="A27" s="369">
        <v>15</v>
      </c>
      <c r="B27" s="475">
        <v>6766</v>
      </c>
      <c r="C27" s="370" t="s">
        <v>30676</v>
      </c>
      <c r="D27" s="539" t="s">
        <v>15615</v>
      </c>
      <c r="E27" s="540"/>
      <c r="F27" s="540"/>
      <c r="G27" s="540"/>
      <c r="H27" s="540"/>
      <c r="I27" s="540"/>
      <c r="J27" s="372"/>
      <c r="K27" s="372"/>
      <c r="L27" s="372"/>
      <c r="M27" s="372"/>
      <c r="N27" s="372"/>
      <c r="O27" s="372"/>
      <c r="P27" s="372"/>
      <c r="Q27" s="372"/>
      <c r="R27" s="372"/>
      <c r="S27" s="372"/>
      <c r="T27" s="541"/>
      <c r="U27" s="541"/>
      <c r="V27" s="542"/>
      <c r="W27" s="543"/>
      <c r="X27" s="543"/>
      <c r="Y27" s="372"/>
      <c r="Z27" s="372"/>
      <c r="AA27" s="542"/>
      <c r="AB27" s="481"/>
      <c r="AC27" s="481"/>
      <c r="AD27" s="372"/>
      <c r="AE27" s="372"/>
      <c r="AF27" s="372"/>
      <c r="AG27" s="372"/>
      <c r="AH27" s="372"/>
      <c r="AI27" s="372"/>
      <c r="AJ27" s="925"/>
      <c r="AK27" s="925"/>
      <c r="AL27" s="544" t="s">
        <v>15568</v>
      </c>
      <c r="AM27" s="544"/>
      <c r="AN27" s="372"/>
      <c r="AO27" s="372"/>
      <c r="AP27" s="486"/>
      <c r="AQ27" s="487"/>
    </row>
  </sheetData>
  <mergeCells count="26">
    <mergeCell ref="AJ27:AK27"/>
    <mergeCell ref="AJ18:AK18"/>
    <mergeCell ref="D19:H21"/>
    <mergeCell ref="AJ19:AK19"/>
    <mergeCell ref="AJ20:AK20"/>
    <mergeCell ref="AJ21:AK21"/>
    <mergeCell ref="AJ22:AK22"/>
    <mergeCell ref="AJ23:AK23"/>
    <mergeCell ref="AJ24:AK24"/>
    <mergeCell ref="D25:H26"/>
    <mergeCell ref="AJ25:AK25"/>
    <mergeCell ref="AJ26:AK26"/>
    <mergeCell ref="AJ17:AK17"/>
    <mergeCell ref="D5:AO5"/>
    <mergeCell ref="AJ7:AK7"/>
    <mergeCell ref="AJ8:AK8"/>
    <mergeCell ref="D9:H12"/>
    <mergeCell ref="AJ9:AK9"/>
    <mergeCell ref="AJ10:AK10"/>
    <mergeCell ref="AJ11:AK11"/>
    <mergeCell ref="AJ12:AK12"/>
    <mergeCell ref="AJ13:AK13"/>
    <mergeCell ref="D14:H15"/>
    <mergeCell ref="AJ14:AK14"/>
    <mergeCell ref="AJ15:AK15"/>
    <mergeCell ref="AJ16:AK16"/>
  </mergeCells>
  <phoneticPr fontId="1"/>
  <printOptions horizontalCentered="1"/>
  <pageMargins left="0.59055118110236227" right="0.59055118110236227" top="0.62992125984251968" bottom="0.39370078740157483" header="0.51181102362204722" footer="0.31496062992125984"/>
  <pageSetup paperSize="9" scale="57" fitToHeight="0" orientation="portrait" r:id="rId1"/>
  <headerFooter>
    <oddHeader>&amp;R&amp;"ＭＳ Ｐゴシック"&amp;9同行援護</oddHeader>
    <oddFooter>&amp;C&amp;"ＭＳ Ｐゴシック"&amp;14&amp;P</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40">
    <tabColor rgb="FFFFFF00"/>
    <pageSetUpPr autoPageBreaks="0"/>
  </sheetPr>
  <dimension ref="A1:AT92"/>
  <sheetViews>
    <sheetView view="pageBreakPreview" zoomScaleNormal="100" zoomScaleSheetLayoutView="100" workbookViewId="0"/>
  </sheetViews>
  <sheetFormatPr defaultColWidth="9" defaultRowHeight="17.100000000000001" customHeight="1" x14ac:dyDescent="0.15"/>
  <cols>
    <col min="1" max="1" width="4.5" style="151" customWidth="1"/>
    <col min="2" max="2" width="7.5" style="151" customWidth="1"/>
    <col min="3" max="3" width="30.5" style="151" customWidth="1"/>
    <col min="4" max="37" width="2.5" style="152" customWidth="1"/>
    <col min="38" max="38" width="3.125" style="152" customWidth="1"/>
    <col min="39" max="42" width="2.5" style="152" customWidth="1"/>
    <col min="43" max="43" width="7.125" style="151" customWidth="1"/>
    <col min="44" max="44" width="8.5" style="377" customWidth="1"/>
    <col min="45" max="45" width="2.875" style="151" customWidth="1"/>
    <col min="46" max="16384" width="9" style="151"/>
  </cols>
  <sheetData>
    <row r="1" spans="1:44" ht="17.100000000000001" customHeight="1" x14ac:dyDescent="0.15">
      <c r="A1" s="376"/>
    </row>
    <row r="2" spans="1:44" ht="17.100000000000001" customHeight="1" x14ac:dyDescent="0.15">
      <c r="A2" s="376" t="s">
        <v>30677</v>
      </c>
    </row>
    <row r="3" spans="1:44" ht="17.100000000000001" customHeight="1" x14ac:dyDescent="0.15">
      <c r="A3" s="376"/>
    </row>
    <row r="5" spans="1:44" s="309" customFormat="1" ht="17.100000000000001" customHeight="1" x14ac:dyDescent="0.15">
      <c r="A5" s="300" t="s">
        <v>15540</v>
      </c>
      <c r="B5" s="301"/>
      <c r="C5" s="302" t="s">
        <v>15541</v>
      </c>
      <c r="D5" s="890" t="s">
        <v>15542</v>
      </c>
      <c r="E5" s="891"/>
      <c r="F5" s="891"/>
      <c r="G5" s="891"/>
      <c r="H5" s="891"/>
      <c r="I5" s="891"/>
      <c r="J5" s="891"/>
      <c r="K5" s="891"/>
      <c r="L5" s="891"/>
      <c r="M5" s="891"/>
      <c r="N5" s="891"/>
      <c r="O5" s="891"/>
      <c r="P5" s="891"/>
      <c r="Q5" s="891"/>
      <c r="R5" s="891"/>
      <c r="S5" s="891"/>
      <c r="T5" s="891"/>
      <c r="U5" s="891"/>
      <c r="V5" s="891"/>
      <c r="W5" s="891"/>
      <c r="X5" s="891"/>
      <c r="Y5" s="891"/>
      <c r="Z5" s="891"/>
      <c r="AA5" s="891"/>
      <c r="AB5" s="891"/>
      <c r="AC5" s="891"/>
      <c r="AD5" s="891"/>
      <c r="AE5" s="891"/>
      <c r="AF5" s="891"/>
      <c r="AG5" s="891"/>
      <c r="AH5" s="891"/>
      <c r="AI5" s="891"/>
      <c r="AJ5" s="891"/>
      <c r="AK5" s="891"/>
      <c r="AL5" s="891"/>
      <c r="AM5" s="891"/>
      <c r="AN5" s="891"/>
      <c r="AO5" s="891"/>
      <c r="AP5" s="892"/>
      <c r="AQ5" s="306" t="s">
        <v>15543</v>
      </c>
      <c r="AR5" s="378" t="s">
        <v>15544</v>
      </c>
    </row>
    <row r="6" spans="1:44" s="309" customFormat="1" ht="17.100000000000001" customHeight="1" x14ac:dyDescent="0.15">
      <c r="A6" s="379" t="s">
        <v>15545</v>
      </c>
      <c r="B6" s="380" t="s">
        <v>15546</v>
      </c>
      <c r="C6" s="381"/>
      <c r="D6" s="382"/>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4" t="s">
        <v>391</v>
      </c>
      <c r="AR6" s="385" t="s">
        <v>392</v>
      </c>
    </row>
    <row r="7" spans="1:44" ht="17.100000000000001" customHeight="1" x14ac:dyDescent="0.15">
      <c r="A7" s="321">
        <v>13</v>
      </c>
      <c r="B7" s="322">
        <v>1111</v>
      </c>
      <c r="C7" s="323" t="s">
        <v>30678</v>
      </c>
      <c r="D7" s="490" t="s">
        <v>30679</v>
      </c>
      <c r="E7" s="152" t="s">
        <v>30680</v>
      </c>
      <c r="L7" s="545"/>
      <c r="M7" s="151"/>
      <c r="N7" s="151"/>
      <c r="P7" s="387"/>
      <c r="Q7" s="490"/>
      <c r="AD7" s="387"/>
      <c r="AE7" s="325"/>
      <c r="AF7" s="325"/>
      <c r="AG7" s="325"/>
      <c r="AH7" s="325"/>
      <c r="AI7" s="325"/>
      <c r="AJ7" s="325"/>
      <c r="AK7" s="325"/>
      <c r="AL7" s="325"/>
      <c r="AM7" s="325"/>
      <c r="AN7" s="325"/>
      <c r="AO7" s="325"/>
      <c r="AP7" s="388"/>
      <c r="AQ7" s="389">
        <f>ROUND(L8,0)</f>
        <v>258</v>
      </c>
      <c r="AR7" s="393" t="s">
        <v>30681</v>
      </c>
    </row>
    <row r="8" spans="1:44" ht="17.100000000000001" customHeight="1" x14ac:dyDescent="0.15">
      <c r="A8" s="340">
        <v>13</v>
      </c>
      <c r="B8" s="341">
        <v>1112</v>
      </c>
      <c r="C8" s="342" t="s">
        <v>30682</v>
      </c>
      <c r="D8" s="490"/>
      <c r="L8" s="836">
        <v>258</v>
      </c>
      <c r="M8" s="837"/>
      <c r="N8" s="837"/>
      <c r="O8" s="152" t="s">
        <v>15624</v>
      </c>
      <c r="P8" s="387"/>
      <c r="Q8" s="324"/>
      <c r="R8" s="325"/>
      <c r="S8" s="325"/>
      <c r="T8" s="325"/>
      <c r="U8" s="325"/>
      <c r="V8" s="325"/>
      <c r="W8" s="325"/>
      <c r="X8" s="325"/>
      <c r="Y8" s="325"/>
      <c r="Z8" s="325"/>
      <c r="AA8" s="325"/>
      <c r="AB8" s="325"/>
      <c r="AC8" s="325"/>
      <c r="AD8" s="388"/>
      <c r="AE8" s="546" t="s">
        <v>30683</v>
      </c>
      <c r="AF8" s="325"/>
      <c r="AG8" s="325"/>
      <c r="AH8" s="325"/>
      <c r="AI8" s="325"/>
      <c r="AJ8" s="325"/>
      <c r="AK8" s="325"/>
      <c r="AL8" s="325"/>
      <c r="AM8" s="325"/>
      <c r="AN8" s="391" t="s">
        <v>15626</v>
      </c>
      <c r="AO8" s="838">
        <v>1</v>
      </c>
      <c r="AP8" s="839"/>
      <c r="AQ8" s="392">
        <f>ROUND(L8*AO8,0)</f>
        <v>258</v>
      </c>
      <c r="AR8" s="393"/>
    </row>
    <row r="9" spans="1:44" ht="17.100000000000001" customHeight="1" x14ac:dyDescent="0.15">
      <c r="A9" s="340">
        <v>13</v>
      </c>
      <c r="B9" s="341">
        <v>1113</v>
      </c>
      <c r="C9" s="342" t="s">
        <v>30684</v>
      </c>
      <c r="D9" s="490"/>
      <c r="P9" s="387"/>
      <c r="Q9" s="547" t="s">
        <v>30685</v>
      </c>
      <c r="R9" s="396"/>
      <c r="S9" s="396"/>
      <c r="T9" s="396"/>
      <c r="U9" s="396"/>
      <c r="V9" s="396"/>
      <c r="W9" s="396"/>
      <c r="X9" s="396"/>
      <c r="Y9" s="396"/>
      <c r="Z9" s="396"/>
      <c r="AA9" s="396"/>
      <c r="AB9" s="548"/>
      <c r="AC9" s="428"/>
      <c r="AD9" s="397"/>
      <c r="AE9" s="325"/>
      <c r="AF9" s="325"/>
      <c r="AG9" s="325"/>
      <c r="AH9" s="325"/>
      <c r="AI9" s="325"/>
      <c r="AJ9" s="325"/>
      <c r="AK9" s="325"/>
      <c r="AL9" s="325"/>
      <c r="AM9" s="325"/>
      <c r="AN9" s="391"/>
      <c r="AO9" s="401"/>
      <c r="AP9" s="402"/>
      <c r="AQ9" s="392">
        <f>ROUND(L8*AB10,0)</f>
        <v>245</v>
      </c>
      <c r="AR9" s="393"/>
    </row>
    <row r="10" spans="1:44" ht="17.100000000000001" customHeight="1" x14ac:dyDescent="0.15">
      <c r="A10" s="340">
        <v>13</v>
      </c>
      <c r="B10" s="341">
        <v>1114</v>
      </c>
      <c r="C10" s="342" t="s">
        <v>30686</v>
      </c>
      <c r="D10" s="490"/>
      <c r="P10" s="387"/>
      <c r="Q10" s="324"/>
      <c r="R10" s="325"/>
      <c r="S10" s="325"/>
      <c r="T10" s="325"/>
      <c r="U10" s="325"/>
      <c r="V10" s="325"/>
      <c r="W10" s="325"/>
      <c r="X10" s="325"/>
      <c r="Y10" s="325"/>
      <c r="Z10" s="325"/>
      <c r="AA10" s="548" t="s">
        <v>15626</v>
      </c>
      <c r="AB10" s="928">
        <v>0.95</v>
      </c>
      <c r="AC10" s="929"/>
      <c r="AD10" s="388"/>
      <c r="AE10" s="546" t="s">
        <v>30683</v>
      </c>
      <c r="AF10" s="325"/>
      <c r="AG10" s="325"/>
      <c r="AH10" s="325"/>
      <c r="AI10" s="325"/>
      <c r="AJ10" s="325"/>
      <c r="AK10" s="325"/>
      <c r="AL10" s="325"/>
      <c r="AM10" s="325"/>
      <c r="AN10" s="391" t="s">
        <v>15626</v>
      </c>
      <c r="AO10" s="838">
        <f>AO8</f>
        <v>1</v>
      </c>
      <c r="AP10" s="839"/>
      <c r="AQ10" s="392">
        <f>ROUND(ROUND(L8*AB10,0)*AO10,0)</f>
        <v>245</v>
      </c>
      <c r="AR10" s="393"/>
    </row>
    <row r="11" spans="1:44" ht="17.100000000000001" customHeight="1" x14ac:dyDescent="0.15">
      <c r="A11" s="340">
        <v>13</v>
      </c>
      <c r="B11" s="340">
        <v>1121</v>
      </c>
      <c r="C11" s="342" t="s">
        <v>30687</v>
      </c>
      <c r="D11" s="547" t="s">
        <v>30688</v>
      </c>
      <c r="E11" s="396" t="s">
        <v>30689</v>
      </c>
      <c r="F11" s="396"/>
      <c r="G11" s="396"/>
      <c r="H11" s="396"/>
      <c r="I11" s="396"/>
      <c r="J11" s="396"/>
      <c r="K11" s="396"/>
      <c r="L11" s="549"/>
      <c r="M11" s="400"/>
      <c r="N11" s="400"/>
      <c r="O11" s="396"/>
      <c r="P11" s="397"/>
      <c r="Q11" s="547"/>
      <c r="R11" s="396"/>
      <c r="S11" s="396"/>
      <c r="T11" s="396"/>
      <c r="U11" s="396"/>
      <c r="V11" s="396"/>
      <c r="W11" s="396"/>
      <c r="X11" s="396"/>
      <c r="Y11" s="396"/>
      <c r="Z11" s="396"/>
      <c r="AA11" s="396"/>
      <c r="AB11" s="396"/>
      <c r="AC11" s="396"/>
      <c r="AD11" s="397"/>
      <c r="AE11" s="343"/>
      <c r="AF11" s="343"/>
      <c r="AG11" s="343"/>
      <c r="AH11" s="343"/>
      <c r="AI11" s="343"/>
      <c r="AJ11" s="343"/>
      <c r="AK11" s="343"/>
      <c r="AL11" s="343"/>
      <c r="AM11" s="343"/>
      <c r="AN11" s="343"/>
      <c r="AO11" s="343"/>
      <c r="AP11" s="407"/>
      <c r="AQ11" s="392">
        <f>ROUND(L12,0)</f>
        <v>407</v>
      </c>
      <c r="AR11" s="426"/>
    </row>
    <row r="12" spans="1:44" ht="17.100000000000001" customHeight="1" x14ac:dyDescent="0.15">
      <c r="A12" s="340">
        <v>13</v>
      </c>
      <c r="B12" s="340">
        <v>1122</v>
      </c>
      <c r="C12" s="342" t="s">
        <v>30690</v>
      </c>
      <c r="D12" s="490"/>
      <c r="E12" s="152" t="s">
        <v>30691</v>
      </c>
      <c r="L12" s="836">
        <v>407</v>
      </c>
      <c r="M12" s="837"/>
      <c r="N12" s="837"/>
      <c r="O12" s="152" t="s">
        <v>15624</v>
      </c>
      <c r="P12" s="387"/>
      <c r="Q12" s="324"/>
      <c r="R12" s="325"/>
      <c r="S12" s="325"/>
      <c r="T12" s="325"/>
      <c r="U12" s="325"/>
      <c r="V12" s="325"/>
      <c r="W12" s="325"/>
      <c r="X12" s="325"/>
      <c r="Y12" s="325"/>
      <c r="Z12" s="325"/>
      <c r="AA12" s="325"/>
      <c r="AB12" s="325"/>
      <c r="AC12" s="325"/>
      <c r="AD12" s="388"/>
      <c r="AE12" s="546" t="s">
        <v>30683</v>
      </c>
      <c r="AF12" s="325"/>
      <c r="AG12" s="325"/>
      <c r="AH12" s="325"/>
      <c r="AI12" s="325"/>
      <c r="AJ12" s="325"/>
      <c r="AK12" s="325"/>
      <c r="AL12" s="325"/>
      <c r="AM12" s="325"/>
      <c r="AN12" s="391" t="s">
        <v>15626</v>
      </c>
      <c r="AO12" s="838">
        <f>AO8</f>
        <v>1</v>
      </c>
      <c r="AP12" s="839"/>
      <c r="AQ12" s="392">
        <f>ROUND(L12*AO12,0)</f>
        <v>407</v>
      </c>
      <c r="AR12" s="426"/>
    </row>
    <row r="13" spans="1:44" ht="17.100000000000001" customHeight="1" x14ac:dyDescent="0.15">
      <c r="A13" s="340">
        <v>13</v>
      </c>
      <c r="B13" s="340">
        <v>1123</v>
      </c>
      <c r="C13" s="342" t="s">
        <v>30692</v>
      </c>
      <c r="D13" s="490"/>
      <c r="P13" s="387"/>
      <c r="Q13" s="547" t="s">
        <v>30685</v>
      </c>
      <c r="R13" s="396"/>
      <c r="S13" s="396"/>
      <c r="T13" s="396"/>
      <c r="U13" s="396"/>
      <c r="V13" s="396"/>
      <c r="W13" s="396"/>
      <c r="X13" s="396"/>
      <c r="Y13" s="396"/>
      <c r="Z13" s="396"/>
      <c r="AA13" s="396"/>
      <c r="AB13" s="548"/>
      <c r="AC13" s="428"/>
      <c r="AD13" s="397"/>
      <c r="AE13" s="325"/>
      <c r="AF13" s="325"/>
      <c r="AG13" s="325"/>
      <c r="AH13" s="325"/>
      <c r="AI13" s="325"/>
      <c r="AJ13" s="325"/>
      <c r="AK13" s="325"/>
      <c r="AL13" s="325"/>
      <c r="AM13" s="325"/>
      <c r="AN13" s="391"/>
      <c r="AO13" s="401"/>
      <c r="AP13" s="402"/>
      <c r="AQ13" s="392">
        <f>ROUND(L12*AB14,0)</f>
        <v>387</v>
      </c>
      <c r="AR13" s="426"/>
    </row>
    <row r="14" spans="1:44" ht="17.100000000000001" customHeight="1" x14ac:dyDescent="0.15">
      <c r="A14" s="340">
        <v>13</v>
      </c>
      <c r="B14" s="340">
        <v>1124</v>
      </c>
      <c r="C14" s="342" t="s">
        <v>30693</v>
      </c>
      <c r="D14" s="490"/>
      <c r="P14" s="387"/>
      <c r="Q14" s="324"/>
      <c r="R14" s="325"/>
      <c r="S14" s="325"/>
      <c r="T14" s="325"/>
      <c r="U14" s="325"/>
      <c r="V14" s="325"/>
      <c r="W14" s="325"/>
      <c r="X14" s="325"/>
      <c r="Y14" s="325"/>
      <c r="Z14" s="325"/>
      <c r="AA14" s="548" t="s">
        <v>15626</v>
      </c>
      <c r="AB14" s="928">
        <f>AB10</f>
        <v>0.95</v>
      </c>
      <c r="AC14" s="929"/>
      <c r="AD14" s="388"/>
      <c r="AE14" s="546" t="s">
        <v>30683</v>
      </c>
      <c r="AF14" s="325"/>
      <c r="AG14" s="325"/>
      <c r="AH14" s="325"/>
      <c r="AI14" s="325"/>
      <c r="AJ14" s="325"/>
      <c r="AK14" s="325"/>
      <c r="AL14" s="325"/>
      <c r="AM14" s="325"/>
      <c r="AN14" s="391" t="s">
        <v>15626</v>
      </c>
      <c r="AO14" s="838">
        <f>AO8</f>
        <v>1</v>
      </c>
      <c r="AP14" s="839"/>
      <c r="AQ14" s="392">
        <f>ROUND(ROUND(L12*AB14,0)*AO14,0)</f>
        <v>387</v>
      </c>
      <c r="AR14" s="426"/>
    </row>
    <row r="15" spans="1:44" ht="17.100000000000001" customHeight="1" x14ac:dyDescent="0.15">
      <c r="A15" s="340">
        <v>13</v>
      </c>
      <c r="B15" s="340">
        <v>1131</v>
      </c>
      <c r="C15" s="342" t="s">
        <v>30694</v>
      </c>
      <c r="D15" s="547" t="s">
        <v>30695</v>
      </c>
      <c r="E15" s="396" t="s">
        <v>30696</v>
      </c>
      <c r="F15" s="396"/>
      <c r="G15" s="396"/>
      <c r="H15" s="396"/>
      <c r="I15" s="396"/>
      <c r="J15" s="396"/>
      <c r="K15" s="396"/>
      <c r="L15" s="549"/>
      <c r="M15" s="400"/>
      <c r="N15" s="400"/>
      <c r="O15" s="396"/>
      <c r="P15" s="397"/>
      <c r="Q15" s="547"/>
      <c r="R15" s="396"/>
      <c r="S15" s="396"/>
      <c r="T15" s="396"/>
      <c r="U15" s="396"/>
      <c r="V15" s="396"/>
      <c r="W15" s="396"/>
      <c r="X15" s="396"/>
      <c r="Y15" s="396"/>
      <c r="Z15" s="396"/>
      <c r="AA15" s="396"/>
      <c r="AB15" s="396"/>
      <c r="AC15" s="396"/>
      <c r="AD15" s="397"/>
      <c r="AE15" s="343"/>
      <c r="AF15" s="343"/>
      <c r="AG15" s="343"/>
      <c r="AH15" s="343"/>
      <c r="AI15" s="343"/>
      <c r="AJ15" s="343"/>
      <c r="AK15" s="343"/>
      <c r="AL15" s="343"/>
      <c r="AM15" s="343"/>
      <c r="AN15" s="343"/>
      <c r="AO15" s="343"/>
      <c r="AP15" s="407"/>
      <c r="AQ15" s="392">
        <f>ROUND(L16,0)</f>
        <v>592</v>
      </c>
      <c r="AR15" s="367"/>
    </row>
    <row r="16" spans="1:44" ht="17.100000000000001" customHeight="1" x14ac:dyDescent="0.15">
      <c r="A16" s="340">
        <v>13</v>
      </c>
      <c r="B16" s="340">
        <v>1132</v>
      </c>
      <c r="C16" s="342" t="s">
        <v>30697</v>
      </c>
      <c r="D16" s="490"/>
      <c r="E16" s="152" t="s">
        <v>30698</v>
      </c>
      <c r="L16" s="836">
        <v>592</v>
      </c>
      <c r="M16" s="837"/>
      <c r="N16" s="837"/>
      <c r="O16" s="152" t="s">
        <v>15624</v>
      </c>
      <c r="P16" s="387"/>
      <c r="Q16" s="324"/>
      <c r="R16" s="325"/>
      <c r="S16" s="325"/>
      <c r="T16" s="325"/>
      <c r="U16" s="325"/>
      <c r="V16" s="325"/>
      <c r="W16" s="325"/>
      <c r="X16" s="325"/>
      <c r="Y16" s="325"/>
      <c r="Z16" s="325"/>
      <c r="AA16" s="325"/>
      <c r="AB16" s="325"/>
      <c r="AC16" s="325"/>
      <c r="AD16" s="388"/>
      <c r="AE16" s="546" t="s">
        <v>30683</v>
      </c>
      <c r="AF16" s="325"/>
      <c r="AG16" s="325"/>
      <c r="AH16" s="325"/>
      <c r="AI16" s="325"/>
      <c r="AJ16" s="325"/>
      <c r="AK16" s="325"/>
      <c r="AL16" s="325"/>
      <c r="AM16" s="325"/>
      <c r="AN16" s="391" t="s">
        <v>15626</v>
      </c>
      <c r="AO16" s="838">
        <f>AO8</f>
        <v>1</v>
      </c>
      <c r="AP16" s="839"/>
      <c r="AQ16" s="392">
        <f>ROUND(L16*AO16,0)</f>
        <v>592</v>
      </c>
      <c r="AR16" s="367"/>
    </row>
    <row r="17" spans="1:44" ht="17.100000000000001" customHeight="1" x14ac:dyDescent="0.15">
      <c r="A17" s="340">
        <v>13</v>
      </c>
      <c r="B17" s="340">
        <v>1133</v>
      </c>
      <c r="C17" s="342" t="s">
        <v>30699</v>
      </c>
      <c r="D17" s="490"/>
      <c r="P17" s="387"/>
      <c r="Q17" s="547" t="s">
        <v>30685</v>
      </c>
      <c r="R17" s="396"/>
      <c r="S17" s="396"/>
      <c r="T17" s="396"/>
      <c r="U17" s="396"/>
      <c r="V17" s="396"/>
      <c r="W17" s="396"/>
      <c r="X17" s="396"/>
      <c r="Y17" s="396"/>
      <c r="Z17" s="396"/>
      <c r="AA17" s="396"/>
      <c r="AB17" s="548"/>
      <c r="AC17" s="428"/>
      <c r="AD17" s="397"/>
      <c r="AE17" s="325"/>
      <c r="AF17" s="325"/>
      <c r="AG17" s="325"/>
      <c r="AH17" s="325"/>
      <c r="AI17" s="325"/>
      <c r="AJ17" s="325"/>
      <c r="AK17" s="325"/>
      <c r="AL17" s="325"/>
      <c r="AM17" s="325"/>
      <c r="AN17" s="391"/>
      <c r="AO17" s="401"/>
      <c r="AP17" s="402"/>
      <c r="AQ17" s="392">
        <f>ROUND(L16*AB18,0)</f>
        <v>562</v>
      </c>
      <c r="AR17" s="367"/>
    </row>
    <row r="18" spans="1:44" ht="17.100000000000001" customHeight="1" x14ac:dyDescent="0.15">
      <c r="A18" s="340">
        <v>13</v>
      </c>
      <c r="B18" s="340">
        <v>1134</v>
      </c>
      <c r="C18" s="342" t="s">
        <v>30700</v>
      </c>
      <c r="D18" s="490"/>
      <c r="P18" s="387"/>
      <c r="Q18" s="324"/>
      <c r="R18" s="325"/>
      <c r="S18" s="325"/>
      <c r="T18" s="325"/>
      <c r="U18" s="325"/>
      <c r="V18" s="325"/>
      <c r="W18" s="325"/>
      <c r="X18" s="325"/>
      <c r="Y18" s="325"/>
      <c r="Z18" s="325"/>
      <c r="AA18" s="548" t="s">
        <v>15626</v>
      </c>
      <c r="AB18" s="928">
        <f>AB10</f>
        <v>0.95</v>
      </c>
      <c r="AC18" s="929"/>
      <c r="AD18" s="388"/>
      <c r="AE18" s="546" t="s">
        <v>30683</v>
      </c>
      <c r="AF18" s="325"/>
      <c r="AG18" s="325"/>
      <c r="AH18" s="325"/>
      <c r="AI18" s="325"/>
      <c r="AJ18" s="325"/>
      <c r="AK18" s="325"/>
      <c r="AL18" s="325"/>
      <c r="AM18" s="325"/>
      <c r="AN18" s="391" t="s">
        <v>15626</v>
      </c>
      <c r="AO18" s="838">
        <f>AO8</f>
        <v>1</v>
      </c>
      <c r="AP18" s="839"/>
      <c r="AQ18" s="392">
        <f>ROUND(ROUND(L16*AB18,0)*AO18,0)</f>
        <v>562</v>
      </c>
      <c r="AR18" s="367"/>
    </row>
    <row r="19" spans="1:44" ht="17.100000000000001" customHeight="1" x14ac:dyDescent="0.15">
      <c r="A19" s="340">
        <v>13</v>
      </c>
      <c r="B19" s="340">
        <v>1141</v>
      </c>
      <c r="C19" s="342" t="s">
        <v>30701</v>
      </c>
      <c r="D19" s="547" t="s">
        <v>30702</v>
      </c>
      <c r="E19" s="396" t="s">
        <v>30703</v>
      </c>
      <c r="F19" s="396"/>
      <c r="G19" s="396"/>
      <c r="H19" s="396"/>
      <c r="I19" s="396"/>
      <c r="J19" s="396"/>
      <c r="K19" s="396"/>
      <c r="L19" s="549"/>
      <c r="M19" s="400"/>
      <c r="N19" s="400"/>
      <c r="O19" s="396"/>
      <c r="P19" s="397"/>
      <c r="Q19" s="547"/>
      <c r="R19" s="396"/>
      <c r="S19" s="396"/>
      <c r="T19" s="396"/>
      <c r="U19" s="396"/>
      <c r="V19" s="396"/>
      <c r="W19" s="396"/>
      <c r="X19" s="396"/>
      <c r="Y19" s="396"/>
      <c r="Z19" s="396"/>
      <c r="AA19" s="396"/>
      <c r="AB19" s="396"/>
      <c r="AC19" s="396"/>
      <c r="AD19" s="397"/>
      <c r="AE19" s="343"/>
      <c r="AF19" s="343"/>
      <c r="AG19" s="343"/>
      <c r="AH19" s="343"/>
      <c r="AI19" s="343"/>
      <c r="AJ19" s="343"/>
      <c r="AK19" s="343"/>
      <c r="AL19" s="343"/>
      <c r="AM19" s="343"/>
      <c r="AN19" s="343"/>
      <c r="AO19" s="343"/>
      <c r="AP19" s="407"/>
      <c r="AQ19" s="392">
        <f>ROUND(L20,0)</f>
        <v>741</v>
      </c>
      <c r="AR19" s="367"/>
    </row>
    <row r="20" spans="1:44" ht="17.100000000000001" customHeight="1" x14ac:dyDescent="0.15">
      <c r="A20" s="340">
        <v>13</v>
      </c>
      <c r="B20" s="340">
        <v>1142</v>
      </c>
      <c r="C20" s="342" t="s">
        <v>30704</v>
      </c>
      <c r="D20" s="490"/>
      <c r="E20" s="152" t="s">
        <v>30705</v>
      </c>
      <c r="L20" s="836">
        <v>741</v>
      </c>
      <c r="M20" s="837"/>
      <c r="N20" s="837"/>
      <c r="O20" s="152" t="s">
        <v>15624</v>
      </c>
      <c r="P20" s="387"/>
      <c r="Q20" s="324"/>
      <c r="R20" s="325"/>
      <c r="S20" s="325"/>
      <c r="T20" s="325"/>
      <c r="U20" s="325"/>
      <c r="V20" s="325"/>
      <c r="W20" s="325"/>
      <c r="X20" s="325"/>
      <c r="Y20" s="325"/>
      <c r="Z20" s="325"/>
      <c r="AA20" s="325"/>
      <c r="AB20" s="325"/>
      <c r="AC20" s="325"/>
      <c r="AD20" s="388"/>
      <c r="AE20" s="546" t="s">
        <v>30683</v>
      </c>
      <c r="AF20" s="325"/>
      <c r="AG20" s="325"/>
      <c r="AH20" s="325"/>
      <c r="AI20" s="325"/>
      <c r="AJ20" s="325"/>
      <c r="AK20" s="325"/>
      <c r="AL20" s="325"/>
      <c r="AM20" s="325"/>
      <c r="AN20" s="391" t="s">
        <v>15626</v>
      </c>
      <c r="AO20" s="838">
        <f>AO8</f>
        <v>1</v>
      </c>
      <c r="AP20" s="839"/>
      <c r="AQ20" s="392">
        <f>ROUND(L20*AO20,0)</f>
        <v>741</v>
      </c>
      <c r="AR20" s="367"/>
    </row>
    <row r="21" spans="1:44" ht="17.100000000000001" customHeight="1" x14ac:dyDescent="0.15">
      <c r="A21" s="340">
        <v>13</v>
      </c>
      <c r="B21" s="340">
        <v>1143</v>
      </c>
      <c r="C21" s="342" t="s">
        <v>30706</v>
      </c>
      <c r="D21" s="490"/>
      <c r="P21" s="387"/>
      <c r="Q21" s="547" t="s">
        <v>30685</v>
      </c>
      <c r="R21" s="396"/>
      <c r="S21" s="396"/>
      <c r="T21" s="396"/>
      <c r="U21" s="396"/>
      <c r="V21" s="396"/>
      <c r="W21" s="396"/>
      <c r="X21" s="396"/>
      <c r="Y21" s="396"/>
      <c r="Z21" s="396"/>
      <c r="AA21" s="396"/>
      <c r="AB21" s="548"/>
      <c r="AC21" s="428"/>
      <c r="AD21" s="397"/>
      <c r="AE21" s="325"/>
      <c r="AF21" s="325"/>
      <c r="AG21" s="325"/>
      <c r="AH21" s="325"/>
      <c r="AI21" s="325"/>
      <c r="AJ21" s="325"/>
      <c r="AK21" s="325"/>
      <c r="AL21" s="325"/>
      <c r="AM21" s="325"/>
      <c r="AN21" s="391"/>
      <c r="AO21" s="401"/>
      <c r="AP21" s="402"/>
      <c r="AQ21" s="392">
        <f>ROUND(L20*AB22,0)</f>
        <v>704</v>
      </c>
      <c r="AR21" s="367"/>
    </row>
    <row r="22" spans="1:44" ht="17.100000000000001" customHeight="1" x14ac:dyDescent="0.15">
      <c r="A22" s="340">
        <v>13</v>
      </c>
      <c r="B22" s="340">
        <v>1144</v>
      </c>
      <c r="C22" s="342" t="s">
        <v>30707</v>
      </c>
      <c r="D22" s="490"/>
      <c r="P22" s="387"/>
      <c r="Q22" s="324"/>
      <c r="R22" s="325"/>
      <c r="S22" s="325"/>
      <c r="T22" s="325"/>
      <c r="U22" s="325"/>
      <c r="V22" s="325"/>
      <c r="W22" s="325"/>
      <c r="X22" s="325"/>
      <c r="Y22" s="325"/>
      <c r="Z22" s="325"/>
      <c r="AA22" s="548" t="s">
        <v>15626</v>
      </c>
      <c r="AB22" s="928">
        <f>AB10</f>
        <v>0.95</v>
      </c>
      <c r="AC22" s="929"/>
      <c r="AD22" s="388"/>
      <c r="AE22" s="546" t="s">
        <v>30683</v>
      </c>
      <c r="AF22" s="325"/>
      <c r="AG22" s="325"/>
      <c r="AH22" s="325"/>
      <c r="AI22" s="325"/>
      <c r="AJ22" s="325"/>
      <c r="AK22" s="325"/>
      <c r="AL22" s="325"/>
      <c r="AM22" s="325"/>
      <c r="AN22" s="391" t="s">
        <v>15626</v>
      </c>
      <c r="AO22" s="838">
        <f>AO8</f>
        <v>1</v>
      </c>
      <c r="AP22" s="839"/>
      <c r="AQ22" s="392">
        <f>ROUND(ROUND(L20*AB22,0)*AO22,0)</f>
        <v>704</v>
      </c>
      <c r="AR22" s="367"/>
    </row>
    <row r="23" spans="1:44" ht="17.100000000000001" customHeight="1" x14ac:dyDescent="0.15">
      <c r="A23" s="340">
        <v>13</v>
      </c>
      <c r="B23" s="340">
        <v>1151</v>
      </c>
      <c r="C23" s="342" t="s">
        <v>30708</v>
      </c>
      <c r="D23" s="547" t="s">
        <v>30709</v>
      </c>
      <c r="E23" s="396" t="s">
        <v>30710</v>
      </c>
      <c r="F23" s="396"/>
      <c r="G23" s="396"/>
      <c r="H23" s="396"/>
      <c r="I23" s="396"/>
      <c r="J23" s="396"/>
      <c r="K23" s="396"/>
      <c r="L23" s="549"/>
      <c r="M23" s="549"/>
      <c r="N23" s="549"/>
      <c r="O23" s="396"/>
      <c r="P23" s="397"/>
      <c r="Q23" s="547"/>
      <c r="R23" s="396"/>
      <c r="S23" s="396"/>
      <c r="T23" s="396"/>
      <c r="U23" s="396"/>
      <c r="V23" s="396"/>
      <c r="W23" s="396"/>
      <c r="X23" s="396"/>
      <c r="Y23" s="396"/>
      <c r="Z23" s="396"/>
      <c r="AA23" s="396"/>
      <c r="AB23" s="396"/>
      <c r="AC23" s="396"/>
      <c r="AD23" s="397"/>
      <c r="AE23" s="343"/>
      <c r="AF23" s="343"/>
      <c r="AG23" s="343"/>
      <c r="AH23" s="343"/>
      <c r="AI23" s="343"/>
      <c r="AJ23" s="343"/>
      <c r="AK23" s="343"/>
      <c r="AL23" s="343"/>
      <c r="AM23" s="343"/>
      <c r="AN23" s="343"/>
      <c r="AO23" s="343"/>
      <c r="AP23" s="407"/>
      <c r="AQ23" s="392">
        <f>ROUND(L24,0)</f>
        <v>891</v>
      </c>
      <c r="AR23" s="367"/>
    </row>
    <row r="24" spans="1:44" ht="17.100000000000001" customHeight="1" x14ac:dyDescent="0.15">
      <c r="A24" s="340">
        <v>13</v>
      </c>
      <c r="B24" s="340">
        <v>1152</v>
      </c>
      <c r="C24" s="342" t="s">
        <v>30711</v>
      </c>
      <c r="D24" s="490"/>
      <c r="E24" s="152" t="s">
        <v>30712</v>
      </c>
      <c r="L24" s="836">
        <v>891</v>
      </c>
      <c r="M24" s="911"/>
      <c r="N24" s="911"/>
      <c r="O24" s="152" t="s">
        <v>15624</v>
      </c>
      <c r="P24" s="387"/>
      <c r="Q24" s="324"/>
      <c r="R24" s="325"/>
      <c r="S24" s="325"/>
      <c r="T24" s="325"/>
      <c r="U24" s="325"/>
      <c r="V24" s="325"/>
      <c r="W24" s="325"/>
      <c r="X24" s="325"/>
      <c r="Y24" s="325"/>
      <c r="Z24" s="325"/>
      <c r="AA24" s="325"/>
      <c r="AB24" s="325"/>
      <c r="AC24" s="325"/>
      <c r="AD24" s="388"/>
      <c r="AE24" s="546" t="s">
        <v>30683</v>
      </c>
      <c r="AF24" s="325"/>
      <c r="AG24" s="325"/>
      <c r="AH24" s="325"/>
      <c r="AI24" s="325"/>
      <c r="AJ24" s="325"/>
      <c r="AK24" s="325"/>
      <c r="AL24" s="325"/>
      <c r="AM24" s="325"/>
      <c r="AN24" s="391" t="s">
        <v>15626</v>
      </c>
      <c r="AO24" s="838">
        <f>AO8</f>
        <v>1</v>
      </c>
      <c r="AP24" s="839"/>
      <c r="AQ24" s="392">
        <f>ROUND(L24*AO24,0)</f>
        <v>891</v>
      </c>
      <c r="AR24" s="367"/>
    </row>
    <row r="25" spans="1:44" ht="17.100000000000001" customHeight="1" x14ac:dyDescent="0.15">
      <c r="A25" s="340">
        <v>13</v>
      </c>
      <c r="B25" s="340">
        <v>1153</v>
      </c>
      <c r="C25" s="342" t="s">
        <v>30713</v>
      </c>
      <c r="D25" s="490"/>
      <c r="P25" s="387"/>
      <c r="Q25" s="547" t="s">
        <v>30685</v>
      </c>
      <c r="R25" s="396"/>
      <c r="S25" s="396"/>
      <c r="T25" s="396"/>
      <c r="U25" s="396"/>
      <c r="V25" s="396"/>
      <c r="W25" s="396"/>
      <c r="X25" s="396"/>
      <c r="Y25" s="396"/>
      <c r="Z25" s="396"/>
      <c r="AA25" s="396"/>
      <c r="AB25" s="548"/>
      <c r="AC25" s="428"/>
      <c r="AD25" s="397"/>
      <c r="AE25" s="325"/>
      <c r="AF25" s="325"/>
      <c r="AG25" s="325"/>
      <c r="AH25" s="325"/>
      <c r="AI25" s="325"/>
      <c r="AJ25" s="325"/>
      <c r="AK25" s="325"/>
      <c r="AL25" s="325"/>
      <c r="AM25" s="325"/>
      <c r="AN25" s="391"/>
      <c r="AO25" s="401"/>
      <c r="AP25" s="402"/>
      <c r="AQ25" s="392">
        <f>ROUND(L24*AB26,0)</f>
        <v>846</v>
      </c>
      <c r="AR25" s="367"/>
    </row>
    <row r="26" spans="1:44" ht="17.100000000000001" customHeight="1" x14ac:dyDescent="0.15">
      <c r="A26" s="340">
        <v>13</v>
      </c>
      <c r="B26" s="340">
        <v>1154</v>
      </c>
      <c r="C26" s="342" t="s">
        <v>30714</v>
      </c>
      <c r="D26" s="490"/>
      <c r="P26" s="387"/>
      <c r="Q26" s="324"/>
      <c r="R26" s="325"/>
      <c r="S26" s="325"/>
      <c r="T26" s="325"/>
      <c r="U26" s="325"/>
      <c r="V26" s="325"/>
      <c r="W26" s="325"/>
      <c r="X26" s="325"/>
      <c r="Y26" s="325"/>
      <c r="Z26" s="325"/>
      <c r="AA26" s="548" t="s">
        <v>15626</v>
      </c>
      <c r="AB26" s="928">
        <f>AB10</f>
        <v>0.95</v>
      </c>
      <c r="AC26" s="929"/>
      <c r="AD26" s="388"/>
      <c r="AE26" s="546" t="s">
        <v>30683</v>
      </c>
      <c r="AF26" s="325"/>
      <c r="AG26" s="325"/>
      <c r="AH26" s="325"/>
      <c r="AI26" s="325"/>
      <c r="AJ26" s="325"/>
      <c r="AK26" s="325"/>
      <c r="AL26" s="325"/>
      <c r="AM26" s="325"/>
      <c r="AN26" s="391" t="s">
        <v>15626</v>
      </c>
      <c r="AO26" s="838">
        <f>AO8</f>
        <v>1</v>
      </c>
      <c r="AP26" s="839"/>
      <c r="AQ26" s="392">
        <f>ROUND(ROUND(L24*AB26,0)*AO26,0)</f>
        <v>846</v>
      </c>
      <c r="AR26" s="367"/>
    </row>
    <row r="27" spans="1:44" ht="17.100000000000001" customHeight="1" x14ac:dyDescent="0.15">
      <c r="A27" s="340">
        <v>13</v>
      </c>
      <c r="B27" s="340">
        <v>1161</v>
      </c>
      <c r="C27" s="342" t="s">
        <v>30715</v>
      </c>
      <c r="D27" s="547" t="s">
        <v>30716</v>
      </c>
      <c r="E27" s="396" t="s">
        <v>30717</v>
      </c>
      <c r="F27" s="396"/>
      <c r="G27" s="396"/>
      <c r="H27" s="396"/>
      <c r="I27" s="396"/>
      <c r="J27" s="396"/>
      <c r="K27" s="396"/>
      <c r="L27" s="549"/>
      <c r="M27" s="549"/>
      <c r="N27" s="549"/>
      <c r="O27" s="396"/>
      <c r="P27" s="397"/>
      <c r="Q27" s="547"/>
      <c r="R27" s="396"/>
      <c r="S27" s="396"/>
      <c r="T27" s="396"/>
      <c r="U27" s="396"/>
      <c r="V27" s="396"/>
      <c r="W27" s="396"/>
      <c r="X27" s="396"/>
      <c r="Y27" s="396"/>
      <c r="Z27" s="396"/>
      <c r="AA27" s="396"/>
      <c r="AB27" s="396"/>
      <c r="AC27" s="396"/>
      <c r="AD27" s="397"/>
      <c r="AE27" s="343"/>
      <c r="AF27" s="343"/>
      <c r="AG27" s="343"/>
      <c r="AH27" s="343"/>
      <c r="AI27" s="343"/>
      <c r="AJ27" s="343"/>
      <c r="AK27" s="343"/>
      <c r="AL27" s="343"/>
      <c r="AM27" s="343"/>
      <c r="AN27" s="343"/>
      <c r="AO27" s="343"/>
      <c r="AP27" s="407"/>
      <c r="AQ27" s="392">
        <f>ROUND(L28,0)</f>
        <v>1040</v>
      </c>
      <c r="AR27" s="367"/>
    </row>
    <row r="28" spans="1:44" ht="17.100000000000001" customHeight="1" x14ac:dyDescent="0.15">
      <c r="A28" s="340">
        <v>13</v>
      </c>
      <c r="B28" s="340">
        <v>1162</v>
      </c>
      <c r="C28" s="342" t="s">
        <v>30718</v>
      </c>
      <c r="D28" s="490"/>
      <c r="E28" s="152" t="s">
        <v>30719</v>
      </c>
      <c r="L28" s="836">
        <v>1040</v>
      </c>
      <c r="M28" s="911"/>
      <c r="N28" s="911"/>
      <c r="O28" s="152" t="s">
        <v>15624</v>
      </c>
      <c r="P28" s="387"/>
      <c r="Q28" s="324"/>
      <c r="R28" s="325"/>
      <c r="S28" s="325"/>
      <c r="T28" s="325"/>
      <c r="U28" s="325"/>
      <c r="V28" s="325"/>
      <c r="W28" s="325"/>
      <c r="X28" s="325"/>
      <c r="Y28" s="325"/>
      <c r="Z28" s="325"/>
      <c r="AA28" s="325"/>
      <c r="AB28" s="325"/>
      <c r="AC28" s="325"/>
      <c r="AD28" s="388"/>
      <c r="AE28" s="546" t="s">
        <v>30683</v>
      </c>
      <c r="AF28" s="325"/>
      <c r="AG28" s="325"/>
      <c r="AH28" s="325"/>
      <c r="AI28" s="325"/>
      <c r="AJ28" s="325"/>
      <c r="AK28" s="325"/>
      <c r="AL28" s="325"/>
      <c r="AM28" s="325"/>
      <c r="AN28" s="391" t="s">
        <v>15626</v>
      </c>
      <c r="AO28" s="838">
        <f>AO8</f>
        <v>1</v>
      </c>
      <c r="AP28" s="839"/>
      <c r="AQ28" s="392">
        <f>ROUND(L28*AO28,0)</f>
        <v>1040</v>
      </c>
      <c r="AR28" s="367"/>
    </row>
    <row r="29" spans="1:44" ht="17.100000000000001" customHeight="1" x14ac:dyDescent="0.15">
      <c r="A29" s="340">
        <v>13</v>
      </c>
      <c r="B29" s="340">
        <v>1163</v>
      </c>
      <c r="C29" s="342" t="s">
        <v>30720</v>
      </c>
      <c r="D29" s="490"/>
      <c r="P29" s="387"/>
      <c r="Q29" s="547" t="s">
        <v>30685</v>
      </c>
      <c r="R29" s="396"/>
      <c r="S29" s="396"/>
      <c r="T29" s="396"/>
      <c r="U29" s="396"/>
      <c r="V29" s="396"/>
      <c r="W29" s="396"/>
      <c r="X29" s="396"/>
      <c r="Y29" s="396"/>
      <c r="Z29" s="396"/>
      <c r="AA29" s="396"/>
      <c r="AB29" s="548"/>
      <c r="AC29" s="428"/>
      <c r="AD29" s="397"/>
      <c r="AE29" s="325"/>
      <c r="AF29" s="325"/>
      <c r="AG29" s="325"/>
      <c r="AH29" s="325"/>
      <c r="AI29" s="325"/>
      <c r="AJ29" s="325"/>
      <c r="AK29" s="325"/>
      <c r="AL29" s="325"/>
      <c r="AM29" s="325"/>
      <c r="AN29" s="391"/>
      <c r="AO29" s="401"/>
      <c r="AP29" s="402"/>
      <c r="AQ29" s="392">
        <f>ROUND(L28*AB30,0)</f>
        <v>988</v>
      </c>
      <c r="AR29" s="367"/>
    </row>
    <row r="30" spans="1:44" ht="17.100000000000001" customHeight="1" x14ac:dyDescent="0.15">
      <c r="A30" s="340">
        <v>13</v>
      </c>
      <c r="B30" s="340">
        <v>1164</v>
      </c>
      <c r="C30" s="342" t="s">
        <v>30721</v>
      </c>
      <c r="D30" s="490"/>
      <c r="P30" s="387"/>
      <c r="Q30" s="324"/>
      <c r="R30" s="325"/>
      <c r="S30" s="325"/>
      <c r="T30" s="325"/>
      <c r="U30" s="325"/>
      <c r="V30" s="325"/>
      <c r="W30" s="325"/>
      <c r="X30" s="325"/>
      <c r="Y30" s="325"/>
      <c r="Z30" s="325"/>
      <c r="AA30" s="548" t="s">
        <v>15626</v>
      </c>
      <c r="AB30" s="928">
        <f>AB10</f>
        <v>0.95</v>
      </c>
      <c r="AC30" s="929"/>
      <c r="AD30" s="388"/>
      <c r="AE30" s="546" t="s">
        <v>30683</v>
      </c>
      <c r="AF30" s="325"/>
      <c r="AG30" s="325"/>
      <c r="AH30" s="325"/>
      <c r="AI30" s="325"/>
      <c r="AJ30" s="325"/>
      <c r="AK30" s="325"/>
      <c r="AL30" s="325"/>
      <c r="AM30" s="325"/>
      <c r="AN30" s="391" t="s">
        <v>15626</v>
      </c>
      <c r="AO30" s="838">
        <f>AO8</f>
        <v>1</v>
      </c>
      <c r="AP30" s="839"/>
      <c r="AQ30" s="392">
        <f>ROUND(ROUND(L28*AB30,0)*AO30,0)</f>
        <v>988</v>
      </c>
      <c r="AR30" s="367"/>
    </row>
    <row r="31" spans="1:44" ht="17.100000000000001" customHeight="1" x14ac:dyDescent="0.15">
      <c r="A31" s="340">
        <v>13</v>
      </c>
      <c r="B31" s="340">
        <v>1171</v>
      </c>
      <c r="C31" s="342" t="s">
        <v>30722</v>
      </c>
      <c r="D31" s="547" t="s">
        <v>30723</v>
      </c>
      <c r="E31" s="396" t="s">
        <v>30724</v>
      </c>
      <c r="F31" s="396"/>
      <c r="G31" s="396"/>
      <c r="H31" s="396"/>
      <c r="I31" s="396"/>
      <c r="J31" s="396"/>
      <c r="K31" s="396"/>
      <c r="L31" s="549"/>
      <c r="M31" s="400"/>
      <c r="N31" s="400"/>
      <c r="O31" s="396"/>
      <c r="P31" s="397"/>
      <c r="Q31" s="547"/>
      <c r="R31" s="396"/>
      <c r="S31" s="396"/>
      <c r="T31" s="396"/>
      <c r="U31" s="396"/>
      <c r="V31" s="396"/>
      <c r="W31" s="396"/>
      <c r="X31" s="396"/>
      <c r="Y31" s="396"/>
      <c r="Z31" s="396"/>
      <c r="AA31" s="396"/>
      <c r="AB31" s="396"/>
      <c r="AC31" s="396"/>
      <c r="AD31" s="397"/>
      <c r="AE31" s="343"/>
      <c r="AF31" s="343"/>
      <c r="AG31" s="343"/>
      <c r="AH31" s="343"/>
      <c r="AI31" s="343"/>
      <c r="AJ31" s="343"/>
      <c r="AK31" s="343"/>
      <c r="AL31" s="343"/>
      <c r="AM31" s="343"/>
      <c r="AN31" s="343"/>
      <c r="AO31" s="343"/>
      <c r="AP31" s="407"/>
      <c r="AQ31" s="392">
        <f>ROUND(L32,0)</f>
        <v>1191</v>
      </c>
      <c r="AR31" s="367"/>
    </row>
    <row r="32" spans="1:44" ht="17.100000000000001" customHeight="1" x14ac:dyDescent="0.15">
      <c r="A32" s="340">
        <v>13</v>
      </c>
      <c r="B32" s="340">
        <v>1172</v>
      </c>
      <c r="C32" s="342" t="s">
        <v>30725</v>
      </c>
      <c r="D32" s="490"/>
      <c r="E32" s="152" t="s">
        <v>30726</v>
      </c>
      <c r="L32" s="836">
        <v>1191</v>
      </c>
      <c r="M32" s="837"/>
      <c r="N32" s="837"/>
      <c r="O32" s="152" t="s">
        <v>15624</v>
      </c>
      <c r="P32" s="387"/>
      <c r="Q32" s="324"/>
      <c r="R32" s="325"/>
      <c r="S32" s="325"/>
      <c r="T32" s="325"/>
      <c r="U32" s="325"/>
      <c r="V32" s="325"/>
      <c r="W32" s="325"/>
      <c r="X32" s="325"/>
      <c r="Y32" s="325"/>
      <c r="Z32" s="325"/>
      <c r="AA32" s="325"/>
      <c r="AB32" s="325"/>
      <c r="AC32" s="325"/>
      <c r="AD32" s="388"/>
      <c r="AE32" s="546" t="s">
        <v>30683</v>
      </c>
      <c r="AF32" s="325"/>
      <c r="AG32" s="325"/>
      <c r="AH32" s="325"/>
      <c r="AI32" s="325"/>
      <c r="AJ32" s="325"/>
      <c r="AK32" s="325"/>
      <c r="AL32" s="325"/>
      <c r="AM32" s="325"/>
      <c r="AN32" s="391" t="s">
        <v>15626</v>
      </c>
      <c r="AO32" s="838">
        <f>AO8</f>
        <v>1</v>
      </c>
      <c r="AP32" s="839"/>
      <c r="AQ32" s="392">
        <f>ROUND(L32*AO32,0)</f>
        <v>1191</v>
      </c>
      <c r="AR32" s="367"/>
    </row>
    <row r="33" spans="1:44" ht="17.100000000000001" customHeight="1" x14ac:dyDescent="0.15">
      <c r="A33" s="340">
        <v>13</v>
      </c>
      <c r="B33" s="340">
        <v>1173</v>
      </c>
      <c r="C33" s="342" t="s">
        <v>30727</v>
      </c>
      <c r="D33" s="490"/>
      <c r="P33" s="387"/>
      <c r="Q33" s="547" t="s">
        <v>30685</v>
      </c>
      <c r="R33" s="396"/>
      <c r="S33" s="396"/>
      <c r="T33" s="396"/>
      <c r="U33" s="396"/>
      <c r="V33" s="396"/>
      <c r="W33" s="396"/>
      <c r="X33" s="396"/>
      <c r="Y33" s="396"/>
      <c r="Z33" s="396"/>
      <c r="AA33" s="396"/>
      <c r="AB33" s="548"/>
      <c r="AC33" s="428"/>
      <c r="AD33" s="397"/>
      <c r="AE33" s="325"/>
      <c r="AF33" s="325"/>
      <c r="AG33" s="325"/>
      <c r="AH33" s="325"/>
      <c r="AI33" s="325"/>
      <c r="AJ33" s="325"/>
      <c r="AK33" s="325"/>
      <c r="AL33" s="325"/>
      <c r="AM33" s="325"/>
      <c r="AN33" s="391"/>
      <c r="AO33" s="401"/>
      <c r="AP33" s="402"/>
      <c r="AQ33" s="392">
        <f>ROUND(L32*AB34,0)</f>
        <v>1131</v>
      </c>
      <c r="AR33" s="367"/>
    </row>
    <row r="34" spans="1:44" ht="17.100000000000001" customHeight="1" x14ac:dyDescent="0.15">
      <c r="A34" s="340">
        <v>13</v>
      </c>
      <c r="B34" s="340">
        <v>1174</v>
      </c>
      <c r="C34" s="342" t="s">
        <v>30728</v>
      </c>
      <c r="D34" s="490"/>
      <c r="P34" s="387"/>
      <c r="Q34" s="324"/>
      <c r="R34" s="325"/>
      <c r="S34" s="325"/>
      <c r="T34" s="325"/>
      <c r="U34" s="325"/>
      <c r="V34" s="325"/>
      <c r="W34" s="325"/>
      <c r="X34" s="325"/>
      <c r="Y34" s="325"/>
      <c r="Z34" s="325"/>
      <c r="AA34" s="548" t="s">
        <v>15626</v>
      </c>
      <c r="AB34" s="928">
        <f>AB10</f>
        <v>0.95</v>
      </c>
      <c r="AC34" s="929"/>
      <c r="AD34" s="388"/>
      <c r="AE34" s="546" t="s">
        <v>30683</v>
      </c>
      <c r="AF34" s="325"/>
      <c r="AG34" s="325"/>
      <c r="AH34" s="325"/>
      <c r="AI34" s="325"/>
      <c r="AJ34" s="325"/>
      <c r="AK34" s="325"/>
      <c r="AL34" s="325"/>
      <c r="AM34" s="325"/>
      <c r="AN34" s="391" t="s">
        <v>15626</v>
      </c>
      <c r="AO34" s="838">
        <f>AO8</f>
        <v>1</v>
      </c>
      <c r="AP34" s="839"/>
      <c r="AQ34" s="392">
        <f>ROUND(ROUND(L32*AB34,0)*AO34,0)</f>
        <v>1131</v>
      </c>
      <c r="AR34" s="367"/>
    </row>
    <row r="35" spans="1:44" ht="17.100000000000001" customHeight="1" x14ac:dyDescent="0.15">
      <c r="A35" s="340">
        <v>13</v>
      </c>
      <c r="B35" s="340">
        <v>1181</v>
      </c>
      <c r="C35" s="342" t="s">
        <v>30729</v>
      </c>
      <c r="D35" s="547" t="s">
        <v>30730</v>
      </c>
      <c r="E35" s="396" t="s">
        <v>30731</v>
      </c>
      <c r="F35" s="396"/>
      <c r="G35" s="396"/>
      <c r="H35" s="396"/>
      <c r="I35" s="396"/>
      <c r="J35" s="396"/>
      <c r="K35" s="396"/>
      <c r="L35" s="549"/>
      <c r="M35" s="400"/>
      <c r="N35" s="400"/>
      <c r="O35" s="396"/>
      <c r="P35" s="397"/>
      <c r="Q35" s="547"/>
      <c r="R35" s="396"/>
      <c r="S35" s="396"/>
      <c r="T35" s="396"/>
      <c r="U35" s="396"/>
      <c r="V35" s="396"/>
      <c r="W35" s="396"/>
      <c r="X35" s="396"/>
      <c r="Y35" s="396"/>
      <c r="Z35" s="396"/>
      <c r="AA35" s="396"/>
      <c r="AB35" s="396"/>
      <c r="AC35" s="396"/>
      <c r="AD35" s="397"/>
      <c r="AE35" s="343"/>
      <c r="AF35" s="343"/>
      <c r="AG35" s="343"/>
      <c r="AH35" s="343"/>
      <c r="AI35" s="343"/>
      <c r="AJ35" s="343"/>
      <c r="AK35" s="343"/>
      <c r="AL35" s="343"/>
      <c r="AM35" s="343"/>
      <c r="AN35" s="343"/>
      <c r="AO35" s="343"/>
      <c r="AP35" s="407"/>
      <c r="AQ35" s="392">
        <f>ROUND(L36,0)</f>
        <v>1340</v>
      </c>
      <c r="AR35" s="367"/>
    </row>
    <row r="36" spans="1:44" ht="17.100000000000001" customHeight="1" x14ac:dyDescent="0.15">
      <c r="A36" s="340">
        <v>13</v>
      </c>
      <c r="B36" s="340">
        <v>1182</v>
      </c>
      <c r="C36" s="342" t="s">
        <v>30732</v>
      </c>
      <c r="D36" s="490"/>
      <c r="E36" s="152" t="s">
        <v>30733</v>
      </c>
      <c r="L36" s="836">
        <v>1340</v>
      </c>
      <c r="M36" s="837"/>
      <c r="N36" s="837"/>
      <c r="O36" s="152" t="s">
        <v>15624</v>
      </c>
      <c r="P36" s="387"/>
      <c r="Q36" s="324"/>
      <c r="R36" s="325"/>
      <c r="S36" s="325"/>
      <c r="T36" s="325"/>
      <c r="U36" s="325"/>
      <c r="V36" s="325"/>
      <c r="W36" s="325"/>
      <c r="X36" s="325"/>
      <c r="Y36" s="325"/>
      <c r="Z36" s="325"/>
      <c r="AA36" s="325"/>
      <c r="AB36" s="325"/>
      <c r="AC36" s="325"/>
      <c r="AD36" s="388"/>
      <c r="AE36" s="546" t="s">
        <v>30683</v>
      </c>
      <c r="AF36" s="325"/>
      <c r="AG36" s="325"/>
      <c r="AH36" s="325"/>
      <c r="AI36" s="325"/>
      <c r="AJ36" s="325"/>
      <c r="AK36" s="325"/>
      <c r="AL36" s="325"/>
      <c r="AM36" s="325"/>
      <c r="AN36" s="391" t="s">
        <v>15626</v>
      </c>
      <c r="AO36" s="838">
        <f>AO8</f>
        <v>1</v>
      </c>
      <c r="AP36" s="839"/>
      <c r="AQ36" s="392">
        <f>ROUND(L36*AO36,0)</f>
        <v>1340</v>
      </c>
      <c r="AR36" s="367"/>
    </row>
    <row r="37" spans="1:44" ht="17.100000000000001" customHeight="1" x14ac:dyDescent="0.15">
      <c r="A37" s="340">
        <v>13</v>
      </c>
      <c r="B37" s="340">
        <v>1183</v>
      </c>
      <c r="C37" s="342" t="s">
        <v>30734</v>
      </c>
      <c r="D37" s="490"/>
      <c r="P37" s="387"/>
      <c r="Q37" s="547" t="s">
        <v>30685</v>
      </c>
      <c r="R37" s="396"/>
      <c r="S37" s="396"/>
      <c r="T37" s="396"/>
      <c r="U37" s="396"/>
      <c r="V37" s="396"/>
      <c r="W37" s="396"/>
      <c r="X37" s="396"/>
      <c r="Y37" s="396"/>
      <c r="Z37" s="396"/>
      <c r="AA37" s="396"/>
      <c r="AB37" s="548"/>
      <c r="AC37" s="428"/>
      <c r="AD37" s="397"/>
      <c r="AE37" s="325"/>
      <c r="AF37" s="325"/>
      <c r="AG37" s="325"/>
      <c r="AH37" s="325"/>
      <c r="AI37" s="325"/>
      <c r="AJ37" s="325"/>
      <c r="AK37" s="325"/>
      <c r="AL37" s="325"/>
      <c r="AM37" s="325"/>
      <c r="AN37" s="391"/>
      <c r="AO37" s="401"/>
      <c r="AP37" s="402"/>
      <c r="AQ37" s="392">
        <f>ROUND(L36*AB38,0)</f>
        <v>1273</v>
      </c>
      <c r="AR37" s="367"/>
    </row>
    <row r="38" spans="1:44" ht="17.100000000000001" customHeight="1" x14ac:dyDescent="0.15">
      <c r="A38" s="340">
        <v>13</v>
      </c>
      <c r="B38" s="340">
        <v>1184</v>
      </c>
      <c r="C38" s="342" t="s">
        <v>30735</v>
      </c>
      <c r="D38" s="490"/>
      <c r="P38" s="387"/>
      <c r="Q38" s="324"/>
      <c r="R38" s="325"/>
      <c r="S38" s="325"/>
      <c r="T38" s="325"/>
      <c r="U38" s="325"/>
      <c r="V38" s="325"/>
      <c r="W38" s="325"/>
      <c r="X38" s="325"/>
      <c r="Y38" s="325"/>
      <c r="Z38" s="325"/>
      <c r="AA38" s="548" t="s">
        <v>15626</v>
      </c>
      <c r="AB38" s="928">
        <f>AB10</f>
        <v>0.95</v>
      </c>
      <c r="AC38" s="929"/>
      <c r="AD38" s="388"/>
      <c r="AE38" s="546" t="s">
        <v>30683</v>
      </c>
      <c r="AF38" s="325"/>
      <c r="AG38" s="325"/>
      <c r="AH38" s="325"/>
      <c r="AI38" s="325"/>
      <c r="AJ38" s="325"/>
      <c r="AK38" s="325"/>
      <c r="AL38" s="325"/>
      <c r="AM38" s="325"/>
      <c r="AN38" s="391" t="s">
        <v>15626</v>
      </c>
      <c r="AO38" s="838">
        <f>AO8</f>
        <v>1</v>
      </c>
      <c r="AP38" s="839"/>
      <c r="AQ38" s="392">
        <f>ROUND(ROUND(L36*AB38,0)*AO38,0)</f>
        <v>1273</v>
      </c>
      <c r="AR38" s="367"/>
    </row>
    <row r="39" spans="1:44" ht="17.100000000000001" customHeight="1" x14ac:dyDescent="0.15">
      <c r="A39" s="340">
        <v>13</v>
      </c>
      <c r="B39" s="340">
        <v>1191</v>
      </c>
      <c r="C39" s="342" t="s">
        <v>30736</v>
      </c>
      <c r="D39" s="547" t="s">
        <v>30737</v>
      </c>
      <c r="E39" s="396" t="s">
        <v>30738</v>
      </c>
      <c r="F39" s="396"/>
      <c r="G39" s="396"/>
      <c r="H39" s="396"/>
      <c r="I39" s="396"/>
      <c r="J39" s="396"/>
      <c r="K39" s="396"/>
      <c r="L39" s="549"/>
      <c r="M39" s="400"/>
      <c r="N39" s="400"/>
      <c r="O39" s="396"/>
      <c r="P39" s="397"/>
      <c r="Q39" s="547"/>
      <c r="R39" s="396"/>
      <c r="S39" s="396"/>
      <c r="T39" s="396"/>
      <c r="U39" s="396"/>
      <c r="V39" s="396"/>
      <c r="W39" s="396"/>
      <c r="X39" s="396"/>
      <c r="Y39" s="396"/>
      <c r="Z39" s="396"/>
      <c r="AA39" s="396"/>
      <c r="AB39" s="396"/>
      <c r="AC39" s="396"/>
      <c r="AD39" s="397"/>
      <c r="AE39" s="343"/>
      <c r="AF39" s="343"/>
      <c r="AG39" s="343"/>
      <c r="AH39" s="343"/>
      <c r="AI39" s="343"/>
      <c r="AJ39" s="343"/>
      <c r="AK39" s="343"/>
      <c r="AL39" s="343"/>
      <c r="AM39" s="343"/>
      <c r="AN39" s="343"/>
      <c r="AO39" s="343"/>
      <c r="AP39" s="407"/>
      <c r="AQ39" s="392">
        <f>ROUND(L40,0)</f>
        <v>1491</v>
      </c>
      <c r="AR39" s="367"/>
    </row>
    <row r="40" spans="1:44" ht="17.100000000000001" customHeight="1" x14ac:dyDescent="0.15">
      <c r="A40" s="340">
        <v>13</v>
      </c>
      <c r="B40" s="340">
        <v>1192</v>
      </c>
      <c r="C40" s="342" t="s">
        <v>30739</v>
      </c>
      <c r="D40" s="490"/>
      <c r="E40" s="152" t="s">
        <v>30740</v>
      </c>
      <c r="L40" s="836">
        <v>1491</v>
      </c>
      <c r="M40" s="837"/>
      <c r="N40" s="837"/>
      <c r="O40" s="152" t="s">
        <v>15624</v>
      </c>
      <c r="P40" s="387"/>
      <c r="Q40" s="324"/>
      <c r="R40" s="325"/>
      <c r="S40" s="325"/>
      <c r="T40" s="325"/>
      <c r="U40" s="325"/>
      <c r="V40" s="325"/>
      <c r="W40" s="325"/>
      <c r="X40" s="325"/>
      <c r="Y40" s="325"/>
      <c r="Z40" s="325"/>
      <c r="AA40" s="325"/>
      <c r="AB40" s="325"/>
      <c r="AC40" s="325"/>
      <c r="AD40" s="388"/>
      <c r="AE40" s="546" t="s">
        <v>30683</v>
      </c>
      <c r="AF40" s="325"/>
      <c r="AG40" s="325"/>
      <c r="AH40" s="325"/>
      <c r="AI40" s="325"/>
      <c r="AJ40" s="325"/>
      <c r="AK40" s="325"/>
      <c r="AL40" s="325"/>
      <c r="AM40" s="325"/>
      <c r="AN40" s="391" t="s">
        <v>15626</v>
      </c>
      <c r="AO40" s="838">
        <f>AO8</f>
        <v>1</v>
      </c>
      <c r="AP40" s="839"/>
      <c r="AQ40" s="392">
        <f>ROUND(L40*AO40,0)</f>
        <v>1491</v>
      </c>
      <c r="AR40" s="367"/>
    </row>
    <row r="41" spans="1:44" ht="17.100000000000001" customHeight="1" x14ac:dyDescent="0.15">
      <c r="A41" s="340">
        <v>13</v>
      </c>
      <c r="B41" s="340">
        <v>1193</v>
      </c>
      <c r="C41" s="342" t="s">
        <v>30741</v>
      </c>
      <c r="D41" s="490"/>
      <c r="P41" s="387"/>
      <c r="Q41" s="547" t="s">
        <v>30685</v>
      </c>
      <c r="R41" s="396"/>
      <c r="S41" s="396"/>
      <c r="T41" s="396"/>
      <c r="U41" s="396"/>
      <c r="V41" s="396"/>
      <c r="W41" s="396"/>
      <c r="X41" s="396"/>
      <c r="Y41" s="396"/>
      <c r="Z41" s="396"/>
      <c r="AA41" s="396"/>
      <c r="AB41" s="548"/>
      <c r="AC41" s="428"/>
      <c r="AD41" s="397"/>
      <c r="AE41" s="325"/>
      <c r="AF41" s="325"/>
      <c r="AG41" s="325"/>
      <c r="AH41" s="325"/>
      <c r="AI41" s="325"/>
      <c r="AJ41" s="325"/>
      <c r="AK41" s="325"/>
      <c r="AL41" s="325"/>
      <c r="AM41" s="325"/>
      <c r="AN41" s="391"/>
      <c r="AO41" s="401"/>
      <c r="AP41" s="402"/>
      <c r="AQ41" s="392">
        <f>ROUND(L40*AB42,0)</f>
        <v>1416</v>
      </c>
      <c r="AR41" s="367"/>
    </row>
    <row r="42" spans="1:44" ht="17.100000000000001" customHeight="1" x14ac:dyDescent="0.15">
      <c r="A42" s="340">
        <v>13</v>
      </c>
      <c r="B42" s="340">
        <v>1194</v>
      </c>
      <c r="C42" s="342" t="s">
        <v>30742</v>
      </c>
      <c r="D42" s="490"/>
      <c r="P42" s="387"/>
      <c r="Q42" s="324"/>
      <c r="R42" s="325"/>
      <c r="S42" s="325"/>
      <c r="T42" s="325"/>
      <c r="U42" s="325"/>
      <c r="V42" s="325"/>
      <c r="W42" s="325"/>
      <c r="X42" s="325"/>
      <c r="Y42" s="325"/>
      <c r="Z42" s="325"/>
      <c r="AA42" s="548" t="s">
        <v>15626</v>
      </c>
      <c r="AB42" s="928">
        <f>AB10</f>
        <v>0.95</v>
      </c>
      <c r="AC42" s="929"/>
      <c r="AD42" s="388"/>
      <c r="AE42" s="546" t="s">
        <v>30683</v>
      </c>
      <c r="AF42" s="325"/>
      <c r="AG42" s="325"/>
      <c r="AH42" s="325"/>
      <c r="AI42" s="325"/>
      <c r="AJ42" s="325"/>
      <c r="AK42" s="325"/>
      <c r="AL42" s="325"/>
      <c r="AM42" s="325"/>
      <c r="AN42" s="391" t="s">
        <v>15626</v>
      </c>
      <c r="AO42" s="838">
        <f>AO8</f>
        <v>1</v>
      </c>
      <c r="AP42" s="839"/>
      <c r="AQ42" s="392">
        <f>ROUND(ROUND(L40*AB42,0)*AO42,0)</f>
        <v>1416</v>
      </c>
      <c r="AR42" s="367"/>
    </row>
    <row r="43" spans="1:44" ht="17.100000000000001" customHeight="1" x14ac:dyDescent="0.15">
      <c r="A43" s="340">
        <v>13</v>
      </c>
      <c r="B43" s="340">
        <v>1201</v>
      </c>
      <c r="C43" s="342" t="s">
        <v>30743</v>
      </c>
      <c r="D43" s="547" t="s">
        <v>30744</v>
      </c>
      <c r="E43" s="396" t="s">
        <v>30745</v>
      </c>
      <c r="F43" s="396"/>
      <c r="G43" s="396"/>
      <c r="H43" s="396"/>
      <c r="I43" s="396"/>
      <c r="J43" s="396"/>
      <c r="K43" s="396"/>
      <c r="L43" s="549"/>
      <c r="M43" s="400"/>
      <c r="N43" s="400"/>
      <c r="O43" s="396"/>
      <c r="P43" s="397"/>
      <c r="Q43" s="547"/>
      <c r="R43" s="396"/>
      <c r="S43" s="396"/>
      <c r="T43" s="396"/>
      <c r="U43" s="396"/>
      <c r="V43" s="396"/>
      <c r="W43" s="396"/>
      <c r="X43" s="396"/>
      <c r="Y43" s="396"/>
      <c r="Z43" s="396"/>
      <c r="AA43" s="396"/>
      <c r="AB43" s="396"/>
      <c r="AC43" s="396"/>
      <c r="AD43" s="397"/>
      <c r="AE43" s="343"/>
      <c r="AF43" s="343"/>
      <c r="AG43" s="343"/>
      <c r="AH43" s="343"/>
      <c r="AI43" s="343"/>
      <c r="AJ43" s="343"/>
      <c r="AK43" s="343"/>
      <c r="AL43" s="343"/>
      <c r="AM43" s="343"/>
      <c r="AN43" s="343"/>
      <c r="AO43" s="343"/>
      <c r="AP43" s="407"/>
      <c r="AQ43" s="392">
        <f>ROUND(L44,0)</f>
        <v>1641</v>
      </c>
      <c r="AR43" s="367"/>
    </row>
    <row r="44" spans="1:44" ht="16.5" customHeight="1" x14ac:dyDescent="0.15">
      <c r="A44" s="340">
        <v>13</v>
      </c>
      <c r="B44" s="340">
        <v>1202</v>
      </c>
      <c r="C44" s="342" t="s">
        <v>30746</v>
      </c>
      <c r="D44" s="490"/>
      <c r="E44" s="152" t="s">
        <v>30747</v>
      </c>
      <c r="L44" s="836">
        <v>1641</v>
      </c>
      <c r="M44" s="837"/>
      <c r="N44" s="837"/>
      <c r="O44" s="152" t="s">
        <v>15624</v>
      </c>
      <c r="P44" s="387"/>
      <c r="Q44" s="324"/>
      <c r="R44" s="325"/>
      <c r="S44" s="325"/>
      <c r="T44" s="325"/>
      <c r="U44" s="325"/>
      <c r="V44" s="325"/>
      <c r="W44" s="325"/>
      <c r="X44" s="325"/>
      <c r="Y44" s="325"/>
      <c r="Z44" s="325"/>
      <c r="AA44" s="325"/>
      <c r="AB44" s="325"/>
      <c r="AC44" s="325"/>
      <c r="AD44" s="388"/>
      <c r="AE44" s="546" t="s">
        <v>30683</v>
      </c>
      <c r="AF44" s="325"/>
      <c r="AG44" s="325"/>
      <c r="AH44" s="325"/>
      <c r="AI44" s="325"/>
      <c r="AJ44" s="325"/>
      <c r="AK44" s="325"/>
      <c r="AL44" s="325"/>
      <c r="AM44" s="325"/>
      <c r="AN44" s="391" t="s">
        <v>15626</v>
      </c>
      <c r="AO44" s="838">
        <f>AO8</f>
        <v>1</v>
      </c>
      <c r="AP44" s="839"/>
      <c r="AQ44" s="392">
        <f>ROUND(L44*AO44,0)</f>
        <v>1641</v>
      </c>
      <c r="AR44" s="367"/>
    </row>
    <row r="45" spans="1:44" ht="16.5" customHeight="1" x14ac:dyDescent="0.15">
      <c r="A45" s="340">
        <v>13</v>
      </c>
      <c r="B45" s="340">
        <v>1203</v>
      </c>
      <c r="C45" s="342" t="s">
        <v>30748</v>
      </c>
      <c r="D45" s="490"/>
      <c r="P45" s="387"/>
      <c r="Q45" s="547" t="s">
        <v>30685</v>
      </c>
      <c r="R45" s="396"/>
      <c r="S45" s="396"/>
      <c r="T45" s="396"/>
      <c r="U45" s="396"/>
      <c r="V45" s="396"/>
      <c r="W45" s="396"/>
      <c r="X45" s="396"/>
      <c r="Y45" s="396"/>
      <c r="Z45" s="396"/>
      <c r="AA45" s="396"/>
      <c r="AB45" s="548"/>
      <c r="AC45" s="428"/>
      <c r="AD45" s="397"/>
      <c r="AE45" s="325"/>
      <c r="AF45" s="325"/>
      <c r="AG45" s="325"/>
      <c r="AH45" s="325"/>
      <c r="AI45" s="325"/>
      <c r="AJ45" s="325"/>
      <c r="AK45" s="325"/>
      <c r="AL45" s="325"/>
      <c r="AM45" s="325"/>
      <c r="AN45" s="391"/>
      <c r="AO45" s="401"/>
      <c r="AP45" s="402"/>
      <c r="AQ45" s="392">
        <f>ROUND(L44*AB46,0)</f>
        <v>1559</v>
      </c>
      <c r="AR45" s="367"/>
    </row>
    <row r="46" spans="1:44" ht="16.5" customHeight="1" x14ac:dyDescent="0.15">
      <c r="A46" s="340">
        <v>13</v>
      </c>
      <c r="B46" s="340">
        <v>1204</v>
      </c>
      <c r="C46" s="342" t="s">
        <v>30749</v>
      </c>
      <c r="D46" s="490"/>
      <c r="P46" s="387"/>
      <c r="Q46" s="324"/>
      <c r="R46" s="325"/>
      <c r="S46" s="325"/>
      <c r="T46" s="325"/>
      <c r="U46" s="325"/>
      <c r="V46" s="325"/>
      <c r="W46" s="325"/>
      <c r="X46" s="325"/>
      <c r="Y46" s="325"/>
      <c r="Z46" s="325"/>
      <c r="AA46" s="548" t="s">
        <v>15626</v>
      </c>
      <c r="AB46" s="928">
        <f>AB10</f>
        <v>0.95</v>
      </c>
      <c r="AC46" s="929"/>
      <c r="AD46" s="388"/>
      <c r="AE46" s="546" t="s">
        <v>30683</v>
      </c>
      <c r="AF46" s="325"/>
      <c r="AG46" s="325"/>
      <c r="AH46" s="325"/>
      <c r="AI46" s="325"/>
      <c r="AJ46" s="325"/>
      <c r="AK46" s="325"/>
      <c r="AL46" s="325"/>
      <c r="AM46" s="325"/>
      <c r="AN46" s="391" t="s">
        <v>15626</v>
      </c>
      <c r="AO46" s="838">
        <f>AO8</f>
        <v>1</v>
      </c>
      <c r="AP46" s="839"/>
      <c r="AQ46" s="392">
        <f>ROUND(ROUND(L44*AB46,0)*AO46,0)</f>
        <v>1559</v>
      </c>
      <c r="AR46" s="367"/>
    </row>
    <row r="47" spans="1:44" ht="17.100000000000001" customHeight="1" x14ac:dyDescent="0.15">
      <c r="A47" s="340">
        <v>13</v>
      </c>
      <c r="B47" s="341">
        <v>1211</v>
      </c>
      <c r="C47" s="342" t="s">
        <v>30750</v>
      </c>
      <c r="D47" s="547" t="s">
        <v>30751</v>
      </c>
      <c r="E47" s="396" t="s">
        <v>30752</v>
      </c>
      <c r="F47" s="396"/>
      <c r="G47" s="396"/>
      <c r="H47" s="396"/>
      <c r="I47" s="396"/>
      <c r="J47" s="396"/>
      <c r="K47" s="396"/>
      <c r="L47" s="549"/>
      <c r="M47" s="400"/>
      <c r="N47" s="400"/>
      <c r="O47" s="396"/>
      <c r="P47" s="397"/>
      <c r="Q47" s="547"/>
      <c r="R47" s="396"/>
      <c r="S47" s="396"/>
      <c r="T47" s="396"/>
      <c r="U47" s="396"/>
      <c r="V47" s="396"/>
      <c r="W47" s="396"/>
      <c r="X47" s="396"/>
      <c r="Y47" s="396"/>
      <c r="Z47" s="396"/>
      <c r="AA47" s="396"/>
      <c r="AB47" s="396"/>
      <c r="AC47" s="396"/>
      <c r="AD47" s="397"/>
      <c r="AE47" s="343"/>
      <c r="AF47" s="343"/>
      <c r="AG47" s="343"/>
      <c r="AH47" s="343"/>
      <c r="AI47" s="343"/>
      <c r="AJ47" s="343"/>
      <c r="AK47" s="343"/>
      <c r="AL47" s="343"/>
      <c r="AM47" s="343"/>
      <c r="AN47" s="343"/>
      <c r="AO47" s="343"/>
      <c r="AP47" s="407"/>
      <c r="AQ47" s="392">
        <f>ROUND(L48,0)</f>
        <v>1791</v>
      </c>
      <c r="AR47" s="393"/>
    </row>
    <row r="48" spans="1:44" ht="17.100000000000001" customHeight="1" x14ac:dyDescent="0.15">
      <c r="A48" s="340">
        <v>13</v>
      </c>
      <c r="B48" s="341">
        <v>1212</v>
      </c>
      <c r="C48" s="342" t="s">
        <v>30753</v>
      </c>
      <c r="D48" s="490"/>
      <c r="E48" s="152" t="s">
        <v>30754</v>
      </c>
      <c r="L48" s="836">
        <v>1791</v>
      </c>
      <c r="M48" s="837"/>
      <c r="N48" s="837"/>
      <c r="O48" s="152" t="s">
        <v>15624</v>
      </c>
      <c r="P48" s="387"/>
      <c r="Q48" s="324"/>
      <c r="R48" s="325"/>
      <c r="S48" s="325"/>
      <c r="T48" s="325"/>
      <c r="U48" s="325"/>
      <c r="V48" s="325"/>
      <c r="W48" s="325"/>
      <c r="X48" s="325"/>
      <c r="Y48" s="325"/>
      <c r="Z48" s="325"/>
      <c r="AA48" s="325"/>
      <c r="AB48" s="325"/>
      <c r="AC48" s="325"/>
      <c r="AD48" s="388"/>
      <c r="AE48" s="546" t="s">
        <v>30683</v>
      </c>
      <c r="AF48" s="325"/>
      <c r="AG48" s="325"/>
      <c r="AH48" s="325"/>
      <c r="AI48" s="325"/>
      <c r="AJ48" s="325"/>
      <c r="AK48" s="325"/>
      <c r="AL48" s="325"/>
      <c r="AM48" s="325"/>
      <c r="AN48" s="391" t="s">
        <v>15626</v>
      </c>
      <c r="AO48" s="838">
        <f>AO8</f>
        <v>1</v>
      </c>
      <c r="AP48" s="839"/>
      <c r="AQ48" s="392">
        <f>ROUND(L48*AO48,0)</f>
        <v>1791</v>
      </c>
      <c r="AR48" s="393"/>
    </row>
    <row r="49" spans="1:44" ht="17.100000000000001" customHeight="1" x14ac:dyDescent="0.15">
      <c r="A49" s="340">
        <v>13</v>
      </c>
      <c r="B49" s="341">
        <v>1213</v>
      </c>
      <c r="C49" s="342" t="s">
        <v>30755</v>
      </c>
      <c r="D49" s="490"/>
      <c r="P49" s="387"/>
      <c r="Q49" s="547" t="s">
        <v>30685</v>
      </c>
      <c r="R49" s="396"/>
      <c r="S49" s="396"/>
      <c r="T49" s="396"/>
      <c r="U49" s="396"/>
      <c r="V49" s="396"/>
      <c r="W49" s="396"/>
      <c r="X49" s="396"/>
      <c r="Y49" s="396"/>
      <c r="Z49" s="396"/>
      <c r="AA49" s="396"/>
      <c r="AB49" s="548"/>
      <c r="AC49" s="428"/>
      <c r="AD49" s="397"/>
      <c r="AE49" s="325"/>
      <c r="AF49" s="325"/>
      <c r="AG49" s="325"/>
      <c r="AH49" s="325"/>
      <c r="AI49" s="325"/>
      <c r="AJ49" s="325"/>
      <c r="AK49" s="325"/>
      <c r="AL49" s="325"/>
      <c r="AM49" s="325"/>
      <c r="AN49" s="391"/>
      <c r="AO49" s="401"/>
      <c r="AP49" s="402"/>
      <c r="AQ49" s="392">
        <f>ROUND(L48*AB50,0)</f>
        <v>1701</v>
      </c>
      <c r="AR49" s="393"/>
    </row>
    <row r="50" spans="1:44" ht="17.100000000000001" customHeight="1" x14ac:dyDescent="0.15">
      <c r="A50" s="340">
        <v>13</v>
      </c>
      <c r="B50" s="341">
        <v>1214</v>
      </c>
      <c r="C50" s="342" t="s">
        <v>30756</v>
      </c>
      <c r="D50" s="490"/>
      <c r="P50" s="387"/>
      <c r="Q50" s="324"/>
      <c r="R50" s="325"/>
      <c r="S50" s="325"/>
      <c r="T50" s="325"/>
      <c r="U50" s="325"/>
      <c r="V50" s="325"/>
      <c r="W50" s="325"/>
      <c r="X50" s="325"/>
      <c r="Y50" s="325"/>
      <c r="Z50" s="325"/>
      <c r="AA50" s="548" t="s">
        <v>15626</v>
      </c>
      <c r="AB50" s="928">
        <f>AB10</f>
        <v>0.95</v>
      </c>
      <c r="AC50" s="929"/>
      <c r="AD50" s="388"/>
      <c r="AE50" s="546" t="s">
        <v>30683</v>
      </c>
      <c r="AF50" s="325"/>
      <c r="AG50" s="325"/>
      <c r="AH50" s="325"/>
      <c r="AI50" s="325"/>
      <c r="AJ50" s="325"/>
      <c r="AK50" s="325"/>
      <c r="AL50" s="325"/>
      <c r="AM50" s="325"/>
      <c r="AN50" s="391" t="s">
        <v>15626</v>
      </c>
      <c r="AO50" s="838">
        <f>AO8</f>
        <v>1</v>
      </c>
      <c r="AP50" s="839"/>
      <c r="AQ50" s="392">
        <f>ROUND(ROUND(L48*AB50,0)*AO50,0)</f>
        <v>1701</v>
      </c>
      <c r="AR50" s="393"/>
    </row>
    <row r="51" spans="1:44" ht="17.100000000000001" customHeight="1" x14ac:dyDescent="0.15">
      <c r="A51" s="340">
        <v>13</v>
      </c>
      <c r="B51" s="340">
        <v>1221</v>
      </c>
      <c r="C51" s="342" t="s">
        <v>30757</v>
      </c>
      <c r="D51" s="547" t="s">
        <v>30758</v>
      </c>
      <c r="E51" s="396" t="s">
        <v>30759</v>
      </c>
      <c r="F51" s="396"/>
      <c r="G51" s="396"/>
      <c r="H51" s="396"/>
      <c r="I51" s="396"/>
      <c r="J51" s="396"/>
      <c r="K51" s="396"/>
      <c r="L51" s="549"/>
      <c r="M51" s="400"/>
      <c r="N51" s="400"/>
      <c r="O51" s="396"/>
      <c r="P51" s="397"/>
      <c r="Q51" s="547"/>
      <c r="R51" s="396"/>
      <c r="S51" s="396"/>
      <c r="T51" s="396"/>
      <c r="U51" s="396"/>
      <c r="V51" s="396"/>
      <c r="W51" s="396"/>
      <c r="X51" s="396"/>
      <c r="Y51" s="396"/>
      <c r="Z51" s="396"/>
      <c r="AA51" s="396"/>
      <c r="AB51" s="396"/>
      <c r="AC51" s="396"/>
      <c r="AD51" s="397"/>
      <c r="AE51" s="343"/>
      <c r="AF51" s="343"/>
      <c r="AG51" s="343"/>
      <c r="AH51" s="343"/>
      <c r="AI51" s="343"/>
      <c r="AJ51" s="343"/>
      <c r="AK51" s="343"/>
      <c r="AL51" s="343"/>
      <c r="AM51" s="343"/>
      <c r="AN51" s="343"/>
      <c r="AO51" s="343"/>
      <c r="AP51" s="407"/>
      <c r="AQ51" s="392">
        <f>ROUND(L52,0)</f>
        <v>1940</v>
      </c>
      <c r="AR51" s="426"/>
    </row>
    <row r="52" spans="1:44" ht="17.100000000000001" customHeight="1" x14ac:dyDescent="0.15">
      <c r="A52" s="340">
        <v>13</v>
      </c>
      <c r="B52" s="340">
        <v>1222</v>
      </c>
      <c r="C52" s="342" t="s">
        <v>30760</v>
      </c>
      <c r="D52" s="490"/>
      <c r="E52" s="152" t="s">
        <v>30761</v>
      </c>
      <c r="L52" s="836">
        <v>1940</v>
      </c>
      <c r="M52" s="837"/>
      <c r="N52" s="837"/>
      <c r="O52" s="152" t="s">
        <v>15624</v>
      </c>
      <c r="P52" s="387"/>
      <c r="Q52" s="324"/>
      <c r="R52" s="325"/>
      <c r="S52" s="325"/>
      <c r="T52" s="325"/>
      <c r="U52" s="325"/>
      <c r="V52" s="325"/>
      <c r="W52" s="325"/>
      <c r="X52" s="325"/>
      <c r="Y52" s="325"/>
      <c r="Z52" s="325"/>
      <c r="AA52" s="325"/>
      <c r="AB52" s="325"/>
      <c r="AC52" s="325"/>
      <c r="AD52" s="388"/>
      <c r="AE52" s="546" t="s">
        <v>30683</v>
      </c>
      <c r="AF52" s="325"/>
      <c r="AG52" s="325"/>
      <c r="AH52" s="325"/>
      <c r="AI52" s="325"/>
      <c r="AJ52" s="325"/>
      <c r="AK52" s="325"/>
      <c r="AL52" s="325"/>
      <c r="AM52" s="325"/>
      <c r="AN52" s="391" t="s">
        <v>15626</v>
      </c>
      <c r="AO52" s="838">
        <f>AO8</f>
        <v>1</v>
      </c>
      <c r="AP52" s="839"/>
      <c r="AQ52" s="392">
        <f>ROUND(L52*AO52,0)</f>
        <v>1940</v>
      </c>
      <c r="AR52" s="426"/>
    </row>
    <row r="53" spans="1:44" ht="17.100000000000001" customHeight="1" x14ac:dyDescent="0.15">
      <c r="A53" s="340">
        <v>13</v>
      </c>
      <c r="B53" s="340">
        <v>1223</v>
      </c>
      <c r="C53" s="342" t="s">
        <v>30762</v>
      </c>
      <c r="D53" s="490"/>
      <c r="P53" s="387"/>
      <c r="Q53" s="547" t="s">
        <v>30685</v>
      </c>
      <c r="R53" s="396"/>
      <c r="S53" s="396"/>
      <c r="T53" s="396"/>
      <c r="U53" s="396"/>
      <c r="V53" s="396"/>
      <c r="W53" s="396"/>
      <c r="X53" s="396"/>
      <c r="Y53" s="396"/>
      <c r="Z53" s="396"/>
      <c r="AA53" s="396"/>
      <c r="AB53" s="548"/>
      <c r="AC53" s="428"/>
      <c r="AD53" s="397"/>
      <c r="AE53" s="325"/>
      <c r="AF53" s="325"/>
      <c r="AG53" s="325"/>
      <c r="AH53" s="325"/>
      <c r="AI53" s="325"/>
      <c r="AJ53" s="325"/>
      <c r="AK53" s="325"/>
      <c r="AL53" s="325"/>
      <c r="AM53" s="325"/>
      <c r="AN53" s="391"/>
      <c r="AO53" s="401"/>
      <c r="AP53" s="402"/>
      <c r="AQ53" s="392">
        <f>ROUND(L52*AB54,0)</f>
        <v>1843</v>
      </c>
      <c r="AR53" s="426"/>
    </row>
    <row r="54" spans="1:44" ht="17.100000000000001" customHeight="1" x14ac:dyDescent="0.15">
      <c r="A54" s="340">
        <v>13</v>
      </c>
      <c r="B54" s="340">
        <v>1224</v>
      </c>
      <c r="C54" s="342" t="s">
        <v>30763</v>
      </c>
      <c r="D54" s="490"/>
      <c r="P54" s="387"/>
      <c r="Q54" s="324"/>
      <c r="R54" s="325"/>
      <c r="S54" s="325"/>
      <c r="T54" s="325"/>
      <c r="U54" s="325"/>
      <c r="V54" s="325"/>
      <c r="W54" s="325"/>
      <c r="X54" s="325"/>
      <c r="Y54" s="325"/>
      <c r="Z54" s="325"/>
      <c r="AA54" s="548" t="s">
        <v>15626</v>
      </c>
      <c r="AB54" s="928">
        <f>AB10</f>
        <v>0.95</v>
      </c>
      <c r="AC54" s="929"/>
      <c r="AD54" s="388"/>
      <c r="AE54" s="546" t="s">
        <v>30683</v>
      </c>
      <c r="AF54" s="325"/>
      <c r="AG54" s="325"/>
      <c r="AH54" s="325"/>
      <c r="AI54" s="325"/>
      <c r="AJ54" s="325"/>
      <c r="AK54" s="325"/>
      <c r="AL54" s="325"/>
      <c r="AM54" s="325"/>
      <c r="AN54" s="391" t="s">
        <v>15626</v>
      </c>
      <c r="AO54" s="838">
        <f>AO8</f>
        <v>1</v>
      </c>
      <c r="AP54" s="839"/>
      <c r="AQ54" s="392">
        <f>ROUND(ROUND(L52*AB54,0)*AO54,0)</f>
        <v>1843</v>
      </c>
      <c r="AR54" s="426"/>
    </row>
    <row r="55" spans="1:44" ht="17.100000000000001" customHeight="1" x14ac:dyDescent="0.15">
      <c r="A55" s="340">
        <v>13</v>
      </c>
      <c r="B55" s="340">
        <v>1231</v>
      </c>
      <c r="C55" s="342" t="s">
        <v>30764</v>
      </c>
      <c r="D55" s="547" t="s">
        <v>30765</v>
      </c>
      <c r="E55" s="396" t="s">
        <v>30766</v>
      </c>
      <c r="F55" s="396"/>
      <c r="G55" s="396"/>
      <c r="H55" s="396"/>
      <c r="I55" s="396"/>
      <c r="J55" s="396"/>
      <c r="K55" s="396"/>
      <c r="L55" s="549"/>
      <c r="M55" s="400"/>
      <c r="N55" s="400"/>
      <c r="O55" s="396"/>
      <c r="P55" s="397"/>
      <c r="Q55" s="547"/>
      <c r="R55" s="396"/>
      <c r="S55" s="396"/>
      <c r="T55" s="396"/>
      <c r="U55" s="396"/>
      <c r="V55" s="396"/>
      <c r="W55" s="396"/>
      <c r="X55" s="396"/>
      <c r="Y55" s="396"/>
      <c r="Z55" s="396"/>
      <c r="AA55" s="396"/>
      <c r="AB55" s="396"/>
      <c r="AC55" s="396"/>
      <c r="AD55" s="397"/>
      <c r="AE55" s="343"/>
      <c r="AF55" s="343"/>
      <c r="AG55" s="343"/>
      <c r="AH55" s="343"/>
      <c r="AI55" s="343"/>
      <c r="AJ55" s="343"/>
      <c r="AK55" s="343"/>
      <c r="AL55" s="343"/>
      <c r="AM55" s="343"/>
      <c r="AN55" s="343"/>
      <c r="AO55" s="343"/>
      <c r="AP55" s="407"/>
      <c r="AQ55" s="392">
        <f>ROUND(L56,0)</f>
        <v>2091</v>
      </c>
      <c r="AR55" s="367"/>
    </row>
    <row r="56" spans="1:44" ht="17.100000000000001" customHeight="1" x14ac:dyDescent="0.15">
      <c r="A56" s="340">
        <v>13</v>
      </c>
      <c r="B56" s="340">
        <v>1232</v>
      </c>
      <c r="C56" s="342" t="s">
        <v>30767</v>
      </c>
      <c r="D56" s="490"/>
      <c r="E56" s="152" t="s">
        <v>30768</v>
      </c>
      <c r="L56" s="836">
        <v>2091</v>
      </c>
      <c r="M56" s="837"/>
      <c r="N56" s="837"/>
      <c r="O56" s="152" t="s">
        <v>15624</v>
      </c>
      <c r="P56" s="387"/>
      <c r="Q56" s="324"/>
      <c r="R56" s="325"/>
      <c r="S56" s="325"/>
      <c r="T56" s="325"/>
      <c r="U56" s="325"/>
      <c r="V56" s="325"/>
      <c r="W56" s="325"/>
      <c r="X56" s="325"/>
      <c r="Y56" s="325"/>
      <c r="Z56" s="325"/>
      <c r="AA56" s="325"/>
      <c r="AB56" s="325"/>
      <c r="AC56" s="325"/>
      <c r="AD56" s="388"/>
      <c r="AE56" s="546" t="s">
        <v>30683</v>
      </c>
      <c r="AF56" s="325"/>
      <c r="AG56" s="325"/>
      <c r="AH56" s="325"/>
      <c r="AI56" s="325"/>
      <c r="AJ56" s="325"/>
      <c r="AK56" s="325"/>
      <c r="AL56" s="325"/>
      <c r="AM56" s="325"/>
      <c r="AN56" s="391" t="s">
        <v>15626</v>
      </c>
      <c r="AO56" s="838">
        <f>AO8</f>
        <v>1</v>
      </c>
      <c r="AP56" s="839"/>
      <c r="AQ56" s="392">
        <f>ROUND(L56*AO56,0)</f>
        <v>2091</v>
      </c>
      <c r="AR56" s="367"/>
    </row>
    <row r="57" spans="1:44" ht="17.100000000000001" customHeight="1" x14ac:dyDescent="0.15">
      <c r="A57" s="340">
        <v>13</v>
      </c>
      <c r="B57" s="340">
        <v>1233</v>
      </c>
      <c r="C57" s="342" t="s">
        <v>30769</v>
      </c>
      <c r="D57" s="490"/>
      <c r="P57" s="387"/>
      <c r="Q57" s="547" t="s">
        <v>30685</v>
      </c>
      <c r="R57" s="396"/>
      <c r="S57" s="396"/>
      <c r="T57" s="396"/>
      <c r="U57" s="396"/>
      <c r="V57" s="396"/>
      <c r="W57" s="396"/>
      <c r="X57" s="396"/>
      <c r="Y57" s="396"/>
      <c r="Z57" s="396"/>
      <c r="AA57" s="396"/>
      <c r="AB57" s="548"/>
      <c r="AC57" s="428"/>
      <c r="AD57" s="397"/>
      <c r="AE57" s="325"/>
      <c r="AF57" s="325"/>
      <c r="AG57" s="325"/>
      <c r="AH57" s="325"/>
      <c r="AI57" s="325"/>
      <c r="AJ57" s="325"/>
      <c r="AK57" s="325"/>
      <c r="AL57" s="325"/>
      <c r="AM57" s="325"/>
      <c r="AN57" s="391"/>
      <c r="AO57" s="401"/>
      <c r="AP57" s="402"/>
      <c r="AQ57" s="392">
        <f>ROUND(L56*AB58,0)</f>
        <v>1986</v>
      </c>
      <c r="AR57" s="367"/>
    </row>
    <row r="58" spans="1:44" ht="17.100000000000001" customHeight="1" x14ac:dyDescent="0.15">
      <c r="A58" s="340">
        <v>13</v>
      </c>
      <c r="B58" s="340">
        <v>1234</v>
      </c>
      <c r="C58" s="342" t="s">
        <v>30770</v>
      </c>
      <c r="D58" s="490"/>
      <c r="P58" s="387"/>
      <c r="Q58" s="324"/>
      <c r="R58" s="325"/>
      <c r="S58" s="325"/>
      <c r="T58" s="325"/>
      <c r="U58" s="325"/>
      <c r="V58" s="325"/>
      <c r="W58" s="325"/>
      <c r="X58" s="325"/>
      <c r="Y58" s="325"/>
      <c r="Z58" s="325"/>
      <c r="AA58" s="548" t="s">
        <v>15626</v>
      </c>
      <c r="AB58" s="928">
        <f>AB10</f>
        <v>0.95</v>
      </c>
      <c r="AC58" s="929"/>
      <c r="AD58" s="388"/>
      <c r="AE58" s="546" t="s">
        <v>30683</v>
      </c>
      <c r="AF58" s="325"/>
      <c r="AG58" s="325"/>
      <c r="AH58" s="325"/>
      <c r="AI58" s="325"/>
      <c r="AJ58" s="325"/>
      <c r="AK58" s="325"/>
      <c r="AL58" s="325"/>
      <c r="AM58" s="325"/>
      <c r="AN58" s="391" t="s">
        <v>15626</v>
      </c>
      <c r="AO58" s="838">
        <f>AO8</f>
        <v>1</v>
      </c>
      <c r="AP58" s="839"/>
      <c r="AQ58" s="392">
        <f>ROUND(ROUND(L56*AB58,0)*AO58,0)</f>
        <v>1986</v>
      </c>
      <c r="AR58" s="367"/>
    </row>
    <row r="59" spans="1:44" ht="17.100000000000001" customHeight="1" x14ac:dyDescent="0.15">
      <c r="A59" s="340">
        <v>13</v>
      </c>
      <c r="B59" s="340">
        <v>1241</v>
      </c>
      <c r="C59" s="342" t="s">
        <v>30771</v>
      </c>
      <c r="D59" s="547" t="s">
        <v>30772</v>
      </c>
      <c r="E59" s="396" t="s">
        <v>30773</v>
      </c>
      <c r="F59" s="396"/>
      <c r="G59" s="396"/>
      <c r="H59" s="396"/>
      <c r="I59" s="396"/>
      <c r="J59" s="396"/>
      <c r="K59" s="396"/>
      <c r="L59" s="549"/>
      <c r="M59" s="400"/>
      <c r="N59" s="400"/>
      <c r="O59" s="396"/>
      <c r="P59" s="397"/>
      <c r="Q59" s="547"/>
      <c r="R59" s="396"/>
      <c r="S59" s="396"/>
      <c r="T59" s="396"/>
      <c r="U59" s="396"/>
      <c r="V59" s="396"/>
      <c r="W59" s="396"/>
      <c r="X59" s="396"/>
      <c r="Y59" s="396"/>
      <c r="Z59" s="396"/>
      <c r="AA59" s="396"/>
      <c r="AB59" s="396"/>
      <c r="AC59" s="396"/>
      <c r="AD59" s="397"/>
      <c r="AE59" s="343"/>
      <c r="AF59" s="343"/>
      <c r="AG59" s="343"/>
      <c r="AH59" s="343"/>
      <c r="AI59" s="343"/>
      <c r="AJ59" s="343"/>
      <c r="AK59" s="343"/>
      <c r="AL59" s="343"/>
      <c r="AM59" s="343"/>
      <c r="AN59" s="343"/>
      <c r="AO59" s="343"/>
      <c r="AP59" s="407"/>
      <c r="AQ59" s="392">
        <f>ROUND(L60,0)</f>
        <v>2240</v>
      </c>
      <c r="AR59" s="367"/>
    </row>
    <row r="60" spans="1:44" ht="17.100000000000001" customHeight="1" x14ac:dyDescent="0.15">
      <c r="A60" s="340">
        <v>13</v>
      </c>
      <c r="B60" s="340">
        <v>1242</v>
      </c>
      <c r="C60" s="342" t="s">
        <v>30774</v>
      </c>
      <c r="D60" s="490"/>
      <c r="E60" s="152" t="s">
        <v>30775</v>
      </c>
      <c r="L60" s="836">
        <v>2240</v>
      </c>
      <c r="M60" s="837"/>
      <c r="N60" s="837"/>
      <c r="O60" s="152" t="s">
        <v>15624</v>
      </c>
      <c r="P60" s="387"/>
      <c r="Q60" s="324"/>
      <c r="R60" s="325"/>
      <c r="S60" s="325"/>
      <c r="T60" s="325"/>
      <c r="U60" s="325"/>
      <c r="V60" s="325"/>
      <c r="W60" s="325"/>
      <c r="X60" s="325"/>
      <c r="Y60" s="325"/>
      <c r="Z60" s="325"/>
      <c r="AA60" s="325"/>
      <c r="AB60" s="325"/>
      <c r="AC60" s="325"/>
      <c r="AD60" s="388"/>
      <c r="AE60" s="546" t="s">
        <v>30683</v>
      </c>
      <c r="AF60" s="325"/>
      <c r="AG60" s="325"/>
      <c r="AH60" s="325"/>
      <c r="AI60" s="325"/>
      <c r="AJ60" s="325"/>
      <c r="AK60" s="325"/>
      <c r="AL60" s="325"/>
      <c r="AM60" s="325"/>
      <c r="AN60" s="391" t="s">
        <v>15626</v>
      </c>
      <c r="AO60" s="838">
        <f>AO8</f>
        <v>1</v>
      </c>
      <c r="AP60" s="839"/>
      <c r="AQ60" s="392">
        <f>ROUND(L60*AO60,0)</f>
        <v>2240</v>
      </c>
      <c r="AR60" s="367"/>
    </row>
    <row r="61" spans="1:44" ht="17.100000000000001" customHeight="1" x14ac:dyDescent="0.15">
      <c r="A61" s="340">
        <v>13</v>
      </c>
      <c r="B61" s="340">
        <v>1243</v>
      </c>
      <c r="C61" s="342" t="s">
        <v>30776</v>
      </c>
      <c r="D61" s="490"/>
      <c r="P61" s="387"/>
      <c r="Q61" s="547" t="s">
        <v>30685</v>
      </c>
      <c r="R61" s="396"/>
      <c r="S61" s="396"/>
      <c r="T61" s="396"/>
      <c r="U61" s="396"/>
      <c r="V61" s="396"/>
      <c r="W61" s="396"/>
      <c r="X61" s="396"/>
      <c r="Y61" s="396"/>
      <c r="Z61" s="396"/>
      <c r="AA61" s="396"/>
      <c r="AB61" s="548"/>
      <c r="AC61" s="428"/>
      <c r="AD61" s="397"/>
      <c r="AE61" s="325"/>
      <c r="AF61" s="325"/>
      <c r="AG61" s="325"/>
      <c r="AH61" s="325"/>
      <c r="AI61" s="325"/>
      <c r="AJ61" s="325"/>
      <c r="AK61" s="325"/>
      <c r="AL61" s="325"/>
      <c r="AM61" s="325"/>
      <c r="AN61" s="391"/>
      <c r="AO61" s="401"/>
      <c r="AP61" s="402"/>
      <c r="AQ61" s="392">
        <f>ROUND(L60*AB62,0)</f>
        <v>2128</v>
      </c>
      <c r="AR61" s="367"/>
    </row>
    <row r="62" spans="1:44" ht="17.100000000000001" customHeight="1" x14ac:dyDescent="0.15">
      <c r="A62" s="340">
        <v>13</v>
      </c>
      <c r="B62" s="340">
        <v>1244</v>
      </c>
      <c r="C62" s="342" t="s">
        <v>30777</v>
      </c>
      <c r="D62" s="490"/>
      <c r="P62" s="387"/>
      <c r="Q62" s="324"/>
      <c r="R62" s="325"/>
      <c r="S62" s="325"/>
      <c r="T62" s="325"/>
      <c r="U62" s="325"/>
      <c r="V62" s="325"/>
      <c r="W62" s="325"/>
      <c r="X62" s="325"/>
      <c r="Y62" s="325"/>
      <c r="Z62" s="325"/>
      <c r="AA62" s="548" t="s">
        <v>15626</v>
      </c>
      <c r="AB62" s="928">
        <f>AB10</f>
        <v>0.95</v>
      </c>
      <c r="AC62" s="929"/>
      <c r="AD62" s="388"/>
      <c r="AE62" s="546" t="s">
        <v>30683</v>
      </c>
      <c r="AF62" s="325"/>
      <c r="AG62" s="325"/>
      <c r="AH62" s="325"/>
      <c r="AI62" s="325"/>
      <c r="AJ62" s="325"/>
      <c r="AK62" s="325"/>
      <c r="AL62" s="325"/>
      <c r="AM62" s="325"/>
      <c r="AN62" s="391" t="s">
        <v>15626</v>
      </c>
      <c r="AO62" s="838">
        <f>AO8</f>
        <v>1</v>
      </c>
      <c r="AP62" s="839"/>
      <c r="AQ62" s="392">
        <f>ROUND(ROUND(L60*AB62,0)*AO62,0)</f>
        <v>2128</v>
      </c>
      <c r="AR62" s="367"/>
    </row>
    <row r="63" spans="1:44" ht="17.100000000000001" customHeight="1" x14ac:dyDescent="0.15">
      <c r="A63" s="340">
        <v>13</v>
      </c>
      <c r="B63" s="340">
        <v>1251</v>
      </c>
      <c r="C63" s="342" t="s">
        <v>30778</v>
      </c>
      <c r="D63" s="547" t="s">
        <v>30779</v>
      </c>
      <c r="E63" s="396" t="s">
        <v>30780</v>
      </c>
      <c r="F63" s="396"/>
      <c r="G63" s="396"/>
      <c r="H63" s="396"/>
      <c r="I63" s="396"/>
      <c r="J63" s="396"/>
      <c r="K63" s="396"/>
      <c r="L63" s="549"/>
      <c r="M63" s="549"/>
      <c r="N63" s="549"/>
      <c r="O63" s="396"/>
      <c r="P63" s="397"/>
      <c r="Q63" s="547"/>
      <c r="R63" s="396"/>
      <c r="S63" s="396"/>
      <c r="T63" s="396"/>
      <c r="U63" s="396"/>
      <c r="V63" s="396"/>
      <c r="W63" s="396"/>
      <c r="X63" s="396"/>
      <c r="Y63" s="396"/>
      <c r="Z63" s="396"/>
      <c r="AA63" s="396"/>
      <c r="AB63" s="396"/>
      <c r="AC63" s="396"/>
      <c r="AD63" s="397"/>
      <c r="AE63" s="343"/>
      <c r="AF63" s="343"/>
      <c r="AG63" s="343"/>
      <c r="AH63" s="343"/>
      <c r="AI63" s="343"/>
      <c r="AJ63" s="343"/>
      <c r="AK63" s="343"/>
      <c r="AL63" s="343"/>
      <c r="AM63" s="343"/>
      <c r="AN63" s="343"/>
      <c r="AO63" s="343"/>
      <c r="AP63" s="407"/>
      <c r="AQ63" s="392">
        <f>ROUND(L64,0)</f>
        <v>2391</v>
      </c>
      <c r="AR63" s="367"/>
    </row>
    <row r="64" spans="1:44" ht="17.100000000000001" customHeight="1" x14ac:dyDescent="0.15">
      <c r="A64" s="340">
        <v>13</v>
      </c>
      <c r="B64" s="340">
        <v>1252</v>
      </c>
      <c r="C64" s="342" t="s">
        <v>30781</v>
      </c>
      <c r="D64" s="490"/>
      <c r="E64" s="152" t="s">
        <v>30782</v>
      </c>
      <c r="L64" s="836">
        <v>2391</v>
      </c>
      <c r="M64" s="911"/>
      <c r="N64" s="911"/>
      <c r="O64" s="152" t="s">
        <v>15624</v>
      </c>
      <c r="P64" s="387"/>
      <c r="Q64" s="324"/>
      <c r="R64" s="325"/>
      <c r="S64" s="325"/>
      <c r="T64" s="325"/>
      <c r="U64" s="325"/>
      <c r="V64" s="325"/>
      <c r="W64" s="325"/>
      <c r="X64" s="325"/>
      <c r="Y64" s="325"/>
      <c r="Z64" s="325"/>
      <c r="AA64" s="325"/>
      <c r="AB64" s="325"/>
      <c r="AC64" s="325"/>
      <c r="AD64" s="388"/>
      <c r="AE64" s="546" t="s">
        <v>30683</v>
      </c>
      <c r="AF64" s="325"/>
      <c r="AG64" s="325"/>
      <c r="AH64" s="325"/>
      <c r="AI64" s="325"/>
      <c r="AJ64" s="325"/>
      <c r="AK64" s="325"/>
      <c r="AL64" s="325"/>
      <c r="AM64" s="325"/>
      <c r="AN64" s="391" t="s">
        <v>15626</v>
      </c>
      <c r="AO64" s="838">
        <f>AO8</f>
        <v>1</v>
      </c>
      <c r="AP64" s="839"/>
      <c r="AQ64" s="392">
        <f>ROUND(L64*AO64,0)</f>
        <v>2391</v>
      </c>
      <c r="AR64" s="367"/>
    </row>
    <row r="65" spans="1:44" ht="17.100000000000001" customHeight="1" x14ac:dyDescent="0.15">
      <c r="A65" s="340">
        <v>13</v>
      </c>
      <c r="B65" s="340">
        <v>1253</v>
      </c>
      <c r="C65" s="342" t="s">
        <v>30783</v>
      </c>
      <c r="D65" s="490"/>
      <c r="P65" s="387"/>
      <c r="Q65" s="547" t="s">
        <v>30685</v>
      </c>
      <c r="R65" s="396"/>
      <c r="S65" s="396"/>
      <c r="T65" s="396"/>
      <c r="U65" s="396"/>
      <c r="V65" s="396"/>
      <c r="W65" s="396"/>
      <c r="X65" s="396"/>
      <c r="Y65" s="396"/>
      <c r="Z65" s="396"/>
      <c r="AA65" s="396"/>
      <c r="AB65" s="548"/>
      <c r="AC65" s="428"/>
      <c r="AD65" s="397"/>
      <c r="AE65" s="325"/>
      <c r="AF65" s="325"/>
      <c r="AG65" s="325"/>
      <c r="AH65" s="325"/>
      <c r="AI65" s="325"/>
      <c r="AJ65" s="325"/>
      <c r="AK65" s="325"/>
      <c r="AL65" s="325"/>
      <c r="AM65" s="325"/>
      <c r="AN65" s="391"/>
      <c r="AO65" s="401"/>
      <c r="AP65" s="402"/>
      <c r="AQ65" s="392">
        <f>ROUND(L64*AB66,0)</f>
        <v>2271</v>
      </c>
      <c r="AR65" s="367"/>
    </row>
    <row r="66" spans="1:44" ht="17.100000000000001" customHeight="1" x14ac:dyDescent="0.15">
      <c r="A66" s="340">
        <v>13</v>
      </c>
      <c r="B66" s="340">
        <v>1254</v>
      </c>
      <c r="C66" s="342" t="s">
        <v>30784</v>
      </c>
      <c r="D66" s="490"/>
      <c r="P66" s="387"/>
      <c r="Q66" s="324"/>
      <c r="R66" s="325"/>
      <c r="S66" s="325"/>
      <c r="T66" s="325"/>
      <c r="U66" s="325"/>
      <c r="V66" s="325"/>
      <c r="W66" s="325"/>
      <c r="X66" s="325"/>
      <c r="Y66" s="325"/>
      <c r="Z66" s="325"/>
      <c r="AA66" s="548" t="s">
        <v>15626</v>
      </c>
      <c r="AB66" s="928">
        <f>AB10</f>
        <v>0.95</v>
      </c>
      <c r="AC66" s="929"/>
      <c r="AD66" s="388"/>
      <c r="AE66" s="546" t="s">
        <v>30683</v>
      </c>
      <c r="AF66" s="325"/>
      <c r="AG66" s="325"/>
      <c r="AH66" s="325"/>
      <c r="AI66" s="325"/>
      <c r="AJ66" s="325"/>
      <c r="AK66" s="325"/>
      <c r="AL66" s="325"/>
      <c r="AM66" s="325"/>
      <c r="AN66" s="391" t="s">
        <v>15626</v>
      </c>
      <c r="AO66" s="838">
        <f>AO8</f>
        <v>1</v>
      </c>
      <c r="AP66" s="839"/>
      <c r="AQ66" s="392">
        <f>ROUND(ROUND(L64*AB66,0)*AO66,0)</f>
        <v>2271</v>
      </c>
      <c r="AR66" s="367"/>
    </row>
    <row r="67" spans="1:44" ht="17.100000000000001" customHeight="1" x14ac:dyDescent="0.15">
      <c r="A67" s="340">
        <v>13</v>
      </c>
      <c r="B67" s="340">
        <v>1261</v>
      </c>
      <c r="C67" s="342" t="s">
        <v>30785</v>
      </c>
      <c r="D67" s="547" t="s">
        <v>30786</v>
      </c>
      <c r="E67" s="396" t="s">
        <v>30787</v>
      </c>
      <c r="F67" s="396"/>
      <c r="G67" s="396"/>
      <c r="H67" s="396"/>
      <c r="I67" s="396"/>
      <c r="J67" s="396"/>
      <c r="K67" s="396"/>
      <c r="L67" s="549"/>
      <c r="M67" s="549"/>
      <c r="N67" s="549"/>
      <c r="O67" s="396"/>
      <c r="P67" s="397"/>
      <c r="Q67" s="547"/>
      <c r="R67" s="396"/>
      <c r="S67" s="396"/>
      <c r="T67" s="396"/>
      <c r="U67" s="396"/>
      <c r="V67" s="396"/>
      <c r="W67" s="396"/>
      <c r="X67" s="396"/>
      <c r="Y67" s="396"/>
      <c r="Z67" s="396"/>
      <c r="AA67" s="396"/>
      <c r="AB67" s="396"/>
      <c r="AC67" s="396"/>
      <c r="AD67" s="397"/>
      <c r="AE67" s="343"/>
      <c r="AF67" s="343"/>
      <c r="AG67" s="343"/>
      <c r="AH67" s="343"/>
      <c r="AI67" s="343"/>
      <c r="AJ67" s="343"/>
      <c r="AK67" s="343"/>
      <c r="AL67" s="343"/>
      <c r="AM67" s="343"/>
      <c r="AN67" s="343"/>
      <c r="AO67" s="343"/>
      <c r="AP67" s="407"/>
      <c r="AQ67" s="392">
        <f>ROUND(L68,0)</f>
        <v>2540</v>
      </c>
      <c r="AR67" s="367"/>
    </row>
    <row r="68" spans="1:44" ht="17.100000000000001" customHeight="1" x14ac:dyDescent="0.15">
      <c r="A68" s="340">
        <v>13</v>
      </c>
      <c r="B68" s="340">
        <v>1262</v>
      </c>
      <c r="C68" s="342" t="s">
        <v>30788</v>
      </c>
      <c r="D68" s="490"/>
      <c r="L68" s="836">
        <v>2540</v>
      </c>
      <c r="M68" s="911"/>
      <c r="N68" s="911"/>
      <c r="O68" s="152" t="s">
        <v>15624</v>
      </c>
      <c r="P68" s="387"/>
      <c r="Q68" s="324"/>
      <c r="R68" s="325"/>
      <c r="S68" s="325"/>
      <c r="T68" s="325"/>
      <c r="U68" s="325"/>
      <c r="V68" s="325"/>
      <c r="W68" s="325"/>
      <c r="X68" s="325"/>
      <c r="Y68" s="325"/>
      <c r="Z68" s="325"/>
      <c r="AA68" s="325"/>
      <c r="AB68" s="325"/>
      <c r="AC68" s="325"/>
      <c r="AD68" s="388"/>
      <c r="AE68" s="546" t="s">
        <v>30683</v>
      </c>
      <c r="AF68" s="325"/>
      <c r="AG68" s="325"/>
      <c r="AH68" s="325"/>
      <c r="AI68" s="325"/>
      <c r="AJ68" s="325"/>
      <c r="AK68" s="325"/>
      <c r="AL68" s="325"/>
      <c r="AM68" s="325"/>
      <c r="AN68" s="391" t="s">
        <v>15626</v>
      </c>
      <c r="AO68" s="838">
        <f>AO8</f>
        <v>1</v>
      </c>
      <c r="AP68" s="839"/>
      <c r="AQ68" s="392">
        <f>ROUND(L68*AO68,0)</f>
        <v>2540</v>
      </c>
      <c r="AR68" s="367"/>
    </row>
    <row r="69" spans="1:44" ht="17.100000000000001" customHeight="1" x14ac:dyDescent="0.15">
      <c r="A69" s="340">
        <v>13</v>
      </c>
      <c r="B69" s="340">
        <v>1263</v>
      </c>
      <c r="C69" s="342" t="s">
        <v>30789</v>
      </c>
      <c r="D69" s="490"/>
      <c r="P69" s="387"/>
      <c r="Q69" s="547" t="s">
        <v>30685</v>
      </c>
      <c r="R69" s="396"/>
      <c r="S69" s="396"/>
      <c r="T69" s="396"/>
      <c r="U69" s="396"/>
      <c r="V69" s="396"/>
      <c r="W69" s="396"/>
      <c r="X69" s="396"/>
      <c r="Y69" s="396"/>
      <c r="Z69" s="396"/>
      <c r="AA69" s="396"/>
      <c r="AB69" s="548"/>
      <c r="AC69" s="428"/>
      <c r="AD69" s="397"/>
      <c r="AE69" s="325"/>
      <c r="AF69" s="325"/>
      <c r="AG69" s="325"/>
      <c r="AH69" s="325"/>
      <c r="AI69" s="325"/>
      <c r="AJ69" s="325"/>
      <c r="AK69" s="325"/>
      <c r="AL69" s="325"/>
      <c r="AM69" s="325"/>
      <c r="AN69" s="391"/>
      <c r="AO69" s="401"/>
      <c r="AP69" s="402"/>
      <c r="AQ69" s="392">
        <f>ROUND(L68*AB70,0)</f>
        <v>2413</v>
      </c>
      <c r="AR69" s="367"/>
    </row>
    <row r="70" spans="1:44" ht="17.100000000000001" customHeight="1" x14ac:dyDescent="0.15">
      <c r="A70" s="340">
        <v>13</v>
      </c>
      <c r="B70" s="340">
        <v>1264</v>
      </c>
      <c r="C70" s="342" t="s">
        <v>30790</v>
      </c>
      <c r="D70" s="490"/>
      <c r="P70" s="387"/>
      <c r="Q70" s="490"/>
      <c r="AA70" s="548" t="s">
        <v>15626</v>
      </c>
      <c r="AB70" s="928">
        <f>AB10</f>
        <v>0.95</v>
      </c>
      <c r="AC70" s="929"/>
      <c r="AD70" s="387"/>
      <c r="AE70" s="550" t="s">
        <v>30683</v>
      </c>
      <c r="AN70" s="548" t="s">
        <v>15626</v>
      </c>
      <c r="AO70" s="928">
        <f>AO8</f>
        <v>1</v>
      </c>
      <c r="AP70" s="930"/>
      <c r="AQ70" s="392">
        <f>ROUND(ROUND(L68*AB70,0)*AO70,0)</f>
        <v>2413</v>
      </c>
      <c r="AR70" s="367"/>
    </row>
    <row r="71" spans="1:44" ht="17.100000000000001" customHeight="1" x14ac:dyDescent="0.15">
      <c r="A71" s="311">
        <v>13</v>
      </c>
      <c r="B71" s="312" t="s">
        <v>15547</v>
      </c>
      <c r="C71" s="313" t="s">
        <v>30791</v>
      </c>
      <c r="D71" s="438" t="s">
        <v>15549</v>
      </c>
      <c r="E71" s="439"/>
      <c r="F71" s="439"/>
      <c r="G71" s="439"/>
      <c r="H71" s="439"/>
      <c r="I71" s="439"/>
      <c r="J71" s="315"/>
      <c r="K71" s="315"/>
      <c r="L71" s="315"/>
      <c r="M71" s="315"/>
      <c r="N71" s="315"/>
      <c r="O71" s="315"/>
      <c r="P71" s="315"/>
      <c r="Q71" s="315"/>
      <c r="R71" s="442"/>
      <c r="S71" s="442"/>
      <c r="T71" s="315"/>
      <c r="U71" s="315"/>
      <c r="V71" s="315"/>
      <c r="W71" s="315"/>
      <c r="X71" s="315"/>
      <c r="Y71" s="315"/>
      <c r="Z71" s="315"/>
      <c r="AA71" s="315"/>
      <c r="AB71" s="315"/>
      <c r="AC71" s="443"/>
      <c r="AD71" s="443"/>
      <c r="AE71" s="315"/>
      <c r="AF71" s="315"/>
      <c r="AG71" s="315"/>
      <c r="AH71" s="315"/>
      <c r="AI71" s="315"/>
      <c r="AJ71" s="315"/>
      <c r="AK71" s="867"/>
      <c r="AL71" s="867"/>
      <c r="AM71" s="444" t="s">
        <v>15820</v>
      </c>
      <c r="AN71" s="444"/>
      <c r="AO71" s="315"/>
      <c r="AP71" s="315"/>
      <c r="AQ71" s="362"/>
      <c r="AR71" s="551" t="s">
        <v>15551</v>
      </c>
    </row>
    <row r="72" spans="1:44" ht="17.100000000000001" customHeight="1" x14ac:dyDescent="0.15">
      <c r="A72" s="340">
        <v>13</v>
      </c>
      <c r="B72" s="341" t="s">
        <v>15560</v>
      </c>
      <c r="C72" s="342" t="s">
        <v>30792</v>
      </c>
      <c r="D72" s="447" t="s">
        <v>15562</v>
      </c>
      <c r="E72" s="448"/>
      <c r="F72" s="448"/>
      <c r="G72" s="448"/>
      <c r="H72" s="448"/>
      <c r="I72" s="448"/>
      <c r="J72" s="343"/>
      <c r="K72" s="343"/>
      <c r="L72" s="343"/>
      <c r="M72" s="343"/>
      <c r="N72" s="343"/>
      <c r="O72" s="343"/>
      <c r="P72" s="343"/>
      <c r="Q72" s="330" t="s">
        <v>15824</v>
      </c>
      <c r="R72" s="456"/>
      <c r="S72" s="456"/>
      <c r="T72" s="343"/>
      <c r="U72" s="343"/>
      <c r="V72" s="343"/>
      <c r="W72" s="343"/>
      <c r="X72" s="343"/>
      <c r="Y72" s="343"/>
      <c r="Z72" s="343"/>
      <c r="AA72" s="343"/>
      <c r="AB72" s="343"/>
      <c r="AC72" s="451"/>
      <c r="AD72" s="451"/>
      <c r="AE72" s="343"/>
      <c r="AF72" s="343"/>
      <c r="AG72" s="343"/>
      <c r="AH72" s="343"/>
      <c r="AI72" s="343"/>
      <c r="AJ72" s="343"/>
      <c r="AK72" s="877">
        <v>5</v>
      </c>
      <c r="AL72" s="877"/>
      <c r="AM72" s="348" t="s">
        <v>15825</v>
      </c>
      <c r="AN72" s="348"/>
      <c r="AO72" s="343"/>
      <c r="AP72" s="343"/>
      <c r="AQ72" s="353">
        <f>-ROUND(AK72,0)</f>
        <v>-5</v>
      </c>
      <c r="AR72" s="462" t="s">
        <v>15585</v>
      </c>
    </row>
    <row r="73" spans="1:44" ht="17.100000000000001" customHeight="1" x14ac:dyDescent="0.15">
      <c r="A73" s="340">
        <v>13</v>
      </c>
      <c r="B73" s="341">
        <v>6010</v>
      </c>
      <c r="C73" s="342" t="s">
        <v>30793</v>
      </c>
      <c r="D73" s="887" t="s">
        <v>15566</v>
      </c>
      <c r="E73" s="888"/>
      <c r="F73" s="888"/>
      <c r="G73" s="888"/>
      <c r="H73" s="888"/>
      <c r="I73" s="888"/>
      <c r="J73" s="888"/>
      <c r="K73" s="888"/>
      <c r="L73" s="888"/>
      <c r="M73" s="888"/>
      <c r="N73" s="888"/>
      <c r="O73" s="888"/>
      <c r="P73" s="889"/>
      <c r="Q73" s="343" t="s">
        <v>30655</v>
      </c>
      <c r="R73" s="456"/>
      <c r="S73" s="456"/>
      <c r="T73" s="343"/>
      <c r="U73" s="343"/>
      <c r="V73" s="343"/>
      <c r="W73" s="343"/>
      <c r="X73" s="343"/>
      <c r="Y73" s="343"/>
      <c r="Z73" s="343"/>
      <c r="AA73" s="343"/>
      <c r="AB73" s="343"/>
      <c r="AC73" s="451"/>
      <c r="AD73" s="451"/>
      <c r="AE73" s="343"/>
      <c r="AF73" s="343"/>
      <c r="AG73" s="343"/>
      <c r="AH73" s="343"/>
      <c r="AI73" s="343"/>
      <c r="AJ73" s="343"/>
      <c r="AK73" s="877"/>
      <c r="AL73" s="877"/>
      <c r="AM73" s="348" t="s">
        <v>15568</v>
      </c>
      <c r="AN73" s="348"/>
      <c r="AO73" s="343"/>
      <c r="AP73" s="343"/>
      <c r="AQ73" s="353"/>
      <c r="AR73" s="329" t="s">
        <v>15556</v>
      </c>
    </row>
    <row r="74" spans="1:44" ht="17.100000000000001" customHeight="1" x14ac:dyDescent="0.15">
      <c r="A74" s="340">
        <v>13</v>
      </c>
      <c r="B74" s="341">
        <v>6011</v>
      </c>
      <c r="C74" s="342" t="s">
        <v>30794</v>
      </c>
      <c r="D74" s="869"/>
      <c r="E74" s="870"/>
      <c r="F74" s="870"/>
      <c r="G74" s="870"/>
      <c r="H74" s="870"/>
      <c r="I74" s="870"/>
      <c r="J74" s="870"/>
      <c r="K74" s="870"/>
      <c r="L74" s="870"/>
      <c r="M74" s="870"/>
      <c r="N74" s="870"/>
      <c r="O74" s="870"/>
      <c r="P74" s="872"/>
      <c r="Q74" s="343" t="s">
        <v>30657</v>
      </c>
      <c r="R74" s="456"/>
      <c r="S74" s="456"/>
      <c r="T74" s="343"/>
      <c r="U74" s="343"/>
      <c r="V74" s="343"/>
      <c r="W74" s="343"/>
      <c r="X74" s="343"/>
      <c r="Y74" s="343"/>
      <c r="Z74" s="343"/>
      <c r="AA74" s="343"/>
      <c r="AB74" s="343"/>
      <c r="AC74" s="451"/>
      <c r="AD74" s="451"/>
      <c r="AE74" s="343"/>
      <c r="AF74" s="343"/>
      <c r="AG74" s="343"/>
      <c r="AH74" s="343"/>
      <c r="AI74" s="343"/>
      <c r="AJ74" s="343"/>
      <c r="AK74" s="877"/>
      <c r="AL74" s="877"/>
      <c r="AM74" s="348" t="s">
        <v>15568</v>
      </c>
      <c r="AN74" s="348"/>
      <c r="AO74" s="343"/>
      <c r="AP74" s="343"/>
      <c r="AQ74" s="353"/>
      <c r="AR74" s="339"/>
    </row>
    <row r="75" spans="1:44" ht="16.5" customHeight="1" x14ac:dyDescent="0.15">
      <c r="A75" s="340">
        <v>13</v>
      </c>
      <c r="B75" s="341">
        <v>6012</v>
      </c>
      <c r="C75" s="342" t="s">
        <v>30795</v>
      </c>
      <c r="D75" s="869"/>
      <c r="E75" s="870"/>
      <c r="F75" s="870"/>
      <c r="G75" s="870"/>
      <c r="H75" s="870"/>
      <c r="I75" s="870"/>
      <c r="J75" s="870"/>
      <c r="K75" s="870"/>
      <c r="L75" s="870"/>
      <c r="M75" s="870"/>
      <c r="N75" s="870"/>
      <c r="O75" s="870"/>
      <c r="P75" s="872"/>
      <c r="Q75" s="343" t="s">
        <v>30659</v>
      </c>
      <c r="R75" s="456"/>
      <c r="S75" s="456"/>
      <c r="T75" s="343"/>
      <c r="U75" s="343"/>
      <c r="V75" s="343"/>
      <c r="W75" s="343"/>
      <c r="X75" s="343"/>
      <c r="Y75" s="343"/>
      <c r="Z75" s="343"/>
      <c r="AA75" s="343"/>
      <c r="AB75" s="343"/>
      <c r="AC75" s="451"/>
      <c r="AD75" s="451"/>
      <c r="AE75" s="343"/>
      <c r="AF75" s="343"/>
      <c r="AG75" s="343"/>
      <c r="AH75" s="343"/>
      <c r="AI75" s="343"/>
      <c r="AJ75" s="343"/>
      <c r="AK75" s="877"/>
      <c r="AL75" s="877"/>
      <c r="AM75" s="348" t="s">
        <v>15568</v>
      </c>
      <c r="AN75" s="348"/>
      <c r="AO75" s="343"/>
      <c r="AP75" s="343"/>
      <c r="AQ75" s="353"/>
      <c r="AR75" s="339"/>
    </row>
    <row r="76" spans="1:44" ht="16.5" customHeight="1" x14ac:dyDescent="0.15">
      <c r="A76" s="340">
        <v>13</v>
      </c>
      <c r="B76" s="341">
        <v>6013</v>
      </c>
      <c r="C76" s="342" t="s">
        <v>30796</v>
      </c>
      <c r="D76" s="873"/>
      <c r="E76" s="874"/>
      <c r="F76" s="874"/>
      <c r="G76" s="874"/>
      <c r="H76" s="874"/>
      <c r="I76" s="874"/>
      <c r="J76" s="874"/>
      <c r="K76" s="874"/>
      <c r="L76" s="874"/>
      <c r="M76" s="874"/>
      <c r="N76" s="874"/>
      <c r="O76" s="874"/>
      <c r="P76" s="876"/>
      <c r="Q76" s="343" t="s">
        <v>30661</v>
      </c>
      <c r="R76" s="456"/>
      <c r="S76" s="456"/>
      <c r="T76" s="343"/>
      <c r="U76" s="343"/>
      <c r="V76" s="343"/>
      <c r="W76" s="343"/>
      <c r="X76" s="343"/>
      <c r="Y76" s="343"/>
      <c r="Z76" s="343"/>
      <c r="AA76" s="343"/>
      <c r="AB76" s="343"/>
      <c r="AC76" s="451"/>
      <c r="AD76" s="451"/>
      <c r="AE76" s="343"/>
      <c r="AF76" s="343"/>
      <c r="AG76" s="343"/>
      <c r="AH76" s="343"/>
      <c r="AI76" s="343"/>
      <c r="AJ76" s="343"/>
      <c r="AK76" s="877"/>
      <c r="AL76" s="877"/>
      <c r="AM76" s="348" t="s">
        <v>15568</v>
      </c>
      <c r="AN76" s="348"/>
      <c r="AO76" s="343"/>
      <c r="AP76" s="343"/>
      <c r="AQ76" s="353"/>
      <c r="AR76" s="339"/>
    </row>
    <row r="77" spans="1:44" ht="17.100000000000001" customHeight="1" x14ac:dyDescent="0.15">
      <c r="A77" s="340">
        <v>13</v>
      </c>
      <c r="B77" s="341">
        <v>6015</v>
      </c>
      <c r="C77" s="342" t="s">
        <v>30797</v>
      </c>
      <c r="D77" s="345" t="s">
        <v>15576</v>
      </c>
      <c r="E77" s="334"/>
      <c r="F77" s="334"/>
      <c r="G77" s="334"/>
      <c r="H77" s="334"/>
      <c r="I77" s="334"/>
      <c r="J77" s="343"/>
      <c r="K77" s="343"/>
      <c r="L77" s="343"/>
      <c r="M77" s="343"/>
      <c r="N77" s="343"/>
      <c r="O77" s="343"/>
      <c r="P77" s="343"/>
      <c r="Q77" s="343"/>
      <c r="R77" s="456"/>
      <c r="S77" s="456"/>
      <c r="T77" s="343"/>
      <c r="U77" s="343"/>
      <c r="V77" s="343"/>
      <c r="W77" s="343"/>
      <c r="X77" s="343"/>
      <c r="Y77" s="343"/>
      <c r="Z77" s="343"/>
      <c r="AA77" s="343"/>
      <c r="AB77" s="343"/>
      <c r="AC77" s="451"/>
      <c r="AD77" s="451"/>
      <c r="AE77" s="343"/>
      <c r="AF77" s="343"/>
      <c r="AG77" s="343"/>
      <c r="AH77" s="343"/>
      <c r="AI77" s="343"/>
      <c r="AJ77" s="343"/>
      <c r="AK77" s="877"/>
      <c r="AL77" s="877"/>
      <c r="AM77" s="348" t="s">
        <v>15568</v>
      </c>
      <c r="AN77" s="348"/>
      <c r="AO77" s="343"/>
      <c r="AP77" s="343"/>
      <c r="AQ77" s="353"/>
      <c r="AR77" s="333"/>
    </row>
    <row r="78" spans="1:44" s="309" customFormat="1" ht="17.100000000000001" customHeight="1" x14ac:dyDescent="0.15">
      <c r="A78" s="340">
        <v>13</v>
      </c>
      <c r="B78" s="341">
        <v>6025</v>
      </c>
      <c r="C78" s="342" t="s">
        <v>30798</v>
      </c>
      <c r="D78" s="887" t="s">
        <v>15578</v>
      </c>
      <c r="E78" s="888"/>
      <c r="F78" s="888"/>
      <c r="G78" s="888"/>
      <c r="H78" s="888"/>
      <c r="I78" s="888"/>
      <c r="J78" s="888"/>
      <c r="K78" s="888"/>
      <c r="L78" s="888"/>
      <c r="M78" s="888"/>
      <c r="N78" s="888"/>
      <c r="O78" s="888"/>
      <c r="P78" s="889"/>
      <c r="Q78" s="330"/>
      <c r="R78" s="456"/>
      <c r="S78" s="456"/>
      <c r="T78" s="343"/>
      <c r="U78" s="343"/>
      <c r="V78" s="343"/>
      <c r="W78" s="343"/>
      <c r="X78" s="343"/>
      <c r="Y78" s="343"/>
      <c r="Z78" s="343"/>
      <c r="AA78" s="343"/>
      <c r="AB78" s="343"/>
      <c r="AC78" s="451"/>
      <c r="AD78" s="451"/>
      <c r="AE78" s="343"/>
      <c r="AF78" s="343"/>
      <c r="AG78" s="343"/>
      <c r="AH78" s="343"/>
      <c r="AI78" s="343"/>
      <c r="AJ78" s="343"/>
      <c r="AK78" s="877">
        <v>100</v>
      </c>
      <c r="AL78" s="877"/>
      <c r="AM78" s="348" t="s">
        <v>15568</v>
      </c>
      <c r="AN78" s="348"/>
      <c r="AO78" s="343"/>
      <c r="AP78" s="343"/>
      <c r="AQ78" s="353">
        <f>ROUND(AK78,0)</f>
        <v>100</v>
      </c>
      <c r="AR78" s="339" t="s">
        <v>15833</v>
      </c>
    </row>
    <row r="79" spans="1:44" s="309" customFormat="1" ht="17.100000000000001" customHeight="1" x14ac:dyDescent="0.15">
      <c r="A79" s="340">
        <v>13</v>
      </c>
      <c r="B79" s="341">
        <v>6026</v>
      </c>
      <c r="C79" s="342" t="s">
        <v>30799</v>
      </c>
      <c r="D79" s="873"/>
      <c r="E79" s="874"/>
      <c r="F79" s="874"/>
      <c r="G79" s="874"/>
      <c r="H79" s="874"/>
      <c r="I79" s="874"/>
      <c r="J79" s="874"/>
      <c r="K79" s="874"/>
      <c r="L79" s="874"/>
      <c r="M79" s="874"/>
      <c r="N79" s="874"/>
      <c r="O79" s="874"/>
      <c r="P79" s="876"/>
      <c r="Q79" s="447" t="s">
        <v>15581</v>
      </c>
      <c r="R79" s="456"/>
      <c r="S79" s="456"/>
      <c r="T79" s="343"/>
      <c r="U79" s="343"/>
      <c r="V79" s="343"/>
      <c r="W79" s="343"/>
      <c r="X79" s="343"/>
      <c r="Y79" s="343"/>
      <c r="Z79" s="343"/>
      <c r="AA79" s="343"/>
      <c r="AB79" s="343"/>
      <c r="AC79" s="451"/>
      <c r="AD79" s="451"/>
      <c r="AE79" s="343"/>
      <c r="AF79" s="343"/>
      <c r="AG79" s="343"/>
      <c r="AH79" s="343"/>
      <c r="AI79" s="343"/>
      <c r="AJ79" s="343"/>
      <c r="AK79" s="877">
        <v>50</v>
      </c>
      <c r="AL79" s="877"/>
      <c r="AM79" s="348" t="s">
        <v>15568</v>
      </c>
      <c r="AN79" s="348"/>
      <c r="AO79" s="343"/>
      <c r="AP79" s="343"/>
      <c r="AQ79" s="353">
        <f>ROUND(AK78,0)+ROUND(AK79,0)</f>
        <v>150</v>
      </c>
      <c r="AR79" s="333"/>
    </row>
    <row r="80" spans="1:44" s="309" customFormat="1" ht="17.100000000000001" customHeight="1" x14ac:dyDescent="0.15">
      <c r="A80" s="340">
        <v>13</v>
      </c>
      <c r="B80" s="341">
        <v>6100</v>
      </c>
      <c r="C80" s="342" t="s">
        <v>30800</v>
      </c>
      <c r="D80" s="330" t="s">
        <v>15583</v>
      </c>
      <c r="E80" s="334"/>
      <c r="F80" s="334"/>
      <c r="G80" s="334"/>
      <c r="H80" s="334"/>
      <c r="I80" s="334"/>
      <c r="J80" s="343"/>
      <c r="K80" s="343"/>
      <c r="L80" s="343"/>
      <c r="M80" s="343"/>
      <c r="N80" s="343"/>
      <c r="O80" s="343"/>
      <c r="P80" s="343"/>
      <c r="Q80" s="343"/>
      <c r="R80" s="456"/>
      <c r="S80" s="456"/>
      <c r="T80" s="343"/>
      <c r="U80" s="343"/>
      <c r="V80" s="343"/>
      <c r="W80" s="343"/>
      <c r="X80" s="343"/>
      <c r="Y80" s="343"/>
      <c r="Z80" s="343"/>
      <c r="AA80" s="343"/>
      <c r="AB80" s="343"/>
      <c r="AC80" s="451"/>
      <c r="AD80" s="451"/>
      <c r="AE80" s="343"/>
      <c r="AF80" s="343"/>
      <c r="AG80" s="343"/>
      <c r="AH80" s="343"/>
      <c r="AI80" s="343"/>
      <c r="AJ80" s="343"/>
      <c r="AK80" s="877">
        <v>100</v>
      </c>
      <c r="AL80" s="877"/>
      <c r="AM80" s="460" t="s">
        <v>15568</v>
      </c>
      <c r="AN80" s="343"/>
      <c r="AO80" s="343"/>
      <c r="AP80" s="407"/>
      <c r="AQ80" s="353">
        <f>ROUND(AK80,0)</f>
        <v>100</v>
      </c>
      <c r="AR80" s="462" t="s">
        <v>15585</v>
      </c>
    </row>
    <row r="81" spans="1:46" s="309" customFormat="1" ht="17.100000000000001" customHeight="1" x14ac:dyDescent="0.15">
      <c r="A81" s="340">
        <v>13</v>
      </c>
      <c r="B81" s="341">
        <v>6020</v>
      </c>
      <c r="C81" s="342" t="s">
        <v>30801</v>
      </c>
      <c r="D81" s="345" t="s">
        <v>15837</v>
      </c>
      <c r="E81" s="334"/>
      <c r="F81" s="334"/>
      <c r="G81" s="334"/>
      <c r="H81" s="334"/>
      <c r="I81" s="334"/>
      <c r="J81" s="343"/>
      <c r="K81" s="343"/>
      <c r="L81" s="343"/>
      <c r="M81" s="343"/>
      <c r="N81" s="343"/>
      <c r="O81" s="343"/>
      <c r="P81" s="343"/>
      <c r="Q81" s="343"/>
      <c r="R81" s="456"/>
      <c r="S81" s="456"/>
      <c r="T81" s="343"/>
      <c r="U81" s="343"/>
      <c r="V81" s="343"/>
      <c r="W81" s="343"/>
      <c r="X81" s="343"/>
      <c r="Y81" s="343"/>
      <c r="Z81" s="343"/>
      <c r="AA81" s="343"/>
      <c r="AB81" s="343"/>
      <c r="AC81" s="451"/>
      <c r="AD81" s="451"/>
      <c r="AE81" s="343"/>
      <c r="AF81" s="343"/>
      <c r="AG81" s="343"/>
      <c r="AH81" s="343"/>
      <c r="AI81" s="343"/>
      <c r="AJ81" s="343"/>
      <c r="AK81" s="877">
        <v>200</v>
      </c>
      <c r="AL81" s="877"/>
      <c r="AM81" s="348" t="s">
        <v>15568</v>
      </c>
      <c r="AN81" s="348"/>
      <c r="AO81" s="343"/>
      <c r="AP81" s="343"/>
      <c r="AQ81" s="353">
        <f t="shared" ref="AQ81:AQ83" si="0">ROUND(AK81,0)</f>
        <v>200</v>
      </c>
      <c r="AR81" s="329" t="s">
        <v>15598</v>
      </c>
    </row>
    <row r="82" spans="1:46" ht="17.100000000000001" customHeight="1" x14ac:dyDescent="0.15">
      <c r="A82" s="340">
        <v>13</v>
      </c>
      <c r="B82" s="340">
        <v>5010</v>
      </c>
      <c r="C82" s="342" t="s">
        <v>30802</v>
      </c>
      <c r="D82" s="396" t="s">
        <v>15591</v>
      </c>
      <c r="E82" s="400"/>
      <c r="F82" s="396"/>
      <c r="G82" s="396"/>
      <c r="H82" s="396"/>
      <c r="I82" s="396"/>
      <c r="J82" s="396"/>
      <c r="K82" s="396"/>
      <c r="L82" s="396"/>
      <c r="M82" s="396"/>
      <c r="N82" s="396"/>
      <c r="O82" s="396"/>
      <c r="P82" s="396"/>
      <c r="Q82" s="343"/>
      <c r="R82" s="343"/>
      <c r="S82" s="343"/>
      <c r="T82" s="343"/>
      <c r="U82" s="343"/>
      <c r="V82" s="343"/>
      <c r="W82" s="343"/>
      <c r="X82" s="343"/>
      <c r="Y82" s="343"/>
      <c r="Z82" s="343"/>
      <c r="AA82" s="343"/>
      <c r="AB82" s="343"/>
      <c r="AC82" s="343"/>
      <c r="AD82" s="343"/>
      <c r="AE82" s="343"/>
      <c r="AF82" s="343"/>
      <c r="AG82" s="343"/>
      <c r="AH82" s="343"/>
      <c r="AI82" s="343"/>
      <c r="AJ82" s="343"/>
      <c r="AK82" s="877">
        <v>150</v>
      </c>
      <c r="AL82" s="877"/>
      <c r="AM82" s="460" t="s">
        <v>15568</v>
      </c>
      <c r="AN82" s="343"/>
      <c r="AO82" s="343"/>
      <c r="AP82" s="407"/>
      <c r="AQ82" s="353">
        <f t="shared" si="0"/>
        <v>150</v>
      </c>
      <c r="AR82" s="329" t="s">
        <v>15588</v>
      </c>
    </row>
    <row r="83" spans="1:46" ht="17.100000000000001" customHeight="1" x14ac:dyDescent="0.15">
      <c r="A83" s="340">
        <v>13</v>
      </c>
      <c r="B83" s="340">
        <v>6720</v>
      </c>
      <c r="C83" s="342" t="s">
        <v>30803</v>
      </c>
      <c r="D83" s="396" t="s">
        <v>30804</v>
      </c>
      <c r="E83" s="400"/>
      <c r="F83" s="396"/>
      <c r="G83" s="396"/>
      <c r="H83" s="396"/>
      <c r="I83" s="396"/>
      <c r="J83" s="396"/>
      <c r="K83" s="396"/>
      <c r="L83" s="396"/>
      <c r="M83" s="396"/>
      <c r="N83" s="396"/>
      <c r="O83" s="396"/>
      <c r="P83" s="396"/>
      <c r="Q83" s="343"/>
      <c r="R83" s="343"/>
      <c r="S83" s="343"/>
      <c r="T83" s="343"/>
      <c r="U83" s="343"/>
      <c r="V83" s="343"/>
      <c r="W83" s="343"/>
      <c r="X83" s="343"/>
      <c r="Y83" s="343"/>
      <c r="Z83" s="343"/>
      <c r="AA83" s="343"/>
      <c r="AB83" s="343"/>
      <c r="AC83" s="343"/>
      <c r="AD83" s="343"/>
      <c r="AE83" s="343"/>
      <c r="AF83" s="343"/>
      <c r="AG83" s="343"/>
      <c r="AH83" s="343"/>
      <c r="AI83" s="343"/>
      <c r="AJ83" s="343"/>
      <c r="AK83" s="877">
        <v>273</v>
      </c>
      <c r="AL83" s="877"/>
      <c r="AM83" s="460" t="s">
        <v>15568</v>
      </c>
      <c r="AN83" s="343"/>
      <c r="AO83" s="343"/>
      <c r="AP83" s="407"/>
      <c r="AQ83" s="353">
        <f t="shared" si="0"/>
        <v>273</v>
      </c>
      <c r="AR83" s="329" t="s">
        <v>15589</v>
      </c>
    </row>
    <row r="84" spans="1:46" ht="17.100000000000001" customHeight="1" x14ac:dyDescent="0.15">
      <c r="A84" s="340">
        <v>13</v>
      </c>
      <c r="B84" s="341">
        <v>6715</v>
      </c>
      <c r="C84" s="390" t="s">
        <v>30805</v>
      </c>
      <c r="D84" s="552" t="s">
        <v>15596</v>
      </c>
      <c r="E84" s="553"/>
      <c r="F84" s="553"/>
      <c r="G84" s="553"/>
      <c r="H84" s="553"/>
      <c r="I84" s="553"/>
      <c r="J84" s="553"/>
      <c r="K84" s="553"/>
      <c r="L84" s="553"/>
      <c r="M84" s="553"/>
      <c r="N84" s="553"/>
      <c r="O84" s="553"/>
      <c r="P84" s="554"/>
      <c r="Q84" s="474" t="s">
        <v>15597</v>
      </c>
      <c r="R84" s="343"/>
      <c r="S84" s="343"/>
      <c r="T84" s="454"/>
      <c r="U84" s="454"/>
      <c r="V84" s="455"/>
      <c r="W84" s="456"/>
      <c r="X84" s="456"/>
      <c r="Y84" s="343"/>
      <c r="Z84" s="343"/>
      <c r="AA84" s="343"/>
      <c r="AB84" s="343"/>
      <c r="AC84" s="343"/>
      <c r="AD84" s="343"/>
      <c r="AE84" s="343"/>
      <c r="AF84" s="343"/>
      <c r="AG84" s="343"/>
      <c r="AH84" s="343"/>
      <c r="AI84" s="391"/>
      <c r="AJ84" s="536"/>
      <c r="AK84" s="343"/>
      <c r="AL84" s="331"/>
      <c r="AM84" s="348" t="s">
        <v>15568</v>
      </c>
      <c r="AN84" s="348"/>
      <c r="AO84" s="343"/>
      <c r="AP84" s="343"/>
      <c r="AQ84" s="353"/>
      <c r="AR84" s="329" t="s">
        <v>15598</v>
      </c>
      <c r="AT84" s="377"/>
    </row>
    <row r="85" spans="1:46" ht="17.100000000000001" customHeight="1" x14ac:dyDescent="0.15">
      <c r="A85" s="340">
        <v>13</v>
      </c>
      <c r="B85" s="341">
        <v>6710</v>
      </c>
      <c r="C85" s="390" t="s">
        <v>30806</v>
      </c>
      <c r="D85" s="555"/>
      <c r="E85" s="556"/>
      <c r="F85" s="556"/>
      <c r="G85" s="556"/>
      <c r="H85" s="556"/>
      <c r="I85" s="556"/>
      <c r="J85" s="556"/>
      <c r="K85" s="556"/>
      <c r="L85" s="556"/>
      <c r="M85" s="556"/>
      <c r="N85" s="556"/>
      <c r="O85" s="556"/>
      <c r="P85" s="557"/>
      <c r="Q85" s="338" t="s">
        <v>15600</v>
      </c>
      <c r="R85" s="343"/>
      <c r="S85" s="343"/>
      <c r="T85" s="454"/>
      <c r="U85" s="454"/>
      <c r="V85" s="455"/>
      <c r="W85" s="456"/>
      <c r="X85" s="456"/>
      <c r="Y85" s="343"/>
      <c r="Z85" s="343"/>
      <c r="AA85" s="343"/>
      <c r="AB85" s="343"/>
      <c r="AC85" s="343"/>
      <c r="AD85" s="343"/>
      <c r="AE85" s="343"/>
      <c r="AF85" s="343"/>
      <c r="AG85" s="343"/>
      <c r="AH85" s="343"/>
      <c r="AI85" s="455"/>
      <c r="AJ85" s="536"/>
      <c r="AK85" s="343"/>
      <c r="AL85" s="331"/>
      <c r="AM85" s="348" t="s">
        <v>15568</v>
      </c>
      <c r="AN85" s="348"/>
      <c r="AO85" s="343"/>
      <c r="AP85" s="343"/>
      <c r="AQ85" s="335"/>
      <c r="AR85" s="339"/>
      <c r="AT85" s="377"/>
    </row>
    <row r="86" spans="1:46" ht="17.100000000000001" customHeight="1" x14ac:dyDescent="0.15">
      <c r="A86" s="340">
        <v>13</v>
      </c>
      <c r="B86" s="341">
        <v>6665</v>
      </c>
      <c r="C86" s="390" t="s">
        <v>30807</v>
      </c>
      <c r="D86" s="555"/>
      <c r="E86" s="556"/>
      <c r="F86" s="556"/>
      <c r="G86" s="556"/>
      <c r="H86" s="556"/>
      <c r="I86" s="556"/>
      <c r="J86" s="556"/>
      <c r="K86" s="556"/>
      <c r="L86" s="556"/>
      <c r="M86" s="556"/>
      <c r="N86" s="556"/>
      <c r="O86" s="556"/>
      <c r="P86" s="557"/>
      <c r="Q86" s="338" t="s">
        <v>15602</v>
      </c>
      <c r="R86" s="343"/>
      <c r="S86" s="343"/>
      <c r="T86" s="454"/>
      <c r="U86" s="454"/>
      <c r="V86" s="455"/>
      <c r="W86" s="456"/>
      <c r="X86" s="456"/>
      <c r="Y86" s="343"/>
      <c r="Z86" s="343"/>
      <c r="AA86" s="343"/>
      <c r="AB86" s="343"/>
      <c r="AC86" s="343"/>
      <c r="AD86" s="343"/>
      <c r="AE86" s="343"/>
      <c r="AF86" s="343"/>
      <c r="AG86" s="343"/>
      <c r="AH86" s="343"/>
      <c r="AI86" s="391"/>
      <c r="AJ86" s="536"/>
      <c r="AK86" s="343"/>
      <c r="AL86" s="331"/>
      <c r="AM86" s="348" t="s">
        <v>15568</v>
      </c>
      <c r="AN86" s="348"/>
      <c r="AO86" s="343"/>
      <c r="AP86" s="343"/>
      <c r="AQ86" s="353"/>
      <c r="AR86" s="339"/>
      <c r="AT86" s="377"/>
    </row>
    <row r="87" spans="1:46" ht="17.100000000000001" customHeight="1" x14ac:dyDescent="0.15">
      <c r="A87" s="311">
        <v>13</v>
      </c>
      <c r="B87" s="312">
        <v>6670</v>
      </c>
      <c r="C87" s="558" t="s">
        <v>30808</v>
      </c>
      <c r="D87" s="555"/>
      <c r="E87" s="556"/>
      <c r="F87" s="556"/>
      <c r="G87" s="556"/>
      <c r="H87" s="556"/>
      <c r="I87" s="556"/>
      <c r="J87" s="556"/>
      <c r="K87" s="556"/>
      <c r="L87" s="556"/>
      <c r="M87" s="556"/>
      <c r="N87" s="556"/>
      <c r="O87" s="556"/>
      <c r="P87" s="557"/>
      <c r="Q87" s="360" t="s">
        <v>15604</v>
      </c>
      <c r="R87" s="315"/>
      <c r="S87" s="315"/>
      <c r="T87" s="440"/>
      <c r="U87" s="440"/>
      <c r="V87" s="441"/>
      <c r="W87" s="442"/>
      <c r="X87" s="442"/>
      <c r="Y87" s="315"/>
      <c r="Z87" s="315"/>
      <c r="AA87" s="315"/>
      <c r="AB87" s="315"/>
      <c r="AC87" s="315"/>
      <c r="AD87" s="315"/>
      <c r="AE87" s="315"/>
      <c r="AF87" s="315"/>
      <c r="AG87" s="315"/>
      <c r="AH87" s="315"/>
      <c r="AI87" s="537"/>
      <c r="AJ87" s="538"/>
      <c r="AK87" s="315"/>
      <c r="AL87" s="317"/>
      <c r="AM87" s="444" t="s">
        <v>15568</v>
      </c>
      <c r="AN87" s="444"/>
      <c r="AO87" s="315"/>
      <c r="AP87" s="315"/>
      <c r="AQ87" s="362"/>
      <c r="AR87" s="339"/>
      <c r="AT87" s="377"/>
    </row>
    <row r="88" spans="1:46" ht="17.100000000000001" customHeight="1" x14ac:dyDescent="0.15">
      <c r="A88" s="311">
        <v>13</v>
      </c>
      <c r="B88" s="312">
        <v>6675</v>
      </c>
      <c r="C88" s="558" t="s">
        <v>30809</v>
      </c>
      <c r="D88" s="559"/>
      <c r="E88" s="560"/>
      <c r="F88" s="560"/>
      <c r="G88" s="560"/>
      <c r="H88" s="560"/>
      <c r="I88" s="560"/>
      <c r="J88" s="560"/>
      <c r="K88" s="560"/>
      <c r="L88" s="560"/>
      <c r="M88" s="560"/>
      <c r="N88" s="560"/>
      <c r="O88" s="560"/>
      <c r="P88" s="561"/>
      <c r="Q88" s="360" t="s">
        <v>15606</v>
      </c>
      <c r="R88" s="315"/>
      <c r="S88" s="315"/>
      <c r="T88" s="440"/>
      <c r="U88" s="440"/>
      <c r="V88" s="441"/>
      <c r="W88" s="442"/>
      <c r="X88" s="442"/>
      <c r="Y88" s="315"/>
      <c r="Z88" s="315"/>
      <c r="AA88" s="315"/>
      <c r="AB88" s="315"/>
      <c r="AC88" s="315"/>
      <c r="AD88" s="315"/>
      <c r="AE88" s="315"/>
      <c r="AF88" s="315"/>
      <c r="AG88" s="315"/>
      <c r="AH88" s="315"/>
      <c r="AI88" s="537"/>
      <c r="AJ88" s="538"/>
      <c r="AK88" s="315"/>
      <c r="AL88" s="317"/>
      <c r="AM88" s="444" t="s">
        <v>15568</v>
      </c>
      <c r="AN88" s="444"/>
      <c r="AO88" s="315"/>
      <c r="AP88" s="315"/>
      <c r="AQ88" s="362"/>
      <c r="AR88" s="339"/>
      <c r="AT88" s="377"/>
    </row>
    <row r="89" spans="1:46" ht="17.100000000000001" customHeight="1" x14ac:dyDescent="0.15">
      <c r="A89" s="311">
        <v>13</v>
      </c>
      <c r="B89" s="311">
        <v>6685</v>
      </c>
      <c r="C89" s="313" t="s">
        <v>30810</v>
      </c>
      <c r="D89" s="562" t="s">
        <v>15608</v>
      </c>
      <c r="E89" s="563"/>
      <c r="F89" s="364"/>
      <c r="G89" s="364"/>
      <c r="H89" s="364"/>
      <c r="I89" s="364"/>
      <c r="J89" s="364"/>
      <c r="K89" s="364"/>
      <c r="L89" s="364"/>
      <c r="M89" s="364"/>
      <c r="N89" s="364"/>
      <c r="O89" s="364"/>
      <c r="P89" s="364"/>
      <c r="Q89" s="315"/>
      <c r="R89" s="315"/>
      <c r="S89" s="315"/>
      <c r="T89" s="315"/>
      <c r="U89" s="315"/>
      <c r="V89" s="315"/>
      <c r="W89" s="315"/>
      <c r="X89" s="315"/>
      <c r="Y89" s="315"/>
      <c r="Z89" s="315"/>
      <c r="AA89" s="472"/>
      <c r="AB89" s="472"/>
      <c r="AC89" s="315"/>
      <c r="AD89" s="315"/>
      <c r="AE89" s="315"/>
      <c r="AF89" s="315"/>
      <c r="AG89" s="315"/>
      <c r="AH89" s="315"/>
      <c r="AI89" s="537"/>
      <c r="AJ89" s="538"/>
      <c r="AK89" s="315"/>
      <c r="AL89" s="317"/>
      <c r="AM89" s="473" t="s">
        <v>15584</v>
      </c>
      <c r="AN89" s="315"/>
      <c r="AO89" s="315"/>
      <c r="AP89" s="315"/>
      <c r="AQ89" s="362"/>
      <c r="AR89" s="354"/>
    </row>
    <row r="90" spans="1:46" ht="17.100000000000001" customHeight="1" x14ac:dyDescent="0.15">
      <c r="A90" s="340">
        <v>13</v>
      </c>
      <c r="B90" s="340">
        <v>6772</v>
      </c>
      <c r="C90" s="342" t="s">
        <v>30811</v>
      </c>
      <c r="D90" s="887" t="s">
        <v>30812</v>
      </c>
      <c r="E90" s="888"/>
      <c r="F90" s="888"/>
      <c r="G90" s="888"/>
      <c r="H90" s="888"/>
      <c r="I90" s="888"/>
      <c r="J90" s="888"/>
      <c r="K90" s="888"/>
      <c r="L90" s="888"/>
      <c r="M90" s="888"/>
      <c r="N90" s="888"/>
      <c r="O90" s="888"/>
      <c r="P90" s="889"/>
      <c r="Q90" s="474" t="s">
        <v>15851</v>
      </c>
      <c r="R90" s="343"/>
      <c r="S90" s="343"/>
      <c r="T90" s="454"/>
      <c r="U90" s="454"/>
      <c r="V90" s="455"/>
      <c r="W90" s="456"/>
      <c r="X90" s="456"/>
      <c r="Y90" s="343"/>
      <c r="Z90" s="343"/>
      <c r="AA90" s="343"/>
      <c r="AB90" s="459"/>
      <c r="AC90" s="343"/>
      <c r="AD90" s="343"/>
      <c r="AE90" s="343"/>
      <c r="AF90" s="343"/>
      <c r="AG90" s="343"/>
      <c r="AH90" s="343"/>
      <c r="AI90" s="391"/>
      <c r="AJ90" s="536"/>
      <c r="AK90" s="343"/>
      <c r="AL90" s="331"/>
      <c r="AM90" s="461" t="s">
        <v>15584</v>
      </c>
      <c r="AN90" s="343"/>
      <c r="AO90" s="343"/>
      <c r="AP90" s="343"/>
      <c r="AQ90" s="353"/>
      <c r="AR90" s="354"/>
    </row>
    <row r="91" spans="1:46" ht="17.100000000000001" customHeight="1" x14ac:dyDescent="0.15">
      <c r="A91" s="340">
        <v>13</v>
      </c>
      <c r="B91" s="340">
        <v>6773</v>
      </c>
      <c r="C91" s="342" t="s">
        <v>30813</v>
      </c>
      <c r="D91" s="873"/>
      <c r="E91" s="874"/>
      <c r="F91" s="874"/>
      <c r="G91" s="874"/>
      <c r="H91" s="874"/>
      <c r="I91" s="874"/>
      <c r="J91" s="874"/>
      <c r="K91" s="874"/>
      <c r="L91" s="874"/>
      <c r="M91" s="874"/>
      <c r="N91" s="874"/>
      <c r="O91" s="874"/>
      <c r="P91" s="876"/>
      <c r="Q91" s="338" t="s">
        <v>15853</v>
      </c>
      <c r="R91" s="343"/>
      <c r="S91" s="343"/>
      <c r="T91" s="343"/>
      <c r="U91" s="343"/>
      <c r="V91" s="343"/>
      <c r="W91" s="343"/>
      <c r="X91" s="343"/>
      <c r="Y91" s="343"/>
      <c r="Z91" s="343"/>
      <c r="AA91" s="459"/>
      <c r="AB91" s="459"/>
      <c r="AC91" s="343"/>
      <c r="AD91" s="343"/>
      <c r="AE91" s="343"/>
      <c r="AF91" s="343"/>
      <c r="AG91" s="343"/>
      <c r="AH91" s="343"/>
      <c r="AI91" s="391"/>
      <c r="AJ91" s="536"/>
      <c r="AK91" s="343"/>
      <c r="AL91" s="331"/>
      <c r="AM91" s="461" t="s">
        <v>15584</v>
      </c>
      <c r="AN91" s="343"/>
      <c r="AO91" s="343"/>
      <c r="AP91" s="343"/>
      <c r="AQ91" s="353"/>
      <c r="AR91" s="354"/>
    </row>
    <row r="92" spans="1:46" ht="17.100000000000001" customHeight="1" x14ac:dyDescent="0.15">
      <c r="A92" s="369">
        <v>13</v>
      </c>
      <c r="B92" s="475">
        <v>6766</v>
      </c>
      <c r="C92" s="370" t="s">
        <v>30814</v>
      </c>
      <c r="D92" s="564" t="s">
        <v>15615</v>
      </c>
      <c r="E92" s="540"/>
      <c r="F92" s="540"/>
      <c r="G92" s="540"/>
      <c r="H92" s="540"/>
      <c r="I92" s="540"/>
      <c r="J92" s="372"/>
      <c r="K92" s="372"/>
      <c r="L92" s="372"/>
      <c r="M92" s="372"/>
      <c r="N92" s="372"/>
      <c r="O92" s="372"/>
      <c r="P92" s="372"/>
      <c r="Q92" s="372"/>
      <c r="R92" s="543"/>
      <c r="S92" s="543"/>
      <c r="T92" s="372"/>
      <c r="U92" s="372"/>
      <c r="V92" s="372"/>
      <c r="W92" s="372"/>
      <c r="X92" s="372"/>
      <c r="Y92" s="372"/>
      <c r="Z92" s="372"/>
      <c r="AA92" s="372"/>
      <c r="AB92" s="372"/>
      <c r="AC92" s="481"/>
      <c r="AD92" s="481"/>
      <c r="AE92" s="372"/>
      <c r="AF92" s="372"/>
      <c r="AG92" s="372"/>
      <c r="AH92" s="372"/>
      <c r="AI92" s="372"/>
      <c r="AJ92" s="372"/>
      <c r="AK92" s="925"/>
      <c r="AL92" s="925"/>
      <c r="AM92" s="544" t="s">
        <v>15568</v>
      </c>
      <c r="AN92" s="544"/>
      <c r="AO92" s="372"/>
      <c r="AP92" s="372"/>
      <c r="AQ92" s="486"/>
      <c r="AR92" s="333"/>
    </row>
  </sheetData>
  <mergeCells count="82">
    <mergeCell ref="AK83:AL83"/>
    <mergeCell ref="D90:P91"/>
    <mergeCell ref="AK92:AL92"/>
    <mergeCell ref="D78:P79"/>
    <mergeCell ref="AK78:AL78"/>
    <mergeCell ref="AK79:AL79"/>
    <mergeCell ref="AK80:AL80"/>
    <mergeCell ref="AK81:AL81"/>
    <mergeCell ref="AK82:AL82"/>
    <mergeCell ref="AK77:AL77"/>
    <mergeCell ref="L68:N68"/>
    <mergeCell ref="AO68:AP68"/>
    <mergeCell ref="AB70:AC70"/>
    <mergeCell ref="AO70:AP70"/>
    <mergeCell ref="AK71:AL71"/>
    <mergeCell ref="AK72:AL72"/>
    <mergeCell ref="D73:P76"/>
    <mergeCell ref="AK73:AL73"/>
    <mergeCell ref="AK74:AL74"/>
    <mergeCell ref="AK75:AL75"/>
    <mergeCell ref="AK76:AL76"/>
    <mergeCell ref="AB62:AC62"/>
    <mergeCell ref="AO62:AP62"/>
    <mergeCell ref="L64:N64"/>
    <mergeCell ref="AO64:AP64"/>
    <mergeCell ref="AB66:AC66"/>
    <mergeCell ref="AO66:AP66"/>
    <mergeCell ref="L56:N56"/>
    <mergeCell ref="AO56:AP56"/>
    <mergeCell ref="AB58:AC58"/>
    <mergeCell ref="AO58:AP58"/>
    <mergeCell ref="L60:N60"/>
    <mergeCell ref="AO60:AP60"/>
    <mergeCell ref="AB50:AC50"/>
    <mergeCell ref="AO50:AP50"/>
    <mergeCell ref="L52:N52"/>
    <mergeCell ref="AO52:AP52"/>
    <mergeCell ref="AB54:AC54"/>
    <mergeCell ref="AO54:AP54"/>
    <mergeCell ref="L44:N44"/>
    <mergeCell ref="AO44:AP44"/>
    <mergeCell ref="AB46:AC46"/>
    <mergeCell ref="AO46:AP46"/>
    <mergeCell ref="L48:N48"/>
    <mergeCell ref="AO48:AP48"/>
    <mergeCell ref="AB38:AC38"/>
    <mergeCell ref="AO38:AP38"/>
    <mergeCell ref="L40:N40"/>
    <mergeCell ref="AO40:AP40"/>
    <mergeCell ref="AB42:AC42"/>
    <mergeCell ref="AO42:AP42"/>
    <mergeCell ref="L32:N32"/>
    <mergeCell ref="AO32:AP32"/>
    <mergeCell ref="AB34:AC34"/>
    <mergeCell ref="AO34:AP34"/>
    <mergeCell ref="L36:N36"/>
    <mergeCell ref="AO36:AP36"/>
    <mergeCell ref="AB26:AC26"/>
    <mergeCell ref="AO26:AP26"/>
    <mergeCell ref="L28:N28"/>
    <mergeCell ref="AO28:AP28"/>
    <mergeCell ref="AB30:AC30"/>
    <mergeCell ref="AO30:AP30"/>
    <mergeCell ref="L20:N20"/>
    <mergeCell ref="AO20:AP20"/>
    <mergeCell ref="AB22:AC22"/>
    <mergeCell ref="AO22:AP22"/>
    <mergeCell ref="L24:N24"/>
    <mergeCell ref="AO24:AP24"/>
    <mergeCell ref="AB14:AC14"/>
    <mergeCell ref="AO14:AP14"/>
    <mergeCell ref="L16:N16"/>
    <mergeCell ref="AO16:AP16"/>
    <mergeCell ref="AB18:AC18"/>
    <mergeCell ref="AO18:AP18"/>
    <mergeCell ref="L12:N12"/>
    <mergeCell ref="AO12:AP12"/>
    <mergeCell ref="D5:AP5"/>
    <mergeCell ref="L8:N8"/>
    <mergeCell ref="AO8:AP8"/>
    <mergeCell ref="AB10:AC10"/>
    <mergeCell ref="AO10:AP10"/>
  </mergeCells>
  <phoneticPr fontId="1"/>
  <printOptions horizontalCentered="1"/>
  <pageMargins left="0.59055118110236227" right="0.19685039370078741" top="0.59055118110236227" bottom="0.39370078740157483" header="0.51181102362204722" footer="0.31496062992125984"/>
  <pageSetup paperSize="9" scale="50" orientation="portrait" r:id="rId1"/>
  <headerFooter>
    <oddHeader>&amp;R&amp;9行動援護</oddHeader>
    <oddFooter>&amp;C&amp;14&amp;P</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1">
    <tabColor rgb="FFFFFF00"/>
    <pageSetUpPr autoPageBreaks="0" fitToPage="1"/>
  </sheetPr>
  <dimension ref="A1:AV166"/>
  <sheetViews>
    <sheetView view="pageBreakPreview" zoomScaleNormal="100" zoomScaleSheetLayoutView="100" workbookViewId="0"/>
  </sheetViews>
  <sheetFormatPr defaultColWidth="9" defaultRowHeight="17.100000000000001" customHeight="1" x14ac:dyDescent="0.15"/>
  <cols>
    <col min="1" max="1" width="4.5" style="151" customWidth="1"/>
    <col min="2" max="2" width="7.5" style="151" customWidth="1"/>
    <col min="3" max="3" width="30.5" style="152" customWidth="1"/>
    <col min="4" max="9" width="2.5" style="151" customWidth="1"/>
    <col min="10" max="14" width="2.5" style="152" customWidth="1"/>
    <col min="15" max="17" width="2.5" style="151" customWidth="1"/>
    <col min="18" max="21" width="2.5" style="533" customWidth="1"/>
    <col min="22" max="26" width="2.5" style="151" customWidth="1"/>
    <col min="27" max="27" width="2.875" style="151" customWidth="1"/>
    <col min="28" max="28" width="2.5" style="151" customWidth="1"/>
    <col min="29" max="29" width="2.5" style="533" customWidth="1"/>
    <col min="30" max="30" width="3.125" style="533" customWidth="1"/>
    <col min="31" max="33" width="2.5" style="533" customWidth="1"/>
    <col min="34" max="43" width="2.5" style="151" customWidth="1"/>
    <col min="44" max="44" width="3.125" style="151" customWidth="1"/>
    <col min="45" max="45" width="7.125" style="151" customWidth="1"/>
    <col min="46" max="46" width="8.5" style="151" customWidth="1"/>
    <col min="47" max="47" width="2.875" style="151" customWidth="1"/>
    <col min="48" max="16384" width="9" style="151"/>
  </cols>
  <sheetData>
    <row r="1" spans="1:46" ht="17.100000000000001" customHeight="1" x14ac:dyDescent="0.15">
      <c r="A1" s="376"/>
    </row>
    <row r="2" spans="1:46" ht="17.100000000000001" customHeight="1" x14ac:dyDescent="0.15">
      <c r="A2" s="376" t="s">
        <v>30815</v>
      </c>
    </row>
    <row r="3" spans="1:46" ht="17.100000000000001" customHeight="1" x14ac:dyDescent="0.15">
      <c r="A3" s="376"/>
    </row>
    <row r="5" spans="1:46" ht="17.100000000000001" customHeight="1" x14ac:dyDescent="0.15">
      <c r="A5" s="300" t="s">
        <v>15540</v>
      </c>
      <c r="B5" s="565"/>
      <c r="C5" s="302" t="s">
        <v>15541</v>
      </c>
      <c r="D5" s="846" t="s">
        <v>15618</v>
      </c>
      <c r="E5" s="939"/>
      <c r="F5" s="939"/>
      <c r="G5" s="939"/>
      <c r="H5" s="939"/>
      <c r="I5" s="939"/>
      <c r="J5" s="939"/>
      <c r="K5" s="939"/>
      <c r="L5" s="939"/>
      <c r="M5" s="939"/>
      <c r="N5" s="939"/>
      <c r="O5" s="939"/>
      <c r="P5" s="939"/>
      <c r="Q5" s="939"/>
      <c r="R5" s="939"/>
      <c r="S5" s="939"/>
      <c r="T5" s="939"/>
      <c r="U5" s="939"/>
      <c r="V5" s="939"/>
      <c r="W5" s="939"/>
      <c r="X5" s="939"/>
      <c r="Y5" s="939"/>
      <c r="Z5" s="939"/>
      <c r="AA5" s="939"/>
      <c r="AB5" s="939"/>
      <c r="AC5" s="939"/>
      <c r="AD5" s="939"/>
      <c r="AE5" s="939"/>
      <c r="AF5" s="939"/>
      <c r="AG5" s="939"/>
      <c r="AH5" s="939"/>
      <c r="AI5" s="939"/>
      <c r="AJ5" s="939"/>
      <c r="AK5" s="939"/>
      <c r="AL5" s="939"/>
      <c r="AM5" s="939"/>
      <c r="AN5" s="939"/>
      <c r="AO5" s="939"/>
      <c r="AP5" s="939"/>
      <c r="AQ5" s="939"/>
      <c r="AR5" s="940"/>
      <c r="AS5" s="306" t="s">
        <v>15543</v>
      </c>
      <c r="AT5" s="306" t="s">
        <v>15544</v>
      </c>
    </row>
    <row r="6" spans="1:46" ht="17.100000000000001" customHeight="1" x14ac:dyDescent="0.15">
      <c r="A6" s="379" t="s">
        <v>15545</v>
      </c>
      <c r="B6" s="379" t="s">
        <v>30816</v>
      </c>
      <c r="C6" s="381"/>
      <c r="D6" s="382"/>
      <c r="E6" s="383"/>
      <c r="F6" s="383"/>
      <c r="G6" s="383"/>
      <c r="H6" s="383"/>
      <c r="I6" s="383"/>
      <c r="J6" s="383"/>
      <c r="K6" s="383"/>
      <c r="L6" s="383"/>
      <c r="M6" s="383"/>
      <c r="N6" s="383"/>
      <c r="O6" s="383"/>
      <c r="P6" s="449"/>
      <c r="Q6" s="449"/>
      <c r="R6" s="449"/>
      <c r="S6" s="449"/>
      <c r="T6" s="383"/>
      <c r="U6" s="383"/>
      <c r="V6" s="383"/>
      <c r="W6" s="383"/>
      <c r="X6" s="383"/>
      <c r="Y6" s="383"/>
      <c r="Z6" s="383"/>
      <c r="AA6" s="449"/>
      <c r="AB6" s="449"/>
      <c r="AC6" s="449"/>
      <c r="AD6" s="449"/>
      <c r="AE6" s="449"/>
      <c r="AF6" s="383"/>
      <c r="AG6" s="383"/>
      <c r="AH6" s="383"/>
      <c r="AI6" s="383"/>
      <c r="AJ6" s="383"/>
      <c r="AK6" s="383"/>
      <c r="AL6" s="383"/>
      <c r="AM6" s="383"/>
      <c r="AN6" s="383"/>
      <c r="AO6" s="383"/>
      <c r="AP6" s="383"/>
      <c r="AQ6" s="383"/>
      <c r="AR6" s="383"/>
      <c r="AS6" s="384" t="s">
        <v>391</v>
      </c>
      <c r="AT6" s="384" t="s">
        <v>392</v>
      </c>
    </row>
    <row r="7" spans="1:46" ht="17.100000000000001" customHeight="1" x14ac:dyDescent="0.15">
      <c r="A7" s="321">
        <v>21</v>
      </c>
      <c r="B7" s="322">
        <v>1111</v>
      </c>
      <c r="C7" s="323" t="s">
        <v>30817</v>
      </c>
      <c r="D7" s="941" t="s">
        <v>30818</v>
      </c>
      <c r="E7" s="942"/>
      <c r="F7" s="941" t="s">
        <v>30819</v>
      </c>
      <c r="G7" s="942"/>
      <c r="H7" s="864" t="s">
        <v>30820</v>
      </c>
      <c r="I7" s="865"/>
      <c r="J7" s="865"/>
      <c r="K7" s="865"/>
      <c r="L7" s="866"/>
      <c r="N7" s="566"/>
      <c r="R7" s="151"/>
      <c r="S7" s="151"/>
      <c r="T7" s="151"/>
      <c r="U7" s="469"/>
      <c r="V7" s="470"/>
      <c r="W7" s="470"/>
      <c r="X7" s="470"/>
      <c r="Y7" s="417"/>
      <c r="Z7" s="417"/>
      <c r="AA7" s="325"/>
      <c r="AB7" s="325"/>
      <c r="AC7" s="391"/>
      <c r="AD7" s="391"/>
      <c r="AE7" s="391"/>
      <c r="AF7" s="391"/>
      <c r="AG7" s="391"/>
      <c r="AH7" s="325"/>
      <c r="AI7" s="325"/>
      <c r="AJ7" s="325"/>
      <c r="AK7" s="325"/>
      <c r="AL7" s="325"/>
      <c r="AM7" s="325"/>
      <c r="AN7" s="325"/>
      <c r="AO7" s="325"/>
      <c r="AP7" s="325"/>
      <c r="AQ7" s="325"/>
      <c r="AR7" s="388"/>
      <c r="AS7" s="488">
        <f>ROUND(I10,0)</f>
        <v>965</v>
      </c>
      <c r="AT7" s="339" t="s">
        <v>30681</v>
      </c>
    </row>
    <row r="8" spans="1:46" ht="17.100000000000001" customHeight="1" x14ac:dyDescent="0.15">
      <c r="A8" s="340">
        <v>21</v>
      </c>
      <c r="B8" s="341">
        <v>1112</v>
      </c>
      <c r="C8" s="342" t="s">
        <v>30821</v>
      </c>
      <c r="D8" s="943"/>
      <c r="E8" s="944"/>
      <c r="F8" s="943"/>
      <c r="G8" s="944"/>
      <c r="H8" s="864"/>
      <c r="I8" s="865"/>
      <c r="J8" s="865"/>
      <c r="K8" s="865"/>
      <c r="L8" s="866"/>
      <c r="N8" s="566"/>
      <c r="O8" s="566"/>
      <c r="P8" s="566"/>
      <c r="Q8" s="566"/>
      <c r="R8" s="566"/>
      <c r="S8" s="152"/>
      <c r="T8" s="152"/>
      <c r="U8" s="861" t="s">
        <v>30822</v>
      </c>
      <c r="V8" s="862"/>
      <c r="W8" s="862"/>
      <c r="X8" s="862"/>
      <c r="Y8" s="862"/>
      <c r="Z8" s="863"/>
      <c r="AA8" s="934" t="s">
        <v>30823</v>
      </c>
      <c r="AB8" s="935"/>
      <c r="AC8" s="935"/>
      <c r="AD8" s="935"/>
      <c r="AE8" s="935"/>
      <c r="AF8" s="935"/>
      <c r="AG8" s="935"/>
      <c r="AH8" s="935"/>
      <c r="AI8" s="935"/>
      <c r="AJ8" s="935"/>
      <c r="AK8" s="935"/>
      <c r="AL8" s="391" t="s">
        <v>15626</v>
      </c>
      <c r="AM8" s="838">
        <v>0.7</v>
      </c>
      <c r="AN8" s="838"/>
      <c r="AO8" s="325"/>
      <c r="AP8" s="325"/>
      <c r="AQ8" s="325"/>
      <c r="AR8" s="388"/>
      <c r="AS8" s="392">
        <f>ROUND(I10*AM8,0)</f>
        <v>676</v>
      </c>
      <c r="AT8" s="339"/>
    </row>
    <row r="9" spans="1:46" ht="17.100000000000001" customHeight="1" x14ac:dyDescent="0.15">
      <c r="A9" s="340">
        <v>21</v>
      </c>
      <c r="B9" s="341">
        <v>2001</v>
      </c>
      <c r="C9" s="342" t="s">
        <v>30824</v>
      </c>
      <c r="D9" s="943"/>
      <c r="E9" s="944"/>
      <c r="F9" s="943"/>
      <c r="G9" s="944"/>
      <c r="H9" s="490"/>
      <c r="J9" s="151"/>
      <c r="K9" s="151"/>
      <c r="L9" s="495"/>
      <c r="M9" s="325"/>
      <c r="N9" s="449"/>
      <c r="O9" s="449"/>
      <c r="P9" s="449"/>
      <c r="Q9" s="449"/>
      <c r="R9" s="449"/>
      <c r="S9" s="325"/>
      <c r="T9" s="325"/>
      <c r="U9" s="931"/>
      <c r="V9" s="932"/>
      <c r="W9" s="932"/>
      <c r="X9" s="932"/>
      <c r="Y9" s="932"/>
      <c r="Z9" s="933"/>
      <c r="AA9" s="934" t="s">
        <v>30825</v>
      </c>
      <c r="AB9" s="935"/>
      <c r="AC9" s="935"/>
      <c r="AD9" s="935"/>
      <c r="AE9" s="935"/>
      <c r="AF9" s="935"/>
      <c r="AG9" s="935"/>
      <c r="AH9" s="935"/>
      <c r="AI9" s="935"/>
      <c r="AJ9" s="935"/>
      <c r="AK9" s="935"/>
      <c r="AL9" s="455" t="s">
        <v>15626</v>
      </c>
      <c r="AM9" s="938">
        <v>0.5</v>
      </c>
      <c r="AN9" s="938"/>
      <c r="AO9" s="343"/>
      <c r="AP9" s="343"/>
      <c r="AQ9" s="343"/>
      <c r="AR9" s="407"/>
      <c r="AS9" s="392">
        <f>ROUND(I10*AM9,0)</f>
        <v>483</v>
      </c>
      <c r="AT9" s="339"/>
    </row>
    <row r="10" spans="1:46" ht="17.100000000000001" customHeight="1" x14ac:dyDescent="0.15">
      <c r="A10" s="340">
        <v>21</v>
      </c>
      <c r="B10" s="341">
        <v>1113</v>
      </c>
      <c r="C10" s="342" t="s">
        <v>30826</v>
      </c>
      <c r="D10" s="943"/>
      <c r="E10" s="944"/>
      <c r="F10" s="943"/>
      <c r="G10" s="944"/>
      <c r="H10" s="490"/>
      <c r="I10" s="836">
        <v>965</v>
      </c>
      <c r="J10" s="836"/>
      <c r="K10" s="152" t="s">
        <v>15624</v>
      </c>
      <c r="L10" s="387"/>
      <c r="M10" s="862" t="s">
        <v>30827</v>
      </c>
      <c r="N10" s="862"/>
      <c r="O10" s="862"/>
      <c r="P10" s="862"/>
      <c r="Q10" s="862"/>
      <c r="R10" s="862"/>
      <c r="S10" s="862"/>
      <c r="T10" s="863"/>
      <c r="U10" s="567"/>
      <c r="V10" s="568"/>
      <c r="W10" s="568"/>
      <c r="X10" s="568"/>
      <c r="Y10" s="459"/>
      <c r="Z10" s="459"/>
      <c r="AA10" s="343"/>
      <c r="AB10" s="343"/>
      <c r="AC10" s="455"/>
      <c r="AD10" s="455"/>
      <c r="AE10" s="455"/>
      <c r="AF10" s="455"/>
      <c r="AG10" s="455"/>
      <c r="AH10" s="343"/>
      <c r="AI10" s="343"/>
      <c r="AJ10" s="343"/>
      <c r="AK10" s="343"/>
      <c r="AL10" s="343"/>
      <c r="AM10" s="343"/>
      <c r="AN10" s="343"/>
      <c r="AO10" s="343"/>
      <c r="AP10" s="343"/>
      <c r="AQ10" s="343"/>
      <c r="AR10" s="407"/>
      <c r="AS10" s="392">
        <f>ROUND(I10*S12,0)</f>
        <v>931</v>
      </c>
      <c r="AT10" s="339"/>
    </row>
    <row r="11" spans="1:46" ht="17.100000000000001" customHeight="1" x14ac:dyDescent="0.15">
      <c r="A11" s="340">
        <v>21</v>
      </c>
      <c r="B11" s="341">
        <v>1114</v>
      </c>
      <c r="C11" s="342" t="s">
        <v>30828</v>
      </c>
      <c r="D11" s="943"/>
      <c r="E11" s="944"/>
      <c r="F11" s="943"/>
      <c r="G11" s="944"/>
      <c r="H11" s="490"/>
      <c r="I11" s="152"/>
      <c r="L11" s="387"/>
      <c r="M11" s="865"/>
      <c r="N11" s="865"/>
      <c r="O11" s="865"/>
      <c r="P11" s="865"/>
      <c r="Q11" s="865"/>
      <c r="R11" s="865"/>
      <c r="S11" s="865"/>
      <c r="T11" s="866"/>
      <c r="U11" s="861" t="s">
        <v>30822</v>
      </c>
      <c r="V11" s="862"/>
      <c r="W11" s="862"/>
      <c r="X11" s="862"/>
      <c r="Y11" s="862"/>
      <c r="Z11" s="863"/>
      <c r="AA11" s="934" t="s">
        <v>30823</v>
      </c>
      <c r="AB11" s="935"/>
      <c r="AC11" s="935"/>
      <c r="AD11" s="935"/>
      <c r="AE11" s="935"/>
      <c r="AF11" s="935"/>
      <c r="AG11" s="935"/>
      <c r="AH11" s="935"/>
      <c r="AI11" s="935"/>
      <c r="AJ11" s="935"/>
      <c r="AK11" s="935"/>
      <c r="AL11" s="391" t="s">
        <v>15626</v>
      </c>
      <c r="AM11" s="838">
        <f>$AM$8</f>
        <v>0.7</v>
      </c>
      <c r="AN11" s="838"/>
      <c r="AO11" s="325"/>
      <c r="AP11" s="325"/>
      <c r="AQ11" s="325"/>
      <c r="AR11" s="388"/>
      <c r="AS11" s="392">
        <f>ROUND(ROUND(I10*S12,0)*AM11,0)</f>
        <v>652</v>
      </c>
      <c r="AT11" s="339"/>
    </row>
    <row r="12" spans="1:46" ht="17.100000000000001" customHeight="1" x14ac:dyDescent="0.15">
      <c r="A12" s="340">
        <v>21</v>
      </c>
      <c r="B12" s="341">
        <v>2002</v>
      </c>
      <c r="C12" s="342" t="s">
        <v>30829</v>
      </c>
      <c r="D12" s="943"/>
      <c r="E12" s="944"/>
      <c r="F12" s="943"/>
      <c r="G12" s="944"/>
      <c r="H12" s="324"/>
      <c r="I12" s="325"/>
      <c r="J12" s="325"/>
      <c r="K12" s="325"/>
      <c r="L12" s="388"/>
      <c r="M12" s="338"/>
      <c r="N12" s="338"/>
      <c r="O12" s="338"/>
      <c r="P12" s="338"/>
      <c r="Q12" s="338"/>
      <c r="R12" s="391" t="s">
        <v>15626</v>
      </c>
      <c r="S12" s="936">
        <v>0.96499999999999997</v>
      </c>
      <c r="T12" s="937"/>
      <c r="U12" s="931"/>
      <c r="V12" s="932"/>
      <c r="W12" s="932"/>
      <c r="X12" s="932"/>
      <c r="Y12" s="932"/>
      <c r="Z12" s="933"/>
      <c r="AA12" s="934" t="s">
        <v>30825</v>
      </c>
      <c r="AB12" s="935"/>
      <c r="AC12" s="935"/>
      <c r="AD12" s="935"/>
      <c r="AE12" s="935"/>
      <c r="AF12" s="935"/>
      <c r="AG12" s="935"/>
      <c r="AH12" s="935"/>
      <c r="AI12" s="935"/>
      <c r="AJ12" s="935"/>
      <c r="AK12" s="935"/>
      <c r="AL12" s="455" t="s">
        <v>15626</v>
      </c>
      <c r="AM12" s="938">
        <f>$AM$9</f>
        <v>0.5</v>
      </c>
      <c r="AN12" s="938"/>
      <c r="AO12" s="343"/>
      <c r="AP12" s="343"/>
      <c r="AQ12" s="343"/>
      <c r="AR12" s="407"/>
      <c r="AS12" s="392">
        <f>ROUND(ROUND(I10*S12,0)*AM12,0)</f>
        <v>466</v>
      </c>
      <c r="AT12" s="339"/>
    </row>
    <row r="13" spans="1:46" ht="17.100000000000001" customHeight="1" x14ac:dyDescent="0.15">
      <c r="A13" s="340">
        <v>21</v>
      </c>
      <c r="B13" s="341">
        <v>1121</v>
      </c>
      <c r="C13" s="342" t="s">
        <v>30830</v>
      </c>
      <c r="D13" s="943"/>
      <c r="E13" s="944"/>
      <c r="F13" s="943"/>
      <c r="G13" s="944"/>
      <c r="H13" s="864" t="s">
        <v>30831</v>
      </c>
      <c r="I13" s="865"/>
      <c r="J13" s="865"/>
      <c r="K13" s="865"/>
      <c r="L13" s="866"/>
      <c r="M13" s="396"/>
      <c r="N13" s="569"/>
      <c r="O13" s="400"/>
      <c r="P13" s="400"/>
      <c r="Q13" s="400"/>
      <c r="R13" s="400"/>
      <c r="S13" s="400"/>
      <c r="T13" s="429"/>
      <c r="U13" s="567"/>
      <c r="V13" s="568"/>
      <c r="W13" s="568"/>
      <c r="X13" s="568"/>
      <c r="Y13" s="459"/>
      <c r="Z13" s="459"/>
      <c r="AA13" s="343"/>
      <c r="AB13" s="343"/>
      <c r="AC13" s="455"/>
      <c r="AD13" s="455"/>
      <c r="AE13" s="455"/>
      <c r="AF13" s="455"/>
      <c r="AG13" s="455"/>
      <c r="AH13" s="343"/>
      <c r="AI13" s="343"/>
      <c r="AJ13" s="343"/>
      <c r="AK13" s="343"/>
      <c r="AL13" s="343"/>
      <c r="AM13" s="343"/>
      <c r="AN13" s="343"/>
      <c r="AO13" s="343"/>
      <c r="AP13" s="343"/>
      <c r="AQ13" s="343"/>
      <c r="AR13" s="407"/>
      <c r="AS13" s="392">
        <f>ROUND(I16,0)</f>
        <v>939</v>
      </c>
      <c r="AT13" s="339"/>
    </row>
    <row r="14" spans="1:46" ht="17.100000000000001" customHeight="1" x14ac:dyDescent="0.15">
      <c r="A14" s="340">
        <v>21</v>
      </c>
      <c r="B14" s="341">
        <v>1122</v>
      </c>
      <c r="C14" s="342" t="s">
        <v>30832</v>
      </c>
      <c r="D14" s="943"/>
      <c r="E14" s="944"/>
      <c r="F14" s="943"/>
      <c r="G14" s="944"/>
      <c r="H14" s="864"/>
      <c r="I14" s="865"/>
      <c r="J14" s="865"/>
      <c r="K14" s="865"/>
      <c r="L14" s="866"/>
      <c r="N14" s="566"/>
      <c r="O14" s="566"/>
      <c r="P14" s="566"/>
      <c r="Q14" s="566"/>
      <c r="R14" s="566"/>
      <c r="S14" s="152"/>
      <c r="T14" s="387"/>
      <c r="U14" s="861" t="s">
        <v>30822</v>
      </c>
      <c r="V14" s="862"/>
      <c r="W14" s="862"/>
      <c r="X14" s="862"/>
      <c r="Y14" s="862"/>
      <c r="Z14" s="863"/>
      <c r="AA14" s="934" t="s">
        <v>30823</v>
      </c>
      <c r="AB14" s="935"/>
      <c r="AC14" s="935"/>
      <c r="AD14" s="935"/>
      <c r="AE14" s="935"/>
      <c r="AF14" s="935"/>
      <c r="AG14" s="935"/>
      <c r="AH14" s="935"/>
      <c r="AI14" s="935"/>
      <c r="AJ14" s="935"/>
      <c r="AK14" s="935"/>
      <c r="AL14" s="391" t="s">
        <v>15626</v>
      </c>
      <c r="AM14" s="838">
        <f>$AM$8</f>
        <v>0.7</v>
      </c>
      <c r="AN14" s="838"/>
      <c r="AO14" s="325"/>
      <c r="AP14" s="325"/>
      <c r="AQ14" s="325"/>
      <c r="AR14" s="388"/>
      <c r="AS14" s="392">
        <f>ROUND(I16*AM14,0)</f>
        <v>657</v>
      </c>
      <c r="AT14" s="339"/>
    </row>
    <row r="15" spans="1:46" ht="17.100000000000001" customHeight="1" x14ac:dyDescent="0.15">
      <c r="A15" s="340">
        <v>21</v>
      </c>
      <c r="B15" s="341">
        <v>2009</v>
      </c>
      <c r="C15" s="342" t="s">
        <v>30833</v>
      </c>
      <c r="D15" s="943"/>
      <c r="E15" s="944"/>
      <c r="F15" s="943"/>
      <c r="G15" s="944"/>
      <c r="H15" s="570"/>
      <c r="I15" s="571"/>
      <c r="J15" s="571"/>
      <c r="K15" s="571"/>
      <c r="L15" s="572"/>
      <c r="M15" s="325"/>
      <c r="N15" s="449"/>
      <c r="O15" s="449"/>
      <c r="P15" s="449"/>
      <c r="Q15" s="449"/>
      <c r="R15" s="449"/>
      <c r="S15" s="325"/>
      <c r="T15" s="388"/>
      <c r="U15" s="931"/>
      <c r="V15" s="932"/>
      <c r="W15" s="932"/>
      <c r="X15" s="932"/>
      <c r="Y15" s="932"/>
      <c r="Z15" s="933"/>
      <c r="AA15" s="934" t="s">
        <v>30825</v>
      </c>
      <c r="AB15" s="935"/>
      <c r="AC15" s="935"/>
      <c r="AD15" s="935"/>
      <c r="AE15" s="935"/>
      <c r="AF15" s="935"/>
      <c r="AG15" s="935"/>
      <c r="AH15" s="935"/>
      <c r="AI15" s="935"/>
      <c r="AJ15" s="935"/>
      <c r="AK15" s="935"/>
      <c r="AL15" s="455" t="s">
        <v>15626</v>
      </c>
      <c r="AM15" s="938">
        <f>$AM$9</f>
        <v>0.5</v>
      </c>
      <c r="AN15" s="938"/>
      <c r="AO15" s="343"/>
      <c r="AP15" s="343"/>
      <c r="AQ15" s="343"/>
      <c r="AR15" s="407"/>
      <c r="AS15" s="392">
        <f>ROUND(I16*AM15,0)</f>
        <v>470</v>
      </c>
      <c r="AT15" s="339"/>
    </row>
    <row r="16" spans="1:46" ht="17.100000000000001" customHeight="1" x14ac:dyDescent="0.15">
      <c r="A16" s="340">
        <v>21</v>
      </c>
      <c r="B16" s="341">
        <v>1123</v>
      </c>
      <c r="C16" s="342" t="s">
        <v>30834</v>
      </c>
      <c r="D16" s="943"/>
      <c r="E16" s="944"/>
      <c r="F16" s="943"/>
      <c r="G16" s="944"/>
      <c r="H16" s="490"/>
      <c r="I16" s="836">
        <v>939</v>
      </c>
      <c r="J16" s="836"/>
      <c r="K16" s="152" t="s">
        <v>15624</v>
      </c>
      <c r="L16" s="387"/>
      <c r="M16" s="862" t="s">
        <v>30827</v>
      </c>
      <c r="N16" s="862"/>
      <c r="O16" s="862"/>
      <c r="P16" s="862"/>
      <c r="Q16" s="862"/>
      <c r="R16" s="862"/>
      <c r="S16" s="862"/>
      <c r="T16" s="863"/>
      <c r="U16" s="567"/>
      <c r="V16" s="568"/>
      <c r="W16" s="568"/>
      <c r="X16" s="568"/>
      <c r="Y16" s="459"/>
      <c r="Z16" s="459"/>
      <c r="AA16" s="343"/>
      <c r="AB16" s="343"/>
      <c r="AC16" s="455"/>
      <c r="AD16" s="455"/>
      <c r="AE16" s="455"/>
      <c r="AF16" s="455"/>
      <c r="AG16" s="455"/>
      <c r="AH16" s="343"/>
      <c r="AI16" s="343"/>
      <c r="AJ16" s="343"/>
      <c r="AK16" s="343"/>
      <c r="AL16" s="343"/>
      <c r="AM16" s="343"/>
      <c r="AN16" s="343"/>
      <c r="AO16" s="343"/>
      <c r="AP16" s="343"/>
      <c r="AQ16" s="343"/>
      <c r="AR16" s="407"/>
      <c r="AS16" s="392">
        <f>ROUND(I16*S18,0)</f>
        <v>906</v>
      </c>
      <c r="AT16" s="339"/>
    </row>
    <row r="17" spans="1:46" ht="17.100000000000001" customHeight="1" x14ac:dyDescent="0.15">
      <c r="A17" s="340">
        <v>21</v>
      </c>
      <c r="B17" s="341">
        <v>1124</v>
      </c>
      <c r="C17" s="342" t="s">
        <v>30835</v>
      </c>
      <c r="D17" s="943"/>
      <c r="E17" s="944"/>
      <c r="F17" s="943"/>
      <c r="G17" s="944"/>
      <c r="H17" s="490"/>
      <c r="I17" s="152"/>
      <c r="L17" s="387"/>
      <c r="M17" s="865"/>
      <c r="N17" s="865"/>
      <c r="O17" s="865"/>
      <c r="P17" s="865"/>
      <c r="Q17" s="865"/>
      <c r="R17" s="865"/>
      <c r="S17" s="865"/>
      <c r="T17" s="866"/>
      <c r="U17" s="861" t="s">
        <v>30822</v>
      </c>
      <c r="V17" s="862"/>
      <c r="W17" s="862"/>
      <c r="X17" s="862"/>
      <c r="Y17" s="862"/>
      <c r="Z17" s="863"/>
      <c r="AA17" s="934" t="s">
        <v>30823</v>
      </c>
      <c r="AB17" s="935"/>
      <c r="AC17" s="935"/>
      <c r="AD17" s="935"/>
      <c r="AE17" s="935"/>
      <c r="AF17" s="935"/>
      <c r="AG17" s="935"/>
      <c r="AH17" s="935"/>
      <c r="AI17" s="935"/>
      <c r="AJ17" s="935"/>
      <c r="AK17" s="935"/>
      <c r="AL17" s="391" t="s">
        <v>15626</v>
      </c>
      <c r="AM17" s="838">
        <f>$AM$8</f>
        <v>0.7</v>
      </c>
      <c r="AN17" s="838"/>
      <c r="AO17" s="325"/>
      <c r="AP17" s="325"/>
      <c r="AQ17" s="325"/>
      <c r="AR17" s="388"/>
      <c r="AS17" s="392">
        <f>ROUND(ROUND(I16*S18,0)*AM17,0)</f>
        <v>634</v>
      </c>
      <c r="AT17" s="339"/>
    </row>
    <row r="18" spans="1:46" ht="17.100000000000001" customHeight="1" x14ac:dyDescent="0.15">
      <c r="A18" s="340">
        <v>21</v>
      </c>
      <c r="B18" s="341">
        <v>2010</v>
      </c>
      <c r="C18" s="342" t="s">
        <v>30836</v>
      </c>
      <c r="D18" s="943"/>
      <c r="E18" s="944"/>
      <c r="F18" s="943"/>
      <c r="G18" s="944"/>
      <c r="H18" s="490"/>
      <c r="I18" s="152"/>
      <c r="L18" s="387"/>
      <c r="M18" s="338"/>
      <c r="N18" s="338"/>
      <c r="O18" s="338"/>
      <c r="P18" s="338"/>
      <c r="Q18" s="338"/>
      <c r="R18" s="391" t="s">
        <v>15626</v>
      </c>
      <c r="S18" s="936">
        <f>$S$12</f>
        <v>0.96499999999999997</v>
      </c>
      <c r="T18" s="937"/>
      <c r="U18" s="931"/>
      <c r="V18" s="932"/>
      <c r="W18" s="932"/>
      <c r="X18" s="932"/>
      <c r="Y18" s="932"/>
      <c r="Z18" s="933"/>
      <c r="AA18" s="934" t="s">
        <v>30825</v>
      </c>
      <c r="AB18" s="935"/>
      <c r="AC18" s="935"/>
      <c r="AD18" s="935"/>
      <c r="AE18" s="935"/>
      <c r="AF18" s="935"/>
      <c r="AG18" s="935"/>
      <c r="AH18" s="935"/>
      <c r="AI18" s="935"/>
      <c r="AJ18" s="935"/>
      <c r="AK18" s="935"/>
      <c r="AL18" s="455" t="s">
        <v>15626</v>
      </c>
      <c r="AM18" s="938">
        <f>$AM$9</f>
        <v>0.5</v>
      </c>
      <c r="AN18" s="938"/>
      <c r="AO18" s="343"/>
      <c r="AP18" s="343"/>
      <c r="AQ18" s="343"/>
      <c r="AR18" s="407"/>
      <c r="AS18" s="392">
        <f>ROUND(ROUND(I16*S18,0)*AM18,0)</f>
        <v>453</v>
      </c>
      <c r="AT18" s="339"/>
    </row>
    <row r="19" spans="1:46" ht="17.100000000000001" customHeight="1" x14ac:dyDescent="0.15">
      <c r="A19" s="340">
        <v>21</v>
      </c>
      <c r="B19" s="341">
        <v>1131</v>
      </c>
      <c r="C19" s="342" t="s">
        <v>30837</v>
      </c>
      <c r="D19" s="423"/>
      <c r="E19" s="424"/>
      <c r="F19" s="423"/>
      <c r="G19" s="424"/>
      <c r="H19" s="861" t="s">
        <v>30838</v>
      </c>
      <c r="I19" s="862"/>
      <c r="J19" s="862"/>
      <c r="K19" s="862"/>
      <c r="L19" s="863"/>
      <c r="M19" s="396"/>
      <c r="N19" s="569"/>
      <c r="O19" s="400"/>
      <c r="P19" s="400"/>
      <c r="Q19" s="400"/>
      <c r="R19" s="400"/>
      <c r="S19" s="400"/>
      <c r="T19" s="429"/>
      <c r="U19" s="567"/>
      <c r="V19" s="568"/>
      <c r="W19" s="568"/>
      <c r="X19" s="568"/>
      <c r="Y19" s="459"/>
      <c r="Z19" s="459"/>
      <c r="AA19" s="343"/>
      <c r="AB19" s="343"/>
      <c r="AC19" s="455"/>
      <c r="AD19" s="455"/>
      <c r="AE19" s="455"/>
      <c r="AF19" s="455"/>
      <c r="AG19" s="455"/>
      <c r="AH19" s="343"/>
      <c r="AI19" s="343"/>
      <c r="AJ19" s="343"/>
      <c r="AK19" s="343"/>
      <c r="AL19" s="343"/>
      <c r="AM19" s="343"/>
      <c r="AN19" s="343"/>
      <c r="AO19" s="343"/>
      <c r="AP19" s="343"/>
      <c r="AQ19" s="343"/>
      <c r="AR19" s="407"/>
      <c r="AS19" s="392">
        <f>ROUND(I22,0)</f>
        <v>891</v>
      </c>
      <c r="AT19" s="339"/>
    </row>
    <row r="20" spans="1:46" ht="17.100000000000001" customHeight="1" x14ac:dyDescent="0.15">
      <c r="A20" s="340">
        <v>21</v>
      </c>
      <c r="B20" s="341">
        <v>1132</v>
      </c>
      <c r="C20" s="342" t="s">
        <v>30839</v>
      </c>
      <c r="D20" s="423"/>
      <c r="E20" s="424"/>
      <c r="F20" s="423"/>
      <c r="G20" s="424"/>
      <c r="H20" s="864"/>
      <c r="I20" s="865"/>
      <c r="J20" s="865"/>
      <c r="K20" s="865"/>
      <c r="L20" s="866"/>
      <c r="N20" s="566"/>
      <c r="O20" s="566"/>
      <c r="P20" s="566"/>
      <c r="Q20" s="566"/>
      <c r="R20" s="566"/>
      <c r="S20" s="152"/>
      <c r="T20" s="387"/>
      <c r="U20" s="861" t="s">
        <v>30822</v>
      </c>
      <c r="V20" s="862"/>
      <c r="W20" s="862"/>
      <c r="X20" s="862"/>
      <c r="Y20" s="862"/>
      <c r="Z20" s="863"/>
      <c r="AA20" s="934" t="s">
        <v>30823</v>
      </c>
      <c r="AB20" s="935"/>
      <c r="AC20" s="935"/>
      <c r="AD20" s="935"/>
      <c r="AE20" s="935"/>
      <c r="AF20" s="935"/>
      <c r="AG20" s="935"/>
      <c r="AH20" s="935"/>
      <c r="AI20" s="935"/>
      <c r="AJ20" s="935"/>
      <c r="AK20" s="935"/>
      <c r="AL20" s="391" t="s">
        <v>15626</v>
      </c>
      <c r="AM20" s="838">
        <f>$AM$8</f>
        <v>0.7</v>
      </c>
      <c r="AN20" s="838"/>
      <c r="AO20" s="325"/>
      <c r="AP20" s="325"/>
      <c r="AQ20" s="325"/>
      <c r="AR20" s="388"/>
      <c r="AS20" s="392">
        <f>ROUND(I22*AM20,0)</f>
        <v>624</v>
      </c>
      <c r="AT20" s="339"/>
    </row>
    <row r="21" spans="1:46" ht="17.100000000000001" customHeight="1" x14ac:dyDescent="0.15">
      <c r="A21" s="340">
        <v>21</v>
      </c>
      <c r="B21" s="341">
        <v>2017</v>
      </c>
      <c r="C21" s="342" t="s">
        <v>30840</v>
      </c>
      <c r="D21" s="423"/>
      <c r="E21" s="424"/>
      <c r="F21" s="423"/>
      <c r="G21" s="424"/>
      <c r="H21" s="570"/>
      <c r="I21" s="571"/>
      <c r="J21" s="571"/>
      <c r="K21" s="571"/>
      <c r="L21" s="572"/>
      <c r="M21" s="325"/>
      <c r="N21" s="449"/>
      <c r="O21" s="449"/>
      <c r="P21" s="449"/>
      <c r="Q21" s="449"/>
      <c r="R21" s="449"/>
      <c r="S21" s="325"/>
      <c r="T21" s="388"/>
      <c r="U21" s="931"/>
      <c r="V21" s="932"/>
      <c r="W21" s="932"/>
      <c r="X21" s="932"/>
      <c r="Y21" s="932"/>
      <c r="Z21" s="933"/>
      <c r="AA21" s="934" t="s">
        <v>30825</v>
      </c>
      <c r="AB21" s="935"/>
      <c r="AC21" s="935"/>
      <c r="AD21" s="935"/>
      <c r="AE21" s="935"/>
      <c r="AF21" s="935"/>
      <c r="AG21" s="935"/>
      <c r="AH21" s="935"/>
      <c r="AI21" s="935"/>
      <c r="AJ21" s="935"/>
      <c r="AK21" s="935"/>
      <c r="AL21" s="455" t="s">
        <v>15626</v>
      </c>
      <c r="AM21" s="938">
        <f>$AM$9</f>
        <v>0.5</v>
      </c>
      <c r="AN21" s="938"/>
      <c r="AO21" s="343"/>
      <c r="AP21" s="343"/>
      <c r="AQ21" s="343"/>
      <c r="AR21" s="407"/>
      <c r="AS21" s="392">
        <f>ROUND(I22*AM21,0)</f>
        <v>446</v>
      </c>
      <c r="AT21" s="339"/>
    </row>
    <row r="22" spans="1:46" ht="17.100000000000001" customHeight="1" x14ac:dyDescent="0.15">
      <c r="A22" s="340">
        <v>21</v>
      </c>
      <c r="B22" s="341">
        <v>1133</v>
      </c>
      <c r="C22" s="342" t="s">
        <v>30841</v>
      </c>
      <c r="D22" s="423"/>
      <c r="E22" s="424"/>
      <c r="F22" s="423"/>
      <c r="G22" s="424"/>
      <c r="H22" s="490"/>
      <c r="I22" s="836">
        <v>891</v>
      </c>
      <c r="J22" s="836"/>
      <c r="K22" s="152" t="s">
        <v>15624</v>
      </c>
      <c r="L22" s="387"/>
      <c r="M22" s="862" t="s">
        <v>30827</v>
      </c>
      <c r="N22" s="862"/>
      <c r="O22" s="862"/>
      <c r="P22" s="862"/>
      <c r="Q22" s="862"/>
      <c r="R22" s="862"/>
      <c r="S22" s="862"/>
      <c r="T22" s="863"/>
      <c r="U22" s="567"/>
      <c r="V22" s="568"/>
      <c r="W22" s="568"/>
      <c r="X22" s="568"/>
      <c r="Y22" s="459"/>
      <c r="Z22" s="459"/>
      <c r="AA22" s="343"/>
      <c r="AB22" s="343"/>
      <c r="AC22" s="455"/>
      <c r="AD22" s="455"/>
      <c r="AE22" s="455"/>
      <c r="AF22" s="455"/>
      <c r="AG22" s="455"/>
      <c r="AH22" s="343"/>
      <c r="AI22" s="343"/>
      <c r="AJ22" s="343"/>
      <c r="AK22" s="343"/>
      <c r="AL22" s="343"/>
      <c r="AM22" s="343"/>
      <c r="AN22" s="343"/>
      <c r="AO22" s="343"/>
      <c r="AP22" s="343"/>
      <c r="AQ22" s="343"/>
      <c r="AR22" s="407"/>
      <c r="AS22" s="392">
        <f>ROUND(I22*S24,0)</f>
        <v>860</v>
      </c>
      <c r="AT22" s="339"/>
    </row>
    <row r="23" spans="1:46" ht="17.100000000000001" customHeight="1" x14ac:dyDescent="0.15">
      <c r="A23" s="340">
        <v>21</v>
      </c>
      <c r="B23" s="341">
        <v>1134</v>
      </c>
      <c r="C23" s="342" t="s">
        <v>30842</v>
      </c>
      <c r="D23" s="423"/>
      <c r="E23" s="424"/>
      <c r="F23" s="423"/>
      <c r="G23" s="424"/>
      <c r="H23" s="490"/>
      <c r="I23" s="152"/>
      <c r="L23" s="387"/>
      <c r="M23" s="865"/>
      <c r="N23" s="865"/>
      <c r="O23" s="865"/>
      <c r="P23" s="865"/>
      <c r="Q23" s="865"/>
      <c r="R23" s="865"/>
      <c r="S23" s="865"/>
      <c r="T23" s="866"/>
      <c r="U23" s="861" t="s">
        <v>30822</v>
      </c>
      <c r="V23" s="862"/>
      <c r="W23" s="862"/>
      <c r="X23" s="862"/>
      <c r="Y23" s="862"/>
      <c r="Z23" s="863"/>
      <c r="AA23" s="934" t="s">
        <v>30823</v>
      </c>
      <c r="AB23" s="935"/>
      <c r="AC23" s="935"/>
      <c r="AD23" s="935"/>
      <c r="AE23" s="935"/>
      <c r="AF23" s="935"/>
      <c r="AG23" s="935"/>
      <c r="AH23" s="935"/>
      <c r="AI23" s="935"/>
      <c r="AJ23" s="935"/>
      <c r="AK23" s="935"/>
      <c r="AL23" s="391" t="s">
        <v>15626</v>
      </c>
      <c r="AM23" s="838">
        <f>$AM$8</f>
        <v>0.7</v>
      </c>
      <c r="AN23" s="838"/>
      <c r="AO23" s="325"/>
      <c r="AP23" s="325"/>
      <c r="AQ23" s="325"/>
      <c r="AR23" s="388"/>
      <c r="AS23" s="392">
        <f>ROUND(ROUND(I22*S24,0)*AM23,0)</f>
        <v>602</v>
      </c>
      <c r="AT23" s="339"/>
    </row>
    <row r="24" spans="1:46" ht="17.100000000000001" customHeight="1" x14ac:dyDescent="0.15">
      <c r="A24" s="340">
        <v>21</v>
      </c>
      <c r="B24" s="341">
        <v>2018</v>
      </c>
      <c r="C24" s="342" t="s">
        <v>30843</v>
      </c>
      <c r="D24" s="423"/>
      <c r="E24" s="424"/>
      <c r="F24" s="423"/>
      <c r="G24" s="424"/>
      <c r="H24" s="490"/>
      <c r="I24" s="152"/>
      <c r="L24" s="387"/>
      <c r="M24" s="338"/>
      <c r="N24" s="338"/>
      <c r="O24" s="338"/>
      <c r="P24" s="338"/>
      <c r="Q24" s="338"/>
      <c r="R24" s="391" t="s">
        <v>15626</v>
      </c>
      <c r="S24" s="936">
        <f>$S$12</f>
        <v>0.96499999999999997</v>
      </c>
      <c r="T24" s="937"/>
      <c r="U24" s="931"/>
      <c r="V24" s="932"/>
      <c r="W24" s="932"/>
      <c r="X24" s="932"/>
      <c r="Y24" s="932"/>
      <c r="Z24" s="933"/>
      <c r="AA24" s="934" t="s">
        <v>30825</v>
      </c>
      <c r="AB24" s="935"/>
      <c r="AC24" s="935"/>
      <c r="AD24" s="935"/>
      <c r="AE24" s="935"/>
      <c r="AF24" s="935"/>
      <c r="AG24" s="935"/>
      <c r="AH24" s="935"/>
      <c r="AI24" s="935"/>
      <c r="AJ24" s="935"/>
      <c r="AK24" s="935"/>
      <c r="AL24" s="455" t="s">
        <v>15626</v>
      </c>
      <c r="AM24" s="938">
        <f>$AM$9</f>
        <v>0.5</v>
      </c>
      <c r="AN24" s="938"/>
      <c r="AO24" s="343"/>
      <c r="AP24" s="343"/>
      <c r="AQ24" s="343"/>
      <c r="AR24" s="407"/>
      <c r="AS24" s="392">
        <f>ROUND(ROUND(I22*S24,0)*AM24,0)</f>
        <v>430</v>
      </c>
      <c r="AT24" s="339"/>
    </row>
    <row r="25" spans="1:46" ht="17.100000000000001" customHeight="1" x14ac:dyDescent="0.15">
      <c r="A25" s="340">
        <v>21</v>
      </c>
      <c r="B25" s="341">
        <v>1141</v>
      </c>
      <c r="C25" s="342" t="s">
        <v>30844</v>
      </c>
      <c r="D25" s="423"/>
      <c r="E25" s="424"/>
      <c r="F25" s="423"/>
      <c r="G25" s="424"/>
      <c r="H25" s="945" t="s">
        <v>30845</v>
      </c>
      <c r="I25" s="946"/>
      <c r="J25" s="946"/>
      <c r="K25" s="946"/>
      <c r="L25" s="947"/>
      <c r="M25" s="396"/>
      <c r="N25" s="569"/>
      <c r="O25" s="400"/>
      <c r="P25" s="400"/>
      <c r="Q25" s="400"/>
      <c r="R25" s="400"/>
      <c r="S25" s="400"/>
      <c r="T25" s="429"/>
      <c r="U25" s="567"/>
      <c r="V25" s="568"/>
      <c r="W25" s="568"/>
      <c r="X25" s="568"/>
      <c r="Y25" s="459"/>
      <c r="Z25" s="459"/>
      <c r="AA25" s="343"/>
      <c r="AB25" s="343"/>
      <c r="AC25" s="455"/>
      <c r="AD25" s="455"/>
      <c r="AE25" s="455"/>
      <c r="AF25" s="455"/>
      <c r="AG25" s="455"/>
      <c r="AH25" s="343"/>
      <c r="AI25" s="343"/>
      <c r="AJ25" s="343"/>
      <c r="AK25" s="343"/>
      <c r="AL25" s="343"/>
      <c r="AM25" s="343"/>
      <c r="AN25" s="343"/>
      <c r="AO25" s="343"/>
      <c r="AP25" s="343"/>
      <c r="AQ25" s="343"/>
      <c r="AR25" s="407"/>
      <c r="AS25" s="392">
        <f>ROUND(I28,0)</f>
        <v>853</v>
      </c>
      <c r="AT25" s="359"/>
    </row>
    <row r="26" spans="1:46" ht="17.100000000000001" customHeight="1" x14ac:dyDescent="0.15">
      <c r="A26" s="340">
        <v>21</v>
      </c>
      <c r="B26" s="341">
        <v>1142</v>
      </c>
      <c r="C26" s="342" t="s">
        <v>30846</v>
      </c>
      <c r="D26" s="423"/>
      <c r="E26" s="424"/>
      <c r="F26" s="423"/>
      <c r="G26" s="424"/>
      <c r="H26" s="948"/>
      <c r="I26" s="949"/>
      <c r="J26" s="949"/>
      <c r="K26" s="949"/>
      <c r="L26" s="950"/>
      <c r="N26" s="566"/>
      <c r="O26" s="566"/>
      <c r="P26" s="566"/>
      <c r="Q26" s="566"/>
      <c r="R26" s="566"/>
      <c r="S26" s="152"/>
      <c r="T26" s="387"/>
      <c r="U26" s="861" t="s">
        <v>30822</v>
      </c>
      <c r="V26" s="862"/>
      <c r="W26" s="862"/>
      <c r="X26" s="862"/>
      <c r="Y26" s="862"/>
      <c r="Z26" s="863"/>
      <c r="AA26" s="934" t="s">
        <v>30823</v>
      </c>
      <c r="AB26" s="935"/>
      <c r="AC26" s="935"/>
      <c r="AD26" s="935"/>
      <c r="AE26" s="935"/>
      <c r="AF26" s="935"/>
      <c r="AG26" s="935"/>
      <c r="AH26" s="935"/>
      <c r="AI26" s="935"/>
      <c r="AJ26" s="935"/>
      <c r="AK26" s="935"/>
      <c r="AL26" s="391" t="s">
        <v>15626</v>
      </c>
      <c r="AM26" s="838">
        <f>$AM$8</f>
        <v>0.7</v>
      </c>
      <c r="AN26" s="838"/>
      <c r="AO26" s="325"/>
      <c r="AP26" s="325"/>
      <c r="AQ26" s="325"/>
      <c r="AR26" s="388"/>
      <c r="AS26" s="392">
        <f>ROUND(I28*AM26,0)</f>
        <v>597</v>
      </c>
      <c r="AT26" s="359"/>
    </row>
    <row r="27" spans="1:46" ht="17.100000000000001" customHeight="1" x14ac:dyDescent="0.15">
      <c r="A27" s="340">
        <v>21</v>
      </c>
      <c r="B27" s="341">
        <v>2025</v>
      </c>
      <c r="C27" s="342" t="s">
        <v>30847</v>
      </c>
      <c r="D27" s="423"/>
      <c r="E27" s="424"/>
      <c r="F27" s="423"/>
      <c r="G27" s="424"/>
      <c r="H27" s="490"/>
      <c r="I27" s="152"/>
      <c r="L27" s="387"/>
      <c r="M27" s="325"/>
      <c r="N27" s="449"/>
      <c r="O27" s="449"/>
      <c r="P27" s="449"/>
      <c r="Q27" s="449"/>
      <c r="R27" s="449"/>
      <c r="S27" s="325"/>
      <c r="T27" s="388"/>
      <c r="U27" s="931"/>
      <c r="V27" s="932"/>
      <c r="W27" s="932"/>
      <c r="X27" s="932"/>
      <c r="Y27" s="932"/>
      <c r="Z27" s="933"/>
      <c r="AA27" s="934" t="s">
        <v>30825</v>
      </c>
      <c r="AB27" s="935"/>
      <c r="AC27" s="935"/>
      <c r="AD27" s="935"/>
      <c r="AE27" s="935"/>
      <c r="AF27" s="935"/>
      <c r="AG27" s="935"/>
      <c r="AH27" s="935"/>
      <c r="AI27" s="935"/>
      <c r="AJ27" s="935"/>
      <c r="AK27" s="935"/>
      <c r="AL27" s="455" t="s">
        <v>15626</v>
      </c>
      <c r="AM27" s="938">
        <f>$AM$9</f>
        <v>0.5</v>
      </c>
      <c r="AN27" s="938"/>
      <c r="AO27" s="343"/>
      <c r="AP27" s="343"/>
      <c r="AQ27" s="343"/>
      <c r="AR27" s="407"/>
      <c r="AS27" s="392">
        <f>ROUND(I28*AM27,0)</f>
        <v>427</v>
      </c>
      <c r="AT27" s="359"/>
    </row>
    <row r="28" spans="1:46" ht="17.100000000000001" customHeight="1" x14ac:dyDescent="0.15">
      <c r="A28" s="340">
        <v>21</v>
      </c>
      <c r="B28" s="341">
        <v>1143</v>
      </c>
      <c r="C28" s="342" t="s">
        <v>30848</v>
      </c>
      <c r="D28" s="423"/>
      <c r="E28" s="424"/>
      <c r="F28" s="423"/>
      <c r="G28" s="424"/>
      <c r="H28" s="490"/>
      <c r="I28" s="836">
        <v>853</v>
      </c>
      <c r="J28" s="836"/>
      <c r="K28" s="152" t="s">
        <v>15624</v>
      </c>
      <c r="L28" s="387"/>
      <c r="M28" s="862" t="s">
        <v>30827</v>
      </c>
      <c r="N28" s="862"/>
      <c r="O28" s="862"/>
      <c r="P28" s="862"/>
      <c r="Q28" s="862"/>
      <c r="R28" s="862"/>
      <c r="S28" s="862"/>
      <c r="T28" s="863"/>
      <c r="U28" s="567"/>
      <c r="V28" s="568"/>
      <c r="W28" s="568"/>
      <c r="X28" s="568"/>
      <c r="Y28" s="459"/>
      <c r="Z28" s="459"/>
      <c r="AA28" s="343"/>
      <c r="AB28" s="343"/>
      <c r="AC28" s="455"/>
      <c r="AD28" s="455"/>
      <c r="AE28" s="455"/>
      <c r="AF28" s="455"/>
      <c r="AG28" s="455"/>
      <c r="AH28" s="343"/>
      <c r="AI28" s="343"/>
      <c r="AJ28" s="343"/>
      <c r="AK28" s="343"/>
      <c r="AL28" s="343"/>
      <c r="AM28" s="343"/>
      <c r="AN28" s="343"/>
      <c r="AO28" s="343"/>
      <c r="AP28" s="343"/>
      <c r="AQ28" s="343"/>
      <c r="AR28" s="407"/>
      <c r="AS28" s="392">
        <f>ROUND(I28*S30,0)</f>
        <v>823</v>
      </c>
      <c r="AT28" s="359"/>
    </row>
    <row r="29" spans="1:46" ht="17.100000000000001" customHeight="1" x14ac:dyDescent="0.15">
      <c r="A29" s="340">
        <v>21</v>
      </c>
      <c r="B29" s="341">
        <v>1144</v>
      </c>
      <c r="C29" s="342" t="s">
        <v>30849</v>
      </c>
      <c r="D29" s="423"/>
      <c r="E29" s="424"/>
      <c r="F29" s="423"/>
      <c r="G29" s="424"/>
      <c r="H29" s="490"/>
      <c r="I29" s="152"/>
      <c r="L29" s="387"/>
      <c r="M29" s="865"/>
      <c r="N29" s="865"/>
      <c r="O29" s="865"/>
      <c r="P29" s="865"/>
      <c r="Q29" s="865"/>
      <c r="R29" s="865"/>
      <c r="S29" s="865"/>
      <c r="T29" s="866"/>
      <c r="U29" s="861" t="s">
        <v>30822</v>
      </c>
      <c r="V29" s="862"/>
      <c r="W29" s="862"/>
      <c r="X29" s="862"/>
      <c r="Y29" s="862"/>
      <c r="Z29" s="863"/>
      <c r="AA29" s="934" t="s">
        <v>30823</v>
      </c>
      <c r="AB29" s="935"/>
      <c r="AC29" s="935"/>
      <c r="AD29" s="935"/>
      <c r="AE29" s="935"/>
      <c r="AF29" s="935"/>
      <c r="AG29" s="935"/>
      <c r="AH29" s="935"/>
      <c r="AI29" s="935"/>
      <c r="AJ29" s="935"/>
      <c r="AK29" s="935"/>
      <c r="AL29" s="391" t="s">
        <v>15626</v>
      </c>
      <c r="AM29" s="838">
        <f>$AM$8</f>
        <v>0.7</v>
      </c>
      <c r="AN29" s="838"/>
      <c r="AO29" s="325"/>
      <c r="AP29" s="325"/>
      <c r="AQ29" s="325"/>
      <c r="AR29" s="388"/>
      <c r="AS29" s="392">
        <f>ROUND(ROUND(I28*S30,0)*AM29,0)</f>
        <v>576</v>
      </c>
      <c r="AT29" s="359"/>
    </row>
    <row r="30" spans="1:46" ht="17.100000000000001" customHeight="1" x14ac:dyDescent="0.15">
      <c r="A30" s="340">
        <v>21</v>
      </c>
      <c r="B30" s="341">
        <v>2026</v>
      </c>
      <c r="C30" s="342" t="s">
        <v>30850</v>
      </c>
      <c r="D30" s="423"/>
      <c r="E30" s="424"/>
      <c r="F30" s="423"/>
      <c r="G30" s="424"/>
      <c r="H30" s="490"/>
      <c r="I30" s="152"/>
      <c r="L30" s="387"/>
      <c r="M30" s="338"/>
      <c r="N30" s="338"/>
      <c r="O30" s="338"/>
      <c r="P30" s="338"/>
      <c r="Q30" s="338"/>
      <c r="R30" s="391" t="s">
        <v>15626</v>
      </c>
      <c r="S30" s="936">
        <f>$S$12</f>
        <v>0.96499999999999997</v>
      </c>
      <c r="T30" s="937"/>
      <c r="U30" s="931"/>
      <c r="V30" s="932"/>
      <c r="W30" s="932"/>
      <c r="X30" s="932"/>
      <c r="Y30" s="932"/>
      <c r="Z30" s="933"/>
      <c r="AA30" s="934" t="s">
        <v>30825</v>
      </c>
      <c r="AB30" s="935"/>
      <c r="AC30" s="935"/>
      <c r="AD30" s="935"/>
      <c r="AE30" s="935"/>
      <c r="AF30" s="935"/>
      <c r="AG30" s="935"/>
      <c r="AH30" s="935"/>
      <c r="AI30" s="935"/>
      <c r="AJ30" s="935"/>
      <c r="AK30" s="935"/>
      <c r="AL30" s="455" t="s">
        <v>15626</v>
      </c>
      <c r="AM30" s="938">
        <f>$AM$9</f>
        <v>0.5</v>
      </c>
      <c r="AN30" s="938"/>
      <c r="AO30" s="343"/>
      <c r="AP30" s="343"/>
      <c r="AQ30" s="343"/>
      <c r="AR30" s="407"/>
      <c r="AS30" s="392">
        <f>ROUND(ROUND(I28*S30,0)*AM30,0)</f>
        <v>412</v>
      </c>
      <c r="AT30" s="359"/>
    </row>
    <row r="31" spans="1:46" ht="17.100000000000001" customHeight="1" x14ac:dyDescent="0.15">
      <c r="A31" s="340">
        <v>21</v>
      </c>
      <c r="B31" s="341">
        <v>1211</v>
      </c>
      <c r="C31" s="342" t="s">
        <v>30851</v>
      </c>
      <c r="D31" s="573"/>
      <c r="E31" s="574"/>
      <c r="F31" s="941" t="s">
        <v>30852</v>
      </c>
      <c r="G31" s="942"/>
      <c r="H31" s="861" t="s">
        <v>30820</v>
      </c>
      <c r="I31" s="862"/>
      <c r="J31" s="862"/>
      <c r="K31" s="862"/>
      <c r="L31" s="863"/>
      <c r="M31" s="396"/>
      <c r="N31" s="569"/>
      <c r="O31" s="400"/>
      <c r="P31" s="400"/>
      <c r="Q31" s="400"/>
      <c r="R31" s="400"/>
      <c r="S31" s="400"/>
      <c r="T31" s="429"/>
      <c r="U31" s="567"/>
      <c r="V31" s="568"/>
      <c r="W31" s="568"/>
      <c r="X31" s="568"/>
      <c r="Y31" s="459"/>
      <c r="Z31" s="459"/>
      <c r="AA31" s="343"/>
      <c r="AB31" s="343"/>
      <c r="AC31" s="455"/>
      <c r="AD31" s="455"/>
      <c r="AE31" s="455"/>
      <c r="AF31" s="455"/>
      <c r="AG31" s="455"/>
      <c r="AH31" s="343"/>
      <c r="AI31" s="343"/>
      <c r="AJ31" s="343"/>
      <c r="AK31" s="343"/>
      <c r="AL31" s="343"/>
      <c r="AM31" s="343"/>
      <c r="AN31" s="343"/>
      <c r="AO31" s="343"/>
      <c r="AP31" s="343"/>
      <c r="AQ31" s="343"/>
      <c r="AR31" s="407"/>
      <c r="AS31" s="392">
        <f>ROUND(I34,0)</f>
        <v>703</v>
      </c>
      <c r="AT31" s="359"/>
    </row>
    <row r="32" spans="1:46" ht="17.100000000000001" customHeight="1" x14ac:dyDescent="0.15">
      <c r="A32" s="340">
        <v>21</v>
      </c>
      <c r="B32" s="341">
        <v>1212</v>
      </c>
      <c r="C32" s="342" t="s">
        <v>30853</v>
      </c>
      <c r="D32" s="573"/>
      <c r="E32" s="574"/>
      <c r="F32" s="943"/>
      <c r="G32" s="944"/>
      <c r="H32" s="864"/>
      <c r="I32" s="865"/>
      <c r="J32" s="865"/>
      <c r="K32" s="865"/>
      <c r="L32" s="866"/>
      <c r="N32" s="566"/>
      <c r="O32" s="566"/>
      <c r="P32" s="566"/>
      <c r="Q32" s="566"/>
      <c r="R32" s="566"/>
      <c r="S32" s="152"/>
      <c r="T32" s="387"/>
      <c r="U32" s="861" t="s">
        <v>30822</v>
      </c>
      <c r="V32" s="862"/>
      <c r="W32" s="862"/>
      <c r="X32" s="862"/>
      <c r="Y32" s="862"/>
      <c r="Z32" s="863"/>
      <c r="AA32" s="934" t="s">
        <v>30823</v>
      </c>
      <c r="AB32" s="935"/>
      <c r="AC32" s="935"/>
      <c r="AD32" s="935"/>
      <c r="AE32" s="935"/>
      <c r="AF32" s="935"/>
      <c r="AG32" s="935"/>
      <c r="AH32" s="935"/>
      <c r="AI32" s="935"/>
      <c r="AJ32" s="935"/>
      <c r="AK32" s="935"/>
      <c r="AL32" s="391" t="s">
        <v>15626</v>
      </c>
      <c r="AM32" s="838">
        <f>$AM$8</f>
        <v>0.7</v>
      </c>
      <c r="AN32" s="838"/>
      <c r="AO32" s="325"/>
      <c r="AP32" s="325"/>
      <c r="AQ32" s="325"/>
      <c r="AR32" s="388"/>
      <c r="AS32" s="392">
        <f>ROUND(I34*AM32,0)</f>
        <v>492</v>
      </c>
      <c r="AT32" s="359"/>
    </row>
    <row r="33" spans="1:46" ht="17.100000000000001" customHeight="1" x14ac:dyDescent="0.15">
      <c r="A33" s="340">
        <v>21</v>
      </c>
      <c r="B33" s="341">
        <v>2033</v>
      </c>
      <c r="C33" s="342" t="s">
        <v>30854</v>
      </c>
      <c r="D33" s="573"/>
      <c r="E33" s="574"/>
      <c r="F33" s="943"/>
      <c r="G33" s="944"/>
      <c r="H33" s="490"/>
      <c r="I33" s="152"/>
      <c r="L33" s="387"/>
      <c r="M33" s="325"/>
      <c r="N33" s="449"/>
      <c r="O33" s="449"/>
      <c r="P33" s="449"/>
      <c r="Q33" s="449"/>
      <c r="R33" s="449"/>
      <c r="S33" s="325"/>
      <c r="T33" s="388"/>
      <c r="U33" s="931"/>
      <c r="V33" s="932"/>
      <c r="W33" s="932"/>
      <c r="X33" s="932"/>
      <c r="Y33" s="932"/>
      <c r="Z33" s="933"/>
      <c r="AA33" s="934" t="s">
        <v>30825</v>
      </c>
      <c r="AB33" s="935"/>
      <c r="AC33" s="935"/>
      <c r="AD33" s="935"/>
      <c r="AE33" s="935"/>
      <c r="AF33" s="935"/>
      <c r="AG33" s="935"/>
      <c r="AH33" s="935"/>
      <c r="AI33" s="935"/>
      <c r="AJ33" s="935"/>
      <c r="AK33" s="935"/>
      <c r="AL33" s="455" t="s">
        <v>15626</v>
      </c>
      <c r="AM33" s="938">
        <f>$AM$9</f>
        <v>0.5</v>
      </c>
      <c r="AN33" s="938"/>
      <c r="AO33" s="343"/>
      <c r="AP33" s="343"/>
      <c r="AQ33" s="343"/>
      <c r="AR33" s="407"/>
      <c r="AS33" s="392">
        <f>ROUND(I34*AM33,0)</f>
        <v>352</v>
      </c>
      <c r="AT33" s="359"/>
    </row>
    <row r="34" spans="1:46" ht="17.100000000000001" customHeight="1" x14ac:dyDescent="0.15">
      <c r="A34" s="340">
        <v>21</v>
      </c>
      <c r="B34" s="341">
        <v>1213</v>
      </c>
      <c r="C34" s="342" t="s">
        <v>30855</v>
      </c>
      <c r="D34" s="573"/>
      <c r="E34" s="574"/>
      <c r="F34" s="943"/>
      <c r="G34" s="944"/>
      <c r="H34" s="490"/>
      <c r="I34" s="836">
        <v>703</v>
      </c>
      <c r="J34" s="836"/>
      <c r="K34" s="152" t="s">
        <v>15624</v>
      </c>
      <c r="L34" s="387"/>
      <c r="M34" s="862" t="s">
        <v>30827</v>
      </c>
      <c r="N34" s="862"/>
      <c r="O34" s="862"/>
      <c r="P34" s="862"/>
      <c r="Q34" s="862"/>
      <c r="R34" s="862"/>
      <c r="S34" s="862"/>
      <c r="T34" s="863"/>
      <c r="U34" s="567"/>
      <c r="V34" s="568"/>
      <c r="W34" s="568"/>
      <c r="X34" s="568"/>
      <c r="Y34" s="459"/>
      <c r="Z34" s="459"/>
      <c r="AA34" s="343"/>
      <c r="AB34" s="343"/>
      <c r="AC34" s="455"/>
      <c r="AD34" s="455"/>
      <c r="AE34" s="455"/>
      <c r="AF34" s="455"/>
      <c r="AG34" s="455"/>
      <c r="AH34" s="343"/>
      <c r="AI34" s="343"/>
      <c r="AJ34" s="343"/>
      <c r="AK34" s="343"/>
      <c r="AL34" s="343"/>
      <c r="AM34" s="343"/>
      <c r="AN34" s="343"/>
      <c r="AO34" s="343"/>
      <c r="AP34" s="343"/>
      <c r="AQ34" s="343"/>
      <c r="AR34" s="407"/>
      <c r="AS34" s="392">
        <f>ROUND(I34*S36,0)</f>
        <v>678</v>
      </c>
      <c r="AT34" s="359"/>
    </row>
    <row r="35" spans="1:46" ht="17.100000000000001" customHeight="1" x14ac:dyDescent="0.15">
      <c r="A35" s="340">
        <v>21</v>
      </c>
      <c r="B35" s="341">
        <v>1214</v>
      </c>
      <c r="C35" s="342" t="s">
        <v>30856</v>
      </c>
      <c r="D35" s="573"/>
      <c r="E35" s="574"/>
      <c r="F35" s="943"/>
      <c r="G35" s="944"/>
      <c r="H35" s="490"/>
      <c r="I35" s="152"/>
      <c r="L35" s="387"/>
      <c r="M35" s="865"/>
      <c r="N35" s="865"/>
      <c r="O35" s="865"/>
      <c r="P35" s="865"/>
      <c r="Q35" s="865"/>
      <c r="R35" s="865"/>
      <c r="S35" s="865"/>
      <c r="T35" s="866"/>
      <c r="U35" s="861" t="s">
        <v>30822</v>
      </c>
      <c r="V35" s="862"/>
      <c r="W35" s="862"/>
      <c r="X35" s="862"/>
      <c r="Y35" s="862"/>
      <c r="Z35" s="863"/>
      <c r="AA35" s="934" t="s">
        <v>30823</v>
      </c>
      <c r="AB35" s="935"/>
      <c r="AC35" s="935"/>
      <c r="AD35" s="935"/>
      <c r="AE35" s="935"/>
      <c r="AF35" s="935"/>
      <c r="AG35" s="935"/>
      <c r="AH35" s="935"/>
      <c r="AI35" s="935"/>
      <c r="AJ35" s="935"/>
      <c r="AK35" s="935"/>
      <c r="AL35" s="391" t="s">
        <v>15626</v>
      </c>
      <c r="AM35" s="838">
        <f>$AM$8</f>
        <v>0.7</v>
      </c>
      <c r="AN35" s="838"/>
      <c r="AO35" s="325"/>
      <c r="AP35" s="325"/>
      <c r="AQ35" s="325"/>
      <c r="AR35" s="388"/>
      <c r="AS35" s="392">
        <f>ROUND(ROUND(I34*S36,0)*AM35,0)</f>
        <v>475</v>
      </c>
      <c r="AT35" s="359"/>
    </row>
    <row r="36" spans="1:46" ht="17.100000000000001" customHeight="1" x14ac:dyDescent="0.15">
      <c r="A36" s="340">
        <v>21</v>
      </c>
      <c r="B36" s="341">
        <v>2034</v>
      </c>
      <c r="C36" s="342" t="s">
        <v>30857</v>
      </c>
      <c r="D36" s="573"/>
      <c r="E36" s="574"/>
      <c r="F36" s="943"/>
      <c r="G36" s="944"/>
      <c r="H36" s="490"/>
      <c r="I36" s="152"/>
      <c r="L36" s="387"/>
      <c r="M36" s="338"/>
      <c r="N36" s="338"/>
      <c r="O36" s="338"/>
      <c r="P36" s="338"/>
      <c r="Q36" s="338"/>
      <c r="R36" s="391" t="s">
        <v>15626</v>
      </c>
      <c r="S36" s="936">
        <f>$S$12</f>
        <v>0.96499999999999997</v>
      </c>
      <c r="T36" s="937"/>
      <c r="U36" s="931"/>
      <c r="V36" s="932"/>
      <c r="W36" s="932"/>
      <c r="X36" s="932"/>
      <c r="Y36" s="932"/>
      <c r="Z36" s="933"/>
      <c r="AA36" s="934" t="s">
        <v>30825</v>
      </c>
      <c r="AB36" s="935"/>
      <c r="AC36" s="935"/>
      <c r="AD36" s="935"/>
      <c r="AE36" s="935"/>
      <c r="AF36" s="935"/>
      <c r="AG36" s="935"/>
      <c r="AH36" s="935"/>
      <c r="AI36" s="935"/>
      <c r="AJ36" s="935"/>
      <c r="AK36" s="935"/>
      <c r="AL36" s="455" t="s">
        <v>15626</v>
      </c>
      <c r="AM36" s="938">
        <f>$AM$9</f>
        <v>0.5</v>
      </c>
      <c r="AN36" s="938"/>
      <c r="AO36" s="343"/>
      <c r="AP36" s="343"/>
      <c r="AQ36" s="343"/>
      <c r="AR36" s="407"/>
      <c r="AS36" s="392">
        <f>ROUND(ROUND(I34*S36,0)*AM36,0)</f>
        <v>339</v>
      </c>
      <c r="AT36" s="359"/>
    </row>
    <row r="37" spans="1:46" ht="17.100000000000001" customHeight="1" x14ac:dyDescent="0.15">
      <c r="A37" s="340">
        <v>21</v>
      </c>
      <c r="B37" s="341">
        <v>1221</v>
      </c>
      <c r="C37" s="342" t="s">
        <v>30858</v>
      </c>
      <c r="D37" s="573"/>
      <c r="E37" s="574"/>
      <c r="F37" s="943"/>
      <c r="G37" s="944"/>
      <c r="H37" s="861" t="s">
        <v>30831</v>
      </c>
      <c r="I37" s="862"/>
      <c r="J37" s="862"/>
      <c r="K37" s="862"/>
      <c r="L37" s="863"/>
      <c r="M37" s="396"/>
      <c r="N37" s="569"/>
      <c r="O37" s="400"/>
      <c r="P37" s="400"/>
      <c r="Q37" s="400"/>
      <c r="R37" s="400"/>
      <c r="S37" s="400"/>
      <c r="T37" s="429"/>
      <c r="U37" s="567"/>
      <c r="V37" s="568"/>
      <c r="W37" s="568"/>
      <c r="X37" s="568"/>
      <c r="Y37" s="459"/>
      <c r="Z37" s="459"/>
      <c r="AA37" s="343"/>
      <c r="AB37" s="343"/>
      <c r="AC37" s="455"/>
      <c r="AD37" s="455"/>
      <c r="AE37" s="455"/>
      <c r="AF37" s="455"/>
      <c r="AG37" s="455"/>
      <c r="AH37" s="343"/>
      <c r="AI37" s="343"/>
      <c r="AJ37" s="343"/>
      <c r="AK37" s="343"/>
      <c r="AL37" s="343"/>
      <c r="AM37" s="343"/>
      <c r="AN37" s="343"/>
      <c r="AO37" s="343"/>
      <c r="AP37" s="343"/>
      <c r="AQ37" s="343"/>
      <c r="AR37" s="407"/>
      <c r="AS37" s="392">
        <f>ROUND(I40,0)</f>
        <v>667</v>
      </c>
      <c r="AT37" s="359"/>
    </row>
    <row r="38" spans="1:46" ht="17.100000000000001" customHeight="1" x14ac:dyDescent="0.15">
      <c r="A38" s="340">
        <v>21</v>
      </c>
      <c r="B38" s="341">
        <v>1222</v>
      </c>
      <c r="C38" s="342" t="s">
        <v>30859</v>
      </c>
      <c r="D38" s="573"/>
      <c r="E38" s="574"/>
      <c r="F38" s="943"/>
      <c r="G38" s="944"/>
      <c r="H38" s="864"/>
      <c r="I38" s="865"/>
      <c r="J38" s="865"/>
      <c r="K38" s="865"/>
      <c r="L38" s="866"/>
      <c r="N38" s="566"/>
      <c r="O38" s="566"/>
      <c r="P38" s="566"/>
      <c r="Q38" s="566"/>
      <c r="R38" s="566"/>
      <c r="S38" s="152"/>
      <c r="T38" s="387"/>
      <c r="U38" s="861" t="s">
        <v>30822</v>
      </c>
      <c r="V38" s="862"/>
      <c r="W38" s="862"/>
      <c r="X38" s="862"/>
      <c r="Y38" s="862"/>
      <c r="Z38" s="863"/>
      <c r="AA38" s="934" t="s">
        <v>30823</v>
      </c>
      <c r="AB38" s="935"/>
      <c r="AC38" s="935"/>
      <c r="AD38" s="935"/>
      <c r="AE38" s="935"/>
      <c r="AF38" s="935"/>
      <c r="AG38" s="935"/>
      <c r="AH38" s="935"/>
      <c r="AI38" s="935"/>
      <c r="AJ38" s="935"/>
      <c r="AK38" s="935"/>
      <c r="AL38" s="391" t="s">
        <v>15626</v>
      </c>
      <c r="AM38" s="838">
        <f>$AM$8</f>
        <v>0.7</v>
      </c>
      <c r="AN38" s="838"/>
      <c r="AO38" s="325"/>
      <c r="AP38" s="325"/>
      <c r="AQ38" s="325"/>
      <c r="AR38" s="388"/>
      <c r="AS38" s="392">
        <f>ROUND(I40*AM38,0)</f>
        <v>467</v>
      </c>
      <c r="AT38" s="359"/>
    </row>
    <row r="39" spans="1:46" ht="17.100000000000001" customHeight="1" x14ac:dyDescent="0.15">
      <c r="A39" s="340">
        <v>21</v>
      </c>
      <c r="B39" s="341">
        <v>2041</v>
      </c>
      <c r="C39" s="342" t="s">
        <v>30860</v>
      </c>
      <c r="D39" s="573"/>
      <c r="E39" s="574"/>
      <c r="F39" s="943"/>
      <c r="G39" s="944"/>
      <c r="H39" s="490"/>
      <c r="I39" s="152"/>
      <c r="L39" s="387"/>
      <c r="M39" s="325"/>
      <c r="N39" s="449"/>
      <c r="O39" s="449"/>
      <c r="P39" s="449"/>
      <c r="Q39" s="449"/>
      <c r="R39" s="449"/>
      <c r="S39" s="325"/>
      <c r="T39" s="388"/>
      <c r="U39" s="931"/>
      <c r="V39" s="932"/>
      <c r="W39" s="932"/>
      <c r="X39" s="932"/>
      <c r="Y39" s="932"/>
      <c r="Z39" s="933"/>
      <c r="AA39" s="934" t="s">
        <v>30825</v>
      </c>
      <c r="AB39" s="935"/>
      <c r="AC39" s="935"/>
      <c r="AD39" s="935"/>
      <c r="AE39" s="935"/>
      <c r="AF39" s="935"/>
      <c r="AG39" s="935"/>
      <c r="AH39" s="935"/>
      <c r="AI39" s="935"/>
      <c r="AJ39" s="935"/>
      <c r="AK39" s="935"/>
      <c r="AL39" s="455" t="s">
        <v>15626</v>
      </c>
      <c r="AM39" s="938">
        <f>$AM$9</f>
        <v>0.5</v>
      </c>
      <c r="AN39" s="938"/>
      <c r="AO39" s="343"/>
      <c r="AP39" s="343"/>
      <c r="AQ39" s="343"/>
      <c r="AR39" s="407"/>
      <c r="AS39" s="392">
        <f>ROUND(I40*AM39,0)</f>
        <v>334</v>
      </c>
      <c r="AT39" s="359"/>
    </row>
    <row r="40" spans="1:46" ht="17.100000000000001" customHeight="1" x14ac:dyDescent="0.15">
      <c r="A40" s="340">
        <v>21</v>
      </c>
      <c r="B40" s="341">
        <v>1223</v>
      </c>
      <c r="C40" s="342" t="s">
        <v>30861</v>
      </c>
      <c r="D40" s="573"/>
      <c r="E40" s="574"/>
      <c r="F40" s="943"/>
      <c r="G40" s="944"/>
      <c r="H40" s="490"/>
      <c r="I40" s="836">
        <v>667</v>
      </c>
      <c r="J40" s="836"/>
      <c r="K40" s="152" t="s">
        <v>15624</v>
      </c>
      <c r="L40" s="387"/>
      <c r="M40" s="862" t="s">
        <v>30827</v>
      </c>
      <c r="N40" s="862"/>
      <c r="O40" s="862"/>
      <c r="P40" s="862"/>
      <c r="Q40" s="862"/>
      <c r="R40" s="862"/>
      <c r="S40" s="862"/>
      <c r="T40" s="863"/>
      <c r="U40" s="567"/>
      <c r="V40" s="568"/>
      <c r="W40" s="568"/>
      <c r="X40" s="568"/>
      <c r="Y40" s="459"/>
      <c r="Z40" s="459"/>
      <c r="AA40" s="343"/>
      <c r="AB40" s="343"/>
      <c r="AC40" s="455"/>
      <c r="AD40" s="455"/>
      <c r="AE40" s="455"/>
      <c r="AF40" s="455"/>
      <c r="AG40" s="455"/>
      <c r="AH40" s="343"/>
      <c r="AI40" s="343"/>
      <c r="AJ40" s="343"/>
      <c r="AK40" s="343"/>
      <c r="AL40" s="343"/>
      <c r="AM40" s="343"/>
      <c r="AN40" s="343"/>
      <c r="AO40" s="343"/>
      <c r="AP40" s="343"/>
      <c r="AQ40" s="343"/>
      <c r="AR40" s="407"/>
      <c r="AS40" s="392">
        <f>ROUND(I40*S42,0)</f>
        <v>644</v>
      </c>
      <c r="AT40" s="359"/>
    </row>
    <row r="41" spans="1:46" ht="17.100000000000001" customHeight="1" x14ac:dyDescent="0.15">
      <c r="A41" s="340">
        <v>21</v>
      </c>
      <c r="B41" s="341">
        <v>1224</v>
      </c>
      <c r="C41" s="342" t="s">
        <v>30862</v>
      </c>
      <c r="D41" s="573"/>
      <c r="E41" s="574"/>
      <c r="F41" s="943"/>
      <c r="G41" s="944"/>
      <c r="H41" s="490"/>
      <c r="I41" s="152"/>
      <c r="L41" s="387"/>
      <c r="M41" s="865"/>
      <c r="N41" s="865"/>
      <c r="O41" s="865"/>
      <c r="P41" s="865"/>
      <c r="Q41" s="865"/>
      <c r="R41" s="865"/>
      <c r="S41" s="865"/>
      <c r="T41" s="866"/>
      <c r="U41" s="861" t="s">
        <v>30822</v>
      </c>
      <c r="V41" s="862"/>
      <c r="W41" s="862"/>
      <c r="X41" s="862"/>
      <c r="Y41" s="862"/>
      <c r="Z41" s="863"/>
      <c r="AA41" s="934" t="s">
        <v>30823</v>
      </c>
      <c r="AB41" s="935"/>
      <c r="AC41" s="935"/>
      <c r="AD41" s="935"/>
      <c r="AE41" s="935"/>
      <c r="AF41" s="935"/>
      <c r="AG41" s="935"/>
      <c r="AH41" s="935"/>
      <c r="AI41" s="935"/>
      <c r="AJ41" s="935"/>
      <c r="AK41" s="935"/>
      <c r="AL41" s="391" t="s">
        <v>15626</v>
      </c>
      <c r="AM41" s="838">
        <f>$AM$8</f>
        <v>0.7</v>
      </c>
      <c r="AN41" s="838"/>
      <c r="AO41" s="325"/>
      <c r="AP41" s="325"/>
      <c r="AQ41" s="325"/>
      <c r="AR41" s="388"/>
      <c r="AS41" s="392">
        <f>ROUND(ROUND(I40*S42,0)*AM41,0)</f>
        <v>451</v>
      </c>
      <c r="AT41" s="359"/>
    </row>
    <row r="42" spans="1:46" ht="17.100000000000001" customHeight="1" x14ac:dyDescent="0.15">
      <c r="A42" s="340">
        <v>21</v>
      </c>
      <c r="B42" s="341">
        <v>2042</v>
      </c>
      <c r="C42" s="342" t="s">
        <v>30863</v>
      </c>
      <c r="D42" s="573"/>
      <c r="E42" s="574"/>
      <c r="F42" s="943"/>
      <c r="G42" s="944"/>
      <c r="H42" s="490"/>
      <c r="I42" s="152"/>
      <c r="L42" s="387"/>
      <c r="M42" s="338"/>
      <c r="N42" s="338"/>
      <c r="O42" s="338"/>
      <c r="P42" s="338"/>
      <c r="Q42" s="338"/>
      <c r="R42" s="391" t="s">
        <v>15626</v>
      </c>
      <c r="S42" s="936">
        <f>$S$12</f>
        <v>0.96499999999999997</v>
      </c>
      <c r="T42" s="937"/>
      <c r="U42" s="931"/>
      <c r="V42" s="932"/>
      <c r="W42" s="932"/>
      <c r="X42" s="932"/>
      <c r="Y42" s="932"/>
      <c r="Z42" s="933"/>
      <c r="AA42" s="934" t="s">
        <v>30825</v>
      </c>
      <c r="AB42" s="935"/>
      <c r="AC42" s="935"/>
      <c r="AD42" s="935"/>
      <c r="AE42" s="935"/>
      <c r="AF42" s="935"/>
      <c r="AG42" s="935"/>
      <c r="AH42" s="935"/>
      <c r="AI42" s="935"/>
      <c r="AJ42" s="935"/>
      <c r="AK42" s="935"/>
      <c r="AL42" s="455" t="s">
        <v>15626</v>
      </c>
      <c r="AM42" s="938">
        <f>$AM$9</f>
        <v>0.5</v>
      </c>
      <c r="AN42" s="938"/>
      <c r="AO42" s="343"/>
      <c r="AP42" s="343"/>
      <c r="AQ42" s="343"/>
      <c r="AR42" s="407"/>
      <c r="AS42" s="392">
        <f>ROUND(ROUND(I40*S42,0)*AM42,0)</f>
        <v>322</v>
      </c>
      <c r="AT42" s="359"/>
    </row>
    <row r="43" spans="1:46" ht="17.100000000000001" customHeight="1" x14ac:dyDescent="0.15">
      <c r="A43" s="340">
        <v>21</v>
      </c>
      <c r="B43" s="341">
        <v>1231</v>
      </c>
      <c r="C43" s="342" t="s">
        <v>30864</v>
      </c>
      <c r="D43" s="423"/>
      <c r="E43" s="424"/>
      <c r="F43" s="423"/>
      <c r="G43" s="424"/>
      <c r="H43" s="951" t="s">
        <v>30838</v>
      </c>
      <c r="I43" s="952"/>
      <c r="J43" s="952"/>
      <c r="K43" s="952"/>
      <c r="L43" s="953"/>
      <c r="M43" s="396"/>
      <c r="N43" s="569"/>
      <c r="O43" s="400"/>
      <c r="P43" s="400"/>
      <c r="Q43" s="400"/>
      <c r="R43" s="400"/>
      <c r="S43" s="400"/>
      <c r="T43" s="429"/>
      <c r="U43" s="567"/>
      <c r="V43" s="568"/>
      <c r="W43" s="568"/>
      <c r="X43" s="568"/>
      <c r="Y43" s="459"/>
      <c r="Z43" s="459"/>
      <c r="AA43" s="343"/>
      <c r="AB43" s="343"/>
      <c r="AC43" s="455"/>
      <c r="AD43" s="455"/>
      <c r="AE43" s="455"/>
      <c r="AF43" s="455"/>
      <c r="AG43" s="455"/>
      <c r="AH43" s="343"/>
      <c r="AI43" s="343"/>
      <c r="AJ43" s="343"/>
      <c r="AK43" s="343"/>
      <c r="AL43" s="343"/>
      <c r="AM43" s="343"/>
      <c r="AN43" s="343"/>
      <c r="AO43" s="343"/>
      <c r="AP43" s="343"/>
      <c r="AQ43" s="343"/>
      <c r="AR43" s="407"/>
      <c r="AS43" s="392">
        <f>ROUND(I46,0)</f>
        <v>619</v>
      </c>
      <c r="AT43" s="359"/>
    </row>
    <row r="44" spans="1:46" ht="17.100000000000001" customHeight="1" x14ac:dyDescent="0.15">
      <c r="A44" s="340">
        <v>21</v>
      </c>
      <c r="B44" s="341">
        <v>1232</v>
      </c>
      <c r="C44" s="342" t="s">
        <v>30865</v>
      </c>
      <c r="D44" s="423"/>
      <c r="E44" s="424"/>
      <c r="F44" s="423"/>
      <c r="G44" s="424"/>
      <c r="H44" s="954"/>
      <c r="I44" s="955"/>
      <c r="J44" s="955"/>
      <c r="K44" s="955"/>
      <c r="L44" s="956"/>
      <c r="N44" s="566"/>
      <c r="O44" s="566"/>
      <c r="P44" s="566"/>
      <c r="Q44" s="566"/>
      <c r="R44" s="566"/>
      <c r="S44" s="152"/>
      <c r="T44" s="387"/>
      <c r="U44" s="861" t="s">
        <v>30822</v>
      </c>
      <c r="V44" s="862"/>
      <c r="W44" s="862"/>
      <c r="X44" s="862"/>
      <c r="Y44" s="862"/>
      <c r="Z44" s="863"/>
      <c r="AA44" s="934" t="s">
        <v>30823</v>
      </c>
      <c r="AB44" s="935"/>
      <c r="AC44" s="935"/>
      <c r="AD44" s="935"/>
      <c r="AE44" s="935"/>
      <c r="AF44" s="935"/>
      <c r="AG44" s="935"/>
      <c r="AH44" s="935"/>
      <c r="AI44" s="935"/>
      <c r="AJ44" s="935"/>
      <c r="AK44" s="935"/>
      <c r="AL44" s="391" t="s">
        <v>15626</v>
      </c>
      <c r="AM44" s="838">
        <f>$AM$8</f>
        <v>0.7</v>
      </c>
      <c r="AN44" s="838"/>
      <c r="AO44" s="325"/>
      <c r="AP44" s="325"/>
      <c r="AQ44" s="325"/>
      <c r="AR44" s="388"/>
      <c r="AS44" s="392">
        <f>ROUND(I46*AM44,0)</f>
        <v>433</v>
      </c>
      <c r="AT44" s="359"/>
    </row>
    <row r="45" spans="1:46" ht="17.100000000000001" customHeight="1" x14ac:dyDescent="0.15">
      <c r="A45" s="340">
        <v>21</v>
      </c>
      <c r="B45" s="341">
        <v>2049</v>
      </c>
      <c r="C45" s="342" t="s">
        <v>30866</v>
      </c>
      <c r="D45" s="423"/>
      <c r="E45" s="424"/>
      <c r="F45" s="423"/>
      <c r="G45" s="424"/>
      <c r="H45" s="954"/>
      <c r="I45" s="955"/>
      <c r="J45" s="955"/>
      <c r="K45" s="955"/>
      <c r="L45" s="956"/>
      <c r="M45" s="325"/>
      <c r="N45" s="449"/>
      <c r="O45" s="449"/>
      <c r="P45" s="449"/>
      <c r="Q45" s="449"/>
      <c r="R45" s="449"/>
      <c r="S45" s="325"/>
      <c r="T45" s="388"/>
      <c r="U45" s="931"/>
      <c r="V45" s="932"/>
      <c r="W45" s="932"/>
      <c r="X45" s="932"/>
      <c r="Y45" s="932"/>
      <c r="Z45" s="933"/>
      <c r="AA45" s="934" t="s">
        <v>30825</v>
      </c>
      <c r="AB45" s="935"/>
      <c r="AC45" s="935"/>
      <c r="AD45" s="935"/>
      <c r="AE45" s="935"/>
      <c r="AF45" s="935"/>
      <c r="AG45" s="935"/>
      <c r="AH45" s="935"/>
      <c r="AI45" s="935"/>
      <c r="AJ45" s="935"/>
      <c r="AK45" s="935"/>
      <c r="AL45" s="455" t="s">
        <v>15626</v>
      </c>
      <c r="AM45" s="938">
        <f>$AM$9</f>
        <v>0.5</v>
      </c>
      <c r="AN45" s="938"/>
      <c r="AO45" s="343"/>
      <c r="AP45" s="343"/>
      <c r="AQ45" s="343"/>
      <c r="AR45" s="407"/>
      <c r="AS45" s="392">
        <f>ROUND(I46*AM45,0)</f>
        <v>310</v>
      </c>
      <c r="AT45" s="359"/>
    </row>
    <row r="46" spans="1:46" ht="17.100000000000001" customHeight="1" x14ac:dyDescent="0.15">
      <c r="A46" s="340">
        <v>21</v>
      </c>
      <c r="B46" s="341">
        <v>1233</v>
      </c>
      <c r="C46" s="342" t="s">
        <v>30867</v>
      </c>
      <c r="D46" s="423"/>
      <c r="E46" s="424"/>
      <c r="F46" s="423"/>
      <c r="G46" s="424"/>
      <c r="H46" s="490"/>
      <c r="I46" s="836">
        <v>619</v>
      </c>
      <c r="J46" s="836"/>
      <c r="K46" s="152" t="s">
        <v>15624</v>
      </c>
      <c r="L46" s="387"/>
      <c r="M46" s="862" t="s">
        <v>30827</v>
      </c>
      <c r="N46" s="862"/>
      <c r="O46" s="862"/>
      <c r="P46" s="862"/>
      <c r="Q46" s="862"/>
      <c r="R46" s="862"/>
      <c r="S46" s="862"/>
      <c r="T46" s="863"/>
      <c r="U46" s="567"/>
      <c r="V46" s="568"/>
      <c r="W46" s="568"/>
      <c r="X46" s="568"/>
      <c r="Y46" s="459"/>
      <c r="Z46" s="459"/>
      <c r="AA46" s="343"/>
      <c r="AB46" s="343"/>
      <c r="AC46" s="455"/>
      <c r="AD46" s="455"/>
      <c r="AE46" s="455"/>
      <c r="AF46" s="455"/>
      <c r="AG46" s="455"/>
      <c r="AH46" s="343"/>
      <c r="AI46" s="343"/>
      <c r="AJ46" s="343"/>
      <c r="AK46" s="343"/>
      <c r="AL46" s="343"/>
      <c r="AM46" s="343"/>
      <c r="AN46" s="343"/>
      <c r="AO46" s="343"/>
      <c r="AP46" s="343"/>
      <c r="AQ46" s="343"/>
      <c r="AR46" s="407"/>
      <c r="AS46" s="392">
        <f>ROUND(I46*S48,0)</f>
        <v>597</v>
      </c>
      <c r="AT46" s="359"/>
    </row>
    <row r="47" spans="1:46" ht="17.100000000000001" customHeight="1" x14ac:dyDescent="0.15">
      <c r="A47" s="340">
        <v>21</v>
      </c>
      <c r="B47" s="341">
        <v>1234</v>
      </c>
      <c r="C47" s="342" t="s">
        <v>30868</v>
      </c>
      <c r="D47" s="423"/>
      <c r="E47" s="424"/>
      <c r="F47" s="423"/>
      <c r="G47" s="424"/>
      <c r="H47" s="490"/>
      <c r="I47" s="152"/>
      <c r="L47" s="387"/>
      <c r="M47" s="865"/>
      <c r="N47" s="865"/>
      <c r="O47" s="865"/>
      <c r="P47" s="865"/>
      <c r="Q47" s="865"/>
      <c r="R47" s="865"/>
      <c r="S47" s="865"/>
      <c r="T47" s="866"/>
      <c r="U47" s="861" t="s">
        <v>30822</v>
      </c>
      <c r="V47" s="862"/>
      <c r="W47" s="862"/>
      <c r="X47" s="862"/>
      <c r="Y47" s="862"/>
      <c r="Z47" s="863"/>
      <c r="AA47" s="934" t="s">
        <v>30823</v>
      </c>
      <c r="AB47" s="935"/>
      <c r="AC47" s="935"/>
      <c r="AD47" s="935"/>
      <c r="AE47" s="935"/>
      <c r="AF47" s="935"/>
      <c r="AG47" s="935"/>
      <c r="AH47" s="935"/>
      <c r="AI47" s="935"/>
      <c r="AJ47" s="935"/>
      <c r="AK47" s="935"/>
      <c r="AL47" s="391" t="s">
        <v>15626</v>
      </c>
      <c r="AM47" s="838">
        <f>$AM$8</f>
        <v>0.7</v>
      </c>
      <c r="AN47" s="838"/>
      <c r="AO47" s="325"/>
      <c r="AP47" s="325"/>
      <c r="AQ47" s="325"/>
      <c r="AR47" s="388"/>
      <c r="AS47" s="392">
        <f>ROUND(ROUND(I46*S48,0)*AM47,0)</f>
        <v>418</v>
      </c>
      <c r="AT47" s="359"/>
    </row>
    <row r="48" spans="1:46" ht="17.100000000000001" customHeight="1" x14ac:dyDescent="0.15">
      <c r="A48" s="340">
        <v>21</v>
      </c>
      <c r="B48" s="341">
        <v>2050</v>
      </c>
      <c r="C48" s="342" t="s">
        <v>30869</v>
      </c>
      <c r="D48" s="423"/>
      <c r="E48" s="424"/>
      <c r="F48" s="423"/>
      <c r="G48" s="424"/>
      <c r="H48" s="490"/>
      <c r="I48" s="152"/>
      <c r="L48" s="387"/>
      <c r="M48" s="338"/>
      <c r="N48" s="338"/>
      <c r="O48" s="338"/>
      <c r="P48" s="338"/>
      <c r="Q48" s="338"/>
      <c r="R48" s="391" t="s">
        <v>15626</v>
      </c>
      <c r="S48" s="936">
        <f>$S$12</f>
        <v>0.96499999999999997</v>
      </c>
      <c r="T48" s="937"/>
      <c r="U48" s="931"/>
      <c r="V48" s="932"/>
      <c r="W48" s="932"/>
      <c r="X48" s="932"/>
      <c r="Y48" s="932"/>
      <c r="Z48" s="933"/>
      <c r="AA48" s="934" t="s">
        <v>30825</v>
      </c>
      <c r="AB48" s="935"/>
      <c r="AC48" s="935"/>
      <c r="AD48" s="935"/>
      <c r="AE48" s="935"/>
      <c r="AF48" s="935"/>
      <c r="AG48" s="935"/>
      <c r="AH48" s="935"/>
      <c r="AI48" s="935"/>
      <c r="AJ48" s="935"/>
      <c r="AK48" s="935"/>
      <c r="AL48" s="455" t="s">
        <v>15626</v>
      </c>
      <c r="AM48" s="938">
        <f>$AM$9</f>
        <v>0.5</v>
      </c>
      <c r="AN48" s="938"/>
      <c r="AO48" s="343"/>
      <c r="AP48" s="343"/>
      <c r="AQ48" s="343"/>
      <c r="AR48" s="407"/>
      <c r="AS48" s="392">
        <f>ROUND(ROUND(I46*S48,0)*AM48,0)</f>
        <v>299</v>
      </c>
      <c r="AT48" s="359"/>
    </row>
    <row r="49" spans="1:46" ht="17.100000000000001" customHeight="1" x14ac:dyDescent="0.15">
      <c r="A49" s="340">
        <v>21</v>
      </c>
      <c r="B49" s="341">
        <v>1241</v>
      </c>
      <c r="C49" s="342" t="s">
        <v>30870</v>
      </c>
      <c r="D49" s="423"/>
      <c r="E49" s="424"/>
      <c r="F49" s="423"/>
      <c r="G49" s="424"/>
      <c r="H49" s="861" t="s">
        <v>30845</v>
      </c>
      <c r="I49" s="862"/>
      <c r="J49" s="862"/>
      <c r="K49" s="862"/>
      <c r="L49" s="863"/>
      <c r="M49" s="396"/>
      <c r="N49" s="569"/>
      <c r="O49" s="400"/>
      <c r="P49" s="400"/>
      <c r="Q49" s="400"/>
      <c r="R49" s="400"/>
      <c r="S49" s="400"/>
      <c r="T49" s="429"/>
      <c r="U49" s="567"/>
      <c r="V49" s="568"/>
      <c r="W49" s="568"/>
      <c r="X49" s="568"/>
      <c r="Y49" s="459"/>
      <c r="Z49" s="459"/>
      <c r="AA49" s="343"/>
      <c r="AB49" s="343"/>
      <c r="AC49" s="455"/>
      <c r="AD49" s="455"/>
      <c r="AE49" s="455"/>
      <c r="AF49" s="455"/>
      <c r="AG49" s="455"/>
      <c r="AH49" s="343"/>
      <c r="AI49" s="343"/>
      <c r="AJ49" s="343"/>
      <c r="AK49" s="343"/>
      <c r="AL49" s="343"/>
      <c r="AM49" s="343"/>
      <c r="AN49" s="343"/>
      <c r="AO49" s="343"/>
      <c r="AP49" s="343"/>
      <c r="AQ49" s="343"/>
      <c r="AR49" s="407"/>
      <c r="AS49" s="392">
        <f>ROUND(I52,0)</f>
        <v>589</v>
      </c>
      <c r="AT49" s="359"/>
    </row>
    <row r="50" spans="1:46" ht="17.100000000000001" customHeight="1" x14ac:dyDescent="0.15">
      <c r="A50" s="340">
        <v>21</v>
      </c>
      <c r="B50" s="341">
        <v>1242</v>
      </c>
      <c r="C50" s="342" t="s">
        <v>30871</v>
      </c>
      <c r="D50" s="423"/>
      <c r="E50" s="424"/>
      <c r="F50" s="423"/>
      <c r="G50" s="424"/>
      <c r="H50" s="864"/>
      <c r="I50" s="865"/>
      <c r="J50" s="865"/>
      <c r="K50" s="865"/>
      <c r="L50" s="866"/>
      <c r="N50" s="566"/>
      <c r="O50" s="566"/>
      <c r="P50" s="566"/>
      <c r="Q50" s="566"/>
      <c r="R50" s="566"/>
      <c r="S50" s="152"/>
      <c r="T50" s="387"/>
      <c r="U50" s="861" t="s">
        <v>30822</v>
      </c>
      <c r="V50" s="862"/>
      <c r="W50" s="862"/>
      <c r="X50" s="862"/>
      <c r="Y50" s="862"/>
      <c r="Z50" s="863"/>
      <c r="AA50" s="934" t="s">
        <v>30823</v>
      </c>
      <c r="AB50" s="935"/>
      <c r="AC50" s="935"/>
      <c r="AD50" s="935"/>
      <c r="AE50" s="935"/>
      <c r="AF50" s="935"/>
      <c r="AG50" s="935"/>
      <c r="AH50" s="935"/>
      <c r="AI50" s="935"/>
      <c r="AJ50" s="935"/>
      <c r="AK50" s="935"/>
      <c r="AL50" s="391" t="s">
        <v>15626</v>
      </c>
      <c r="AM50" s="838">
        <f>$AM$8</f>
        <v>0.7</v>
      </c>
      <c r="AN50" s="838"/>
      <c r="AO50" s="325"/>
      <c r="AP50" s="325"/>
      <c r="AQ50" s="325"/>
      <c r="AR50" s="388"/>
      <c r="AS50" s="392">
        <f>ROUND(I52*AM50,0)</f>
        <v>412</v>
      </c>
      <c r="AT50" s="359"/>
    </row>
    <row r="51" spans="1:46" ht="17.100000000000001" customHeight="1" x14ac:dyDescent="0.15">
      <c r="A51" s="340">
        <v>21</v>
      </c>
      <c r="B51" s="341">
        <v>2057</v>
      </c>
      <c r="C51" s="342" t="s">
        <v>30872</v>
      </c>
      <c r="D51" s="423"/>
      <c r="E51" s="424"/>
      <c r="F51" s="423"/>
      <c r="G51" s="424"/>
      <c r="H51" s="490"/>
      <c r="I51" s="152"/>
      <c r="L51" s="387"/>
      <c r="M51" s="325"/>
      <c r="N51" s="449"/>
      <c r="O51" s="449"/>
      <c r="P51" s="449"/>
      <c r="Q51" s="449"/>
      <c r="R51" s="449"/>
      <c r="S51" s="325"/>
      <c r="T51" s="388"/>
      <c r="U51" s="931"/>
      <c r="V51" s="932"/>
      <c r="W51" s="932"/>
      <c r="X51" s="932"/>
      <c r="Y51" s="932"/>
      <c r="Z51" s="933"/>
      <c r="AA51" s="934" t="s">
        <v>30825</v>
      </c>
      <c r="AB51" s="935"/>
      <c r="AC51" s="935"/>
      <c r="AD51" s="935"/>
      <c r="AE51" s="935"/>
      <c r="AF51" s="935"/>
      <c r="AG51" s="935"/>
      <c r="AH51" s="935"/>
      <c r="AI51" s="935"/>
      <c r="AJ51" s="935"/>
      <c r="AK51" s="935"/>
      <c r="AL51" s="455" t="s">
        <v>15626</v>
      </c>
      <c r="AM51" s="938">
        <f>$AM$9</f>
        <v>0.5</v>
      </c>
      <c r="AN51" s="938"/>
      <c r="AO51" s="343"/>
      <c r="AP51" s="343"/>
      <c r="AQ51" s="343"/>
      <c r="AR51" s="407"/>
      <c r="AS51" s="392">
        <f>ROUND(I52*AM51,0)</f>
        <v>295</v>
      </c>
      <c r="AT51" s="359"/>
    </row>
    <row r="52" spans="1:46" ht="17.100000000000001" customHeight="1" x14ac:dyDescent="0.15">
      <c r="A52" s="340">
        <v>21</v>
      </c>
      <c r="B52" s="341">
        <v>1243</v>
      </c>
      <c r="C52" s="342" t="s">
        <v>30873</v>
      </c>
      <c r="D52" s="423"/>
      <c r="E52" s="424"/>
      <c r="F52" s="423"/>
      <c r="G52" s="424"/>
      <c r="H52" s="490"/>
      <c r="I52" s="836">
        <v>589</v>
      </c>
      <c r="J52" s="836"/>
      <c r="K52" s="152" t="s">
        <v>15624</v>
      </c>
      <c r="L52" s="387"/>
      <c r="M52" s="862" t="s">
        <v>30827</v>
      </c>
      <c r="N52" s="862"/>
      <c r="O52" s="862"/>
      <c r="P52" s="862"/>
      <c r="Q52" s="862"/>
      <c r="R52" s="862"/>
      <c r="S52" s="862"/>
      <c r="T52" s="863"/>
      <c r="U52" s="567"/>
      <c r="V52" s="568"/>
      <c r="W52" s="568"/>
      <c r="X52" s="568"/>
      <c r="Y52" s="459"/>
      <c r="Z52" s="459"/>
      <c r="AA52" s="343"/>
      <c r="AB52" s="343"/>
      <c r="AC52" s="455"/>
      <c r="AD52" s="455"/>
      <c r="AE52" s="455"/>
      <c r="AF52" s="455"/>
      <c r="AG52" s="455"/>
      <c r="AH52" s="343"/>
      <c r="AI52" s="343"/>
      <c r="AJ52" s="343"/>
      <c r="AK52" s="343"/>
      <c r="AL52" s="343"/>
      <c r="AM52" s="343"/>
      <c r="AN52" s="343"/>
      <c r="AO52" s="343"/>
      <c r="AP52" s="343"/>
      <c r="AQ52" s="343"/>
      <c r="AR52" s="407"/>
      <c r="AS52" s="392">
        <f>ROUND(I52*S54,0)</f>
        <v>568</v>
      </c>
      <c r="AT52" s="359"/>
    </row>
    <row r="53" spans="1:46" ht="17.100000000000001" customHeight="1" x14ac:dyDescent="0.15">
      <c r="A53" s="340">
        <v>21</v>
      </c>
      <c r="B53" s="341">
        <v>1244</v>
      </c>
      <c r="C53" s="342" t="s">
        <v>30874</v>
      </c>
      <c r="D53" s="423"/>
      <c r="E53" s="424"/>
      <c r="F53" s="423"/>
      <c r="G53" s="425"/>
      <c r="H53" s="490"/>
      <c r="I53" s="152"/>
      <c r="L53" s="387"/>
      <c r="M53" s="865"/>
      <c r="N53" s="865"/>
      <c r="O53" s="865"/>
      <c r="P53" s="865"/>
      <c r="Q53" s="865"/>
      <c r="R53" s="865"/>
      <c r="S53" s="865"/>
      <c r="T53" s="866"/>
      <c r="U53" s="861" t="s">
        <v>30822</v>
      </c>
      <c r="V53" s="862"/>
      <c r="W53" s="862"/>
      <c r="X53" s="862"/>
      <c r="Y53" s="862"/>
      <c r="Z53" s="863"/>
      <c r="AA53" s="934" t="s">
        <v>30823</v>
      </c>
      <c r="AB53" s="935"/>
      <c r="AC53" s="935"/>
      <c r="AD53" s="935"/>
      <c r="AE53" s="935"/>
      <c r="AF53" s="935"/>
      <c r="AG53" s="935"/>
      <c r="AH53" s="935"/>
      <c r="AI53" s="935"/>
      <c r="AJ53" s="935"/>
      <c r="AK53" s="935"/>
      <c r="AL53" s="391" t="s">
        <v>15626</v>
      </c>
      <c r="AM53" s="838">
        <f>$AM$8</f>
        <v>0.7</v>
      </c>
      <c r="AN53" s="838"/>
      <c r="AO53" s="325"/>
      <c r="AP53" s="325"/>
      <c r="AQ53" s="325"/>
      <c r="AR53" s="388"/>
      <c r="AS53" s="392">
        <f>ROUND(ROUND(I52*S54,0)*AM53,0)</f>
        <v>398</v>
      </c>
      <c r="AT53" s="359"/>
    </row>
    <row r="54" spans="1:46" ht="17.100000000000001" customHeight="1" x14ac:dyDescent="0.15">
      <c r="A54" s="340">
        <v>21</v>
      </c>
      <c r="B54" s="341">
        <v>2058</v>
      </c>
      <c r="C54" s="342" t="s">
        <v>30875</v>
      </c>
      <c r="D54" s="469"/>
      <c r="E54" s="470"/>
      <c r="F54" s="469"/>
      <c r="G54" s="471"/>
      <c r="H54" s="324"/>
      <c r="I54" s="325"/>
      <c r="J54" s="325"/>
      <c r="K54" s="325"/>
      <c r="L54" s="388"/>
      <c r="M54" s="338"/>
      <c r="N54" s="338"/>
      <c r="O54" s="338"/>
      <c r="P54" s="338"/>
      <c r="Q54" s="338"/>
      <c r="R54" s="391" t="s">
        <v>15626</v>
      </c>
      <c r="S54" s="936">
        <f>$S$12</f>
        <v>0.96499999999999997</v>
      </c>
      <c r="T54" s="937"/>
      <c r="U54" s="931"/>
      <c r="V54" s="932"/>
      <c r="W54" s="932"/>
      <c r="X54" s="932"/>
      <c r="Y54" s="932"/>
      <c r="Z54" s="933"/>
      <c r="AA54" s="934" t="s">
        <v>30825</v>
      </c>
      <c r="AB54" s="935"/>
      <c r="AC54" s="935"/>
      <c r="AD54" s="935"/>
      <c r="AE54" s="935"/>
      <c r="AF54" s="935"/>
      <c r="AG54" s="935"/>
      <c r="AH54" s="935"/>
      <c r="AI54" s="935"/>
      <c r="AJ54" s="935"/>
      <c r="AK54" s="935"/>
      <c r="AL54" s="455" t="s">
        <v>15626</v>
      </c>
      <c r="AM54" s="938">
        <f>$AM$9</f>
        <v>0.5</v>
      </c>
      <c r="AN54" s="938"/>
      <c r="AO54" s="343"/>
      <c r="AP54" s="343"/>
      <c r="AQ54" s="343"/>
      <c r="AR54" s="407"/>
      <c r="AS54" s="353">
        <f>ROUND(ROUND(I52*S54,0)*AM54,0)</f>
        <v>284</v>
      </c>
      <c r="AT54" s="350"/>
    </row>
    <row r="55" spans="1:46" ht="17.100000000000001" customHeight="1" x14ac:dyDescent="0.15">
      <c r="A55" s="340">
        <v>21</v>
      </c>
      <c r="B55" s="341">
        <v>1311</v>
      </c>
      <c r="C55" s="342" t="s">
        <v>30876</v>
      </c>
      <c r="D55" s="941" t="s">
        <v>30818</v>
      </c>
      <c r="E55" s="942"/>
      <c r="F55" s="941" t="s">
        <v>30877</v>
      </c>
      <c r="G55" s="942"/>
      <c r="H55" s="861" t="s">
        <v>30820</v>
      </c>
      <c r="I55" s="862"/>
      <c r="J55" s="862"/>
      <c r="K55" s="862"/>
      <c r="L55" s="863"/>
      <c r="M55" s="396"/>
      <c r="N55" s="569"/>
      <c r="O55" s="400"/>
      <c r="P55" s="400"/>
      <c r="Q55" s="400"/>
      <c r="R55" s="400"/>
      <c r="S55" s="400"/>
      <c r="T55" s="429"/>
      <c r="U55" s="567"/>
      <c r="V55" s="568"/>
      <c r="W55" s="568"/>
      <c r="X55" s="568"/>
      <c r="Y55" s="459"/>
      <c r="Z55" s="459"/>
      <c r="AA55" s="343"/>
      <c r="AB55" s="343"/>
      <c r="AC55" s="455"/>
      <c r="AD55" s="455"/>
      <c r="AE55" s="455"/>
      <c r="AF55" s="455"/>
      <c r="AG55" s="455"/>
      <c r="AH55" s="343"/>
      <c r="AI55" s="343"/>
      <c r="AJ55" s="343"/>
      <c r="AK55" s="343"/>
      <c r="AL55" s="343"/>
      <c r="AM55" s="343"/>
      <c r="AN55" s="343"/>
      <c r="AO55" s="343"/>
      <c r="AP55" s="343"/>
      <c r="AQ55" s="343"/>
      <c r="AR55" s="407"/>
      <c r="AS55" s="392">
        <f>ROUND(I58,0)</f>
        <v>556</v>
      </c>
      <c r="AT55" s="329" t="s">
        <v>30681</v>
      </c>
    </row>
    <row r="56" spans="1:46" ht="17.100000000000001" customHeight="1" x14ac:dyDescent="0.15">
      <c r="A56" s="340">
        <v>21</v>
      </c>
      <c r="B56" s="341">
        <v>1312</v>
      </c>
      <c r="C56" s="342" t="s">
        <v>30878</v>
      </c>
      <c r="D56" s="943"/>
      <c r="E56" s="944"/>
      <c r="F56" s="943"/>
      <c r="G56" s="944"/>
      <c r="H56" s="864"/>
      <c r="I56" s="865"/>
      <c r="J56" s="865"/>
      <c r="K56" s="865"/>
      <c r="L56" s="866"/>
      <c r="N56" s="566"/>
      <c r="O56" s="566"/>
      <c r="P56" s="566"/>
      <c r="Q56" s="566"/>
      <c r="R56" s="566"/>
      <c r="S56" s="152"/>
      <c r="T56" s="387"/>
      <c r="U56" s="861" t="s">
        <v>30822</v>
      </c>
      <c r="V56" s="862"/>
      <c r="W56" s="862"/>
      <c r="X56" s="862"/>
      <c r="Y56" s="862"/>
      <c r="Z56" s="863"/>
      <c r="AA56" s="934" t="s">
        <v>30823</v>
      </c>
      <c r="AB56" s="935"/>
      <c r="AC56" s="935"/>
      <c r="AD56" s="935"/>
      <c r="AE56" s="935"/>
      <c r="AF56" s="935"/>
      <c r="AG56" s="935"/>
      <c r="AH56" s="935"/>
      <c r="AI56" s="935"/>
      <c r="AJ56" s="935"/>
      <c r="AK56" s="935"/>
      <c r="AL56" s="391" t="s">
        <v>15626</v>
      </c>
      <c r="AM56" s="838">
        <f>$AM$8</f>
        <v>0.7</v>
      </c>
      <c r="AN56" s="838"/>
      <c r="AO56" s="325"/>
      <c r="AP56" s="325"/>
      <c r="AQ56" s="325"/>
      <c r="AR56" s="388"/>
      <c r="AS56" s="392">
        <f>ROUND(I58*AM56,0)</f>
        <v>389</v>
      </c>
      <c r="AT56" s="359"/>
    </row>
    <row r="57" spans="1:46" ht="17.100000000000001" customHeight="1" x14ac:dyDescent="0.15">
      <c r="A57" s="340">
        <v>21</v>
      </c>
      <c r="B57" s="341">
        <v>2065</v>
      </c>
      <c r="C57" s="342" t="s">
        <v>30879</v>
      </c>
      <c r="D57" s="943"/>
      <c r="E57" s="944"/>
      <c r="F57" s="943"/>
      <c r="G57" s="944"/>
      <c r="H57" s="490"/>
      <c r="I57" s="152"/>
      <c r="L57" s="387"/>
      <c r="M57" s="325"/>
      <c r="N57" s="449"/>
      <c r="O57" s="449"/>
      <c r="P57" s="449"/>
      <c r="Q57" s="449"/>
      <c r="R57" s="449"/>
      <c r="S57" s="325"/>
      <c r="T57" s="388"/>
      <c r="U57" s="931"/>
      <c r="V57" s="932"/>
      <c r="W57" s="932"/>
      <c r="X57" s="932"/>
      <c r="Y57" s="932"/>
      <c r="Z57" s="933"/>
      <c r="AA57" s="934" t="s">
        <v>30825</v>
      </c>
      <c r="AB57" s="935"/>
      <c r="AC57" s="935"/>
      <c r="AD57" s="935"/>
      <c r="AE57" s="935"/>
      <c r="AF57" s="935"/>
      <c r="AG57" s="935"/>
      <c r="AH57" s="935"/>
      <c r="AI57" s="935"/>
      <c r="AJ57" s="935"/>
      <c r="AK57" s="935"/>
      <c r="AL57" s="455" t="s">
        <v>15626</v>
      </c>
      <c r="AM57" s="938">
        <f>$AM$9</f>
        <v>0.5</v>
      </c>
      <c r="AN57" s="938"/>
      <c r="AO57" s="343"/>
      <c r="AP57" s="343"/>
      <c r="AQ57" s="343"/>
      <c r="AR57" s="407"/>
      <c r="AS57" s="392">
        <f>ROUND(I58*AM57,0)</f>
        <v>278</v>
      </c>
      <c r="AT57" s="359"/>
    </row>
    <row r="58" spans="1:46" ht="17.100000000000001" customHeight="1" x14ac:dyDescent="0.15">
      <c r="A58" s="340">
        <v>21</v>
      </c>
      <c r="B58" s="341">
        <v>1313</v>
      </c>
      <c r="C58" s="342" t="s">
        <v>30880</v>
      </c>
      <c r="D58" s="943"/>
      <c r="E58" s="944"/>
      <c r="F58" s="943"/>
      <c r="G58" s="944"/>
      <c r="H58" s="490"/>
      <c r="I58" s="836">
        <v>556</v>
      </c>
      <c r="J58" s="836"/>
      <c r="K58" s="152" t="s">
        <v>15624</v>
      </c>
      <c r="L58" s="387"/>
      <c r="M58" s="862" t="s">
        <v>30827</v>
      </c>
      <c r="N58" s="862"/>
      <c r="O58" s="862"/>
      <c r="P58" s="862"/>
      <c r="Q58" s="862"/>
      <c r="R58" s="862"/>
      <c r="S58" s="862"/>
      <c r="T58" s="863"/>
      <c r="U58" s="567"/>
      <c r="V58" s="568"/>
      <c r="W58" s="568"/>
      <c r="X58" s="568"/>
      <c r="Y58" s="459"/>
      <c r="Z58" s="459"/>
      <c r="AA58" s="343"/>
      <c r="AB58" s="343"/>
      <c r="AC58" s="455"/>
      <c r="AD58" s="455"/>
      <c r="AE58" s="455"/>
      <c r="AF58" s="455"/>
      <c r="AG58" s="455"/>
      <c r="AH58" s="343"/>
      <c r="AI58" s="343"/>
      <c r="AJ58" s="343"/>
      <c r="AK58" s="343"/>
      <c r="AL58" s="343"/>
      <c r="AM58" s="343"/>
      <c r="AN58" s="343"/>
      <c r="AO58" s="343"/>
      <c r="AP58" s="343"/>
      <c r="AQ58" s="343"/>
      <c r="AR58" s="407"/>
      <c r="AS58" s="392">
        <f>ROUND(I58*S60,0)</f>
        <v>537</v>
      </c>
      <c r="AT58" s="359"/>
    </row>
    <row r="59" spans="1:46" ht="17.100000000000001" customHeight="1" x14ac:dyDescent="0.15">
      <c r="A59" s="340">
        <v>21</v>
      </c>
      <c r="B59" s="341">
        <v>1314</v>
      </c>
      <c r="C59" s="342" t="s">
        <v>30881</v>
      </c>
      <c r="D59" s="943"/>
      <c r="E59" s="944"/>
      <c r="F59" s="943"/>
      <c r="G59" s="944"/>
      <c r="H59" s="490"/>
      <c r="I59" s="152"/>
      <c r="L59" s="387"/>
      <c r="M59" s="865"/>
      <c r="N59" s="865"/>
      <c r="O59" s="865"/>
      <c r="P59" s="865"/>
      <c r="Q59" s="865"/>
      <c r="R59" s="865"/>
      <c r="S59" s="865"/>
      <c r="T59" s="866"/>
      <c r="U59" s="861" t="s">
        <v>30822</v>
      </c>
      <c r="V59" s="862"/>
      <c r="W59" s="862"/>
      <c r="X59" s="862"/>
      <c r="Y59" s="862"/>
      <c r="Z59" s="863"/>
      <c r="AA59" s="934" t="s">
        <v>30823</v>
      </c>
      <c r="AB59" s="935"/>
      <c r="AC59" s="935"/>
      <c r="AD59" s="935"/>
      <c r="AE59" s="935"/>
      <c r="AF59" s="935"/>
      <c r="AG59" s="935"/>
      <c r="AH59" s="935"/>
      <c r="AI59" s="935"/>
      <c r="AJ59" s="935"/>
      <c r="AK59" s="935"/>
      <c r="AL59" s="391" t="s">
        <v>15626</v>
      </c>
      <c r="AM59" s="838">
        <f>$AM$8</f>
        <v>0.7</v>
      </c>
      <c r="AN59" s="838"/>
      <c r="AO59" s="325"/>
      <c r="AP59" s="325"/>
      <c r="AQ59" s="325"/>
      <c r="AR59" s="388"/>
      <c r="AS59" s="392">
        <f>ROUND(ROUND(I58*S60,0)*AM59,0)</f>
        <v>376</v>
      </c>
      <c r="AT59" s="359"/>
    </row>
    <row r="60" spans="1:46" ht="17.100000000000001" customHeight="1" x14ac:dyDescent="0.15">
      <c r="A60" s="340">
        <v>21</v>
      </c>
      <c r="B60" s="341">
        <v>2066</v>
      </c>
      <c r="C60" s="342" t="s">
        <v>30882</v>
      </c>
      <c r="D60" s="943"/>
      <c r="E60" s="944"/>
      <c r="F60" s="943"/>
      <c r="G60" s="944"/>
      <c r="H60" s="490"/>
      <c r="I60" s="152"/>
      <c r="L60" s="387"/>
      <c r="M60" s="338"/>
      <c r="N60" s="338"/>
      <c r="O60" s="338"/>
      <c r="P60" s="338"/>
      <c r="Q60" s="338"/>
      <c r="R60" s="391" t="s">
        <v>15626</v>
      </c>
      <c r="S60" s="936">
        <f>$S$12</f>
        <v>0.96499999999999997</v>
      </c>
      <c r="T60" s="937"/>
      <c r="U60" s="931"/>
      <c r="V60" s="932"/>
      <c r="W60" s="932"/>
      <c r="X60" s="932"/>
      <c r="Y60" s="932"/>
      <c r="Z60" s="933"/>
      <c r="AA60" s="934" t="s">
        <v>30825</v>
      </c>
      <c r="AB60" s="935"/>
      <c r="AC60" s="935"/>
      <c r="AD60" s="935"/>
      <c r="AE60" s="935"/>
      <c r="AF60" s="935"/>
      <c r="AG60" s="935"/>
      <c r="AH60" s="935"/>
      <c r="AI60" s="935"/>
      <c r="AJ60" s="935"/>
      <c r="AK60" s="935"/>
      <c r="AL60" s="455" t="s">
        <v>15626</v>
      </c>
      <c r="AM60" s="938">
        <f>$AM$9</f>
        <v>0.5</v>
      </c>
      <c r="AN60" s="938"/>
      <c r="AO60" s="343"/>
      <c r="AP60" s="343"/>
      <c r="AQ60" s="343"/>
      <c r="AR60" s="407"/>
      <c r="AS60" s="392">
        <f>ROUND(ROUND(I58*S60,0)*AM60,0)</f>
        <v>269</v>
      </c>
      <c r="AT60" s="359"/>
    </row>
    <row r="61" spans="1:46" ht="17.100000000000001" customHeight="1" x14ac:dyDescent="0.15">
      <c r="A61" s="340">
        <v>21</v>
      </c>
      <c r="B61" s="341">
        <v>1321</v>
      </c>
      <c r="C61" s="342" t="s">
        <v>30883</v>
      </c>
      <c r="D61" s="943"/>
      <c r="E61" s="944"/>
      <c r="F61" s="943"/>
      <c r="G61" s="944"/>
      <c r="H61" s="861" t="s">
        <v>30831</v>
      </c>
      <c r="I61" s="862"/>
      <c r="J61" s="862"/>
      <c r="K61" s="862"/>
      <c r="L61" s="863"/>
      <c r="M61" s="396"/>
      <c r="N61" s="569"/>
      <c r="O61" s="400"/>
      <c r="P61" s="400"/>
      <c r="Q61" s="400"/>
      <c r="R61" s="400"/>
      <c r="S61" s="400"/>
      <c r="T61" s="429"/>
      <c r="U61" s="567"/>
      <c r="V61" s="568"/>
      <c r="W61" s="568"/>
      <c r="X61" s="568"/>
      <c r="Y61" s="459"/>
      <c r="Z61" s="459"/>
      <c r="AA61" s="343"/>
      <c r="AB61" s="343"/>
      <c r="AC61" s="455"/>
      <c r="AD61" s="455"/>
      <c r="AE61" s="455"/>
      <c r="AF61" s="455"/>
      <c r="AG61" s="455"/>
      <c r="AH61" s="343"/>
      <c r="AI61" s="343"/>
      <c r="AJ61" s="343"/>
      <c r="AK61" s="343"/>
      <c r="AL61" s="343"/>
      <c r="AM61" s="343"/>
      <c r="AN61" s="343"/>
      <c r="AO61" s="343"/>
      <c r="AP61" s="343"/>
      <c r="AQ61" s="343"/>
      <c r="AR61" s="407"/>
      <c r="AS61" s="392">
        <f>ROUND(I64,0)</f>
        <v>527</v>
      </c>
      <c r="AT61" s="359"/>
    </row>
    <row r="62" spans="1:46" ht="17.100000000000001" customHeight="1" x14ac:dyDescent="0.15">
      <c r="A62" s="340">
        <v>21</v>
      </c>
      <c r="B62" s="341">
        <v>1322</v>
      </c>
      <c r="C62" s="342" t="s">
        <v>30884</v>
      </c>
      <c r="D62" s="943"/>
      <c r="E62" s="944"/>
      <c r="F62" s="943"/>
      <c r="G62" s="944"/>
      <c r="H62" s="864"/>
      <c r="I62" s="865"/>
      <c r="J62" s="865"/>
      <c r="K62" s="865"/>
      <c r="L62" s="866"/>
      <c r="N62" s="566"/>
      <c r="O62" s="566"/>
      <c r="P62" s="566"/>
      <c r="Q62" s="566"/>
      <c r="R62" s="566"/>
      <c r="S62" s="152"/>
      <c r="T62" s="387"/>
      <c r="U62" s="861" t="s">
        <v>30822</v>
      </c>
      <c r="V62" s="862"/>
      <c r="W62" s="862"/>
      <c r="X62" s="862"/>
      <c r="Y62" s="862"/>
      <c r="Z62" s="863"/>
      <c r="AA62" s="934" t="s">
        <v>30823</v>
      </c>
      <c r="AB62" s="935"/>
      <c r="AC62" s="935"/>
      <c r="AD62" s="935"/>
      <c r="AE62" s="935"/>
      <c r="AF62" s="935"/>
      <c r="AG62" s="935"/>
      <c r="AH62" s="935"/>
      <c r="AI62" s="935"/>
      <c r="AJ62" s="935"/>
      <c r="AK62" s="935"/>
      <c r="AL62" s="391" t="s">
        <v>15626</v>
      </c>
      <c r="AM62" s="838">
        <f>$AM$8</f>
        <v>0.7</v>
      </c>
      <c r="AN62" s="838"/>
      <c r="AO62" s="325"/>
      <c r="AP62" s="325"/>
      <c r="AQ62" s="325"/>
      <c r="AR62" s="388"/>
      <c r="AS62" s="392">
        <f>ROUND(I64*AM62,0)</f>
        <v>369</v>
      </c>
      <c r="AT62" s="359"/>
    </row>
    <row r="63" spans="1:46" ht="17.100000000000001" customHeight="1" x14ac:dyDescent="0.15">
      <c r="A63" s="340">
        <v>21</v>
      </c>
      <c r="B63" s="341">
        <v>2073</v>
      </c>
      <c r="C63" s="342" t="s">
        <v>30885</v>
      </c>
      <c r="D63" s="943"/>
      <c r="E63" s="944"/>
      <c r="F63" s="943"/>
      <c r="G63" s="944"/>
      <c r="H63" s="490"/>
      <c r="I63" s="152"/>
      <c r="L63" s="387"/>
      <c r="M63" s="325"/>
      <c r="N63" s="449"/>
      <c r="O63" s="449"/>
      <c r="P63" s="449"/>
      <c r="Q63" s="449"/>
      <c r="R63" s="449"/>
      <c r="S63" s="325"/>
      <c r="T63" s="388"/>
      <c r="U63" s="931"/>
      <c r="V63" s="932"/>
      <c r="W63" s="932"/>
      <c r="X63" s="932"/>
      <c r="Y63" s="932"/>
      <c r="Z63" s="933"/>
      <c r="AA63" s="934" t="s">
        <v>30825</v>
      </c>
      <c r="AB63" s="935"/>
      <c r="AC63" s="935"/>
      <c r="AD63" s="935"/>
      <c r="AE63" s="935"/>
      <c r="AF63" s="935"/>
      <c r="AG63" s="935"/>
      <c r="AH63" s="935"/>
      <c r="AI63" s="935"/>
      <c r="AJ63" s="935"/>
      <c r="AK63" s="935"/>
      <c r="AL63" s="455" t="s">
        <v>15626</v>
      </c>
      <c r="AM63" s="938">
        <f>$AM$9</f>
        <v>0.5</v>
      </c>
      <c r="AN63" s="938"/>
      <c r="AO63" s="343"/>
      <c r="AP63" s="343"/>
      <c r="AQ63" s="343"/>
      <c r="AR63" s="407"/>
      <c r="AS63" s="392">
        <f>ROUND(I64*AM63,0)</f>
        <v>264</v>
      </c>
      <c r="AT63" s="359"/>
    </row>
    <row r="64" spans="1:46" ht="17.100000000000001" customHeight="1" x14ac:dyDescent="0.15">
      <c r="A64" s="340">
        <v>21</v>
      </c>
      <c r="B64" s="341">
        <v>1323</v>
      </c>
      <c r="C64" s="342" t="s">
        <v>30886</v>
      </c>
      <c r="D64" s="943"/>
      <c r="E64" s="944"/>
      <c r="F64" s="943"/>
      <c r="G64" s="944"/>
      <c r="H64" s="490"/>
      <c r="I64" s="836">
        <v>527</v>
      </c>
      <c r="J64" s="836"/>
      <c r="K64" s="152" t="s">
        <v>15624</v>
      </c>
      <c r="L64" s="387"/>
      <c r="M64" s="862" t="s">
        <v>30827</v>
      </c>
      <c r="N64" s="862"/>
      <c r="O64" s="862"/>
      <c r="P64" s="862"/>
      <c r="Q64" s="862"/>
      <c r="R64" s="862"/>
      <c r="S64" s="862"/>
      <c r="T64" s="863"/>
      <c r="U64" s="567"/>
      <c r="V64" s="568"/>
      <c r="W64" s="568"/>
      <c r="X64" s="568"/>
      <c r="Y64" s="459"/>
      <c r="Z64" s="459"/>
      <c r="AA64" s="343"/>
      <c r="AB64" s="343"/>
      <c r="AC64" s="455"/>
      <c r="AD64" s="455"/>
      <c r="AE64" s="455"/>
      <c r="AF64" s="455"/>
      <c r="AG64" s="455"/>
      <c r="AH64" s="343"/>
      <c r="AI64" s="343"/>
      <c r="AJ64" s="343"/>
      <c r="AK64" s="343"/>
      <c r="AL64" s="343"/>
      <c r="AM64" s="343"/>
      <c r="AN64" s="343"/>
      <c r="AO64" s="343"/>
      <c r="AP64" s="343"/>
      <c r="AQ64" s="343"/>
      <c r="AR64" s="407"/>
      <c r="AS64" s="392">
        <f>ROUND(I64*S66,0)</f>
        <v>509</v>
      </c>
      <c r="AT64" s="359"/>
    </row>
    <row r="65" spans="1:46" ht="17.100000000000001" customHeight="1" x14ac:dyDescent="0.15">
      <c r="A65" s="340">
        <v>21</v>
      </c>
      <c r="B65" s="341">
        <v>1324</v>
      </c>
      <c r="C65" s="342" t="s">
        <v>30887</v>
      </c>
      <c r="D65" s="943"/>
      <c r="E65" s="944"/>
      <c r="F65" s="943"/>
      <c r="G65" s="944"/>
      <c r="H65" s="490"/>
      <c r="I65" s="152"/>
      <c r="L65" s="387"/>
      <c r="M65" s="865"/>
      <c r="N65" s="865"/>
      <c r="O65" s="865"/>
      <c r="P65" s="865"/>
      <c r="Q65" s="865"/>
      <c r="R65" s="865"/>
      <c r="S65" s="865"/>
      <c r="T65" s="866"/>
      <c r="U65" s="861" t="s">
        <v>30822</v>
      </c>
      <c r="V65" s="862"/>
      <c r="W65" s="862"/>
      <c r="X65" s="862"/>
      <c r="Y65" s="862"/>
      <c r="Z65" s="863"/>
      <c r="AA65" s="934" t="s">
        <v>30823</v>
      </c>
      <c r="AB65" s="935"/>
      <c r="AC65" s="935"/>
      <c r="AD65" s="935"/>
      <c r="AE65" s="935"/>
      <c r="AF65" s="935"/>
      <c r="AG65" s="935"/>
      <c r="AH65" s="935"/>
      <c r="AI65" s="935"/>
      <c r="AJ65" s="935"/>
      <c r="AK65" s="935"/>
      <c r="AL65" s="391" t="s">
        <v>15626</v>
      </c>
      <c r="AM65" s="838">
        <f>$AM$8</f>
        <v>0.7</v>
      </c>
      <c r="AN65" s="838"/>
      <c r="AO65" s="325"/>
      <c r="AP65" s="325"/>
      <c r="AQ65" s="325"/>
      <c r="AR65" s="388"/>
      <c r="AS65" s="392">
        <f>ROUND(ROUND(I64*S66,0)*AM65,0)</f>
        <v>356</v>
      </c>
      <c r="AT65" s="359"/>
    </row>
    <row r="66" spans="1:46" ht="17.100000000000001" customHeight="1" x14ac:dyDescent="0.15">
      <c r="A66" s="340">
        <v>21</v>
      </c>
      <c r="B66" s="341">
        <v>2074</v>
      </c>
      <c r="C66" s="342" t="s">
        <v>30888</v>
      </c>
      <c r="D66" s="943"/>
      <c r="E66" s="944"/>
      <c r="F66" s="943"/>
      <c r="G66" s="944"/>
      <c r="H66" s="490"/>
      <c r="I66" s="152"/>
      <c r="L66" s="387"/>
      <c r="M66" s="338"/>
      <c r="N66" s="338"/>
      <c r="O66" s="338"/>
      <c r="P66" s="338"/>
      <c r="Q66" s="338"/>
      <c r="R66" s="391" t="s">
        <v>15626</v>
      </c>
      <c r="S66" s="936">
        <f>$S$12</f>
        <v>0.96499999999999997</v>
      </c>
      <c r="T66" s="937"/>
      <c r="U66" s="931"/>
      <c r="V66" s="932"/>
      <c r="W66" s="932"/>
      <c r="X66" s="932"/>
      <c r="Y66" s="932"/>
      <c r="Z66" s="933"/>
      <c r="AA66" s="934" t="s">
        <v>30825</v>
      </c>
      <c r="AB66" s="935"/>
      <c r="AC66" s="935"/>
      <c r="AD66" s="935"/>
      <c r="AE66" s="935"/>
      <c r="AF66" s="935"/>
      <c r="AG66" s="935"/>
      <c r="AH66" s="935"/>
      <c r="AI66" s="935"/>
      <c r="AJ66" s="935"/>
      <c r="AK66" s="935"/>
      <c r="AL66" s="455" t="s">
        <v>15626</v>
      </c>
      <c r="AM66" s="938">
        <f>$AM$9</f>
        <v>0.5</v>
      </c>
      <c r="AN66" s="938"/>
      <c r="AO66" s="343"/>
      <c r="AP66" s="343"/>
      <c r="AQ66" s="343"/>
      <c r="AR66" s="407"/>
      <c r="AS66" s="392">
        <f>ROUND(ROUND(I64*S66,0)*AM66,0)</f>
        <v>255</v>
      </c>
      <c r="AT66" s="359"/>
    </row>
    <row r="67" spans="1:46" ht="17.100000000000001" customHeight="1" x14ac:dyDescent="0.15">
      <c r="A67" s="340">
        <v>21</v>
      </c>
      <c r="B67" s="341">
        <v>1331</v>
      </c>
      <c r="C67" s="342" t="s">
        <v>30889</v>
      </c>
      <c r="D67" s="423"/>
      <c r="E67" s="424"/>
      <c r="F67" s="423"/>
      <c r="G67" s="424"/>
      <c r="H67" s="861" t="s">
        <v>30838</v>
      </c>
      <c r="I67" s="862"/>
      <c r="J67" s="862"/>
      <c r="K67" s="862"/>
      <c r="L67" s="863"/>
      <c r="M67" s="396"/>
      <c r="N67" s="569"/>
      <c r="O67" s="400"/>
      <c r="P67" s="400"/>
      <c r="Q67" s="400"/>
      <c r="R67" s="400"/>
      <c r="S67" s="400"/>
      <c r="T67" s="429"/>
      <c r="U67" s="567"/>
      <c r="V67" s="568"/>
      <c r="W67" s="568"/>
      <c r="X67" s="568"/>
      <c r="Y67" s="459"/>
      <c r="Z67" s="459"/>
      <c r="AA67" s="343"/>
      <c r="AB67" s="343"/>
      <c r="AC67" s="455"/>
      <c r="AD67" s="455"/>
      <c r="AE67" s="455"/>
      <c r="AF67" s="455"/>
      <c r="AG67" s="455"/>
      <c r="AH67" s="343"/>
      <c r="AI67" s="343"/>
      <c r="AJ67" s="343"/>
      <c r="AK67" s="343"/>
      <c r="AL67" s="343"/>
      <c r="AM67" s="343"/>
      <c r="AN67" s="343"/>
      <c r="AO67" s="343"/>
      <c r="AP67" s="343"/>
      <c r="AQ67" s="343"/>
      <c r="AR67" s="407"/>
      <c r="AS67" s="392">
        <f>ROUND(I70,0)</f>
        <v>497</v>
      </c>
      <c r="AT67" s="359"/>
    </row>
    <row r="68" spans="1:46" ht="17.100000000000001" customHeight="1" x14ac:dyDescent="0.15">
      <c r="A68" s="340">
        <v>21</v>
      </c>
      <c r="B68" s="341">
        <v>1332</v>
      </c>
      <c r="C68" s="342" t="s">
        <v>30890</v>
      </c>
      <c r="D68" s="423"/>
      <c r="E68" s="424"/>
      <c r="F68" s="423"/>
      <c r="G68" s="424"/>
      <c r="H68" s="864"/>
      <c r="I68" s="865"/>
      <c r="J68" s="865"/>
      <c r="K68" s="865"/>
      <c r="L68" s="866"/>
      <c r="N68" s="566"/>
      <c r="O68" s="566"/>
      <c r="P68" s="566"/>
      <c r="Q68" s="566"/>
      <c r="R68" s="566"/>
      <c r="S68" s="152"/>
      <c r="T68" s="387"/>
      <c r="U68" s="861" t="s">
        <v>30822</v>
      </c>
      <c r="V68" s="862"/>
      <c r="W68" s="862"/>
      <c r="X68" s="862"/>
      <c r="Y68" s="862"/>
      <c r="Z68" s="863"/>
      <c r="AA68" s="934" t="s">
        <v>30823</v>
      </c>
      <c r="AB68" s="935"/>
      <c r="AC68" s="935"/>
      <c r="AD68" s="935"/>
      <c r="AE68" s="935"/>
      <c r="AF68" s="935"/>
      <c r="AG68" s="935"/>
      <c r="AH68" s="935"/>
      <c r="AI68" s="935"/>
      <c r="AJ68" s="935"/>
      <c r="AK68" s="935"/>
      <c r="AL68" s="391" t="s">
        <v>15626</v>
      </c>
      <c r="AM68" s="838">
        <f>$AM$8</f>
        <v>0.7</v>
      </c>
      <c r="AN68" s="838"/>
      <c r="AO68" s="325"/>
      <c r="AP68" s="325"/>
      <c r="AQ68" s="325"/>
      <c r="AR68" s="388"/>
      <c r="AS68" s="392">
        <f>ROUND(I70*AM68,0)</f>
        <v>348</v>
      </c>
      <c r="AT68" s="359"/>
    </row>
    <row r="69" spans="1:46" ht="17.100000000000001" customHeight="1" x14ac:dyDescent="0.15">
      <c r="A69" s="340">
        <v>21</v>
      </c>
      <c r="B69" s="341">
        <v>2081</v>
      </c>
      <c r="C69" s="342" t="s">
        <v>30891</v>
      </c>
      <c r="D69" s="423"/>
      <c r="E69" s="424"/>
      <c r="F69" s="423"/>
      <c r="G69" s="424"/>
      <c r="H69" s="490"/>
      <c r="I69" s="152"/>
      <c r="L69" s="387"/>
      <c r="M69" s="325"/>
      <c r="N69" s="449"/>
      <c r="O69" s="449"/>
      <c r="P69" s="449"/>
      <c r="Q69" s="449"/>
      <c r="R69" s="449"/>
      <c r="S69" s="325"/>
      <c r="T69" s="388"/>
      <c r="U69" s="931"/>
      <c r="V69" s="932"/>
      <c r="W69" s="932"/>
      <c r="X69" s="932"/>
      <c r="Y69" s="932"/>
      <c r="Z69" s="933"/>
      <c r="AA69" s="934" t="s">
        <v>30825</v>
      </c>
      <c r="AB69" s="935"/>
      <c r="AC69" s="935"/>
      <c r="AD69" s="935"/>
      <c r="AE69" s="935"/>
      <c r="AF69" s="935"/>
      <c r="AG69" s="935"/>
      <c r="AH69" s="935"/>
      <c r="AI69" s="935"/>
      <c r="AJ69" s="935"/>
      <c r="AK69" s="935"/>
      <c r="AL69" s="455" t="s">
        <v>15626</v>
      </c>
      <c r="AM69" s="938">
        <f>$AM$9</f>
        <v>0.5</v>
      </c>
      <c r="AN69" s="938"/>
      <c r="AO69" s="343"/>
      <c r="AP69" s="343"/>
      <c r="AQ69" s="343"/>
      <c r="AR69" s="407"/>
      <c r="AS69" s="392">
        <f>ROUND(I70*AM69,0)</f>
        <v>249</v>
      </c>
      <c r="AT69" s="359"/>
    </row>
    <row r="70" spans="1:46" ht="17.100000000000001" customHeight="1" x14ac:dyDescent="0.15">
      <c r="A70" s="340">
        <v>21</v>
      </c>
      <c r="B70" s="341">
        <v>1333</v>
      </c>
      <c r="C70" s="342" t="s">
        <v>30892</v>
      </c>
      <c r="D70" s="423"/>
      <c r="E70" s="424"/>
      <c r="F70" s="423"/>
      <c r="G70" s="424"/>
      <c r="H70" s="490"/>
      <c r="I70" s="836">
        <v>497</v>
      </c>
      <c r="J70" s="836"/>
      <c r="K70" s="152" t="s">
        <v>15624</v>
      </c>
      <c r="L70" s="387"/>
      <c r="M70" s="862" t="s">
        <v>30827</v>
      </c>
      <c r="N70" s="862"/>
      <c r="O70" s="862"/>
      <c r="P70" s="862"/>
      <c r="Q70" s="862"/>
      <c r="R70" s="862"/>
      <c r="S70" s="862"/>
      <c r="T70" s="863"/>
      <c r="U70" s="567"/>
      <c r="V70" s="568"/>
      <c r="W70" s="568"/>
      <c r="X70" s="568"/>
      <c r="Y70" s="459"/>
      <c r="Z70" s="459"/>
      <c r="AA70" s="343"/>
      <c r="AB70" s="343"/>
      <c r="AC70" s="455"/>
      <c r="AD70" s="455"/>
      <c r="AE70" s="455"/>
      <c r="AF70" s="455"/>
      <c r="AG70" s="455"/>
      <c r="AH70" s="343"/>
      <c r="AI70" s="343"/>
      <c r="AJ70" s="343"/>
      <c r="AK70" s="343"/>
      <c r="AL70" s="343"/>
      <c r="AM70" s="343"/>
      <c r="AN70" s="343"/>
      <c r="AO70" s="343"/>
      <c r="AP70" s="343"/>
      <c r="AQ70" s="343"/>
      <c r="AR70" s="407"/>
      <c r="AS70" s="392">
        <f>ROUND(I70*S72,0)</f>
        <v>480</v>
      </c>
      <c r="AT70" s="359"/>
    </row>
    <row r="71" spans="1:46" ht="17.100000000000001" customHeight="1" x14ac:dyDescent="0.15">
      <c r="A71" s="340">
        <v>21</v>
      </c>
      <c r="B71" s="341">
        <v>1334</v>
      </c>
      <c r="C71" s="342" t="s">
        <v>30893</v>
      </c>
      <c r="D71" s="423"/>
      <c r="E71" s="424"/>
      <c r="F71" s="423"/>
      <c r="G71" s="424"/>
      <c r="H71" s="490"/>
      <c r="I71" s="152"/>
      <c r="L71" s="387"/>
      <c r="M71" s="865"/>
      <c r="N71" s="865"/>
      <c r="O71" s="865"/>
      <c r="P71" s="865"/>
      <c r="Q71" s="865"/>
      <c r="R71" s="865"/>
      <c r="S71" s="865"/>
      <c r="T71" s="866"/>
      <c r="U71" s="861" t="s">
        <v>30822</v>
      </c>
      <c r="V71" s="862"/>
      <c r="W71" s="862"/>
      <c r="X71" s="862"/>
      <c r="Y71" s="862"/>
      <c r="Z71" s="863"/>
      <c r="AA71" s="934" t="s">
        <v>30823</v>
      </c>
      <c r="AB71" s="935"/>
      <c r="AC71" s="935"/>
      <c r="AD71" s="935"/>
      <c r="AE71" s="935"/>
      <c r="AF71" s="935"/>
      <c r="AG71" s="935"/>
      <c r="AH71" s="935"/>
      <c r="AI71" s="935"/>
      <c r="AJ71" s="935"/>
      <c r="AK71" s="935"/>
      <c r="AL71" s="391" t="s">
        <v>15626</v>
      </c>
      <c r="AM71" s="838">
        <f>$AM$8</f>
        <v>0.7</v>
      </c>
      <c r="AN71" s="838"/>
      <c r="AO71" s="325"/>
      <c r="AP71" s="325"/>
      <c r="AQ71" s="325"/>
      <c r="AR71" s="388"/>
      <c r="AS71" s="392">
        <f>ROUND(ROUND(I70*S72,0)*AM71,0)</f>
        <v>336</v>
      </c>
      <c r="AT71" s="359"/>
    </row>
    <row r="72" spans="1:46" ht="17.100000000000001" customHeight="1" x14ac:dyDescent="0.15">
      <c r="A72" s="340">
        <v>21</v>
      </c>
      <c r="B72" s="341">
        <v>2082</v>
      </c>
      <c r="C72" s="342" t="s">
        <v>30894</v>
      </c>
      <c r="D72" s="423"/>
      <c r="E72" s="424"/>
      <c r="F72" s="423"/>
      <c r="G72" s="424"/>
      <c r="H72" s="490"/>
      <c r="I72" s="152"/>
      <c r="L72" s="387"/>
      <c r="M72" s="338"/>
      <c r="N72" s="338"/>
      <c r="O72" s="338"/>
      <c r="P72" s="338"/>
      <c r="Q72" s="338"/>
      <c r="R72" s="391" t="s">
        <v>15626</v>
      </c>
      <c r="S72" s="936">
        <f>$S$12</f>
        <v>0.96499999999999997</v>
      </c>
      <c r="T72" s="937"/>
      <c r="U72" s="931"/>
      <c r="V72" s="932"/>
      <c r="W72" s="932"/>
      <c r="X72" s="932"/>
      <c r="Y72" s="932"/>
      <c r="Z72" s="933"/>
      <c r="AA72" s="934" t="s">
        <v>30825</v>
      </c>
      <c r="AB72" s="935"/>
      <c r="AC72" s="935"/>
      <c r="AD72" s="935"/>
      <c r="AE72" s="935"/>
      <c r="AF72" s="935"/>
      <c r="AG72" s="935"/>
      <c r="AH72" s="935"/>
      <c r="AI72" s="935"/>
      <c r="AJ72" s="935"/>
      <c r="AK72" s="935"/>
      <c r="AL72" s="455" t="s">
        <v>15626</v>
      </c>
      <c r="AM72" s="938">
        <f>$AM$9</f>
        <v>0.5</v>
      </c>
      <c r="AN72" s="938"/>
      <c r="AO72" s="343"/>
      <c r="AP72" s="343"/>
      <c r="AQ72" s="343"/>
      <c r="AR72" s="407"/>
      <c r="AS72" s="392">
        <f>ROUND(ROUND(I70*S72,0)*AM72,0)</f>
        <v>240</v>
      </c>
      <c r="AT72" s="359"/>
    </row>
    <row r="73" spans="1:46" ht="17.100000000000001" customHeight="1" x14ac:dyDescent="0.15">
      <c r="A73" s="340">
        <v>21</v>
      </c>
      <c r="B73" s="341">
        <v>1341</v>
      </c>
      <c r="C73" s="342" t="s">
        <v>30895</v>
      </c>
      <c r="D73" s="423"/>
      <c r="E73" s="424"/>
      <c r="F73" s="423"/>
      <c r="G73" s="424"/>
      <c r="H73" s="861" t="s">
        <v>30845</v>
      </c>
      <c r="I73" s="862"/>
      <c r="J73" s="862"/>
      <c r="K73" s="862"/>
      <c r="L73" s="863"/>
      <c r="M73" s="396"/>
      <c r="N73" s="569"/>
      <c r="O73" s="400"/>
      <c r="P73" s="400"/>
      <c r="Q73" s="400"/>
      <c r="R73" s="400"/>
      <c r="S73" s="400"/>
      <c r="T73" s="429"/>
      <c r="U73" s="567"/>
      <c r="V73" s="568"/>
      <c r="W73" s="568"/>
      <c r="X73" s="568"/>
      <c r="Y73" s="459"/>
      <c r="Z73" s="459"/>
      <c r="AA73" s="343"/>
      <c r="AB73" s="343"/>
      <c r="AC73" s="455"/>
      <c r="AD73" s="455"/>
      <c r="AE73" s="455"/>
      <c r="AF73" s="455"/>
      <c r="AG73" s="455"/>
      <c r="AH73" s="343"/>
      <c r="AI73" s="343"/>
      <c r="AJ73" s="343"/>
      <c r="AK73" s="343"/>
      <c r="AL73" s="343"/>
      <c r="AM73" s="343"/>
      <c r="AN73" s="343"/>
      <c r="AO73" s="343"/>
      <c r="AP73" s="343"/>
      <c r="AQ73" s="343"/>
      <c r="AR73" s="407"/>
      <c r="AS73" s="392">
        <f>ROUND(I76,0)</f>
        <v>475</v>
      </c>
      <c r="AT73" s="359"/>
    </row>
    <row r="74" spans="1:46" ht="17.100000000000001" customHeight="1" x14ac:dyDescent="0.15">
      <c r="A74" s="340">
        <v>21</v>
      </c>
      <c r="B74" s="341">
        <v>1342</v>
      </c>
      <c r="C74" s="342" t="s">
        <v>30896</v>
      </c>
      <c r="D74" s="423"/>
      <c r="E74" s="424"/>
      <c r="F74" s="423"/>
      <c r="G74" s="424"/>
      <c r="H74" s="864"/>
      <c r="I74" s="865"/>
      <c r="J74" s="865"/>
      <c r="K74" s="865"/>
      <c r="L74" s="866"/>
      <c r="N74" s="566"/>
      <c r="O74" s="566"/>
      <c r="P74" s="566"/>
      <c r="Q74" s="566"/>
      <c r="R74" s="566"/>
      <c r="S74" s="152"/>
      <c r="T74" s="387"/>
      <c r="U74" s="861" t="s">
        <v>30822</v>
      </c>
      <c r="V74" s="862"/>
      <c r="W74" s="862"/>
      <c r="X74" s="862"/>
      <c r="Y74" s="862"/>
      <c r="Z74" s="863"/>
      <c r="AA74" s="934" t="s">
        <v>30823</v>
      </c>
      <c r="AB74" s="935"/>
      <c r="AC74" s="935"/>
      <c r="AD74" s="935"/>
      <c r="AE74" s="935"/>
      <c r="AF74" s="935"/>
      <c r="AG74" s="935"/>
      <c r="AH74" s="935"/>
      <c r="AI74" s="935"/>
      <c r="AJ74" s="935"/>
      <c r="AK74" s="935"/>
      <c r="AL74" s="391" t="s">
        <v>15626</v>
      </c>
      <c r="AM74" s="838">
        <f>$AM$8</f>
        <v>0.7</v>
      </c>
      <c r="AN74" s="838"/>
      <c r="AO74" s="325"/>
      <c r="AP74" s="325"/>
      <c r="AQ74" s="325"/>
      <c r="AR74" s="388"/>
      <c r="AS74" s="392">
        <f>ROUND(I76*AM74,0)</f>
        <v>333</v>
      </c>
      <c r="AT74" s="359"/>
    </row>
    <row r="75" spans="1:46" ht="17.100000000000001" customHeight="1" x14ac:dyDescent="0.15">
      <c r="A75" s="340">
        <v>21</v>
      </c>
      <c r="B75" s="341">
        <v>2089</v>
      </c>
      <c r="C75" s="342" t="s">
        <v>30897</v>
      </c>
      <c r="D75" s="423"/>
      <c r="E75" s="424"/>
      <c r="F75" s="423"/>
      <c r="G75" s="424"/>
      <c r="H75" s="490"/>
      <c r="I75" s="152"/>
      <c r="L75" s="387"/>
      <c r="M75" s="325"/>
      <c r="N75" s="449"/>
      <c r="O75" s="449"/>
      <c r="P75" s="449"/>
      <c r="Q75" s="449"/>
      <c r="R75" s="449"/>
      <c r="S75" s="325"/>
      <c r="T75" s="388"/>
      <c r="U75" s="931"/>
      <c r="V75" s="932"/>
      <c r="W75" s="932"/>
      <c r="X75" s="932"/>
      <c r="Y75" s="932"/>
      <c r="Z75" s="933"/>
      <c r="AA75" s="934" t="s">
        <v>30825</v>
      </c>
      <c r="AB75" s="935"/>
      <c r="AC75" s="935"/>
      <c r="AD75" s="935"/>
      <c r="AE75" s="935"/>
      <c r="AF75" s="935"/>
      <c r="AG75" s="935"/>
      <c r="AH75" s="935"/>
      <c r="AI75" s="935"/>
      <c r="AJ75" s="935"/>
      <c r="AK75" s="935"/>
      <c r="AL75" s="455" t="s">
        <v>15626</v>
      </c>
      <c r="AM75" s="938">
        <f>$AM$9</f>
        <v>0.5</v>
      </c>
      <c r="AN75" s="938"/>
      <c r="AO75" s="343"/>
      <c r="AP75" s="343"/>
      <c r="AQ75" s="343"/>
      <c r="AR75" s="407"/>
      <c r="AS75" s="392">
        <f>ROUND(I76*AM75,0)</f>
        <v>238</v>
      </c>
      <c r="AT75" s="359"/>
    </row>
    <row r="76" spans="1:46" ht="17.100000000000001" customHeight="1" x14ac:dyDescent="0.15">
      <c r="A76" s="340">
        <v>21</v>
      </c>
      <c r="B76" s="341">
        <v>1343</v>
      </c>
      <c r="C76" s="342" t="s">
        <v>30898</v>
      </c>
      <c r="D76" s="423"/>
      <c r="E76" s="424"/>
      <c r="F76" s="423"/>
      <c r="G76" s="425"/>
      <c r="H76" s="490"/>
      <c r="I76" s="836">
        <v>475</v>
      </c>
      <c r="J76" s="836"/>
      <c r="K76" s="152" t="s">
        <v>15624</v>
      </c>
      <c r="L76" s="387"/>
      <c r="M76" s="862" t="s">
        <v>30827</v>
      </c>
      <c r="N76" s="862"/>
      <c r="O76" s="862"/>
      <c r="P76" s="862"/>
      <c r="Q76" s="862"/>
      <c r="R76" s="862"/>
      <c r="S76" s="862"/>
      <c r="T76" s="863"/>
      <c r="U76" s="567"/>
      <c r="V76" s="568"/>
      <c r="W76" s="568"/>
      <c r="X76" s="568"/>
      <c r="Y76" s="459"/>
      <c r="Z76" s="459"/>
      <c r="AA76" s="343"/>
      <c r="AB76" s="343"/>
      <c r="AC76" s="455"/>
      <c r="AD76" s="455"/>
      <c r="AE76" s="455"/>
      <c r="AF76" s="455"/>
      <c r="AG76" s="455"/>
      <c r="AH76" s="343"/>
      <c r="AI76" s="343"/>
      <c r="AJ76" s="343"/>
      <c r="AK76" s="343"/>
      <c r="AL76" s="343"/>
      <c r="AM76" s="343"/>
      <c r="AN76" s="343"/>
      <c r="AO76" s="343"/>
      <c r="AP76" s="343"/>
      <c r="AQ76" s="343"/>
      <c r="AR76" s="407"/>
      <c r="AS76" s="392">
        <f>ROUND(I76*S78,0)</f>
        <v>458</v>
      </c>
      <c r="AT76" s="359"/>
    </row>
    <row r="77" spans="1:46" ht="17.100000000000001" customHeight="1" x14ac:dyDescent="0.15">
      <c r="A77" s="340">
        <v>21</v>
      </c>
      <c r="B77" s="341">
        <v>1344</v>
      </c>
      <c r="C77" s="342" t="s">
        <v>30899</v>
      </c>
      <c r="D77" s="423"/>
      <c r="E77" s="424"/>
      <c r="F77" s="423"/>
      <c r="G77" s="425"/>
      <c r="H77" s="152"/>
      <c r="I77" s="152"/>
      <c r="L77" s="387"/>
      <c r="M77" s="865"/>
      <c r="N77" s="865"/>
      <c r="O77" s="865"/>
      <c r="P77" s="865"/>
      <c r="Q77" s="865"/>
      <c r="R77" s="865"/>
      <c r="S77" s="865"/>
      <c r="T77" s="866"/>
      <c r="U77" s="861" t="s">
        <v>30822</v>
      </c>
      <c r="V77" s="862"/>
      <c r="W77" s="862"/>
      <c r="X77" s="862"/>
      <c r="Y77" s="862"/>
      <c r="Z77" s="863"/>
      <c r="AA77" s="934" t="s">
        <v>30823</v>
      </c>
      <c r="AB77" s="935"/>
      <c r="AC77" s="935"/>
      <c r="AD77" s="935"/>
      <c r="AE77" s="935"/>
      <c r="AF77" s="935"/>
      <c r="AG77" s="935"/>
      <c r="AH77" s="935"/>
      <c r="AI77" s="935"/>
      <c r="AJ77" s="935"/>
      <c r="AK77" s="935"/>
      <c r="AL77" s="391" t="s">
        <v>15626</v>
      </c>
      <c r="AM77" s="838">
        <f>$AM$8</f>
        <v>0.7</v>
      </c>
      <c r="AN77" s="838"/>
      <c r="AO77" s="325"/>
      <c r="AP77" s="325"/>
      <c r="AQ77" s="325"/>
      <c r="AR77" s="388"/>
      <c r="AS77" s="392">
        <f>ROUND(ROUND(I76*S78,0)*AM77,0)</f>
        <v>321</v>
      </c>
      <c r="AT77" s="359"/>
    </row>
    <row r="78" spans="1:46" ht="17.100000000000001" customHeight="1" x14ac:dyDescent="0.15">
      <c r="A78" s="340">
        <v>21</v>
      </c>
      <c r="B78" s="341">
        <v>2090</v>
      </c>
      <c r="C78" s="342" t="s">
        <v>30900</v>
      </c>
      <c r="D78" s="423"/>
      <c r="E78" s="425"/>
      <c r="F78" s="423"/>
      <c r="G78" s="425"/>
      <c r="H78" s="156"/>
      <c r="J78" s="151"/>
      <c r="K78" s="151"/>
      <c r="L78" s="495"/>
      <c r="M78" s="338"/>
      <c r="N78" s="338"/>
      <c r="O78" s="338"/>
      <c r="P78" s="338"/>
      <c r="Q78" s="338"/>
      <c r="R78" s="391" t="s">
        <v>15626</v>
      </c>
      <c r="S78" s="936">
        <f>$S$12</f>
        <v>0.96499999999999997</v>
      </c>
      <c r="T78" s="937"/>
      <c r="U78" s="931"/>
      <c r="V78" s="932"/>
      <c r="W78" s="932"/>
      <c r="X78" s="932"/>
      <c r="Y78" s="932"/>
      <c r="Z78" s="933"/>
      <c r="AA78" s="934" t="s">
        <v>30825</v>
      </c>
      <c r="AB78" s="935"/>
      <c r="AC78" s="935"/>
      <c r="AD78" s="935"/>
      <c r="AE78" s="935"/>
      <c r="AF78" s="935"/>
      <c r="AG78" s="935"/>
      <c r="AH78" s="935"/>
      <c r="AI78" s="935"/>
      <c r="AJ78" s="935"/>
      <c r="AK78" s="935"/>
      <c r="AL78" s="455" t="s">
        <v>15626</v>
      </c>
      <c r="AM78" s="938">
        <f>$AM$9</f>
        <v>0.5</v>
      </c>
      <c r="AN78" s="938"/>
      <c r="AO78" s="343"/>
      <c r="AP78" s="343"/>
      <c r="AQ78" s="343"/>
      <c r="AR78" s="407"/>
      <c r="AS78" s="392">
        <f>ROUND(ROUND(I76*S78,0)*AM78,0)</f>
        <v>229</v>
      </c>
      <c r="AT78" s="359"/>
    </row>
    <row r="79" spans="1:46" ht="17.100000000000001" customHeight="1" x14ac:dyDescent="0.15">
      <c r="A79" s="340">
        <v>21</v>
      </c>
      <c r="B79" s="341">
        <v>1411</v>
      </c>
      <c r="C79" s="342" t="s">
        <v>30901</v>
      </c>
      <c r="D79" s="573"/>
      <c r="E79" s="574"/>
      <c r="F79" s="941" t="s">
        <v>30902</v>
      </c>
      <c r="G79" s="942"/>
      <c r="H79" s="552" t="s">
        <v>30820</v>
      </c>
      <c r="I79" s="575"/>
      <c r="J79" s="575"/>
      <c r="K79" s="575"/>
      <c r="L79" s="575"/>
      <c r="M79" s="396"/>
      <c r="N79" s="569"/>
      <c r="O79" s="400"/>
      <c r="P79" s="400"/>
      <c r="Q79" s="400"/>
      <c r="R79" s="400"/>
      <c r="S79" s="400"/>
      <c r="T79" s="429"/>
      <c r="U79" s="568"/>
      <c r="V79" s="568"/>
      <c r="W79" s="568"/>
      <c r="X79" s="568"/>
      <c r="Y79" s="459"/>
      <c r="Z79" s="459"/>
      <c r="AA79" s="343"/>
      <c r="AB79" s="396"/>
      <c r="AC79" s="427"/>
      <c r="AD79" s="427"/>
      <c r="AE79" s="427"/>
      <c r="AF79" s="427"/>
      <c r="AG79" s="427"/>
      <c r="AH79" s="396"/>
      <c r="AI79" s="396"/>
      <c r="AJ79" s="396"/>
      <c r="AK79" s="396"/>
      <c r="AL79" s="396"/>
      <c r="AM79" s="343"/>
      <c r="AN79" s="343"/>
      <c r="AO79" s="459"/>
      <c r="AP79" s="343"/>
      <c r="AQ79" s="343"/>
      <c r="AR79" s="407"/>
      <c r="AS79" s="392">
        <f>ROUND(I81,0)</f>
        <v>445</v>
      </c>
      <c r="AT79" s="359"/>
    </row>
    <row r="80" spans="1:46" ht="17.100000000000001" customHeight="1" x14ac:dyDescent="0.15">
      <c r="A80" s="340">
        <v>21</v>
      </c>
      <c r="B80" s="341">
        <v>1412</v>
      </c>
      <c r="C80" s="342" t="s">
        <v>30903</v>
      </c>
      <c r="D80" s="573"/>
      <c r="E80" s="574"/>
      <c r="F80" s="943"/>
      <c r="G80" s="944"/>
      <c r="H80" s="423"/>
      <c r="I80" s="424"/>
      <c r="J80" s="424"/>
      <c r="K80" s="424"/>
      <c r="L80" s="424"/>
      <c r="N80" s="566"/>
      <c r="O80" s="566"/>
      <c r="P80" s="566"/>
      <c r="Q80" s="566"/>
      <c r="R80" s="566"/>
      <c r="S80" s="152"/>
      <c r="T80" s="387"/>
      <c r="U80" s="862" t="s">
        <v>30822</v>
      </c>
      <c r="V80" s="862"/>
      <c r="W80" s="862"/>
      <c r="X80" s="862"/>
      <c r="Y80" s="862"/>
      <c r="Z80" s="863"/>
      <c r="AA80" s="934" t="s">
        <v>30823</v>
      </c>
      <c r="AB80" s="935"/>
      <c r="AC80" s="935"/>
      <c r="AD80" s="935"/>
      <c r="AE80" s="935"/>
      <c r="AF80" s="935"/>
      <c r="AG80" s="935"/>
      <c r="AH80" s="935"/>
      <c r="AI80" s="935"/>
      <c r="AJ80" s="935"/>
      <c r="AK80" s="935"/>
      <c r="AL80" s="455" t="s">
        <v>15626</v>
      </c>
      <c r="AM80" s="838">
        <f>$AM$8</f>
        <v>0.7</v>
      </c>
      <c r="AN80" s="838"/>
      <c r="AO80" s="454"/>
      <c r="AP80" s="343"/>
      <c r="AQ80" s="343"/>
      <c r="AR80" s="407"/>
      <c r="AS80" s="392">
        <f>ROUND(I81*AM80,0)</f>
        <v>312</v>
      </c>
      <c r="AT80" s="359"/>
    </row>
    <row r="81" spans="1:46" ht="17.100000000000001" customHeight="1" x14ac:dyDescent="0.15">
      <c r="A81" s="340">
        <v>21</v>
      </c>
      <c r="B81" s="341">
        <v>2097</v>
      </c>
      <c r="C81" s="342" t="s">
        <v>30904</v>
      </c>
      <c r="D81" s="573"/>
      <c r="E81" s="574"/>
      <c r="F81" s="943"/>
      <c r="G81" s="944"/>
      <c r="H81" s="490"/>
      <c r="I81" s="836">
        <v>445</v>
      </c>
      <c r="J81" s="836"/>
      <c r="K81" s="152" t="s">
        <v>15624</v>
      </c>
      <c r="N81" s="566"/>
      <c r="O81" s="566"/>
      <c r="P81" s="566"/>
      <c r="Q81" s="566"/>
      <c r="R81" s="566"/>
      <c r="S81" s="152"/>
      <c r="T81" s="387"/>
      <c r="U81" s="932"/>
      <c r="V81" s="932"/>
      <c r="W81" s="932"/>
      <c r="X81" s="932"/>
      <c r="Y81" s="932"/>
      <c r="Z81" s="933"/>
      <c r="AA81" s="934" t="s">
        <v>30825</v>
      </c>
      <c r="AB81" s="935"/>
      <c r="AC81" s="935"/>
      <c r="AD81" s="935"/>
      <c r="AE81" s="935"/>
      <c r="AF81" s="935"/>
      <c r="AG81" s="935"/>
      <c r="AH81" s="935"/>
      <c r="AI81" s="935"/>
      <c r="AJ81" s="935"/>
      <c r="AK81" s="935"/>
      <c r="AL81" s="455" t="s">
        <v>15626</v>
      </c>
      <c r="AM81" s="938">
        <f>$AM$9</f>
        <v>0.5</v>
      </c>
      <c r="AN81" s="938"/>
      <c r="AO81" s="454"/>
      <c r="AP81" s="343"/>
      <c r="AQ81" s="343"/>
      <c r="AR81" s="407"/>
      <c r="AS81" s="392">
        <f>ROUND(I81*AM81,0)</f>
        <v>223</v>
      </c>
      <c r="AT81" s="359"/>
    </row>
    <row r="82" spans="1:46" ht="17.100000000000001" customHeight="1" x14ac:dyDescent="0.15">
      <c r="A82" s="340">
        <v>21</v>
      </c>
      <c r="B82" s="341">
        <v>1421</v>
      </c>
      <c r="C82" s="342" t="s">
        <v>30905</v>
      </c>
      <c r="D82" s="573"/>
      <c r="E82" s="574"/>
      <c r="F82" s="943"/>
      <c r="G82" s="944"/>
      <c r="H82" s="552" t="s">
        <v>30831</v>
      </c>
      <c r="I82" s="553"/>
      <c r="J82" s="553"/>
      <c r="K82" s="553"/>
      <c r="L82" s="553"/>
      <c r="M82" s="396"/>
      <c r="N82" s="569"/>
      <c r="O82" s="400"/>
      <c r="P82" s="400"/>
      <c r="Q82" s="400"/>
      <c r="R82" s="400"/>
      <c r="S82" s="400"/>
      <c r="T82" s="429"/>
      <c r="U82" s="568"/>
      <c r="V82" s="568"/>
      <c r="W82" s="568"/>
      <c r="X82" s="568"/>
      <c r="Y82" s="459"/>
      <c r="Z82" s="459"/>
      <c r="AA82" s="343"/>
      <c r="AB82" s="396"/>
      <c r="AC82" s="427"/>
      <c r="AD82" s="427"/>
      <c r="AE82" s="427"/>
      <c r="AF82" s="427"/>
      <c r="AG82" s="427"/>
      <c r="AH82" s="396"/>
      <c r="AI82" s="396"/>
      <c r="AJ82" s="396"/>
      <c r="AK82" s="396"/>
      <c r="AL82" s="396"/>
      <c r="AM82" s="343"/>
      <c r="AN82" s="343"/>
      <c r="AO82" s="459"/>
      <c r="AP82" s="343"/>
      <c r="AQ82" s="343"/>
      <c r="AR82" s="407"/>
      <c r="AS82" s="392">
        <f>ROUND(I84,0)</f>
        <v>409</v>
      </c>
      <c r="AT82" s="359"/>
    </row>
    <row r="83" spans="1:46" ht="17.100000000000001" customHeight="1" x14ac:dyDescent="0.15">
      <c r="A83" s="340">
        <v>21</v>
      </c>
      <c r="B83" s="341">
        <v>1422</v>
      </c>
      <c r="C83" s="342" t="s">
        <v>30906</v>
      </c>
      <c r="D83" s="573"/>
      <c r="E83" s="574"/>
      <c r="F83" s="943"/>
      <c r="G83" s="944"/>
      <c r="H83" s="555"/>
      <c r="I83" s="556"/>
      <c r="J83" s="556"/>
      <c r="K83" s="556"/>
      <c r="L83" s="556"/>
      <c r="N83" s="566"/>
      <c r="O83" s="566"/>
      <c r="P83" s="566"/>
      <c r="Q83" s="566"/>
      <c r="R83" s="566"/>
      <c r="S83" s="152"/>
      <c r="T83" s="387"/>
      <c r="U83" s="862" t="s">
        <v>30822</v>
      </c>
      <c r="V83" s="862"/>
      <c r="W83" s="862"/>
      <c r="X83" s="862"/>
      <c r="Y83" s="862"/>
      <c r="Z83" s="863"/>
      <c r="AA83" s="934" t="s">
        <v>30823</v>
      </c>
      <c r="AB83" s="935"/>
      <c r="AC83" s="935"/>
      <c r="AD83" s="935"/>
      <c r="AE83" s="935"/>
      <c r="AF83" s="935"/>
      <c r="AG83" s="935"/>
      <c r="AH83" s="935"/>
      <c r="AI83" s="935"/>
      <c r="AJ83" s="935"/>
      <c r="AK83" s="935"/>
      <c r="AL83" s="455" t="s">
        <v>15626</v>
      </c>
      <c r="AM83" s="838">
        <f>$AM$8</f>
        <v>0.7</v>
      </c>
      <c r="AN83" s="838"/>
      <c r="AO83" s="454"/>
      <c r="AP83" s="343"/>
      <c r="AQ83" s="343"/>
      <c r="AR83" s="407"/>
      <c r="AS83" s="392">
        <f>ROUND(I84*AM83,0)</f>
        <v>286</v>
      </c>
      <c r="AT83" s="359"/>
    </row>
    <row r="84" spans="1:46" ht="17.100000000000001" customHeight="1" x14ac:dyDescent="0.15">
      <c r="A84" s="340">
        <v>21</v>
      </c>
      <c r="B84" s="341">
        <v>2101</v>
      </c>
      <c r="C84" s="342" t="s">
        <v>30907</v>
      </c>
      <c r="D84" s="573"/>
      <c r="E84" s="574"/>
      <c r="F84" s="943"/>
      <c r="G84" s="944"/>
      <c r="H84" s="490"/>
      <c r="I84" s="836">
        <v>409</v>
      </c>
      <c r="J84" s="836"/>
      <c r="K84" s="152" t="s">
        <v>15624</v>
      </c>
      <c r="N84" s="566"/>
      <c r="O84" s="566"/>
      <c r="P84" s="566"/>
      <c r="Q84" s="566"/>
      <c r="R84" s="566"/>
      <c r="S84" s="152"/>
      <c r="T84" s="387"/>
      <c r="U84" s="932"/>
      <c r="V84" s="932"/>
      <c r="W84" s="932"/>
      <c r="X84" s="932"/>
      <c r="Y84" s="932"/>
      <c r="Z84" s="933"/>
      <c r="AA84" s="934" t="s">
        <v>30825</v>
      </c>
      <c r="AB84" s="935"/>
      <c r="AC84" s="935"/>
      <c r="AD84" s="935"/>
      <c r="AE84" s="935"/>
      <c r="AF84" s="935"/>
      <c r="AG84" s="935"/>
      <c r="AH84" s="935"/>
      <c r="AI84" s="935"/>
      <c r="AJ84" s="935"/>
      <c r="AK84" s="935"/>
      <c r="AL84" s="455" t="s">
        <v>15626</v>
      </c>
      <c r="AM84" s="938">
        <f>$AM$9</f>
        <v>0.5</v>
      </c>
      <c r="AN84" s="938"/>
      <c r="AO84" s="454"/>
      <c r="AP84" s="343"/>
      <c r="AQ84" s="343"/>
      <c r="AR84" s="407"/>
      <c r="AS84" s="392">
        <f>ROUND(I84*AM84,0)</f>
        <v>205</v>
      </c>
      <c r="AT84" s="359"/>
    </row>
    <row r="85" spans="1:46" ht="17.100000000000001" customHeight="1" x14ac:dyDescent="0.15">
      <c r="A85" s="340">
        <v>21</v>
      </c>
      <c r="B85" s="341">
        <v>1431</v>
      </c>
      <c r="C85" s="342" t="s">
        <v>30908</v>
      </c>
      <c r="D85" s="573"/>
      <c r="E85" s="574"/>
      <c r="F85" s="943"/>
      <c r="G85" s="944"/>
      <c r="H85" s="547" t="s">
        <v>30838</v>
      </c>
      <c r="I85" s="396"/>
      <c r="J85" s="396"/>
      <c r="K85" s="396"/>
      <c r="L85" s="396"/>
      <c r="M85" s="396"/>
      <c r="N85" s="569"/>
      <c r="O85" s="400"/>
      <c r="P85" s="400"/>
      <c r="Q85" s="400"/>
      <c r="R85" s="400"/>
      <c r="S85" s="400"/>
      <c r="T85" s="429"/>
      <c r="U85" s="568"/>
      <c r="V85" s="568"/>
      <c r="W85" s="568"/>
      <c r="X85" s="568"/>
      <c r="Y85" s="459"/>
      <c r="Z85" s="459"/>
      <c r="AA85" s="343"/>
      <c r="AB85" s="396"/>
      <c r="AC85" s="427"/>
      <c r="AD85" s="427"/>
      <c r="AE85" s="427"/>
      <c r="AF85" s="427"/>
      <c r="AG85" s="427"/>
      <c r="AH85" s="396"/>
      <c r="AI85" s="396"/>
      <c r="AJ85" s="396"/>
      <c r="AK85" s="396"/>
      <c r="AL85" s="396"/>
      <c r="AM85" s="343"/>
      <c r="AN85" s="343"/>
      <c r="AO85" s="459"/>
      <c r="AP85" s="343"/>
      <c r="AQ85" s="343"/>
      <c r="AR85" s="407"/>
      <c r="AS85" s="392">
        <f>ROUND(I87,0)</f>
        <v>381</v>
      </c>
      <c r="AT85" s="359"/>
    </row>
    <row r="86" spans="1:46" ht="17.100000000000001" customHeight="1" x14ac:dyDescent="0.15">
      <c r="A86" s="340">
        <v>21</v>
      </c>
      <c r="B86" s="341">
        <v>1432</v>
      </c>
      <c r="C86" s="342" t="s">
        <v>30909</v>
      </c>
      <c r="D86" s="573"/>
      <c r="E86" s="574"/>
      <c r="F86" s="943"/>
      <c r="G86" s="944"/>
      <c r="H86" s="490"/>
      <c r="N86" s="566"/>
      <c r="O86" s="566"/>
      <c r="P86" s="566"/>
      <c r="Q86" s="566"/>
      <c r="R86" s="566"/>
      <c r="S86" s="152"/>
      <c r="T86" s="387"/>
      <c r="U86" s="862" t="s">
        <v>30822</v>
      </c>
      <c r="V86" s="862"/>
      <c r="W86" s="862"/>
      <c r="X86" s="862"/>
      <c r="Y86" s="862"/>
      <c r="Z86" s="863"/>
      <c r="AA86" s="934" t="s">
        <v>30823</v>
      </c>
      <c r="AB86" s="935"/>
      <c r="AC86" s="935"/>
      <c r="AD86" s="935"/>
      <c r="AE86" s="935"/>
      <c r="AF86" s="935"/>
      <c r="AG86" s="935"/>
      <c r="AH86" s="935"/>
      <c r="AI86" s="935"/>
      <c r="AJ86" s="935"/>
      <c r="AK86" s="935"/>
      <c r="AL86" s="455" t="s">
        <v>15626</v>
      </c>
      <c r="AM86" s="838">
        <f>$AM$8</f>
        <v>0.7</v>
      </c>
      <c r="AN86" s="838"/>
      <c r="AO86" s="454"/>
      <c r="AP86" s="343"/>
      <c r="AQ86" s="343"/>
      <c r="AR86" s="407"/>
      <c r="AS86" s="392">
        <f>ROUND(I87*AM86,0)</f>
        <v>267</v>
      </c>
      <c r="AT86" s="359"/>
    </row>
    <row r="87" spans="1:46" ht="17.100000000000001" customHeight="1" x14ac:dyDescent="0.15">
      <c r="A87" s="340">
        <v>21</v>
      </c>
      <c r="B87" s="341">
        <v>2105</v>
      </c>
      <c r="C87" s="342" t="s">
        <v>30910</v>
      </c>
      <c r="D87" s="573"/>
      <c r="E87" s="574"/>
      <c r="F87" s="943"/>
      <c r="G87" s="944"/>
      <c r="H87" s="490"/>
      <c r="I87" s="836">
        <v>381</v>
      </c>
      <c r="J87" s="836"/>
      <c r="K87" s="152" t="s">
        <v>15624</v>
      </c>
      <c r="N87" s="566"/>
      <c r="O87" s="566"/>
      <c r="P87" s="566"/>
      <c r="Q87" s="566"/>
      <c r="R87" s="566"/>
      <c r="S87" s="152"/>
      <c r="T87" s="387"/>
      <c r="U87" s="932"/>
      <c r="V87" s="932"/>
      <c r="W87" s="932"/>
      <c r="X87" s="932"/>
      <c r="Y87" s="932"/>
      <c r="Z87" s="933"/>
      <c r="AA87" s="934" t="s">
        <v>30825</v>
      </c>
      <c r="AB87" s="935"/>
      <c r="AC87" s="935"/>
      <c r="AD87" s="935"/>
      <c r="AE87" s="935"/>
      <c r="AF87" s="935"/>
      <c r="AG87" s="935"/>
      <c r="AH87" s="935"/>
      <c r="AI87" s="935"/>
      <c r="AJ87" s="935"/>
      <c r="AK87" s="935"/>
      <c r="AL87" s="455" t="s">
        <v>15626</v>
      </c>
      <c r="AM87" s="938">
        <f>$AM$9</f>
        <v>0.5</v>
      </c>
      <c r="AN87" s="938"/>
      <c r="AO87" s="454"/>
      <c r="AP87" s="343"/>
      <c r="AQ87" s="343"/>
      <c r="AR87" s="407"/>
      <c r="AS87" s="392">
        <f>ROUND(I87*AM87,0)</f>
        <v>191</v>
      </c>
      <c r="AT87" s="359"/>
    </row>
    <row r="88" spans="1:46" ht="17.100000000000001" customHeight="1" x14ac:dyDescent="0.15">
      <c r="A88" s="340">
        <v>21</v>
      </c>
      <c r="B88" s="341">
        <v>1441</v>
      </c>
      <c r="C88" s="342" t="s">
        <v>30911</v>
      </c>
      <c r="D88" s="573"/>
      <c r="E88" s="574"/>
      <c r="F88" s="943"/>
      <c r="G88" s="944"/>
      <c r="H88" s="547" t="s">
        <v>30845</v>
      </c>
      <c r="I88" s="396"/>
      <c r="J88" s="396"/>
      <c r="K88" s="396"/>
      <c r="L88" s="396"/>
      <c r="M88" s="396"/>
      <c r="N88" s="569"/>
      <c r="O88" s="400"/>
      <c r="P88" s="400"/>
      <c r="Q88" s="400"/>
      <c r="R88" s="400"/>
      <c r="S88" s="400"/>
      <c r="T88" s="429"/>
      <c r="U88" s="568"/>
      <c r="V88" s="568"/>
      <c r="W88" s="568"/>
      <c r="X88" s="568"/>
      <c r="Y88" s="459"/>
      <c r="Z88" s="459"/>
      <c r="AA88" s="343"/>
      <c r="AB88" s="396"/>
      <c r="AC88" s="427"/>
      <c r="AD88" s="427"/>
      <c r="AE88" s="427"/>
      <c r="AF88" s="427"/>
      <c r="AG88" s="427"/>
      <c r="AH88" s="396"/>
      <c r="AI88" s="396"/>
      <c r="AJ88" s="396"/>
      <c r="AK88" s="396"/>
      <c r="AL88" s="396"/>
      <c r="AM88" s="343"/>
      <c r="AN88" s="343"/>
      <c r="AO88" s="459"/>
      <c r="AP88" s="343"/>
      <c r="AQ88" s="343"/>
      <c r="AR88" s="407"/>
      <c r="AS88" s="392">
        <f>ROUND(I90,0)</f>
        <v>361</v>
      </c>
      <c r="AT88" s="359"/>
    </row>
    <row r="89" spans="1:46" ht="17.100000000000001" customHeight="1" x14ac:dyDescent="0.15">
      <c r="A89" s="340">
        <v>21</v>
      </c>
      <c r="B89" s="341">
        <v>1442</v>
      </c>
      <c r="C89" s="342" t="s">
        <v>30912</v>
      </c>
      <c r="D89" s="573"/>
      <c r="E89" s="574"/>
      <c r="F89" s="943"/>
      <c r="G89" s="944"/>
      <c r="H89" s="490"/>
      <c r="N89" s="566"/>
      <c r="O89" s="566"/>
      <c r="P89" s="566"/>
      <c r="Q89" s="566"/>
      <c r="R89" s="566"/>
      <c r="S89" s="152"/>
      <c r="T89" s="387"/>
      <c r="U89" s="862" t="s">
        <v>30822</v>
      </c>
      <c r="V89" s="862"/>
      <c r="W89" s="862"/>
      <c r="X89" s="862"/>
      <c r="Y89" s="862"/>
      <c r="Z89" s="863"/>
      <c r="AA89" s="934" t="s">
        <v>30823</v>
      </c>
      <c r="AB89" s="935"/>
      <c r="AC89" s="935"/>
      <c r="AD89" s="935"/>
      <c r="AE89" s="935"/>
      <c r="AF89" s="935"/>
      <c r="AG89" s="935"/>
      <c r="AH89" s="935"/>
      <c r="AI89" s="935"/>
      <c r="AJ89" s="935"/>
      <c r="AK89" s="935"/>
      <c r="AL89" s="455" t="s">
        <v>15626</v>
      </c>
      <c r="AM89" s="838">
        <f>$AM$8</f>
        <v>0.7</v>
      </c>
      <c r="AN89" s="838"/>
      <c r="AO89" s="454"/>
      <c r="AP89" s="343"/>
      <c r="AQ89" s="343"/>
      <c r="AR89" s="407"/>
      <c r="AS89" s="392">
        <f>ROUND(I90*AM89,0)</f>
        <v>253</v>
      </c>
      <c r="AT89" s="359"/>
    </row>
    <row r="90" spans="1:46" ht="17.100000000000001" customHeight="1" x14ac:dyDescent="0.15">
      <c r="A90" s="340">
        <v>21</v>
      </c>
      <c r="B90" s="341">
        <v>2109</v>
      </c>
      <c r="C90" s="342" t="s">
        <v>30913</v>
      </c>
      <c r="D90" s="573"/>
      <c r="E90" s="574"/>
      <c r="F90" s="957"/>
      <c r="G90" s="958"/>
      <c r="H90" s="490"/>
      <c r="I90" s="836">
        <v>361</v>
      </c>
      <c r="J90" s="836"/>
      <c r="K90" s="152" t="s">
        <v>15624</v>
      </c>
      <c r="M90" s="325"/>
      <c r="N90" s="449"/>
      <c r="O90" s="449"/>
      <c r="P90" s="449"/>
      <c r="Q90" s="449"/>
      <c r="R90" s="449"/>
      <c r="S90" s="325"/>
      <c r="T90" s="388"/>
      <c r="U90" s="932"/>
      <c r="V90" s="932"/>
      <c r="W90" s="932"/>
      <c r="X90" s="932"/>
      <c r="Y90" s="932"/>
      <c r="Z90" s="933"/>
      <c r="AA90" s="934" t="s">
        <v>30825</v>
      </c>
      <c r="AB90" s="935"/>
      <c r="AC90" s="935"/>
      <c r="AD90" s="935"/>
      <c r="AE90" s="935"/>
      <c r="AF90" s="935"/>
      <c r="AG90" s="935"/>
      <c r="AH90" s="935"/>
      <c r="AI90" s="935"/>
      <c r="AJ90" s="935"/>
      <c r="AK90" s="935"/>
      <c r="AL90" s="455" t="s">
        <v>15626</v>
      </c>
      <c r="AM90" s="938">
        <f>$AM$9</f>
        <v>0.5</v>
      </c>
      <c r="AN90" s="938"/>
      <c r="AO90" s="454"/>
      <c r="AP90" s="343"/>
      <c r="AQ90" s="343"/>
      <c r="AR90" s="407"/>
      <c r="AS90" s="392">
        <f>ROUND(I90*AM90,0)</f>
        <v>181</v>
      </c>
      <c r="AT90" s="359"/>
    </row>
    <row r="91" spans="1:46" ht="17.100000000000001" customHeight="1" x14ac:dyDescent="0.15">
      <c r="A91" s="340">
        <v>21</v>
      </c>
      <c r="B91" s="341">
        <v>1511</v>
      </c>
      <c r="C91" s="342" t="s">
        <v>30914</v>
      </c>
      <c r="D91" s="573"/>
      <c r="E91" s="574"/>
      <c r="F91" s="941" t="s">
        <v>30915</v>
      </c>
      <c r="G91" s="942"/>
      <c r="H91" s="861" t="s">
        <v>30820</v>
      </c>
      <c r="I91" s="862"/>
      <c r="J91" s="862"/>
      <c r="K91" s="862"/>
      <c r="L91" s="863"/>
      <c r="N91" s="566"/>
      <c r="R91" s="151"/>
      <c r="S91" s="151"/>
      <c r="T91" s="495"/>
      <c r="U91" s="567"/>
      <c r="V91" s="568"/>
      <c r="W91" s="568"/>
      <c r="X91" s="568"/>
      <c r="Y91" s="459"/>
      <c r="Z91" s="459"/>
      <c r="AA91" s="343"/>
      <c r="AB91" s="343"/>
      <c r="AC91" s="455"/>
      <c r="AD91" s="455"/>
      <c r="AE91" s="455"/>
      <c r="AF91" s="455"/>
      <c r="AG91" s="455"/>
      <c r="AH91" s="343"/>
      <c r="AI91" s="343"/>
      <c r="AJ91" s="343"/>
      <c r="AK91" s="343"/>
      <c r="AL91" s="343"/>
      <c r="AM91" s="343"/>
      <c r="AN91" s="343"/>
      <c r="AO91" s="343"/>
      <c r="AP91" s="343"/>
      <c r="AQ91" s="343"/>
      <c r="AR91" s="407"/>
      <c r="AS91" s="392">
        <f>ROUND(I94,0)</f>
        <v>445</v>
      </c>
      <c r="AT91" s="359"/>
    </row>
    <row r="92" spans="1:46" ht="17.100000000000001" customHeight="1" x14ac:dyDescent="0.15">
      <c r="A92" s="340">
        <v>21</v>
      </c>
      <c r="B92" s="341">
        <v>1512</v>
      </c>
      <c r="C92" s="342" t="s">
        <v>30916</v>
      </c>
      <c r="D92" s="573"/>
      <c r="E92" s="574"/>
      <c r="F92" s="943"/>
      <c r="G92" s="944"/>
      <c r="H92" s="864"/>
      <c r="I92" s="865"/>
      <c r="J92" s="865"/>
      <c r="K92" s="865"/>
      <c r="L92" s="866"/>
      <c r="N92" s="566"/>
      <c r="O92" s="566"/>
      <c r="P92" s="566"/>
      <c r="Q92" s="566"/>
      <c r="R92" s="566"/>
      <c r="S92" s="152"/>
      <c r="T92" s="387"/>
      <c r="U92" s="861" t="s">
        <v>30822</v>
      </c>
      <c r="V92" s="862"/>
      <c r="W92" s="862"/>
      <c r="X92" s="862"/>
      <c r="Y92" s="862"/>
      <c r="Z92" s="863"/>
      <c r="AA92" s="934" t="s">
        <v>30823</v>
      </c>
      <c r="AB92" s="935"/>
      <c r="AC92" s="935"/>
      <c r="AD92" s="935"/>
      <c r="AE92" s="935"/>
      <c r="AF92" s="935"/>
      <c r="AG92" s="935"/>
      <c r="AH92" s="935"/>
      <c r="AI92" s="935"/>
      <c r="AJ92" s="935"/>
      <c r="AK92" s="935"/>
      <c r="AL92" s="391" t="s">
        <v>15626</v>
      </c>
      <c r="AM92" s="838">
        <f>$AM$8</f>
        <v>0.7</v>
      </c>
      <c r="AN92" s="838"/>
      <c r="AO92" s="325"/>
      <c r="AP92" s="325"/>
      <c r="AQ92" s="325"/>
      <c r="AR92" s="388"/>
      <c r="AS92" s="392">
        <f>ROUND(I94*AM92,0)</f>
        <v>312</v>
      </c>
      <c r="AT92" s="359"/>
    </row>
    <row r="93" spans="1:46" ht="17.100000000000001" customHeight="1" x14ac:dyDescent="0.15">
      <c r="A93" s="340">
        <v>21</v>
      </c>
      <c r="B93" s="341">
        <v>2113</v>
      </c>
      <c r="C93" s="342" t="s">
        <v>30917</v>
      </c>
      <c r="D93" s="573"/>
      <c r="E93" s="574"/>
      <c r="F93" s="943"/>
      <c r="G93" s="944"/>
      <c r="H93" s="490"/>
      <c r="I93" s="152"/>
      <c r="L93" s="387"/>
      <c r="M93" s="325"/>
      <c r="N93" s="449"/>
      <c r="O93" s="449"/>
      <c r="P93" s="449"/>
      <c r="Q93" s="449"/>
      <c r="R93" s="449"/>
      <c r="S93" s="325"/>
      <c r="T93" s="388"/>
      <c r="U93" s="931"/>
      <c r="V93" s="932"/>
      <c r="W93" s="932"/>
      <c r="X93" s="932"/>
      <c r="Y93" s="932"/>
      <c r="Z93" s="933"/>
      <c r="AA93" s="934" t="s">
        <v>30825</v>
      </c>
      <c r="AB93" s="935"/>
      <c r="AC93" s="935"/>
      <c r="AD93" s="935"/>
      <c r="AE93" s="935"/>
      <c r="AF93" s="935"/>
      <c r="AG93" s="935"/>
      <c r="AH93" s="935"/>
      <c r="AI93" s="935"/>
      <c r="AJ93" s="935"/>
      <c r="AK93" s="935"/>
      <c r="AL93" s="455" t="s">
        <v>15626</v>
      </c>
      <c r="AM93" s="938">
        <f>$AM$9</f>
        <v>0.5</v>
      </c>
      <c r="AN93" s="938"/>
      <c r="AO93" s="343"/>
      <c r="AP93" s="343"/>
      <c r="AQ93" s="343"/>
      <c r="AR93" s="407"/>
      <c r="AS93" s="392">
        <f>ROUND(I94*AM93,0)</f>
        <v>223</v>
      </c>
      <c r="AT93" s="359"/>
    </row>
    <row r="94" spans="1:46" ht="17.100000000000001" customHeight="1" x14ac:dyDescent="0.15">
      <c r="A94" s="340">
        <v>21</v>
      </c>
      <c r="B94" s="341">
        <v>1513</v>
      </c>
      <c r="C94" s="342" t="s">
        <v>30918</v>
      </c>
      <c r="D94" s="573"/>
      <c r="E94" s="574"/>
      <c r="F94" s="943"/>
      <c r="G94" s="944"/>
      <c r="H94" s="490"/>
      <c r="I94" s="836">
        <v>445</v>
      </c>
      <c r="J94" s="836"/>
      <c r="K94" s="152" t="s">
        <v>15624</v>
      </c>
      <c r="L94" s="387"/>
      <c r="M94" s="862" t="s">
        <v>30827</v>
      </c>
      <c r="N94" s="862"/>
      <c r="O94" s="862"/>
      <c r="P94" s="862"/>
      <c r="Q94" s="862"/>
      <c r="R94" s="862"/>
      <c r="S94" s="862"/>
      <c r="T94" s="863"/>
      <c r="U94" s="567"/>
      <c r="V94" s="568"/>
      <c r="W94" s="568"/>
      <c r="X94" s="568"/>
      <c r="Y94" s="459"/>
      <c r="Z94" s="459"/>
      <c r="AA94" s="343"/>
      <c r="AB94" s="343"/>
      <c r="AC94" s="455"/>
      <c r="AD94" s="455"/>
      <c r="AE94" s="455"/>
      <c r="AF94" s="455"/>
      <c r="AG94" s="455"/>
      <c r="AH94" s="343"/>
      <c r="AI94" s="343"/>
      <c r="AJ94" s="343"/>
      <c r="AK94" s="343"/>
      <c r="AL94" s="343"/>
      <c r="AM94" s="343"/>
      <c r="AN94" s="343"/>
      <c r="AO94" s="343"/>
      <c r="AP94" s="343"/>
      <c r="AQ94" s="343"/>
      <c r="AR94" s="407"/>
      <c r="AS94" s="392">
        <f>ROUND(I94*S96,0)</f>
        <v>429</v>
      </c>
      <c r="AT94" s="359"/>
    </row>
    <row r="95" spans="1:46" ht="17.100000000000001" customHeight="1" x14ac:dyDescent="0.15">
      <c r="A95" s="340">
        <v>21</v>
      </c>
      <c r="B95" s="341">
        <v>1514</v>
      </c>
      <c r="C95" s="342" t="s">
        <v>30919</v>
      </c>
      <c r="D95" s="573"/>
      <c r="E95" s="574"/>
      <c r="F95" s="943"/>
      <c r="G95" s="944"/>
      <c r="H95" s="490"/>
      <c r="I95" s="152"/>
      <c r="L95" s="387"/>
      <c r="M95" s="865"/>
      <c r="N95" s="865"/>
      <c r="O95" s="865"/>
      <c r="P95" s="865"/>
      <c r="Q95" s="865"/>
      <c r="R95" s="865"/>
      <c r="S95" s="865"/>
      <c r="T95" s="866"/>
      <c r="U95" s="861" t="s">
        <v>30822</v>
      </c>
      <c r="V95" s="862"/>
      <c r="W95" s="862"/>
      <c r="X95" s="862"/>
      <c r="Y95" s="862"/>
      <c r="Z95" s="863"/>
      <c r="AA95" s="934" t="s">
        <v>30823</v>
      </c>
      <c r="AB95" s="935"/>
      <c r="AC95" s="935"/>
      <c r="AD95" s="935"/>
      <c r="AE95" s="935"/>
      <c r="AF95" s="935"/>
      <c r="AG95" s="935"/>
      <c r="AH95" s="935"/>
      <c r="AI95" s="935"/>
      <c r="AJ95" s="935"/>
      <c r="AK95" s="935"/>
      <c r="AL95" s="391" t="s">
        <v>15626</v>
      </c>
      <c r="AM95" s="838">
        <f>$AM$8</f>
        <v>0.7</v>
      </c>
      <c r="AN95" s="838"/>
      <c r="AO95" s="325"/>
      <c r="AP95" s="325"/>
      <c r="AQ95" s="325"/>
      <c r="AR95" s="388"/>
      <c r="AS95" s="392">
        <f>ROUND(ROUND(I94*S96,0)*AM95,0)</f>
        <v>300</v>
      </c>
      <c r="AT95" s="359"/>
    </row>
    <row r="96" spans="1:46" ht="17.100000000000001" customHeight="1" x14ac:dyDescent="0.15">
      <c r="A96" s="340">
        <v>21</v>
      </c>
      <c r="B96" s="341">
        <v>2114</v>
      </c>
      <c r="C96" s="342" t="s">
        <v>30920</v>
      </c>
      <c r="D96" s="573"/>
      <c r="E96" s="574"/>
      <c r="F96" s="943"/>
      <c r="G96" s="944"/>
      <c r="H96" s="490"/>
      <c r="I96" s="152"/>
      <c r="L96" s="387"/>
      <c r="M96" s="338"/>
      <c r="N96" s="338"/>
      <c r="O96" s="338"/>
      <c r="P96" s="338"/>
      <c r="Q96" s="338"/>
      <c r="R96" s="391" t="s">
        <v>15626</v>
      </c>
      <c r="S96" s="936">
        <f>$S$12</f>
        <v>0.96499999999999997</v>
      </c>
      <c r="T96" s="937"/>
      <c r="U96" s="931"/>
      <c r="V96" s="932"/>
      <c r="W96" s="932"/>
      <c r="X96" s="932"/>
      <c r="Y96" s="932"/>
      <c r="Z96" s="933"/>
      <c r="AA96" s="934" t="s">
        <v>30825</v>
      </c>
      <c r="AB96" s="935"/>
      <c r="AC96" s="935"/>
      <c r="AD96" s="935"/>
      <c r="AE96" s="935"/>
      <c r="AF96" s="935"/>
      <c r="AG96" s="935"/>
      <c r="AH96" s="935"/>
      <c r="AI96" s="935"/>
      <c r="AJ96" s="935"/>
      <c r="AK96" s="935"/>
      <c r="AL96" s="455" t="s">
        <v>15626</v>
      </c>
      <c r="AM96" s="938">
        <f>$AM$9</f>
        <v>0.5</v>
      </c>
      <c r="AN96" s="938"/>
      <c r="AO96" s="343"/>
      <c r="AP96" s="343"/>
      <c r="AQ96" s="343"/>
      <c r="AR96" s="407"/>
      <c r="AS96" s="392">
        <f>ROUND(ROUND(I94*S96,0)*AM96,0)</f>
        <v>215</v>
      </c>
      <c r="AT96" s="359"/>
    </row>
    <row r="97" spans="1:46" ht="17.100000000000001" customHeight="1" x14ac:dyDescent="0.15">
      <c r="A97" s="340">
        <v>21</v>
      </c>
      <c r="B97" s="341">
        <v>1521</v>
      </c>
      <c r="C97" s="342" t="s">
        <v>30921</v>
      </c>
      <c r="D97" s="573"/>
      <c r="E97" s="574"/>
      <c r="F97" s="943"/>
      <c r="G97" s="944"/>
      <c r="H97" s="861" t="s">
        <v>30831</v>
      </c>
      <c r="I97" s="862"/>
      <c r="J97" s="862"/>
      <c r="K97" s="862"/>
      <c r="L97" s="863"/>
      <c r="M97" s="396"/>
      <c r="N97" s="569"/>
      <c r="O97" s="400"/>
      <c r="P97" s="400"/>
      <c r="Q97" s="400"/>
      <c r="R97" s="400"/>
      <c r="S97" s="400"/>
      <c r="T97" s="429"/>
      <c r="U97" s="567"/>
      <c r="V97" s="568"/>
      <c r="W97" s="568"/>
      <c r="X97" s="568"/>
      <c r="Y97" s="459"/>
      <c r="Z97" s="459"/>
      <c r="AA97" s="343"/>
      <c r="AB97" s="343"/>
      <c r="AC97" s="455"/>
      <c r="AD97" s="455"/>
      <c r="AE97" s="455"/>
      <c r="AF97" s="455"/>
      <c r="AG97" s="455"/>
      <c r="AH97" s="343"/>
      <c r="AI97" s="343"/>
      <c r="AJ97" s="343"/>
      <c r="AK97" s="343"/>
      <c r="AL97" s="343"/>
      <c r="AM97" s="343"/>
      <c r="AN97" s="343"/>
      <c r="AO97" s="343"/>
      <c r="AP97" s="343"/>
      <c r="AQ97" s="343"/>
      <c r="AR97" s="407"/>
      <c r="AS97" s="392">
        <f>ROUND(I100,0)</f>
        <v>409</v>
      </c>
      <c r="AT97" s="359"/>
    </row>
    <row r="98" spans="1:46" ht="17.100000000000001" customHeight="1" x14ac:dyDescent="0.15">
      <c r="A98" s="340">
        <v>21</v>
      </c>
      <c r="B98" s="341">
        <v>1522</v>
      </c>
      <c r="C98" s="342" t="s">
        <v>30922</v>
      </c>
      <c r="D98" s="573"/>
      <c r="E98" s="574"/>
      <c r="F98" s="943"/>
      <c r="G98" s="944"/>
      <c r="H98" s="864"/>
      <c r="I98" s="865"/>
      <c r="J98" s="865"/>
      <c r="K98" s="865"/>
      <c r="L98" s="866"/>
      <c r="N98" s="566"/>
      <c r="O98" s="566"/>
      <c r="P98" s="566"/>
      <c r="Q98" s="566"/>
      <c r="R98" s="566"/>
      <c r="S98" s="152"/>
      <c r="T98" s="387"/>
      <c r="U98" s="861" t="s">
        <v>30822</v>
      </c>
      <c r="V98" s="862"/>
      <c r="W98" s="862"/>
      <c r="X98" s="862"/>
      <c r="Y98" s="862"/>
      <c r="Z98" s="863"/>
      <c r="AA98" s="934" t="s">
        <v>30823</v>
      </c>
      <c r="AB98" s="935"/>
      <c r="AC98" s="935"/>
      <c r="AD98" s="935"/>
      <c r="AE98" s="935"/>
      <c r="AF98" s="935"/>
      <c r="AG98" s="935"/>
      <c r="AH98" s="935"/>
      <c r="AI98" s="935"/>
      <c r="AJ98" s="935"/>
      <c r="AK98" s="935"/>
      <c r="AL98" s="391" t="s">
        <v>15626</v>
      </c>
      <c r="AM98" s="838">
        <f>$AM$8</f>
        <v>0.7</v>
      </c>
      <c r="AN98" s="838"/>
      <c r="AO98" s="325"/>
      <c r="AP98" s="325"/>
      <c r="AQ98" s="325"/>
      <c r="AR98" s="388"/>
      <c r="AS98" s="392">
        <f>ROUND(I100*AM98,0)</f>
        <v>286</v>
      </c>
      <c r="AT98" s="359"/>
    </row>
    <row r="99" spans="1:46" ht="17.100000000000001" customHeight="1" x14ac:dyDescent="0.15">
      <c r="A99" s="340">
        <v>21</v>
      </c>
      <c r="B99" s="341">
        <v>2121</v>
      </c>
      <c r="C99" s="342" t="s">
        <v>30923</v>
      </c>
      <c r="D99" s="573"/>
      <c r="E99" s="574"/>
      <c r="F99" s="943"/>
      <c r="G99" s="944"/>
      <c r="H99" s="490"/>
      <c r="I99" s="152"/>
      <c r="L99" s="387"/>
      <c r="M99" s="325"/>
      <c r="N99" s="449"/>
      <c r="O99" s="449"/>
      <c r="P99" s="449"/>
      <c r="Q99" s="449"/>
      <c r="R99" s="449"/>
      <c r="S99" s="325"/>
      <c r="T99" s="388"/>
      <c r="U99" s="931"/>
      <c r="V99" s="932"/>
      <c r="W99" s="932"/>
      <c r="X99" s="932"/>
      <c r="Y99" s="932"/>
      <c r="Z99" s="933"/>
      <c r="AA99" s="934" t="s">
        <v>30825</v>
      </c>
      <c r="AB99" s="935"/>
      <c r="AC99" s="935"/>
      <c r="AD99" s="935"/>
      <c r="AE99" s="935"/>
      <c r="AF99" s="935"/>
      <c r="AG99" s="935"/>
      <c r="AH99" s="935"/>
      <c r="AI99" s="935"/>
      <c r="AJ99" s="935"/>
      <c r="AK99" s="935"/>
      <c r="AL99" s="455" t="s">
        <v>15626</v>
      </c>
      <c r="AM99" s="938">
        <f>$AM$9</f>
        <v>0.5</v>
      </c>
      <c r="AN99" s="938"/>
      <c r="AO99" s="343"/>
      <c r="AP99" s="343"/>
      <c r="AQ99" s="343"/>
      <c r="AR99" s="407"/>
      <c r="AS99" s="392">
        <f>ROUND(I100*AM99,0)</f>
        <v>205</v>
      </c>
      <c r="AT99" s="359"/>
    </row>
    <row r="100" spans="1:46" ht="17.100000000000001" customHeight="1" x14ac:dyDescent="0.15">
      <c r="A100" s="340">
        <v>21</v>
      </c>
      <c r="B100" s="341">
        <v>1523</v>
      </c>
      <c r="C100" s="342" t="s">
        <v>30924</v>
      </c>
      <c r="D100" s="573"/>
      <c r="E100" s="574"/>
      <c r="F100" s="943"/>
      <c r="G100" s="944"/>
      <c r="H100" s="490"/>
      <c r="I100" s="836">
        <v>409</v>
      </c>
      <c r="J100" s="836"/>
      <c r="K100" s="152" t="s">
        <v>15624</v>
      </c>
      <c r="L100" s="387"/>
      <c r="M100" s="862" t="s">
        <v>30827</v>
      </c>
      <c r="N100" s="862"/>
      <c r="O100" s="862"/>
      <c r="P100" s="862"/>
      <c r="Q100" s="862"/>
      <c r="R100" s="862"/>
      <c r="S100" s="862"/>
      <c r="T100" s="863"/>
      <c r="U100" s="567"/>
      <c r="V100" s="568"/>
      <c r="W100" s="568"/>
      <c r="X100" s="568"/>
      <c r="Y100" s="459"/>
      <c r="Z100" s="459"/>
      <c r="AA100" s="343"/>
      <c r="AB100" s="343"/>
      <c r="AC100" s="455"/>
      <c r="AD100" s="455"/>
      <c r="AE100" s="455"/>
      <c r="AF100" s="455"/>
      <c r="AG100" s="455"/>
      <c r="AH100" s="343"/>
      <c r="AI100" s="343"/>
      <c r="AJ100" s="343"/>
      <c r="AK100" s="343"/>
      <c r="AL100" s="343"/>
      <c r="AM100" s="343"/>
      <c r="AN100" s="343"/>
      <c r="AO100" s="343"/>
      <c r="AP100" s="343"/>
      <c r="AQ100" s="343"/>
      <c r="AR100" s="407"/>
      <c r="AS100" s="392">
        <f>ROUND(I100*S102,0)</f>
        <v>395</v>
      </c>
      <c r="AT100" s="359"/>
    </row>
    <row r="101" spans="1:46" ht="17.100000000000001" customHeight="1" x14ac:dyDescent="0.15">
      <c r="A101" s="340">
        <v>21</v>
      </c>
      <c r="B101" s="341">
        <v>1524</v>
      </c>
      <c r="C101" s="342" t="s">
        <v>30925</v>
      </c>
      <c r="D101" s="573"/>
      <c r="E101" s="574"/>
      <c r="F101" s="943"/>
      <c r="G101" s="944"/>
      <c r="H101" s="490"/>
      <c r="I101" s="152"/>
      <c r="L101" s="387"/>
      <c r="M101" s="865"/>
      <c r="N101" s="865"/>
      <c r="O101" s="865"/>
      <c r="P101" s="865"/>
      <c r="Q101" s="865"/>
      <c r="R101" s="865"/>
      <c r="S101" s="865"/>
      <c r="T101" s="866"/>
      <c r="U101" s="861" t="s">
        <v>30822</v>
      </c>
      <c r="V101" s="862"/>
      <c r="W101" s="862"/>
      <c r="X101" s="862"/>
      <c r="Y101" s="862"/>
      <c r="Z101" s="863"/>
      <c r="AA101" s="934" t="s">
        <v>30823</v>
      </c>
      <c r="AB101" s="935"/>
      <c r="AC101" s="935"/>
      <c r="AD101" s="935"/>
      <c r="AE101" s="935"/>
      <c r="AF101" s="935"/>
      <c r="AG101" s="935"/>
      <c r="AH101" s="935"/>
      <c r="AI101" s="935"/>
      <c r="AJ101" s="935"/>
      <c r="AK101" s="935"/>
      <c r="AL101" s="391" t="s">
        <v>15626</v>
      </c>
      <c r="AM101" s="838">
        <f>$AM$8</f>
        <v>0.7</v>
      </c>
      <c r="AN101" s="838"/>
      <c r="AO101" s="325"/>
      <c r="AP101" s="325"/>
      <c r="AQ101" s="325"/>
      <c r="AR101" s="388"/>
      <c r="AS101" s="392">
        <f>ROUND(ROUND(I100*S102,0)*AM101,0)</f>
        <v>277</v>
      </c>
      <c r="AT101" s="359"/>
    </row>
    <row r="102" spans="1:46" ht="17.100000000000001" customHeight="1" x14ac:dyDescent="0.15">
      <c r="A102" s="340">
        <v>21</v>
      </c>
      <c r="B102" s="341">
        <v>2122</v>
      </c>
      <c r="C102" s="342" t="s">
        <v>30926</v>
      </c>
      <c r="D102" s="573"/>
      <c r="E102" s="574"/>
      <c r="F102" s="943"/>
      <c r="G102" s="944"/>
      <c r="H102" s="576"/>
      <c r="J102" s="151"/>
      <c r="K102" s="151"/>
      <c r="L102" s="495"/>
      <c r="M102" s="338"/>
      <c r="N102" s="338"/>
      <c r="O102" s="338"/>
      <c r="P102" s="338"/>
      <c r="Q102" s="338"/>
      <c r="R102" s="391" t="s">
        <v>15626</v>
      </c>
      <c r="S102" s="936">
        <f>$S$12</f>
        <v>0.96499999999999997</v>
      </c>
      <c r="T102" s="937"/>
      <c r="U102" s="931"/>
      <c r="V102" s="932"/>
      <c r="W102" s="932"/>
      <c r="X102" s="932"/>
      <c r="Y102" s="932"/>
      <c r="Z102" s="933"/>
      <c r="AA102" s="934" t="s">
        <v>30825</v>
      </c>
      <c r="AB102" s="935"/>
      <c r="AC102" s="935"/>
      <c r="AD102" s="935"/>
      <c r="AE102" s="935"/>
      <c r="AF102" s="935"/>
      <c r="AG102" s="935"/>
      <c r="AH102" s="935"/>
      <c r="AI102" s="935"/>
      <c r="AJ102" s="935"/>
      <c r="AK102" s="935"/>
      <c r="AL102" s="455" t="s">
        <v>15626</v>
      </c>
      <c r="AM102" s="938">
        <f>$AM$9</f>
        <v>0.5</v>
      </c>
      <c r="AN102" s="938"/>
      <c r="AO102" s="343"/>
      <c r="AP102" s="343"/>
      <c r="AQ102" s="343"/>
      <c r="AR102" s="407"/>
      <c r="AS102" s="392">
        <f>ROUND(ROUND(I100*S102,0)*AM102,0)</f>
        <v>198</v>
      </c>
      <c r="AT102" s="359"/>
    </row>
    <row r="103" spans="1:46" ht="17.100000000000001" customHeight="1" x14ac:dyDescent="0.15">
      <c r="A103" s="340">
        <v>21</v>
      </c>
      <c r="B103" s="341">
        <v>1531</v>
      </c>
      <c r="C103" s="342" t="s">
        <v>30927</v>
      </c>
      <c r="D103" s="423"/>
      <c r="E103" s="424"/>
      <c r="F103" s="423"/>
      <c r="G103" s="424"/>
      <c r="H103" s="861" t="s">
        <v>30838</v>
      </c>
      <c r="I103" s="862"/>
      <c r="J103" s="862"/>
      <c r="K103" s="862"/>
      <c r="L103" s="863"/>
      <c r="M103" s="396"/>
      <c r="N103" s="569"/>
      <c r="O103" s="400"/>
      <c r="P103" s="400"/>
      <c r="Q103" s="400"/>
      <c r="R103" s="400"/>
      <c r="S103" s="400"/>
      <c r="T103" s="429"/>
      <c r="U103" s="567"/>
      <c r="V103" s="568"/>
      <c r="W103" s="568"/>
      <c r="X103" s="568"/>
      <c r="Y103" s="459"/>
      <c r="Z103" s="459"/>
      <c r="AA103" s="343"/>
      <c r="AB103" s="343"/>
      <c r="AC103" s="455"/>
      <c r="AD103" s="455"/>
      <c r="AE103" s="455"/>
      <c r="AF103" s="455"/>
      <c r="AG103" s="455"/>
      <c r="AH103" s="343"/>
      <c r="AI103" s="343"/>
      <c r="AJ103" s="343"/>
      <c r="AK103" s="343"/>
      <c r="AL103" s="343"/>
      <c r="AM103" s="343"/>
      <c r="AN103" s="343"/>
      <c r="AO103" s="343"/>
      <c r="AP103" s="343"/>
      <c r="AQ103" s="343"/>
      <c r="AR103" s="407"/>
      <c r="AS103" s="392">
        <f>ROUND(I106,0)</f>
        <v>381</v>
      </c>
      <c r="AT103" s="359"/>
    </row>
    <row r="104" spans="1:46" ht="17.100000000000001" customHeight="1" x14ac:dyDescent="0.15">
      <c r="A104" s="340">
        <v>21</v>
      </c>
      <c r="B104" s="341">
        <v>1532</v>
      </c>
      <c r="C104" s="342" t="s">
        <v>30928</v>
      </c>
      <c r="D104" s="423"/>
      <c r="E104" s="424"/>
      <c r="F104" s="423"/>
      <c r="G104" s="424"/>
      <c r="H104" s="864"/>
      <c r="I104" s="865"/>
      <c r="J104" s="865"/>
      <c r="K104" s="865"/>
      <c r="L104" s="866"/>
      <c r="N104" s="566"/>
      <c r="O104" s="566"/>
      <c r="P104" s="566"/>
      <c r="Q104" s="566"/>
      <c r="R104" s="566"/>
      <c r="S104" s="152"/>
      <c r="T104" s="387"/>
      <c r="U104" s="861" t="s">
        <v>30822</v>
      </c>
      <c r="V104" s="862"/>
      <c r="W104" s="862"/>
      <c r="X104" s="862"/>
      <c r="Y104" s="862"/>
      <c r="Z104" s="863"/>
      <c r="AA104" s="934" t="s">
        <v>30823</v>
      </c>
      <c r="AB104" s="935"/>
      <c r="AC104" s="935"/>
      <c r="AD104" s="935"/>
      <c r="AE104" s="935"/>
      <c r="AF104" s="935"/>
      <c r="AG104" s="935"/>
      <c r="AH104" s="935"/>
      <c r="AI104" s="935"/>
      <c r="AJ104" s="935"/>
      <c r="AK104" s="935"/>
      <c r="AL104" s="391" t="s">
        <v>15626</v>
      </c>
      <c r="AM104" s="838">
        <f>$AM$8</f>
        <v>0.7</v>
      </c>
      <c r="AN104" s="838"/>
      <c r="AO104" s="325"/>
      <c r="AP104" s="325"/>
      <c r="AQ104" s="325"/>
      <c r="AR104" s="388"/>
      <c r="AS104" s="392">
        <f>ROUND(I106*AM104,0)</f>
        <v>267</v>
      </c>
      <c r="AT104" s="359"/>
    </row>
    <row r="105" spans="1:46" ht="17.100000000000001" customHeight="1" x14ac:dyDescent="0.15">
      <c r="A105" s="340">
        <v>21</v>
      </c>
      <c r="B105" s="341">
        <v>2129</v>
      </c>
      <c r="C105" s="342" t="s">
        <v>30929</v>
      </c>
      <c r="D105" s="423"/>
      <c r="E105" s="424"/>
      <c r="F105" s="423"/>
      <c r="G105" s="424"/>
      <c r="H105" s="490"/>
      <c r="I105" s="152"/>
      <c r="L105" s="387"/>
      <c r="M105" s="325"/>
      <c r="N105" s="449"/>
      <c r="O105" s="449"/>
      <c r="P105" s="449"/>
      <c r="Q105" s="449"/>
      <c r="R105" s="449"/>
      <c r="S105" s="325"/>
      <c r="T105" s="388"/>
      <c r="U105" s="931"/>
      <c r="V105" s="932"/>
      <c r="W105" s="932"/>
      <c r="X105" s="932"/>
      <c r="Y105" s="932"/>
      <c r="Z105" s="933"/>
      <c r="AA105" s="934" t="s">
        <v>30825</v>
      </c>
      <c r="AB105" s="935"/>
      <c r="AC105" s="935"/>
      <c r="AD105" s="935"/>
      <c r="AE105" s="935"/>
      <c r="AF105" s="935"/>
      <c r="AG105" s="935"/>
      <c r="AH105" s="935"/>
      <c r="AI105" s="935"/>
      <c r="AJ105" s="935"/>
      <c r="AK105" s="935"/>
      <c r="AL105" s="455" t="s">
        <v>15626</v>
      </c>
      <c r="AM105" s="938">
        <f>$AM$9</f>
        <v>0.5</v>
      </c>
      <c r="AN105" s="938"/>
      <c r="AO105" s="343"/>
      <c r="AP105" s="343"/>
      <c r="AQ105" s="343"/>
      <c r="AR105" s="407"/>
      <c r="AS105" s="392">
        <f>ROUND(I106*AM105,0)</f>
        <v>191</v>
      </c>
      <c r="AT105" s="359"/>
    </row>
    <row r="106" spans="1:46" ht="17.100000000000001" customHeight="1" x14ac:dyDescent="0.15">
      <c r="A106" s="340">
        <v>21</v>
      </c>
      <c r="B106" s="341">
        <v>1533</v>
      </c>
      <c r="C106" s="342" t="s">
        <v>30930</v>
      </c>
      <c r="D106" s="423"/>
      <c r="E106" s="424"/>
      <c r="F106" s="423"/>
      <c r="G106" s="424"/>
      <c r="H106" s="490"/>
      <c r="I106" s="836">
        <v>381</v>
      </c>
      <c r="J106" s="836"/>
      <c r="K106" s="152" t="s">
        <v>15624</v>
      </c>
      <c r="L106" s="387"/>
      <c r="M106" s="862" t="s">
        <v>30827</v>
      </c>
      <c r="N106" s="862"/>
      <c r="O106" s="862"/>
      <c r="P106" s="862"/>
      <c r="Q106" s="862"/>
      <c r="R106" s="862"/>
      <c r="S106" s="862"/>
      <c r="T106" s="863"/>
      <c r="U106" s="567"/>
      <c r="V106" s="568"/>
      <c r="W106" s="568"/>
      <c r="X106" s="568"/>
      <c r="Y106" s="459"/>
      <c r="Z106" s="459"/>
      <c r="AA106" s="343"/>
      <c r="AB106" s="343"/>
      <c r="AC106" s="455"/>
      <c r="AD106" s="455"/>
      <c r="AE106" s="455"/>
      <c r="AF106" s="455"/>
      <c r="AG106" s="455"/>
      <c r="AH106" s="343"/>
      <c r="AI106" s="343"/>
      <c r="AJ106" s="343"/>
      <c r="AK106" s="343"/>
      <c r="AL106" s="343"/>
      <c r="AM106" s="343"/>
      <c r="AN106" s="343"/>
      <c r="AO106" s="343"/>
      <c r="AP106" s="343"/>
      <c r="AQ106" s="343"/>
      <c r="AR106" s="407"/>
      <c r="AS106" s="392">
        <f>ROUND(I106*S108,0)</f>
        <v>368</v>
      </c>
      <c r="AT106" s="359"/>
    </row>
    <row r="107" spans="1:46" ht="17.100000000000001" customHeight="1" x14ac:dyDescent="0.15">
      <c r="A107" s="340">
        <v>21</v>
      </c>
      <c r="B107" s="341">
        <v>1534</v>
      </c>
      <c r="C107" s="342" t="s">
        <v>30931</v>
      </c>
      <c r="D107" s="423"/>
      <c r="E107" s="424"/>
      <c r="F107" s="423"/>
      <c r="G107" s="424"/>
      <c r="H107" s="490"/>
      <c r="I107" s="152"/>
      <c r="L107" s="387"/>
      <c r="M107" s="865"/>
      <c r="N107" s="865"/>
      <c r="O107" s="865"/>
      <c r="P107" s="865"/>
      <c r="Q107" s="865"/>
      <c r="R107" s="865"/>
      <c r="S107" s="865"/>
      <c r="T107" s="866"/>
      <c r="U107" s="861" t="s">
        <v>30822</v>
      </c>
      <c r="V107" s="862"/>
      <c r="W107" s="862"/>
      <c r="X107" s="862"/>
      <c r="Y107" s="862"/>
      <c r="Z107" s="863"/>
      <c r="AA107" s="934" t="s">
        <v>30823</v>
      </c>
      <c r="AB107" s="935"/>
      <c r="AC107" s="935"/>
      <c r="AD107" s="935"/>
      <c r="AE107" s="935"/>
      <c r="AF107" s="935"/>
      <c r="AG107" s="935"/>
      <c r="AH107" s="935"/>
      <c r="AI107" s="935"/>
      <c r="AJ107" s="935"/>
      <c r="AK107" s="935"/>
      <c r="AL107" s="391" t="s">
        <v>15626</v>
      </c>
      <c r="AM107" s="838">
        <f>$AM$8</f>
        <v>0.7</v>
      </c>
      <c r="AN107" s="838"/>
      <c r="AO107" s="325"/>
      <c r="AP107" s="325"/>
      <c r="AQ107" s="325"/>
      <c r="AR107" s="388"/>
      <c r="AS107" s="392">
        <f>ROUND(ROUND(I106*S108,0)*AM107,0)</f>
        <v>258</v>
      </c>
      <c r="AT107" s="359"/>
    </row>
    <row r="108" spans="1:46" ht="17.100000000000001" customHeight="1" x14ac:dyDescent="0.15">
      <c r="A108" s="340">
        <v>21</v>
      </c>
      <c r="B108" s="341">
        <v>2130</v>
      </c>
      <c r="C108" s="342" t="s">
        <v>30932</v>
      </c>
      <c r="D108" s="423"/>
      <c r="E108" s="424"/>
      <c r="F108" s="423"/>
      <c r="G108" s="424"/>
      <c r="H108" s="576"/>
      <c r="J108" s="151"/>
      <c r="K108" s="151"/>
      <c r="L108" s="495"/>
      <c r="M108" s="338"/>
      <c r="N108" s="338"/>
      <c r="O108" s="338"/>
      <c r="P108" s="338"/>
      <c r="Q108" s="338"/>
      <c r="R108" s="391" t="s">
        <v>15626</v>
      </c>
      <c r="S108" s="936">
        <f>$S$12</f>
        <v>0.96499999999999997</v>
      </c>
      <c r="T108" s="937"/>
      <c r="U108" s="931"/>
      <c r="V108" s="932"/>
      <c r="W108" s="932"/>
      <c r="X108" s="932"/>
      <c r="Y108" s="932"/>
      <c r="Z108" s="933"/>
      <c r="AA108" s="934" t="s">
        <v>30825</v>
      </c>
      <c r="AB108" s="935"/>
      <c r="AC108" s="935"/>
      <c r="AD108" s="935"/>
      <c r="AE108" s="935"/>
      <c r="AF108" s="935"/>
      <c r="AG108" s="935"/>
      <c r="AH108" s="935"/>
      <c r="AI108" s="935"/>
      <c r="AJ108" s="935"/>
      <c r="AK108" s="935"/>
      <c r="AL108" s="455" t="s">
        <v>15626</v>
      </c>
      <c r="AM108" s="938">
        <f>$AM$9</f>
        <v>0.5</v>
      </c>
      <c r="AN108" s="938"/>
      <c r="AO108" s="343"/>
      <c r="AP108" s="343"/>
      <c r="AQ108" s="343"/>
      <c r="AR108" s="407"/>
      <c r="AS108" s="392">
        <f>ROUND(ROUND(I106*S108,0)*AM108,0)</f>
        <v>184</v>
      </c>
      <c r="AT108" s="359"/>
    </row>
    <row r="109" spans="1:46" ht="17.100000000000001" customHeight="1" x14ac:dyDescent="0.15">
      <c r="A109" s="340">
        <v>21</v>
      </c>
      <c r="B109" s="341">
        <v>1541</v>
      </c>
      <c r="C109" s="342" t="s">
        <v>30933</v>
      </c>
      <c r="D109" s="423"/>
      <c r="E109" s="424"/>
      <c r="F109" s="423"/>
      <c r="G109" s="424"/>
      <c r="H109" s="861" t="s">
        <v>30845</v>
      </c>
      <c r="I109" s="862"/>
      <c r="J109" s="862"/>
      <c r="K109" s="862"/>
      <c r="L109" s="863"/>
      <c r="M109" s="396"/>
      <c r="N109" s="569"/>
      <c r="O109" s="400"/>
      <c r="P109" s="400"/>
      <c r="Q109" s="400"/>
      <c r="R109" s="400"/>
      <c r="S109" s="400"/>
      <c r="T109" s="429"/>
      <c r="U109" s="567"/>
      <c r="V109" s="568"/>
      <c r="W109" s="568"/>
      <c r="X109" s="568"/>
      <c r="Y109" s="459"/>
      <c r="Z109" s="459"/>
      <c r="AA109" s="343"/>
      <c r="AB109" s="343"/>
      <c r="AC109" s="455"/>
      <c r="AD109" s="455"/>
      <c r="AE109" s="455"/>
      <c r="AF109" s="455"/>
      <c r="AG109" s="455"/>
      <c r="AH109" s="343"/>
      <c r="AI109" s="343"/>
      <c r="AJ109" s="343"/>
      <c r="AK109" s="343"/>
      <c r="AL109" s="343"/>
      <c r="AM109" s="343"/>
      <c r="AN109" s="343"/>
      <c r="AO109" s="343"/>
      <c r="AP109" s="343"/>
      <c r="AQ109" s="343"/>
      <c r="AR109" s="407"/>
      <c r="AS109" s="392">
        <f>ROUND(I112,0)</f>
        <v>361</v>
      </c>
      <c r="AT109" s="359"/>
    </row>
    <row r="110" spans="1:46" ht="17.100000000000001" customHeight="1" x14ac:dyDescent="0.15">
      <c r="A110" s="340">
        <v>21</v>
      </c>
      <c r="B110" s="341">
        <v>1542</v>
      </c>
      <c r="C110" s="342" t="s">
        <v>30934</v>
      </c>
      <c r="D110" s="423"/>
      <c r="E110" s="424"/>
      <c r="F110" s="423"/>
      <c r="G110" s="424"/>
      <c r="H110" s="864"/>
      <c r="I110" s="865"/>
      <c r="J110" s="865"/>
      <c r="K110" s="865"/>
      <c r="L110" s="866"/>
      <c r="N110" s="566"/>
      <c r="O110" s="566"/>
      <c r="P110" s="566"/>
      <c r="Q110" s="566"/>
      <c r="R110" s="566"/>
      <c r="S110" s="152"/>
      <c r="T110" s="387"/>
      <c r="U110" s="861" t="s">
        <v>30822</v>
      </c>
      <c r="V110" s="862"/>
      <c r="W110" s="862"/>
      <c r="X110" s="862"/>
      <c r="Y110" s="862"/>
      <c r="Z110" s="863"/>
      <c r="AA110" s="934" t="s">
        <v>30823</v>
      </c>
      <c r="AB110" s="935"/>
      <c r="AC110" s="935"/>
      <c r="AD110" s="935"/>
      <c r="AE110" s="935"/>
      <c r="AF110" s="935"/>
      <c r="AG110" s="935"/>
      <c r="AH110" s="935"/>
      <c r="AI110" s="935"/>
      <c r="AJ110" s="935"/>
      <c r="AK110" s="935"/>
      <c r="AL110" s="391" t="s">
        <v>15626</v>
      </c>
      <c r="AM110" s="838">
        <f>$AM$8</f>
        <v>0.7</v>
      </c>
      <c r="AN110" s="838"/>
      <c r="AO110" s="325"/>
      <c r="AP110" s="325"/>
      <c r="AQ110" s="325"/>
      <c r="AR110" s="388"/>
      <c r="AS110" s="392">
        <f>ROUND(I112*AM110,0)</f>
        <v>253</v>
      </c>
      <c r="AT110" s="359"/>
    </row>
    <row r="111" spans="1:46" ht="17.100000000000001" customHeight="1" x14ac:dyDescent="0.15">
      <c r="A111" s="340">
        <v>21</v>
      </c>
      <c r="B111" s="341">
        <v>2137</v>
      </c>
      <c r="C111" s="342" t="s">
        <v>30935</v>
      </c>
      <c r="D111" s="423"/>
      <c r="E111" s="424"/>
      <c r="F111" s="423"/>
      <c r="G111" s="424"/>
      <c r="H111" s="490"/>
      <c r="I111" s="152"/>
      <c r="L111" s="387"/>
      <c r="M111" s="325"/>
      <c r="N111" s="449"/>
      <c r="O111" s="449"/>
      <c r="P111" s="449"/>
      <c r="Q111" s="449"/>
      <c r="R111" s="449"/>
      <c r="S111" s="325"/>
      <c r="T111" s="388"/>
      <c r="U111" s="931"/>
      <c r="V111" s="932"/>
      <c r="W111" s="932"/>
      <c r="X111" s="932"/>
      <c r="Y111" s="932"/>
      <c r="Z111" s="933"/>
      <c r="AA111" s="934" t="s">
        <v>30825</v>
      </c>
      <c r="AB111" s="935"/>
      <c r="AC111" s="935"/>
      <c r="AD111" s="935"/>
      <c r="AE111" s="935"/>
      <c r="AF111" s="935"/>
      <c r="AG111" s="935"/>
      <c r="AH111" s="935"/>
      <c r="AI111" s="935"/>
      <c r="AJ111" s="935"/>
      <c r="AK111" s="935"/>
      <c r="AL111" s="455" t="s">
        <v>15626</v>
      </c>
      <c r="AM111" s="938">
        <f>$AM$9</f>
        <v>0.5</v>
      </c>
      <c r="AN111" s="938"/>
      <c r="AO111" s="343"/>
      <c r="AP111" s="343"/>
      <c r="AQ111" s="343"/>
      <c r="AR111" s="407"/>
      <c r="AS111" s="392">
        <f>ROUND(I112*AM111,0)</f>
        <v>181</v>
      </c>
      <c r="AT111" s="359"/>
    </row>
    <row r="112" spans="1:46" ht="17.100000000000001" customHeight="1" x14ac:dyDescent="0.15">
      <c r="A112" s="340">
        <v>21</v>
      </c>
      <c r="B112" s="341">
        <v>1543</v>
      </c>
      <c r="C112" s="342" t="s">
        <v>30936</v>
      </c>
      <c r="D112" s="423"/>
      <c r="E112" s="424"/>
      <c r="F112" s="423"/>
      <c r="G112" s="424"/>
      <c r="H112" s="490"/>
      <c r="I112" s="836">
        <v>361</v>
      </c>
      <c r="J112" s="836"/>
      <c r="K112" s="152" t="s">
        <v>15624</v>
      </c>
      <c r="L112" s="387"/>
      <c r="M112" s="862" t="s">
        <v>30827</v>
      </c>
      <c r="N112" s="862"/>
      <c r="O112" s="862"/>
      <c r="P112" s="862"/>
      <c r="Q112" s="862"/>
      <c r="R112" s="862"/>
      <c r="S112" s="862"/>
      <c r="T112" s="863"/>
      <c r="U112" s="567"/>
      <c r="V112" s="568"/>
      <c r="W112" s="568"/>
      <c r="X112" s="568"/>
      <c r="Y112" s="459"/>
      <c r="Z112" s="459"/>
      <c r="AA112" s="343"/>
      <c r="AB112" s="343"/>
      <c r="AC112" s="455"/>
      <c r="AD112" s="455"/>
      <c r="AE112" s="455"/>
      <c r="AF112" s="455"/>
      <c r="AG112" s="455"/>
      <c r="AH112" s="343"/>
      <c r="AI112" s="343"/>
      <c r="AJ112" s="343"/>
      <c r="AK112" s="343"/>
      <c r="AL112" s="343"/>
      <c r="AM112" s="343"/>
      <c r="AN112" s="343"/>
      <c r="AO112" s="343"/>
      <c r="AP112" s="343"/>
      <c r="AQ112" s="343"/>
      <c r="AR112" s="407"/>
      <c r="AS112" s="392">
        <f>ROUND(I112*S114,0)</f>
        <v>348</v>
      </c>
      <c r="AT112" s="359"/>
    </row>
    <row r="113" spans="1:46" ht="17.100000000000001" customHeight="1" x14ac:dyDescent="0.15">
      <c r="A113" s="340">
        <v>21</v>
      </c>
      <c r="B113" s="341">
        <v>1544</v>
      </c>
      <c r="C113" s="342" t="s">
        <v>30937</v>
      </c>
      <c r="D113" s="423"/>
      <c r="E113" s="424"/>
      <c r="F113" s="423"/>
      <c r="G113" s="425"/>
      <c r="H113" s="490"/>
      <c r="I113" s="152"/>
      <c r="L113" s="387"/>
      <c r="M113" s="865"/>
      <c r="N113" s="865"/>
      <c r="O113" s="865"/>
      <c r="P113" s="865"/>
      <c r="Q113" s="865"/>
      <c r="R113" s="865"/>
      <c r="S113" s="865"/>
      <c r="T113" s="866"/>
      <c r="U113" s="861" t="s">
        <v>30822</v>
      </c>
      <c r="V113" s="862"/>
      <c r="W113" s="862"/>
      <c r="X113" s="862"/>
      <c r="Y113" s="862"/>
      <c r="Z113" s="863"/>
      <c r="AA113" s="934" t="s">
        <v>30823</v>
      </c>
      <c r="AB113" s="935"/>
      <c r="AC113" s="935"/>
      <c r="AD113" s="935"/>
      <c r="AE113" s="935"/>
      <c r="AF113" s="935"/>
      <c r="AG113" s="935"/>
      <c r="AH113" s="935"/>
      <c r="AI113" s="935"/>
      <c r="AJ113" s="935"/>
      <c r="AK113" s="935"/>
      <c r="AL113" s="391" t="s">
        <v>15626</v>
      </c>
      <c r="AM113" s="838">
        <f>$AM$8</f>
        <v>0.7</v>
      </c>
      <c r="AN113" s="838"/>
      <c r="AO113" s="325"/>
      <c r="AP113" s="325"/>
      <c r="AQ113" s="325"/>
      <c r="AR113" s="388"/>
      <c r="AS113" s="353">
        <f>ROUND(ROUND(I112*S114,0)*AM113,0)</f>
        <v>244</v>
      </c>
      <c r="AT113" s="359"/>
    </row>
    <row r="114" spans="1:46" ht="17.100000000000001" customHeight="1" x14ac:dyDescent="0.15">
      <c r="A114" s="340">
        <v>21</v>
      </c>
      <c r="B114" s="341">
        <v>2138</v>
      </c>
      <c r="C114" s="342" t="s">
        <v>30938</v>
      </c>
      <c r="D114" s="433"/>
      <c r="E114" s="434"/>
      <c r="F114" s="469"/>
      <c r="G114" s="471"/>
      <c r="H114" s="577"/>
      <c r="I114" s="417"/>
      <c r="J114" s="417"/>
      <c r="K114" s="417"/>
      <c r="L114" s="578"/>
      <c r="M114" s="338"/>
      <c r="N114" s="338"/>
      <c r="O114" s="338"/>
      <c r="P114" s="338"/>
      <c r="Q114" s="338"/>
      <c r="R114" s="391" t="s">
        <v>15626</v>
      </c>
      <c r="S114" s="936">
        <f>$S$12</f>
        <v>0.96499999999999997</v>
      </c>
      <c r="T114" s="937"/>
      <c r="U114" s="931"/>
      <c r="V114" s="932"/>
      <c r="W114" s="932"/>
      <c r="X114" s="932"/>
      <c r="Y114" s="932"/>
      <c r="Z114" s="933"/>
      <c r="AA114" s="934" t="s">
        <v>30825</v>
      </c>
      <c r="AB114" s="935"/>
      <c r="AC114" s="935"/>
      <c r="AD114" s="935"/>
      <c r="AE114" s="935"/>
      <c r="AF114" s="935"/>
      <c r="AG114" s="935"/>
      <c r="AH114" s="935"/>
      <c r="AI114" s="935"/>
      <c r="AJ114" s="935"/>
      <c r="AK114" s="935"/>
      <c r="AL114" s="455" t="s">
        <v>15626</v>
      </c>
      <c r="AM114" s="938">
        <f>$AM$9</f>
        <v>0.5</v>
      </c>
      <c r="AN114" s="938"/>
      <c r="AO114" s="343"/>
      <c r="AP114" s="343"/>
      <c r="AQ114" s="343"/>
      <c r="AR114" s="407"/>
      <c r="AS114" s="353">
        <f>ROUND(ROUND(I112*S114,0)*AM114,0)</f>
        <v>174</v>
      </c>
      <c r="AT114" s="350"/>
    </row>
    <row r="115" spans="1:46" ht="17.100000000000001" customHeight="1" x14ac:dyDescent="0.15">
      <c r="A115" s="340">
        <v>21</v>
      </c>
      <c r="B115" s="341">
        <v>1611</v>
      </c>
      <c r="C115" s="342" t="s">
        <v>30939</v>
      </c>
      <c r="D115" s="941" t="s">
        <v>30940</v>
      </c>
      <c r="E115" s="942"/>
      <c r="F115" s="941" t="s">
        <v>30941</v>
      </c>
      <c r="G115" s="942"/>
      <c r="H115" s="861" t="s">
        <v>30820</v>
      </c>
      <c r="I115" s="862"/>
      <c r="J115" s="862"/>
      <c r="K115" s="862"/>
      <c r="L115" s="863"/>
      <c r="M115" s="396"/>
      <c r="N115" s="569"/>
      <c r="O115" s="400"/>
      <c r="P115" s="400"/>
      <c r="Q115" s="400"/>
      <c r="R115" s="400"/>
      <c r="S115" s="400"/>
      <c r="T115" s="429"/>
      <c r="U115" s="567"/>
      <c r="V115" s="568"/>
      <c r="W115" s="568"/>
      <c r="X115" s="568"/>
      <c r="Y115" s="459"/>
      <c r="Z115" s="459"/>
      <c r="AA115" s="343"/>
      <c r="AB115" s="343"/>
      <c r="AC115" s="455"/>
      <c r="AD115" s="455"/>
      <c r="AE115" s="455"/>
      <c r="AF115" s="455"/>
      <c r="AG115" s="455"/>
      <c r="AH115" s="343"/>
      <c r="AI115" s="343"/>
      <c r="AJ115" s="343"/>
      <c r="AK115" s="343"/>
      <c r="AL115" s="343"/>
      <c r="AM115" s="343"/>
      <c r="AN115" s="343"/>
      <c r="AO115" s="343"/>
      <c r="AP115" s="343"/>
      <c r="AQ115" s="343"/>
      <c r="AR115" s="407"/>
      <c r="AS115" s="579">
        <f>ROUND(I118,0)</f>
        <v>902</v>
      </c>
      <c r="AT115" s="329" t="s">
        <v>30681</v>
      </c>
    </row>
    <row r="116" spans="1:46" ht="17.100000000000001" customHeight="1" x14ac:dyDescent="0.15">
      <c r="A116" s="340">
        <v>21</v>
      </c>
      <c r="B116" s="341">
        <v>1612</v>
      </c>
      <c r="C116" s="342" t="s">
        <v>30942</v>
      </c>
      <c r="D116" s="943"/>
      <c r="E116" s="944"/>
      <c r="F116" s="943"/>
      <c r="G116" s="944"/>
      <c r="H116" s="864"/>
      <c r="I116" s="865"/>
      <c r="J116" s="865"/>
      <c r="K116" s="865"/>
      <c r="L116" s="866"/>
      <c r="N116" s="566"/>
      <c r="O116" s="566"/>
      <c r="P116" s="566"/>
      <c r="Q116" s="566"/>
      <c r="R116" s="566"/>
      <c r="S116" s="152"/>
      <c r="T116" s="387"/>
      <c r="U116" s="861" t="s">
        <v>30822</v>
      </c>
      <c r="V116" s="862"/>
      <c r="W116" s="862"/>
      <c r="X116" s="862"/>
      <c r="Y116" s="862"/>
      <c r="Z116" s="863"/>
      <c r="AA116" s="934" t="s">
        <v>30823</v>
      </c>
      <c r="AB116" s="935"/>
      <c r="AC116" s="935"/>
      <c r="AD116" s="935"/>
      <c r="AE116" s="935"/>
      <c r="AF116" s="935"/>
      <c r="AG116" s="935"/>
      <c r="AH116" s="935"/>
      <c r="AI116" s="935"/>
      <c r="AJ116" s="935"/>
      <c r="AK116" s="935"/>
      <c r="AL116" s="391" t="s">
        <v>15626</v>
      </c>
      <c r="AM116" s="838">
        <f>$AM$8</f>
        <v>0.7</v>
      </c>
      <c r="AN116" s="838"/>
      <c r="AO116" s="325"/>
      <c r="AP116" s="325"/>
      <c r="AQ116" s="325"/>
      <c r="AR116" s="388"/>
      <c r="AS116" s="392">
        <f>ROUND(I118*AM116,0)</f>
        <v>631</v>
      </c>
      <c r="AT116" s="339"/>
    </row>
    <row r="117" spans="1:46" ht="17.100000000000001" customHeight="1" x14ac:dyDescent="0.15">
      <c r="A117" s="340">
        <v>21</v>
      </c>
      <c r="B117" s="341">
        <v>2145</v>
      </c>
      <c r="C117" s="342" t="s">
        <v>30943</v>
      </c>
      <c r="D117" s="943"/>
      <c r="E117" s="944"/>
      <c r="F117" s="943"/>
      <c r="G117" s="944"/>
      <c r="H117" s="490"/>
      <c r="J117" s="151"/>
      <c r="K117" s="151"/>
      <c r="L117" s="495"/>
      <c r="M117" s="325"/>
      <c r="N117" s="449"/>
      <c r="O117" s="449"/>
      <c r="P117" s="449"/>
      <c r="Q117" s="449"/>
      <c r="R117" s="449"/>
      <c r="S117" s="325"/>
      <c r="T117" s="388"/>
      <c r="U117" s="931"/>
      <c r="V117" s="932"/>
      <c r="W117" s="932"/>
      <c r="X117" s="932"/>
      <c r="Y117" s="932"/>
      <c r="Z117" s="933"/>
      <c r="AA117" s="934" t="s">
        <v>30825</v>
      </c>
      <c r="AB117" s="935"/>
      <c r="AC117" s="935"/>
      <c r="AD117" s="935"/>
      <c r="AE117" s="935"/>
      <c r="AF117" s="935"/>
      <c r="AG117" s="935"/>
      <c r="AH117" s="935"/>
      <c r="AI117" s="935"/>
      <c r="AJ117" s="935"/>
      <c r="AK117" s="935"/>
      <c r="AL117" s="455" t="s">
        <v>15626</v>
      </c>
      <c r="AM117" s="938">
        <f>$AM$9</f>
        <v>0.5</v>
      </c>
      <c r="AN117" s="938"/>
      <c r="AO117" s="343"/>
      <c r="AP117" s="343"/>
      <c r="AQ117" s="343"/>
      <c r="AR117" s="407"/>
      <c r="AS117" s="392">
        <f>ROUND(I118*AM117,0)</f>
        <v>451</v>
      </c>
      <c r="AT117" s="339"/>
    </row>
    <row r="118" spans="1:46" ht="17.100000000000001" customHeight="1" x14ac:dyDescent="0.15">
      <c r="A118" s="340">
        <v>21</v>
      </c>
      <c r="B118" s="341">
        <v>1613</v>
      </c>
      <c r="C118" s="342" t="s">
        <v>30944</v>
      </c>
      <c r="D118" s="943"/>
      <c r="E118" s="944"/>
      <c r="F118" s="943"/>
      <c r="G118" s="944"/>
      <c r="H118" s="490"/>
      <c r="I118" s="836">
        <v>902</v>
      </c>
      <c r="J118" s="836"/>
      <c r="K118" s="152" t="s">
        <v>15624</v>
      </c>
      <c r="L118" s="387"/>
      <c r="M118" s="862" t="s">
        <v>30827</v>
      </c>
      <c r="N118" s="862"/>
      <c r="O118" s="862"/>
      <c r="P118" s="862"/>
      <c r="Q118" s="862"/>
      <c r="R118" s="862"/>
      <c r="S118" s="862"/>
      <c r="T118" s="863"/>
      <c r="U118" s="567"/>
      <c r="V118" s="568"/>
      <c r="W118" s="568"/>
      <c r="X118" s="568"/>
      <c r="Y118" s="459"/>
      <c r="Z118" s="459"/>
      <c r="AA118" s="343"/>
      <c r="AB118" s="343"/>
      <c r="AC118" s="455"/>
      <c r="AD118" s="455"/>
      <c r="AE118" s="455"/>
      <c r="AF118" s="455"/>
      <c r="AG118" s="455"/>
      <c r="AH118" s="343"/>
      <c r="AI118" s="343"/>
      <c r="AJ118" s="343"/>
      <c r="AK118" s="343"/>
      <c r="AL118" s="343"/>
      <c r="AM118" s="343"/>
      <c r="AN118" s="343"/>
      <c r="AO118" s="343"/>
      <c r="AP118" s="343"/>
      <c r="AQ118" s="343"/>
      <c r="AR118" s="407"/>
      <c r="AS118" s="392">
        <f>ROUND(I118*S120,0)</f>
        <v>870</v>
      </c>
      <c r="AT118" s="339"/>
    </row>
    <row r="119" spans="1:46" ht="17.100000000000001" customHeight="1" x14ac:dyDescent="0.15">
      <c r="A119" s="340">
        <v>21</v>
      </c>
      <c r="B119" s="341">
        <v>1614</v>
      </c>
      <c r="C119" s="342" t="s">
        <v>30945</v>
      </c>
      <c r="D119" s="943"/>
      <c r="E119" s="944"/>
      <c r="F119" s="943"/>
      <c r="G119" s="944"/>
      <c r="H119" s="490"/>
      <c r="I119" s="152"/>
      <c r="L119" s="387"/>
      <c r="M119" s="865"/>
      <c r="N119" s="865"/>
      <c r="O119" s="865"/>
      <c r="P119" s="865"/>
      <c r="Q119" s="865"/>
      <c r="R119" s="865"/>
      <c r="S119" s="865"/>
      <c r="T119" s="866"/>
      <c r="U119" s="861" t="s">
        <v>30822</v>
      </c>
      <c r="V119" s="862"/>
      <c r="W119" s="862"/>
      <c r="X119" s="862"/>
      <c r="Y119" s="862"/>
      <c r="Z119" s="863"/>
      <c r="AA119" s="934" t="s">
        <v>30823</v>
      </c>
      <c r="AB119" s="935"/>
      <c r="AC119" s="935"/>
      <c r="AD119" s="935"/>
      <c r="AE119" s="935"/>
      <c r="AF119" s="935"/>
      <c r="AG119" s="935"/>
      <c r="AH119" s="935"/>
      <c r="AI119" s="935"/>
      <c r="AJ119" s="935"/>
      <c r="AK119" s="935"/>
      <c r="AL119" s="391" t="s">
        <v>15626</v>
      </c>
      <c r="AM119" s="838">
        <f>$AM$8</f>
        <v>0.7</v>
      </c>
      <c r="AN119" s="838"/>
      <c r="AO119" s="325"/>
      <c r="AP119" s="325"/>
      <c r="AQ119" s="325"/>
      <c r="AR119" s="388"/>
      <c r="AS119" s="392">
        <f>ROUND(ROUND(I118*S120,0)*AM119,0)</f>
        <v>609</v>
      </c>
      <c r="AT119" s="339"/>
    </row>
    <row r="120" spans="1:46" ht="17.100000000000001" customHeight="1" x14ac:dyDescent="0.15">
      <c r="A120" s="340">
        <v>21</v>
      </c>
      <c r="B120" s="341">
        <v>2146</v>
      </c>
      <c r="C120" s="342" t="s">
        <v>30946</v>
      </c>
      <c r="D120" s="943"/>
      <c r="E120" s="944"/>
      <c r="F120" s="943"/>
      <c r="G120" s="944"/>
      <c r="H120" s="576"/>
      <c r="J120" s="151"/>
      <c r="K120" s="151"/>
      <c r="L120" s="495"/>
      <c r="M120" s="338"/>
      <c r="N120" s="338"/>
      <c r="O120" s="338"/>
      <c r="P120" s="338"/>
      <c r="Q120" s="338"/>
      <c r="R120" s="391" t="s">
        <v>15626</v>
      </c>
      <c r="S120" s="936">
        <f>$S$12</f>
        <v>0.96499999999999997</v>
      </c>
      <c r="T120" s="937"/>
      <c r="U120" s="931"/>
      <c r="V120" s="932"/>
      <c r="W120" s="932"/>
      <c r="X120" s="932"/>
      <c r="Y120" s="932"/>
      <c r="Z120" s="933"/>
      <c r="AA120" s="934" t="s">
        <v>30825</v>
      </c>
      <c r="AB120" s="935"/>
      <c r="AC120" s="935"/>
      <c r="AD120" s="935"/>
      <c r="AE120" s="935"/>
      <c r="AF120" s="935"/>
      <c r="AG120" s="935"/>
      <c r="AH120" s="935"/>
      <c r="AI120" s="935"/>
      <c r="AJ120" s="935"/>
      <c r="AK120" s="935"/>
      <c r="AL120" s="455" t="s">
        <v>15626</v>
      </c>
      <c r="AM120" s="938">
        <f>$AM$9</f>
        <v>0.5</v>
      </c>
      <c r="AN120" s="938"/>
      <c r="AO120" s="343"/>
      <c r="AP120" s="343"/>
      <c r="AQ120" s="343"/>
      <c r="AR120" s="407"/>
      <c r="AS120" s="392">
        <f>ROUND(ROUND(I118*S120,0)*AM120,0)</f>
        <v>435</v>
      </c>
      <c r="AT120" s="339"/>
    </row>
    <row r="121" spans="1:46" ht="17.100000000000001" customHeight="1" x14ac:dyDescent="0.15">
      <c r="A121" s="340">
        <v>21</v>
      </c>
      <c r="B121" s="341">
        <v>1621</v>
      </c>
      <c r="C121" s="342" t="s">
        <v>30947</v>
      </c>
      <c r="D121" s="943"/>
      <c r="E121" s="944"/>
      <c r="F121" s="943"/>
      <c r="G121" s="944"/>
      <c r="H121" s="861" t="s">
        <v>30831</v>
      </c>
      <c r="I121" s="862"/>
      <c r="J121" s="862"/>
      <c r="K121" s="862"/>
      <c r="L121" s="863"/>
      <c r="M121" s="396"/>
      <c r="N121" s="569"/>
      <c r="O121" s="400"/>
      <c r="P121" s="400"/>
      <c r="Q121" s="400"/>
      <c r="R121" s="400"/>
      <c r="S121" s="400"/>
      <c r="T121" s="429"/>
      <c r="U121" s="567"/>
      <c r="V121" s="568"/>
      <c r="W121" s="568"/>
      <c r="X121" s="568"/>
      <c r="Y121" s="459"/>
      <c r="Z121" s="459"/>
      <c r="AA121" s="343"/>
      <c r="AB121" s="343"/>
      <c r="AC121" s="455"/>
      <c r="AD121" s="455"/>
      <c r="AE121" s="455"/>
      <c r="AF121" s="455"/>
      <c r="AG121" s="455"/>
      <c r="AH121" s="343"/>
      <c r="AI121" s="343"/>
      <c r="AJ121" s="343"/>
      <c r="AK121" s="343"/>
      <c r="AL121" s="343"/>
      <c r="AM121" s="343"/>
      <c r="AN121" s="343"/>
      <c r="AO121" s="343"/>
      <c r="AP121" s="343"/>
      <c r="AQ121" s="343"/>
      <c r="AR121" s="407"/>
      <c r="AS121" s="392">
        <f>ROUND(I124,0)</f>
        <v>902</v>
      </c>
      <c r="AT121" s="339"/>
    </row>
    <row r="122" spans="1:46" ht="17.100000000000001" customHeight="1" x14ac:dyDescent="0.15">
      <c r="A122" s="340">
        <v>21</v>
      </c>
      <c r="B122" s="341">
        <v>1622</v>
      </c>
      <c r="C122" s="342" t="s">
        <v>30948</v>
      </c>
      <c r="D122" s="943"/>
      <c r="E122" s="944"/>
      <c r="F122" s="943"/>
      <c r="G122" s="944"/>
      <c r="H122" s="864"/>
      <c r="I122" s="865"/>
      <c r="J122" s="865"/>
      <c r="K122" s="865"/>
      <c r="L122" s="866"/>
      <c r="N122" s="566"/>
      <c r="O122" s="566"/>
      <c r="P122" s="566"/>
      <c r="Q122" s="566"/>
      <c r="R122" s="566"/>
      <c r="S122" s="152"/>
      <c r="T122" s="387"/>
      <c r="U122" s="861" t="s">
        <v>30822</v>
      </c>
      <c r="V122" s="862"/>
      <c r="W122" s="862"/>
      <c r="X122" s="862"/>
      <c r="Y122" s="862"/>
      <c r="Z122" s="863"/>
      <c r="AA122" s="934" t="s">
        <v>30823</v>
      </c>
      <c r="AB122" s="935"/>
      <c r="AC122" s="935"/>
      <c r="AD122" s="935"/>
      <c r="AE122" s="935"/>
      <c r="AF122" s="935"/>
      <c r="AG122" s="935"/>
      <c r="AH122" s="935"/>
      <c r="AI122" s="935"/>
      <c r="AJ122" s="935"/>
      <c r="AK122" s="935"/>
      <c r="AL122" s="391" t="s">
        <v>15626</v>
      </c>
      <c r="AM122" s="838">
        <f>$AM$8</f>
        <v>0.7</v>
      </c>
      <c r="AN122" s="838"/>
      <c r="AO122" s="325"/>
      <c r="AP122" s="325"/>
      <c r="AQ122" s="325"/>
      <c r="AR122" s="388"/>
      <c r="AS122" s="392">
        <f>ROUND(I124*AM122,0)</f>
        <v>631</v>
      </c>
      <c r="AT122" s="339"/>
    </row>
    <row r="123" spans="1:46" ht="17.100000000000001" customHeight="1" x14ac:dyDescent="0.15">
      <c r="A123" s="340">
        <v>21</v>
      </c>
      <c r="B123" s="341">
        <v>2153</v>
      </c>
      <c r="C123" s="342" t="s">
        <v>30949</v>
      </c>
      <c r="D123" s="943"/>
      <c r="E123" s="944"/>
      <c r="F123" s="943"/>
      <c r="G123" s="944"/>
      <c r="H123" s="864"/>
      <c r="I123" s="865"/>
      <c r="J123" s="865"/>
      <c r="K123" s="865"/>
      <c r="L123" s="866"/>
      <c r="M123" s="325"/>
      <c r="N123" s="449"/>
      <c r="O123" s="449"/>
      <c r="P123" s="449"/>
      <c r="Q123" s="449"/>
      <c r="R123" s="449"/>
      <c r="S123" s="325"/>
      <c r="T123" s="388"/>
      <c r="U123" s="931"/>
      <c r="V123" s="932"/>
      <c r="W123" s="932"/>
      <c r="X123" s="932"/>
      <c r="Y123" s="932"/>
      <c r="Z123" s="933"/>
      <c r="AA123" s="934" t="s">
        <v>30825</v>
      </c>
      <c r="AB123" s="935"/>
      <c r="AC123" s="935"/>
      <c r="AD123" s="935"/>
      <c r="AE123" s="935"/>
      <c r="AF123" s="935"/>
      <c r="AG123" s="935"/>
      <c r="AH123" s="935"/>
      <c r="AI123" s="935"/>
      <c r="AJ123" s="935"/>
      <c r="AK123" s="935"/>
      <c r="AL123" s="455" t="s">
        <v>15626</v>
      </c>
      <c r="AM123" s="938">
        <f>$AM$9</f>
        <v>0.5</v>
      </c>
      <c r="AN123" s="938"/>
      <c r="AO123" s="343"/>
      <c r="AP123" s="343"/>
      <c r="AQ123" s="343"/>
      <c r="AR123" s="407"/>
      <c r="AS123" s="392">
        <f>ROUND(I124*AM123,0)</f>
        <v>451</v>
      </c>
      <c r="AT123" s="339"/>
    </row>
    <row r="124" spans="1:46" ht="17.100000000000001" customHeight="1" x14ac:dyDescent="0.15">
      <c r="A124" s="340">
        <v>21</v>
      </c>
      <c r="B124" s="341">
        <v>1623</v>
      </c>
      <c r="C124" s="342" t="s">
        <v>30950</v>
      </c>
      <c r="D124" s="943"/>
      <c r="E124" s="944"/>
      <c r="F124" s="943"/>
      <c r="G124" s="944"/>
      <c r="H124" s="490"/>
      <c r="I124" s="836">
        <v>902</v>
      </c>
      <c r="J124" s="836"/>
      <c r="K124" s="152" t="s">
        <v>15624</v>
      </c>
      <c r="L124" s="387"/>
      <c r="M124" s="862" t="s">
        <v>30827</v>
      </c>
      <c r="N124" s="862"/>
      <c r="O124" s="862"/>
      <c r="P124" s="862"/>
      <c r="Q124" s="862"/>
      <c r="R124" s="862"/>
      <c r="S124" s="862"/>
      <c r="T124" s="863"/>
      <c r="U124" s="567"/>
      <c r="V124" s="568"/>
      <c r="W124" s="568"/>
      <c r="X124" s="568"/>
      <c r="Y124" s="459"/>
      <c r="Z124" s="459"/>
      <c r="AA124" s="343"/>
      <c r="AB124" s="343"/>
      <c r="AC124" s="455"/>
      <c r="AD124" s="455"/>
      <c r="AE124" s="455"/>
      <c r="AF124" s="455"/>
      <c r="AG124" s="455"/>
      <c r="AH124" s="343"/>
      <c r="AI124" s="343"/>
      <c r="AJ124" s="343"/>
      <c r="AK124" s="343"/>
      <c r="AL124" s="343"/>
      <c r="AM124" s="343"/>
      <c r="AN124" s="343"/>
      <c r="AO124" s="343"/>
      <c r="AP124" s="343"/>
      <c r="AQ124" s="343"/>
      <c r="AR124" s="407"/>
      <c r="AS124" s="392">
        <f>ROUND(I124*S126,0)</f>
        <v>870</v>
      </c>
      <c r="AT124" s="339"/>
    </row>
    <row r="125" spans="1:46" ht="17.100000000000001" customHeight="1" x14ac:dyDescent="0.15">
      <c r="A125" s="340">
        <v>21</v>
      </c>
      <c r="B125" s="341">
        <v>1624</v>
      </c>
      <c r="C125" s="342" t="s">
        <v>30951</v>
      </c>
      <c r="D125" s="943"/>
      <c r="E125" s="944"/>
      <c r="F125" s="943"/>
      <c r="G125" s="944"/>
      <c r="H125" s="490"/>
      <c r="I125" s="152"/>
      <c r="L125" s="387"/>
      <c r="M125" s="865"/>
      <c r="N125" s="865"/>
      <c r="O125" s="865"/>
      <c r="P125" s="865"/>
      <c r="Q125" s="865"/>
      <c r="R125" s="865"/>
      <c r="S125" s="865"/>
      <c r="T125" s="866"/>
      <c r="U125" s="861" t="s">
        <v>30822</v>
      </c>
      <c r="V125" s="862"/>
      <c r="W125" s="862"/>
      <c r="X125" s="862"/>
      <c r="Y125" s="862"/>
      <c r="Z125" s="863"/>
      <c r="AA125" s="934" t="s">
        <v>30823</v>
      </c>
      <c r="AB125" s="935"/>
      <c r="AC125" s="935"/>
      <c r="AD125" s="935"/>
      <c r="AE125" s="935"/>
      <c r="AF125" s="935"/>
      <c r="AG125" s="935"/>
      <c r="AH125" s="935"/>
      <c r="AI125" s="935"/>
      <c r="AJ125" s="935"/>
      <c r="AK125" s="935"/>
      <c r="AL125" s="391" t="s">
        <v>15626</v>
      </c>
      <c r="AM125" s="838">
        <f>$AM$8</f>
        <v>0.7</v>
      </c>
      <c r="AN125" s="838"/>
      <c r="AO125" s="325"/>
      <c r="AP125" s="325"/>
      <c r="AQ125" s="325"/>
      <c r="AR125" s="388"/>
      <c r="AS125" s="392">
        <f>ROUND(ROUND(I124*S126,0)*AM125,0)</f>
        <v>609</v>
      </c>
      <c r="AT125" s="339"/>
    </row>
    <row r="126" spans="1:46" ht="17.100000000000001" customHeight="1" x14ac:dyDescent="0.15">
      <c r="A126" s="340">
        <v>21</v>
      </c>
      <c r="B126" s="341">
        <v>2154</v>
      </c>
      <c r="C126" s="342" t="s">
        <v>30952</v>
      </c>
      <c r="D126" s="943"/>
      <c r="E126" s="944"/>
      <c r="F126" s="943"/>
      <c r="G126" s="944"/>
      <c r="H126" s="490"/>
      <c r="I126" s="152"/>
      <c r="L126" s="387"/>
      <c r="M126" s="338"/>
      <c r="N126" s="338"/>
      <c r="O126" s="338"/>
      <c r="P126" s="338"/>
      <c r="Q126" s="338"/>
      <c r="R126" s="391" t="s">
        <v>15626</v>
      </c>
      <c r="S126" s="936">
        <f>$S$12</f>
        <v>0.96499999999999997</v>
      </c>
      <c r="T126" s="937"/>
      <c r="U126" s="931"/>
      <c r="V126" s="932"/>
      <c r="W126" s="932"/>
      <c r="X126" s="932"/>
      <c r="Y126" s="932"/>
      <c r="Z126" s="933"/>
      <c r="AA126" s="934" t="s">
        <v>30825</v>
      </c>
      <c r="AB126" s="935"/>
      <c r="AC126" s="935"/>
      <c r="AD126" s="935"/>
      <c r="AE126" s="935"/>
      <c r="AF126" s="935"/>
      <c r="AG126" s="935"/>
      <c r="AH126" s="935"/>
      <c r="AI126" s="935"/>
      <c r="AJ126" s="935"/>
      <c r="AK126" s="935"/>
      <c r="AL126" s="455" t="s">
        <v>15626</v>
      </c>
      <c r="AM126" s="938">
        <f>$AM$9</f>
        <v>0.5</v>
      </c>
      <c r="AN126" s="938"/>
      <c r="AO126" s="343"/>
      <c r="AP126" s="343"/>
      <c r="AQ126" s="343"/>
      <c r="AR126" s="407"/>
      <c r="AS126" s="392">
        <f>ROUND(ROUND(I124*S126,0)*AM126,0)</f>
        <v>435</v>
      </c>
      <c r="AT126" s="339"/>
    </row>
    <row r="127" spans="1:46" ht="17.100000000000001" customHeight="1" x14ac:dyDescent="0.15">
      <c r="A127" s="340">
        <v>21</v>
      </c>
      <c r="B127" s="341">
        <v>1631</v>
      </c>
      <c r="C127" s="342" t="s">
        <v>30953</v>
      </c>
      <c r="D127" s="943"/>
      <c r="E127" s="944"/>
      <c r="F127" s="943"/>
      <c r="G127" s="944"/>
      <c r="H127" s="861" t="s">
        <v>30838</v>
      </c>
      <c r="I127" s="862"/>
      <c r="J127" s="862"/>
      <c r="K127" s="862"/>
      <c r="L127" s="863"/>
      <c r="M127" s="396"/>
      <c r="N127" s="569"/>
      <c r="O127" s="400"/>
      <c r="P127" s="400"/>
      <c r="Q127" s="400"/>
      <c r="R127" s="400"/>
      <c r="S127" s="400"/>
      <c r="T127" s="429"/>
      <c r="U127" s="567"/>
      <c r="V127" s="568"/>
      <c r="W127" s="568"/>
      <c r="X127" s="568"/>
      <c r="Y127" s="459"/>
      <c r="Z127" s="459"/>
      <c r="AA127" s="343"/>
      <c r="AB127" s="343"/>
      <c r="AC127" s="455"/>
      <c r="AD127" s="455"/>
      <c r="AE127" s="455"/>
      <c r="AF127" s="455"/>
      <c r="AG127" s="455"/>
      <c r="AH127" s="343"/>
      <c r="AI127" s="343"/>
      <c r="AJ127" s="343"/>
      <c r="AK127" s="343"/>
      <c r="AL127" s="343"/>
      <c r="AM127" s="343"/>
      <c r="AN127" s="343"/>
      <c r="AO127" s="343"/>
      <c r="AP127" s="343"/>
      <c r="AQ127" s="343"/>
      <c r="AR127" s="407"/>
      <c r="AS127" s="392">
        <f>ROUND(I130,0)</f>
        <v>873</v>
      </c>
      <c r="AT127" s="339"/>
    </row>
    <row r="128" spans="1:46" ht="17.100000000000001" customHeight="1" x14ac:dyDescent="0.15">
      <c r="A128" s="340">
        <v>21</v>
      </c>
      <c r="B128" s="341">
        <v>1632</v>
      </c>
      <c r="C128" s="342" t="s">
        <v>30954</v>
      </c>
      <c r="D128" s="943"/>
      <c r="E128" s="944"/>
      <c r="F128" s="943"/>
      <c r="G128" s="944"/>
      <c r="H128" s="864"/>
      <c r="I128" s="865"/>
      <c r="J128" s="865"/>
      <c r="K128" s="865"/>
      <c r="L128" s="866"/>
      <c r="N128" s="566"/>
      <c r="O128" s="566"/>
      <c r="P128" s="566"/>
      <c r="Q128" s="566"/>
      <c r="R128" s="566"/>
      <c r="S128" s="152"/>
      <c r="T128" s="387"/>
      <c r="U128" s="861" t="s">
        <v>30822</v>
      </c>
      <c r="V128" s="862"/>
      <c r="W128" s="862"/>
      <c r="X128" s="862"/>
      <c r="Y128" s="862"/>
      <c r="Z128" s="863"/>
      <c r="AA128" s="934" t="s">
        <v>30823</v>
      </c>
      <c r="AB128" s="935"/>
      <c r="AC128" s="935"/>
      <c r="AD128" s="935"/>
      <c r="AE128" s="935"/>
      <c r="AF128" s="935"/>
      <c r="AG128" s="935"/>
      <c r="AH128" s="935"/>
      <c r="AI128" s="935"/>
      <c r="AJ128" s="935"/>
      <c r="AK128" s="935"/>
      <c r="AL128" s="391" t="s">
        <v>15626</v>
      </c>
      <c r="AM128" s="838">
        <f>$AM$8</f>
        <v>0.7</v>
      </c>
      <c r="AN128" s="838"/>
      <c r="AO128" s="325"/>
      <c r="AP128" s="325"/>
      <c r="AQ128" s="325"/>
      <c r="AR128" s="388"/>
      <c r="AS128" s="392">
        <f>ROUND(I130*AM128,0)</f>
        <v>611</v>
      </c>
      <c r="AT128" s="339"/>
    </row>
    <row r="129" spans="1:46" ht="17.100000000000001" customHeight="1" x14ac:dyDescent="0.15">
      <c r="A129" s="340">
        <v>21</v>
      </c>
      <c r="B129" s="341">
        <v>2161</v>
      </c>
      <c r="C129" s="342" t="s">
        <v>30955</v>
      </c>
      <c r="D129" s="943"/>
      <c r="E129" s="944"/>
      <c r="F129" s="943"/>
      <c r="G129" s="944"/>
      <c r="H129" s="864"/>
      <c r="I129" s="865"/>
      <c r="J129" s="865"/>
      <c r="K129" s="865"/>
      <c r="L129" s="866"/>
      <c r="M129" s="325"/>
      <c r="N129" s="449"/>
      <c r="O129" s="449"/>
      <c r="P129" s="449"/>
      <c r="Q129" s="449"/>
      <c r="R129" s="449"/>
      <c r="S129" s="325"/>
      <c r="T129" s="388"/>
      <c r="U129" s="931"/>
      <c r="V129" s="932"/>
      <c r="W129" s="932"/>
      <c r="X129" s="932"/>
      <c r="Y129" s="932"/>
      <c r="Z129" s="933"/>
      <c r="AA129" s="934" t="s">
        <v>30825</v>
      </c>
      <c r="AB129" s="935"/>
      <c r="AC129" s="935"/>
      <c r="AD129" s="935"/>
      <c r="AE129" s="935"/>
      <c r="AF129" s="935"/>
      <c r="AG129" s="935"/>
      <c r="AH129" s="935"/>
      <c r="AI129" s="935"/>
      <c r="AJ129" s="935"/>
      <c r="AK129" s="935"/>
      <c r="AL129" s="455" t="s">
        <v>15626</v>
      </c>
      <c r="AM129" s="938">
        <f>$AM$9</f>
        <v>0.5</v>
      </c>
      <c r="AN129" s="938"/>
      <c r="AO129" s="343"/>
      <c r="AP129" s="343"/>
      <c r="AQ129" s="343"/>
      <c r="AR129" s="407"/>
      <c r="AS129" s="392">
        <f>ROUND(I130*AM129,0)</f>
        <v>437</v>
      </c>
      <c r="AT129" s="339"/>
    </row>
    <row r="130" spans="1:46" ht="17.100000000000001" customHeight="1" x14ac:dyDescent="0.15">
      <c r="A130" s="340">
        <v>21</v>
      </c>
      <c r="B130" s="341">
        <v>1633</v>
      </c>
      <c r="C130" s="342" t="s">
        <v>30956</v>
      </c>
      <c r="D130" s="943"/>
      <c r="E130" s="944"/>
      <c r="F130" s="943"/>
      <c r="G130" s="944"/>
      <c r="H130" s="490"/>
      <c r="I130" s="836">
        <v>873</v>
      </c>
      <c r="J130" s="836"/>
      <c r="K130" s="152" t="s">
        <v>15624</v>
      </c>
      <c r="L130" s="387"/>
      <c r="M130" s="862" t="s">
        <v>30827</v>
      </c>
      <c r="N130" s="862"/>
      <c r="O130" s="862"/>
      <c r="P130" s="862"/>
      <c r="Q130" s="862"/>
      <c r="R130" s="862"/>
      <c r="S130" s="862"/>
      <c r="T130" s="863"/>
      <c r="U130" s="567"/>
      <c r="V130" s="568"/>
      <c r="W130" s="568"/>
      <c r="X130" s="568"/>
      <c r="Y130" s="459"/>
      <c r="Z130" s="459"/>
      <c r="AA130" s="343"/>
      <c r="AB130" s="343"/>
      <c r="AC130" s="455"/>
      <c r="AD130" s="455"/>
      <c r="AE130" s="455"/>
      <c r="AF130" s="455"/>
      <c r="AG130" s="455"/>
      <c r="AH130" s="343"/>
      <c r="AI130" s="343"/>
      <c r="AJ130" s="343"/>
      <c r="AK130" s="343"/>
      <c r="AL130" s="343"/>
      <c r="AM130" s="343"/>
      <c r="AN130" s="343"/>
      <c r="AO130" s="343"/>
      <c r="AP130" s="343"/>
      <c r="AQ130" s="343"/>
      <c r="AR130" s="407"/>
      <c r="AS130" s="392">
        <f>ROUND(I130*S132,0)</f>
        <v>842</v>
      </c>
      <c r="AT130" s="339"/>
    </row>
    <row r="131" spans="1:46" ht="17.100000000000001" customHeight="1" x14ac:dyDescent="0.15">
      <c r="A131" s="340">
        <v>21</v>
      </c>
      <c r="B131" s="341">
        <v>1634</v>
      </c>
      <c r="C131" s="342" t="s">
        <v>30957</v>
      </c>
      <c r="D131" s="943"/>
      <c r="E131" s="944"/>
      <c r="F131" s="943"/>
      <c r="G131" s="944"/>
      <c r="H131" s="490"/>
      <c r="I131" s="152"/>
      <c r="L131" s="387"/>
      <c r="M131" s="865"/>
      <c r="N131" s="865"/>
      <c r="O131" s="865"/>
      <c r="P131" s="865"/>
      <c r="Q131" s="865"/>
      <c r="R131" s="865"/>
      <c r="S131" s="865"/>
      <c r="T131" s="866"/>
      <c r="U131" s="861" t="s">
        <v>30822</v>
      </c>
      <c r="V131" s="862"/>
      <c r="W131" s="862"/>
      <c r="X131" s="862"/>
      <c r="Y131" s="862"/>
      <c r="Z131" s="863"/>
      <c r="AA131" s="934" t="s">
        <v>30823</v>
      </c>
      <c r="AB131" s="935"/>
      <c r="AC131" s="935"/>
      <c r="AD131" s="935"/>
      <c r="AE131" s="935"/>
      <c r="AF131" s="935"/>
      <c r="AG131" s="935"/>
      <c r="AH131" s="935"/>
      <c r="AI131" s="935"/>
      <c r="AJ131" s="935"/>
      <c r="AK131" s="935"/>
      <c r="AL131" s="391" t="s">
        <v>15626</v>
      </c>
      <c r="AM131" s="838">
        <f>$AM$8</f>
        <v>0.7</v>
      </c>
      <c r="AN131" s="838"/>
      <c r="AO131" s="325"/>
      <c r="AP131" s="325"/>
      <c r="AQ131" s="325"/>
      <c r="AR131" s="388"/>
      <c r="AS131" s="392">
        <f>ROUND(ROUND(I130*S132,0)*AM131,0)</f>
        <v>589</v>
      </c>
      <c r="AT131" s="339"/>
    </row>
    <row r="132" spans="1:46" ht="17.100000000000001" customHeight="1" x14ac:dyDescent="0.15">
      <c r="A132" s="340">
        <v>21</v>
      </c>
      <c r="B132" s="341">
        <v>2162</v>
      </c>
      <c r="C132" s="342" t="s">
        <v>30958</v>
      </c>
      <c r="D132" s="943"/>
      <c r="E132" s="944"/>
      <c r="F132" s="943"/>
      <c r="G132" s="944"/>
      <c r="H132" s="490"/>
      <c r="I132" s="152"/>
      <c r="L132" s="387"/>
      <c r="M132" s="338"/>
      <c r="N132" s="338"/>
      <c r="O132" s="338"/>
      <c r="P132" s="338"/>
      <c r="Q132" s="338"/>
      <c r="R132" s="391" t="s">
        <v>15626</v>
      </c>
      <c r="S132" s="936">
        <f>$S$12</f>
        <v>0.96499999999999997</v>
      </c>
      <c r="T132" s="937"/>
      <c r="U132" s="931"/>
      <c r="V132" s="932"/>
      <c r="W132" s="932"/>
      <c r="X132" s="932"/>
      <c r="Y132" s="932"/>
      <c r="Z132" s="933"/>
      <c r="AA132" s="934" t="s">
        <v>30825</v>
      </c>
      <c r="AB132" s="935"/>
      <c r="AC132" s="935"/>
      <c r="AD132" s="935"/>
      <c r="AE132" s="935"/>
      <c r="AF132" s="935"/>
      <c r="AG132" s="935"/>
      <c r="AH132" s="935"/>
      <c r="AI132" s="935"/>
      <c r="AJ132" s="935"/>
      <c r="AK132" s="935"/>
      <c r="AL132" s="455" t="s">
        <v>15626</v>
      </c>
      <c r="AM132" s="938">
        <f>$AM$9</f>
        <v>0.5</v>
      </c>
      <c r="AN132" s="938"/>
      <c r="AO132" s="343"/>
      <c r="AP132" s="343"/>
      <c r="AQ132" s="343"/>
      <c r="AR132" s="407"/>
      <c r="AS132" s="392">
        <f>ROUND(ROUND(I130*S132,0)*AM132,0)</f>
        <v>421</v>
      </c>
      <c r="AT132" s="339"/>
    </row>
    <row r="133" spans="1:46" ht="17.100000000000001" customHeight="1" x14ac:dyDescent="0.15">
      <c r="A133" s="340">
        <v>21</v>
      </c>
      <c r="B133" s="341">
        <v>1641</v>
      </c>
      <c r="C133" s="342" t="s">
        <v>30959</v>
      </c>
      <c r="D133" s="423"/>
      <c r="E133" s="424"/>
      <c r="F133" s="423"/>
      <c r="G133" s="424"/>
      <c r="H133" s="861" t="s">
        <v>30845</v>
      </c>
      <c r="I133" s="862"/>
      <c r="J133" s="862"/>
      <c r="K133" s="862"/>
      <c r="L133" s="863"/>
      <c r="M133" s="396"/>
      <c r="N133" s="569"/>
      <c r="O133" s="400"/>
      <c r="P133" s="400"/>
      <c r="Q133" s="400"/>
      <c r="R133" s="400"/>
      <c r="S133" s="400"/>
      <c r="T133" s="429"/>
      <c r="U133" s="567"/>
      <c r="V133" s="568"/>
      <c r="W133" s="568"/>
      <c r="X133" s="568"/>
      <c r="Y133" s="459"/>
      <c r="Z133" s="459"/>
      <c r="AA133" s="343"/>
      <c r="AB133" s="343"/>
      <c r="AC133" s="455"/>
      <c r="AD133" s="455"/>
      <c r="AE133" s="455"/>
      <c r="AF133" s="455"/>
      <c r="AG133" s="455"/>
      <c r="AH133" s="343"/>
      <c r="AI133" s="343"/>
      <c r="AJ133" s="343"/>
      <c r="AK133" s="343"/>
      <c r="AL133" s="343"/>
      <c r="AM133" s="343"/>
      <c r="AN133" s="343"/>
      <c r="AO133" s="343"/>
      <c r="AP133" s="343"/>
      <c r="AQ133" s="343"/>
      <c r="AR133" s="407"/>
      <c r="AS133" s="392">
        <f>ROUND(I136,0)</f>
        <v>838</v>
      </c>
      <c r="AT133" s="359"/>
    </row>
    <row r="134" spans="1:46" ht="17.100000000000001" customHeight="1" x14ac:dyDescent="0.15">
      <c r="A134" s="340">
        <v>21</v>
      </c>
      <c r="B134" s="341">
        <v>1642</v>
      </c>
      <c r="C134" s="342" t="s">
        <v>30960</v>
      </c>
      <c r="D134" s="423"/>
      <c r="E134" s="424"/>
      <c r="F134" s="423"/>
      <c r="G134" s="424"/>
      <c r="H134" s="864"/>
      <c r="I134" s="865"/>
      <c r="J134" s="865"/>
      <c r="K134" s="865"/>
      <c r="L134" s="866"/>
      <c r="N134" s="566"/>
      <c r="O134" s="566"/>
      <c r="P134" s="566"/>
      <c r="Q134" s="566"/>
      <c r="R134" s="566"/>
      <c r="S134" s="152"/>
      <c r="T134" s="387"/>
      <c r="U134" s="861" t="s">
        <v>30822</v>
      </c>
      <c r="V134" s="862"/>
      <c r="W134" s="862"/>
      <c r="X134" s="862"/>
      <c r="Y134" s="862"/>
      <c r="Z134" s="863"/>
      <c r="AA134" s="934" t="s">
        <v>30823</v>
      </c>
      <c r="AB134" s="935"/>
      <c r="AC134" s="935"/>
      <c r="AD134" s="935"/>
      <c r="AE134" s="935"/>
      <c r="AF134" s="935"/>
      <c r="AG134" s="935"/>
      <c r="AH134" s="935"/>
      <c r="AI134" s="935"/>
      <c r="AJ134" s="935"/>
      <c r="AK134" s="935"/>
      <c r="AL134" s="391" t="s">
        <v>15626</v>
      </c>
      <c r="AM134" s="838">
        <f>$AM$8</f>
        <v>0.7</v>
      </c>
      <c r="AN134" s="838"/>
      <c r="AO134" s="325"/>
      <c r="AP134" s="325"/>
      <c r="AQ134" s="325"/>
      <c r="AR134" s="388"/>
      <c r="AS134" s="392">
        <f>ROUND(I136*AM134,0)</f>
        <v>587</v>
      </c>
      <c r="AT134" s="359"/>
    </row>
    <row r="135" spans="1:46" ht="17.100000000000001" customHeight="1" x14ac:dyDescent="0.15">
      <c r="A135" s="340">
        <v>21</v>
      </c>
      <c r="B135" s="341">
        <v>2169</v>
      </c>
      <c r="C135" s="342" t="s">
        <v>30961</v>
      </c>
      <c r="D135" s="423"/>
      <c r="E135" s="424"/>
      <c r="F135" s="423"/>
      <c r="G135" s="424"/>
      <c r="H135" s="490"/>
      <c r="I135" s="152"/>
      <c r="L135" s="387"/>
      <c r="M135" s="325"/>
      <c r="N135" s="449"/>
      <c r="O135" s="449"/>
      <c r="P135" s="449"/>
      <c r="Q135" s="449"/>
      <c r="R135" s="449"/>
      <c r="S135" s="325"/>
      <c r="T135" s="388"/>
      <c r="U135" s="931"/>
      <c r="V135" s="932"/>
      <c r="W135" s="932"/>
      <c r="X135" s="932"/>
      <c r="Y135" s="932"/>
      <c r="Z135" s="933"/>
      <c r="AA135" s="934" t="s">
        <v>30825</v>
      </c>
      <c r="AB135" s="935"/>
      <c r="AC135" s="935"/>
      <c r="AD135" s="935"/>
      <c r="AE135" s="935"/>
      <c r="AF135" s="935"/>
      <c r="AG135" s="935"/>
      <c r="AH135" s="935"/>
      <c r="AI135" s="935"/>
      <c r="AJ135" s="935"/>
      <c r="AK135" s="935"/>
      <c r="AL135" s="455" t="s">
        <v>15626</v>
      </c>
      <c r="AM135" s="938">
        <f>$AM$9</f>
        <v>0.5</v>
      </c>
      <c r="AN135" s="938"/>
      <c r="AO135" s="343"/>
      <c r="AP135" s="343"/>
      <c r="AQ135" s="343"/>
      <c r="AR135" s="407"/>
      <c r="AS135" s="392">
        <f>ROUND(I136*AM135,0)</f>
        <v>419</v>
      </c>
      <c r="AT135" s="359"/>
    </row>
    <row r="136" spans="1:46" ht="17.100000000000001" customHeight="1" x14ac:dyDescent="0.15">
      <c r="A136" s="340">
        <v>21</v>
      </c>
      <c r="B136" s="341">
        <v>1643</v>
      </c>
      <c r="C136" s="342" t="s">
        <v>30962</v>
      </c>
      <c r="D136" s="423"/>
      <c r="E136" s="424"/>
      <c r="F136" s="423"/>
      <c r="G136" s="424"/>
      <c r="H136" s="490"/>
      <c r="I136" s="836">
        <v>838</v>
      </c>
      <c r="J136" s="836"/>
      <c r="K136" s="152" t="s">
        <v>15624</v>
      </c>
      <c r="L136" s="387"/>
      <c r="M136" s="862" t="s">
        <v>30827</v>
      </c>
      <c r="N136" s="862"/>
      <c r="O136" s="862"/>
      <c r="P136" s="862"/>
      <c r="Q136" s="862"/>
      <c r="R136" s="862"/>
      <c r="S136" s="862"/>
      <c r="T136" s="863"/>
      <c r="U136" s="567"/>
      <c r="V136" s="568"/>
      <c r="W136" s="568"/>
      <c r="X136" s="568"/>
      <c r="Y136" s="459"/>
      <c r="Z136" s="459"/>
      <c r="AA136" s="343"/>
      <c r="AB136" s="343"/>
      <c r="AC136" s="455"/>
      <c r="AD136" s="455"/>
      <c r="AE136" s="455"/>
      <c r="AF136" s="455"/>
      <c r="AG136" s="455"/>
      <c r="AH136" s="343"/>
      <c r="AI136" s="343"/>
      <c r="AJ136" s="343"/>
      <c r="AK136" s="343"/>
      <c r="AL136" s="343"/>
      <c r="AM136" s="343"/>
      <c r="AN136" s="343"/>
      <c r="AO136" s="343"/>
      <c r="AP136" s="343"/>
      <c r="AQ136" s="343"/>
      <c r="AR136" s="407"/>
      <c r="AS136" s="392">
        <f>ROUND(I136*S138,0)</f>
        <v>809</v>
      </c>
      <c r="AT136" s="359"/>
    </row>
    <row r="137" spans="1:46" ht="17.100000000000001" customHeight="1" x14ac:dyDescent="0.15">
      <c r="A137" s="580">
        <v>21</v>
      </c>
      <c r="B137" s="581">
        <v>1644</v>
      </c>
      <c r="C137" s="582" t="s">
        <v>30963</v>
      </c>
      <c r="D137" s="423"/>
      <c r="E137" s="424"/>
      <c r="F137" s="423"/>
      <c r="G137" s="424"/>
      <c r="H137" s="490"/>
      <c r="I137" s="152"/>
      <c r="L137" s="387"/>
      <c r="M137" s="865"/>
      <c r="N137" s="865"/>
      <c r="O137" s="865"/>
      <c r="P137" s="865"/>
      <c r="Q137" s="865"/>
      <c r="R137" s="865"/>
      <c r="S137" s="865"/>
      <c r="T137" s="866"/>
      <c r="U137" s="861" t="s">
        <v>30822</v>
      </c>
      <c r="V137" s="862"/>
      <c r="W137" s="862"/>
      <c r="X137" s="862"/>
      <c r="Y137" s="862"/>
      <c r="Z137" s="863"/>
      <c r="AA137" s="934" t="s">
        <v>30823</v>
      </c>
      <c r="AB137" s="935"/>
      <c r="AC137" s="935"/>
      <c r="AD137" s="935"/>
      <c r="AE137" s="935"/>
      <c r="AF137" s="935"/>
      <c r="AG137" s="935"/>
      <c r="AH137" s="935"/>
      <c r="AI137" s="935"/>
      <c r="AJ137" s="935"/>
      <c r="AK137" s="935"/>
      <c r="AL137" s="391" t="s">
        <v>15626</v>
      </c>
      <c r="AM137" s="838">
        <f>$AM$8</f>
        <v>0.7</v>
      </c>
      <c r="AN137" s="838"/>
      <c r="AO137" s="325"/>
      <c r="AP137" s="325"/>
      <c r="AQ137" s="325"/>
      <c r="AR137" s="388"/>
      <c r="AS137" s="392">
        <f>ROUND(ROUND(I136*S138,0)*AM137,0)</f>
        <v>566</v>
      </c>
      <c r="AT137" s="359"/>
    </row>
    <row r="138" spans="1:46" ht="17.100000000000001" customHeight="1" x14ac:dyDescent="0.15">
      <c r="A138" s="580">
        <v>21</v>
      </c>
      <c r="B138" s="581">
        <v>2170</v>
      </c>
      <c r="C138" s="582" t="s">
        <v>30964</v>
      </c>
      <c r="D138" s="423"/>
      <c r="E138" s="425"/>
      <c r="F138" s="423"/>
      <c r="G138" s="424"/>
      <c r="H138" s="324"/>
      <c r="I138" s="325"/>
      <c r="J138" s="325"/>
      <c r="K138" s="325"/>
      <c r="L138" s="388"/>
      <c r="M138" s="338"/>
      <c r="N138" s="338"/>
      <c r="O138" s="338"/>
      <c r="P138" s="338"/>
      <c r="Q138" s="338"/>
      <c r="R138" s="391" t="s">
        <v>15626</v>
      </c>
      <c r="S138" s="936">
        <f>$S$12</f>
        <v>0.96499999999999997</v>
      </c>
      <c r="T138" s="937"/>
      <c r="U138" s="931"/>
      <c r="V138" s="932"/>
      <c r="W138" s="932"/>
      <c r="X138" s="932"/>
      <c r="Y138" s="932"/>
      <c r="Z138" s="933"/>
      <c r="AA138" s="934" t="s">
        <v>30825</v>
      </c>
      <c r="AB138" s="935"/>
      <c r="AC138" s="935"/>
      <c r="AD138" s="935"/>
      <c r="AE138" s="935"/>
      <c r="AF138" s="935"/>
      <c r="AG138" s="935"/>
      <c r="AH138" s="935"/>
      <c r="AI138" s="935"/>
      <c r="AJ138" s="935"/>
      <c r="AK138" s="935"/>
      <c r="AL138" s="455" t="s">
        <v>15626</v>
      </c>
      <c r="AM138" s="938">
        <f>$AM$9</f>
        <v>0.5</v>
      </c>
      <c r="AN138" s="938"/>
      <c r="AO138" s="343"/>
      <c r="AP138" s="343"/>
      <c r="AQ138" s="343"/>
      <c r="AR138" s="407"/>
      <c r="AS138" s="392">
        <f>ROUND(ROUND(I136*S138,0)*AM138,0)</f>
        <v>405</v>
      </c>
      <c r="AT138" s="359"/>
    </row>
    <row r="139" spans="1:46" ht="17.100000000000001" customHeight="1" x14ac:dyDescent="0.15">
      <c r="A139" s="311">
        <v>21</v>
      </c>
      <c r="B139" s="311" t="s">
        <v>15547</v>
      </c>
      <c r="C139" s="313" t="s">
        <v>30965</v>
      </c>
      <c r="D139" s="314" t="s">
        <v>15549</v>
      </c>
      <c r="E139" s="315"/>
      <c r="F139" s="315"/>
      <c r="G139" s="583"/>
      <c r="H139" s="364"/>
      <c r="I139" s="364"/>
      <c r="J139" s="364"/>
      <c r="K139" s="364"/>
      <c r="L139" s="364"/>
      <c r="M139" s="315"/>
      <c r="N139" s="315"/>
      <c r="O139" s="315"/>
      <c r="P139" s="315"/>
      <c r="Q139" s="315"/>
      <c r="R139" s="440"/>
      <c r="S139" s="472"/>
      <c r="T139" s="472"/>
      <c r="U139" s="472"/>
      <c r="V139" s="472"/>
      <c r="W139" s="472"/>
      <c r="X139" s="472"/>
      <c r="Y139" s="472"/>
      <c r="Z139" s="472"/>
      <c r="AA139" s="315"/>
      <c r="AB139" s="315"/>
      <c r="AC139" s="441"/>
      <c r="AD139" s="441"/>
      <c r="AE139" s="441"/>
      <c r="AF139" s="441"/>
      <c r="AG139" s="441"/>
      <c r="AH139" s="315"/>
      <c r="AI139" s="315"/>
      <c r="AJ139" s="315"/>
      <c r="AK139" s="315"/>
      <c r="AL139" s="315"/>
      <c r="AM139" s="867"/>
      <c r="AN139" s="959"/>
      <c r="AO139" s="315" t="s">
        <v>15820</v>
      </c>
      <c r="AP139" s="315"/>
      <c r="AQ139" s="315"/>
      <c r="AR139" s="315"/>
      <c r="AS139" s="362"/>
      <c r="AT139" s="445" t="s">
        <v>15598</v>
      </c>
    </row>
    <row r="140" spans="1:46" ht="17.100000000000001" customHeight="1" x14ac:dyDescent="0.15">
      <c r="A140" s="340">
        <v>21</v>
      </c>
      <c r="B140" s="340" t="s">
        <v>15560</v>
      </c>
      <c r="C140" s="342" t="s">
        <v>30966</v>
      </c>
      <c r="D140" s="330" t="s">
        <v>30967</v>
      </c>
      <c r="E140" s="343"/>
      <c r="F140" s="343"/>
      <c r="G140" s="584"/>
      <c r="H140" s="325"/>
      <c r="I140" s="325"/>
      <c r="J140" s="325"/>
      <c r="K140" s="325"/>
      <c r="L140" s="325"/>
      <c r="M140" s="343"/>
      <c r="N140" s="343"/>
      <c r="O140" s="343"/>
      <c r="P140" s="343"/>
      <c r="Q140" s="343"/>
      <c r="R140" s="454"/>
      <c r="S140" s="459"/>
      <c r="T140" s="459"/>
      <c r="U140" s="459"/>
      <c r="V140" s="459"/>
      <c r="W140" s="459"/>
      <c r="X140" s="459"/>
      <c r="Y140" s="459"/>
      <c r="Z140" s="459"/>
      <c r="AA140" s="343"/>
      <c r="AB140" s="343"/>
      <c r="AC140" s="455"/>
      <c r="AD140" s="455"/>
      <c r="AE140" s="455"/>
      <c r="AF140" s="455"/>
      <c r="AG140" s="455"/>
      <c r="AH140" s="343"/>
      <c r="AI140" s="343"/>
      <c r="AJ140" s="343"/>
      <c r="AK140" s="343"/>
      <c r="AL140" s="343"/>
      <c r="AM140" s="877">
        <v>5</v>
      </c>
      <c r="AN140" s="960"/>
      <c r="AO140" s="343" t="s">
        <v>15825</v>
      </c>
      <c r="AP140" s="343"/>
      <c r="AQ140" s="343"/>
      <c r="AR140" s="343"/>
      <c r="AS140" s="353">
        <f>-ROUND(AM140,0)</f>
        <v>-5</v>
      </c>
      <c r="AT140" s="329" t="s">
        <v>30681</v>
      </c>
    </row>
    <row r="141" spans="1:46" ht="17.100000000000001" customHeight="1" x14ac:dyDescent="0.15">
      <c r="A141" s="340">
        <v>21</v>
      </c>
      <c r="B141" s="340">
        <v>5030</v>
      </c>
      <c r="C141" s="342" t="s">
        <v>30968</v>
      </c>
      <c r="D141" s="330" t="s">
        <v>30969</v>
      </c>
      <c r="E141" s="343"/>
      <c r="F141" s="343"/>
      <c r="G141" s="584"/>
      <c r="H141" s="325"/>
      <c r="I141" s="325"/>
      <c r="J141" s="325"/>
      <c r="K141" s="325"/>
      <c r="L141" s="325"/>
      <c r="M141" s="343"/>
      <c r="N141" s="343"/>
      <c r="O141" s="343"/>
      <c r="P141" s="343"/>
      <c r="Q141" s="343"/>
      <c r="R141" s="454"/>
      <c r="S141" s="459"/>
      <c r="T141" s="459"/>
      <c r="U141" s="459"/>
      <c r="V141" s="459"/>
      <c r="W141" s="459"/>
      <c r="X141" s="459"/>
      <c r="Y141" s="459"/>
      <c r="Z141" s="459"/>
      <c r="AA141" s="343"/>
      <c r="AB141" s="343"/>
      <c r="AC141" s="455"/>
      <c r="AD141" s="455"/>
      <c r="AE141" s="455"/>
      <c r="AF141" s="455"/>
      <c r="AG141" s="455"/>
      <c r="AH141" s="343"/>
      <c r="AI141" s="343"/>
      <c r="AJ141" s="343"/>
      <c r="AK141" s="343"/>
      <c r="AL141" s="343"/>
      <c r="AM141" s="877">
        <v>500</v>
      </c>
      <c r="AN141" s="960"/>
      <c r="AO141" s="343" t="s">
        <v>15568</v>
      </c>
      <c r="AP141" s="343"/>
      <c r="AQ141" s="343"/>
      <c r="AR141" s="343"/>
      <c r="AS141" s="353">
        <f>ROUND(AM141,0)</f>
        <v>500</v>
      </c>
      <c r="AT141" s="336" t="s">
        <v>15589</v>
      </c>
    </row>
    <row r="142" spans="1:46" ht="17.100000000000001" customHeight="1" x14ac:dyDescent="0.15">
      <c r="A142" s="340">
        <v>21</v>
      </c>
      <c r="B142" s="340">
        <v>6037</v>
      </c>
      <c r="C142" s="342" t="s">
        <v>30970</v>
      </c>
      <c r="D142" s="887" t="s">
        <v>30971</v>
      </c>
      <c r="E142" s="888"/>
      <c r="F142" s="888"/>
      <c r="G142" s="888"/>
      <c r="H142" s="888"/>
      <c r="I142" s="888"/>
      <c r="J142" s="888"/>
      <c r="K142" s="888"/>
      <c r="L142" s="888"/>
      <c r="M142" s="888"/>
      <c r="N142" s="888"/>
      <c r="O142" s="888"/>
      <c r="P142" s="889"/>
      <c r="Q142" s="343" t="s">
        <v>30972</v>
      </c>
      <c r="R142" s="569"/>
      <c r="S142" s="400"/>
      <c r="T142" s="400"/>
      <c r="U142" s="400"/>
      <c r="V142" s="459"/>
      <c r="W142" s="459"/>
      <c r="X142" s="459"/>
      <c r="Y142" s="459"/>
      <c r="Z142" s="459"/>
      <c r="AA142" s="343"/>
      <c r="AB142" s="343"/>
      <c r="AC142" s="455"/>
      <c r="AD142" s="455"/>
      <c r="AE142" s="455"/>
      <c r="AF142" s="455"/>
      <c r="AG142" s="455"/>
      <c r="AH142" s="343"/>
      <c r="AI142" s="343"/>
      <c r="AJ142" s="343"/>
      <c r="AK142" s="343"/>
      <c r="AL142" s="343"/>
      <c r="AM142" s="877">
        <v>10</v>
      </c>
      <c r="AN142" s="960"/>
      <c r="AO142" s="343" t="s">
        <v>15568</v>
      </c>
      <c r="AP142" s="343"/>
      <c r="AQ142" s="343"/>
      <c r="AR142" s="407"/>
      <c r="AS142" s="392">
        <f>ROUND(AM142,0)</f>
        <v>10</v>
      </c>
      <c r="AT142" s="329" t="s">
        <v>30681</v>
      </c>
    </row>
    <row r="143" spans="1:46" ht="17.100000000000001" customHeight="1" x14ac:dyDescent="0.15">
      <c r="A143" s="340">
        <v>21</v>
      </c>
      <c r="B143" s="340">
        <v>6035</v>
      </c>
      <c r="C143" s="342" t="s">
        <v>30973</v>
      </c>
      <c r="D143" s="869"/>
      <c r="E143" s="870"/>
      <c r="F143" s="870"/>
      <c r="G143" s="870"/>
      <c r="H143" s="870"/>
      <c r="I143" s="870"/>
      <c r="J143" s="870"/>
      <c r="K143" s="870"/>
      <c r="L143" s="870"/>
      <c r="M143" s="870"/>
      <c r="N143" s="870"/>
      <c r="O143" s="870"/>
      <c r="P143" s="872"/>
      <c r="Q143" s="396" t="s">
        <v>30974</v>
      </c>
      <c r="R143" s="454"/>
      <c r="S143" s="459"/>
      <c r="T143" s="459"/>
      <c r="U143" s="459"/>
      <c r="V143" s="459"/>
      <c r="W143" s="459"/>
      <c r="X143" s="459"/>
      <c r="Y143" s="459"/>
      <c r="Z143" s="459"/>
      <c r="AA143" s="343"/>
      <c r="AB143" s="343"/>
      <c r="AC143" s="455"/>
      <c r="AD143" s="455"/>
      <c r="AE143" s="455"/>
      <c r="AF143" s="455"/>
      <c r="AG143" s="455"/>
      <c r="AH143" s="343"/>
      <c r="AI143" s="343"/>
      <c r="AJ143" s="343"/>
      <c r="AK143" s="343"/>
      <c r="AL143" s="343"/>
      <c r="AM143" s="877">
        <v>7</v>
      </c>
      <c r="AN143" s="960"/>
      <c r="AO143" s="343" t="s">
        <v>15568</v>
      </c>
      <c r="AP143" s="343"/>
      <c r="AQ143" s="343"/>
      <c r="AR143" s="407"/>
      <c r="AS143" s="392">
        <f>ROUND(AM143,0)</f>
        <v>7</v>
      </c>
      <c r="AT143" s="339"/>
    </row>
    <row r="144" spans="1:46" ht="17.100000000000001" customHeight="1" x14ac:dyDescent="0.15">
      <c r="A144" s="340">
        <v>21</v>
      </c>
      <c r="B144" s="340">
        <v>6036</v>
      </c>
      <c r="C144" s="342" t="s">
        <v>30975</v>
      </c>
      <c r="D144" s="873"/>
      <c r="E144" s="874"/>
      <c r="F144" s="874"/>
      <c r="G144" s="874"/>
      <c r="H144" s="874"/>
      <c r="I144" s="874"/>
      <c r="J144" s="874"/>
      <c r="K144" s="874"/>
      <c r="L144" s="874"/>
      <c r="M144" s="874"/>
      <c r="N144" s="874"/>
      <c r="O144" s="874"/>
      <c r="P144" s="876"/>
      <c r="Q144" s="396" t="s">
        <v>30976</v>
      </c>
      <c r="R144" s="569"/>
      <c r="S144" s="400"/>
      <c r="T144" s="400"/>
      <c r="U144" s="400"/>
      <c r="V144" s="459"/>
      <c r="W144" s="459"/>
      <c r="X144" s="459"/>
      <c r="Y144" s="459"/>
      <c r="Z144" s="459"/>
      <c r="AA144" s="343"/>
      <c r="AB144" s="343"/>
      <c r="AC144" s="455"/>
      <c r="AD144" s="455"/>
      <c r="AE144" s="455"/>
      <c r="AF144" s="455"/>
      <c r="AG144" s="455"/>
      <c r="AH144" s="343"/>
      <c r="AI144" s="343"/>
      <c r="AJ144" s="343"/>
      <c r="AK144" s="343"/>
      <c r="AL144" s="343"/>
      <c r="AM144" s="877">
        <v>4</v>
      </c>
      <c r="AN144" s="960"/>
      <c r="AO144" s="343" t="s">
        <v>15568</v>
      </c>
      <c r="AP144" s="343"/>
      <c r="AQ144" s="343"/>
      <c r="AR144" s="407"/>
      <c r="AS144" s="392">
        <f>ROUND(AM144,0)</f>
        <v>4</v>
      </c>
      <c r="AT144" s="339"/>
    </row>
    <row r="145" spans="1:48" ht="16.5" customHeight="1" x14ac:dyDescent="0.15">
      <c r="A145" s="340">
        <v>21</v>
      </c>
      <c r="B145" s="341">
        <v>7050</v>
      </c>
      <c r="C145" s="342" t="s">
        <v>30977</v>
      </c>
      <c r="D145" s="830" t="s">
        <v>30978</v>
      </c>
      <c r="E145" s="878"/>
      <c r="F145" s="878"/>
      <c r="G145" s="878"/>
      <c r="H145" s="878"/>
      <c r="I145" s="878"/>
      <c r="J145" s="879"/>
      <c r="K145" s="547" t="s">
        <v>30979</v>
      </c>
      <c r="L145" s="396"/>
      <c r="M145" s="396"/>
      <c r="N145" s="396"/>
      <c r="O145" s="396"/>
      <c r="P145" s="397"/>
      <c r="Q145" s="547" t="s">
        <v>30980</v>
      </c>
      <c r="R145" s="396"/>
      <c r="S145" s="396"/>
      <c r="T145" s="396"/>
      <c r="U145" s="396"/>
      <c r="V145" s="396"/>
      <c r="W145" s="396"/>
      <c r="X145" s="396"/>
      <c r="Y145" s="396"/>
      <c r="Z145" s="396"/>
      <c r="AA145" s="397"/>
      <c r="AB145" s="325"/>
      <c r="AC145" s="449"/>
      <c r="AD145" s="449"/>
      <c r="AE145" s="391"/>
      <c r="AF145" s="450"/>
      <c r="AG145" s="450"/>
      <c r="AH145" s="325"/>
      <c r="AI145" s="325"/>
      <c r="AJ145" s="325"/>
      <c r="AK145" s="391"/>
      <c r="AL145" s="391"/>
      <c r="AM145" s="391"/>
      <c r="AN145" s="453"/>
      <c r="AO145" s="453"/>
      <c r="AP145" s="391"/>
      <c r="AQ145" s="450"/>
      <c r="AR145" s="585"/>
      <c r="AS145" s="392">
        <f>ROUND(R146,0)</f>
        <v>6</v>
      </c>
      <c r="AT145" s="586"/>
    </row>
    <row r="146" spans="1:48" ht="16.5" customHeight="1" x14ac:dyDescent="0.15">
      <c r="A146" s="340">
        <v>21</v>
      </c>
      <c r="B146" s="341">
        <v>7051</v>
      </c>
      <c r="C146" s="342" t="s">
        <v>30981</v>
      </c>
      <c r="D146" s="880"/>
      <c r="E146" s="881"/>
      <c r="F146" s="881"/>
      <c r="G146" s="881"/>
      <c r="H146" s="881"/>
      <c r="I146" s="881"/>
      <c r="J146" s="882"/>
      <c r="K146" s="490" t="s">
        <v>30982</v>
      </c>
      <c r="O146" s="152"/>
      <c r="P146" s="387"/>
      <c r="Q146" s="324"/>
      <c r="R146" s="868">
        <v>6</v>
      </c>
      <c r="S146" s="868"/>
      <c r="T146" s="325" t="s">
        <v>15624</v>
      </c>
      <c r="U146" s="325"/>
      <c r="V146" s="152"/>
      <c r="W146" s="152"/>
      <c r="X146" s="152"/>
      <c r="Y146" s="325"/>
      <c r="Z146" s="325"/>
      <c r="AA146" s="388"/>
      <c r="AB146" s="587" t="s">
        <v>30827</v>
      </c>
      <c r="AC146" s="454"/>
      <c r="AD146" s="454"/>
      <c r="AE146" s="455"/>
      <c r="AF146" s="456"/>
      <c r="AG146" s="456"/>
      <c r="AH146" s="343"/>
      <c r="AI146" s="343"/>
      <c r="AJ146" s="343"/>
      <c r="AK146" s="455"/>
      <c r="AL146" s="455"/>
      <c r="AM146" s="455"/>
      <c r="AN146" s="451"/>
      <c r="AO146" s="451"/>
      <c r="AP146" s="391" t="s">
        <v>15626</v>
      </c>
      <c r="AQ146" s="936">
        <v>0.96499999999999997</v>
      </c>
      <c r="AR146" s="937"/>
      <c r="AS146" s="353">
        <f>ROUND(ROUND(R146,0)*AQ146,0)</f>
        <v>6</v>
      </c>
      <c r="AT146" s="586"/>
    </row>
    <row r="147" spans="1:48" ht="16.5" customHeight="1" x14ac:dyDescent="0.15">
      <c r="A147" s="340">
        <v>21</v>
      </c>
      <c r="B147" s="341">
        <v>7052</v>
      </c>
      <c r="C147" s="342" t="s">
        <v>30983</v>
      </c>
      <c r="D147" s="880"/>
      <c r="E147" s="881"/>
      <c r="F147" s="881"/>
      <c r="G147" s="881"/>
      <c r="H147" s="881"/>
      <c r="I147" s="881"/>
      <c r="J147" s="882"/>
      <c r="K147" s="490"/>
      <c r="L147" s="152" t="s">
        <v>30984</v>
      </c>
      <c r="O147" s="152"/>
      <c r="P147" s="387"/>
      <c r="Q147" s="547" t="s">
        <v>30985</v>
      </c>
      <c r="R147" s="396"/>
      <c r="S147" s="396"/>
      <c r="T147" s="396"/>
      <c r="U147" s="396"/>
      <c r="V147" s="396"/>
      <c r="W147" s="396"/>
      <c r="X147" s="396"/>
      <c r="Y147" s="396"/>
      <c r="Z147" s="396"/>
      <c r="AA147" s="397"/>
      <c r="AB147" s="343"/>
      <c r="AC147" s="454"/>
      <c r="AD147" s="454"/>
      <c r="AE147" s="455"/>
      <c r="AF147" s="456"/>
      <c r="AG147" s="456"/>
      <c r="AH147" s="343"/>
      <c r="AI147" s="343"/>
      <c r="AJ147" s="343"/>
      <c r="AK147" s="455"/>
      <c r="AL147" s="455"/>
      <c r="AM147" s="455"/>
      <c r="AN147" s="451"/>
      <c r="AO147" s="451"/>
      <c r="AP147" s="455"/>
      <c r="AQ147" s="456"/>
      <c r="AR147" s="588"/>
      <c r="AS147" s="392">
        <f>ROUND(R148,0)</f>
        <v>17</v>
      </c>
      <c r="AT147" s="586"/>
    </row>
    <row r="148" spans="1:48" ht="16.5" customHeight="1" x14ac:dyDescent="0.15">
      <c r="A148" s="340">
        <v>21</v>
      </c>
      <c r="B148" s="341">
        <v>7053</v>
      </c>
      <c r="C148" s="342" t="s">
        <v>30986</v>
      </c>
      <c r="D148" s="880"/>
      <c r="E148" s="881"/>
      <c r="F148" s="881"/>
      <c r="G148" s="881"/>
      <c r="H148" s="881"/>
      <c r="I148" s="881"/>
      <c r="J148" s="882"/>
      <c r="K148" s="324"/>
      <c r="L148" s="325"/>
      <c r="M148" s="325"/>
      <c r="N148" s="325"/>
      <c r="O148" s="325"/>
      <c r="P148" s="388"/>
      <c r="Q148" s="324"/>
      <c r="R148" s="868">
        <v>17</v>
      </c>
      <c r="S148" s="868"/>
      <c r="T148" s="325" t="s">
        <v>15624</v>
      </c>
      <c r="U148" s="325"/>
      <c r="V148" s="152"/>
      <c r="W148" s="152"/>
      <c r="X148" s="152"/>
      <c r="Y148" s="325"/>
      <c r="Z148" s="325"/>
      <c r="AA148" s="388"/>
      <c r="AB148" s="587" t="s">
        <v>30827</v>
      </c>
      <c r="AC148" s="454"/>
      <c r="AD148" s="454"/>
      <c r="AE148" s="455"/>
      <c r="AF148" s="456"/>
      <c r="AG148" s="456"/>
      <c r="AH148" s="343"/>
      <c r="AI148" s="343"/>
      <c r="AJ148" s="343"/>
      <c r="AK148" s="455"/>
      <c r="AL148" s="455"/>
      <c r="AM148" s="455"/>
      <c r="AN148" s="451"/>
      <c r="AO148" s="451"/>
      <c r="AP148" s="391" t="s">
        <v>15626</v>
      </c>
      <c r="AQ148" s="936">
        <v>0.96499999999999997</v>
      </c>
      <c r="AR148" s="937"/>
      <c r="AS148" s="353">
        <f>ROUND(ROUND(R148,0)*AQ148,0)</f>
        <v>16</v>
      </c>
      <c r="AT148" s="586"/>
    </row>
    <row r="149" spans="1:48" ht="16.5" customHeight="1" x14ac:dyDescent="0.15">
      <c r="A149" s="340">
        <v>21</v>
      </c>
      <c r="B149" s="341">
        <v>7054</v>
      </c>
      <c r="C149" s="342" t="s">
        <v>30987</v>
      </c>
      <c r="D149" s="880"/>
      <c r="E149" s="881"/>
      <c r="F149" s="881"/>
      <c r="G149" s="881"/>
      <c r="H149" s="881"/>
      <c r="I149" s="881"/>
      <c r="J149" s="882"/>
      <c r="K149" s="152" t="s">
        <v>30988</v>
      </c>
      <c r="O149" s="152"/>
      <c r="P149" s="152"/>
      <c r="Q149" s="547" t="s">
        <v>30989</v>
      </c>
      <c r="R149" s="396"/>
      <c r="S149" s="396"/>
      <c r="T149" s="396"/>
      <c r="U149" s="396"/>
      <c r="V149" s="396"/>
      <c r="W149" s="396"/>
      <c r="X149" s="396"/>
      <c r="Y149" s="396"/>
      <c r="Z149" s="396"/>
      <c r="AA149" s="397"/>
      <c r="AB149" s="343"/>
      <c r="AC149" s="454"/>
      <c r="AD149" s="454"/>
      <c r="AE149" s="455"/>
      <c r="AF149" s="456"/>
      <c r="AG149" s="456"/>
      <c r="AH149" s="343"/>
      <c r="AI149" s="343"/>
      <c r="AJ149" s="343"/>
      <c r="AK149" s="455"/>
      <c r="AL149" s="455"/>
      <c r="AM149" s="455"/>
      <c r="AN149" s="451"/>
      <c r="AO149" s="451"/>
      <c r="AP149" s="455"/>
      <c r="AQ149" s="456"/>
      <c r="AR149" s="588"/>
      <c r="AS149" s="392">
        <f>ROUND(R150,0)</f>
        <v>170</v>
      </c>
      <c r="AT149" s="586"/>
    </row>
    <row r="150" spans="1:48" ht="16.5" customHeight="1" x14ac:dyDescent="0.15">
      <c r="A150" s="340">
        <v>21</v>
      </c>
      <c r="B150" s="341">
        <v>7055</v>
      </c>
      <c r="C150" s="342" t="s">
        <v>30990</v>
      </c>
      <c r="D150" s="880"/>
      <c r="E150" s="881"/>
      <c r="F150" s="881"/>
      <c r="G150" s="881"/>
      <c r="H150" s="881"/>
      <c r="I150" s="881"/>
      <c r="J150" s="882"/>
      <c r="K150" s="152" t="s">
        <v>30991</v>
      </c>
      <c r="O150" s="152"/>
      <c r="P150" s="152"/>
      <c r="Q150" s="324"/>
      <c r="R150" s="868">
        <v>170</v>
      </c>
      <c r="S150" s="868"/>
      <c r="T150" s="325" t="s">
        <v>15624</v>
      </c>
      <c r="U150" s="325"/>
      <c r="V150" s="152"/>
      <c r="W150" s="152"/>
      <c r="X150" s="152"/>
      <c r="Y150" s="325"/>
      <c r="Z150" s="325"/>
      <c r="AA150" s="388"/>
      <c r="AB150" s="587" t="s">
        <v>30827</v>
      </c>
      <c r="AC150" s="454"/>
      <c r="AD150" s="454"/>
      <c r="AE150" s="455"/>
      <c r="AF150" s="456"/>
      <c r="AG150" s="456"/>
      <c r="AH150" s="343"/>
      <c r="AI150" s="343"/>
      <c r="AJ150" s="343"/>
      <c r="AK150" s="455"/>
      <c r="AL150" s="455"/>
      <c r="AM150" s="455"/>
      <c r="AN150" s="451"/>
      <c r="AO150" s="451"/>
      <c r="AP150" s="391" t="s">
        <v>15626</v>
      </c>
      <c r="AQ150" s="936">
        <v>0.96499999999999997</v>
      </c>
      <c r="AR150" s="937"/>
      <c r="AS150" s="353">
        <f>ROUND(ROUND(R150,0)*AQ150,0)</f>
        <v>164</v>
      </c>
      <c r="AT150" s="586"/>
    </row>
    <row r="151" spans="1:48" ht="16.5" customHeight="1" x14ac:dyDescent="0.15">
      <c r="A151" s="340">
        <v>21</v>
      </c>
      <c r="B151" s="341">
        <v>7056</v>
      </c>
      <c r="C151" s="342" t="s">
        <v>30992</v>
      </c>
      <c r="D151" s="880"/>
      <c r="E151" s="881"/>
      <c r="F151" s="881"/>
      <c r="G151" s="881"/>
      <c r="H151" s="881"/>
      <c r="I151" s="881"/>
      <c r="J151" s="882"/>
      <c r="L151" s="152" t="s">
        <v>30993</v>
      </c>
      <c r="O151" s="152"/>
      <c r="P151" s="152"/>
      <c r="Q151" s="490" t="s">
        <v>30994</v>
      </c>
      <c r="R151" s="152"/>
      <c r="S151" s="152"/>
      <c r="T151" s="152"/>
      <c r="U151" s="152"/>
      <c r="V151" s="396"/>
      <c r="W151" s="396"/>
      <c r="X151" s="396"/>
      <c r="Y151" s="152"/>
      <c r="Z151" s="152"/>
      <c r="AA151" s="387"/>
      <c r="AB151" s="343"/>
      <c r="AC151" s="454"/>
      <c r="AD151" s="454"/>
      <c r="AE151" s="455"/>
      <c r="AF151" s="456"/>
      <c r="AG151" s="456"/>
      <c r="AH151" s="343"/>
      <c r="AI151" s="343"/>
      <c r="AJ151" s="343"/>
      <c r="AK151" s="455"/>
      <c r="AL151" s="455"/>
      <c r="AM151" s="455"/>
      <c r="AN151" s="451"/>
      <c r="AO151" s="451"/>
      <c r="AP151" s="455"/>
      <c r="AQ151" s="456"/>
      <c r="AR151" s="588"/>
      <c r="AS151" s="392">
        <f>ROUND(R152,0)</f>
        <v>200</v>
      </c>
      <c r="AT151" s="586"/>
    </row>
    <row r="152" spans="1:48" ht="16.5" customHeight="1" x14ac:dyDescent="0.15">
      <c r="A152" s="340">
        <v>21</v>
      </c>
      <c r="B152" s="341">
        <v>7057</v>
      </c>
      <c r="C152" s="342" t="s">
        <v>30995</v>
      </c>
      <c r="D152" s="880"/>
      <c r="E152" s="881"/>
      <c r="F152" s="881"/>
      <c r="G152" s="881"/>
      <c r="H152" s="881"/>
      <c r="I152" s="881"/>
      <c r="J152" s="882"/>
      <c r="O152" s="152"/>
      <c r="P152" s="387"/>
      <c r="Q152" s="324"/>
      <c r="R152" s="868">
        <v>200</v>
      </c>
      <c r="S152" s="868"/>
      <c r="T152" s="325" t="s">
        <v>15624</v>
      </c>
      <c r="U152" s="325"/>
      <c r="V152" s="152"/>
      <c r="W152" s="152"/>
      <c r="X152" s="152"/>
      <c r="Y152" s="325"/>
      <c r="Z152" s="325"/>
      <c r="AA152" s="388"/>
      <c r="AB152" s="587" t="s">
        <v>30827</v>
      </c>
      <c r="AC152" s="454"/>
      <c r="AD152" s="454"/>
      <c r="AE152" s="455"/>
      <c r="AF152" s="456"/>
      <c r="AG152" s="456"/>
      <c r="AH152" s="343"/>
      <c r="AI152" s="343"/>
      <c r="AJ152" s="343"/>
      <c r="AK152" s="455"/>
      <c r="AL152" s="455"/>
      <c r="AM152" s="455"/>
      <c r="AN152" s="451"/>
      <c r="AO152" s="451"/>
      <c r="AP152" s="391" t="s">
        <v>15626</v>
      </c>
      <c r="AQ152" s="936">
        <v>0.96499999999999997</v>
      </c>
      <c r="AR152" s="937"/>
      <c r="AS152" s="353">
        <f>ROUND(ROUND(R152,0)*AQ152,0)</f>
        <v>193</v>
      </c>
      <c r="AT152" s="586"/>
    </row>
    <row r="153" spans="1:48" ht="16.5" customHeight="1" x14ac:dyDescent="0.15">
      <c r="A153" s="340">
        <v>21</v>
      </c>
      <c r="B153" s="341">
        <v>7058</v>
      </c>
      <c r="C153" s="342" t="s">
        <v>30996</v>
      </c>
      <c r="D153" s="880"/>
      <c r="E153" s="881"/>
      <c r="F153" s="881"/>
      <c r="G153" s="881"/>
      <c r="H153" s="881"/>
      <c r="I153" s="881"/>
      <c r="J153" s="882"/>
      <c r="O153" s="152"/>
      <c r="P153" s="152"/>
      <c r="Q153" s="547" t="s">
        <v>30997</v>
      </c>
      <c r="R153" s="396"/>
      <c r="S153" s="396"/>
      <c r="T153" s="396"/>
      <c r="U153" s="396"/>
      <c r="V153" s="396"/>
      <c r="W153" s="396"/>
      <c r="X153" s="396"/>
      <c r="Y153" s="396"/>
      <c r="Z153" s="396"/>
      <c r="AA153" s="397"/>
      <c r="AB153" s="343"/>
      <c r="AC153" s="454"/>
      <c r="AD153" s="454"/>
      <c r="AE153" s="455"/>
      <c r="AF153" s="456"/>
      <c r="AG153" s="456"/>
      <c r="AH153" s="343"/>
      <c r="AI153" s="343"/>
      <c r="AJ153" s="343"/>
      <c r="AK153" s="455"/>
      <c r="AL153" s="455"/>
      <c r="AM153" s="455"/>
      <c r="AN153" s="451"/>
      <c r="AO153" s="451"/>
      <c r="AP153" s="455"/>
      <c r="AQ153" s="456"/>
      <c r="AR153" s="588"/>
      <c r="AS153" s="392">
        <f>ROUND(R154,0)</f>
        <v>224</v>
      </c>
      <c r="AT153" s="586"/>
    </row>
    <row r="154" spans="1:48" ht="16.5" customHeight="1" x14ac:dyDescent="0.15">
      <c r="A154" s="340">
        <v>21</v>
      </c>
      <c r="B154" s="341">
        <v>7059</v>
      </c>
      <c r="C154" s="342" t="s">
        <v>30998</v>
      </c>
      <c r="D154" s="880"/>
      <c r="E154" s="881"/>
      <c r="F154" s="881"/>
      <c r="G154" s="881"/>
      <c r="H154" s="881"/>
      <c r="I154" s="881"/>
      <c r="J154" s="882"/>
      <c r="O154" s="152"/>
      <c r="P154" s="152"/>
      <c r="Q154" s="324"/>
      <c r="R154" s="868">
        <v>224</v>
      </c>
      <c r="S154" s="868"/>
      <c r="T154" s="325" t="s">
        <v>15624</v>
      </c>
      <c r="U154" s="325"/>
      <c r="V154" s="152"/>
      <c r="W154" s="152"/>
      <c r="X154" s="152"/>
      <c r="Y154" s="325"/>
      <c r="Z154" s="325"/>
      <c r="AA154" s="388"/>
      <c r="AB154" s="587" t="s">
        <v>30827</v>
      </c>
      <c r="AC154" s="454"/>
      <c r="AD154" s="454"/>
      <c r="AE154" s="455"/>
      <c r="AF154" s="456"/>
      <c r="AG154" s="456"/>
      <c r="AH154" s="343"/>
      <c r="AI154" s="343"/>
      <c r="AJ154" s="343"/>
      <c r="AK154" s="455"/>
      <c r="AL154" s="455"/>
      <c r="AM154" s="455"/>
      <c r="AN154" s="451"/>
      <c r="AO154" s="451"/>
      <c r="AP154" s="391" t="s">
        <v>15626</v>
      </c>
      <c r="AQ154" s="936">
        <v>0.96499999999999997</v>
      </c>
      <c r="AR154" s="937"/>
      <c r="AS154" s="353">
        <f>ROUND(ROUND(R154,0)*AQ154,0)</f>
        <v>216</v>
      </c>
      <c r="AT154" s="586"/>
    </row>
    <row r="155" spans="1:48" ht="16.5" customHeight="1" x14ac:dyDescent="0.15">
      <c r="A155" s="340">
        <v>21</v>
      </c>
      <c r="B155" s="341">
        <v>7060</v>
      </c>
      <c r="C155" s="342" t="s">
        <v>30999</v>
      </c>
      <c r="D155" s="880"/>
      <c r="E155" s="881"/>
      <c r="F155" s="881"/>
      <c r="G155" s="881"/>
      <c r="H155" s="881"/>
      <c r="I155" s="881"/>
      <c r="J155" s="882"/>
      <c r="O155" s="152"/>
      <c r="P155" s="152"/>
      <c r="Q155" s="490" t="s">
        <v>31000</v>
      </c>
      <c r="R155" s="152"/>
      <c r="S155" s="152"/>
      <c r="T155" s="152"/>
      <c r="U155" s="152"/>
      <c r="V155" s="396"/>
      <c r="W155" s="396"/>
      <c r="X155" s="396"/>
      <c r="Y155" s="152"/>
      <c r="Z155" s="152"/>
      <c r="AA155" s="387"/>
      <c r="AB155" s="343"/>
      <c r="AC155" s="454"/>
      <c r="AD155" s="454"/>
      <c r="AE155" s="455"/>
      <c r="AF155" s="456"/>
      <c r="AG155" s="456"/>
      <c r="AH155" s="343"/>
      <c r="AI155" s="343"/>
      <c r="AJ155" s="343"/>
      <c r="AK155" s="455"/>
      <c r="AL155" s="455"/>
      <c r="AM155" s="455"/>
      <c r="AN155" s="451"/>
      <c r="AO155" s="451"/>
      <c r="AP155" s="455"/>
      <c r="AQ155" s="456"/>
      <c r="AR155" s="588"/>
      <c r="AS155" s="392">
        <f>ROUND(R156,0)</f>
        <v>237</v>
      </c>
      <c r="AT155" s="586"/>
    </row>
    <row r="156" spans="1:48" ht="16.5" customHeight="1" x14ac:dyDescent="0.15">
      <c r="A156" s="340">
        <v>21</v>
      </c>
      <c r="B156" s="341">
        <v>7061</v>
      </c>
      <c r="C156" s="342" t="s">
        <v>31001</v>
      </c>
      <c r="D156" s="880"/>
      <c r="E156" s="881"/>
      <c r="F156" s="881"/>
      <c r="G156" s="881"/>
      <c r="H156" s="881"/>
      <c r="I156" s="881"/>
      <c r="J156" s="882"/>
      <c r="O156" s="152"/>
      <c r="P156" s="152"/>
      <c r="Q156" s="490"/>
      <c r="R156" s="836">
        <v>237</v>
      </c>
      <c r="S156" s="836"/>
      <c r="T156" s="152" t="s">
        <v>15624</v>
      </c>
      <c r="U156" s="152"/>
      <c r="V156" s="152"/>
      <c r="W156" s="152"/>
      <c r="X156" s="152"/>
      <c r="Y156" s="152"/>
      <c r="Z156" s="152"/>
      <c r="AA156" s="387"/>
      <c r="AB156" s="589" t="s">
        <v>30827</v>
      </c>
      <c r="AC156" s="569"/>
      <c r="AD156" s="569"/>
      <c r="AE156" s="427"/>
      <c r="AF156" s="590"/>
      <c r="AG156" s="590"/>
      <c r="AH156" s="396"/>
      <c r="AI156" s="396"/>
      <c r="AJ156" s="396"/>
      <c r="AK156" s="427"/>
      <c r="AL156" s="427"/>
      <c r="AM156" s="427"/>
      <c r="AN156" s="591"/>
      <c r="AO156" s="591"/>
      <c r="AP156" s="548" t="s">
        <v>15626</v>
      </c>
      <c r="AQ156" s="961">
        <v>0.96499999999999997</v>
      </c>
      <c r="AR156" s="962"/>
      <c r="AS156" s="353">
        <f>ROUND(ROUND(R156,0)*AQ156,0)</f>
        <v>229</v>
      </c>
      <c r="AT156" s="586"/>
    </row>
    <row r="157" spans="1:48" ht="17.100000000000001" customHeight="1" x14ac:dyDescent="0.15">
      <c r="A157" s="340">
        <v>21</v>
      </c>
      <c r="B157" s="340">
        <v>7590</v>
      </c>
      <c r="C157" s="342" t="s">
        <v>31002</v>
      </c>
      <c r="D157" s="330" t="s">
        <v>31003</v>
      </c>
      <c r="E157" s="343"/>
      <c r="F157" s="343"/>
      <c r="G157" s="584"/>
      <c r="H157" s="343"/>
      <c r="I157" s="343"/>
      <c r="J157" s="343"/>
      <c r="K157" s="343"/>
      <c r="L157" s="343"/>
      <c r="M157" s="343"/>
      <c r="N157" s="343"/>
      <c r="O157" s="343"/>
      <c r="P157" s="343"/>
      <c r="Q157" s="343"/>
      <c r="R157" s="454"/>
      <c r="S157" s="459"/>
      <c r="T157" s="459"/>
      <c r="U157" s="459"/>
      <c r="V157" s="459"/>
      <c r="W157" s="459"/>
      <c r="X157" s="459"/>
      <c r="Y157" s="459"/>
      <c r="Z157" s="459"/>
      <c r="AA157" s="343"/>
      <c r="AB157" s="343"/>
      <c r="AC157" s="455"/>
      <c r="AD157" s="455"/>
      <c r="AE157" s="455"/>
      <c r="AF157" s="455"/>
      <c r="AG157" s="455"/>
      <c r="AH157" s="343"/>
      <c r="AI157" s="343"/>
      <c r="AJ157" s="343"/>
      <c r="AK157" s="343"/>
      <c r="AL157" s="343"/>
      <c r="AM157" s="877">
        <v>300</v>
      </c>
      <c r="AN157" s="960"/>
      <c r="AO157" s="343" t="s">
        <v>15568</v>
      </c>
      <c r="AP157" s="343"/>
      <c r="AQ157" s="343"/>
      <c r="AR157" s="407"/>
      <c r="AS157" s="392">
        <f>ROUND(AM157,0)</f>
        <v>300</v>
      </c>
      <c r="AT157" s="339"/>
    </row>
    <row r="158" spans="1:48" ht="17.100000000000001" customHeight="1" x14ac:dyDescent="0.15">
      <c r="A158" s="340">
        <v>21</v>
      </c>
      <c r="B158" s="341">
        <v>6715</v>
      </c>
      <c r="C158" s="390" t="s">
        <v>31004</v>
      </c>
      <c r="D158" s="552" t="s">
        <v>15596</v>
      </c>
      <c r="E158" s="575"/>
      <c r="F158" s="575"/>
      <c r="G158" s="575"/>
      <c r="H158" s="575"/>
      <c r="I158" s="575"/>
      <c r="J158" s="575"/>
      <c r="K158" s="575"/>
      <c r="L158" s="575"/>
      <c r="M158" s="575"/>
      <c r="N158" s="575"/>
      <c r="O158" s="575"/>
      <c r="P158" s="592"/>
      <c r="Q158" s="474" t="s">
        <v>15597</v>
      </c>
      <c r="R158" s="343"/>
      <c r="S158" s="343"/>
      <c r="T158" s="454"/>
      <c r="U158" s="454"/>
      <c r="V158" s="455"/>
      <c r="W158" s="456"/>
      <c r="X158" s="456"/>
      <c r="Y158" s="343"/>
      <c r="Z158" s="343"/>
      <c r="AA158" s="343"/>
      <c r="AB158" s="343"/>
      <c r="AC158" s="343"/>
      <c r="AD158" s="343"/>
      <c r="AE158" s="343"/>
      <c r="AF158" s="343"/>
      <c r="AG158" s="343"/>
      <c r="AH158" s="343"/>
      <c r="AI158" s="343"/>
      <c r="AJ158" s="343"/>
      <c r="AK158" s="455"/>
      <c r="AL158" s="536"/>
      <c r="AM158" s="343"/>
      <c r="AN158" s="331"/>
      <c r="AO158" s="593" t="s">
        <v>15568</v>
      </c>
      <c r="AP158" s="348"/>
      <c r="AQ158" s="343"/>
      <c r="AR158" s="343"/>
      <c r="AS158" s="353"/>
      <c r="AT158" s="329" t="s">
        <v>15598</v>
      </c>
      <c r="AV158" s="377"/>
    </row>
    <row r="159" spans="1:48" ht="17.100000000000001" customHeight="1" x14ac:dyDescent="0.15">
      <c r="A159" s="340">
        <v>21</v>
      </c>
      <c r="B159" s="341">
        <v>6710</v>
      </c>
      <c r="C159" s="390" t="s">
        <v>31005</v>
      </c>
      <c r="D159" s="423"/>
      <c r="E159" s="424"/>
      <c r="F159" s="424"/>
      <c r="G159" s="424"/>
      <c r="H159" s="424"/>
      <c r="I159" s="424"/>
      <c r="J159" s="424"/>
      <c r="K159" s="424"/>
      <c r="L159" s="424"/>
      <c r="M159" s="424"/>
      <c r="N159" s="424"/>
      <c r="O159" s="424"/>
      <c r="P159" s="425"/>
      <c r="Q159" s="338" t="s">
        <v>15600</v>
      </c>
      <c r="R159" s="343"/>
      <c r="S159" s="343"/>
      <c r="T159" s="454"/>
      <c r="U159" s="454"/>
      <c r="V159" s="455"/>
      <c r="W159" s="456"/>
      <c r="X159" s="456"/>
      <c r="Y159" s="343"/>
      <c r="Z159" s="343"/>
      <c r="AA159" s="343"/>
      <c r="AB159" s="343"/>
      <c r="AC159" s="343"/>
      <c r="AD159" s="343"/>
      <c r="AE159" s="343"/>
      <c r="AF159" s="343"/>
      <c r="AG159" s="343"/>
      <c r="AH159" s="343"/>
      <c r="AI159" s="343"/>
      <c r="AJ159" s="343"/>
      <c r="AK159" s="455"/>
      <c r="AL159" s="536"/>
      <c r="AM159" s="343"/>
      <c r="AN159" s="331"/>
      <c r="AO159" s="593" t="s">
        <v>15568</v>
      </c>
      <c r="AP159" s="348"/>
      <c r="AQ159" s="343"/>
      <c r="AR159" s="343"/>
      <c r="AS159" s="335"/>
      <c r="AT159" s="339"/>
      <c r="AV159" s="377"/>
    </row>
    <row r="160" spans="1:48" ht="17.100000000000001" customHeight="1" x14ac:dyDescent="0.15">
      <c r="A160" s="340">
        <v>21</v>
      </c>
      <c r="B160" s="341">
        <v>6665</v>
      </c>
      <c r="C160" s="390" t="s">
        <v>31006</v>
      </c>
      <c r="D160" s="423"/>
      <c r="E160" s="424"/>
      <c r="F160" s="424"/>
      <c r="G160" s="424"/>
      <c r="H160" s="424"/>
      <c r="I160" s="424"/>
      <c r="J160" s="424"/>
      <c r="K160" s="424"/>
      <c r="L160" s="424"/>
      <c r="M160" s="424"/>
      <c r="N160" s="424"/>
      <c r="O160" s="424"/>
      <c r="P160" s="425"/>
      <c r="Q160" s="338" t="s">
        <v>15602</v>
      </c>
      <c r="R160" s="343"/>
      <c r="S160" s="343"/>
      <c r="T160" s="454"/>
      <c r="U160" s="454"/>
      <c r="V160" s="455"/>
      <c r="W160" s="456"/>
      <c r="X160" s="456"/>
      <c r="Y160" s="343"/>
      <c r="Z160" s="343"/>
      <c r="AA160" s="343"/>
      <c r="AB160" s="343"/>
      <c r="AC160" s="343"/>
      <c r="AD160" s="343"/>
      <c r="AE160" s="343"/>
      <c r="AF160" s="343"/>
      <c r="AG160" s="343"/>
      <c r="AH160" s="343"/>
      <c r="AI160" s="343"/>
      <c r="AJ160" s="343"/>
      <c r="AK160" s="391"/>
      <c r="AL160" s="536"/>
      <c r="AM160" s="343"/>
      <c r="AN160" s="331"/>
      <c r="AO160" s="593" t="s">
        <v>15568</v>
      </c>
      <c r="AP160" s="348"/>
      <c r="AQ160" s="343"/>
      <c r="AR160" s="343"/>
      <c r="AS160" s="353"/>
      <c r="AT160" s="339"/>
      <c r="AV160" s="377"/>
    </row>
    <row r="161" spans="1:48" ht="17.100000000000001" customHeight="1" x14ac:dyDescent="0.15">
      <c r="A161" s="311">
        <v>21</v>
      </c>
      <c r="B161" s="312">
        <v>6670</v>
      </c>
      <c r="C161" s="558" t="s">
        <v>31007</v>
      </c>
      <c r="D161" s="423"/>
      <c r="E161" s="424"/>
      <c r="F161" s="424"/>
      <c r="G161" s="424"/>
      <c r="H161" s="424"/>
      <c r="I161" s="424"/>
      <c r="J161" s="424"/>
      <c r="K161" s="424"/>
      <c r="L161" s="424"/>
      <c r="M161" s="424"/>
      <c r="N161" s="424"/>
      <c r="O161" s="424"/>
      <c r="P161" s="425"/>
      <c r="Q161" s="360" t="s">
        <v>15604</v>
      </c>
      <c r="R161" s="315"/>
      <c r="S161" s="315"/>
      <c r="T161" s="440"/>
      <c r="U161" s="440"/>
      <c r="V161" s="441"/>
      <c r="W161" s="442"/>
      <c r="X161" s="442"/>
      <c r="Y161" s="315"/>
      <c r="Z161" s="315"/>
      <c r="AA161" s="315"/>
      <c r="AB161" s="315"/>
      <c r="AC161" s="315"/>
      <c r="AD161" s="315"/>
      <c r="AE161" s="315"/>
      <c r="AF161" s="315"/>
      <c r="AG161" s="315"/>
      <c r="AH161" s="315"/>
      <c r="AI161" s="315"/>
      <c r="AJ161" s="315"/>
      <c r="AK161" s="537"/>
      <c r="AL161" s="538"/>
      <c r="AM161" s="315"/>
      <c r="AN161" s="317"/>
      <c r="AO161" s="594" t="s">
        <v>15568</v>
      </c>
      <c r="AP161" s="444"/>
      <c r="AQ161" s="315"/>
      <c r="AR161" s="315"/>
      <c r="AS161" s="362"/>
      <c r="AT161" s="339"/>
      <c r="AV161" s="377"/>
    </row>
    <row r="162" spans="1:48" ht="17.100000000000001" customHeight="1" x14ac:dyDescent="0.15">
      <c r="A162" s="311">
        <v>21</v>
      </c>
      <c r="B162" s="312">
        <v>6675</v>
      </c>
      <c r="C162" s="558" t="s">
        <v>31008</v>
      </c>
      <c r="D162" s="469"/>
      <c r="E162" s="470"/>
      <c r="F162" s="470"/>
      <c r="G162" s="470"/>
      <c r="H162" s="470"/>
      <c r="I162" s="470"/>
      <c r="J162" s="470"/>
      <c r="K162" s="470"/>
      <c r="L162" s="470"/>
      <c r="M162" s="470"/>
      <c r="N162" s="470"/>
      <c r="O162" s="470"/>
      <c r="P162" s="471"/>
      <c r="Q162" s="360" t="s">
        <v>15606</v>
      </c>
      <c r="R162" s="315"/>
      <c r="S162" s="315"/>
      <c r="T162" s="440"/>
      <c r="U162" s="440"/>
      <c r="V162" s="441"/>
      <c r="W162" s="442"/>
      <c r="X162" s="442"/>
      <c r="Y162" s="315"/>
      <c r="Z162" s="315"/>
      <c r="AA162" s="315"/>
      <c r="AB162" s="315"/>
      <c r="AC162" s="315"/>
      <c r="AD162" s="315"/>
      <c r="AE162" s="315"/>
      <c r="AF162" s="315"/>
      <c r="AG162" s="315"/>
      <c r="AH162" s="315"/>
      <c r="AI162" s="315"/>
      <c r="AJ162" s="315"/>
      <c r="AK162" s="537"/>
      <c r="AL162" s="538"/>
      <c r="AM162" s="315"/>
      <c r="AN162" s="317"/>
      <c r="AO162" s="594" t="s">
        <v>15568</v>
      </c>
      <c r="AP162" s="444"/>
      <c r="AQ162" s="315"/>
      <c r="AR162" s="315"/>
      <c r="AS162" s="362"/>
      <c r="AT162" s="339"/>
      <c r="AV162" s="377"/>
    </row>
    <row r="163" spans="1:48" ht="17.100000000000001" customHeight="1" x14ac:dyDescent="0.15">
      <c r="A163" s="311">
        <v>21</v>
      </c>
      <c r="B163" s="311">
        <v>6685</v>
      </c>
      <c r="C163" s="313" t="s">
        <v>31009</v>
      </c>
      <c r="D163" s="562" t="s">
        <v>15608</v>
      </c>
      <c r="E163" s="563"/>
      <c r="F163" s="364"/>
      <c r="G163" s="364"/>
      <c r="H163" s="364"/>
      <c r="I163" s="364"/>
      <c r="J163" s="364"/>
      <c r="K163" s="364"/>
      <c r="L163" s="364"/>
      <c r="M163" s="364"/>
      <c r="N163" s="364"/>
      <c r="O163" s="364"/>
      <c r="P163" s="364"/>
      <c r="Q163" s="315"/>
      <c r="R163" s="315"/>
      <c r="S163" s="315"/>
      <c r="T163" s="315"/>
      <c r="U163" s="315"/>
      <c r="V163" s="315"/>
      <c r="W163" s="315"/>
      <c r="X163" s="315"/>
      <c r="Y163" s="315"/>
      <c r="Z163" s="315"/>
      <c r="AA163" s="472"/>
      <c r="AB163" s="472"/>
      <c r="AC163" s="315"/>
      <c r="AD163" s="315"/>
      <c r="AE163" s="315"/>
      <c r="AF163" s="315"/>
      <c r="AG163" s="315"/>
      <c r="AH163" s="315"/>
      <c r="AI163" s="315"/>
      <c r="AJ163" s="315"/>
      <c r="AK163" s="537"/>
      <c r="AL163" s="538"/>
      <c r="AM163" s="315"/>
      <c r="AN163" s="317"/>
      <c r="AO163" s="595" t="s">
        <v>15584</v>
      </c>
      <c r="AP163" s="315"/>
      <c r="AQ163" s="315"/>
      <c r="AR163" s="315"/>
      <c r="AS163" s="362"/>
      <c r="AT163" s="354"/>
    </row>
    <row r="164" spans="1:48" ht="17.100000000000001" customHeight="1" x14ac:dyDescent="0.15">
      <c r="A164" s="340">
        <v>21</v>
      </c>
      <c r="B164" s="340">
        <v>6772</v>
      </c>
      <c r="C164" s="342" t="s">
        <v>31010</v>
      </c>
      <c r="D164" s="830" t="s">
        <v>15610</v>
      </c>
      <c r="E164" s="878"/>
      <c r="F164" s="878"/>
      <c r="G164" s="878"/>
      <c r="H164" s="878"/>
      <c r="I164" s="878"/>
      <c r="J164" s="878"/>
      <c r="K164" s="878"/>
      <c r="L164" s="878"/>
      <c r="M164" s="878"/>
      <c r="N164" s="878"/>
      <c r="O164" s="878"/>
      <c r="P164" s="878"/>
      <c r="Q164" s="330" t="s">
        <v>15611</v>
      </c>
      <c r="R164" s="343"/>
      <c r="S164" s="343"/>
      <c r="T164" s="343"/>
      <c r="U164" s="343"/>
      <c r="V164" s="343"/>
      <c r="W164" s="343"/>
      <c r="X164" s="343"/>
      <c r="Y164" s="343"/>
      <c r="Z164" s="343"/>
      <c r="AA164" s="459"/>
      <c r="AB164" s="459"/>
      <c r="AC164" s="343"/>
      <c r="AD164" s="343"/>
      <c r="AE164" s="343"/>
      <c r="AF164" s="343"/>
      <c r="AG164" s="343"/>
      <c r="AH164" s="343"/>
      <c r="AI164" s="343"/>
      <c r="AJ164" s="343"/>
      <c r="AK164" s="391"/>
      <c r="AL164" s="536"/>
      <c r="AM164" s="343"/>
      <c r="AN164" s="331"/>
      <c r="AO164" s="474" t="s">
        <v>15584</v>
      </c>
      <c r="AP164" s="343"/>
      <c r="AQ164" s="343"/>
      <c r="AR164" s="343"/>
      <c r="AS164" s="353"/>
      <c r="AT164" s="354"/>
    </row>
    <row r="165" spans="1:48" ht="17.100000000000001" customHeight="1" x14ac:dyDescent="0.15">
      <c r="A165" s="340">
        <v>21</v>
      </c>
      <c r="B165" s="340">
        <v>6773</v>
      </c>
      <c r="C165" s="342" t="s">
        <v>31011</v>
      </c>
      <c r="D165" s="831"/>
      <c r="E165" s="884"/>
      <c r="F165" s="884"/>
      <c r="G165" s="884"/>
      <c r="H165" s="884"/>
      <c r="I165" s="884"/>
      <c r="J165" s="884"/>
      <c r="K165" s="884"/>
      <c r="L165" s="884"/>
      <c r="M165" s="884"/>
      <c r="N165" s="884"/>
      <c r="O165" s="884"/>
      <c r="P165" s="884"/>
      <c r="Q165" s="330" t="s">
        <v>15613</v>
      </c>
      <c r="R165" s="343"/>
      <c r="S165" s="343"/>
      <c r="T165" s="343"/>
      <c r="U165" s="343"/>
      <c r="V165" s="343"/>
      <c r="W165" s="343"/>
      <c r="X165" s="343"/>
      <c r="Y165" s="343"/>
      <c r="Z165" s="343"/>
      <c r="AA165" s="459"/>
      <c r="AB165" s="459"/>
      <c r="AC165" s="343"/>
      <c r="AD165" s="343"/>
      <c r="AE165" s="343"/>
      <c r="AF165" s="343"/>
      <c r="AG165" s="343"/>
      <c r="AH165" s="343"/>
      <c r="AI165" s="343"/>
      <c r="AJ165" s="343"/>
      <c r="AK165" s="391"/>
      <c r="AL165" s="536"/>
      <c r="AM165" s="343"/>
      <c r="AN165" s="331"/>
      <c r="AO165" s="474" t="s">
        <v>15584</v>
      </c>
      <c r="AP165" s="343"/>
      <c r="AQ165" s="343"/>
      <c r="AR165" s="343"/>
      <c r="AS165" s="353"/>
      <c r="AT165" s="354"/>
    </row>
    <row r="166" spans="1:48" ht="17.100000000000001" customHeight="1" x14ac:dyDescent="0.15">
      <c r="A166" s="369">
        <v>21</v>
      </c>
      <c r="B166" s="369">
        <v>6766</v>
      </c>
      <c r="C166" s="370" t="s">
        <v>31012</v>
      </c>
      <c r="D166" s="539" t="s">
        <v>31013</v>
      </c>
      <c r="E166" s="372"/>
      <c r="F166" s="372"/>
      <c r="G166" s="596"/>
      <c r="H166" s="597"/>
      <c r="I166" s="597"/>
      <c r="J166" s="597"/>
      <c r="K166" s="597"/>
      <c r="L166" s="597"/>
      <c r="M166" s="372"/>
      <c r="N166" s="372"/>
      <c r="O166" s="372"/>
      <c r="P166" s="372"/>
      <c r="Q166" s="372"/>
      <c r="R166" s="541"/>
      <c r="S166" s="480"/>
      <c r="T166" s="480"/>
      <c r="U166" s="480"/>
      <c r="V166" s="480"/>
      <c r="W166" s="480"/>
      <c r="X166" s="480"/>
      <c r="Y166" s="480"/>
      <c r="Z166" s="480"/>
      <c r="AA166" s="372"/>
      <c r="AB166" s="372"/>
      <c r="AC166" s="542"/>
      <c r="AD166" s="542"/>
      <c r="AE166" s="542"/>
      <c r="AF166" s="542"/>
      <c r="AG166" s="542"/>
      <c r="AH166" s="372"/>
      <c r="AI166" s="372"/>
      <c r="AJ166" s="372"/>
      <c r="AK166" s="372"/>
      <c r="AL166" s="372"/>
      <c r="AM166" s="925"/>
      <c r="AN166" s="963"/>
      <c r="AO166" s="372" t="s">
        <v>15568</v>
      </c>
      <c r="AP166" s="372"/>
      <c r="AQ166" s="372"/>
      <c r="AR166" s="372"/>
      <c r="AS166" s="486"/>
      <c r="AT166" s="333"/>
    </row>
  </sheetData>
  <mergeCells count="337">
    <mergeCell ref="AQ154:AR154"/>
    <mergeCell ref="R156:S156"/>
    <mergeCell ref="AQ156:AR156"/>
    <mergeCell ref="AM157:AN157"/>
    <mergeCell ref="D164:P165"/>
    <mergeCell ref="AM166:AN166"/>
    <mergeCell ref="D145:J156"/>
    <mergeCell ref="R146:S146"/>
    <mergeCell ref="AQ146:AR146"/>
    <mergeCell ref="R148:S148"/>
    <mergeCell ref="AQ148:AR148"/>
    <mergeCell ref="R150:S150"/>
    <mergeCell ref="AQ150:AR150"/>
    <mergeCell ref="R152:S152"/>
    <mergeCell ref="AQ152:AR152"/>
    <mergeCell ref="R154:S154"/>
    <mergeCell ref="AM139:AN139"/>
    <mergeCell ref="AM140:AN140"/>
    <mergeCell ref="AM141:AN141"/>
    <mergeCell ref="D142:P144"/>
    <mergeCell ref="AM142:AN142"/>
    <mergeCell ref="AM143:AN143"/>
    <mergeCell ref="AM144:AN144"/>
    <mergeCell ref="I136:J136"/>
    <mergeCell ref="M136:T137"/>
    <mergeCell ref="U137:Z138"/>
    <mergeCell ref="AA137:AK137"/>
    <mergeCell ref="AM137:AN137"/>
    <mergeCell ref="S138:T138"/>
    <mergeCell ref="AA138:AK138"/>
    <mergeCell ref="AM138:AN138"/>
    <mergeCell ref="H133:L134"/>
    <mergeCell ref="U134:Z135"/>
    <mergeCell ref="AA134:AK134"/>
    <mergeCell ref="AM134:AN134"/>
    <mergeCell ref="AA135:AK135"/>
    <mergeCell ref="AM135:AN135"/>
    <mergeCell ref="I130:J130"/>
    <mergeCell ref="M130:T131"/>
    <mergeCell ref="U131:Z132"/>
    <mergeCell ref="AA131:AK131"/>
    <mergeCell ref="AM131:AN131"/>
    <mergeCell ref="S132:T132"/>
    <mergeCell ref="AA132:AK132"/>
    <mergeCell ref="AM132:AN132"/>
    <mergeCell ref="AA128:AK128"/>
    <mergeCell ref="AM128:AN128"/>
    <mergeCell ref="AA129:AK129"/>
    <mergeCell ref="AM129:AN129"/>
    <mergeCell ref="I124:J124"/>
    <mergeCell ref="M124:T125"/>
    <mergeCell ref="U125:Z126"/>
    <mergeCell ref="AA125:AK125"/>
    <mergeCell ref="AM125:AN125"/>
    <mergeCell ref="S126:T126"/>
    <mergeCell ref="AA126:AK126"/>
    <mergeCell ref="AM126:AN126"/>
    <mergeCell ref="D115:E132"/>
    <mergeCell ref="F115:G132"/>
    <mergeCell ref="H115:L116"/>
    <mergeCell ref="U116:Z117"/>
    <mergeCell ref="AA116:AK116"/>
    <mergeCell ref="AM116:AN116"/>
    <mergeCell ref="AA117:AK117"/>
    <mergeCell ref="AM117:AN117"/>
    <mergeCell ref="I118:J118"/>
    <mergeCell ref="M118:T119"/>
    <mergeCell ref="H121:L123"/>
    <mergeCell ref="U122:Z123"/>
    <mergeCell ref="AA122:AK122"/>
    <mergeCell ref="AM122:AN122"/>
    <mergeCell ref="AA123:AK123"/>
    <mergeCell ref="AM123:AN123"/>
    <mergeCell ref="U119:Z120"/>
    <mergeCell ref="AA119:AK119"/>
    <mergeCell ref="AM119:AN119"/>
    <mergeCell ref="S120:T120"/>
    <mergeCell ref="AA120:AK120"/>
    <mergeCell ref="AM120:AN120"/>
    <mergeCell ref="H127:L129"/>
    <mergeCell ref="U128:Z129"/>
    <mergeCell ref="I112:J112"/>
    <mergeCell ref="M112:T113"/>
    <mergeCell ref="U113:Z114"/>
    <mergeCell ref="AA113:AK113"/>
    <mergeCell ref="AM113:AN113"/>
    <mergeCell ref="S114:T114"/>
    <mergeCell ref="AA114:AK114"/>
    <mergeCell ref="AM114:AN114"/>
    <mergeCell ref="H109:L110"/>
    <mergeCell ref="U110:Z111"/>
    <mergeCell ref="AA110:AK110"/>
    <mergeCell ref="AM110:AN110"/>
    <mergeCell ref="AA111:AK111"/>
    <mergeCell ref="AM111:AN111"/>
    <mergeCell ref="U101:Z102"/>
    <mergeCell ref="AA101:AK101"/>
    <mergeCell ref="AM101:AN101"/>
    <mergeCell ref="S102:T102"/>
    <mergeCell ref="AA102:AK102"/>
    <mergeCell ref="AM102:AN102"/>
    <mergeCell ref="I106:J106"/>
    <mergeCell ref="M106:T107"/>
    <mergeCell ref="U107:Z108"/>
    <mergeCell ref="AA107:AK107"/>
    <mergeCell ref="AM107:AN107"/>
    <mergeCell ref="S108:T108"/>
    <mergeCell ref="AA108:AK108"/>
    <mergeCell ref="AM108:AN108"/>
    <mergeCell ref="H103:L104"/>
    <mergeCell ref="U104:Z105"/>
    <mergeCell ref="AA104:AK104"/>
    <mergeCell ref="AM104:AN104"/>
    <mergeCell ref="AA105:AK105"/>
    <mergeCell ref="AM105:AN105"/>
    <mergeCell ref="AM87:AN87"/>
    <mergeCell ref="F91:G102"/>
    <mergeCell ref="H91:L92"/>
    <mergeCell ref="U92:Z93"/>
    <mergeCell ref="AA92:AK92"/>
    <mergeCell ref="AM92:AN92"/>
    <mergeCell ref="AA93:AK93"/>
    <mergeCell ref="AM93:AN93"/>
    <mergeCell ref="I94:J94"/>
    <mergeCell ref="M94:T95"/>
    <mergeCell ref="U95:Z96"/>
    <mergeCell ref="AA95:AK95"/>
    <mergeCell ref="AM95:AN95"/>
    <mergeCell ref="S96:T96"/>
    <mergeCell ref="AA96:AK96"/>
    <mergeCell ref="AM96:AN96"/>
    <mergeCell ref="H97:L98"/>
    <mergeCell ref="U98:Z99"/>
    <mergeCell ref="AA98:AK98"/>
    <mergeCell ref="AM98:AN98"/>
    <mergeCell ref="AA99:AK99"/>
    <mergeCell ref="AM99:AN99"/>
    <mergeCell ref="I100:J100"/>
    <mergeCell ref="M100:T101"/>
    <mergeCell ref="F79:G90"/>
    <mergeCell ref="U80:Z81"/>
    <mergeCell ref="AA80:AK80"/>
    <mergeCell ref="AM80:AN80"/>
    <mergeCell ref="I81:J81"/>
    <mergeCell ref="AA81:AK81"/>
    <mergeCell ref="AM81:AN81"/>
    <mergeCell ref="U83:Z84"/>
    <mergeCell ref="AA83:AK83"/>
    <mergeCell ref="AM83:AN83"/>
    <mergeCell ref="U89:Z90"/>
    <mergeCell ref="AA89:AK89"/>
    <mergeCell ref="AM89:AN89"/>
    <mergeCell ref="I90:J90"/>
    <mergeCell ref="AA90:AK90"/>
    <mergeCell ref="AM90:AN90"/>
    <mergeCell ref="I84:J84"/>
    <mergeCell ref="AA84:AK84"/>
    <mergeCell ref="AM84:AN84"/>
    <mergeCell ref="U86:Z87"/>
    <mergeCell ref="AA86:AK86"/>
    <mergeCell ref="AM86:AN86"/>
    <mergeCell ref="I87:J87"/>
    <mergeCell ref="AA87:AK87"/>
    <mergeCell ref="I76:J76"/>
    <mergeCell ref="M76:T77"/>
    <mergeCell ref="U77:Z78"/>
    <mergeCell ref="AA77:AK77"/>
    <mergeCell ref="AM77:AN77"/>
    <mergeCell ref="S78:T78"/>
    <mergeCell ref="AA78:AK78"/>
    <mergeCell ref="AM78:AN78"/>
    <mergeCell ref="H73:L74"/>
    <mergeCell ref="U74:Z75"/>
    <mergeCell ref="AA74:AK74"/>
    <mergeCell ref="AM74:AN74"/>
    <mergeCell ref="AA75:AK75"/>
    <mergeCell ref="AM75:AN75"/>
    <mergeCell ref="H61:L62"/>
    <mergeCell ref="U62:Z63"/>
    <mergeCell ref="AA62:AK62"/>
    <mergeCell ref="AM62:AN62"/>
    <mergeCell ref="AA63:AK63"/>
    <mergeCell ref="AM63:AN63"/>
    <mergeCell ref="I70:J70"/>
    <mergeCell ref="M70:T71"/>
    <mergeCell ref="U71:Z72"/>
    <mergeCell ref="AA71:AK71"/>
    <mergeCell ref="AM71:AN71"/>
    <mergeCell ref="S72:T72"/>
    <mergeCell ref="AA72:AK72"/>
    <mergeCell ref="AM72:AN72"/>
    <mergeCell ref="H67:L68"/>
    <mergeCell ref="U68:Z69"/>
    <mergeCell ref="AA68:AK68"/>
    <mergeCell ref="AM68:AN68"/>
    <mergeCell ref="AA69:AK69"/>
    <mergeCell ref="AM69:AN69"/>
    <mergeCell ref="U59:Z60"/>
    <mergeCell ref="AA59:AK59"/>
    <mergeCell ref="AM59:AN59"/>
    <mergeCell ref="S60:T60"/>
    <mergeCell ref="AA60:AK60"/>
    <mergeCell ref="AM60:AN60"/>
    <mergeCell ref="D55:E66"/>
    <mergeCell ref="F55:G66"/>
    <mergeCell ref="H55:L56"/>
    <mergeCell ref="U56:Z57"/>
    <mergeCell ref="AA56:AK56"/>
    <mergeCell ref="AM56:AN56"/>
    <mergeCell ref="AA57:AK57"/>
    <mergeCell ref="AM57:AN57"/>
    <mergeCell ref="I58:J58"/>
    <mergeCell ref="M58:T59"/>
    <mergeCell ref="I64:J64"/>
    <mergeCell ref="M64:T65"/>
    <mergeCell ref="U65:Z66"/>
    <mergeCell ref="AA65:AK65"/>
    <mergeCell ref="AM65:AN65"/>
    <mergeCell ref="S66:T66"/>
    <mergeCell ref="AA66:AK66"/>
    <mergeCell ref="AM66:AN66"/>
    <mergeCell ref="I52:J52"/>
    <mergeCell ref="M52:T53"/>
    <mergeCell ref="U53:Z54"/>
    <mergeCell ref="AA53:AK53"/>
    <mergeCell ref="AM53:AN53"/>
    <mergeCell ref="S54:T54"/>
    <mergeCell ref="AA54:AK54"/>
    <mergeCell ref="AM54:AN54"/>
    <mergeCell ref="H49:L50"/>
    <mergeCell ref="U50:Z51"/>
    <mergeCell ref="AA50:AK50"/>
    <mergeCell ref="AM50:AN50"/>
    <mergeCell ref="AA51:AK51"/>
    <mergeCell ref="AM51:AN51"/>
    <mergeCell ref="AA41:AK41"/>
    <mergeCell ref="AM41:AN41"/>
    <mergeCell ref="S42:T42"/>
    <mergeCell ref="AA42:AK42"/>
    <mergeCell ref="AM42:AN42"/>
    <mergeCell ref="I46:J46"/>
    <mergeCell ref="M46:T47"/>
    <mergeCell ref="U47:Z48"/>
    <mergeCell ref="AA47:AK47"/>
    <mergeCell ref="AM47:AN47"/>
    <mergeCell ref="S48:T48"/>
    <mergeCell ref="AA48:AK48"/>
    <mergeCell ref="AM48:AN48"/>
    <mergeCell ref="H43:L45"/>
    <mergeCell ref="U44:Z45"/>
    <mergeCell ref="AA44:AK44"/>
    <mergeCell ref="AM44:AN44"/>
    <mergeCell ref="AA45:AK45"/>
    <mergeCell ref="AM45:AN45"/>
    <mergeCell ref="F31:G42"/>
    <mergeCell ref="H31:L32"/>
    <mergeCell ref="U32:Z33"/>
    <mergeCell ref="AA32:AK32"/>
    <mergeCell ref="AM32:AN32"/>
    <mergeCell ref="AA33:AK33"/>
    <mergeCell ref="AM33:AN33"/>
    <mergeCell ref="I34:J34"/>
    <mergeCell ref="M34:T35"/>
    <mergeCell ref="U35:Z36"/>
    <mergeCell ref="AA35:AK35"/>
    <mergeCell ref="AM35:AN35"/>
    <mergeCell ref="S36:T36"/>
    <mergeCell ref="AA36:AK36"/>
    <mergeCell ref="AM36:AN36"/>
    <mergeCell ref="H37:L38"/>
    <mergeCell ref="U38:Z39"/>
    <mergeCell ref="AA38:AK38"/>
    <mergeCell ref="AM38:AN38"/>
    <mergeCell ref="AA39:AK39"/>
    <mergeCell ref="AM39:AN39"/>
    <mergeCell ref="I40:J40"/>
    <mergeCell ref="M40:T41"/>
    <mergeCell ref="U41:Z42"/>
    <mergeCell ref="I28:J28"/>
    <mergeCell ref="M28:T29"/>
    <mergeCell ref="U29:Z30"/>
    <mergeCell ref="AA29:AK29"/>
    <mergeCell ref="AM29:AN29"/>
    <mergeCell ref="S30:T30"/>
    <mergeCell ref="AA30:AK30"/>
    <mergeCell ref="AM30:AN30"/>
    <mergeCell ref="H25:L26"/>
    <mergeCell ref="U26:Z27"/>
    <mergeCell ref="AA26:AK26"/>
    <mergeCell ref="AM26:AN26"/>
    <mergeCell ref="AA27:AK27"/>
    <mergeCell ref="AM27:AN27"/>
    <mergeCell ref="AM18:AN18"/>
    <mergeCell ref="H13:L14"/>
    <mergeCell ref="U14:Z15"/>
    <mergeCell ref="AA14:AK14"/>
    <mergeCell ref="AM14:AN14"/>
    <mergeCell ref="AA15:AK15"/>
    <mergeCell ref="AM15:AN15"/>
    <mergeCell ref="I22:J22"/>
    <mergeCell ref="M22:T23"/>
    <mergeCell ref="U23:Z24"/>
    <mergeCell ref="AA23:AK23"/>
    <mergeCell ref="AM23:AN23"/>
    <mergeCell ref="S24:T24"/>
    <mergeCell ref="AA24:AK24"/>
    <mergeCell ref="AM24:AN24"/>
    <mergeCell ref="H19:L20"/>
    <mergeCell ref="U20:Z21"/>
    <mergeCell ref="AA20:AK20"/>
    <mergeCell ref="AM20:AN20"/>
    <mergeCell ref="AA21:AK21"/>
    <mergeCell ref="AM21:AN21"/>
    <mergeCell ref="M10:T11"/>
    <mergeCell ref="U11:Z12"/>
    <mergeCell ref="AA11:AK11"/>
    <mergeCell ref="AM11:AN11"/>
    <mergeCell ref="S12:T12"/>
    <mergeCell ref="AA12:AK12"/>
    <mergeCell ref="AM12:AN12"/>
    <mergeCell ref="D5:AR5"/>
    <mergeCell ref="D7:E18"/>
    <mergeCell ref="F7:G18"/>
    <mergeCell ref="H7:L8"/>
    <mergeCell ref="U8:Z9"/>
    <mergeCell ref="AA8:AK8"/>
    <mergeCell ref="AM8:AN8"/>
    <mergeCell ref="AA9:AK9"/>
    <mergeCell ref="AM9:AN9"/>
    <mergeCell ref="I10:J10"/>
    <mergeCell ref="I16:J16"/>
    <mergeCell ref="M16:T17"/>
    <mergeCell ref="U17:Z18"/>
    <mergeCell ref="AA17:AK17"/>
    <mergeCell ref="AM17:AN17"/>
    <mergeCell ref="S18:T18"/>
    <mergeCell ref="AA18:AK18"/>
  </mergeCells>
  <phoneticPr fontId="1"/>
  <printOptions horizontalCentered="1"/>
  <pageMargins left="0.39370078740157483" right="0.39370078740157483" top="0.78740157480314965" bottom="0.59055118110236227" header="0.51181102362204722" footer="0.31496062992125984"/>
  <pageSetup paperSize="9" scale="60" fitToHeight="0" orientation="portrait" r:id="rId1"/>
  <headerFooter alignWithMargins="0">
    <oddHeader>&amp;R&amp;9療養介護</oddHeader>
    <oddFooter>&amp;C&amp;14&amp;P</oddFooter>
  </headerFooter>
  <rowBreaks count="2" manualBreakCount="2">
    <brk id="54" max="45" man="1"/>
    <brk id="114" max="45" man="1"/>
  </row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2">
    <pageSetUpPr autoPageBreaks="0" fitToPage="1"/>
  </sheetPr>
  <dimension ref="A1:AT148"/>
  <sheetViews>
    <sheetView view="pageBreakPreview" zoomScaleNormal="100" zoomScaleSheetLayoutView="100" workbookViewId="0">
      <selection activeCell="AT94" sqref="AT94"/>
    </sheetView>
  </sheetViews>
  <sheetFormatPr defaultColWidth="9" defaultRowHeight="13.5" x14ac:dyDescent="0.15"/>
  <cols>
    <col min="1" max="1" width="4.5" style="151" customWidth="1"/>
    <col min="2" max="2" width="7.5" style="151" customWidth="1"/>
    <col min="3" max="3" width="37.875" style="152" bestFit="1" customWidth="1"/>
    <col min="4" max="7" width="2.5" style="151" customWidth="1"/>
    <col min="8" max="10" width="2.5" style="152" customWidth="1"/>
    <col min="11" max="13" width="2.5" style="151" customWidth="1"/>
    <col min="14" max="21" width="2.5" style="533" customWidth="1"/>
    <col min="22" max="27" width="2.5" style="151" customWidth="1"/>
    <col min="28" max="29" width="2.5" style="533" customWidth="1"/>
    <col min="30" max="36" width="2.5" style="151" customWidth="1"/>
    <col min="37" max="37" width="3.875" style="151" customWidth="1"/>
    <col min="38" max="40" width="2.5" style="151" customWidth="1"/>
    <col min="41" max="42" width="2.5" style="152" customWidth="1"/>
    <col min="43" max="44" width="2.5" style="151" customWidth="1"/>
    <col min="45" max="45" width="7.125" style="151" customWidth="1"/>
    <col min="46" max="46" width="8.5" style="151" customWidth="1"/>
    <col min="47" max="47" width="2.875" style="151" customWidth="1"/>
    <col min="48" max="16384" width="9" style="151"/>
  </cols>
  <sheetData>
    <row r="1" spans="1:46" ht="17.100000000000001" customHeight="1" x14ac:dyDescent="0.15">
      <c r="A1" s="376"/>
    </row>
    <row r="2" spans="1:46" ht="17.100000000000001" customHeight="1" x14ac:dyDescent="0.15">
      <c r="A2" s="376"/>
    </row>
    <row r="3" spans="1:46" ht="17.100000000000001" customHeight="1" x14ac:dyDescent="0.15">
      <c r="A3" s="376"/>
    </row>
    <row r="4" spans="1:46" ht="17.100000000000001" customHeight="1" x14ac:dyDescent="0.15">
      <c r="B4" s="376" t="s">
        <v>31014</v>
      </c>
    </row>
    <row r="5" spans="1:46" ht="17.100000000000001" customHeight="1" x14ac:dyDescent="0.15">
      <c r="A5" s="300" t="s">
        <v>15540</v>
      </c>
      <c r="B5" s="565"/>
      <c r="C5" s="302" t="s">
        <v>15541</v>
      </c>
      <c r="D5" s="846" t="s">
        <v>15618</v>
      </c>
      <c r="E5" s="939"/>
      <c r="F5" s="939"/>
      <c r="G5" s="939"/>
      <c r="H5" s="939"/>
      <c r="I5" s="939"/>
      <c r="J5" s="939"/>
      <c r="K5" s="939"/>
      <c r="L5" s="939"/>
      <c r="M5" s="939"/>
      <c r="N5" s="939"/>
      <c r="O5" s="939"/>
      <c r="P5" s="939"/>
      <c r="Q5" s="939"/>
      <c r="R5" s="939"/>
      <c r="S5" s="939"/>
      <c r="T5" s="939"/>
      <c r="U5" s="939"/>
      <c r="V5" s="939"/>
      <c r="W5" s="939"/>
      <c r="X5" s="939"/>
      <c r="Y5" s="939"/>
      <c r="Z5" s="939"/>
      <c r="AA5" s="939"/>
      <c r="AB5" s="939"/>
      <c r="AC5" s="939"/>
      <c r="AD5" s="939"/>
      <c r="AE5" s="939"/>
      <c r="AF5" s="939"/>
      <c r="AG5" s="939"/>
      <c r="AH5" s="939"/>
      <c r="AI5" s="939"/>
      <c r="AJ5" s="939"/>
      <c r="AK5" s="939"/>
      <c r="AL5" s="939"/>
      <c r="AM5" s="939"/>
      <c r="AN5" s="939"/>
      <c r="AO5" s="939"/>
      <c r="AP5" s="939"/>
      <c r="AQ5" s="939"/>
      <c r="AR5" s="940"/>
      <c r="AS5" s="306" t="s">
        <v>15543</v>
      </c>
      <c r="AT5" s="306" t="s">
        <v>15544</v>
      </c>
    </row>
    <row r="6" spans="1:46" ht="17.100000000000001" customHeight="1" x14ac:dyDescent="0.15">
      <c r="A6" s="379" t="s">
        <v>15545</v>
      </c>
      <c r="B6" s="379" t="s">
        <v>30816</v>
      </c>
      <c r="C6" s="381"/>
      <c r="D6" s="382"/>
      <c r="E6" s="383"/>
      <c r="F6" s="383"/>
      <c r="G6" s="383"/>
      <c r="H6" s="383"/>
      <c r="I6" s="383"/>
      <c r="J6" s="383"/>
      <c r="K6" s="383"/>
      <c r="L6" s="383"/>
      <c r="M6" s="383"/>
      <c r="N6" s="449"/>
      <c r="O6" s="449"/>
      <c r="P6" s="449"/>
      <c r="Q6" s="449"/>
      <c r="R6" s="449"/>
      <c r="S6" s="449"/>
      <c r="T6" s="449"/>
      <c r="U6" s="449"/>
      <c r="V6" s="383"/>
      <c r="W6" s="383"/>
      <c r="X6" s="383"/>
      <c r="Y6" s="383"/>
      <c r="Z6" s="383"/>
      <c r="AA6" s="383"/>
      <c r="AB6" s="449"/>
      <c r="AC6" s="449"/>
      <c r="AD6" s="383"/>
      <c r="AE6" s="383"/>
      <c r="AF6" s="383"/>
      <c r="AG6" s="383"/>
      <c r="AH6" s="383"/>
      <c r="AI6" s="383"/>
      <c r="AJ6" s="383"/>
      <c r="AK6" s="383"/>
      <c r="AL6" s="383"/>
      <c r="AM6" s="383"/>
      <c r="AN6" s="383"/>
      <c r="AO6" s="383"/>
      <c r="AP6" s="383"/>
      <c r="AQ6" s="383"/>
      <c r="AR6" s="383"/>
      <c r="AS6" s="384" t="s">
        <v>391</v>
      </c>
      <c r="AT6" s="384" t="s">
        <v>392</v>
      </c>
    </row>
    <row r="7" spans="1:46" ht="17.100000000000001" customHeight="1" x14ac:dyDescent="0.15">
      <c r="A7" s="321">
        <v>21</v>
      </c>
      <c r="B7" s="322">
        <v>8111</v>
      </c>
      <c r="C7" s="323" t="s">
        <v>31015</v>
      </c>
      <c r="D7" s="941" t="s">
        <v>30818</v>
      </c>
      <c r="E7" s="942"/>
      <c r="F7" s="941" t="s">
        <v>30819</v>
      </c>
      <c r="G7" s="942"/>
      <c r="H7" s="864" t="s">
        <v>30820</v>
      </c>
      <c r="I7" s="865"/>
      <c r="J7" s="865"/>
      <c r="K7" s="865"/>
      <c r="L7" s="866"/>
      <c r="M7" s="152"/>
      <c r="N7" s="151"/>
      <c r="O7" s="151"/>
      <c r="P7" s="151"/>
      <c r="Q7" s="151"/>
      <c r="R7" s="151"/>
      <c r="S7" s="151"/>
      <c r="T7" s="495"/>
      <c r="U7" s="943" t="s">
        <v>31016</v>
      </c>
      <c r="V7" s="944"/>
      <c r="W7" s="598"/>
      <c r="X7" s="417"/>
      <c r="Y7" s="417"/>
      <c r="Z7" s="417"/>
      <c r="AA7" s="417"/>
      <c r="AB7" s="151"/>
      <c r="AC7" s="151"/>
      <c r="AO7" s="151"/>
      <c r="AP7" s="151"/>
      <c r="AR7" s="495"/>
      <c r="AS7" s="488">
        <f>ROUND(I11*$U$26,0)</f>
        <v>676</v>
      </c>
      <c r="AT7" s="339" t="s">
        <v>30681</v>
      </c>
    </row>
    <row r="8" spans="1:46" ht="17.100000000000001" customHeight="1" x14ac:dyDescent="0.15">
      <c r="A8" s="340">
        <v>21</v>
      </c>
      <c r="B8" s="341">
        <v>8112</v>
      </c>
      <c r="C8" s="342" t="s">
        <v>31017</v>
      </c>
      <c r="D8" s="943"/>
      <c r="E8" s="944"/>
      <c r="F8" s="943"/>
      <c r="G8" s="944"/>
      <c r="H8" s="864"/>
      <c r="I8" s="865"/>
      <c r="J8" s="865"/>
      <c r="K8" s="865"/>
      <c r="L8" s="866"/>
      <c r="N8" s="151"/>
      <c r="O8" s="151"/>
      <c r="P8" s="151"/>
      <c r="Q8" s="151"/>
      <c r="R8" s="151"/>
      <c r="S8" s="151"/>
      <c r="T8" s="495"/>
      <c r="U8" s="943"/>
      <c r="V8" s="944"/>
      <c r="W8" s="948" t="s">
        <v>30822</v>
      </c>
      <c r="X8" s="949"/>
      <c r="Y8" s="949"/>
      <c r="Z8" s="949"/>
      <c r="AA8" s="949"/>
      <c r="AB8" s="934" t="s">
        <v>30823</v>
      </c>
      <c r="AC8" s="935"/>
      <c r="AD8" s="935"/>
      <c r="AE8" s="935"/>
      <c r="AF8" s="935"/>
      <c r="AG8" s="935"/>
      <c r="AH8" s="935"/>
      <c r="AI8" s="935"/>
      <c r="AJ8" s="935"/>
      <c r="AK8" s="935"/>
      <c r="AL8" s="455" t="s">
        <v>15626</v>
      </c>
      <c r="AM8" s="938">
        <f>'5療養介護(基本)'!AM8:AN8</f>
        <v>0.7</v>
      </c>
      <c r="AN8" s="938"/>
      <c r="AO8" s="568"/>
      <c r="AP8" s="568"/>
      <c r="AQ8" s="568"/>
      <c r="AR8" s="599"/>
      <c r="AS8" s="489">
        <f>ROUND(ROUND(I11*$U$26,0)*AM8,0)</f>
        <v>473</v>
      </c>
      <c r="AT8" s="339"/>
    </row>
    <row r="9" spans="1:46" ht="17.100000000000001" customHeight="1" x14ac:dyDescent="0.15">
      <c r="A9" s="340">
        <v>21</v>
      </c>
      <c r="B9" s="341">
        <v>8801</v>
      </c>
      <c r="C9" s="342" t="s">
        <v>31018</v>
      </c>
      <c r="D9" s="943"/>
      <c r="E9" s="944"/>
      <c r="F9" s="943"/>
      <c r="G9" s="944"/>
      <c r="H9" s="430"/>
      <c r="I9" s="431"/>
      <c r="J9" s="431"/>
      <c r="K9" s="431"/>
      <c r="L9" s="432"/>
      <c r="N9" s="151"/>
      <c r="O9" s="151"/>
      <c r="P9" s="151"/>
      <c r="Q9" s="151"/>
      <c r="R9" s="151"/>
      <c r="S9" s="151"/>
      <c r="T9" s="495"/>
      <c r="U9" s="943"/>
      <c r="V9" s="944"/>
      <c r="W9" s="948"/>
      <c r="X9" s="949"/>
      <c r="Y9" s="949"/>
      <c r="Z9" s="949"/>
      <c r="AA9" s="949"/>
      <c r="AB9" s="934" t="s">
        <v>30825</v>
      </c>
      <c r="AC9" s="935"/>
      <c r="AD9" s="935"/>
      <c r="AE9" s="935"/>
      <c r="AF9" s="935"/>
      <c r="AG9" s="935"/>
      <c r="AH9" s="935"/>
      <c r="AI9" s="935"/>
      <c r="AJ9" s="935"/>
      <c r="AK9" s="935"/>
      <c r="AL9" s="548" t="s">
        <v>15626</v>
      </c>
      <c r="AM9" s="928">
        <f>'5療養介護(基本)'!AM9:AN9</f>
        <v>0.5</v>
      </c>
      <c r="AN9" s="928"/>
      <c r="AO9" s="431"/>
      <c r="AP9" s="424"/>
      <c r="AQ9" s="424"/>
      <c r="AR9" s="425"/>
      <c r="AS9" s="489">
        <f>ROUND(ROUND(I11*$U$26,0)*AM9,0)</f>
        <v>338</v>
      </c>
      <c r="AT9" s="339"/>
    </row>
    <row r="10" spans="1:46" ht="17.100000000000001" customHeight="1" x14ac:dyDescent="0.15">
      <c r="A10" s="340">
        <v>21</v>
      </c>
      <c r="B10" s="341">
        <v>8113</v>
      </c>
      <c r="C10" s="342" t="s">
        <v>31019</v>
      </c>
      <c r="D10" s="943"/>
      <c r="E10" s="944"/>
      <c r="F10" s="943"/>
      <c r="G10" s="944"/>
      <c r="H10" s="490"/>
      <c r="M10" s="861" t="s">
        <v>30827</v>
      </c>
      <c r="N10" s="862"/>
      <c r="O10" s="862"/>
      <c r="P10" s="862"/>
      <c r="Q10" s="862"/>
      <c r="R10" s="862"/>
      <c r="S10" s="862"/>
      <c r="T10" s="863"/>
      <c r="U10" s="943"/>
      <c r="V10" s="944"/>
      <c r="W10" s="330"/>
      <c r="X10" s="474"/>
      <c r="Y10" s="474"/>
      <c r="Z10" s="343"/>
      <c r="AA10" s="568"/>
      <c r="AB10" s="396"/>
      <c r="AC10" s="396"/>
      <c r="AD10" s="427"/>
      <c r="AE10" s="427"/>
      <c r="AF10" s="396"/>
      <c r="AG10" s="396"/>
      <c r="AH10" s="396"/>
      <c r="AI10" s="396"/>
      <c r="AJ10" s="396"/>
      <c r="AK10" s="396"/>
      <c r="AL10" s="427"/>
      <c r="AM10" s="964"/>
      <c r="AN10" s="964"/>
      <c r="AO10" s="396"/>
      <c r="AP10" s="575"/>
      <c r="AQ10" s="575"/>
      <c r="AR10" s="592"/>
      <c r="AS10" s="489">
        <f>ROUND(ROUND(I11*S12,0)*$U$26,0)</f>
        <v>652</v>
      </c>
      <c r="AT10" s="339"/>
    </row>
    <row r="11" spans="1:46" ht="17.100000000000001" customHeight="1" x14ac:dyDescent="0.15">
      <c r="A11" s="340">
        <v>21</v>
      </c>
      <c r="B11" s="341">
        <v>8114</v>
      </c>
      <c r="C11" s="342" t="s">
        <v>31020</v>
      </c>
      <c r="D11" s="943"/>
      <c r="E11" s="944"/>
      <c r="F11" s="943"/>
      <c r="G11" s="944"/>
      <c r="H11" s="490"/>
      <c r="I11" s="965">
        <f>'5療養介護(基本)'!I10</f>
        <v>965</v>
      </c>
      <c r="J11" s="965"/>
      <c r="K11" s="152" t="s">
        <v>15624</v>
      </c>
      <c r="L11" s="152"/>
      <c r="M11" s="864"/>
      <c r="N11" s="865"/>
      <c r="O11" s="865"/>
      <c r="P11" s="865"/>
      <c r="Q11" s="865"/>
      <c r="R11" s="865"/>
      <c r="S11" s="865"/>
      <c r="T11" s="866"/>
      <c r="U11" s="943"/>
      <c r="V11" s="944"/>
      <c r="W11" s="948" t="s">
        <v>30822</v>
      </c>
      <c r="X11" s="949"/>
      <c r="Y11" s="949"/>
      <c r="Z11" s="949"/>
      <c r="AA11" s="949"/>
      <c r="AB11" s="934" t="s">
        <v>30823</v>
      </c>
      <c r="AC11" s="935"/>
      <c r="AD11" s="935"/>
      <c r="AE11" s="935"/>
      <c r="AF11" s="935"/>
      <c r="AG11" s="935"/>
      <c r="AH11" s="935"/>
      <c r="AI11" s="935"/>
      <c r="AJ11" s="935"/>
      <c r="AK11" s="935"/>
      <c r="AL11" s="427" t="s">
        <v>15626</v>
      </c>
      <c r="AM11" s="964">
        <f>$AM$8</f>
        <v>0.7</v>
      </c>
      <c r="AN11" s="964"/>
      <c r="AO11" s="396"/>
      <c r="AP11" s="575"/>
      <c r="AQ11" s="575"/>
      <c r="AR11" s="592"/>
      <c r="AS11" s="489">
        <f>ROUND(ROUND(ROUND(I11*S12,0)*$U$26,0)*AM11,0)</f>
        <v>456</v>
      </c>
      <c r="AT11" s="339"/>
    </row>
    <row r="12" spans="1:46" ht="17.100000000000001" customHeight="1" x14ac:dyDescent="0.15">
      <c r="A12" s="340">
        <v>21</v>
      </c>
      <c r="B12" s="341">
        <v>8802</v>
      </c>
      <c r="C12" s="342" t="s">
        <v>31021</v>
      </c>
      <c r="D12" s="943"/>
      <c r="E12" s="944"/>
      <c r="F12" s="943"/>
      <c r="G12" s="944"/>
      <c r="H12" s="490"/>
      <c r="K12" s="152"/>
      <c r="L12" s="152"/>
      <c r="M12" s="345"/>
      <c r="N12" s="338"/>
      <c r="O12" s="338"/>
      <c r="P12" s="338"/>
      <c r="Q12" s="338"/>
      <c r="R12" s="391" t="s">
        <v>15626</v>
      </c>
      <c r="S12" s="936">
        <f>'5療養介護(基本)'!$S$12</f>
        <v>0.96499999999999997</v>
      </c>
      <c r="T12" s="937"/>
      <c r="U12" s="943"/>
      <c r="V12" s="944"/>
      <c r="W12" s="948"/>
      <c r="X12" s="949"/>
      <c r="Y12" s="949"/>
      <c r="Z12" s="949"/>
      <c r="AA12" s="949"/>
      <c r="AB12" s="934" t="s">
        <v>30825</v>
      </c>
      <c r="AC12" s="935"/>
      <c r="AD12" s="935"/>
      <c r="AE12" s="935"/>
      <c r="AF12" s="935"/>
      <c r="AG12" s="935"/>
      <c r="AH12" s="935"/>
      <c r="AI12" s="935"/>
      <c r="AJ12" s="935"/>
      <c r="AK12" s="935"/>
      <c r="AL12" s="427" t="s">
        <v>15626</v>
      </c>
      <c r="AM12" s="964">
        <f>$AM$9</f>
        <v>0.5</v>
      </c>
      <c r="AN12" s="964"/>
      <c r="AO12" s="343"/>
      <c r="AP12" s="568"/>
      <c r="AQ12" s="568"/>
      <c r="AR12" s="599"/>
      <c r="AS12" s="489">
        <f>ROUND(ROUND(ROUND(I11*S12,0)*$U$26,0)*AM12,0)</f>
        <v>326</v>
      </c>
      <c r="AT12" s="339"/>
    </row>
    <row r="13" spans="1:46" ht="17.100000000000001" customHeight="1" x14ac:dyDescent="0.15">
      <c r="A13" s="340">
        <v>21</v>
      </c>
      <c r="B13" s="341">
        <v>8121</v>
      </c>
      <c r="C13" s="342" t="s">
        <v>31022</v>
      </c>
      <c r="D13" s="943"/>
      <c r="E13" s="944"/>
      <c r="F13" s="943"/>
      <c r="G13" s="944"/>
      <c r="H13" s="861" t="s">
        <v>30831</v>
      </c>
      <c r="I13" s="862"/>
      <c r="J13" s="862"/>
      <c r="K13" s="862"/>
      <c r="L13" s="862"/>
      <c r="M13" s="547"/>
      <c r="N13" s="400"/>
      <c r="O13" s="400"/>
      <c r="P13" s="400"/>
      <c r="Q13" s="400"/>
      <c r="R13" s="400"/>
      <c r="S13" s="400"/>
      <c r="T13" s="429"/>
      <c r="U13" s="600"/>
      <c r="V13" s="600"/>
      <c r="W13" s="601"/>
      <c r="X13" s="343"/>
      <c r="Y13" s="454"/>
      <c r="Z13" s="343"/>
      <c r="AA13" s="568"/>
      <c r="AB13" s="396"/>
      <c r="AC13" s="396"/>
      <c r="AD13" s="427"/>
      <c r="AE13" s="427"/>
      <c r="AF13" s="396"/>
      <c r="AG13" s="396"/>
      <c r="AH13" s="396"/>
      <c r="AI13" s="396"/>
      <c r="AJ13" s="396"/>
      <c r="AK13" s="396"/>
      <c r="AL13" s="427"/>
      <c r="AM13" s="964"/>
      <c r="AN13" s="964"/>
      <c r="AO13" s="575"/>
      <c r="AP13" s="575"/>
      <c r="AQ13" s="575"/>
      <c r="AR13" s="592"/>
      <c r="AS13" s="489">
        <f>ROUND(I17*$U$26,0)</f>
        <v>657</v>
      </c>
      <c r="AT13" s="339"/>
    </row>
    <row r="14" spans="1:46" ht="17.100000000000001" customHeight="1" x14ac:dyDescent="0.15">
      <c r="A14" s="340">
        <v>21</v>
      </c>
      <c r="B14" s="341">
        <v>8122</v>
      </c>
      <c r="C14" s="342" t="s">
        <v>31023</v>
      </c>
      <c r="D14" s="943"/>
      <c r="E14" s="944"/>
      <c r="F14" s="943"/>
      <c r="G14" s="944"/>
      <c r="H14" s="864"/>
      <c r="I14" s="865"/>
      <c r="J14" s="865"/>
      <c r="K14" s="865"/>
      <c r="L14" s="865"/>
      <c r="M14" s="494"/>
      <c r="N14" s="151"/>
      <c r="O14" s="151"/>
      <c r="P14" s="151"/>
      <c r="Q14" s="151"/>
      <c r="R14" s="151"/>
      <c r="S14" s="151"/>
      <c r="T14" s="495"/>
      <c r="U14" s="600"/>
      <c r="V14" s="602"/>
      <c r="W14" s="948" t="s">
        <v>30822</v>
      </c>
      <c r="X14" s="949"/>
      <c r="Y14" s="949"/>
      <c r="Z14" s="949"/>
      <c r="AA14" s="949"/>
      <c r="AB14" s="934" t="s">
        <v>30823</v>
      </c>
      <c r="AC14" s="935"/>
      <c r="AD14" s="935"/>
      <c r="AE14" s="935"/>
      <c r="AF14" s="935"/>
      <c r="AG14" s="935"/>
      <c r="AH14" s="935"/>
      <c r="AI14" s="935"/>
      <c r="AJ14" s="935"/>
      <c r="AK14" s="935"/>
      <c r="AL14" s="427" t="s">
        <v>15626</v>
      </c>
      <c r="AM14" s="964">
        <f>$AM$8</f>
        <v>0.7</v>
      </c>
      <c r="AN14" s="964"/>
      <c r="AO14" s="575"/>
      <c r="AP14" s="575"/>
      <c r="AQ14" s="575"/>
      <c r="AR14" s="592"/>
      <c r="AS14" s="489">
        <f>ROUND(ROUND(I17*$U$26,0)*AM14,0)</f>
        <v>460</v>
      </c>
      <c r="AT14" s="339"/>
    </row>
    <row r="15" spans="1:46" ht="17.100000000000001" customHeight="1" x14ac:dyDescent="0.15">
      <c r="A15" s="340">
        <v>21</v>
      </c>
      <c r="B15" s="341">
        <v>8809</v>
      </c>
      <c r="C15" s="342" t="s">
        <v>31024</v>
      </c>
      <c r="D15" s="943"/>
      <c r="E15" s="944"/>
      <c r="F15" s="943"/>
      <c r="G15" s="944"/>
      <c r="H15" s="430"/>
      <c r="I15" s="431"/>
      <c r="J15" s="431"/>
      <c r="K15" s="431"/>
      <c r="L15" s="431"/>
      <c r="M15" s="494"/>
      <c r="N15" s="151"/>
      <c r="O15" s="151"/>
      <c r="P15" s="151"/>
      <c r="Q15" s="151"/>
      <c r="R15" s="151"/>
      <c r="S15" s="151"/>
      <c r="T15" s="495"/>
      <c r="U15" s="600"/>
      <c r="V15" s="602"/>
      <c r="W15" s="948"/>
      <c r="X15" s="949"/>
      <c r="Y15" s="949"/>
      <c r="Z15" s="949"/>
      <c r="AA15" s="949"/>
      <c r="AB15" s="934" t="s">
        <v>30825</v>
      </c>
      <c r="AC15" s="935"/>
      <c r="AD15" s="935"/>
      <c r="AE15" s="935"/>
      <c r="AF15" s="935"/>
      <c r="AG15" s="935"/>
      <c r="AH15" s="935"/>
      <c r="AI15" s="935"/>
      <c r="AJ15" s="935"/>
      <c r="AK15" s="935"/>
      <c r="AL15" s="427" t="s">
        <v>15626</v>
      </c>
      <c r="AM15" s="964">
        <f>$AM$9</f>
        <v>0.5</v>
      </c>
      <c r="AN15" s="964"/>
      <c r="AO15" s="603"/>
      <c r="AP15" s="575"/>
      <c r="AQ15" s="575"/>
      <c r="AR15" s="592"/>
      <c r="AS15" s="489">
        <f>ROUND(ROUND(I17*$U$26,0)*AM15,0)</f>
        <v>329</v>
      </c>
      <c r="AT15" s="339"/>
    </row>
    <row r="16" spans="1:46" ht="17.100000000000001" customHeight="1" x14ac:dyDescent="0.15">
      <c r="A16" s="340">
        <v>21</v>
      </c>
      <c r="B16" s="341">
        <v>8123</v>
      </c>
      <c r="C16" s="342" t="s">
        <v>31025</v>
      </c>
      <c r="D16" s="943"/>
      <c r="E16" s="944"/>
      <c r="F16" s="943"/>
      <c r="G16" s="944"/>
      <c r="H16" s="490"/>
      <c r="M16" s="861" t="s">
        <v>30827</v>
      </c>
      <c r="N16" s="862"/>
      <c r="O16" s="862"/>
      <c r="P16" s="862"/>
      <c r="Q16" s="862"/>
      <c r="R16" s="862"/>
      <c r="S16" s="862"/>
      <c r="T16" s="863"/>
      <c r="U16" s="600"/>
      <c r="V16" s="600"/>
      <c r="W16" s="330"/>
      <c r="X16" s="474"/>
      <c r="Y16" s="474"/>
      <c r="Z16" s="343"/>
      <c r="AA16" s="568"/>
      <c r="AB16" s="396"/>
      <c r="AC16" s="396"/>
      <c r="AD16" s="427"/>
      <c r="AE16" s="427"/>
      <c r="AF16" s="396"/>
      <c r="AG16" s="396"/>
      <c r="AH16" s="396"/>
      <c r="AI16" s="396"/>
      <c r="AJ16" s="396"/>
      <c r="AK16" s="396"/>
      <c r="AL16" s="427"/>
      <c r="AM16" s="964"/>
      <c r="AN16" s="964"/>
      <c r="AO16" s="396"/>
      <c r="AP16" s="575"/>
      <c r="AQ16" s="575"/>
      <c r="AR16" s="592"/>
      <c r="AS16" s="489">
        <f>ROUND(ROUND(I17*S18,0)*$U$26,0)</f>
        <v>634</v>
      </c>
      <c r="AT16" s="339"/>
    </row>
    <row r="17" spans="1:46" ht="17.100000000000001" customHeight="1" x14ac:dyDescent="0.15">
      <c r="A17" s="340">
        <v>21</v>
      </c>
      <c r="B17" s="341">
        <v>8124</v>
      </c>
      <c r="C17" s="342" t="s">
        <v>31026</v>
      </c>
      <c r="D17" s="943"/>
      <c r="E17" s="944"/>
      <c r="F17" s="943"/>
      <c r="G17" s="944"/>
      <c r="H17" s="490"/>
      <c r="I17" s="965">
        <f>'5療養介護(基本)'!I16</f>
        <v>939</v>
      </c>
      <c r="J17" s="965"/>
      <c r="K17" s="152" t="s">
        <v>15624</v>
      </c>
      <c r="M17" s="864"/>
      <c r="N17" s="865"/>
      <c r="O17" s="865"/>
      <c r="P17" s="865"/>
      <c r="Q17" s="865"/>
      <c r="R17" s="865"/>
      <c r="S17" s="865"/>
      <c r="T17" s="866"/>
      <c r="U17" s="600"/>
      <c r="V17" s="602"/>
      <c r="W17" s="948" t="s">
        <v>30822</v>
      </c>
      <c r="X17" s="949"/>
      <c r="Y17" s="949"/>
      <c r="Z17" s="949"/>
      <c r="AA17" s="949"/>
      <c r="AB17" s="934" t="s">
        <v>30823</v>
      </c>
      <c r="AC17" s="935"/>
      <c r="AD17" s="935"/>
      <c r="AE17" s="935"/>
      <c r="AF17" s="935"/>
      <c r="AG17" s="935"/>
      <c r="AH17" s="935"/>
      <c r="AI17" s="935"/>
      <c r="AJ17" s="935"/>
      <c r="AK17" s="935"/>
      <c r="AL17" s="427" t="s">
        <v>15626</v>
      </c>
      <c r="AM17" s="964">
        <f>$AM$8</f>
        <v>0.7</v>
      </c>
      <c r="AN17" s="964"/>
      <c r="AO17" s="396"/>
      <c r="AP17" s="575"/>
      <c r="AQ17" s="575"/>
      <c r="AR17" s="592"/>
      <c r="AS17" s="489">
        <f>ROUND(ROUND(ROUND(I17*S18,0)*$U$26,0)*AM17,0)</f>
        <v>444</v>
      </c>
      <c r="AT17" s="339"/>
    </row>
    <row r="18" spans="1:46" ht="17.100000000000001" customHeight="1" x14ac:dyDescent="0.15">
      <c r="A18" s="340">
        <v>21</v>
      </c>
      <c r="B18" s="341">
        <v>8810</v>
      </c>
      <c r="C18" s="342" t="s">
        <v>31027</v>
      </c>
      <c r="D18" s="943"/>
      <c r="E18" s="944"/>
      <c r="F18" s="943"/>
      <c r="G18" s="944"/>
      <c r="H18" s="494"/>
      <c r="I18" s="151"/>
      <c r="J18" s="151"/>
      <c r="M18" s="324"/>
      <c r="N18" s="325"/>
      <c r="O18" s="417"/>
      <c r="P18" s="417"/>
      <c r="Q18" s="417"/>
      <c r="R18" s="391" t="s">
        <v>15626</v>
      </c>
      <c r="S18" s="936">
        <f>$S$12</f>
        <v>0.96499999999999997</v>
      </c>
      <c r="T18" s="937"/>
      <c r="U18" s="600"/>
      <c r="V18" s="602"/>
      <c r="W18" s="948"/>
      <c r="X18" s="949"/>
      <c r="Y18" s="949"/>
      <c r="Z18" s="949"/>
      <c r="AA18" s="949"/>
      <c r="AB18" s="934" t="s">
        <v>30825</v>
      </c>
      <c r="AC18" s="935"/>
      <c r="AD18" s="935"/>
      <c r="AE18" s="935"/>
      <c r="AF18" s="935"/>
      <c r="AG18" s="935"/>
      <c r="AH18" s="935"/>
      <c r="AI18" s="935"/>
      <c r="AJ18" s="935"/>
      <c r="AK18" s="935"/>
      <c r="AL18" s="427" t="s">
        <v>15626</v>
      </c>
      <c r="AM18" s="964">
        <f>$AM$9</f>
        <v>0.5</v>
      </c>
      <c r="AN18" s="964"/>
      <c r="AO18" s="343"/>
      <c r="AP18" s="568"/>
      <c r="AQ18" s="568"/>
      <c r="AR18" s="599"/>
      <c r="AS18" s="489">
        <f>ROUND(ROUND(ROUND(I17*S18,0)*$U$26,0)*AM18,0)</f>
        <v>317</v>
      </c>
      <c r="AT18" s="339"/>
    </row>
    <row r="19" spans="1:46" ht="17.100000000000001" customHeight="1" x14ac:dyDescent="0.15">
      <c r="A19" s="340">
        <v>21</v>
      </c>
      <c r="B19" s="341">
        <v>8131</v>
      </c>
      <c r="C19" s="342" t="s">
        <v>31028</v>
      </c>
      <c r="D19" s="604"/>
      <c r="E19" s="600"/>
      <c r="F19" s="604"/>
      <c r="G19" s="600"/>
      <c r="H19" s="861" t="s">
        <v>30838</v>
      </c>
      <c r="I19" s="862"/>
      <c r="J19" s="862"/>
      <c r="K19" s="862"/>
      <c r="L19" s="862"/>
      <c r="M19" s="547"/>
      <c r="N19" s="400"/>
      <c r="O19" s="400"/>
      <c r="P19" s="400"/>
      <c r="Q19" s="400"/>
      <c r="R19" s="400"/>
      <c r="S19" s="400"/>
      <c r="T19" s="429"/>
      <c r="U19" s="600"/>
      <c r="V19" s="600"/>
      <c r="W19" s="601"/>
      <c r="X19" s="343"/>
      <c r="Y19" s="454"/>
      <c r="Z19" s="343"/>
      <c r="AA19" s="568"/>
      <c r="AB19" s="396"/>
      <c r="AC19" s="396"/>
      <c r="AD19" s="427"/>
      <c r="AE19" s="427"/>
      <c r="AF19" s="396"/>
      <c r="AG19" s="396"/>
      <c r="AH19" s="396"/>
      <c r="AI19" s="396"/>
      <c r="AJ19" s="396"/>
      <c r="AK19" s="396"/>
      <c r="AL19" s="427"/>
      <c r="AM19" s="964"/>
      <c r="AN19" s="964"/>
      <c r="AO19" s="575"/>
      <c r="AP19" s="575"/>
      <c r="AQ19" s="575"/>
      <c r="AR19" s="592"/>
      <c r="AS19" s="489">
        <f>ROUND(I23*$U$26,0)</f>
        <v>624</v>
      </c>
      <c r="AT19" s="339"/>
    </row>
    <row r="20" spans="1:46" ht="17.100000000000001" customHeight="1" x14ac:dyDescent="0.15">
      <c r="A20" s="340">
        <v>21</v>
      </c>
      <c r="B20" s="341">
        <v>8132</v>
      </c>
      <c r="C20" s="342" t="s">
        <v>31029</v>
      </c>
      <c r="D20" s="604"/>
      <c r="E20" s="600"/>
      <c r="F20" s="604"/>
      <c r="G20" s="600"/>
      <c r="H20" s="864"/>
      <c r="I20" s="865"/>
      <c r="J20" s="865"/>
      <c r="K20" s="865"/>
      <c r="L20" s="865"/>
      <c r="M20" s="494"/>
      <c r="N20" s="151"/>
      <c r="O20" s="151"/>
      <c r="P20" s="151"/>
      <c r="Q20" s="151"/>
      <c r="R20" s="151"/>
      <c r="S20" s="151"/>
      <c r="T20" s="495"/>
      <c r="U20" s="600"/>
      <c r="V20" s="602"/>
      <c r="W20" s="948" t="s">
        <v>30822</v>
      </c>
      <c r="X20" s="949"/>
      <c r="Y20" s="949"/>
      <c r="Z20" s="949"/>
      <c r="AA20" s="949"/>
      <c r="AB20" s="934" t="s">
        <v>30823</v>
      </c>
      <c r="AC20" s="935"/>
      <c r="AD20" s="935"/>
      <c r="AE20" s="935"/>
      <c r="AF20" s="935"/>
      <c r="AG20" s="935"/>
      <c r="AH20" s="935"/>
      <c r="AI20" s="935"/>
      <c r="AJ20" s="935"/>
      <c r="AK20" s="935"/>
      <c r="AL20" s="427" t="s">
        <v>15626</v>
      </c>
      <c r="AM20" s="964">
        <f>$AM$8</f>
        <v>0.7</v>
      </c>
      <c r="AN20" s="964"/>
      <c r="AO20" s="575"/>
      <c r="AP20" s="575"/>
      <c r="AQ20" s="575"/>
      <c r="AR20" s="592"/>
      <c r="AS20" s="489">
        <f>ROUND(ROUND(I23*$U$26,0)*AM20,0)</f>
        <v>437</v>
      </c>
      <c r="AT20" s="339"/>
    </row>
    <row r="21" spans="1:46" ht="17.100000000000001" customHeight="1" x14ac:dyDescent="0.15">
      <c r="A21" s="340">
        <v>21</v>
      </c>
      <c r="B21" s="341">
        <v>8817</v>
      </c>
      <c r="C21" s="342" t="s">
        <v>31030</v>
      </c>
      <c r="D21" s="604"/>
      <c r="E21" s="600"/>
      <c r="F21" s="604"/>
      <c r="G21" s="600"/>
      <c r="H21" s="430"/>
      <c r="I21" s="431"/>
      <c r="J21" s="431"/>
      <c r="K21" s="431"/>
      <c r="L21" s="431"/>
      <c r="M21" s="494"/>
      <c r="N21" s="151"/>
      <c r="O21" s="151"/>
      <c r="P21" s="151"/>
      <c r="Q21" s="151"/>
      <c r="R21" s="151"/>
      <c r="S21" s="151"/>
      <c r="T21" s="495"/>
      <c r="U21" s="600"/>
      <c r="V21" s="602"/>
      <c r="W21" s="948"/>
      <c r="X21" s="949"/>
      <c r="Y21" s="949"/>
      <c r="Z21" s="949"/>
      <c r="AA21" s="949"/>
      <c r="AB21" s="934" t="s">
        <v>30825</v>
      </c>
      <c r="AC21" s="935"/>
      <c r="AD21" s="935"/>
      <c r="AE21" s="935"/>
      <c r="AF21" s="935"/>
      <c r="AG21" s="935"/>
      <c r="AH21" s="935"/>
      <c r="AI21" s="935"/>
      <c r="AJ21" s="935"/>
      <c r="AK21" s="935"/>
      <c r="AL21" s="427" t="s">
        <v>15626</v>
      </c>
      <c r="AM21" s="964">
        <f>$AM$9</f>
        <v>0.5</v>
      </c>
      <c r="AN21" s="964"/>
      <c r="AO21" s="603"/>
      <c r="AP21" s="575"/>
      <c r="AQ21" s="575"/>
      <c r="AR21" s="592"/>
      <c r="AS21" s="489">
        <f>ROUND(ROUND(I23*$U$26,0)*AM21,0)</f>
        <v>312</v>
      </c>
      <c r="AT21" s="339"/>
    </row>
    <row r="22" spans="1:46" ht="17.100000000000001" customHeight="1" x14ac:dyDescent="0.15">
      <c r="A22" s="340">
        <v>21</v>
      </c>
      <c r="B22" s="341">
        <v>8133</v>
      </c>
      <c r="C22" s="342" t="s">
        <v>31031</v>
      </c>
      <c r="D22" s="604"/>
      <c r="E22" s="600"/>
      <c r="F22" s="604"/>
      <c r="G22" s="600"/>
      <c r="H22" s="490"/>
      <c r="L22" s="495"/>
      <c r="M22" s="861" t="s">
        <v>30827</v>
      </c>
      <c r="N22" s="862"/>
      <c r="O22" s="862"/>
      <c r="P22" s="862"/>
      <c r="Q22" s="862"/>
      <c r="R22" s="862"/>
      <c r="S22" s="862"/>
      <c r="T22" s="863"/>
      <c r="U22" s="604"/>
      <c r="V22" s="600"/>
      <c r="W22" s="330"/>
      <c r="X22" s="474"/>
      <c r="Y22" s="474"/>
      <c r="Z22" s="343"/>
      <c r="AA22" s="568"/>
      <c r="AB22" s="396"/>
      <c r="AC22" s="396"/>
      <c r="AD22" s="427"/>
      <c r="AE22" s="427"/>
      <c r="AF22" s="396"/>
      <c r="AG22" s="396"/>
      <c r="AH22" s="396"/>
      <c r="AI22" s="396"/>
      <c r="AJ22" s="396"/>
      <c r="AK22" s="396"/>
      <c r="AL22" s="427"/>
      <c r="AM22" s="964"/>
      <c r="AN22" s="964"/>
      <c r="AO22" s="396"/>
      <c r="AP22" s="575"/>
      <c r="AQ22" s="575"/>
      <c r="AR22" s="592"/>
      <c r="AS22" s="489">
        <f>ROUND(ROUND(I23*S24,0)*$U$26,0)</f>
        <v>602</v>
      </c>
      <c r="AT22" s="339"/>
    </row>
    <row r="23" spans="1:46" ht="17.100000000000001" customHeight="1" x14ac:dyDescent="0.15">
      <c r="A23" s="340">
        <v>21</v>
      </c>
      <c r="B23" s="341">
        <v>8134</v>
      </c>
      <c r="C23" s="342" t="s">
        <v>31032</v>
      </c>
      <c r="D23" s="604"/>
      <c r="E23" s="600"/>
      <c r="F23" s="604"/>
      <c r="G23" s="600"/>
      <c r="H23" s="490"/>
      <c r="I23" s="965">
        <f>'5療養介護(基本)'!I22</f>
        <v>891</v>
      </c>
      <c r="J23" s="965"/>
      <c r="K23" s="152" t="s">
        <v>15624</v>
      </c>
      <c r="L23" s="387"/>
      <c r="M23" s="864"/>
      <c r="N23" s="865"/>
      <c r="O23" s="865"/>
      <c r="P23" s="865"/>
      <c r="Q23" s="865"/>
      <c r="R23" s="865"/>
      <c r="S23" s="865"/>
      <c r="T23" s="866"/>
      <c r="U23" s="604"/>
      <c r="V23" s="602"/>
      <c r="W23" s="948" t="s">
        <v>30822</v>
      </c>
      <c r="X23" s="949"/>
      <c r="Y23" s="949"/>
      <c r="Z23" s="949"/>
      <c r="AA23" s="949"/>
      <c r="AB23" s="934" t="s">
        <v>30823</v>
      </c>
      <c r="AC23" s="935"/>
      <c r="AD23" s="935"/>
      <c r="AE23" s="935"/>
      <c r="AF23" s="935"/>
      <c r="AG23" s="935"/>
      <c r="AH23" s="935"/>
      <c r="AI23" s="935"/>
      <c r="AJ23" s="935"/>
      <c r="AK23" s="935"/>
      <c r="AL23" s="427" t="s">
        <v>15626</v>
      </c>
      <c r="AM23" s="964">
        <f>$AM$8</f>
        <v>0.7</v>
      </c>
      <c r="AN23" s="964"/>
      <c r="AO23" s="396"/>
      <c r="AP23" s="575"/>
      <c r="AQ23" s="575"/>
      <c r="AR23" s="592"/>
      <c r="AS23" s="489">
        <f>ROUND(ROUND(ROUND(I23*S24,0)*$U$26,0)*AM23,0)</f>
        <v>421</v>
      </c>
      <c r="AT23" s="339"/>
    </row>
    <row r="24" spans="1:46" ht="17.100000000000001" customHeight="1" x14ac:dyDescent="0.15">
      <c r="A24" s="340">
        <v>21</v>
      </c>
      <c r="B24" s="341">
        <v>8818</v>
      </c>
      <c r="C24" s="342" t="s">
        <v>31033</v>
      </c>
      <c r="D24" s="604"/>
      <c r="E24" s="600"/>
      <c r="F24" s="605"/>
      <c r="G24" s="606"/>
      <c r="H24" s="490"/>
      <c r="I24" s="151"/>
      <c r="J24" s="151"/>
      <c r="L24" s="495"/>
      <c r="M24" s="324"/>
      <c r="N24" s="325"/>
      <c r="O24" s="417"/>
      <c r="P24" s="417"/>
      <c r="Q24" s="417"/>
      <c r="R24" s="391" t="s">
        <v>15626</v>
      </c>
      <c r="S24" s="936">
        <f>$S$12</f>
        <v>0.96499999999999997</v>
      </c>
      <c r="T24" s="937"/>
      <c r="U24" s="604"/>
      <c r="V24" s="602"/>
      <c r="W24" s="948"/>
      <c r="X24" s="949"/>
      <c r="Y24" s="949"/>
      <c r="Z24" s="949"/>
      <c r="AA24" s="949"/>
      <c r="AB24" s="934" t="s">
        <v>30825</v>
      </c>
      <c r="AC24" s="935"/>
      <c r="AD24" s="935"/>
      <c r="AE24" s="935"/>
      <c r="AF24" s="935"/>
      <c r="AG24" s="935"/>
      <c r="AH24" s="935"/>
      <c r="AI24" s="935"/>
      <c r="AJ24" s="935"/>
      <c r="AK24" s="935"/>
      <c r="AL24" s="427" t="s">
        <v>15626</v>
      </c>
      <c r="AM24" s="964">
        <f>$AM$9</f>
        <v>0.5</v>
      </c>
      <c r="AN24" s="964"/>
      <c r="AO24" s="343"/>
      <c r="AP24" s="568"/>
      <c r="AQ24" s="568"/>
      <c r="AR24" s="599"/>
      <c r="AS24" s="489">
        <f>ROUND(ROUND(ROUND(I23*S24,0)*$U$26,0)*AM24,0)</f>
        <v>301</v>
      </c>
      <c r="AT24" s="339"/>
    </row>
    <row r="25" spans="1:46" ht="17.100000000000001" customHeight="1" x14ac:dyDescent="0.15">
      <c r="A25" s="340">
        <v>21</v>
      </c>
      <c r="B25" s="341">
        <v>8141</v>
      </c>
      <c r="C25" s="342" t="s">
        <v>31034</v>
      </c>
      <c r="D25" s="423"/>
      <c r="E25" s="424"/>
      <c r="F25" s="423"/>
      <c r="G25" s="424"/>
      <c r="H25" s="861" t="s">
        <v>30845</v>
      </c>
      <c r="I25" s="862"/>
      <c r="J25" s="862"/>
      <c r="K25" s="862"/>
      <c r="L25" s="863"/>
      <c r="M25" s="547"/>
      <c r="N25" s="400"/>
      <c r="O25" s="400"/>
      <c r="P25" s="400"/>
      <c r="Q25" s="400"/>
      <c r="R25" s="400"/>
      <c r="S25" s="400"/>
      <c r="T25" s="429"/>
      <c r="U25" s="901" t="s">
        <v>15626</v>
      </c>
      <c r="V25" s="902"/>
      <c r="W25" s="601"/>
      <c r="X25" s="343"/>
      <c r="Y25" s="454"/>
      <c r="Z25" s="343"/>
      <c r="AA25" s="568"/>
      <c r="AB25" s="396"/>
      <c r="AC25" s="396"/>
      <c r="AD25" s="427"/>
      <c r="AE25" s="427"/>
      <c r="AF25" s="396"/>
      <c r="AG25" s="396"/>
      <c r="AH25" s="396"/>
      <c r="AI25" s="396"/>
      <c r="AJ25" s="396"/>
      <c r="AK25" s="396"/>
      <c r="AL25" s="427"/>
      <c r="AM25" s="964"/>
      <c r="AN25" s="964"/>
      <c r="AO25" s="575"/>
      <c r="AP25" s="575"/>
      <c r="AQ25" s="575"/>
      <c r="AR25" s="592"/>
      <c r="AS25" s="489">
        <f>ROUND(I29*$U$26,0)</f>
        <v>597</v>
      </c>
      <c r="AT25" s="359"/>
    </row>
    <row r="26" spans="1:46" ht="17.100000000000001" customHeight="1" x14ac:dyDescent="0.15">
      <c r="A26" s="340">
        <v>21</v>
      </c>
      <c r="B26" s="341">
        <v>8142</v>
      </c>
      <c r="C26" s="342" t="s">
        <v>31035</v>
      </c>
      <c r="D26" s="423"/>
      <c r="E26" s="424"/>
      <c r="F26" s="423"/>
      <c r="G26" s="424"/>
      <c r="H26" s="864"/>
      <c r="I26" s="865"/>
      <c r="J26" s="865"/>
      <c r="K26" s="865"/>
      <c r="L26" s="866"/>
      <c r="M26" s="494"/>
      <c r="N26" s="151"/>
      <c r="O26" s="151"/>
      <c r="P26" s="151"/>
      <c r="Q26" s="151"/>
      <c r="R26" s="151"/>
      <c r="S26" s="151"/>
      <c r="T26" s="495"/>
      <c r="U26" s="966">
        <v>0.7</v>
      </c>
      <c r="V26" s="967"/>
      <c r="W26" s="948" t="s">
        <v>30822</v>
      </c>
      <c r="X26" s="949"/>
      <c r="Y26" s="949"/>
      <c r="Z26" s="949"/>
      <c r="AA26" s="949"/>
      <c r="AB26" s="934" t="s">
        <v>30823</v>
      </c>
      <c r="AC26" s="935"/>
      <c r="AD26" s="935"/>
      <c r="AE26" s="935"/>
      <c r="AF26" s="935"/>
      <c r="AG26" s="935"/>
      <c r="AH26" s="935"/>
      <c r="AI26" s="935"/>
      <c r="AJ26" s="935"/>
      <c r="AK26" s="935"/>
      <c r="AL26" s="427" t="s">
        <v>15626</v>
      </c>
      <c r="AM26" s="964">
        <f>$AM$8</f>
        <v>0.7</v>
      </c>
      <c r="AN26" s="964"/>
      <c r="AO26" s="575"/>
      <c r="AP26" s="575"/>
      <c r="AQ26" s="575"/>
      <c r="AR26" s="592"/>
      <c r="AS26" s="489">
        <f>ROUND(ROUND(I29*$U$26,0)*AM26,0)</f>
        <v>418</v>
      </c>
      <c r="AT26" s="359"/>
    </row>
    <row r="27" spans="1:46" ht="17.100000000000001" customHeight="1" x14ac:dyDescent="0.15">
      <c r="A27" s="340">
        <v>21</v>
      </c>
      <c r="B27" s="341">
        <v>8825</v>
      </c>
      <c r="C27" s="342" t="s">
        <v>31036</v>
      </c>
      <c r="D27" s="423"/>
      <c r="E27" s="424"/>
      <c r="F27" s="423"/>
      <c r="G27" s="424"/>
      <c r="H27" s="430"/>
      <c r="I27" s="431"/>
      <c r="J27" s="431"/>
      <c r="K27" s="431"/>
      <c r="L27" s="432"/>
      <c r="M27" s="494"/>
      <c r="N27" s="151"/>
      <c r="O27" s="151"/>
      <c r="P27" s="151"/>
      <c r="Q27" s="151"/>
      <c r="R27" s="151"/>
      <c r="S27" s="151"/>
      <c r="T27" s="495"/>
      <c r="U27" s="604"/>
      <c r="V27" s="602"/>
      <c r="W27" s="948"/>
      <c r="X27" s="949"/>
      <c r="Y27" s="949"/>
      <c r="Z27" s="949"/>
      <c r="AA27" s="949"/>
      <c r="AB27" s="934" t="s">
        <v>30825</v>
      </c>
      <c r="AC27" s="935"/>
      <c r="AD27" s="935"/>
      <c r="AE27" s="935"/>
      <c r="AF27" s="935"/>
      <c r="AG27" s="935"/>
      <c r="AH27" s="935"/>
      <c r="AI27" s="935"/>
      <c r="AJ27" s="935"/>
      <c r="AK27" s="935"/>
      <c r="AL27" s="427" t="s">
        <v>15626</v>
      </c>
      <c r="AM27" s="964">
        <f>$AM$9</f>
        <v>0.5</v>
      </c>
      <c r="AN27" s="964"/>
      <c r="AO27" s="603"/>
      <c r="AP27" s="575"/>
      <c r="AQ27" s="575"/>
      <c r="AR27" s="592"/>
      <c r="AS27" s="489">
        <f>ROUND(ROUND(I29*$U$26,0)*AM27,0)</f>
        <v>299</v>
      </c>
      <c r="AT27" s="359"/>
    </row>
    <row r="28" spans="1:46" ht="17.100000000000001" customHeight="1" x14ac:dyDescent="0.15">
      <c r="A28" s="340">
        <v>21</v>
      </c>
      <c r="B28" s="341">
        <v>8143</v>
      </c>
      <c r="C28" s="342" t="s">
        <v>31037</v>
      </c>
      <c r="D28" s="423"/>
      <c r="E28" s="424"/>
      <c r="F28" s="423"/>
      <c r="G28" s="424"/>
      <c r="H28" s="490"/>
      <c r="L28" s="495"/>
      <c r="M28" s="861" t="s">
        <v>30827</v>
      </c>
      <c r="N28" s="862"/>
      <c r="O28" s="862"/>
      <c r="P28" s="862"/>
      <c r="Q28" s="862"/>
      <c r="R28" s="862"/>
      <c r="S28" s="862"/>
      <c r="T28" s="863"/>
      <c r="U28" s="604"/>
      <c r="V28" s="600"/>
      <c r="W28" s="330"/>
      <c r="X28" s="474"/>
      <c r="Y28" s="474"/>
      <c r="Z28" s="343"/>
      <c r="AA28" s="568"/>
      <c r="AB28" s="396"/>
      <c r="AC28" s="396"/>
      <c r="AD28" s="427"/>
      <c r="AE28" s="427"/>
      <c r="AF28" s="396"/>
      <c r="AG28" s="396"/>
      <c r="AH28" s="396"/>
      <c r="AI28" s="396"/>
      <c r="AJ28" s="396"/>
      <c r="AK28" s="396"/>
      <c r="AL28" s="427"/>
      <c r="AM28" s="964"/>
      <c r="AN28" s="964"/>
      <c r="AO28" s="396"/>
      <c r="AP28" s="575"/>
      <c r="AQ28" s="575"/>
      <c r="AR28" s="592"/>
      <c r="AS28" s="489">
        <f>ROUND(ROUND(I29*S30,0)*$U$26,0)</f>
        <v>576</v>
      </c>
      <c r="AT28" s="359"/>
    </row>
    <row r="29" spans="1:46" ht="17.100000000000001" customHeight="1" x14ac:dyDescent="0.15">
      <c r="A29" s="340">
        <v>21</v>
      </c>
      <c r="B29" s="341">
        <v>8144</v>
      </c>
      <c r="C29" s="342" t="s">
        <v>31038</v>
      </c>
      <c r="D29" s="423"/>
      <c r="E29" s="424"/>
      <c r="F29" s="423"/>
      <c r="G29" s="424"/>
      <c r="H29" s="490"/>
      <c r="I29" s="965">
        <f>'5療養介護(基本)'!I28</f>
        <v>853</v>
      </c>
      <c r="J29" s="965"/>
      <c r="K29" s="152" t="s">
        <v>15624</v>
      </c>
      <c r="L29" s="387"/>
      <c r="M29" s="864"/>
      <c r="N29" s="865"/>
      <c r="O29" s="865"/>
      <c r="P29" s="865"/>
      <c r="Q29" s="865"/>
      <c r="R29" s="865"/>
      <c r="S29" s="865"/>
      <c r="T29" s="866"/>
      <c r="U29" s="604"/>
      <c r="V29" s="602"/>
      <c r="W29" s="948" t="s">
        <v>30822</v>
      </c>
      <c r="X29" s="949"/>
      <c r="Y29" s="949"/>
      <c r="Z29" s="949"/>
      <c r="AA29" s="949"/>
      <c r="AB29" s="934" t="s">
        <v>30823</v>
      </c>
      <c r="AC29" s="935"/>
      <c r="AD29" s="935"/>
      <c r="AE29" s="935"/>
      <c r="AF29" s="935"/>
      <c r="AG29" s="935"/>
      <c r="AH29" s="935"/>
      <c r="AI29" s="935"/>
      <c r="AJ29" s="935"/>
      <c r="AK29" s="935"/>
      <c r="AL29" s="427" t="s">
        <v>15626</v>
      </c>
      <c r="AM29" s="964">
        <f>$AM$8</f>
        <v>0.7</v>
      </c>
      <c r="AN29" s="964"/>
      <c r="AO29" s="396"/>
      <c r="AP29" s="575"/>
      <c r="AQ29" s="575"/>
      <c r="AR29" s="592"/>
      <c r="AS29" s="489">
        <f>ROUND(ROUND(ROUND(I29*S30,0)*$U$26,0)*AM29,0)</f>
        <v>403</v>
      </c>
      <c r="AT29" s="359"/>
    </row>
    <row r="30" spans="1:46" ht="17.100000000000001" customHeight="1" x14ac:dyDescent="0.15">
      <c r="A30" s="340">
        <v>21</v>
      </c>
      <c r="B30" s="341">
        <v>8826</v>
      </c>
      <c r="C30" s="342" t="s">
        <v>31039</v>
      </c>
      <c r="D30" s="423"/>
      <c r="E30" s="424"/>
      <c r="F30" s="469"/>
      <c r="G30" s="471"/>
      <c r="H30" s="490"/>
      <c r="I30" s="151"/>
      <c r="J30" s="151"/>
      <c r="L30" s="495"/>
      <c r="M30" s="324"/>
      <c r="N30" s="325"/>
      <c r="O30" s="417"/>
      <c r="P30" s="417"/>
      <c r="Q30" s="417"/>
      <c r="R30" s="391" t="s">
        <v>15626</v>
      </c>
      <c r="S30" s="936">
        <f>$S$12</f>
        <v>0.96499999999999997</v>
      </c>
      <c r="T30" s="937"/>
      <c r="U30" s="604"/>
      <c r="V30" s="602"/>
      <c r="W30" s="948"/>
      <c r="X30" s="949"/>
      <c r="Y30" s="949"/>
      <c r="Z30" s="949"/>
      <c r="AA30" s="949"/>
      <c r="AB30" s="934" t="s">
        <v>30825</v>
      </c>
      <c r="AC30" s="935"/>
      <c r="AD30" s="935"/>
      <c r="AE30" s="935"/>
      <c r="AF30" s="935"/>
      <c r="AG30" s="935"/>
      <c r="AH30" s="935"/>
      <c r="AI30" s="935"/>
      <c r="AJ30" s="935"/>
      <c r="AK30" s="935"/>
      <c r="AL30" s="427" t="s">
        <v>15626</v>
      </c>
      <c r="AM30" s="964">
        <f>$AM$9</f>
        <v>0.5</v>
      </c>
      <c r="AN30" s="964"/>
      <c r="AO30" s="343"/>
      <c r="AP30" s="568"/>
      <c r="AQ30" s="568"/>
      <c r="AR30" s="599"/>
      <c r="AS30" s="353">
        <f>ROUND(ROUND(ROUND(I29*S30,0)*$U$26,0)*AM30,0)</f>
        <v>288</v>
      </c>
      <c r="AT30" s="359"/>
    </row>
    <row r="31" spans="1:46" ht="17.100000000000001" customHeight="1" x14ac:dyDescent="0.15">
      <c r="A31" s="321">
        <v>21</v>
      </c>
      <c r="B31" s="322">
        <v>8211</v>
      </c>
      <c r="C31" s="323" t="s">
        <v>31040</v>
      </c>
      <c r="D31" s="573"/>
      <c r="E31" s="574"/>
      <c r="F31" s="943" t="s">
        <v>30852</v>
      </c>
      <c r="G31" s="944"/>
      <c r="H31" s="861" t="s">
        <v>30820</v>
      </c>
      <c r="I31" s="862"/>
      <c r="J31" s="862"/>
      <c r="K31" s="862"/>
      <c r="L31" s="863"/>
      <c r="M31" s="547"/>
      <c r="N31" s="400"/>
      <c r="O31" s="400"/>
      <c r="P31" s="400"/>
      <c r="Q31" s="400"/>
      <c r="R31" s="400"/>
      <c r="S31" s="400"/>
      <c r="T31" s="429"/>
      <c r="U31" s="941" t="s">
        <v>31016</v>
      </c>
      <c r="V31" s="968"/>
      <c r="W31" s="601"/>
      <c r="X31" s="343"/>
      <c r="Y31" s="454"/>
      <c r="Z31" s="343"/>
      <c r="AA31" s="568"/>
      <c r="AB31" s="396"/>
      <c r="AC31" s="396"/>
      <c r="AD31" s="427"/>
      <c r="AE31" s="427"/>
      <c r="AF31" s="396"/>
      <c r="AG31" s="396"/>
      <c r="AH31" s="396"/>
      <c r="AI31" s="396"/>
      <c r="AJ31" s="396"/>
      <c r="AK31" s="396"/>
      <c r="AL31" s="427"/>
      <c r="AM31" s="964"/>
      <c r="AN31" s="964"/>
      <c r="AO31" s="575"/>
      <c r="AP31" s="575"/>
      <c r="AQ31" s="575"/>
      <c r="AR31" s="592"/>
      <c r="AS31" s="488">
        <f>ROUND(I35*$U$50,0)</f>
        <v>492</v>
      </c>
      <c r="AT31" s="359"/>
    </row>
    <row r="32" spans="1:46" ht="17.100000000000001" customHeight="1" x14ac:dyDescent="0.15">
      <c r="A32" s="340">
        <v>21</v>
      </c>
      <c r="B32" s="341">
        <v>8212</v>
      </c>
      <c r="C32" s="342" t="s">
        <v>31041</v>
      </c>
      <c r="D32" s="573"/>
      <c r="E32" s="574"/>
      <c r="F32" s="943"/>
      <c r="G32" s="944"/>
      <c r="H32" s="864"/>
      <c r="I32" s="865"/>
      <c r="J32" s="865"/>
      <c r="K32" s="865"/>
      <c r="L32" s="866"/>
      <c r="M32" s="494"/>
      <c r="N32" s="151"/>
      <c r="O32" s="151"/>
      <c r="P32" s="151"/>
      <c r="Q32" s="151"/>
      <c r="R32" s="151"/>
      <c r="S32" s="151"/>
      <c r="T32" s="495"/>
      <c r="U32" s="943"/>
      <c r="V32" s="944"/>
      <c r="W32" s="948" t="s">
        <v>30822</v>
      </c>
      <c r="X32" s="949"/>
      <c r="Y32" s="949"/>
      <c r="Z32" s="949"/>
      <c r="AA32" s="949"/>
      <c r="AB32" s="934" t="s">
        <v>30823</v>
      </c>
      <c r="AC32" s="935"/>
      <c r="AD32" s="935"/>
      <c r="AE32" s="935"/>
      <c r="AF32" s="935"/>
      <c r="AG32" s="935"/>
      <c r="AH32" s="935"/>
      <c r="AI32" s="935"/>
      <c r="AJ32" s="935"/>
      <c r="AK32" s="935"/>
      <c r="AL32" s="427" t="s">
        <v>15626</v>
      </c>
      <c r="AM32" s="964">
        <f>$AM$8</f>
        <v>0.7</v>
      </c>
      <c r="AN32" s="964"/>
      <c r="AO32" s="575"/>
      <c r="AP32" s="575"/>
      <c r="AQ32" s="575"/>
      <c r="AR32" s="592"/>
      <c r="AS32" s="489">
        <f>ROUND(ROUND(I35*$U$50,0)*AM32,0)</f>
        <v>344</v>
      </c>
      <c r="AT32" s="359"/>
    </row>
    <row r="33" spans="1:46" ht="17.100000000000001" customHeight="1" x14ac:dyDescent="0.15">
      <c r="A33" s="340">
        <v>21</v>
      </c>
      <c r="B33" s="341">
        <v>8833</v>
      </c>
      <c r="C33" s="342" t="s">
        <v>31042</v>
      </c>
      <c r="D33" s="573"/>
      <c r="E33" s="574"/>
      <c r="F33" s="943"/>
      <c r="G33" s="944"/>
      <c r="H33" s="430"/>
      <c r="I33" s="431"/>
      <c r="J33" s="431"/>
      <c r="K33" s="431"/>
      <c r="L33" s="432"/>
      <c r="M33" s="494"/>
      <c r="N33" s="151"/>
      <c r="O33" s="151"/>
      <c r="P33" s="151"/>
      <c r="Q33" s="151"/>
      <c r="R33" s="151"/>
      <c r="S33" s="151"/>
      <c r="T33" s="495"/>
      <c r="U33" s="943"/>
      <c r="V33" s="944"/>
      <c r="W33" s="948"/>
      <c r="X33" s="949"/>
      <c r="Y33" s="949"/>
      <c r="Z33" s="949"/>
      <c r="AA33" s="949"/>
      <c r="AB33" s="934" t="s">
        <v>30825</v>
      </c>
      <c r="AC33" s="935"/>
      <c r="AD33" s="935"/>
      <c r="AE33" s="935"/>
      <c r="AF33" s="935"/>
      <c r="AG33" s="935"/>
      <c r="AH33" s="935"/>
      <c r="AI33" s="935"/>
      <c r="AJ33" s="935"/>
      <c r="AK33" s="935"/>
      <c r="AL33" s="427" t="s">
        <v>15626</v>
      </c>
      <c r="AM33" s="964">
        <f>$AM$9</f>
        <v>0.5</v>
      </c>
      <c r="AN33" s="964"/>
      <c r="AO33" s="603"/>
      <c r="AP33" s="575"/>
      <c r="AQ33" s="575"/>
      <c r="AR33" s="592"/>
      <c r="AS33" s="489">
        <f>ROUND(ROUND(I35*$U$50,0)*AM33,0)</f>
        <v>246</v>
      </c>
      <c r="AT33" s="359"/>
    </row>
    <row r="34" spans="1:46" ht="17.100000000000001" customHeight="1" x14ac:dyDescent="0.15">
      <c r="A34" s="340">
        <v>21</v>
      </c>
      <c r="B34" s="341">
        <v>8213</v>
      </c>
      <c r="C34" s="342" t="s">
        <v>31043</v>
      </c>
      <c r="D34" s="573"/>
      <c r="E34" s="574"/>
      <c r="F34" s="943"/>
      <c r="G34" s="944"/>
      <c r="H34" s="490"/>
      <c r="L34" s="495"/>
      <c r="M34" s="861" t="s">
        <v>30827</v>
      </c>
      <c r="N34" s="862"/>
      <c r="O34" s="862"/>
      <c r="P34" s="862"/>
      <c r="Q34" s="862"/>
      <c r="R34" s="862"/>
      <c r="S34" s="862"/>
      <c r="T34" s="863"/>
      <c r="U34" s="943"/>
      <c r="V34" s="969"/>
      <c r="W34" s="330"/>
      <c r="X34" s="474"/>
      <c r="Y34" s="474"/>
      <c r="Z34" s="343"/>
      <c r="AA34" s="568"/>
      <c r="AB34" s="396"/>
      <c r="AC34" s="396"/>
      <c r="AD34" s="427"/>
      <c r="AE34" s="427"/>
      <c r="AF34" s="396"/>
      <c r="AG34" s="396"/>
      <c r="AH34" s="396"/>
      <c r="AI34" s="396"/>
      <c r="AJ34" s="396"/>
      <c r="AK34" s="396"/>
      <c r="AL34" s="427"/>
      <c r="AM34" s="964"/>
      <c r="AN34" s="964"/>
      <c r="AO34" s="396"/>
      <c r="AP34" s="575"/>
      <c r="AQ34" s="575"/>
      <c r="AR34" s="592"/>
      <c r="AS34" s="489">
        <f>ROUND(ROUND(I35*S36,0)*$U$50,0)</f>
        <v>475</v>
      </c>
      <c r="AT34" s="359"/>
    </row>
    <row r="35" spans="1:46" ht="17.100000000000001" customHeight="1" x14ac:dyDescent="0.15">
      <c r="A35" s="340">
        <v>21</v>
      </c>
      <c r="B35" s="341">
        <v>8214</v>
      </c>
      <c r="C35" s="342" t="s">
        <v>31044</v>
      </c>
      <c r="D35" s="573"/>
      <c r="E35" s="574"/>
      <c r="F35" s="943"/>
      <c r="G35" s="944"/>
      <c r="H35" s="490"/>
      <c r="I35" s="965">
        <f>'5療養介護(基本)'!I34</f>
        <v>703</v>
      </c>
      <c r="J35" s="965"/>
      <c r="K35" s="152" t="s">
        <v>15624</v>
      </c>
      <c r="L35" s="387"/>
      <c r="M35" s="864"/>
      <c r="N35" s="865"/>
      <c r="O35" s="865"/>
      <c r="P35" s="865"/>
      <c r="Q35" s="865"/>
      <c r="R35" s="865"/>
      <c r="S35" s="865"/>
      <c r="T35" s="866"/>
      <c r="U35" s="943"/>
      <c r="V35" s="944"/>
      <c r="W35" s="948" t="s">
        <v>30822</v>
      </c>
      <c r="X35" s="949"/>
      <c r="Y35" s="949"/>
      <c r="Z35" s="949"/>
      <c r="AA35" s="949"/>
      <c r="AB35" s="934" t="s">
        <v>30823</v>
      </c>
      <c r="AC35" s="935"/>
      <c r="AD35" s="935"/>
      <c r="AE35" s="935"/>
      <c r="AF35" s="935"/>
      <c r="AG35" s="935"/>
      <c r="AH35" s="935"/>
      <c r="AI35" s="935"/>
      <c r="AJ35" s="935"/>
      <c r="AK35" s="935"/>
      <c r="AL35" s="427" t="s">
        <v>15626</v>
      </c>
      <c r="AM35" s="964">
        <f>$AM$8</f>
        <v>0.7</v>
      </c>
      <c r="AN35" s="964"/>
      <c r="AO35" s="396"/>
      <c r="AP35" s="575"/>
      <c r="AQ35" s="575"/>
      <c r="AR35" s="592"/>
      <c r="AS35" s="489">
        <f>ROUND(ROUND(ROUND(I35*S36,0)*$U$50,0)*AM35,0)</f>
        <v>333</v>
      </c>
      <c r="AT35" s="359"/>
    </row>
    <row r="36" spans="1:46" ht="17.100000000000001" customHeight="1" x14ac:dyDescent="0.15">
      <c r="A36" s="340">
        <v>21</v>
      </c>
      <c r="B36" s="341">
        <v>8834</v>
      </c>
      <c r="C36" s="342" t="s">
        <v>31045</v>
      </c>
      <c r="D36" s="573"/>
      <c r="E36" s="574"/>
      <c r="F36" s="943"/>
      <c r="G36" s="944"/>
      <c r="H36" s="490"/>
      <c r="I36" s="151"/>
      <c r="J36" s="151"/>
      <c r="L36" s="495"/>
      <c r="M36" s="324"/>
      <c r="N36" s="325"/>
      <c r="O36" s="417"/>
      <c r="P36" s="417"/>
      <c r="Q36" s="417"/>
      <c r="R36" s="391" t="s">
        <v>15626</v>
      </c>
      <c r="S36" s="936">
        <f>$S$12</f>
        <v>0.96499999999999997</v>
      </c>
      <c r="T36" s="937"/>
      <c r="U36" s="943"/>
      <c r="V36" s="944"/>
      <c r="W36" s="948"/>
      <c r="X36" s="949"/>
      <c r="Y36" s="949"/>
      <c r="Z36" s="949"/>
      <c r="AA36" s="949"/>
      <c r="AB36" s="934" t="s">
        <v>30825</v>
      </c>
      <c r="AC36" s="935"/>
      <c r="AD36" s="935"/>
      <c r="AE36" s="935"/>
      <c r="AF36" s="935"/>
      <c r="AG36" s="935"/>
      <c r="AH36" s="935"/>
      <c r="AI36" s="935"/>
      <c r="AJ36" s="935"/>
      <c r="AK36" s="935"/>
      <c r="AL36" s="427" t="s">
        <v>15626</v>
      </c>
      <c r="AM36" s="964">
        <f>$AM$9</f>
        <v>0.5</v>
      </c>
      <c r="AN36" s="964"/>
      <c r="AO36" s="343"/>
      <c r="AP36" s="568"/>
      <c r="AQ36" s="568"/>
      <c r="AR36" s="599"/>
      <c r="AS36" s="489">
        <f>ROUND(ROUND(ROUND(I35*S36,0)*$U$50,0)*AM36,0)</f>
        <v>238</v>
      </c>
      <c r="AT36" s="359"/>
    </row>
    <row r="37" spans="1:46" ht="17.100000000000001" customHeight="1" x14ac:dyDescent="0.15">
      <c r="A37" s="340">
        <v>21</v>
      </c>
      <c r="B37" s="341">
        <v>8221</v>
      </c>
      <c r="C37" s="342" t="s">
        <v>31046</v>
      </c>
      <c r="D37" s="573"/>
      <c r="E37" s="574"/>
      <c r="F37" s="943"/>
      <c r="G37" s="944"/>
      <c r="H37" s="861" t="s">
        <v>30831</v>
      </c>
      <c r="I37" s="862"/>
      <c r="J37" s="862"/>
      <c r="K37" s="862"/>
      <c r="L37" s="863"/>
      <c r="M37" s="547"/>
      <c r="N37" s="400"/>
      <c r="O37" s="400"/>
      <c r="P37" s="400"/>
      <c r="Q37" s="400"/>
      <c r="R37" s="400"/>
      <c r="S37" s="400"/>
      <c r="T37" s="429"/>
      <c r="U37" s="604"/>
      <c r="V37" s="600"/>
      <c r="W37" s="601"/>
      <c r="X37" s="343"/>
      <c r="Y37" s="454"/>
      <c r="Z37" s="343"/>
      <c r="AA37" s="568"/>
      <c r="AB37" s="396"/>
      <c r="AC37" s="396"/>
      <c r="AD37" s="427"/>
      <c r="AE37" s="427"/>
      <c r="AF37" s="396"/>
      <c r="AG37" s="396"/>
      <c r="AH37" s="396"/>
      <c r="AI37" s="396"/>
      <c r="AJ37" s="396"/>
      <c r="AK37" s="396"/>
      <c r="AL37" s="427"/>
      <c r="AM37" s="964"/>
      <c r="AN37" s="964"/>
      <c r="AO37" s="575"/>
      <c r="AP37" s="575"/>
      <c r="AQ37" s="575"/>
      <c r="AR37" s="592"/>
      <c r="AS37" s="489">
        <f>ROUND(I41*$U$50,0)</f>
        <v>467</v>
      </c>
      <c r="AT37" s="359"/>
    </row>
    <row r="38" spans="1:46" ht="17.100000000000001" customHeight="1" x14ac:dyDescent="0.15">
      <c r="A38" s="340">
        <v>21</v>
      </c>
      <c r="B38" s="341">
        <v>8222</v>
      </c>
      <c r="C38" s="342" t="s">
        <v>31047</v>
      </c>
      <c r="D38" s="573"/>
      <c r="E38" s="574"/>
      <c r="F38" s="943"/>
      <c r="G38" s="944"/>
      <c r="H38" s="864"/>
      <c r="I38" s="865"/>
      <c r="J38" s="865"/>
      <c r="K38" s="865"/>
      <c r="L38" s="866"/>
      <c r="M38" s="494"/>
      <c r="N38" s="151"/>
      <c r="O38" s="151"/>
      <c r="P38" s="151"/>
      <c r="Q38" s="151"/>
      <c r="R38" s="151"/>
      <c r="S38" s="151"/>
      <c r="T38" s="495"/>
      <c r="U38" s="604"/>
      <c r="V38" s="602"/>
      <c r="W38" s="948" t="s">
        <v>30822</v>
      </c>
      <c r="X38" s="949"/>
      <c r="Y38" s="949"/>
      <c r="Z38" s="949"/>
      <c r="AA38" s="949"/>
      <c r="AB38" s="934" t="s">
        <v>30823</v>
      </c>
      <c r="AC38" s="935"/>
      <c r="AD38" s="935"/>
      <c r="AE38" s="935"/>
      <c r="AF38" s="935"/>
      <c r="AG38" s="935"/>
      <c r="AH38" s="935"/>
      <c r="AI38" s="935"/>
      <c r="AJ38" s="935"/>
      <c r="AK38" s="935"/>
      <c r="AL38" s="427" t="s">
        <v>15626</v>
      </c>
      <c r="AM38" s="964">
        <f>$AM$8</f>
        <v>0.7</v>
      </c>
      <c r="AN38" s="964"/>
      <c r="AO38" s="575"/>
      <c r="AP38" s="575"/>
      <c r="AQ38" s="575"/>
      <c r="AR38" s="592"/>
      <c r="AS38" s="489">
        <f>ROUND(ROUND(I41*$U$50,0)*AM38,0)</f>
        <v>327</v>
      </c>
      <c r="AT38" s="359"/>
    </row>
    <row r="39" spans="1:46" ht="17.100000000000001" customHeight="1" x14ac:dyDescent="0.15">
      <c r="A39" s="340">
        <v>21</v>
      </c>
      <c r="B39" s="341">
        <v>8841</v>
      </c>
      <c r="C39" s="342" t="s">
        <v>31048</v>
      </c>
      <c r="D39" s="573"/>
      <c r="E39" s="574"/>
      <c r="F39" s="943"/>
      <c r="G39" s="944"/>
      <c r="H39" s="430"/>
      <c r="I39" s="431"/>
      <c r="J39" s="431"/>
      <c r="K39" s="431"/>
      <c r="L39" s="432"/>
      <c r="M39" s="494"/>
      <c r="N39" s="151"/>
      <c r="O39" s="151"/>
      <c r="P39" s="151"/>
      <c r="Q39" s="151"/>
      <c r="R39" s="151"/>
      <c r="S39" s="151"/>
      <c r="T39" s="495"/>
      <c r="U39" s="604"/>
      <c r="V39" s="602"/>
      <c r="W39" s="948"/>
      <c r="X39" s="949"/>
      <c r="Y39" s="949"/>
      <c r="Z39" s="949"/>
      <c r="AA39" s="949"/>
      <c r="AB39" s="934" t="s">
        <v>30825</v>
      </c>
      <c r="AC39" s="935"/>
      <c r="AD39" s="935"/>
      <c r="AE39" s="935"/>
      <c r="AF39" s="935"/>
      <c r="AG39" s="935"/>
      <c r="AH39" s="935"/>
      <c r="AI39" s="935"/>
      <c r="AJ39" s="935"/>
      <c r="AK39" s="935"/>
      <c r="AL39" s="427" t="s">
        <v>15626</v>
      </c>
      <c r="AM39" s="964">
        <f>$AM$9</f>
        <v>0.5</v>
      </c>
      <c r="AN39" s="964"/>
      <c r="AO39" s="603"/>
      <c r="AP39" s="575"/>
      <c r="AQ39" s="575"/>
      <c r="AR39" s="592"/>
      <c r="AS39" s="489">
        <f>ROUND(ROUND(I41*$U$50,0)*AM39,0)</f>
        <v>234</v>
      </c>
      <c r="AT39" s="359"/>
    </row>
    <row r="40" spans="1:46" ht="17.100000000000001" customHeight="1" x14ac:dyDescent="0.15">
      <c r="A40" s="340">
        <v>21</v>
      </c>
      <c r="B40" s="341">
        <v>8223</v>
      </c>
      <c r="C40" s="342" t="s">
        <v>31049</v>
      </c>
      <c r="D40" s="573"/>
      <c r="E40" s="574"/>
      <c r="F40" s="943"/>
      <c r="G40" s="944"/>
      <c r="H40" s="490"/>
      <c r="L40" s="495"/>
      <c r="M40" s="861" t="s">
        <v>30827</v>
      </c>
      <c r="N40" s="862"/>
      <c r="O40" s="862"/>
      <c r="P40" s="862"/>
      <c r="Q40" s="862"/>
      <c r="R40" s="862"/>
      <c r="S40" s="862"/>
      <c r="T40" s="863"/>
      <c r="U40" s="604"/>
      <c r="V40" s="600"/>
      <c r="W40" s="330"/>
      <c r="X40" s="474"/>
      <c r="Y40" s="474"/>
      <c r="Z40" s="343"/>
      <c r="AA40" s="568"/>
      <c r="AB40" s="396"/>
      <c r="AC40" s="396"/>
      <c r="AD40" s="427"/>
      <c r="AE40" s="427"/>
      <c r="AF40" s="396"/>
      <c r="AG40" s="396"/>
      <c r="AH40" s="396"/>
      <c r="AI40" s="396"/>
      <c r="AJ40" s="396"/>
      <c r="AK40" s="396"/>
      <c r="AL40" s="427"/>
      <c r="AM40" s="964"/>
      <c r="AN40" s="964"/>
      <c r="AO40" s="396"/>
      <c r="AP40" s="575"/>
      <c r="AQ40" s="575"/>
      <c r="AR40" s="592"/>
      <c r="AS40" s="489">
        <f>ROUND(ROUND(I41*S42,0)*$U$50,0)</f>
        <v>451</v>
      </c>
      <c r="AT40" s="359"/>
    </row>
    <row r="41" spans="1:46" ht="17.100000000000001" customHeight="1" x14ac:dyDescent="0.15">
      <c r="A41" s="340">
        <v>21</v>
      </c>
      <c r="B41" s="341">
        <v>8224</v>
      </c>
      <c r="C41" s="342" t="s">
        <v>31050</v>
      </c>
      <c r="D41" s="573"/>
      <c r="E41" s="574"/>
      <c r="F41" s="943"/>
      <c r="G41" s="944"/>
      <c r="H41" s="490"/>
      <c r="I41" s="965">
        <f>'5療養介護(基本)'!I40</f>
        <v>667</v>
      </c>
      <c r="J41" s="965"/>
      <c r="K41" s="152" t="s">
        <v>15624</v>
      </c>
      <c r="L41" s="387"/>
      <c r="M41" s="864"/>
      <c r="N41" s="865"/>
      <c r="O41" s="865"/>
      <c r="P41" s="865"/>
      <c r="Q41" s="865"/>
      <c r="R41" s="865"/>
      <c r="S41" s="865"/>
      <c r="T41" s="866"/>
      <c r="U41" s="604"/>
      <c r="V41" s="602"/>
      <c r="W41" s="948" t="s">
        <v>30822</v>
      </c>
      <c r="X41" s="949"/>
      <c r="Y41" s="949"/>
      <c r="Z41" s="949"/>
      <c r="AA41" s="949"/>
      <c r="AB41" s="934" t="s">
        <v>30823</v>
      </c>
      <c r="AC41" s="935"/>
      <c r="AD41" s="935"/>
      <c r="AE41" s="935"/>
      <c r="AF41" s="935"/>
      <c r="AG41" s="935"/>
      <c r="AH41" s="935"/>
      <c r="AI41" s="935"/>
      <c r="AJ41" s="935"/>
      <c r="AK41" s="935"/>
      <c r="AL41" s="427" t="s">
        <v>15626</v>
      </c>
      <c r="AM41" s="964">
        <f>$AM$8</f>
        <v>0.7</v>
      </c>
      <c r="AN41" s="964"/>
      <c r="AO41" s="396"/>
      <c r="AP41" s="575"/>
      <c r="AQ41" s="575"/>
      <c r="AR41" s="592"/>
      <c r="AS41" s="489">
        <f>ROUND(ROUND(ROUND(I41*S42,0)*$U$50,0)*AM41,0)</f>
        <v>316</v>
      </c>
      <c r="AT41" s="359"/>
    </row>
    <row r="42" spans="1:46" ht="17.100000000000001" customHeight="1" x14ac:dyDescent="0.15">
      <c r="A42" s="340">
        <v>21</v>
      </c>
      <c r="B42" s="341">
        <v>8842</v>
      </c>
      <c r="C42" s="342" t="s">
        <v>31051</v>
      </c>
      <c r="D42" s="573"/>
      <c r="E42" s="574"/>
      <c r="F42" s="943"/>
      <c r="G42" s="944"/>
      <c r="H42" s="490"/>
      <c r="I42" s="151"/>
      <c r="J42" s="151"/>
      <c r="L42" s="495"/>
      <c r="M42" s="324"/>
      <c r="N42" s="325"/>
      <c r="O42" s="417"/>
      <c r="P42" s="417"/>
      <c r="Q42" s="417"/>
      <c r="R42" s="391" t="s">
        <v>15626</v>
      </c>
      <c r="S42" s="936">
        <f>$S$12</f>
        <v>0.96499999999999997</v>
      </c>
      <c r="T42" s="937"/>
      <c r="U42" s="604"/>
      <c r="V42" s="602"/>
      <c r="W42" s="948"/>
      <c r="X42" s="949"/>
      <c r="Y42" s="949"/>
      <c r="Z42" s="949"/>
      <c r="AA42" s="949"/>
      <c r="AB42" s="934" t="s">
        <v>30825</v>
      </c>
      <c r="AC42" s="935"/>
      <c r="AD42" s="935"/>
      <c r="AE42" s="935"/>
      <c r="AF42" s="935"/>
      <c r="AG42" s="935"/>
      <c r="AH42" s="935"/>
      <c r="AI42" s="935"/>
      <c r="AJ42" s="935"/>
      <c r="AK42" s="935"/>
      <c r="AL42" s="427" t="s">
        <v>15626</v>
      </c>
      <c r="AM42" s="964">
        <f>$AM$9</f>
        <v>0.5</v>
      </c>
      <c r="AN42" s="964"/>
      <c r="AO42" s="343"/>
      <c r="AP42" s="568"/>
      <c r="AQ42" s="568"/>
      <c r="AR42" s="599"/>
      <c r="AS42" s="489">
        <f>ROUND(ROUND(ROUND(I41*S42,0)*$U$50,0)*AM42,0)</f>
        <v>226</v>
      </c>
      <c r="AT42" s="359"/>
    </row>
    <row r="43" spans="1:46" ht="17.100000000000001" customHeight="1" x14ac:dyDescent="0.15">
      <c r="A43" s="340">
        <v>21</v>
      </c>
      <c r="B43" s="341">
        <v>8231</v>
      </c>
      <c r="C43" s="342" t="s">
        <v>31052</v>
      </c>
      <c r="D43" s="423"/>
      <c r="E43" s="424"/>
      <c r="F43" s="604"/>
      <c r="G43" s="600"/>
      <c r="H43" s="861" t="s">
        <v>30838</v>
      </c>
      <c r="I43" s="862"/>
      <c r="J43" s="862"/>
      <c r="K43" s="862"/>
      <c r="L43" s="863"/>
      <c r="M43" s="547"/>
      <c r="N43" s="400"/>
      <c r="O43" s="400"/>
      <c r="P43" s="400"/>
      <c r="Q43" s="400"/>
      <c r="R43" s="400"/>
      <c r="S43" s="400"/>
      <c r="T43" s="429"/>
      <c r="U43" s="604"/>
      <c r="V43" s="602"/>
      <c r="W43" s="601"/>
      <c r="X43" s="343"/>
      <c r="Y43" s="454"/>
      <c r="Z43" s="343"/>
      <c r="AA43" s="568"/>
      <c r="AB43" s="396"/>
      <c r="AC43" s="396"/>
      <c r="AD43" s="427"/>
      <c r="AE43" s="427"/>
      <c r="AF43" s="396"/>
      <c r="AG43" s="396"/>
      <c r="AH43" s="396"/>
      <c r="AI43" s="396"/>
      <c r="AJ43" s="396"/>
      <c r="AK43" s="396"/>
      <c r="AL43" s="427"/>
      <c r="AM43" s="964"/>
      <c r="AN43" s="964"/>
      <c r="AO43" s="575"/>
      <c r="AP43" s="575"/>
      <c r="AQ43" s="575"/>
      <c r="AR43" s="592"/>
      <c r="AS43" s="489">
        <f>ROUND(I47*$U$50,0)</f>
        <v>433</v>
      </c>
      <c r="AT43" s="359"/>
    </row>
    <row r="44" spans="1:46" ht="17.100000000000001" customHeight="1" x14ac:dyDescent="0.15">
      <c r="A44" s="340">
        <v>21</v>
      </c>
      <c r="B44" s="341">
        <v>8232</v>
      </c>
      <c r="C44" s="342" t="s">
        <v>31053</v>
      </c>
      <c r="D44" s="423"/>
      <c r="E44" s="424"/>
      <c r="F44" s="604"/>
      <c r="G44" s="600"/>
      <c r="H44" s="864"/>
      <c r="I44" s="865"/>
      <c r="J44" s="865"/>
      <c r="K44" s="865"/>
      <c r="L44" s="866"/>
      <c r="M44" s="494"/>
      <c r="N44" s="151"/>
      <c r="O44" s="151"/>
      <c r="P44" s="151"/>
      <c r="Q44" s="151"/>
      <c r="R44" s="151"/>
      <c r="S44" s="151"/>
      <c r="T44" s="495"/>
      <c r="U44" s="604"/>
      <c r="V44" s="602"/>
      <c r="W44" s="948" t="s">
        <v>30822</v>
      </c>
      <c r="X44" s="949"/>
      <c r="Y44" s="949"/>
      <c r="Z44" s="949"/>
      <c r="AA44" s="949"/>
      <c r="AB44" s="934" t="s">
        <v>30823</v>
      </c>
      <c r="AC44" s="935"/>
      <c r="AD44" s="935"/>
      <c r="AE44" s="935"/>
      <c r="AF44" s="935"/>
      <c r="AG44" s="935"/>
      <c r="AH44" s="935"/>
      <c r="AI44" s="935"/>
      <c r="AJ44" s="935"/>
      <c r="AK44" s="935"/>
      <c r="AL44" s="427" t="s">
        <v>15626</v>
      </c>
      <c r="AM44" s="964">
        <f>$AM$8</f>
        <v>0.7</v>
      </c>
      <c r="AN44" s="964"/>
      <c r="AO44" s="575"/>
      <c r="AP44" s="575"/>
      <c r="AQ44" s="575"/>
      <c r="AR44" s="592"/>
      <c r="AS44" s="489">
        <f>ROUND(ROUND(I47*$U$50,0)*AM44,0)</f>
        <v>303</v>
      </c>
      <c r="AT44" s="359"/>
    </row>
    <row r="45" spans="1:46" ht="17.100000000000001" customHeight="1" x14ac:dyDescent="0.15">
      <c r="A45" s="340">
        <v>21</v>
      </c>
      <c r="B45" s="341">
        <v>8849</v>
      </c>
      <c r="C45" s="342" t="s">
        <v>31054</v>
      </c>
      <c r="D45" s="423"/>
      <c r="E45" s="424"/>
      <c r="F45" s="604"/>
      <c r="G45" s="600"/>
      <c r="H45" s="430"/>
      <c r="I45" s="431"/>
      <c r="J45" s="431"/>
      <c r="K45" s="431"/>
      <c r="L45" s="432"/>
      <c r="M45" s="494"/>
      <c r="N45" s="151"/>
      <c r="O45" s="151"/>
      <c r="P45" s="151"/>
      <c r="Q45" s="151"/>
      <c r="R45" s="151"/>
      <c r="S45" s="151"/>
      <c r="T45" s="495"/>
      <c r="U45" s="604"/>
      <c r="V45" s="602"/>
      <c r="W45" s="948"/>
      <c r="X45" s="949"/>
      <c r="Y45" s="949"/>
      <c r="Z45" s="949"/>
      <c r="AA45" s="949"/>
      <c r="AB45" s="934" t="s">
        <v>30825</v>
      </c>
      <c r="AC45" s="935"/>
      <c r="AD45" s="935"/>
      <c r="AE45" s="935"/>
      <c r="AF45" s="935"/>
      <c r="AG45" s="935"/>
      <c r="AH45" s="935"/>
      <c r="AI45" s="935"/>
      <c r="AJ45" s="935"/>
      <c r="AK45" s="935"/>
      <c r="AL45" s="427" t="s">
        <v>15626</v>
      </c>
      <c r="AM45" s="964">
        <f>$AM$9</f>
        <v>0.5</v>
      </c>
      <c r="AN45" s="964"/>
      <c r="AO45" s="603"/>
      <c r="AP45" s="575"/>
      <c r="AQ45" s="575"/>
      <c r="AR45" s="592"/>
      <c r="AS45" s="489">
        <f>ROUND(ROUND(I47*$U$50,0)*AM45,0)</f>
        <v>217</v>
      </c>
      <c r="AT45" s="359"/>
    </row>
    <row r="46" spans="1:46" ht="17.100000000000001" customHeight="1" x14ac:dyDescent="0.15">
      <c r="A46" s="340">
        <v>21</v>
      </c>
      <c r="B46" s="341">
        <v>8233</v>
      </c>
      <c r="C46" s="342" t="s">
        <v>31055</v>
      </c>
      <c r="D46" s="423"/>
      <c r="E46" s="424"/>
      <c r="F46" s="604"/>
      <c r="G46" s="600"/>
      <c r="H46" s="490"/>
      <c r="L46" s="495"/>
      <c r="M46" s="861" t="s">
        <v>30827</v>
      </c>
      <c r="N46" s="862"/>
      <c r="O46" s="862"/>
      <c r="P46" s="862"/>
      <c r="Q46" s="862"/>
      <c r="R46" s="862"/>
      <c r="S46" s="862"/>
      <c r="T46" s="863"/>
      <c r="U46" s="604"/>
      <c r="V46" s="600"/>
      <c r="W46" s="330"/>
      <c r="X46" s="474"/>
      <c r="Y46" s="474"/>
      <c r="Z46" s="343"/>
      <c r="AA46" s="568"/>
      <c r="AB46" s="396"/>
      <c r="AC46" s="396"/>
      <c r="AD46" s="427"/>
      <c r="AE46" s="427"/>
      <c r="AF46" s="396"/>
      <c r="AG46" s="396"/>
      <c r="AH46" s="396"/>
      <c r="AI46" s="396"/>
      <c r="AJ46" s="396"/>
      <c r="AK46" s="396"/>
      <c r="AL46" s="427"/>
      <c r="AM46" s="964"/>
      <c r="AN46" s="964"/>
      <c r="AO46" s="396"/>
      <c r="AP46" s="575"/>
      <c r="AQ46" s="575"/>
      <c r="AR46" s="592"/>
      <c r="AS46" s="489">
        <f>ROUND(ROUND(I47*S48,0)*$U$50,0)</f>
        <v>418</v>
      </c>
      <c r="AT46" s="359"/>
    </row>
    <row r="47" spans="1:46" ht="17.100000000000001" customHeight="1" x14ac:dyDescent="0.15">
      <c r="A47" s="340">
        <v>21</v>
      </c>
      <c r="B47" s="341">
        <v>8234</v>
      </c>
      <c r="C47" s="342" t="s">
        <v>31056</v>
      </c>
      <c r="D47" s="423"/>
      <c r="E47" s="424"/>
      <c r="F47" s="604"/>
      <c r="G47" s="600"/>
      <c r="H47" s="490"/>
      <c r="I47" s="965">
        <f>'5療養介護(基本)'!I46</f>
        <v>619</v>
      </c>
      <c r="J47" s="965"/>
      <c r="K47" s="152" t="s">
        <v>15624</v>
      </c>
      <c r="L47" s="387"/>
      <c r="M47" s="864"/>
      <c r="N47" s="865"/>
      <c r="O47" s="865"/>
      <c r="P47" s="865"/>
      <c r="Q47" s="865"/>
      <c r="R47" s="865"/>
      <c r="S47" s="865"/>
      <c r="T47" s="866"/>
      <c r="U47" s="604"/>
      <c r="V47" s="602"/>
      <c r="W47" s="948" t="s">
        <v>30822</v>
      </c>
      <c r="X47" s="949"/>
      <c r="Y47" s="949"/>
      <c r="Z47" s="949"/>
      <c r="AA47" s="949"/>
      <c r="AB47" s="934" t="s">
        <v>30823</v>
      </c>
      <c r="AC47" s="935"/>
      <c r="AD47" s="935"/>
      <c r="AE47" s="935"/>
      <c r="AF47" s="935"/>
      <c r="AG47" s="935"/>
      <c r="AH47" s="935"/>
      <c r="AI47" s="935"/>
      <c r="AJ47" s="935"/>
      <c r="AK47" s="935"/>
      <c r="AL47" s="427" t="s">
        <v>15626</v>
      </c>
      <c r="AM47" s="964">
        <f>$AM$8</f>
        <v>0.7</v>
      </c>
      <c r="AN47" s="964"/>
      <c r="AO47" s="396"/>
      <c r="AP47" s="575"/>
      <c r="AQ47" s="575"/>
      <c r="AR47" s="592"/>
      <c r="AS47" s="489">
        <f>ROUND(ROUND(ROUND(I47*S48,0)*$U$50,0)*AM47,0)</f>
        <v>293</v>
      </c>
      <c r="AT47" s="359"/>
    </row>
    <row r="48" spans="1:46" ht="17.100000000000001" customHeight="1" x14ac:dyDescent="0.15">
      <c r="A48" s="340">
        <v>21</v>
      </c>
      <c r="B48" s="341">
        <v>8850</v>
      </c>
      <c r="C48" s="342" t="s">
        <v>31057</v>
      </c>
      <c r="D48" s="423"/>
      <c r="E48" s="424"/>
      <c r="F48" s="605"/>
      <c r="G48" s="606"/>
      <c r="H48" s="490"/>
      <c r="I48" s="151"/>
      <c r="J48" s="151"/>
      <c r="L48" s="495"/>
      <c r="M48" s="324"/>
      <c r="N48" s="325"/>
      <c r="O48" s="417"/>
      <c r="P48" s="417"/>
      <c r="Q48" s="417"/>
      <c r="R48" s="391" t="s">
        <v>15626</v>
      </c>
      <c r="S48" s="936">
        <f>$S$12</f>
        <v>0.96499999999999997</v>
      </c>
      <c r="T48" s="937"/>
      <c r="U48" s="604"/>
      <c r="V48" s="602"/>
      <c r="W48" s="948"/>
      <c r="X48" s="949"/>
      <c r="Y48" s="949"/>
      <c r="Z48" s="949"/>
      <c r="AA48" s="949"/>
      <c r="AB48" s="934" t="s">
        <v>30825</v>
      </c>
      <c r="AC48" s="935"/>
      <c r="AD48" s="935"/>
      <c r="AE48" s="935"/>
      <c r="AF48" s="935"/>
      <c r="AG48" s="935"/>
      <c r="AH48" s="935"/>
      <c r="AI48" s="935"/>
      <c r="AJ48" s="935"/>
      <c r="AK48" s="935"/>
      <c r="AL48" s="427" t="s">
        <v>15626</v>
      </c>
      <c r="AM48" s="964">
        <f>$AM$9</f>
        <v>0.5</v>
      </c>
      <c r="AN48" s="964"/>
      <c r="AO48" s="343"/>
      <c r="AP48" s="568"/>
      <c r="AQ48" s="568"/>
      <c r="AR48" s="599"/>
      <c r="AS48" s="489">
        <f>ROUND(ROUND(ROUND(I47*S48,0)*$U$50,0)*AM48,0)</f>
        <v>209</v>
      </c>
      <c r="AT48" s="359"/>
    </row>
    <row r="49" spans="1:46" ht="17.100000000000001" customHeight="1" x14ac:dyDescent="0.15">
      <c r="A49" s="340">
        <v>21</v>
      </c>
      <c r="B49" s="341">
        <v>8241</v>
      </c>
      <c r="C49" s="342" t="s">
        <v>31058</v>
      </c>
      <c r="D49" s="423"/>
      <c r="E49" s="424"/>
      <c r="F49" s="423"/>
      <c r="G49" s="424"/>
      <c r="H49" s="861" t="s">
        <v>30845</v>
      </c>
      <c r="I49" s="862"/>
      <c r="J49" s="862"/>
      <c r="K49" s="862"/>
      <c r="L49" s="863"/>
      <c r="M49" s="547"/>
      <c r="N49" s="400"/>
      <c r="O49" s="400"/>
      <c r="P49" s="400"/>
      <c r="Q49" s="400"/>
      <c r="R49" s="400"/>
      <c r="S49" s="400"/>
      <c r="T49" s="429"/>
      <c r="U49" s="901" t="s">
        <v>15626</v>
      </c>
      <c r="V49" s="902"/>
      <c r="W49" s="601"/>
      <c r="X49" s="343"/>
      <c r="Y49" s="454"/>
      <c r="Z49" s="343"/>
      <c r="AA49" s="568"/>
      <c r="AB49" s="396"/>
      <c r="AC49" s="396"/>
      <c r="AD49" s="427"/>
      <c r="AE49" s="427"/>
      <c r="AF49" s="396"/>
      <c r="AG49" s="396"/>
      <c r="AH49" s="396"/>
      <c r="AI49" s="396"/>
      <c r="AJ49" s="396"/>
      <c r="AK49" s="396"/>
      <c r="AL49" s="427"/>
      <c r="AM49" s="964"/>
      <c r="AN49" s="964"/>
      <c r="AO49" s="575"/>
      <c r="AP49" s="575"/>
      <c r="AQ49" s="575"/>
      <c r="AR49" s="592"/>
      <c r="AS49" s="489">
        <f>ROUND(I53*$U$50,0)</f>
        <v>412</v>
      </c>
      <c r="AT49" s="359"/>
    </row>
    <row r="50" spans="1:46" ht="17.100000000000001" customHeight="1" x14ac:dyDescent="0.15">
      <c r="A50" s="340">
        <v>21</v>
      </c>
      <c r="B50" s="341">
        <v>8242</v>
      </c>
      <c r="C50" s="342" t="s">
        <v>31059</v>
      </c>
      <c r="D50" s="423"/>
      <c r="E50" s="424"/>
      <c r="F50" s="423"/>
      <c r="G50" s="424"/>
      <c r="H50" s="864"/>
      <c r="I50" s="865"/>
      <c r="J50" s="865"/>
      <c r="K50" s="865"/>
      <c r="L50" s="866"/>
      <c r="M50" s="494"/>
      <c r="N50" s="151"/>
      <c r="O50" s="151"/>
      <c r="P50" s="151"/>
      <c r="Q50" s="151"/>
      <c r="R50" s="151"/>
      <c r="S50" s="151"/>
      <c r="T50" s="495"/>
      <c r="U50" s="966">
        <f>U26</f>
        <v>0.7</v>
      </c>
      <c r="V50" s="967"/>
      <c r="W50" s="948" t="s">
        <v>30822</v>
      </c>
      <c r="X50" s="949"/>
      <c r="Y50" s="949"/>
      <c r="Z50" s="949"/>
      <c r="AA50" s="949"/>
      <c r="AB50" s="934" t="s">
        <v>30823</v>
      </c>
      <c r="AC50" s="935"/>
      <c r="AD50" s="935"/>
      <c r="AE50" s="935"/>
      <c r="AF50" s="935"/>
      <c r="AG50" s="935"/>
      <c r="AH50" s="935"/>
      <c r="AI50" s="935"/>
      <c r="AJ50" s="935"/>
      <c r="AK50" s="935"/>
      <c r="AL50" s="427" t="s">
        <v>15626</v>
      </c>
      <c r="AM50" s="964">
        <f>$AM$8</f>
        <v>0.7</v>
      </c>
      <c r="AN50" s="964"/>
      <c r="AO50" s="575"/>
      <c r="AP50" s="575"/>
      <c r="AQ50" s="575"/>
      <c r="AR50" s="592"/>
      <c r="AS50" s="489">
        <f>ROUND(ROUND(I53*$U$50,0)*AM50,0)</f>
        <v>288</v>
      </c>
      <c r="AT50" s="359"/>
    </row>
    <row r="51" spans="1:46" ht="17.100000000000001" customHeight="1" x14ac:dyDescent="0.15">
      <c r="A51" s="340">
        <v>21</v>
      </c>
      <c r="B51" s="341">
        <v>8857</v>
      </c>
      <c r="C51" s="342" t="s">
        <v>31060</v>
      </c>
      <c r="D51" s="423"/>
      <c r="E51" s="424"/>
      <c r="F51" s="423"/>
      <c r="G51" s="424"/>
      <c r="H51" s="430"/>
      <c r="I51" s="431"/>
      <c r="J51" s="431"/>
      <c r="K51" s="431"/>
      <c r="L51" s="432"/>
      <c r="M51" s="494"/>
      <c r="N51" s="151"/>
      <c r="O51" s="151"/>
      <c r="P51" s="151"/>
      <c r="Q51" s="151"/>
      <c r="R51" s="151"/>
      <c r="S51" s="151"/>
      <c r="T51" s="495"/>
      <c r="U51" s="503"/>
      <c r="V51" s="607"/>
      <c r="W51" s="948"/>
      <c r="X51" s="949"/>
      <c r="Y51" s="949"/>
      <c r="Z51" s="949"/>
      <c r="AA51" s="949"/>
      <c r="AB51" s="934" t="s">
        <v>30825</v>
      </c>
      <c r="AC51" s="935"/>
      <c r="AD51" s="935"/>
      <c r="AE51" s="935"/>
      <c r="AF51" s="935"/>
      <c r="AG51" s="935"/>
      <c r="AH51" s="935"/>
      <c r="AI51" s="935"/>
      <c r="AJ51" s="935"/>
      <c r="AK51" s="935"/>
      <c r="AL51" s="427" t="s">
        <v>15626</v>
      </c>
      <c r="AM51" s="964">
        <f>$AM$9</f>
        <v>0.5</v>
      </c>
      <c r="AN51" s="964"/>
      <c r="AO51" s="603"/>
      <c r="AP51" s="575"/>
      <c r="AQ51" s="575"/>
      <c r="AR51" s="592"/>
      <c r="AS51" s="489">
        <f>ROUND(ROUND(I53*$U$50,0)*AM51,0)</f>
        <v>206</v>
      </c>
      <c r="AT51" s="359"/>
    </row>
    <row r="52" spans="1:46" ht="17.100000000000001" customHeight="1" x14ac:dyDescent="0.15">
      <c r="A52" s="340">
        <v>21</v>
      </c>
      <c r="B52" s="341">
        <v>8243</v>
      </c>
      <c r="C52" s="342" t="s">
        <v>31061</v>
      </c>
      <c r="D52" s="423"/>
      <c r="E52" s="424"/>
      <c r="F52" s="423"/>
      <c r="G52" s="424"/>
      <c r="H52" s="490"/>
      <c r="L52" s="495"/>
      <c r="M52" s="861" t="s">
        <v>30827</v>
      </c>
      <c r="N52" s="862"/>
      <c r="O52" s="862"/>
      <c r="P52" s="862"/>
      <c r="Q52" s="862"/>
      <c r="R52" s="862"/>
      <c r="S52" s="862"/>
      <c r="T52" s="863"/>
      <c r="U52" s="534"/>
      <c r="V52" s="608"/>
      <c r="W52" s="330"/>
      <c r="X52" s="474"/>
      <c r="Y52" s="474"/>
      <c r="Z52" s="343"/>
      <c r="AA52" s="568"/>
      <c r="AB52" s="396"/>
      <c r="AC52" s="396"/>
      <c r="AD52" s="427"/>
      <c r="AE52" s="427"/>
      <c r="AF52" s="396"/>
      <c r="AG52" s="396"/>
      <c r="AH52" s="396"/>
      <c r="AI52" s="396"/>
      <c r="AJ52" s="396"/>
      <c r="AK52" s="396"/>
      <c r="AL52" s="427"/>
      <c r="AM52" s="964"/>
      <c r="AN52" s="964"/>
      <c r="AO52" s="396"/>
      <c r="AP52" s="575"/>
      <c r="AQ52" s="575"/>
      <c r="AR52" s="592"/>
      <c r="AS52" s="489">
        <f>ROUND(ROUND(I53*S54,0)*$U$50,0)</f>
        <v>398</v>
      </c>
      <c r="AT52" s="359"/>
    </row>
    <row r="53" spans="1:46" ht="17.100000000000001" customHeight="1" x14ac:dyDescent="0.15">
      <c r="A53" s="340">
        <v>21</v>
      </c>
      <c r="B53" s="341">
        <v>8244</v>
      </c>
      <c r="C53" s="342" t="s">
        <v>31062</v>
      </c>
      <c r="D53" s="423"/>
      <c r="E53" s="424"/>
      <c r="F53" s="490"/>
      <c r="H53" s="490"/>
      <c r="I53" s="965">
        <f>'5療養介護(基本)'!I52</f>
        <v>589</v>
      </c>
      <c r="J53" s="965"/>
      <c r="K53" s="152" t="s">
        <v>15624</v>
      </c>
      <c r="L53" s="387"/>
      <c r="M53" s="864"/>
      <c r="N53" s="865"/>
      <c r="O53" s="865"/>
      <c r="P53" s="865"/>
      <c r="Q53" s="865"/>
      <c r="R53" s="865"/>
      <c r="S53" s="865"/>
      <c r="T53" s="866"/>
      <c r="U53" s="490"/>
      <c r="V53" s="387"/>
      <c r="W53" s="948" t="s">
        <v>30822</v>
      </c>
      <c r="X53" s="949"/>
      <c r="Y53" s="949"/>
      <c r="Z53" s="949"/>
      <c r="AA53" s="949"/>
      <c r="AB53" s="934" t="s">
        <v>30823</v>
      </c>
      <c r="AC53" s="935"/>
      <c r="AD53" s="935"/>
      <c r="AE53" s="935"/>
      <c r="AF53" s="935"/>
      <c r="AG53" s="935"/>
      <c r="AH53" s="935"/>
      <c r="AI53" s="935"/>
      <c r="AJ53" s="935"/>
      <c r="AK53" s="935"/>
      <c r="AL53" s="427" t="s">
        <v>15626</v>
      </c>
      <c r="AM53" s="964">
        <f>$AM$8</f>
        <v>0.7</v>
      </c>
      <c r="AN53" s="964"/>
      <c r="AO53" s="396"/>
      <c r="AP53" s="575"/>
      <c r="AQ53" s="575"/>
      <c r="AR53" s="592"/>
      <c r="AS53" s="489">
        <f>ROUND(ROUND(ROUND(I53*S54,0)*$U$50,0)*AM53,0)</f>
        <v>279</v>
      </c>
      <c r="AT53" s="359"/>
    </row>
    <row r="54" spans="1:46" ht="17.100000000000001" customHeight="1" x14ac:dyDescent="0.15">
      <c r="A54" s="340">
        <v>21</v>
      </c>
      <c r="B54" s="341">
        <v>8858</v>
      </c>
      <c r="C54" s="342" t="s">
        <v>31063</v>
      </c>
      <c r="D54" s="469"/>
      <c r="E54" s="470"/>
      <c r="F54" s="598"/>
      <c r="G54" s="578"/>
      <c r="H54" s="324"/>
      <c r="I54" s="417"/>
      <c r="J54" s="417"/>
      <c r="K54" s="417"/>
      <c r="L54" s="578"/>
      <c r="M54" s="324"/>
      <c r="N54" s="325"/>
      <c r="O54" s="417"/>
      <c r="P54" s="417"/>
      <c r="Q54" s="417"/>
      <c r="R54" s="391" t="s">
        <v>15626</v>
      </c>
      <c r="S54" s="936">
        <f>$S$12</f>
        <v>0.96499999999999997</v>
      </c>
      <c r="T54" s="937"/>
      <c r="U54" s="324"/>
      <c r="V54" s="388"/>
      <c r="W54" s="970"/>
      <c r="X54" s="971"/>
      <c r="Y54" s="971"/>
      <c r="Z54" s="971"/>
      <c r="AA54" s="971"/>
      <c r="AB54" s="934" t="s">
        <v>30825</v>
      </c>
      <c r="AC54" s="935"/>
      <c r="AD54" s="935"/>
      <c r="AE54" s="935"/>
      <c r="AF54" s="935"/>
      <c r="AG54" s="935"/>
      <c r="AH54" s="935"/>
      <c r="AI54" s="935"/>
      <c r="AJ54" s="935"/>
      <c r="AK54" s="935"/>
      <c r="AL54" s="455" t="s">
        <v>15626</v>
      </c>
      <c r="AM54" s="938">
        <f>$AM$9</f>
        <v>0.5</v>
      </c>
      <c r="AN54" s="938"/>
      <c r="AO54" s="343"/>
      <c r="AP54" s="568"/>
      <c r="AQ54" s="568"/>
      <c r="AR54" s="599"/>
      <c r="AS54" s="353">
        <f>ROUND(ROUND(ROUND(I53*S54,0)*$U$50,0)*AM54,0)</f>
        <v>199</v>
      </c>
      <c r="AT54" s="350"/>
    </row>
    <row r="55" spans="1:46" ht="17.100000000000001" customHeight="1" x14ac:dyDescent="0.15">
      <c r="A55" s="321">
        <v>21</v>
      </c>
      <c r="B55" s="322">
        <v>8311</v>
      </c>
      <c r="C55" s="323" t="s">
        <v>31064</v>
      </c>
      <c r="D55" s="943" t="s">
        <v>30818</v>
      </c>
      <c r="E55" s="944"/>
      <c r="F55" s="943" t="s">
        <v>30877</v>
      </c>
      <c r="G55" s="944"/>
      <c r="H55" s="864" t="s">
        <v>30820</v>
      </c>
      <c r="I55" s="865"/>
      <c r="J55" s="865"/>
      <c r="K55" s="865"/>
      <c r="L55" s="866"/>
      <c r="M55" s="490"/>
      <c r="N55" s="151"/>
      <c r="O55" s="151"/>
      <c r="P55" s="151"/>
      <c r="Q55" s="151"/>
      <c r="R55" s="151"/>
      <c r="S55" s="151"/>
      <c r="T55" s="495"/>
      <c r="U55" s="943" t="s">
        <v>31016</v>
      </c>
      <c r="V55" s="969"/>
      <c r="W55" s="598"/>
      <c r="X55" s="325"/>
      <c r="Y55" s="449"/>
      <c r="Z55" s="325"/>
      <c r="AA55" s="470"/>
      <c r="AB55" s="152"/>
      <c r="AC55" s="152"/>
      <c r="AD55" s="548"/>
      <c r="AE55" s="548"/>
      <c r="AF55" s="152"/>
      <c r="AG55" s="152"/>
      <c r="AH55" s="152"/>
      <c r="AI55" s="152"/>
      <c r="AJ55" s="152"/>
      <c r="AK55" s="152"/>
      <c r="AL55" s="548"/>
      <c r="AM55" s="928"/>
      <c r="AN55" s="928"/>
      <c r="AO55" s="424"/>
      <c r="AP55" s="424"/>
      <c r="AQ55" s="424"/>
      <c r="AR55" s="425"/>
      <c r="AS55" s="488">
        <f>ROUND(I59*$U$74,0)</f>
        <v>389</v>
      </c>
      <c r="AT55" s="339" t="s">
        <v>30681</v>
      </c>
    </row>
    <row r="56" spans="1:46" ht="17.100000000000001" customHeight="1" x14ac:dyDescent="0.15">
      <c r="A56" s="340">
        <v>21</v>
      </c>
      <c r="B56" s="341">
        <v>8312</v>
      </c>
      <c r="C56" s="342" t="s">
        <v>31065</v>
      </c>
      <c r="D56" s="943"/>
      <c r="E56" s="944"/>
      <c r="F56" s="943"/>
      <c r="G56" s="944"/>
      <c r="H56" s="864"/>
      <c r="I56" s="865"/>
      <c r="J56" s="865"/>
      <c r="K56" s="865"/>
      <c r="L56" s="866"/>
      <c r="M56" s="494"/>
      <c r="N56" s="151"/>
      <c r="O56" s="151"/>
      <c r="P56" s="151"/>
      <c r="Q56" s="151"/>
      <c r="R56" s="151"/>
      <c r="S56" s="151"/>
      <c r="T56" s="495"/>
      <c r="U56" s="943"/>
      <c r="V56" s="944"/>
      <c r="W56" s="948" t="s">
        <v>30822</v>
      </c>
      <c r="X56" s="949"/>
      <c r="Y56" s="949"/>
      <c r="Z56" s="949"/>
      <c r="AA56" s="949"/>
      <c r="AB56" s="934" t="s">
        <v>30823</v>
      </c>
      <c r="AC56" s="935"/>
      <c r="AD56" s="935"/>
      <c r="AE56" s="935"/>
      <c r="AF56" s="935"/>
      <c r="AG56" s="935"/>
      <c r="AH56" s="935"/>
      <c r="AI56" s="935"/>
      <c r="AJ56" s="935"/>
      <c r="AK56" s="935"/>
      <c r="AL56" s="427" t="s">
        <v>15626</v>
      </c>
      <c r="AM56" s="964">
        <f>$AM$8</f>
        <v>0.7</v>
      </c>
      <c r="AN56" s="964"/>
      <c r="AO56" s="575"/>
      <c r="AP56" s="575"/>
      <c r="AQ56" s="575"/>
      <c r="AR56" s="592"/>
      <c r="AS56" s="489">
        <f>ROUND(ROUND(I59*$U$74,0)*AM56,0)</f>
        <v>272</v>
      </c>
      <c r="AT56" s="359"/>
    </row>
    <row r="57" spans="1:46" ht="17.100000000000001" customHeight="1" x14ac:dyDescent="0.15">
      <c r="A57" s="340">
        <v>21</v>
      </c>
      <c r="B57" s="341">
        <v>8865</v>
      </c>
      <c r="C57" s="342" t="s">
        <v>31066</v>
      </c>
      <c r="D57" s="943"/>
      <c r="E57" s="944"/>
      <c r="F57" s="943"/>
      <c r="G57" s="944"/>
      <c r="H57" s="430"/>
      <c r="I57" s="431"/>
      <c r="J57" s="431"/>
      <c r="K57" s="431"/>
      <c r="L57" s="432"/>
      <c r="M57" s="494"/>
      <c r="N57" s="151"/>
      <c r="O57" s="151"/>
      <c r="P57" s="151"/>
      <c r="Q57" s="151"/>
      <c r="R57" s="151"/>
      <c r="S57" s="151"/>
      <c r="T57" s="495"/>
      <c r="U57" s="943"/>
      <c r="V57" s="944"/>
      <c r="W57" s="948"/>
      <c r="X57" s="949"/>
      <c r="Y57" s="949"/>
      <c r="Z57" s="949"/>
      <c r="AA57" s="949"/>
      <c r="AB57" s="934" t="s">
        <v>30825</v>
      </c>
      <c r="AC57" s="935"/>
      <c r="AD57" s="935"/>
      <c r="AE57" s="935"/>
      <c r="AF57" s="935"/>
      <c r="AG57" s="935"/>
      <c r="AH57" s="935"/>
      <c r="AI57" s="935"/>
      <c r="AJ57" s="935"/>
      <c r="AK57" s="935"/>
      <c r="AL57" s="427" t="s">
        <v>15626</v>
      </c>
      <c r="AM57" s="964">
        <f>$AM$9</f>
        <v>0.5</v>
      </c>
      <c r="AN57" s="964"/>
      <c r="AO57" s="603"/>
      <c r="AP57" s="575"/>
      <c r="AQ57" s="575"/>
      <c r="AR57" s="592"/>
      <c r="AS57" s="489">
        <f>ROUND(ROUND(I59*$U$74,0)*AM57,0)</f>
        <v>195</v>
      </c>
      <c r="AT57" s="359"/>
    </row>
    <row r="58" spans="1:46" ht="17.100000000000001" customHeight="1" x14ac:dyDescent="0.15">
      <c r="A58" s="340">
        <v>21</v>
      </c>
      <c r="B58" s="341">
        <v>8313</v>
      </c>
      <c r="C58" s="342" t="s">
        <v>31067</v>
      </c>
      <c r="D58" s="943"/>
      <c r="E58" s="944"/>
      <c r="F58" s="943"/>
      <c r="G58" s="944"/>
      <c r="H58" s="490"/>
      <c r="L58" s="495"/>
      <c r="M58" s="861" t="s">
        <v>30827</v>
      </c>
      <c r="N58" s="862"/>
      <c r="O58" s="862"/>
      <c r="P58" s="862"/>
      <c r="Q58" s="862"/>
      <c r="R58" s="862"/>
      <c r="S58" s="862"/>
      <c r="T58" s="863"/>
      <c r="U58" s="943"/>
      <c r="V58" s="969"/>
      <c r="W58" s="330"/>
      <c r="X58" s="474"/>
      <c r="Y58" s="474"/>
      <c r="Z58" s="343"/>
      <c r="AA58" s="568"/>
      <c r="AB58" s="396"/>
      <c r="AC58" s="396"/>
      <c r="AD58" s="427"/>
      <c r="AE58" s="427"/>
      <c r="AF58" s="396"/>
      <c r="AG58" s="396"/>
      <c r="AH58" s="396"/>
      <c r="AI58" s="396"/>
      <c r="AJ58" s="396"/>
      <c r="AK58" s="396"/>
      <c r="AL58" s="427"/>
      <c r="AM58" s="964"/>
      <c r="AN58" s="964"/>
      <c r="AO58" s="396"/>
      <c r="AP58" s="575"/>
      <c r="AQ58" s="575"/>
      <c r="AR58" s="592"/>
      <c r="AS58" s="489">
        <f>ROUND(ROUND(I59*S60,0)*$U$74,0)</f>
        <v>376</v>
      </c>
      <c r="AT58" s="359"/>
    </row>
    <row r="59" spans="1:46" ht="17.100000000000001" customHeight="1" x14ac:dyDescent="0.15">
      <c r="A59" s="340">
        <v>21</v>
      </c>
      <c r="B59" s="341">
        <v>8314</v>
      </c>
      <c r="C59" s="342" t="s">
        <v>31068</v>
      </c>
      <c r="D59" s="943"/>
      <c r="E59" s="944"/>
      <c r="F59" s="943"/>
      <c r="G59" s="944"/>
      <c r="H59" s="490"/>
      <c r="I59" s="965">
        <f>'5療養介護(基本)'!I58</f>
        <v>556</v>
      </c>
      <c r="J59" s="965"/>
      <c r="K59" s="152" t="s">
        <v>15624</v>
      </c>
      <c r="L59" s="387"/>
      <c r="M59" s="864"/>
      <c r="N59" s="865"/>
      <c r="O59" s="865"/>
      <c r="P59" s="865"/>
      <c r="Q59" s="865"/>
      <c r="R59" s="865"/>
      <c r="S59" s="865"/>
      <c r="T59" s="866"/>
      <c r="U59" s="943"/>
      <c r="V59" s="944"/>
      <c r="W59" s="948" t="s">
        <v>30822</v>
      </c>
      <c r="X59" s="949"/>
      <c r="Y59" s="949"/>
      <c r="Z59" s="949"/>
      <c r="AA59" s="949"/>
      <c r="AB59" s="934" t="s">
        <v>30823</v>
      </c>
      <c r="AC59" s="935"/>
      <c r="AD59" s="935"/>
      <c r="AE59" s="935"/>
      <c r="AF59" s="935"/>
      <c r="AG59" s="935"/>
      <c r="AH59" s="935"/>
      <c r="AI59" s="935"/>
      <c r="AJ59" s="935"/>
      <c r="AK59" s="935"/>
      <c r="AL59" s="427" t="s">
        <v>15626</v>
      </c>
      <c r="AM59" s="964">
        <f>$AM$8</f>
        <v>0.7</v>
      </c>
      <c r="AN59" s="964"/>
      <c r="AO59" s="396"/>
      <c r="AP59" s="575"/>
      <c r="AQ59" s="575"/>
      <c r="AR59" s="592"/>
      <c r="AS59" s="489">
        <f>ROUND(ROUND(ROUND(I59*S60,0)*$U$74,0)*AM59,0)</f>
        <v>263</v>
      </c>
      <c r="AT59" s="359"/>
    </row>
    <row r="60" spans="1:46" ht="17.100000000000001" customHeight="1" x14ac:dyDescent="0.15">
      <c r="A60" s="340">
        <v>21</v>
      </c>
      <c r="B60" s="341">
        <v>8866</v>
      </c>
      <c r="C60" s="342" t="s">
        <v>31069</v>
      </c>
      <c r="D60" s="943"/>
      <c r="E60" s="944"/>
      <c r="F60" s="943"/>
      <c r="G60" s="944"/>
      <c r="H60" s="324"/>
      <c r="I60" s="417"/>
      <c r="J60" s="417"/>
      <c r="K60" s="417"/>
      <c r="L60" s="578"/>
      <c r="M60" s="324"/>
      <c r="N60" s="325"/>
      <c r="O60" s="417"/>
      <c r="P60" s="417"/>
      <c r="Q60" s="417"/>
      <c r="R60" s="391" t="s">
        <v>15626</v>
      </c>
      <c r="S60" s="936">
        <f>$S$12</f>
        <v>0.96499999999999997</v>
      </c>
      <c r="T60" s="937"/>
      <c r="U60" s="943"/>
      <c r="V60" s="944"/>
      <c r="W60" s="948"/>
      <c r="X60" s="949"/>
      <c r="Y60" s="949"/>
      <c r="Z60" s="949"/>
      <c r="AA60" s="949"/>
      <c r="AB60" s="934" t="s">
        <v>30825</v>
      </c>
      <c r="AC60" s="935"/>
      <c r="AD60" s="935"/>
      <c r="AE60" s="935"/>
      <c r="AF60" s="935"/>
      <c r="AG60" s="935"/>
      <c r="AH60" s="935"/>
      <c r="AI60" s="935"/>
      <c r="AJ60" s="935"/>
      <c r="AK60" s="935"/>
      <c r="AL60" s="427" t="s">
        <v>15626</v>
      </c>
      <c r="AM60" s="964">
        <f>$AM$9</f>
        <v>0.5</v>
      </c>
      <c r="AN60" s="964"/>
      <c r="AO60" s="343"/>
      <c r="AP60" s="568"/>
      <c r="AQ60" s="568"/>
      <c r="AR60" s="599"/>
      <c r="AS60" s="489">
        <f>ROUND(ROUND(ROUND(I59*S60,0)*$U$74,0)*AM60,0)</f>
        <v>188</v>
      </c>
      <c r="AT60" s="359"/>
    </row>
    <row r="61" spans="1:46" ht="17.100000000000001" customHeight="1" x14ac:dyDescent="0.15">
      <c r="A61" s="340">
        <v>21</v>
      </c>
      <c r="B61" s="341">
        <v>8321</v>
      </c>
      <c r="C61" s="342" t="s">
        <v>31070</v>
      </c>
      <c r="D61" s="943"/>
      <c r="E61" s="944"/>
      <c r="F61" s="943"/>
      <c r="G61" s="944"/>
      <c r="H61" s="864" t="s">
        <v>30831</v>
      </c>
      <c r="I61" s="865"/>
      <c r="J61" s="865"/>
      <c r="K61" s="865"/>
      <c r="L61" s="866"/>
      <c r="M61" s="547"/>
      <c r="N61" s="400"/>
      <c r="O61" s="400"/>
      <c r="P61" s="400"/>
      <c r="Q61" s="400"/>
      <c r="R61" s="400"/>
      <c r="S61" s="400"/>
      <c r="T61" s="429"/>
      <c r="U61" s="604"/>
      <c r="V61" s="600"/>
      <c r="W61" s="601"/>
      <c r="X61" s="343"/>
      <c r="Y61" s="454"/>
      <c r="Z61" s="343"/>
      <c r="AA61" s="568"/>
      <c r="AB61" s="396"/>
      <c r="AC61" s="396"/>
      <c r="AD61" s="427"/>
      <c r="AE61" s="427"/>
      <c r="AF61" s="396"/>
      <c r="AG61" s="396"/>
      <c r="AH61" s="396"/>
      <c r="AI61" s="396"/>
      <c r="AJ61" s="396"/>
      <c r="AK61" s="396"/>
      <c r="AL61" s="427"/>
      <c r="AM61" s="964"/>
      <c r="AN61" s="964"/>
      <c r="AO61" s="575"/>
      <c r="AP61" s="575"/>
      <c r="AQ61" s="575"/>
      <c r="AR61" s="592"/>
      <c r="AS61" s="489">
        <f>ROUND(I65*$U$74,0)</f>
        <v>369</v>
      </c>
      <c r="AT61" s="359"/>
    </row>
    <row r="62" spans="1:46" ht="17.100000000000001" customHeight="1" x14ac:dyDescent="0.15">
      <c r="A62" s="340">
        <v>21</v>
      </c>
      <c r="B62" s="341">
        <v>8322</v>
      </c>
      <c r="C62" s="342" t="s">
        <v>31071</v>
      </c>
      <c r="D62" s="943"/>
      <c r="E62" s="944"/>
      <c r="F62" s="943"/>
      <c r="G62" s="944"/>
      <c r="H62" s="864"/>
      <c r="I62" s="865"/>
      <c r="J62" s="865"/>
      <c r="K62" s="865"/>
      <c r="L62" s="866"/>
      <c r="M62" s="494"/>
      <c r="N62" s="151"/>
      <c r="O62" s="151"/>
      <c r="P62" s="151"/>
      <c r="Q62" s="151"/>
      <c r="R62" s="151"/>
      <c r="S62" s="151"/>
      <c r="T62" s="495"/>
      <c r="U62" s="604"/>
      <c r="V62" s="602"/>
      <c r="W62" s="948" t="s">
        <v>30822</v>
      </c>
      <c r="X62" s="949"/>
      <c r="Y62" s="949"/>
      <c r="Z62" s="949"/>
      <c r="AA62" s="949"/>
      <c r="AB62" s="934" t="s">
        <v>30823</v>
      </c>
      <c r="AC62" s="935"/>
      <c r="AD62" s="935"/>
      <c r="AE62" s="935"/>
      <c r="AF62" s="935"/>
      <c r="AG62" s="935"/>
      <c r="AH62" s="935"/>
      <c r="AI62" s="935"/>
      <c r="AJ62" s="935"/>
      <c r="AK62" s="935"/>
      <c r="AL62" s="427" t="s">
        <v>15626</v>
      </c>
      <c r="AM62" s="964">
        <f>$AM$8</f>
        <v>0.7</v>
      </c>
      <c r="AN62" s="964"/>
      <c r="AO62" s="575"/>
      <c r="AP62" s="575"/>
      <c r="AQ62" s="575"/>
      <c r="AR62" s="592"/>
      <c r="AS62" s="489">
        <f>ROUND(ROUND(I65*$U$74,0)*AM62,0)</f>
        <v>258</v>
      </c>
      <c r="AT62" s="359"/>
    </row>
    <row r="63" spans="1:46" ht="17.100000000000001" customHeight="1" x14ac:dyDescent="0.15">
      <c r="A63" s="340">
        <v>21</v>
      </c>
      <c r="B63" s="341">
        <v>8873</v>
      </c>
      <c r="C63" s="342" t="s">
        <v>31072</v>
      </c>
      <c r="D63" s="943"/>
      <c r="E63" s="944"/>
      <c r="F63" s="943"/>
      <c r="G63" s="944"/>
      <c r="H63" s="430"/>
      <c r="I63" s="431"/>
      <c r="J63" s="431"/>
      <c r="K63" s="431"/>
      <c r="L63" s="432"/>
      <c r="M63" s="494"/>
      <c r="N63" s="151"/>
      <c r="O63" s="151"/>
      <c r="P63" s="151"/>
      <c r="Q63" s="151"/>
      <c r="R63" s="151"/>
      <c r="S63" s="151"/>
      <c r="T63" s="495"/>
      <c r="U63" s="604"/>
      <c r="V63" s="602"/>
      <c r="W63" s="948"/>
      <c r="X63" s="949"/>
      <c r="Y63" s="949"/>
      <c r="Z63" s="949"/>
      <c r="AA63" s="949"/>
      <c r="AB63" s="934" t="s">
        <v>30825</v>
      </c>
      <c r="AC63" s="935"/>
      <c r="AD63" s="935"/>
      <c r="AE63" s="935"/>
      <c r="AF63" s="935"/>
      <c r="AG63" s="935"/>
      <c r="AH63" s="935"/>
      <c r="AI63" s="935"/>
      <c r="AJ63" s="935"/>
      <c r="AK63" s="935"/>
      <c r="AL63" s="427" t="s">
        <v>15626</v>
      </c>
      <c r="AM63" s="964">
        <f>$AM$9</f>
        <v>0.5</v>
      </c>
      <c r="AN63" s="964"/>
      <c r="AO63" s="603"/>
      <c r="AP63" s="575"/>
      <c r="AQ63" s="575"/>
      <c r="AR63" s="592"/>
      <c r="AS63" s="489">
        <f>ROUND(ROUND(I65*$U$74,0)*AM63,0)</f>
        <v>185</v>
      </c>
      <c r="AT63" s="359"/>
    </row>
    <row r="64" spans="1:46" ht="17.100000000000001" customHeight="1" x14ac:dyDescent="0.15">
      <c r="A64" s="340">
        <v>21</v>
      </c>
      <c r="B64" s="341">
        <v>8323</v>
      </c>
      <c r="C64" s="342" t="s">
        <v>31073</v>
      </c>
      <c r="D64" s="943"/>
      <c r="E64" s="944"/>
      <c r="F64" s="943"/>
      <c r="G64" s="944"/>
      <c r="H64" s="490"/>
      <c r="J64" s="151"/>
      <c r="L64" s="495"/>
      <c r="M64" s="861" t="s">
        <v>30827</v>
      </c>
      <c r="N64" s="862"/>
      <c r="O64" s="862"/>
      <c r="P64" s="862"/>
      <c r="Q64" s="862"/>
      <c r="R64" s="862"/>
      <c r="S64" s="862"/>
      <c r="T64" s="863"/>
      <c r="U64" s="604"/>
      <c r="V64" s="600"/>
      <c r="W64" s="330"/>
      <c r="X64" s="474"/>
      <c r="Y64" s="474"/>
      <c r="Z64" s="343"/>
      <c r="AA64" s="568"/>
      <c r="AB64" s="396"/>
      <c r="AC64" s="396"/>
      <c r="AD64" s="427"/>
      <c r="AE64" s="427"/>
      <c r="AF64" s="396"/>
      <c r="AG64" s="396"/>
      <c r="AH64" s="396"/>
      <c r="AI64" s="396"/>
      <c r="AJ64" s="396"/>
      <c r="AK64" s="396"/>
      <c r="AL64" s="427"/>
      <c r="AM64" s="964"/>
      <c r="AN64" s="964"/>
      <c r="AO64" s="396"/>
      <c r="AP64" s="575"/>
      <c r="AQ64" s="575"/>
      <c r="AR64" s="592"/>
      <c r="AS64" s="489">
        <f>ROUND(ROUND(I65*S66,0)*$U$74,0)</f>
        <v>356</v>
      </c>
      <c r="AT64" s="359"/>
    </row>
    <row r="65" spans="1:46" ht="17.100000000000001" customHeight="1" x14ac:dyDescent="0.15">
      <c r="A65" s="340">
        <v>21</v>
      </c>
      <c r="B65" s="341">
        <v>8324</v>
      </c>
      <c r="C65" s="342" t="s">
        <v>31074</v>
      </c>
      <c r="D65" s="943"/>
      <c r="E65" s="944"/>
      <c r="F65" s="943"/>
      <c r="G65" s="944"/>
      <c r="H65" s="490"/>
      <c r="I65" s="965">
        <f>'5療養介護(基本)'!I64</f>
        <v>527</v>
      </c>
      <c r="J65" s="965"/>
      <c r="K65" s="152" t="s">
        <v>15624</v>
      </c>
      <c r="L65" s="495"/>
      <c r="M65" s="864"/>
      <c r="N65" s="865"/>
      <c r="O65" s="865"/>
      <c r="P65" s="865"/>
      <c r="Q65" s="865"/>
      <c r="R65" s="865"/>
      <c r="S65" s="865"/>
      <c r="T65" s="866"/>
      <c r="U65" s="604"/>
      <c r="V65" s="602"/>
      <c r="W65" s="948" t="s">
        <v>30822</v>
      </c>
      <c r="X65" s="949"/>
      <c r="Y65" s="949"/>
      <c r="Z65" s="949"/>
      <c r="AA65" s="949"/>
      <c r="AB65" s="934" t="s">
        <v>30823</v>
      </c>
      <c r="AC65" s="935"/>
      <c r="AD65" s="935"/>
      <c r="AE65" s="935"/>
      <c r="AF65" s="935"/>
      <c r="AG65" s="935"/>
      <c r="AH65" s="935"/>
      <c r="AI65" s="935"/>
      <c r="AJ65" s="935"/>
      <c r="AK65" s="935"/>
      <c r="AL65" s="427" t="s">
        <v>15626</v>
      </c>
      <c r="AM65" s="964">
        <f>$AM$8</f>
        <v>0.7</v>
      </c>
      <c r="AN65" s="964"/>
      <c r="AO65" s="396"/>
      <c r="AP65" s="575"/>
      <c r="AQ65" s="575"/>
      <c r="AR65" s="592"/>
      <c r="AS65" s="489">
        <f>ROUND(ROUND(ROUND(I65*S66,0)*$U$74,0)*AM65,0)</f>
        <v>249</v>
      </c>
      <c r="AT65" s="359"/>
    </row>
    <row r="66" spans="1:46" ht="17.100000000000001" customHeight="1" x14ac:dyDescent="0.15">
      <c r="A66" s="340">
        <v>21</v>
      </c>
      <c r="B66" s="341">
        <v>8874</v>
      </c>
      <c r="C66" s="342" t="s">
        <v>31075</v>
      </c>
      <c r="D66" s="943"/>
      <c r="E66" s="944"/>
      <c r="F66" s="943"/>
      <c r="G66" s="944"/>
      <c r="H66" s="494"/>
      <c r="I66" s="151"/>
      <c r="J66" s="151"/>
      <c r="L66" s="495"/>
      <c r="M66" s="324"/>
      <c r="N66" s="325"/>
      <c r="O66" s="417"/>
      <c r="P66" s="417"/>
      <c r="Q66" s="417"/>
      <c r="R66" s="391" t="s">
        <v>15626</v>
      </c>
      <c r="S66" s="936">
        <f>$S$12</f>
        <v>0.96499999999999997</v>
      </c>
      <c r="T66" s="937"/>
      <c r="U66" s="604"/>
      <c r="V66" s="602"/>
      <c r="W66" s="948"/>
      <c r="X66" s="949"/>
      <c r="Y66" s="949"/>
      <c r="Z66" s="949"/>
      <c r="AA66" s="949"/>
      <c r="AB66" s="934" t="s">
        <v>30825</v>
      </c>
      <c r="AC66" s="935"/>
      <c r="AD66" s="935"/>
      <c r="AE66" s="935"/>
      <c r="AF66" s="935"/>
      <c r="AG66" s="935"/>
      <c r="AH66" s="935"/>
      <c r="AI66" s="935"/>
      <c r="AJ66" s="935"/>
      <c r="AK66" s="935"/>
      <c r="AL66" s="427" t="s">
        <v>15626</v>
      </c>
      <c r="AM66" s="964">
        <f>$AM$9</f>
        <v>0.5</v>
      </c>
      <c r="AN66" s="964"/>
      <c r="AO66" s="343"/>
      <c r="AP66" s="568"/>
      <c r="AQ66" s="568"/>
      <c r="AR66" s="599"/>
      <c r="AS66" s="489">
        <f>ROUND(ROUND(ROUND(I65*S66,0)*$U$74,0)*AM66,0)</f>
        <v>178</v>
      </c>
      <c r="AT66" s="359"/>
    </row>
    <row r="67" spans="1:46" ht="17.100000000000001" customHeight="1" x14ac:dyDescent="0.15">
      <c r="A67" s="340">
        <v>21</v>
      </c>
      <c r="B67" s="341">
        <v>8331</v>
      </c>
      <c r="C67" s="342" t="s">
        <v>31076</v>
      </c>
      <c r="D67" s="423"/>
      <c r="E67" s="424"/>
      <c r="F67" s="604"/>
      <c r="G67" s="600"/>
      <c r="H67" s="861" t="s">
        <v>30838</v>
      </c>
      <c r="I67" s="862"/>
      <c r="J67" s="862"/>
      <c r="K67" s="862"/>
      <c r="L67" s="863"/>
      <c r="M67" s="547"/>
      <c r="N67" s="400"/>
      <c r="O67" s="400"/>
      <c r="P67" s="400"/>
      <c r="Q67" s="400"/>
      <c r="R67" s="400"/>
      <c r="S67" s="400"/>
      <c r="T67" s="429"/>
      <c r="U67" s="604"/>
      <c r="V67" s="600"/>
      <c r="W67" s="601"/>
      <c r="X67" s="343"/>
      <c r="Y67" s="454"/>
      <c r="Z67" s="343"/>
      <c r="AA67" s="568"/>
      <c r="AB67" s="396"/>
      <c r="AC67" s="396"/>
      <c r="AD67" s="427"/>
      <c r="AE67" s="427"/>
      <c r="AF67" s="396"/>
      <c r="AG67" s="396"/>
      <c r="AH67" s="396"/>
      <c r="AI67" s="396"/>
      <c r="AJ67" s="396"/>
      <c r="AK67" s="396"/>
      <c r="AL67" s="427"/>
      <c r="AM67" s="964"/>
      <c r="AN67" s="964"/>
      <c r="AO67" s="575"/>
      <c r="AP67" s="575"/>
      <c r="AQ67" s="575"/>
      <c r="AR67" s="592"/>
      <c r="AS67" s="489">
        <f>ROUND(I71*$U$74,0)</f>
        <v>348</v>
      </c>
      <c r="AT67" s="359"/>
    </row>
    <row r="68" spans="1:46" ht="17.100000000000001" customHeight="1" x14ac:dyDescent="0.15">
      <c r="A68" s="340">
        <v>21</v>
      </c>
      <c r="B68" s="341">
        <v>8332</v>
      </c>
      <c r="C68" s="342" t="s">
        <v>31077</v>
      </c>
      <c r="D68" s="423"/>
      <c r="E68" s="424"/>
      <c r="F68" s="604"/>
      <c r="G68" s="600"/>
      <c r="H68" s="864"/>
      <c r="I68" s="865"/>
      <c r="J68" s="865"/>
      <c r="K68" s="865"/>
      <c r="L68" s="866"/>
      <c r="M68" s="494"/>
      <c r="N68" s="151"/>
      <c r="O68" s="151"/>
      <c r="P68" s="151"/>
      <c r="Q68" s="151"/>
      <c r="R68" s="151"/>
      <c r="S68" s="151"/>
      <c r="T68" s="495"/>
      <c r="U68" s="604"/>
      <c r="V68" s="602"/>
      <c r="W68" s="948" t="s">
        <v>30822</v>
      </c>
      <c r="X68" s="949"/>
      <c r="Y68" s="949"/>
      <c r="Z68" s="949"/>
      <c r="AA68" s="949"/>
      <c r="AB68" s="934" t="s">
        <v>30823</v>
      </c>
      <c r="AC68" s="935"/>
      <c r="AD68" s="935"/>
      <c r="AE68" s="935"/>
      <c r="AF68" s="935"/>
      <c r="AG68" s="935"/>
      <c r="AH68" s="935"/>
      <c r="AI68" s="935"/>
      <c r="AJ68" s="935"/>
      <c r="AK68" s="935"/>
      <c r="AL68" s="427" t="s">
        <v>15626</v>
      </c>
      <c r="AM68" s="964">
        <f>$AM$8</f>
        <v>0.7</v>
      </c>
      <c r="AN68" s="964"/>
      <c r="AO68" s="575"/>
      <c r="AP68" s="575"/>
      <c r="AQ68" s="575"/>
      <c r="AR68" s="592"/>
      <c r="AS68" s="489">
        <f>ROUND(ROUND(I71*$U$74,0)*AM68,0)</f>
        <v>244</v>
      </c>
      <c r="AT68" s="359"/>
    </row>
    <row r="69" spans="1:46" ht="17.100000000000001" customHeight="1" x14ac:dyDescent="0.15">
      <c r="A69" s="340">
        <v>21</v>
      </c>
      <c r="B69" s="341">
        <v>8881</v>
      </c>
      <c r="C69" s="342" t="s">
        <v>31078</v>
      </c>
      <c r="D69" s="423"/>
      <c r="E69" s="424"/>
      <c r="F69" s="604"/>
      <c r="G69" s="600"/>
      <c r="H69" s="430"/>
      <c r="I69" s="431"/>
      <c r="J69" s="431"/>
      <c r="K69" s="431"/>
      <c r="L69" s="432"/>
      <c r="M69" s="494"/>
      <c r="N69" s="151"/>
      <c r="O69" s="151"/>
      <c r="P69" s="151"/>
      <c r="Q69" s="151"/>
      <c r="R69" s="151"/>
      <c r="S69" s="151"/>
      <c r="T69" s="495"/>
      <c r="U69" s="604"/>
      <c r="V69" s="602"/>
      <c r="W69" s="948"/>
      <c r="X69" s="949"/>
      <c r="Y69" s="949"/>
      <c r="Z69" s="949"/>
      <c r="AA69" s="949"/>
      <c r="AB69" s="934" t="s">
        <v>30825</v>
      </c>
      <c r="AC69" s="935"/>
      <c r="AD69" s="935"/>
      <c r="AE69" s="935"/>
      <c r="AF69" s="935"/>
      <c r="AG69" s="935"/>
      <c r="AH69" s="935"/>
      <c r="AI69" s="935"/>
      <c r="AJ69" s="935"/>
      <c r="AK69" s="935"/>
      <c r="AL69" s="427" t="s">
        <v>15626</v>
      </c>
      <c r="AM69" s="964">
        <f>$AM$9</f>
        <v>0.5</v>
      </c>
      <c r="AN69" s="964"/>
      <c r="AO69" s="603"/>
      <c r="AP69" s="575"/>
      <c r="AQ69" s="575"/>
      <c r="AR69" s="592"/>
      <c r="AS69" s="489">
        <f>ROUND(ROUND(I71*$U$74,0)*AM69,0)</f>
        <v>174</v>
      </c>
      <c r="AT69" s="359"/>
    </row>
    <row r="70" spans="1:46" ht="17.100000000000001" customHeight="1" x14ac:dyDescent="0.15">
      <c r="A70" s="340">
        <v>21</v>
      </c>
      <c r="B70" s="341">
        <v>8333</v>
      </c>
      <c r="C70" s="342" t="s">
        <v>31079</v>
      </c>
      <c r="D70" s="423"/>
      <c r="E70" s="424"/>
      <c r="F70" s="604"/>
      <c r="G70" s="600"/>
      <c r="H70" s="490"/>
      <c r="L70" s="495"/>
      <c r="M70" s="861" t="s">
        <v>30827</v>
      </c>
      <c r="N70" s="862"/>
      <c r="O70" s="862"/>
      <c r="P70" s="862"/>
      <c r="Q70" s="862"/>
      <c r="R70" s="862"/>
      <c r="S70" s="862"/>
      <c r="T70" s="863"/>
      <c r="U70" s="604"/>
      <c r="V70" s="600"/>
      <c r="W70" s="330"/>
      <c r="X70" s="474"/>
      <c r="Y70" s="474"/>
      <c r="Z70" s="343"/>
      <c r="AA70" s="568"/>
      <c r="AB70" s="396"/>
      <c r="AC70" s="396"/>
      <c r="AD70" s="427"/>
      <c r="AE70" s="427"/>
      <c r="AF70" s="396"/>
      <c r="AG70" s="396"/>
      <c r="AH70" s="396"/>
      <c r="AI70" s="396"/>
      <c r="AJ70" s="396"/>
      <c r="AK70" s="396"/>
      <c r="AL70" s="427"/>
      <c r="AM70" s="964"/>
      <c r="AN70" s="964"/>
      <c r="AO70" s="396"/>
      <c r="AP70" s="575"/>
      <c r="AQ70" s="575"/>
      <c r="AR70" s="592"/>
      <c r="AS70" s="489">
        <f>ROUND(ROUND(I71*S72,0)*$U$74,0)</f>
        <v>336</v>
      </c>
      <c r="AT70" s="359"/>
    </row>
    <row r="71" spans="1:46" ht="17.100000000000001" customHeight="1" x14ac:dyDescent="0.15">
      <c r="A71" s="340">
        <v>21</v>
      </c>
      <c r="B71" s="341">
        <v>8334</v>
      </c>
      <c r="C71" s="342" t="s">
        <v>31080</v>
      </c>
      <c r="D71" s="423"/>
      <c r="E71" s="424"/>
      <c r="F71" s="604"/>
      <c r="G71" s="600"/>
      <c r="H71" s="490"/>
      <c r="I71" s="965">
        <f>'5療養介護(基本)'!I70</f>
        <v>497</v>
      </c>
      <c r="J71" s="965"/>
      <c r="K71" s="152" t="s">
        <v>15624</v>
      </c>
      <c r="L71" s="387"/>
      <c r="M71" s="864"/>
      <c r="N71" s="865"/>
      <c r="O71" s="865"/>
      <c r="P71" s="865"/>
      <c r="Q71" s="865"/>
      <c r="R71" s="865"/>
      <c r="S71" s="865"/>
      <c r="T71" s="866"/>
      <c r="U71" s="604"/>
      <c r="V71" s="602"/>
      <c r="W71" s="948" t="s">
        <v>30822</v>
      </c>
      <c r="X71" s="949"/>
      <c r="Y71" s="949"/>
      <c r="Z71" s="949"/>
      <c r="AA71" s="949"/>
      <c r="AB71" s="934" t="s">
        <v>30823</v>
      </c>
      <c r="AC71" s="935"/>
      <c r="AD71" s="935"/>
      <c r="AE71" s="935"/>
      <c r="AF71" s="935"/>
      <c r="AG71" s="935"/>
      <c r="AH71" s="935"/>
      <c r="AI71" s="935"/>
      <c r="AJ71" s="935"/>
      <c r="AK71" s="935"/>
      <c r="AL71" s="427" t="s">
        <v>15626</v>
      </c>
      <c r="AM71" s="964">
        <f>$AM$8</f>
        <v>0.7</v>
      </c>
      <c r="AN71" s="964"/>
      <c r="AO71" s="396"/>
      <c r="AP71" s="575"/>
      <c r="AQ71" s="575"/>
      <c r="AR71" s="592"/>
      <c r="AS71" s="489">
        <f>ROUND(ROUND(ROUND(I71*S72,0)*$U$74,0)*AM71,0)</f>
        <v>235</v>
      </c>
      <c r="AT71" s="359"/>
    </row>
    <row r="72" spans="1:46" ht="17.100000000000001" customHeight="1" x14ac:dyDescent="0.15">
      <c r="A72" s="340">
        <v>21</v>
      </c>
      <c r="B72" s="341">
        <v>8882</v>
      </c>
      <c r="C72" s="342" t="s">
        <v>31081</v>
      </c>
      <c r="D72" s="423"/>
      <c r="E72" s="424"/>
      <c r="F72" s="605"/>
      <c r="G72" s="606"/>
      <c r="H72" s="490"/>
      <c r="I72" s="151"/>
      <c r="J72" s="151"/>
      <c r="L72" s="495"/>
      <c r="M72" s="324"/>
      <c r="N72" s="325"/>
      <c r="O72" s="417"/>
      <c r="P72" s="417"/>
      <c r="Q72" s="417"/>
      <c r="R72" s="391" t="s">
        <v>15626</v>
      </c>
      <c r="S72" s="936">
        <f>$S$12</f>
        <v>0.96499999999999997</v>
      </c>
      <c r="T72" s="937"/>
      <c r="U72" s="604"/>
      <c r="V72" s="602"/>
      <c r="W72" s="948"/>
      <c r="X72" s="949"/>
      <c r="Y72" s="949"/>
      <c r="Z72" s="949"/>
      <c r="AA72" s="949"/>
      <c r="AB72" s="934" t="s">
        <v>30825</v>
      </c>
      <c r="AC72" s="935"/>
      <c r="AD72" s="935"/>
      <c r="AE72" s="935"/>
      <c r="AF72" s="935"/>
      <c r="AG72" s="935"/>
      <c r="AH72" s="935"/>
      <c r="AI72" s="935"/>
      <c r="AJ72" s="935"/>
      <c r="AK72" s="935"/>
      <c r="AL72" s="427" t="s">
        <v>15626</v>
      </c>
      <c r="AM72" s="964">
        <f>$AM$9</f>
        <v>0.5</v>
      </c>
      <c r="AN72" s="964"/>
      <c r="AO72" s="343"/>
      <c r="AP72" s="568"/>
      <c r="AQ72" s="568"/>
      <c r="AR72" s="599"/>
      <c r="AS72" s="489">
        <f>ROUND(ROUND(ROUND(I71*S72,0)*$U$74,0)*AM72,0)</f>
        <v>168</v>
      </c>
      <c r="AT72" s="359"/>
    </row>
    <row r="73" spans="1:46" ht="17.100000000000001" customHeight="1" x14ac:dyDescent="0.15">
      <c r="A73" s="340">
        <v>21</v>
      </c>
      <c r="B73" s="341">
        <v>8341</v>
      </c>
      <c r="C73" s="342" t="s">
        <v>31082</v>
      </c>
      <c r="D73" s="423"/>
      <c r="E73" s="424"/>
      <c r="F73" s="423"/>
      <c r="G73" s="424"/>
      <c r="H73" s="861" t="s">
        <v>30845</v>
      </c>
      <c r="I73" s="862"/>
      <c r="J73" s="862"/>
      <c r="K73" s="862"/>
      <c r="L73" s="863"/>
      <c r="M73" s="547"/>
      <c r="N73" s="400"/>
      <c r="O73" s="400"/>
      <c r="P73" s="400"/>
      <c r="Q73" s="400"/>
      <c r="R73" s="400"/>
      <c r="S73" s="400"/>
      <c r="T73" s="429"/>
      <c r="U73" s="901" t="s">
        <v>15626</v>
      </c>
      <c r="V73" s="902"/>
      <c r="W73" s="601"/>
      <c r="X73" s="343"/>
      <c r="Y73" s="454"/>
      <c r="Z73" s="343"/>
      <c r="AA73" s="568"/>
      <c r="AB73" s="396"/>
      <c r="AC73" s="396"/>
      <c r="AD73" s="427"/>
      <c r="AE73" s="427"/>
      <c r="AF73" s="396"/>
      <c r="AG73" s="396"/>
      <c r="AH73" s="396"/>
      <c r="AI73" s="396"/>
      <c r="AJ73" s="396"/>
      <c r="AK73" s="396"/>
      <c r="AL73" s="427"/>
      <c r="AM73" s="964"/>
      <c r="AN73" s="964"/>
      <c r="AO73" s="575"/>
      <c r="AP73" s="575"/>
      <c r="AQ73" s="575"/>
      <c r="AR73" s="592"/>
      <c r="AS73" s="489">
        <f>ROUND(I77*$U$74,0)</f>
        <v>333</v>
      </c>
      <c r="AT73" s="359"/>
    </row>
    <row r="74" spans="1:46" ht="17.100000000000001" customHeight="1" x14ac:dyDescent="0.15">
      <c r="A74" s="340">
        <v>21</v>
      </c>
      <c r="B74" s="341">
        <v>8342</v>
      </c>
      <c r="C74" s="342" t="s">
        <v>31083</v>
      </c>
      <c r="D74" s="423"/>
      <c r="E74" s="424"/>
      <c r="F74" s="423"/>
      <c r="G74" s="424"/>
      <c r="H74" s="864"/>
      <c r="I74" s="865"/>
      <c r="J74" s="865"/>
      <c r="K74" s="865"/>
      <c r="L74" s="866"/>
      <c r="M74" s="494"/>
      <c r="N74" s="151"/>
      <c r="O74" s="151"/>
      <c r="P74" s="151"/>
      <c r="Q74" s="151"/>
      <c r="R74" s="151"/>
      <c r="S74" s="151"/>
      <c r="T74" s="495"/>
      <c r="U74" s="966">
        <f>U50</f>
        <v>0.7</v>
      </c>
      <c r="V74" s="967"/>
      <c r="W74" s="948" t="s">
        <v>30822</v>
      </c>
      <c r="X74" s="949"/>
      <c r="Y74" s="949"/>
      <c r="Z74" s="949"/>
      <c r="AA74" s="949"/>
      <c r="AB74" s="934" t="s">
        <v>30823</v>
      </c>
      <c r="AC74" s="935"/>
      <c r="AD74" s="935"/>
      <c r="AE74" s="935"/>
      <c r="AF74" s="935"/>
      <c r="AG74" s="935"/>
      <c r="AH74" s="935"/>
      <c r="AI74" s="935"/>
      <c r="AJ74" s="935"/>
      <c r="AK74" s="935"/>
      <c r="AL74" s="427" t="s">
        <v>15626</v>
      </c>
      <c r="AM74" s="964">
        <f>$AM$8</f>
        <v>0.7</v>
      </c>
      <c r="AN74" s="964"/>
      <c r="AO74" s="575"/>
      <c r="AP74" s="575"/>
      <c r="AQ74" s="575"/>
      <c r="AR74" s="592"/>
      <c r="AS74" s="489">
        <f>ROUND(ROUND(I77*$U$74,0)*AM74,0)</f>
        <v>233</v>
      </c>
      <c r="AT74" s="359"/>
    </row>
    <row r="75" spans="1:46" ht="17.100000000000001" customHeight="1" x14ac:dyDescent="0.15">
      <c r="A75" s="340">
        <v>21</v>
      </c>
      <c r="B75" s="341">
        <v>8889</v>
      </c>
      <c r="C75" s="342" t="s">
        <v>31084</v>
      </c>
      <c r="D75" s="423"/>
      <c r="E75" s="424"/>
      <c r="F75" s="423"/>
      <c r="G75" s="424"/>
      <c r="H75" s="430"/>
      <c r="I75" s="431"/>
      <c r="J75" s="431"/>
      <c r="K75" s="431"/>
      <c r="L75" s="432"/>
      <c r="M75" s="494"/>
      <c r="N75" s="151"/>
      <c r="O75" s="151"/>
      <c r="P75" s="151"/>
      <c r="Q75" s="151"/>
      <c r="R75" s="151"/>
      <c r="S75" s="151"/>
      <c r="T75" s="495"/>
      <c r="U75" s="609"/>
      <c r="V75" s="610"/>
      <c r="W75" s="948"/>
      <c r="X75" s="949"/>
      <c r="Y75" s="949"/>
      <c r="Z75" s="949"/>
      <c r="AA75" s="949"/>
      <c r="AB75" s="934" t="s">
        <v>30825</v>
      </c>
      <c r="AC75" s="935"/>
      <c r="AD75" s="935"/>
      <c r="AE75" s="935"/>
      <c r="AF75" s="935"/>
      <c r="AG75" s="935"/>
      <c r="AH75" s="935"/>
      <c r="AI75" s="935"/>
      <c r="AJ75" s="935"/>
      <c r="AK75" s="935"/>
      <c r="AL75" s="427" t="s">
        <v>15626</v>
      </c>
      <c r="AM75" s="964">
        <f>$AM$9</f>
        <v>0.5</v>
      </c>
      <c r="AN75" s="964"/>
      <c r="AO75" s="603"/>
      <c r="AP75" s="575"/>
      <c r="AQ75" s="575"/>
      <c r="AR75" s="592"/>
      <c r="AS75" s="489">
        <f>ROUND(ROUND(I77*$U$74,0)*AM75,0)</f>
        <v>167</v>
      </c>
      <c r="AT75" s="359"/>
    </row>
    <row r="76" spans="1:46" ht="17.100000000000001" customHeight="1" x14ac:dyDescent="0.15">
      <c r="A76" s="340">
        <v>21</v>
      </c>
      <c r="B76" s="341">
        <v>8343</v>
      </c>
      <c r="C76" s="342" t="s">
        <v>31085</v>
      </c>
      <c r="D76" s="423"/>
      <c r="E76" s="424"/>
      <c r="F76" s="423"/>
      <c r="G76" s="424"/>
      <c r="H76" s="490"/>
      <c r="L76" s="495"/>
      <c r="M76" s="861" t="s">
        <v>30827</v>
      </c>
      <c r="N76" s="862"/>
      <c r="O76" s="862"/>
      <c r="P76" s="862"/>
      <c r="Q76" s="862"/>
      <c r="R76" s="862"/>
      <c r="S76" s="862"/>
      <c r="T76" s="863"/>
      <c r="U76" s="534"/>
      <c r="V76" s="608"/>
      <c r="W76" s="330"/>
      <c r="X76" s="474"/>
      <c r="Y76" s="474"/>
      <c r="Z76" s="343"/>
      <c r="AA76" s="568"/>
      <c r="AB76" s="396"/>
      <c r="AC76" s="396"/>
      <c r="AD76" s="427"/>
      <c r="AE76" s="427"/>
      <c r="AF76" s="396"/>
      <c r="AG76" s="396"/>
      <c r="AH76" s="396"/>
      <c r="AI76" s="396"/>
      <c r="AJ76" s="396"/>
      <c r="AK76" s="396"/>
      <c r="AL76" s="427"/>
      <c r="AM76" s="964"/>
      <c r="AN76" s="964"/>
      <c r="AO76" s="396"/>
      <c r="AP76" s="575"/>
      <c r="AQ76" s="575"/>
      <c r="AR76" s="592"/>
      <c r="AS76" s="489">
        <f>ROUND(ROUND(I77*S78,0)*$U$74,0)</f>
        <v>321</v>
      </c>
      <c r="AT76" s="359"/>
    </row>
    <row r="77" spans="1:46" ht="17.100000000000001" customHeight="1" x14ac:dyDescent="0.15">
      <c r="A77" s="340">
        <v>21</v>
      </c>
      <c r="B77" s="341">
        <v>8344</v>
      </c>
      <c r="C77" s="342" t="s">
        <v>31086</v>
      </c>
      <c r="D77" s="423"/>
      <c r="E77" s="424"/>
      <c r="F77" s="490"/>
      <c r="H77" s="490"/>
      <c r="I77" s="965">
        <f>'5療養介護(基本)'!I76</f>
        <v>475</v>
      </c>
      <c r="J77" s="965"/>
      <c r="K77" s="152" t="s">
        <v>15624</v>
      </c>
      <c r="L77" s="387"/>
      <c r="M77" s="864"/>
      <c r="N77" s="865"/>
      <c r="O77" s="865"/>
      <c r="P77" s="865"/>
      <c r="Q77" s="865"/>
      <c r="R77" s="865"/>
      <c r="S77" s="865"/>
      <c r="T77" s="866"/>
      <c r="U77" s="490"/>
      <c r="V77" s="387"/>
      <c r="W77" s="948" t="s">
        <v>30822</v>
      </c>
      <c r="X77" s="949"/>
      <c r="Y77" s="949"/>
      <c r="Z77" s="949"/>
      <c r="AA77" s="949"/>
      <c r="AB77" s="934" t="s">
        <v>30823</v>
      </c>
      <c r="AC77" s="935"/>
      <c r="AD77" s="935"/>
      <c r="AE77" s="935"/>
      <c r="AF77" s="935"/>
      <c r="AG77" s="935"/>
      <c r="AH77" s="935"/>
      <c r="AI77" s="935"/>
      <c r="AJ77" s="935"/>
      <c r="AK77" s="935"/>
      <c r="AL77" s="427" t="s">
        <v>15626</v>
      </c>
      <c r="AM77" s="964">
        <f>$AM$8</f>
        <v>0.7</v>
      </c>
      <c r="AN77" s="964"/>
      <c r="AO77" s="396"/>
      <c r="AP77" s="575"/>
      <c r="AQ77" s="575"/>
      <c r="AR77" s="592"/>
      <c r="AS77" s="489">
        <f>ROUND(ROUND(ROUND(I77*S78,0)*$U$74,0)*AM77,0)</f>
        <v>225</v>
      </c>
      <c r="AT77" s="359"/>
    </row>
    <row r="78" spans="1:46" ht="17.100000000000001" customHeight="1" x14ac:dyDescent="0.15">
      <c r="A78" s="340">
        <v>21</v>
      </c>
      <c r="B78" s="341">
        <v>8890</v>
      </c>
      <c r="C78" s="342" t="s">
        <v>31087</v>
      </c>
      <c r="D78" s="423"/>
      <c r="E78" s="424"/>
      <c r="F78" s="598"/>
      <c r="G78" s="578"/>
      <c r="H78" s="490"/>
      <c r="I78" s="151"/>
      <c r="J78" s="151"/>
      <c r="L78" s="495"/>
      <c r="M78" s="324"/>
      <c r="N78" s="325"/>
      <c r="O78" s="417"/>
      <c r="P78" s="417"/>
      <c r="Q78" s="417"/>
      <c r="R78" s="391" t="s">
        <v>15626</v>
      </c>
      <c r="S78" s="936">
        <f>$S$12</f>
        <v>0.96499999999999997</v>
      </c>
      <c r="T78" s="937"/>
      <c r="U78" s="490"/>
      <c r="V78" s="387"/>
      <c r="W78" s="948"/>
      <c r="X78" s="949"/>
      <c r="Y78" s="949"/>
      <c r="Z78" s="949"/>
      <c r="AA78" s="949"/>
      <c r="AB78" s="934" t="s">
        <v>30825</v>
      </c>
      <c r="AC78" s="935"/>
      <c r="AD78" s="935"/>
      <c r="AE78" s="935"/>
      <c r="AF78" s="935"/>
      <c r="AG78" s="935"/>
      <c r="AH78" s="935"/>
      <c r="AI78" s="935"/>
      <c r="AJ78" s="935"/>
      <c r="AK78" s="935"/>
      <c r="AL78" s="427" t="s">
        <v>15626</v>
      </c>
      <c r="AM78" s="964">
        <f>$AM$9</f>
        <v>0.5</v>
      </c>
      <c r="AN78" s="964"/>
      <c r="AO78" s="343"/>
      <c r="AP78" s="568"/>
      <c r="AQ78" s="568"/>
      <c r="AR78" s="599"/>
      <c r="AS78" s="489">
        <f>ROUND(ROUND(ROUND(I77*S78,0)*$U$74,0)*AM78,0)</f>
        <v>161</v>
      </c>
      <c r="AT78" s="359"/>
    </row>
    <row r="79" spans="1:46" ht="17.100000000000001" customHeight="1" x14ac:dyDescent="0.15">
      <c r="A79" s="340">
        <v>21</v>
      </c>
      <c r="B79" s="341">
        <v>8411</v>
      </c>
      <c r="C79" s="342" t="s">
        <v>31088</v>
      </c>
      <c r="D79" s="573"/>
      <c r="E79" s="574"/>
      <c r="F79" s="943" t="s">
        <v>30902</v>
      </c>
      <c r="G79" s="944"/>
      <c r="H79" s="547" t="s">
        <v>30820</v>
      </c>
      <c r="I79" s="396"/>
      <c r="J79" s="396"/>
      <c r="K79" s="396"/>
      <c r="L79" s="396"/>
      <c r="M79" s="396"/>
      <c r="N79" s="569"/>
      <c r="O79" s="569"/>
      <c r="P79" s="569"/>
      <c r="Q79" s="569"/>
      <c r="R79" s="569"/>
      <c r="S79" s="569"/>
      <c r="T79" s="611"/>
      <c r="U79" s="152"/>
      <c r="V79" s="152"/>
      <c r="W79" s="601"/>
      <c r="X79" s="343"/>
      <c r="Y79" s="454"/>
      <c r="Z79" s="343"/>
      <c r="AA79" s="568"/>
      <c r="AB79" s="396"/>
      <c r="AC79" s="396"/>
      <c r="AD79" s="427"/>
      <c r="AE79" s="427"/>
      <c r="AF79" s="396"/>
      <c r="AG79" s="396"/>
      <c r="AH79" s="396"/>
      <c r="AI79" s="396"/>
      <c r="AJ79" s="396"/>
      <c r="AK79" s="396"/>
      <c r="AL79" s="427"/>
      <c r="AM79" s="964"/>
      <c r="AN79" s="964"/>
      <c r="AO79" s="396"/>
      <c r="AP79" s="575"/>
      <c r="AQ79" s="575"/>
      <c r="AR79" s="592"/>
      <c r="AS79" s="489">
        <f>ROUND(J81*$U$74,0)</f>
        <v>312</v>
      </c>
      <c r="AT79" s="359"/>
    </row>
    <row r="80" spans="1:46" ht="17.100000000000001" customHeight="1" x14ac:dyDescent="0.15">
      <c r="A80" s="340">
        <v>21</v>
      </c>
      <c r="B80" s="341">
        <v>8412</v>
      </c>
      <c r="C80" s="342" t="s">
        <v>31089</v>
      </c>
      <c r="D80" s="573"/>
      <c r="E80" s="574"/>
      <c r="F80" s="943"/>
      <c r="G80" s="944"/>
      <c r="H80" s="490"/>
      <c r="M80" s="152"/>
      <c r="N80" s="566"/>
      <c r="O80" s="566"/>
      <c r="P80" s="566"/>
      <c r="Q80" s="566"/>
      <c r="R80" s="566"/>
      <c r="S80" s="566"/>
      <c r="T80" s="610"/>
      <c r="U80" s="566"/>
      <c r="V80" s="610"/>
      <c r="W80" s="948" t="s">
        <v>30822</v>
      </c>
      <c r="X80" s="949"/>
      <c r="Y80" s="949"/>
      <c r="Z80" s="949"/>
      <c r="AA80" s="949"/>
      <c r="AB80" s="934" t="s">
        <v>30823</v>
      </c>
      <c r="AC80" s="935"/>
      <c r="AD80" s="935"/>
      <c r="AE80" s="935"/>
      <c r="AF80" s="935"/>
      <c r="AG80" s="935"/>
      <c r="AH80" s="935"/>
      <c r="AI80" s="935"/>
      <c r="AJ80" s="935"/>
      <c r="AK80" s="935"/>
      <c r="AL80" s="427" t="s">
        <v>15626</v>
      </c>
      <c r="AM80" s="964">
        <f>$AM$8</f>
        <v>0.7</v>
      </c>
      <c r="AN80" s="964"/>
      <c r="AO80" s="396"/>
      <c r="AP80" s="575"/>
      <c r="AQ80" s="575"/>
      <c r="AR80" s="592"/>
      <c r="AS80" s="489">
        <f>ROUND(ROUND(J81*$U$74,0)*AM80,0)</f>
        <v>218</v>
      </c>
      <c r="AT80" s="359"/>
    </row>
    <row r="81" spans="1:46" ht="17.100000000000001" customHeight="1" x14ac:dyDescent="0.15">
      <c r="A81" s="340">
        <v>21</v>
      </c>
      <c r="B81" s="341">
        <v>8897</v>
      </c>
      <c r="C81" s="342" t="s">
        <v>31090</v>
      </c>
      <c r="D81" s="573"/>
      <c r="E81" s="574"/>
      <c r="F81" s="943"/>
      <c r="G81" s="944"/>
      <c r="H81" s="490"/>
      <c r="J81" s="965">
        <f>'5療養介護(基本)'!I81</f>
        <v>445</v>
      </c>
      <c r="K81" s="965"/>
      <c r="L81" s="152" t="s">
        <v>15624</v>
      </c>
      <c r="M81" s="152"/>
      <c r="N81" s="566"/>
      <c r="O81" s="566"/>
      <c r="P81" s="566"/>
      <c r="Q81" s="566"/>
      <c r="R81" s="566"/>
      <c r="S81" s="566"/>
      <c r="T81" s="610"/>
      <c r="U81" s="566"/>
      <c r="V81" s="610"/>
      <c r="W81" s="948"/>
      <c r="X81" s="949"/>
      <c r="Y81" s="949"/>
      <c r="Z81" s="949"/>
      <c r="AA81" s="949"/>
      <c r="AB81" s="934" t="s">
        <v>30825</v>
      </c>
      <c r="AC81" s="935"/>
      <c r="AD81" s="935"/>
      <c r="AE81" s="935"/>
      <c r="AF81" s="935"/>
      <c r="AG81" s="935"/>
      <c r="AH81" s="935"/>
      <c r="AI81" s="935"/>
      <c r="AJ81" s="935"/>
      <c r="AK81" s="935"/>
      <c r="AL81" s="427" t="s">
        <v>15626</v>
      </c>
      <c r="AM81" s="964">
        <f>$AM$9</f>
        <v>0.5</v>
      </c>
      <c r="AN81" s="964"/>
      <c r="AO81" s="459"/>
      <c r="AP81" s="568"/>
      <c r="AQ81" s="568"/>
      <c r="AR81" s="599"/>
      <c r="AS81" s="489">
        <f>ROUND(ROUND(J81*$U$74,0)*AM81,0)</f>
        <v>156</v>
      </c>
      <c r="AT81" s="359"/>
    </row>
    <row r="82" spans="1:46" ht="17.100000000000001" customHeight="1" x14ac:dyDescent="0.15">
      <c r="A82" s="340">
        <v>21</v>
      </c>
      <c r="B82" s="341">
        <v>8421</v>
      </c>
      <c r="C82" s="342" t="s">
        <v>31091</v>
      </c>
      <c r="D82" s="573"/>
      <c r="E82" s="574"/>
      <c r="F82" s="943"/>
      <c r="G82" s="944"/>
      <c r="H82" s="547" t="s">
        <v>30831</v>
      </c>
      <c r="I82" s="396"/>
      <c r="J82" s="396"/>
      <c r="K82" s="396"/>
      <c r="L82" s="396"/>
      <c r="M82" s="396"/>
      <c r="N82" s="569"/>
      <c r="O82" s="569"/>
      <c r="P82" s="569"/>
      <c r="Q82" s="569"/>
      <c r="R82" s="569"/>
      <c r="S82" s="569"/>
      <c r="T82" s="611"/>
      <c r="U82" s="152"/>
      <c r="V82" s="152"/>
      <c r="W82" s="601"/>
      <c r="X82" s="343"/>
      <c r="Y82" s="454"/>
      <c r="Z82" s="343"/>
      <c r="AA82" s="568"/>
      <c r="AB82" s="396"/>
      <c r="AC82" s="396"/>
      <c r="AD82" s="427"/>
      <c r="AE82" s="427"/>
      <c r="AF82" s="396"/>
      <c r="AG82" s="396"/>
      <c r="AH82" s="396"/>
      <c r="AI82" s="396"/>
      <c r="AJ82" s="396"/>
      <c r="AK82" s="396"/>
      <c r="AL82" s="427"/>
      <c r="AM82" s="964"/>
      <c r="AN82" s="964"/>
      <c r="AO82" s="396"/>
      <c r="AP82" s="575"/>
      <c r="AQ82" s="575"/>
      <c r="AR82" s="592"/>
      <c r="AS82" s="489">
        <f>ROUND(J84*$U$74,0)</f>
        <v>286</v>
      </c>
      <c r="AT82" s="359"/>
    </row>
    <row r="83" spans="1:46" ht="17.100000000000001" customHeight="1" x14ac:dyDescent="0.15">
      <c r="A83" s="340">
        <v>21</v>
      </c>
      <c r="B83" s="341">
        <v>8422</v>
      </c>
      <c r="C83" s="342" t="s">
        <v>31092</v>
      </c>
      <c r="D83" s="573"/>
      <c r="E83" s="574"/>
      <c r="F83" s="943"/>
      <c r="G83" s="944"/>
      <c r="H83" s="490"/>
      <c r="M83" s="152"/>
      <c r="N83" s="566"/>
      <c r="O83" s="566"/>
      <c r="P83" s="566"/>
      <c r="Q83" s="566"/>
      <c r="R83" s="566"/>
      <c r="S83" s="566"/>
      <c r="T83" s="610"/>
      <c r="U83" s="566"/>
      <c r="V83" s="610"/>
      <c r="W83" s="948" t="s">
        <v>30822</v>
      </c>
      <c r="X83" s="949"/>
      <c r="Y83" s="949"/>
      <c r="Z83" s="949"/>
      <c r="AA83" s="949"/>
      <c r="AB83" s="934" t="s">
        <v>30823</v>
      </c>
      <c r="AC83" s="935"/>
      <c r="AD83" s="935"/>
      <c r="AE83" s="935"/>
      <c r="AF83" s="935"/>
      <c r="AG83" s="935"/>
      <c r="AH83" s="935"/>
      <c r="AI83" s="935"/>
      <c r="AJ83" s="935"/>
      <c r="AK83" s="935"/>
      <c r="AL83" s="427" t="s">
        <v>15626</v>
      </c>
      <c r="AM83" s="964">
        <f>$AM$8</f>
        <v>0.7</v>
      </c>
      <c r="AN83" s="964"/>
      <c r="AO83" s="396"/>
      <c r="AP83" s="575"/>
      <c r="AQ83" s="575"/>
      <c r="AR83" s="592"/>
      <c r="AS83" s="489">
        <f>ROUND(ROUND(J84*$U$74,0)*AM83,0)</f>
        <v>200</v>
      </c>
      <c r="AT83" s="359"/>
    </row>
    <row r="84" spans="1:46" ht="17.100000000000001" customHeight="1" x14ac:dyDescent="0.15">
      <c r="A84" s="340">
        <v>21</v>
      </c>
      <c r="B84" s="341">
        <v>8901</v>
      </c>
      <c r="C84" s="342" t="s">
        <v>31093</v>
      </c>
      <c r="D84" s="573"/>
      <c r="E84" s="574"/>
      <c r="F84" s="943"/>
      <c r="G84" s="944"/>
      <c r="H84" s="490"/>
      <c r="J84" s="965">
        <f>'5療養介護(基本)'!I84</f>
        <v>409</v>
      </c>
      <c r="K84" s="965"/>
      <c r="L84" s="152" t="s">
        <v>15624</v>
      </c>
      <c r="M84" s="152"/>
      <c r="N84" s="566"/>
      <c r="O84" s="566"/>
      <c r="P84" s="566"/>
      <c r="Q84" s="566"/>
      <c r="R84" s="566"/>
      <c r="S84" s="566"/>
      <c r="T84" s="610"/>
      <c r="U84" s="566"/>
      <c r="V84" s="610"/>
      <c r="W84" s="948"/>
      <c r="X84" s="949"/>
      <c r="Y84" s="949"/>
      <c r="Z84" s="949"/>
      <c r="AA84" s="949"/>
      <c r="AB84" s="934" t="s">
        <v>30825</v>
      </c>
      <c r="AC84" s="935"/>
      <c r="AD84" s="935"/>
      <c r="AE84" s="935"/>
      <c r="AF84" s="935"/>
      <c r="AG84" s="935"/>
      <c r="AH84" s="935"/>
      <c r="AI84" s="935"/>
      <c r="AJ84" s="935"/>
      <c r="AK84" s="935"/>
      <c r="AL84" s="427" t="s">
        <v>15626</v>
      </c>
      <c r="AM84" s="964">
        <f>$AM$9</f>
        <v>0.5</v>
      </c>
      <c r="AN84" s="964"/>
      <c r="AO84" s="459"/>
      <c r="AP84" s="568"/>
      <c r="AQ84" s="568"/>
      <c r="AR84" s="599"/>
      <c r="AS84" s="489">
        <f>ROUND(ROUND(J84*$U$74,0)*AM84,0)</f>
        <v>143</v>
      </c>
      <c r="AT84" s="359"/>
    </row>
    <row r="85" spans="1:46" ht="17.100000000000001" customHeight="1" x14ac:dyDescent="0.15">
      <c r="A85" s="340">
        <v>21</v>
      </c>
      <c r="B85" s="341">
        <v>8431</v>
      </c>
      <c r="C85" s="342" t="s">
        <v>31094</v>
      </c>
      <c r="D85" s="573"/>
      <c r="E85" s="574"/>
      <c r="F85" s="943"/>
      <c r="G85" s="944"/>
      <c r="H85" s="547" t="s">
        <v>30838</v>
      </c>
      <c r="I85" s="396"/>
      <c r="J85" s="396"/>
      <c r="K85" s="396"/>
      <c r="L85" s="396"/>
      <c r="M85" s="396"/>
      <c r="N85" s="569"/>
      <c r="O85" s="569"/>
      <c r="P85" s="569"/>
      <c r="Q85" s="569"/>
      <c r="R85" s="569"/>
      <c r="S85" s="569"/>
      <c r="T85" s="611"/>
      <c r="U85" s="152"/>
      <c r="V85" s="152"/>
      <c r="W85" s="601"/>
      <c r="X85" s="343"/>
      <c r="Y85" s="454"/>
      <c r="Z85" s="343"/>
      <c r="AA85" s="568"/>
      <c r="AB85" s="396"/>
      <c r="AC85" s="396"/>
      <c r="AD85" s="427"/>
      <c r="AE85" s="427"/>
      <c r="AF85" s="396"/>
      <c r="AG85" s="396"/>
      <c r="AH85" s="396"/>
      <c r="AI85" s="396"/>
      <c r="AJ85" s="396"/>
      <c r="AK85" s="396"/>
      <c r="AL85" s="427"/>
      <c r="AM85" s="964"/>
      <c r="AN85" s="964"/>
      <c r="AO85" s="396"/>
      <c r="AP85" s="575"/>
      <c r="AQ85" s="575"/>
      <c r="AR85" s="592"/>
      <c r="AS85" s="489">
        <f>ROUND(J87*$U$74,0)</f>
        <v>267</v>
      </c>
      <c r="AT85" s="359"/>
    </row>
    <row r="86" spans="1:46" ht="17.100000000000001" customHeight="1" x14ac:dyDescent="0.15">
      <c r="A86" s="340">
        <v>21</v>
      </c>
      <c r="B86" s="341">
        <v>8432</v>
      </c>
      <c r="C86" s="342" t="s">
        <v>31095</v>
      </c>
      <c r="D86" s="573"/>
      <c r="E86" s="574"/>
      <c r="F86" s="943"/>
      <c r="G86" s="944"/>
      <c r="H86" s="490"/>
      <c r="M86" s="152"/>
      <c r="N86" s="566"/>
      <c r="O86" s="566"/>
      <c r="P86" s="566"/>
      <c r="Q86" s="566"/>
      <c r="R86" s="566"/>
      <c r="S86" s="566"/>
      <c r="T86" s="610"/>
      <c r="U86" s="566"/>
      <c r="V86" s="610"/>
      <c r="W86" s="948" t="s">
        <v>30822</v>
      </c>
      <c r="X86" s="949"/>
      <c r="Y86" s="949"/>
      <c r="Z86" s="949"/>
      <c r="AA86" s="949"/>
      <c r="AB86" s="934" t="s">
        <v>30823</v>
      </c>
      <c r="AC86" s="935"/>
      <c r="AD86" s="935"/>
      <c r="AE86" s="935"/>
      <c r="AF86" s="935"/>
      <c r="AG86" s="935"/>
      <c r="AH86" s="935"/>
      <c r="AI86" s="935"/>
      <c r="AJ86" s="935"/>
      <c r="AK86" s="935"/>
      <c r="AL86" s="427" t="s">
        <v>15626</v>
      </c>
      <c r="AM86" s="964">
        <f>$AM$8</f>
        <v>0.7</v>
      </c>
      <c r="AN86" s="964"/>
      <c r="AO86" s="396"/>
      <c r="AP86" s="575"/>
      <c r="AQ86" s="575"/>
      <c r="AR86" s="592"/>
      <c r="AS86" s="489">
        <f>ROUND(ROUND(J87*$U$74,0)*AM86,0)</f>
        <v>187</v>
      </c>
      <c r="AT86" s="359"/>
    </row>
    <row r="87" spans="1:46" ht="17.100000000000001" customHeight="1" x14ac:dyDescent="0.15">
      <c r="A87" s="340">
        <v>21</v>
      </c>
      <c r="B87" s="341">
        <v>8905</v>
      </c>
      <c r="C87" s="342" t="s">
        <v>31096</v>
      </c>
      <c r="D87" s="573"/>
      <c r="E87" s="574"/>
      <c r="F87" s="943"/>
      <c r="G87" s="944"/>
      <c r="H87" s="490"/>
      <c r="J87" s="965">
        <f>'5療養介護(基本)'!I87</f>
        <v>381</v>
      </c>
      <c r="K87" s="965"/>
      <c r="L87" s="152" t="s">
        <v>15624</v>
      </c>
      <c r="M87" s="152"/>
      <c r="N87" s="566"/>
      <c r="O87" s="566"/>
      <c r="P87" s="566"/>
      <c r="Q87" s="566"/>
      <c r="R87" s="566"/>
      <c r="S87" s="566"/>
      <c r="T87" s="610"/>
      <c r="U87" s="566"/>
      <c r="V87" s="610"/>
      <c r="W87" s="948"/>
      <c r="X87" s="949"/>
      <c r="Y87" s="949"/>
      <c r="Z87" s="949"/>
      <c r="AA87" s="949"/>
      <c r="AB87" s="934" t="s">
        <v>30825</v>
      </c>
      <c r="AC87" s="935"/>
      <c r="AD87" s="935"/>
      <c r="AE87" s="935"/>
      <c r="AF87" s="935"/>
      <c r="AG87" s="935"/>
      <c r="AH87" s="935"/>
      <c r="AI87" s="935"/>
      <c r="AJ87" s="935"/>
      <c r="AK87" s="935"/>
      <c r="AL87" s="427" t="s">
        <v>15626</v>
      </c>
      <c r="AM87" s="964">
        <f>$AM$9</f>
        <v>0.5</v>
      </c>
      <c r="AN87" s="964"/>
      <c r="AO87" s="459"/>
      <c r="AP87" s="568"/>
      <c r="AQ87" s="568"/>
      <c r="AR87" s="599"/>
      <c r="AS87" s="489">
        <f>ROUND(ROUND(J87*$U$74,0)*AM87,0)</f>
        <v>134</v>
      </c>
      <c r="AT87" s="359"/>
    </row>
    <row r="88" spans="1:46" ht="17.100000000000001" customHeight="1" x14ac:dyDescent="0.15">
      <c r="A88" s="340">
        <v>21</v>
      </c>
      <c r="B88" s="341">
        <v>8441</v>
      </c>
      <c r="C88" s="342" t="s">
        <v>31097</v>
      </c>
      <c r="D88" s="573"/>
      <c r="E88" s="574"/>
      <c r="F88" s="943"/>
      <c r="G88" s="944"/>
      <c r="H88" s="547" t="s">
        <v>30845</v>
      </c>
      <c r="I88" s="396"/>
      <c r="J88" s="396"/>
      <c r="K88" s="396"/>
      <c r="L88" s="396"/>
      <c r="M88" s="396"/>
      <c r="N88" s="569"/>
      <c r="O88" s="569"/>
      <c r="P88" s="569"/>
      <c r="Q88" s="569"/>
      <c r="R88" s="569"/>
      <c r="S88" s="569"/>
      <c r="T88" s="611"/>
      <c r="U88" s="152"/>
      <c r="V88" s="152"/>
      <c r="W88" s="601"/>
      <c r="X88" s="343"/>
      <c r="Y88" s="454"/>
      <c r="Z88" s="343"/>
      <c r="AA88" s="568"/>
      <c r="AB88" s="396"/>
      <c r="AC88" s="396"/>
      <c r="AD88" s="427"/>
      <c r="AE88" s="427"/>
      <c r="AF88" s="396"/>
      <c r="AG88" s="396"/>
      <c r="AH88" s="396"/>
      <c r="AI88" s="396"/>
      <c r="AJ88" s="396"/>
      <c r="AK88" s="396"/>
      <c r="AL88" s="427"/>
      <c r="AM88" s="964"/>
      <c r="AN88" s="964"/>
      <c r="AO88" s="396"/>
      <c r="AP88" s="575"/>
      <c r="AQ88" s="575"/>
      <c r="AR88" s="592"/>
      <c r="AS88" s="489">
        <f>ROUND(J90*$U$74,0)</f>
        <v>253</v>
      </c>
      <c r="AT88" s="359"/>
    </row>
    <row r="89" spans="1:46" ht="17.100000000000001" customHeight="1" x14ac:dyDescent="0.15">
      <c r="A89" s="340">
        <v>21</v>
      </c>
      <c r="B89" s="341">
        <v>8442</v>
      </c>
      <c r="C89" s="342" t="s">
        <v>31098</v>
      </c>
      <c r="D89" s="573"/>
      <c r="E89" s="574"/>
      <c r="F89" s="943"/>
      <c r="G89" s="944"/>
      <c r="H89" s="490"/>
      <c r="M89" s="152"/>
      <c r="N89" s="566"/>
      <c r="O89" s="566"/>
      <c r="P89" s="566"/>
      <c r="Q89" s="566"/>
      <c r="R89" s="566"/>
      <c r="S89" s="566"/>
      <c r="T89" s="610"/>
      <c r="U89" s="566"/>
      <c r="V89" s="610"/>
      <c r="W89" s="948" t="s">
        <v>30822</v>
      </c>
      <c r="X89" s="949"/>
      <c r="Y89" s="949"/>
      <c r="Z89" s="949"/>
      <c r="AA89" s="949"/>
      <c r="AB89" s="934" t="s">
        <v>30823</v>
      </c>
      <c r="AC89" s="935"/>
      <c r="AD89" s="935"/>
      <c r="AE89" s="935"/>
      <c r="AF89" s="935"/>
      <c r="AG89" s="935"/>
      <c r="AH89" s="935"/>
      <c r="AI89" s="935"/>
      <c r="AJ89" s="935"/>
      <c r="AK89" s="935"/>
      <c r="AL89" s="427" t="s">
        <v>15626</v>
      </c>
      <c r="AM89" s="964">
        <f>$AM$8</f>
        <v>0.7</v>
      </c>
      <c r="AN89" s="964"/>
      <c r="AO89" s="396"/>
      <c r="AP89" s="575"/>
      <c r="AQ89" s="575"/>
      <c r="AR89" s="592"/>
      <c r="AS89" s="489">
        <f>ROUND(ROUND(J90*$U$74,0)*AM89,0)</f>
        <v>177</v>
      </c>
      <c r="AT89" s="359"/>
    </row>
    <row r="90" spans="1:46" ht="17.100000000000001" customHeight="1" x14ac:dyDescent="0.15">
      <c r="A90" s="340">
        <v>21</v>
      </c>
      <c r="B90" s="341">
        <v>8909</v>
      </c>
      <c r="C90" s="342" t="s">
        <v>31099</v>
      </c>
      <c r="D90" s="573"/>
      <c r="E90" s="574"/>
      <c r="F90" s="957"/>
      <c r="G90" s="958"/>
      <c r="H90" s="490"/>
      <c r="J90" s="965">
        <f>'5療養介護(基本)'!I90</f>
        <v>361</v>
      </c>
      <c r="K90" s="965"/>
      <c r="L90" s="152" t="s">
        <v>15624</v>
      </c>
      <c r="M90" s="152"/>
      <c r="N90" s="566"/>
      <c r="O90" s="566"/>
      <c r="P90" s="566"/>
      <c r="Q90" s="566"/>
      <c r="R90" s="566"/>
      <c r="S90" s="566"/>
      <c r="T90" s="610"/>
      <c r="U90" s="566"/>
      <c r="V90" s="610"/>
      <c r="W90" s="948"/>
      <c r="X90" s="949"/>
      <c r="Y90" s="949"/>
      <c r="Z90" s="949"/>
      <c r="AA90" s="949"/>
      <c r="AB90" s="934" t="s">
        <v>30825</v>
      </c>
      <c r="AC90" s="935"/>
      <c r="AD90" s="935"/>
      <c r="AE90" s="935"/>
      <c r="AF90" s="935"/>
      <c r="AG90" s="935"/>
      <c r="AH90" s="935"/>
      <c r="AI90" s="935"/>
      <c r="AJ90" s="935"/>
      <c r="AK90" s="935"/>
      <c r="AL90" s="427" t="s">
        <v>15626</v>
      </c>
      <c r="AM90" s="964">
        <f>$AM$9</f>
        <v>0.5</v>
      </c>
      <c r="AN90" s="964"/>
      <c r="AO90" s="459"/>
      <c r="AP90" s="568"/>
      <c r="AQ90" s="568"/>
      <c r="AR90" s="599"/>
      <c r="AS90" s="489">
        <f>ROUND(ROUND(J90*$U$74,0)*AM90,0)</f>
        <v>127</v>
      </c>
      <c r="AT90" s="359"/>
    </row>
    <row r="91" spans="1:46" ht="17.100000000000001" customHeight="1" x14ac:dyDescent="0.15">
      <c r="A91" s="321">
        <v>21</v>
      </c>
      <c r="B91" s="322">
        <v>8511</v>
      </c>
      <c r="C91" s="323" t="s">
        <v>31100</v>
      </c>
      <c r="D91" s="573"/>
      <c r="E91" s="574"/>
      <c r="F91" s="943" t="s">
        <v>30915</v>
      </c>
      <c r="G91" s="944"/>
      <c r="H91" s="861" t="s">
        <v>30820</v>
      </c>
      <c r="I91" s="862"/>
      <c r="J91" s="862"/>
      <c r="K91" s="862"/>
      <c r="L91" s="863"/>
      <c r="M91" s="547"/>
      <c r="N91" s="400"/>
      <c r="O91" s="400"/>
      <c r="P91" s="400"/>
      <c r="Q91" s="400"/>
      <c r="R91" s="400"/>
      <c r="S91" s="400"/>
      <c r="T91" s="429"/>
      <c r="U91" s="941" t="s">
        <v>31016</v>
      </c>
      <c r="V91" s="942"/>
      <c r="W91" s="601"/>
      <c r="X91" s="343"/>
      <c r="Y91" s="454"/>
      <c r="Z91" s="343"/>
      <c r="AA91" s="568"/>
      <c r="AB91" s="396"/>
      <c r="AC91" s="396"/>
      <c r="AD91" s="427"/>
      <c r="AE91" s="427"/>
      <c r="AF91" s="396"/>
      <c r="AG91" s="396"/>
      <c r="AH91" s="396"/>
      <c r="AI91" s="396"/>
      <c r="AJ91" s="396"/>
      <c r="AK91" s="396"/>
      <c r="AL91" s="427"/>
      <c r="AM91" s="964"/>
      <c r="AN91" s="964"/>
      <c r="AO91" s="575"/>
      <c r="AP91" s="575"/>
      <c r="AQ91" s="575"/>
      <c r="AR91" s="592"/>
      <c r="AS91" s="489">
        <f>ROUND(I95*$U$110,0)</f>
        <v>312</v>
      </c>
      <c r="AT91" s="359"/>
    </row>
    <row r="92" spans="1:46" ht="17.100000000000001" customHeight="1" x14ac:dyDescent="0.15">
      <c r="A92" s="340">
        <v>21</v>
      </c>
      <c r="B92" s="341">
        <v>8512</v>
      </c>
      <c r="C92" s="342" t="s">
        <v>31101</v>
      </c>
      <c r="D92" s="573"/>
      <c r="E92" s="574"/>
      <c r="F92" s="943"/>
      <c r="G92" s="944"/>
      <c r="H92" s="864"/>
      <c r="I92" s="865"/>
      <c r="J92" s="865"/>
      <c r="K92" s="865"/>
      <c r="L92" s="866"/>
      <c r="M92" s="494"/>
      <c r="N92" s="151"/>
      <c r="O92" s="151"/>
      <c r="P92" s="151"/>
      <c r="Q92" s="151"/>
      <c r="R92" s="151"/>
      <c r="S92" s="151"/>
      <c r="T92" s="495"/>
      <c r="U92" s="943"/>
      <c r="V92" s="944"/>
      <c r="W92" s="948" t="s">
        <v>30822</v>
      </c>
      <c r="X92" s="949"/>
      <c r="Y92" s="949"/>
      <c r="Z92" s="949"/>
      <c r="AA92" s="949"/>
      <c r="AB92" s="934" t="s">
        <v>30823</v>
      </c>
      <c r="AC92" s="935"/>
      <c r="AD92" s="935"/>
      <c r="AE92" s="935"/>
      <c r="AF92" s="935"/>
      <c r="AG92" s="935"/>
      <c r="AH92" s="935"/>
      <c r="AI92" s="935"/>
      <c r="AJ92" s="935"/>
      <c r="AK92" s="935"/>
      <c r="AL92" s="427" t="s">
        <v>15626</v>
      </c>
      <c r="AM92" s="964">
        <f>$AM$8</f>
        <v>0.7</v>
      </c>
      <c r="AN92" s="964"/>
      <c r="AO92" s="575"/>
      <c r="AP92" s="575"/>
      <c r="AQ92" s="575"/>
      <c r="AR92" s="592"/>
      <c r="AS92" s="489">
        <f>ROUND(ROUND(I95*$U$110,0)*AM92,0)</f>
        <v>218</v>
      </c>
      <c r="AT92" s="359"/>
    </row>
    <row r="93" spans="1:46" ht="17.100000000000001" customHeight="1" x14ac:dyDescent="0.15">
      <c r="A93" s="340">
        <v>21</v>
      </c>
      <c r="B93" s="341">
        <v>8913</v>
      </c>
      <c r="C93" s="342" t="s">
        <v>31102</v>
      </c>
      <c r="D93" s="573"/>
      <c r="E93" s="574"/>
      <c r="F93" s="943"/>
      <c r="G93" s="944"/>
      <c r="H93" s="430"/>
      <c r="I93" s="431"/>
      <c r="J93" s="431"/>
      <c r="K93" s="431"/>
      <c r="L93" s="432"/>
      <c r="M93" s="494"/>
      <c r="N93" s="151"/>
      <c r="O93" s="151"/>
      <c r="P93" s="151"/>
      <c r="Q93" s="151"/>
      <c r="R93" s="151"/>
      <c r="S93" s="151"/>
      <c r="T93" s="495"/>
      <c r="U93" s="943"/>
      <c r="V93" s="944"/>
      <c r="W93" s="948"/>
      <c r="X93" s="949"/>
      <c r="Y93" s="949"/>
      <c r="Z93" s="949"/>
      <c r="AA93" s="949"/>
      <c r="AB93" s="934" t="s">
        <v>30825</v>
      </c>
      <c r="AC93" s="935"/>
      <c r="AD93" s="935"/>
      <c r="AE93" s="935"/>
      <c r="AF93" s="935"/>
      <c r="AG93" s="935"/>
      <c r="AH93" s="935"/>
      <c r="AI93" s="935"/>
      <c r="AJ93" s="935"/>
      <c r="AK93" s="935"/>
      <c r="AL93" s="427" t="s">
        <v>15626</v>
      </c>
      <c r="AM93" s="964">
        <f>$AM$9</f>
        <v>0.5</v>
      </c>
      <c r="AN93" s="964"/>
      <c r="AO93" s="603"/>
      <c r="AP93" s="575"/>
      <c r="AQ93" s="575"/>
      <c r="AR93" s="592"/>
      <c r="AS93" s="489">
        <f>ROUND(ROUND(I95*$U$110,0)*AM93,0)</f>
        <v>156</v>
      </c>
      <c r="AT93" s="359"/>
    </row>
    <row r="94" spans="1:46" ht="17.100000000000001" customHeight="1" x14ac:dyDescent="0.15">
      <c r="A94" s="340">
        <v>21</v>
      </c>
      <c r="B94" s="341">
        <v>8513</v>
      </c>
      <c r="C94" s="342" t="s">
        <v>31103</v>
      </c>
      <c r="D94" s="573"/>
      <c r="E94" s="574"/>
      <c r="F94" s="943"/>
      <c r="G94" s="944"/>
      <c r="H94" s="490"/>
      <c r="L94" s="495"/>
      <c r="M94" s="861" t="s">
        <v>30827</v>
      </c>
      <c r="N94" s="862"/>
      <c r="O94" s="862"/>
      <c r="P94" s="862"/>
      <c r="Q94" s="862"/>
      <c r="R94" s="862"/>
      <c r="S94" s="862"/>
      <c r="T94" s="863"/>
      <c r="U94" s="943"/>
      <c r="V94" s="944"/>
      <c r="W94" s="330"/>
      <c r="X94" s="474"/>
      <c r="Y94" s="474"/>
      <c r="Z94" s="343"/>
      <c r="AA94" s="568"/>
      <c r="AB94" s="396"/>
      <c r="AC94" s="396"/>
      <c r="AD94" s="427"/>
      <c r="AE94" s="427"/>
      <c r="AF94" s="396"/>
      <c r="AG94" s="396"/>
      <c r="AH94" s="396"/>
      <c r="AI94" s="396"/>
      <c r="AJ94" s="396"/>
      <c r="AK94" s="396"/>
      <c r="AL94" s="427"/>
      <c r="AM94" s="964"/>
      <c r="AN94" s="964"/>
      <c r="AO94" s="396"/>
      <c r="AP94" s="575"/>
      <c r="AQ94" s="575"/>
      <c r="AR94" s="592"/>
      <c r="AS94" s="489">
        <f>ROUND(ROUND(I95*S96,0)*$U$110,0)</f>
        <v>300</v>
      </c>
      <c r="AT94" s="359"/>
    </row>
    <row r="95" spans="1:46" ht="17.100000000000001" customHeight="1" x14ac:dyDescent="0.15">
      <c r="A95" s="340">
        <v>21</v>
      </c>
      <c r="B95" s="341">
        <v>8514</v>
      </c>
      <c r="C95" s="342" t="s">
        <v>31104</v>
      </c>
      <c r="D95" s="573"/>
      <c r="E95" s="574"/>
      <c r="F95" s="943"/>
      <c r="G95" s="944"/>
      <c r="H95" s="490"/>
      <c r="I95" s="965">
        <f>'5療養介護(基本)'!I94</f>
        <v>445</v>
      </c>
      <c r="J95" s="965"/>
      <c r="K95" s="152" t="s">
        <v>15624</v>
      </c>
      <c r="L95" s="387"/>
      <c r="M95" s="864"/>
      <c r="N95" s="865"/>
      <c r="O95" s="865"/>
      <c r="P95" s="865"/>
      <c r="Q95" s="865"/>
      <c r="R95" s="865"/>
      <c r="S95" s="865"/>
      <c r="T95" s="866"/>
      <c r="U95" s="943"/>
      <c r="V95" s="944"/>
      <c r="W95" s="948" t="s">
        <v>30822</v>
      </c>
      <c r="X95" s="949"/>
      <c r="Y95" s="949"/>
      <c r="Z95" s="949"/>
      <c r="AA95" s="949"/>
      <c r="AB95" s="934" t="s">
        <v>30823</v>
      </c>
      <c r="AC95" s="935"/>
      <c r="AD95" s="935"/>
      <c r="AE95" s="935"/>
      <c r="AF95" s="935"/>
      <c r="AG95" s="935"/>
      <c r="AH95" s="935"/>
      <c r="AI95" s="935"/>
      <c r="AJ95" s="935"/>
      <c r="AK95" s="935"/>
      <c r="AL95" s="427" t="s">
        <v>15626</v>
      </c>
      <c r="AM95" s="964">
        <f>$AM$8</f>
        <v>0.7</v>
      </c>
      <c r="AN95" s="964"/>
      <c r="AO95" s="396"/>
      <c r="AP95" s="575"/>
      <c r="AQ95" s="575"/>
      <c r="AR95" s="592"/>
      <c r="AS95" s="489">
        <f>ROUND(ROUND(ROUND(I95*S96,0)*$U$110,0)*AM95,0)</f>
        <v>210</v>
      </c>
      <c r="AT95" s="359"/>
    </row>
    <row r="96" spans="1:46" ht="17.100000000000001" customHeight="1" x14ac:dyDescent="0.15">
      <c r="A96" s="340">
        <v>21</v>
      </c>
      <c r="B96" s="341">
        <v>8914</v>
      </c>
      <c r="C96" s="342" t="s">
        <v>31105</v>
      </c>
      <c r="D96" s="573"/>
      <c r="E96" s="574"/>
      <c r="F96" s="943"/>
      <c r="G96" s="944"/>
      <c r="H96" s="490"/>
      <c r="I96" s="151"/>
      <c r="J96" s="151"/>
      <c r="L96" s="495"/>
      <c r="M96" s="324"/>
      <c r="N96" s="325"/>
      <c r="O96" s="417"/>
      <c r="P96" s="417"/>
      <c r="Q96" s="417"/>
      <c r="R96" s="391" t="s">
        <v>15626</v>
      </c>
      <c r="S96" s="936">
        <f>$S$12</f>
        <v>0.96499999999999997</v>
      </c>
      <c r="T96" s="937"/>
      <c r="U96" s="943"/>
      <c r="V96" s="944"/>
      <c r="W96" s="948"/>
      <c r="X96" s="949"/>
      <c r="Y96" s="949"/>
      <c r="Z96" s="949"/>
      <c r="AA96" s="949"/>
      <c r="AB96" s="934" t="s">
        <v>30825</v>
      </c>
      <c r="AC96" s="935"/>
      <c r="AD96" s="935"/>
      <c r="AE96" s="935"/>
      <c r="AF96" s="935"/>
      <c r="AG96" s="935"/>
      <c r="AH96" s="935"/>
      <c r="AI96" s="935"/>
      <c r="AJ96" s="935"/>
      <c r="AK96" s="935"/>
      <c r="AL96" s="427" t="s">
        <v>15626</v>
      </c>
      <c r="AM96" s="964">
        <f>$AM$9</f>
        <v>0.5</v>
      </c>
      <c r="AN96" s="964"/>
      <c r="AO96" s="343"/>
      <c r="AP96" s="568"/>
      <c r="AQ96" s="568"/>
      <c r="AR96" s="599"/>
      <c r="AS96" s="489">
        <f>ROUND(ROUND(ROUND(I95*S96,0)*$U$110,0)*AM96,0)</f>
        <v>150</v>
      </c>
      <c r="AT96" s="359"/>
    </row>
    <row r="97" spans="1:46" ht="17.100000000000001" customHeight="1" x14ac:dyDescent="0.15">
      <c r="A97" s="340">
        <v>21</v>
      </c>
      <c r="B97" s="341">
        <v>8521</v>
      </c>
      <c r="C97" s="342" t="s">
        <v>31106</v>
      </c>
      <c r="D97" s="573"/>
      <c r="E97" s="574"/>
      <c r="F97" s="943"/>
      <c r="G97" s="944"/>
      <c r="H97" s="861" t="s">
        <v>30831</v>
      </c>
      <c r="I97" s="862"/>
      <c r="J97" s="862"/>
      <c r="K97" s="862"/>
      <c r="L97" s="863"/>
      <c r="M97" s="547"/>
      <c r="N97" s="400"/>
      <c r="O97" s="400"/>
      <c r="P97" s="400"/>
      <c r="Q97" s="400"/>
      <c r="R97" s="400"/>
      <c r="S97" s="400"/>
      <c r="T97" s="429"/>
      <c r="U97" s="604"/>
      <c r="V97" s="600"/>
      <c r="W97" s="601"/>
      <c r="X97" s="343"/>
      <c r="Y97" s="454"/>
      <c r="Z97" s="343"/>
      <c r="AA97" s="568"/>
      <c r="AB97" s="396"/>
      <c r="AC97" s="396"/>
      <c r="AD97" s="427"/>
      <c r="AE97" s="427"/>
      <c r="AF97" s="396"/>
      <c r="AG97" s="396"/>
      <c r="AH97" s="396"/>
      <c r="AI97" s="396"/>
      <c r="AJ97" s="396"/>
      <c r="AK97" s="396"/>
      <c r="AL97" s="427"/>
      <c r="AM97" s="964"/>
      <c r="AN97" s="964"/>
      <c r="AO97" s="575"/>
      <c r="AP97" s="575"/>
      <c r="AQ97" s="575"/>
      <c r="AR97" s="592"/>
      <c r="AS97" s="489">
        <f>ROUND(I101*$U$110,0)</f>
        <v>286</v>
      </c>
      <c r="AT97" s="359"/>
    </row>
    <row r="98" spans="1:46" ht="17.100000000000001" customHeight="1" x14ac:dyDescent="0.15">
      <c r="A98" s="340">
        <v>21</v>
      </c>
      <c r="B98" s="341">
        <v>8522</v>
      </c>
      <c r="C98" s="342" t="s">
        <v>31107</v>
      </c>
      <c r="D98" s="573"/>
      <c r="E98" s="574"/>
      <c r="F98" s="943"/>
      <c r="G98" s="944"/>
      <c r="H98" s="864"/>
      <c r="I98" s="865"/>
      <c r="J98" s="865"/>
      <c r="K98" s="865"/>
      <c r="L98" s="866"/>
      <c r="M98" s="494"/>
      <c r="N98" s="151"/>
      <c r="O98" s="151"/>
      <c r="P98" s="151"/>
      <c r="Q98" s="151"/>
      <c r="R98" s="151"/>
      <c r="S98" s="151"/>
      <c r="T98" s="495"/>
      <c r="U98" s="604"/>
      <c r="V98" s="602"/>
      <c r="W98" s="948" t="s">
        <v>30822</v>
      </c>
      <c r="X98" s="949"/>
      <c r="Y98" s="949"/>
      <c r="Z98" s="949"/>
      <c r="AA98" s="949"/>
      <c r="AB98" s="934" t="s">
        <v>30823</v>
      </c>
      <c r="AC98" s="935"/>
      <c r="AD98" s="935"/>
      <c r="AE98" s="935"/>
      <c r="AF98" s="935"/>
      <c r="AG98" s="935"/>
      <c r="AH98" s="935"/>
      <c r="AI98" s="935"/>
      <c r="AJ98" s="935"/>
      <c r="AK98" s="935"/>
      <c r="AL98" s="427" t="s">
        <v>15626</v>
      </c>
      <c r="AM98" s="964">
        <f>$AM$8</f>
        <v>0.7</v>
      </c>
      <c r="AN98" s="964"/>
      <c r="AO98" s="575"/>
      <c r="AP98" s="575"/>
      <c r="AQ98" s="575"/>
      <c r="AR98" s="592"/>
      <c r="AS98" s="489">
        <f>ROUND(ROUND(I101*$U$110,0)*AM98,0)</f>
        <v>200</v>
      </c>
      <c r="AT98" s="359"/>
    </row>
    <row r="99" spans="1:46" ht="17.100000000000001" customHeight="1" x14ac:dyDescent="0.15">
      <c r="A99" s="340">
        <v>21</v>
      </c>
      <c r="B99" s="341">
        <v>8921</v>
      </c>
      <c r="C99" s="342" t="s">
        <v>31108</v>
      </c>
      <c r="D99" s="573"/>
      <c r="E99" s="574"/>
      <c r="F99" s="943"/>
      <c r="G99" s="944"/>
      <c r="H99" s="430"/>
      <c r="I99" s="431"/>
      <c r="J99" s="431"/>
      <c r="K99" s="431"/>
      <c r="L99" s="432"/>
      <c r="M99" s="494"/>
      <c r="N99" s="151"/>
      <c r="O99" s="151"/>
      <c r="P99" s="151"/>
      <c r="Q99" s="151"/>
      <c r="R99" s="151"/>
      <c r="S99" s="151"/>
      <c r="T99" s="495"/>
      <c r="U99" s="604"/>
      <c r="V99" s="602"/>
      <c r="W99" s="948"/>
      <c r="X99" s="949"/>
      <c r="Y99" s="949"/>
      <c r="Z99" s="949"/>
      <c r="AA99" s="949"/>
      <c r="AB99" s="934" t="s">
        <v>30825</v>
      </c>
      <c r="AC99" s="935"/>
      <c r="AD99" s="935"/>
      <c r="AE99" s="935"/>
      <c r="AF99" s="935"/>
      <c r="AG99" s="935"/>
      <c r="AH99" s="935"/>
      <c r="AI99" s="935"/>
      <c r="AJ99" s="935"/>
      <c r="AK99" s="935"/>
      <c r="AL99" s="427" t="s">
        <v>15626</v>
      </c>
      <c r="AM99" s="964">
        <f>$AM$9</f>
        <v>0.5</v>
      </c>
      <c r="AN99" s="964"/>
      <c r="AO99" s="603"/>
      <c r="AP99" s="575"/>
      <c r="AQ99" s="575"/>
      <c r="AR99" s="592"/>
      <c r="AS99" s="489">
        <f>ROUND(ROUND(I101*$U$110,0)*AM99,0)</f>
        <v>143</v>
      </c>
      <c r="AT99" s="359"/>
    </row>
    <row r="100" spans="1:46" ht="17.100000000000001" customHeight="1" x14ac:dyDescent="0.15">
      <c r="A100" s="340">
        <v>21</v>
      </c>
      <c r="B100" s="341">
        <v>8523</v>
      </c>
      <c r="C100" s="342" t="s">
        <v>31109</v>
      </c>
      <c r="D100" s="573"/>
      <c r="E100" s="574"/>
      <c r="F100" s="943"/>
      <c r="G100" s="944"/>
      <c r="H100" s="490"/>
      <c r="L100" s="495"/>
      <c r="M100" s="861" t="s">
        <v>30827</v>
      </c>
      <c r="N100" s="862"/>
      <c r="O100" s="862"/>
      <c r="P100" s="862"/>
      <c r="Q100" s="862"/>
      <c r="R100" s="862"/>
      <c r="S100" s="862"/>
      <c r="T100" s="863"/>
      <c r="U100" s="604"/>
      <c r="V100" s="600"/>
      <c r="W100" s="330"/>
      <c r="X100" s="474"/>
      <c r="Y100" s="474"/>
      <c r="Z100" s="343"/>
      <c r="AA100" s="568"/>
      <c r="AB100" s="396"/>
      <c r="AC100" s="396"/>
      <c r="AD100" s="427"/>
      <c r="AE100" s="427"/>
      <c r="AF100" s="396"/>
      <c r="AG100" s="396"/>
      <c r="AH100" s="396"/>
      <c r="AI100" s="396"/>
      <c r="AJ100" s="396"/>
      <c r="AK100" s="396"/>
      <c r="AL100" s="427"/>
      <c r="AM100" s="964"/>
      <c r="AN100" s="964"/>
      <c r="AO100" s="396"/>
      <c r="AP100" s="575"/>
      <c r="AQ100" s="575"/>
      <c r="AR100" s="592"/>
      <c r="AS100" s="489">
        <f>ROUND(ROUND(I101*S102,0)*$U$110,0)</f>
        <v>277</v>
      </c>
      <c r="AT100" s="359"/>
    </row>
    <row r="101" spans="1:46" ht="17.100000000000001" customHeight="1" x14ac:dyDescent="0.15">
      <c r="A101" s="340">
        <v>21</v>
      </c>
      <c r="B101" s="341">
        <v>8524</v>
      </c>
      <c r="C101" s="342" t="s">
        <v>31110</v>
      </c>
      <c r="D101" s="573"/>
      <c r="E101" s="574"/>
      <c r="F101" s="943"/>
      <c r="G101" s="944"/>
      <c r="H101" s="490"/>
      <c r="I101" s="965">
        <f>'5療養介護(基本)'!I100</f>
        <v>409</v>
      </c>
      <c r="J101" s="965"/>
      <c r="K101" s="152" t="s">
        <v>15624</v>
      </c>
      <c r="L101" s="387"/>
      <c r="M101" s="864"/>
      <c r="N101" s="865"/>
      <c r="O101" s="865"/>
      <c r="P101" s="865"/>
      <c r="Q101" s="865"/>
      <c r="R101" s="865"/>
      <c r="S101" s="865"/>
      <c r="T101" s="866"/>
      <c r="U101" s="604"/>
      <c r="V101" s="602"/>
      <c r="W101" s="948" t="s">
        <v>30822</v>
      </c>
      <c r="X101" s="949"/>
      <c r="Y101" s="949"/>
      <c r="Z101" s="949"/>
      <c r="AA101" s="949"/>
      <c r="AB101" s="934" t="s">
        <v>30823</v>
      </c>
      <c r="AC101" s="935"/>
      <c r="AD101" s="935"/>
      <c r="AE101" s="935"/>
      <c r="AF101" s="935"/>
      <c r="AG101" s="935"/>
      <c r="AH101" s="935"/>
      <c r="AI101" s="935"/>
      <c r="AJ101" s="935"/>
      <c r="AK101" s="935"/>
      <c r="AL101" s="427" t="s">
        <v>15626</v>
      </c>
      <c r="AM101" s="964">
        <f>$AM$8</f>
        <v>0.7</v>
      </c>
      <c r="AN101" s="964"/>
      <c r="AO101" s="396"/>
      <c r="AP101" s="575"/>
      <c r="AQ101" s="575"/>
      <c r="AR101" s="592"/>
      <c r="AS101" s="489">
        <f>ROUND(ROUND(ROUND(I101*S102,0)*$U$110,0)*AM101,0)</f>
        <v>194</v>
      </c>
      <c r="AT101" s="359"/>
    </row>
    <row r="102" spans="1:46" ht="17.100000000000001" customHeight="1" x14ac:dyDescent="0.15">
      <c r="A102" s="340">
        <v>21</v>
      </c>
      <c r="B102" s="341">
        <v>8922</v>
      </c>
      <c r="C102" s="342" t="s">
        <v>31111</v>
      </c>
      <c r="D102" s="573"/>
      <c r="E102" s="574"/>
      <c r="F102" s="943"/>
      <c r="G102" s="944"/>
      <c r="H102" s="490"/>
      <c r="I102" s="151"/>
      <c r="J102" s="151"/>
      <c r="L102" s="495"/>
      <c r="M102" s="324"/>
      <c r="N102" s="325"/>
      <c r="O102" s="417"/>
      <c r="P102" s="417"/>
      <c r="Q102" s="417"/>
      <c r="R102" s="391" t="s">
        <v>15626</v>
      </c>
      <c r="S102" s="936">
        <f>$S$12</f>
        <v>0.96499999999999997</v>
      </c>
      <c r="T102" s="937"/>
      <c r="U102" s="604"/>
      <c r="V102" s="602"/>
      <c r="W102" s="948"/>
      <c r="X102" s="949"/>
      <c r="Y102" s="949"/>
      <c r="Z102" s="949"/>
      <c r="AA102" s="949"/>
      <c r="AB102" s="934" t="s">
        <v>30825</v>
      </c>
      <c r="AC102" s="935"/>
      <c r="AD102" s="935"/>
      <c r="AE102" s="935"/>
      <c r="AF102" s="935"/>
      <c r="AG102" s="935"/>
      <c r="AH102" s="935"/>
      <c r="AI102" s="935"/>
      <c r="AJ102" s="935"/>
      <c r="AK102" s="935"/>
      <c r="AL102" s="427" t="s">
        <v>15626</v>
      </c>
      <c r="AM102" s="964">
        <f>$AM$9</f>
        <v>0.5</v>
      </c>
      <c r="AN102" s="964"/>
      <c r="AO102" s="343"/>
      <c r="AP102" s="568"/>
      <c r="AQ102" s="568"/>
      <c r="AR102" s="599"/>
      <c r="AS102" s="489">
        <f>ROUND(ROUND(ROUND(I101*S102,0)*$U$110,0)*AM102,0)</f>
        <v>139</v>
      </c>
      <c r="AT102" s="359"/>
    </row>
    <row r="103" spans="1:46" ht="17.100000000000001" customHeight="1" x14ac:dyDescent="0.15">
      <c r="A103" s="340">
        <v>21</v>
      </c>
      <c r="B103" s="341">
        <v>8531</v>
      </c>
      <c r="C103" s="342" t="s">
        <v>31112</v>
      </c>
      <c r="D103" s="423"/>
      <c r="E103" s="424"/>
      <c r="F103" s="604"/>
      <c r="G103" s="600"/>
      <c r="H103" s="864" t="s">
        <v>30838</v>
      </c>
      <c r="I103" s="865"/>
      <c r="J103" s="865"/>
      <c r="K103" s="865"/>
      <c r="L103" s="866"/>
      <c r="M103" s="547"/>
      <c r="N103" s="400"/>
      <c r="O103" s="400"/>
      <c r="P103" s="400"/>
      <c r="Q103" s="400"/>
      <c r="R103" s="400"/>
      <c r="S103" s="400"/>
      <c r="T103" s="429"/>
      <c r="U103" s="604"/>
      <c r="V103" s="600"/>
      <c r="W103" s="601"/>
      <c r="X103" s="343"/>
      <c r="Y103" s="454"/>
      <c r="Z103" s="343"/>
      <c r="AA103" s="568"/>
      <c r="AB103" s="396"/>
      <c r="AC103" s="396"/>
      <c r="AD103" s="427"/>
      <c r="AE103" s="427"/>
      <c r="AF103" s="396"/>
      <c r="AG103" s="396"/>
      <c r="AH103" s="396"/>
      <c r="AI103" s="396"/>
      <c r="AJ103" s="396"/>
      <c r="AK103" s="396"/>
      <c r="AL103" s="427"/>
      <c r="AM103" s="964"/>
      <c r="AN103" s="964"/>
      <c r="AO103" s="575"/>
      <c r="AP103" s="575"/>
      <c r="AQ103" s="575"/>
      <c r="AR103" s="592"/>
      <c r="AS103" s="489">
        <f>ROUND(I107*$U$110,0)</f>
        <v>267</v>
      </c>
      <c r="AT103" s="359"/>
    </row>
    <row r="104" spans="1:46" ht="17.100000000000001" customHeight="1" x14ac:dyDescent="0.15">
      <c r="A104" s="340">
        <v>21</v>
      </c>
      <c r="B104" s="341">
        <v>8532</v>
      </c>
      <c r="C104" s="342" t="s">
        <v>31113</v>
      </c>
      <c r="D104" s="423"/>
      <c r="E104" s="424"/>
      <c r="F104" s="604"/>
      <c r="G104" s="600"/>
      <c r="H104" s="864"/>
      <c r="I104" s="865"/>
      <c r="J104" s="865"/>
      <c r="K104" s="865"/>
      <c r="L104" s="866"/>
      <c r="M104" s="494"/>
      <c r="N104" s="151"/>
      <c r="O104" s="151"/>
      <c r="P104" s="151"/>
      <c r="Q104" s="151"/>
      <c r="R104" s="151"/>
      <c r="S104" s="151"/>
      <c r="T104" s="495"/>
      <c r="U104" s="604"/>
      <c r="V104" s="602"/>
      <c r="W104" s="948" t="s">
        <v>30822</v>
      </c>
      <c r="X104" s="949"/>
      <c r="Y104" s="949"/>
      <c r="Z104" s="949"/>
      <c r="AA104" s="949"/>
      <c r="AB104" s="934" t="s">
        <v>30823</v>
      </c>
      <c r="AC104" s="935"/>
      <c r="AD104" s="935"/>
      <c r="AE104" s="935"/>
      <c r="AF104" s="935"/>
      <c r="AG104" s="935"/>
      <c r="AH104" s="935"/>
      <c r="AI104" s="935"/>
      <c r="AJ104" s="935"/>
      <c r="AK104" s="935"/>
      <c r="AL104" s="427" t="s">
        <v>15626</v>
      </c>
      <c r="AM104" s="964">
        <f>$AM$8</f>
        <v>0.7</v>
      </c>
      <c r="AN104" s="964"/>
      <c r="AO104" s="575"/>
      <c r="AP104" s="575"/>
      <c r="AQ104" s="575"/>
      <c r="AR104" s="592"/>
      <c r="AS104" s="489">
        <f>ROUND(ROUND(I107*$U$110,0)*AM104,0)</f>
        <v>187</v>
      </c>
      <c r="AT104" s="359"/>
    </row>
    <row r="105" spans="1:46" ht="17.100000000000001" customHeight="1" x14ac:dyDescent="0.15">
      <c r="A105" s="340">
        <v>21</v>
      </c>
      <c r="B105" s="341">
        <v>8929</v>
      </c>
      <c r="C105" s="342" t="s">
        <v>31114</v>
      </c>
      <c r="D105" s="423"/>
      <c r="E105" s="424"/>
      <c r="F105" s="604"/>
      <c r="G105" s="600"/>
      <c r="H105" s="430"/>
      <c r="I105" s="431"/>
      <c r="J105" s="431"/>
      <c r="K105" s="431"/>
      <c r="L105" s="432"/>
      <c r="M105" s="494"/>
      <c r="N105" s="151"/>
      <c r="O105" s="151"/>
      <c r="P105" s="151"/>
      <c r="Q105" s="151"/>
      <c r="R105" s="151"/>
      <c r="S105" s="151"/>
      <c r="T105" s="495"/>
      <c r="U105" s="604"/>
      <c r="V105" s="602"/>
      <c r="W105" s="948"/>
      <c r="X105" s="949"/>
      <c r="Y105" s="949"/>
      <c r="Z105" s="949"/>
      <c r="AA105" s="949"/>
      <c r="AB105" s="934" t="s">
        <v>30825</v>
      </c>
      <c r="AC105" s="935"/>
      <c r="AD105" s="935"/>
      <c r="AE105" s="935"/>
      <c r="AF105" s="935"/>
      <c r="AG105" s="935"/>
      <c r="AH105" s="935"/>
      <c r="AI105" s="935"/>
      <c r="AJ105" s="935"/>
      <c r="AK105" s="935"/>
      <c r="AL105" s="427" t="s">
        <v>15626</v>
      </c>
      <c r="AM105" s="964">
        <f>$AM$9</f>
        <v>0.5</v>
      </c>
      <c r="AN105" s="964"/>
      <c r="AO105" s="603"/>
      <c r="AP105" s="575"/>
      <c r="AQ105" s="575"/>
      <c r="AR105" s="592"/>
      <c r="AS105" s="353">
        <f>ROUND(ROUND(I107*$U$110,0)*AM105,0)</f>
        <v>134</v>
      </c>
      <c r="AT105" s="387"/>
    </row>
    <row r="106" spans="1:46" ht="17.100000000000001" customHeight="1" x14ac:dyDescent="0.15">
      <c r="A106" s="340">
        <v>21</v>
      </c>
      <c r="B106" s="341">
        <v>8533</v>
      </c>
      <c r="C106" s="342" t="s">
        <v>31115</v>
      </c>
      <c r="D106" s="423"/>
      <c r="E106" s="424"/>
      <c r="F106" s="604"/>
      <c r="G106" s="600"/>
      <c r="H106" s="490"/>
      <c r="M106" s="861" t="s">
        <v>30827</v>
      </c>
      <c r="N106" s="862"/>
      <c r="O106" s="862"/>
      <c r="P106" s="862"/>
      <c r="Q106" s="862"/>
      <c r="R106" s="862"/>
      <c r="S106" s="862"/>
      <c r="T106" s="863"/>
      <c r="U106" s="604"/>
      <c r="V106" s="600"/>
      <c r="W106" s="330"/>
      <c r="X106" s="474"/>
      <c r="Y106" s="474"/>
      <c r="Z106" s="343"/>
      <c r="AA106" s="568"/>
      <c r="AB106" s="396"/>
      <c r="AC106" s="396"/>
      <c r="AD106" s="427"/>
      <c r="AE106" s="427"/>
      <c r="AF106" s="396"/>
      <c r="AG106" s="396"/>
      <c r="AH106" s="396"/>
      <c r="AI106" s="396"/>
      <c r="AJ106" s="396"/>
      <c r="AK106" s="396"/>
      <c r="AL106" s="427"/>
      <c r="AM106" s="964"/>
      <c r="AN106" s="964"/>
      <c r="AO106" s="396"/>
      <c r="AP106" s="575"/>
      <c r="AQ106" s="575"/>
      <c r="AR106" s="592"/>
      <c r="AS106" s="488">
        <f>ROUND(ROUND(I107*S108,0)*$U$110,0)</f>
        <v>258</v>
      </c>
      <c r="AT106" s="359"/>
    </row>
    <row r="107" spans="1:46" ht="17.100000000000001" customHeight="1" x14ac:dyDescent="0.15">
      <c r="A107" s="340">
        <v>21</v>
      </c>
      <c r="B107" s="341">
        <v>8534</v>
      </c>
      <c r="C107" s="342" t="s">
        <v>31116</v>
      </c>
      <c r="D107" s="423"/>
      <c r="E107" s="424"/>
      <c r="F107" s="604"/>
      <c r="G107" s="600"/>
      <c r="H107" s="490"/>
      <c r="I107" s="965">
        <f>'5療養介護(基本)'!I106</f>
        <v>381</v>
      </c>
      <c r="J107" s="965"/>
      <c r="K107" s="387" t="s">
        <v>15624</v>
      </c>
      <c r="L107" s="387"/>
      <c r="M107" s="864"/>
      <c r="N107" s="865"/>
      <c r="O107" s="865"/>
      <c r="P107" s="865"/>
      <c r="Q107" s="865"/>
      <c r="R107" s="865"/>
      <c r="S107" s="865"/>
      <c r="T107" s="866"/>
      <c r="U107" s="604"/>
      <c r="V107" s="602"/>
      <c r="W107" s="948" t="s">
        <v>30822</v>
      </c>
      <c r="X107" s="949"/>
      <c r="Y107" s="949"/>
      <c r="Z107" s="949"/>
      <c r="AA107" s="949"/>
      <c r="AB107" s="934" t="s">
        <v>30823</v>
      </c>
      <c r="AC107" s="935"/>
      <c r="AD107" s="935"/>
      <c r="AE107" s="935"/>
      <c r="AF107" s="935"/>
      <c r="AG107" s="935"/>
      <c r="AH107" s="935"/>
      <c r="AI107" s="935"/>
      <c r="AJ107" s="935"/>
      <c r="AK107" s="935"/>
      <c r="AL107" s="427" t="s">
        <v>15626</v>
      </c>
      <c r="AM107" s="964">
        <f>$AM$8</f>
        <v>0.7</v>
      </c>
      <c r="AN107" s="964"/>
      <c r="AO107" s="396"/>
      <c r="AP107" s="575"/>
      <c r="AQ107" s="575"/>
      <c r="AR107" s="592"/>
      <c r="AS107" s="489">
        <f>ROUND(ROUND(ROUND(I107*S108,0)*$U$110,0)*AM107,0)</f>
        <v>181</v>
      </c>
      <c r="AT107" s="359"/>
    </row>
    <row r="108" spans="1:46" ht="17.100000000000001" customHeight="1" x14ac:dyDescent="0.15">
      <c r="A108" s="340">
        <v>21</v>
      </c>
      <c r="B108" s="341">
        <v>8930</v>
      </c>
      <c r="C108" s="342" t="s">
        <v>31117</v>
      </c>
      <c r="D108" s="423"/>
      <c r="E108" s="424"/>
      <c r="F108" s="605"/>
      <c r="G108" s="606"/>
      <c r="H108" s="490"/>
      <c r="I108" s="151"/>
      <c r="J108" s="151"/>
      <c r="L108" s="495"/>
      <c r="M108" s="324"/>
      <c r="N108" s="325"/>
      <c r="O108" s="417"/>
      <c r="P108" s="417"/>
      <c r="Q108" s="417"/>
      <c r="R108" s="391" t="s">
        <v>15626</v>
      </c>
      <c r="S108" s="936">
        <f>$S$12</f>
        <v>0.96499999999999997</v>
      </c>
      <c r="T108" s="937"/>
      <c r="U108" s="604"/>
      <c r="V108" s="602"/>
      <c r="W108" s="948"/>
      <c r="X108" s="949"/>
      <c r="Y108" s="949"/>
      <c r="Z108" s="949"/>
      <c r="AA108" s="949"/>
      <c r="AB108" s="934" t="s">
        <v>30825</v>
      </c>
      <c r="AC108" s="935"/>
      <c r="AD108" s="935"/>
      <c r="AE108" s="935"/>
      <c r="AF108" s="935"/>
      <c r="AG108" s="935"/>
      <c r="AH108" s="935"/>
      <c r="AI108" s="935"/>
      <c r="AJ108" s="935"/>
      <c r="AK108" s="935"/>
      <c r="AL108" s="427" t="s">
        <v>15626</v>
      </c>
      <c r="AM108" s="964">
        <f>$AM$9</f>
        <v>0.5</v>
      </c>
      <c r="AN108" s="964"/>
      <c r="AO108" s="343"/>
      <c r="AP108" s="568"/>
      <c r="AQ108" s="568"/>
      <c r="AR108" s="599"/>
      <c r="AS108" s="489">
        <f>ROUND(ROUND(ROUND(I107*S108,0)*$U$110,0)*AM108,0)</f>
        <v>129</v>
      </c>
      <c r="AT108" s="359"/>
    </row>
    <row r="109" spans="1:46" ht="17.100000000000001" customHeight="1" x14ac:dyDescent="0.15">
      <c r="A109" s="340">
        <v>21</v>
      </c>
      <c r="B109" s="341">
        <v>8541</v>
      </c>
      <c r="C109" s="342" t="s">
        <v>31118</v>
      </c>
      <c r="D109" s="423"/>
      <c r="E109" s="424"/>
      <c r="F109" s="423"/>
      <c r="G109" s="424"/>
      <c r="H109" s="861" t="s">
        <v>30845</v>
      </c>
      <c r="I109" s="862"/>
      <c r="J109" s="862"/>
      <c r="K109" s="862"/>
      <c r="L109" s="863"/>
      <c r="M109" s="547"/>
      <c r="N109" s="400"/>
      <c r="O109" s="400"/>
      <c r="P109" s="400"/>
      <c r="Q109" s="400"/>
      <c r="R109" s="400"/>
      <c r="S109" s="400"/>
      <c r="T109" s="429"/>
      <c r="U109" s="901" t="s">
        <v>15626</v>
      </c>
      <c r="V109" s="902"/>
      <c r="W109" s="601"/>
      <c r="X109" s="343"/>
      <c r="Y109" s="454"/>
      <c r="Z109" s="343"/>
      <c r="AA109" s="568"/>
      <c r="AB109" s="396"/>
      <c r="AC109" s="396"/>
      <c r="AD109" s="427"/>
      <c r="AE109" s="427"/>
      <c r="AF109" s="396"/>
      <c r="AG109" s="396"/>
      <c r="AH109" s="396"/>
      <c r="AI109" s="396"/>
      <c r="AJ109" s="396"/>
      <c r="AK109" s="396"/>
      <c r="AL109" s="427"/>
      <c r="AM109" s="964"/>
      <c r="AN109" s="964"/>
      <c r="AO109" s="575"/>
      <c r="AP109" s="575"/>
      <c r="AQ109" s="575"/>
      <c r="AR109" s="592"/>
      <c r="AS109" s="489">
        <f>ROUND(I113*$U$110,0)</f>
        <v>253</v>
      </c>
      <c r="AT109" s="359"/>
    </row>
    <row r="110" spans="1:46" ht="17.100000000000001" customHeight="1" x14ac:dyDescent="0.15">
      <c r="A110" s="340">
        <v>21</v>
      </c>
      <c r="B110" s="341">
        <v>8542</v>
      </c>
      <c r="C110" s="342" t="s">
        <v>31119</v>
      </c>
      <c r="D110" s="423"/>
      <c r="E110" s="424"/>
      <c r="F110" s="423"/>
      <c r="G110" s="424"/>
      <c r="H110" s="864"/>
      <c r="I110" s="865"/>
      <c r="J110" s="865"/>
      <c r="K110" s="865"/>
      <c r="L110" s="866"/>
      <c r="M110" s="494"/>
      <c r="N110" s="151"/>
      <c r="O110" s="151"/>
      <c r="P110" s="151"/>
      <c r="Q110" s="151"/>
      <c r="R110" s="151"/>
      <c r="S110" s="151"/>
      <c r="T110" s="495"/>
      <c r="U110" s="966">
        <f>U74</f>
        <v>0.7</v>
      </c>
      <c r="V110" s="967"/>
      <c r="W110" s="948" t="s">
        <v>30822</v>
      </c>
      <c r="X110" s="949"/>
      <c r="Y110" s="949"/>
      <c r="Z110" s="949"/>
      <c r="AA110" s="949"/>
      <c r="AB110" s="934" t="s">
        <v>30823</v>
      </c>
      <c r="AC110" s="935"/>
      <c r="AD110" s="935"/>
      <c r="AE110" s="935"/>
      <c r="AF110" s="935"/>
      <c r="AG110" s="935"/>
      <c r="AH110" s="935"/>
      <c r="AI110" s="935"/>
      <c r="AJ110" s="935"/>
      <c r="AK110" s="935"/>
      <c r="AL110" s="427" t="s">
        <v>15626</v>
      </c>
      <c r="AM110" s="964">
        <f>$AM$8</f>
        <v>0.7</v>
      </c>
      <c r="AN110" s="964"/>
      <c r="AO110" s="575"/>
      <c r="AP110" s="575"/>
      <c r="AQ110" s="575"/>
      <c r="AR110" s="592"/>
      <c r="AS110" s="489">
        <f>ROUND(ROUND(I113*$U$110,0)*AM110,0)</f>
        <v>177</v>
      </c>
      <c r="AT110" s="359"/>
    </row>
    <row r="111" spans="1:46" ht="17.100000000000001" customHeight="1" x14ac:dyDescent="0.15">
      <c r="A111" s="340">
        <v>21</v>
      </c>
      <c r="B111" s="341">
        <v>8937</v>
      </c>
      <c r="C111" s="342" t="s">
        <v>31120</v>
      </c>
      <c r="D111" s="423"/>
      <c r="E111" s="424"/>
      <c r="F111" s="423"/>
      <c r="G111" s="424"/>
      <c r="H111" s="430"/>
      <c r="I111" s="431"/>
      <c r="J111" s="431"/>
      <c r="K111" s="431"/>
      <c r="L111" s="432"/>
      <c r="M111" s="494"/>
      <c r="N111" s="151"/>
      <c r="O111" s="151"/>
      <c r="P111" s="151"/>
      <c r="Q111" s="151"/>
      <c r="R111" s="151"/>
      <c r="S111" s="151"/>
      <c r="T111" s="495"/>
      <c r="U111" s="609"/>
      <c r="V111" s="610"/>
      <c r="W111" s="948"/>
      <c r="X111" s="949"/>
      <c r="Y111" s="949"/>
      <c r="Z111" s="949"/>
      <c r="AA111" s="949"/>
      <c r="AB111" s="934" t="s">
        <v>30825</v>
      </c>
      <c r="AC111" s="935"/>
      <c r="AD111" s="935"/>
      <c r="AE111" s="935"/>
      <c r="AF111" s="935"/>
      <c r="AG111" s="935"/>
      <c r="AH111" s="935"/>
      <c r="AI111" s="935"/>
      <c r="AJ111" s="935"/>
      <c r="AK111" s="935"/>
      <c r="AL111" s="427" t="s">
        <v>15626</v>
      </c>
      <c r="AM111" s="964">
        <f>$AM$9</f>
        <v>0.5</v>
      </c>
      <c r="AN111" s="964"/>
      <c r="AO111" s="603"/>
      <c r="AP111" s="575"/>
      <c r="AQ111" s="575"/>
      <c r="AR111" s="592"/>
      <c r="AS111" s="489">
        <f>ROUND(ROUND(I113*$U$110,0)*AM111,0)</f>
        <v>127</v>
      </c>
      <c r="AT111" s="359"/>
    </row>
    <row r="112" spans="1:46" ht="17.100000000000001" customHeight="1" x14ac:dyDescent="0.15">
      <c r="A112" s="340">
        <v>21</v>
      </c>
      <c r="B112" s="341">
        <v>8543</v>
      </c>
      <c r="C112" s="342" t="s">
        <v>31121</v>
      </c>
      <c r="D112" s="423"/>
      <c r="E112" s="424"/>
      <c r="F112" s="423"/>
      <c r="G112" s="424"/>
      <c r="H112" s="490"/>
      <c r="M112" s="861" t="s">
        <v>30827</v>
      </c>
      <c r="N112" s="862"/>
      <c r="O112" s="862"/>
      <c r="P112" s="862"/>
      <c r="Q112" s="862"/>
      <c r="R112" s="862"/>
      <c r="S112" s="862"/>
      <c r="T112" s="863"/>
      <c r="U112" s="534"/>
      <c r="V112" s="608"/>
      <c r="W112" s="330"/>
      <c r="X112" s="474"/>
      <c r="Y112" s="474"/>
      <c r="Z112" s="343"/>
      <c r="AA112" s="568"/>
      <c r="AB112" s="396"/>
      <c r="AC112" s="396"/>
      <c r="AD112" s="427"/>
      <c r="AE112" s="427"/>
      <c r="AF112" s="396"/>
      <c r="AG112" s="396"/>
      <c r="AH112" s="396"/>
      <c r="AI112" s="396"/>
      <c r="AJ112" s="396"/>
      <c r="AK112" s="396"/>
      <c r="AL112" s="427"/>
      <c r="AM112" s="964"/>
      <c r="AN112" s="964"/>
      <c r="AO112" s="396"/>
      <c r="AP112" s="575"/>
      <c r="AQ112" s="575"/>
      <c r="AR112" s="592"/>
      <c r="AS112" s="489">
        <f>ROUND(ROUND(I113*S114,0)*$U$110,0)</f>
        <v>244</v>
      </c>
      <c r="AT112" s="359"/>
    </row>
    <row r="113" spans="1:46" ht="17.100000000000001" customHeight="1" x14ac:dyDescent="0.15">
      <c r="A113" s="340">
        <v>21</v>
      </c>
      <c r="B113" s="341">
        <v>8544</v>
      </c>
      <c r="C113" s="342" t="s">
        <v>31122</v>
      </c>
      <c r="D113" s="490"/>
      <c r="E113" s="495"/>
      <c r="F113" s="490"/>
      <c r="G113" s="495"/>
      <c r="H113" s="490"/>
      <c r="I113" s="965">
        <f>'5療養介護(基本)'!I112</f>
        <v>361</v>
      </c>
      <c r="J113" s="965"/>
      <c r="K113" s="387" t="s">
        <v>15624</v>
      </c>
      <c r="L113" s="387"/>
      <c r="M113" s="864"/>
      <c r="N113" s="865"/>
      <c r="O113" s="865"/>
      <c r="P113" s="865"/>
      <c r="Q113" s="865"/>
      <c r="R113" s="865"/>
      <c r="S113" s="865"/>
      <c r="T113" s="866"/>
      <c r="U113" s="490"/>
      <c r="V113" s="387"/>
      <c r="W113" s="948" t="s">
        <v>30822</v>
      </c>
      <c r="X113" s="949"/>
      <c r="Y113" s="949"/>
      <c r="Z113" s="949"/>
      <c r="AA113" s="949"/>
      <c r="AB113" s="934" t="s">
        <v>30823</v>
      </c>
      <c r="AC113" s="935"/>
      <c r="AD113" s="935"/>
      <c r="AE113" s="935"/>
      <c r="AF113" s="935"/>
      <c r="AG113" s="935"/>
      <c r="AH113" s="935"/>
      <c r="AI113" s="935"/>
      <c r="AJ113" s="935"/>
      <c r="AK113" s="935"/>
      <c r="AL113" s="427" t="s">
        <v>15626</v>
      </c>
      <c r="AM113" s="964">
        <f>$AM$8</f>
        <v>0.7</v>
      </c>
      <c r="AN113" s="964"/>
      <c r="AO113" s="396"/>
      <c r="AP113" s="575"/>
      <c r="AQ113" s="575"/>
      <c r="AR113" s="592"/>
      <c r="AS113" s="491">
        <f>ROUND(ROUND(ROUND(I113*S114,0)*$U$110,0)*AM113,0)</f>
        <v>171</v>
      </c>
      <c r="AT113" s="359"/>
    </row>
    <row r="114" spans="1:46" ht="17.100000000000001" customHeight="1" x14ac:dyDescent="0.15">
      <c r="A114" s="340">
        <v>21</v>
      </c>
      <c r="B114" s="341">
        <v>8938</v>
      </c>
      <c r="C114" s="342" t="s">
        <v>31123</v>
      </c>
      <c r="D114" s="598"/>
      <c r="E114" s="578"/>
      <c r="F114" s="598"/>
      <c r="G114" s="578"/>
      <c r="H114" s="324"/>
      <c r="I114" s="417"/>
      <c r="J114" s="417"/>
      <c r="K114" s="417"/>
      <c r="L114" s="578"/>
      <c r="M114" s="324"/>
      <c r="N114" s="325"/>
      <c r="O114" s="417"/>
      <c r="P114" s="417"/>
      <c r="Q114" s="417"/>
      <c r="R114" s="391" t="s">
        <v>15626</v>
      </c>
      <c r="S114" s="936">
        <f>$S$12</f>
        <v>0.96499999999999997</v>
      </c>
      <c r="T114" s="937"/>
      <c r="U114" s="324"/>
      <c r="V114" s="388"/>
      <c r="W114" s="970"/>
      <c r="X114" s="971"/>
      <c r="Y114" s="971"/>
      <c r="Z114" s="971"/>
      <c r="AA114" s="971"/>
      <c r="AB114" s="934" t="s">
        <v>30825</v>
      </c>
      <c r="AC114" s="935"/>
      <c r="AD114" s="935"/>
      <c r="AE114" s="935"/>
      <c r="AF114" s="935"/>
      <c r="AG114" s="935"/>
      <c r="AH114" s="935"/>
      <c r="AI114" s="935"/>
      <c r="AJ114" s="935"/>
      <c r="AK114" s="935"/>
      <c r="AL114" s="455" t="s">
        <v>15626</v>
      </c>
      <c r="AM114" s="938">
        <f>$AM$9</f>
        <v>0.5</v>
      </c>
      <c r="AN114" s="938"/>
      <c r="AO114" s="343"/>
      <c r="AP114" s="568"/>
      <c r="AQ114" s="568"/>
      <c r="AR114" s="599"/>
      <c r="AS114" s="491">
        <f>ROUND(ROUND(ROUND(I113*S114,0)*$U$110,0)*AM114,0)</f>
        <v>122</v>
      </c>
      <c r="AT114" s="350"/>
    </row>
    <row r="115" spans="1:46" ht="17.100000000000001" customHeight="1" x14ac:dyDescent="0.15">
      <c r="A115" s="340">
        <v>21</v>
      </c>
      <c r="B115" s="341">
        <v>8611</v>
      </c>
      <c r="C115" s="342" t="s">
        <v>31124</v>
      </c>
      <c r="D115" s="941" t="s">
        <v>30940</v>
      </c>
      <c r="E115" s="942"/>
      <c r="F115" s="941" t="s">
        <v>30941</v>
      </c>
      <c r="G115" s="942"/>
      <c r="H115" s="861" t="s">
        <v>30820</v>
      </c>
      <c r="I115" s="862"/>
      <c r="J115" s="862"/>
      <c r="K115" s="862"/>
      <c r="L115" s="863"/>
      <c r="M115" s="547"/>
      <c r="N115" s="400"/>
      <c r="O115" s="400"/>
      <c r="P115" s="400"/>
      <c r="Q115" s="400"/>
      <c r="R115" s="400"/>
      <c r="S115" s="400"/>
      <c r="T115" s="429"/>
      <c r="U115" s="941" t="s">
        <v>31016</v>
      </c>
      <c r="V115" s="968"/>
      <c r="W115" s="601"/>
      <c r="X115" s="343"/>
      <c r="Y115" s="454"/>
      <c r="Z115" s="343"/>
      <c r="AA115" s="568"/>
      <c r="AB115" s="396"/>
      <c r="AC115" s="396"/>
      <c r="AD115" s="427"/>
      <c r="AE115" s="427"/>
      <c r="AF115" s="396"/>
      <c r="AG115" s="396"/>
      <c r="AH115" s="396"/>
      <c r="AI115" s="396"/>
      <c r="AJ115" s="396"/>
      <c r="AK115" s="396"/>
      <c r="AL115" s="427"/>
      <c r="AM115" s="964"/>
      <c r="AN115" s="964"/>
      <c r="AO115" s="575"/>
      <c r="AP115" s="575"/>
      <c r="AQ115" s="575"/>
      <c r="AR115" s="592"/>
      <c r="AS115" s="353">
        <f>ROUND(I119*$U$134,0)</f>
        <v>631</v>
      </c>
      <c r="AT115" s="339" t="s">
        <v>30681</v>
      </c>
    </row>
    <row r="116" spans="1:46" ht="17.100000000000001" customHeight="1" x14ac:dyDescent="0.15">
      <c r="A116" s="340">
        <v>21</v>
      </c>
      <c r="B116" s="341">
        <v>8612</v>
      </c>
      <c r="C116" s="342" t="s">
        <v>31125</v>
      </c>
      <c r="D116" s="943"/>
      <c r="E116" s="944"/>
      <c r="F116" s="943"/>
      <c r="G116" s="944"/>
      <c r="H116" s="864"/>
      <c r="I116" s="865"/>
      <c r="J116" s="865"/>
      <c r="K116" s="865"/>
      <c r="L116" s="866"/>
      <c r="M116" s="494"/>
      <c r="N116" s="151"/>
      <c r="O116" s="151"/>
      <c r="P116" s="151"/>
      <c r="Q116" s="151"/>
      <c r="R116" s="151"/>
      <c r="S116" s="151"/>
      <c r="T116" s="495"/>
      <c r="U116" s="943"/>
      <c r="V116" s="944"/>
      <c r="W116" s="948" t="s">
        <v>30822</v>
      </c>
      <c r="X116" s="949"/>
      <c r="Y116" s="949"/>
      <c r="Z116" s="949"/>
      <c r="AA116" s="949"/>
      <c r="AB116" s="934" t="s">
        <v>30823</v>
      </c>
      <c r="AC116" s="935"/>
      <c r="AD116" s="935"/>
      <c r="AE116" s="935"/>
      <c r="AF116" s="935"/>
      <c r="AG116" s="935"/>
      <c r="AH116" s="935"/>
      <c r="AI116" s="935"/>
      <c r="AJ116" s="935"/>
      <c r="AK116" s="935"/>
      <c r="AL116" s="427" t="s">
        <v>15626</v>
      </c>
      <c r="AM116" s="964">
        <f>$AM$8</f>
        <v>0.7</v>
      </c>
      <c r="AN116" s="964"/>
      <c r="AO116" s="575"/>
      <c r="AP116" s="575"/>
      <c r="AQ116" s="575"/>
      <c r="AR116" s="592"/>
      <c r="AS116" s="353">
        <f>ROUND(ROUND(I119*$U$134,0)*AM116,0)</f>
        <v>442</v>
      </c>
      <c r="AT116" s="339"/>
    </row>
    <row r="117" spans="1:46" ht="17.100000000000001" customHeight="1" x14ac:dyDescent="0.15">
      <c r="A117" s="340">
        <v>21</v>
      </c>
      <c r="B117" s="341">
        <v>8945</v>
      </c>
      <c r="C117" s="342" t="s">
        <v>31126</v>
      </c>
      <c r="D117" s="943"/>
      <c r="E117" s="944"/>
      <c r="F117" s="943"/>
      <c r="G117" s="944"/>
      <c r="H117" s="430"/>
      <c r="I117" s="431"/>
      <c r="J117" s="431"/>
      <c r="K117" s="431"/>
      <c r="L117" s="432"/>
      <c r="M117" s="494"/>
      <c r="N117" s="151"/>
      <c r="O117" s="151"/>
      <c r="P117" s="151"/>
      <c r="Q117" s="151"/>
      <c r="R117" s="151"/>
      <c r="S117" s="151"/>
      <c r="T117" s="495"/>
      <c r="U117" s="943"/>
      <c r="V117" s="944"/>
      <c r="W117" s="948"/>
      <c r="X117" s="949"/>
      <c r="Y117" s="949"/>
      <c r="Z117" s="949"/>
      <c r="AA117" s="949"/>
      <c r="AB117" s="934" t="s">
        <v>30825</v>
      </c>
      <c r="AC117" s="935"/>
      <c r="AD117" s="935"/>
      <c r="AE117" s="935"/>
      <c r="AF117" s="935"/>
      <c r="AG117" s="935"/>
      <c r="AH117" s="935"/>
      <c r="AI117" s="935"/>
      <c r="AJ117" s="935"/>
      <c r="AK117" s="935"/>
      <c r="AL117" s="427" t="s">
        <v>15626</v>
      </c>
      <c r="AM117" s="964">
        <f>$AM$9</f>
        <v>0.5</v>
      </c>
      <c r="AN117" s="964"/>
      <c r="AO117" s="603"/>
      <c r="AP117" s="575"/>
      <c r="AQ117" s="575"/>
      <c r="AR117" s="592"/>
      <c r="AS117" s="353">
        <f>ROUND(ROUND(I119*$U$134,0)*AM117,0)</f>
        <v>316</v>
      </c>
      <c r="AT117" s="586"/>
    </row>
    <row r="118" spans="1:46" ht="17.100000000000001" customHeight="1" x14ac:dyDescent="0.15">
      <c r="A118" s="340">
        <v>21</v>
      </c>
      <c r="B118" s="341">
        <v>8613</v>
      </c>
      <c r="C118" s="342" t="s">
        <v>31127</v>
      </c>
      <c r="D118" s="943"/>
      <c r="E118" s="944"/>
      <c r="F118" s="943"/>
      <c r="G118" s="944"/>
      <c r="H118" s="490"/>
      <c r="M118" s="861" t="s">
        <v>30827</v>
      </c>
      <c r="N118" s="862"/>
      <c r="O118" s="862"/>
      <c r="P118" s="862"/>
      <c r="Q118" s="862"/>
      <c r="R118" s="862"/>
      <c r="S118" s="862"/>
      <c r="T118" s="863"/>
      <c r="U118" s="943"/>
      <c r="V118" s="969"/>
      <c r="W118" s="330"/>
      <c r="X118" s="474"/>
      <c r="Y118" s="474"/>
      <c r="Z118" s="343"/>
      <c r="AA118" s="568"/>
      <c r="AB118" s="396"/>
      <c r="AC118" s="396"/>
      <c r="AD118" s="427"/>
      <c r="AE118" s="427"/>
      <c r="AF118" s="396"/>
      <c r="AG118" s="396"/>
      <c r="AH118" s="396"/>
      <c r="AI118" s="396"/>
      <c r="AJ118" s="396"/>
      <c r="AK118" s="396"/>
      <c r="AL118" s="427"/>
      <c r="AM118" s="964"/>
      <c r="AN118" s="964"/>
      <c r="AO118" s="396"/>
      <c r="AP118" s="575"/>
      <c r="AQ118" s="575"/>
      <c r="AR118" s="592"/>
      <c r="AS118" s="353">
        <f>ROUND(ROUND(I119*S120,0)*$U$134,0)</f>
        <v>609</v>
      </c>
      <c r="AT118" s="339"/>
    </row>
    <row r="119" spans="1:46" ht="17.100000000000001" customHeight="1" x14ac:dyDescent="0.15">
      <c r="A119" s="340">
        <v>21</v>
      </c>
      <c r="B119" s="341">
        <v>8614</v>
      </c>
      <c r="C119" s="342" t="s">
        <v>31128</v>
      </c>
      <c r="D119" s="943"/>
      <c r="E119" s="944"/>
      <c r="F119" s="943"/>
      <c r="G119" s="944"/>
      <c r="H119" s="490"/>
      <c r="I119" s="965">
        <f>'5療養介護(基本)'!I118</f>
        <v>902</v>
      </c>
      <c r="J119" s="965"/>
      <c r="K119" s="387" t="s">
        <v>15624</v>
      </c>
      <c r="L119" s="387"/>
      <c r="M119" s="864"/>
      <c r="N119" s="865"/>
      <c r="O119" s="865"/>
      <c r="P119" s="865"/>
      <c r="Q119" s="865"/>
      <c r="R119" s="865"/>
      <c r="S119" s="865"/>
      <c r="T119" s="866"/>
      <c r="U119" s="943"/>
      <c r="V119" s="944"/>
      <c r="W119" s="948" t="s">
        <v>30822</v>
      </c>
      <c r="X119" s="949"/>
      <c r="Y119" s="949"/>
      <c r="Z119" s="949"/>
      <c r="AA119" s="949"/>
      <c r="AB119" s="934" t="s">
        <v>30823</v>
      </c>
      <c r="AC119" s="935"/>
      <c r="AD119" s="935"/>
      <c r="AE119" s="935"/>
      <c r="AF119" s="935"/>
      <c r="AG119" s="935"/>
      <c r="AH119" s="935"/>
      <c r="AI119" s="935"/>
      <c r="AJ119" s="935"/>
      <c r="AK119" s="935"/>
      <c r="AL119" s="427" t="s">
        <v>15626</v>
      </c>
      <c r="AM119" s="964">
        <f>$AM$8</f>
        <v>0.7</v>
      </c>
      <c r="AN119" s="964"/>
      <c r="AO119" s="396"/>
      <c r="AP119" s="575"/>
      <c r="AQ119" s="575"/>
      <c r="AR119" s="592"/>
      <c r="AS119" s="353">
        <f>ROUND(ROUND(ROUND(I119*S120,0)*$U$134,0)*AM119,0)</f>
        <v>426</v>
      </c>
      <c r="AT119" s="339"/>
    </row>
    <row r="120" spans="1:46" ht="17.100000000000001" customHeight="1" x14ac:dyDescent="0.15">
      <c r="A120" s="340">
        <v>21</v>
      </c>
      <c r="B120" s="341">
        <v>8946</v>
      </c>
      <c r="C120" s="342" t="s">
        <v>31129</v>
      </c>
      <c r="D120" s="943"/>
      <c r="E120" s="944"/>
      <c r="F120" s="943"/>
      <c r="G120" s="944"/>
      <c r="H120" s="490"/>
      <c r="I120" s="151"/>
      <c r="J120" s="151"/>
      <c r="L120" s="495"/>
      <c r="M120" s="324"/>
      <c r="N120" s="325"/>
      <c r="O120" s="417"/>
      <c r="P120" s="417"/>
      <c r="Q120" s="417"/>
      <c r="R120" s="391" t="s">
        <v>15626</v>
      </c>
      <c r="S120" s="936">
        <f>$S$12</f>
        <v>0.96499999999999997</v>
      </c>
      <c r="T120" s="937"/>
      <c r="U120" s="943"/>
      <c r="V120" s="944"/>
      <c r="W120" s="948"/>
      <c r="X120" s="949"/>
      <c r="Y120" s="949"/>
      <c r="Z120" s="949"/>
      <c r="AA120" s="949"/>
      <c r="AB120" s="934" t="s">
        <v>30825</v>
      </c>
      <c r="AC120" s="935"/>
      <c r="AD120" s="935"/>
      <c r="AE120" s="935"/>
      <c r="AF120" s="935"/>
      <c r="AG120" s="935"/>
      <c r="AH120" s="935"/>
      <c r="AI120" s="935"/>
      <c r="AJ120" s="935"/>
      <c r="AK120" s="935"/>
      <c r="AL120" s="427" t="s">
        <v>15626</v>
      </c>
      <c r="AM120" s="964">
        <f>$AM$9</f>
        <v>0.5</v>
      </c>
      <c r="AN120" s="964"/>
      <c r="AO120" s="343"/>
      <c r="AP120" s="568"/>
      <c r="AQ120" s="568"/>
      <c r="AR120" s="599"/>
      <c r="AS120" s="353">
        <f>ROUND(ROUND(ROUND(I119*S120,0)*$U$134,0)*AM120,0)</f>
        <v>305</v>
      </c>
      <c r="AT120" s="339"/>
    </row>
    <row r="121" spans="1:46" ht="17.100000000000001" customHeight="1" x14ac:dyDescent="0.15">
      <c r="A121" s="340">
        <v>21</v>
      </c>
      <c r="B121" s="341">
        <v>8621</v>
      </c>
      <c r="C121" s="342" t="s">
        <v>31130</v>
      </c>
      <c r="D121" s="943"/>
      <c r="E121" s="944"/>
      <c r="F121" s="943"/>
      <c r="G121" s="944"/>
      <c r="H121" s="861" t="s">
        <v>30831</v>
      </c>
      <c r="I121" s="862"/>
      <c r="J121" s="862"/>
      <c r="K121" s="862"/>
      <c r="L121" s="863"/>
      <c r="M121" s="547"/>
      <c r="N121" s="400"/>
      <c r="O121" s="400"/>
      <c r="P121" s="400"/>
      <c r="Q121" s="400"/>
      <c r="R121" s="400"/>
      <c r="S121" s="400"/>
      <c r="T121" s="429"/>
      <c r="U121" s="943"/>
      <c r="V121" s="969"/>
      <c r="W121" s="601"/>
      <c r="X121" s="343"/>
      <c r="Y121" s="454"/>
      <c r="Z121" s="343"/>
      <c r="AA121" s="568"/>
      <c r="AB121" s="396"/>
      <c r="AC121" s="396"/>
      <c r="AD121" s="427"/>
      <c r="AE121" s="427"/>
      <c r="AF121" s="396"/>
      <c r="AG121" s="396"/>
      <c r="AH121" s="396"/>
      <c r="AI121" s="396"/>
      <c r="AJ121" s="396"/>
      <c r="AK121" s="396"/>
      <c r="AL121" s="427"/>
      <c r="AM121" s="964"/>
      <c r="AN121" s="964"/>
      <c r="AO121" s="575"/>
      <c r="AP121" s="575"/>
      <c r="AQ121" s="575"/>
      <c r="AR121" s="592"/>
      <c r="AS121" s="353">
        <f>ROUND(I125*$U$134,0)</f>
        <v>631</v>
      </c>
      <c r="AT121" s="339"/>
    </row>
    <row r="122" spans="1:46" ht="17.100000000000001" customHeight="1" x14ac:dyDescent="0.15">
      <c r="A122" s="340">
        <v>21</v>
      </c>
      <c r="B122" s="341">
        <v>8622</v>
      </c>
      <c r="C122" s="342" t="s">
        <v>31131</v>
      </c>
      <c r="D122" s="943"/>
      <c r="E122" s="944"/>
      <c r="F122" s="943"/>
      <c r="G122" s="944"/>
      <c r="H122" s="864"/>
      <c r="I122" s="865"/>
      <c r="J122" s="865"/>
      <c r="K122" s="865"/>
      <c r="L122" s="866"/>
      <c r="M122" s="494"/>
      <c r="N122" s="151"/>
      <c r="O122" s="151"/>
      <c r="P122" s="151"/>
      <c r="Q122" s="151"/>
      <c r="R122" s="151"/>
      <c r="S122" s="151"/>
      <c r="T122" s="495"/>
      <c r="U122" s="943"/>
      <c r="V122" s="944"/>
      <c r="W122" s="948" t="s">
        <v>30822</v>
      </c>
      <c r="X122" s="949"/>
      <c r="Y122" s="949"/>
      <c r="Z122" s="949"/>
      <c r="AA122" s="949"/>
      <c r="AB122" s="934" t="s">
        <v>30823</v>
      </c>
      <c r="AC122" s="935"/>
      <c r="AD122" s="935"/>
      <c r="AE122" s="935"/>
      <c r="AF122" s="935"/>
      <c r="AG122" s="935"/>
      <c r="AH122" s="935"/>
      <c r="AI122" s="935"/>
      <c r="AJ122" s="935"/>
      <c r="AK122" s="935"/>
      <c r="AL122" s="427" t="s">
        <v>15626</v>
      </c>
      <c r="AM122" s="964">
        <f>$AM$8</f>
        <v>0.7</v>
      </c>
      <c r="AN122" s="964"/>
      <c r="AO122" s="575"/>
      <c r="AP122" s="575"/>
      <c r="AQ122" s="575"/>
      <c r="AR122" s="592"/>
      <c r="AS122" s="353">
        <f>ROUND(ROUND(I125*$U$134,0)*AM122,0)</f>
        <v>442</v>
      </c>
      <c r="AT122" s="339"/>
    </row>
    <row r="123" spans="1:46" ht="17.100000000000001" customHeight="1" x14ac:dyDescent="0.15">
      <c r="A123" s="340">
        <v>21</v>
      </c>
      <c r="B123" s="341">
        <v>8953</v>
      </c>
      <c r="C123" s="342" t="s">
        <v>31132</v>
      </c>
      <c r="D123" s="943"/>
      <c r="E123" s="944"/>
      <c r="F123" s="943"/>
      <c r="G123" s="944"/>
      <c r="H123" s="430"/>
      <c r="I123" s="431"/>
      <c r="J123" s="431"/>
      <c r="K123" s="431"/>
      <c r="L123" s="432"/>
      <c r="M123" s="494"/>
      <c r="N123" s="151"/>
      <c r="O123" s="151"/>
      <c r="P123" s="151"/>
      <c r="Q123" s="151"/>
      <c r="R123" s="151"/>
      <c r="S123" s="151"/>
      <c r="T123" s="495"/>
      <c r="U123" s="943"/>
      <c r="V123" s="944"/>
      <c r="W123" s="948"/>
      <c r="X123" s="949"/>
      <c r="Y123" s="949"/>
      <c r="Z123" s="949"/>
      <c r="AA123" s="949"/>
      <c r="AB123" s="934" t="s">
        <v>30825</v>
      </c>
      <c r="AC123" s="935"/>
      <c r="AD123" s="935"/>
      <c r="AE123" s="935"/>
      <c r="AF123" s="935"/>
      <c r="AG123" s="935"/>
      <c r="AH123" s="935"/>
      <c r="AI123" s="935"/>
      <c r="AJ123" s="935"/>
      <c r="AK123" s="935"/>
      <c r="AL123" s="427" t="s">
        <v>15626</v>
      </c>
      <c r="AM123" s="964">
        <f>$AM$9</f>
        <v>0.5</v>
      </c>
      <c r="AN123" s="964"/>
      <c r="AO123" s="603"/>
      <c r="AP123" s="575"/>
      <c r="AQ123" s="575"/>
      <c r="AR123" s="592"/>
      <c r="AS123" s="353">
        <f>ROUND(ROUND(I125*$U$134,0)*AM123,0)</f>
        <v>316</v>
      </c>
      <c r="AT123" s="339"/>
    </row>
    <row r="124" spans="1:46" ht="17.100000000000001" customHeight="1" x14ac:dyDescent="0.15">
      <c r="A124" s="340">
        <v>21</v>
      </c>
      <c r="B124" s="341">
        <v>8623</v>
      </c>
      <c r="C124" s="342" t="s">
        <v>31133</v>
      </c>
      <c r="D124" s="943"/>
      <c r="E124" s="944"/>
      <c r="F124" s="943"/>
      <c r="G124" s="944"/>
      <c r="H124" s="490"/>
      <c r="M124" s="861" t="s">
        <v>30827</v>
      </c>
      <c r="N124" s="862"/>
      <c r="O124" s="862"/>
      <c r="P124" s="862"/>
      <c r="Q124" s="862"/>
      <c r="R124" s="862"/>
      <c r="S124" s="862"/>
      <c r="T124" s="863"/>
      <c r="U124" s="943"/>
      <c r="V124" s="969"/>
      <c r="W124" s="330"/>
      <c r="X124" s="474"/>
      <c r="Y124" s="474"/>
      <c r="Z124" s="343"/>
      <c r="AA124" s="568"/>
      <c r="AB124" s="396"/>
      <c r="AC124" s="396"/>
      <c r="AD124" s="427"/>
      <c r="AE124" s="427"/>
      <c r="AF124" s="396"/>
      <c r="AG124" s="396"/>
      <c r="AH124" s="396"/>
      <c r="AI124" s="396"/>
      <c r="AJ124" s="396"/>
      <c r="AK124" s="396"/>
      <c r="AL124" s="427"/>
      <c r="AM124" s="964"/>
      <c r="AN124" s="964"/>
      <c r="AO124" s="396"/>
      <c r="AP124" s="575"/>
      <c r="AQ124" s="575"/>
      <c r="AR124" s="592"/>
      <c r="AS124" s="353">
        <f>ROUND(ROUND(I125*S126,0)*$U$134,0)</f>
        <v>609</v>
      </c>
      <c r="AT124" s="339"/>
    </row>
    <row r="125" spans="1:46" ht="17.100000000000001" customHeight="1" x14ac:dyDescent="0.15">
      <c r="A125" s="340">
        <v>21</v>
      </c>
      <c r="B125" s="341">
        <v>8624</v>
      </c>
      <c r="C125" s="342" t="s">
        <v>31134</v>
      </c>
      <c r="D125" s="943"/>
      <c r="E125" s="944"/>
      <c r="F125" s="943"/>
      <c r="G125" s="944"/>
      <c r="H125" s="490"/>
      <c r="I125" s="965">
        <f>'5療養介護(基本)'!I124</f>
        <v>902</v>
      </c>
      <c r="J125" s="965"/>
      <c r="K125" s="387" t="s">
        <v>15624</v>
      </c>
      <c r="L125" s="495"/>
      <c r="M125" s="864"/>
      <c r="N125" s="865"/>
      <c r="O125" s="865"/>
      <c r="P125" s="865"/>
      <c r="Q125" s="865"/>
      <c r="R125" s="865"/>
      <c r="S125" s="865"/>
      <c r="T125" s="866"/>
      <c r="U125" s="943"/>
      <c r="V125" s="944"/>
      <c r="W125" s="948" t="s">
        <v>30822</v>
      </c>
      <c r="X125" s="949"/>
      <c r="Y125" s="949"/>
      <c r="Z125" s="949"/>
      <c r="AA125" s="949"/>
      <c r="AB125" s="934" t="s">
        <v>30823</v>
      </c>
      <c r="AC125" s="935"/>
      <c r="AD125" s="935"/>
      <c r="AE125" s="935"/>
      <c r="AF125" s="935"/>
      <c r="AG125" s="935"/>
      <c r="AH125" s="935"/>
      <c r="AI125" s="935"/>
      <c r="AJ125" s="935"/>
      <c r="AK125" s="935"/>
      <c r="AL125" s="427" t="s">
        <v>15626</v>
      </c>
      <c r="AM125" s="964">
        <f>$AM$8</f>
        <v>0.7</v>
      </c>
      <c r="AN125" s="964"/>
      <c r="AO125" s="396"/>
      <c r="AP125" s="575"/>
      <c r="AQ125" s="575"/>
      <c r="AR125" s="592"/>
      <c r="AS125" s="353">
        <f>ROUND(ROUND(ROUND(I125*S126,0)*$U$134,0)*AM125,0)</f>
        <v>426</v>
      </c>
      <c r="AT125" s="339"/>
    </row>
    <row r="126" spans="1:46" ht="17.100000000000001" customHeight="1" x14ac:dyDescent="0.15">
      <c r="A126" s="340">
        <v>21</v>
      </c>
      <c r="B126" s="341">
        <v>8954</v>
      </c>
      <c r="C126" s="342" t="s">
        <v>31135</v>
      </c>
      <c r="D126" s="943"/>
      <c r="E126" s="944"/>
      <c r="F126" s="943"/>
      <c r="G126" s="944"/>
      <c r="H126" s="494"/>
      <c r="I126" s="151"/>
      <c r="J126" s="151"/>
      <c r="L126" s="495"/>
      <c r="M126" s="324"/>
      <c r="N126" s="325"/>
      <c r="O126" s="417"/>
      <c r="P126" s="417"/>
      <c r="Q126" s="417"/>
      <c r="R126" s="391" t="s">
        <v>15626</v>
      </c>
      <c r="S126" s="936">
        <f>$S$12</f>
        <v>0.96499999999999997</v>
      </c>
      <c r="T126" s="937"/>
      <c r="U126" s="943"/>
      <c r="V126" s="944"/>
      <c r="W126" s="948"/>
      <c r="X126" s="949"/>
      <c r="Y126" s="949"/>
      <c r="Z126" s="949"/>
      <c r="AA126" s="949"/>
      <c r="AB126" s="934" t="s">
        <v>30825</v>
      </c>
      <c r="AC126" s="935"/>
      <c r="AD126" s="935"/>
      <c r="AE126" s="935"/>
      <c r="AF126" s="935"/>
      <c r="AG126" s="935"/>
      <c r="AH126" s="935"/>
      <c r="AI126" s="935"/>
      <c r="AJ126" s="935"/>
      <c r="AK126" s="935"/>
      <c r="AL126" s="427" t="s">
        <v>15626</v>
      </c>
      <c r="AM126" s="964">
        <f>$AM$9</f>
        <v>0.5</v>
      </c>
      <c r="AN126" s="964"/>
      <c r="AO126" s="343"/>
      <c r="AP126" s="568"/>
      <c r="AQ126" s="568"/>
      <c r="AR126" s="599"/>
      <c r="AS126" s="353">
        <f>ROUND(ROUND(ROUND(I125*S126,0)*$U$134,0)*AM126,0)</f>
        <v>305</v>
      </c>
      <c r="AT126" s="339"/>
    </row>
    <row r="127" spans="1:46" ht="17.100000000000001" customHeight="1" x14ac:dyDescent="0.15">
      <c r="A127" s="340">
        <v>21</v>
      </c>
      <c r="B127" s="341">
        <v>8631</v>
      </c>
      <c r="C127" s="342" t="s">
        <v>31136</v>
      </c>
      <c r="D127" s="604"/>
      <c r="E127" s="602"/>
      <c r="F127" s="943"/>
      <c r="G127" s="944"/>
      <c r="H127" s="861" t="s">
        <v>30838</v>
      </c>
      <c r="I127" s="862"/>
      <c r="J127" s="862"/>
      <c r="K127" s="862"/>
      <c r="L127" s="863"/>
      <c r="M127" s="547"/>
      <c r="N127" s="400"/>
      <c r="O127" s="400"/>
      <c r="P127" s="400"/>
      <c r="Q127" s="400"/>
      <c r="R127" s="400"/>
      <c r="S127" s="400"/>
      <c r="T127" s="429"/>
      <c r="U127" s="943"/>
      <c r="V127" s="969"/>
      <c r="W127" s="601"/>
      <c r="X127" s="343"/>
      <c r="Y127" s="454"/>
      <c r="Z127" s="343"/>
      <c r="AA127" s="568"/>
      <c r="AB127" s="396"/>
      <c r="AC127" s="396"/>
      <c r="AD127" s="427"/>
      <c r="AE127" s="427"/>
      <c r="AF127" s="396"/>
      <c r="AG127" s="396"/>
      <c r="AH127" s="396"/>
      <c r="AI127" s="396"/>
      <c r="AJ127" s="396"/>
      <c r="AK127" s="396"/>
      <c r="AL127" s="427"/>
      <c r="AM127" s="964"/>
      <c r="AN127" s="964"/>
      <c r="AO127" s="575"/>
      <c r="AP127" s="575"/>
      <c r="AQ127" s="575"/>
      <c r="AR127" s="592"/>
      <c r="AS127" s="489">
        <f>ROUND(I131*$U$134,0)</f>
        <v>611</v>
      </c>
      <c r="AT127" s="339"/>
    </row>
    <row r="128" spans="1:46" ht="17.100000000000001" customHeight="1" x14ac:dyDescent="0.15">
      <c r="A128" s="340">
        <v>21</v>
      </c>
      <c r="B128" s="341">
        <v>8632</v>
      </c>
      <c r="C128" s="342" t="s">
        <v>31137</v>
      </c>
      <c r="D128" s="604"/>
      <c r="E128" s="602"/>
      <c r="F128" s="943"/>
      <c r="G128" s="944"/>
      <c r="H128" s="864"/>
      <c r="I128" s="865"/>
      <c r="J128" s="865"/>
      <c r="K128" s="865"/>
      <c r="L128" s="866"/>
      <c r="M128" s="494"/>
      <c r="N128" s="151"/>
      <c r="O128" s="151"/>
      <c r="P128" s="151"/>
      <c r="Q128" s="151"/>
      <c r="R128" s="151"/>
      <c r="S128" s="151"/>
      <c r="T128" s="495"/>
      <c r="U128" s="943"/>
      <c r="V128" s="944"/>
      <c r="W128" s="948" t="s">
        <v>30822</v>
      </c>
      <c r="X128" s="949"/>
      <c r="Y128" s="949"/>
      <c r="Z128" s="949"/>
      <c r="AA128" s="949"/>
      <c r="AB128" s="934" t="s">
        <v>30823</v>
      </c>
      <c r="AC128" s="935"/>
      <c r="AD128" s="935"/>
      <c r="AE128" s="935"/>
      <c r="AF128" s="935"/>
      <c r="AG128" s="935"/>
      <c r="AH128" s="935"/>
      <c r="AI128" s="935"/>
      <c r="AJ128" s="935"/>
      <c r="AK128" s="935"/>
      <c r="AL128" s="427" t="s">
        <v>15626</v>
      </c>
      <c r="AM128" s="964">
        <f>$AM$8</f>
        <v>0.7</v>
      </c>
      <c r="AN128" s="964"/>
      <c r="AO128" s="575"/>
      <c r="AP128" s="575"/>
      <c r="AQ128" s="575"/>
      <c r="AR128" s="592"/>
      <c r="AS128" s="489">
        <f>ROUND(ROUND(I131*$U$134,0)*AM128,0)</f>
        <v>428</v>
      </c>
      <c r="AT128" s="339"/>
    </row>
    <row r="129" spans="1:46" ht="17.100000000000001" customHeight="1" x14ac:dyDescent="0.15">
      <c r="A129" s="340">
        <v>21</v>
      </c>
      <c r="B129" s="341">
        <v>8961</v>
      </c>
      <c r="C129" s="342" t="s">
        <v>31138</v>
      </c>
      <c r="D129" s="604"/>
      <c r="E129" s="602"/>
      <c r="F129" s="943"/>
      <c r="G129" s="944"/>
      <c r="H129" s="430"/>
      <c r="I129" s="431"/>
      <c r="J129" s="431"/>
      <c r="K129" s="431"/>
      <c r="L129" s="432"/>
      <c r="M129" s="494"/>
      <c r="N129" s="151"/>
      <c r="O129" s="151"/>
      <c r="P129" s="151"/>
      <c r="Q129" s="151"/>
      <c r="R129" s="151"/>
      <c r="S129" s="151"/>
      <c r="T129" s="495"/>
      <c r="U129" s="943"/>
      <c r="V129" s="944"/>
      <c r="W129" s="948"/>
      <c r="X129" s="949"/>
      <c r="Y129" s="949"/>
      <c r="Z129" s="949"/>
      <c r="AA129" s="949"/>
      <c r="AB129" s="934" t="s">
        <v>30825</v>
      </c>
      <c r="AC129" s="935"/>
      <c r="AD129" s="935"/>
      <c r="AE129" s="935"/>
      <c r="AF129" s="935"/>
      <c r="AG129" s="935"/>
      <c r="AH129" s="935"/>
      <c r="AI129" s="935"/>
      <c r="AJ129" s="935"/>
      <c r="AK129" s="935"/>
      <c r="AL129" s="427" t="s">
        <v>15626</v>
      </c>
      <c r="AM129" s="964">
        <f>$AM$9</f>
        <v>0.5</v>
      </c>
      <c r="AN129" s="964"/>
      <c r="AO129" s="603"/>
      <c r="AP129" s="575"/>
      <c r="AQ129" s="575"/>
      <c r="AR129" s="592"/>
      <c r="AS129" s="489">
        <f>ROUND(ROUND(I131*$U$134,0)*AM129,0)</f>
        <v>306</v>
      </c>
      <c r="AT129" s="339"/>
    </row>
    <row r="130" spans="1:46" ht="17.100000000000001" customHeight="1" x14ac:dyDescent="0.15">
      <c r="A130" s="340">
        <v>21</v>
      </c>
      <c r="B130" s="341">
        <v>8633</v>
      </c>
      <c r="C130" s="342" t="s">
        <v>31139</v>
      </c>
      <c r="D130" s="604"/>
      <c r="E130" s="602"/>
      <c r="F130" s="943"/>
      <c r="G130" s="944"/>
      <c r="H130" s="490"/>
      <c r="M130" s="861" t="s">
        <v>30827</v>
      </c>
      <c r="N130" s="862"/>
      <c r="O130" s="862"/>
      <c r="P130" s="862"/>
      <c r="Q130" s="862"/>
      <c r="R130" s="862"/>
      <c r="S130" s="862"/>
      <c r="T130" s="863"/>
      <c r="U130" s="943"/>
      <c r="V130" s="969"/>
      <c r="W130" s="330"/>
      <c r="X130" s="474"/>
      <c r="Y130" s="474"/>
      <c r="Z130" s="343"/>
      <c r="AA130" s="568"/>
      <c r="AB130" s="396"/>
      <c r="AC130" s="396"/>
      <c r="AD130" s="427"/>
      <c r="AE130" s="427"/>
      <c r="AF130" s="396"/>
      <c r="AG130" s="396"/>
      <c r="AH130" s="396"/>
      <c r="AI130" s="396"/>
      <c r="AJ130" s="396"/>
      <c r="AK130" s="396"/>
      <c r="AL130" s="427"/>
      <c r="AM130" s="964"/>
      <c r="AN130" s="964"/>
      <c r="AO130" s="396"/>
      <c r="AP130" s="575"/>
      <c r="AQ130" s="575"/>
      <c r="AR130" s="592"/>
      <c r="AS130" s="489">
        <f>ROUND(ROUND(I131*S132,0)*$U$134,0)</f>
        <v>589</v>
      </c>
      <c r="AT130" s="339"/>
    </row>
    <row r="131" spans="1:46" ht="17.100000000000001" customHeight="1" x14ac:dyDescent="0.15">
      <c r="A131" s="340">
        <v>21</v>
      </c>
      <c r="B131" s="341">
        <v>8634</v>
      </c>
      <c r="C131" s="342" t="s">
        <v>31140</v>
      </c>
      <c r="D131" s="604"/>
      <c r="E131" s="602"/>
      <c r="F131" s="943"/>
      <c r="G131" s="944"/>
      <c r="H131" s="490"/>
      <c r="I131" s="965">
        <f>'5療養介護(基本)'!I130</f>
        <v>873</v>
      </c>
      <c r="J131" s="965"/>
      <c r="K131" s="387" t="s">
        <v>15624</v>
      </c>
      <c r="L131" s="387"/>
      <c r="M131" s="864"/>
      <c r="N131" s="865"/>
      <c r="O131" s="865"/>
      <c r="P131" s="865"/>
      <c r="Q131" s="865"/>
      <c r="R131" s="865"/>
      <c r="S131" s="865"/>
      <c r="T131" s="866"/>
      <c r="U131" s="943"/>
      <c r="V131" s="944"/>
      <c r="W131" s="948" t="s">
        <v>30822</v>
      </c>
      <c r="X131" s="949"/>
      <c r="Y131" s="949"/>
      <c r="Z131" s="949"/>
      <c r="AA131" s="949"/>
      <c r="AB131" s="934" t="s">
        <v>30823</v>
      </c>
      <c r="AC131" s="935"/>
      <c r="AD131" s="935"/>
      <c r="AE131" s="935"/>
      <c r="AF131" s="935"/>
      <c r="AG131" s="935"/>
      <c r="AH131" s="935"/>
      <c r="AI131" s="935"/>
      <c r="AJ131" s="935"/>
      <c r="AK131" s="935"/>
      <c r="AL131" s="427" t="s">
        <v>15626</v>
      </c>
      <c r="AM131" s="964">
        <f>$AM$8</f>
        <v>0.7</v>
      </c>
      <c r="AN131" s="964"/>
      <c r="AO131" s="396"/>
      <c r="AP131" s="575"/>
      <c r="AQ131" s="575"/>
      <c r="AR131" s="592"/>
      <c r="AS131" s="489">
        <f>ROUND(ROUND(ROUND(I131*S132,0)*$U$134,0)*AM131,0)</f>
        <v>412</v>
      </c>
      <c r="AT131" s="339"/>
    </row>
    <row r="132" spans="1:46" ht="17.100000000000001" customHeight="1" x14ac:dyDescent="0.15">
      <c r="A132" s="340">
        <v>21</v>
      </c>
      <c r="B132" s="341">
        <v>8962</v>
      </c>
      <c r="C132" s="342" t="s">
        <v>31141</v>
      </c>
      <c r="D132" s="605"/>
      <c r="E132" s="612"/>
      <c r="F132" s="943"/>
      <c r="G132" s="944"/>
      <c r="H132" s="490"/>
      <c r="I132" s="151"/>
      <c r="J132" s="151"/>
      <c r="L132" s="495"/>
      <c r="M132" s="324"/>
      <c r="N132" s="325"/>
      <c r="O132" s="417"/>
      <c r="P132" s="417"/>
      <c r="Q132" s="417"/>
      <c r="R132" s="391" t="s">
        <v>15626</v>
      </c>
      <c r="S132" s="936">
        <f>$S$12</f>
        <v>0.96499999999999997</v>
      </c>
      <c r="T132" s="937"/>
      <c r="U132" s="943"/>
      <c r="V132" s="944"/>
      <c r="W132" s="948"/>
      <c r="X132" s="949"/>
      <c r="Y132" s="949"/>
      <c r="Z132" s="949"/>
      <c r="AA132" s="949"/>
      <c r="AB132" s="934" t="s">
        <v>30825</v>
      </c>
      <c r="AC132" s="935"/>
      <c r="AD132" s="935"/>
      <c r="AE132" s="935"/>
      <c r="AF132" s="935"/>
      <c r="AG132" s="935"/>
      <c r="AH132" s="935"/>
      <c r="AI132" s="935"/>
      <c r="AJ132" s="935"/>
      <c r="AK132" s="935"/>
      <c r="AL132" s="427" t="s">
        <v>15626</v>
      </c>
      <c r="AM132" s="964">
        <f>$AM$9</f>
        <v>0.5</v>
      </c>
      <c r="AN132" s="964"/>
      <c r="AO132" s="343"/>
      <c r="AP132" s="568"/>
      <c r="AQ132" s="568"/>
      <c r="AR132" s="599"/>
      <c r="AS132" s="489">
        <f>ROUND(ROUND(ROUND(I131*S132,0)*$U$134,0)*AM132,0)</f>
        <v>295</v>
      </c>
      <c r="AT132" s="339"/>
    </row>
    <row r="133" spans="1:46" ht="17.100000000000001" customHeight="1" x14ac:dyDescent="0.15">
      <c r="A133" s="340">
        <v>21</v>
      </c>
      <c r="B133" s="341">
        <v>8641</v>
      </c>
      <c r="C133" s="342" t="s">
        <v>31142</v>
      </c>
      <c r="D133" s="430"/>
      <c r="E133" s="432"/>
      <c r="F133" s="600"/>
      <c r="G133" s="600"/>
      <c r="H133" s="861" t="s">
        <v>30845</v>
      </c>
      <c r="I133" s="862"/>
      <c r="J133" s="862"/>
      <c r="K133" s="862"/>
      <c r="L133" s="863"/>
      <c r="M133" s="547"/>
      <c r="N133" s="400"/>
      <c r="O133" s="400"/>
      <c r="P133" s="400"/>
      <c r="Q133" s="400"/>
      <c r="R133" s="400"/>
      <c r="S133" s="400"/>
      <c r="T133" s="429"/>
      <c r="U133" s="901" t="s">
        <v>15626</v>
      </c>
      <c r="V133" s="902"/>
      <c r="W133" s="601"/>
      <c r="X133" s="343"/>
      <c r="Y133" s="454"/>
      <c r="Z133" s="343"/>
      <c r="AA133" s="568"/>
      <c r="AB133" s="396"/>
      <c r="AC133" s="396"/>
      <c r="AD133" s="427"/>
      <c r="AE133" s="427"/>
      <c r="AF133" s="396"/>
      <c r="AG133" s="396"/>
      <c r="AH133" s="396"/>
      <c r="AI133" s="396"/>
      <c r="AJ133" s="396"/>
      <c r="AK133" s="396"/>
      <c r="AL133" s="427"/>
      <c r="AM133" s="964"/>
      <c r="AN133" s="964"/>
      <c r="AO133" s="575"/>
      <c r="AP133" s="575"/>
      <c r="AQ133" s="575"/>
      <c r="AR133" s="592"/>
      <c r="AS133" s="489">
        <f>ROUND(I137*$U$134,0)</f>
        <v>587</v>
      </c>
      <c r="AT133" s="359"/>
    </row>
    <row r="134" spans="1:46" ht="17.100000000000001" customHeight="1" x14ac:dyDescent="0.15">
      <c r="A134" s="340">
        <v>21</v>
      </c>
      <c r="B134" s="341">
        <v>8642</v>
      </c>
      <c r="C134" s="342" t="s">
        <v>31143</v>
      </c>
      <c r="D134" s="430"/>
      <c r="E134" s="432"/>
      <c r="F134" s="490"/>
      <c r="G134" s="495"/>
      <c r="H134" s="864"/>
      <c r="I134" s="865"/>
      <c r="J134" s="865"/>
      <c r="K134" s="865"/>
      <c r="L134" s="866"/>
      <c r="M134" s="494"/>
      <c r="N134" s="151"/>
      <c r="O134" s="151"/>
      <c r="P134" s="151"/>
      <c r="Q134" s="151"/>
      <c r="R134" s="151"/>
      <c r="S134" s="151"/>
      <c r="T134" s="495"/>
      <c r="U134" s="966">
        <f>U110</f>
        <v>0.7</v>
      </c>
      <c r="V134" s="967"/>
      <c r="W134" s="948" t="s">
        <v>30822</v>
      </c>
      <c r="X134" s="949"/>
      <c r="Y134" s="949"/>
      <c r="Z134" s="949"/>
      <c r="AA134" s="949"/>
      <c r="AB134" s="934" t="s">
        <v>30823</v>
      </c>
      <c r="AC134" s="935"/>
      <c r="AD134" s="935"/>
      <c r="AE134" s="935"/>
      <c r="AF134" s="935"/>
      <c r="AG134" s="935"/>
      <c r="AH134" s="935"/>
      <c r="AI134" s="935"/>
      <c r="AJ134" s="935"/>
      <c r="AK134" s="935"/>
      <c r="AL134" s="427" t="s">
        <v>15626</v>
      </c>
      <c r="AM134" s="964">
        <f>$AM$8</f>
        <v>0.7</v>
      </c>
      <c r="AN134" s="964"/>
      <c r="AO134" s="575"/>
      <c r="AP134" s="575"/>
      <c r="AQ134" s="575"/>
      <c r="AR134" s="592"/>
      <c r="AS134" s="489">
        <f>ROUND(ROUND(I137*$U$134,0)*AM134,0)</f>
        <v>411</v>
      </c>
      <c r="AT134" s="359"/>
    </row>
    <row r="135" spans="1:46" ht="17.100000000000001" customHeight="1" x14ac:dyDescent="0.15">
      <c r="A135" s="340">
        <v>21</v>
      </c>
      <c r="B135" s="341">
        <v>8969</v>
      </c>
      <c r="C135" s="342" t="s">
        <v>31144</v>
      </c>
      <c r="D135" s="430"/>
      <c r="E135" s="432"/>
      <c r="F135" s="494"/>
      <c r="G135" s="495"/>
      <c r="H135" s="430"/>
      <c r="I135" s="431"/>
      <c r="J135" s="431"/>
      <c r="K135" s="431"/>
      <c r="L135" s="432"/>
      <c r="M135" s="494"/>
      <c r="N135" s="151"/>
      <c r="O135" s="151"/>
      <c r="P135" s="151"/>
      <c r="Q135" s="151"/>
      <c r="R135" s="151"/>
      <c r="S135" s="151"/>
      <c r="T135" s="495"/>
      <c r="U135" s="494"/>
      <c r="V135" s="495"/>
      <c r="W135" s="948"/>
      <c r="X135" s="949"/>
      <c r="Y135" s="949"/>
      <c r="Z135" s="949"/>
      <c r="AA135" s="949"/>
      <c r="AB135" s="934" t="s">
        <v>30825</v>
      </c>
      <c r="AC135" s="935"/>
      <c r="AD135" s="935"/>
      <c r="AE135" s="935"/>
      <c r="AF135" s="935"/>
      <c r="AG135" s="935"/>
      <c r="AH135" s="935"/>
      <c r="AI135" s="935"/>
      <c r="AJ135" s="935"/>
      <c r="AK135" s="935"/>
      <c r="AL135" s="427" t="s">
        <v>15626</v>
      </c>
      <c r="AM135" s="964">
        <f>$AM$9</f>
        <v>0.5</v>
      </c>
      <c r="AN135" s="964"/>
      <c r="AO135" s="603"/>
      <c r="AP135" s="575"/>
      <c r="AQ135" s="575"/>
      <c r="AR135" s="592"/>
      <c r="AS135" s="489">
        <f>ROUND(ROUND(I137*$U$134,0)*AM135,0)</f>
        <v>294</v>
      </c>
      <c r="AT135" s="359"/>
    </row>
    <row r="136" spans="1:46" ht="17.100000000000001" customHeight="1" x14ac:dyDescent="0.15">
      <c r="A136" s="340">
        <v>21</v>
      </c>
      <c r="B136" s="341">
        <v>8643</v>
      </c>
      <c r="C136" s="342" t="s">
        <v>31145</v>
      </c>
      <c r="D136" s="430"/>
      <c r="E136" s="432"/>
      <c r="F136" s="494"/>
      <c r="G136" s="495"/>
      <c r="H136" s="490"/>
      <c r="M136" s="861" t="s">
        <v>30827</v>
      </c>
      <c r="N136" s="862"/>
      <c r="O136" s="862"/>
      <c r="P136" s="862"/>
      <c r="Q136" s="862"/>
      <c r="R136" s="862"/>
      <c r="S136" s="862"/>
      <c r="T136" s="863"/>
      <c r="U136" s="613"/>
      <c r="V136" s="614"/>
      <c r="W136" s="330"/>
      <c r="X136" s="474"/>
      <c r="Y136" s="474"/>
      <c r="Z136" s="343"/>
      <c r="AA136" s="568"/>
      <c r="AB136" s="396"/>
      <c r="AC136" s="396"/>
      <c r="AD136" s="427"/>
      <c r="AE136" s="427"/>
      <c r="AF136" s="396"/>
      <c r="AG136" s="396"/>
      <c r="AH136" s="396"/>
      <c r="AI136" s="396"/>
      <c r="AJ136" s="396"/>
      <c r="AK136" s="396"/>
      <c r="AL136" s="427"/>
      <c r="AM136" s="964"/>
      <c r="AN136" s="964"/>
      <c r="AO136" s="396"/>
      <c r="AP136" s="575"/>
      <c r="AQ136" s="575"/>
      <c r="AR136" s="592"/>
      <c r="AS136" s="489">
        <f>ROUND(ROUND(I137*S138,0)*$U$134,0)</f>
        <v>566</v>
      </c>
      <c r="AT136" s="359"/>
    </row>
    <row r="137" spans="1:46" ht="17.100000000000001" customHeight="1" x14ac:dyDescent="0.15">
      <c r="A137" s="340">
        <v>21</v>
      </c>
      <c r="B137" s="341">
        <v>8644</v>
      </c>
      <c r="C137" s="342" t="s">
        <v>31146</v>
      </c>
      <c r="D137" s="430"/>
      <c r="E137" s="432"/>
      <c r="F137" s="494"/>
      <c r="G137" s="495"/>
      <c r="H137" s="490"/>
      <c r="I137" s="965">
        <f>'5療養介護(基本)'!I136</f>
        <v>838</v>
      </c>
      <c r="J137" s="965"/>
      <c r="K137" s="387" t="s">
        <v>15624</v>
      </c>
      <c r="L137" s="387"/>
      <c r="M137" s="864"/>
      <c r="N137" s="865"/>
      <c r="O137" s="865"/>
      <c r="P137" s="865"/>
      <c r="Q137" s="865"/>
      <c r="R137" s="865"/>
      <c r="S137" s="865"/>
      <c r="T137" s="866"/>
      <c r="U137" s="613"/>
      <c r="V137" s="615"/>
      <c r="W137" s="948" t="s">
        <v>30822</v>
      </c>
      <c r="X137" s="949"/>
      <c r="Y137" s="949"/>
      <c r="Z137" s="949"/>
      <c r="AA137" s="949"/>
      <c r="AB137" s="934" t="s">
        <v>30823</v>
      </c>
      <c r="AC137" s="935"/>
      <c r="AD137" s="935"/>
      <c r="AE137" s="935"/>
      <c r="AF137" s="935"/>
      <c r="AG137" s="935"/>
      <c r="AH137" s="935"/>
      <c r="AI137" s="935"/>
      <c r="AJ137" s="935"/>
      <c r="AK137" s="935"/>
      <c r="AL137" s="427" t="s">
        <v>15626</v>
      </c>
      <c r="AM137" s="964">
        <f>$AM$8</f>
        <v>0.7</v>
      </c>
      <c r="AN137" s="964"/>
      <c r="AO137" s="396"/>
      <c r="AP137" s="575"/>
      <c r="AQ137" s="575"/>
      <c r="AR137" s="592"/>
      <c r="AS137" s="489">
        <f>ROUND(ROUND(ROUND(I137*S138,0)*$U$134,0)*AM137,0)</f>
        <v>396</v>
      </c>
      <c r="AT137" s="359"/>
    </row>
    <row r="138" spans="1:46" ht="17.100000000000001" customHeight="1" x14ac:dyDescent="0.15">
      <c r="A138" s="340">
        <v>21</v>
      </c>
      <c r="B138" s="341">
        <v>8970</v>
      </c>
      <c r="C138" s="342" t="s">
        <v>31147</v>
      </c>
      <c r="D138" s="433"/>
      <c r="E138" s="435"/>
      <c r="F138" s="598"/>
      <c r="G138" s="578"/>
      <c r="H138" s="324"/>
      <c r="I138" s="417"/>
      <c r="J138" s="417"/>
      <c r="K138" s="417"/>
      <c r="L138" s="578"/>
      <c r="M138" s="324"/>
      <c r="N138" s="325"/>
      <c r="O138" s="417"/>
      <c r="P138" s="417"/>
      <c r="Q138" s="417"/>
      <c r="R138" s="391" t="s">
        <v>15626</v>
      </c>
      <c r="S138" s="936">
        <f>$S$12</f>
        <v>0.96499999999999997</v>
      </c>
      <c r="T138" s="937"/>
      <c r="U138" s="324"/>
      <c r="V138" s="578"/>
      <c r="W138" s="970"/>
      <c r="X138" s="971"/>
      <c r="Y138" s="971"/>
      <c r="Z138" s="971"/>
      <c r="AA138" s="971"/>
      <c r="AB138" s="934" t="s">
        <v>30825</v>
      </c>
      <c r="AC138" s="935"/>
      <c r="AD138" s="935"/>
      <c r="AE138" s="935"/>
      <c r="AF138" s="935"/>
      <c r="AG138" s="935"/>
      <c r="AH138" s="935"/>
      <c r="AI138" s="935"/>
      <c r="AJ138" s="935"/>
      <c r="AK138" s="935"/>
      <c r="AL138" s="455" t="s">
        <v>15626</v>
      </c>
      <c r="AM138" s="938">
        <f>$AM$9</f>
        <v>0.5</v>
      </c>
      <c r="AN138" s="938"/>
      <c r="AO138" s="343"/>
      <c r="AP138" s="568"/>
      <c r="AQ138" s="568"/>
      <c r="AR138" s="599"/>
      <c r="AS138" s="491">
        <f>ROUND(ROUND(ROUND(I137*S138,0)*$U$134,0)*AM138,0)</f>
        <v>283</v>
      </c>
      <c r="AT138" s="350"/>
    </row>
    <row r="139" spans="1:46" ht="17.100000000000001" customHeight="1" x14ac:dyDescent="0.15">
      <c r="A139" s="146"/>
      <c r="B139" s="146"/>
      <c r="D139" s="152"/>
      <c r="E139" s="152"/>
      <c r="F139" s="152"/>
      <c r="G139" s="152"/>
      <c r="K139" s="152"/>
      <c r="L139" s="152"/>
      <c r="M139" s="152"/>
      <c r="V139" s="152"/>
      <c r="W139" s="152"/>
      <c r="X139" s="152"/>
      <c r="Z139" s="152"/>
      <c r="AA139" s="152"/>
      <c r="AB139" s="548"/>
      <c r="AC139" s="566"/>
      <c r="AD139" s="309"/>
      <c r="AE139" s="152"/>
      <c r="AF139" s="152"/>
      <c r="AG139" s="152"/>
      <c r="AH139" s="152"/>
      <c r="AI139" s="152"/>
      <c r="AJ139" s="152"/>
      <c r="AK139" s="148"/>
      <c r="AL139" s="608"/>
      <c r="AM139" s="608"/>
      <c r="AN139" s="608"/>
      <c r="AQ139" s="152"/>
      <c r="AR139" s="152"/>
      <c r="AS139" s="616"/>
    </row>
    <row r="140" spans="1:46" ht="17.100000000000001" customHeight="1" x14ac:dyDescent="0.15">
      <c r="A140" s="146"/>
      <c r="B140" s="146"/>
      <c r="D140" s="152"/>
      <c r="E140" s="152"/>
      <c r="F140" s="617"/>
      <c r="G140" s="617"/>
      <c r="K140" s="152"/>
      <c r="L140" s="152"/>
      <c r="M140" s="152"/>
      <c r="N140" s="548"/>
      <c r="O140" s="548"/>
      <c r="P140" s="548"/>
      <c r="Q140" s="548"/>
      <c r="R140" s="548"/>
      <c r="S140" s="548"/>
      <c r="T140" s="548"/>
      <c r="U140" s="548"/>
      <c r="V140" s="152"/>
      <c r="W140" s="152"/>
      <c r="X140" s="152"/>
      <c r="Y140" s="152"/>
      <c r="Z140" s="152"/>
      <c r="AA140" s="152"/>
      <c r="AB140" s="548"/>
      <c r="AC140" s="548"/>
      <c r="AD140" s="152"/>
      <c r="AE140" s="152"/>
      <c r="AF140" s="152"/>
      <c r="AG140" s="152"/>
      <c r="AH140" s="152"/>
      <c r="AI140" s="152"/>
      <c r="AJ140" s="152"/>
      <c r="AK140" s="148"/>
      <c r="AL140" s="608"/>
      <c r="AM140" s="608"/>
      <c r="AN140" s="608"/>
      <c r="AQ140" s="152"/>
      <c r="AR140" s="617"/>
      <c r="AS140" s="616"/>
    </row>
    <row r="141" spans="1:46" ht="17.100000000000001" customHeight="1" x14ac:dyDescent="0.15">
      <c r="A141" s="146"/>
      <c r="B141" s="146"/>
      <c r="D141" s="152"/>
      <c r="E141" s="152"/>
      <c r="F141" s="309"/>
      <c r="G141" s="309"/>
      <c r="H141" s="566"/>
      <c r="K141" s="152"/>
      <c r="L141" s="152"/>
      <c r="M141" s="152"/>
      <c r="N141" s="548"/>
      <c r="O141" s="548"/>
      <c r="P141" s="548"/>
      <c r="Q141" s="548"/>
      <c r="R141" s="548"/>
      <c r="S141" s="548"/>
      <c r="T141" s="548"/>
      <c r="U141" s="548"/>
      <c r="V141" s="152"/>
      <c r="W141" s="152"/>
      <c r="X141" s="152"/>
      <c r="Y141" s="152"/>
      <c r="Z141" s="152"/>
      <c r="AA141" s="152"/>
      <c r="AB141" s="548"/>
      <c r="AC141" s="548"/>
      <c r="AD141" s="152"/>
      <c r="AE141" s="152"/>
      <c r="AF141" s="152"/>
      <c r="AG141" s="152"/>
      <c r="AH141" s="152"/>
      <c r="AI141" s="152"/>
      <c r="AJ141" s="152"/>
      <c r="AK141" s="309"/>
      <c r="AL141" s="152"/>
      <c r="AM141" s="152"/>
      <c r="AN141" s="152"/>
      <c r="AO141" s="309"/>
      <c r="AP141" s="566"/>
      <c r="AQ141" s="152"/>
      <c r="AR141" s="617"/>
      <c r="AS141" s="616"/>
    </row>
    <row r="142" spans="1:46" ht="17.100000000000001" customHeight="1" x14ac:dyDescent="0.15">
      <c r="A142" s="146"/>
      <c r="B142" s="146"/>
      <c r="D142" s="152"/>
      <c r="E142" s="152"/>
      <c r="F142" s="617"/>
      <c r="G142" s="617"/>
      <c r="K142" s="152"/>
      <c r="L142" s="152"/>
      <c r="M142" s="152"/>
      <c r="N142" s="548"/>
      <c r="O142" s="548"/>
      <c r="P142" s="548"/>
      <c r="Q142" s="548"/>
      <c r="R142" s="548"/>
      <c r="S142" s="548"/>
      <c r="T142" s="548"/>
      <c r="U142" s="548"/>
      <c r="V142" s="152"/>
      <c r="W142" s="152"/>
      <c r="X142" s="152"/>
      <c r="Y142" s="152"/>
      <c r="Z142" s="152"/>
      <c r="AA142" s="548"/>
      <c r="AB142" s="148"/>
      <c r="AC142" s="566"/>
      <c r="AE142" s="152"/>
      <c r="AF142" s="152"/>
      <c r="AG142" s="152"/>
      <c r="AH142" s="152"/>
      <c r="AI142" s="152"/>
      <c r="AJ142" s="152"/>
      <c r="AK142" s="148"/>
      <c r="AL142" s="608"/>
      <c r="AM142" s="608"/>
      <c r="AN142" s="608"/>
      <c r="AQ142" s="152"/>
      <c r="AR142" s="617"/>
      <c r="AS142" s="616"/>
    </row>
    <row r="143" spans="1:46" ht="17.100000000000001" customHeight="1" x14ac:dyDescent="0.15">
      <c r="A143" s="146"/>
      <c r="B143" s="146"/>
      <c r="D143" s="152"/>
      <c r="E143" s="152"/>
      <c r="F143" s="152"/>
      <c r="G143" s="152"/>
      <c r="K143" s="152"/>
      <c r="L143" s="152"/>
      <c r="M143" s="152"/>
      <c r="N143" s="548"/>
      <c r="O143" s="548"/>
      <c r="P143" s="548"/>
      <c r="Q143" s="548"/>
      <c r="R143" s="548"/>
      <c r="S143" s="548"/>
      <c r="T143" s="548"/>
      <c r="U143" s="548"/>
      <c r="V143" s="152"/>
      <c r="W143" s="152"/>
      <c r="X143" s="152"/>
      <c r="Y143" s="152"/>
      <c r="Z143" s="152"/>
      <c r="AA143" s="152"/>
      <c r="AB143" s="548"/>
      <c r="AC143" s="566"/>
      <c r="AD143" s="309"/>
      <c r="AE143" s="152"/>
      <c r="AF143" s="152"/>
      <c r="AG143" s="152"/>
      <c r="AH143" s="152"/>
      <c r="AI143" s="152"/>
      <c r="AJ143" s="152"/>
      <c r="AK143" s="148"/>
      <c r="AL143" s="608"/>
      <c r="AM143" s="608"/>
      <c r="AN143" s="608"/>
      <c r="AQ143" s="152"/>
      <c r="AR143" s="152"/>
      <c r="AS143" s="616"/>
    </row>
    <row r="144" spans="1:46" ht="17.100000000000001" customHeight="1" x14ac:dyDescent="0.15">
      <c r="A144" s="146"/>
      <c r="B144" s="146"/>
      <c r="D144" s="152"/>
      <c r="E144" s="152"/>
      <c r="F144" s="152"/>
      <c r="G144" s="152"/>
      <c r="K144" s="152"/>
      <c r="L144" s="152"/>
      <c r="M144" s="152"/>
      <c r="N144" s="548"/>
      <c r="O144" s="548"/>
      <c r="P144" s="548"/>
      <c r="Q144" s="548"/>
      <c r="R144" s="548"/>
      <c r="S144" s="548"/>
      <c r="T144" s="548"/>
      <c r="U144" s="548"/>
      <c r="V144" s="152"/>
      <c r="W144" s="152"/>
      <c r="X144" s="152"/>
      <c r="Y144" s="152"/>
      <c r="Z144" s="152"/>
      <c r="AA144" s="152"/>
      <c r="AB144" s="548"/>
      <c r="AC144" s="566"/>
      <c r="AD144" s="309"/>
      <c r="AE144" s="152"/>
      <c r="AF144" s="152"/>
      <c r="AG144" s="152"/>
      <c r="AH144" s="152"/>
      <c r="AI144" s="152"/>
      <c r="AJ144" s="152"/>
      <c r="AK144" s="309"/>
      <c r="AL144" s="152"/>
      <c r="AM144" s="152"/>
      <c r="AN144" s="152"/>
      <c r="AQ144" s="152"/>
      <c r="AR144" s="152"/>
      <c r="AS144" s="616"/>
    </row>
    <row r="145" spans="1:45" ht="17.100000000000001" customHeight="1" x14ac:dyDescent="0.15">
      <c r="A145" s="146"/>
      <c r="B145" s="146"/>
      <c r="D145" s="152"/>
      <c r="E145" s="152"/>
      <c r="F145" s="152"/>
      <c r="G145" s="152"/>
      <c r="K145" s="152"/>
      <c r="L145" s="152"/>
      <c r="M145" s="152"/>
      <c r="V145" s="152"/>
      <c r="W145" s="152"/>
      <c r="Z145" s="152"/>
      <c r="AC145" s="566"/>
      <c r="AD145" s="309"/>
      <c r="AE145" s="152"/>
      <c r="AF145" s="152"/>
      <c r="AG145" s="152"/>
      <c r="AH145" s="152"/>
      <c r="AI145" s="152"/>
      <c r="AJ145" s="152"/>
      <c r="AK145" s="148"/>
      <c r="AL145" s="608"/>
      <c r="AM145" s="608"/>
      <c r="AN145" s="608"/>
      <c r="AQ145" s="152"/>
      <c r="AR145" s="152"/>
      <c r="AS145" s="616"/>
    </row>
    <row r="146" spans="1:45" ht="17.100000000000001" customHeight="1" x14ac:dyDescent="0.15">
      <c r="A146" s="146"/>
      <c r="B146" s="146"/>
      <c r="D146" s="152"/>
      <c r="E146" s="152"/>
      <c r="F146" s="152"/>
      <c r="G146" s="152"/>
      <c r="K146" s="152"/>
      <c r="L146" s="152"/>
      <c r="M146" s="152"/>
      <c r="N146" s="148"/>
      <c r="O146" s="148"/>
      <c r="P146" s="148"/>
      <c r="Q146" s="148"/>
      <c r="R146" s="148"/>
      <c r="S146" s="148"/>
      <c r="T146" s="148"/>
      <c r="U146" s="566"/>
      <c r="V146" s="152"/>
      <c r="W146" s="152"/>
      <c r="X146" s="152"/>
      <c r="Y146" s="309"/>
      <c r="Z146" s="152"/>
      <c r="AA146" s="152"/>
      <c r="AB146" s="548"/>
      <c r="AC146" s="566"/>
      <c r="AD146" s="309"/>
      <c r="AE146" s="152"/>
      <c r="AF146" s="152"/>
      <c r="AG146" s="152"/>
      <c r="AH146" s="152"/>
      <c r="AI146" s="152"/>
      <c r="AJ146" s="152"/>
      <c r="AK146" s="148"/>
      <c r="AL146" s="608"/>
      <c r="AM146" s="608"/>
      <c r="AN146" s="608"/>
      <c r="AQ146" s="152"/>
      <c r="AR146" s="152"/>
      <c r="AS146" s="616"/>
    </row>
    <row r="147" spans="1:45" ht="17.100000000000001" customHeight="1" x14ac:dyDescent="0.15">
      <c r="A147" s="146"/>
      <c r="B147" s="146"/>
      <c r="D147" s="152"/>
      <c r="E147" s="152"/>
      <c r="F147" s="152"/>
      <c r="G147" s="152"/>
      <c r="K147" s="152"/>
      <c r="L147" s="152"/>
      <c r="M147" s="152"/>
      <c r="N147" s="548"/>
      <c r="O147" s="548"/>
      <c r="P147" s="548"/>
      <c r="Q147" s="548"/>
      <c r="R147" s="548"/>
      <c r="S147" s="548"/>
      <c r="T147" s="548"/>
      <c r="U147" s="566"/>
      <c r="V147" s="152"/>
      <c r="W147" s="152"/>
      <c r="X147" s="152"/>
      <c r="Y147" s="309"/>
      <c r="Z147" s="152"/>
      <c r="AA147" s="152"/>
      <c r="AB147" s="548"/>
      <c r="AC147" s="566"/>
      <c r="AD147" s="309"/>
      <c r="AE147" s="152"/>
      <c r="AF147" s="152"/>
      <c r="AG147" s="152"/>
      <c r="AH147" s="152"/>
      <c r="AI147" s="152"/>
      <c r="AJ147" s="152"/>
      <c r="AK147" s="309"/>
      <c r="AL147" s="152"/>
      <c r="AM147" s="152"/>
      <c r="AN147" s="152"/>
      <c r="AQ147" s="152"/>
      <c r="AR147" s="152"/>
      <c r="AS147" s="616"/>
    </row>
    <row r="148" spans="1:45" ht="17.100000000000001" customHeight="1" x14ac:dyDescent="0.15">
      <c r="A148" s="146"/>
      <c r="B148" s="146"/>
      <c r="D148" s="152"/>
      <c r="E148" s="152"/>
      <c r="F148" s="152"/>
      <c r="G148" s="152"/>
      <c r="K148" s="152"/>
      <c r="L148" s="152"/>
      <c r="M148" s="152"/>
      <c r="N148" s="548"/>
      <c r="O148" s="548"/>
      <c r="P148" s="548"/>
      <c r="Q148" s="548"/>
      <c r="R148" s="548"/>
      <c r="S148" s="548"/>
      <c r="T148" s="548"/>
      <c r="U148" s="566"/>
      <c r="V148" s="152"/>
      <c r="W148" s="152"/>
      <c r="X148" s="152"/>
      <c r="Y148" s="309"/>
      <c r="Z148" s="152"/>
      <c r="AA148" s="548"/>
      <c r="AB148" s="148"/>
      <c r="AC148" s="566"/>
      <c r="AE148" s="152"/>
      <c r="AF148" s="152"/>
      <c r="AG148" s="152"/>
      <c r="AH148" s="152"/>
      <c r="AI148" s="152"/>
      <c r="AJ148" s="152"/>
      <c r="AK148" s="148"/>
      <c r="AL148" s="608"/>
      <c r="AM148" s="608"/>
      <c r="AN148" s="608"/>
      <c r="AQ148" s="152"/>
      <c r="AR148" s="152"/>
      <c r="AS148" s="616"/>
    </row>
  </sheetData>
  <mergeCells count="372">
    <mergeCell ref="M136:T137"/>
    <mergeCell ref="AM136:AN136"/>
    <mergeCell ref="I137:J137"/>
    <mergeCell ref="W137:AA138"/>
    <mergeCell ref="AB137:AK137"/>
    <mergeCell ref="AM137:AN137"/>
    <mergeCell ref="S138:T138"/>
    <mergeCell ref="AB138:AK138"/>
    <mergeCell ref="AM138:AN138"/>
    <mergeCell ref="H133:L134"/>
    <mergeCell ref="U133:V133"/>
    <mergeCell ref="AM133:AN133"/>
    <mergeCell ref="U134:V134"/>
    <mergeCell ref="W134:AA135"/>
    <mergeCell ref="AB134:AK134"/>
    <mergeCell ref="AM134:AN134"/>
    <mergeCell ref="AB135:AK135"/>
    <mergeCell ref="AM135:AN135"/>
    <mergeCell ref="M130:T131"/>
    <mergeCell ref="AM130:AN130"/>
    <mergeCell ref="I131:J131"/>
    <mergeCell ref="W131:AA132"/>
    <mergeCell ref="AB131:AK131"/>
    <mergeCell ref="AM131:AN131"/>
    <mergeCell ref="S132:T132"/>
    <mergeCell ref="AB132:AK132"/>
    <mergeCell ref="AM132:AN132"/>
    <mergeCell ref="AB120:AK120"/>
    <mergeCell ref="AM120:AN120"/>
    <mergeCell ref="H127:L128"/>
    <mergeCell ref="AM127:AN127"/>
    <mergeCell ref="W128:AA129"/>
    <mergeCell ref="AB128:AK128"/>
    <mergeCell ref="AM128:AN128"/>
    <mergeCell ref="AB129:AK129"/>
    <mergeCell ref="AM129:AN129"/>
    <mergeCell ref="M124:T125"/>
    <mergeCell ref="AM124:AN124"/>
    <mergeCell ref="I125:J125"/>
    <mergeCell ref="W125:AA126"/>
    <mergeCell ref="AB125:AK125"/>
    <mergeCell ref="AM125:AN125"/>
    <mergeCell ref="S126:T126"/>
    <mergeCell ref="AB126:AK126"/>
    <mergeCell ref="AM126:AN126"/>
    <mergeCell ref="D115:E126"/>
    <mergeCell ref="F115:G132"/>
    <mergeCell ref="H115:L116"/>
    <mergeCell ref="U115:V132"/>
    <mergeCell ref="AM115:AN115"/>
    <mergeCell ref="W116:AA117"/>
    <mergeCell ref="AB116:AK116"/>
    <mergeCell ref="AM116:AN116"/>
    <mergeCell ref="AB117:AK117"/>
    <mergeCell ref="AM117:AN117"/>
    <mergeCell ref="H121:L122"/>
    <mergeCell ref="AM121:AN121"/>
    <mergeCell ref="W122:AA123"/>
    <mergeCell ref="AB122:AK122"/>
    <mergeCell ref="AM122:AN122"/>
    <mergeCell ref="AB123:AK123"/>
    <mergeCell ref="AM123:AN123"/>
    <mergeCell ref="M118:T119"/>
    <mergeCell ref="AM118:AN118"/>
    <mergeCell ref="I119:J119"/>
    <mergeCell ref="W119:AA120"/>
    <mergeCell ref="AB119:AK119"/>
    <mergeCell ref="AM119:AN119"/>
    <mergeCell ref="S120:T120"/>
    <mergeCell ref="M112:T113"/>
    <mergeCell ref="AM112:AN112"/>
    <mergeCell ref="I113:J113"/>
    <mergeCell ref="W113:AA114"/>
    <mergeCell ref="AB113:AK113"/>
    <mergeCell ref="AM113:AN113"/>
    <mergeCell ref="S114:T114"/>
    <mergeCell ref="AB114:AK114"/>
    <mergeCell ref="AM114:AN114"/>
    <mergeCell ref="H109:L110"/>
    <mergeCell ref="U109:V109"/>
    <mergeCell ref="AM109:AN109"/>
    <mergeCell ref="U110:V110"/>
    <mergeCell ref="W110:AA111"/>
    <mergeCell ref="AB110:AK110"/>
    <mergeCell ref="AM110:AN110"/>
    <mergeCell ref="AB111:AK111"/>
    <mergeCell ref="AM111:AN111"/>
    <mergeCell ref="M106:T107"/>
    <mergeCell ref="AM106:AN106"/>
    <mergeCell ref="I107:J107"/>
    <mergeCell ref="W107:AA108"/>
    <mergeCell ref="AB107:AK107"/>
    <mergeCell ref="AM107:AN107"/>
    <mergeCell ref="S108:T108"/>
    <mergeCell ref="AB108:AK108"/>
    <mergeCell ref="AM108:AN108"/>
    <mergeCell ref="W95:AA96"/>
    <mergeCell ref="AB95:AK95"/>
    <mergeCell ref="AM95:AN95"/>
    <mergeCell ref="S96:T96"/>
    <mergeCell ref="AB96:AK96"/>
    <mergeCell ref="AM96:AN96"/>
    <mergeCell ref="H103:L104"/>
    <mergeCell ref="AM103:AN103"/>
    <mergeCell ref="W104:AA105"/>
    <mergeCell ref="AB104:AK104"/>
    <mergeCell ref="AM104:AN104"/>
    <mergeCell ref="AB105:AK105"/>
    <mergeCell ref="AM105:AN105"/>
    <mergeCell ref="M100:T101"/>
    <mergeCell ref="AM100:AN100"/>
    <mergeCell ref="I101:J101"/>
    <mergeCell ref="W101:AA102"/>
    <mergeCell ref="AB101:AK101"/>
    <mergeCell ref="AM101:AN101"/>
    <mergeCell ref="S102:T102"/>
    <mergeCell ref="AB102:AK102"/>
    <mergeCell ref="AM102:AN102"/>
    <mergeCell ref="AB86:AK86"/>
    <mergeCell ref="AM86:AN86"/>
    <mergeCell ref="J87:K87"/>
    <mergeCell ref="AB87:AK87"/>
    <mergeCell ref="AM87:AN87"/>
    <mergeCell ref="F91:G102"/>
    <mergeCell ref="H91:L92"/>
    <mergeCell ref="U91:V96"/>
    <mergeCell ref="AM91:AN91"/>
    <mergeCell ref="W92:AA93"/>
    <mergeCell ref="AB92:AK92"/>
    <mergeCell ref="AM92:AN92"/>
    <mergeCell ref="AB93:AK93"/>
    <mergeCell ref="AM93:AN93"/>
    <mergeCell ref="M94:T95"/>
    <mergeCell ref="H97:L98"/>
    <mergeCell ref="AM97:AN97"/>
    <mergeCell ref="W98:AA99"/>
    <mergeCell ref="AB98:AK98"/>
    <mergeCell ref="AM98:AN98"/>
    <mergeCell ref="AB99:AK99"/>
    <mergeCell ref="AM99:AN99"/>
    <mergeCell ref="AM94:AN94"/>
    <mergeCell ref="I95:J95"/>
    <mergeCell ref="AB83:AK83"/>
    <mergeCell ref="AM83:AN83"/>
    <mergeCell ref="J84:K84"/>
    <mergeCell ref="AB84:AK84"/>
    <mergeCell ref="AM84:AN84"/>
    <mergeCell ref="AM85:AN85"/>
    <mergeCell ref="F79:G90"/>
    <mergeCell ref="AM79:AN79"/>
    <mergeCell ref="W80:AA81"/>
    <mergeCell ref="AB80:AK80"/>
    <mergeCell ref="AM80:AN80"/>
    <mergeCell ref="J81:K81"/>
    <mergeCell ref="AB81:AK81"/>
    <mergeCell ref="AM81:AN81"/>
    <mergeCell ref="AM82:AN82"/>
    <mergeCell ref="W83:AA84"/>
    <mergeCell ref="AM88:AN88"/>
    <mergeCell ref="W89:AA90"/>
    <mergeCell ref="AB89:AK89"/>
    <mergeCell ref="AM89:AN89"/>
    <mergeCell ref="J90:K90"/>
    <mergeCell ref="AB90:AK90"/>
    <mergeCell ref="AM90:AN90"/>
    <mergeCell ref="W86:AA87"/>
    <mergeCell ref="M76:T77"/>
    <mergeCell ref="AM76:AN76"/>
    <mergeCell ref="I77:J77"/>
    <mergeCell ref="W77:AA78"/>
    <mergeCell ref="AB77:AK77"/>
    <mergeCell ref="AM77:AN77"/>
    <mergeCell ref="S78:T78"/>
    <mergeCell ref="AB78:AK78"/>
    <mergeCell ref="AM78:AN78"/>
    <mergeCell ref="H73:L74"/>
    <mergeCell ref="U73:V73"/>
    <mergeCell ref="AM73:AN73"/>
    <mergeCell ref="U74:V74"/>
    <mergeCell ref="W74:AA75"/>
    <mergeCell ref="AB74:AK74"/>
    <mergeCell ref="AM74:AN74"/>
    <mergeCell ref="AB75:AK75"/>
    <mergeCell ref="AM75:AN75"/>
    <mergeCell ref="M70:T71"/>
    <mergeCell ref="AM70:AN70"/>
    <mergeCell ref="I71:J71"/>
    <mergeCell ref="W71:AA72"/>
    <mergeCell ref="AB71:AK71"/>
    <mergeCell ref="AM71:AN71"/>
    <mergeCell ref="S72:T72"/>
    <mergeCell ref="AB72:AK72"/>
    <mergeCell ref="AM72:AN72"/>
    <mergeCell ref="AB60:AK60"/>
    <mergeCell ref="AM60:AN60"/>
    <mergeCell ref="H67:L68"/>
    <mergeCell ref="AM67:AN67"/>
    <mergeCell ref="W68:AA69"/>
    <mergeCell ref="AB68:AK68"/>
    <mergeCell ref="AM68:AN68"/>
    <mergeCell ref="AB69:AK69"/>
    <mergeCell ref="AM69:AN69"/>
    <mergeCell ref="M64:T65"/>
    <mergeCell ref="AM64:AN64"/>
    <mergeCell ref="I65:J65"/>
    <mergeCell ref="W65:AA66"/>
    <mergeCell ref="AB65:AK65"/>
    <mergeCell ref="AM65:AN65"/>
    <mergeCell ref="S66:T66"/>
    <mergeCell ref="AB66:AK66"/>
    <mergeCell ref="AM66:AN66"/>
    <mergeCell ref="D55:E66"/>
    <mergeCell ref="F55:G66"/>
    <mergeCell ref="H55:L56"/>
    <mergeCell ref="U55:V60"/>
    <mergeCell ref="AM55:AN55"/>
    <mergeCell ref="W56:AA57"/>
    <mergeCell ref="AB56:AK56"/>
    <mergeCell ref="AM56:AN56"/>
    <mergeCell ref="AB57:AK57"/>
    <mergeCell ref="AM57:AN57"/>
    <mergeCell ref="H61:L62"/>
    <mergeCell ref="AM61:AN61"/>
    <mergeCell ref="W62:AA63"/>
    <mergeCell ref="AB62:AK62"/>
    <mergeCell ref="AM62:AN62"/>
    <mergeCell ref="AB63:AK63"/>
    <mergeCell ref="AM63:AN63"/>
    <mergeCell ref="M58:T59"/>
    <mergeCell ref="AM58:AN58"/>
    <mergeCell ref="I59:J59"/>
    <mergeCell ref="W59:AA60"/>
    <mergeCell ref="AB59:AK59"/>
    <mergeCell ref="AM59:AN59"/>
    <mergeCell ref="S60:T60"/>
    <mergeCell ref="M52:T53"/>
    <mergeCell ref="AM52:AN52"/>
    <mergeCell ref="I53:J53"/>
    <mergeCell ref="W53:AA54"/>
    <mergeCell ref="AB53:AK53"/>
    <mergeCell ref="AM53:AN53"/>
    <mergeCell ref="S54:T54"/>
    <mergeCell ref="AB54:AK54"/>
    <mergeCell ref="AM54:AN54"/>
    <mergeCell ref="H49:L50"/>
    <mergeCell ref="U49:V49"/>
    <mergeCell ref="AM49:AN49"/>
    <mergeCell ref="U50:V50"/>
    <mergeCell ref="W50:AA51"/>
    <mergeCell ref="AB50:AK50"/>
    <mergeCell ref="AM50:AN50"/>
    <mergeCell ref="AB51:AK51"/>
    <mergeCell ref="AM51:AN51"/>
    <mergeCell ref="M46:T47"/>
    <mergeCell ref="AM46:AN46"/>
    <mergeCell ref="I47:J47"/>
    <mergeCell ref="W47:AA48"/>
    <mergeCell ref="AB47:AK47"/>
    <mergeCell ref="AM47:AN47"/>
    <mergeCell ref="S48:T48"/>
    <mergeCell ref="AB48:AK48"/>
    <mergeCell ref="AM48:AN48"/>
    <mergeCell ref="AM36:AN36"/>
    <mergeCell ref="H43:L44"/>
    <mergeCell ref="AM43:AN43"/>
    <mergeCell ref="W44:AA45"/>
    <mergeCell ref="AB44:AK44"/>
    <mergeCell ref="AM44:AN44"/>
    <mergeCell ref="AB45:AK45"/>
    <mergeCell ref="AM45:AN45"/>
    <mergeCell ref="M40:T41"/>
    <mergeCell ref="AM40:AN40"/>
    <mergeCell ref="I41:J41"/>
    <mergeCell ref="W41:AA42"/>
    <mergeCell ref="AB41:AK41"/>
    <mergeCell ref="AM41:AN41"/>
    <mergeCell ref="S42:T42"/>
    <mergeCell ref="AB42:AK42"/>
    <mergeCell ref="AM42:AN42"/>
    <mergeCell ref="F31:G42"/>
    <mergeCell ref="H31:L32"/>
    <mergeCell ref="U31:V36"/>
    <mergeCell ref="AM31:AN31"/>
    <mergeCell ref="W32:AA33"/>
    <mergeCell ref="AB32:AK32"/>
    <mergeCell ref="AM32:AN32"/>
    <mergeCell ref="AB33:AK33"/>
    <mergeCell ref="AM33:AN33"/>
    <mergeCell ref="M34:T35"/>
    <mergeCell ref="H37:L38"/>
    <mergeCell ref="AM37:AN37"/>
    <mergeCell ref="W38:AA39"/>
    <mergeCell ref="AB38:AK38"/>
    <mergeCell ref="AM38:AN38"/>
    <mergeCell ref="AB39:AK39"/>
    <mergeCell ref="AM39:AN39"/>
    <mergeCell ref="AM34:AN34"/>
    <mergeCell ref="I35:J35"/>
    <mergeCell ref="W35:AA36"/>
    <mergeCell ref="AB35:AK35"/>
    <mergeCell ref="AM35:AN35"/>
    <mergeCell ref="S36:T36"/>
    <mergeCell ref="AB36:AK36"/>
    <mergeCell ref="M28:T29"/>
    <mergeCell ref="AM28:AN28"/>
    <mergeCell ref="I29:J29"/>
    <mergeCell ref="W29:AA30"/>
    <mergeCell ref="AB29:AK29"/>
    <mergeCell ref="AM29:AN29"/>
    <mergeCell ref="S30:T30"/>
    <mergeCell ref="AB30:AK30"/>
    <mergeCell ref="AM30:AN30"/>
    <mergeCell ref="H25:L26"/>
    <mergeCell ref="U25:V25"/>
    <mergeCell ref="AM25:AN25"/>
    <mergeCell ref="U26:V26"/>
    <mergeCell ref="W26:AA27"/>
    <mergeCell ref="AB26:AK26"/>
    <mergeCell ref="AM26:AN26"/>
    <mergeCell ref="AB27:AK27"/>
    <mergeCell ref="AM27:AN27"/>
    <mergeCell ref="M22:T23"/>
    <mergeCell ref="AM22:AN22"/>
    <mergeCell ref="I23:J23"/>
    <mergeCell ref="W23:AA24"/>
    <mergeCell ref="AB23:AK23"/>
    <mergeCell ref="AM23:AN23"/>
    <mergeCell ref="S24:T24"/>
    <mergeCell ref="AB24:AK24"/>
    <mergeCell ref="AM24:AN24"/>
    <mergeCell ref="AB12:AK12"/>
    <mergeCell ref="AM12:AN12"/>
    <mergeCell ref="H19:L20"/>
    <mergeCell ref="AM19:AN19"/>
    <mergeCell ref="W20:AA21"/>
    <mergeCell ref="AB20:AK20"/>
    <mergeCell ref="AM20:AN20"/>
    <mergeCell ref="AB21:AK21"/>
    <mergeCell ref="AM21:AN21"/>
    <mergeCell ref="M16:T17"/>
    <mergeCell ref="AM16:AN16"/>
    <mergeCell ref="I17:J17"/>
    <mergeCell ref="W17:AA18"/>
    <mergeCell ref="AB17:AK17"/>
    <mergeCell ref="AM17:AN17"/>
    <mergeCell ref="S18:T18"/>
    <mergeCell ref="AB18:AK18"/>
    <mergeCell ref="AM18:AN18"/>
    <mergeCell ref="D5:AR5"/>
    <mergeCell ref="D7:E18"/>
    <mergeCell ref="F7:G18"/>
    <mergeCell ref="H7:L8"/>
    <mergeCell ref="U7:V12"/>
    <mergeCell ref="W8:AA9"/>
    <mergeCell ref="AB8:AK8"/>
    <mergeCell ref="AM8:AN8"/>
    <mergeCell ref="AB9:AK9"/>
    <mergeCell ref="AM9:AN9"/>
    <mergeCell ref="H13:L14"/>
    <mergeCell ref="AM13:AN13"/>
    <mergeCell ref="W14:AA15"/>
    <mergeCell ref="AB14:AK14"/>
    <mergeCell ref="AM14:AN14"/>
    <mergeCell ref="AB15:AK15"/>
    <mergeCell ref="AM15:AN15"/>
    <mergeCell ref="M10:T11"/>
    <mergeCell ref="AM10:AN10"/>
    <mergeCell ref="I11:J11"/>
    <mergeCell ref="W11:AA12"/>
    <mergeCell ref="AB11:AK11"/>
    <mergeCell ref="AM11:AN11"/>
    <mergeCell ref="S12:T12"/>
  </mergeCells>
  <phoneticPr fontId="1"/>
  <printOptions horizontalCentered="1"/>
  <pageMargins left="0.39370078740157483" right="0.39370078740157483" top="0.78740157480314965" bottom="0.59055118110236227" header="0.51181102362204722" footer="0.31496062992125984"/>
  <pageSetup paperSize="9" scale="57" fitToHeight="0" orientation="portrait" r:id="rId1"/>
  <headerFooter>
    <oddHeader>&amp;R&amp;9療養介護</oddHeader>
    <oddFooter>&amp;C&amp;14&amp;P</oddFooter>
  </headerFooter>
  <rowBreaks count="2" manualBreakCount="2">
    <brk id="54" max="45" man="1"/>
    <brk id="114" max="45" man="1"/>
  </row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3">
    <pageSetUpPr autoPageBreaks="0" fitToPage="1"/>
  </sheetPr>
  <dimension ref="A1:AT281"/>
  <sheetViews>
    <sheetView view="pageBreakPreview" zoomScaleNormal="100" zoomScaleSheetLayoutView="100" workbookViewId="0"/>
  </sheetViews>
  <sheetFormatPr defaultColWidth="9" defaultRowHeight="13.5" x14ac:dyDescent="0.15"/>
  <cols>
    <col min="1" max="1" width="4.5" style="151" customWidth="1"/>
    <col min="2" max="2" width="7.5" style="151" customWidth="1"/>
    <col min="3" max="3" width="30.5" style="152" customWidth="1"/>
    <col min="4" max="7" width="2.5" style="151" customWidth="1"/>
    <col min="8" max="10" width="2.5" style="152" customWidth="1"/>
    <col min="11" max="12" width="2.5" style="151" customWidth="1"/>
    <col min="13" max="20" width="2.5" style="533" customWidth="1"/>
    <col min="21" max="26" width="2.5" style="151" customWidth="1"/>
    <col min="27" max="27" width="3.875" style="151" customWidth="1"/>
    <col min="28" max="28" width="2.5" style="151" customWidth="1"/>
    <col min="29" max="30" width="2.5" style="533" customWidth="1"/>
    <col min="31" max="40" width="2.5" style="151" customWidth="1"/>
    <col min="41" max="42" width="2.5" style="152" customWidth="1"/>
    <col min="43" max="44" width="2.5" style="151" customWidth="1"/>
    <col min="45" max="45" width="7.125" style="151" customWidth="1"/>
    <col min="46" max="46" width="8.5" style="151" customWidth="1"/>
    <col min="47" max="47" width="2.875" style="151" customWidth="1"/>
    <col min="48" max="16384" width="9" style="151"/>
  </cols>
  <sheetData>
    <row r="1" spans="1:46" ht="17.100000000000001" customHeight="1" x14ac:dyDescent="0.15">
      <c r="A1" s="376"/>
    </row>
    <row r="2" spans="1:46" ht="17.100000000000001" customHeight="1" x14ac:dyDescent="0.15">
      <c r="A2" s="376"/>
    </row>
    <row r="3" spans="1:46" ht="17.100000000000001" customHeight="1" x14ac:dyDescent="0.15">
      <c r="A3" s="376"/>
    </row>
    <row r="4" spans="1:46" ht="17.100000000000001" customHeight="1" x14ac:dyDescent="0.15">
      <c r="B4" s="376" t="s">
        <v>31148</v>
      </c>
    </row>
    <row r="5" spans="1:46" ht="17.100000000000001" customHeight="1" x14ac:dyDescent="0.15">
      <c r="A5" s="300" t="s">
        <v>15540</v>
      </c>
      <c r="B5" s="301"/>
      <c r="C5" s="302" t="s">
        <v>15541</v>
      </c>
      <c r="D5" s="846" t="s">
        <v>15618</v>
      </c>
      <c r="E5" s="939"/>
      <c r="F5" s="939"/>
      <c r="G5" s="939"/>
      <c r="H5" s="939"/>
      <c r="I5" s="939"/>
      <c r="J5" s="939"/>
      <c r="K5" s="939"/>
      <c r="L5" s="939"/>
      <c r="M5" s="939"/>
      <c r="N5" s="939"/>
      <c r="O5" s="939"/>
      <c r="P5" s="939"/>
      <c r="Q5" s="939"/>
      <c r="R5" s="939"/>
      <c r="S5" s="939"/>
      <c r="T5" s="939"/>
      <c r="U5" s="939"/>
      <c r="V5" s="939"/>
      <c r="W5" s="939"/>
      <c r="X5" s="939"/>
      <c r="Y5" s="939"/>
      <c r="Z5" s="939"/>
      <c r="AA5" s="939"/>
      <c r="AB5" s="939"/>
      <c r="AC5" s="939"/>
      <c r="AD5" s="939"/>
      <c r="AE5" s="939"/>
      <c r="AF5" s="939"/>
      <c r="AG5" s="939"/>
      <c r="AH5" s="939"/>
      <c r="AI5" s="939"/>
      <c r="AJ5" s="939"/>
      <c r="AK5" s="939"/>
      <c r="AL5" s="939"/>
      <c r="AM5" s="939"/>
      <c r="AN5" s="939"/>
      <c r="AO5" s="939"/>
      <c r="AP5" s="939"/>
      <c r="AQ5" s="939"/>
      <c r="AR5" s="940"/>
      <c r="AS5" s="306" t="s">
        <v>15543</v>
      </c>
      <c r="AT5" s="306" t="s">
        <v>15544</v>
      </c>
    </row>
    <row r="6" spans="1:46" ht="17.100000000000001" customHeight="1" x14ac:dyDescent="0.15">
      <c r="A6" s="379" t="s">
        <v>15545</v>
      </c>
      <c r="B6" s="380" t="s">
        <v>15546</v>
      </c>
      <c r="C6" s="381"/>
      <c r="D6" s="382"/>
      <c r="E6" s="383"/>
      <c r="F6" s="383"/>
      <c r="G6" s="383"/>
      <c r="H6" s="383"/>
      <c r="I6" s="383"/>
      <c r="J6" s="383"/>
      <c r="K6" s="383"/>
      <c r="L6" s="383"/>
      <c r="M6" s="449"/>
      <c r="N6" s="449"/>
      <c r="O6" s="449"/>
      <c r="P6" s="449"/>
      <c r="Q6" s="449"/>
      <c r="R6" s="449"/>
      <c r="S6" s="449"/>
      <c r="T6" s="449"/>
      <c r="U6" s="383"/>
      <c r="V6" s="383"/>
      <c r="W6" s="383"/>
      <c r="X6" s="383"/>
      <c r="Y6" s="383"/>
      <c r="Z6" s="383"/>
      <c r="AA6" s="383"/>
      <c r="AB6" s="383"/>
      <c r="AC6" s="449"/>
      <c r="AD6" s="449"/>
      <c r="AE6" s="383"/>
      <c r="AF6" s="383"/>
      <c r="AG6" s="383"/>
      <c r="AH6" s="383"/>
      <c r="AI6" s="383"/>
      <c r="AJ6" s="383"/>
      <c r="AK6" s="383"/>
      <c r="AL6" s="383"/>
      <c r="AM6" s="383"/>
      <c r="AN6" s="383"/>
      <c r="AO6" s="383"/>
      <c r="AP6" s="383"/>
      <c r="AQ6" s="383"/>
      <c r="AR6" s="383"/>
      <c r="AS6" s="384" t="s">
        <v>391</v>
      </c>
      <c r="AT6" s="384" t="s">
        <v>392</v>
      </c>
    </row>
    <row r="7" spans="1:46" ht="17.100000000000001" customHeight="1" x14ac:dyDescent="0.15">
      <c r="A7" s="321">
        <v>21</v>
      </c>
      <c r="B7" s="322">
        <v>9111</v>
      </c>
      <c r="C7" s="323" t="s">
        <v>31149</v>
      </c>
      <c r="D7" s="941" t="s">
        <v>30818</v>
      </c>
      <c r="E7" s="942"/>
      <c r="F7" s="941" t="s">
        <v>30819</v>
      </c>
      <c r="G7" s="942"/>
      <c r="H7" s="864" t="s">
        <v>30820</v>
      </c>
      <c r="I7" s="865"/>
      <c r="J7" s="865"/>
      <c r="K7" s="865"/>
      <c r="L7" s="866"/>
      <c r="M7" s="152"/>
      <c r="N7" s="151"/>
      <c r="O7" s="151"/>
      <c r="P7" s="151"/>
      <c r="Q7" s="151"/>
      <c r="R7" s="151"/>
      <c r="S7" s="151"/>
      <c r="T7" s="495"/>
      <c r="U7" s="916" t="s">
        <v>31150</v>
      </c>
      <c r="V7" s="972" t="s">
        <v>30823</v>
      </c>
      <c r="W7" s="324"/>
      <c r="X7" s="449"/>
      <c r="Y7" s="417"/>
      <c r="Z7" s="470"/>
      <c r="AA7" s="325"/>
      <c r="AB7" s="152"/>
      <c r="AC7" s="152"/>
      <c r="AD7" s="548"/>
      <c r="AE7" s="548"/>
      <c r="AF7" s="152"/>
      <c r="AG7" s="152"/>
      <c r="AH7" s="152"/>
      <c r="AI7" s="152"/>
      <c r="AJ7" s="152"/>
      <c r="AK7" s="152"/>
      <c r="AL7" s="548"/>
      <c r="AM7" s="928"/>
      <c r="AN7" s="928"/>
      <c r="AO7" s="424"/>
      <c r="AP7" s="424"/>
      <c r="AQ7" s="424"/>
      <c r="AR7" s="425"/>
      <c r="AS7" s="488">
        <f>ROUND(I11*$U$51,0)</f>
        <v>676</v>
      </c>
      <c r="AT7" s="339" t="s">
        <v>30681</v>
      </c>
    </row>
    <row r="8" spans="1:46" ht="17.100000000000001" customHeight="1" x14ac:dyDescent="0.15">
      <c r="A8" s="340">
        <v>21</v>
      </c>
      <c r="B8" s="341">
        <v>9112</v>
      </c>
      <c r="C8" s="342" t="s">
        <v>31151</v>
      </c>
      <c r="D8" s="943"/>
      <c r="E8" s="944"/>
      <c r="F8" s="943"/>
      <c r="G8" s="944"/>
      <c r="H8" s="864"/>
      <c r="I8" s="865"/>
      <c r="J8" s="865"/>
      <c r="K8" s="865"/>
      <c r="L8" s="866"/>
      <c r="M8" s="151"/>
      <c r="N8" s="151"/>
      <c r="O8" s="151"/>
      <c r="P8" s="151"/>
      <c r="Q8" s="151"/>
      <c r="R8" s="151"/>
      <c r="S8" s="151"/>
      <c r="T8" s="495"/>
      <c r="U8" s="912"/>
      <c r="V8" s="973"/>
      <c r="W8" s="948" t="s">
        <v>30822</v>
      </c>
      <c r="X8" s="949"/>
      <c r="Y8" s="949"/>
      <c r="Z8" s="949"/>
      <c r="AA8" s="949"/>
      <c r="AB8" s="934" t="s">
        <v>30823</v>
      </c>
      <c r="AC8" s="935"/>
      <c r="AD8" s="935"/>
      <c r="AE8" s="935"/>
      <c r="AF8" s="935"/>
      <c r="AG8" s="935"/>
      <c r="AH8" s="935"/>
      <c r="AI8" s="935"/>
      <c r="AJ8" s="935"/>
      <c r="AK8" s="935"/>
      <c r="AL8" s="427" t="s">
        <v>15626</v>
      </c>
      <c r="AM8" s="964">
        <f>'5療養介護(基本)'!AM8:AN8</f>
        <v>0.7</v>
      </c>
      <c r="AN8" s="964"/>
      <c r="AO8" s="575"/>
      <c r="AP8" s="575"/>
      <c r="AQ8" s="575"/>
      <c r="AR8" s="592"/>
      <c r="AS8" s="489">
        <f>ROUND(ROUND(I11*$U$51,0)*AM8,0)</f>
        <v>473</v>
      </c>
      <c r="AT8" s="339"/>
    </row>
    <row r="9" spans="1:46" ht="17.100000000000001" customHeight="1" x14ac:dyDescent="0.15">
      <c r="A9" s="340">
        <v>21</v>
      </c>
      <c r="B9" s="341">
        <v>9701</v>
      </c>
      <c r="C9" s="342" t="s">
        <v>31152</v>
      </c>
      <c r="D9" s="943"/>
      <c r="E9" s="944"/>
      <c r="F9" s="943"/>
      <c r="G9" s="944"/>
      <c r="H9" s="430"/>
      <c r="I9" s="431"/>
      <c r="J9" s="431"/>
      <c r="K9" s="431"/>
      <c r="L9" s="432"/>
      <c r="M9" s="151"/>
      <c r="N9" s="151"/>
      <c r="O9" s="151"/>
      <c r="P9" s="151"/>
      <c r="Q9" s="151"/>
      <c r="R9" s="151"/>
      <c r="S9" s="151"/>
      <c r="T9" s="495"/>
      <c r="U9" s="912"/>
      <c r="V9" s="973"/>
      <c r="W9" s="948"/>
      <c r="X9" s="949"/>
      <c r="Y9" s="949"/>
      <c r="Z9" s="949"/>
      <c r="AA9" s="949"/>
      <c r="AB9" s="934" t="s">
        <v>30825</v>
      </c>
      <c r="AC9" s="935"/>
      <c r="AD9" s="935"/>
      <c r="AE9" s="935"/>
      <c r="AF9" s="935"/>
      <c r="AG9" s="935"/>
      <c r="AH9" s="935"/>
      <c r="AI9" s="935"/>
      <c r="AJ9" s="935"/>
      <c r="AK9" s="935"/>
      <c r="AL9" s="427" t="s">
        <v>15626</v>
      </c>
      <c r="AM9" s="964">
        <f>'5療養介護(基本)'!AM9:AN9</f>
        <v>0.5</v>
      </c>
      <c r="AN9" s="964"/>
      <c r="AO9" s="575"/>
      <c r="AP9" s="575"/>
      <c r="AQ9" s="575"/>
      <c r="AR9" s="592"/>
      <c r="AS9" s="489">
        <f>ROUND(ROUND(I11*$U$51,0)*AM9,0)</f>
        <v>338</v>
      </c>
      <c r="AT9" s="339"/>
    </row>
    <row r="10" spans="1:46" ht="17.100000000000001" customHeight="1" x14ac:dyDescent="0.15">
      <c r="A10" s="340">
        <v>21</v>
      </c>
      <c r="B10" s="341">
        <v>9113</v>
      </c>
      <c r="C10" s="342" t="s">
        <v>31153</v>
      </c>
      <c r="D10" s="943"/>
      <c r="E10" s="944"/>
      <c r="F10" s="943"/>
      <c r="G10" s="944"/>
      <c r="H10" s="490"/>
      <c r="L10" s="495"/>
      <c r="M10" s="862" t="s">
        <v>30827</v>
      </c>
      <c r="N10" s="862"/>
      <c r="O10" s="862"/>
      <c r="P10" s="862"/>
      <c r="Q10" s="862"/>
      <c r="R10" s="862"/>
      <c r="S10" s="862"/>
      <c r="T10" s="863"/>
      <c r="U10" s="912"/>
      <c r="V10" s="973"/>
      <c r="W10" s="447"/>
      <c r="X10" s="474"/>
      <c r="Y10" s="343"/>
      <c r="Z10" s="343"/>
      <c r="AA10" s="343"/>
      <c r="AB10" s="396"/>
      <c r="AC10" s="396"/>
      <c r="AD10" s="427"/>
      <c r="AE10" s="427"/>
      <c r="AF10" s="396"/>
      <c r="AG10" s="396"/>
      <c r="AH10" s="396"/>
      <c r="AI10" s="396"/>
      <c r="AJ10" s="396"/>
      <c r="AK10" s="396"/>
      <c r="AL10" s="427"/>
      <c r="AM10" s="964"/>
      <c r="AN10" s="964"/>
      <c r="AO10" s="575"/>
      <c r="AP10" s="575"/>
      <c r="AQ10" s="575"/>
      <c r="AR10" s="592"/>
      <c r="AS10" s="489">
        <f>ROUND(ROUND(I11*S12,0)*$U$51,0)</f>
        <v>652</v>
      </c>
      <c r="AT10" s="339"/>
    </row>
    <row r="11" spans="1:46" ht="17.100000000000001" customHeight="1" x14ac:dyDescent="0.15">
      <c r="A11" s="340">
        <v>21</v>
      </c>
      <c r="B11" s="341">
        <v>9114</v>
      </c>
      <c r="C11" s="342" t="s">
        <v>31154</v>
      </c>
      <c r="D11" s="943"/>
      <c r="E11" s="944"/>
      <c r="F11" s="943"/>
      <c r="G11" s="944"/>
      <c r="H11" s="490"/>
      <c r="I11" s="965">
        <f>'5療養介護(基本)'!I10</f>
        <v>965</v>
      </c>
      <c r="J11" s="965"/>
      <c r="K11" s="152" t="s">
        <v>15624</v>
      </c>
      <c r="L11" s="387"/>
      <c r="M11" s="865"/>
      <c r="N11" s="865"/>
      <c r="O11" s="865"/>
      <c r="P11" s="865"/>
      <c r="Q11" s="865"/>
      <c r="R11" s="865"/>
      <c r="S11" s="865"/>
      <c r="T11" s="866"/>
      <c r="U11" s="912"/>
      <c r="V11" s="973"/>
      <c r="W11" s="948" t="s">
        <v>30822</v>
      </c>
      <c r="X11" s="949"/>
      <c r="Y11" s="949"/>
      <c r="Z11" s="949"/>
      <c r="AA11" s="949"/>
      <c r="AB11" s="934" t="s">
        <v>30823</v>
      </c>
      <c r="AC11" s="935"/>
      <c r="AD11" s="935"/>
      <c r="AE11" s="935"/>
      <c r="AF11" s="935"/>
      <c r="AG11" s="935"/>
      <c r="AH11" s="935"/>
      <c r="AI11" s="935"/>
      <c r="AJ11" s="935"/>
      <c r="AK11" s="935"/>
      <c r="AL11" s="427" t="s">
        <v>15626</v>
      </c>
      <c r="AM11" s="964">
        <f>$AM$8</f>
        <v>0.7</v>
      </c>
      <c r="AN11" s="964"/>
      <c r="AO11" s="575"/>
      <c r="AP11" s="575"/>
      <c r="AQ11" s="575"/>
      <c r="AR11" s="592"/>
      <c r="AS11" s="489">
        <f>ROUND(ROUND(ROUND(I11*S12,0)*$U$51,0)*AM11,0)</f>
        <v>456</v>
      </c>
      <c r="AT11" s="339"/>
    </row>
    <row r="12" spans="1:46" ht="17.100000000000001" customHeight="1" x14ac:dyDescent="0.15">
      <c r="A12" s="340">
        <v>21</v>
      </c>
      <c r="B12" s="341">
        <v>9702</v>
      </c>
      <c r="C12" s="342" t="s">
        <v>31155</v>
      </c>
      <c r="D12" s="943"/>
      <c r="E12" s="944"/>
      <c r="F12" s="943"/>
      <c r="G12" s="944"/>
      <c r="H12" s="490"/>
      <c r="K12" s="152"/>
      <c r="L12" s="387"/>
      <c r="M12" s="338"/>
      <c r="N12" s="338"/>
      <c r="O12" s="338"/>
      <c r="P12" s="338"/>
      <c r="Q12" s="338"/>
      <c r="R12" s="391" t="s">
        <v>15626</v>
      </c>
      <c r="S12" s="936">
        <f>'5療養介護(基本)'!$S$12</f>
        <v>0.96499999999999997</v>
      </c>
      <c r="T12" s="937"/>
      <c r="U12" s="912"/>
      <c r="V12" s="973"/>
      <c r="W12" s="948"/>
      <c r="X12" s="949"/>
      <c r="Y12" s="949"/>
      <c r="Z12" s="949"/>
      <c r="AA12" s="949"/>
      <c r="AB12" s="934" t="s">
        <v>30825</v>
      </c>
      <c r="AC12" s="935"/>
      <c r="AD12" s="935"/>
      <c r="AE12" s="935"/>
      <c r="AF12" s="935"/>
      <c r="AG12" s="935"/>
      <c r="AH12" s="935"/>
      <c r="AI12" s="935"/>
      <c r="AJ12" s="935"/>
      <c r="AK12" s="935"/>
      <c r="AL12" s="427" t="s">
        <v>15626</v>
      </c>
      <c r="AM12" s="964">
        <f>$AM$9</f>
        <v>0.5</v>
      </c>
      <c r="AN12" s="964"/>
      <c r="AO12" s="568"/>
      <c r="AP12" s="568"/>
      <c r="AQ12" s="568"/>
      <c r="AR12" s="599"/>
      <c r="AS12" s="489">
        <f>ROUND(ROUND(ROUND(I11*S12,0)*$U$51,0)*AM12,0)</f>
        <v>326</v>
      </c>
      <c r="AT12" s="339"/>
    </row>
    <row r="13" spans="1:46" ht="17.100000000000001" customHeight="1" x14ac:dyDescent="0.15">
      <c r="A13" s="340">
        <v>21</v>
      </c>
      <c r="B13" s="341">
        <v>9121</v>
      </c>
      <c r="C13" s="342" t="s">
        <v>31156</v>
      </c>
      <c r="D13" s="943"/>
      <c r="E13" s="944"/>
      <c r="F13" s="943"/>
      <c r="G13" s="944"/>
      <c r="H13" s="861" t="s">
        <v>30831</v>
      </c>
      <c r="I13" s="862"/>
      <c r="J13" s="862"/>
      <c r="K13" s="862"/>
      <c r="L13" s="863"/>
      <c r="M13" s="396"/>
      <c r="N13" s="400"/>
      <c r="O13" s="400"/>
      <c r="P13" s="400"/>
      <c r="Q13" s="400"/>
      <c r="R13" s="400"/>
      <c r="S13" s="400"/>
      <c r="T13" s="429"/>
      <c r="U13" s="912"/>
      <c r="V13" s="973"/>
      <c r="W13" s="330"/>
      <c r="X13" s="454"/>
      <c r="Y13" s="459"/>
      <c r="Z13" s="568"/>
      <c r="AA13" s="343"/>
      <c r="AB13" s="396"/>
      <c r="AC13" s="396"/>
      <c r="AD13" s="427"/>
      <c r="AE13" s="427"/>
      <c r="AF13" s="396"/>
      <c r="AG13" s="396"/>
      <c r="AH13" s="396"/>
      <c r="AI13" s="396"/>
      <c r="AJ13" s="396"/>
      <c r="AK13" s="396"/>
      <c r="AL13" s="427"/>
      <c r="AM13" s="964"/>
      <c r="AN13" s="964"/>
      <c r="AO13" s="575"/>
      <c r="AP13" s="575"/>
      <c r="AQ13" s="575"/>
      <c r="AR13" s="592"/>
      <c r="AS13" s="489">
        <f>ROUND(I17*$U$51,0)</f>
        <v>657</v>
      </c>
      <c r="AT13" s="339"/>
    </row>
    <row r="14" spans="1:46" ht="17.100000000000001" customHeight="1" x14ac:dyDescent="0.15">
      <c r="A14" s="340">
        <v>21</v>
      </c>
      <c r="B14" s="341">
        <v>9122</v>
      </c>
      <c r="C14" s="342" t="s">
        <v>31157</v>
      </c>
      <c r="D14" s="943"/>
      <c r="E14" s="944"/>
      <c r="F14" s="943"/>
      <c r="G14" s="944"/>
      <c r="H14" s="864"/>
      <c r="I14" s="865"/>
      <c r="J14" s="865"/>
      <c r="K14" s="865"/>
      <c r="L14" s="866"/>
      <c r="M14" s="151"/>
      <c r="N14" s="151"/>
      <c r="O14" s="151"/>
      <c r="P14" s="151"/>
      <c r="Q14" s="151"/>
      <c r="R14" s="151"/>
      <c r="S14" s="151"/>
      <c r="T14" s="495"/>
      <c r="U14" s="912"/>
      <c r="V14" s="973"/>
      <c r="W14" s="948" t="s">
        <v>30822</v>
      </c>
      <c r="X14" s="949"/>
      <c r="Y14" s="949"/>
      <c r="Z14" s="949"/>
      <c r="AA14" s="949"/>
      <c r="AB14" s="934" t="s">
        <v>30823</v>
      </c>
      <c r="AC14" s="935"/>
      <c r="AD14" s="935"/>
      <c r="AE14" s="935"/>
      <c r="AF14" s="935"/>
      <c r="AG14" s="935"/>
      <c r="AH14" s="935"/>
      <c r="AI14" s="935"/>
      <c r="AJ14" s="935"/>
      <c r="AK14" s="935"/>
      <c r="AL14" s="427" t="s">
        <v>15626</v>
      </c>
      <c r="AM14" s="964">
        <f>$AM$8</f>
        <v>0.7</v>
      </c>
      <c r="AN14" s="964"/>
      <c r="AO14" s="575"/>
      <c r="AP14" s="575"/>
      <c r="AQ14" s="575"/>
      <c r="AR14" s="592"/>
      <c r="AS14" s="489">
        <f>ROUND(ROUND(I17*$U$51,0)*AM14,0)</f>
        <v>460</v>
      </c>
      <c r="AT14" s="339"/>
    </row>
    <row r="15" spans="1:46" ht="17.100000000000001" customHeight="1" x14ac:dyDescent="0.15">
      <c r="A15" s="340">
        <v>21</v>
      </c>
      <c r="B15" s="341">
        <v>9709</v>
      </c>
      <c r="C15" s="342" t="s">
        <v>31158</v>
      </c>
      <c r="D15" s="943"/>
      <c r="E15" s="944"/>
      <c r="F15" s="943"/>
      <c r="G15" s="944"/>
      <c r="H15" s="423"/>
      <c r="I15" s="424"/>
      <c r="J15" s="424"/>
      <c r="K15" s="424"/>
      <c r="L15" s="425"/>
      <c r="M15" s="151"/>
      <c r="N15" s="151"/>
      <c r="O15" s="151"/>
      <c r="P15" s="151"/>
      <c r="Q15" s="151"/>
      <c r="R15" s="151"/>
      <c r="S15" s="151"/>
      <c r="T15" s="495"/>
      <c r="U15" s="912"/>
      <c r="V15" s="973"/>
      <c r="W15" s="948"/>
      <c r="X15" s="949"/>
      <c r="Y15" s="949"/>
      <c r="Z15" s="949"/>
      <c r="AA15" s="949"/>
      <c r="AB15" s="934" t="s">
        <v>30825</v>
      </c>
      <c r="AC15" s="935"/>
      <c r="AD15" s="935"/>
      <c r="AE15" s="935"/>
      <c r="AF15" s="935"/>
      <c r="AG15" s="935"/>
      <c r="AH15" s="935"/>
      <c r="AI15" s="935"/>
      <c r="AJ15" s="935"/>
      <c r="AK15" s="935"/>
      <c r="AL15" s="427" t="s">
        <v>15626</v>
      </c>
      <c r="AM15" s="964">
        <f>$AM$9</f>
        <v>0.5</v>
      </c>
      <c r="AN15" s="964"/>
      <c r="AO15" s="575"/>
      <c r="AP15" s="575"/>
      <c r="AQ15" s="575"/>
      <c r="AR15" s="592"/>
      <c r="AS15" s="489">
        <f>ROUND(ROUND(I17*$U$51,0)*AM15,0)</f>
        <v>329</v>
      </c>
      <c r="AT15" s="339"/>
    </row>
    <row r="16" spans="1:46" ht="17.100000000000001" customHeight="1" x14ac:dyDescent="0.15">
      <c r="A16" s="340">
        <v>21</v>
      </c>
      <c r="B16" s="341">
        <v>9123</v>
      </c>
      <c r="C16" s="342" t="s">
        <v>31159</v>
      </c>
      <c r="D16" s="943"/>
      <c r="E16" s="944"/>
      <c r="F16" s="943"/>
      <c r="G16" s="944"/>
      <c r="H16" s="423"/>
      <c r="I16" s="424"/>
      <c r="L16" s="495"/>
      <c r="M16" s="862" t="s">
        <v>30827</v>
      </c>
      <c r="N16" s="862"/>
      <c r="O16" s="862"/>
      <c r="P16" s="862"/>
      <c r="Q16" s="862"/>
      <c r="R16" s="862"/>
      <c r="S16" s="862"/>
      <c r="T16" s="863"/>
      <c r="U16" s="912"/>
      <c r="V16" s="973"/>
      <c r="W16" s="447"/>
      <c r="X16" s="474"/>
      <c r="Y16" s="343"/>
      <c r="Z16" s="343"/>
      <c r="AA16" s="343"/>
      <c r="AB16" s="396"/>
      <c r="AC16" s="396"/>
      <c r="AD16" s="427"/>
      <c r="AE16" s="427"/>
      <c r="AF16" s="396"/>
      <c r="AG16" s="396"/>
      <c r="AH16" s="396"/>
      <c r="AI16" s="396"/>
      <c r="AJ16" s="396"/>
      <c r="AK16" s="396"/>
      <c r="AL16" s="427"/>
      <c r="AM16" s="964"/>
      <c r="AN16" s="964"/>
      <c r="AO16" s="575"/>
      <c r="AP16" s="575"/>
      <c r="AQ16" s="575"/>
      <c r="AR16" s="592"/>
      <c r="AS16" s="489">
        <f>ROUND(ROUND(I17*S18,0)*$U$51,0)</f>
        <v>634</v>
      </c>
      <c r="AT16" s="339"/>
    </row>
    <row r="17" spans="1:46" ht="17.100000000000001" customHeight="1" x14ac:dyDescent="0.15">
      <c r="A17" s="340">
        <v>21</v>
      </c>
      <c r="B17" s="341">
        <v>9124</v>
      </c>
      <c r="C17" s="342" t="s">
        <v>31160</v>
      </c>
      <c r="D17" s="943"/>
      <c r="E17" s="944"/>
      <c r="F17" s="943"/>
      <c r="G17" s="944"/>
      <c r="H17" s="423"/>
      <c r="I17" s="965">
        <f>'5療養介護(基本)'!I16</f>
        <v>939</v>
      </c>
      <c r="J17" s="965"/>
      <c r="K17" s="152" t="s">
        <v>15624</v>
      </c>
      <c r="L17" s="425"/>
      <c r="M17" s="865"/>
      <c r="N17" s="865"/>
      <c r="O17" s="865"/>
      <c r="P17" s="865"/>
      <c r="Q17" s="865"/>
      <c r="R17" s="865"/>
      <c r="S17" s="865"/>
      <c r="T17" s="866"/>
      <c r="U17" s="912"/>
      <c r="V17" s="973"/>
      <c r="W17" s="948" t="s">
        <v>30822</v>
      </c>
      <c r="X17" s="949"/>
      <c r="Y17" s="949"/>
      <c r="Z17" s="949"/>
      <c r="AA17" s="949"/>
      <c r="AB17" s="934" t="s">
        <v>30823</v>
      </c>
      <c r="AC17" s="935"/>
      <c r="AD17" s="935"/>
      <c r="AE17" s="935"/>
      <c r="AF17" s="935"/>
      <c r="AG17" s="935"/>
      <c r="AH17" s="935"/>
      <c r="AI17" s="935"/>
      <c r="AJ17" s="935"/>
      <c r="AK17" s="935"/>
      <c r="AL17" s="427" t="s">
        <v>15626</v>
      </c>
      <c r="AM17" s="964">
        <f>$AM$8</f>
        <v>0.7</v>
      </c>
      <c r="AN17" s="964"/>
      <c r="AO17" s="575"/>
      <c r="AP17" s="575"/>
      <c r="AQ17" s="575"/>
      <c r="AR17" s="592"/>
      <c r="AS17" s="489">
        <f>ROUND(ROUND(ROUND(I17*S18,0)*$U$51,0)*AM17,0)</f>
        <v>444</v>
      </c>
      <c r="AT17" s="339"/>
    </row>
    <row r="18" spans="1:46" ht="17.100000000000001" customHeight="1" x14ac:dyDescent="0.15">
      <c r="A18" s="340">
        <v>21</v>
      </c>
      <c r="B18" s="341">
        <v>9710</v>
      </c>
      <c r="C18" s="342" t="s">
        <v>31161</v>
      </c>
      <c r="D18" s="943"/>
      <c r="E18" s="944"/>
      <c r="F18" s="943"/>
      <c r="G18" s="944"/>
      <c r="H18" s="423"/>
      <c r="I18" s="618"/>
      <c r="J18" s="618"/>
      <c r="K18" s="618"/>
      <c r="L18" s="619"/>
      <c r="M18" s="338"/>
      <c r="N18" s="338"/>
      <c r="O18" s="338"/>
      <c r="P18" s="338"/>
      <c r="Q18" s="338"/>
      <c r="R18" s="391" t="s">
        <v>15626</v>
      </c>
      <c r="S18" s="936">
        <f>$S$12</f>
        <v>0.96499999999999997</v>
      </c>
      <c r="T18" s="937"/>
      <c r="U18" s="912"/>
      <c r="V18" s="973"/>
      <c r="W18" s="948"/>
      <c r="X18" s="949"/>
      <c r="Y18" s="949"/>
      <c r="Z18" s="949"/>
      <c r="AA18" s="949"/>
      <c r="AB18" s="934" t="s">
        <v>30825</v>
      </c>
      <c r="AC18" s="935"/>
      <c r="AD18" s="935"/>
      <c r="AE18" s="935"/>
      <c r="AF18" s="935"/>
      <c r="AG18" s="935"/>
      <c r="AH18" s="935"/>
      <c r="AI18" s="935"/>
      <c r="AJ18" s="935"/>
      <c r="AK18" s="935"/>
      <c r="AL18" s="427" t="s">
        <v>15626</v>
      </c>
      <c r="AM18" s="964">
        <f>$AM$9</f>
        <v>0.5</v>
      </c>
      <c r="AN18" s="964"/>
      <c r="AO18" s="568"/>
      <c r="AP18" s="568"/>
      <c r="AQ18" s="568"/>
      <c r="AR18" s="599"/>
      <c r="AS18" s="489">
        <f>ROUND(ROUND(ROUND(I17*S18,0)*$U$51,0)*AM18,0)</f>
        <v>317</v>
      </c>
      <c r="AT18" s="339"/>
    </row>
    <row r="19" spans="1:46" ht="17.100000000000001" customHeight="1" x14ac:dyDescent="0.15">
      <c r="A19" s="340">
        <v>21</v>
      </c>
      <c r="B19" s="341">
        <v>9131</v>
      </c>
      <c r="C19" s="342" t="s">
        <v>31162</v>
      </c>
      <c r="D19" s="423"/>
      <c r="E19" s="424"/>
      <c r="F19" s="423"/>
      <c r="G19" s="424"/>
      <c r="H19" s="861" t="s">
        <v>30838</v>
      </c>
      <c r="I19" s="862"/>
      <c r="J19" s="862"/>
      <c r="K19" s="862"/>
      <c r="L19" s="863"/>
      <c r="M19" s="396"/>
      <c r="N19" s="400"/>
      <c r="O19" s="400"/>
      <c r="P19" s="400"/>
      <c r="Q19" s="400"/>
      <c r="R19" s="400"/>
      <c r="S19" s="400"/>
      <c r="T19" s="429"/>
      <c r="U19" s="912"/>
      <c r="V19" s="973"/>
      <c r="W19" s="330"/>
      <c r="X19" s="454"/>
      <c r="Y19" s="459"/>
      <c r="Z19" s="568"/>
      <c r="AA19" s="343"/>
      <c r="AB19" s="396"/>
      <c r="AC19" s="396"/>
      <c r="AD19" s="427"/>
      <c r="AE19" s="427"/>
      <c r="AF19" s="396"/>
      <c r="AG19" s="396"/>
      <c r="AH19" s="396"/>
      <c r="AI19" s="396"/>
      <c r="AJ19" s="396"/>
      <c r="AK19" s="396"/>
      <c r="AL19" s="427"/>
      <c r="AM19" s="964"/>
      <c r="AN19" s="964"/>
      <c r="AO19" s="575"/>
      <c r="AP19" s="575"/>
      <c r="AQ19" s="575"/>
      <c r="AR19" s="592"/>
      <c r="AS19" s="489">
        <f>ROUND(I23*$U$51,0)</f>
        <v>624</v>
      </c>
      <c r="AT19" s="339"/>
    </row>
    <row r="20" spans="1:46" ht="17.100000000000001" customHeight="1" x14ac:dyDescent="0.15">
      <c r="A20" s="340">
        <v>21</v>
      </c>
      <c r="B20" s="341">
        <v>9132</v>
      </c>
      <c r="C20" s="342" t="s">
        <v>31163</v>
      </c>
      <c r="D20" s="423"/>
      <c r="E20" s="424"/>
      <c r="F20" s="423"/>
      <c r="G20" s="424"/>
      <c r="H20" s="864"/>
      <c r="I20" s="865"/>
      <c r="J20" s="865"/>
      <c r="K20" s="865"/>
      <c r="L20" s="866"/>
      <c r="M20" s="151"/>
      <c r="N20" s="151"/>
      <c r="O20" s="151"/>
      <c r="P20" s="151"/>
      <c r="Q20" s="151"/>
      <c r="R20" s="151"/>
      <c r="S20" s="151"/>
      <c r="T20" s="495"/>
      <c r="U20" s="912"/>
      <c r="V20" s="973"/>
      <c r="W20" s="948" t="s">
        <v>30822</v>
      </c>
      <c r="X20" s="949"/>
      <c r="Y20" s="949"/>
      <c r="Z20" s="949"/>
      <c r="AA20" s="949"/>
      <c r="AB20" s="934" t="s">
        <v>30823</v>
      </c>
      <c r="AC20" s="935"/>
      <c r="AD20" s="935"/>
      <c r="AE20" s="935"/>
      <c r="AF20" s="935"/>
      <c r="AG20" s="935"/>
      <c r="AH20" s="935"/>
      <c r="AI20" s="935"/>
      <c r="AJ20" s="935"/>
      <c r="AK20" s="935"/>
      <c r="AL20" s="427" t="s">
        <v>15626</v>
      </c>
      <c r="AM20" s="964">
        <f>$AM$8</f>
        <v>0.7</v>
      </c>
      <c r="AN20" s="964"/>
      <c r="AO20" s="575"/>
      <c r="AP20" s="575"/>
      <c r="AQ20" s="575"/>
      <c r="AR20" s="592"/>
      <c r="AS20" s="489">
        <f>ROUND(ROUND(I23*$U$51,0)*AM20,0)</f>
        <v>437</v>
      </c>
      <c r="AT20" s="339"/>
    </row>
    <row r="21" spans="1:46" ht="17.100000000000001" customHeight="1" x14ac:dyDescent="0.15">
      <c r="A21" s="340">
        <v>21</v>
      </c>
      <c r="B21" s="341">
        <v>9717</v>
      </c>
      <c r="C21" s="342" t="s">
        <v>31164</v>
      </c>
      <c r="D21" s="423"/>
      <c r="E21" s="424"/>
      <c r="F21" s="423"/>
      <c r="G21" s="424"/>
      <c r="H21" s="490"/>
      <c r="K21" s="152"/>
      <c r="L21" s="387"/>
      <c r="M21" s="151"/>
      <c r="N21" s="151"/>
      <c r="O21" s="151"/>
      <c r="P21" s="151"/>
      <c r="Q21" s="151"/>
      <c r="R21" s="151"/>
      <c r="S21" s="151"/>
      <c r="T21" s="495"/>
      <c r="U21" s="912"/>
      <c r="V21" s="973"/>
      <c r="W21" s="948"/>
      <c r="X21" s="949"/>
      <c r="Y21" s="949"/>
      <c r="Z21" s="949"/>
      <c r="AA21" s="949"/>
      <c r="AB21" s="934" t="s">
        <v>30825</v>
      </c>
      <c r="AC21" s="935"/>
      <c r="AD21" s="935"/>
      <c r="AE21" s="935"/>
      <c r="AF21" s="935"/>
      <c r="AG21" s="935"/>
      <c r="AH21" s="935"/>
      <c r="AI21" s="935"/>
      <c r="AJ21" s="935"/>
      <c r="AK21" s="935"/>
      <c r="AL21" s="427" t="s">
        <v>15626</v>
      </c>
      <c r="AM21" s="964">
        <f>$AM$9</f>
        <v>0.5</v>
      </c>
      <c r="AN21" s="964"/>
      <c r="AO21" s="575"/>
      <c r="AP21" s="575"/>
      <c r="AQ21" s="575"/>
      <c r="AR21" s="592"/>
      <c r="AS21" s="489">
        <f>ROUND(ROUND(I23*$U$51,0)*AM21,0)</f>
        <v>312</v>
      </c>
      <c r="AT21" s="339"/>
    </row>
    <row r="22" spans="1:46" ht="17.100000000000001" customHeight="1" x14ac:dyDescent="0.15">
      <c r="A22" s="340">
        <v>21</v>
      </c>
      <c r="B22" s="341">
        <v>9133</v>
      </c>
      <c r="C22" s="342" t="s">
        <v>31165</v>
      </c>
      <c r="D22" s="423"/>
      <c r="E22" s="424"/>
      <c r="F22" s="423"/>
      <c r="G22" s="424"/>
      <c r="H22" s="490"/>
      <c r="L22" s="495"/>
      <c r="M22" s="862" t="s">
        <v>30827</v>
      </c>
      <c r="N22" s="862"/>
      <c r="O22" s="862"/>
      <c r="P22" s="862"/>
      <c r="Q22" s="862"/>
      <c r="R22" s="862"/>
      <c r="S22" s="862"/>
      <c r="T22" s="863"/>
      <c r="U22" s="912"/>
      <c r="V22" s="973"/>
      <c r="W22" s="447"/>
      <c r="X22" s="474"/>
      <c r="Y22" s="343"/>
      <c r="Z22" s="343"/>
      <c r="AA22" s="343"/>
      <c r="AB22" s="396"/>
      <c r="AC22" s="396"/>
      <c r="AD22" s="427"/>
      <c r="AE22" s="427"/>
      <c r="AF22" s="396"/>
      <c r="AG22" s="396"/>
      <c r="AH22" s="396"/>
      <c r="AI22" s="396"/>
      <c r="AJ22" s="396"/>
      <c r="AK22" s="396"/>
      <c r="AL22" s="427"/>
      <c r="AM22" s="964"/>
      <c r="AN22" s="964"/>
      <c r="AO22" s="575"/>
      <c r="AP22" s="575"/>
      <c r="AQ22" s="575"/>
      <c r="AR22" s="592"/>
      <c r="AS22" s="489">
        <f>ROUND(ROUND(I23*S24,0)*$U$51,0)</f>
        <v>602</v>
      </c>
      <c r="AT22" s="339"/>
    </row>
    <row r="23" spans="1:46" ht="17.100000000000001" customHeight="1" x14ac:dyDescent="0.15">
      <c r="A23" s="340">
        <v>21</v>
      </c>
      <c r="B23" s="341">
        <v>9134</v>
      </c>
      <c r="C23" s="342" t="s">
        <v>31166</v>
      </c>
      <c r="D23" s="423"/>
      <c r="E23" s="424"/>
      <c r="F23" s="423"/>
      <c r="G23" s="424"/>
      <c r="H23" s="490"/>
      <c r="I23" s="965">
        <f>'5療養介護(基本)'!I22</f>
        <v>891</v>
      </c>
      <c r="J23" s="965"/>
      <c r="K23" s="152" t="s">
        <v>15624</v>
      </c>
      <c r="L23" s="387"/>
      <c r="M23" s="865"/>
      <c r="N23" s="865"/>
      <c r="O23" s="865"/>
      <c r="P23" s="865"/>
      <c r="Q23" s="865"/>
      <c r="R23" s="865"/>
      <c r="S23" s="865"/>
      <c r="T23" s="866"/>
      <c r="U23" s="912"/>
      <c r="V23" s="973"/>
      <c r="W23" s="948" t="s">
        <v>30822</v>
      </c>
      <c r="X23" s="949"/>
      <c r="Y23" s="949"/>
      <c r="Z23" s="949"/>
      <c r="AA23" s="949"/>
      <c r="AB23" s="934" t="s">
        <v>30823</v>
      </c>
      <c r="AC23" s="935"/>
      <c r="AD23" s="935"/>
      <c r="AE23" s="935"/>
      <c r="AF23" s="935"/>
      <c r="AG23" s="935"/>
      <c r="AH23" s="935"/>
      <c r="AI23" s="935"/>
      <c r="AJ23" s="935"/>
      <c r="AK23" s="935"/>
      <c r="AL23" s="427" t="s">
        <v>15626</v>
      </c>
      <c r="AM23" s="964">
        <f>$AM$8</f>
        <v>0.7</v>
      </c>
      <c r="AN23" s="964"/>
      <c r="AO23" s="575"/>
      <c r="AP23" s="575"/>
      <c r="AQ23" s="575"/>
      <c r="AR23" s="592"/>
      <c r="AS23" s="489">
        <f>ROUND(ROUND(ROUND(I23*S24,0)*$U$51,0)*AM23,0)</f>
        <v>421</v>
      </c>
      <c r="AT23" s="339"/>
    </row>
    <row r="24" spans="1:46" ht="17.100000000000001" customHeight="1" x14ac:dyDescent="0.15">
      <c r="A24" s="340">
        <v>21</v>
      </c>
      <c r="B24" s="341">
        <v>9718</v>
      </c>
      <c r="C24" s="342" t="s">
        <v>31167</v>
      </c>
      <c r="D24" s="423"/>
      <c r="E24" s="424"/>
      <c r="F24" s="423"/>
      <c r="G24" s="424"/>
      <c r="H24" s="490"/>
      <c r="K24" s="152"/>
      <c r="L24" s="387"/>
      <c r="M24" s="338"/>
      <c r="N24" s="338"/>
      <c r="O24" s="338"/>
      <c r="P24" s="338"/>
      <c r="Q24" s="338"/>
      <c r="R24" s="391" t="s">
        <v>15626</v>
      </c>
      <c r="S24" s="936">
        <f>$S$12</f>
        <v>0.96499999999999997</v>
      </c>
      <c r="T24" s="937"/>
      <c r="U24" s="912"/>
      <c r="V24" s="973"/>
      <c r="W24" s="948"/>
      <c r="X24" s="949"/>
      <c r="Y24" s="949"/>
      <c r="Z24" s="949"/>
      <c r="AA24" s="949"/>
      <c r="AB24" s="934" t="s">
        <v>30825</v>
      </c>
      <c r="AC24" s="935"/>
      <c r="AD24" s="935"/>
      <c r="AE24" s="935"/>
      <c r="AF24" s="935"/>
      <c r="AG24" s="935"/>
      <c r="AH24" s="935"/>
      <c r="AI24" s="935"/>
      <c r="AJ24" s="935"/>
      <c r="AK24" s="935"/>
      <c r="AL24" s="427" t="s">
        <v>15626</v>
      </c>
      <c r="AM24" s="964">
        <f>$AM$9</f>
        <v>0.5</v>
      </c>
      <c r="AN24" s="964"/>
      <c r="AO24" s="568"/>
      <c r="AP24" s="568"/>
      <c r="AQ24" s="568"/>
      <c r="AR24" s="599"/>
      <c r="AS24" s="489">
        <f>ROUND(ROUND(ROUND(I23*S24,0)*$U$51,0)*AM24,0)</f>
        <v>301</v>
      </c>
      <c r="AT24" s="339"/>
    </row>
    <row r="25" spans="1:46" ht="17.100000000000001" customHeight="1" x14ac:dyDescent="0.15">
      <c r="A25" s="340">
        <v>21</v>
      </c>
      <c r="B25" s="341">
        <v>9141</v>
      </c>
      <c r="C25" s="342" t="s">
        <v>31168</v>
      </c>
      <c r="D25" s="423"/>
      <c r="E25" s="424"/>
      <c r="F25" s="423"/>
      <c r="G25" s="424"/>
      <c r="H25" s="861" t="s">
        <v>30845</v>
      </c>
      <c r="I25" s="862"/>
      <c r="J25" s="862"/>
      <c r="K25" s="862"/>
      <c r="L25" s="863"/>
      <c r="M25" s="396"/>
      <c r="N25" s="400"/>
      <c r="O25" s="400"/>
      <c r="P25" s="400"/>
      <c r="Q25" s="400"/>
      <c r="R25" s="400"/>
      <c r="S25" s="400"/>
      <c r="T25" s="429"/>
      <c r="U25" s="912"/>
      <c r="V25" s="973"/>
      <c r="W25" s="330"/>
      <c r="X25" s="454"/>
      <c r="Y25" s="459"/>
      <c r="Z25" s="568"/>
      <c r="AA25" s="343"/>
      <c r="AB25" s="396"/>
      <c r="AC25" s="396"/>
      <c r="AD25" s="427"/>
      <c r="AE25" s="427"/>
      <c r="AF25" s="396"/>
      <c r="AG25" s="396"/>
      <c r="AH25" s="396"/>
      <c r="AI25" s="396"/>
      <c r="AJ25" s="396"/>
      <c r="AK25" s="396"/>
      <c r="AL25" s="427"/>
      <c r="AM25" s="964"/>
      <c r="AN25" s="964"/>
      <c r="AO25" s="575"/>
      <c r="AP25" s="575"/>
      <c r="AQ25" s="575"/>
      <c r="AR25" s="592"/>
      <c r="AS25" s="489">
        <f>ROUND(I29*$U$51,0)</f>
        <v>597</v>
      </c>
      <c r="AT25" s="359"/>
    </row>
    <row r="26" spans="1:46" ht="17.100000000000001" customHeight="1" x14ac:dyDescent="0.15">
      <c r="A26" s="340">
        <v>21</v>
      </c>
      <c r="B26" s="341">
        <v>9142</v>
      </c>
      <c r="C26" s="342" t="s">
        <v>31169</v>
      </c>
      <c r="D26" s="423"/>
      <c r="E26" s="424"/>
      <c r="F26" s="423"/>
      <c r="G26" s="424"/>
      <c r="H26" s="864"/>
      <c r="I26" s="865"/>
      <c r="J26" s="865"/>
      <c r="K26" s="865"/>
      <c r="L26" s="866"/>
      <c r="M26" s="151"/>
      <c r="N26" s="151"/>
      <c r="O26" s="151"/>
      <c r="P26" s="151"/>
      <c r="Q26" s="151"/>
      <c r="R26" s="151"/>
      <c r="S26" s="151"/>
      <c r="T26" s="495"/>
      <c r="U26" s="901" t="s">
        <v>15626</v>
      </c>
      <c r="V26" s="903"/>
      <c r="W26" s="948" t="s">
        <v>30822</v>
      </c>
      <c r="X26" s="949"/>
      <c r="Y26" s="949"/>
      <c r="Z26" s="949"/>
      <c r="AA26" s="949"/>
      <c r="AB26" s="934" t="s">
        <v>30823</v>
      </c>
      <c r="AC26" s="935"/>
      <c r="AD26" s="935"/>
      <c r="AE26" s="935"/>
      <c r="AF26" s="935"/>
      <c r="AG26" s="935"/>
      <c r="AH26" s="935"/>
      <c r="AI26" s="935"/>
      <c r="AJ26" s="935"/>
      <c r="AK26" s="935"/>
      <c r="AL26" s="427" t="s">
        <v>15626</v>
      </c>
      <c r="AM26" s="964">
        <f>$AM$8</f>
        <v>0.7</v>
      </c>
      <c r="AN26" s="964"/>
      <c r="AO26" s="575"/>
      <c r="AP26" s="575"/>
      <c r="AQ26" s="575"/>
      <c r="AR26" s="592"/>
      <c r="AS26" s="489">
        <f>ROUND(ROUND(I29*$U$51,0)*AM26,0)</f>
        <v>418</v>
      </c>
      <c r="AT26" s="359"/>
    </row>
    <row r="27" spans="1:46" ht="17.100000000000001" customHeight="1" x14ac:dyDescent="0.15">
      <c r="A27" s="340">
        <v>21</v>
      </c>
      <c r="B27" s="341">
        <v>9725</v>
      </c>
      <c r="C27" s="342" t="s">
        <v>31170</v>
      </c>
      <c r="D27" s="423"/>
      <c r="E27" s="424"/>
      <c r="F27" s="423"/>
      <c r="G27" s="424"/>
      <c r="H27" s="430"/>
      <c r="I27" s="431"/>
      <c r="J27" s="431"/>
      <c r="K27" s="431"/>
      <c r="L27" s="432"/>
      <c r="M27" s="151"/>
      <c r="N27" s="151"/>
      <c r="O27" s="151"/>
      <c r="P27" s="151"/>
      <c r="Q27" s="151"/>
      <c r="R27" s="151"/>
      <c r="S27" s="151"/>
      <c r="T27" s="495"/>
      <c r="U27" s="966">
        <v>0.7</v>
      </c>
      <c r="V27" s="967"/>
      <c r="W27" s="948"/>
      <c r="X27" s="949"/>
      <c r="Y27" s="949"/>
      <c r="Z27" s="949"/>
      <c r="AA27" s="949"/>
      <c r="AB27" s="934" t="s">
        <v>30825</v>
      </c>
      <c r="AC27" s="935"/>
      <c r="AD27" s="935"/>
      <c r="AE27" s="935"/>
      <c r="AF27" s="935"/>
      <c r="AG27" s="935"/>
      <c r="AH27" s="935"/>
      <c r="AI27" s="935"/>
      <c r="AJ27" s="935"/>
      <c r="AK27" s="935"/>
      <c r="AL27" s="427" t="s">
        <v>15626</v>
      </c>
      <c r="AM27" s="964">
        <f>$AM$9</f>
        <v>0.5</v>
      </c>
      <c r="AN27" s="964"/>
      <c r="AO27" s="575"/>
      <c r="AP27" s="575"/>
      <c r="AQ27" s="575"/>
      <c r="AR27" s="592"/>
      <c r="AS27" s="489">
        <f>ROUND(ROUND(I29*$U$51,0)*AM27,0)</f>
        <v>299</v>
      </c>
      <c r="AT27" s="359"/>
    </row>
    <row r="28" spans="1:46" ht="17.100000000000001" customHeight="1" x14ac:dyDescent="0.15">
      <c r="A28" s="340">
        <v>21</v>
      </c>
      <c r="B28" s="341">
        <v>9143</v>
      </c>
      <c r="C28" s="342" t="s">
        <v>31171</v>
      </c>
      <c r="D28" s="423"/>
      <c r="E28" s="424"/>
      <c r="F28" s="423"/>
      <c r="G28" s="424"/>
      <c r="H28" s="490"/>
      <c r="L28" s="495"/>
      <c r="M28" s="862" t="s">
        <v>30827</v>
      </c>
      <c r="N28" s="862"/>
      <c r="O28" s="862"/>
      <c r="P28" s="862"/>
      <c r="Q28" s="862"/>
      <c r="R28" s="862"/>
      <c r="S28" s="862"/>
      <c r="T28" s="863"/>
      <c r="U28" s="499"/>
      <c r="V28" s="620"/>
      <c r="W28" s="447"/>
      <c r="X28" s="474"/>
      <c r="Y28" s="343"/>
      <c r="Z28" s="343"/>
      <c r="AA28" s="343"/>
      <c r="AB28" s="396"/>
      <c r="AC28" s="396"/>
      <c r="AD28" s="427"/>
      <c r="AE28" s="427"/>
      <c r="AF28" s="396"/>
      <c r="AG28" s="396"/>
      <c r="AH28" s="396"/>
      <c r="AI28" s="396"/>
      <c r="AJ28" s="396"/>
      <c r="AK28" s="396"/>
      <c r="AL28" s="427"/>
      <c r="AM28" s="964"/>
      <c r="AN28" s="964"/>
      <c r="AO28" s="575"/>
      <c r="AP28" s="575"/>
      <c r="AQ28" s="575"/>
      <c r="AR28" s="592"/>
      <c r="AS28" s="489">
        <f>ROUND(ROUND(I29*S30,0)*$U$51,0)</f>
        <v>576</v>
      </c>
      <c r="AT28" s="359"/>
    </row>
    <row r="29" spans="1:46" ht="17.100000000000001" customHeight="1" x14ac:dyDescent="0.15">
      <c r="A29" s="340">
        <v>21</v>
      </c>
      <c r="B29" s="341">
        <v>9144</v>
      </c>
      <c r="C29" s="342" t="s">
        <v>31172</v>
      </c>
      <c r="D29" s="423"/>
      <c r="E29" s="424"/>
      <c r="F29" s="423"/>
      <c r="G29" s="424"/>
      <c r="H29" s="490"/>
      <c r="I29" s="965">
        <f>'5療養介護(基本)'!I28</f>
        <v>853</v>
      </c>
      <c r="J29" s="965"/>
      <c r="K29" s="152" t="s">
        <v>15624</v>
      </c>
      <c r="L29" s="387"/>
      <c r="M29" s="865"/>
      <c r="N29" s="865"/>
      <c r="O29" s="865"/>
      <c r="P29" s="865"/>
      <c r="Q29" s="865"/>
      <c r="R29" s="865"/>
      <c r="S29" s="865"/>
      <c r="T29" s="866"/>
      <c r="U29" s="499"/>
      <c r="V29" s="620"/>
      <c r="W29" s="948" t="s">
        <v>30822</v>
      </c>
      <c r="X29" s="949"/>
      <c r="Y29" s="949"/>
      <c r="Z29" s="949"/>
      <c r="AA29" s="949"/>
      <c r="AB29" s="934" t="s">
        <v>30823</v>
      </c>
      <c r="AC29" s="935"/>
      <c r="AD29" s="935"/>
      <c r="AE29" s="935"/>
      <c r="AF29" s="935"/>
      <c r="AG29" s="935"/>
      <c r="AH29" s="935"/>
      <c r="AI29" s="935"/>
      <c r="AJ29" s="935"/>
      <c r="AK29" s="935"/>
      <c r="AL29" s="427" t="s">
        <v>15626</v>
      </c>
      <c r="AM29" s="964">
        <f>$AM$8</f>
        <v>0.7</v>
      </c>
      <c r="AN29" s="964"/>
      <c r="AO29" s="575"/>
      <c r="AP29" s="575"/>
      <c r="AQ29" s="575"/>
      <c r="AR29" s="592"/>
      <c r="AS29" s="489">
        <f>ROUND(ROUND(ROUND(I29*S30,0)*$U$51,0)*AM29,0)</f>
        <v>403</v>
      </c>
      <c r="AT29" s="359"/>
    </row>
    <row r="30" spans="1:46" ht="17.100000000000001" customHeight="1" x14ac:dyDescent="0.15">
      <c r="A30" s="340">
        <v>21</v>
      </c>
      <c r="B30" s="341">
        <v>9726</v>
      </c>
      <c r="C30" s="342" t="s">
        <v>31173</v>
      </c>
      <c r="D30" s="423"/>
      <c r="E30" s="424"/>
      <c r="F30" s="469"/>
      <c r="G30" s="470"/>
      <c r="H30" s="324"/>
      <c r="I30" s="325"/>
      <c r="J30" s="325"/>
      <c r="K30" s="325"/>
      <c r="L30" s="388"/>
      <c r="M30" s="338"/>
      <c r="N30" s="338"/>
      <c r="O30" s="338"/>
      <c r="P30" s="338"/>
      <c r="Q30" s="338"/>
      <c r="R30" s="391" t="s">
        <v>15626</v>
      </c>
      <c r="S30" s="936">
        <f>$S$12</f>
        <v>0.96499999999999997</v>
      </c>
      <c r="T30" s="937"/>
      <c r="U30" s="499"/>
      <c r="V30" s="620"/>
      <c r="W30" s="948"/>
      <c r="X30" s="949"/>
      <c r="Y30" s="949"/>
      <c r="Z30" s="949"/>
      <c r="AA30" s="949"/>
      <c r="AB30" s="934" t="s">
        <v>30825</v>
      </c>
      <c r="AC30" s="935"/>
      <c r="AD30" s="935"/>
      <c r="AE30" s="935"/>
      <c r="AF30" s="935"/>
      <c r="AG30" s="935"/>
      <c r="AH30" s="935"/>
      <c r="AI30" s="935"/>
      <c r="AJ30" s="935"/>
      <c r="AK30" s="935"/>
      <c r="AL30" s="427" t="s">
        <v>15626</v>
      </c>
      <c r="AM30" s="964">
        <f>$AM$9</f>
        <v>0.5</v>
      </c>
      <c r="AN30" s="964"/>
      <c r="AO30" s="568"/>
      <c r="AP30" s="568"/>
      <c r="AQ30" s="568"/>
      <c r="AR30" s="599"/>
      <c r="AS30" s="489">
        <f>ROUND(ROUND(ROUND(I29*S30,0)*$U$51,0)*AM30,0)</f>
        <v>288</v>
      </c>
      <c r="AT30" s="359"/>
    </row>
    <row r="31" spans="1:46" ht="17.100000000000001" customHeight="1" x14ac:dyDescent="0.15">
      <c r="A31" s="340">
        <v>21</v>
      </c>
      <c r="B31" s="322">
        <v>9211</v>
      </c>
      <c r="C31" s="323" t="s">
        <v>31174</v>
      </c>
      <c r="D31" s="423"/>
      <c r="E31" s="424"/>
      <c r="F31" s="943" t="s">
        <v>30852</v>
      </c>
      <c r="G31" s="944"/>
      <c r="H31" s="864" t="s">
        <v>30820</v>
      </c>
      <c r="I31" s="865"/>
      <c r="J31" s="865"/>
      <c r="K31" s="865"/>
      <c r="L31" s="866"/>
      <c r="M31" s="152"/>
      <c r="N31" s="151"/>
      <c r="O31" s="151"/>
      <c r="P31" s="151"/>
      <c r="Q31" s="151"/>
      <c r="R31" s="151"/>
      <c r="S31" s="151"/>
      <c r="T31" s="495"/>
      <c r="U31" s="916" t="s">
        <v>31150</v>
      </c>
      <c r="V31" s="972" t="s">
        <v>30823</v>
      </c>
      <c r="W31" s="330"/>
      <c r="X31" s="454"/>
      <c r="Y31" s="459"/>
      <c r="Z31" s="568"/>
      <c r="AA31" s="343"/>
      <c r="AB31" s="396"/>
      <c r="AC31" s="396"/>
      <c r="AD31" s="427"/>
      <c r="AE31" s="427"/>
      <c r="AF31" s="396"/>
      <c r="AG31" s="396"/>
      <c r="AH31" s="396"/>
      <c r="AI31" s="396"/>
      <c r="AJ31" s="396"/>
      <c r="AK31" s="396"/>
      <c r="AL31" s="427"/>
      <c r="AM31" s="964"/>
      <c r="AN31" s="964"/>
      <c r="AO31" s="575"/>
      <c r="AP31" s="575"/>
      <c r="AQ31" s="575"/>
      <c r="AR31" s="592"/>
      <c r="AS31" s="489">
        <f>ROUND(I35*$U$51,0)</f>
        <v>492</v>
      </c>
      <c r="AT31" s="359"/>
    </row>
    <row r="32" spans="1:46" ht="17.100000000000001" customHeight="1" x14ac:dyDescent="0.15">
      <c r="A32" s="321">
        <v>21</v>
      </c>
      <c r="B32" s="341">
        <v>9212</v>
      </c>
      <c r="C32" s="342" t="s">
        <v>31175</v>
      </c>
      <c r="D32" s="423"/>
      <c r="E32" s="424"/>
      <c r="F32" s="943"/>
      <c r="G32" s="944"/>
      <c r="H32" s="864"/>
      <c r="I32" s="865"/>
      <c r="J32" s="865"/>
      <c r="K32" s="865"/>
      <c r="L32" s="866"/>
      <c r="M32" s="151"/>
      <c r="N32" s="151"/>
      <c r="O32" s="151"/>
      <c r="P32" s="151"/>
      <c r="Q32" s="151"/>
      <c r="R32" s="151"/>
      <c r="S32" s="151"/>
      <c r="T32" s="495"/>
      <c r="U32" s="912"/>
      <c r="V32" s="973"/>
      <c r="W32" s="948" t="s">
        <v>30822</v>
      </c>
      <c r="X32" s="949"/>
      <c r="Y32" s="949"/>
      <c r="Z32" s="949"/>
      <c r="AA32" s="949"/>
      <c r="AB32" s="934" t="s">
        <v>30823</v>
      </c>
      <c r="AC32" s="935"/>
      <c r="AD32" s="935"/>
      <c r="AE32" s="935"/>
      <c r="AF32" s="935"/>
      <c r="AG32" s="935"/>
      <c r="AH32" s="935"/>
      <c r="AI32" s="935"/>
      <c r="AJ32" s="935"/>
      <c r="AK32" s="935"/>
      <c r="AL32" s="427" t="s">
        <v>15626</v>
      </c>
      <c r="AM32" s="964">
        <f>$AM$8</f>
        <v>0.7</v>
      </c>
      <c r="AN32" s="964"/>
      <c r="AO32" s="575"/>
      <c r="AP32" s="575"/>
      <c r="AQ32" s="575"/>
      <c r="AR32" s="592"/>
      <c r="AS32" s="489">
        <f>ROUND(ROUND(I35*$U$51,0)*AM32,0)</f>
        <v>344</v>
      </c>
      <c r="AT32" s="359"/>
    </row>
    <row r="33" spans="1:46" ht="17.100000000000001" customHeight="1" x14ac:dyDescent="0.15">
      <c r="A33" s="340">
        <v>21</v>
      </c>
      <c r="B33" s="341">
        <v>9733</v>
      </c>
      <c r="C33" s="342" t="s">
        <v>31176</v>
      </c>
      <c r="D33" s="423"/>
      <c r="E33" s="424"/>
      <c r="F33" s="943"/>
      <c r="G33" s="944"/>
      <c r="H33" s="430"/>
      <c r="I33" s="431"/>
      <c r="J33" s="431"/>
      <c r="K33" s="431"/>
      <c r="L33" s="432"/>
      <c r="M33" s="151"/>
      <c r="N33" s="151"/>
      <c r="O33" s="151"/>
      <c r="P33" s="151"/>
      <c r="Q33" s="151"/>
      <c r="R33" s="151"/>
      <c r="S33" s="151"/>
      <c r="T33" s="495"/>
      <c r="U33" s="912"/>
      <c r="V33" s="973"/>
      <c r="W33" s="948"/>
      <c r="X33" s="949"/>
      <c r="Y33" s="949"/>
      <c r="Z33" s="949"/>
      <c r="AA33" s="949"/>
      <c r="AB33" s="934" t="s">
        <v>30825</v>
      </c>
      <c r="AC33" s="935"/>
      <c r="AD33" s="935"/>
      <c r="AE33" s="935"/>
      <c r="AF33" s="935"/>
      <c r="AG33" s="935"/>
      <c r="AH33" s="935"/>
      <c r="AI33" s="935"/>
      <c r="AJ33" s="935"/>
      <c r="AK33" s="935"/>
      <c r="AL33" s="427" t="s">
        <v>15626</v>
      </c>
      <c r="AM33" s="964">
        <f>$AM$9</f>
        <v>0.5</v>
      </c>
      <c r="AN33" s="964"/>
      <c r="AO33" s="575"/>
      <c r="AP33" s="575"/>
      <c r="AQ33" s="575"/>
      <c r="AR33" s="592"/>
      <c r="AS33" s="489">
        <f>ROUND(ROUND(I35*$U$51,0)*AM33,0)</f>
        <v>246</v>
      </c>
      <c r="AT33" s="359"/>
    </row>
    <row r="34" spans="1:46" ht="17.100000000000001" customHeight="1" x14ac:dyDescent="0.15">
      <c r="A34" s="340">
        <v>21</v>
      </c>
      <c r="B34" s="341">
        <v>9213</v>
      </c>
      <c r="C34" s="342" t="s">
        <v>31177</v>
      </c>
      <c r="D34" s="423"/>
      <c r="E34" s="424"/>
      <c r="F34" s="943"/>
      <c r="G34" s="944"/>
      <c r="H34" s="490"/>
      <c r="L34" s="495"/>
      <c r="M34" s="862" t="s">
        <v>30827</v>
      </c>
      <c r="N34" s="862"/>
      <c r="O34" s="862"/>
      <c r="P34" s="862"/>
      <c r="Q34" s="862"/>
      <c r="R34" s="862"/>
      <c r="S34" s="862"/>
      <c r="T34" s="863"/>
      <c r="U34" s="912"/>
      <c r="V34" s="973"/>
      <c r="W34" s="447"/>
      <c r="X34" s="474"/>
      <c r="Y34" s="343"/>
      <c r="Z34" s="343"/>
      <c r="AA34" s="343"/>
      <c r="AB34" s="396"/>
      <c r="AC34" s="396"/>
      <c r="AD34" s="427"/>
      <c r="AE34" s="427"/>
      <c r="AF34" s="396"/>
      <c r="AG34" s="396"/>
      <c r="AH34" s="396"/>
      <c r="AI34" s="396"/>
      <c r="AJ34" s="396"/>
      <c r="AK34" s="396"/>
      <c r="AL34" s="427"/>
      <c r="AM34" s="964"/>
      <c r="AN34" s="964"/>
      <c r="AO34" s="575"/>
      <c r="AP34" s="575"/>
      <c r="AQ34" s="575"/>
      <c r="AR34" s="592"/>
      <c r="AS34" s="489">
        <f>ROUND(ROUND(I35*S36,0)*$U$51,0)</f>
        <v>475</v>
      </c>
      <c r="AT34" s="359"/>
    </row>
    <row r="35" spans="1:46" ht="17.100000000000001" customHeight="1" x14ac:dyDescent="0.15">
      <c r="A35" s="340">
        <v>21</v>
      </c>
      <c r="B35" s="341">
        <v>9214</v>
      </c>
      <c r="C35" s="342" t="s">
        <v>31178</v>
      </c>
      <c r="D35" s="423"/>
      <c r="E35" s="424"/>
      <c r="F35" s="943"/>
      <c r="G35" s="944"/>
      <c r="H35" s="490"/>
      <c r="I35" s="965">
        <f>'5療養介護(基本)'!I34</f>
        <v>703</v>
      </c>
      <c r="J35" s="965"/>
      <c r="K35" s="152" t="s">
        <v>15624</v>
      </c>
      <c r="L35" s="387"/>
      <c r="M35" s="865"/>
      <c r="N35" s="865"/>
      <c r="O35" s="865"/>
      <c r="P35" s="865"/>
      <c r="Q35" s="865"/>
      <c r="R35" s="865"/>
      <c r="S35" s="865"/>
      <c r="T35" s="866"/>
      <c r="U35" s="912"/>
      <c r="V35" s="973"/>
      <c r="W35" s="948" t="s">
        <v>30822</v>
      </c>
      <c r="X35" s="949"/>
      <c r="Y35" s="949"/>
      <c r="Z35" s="949"/>
      <c r="AA35" s="949"/>
      <c r="AB35" s="934" t="s">
        <v>30823</v>
      </c>
      <c r="AC35" s="935"/>
      <c r="AD35" s="935"/>
      <c r="AE35" s="935"/>
      <c r="AF35" s="935"/>
      <c r="AG35" s="935"/>
      <c r="AH35" s="935"/>
      <c r="AI35" s="935"/>
      <c r="AJ35" s="935"/>
      <c r="AK35" s="935"/>
      <c r="AL35" s="427" t="s">
        <v>15626</v>
      </c>
      <c r="AM35" s="964">
        <f>$AM$8</f>
        <v>0.7</v>
      </c>
      <c r="AN35" s="964"/>
      <c r="AO35" s="575"/>
      <c r="AP35" s="575"/>
      <c r="AQ35" s="575"/>
      <c r="AR35" s="592"/>
      <c r="AS35" s="489">
        <f>ROUND(ROUND(ROUND(I35*S36,0)*$U$51,0)*AM35,0)</f>
        <v>333</v>
      </c>
      <c r="AT35" s="359"/>
    </row>
    <row r="36" spans="1:46" ht="17.100000000000001" customHeight="1" x14ac:dyDescent="0.15">
      <c r="A36" s="340">
        <v>21</v>
      </c>
      <c r="B36" s="341">
        <v>9734</v>
      </c>
      <c r="C36" s="342" t="s">
        <v>31179</v>
      </c>
      <c r="D36" s="423"/>
      <c r="E36" s="424"/>
      <c r="F36" s="943"/>
      <c r="G36" s="944"/>
      <c r="H36" s="490"/>
      <c r="K36" s="152"/>
      <c r="L36" s="387"/>
      <c r="M36" s="338"/>
      <c r="N36" s="338"/>
      <c r="O36" s="338"/>
      <c r="P36" s="338"/>
      <c r="Q36" s="338"/>
      <c r="R36" s="391" t="s">
        <v>15626</v>
      </c>
      <c r="S36" s="936">
        <f>$S$12</f>
        <v>0.96499999999999997</v>
      </c>
      <c r="T36" s="937"/>
      <c r="U36" s="912"/>
      <c r="V36" s="973"/>
      <c r="W36" s="948"/>
      <c r="X36" s="949"/>
      <c r="Y36" s="949"/>
      <c r="Z36" s="949"/>
      <c r="AA36" s="949"/>
      <c r="AB36" s="934" t="s">
        <v>30825</v>
      </c>
      <c r="AC36" s="935"/>
      <c r="AD36" s="935"/>
      <c r="AE36" s="935"/>
      <c r="AF36" s="935"/>
      <c r="AG36" s="935"/>
      <c r="AH36" s="935"/>
      <c r="AI36" s="935"/>
      <c r="AJ36" s="935"/>
      <c r="AK36" s="935"/>
      <c r="AL36" s="427" t="s">
        <v>15626</v>
      </c>
      <c r="AM36" s="964">
        <f>$AM$9</f>
        <v>0.5</v>
      </c>
      <c r="AN36" s="964"/>
      <c r="AO36" s="568"/>
      <c r="AP36" s="568"/>
      <c r="AQ36" s="568"/>
      <c r="AR36" s="599"/>
      <c r="AS36" s="489">
        <f>ROUND(ROUND(ROUND(I35*S36,0)*$U$51,0)*AM36,0)</f>
        <v>238</v>
      </c>
      <c r="AT36" s="359"/>
    </row>
    <row r="37" spans="1:46" ht="17.100000000000001" customHeight="1" x14ac:dyDescent="0.15">
      <c r="A37" s="340">
        <v>21</v>
      </c>
      <c r="B37" s="341">
        <v>9221</v>
      </c>
      <c r="C37" s="342" t="s">
        <v>31180</v>
      </c>
      <c r="D37" s="423"/>
      <c r="E37" s="424"/>
      <c r="F37" s="943"/>
      <c r="G37" s="944"/>
      <c r="H37" s="861" t="s">
        <v>30831</v>
      </c>
      <c r="I37" s="862"/>
      <c r="J37" s="862"/>
      <c r="K37" s="862"/>
      <c r="L37" s="863"/>
      <c r="M37" s="396"/>
      <c r="N37" s="400"/>
      <c r="O37" s="400"/>
      <c r="P37" s="400"/>
      <c r="Q37" s="400"/>
      <c r="R37" s="400"/>
      <c r="S37" s="400"/>
      <c r="T37" s="429"/>
      <c r="U37" s="912"/>
      <c r="V37" s="973"/>
      <c r="W37" s="330"/>
      <c r="X37" s="454"/>
      <c r="Y37" s="459"/>
      <c r="Z37" s="568"/>
      <c r="AA37" s="343"/>
      <c r="AB37" s="396"/>
      <c r="AC37" s="396"/>
      <c r="AD37" s="427"/>
      <c r="AE37" s="427"/>
      <c r="AF37" s="396"/>
      <c r="AG37" s="396"/>
      <c r="AH37" s="396"/>
      <c r="AI37" s="396"/>
      <c r="AJ37" s="396"/>
      <c r="AK37" s="396"/>
      <c r="AL37" s="427"/>
      <c r="AM37" s="964"/>
      <c r="AN37" s="964"/>
      <c r="AO37" s="575"/>
      <c r="AP37" s="575"/>
      <c r="AQ37" s="575"/>
      <c r="AR37" s="592"/>
      <c r="AS37" s="489">
        <f>ROUND(I41*$U$51,0)</f>
        <v>467</v>
      </c>
      <c r="AT37" s="359"/>
    </row>
    <row r="38" spans="1:46" ht="17.100000000000001" customHeight="1" x14ac:dyDescent="0.15">
      <c r="A38" s="340">
        <v>21</v>
      </c>
      <c r="B38" s="341">
        <v>9222</v>
      </c>
      <c r="C38" s="342" t="s">
        <v>31181</v>
      </c>
      <c r="D38" s="423"/>
      <c r="E38" s="424"/>
      <c r="F38" s="943"/>
      <c r="G38" s="944"/>
      <c r="H38" s="864"/>
      <c r="I38" s="865"/>
      <c r="J38" s="865"/>
      <c r="K38" s="865"/>
      <c r="L38" s="866"/>
      <c r="M38" s="151"/>
      <c r="N38" s="151"/>
      <c r="O38" s="151"/>
      <c r="P38" s="151"/>
      <c r="Q38" s="151"/>
      <c r="R38" s="151"/>
      <c r="S38" s="151"/>
      <c r="T38" s="495"/>
      <c r="U38" s="912"/>
      <c r="V38" s="973"/>
      <c r="W38" s="948" t="s">
        <v>30822</v>
      </c>
      <c r="X38" s="949"/>
      <c r="Y38" s="949"/>
      <c r="Z38" s="949"/>
      <c r="AA38" s="949"/>
      <c r="AB38" s="934" t="s">
        <v>30823</v>
      </c>
      <c r="AC38" s="935"/>
      <c r="AD38" s="935"/>
      <c r="AE38" s="935"/>
      <c r="AF38" s="935"/>
      <c r="AG38" s="935"/>
      <c r="AH38" s="935"/>
      <c r="AI38" s="935"/>
      <c r="AJ38" s="935"/>
      <c r="AK38" s="935"/>
      <c r="AL38" s="427" t="s">
        <v>15626</v>
      </c>
      <c r="AM38" s="964">
        <f>$AM$8</f>
        <v>0.7</v>
      </c>
      <c r="AN38" s="964"/>
      <c r="AO38" s="575"/>
      <c r="AP38" s="575"/>
      <c r="AQ38" s="575"/>
      <c r="AR38" s="592"/>
      <c r="AS38" s="489">
        <f>ROUND(ROUND(I41*$U$51,0)*AM38,0)</f>
        <v>327</v>
      </c>
      <c r="AT38" s="359"/>
    </row>
    <row r="39" spans="1:46" ht="17.100000000000001" customHeight="1" x14ac:dyDescent="0.15">
      <c r="A39" s="340">
        <v>21</v>
      </c>
      <c r="B39" s="341">
        <v>9741</v>
      </c>
      <c r="C39" s="342" t="s">
        <v>31182</v>
      </c>
      <c r="D39" s="423"/>
      <c r="E39" s="424"/>
      <c r="F39" s="943"/>
      <c r="G39" s="944"/>
      <c r="H39" s="423"/>
      <c r="I39" s="424"/>
      <c r="J39" s="424"/>
      <c r="K39" s="424"/>
      <c r="L39" s="425"/>
      <c r="M39" s="151"/>
      <c r="N39" s="151"/>
      <c r="O39" s="151"/>
      <c r="P39" s="151"/>
      <c r="Q39" s="151"/>
      <c r="R39" s="151"/>
      <c r="S39" s="151"/>
      <c r="T39" s="495"/>
      <c r="U39" s="912"/>
      <c r="V39" s="973"/>
      <c r="W39" s="948"/>
      <c r="X39" s="949"/>
      <c r="Y39" s="949"/>
      <c r="Z39" s="949"/>
      <c r="AA39" s="949"/>
      <c r="AB39" s="934" t="s">
        <v>30825</v>
      </c>
      <c r="AC39" s="935"/>
      <c r="AD39" s="935"/>
      <c r="AE39" s="935"/>
      <c r="AF39" s="935"/>
      <c r="AG39" s="935"/>
      <c r="AH39" s="935"/>
      <c r="AI39" s="935"/>
      <c r="AJ39" s="935"/>
      <c r="AK39" s="935"/>
      <c r="AL39" s="427" t="s">
        <v>15626</v>
      </c>
      <c r="AM39" s="964">
        <f>$AM$9</f>
        <v>0.5</v>
      </c>
      <c r="AN39" s="964"/>
      <c r="AO39" s="575"/>
      <c r="AP39" s="575"/>
      <c r="AQ39" s="575"/>
      <c r="AR39" s="592"/>
      <c r="AS39" s="489">
        <f>ROUND(ROUND(I41*$U$51,0)*AM39,0)</f>
        <v>234</v>
      </c>
      <c r="AT39" s="359"/>
    </row>
    <row r="40" spans="1:46" ht="17.100000000000001" customHeight="1" x14ac:dyDescent="0.15">
      <c r="A40" s="340">
        <v>21</v>
      </c>
      <c r="B40" s="341">
        <v>9223</v>
      </c>
      <c r="C40" s="342" t="s">
        <v>31183</v>
      </c>
      <c r="D40" s="423"/>
      <c r="E40" s="424"/>
      <c r="F40" s="943"/>
      <c r="G40" s="944"/>
      <c r="H40" s="423"/>
      <c r="I40" s="424"/>
      <c r="L40" s="495"/>
      <c r="M40" s="862" t="s">
        <v>30827</v>
      </c>
      <c r="N40" s="862"/>
      <c r="O40" s="862"/>
      <c r="P40" s="862"/>
      <c r="Q40" s="862"/>
      <c r="R40" s="862"/>
      <c r="S40" s="862"/>
      <c r="T40" s="863"/>
      <c r="U40" s="912"/>
      <c r="V40" s="973"/>
      <c r="W40" s="447"/>
      <c r="X40" s="474"/>
      <c r="Y40" s="343"/>
      <c r="Z40" s="343"/>
      <c r="AA40" s="343"/>
      <c r="AB40" s="396"/>
      <c r="AC40" s="396"/>
      <c r="AD40" s="427"/>
      <c r="AE40" s="427"/>
      <c r="AF40" s="396"/>
      <c r="AG40" s="396"/>
      <c r="AH40" s="396"/>
      <c r="AI40" s="396"/>
      <c r="AJ40" s="396"/>
      <c r="AK40" s="396"/>
      <c r="AL40" s="427"/>
      <c r="AM40" s="964"/>
      <c r="AN40" s="964"/>
      <c r="AO40" s="575"/>
      <c r="AP40" s="575"/>
      <c r="AQ40" s="575"/>
      <c r="AR40" s="592"/>
      <c r="AS40" s="489">
        <f>ROUND(ROUND(I41*S42,0)*$U$51,0)</f>
        <v>451</v>
      </c>
      <c r="AT40" s="359"/>
    </row>
    <row r="41" spans="1:46" ht="17.100000000000001" customHeight="1" x14ac:dyDescent="0.15">
      <c r="A41" s="340">
        <v>21</v>
      </c>
      <c r="B41" s="341">
        <v>9224</v>
      </c>
      <c r="C41" s="342" t="s">
        <v>31184</v>
      </c>
      <c r="D41" s="423"/>
      <c r="E41" s="424"/>
      <c r="F41" s="943"/>
      <c r="G41" s="944"/>
      <c r="H41" s="423"/>
      <c r="I41" s="965">
        <f>'5療養介護(基本)'!I40</f>
        <v>667</v>
      </c>
      <c r="J41" s="965"/>
      <c r="K41" s="152" t="s">
        <v>15624</v>
      </c>
      <c r="L41" s="425"/>
      <c r="M41" s="865"/>
      <c r="N41" s="865"/>
      <c r="O41" s="865"/>
      <c r="P41" s="865"/>
      <c r="Q41" s="865"/>
      <c r="R41" s="865"/>
      <c r="S41" s="865"/>
      <c r="T41" s="866"/>
      <c r="U41" s="912"/>
      <c r="V41" s="973"/>
      <c r="W41" s="948" t="s">
        <v>30822</v>
      </c>
      <c r="X41" s="949"/>
      <c r="Y41" s="949"/>
      <c r="Z41" s="949"/>
      <c r="AA41" s="949"/>
      <c r="AB41" s="934" t="s">
        <v>30823</v>
      </c>
      <c r="AC41" s="935"/>
      <c r="AD41" s="935"/>
      <c r="AE41" s="935"/>
      <c r="AF41" s="935"/>
      <c r="AG41" s="935"/>
      <c r="AH41" s="935"/>
      <c r="AI41" s="935"/>
      <c r="AJ41" s="935"/>
      <c r="AK41" s="935"/>
      <c r="AL41" s="427" t="s">
        <v>15626</v>
      </c>
      <c r="AM41" s="964">
        <f>$AM$8</f>
        <v>0.7</v>
      </c>
      <c r="AN41" s="964"/>
      <c r="AO41" s="575"/>
      <c r="AP41" s="575"/>
      <c r="AQ41" s="575"/>
      <c r="AR41" s="592"/>
      <c r="AS41" s="489">
        <f>ROUND(ROUND(ROUND(I41*S42,0)*$U$51,0)*AM41,0)</f>
        <v>316</v>
      </c>
      <c r="AT41" s="359"/>
    </row>
    <row r="42" spans="1:46" ht="17.100000000000001" customHeight="1" x14ac:dyDescent="0.15">
      <c r="A42" s="340">
        <v>21</v>
      </c>
      <c r="B42" s="341">
        <v>9742</v>
      </c>
      <c r="C42" s="342" t="s">
        <v>31185</v>
      </c>
      <c r="D42" s="423"/>
      <c r="E42" s="424"/>
      <c r="F42" s="943"/>
      <c r="G42" s="944"/>
      <c r="H42" s="423"/>
      <c r="I42" s="618"/>
      <c r="J42" s="618"/>
      <c r="K42" s="618"/>
      <c r="L42" s="619"/>
      <c r="M42" s="338"/>
      <c r="N42" s="338"/>
      <c r="O42" s="338"/>
      <c r="P42" s="338"/>
      <c r="Q42" s="338"/>
      <c r="R42" s="391" t="s">
        <v>15626</v>
      </c>
      <c r="S42" s="936">
        <f>$S$12</f>
        <v>0.96499999999999997</v>
      </c>
      <c r="T42" s="937"/>
      <c r="U42" s="912"/>
      <c r="V42" s="973"/>
      <c r="W42" s="948"/>
      <c r="X42" s="949"/>
      <c r="Y42" s="949"/>
      <c r="Z42" s="949"/>
      <c r="AA42" s="949"/>
      <c r="AB42" s="934" t="s">
        <v>30825</v>
      </c>
      <c r="AC42" s="935"/>
      <c r="AD42" s="935"/>
      <c r="AE42" s="935"/>
      <c r="AF42" s="935"/>
      <c r="AG42" s="935"/>
      <c r="AH42" s="935"/>
      <c r="AI42" s="935"/>
      <c r="AJ42" s="935"/>
      <c r="AK42" s="935"/>
      <c r="AL42" s="427" t="s">
        <v>15626</v>
      </c>
      <c r="AM42" s="964">
        <f>$AM$9</f>
        <v>0.5</v>
      </c>
      <c r="AN42" s="964"/>
      <c r="AO42" s="568"/>
      <c r="AP42" s="568"/>
      <c r="AQ42" s="568"/>
      <c r="AR42" s="599"/>
      <c r="AS42" s="489">
        <f>ROUND(ROUND(ROUND(I41*S42,0)*$U$51,0)*AM42,0)</f>
        <v>226</v>
      </c>
      <c r="AT42" s="359"/>
    </row>
    <row r="43" spans="1:46" ht="17.100000000000001" customHeight="1" x14ac:dyDescent="0.15">
      <c r="A43" s="340">
        <v>21</v>
      </c>
      <c r="B43" s="341">
        <v>9231</v>
      </c>
      <c r="C43" s="342" t="s">
        <v>31186</v>
      </c>
      <c r="D43" s="423"/>
      <c r="E43" s="424"/>
      <c r="F43" s="423"/>
      <c r="G43" s="425"/>
      <c r="H43" s="861" t="s">
        <v>30838</v>
      </c>
      <c r="I43" s="862"/>
      <c r="J43" s="862"/>
      <c r="K43" s="862"/>
      <c r="L43" s="863"/>
      <c r="M43" s="396"/>
      <c r="N43" s="400"/>
      <c r="O43" s="400"/>
      <c r="P43" s="400"/>
      <c r="Q43" s="400"/>
      <c r="R43" s="400"/>
      <c r="S43" s="400"/>
      <c r="T43" s="429"/>
      <c r="U43" s="912"/>
      <c r="V43" s="973"/>
      <c r="W43" s="330"/>
      <c r="X43" s="454"/>
      <c r="Y43" s="459"/>
      <c r="Z43" s="568"/>
      <c r="AA43" s="343"/>
      <c r="AB43" s="396"/>
      <c r="AC43" s="396"/>
      <c r="AD43" s="427"/>
      <c r="AE43" s="427"/>
      <c r="AF43" s="396"/>
      <c r="AG43" s="396"/>
      <c r="AH43" s="396"/>
      <c r="AI43" s="396"/>
      <c r="AJ43" s="396"/>
      <c r="AK43" s="396"/>
      <c r="AL43" s="427"/>
      <c r="AM43" s="964"/>
      <c r="AN43" s="964"/>
      <c r="AO43" s="575"/>
      <c r="AP43" s="575"/>
      <c r="AQ43" s="575"/>
      <c r="AR43" s="592"/>
      <c r="AS43" s="489">
        <f>ROUND(I47*$U$51,0)</f>
        <v>433</v>
      </c>
      <c r="AT43" s="359"/>
    </row>
    <row r="44" spans="1:46" ht="17.100000000000001" customHeight="1" x14ac:dyDescent="0.15">
      <c r="A44" s="340">
        <v>21</v>
      </c>
      <c r="B44" s="341">
        <v>9232</v>
      </c>
      <c r="C44" s="342" t="s">
        <v>31187</v>
      </c>
      <c r="D44" s="423"/>
      <c r="E44" s="424"/>
      <c r="F44" s="423"/>
      <c r="G44" s="425"/>
      <c r="H44" s="864"/>
      <c r="I44" s="865"/>
      <c r="J44" s="865"/>
      <c r="K44" s="865"/>
      <c r="L44" s="866"/>
      <c r="M44" s="151"/>
      <c r="N44" s="151"/>
      <c r="O44" s="151"/>
      <c r="P44" s="151"/>
      <c r="Q44" s="151"/>
      <c r="R44" s="151"/>
      <c r="S44" s="151"/>
      <c r="T44" s="495"/>
      <c r="U44" s="912"/>
      <c r="V44" s="973"/>
      <c r="W44" s="948" t="s">
        <v>30822</v>
      </c>
      <c r="X44" s="949"/>
      <c r="Y44" s="949"/>
      <c r="Z44" s="949"/>
      <c r="AA44" s="949"/>
      <c r="AB44" s="934" t="s">
        <v>30823</v>
      </c>
      <c r="AC44" s="935"/>
      <c r="AD44" s="935"/>
      <c r="AE44" s="935"/>
      <c r="AF44" s="935"/>
      <c r="AG44" s="935"/>
      <c r="AH44" s="935"/>
      <c r="AI44" s="935"/>
      <c r="AJ44" s="935"/>
      <c r="AK44" s="935"/>
      <c r="AL44" s="427" t="s">
        <v>15626</v>
      </c>
      <c r="AM44" s="964">
        <f>$AM$8</f>
        <v>0.7</v>
      </c>
      <c r="AN44" s="964"/>
      <c r="AO44" s="575"/>
      <c r="AP44" s="575"/>
      <c r="AQ44" s="575"/>
      <c r="AR44" s="592"/>
      <c r="AS44" s="489">
        <f>ROUND(ROUND(I47*$U$51,0)*AM44,0)</f>
        <v>303</v>
      </c>
      <c r="AT44" s="359"/>
    </row>
    <row r="45" spans="1:46" ht="17.100000000000001" customHeight="1" x14ac:dyDescent="0.15">
      <c r="A45" s="340">
        <v>21</v>
      </c>
      <c r="B45" s="341">
        <v>9749</v>
      </c>
      <c r="C45" s="342" t="s">
        <v>31188</v>
      </c>
      <c r="D45" s="423"/>
      <c r="E45" s="424"/>
      <c r="F45" s="423"/>
      <c r="G45" s="425"/>
      <c r="H45" s="490"/>
      <c r="K45" s="152"/>
      <c r="L45" s="387"/>
      <c r="M45" s="151"/>
      <c r="N45" s="151"/>
      <c r="O45" s="151"/>
      <c r="P45" s="151"/>
      <c r="Q45" s="151"/>
      <c r="R45" s="151"/>
      <c r="S45" s="151"/>
      <c r="T45" s="495"/>
      <c r="U45" s="912"/>
      <c r="V45" s="973"/>
      <c r="W45" s="948"/>
      <c r="X45" s="949"/>
      <c r="Y45" s="949"/>
      <c r="Z45" s="949"/>
      <c r="AA45" s="949"/>
      <c r="AB45" s="934" t="s">
        <v>30825</v>
      </c>
      <c r="AC45" s="935"/>
      <c r="AD45" s="935"/>
      <c r="AE45" s="935"/>
      <c r="AF45" s="935"/>
      <c r="AG45" s="935"/>
      <c r="AH45" s="935"/>
      <c r="AI45" s="935"/>
      <c r="AJ45" s="935"/>
      <c r="AK45" s="935"/>
      <c r="AL45" s="427" t="s">
        <v>15626</v>
      </c>
      <c r="AM45" s="964">
        <f>$AM$9</f>
        <v>0.5</v>
      </c>
      <c r="AN45" s="964"/>
      <c r="AO45" s="575"/>
      <c r="AP45" s="575"/>
      <c r="AQ45" s="575"/>
      <c r="AR45" s="592"/>
      <c r="AS45" s="489">
        <f>ROUND(ROUND(I47*$U$51,0)*AM45,0)</f>
        <v>217</v>
      </c>
      <c r="AT45" s="359"/>
    </row>
    <row r="46" spans="1:46" ht="17.100000000000001" customHeight="1" x14ac:dyDescent="0.15">
      <c r="A46" s="340">
        <v>21</v>
      </c>
      <c r="B46" s="341">
        <v>9233</v>
      </c>
      <c r="C46" s="342" t="s">
        <v>31189</v>
      </c>
      <c r="D46" s="423"/>
      <c r="E46" s="424"/>
      <c r="F46" s="423"/>
      <c r="G46" s="425"/>
      <c r="H46" s="490"/>
      <c r="L46" s="495"/>
      <c r="M46" s="862" t="s">
        <v>30827</v>
      </c>
      <c r="N46" s="862"/>
      <c r="O46" s="862"/>
      <c r="P46" s="862"/>
      <c r="Q46" s="862"/>
      <c r="R46" s="862"/>
      <c r="S46" s="862"/>
      <c r="T46" s="863"/>
      <c r="U46" s="912"/>
      <c r="V46" s="973"/>
      <c r="W46" s="447"/>
      <c r="X46" s="474"/>
      <c r="Y46" s="343"/>
      <c r="Z46" s="343"/>
      <c r="AA46" s="343"/>
      <c r="AB46" s="396"/>
      <c r="AC46" s="396"/>
      <c r="AD46" s="427"/>
      <c r="AE46" s="427"/>
      <c r="AF46" s="396"/>
      <c r="AG46" s="396"/>
      <c r="AH46" s="396"/>
      <c r="AI46" s="396"/>
      <c r="AJ46" s="396"/>
      <c r="AK46" s="396"/>
      <c r="AL46" s="427"/>
      <c r="AM46" s="964"/>
      <c r="AN46" s="964"/>
      <c r="AO46" s="575"/>
      <c r="AP46" s="575"/>
      <c r="AQ46" s="575"/>
      <c r="AR46" s="592"/>
      <c r="AS46" s="489">
        <f>ROUND(ROUND(I47*S48,0)*$U$51,0)</f>
        <v>418</v>
      </c>
      <c r="AT46" s="359"/>
    </row>
    <row r="47" spans="1:46" ht="17.100000000000001" customHeight="1" x14ac:dyDescent="0.15">
      <c r="A47" s="340">
        <v>21</v>
      </c>
      <c r="B47" s="341">
        <v>9234</v>
      </c>
      <c r="C47" s="342" t="s">
        <v>31190</v>
      </c>
      <c r="D47" s="423"/>
      <c r="E47" s="424"/>
      <c r="F47" s="423"/>
      <c r="G47" s="425"/>
      <c r="H47" s="490"/>
      <c r="I47" s="965">
        <f>'5療養介護(基本)'!I46</f>
        <v>619</v>
      </c>
      <c r="J47" s="965"/>
      <c r="K47" s="152" t="s">
        <v>15624</v>
      </c>
      <c r="L47" s="387"/>
      <c r="M47" s="865"/>
      <c r="N47" s="865"/>
      <c r="O47" s="865"/>
      <c r="P47" s="865"/>
      <c r="Q47" s="865"/>
      <c r="R47" s="865"/>
      <c r="S47" s="865"/>
      <c r="T47" s="866"/>
      <c r="U47" s="912"/>
      <c r="V47" s="973"/>
      <c r="W47" s="948" t="s">
        <v>30822</v>
      </c>
      <c r="X47" s="949"/>
      <c r="Y47" s="949"/>
      <c r="Z47" s="949"/>
      <c r="AA47" s="949"/>
      <c r="AB47" s="934" t="s">
        <v>30823</v>
      </c>
      <c r="AC47" s="935"/>
      <c r="AD47" s="935"/>
      <c r="AE47" s="935"/>
      <c r="AF47" s="935"/>
      <c r="AG47" s="935"/>
      <c r="AH47" s="935"/>
      <c r="AI47" s="935"/>
      <c r="AJ47" s="935"/>
      <c r="AK47" s="935"/>
      <c r="AL47" s="427" t="s">
        <v>15626</v>
      </c>
      <c r="AM47" s="964">
        <f>$AM$8</f>
        <v>0.7</v>
      </c>
      <c r="AN47" s="964"/>
      <c r="AO47" s="575"/>
      <c r="AP47" s="575"/>
      <c r="AQ47" s="575"/>
      <c r="AR47" s="592"/>
      <c r="AS47" s="489">
        <f>ROUND(ROUND(ROUND(I47*S48,0)*$U$51,0)*AM47,0)</f>
        <v>293</v>
      </c>
      <c r="AT47" s="359"/>
    </row>
    <row r="48" spans="1:46" ht="17.100000000000001" customHeight="1" x14ac:dyDescent="0.15">
      <c r="A48" s="340">
        <v>21</v>
      </c>
      <c r="B48" s="341">
        <v>9750</v>
      </c>
      <c r="C48" s="342" t="s">
        <v>31191</v>
      </c>
      <c r="D48" s="423"/>
      <c r="E48" s="424"/>
      <c r="F48" s="423"/>
      <c r="G48" s="425"/>
      <c r="H48" s="490"/>
      <c r="K48" s="152"/>
      <c r="L48" s="387"/>
      <c r="M48" s="338"/>
      <c r="N48" s="338"/>
      <c r="O48" s="338"/>
      <c r="P48" s="338"/>
      <c r="Q48" s="338"/>
      <c r="R48" s="391" t="s">
        <v>15626</v>
      </c>
      <c r="S48" s="936">
        <f>$S$12</f>
        <v>0.96499999999999997</v>
      </c>
      <c r="T48" s="937"/>
      <c r="U48" s="912"/>
      <c r="V48" s="973"/>
      <c r="W48" s="948"/>
      <c r="X48" s="949"/>
      <c r="Y48" s="949"/>
      <c r="Z48" s="949"/>
      <c r="AA48" s="949"/>
      <c r="AB48" s="934" t="s">
        <v>30825</v>
      </c>
      <c r="AC48" s="935"/>
      <c r="AD48" s="935"/>
      <c r="AE48" s="935"/>
      <c r="AF48" s="935"/>
      <c r="AG48" s="935"/>
      <c r="AH48" s="935"/>
      <c r="AI48" s="935"/>
      <c r="AJ48" s="935"/>
      <c r="AK48" s="935"/>
      <c r="AL48" s="427" t="s">
        <v>15626</v>
      </c>
      <c r="AM48" s="964">
        <f>$AM$9</f>
        <v>0.5</v>
      </c>
      <c r="AN48" s="964"/>
      <c r="AO48" s="568"/>
      <c r="AP48" s="568"/>
      <c r="AQ48" s="568"/>
      <c r="AR48" s="599"/>
      <c r="AS48" s="489">
        <f>ROUND(ROUND(ROUND(I47*S48,0)*$U$51,0)*AM48,0)</f>
        <v>209</v>
      </c>
      <c r="AT48" s="359"/>
    </row>
    <row r="49" spans="1:46" ht="17.100000000000001" customHeight="1" x14ac:dyDescent="0.15">
      <c r="A49" s="340">
        <v>21</v>
      </c>
      <c r="B49" s="341">
        <v>9241</v>
      </c>
      <c r="C49" s="342" t="s">
        <v>31192</v>
      </c>
      <c r="D49" s="423"/>
      <c r="E49" s="424"/>
      <c r="F49" s="423"/>
      <c r="G49" s="425"/>
      <c r="H49" s="861" t="s">
        <v>30845</v>
      </c>
      <c r="I49" s="862"/>
      <c r="J49" s="862"/>
      <c r="K49" s="862"/>
      <c r="L49" s="863"/>
      <c r="M49" s="396"/>
      <c r="N49" s="400"/>
      <c r="O49" s="400"/>
      <c r="P49" s="400"/>
      <c r="Q49" s="400"/>
      <c r="R49" s="400"/>
      <c r="S49" s="400"/>
      <c r="T49" s="429"/>
      <c r="U49" s="912"/>
      <c r="V49" s="973"/>
      <c r="W49" s="330"/>
      <c r="X49" s="454"/>
      <c r="Y49" s="459"/>
      <c r="Z49" s="568"/>
      <c r="AA49" s="343"/>
      <c r="AB49" s="396"/>
      <c r="AC49" s="396"/>
      <c r="AD49" s="427"/>
      <c r="AE49" s="427"/>
      <c r="AF49" s="396"/>
      <c r="AG49" s="396"/>
      <c r="AH49" s="396"/>
      <c r="AI49" s="396"/>
      <c r="AJ49" s="396"/>
      <c r="AK49" s="396"/>
      <c r="AL49" s="427"/>
      <c r="AM49" s="964"/>
      <c r="AN49" s="964"/>
      <c r="AO49" s="575"/>
      <c r="AP49" s="575"/>
      <c r="AQ49" s="575"/>
      <c r="AR49" s="592"/>
      <c r="AS49" s="489">
        <f>ROUND(I53*$U$51,0)</f>
        <v>412</v>
      </c>
      <c r="AT49" s="359"/>
    </row>
    <row r="50" spans="1:46" ht="17.100000000000001" customHeight="1" x14ac:dyDescent="0.15">
      <c r="A50" s="340">
        <v>21</v>
      </c>
      <c r="B50" s="341">
        <v>9242</v>
      </c>
      <c r="C50" s="342" t="s">
        <v>31193</v>
      </c>
      <c r="D50" s="423"/>
      <c r="E50" s="424"/>
      <c r="F50" s="423"/>
      <c r="G50" s="425"/>
      <c r="H50" s="864"/>
      <c r="I50" s="865"/>
      <c r="J50" s="865"/>
      <c r="K50" s="865"/>
      <c r="L50" s="866"/>
      <c r="M50" s="151"/>
      <c r="N50" s="151"/>
      <c r="O50" s="151"/>
      <c r="P50" s="151"/>
      <c r="Q50" s="151"/>
      <c r="R50" s="151"/>
      <c r="S50" s="151"/>
      <c r="T50" s="495"/>
      <c r="U50" s="901" t="s">
        <v>15626</v>
      </c>
      <c r="V50" s="903"/>
      <c r="W50" s="948" t="s">
        <v>30822</v>
      </c>
      <c r="X50" s="949"/>
      <c r="Y50" s="949"/>
      <c r="Z50" s="949"/>
      <c r="AA50" s="949"/>
      <c r="AB50" s="934" t="s">
        <v>30823</v>
      </c>
      <c r="AC50" s="935"/>
      <c r="AD50" s="935"/>
      <c r="AE50" s="935"/>
      <c r="AF50" s="935"/>
      <c r="AG50" s="935"/>
      <c r="AH50" s="935"/>
      <c r="AI50" s="935"/>
      <c r="AJ50" s="935"/>
      <c r="AK50" s="935"/>
      <c r="AL50" s="427" t="s">
        <v>15626</v>
      </c>
      <c r="AM50" s="964">
        <f>$AM$8</f>
        <v>0.7</v>
      </c>
      <c r="AN50" s="964"/>
      <c r="AO50" s="575"/>
      <c r="AP50" s="575"/>
      <c r="AQ50" s="575"/>
      <c r="AR50" s="592"/>
      <c r="AS50" s="489">
        <f>ROUND(ROUND(I53*$U$51,0)*AM50,0)</f>
        <v>288</v>
      </c>
      <c r="AT50" s="359"/>
    </row>
    <row r="51" spans="1:46" ht="17.100000000000001" customHeight="1" x14ac:dyDescent="0.15">
      <c r="A51" s="340">
        <v>21</v>
      </c>
      <c r="B51" s="341">
        <v>9757</v>
      </c>
      <c r="C51" s="342" t="s">
        <v>31194</v>
      </c>
      <c r="D51" s="423"/>
      <c r="E51" s="424"/>
      <c r="F51" s="423"/>
      <c r="G51" s="425"/>
      <c r="H51" s="430"/>
      <c r="I51" s="431"/>
      <c r="J51" s="431"/>
      <c r="K51" s="431"/>
      <c r="L51" s="432"/>
      <c r="M51" s="151"/>
      <c r="N51" s="151"/>
      <c r="O51" s="151"/>
      <c r="P51" s="151"/>
      <c r="Q51" s="151"/>
      <c r="R51" s="151"/>
      <c r="S51" s="151"/>
      <c r="T51" s="495"/>
      <c r="U51" s="966">
        <f>U27</f>
        <v>0.7</v>
      </c>
      <c r="V51" s="967"/>
      <c r="W51" s="948"/>
      <c r="X51" s="949"/>
      <c r="Y51" s="949"/>
      <c r="Z51" s="949"/>
      <c r="AA51" s="949"/>
      <c r="AB51" s="934" t="s">
        <v>30825</v>
      </c>
      <c r="AC51" s="935"/>
      <c r="AD51" s="935"/>
      <c r="AE51" s="935"/>
      <c r="AF51" s="935"/>
      <c r="AG51" s="935"/>
      <c r="AH51" s="935"/>
      <c r="AI51" s="935"/>
      <c r="AJ51" s="935"/>
      <c r="AK51" s="935"/>
      <c r="AL51" s="427" t="s">
        <v>15626</v>
      </c>
      <c r="AM51" s="964">
        <f>$AM$9</f>
        <v>0.5</v>
      </c>
      <c r="AN51" s="964"/>
      <c r="AO51" s="575"/>
      <c r="AP51" s="575"/>
      <c r="AQ51" s="575"/>
      <c r="AR51" s="592"/>
      <c r="AS51" s="489">
        <f>ROUND(ROUND(I53*$U$51,0)*AM51,0)</f>
        <v>206</v>
      </c>
      <c r="AT51" s="359"/>
    </row>
    <row r="52" spans="1:46" ht="17.100000000000001" customHeight="1" x14ac:dyDescent="0.15">
      <c r="A52" s="340">
        <v>21</v>
      </c>
      <c r="B52" s="341">
        <v>9243</v>
      </c>
      <c r="C52" s="342" t="s">
        <v>31195</v>
      </c>
      <c r="D52" s="423"/>
      <c r="E52" s="424"/>
      <c r="F52" s="423"/>
      <c r="G52" s="425"/>
      <c r="H52" s="490"/>
      <c r="L52" s="495"/>
      <c r="M52" s="862" t="s">
        <v>30827</v>
      </c>
      <c r="N52" s="862"/>
      <c r="O52" s="862"/>
      <c r="P52" s="862"/>
      <c r="Q52" s="862"/>
      <c r="R52" s="862"/>
      <c r="S52" s="862"/>
      <c r="T52" s="863"/>
      <c r="U52" s="494"/>
      <c r="V52" s="495"/>
      <c r="W52" s="447"/>
      <c r="X52" s="474"/>
      <c r="Y52" s="343"/>
      <c r="Z52" s="343"/>
      <c r="AA52" s="343"/>
      <c r="AB52" s="396"/>
      <c r="AC52" s="396"/>
      <c r="AD52" s="427"/>
      <c r="AE52" s="427"/>
      <c r="AF52" s="396"/>
      <c r="AG52" s="396"/>
      <c r="AH52" s="396"/>
      <c r="AI52" s="396"/>
      <c r="AJ52" s="396"/>
      <c r="AK52" s="396"/>
      <c r="AL52" s="427"/>
      <c r="AM52" s="964"/>
      <c r="AN52" s="964"/>
      <c r="AO52" s="575"/>
      <c r="AP52" s="575"/>
      <c r="AQ52" s="575"/>
      <c r="AR52" s="592"/>
      <c r="AS52" s="489">
        <f>ROUND(ROUND(I53*S54,0)*$U$51,0)</f>
        <v>398</v>
      </c>
      <c r="AT52" s="359"/>
    </row>
    <row r="53" spans="1:46" ht="17.100000000000001" customHeight="1" x14ac:dyDescent="0.15">
      <c r="A53" s="340">
        <v>21</v>
      </c>
      <c r="B53" s="341">
        <v>9244</v>
      </c>
      <c r="C53" s="342" t="s">
        <v>31196</v>
      </c>
      <c r="D53" s="423"/>
      <c r="E53" s="424"/>
      <c r="F53" s="423"/>
      <c r="G53" s="425"/>
      <c r="H53" s="490"/>
      <c r="I53" s="965">
        <f>'5療養介護(基本)'!I52</f>
        <v>589</v>
      </c>
      <c r="J53" s="965"/>
      <c r="K53" s="152" t="s">
        <v>15624</v>
      </c>
      <c r="L53" s="387"/>
      <c r="M53" s="865"/>
      <c r="N53" s="865"/>
      <c r="O53" s="865"/>
      <c r="P53" s="865"/>
      <c r="Q53" s="865"/>
      <c r="R53" s="865"/>
      <c r="S53" s="865"/>
      <c r="T53" s="866"/>
      <c r="U53" s="490"/>
      <c r="V53" s="387"/>
      <c r="W53" s="948" t="s">
        <v>30822</v>
      </c>
      <c r="X53" s="949"/>
      <c r="Y53" s="949"/>
      <c r="Z53" s="949"/>
      <c r="AA53" s="949"/>
      <c r="AB53" s="934" t="s">
        <v>30823</v>
      </c>
      <c r="AC53" s="935"/>
      <c r="AD53" s="935"/>
      <c r="AE53" s="935"/>
      <c r="AF53" s="935"/>
      <c r="AG53" s="935"/>
      <c r="AH53" s="935"/>
      <c r="AI53" s="935"/>
      <c r="AJ53" s="935"/>
      <c r="AK53" s="935"/>
      <c r="AL53" s="427" t="s">
        <v>15626</v>
      </c>
      <c r="AM53" s="964">
        <f>$AM$8</f>
        <v>0.7</v>
      </c>
      <c r="AN53" s="964"/>
      <c r="AO53" s="575"/>
      <c r="AP53" s="575"/>
      <c r="AQ53" s="575"/>
      <c r="AR53" s="592"/>
      <c r="AS53" s="489">
        <f>ROUND(ROUND(ROUND(I53*S54,0)*$U$51,0)*AM53,0)</f>
        <v>279</v>
      </c>
      <c r="AT53" s="359"/>
    </row>
    <row r="54" spans="1:46" ht="17.100000000000001" customHeight="1" x14ac:dyDescent="0.15">
      <c r="A54" s="340">
        <v>21</v>
      </c>
      <c r="B54" s="341">
        <v>9758</v>
      </c>
      <c r="C54" s="342" t="s">
        <v>31197</v>
      </c>
      <c r="D54" s="469"/>
      <c r="E54" s="470"/>
      <c r="F54" s="469"/>
      <c r="G54" s="471"/>
      <c r="H54" s="324"/>
      <c r="I54" s="325"/>
      <c r="J54" s="325"/>
      <c r="K54" s="325"/>
      <c r="L54" s="388"/>
      <c r="M54" s="338"/>
      <c r="N54" s="338"/>
      <c r="O54" s="338"/>
      <c r="P54" s="338"/>
      <c r="Q54" s="338"/>
      <c r="R54" s="391" t="s">
        <v>15626</v>
      </c>
      <c r="S54" s="936">
        <f>$S$12</f>
        <v>0.96499999999999997</v>
      </c>
      <c r="T54" s="937"/>
      <c r="U54" s="324"/>
      <c r="V54" s="388"/>
      <c r="W54" s="970"/>
      <c r="X54" s="971"/>
      <c r="Y54" s="971"/>
      <c r="Z54" s="971"/>
      <c r="AA54" s="971"/>
      <c r="AB54" s="934" t="s">
        <v>30825</v>
      </c>
      <c r="AC54" s="935"/>
      <c r="AD54" s="935"/>
      <c r="AE54" s="935"/>
      <c r="AF54" s="935"/>
      <c r="AG54" s="935"/>
      <c r="AH54" s="935"/>
      <c r="AI54" s="935"/>
      <c r="AJ54" s="935"/>
      <c r="AK54" s="935"/>
      <c r="AL54" s="455" t="s">
        <v>15626</v>
      </c>
      <c r="AM54" s="938">
        <f>$AM$9</f>
        <v>0.5</v>
      </c>
      <c r="AN54" s="938"/>
      <c r="AO54" s="568"/>
      <c r="AP54" s="568"/>
      <c r="AQ54" s="568"/>
      <c r="AR54" s="599"/>
      <c r="AS54" s="491">
        <f>ROUND(ROUND(ROUND(I53*S54,0)*$U$51,0)*AM54,0)</f>
        <v>199</v>
      </c>
      <c r="AT54" s="350"/>
    </row>
    <row r="55" spans="1:46" ht="17.100000000000001" customHeight="1" x14ac:dyDescent="0.15">
      <c r="A55" s="321">
        <v>21</v>
      </c>
      <c r="B55" s="322">
        <v>9311</v>
      </c>
      <c r="C55" s="386" t="s">
        <v>31198</v>
      </c>
      <c r="D55" s="941" t="s">
        <v>30818</v>
      </c>
      <c r="E55" s="942"/>
      <c r="F55" s="941" t="s">
        <v>30877</v>
      </c>
      <c r="G55" s="942"/>
      <c r="H55" s="861" t="s">
        <v>30820</v>
      </c>
      <c r="I55" s="862"/>
      <c r="J55" s="862"/>
      <c r="K55" s="862"/>
      <c r="L55" s="863"/>
      <c r="M55" s="396"/>
      <c r="N55" s="400"/>
      <c r="O55" s="400"/>
      <c r="P55" s="400"/>
      <c r="Q55" s="400"/>
      <c r="R55" s="400"/>
      <c r="S55" s="400"/>
      <c r="T55" s="429"/>
      <c r="U55" s="916" t="s">
        <v>31150</v>
      </c>
      <c r="V55" s="972" t="s">
        <v>30823</v>
      </c>
      <c r="W55" s="330"/>
      <c r="X55" s="454"/>
      <c r="Y55" s="459"/>
      <c r="Z55" s="568"/>
      <c r="AA55" s="343"/>
      <c r="AB55" s="396"/>
      <c r="AC55" s="396"/>
      <c r="AD55" s="427"/>
      <c r="AE55" s="427"/>
      <c r="AF55" s="396"/>
      <c r="AG55" s="396"/>
      <c r="AH55" s="396"/>
      <c r="AI55" s="396"/>
      <c r="AJ55" s="396"/>
      <c r="AK55" s="396"/>
      <c r="AL55" s="427"/>
      <c r="AM55" s="964"/>
      <c r="AN55" s="964"/>
      <c r="AO55" s="575"/>
      <c r="AP55" s="575"/>
      <c r="AQ55" s="575"/>
      <c r="AR55" s="592"/>
      <c r="AS55" s="489">
        <f>ROUND(I59*$U$75,0)</f>
        <v>389</v>
      </c>
      <c r="AT55" s="339" t="s">
        <v>30681</v>
      </c>
    </row>
    <row r="56" spans="1:46" ht="17.100000000000001" customHeight="1" x14ac:dyDescent="0.15">
      <c r="A56" s="340">
        <v>21</v>
      </c>
      <c r="B56" s="341">
        <v>9312</v>
      </c>
      <c r="C56" s="390" t="s">
        <v>31199</v>
      </c>
      <c r="D56" s="943"/>
      <c r="E56" s="944"/>
      <c r="F56" s="943"/>
      <c r="G56" s="944"/>
      <c r="H56" s="864"/>
      <c r="I56" s="865"/>
      <c r="J56" s="865"/>
      <c r="K56" s="865"/>
      <c r="L56" s="866"/>
      <c r="M56" s="151"/>
      <c r="N56" s="151"/>
      <c r="O56" s="151"/>
      <c r="P56" s="151"/>
      <c r="Q56" s="151"/>
      <c r="R56" s="151"/>
      <c r="S56" s="151"/>
      <c r="T56" s="495"/>
      <c r="U56" s="912"/>
      <c r="V56" s="973"/>
      <c r="W56" s="948" t="s">
        <v>30822</v>
      </c>
      <c r="X56" s="949"/>
      <c r="Y56" s="949"/>
      <c r="Z56" s="949"/>
      <c r="AA56" s="949"/>
      <c r="AB56" s="934" t="s">
        <v>30823</v>
      </c>
      <c r="AC56" s="935"/>
      <c r="AD56" s="935"/>
      <c r="AE56" s="935"/>
      <c r="AF56" s="935"/>
      <c r="AG56" s="935"/>
      <c r="AH56" s="935"/>
      <c r="AI56" s="935"/>
      <c r="AJ56" s="935"/>
      <c r="AK56" s="935"/>
      <c r="AL56" s="427" t="s">
        <v>15626</v>
      </c>
      <c r="AM56" s="964">
        <f>$AM$8</f>
        <v>0.7</v>
      </c>
      <c r="AN56" s="964"/>
      <c r="AO56" s="575"/>
      <c r="AP56" s="575"/>
      <c r="AQ56" s="575"/>
      <c r="AR56" s="592"/>
      <c r="AS56" s="489">
        <f>ROUND(ROUND(I59*$U$75,0)*AM56,0)</f>
        <v>272</v>
      </c>
      <c r="AT56" s="359"/>
    </row>
    <row r="57" spans="1:46" ht="17.100000000000001" customHeight="1" x14ac:dyDescent="0.15">
      <c r="A57" s="340">
        <v>21</v>
      </c>
      <c r="B57" s="341">
        <v>9765</v>
      </c>
      <c r="C57" s="390" t="s">
        <v>31200</v>
      </c>
      <c r="D57" s="943"/>
      <c r="E57" s="944"/>
      <c r="F57" s="943"/>
      <c r="G57" s="944"/>
      <c r="H57" s="430"/>
      <c r="I57" s="431"/>
      <c r="J57" s="431"/>
      <c r="K57" s="431"/>
      <c r="L57" s="432"/>
      <c r="M57" s="151"/>
      <c r="N57" s="151"/>
      <c r="O57" s="151"/>
      <c r="P57" s="151"/>
      <c r="Q57" s="151"/>
      <c r="R57" s="151"/>
      <c r="S57" s="151"/>
      <c r="T57" s="495"/>
      <c r="U57" s="912"/>
      <c r="V57" s="973"/>
      <c r="W57" s="948"/>
      <c r="X57" s="949"/>
      <c r="Y57" s="949"/>
      <c r="Z57" s="949"/>
      <c r="AA57" s="949"/>
      <c r="AB57" s="934" t="s">
        <v>30825</v>
      </c>
      <c r="AC57" s="935"/>
      <c r="AD57" s="935"/>
      <c r="AE57" s="935"/>
      <c r="AF57" s="935"/>
      <c r="AG57" s="935"/>
      <c r="AH57" s="935"/>
      <c r="AI57" s="935"/>
      <c r="AJ57" s="935"/>
      <c r="AK57" s="935"/>
      <c r="AL57" s="427" t="s">
        <v>15626</v>
      </c>
      <c r="AM57" s="964">
        <f>$AM$9</f>
        <v>0.5</v>
      </c>
      <c r="AN57" s="964"/>
      <c r="AO57" s="575"/>
      <c r="AP57" s="575"/>
      <c r="AQ57" s="575"/>
      <c r="AR57" s="592"/>
      <c r="AS57" s="489">
        <f>ROUND(ROUND(I59*$U$75,0)*AM57,0)</f>
        <v>195</v>
      </c>
      <c r="AT57" s="359"/>
    </row>
    <row r="58" spans="1:46" ht="17.100000000000001" customHeight="1" x14ac:dyDescent="0.15">
      <c r="A58" s="340">
        <v>21</v>
      </c>
      <c r="B58" s="341">
        <v>9313</v>
      </c>
      <c r="C58" s="390" t="s">
        <v>31201</v>
      </c>
      <c r="D58" s="943"/>
      <c r="E58" s="944"/>
      <c r="F58" s="943"/>
      <c r="G58" s="944"/>
      <c r="H58" s="490"/>
      <c r="L58" s="495"/>
      <c r="M58" s="862" t="s">
        <v>30827</v>
      </c>
      <c r="N58" s="862"/>
      <c r="O58" s="862"/>
      <c r="P58" s="862"/>
      <c r="Q58" s="862"/>
      <c r="R58" s="862"/>
      <c r="S58" s="862"/>
      <c r="T58" s="863"/>
      <c r="U58" s="912"/>
      <c r="V58" s="973"/>
      <c r="W58" s="447"/>
      <c r="X58" s="474"/>
      <c r="Y58" s="343"/>
      <c r="Z58" s="343"/>
      <c r="AA58" s="343"/>
      <c r="AB58" s="396"/>
      <c r="AC58" s="396"/>
      <c r="AD58" s="427"/>
      <c r="AE58" s="427"/>
      <c r="AF58" s="396"/>
      <c r="AG58" s="396"/>
      <c r="AH58" s="396"/>
      <c r="AI58" s="396"/>
      <c r="AJ58" s="396"/>
      <c r="AK58" s="396"/>
      <c r="AL58" s="427"/>
      <c r="AM58" s="964"/>
      <c r="AN58" s="964"/>
      <c r="AO58" s="575"/>
      <c r="AP58" s="575"/>
      <c r="AQ58" s="575"/>
      <c r="AR58" s="592"/>
      <c r="AS58" s="489">
        <f>ROUND(ROUND(I59*S60,0)*$U$75,0)</f>
        <v>376</v>
      </c>
      <c r="AT58" s="359"/>
    </row>
    <row r="59" spans="1:46" ht="17.100000000000001" customHeight="1" x14ac:dyDescent="0.15">
      <c r="A59" s="340">
        <v>21</v>
      </c>
      <c r="B59" s="341">
        <v>9314</v>
      </c>
      <c r="C59" s="390" t="s">
        <v>31202</v>
      </c>
      <c r="D59" s="943"/>
      <c r="E59" s="944"/>
      <c r="F59" s="943"/>
      <c r="G59" s="944"/>
      <c r="H59" s="490"/>
      <c r="I59" s="965">
        <f>'5療養介護(基本)'!I58</f>
        <v>556</v>
      </c>
      <c r="J59" s="965"/>
      <c r="K59" s="152" t="s">
        <v>15624</v>
      </c>
      <c r="L59" s="387"/>
      <c r="M59" s="865"/>
      <c r="N59" s="865"/>
      <c r="O59" s="865"/>
      <c r="P59" s="865"/>
      <c r="Q59" s="865"/>
      <c r="R59" s="865"/>
      <c r="S59" s="865"/>
      <c r="T59" s="866"/>
      <c r="U59" s="912"/>
      <c r="V59" s="973"/>
      <c r="W59" s="948" t="s">
        <v>30822</v>
      </c>
      <c r="X59" s="949"/>
      <c r="Y59" s="949"/>
      <c r="Z59" s="949"/>
      <c r="AA59" s="949"/>
      <c r="AB59" s="934" t="s">
        <v>30823</v>
      </c>
      <c r="AC59" s="935"/>
      <c r="AD59" s="935"/>
      <c r="AE59" s="935"/>
      <c r="AF59" s="935"/>
      <c r="AG59" s="935"/>
      <c r="AH59" s="935"/>
      <c r="AI59" s="935"/>
      <c r="AJ59" s="935"/>
      <c r="AK59" s="935"/>
      <c r="AL59" s="427" t="s">
        <v>15626</v>
      </c>
      <c r="AM59" s="964">
        <f>$AM$8</f>
        <v>0.7</v>
      </c>
      <c r="AN59" s="964"/>
      <c r="AO59" s="575"/>
      <c r="AP59" s="575"/>
      <c r="AQ59" s="575"/>
      <c r="AR59" s="592"/>
      <c r="AS59" s="489">
        <f>ROUND(ROUND(ROUND(I59*S60,0)*$U$75,0)*AM59,0)</f>
        <v>263</v>
      </c>
      <c r="AT59" s="359"/>
    </row>
    <row r="60" spans="1:46" ht="17.100000000000001" customHeight="1" x14ac:dyDescent="0.15">
      <c r="A60" s="340">
        <v>21</v>
      </c>
      <c r="B60" s="341">
        <v>9766</v>
      </c>
      <c r="C60" s="390" t="s">
        <v>31203</v>
      </c>
      <c r="D60" s="943"/>
      <c r="E60" s="944"/>
      <c r="F60" s="943"/>
      <c r="G60" s="944"/>
      <c r="H60" s="490"/>
      <c r="K60" s="152"/>
      <c r="L60" s="387"/>
      <c r="M60" s="338"/>
      <c r="N60" s="338"/>
      <c r="O60" s="338"/>
      <c r="P60" s="338"/>
      <c r="Q60" s="338"/>
      <c r="R60" s="391" t="s">
        <v>15626</v>
      </c>
      <c r="S60" s="936">
        <f>$S$12</f>
        <v>0.96499999999999997</v>
      </c>
      <c r="T60" s="937"/>
      <c r="U60" s="912"/>
      <c r="V60" s="973"/>
      <c r="W60" s="948"/>
      <c r="X60" s="949"/>
      <c r="Y60" s="949"/>
      <c r="Z60" s="949"/>
      <c r="AA60" s="949"/>
      <c r="AB60" s="934" t="s">
        <v>30825</v>
      </c>
      <c r="AC60" s="935"/>
      <c r="AD60" s="935"/>
      <c r="AE60" s="935"/>
      <c r="AF60" s="935"/>
      <c r="AG60" s="935"/>
      <c r="AH60" s="935"/>
      <c r="AI60" s="935"/>
      <c r="AJ60" s="935"/>
      <c r="AK60" s="935"/>
      <c r="AL60" s="427" t="s">
        <v>15626</v>
      </c>
      <c r="AM60" s="964">
        <f>$AM$9</f>
        <v>0.5</v>
      </c>
      <c r="AN60" s="964"/>
      <c r="AO60" s="568"/>
      <c r="AP60" s="568"/>
      <c r="AQ60" s="568"/>
      <c r="AR60" s="599"/>
      <c r="AS60" s="489">
        <f>ROUND(ROUND(ROUND(I59*S60,0)*$U$75,0)*AM60,0)</f>
        <v>188</v>
      </c>
      <c r="AT60" s="359"/>
    </row>
    <row r="61" spans="1:46" ht="17.100000000000001" customHeight="1" x14ac:dyDescent="0.15">
      <c r="A61" s="340">
        <v>21</v>
      </c>
      <c r="B61" s="341">
        <v>9321</v>
      </c>
      <c r="C61" s="390" t="s">
        <v>31204</v>
      </c>
      <c r="D61" s="943"/>
      <c r="E61" s="944"/>
      <c r="F61" s="943"/>
      <c r="G61" s="944"/>
      <c r="H61" s="861" t="s">
        <v>30831</v>
      </c>
      <c r="I61" s="862"/>
      <c r="J61" s="862"/>
      <c r="K61" s="862"/>
      <c r="L61" s="863"/>
      <c r="M61" s="396"/>
      <c r="N61" s="400"/>
      <c r="O61" s="400"/>
      <c r="P61" s="400"/>
      <c r="Q61" s="400"/>
      <c r="R61" s="400"/>
      <c r="S61" s="400"/>
      <c r="T61" s="429"/>
      <c r="U61" s="912"/>
      <c r="V61" s="973"/>
      <c r="W61" s="330"/>
      <c r="X61" s="454"/>
      <c r="Y61" s="459"/>
      <c r="Z61" s="568"/>
      <c r="AA61" s="343"/>
      <c r="AB61" s="396"/>
      <c r="AC61" s="396"/>
      <c r="AD61" s="427"/>
      <c r="AE61" s="427"/>
      <c r="AF61" s="396"/>
      <c r="AG61" s="396"/>
      <c r="AH61" s="396"/>
      <c r="AI61" s="396"/>
      <c r="AJ61" s="396"/>
      <c r="AK61" s="396"/>
      <c r="AL61" s="427"/>
      <c r="AM61" s="964"/>
      <c r="AN61" s="964"/>
      <c r="AO61" s="575"/>
      <c r="AP61" s="575"/>
      <c r="AQ61" s="575"/>
      <c r="AR61" s="592"/>
      <c r="AS61" s="489">
        <f>ROUND(I65*$U$75,0)</f>
        <v>369</v>
      </c>
      <c r="AT61" s="359"/>
    </row>
    <row r="62" spans="1:46" ht="17.100000000000001" customHeight="1" x14ac:dyDescent="0.15">
      <c r="A62" s="340">
        <v>21</v>
      </c>
      <c r="B62" s="341">
        <v>9322</v>
      </c>
      <c r="C62" s="390" t="s">
        <v>31205</v>
      </c>
      <c r="D62" s="943"/>
      <c r="E62" s="944"/>
      <c r="F62" s="943"/>
      <c r="G62" s="944"/>
      <c r="H62" s="864"/>
      <c r="I62" s="865"/>
      <c r="J62" s="865"/>
      <c r="K62" s="865"/>
      <c r="L62" s="866"/>
      <c r="M62" s="151"/>
      <c r="N62" s="151"/>
      <c r="O62" s="151"/>
      <c r="P62" s="151"/>
      <c r="Q62" s="151"/>
      <c r="R62" s="151"/>
      <c r="S62" s="151"/>
      <c r="T62" s="495"/>
      <c r="U62" s="912"/>
      <c r="V62" s="973"/>
      <c r="W62" s="948" t="s">
        <v>30822</v>
      </c>
      <c r="X62" s="949"/>
      <c r="Y62" s="949"/>
      <c r="Z62" s="949"/>
      <c r="AA62" s="949"/>
      <c r="AB62" s="934" t="s">
        <v>30823</v>
      </c>
      <c r="AC62" s="935"/>
      <c r="AD62" s="935"/>
      <c r="AE62" s="935"/>
      <c r="AF62" s="935"/>
      <c r="AG62" s="935"/>
      <c r="AH62" s="935"/>
      <c r="AI62" s="935"/>
      <c r="AJ62" s="935"/>
      <c r="AK62" s="935"/>
      <c r="AL62" s="427" t="s">
        <v>15626</v>
      </c>
      <c r="AM62" s="964">
        <f>$AM$8</f>
        <v>0.7</v>
      </c>
      <c r="AN62" s="964"/>
      <c r="AO62" s="575"/>
      <c r="AP62" s="575"/>
      <c r="AQ62" s="575"/>
      <c r="AR62" s="592"/>
      <c r="AS62" s="489">
        <f>ROUND(ROUND(I65*$U$75,0)*AM62,0)</f>
        <v>258</v>
      </c>
      <c r="AT62" s="359"/>
    </row>
    <row r="63" spans="1:46" ht="17.100000000000001" customHeight="1" x14ac:dyDescent="0.15">
      <c r="A63" s="340">
        <v>21</v>
      </c>
      <c r="B63" s="341">
        <v>9773</v>
      </c>
      <c r="C63" s="390" t="s">
        <v>31206</v>
      </c>
      <c r="D63" s="943"/>
      <c r="E63" s="944"/>
      <c r="F63" s="943"/>
      <c r="G63" s="944"/>
      <c r="H63" s="423"/>
      <c r="I63" s="424"/>
      <c r="J63" s="424"/>
      <c r="K63" s="424"/>
      <c r="L63" s="425"/>
      <c r="M63" s="151"/>
      <c r="N63" s="151"/>
      <c r="O63" s="151"/>
      <c r="P63" s="151"/>
      <c r="Q63" s="151"/>
      <c r="R63" s="151"/>
      <c r="S63" s="151"/>
      <c r="T63" s="495"/>
      <c r="U63" s="912"/>
      <c r="V63" s="973"/>
      <c r="W63" s="948"/>
      <c r="X63" s="949"/>
      <c r="Y63" s="949"/>
      <c r="Z63" s="949"/>
      <c r="AA63" s="949"/>
      <c r="AB63" s="934" t="s">
        <v>30825</v>
      </c>
      <c r="AC63" s="935"/>
      <c r="AD63" s="935"/>
      <c r="AE63" s="935"/>
      <c r="AF63" s="935"/>
      <c r="AG63" s="935"/>
      <c r="AH63" s="935"/>
      <c r="AI63" s="935"/>
      <c r="AJ63" s="935"/>
      <c r="AK63" s="935"/>
      <c r="AL63" s="427" t="s">
        <v>15626</v>
      </c>
      <c r="AM63" s="964">
        <f>$AM$9</f>
        <v>0.5</v>
      </c>
      <c r="AN63" s="964"/>
      <c r="AO63" s="575"/>
      <c r="AP63" s="575"/>
      <c r="AQ63" s="575"/>
      <c r="AR63" s="592"/>
      <c r="AS63" s="489">
        <f>ROUND(ROUND(I65*$U$75,0)*AM63,0)</f>
        <v>185</v>
      </c>
      <c r="AT63" s="359"/>
    </row>
    <row r="64" spans="1:46" ht="17.100000000000001" customHeight="1" x14ac:dyDescent="0.15">
      <c r="A64" s="340">
        <v>21</v>
      </c>
      <c r="B64" s="341">
        <v>9323</v>
      </c>
      <c r="C64" s="390" t="s">
        <v>31207</v>
      </c>
      <c r="D64" s="943"/>
      <c r="E64" s="944"/>
      <c r="F64" s="943"/>
      <c r="G64" s="944"/>
      <c r="H64" s="423"/>
      <c r="I64" s="424"/>
      <c r="L64" s="495"/>
      <c r="M64" s="862" t="s">
        <v>30827</v>
      </c>
      <c r="N64" s="862"/>
      <c r="O64" s="862"/>
      <c r="P64" s="862"/>
      <c r="Q64" s="862"/>
      <c r="R64" s="862"/>
      <c r="S64" s="862"/>
      <c r="T64" s="863"/>
      <c r="U64" s="912"/>
      <c r="V64" s="973"/>
      <c r="W64" s="447"/>
      <c r="X64" s="474"/>
      <c r="Y64" s="343"/>
      <c r="Z64" s="343"/>
      <c r="AA64" s="343"/>
      <c r="AB64" s="396"/>
      <c r="AC64" s="396"/>
      <c r="AD64" s="427"/>
      <c r="AE64" s="427"/>
      <c r="AF64" s="396"/>
      <c r="AG64" s="396"/>
      <c r="AH64" s="396"/>
      <c r="AI64" s="396"/>
      <c r="AJ64" s="396"/>
      <c r="AK64" s="396"/>
      <c r="AL64" s="427"/>
      <c r="AM64" s="964"/>
      <c r="AN64" s="964"/>
      <c r="AO64" s="575"/>
      <c r="AP64" s="575"/>
      <c r="AQ64" s="575"/>
      <c r="AR64" s="592"/>
      <c r="AS64" s="489">
        <f>ROUND(ROUND(I65*S66,0)*$U$75,0)</f>
        <v>356</v>
      </c>
      <c r="AT64" s="359"/>
    </row>
    <row r="65" spans="1:46" ht="17.100000000000001" customHeight="1" x14ac:dyDescent="0.15">
      <c r="A65" s="340">
        <v>21</v>
      </c>
      <c r="B65" s="341">
        <v>9324</v>
      </c>
      <c r="C65" s="390" t="s">
        <v>31208</v>
      </c>
      <c r="D65" s="943"/>
      <c r="E65" s="944"/>
      <c r="F65" s="943"/>
      <c r="G65" s="944"/>
      <c r="H65" s="423"/>
      <c r="I65" s="965">
        <f>'5療養介護(基本)'!I64</f>
        <v>527</v>
      </c>
      <c r="J65" s="965"/>
      <c r="K65" s="152" t="s">
        <v>15624</v>
      </c>
      <c r="L65" s="425"/>
      <c r="M65" s="865"/>
      <c r="N65" s="865"/>
      <c r="O65" s="865"/>
      <c r="P65" s="865"/>
      <c r="Q65" s="865"/>
      <c r="R65" s="865"/>
      <c r="S65" s="865"/>
      <c r="T65" s="866"/>
      <c r="U65" s="912"/>
      <c r="V65" s="973"/>
      <c r="W65" s="948" t="s">
        <v>30822</v>
      </c>
      <c r="X65" s="949"/>
      <c r="Y65" s="949"/>
      <c r="Z65" s="949"/>
      <c r="AA65" s="949"/>
      <c r="AB65" s="934" t="s">
        <v>30823</v>
      </c>
      <c r="AC65" s="935"/>
      <c r="AD65" s="935"/>
      <c r="AE65" s="935"/>
      <c r="AF65" s="935"/>
      <c r="AG65" s="935"/>
      <c r="AH65" s="935"/>
      <c r="AI65" s="935"/>
      <c r="AJ65" s="935"/>
      <c r="AK65" s="935"/>
      <c r="AL65" s="427" t="s">
        <v>15626</v>
      </c>
      <c r="AM65" s="964">
        <f>$AM$8</f>
        <v>0.7</v>
      </c>
      <c r="AN65" s="964"/>
      <c r="AO65" s="575"/>
      <c r="AP65" s="575"/>
      <c r="AQ65" s="575"/>
      <c r="AR65" s="592"/>
      <c r="AS65" s="489">
        <f>ROUND(ROUND(ROUND(I65*S66,0)*$U$75,0)*AM65,0)</f>
        <v>249</v>
      </c>
      <c r="AT65" s="359"/>
    </row>
    <row r="66" spans="1:46" ht="17.100000000000001" customHeight="1" x14ac:dyDescent="0.15">
      <c r="A66" s="340">
        <v>21</v>
      </c>
      <c r="B66" s="341">
        <v>9774</v>
      </c>
      <c r="C66" s="390" t="s">
        <v>31209</v>
      </c>
      <c r="D66" s="943"/>
      <c r="E66" s="944"/>
      <c r="F66" s="943"/>
      <c r="G66" s="944"/>
      <c r="H66" s="423"/>
      <c r="I66" s="618"/>
      <c r="J66" s="618"/>
      <c r="K66" s="618"/>
      <c r="L66" s="619"/>
      <c r="M66" s="338"/>
      <c r="N66" s="338"/>
      <c r="O66" s="338"/>
      <c r="P66" s="338"/>
      <c r="Q66" s="338"/>
      <c r="R66" s="391" t="s">
        <v>15626</v>
      </c>
      <c r="S66" s="936">
        <f>$S$12</f>
        <v>0.96499999999999997</v>
      </c>
      <c r="T66" s="937"/>
      <c r="U66" s="912"/>
      <c r="V66" s="973"/>
      <c r="W66" s="948"/>
      <c r="X66" s="949"/>
      <c r="Y66" s="949"/>
      <c r="Z66" s="949"/>
      <c r="AA66" s="949"/>
      <c r="AB66" s="934" t="s">
        <v>30825</v>
      </c>
      <c r="AC66" s="935"/>
      <c r="AD66" s="935"/>
      <c r="AE66" s="935"/>
      <c r="AF66" s="935"/>
      <c r="AG66" s="935"/>
      <c r="AH66" s="935"/>
      <c r="AI66" s="935"/>
      <c r="AJ66" s="935"/>
      <c r="AK66" s="935"/>
      <c r="AL66" s="427" t="s">
        <v>15626</v>
      </c>
      <c r="AM66" s="964">
        <f>$AM$9</f>
        <v>0.5</v>
      </c>
      <c r="AN66" s="964"/>
      <c r="AO66" s="568"/>
      <c r="AP66" s="568"/>
      <c r="AQ66" s="568"/>
      <c r="AR66" s="599"/>
      <c r="AS66" s="489">
        <f>ROUND(ROUND(ROUND(I65*S66,0)*$U$75,0)*AM66,0)</f>
        <v>178</v>
      </c>
      <c r="AT66" s="359"/>
    </row>
    <row r="67" spans="1:46" ht="17.100000000000001" customHeight="1" x14ac:dyDescent="0.15">
      <c r="A67" s="340">
        <v>21</v>
      </c>
      <c r="B67" s="341">
        <v>9331</v>
      </c>
      <c r="C67" s="390" t="s">
        <v>31210</v>
      </c>
      <c r="D67" s="423"/>
      <c r="E67" s="425"/>
      <c r="F67" s="424"/>
      <c r="G67" s="425"/>
      <c r="H67" s="861" t="s">
        <v>30838</v>
      </c>
      <c r="I67" s="862"/>
      <c r="J67" s="862"/>
      <c r="K67" s="862"/>
      <c r="L67" s="863"/>
      <c r="M67" s="396"/>
      <c r="N67" s="400"/>
      <c r="O67" s="400"/>
      <c r="P67" s="400"/>
      <c r="Q67" s="400"/>
      <c r="R67" s="400"/>
      <c r="S67" s="400"/>
      <c r="T67" s="429"/>
      <c r="U67" s="912"/>
      <c r="V67" s="973"/>
      <c r="W67" s="330"/>
      <c r="X67" s="454"/>
      <c r="Y67" s="459"/>
      <c r="Z67" s="568"/>
      <c r="AA67" s="343"/>
      <c r="AB67" s="396"/>
      <c r="AC67" s="396"/>
      <c r="AD67" s="427"/>
      <c r="AE67" s="427"/>
      <c r="AF67" s="396"/>
      <c r="AG67" s="396"/>
      <c r="AH67" s="396"/>
      <c r="AI67" s="396"/>
      <c r="AJ67" s="396"/>
      <c r="AK67" s="396"/>
      <c r="AL67" s="427"/>
      <c r="AM67" s="964"/>
      <c r="AN67" s="964"/>
      <c r="AO67" s="575"/>
      <c r="AP67" s="575"/>
      <c r="AQ67" s="575"/>
      <c r="AR67" s="592"/>
      <c r="AS67" s="489">
        <f>ROUND(I71*$U$75,0)</f>
        <v>348</v>
      </c>
      <c r="AT67" s="359"/>
    </row>
    <row r="68" spans="1:46" ht="17.100000000000001" customHeight="1" x14ac:dyDescent="0.15">
      <c r="A68" s="340">
        <v>21</v>
      </c>
      <c r="B68" s="341">
        <v>9332</v>
      </c>
      <c r="C68" s="390" t="s">
        <v>31211</v>
      </c>
      <c r="D68" s="423"/>
      <c r="E68" s="425"/>
      <c r="F68" s="424"/>
      <c r="G68" s="425"/>
      <c r="H68" s="864"/>
      <c r="I68" s="865"/>
      <c r="J68" s="865"/>
      <c r="K68" s="865"/>
      <c r="L68" s="866"/>
      <c r="M68" s="151"/>
      <c r="N68" s="151"/>
      <c r="O68" s="151"/>
      <c r="P68" s="151"/>
      <c r="Q68" s="151"/>
      <c r="R68" s="151"/>
      <c r="S68" s="151"/>
      <c r="T68" s="495"/>
      <c r="U68" s="912"/>
      <c r="V68" s="973"/>
      <c r="W68" s="948" t="s">
        <v>30822</v>
      </c>
      <c r="X68" s="949"/>
      <c r="Y68" s="949"/>
      <c r="Z68" s="949"/>
      <c r="AA68" s="949"/>
      <c r="AB68" s="934" t="s">
        <v>30823</v>
      </c>
      <c r="AC68" s="935"/>
      <c r="AD68" s="935"/>
      <c r="AE68" s="935"/>
      <c r="AF68" s="935"/>
      <c r="AG68" s="935"/>
      <c r="AH68" s="935"/>
      <c r="AI68" s="935"/>
      <c r="AJ68" s="935"/>
      <c r="AK68" s="935"/>
      <c r="AL68" s="427" t="s">
        <v>15626</v>
      </c>
      <c r="AM68" s="964">
        <f>$AM$8</f>
        <v>0.7</v>
      </c>
      <c r="AN68" s="964"/>
      <c r="AO68" s="575"/>
      <c r="AP68" s="575"/>
      <c r="AQ68" s="575"/>
      <c r="AR68" s="592"/>
      <c r="AS68" s="489">
        <f>ROUND(ROUND(I71*$U$75,0)*AM68,0)</f>
        <v>244</v>
      </c>
      <c r="AT68" s="359"/>
    </row>
    <row r="69" spans="1:46" ht="17.100000000000001" customHeight="1" x14ac:dyDescent="0.15">
      <c r="A69" s="340">
        <v>21</v>
      </c>
      <c r="B69" s="341">
        <v>9781</v>
      </c>
      <c r="C69" s="390" t="s">
        <v>31212</v>
      </c>
      <c r="D69" s="423"/>
      <c r="E69" s="425"/>
      <c r="F69" s="424"/>
      <c r="G69" s="425"/>
      <c r="H69" s="490"/>
      <c r="K69" s="152"/>
      <c r="L69" s="387"/>
      <c r="M69" s="151"/>
      <c r="N69" s="151"/>
      <c r="O69" s="151"/>
      <c r="P69" s="151"/>
      <c r="Q69" s="151"/>
      <c r="R69" s="151"/>
      <c r="S69" s="151"/>
      <c r="T69" s="495"/>
      <c r="U69" s="912"/>
      <c r="V69" s="973"/>
      <c r="W69" s="948"/>
      <c r="X69" s="949"/>
      <c r="Y69" s="949"/>
      <c r="Z69" s="949"/>
      <c r="AA69" s="949"/>
      <c r="AB69" s="934" t="s">
        <v>30825</v>
      </c>
      <c r="AC69" s="935"/>
      <c r="AD69" s="935"/>
      <c r="AE69" s="935"/>
      <c r="AF69" s="935"/>
      <c r="AG69" s="935"/>
      <c r="AH69" s="935"/>
      <c r="AI69" s="935"/>
      <c r="AJ69" s="935"/>
      <c r="AK69" s="935"/>
      <c r="AL69" s="427" t="s">
        <v>15626</v>
      </c>
      <c r="AM69" s="964">
        <f>$AM$9</f>
        <v>0.5</v>
      </c>
      <c r="AN69" s="964"/>
      <c r="AO69" s="575"/>
      <c r="AP69" s="575"/>
      <c r="AQ69" s="575"/>
      <c r="AR69" s="592"/>
      <c r="AS69" s="489">
        <f>ROUND(ROUND(I71*$U$75,0)*AM69,0)</f>
        <v>174</v>
      </c>
      <c r="AT69" s="359"/>
    </row>
    <row r="70" spans="1:46" ht="17.100000000000001" customHeight="1" x14ac:dyDescent="0.15">
      <c r="A70" s="340">
        <v>21</v>
      </c>
      <c r="B70" s="341">
        <v>9333</v>
      </c>
      <c r="C70" s="390" t="s">
        <v>31213</v>
      </c>
      <c r="D70" s="423"/>
      <c r="E70" s="425"/>
      <c r="F70" s="424"/>
      <c r="G70" s="425"/>
      <c r="H70" s="490"/>
      <c r="L70" s="495"/>
      <c r="M70" s="862" t="s">
        <v>30827</v>
      </c>
      <c r="N70" s="862"/>
      <c r="O70" s="862"/>
      <c r="P70" s="862"/>
      <c r="Q70" s="862"/>
      <c r="R70" s="862"/>
      <c r="S70" s="862"/>
      <c r="T70" s="863"/>
      <c r="U70" s="912"/>
      <c r="V70" s="973"/>
      <c r="W70" s="447"/>
      <c r="X70" s="474"/>
      <c r="Y70" s="343"/>
      <c r="Z70" s="343"/>
      <c r="AA70" s="343"/>
      <c r="AB70" s="396"/>
      <c r="AC70" s="396"/>
      <c r="AD70" s="427"/>
      <c r="AE70" s="427"/>
      <c r="AF70" s="396"/>
      <c r="AG70" s="396"/>
      <c r="AH70" s="396"/>
      <c r="AI70" s="396"/>
      <c r="AJ70" s="396"/>
      <c r="AK70" s="396"/>
      <c r="AL70" s="427"/>
      <c r="AM70" s="964"/>
      <c r="AN70" s="964"/>
      <c r="AO70" s="575"/>
      <c r="AP70" s="575"/>
      <c r="AQ70" s="575"/>
      <c r="AR70" s="592"/>
      <c r="AS70" s="489">
        <f>ROUND(ROUND(I71*S72,0)*$U$75,0)</f>
        <v>336</v>
      </c>
      <c r="AT70" s="359"/>
    </row>
    <row r="71" spans="1:46" ht="17.100000000000001" customHeight="1" x14ac:dyDescent="0.15">
      <c r="A71" s="340">
        <v>21</v>
      </c>
      <c r="B71" s="341">
        <v>9334</v>
      </c>
      <c r="C71" s="390" t="s">
        <v>31214</v>
      </c>
      <c r="D71" s="423"/>
      <c r="E71" s="425"/>
      <c r="F71" s="424"/>
      <c r="G71" s="425"/>
      <c r="H71" s="490"/>
      <c r="I71" s="965">
        <f>'5療養介護(基本)'!I70</f>
        <v>497</v>
      </c>
      <c r="J71" s="965"/>
      <c r="K71" s="152" t="s">
        <v>15624</v>
      </c>
      <c r="L71" s="387"/>
      <c r="M71" s="865"/>
      <c r="N71" s="865"/>
      <c r="O71" s="865"/>
      <c r="P71" s="865"/>
      <c r="Q71" s="865"/>
      <c r="R71" s="865"/>
      <c r="S71" s="865"/>
      <c r="T71" s="866"/>
      <c r="U71" s="912"/>
      <c r="V71" s="973"/>
      <c r="W71" s="948" t="s">
        <v>30822</v>
      </c>
      <c r="X71" s="949"/>
      <c r="Y71" s="949"/>
      <c r="Z71" s="949"/>
      <c r="AA71" s="949"/>
      <c r="AB71" s="934" t="s">
        <v>30823</v>
      </c>
      <c r="AC71" s="935"/>
      <c r="AD71" s="935"/>
      <c r="AE71" s="935"/>
      <c r="AF71" s="935"/>
      <c r="AG71" s="935"/>
      <c r="AH71" s="935"/>
      <c r="AI71" s="935"/>
      <c r="AJ71" s="935"/>
      <c r="AK71" s="935"/>
      <c r="AL71" s="427" t="s">
        <v>15626</v>
      </c>
      <c r="AM71" s="964">
        <f>$AM$8</f>
        <v>0.7</v>
      </c>
      <c r="AN71" s="964"/>
      <c r="AO71" s="575"/>
      <c r="AP71" s="575"/>
      <c r="AQ71" s="575"/>
      <c r="AR71" s="592"/>
      <c r="AS71" s="489">
        <f>ROUND(ROUND(ROUND(I71*S72,0)*$U$75,0)*AM71,0)</f>
        <v>235</v>
      </c>
      <c r="AT71" s="359"/>
    </row>
    <row r="72" spans="1:46" ht="17.100000000000001" customHeight="1" x14ac:dyDescent="0.15">
      <c r="A72" s="340">
        <v>21</v>
      </c>
      <c r="B72" s="341">
        <v>9782</v>
      </c>
      <c r="C72" s="390" t="s">
        <v>31215</v>
      </c>
      <c r="D72" s="423"/>
      <c r="E72" s="425"/>
      <c r="F72" s="424"/>
      <c r="G72" s="425"/>
      <c r="H72" s="490"/>
      <c r="K72" s="152"/>
      <c r="L72" s="387"/>
      <c r="M72" s="338"/>
      <c r="N72" s="338"/>
      <c r="O72" s="338"/>
      <c r="P72" s="338"/>
      <c r="Q72" s="338"/>
      <c r="R72" s="391" t="s">
        <v>15626</v>
      </c>
      <c r="S72" s="936">
        <f>$S$12</f>
        <v>0.96499999999999997</v>
      </c>
      <c r="T72" s="937"/>
      <c r="U72" s="912"/>
      <c r="V72" s="973"/>
      <c r="W72" s="948"/>
      <c r="X72" s="949"/>
      <c r="Y72" s="949"/>
      <c r="Z72" s="949"/>
      <c r="AA72" s="949"/>
      <c r="AB72" s="934" t="s">
        <v>30825</v>
      </c>
      <c r="AC72" s="935"/>
      <c r="AD72" s="935"/>
      <c r="AE72" s="935"/>
      <c r="AF72" s="935"/>
      <c r="AG72" s="935"/>
      <c r="AH72" s="935"/>
      <c r="AI72" s="935"/>
      <c r="AJ72" s="935"/>
      <c r="AK72" s="935"/>
      <c r="AL72" s="427" t="s">
        <v>15626</v>
      </c>
      <c r="AM72" s="964">
        <f>$AM$9</f>
        <v>0.5</v>
      </c>
      <c r="AN72" s="964"/>
      <c r="AO72" s="568"/>
      <c r="AP72" s="568"/>
      <c r="AQ72" s="568"/>
      <c r="AR72" s="599"/>
      <c r="AS72" s="489">
        <f>ROUND(ROUND(ROUND(I71*S72,0)*$U$75,0)*AM72,0)</f>
        <v>168</v>
      </c>
      <c r="AT72" s="359"/>
    </row>
    <row r="73" spans="1:46" ht="17.100000000000001" customHeight="1" x14ac:dyDescent="0.15">
      <c r="A73" s="340">
        <v>21</v>
      </c>
      <c r="B73" s="341">
        <v>9341</v>
      </c>
      <c r="C73" s="390" t="s">
        <v>31216</v>
      </c>
      <c r="D73" s="423"/>
      <c r="E73" s="425"/>
      <c r="F73" s="424"/>
      <c r="G73" s="425"/>
      <c r="H73" s="861" t="s">
        <v>30845</v>
      </c>
      <c r="I73" s="862"/>
      <c r="J73" s="862"/>
      <c r="K73" s="862"/>
      <c r="L73" s="863"/>
      <c r="M73" s="396"/>
      <c r="N73" s="400"/>
      <c r="O73" s="400"/>
      <c r="P73" s="400"/>
      <c r="Q73" s="400"/>
      <c r="R73" s="400"/>
      <c r="S73" s="400"/>
      <c r="T73" s="429"/>
      <c r="U73" s="912"/>
      <c r="V73" s="973"/>
      <c r="W73" s="330"/>
      <c r="X73" s="454"/>
      <c r="Y73" s="459"/>
      <c r="Z73" s="568"/>
      <c r="AA73" s="343"/>
      <c r="AB73" s="396"/>
      <c r="AC73" s="396"/>
      <c r="AD73" s="427"/>
      <c r="AE73" s="427"/>
      <c r="AF73" s="396"/>
      <c r="AG73" s="396"/>
      <c r="AH73" s="396"/>
      <c r="AI73" s="396"/>
      <c r="AJ73" s="396"/>
      <c r="AK73" s="396"/>
      <c r="AL73" s="427"/>
      <c r="AM73" s="964"/>
      <c r="AN73" s="964"/>
      <c r="AO73" s="575"/>
      <c r="AP73" s="575"/>
      <c r="AQ73" s="575"/>
      <c r="AR73" s="592"/>
      <c r="AS73" s="489">
        <f>ROUND(I77*$U$75,0)</f>
        <v>333</v>
      </c>
      <c r="AT73" s="359"/>
    </row>
    <row r="74" spans="1:46" ht="17.100000000000001" customHeight="1" x14ac:dyDescent="0.15">
      <c r="A74" s="340">
        <v>21</v>
      </c>
      <c r="B74" s="341">
        <v>9342</v>
      </c>
      <c r="C74" s="390" t="s">
        <v>31217</v>
      </c>
      <c r="D74" s="423"/>
      <c r="E74" s="425"/>
      <c r="F74" s="424"/>
      <c r="G74" s="425"/>
      <c r="H74" s="864"/>
      <c r="I74" s="865"/>
      <c r="J74" s="865"/>
      <c r="K74" s="865"/>
      <c r="L74" s="866"/>
      <c r="M74" s="151"/>
      <c r="N74" s="151"/>
      <c r="O74" s="151"/>
      <c r="P74" s="151"/>
      <c r="Q74" s="151"/>
      <c r="R74" s="151"/>
      <c r="S74" s="151"/>
      <c r="T74" s="495"/>
      <c r="U74" s="901" t="s">
        <v>15626</v>
      </c>
      <c r="V74" s="903"/>
      <c r="W74" s="948" t="s">
        <v>30822</v>
      </c>
      <c r="X74" s="949"/>
      <c r="Y74" s="949"/>
      <c r="Z74" s="949"/>
      <c r="AA74" s="949"/>
      <c r="AB74" s="934" t="s">
        <v>30823</v>
      </c>
      <c r="AC74" s="935"/>
      <c r="AD74" s="935"/>
      <c r="AE74" s="935"/>
      <c r="AF74" s="935"/>
      <c r="AG74" s="935"/>
      <c r="AH74" s="935"/>
      <c r="AI74" s="935"/>
      <c r="AJ74" s="935"/>
      <c r="AK74" s="935"/>
      <c r="AL74" s="427" t="s">
        <v>15626</v>
      </c>
      <c r="AM74" s="964">
        <f>$AM$8</f>
        <v>0.7</v>
      </c>
      <c r="AN74" s="964"/>
      <c r="AO74" s="575"/>
      <c r="AP74" s="575"/>
      <c r="AQ74" s="575"/>
      <c r="AR74" s="592"/>
      <c r="AS74" s="489">
        <f>ROUND(ROUND(I77*$U$75,0)*AM74,0)</f>
        <v>233</v>
      </c>
      <c r="AT74" s="359"/>
    </row>
    <row r="75" spans="1:46" ht="17.100000000000001" customHeight="1" x14ac:dyDescent="0.15">
      <c r="A75" s="340">
        <v>21</v>
      </c>
      <c r="B75" s="341">
        <v>9789</v>
      </c>
      <c r="C75" s="390" t="s">
        <v>31218</v>
      </c>
      <c r="D75" s="423"/>
      <c r="E75" s="425"/>
      <c r="F75" s="424"/>
      <c r="G75" s="425"/>
      <c r="H75" s="430"/>
      <c r="I75" s="431"/>
      <c r="J75" s="431"/>
      <c r="K75" s="431"/>
      <c r="L75" s="432"/>
      <c r="M75" s="151"/>
      <c r="N75" s="151"/>
      <c r="O75" s="151"/>
      <c r="P75" s="151"/>
      <c r="Q75" s="151"/>
      <c r="R75" s="151"/>
      <c r="S75" s="151"/>
      <c r="T75" s="495"/>
      <c r="U75" s="966">
        <f>U51</f>
        <v>0.7</v>
      </c>
      <c r="V75" s="967"/>
      <c r="W75" s="948"/>
      <c r="X75" s="949"/>
      <c r="Y75" s="949"/>
      <c r="Z75" s="949"/>
      <c r="AA75" s="949"/>
      <c r="AB75" s="934" t="s">
        <v>30825</v>
      </c>
      <c r="AC75" s="935"/>
      <c r="AD75" s="935"/>
      <c r="AE75" s="935"/>
      <c r="AF75" s="935"/>
      <c r="AG75" s="935"/>
      <c r="AH75" s="935"/>
      <c r="AI75" s="935"/>
      <c r="AJ75" s="935"/>
      <c r="AK75" s="935"/>
      <c r="AL75" s="427" t="s">
        <v>15626</v>
      </c>
      <c r="AM75" s="964">
        <f>$AM$9</f>
        <v>0.5</v>
      </c>
      <c r="AN75" s="964"/>
      <c r="AO75" s="575"/>
      <c r="AP75" s="575"/>
      <c r="AQ75" s="575"/>
      <c r="AR75" s="592"/>
      <c r="AS75" s="489">
        <f>ROUND(ROUND(I77*$U$75,0)*AM75,0)</f>
        <v>167</v>
      </c>
      <c r="AT75" s="359"/>
    </row>
    <row r="76" spans="1:46" ht="17.100000000000001" customHeight="1" x14ac:dyDescent="0.15">
      <c r="A76" s="340">
        <v>21</v>
      </c>
      <c r="B76" s="341">
        <v>9343</v>
      </c>
      <c r="C76" s="390" t="s">
        <v>31219</v>
      </c>
      <c r="D76" s="423"/>
      <c r="E76" s="425"/>
      <c r="F76" s="424"/>
      <c r="G76" s="425"/>
      <c r="H76" s="490"/>
      <c r="L76" s="495"/>
      <c r="M76" s="862" t="s">
        <v>30827</v>
      </c>
      <c r="N76" s="862"/>
      <c r="O76" s="862"/>
      <c r="P76" s="862"/>
      <c r="Q76" s="862"/>
      <c r="R76" s="862"/>
      <c r="S76" s="862"/>
      <c r="T76" s="863"/>
      <c r="U76" s="494"/>
      <c r="V76" s="495"/>
      <c r="W76" s="447"/>
      <c r="X76" s="474"/>
      <c r="Y76" s="343"/>
      <c r="Z76" s="343"/>
      <c r="AA76" s="343"/>
      <c r="AB76" s="396"/>
      <c r="AC76" s="396"/>
      <c r="AD76" s="427"/>
      <c r="AE76" s="427"/>
      <c r="AF76" s="396"/>
      <c r="AG76" s="396"/>
      <c r="AH76" s="396"/>
      <c r="AI76" s="396"/>
      <c r="AJ76" s="396"/>
      <c r="AK76" s="396"/>
      <c r="AL76" s="427"/>
      <c r="AM76" s="964"/>
      <c r="AN76" s="964"/>
      <c r="AO76" s="575"/>
      <c r="AP76" s="575"/>
      <c r="AQ76" s="575"/>
      <c r="AR76" s="592"/>
      <c r="AS76" s="489">
        <f>ROUND(ROUND(I77*S78,0)*$U$75,0)</f>
        <v>321</v>
      </c>
      <c r="AT76" s="359"/>
    </row>
    <row r="77" spans="1:46" ht="17.100000000000001" customHeight="1" x14ac:dyDescent="0.15">
      <c r="A77" s="340">
        <v>21</v>
      </c>
      <c r="B77" s="341">
        <v>9344</v>
      </c>
      <c r="C77" s="390" t="s">
        <v>31220</v>
      </c>
      <c r="D77" s="423"/>
      <c r="E77" s="425"/>
      <c r="F77" s="424"/>
      <c r="G77" s="425"/>
      <c r="H77" s="490"/>
      <c r="I77" s="965">
        <f>'5療養介護(基本)'!I76</f>
        <v>475</v>
      </c>
      <c r="J77" s="965"/>
      <c r="K77" s="152" t="s">
        <v>15624</v>
      </c>
      <c r="L77" s="387"/>
      <c r="M77" s="865"/>
      <c r="N77" s="865"/>
      <c r="O77" s="865"/>
      <c r="P77" s="865"/>
      <c r="Q77" s="865"/>
      <c r="R77" s="865"/>
      <c r="S77" s="865"/>
      <c r="T77" s="866"/>
      <c r="U77" s="490"/>
      <c r="V77" s="387"/>
      <c r="W77" s="948" t="s">
        <v>30822</v>
      </c>
      <c r="X77" s="949"/>
      <c r="Y77" s="949"/>
      <c r="Z77" s="949"/>
      <c r="AA77" s="949"/>
      <c r="AB77" s="934" t="s">
        <v>30823</v>
      </c>
      <c r="AC77" s="935"/>
      <c r="AD77" s="935"/>
      <c r="AE77" s="935"/>
      <c r="AF77" s="935"/>
      <c r="AG77" s="935"/>
      <c r="AH77" s="935"/>
      <c r="AI77" s="935"/>
      <c r="AJ77" s="935"/>
      <c r="AK77" s="935"/>
      <c r="AL77" s="427" t="s">
        <v>15626</v>
      </c>
      <c r="AM77" s="964">
        <f>$AM$8</f>
        <v>0.7</v>
      </c>
      <c r="AN77" s="964"/>
      <c r="AO77" s="575"/>
      <c r="AP77" s="575"/>
      <c r="AQ77" s="575"/>
      <c r="AR77" s="592"/>
      <c r="AS77" s="489">
        <f>ROUND(ROUND(ROUND(I77*S78,0)*$U$75,0)*AM77,0)</f>
        <v>225</v>
      </c>
      <c r="AT77" s="359"/>
    </row>
    <row r="78" spans="1:46" ht="17.100000000000001" customHeight="1" x14ac:dyDescent="0.15">
      <c r="A78" s="340">
        <v>21</v>
      </c>
      <c r="B78" s="341">
        <v>9790</v>
      </c>
      <c r="C78" s="390" t="s">
        <v>31221</v>
      </c>
      <c r="D78" s="423"/>
      <c r="E78" s="425"/>
      <c r="F78" s="424"/>
      <c r="G78" s="425"/>
      <c r="H78" s="490"/>
      <c r="K78" s="152"/>
      <c r="L78" s="387"/>
      <c r="M78" s="338"/>
      <c r="N78" s="338"/>
      <c r="O78" s="338"/>
      <c r="P78" s="338"/>
      <c r="Q78" s="338"/>
      <c r="R78" s="391" t="s">
        <v>15626</v>
      </c>
      <c r="S78" s="936">
        <f>$S$12</f>
        <v>0.96499999999999997</v>
      </c>
      <c r="T78" s="937"/>
      <c r="U78" s="490"/>
      <c r="V78" s="387"/>
      <c r="W78" s="948"/>
      <c r="X78" s="949"/>
      <c r="Y78" s="949"/>
      <c r="Z78" s="949"/>
      <c r="AA78" s="949"/>
      <c r="AB78" s="934" t="s">
        <v>30825</v>
      </c>
      <c r="AC78" s="935"/>
      <c r="AD78" s="935"/>
      <c r="AE78" s="935"/>
      <c r="AF78" s="935"/>
      <c r="AG78" s="935"/>
      <c r="AH78" s="935"/>
      <c r="AI78" s="935"/>
      <c r="AJ78" s="935"/>
      <c r="AK78" s="935"/>
      <c r="AL78" s="427" t="s">
        <v>15626</v>
      </c>
      <c r="AM78" s="964">
        <f>$AM$9</f>
        <v>0.5</v>
      </c>
      <c r="AN78" s="964"/>
      <c r="AO78" s="568"/>
      <c r="AP78" s="568"/>
      <c r="AQ78" s="568"/>
      <c r="AR78" s="599"/>
      <c r="AS78" s="489">
        <f>ROUND(ROUND(ROUND(I77*S78,0)*$U$75,0)*AM78,0)</f>
        <v>161</v>
      </c>
      <c r="AT78" s="359"/>
    </row>
    <row r="79" spans="1:46" ht="17.100000000000001" customHeight="1" x14ac:dyDescent="0.15">
      <c r="A79" s="340">
        <v>21</v>
      </c>
      <c r="B79" s="341">
        <v>9411</v>
      </c>
      <c r="C79" s="390" t="s">
        <v>31222</v>
      </c>
      <c r="D79" s="423"/>
      <c r="E79" s="424"/>
      <c r="F79" s="941" t="s">
        <v>30902</v>
      </c>
      <c r="G79" s="942"/>
      <c r="H79" s="547" t="s">
        <v>30820</v>
      </c>
      <c r="I79" s="396"/>
      <c r="J79" s="396"/>
      <c r="K79" s="396"/>
      <c r="L79" s="396"/>
      <c r="M79" s="396"/>
      <c r="N79" s="569"/>
      <c r="O79" s="569"/>
      <c r="P79" s="569"/>
      <c r="Q79" s="569"/>
      <c r="R79" s="569"/>
      <c r="S79" s="569"/>
      <c r="T79" s="611"/>
      <c r="U79" s="490"/>
      <c r="V79" s="387"/>
      <c r="W79" s="447"/>
      <c r="X79" s="474"/>
      <c r="Y79" s="343"/>
      <c r="Z79" s="343"/>
      <c r="AA79" s="343"/>
      <c r="AB79" s="396"/>
      <c r="AC79" s="396"/>
      <c r="AD79" s="427"/>
      <c r="AE79" s="427"/>
      <c r="AF79" s="396"/>
      <c r="AG79" s="396"/>
      <c r="AH79" s="396"/>
      <c r="AI79" s="396"/>
      <c r="AJ79" s="396"/>
      <c r="AK79" s="396"/>
      <c r="AL79" s="427"/>
      <c r="AM79" s="964"/>
      <c r="AN79" s="964"/>
      <c r="AO79" s="575"/>
      <c r="AP79" s="575"/>
      <c r="AQ79" s="575"/>
      <c r="AR79" s="592"/>
      <c r="AS79" s="392">
        <f>ROUND(J80*$U$75,0)</f>
        <v>312</v>
      </c>
      <c r="AT79" s="359"/>
    </row>
    <row r="80" spans="1:46" ht="17.100000000000001" customHeight="1" x14ac:dyDescent="0.15">
      <c r="A80" s="340">
        <v>21</v>
      </c>
      <c r="B80" s="341">
        <v>9412</v>
      </c>
      <c r="C80" s="390" t="s">
        <v>31223</v>
      </c>
      <c r="D80" s="423"/>
      <c r="E80" s="424"/>
      <c r="F80" s="943"/>
      <c r="G80" s="944"/>
      <c r="H80" s="490"/>
      <c r="J80" s="965">
        <f>'5療養介護(基本)'!I81</f>
        <v>445</v>
      </c>
      <c r="K80" s="965"/>
      <c r="L80" s="152" t="s">
        <v>15624</v>
      </c>
      <c r="M80" s="152"/>
      <c r="N80" s="566"/>
      <c r="O80" s="566"/>
      <c r="P80" s="566"/>
      <c r="Q80" s="566"/>
      <c r="R80" s="566"/>
      <c r="S80" s="566"/>
      <c r="T80" s="610"/>
      <c r="U80" s="566"/>
      <c r="V80" s="610"/>
      <c r="W80" s="948" t="s">
        <v>30822</v>
      </c>
      <c r="X80" s="949"/>
      <c r="Y80" s="949"/>
      <c r="Z80" s="949"/>
      <c r="AA80" s="949"/>
      <c r="AB80" s="934" t="s">
        <v>30823</v>
      </c>
      <c r="AC80" s="935"/>
      <c r="AD80" s="935"/>
      <c r="AE80" s="935"/>
      <c r="AF80" s="935"/>
      <c r="AG80" s="935"/>
      <c r="AH80" s="935"/>
      <c r="AI80" s="935"/>
      <c r="AJ80" s="935"/>
      <c r="AK80" s="935"/>
      <c r="AL80" s="427" t="s">
        <v>15626</v>
      </c>
      <c r="AM80" s="964">
        <f>$AM$8</f>
        <v>0.7</v>
      </c>
      <c r="AN80" s="964"/>
      <c r="AO80" s="575"/>
      <c r="AP80" s="575"/>
      <c r="AQ80" s="575"/>
      <c r="AR80" s="592"/>
      <c r="AS80" s="392">
        <f>ROUND(ROUND(J80*$U$75,0)*AM80,0)</f>
        <v>218</v>
      </c>
      <c r="AT80" s="359"/>
    </row>
    <row r="81" spans="1:46" ht="17.100000000000001" customHeight="1" x14ac:dyDescent="0.15">
      <c r="A81" s="340">
        <v>21</v>
      </c>
      <c r="B81" s="341">
        <v>9797</v>
      </c>
      <c r="C81" s="390" t="s">
        <v>31224</v>
      </c>
      <c r="D81" s="423"/>
      <c r="E81" s="424"/>
      <c r="F81" s="943"/>
      <c r="G81" s="944"/>
      <c r="H81" s="423"/>
      <c r="I81" s="618"/>
      <c r="J81" s="618"/>
      <c r="K81" s="618"/>
      <c r="L81" s="618"/>
      <c r="M81" s="618"/>
      <c r="N81" s="618"/>
      <c r="O81" s="618"/>
      <c r="P81" s="618"/>
      <c r="Q81" s="618"/>
      <c r="R81" s="618"/>
      <c r="S81" s="618"/>
      <c r="T81" s="619"/>
      <c r="U81" s="566"/>
      <c r="V81" s="610"/>
      <c r="W81" s="948"/>
      <c r="X81" s="949"/>
      <c r="Y81" s="949"/>
      <c r="Z81" s="949"/>
      <c r="AA81" s="949"/>
      <c r="AB81" s="934" t="s">
        <v>30825</v>
      </c>
      <c r="AC81" s="935"/>
      <c r="AD81" s="935"/>
      <c r="AE81" s="935"/>
      <c r="AF81" s="935"/>
      <c r="AG81" s="935"/>
      <c r="AH81" s="935"/>
      <c r="AI81" s="935"/>
      <c r="AJ81" s="935"/>
      <c r="AK81" s="935"/>
      <c r="AL81" s="427" t="s">
        <v>15626</v>
      </c>
      <c r="AM81" s="964">
        <f>$AM$9</f>
        <v>0.5</v>
      </c>
      <c r="AN81" s="964"/>
      <c r="AO81" s="568"/>
      <c r="AP81" s="568"/>
      <c r="AQ81" s="568"/>
      <c r="AR81" s="599"/>
      <c r="AS81" s="392">
        <f>ROUND(ROUND(J80*$U$75,0)*AM81,0)</f>
        <v>156</v>
      </c>
      <c r="AT81" s="359"/>
    </row>
    <row r="82" spans="1:46" ht="17.100000000000001" customHeight="1" x14ac:dyDescent="0.15">
      <c r="A82" s="340">
        <v>21</v>
      </c>
      <c r="B82" s="341">
        <v>9421</v>
      </c>
      <c r="C82" s="390" t="s">
        <v>31225</v>
      </c>
      <c r="D82" s="423"/>
      <c r="E82" s="424"/>
      <c r="F82" s="943"/>
      <c r="G82" s="944"/>
      <c r="H82" s="547" t="s">
        <v>30831</v>
      </c>
      <c r="I82" s="396"/>
      <c r="J82" s="396"/>
      <c r="K82" s="396"/>
      <c r="L82" s="396"/>
      <c r="M82" s="396"/>
      <c r="N82" s="569"/>
      <c r="O82" s="569"/>
      <c r="P82" s="569"/>
      <c r="Q82" s="569"/>
      <c r="R82" s="569"/>
      <c r="S82" s="569"/>
      <c r="T82" s="611"/>
      <c r="U82" s="152"/>
      <c r="V82" s="387"/>
      <c r="W82" s="447"/>
      <c r="X82" s="474"/>
      <c r="Y82" s="343"/>
      <c r="Z82" s="343"/>
      <c r="AA82" s="343"/>
      <c r="AB82" s="396"/>
      <c r="AC82" s="396"/>
      <c r="AD82" s="427"/>
      <c r="AE82" s="427"/>
      <c r="AF82" s="396"/>
      <c r="AG82" s="396"/>
      <c r="AH82" s="396"/>
      <c r="AI82" s="396"/>
      <c r="AJ82" s="396"/>
      <c r="AK82" s="396"/>
      <c r="AL82" s="427"/>
      <c r="AM82" s="964"/>
      <c r="AN82" s="964"/>
      <c r="AO82" s="575"/>
      <c r="AP82" s="575"/>
      <c r="AQ82" s="575"/>
      <c r="AR82" s="592"/>
      <c r="AS82" s="392">
        <f>ROUND(J83*$U$75,0)</f>
        <v>286</v>
      </c>
      <c r="AT82" s="359"/>
    </row>
    <row r="83" spans="1:46" ht="17.100000000000001" customHeight="1" x14ac:dyDescent="0.15">
      <c r="A83" s="340">
        <v>21</v>
      </c>
      <c r="B83" s="341">
        <v>9422</v>
      </c>
      <c r="C83" s="390" t="s">
        <v>31226</v>
      </c>
      <c r="D83" s="423"/>
      <c r="E83" s="424"/>
      <c r="F83" s="943"/>
      <c r="G83" s="944"/>
      <c r="H83" s="490"/>
      <c r="J83" s="965">
        <f>'5療養介護(基本)'!I84</f>
        <v>409</v>
      </c>
      <c r="K83" s="965"/>
      <c r="L83" s="152" t="s">
        <v>15624</v>
      </c>
      <c r="M83" s="152"/>
      <c r="N83" s="566"/>
      <c r="O83" s="566"/>
      <c r="P83" s="566"/>
      <c r="Q83" s="566"/>
      <c r="R83" s="566"/>
      <c r="S83" s="566"/>
      <c r="T83" s="610"/>
      <c r="U83" s="566"/>
      <c r="V83" s="610"/>
      <c r="W83" s="948" t="s">
        <v>30822</v>
      </c>
      <c r="X83" s="949"/>
      <c r="Y83" s="949"/>
      <c r="Z83" s="949"/>
      <c r="AA83" s="949"/>
      <c r="AB83" s="934" t="s">
        <v>30823</v>
      </c>
      <c r="AC83" s="935"/>
      <c r="AD83" s="935"/>
      <c r="AE83" s="935"/>
      <c r="AF83" s="935"/>
      <c r="AG83" s="935"/>
      <c r="AH83" s="935"/>
      <c r="AI83" s="935"/>
      <c r="AJ83" s="935"/>
      <c r="AK83" s="935"/>
      <c r="AL83" s="427" t="s">
        <v>15626</v>
      </c>
      <c r="AM83" s="964">
        <f>$AM$8</f>
        <v>0.7</v>
      </c>
      <c r="AN83" s="964"/>
      <c r="AO83" s="575"/>
      <c r="AP83" s="575"/>
      <c r="AQ83" s="575"/>
      <c r="AR83" s="592"/>
      <c r="AS83" s="392">
        <f>ROUND(ROUND(J83*$U$75,0)*AM83,0)</f>
        <v>200</v>
      </c>
      <c r="AT83" s="359"/>
    </row>
    <row r="84" spans="1:46" ht="17.100000000000001" customHeight="1" x14ac:dyDescent="0.15">
      <c r="A84" s="340">
        <v>21</v>
      </c>
      <c r="B84" s="341">
        <v>9801</v>
      </c>
      <c r="C84" s="390" t="s">
        <v>31227</v>
      </c>
      <c r="D84" s="423"/>
      <c r="E84" s="424"/>
      <c r="F84" s="943"/>
      <c r="G84" s="944"/>
      <c r="H84" s="621"/>
      <c r="I84" s="618"/>
      <c r="J84" s="618"/>
      <c r="K84" s="618"/>
      <c r="L84" s="618"/>
      <c r="M84" s="618"/>
      <c r="N84" s="618"/>
      <c r="O84" s="618"/>
      <c r="P84" s="618"/>
      <c r="Q84" s="618"/>
      <c r="R84" s="618"/>
      <c r="S84" s="618"/>
      <c r="T84" s="619"/>
      <c r="U84" s="566"/>
      <c r="V84" s="610"/>
      <c r="W84" s="948"/>
      <c r="X84" s="949"/>
      <c r="Y84" s="949"/>
      <c r="Z84" s="949"/>
      <c r="AA84" s="949"/>
      <c r="AB84" s="934" t="s">
        <v>30825</v>
      </c>
      <c r="AC84" s="935"/>
      <c r="AD84" s="935"/>
      <c r="AE84" s="935"/>
      <c r="AF84" s="935"/>
      <c r="AG84" s="935"/>
      <c r="AH84" s="935"/>
      <c r="AI84" s="935"/>
      <c r="AJ84" s="935"/>
      <c r="AK84" s="935"/>
      <c r="AL84" s="427" t="s">
        <v>15626</v>
      </c>
      <c r="AM84" s="964">
        <f>$AM$9</f>
        <v>0.5</v>
      </c>
      <c r="AN84" s="964"/>
      <c r="AO84" s="568"/>
      <c r="AP84" s="568"/>
      <c r="AQ84" s="568"/>
      <c r="AR84" s="599"/>
      <c r="AS84" s="392">
        <f>ROUND(ROUND(J83*$U$75,0)*AM84,0)</f>
        <v>143</v>
      </c>
      <c r="AT84" s="359"/>
    </row>
    <row r="85" spans="1:46" ht="17.100000000000001" customHeight="1" x14ac:dyDescent="0.15">
      <c r="A85" s="340">
        <v>21</v>
      </c>
      <c r="B85" s="341">
        <v>9431</v>
      </c>
      <c r="C85" s="390" t="s">
        <v>31228</v>
      </c>
      <c r="D85" s="423"/>
      <c r="E85" s="424"/>
      <c r="F85" s="943"/>
      <c r="G85" s="944"/>
      <c r="H85" s="547" t="s">
        <v>30838</v>
      </c>
      <c r="I85" s="396"/>
      <c r="J85" s="396"/>
      <c r="K85" s="396"/>
      <c r="L85" s="396"/>
      <c r="M85" s="396"/>
      <c r="N85" s="569"/>
      <c r="O85" s="569"/>
      <c r="P85" s="569"/>
      <c r="Q85" s="569"/>
      <c r="R85" s="569"/>
      <c r="S85" s="569"/>
      <c r="T85" s="611"/>
      <c r="U85" s="152"/>
      <c r="V85" s="387"/>
      <c r="W85" s="447"/>
      <c r="X85" s="474"/>
      <c r="Y85" s="343"/>
      <c r="Z85" s="343"/>
      <c r="AA85" s="343"/>
      <c r="AB85" s="396"/>
      <c r="AC85" s="396"/>
      <c r="AD85" s="427"/>
      <c r="AE85" s="427"/>
      <c r="AF85" s="396"/>
      <c r="AG85" s="396"/>
      <c r="AH85" s="396"/>
      <c r="AI85" s="396"/>
      <c r="AJ85" s="396"/>
      <c r="AK85" s="396"/>
      <c r="AL85" s="427"/>
      <c r="AM85" s="964"/>
      <c r="AN85" s="964"/>
      <c r="AO85" s="575"/>
      <c r="AP85" s="575"/>
      <c r="AQ85" s="575"/>
      <c r="AR85" s="592"/>
      <c r="AS85" s="392">
        <f>ROUND(J86*$U$75,0)</f>
        <v>267</v>
      </c>
      <c r="AT85" s="359"/>
    </row>
    <row r="86" spans="1:46" ht="17.100000000000001" customHeight="1" x14ac:dyDescent="0.15">
      <c r="A86" s="340">
        <v>21</v>
      </c>
      <c r="B86" s="341">
        <v>9432</v>
      </c>
      <c r="C86" s="390" t="s">
        <v>31229</v>
      </c>
      <c r="D86" s="423"/>
      <c r="E86" s="424"/>
      <c r="F86" s="943"/>
      <c r="G86" s="944"/>
      <c r="H86" s="490"/>
      <c r="J86" s="965">
        <f>'5療養介護(基本)'!I87</f>
        <v>381</v>
      </c>
      <c r="K86" s="965"/>
      <c r="L86" s="152" t="s">
        <v>15624</v>
      </c>
      <c r="M86" s="152"/>
      <c r="N86" s="566"/>
      <c r="O86" s="566"/>
      <c r="P86" s="566"/>
      <c r="Q86" s="566"/>
      <c r="R86" s="566"/>
      <c r="S86" s="566"/>
      <c r="T86" s="610"/>
      <c r="U86" s="566"/>
      <c r="V86" s="610"/>
      <c r="W86" s="948" t="s">
        <v>30822</v>
      </c>
      <c r="X86" s="949"/>
      <c r="Y86" s="949"/>
      <c r="Z86" s="949"/>
      <c r="AA86" s="949"/>
      <c r="AB86" s="934" t="s">
        <v>30823</v>
      </c>
      <c r="AC86" s="935"/>
      <c r="AD86" s="935"/>
      <c r="AE86" s="935"/>
      <c r="AF86" s="935"/>
      <c r="AG86" s="935"/>
      <c r="AH86" s="935"/>
      <c r="AI86" s="935"/>
      <c r="AJ86" s="935"/>
      <c r="AK86" s="935"/>
      <c r="AL86" s="427" t="s">
        <v>15626</v>
      </c>
      <c r="AM86" s="964">
        <f>$AM$8</f>
        <v>0.7</v>
      </c>
      <c r="AN86" s="964"/>
      <c r="AO86" s="575"/>
      <c r="AP86" s="575"/>
      <c r="AQ86" s="575"/>
      <c r="AR86" s="592"/>
      <c r="AS86" s="392">
        <f>ROUND(ROUND(J86*$U$75,0)*AM86,0)</f>
        <v>187</v>
      </c>
      <c r="AT86" s="359"/>
    </row>
    <row r="87" spans="1:46" ht="17.100000000000001" customHeight="1" x14ac:dyDescent="0.15">
      <c r="A87" s="340">
        <v>21</v>
      </c>
      <c r="B87" s="341">
        <v>9805</v>
      </c>
      <c r="C87" s="390" t="s">
        <v>31230</v>
      </c>
      <c r="D87" s="423"/>
      <c r="E87" s="424"/>
      <c r="F87" s="943"/>
      <c r="G87" s="944"/>
      <c r="H87" s="621"/>
      <c r="I87" s="618"/>
      <c r="J87" s="618"/>
      <c r="K87" s="618"/>
      <c r="L87" s="618"/>
      <c r="M87" s="618"/>
      <c r="N87" s="618"/>
      <c r="O87" s="618"/>
      <c r="P87" s="618"/>
      <c r="Q87" s="618"/>
      <c r="R87" s="618"/>
      <c r="S87" s="618"/>
      <c r="T87" s="619"/>
      <c r="U87" s="566"/>
      <c r="V87" s="610"/>
      <c r="W87" s="948"/>
      <c r="X87" s="949"/>
      <c r="Y87" s="949"/>
      <c r="Z87" s="949"/>
      <c r="AA87" s="949"/>
      <c r="AB87" s="934" t="s">
        <v>30825</v>
      </c>
      <c r="AC87" s="935"/>
      <c r="AD87" s="935"/>
      <c r="AE87" s="935"/>
      <c r="AF87" s="935"/>
      <c r="AG87" s="935"/>
      <c r="AH87" s="935"/>
      <c r="AI87" s="935"/>
      <c r="AJ87" s="935"/>
      <c r="AK87" s="935"/>
      <c r="AL87" s="427" t="s">
        <v>15626</v>
      </c>
      <c r="AM87" s="964">
        <f>$AM$9</f>
        <v>0.5</v>
      </c>
      <c r="AN87" s="964"/>
      <c r="AO87" s="568"/>
      <c r="AP87" s="568"/>
      <c r="AQ87" s="568"/>
      <c r="AR87" s="599"/>
      <c r="AS87" s="392">
        <f>ROUND(ROUND(J86*$U$75,0)*AM87,0)</f>
        <v>134</v>
      </c>
      <c r="AT87" s="359"/>
    </row>
    <row r="88" spans="1:46" ht="17.100000000000001" customHeight="1" x14ac:dyDescent="0.15">
      <c r="A88" s="340">
        <v>21</v>
      </c>
      <c r="B88" s="341">
        <v>9441</v>
      </c>
      <c r="C88" s="390" t="s">
        <v>31231</v>
      </c>
      <c r="D88" s="423"/>
      <c r="E88" s="424"/>
      <c r="F88" s="943"/>
      <c r="G88" s="944"/>
      <c r="H88" s="547" t="s">
        <v>30845</v>
      </c>
      <c r="I88" s="396"/>
      <c r="J88" s="396"/>
      <c r="K88" s="396"/>
      <c r="L88" s="396"/>
      <c r="M88" s="396"/>
      <c r="N88" s="569"/>
      <c r="O88" s="569"/>
      <c r="P88" s="569"/>
      <c r="Q88" s="569"/>
      <c r="R88" s="569"/>
      <c r="S88" s="569"/>
      <c r="T88" s="611"/>
      <c r="U88" s="152"/>
      <c r="V88" s="387"/>
      <c r="W88" s="447"/>
      <c r="X88" s="474"/>
      <c r="Y88" s="343"/>
      <c r="Z88" s="343"/>
      <c r="AA88" s="343"/>
      <c r="AB88" s="396"/>
      <c r="AC88" s="396"/>
      <c r="AD88" s="427"/>
      <c r="AE88" s="427"/>
      <c r="AF88" s="396"/>
      <c r="AG88" s="396"/>
      <c r="AH88" s="396"/>
      <c r="AI88" s="396"/>
      <c r="AJ88" s="396"/>
      <c r="AK88" s="396"/>
      <c r="AL88" s="427"/>
      <c r="AM88" s="964"/>
      <c r="AN88" s="964"/>
      <c r="AO88" s="575"/>
      <c r="AP88" s="575"/>
      <c r="AQ88" s="575"/>
      <c r="AR88" s="592"/>
      <c r="AS88" s="392">
        <f>ROUND(J89*$U$75,0)</f>
        <v>253</v>
      </c>
      <c r="AT88" s="359"/>
    </row>
    <row r="89" spans="1:46" ht="17.100000000000001" customHeight="1" x14ac:dyDescent="0.15">
      <c r="A89" s="340">
        <v>21</v>
      </c>
      <c r="B89" s="341">
        <v>9442</v>
      </c>
      <c r="C89" s="390" t="s">
        <v>31232</v>
      </c>
      <c r="D89" s="423"/>
      <c r="E89" s="424"/>
      <c r="F89" s="943"/>
      <c r="G89" s="944"/>
      <c r="H89" s="490"/>
      <c r="J89" s="965">
        <f>'5療養介護(基本)'!I90</f>
        <v>361</v>
      </c>
      <c r="K89" s="965"/>
      <c r="L89" s="152" t="s">
        <v>15624</v>
      </c>
      <c r="M89" s="152"/>
      <c r="N89" s="566"/>
      <c r="O89" s="566"/>
      <c r="P89" s="566"/>
      <c r="Q89" s="566"/>
      <c r="R89" s="566"/>
      <c r="S89" s="566"/>
      <c r="T89" s="610"/>
      <c r="U89" s="566"/>
      <c r="V89" s="610"/>
      <c r="W89" s="948" t="s">
        <v>30822</v>
      </c>
      <c r="X89" s="949"/>
      <c r="Y89" s="949"/>
      <c r="Z89" s="949"/>
      <c r="AA89" s="949"/>
      <c r="AB89" s="934" t="s">
        <v>30823</v>
      </c>
      <c r="AC89" s="935"/>
      <c r="AD89" s="935"/>
      <c r="AE89" s="935"/>
      <c r="AF89" s="935"/>
      <c r="AG89" s="935"/>
      <c r="AH89" s="935"/>
      <c r="AI89" s="935"/>
      <c r="AJ89" s="935"/>
      <c r="AK89" s="935"/>
      <c r="AL89" s="427" t="s">
        <v>15626</v>
      </c>
      <c r="AM89" s="964">
        <f>$AM$8</f>
        <v>0.7</v>
      </c>
      <c r="AN89" s="964"/>
      <c r="AO89" s="575"/>
      <c r="AP89" s="575"/>
      <c r="AQ89" s="575"/>
      <c r="AR89" s="592"/>
      <c r="AS89" s="392">
        <f>ROUND(ROUND(J89*$U$75,0)*AM89,0)</f>
        <v>177</v>
      </c>
      <c r="AT89" s="359"/>
    </row>
    <row r="90" spans="1:46" ht="17.100000000000001" customHeight="1" x14ac:dyDescent="0.15">
      <c r="A90" s="340">
        <v>21</v>
      </c>
      <c r="B90" s="341">
        <v>9809</v>
      </c>
      <c r="C90" s="390" t="s">
        <v>31233</v>
      </c>
      <c r="D90" s="423"/>
      <c r="E90" s="424"/>
      <c r="F90" s="957"/>
      <c r="G90" s="958"/>
      <c r="H90" s="622"/>
      <c r="I90" s="623"/>
      <c r="J90" s="623"/>
      <c r="K90" s="623"/>
      <c r="L90" s="623"/>
      <c r="M90" s="623"/>
      <c r="N90" s="623"/>
      <c r="O90" s="623"/>
      <c r="P90" s="623"/>
      <c r="Q90" s="623"/>
      <c r="R90" s="623"/>
      <c r="S90" s="623"/>
      <c r="T90" s="624"/>
      <c r="U90" s="566"/>
      <c r="V90" s="610"/>
      <c r="W90" s="948"/>
      <c r="X90" s="949"/>
      <c r="Y90" s="949"/>
      <c r="Z90" s="949"/>
      <c r="AA90" s="949"/>
      <c r="AB90" s="934" t="s">
        <v>30825</v>
      </c>
      <c r="AC90" s="935"/>
      <c r="AD90" s="935"/>
      <c r="AE90" s="935"/>
      <c r="AF90" s="935"/>
      <c r="AG90" s="935"/>
      <c r="AH90" s="935"/>
      <c r="AI90" s="935"/>
      <c r="AJ90" s="935"/>
      <c r="AK90" s="935"/>
      <c r="AL90" s="427" t="s">
        <v>15626</v>
      </c>
      <c r="AM90" s="964">
        <f>$AM$9</f>
        <v>0.5</v>
      </c>
      <c r="AN90" s="964"/>
      <c r="AO90" s="568"/>
      <c r="AP90" s="568"/>
      <c r="AQ90" s="568"/>
      <c r="AR90" s="599"/>
      <c r="AS90" s="392">
        <f>ROUND(ROUND(J89*$U$75,0)*AM90,0)</f>
        <v>127</v>
      </c>
      <c r="AT90" s="359"/>
    </row>
    <row r="91" spans="1:46" ht="17.100000000000001" customHeight="1" x14ac:dyDescent="0.15">
      <c r="A91" s="321">
        <v>21</v>
      </c>
      <c r="B91" s="322">
        <v>9511</v>
      </c>
      <c r="C91" s="386" t="s">
        <v>31234</v>
      </c>
      <c r="D91" s="423"/>
      <c r="E91" s="424"/>
      <c r="F91" s="943" t="s">
        <v>30915</v>
      </c>
      <c r="G91" s="944"/>
      <c r="H91" s="865" t="s">
        <v>30820</v>
      </c>
      <c r="I91" s="865"/>
      <c r="J91" s="865"/>
      <c r="K91" s="865"/>
      <c r="L91" s="866"/>
      <c r="M91" s="152"/>
      <c r="N91" s="151"/>
      <c r="O91" s="151"/>
      <c r="P91" s="151"/>
      <c r="Q91" s="151"/>
      <c r="R91" s="151"/>
      <c r="S91" s="151"/>
      <c r="T91" s="151"/>
      <c r="U91" s="916" t="s">
        <v>31150</v>
      </c>
      <c r="V91" s="972" t="s">
        <v>30823</v>
      </c>
      <c r="W91" s="330"/>
      <c r="X91" s="454"/>
      <c r="Y91" s="459"/>
      <c r="Z91" s="568"/>
      <c r="AA91" s="343"/>
      <c r="AB91" s="396"/>
      <c r="AC91" s="396"/>
      <c r="AD91" s="427"/>
      <c r="AE91" s="427"/>
      <c r="AF91" s="396"/>
      <c r="AG91" s="396"/>
      <c r="AH91" s="396"/>
      <c r="AI91" s="396"/>
      <c r="AJ91" s="396"/>
      <c r="AK91" s="396"/>
      <c r="AL91" s="427"/>
      <c r="AM91" s="964"/>
      <c r="AN91" s="964"/>
      <c r="AO91" s="575"/>
      <c r="AP91" s="575"/>
      <c r="AQ91" s="575"/>
      <c r="AR91" s="592"/>
      <c r="AS91" s="489">
        <f>ROUND(I95*$U$135,0)</f>
        <v>312</v>
      </c>
      <c r="AT91" s="359"/>
    </row>
    <row r="92" spans="1:46" ht="17.100000000000001" customHeight="1" x14ac:dyDescent="0.15">
      <c r="A92" s="340">
        <v>21</v>
      </c>
      <c r="B92" s="341">
        <v>9512</v>
      </c>
      <c r="C92" s="390" t="s">
        <v>31235</v>
      </c>
      <c r="D92" s="423"/>
      <c r="E92" s="424"/>
      <c r="F92" s="943"/>
      <c r="G92" s="944"/>
      <c r="H92" s="865"/>
      <c r="I92" s="865"/>
      <c r="J92" s="865"/>
      <c r="K92" s="865"/>
      <c r="L92" s="866"/>
      <c r="M92" s="151"/>
      <c r="N92" s="151"/>
      <c r="O92" s="151"/>
      <c r="P92" s="151"/>
      <c r="Q92" s="151"/>
      <c r="R92" s="151"/>
      <c r="S92" s="151"/>
      <c r="T92" s="151"/>
      <c r="U92" s="912"/>
      <c r="V92" s="973"/>
      <c r="W92" s="948" t="s">
        <v>30822</v>
      </c>
      <c r="X92" s="949"/>
      <c r="Y92" s="949"/>
      <c r="Z92" s="949"/>
      <c r="AA92" s="949"/>
      <c r="AB92" s="934" t="s">
        <v>30823</v>
      </c>
      <c r="AC92" s="935"/>
      <c r="AD92" s="935"/>
      <c r="AE92" s="935"/>
      <c r="AF92" s="935"/>
      <c r="AG92" s="935"/>
      <c r="AH92" s="935"/>
      <c r="AI92" s="935"/>
      <c r="AJ92" s="935"/>
      <c r="AK92" s="935"/>
      <c r="AL92" s="427" t="s">
        <v>15626</v>
      </c>
      <c r="AM92" s="964">
        <f>$AM$8</f>
        <v>0.7</v>
      </c>
      <c r="AN92" s="964"/>
      <c r="AO92" s="575"/>
      <c r="AP92" s="575"/>
      <c r="AQ92" s="575"/>
      <c r="AR92" s="592"/>
      <c r="AS92" s="489">
        <f>ROUND(ROUND(I95*$U$135,0)*AM92,0)</f>
        <v>218</v>
      </c>
      <c r="AT92" s="359"/>
    </row>
    <row r="93" spans="1:46" ht="17.100000000000001" customHeight="1" x14ac:dyDescent="0.15">
      <c r="A93" s="340">
        <v>21</v>
      </c>
      <c r="B93" s="341">
        <v>9813</v>
      </c>
      <c r="C93" s="390" t="s">
        <v>31236</v>
      </c>
      <c r="D93" s="423"/>
      <c r="E93" s="424"/>
      <c r="F93" s="943"/>
      <c r="G93" s="944"/>
      <c r="H93" s="431"/>
      <c r="I93" s="431"/>
      <c r="J93" s="431"/>
      <c r="K93" s="431"/>
      <c r="L93" s="432"/>
      <c r="M93" s="151"/>
      <c r="N93" s="151"/>
      <c r="O93" s="151"/>
      <c r="P93" s="151"/>
      <c r="Q93" s="151"/>
      <c r="R93" s="151"/>
      <c r="S93" s="151"/>
      <c r="T93" s="151"/>
      <c r="U93" s="912"/>
      <c r="V93" s="973"/>
      <c r="W93" s="948"/>
      <c r="X93" s="949"/>
      <c r="Y93" s="949"/>
      <c r="Z93" s="949"/>
      <c r="AA93" s="949"/>
      <c r="AB93" s="934" t="s">
        <v>30825</v>
      </c>
      <c r="AC93" s="935"/>
      <c r="AD93" s="935"/>
      <c r="AE93" s="935"/>
      <c r="AF93" s="935"/>
      <c r="AG93" s="935"/>
      <c r="AH93" s="935"/>
      <c r="AI93" s="935"/>
      <c r="AJ93" s="935"/>
      <c r="AK93" s="935"/>
      <c r="AL93" s="427" t="s">
        <v>15626</v>
      </c>
      <c r="AM93" s="964">
        <f>$AM$9</f>
        <v>0.5</v>
      </c>
      <c r="AN93" s="964"/>
      <c r="AO93" s="575"/>
      <c r="AP93" s="575"/>
      <c r="AQ93" s="575"/>
      <c r="AR93" s="592"/>
      <c r="AS93" s="489">
        <f>ROUND(ROUND(I95*$U$135,0)*AM93,0)</f>
        <v>156</v>
      </c>
      <c r="AT93" s="359"/>
    </row>
    <row r="94" spans="1:46" ht="17.100000000000001" customHeight="1" x14ac:dyDescent="0.15">
      <c r="A94" s="340">
        <v>21</v>
      </c>
      <c r="B94" s="341">
        <v>9513</v>
      </c>
      <c r="C94" s="390" t="s">
        <v>31237</v>
      </c>
      <c r="D94" s="423"/>
      <c r="E94" s="424"/>
      <c r="F94" s="943"/>
      <c r="G94" s="944"/>
      <c r="L94" s="495"/>
      <c r="M94" s="862" t="s">
        <v>30827</v>
      </c>
      <c r="N94" s="862"/>
      <c r="O94" s="862"/>
      <c r="P94" s="862"/>
      <c r="Q94" s="862"/>
      <c r="R94" s="862"/>
      <c r="S94" s="862"/>
      <c r="T94" s="862"/>
      <c r="U94" s="912"/>
      <c r="V94" s="973"/>
      <c r="W94" s="447"/>
      <c r="X94" s="474"/>
      <c r="Y94" s="343"/>
      <c r="Z94" s="343"/>
      <c r="AA94" s="343"/>
      <c r="AB94" s="396"/>
      <c r="AC94" s="396"/>
      <c r="AD94" s="427"/>
      <c r="AE94" s="427"/>
      <c r="AF94" s="396"/>
      <c r="AG94" s="396"/>
      <c r="AH94" s="396"/>
      <c r="AI94" s="396"/>
      <c r="AJ94" s="396"/>
      <c r="AK94" s="396"/>
      <c r="AL94" s="427"/>
      <c r="AM94" s="964"/>
      <c r="AN94" s="964"/>
      <c r="AO94" s="575"/>
      <c r="AP94" s="575"/>
      <c r="AQ94" s="575"/>
      <c r="AR94" s="592"/>
      <c r="AS94" s="489">
        <f>ROUND(ROUND(I95*S96,0)*$U$135,0)</f>
        <v>300</v>
      </c>
      <c r="AT94" s="359"/>
    </row>
    <row r="95" spans="1:46" ht="17.100000000000001" customHeight="1" x14ac:dyDescent="0.15">
      <c r="A95" s="340">
        <v>21</v>
      </c>
      <c r="B95" s="341">
        <v>9514</v>
      </c>
      <c r="C95" s="390" t="s">
        <v>31238</v>
      </c>
      <c r="D95" s="423"/>
      <c r="E95" s="424"/>
      <c r="F95" s="943"/>
      <c r="G95" s="944"/>
      <c r="I95" s="965">
        <f>'5療養介護(基本)'!I94</f>
        <v>445</v>
      </c>
      <c r="J95" s="965"/>
      <c r="K95" s="152" t="s">
        <v>15624</v>
      </c>
      <c r="L95" s="387"/>
      <c r="M95" s="865"/>
      <c r="N95" s="865"/>
      <c r="O95" s="865"/>
      <c r="P95" s="865"/>
      <c r="Q95" s="865"/>
      <c r="R95" s="865"/>
      <c r="S95" s="865"/>
      <c r="T95" s="865"/>
      <c r="U95" s="912"/>
      <c r="V95" s="973"/>
      <c r="W95" s="948" t="s">
        <v>30822</v>
      </c>
      <c r="X95" s="949"/>
      <c r="Y95" s="949"/>
      <c r="Z95" s="949"/>
      <c r="AA95" s="949"/>
      <c r="AB95" s="934" t="s">
        <v>30823</v>
      </c>
      <c r="AC95" s="935"/>
      <c r="AD95" s="935"/>
      <c r="AE95" s="935"/>
      <c r="AF95" s="935"/>
      <c r="AG95" s="935"/>
      <c r="AH95" s="935"/>
      <c r="AI95" s="935"/>
      <c r="AJ95" s="935"/>
      <c r="AK95" s="935"/>
      <c r="AL95" s="427" t="s">
        <v>15626</v>
      </c>
      <c r="AM95" s="964">
        <f>$AM$8</f>
        <v>0.7</v>
      </c>
      <c r="AN95" s="964"/>
      <c r="AO95" s="575"/>
      <c r="AP95" s="575"/>
      <c r="AQ95" s="575"/>
      <c r="AR95" s="592"/>
      <c r="AS95" s="489">
        <f>ROUND(ROUND(ROUND(I95*S96,0)*$U$135,0)*AM95,0)</f>
        <v>210</v>
      </c>
      <c r="AT95" s="359"/>
    </row>
    <row r="96" spans="1:46" ht="17.100000000000001" customHeight="1" x14ac:dyDescent="0.15">
      <c r="A96" s="340">
        <v>21</v>
      </c>
      <c r="B96" s="341">
        <v>9814</v>
      </c>
      <c r="C96" s="390" t="s">
        <v>31239</v>
      </c>
      <c r="D96" s="423"/>
      <c r="E96" s="424"/>
      <c r="F96" s="943"/>
      <c r="G96" s="944"/>
      <c r="K96" s="152"/>
      <c r="L96" s="387"/>
      <c r="M96" s="338"/>
      <c r="N96" s="338"/>
      <c r="O96" s="338"/>
      <c r="P96" s="338"/>
      <c r="Q96" s="338"/>
      <c r="R96" s="391" t="s">
        <v>15626</v>
      </c>
      <c r="S96" s="936">
        <f>$S$12</f>
        <v>0.96499999999999997</v>
      </c>
      <c r="T96" s="936"/>
      <c r="U96" s="912"/>
      <c r="V96" s="973"/>
      <c r="W96" s="948"/>
      <c r="X96" s="949"/>
      <c r="Y96" s="949"/>
      <c r="Z96" s="949"/>
      <c r="AA96" s="949"/>
      <c r="AB96" s="934" t="s">
        <v>30825</v>
      </c>
      <c r="AC96" s="935"/>
      <c r="AD96" s="935"/>
      <c r="AE96" s="935"/>
      <c r="AF96" s="935"/>
      <c r="AG96" s="935"/>
      <c r="AH96" s="935"/>
      <c r="AI96" s="935"/>
      <c r="AJ96" s="935"/>
      <c r="AK96" s="935"/>
      <c r="AL96" s="427" t="s">
        <v>15626</v>
      </c>
      <c r="AM96" s="964">
        <f>$AM$9</f>
        <v>0.5</v>
      </c>
      <c r="AN96" s="964"/>
      <c r="AO96" s="568"/>
      <c r="AP96" s="568"/>
      <c r="AQ96" s="568"/>
      <c r="AR96" s="599"/>
      <c r="AS96" s="489">
        <f>ROUND(ROUND(ROUND(I95*S96,0)*$U$135,0)*AM96,0)</f>
        <v>150</v>
      </c>
      <c r="AT96" s="359"/>
    </row>
    <row r="97" spans="1:46" ht="17.100000000000001" customHeight="1" x14ac:dyDescent="0.15">
      <c r="A97" s="340">
        <v>21</v>
      </c>
      <c r="B97" s="341">
        <v>9521</v>
      </c>
      <c r="C97" s="390" t="s">
        <v>31240</v>
      </c>
      <c r="D97" s="423"/>
      <c r="E97" s="424"/>
      <c r="F97" s="943"/>
      <c r="G97" s="944"/>
      <c r="H97" s="862" t="s">
        <v>30831</v>
      </c>
      <c r="I97" s="862"/>
      <c r="J97" s="862"/>
      <c r="K97" s="862"/>
      <c r="L97" s="863"/>
      <c r="M97" s="396"/>
      <c r="N97" s="400"/>
      <c r="O97" s="400"/>
      <c r="P97" s="400"/>
      <c r="Q97" s="400"/>
      <c r="R97" s="400"/>
      <c r="S97" s="400"/>
      <c r="T97" s="400"/>
      <c r="U97" s="912"/>
      <c r="V97" s="973"/>
      <c r="W97" s="330"/>
      <c r="X97" s="454"/>
      <c r="Y97" s="459"/>
      <c r="Z97" s="568"/>
      <c r="AA97" s="343"/>
      <c r="AB97" s="396"/>
      <c r="AC97" s="396"/>
      <c r="AD97" s="427"/>
      <c r="AE97" s="427"/>
      <c r="AF97" s="396"/>
      <c r="AG97" s="396"/>
      <c r="AH97" s="396"/>
      <c r="AI97" s="396"/>
      <c r="AJ97" s="396"/>
      <c r="AK97" s="396"/>
      <c r="AL97" s="427"/>
      <c r="AM97" s="964"/>
      <c r="AN97" s="964"/>
      <c r="AO97" s="575"/>
      <c r="AP97" s="575"/>
      <c r="AQ97" s="575"/>
      <c r="AR97" s="592"/>
      <c r="AS97" s="489">
        <f>ROUND(I101*$U$135,0)</f>
        <v>286</v>
      </c>
      <c r="AT97" s="359"/>
    </row>
    <row r="98" spans="1:46" ht="17.100000000000001" customHeight="1" x14ac:dyDescent="0.15">
      <c r="A98" s="340">
        <v>21</v>
      </c>
      <c r="B98" s="341">
        <v>9522</v>
      </c>
      <c r="C98" s="390" t="s">
        <v>31241</v>
      </c>
      <c r="D98" s="423"/>
      <c r="E98" s="424"/>
      <c r="F98" s="943"/>
      <c r="G98" s="944"/>
      <c r="H98" s="865"/>
      <c r="I98" s="865"/>
      <c r="J98" s="865"/>
      <c r="K98" s="865"/>
      <c r="L98" s="866"/>
      <c r="M98" s="151"/>
      <c r="N98" s="151"/>
      <c r="O98" s="151"/>
      <c r="P98" s="151"/>
      <c r="Q98" s="151"/>
      <c r="R98" s="151"/>
      <c r="S98" s="151"/>
      <c r="T98" s="151"/>
      <c r="U98" s="912"/>
      <c r="V98" s="973"/>
      <c r="W98" s="948" t="s">
        <v>30822</v>
      </c>
      <c r="X98" s="949"/>
      <c r="Y98" s="949"/>
      <c r="Z98" s="949"/>
      <c r="AA98" s="949"/>
      <c r="AB98" s="934" t="s">
        <v>30823</v>
      </c>
      <c r="AC98" s="935"/>
      <c r="AD98" s="935"/>
      <c r="AE98" s="935"/>
      <c r="AF98" s="935"/>
      <c r="AG98" s="935"/>
      <c r="AH98" s="935"/>
      <c r="AI98" s="935"/>
      <c r="AJ98" s="935"/>
      <c r="AK98" s="935"/>
      <c r="AL98" s="427" t="s">
        <v>15626</v>
      </c>
      <c r="AM98" s="964">
        <f>$AM$8</f>
        <v>0.7</v>
      </c>
      <c r="AN98" s="964"/>
      <c r="AO98" s="575"/>
      <c r="AP98" s="575"/>
      <c r="AQ98" s="575"/>
      <c r="AR98" s="592"/>
      <c r="AS98" s="489">
        <f>ROUND(ROUND(I101*$U$135,0)*AM98,0)</f>
        <v>200</v>
      </c>
      <c r="AT98" s="359"/>
    </row>
    <row r="99" spans="1:46" ht="17.100000000000001" customHeight="1" x14ac:dyDescent="0.15">
      <c r="A99" s="340">
        <v>21</v>
      </c>
      <c r="B99" s="341">
        <v>9821</v>
      </c>
      <c r="C99" s="390" t="s">
        <v>31242</v>
      </c>
      <c r="D99" s="423"/>
      <c r="E99" s="424"/>
      <c r="F99" s="943"/>
      <c r="G99" s="944"/>
      <c r="H99" s="424"/>
      <c r="I99" s="424"/>
      <c r="J99" s="424"/>
      <c r="K99" s="424"/>
      <c r="L99" s="425"/>
      <c r="M99" s="151"/>
      <c r="N99" s="151"/>
      <c r="O99" s="151"/>
      <c r="P99" s="151"/>
      <c r="Q99" s="151"/>
      <c r="R99" s="151"/>
      <c r="S99" s="151"/>
      <c r="T99" s="151"/>
      <c r="U99" s="912"/>
      <c r="V99" s="973"/>
      <c r="W99" s="948"/>
      <c r="X99" s="949"/>
      <c r="Y99" s="949"/>
      <c r="Z99" s="949"/>
      <c r="AA99" s="949"/>
      <c r="AB99" s="934" t="s">
        <v>30825</v>
      </c>
      <c r="AC99" s="935"/>
      <c r="AD99" s="935"/>
      <c r="AE99" s="935"/>
      <c r="AF99" s="935"/>
      <c r="AG99" s="935"/>
      <c r="AH99" s="935"/>
      <c r="AI99" s="935"/>
      <c r="AJ99" s="935"/>
      <c r="AK99" s="935"/>
      <c r="AL99" s="427" t="s">
        <v>15626</v>
      </c>
      <c r="AM99" s="964">
        <f>$AM$9</f>
        <v>0.5</v>
      </c>
      <c r="AN99" s="964"/>
      <c r="AO99" s="575"/>
      <c r="AP99" s="575"/>
      <c r="AQ99" s="575"/>
      <c r="AR99" s="592"/>
      <c r="AS99" s="489">
        <f>ROUND(ROUND(I101*$U$135,0)*AM99,0)</f>
        <v>143</v>
      </c>
      <c r="AT99" s="359"/>
    </row>
    <row r="100" spans="1:46" ht="17.100000000000001" customHeight="1" x14ac:dyDescent="0.15">
      <c r="A100" s="340">
        <v>21</v>
      </c>
      <c r="B100" s="341">
        <v>9523</v>
      </c>
      <c r="C100" s="390" t="s">
        <v>31243</v>
      </c>
      <c r="D100" s="423"/>
      <c r="E100" s="424"/>
      <c r="F100" s="943"/>
      <c r="G100" s="944"/>
      <c r="H100" s="424"/>
      <c r="I100" s="424"/>
      <c r="L100" s="495"/>
      <c r="M100" s="862" t="s">
        <v>30827</v>
      </c>
      <c r="N100" s="862"/>
      <c r="O100" s="862"/>
      <c r="P100" s="862"/>
      <c r="Q100" s="862"/>
      <c r="R100" s="862"/>
      <c r="S100" s="862"/>
      <c r="T100" s="862"/>
      <c r="U100" s="912"/>
      <c r="V100" s="973"/>
      <c r="W100" s="447"/>
      <c r="X100" s="474"/>
      <c r="Y100" s="343"/>
      <c r="Z100" s="343"/>
      <c r="AA100" s="343"/>
      <c r="AB100" s="396"/>
      <c r="AC100" s="396"/>
      <c r="AD100" s="427"/>
      <c r="AE100" s="427"/>
      <c r="AF100" s="396"/>
      <c r="AG100" s="396"/>
      <c r="AH100" s="396"/>
      <c r="AI100" s="396"/>
      <c r="AJ100" s="396"/>
      <c r="AK100" s="396"/>
      <c r="AL100" s="427"/>
      <c r="AM100" s="964"/>
      <c r="AN100" s="964"/>
      <c r="AO100" s="575"/>
      <c r="AP100" s="575"/>
      <c r="AQ100" s="575"/>
      <c r="AR100" s="592"/>
      <c r="AS100" s="489">
        <f>ROUND(ROUND(I101*S102,0)*$U$135,0)</f>
        <v>277</v>
      </c>
      <c r="AT100" s="359"/>
    </row>
    <row r="101" spans="1:46" ht="17.100000000000001" customHeight="1" x14ac:dyDescent="0.15">
      <c r="A101" s="340">
        <v>21</v>
      </c>
      <c r="B101" s="341">
        <v>9524</v>
      </c>
      <c r="C101" s="390" t="s">
        <v>31244</v>
      </c>
      <c r="D101" s="423"/>
      <c r="E101" s="424"/>
      <c r="F101" s="943"/>
      <c r="G101" s="944"/>
      <c r="H101" s="424"/>
      <c r="I101" s="965">
        <f>'5療養介護(基本)'!I100</f>
        <v>409</v>
      </c>
      <c r="J101" s="965"/>
      <c r="K101" s="152" t="s">
        <v>15624</v>
      </c>
      <c r="L101" s="425"/>
      <c r="M101" s="865"/>
      <c r="N101" s="865"/>
      <c r="O101" s="865"/>
      <c r="P101" s="865"/>
      <c r="Q101" s="865"/>
      <c r="R101" s="865"/>
      <c r="S101" s="865"/>
      <c r="T101" s="865"/>
      <c r="U101" s="912"/>
      <c r="V101" s="973"/>
      <c r="W101" s="948" t="s">
        <v>30822</v>
      </c>
      <c r="X101" s="949"/>
      <c r="Y101" s="949"/>
      <c r="Z101" s="949"/>
      <c r="AA101" s="949"/>
      <c r="AB101" s="934" t="s">
        <v>30823</v>
      </c>
      <c r="AC101" s="935"/>
      <c r="AD101" s="935"/>
      <c r="AE101" s="935"/>
      <c r="AF101" s="935"/>
      <c r="AG101" s="935"/>
      <c r="AH101" s="935"/>
      <c r="AI101" s="935"/>
      <c r="AJ101" s="935"/>
      <c r="AK101" s="935"/>
      <c r="AL101" s="427" t="s">
        <v>15626</v>
      </c>
      <c r="AM101" s="964">
        <f>$AM$8</f>
        <v>0.7</v>
      </c>
      <c r="AN101" s="964"/>
      <c r="AO101" s="575"/>
      <c r="AP101" s="575"/>
      <c r="AQ101" s="575"/>
      <c r="AR101" s="592"/>
      <c r="AS101" s="489">
        <f>ROUND(ROUND(ROUND(I101*S102,0)*$U$135,0)*AM101,0)</f>
        <v>194</v>
      </c>
      <c r="AT101" s="359"/>
    </row>
    <row r="102" spans="1:46" ht="17.100000000000001" customHeight="1" x14ac:dyDescent="0.15">
      <c r="A102" s="340">
        <v>21</v>
      </c>
      <c r="B102" s="341">
        <v>9822</v>
      </c>
      <c r="C102" s="390" t="s">
        <v>31245</v>
      </c>
      <c r="D102" s="423"/>
      <c r="E102" s="424"/>
      <c r="F102" s="943"/>
      <c r="G102" s="944"/>
      <c r="H102" s="424"/>
      <c r="I102" s="618"/>
      <c r="J102" s="618"/>
      <c r="K102" s="618"/>
      <c r="L102" s="619"/>
      <c r="M102" s="338"/>
      <c r="N102" s="338"/>
      <c r="O102" s="338"/>
      <c r="P102" s="338"/>
      <c r="Q102" s="338"/>
      <c r="R102" s="391" t="s">
        <v>15626</v>
      </c>
      <c r="S102" s="936">
        <f>$S$12</f>
        <v>0.96499999999999997</v>
      </c>
      <c r="T102" s="936"/>
      <c r="U102" s="912"/>
      <c r="V102" s="973"/>
      <c r="W102" s="948"/>
      <c r="X102" s="949"/>
      <c r="Y102" s="949"/>
      <c r="Z102" s="949"/>
      <c r="AA102" s="949"/>
      <c r="AB102" s="934" t="s">
        <v>30825</v>
      </c>
      <c r="AC102" s="935"/>
      <c r="AD102" s="935"/>
      <c r="AE102" s="935"/>
      <c r="AF102" s="935"/>
      <c r="AG102" s="935"/>
      <c r="AH102" s="935"/>
      <c r="AI102" s="935"/>
      <c r="AJ102" s="935"/>
      <c r="AK102" s="935"/>
      <c r="AL102" s="427" t="s">
        <v>15626</v>
      </c>
      <c r="AM102" s="964">
        <f>$AM$9</f>
        <v>0.5</v>
      </c>
      <c r="AN102" s="964"/>
      <c r="AO102" s="568"/>
      <c r="AP102" s="568"/>
      <c r="AQ102" s="568"/>
      <c r="AR102" s="599"/>
      <c r="AS102" s="489">
        <f>ROUND(ROUND(ROUND(I101*S102,0)*$U$135,0)*AM102,0)</f>
        <v>139</v>
      </c>
      <c r="AT102" s="359"/>
    </row>
    <row r="103" spans="1:46" ht="17.100000000000001" customHeight="1" x14ac:dyDescent="0.15">
      <c r="A103" s="340">
        <v>21</v>
      </c>
      <c r="B103" s="341">
        <v>9531</v>
      </c>
      <c r="C103" s="390" t="s">
        <v>31246</v>
      </c>
      <c r="D103" s="423"/>
      <c r="E103" s="424"/>
      <c r="F103" s="423"/>
      <c r="G103" s="425"/>
      <c r="H103" s="862" t="s">
        <v>30838</v>
      </c>
      <c r="I103" s="862"/>
      <c r="J103" s="862"/>
      <c r="K103" s="862"/>
      <c r="L103" s="863"/>
      <c r="M103" s="396"/>
      <c r="N103" s="400"/>
      <c r="O103" s="400"/>
      <c r="P103" s="400"/>
      <c r="Q103" s="400"/>
      <c r="R103" s="400"/>
      <c r="S103" s="400"/>
      <c r="T103" s="400"/>
      <c r="U103" s="912"/>
      <c r="V103" s="973"/>
      <c r="W103" s="330"/>
      <c r="X103" s="454"/>
      <c r="Y103" s="459"/>
      <c r="Z103" s="568"/>
      <c r="AA103" s="343"/>
      <c r="AB103" s="396"/>
      <c r="AC103" s="396"/>
      <c r="AD103" s="427"/>
      <c r="AE103" s="427"/>
      <c r="AF103" s="396"/>
      <c r="AG103" s="396"/>
      <c r="AH103" s="396"/>
      <c r="AI103" s="396"/>
      <c r="AJ103" s="396"/>
      <c r="AK103" s="396"/>
      <c r="AL103" s="427"/>
      <c r="AM103" s="964"/>
      <c r="AN103" s="964"/>
      <c r="AO103" s="575"/>
      <c r="AP103" s="575"/>
      <c r="AQ103" s="575"/>
      <c r="AR103" s="592"/>
      <c r="AS103" s="489">
        <f>ROUND(I107*$U$135,0)</f>
        <v>267</v>
      </c>
      <c r="AT103" s="359"/>
    </row>
    <row r="104" spans="1:46" ht="17.100000000000001" customHeight="1" x14ac:dyDescent="0.15">
      <c r="A104" s="340">
        <v>21</v>
      </c>
      <c r="B104" s="341">
        <v>9532</v>
      </c>
      <c r="C104" s="390" t="s">
        <v>31247</v>
      </c>
      <c r="D104" s="423"/>
      <c r="E104" s="424"/>
      <c r="F104" s="423"/>
      <c r="G104" s="425"/>
      <c r="H104" s="865"/>
      <c r="I104" s="865"/>
      <c r="J104" s="865"/>
      <c r="K104" s="865"/>
      <c r="L104" s="866"/>
      <c r="M104" s="151"/>
      <c r="N104" s="151"/>
      <c r="O104" s="151"/>
      <c r="P104" s="151"/>
      <c r="Q104" s="151"/>
      <c r="R104" s="151"/>
      <c r="S104" s="151"/>
      <c r="T104" s="151"/>
      <c r="U104" s="912"/>
      <c r="V104" s="973"/>
      <c r="W104" s="948" t="s">
        <v>30822</v>
      </c>
      <c r="X104" s="949"/>
      <c r="Y104" s="949"/>
      <c r="Z104" s="949"/>
      <c r="AA104" s="949"/>
      <c r="AB104" s="934" t="s">
        <v>30823</v>
      </c>
      <c r="AC104" s="935"/>
      <c r="AD104" s="935"/>
      <c r="AE104" s="935"/>
      <c r="AF104" s="935"/>
      <c r="AG104" s="935"/>
      <c r="AH104" s="935"/>
      <c r="AI104" s="935"/>
      <c r="AJ104" s="935"/>
      <c r="AK104" s="935"/>
      <c r="AL104" s="427" t="s">
        <v>15626</v>
      </c>
      <c r="AM104" s="964">
        <f>$AM$8</f>
        <v>0.7</v>
      </c>
      <c r="AN104" s="964"/>
      <c r="AO104" s="575"/>
      <c r="AP104" s="575"/>
      <c r="AQ104" s="575"/>
      <c r="AR104" s="592"/>
      <c r="AS104" s="489">
        <f>ROUND(ROUND(I107*$U$135,0)*AM104,0)</f>
        <v>187</v>
      </c>
      <c r="AT104" s="359"/>
    </row>
    <row r="105" spans="1:46" ht="17.100000000000001" customHeight="1" x14ac:dyDescent="0.15">
      <c r="A105" s="340">
        <v>21</v>
      </c>
      <c r="B105" s="341">
        <v>9829</v>
      </c>
      <c r="C105" s="390" t="s">
        <v>31248</v>
      </c>
      <c r="D105" s="423"/>
      <c r="E105" s="424"/>
      <c r="F105" s="423"/>
      <c r="G105" s="425"/>
      <c r="K105" s="152"/>
      <c r="L105" s="387"/>
      <c r="M105" s="151"/>
      <c r="N105" s="151"/>
      <c r="O105" s="151"/>
      <c r="P105" s="151"/>
      <c r="Q105" s="151"/>
      <c r="R105" s="151"/>
      <c r="S105" s="151"/>
      <c r="T105" s="151"/>
      <c r="U105" s="912"/>
      <c r="V105" s="973"/>
      <c r="W105" s="948"/>
      <c r="X105" s="949"/>
      <c r="Y105" s="949"/>
      <c r="Z105" s="949"/>
      <c r="AA105" s="949"/>
      <c r="AB105" s="934" t="s">
        <v>30825</v>
      </c>
      <c r="AC105" s="935"/>
      <c r="AD105" s="935"/>
      <c r="AE105" s="935"/>
      <c r="AF105" s="935"/>
      <c r="AG105" s="935"/>
      <c r="AH105" s="935"/>
      <c r="AI105" s="935"/>
      <c r="AJ105" s="935"/>
      <c r="AK105" s="935"/>
      <c r="AL105" s="427" t="s">
        <v>15626</v>
      </c>
      <c r="AM105" s="964">
        <f>$AM$9</f>
        <v>0.5</v>
      </c>
      <c r="AN105" s="964"/>
      <c r="AO105" s="575"/>
      <c r="AP105" s="575"/>
      <c r="AQ105" s="575"/>
      <c r="AR105" s="592"/>
      <c r="AS105" s="489">
        <f>ROUND(ROUND(I107*$U$135,0)*AM105,0)</f>
        <v>134</v>
      </c>
      <c r="AT105" s="359"/>
    </row>
    <row r="106" spans="1:46" ht="17.100000000000001" customHeight="1" x14ac:dyDescent="0.15">
      <c r="A106" s="340">
        <v>21</v>
      </c>
      <c r="B106" s="341">
        <v>9533</v>
      </c>
      <c r="C106" s="390" t="s">
        <v>31249</v>
      </c>
      <c r="D106" s="423"/>
      <c r="E106" s="424"/>
      <c r="F106" s="423"/>
      <c r="G106" s="425"/>
      <c r="L106" s="495"/>
      <c r="M106" s="862" t="s">
        <v>30827</v>
      </c>
      <c r="N106" s="862"/>
      <c r="O106" s="862"/>
      <c r="P106" s="862"/>
      <c r="Q106" s="862"/>
      <c r="R106" s="862"/>
      <c r="S106" s="862"/>
      <c r="T106" s="862"/>
      <c r="U106" s="912"/>
      <c r="V106" s="973"/>
      <c r="W106" s="447"/>
      <c r="X106" s="474"/>
      <c r="Y106" s="343"/>
      <c r="Z106" s="343"/>
      <c r="AA106" s="343"/>
      <c r="AB106" s="396"/>
      <c r="AC106" s="396"/>
      <c r="AD106" s="427"/>
      <c r="AE106" s="427"/>
      <c r="AF106" s="396"/>
      <c r="AG106" s="396"/>
      <c r="AH106" s="396"/>
      <c r="AI106" s="396"/>
      <c r="AJ106" s="396"/>
      <c r="AK106" s="396"/>
      <c r="AL106" s="427"/>
      <c r="AM106" s="964"/>
      <c r="AN106" s="964"/>
      <c r="AO106" s="575"/>
      <c r="AP106" s="575"/>
      <c r="AQ106" s="575"/>
      <c r="AR106" s="592"/>
      <c r="AS106" s="489">
        <f>ROUND(ROUND(I107*S108,0)*$U$135,0)</f>
        <v>258</v>
      </c>
      <c r="AT106" s="359"/>
    </row>
    <row r="107" spans="1:46" ht="17.100000000000001" customHeight="1" x14ac:dyDescent="0.15">
      <c r="A107" s="340">
        <v>21</v>
      </c>
      <c r="B107" s="341">
        <v>9534</v>
      </c>
      <c r="C107" s="390" t="s">
        <v>31250</v>
      </c>
      <c r="D107" s="423"/>
      <c r="E107" s="424"/>
      <c r="F107" s="423"/>
      <c r="G107" s="425"/>
      <c r="I107" s="965">
        <f>'5療養介護(基本)'!I106</f>
        <v>381</v>
      </c>
      <c r="J107" s="965"/>
      <c r="K107" s="152" t="s">
        <v>15624</v>
      </c>
      <c r="L107" s="387"/>
      <c r="M107" s="865"/>
      <c r="N107" s="865"/>
      <c r="O107" s="865"/>
      <c r="P107" s="865"/>
      <c r="Q107" s="865"/>
      <c r="R107" s="865"/>
      <c r="S107" s="865"/>
      <c r="T107" s="865"/>
      <c r="U107" s="912"/>
      <c r="V107" s="973"/>
      <c r="W107" s="948" t="s">
        <v>30822</v>
      </c>
      <c r="X107" s="949"/>
      <c r="Y107" s="949"/>
      <c r="Z107" s="949"/>
      <c r="AA107" s="949"/>
      <c r="AB107" s="934" t="s">
        <v>30823</v>
      </c>
      <c r="AC107" s="935"/>
      <c r="AD107" s="935"/>
      <c r="AE107" s="935"/>
      <c r="AF107" s="935"/>
      <c r="AG107" s="935"/>
      <c r="AH107" s="935"/>
      <c r="AI107" s="935"/>
      <c r="AJ107" s="935"/>
      <c r="AK107" s="935"/>
      <c r="AL107" s="427" t="s">
        <v>15626</v>
      </c>
      <c r="AM107" s="964">
        <f>$AM$8</f>
        <v>0.7</v>
      </c>
      <c r="AN107" s="964"/>
      <c r="AO107" s="575"/>
      <c r="AP107" s="575"/>
      <c r="AQ107" s="575"/>
      <c r="AR107" s="592"/>
      <c r="AS107" s="489">
        <f>ROUND(ROUND(ROUND(I107*S108,0)*$U$135,0)*AM107,0)</f>
        <v>181</v>
      </c>
      <c r="AT107" s="359"/>
    </row>
    <row r="108" spans="1:46" ht="17.100000000000001" customHeight="1" x14ac:dyDescent="0.15">
      <c r="A108" s="340">
        <v>21</v>
      </c>
      <c r="B108" s="341">
        <v>9830</v>
      </c>
      <c r="C108" s="390" t="s">
        <v>31251</v>
      </c>
      <c r="D108" s="423"/>
      <c r="E108" s="424"/>
      <c r="F108" s="423"/>
      <c r="G108" s="425"/>
      <c r="K108" s="152"/>
      <c r="L108" s="387"/>
      <c r="M108" s="338"/>
      <c r="N108" s="338"/>
      <c r="O108" s="338"/>
      <c r="P108" s="338"/>
      <c r="Q108" s="338"/>
      <c r="R108" s="391" t="s">
        <v>15626</v>
      </c>
      <c r="S108" s="936">
        <f>$S$12</f>
        <v>0.96499999999999997</v>
      </c>
      <c r="T108" s="936"/>
      <c r="U108" s="912"/>
      <c r="V108" s="973"/>
      <c r="W108" s="948"/>
      <c r="X108" s="949"/>
      <c r="Y108" s="949"/>
      <c r="Z108" s="949"/>
      <c r="AA108" s="949"/>
      <c r="AB108" s="934" t="s">
        <v>30825</v>
      </c>
      <c r="AC108" s="935"/>
      <c r="AD108" s="935"/>
      <c r="AE108" s="935"/>
      <c r="AF108" s="935"/>
      <c r="AG108" s="935"/>
      <c r="AH108" s="935"/>
      <c r="AI108" s="935"/>
      <c r="AJ108" s="935"/>
      <c r="AK108" s="935"/>
      <c r="AL108" s="427" t="s">
        <v>15626</v>
      </c>
      <c r="AM108" s="964">
        <f>$AM$9</f>
        <v>0.5</v>
      </c>
      <c r="AN108" s="964"/>
      <c r="AO108" s="568"/>
      <c r="AP108" s="568"/>
      <c r="AQ108" s="568"/>
      <c r="AR108" s="599"/>
      <c r="AS108" s="489">
        <f>ROUND(ROUND(ROUND(I107*S108,0)*$U$135,0)*AM108,0)</f>
        <v>129</v>
      </c>
      <c r="AT108" s="359"/>
    </row>
    <row r="109" spans="1:46" ht="17.100000000000001" customHeight="1" x14ac:dyDescent="0.15">
      <c r="A109" s="340">
        <v>21</v>
      </c>
      <c r="B109" s="341">
        <v>9541</v>
      </c>
      <c r="C109" s="390" t="s">
        <v>31252</v>
      </c>
      <c r="D109" s="423"/>
      <c r="E109" s="424"/>
      <c r="F109" s="423"/>
      <c r="G109" s="425"/>
      <c r="H109" s="862" t="s">
        <v>30845</v>
      </c>
      <c r="I109" s="862"/>
      <c r="J109" s="862"/>
      <c r="K109" s="862"/>
      <c r="L109" s="863"/>
      <c r="M109" s="396"/>
      <c r="N109" s="400"/>
      <c r="O109" s="400"/>
      <c r="P109" s="400"/>
      <c r="Q109" s="400"/>
      <c r="R109" s="400"/>
      <c r="S109" s="400"/>
      <c r="T109" s="400"/>
      <c r="U109" s="901" t="s">
        <v>15626</v>
      </c>
      <c r="V109" s="903"/>
      <c r="W109" s="330"/>
      <c r="X109" s="454"/>
      <c r="Y109" s="459"/>
      <c r="Z109" s="568"/>
      <c r="AA109" s="343"/>
      <c r="AB109" s="396"/>
      <c r="AC109" s="396"/>
      <c r="AD109" s="427"/>
      <c r="AE109" s="427"/>
      <c r="AF109" s="396"/>
      <c r="AG109" s="396"/>
      <c r="AH109" s="396"/>
      <c r="AI109" s="396"/>
      <c r="AJ109" s="396"/>
      <c r="AK109" s="396"/>
      <c r="AL109" s="427"/>
      <c r="AM109" s="964"/>
      <c r="AN109" s="964"/>
      <c r="AO109" s="575"/>
      <c r="AP109" s="575"/>
      <c r="AQ109" s="575"/>
      <c r="AR109" s="592"/>
      <c r="AS109" s="489">
        <f>ROUND(I113*$U$135,0)</f>
        <v>253</v>
      </c>
      <c r="AT109" s="359"/>
    </row>
    <row r="110" spans="1:46" ht="17.100000000000001" customHeight="1" x14ac:dyDescent="0.15">
      <c r="A110" s="340">
        <v>21</v>
      </c>
      <c r="B110" s="341">
        <v>9542</v>
      </c>
      <c r="C110" s="390" t="s">
        <v>31253</v>
      </c>
      <c r="D110" s="423"/>
      <c r="E110" s="424"/>
      <c r="F110" s="423"/>
      <c r="G110" s="425"/>
      <c r="H110" s="865"/>
      <c r="I110" s="865"/>
      <c r="J110" s="865"/>
      <c r="K110" s="865"/>
      <c r="L110" s="866"/>
      <c r="M110" s="151"/>
      <c r="N110" s="151"/>
      <c r="O110" s="151"/>
      <c r="P110" s="151"/>
      <c r="Q110" s="151"/>
      <c r="R110" s="151"/>
      <c r="S110" s="151"/>
      <c r="T110" s="151"/>
      <c r="U110" s="966">
        <f>U75</f>
        <v>0.7</v>
      </c>
      <c r="V110" s="967"/>
      <c r="W110" s="948" t="s">
        <v>30822</v>
      </c>
      <c r="X110" s="949"/>
      <c r="Y110" s="949"/>
      <c r="Z110" s="949"/>
      <c r="AA110" s="949"/>
      <c r="AB110" s="934" t="s">
        <v>30823</v>
      </c>
      <c r="AC110" s="935"/>
      <c r="AD110" s="935"/>
      <c r="AE110" s="935"/>
      <c r="AF110" s="935"/>
      <c r="AG110" s="935"/>
      <c r="AH110" s="935"/>
      <c r="AI110" s="935"/>
      <c r="AJ110" s="935"/>
      <c r="AK110" s="935"/>
      <c r="AL110" s="427" t="s">
        <v>15626</v>
      </c>
      <c r="AM110" s="964">
        <f>$AM$8</f>
        <v>0.7</v>
      </c>
      <c r="AN110" s="964"/>
      <c r="AO110" s="575"/>
      <c r="AP110" s="575"/>
      <c r="AQ110" s="575"/>
      <c r="AR110" s="592"/>
      <c r="AS110" s="489">
        <f>ROUND(ROUND(I113*$U$135,0)*AM110,0)</f>
        <v>177</v>
      </c>
      <c r="AT110" s="359"/>
    </row>
    <row r="111" spans="1:46" ht="17.100000000000001" customHeight="1" x14ac:dyDescent="0.15">
      <c r="A111" s="340">
        <v>21</v>
      </c>
      <c r="B111" s="341">
        <v>9837</v>
      </c>
      <c r="C111" s="390" t="s">
        <v>31254</v>
      </c>
      <c r="D111" s="423"/>
      <c r="E111" s="424"/>
      <c r="F111" s="423"/>
      <c r="G111" s="425"/>
      <c r="H111" s="431"/>
      <c r="I111" s="431"/>
      <c r="J111" s="431"/>
      <c r="K111" s="431"/>
      <c r="L111" s="432"/>
      <c r="M111" s="151"/>
      <c r="N111" s="151"/>
      <c r="O111" s="151"/>
      <c r="P111" s="151"/>
      <c r="Q111" s="151"/>
      <c r="R111" s="151"/>
      <c r="S111" s="151"/>
      <c r="T111" s="151"/>
      <c r="U111" s="609"/>
      <c r="V111" s="610"/>
      <c r="W111" s="948"/>
      <c r="X111" s="949"/>
      <c r="Y111" s="949"/>
      <c r="Z111" s="949"/>
      <c r="AA111" s="949"/>
      <c r="AB111" s="934" t="s">
        <v>30825</v>
      </c>
      <c r="AC111" s="935"/>
      <c r="AD111" s="935"/>
      <c r="AE111" s="935"/>
      <c r="AF111" s="935"/>
      <c r="AG111" s="935"/>
      <c r="AH111" s="935"/>
      <c r="AI111" s="935"/>
      <c r="AJ111" s="935"/>
      <c r="AK111" s="935"/>
      <c r="AL111" s="427" t="s">
        <v>15626</v>
      </c>
      <c r="AM111" s="964">
        <f>$AM$9</f>
        <v>0.5</v>
      </c>
      <c r="AN111" s="964"/>
      <c r="AO111" s="575"/>
      <c r="AP111" s="575"/>
      <c r="AQ111" s="575"/>
      <c r="AR111" s="592"/>
      <c r="AS111" s="489">
        <f>ROUND(ROUND(I113*$U$135,0)*AM111,0)</f>
        <v>127</v>
      </c>
      <c r="AT111" s="359"/>
    </row>
    <row r="112" spans="1:46" ht="17.100000000000001" customHeight="1" x14ac:dyDescent="0.15">
      <c r="A112" s="340">
        <v>21</v>
      </c>
      <c r="B112" s="341">
        <v>9543</v>
      </c>
      <c r="C112" s="390" t="s">
        <v>31255</v>
      </c>
      <c r="D112" s="423"/>
      <c r="E112" s="424"/>
      <c r="F112" s="423"/>
      <c r="G112" s="425"/>
      <c r="L112" s="495"/>
      <c r="M112" s="862" t="s">
        <v>30827</v>
      </c>
      <c r="N112" s="862"/>
      <c r="O112" s="862"/>
      <c r="P112" s="862"/>
      <c r="Q112" s="862"/>
      <c r="R112" s="862"/>
      <c r="S112" s="862"/>
      <c r="T112" s="862"/>
      <c r="U112" s="534"/>
      <c r="V112" s="625"/>
      <c r="W112" s="447"/>
      <c r="X112" s="474"/>
      <c r="Y112" s="343"/>
      <c r="Z112" s="343"/>
      <c r="AA112" s="343"/>
      <c r="AB112" s="396"/>
      <c r="AC112" s="396"/>
      <c r="AD112" s="427"/>
      <c r="AE112" s="427"/>
      <c r="AF112" s="396"/>
      <c r="AG112" s="396"/>
      <c r="AH112" s="396"/>
      <c r="AI112" s="396"/>
      <c r="AJ112" s="396"/>
      <c r="AK112" s="396"/>
      <c r="AL112" s="427"/>
      <c r="AM112" s="964"/>
      <c r="AN112" s="964"/>
      <c r="AO112" s="575"/>
      <c r="AP112" s="575"/>
      <c r="AQ112" s="575"/>
      <c r="AR112" s="592"/>
      <c r="AS112" s="489">
        <f>ROUND(ROUND(I113*S114,0)*$U$135,0)</f>
        <v>244</v>
      </c>
      <c r="AT112" s="359"/>
    </row>
    <row r="113" spans="1:46" ht="17.100000000000001" customHeight="1" x14ac:dyDescent="0.15">
      <c r="A113" s="340">
        <v>21</v>
      </c>
      <c r="B113" s="341">
        <v>9544</v>
      </c>
      <c r="C113" s="390" t="s">
        <v>31256</v>
      </c>
      <c r="D113" s="423"/>
      <c r="E113" s="424"/>
      <c r="F113" s="423"/>
      <c r="G113" s="425"/>
      <c r="I113" s="965">
        <f>'5療養介護(基本)'!I112</f>
        <v>361</v>
      </c>
      <c r="J113" s="965"/>
      <c r="K113" s="152" t="s">
        <v>15624</v>
      </c>
      <c r="L113" s="387"/>
      <c r="M113" s="865"/>
      <c r="N113" s="865"/>
      <c r="O113" s="865"/>
      <c r="P113" s="865"/>
      <c r="Q113" s="865"/>
      <c r="R113" s="865"/>
      <c r="S113" s="865"/>
      <c r="T113" s="865"/>
      <c r="U113" s="490"/>
      <c r="V113" s="387"/>
      <c r="W113" s="948" t="s">
        <v>30822</v>
      </c>
      <c r="X113" s="949"/>
      <c r="Y113" s="949"/>
      <c r="Z113" s="949"/>
      <c r="AA113" s="949"/>
      <c r="AB113" s="934" t="s">
        <v>30823</v>
      </c>
      <c r="AC113" s="935"/>
      <c r="AD113" s="935"/>
      <c r="AE113" s="935"/>
      <c r="AF113" s="935"/>
      <c r="AG113" s="935"/>
      <c r="AH113" s="935"/>
      <c r="AI113" s="935"/>
      <c r="AJ113" s="935"/>
      <c r="AK113" s="935"/>
      <c r="AL113" s="427" t="s">
        <v>15626</v>
      </c>
      <c r="AM113" s="964">
        <f>$AM$8</f>
        <v>0.7</v>
      </c>
      <c r="AN113" s="964"/>
      <c r="AO113" s="575"/>
      <c r="AP113" s="575"/>
      <c r="AQ113" s="575"/>
      <c r="AR113" s="592"/>
      <c r="AS113" s="489">
        <f>ROUND(ROUND(ROUND(I113*S114,0)*$U$135,0)*AM113,0)</f>
        <v>171</v>
      </c>
      <c r="AT113" s="359"/>
    </row>
    <row r="114" spans="1:46" ht="17.100000000000001" customHeight="1" x14ac:dyDescent="0.15">
      <c r="A114" s="340">
        <v>21</v>
      </c>
      <c r="B114" s="341">
        <v>9838</v>
      </c>
      <c r="C114" s="390" t="s">
        <v>31257</v>
      </c>
      <c r="D114" s="469"/>
      <c r="E114" s="470"/>
      <c r="F114" s="469"/>
      <c r="G114" s="471"/>
      <c r="H114" s="325"/>
      <c r="I114" s="325"/>
      <c r="J114" s="325"/>
      <c r="K114" s="325"/>
      <c r="L114" s="388"/>
      <c r="M114" s="338"/>
      <c r="N114" s="338"/>
      <c r="O114" s="338"/>
      <c r="P114" s="338"/>
      <c r="Q114" s="338"/>
      <c r="R114" s="391" t="s">
        <v>15626</v>
      </c>
      <c r="S114" s="936">
        <f>$S$12</f>
        <v>0.96499999999999997</v>
      </c>
      <c r="T114" s="937"/>
      <c r="U114" s="324"/>
      <c r="V114" s="388"/>
      <c r="W114" s="970"/>
      <c r="X114" s="971"/>
      <c r="Y114" s="971"/>
      <c r="Z114" s="971"/>
      <c r="AA114" s="971"/>
      <c r="AB114" s="934" t="s">
        <v>30825</v>
      </c>
      <c r="AC114" s="935"/>
      <c r="AD114" s="935"/>
      <c r="AE114" s="935"/>
      <c r="AF114" s="935"/>
      <c r="AG114" s="935"/>
      <c r="AH114" s="935"/>
      <c r="AI114" s="935"/>
      <c r="AJ114" s="935"/>
      <c r="AK114" s="935"/>
      <c r="AL114" s="455" t="s">
        <v>15626</v>
      </c>
      <c r="AM114" s="938">
        <f>$AM$9</f>
        <v>0.5</v>
      </c>
      <c r="AN114" s="938"/>
      <c r="AO114" s="568"/>
      <c r="AP114" s="568"/>
      <c r="AQ114" s="568"/>
      <c r="AR114" s="599"/>
      <c r="AS114" s="491">
        <f>ROUND(ROUND(ROUND(I113*S114,0)*$U$135,0)*AM114,0)</f>
        <v>122</v>
      </c>
      <c r="AT114" s="350"/>
    </row>
    <row r="115" spans="1:46" ht="17.100000000000001" customHeight="1" x14ac:dyDescent="0.15">
      <c r="A115" s="340">
        <v>21</v>
      </c>
      <c r="B115" s="341">
        <v>9611</v>
      </c>
      <c r="C115" s="390" t="s">
        <v>31258</v>
      </c>
      <c r="D115" s="941" t="s">
        <v>30940</v>
      </c>
      <c r="E115" s="942"/>
      <c r="F115" s="941" t="s">
        <v>30941</v>
      </c>
      <c r="G115" s="942"/>
      <c r="H115" s="862" t="s">
        <v>30820</v>
      </c>
      <c r="I115" s="862"/>
      <c r="J115" s="862"/>
      <c r="K115" s="862"/>
      <c r="L115" s="863"/>
      <c r="M115" s="152"/>
      <c r="N115" s="151"/>
      <c r="O115" s="151"/>
      <c r="P115" s="151"/>
      <c r="Q115" s="151"/>
      <c r="R115" s="151"/>
      <c r="S115" s="151"/>
      <c r="T115" s="151"/>
      <c r="U115" s="916" t="s">
        <v>31150</v>
      </c>
      <c r="V115" s="972" t="s">
        <v>30823</v>
      </c>
      <c r="W115" s="330"/>
      <c r="X115" s="454"/>
      <c r="Y115" s="459"/>
      <c r="Z115" s="568"/>
      <c r="AA115" s="343"/>
      <c r="AB115" s="396"/>
      <c r="AC115" s="396"/>
      <c r="AD115" s="427"/>
      <c r="AE115" s="427"/>
      <c r="AF115" s="396"/>
      <c r="AG115" s="396"/>
      <c r="AH115" s="396"/>
      <c r="AI115" s="396"/>
      <c r="AJ115" s="396"/>
      <c r="AK115" s="396"/>
      <c r="AL115" s="427"/>
      <c r="AM115" s="964"/>
      <c r="AN115" s="964"/>
      <c r="AO115" s="575"/>
      <c r="AP115" s="575"/>
      <c r="AQ115" s="575"/>
      <c r="AR115" s="592"/>
      <c r="AS115" s="489">
        <f>ROUND(I119*$U$135,0)</f>
        <v>631</v>
      </c>
      <c r="AT115" s="329" t="s">
        <v>30681</v>
      </c>
    </row>
    <row r="116" spans="1:46" ht="17.100000000000001" customHeight="1" x14ac:dyDescent="0.15">
      <c r="A116" s="340">
        <v>21</v>
      </c>
      <c r="B116" s="341">
        <v>9612</v>
      </c>
      <c r="C116" s="390" t="s">
        <v>31259</v>
      </c>
      <c r="D116" s="943"/>
      <c r="E116" s="944"/>
      <c r="F116" s="943"/>
      <c r="G116" s="944"/>
      <c r="H116" s="865"/>
      <c r="I116" s="865"/>
      <c r="J116" s="865"/>
      <c r="K116" s="865"/>
      <c r="L116" s="866"/>
      <c r="M116" s="151"/>
      <c r="N116" s="151"/>
      <c r="O116" s="151"/>
      <c r="P116" s="151"/>
      <c r="Q116" s="151"/>
      <c r="R116" s="151"/>
      <c r="S116" s="151"/>
      <c r="T116" s="151"/>
      <c r="U116" s="912"/>
      <c r="V116" s="973"/>
      <c r="W116" s="948" t="s">
        <v>30822</v>
      </c>
      <c r="X116" s="949"/>
      <c r="Y116" s="949"/>
      <c r="Z116" s="949"/>
      <c r="AA116" s="949"/>
      <c r="AB116" s="934" t="s">
        <v>30823</v>
      </c>
      <c r="AC116" s="935"/>
      <c r="AD116" s="935"/>
      <c r="AE116" s="935"/>
      <c r="AF116" s="935"/>
      <c r="AG116" s="935"/>
      <c r="AH116" s="935"/>
      <c r="AI116" s="935"/>
      <c r="AJ116" s="935"/>
      <c r="AK116" s="935"/>
      <c r="AL116" s="626" t="s">
        <v>15626</v>
      </c>
      <c r="AM116" s="964">
        <f>$AM$8</f>
        <v>0.7</v>
      </c>
      <c r="AN116" s="964"/>
      <c r="AO116" s="575"/>
      <c r="AP116" s="575"/>
      <c r="AQ116" s="575"/>
      <c r="AR116" s="592"/>
      <c r="AS116" s="489">
        <f>ROUND(ROUND(I119*$U$135,0)*AM116,0)</f>
        <v>442</v>
      </c>
      <c r="AT116" s="339"/>
    </row>
    <row r="117" spans="1:46" ht="17.100000000000001" customHeight="1" x14ac:dyDescent="0.15">
      <c r="A117" s="340">
        <v>21</v>
      </c>
      <c r="B117" s="341">
        <v>9845</v>
      </c>
      <c r="C117" s="390" t="s">
        <v>31260</v>
      </c>
      <c r="D117" s="943"/>
      <c r="E117" s="944"/>
      <c r="F117" s="943"/>
      <c r="G117" s="944"/>
      <c r="H117" s="431"/>
      <c r="I117" s="431"/>
      <c r="J117" s="431"/>
      <c r="K117" s="431"/>
      <c r="L117" s="432"/>
      <c r="M117" s="151"/>
      <c r="N117" s="151"/>
      <c r="O117" s="151"/>
      <c r="P117" s="151"/>
      <c r="Q117" s="151"/>
      <c r="R117" s="151"/>
      <c r="S117" s="151"/>
      <c r="T117" s="151"/>
      <c r="U117" s="912"/>
      <c r="V117" s="973"/>
      <c r="W117" s="948"/>
      <c r="X117" s="949"/>
      <c r="Y117" s="949"/>
      <c r="Z117" s="949"/>
      <c r="AA117" s="949"/>
      <c r="AB117" s="934" t="s">
        <v>30825</v>
      </c>
      <c r="AC117" s="935"/>
      <c r="AD117" s="935"/>
      <c r="AE117" s="935"/>
      <c r="AF117" s="935"/>
      <c r="AG117" s="935"/>
      <c r="AH117" s="935"/>
      <c r="AI117" s="935"/>
      <c r="AJ117" s="935"/>
      <c r="AK117" s="935"/>
      <c r="AL117" s="427" t="s">
        <v>15626</v>
      </c>
      <c r="AM117" s="964">
        <f>$AM$9</f>
        <v>0.5</v>
      </c>
      <c r="AN117" s="964"/>
      <c r="AO117" s="575"/>
      <c r="AP117" s="575"/>
      <c r="AQ117" s="575"/>
      <c r="AR117" s="592"/>
      <c r="AS117" s="489">
        <f>ROUND(ROUND(I119*$U$135,0)*AM117,0)</f>
        <v>316</v>
      </c>
      <c r="AT117" s="339"/>
    </row>
    <row r="118" spans="1:46" ht="17.100000000000001" customHeight="1" x14ac:dyDescent="0.15">
      <c r="A118" s="340">
        <v>21</v>
      </c>
      <c r="B118" s="341">
        <v>9613</v>
      </c>
      <c r="C118" s="390" t="s">
        <v>31261</v>
      </c>
      <c r="D118" s="943"/>
      <c r="E118" s="944"/>
      <c r="F118" s="943"/>
      <c r="G118" s="944"/>
      <c r="L118" s="495"/>
      <c r="M118" s="862" t="s">
        <v>30827</v>
      </c>
      <c r="N118" s="862"/>
      <c r="O118" s="862"/>
      <c r="P118" s="862"/>
      <c r="Q118" s="862"/>
      <c r="R118" s="862"/>
      <c r="S118" s="862"/>
      <c r="T118" s="862"/>
      <c r="U118" s="912"/>
      <c r="V118" s="973"/>
      <c r="W118" s="447"/>
      <c r="X118" s="474"/>
      <c r="Y118" s="343"/>
      <c r="Z118" s="343"/>
      <c r="AA118" s="343"/>
      <c r="AB118" s="396"/>
      <c r="AC118" s="396"/>
      <c r="AD118" s="427"/>
      <c r="AE118" s="427"/>
      <c r="AF118" s="396"/>
      <c r="AG118" s="396"/>
      <c r="AH118" s="396"/>
      <c r="AI118" s="396"/>
      <c r="AJ118" s="396"/>
      <c r="AK118" s="396"/>
      <c r="AL118" s="427"/>
      <c r="AM118" s="964"/>
      <c r="AN118" s="964"/>
      <c r="AO118" s="575"/>
      <c r="AP118" s="575"/>
      <c r="AQ118" s="575"/>
      <c r="AR118" s="592"/>
      <c r="AS118" s="489">
        <f>ROUND(ROUND(I119*S120,0)*$U$135,0)</f>
        <v>609</v>
      </c>
      <c r="AT118" s="339"/>
    </row>
    <row r="119" spans="1:46" ht="17.100000000000001" customHeight="1" x14ac:dyDescent="0.15">
      <c r="A119" s="340">
        <v>21</v>
      </c>
      <c r="B119" s="341">
        <v>9614</v>
      </c>
      <c r="C119" s="390" t="s">
        <v>31262</v>
      </c>
      <c r="D119" s="943"/>
      <c r="E119" s="944"/>
      <c r="F119" s="943"/>
      <c r="G119" s="944"/>
      <c r="I119" s="965">
        <f>'5療養介護(基本)'!I118</f>
        <v>902</v>
      </c>
      <c r="J119" s="965"/>
      <c r="K119" s="152" t="s">
        <v>15624</v>
      </c>
      <c r="L119" s="387"/>
      <c r="M119" s="865"/>
      <c r="N119" s="865"/>
      <c r="O119" s="865"/>
      <c r="P119" s="865"/>
      <c r="Q119" s="865"/>
      <c r="R119" s="865"/>
      <c r="S119" s="865"/>
      <c r="T119" s="865"/>
      <c r="U119" s="912"/>
      <c r="V119" s="973"/>
      <c r="W119" s="948" t="s">
        <v>30822</v>
      </c>
      <c r="X119" s="949"/>
      <c r="Y119" s="949"/>
      <c r="Z119" s="949"/>
      <c r="AA119" s="949"/>
      <c r="AB119" s="934" t="s">
        <v>30823</v>
      </c>
      <c r="AC119" s="935"/>
      <c r="AD119" s="935"/>
      <c r="AE119" s="935"/>
      <c r="AF119" s="935"/>
      <c r="AG119" s="935"/>
      <c r="AH119" s="935"/>
      <c r="AI119" s="935"/>
      <c r="AJ119" s="935"/>
      <c r="AK119" s="935"/>
      <c r="AL119" s="427" t="s">
        <v>15626</v>
      </c>
      <c r="AM119" s="964">
        <f>$AM$8</f>
        <v>0.7</v>
      </c>
      <c r="AN119" s="964"/>
      <c r="AO119" s="575"/>
      <c r="AP119" s="575"/>
      <c r="AQ119" s="575"/>
      <c r="AR119" s="592"/>
      <c r="AS119" s="489">
        <f>ROUND(ROUND(ROUND(I119*S120,0)*$U$135,0)*AM119,0)</f>
        <v>426</v>
      </c>
      <c r="AT119" s="339"/>
    </row>
    <row r="120" spans="1:46" ht="17.100000000000001" customHeight="1" x14ac:dyDescent="0.15">
      <c r="A120" s="340">
        <v>21</v>
      </c>
      <c r="B120" s="341">
        <v>9846</v>
      </c>
      <c r="C120" s="390" t="s">
        <v>31263</v>
      </c>
      <c r="D120" s="943"/>
      <c r="E120" s="944"/>
      <c r="F120" s="943"/>
      <c r="G120" s="944"/>
      <c r="K120" s="152"/>
      <c r="L120" s="387"/>
      <c r="M120" s="338"/>
      <c r="N120" s="338"/>
      <c r="O120" s="338"/>
      <c r="P120" s="338"/>
      <c r="Q120" s="338"/>
      <c r="R120" s="391" t="s">
        <v>15626</v>
      </c>
      <c r="S120" s="936">
        <f>$S$12</f>
        <v>0.96499999999999997</v>
      </c>
      <c r="T120" s="936"/>
      <c r="U120" s="912"/>
      <c r="V120" s="973"/>
      <c r="W120" s="948"/>
      <c r="X120" s="949"/>
      <c r="Y120" s="949"/>
      <c r="Z120" s="949"/>
      <c r="AA120" s="949"/>
      <c r="AB120" s="934" t="s">
        <v>30825</v>
      </c>
      <c r="AC120" s="935"/>
      <c r="AD120" s="935"/>
      <c r="AE120" s="935"/>
      <c r="AF120" s="935"/>
      <c r="AG120" s="935"/>
      <c r="AH120" s="935"/>
      <c r="AI120" s="935"/>
      <c r="AJ120" s="935"/>
      <c r="AK120" s="935"/>
      <c r="AL120" s="427" t="s">
        <v>15626</v>
      </c>
      <c r="AM120" s="964">
        <f>$AM$9</f>
        <v>0.5</v>
      </c>
      <c r="AN120" s="964"/>
      <c r="AO120" s="568"/>
      <c r="AP120" s="568"/>
      <c r="AQ120" s="568"/>
      <c r="AR120" s="599"/>
      <c r="AS120" s="489">
        <f>ROUND(ROUND(ROUND(I119*S120,0)*$U$135,0)*AM120,0)</f>
        <v>305</v>
      </c>
      <c r="AT120" s="339"/>
    </row>
    <row r="121" spans="1:46" ht="17.100000000000001" customHeight="1" x14ac:dyDescent="0.15">
      <c r="A121" s="340">
        <v>21</v>
      </c>
      <c r="B121" s="341">
        <v>9621</v>
      </c>
      <c r="C121" s="390" t="s">
        <v>31264</v>
      </c>
      <c r="D121" s="943"/>
      <c r="E121" s="944"/>
      <c r="F121" s="943"/>
      <c r="G121" s="944"/>
      <c r="H121" s="862" t="s">
        <v>30831</v>
      </c>
      <c r="I121" s="862"/>
      <c r="J121" s="862"/>
      <c r="K121" s="862"/>
      <c r="L121" s="863"/>
      <c r="M121" s="396"/>
      <c r="N121" s="400"/>
      <c r="O121" s="400"/>
      <c r="P121" s="400"/>
      <c r="Q121" s="400"/>
      <c r="R121" s="400"/>
      <c r="S121" s="400"/>
      <c r="T121" s="400"/>
      <c r="U121" s="912"/>
      <c r="V121" s="973"/>
      <c r="W121" s="330"/>
      <c r="X121" s="454"/>
      <c r="Y121" s="459"/>
      <c r="Z121" s="568"/>
      <c r="AA121" s="343"/>
      <c r="AB121" s="396"/>
      <c r="AC121" s="396"/>
      <c r="AD121" s="427"/>
      <c r="AE121" s="427"/>
      <c r="AF121" s="396"/>
      <c r="AG121" s="396"/>
      <c r="AH121" s="396"/>
      <c r="AI121" s="396"/>
      <c r="AJ121" s="396"/>
      <c r="AK121" s="396"/>
      <c r="AL121" s="427"/>
      <c r="AM121" s="964"/>
      <c r="AN121" s="964"/>
      <c r="AO121" s="575"/>
      <c r="AP121" s="575"/>
      <c r="AQ121" s="575"/>
      <c r="AR121" s="592"/>
      <c r="AS121" s="489">
        <f>ROUND(I125*$U$135,0)</f>
        <v>631</v>
      </c>
      <c r="AT121" s="339"/>
    </row>
    <row r="122" spans="1:46" ht="17.100000000000001" customHeight="1" x14ac:dyDescent="0.15">
      <c r="A122" s="340">
        <v>21</v>
      </c>
      <c r="B122" s="341">
        <v>9622</v>
      </c>
      <c r="C122" s="390" t="s">
        <v>31265</v>
      </c>
      <c r="D122" s="943"/>
      <c r="E122" s="944"/>
      <c r="F122" s="943"/>
      <c r="G122" s="944"/>
      <c r="H122" s="865"/>
      <c r="I122" s="865"/>
      <c r="J122" s="865"/>
      <c r="K122" s="865"/>
      <c r="L122" s="866"/>
      <c r="M122" s="151"/>
      <c r="N122" s="151"/>
      <c r="O122" s="151"/>
      <c r="P122" s="151"/>
      <c r="Q122" s="151"/>
      <c r="R122" s="151"/>
      <c r="S122" s="151"/>
      <c r="T122" s="151"/>
      <c r="U122" s="912"/>
      <c r="V122" s="973"/>
      <c r="W122" s="948" t="s">
        <v>30822</v>
      </c>
      <c r="X122" s="949"/>
      <c r="Y122" s="949"/>
      <c r="Z122" s="949"/>
      <c r="AA122" s="949"/>
      <c r="AB122" s="934" t="s">
        <v>30823</v>
      </c>
      <c r="AC122" s="935"/>
      <c r="AD122" s="935"/>
      <c r="AE122" s="935"/>
      <c r="AF122" s="935"/>
      <c r="AG122" s="935"/>
      <c r="AH122" s="935"/>
      <c r="AI122" s="935"/>
      <c r="AJ122" s="935"/>
      <c r="AK122" s="935"/>
      <c r="AL122" s="427" t="s">
        <v>15626</v>
      </c>
      <c r="AM122" s="964">
        <f>$AM$8</f>
        <v>0.7</v>
      </c>
      <c r="AN122" s="964"/>
      <c r="AO122" s="575"/>
      <c r="AP122" s="575"/>
      <c r="AQ122" s="575"/>
      <c r="AR122" s="592"/>
      <c r="AS122" s="489">
        <f>ROUND(ROUND(I125*$U$135,0)*AM122,0)</f>
        <v>442</v>
      </c>
      <c r="AT122" s="339"/>
    </row>
    <row r="123" spans="1:46" ht="17.100000000000001" customHeight="1" x14ac:dyDescent="0.15">
      <c r="A123" s="340">
        <v>21</v>
      </c>
      <c r="B123" s="341">
        <v>9853</v>
      </c>
      <c r="C123" s="390" t="s">
        <v>31266</v>
      </c>
      <c r="D123" s="943"/>
      <c r="E123" s="944"/>
      <c r="F123" s="943"/>
      <c r="G123" s="944"/>
      <c r="H123" s="424"/>
      <c r="I123" s="424"/>
      <c r="J123" s="424"/>
      <c r="K123" s="424"/>
      <c r="L123" s="425"/>
      <c r="M123" s="151"/>
      <c r="N123" s="151"/>
      <c r="O123" s="151"/>
      <c r="P123" s="151"/>
      <c r="Q123" s="151"/>
      <c r="R123" s="151"/>
      <c r="S123" s="151"/>
      <c r="T123" s="151"/>
      <c r="U123" s="912"/>
      <c r="V123" s="973"/>
      <c r="W123" s="948"/>
      <c r="X123" s="949"/>
      <c r="Y123" s="949"/>
      <c r="Z123" s="949"/>
      <c r="AA123" s="949"/>
      <c r="AB123" s="934" t="s">
        <v>30825</v>
      </c>
      <c r="AC123" s="935"/>
      <c r="AD123" s="935"/>
      <c r="AE123" s="935"/>
      <c r="AF123" s="935"/>
      <c r="AG123" s="935"/>
      <c r="AH123" s="935"/>
      <c r="AI123" s="935"/>
      <c r="AJ123" s="935"/>
      <c r="AK123" s="935"/>
      <c r="AL123" s="427" t="s">
        <v>15626</v>
      </c>
      <c r="AM123" s="964">
        <f>$AM$9</f>
        <v>0.5</v>
      </c>
      <c r="AN123" s="964"/>
      <c r="AO123" s="575"/>
      <c r="AP123" s="575"/>
      <c r="AQ123" s="575"/>
      <c r="AR123" s="592"/>
      <c r="AS123" s="489">
        <f>ROUND(ROUND(I125*$U$135,0)*AM123,0)</f>
        <v>316</v>
      </c>
      <c r="AT123" s="339"/>
    </row>
    <row r="124" spans="1:46" ht="17.100000000000001" customHeight="1" x14ac:dyDescent="0.15">
      <c r="A124" s="340">
        <v>21</v>
      </c>
      <c r="B124" s="341">
        <v>9623</v>
      </c>
      <c r="C124" s="390" t="s">
        <v>31267</v>
      </c>
      <c r="D124" s="943"/>
      <c r="E124" s="944"/>
      <c r="F124" s="943"/>
      <c r="G124" s="944"/>
      <c r="H124" s="424"/>
      <c r="I124" s="424"/>
      <c r="L124" s="495"/>
      <c r="M124" s="862" t="s">
        <v>30827</v>
      </c>
      <c r="N124" s="862"/>
      <c r="O124" s="862"/>
      <c r="P124" s="862"/>
      <c r="Q124" s="862"/>
      <c r="R124" s="862"/>
      <c r="S124" s="862"/>
      <c r="T124" s="862"/>
      <c r="U124" s="912"/>
      <c r="V124" s="973"/>
      <c r="W124" s="447"/>
      <c r="X124" s="474"/>
      <c r="Y124" s="343"/>
      <c r="Z124" s="343"/>
      <c r="AA124" s="343"/>
      <c r="AB124" s="396"/>
      <c r="AC124" s="396"/>
      <c r="AD124" s="427"/>
      <c r="AE124" s="427"/>
      <c r="AF124" s="396"/>
      <c r="AG124" s="396"/>
      <c r="AH124" s="396"/>
      <c r="AI124" s="396"/>
      <c r="AJ124" s="396"/>
      <c r="AK124" s="396"/>
      <c r="AL124" s="427"/>
      <c r="AM124" s="964"/>
      <c r="AN124" s="964"/>
      <c r="AO124" s="575"/>
      <c r="AP124" s="575"/>
      <c r="AQ124" s="575"/>
      <c r="AR124" s="592"/>
      <c r="AS124" s="489">
        <f>ROUND(ROUND(I125*S126,0)*$U$135,0)</f>
        <v>609</v>
      </c>
      <c r="AT124" s="339"/>
    </row>
    <row r="125" spans="1:46" ht="17.100000000000001" customHeight="1" x14ac:dyDescent="0.15">
      <c r="A125" s="340">
        <v>21</v>
      </c>
      <c r="B125" s="341">
        <v>9624</v>
      </c>
      <c r="C125" s="390" t="s">
        <v>31268</v>
      </c>
      <c r="D125" s="943"/>
      <c r="E125" s="944"/>
      <c r="F125" s="943"/>
      <c r="G125" s="944"/>
      <c r="H125" s="424"/>
      <c r="I125" s="965">
        <f>'5療養介護(基本)'!I124</f>
        <v>902</v>
      </c>
      <c r="J125" s="965"/>
      <c r="K125" s="152" t="s">
        <v>15624</v>
      </c>
      <c r="L125" s="425"/>
      <c r="M125" s="865"/>
      <c r="N125" s="865"/>
      <c r="O125" s="865"/>
      <c r="P125" s="865"/>
      <c r="Q125" s="865"/>
      <c r="R125" s="865"/>
      <c r="S125" s="865"/>
      <c r="T125" s="865"/>
      <c r="U125" s="912"/>
      <c r="V125" s="973"/>
      <c r="W125" s="948" t="s">
        <v>30822</v>
      </c>
      <c r="X125" s="949"/>
      <c r="Y125" s="949"/>
      <c r="Z125" s="949"/>
      <c r="AA125" s="949"/>
      <c r="AB125" s="934" t="s">
        <v>30823</v>
      </c>
      <c r="AC125" s="935"/>
      <c r="AD125" s="935"/>
      <c r="AE125" s="935"/>
      <c r="AF125" s="935"/>
      <c r="AG125" s="935"/>
      <c r="AH125" s="935"/>
      <c r="AI125" s="935"/>
      <c r="AJ125" s="935"/>
      <c r="AK125" s="935"/>
      <c r="AL125" s="427" t="s">
        <v>15626</v>
      </c>
      <c r="AM125" s="964">
        <f>$AM$8</f>
        <v>0.7</v>
      </c>
      <c r="AN125" s="964"/>
      <c r="AO125" s="575"/>
      <c r="AP125" s="575"/>
      <c r="AQ125" s="575"/>
      <c r="AR125" s="592"/>
      <c r="AS125" s="489">
        <f>ROUND(ROUND(ROUND(I125*S126,0)*$U$135,0)*AM125,0)</f>
        <v>426</v>
      </c>
      <c r="AT125" s="339"/>
    </row>
    <row r="126" spans="1:46" ht="17.100000000000001" customHeight="1" x14ac:dyDescent="0.15">
      <c r="A126" s="340">
        <v>21</v>
      </c>
      <c r="B126" s="341">
        <v>9854</v>
      </c>
      <c r="C126" s="390" t="s">
        <v>31269</v>
      </c>
      <c r="D126" s="943"/>
      <c r="E126" s="944"/>
      <c r="F126" s="943"/>
      <c r="G126" s="944"/>
      <c r="H126" s="424"/>
      <c r="I126" s="618"/>
      <c r="J126" s="618"/>
      <c r="K126" s="618"/>
      <c r="L126" s="619"/>
      <c r="M126" s="338"/>
      <c r="N126" s="338"/>
      <c r="O126" s="338"/>
      <c r="P126" s="338"/>
      <c r="Q126" s="338"/>
      <c r="R126" s="391" t="s">
        <v>15626</v>
      </c>
      <c r="S126" s="936">
        <f>$S$12</f>
        <v>0.96499999999999997</v>
      </c>
      <c r="T126" s="936"/>
      <c r="U126" s="912"/>
      <c r="V126" s="973"/>
      <c r="W126" s="948"/>
      <c r="X126" s="949"/>
      <c r="Y126" s="949"/>
      <c r="Z126" s="949"/>
      <c r="AA126" s="949"/>
      <c r="AB126" s="934" t="s">
        <v>30825</v>
      </c>
      <c r="AC126" s="935"/>
      <c r="AD126" s="935"/>
      <c r="AE126" s="935"/>
      <c r="AF126" s="935"/>
      <c r="AG126" s="935"/>
      <c r="AH126" s="935"/>
      <c r="AI126" s="935"/>
      <c r="AJ126" s="935"/>
      <c r="AK126" s="935"/>
      <c r="AL126" s="427" t="s">
        <v>15626</v>
      </c>
      <c r="AM126" s="964">
        <f>$AM$9</f>
        <v>0.5</v>
      </c>
      <c r="AN126" s="964"/>
      <c r="AO126" s="568"/>
      <c r="AP126" s="568"/>
      <c r="AQ126" s="568"/>
      <c r="AR126" s="599"/>
      <c r="AS126" s="489">
        <f>ROUND(ROUND(ROUND(I125*S126,0)*$U$135,0)*AM126,0)</f>
        <v>305</v>
      </c>
      <c r="AT126" s="339"/>
    </row>
    <row r="127" spans="1:46" ht="17.100000000000001" customHeight="1" x14ac:dyDescent="0.15">
      <c r="A127" s="340">
        <v>21</v>
      </c>
      <c r="B127" s="341">
        <v>9631</v>
      </c>
      <c r="C127" s="390" t="s">
        <v>31270</v>
      </c>
      <c r="D127" s="943"/>
      <c r="E127" s="944"/>
      <c r="F127" s="943"/>
      <c r="G127" s="944"/>
      <c r="H127" s="862" t="s">
        <v>30838</v>
      </c>
      <c r="I127" s="862"/>
      <c r="J127" s="862"/>
      <c r="K127" s="862"/>
      <c r="L127" s="863"/>
      <c r="M127" s="396"/>
      <c r="N127" s="400"/>
      <c r="O127" s="400"/>
      <c r="P127" s="400"/>
      <c r="Q127" s="400"/>
      <c r="R127" s="400"/>
      <c r="S127" s="400"/>
      <c r="T127" s="400"/>
      <c r="U127" s="912"/>
      <c r="V127" s="973"/>
      <c r="W127" s="330"/>
      <c r="X127" s="454"/>
      <c r="Y127" s="459"/>
      <c r="Z127" s="568"/>
      <c r="AA127" s="343"/>
      <c r="AB127" s="396"/>
      <c r="AC127" s="396"/>
      <c r="AD127" s="427"/>
      <c r="AE127" s="427"/>
      <c r="AF127" s="396"/>
      <c r="AG127" s="396"/>
      <c r="AH127" s="396"/>
      <c r="AI127" s="396"/>
      <c r="AJ127" s="396"/>
      <c r="AK127" s="396"/>
      <c r="AL127" s="427"/>
      <c r="AM127" s="964"/>
      <c r="AN127" s="964"/>
      <c r="AO127" s="575"/>
      <c r="AP127" s="575"/>
      <c r="AQ127" s="575"/>
      <c r="AR127" s="592"/>
      <c r="AS127" s="489">
        <f>ROUND(I131*$U$135,0)</f>
        <v>611</v>
      </c>
      <c r="AT127" s="339"/>
    </row>
    <row r="128" spans="1:46" ht="17.100000000000001" customHeight="1" x14ac:dyDescent="0.15">
      <c r="A128" s="340">
        <v>21</v>
      </c>
      <c r="B128" s="341">
        <v>9632</v>
      </c>
      <c r="C128" s="390" t="s">
        <v>31271</v>
      </c>
      <c r="D128" s="943"/>
      <c r="E128" s="944"/>
      <c r="F128" s="943"/>
      <c r="G128" s="944"/>
      <c r="H128" s="865"/>
      <c r="I128" s="865"/>
      <c r="J128" s="865"/>
      <c r="K128" s="865"/>
      <c r="L128" s="866"/>
      <c r="M128" s="151"/>
      <c r="N128" s="151"/>
      <c r="O128" s="151"/>
      <c r="P128" s="151"/>
      <c r="Q128" s="151"/>
      <c r="R128" s="151"/>
      <c r="S128" s="151"/>
      <c r="T128" s="151"/>
      <c r="U128" s="912"/>
      <c r="V128" s="973"/>
      <c r="W128" s="948" t="s">
        <v>30822</v>
      </c>
      <c r="X128" s="949"/>
      <c r="Y128" s="949"/>
      <c r="Z128" s="949"/>
      <c r="AA128" s="949"/>
      <c r="AB128" s="934" t="s">
        <v>30823</v>
      </c>
      <c r="AC128" s="935"/>
      <c r="AD128" s="935"/>
      <c r="AE128" s="935"/>
      <c r="AF128" s="935"/>
      <c r="AG128" s="935"/>
      <c r="AH128" s="935"/>
      <c r="AI128" s="935"/>
      <c r="AJ128" s="935"/>
      <c r="AK128" s="935"/>
      <c r="AL128" s="427" t="s">
        <v>15626</v>
      </c>
      <c r="AM128" s="964">
        <f>$AM$8</f>
        <v>0.7</v>
      </c>
      <c r="AN128" s="964"/>
      <c r="AO128" s="575"/>
      <c r="AP128" s="575"/>
      <c r="AQ128" s="575"/>
      <c r="AR128" s="592"/>
      <c r="AS128" s="489">
        <f>ROUND(ROUND(I131*$U$135,0)*AM128,0)</f>
        <v>428</v>
      </c>
      <c r="AT128" s="339"/>
    </row>
    <row r="129" spans="1:46" ht="17.100000000000001" customHeight="1" x14ac:dyDescent="0.15">
      <c r="A129" s="340">
        <v>21</v>
      </c>
      <c r="B129" s="341">
        <v>9861</v>
      </c>
      <c r="C129" s="390" t="s">
        <v>31272</v>
      </c>
      <c r="D129" s="943"/>
      <c r="E129" s="944"/>
      <c r="F129" s="943"/>
      <c r="G129" s="944"/>
      <c r="K129" s="152"/>
      <c r="L129" s="387"/>
      <c r="M129" s="151"/>
      <c r="N129" s="151"/>
      <c r="O129" s="151"/>
      <c r="P129" s="151"/>
      <c r="Q129" s="151"/>
      <c r="R129" s="151"/>
      <c r="S129" s="151"/>
      <c r="T129" s="151"/>
      <c r="U129" s="912"/>
      <c r="V129" s="973"/>
      <c r="W129" s="948"/>
      <c r="X129" s="949"/>
      <c r="Y129" s="949"/>
      <c r="Z129" s="949"/>
      <c r="AA129" s="949"/>
      <c r="AB129" s="934" t="s">
        <v>30825</v>
      </c>
      <c r="AC129" s="935"/>
      <c r="AD129" s="935"/>
      <c r="AE129" s="935"/>
      <c r="AF129" s="935"/>
      <c r="AG129" s="935"/>
      <c r="AH129" s="935"/>
      <c r="AI129" s="935"/>
      <c r="AJ129" s="935"/>
      <c r="AK129" s="935"/>
      <c r="AL129" s="427" t="s">
        <v>15626</v>
      </c>
      <c r="AM129" s="964">
        <f>$AM$9</f>
        <v>0.5</v>
      </c>
      <c r="AN129" s="964"/>
      <c r="AO129" s="575"/>
      <c r="AP129" s="575"/>
      <c r="AQ129" s="575"/>
      <c r="AR129" s="592"/>
      <c r="AS129" s="489">
        <f>ROUND(ROUND(I131*$U$135,0)*AM129,0)</f>
        <v>306</v>
      </c>
      <c r="AT129" s="339"/>
    </row>
    <row r="130" spans="1:46" ht="17.100000000000001" customHeight="1" x14ac:dyDescent="0.15">
      <c r="A130" s="340">
        <v>21</v>
      </c>
      <c r="B130" s="341">
        <v>9633</v>
      </c>
      <c r="C130" s="390" t="s">
        <v>31273</v>
      </c>
      <c r="D130" s="943"/>
      <c r="E130" s="944"/>
      <c r="F130" s="943"/>
      <c r="G130" s="944"/>
      <c r="L130" s="495"/>
      <c r="M130" s="862" t="s">
        <v>30827</v>
      </c>
      <c r="N130" s="862"/>
      <c r="O130" s="862"/>
      <c r="P130" s="862"/>
      <c r="Q130" s="862"/>
      <c r="R130" s="862"/>
      <c r="S130" s="862"/>
      <c r="T130" s="862"/>
      <c r="U130" s="912"/>
      <c r="V130" s="973"/>
      <c r="W130" s="447"/>
      <c r="X130" s="474"/>
      <c r="Y130" s="343"/>
      <c r="Z130" s="343"/>
      <c r="AA130" s="343"/>
      <c r="AB130" s="396"/>
      <c r="AC130" s="396"/>
      <c r="AD130" s="427"/>
      <c r="AE130" s="427"/>
      <c r="AF130" s="396"/>
      <c r="AG130" s="396"/>
      <c r="AH130" s="396"/>
      <c r="AI130" s="396"/>
      <c r="AJ130" s="396"/>
      <c r="AK130" s="396"/>
      <c r="AL130" s="427"/>
      <c r="AM130" s="964"/>
      <c r="AN130" s="964"/>
      <c r="AO130" s="575"/>
      <c r="AP130" s="575"/>
      <c r="AQ130" s="575"/>
      <c r="AR130" s="592"/>
      <c r="AS130" s="489">
        <f>ROUND(ROUND(I131*S132,0)*$U$135,0)</f>
        <v>589</v>
      </c>
      <c r="AT130" s="339"/>
    </row>
    <row r="131" spans="1:46" ht="17.100000000000001" customHeight="1" x14ac:dyDescent="0.15">
      <c r="A131" s="340">
        <v>21</v>
      </c>
      <c r="B131" s="341">
        <v>9634</v>
      </c>
      <c r="C131" s="390" t="s">
        <v>31274</v>
      </c>
      <c r="D131" s="943"/>
      <c r="E131" s="944"/>
      <c r="F131" s="943"/>
      <c r="G131" s="944"/>
      <c r="I131" s="965">
        <f>'5療養介護(基本)'!I130</f>
        <v>873</v>
      </c>
      <c r="J131" s="965"/>
      <c r="K131" s="152" t="s">
        <v>15624</v>
      </c>
      <c r="L131" s="387"/>
      <c r="M131" s="865"/>
      <c r="N131" s="865"/>
      <c r="O131" s="865"/>
      <c r="P131" s="865"/>
      <c r="Q131" s="865"/>
      <c r="R131" s="865"/>
      <c r="S131" s="865"/>
      <c r="T131" s="865"/>
      <c r="U131" s="912"/>
      <c r="V131" s="973"/>
      <c r="W131" s="948" t="s">
        <v>30822</v>
      </c>
      <c r="X131" s="949"/>
      <c r="Y131" s="949"/>
      <c r="Z131" s="949"/>
      <c r="AA131" s="949"/>
      <c r="AB131" s="934" t="s">
        <v>30823</v>
      </c>
      <c r="AC131" s="935"/>
      <c r="AD131" s="935"/>
      <c r="AE131" s="935"/>
      <c r="AF131" s="935"/>
      <c r="AG131" s="935"/>
      <c r="AH131" s="935"/>
      <c r="AI131" s="935"/>
      <c r="AJ131" s="935"/>
      <c r="AK131" s="935"/>
      <c r="AL131" s="427" t="s">
        <v>15626</v>
      </c>
      <c r="AM131" s="964">
        <f>$AM$8</f>
        <v>0.7</v>
      </c>
      <c r="AN131" s="964"/>
      <c r="AO131" s="575"/>
      <c r="AP131" s="575"/>
      <c r="AQ131" s="575"/>
      <c r="AR131" s="592"/>
      <c r="AS131" s="489">
        <f>ROUND(ROUND(ROUND(I131*S132,0)*$U$135,0)*AM131,0)</f>
        <v>412</v>
      </c>
      <c r="AT131" s="339"/>
    </row>
    <row r="132" spans="1:46" ht="17.100000000000001" customHeight="1" x14ac:dyDescent="0.15">
      <c r="A132" s="340">
        <v>21</v>
      </c>
      <c r="B132" s="341">
        <v>9862</v>
      </c>
      <c r="C132" s="390" t="s">
        <v>31275</v>
      </c>
      <c r="D132" s="943"/>
      <c r="E132" s="944"/>
      <c r="F132" s="943"/>
      <c r="G132" s="944"/>
      <c r="K132" s="152"/>
      <c r="L132" s="387"/>
      <c r="M132" s="338"/>
      <c r="N132" s="338"/>
      <c r="O132" s="338"/>
      <c r="P132" s="338"/>
      <c r="Q132" s="338"/>
      <c r="R132" s="391" t="s">
        <v>15626</v>
      </c>
      <c r="S132" s="936">
        <f>$S$12</f>
        <v>0.96499999999999997</v>
      </c>
      <c r="T132" s="936"/>
      <c r="U132" s="912"/>
      <c r="V132" s="973"/>
      <c r="W132" s="948"/>
      <c r="X132" s="949"/>
      <c r="Y132" s="949"/>
      <c r="Z132" s="949"/>
      <c r="AA132" s="949"/>
      <c r="AB132" s="934" t="s">
        <v>30825</v>
      </c>
      <c r="AC132" s="935"/>
      <c r="AD132" s="935"/>
      <c r="AE132" s="935"/>
      <c r="AF132" s="935"/>
      <c r="AG132" s="935"/>
      <c r="AH132" s="935"/>
      <c r="AI132" s="935"/>
      <c r="AJ132" s="935"/>
      <c r="AK132" s="935"/>
      <c r="AL132" s="427" t="s">
        <v>15626</v>
      </c>
      <c r="AM132" s="964">
        <f>$AM$9</f>
        <v>0.5</v>
      </c>
      <c r="AN132" s="964"/>
      <c r="AO132" s="568"/>
      <c r="AP132" s="568"/>
      <c r="AQ132" s="568"/>
      <c r="AR132" s="599"/>
      <c r="AS132" s="489">
        <f>ROUND(ROUND(ROUND(I131*S132,0)*$U$135,0)*AM132,0)</f>
        <v>295</v>
      </c>
      <c r="AT132" s="339"/>
    </row>
    <row r="133" spans="1:46" ht="17.100000000000001" customHeight="1" x14ac:dyDescent="0.15">
      <c r="A133" s="340">
        <v>21</v>
      </c>
      <c r="B133" s="341">
        <v>9641</v>
      </c>
      <c r="C133" s="390" t="s">
        <v>31276</v>
      </c>
      <c r="D133" s="430"/>
      <c r="E133" s="431"/>
      <c r="F133" s="423"/>
      <c r="G133" s="425"/>
      <c r="H133" s="862" t="s">
        <v>30845</v>
      </c>
      <c r="I133" s="862"/>
      <c r="J133" s="862"/>
      <c r="K133" s="862"/>
      <c r="L133" s="863"/>
      <c r="M133" s="396"/>
      <c r="N133" s="400"/>
      <c r="O133" s="400"/>
      <c r="P133" s="400"/>
      <c r="Q133" s="400"/>
      <c r="R133" s="400"/>
      <c r="S133" s="400"/>
      <c r="T133" s="400"/>
      <c r="U133" s="912"/>
      <c r="V133" s="973"/>
      <c r="W133" s="330"/>
      <c r="X133" s="454"/>
      <c r="Y133" s="459"/>
      <c r="Z133" s="568"/>
      <c r="AA133" s="343"/>
      <c r="AB133" s="396"/>
      <c r="AC133" s="396"/>
      <c r="AD133" s="427"/>
      <c r="AE133" s="427"/>
      <c r="AF133" s="396"/>
      <c r="AG133" s="396"/>
      <c r="AH133" s="396"/>
      <c r="AI133" s="396"/>
      <c r="AJ133" s="396"/>
      <c r="AK133" s="396"/>
      <c r="AL133" s="427"/>
      <c r="AM133" s="964"/>
      <c r="AN133" s="964"/>
      <c r="AO133" s="575"/>
      <c r="AP133" s="575"/>
      <c r="AQ133" s="575"/>
      <c r="AR133" s="592"/>
      <c r="AS133" s="489">
        <f>ROUND(I137*$U$135,0)</f>
        <v>587</v>
      </c>
      <c r="AT133" s="359"/>
    </row>
    <row r="134" spans="1:46" ht="17.100000000000001" customHeight="1" x14ac:dyDescent="0.15">
      <c r="A134" s="340">
        <v>21</v>
      </c>
      <c r="B134" s="341">
        <v>9642</v>
      </c>
      <c r="C134" s="390" t="s">
        <v>31277</v>
      </c>
      <c r="D134" s="430"/>
      <c r="E134" s="431"/>
      <c r="F134" s="423"/>
      <c r="G134" s="425"/>
      <c r="H134" s="865"/>
      <c r="I134" s="865"/>
      <c r="J134" s="865"/>
      <c r="K134" s="865"/>
      <c r="L134" s="866"/>
      <c r="M134" s="151"/>
      <c r="N134" s="151"/>
      <c r="O134" s="151"/>
      <c r="P134" s="151"/>
      <c r="Q134" s="151"/>
      <c r="R134" s="151"/>
      <c r="S134" s="151"/>
      <c r="T134" s="151"/>
      <c r="U134" s="901" t="s">
        <v>15626</v>
      </c>
      <c r="V134" s="903"/>
      <c r="W134" s="948" t="s">
        <v>30822</v>
      </c>
      <c r="X134" s="949"/>
      <c r="Y134" s="949"/>
      <c r="Z134" s="949"/>
      <c r="AA134" s="949"/>
      <c r="AB134" s="934" t="s">
        <v>30823</v>
      </c>
      <c r="AC134" s="935"/>
      <c r="AD134" s="935"/>
      <c r="AE134" s="935"/>
      <c r="AF134" s="935"/>
      <c r="AG134" s="935"/>
      <c r="AH134" s="935"/>
      <c r="AI134" s="935"/>
      <c r="AJ134" s="935"/>
      <c r="AK134" s="935"/>
      <c r="AL134" s="427" t="s">
        <v>15626</v>
      </c>
      <c r="AM134" s="964">
        <f>$AM$8</f>
        <v>0.7</v>
      </c>
      <c r="AN134" s="964"/>
      <c r="AO134" s="575"/>
      <c r="AP134" s="575"/>
      <c r="AQ134" s="575"/>
      <c r="AR134" s="592"/>
      <c r="AS134" s="489">
        <f>ROUND(ROUND(I137*$U$135,0)*AM134,0)</f>
        <v>411</v>
      </c>
      <c r="AT134" s="359"/>
    </row>
    <row r="135" spans="1:46" ht="17.100000000000001" customHeight="1" x14ac:dyDescent="0.15">
      <c r="A135" s="340">
        <v>21</v>
      </c>
      <c r="B135" s="341">
        <v>9869</v>
      </c>
      <c r="C135" s="390" t="s">
        <v>31278</v>
      </c>
      <c r="D135" s="430"/>
      <c r="E135" s="431"/>
      <c r="F135" s="423"/>
      <c r="G135" s="425"/>
      <c r="H135" s="431"/>
      <c r="I135" s="431"/>
      <c r="J135" s="431"/>
      <c r="K135" s="431"/>
      <c r="L135" s="432"/>
      <c r="M135" s="151"/>
      <c r="N135" s="151"/>
      <c r="O135" s="151"/>
      <c r="P135" s="151"/>
      <c r="Q135" s="151"/>
      <c r="R135" s="151"/>
      <c r="S135" s="151"/>
      <c r="T135" s="151"/>
      <c r="U135" s="966">
        <f>U110</f>
        <v>0.7</v>
      </c>
      <c r="V135" s="967"/>
      <c r="W135" s="948"/>
      <c r="X135" s="949"/>
      <c r="Y135" s="949"/>
      <c r="Z135" s="949"/>
      <c r="AA135" s="949"/>
      <c r="AB135" s="934" t="s">
        <v>30825</v>
      </c>
      <c r="AC135" s="935"/>
      <c r="AD135" s="935"/>
      <c r="AE135" s="935"/>
      <c r="AF135" s="935"/>
      <c r="AG135" s="935"/>
      <c r="AH135" s="935"/>
      <c r="AI135" s="935"/>
      <c r="AJ135" s="935"/>
      <c r="AK135" s="935"/>
      <c r="AL135" s="427" t="s">
        <v>15626</v>
      </c>
      <c r="AM135" s="964">
        <f>$AM$9</f>
        <v>0.5</v>
      </c>
      <c r="AN135" s="964"/>
      <c r="AO135" s="575"/>
      <c r="AP135" s="575"/>
      <c r="AQ135" s="575"/>
      <c r="AR135" s="592"/>
      <c r="AS135" s="489">
        <f>ROUND(ROUND(I137*$U$135,0)*AM135,0)</f>
        <v>294</v>
      </c>
      <c r="AT135" s="359"/>
    </row>
    <row r="136" spans="1:46" ht="17.100000000000001" customHeight="1" x14ac:dyDescent="0.15">
      <c r="A136" s="340">
        <v>21</v>
      </c>
      <c r="B136" s="341">
        <v>9643</v>
      </c>
      <c r="C136" s="390" t="s">
        <v>31279</v>
      </c>
      <c r="D136" s="430"/>
      <c r="E136" s="431"/>
      <c r="F136" s="423"/>
      <c r="G136" s="425"/>
      <c r="L136" s="495"/>
      <c r="M136" s="862" t="s">
        <v>30827</v>
      </c>
      <c r="N136" s="862"/>
      <c r="O136" s="862"/>
      <c r="P136" s="862"/>
      <c r="Q136" s="862"/>
      <c r="R136" s="862"/>
      <c r="S136" s="862"/>
      <c r="T136" s="862"/>
      <c r="U136" s="494"/>
      <c r="V136" s="495"/>
      <c r="W136" s="447"/>
      <c r="X136" s="474"/>
      <c r="Y136" s="343"/>
      <c r="Z136" s="343"/>
      <c r="AA136" s="343"/>
      <c r="AB136" s="396"/>
      <c r="AC136" s="396"/>
      <c r="AD136" s="427"/>
      <c r="AE136" s="427"/>
      <c r="AF136" s="396"/>
      <c r="AG136" s="396"/>
      <c r="AH136" s="396"/>
      <c r="AI136" s="396"/>
      <c r="AJ136" s="396"/>
      <c r="AK136" s="396"/>
      <c r="AL136" s="427"/>
      <c r="AM136" s="964"/>
      <c r="AN136" s="964"/>
      <c r="AO136" s="575"/>
      <c r="AP136" s="575"/>
      <c r="AQ136" s="575"/>
      <c r="AR136" s="592"/>
      <c r="AS136" s="489">
        <f>ROUND(ROUND(I137*S138,0)*$U$135,0)</f>
        <v>566</v>
      </c>
      <c r="AT136" s="359"/>
    </row>
    <row r="137" spans="1:46" ht="17.100000000000001" customHeight="1" x14ac:dyDescent="0.15">
      <c r="A137" s="340">
        <v>21</v>
      </c>
      <c r="B137" s="341">
        <v>9644</v>
      </c>
      <c r="C137" s="390" t="s">
        <v>31280</v>
      </c>
      <c r="D137" s="430"/>
      <c r="E137" s="431"/>
      <c r="F137" s="423"/>
      <c r="G137" s="425"/>
      <c r="I137" s="965">
        <f>'5療養介護(基本)'!I136</f>
        <v>838</v>
      </c>
      <c r="J137" s="965"/>
      <c r="K137" s="152" t="s">
        <v>15624</v>
      </c>
      <c r="L137" s="387"/>
      <c r="M137" s="865"/>
      <c r="N137" s="865"/>
      <c r="O137" s="865"/>
      <c r="P137" s="865"/>
      <c r="Q137" s="865"/>
      <c r="R137" s="865"/>
      <c r="S137" s="865"/>
      <c r="T137" s="865"/>
      <c r="U137" s="494"/>
      <c r="V137" s="495"/>
      <c r="W137" s="948" t="s">
        <v>30822</v>
      </c>
      <c r="X137" s="949"/>
      <c r="Y137" s="949"/>
      <c r="Z137" s="949"/>
      <c r="AA137" s="949"/>
      <c r="AB137" s="934" t="s">
        <v>30823</v>
      </c>
      <c r="AC137" s="935"/>
      <c r="AD137" s="935"/>
      <c r="AE137" s="935"/>
      <c r="AF137" s="935"/>
      <c r="AG137" s="935"/>
      <c r="AH137" s="935"/>
      <c r="AI137" s="935"/>
      <c r="AJ137" s="935"/>
      <c r="AK137" s="935"/>
      <c r="AL137" s="427" t="s">
        <v>15626</v>
      </c>
      <c r="AM137" s="964">
        <f>$AM$8</f>
        <v>0.7</v>
      </c>
      <c r="AN137" s="964"/>
      <c r="AO137" s="575"/>
      <c r="AP137" s="575"/>
      <c r="AQ137" s="575"/>
      <c r="AR137" s="592"/>
      <c r="AS137" s="489">
        <f>ROUND(ROUND(ROUND(I137*S138,0)*$U$135,0)*AM137,0)</f>
        <v>396</v>
      </c>
      <c r="AT137" s="359"/>
    </row>
    <row r="138" spans="1:46" ht="17.100000000000001" customHeight="1" x14ac:dyDescent="0.15">
      <c r="A138" s="340">
        <v>21</v>
      </c>
      <c r="B138" s="341">
        <v>9870</v>
      </c>
      <c r="C138" s="390" t="s">
        <v>31281</v>
      </c>
      <c r="D138" s="430"/>
      <c r="E138" s="431"/>
      <c r="F138" s="423"/>
      <c r="G138" s="425"/>
      <c r="K138" s="152"/>
      <c r="L138" s="387"/>
      <c r="M138" s="338"/>
      <c r="N138" s="338"/>
      <c r="O138" s="338"/>
      <c r="P138" s="338"/>
      <c r="Q138" s="338"/>
      <c r="R138" s="391" t="s">
        <v>15626</v>
      </c>
      <c r="S138" s="936">
        <f>$S$12</f>
        <v>0.96499999999999997</v>
      </c>
      <c r="T138" s="937"/>
      <c r="U138" s="494"/>
      <c r="V138" s="495"/>
      <c r="W138" s="948"/>
      <c r="X138" s="949"/>
      <c r="Y138" s="949"/>
      <c r="Z138" s="949"/>
      <c r="AA138" s="949"/>
      <c r="AB138" s="934" t="s">
        <v>30825</v>
      </c>
      <c r="AC138" s="935"/>
      <c r="AD138" s="935"/>
      <c r="AE138" s="935"/>
      <c r="AF138" s="935"/>
      <c r="AG138" s="935"/>
      <c r="AH138" s="935"/>
      <c r="AI138" s="935"/>
      <c r="AJ138" s="935"/>
      <c r="AK138" s="935"/>
      <c r="AL138" s="427" t="s">
        <v>15626</v>
      </c>
      <c r="AM138" s="964">
        <f>$AM$9</f>
        <v>0.5</v>
      </c>
      <c r="AN138" s="964"/>
      <c r="AO138" s="568"/>
      <c r="AP138" s="568"/>
      <c r="AQ138" s="568"/>
      <c r="AR138" s="599"/>
      <c r="AS138" s="489">
        <f>ROUND(ROUND(ROUND(I137*S138,0)*$U$135,0)*AM138,0)</f>
        <v>283</v>
      </c>
      <c r="AT138" s="359"/>
    </row>
    <row r="139" spans="1:46" ht="17.100000000000001" customHeight="1" x14ac:dyDescent="0.15">
      <c r="A139" s="340">
        <v>21</v>
      </c>
      <c r="B139" s="341" t="s">
        <v>31282</v>
      </c>
      <c r="C139" s="342" t="s">
        <v>31283</v>
      </c>
      <c r="D139" s="941" t="s">
        <v>30818</v>
      </c>
      <c r="E139" s="942"/>
      <c r="F139" s="941" t="s">
        <v>30819</v>
      </c>
      <c r="G139" s="942"/>
      <c r="H139" s="861" t="s">
        <v>30820</v>
      </c>
      <c r="I139" s="862"/>
      <c r="J139" s="862"/>
      <c r="K139" s="862"/>
      <c r="L139" s="863"/>
      <c r="M139" s="396"/>
      <c r="N139" s="400"/>
      <c r="O139" s="400"/>
      <c r="P139" s="400"/>
      <c r="Q139" s="400"/>
      <c r="R139" s="400"/>
      <c r="S139" s="400"/>
      <c r="T139" s="429"/>
      <c r="U139" s="916" t="s">
        <v>31150</v>
      </c>
      <c r="V139" s="972" t="s">
        <v>30825</v>
      </c>
      <c r="W139" s="330"/>
      <c r="X139" s="454"/>
      <c r="Y139" s="459"/>
      <c r="Z139" s="568"/>
      <c r="AA139" s="343"/>
      <c r="AB139" s="396"/>
      <c r="AC139" s="396"/>
      <c r="AD139" s="427"/>
      <c r="AE139" s="427"/>
      <c r="AF139" s="396"/>
      <c r="AG139" s="396"/>
      <c r="AH139" s="396"/>
      <c r="AI139" s="396"/>
      <c r="AJ139" s="396"/>
      <c r="AK139" s="396"/>
      <c r="AL139" s="427"/>
      <c r="AM139" s="964"/>
      <c r="AN139" s="964"/>
      <c r="AO139" s="575"/>
      <c r="AP139" s="575"/>
      <c r="AQ139" s="575"/>
      <c r="AR139" s="592"/>
      <c r="AS139" s="489">
        <f>ROUND(I143*$U$159,0)</f>
        <v>483</v>
      </c>
      <c r="AT139" s="329" t="s">
        <v>30681</v>
      </c>
    </row>
    <row r="140" spans="1:46" ht="17.100000000000001" customHeight="1" x14ac:dyDescent="0.15">
      <c r="A140" s="340">
        <v>21</v>
      </c>
      <c r="B140" s="341" t="s">
        <v>405</v>
      </c>
      <c r="C140" s="342" t="s">
        <v>31284</v>
      </c>
      <c r="D140" s="943"/>
      <c r="E140" s="944"/>
      <c r="F140" s="943"/>
      <c r="G140" s="944"/>
      <c r="H140" s="864"/>
      <c r="I140" s="865"/>
      <c r="J140" s="865"/>
      <c r="K140" s="865"/>
      <c r="L140" s="866"/>
      <c r="M140" s="151"/>
      <c r="N140" s="151"/>
      <c r="O140" s="151"/>
      <c r="P140" s="151"/>
      <c r="Q140" s="151"/>
      <c r="R140" s="151"/>
      <c r="S140" s="151"/>
      <c r="T140" s="495"/>
      <c r="U140" s="912"/>
      <c r="V140" s="973"/>
      <c r="W140" s="948" t="s">
        <v>30822</v>
      </c>
      <c r="X140" s="949"/>
      <c r="Y140" s="949"/>
      <c r="Z140" s="949"/>
      <c r="AA140" s="949"/>
      <c r="AB140" s="934" t="s">
        <v>30823</v>
      </c>
      <c r="AC140" s="935"/>
      <c r="AD140" s="935"/>
      <c r="AE140" s="935"/>
      <c r="AF140" s="935"/>
      <c r="AG140" s="935"/>
      <c r="AH140" s="935"/>
      <c r="AI140" s="935"/>
      <c r="AJ140" s="935"/>
      <c r="AK140" s="935"/>
      <c r="AL140" s="427" t="s">
        <v>15626</v>
      </c>
      <c r="AM140" s="964">
        <f>$AM$8</f>
        <v>0.7</v>
      </c>
      <c r="AN140" s="964"/>
      <c r="AO140" s="575"/>
      <c r="AP140" s="575"/>
      <c r="AQ140" s="575"/>
      <c r="AR140" s="592"/>
      <c r="AS140" s="489">
        <f>ROUND(ROUND(I143*$U$159,0)*AM140,0)</f>
        <v>338</v>
      </c>
      <c r="AT140" s="339"/>
    </row>
    <row r="141" spans="1:46" ht="17.100000000000001" customHeight="1" x14ac:dyDescent="0.15">
      <c r="A141" s="340">
        <v>21</v>
      </c>
      <c r="B141" s="341" t="s">
        <v>407</v>
      </c>
      <c r="C141" s="342" t="s">
        <v>31285</v>
      </c>
      <c r="D141" s="943"/>
      <c r="E141" s="944"/>
      <c r="F141" s="943"/>
      <c r="G141" s="944"/>
      <c r="H141" s="430"/>
      <c r="I141" s="431"/>
      <c r="J141" s="431"/>
      <c r="K141" s="431"/>
      <c r="L141" s="432"/>
      <c r="M141" s="151"/>
      <c r="N141" s="151"/>
      <c r="O141" s="151"/>
      <c r="P141" s="151"/>
      <c r="Q141" s="151"/>
      <c r="R141" s="151"/>
      <c r="S141" s="151"/>
      <c r="T141" s="495"/>
      <c r="U141" s="912"/>
      <c r="V141" s="973"/>
      <c r="W141" s="948"/>
      <c r="X141" s="949"/>
      <c r="Y141" s="949"/>
      <c r="Z141" s="949"/>
      <c r="AA141" s="949"/>
      <c r="AB141" s="934" t="s">
        <v>30825</v>
      </c>
      <c r="AC141" s="935"/>
      <c r="AD141" s="935"/>
      <c r="AE141" s="935"/>
      <c r="AF141" s="935"/>
      <c r="AG141" s="935"/>
      <c r="AH141" s="935"/>
      <c r="AI141" s="935"/>
      <c r="AJ141" s="935"/>
      <c r="AK141" s="935"/>
      <c r="AL141" s="427" t="s">
        <v>15626</v>
      </c>
      <c r="AM141" s="964">
        <f>$AM$9</f>
        <v>0.5</v>
      </c>
      <c r="AN141" s="964"/>
      <c r="AO141" s="575"/>
      <c r="AP141" s="575"/>
      <c r="AQ141" s="575"/>
      <c r="AR141" s="592"/>
      <c r="AS141" s="489">
        <f>ROUND(ROUND(I143*$U$159,0)*AM141,0)</f>
        <v>242</v>
      </c>
      <c r="AT141" s="339"/>
    </row>
    <row r="142" spans="1:46" ht="17.100000000000001" customHeight="1" x14ac:dyDescent="0.15">
      <c r="A142" s="340">
        <v>21</v>
      </c>
      <c r="B142" s="341" t="s">
        <v>409</v>
      </c>
      <c r="C142" s="342" t="s">
        <v>31286</v>
      </c>
      <c r="D142" s="943"/>
      <c r="E142" s="944"/>
      <c r="F142" s="943"/>
      <c r="G142" s="944"/>
      <c r="H142" s="490"/>
      <c r="L142" s="495"/>
      <c r="M142" s="862" t="s">
        <v>30827</v>
      </c>
      <c r="N142" s="862"/>
      <c r="O142" s="862"/>
      <c r="P142" s="862"/>
      <c r="Q142" s="862"/>
      <c r="R142" s="862"/>
      <c r="S142" s="862"/>
      <c r="T142" s="863"/>
      <c r="U142" s="912"/>
      <c r="V142" s="973"/>
      <c r="W142" s="447"/>
      <c r="X142" s="474"/>
      <c r="Y142" s="343"/>
      <c r="Z142" s="343"/>
      <c r="AA142" s="343"/>
      <c r="AB142" s="396"/>
      <c r="AC142" s="396"/>
      <c r="AD142" s="427"/>
      <c r="AE142" s="427"/>
      <c r="AF142" s="396"/>
      <c r="AG142" s="396"/>
      <c r="AH142" s="396"/>
      <c r="AI142" s="396"/>
      <c r="AJ142" s="396"/>
      <c r="AK142" s="396"/>
      <c r="AL142" s="427"/>
      <c r="AM142" s="964"/>
      <c r="AN142" s="964"/>
      <c r="AO142" s="575"/>
      <c r="AP142" s="575"/>
      <c r="AQ142" s="575"/>
      <c r="AR142" s="592"/>
      <c r="AS142" s="489">
        <f>ROUND(ROUND(I143*S144,0)*$U$159,0)</f>
        <v>466</v>
      </c>
      <c r="AT142" s="339"/>
    </row>
    <row r="143" spans="1:46" ht="17.100000000000001" customHeight="1" x14ac:dyDescent="0.15">
      <c r="A143" s="340">
        <v>21</v>
      </c>
      <c r="B143" s="341" t="s">
        <v>20010</v>
      </c>
      <c r="C143" s="342" t="s">
        <v>31287</v>
      </c>
      <c r="D143" s="943"/>
      <c r="E143" s="944"/>
      <c r="F143" s="943"/>
      <c r="G143" s="944"/>
      <c r="H143" s="490"/>
      <c r="I143" s="965">
        <f>'5療養介護(基本)'!I10</f>
        <v>965</v>
      </c>
      <c r="J143" s="965"/>
      <c r="K143" s="152" t="s">
        <v>15624</v>
      </c>
      <c r="L143" s="387"/>
      <c r="M143" s="865"/>
      <c r="N143" s="865"/>
      <c r="O143" s="865"/>
      <c r="P143" s="865"/>
      <c r="Q143" s="865"/>
      <c r="R143" s="865"/>
      <c r="S143" s="865"/>
      <c r="T143" s="866"/>
      <c r="U143" s="912"/>
      <c r="V143" s="973"/>
      <c r="W143" s="948" t="s">
        <v>30822</v>
      </c>
      <c r="X143" s="949"/>
      <c r="Y143" s="949"/>
      <c r="Z143" s="949"/>
      <c r="AA143" s="949"/>
      <c r="AB143" s="934" t="s">
        <v>30823</v>
      </c>
      <c r="AC143" s="935"/>
      <c r="AD143" s="935"/>
      <c r="AE143" s="935"/>
      <c r="AF143" s="935"/>
      <c r="AG143" s="935"/>
      <c r="AH143" s="935"/>
      <c r="AI143" s="935"/>
      <c r="AJ143" s="935"/>
      <c r="AK143" s="935"/>
      <c r="AL143" s="427" t="s">
        <v>15626</v>
      </c>
      <c r="AM143" s="964">
        <f>$AM$8</f>
        <v>0.7</v>
      </c>
      <c r="AN143" s="964"/>
      <c r="AO143" s="575"/>
      <c r="AP143" s="575"/>
      <c r="AQ143" s="575"/>
      <c r="AR143" s="592"/>
      <c r="AS143" s="489">
        <f>ROUND(ROUND(ROUND(I143*S144,0)*$U$159,0)*AM143,0)</f>
        <v>326</v>
      </c>
      <c r="AT143" s="339"/>
    </row>
    <row r="144" spans="1:46" ht="17.100000000000001" customHeight="1" x14ac:dyDescent="0.15">
      <c r="A144" s="340">
        <v>21</v>
      </c>
      <c r="B144" s="341" t="s">
        <v>20012</v>
      </c>
      <c r="C144" s="342" t="s">
        <v>31288</v>
      </c>
      <c r="D144" s="943"/>
      <c r="E144" s="944"/>
      <c r="F144" s="943"/>
      <c r="G144" s="944"/>
      <c r="H144" s="490"/>
      <c r="K144" s="152"/>
      <c r="L144" s="387"/>
      <c r="M144" s="338"/>
      <c r="N144" s="338"/>
      <c r="O144" s="338"/>
      <c r="P144" s="338"/>
      <c r="Q144" s="338"/>
      <c r="R144" s="391" t="s">
        <v>15626</v>
      </c>
      <c r="S144" s="936">
        <f>$S$12</f>
        <v>0.96499999999999997</v>
      </c>
      <c r="T144" s="937"/>
      <c r="U144" s="912"/>
      <c r="V144" s="973"/>
      <c r="W144" s="948"/>
      <c r="X144" s="949"/>
      <c r="Y144" s="949"/>
      <c r="Z144" s="949"/>
      <c r="AA144" s="949"/>
      <c r="AB144" s="934" t="s">
        <v>30825</v>
      </c>
      <c r="AC144" s="935"/>
      <c r="AD144" s="935"/>
      <c r="AE144" s="935"/>
      <c r="AF144" s="935"/>
      <c r="AG144" s="935"/>
      <c r="AH144" s="935"/>
      <c r="AI144" s="935"/>
      <c r="AJ144" s="935"/>
      <c r="AK144" s="935"/>
      <c r="AL144" s="427" t="s">
        <v>15626</v>
      </c>
      <c r="AM144" s="964">
        <f>$AM$9</f>
        <v>0.5</v>
      </c>
      <c r="AN144" s="964"/>
      <c r="AO144" s="568"/>
      <c r="AP144" s="568"/>
      <c r="AQ144" s="568"/>
      <c r="AR144" s="599"/>
      <c r="AS144" s="489">
        <f>ROUND(ROUND(ROUND(I143*S144,0)*$U$159,0)*AM144,0)</f>
        <v>233</v>
      </c>
      <c r="AT144" s="339"/>
    </row>
    <row r="145" spans="1:46" ht="17.100000000000001" customHeight="1" x14ac:dyDescent="0.15">
      <c r="A145" s="340">
        <v>21</v>
      </c>
      <c r="B145" s="341" t="s">
        <v>20026</v>
      </c>
      <c r="C145" s="342" t="s">
        <v>31289</v>
      </c>
      <c r="D145" s="943"/>
      <c r="E145" s="944"/>
      <c r="F145" s="943"/>
      <c r="G145" s="944"/>
      <c r="H145" s="861" t="s">
        <v>30831</v>
      </c>
      <c r="I145" s="862"/>
      <c r="J145" s="862"/>
      <c r="K145" s="862"/>
      <c r="L145" s="863"/>
      <c r="M145" s="396"/>
      <c r="N145" s="400"/>
      <c r="O145" s="400"/>
      <c r="P145" s="400"/>
      <c r="Q145" s="400"/>
      <c r="R145" s="400"/>
      <c r="S145" s="400"/>
      <c r="T145" s="429"/>
      <c r="U145" s="912"/>
      <c r="V145" s="973"/>
      <c r="W145" s="330"/>
      <c r="X145" s="454"/>
      <c r="Y145" s="459"/>
      <c r="Z145" s="568"/>
      <c r="AA145" s="343"/>
      <c r="AB145" s="396"/>
      <c r="AC145" s="396"/>
      <c r="AD145" s="427"/>
      <c r="AE145" s="427"/>
      <c r="AF145" s="396"/>
      <c r="AG145" s="396"/>
      <c r="AH145" s="396"/>
      <c r="AI145" s="396"/>
      <c r="AJ145" s="396"/>
      <c r="AK145" s="396"/>
      <c r="AL145" s="427"/>
      <c r="AM145" s="964"/>
      <c r="AN145" s="964"/>
      <c r="AO145" s="575"/>
      <c r="AP145" s="575"/>
      <c r="AQ145" s="575"/>
      <c r="AR145" s="592"/>
      <c r="AS145" s="489">
        <f>ROUND(I149*$U$159,0)</f>
        <v>470</v>
      </c>
      <c r="AT145" s="339"/>
    </row>
    <row r="146" spans="1:46" ht="17.100000000000001" customHeight="1" x14ac:dyDescent="0.15">
      <c r="A146" s="340">
        <v>21</v>
      </c>
      <c r="B146" s="341" t="s">
        <v>20028</v>
      </c>
      <c r="C146" s="342" t="s">
        <v>31290</v>
      </c>
      <c r="D146" s="943"/>
      <c r="E146" s="944"/>
      <c r="F146" s="943"/>
      <c r="G146" s="944"/>
      <c r="H146" s="864"/>
      <c r="I146" s="865"/>
      <c r="J146" s="865"/>
      <c r="K146" s="865"/>
      <c r="L146" s="866"/>
      <c r="M146" s="151"/>
      <c r="N146" s="151"/>
      <c r="O146" s="151"/>
      <c r="P146" s="151"/>
      <c r="Q146" s="151"/>
      <c r="R146" s="151"/>
      <c r="S146" s="151"/>
      <c r="T146" s="495"/>
      <c r="U146" s="912"/>
      <c r="V146" s="973"/>
      <c r="W146" s="948" t="s">
        <v>30822</v>
      </c>
      <c r="X146" s="949"/>
      <c r="Y146" s="949"/>
      <c r="Z146" s="949"/>
      <c r="AA146" s="949"/>
      <c r="AB146" s="934" t="s">
        <v>30823</v>
      </c>
      <c r="AC146" s="935"/>
      <c r="AD146" s="935"/>
      <c r="AE146" s="935"/>
      <c r="AF146" s="935"/>
      <c r="AG146" s="935"/>
      <c r="AH146" s="935"/>
      <c r="AI146" s="935"/>
      <c r="AJ146" s="935"/>
      <c r="AK146" s="935"/>
      <c r="AL146" s="427" t="s">
        <v>15626</v>
      </c>
      <c r="AM146" s="964">
        <f>$AM$8</f>
        <v>0.7</v>
      </c>
      <c r="AN146" s="964"/>
      <c r="AO146" s="575"/>
      <c r="AP146" s="575"/>
      <c r="AQ146" s="575"/>
      <c r="AR146" s="592"/>
      <c r="AS146" s="489">
        <f>ROUND(ROUND(I149*$U$159,0)*AM146,0)</f>
        <v>329</v>
      </c>
      <c r="AT146" s="339"/>
    </row>
    <row r="147" spans="1:46" ht="17.100000000000001" customHeight="1" x14ac:dyDescent="0.15">
      <c r="A147" s="340">
        <v>21</v>
      </c>
      <c r="B147" s="341" t="s">
        <v>20030</v>
      </c>
      <c r="C147" s="342" t="s">
        <v>31291</v>
      </c>
      <c r="D147" s="943"/>
      <c r="E147" s="944"/>
      <c r="F147" s="943"/>
      <c r="G147" s="944"/>
      <c r="H147" s="423"/>
      <c r="I147" s="424"/>
      <c r="J147" s="424"/>
      <c r="K147" s="424"/>
      <c r="L147" s="425"/>
      <c r="M147" s="151"/>
      <c r="N147" s="151"/>
      <c r="O147" s="151"/>
      <c r="P147" s="151"/>
      <c r="Q147" s="151"/>
      <c r="R147" s="151"/>
      <c r="S147" s="151"/>
      <c r="T147" s="495"/>
      <c r="U147" s="912"/>
      <c r="V147" s="973"/>
      <c r="W147" s="948"/>
      <c r="X147" s="949"/>
      <c r="Y147" s="949"/>
      <c r="Z147" s="949"/>
      <c r="AA147" s="949"/>
      <c r="AB147" s="934" t="s">
        <v>30825</v>
      </c>
      <c r="AC147" s="935"/>
      <c r="AD147" s="935"/>
      <c r="AE147" s="935"/>
      <c r="AF147" s="935"/>
      <c r="AG147" s="935"/>
      <c r="AH147" s="935"/>
      <c r="AI147" s="935"/>
      <c r="AJ147" s="935"/>
      <c r="AK147" s="935"/>
      <c r="AL147" s="427" t="s">
        <v>15626</v>
      </c>
      <c r="AM147" s="964">
        <f>$AM$9</f>
        <v>0.5</v>
      </c>
      <c r="AN147" s="964"/>
      <c r="AO147" s="575"/>
      <c r="AP147" s="575"/>
      <c r="AQ147" s="575"/>
      <c r="AR147" s="592"/>
      <c r="AS147" s="489">
        <f>ROUND(ROUND(I149*$U$159,0)*AM147,0)</f>
        <v>235</v>
      </c>
      <c r="AT147" s="339"/>
    </row>
    <row r="148" spans="1:46" ht="17.100000000000001" customHeight="1" x14ac:dyDescent="0.15">
      <c r="A148" s="340">
        <v>21</v>
      </c>
      <c r="B148" s="341" t="s">
        <v>20033</v>
      </c>
      <c r="C148" s="342" t="s">
        <v>31292</v>
      </c>
      <c r="D148" s="943"/>
      <c r="E148" s="944"/>
      <c r="F148" s="943"/>
      <c r="G148" s="944"/>
      <c r="H148" s="423"/>
      <c r="I148" s="424"/>
      <c r="L148" s="495"/>
      <c r="M148" s="862" t="s">
        <v>30827</v>
      </c>
      <c r="N148" s="862"/>
      <c r="O148" s="862"/>
      <c r="P148" s="862"/>
      <c r="Q148" s="862"/>
      <c r="R148" s="862"/>
      <c r="S148" s="862"/>
      <c r="T148" s="863"/>
      <c r="U148" s="912"/>
      <c r="V148" s="973"/>
      <c r="W148" s="447"/>
      <c r="X148" s="474"/>
      <c r="Y148" s="343"/>
      <c r="Z148" s="343"/>
      <c r="AA148" s="343"/>
      <c r="AB148" s="396"/>
      <c r="AC148" s="396"/>
      <c r="AD148" s="427"/>
      <c r="AE148" s="427"/>
      <c r="AF148" s="396"/>
      <c r="AG148" s="396"/>
      <c r="AH148" s="396"/>
      <c r="AI148" s="396"/>
      <c r="AJ148" s="396"/>
      <c r="AK148" s="396"/>
      <c r="AL148" s="427"/>
      <c r="AM148" s="964"/>
      <c r="AN148" s="964"/>
      <c r="AO148" s="575"/>
      <c r="AP148" s="575"/>
      <c r="AQ148" s="575"/>
      <c r="AR148" s="592"/>
      <c r="AS148" s="489">
        <f>ROUND(ROUND(I149*S150,0)*$U$159,0)</f>
        <v>453</v>
      </c>
      <c r="AT148" s="339"/>
    </row>
    <row r="149" spans="1:46" ht="17.100000000000001" customHeight="1" x14ac:dyDescent="0.15">
      <c r="A149" s="340">
        <v>21</v>
      </c>
      <c r="B149" s="341" t="s">
        <v>20035</v>
      </c>
      <c r="C149" s="342" t="s">
        <v>31293</v>
      </c>
      <c r="D149" s="943"/>
      <c r="E149" s="944"/>
      <c r="F149" s="943"/>
      <c r="G149" s="944"/>
      <c r="H149" s="423"/>
      <c r="I149" s="965">
        <f>'5療養介護(基本)'!I16</f>
        <v>939</v>
      </c>
      <c r="J149" s="965"/>
      <c r="K149" s="152" t="s">
        <v>15624</v>
      </c>
      <c r="L149" s="425"/>
      <c r="M149" s="865"/>
      <c r="N149" s="865"/>
      <c r="O149" s="865"/>
      <c r="P149" s="865"/>
      <c r="Q149" s="865"/>
      <c r="R149" s="865"/>
      <c r="S149" s="865"/>
      <c r="T149" s="866"/>
      <c r="U149" s="912"/>
      <c r="V149" s="973"/>
      <c r="W149" s="948" t="s">
        <v>30822</v>
      </c>
      <c r="X149" s="949"/>
      <c r="Y149" s="949"/>
      <c r="Z149" s="949"/>
      <c r="AA149" s="949"/>
      <c r="AB149" s="934" t="s">
        <v>30823</v>
      </c>
      <c r="AC149" s="935"/>
      <c r="AD149" s="935"/>
      <c r="AE149" s="935"/>
      <c r="AF149" s="935"/>
      <c r="AG149" s="935"/>
      <c r="AH149" s="935"/>
      <c r="AI149" s="935"/>
      <c r="AJ149" s="935"/>
      <c r="AK149" s="935"/>
      <c r="AL149" s="427" t="s">
        <v>15626</v>
      </c>
      <c r="AM149" s="964">
        <f>$AM$8</f>
        <v>0.7</v>
      </c>
      <c r="AN149" s="964"/>
      <c r="AO149" s="575"/>
      <c r="AP149" s="575"/>
      <c r="AQ149" s="575"/>
      <c r="AR149" s="592"/>
      <c r="AS149" s="489">
        <f>ROUND(ROUND(ROUND(I149*S150,0)*$U$159,0)*AM149,0)</f>
        <v>317</v>
      </c>
      <c r="AT149" s="339"/>
    </row>
    <row r="150" spans="1:46" ht="17.100000000000001" customHeight="1" x14ac:dyDescent="0.15">
      <c r="A150" s="340">
        <v>21</v>
      </c>
      <c r="B150" s="341" t="s">
        <v>20037</v>
      </c>
      <c r="C150" s="342" t="s">
        <v>31294</v>
      </c>
      <c r="D150" s="943"/>
      <c r="E150" s="944"/>
      <c r="F150" s="943"/>
      <c r="G150" s="944"/>
      <c r="H150" s="423"/>
      <c r="I150" s="618"/>
      <c r="J150" s="618"/>
      <c r="K150" s="618"/>
      <c r="L150" s="619"/>
      <c r="M150" s="338"/>
      <c r="N150" s="338"/>
      <c r="O150" s="338"/>
      <c r="P150" s="338"/>
      <c r="Q150" s="338"/>
      <c r="R150" s="391" t="s">
        <v>15626</v>
      </c>
      <c r="S150" s="936">
        <f>$S$12</f>
        <v>0.96499999999999997</v>
      </c>
      <c r="T150" s="937"/>
      <c r="U150" s="912"/>
      <c r="V150" s="973"/>
      <c r="W150" s="948"/>
      <c r="X150" s="949"/>
      <c r="Y150" s="949"/>
      <c r="Z150" s="949"/>
      <c r="AA150" s="949"/>
      <c r="AB150" s="934" t="s">
        <v>30825</v>
      </c>
      <c r="AC150" s="935"/>
      <c r="AD150" s="935"/>
      <c r="AE150" s="935"/>
      <c r="AF150" s="935"/>
      <c r="AG150" s="935"/>
      <c r="AH150" s="935"/>
      <c r="AI150" s="935"/>
      <c r="AJ150" s="935"/>
      <c r="AK150" s="935"/>
      <c r="AL150" s="427" t="s">
        <v>15626</v>
      </c>
      <c r="AM150" s="964">
        <f>$AM$9</f>
        <v>0.5</v>
      </c>
      <c r="AN150" s="964"/>
      <c r="AO150" s="568"/>
      <c r="AP150" s="568"/>
      <c r="AQ150" s="568"/>
      <c r="AR150" s="599"/>
      <c r="AS150" s="489">
        <f>ROUND(ROUND(ROUND(I149*S150,0)*$U$159,0)*AM150,0)</f>
        <v>227</v>
      </c>
      <c r="AT150" s="339"/>
    </row>
    <row r="151" spans="1:46" ht="17.100000000000001" customHeight="1" x14ac:dyDescent="0.15">
      <c r="A151" s="340">
        <v>21</v>
      </c>
      <c r="B151" s="341" t="s">
        <v>20047</v>
      </c>
      <c r="C151" s="342" t="s">
        <v>31295</v>
      </c>
      <c r="D151" s="423"/>
      <c r="E151" s="424"/>
      <c r="F151" s="423"/>
      <c r="G151" s="424"/>
      <c r="H151" s="861" t="s">
        <v>30838</v>
      </c>
      <c r="I151" s="862"/>
      <c r="J151" s="862"/>
      <c r="K151" s="862"/>
      <c r="L151" s="863"/>
      <c r="M151" s="396"/>
      <c r="N151" s="400"/>
      <c r="O151" s="400"/>
      <c r="P151" s="400"/>
      <c r="Q151" s="400"/>
      <c r="R151" s="400"/>
      <c r="S151" s="400"/>
      <c r="T151" s="429"/>
      <c r="U151" s="912"/>
      <c r="V151" s="973"/>
      <c r="W151" s="330"/>
      <c r="X151" s="454"/>
      <c r="Y151" s="459"/>
      <c r="Z151" s="568"/>
      <c r="AA151" s="343"/>
      <c r="AB151" s="396"/>
      <c r="AC151" s="396"/>
      <c r="AD151" s="427"/>
      <c r="AE151" s="427"/>
      <c r="AF151" s="396"/>
      <c r="AG151" s="396"/>
      <c r="AH151" s="396"/>
      <c r="AI151" s="396"/>
      <c r="AJ151" s="396"/>
      <c r="AK151" s="396"/>
      <c r="AL151" s="427"/>
      <c r="AM151" s="964"/>
      <c r="AN151" s="964"/>
      <c r="AO151" s="575"/>
      <c r="AP151" s="575"/>
      <c r="AQ151" s="575"/>
      <c r="AR151" s="592"/>
      <c r="AS151" s="489">
        <f>ROUND(I155*$U$159,0)</f>
        <v>446</v>
      </c>
      <c r="AT151" s="339"/>
    </row>
    <row r="152" spans="1:46" ht="17.100000000000001" customHeight="1" x14ac:dyDescent="0.15">
      <c r="A152" s="340">
        <v>21</v>
      </c>
      <c r="B152" s="341" t="s">
        <v>20049</v>
      </c>
      <c r="C152" s="342" t="s">
        <v>31296</v>
      </c>
      <c r="D152" s="423"/>
      <c r="E152" s="424"/>
      <c r="F152" s="423"/>
      <c r="G152" s="424"/>
      <c r="H152" s="864"/>
      <c r="I152" s="865"/>
      <c r="J152" s="865"/>
      <c r="K152" s="865"/>
      <c r="L152" s="866"/>
      <c r="M152" s="151"/>
      <c r="N152" s="151"/>
      <c r="O152" s="151"/>
      <c r="P152" s="151"/>
      <c r="Q152" s="151"/>
      <c r="R152" s="151"/>
      <c r="S152" s="151"/>
      <c r="T152" s="495"/>
      <c r="U152" s="912"/>
      <c r="V152" s="973"/>
      <c r="W152" s="948" t="s">
        <v>30822</v>
      </c>
      <c r="X152" s="949"/>
      <c r="Y152" s="949"/>
      <c r="Z152" s="949"/>
      <c r="AA152" s="949"/>
      <c r="AB152" s="934" t="s">
        <v>30823</v>
      </c>
      <c r="AC152" s="935"/>
      <c r="AD152" s="935"/>
      <c r="AE152" s="935"/>
      <c r="AF152" s="935"/>
      <c r="AG152" s="935"/>
      <c r="AH152" s="935"/>
      <c r="AI152" s="935"/>
      <c r="AJ152" s="935"/>
      <c r="AK152" s="935"/>
      <c r="AL152" s="427" t="s">
        <v>15626</v>
      </c>
      <c r="AM152" s="964">
        <f>$AM$8</f>
        <v>0.7</v>
      </c>
      <c r="AN152" s="964"/>
      <c r="AO152" s="575"/>
      <c r="AP152" s="575"/>
      <c r="AQ152" s="575"/>
      <c r="AR152" s="592"/>
      <c r="AS152" s="489">
        <f>ROUND(ROUND(I155*$U$159,0)*AM152,0)</f>
        <v>312</v>
      </c>
      <c r="AT152" s="339"/>
    </row>
    <row r="153" spans="1:46" ht="17.100000000000001" customHeight="1" x14ac:dyDescent="0.15">
      <c r="A153" s="340">
        <v>21</v>
      </c>
      <c r="B153" s="341" t="s">
        <v>20051</v>
      </c>
      <c r="C153" s="342" t="s">
        <v>31297</v>
      </c>
      <c r="D153" s="423"/>
      <c r="E153" s="424"/>
      <c r="F153" s="423"/>
      <c r="G153" s="424"/>
      <c r="H153" s="490"/>
      <c r="K153" s="152"/>
      <c r="L153" s="387"/>
      <c r="M153" s="151"/>
      <c r="N153" s="151"/>
      <c r="O153" s="151"/>
      <c r="P153" s="151"/>
      <c r="Q153" s="151"/>
      <c r="R153" s="151"/>
      <c r="S153" s="151"/>
      <c r="T153" s="495"/>
      <c r="U153" s="912"/>
      <c r="V153" s="973"/>
      <c r="W153" s="948"/>
      <c r="X153" s="949"/>
      <c r="Y153" s="949"/>
      <c r="Z153" s="949"/>
      <c r="AA153" s="949"/>
      <c r="AB153" s="934" t="s">
        <v>30825</v>
      </c>
      <c r="AC153" s="935"/>
      <c r="AD153" s="935"/>
      <c r="AE153" s="935"/>
      <c r="AF153" s="935"/>
      <c r="AG153" s="935"/>
      <c r="AH153" s="935"/>
      <c r="AI153" s="935"/>
      <c r="AJ153" s="935"/>
      <c r="AK153" s="935"/>
      <c r="AL153" s="427" t="s">
        <v>15626</v>
      </c>
      <c r="AM153" s="964">
        <f>$AM$9</f>
        <v>0.5</v>
      </c>
      <c r="AN153" s="964"/>
      <c r="AO153" s="575"/>
      <c r="AP153" s="575"/>
      <c r="AQ153" s="575"/>
      <c r="AR153" s="592"/>
      <c r="AS153" s="489">
        <f>ROUND(ROUND(I155*$U$159,0)*AM153,0)</f>
        <v>223</v>
      </c>
      <c r="AT153" s="339"/>
    </row>
    <row r="154" spans="1:46" ht="17.100000000000001" customHeight="1" x14ac:dyDescent="0.15">
      <c r="A154" s="340">
        <v>21</v>
      </c>
      <c r="B154" s="341" t="s">
        <v>20053</v>
      </c>
      <c r="C154" s="342" t="s">
        <v>31298</v>
      </c>
      <c r="D154" s="423"/>
      <c r="E154" s="424"/>
      <c r="F154" s="423"/>
      <c r="G154" s="424"/>
      <c r="H154" s="490"/>
      <c r="L154" s="495"/>
      <c r="M154" s="862" t="s">
        <v>30827</v>
      </c>
      <c r="N154" s="862"/>
      <c r="O154" s="862"/>
      <c r="P154" s="862"/>
      <c r="Q154" s="862"/>
      <c r="R154" s="862"/>
      <c r="S154" s="862"/>
      <c r="T154" s="863"/>
      <c r="U154" s="912"/>
      <c r="V154" s="973"/>
      <c r="W154" s="447"/>
      <c r="X154" s="474"/>
      <c r="Y154" s="343"/>
      <c r="Z154" s="343"/>
      <c r="AA154" s="343"/>
      <c r="AB154" s="396"/>
      <c r="AC154" s="396"/>
      <c r="AD154" s="427"/>
      <c r="AE154" s="427"/>
      <c r="AF154" s="396"/>
      <c r="AG154" s="396"/>
      <c r="AH154" s="396"/>
      <c r="AI154" s="396"/>
      <c r="AJ154" s="396"/>
      <c r="AK154" s="396"/>
      <c r="AL154" s="427"/>
      <c r="AM154" s="964"/>
      <c r="AN154" s="964"/>
      <c r="AO154" s="575"/>
      <c r="AP154" s="575"/>
      <c r="AQ154" s="575"/>
      <c r="AR154" s="592"/>
      <c r="AS154" s="489">
        <f>ROUND(ROUND(I155*S156,0)*$U$159,0)</f>
        <v>430</v>
      </c>
      <c r="AT154" s="339"/>
    </row>
    <row r="155" spans="1:46" ht="17.100000000000001" customHeight="1" x14ac:dyDescent="0.15">
      <c r="A155" s="340">
        <v>21</v>
      </c>
      <c r="B155" s="341" t="s">
        <v>20055</v>
      </c>
      <c r="C155" s="342" t="s">
        <v>31299</v>
      </c>
      <c r="D155" s="423"/>
      <c r="E155" s="424"/>
      <c r="F155" s="423"/>
      <c r="G155" s="424"/>
      <c r="H155" s="490"/>
      <c r="I155" s="965">
        <f>'5療養介護(基本)'!I22</f>
        <v>891</v>
      </c>
      <c r="J155" s="965"/>
      <c r="K155" s="152" t="s">
        <v>15624</v>
      </c>
      <c r="L155" s="387"/>
      <c r="M155" s="865"/>
      <c r="N155" s="865"/>
      <c r="O155" s="865"/>
      <c r="P155" s="865"/>
      <c r="Q155" s="865"/>
      <c r="R155" s="865"/>
      <c r="S155" s="865"/>
      <c r="T155" s="866"/>
      <c r="U155" s="912"/>
      <c r="V155" s="973"/>
      <c r="W155" s="948" t="s">
        <v>30822</v>
      </c>
      <c r="X155" s="949"/>
      <c r="Y155" s="949"/>
      <c r="Z155" s="949"/>
      <c r="AA155" s="949"/>
      <c r="AB155" s="934" t="s">
        <v>30823</v>
      </c>
      <c r="AC155" s="935"/>
      <c r="AD155" s="935"/>
      <c r="AE155" s="935"/>
      <c r="AF155" s="935"/>
      <c r="AG155" s="935"/>
      <c r="AH155" s="935"/>
      <c r="AI155" s="935"/>
      <c r="AJ155" s="935"/>
      <c r="AK155" s="935"/>
      <c r="AL155" s="427" t="s">
        <v>15626</v>
      </c>
      <c r="AM155" s="964">
        <f>$AM$8</f>
        <v>0.7</v>
      </c>
      <c r="AN155" s="964"/>
      <c r="AO155" s="575"/>
      <c r="AP155" s="575"/>
      <c r="AQ155" s="575"/>
      <c r="AR155" s="592"/>
      <c r="AS155" s="489">
        <f>ROUND(ROUND(ROUND(I155*S156,0)*$U$159,0)*AM155,0)</f>
        <v>301</v>
      </c>
      <c r="AT155" s="339"/>
    </row>
    <row r="156" spans="1:46" ht="17.100000000000001" customHeight="1" x14ac:dyDescent="0.15">
      <c r="A156" s="340">
        <v>21</v>
      </c>
      <c r="B156" s="341" t="s">
        <v>20057</v>
      </c>
      <c r="C156" s="342" t="s">
        <v>31300</v>
      </c>
      <c r="D156" s="423"/>
      <c r="E156" s="424"/>
      <c r="F156" s="423"/>
      <c r="G156" s="424"/>
      <c r="H156" s="490"/>
      <c r="K156" s="152"/>
      <c r="L156" s="387"/>
      <c r="M156" s="338"/>
      <c r="N156" s="338"/>
      <c r="O156" s="338"/>
      <c r="P156" s="338"/>
      <c r="Q156" s="338"/>
      <c r="R156" s="391" t="s">
        <v>15626</v>
      </c>
      <c r="S156" s="936">
        <f>$S$12</f>
        <v>0.96499999999999997</v>
      </c>
      <c r="T156" s="937"/>
      <c r="U156" s="912"/>
      <c r="V156" s="973"/>
      <c r="W156" s="948"/>
      <c r="X156" s="949"/>
      <c r="Y156" s="949"/>
      <c r="Z156" s="949"/>
      <c r="AA156" s="949"/>
      <c r="AB156" s="934" t="s">
        <v>30825</v>
      </c>
      <c r="AC156" s="935"/>
      <c r="AD156" s="935"/>
      <c r="AE156" s="935"/>
      <c r="AF156" s="935"/>
      <c r="AG156" s="935"/>
      <c r="AH156" s="935"/>
      <c r="AI156" s="935"/>
      <c r="AJ156" s="935"/>
      <c r="AK156" s="935"/>
      <c r="AL156" s="427" t="s">
        <v>15626</v>
      </c>
      <c r="AM156" s="964">
        <f>$AM$9</f>
        <v>0.5</v>
      </c>
      <c r="AN156" s="964"/>
      <c r="AO156" s="568"/>
      <c r="AP156" s="568"/>
      <c r="AQ156" s="568"/>
      <c r="AR156" s="599"/>
      <c r="AS156" s="489">
        <f>ROUND(ROUND(ROUND(I155*S156,0)*$U$159,0)*AM156,0)</f>
        <v>215</v>
      </c>
      <c r="AT156" s="339"/>
    </row>
    <row r="157" spans="1:46" ht="17.100000000000001" customHeight="1" x14ac:dyDescent="0.15">
      <c r="A157" s="340">
        <v>21</v>
      </c>
      <c r="B157" s="341" t="s">
        <v>20071</v>
      </c>
      <c r="C157" s="342" t="s">
        <v>31301</v>
      </c>
      <c r="D157" s="423"/>
      <c r="E157" s="424"/>
      <c r="F157" s="423"/>
      <c r="G157" s="424"/>
      <c r="H157" s="861" t="s">
        <v>30845</v>
      </c>
      <c r="I157" s="862"/>
      <c r="J157" s="862"/>
      <c r="K157" s="862"/>
      <c r="L157" s="863"/>
      <c r="M157" s="396"/>
      <c r="N157" s="400"/>
      <c r="O157" s="400"/>
      <c r="P157" s="400"/>
      <c r="Q157" s="400"/>
      <c r="R157" s="400"/>
      <c r="S157" s="400"/>
      <c r="T157" s="429"/>
      <c r="U157" s="912"/>
      <c r="V157" s="973"/>
      <c r="W157" s="330"/>
      <c r="X157" s="454"/>
      <c r="Y157" s="459"/>
      <c r="Z157" s="568"/>
      <c r="AA157" s="343"/>
      <c r="AB157" s="396"/>
      <c r="AC157" s="396"/>
      <c r="AD157" s="427"/>
      <c r="AE157" s="427"/>
      <c r="AF157" s="396"/>
      <c r="AG157" s="396"/>
      <c r="AH157" s="396"/>
      <c r="AI157" s="396"/>
      <c r="AJ157" s="396"/>
      <c r="AK157" s="396"/>
      <c r="AL157" s="427"/>
      <c r="AM157" s="964"/>
      <c r="AN157" s="964"/>
      <c r="AO157" s="575"/>
      <c r="AP157" s="575"/>
      <c r="AQ157" s="575"/>
      <c r="AR157" s="592"/>
      <c r="AS157" s="489">
        <f>ROUND(I161*$U$159,0)</f>
        <v>427</v>
      </c>
      <c r="AT157" s="359"/>
    </row>
    <row r="158" spans="1:46" ht="17.100000000000001" customHeight="1" x14ac:dyDescent="0.15">
      <c r="A158" s="340">
        <v>21</v>
      </c>
      <c r="B158" s="341" t="s">
        <v>20073</v>
      </c>
      <c r="C158" s="342" t="s">
        <v>31302</v>
      </c>
      <c r="D158" s="423"/>
      <c r="E158" s="424"/>
      <c r="F158" s="423"/>
      <c r="G158" s="424"/>
      <c r="H158" s="864"/>
      <c r="I158" s="865"/>
      <c r="J158" s="865"/>
      <c r="K158" s="865"/>
      <c r="L158" s="866"/>
      <c r="M158" s="151"/>
      <c r="N158" s="151"/>
      <c r="O158" s="151"/>
      <c r="P158" s="151"/>
      <c r="Q158" s="151"/>
      <c r="R158" s="151"/>
      <c r="S158" s="151"/>
      <c r="T158" s="495"/>
      <c r="U158" s="901" t="s">
        <v>15626</v>
      </c>
      <c r="V158" s="903"/>
      <c r="W158" s="948" t="s">
        <v>30822</v>
      </c>
      <c r="X158" s="949"/>
      <c r="Y158" s="949"/>
      <c r="Z158" s="949"/>
      <c r="AA158" s="949"/>
      <c r="AB158" s="934" t="s">
        <v>30823</v>
      </c>
      <c r="AC158" s="935"/>
      <c r="AD158" s="935"/>
      <c r="AE158" s="935"/>
      <c r="AF158" s="935"/>
      <c r="AG158" s="935"/>
      <c r="AH158" s="935"/>
      <c r="AI158" s="935"/>
      <c r="AJ158" s="935"/>
      <c r="AK158" s="935"/>
      <c r="AL158" s="427" t="s">
        <v>15626</v>
      </c>
      <c r="AM158" s="964">
        <f>$AM$8</f>
        <v>0.7</v>
      </c>
      <c r="AN158" s="964"/>
      <c r="AO158" s="575"/>
      <c r="AP158" s="575"/>
      <c r="AQ158" s="575"/>
      <c r="AR158" s="592"/>
      <c r="AS158" s="489">
        <f>ROUND(ROUND(I161*$U$159,0)*AM158,0)</f>
        <v>299</v>
      </c>
      <c r="AT158" s="359"/>
    </row>
    <row r="159" spans="1:46" ht="17.100000000000001" customHeight="1" x14ac:dyDescent="0.15">
      <c r="A159" s="340">
        <v>21</v>
      </c>
      <c r="B159" s="341" t="s">
        <v>20075</v>
      </c>
      <c r="C159" s="342" t="s">
        <v>31303</v>
      </c>
      <c r="D159" s="423"/>
      <c r="E159" s="424"/>
      <c r="F159" s="423"/>
      <c r="G159" s="424"/>
      <c r="H159" s="430"/>
      <c r="I159" s="431"/>
      <c r="J159" s="431"/>
      <c r="K159" s="431"/>
      <c r="L159" s="432"/>
      <c r="M159" s="151"/>
      <c r="N159" s="151"/>
      <c r="O159" s="151"/>
      <c r="P159" s="151"/>
      <c r="Q159" s="151"/>
      <c r="R159" s="151"/>
      <c r="S159" s="151"/>
      <c r="T159" s="495"/>
      <c r="U159" s="966">
        <v>0.5</v>
      </c>
      <c r="V159" s="967"/>
      <c r="W159" s="948"/>
      <c r="X159" s="949"/>
      <c r="Y159" s="949"/>
      <c r="Z159" s="949"/>
      <c r="AA159" s="949"/>
      <c r="AB159" s="934" t="s">
        <v>30825</v>
      </c>
      <c r="AC159" s="935"/>
      <c r="AD159" s="935"/>
      <c r="AE159" s="935"/>
      <c r="AF159" s="935"/>
      <c r="AG159" s="935"/>
      <c r="AH159" s="935"/>
      <c r="AI159" s="935"/>
      <c r="AJ159" s="935"/>
      <c r="AK159" s="935"/>
      <c r="AL159" s="427" t="s">
        <v>15626</v>
      </c>
      <c r="AM159" s="964">
        <f>$AM$9</f>
        <v>0.5</v>
      </c>
      <c r="AN159" s="964"/>
      <c r="AO159" s="575"/>
      <c r="AP159" s="575"/>
      <c r="AQ159" s="575"/>
      <c r="AR159" s="592"/>
      <c r="AS159" s="489">
        <f>ROUND(ROUND(I161*$U$159,0)*AM159,0)</f>
        <v>214</v>
      </c>
      <c r="AT159" s="359"/>
    </row>
    <row r="160" spans="1:46" ht="17.100000000000001" customHeight="1" x14ac:dyDescent="0.15">
      <c r="A160" s="340">
        <v>21</v>
      </c>
      <c r="B160" s="341" t="s">
        <v>20078</v>
      </c>
      <c r="C160" s="342" t="s">
        <v>31304</v>
      </c>
      <c r="D160" s="423"/>
      <c r="E160" s="424"/>
      <c r="F160" s="423"/>
      <c r="G160" s="424"/>
      <c r="H160" s="490"/>
      <c r="L160" s="495"/>
      <c r="M160" s="862" t="s">
        <v>30827</v>
      </c>
      <c r="N160" s="862"/>
      <c r="O160" s="862"/>
      <c r="P160" s="862"/>
      <c r="Q160" s="862"/>
      <c r="R160" s="862"/>
      <c r="S160" s="862"/>
      <c r="T160" s="863"/>
      <c r="U160" s="499"/>
      <c r="V160" s="620"/>
      <c r="W160" s="447"/>
      <c r="X160" s="474"/>
      <c r="Y160" s="343"/>
      <c r="Z160" s="343"/>
      <c r="AA160" s="343"/>
      <c r="AB160" s="396"/>
      <c r="AC160" s="396"/>
      <c r="AD160" s="427"/>
      <c r="AE160" s="427"/>
      <c r="AF160" s="396"/>
      <c r="AG160" s="396"/>
      <c r="AH160" s="396"/>
      <c r="AI160" s="396"/>
      <c r="AJ160" s="396"/>
      <c r="AK160" s="396"/>
      <c r="AL160" s="427"/>
      <c r="AM160" s="964"/>
      <c r="AN160" s="964"/>
      <c r="AO160" s="575"/>
      <c r="AP160" s="575"/>
      <c r="AQ160" s="575"/>
      <c r="AR160" s="592"/>
      <c r="AS160" s="489">
        <f>ROUND(ROUND(I161*S162,0)*$U$159,0)</f>
        <v>412</v>
      </c>
      <c r="AT160" s="359"/>
    </row>
    <row r="161" spans="1:46" ht="17.100000000000001" customHeight="1" x14ac:dyDescent="0.15">
      <c r="A161" s="340">
        <v>21</v>
      </c>
      <c r="B161" s="341" t="s">
        <v>429</v>
      </c>
      <c r="C161" s="342" t="s">
        <v>31305</v>
      </c>
      <c r="D161" s="423"/>
      <c r="E161" s="424"/>
      <c r="F161" s="423"/>
      <c r="G161" s="424"/>
      <c r="H161" s="490"/>
      <c r="I161" s="965">
        <f>'5療養介護(基本)'!I28</f>
        <v>853</v>
      </c>
      <c r="J161" s="965"/>
      <c r="K161" s="152" t="s">
        <v>15624</v>
      </c>
      <c r="L161" s="387"/>
      <c r="M161" s="865"/>
      <c r="N161" s="865"/>
      <c r="O161" s="865"/>
      <c r="P161" s="865"/>
      <c r="Q161" s="865"/>
      <c r="R161" s="865"/>
      <c r="S161" s="865"/>
      <c r="T161" s="866"/>
      <c r="U161" s="499"/>
      <c r="V161" s="620"/>
      <c r="W161" s="948" t="s">
        <v>30822</v>
      </c>
      <c r="X161" s="949"/>
      <c r="Y161" s="949"/>
      <c r="Z161" s="949"/>
      <c r="AA161" s="949"/>
      <c r="AB161" s="934" t="s">
        <v>30823</v>
      </c>
      <c r="AC161" s="935"/>
      <c r="AD161" s="935"/>
      <c r="AE161" s="935"/>
      <c r="AF161" s="935"/>
      <c r="AG161" s="935"/>
      <c r="AH161" s="935"/>
      <c r="AI161" s="935"/>
      <c r="AJ161" s="935"/>
      <c r="AK161" s="935"/>
      <c r="AL161" s="427" t="s">
        <v>15626</v>
      </c>
      <c r="AM161" s="964">
        <f>$AM$8</f>
        <v>0.7</v>
      </c>
      <c r="AN161" s="964"/>
      <c r="AO161" s="575"/>
      <c r="AP161" s="575"/>
      <c r="AQ161" s="575"/>
      <c r="AR161" s="592"/>
      <c r="AS161" s="489">
        <f>ROUND(ROUND(ROUND(I161*S162,0)*$U$159,0)*AM161,0)</f>
        <v>288</v>
      </c>
      <c r="AT161" s="359"/>
    </row>
    <row r="162" spans="1:46" ht="17.100000000000001" customHeight="1" x14ac:dyDescent="0.15">
      <c r="A162" s="340">
        <v>21</v>
      </c>
      <c r="B162" s="341" t="s">
        <v>431</v>
      </c>
      <c r="C162" s="342" t="s">
        <v>31306</v>
      </c>
      <c r="D162" s="423"/>
      <c r="E162" s="424"/>
      <c r="F162" s="469"/>
      <c r="G162" s="470"/>
      <c r="H162" s="324"/>
      <c r="I162" s="325"/>
      <c r="J162" s="325"/>
      <c r="K162" s="325"/>
      <c r="L162" s="388"/>
      <c r="M162" s="338"/>
      <c r="N162" s="338"/>
      <c r="O162" s="338"/>
      <c r="P162" s="338"/>
      <c r="Q162" s="338"/>
      <c r="R162" s="391" t="s">
        <v>15626</v>
      </c>
      <c r="S162" s="936">
        <f>$S$12</f>
        <v>0.96499999999999997</v>
      </c>
      <c r="T162" s="937"/>
      <c r="U162" s="499"/>
      <c r="V162" s="620"/>
      <c r="W162" s="948"/>
      <c r="X162" s="949"/>
      <c r="Y162" s="949"/>
      <c r="Z162" s="949"/>
      <c r="AA162" s="949"/>
      <c r="AB162" s="934" t="s">
        <v>30825</v>
      </c>
      <c r="AC162" s="935"/>
      <c r="AD162" s="935"/>
      <c r="AE162" s="935"/>
      <c r="AF162" s="935"/>
      <c r="AG162" s="935"/>
      <c r="AH162" s="935"/>
      <c r="AI162" s="935"/>
      <c r="AJ162" s="935"/>
      <c r="AK162" s="935"/>
      <c r="AL162" s="427" t="s">
        <v>15626</v>
      </c>
      <c r="AM162" s="964">
        <f>$AM$9</f>
        <v>0.5</v>
      </c>
      <c r="AN162" s="964"/>
      <c r="AO162" s="568"/>
      <c r="AP162" s="568"/>
      <c r="AQ162" s="568"/>
      <c r="AR162" s="599"/>
      <c r="AS162" s="489">
        <f>ROUND(ROUND(ROUND(I161*S162,0)*$U$159,0)*AM162,0)</f>
        <v>206</v>
      </c>
      <c r="AT162" s="359"/>
    </row>
    <row r="163" spans="1:46" ht="17.100000000000001" customHeight="1" x14ac:dyDescent="0.15">
      <c r="A163" s="340">
        <v>21</v>
      </c>
      <c r="B163" s="341" t="s">
        <v>20092</v>
      </c>
      <c r="C163" s="323" t="s">
        <v>31307</v>
      </c>
      <c r="D163" s="423"/>
      <c r="E163" s="424"/>
      <c r="F163" s="943" t="s">
        <v>30852</v>
      </c>
      <c r="G163" s="944"/>
      <c r="H163" s="864" t="s">
        <v>30820</v>
      </c>
      <c r="I163" s="865"/>
      <c r="J163" s="865"/>
      <c r="K163" s="865"/>
      <c r="L163" s="866"/>
      <c r="M163" s="152"/>
      <c r="N163" s="151"/>
      <c r="O163" s="151"/>
      <c r="P163" s="151"/>
      <c r="Q163" s="151"/>
      <c r="R163" s="151"/>
      <c r="S163" s="151"/>
      <c r="T163" s="495"/>
      <c r="U163" s="916" t="s">
        <v>31150</v>
      </c>
      <c r="V163" s="972" t="s">
        <v>30825</v>
      </c>
      <c r="W163" s="330"/>
      <c r="X163" s="454"/>
      <c r="Y163" s="459"/>
      <c r="Z163" s="568"/>
      <c r="AA163" s="343"/>
      <c r="AB163" s="396"/>
      <c r="AC163" s="396"/>
      <c r="AD163" s="427"/>
      <c r="AE163" s="427"/>
      <c r="AF163" s="396"/>
      <c r="AG163" s="396"/>
      <c r="AH163" s="396"/>
      <c r="AI163" s="396"/>
      <c r="AJ163" s="396"/>
      <c r="AK163" s="396"/>
      <c r="AL163" s="427"/>
      <c r="AM163" s="964"/>
      <c r="AN163" s="964"/>
      <c r="AO163" s="575"/>
      <c r="AP163" s="575"/>
      <c r="AQ163" s="575"/>
      <c r="AR163" s="592"/>
      <c r="AS163" s="489">
        <f>ROUND(I167*$U$183,0)</f>
        <v>352</v>
      </c>
      <c r="AT163" s="339"/>
    </row>
    <row r="164" spans="1:46" ht="17.100000000000001" customHeight="1" x14ac:dyDescent="0.15">
      <c r="A164" s="321">
        <v>21</v>
      </c>
      <c r="B164" s="341" t="s">
        <v>20094</v>
      </c>
      <c r="C164" s="342" t="s">
        <v>31308</v>
      </c>
      <c r="D164" s="423"/>
      <c r="E164" s="424"/>
      <c r="F164" s="943"/>
      <c r="G164" s="944"/>
      <c r="H164" s="864"/>
      <c r="I164" s="865"/>
      <c r="J164" s="865"/>
      <c r="K164" s="865"/>
      <c r="L164" s="866"/>
      <c r="M164" s="151"/>
      <c r="N164" s="151"/>
      <c r="O164" s="151"/>
      <c r="P164" s="151"/>
      <c r="Q164" s="151"/>
      <c r="R164" s="151"/>
      <c r="S164" s="151"/>
      <c r="T164" s="495"/>
      <c r="U164" s="912"/>
      <c r="V164" s="973"/>
      <c r="W164" s="948" t="s">
        <v>30822</v>
      </c>
      <c r="X164" s="949"/>
      <c r="Y164" s="949"/>
      <c r="Z164" s="949"/>
      <c r="AA164" s="949"/>
      <c r="AB164" s="934" t="s">
        <v>30823</v>
      </c>
      <c r="AC164" s="935"/>
      <c r="AD164" s="935"/>
      <c r="AE164" s="935"/>
      <c r="AF164" s="935"/>
      <c r="AG164" s="935"/>
      <c r="AH164" s="935"/>
      <c r="AI164" s="935"/>
      <c r="AJ164" s="935"/>
      <c r="AK164" s="935"/>
      <c r="AL164" s="427" t="s">
        <v>15626</v>
      </c>
      <c r="AM164" s="964">
        <f>$AM$8</f>
        <v>0.7</v>
      </c>
      <c r="AN164" s="964"/>
      <c r="AO164" s="575"/>
      <c r="AP164" s="575"/>
      <c r="AQ164" s="575"/>
      <c r="AR164" s="592"/>
      <c r="AS164" s="489">
        <f>ROUND(ROUND(I167*$U$183,0)*AM164,0)</f>
        <v>246</v>
      </c>
      <c r="AT164" s="359"/>
    </row>
    <row r="165" spans="1:46" ht="17.100000000000001" customHeight="1" x14ac:dyDescent="0.15">
      <c r="A165" s="340">
        <v>21</v>
      </c>
      <c r="B165" s="341" t="s">
        <v>20096</v>
      </c>
      <c r="C165" s="342" t="s">
        <v>31309</v>
      </c>
      <c r="D165" s="423"/>
      <c r="E165" s="424"/>
      <c r="F165" s="943"/>
      <c r="G165" s="944"/>
      <c r="H165" s="430"/>
      <c r="I165" s="431"/>
      <c r="J165" s="431"/>
      <c r="K165" s="431"/>
      <c r="L165" s="432"/>
      <c r="M165" s="151"/>
      <c r="N165" s="151"/>
      <c r="O165" s="151"/>
      <c r="P165" s="151"/>
      <c r="Q165" s="151"/>
      <c r="R165" s="151"/>
      <c r="S165" s="151"/>
      <c r="T165" s="495"/>
      <c r="U165" s="912"/>
      <c r="V165" s="973"/>
      <c r="W165" s="948"/>
      <c r="X165" s="949"/>
      <c r="Y165" s="949"/>
      <c r="Z165" s="949"/>
      <c r="AA165" s="949"/>
      <c r="AB165" s="934" t="s">
        <v>30825</v>
      </c>
      <c r="AC165" s="935"/>
      <c r="AD165" s="935"/>
      <c r="AE165" s="935"/>
      <c r="AF165" s="935"/>
      <c r="AG165" s="935"/>
      <c r="AH165" s="935"/>
      <c r="AI165" s="935"/>
      <c r="AJ165" s="935"/>
      <c r="AK165" s="935"/>
      <c r="AL165" s="427" t="s">
        <v>15626</v>
      </c>
      <c r="AM165" s="964">
        <f>$AM$9</f>
        <v>0.5</v>
      </c>
      <c r="AN165" s="964"/>
      <c r="AO165" s="575"/>
      <c r="AP165" s="575"/>
      <c r="AQ165" s="575"/>
      <c r="AR165" s="592"/>
      <c r="AS165" s="489">
        <f>ROUND(ROUND(I167*$U$183,0)*AM165,0)</f>
        <v>176</v>
      </c>
      <c r="AT165" s="359"/>
    </row>
    <row r="166" spans="1:46" ht="17.100000000000001" customHeight="1" x14ac:dyDescent="0.15">
      <c r="A166" s="340">
        <v>21</v>
      </c>
      <c r="B166" s="341" t="s">
        <v>20098</v>
      </c>
      <c r="C166" s="342" t="s">
        <v>31310</v>
      </c>
      <c r="D166" s="423"/>
      <c r="E166" s="424"/>
      <c r="F166" s="943"/>
      <c r="G166" s="944"/>
      <c r="H166" s="490"/>
      <c r="L166" s="495"/>
      <c r="M166" s="862" t="s">
        <v>30827</v>
      </c>
      <c r="N166" s="862"/>
      <c r="O166" s="862"/>
      <c r="P166" s="862"/>
      <c r="Q166" s="862"/>
      <c r="R166" s="862"/>
      <c r="S166" s="862"/>
      <c r="T166" s="863"/>
      <c r="U166" s="912"/>
      <c r="V166" s="973"/>
      <c r="W166" s="447"/>
      <c r="X166" s="474"/>
      <c r="Y166" s="343"/>
      <c r="Z166" s="343"/>
      <c r="AA166" s="343"/>
      <c r="AB166" s="396"/>
      <c r="AC166" s="396"/>
      <c r="AD166" s="427"/>
      <c r="AE166" s="427"/>
      <c r="AF166" s="396"/>
      <c r="AG166" s="396"/>
      <c r="AH166" s="396"/>
      <c r="AI166" s="396"/>
      <c r="AJ166" s="396"/>
      <c r="AK166" s="396"/>
      <c r="AL166" s="427"/>
      <c r="AM166" s="964"/>
      <c r="AN166" s="964"/>
      <c r="AO166" s="575"/>
      <c r="AP166" s="575"/>
      <c r="AQ166" s="575"/>
      <c r="AR166" s="592"/>
      <c r="AS166" s="489">
        <f>ROUND(ROUND(I167*S168,0)*$U$183,0)</f>
        <v>339</v>
      </c>
      <c r="AT166" s="359"/>
    </row>
    <row r="167" spans="1:46" ht="17.100000000000001" customHeight="1" x14ac:dyDescent="0.15">
      <c r="A167" s="340">
        <v>21</v>
      </c>
      <c r="B167" s="341" t="s">
        <v>20100</v>
      </c>
      <c r="C167" s="342" t="s">
        <v>31311</v>
      </c>
      <c r="D167" s="423"/>
      <c r="E167" s="424"/>
      <c r="F167" s="943"/>
      <c r="G167" s="944"/>
      <c r="H167" s="490"/>
      <c r="I167" s="965">
        <f>'5療養介護(基本)'!I34</f>
        <v>703</v>
      </c>
      <c r="J167" s="965"/>
      <c r="K167" s="152" t="s">
        <v>15624</v>
      </c>
      <c r="L167" s="387"/>
      <c r="M167" s="865"/>
      <c r="N167" s="865"/>
      <c r="O167" s="865"/>
      <c r="P167" s="865"/>
      <c r="Q167" s="865"/>
      <c r="R167" s="865"/>
      <c r="S167" s="865"/>
      <c r="T167" s="866"/>
      <c r="U167" s="912"/>
      <c r="V167" s="973"/>
      <c r="W167" s="948" t="s">
        <v>30822</v>
      </c>
      <c r="X167" s="949"/>
      <c r="Y167" s="949"/>
      <c r="Z167" s="949"/>
      <c r="AA167" s="949"/>
      <c r="AB167" s="934" t="s">
        <v>30823</v>
      </c>
      <c r="AC167" s="935"/>
      <c r="AD167" s="935"/>
      <c r="AE167" s="935"/>
      <c r="AF167" s="935"/>
      <c r="AG167" s="935"/>
      <c r="AH167" s="935"/>
      <c r="AI167" s="935"/>
      <c r="AJ167" s="935"/>
      <c r="AK167" s="935"/>
      <c r="AL167" s="427" t="s">
        <v>15626</v>
      </c>
      <c r="AM167" s="964">
        <f>$AM$8</f>
        <v>0.7</v>
      </c>
      <c r="AN167" s="964"/>
      <c r="AO167" s="575"/>
      <c r="AP167" s="575"/>
      <c r="AQ167" s="575"/>
      <c r="AR167" s="592"/>
      <c r="AS167" s="489">
        <f>ROUND(ROUND(ROUND(I167*S168,0)*$U$183,0)*AM167,0)</f>
        <v>237</v>
      </c>
      <c r="AT167" s="359"/>
    </row>
    <row r="168" spans="1:46" ht="17.100000000000001" customHeight="1" x14ac:dyDescent="0.15">
      <c r="A168" s="340">
        <v>21</v>
      </c>
      <c r="B168" s="341" t="s">
        <v>20102</v>
      </c>
      <c r="C168" s="342" t="s">
        <v>31312</v>
      </c>
      <c r="D168" s="423"/>
      <c r="E168" s="424"/>
      <c r="F168" s="943"/>
      <c r="G168" s="944"/>
      <c r="H168" s="490"/>
      <c r="K168" s="152"/>
      <c r="L168" s="387"/>
      <c r="M168" s="338"/>
      <c r="N168" s="338"/>
      <c r="O168" s="338"/>
      <c r="P168" s="338"/>
      <c r="Q168" s="338"/>
      <c r="R168" s="391" t="s">
        <v>15626</v>
      </c>
      <c r="S168" s="936">
        <f>$S$12</f>
        <v>0.96499999999999997</v>
      </c>
      <c r="T168" s="937"/>
      <c r="U168" s="912"/>
      <c r="V168" s="973"/>
      <c r="W168" s="948"/>
      <c r="X168" s="949"/>
      <c r="Y168" s="949"/>
      <c r="Z168" s="949"/>
      <c r="AA168" s="949"/>
      <c r="AB168" s="934" t="s">
        <v>30825</v>
      </c>
      <c r="AC168" s="935"/>
      <c r="AD168" s="935"/>
      <c r="AE168" s="935"/>
      <c r="AF168" s="935"/>
      <c r="AG168" s="935"/>
      <c r="AH168" s="935"/>
      <c r="AI168" s="935"/>
      <c r="AJ168" s="935"/>
      <c r="AK168" s="935"/>
      <c r="AL168" s="427" t="s">
        <v>15626</v>
      </c>
      <c r="AM168" s="964">
        <f>$AM$9</f>
        <v>0.5</v>
      </c>
      <c r="AN168" s="964"/>
      <c r="AO168" s="568"/>
      <c r="AP168" s="568"/>
      <c r="AQ168" s="568"/>
      <c r="AR168" s="599"/>
      <c r="AS168" s="489">
        <f>ROUND(ROUND(ROUND(I167*S168,0)*$U$183,0)*AM168,0)</f>
        <v>170</v>
      </c>
      <c r="AT168" s="359"/>
    </row>
    <row r="169" spans="1:46" ht="17.100000000000001" customHeight="1" x14ac:dyDescent="0.15">
      <c r="A169" s="340">
        <v>21</v>
      </c>
      <c r="B169" s="341" t="s">
        <v>442</v>
      </c>
      <c r="C169" s="342" t="s">
        <v>31313</v>
      </c>
      <c r="D169" s="423"/>
      <c r="E169" s="424"/>
      <c r="F169" s="943"/>
      <c r="G169" s="944"/>
      <c r="H169" s="861" t="s">
        <v>30831</v>
      </c>
      <c r="I169" s="862"/>
      <c r="J169" s="862"/>
      <c r="K169" s="862"/>
      <c r="L169" s="863"/>
      <c r="M169" s="396"/>
      <c r="N169" s="400"/>
      <c r="O169" s="400"/>
      <c r="P169" s="400"/>
      <c r="Q169" s="400"/>
      <c r="R169" s="400"/>
      <c r="S169" s="400"/>
      <c r="T169" s="429"/>
      <c r="U169" s="912"/>
      <c r="V169" s="973"/>
      <c r="W169" s="330"/>
      <c r="X169" s="454"/>
      <c r="Y169" s="459"/>
      <c r="Z169" s="568"/>
      <c r="AA169" s="343"/>
      <c r="AB169" s="396"/>
      <c r="AC169" s="396"/>
      <c r="AD169" s="427"/>
      <c r="AE169" s="427"/>
      <c r="AF169" s="396"/>
      <c r="AG169" s="396"/>
      <c r="AH169" s="396"/>
      <c r="AI169" s="396"/>
      <c r="AJ169" s="396"/>
      <c r="AK169" s="396"/>
      <c r="AL169" s="427"/>
      <c r="AM169" s="964"/>
      <c r="AN169" s="964"/>
      <c r="AO169" s="575"/>
      <c r="AP169" s="575"/>
      <c r="AQ169" s="575"/>
      <c r="AR169" s="592"/>
      <c r="AS169" s="489">
        <f>ROUND(I173*$U$183,0)</f>
        <v>334</v>
      </c>
      <c r="AT169" s="359"/>
    </row>
    <row r="170" spans="1:46" ht="17.100000000000001" customHeight="1" x14ac:dyDescent="0.15">
      <c r="A170" s="340">
        <v>21</v>
      </c>
      <c r="B170" s="341" t="s">
        <v>444</v>
      </c>
      <c r="C170" s="342" t="s">
        <v>31314</v>
      </c>
      <c r="D170" s="423"/>
      <c r="E170" s="424"/>
      <c r="F170" s="943"/>
      <c r="G170" s="944"/>
      <c r="H170" s="864"/>
      <c r="I170" s="865"/>
      <c r="J170" s="865"/>
      <c r="K170" s="865"/>
      <c r="L170" s="866"/>
      <c r="M170" s="151"/>
      <c r="N170" s="151"/>
      <c r="O170" s="151"/>
      <c r="P170" s="151"/>
      <c r="Q170" s="151"/>
      <c r="R170" s="151"/>
      <c r="S170" s="151"/>
      <c r="T170" s="495"/>
      <c r="U170" s="912"/>
      <c r="V170" s="973"/>
      <c r="W170" s="948" t="s">
        <v>30822</v>
      </c>
      <c r="X170" s="949"/>
      <c r="Y170" s="949"/>
      <c r="Z170" s="949"/>
      <c r="AA170" s="949"/>
      <c r="AB170" s="934" t="s">
        <v>30823</v>
      </c>
      <c r="AC170" s="935"/>
      <c r="AD170" s="935"/>
      <c r="AE170" s="935"/>
      <c r="AF170" s="935"/>
      <c r="AG170" s="935"/>
      <c r="AH170" s="935"/>
      <c r="AI170" s="935"/>
      <c r="AJ170" s="935"/>
      <c r="AK170" s="935"/>
      <c r="AL170" s="427" t="s">
        <v>15626</v>
      </c>
      <c r="AM170" s="964">
        <f>$AM$8</f>
        <v>0.7</v>
      </c>
      <c r="AN170" s="964"/>
      <c r="AO170" s="575"/>
      <c r="AP170" s="575"/>
      <c r="AQ170" s="575"/>
      <c r="AR170" s="592"/>
      <c r="AS170" s="489">
        <f>ROUND(ROUND(I173*$U$183,0)*AM170,0)</f>
        <v>234</v>
      </c>
      <c r="AT170" s="359"/>
    </row>
    <row r="171" spans="1:46" ht="17.100000000000001" customHeight="1" x14ac:dyDescent="0.15">
      <c r="A171" s="340">
        <v>21</v>
      </c>
      <c r="B171" s="341" t="s">
        <v>446</v>
      </c>
      <c r="C171" s="342" t="s">
        <v>31315</v>
      </c>
      <c r="D171" s="423"/>
      <c r="E171" s="424"/>
      <c r="F171" s="943"/>
      <c r="G171" s="944"/>
      <c r="H171" s="423"/>
      <c r="I171" s="424"/>
      <c r="J171" s="424"/>
      <c r="K171" s="424"/>
      <c r="L171" s="425"/>
      <c r="M171" s="151"/>
      <c r="N171" s="151"/>
      <c r="O171" s="151"/>
      <c r="P171" s="151"/>
      <c r="Q171" s="151"/>
      <c r="R171" s="151"/>
      <c r="S171" s="151"/>
      <c r="T171" s="495"/>
      <c r="U171" s="912"/>
      <c r="V171" s="973"/>
      <c r="W171" s="948"/>
      <c r="X171" s="949"/>
      <c r="Y171" s="949"/>
      <c r="Z171" s="949"/>
      <c r="AA171" s="949"/>
      <c r="AB171" s="934" t="s">
        <v>30825</v>
      </c>
      <c r="AC171" s="935"/>
      <c r="AD171" s="935"/>
      <c r="AE171" s="935"/>
      <c r="AF171" s="935"/>
      <c r="AG171" s="935"/>
      <c r="AH171" s="935"/>
      <c r="AI171" s="935"/>
      <c r="AJ171" s="935"/>
      <c r="AK171" s="935"/>
      <c r="AL171" s="427" t="s">
        <v>15626</v>
      </c>
      <c r="AM171" s="964">
        <f>$AM$9</f>
        <v>0.5</v>
      </c>
      <c r="AN171" s="964"/>
      <c r="AO171" s="575"/>
      <c r="AP171" s="575"/>
      <c r="AQ171" s="575"/>
      <c r="AR171" s="592"/>
      <c r="AS171" s="489">
        <f>ROUND(ROUND(I173*$U$183,0)*AM171,0)</f>
        <v>167</v>
      </c>
      <c r="AT171" s="359"/>
    </row>
    <row r="172" spans="1:46" ht="17.100000000000001" customHeight="1" x14ac:dyDescent="0.15">
      <c r="A172" s="340">
        <v>21</v>
      </c>
      <c r="B172" s="341" t="s">
        <v>448</v>
      </c>
      <c r="C172" s="342" t="s">
        <v>31316</v>
      </c>
      <c r="D172" s="423"/>
      <c r="E172" s="424"/>
      <c r="F172" s="943"/>
      <c r="G172" s="944"/>
      <c r="H172" s="423"/>
      <c r="I172" s="424"/>
      <c r="L172" s="495"/>
      <c r="M172" s="862" t="s">
        <v>30827</v>
      </c>
      <c r="N172" s="862"/>
      <c r="O172" s="862"/>
      <c r="P172" s="862"/>
      <c r="Q172" s="862"/>
      <c r="R172" s="862"/>
      <c r="S172" s="862"/>
      <c r="T172" s="863"/>
      <c r="U172" s="912"/>
      <c r="V172" s="973"/>
      <c r="W172" s="447"/>
      <c r="X172" s="474"/>
      <c r="Y172" s="343"/>
      <c r="Z172" s="343"/>
      <c r="AA172" s="343"/>
      <c r="AB172" s="396"/>
      <c r="AC172" s="396"/>
      <c r="AD172" s="427"/>
      <c r="AE172" s="427"/>
      <c r="AF172" s="396"/>
      <c r="AG172" s="396"/>
      <c r="AH172" s="396"/>
      <c r="AI172" s="396"/>
      <c r="AJ172" s="396"/>
      <c r="AK172" s="396"/>
      <c r="AL172" s="427"/>
      <c r="AM172" s="964"/>
      <c r="AN172" s="964"/>
      <c r="AO172" s="575"/>
      <c r="AP172" s="575"/>
      <c r="AQ172" s="575"/>
      <c r="AR172" s="592"/>
      <c r="AS172" s="489">
        <f>ROUND(ROUND(I173*S174,0)*$U$183,0)</f>
        <v>322</v>
      </c>
      <c r="AT172" s="359"/>
    </row>
    <row r="173" spans="1:46" ht="17.100000000000001" customHeight="1" x14ac:dyDescent="0.15">
      <c r="A173" s="340">
        <v>21</v>
      </c>
      <c r="B173" s="341" t="s">
        <v>20120</v>
      </c>
      <c r="C173" s="342" t="s">
        <v>31317</v>
      </c>
      <c r="D173" s="423"/>
      <c r="E173" s="424"/>
      <c r="F173" s="943"/>
      <c r="G173" s="944"/>
      <c r="H173" s="423"/>
      <c r="I173" s="965">
        <f>'5療養介護(基本)'!I40</f>
        <v>667</v>
      </c>
      <c r="J173" s="965"/>
      <c r="K173" s="152" t="s">
        <v>15624</v>
      </c>
      <c r="L173" s="425"/>
      <c r="M173" s="865"/>
      <c r="N173" s="865"/>
      <c r="O173" s="865"/>
      <c r="P173" s="865"/>
      <c r="Q173" s="865"/>
      <c r="R173" s="865"/>
      <c r="S173" s="865"/>
      <c r="T173" s="866"/>
      <c r="U173" s="912"/>
      <c r="V173" s="973"/>
      <c r="W173" s="948" t="s">
        <v>30822</v>
      </c>
      <c r="X173" s="949"/>
      <c r="Y173" s="949"/>
      <c r="Z173" s="949"/>
      <c r="AA173" s="949"/>
      <c r="AB173" s="934" t="s">
        <v>30823</v>
      </c>
      <c r="AC173" s="935"/>
      <c r="AD173" s="935"/>
      <c r="AE173" s="935"/>
      <c r="AF173" s="935"/>
      <c r="AG173" s="935"/>
      <c r="AH173" s="935"/>
      <c r="AI173" s="935"/>
      <c r="AJ173" s="935"/>
      <c r="AK173" s="935"/>
      <c r="AL173" s="427" t="s">
        <v>15626</v>
      </c>
      <c r="AM173" s="964">
        <f>$AM$8</f>
        <v>0.7</v>
      </c>
      <c r="AN173" s="964"/>
      <c r="AO173" s="575"/>
      <c r="AP173" s="575"/>
      <c r="AQ173" s="575"/>
      <c r="AR173" s="592"/>
      <c r="AS173" s="489">
        <f>ROUND(ROUND(ROUND(I173*S174,0)*$U$183,0)*AM173,0)</f>
        <v>225</v>
      </c>
      <c r="AT173" s="359"/>
    </row>
    <row r="174" spans="1:46" ht="17.100000000000001" customHeight="1" x14ac:dyDescent="0.15">
      <c r="A174" s="340">
        <v>21</v>
      </c>
      <c r="B174" s="341" t="s">
        <v>20122</v>
      </c>
      <c r="C174" s="342" t="s">
        <v>31318</v>
      </c>
      <c r="D174" s="423"/>
      <c r="E174" s="424"/>
      <c r="F174" s="943"/>
      <c r="G174" s="944"/>
      <c r="H174" s="423"/>
      <c r="I174" s="618"/>
      <c r="J174" s="618"/>
      <c r="K174" s="618"/>
      <c r="L174" s="619"/>
      <c r="M174" s="338"/>
      <c r="N174" s="338"/>
      <c r="O174" s="338"/>
      <c r="P174" s="338"/>
      <c r="Q174" s="338"/>
      <c r="R174" s="391" t="s">
        <v>15626</v>
      </c>
      <c r="S174" s="936">
        <f>$S$12</f>
        <v>0.96499999999999997</v>
      </c>
      <c r="T174" s="937"/>
      <c r="U174" s="912"/>
      <c r="V174" s="973"/>
      <c r="W174" s="948"/>
      <c r="X174" s="949"/>
      <c r="Y174" s="949"/>
      <c r="Z174" s="949"/>
      <c r="AA174" s="949"/>
      <c r="AB174" s="934" t="s">
        <v>30825</v>
      </c>
      <c r="AC174" s="935"/>
      <c r="AD174" s="935"/>
      <c r="AE174" s="935"/>
      <c r="AF174" s="935"/>
      <c r="AG174" s="935"/>
      <c r="AH174" s="935"/>
      <c r="AI174" s="935"/>
      <c r="AJ174" s="935"/>
      <c r="AK174" s="935"/>
      <c r="AL174" s="427" t="s">
        <v>15626</v>
      </c>
      <c r="AM174" s="964">
        <f>$AM$9</f>
        <v>0.5</v>
      </c>
      <c r="AN174" s="964"/>
      <c r="AO174" s="568"/>
      <c r="AP174" s="568"/>
      <c r="AQ174" s="568"/>
      <c r="AR174" s="599"/>
      <c r="AS174" s="489">
        <f>ROUND(ROUND(ROUND(I173*S174,0)*$U$183,0)*AM174,0)</f>
        <v>161</v>
      </c>
      <c r="AT174" s="359"/>
    </row>
    <row r="175" spans="1:46" ht="17.100000000000001" customHeight="1" x14ac:dyDescent="0.15">
      <c r="A175" s="340">
        <v>21</v>
      </c>
      <c r="B175" s="341" t="s">
        <v>20136</v>
      </c>
      <c r="C175" s="342" t="s">
        <v>31319</v>
      </c>
      <c r="D175" s="423"/>
      <c r="E175" s="424"/>
      <c r="F175" s="423"/>
      <c r="G175" s="425"/>
      <c r="H175" s="861" t="s">
        <v>30838</v>
      </c>
      <c r="I175" s="862"/>
      <c r="J175" s="862"/>
      <c r="K175" s="862"/>
      <c r="L175" s="863"/>
      <c r="M175" s="396"/>
      <c r="N175" s="400"/>
      <c r="O175" s="400"/>
      <c r="P175" s="400"/>
      <c r="Q175" s="400"/>
      <c r="R175" s="400"/>
      <c r="S175" s="400"/>
      <c r="T175" s="429"/>
      <c r="U175" s="912"/>
      <c r="V175" s="973"/>
      <c r="W175" s="330"/>
      <c r="X175" s="454"/>
      <c r="Y175" s="459"/>
      <c r="Z175" s="568"/>
      <c r="AA175" s="343"/>
      <c r="AB175" s="396"/>
      <c r="AC175" s="396"/>
      <c r="AD175" s="427"/>
      <c r="AE175" s="427"/>
      <c r="AF175" s="396"/>
      <c r="AG175" s="396"/>
      <c r="AH175" s="396"/>
      <c r="AI175" s="396"/>
      <c r="AJ175" s="396"/>
      <c r="AK175" s="396"/>
      <c r="AL175" s="427"/>
      <c r="AM175" s="964"/>
      <c r="AN175" s="964"/>
      <c r="AO175" s="575"/>
      <c r="AP175" s="575"/>
      <c r="AQ175" s="575"/>
      <c r="AR175" s="592"/>
      <c r="AS175" s="489">
        <f>ROUND(I179*$U$183,0)</f>
        <v>310</v>
      </c>
      <c r="AT175" s="359"/>
    </row>
    <row r="176" spans="1:46" ht="17.100000000000001" customHeight="1" x14ac:dyDescent="0.15">
      <c r="A176" s="340">
        <v>21</v>
      </c>
      <c r="B176" s="341" t="s">
        <v>20138</v>
      </c>
      <c r="C176" s="342" t="s">
        <v>31320</v>
      </c>
      <c r="D176" s="423"/>
      <c r="E176" s="424"/>
      <c r="F176" s="423"/>
      <c r="G176" s="425"/>
      <c r="H176" s="864"/>
      <c r="I176" s="865"/>
      <c r="J176" s="865"/>
      <c r="K176" s="865"/>
      <c r="L176" s="866"/>
      <c r="M176" s="151"/>
      <c r="N176" s="151"/>
      <c r="O176" s="151"/>
      <c r="P176" s="151"/>
      <c r="Q176" s="151"/>
      <c r="R176" s="151"/>
      <c r="S176" s="151"/>
      <c r="T176" s="495"/>
      <c r="U176" s="912"/>
      <c r="V176" s="973"/>
      <c r="W176" s="948" t="s">
        <v>30822</v>
      </c>
      <c r="X176" s="949"/>
      <c r="Y176" s="949"/>
      <c r="Z176" s="949"/>
      <c r="AA176" s="949"/>
      <c r="AB176" s="934" t="s">
        <v>30823</v>
      </c>
      <c r="AC176" s="935"/>
      <c r="AD176" s="935"/>
      <c r="AE176" s="935"/>
      <c r="AF176" s="935"/>
      <c r="AG176" s="935"/>
      <c r="AH176" s="935"/>
      <c r="AI176" s="935"/>
      <c r="AJ176" s="935"/>
      <c r="AK176" s="935"/>
      <c r="AL176" s="427" t="s">
        <v>15626</v>
      </c>
      <c r="AM176" s="964">
        <f>$AM$8</f>
        <v>0.7</v>
      </c>
      <c r="AN176" s="964"/>
      <c r="AO176" s="575"/>
      <c r="AP176" s="575"/>
      <c r="AQ176" s="575"/>
      <c r="AR176" s="592"/>
      <c r="AS176" s="489">
        <f>ROUND(ROUND(I179*$U$183,0)*AM176,0)</f>
        <v>217</v>
      </c>
      <c r="AT176" s="359"/>
    </row>
    <row r="177" spans="1:46" ht="17.100000000000001" customHeight="1" x14ac:dyDescent="0.15">
      <c r="A177" s="340">
        <v>21</v>
      </c>
      <c r="B177" s="341" t="s">
        <v>20140</v>
      </c>
      <c r="C177" s="342" t="s">
        <v>31321</v>
      </c>
      <c r="D177" s="423"/>
      <c r="E177" s="424"/>
      <c r="F177" s="423"/>
      <c r="G177" s="425"/>
      <c r="H177" s="490"/>
      <c r="K177" s="152"/>
      <c r="L177" s="387"/>
      <c r="M177" s="151"/>
      <c r="N177" s="151"/>
      <c r="O177" s="151"/>
      <c r="P177" s="151"/>
      <c r="Q177" s="151"/>
      <c r="R177" s="151"/>
      <c r="S177" s="151"/>
      <c r="T177" s="495"/>
      <c r="U177" s="912"/>
      <c r="V177" s="973"/>
      <c r="W177" s="948"/>
      <c r="X177" s="949"/>
      <c r="Y177" s="949"/>
      <c r="Z177" s="949"/>
      <c r="AA177" s="949"/>
      <c r="AB177" s="934" t="s">
        <v>30825</v>
      </c>
      <c r="AC177" s="935"/>
      <c r="AD177" s="935"/>
      <c r="AE177" s="935"/>
      <c r="AF177" s="935"/>
      <c r="AG177" s="935"/>
      <c r="AH177" s="935"/>
      <c r="AI177" s="935"/>
      <c r="AJ177" s="935"/>
      <c r="AK177" s="935"/>
      <c r="AL177" s="427" t="s">
        <v>15626</v>
      </c>
      <c r="AM177" s="964">
        <f>$AM$9</f>
        <v>0.5</v>
      </c>
      <c r="AN177" s="964"/>
      <c r="AO177" s="575"/>
      <c r="AP177" s="575"/>
      <c r="AQ177" s="575"/>
      <c r="AR177" s="592"/>
      <c r="AS177" s="489">
        <f>ROUND(ROUND(I179*$U$183,0)*AM177,0)</f>
        <v>155</v>
      </c>
      <c r="AT177" s="359"/>
    </row>
    <row r="178" spans="1:46" ht="17.100000000000001" customHeight="1" x14ac:dyDescent="0.15">
      <c r="A178" s="340">
        <v>21</v>
      </c>
      <c r="B178" s="341" t="s">
        <v>20142</v>
      </c>
      <c r="C178" s="342" t="s">
        <v>31322</v>
      </c>
      <c r="D178" s="423"/>
      <c r="E178" s="424"/>
      <c r="F178" s="423"/>
      <c r="G178" s="425"/>
      <c r="H178" s="490"/>
      <c r="L178" s="495"/>
      <c r="M178" s="862" t="s">
        <v>30827</v>
      </c>
      <c r="N178" s="862"/>
      <c r="O178" s="862"/>
      <c r="P178" s="862"/>
      <c r="Q178" s="862"/>
      <c r="R178" s="862"/>
      <c r="S178" s="862"/>
      <c r="T178" s="863"/>
      <c r="U178" s="912"/>
      <c r="V178" s="973"/>
      <c r="W178" s="447"/>
      <c r="X178" s="474"/>
      <c r="Y178" s="343"/>
      <c r="Z178" s="343"/>
      <c r="AA178" s="343"/>
      <c r="AB178" s="396"/>
      <c r="AC178" s="396"/>
      <c r="AD178" s="427"/>
      <c r="AE178" s="427"/>
      <c r="AF178" s="396"/>
      <c r="AG178" s="396"/>
      <c r="AH178" s="396"/>
      <c r="AI178" s="396"/>
      <c r="AJ178" s="396"/>
      <c r="AK178" s="396"/>
      <c r="AL178" s="427"/>
      <c r="AM178" s="964"/>
      <c r="AN178" s="964"/>
      <c r="AO178" s="575"/>
      <c r="AP178" s="575"/>
      <c r="AQ178" s="575"/>
      <c r="AR178" s="592"/>
      <c r="AS178" s="489">
        <f>ROUND(ROUND(I179*S180,0)*$U$183,0)</f>
        <v>299</v>
      </c>
      <c r="AT178" s="359"/>
    </row>
    <row r="179" spans="1:46" ht="17.100000000000001" customHeight="1" x14ac:dyDescent="0.15">
      <c r="A179" s="340">
        <v>21</v>
      </c>
      <c r="B179" s="341" t="s">
        <v>20144</v>
      </c>
      <c r="C179" s="342" t="s">
        <v>31323</v>
      </c>
      <c r="D179" s="423"/>
      <c r="E179" s="424"/>
      <c r="F179" s="423"/>
      <c r="G179" s="425"/>
      <c r="H179" s="490"/>
      <c r="I179" s="965">
        <f>'5療養介護(基本)'!I46</f>
        <v>619</v>
      </c>
      <c r="J179" s="965"/>
      <c r="K179" s="152" t="s">
        <v>15624</v>
      </c>
      <c r="L179" s="387"/>
      <c r="M179" s="865"/>
      <c r="N179" s="865"/>
      <c r="O179" s="865"/>
      <c r="P179" s="865"/>
      <c r="Q179" s="865"/>
      <c r="R179" s="865"/>
      <c r="S179" s="865"/>
      <c r="T179" s="866"/>
      <c r="U179" s="912"/>
      <c r="V179" s="973"/>
      <c r="W179" s="948" t="s">
        <v>30822</v>
      </c>
      <c r="X179" s="949"/>
      <c r="Y179" s="949"/>
      <c r="Z179" s="949"/>
      <c r="AA179" s="949"/>
      <c r="AB179" s="934" t="s">
        <v>30823</v>
      </c>
      <c r="AC179" s="935"/>
      <c r="AD179" s="935"/>
      <c r="AE179" s="935"/>
      <c r="AF179" s="935"/>
      <c r="AG179" s="935"/>
      <c r="AH179" s="935"/>
      <c r="AI179" s="935"/>
      <c r="AJ179" s="935"/>
      <c r="AK179" s="935"/>
      <c r="AL179" s="427" t="s">
        <v>15626</v>
      </c>
      <c r="AM179" s="964">
        <f>$AM$8</f>
        <v>0.7</v>
      </c>
      <c r="AN179" s="964"/>
      <c r="AO179" s="575"/>
      <c r="AP179" s="575"/>
      <c r="AQ179" s="575"/>
      <c r="AR179" s="592"/>
      <c r="AS179" s="489">
        <f>ROUND(ROUND(ROUND(I179*S180,0)*$U$183,0)*AM179,0)</f>
        <v>209</v>
      </c>
      <c r="AT179" s="359"/>
    </row>
    <row r="180" spans="1:46" ht="17.100000000000001" customHeight="1" x14ac:dyDescent="0.15">
      <c r="A180" s="340">
        <v>21</v>
      </c>
      <c r="B180" s="341" t="s">
        <v>20146</v>
      </c>
      <c r="C180" s="342" t="s">
        <v>31324</v>
      </c>
      <c r="D180" s="423"/>
      <c r="E180" s="424"/>
      <c r="F180" s="423"/>
      <c r="G180" s="425"/>
      <c r="H180" s="490"/>
      <c r="K180" s="152"/>
      <c r="L180" s="387"/>
      <c r="M180" s="338"/>
      <c r="N180" s="338"/>
      <c r="O180" s="338"/>
      <c r="P180" s="338"/>
      <c r="Q180" s="338"/>
      <c r="R180" s="391" t="s">
        <v>15626</v>
      </c>
      <c r="S180" s="936">
        <f>$S$12</f>
        <v>0.96499999999999997</v>
      </c>
      <c r="T180" s="937"/>
      <c r="U180" s="912"/>
      <c r="V180" s="973"/>
      <c r="W180" s="948"/>
      <c r="X180" s="949"/>
      <c r="Y180" s="949"/>
      <c r="Z180" s="949"/>
      <c r="AA180" s="949"/>
      <c r="AB180" s="934" t="s">
        <v>30825</v>
      </c>
      <c r="AC180" s="935"/>
      <c r="AD180" s="935"/>
      <c r="AE180" s="935"/>
      <c r="AF180" s="935"/>
      <c r="AG180" s="935"/>
      <c r="AH180" s="935"/>
      <c r="AI180" s="935"/>
      <c r="AJ180" s="935"/>
      <c r="AK180" s="935"/>
      <c r="AL180" s="427" t="s">
        <v>15626</v>
      </c>
      <c r="AM180" s="964">
        <f>$AM$9</f>
        <v>0.5</v>
      </c>
      <c r="AN180" s="964"/>
      <c r="AO180" s="568"/>
      <c r="AP180" s="568"/>
      <c r="AQ180" s="568"/>
      <c r="AR180" s="599"/>
      <c r="AS180" s="489">
        <f>ROUND(ROUND(ROUND(I179*S180,0)*$U$183,0)*AM180,0)</f>
        <v>150</v>
      </c>
      <c r="AT180" s="359"/>
    </row>
    <row r="181" spans="1:46" ht="17.100000000000001" customHeight="1" x14ac:dyDescent="0.15">
      <c r="A181" s="340">
        <v>21</v>
      </c>
      <c r="B181" s="341" t="s">
        <v>20156</v>
      </c>
      <c r="C181" s="342" t="s">
        <v>31325</v>
      </c>
      <c r="D181" s="423"/>
      <c r="E181" s="424"/>
      <c r="F181" s="423"/>
      <c r="G181" s="425"/>
      <c r="H181" s="861" t="s">
        <v>30845</v>
      </c>
      <c r="I181" s="862"/>
      <c r="J181" s="862"/>
      <c r="K181" s="862"/>
      <c r="L181" s="863"/>
      <c r="M181" s="396"/>
      <c r="N181" s="400"/>
      <c r="O181" s="400"/>
      <c r="P181" s="400"/>
      <c r="Q181" s="400"/>
      <c r="R181" s="400"/>
      <c r="S181" s="400"/>
      <c r="T181" s="429"/>
      <c r="U181" s="912"/>
      <c r="V181" s="973"/>
      <c r="W181" s="330"/>
      <c r="X181" s="454"/>
      <c r="Y181" s="459"/>
      <c r="Z181" s="568"/>
      <c r="AA181" s="343"/>
      <c r="AB181" s="396"/>
      <c r="AC181" s="396"/>
      <c r="AD181" s="427"/>
      <c r="AE181" s="427"/>
      <c r="AF181" s="396"/>
      <c r="AG181" s="396"/>
      <c r="AH181" s="396"/>
      <c r="AI181" s="396"/>
      <c r="AJ181" s="396"/>
      <c r="AK181" s="396"/>
      <c r="AL181" s="427"/>
      <c r="AM181" s="964"/>
      <c r="AN181" s="964"/>
      <c r="AO181" s="575"/>
      <c r="AP181" s="575"/>
      <c r="AQ181" s="575"/>
      <c r="AR181" s="592"/>
      <c r="AS181" s="489">
        <f>ROUND(I185*$U$183,0)</f>
        <v>295</v>
      </c>
      <c r="AT181" s="359"/>
    </row>
    <row r="182" spans="1:46" ht="17.100000000000001" customHeight="1" x14ac:dyDescent="0.15">
      <c r="A182" s="340">
        <v>21</v>
      </c>
      <c r="B182" s="341" t="s">
        <v>20158</v>
      </c>
      <c r="C182" s="342" t="s">
        <v>31326</v>
      </c>
      <c r="D182" s="423"/>
      <c r="E182" s="424"/>
      <c r="F182" s="423"/>
      <c r="G182" s="425"/>
      <c r="H182" s="864"/>
      <c r="I182" s="865"/>
      <c r="J182" s="865"/>
      <c r="K182" s="865"/>
      <c r="L182" s="866"/>
      <c r="M182" s="151"/>
      <c r="N182" s="151"/>
      <c r="O182" s="151"/>
      <c r="P182" s="151"/>
      <c r="Q182" s="151"/>
      <c r="R182" s="151"/>
      <c r="S182" s="151"/>
      <c r="T182" s="495"/>
      <c r="U182" s="901" t="s">
        <v>15626</v>
      </c>
      <c r="V182" s="903"/>
      <c r="W182" s="948" t="s">
        <v>30822</v>
      </c>
      <c r="X182" s="949"/>
      <c r="Y182" s="949"/>
      <c r="Z182" s="949"/>
      <c r="AA182" s="949"/>
      <c r="AB182" s="934" t="s">
        <v>30823</v>
      </c>
      <c r="AC182" s="935"/>
      <c r="AD182" s="935"/>
      <c r="AE182" s="935"/>
      <c r="AF182" s="935"/>
      <c r="AG182" s="935"/>
      <c r="AH182" s="935"/>
      <c r="AI182" s="935"/>
      <c r="AJ182" s="935"/>
      <c r="AK182" s="935"/>
      <c r="AL182" s="427" t="s">
        <v>15626</v>
      </c>
      <c r="AM182" s="964">
        <f>$AM$8</f>
        <v>0.7</v>
      </c>
      <c r="AN182" s="964"/>
      <c r="AO182" s="575"/>
      <c r="AP182" s="575"/>
      <c r="AQ182" s="575"/>
      <c r="AR182" s="592"/>
      <c r="AS182" s="489">
        <f>ROUND(ROUND(I185*$U$183,0)*AM182,0)</f>
        <v>207</v>
      </c>
      <c r="AT182" s="359"/>
    </row>
    <row r="183" spans="1:46" ht="17.100000000000001" customHeight="1" x14ac:dyDescent="0.15">
      <c r="A183" s="340">
        <v>21</v>
      </c>
      <c r="B183" s="341" t="s">
        <v>20160</v>
      </c>
      <c r="C183" s="342" t="s">
        <v>31327</v>
      </c>
      <c r="D183" s="423"/>
      <c r="E183" s="424"/>
      <c r="F183" s="423"/>
      <c r="G183" s="425"/>
      <c r="H183" s="430"/>
      <c r="I183" s="431"/>
      <c r="J183" s="431"/>
      <c r="K183" s="431"/>
      <c r="L183" s="432"/>
      <c r="M183" s="151"/>
      <c r="N183" s="151"/>
      <c r="O183" s="151"/>
      <c r="P183" s="151"/>
      <c r="Q183" s="151"/>
      <c r="R183" s="151"/>
      <c r="S183" s="151"/>
      <c r="T183" s="495"/>
      <c r="U183" s="966">
        <f>U159</f>
        <v>0.5</v>
      </c>
      <c r="V183" s="967"/>
      <c r="W183" s="948"/>
      <c r="X183" s="949"/>
      <c r="Y183" s="949"/>
      <c r="Z183" s="949"/>
      <c r="AA183" s="949"/>
      <c r="AB183" s="934" t="s">
        <v>30825</v>
      </c>
      <c r="AC183" s="935"/>
      <c r="AD183" s="935"/>
      <c r="AE183" s="935"/>
      <c r="AF183" s="935"/>
      <c r="AG183" s="935"/>
      <c r="AH183" s="935"/>
      <c r="AI183" s="935"/>
      <c r="AJ183" s="935"/>
      <c r="AK183" s="935"/>
      <c r="AL183" s="427" t="s">
        <v>15626</v>
      </c>
      <c r="AM183" s="964">
        <f>$AM$9</f>
        <v>0.5</v>
      </c>
      <c r="AN183" s="964"/>
      <c r="AO183" s="575"/>
      <c r="AP183" s="575"/>
      <c r="AQ183" s="575"/>
      <c r="AR183" s="592"/>
      <c r="AS183" s="489">
        <f>ROUND(ROUND(I185*$U$183,0)*AM183,0)</f>
        <v>148</v>
      </c>
      <c r="AT183" s="359"/>
    </row>
    <row r="184" spans="1:46" ht="17.100000000000001" customHeight="1" x14ac:dyDescent="0.15">
      <c r="A184" s="340">
        <v>21</v>
      </c>
      <c r="B184" s="341" t="s">
        <v>20162</v>
      </c>
      <c r="C184" s="342" t="s">
        <v>31328</v>
      </c>
      <c r="D184" s="423"/>
      <c r="E184" s="424"/>
      <c r="F184" s="423"/>
      <c r="G184" s="425"/>
      <c r="H184" s="490"/>
      <c r="L184" s="495"/>
      <c r="M184" s="862" t="s">
        <v>30827</v>
      </c>
      <c r="N184" s="862"/>
      <c r="O184" s="862"/>
      <c r="P184" s="862"/>
      <c r="Q184" s="862"/>
      <c r="R184" s="862"/>
      <c r="S184" s="862"/>
      <c r="T184" s="863"/>
      <c r="U184" s="494"/>
      <c r="V184" s="495"/>
      <c r="W184" s="447"/>
      <c r="X184" s="474"/>
      <c r="Y184" s="343"/>
      <c r="Z184" s="343"/>
      <c r="AA184" s="343"/>
      <c r="AB184" s="396"/>
      <c r="AC184" s="396"/>
      <c r="AD184" s="427"/>
      <c r="AE184" s="427"/>
      <c r="AF184" s="396"/>
      <c r="AG184" s="396"/>
      <c r="AH184" s="396"/>
      <c r="AI184" s="396"/>
      <c r="AJ184" s="396"/>
      <c r="AK184" s="396"/>
      <c r="AL184" s="427"/>
      <c r="AM184" s="964"/>
      <c r="AN184" s="964"/>
      <c r="AO184" s="575"/>
      <c r="AP184" s="575"/>
      <c r="AQ184" s="575"/>
      <c r="AR184" s="592"/>
      <c r="AS184" s="489">
        <f>ROUND(ROUND(I185*S186,0)*$U$183,0)</f>
        <v>284</v>
      </c>
      <c r="AT184" s="359"/>
    </row>
    <row r="185" spans="1:46" ht="17.100000000000001" customHeight="1" x14ac:dyDescent="0.15">
      <c r="A185" s="340">
        <v>21</v>
      </c>
      <c r="B185" s="341" t="s">
        <v>20164</v>
      </c>
      <c r="C185" s="342" t="s">
        <v>31329</v>
      </c>
      <c r="D185" s="423"/>
      <c r="E185" s="424"/>
      <c r="F185" s="423"/>
      <c r="G185" s="425"/>
      <c r="H185" s="490"/>
      <c r="I185" s="965">
        <f>'5療養介護(基本)'!I52</f>
        <v>589</v>
      </c>
      <c r="J185" s="965"/>
      <c r="K185" s="152" t="s">
        <v>15624</v>
      </c>
      <c r="L185" s="387"/>
      <c r="M185" s="865"/>
      <c r="N185" s="865"/>
      <c r="O185" s="865"/>
      <c r="P185" s="865"/>
      <c r="Q185" s="865"/>
      <c r="R185" s="865"/>
      <c r="S185" s="865"/>
      <c r="T185" s="866"/>
      <c r="U185" s="490"/>
      <c r="V185" s="387"/>
      <c r="W185" s="948" t="s">
        <v>30822</v>
      </c>
      <c r="X185" s="949"/>
      <c r="Y185" s="949"/>
      <c r="Z185" s="949"/>
      <c r="AA185" s="949"/>
      <c r="AB185" s="934" t="s">
        <v>30823</v>
      </c>
      <c r="AC185" s="935"/>
      <c r="AD185" s="935"/>
      <c r="AE185" s="935"/>
      <c r="AF185" s="935"/>
      <c r="AG185" s="935"/>
      <c r="AH185" s="935"/>
      <c r="AI185" s="935"/>
      <c r="AJ185" s="935"/>
      <c r="AK185" s="935"/>
      <c r="AL185" s="427" t="s">
        <v>15626</v>
      </c>
      <c r="AM185" s="964">
        <f>$AM$8</f>
        <v>0.7</v>
      </c>
      <c r="AN185" s="964"/>
      <c r="AO185" s="575"/>
      <c r="AP185" s="575"/>
      <c r="AQ185" s="575"/>
      <c r="AR185" s="592"/>
      <c r="AS185" s="489">
        <f>ROUND(ROUND(ROUND(I185*S186,0)*$U$183,0)*AM185,0)</f>
        <v>199</v>
      </c>
      <c r="AT185" s="359"/>
    </row>
    <row r="186" spans="1:46" ht="17.100000000000001" customHeight="1" x14ac:dyDescent="0.15">
      <c r="A186" s="340">
        <v>21</v>
      </c>
      <c r="B186" s="341" t="s">
        <v>20166</v>
      </c>
      <c r="C186" s="342" t="s">
        <v>31330</v>
      </c>
      <c r="D186" s="469"/>
      <c r="E186" s="470"/>
      <c r="F186" s="469"/>
      <c r="G186" s="471"/>
      <c r="H186" s="324"/>
      <c r="I186" s="325"/>
      <c r="J186" s="325"/>
      <c r="K186" s="325"/>
      <c r="L186" s="388"/>
      <c r="M186" s="338"/>
      <c r="N186" s="338"/>
      <c r="O186" s="338"/>
      <c r="P186" s="338"/>
      <c r="Q186" s="338"/>
      <c r="R186" s="391" t="s">
        <v>15626</v>
      </c>
      <c r="S186" s="936">
        <f>$S$12</f>
        <v>0.96499999999999997</v>
      </c>
      <c r="T186" s="937"/>
      <c r="U186" s="324"/>
      <c r="V186" s="388"/>
      <c r="W186" s="970"/>
      <c r="X186" s="971"/>
      <c r="Y186" s="971"/>
      <c r="Z186" s="971"/>
      <c r="AA186" s="971"/>
      <c r="AB186" s="934" t="s">
        <v>30825</v>
      </c>
      <c r="AC186" s="935"/>
      <c r="AD186" s="935"/>
      <c r="AE186" s="935"/>
      <c r="AF186" s="935"/>
      <c r="AG186" s="935"/>
      <c r="AH186" s="935"/>
      <c r="AI186" s="935"/>
      <c r="AJ186" s="935"/>
      <c r="AK186" s="935"/>
      <c r="AL186" s="455" t="s">
        <v>15626</v>
      </c>
      <c r="AM186" s="938">
        <f>$AM$9</f>
        <v>0.5</v>
      </c>
      <c r="AN186" s="938"/>
      <c r="AO186" s="568"/>
      <c r="AP186" s="568"/>
      <c r="AQ186" s="568"/>
      <c r="AR186" s="599"/>
      <c r="AS186" s="491">
        <f>ROUND(ROUND(ROUND(I185*S186,0)*$U$183,0)*AM186,0)</f>
        <v>142</v>
      </c>
      <c r="AT186" s="350"/>
    </row>
    <row r="187" spans="1:46" ht="17.100000000000001" customHeight="1" x14ac:dyDescent="0.15">
      <c r="A187" s="321">
        <v>21</v>
      </c>
      <c r="B187" s="341" t="s">
        <v>20180</v>
      </c>
      <c r="C187" s="386" t="s">
        <v>31331</v>
      </c>
      <c r="D187" s="941" t="s">
        <v>30818</v>
      </c>
      <c r="E187" s="942"/>
      <c r="F187" s="941" t="s">
        <v>30877</v>
      </c>
      <c r="G187" s="942"/>
      <c r="H187" s="861" t="s">
        <v>30820</v>
      </c>
      <c r="I187" s="862"/>
      <c r="J187" s="862"/>
      <c r="K187" s="862"/>
      <c r="L187" s="863"/>
      <c r="M187" s="396"/>
      <c r="N187" s="400"/>
      <c r="O187" s="400"/>
      <c r="P187" s="400"/>
      <c r="Q187" s="400"/>
      <c r="R187" s="400"/>
      <c r="S187" s="400"/>
      <c r="T187" s="429"/>
      <c r="U187" s="916" t="s">
        <v>31150</v>
      </c>
      <c r="V187" s="972" t="s">
        <v>30825</v>
      </c>
      <c r="W187" s="330"/>
      <c r="X187" s="454"/>
      <c r="Y187" s="459"/>
      <c r="Z187" s="568"/>
      <c r="AA187" s="343"/>
      <c r="AB187" s="396"/>
      <c r="AC187" s="396"/>
      <c r="AD187" s="427"/>
      <c r="AE187" s="427"/>
      <c r="AF187" s="396"/>
      <c r="AG187" s="396"/>
      <c r="AH187" s="396"/>
      <c r="AI187" s="396"/>
      <c r="AJ187" s="396"/>
      <c r="AK187" s="396"/>
      <c r="AL187" s="427"/>
      <c r="AM187" s="964"/>
      <c r="AN187" s="964"/>
      <c r="AO187" s="575"/>
      <c r="AP187" s="575"/>
      <c r="AQ187" s="575"/>
      <c r="AR187" s="592"/>
      <c r="AS187" s="489">
        <f>ROUND(I191*$U$207,0)</f>
        <v>278</v>
      </c>
      <c r="AT187" s="339" t="s">
        <v>30681</v>
      </c>
    </row>
    <row r="188" spans="1:46" ht="17.100000000000001" customHeight="1" x14ac:dyDescent="0.15">
      <c r="A188" s="340">
        <v>21</v>
      </c>
      <c r="B188" s="341" t="s">
        <v>20182</v>
      </c>
      <c r="C188" s="390" t="s">
        <v>31332</v>
      </c>
      <c r="D188" s="943"/>
      <c r="E188" s="944"/>
      <c r="F188" s="943"/>
      <c r="G188" s="944"/>
      <c r="H188" s="864"/>
      <c r="I188" s="865"/>
      <c r="J188" s="865"/>
      <c r="K188" s="865"/>
      <c r="L188" s="866"/>
      <c r="M188" s="151"/>
      <c r="N188" s="151"/>
      <c r="O188" s="151"/>
      <c r="P188" s="151"/>
      <c r="Q188" s="151"/>
      <c r="R188" s="151"/>
      <c r="S188" s="151"/>
      <c r="T188" s="495"/>
      <c r="U188" s="912"/>
      <c r="V188" s="973"/>
      <c r="W188" s="948" t="s">
        <v>30822</v>
      </c>
      <c r="X188" s="949"/>
      <c r="Y188" s="949"/>
      <c r="Z188" s="949"/>
      <c r="AA188" s="949"/>
      <c r="AB188" s="934" t="s">
        <v>30823</v>
      </c>
      <c r="AC188" s="935"/>
      <c r="AD188" s="935"/>
      <c r="AE188" s="935"/>
      <c r="AF188" s="935"/>
      <c r="AG188" s="935"/>
      <c r="AH188" s="935"/>
      <c r="AI188" s="935"/>
      <c r="AJ188" s="935"/>
      <c r="AK188" s="935"/>
      <c r="AL188" s="427" t="s">
        <v>15626</v>
      </c>
      <c r="AM188" s="964">
        <f>$AM$8</f>
        <v>0.7</v>
      </c>
      <c r="AN188" s="964"/>
      <c r="AO188" s="575"/>
      <c r="AP188" s="575"/>
      <c r="AQ188" s="575"/>
      <c r="AR188" s="592"/>
      <c r="AS188" s="489">
        <f>ROUND(ROUND(I191*$U$207,0)*AM188,0)</f>
        <v>195</v>
      </c>
      <c r="AT188" s="359"/>
    </row>
    <row r="189" spans="1:46" ht="17.100000000000001" customHeight="1" x14ac:dyDescent="0.15">
      <c r="A189" s="340">
        <v>21</v>
      </c>
      <c r="B189" s="341" t="s">
        <v>20184</v>
      </c>
      <c r="C189" s="390" t="s">
        <v>31333</v>
      </c>
      <c r="D189" s="943"/>
      <c r="E189" s="944"/>
      <c r="F189" s="943"/>
      <c r="G189" s="944"/>
      <c r="H189" s="430"/>
      <c r="I189" s="431"/>
      <c r="J189" s="431"/>
      <c r="K189" s="431"/>
      <c r="L189" s="432"/>
      <c r="M189" s="151"/>
      <c r="N189" s="151"/>
      <c r="O189" s="151"/>
      <c r="P189" s="151"/>
      <c r="Q189" s="151"/>
      <c r="R189" s="151"/>
      <c r="S189" s="151"/>
      <c r="T189" s="495"/>
      <c r="U189" s="912"/>
      <c r="V189" s="973"/>
      <c r="W189" s="948"/>
      <c r="X189" s="949"/>
      <c r="Y189" s="949"/>
      <c r="Z189" s="949"/>
      <c r="AA189" s="949"/>
      <c r="AB189" s="934" t="s">
        <v>30825</v>
      </c>
      <c r="AC189" s="935"/>
      <c r="AD189" s="935"/>
      <c r="AE189" s="935"/>
      <c r="AF189" s="935"/>
      <c r="AG189" s="935"/>
      <c r="AH189" s="935"/>
      <c r="AI189" s="935"/>
      <c r="AJ189" s="935"/>
      <c r="AK189" s="935"/>
      <c r="AL189" s="427" t="s">
        <v>15626</v>
      </c>
      <c r="AM189" s="964">
        <f>$AM$9</f>
        <v>0.5</v>
      </c>
      <c r="AN189" s="964"/>
      <c r="AO189" s="575"/>
      <c r="AP189" s="575"/>
      <c r="AQ189" s="575"/>
      <c r="AR189" s="592"/>
      <c r="AS189" s="489">
        <f>ROUND(ROUND(I191*$U$207,0)*AM189,0)</f>
        <v>139</v>
      </c>
      <c r="AT189" s="359"/>
    </row>
    <row r="190" spans="1:46" ht="17.100000000000001" customHeight="1" x14ac:dyDescent="0.15">
      <c r="A190" s="340">
        <v>21</v>
      </c>
      <c r="B190" s="341" t="s">
        <v>20186</v>
      </c>
      <c r="C190" s="390" t="s">
        <v>31334</v>
      </c>
      <c r="D190" s="943"/>
      <c r="E190" s="944"/>
      <c r="F190" s="943"/>
      <c r="G190" s="944"/>
      <c r="H190" s="490"/>
      <c r="L190" s="495"/>
      <c r="M190" s="862" t="s">
        <v>30827</v>
      </c>
      <c r="N190" s="862"/>
      <c r="O190" s="862"/>
      <c r="P190" s="862"/>
      <c r="Q190" s="862"/>
      <c r="R190" s="862"/>
      <c r="S190" s="862"/>
      <c r="T190" s="863"/>
      <c r="U190" s="912"/>
      <c r="V190" s="973"/>
      <c r="W190" s="447"/>
      <c r="X190" s="474"/>
      <c r="Y190" s="343"/>
      <c r="Z190" s="343"/>
      <c r="AA190" s="343"/>
      <c r="AB190" s="396"/>
      <c r="AC190" s="396"/>
      <c r="AD190" s="427"/>
      <c r="AE190" s="427"/>
      <c r="AF190" s="396"/>
      <c r="AG190" s="396"/>
      <c r="AH190" s="396"/>
      <c r="AI190" s="396"/>
      <c r="AJ190" s="396"/>
      <c r="AK190" s="396"/>
      <c r="AL190" s="427"/>
      <c r="AM190" s="964"/>
      <c r="AN190" s="964"/>
      <c r="AO190" s="575"/>
      <c r="AP190" s="575"/>
      <c r="AQ190" s="575"/>
      <c r="AR190" s="592"/>
      <c r="AS190" s="489">
        <f>ROUND(ROUND(I191*S192,0)*$U$207,0)</f>
        <v>269</v>
      </c>
      <c r="AT190" s="359"/>
    </row>
    <row r="191" spans="1:46" ht="17.100000000000001" customHeight="1" x14ac:dyDescent="0.15">
      <c r="A191" s="340">
        <v>21</v>
      </c>
      <c r="B191" s="341" t="s">
        <v>468</v>
      </c>
      <c r="C191" s="390" t="s">
        <v>31335</v>
      </c>
      <c r="D191" s="943"/>
      <c r="E191" s="944"/>
      <c r="F191" s="943"/>
      <c r="G191" s="944"/>
      <c r="H191" s="490"/>
      <c r="I191" s="965">
        <f>'5療養介護(基本)'!I58</f>
        <v>556</v>
      </c>
      <c r="J191" s="965"/>
      <c r="K191" s="152" t="s">
        <v>15624</v>
      </c>
      <c r="L191" s="387"/>
      <c r="M191" s="865"/>
      <c r="N191" s="865"/>
      <c r="O191" s="865"/>
      <c r="P191" s="865"/>
      <c r="Q191" s="865"/>
      <c r="R191" s="865"/>
      <c r="S191" s="865"/>
      <c r="T191" s="866"/>
      <c r="U191" s="912"/>
      <c r="V191" s="973"/>
      <c r="W191" s="948" t="s">
        <v>30822</v>
      </c>
      <c r="X191" s="949"/>
      <c r="Y191" s="949"/>
      <c r="Z191" s="949"/>
      <c r="AA191" s="949"/>
      <c r="AB191" s="934" t="s">
        <v>30823</v>
      </c>
      <c r="AC191" s="935"/>
      <c r="AD191" s="935"/>
      <c r="AE191" s="935"/>
      <c r="AF191" s="935"/>
      <c r="AG191" s="935"/>
      <c r="AH191" s="935"/>
      <c r="AI191" s="935"/>
      <c r="AJ191" s="935"/>
      <c r="AK191" s="935"/>
      <c r="AL191" s="427" t="s">
        <v>15626</v>
      </c>
      <c r="AM191" s="964">
        <f>$AM$8</f>
        <v>0.7</v>
      </c>
      <c r="AN191" s="964"/>
      <c r="AO191" s="575"/>
      <c r="AP191" s="575"/>
      <c r="AQ191" s="575"/>
      <c r="AR191" s="592"/>
      <c r="AS191" s="489">
        <f>ROUND(ROUND(ROUND(I191*S192,0)*$U$207,0)*AM191,0)</f>
        <v>188</v>
      </c>
      <c r="AT191" s="359"/>
    </row>
    <row r="192" spans="1:46" ht="17.100000000000001" customHeight="1" x14ac:dyDescent="0.15">
      <c r="A192" s="340">
        <v>21</v>
      </c>
      <c r="B192" s="341" t="s">
        <v>470</v>
      </c>
      <c r="C192" s="390" t="s">
        <v>31336</v>
      </c>
      <c r="D192" s="943"/>
      <c r="E192" s="944"/>
      <c r="F192" s="943"/>
      <c r="G192" s="944"/>
      <c r="H192" s="490"/>
      <c r="K192" s="152"/>
      <c r="L192" s="387"/>
      <c r="M192" s="338"/>
      <c r="N192" s="338"/>
      <c r="O192" s="338"/>
      <c r="P192" s="338"/>
      <c r="Q192" s="338"/>
      <c r="R192" s="391" t="s">
        <v>15626</v>
      </c>
      <c r="S192" s="936">
        <f>$S$12</f>
        <v>0.96499999999999997</v>
      </c>
      <c r="T192" s="937"/>
      <c r="U192" s="912"/>
      <c r="V192" s="973"/>
      <c r="W192" s="948"/>
      <c r="X192" s="949"/>
      <c r="Y192" s="949"/>
      <c r="Z192" s="949"/>
      <c r="AA192" s="949"/>
      <c r="AB192" s="934" t="s">
        <v>30825</v>
      </c>
      <c r="AC192" s="935"/>
      <c r="AD192" s="935"/>
      <c r="AE192" s="935"/>
      <c r="AF192" s="935"/>
      <c r="AG192" s="935"/>
      <c r="AH192" s="935"/>
      <c r="AI192" s="935"/>
      <c r="AJ192" s="935"/>
      <c r="AK192" s="935"/>
      <c r="AL192" s="427" t="s">
        <v>15626</v>
      </c>
      <c r="AM192" s="964">
        <f>$AM$9</f>
        <v>0.5</v>
      </c>
      <c r="AN192" s="964"/>
      <c r="AO192" s="568"/>
      <c r="AP192" s="568"/>
      <c r="AQ192" s="568"/>
      <c r="AR192" s="599"/>
      <c r="AS192" s="489">
        <f>ROUND(ROUND(ROUND(I191*S192,0)*$U$207,0)*AM192,0)</f>
        <v>135</v>
      </c>
      <c r="AT192" s="359"/>
    </row>
    <row r="193" spans="1:46" ht="17.100000000000001" customHeight="1" x14ac:dyDescent="0.15">
      <c r="A193" s="340">
        <v>21</v>
      </c>
      <c r="B193" s="341" t="s">
        <v>20200</v>
      </c>
      <c r="C193" s="390" t="s">
        <v>31337</v>
      </c>
      <c r="D193" s="943"/>
      <c r="E193" s="944"/>
      <c r="F193" s="943"/>
      <c r="G193" s="944"/>
      <c r="H193" s="861" t="s">
        <v>30831</v>
      </c>
      <c r="I193" s="862"/>
      <c r="J193" s="862"/>
      <c r="K193" s="862"/>
      <c r="L193" s="863"/>
      <c r="M193" s="396"/>
      <c r="N193" s="400"/>
      <c r="O193" s="400"/>
      <c r="P193" s="400"/>
      <c r="Q193" s="400"/>
      <c r="R193" s="400"/>
      <c r="S193" s="400"/>
      <c r="T193" s="429"/>
      <c r="U193" s="912"/>
      <c r="V193" s="973"/>
      <c r="W193" s="330"/>
      <c r="X193" s="454"/>
      <c r="Y193" s="459"/>
      <c r="Z193" s="568"/>
      <c r="AA193" s="343"/>
      <c r="AB193" s="396"/>
      <c r="AC193" s="396"/>
      <c r="AD193" s="427"/>
      <c r="AE193" s="427"/>
      <c r="AF193" s="396"/>
      <c r="AG193" s="396"/>
      <c r="AH193" s="396"/>
      <c r="AI193" s="396"/>
      <c r="AJ193" s="396"/>
      <c r="AK193" s="396"/>
      <c r="AL193" s="427"/>
      <c r="AM193" s="964"/>
      <c r="AN193" s="964"/>
      <c r="AO193" s="575"/>
      <c r="AP193" s="575"/>
      <c r="AQ193" s="575"/>
      <c r="AR193" s="592"/>
      <c r="AS193" s="489">
        <f>ROUND(I197*$U$207,0)</f>
        <v>264</v>
      </c>
      <c r="AT193" s="359"/>
    </row>
    <row r="194" spans="1:46" ht="17.100000000000001" customHeight="1" x14ac:dyDescent="0.15">
      <c r="A194" s="340">
        <v>21</v>
      </c>
      <c r="B194" s="341" t="s">
        <v>20202</v>
      </c>
      <c r="C194" s="390" t="s">
        <v>31338</v>
      </c>
      <c r="D194" s="943"/>
      <c r="E194" s="944"/>
      <c r="F194" s="943"/>
      <c r="G194" s="944"/>
      <c r="H194" s="864"/>
      <c r="I194" s="865"/>
      <c r="J194" s="865"/>
      <c r="K194" s="865"/>
      <c r="L194" s="866"/>
      <c r="M194" s="151"/>
      <c r="N194" s="151"/>
      <c r="O194" s="151"/>
      <c r="P194" s="151"/>
      <c r="Q194" s="151"/>
      <c r="R194" s="151"/>
      <c r="S194" s="151"/>
      <c r="T194" s="495"/>
      <c r="U194" s="912"/>
      <c r="V194" s="973"/>
      <c r="W194" s="948" t="s">
        <v>30822</v>
      </c>
      <c r="X194" s="949"/>
      <c r="Y194" s="949"/>
      <c r="Z194" s="949"/>
      <c r="AA194" s="949"/>
      <c r="AB194" s="934" t="s">
        <v>30823</v>
      </c>
      <c r="AC194" s="935"/>
      <c r="AD194" s="935"/>
      <c r="AE194" s="935"/>
      <c r="AF194" s="935"/>
      <c r="AG194" s="935"/>
      <c r="AH194" s="935"/>
      <c r="AI194" s="935"/>
      <c r="AJ194" s="935"/>
      <c r="AK194" s="935"/>
      <c r="AL194" s="427" t="s">
        <v>15626</v>
      </c>
      <c r="AM194" s="964">
        <f>$AM$8</f>
        <v>0.7</v>
      </c>
      <c r="AN194" s="964"/>
      <c r="AO194" s="575"/>
      <c r="AP194" s="575"/>
      <c r="AQ194" s="575"/>
      <c r="AR194" s="592"/>
      <c r="AS194" s="489">
        <f>ROUND(ROUND(I197*$U$207,0)*AM194,0)</f>
        <v>185</v>
      </c>
      <c r="AT194" s="359"/>
    </row>
    <row r="195" spans="1:46" ht="17.100000000000001" customHeight="1" x14ac:dyDescent="0.15">
      <c r="A195" s="340">
        <v>21</v>
      </c>
      <c r="B195" s="341" t="s">
        <v>20204</v>
      </c>
      <c r="C195" s="390" t="s">
        <v>31339</v>
      </c>
      <c r="D195" s="943"/>
      <c r="E195" s="944"/>
      <c r="F195" s="943"/>
      <c r="G195" s="944"/>
      <c r="H195" s="423"/>
      <c r="I195" s="424"/>
      <c r="J195" s="424"/>
      <c r="K195" s="424"/>
      <c r="L195" s="425"/>
      <c r="M195" s="151"/>
      <c r="N195" s="151"/>
      <c r="O195" s="151"/>
      <c r="P195" s="151"/>
      <c r="Q195" s="151"/>
      <c r="R195" s="151"/>
      <c r="S195" s="151"/>
      <c r="T195" s="495"/>
      <c r="U195" s="912"/>
      <c r="V195" s="973"/>
      <c r="W195" s="948"/>
      <c r="X195" s="949"/>
      <c r="Y195" s="949"/>
      <c r="Z195" s="949"/>
      <c r="AA195" s="949"/>
      <c r="AB195" s="934" t="s">
        <v>30825</v>
      </c>
      <c r="AC195" s="935"/>
      <c r="AD195" s="935"/>
      <c r="AE195" s="935"/>
      <c r="AF195" s="935"/>
      <c r="AG195" s="935"/>
      <c r="AH195" s="935"/>
      <c r="AI195" s="935"/>
      <c r="AJ195" s="935"/>
      <c r="AK195" s="935"/>
      <c r="AL195" s="427" t="s">
        <v>15626</v>
      </c>
      <c r="AM195" s="964">
        <f>$AM$9</f>
        <v>0.5</v>
      </c>
      <c r="AN195" s="964"/>
      <c r="AO195" s="575"/>
      <c r="AP195" s="575"/>
      <c r="AQ195" s="575"/>
      <c r="AR195" s="592"/>
      <c r="AS195" s="489">
        <f>ROUND(ROUND(I197*$U$207,0)*AM195,0)</f>
        <v>132</v>
      </c>
      <c r="AT195" s="359"/>
    </row>
    <row r="196" spans="1:46" ht="17.100000000000001" customHeight="1" x14ac:dyDescent="0.15">
      <c r="A196" s="340">
        <v>21</v>
      </c>
      <c r="B196" s="341" t="s">
        <v>20206</v>
      </c>
      <c r="C196" s="390" t="s">
        <v>31340</v>
      </c>
      <c r="D196" s="943"/>
      <c r="E196" s="944"/>
      <c r="F196" s="943"/>
      <c r="G196" s="944"/>
      <c r="H196" s="423"/>
      <c r="I196" s="424"/>
      <c r="L196" s="495"/>
      <c r="M196" s="862" t="s">
        <v>30827</v>
      </c>
      <c r="N196" s="862"/>
      <c r="O196" s="862"/>
      <c r="P196" s="862"/>
      <c r="Q196" s="862"/>
      <c r="R196" s="862"/>
      <c r="S196" s="862"/>
      <c r="T196" s="863"/>
      <c r="U196" s="912"/>
      <c r="V196" s="973"/>
      <c r="W196" s="447"/>
      <c r="X196" s="474"/>
      <c r="Y196" s="343"/>
      <c r="Z196" s="343"/>
      <c r="AA196" s="343"/>
      <c r="AB196" s="396"/>
      <c r="AC196" s="396"/>
      <c r="AD196" s="427"/>
      <c r="AE196" s="427"/>
      <c r="AF196" s="396"/>
      <c r="AG196" s="396"/>
      <c r="AH196" s="396"/>
      <c r="AI196" s="396"/>
      <c r="AJ196" s="396"/>
      <c r="AK196" s="396"/>
      <c r="AL196" s="427"/>
      <c r="AM196" s="964"/>
      <c r="AN196" s="964"/>
      <c r="AO196" s="575"/>
      <c r="AP196" s="575"/>
      <c r="AQ196" s="575"/>
      <c r="AR196" s="592"/>
      <c r="AS196" s="489">
        <f>ROUND(ROUND(I197*S198,0)*$U$207,0)</f>
        <v>255</v>
      </c>
      <c r="AT196" s="359"/>
    </row>
    <row r="197" spans="1:46" ht="17.100000000000001" customHeight="1" x14ac:dyDescent="0.15">
      <c r="A197" s="340">
        <v>21</v>
      </c>
      <c r="B197" s="341" t="s">
        <v>20208</v>
      </c>
      <c r="C197" s="390" t="s">
        <v>31341</v>
      </c>
      <c r="D197" s="943"/>
      <c r="E197" s="944"/>
      <c r="F197" s="943"/>
      <c r="G197" s="944"/>
      <c r="H197" s="423"/>
      <c r="I197" s="965">
        <f>'5療養介護(基本)'!I64</f>
        <v>527</v>
      </c>
      <c r="J197" s="965"/>
      <c r="K197" s="152" t="s">
        <v>15624</v>
      </c>
      <c r="L197" s="425"/>
      <c r="M197" s="865"/>
      <c r="N197" s="865"/>
      <c r="O197" s="865"/>
      <c r="P197" s="865"/>
      <c r="Q197" s="865"/>
      <c r="R197" s="865"/>
      <c r="S197" s="865"/>
      <c r="T197" s="866"/>
      <c r="U197" s="912"/>
      <c r="V197" s="973"/>
      <c r="W197" s="948" t="s">
        <v>30822</v>
      </c>
      <c r="X197" s="949"/>
      <c r="Y197" s="949"/>
      <c r="Z197" s="949"/>
      <c r="AA197" s="949"/>
      <c r="AB197" s="934" t="s">
        <v>30823</v>
      </c>
      <c r="AC197" s="935"/>
      <c r="AD197" s="935"/>
      <c r="AE197" s="935"/>
      <c r="AF197" s="935"/>
      <c r="AG197" s="935"/>
      <c r="AH197" s="935"/>
      <c r="AI197" s="935"/>
      <c r="AJ197" s="935"/>
      <c r="AK197" s="935"/>
      <c r="AL197" s="427" t="s">
        <v>15626</v>
      </c>
      <c r="AM197" s="964">
        <f>$AM$8</f>
        <v>0.7</v>
      </c>
      <c r="AN197" s="964"/>
      <c r="AO197" s="575"/>
      <c r="AP197" s="575"/>
      <c r="AQ197" s="575"/>
      <c r="AR197" s="592"/>
      <c r="AS197" s="489">
        <f>ROUND(ROUND(ROUND(I197*S198,0)*$U$207,0)*AM197,0)</f>
        <v>179</v>
      </c>
      <c r="AT197" s="359"/>
    </row>
    <row r="198" spans="1:46" ht="17.100000000000001" customHeight="1" x14ac:dyDescent="0.15">
      <c r="A198" s="340">
        <v>21</v>
      </c>
      <c r="B198" s="341" t="s">
        <v>20210</v>
      </c>
      <c r="C198" s="390" t="s">
        <v>31342</v>
      </c>
      <c r="D198" s="943"/>
      <c r="E198" s="944"/>
      <c r="F198" s="943"/>
      <c r="G198" s="944"/>
      <c r="H198" s="423"/>
      <c r="I198" s="618"/>
      <c r="J198" s="618"/>
      <c r="K198" s="618"/>
      <c r="L198" s="619"/>
      <c r="M198" s="338"/>
      <c r="N198" s="338"/>
      <c r="O198" s="338"/>
      <c r="P198" s="338"/>
      <c r="Q198" s="338"/>
      <c r="R198" s="391" t="s">
        <v>15626</v>
      </c>
      <c r="S198" s="936">
        <f>$S$12</f>
        <v>0.96499999999999997</v>
      </c>
      <c r="T198" s="937"/>
      <c r="U198" s="912"/>
      <c r="V198" s="973"/>
      <c r="W198" s="948"/>
      <c r="X198" s="949"/>
      <c r="Y198" s="949"/>
      <c r="Z198" s="949"/>
      <c r="AA198" s="949"/>
      <c r="AB198" s="934" t="s">
        <v>30825</v>
      </c>
      <c r="AC198" s="935"/>
      <c r="AD198" s="935"/>
      <c r="AE198" s="935"/>
      <c r="AF198" s="935"/>
      <c r="AG198" s="935"/>
      <c r="AH198" s="935"/>
      <c r="AI198" s="935"/>
      <c r="AJ198" s="935"/>
      <c r="AK198" s="935"/>
      <c r="AL198" s="427" t="s">
        <v>15626</v>
      </c>
      <c r="AM198" s="964">
        <f>$AM$9</f>
        <v>0.5</v>
      </c>
      <c r="AN198" s="964"/>
      <c r="AO198" s="568"/>
      <c r="AP198" s="568"/>
      <c r="AQ198" s="568"/>
      <c r="AR198" s="599"/>
      <c r="AS198" s="489">
        <f>ROUND(ROUND(ROUND(I197*S198,0)*$U$207,0)*AM198,0)</f>
        <v>128</v>
      </c>
      <c r="AT198" s="359"/>
    </row>
    <row r="199" spans="1:46" ht="17.100000000000001" customHeight="1" x14ac:dyDescent="0.15">
      <c r="A199" s="340">
        <v>21</v>
      </c>
      <c r="B199" s="341" t="s">
        <v>481</v>
      </c>
      <c r="C199" s="390" t="s">
        <v>31343</v>
      </c>
      <c r="D199" s="423"/>
      <c r="E199" s="425"/>
      <c r="F199" s="424"/>
      <c r="G199" s="425"/>
      <c r="H199" s="861" t="s">
        <v>30838</v>
      </c>
      <c r="I199" s="862"/>
      <c r="J199" s="862"/>
      <c r="K199" s="862"/>
      <c r="L199" s="863"/>
      <c r="M199" s="396"/>
      <c r="N199" s="400"/>
      <c r="O199" s="400"/>
      <c r="P199" s="400"/>
      <c r="Q199" s="400"/>
      <c r="R199" s="400"/>
      <c r="S199" s="400"/>
      <c r="T199" s="429"/>
      <c r="U199" s="912"/>
      <c r="V199" s="973"/>
      <c r="W199" s="330"/>
      <c r="X199" s="454"/>
      <c r="Y199" s="459"/>
      <c r="Z199" s="568"/>
      <c r="AA199" s="343"/>
      <c r="AB199" s="396"/>
      <c r="AC199" s="396"/>
      <c r="AD199" s="427"/>
      <c r="AE199" s="427"/>
      <c r="AF199" s="396"/>
      <c r="AG199" s="396"/>
      <c r="AH199" s="396"/>
      <c r="AI199" s="396"/>
      <c r="AJ199" s="396"/>
      <c r="AK199" s="396"/>
      <c r="AL199" s="427"/>
      <c r="AM199" s="964"/>
      <c r="AN199" s="964"/>
      <c r="AO199" s="575"/>
      <c r="AP199" s="575"/>
      <c r="AQ199" s="575"/>
      <c r="AR199" s="592"/>
      <c r="AS199" s="489">
        <f>ROUND(I203*$U$207,0)</f>
        <v>249</v>
      </c>
      <c r="AT199" s="359"/>
    </row>
    <row r="200" spans="1:46" ht="17.100000000000001" customHeight="1" x14ac:dyDescent="0.15">
      <c r="A200" s="340">
        <v>21</v>
      </c>
      <c r="B200" s="341" t="s">
        <v>483</v>
      </c>
      <c r="C200" s="390" t="s">
        <v>31344</v>
      </c>
      <c r="D200" s="423"/>
      <c r="E200" s="425"/>
      <c r="F200" s="424"/>
      <c r="G200" s="425"/>
      <c r="H200" s="864"/>
      <c r="I200" s="865"/>
      <c r="J200" s="865"/>
      <c r="K200" s="865"/>
      <c r="L200" s="866"/>
      <c r="M200" s="151"/>
      <c r="N200" s="151"/>
      <c r="O200" s="151"/>
      <c r="P200" s="151"/>
      <c r="Q200" s="151"/>
      <c r="R200" s="151"/>
      <c r="S200" s="151"/>
      <c r="T200" s="495"/>
      <c r="U200" s="912"/>
      <c r="V200" s="973"/>
      <c r="W200" s="948" t="s">
        <v>30822</v>
      </c>
      <c r="X200" s="949"/>
      <c r="Y200" s="949"/>
      <c r="Z200" s="949"/>
      <c r="AA200" s="949"/>
      <c r="AB200" s="934" t="s">
        <v>30823</v>
      </c>
      <c r="AC200" s="935"/>
      <c r="AD200" s="935"/>
      <c r="AE200" s="935"/>
      <c r="AF200" s="935"/>
      <c r="AG200" s="935"/>
      <c r="AH200" s="935"/>
      <c r="AI200" s="935"/>
      <c r="AJ200" s="935"/>
      <c r="AK200" s="935"/>
      <c r="AL200" s="427" t="s">
        <v>15626</v>
      </c>
      <c r="AM200" s="964">
        <f>$AM$8</f>
        <v>0.7</v>
      </c>
      <c r="AN200" s="964"/>
      <c r="AO200" s="575"/>
      <c r="AP200" s="575"/>
      <c r="AQ200" s="575"/>
      <c r="AR200" s="592"/>
      <c r="AS200" s="489">
        <f>ROUND(ROUND(I203*$U$207,0)*AM200,0)</f>
        <v>174</v>
      </c>
      <c r="AT200" s="359"/>
    </row>
    <row r="201" spans="1:46" ht="17.100000000000001" customHeight="1" x14ac:dyDescent="0.15">
      <c r="A201" s="340">
        <v>21</v>
      </c>
      <c r="B201" s="341" t="s">
        <v>485</v>
      </c>
      <c r="C201" s="390" t="s">
        <v>31345</v>
      </c>
      <c r="D201" s="423"/>
      <c r="E201" s="425"/>
      <c r="F201" s="424"/>
      <c r="G201" s="425"/>
      <c r="H201" s="490"/>
      <c r="K201" s="152"/>
      <c r="L201" s="387"/>
      <c r="M201" s="151"/>
      <c r="N201" s="151"/>
      <c r="O201" s="151"/>
      <c r="P201" s="151"/>
      <c r="Q201" s="151"/>
      <c r="R201" s="151"/>
      <c r="S201" s="151"/>
      <c r="T201" s="495"/>
      <c r="U201" s="912"/>
      <c r="V201" s="973"/>
      <c r="W201" s="948"/>
      <c r="X201" s="949"/>
      <c r="Y201" s="949"/>
      <c r="Z201" s="949"/>
      <c r="AA201" s="949"/>
      <c r="AB201" s="934" t="s">
        <v>30825</v>
      </c>
      <c r="AC201" s="935"/>
      <c r="AD201" s="935"/>
      <c r="AE201" s="935"/>
      <c r="AF201" s="935"/>
      <c r="AG201" s="935"/>
      <c r="AH201" s="935"/>
      <c r="AI201" s="935"/>
      <c r="AJ201" s="935"/>
      <c r="AK201" s="935"/>
      <c r="AL201" s="427" t="s">
        <v>15626</v>
      </c>
      <c r="AM201" s="964">
        <f>$AM$9</f>
        <v>0.5</v>
      </c>
      <c r="AN201" s="964"/>
      <c r="AO201" s="575"/>
      <c r="AP201" s="575"/>
      <c r="AQ201" s="575"/>
      <c r="AR201" s="592"/>
      <c r="AS201" s="489">
        <f>ROUND(ROUND(I203*$U$207,0)*AM201,0)</f>
        <v>125</v>
      </c>
      <c r="AT201" s="359"/>
    </row>
    <row r="202" spans="1:46" ht="17.100000000000001" customHeight="1" x14ac:dyDescent="0.15">
      <c r="A202" s="340">
        <v>21</v>
      </c>
      <c r="B202" s="341" t="s">
        <v>487</v>
      </c>
      <c r="C202" s="390" t="s">
        <v>31346</v>
      </c>
      <c r="D202" s="423"/>
      <c r="E202" s="425"/>
      <c r="F202" s="424"/>
      <c r="G202" s="425"/>
      <c r="H202" s="490"/>
      <c r="L202" s="495"/>
      <c r="M202" s="862" t="s">
        <v>30827</v>
      </c>
      <c r="N202" s="862"/>
      <c r="O202" s="862"/>
      <c r="P202" s="862"/>
      <c r="Q202" s="862"/>
      <c r="R202" s="862"/>
      <c r="S202" s="862"/>
      <c r="T202" s="863"/>
      <c r="U202" s="912"/>
      <c r="V202" s="973"/>
      <c r="W202" s="447"/>
      <c r="X202" s="474"/>
      <c r="Y202" s="343"/>
      <c r="Z202" s="343"/>
      <c r="AA202" s="343"/>
      <c r="AB202" s="396"/>
      <c r="AC202" s="396"/>
      <c r="AD202" s="427"/>
      <c r="AE202" s="427"/>
      <c r="AF202" s="396"/>
      <c r="AG202" s="396"/>
      <c r="AH202" s="396"/>
      <c r="AI202" s="396"/>
      <c r="AJ202" s="396"/>
      <c r="AK202" s="396"/>
      <c r="AL202" s="427"/>
      <c r="AM202" s="964"/>
      <c r="AN202" s="964"/>
      <c r="AO202" s="575"/>
      <c r="AP202" s="575"/>
      <c r="AQ202" s="575"/>
      <c r="AR202" s="592"/>
      <c r="AS202" s="489">
        <f>ROUND(ROUND(I203*S204,0)*$U$207,0)</f>
        <v>240</v>
      </c>
      <c r="AT202" s="359"/>
    </row>
    <row r="203" spans="1:46" ht="17.100000000000001" customHeight="1" x14ac:dyDescent="0.15">
      <c r="A203" s="340">
        <v>21</v>
      </c>
      <c r="B203" s="341" t="s">
        <v>20228</v>
      </c>
      <c r="C203" s="390" t="s">
        <v>31347</v>
      </c>
      <c r="D203" s="423"/>
      <c r="E203" s="425"/>
      <c r="F203" s="424"/>
      <c r="G203" s="425"/>
      <c r="H203" s="490"/>
      <c r="I203" s="965">
        <f>'5療養介護(基本)'!I70</f>
        <v>497</v>
      </c>
      <c r="J203" s="965"/>
      <c r="K203" s="152" t="s">
        <v>15624</v>
      </c>
      <c r="L203" s="387"/>
      <c r="M203" s="865"/>
      <c r="N203" s="865"/>
      <c r="O203" s="865"/>
      <c r="P203" s="865"/>
      <c r="Q203" s="865"/>
      <c r="R203" s="865"/>
      <c r="S203" s="865"/>
      <c r="T203" s="866"/>
      <c r="U203" s="912"/>
      <c r="V203" s="973"/>
      <c r="W203" s="948" t="s">
        <v>30822</v>
      </c>
      <c r="X203" s="949"/>
      <c r="Y203" s="949"/>
      <c r="Z203" s="949"/>
      <c r="AA203" s="949"/>
      <c r="AB203" s="934" t="s">
        <v>30823</v>
      </c>
      <c r="AC203" s="935"/>
      <c r="AD203" s="935"/>
      <c r="AE203" s="935"/>
      <c r="AF203" s="935"/>
      <c r="AG203" s="935"/>
      <c r="AH203" s="935"/>
      <c r="AI203" s="935"/>
      <c r="AJ203" s="935"/>
      <c r="AK203" s="935"/>
      <c r="AL203" s="427" t="s">
        <v>15626</v>
      </c>
      <c r="AM203" s="964">
        <f>$AM$8</f>
        <v>0.7</v>
      </c>
      <c r="AN203" s="964"/>
      <c r="AO203" s="575"/>
      <c r="AP203" s="575"/>
      <c r="AQ203" s="575"/>
      <c r="AR203" s="592"/>
      <c r="AS203" s="489">
        <f>ROUND(ROUND(ROUND(I203*S204,0)*$U$207,0)*AM203,0)</f>
        <v>168</v>
      </c>
      <c r="AT203" s="359"/>
    </row>
    <row r="204" spans="1:46" ht="17.100000000000001" customHeight="1" x14ac:dyDescent="0.15">
      <c r="A204" s="340">
        <v>21</v>
      </c>
      <c r="B204" s="341" t="s">
        <v>20230</v>
      </c>
      <c r="C204" s="390" t="s">
        <v>31348</v>
      </c>
      <c r="D204" s="423"/>
      <c r="E204" s="425"/>
      <c r="F204" s="424"/>
      <c r="G204" s="425"/>
      <c r="H204" s="490"/>
      <c r="K204" s="152"/>
      <c r="L204" s="387"/>
      <c r="M204" s="338"/>
      <c r="N204" s="338"/>
      <c r="O204" s="338"/>
      <c r="P204" s="338"/>
      <c r="Q204" s="338"/>
      <c r="R204" s="391" t="s">
        <v>15626</v>
      </c>
      <c r="S204" s="936">
        <f>$S$12</f>
        <v>0.96499999999999997</v>
      </c>
      <c r="T204" s="937"/>
      <c r="U204" s="912"/>
      <c r="V204" s="973"/>
      <c r="W204" s="948"/>
      <c r="X204" s="949"/>
      <c r="Y204" s="949"/>
      <c r="Z204" s="949"/>
      <c r="AA204" s="949"/>
      <c r="AB204" s="934" t="s">
        <v>30825</v>
      </c>
      <c r="AC204" s="935"/>
      <c r="AD204" s="935"/>
      <c r="AE204" s="935"/>
      <c r="AF204" s="935"/>
      <c r="AG204" s="935"/>
      <c r="AH204" s="935"/>
      <c r="AI204" s="935"/>
      <c r="AJ204" s="935"/>
      <c r="AK204" s="935"/>
      <c r="AL204" s="427" t="s">
        <v>15626</v>
      </c>
      <c r="AM204" s="964">
        <f>$AM$9</f>
        <v>0.5</v>
      </c>
      <c r="AN204" s="964"/>
      <c r="AO204" s="568"/>
      <c r="AP204" s="568"/>
      <c r="AQ204" s="568"/>
      <c r="AR204" s="599"/>
      <c r="AS204" s="489">
        <f>ROUND(ROUND(ROUND(I203*S204,0)*$U$207,0)*AM204,0)</f>
        <v>120</v>
      </c>
      <c r="AT204" s="359"/>
    </row>
    <row r="205" spans="1:46" ht="17.100000000000001" customHeight="1" x14ac:dyDescent="0.15">
      <c r="A205" s="340">
        <v>21</v>
      </c>
      <c r="B205" s="341" t="s">
        <v>20244</v>
      </c>
      <c r="C205" s="390" t="s">
        <v>31349</v>
      </c>
      <c r="D205" s="423"/>
      <c r="E205" s="425"/>
      <c r="F205" s="424"/>
      <c r="G205" s="425"/>
      <c r="H205" s="861" t="s">
        <v>30845</v>
      </c>
      <c r="I205" s="862"/>
      <c r="J205" s="862"/>
      <c r="K205" s="862"/>
      <c r="L205" s="863"/>
      <c r="M205" s="396"/>
      <c r="N205" s="400"/>
      <c r="O205" s="400"/>
      <c r="P205" s="400"/>
      <c r="Q205" s="400"/>
      <c r="R205" s="400"/>
      <c r="S205" s="400"/>
      <c r="T205" s="429"/>
      <c r="U205" s="912"/>
      <c r="V205" s="973"/>
      <c r="W205" s="330"/>
      <c r="X205" s="454"/>
      <c r="Y205" s="459"/>
      <c r="Z205" s="568"/>
      <c r="AA205" s="343"/>
      <c r="AB205" s="396"/>
      <c r="AC205" s="396"/>
      <c r="AD205" s="427"/>
      <c r="AE205" s="427"/>
      <c r="AF205" s="396"/>
      <c r="AG205" s="396"/>
      <c r="AH205" s="396"/>
      <c r="AI205" s="396"/>
      <c r="AJ205" s="396"/>
      <c r="AK205" s="396"/>
      <c r="AL205" s="427"/>
      <c r="AM205" s="964"/>
      <c r="AN205" s="964"/>
      <c r="AO205" s="575"/>
      <c r="AP205" s="575"/>
      <c r="AQ205" s="575"/>
      <c r="AR205" s="592"/>
      <c r="AS205" s="489">
        <f>ROUND(I209*$U$207,0)</f>
        <v>238</v>
      </c>
      <c r="AT205" s="359"/>
    </row>
    <row r="206" spans="1:46" ht="17.100000000000001" customHeight="1" x14ac:dyDescent="0.15">
      <c r="A206" s="340">
        <v>21</v>
      </c>
      <c r="B206" s="341" t="s">
        <v>20246</v>
      </c>
      <c r="C206" s="390" t="s">
        <v>31350</v>
      </c>
      <c r="D206" s="423"/>
      <c r="E206" s="425"/>
      <c r="F206" s="424"/>
      <c r="G206" s="425"/>
      <c r="H206" s="864"/>
      <c r="I206" s="865"/>
      <c r="J206" s="865"/>
      <c r="K206" s="865"/>
      <c r="L206" s="866"/>
      <c r="M206" s="151"/>
      <c r="N206" s="151"/>
      <c r="O206" s="151"/>
      <c r="P206" s="151"/>
      <c r="Q206" s="151"/>
      <c r="R206" s="151"/>
      <c r="S206" s="151"/>
      <c r="T206" s="495"/>
      <c r="U206" s="901" t="s">
        <v>15626</v>
      </c>
      <c r="V206" s="903"/>
      <c r="W206" s="948" t="s">
        <v>30822</v>
      </c>
      <c r="X206" s="949"/>
      <c r="Y206" s="949"/>
      <c r="Z206" s="949"/>
      <c r="AA206" s="949"/>
      <c r="AB206" s="934" t="s">
        <v>30823</v>
      </c>
      <c r="AC206" s="935"/>
      <c r="AD206" s="935"/>
      <c r="AE206" s="935"/>
      <c r="AF206" s="935"/>
      <c r="AG206" s="935"/>
      <c r="AH206" s="935"/>
      <c r="AI206" s="935"/>
      <c r="AJ206" s="935"/>
      <c r="AK206" s="935"/>
      <c r="AL206" s="427" t="s">
        <v>15626</v>
      </c>
      <c r="AM206" s="964">
        <f>$AM$8</f>
        <v>0.7</v>
      </c>
      <c r="AN206" s="964"/>
      <c r="AO206" s="575"/>
      <c r="AP206" s="575"/>
      <c r="AQ206" s="575"/>
      <c r="AR206" s="592"/>
      <c r="AS206" s="489">
        <f>ROUND(ROUND(I209*$U$207,0)*AM206,0)</f>
        <v>167</v>
      </c>
      <c r="AT206" s="359"/>
    </row>
    <row r="207" spans="1:46" ht="17.100000000000001" customHeight="1" x14ac:dyDescent="0.15">
      <c r="A207" s="340">
        <v>21</v>
      </c>
      <c r="B207" s="341" t="s">
        <v>20248</v>
      </c>
      <c r="C207" s="390" t="s">
        <v>31351</v>
      </c>
      <c r="D207" s="423"/>
      <c r="E207" s="425"/>
      <c r="F207" s="424"/>
      <c r="G207" s="425"/>
      <c r="H207" s="430"/>
      <c r="I207" s="431"/>
      <c r="J207" s="431"/>
      <c r="K207" s="431"/>
      <c r="L207" s="432"/>
      <c r="M207" s="151"/>
      <c r="N207" s="151"/>
      <c r="O207" s="151"/>
      <c r="P207" s="151"/>
      <c r="Q207" s="151"/>
      <c r="R207" s="151"/>
      <c r="S207" s="151"/>
      <c r="T207" s="495"/>
      <c r="U207" s="966">
        <f>U183</f>
        <v>0.5</v>
      </c>
      <c r="V207" s="967"/>
      <c r="W207" s="948"/>
      <c r="X207" s="949"/>
      <c r="Y207" s="949"/>
      <c r="Z207" s="949"/>
      <c r="AA207" s="949"/>
      <c r="AB207" s="934" t="s">
        <v>30825</v>
      </c>
      <c r="AC207" s="935"/>
      <c r="AD207" s="935"/>
      <c r="AE207" s="935"/>
      <c r="AF207" s="935"/>
      <c r="AG207" s="935"/>
      <c r="AH207" s="935"/>
      <c r="AI207" s="935"/>
      <c r="AJ207" s="935"/>
      <c r="AK207" s="935"/>
      <c r="AL207" s="427" t="s">
        <v>15626</v>
      </c>
      <c r="AM207" s="964">
        <f>$AM$9</f>
        <v>0.5</v>
      </c>
      <c r="AN207" s="964"/>
      <c r="AO207" s="575"/>
      <c r="AP207" s="575"/>
      <c r="AQ207" s="575"/>
      <c r="AR207" s="592"/>
      <c r="AS207" s="489">
        <f>ROUND(ROUND(I209*$U$207,0)*AM207,0)</f>
        <v>119</v>
      </c>
      <c r="AT207" s="359"/>
    </row>
    <row r="208" spans="1:46" ht="17.100000000000001" customHeight="1" x14ac:dyDescent="0.15">
      <c r="A208" s="340">
        <v>21</v>
      </c>
      <c r="B208" s="341" t="s">
        <v>20250</v>
      </c>
      <c r="C208" s="390" t="s">
        <v>31352</v>
      </c>
      <c r="D208" s="423"/>
      <c r="E208" s="425"/>
      <c r="F208" s="424"/>
      <c r="G208" s="425"/>
      <c r="H208" s="490"/>
      <c r="L208" s="495"/>
      <c r="M208" s="862" t="s">
        <v>30827</v>
      </c>
      <c r="N208" s="862"/>
      <c r="O208" s="862"/>
      <c r="P208" s="862"/>
      <c r="Q208" s="862"/>
      <c r="R208" s="862"/>
      <c r="S208" s="862"/>
      <c r="T208" s="863"/>
      <c r="U208" s="494"/>
      <c r="V208" s="495"/>
      <c r="W208" s="447"/>
      <c r="X208" s="474"/>
      <c r="Y208" s="343"/>
      <c r="Z208" s="343"/>
      <c r="AA208" s="343"/>
      <c r="AB208" s="396"/>
      <c r="AC208" s="396"/>
      <c r="AD208" s="427"/>
      <c r="AE208" s="427"/>
      <c r="AF208" s="396"/>
      <c r="AG208" s="396"/>
      <c r="AH208" s="396"/>
      <c r="AI208" s="396"/>
      <c r="AJ208" s="396"/>
      <c r="AK208" s="396"/>
      <c r="AL208" s="427"/>
      <c r="AM208" s="964"/>
      <c r="AN208" s="964"/>
      <c r="AO208" s="575"/>
      <c r="AP208" s="575"/>
      <c r="AQ208" s="575"/>
      <c r="AR208" s="592"/>
      <c r="AS208" s="489">
        <f>ROUND(ROUND(I209*S210,0)*$U$207,0)</f>
        <v>229</v>
      </c>
      <c r="AT208" s="359"/>
    </row>
    <row r="209" spans="1:46" ht="17.100000000000001" customHeight="1" x14ac:dyDescent="0.15">
      <c r="A209" s="340">
        <v>21</v>
      </c>
      <c r="B209" s="341" t="s">
        <v>20252</v>
      </c>
      <c r="C209" s="390" t="s">
        <v>31353</v>
      </c>
      <c r="D209" s="423"/>
      <c r="E209" s="425"/>
      <c r="F209" s="424"/>
      <c r="G209" s="425"/>
      <c r="H209" s="490"/>
      <c r="I209" s="965">
        <f>'5療養介護(基本)'!I76</f>
        <v>475</v>
      </c>
      <c r="J209" s="965"/>
      <c r="K209" s="152" t="s">
        <v>15624</v>
      </c>
      <c r="L209" s="387"/>
      <c r="M209" s="865"/>
      <c r="N209" s="865"/>
      <c r="O209" s="865"/>
      <c r="P209" s="865"/>
      <c r="Q209" s="865"/>
      <c r="R209" s="865"/>
      <c r="S209" s="865"/>
      <c r="T209" s="866"/>
      <c r="U209" s="490"/>
      <c r="V209" s="387"/>
      <c r="W209" s="948" t="s">
        <v>30822</v>
      </c>
      <c r="X209" s="949"/>
      <c r="Y209" s="949"/>
      <c r="Z209" s="949"/>
      <c r="AA209" s="949"/>
      <c r="AB209" s="934" t="s">
        <v>30823</v>
      </c>
      <c r="AC209" s="935"/>
      <c r="AD209" s="935"/>
      <c r="AE209" s="935"/>
      <c r="AF209" s="935"/>
      <c r="AG209" s="935"/>
      <c r="AH209" s="935"/>
      <c r="AI209" s="935"/>
      <c r="AJ209" s="935"/>
      <c r="AK209" s="935"/>
      <c r="AL209" s="427" t="s">
        <v>15626</v>
      </c>
      <c r="AM209" s="964">
        <f>$AM$8</f>
        <v>0.7</v>
      </c>
      <c r="AN209" s="964"/>
      <c r="AO209" s="575"/>
      <c r="AP209" s="575"/>
      <c r="AQ209" s="575"/>
      <c r="AR209" s="592"/>
      <c r="AS209" s="489">
        <f>ROUND(ROUND(ROUND(I209*S210,0)*$U$207,0)*AM209,0)</f>
        <v>160</v>
      </c>
      <c r="AT209" s="359"/>
    </row>
    <row r="210" spans="1:46" ht="17.100000000000001" customHeight="1" x14ac:dyDescent="0.15">
      <c r="A210" s="340">
        <v>21</v>
      </c>
      <c r="B210" s="341" t="s">
        <v>20254</v>
      </c>
      <c r="C210" s="390" t="s">
        <v>31354</v>
      </c>
      <c r="D210" s="423"/>
      <c r="E210" s="425"/>
      <c r="F210" s="470"/>
      <c r="G210" s="471"/>
      <c r="H210" s="324"/>
      <c r="I210" s="325"/>
      <c r="J210" s="325"/>
      <c r="K210" s="325"/>
      <c r="L210" s="387"/>
      <c r="M210" s="338"/>
      <c r="N210" s="338"/>
      <c r="O210" s="338"/>
      <c r="P210" s="338"/>
      <c r="Q210" s="338"/>
      <c r="R210" s="391" t="s">
        <v>15626</v>
      </c>
      <c r="S210" s="936">
        <f>$S$12</f>
        <v>0.96499999999999997</v>
      </c>
      <c r="T210" s="937"/>
      <c r="U210" s="490"/>
      <c r="V210" s="387"/>
      <c r="W210" s="948"/>
      <c r="X210" s="949"/>
      <c r="Y210" s="949"/>
      <c r="Z210" s="949"/>
      <c r="AA210" s="949"/>
      <c r="AB210" s="934" t="s">
        <v>30825</v>
      </c>
      <c r="AC210" s="935"/>
      <c r="AD210" s="935"/>
      <c r="AE210" s="935"/>
      <c r="AF210" s="935"/>
      <c r="AG210" s="935"/>
      <c r="AH210" s="935"/>
      <c r="AI210" s="935"/>
      <c r="AJ210" s="935"/>
      <c r="AK210" s="935"/>
      <c r="AL210" s="427" t="s">
        <v>15626</v>
      </c>
      <c r="AM210" s="964">
        <f>$AM$9</f>
        <v>0.5</v>
      </c>
      <c r="AN210" s="964"/>
      <c r="AO210" s="568"/>
      <c r="AP210" s="568"/>
      <c r="AQ210" s="568"/>
      <c r="AR210" s="599"/>
      <c r="AS210" s="489">
        <f>ROUND(ROUND(ROUND(I209*S210,0)*$U$207,0)*AM210,0)</f>
        <v>115</v>
      </c>
      <c r="AT210" s="359"/>
    </row>
    <row r="211" spans="1:46" ht="17.100000000000001" customHeight="1" x14ac:dyDescent="0.15">
      <c r="A211" s="340">
        <v>21</v>
      </c>
      <c r="B211" s="341" t="s">
        <v>20264</v>
      </c>
      <c r="C211" s="390" t="s">
        <v>31355</v>
      </c>
      <c r="D211" s="423"/>
      <c r="E211" s="425"/>
      <c r="F211" s="943" t="s">
        <v>30902</v>
      </c>
      <c r="G211" s="944"/>
      <c r="H211" s="490" t="s">
        <v>30820</v>
      </c>
      <c r="K211" s="152"/>
      <c r="L211" s="396"/>
      <c r="M211" s="396"/>
      <c r="N211" s="569"/>
      <c r="O211" s="569"/>
      <c r="P211" s="569"/>
      <c r="Q211" s="569"/>
      <c r="R211" s="569"/>
      <c r="S211" s="569"/>
      <c r="T211" s="611"/>
      <c r="U211" s="490"/>
      <c r="V211" s="387"/>
      <c r="W211" s="447"/>
      <c r="X211" s="474"/>
      <c r="Y211" s="343"/>
      <c r="Z211" s="343"/>
      <c r="AA211" s="343"/>
      <c r="AB211" s="396"/>
      <c r="AC211" s="396"/>
      <c r="AD211" s="427"/>
      <c r="AE211" s="427"/>
      <c r="AF211" s="396"/>
      <c r="AG211" s="396"/>
      <c r="AH211" s="396"/>
      <c r="AI211" s="396"/>
      <c r="AJ211" s="396"/>
      <c r="AK211" s="396"/>
      <c r="AL211" s="427"/>
      <c r="AM211" s="964"/>
      <c r="AN211" s="964"/>
      <c r="AO211" s="575"/>
      <c r="AP211" s="575"/>
      <c r="AQ211" s="575"/>
      <c r="AR211" s="592"/>
      <c r="AS211" s="392">
        <f>ROUND(J212*$U$207,0)</f>
        <v>223</v>
      </c>
      <c r="AT211" s="359"/>
    </row>
    <row r="212" spans="1:46" ht="17.100000000000001" customHeight="1" x14ac:dyDescent="0.15">
      <c r="A212" s="340">
        <v>21</v>
      </c>
      <c r="B212" s="341" t="s">
        <v>20266</v>
      </c>
      <c r="C212" s="390" t="s">
        <v>31356</v>
      </c>
      <c r="D212" s="423"/>
      <c r="E212" s="425"/>
      <c r="F212" s="943"/>
      <c r="G212" s="944"/>
      <c r="H212" s="490"/>
      <c r="J212" s="965">
        <f>'5療養介護(基本)'!I81</f>
        <v>445</v>
      </c>
      <c r="K212" s="965"/>
      <c r="L212" s="152" t="s">
        <v>15624</v>
      </c>
      <c r="M212" s="152"/>
      <c r="N212" s="566"/>
      <c r="O212" s="566"/>
      <c r="P212" s="566"/>
      <c r="Q212" s="566"/>
      <c r="R212" s="566"/>
      <c r="S212" s="566"/>
      <c r="T212" s="610"/>
      <c r="U212" s="566"/>
      <c r="V212" s="610"/>
      <c r="W212" s="948" t="s">
        <v>30822</v>
      </c>
      <c r="X212" s="949"/>
      <c r="Y212" s="949"/>
      <c r="Z212" s="949"/>
      <c r="AA212" s="949"/>
      <c r="AB212" s="934" t="s">
        <v>30823</v>
      </c>
      <c r="AC212" s="935"/>
      <c r="AD212" s="935"/>
      <c r="AE212" s="935"/>
      <c r="AF212" s="935"/>
      <c r="AG212" s="935"/>
      <c r="AH212" s="935"/>
      <c r="AI212" s="935"/>
      <c r="AJ212" s="935"/>
      <c r="AK212" s="935"/>
      <c r="AL212" s="427" t="s">
        <v>15626</v>
      </c>
      <c r="AM212" s="964">
        <f>$AM$8</f>
        <v>0.7</v>
      </c>
      <c r="AN212" s="964"/>
      <c r="AO212" s="575"/>
      <c r="AP212" s="575"/>
      <c r="AQ212" s="575"/>
      <c r="AR212" s="592"/>
      <c r="AS212" s="392">
        <f>ROUND(ROUND(J212*$U$207,0)*AM212,0)</f>
        <v>156</v>
      </c>
      <c r="AT212" s="359"/>
    </row>
    <row r="213" spans="1:46" ht="17.100000000000001" customHeight="1" x14ac:dyDescent="0.15">
      <c r="A213" s="340">
        <v>21</v>
      </c>
      <c r="B213" s="341" t="s">
        <v>20268</v>
      </c>
      <c r="C213" s="390" t="s">
        <v>31357</v>
      </c>
      <c r="D213" s="423"/>
      <c r="E213" s="425"/>
      <c r="F213" s="943"/>
      <c r="G213" s="944"/>
      <c r="H213" s="423"/>
      <c r="I213" s="618"/>
      <c r="J213" s="618"/>
      <c r="K213" s="618"/>
      <c r="L213" s="618"/>
      <c r="M213" s="618"/>
      <c r="N213" s="618"/>
      <c r="O213" s="618"/>
      <c r="P213" s="618"/>
      <c r="Q213" s="618"/>
      <c r="R213" s="618"/>
      <c r="S213" s="618"/>
      <c r="T213" s="619"/>
      <c r="U213" s="566"/>
      <c r="V213" s="610"/>
      <c r="W213" s="948"/>
      <c r="X213" s="949"/>
      <c r="Y213" s="949"/>
      <c r="Z213" s="949"/>
      <c r="AA213" s="949"/>
      <c r="AB213" s="934" t="s">
        <v>30825</v>
      </c>
      <c r="AC213" s="935"/>
      <c r="AD213" s="935"/>
      <c r="AE213" s="935"/>
      <c r="AF213" s="935"/>
      <c r="AG213" s="935"/>
      <c r="AH213" s="935"/>
      <c r="AI213" s="935"/>
      <c r="AJ213" s="935"/>
      <c r="AK213" s="935"/>
      <c r="AL213" s="427" t="s">
        <v>15626</v>
      </c>
      <c r="AM213" s="964">
        <f>$AM$9</f>
        <v>0.5</v>
      </c>
      <c r="AN213" s="964"/>
      <c r="AO213" s="568"/>
      <c r="AP213" s="568"/>
      <c r="AQ213" s="568"/>
      <c r="AR213" s="599"/>
      <c r="AS213" s="392">
        <f>ROUND(ROUND(J212*$U$207,0)*AM213,0)</f>
        <v>112</v>
      </c>
      <c r="AT213" s="359"/>
    </row>
    <row r="214" spans="1:46" ht="17.100000000000001" customHeight="1" x14ac:dyDescent="0.15">
      <c r="A214" s="340">
        <v>21</v>
      </c>
      <c r="B214" s="341" t="s">
        <v>20276</v>
      </c>
      <c r="C214" s="390" t="s">
        <v>31358</v>
      </c>
      <c r="D214" s="423"/>
      <c r="E214" s="425"/>
      <c r="F214" s="943"/>
      <c r="G214" s="944"/>
      <c r="H214" s="547" t="s">
        <v>30831</v>
      </c>
      <c r="I214" s="396"/>
      <c r="J214" s="396"/>
      <c r="K214" s="396"/>
      <c r="L214" s="396"/>
      <c r="M214" s="396"/>
      <c r="N214" s="569"/>
      <c r="O214" s="569"/>
      <c r="P214" s="569"/>
      <c r="Q214" s="569"/>
      <c r="R214" s="569"/>
      <c r="S214" s="569"/>
      <c r="T214" s="611"/>
      <c r="U214" s="152"/>
      <c r="V214" s="387"/>
      <c r="W214" s="447"/>
      <c r="X214" s="474"/>
      <c r="Y214" s="343"/>
      <c r="Z214" s="343"/>
      <c r="AA214" s="343"/>
      <c r="AB214" s="343"/>
      <c r="AC214" s="343"/>
      <c r="AD214" s="455"/>
      <c r="AE214" s="455"/>
      <c r="AF214" s="343"/>
      <c r="AG214" s="343"/>
      <c r="AH214" s="343"/>
      <c r="AI214" s="343"/>
      <c r="AJ214" s="343"/>
      <c r="AK214" s="343"/>
      <c r="AL214" s="427"/>
      <c r="AM214" s="964"/>
      <c r="AN214" s="964"/>
      <c r="AO214" s="575"/>
      <c r="AP214" s="575"/>
      <c r="AQ214" s="575"/>
      <c r="AR214" s="592"/>
      <c r="AS214" s="392">
        <f>ROUND(J215*$U$207,0)</f>
        <v>205</v>
      </c>
      <c r="AT214" s="359"/>
    </row>
    <row r="215" spans="1:46" ht="17.100000000000001" customHeight="1" x14ac:dyDescent="0.15">
      <c r="A215" s="340">
        <v>21</v>
      </c>
      <c r="B215" s="341" t="s">
        <v>20278</v>
      </c>
      <c r="C215" s="390" t="s">
        <v>31359</v>
      </c>
      <c r="D215" s="423"/>
      <c r="E215" s="425"/>
      <c r="F215" s="943"/>
      <c r="G215" s="944"/>
      <c r="H215" s="490"/>
      <c r="J215" s="965">
        <f>'5療養介護(基本)'!I84</f>
        <v>409</v>
      </c>
      <c r="K215" s="965"/>
      <c r="L215" s="152" t="s">
        <v>15624</v>
      </c>
      <c r="M215" s="152"/>
      <c r="N215" s="566"/>
      <c r="O215" s="566"/>
      <c r="P215" s="566"/>
      <c r="Q215" s="566"/>
      <c r="R215" s="566"/>
      <c r="S215" s="566"/>
      <c r="T215" s="610"/>
      <c r="U215" s="566"/>
      <c r="V215" s="610"/>
      <c r="W215" s="948" t="s">
        <v>30822</v>
      </c>
      <c r="X215" s="949"/>
      <c r="Y215" s="949"/>
      <c r="Z215" s="949"/>
      <c r="AA215" s="949"/>
      <c r="AB215" s="934" t="s">
        <v>30823</v>
      </c>
      <c r="AC215" s="935"/>
      <c r="AD215" s="935"/>
      <c r="AE215" s="935"/>
      <c r="AF215" s="935"/>
      <c r="AG215" s="935"/>
      <c r="AH215" s="935"/>
      <c r="AI215" s="935"/>
      <c r="AJ215" s="935"/>
      <c r="AK215" s="935"/>
      <c r="AL215" s="427" t="s">
        <v>15626</v>
      </c>
      <c r="AM215" s="964">
        <f>$AM$8</f>
        <v>0.7</v>
      </c>
      <c r="AN215" s="964"/>
      <c r="AO215" s="575"/>
      <c r="AP215" s="575"/>
      <c r="AQ215" s="575"/>
      <c r="AR215" s="592"/>
      <c r="AS215" s="392">
        <f>ROUND(ROUND(J215*$U$207,0)*AM215,0)</f>
        <v>144</v>
      </c>
      <c r="AT215" s="359"/>
    </row>
    <row r="216" spans="1:46" ht="17.100000000000001" customHeight="1" x14ac:dyDescent="0.15">
      <c r="A216" s="340">
        <v>21</v>
      </c>
      <c r="B216" s="341" t="s">
        <v>20280</v>
      </c>
      <c r="C216" s="390" t="s">
        <v>31360</v>
      </c>
      <c r="D216" s="423"/>
      <c r="E216" s="425"/>
      <c r="F216" s="943"/>
      <c r="G216" s="944"/>
      <c r="H216" s="621"/>
      <c r="I216" s="618"/>
      <c r="J216" s="618"/>
      <c r="K216" s="618"/>
      <c r="L216" s="618"/>
      <c r="M216" s="618"/>
      <c r="N216" s="618"/>
      <c r="O216" s="618"/>
      <c r="P216" s="618"/>
      <c r="Q216" s="618"/>
      <c r="R216" s="618"/>
      <c r="S216" s="618"/>
      <c r="T216" s="619"/>
      <c r="U216" s="566"/>
      <c r="V216" s="610"/>
      <c r="W216" s="948"/>
      <c r="X216" s="949"/>
      <c r="Y216" s="949"/>
      <c r="Z216" s="949"/>
      <c r="AA216" s="949"/>
      <c r="AB216" s="934" t="s">
        <v>30825</v>
      </c>
      <c r="AC216" s="935"/>
      <c r="AD216" s="935"/>
      <c r="AE216" s="935"/>
      <c r="AF216" s="935"/>
      <c r="AG216" s="935"/>
      <c r="AH216" s="935"/>
      <c r="AI216" s="935"/>
      <c r="AJ216" s="935"/>
      <c r="AK216" s="935"/>
      <c r="AL216" s="427" t="s">
        <v>15626</v>
      </c>
      <c r="AM216" s="964">
        <f>$AM$9</f>
        <v>0.5</v>
      </c>
      <c r="AN216" s="964"/>
      <c r="AO216" s="568"/>
      <c r="AP216" s="568"/>
      <c r="AQ216" s="568"/>
      <c r="AR216" s="599"/>
      <c r="AS216" s="392">
        <f>ROUND(ROUND(J215*$U$207,0)*AM216,0)</f>
        <v>103</v>
      </c>
      <c r="AT216" s="359"/>
    </row>
    <row r="217" spans="1:46" ht="17.100000000000001" customHeight="1" x14ac:dyDescent="0.15">
      <c r="A217" s="340">
        <v>21</v>
      </c>
      <c r="B217" s="341" t="s">
        <v>20288</v>
      </c>
      <c r="C217" s="390" t="s">
        <v>31361</v>
      </c>
      <c r="D217" s="423"/>
      <c r="E217" s="425"/>
      <c r="F217" s="943"/>
      <c r="G217" s="944"/>
      <c r="H217" s="547" t="s">
        <v>30838</v>
      </c>
      <c r="I217" s="396"/>
      <c r="J217" s="396"/>
      <c r="K217" s="396"/>
      <c r="L217" s="396"/>
      <c r="M217" s="396"/>
      <c r="N217" s="569"/>
      <c r="O217" s="569"/>
      <c r="P217" s="569"/>
      <c r="Q217" s="569"/>
      <c r="R217" s="569"/>
      <c r="S217" s="569"/>
      <c r="T217" s="611"/>
      <c r="U217" s="152"/>
      <c r="V217" s="387"/>
      <c r="W217" s="447"/>
      <c r="X217" s="474"/>
      <c r="Y217" s="343"/>
      <c r="Z217" s="343"/>
      <c r="AA217" s="343"/>
      <c r="AB217" s="396"/>
      <c r="AC217" s="396"/>
      <c r="AD217" s="427"/>
      <c r="AE217" s="427"/>
      <c r="AF217" s="396"/>
      <c r="AG217" s="396"/>
      <c r="AH217" s="396"/>
      <c r="AI217" s="396"/>
      <c r="AJ217" s="396"/>
      <c r="AK217" s="396"/>
      <c r="AL217" s="427"/>
      <c r="AM217" s="964"/>
      <c r="AN217" s="964"/>
      <c r="AO217" s="575"/>
      <c r="AP217" s="575"/>
      <c r="AQ217" s="575"/>
      <c r="AR217" s="592"/>
      <c r="AS217" s="392">
        <f>ROUND(J218*$U$207,0)</f>
        <v>191</v>
      </c>
      <c r="AT217" s="359"/>
    </row>
    <row r="218" spans="1:46" ht="17.100000000000001" customHeight="1" x14ac:dyDescent="0.15">
      <c r="A218" s="340">
        <v>21</v>
      </c>
      <c r="B218" s="341" t="s">
        <v>20290</v>
      </c>
      <c r="C218" s="390" t="s">
        <v>31362</v>
      </c>
      <c r="D218" s="423"/>
      <c r="E218" s="425"/>
      <c r="F218" s="943"/>
      <c r="G218" s="944"/>
      <c r="H218" s="490"/>
      <c r="J218" s="965">
        <f>'5療養介護(基本)'!I87</f>
        <v>381</v>
      </c>
      <c r="K218" s="965"/>
      <c r="L218" s="152" t="s">
        <v>15624</v>
      </c>
      <c r="M218" s="152"/>
      <c r="N218" s="566"/>
      <c r="O218" s="566"/>
      <c r="P218" s="566"/>
      <c r="Q218" s="566"/>
      <c r="R218" s="566"/>
      <c r="S218" s="566"/>
      <c r="T218" s="610"/>
      <c r="U218" s="566"/>
      <c r="V218" s="610"/>
      <c r="W218" s="948" t="s">
        <v>30822</v>
      </c>
      <c r="X218" s="949"/>
      <c r="Y218" s="949"/>
      <c r="Z218" s="949"/>
      <c r="AA218" s="949"/>
      <c r="AB218" s="934" t="s">
        <v>30823</v>
      </c>
      <c r="AC218" s="935"/>
      <c r="AD218" s="935"/>
      <c r="AE218" s="935"/>
      <c r="AF218" s="935"/>
      <c r="AG218" s="935"/>
      <c r="AH218" s="935"/>
      <c r="AI218" s="935"/>
      <c r="AJ218" s="935"/>
      <c r="AK218" s="935"/>
      <c r="AL218" s="427" t="s">
        <v>15626</v>
      </c>
      <c r="AM218" s="964">
        <f>$AM$8</f>
        <v>0.7</v>
      </c>
      <c r="AN218" s="964"/>
      <c r="AO218" s="575"/>
      <c r="AP218" s="575"/>
      <c r="AQ218" s="575"/>
      <c r="AR218" s="592"/>
      <c r="AS218" s="392">
        <f>ROUND(ROUND(J218*$U$207,0)*AM218,0)</f>
        <v>134</v>
      </c>
      <c r="AT218" s="359"/>
    </row>
    <row r="219" spans="1:46" ht="17.100000000000001" customHeight="1" x14ac:dyDescent="0.15">
      <c r="A219" s="340">
        <v>21</v>
      </c>
      <c r="B219" s="341" t="s">
        <v>20292</v>
      </c>
      <c r="C219" s="390" t="s">
        <v>31363</v>
      </c>
      <c r="D219" s="423"/>
      <c r="E219" s="425"/>
      <c r="F219" s="943"/>
      <c r="G219" s="944"/>
      <c r="H219" s="621"/>
      <c r="I219" s="618"/>
      <c r="J219" s="618"/>
      <c r="K219" s="618"/>
      <c r="L219" s="618"/>
      <c r="M219" s="618"/>
      <c r="N219" s="618"/>
      <c r="O219" s="618"/>
      <c r="P219" s="618"/>
      <c r="Q219" s="618"/>
      <c r="R219" s="618"/>
      <c r="S219" s="618"/>
      <c r="T219" s="619"/>
      <c r="U219" s="566"/>
      <c r="V219" s="610"/>
      <c r="W219" s="948"/>
      <c r="X219" s="949"/>
      <c r="Y219" s="949"/>
      <c r="Z219" s="949"/>
      <c r="AA219" s="949"/>
      <c r="AB219" s="934" t="s">
        <v>30825</v>
      </c>
      <c r="AC219" s="935"/>
      <c r="AD219" s="935"/>
      <c r="AE219" s="935"/>
      <c r="AF219" s="935"/>
      <c r="AG219" s="935"/>
      <c r="AH219" s="935"/>
      <c r="AI219" s="935"/>
      <c r="AJ219" s="935"/>
      <c r="AK219" s="935"/>
      <c r="AL219" s="427" t="s">
        <v>15626</v>
      </c>
      <c r="AM219" s="964">
        <f>$AM$9</f>
        <v>0.5</v>
      </c>
      <c r="AN219" s="964"/>
      <c r="AO219" s="568"/>
      <c r="AP219" s="568"/>
      <c r="AQ219" s="568"/>
      <c r="AR219" s="599"/>
      <c r="AS219" s="392">
        <f>ROUND(ROUND(J218*$U$207,0)*AM219,0)</f>
        <v>96</v>
      </c>
      <c r="AT219" s="359"/>
    </row>
    <row r="220" spans="1:46" ht="17.100000000000001" customHeight="1" x14ac:dyDescent="0.15">
      <c r="A220" s="340">
        <v>21</v>
      </c>
      <c r="B220" s="341" t="s">
        <v>511</v>
      </c>
      <c r="C220" s="390" t="s">
        <v>31364</v>
      </c>
      <c r="D220" s="423"/>
      <c r="E220" s="425"/>
      <c r="F220" s="943"/>
      <c r="G220" s="944"/>
      <c r="H220" s="547" t="s">
        <v>30845</v>
      </c>
      <c r="I220" s="396"/>
      <c r="J220" s="396"/>
      <c r="K220" s="396"/>
      <c r="L220" s="396"/>
      <c r="M220" s="396"/>
      <c r="N220" s="569"/>
      <c r="O220" s="569"/>
      <c r="P220" s="569"/>
      <c r="Q220" s="569"/>
      <c r="R220" s="569"/>
      <c r="S220" s="569"/>
      <c r="T220" s="611"/>
      <c r="U220" s="152"/>
      <c r="V220" s="387"/>
      <c r="W220" s="447"/>
      <c r="X220" s="474"/>
      <c r="Y220" s="343"/>
      <c r="Z220" s="343"/>
      <c r="AA220" s="343"/>
      <c r="AB220" s="343"/>
      <c r="AC220" s="343"/>
      <c r="AD220" s="455"/>
      <c r="AE220" s="455"/>
      <c r="AF220" s="343"/>
      <c r="AG220" s="343"/>
      <c r="AH220" s="343"/>
      <c r="AI220" s="343"/>
      <c r="AJ220" s="343"/>
      <c r="AK220" s="343"/>
      <c r="AL220" s="427"/>
      <c r="AM220" s="964"/>
      <c r="AN220" s="964"/>
      <c r="AO220" s="575"/>
      <c r="AP220" s="575"/>
      <c r="AQ220" s="575"/>
      <c r="AR220" s="592"/>
      <c r="AS220" s="392">
        <f>ROUND(J221*$U$207,0)</f>
        <v>181</v>
      </c>
      <c r="AT220" s="359"/>
    </row>
    <row r="221" spans="1:46" ht="17.100000000000001" customHeight="1" x14ac:dyDescent="0.15">
      <c r="A221" s="340">
        <v>21</v>
      </c>
      <c r="B221" s="341" t="s">
        <v>513</v>
      </c>
      <c r="C221" s="390" t="s">
        <v>31365</v>
      </c>
      <c r="D221" s="423"/>
      <c r="E221" s="425"/>
      <c r="F221" s="943"/>
      <c r="G221" s="944"/>
      <c r="H221" s="490"/>
      <c r="J221" s="965">
        <f>'5療養介護(基本)'!I90</f>
        <v>361</v>
      </c>
      <c r="K221" s="965"/>
      <c r="L221" s="152" t="s">
        <v>15624</v>
      </c>
      <c r="M221" s="152"/>
      <c r="N221" s="566"/>
      <c r="O221" s="566"/>
      <c r="P221" s="566"/>
      <c r="Q221" s="566"/>
      <c r="R221" s="566"/>
      <c r="S221" s="566"/>
      <c r="T221" s="610"/>
      <c r="U221" s="566"/>
      <c r="V221" s="610"/>
      <c r="W221" s="948" t="s">
        <v>30822</v>
      </c>
      <c r="X221" s="949"/>
      <c r="Y221" s="949"/>
      <c r="Z221" s="949"/>
      <c r="AA221" s="949"/>
      <c r="AB221" s="934" t="s">
        <v>30823</v>
      </c>
      <c r="AC221" s="935"/>
      <c r="AD221" s="935"/>
      <c r="AE221" s="935"/>
      <c r="AF221" s="935"/>
      <c r="AG221" s="935"/>
      <c r="AH221" s="935"/>
      <c r="AI221" s="935"/>
      <c r="AJ221" s="935"/>
      <c r="AK221" s="935"/>
      <c r="AL221" s="427" t="s">
        <v>15626</v>
      </c>
      <c r="AM221" s="964">
        <f>$AM$8</f>
        <v>0.7</v>
      </c>
      <c r="AN221" s="964"/>
      <c r="AO221" s="575"/>
      <c r="AP221" s="575"/>
      <c r="AQ221" s="575"/>
      <c r="AR221" s="592"/>
      <c r="AS221" s="392">
        <f>ROUND(ROUND(J221*$U$207,0)*AM221,0)</f>
        <v>127</v>
      </c>
      <c r="AT221" s="359"/>
    </row>
    <row r="222" spans="1:46" ht="17.100000000000001" customHeight="1" x14ac:dyDescent="0.15">
      <c r="A222" s="340">
        <v>21</v>
      </c>
      <c r="B222" s="341" t="s">
        <v>20300</v>
      </c>
      <c r="C222" s="390" t="s">
        <v>31366</v>
      </c>
      <c r="D222" s="423"/>
      <c r="E222" s="425"/>
      <c r="F222" s="957"/>
      <c r="G222" s="958"/>
      <c r="H222" s="622"/>
      <c r="I222" s="623"/>
      <c r="J222" s="623"/>
      <c r="K222" s="623"/>
      <c r="L222" s="623"/>
      <c r="M222" s="623"/>
      <c r="N222" s="623"/>
      <c r="O222" s="623"/>
      <c r="P222" s="623"/>
      <c r="Q222" s="623"/>
      <c r="R222" s="623"/>
      <c r="S222" s="623"/>
      <c r="T222" s="624"/>
      <c r="U222" s="566"/>
      <c r="V222" s="610"/>
      <c r="W222" s="948"/>
      <c r="X222" s="949"/>
      <c r="Y222" s="949"/>
      <c r="Z222" s="949"/>
      <c r="AA222" s="949"/>
      <c r="AB222" s="934" t="s">
        <v>30825</v>
      </c>
      <c r="AC222" s="935"/>
      <c r="AD222" s="935"/>
      <c r="AE222" s="935"/>
      <c r="AF222" s="935"/>
      <c r="AG222" s="935"/>
      <c r="AH222" s="935"/>
      <c r="AI222" s="935"/>
      <c r="AJ222" s="935"/>
      <c r="AK222" s="935"/>
      <c r="AL222" s="427" t="s">
        <v>15626</v>
      </c>
      <c r="AM222" s="964">
        <f>$AM$9</f>
        <v>0.5</v>
      </c>
      <c r="AN222" s="964"/>
      <c r="AO222" s="568"/>
      <c r="AP222" s="568"/>
      <c r="AQ222" s="568"/>
      <c r="AR222" s="599"/>
      <c r="AS222" s="392">
        <f>ROUND(ROUND(J221*$U$207,0)*AM222,0)</f>
        <v>91</v>
      </c>
      <c r="AT222" s="359"/>
    </row>
    <row r="223" spans="1:46" ht="17.100000000000001" customHeight="1" x14ac:dyDescent="0.15">
      <c r="A223" s="321">
        <v>21</v>
      </c>
      <c r="B223" s="341" t="s">
        <v>20308</v>
      </c>
      <c r="C223" s="386" t="s">
        <v>31367</v>
      </c>
      <c r="D223" s="423"/>
      <c r="E223" s="425"/>
      <c r="F223" s="943" t="s">
        <v>30915</v>
      </c>
      <c r="G223" s="944"/>
      <c r="H223" s="865" t="s">
        <v>30820</v>
      </c>
      <c r="I223" s="865"/>
      <c r="J223" s="865"/>
      <c r="K223" s="865"/>
      <c r="L223" s="866"/>
      <c r="M223" s="152"/>
      <c r="N223" s="151"/>
      <c r="O223" s="151"/>
      <c r="P223" s="151"/>
      <c r="Q223" s="151"/>
      <c r="R223" s="151"/>
      <c r="S223" s="151"/>
      <c r="T223" s="151"/>
      <c r="U223" s="916" t="s">
        <v>31150</v>
      </c>
      <c r="V223" s="972" t="s">
        <v>30825</v>
      </c>
      <c r="W223" s="330"/>
      <c r="X223" s="454"/>
      <c r="Y223" s="459"/>
      <c r="Z223" s="568"/>
      <c r="AA223" s="343"/>
      <c r="AB223" s="396"/>
      <c r="AC223" s="396"/>
      <c r="AD223" s="427"/>
      <c r="AE223" s="427"/>
      <c r="AF223" s="396"/>
      <c r="AG223" s="396"/>
      <c r="AH223" s="396"/>
      <c r="AI223" s="396"/>
      <c r="AJ223" s="396"/>
      <c r="AK223" s="396"/>
      <c r="AL223" s="427"/>
      <c r="AM223" s="964"/>
      <c r="AN223" s="964"/>
      <c r="AO223" s="575"/>
      <c r="AP223" s="575"/>
      <c r="AQ223" s="575"/>
      <c r="AR223" s="592"/>
      <c r="AS223" s="489">
        <f>ROUND(I227*$U$243,0)</f>
        <v>223</v>
      </c>
      <c r="AT223" s="339"/>
    </row>
    <row r="224" spans="1:46" ht="17.100000000000001" customHeight="1" x14ac:dyDescent="0.15">
      <c r="A224" s="340">
        <v>21</v>
      </c>
      <c r="B224" s="341" t="s">
        <v>20310</v>
      </c>
      <c r="C224" s="390" t="s">
        <v>31368</v>
      </c>
      <c r="D224" s="423"/>
      <c r="E224" s="425"/>
      <c r="F224" s="943"/>
      <c r="G224" s="944"/>
      <c r="H224" s="865"/>
      <c r="I224" s="865"/>
      <c r="J224" s="865"/>
      <c r="K224" s="865"/>
      <c r="L224" s="866"/>
      <c r="M224" s="151"/>
      <c r="N224" s="151"/>
      <c r="O224" s="151"/>
      <c r="P224" s="151"/>
      <c r="Q224" s="151"/>
      <c r="R224" s="151"/>
      <c r="S224" s="151"/>
      <c r="T224" s="151"/>
      <c r="U224" s="912"/>
      <c r="V224" s="973"/>
      <c r="W224" s="948" t="s">
        <v>30822</v>
      </c>
      <c r="X224" s="949"/>
      <c r="Y224" s="949"/>
      <c r="Z224" s="949"/>
      <c r="AA224" s="949"/>
      <c r="AB224" s="934" t="s">
        <v>30823</v>
      </c>
      <c r="AC224" s="935"/>
      <c r="AD224" s="935"/>
      <c r="AE224" s="935"/>
      <c r="AF224" s="935"/>
      <c r="AG224" s="935"/>
      <c r="AH224" s="935"/>
      <c r="AI224" s="935"/>
      <c r="AJ224" s="935"/>
      <c r="AK224" s="935"/>
      <c r="AL224" s="427" t="s">
        <v>15626</v>
      </c>
      <c r="AM224" s="964">
        <f>$AM$8</f>
        <v>0.7</v>
      </c>
      <c r="AN224" s="964"/>
      <c r="AO224" s="575"/>
      <c r="AP224" s="575"/>
      <c r="AQ224" s="575"/>
      <c r="AR224" s="592"/>
      <c r="AS224" s="489">
        <f>ROUND(ROUND(I227*$U$243,0)*AM224,0)</f>
        <v>156</v>
      </c>
      <c r="AT224" s="359"/>
    </row>
    <row r="225" spans="1:46" ht="17.100000000000001" customHeight="1" x14ac:dyDescent="0.15">
      <c r="A225" s="340">
        <v>21</v>
      </c>
      <c r="B225" s="341" t="s">
        <v>20312</v>
      </c>
      <c r="C225" s="390" t="s">
        <v>31369</v>
      </c>
      <c r="D225" s="423"/>
      <c r="E225" s="425"/>
      <c r="F225" s="943"/>
      <c r="G225" s="944"/>
      <c r="H225" s="431"/>
      <c r="I225" s="431"/>
      <c r="J225" s="431"/>
      <c r="K225" s="431"/>
      <c r="L225" s="432"/>
      <c r="M225" s="151"/>
      <c r="N225" s="151"/>
      <c r="O225" s="151"/>
      <c r="P225" s="151"/>
      <c r="Q225" s="151"/>
      <c r="R225" s="151"/>
      <c r="S225" s="151"/>
      <c r="T225" s="151"/>
      <c r="U225" s="912"/>
      <c r="V225" s="973"/>
      <c r="W225" s="948"/>
      <c r="X225" s="949"/>
      <c r="Y225" s="949"/>
      <c r="Z225" s="949"/>
      <c r="AA225" s="949"/>
      <c r="AB225" s="934" t="s">
        <v>30825</v>
      </c>
      <c r="AC225" s="935"/>
      <c r="AD225" s="935"/>
      <c r="AE225" s="935"/>
      <c r="AF225" s="935"/>
      <c r="AG225" s="935"/>
      <c r="AH225" s="935"/>
      <c r="AI225" s="935"/>
      <c r="AJ225" s="935"/>
      <c r="AK225" s="935"/>
      <c r="AL225" s="427" t="s">
        <v>15626</v>
      </c>
      <c r="AM225" s="964">
        <f>$AM$9</f>
        <v>0.5</v>
      </c>
      <c r="AN225" s="964"/>
      <c r="AO225" s="575"/>
      <c r="AP225" s="575"/>
      <c r="AQ225" s="575"/>
      <c r="AR225" s="592"/>
      <c r="AS225" s="489">
        <f>ROUND(ROUND(I227*$U$243,0)*AM225,0)</f>
        <v>112</v>
      </c>
      <c r="AT225" s="359"/>
    </row>
    <row r="226" spans="1:46" ht="17.100000000000001" customHeight="1" x14ac:dyDescent="0.15">
      <c r="A226" s="340">
        <v>21</v>
      </c>
      <c r="B226" s="341" t="s">
        <v>20314</v>
      </c>
      <c r="C226" s="390" t="s">
        <v>31370</v>
      </c>
      <c r="D226" s="423"/>
      <c r="E226" s="425"/>
      <c r="F226" s="943"/>
      <c r="G226" s="944"/>
      <c r="L226" s="495"/>
      <c r="M226" s="862" t="s">
        <v>30827</v>
      </c>
      <c r="N226" s="862"/>
      <c r="O226" s="862"/>
      <c r="P226" s="862"/>
      <c r="Q226" s="862"/>
      <c r="R226" s="862"/>
      <c r="S226" s="862"/>
      <c r="T226" s="862"/>
      <c r="U226" s="912"/>
      <c r="V226" s="973"/>
      <c r="W226" s="447"/>
      <c r="X226" s="474"/>
      <c r="Y226" s="343"/>
      <c r="Z226" s="343"/>
      <c r="AA226" s="343"/>
      <c r="AB226" s="396"/>
      <c r="AC226" s="396"/>
      <c r="AD226" s="427"/>
      <c r="AE226" s="427"/>
      <c r="AF226" s="396"/>
      <c r="AG226" s="396"/>
      <c r="AH226" s="396"/>
      <c r="AI226" s="396"/>
      <c r="AJ226" s="396"/>
      <c r="AK226" s="396"/>
      <c r="AL226" s="427"/>
      <c r="AM226" s="964"/>
      <c r="AN226" s="964"/>
      <c r="AO226" s="575"/>
      <c r="AP226" s="575"/>
      <c r="AQ226" s="575"/>
      <c r="AR226" s="592"/>
      <c r="AS226" s="489">
        <f>ROUND(ROUND(I227*S228,0)*$U$243,0)</f>
        <v>215</v>
      </c>
      <c r="AT226" s="359"/>
    </row>
    <row r="227" spans="1:46" ht="17.100000000000001" customHeight="1" x14ac:dyDescent="0.15">
      <c r="A227" s="340">
        <v>21</v>
      </c>
      <c r="B227" s="341" t="s">
        <v>20316</v>
      </c>
      <c r="C227" s="390" t="s">
        <v>31371</v>
      </c>
      <c r="D227" s="423"/>
      <c r="E227" s="425"/>
      <c r="F227" s="943"/>
      <c r="G227" s="944"/>
      <c r="I227" s="965">
        <f>'5療養介護(基本)'!I94</f>
        <v>445</v>
      </c>
      <c r="J227" s="965"/>
      <c r="K227" s="152" t="s">
        <v>15624</v>
      </c>
      <c r="L227" s="387"/>
      <c r="M227" s="865"/>
      <c r="N227" s="865"/>
      <c r="O227" s="865"/>
      <c r="P227" s="865"/>
      <c r="Q227" s="865"/>
      <c r="R227" s="865"/>
      <c r="S227" s="865"/>
      <c r="T227" s="865"/>
      <c r="U227" s="912"/>
      <c r="V227" s="973"/>
      <c r="W227" s="948" t="s">
        <v>30822</v>
      </c>
      <c r="X227" s="949"/>
      <c r="Y227" s="949"/>
      <c r="Z227" s="949"/>
      <c r="AA227" s="949"/>
      <c r="AB227" s="934" t="s">
        <v>30823</v>
      </c>
      <c r="AC227" s="935"/>
      <c r="AD227" s="935"/>
      <c r="AE227" s="935"/>
      <c r="AF227" s="935"/>
      <c r="AG227" s="935"/>
      <c r="AH227" s="935"/>
      <c r="AI227" s="935"/>
      <c r="AJ227" s="935"/>
      <c r="AK227" s="935"/>
      <c r="AL227" s="427" t="s">
        <v>15626</v>
      </c>
      <c r="AM227" s="964">
        <f>$AM$8</f>
        <v>0.7</v>
      </c>
      <c r="AN227" s="964"/>
      <c r="AO227" s="575"/>
      <c r="AP227" s="575"/>
      <c r="AQ227" s="575"/>
      <c r="AR227" s="592"/>
      <c r="AS227" s="489">
        <f>ROUND(ROUND(ROUND(I227*S228,0)*$U$243,0)*AM227,0)</f>
        <v>151</v>
      </c>
      <c r="AT227" s="359"/>
    </row>
    <row r="228" spans="1:46" ht="17.100000000000001" customHeight="1" x14ac:dyDescent="0.15">
      <c r="A228" s="340">
        <v>21</v>
      </c>
      <c r="B228" s="341" t="s">
        <v>20318</v>
      </c>
      <c r="C228" s="390" t="s">
        <v>31372</v>
      </c>
      <c r="D228" s="423"/>
      <c r="E228" s="425"/>
      <c r="F228" s="943"/>
      <c r="G228" s="944"/>
      <c r="K228" s="152"/>
      <c r="L228" s="387"/>
      <c r="M228" s="338"/>
      <c r="N228" s="338"/>
      <c r="O228" s="338"/>
      <c r="P228" s="338"/>
      <c r="Q228" s="338"/>
      <c r="R228" s="391" t="s">
        <v>15626</v>
      </c>
      <c r="S228" s="936">
        <f>$S$12</f>
        <v>0.96499999999999997</v>
      </c>
      <c r="T228" s="936"/>
      <c r="U228" s="912"/>
      <c r="V228" s="973"/>
      <c r="W228" s="948"/>
      <c r="X228" s="949"/>
      <c r="Y228" s="949"/>
      <c r="Z228" s="949"/>
      <c r="AA228" s="949"/>
      <c r="AB228" s="934" t="s">
        <v>30825</v>
      </c>
      <c r="AC228" s="935"/>
      <c r="AD228" s="935"/>
      <c r="AE228" s="935"/>
      <c r="AF228" s="935"/>
      <c r="AG228" s="935"/>
      <c r="AH228" s="935"/>
      <c r="AI228" s="935"/>
      <c r="AJ228" s="935"/>
      <c r="AK228" s="935"/>
      <c r="AL228" s="427" t="s">
        <v>15626</v>
      </c>
      <c r="AM228" s="964">
        <f>$AM$9</f>
        <v>0.5</v>
      </c>
      <c r="AN228" s="964"/>
      <c r="AO228" s="568"/>
      <c r="AP228" s="568"/>
      <c r="AQ228" s="568"/>
      <c r="AR228" s="599"/>
      <c r="AS228" s="489">
        <f>ROUND(ROUND(ROUND(I227*S228,0)*$U$243,0)*AM228,0)</f>
        <v>108</v>
      </c>
      <c r="AT228" s="359"/>
    </row>
    <row r="229" spans="1:46" ht="17.100000000000001" customHeight="1" x14ac:dyDescent="0.15">
      <c r="A229" s="340">
        <v>21</v>
      </c>
      <c r="B229" s="341" t="s">
        <v>520</v>
      </c>
      <c r="C229" s="390" t="s">
        <v>31373</v>
      </c>
      <c r="D229" s="423"/>
      <c r="E229" s="425"/>
      <c r="F229" s="943"/>
      <c r="G229" s="944"/>
      <c r="H229" s="862" t="s">
        <v>30831</v>
      </c>
      <c r="I229" s="862"/>
      <c r="J229" s="862"/>
      <c r="K229" s="862"/>
      <c r="L229" s="863"/>
      <c r="M229" s="396"/>
      <c r="N229" s="400"/>
      <c r="O229" s="400"/>
      <c r="P229" s="400"/>
      <c r="Q229" s="400"/>
      <c r="R229" s="400"/>
      <c r="S229" s="400"/>
      <c r="T229" s="400"/>
      <c r="U229" s="912"/>
      <c r="V229" s="973"/>
      <c r="W229" s="330"/>
      <c r="X229" s="454"/>
      <c r="Y229" s="459"/>
      <c r="Z229" s="568"/>
      <c r="AA229" s="343"/>
      <c r="AB229" s="396"/>
      <c r="AC229" s="396"/>
      <c r="AD229" s="427"/>
      <c r="AE229" s="427"/>
      <c r="AF229" s="396"/>
      <c r="AG229" s="396"/>
      <c r="AH229" s="396"/>
      <c r="AI229" s="396"/>
      <c r="AJ229" s="396"/>
      <c r="AK229" s="396"/>
      <c r="AL229" s="427"/>
      <c r="AM229" s="964"/>
      <c r="AN229" s="964"/>
      <c r="AO229" s="575"/>
      <c r="AP229" s="575"/>
      <c r="AQ229" s="575"/>
      <c r="AR229" s="592"/>
      <c r="AS229" s="489">
        <f>ROUND(I233*$U$243,0)</f>
        <v>205</v>
      </c>
      <c r="AT229" s="359"/>
    </row>
    <row r="230" spans="1:46" ht="17.100000000000001" customHeight="1" x14ac:dyDescent="0.15">
      <c r="A230" s="340">
        <v>21</v>
      </c>
      <c r="B230" s="341" t="s">
        <v>522</v>
      </c>
      <c r="C230" s="390" t="s">
        <v>31374</v>
      </c>
      <c r="D230" s="423"/>
      <c r="E230" s="425"/>
      <c r="F230" s="943"/>
      <c r="G230" s="944"/>
      <c r="H230" s="865"/>
      <c r="I230" s="865"/>
      <c r="J230" s="865"/>
      <c r="K230" s="865"/>
      <c r="L230" s="866"/>
      <c r="M230" s="151"/>
      <c r="N230" s="151"/>
      <c r="O230" s="151"/>
      <c r="P230" s="151"/>
      <c r="Q230" s="151"/>
      <c r="R230" s="151"/>
      <c r="S230" s="151"/>
      <c r="T230" s="151"/>
      <c r="U230" s="912"/>
      <c r="V230" s="973"/>
      <c r="W230" s="948" t="s">
        <v>30822</v>
      </c>
      <c r="X230" s="949"/>
      <c r="Y230" s="949"/>
      <c r="Z230" s="949"/>
      <c r="AA230" s="949"/>
      <c r="AB230" s="934" t="s">
        <v>30823</v>
      </c>
      <c r="AC230" s="935"/>
      <c r="AD230" s="935"/>
      <c r="AE230" s="935"/>
      <c r="AF230" s="935"/>
      <c r="AG230" s="935"/>
      <c r="AH230" s="935"/>
      <c r="AI230" s="935"/>
      <c r="AJ230" s="935"/>
      <c r="AK230" s="935"/>
      <c r="AL230" s="427" t="s">
        <v>15626</v>
      </c>
      <c r="AM230" s="964">
        <f>$AM$8</f>
        <v>0.7</v>
      </c>
      <c r="AN230" s="964"/>
      <c r="AO230" s="575"/>
      <c r="AP230" s="575"/>
      <c r="AQ230" s="575"/>
      <c r="AR230" s="592"/>
      <c r="AS230" s="489">
        <f>ROUND(ROUND(I233*$U$243,0)*AM230,0)</f>
        <v>144</v>
      </c>
      <c r="AT230" s="359"/>
    </row>
    <row r="231" spans="1:46" ht="17.100000000000001" customHeight="1" x14ac:dyDescent="0.15">
      <c r="A231" s="340">
        <v>21</v>
      </c>
      <c r="B231" s="341" t="s">
        <v>524</v>
      </c>
      <c r="C231" s="390" t="s">
        <v>31375</v>
      </c>
      <c r="D231" s="423"/>
      <c r="E231" s="425"/>
      <c r="F231" s="943"/>
      <c r="G231" s="944"/>
      <c r="H231" s="424"/>
      <c r="I231" s="424"/>
      <c r="J231" s="424"/>
      <c r="K231" s="424"/>
      <c r="L231" s="425"/>
      <c r="M231" s="151"/>
      <c r="N231" s="151"/>
      <c r="O231" s="151"/>
      <c r="P231" s="151"/>
      <c r="Q231" s="151"/>
      <c r="R231" s="151"/>
      <c r="S231" s="151"/>
      <c r="T231" s="151"/>
      <c r="U231" s="912"/>
      <c r="V231" s="973"/>
      <c r="W231" s="948"/>
      <c r="X231" s="949"/>
      <c r="Y231" s="949"/>
      <c r="Z231" s="949"/>
      <c r="AA231" s="949"/>
      <c r="AB231" s="934" t="s">
        <v>30825</v>
      </c>
      <c r="AC231" s="935"/>
      <c r="AD231" s="935"/>
      <c r="AE231" s="935"/>
      <c r="AF231" s="935"/>
      <c r="AG231" s="935"/>
      <c r="AH231" s="935"/>
      <c r="AI231" s="935"/>
      <c r="AJ231" s="935"/>
      <c r="AK231" s="935"/>
      <c r="AL231" s="427" t="s">
        <v>15626</v>
      </c>
      <c r="AM231" s="964">
        <f>$AM$9</f>
        <v>0.5</v>
      </c>
      <c r="AN231" s="964"/>
      <c r="AO231" s="575"/>
      <c r="AP231" s="575"/>
      <c r="AQ231" s="575"/>
      <c r="AR231" s="592"/>
      <c r="AS231" s="489">
        <f>ROUND(ROUND(I233*$U$243,0)*AM231,0)</f>
        <v>103</v>
      </c>
      <c r="AT231" s="359"/>
    </row>
    <row r="232" spans="1:46" ht="17.100000000000001" customHeight="1" x14ac:dyDescent="0.15">
      <c r="A232" s="340">
        <v>21</v>
      </c>
      <c r="B232" s="341" t="s">
        <v>526</v>
      </c>
      <c r="C232" s="390" t="s">
        <v>31376</v>
      </c>
      <c r="D232" s="423"/>
      <c r="E232" s="425"/>
      <c r="F232" s="943"/>
      <c r="G232" s="944"/>
      <c r="H232" s="424"/>
      <c r="I232" s="424"/>
      <c r="L232" s="495"/>
      <c r="M232" s="862" t="s">
        <v>30827</v>
      </c>
      <c r="N232" s="862"/>
      <c r="O232" s="862"/>
      <c r="P232" s="862"/>
      <c r="Q232" s="862"/>
      <c r="R232" s="862"/>
      <c r="S232" s="862"/>
      <c r="T232" s="862"/>
      <c r="U232" s="912"/>
      <c r="V232" s="973"/>
      <c r="W232" s="447"/>
      <c r="X232" s="474"/>
      <c r="Y232" s="343"/>
      <c r="Z232" s="343"/>
      <c r="AA232" s="343"/>
      <c r="AB232" s="396"/>
      <c r="AC232" s="396"/>
      <c r="AD232" s="427"/>
      <c r="AE232" s="427"/>
      <c r="AF232" s="396"/>
      <c r="AG232" s="396"/>
      <c r="AH232" s="396"/>
      <c r="AI232" s="396"/>
      <c r="AJ232" s="396"/>
      <c r="AK232" s="396"/>
      <c r="AL232" s="427"/>
      <c r="AM232" s="964"/>
      <c r="AN232" s="964"/>
      <c r="AO232" s="575"/>
      <c r="AP232" s="575"/>
      <c r="AQ232" s="575"/>
      <c r="AR232" s="592"/>
      <c r="AS232" s="489">
        <f>ROUND(ROUND(I233*S234,0)*$U$243,0)</f>
        <v>198</v>
      </c>
      <c r="AT232" s="359"/>
    </row>
    <row r="233" spans="1:46" ht="17.100000000000001" customHeight="1" x14ac:dyDescent="0.15">
      <c r="A233" s="340">
        <v>21</v>
      </c>
      <c r="B233" s="341" t="s">
        <v>20336</v>
      </c>
      <c r="C233" s="390" t="s">
        <v>31377</v>
      </c>
      <c r="D233" s="423"/>
      <c r="E233" s="425"/>
      <c r="F233" s="943"/>
      <c r="G233" s="944"/>
      <c r="H233" s="424"/>
      <c r="I233" s="965">
        <f>'5療養介護(基本)'!I100</f>
        <v>409</v>
      </c>
      <c r="J233" s="965"/>
      <c r="K233" s="152" t="s">
        <v>15624</v>
      </c>
      <c r="L233" s="425"/>
      <c r="M233" s="865"/>
      <c r="N233" s="865"/>
      <c r="O233" s="865"/>
      <c r="P233" s="865"/>
      <c r="Q233" s="865"/>
      <c r="R233" s="865"/>
      <c r="S233" s="865"/>
      <c r="T233" s="865"/>
      <c r="U233" s="912"/>
      <c r="V233" s="973"/>
      <c r="W233" s="948" t="s">
        <v>30822</v>
      </c>
      <c r="X233" s="949"/>
      <c r="Y233" s="949"/>
      <c r="Z233" s="949"/>
      <c r="AA233" s="949"/>
      <c r="AB233" s="934" t="s">
        <v>30823</v>
      </c>
      <c r="AC233" s="935"/>
      <c r="AD233" s="935"/>
      <c r="AE233" s="935"/>
      <c r="AF233" s="935"/>
      <c r="AG233" s="935"/>
      <c r="AH233" s="935"/>
      <c r="AI233" s="935"/>
      <c r="AJ233" s="935"/>
      <c r="AK233" s="935"/>
      <c r="AL233" s="427" t="s">
        <v>15626</v>
      </c>
      <c r="AM233" s="964">
        <f>$AM$8</f>
        <v>0.7</v>
      </c>
      <c r="AN233" s="964"/>
      <c r="AO233" s="575"/>
      <c r="AP233" s="575"/>
      <c r="AQ233" s="575"/>
      <c r="AR233" s="592"/>
      <c r="AS233" s="489">
        <f>ROUND(ROUND(ROUND(I233*S234,0)*$U$243,0)*AM233,0)</f>
        <v>139</v>
      </c>
      <c r="AT233" s="359"/>
    </row>
    <row r="234" spans="1:46" ht="17.100000000000001" customHeight="1" x14ac:dyDescent="0.15">
      <c r="A234" s="340">
        <v>21</v>
      </c>
      <c r="B234" s="341" t="s">
        <v>20338</v>
      </c>
      <c r="C234" s="390" t="s">
        <v>31378</v>
      </c>
      <c r="D234" s="423"/>
      <c r="E234" s="425"/>
      <c r="F234" s="943"/>
      <c r="G234" s="944"/>
      <c r="H234" s="424"/>
      <c r="I234" s="618"/>
      <c r="J234" s="618"/>
      <c r="K234" s="618"/>
      <c r="L234" s="619"/>
      <c r="M234" s="338"/>
      <c r="N234" s="338"/>
      <c r="O234" s="338"/>
      <c r="P234" s="338"/>
      <c r="Q234" s="338"/>
      <c r="R234" s="391" t="s">
        <v>15626</v>
      </c>
      <c r="S234" s="936">
        <f>$S$12</f>
        <v>0.96499999999999997</v>
      </c>
      <c r="T234" s="936"/>
      <c r="U234" s="912"/>
      <c r="V234" s="973"/>
      <c r="W234" s="948"/>
      <c r="X234" s="949"/>
      <c r="Y234" s="949"/>
      <c r="Z234" s="949"/>
      <c r="AA234" s="949"/>
      <c r="AB234" s="934" t="s">
        <v>30825</v>
      </c>
      <c r="AC234" s="935"/>
      <c r="AD234" s="935"/>
      <c r="AE234" s="935"/>
      <c r="AF234" s="935"/>
      <c r="AG234" s="935"/>
      <c r="AH234" s="935"/>
      <c r="AI234" s="935"/>
      <c r="AJ234" s="935"/>
      <c r="AK234" s="935"/>
      <c r="AL234" s="427" t="s">
        <v>15626</v>
      </c>
      <c r="AM234" s="964">
        <f>$AM$9</f>
        <v>0.5</v>
      </c>
      <c r="AN234" s="964"/>
      <c r="AO234" s="568"/>
      <c r="AP234" s="568"/>
      <c r="AQ234" s="568"/>
      <c r="AR234" s="599"/>
      <c r="AS234" s="489">
        <f>ROUND(ROUND(ROUND(I233*S234,0)*$U$243,0)*AM234,0)</f>
        <v>99</v>
      </c>
      <c r="AT234" s="359"/>
    </row>
    <row r="235" spans="1:46" ht="17.100000000000001" customHeight="1" x14ac:dyDescent="0.15">
      <c r="A235" s="340">
        <v>21</v>
      </c>
      <c r="B235" s="341" t="s">
        <v>20352</v>
      </c>
      <c r="C235" s="390" t="s">
        <v>31379</v>
      </c>
      <c r="D235" s="423"/>
      <c r="E235" s="424"/>
      <c r="F235" s="423"/>
      <c r="G235" s="425"/>
      <c r="H235" s="862" t="s">
        <v>30838</v>
      </c>
      <c r="I235" s="862"/>
      <c r="J235" s="862"/>
      <c r="K235" s="862"/>
      <c r="L235" s="863"/>
      <c r="M235" s="396"/>
      <c r="N235" s="400"/>
      <c r="O235" s="400"/>
      <c r="P235" s="400"/>
      <c r="Q235" s="400"/>
      <c r="R235" s="400"/>
      <c r="S235" s="400"/>
      <c r="T235" s="400"/>
      <c r="U235" s="912"/>
      <c r="V235" s="973"/>
      <c r="W235" s="330"/>
      <c r="X235" s="454"/>
      <c r="Y235" s="459"/>
      <c r="Z235" s="568"/>
      <c r="AA235" s="343"/>
      <c r="AB235" s="396"/>
      <c r="AC235" s="396"/>
      <c r="AD235" s="427"/>
      <c r="AE235" s="427"/>
      <c r="AF235" s="396"/>
      <c r="AG235" s="396"/>
      <c r="AH235" s="396"/>
      <c r="AI235" s="396"/>
      <c r="AJ235" s="396"/>
      <c r="AK235" s="396"/>
      <c r="AL235" s="427"/>
      <c r="AM235" s="964"/>
      <c r="AN235" s="964"/>
      <c r="AO235" s="575"/>
      <c r="AP235" s="575"/>
      <c r="AQ235" s="575"/>
      <c r="AR235" s="592"/>
      <c r="AS235" s="489">
        <f>ROUND(I239*$U$243,0)</f>
        <v>191</v>
      </c>
      <c r="AT235" s="359"/>
    </row>
    <row r="236" spans="1:46" ht="17.100000000000001" customHeight="1" x14ac:dyDescent="0.15">
      <c r="A236" s="340">
        <v>21</v>
      </c>
      <c r="B236" s="341" t="s">
        <v>20354</v>
      </c>
      <c r="C236" s="390" t="s">
        <v>31380</v>
      </c>
      <c r="D236" s="423"/>
      <c r="E236" s="424"/>
      <c r="F236" s="423"/>
      <c r="G236" s="425"/>
      <c r="H236" s="865"/>
      <c r="I236" s="865"/>
      <c r="J236" s="865"/>
      <c r="K236" s="865"/>
      <c r="L236" s="866"/>
      <c r="M236" s="151"/>
      <c r="N236" s="151"/>
      <c r="O236" s="151"/>
      <c r="P236" s="151"/>
      <c r="Q236" s="151"/>
      <c r="R236" s="151"/>
      <c r="S236" s="151"/>
      <c r="T236" s="151"/>
      <c r="U236" s="912"/>
      <c r="V236" s="973"/>
      <c r="W236" s="948" t="s">
        <v>30822</v>
      </c>
      <c r="X236" s="949"/>
      <c r="Y236" s="949"/>
      <c r="Z236" s="949"/>
      <c r="AA236" s="949"/>
      <c r="AB236" s="934" t="s">
        <v>30823</v>
      </c>
      <c r="AC236" s="935"/>
      <c r="AD236" s="935"/>
      <c r="AE236" s="935"/>
      <c r="AF236" s="935"/>
      <c r="AG236" s="935"/>
      <c r="AH236" s="935"/>
      <c r="AI236" s="935"/>
      <c r="AJ236" s="935"/>
      <c r="AK236" s="935"/>
      <c r="AL236" s="427" t="s">
        <v>15626</v>
      </c>
      <c r="AM236" s="964">
        <f>$AM$8</f>
        <v>0.7</v>
      </c>
      <c r="AN236" s="964"/>
      <c r="AO236" s="575"/>
      <c r="AP236" s="575"/>
      <c r="AQ236" s="575"/>
      <c r="AR236" s="592"/>
      <c r="AS236" s="489">
        <f>ROUND(ROUND(I239*$U$243,0)*AM236,0)</f>
        <v>134</v>
      </c>
      <c r="AT236" s="359"/>
    </row>
    <row r="237" spans="1:46" ht="17.100000000000001" customHeight="1" x14ac:dyDescent="0.15">
      <c r="A237" s="340">
        <v>21</v>
      </c>
      <c r="B237" s="341" t="s">
        <v>20356</v>
      </c>
      <c r="C237" s="390" t="s">
        <v>31381</v>
      </c>
      <c r="D237" s="423"/>
      <c r="E237" s="424"/>
      <c r="F237" s="423"/>
      <c r="G237" s="425"/>
      <c r="K237" s="152"/>
      <c r="L237" s="387"/>
      <c r="M237" s="151"/>
      <c r="N237" s="151"/>
      <c r="O237" s="151"/>
      <c r="P237" s="151"/>
      <c r="Q237" s="151"/>
      <c r="R237" s="151"/>
      <c r="S237" s="151"/>
      <c r="T237" s="151"/>
      <c r="U237" s="912"/>
      <c r="V237" s="973"/>
      <c r="W237" s="948"/>
      <c r="X237" s="949"/>
      <c r="Y237" s="949"/>
      <c r="Z237" s="949"/>
      <c r="AA237" s="949"/>
      <c r="AB237" s="934" t="s">
        <v>30825</v>
      </c>
      <c r="AC237" s="935"/>
      <c r="AD237" s="935"/>
      <c r="AE237" s="935"/>
      <c r="AF237" s="935"/>
      <c r="AG237" s="935"/>
      <c r="AH237" s="935"/>
      <c r="AI237" s="935"/>
      <c r="AJ237" s="935"/>
      <c r="AK237" s="935"/>
      <c r="AL237" s="427" t="s">
        <v>15626</v>
      </c>
      <c r="AM237" s="964">
        <f>$AM$9</f>
        <v>0.5</v>
      </c>
      <c r="AN237" s="964"/>
      <c r="AO237" s="575"/>
      <c r="AP237" s="575"/>
      <c r="AQ237" s="575"/>
      <c r="AR237" s="592"/>
      <c r="AS237" s="489">
        <f>ROUND(ROUND(I239*$U$243,0)*AM237,0)</f>
        <v>96</v>
      </c>
      <c r="AT237" s="359"/>
    </row>
    <row r="238" spans="1:46" ht="17.100000000000001" customHeight="1" x14ac:dyDescent="0.15">
      <c r="A238" s="340">
        <v>21</v>
      </c>
      <c r="B238" s="341" t="s">
        <v>20358</v>
      </c>
      <c r="C238" s="390" t="s">
        <v>31382</v>
      </c>
      <c r="D238" s="423"/>
      <c r="E238" s="424"/>
      <c r="F238" s="423"/>
      <c r="G238" s="425"/>
      <c r="L238" s="495"/>
      <c r="M238" s="862" t="s">
        <v>30827</v>
      </c>
      <c r="N238" s="862"/>
      <c r="O238" s="862"/>
      <c r="P238" s="862"/>
      <c r="Q238" s="862"/>
      <c r="R238" s="862"/>
      <c r="S238" s="862"/>
      <c r="T238" s="862"/>
      <c r="U238" s="912"/>
      <c r="V238" s="973"/>
      <c r="W238" s="447"/>
      <c r="X238" s="474"/>
      <c r="Y238" s="343"/>
      <c r="Z238" s="343"/>
      <c r="AA238" s="343"/>
      <c r="AB238" s="396"/>
      <c r="AC238" s="396"/>
      <c r="AD238" s="427"/>
      <c r="AE238" s="427"/>
      <c r="AF238" s="396"/>
      <c r="AG238" s="396"/>
      <c r="AH238" s="396"/>
      <c r="AI238" s="396"/>
      <c r="AJ238" s="396"/>
      <c r="AK238" s="396"/>
      <c r="AL238" s="427"/>
      <c r="AM238" s="964"/>
      <c r="AN238" s="964"/>
      <c r="AO238" s="575"/>
      <c r="AP238" s="575"/>
      <c r="AQ238" s="575"/>
      <c r="AR238" s="592"/>
      <c r="AS238" s="489">
        <f>ROUND(ROUND(I239*S240,0)*$U$243,0)</f>
        <v>184</v>
      </c>
      <c r="AT238" s="359"/>
    </row>
    <row r="239" spans="1:46" ht="17.100000000000001" customHeight="1" x14ac:dyDescent="0.15">
      <c r="A239" s="340">
        <v>21</v>
      </c>
      <c r="B239" s="341" t="s">
        <v>20360</v>
      </c>
      <c r="C239" s="390" t="s">
        <v>31383</v>
      </c>
      <c r="D239" s="423"/>
      <c r="E239" s="424"/>
      <c r="F239" s="423"/>
      <c r="G239" s="425"/>
      <c r="I239" s="965">
        <f>'5療養介護(基本)'!I106</f>
        <v>381</v>
      </c>
      <c r="J239" s="965"/>
      <c r="K239" s="152" t="s">
        <v>15624</v>
      </c>
      <c r="L239" s="387"/>
      <c r="M239" s="865"/>
      <c r="N239" s="865"/>
      <c r="O239" s="865"/>
      <c r="P239" s="865"/>
      <c r="Q239" s="865"/>
      <c r="R239" s="865"/>
      <c r="S239" s="865"/>
      <c r="T239" s="865"/>
      <c r="U239" s="912"/>
      <c r="V239" s="973"/>
      <c r="W239" s="948" t="s">
        <v>30822</v>
      </c>
      <c r="X239" s="949"/>
      <c r="Y239" s="949"/>
      <c r="Z239" s="949"/>
      <c r="AA239" s="949"/>
      <c r="AB239" s="934" t="s">
        <v>30823</v>
      </c>
      <c r="AC239" s="935"/>
      <c r="AD239" s="935"/>
      <c r="AE239" s="935"/>
      <c r="AF239" s="935"/>
      <c r="AG239" s="935"/>
      <c r="AH239" s="935"/>
      <c r="AI239" s="935"/>
      <c r="AJ239" s="935"/>
      <c r="AK239" s="935"/>
      <c r="AL239" s="427" t="s">
        <v>15626</v>
      </c>
      <c r="AM239" s="964">
        <f>$AM$8</f>
        <v>0.7</v>
      </c>
      <c r="AN239" s="964"/>
      <c r="AO239" s="575"/>
      <c r="AP239" s="575"/>
      <c r="AQ239" s="575"/>
      <c r="AR239" s="592"/>
      <c r="AS239" s="489">
        <f>ROUND(ROUND(ROUND(I239*S240,0)*$U$243,0)*AM239,0)</f>
        <v>129</v>
      </c>
      <c r="AT239" s="359"/>
    </row>
    <row r="240" spans="1:46" ht="17.100000000000001" customHeight="1" x14ac:dyDescent="0.15">
      <c r="A240" s="340">
        <v>21</v>
      </c>
      <c r="B240" s="341" t="s">
        <v>20362</v>
      </c>
      <c r="C240" s="390" t="s">
        <v>31384</v>
      </c>
      <c r="D240" s="423"/>
      <c r="E240" s="424"/>
      <c r="F240" s="423"/>
      <c r="G240" s="425"/>
      <c r="K240" s="152"/>
      <c r="L240" s="387"/>
      <c r="M240" s="338"/>
      <c r="N240" s="338"/>
      <c r="O240" s="338"/>
      <c r="P240" s="338"/>
      <c r="Q240" s="338"/>
      <c r="R240" s="391" t="s">
        <v>15626</v>
      </c>
      <c r="S240" s="936">
        <f>$S$12</f>
        <v>0.96499999999999997</v>
      </c>
      <c r="T240" s="936"/>
      <c r="U240" s="912"/>
      <c r="V240" s="973"/>
      <c r="W240" s="948"/>
      <c r="X240" s="949"/>
      <c r="Y240" s="949"/>
      <c r="Z240" s="949"/>
      <c r="AA240" s="949"/>
      <c r="AB240" s="934" t="s">
        <v>30825</v>
      </c>
      <c r="AC240" s="935"/>
      <c r="AD240" s="935"/>
      <c r="AE240" s="935"/>
      <c r="AF240" s="935"/>
      <c r="AG240" s="935"/>
      <c r="AH240" s="935"/>
      <c r="AI240" s="935"/>
      <c r="AJ240" s="935"/>
      <c r="AK240" s="935"/>
      <c r="AL240" s="427" t="s">
        <v>15626</v>
      </c>
      <c r="AM240" s="964">
        <f>$AM$9</f>
        <v>0.5</v>
      </c>
      <c r="AN240" s="964"/>
      <c r="AO240" s="568"/>
      <c r="AP240" s="568"/>
      <c r="AQ240" s="568"/>
      <c r="AR240" s="599"/>
      <c r="AS240" s="489">
        <f>ROUND(ROUND(ROUND(I239*S240,0)*$U$243,0)*AM240,0)</f>
        <v>92</v>
      </c>
      <c r="AT240" s="359"/>
    </row>
    <row r="241" spans="1:46" ht="17.100000000000001" customHeight="1" x14ac:dyDescent="0.15">
      <c r="A241" s="340">
        <v>21</v>
      </c>
      <c r="B241" s="341" t="s">
        <v>20372</v>
      </c>
      <c r="C241" s="390" t="s">
        <v>31385</v>
      </c>
      <c r="D241" s="423"/>
      <c r="E241" s="424"/>
      <c r="F241" s="423"/>
      <c r="G241" s="425"/>
      <c r="H241" s="862" t="s">
        <v>30845</v>
      </c>
      <c r="I241" s="862"/>
      <c r="J241" s="862"/>
      <c r="K241" s="862"/>
      <c r="L241" s="863"/>
      <c r="M241" s="396"/>
      <c r="N241" s="400"/>
      <c r="O241" s="400"/>
      <c r="P241" s="400"/>
      <c r="Q241" s="400"/>
      <c r="R241" s="400"/>
      <c r="S241" s="400"/>
      <c r="T241" s="400"/>
      <c r="U241" s="912"/>
      <c r="V241" s="973"/>
      <c r="W241" s="330"/>
      <c r="X241" s="454"/>
      <c r="Y241" s="459"/>
      <c r="Z241" s="568"/>
      <c r="AA241" s="343"/>
      <c r="AB241" s="396"/>
      <c r="AC241" s="396"/>
      <c r="AD241" s="427"/>
      <c r="AE241" s="427"/>
      <c r="AF241" s="396"/>
      <c r="AG241" s="396"/>
      <c r="AH241" s="396"/>
      <c r="AI241" s="396"/>
      <c r="AJ241" s="396"/>
      <c r="AK241" s="396"/>
      <c r="AL241" s="427"/>
      <c r="AM241" s="964"/>
      <c r="AN241" s="964"/>
      <c r="AO241" s="575"/>
      <c r="AP241" s="575"/>
      <c r="AQ241" s="575"/>
      <c r="AR241" s="592"/>
      <c r="AS241" s="489">
        <f>ROUND(I245*$U$243,0)</f>
        <v>181</v>
      </c>
      <c r="AT241" s="359"/>
    </row>
    <row r="242" spans="1:46" ht="17.100000000000001" customHeight="1" x14ac:dyDescent="0.15">
      <c r="A242" s="340">
        <v>21</v>
      </c>
      <c r="B242" s="341" t="s">
        <v>20374</v>
      </c>
      <c r="C242" s="390" t="s">
        <v>31386</v>
      </c>
      <c r="D242" s="423"/>
      <c r="E242" s="424"/>
      <c r="F242" s="423"/>
      <c r="G242" s="425"/>
      <c r="H242" s="865"/>
      <c r="I242" s="865"/>
      <c r="J242" s="865"/>
      <c r="K242" s="865"/>
      <c r="L242" s="866"/>
      <c r="M242" s="151"/>
      <c r="N242" s="151"/>
      <c r="O242" s="151"/>
      <c r="P242" s="151"/>
      <c r="Q242" s="151"/>
      <c r="R242" s="151"/>
      <c r="S242" s="151"/>
      <c r="T242" s="151"/>
      <c r="U242" s="901" t="s">
        <v>15626</v>
      </c>
      <c r="V242" s="903"/>
      <c r="W242" s="948" t="s">
        <v>30822</v>
      </c>
      <c r="X242" s="949"/>
      <c r="Y242" s="949"/>
      <c r="Z242" s="949"/>
      <c r="AA242" s="949"/>
      <c r="AB242" s="934" t="s">
        <v>30823</v>
      </c>
      <c r="AC242" s="935"/>
      <c r="AD242" s="935"/>
      <c r="AE242" s="935"/>
      <c r="AF242" s="935"/>
      <c r="AG242" s="935"/>
      <c r="AH242" s="935"/>
      <c r="AI242" s="935"/>
      <c r="AJ242" s="935"/>
      <c r="AK242" s="935"/>
      <c r="AL242" s="427" t="s">
        <v>15626</v>
      </c>
      <c r="AM242" s="964">
        <f>$AM$8</f>
        <v>0.7</v>
      </c>
      <c r="AN242" s="964"/>
      <c r="AO242" s="575"/>
      <c r="AP242" s="575"/>
      <c r="AQ242" s="575"/>
      <c r="AR242" s="592"/>
      <c r="AS242" s="489">
        <f>ROUND(ROUND(I245*$U$243,0)*AM242,0)</f>
        <v>127</v>
      </c>
      <c r="AT242" s="359"/>
    </row>
    <row r="243" spans="1:46" ht="17.100000000000001" customHeight="1" x14ac:dyDescent="0.15">
      <c r="A243" s="340">
        <v>21</v>
      </c>
      <c r="B243" s="341" t="s">
        <v>20376</v>
      </c>
      <c r="C243" s="390" t="s">
        <v>31387</v>
      </c>
      <c r="D243" s="423"/>
      <c r="E243" s="424"/>
      <c r="F243" s="423"/>
      <c r="G243" s="425"/>
      <c r="H243" s="431"/>
      <c r="I243" s="431"/>
      <c r="J243" s="431"/>
      <c r="K243" s="431"/>
      <c r="L243" s="432"/>
      <c r="M243" s="151"/>
      <c r="N243" s="151"/>
      <c r="O243" s="151"/>
      <c r="P243" s="151"/>
      <c r="Q243" s="151"/>
      <c r="R243" s="151"/>
      <c r="S243" s="151"/>
      <c r="T243" s="151"/>
      <c r="U243" s="966">
        <f>U207</f>
        <v>0.5</v>
      </c>
      <c r="V243" s="967"/>
      <c r="W243" s="948"/>
      <c r="X243" s="949"/>
      <c r="Y243" s="949"/>
      <c r="Z243" s="949"/>
      <c r="AA243" s="949"/>
      <c r="AB243" s="934" t="s">
        <v>30825</v>
      </c>
      <c r="AC243" s="935"/>
      <c r="AD243" s="935"/>
      <c r="AE243" s="935"/>
      <c r="AF243" s="935"/>
      <c r="AG243" s="935"/>
      <c r="AH243" s="935"/>
      <c r="AI243" s="935"/>
      <c r="AJ243" s="935"/>
      <c r="AK243" s="935"/>
      <c r="AL243" s="427" t="s">
        <v>15626</v>
      </c>
      <c r="AM243" s="964">
        <f>$AM$9</f>
        <v>0.5</v>
      </c>
      <c r="AN243" s="964"/>
      <c r="AO243" s="575"/>
      <c r="AP243" s="575"/>
      <c r="AQ243" s="575"/>
      <c r="AR243" s="592"/>
      <c r="AS243" s="489">
        <f>ROUND(ROUND(I245*$U$243,0)*AM243,0)</f>
        <v>91</v>
      </c>
      <c r="AT243" s="359"/>
    </row>
    <row r="244" spans="1:46" ht="17.100000000000001" customHeight="1" x14ac:dyDescent="0.15">
      <c r="A244" s="340">
        <v>21</v>
      </c>
      <c r="B244" s="341" t="s">
        <v>20378</v>
      </c>
      <c r="C244" s="390" t="s">
        <v>31388</v>
      </c>
      <c r="D244" s="423"/>
      <c r="E244" s="424"/>
      <c r="F244" s="423"/>
      <c r="G244" s="425"/>
      <c r="L244" s="495"/>
      <c r="M244" s="862" t="s">
        <v>30827</v>
      </c>
      <c r="N244" s="862"/>
      <c r="O244" s="862"/>
      <c r="P244" s="862"/>
      <c r="Q244" s="862"/>
      <c r="R244" s="862"/>
      <c r="S244" s="862"/>
      <c r="T244" s="862"/>
      <c r="U244" s="534"/>
      <c r="V244" s="625"/>
      <c r="W244" s="447"/>
      <c r="X244" s="474"/>
      <c r="Y244" s="343"/>
      <c r="Z244" s="343"/>
      <c r="AA244" s="343"/>
      <c r="AB244" s="396"/>
      <c r="AC244" s="396"/>
      <c r="AD244" s="427"/>
      <c r="AE244" s="427"/>
      <c r="AF244" s="396"/>
      <c r="AG244" s="396"/>
      <c r="AH244" s="396"/>
      <c r="AI244" s="396"/>
      <c r="AJ244" s="396"/>
      <c r="AK244" s="396"/>
      <c r="AL244" s="427"/>
      <c r="AM244" s="964"/>
      <c r="AN244" s="964"/>
      <c r="AO244" s="575"/>
      <c r="AP244" s="575"/>
      <c r="AQ244" s="575"/>
      <c r="AR244" s="592"/>
      <c r="AS244" s="489">
        <f>ROUND(ROUND(I245*S246,0)*$U$243,0)</f>
        <v>174</v>
      </c>
      <c r="AT244" s="359"/>
    </row>
    <row r="245" spans="1:46" ht="17.100000000000001" customHeight="1" x14ac:dyDescent="0.15">
      <c r="A245" s="340">
        <v>21</v>
      </c>
      <c r="B245" s="341" t="s">
        <v>20380</v>
      </c>
      <c r="C245" s="390" t="s">
        <v>31389</v>
      </c>
      <c r="D245" s="423"/>
      <c r="E245" s="424"/>
      <c r="F245" s="423"/>
      <c r="G245" s="425"/>
      <c r="I245" s="965">
        <f>'5療養介護(基本)'!I112</f>
        <v>361</v>
      </c>
      <c r="J245" s="965"/>
      <c r="K245" s="152" t="s">
        <v>15624</v>
      </c>
      <c r="L245" s="387"/>
      <c r="M245" s="865"/>
      <c r="N245" s="865"/>
      <c r="O245" s="865"/>
      <c r="P245" s="865"/>
      <c r="Q245" s="865"/>
      <c r="R245" s="865"/>
      <c r="S245" s="865"/>
      <c r="T245" s="865"/>
      <c r="U245" s="490"/>
      <c r="V245" s="387"/>
      <c r="W245" s="948" t="s">
        <v>30822</v>
      </c>
      <c r="X245" s="949"/>
      <c r="Y245" s="949"/>
      <c r="Z245" s="949"/>
      <c r="AA245" s="949"/>
      <c r="AB245" s="934" t="s">
        <v>30823</v>
      </c>
      <c r="AC245" s="935"/>
      <c r="AD245" s="935"/>
      <c r="AE245" s="935"/>
      <c r="AF245" s="935"/>
      <c r="AG245" s="935"/>
      <c r="AH245" s="935"/>
      <c r="AI245" s="935"/>
      <c r="AJ245" s="935"/>
      <c r="AK245" s="935"/>
      <c r="AL245" s="427" t="s">
        <v>15626</v>
      </c>
      <c r="AM245" s="964">
        <f>$AM$8</f>
        <v>0.7</v>
      </c>
      <c r="AN245" s="964"/>
      <c r="AO245" s="575"/>
      <c r="AP245" s="575"/>
      <c r="AQ245" s="575"/>
      <c r="AR245" s="592"/>
      <c r="AS245" s="489">
        <f>ROUND(ROUND(ROUND(I245*S246,0)*$U$243,0)*AM245,0)</f>
        <v>122</v>
      </c>
      <c r="AT245" s="359"/>
    </row>
    <row r="246" spans="1:46" ht="17.100000000000001" customHeight="1" x14ac:dyDescent="0.15">
      <c r="A246" s="340">
        <v>21</v>
      </c>
      <c r="B246" s="341" t="s">
        <v>20382</v>
      </c>
      <c r="C246" s="390" t="s">
        <v>31390</v>
      </c>
      <c r="D246" s="469"/>
      <c r="E246" s="470"/>
      <c r="F246" s="469"/>
      <c r="G246" s="471"/>
      <c r="H246" s="325"/>
      <c r="I246" s="325"/>
      <c r="J246" s="325"/>
      <c r="K246" s="325"/>
      <c r="L246" s="388"/>
      <c r="M246" s="338"/>
      <c r="N246" s="338"/>
      <c r="O246" s="338"/>
      <c r="P246" s="338"/>
      <c r="Q246" s="338"/>
      <c r="R246" s="391" t="s">
        <v>15626</v>
      </c>
      <c r="S246" s="936">
        <f>$S$12</f>
        <v>0.96499999999999997</v>
      </c>
      <c r="T246" s="937"/>
      <c r="U246" s="324"/>
      <c r="V246" s="388"/>
      <c r="W246" s="970"/>
      <c r="X246" s="971"/>
      <c r="Y246" s="971"/>
      <c r="Z246" s="971"/>
      <c r="AA246" s="971"/>
      <c r="AB246" s="934" t="s">
        <v>30825</v>
      </c>
      <c r="AC246" s="935"/>
      <c r="AD246" s="935"/>
      <c r="AE246" s="935"/>
      <c r="AF246" s="935"/>
      <c r="AG246" s="935"/>
      <c r="AH246" s="935"/>
      <c r="AI246" s="935"/>
      <c r="AJ246" s="935"/>
      <c r="AK246" s="935"/>
      <c r="AL246" s="455" t="s">
        <v>15626</v>
      </c>
      <c r="AM246" s="938">
        <f>$AM$9</f>
        <v>0.5</v>
      </c>
      <c r="AN246" s="938"/>
      <c r="AO246" s="568"/>
      <c r="AP246" s="568"/>
      <c r="AQ246" s="568"/>
      <c r="AR246" s="599"/>
      <c r="AS246" s="491">
        <f>ROUND(ROUND(ROUND(I245*S246,0)*$U$243,0)*AM246,0)</f>
        <v>87</v>
      </c>
      <c r="AT246" s="350"/>
    </row>
    <row r="247" spans="1:46" ht="17.100000000000001" customHeight="1" x14ac:dyDescent="0.15">
      <c r="A247" s="340">
        <v>21</v>
      </c>
      <c r="B247" s="341" t="s">
        <v>20396</v>
      </c>
      <c r="C247" s="390" t="s">
        <v>31391</v>
      </c>
      <c r="D247" s="941" t="s">
        <v>30940</v>
      </c>
      <c r="E247" s="942"/>
      <c r="F247" s="941" t="s">
        <v>30941</v>
      </c>
      <c r="G247" s="942"/>
      <c r="H247" s="862" t="s">
        <v>30820</v>
      </c>
      <c r="I247" s="862"/>
      <c r="J247" s="862"/>
      <c r="K247" s="862"/>
      <c r="L247" s="863"/>
      <c r="M247" s="152"/>
      <c r="N247" s="151"/>
      <c r="O247" s="151"/>
      <c r="P247" s="151"/>
      <c r="Q247" s="151"/>
      <c r="R247" s="151"/>
      <c r="S247" s="151"/>
      <c r="T247" s="151"/>
      <c r="U247" s="916" t="s">
        <v>31150</v>
      </c>
      <c r="V247" s="972" t="s">
        <v>30825</v>
      </c>
      <c r="W247" s="330"/>
      <c r="X247" s="454"/>
      <c r="Y247" s="459"/>
      <c r="Z247" s="568"/>
      <c r="AA247" s="343"/>
      <c r="AB247" s="396"/>
      <c r="AC247" s="396"/>
      <c r="AD247" s="427"/>
      <c r="AE247" s="427"/>
      <c r="AF247" s="396"/>
      <c r="AG247" s="396"/>
      <c r="AH247" s="396"/>
      <c r="AI247" s="396"/>
      <c r="AJ247" s="396"/>
      <c r="AK247" s="396"/>
      <c r="AL247" s="427"/>
      <c r="AM247" s="964"/>
      <c r="AN247" s="964"/>
      <c r="AO247" s="575"/>
      <c r="AP247" s="575"/>
      <c r="AQ247" s="575"/>
      <c r="AR247" s="592"/>
      <c r="AS247" s="489">
        <f>ROUND(I251*$U$267,0)</f>
        <v>451</v>
      </c>
      <c r="AT247" s="329" t="s">
        <v>30681</v>
      </c>
    </row>
    <row r="248" spans="1:46" ht="17.100000000000001" customHeight="1" x14ac:dyDescent="0.15">
      <c r="A248" s="340">
        <v>21</v>
      </c>
      <c r="B248" s="341" t="s">
        <v>20398</v>
      </c>
      <c r="C248" s="390" t="s">
        <v>31392</v>
      </c>
      <c r="D248" s="943"/>
      <c r="E248" s="944"/>
      <c r="F248" s="943"/>
      <c r="G248" s="944"/>
      <c r="H248" s="865"/>
      <c r="I248" s="865"/>
      <c r="J248" s="865"/>
      <c r="K248" s="865"/>
      <c r="L248" s="866"/>
      <c r="M248" s="151"/>
      <c r="N248" s="151"/>
      <c r="O248" s="151"/>
      <c r="P248" s="151"/>
      <c r="Q248" s="151"/>
      <c r="R248" s="151"/>
      <c r="S248" s="151"/>
      <c r="T248" s="151"/>
      <c r="U248" s="912"/>
      <c r="V248" s="973"/>
      <c r="W248" s="948" t="s">
        <v>30822</v>
      </c>
      <c r="X248" s="949"/>
      <c r="Y248" s="949"/>
      <c r="Z248" s="949"/>
      <c r="AA248" s="949"/>
      <c r="AB248" s="934" t="s">
        <v>30823</v>
      </c>
      <c r="AC248" s="935"/>
      <c r="AD248" s="935"/>
      <c r="AE248" s="935"/>
      <c r="AF248" s="935"/>
      <c r="AG248" s="935"/>
      <c r="AH248" s="935"/>
      <c r="AI248" s="935"/>
      <c r="AJ248" s="935"/>
      <c r="AK248" s="935"/>
      <c r="AL248" s="427" t="s">
        <v>15626</v>
      </c>
      <c r="AM248" s="964">
        <f>$AM$8</f>
        <v>0.7</v>
      </c>
      <c r="AN248" s="964"/>
      <c r="AO248" s="575"/>
      <c r="AP248" s="575"/>
      <c r="AQ248" s="575"/>
      <c r="AR248" s="592"/>
      <c r="AS248" s="489">
        <f>ROUND(ROUND(I251*$U$267,0)*AM248,0)</f>
        <v>316</v>
      </c>
      <c r="AT248" s="339"/>
    </row>
    <row r="249" spans="1:46" ht="17.100000000000001" customHeight="1" x14ac:dyDescent="0.15">
      <c r="A249" s="340">
        <v>21</v>
      </c>
      <c r="B249" s="341" t="s">
        <v>20400</v>
      </c>
      <c r="C249" s="390" t="s">
        <v>31393</v>
      </c>
      <c r="D249" s="943"/>
      <c r="E249" s="944"/>
      <c r="F249" s="943"/>
      <c r="G249" s="944"/>
      <c r="H249" s="431"/>
      <c r="I249" s="431"/>
      <c r="J249" s="431"/>
      <c r="K249" s="431"/>
      <c r="L249" s="432"/>
      <c r="M249" s="151"/>
      <c r="N249" s="151"/>
      <c r="O249" s="151"/>
      <c r="P249" s="151"/>
      <c r="Q249" s="151"/>
      <c r="R249" s="151"/>
      <c r="S249" s="151"/>
      <c r="T249" s="151"/>
      <c r="U249" s="912"/>
      <c r="V249" s="973"/>
      <c r="W249" s="948"/>
      <c r="X249" s="949"/>
      <c r="Y249" s="949"/>
      <c r="Z249" s="949"/>
      <c r="AA249" s="949"/>
      <c r="AB249" s="934" t="s">
        <v>30825</v>
      </c>
      <c r="AC249" s="935"/>
      <c r="AD249" s="935"/>
      <c r="AE249" s="935"/>
      <c r="AF249" s="935"/>
      <c r="AG249" s="935"/>
      <c r="AH249" s="935"/>
      <c r="AI249" s="935"/>
      <c r="AJ249" s="935"/>
      <c r="AK249" s="935"/>
      <c r="AL249" s="427" t="s">
        <v>15626</v>
      </c>
      <c r="AM249" s="964">
        <f>$AM$9</f>
        <v>0.5</v>
      </c>
      <c r="AN249" s="964"/>
      <c r="AO249" s="575"/>
      <c r="AP249" s="575"/>
      <c r="AQ249" s="575"/>
      <c r="AR249" s="592"/>
      <c r="AS249" s="489">
        <f>ROUND(ROUND(I251*$U$267,0)*AM249,0)</f>
        <v>226</v>
      </c>
      <c r="AT249" s="339"/>
    </row>
    <row r="250" spans="1:46" ht="17.100000000000001" customHeight="1" x14ac:dyDescent="0.15">
      <c r="A250" s="340">
        <v>21</v>
      </c>
      <c r="B250" s="341" t="s">
        <v>20402</v>
      </c>
      <c r="C250" s="390" t="s">
        <v>31394</v>
      </c>
      <c r="D250" s="943"/>
      <c r="E250" s="944"/>
      <c r="F250" s="943"/>
      <c r="G250" s="944"/>
      <c r="L250" s="495"/>
      <c r="M250" s="862" t="s">
        <v>30827</v>
      </c>
      <c r="N250" s="862"/>
      <c r="O250" s="862"/>
      <c r="P250" s="862"/>
      <c r="Q250" s="862"/>
      <c r="R250" s="862"/>
      <c r="S250" s="862"/>
      <c r="T250" s="862"/>
      <c r="U250" s="912"/>
      <c r="V250" s="973"/>
      <c r="W250" s="447"/>
      <c r="X250" s="474"/>
      <c r="Y250" s="343"/>
      <c r="Z250" s="343"/>
      <c r="AA250" s="343"/>
      <c r="AB250" s="396"/>
      <c r="AC250" s="396"/>
      <c r="AD250" s="427"/>
      <c r="AE250" s="427"/>
      <c r="AF250" s="396"/>
      <c r="AG250" s="396"/>
      <c r="AH250" s="396"/>
      <c r="AI250" s="396"/>
      <c r="AJ250" s="396"/>
      <c r="AK250" s="396"/>
      <c r="AL250" s="427"/>
      <c r="AM250" s="964"/>
      <c r="AN250" s="964"/>
      <c r="AO250" s="575"/>
      <c r="AP250" s="575"/>
      <c r="AQ250" s="575"/>
      <c r="AR250" s="592"/>
      <c r="AS250" s="489">
        <f>ROUND(ROUND(I251*S252,0)*$U$267,0)</f>
        <v>435</v>
      </c>
      <c r="AT250" s="339"/>
    </row>
    <row r="251" spans="1:46" ht="17.100000000000001" customHeight="1" x14ac:dyDescent="0.15">
      <c r="A251" s="340">
        <v>21</v>
      </c>
      <c r="B251" s="341" t="s">
        <v>546</v>
      </c>
      <c r="C251" s="390" t="s">
        <v>31395</v>
      </c>
      <c r="D251" s="943"/>
      <c r="E251" s="944"/>
      <c r="F251" s="943"/>
      <c r="G251" s="944"/>
      <c r="I251" s="965">
        <f>'5療養介護(基本)'!I118</f>
        <v>902</v>
      </c>
      <c r="J251" s="965"/>
      <c r="K251" s="152" t="s">
        <v>15624</v>
      </c>
      <c r="L251" s="387"/>
      <c r="M251" s="865"/>
      <c r="N251" s="865"/>
      <c r="O251" s="865"/>
      <c r="P251" s="865"/>
      <c r="Q251" s="865"/>
      <c r="R251" s="865"/>
      <c r="S251" s="865"/>
      <c r="T251" s="865"/>
      <c r="U251" s="912"/>
      <c r="V251" s="973"/>
      <c r="W251" s="948" t="s">
        <v>30822</v>
      </c>
      <c r="X251" s="949"/>
      <c r="Y251" s="949"/>
      <c r="Z251" s="949"/>
      <c r="AA251" s="949"/>
      <c r="AB251" s="934" t="s">
        <v>30823</v>
      </c>
      <c r="AC251" s="935"/>
      <c r="AD251" s="935"/>
      <c r="AE251" s="935"/>
      <c r="AF251" s="935"/>
      <c r="AG251" s="935"/>
      <c r="AH251" s="935"/>
      <c r="AI251" s="935"/>
      <c r="AJ251" s="935"/>
      <c r="AK251" s="935"/>
      <c r="AL251" s="427" t="s">
        <v>15626</v>
      </c>
      <c r="AM251" s="964">
        <f>$AM$8</f>
        <v>0.7</v>
      </c>
      <c r="AN251" s="964"/>
      <c r="AO251" s="575"/>
      <c r="AP251" s="575"/>
      <c r="AQ251" s="575"/>
      <c r="AR251" s="592"/>
      <c r="AS251" s="489">
        <f>ROUND(ROUND(ROUND(I251*S252,0)*$U$267,0)*AM251,0)</f>
        <v>305</v>
      </c>
      <c r="AT251" s="339"/>
    </row>
    <row r="252" spans="1:46" ht="17.100000000000001" customHeight="1" x14ac:dyDescent="0.15">
      <c r="A252" s="340">
        <v>21</v>
      </c>
      <c r="B252" s="341" t="s">
        <v>548</v>
      </c>
      <c r="C252" s="390" t="s">
        <v>31396</v>
      </c>
      <c r="D252" s="943"/>
      <c r="E252" s="944"/>
      <c r="F252" s="943"/>
      <c r="G252" s="944"/>
      <c r="K252" s="152"/>
      <c r="L252" s="387"/>
      <c r="M252" s="338"/>
      <c r="N252" s="338"/>
      <c r="O252" s="338"/>
      <c r="P252" s="338"/>
      <c r="Q252" s="338"/>
      <c r="R252" s="391" t="s">
        <v>15626</v>
      </c>
      <c r="S252" s="936">
        <f>$S$12</f>
        <v>0.96499999999999997</v>
      </c>
      <c r="T252" s="936"/>
      <c r="U252" s="912"/>
      <c r="V252" s="973"/>
      <c r="W252" s="948"/>
      <c r="X252" s="949"/>
      <c r="Y252" s="949"/>
      <c r="Z252" s="949"/>
      <c r="AA252" s="949"/>
      <c r="AB252" s="934" t="s">
        <v>30825</v>
      </c>
      <c r="AC252" s="935"/>
      <c r="AD252" s="935"/>
      <c r="AE252" s="935"/>
      <c r="AF252" s="935"/>
      <c r="AG252" s="935"/>
      <c r="AH252" s="935"/>
      <c r="AI252" s="935"/>
      <c r="AJ252" s="935"/>
      <c r="AK252" s="935"/>
      <c r="AL252" s="427" t="s">
        <v>15626</v>
      </c>
      <c r="AM252" s="964">
        <f>$AM$9</f>
        <v>0.5</v>
      </c>
      <c r="AN252" s="964"/>
      <c r="AO252" s="568"/>
      <c r="AP252" s="568"/>
      <c r="AQ252" s="568"/>
      <c r="AR252" s="599"/>
      <c r="AS252" s="489">
        <f>ROUND(ROUND(ROUND(I251*S252,0)*$U$267,0)*AM252,0)</f>
        <v>218</v>
      </c>
      <c r="AT252" s="339"/>
    </row>
    <row r="253" spans="1:46" ht="17.100000000000001" customHeight="1" x14ac:dyDescent="0.15">
      <c r="A253" s="340">
        <v>21</v>
      </c>
      <c r="B253" s="341" t="s">
        <v>20416</v>
      </c>
      <c r="C253" s="390" t="s">
        <v>31397</v>
      </c>
      <c r="D253" s="943"/>
      <c r="E253" s="944"/>
      <c r="F253" s="943"/>
      <c r="G253" s="944"/>
      <c r="H253" s="862" t="s">
        <v>30831</v>
      </c>
      <c r="I253" s="862"/>
      <c r="J253" s="862"/>
      <c r="K253" s="862"/>
      <c r="L253" s="863"/>
      <c r="M253" s="396"/>
      <c r="N253" s="400"/>
      <c r="O253" s="400"/>
      <c r="P253" s="400"/>
      <c r="Q253" s="400"/>
      <c r="R253" s="400"/>
      <c r="S253" s="400"/>
      <c r="T253" s="400"/>
      <c r="U253" s="912"/>
      <c r="V253" s="973"/>
      <c r="W253" s="330"/>
      <c r="X253" s="454"/>
      <c r="Y253" s="459"/>
      <c r="Z253" s="568"/>
      <c r="AA253" s="343"/>
      <c r="AB253" s="396"/>
      <c r="AC253" s="396"/>
      <c r="AD253" s="427"/>
      <c r="AE253" s="427"/>
      <c r="AF253" s="396"/>
      <c r="AG253" s="396"/>
      <c r="AH253" s="396"/>
      <c r="AI253" s="396"/>
      <c r="AJ253" s="396"/>
      <c r="AK253" s="396"/>
      <c r="AL253" s="427"/>
      <c r="AM253" s="964"/>
      <c r="AN253" s="964"/>
      <c r="AO253" s="575"/>
      <c r="AP253" s="575"/>
      <c r="AQ253" s="575"/>
      <c r="AR253" s="592"/>
      <c r="AS253" s="489">
        <f>ROUND(I257*$U$267,0)</f>
        <v>451</v>
      </c>
      <c r="AT253" s="339"/>
    </row>
    <row r="254" spans="1:46" ht="17.100000000000001" customHeight="1" x14ac:dyDescent="0.15">
      <c r="A254" s="340">
        <v>21</v>
      </c>
      <c r="B254" s="341" t="s">
        <v>20418</v>
      </c>
      <c r="C254" s="390" t="s">
        <v>31398</v>
      </c>
      <c r="D254" s="943"/>
      <c r="E254" s="944"/>
      <c r="F254" s="943"/>
      <c r="G254" s="944"/>
      <c r="H254" s="865"/>
      <c r="I254" s="865"/>
      <c r="J254" s="865"/>
      <c r="K254" s="865"/>
      <c r="L254" s="866"/>
      <c r="M254" s="151"/>
      <c r="N254" s="151"/>
      <c r="O254" s="151"/>
      <c r="P254" s="151"/>
      <c r="Q254" s="151"/>
      <c r="R254" s="151"/>
      <c r="S254" s="151"/>
      <c r="T254" s="151"/>
      <c r="U254" s="912"/>
      <c r="V254" s="973"/>
      <c r="W254" s="948" t="s">
        <v>30822</v>
      </c>
      <c r="X254" s="949"/>
      <c r="Y254" s="949"/>
      <c r="Z254" s="949"/>
      <c r="AA254" s="949"/>
      <c r="AB254" s="934" t="s">
        <v>30823</v>
      </c>
      <c r="AC254" s="935"/>
      <c r="AD254" s="935"/>
      <c r="AE254" s="935"/>
      <c r="AF254" s="935"/>
      <c r="AG254" s="935"/>
      <c r="AH254" s="935"/>
      <c r="AI254" s="935"/>
      <c r="AJ254" s="935"/>
      <c r="AK254" s="935"/>
      <c r="AL254" s="427" t="s">
        <v>15626</v>
      </c>
      <c r="AM254" s="964">
        <f>$AM$8</f>
        <v>0.7</v>
      </c>
      <c r="AN254" s="964"/>
      <c r="AO254" s="575"/>
      <c r="AP254" s="575"/>
      <c r="AQ254" s="575"/>
      <c r="AR254" s="592"/>
      <c r="AS254" s="489">
        <f>ROUND(ROUND(I257*$U$267,0)*AM254,0)</f>
        <v>316</v>
      </c>
      <c r="AT254" s="339"/>
    </row>
    <row r="255" spans="1:46" ht="17.100000000000001" customHeight="1" x14ac:dyDescent="0.15">
      <c r="A255" s="340">
        <v>21</v>
      </c>
      <c r="B255" s="341" t="s">
        <v>20420</v>
      </c>
      <c r="C255" s="390" t="s">
        <v>31399</v>
      </c>
      <c r="D255" s="943"/>
      <c r="E255" s="944"/>
      <c r="F255" s="943"/>
      <c r="G255" s="944"/>
      <c r="H255" s="424"/>
      <c r="I255" s="424"/>
      <c r="J255" s="424"/>
      <c r="K255" s="424"/>
      <c r="L255" s="425"/>
      <c r="M255" s="151"/>
      <c r="N255" s="151"/>
      <c r="O255" s="151"/>
      <c r="P255" s="151"/>
      <c r="Q255" s="151"/>
      <c r="R255" s="151"/>
      <c r="S255" s="151"/>
      <c r="T255" s="151"/>
      <c r="U255" s="912"/>
      <c r="V255" s="973"/>
      <c r="W255" s="948"/>
      <c r="X255" s="949"/>
      <c r="Y255" s="949"/>
      <c r="Z255" s="949"/>
      <c r="AA255" s="949"/>
      <c r="AB255" s="934" t="s">
        <v>30825</v>
      </c>
      <c r="AC255" s="935"/>
      <c r="AD255" s="935"/>
      <c r="AE255" s="935"/>
      <c r="AF255" s="935"/>
      <c r="AG255" s="935"/>
      <c r="AH255" s="935"/>
      <c r="AI255" s="935"/>
      <c r="AJ255" s="935"/>
      <c r="AK255" s="935"/>
      <c r="AL255" s="427" t="s">
        <v>15626</v>
      </c>
      <c r="AM255" s="964">
        <f>$AM$9</f>
        <v>0.5</v>
      </c>
      <c r="AN255" s="964"/>
      <c r="AO255" s="575"/>
      <c r="AP255" s="575"/>
      <c r="AQ255" s="575"/>
      <c r="AR255" s="592"/>
      <c r="AS255" s="489">
        <f>ROUND(ROUND(I257*$U$267,0)*AM255,0)</f>
        <v>226</v>
      </c>
      <c r="AT255" s="339"/>
    </row>
    <row r="256" spans="1:46" ht="17.100000000000001" customHeight="1" x14ac:dyDescent="0.15">
      <c r="A256" s="340">
        <v>21</v>
      </c>
      <c r="B256" s="341" t="s">
        <v>20422</v>
      </c>
      <c r="C256" s="390" t="s">
        <v>31400</v>
      </c>
      <c r="D256" s="943"/>
      <c r="E256" s="944"/>
      <c r="F256" s="943"/>
      <c r="G256" s="944"/>
      <c r="H256" s="424"/>
      <c r="I256" s="424"/>
      <c r="L256" s="495"/>
      <c r="M256" s="862" t="s">
        <v>30827</v>
      </c>
      <c r="N256" s="862"/>
      <c r="O256" s="862"/>
      <c r="P256" s="862"/>
      <c r="Q256" s="862"/>
      <c r="R256" s="862"/>
      <c r="S256" s="862"/>
      <c r="T256" s="862"/>
      <c r="U256" s="912"/>
      <c r="V256" s="973"/>
      <c r="W256" s="447"/>
      <c r="X256" s="474"/>
      <c r="Y256" s="343"/>
      <c r="Z256" s="343"/>
      <c r="AA256" s="343"/>
      <c r="AB256" s="396"/>
      <c r="AC256" s="396"/>
      <c r="AD256" s="427"/>
      <c r="AE256" s="427"/>
      <c r="AF256" s="396"/>
      <c r="AG256" s="396"/>
      <c r="AH256" s="396"/>
      <c r="AI256" s="396"/>
      <c r="AJ256" s="396"/>
      <c r="AK256" s="396"/>
      <c r="AL256" s="427"/>
      <c r="AM256" s="964"/>
      <c r="AN256" s="964"/>
      <c r="AO256" s="575"/>
      <c r="AP256" s="575"/>
      <c r="AQ256" s="575"/>
      <c r="AR256" s="592"/>
      <c r="AS256" s="489">
        <f>ROUND(ROUND(I257*S258,0)*$U$267,0)</f>
        <v>435</v>
      </c>
      <c r="AT256" s="339"/>
    </row>
    <row r="257" spans="1:46" ht="17.100000000000001" customHeight="1" x14ac:dyDescent="0.15">
      <c r="A257" s="340">
        <v>21</v>
      </c>
      <c r="B257" s="341" t="s">
        <v>20424</v>
      </c>
      <c r="C257" s="390" t="s">
        <v>31401</v>
      </c>
      <c r="D257" s="943"/>
      <c r="E257" s="944"/>
      <c r="F257" s="943"/>
      <c r="G257" s="944"/>
      <c r="H257" s="424"/>
      <c r="I257" s="965">
        <f>'5療養介護(基本)'!I124</f>
        <v>902</v>
      </c>
      <c r="J257" s="965"/>
      <c r="K257" s="152" t="s">
        <v>15624</v>
      </c>
      <c r="L257" s="425"/>
      <c r="M257" s="865"/>
      <c r="N257" s="865"/>
      <c r="O257" s="865"/>
      <c r="P257" s="865"/>
      <c r="Q257" s="865"/>
      <c r="R257" s="865"/>
      <c r="S257" s="865"/>
      <c r="T257" s="865"/>
      <c r="U257" s="912"/>
      <c r="V257" s="973"/>
      <c r="W257" s="948" t="s">
        <v>30822</v>
      </c>
      <c r="X257" s="949"/>
      <c r="Y257" s="949"/>
      <c r="Z257" s="949"/>
      <c r="AA257" s="949"/>
      <c r="AB257" s="934" t="s">
        <v>30823</v>
      </c>
      <c r="AC257" s="935"/>
      <c r="AD257" s="935"/>
      <c r="AE257" s="935"/>
      <c r="AF257" s="935"/>
      <c r="AG257" s="935"/>
      <c r="AH257" s="935"/>
      <c r="AI257" s="935"/>
      <c r="AJ257" s="935"/>
      <c r="AK257" s="935"/>
      <c r="AL257" s="427" t="s">
        <v>15626</v>
      </c>
      <c r="AM257" s="964">
        <f>$AM$8</f>
        <v>0.7</v>
      </c>
      <c r="AN257" s="964"/>
      <c r="AO257" s="575"/>
      <c r="AP257" s="575"/>
      <c r="AQ257" s="575"/>
      <c r="AR257" s="592"/>
      <c r="AS257" s="489">
        <f>ROUND(ROUND(ROUND(I257*S258,0)*$U$267,0)*AM257,0)</f>
        <v>305</v>
      </c>
      <c r="AT257" s="339"/>
    </row>
    <row r="258" spans="1:46" ht="17.100000000000001" customHeight="1" x14ac:dyDescent="0.15">
      <c r="A258" s="340">
        <v>21</v>
      </c>
      <c r="B258" s="341" t="s">
        <v>20426</v>
      </c>
      <c r="C258" s="390" t="s">
        <v>31402</v>
      </c>
      <c r="D258" s="943"/>
      <c r="E258" s="944"/>
      <c r="F258" s="943"/>
      <c r="G258" s="944"/>
      <c r="H258" s="424"/>
      <c r="I258" s="618"/>
      <c r="J258" s="618"/>
      <c r="K258" s="618"/>
      <c r="L258" s="619"/>
      <c r="M258" s="338"/>
      <c r="N258" s="338"/>
      <c r="O258" s="338"/>
      <c r="P258" s="338"/>
      <c r="Q258" s="338"/>
      <c r="R258" s="391" t="s">
        <v>15626</v>
      </c>
      <c r="S258" s="936">
        <f>$S$12</f>
        <v>0.96499999999999997</v>
      </c>
      <c r="T258" s="936"/>
      <c r="U258" s="912"/>
      <c r="V258" s="973"/>
      <c r="W258" s="948"/>
      <c r="X258" s="949"/>
      <c r="Y258" s="949"/>
      <c r="Z258" s="949"/>
      <c r="AA258" s="949"/>
      <c r="AB258" s="934" t="s">
        <v>30825</v>
      </c>
      <c r="AC258" s="935"/>
      <c r="AD258" s="935"/>
      <c r="AE258" s="935"/>
      <c r="AF258" s="935"/>
      <c r="AG258" s="935"/>
      <c r="AH258" s="935"/>
      <c r="AI258" s="935"/>
      <c r="AJ258" s="935"/>
      <c r="AK258" s="935"/>
      <c r="AL258" s="427" t="s">
        <v>15626</v>
      </c>
      <c r="AM258" s="964">
        <f>$AM$9</f>
        <v>0.5</v>
      </c>
      <c r="AN258" s="964"/>
      <c r="AO258" s="568"/>
      <c r="AP258" s="568"/>
      <c r="AQ258" s="568"/>
      <c r="AR258" s="599"/>
      <c r="AS258" s="489">
        <f>ROUND(ROUND(ROUND(I257*S258,0)*$U$267,0)*AM258,0)</f>
        <v>218</v>
      </c>
      <c r="AT258" s="339"/>
    </row>
    <row r="259" spans="1:46" ht="17.100000000000001" customHeight="1" x14ac:dyDescent="0.15">
      <c r="A259" s="340">
        <v>21</v>
      </c>
      <c r="B259" s="341" t="s">
        <v>559</v>
      </c>
      <c r="C259" s="390" t="s">
        <v>31403</v>
      </c>
      <c r="D259" s="943"/>
      <c r="E259" s="944"/>
      <c r="F259" s="943"/>
      <c r="G259" s="944"/>
      <c r="H259" s="862" t="s">
        <v>30838</v>
      </c>
      <c r="I259" s="862"/>
      <c r="J259" s="862"/>
      <c r="K259" s="862"/>
      <c r="L259" s="863"/>
      <c r="M259" s="396"/>
      <c r="N259" s="400"/>
      <c r="O259" s="400"/>
      <c r="P259" s="400"/>
      <c r="Q259" s="400"/>
      <c r="R259" s="400"/>
      <c r="S259" s="400"/>
      <c r="T259" s="400"/>
      <c r="U259" s="912"/>
      <c r="V259" s="973"/>
      <c r="W259" s="330"/>
      <c r="X259" s="454"/>
      <c r="Y259" s="459"/>
      <c r="Z259" s="568"/>
      <c r="AA259" s="343"/>
      <c r="AB259" s="396"/>
      <c r="AC259" s="396"/>
      <c r="AD259" s="427"/>
      <c r="AE259" s="427"/>
      <c r="AF259" s="396"/>
      <c r="AG259" s="396"/>
      <c r="AH259" s="396"/>
      <c r="AI259" s="396"/>
      <c r="AJ259" s="396"/>
      <c r="AK259" s="396"/>
      <c r="AL259" s="427"/>
      <c r="AM259" s="964"/>
      <c r="AN259" s="964"/>
      <c r="AO259" s="575"/>
      <c r="AP259" s="575"/>
      <c r="AQ259" s="575"/>
      <c r="AR259" s="592"/>
      <c r="AS259" s="489">
        <f>ROUND(I263*$U$267,0)</f>
        <v>437</v>
      </c>
      <c r="AT259" s="339"/>
    </row>
    <row r="260" spans="1:46" ht="17.100000000000001" customHeight="1" x14ac:dyDescent="0.15">
      <c r="A260" s="340">
        <v>21</v>
      </c>
      <c r="B260" s="341" t="s">
        <v>561</v>
      </c>
      <c r="C260" s="390" t="s">
        <v>31404</v>
      </c>
      <c r="D260" s="943"/>
      <c r="E260" s="944"/>
      <c r="F260" s="943"/>
      <c r="G260" s="944"/>
      <c r="H260" s="865"/>
      <c r="I260" s="865"/>
      <c r="J260" s="865"/>
      <c r="K260" s="865"/>
      <c r="L260" s="866"/>
      <c r="M260" s="151"/>
      <c r="N260" s="151"/>
      <c r="O260" s="151"/>
      <c r="P260" s="151"/>
      <c r="Q260" s="151"/>
      <c r="R260" s="151"/>
      <c r="S260" s="151"/>
      <c r="T260" s="151"/>
      <c r="U260" s="912"/>
      <c r="V260" s="973"/>
      <c r="W260" s="948" t="s">
        <v>30822</v>
      </c>
      <c r="X260" s="949"/>
      <c r="Y260" s="949"/>
      <c r="Z260" s="949"/>
      <c r="AA260" s="949"/>
      <c r="AB260" s="934" t="s">
        <v>30823</v>
      </c>
      <c r="AC260" s="935"/>
      <c r="AD260" s="935"/>
      <c r="AE260" s="935"/>
      <c r="AF260" s="935"/>
      <c r="AG260" s="935"/>
      <c r="AH260" s="935"/>
      <c r="AI260" s="935"/>
      <c r="AJ260" s="935"/>
      <c r="AK260" s="935"/>
      <c r="AL260" s="427" t="s">
        <v>15626</v>
      </c>
      <c r="AM260" s="964">
        <f>$AM$8</f>
        <v>0.7</v>
      </c>
      <c r="AN260" s="964"/>
      <c r="AO260" s="575"/>
      <c r="AP260" s="575"/>
      <c r="AQ260" s="575"/>
      <c r="AR260" s="592"/>
      <c r="AS260" s="489">
        <f>ROUND(ROUND(I263*$U$267,0)*AM260,0)</f>
        <v>306</v>
      </c>
      <c r="AT260" s="339"/>
    </row>
    <row r="261" spans="1:46" ht="17.100000000000001" customHeight="1" x14ac:dyDescent="0.15">
      <c r="A261" s="340">
        <v>21</v>
      </c>
      <c r="B261" s="341" t="s">
        <v>563</v>
      </c>
      <c r="C261" s="390" t="s">
        <v>31405</v>
      </c>
      <c r="D261" s="943"/>
      <c r="E261" s="944"/>
      <c r="F261" s="943"/>
      <c r="G261" s="944"/>
      <c r="K261" s="152"/>
      <c r="L261" s="387"/>
      <c r="M261" s="151"/>
      <c r="N261" s="151"/>
      <c r="O261" s="151"/>
      <c r="P261" s="151"/>
      <c r="Q261" s="151"/>
      <c r="R261" s="151"/>
      <c r="S261" s="151"/>
      <c r="T261" s="151"/>
      <c r="U261" s="912"/>
      <c r="V261" s="973"/>
      <c r="W261" s="948"/>
      <c r="X261" s="949"/>
      <c r="Y261" s="949"/>
      <c r="Z261" s="949"/>
      <c r="AA261" s="949"/>
      <c r="AB261" s="934" t="s">
        <v>30825</v>
      </c>
      <c r="AC261" s="935"/>
      <c r="AD261" s="935"/>
      <c r="AE261" s="935"/>
      <c r="AF261" s="935"/>
      <c r="AG261" s="935"/>
      <c r="AH261" s="935"/>
      <c r="AI261" s="935"/>
      <c r="AJ261" s="935"/>
      <c r="AK261" s="935"/>
      <c r="AL261" s="427" t="s">
        <v>15626</v>
      </c>
      <c r="AM261" s="964">
        <f>$AM$9</f>
        <v>0.5</v>
      </c>
      <c r="AN261" s="964"/>
      <c r="AO261" s="575"/>
      <c r="AP261" s="575"/>
      <c r="AQ261" s="575"/>
      <c r="AR261" s="592"/>
      <c r="AS261" s="489">
        <f>ROUND(ROUND(I263*$U$267,0)*AM261,0)</f>
        <v>219</v>
      </c>
      <c r="AT261" s="339"/>
    </row>
    <row r="262" spans="1:46" ht="17.100000000000001" customHeight="1" x14ac:dyDescent="0.15">
      <c r="A262" s="340">
        <v>21</v>
      </c>
      <c r="B262" s="341" t="s">
        <v>565</v>
      </c>
      <c r="C262" s="390" t="s">
        <v>31406</v>
      </c>
      <c r="D262" s="943"/>
      <c r="E262" s="944"/>
      <c r="F262" s="943"/>
      <c r="G262" s="944"/>
      <c r="L262" s="495"/>
      <c r="M262" s="862" t="s">
        <v>30827</v>
      </c>
      <c r="N262" s="862"/>
      <c r="O262" s="862"/>
      <c r="P262" s="862"/>
      <c r="Q262" s="862"/>
      <c r="R262" s="862"/>
      <c r="S262" s="862"/>
      <c r="T262" s="862"/>
      <c r="U262" s="912"/>
      <c r="V262" s="973"/>
      <c r="W262" s="447"/>
      <c r="X262" s="474"/>
      <c r="Y262" s="343"/>
      <c r="Z262" s="343"/>
      <c r="AA262" s="343"/>
      <c r="AB262" s="396"/>
      <c r="AC262" s="396"/>
      <c r="AD262" s="427"/>
      <c r="AE262" s="427"/>
      <c r="AF262" s="396"/>
      <c r="AG262" s="396"/>
      <c r="AH262" s="396"/>
      <c r="AI262" s="396"/>
      <c r="AJ262" s="396"/>
      <c r="AK262" s="396"/>
      <c r="AL262" s="427"/>
      <c r="AM262" s="964"/>
      <c r="AN262" s="964"/>
      <c r="AO262" s="575"/>
      <c r="AP262" s="575"/>
      <c r="AQ262" s="575"/>
      <c r="AR262" s="592"/>
      <c r="AS262" s="489">
        <f>ROUND(ROUND(I263*S264,0)*$U$267,0)</f>
        <v>421</v>
      </c>
      <c r="AT262" s="339"/>
    </row>
    <row r="263" spans="1:46" ht="17.100000000000001" customHeight="1" x14ac:dyDescent="0.15">
      <c r="A263" s="340">
        <v>21</v>
      </c>
      <c r="B263" s="341" t="s">
        <v>20444</v>
      </c>
      <c r="C263" s="390" t="s">
        <v>31407</v>
      </c>
      <c r="D263" s="943"/>
      <c r="E263" s="944"/>
      <c r="F263" s="943"/>
      <c r="G263" s="944"/>
      <c r="I263" s="965">
        <f>'5療養介護(基本)'!I130</f>
        <v>873</v>
      </c>
      <c r="J263" s="965"/>
      <c r="K263" s="152" t="s">
        <v>15624</v>
      </c>
      <c r="L263" s="387"/>
      <c r="M263" s="865"/>
      <c r="N263" s="865"/>
      <c r="O263" s="865"/>
      <c r="P263" s="865"/>
      <c r="Q263" s="865"/>
      <c r="R263" s="865"/>
      <c r="S263" s="865"/>
      <c r="T263" s="865"/>
      <c r="U263" s="912"/>
      <c r="V263" s="973"/>
      <c r="W263" s="948" t="s">
        <v>30822</v>
      </c>
      <c r="X263" s="949"/>
      <c r="Y263" s="949"/>
      <c r="Z263" s="949"/>
      <c r="AA263" s="949"/>
      <c r="AB263" s="934" t="s">
        <v>30823</v>
      </c>
      <c r="AC263" s="935"/>
      <c r="AD263" s="935"/>
      <c r="AE263" s="935"/>
      <c r="AF263" s="935"/>
      <c r="AG263" s="935"/>
      <c r="AH263" s="935"/>
      <c r="AI263" s="935"/>
      <c r="AJ263" s="935"/>
      <c r="AK263" s="935"/>
      <c r="AL263" s="427" t="s">
        <v>15626</v>
      </c>
      <c r="AM263" s="964">
        <f>$AM$8</f>
        <v>0.7</v>
      </c>
      <c r="AN263" s="964"/>
      <c r="AO263" s="575"/>
      <c r="AP263" s="575"/>
      <c r="AQ263" s="575"/>
      <c r="AR263" s="592"/>
      <c r="AS263" s="489">
        <f>ROUND(ROUND(ROUND(I263*S264,0)*$U$267,0)*AM263,0)</f>
        <v>295</v>
      </c>
      <c r="AT263" s="339"/>
    </row>
    <row r="264" spans="1:46" ht="17.100000000000001" customHeight="1" x14ac:dyDescent="0.15">
      <c r="A264" s="340">
        <v>21</v>
      </c>
      <c r="B264" s="341" t="s">
        <v>20446</v>
      </c>
      <c r="C264" s="390" t="s">
        <v>31408</v>
      </c>
      <c r="D264" s="943"/>
      <c r="E264" s="944"/>
      <c r="F264" s="943"/>
      <c r="G264" s="944"/>
      <c r="K264" s="152"/>
      <c r="L264" s="387"/>
      <c r="M264" s="338"/>
      <c r="N264" s="338"/>
      <c r="O264" s="338"/>
      <c r="P264" s="338"/>
      <c r="Q264" s="338"/>
      <c r="R264" s="391" t="s">
        <v>15626</v>
      </c>
      <c r="S264" s="936">
        <f>$S$12</f>
        <v>0.96499999999999997</v>
      </c>
      <c r="T264" s="936"/>
      <c r="U264" s="912"/>
      <c r="V264" s="973"/>
      <c r="W264" s="948"/>
      <c r="X264" s="949"/>
      <c r="Y264" s="949"/>
      <c r="Z264" s="949"/>
      <c r="AA264" s="949"/>
      <c r="AB264" s="934" t="s">
        <v>30825</v>
      </c>
      <c r="AC264" s="935"/>
      <c r="AD264" s="935"/>
      <c r="AE264" s="935"/>
      <c r="AF264" s="935"/>
      <c r="AG264" s="935"/>
      <c r="AH264" s="935"/>
      <c r="AI264" s="935"/>
      <c r="AJ264" s="935"/>
      <c r="AK264" s="935"/>
      <c r="AL264" s="427" t="s">
        <v>15626</v>
      </c>
      <c r="AM264" s="964">
        <f>$AM$9</f>
        <v>0.5</v>
      </c>
      <c r="AN264" s="964"/>
      <c r="AO264" s="568"/>
      <c r="AP264" s="568"/>
      <c r="AQ264" s="568"/>
      <c r="AR264" s="599"/>
      <c r="AS264" s="489">
        <f>ROUND(ROUND(ROUND(I263*S264,0)*$U$267,0)*AM264,0)</f>
        <v>211</v>
      </c>
      <c r="AT264" s="339"/>
    </row>
    <row r="265" spans="1:46" ht="17.100000000000001" customHeight="1" x14ac:dyDescent="0.15">
      <c r="A265" s="340">
        <v>21</v>
      </c>
      <c r="B265" s="341" t="s">
        <v>20460</v>
      </c>
      <c r="C265" s="390" t="s">
        <v>31409</v>
      </c>
      <c r="D265" s="430"/>
      <c r="E265" s="431"/>
      <c r="F265" s="423"/>
      <c r="G265" s="425"/>
      <c r="H265" s="862" t="s">
        <v>30845</v>
      </c>
      <c r="I265" s="862"/>
      <c r="J265" s="862"/>
      <c r="K265" s="862"/>
      <c r="L265" s="863"/>
      <c r="M265" s="396"/>
      <c r="N265" s="400"/>
      <c r="O265" s="400"/>
      <c r="P265" s="400"/>
      <c r="Q265" s="400"/>
      <c r="R265" s="400"/>
      <c r="S265" s="400"/>
      <c r="T265" s="400"/>
      <c r="U265" s="912"/>
      <c r="V265" s="973"/>
      <c r="W265" s="330"/>
      <c r="X265" s="454"/>
      <c r="Y265" s="459"/>
      <c r="Z265" s="568"/>
      <c r="AA265" s="343"/>
      <c r="AB265" s="396"/>
      <c r="AC265" s="396"/>
      <c r="AD265" s="427"/>
      <c r="AE265" s="427"/>
      <c r="AF265" s="396"/>
      <c r="AG265" s="396"/>
      <c r="AH265" s="396"/>
      <c r="AI265" s="396"/>
      <c r="AJ265" s="396"/>
      <c r="AK265" s="396"/>
      <c r="AL265" s="427"/>
      <c r="AM265" s="964"/>
      <c r="AN265" s="964"/>
      <c r="AO265" s="575"/>
      <c r="AP265" s="575"/>
      <c r="AQ265" s="575"/>
      <c r="AR265" s="592"/>
      <c r="AS265" s="489">
        <f>ROUND(I269*$U$267,0)</f>
        <v>419</v>
      </c>
      <c r="AT265" s="359"/>
    </row>
    <row r="266" spans="1:46" ht="17.100000000000001" customHeight="1" x14ac:dyDescent="0.15">
      <c r="A266" s="340">
        <v>21</v>
      </c>
      <c r="B266" s="341" t="s">
        <v>20462</v>
      </c>
      <c r="C266" s="390" t="s">
        <v>31410</v>
      </c>
      <c r="D266" s="430"/>
      <c r="E266" s="431"/>
      <c r="F266" s="423"/>
      <c r="G266" s="425"/>
      <c r="H266" s="865"/>
      <c r="I266" s="865"/>
      <c r="J266" s="865"/>
      <c r="K266" s="865"/>
      <c r="L266" s="866"/>
      <c r="M266" s="151"/>
      <c r="N266" s="151"/>
      <c r="O266" s="151"/>
      <c r="P266" s="151"/>
      <c r="Q266" s="151"/>
      <c r="R266" s="151"/>
      <c r="S266" s="151"/>
      <c r="T266" s="151"/>
      <c r="U266" s="901" t="s">
        <v>15626</v>
      </c>
      <c r="V266" s="903"/>
      <c r="W266" s="948" t="s">
        <v>30822</v>
      </c>
      <c r="X266" s="949"/>
      <c r="Y266" s="949"/>
      <c r="Z266" s="949"/>
      <c r="AA266" s="949"/>
      <c r="AB266" s="934" t="s">
        <v>30823</v>
      </c>
      <c r="AC266" s="935"/>
      <c r="AD266" s="935"/>
      <c r="AE266" s="935"/>
      <c r="AF266" s="935"/>
      <c r="AG266" s="935"/>
      <c r="AH266" s="935"/>
      <c r="AI266" s="935"/>
      <c r="AJ266" s="935"/>
      <c r="AK266" s="935"/>
      <c r="AL266" s="427" t="s">
        <v>15626</v>
      </c>
      <c r="AM266" s="964">
        <f>$AM$8</f>
        <v>0.7</v>
      </c>
      <c r="AN266" s="964"/>
      <c r="AO266" s="575"/>
      <c r="AP266" s="575"/>
      <c r="AQ266" s="575"/>
      <c r="AR266" s="592"/>
      <c r="AS266" s="489">
        <f>ROUND(ROUND(I269*$U$267,0)*AM266,0)</f>
        <v>293</v>
      </c>
      <c r="AT266" s="359"/>
    </row>
    <row r="267" spans="1:46" ht="17.100000000000001" customHeight="1" x14ac:dyDescent="0.15">
      <c r="A267" s="340">
        <v>21</v>
      </c>
      <c r="B267" s="341" t="s">
        <v>20464</v>
      </c>
      <c r="C267" s="390" t="s">
        <v>31411</v>
      </c>
      <c r="D267" s="430"/>
      <c r="E267" s="431"/>
      <c r="F267" s="423"/>
      <c r="G267" s="425"/>
      <c r="H267" s="431"/>
      <c r="I267" s="431"/>
      <c r="J267" s="431"/>
      <c r="K267" s="431"/>
      <c r="L267" s="432"/>
      <c r="M267" s="151"/>
      <c r="N267" s="151"/>
      <c r="O267" s="151"/>
      <c r="P267" s="151"/>
      <c r="Q267" s="151"/>
      <c r="R267" s="151"/>
      <c r="S267" s="151"/>
      <c r="T267" s="151"/>
      <c r="U267" s="966">
        <f>U243</f>
        <v>0.5</v>
      </c>
      <c r="V267" s="967"/>
      <c r="W267" s="948"/>
      <c r="X267" s="949"/>
      <c r="Y267" s="949"/>
      <c r="Z267" s="949"/>
      <c r="AA267" s="949"/>
      <c r="AB267" s="934" t="s">
        <v>30825</v>
      </c>
      <c r="AC267" s="935"/>
      <c r="AD267" s="935"/>
      <c r="AE267" s="935"/>
      <c r="AF267" s="935"/>
      <c r="AG267" s="935"/>
      <c r="AH267" s="935"/>
      <c r="AI267" s="935"/>
      <c r="AJ267" s="935"/>
      <c r="AK267" s="935"/>
      <c r="AL267" s="427" t="s">
        <v>15626</v>
      </c>
      <c r="AM267" s="964">
        <f>$AM$9</f>
        <v>0.5</v>
      </c>
      <c r="AN267" s="964"/>
      <c r="AO267" s="575"/>
      <c r="AP267" s="575"/>
      <c r="AQ267" s="575"/>
      <c r="AR267" s="592"/>
      <c r="AS267" s="489">
        <f>ROUND(ROUND(I269*$U$267,0)*AM267,0)</f>
        <v>210</v>
      </c>
      <c r="AT267" s="359"/>
    </row>
    <row r="268" spans="1:46" ht="17.100000000000001" customHeight="1" x14ac:dyDescent="0.15">
      <c r="A268" s="340">
        <v>21</v>
      </c>
      <c r="B268" s="341" t="s">
        <v>20466</v>
      </c>
      <c r="C268" s="390" t="s">
        <v>31412</v>
      </c>
      <c r="D268" s="430"/>
      <c r="E268" s="431"/>
      <c r="F268" s="423"/>
      <c r="G268" s="425"/>
      <c r="L268" s="495"/>
      <c r="M268" s="862" t="s">
        <v>30827</v>
      </c>
      <c r="N268" s="862"/>
      <c r="O268" s="862"/>
      <c r="P268" s="862"/>
      <c r="Q268" s="862"/>
      <c r="R268" s="862"/>
      <c r="S268" s="862"/>
      <c r="T268" s="862"/>
      <c r="U268" s="494"/>
      <c r="V268" s="495"/>
      <c r="W268" s="447"/>
      <c r="X268" s="474"/>
      <c r="Y268" s="343"/>
      <c r="Z268" s="343"/>
      <c r="AA268" s="343"/>
      <c r="AB268" s="396"/>
      <c r="AC268" s="396"/>
      <c r="AD268" s="427"/>
      <c r="AE268" s="427"/>
      <c r="AF268" s="396"/>
      <c r="AG268" s="396"/>
      <c r="AH268" s="396"/>
      <c r="AI268" s="396"/>
      <c r="AJ268" s="396"/>
      <c r="AK268" s="396"/>
      <c r="AL268" s="427"/>
      <c r="AM268" s="964"/>
      <c r="AN268" s="964"/>
      <c r="AO268" s="575"/>
      <c r="AP268" s="575"/>
      <c r="AQ268" s="575"/>
      <c r="AR268" s="592"/>
      <c r="AS268" s="489">
        <f>ROUND(ROUND(I269*S270,0)*$U$267,0)</f>
        <v>405</v>
      </c>
      <c r="AT268" s="359"/>
    </row>
    <row r="269" spans="1:46" ht="17.100000000000001" customHeight="1" x14ac:dyDescent="0.15">
      <c r="A269" s="340">
        <v>21</v>
      </c>
      <c r="B269" s="341" t="s">
        <v>20468</v>
      </c>
      <c r="C269" s="390" t="s">
        <v>31413</v>
      </c>
      <c r="D269" s="430"/>
      <c r="E269" s="431"/>
      <c r="F269" s="423"/>
      <c r="G269" s="425"/>
      <c r="I269" s="965">
        <f>'5療養介護(基本)'!I136</f>
        <v>838</v>
      </c>
      <c r="J269" s="965"/>
      <c r="K269" s="152" t="s">
        <v>15624</v>
      </c>
      <c r="L269" s="387"/>
      <c r="M269" s="865"/>
      <c r="N269" s="865"/>
      <c r="O269" s="865"/>
      <c r="P269" s="865"/>
      <c r="Q269" s="865"/>
      <c r="R269" s="865"/>
      <c r="S269" s="865"/>
      <c r="T269" s="865"/>
      <c r="U269" s="494"/>
      <c r="V269" s="495"/>
      <c r="W269" s="948" t="s">
        <v>30822</v>
      </c>
      <c r="X269" s="949"/>
      <c r="Y269" s="949"/>
      <c r="Z269" s="949"/>
      <c r="AA269" s="949"/>
      <c r="AB269" s="934" t="s">
        <v>30823</v>
      </c>
      <c r="AC269" s="935"/>
      <c r="AD269" s="935"/>
      <c r="AE269" s="935"/>
      <c r="AF269" s="935"/>
      <c r="AG269" s="935"/>
      <c r="AH269" s="935"/>
      <c r="AI269" s="935"/>
      <c r="AJ269" s="935"/>
      <c r="AK269" s="935"/>
      <c r="AL269" s="427" t="s">
        <v>15626</v>
      </c>
      <c r="AM269" s="964">
        <f>$AM$8</f>
        <v>0.7</v>
      </c>
      <c r="AN269" s="964"/>
      <c r="AO269" s="575"/>
      <c r="AP269" s="575"/>
      <c r="AQ269" s="575"/>
      <c r="AR269" s="592"/>
      <c r="AS269" s="489">
        <f>ROUND(ROUND(ROUND(I269*S270,0)*$U$267,0)*AM269,0)</f>
        <v>284</v>
      </c>
      <c r="AT269" s="359"/>
    </row>
    <row r="270" spans="1:46" ht="17.100000000000001" customHeight="1" x14ac:dyDescent="0.15">
      <c r="A270" s="340">
        <v>21</v>
      </c>
      <c r="B270" s="341" t="s">
        <v>20470</v>
      </c>
      <c r="C270" s="390" t="s">
        <v>31414</v>
      </c>
      <c r="D270" s="433"/>
      <c r="E270" s="434"/>
      <c r="F270" s="469"/>
      <c r="G270" s="471"/>
      <c r="H270" s="325"/>
      <c r="I270" s="325"/>
      <c r="J270" s="325"/>
      <c r="K270" s="325"/>
      <c r="L270" s="388"/>
      <c r="M270" s="338"/>
      <c r="N270" s="338"/>
      <c r="O270" s="338"/>
      <c r="P270" s="338"/>
      <c r="Q270" s="338"/>
      <c r="R270" s="391" t="s">
        <v>15626</v>
      </c>
      <c r="S270" s="936">
        <f>$S$12</f>
        <v>0.96499999999999997</v>
      </c>
      <c r="T270" s="937"/>
      <c r="U270" s="598"/>
      <c r="V270" s="578"/>
      <c r="W270" s="970"/>
      <c r="X270" s="971"/>
      <c r="Y270" s="971"/>
      <c r="Z270" s="971"/>
      <c r="AA270" s="971"/>
      <c r="AB270" s="934" t="s">
        <v>30825</v>
      </c>
      <c r="AC270" s="935"/>
      <c r="AD270" s="935"/>
      <c r="AE270" s="935"/>
      <c r="AF270" s="935"/>
      <c r="AG270" s="935"/>
      <c r="AH270" s="935"/>
      <c r="AI270" s="935"/>
      <c r="AJ270" s="935"/>
      <c r="AK270" s="935"/>
      <c r="AL270" s="455" t="s">
        <v>15626</v>
      </c>
      <c r="AM270" s="938">
        <f>$AM$9</f>
        <v>0.5</v>
      </c>
      <c r="AN270" s="938"/>
      <c r="AO270" s="568"/>
      <c r="AP270" s="568"/>
      <c r="AQ270" s="568"/>
      <c r="AR270" s="599"/>
      <c r="AS270" s="491">
        <f>ROUND(ROUND(ROUND(I269*S270,0)*$U$267,0)*AM270,0)</f>
        <v>203</v>
      </c>
      <c r="AT270" s="350"/>
    </row>
    <row r="271" spans="1:46" ht="17.100000000000001" customHeight="1" x14ac:dyDescent="0.15"/>
    <row r="272" spans="1:46" ht="17.100000000000001" customHeight="1" x14ac:dyDescent="0.15"/>
    <row r="273" spans="22:30" ht="17.100000000000001" customHeight="1" x14ac:dyDescent="0.15">
      <c r="V273" s="533"/>
      <c r="Y273" s="533"/>
      <c r="AC273" s="151"/>
      <c r="AD273" s="151"/>
    </row>
    <row r="274" spans="22:30" ht="17.100000000000001" customHeight="1" x14ac:dyDescent="0.15">
      <c r="V274" s="533"/>
      <c r="Y274" s="533"/>
      <c r="AC274" s="151"/>
      <c r="AD274" s="151"/>
    </row>
    <row r="275" spans="22:30" ht="17.100000000000001" customHeight="1" x14ac:dyDescent="0.15">
      <c r="V275" s="533"/>
      <c r="Y275" s="533"/>
      <c r="AC275" s="151"/>
      <c r="AD275" s="151"/>
    </row>
    <row r="276" spans="22:30" ht="17.100000000000001" customHeight="1" x14ac:dyDescent="0.15">
      <c r="V276" s="533"/>
      <c r="Y276" s="533"/>
      <c r="AC276" s="151"/>
      <c r="AD276" s="151"/>
    </row>
    <row r="277" spans="22:30" ht="17.100000000000001" customHeight="1" x14ac:dyDescent="0.15">
      <c r="V277" s="533"/>
      <c r="Y277" s="533"/>
      <c r="AC277" s="151"/>
      <c r="AD277" s="151"/>
    </row>
    <row r="278" spans="22:30" ht="17.100000000000001" customHeight="1" x14ac:dyDescent="0.15">
      <c r="V278" s="533"/>
      <c r="Y278" s="533"/>
      <c r="AC278" s="151"/>
      <c r="AD278" s="151"/>
    </row>
    <row r="279" spans="22:30" ht="17.100000000000001" customHeight="1" x14ac:dyDescent="0.15">
      <c r="V279" s="533"/>
      <c r="Y279" s="533"/>
      <c r="AC279" s="151"/>
      <c r="AD279" s="151"/>
    </row>
    <row r="280" spans="22:30" ht="17.100000000000001" customHeight="1" x14ac:dyDescent="0.15">
      <c r="V280" s="533"/>
      <c r="Y280" s="533"/>
      <c r="AC280" s="151"/>
      <c r="AD280" s="151"/>
    </row>
    <row r="281" spans="22:30" ht="17.100000000000001" customHeight="1" x14ac:dyDescent="0.15">
      <c r="V281" s="533"/>
      <c r="Y281" s="533"/>
      <c r="AC281" s="151"/>
      <c r="AD281" s="151"/>
    </row>
  </sheetData>
  <mergeCells count="755">
    <mergeCell ref="M268:T269"/>
    <mergeCell ref="AM268:AN268"/>
    <mergeCell ref="I269:J269"/>
    <mergeCell ref="W269:AA270"/>
    <mergeCell ref="AB269:AK269"/>
    <mergeCell ref="AM269:AN269"/>
    <mergeCell ref="S270:T270"/>
    <mergeCell ref="AB270:AK270"/>
    <mergeCell ref="AM270:AN270"/>
    <mergeCell ref="H265:L266"/>
    <mergeCell ref="AM265:AN265"/>
    <mergeCell ref="U266:V266"/>
    <mergeCell ref="W266:AA267"/>
    <mergeCell ref="AB266:AK266"/>
    <mergeCell ref="AM266:AN266"/>
    <mergeCell ref="U267:V267"/>
    <mergeCell ref="AB267:AK267"/>
    <mergeCell ref="AM267:AN267"/>
    <mergeCell ref="M262:T263"/>
    <mergeCell ref="AM262:AN262"/>
    <mergeCell ref="I263:J263"/>
    <mergeCell ref="W263:AA264"/>
    <mergeCell ref="AB263:AK263"/>
    <mergeCell ref="AM263:AN263"/>
    <mergeCell ref="S264:T264"/>
    <mergeCell ref="AB264:AK264"/>
    <mergeCell ref="AM264:AN264"/>
    <mergeCell ref="S252:T252"/>
    <mergeCell ref="AB252:AK252"/>
    <mergeCell ref="AM252:AN252"/>
    <mergeCell ref="H259:L260"/>
    <mergeCell ref="AM259:AN259"/>
    <mergeCell ref="W260:AA261"/>
    <mergeCell ref="AB260:AK260"/>
    <mergeCell ref="AM260:AN260"/>
    <mergeCell ref="AB261:AK261"/>
    <mergeCell ref="AM261:AN261"/>
    <mergeCell ref="M256:T257"/>
    <mergeCell ref="AM256:AN256"/>
    <mergeCell ref="I257:J257"/>
    <mergeCell ref="W257:AA258"/>
    <mergeCell ref="AB257:AK257"/>
    <mergeCell ref="AM257:AN257"/>
    <mergeCell ref="S258:T258"/>
    <mergeCell ref="AB258:AK258"/>
    <mergeCell ref="AM258:AN258"/>
    <mergeCell ref="D247:E264"/>
    <mergeCell ref="F247:G264"/>
    <mergeCell ref="H247:L248"/>
    <mergeCell ref="U247:U265"/>
    <mergeCell ref="V247:V265"/>
    <mergeCell ref="AM247:AN247"/>
    <mergeCell ref="W248:AA249"/>
    <mergeCell ref="AB248:AK248"/>
    <mergeCell ref="AM248:AN248"/>
    <mergeCell ref="AB249:AK249"/>
    <mergeCell ref="H253:L254"/>
    <mergeCell ref="AM253:AN253"/>
    <mergeCell ref="W254:AA255"/>
    <mergeCell ref="AB254:AK254"/>
    <mergeCell ref="AM254:AN254"/>
    <mergeCell ref="AB255:AK255"/>
    <mergeCell ref="AM255:AN255"/>
    <mergeCell ref="AM249:AN249"/>
    <mergeCell ref="M250:T251"/>
    <mergeCell ref="AM250:AN250"/>
    <mergeCell ref="I251:J251"/>
    <mergeCell ref="W251:AA252"/>
    <mergeCell ref="AB251:AK251"/>
    <mergeCell ref="AM251:AN251"/>
    <mergeCell ref="M244:T245"/>
    <mergeCell ref="AM244:AN244"/>
    <mergeCell ref="I245:J245"/>
    <mergeCell ref="W245:AA246"/>
    <mergeCell ref="AB245:AK245"/>
    <mergeCell ref="AM245:AN245"/>
    <mergeCell ref="S246:T246"/>
    <mergeCell ref="AB246:AK246"/>
    <mergeCell ref="AM246:AN246"/>
    <mergeCell ref="H241:L242"/>
    <mergeCell ref="AM241:AN241"/>
    <mergeCell ref="U242:V242"/>
    <mergeCell ref="W242:AA243"/>
    <mergeCell ref="AB242:AK242"/>
    <mergeCell ref="AM242:AN242"/>
    <mergeCell ref="U243:V243"/>
    <mergeCell ref="AB243:AK243"/>
    <mergeCell ref="AM243:AN243"/>
    <mergeCell ref="M238:T239"/>
    <mergeCell ref="AM238:AN238"/>
    <mergeCell ref="I239:J239"/>
    <mergeCell ref="W239:AA240"/>
    <mergeCell ref="AB239:AK239"/>
    <mergeCell ref="AM239:AN239"/>
    <mergeCell ref="S240:T240"/>
    <mergeCell ref="AB240:AK240"/>
    <mergeCell ref="AM240:AN240"/>
    <mergeCell ref="I227:J227"/>
    <mergeCell ref="W227:AA228"/>
    <mergeCell ref="AB227:AK227"/>
    <mergeCell ref="AM227:AN227"/>
    <mergeCell ref="S228:T228"/>
    <mergeCell ref="AB228:AK228"/>
    <mergeCell ref="AM228:AN228"/>
    <mergeCell ref="H235:L236"/>
    <mergeCell ref="AM235:AN235"/>
    <mergeCell ref="W236:AA237"/>
    <mergeCell ref="AB236:AK236"/>
    <mergeCell ref="AM236:AN236"/>
    <mergeCell ref="AB237:AK237"/>
    <mergeCell ref="AM237:AN237"/>
    <mergeCell ref="M232:T233"/>
    <mergeCell ref="AM232:AN232"/>
    <mergeCell ref="I233:J233"/>
    <mergeCell ref="W233:AA234"/>
    <mergeCell ref="AB233:AK233"/>
    <mergeCell ref="AM233:AN233"/>
    <mergeCell ref="S234:T234"/>
    <mergeCell ref="AB234:AK234"/>
    <mergeCell ref="AM234:AN234"/>
    <mergeCell ref="W218:AA219"/>
    <mergeCell ref="AB218:AK218"/>
    <mergeCell ref="AM218:AN218"/>
    <mergeCell ref="AB219:AK219"/>
    <mergeCell ref="AM219:AN219"/>
    <mergeCell ref="F223:G234"/>
    <mergeCell ref="H223:L224"/>
    <mergeCell ref="U223:U241"/>
    <mergeCell ref="V223:V241"/>
    <mergeCell ref="AM223:AN223"/>
    <mergeCell ref="W224:AA225"/>
    <mergeCell ref="AB224:AK224"/>
    <mergeCell ref="AM224:AN224"/>
    <mergeCell ref="AB225:AK225"/>
    <mergeCell ref="AM225:AN225"/>
    <mergeCell ref="H229:L230"/>
    <mergeCell ref="AM229:AN229"/>
    <mergeCell ref="W230:AA231"/>
    <mergeCell ref="AB230:AK230"/>
    <mergeCell ref="AM230:AN230"/>
    <mergeCell ref="AB231:AK231"/>
    <mergeCell ref="AM231:AN231"/>
    <mergeCell ref="M226:T227"/>
    <mergeCell ref="AM226:AN226"/>
    <mergeCell ref="W215:AA216"/>
    <mergeCell ref="AB215:AK215"/>
    <mergeCell ref="AM215:AN215"/>
    <mergeCell ref="AB216:AK216"/>
    <mergeCell ref="AM216:AN216"/>
    <mergeCell ref="AM217:AN217"/>
    <mergeCell ref="F211:G222"/>
    <mergeCell ref="AM211:AN211"/>
    <mergeCell ref="J212:K212"/>
    <mergeCell ref="W212:AA213"/>
    <mergeCell ref="AB212:AK212"/>
    <mergeCell ref="AM212:AN212"/>
    <mergeCell ref="AB213:AK213"/>
    <mergeCell ref="AM213:AN213"/>
    <mergeCell ref="AM214:AN214"/>
    <mergeCell ref="J215:K215"/>
    <mergeCell ref="AM220:AN220"/>
    <mergeCell ref="J221:K221"/>
    <mergeCell ref="W221:AA222"/>
    <mergeCell ref="AB221:AK221"/>
    <mergeCell ref="AM221:AN221"/>
    <mergeCell ref="AB222:AK222"/>
    <mergeCell ref="AM222:AN222"/>
    <mergeCell ref="J218:K218"/>
    <mergeCell ref="M208:T209"/>
    <mergeCell ref="AM208:AN208"/>
    <mergeCell ref="I209:J209"/>
    <mergeCell ref="W209:AA210"/>
    <mergeCell ref="AB209:AK209"/>
    <mergeCell ref="AM209:AN209"/>
    <mergeCell ref="S210:T210"/>
    <mergeCell ref="AB210:AK210"/>
    <mergeCell ref="AM210:AN210"/>
    <mergeCell ref="H205:L206"/>
    <mergeCell ref="AM205:AN205"/>
    <mergeCell ref="U206:V206"/>
    <mergeCell ref="W206:AA207"/>
    <mergeCell ref="AB206:AK206"/>
    <mergeCell ref="AM206:AN206"/>
    <mergeCell ref="U207:V207"/>
    <mergeCell ref="AB207:AK207"/>
    <mergeCell ref="AM207:AN207"/>
    <mergeCell ref="M202:T203"/>
    <mergeCell ref="AM202:AN202"/>
    <mergeCell ref="I203:J203"/>
    <mergeCell ref="W203:AA204"/>
    <mergeCell ref="AB203:AK203"/>
    <mergeCell ref="AM203:AN203"/>
    <mergeCell ref="S204:T204"/>
    <mergeCell ref="AB204:AK204"/>
    <mergeCell ref="AM204:AN204"/>
    <mergeCell ref="S192:T192"/>
    <mergeCell ref="AB192:AK192"/>
    <mergeCell ref="AM192:AN192"/>
    <mergeCell ref="H199:L200"/>
    <mergeCell ref="AM199:AN199"/>
    <mergeCell ref="W200:AA201"/>
    <mergeCell ref="AB200:AK200"/>
    <mergeCell ref="AM200:AN200"/>
    <mergeCell ref="AB201:AK201"/>
    <mergeCell ref="AM201:AN201"/>
    <mergeCell ref="M196:T197"/>
    <mergeCell ref="AM196:AN196"/>
    <mergeCell ref="I197:J197"/>
    <mergeCell ref="W197:AA198"/>
    <mergeCell ref="AB197:AK197"/>
    <mergeCell ref="AM197:AN197"/>
    <mergeCell ref="S198:T198"/>
    <mergeCell ref="AB198:AK198"/>
    <mergeCell ref="AM198:AN198"/>
    <mergeCell ref="D187:E198"/>
    <mergeCell ref="F187:G198"/>
    <mergeCell ref="H187:L188"/>
    <mergeCell ref="U187:U205"/>
    <mergeCell ref="V187:V205"/>
    <mergeCell ref="AM187:AN187"/>
    <mergeCell ref="W188:AA189"/>
    <mergeCell ref="AB188:AK188"/>
    <mergeCell ref="AM188:AN188"/>
    <mergeCell ref="AB189:AK189"/>
    <mergeCell ref="H193:L194"/>
    <mergeCell ref="AM193:AN193"/>
    <mergeCell ref="W194:AA195"/>
    <mergeCell ref="AB194:AK194"/>
    <mergeCell ref="AM194:AN194"/>
    <mergeCell ref="AB195:AK195"/>
    <mergeCell ref="AM195:AN195"/>
    <mergeCell ref="AM189:AN189"/>
    <mergeCell ref="M190:T191"/>
    <mergeCell ref="AM190:AN190"/>
    <mergeCell ref="I191:J191"/>
    <mergeCell ref="W191:AA192"/>
    <mergeCell ref="AB191:AK191"/>
    <mergeCell ref="AM191:AN191"/>
    <mergeCell ref="M184:T185"/>
    <mergeCell ref="AM184:AN184"/>
    <mergeCell ref="I185:J185"/>
    <mergeCell ref="W185:AA186"/>
    <mergeCell ref="AB185:AK185"/>
    <mergeCell ref="AM185:AN185"/>
    <mergeCell ref="S186:T186"/>
    <mergeCell ref="AB186:AK186"/>
    <mergeCell ref="AM186:AN186"/>
    <mergeCell ref="H181:L182"/>
    <mergeCell ref="AM181:AN181"/>
    <mergeCell ref="U182:V182"/>
    <mergeCell ref="W182:AA183"/>
    <mergeCell ref="AB182:AK182"/>
    <mergeCell ref="AM182:AN182"/>
    <mergeCell ref="U183:V183"/>
    <mergeCell ref="AB183:AK183"/>
    <mergeCell ref="AM183:AN183"/>
    <mergeCell ref="M178:T179"/>
    <mergeCell ref="AM178:AN178"/>
    <mergeCell ref="I179:J179"/>
    <mergeCell ref="W179:AA180"/>
    <mergeCell ref="AB179:AK179"/>
    <mergeCell ref="AM179:AN179"/>
    <mergeCell ref="S180:T180"/>
    <mergeCell ref="AB180:AK180"/>
    <mergeCell ref="AM180:AN180"/>
    <mergeCell ref="AB168:AK168"/>
    <mergeCell ref="AM168:AN168"/>
    <mergeCell ref="H175:L176"/>
    <mergeCell ref="AM175:AN175"/>
    <mergeCell ref="W176:AA177"/>
    <mergeCell ref="AB176:AK176"/>
    <mergeCell ref="AM176:AN176"/>
    <mergeCell ref="AB177:AK177"/>
    <mergeCell ref="AM177:AN177"/>
    <mergeCell ref="M172:T173"/>
    <mergeCell ref="AM172:AN172"/>
    <mergeCell ref="I173:J173"/>
    <mergeCell ref="W173:AA174"/>
    <mergeCell ref="AB173:AK173"/>
    <mergeCell ref="AM173:AN173"/>
    <mergeCell ref="S174:T174"/>
    <mergeCell ref="AB174:AK174"/>
    <mergeCell ref="AM174:AN174"/>
    <mergeCell ref="F163:G174"/>
    <mergeCell ref="H163:L164"/>
    <mergeCell ref="U163:U181"/>
    <mergeCell ref="V163:V181"/>
    <mergeCell ref="AM163:AN163"/>
    <mergeCell ref="W164:AA165"/>
    <mergeCell ref="AB164:AK164"/>
    <mergeCell ref="AM164:AN164"/>
    <mergeCell ref="AB165:AK165"/>
    <mergeCell ref="AM165:AN165"/>
    <mergeCell ref="H169:L170"/>
    <mergeCell ref="AM169:AN169"/>
    <mergeCell ref="W170:AA171"/>
    <mergeCell ref="AB170:AK170"/>
    <mergeCell ref="AM170:AN170"/>
    <mergeCell ref="AB171:AK171"/>
    <mergeCell ref="AM171:AN171"/>
    <mergeCell ref="M166:T167"/>
    <mergeCell ref="AM166:AN166"/>
    <mergeCell ref="I167:J167"/>
    <mergeCell ref="W167:AA168"/>
    <mergeCell ref="AB167:AK167"/>
    <mergeCell ref="AM167:AN167"/>
    <mergeCell ref="S168:T168"/>
    <mergeCell ref="M160:T161"/>
    <mergeCell ref="AM160:AN160"/>
    <mergeCell ref="I161:J161"/>
    <mergeCell ref="W161:AA162"/>
    <mergeCell ref="AB161:AK161"/>
    <mergeCell ref="AM161:AN161"/>
    <mergeCell ref="S162:T162"/>
    <mergeCell ref="AB162:AK162"/>
    <mergeCell ref="AM162:AN162"/>
    <mergeCell ref="H157:L158"/>
    <mergeCell ref="AM157:AN157"/>
    <mergeCell ref="U158:V158"/>
    <mergeCell ref="W158:AA159"/>
    <mergeCell ref="AB158:AK158"/>
    <mergeCell ref="AM158:AN158"/>
    <mergeCell ref="U159:V159"/>
    <mergeCell ref="AB159:AK159"/>
    <mergeCell ref="AM159:AN159"/>
    <mergeCell ref="M154:T155"/>
    <mergeCell ref="AM154:AN154"/>
    <mergeCell ref="I155:J155"/>
    <mergeCell ref="W155:AA156"/>
    <mergeCell ref="AB155:AK155"/>
    <mergeCell ref="AM155:AN155"/>
    <mergeCell ref="S156:T156"/>
    <mergeCell ref="AB156:AK156"/>
    <mergeCell ref="AM156:AN156"/>
    <mergeCell ref="S144:T144"/>
    <mergeCell ref="AB144:AK144"/>
    <mergeCell ref="AM144:AN144"/>
    <mergeCell ref="H151:L152"/>
    <mergeCell ref="AM151:AN151"/>
    <mergeCell ref="W152:AA153"/>
    <mergeCell ref="AB152:AK152"/>
    <mergeCell ref="AM152:AN152"/>
    <mergeCell ref="AB153:AK153"/>
    <mergeCell ref="AM153:AN153"/>
    <mergeCell ref="M148:T149"/>
    <mergeCell ref="AM148:AN148"/>
    <mergeCell ref="I149:J149"/>
    <mergeCell ref="W149:AA150"/>
    <mergeCell ref="AB149:AK149"/>
    <mergeCell ref="AM149:AN149"/>
    <mergeCell ref="S150:T150"/>
    <mergeCell ref="AB150:AK150"/>
    <mergeCell ref="AM150:AN150"/>
    <mergeCell ref="D139:E150"/>
    <mergeCell ref="F139:G150"/>
    <mergeCell ref="H139:L140"/>
    <mergeCell ref="U139:U157"/>
    <mergeCell ref="V139:V157"/>
    <mergeCell ref="AM139:AN139"/>
    <mergeCell ref="W140:AA141"/>
    <mergeCell ref="AB140:AK140"/>
    <mergeCell ref="AM140:AN140"/>
    <mergeCell ref="AB141:AK141"/>
    <mergeCell ref="H145:L146"/>
    <mergeCell ref="AM145:AN145"/>
    <mergeCell ref="W146:AA147"/>
    <mergeCell ref="AB146:AK146"/>
    <mergeCell ref="AM146:AN146"/>
    <mergeCell ref="AB147:AK147"/>
    <mergeCell ref="AM147:AN147"/>
    <mergeCell ref="AM141:AN141"/>
    <mergeCell ref="M142:T143"/>
    <mergeCell ref="AM142:AN142"/>
    <mergeCell ref="I143:J143"/>
    <mergeCell ref="W143:AA144"/>
    <mergeCell ref="AB143:AK143"/>
    <mergeCell ref="AM143:AN143"/>
    <mergeCell ref="M136:T137"/>
    <mergeCell ref="AM136:AN136"/>
    <mergeCell ref="I137:J137"/>
    <mergeCell ref="W137:AA138"/>
    <mergeCell ref="AB137:AK137"/>
    <mergeCell ref="AM137:AN137"/>
    <mergeCell ref="S138:T138"/>
    <mergeCell ref="AB138:AK138"/>
    <mergeCell ref="AM138:AN138"/>
    <mergeCell ref="H133:L134"/>
    <mergeCell ref="AM133:AN133"/>
    <mergeCell ref="U134:V134"/>
    <mergeCell ref="W134:AA135"/>
    <mergeCell ref="AB134:AK134"/>
    <mergeCell ref="AM134:AN134"/>
    <mergeCell ref="U135:V135"/>
    <mergeCell ref="AB135:AK135"/>
    <mergeCell ref="AM135:AN135"/>
    <mergeCell ref="M130:T131"/>
    <mergeCell ref="AM130:AN130"/>
    <mergeCell ref="I131:J131"/>
    <mergeCell ref="W131:AA132"/>
    <mergeCell ref="AB131:AK131"/>
    <mergeCell ref="AM131:AN131"/>
    <mergeCell ref="S132:T132"/>
    <mergeCell ref="AB132:AK132"/>
    <mergeCell ref="AM132:AN132"/>
    <mergeCell ref="S120:T120"/>
    <mergeCell ref="AB120:AK120"/>
    <mergeCell ref="AM120:AN120"/>
    <mergeCell ref="H127:L128"/>
    <mergeCell ref="AM127:AN127"/>
    <mergeCell ref="W128:AA129"/>
    <mergeCell ref="AB128:AK128"/>
    <mergeCell ref="AM128:AN128"/>
    <mergeCell ref="AB129:AK129"/>
    <mergeCell ref="AM129:AN129"/>
    <mergeCell ref="M124:T125"/>
    <mergeCell ref="AM124:AN124"/>
    <mergeCell ref="I125:J125"/>
    <mergeCell ref="W125:AA126"/>
    <mergeCell ref="AB125:AK125"/>
    <mergeCell ref="AM125:AN125"/>
    <mergeCell ref="S126:T126"/>
    <mergeCell ref="AB126:AK126"/>
    <mergeCell ref="AM126:AN126"/>
    <mergeCell ref="D115:E132"/>
    <mergeCell ref="F115:G132"/>
    <mergeCell ref="H115:L116"/>
    <mergeCell ref="U115:U133"/>
    <mergeCell ref="V115:V133"/>
    <mergeCell ref="AM115:AN115"/>
    <mergeCell ref="W116:AA117"/>
    <mergeCell ref="AB116:AK116"/>
    <mergeCell ref="AM116:AN116"/>
    <mergeCell ref="AB117:AK117"/>
    <mergeCell ref="H121:L122"/>
    <mergeCell ref="AM121:AN121"/>
    <mergeCell ref="W122:AA123"/>
    <mergeCell ref="AB122:AK122"/>
    <mergeCell ref="AM122:AN122"/>
    <mergeCell ref="AB123:AK123"/>
    <mergeCell ref="AM123:AN123"/>
    <mergeCell ref="AM117:AN117"/>
    <mergeCell ref="M118:T119"/>
    <mergeCell ref="AM118:AN118"/>
    <mergeCell ref="I119:J119"/>
    <mergeCell ref="W119:AA120"/>
    <mergeCell ref="AB119:AK119"/>
    <mergeCell ref="AM119:AN119"/>
    <mergeCell ref="M112:T113"/>
    <mergeCell ref="AM112:AN112"/>
    <mergeCell ref="I113:J113"/>
    <mergeCell ref="W113:AA114"/>
    <mergeCell ref="AB113:AK113"/>
    <mergeCell ref="AM113:AN113"/>
    <mergeCell ref="S114:T114"/>
    <mergeCell ref="AB114:AK114"/>
    <mergeCell ref="AM114:AN114"/>
    <mergeCell ref="H109:L110"/>
    <mergeCell ref="U109:V109"/>
    <mergeCell ref="AM109:AN109"/>
    <mergeCell ref="U110:V110"/>
    <mergeCell ref="W110:AA111"/>
    <mergeCell ref="AB110:AK110"/>
    <mergeCell ref="AM110:AN110"/>
    <mergeCell ref="AB111:AK111"/>
    <mergeCell ref="AM111:AN111"/>
    <mergeCell ref="M106:T107"/>
    <mergeCell ref="AM106:AN106"/>
    <mergeCell ref="I107:J107"/>
    <mergeCell ref="W107:AA108"/>
    <mergeCell ref="AB107:AK107"/>
    <mergeCell ref="AM107:AN107"/>
    <mergeCell ref="S108:T108"/>
    <mergeCell ref="AB108:AK108"/>
    <mergeCell ref="AM108:AN108"/>
    <mergeCell ref="I95:J95"/>
    <mergeCell ref="W95:AA96"/>
    <mergeCell ref="AB95:AK95"/>
    <mergeCell ref="AM95:AN95"/>
    <mergeCell ref="S96:T96"/>
    <mergeCell ref="AB96:AK96"/>
    <mergeCell ref="AM96:AN96"/>
    <mergeCell ref="H103:L104"/>
    <mergeCell ref="AM103:AN103"/>
    <mergeCell ref="W104:AA105"/>
    <mergeCell ref="AB104:AK104"/>
    <mergeCell ref="AM104:AN104"/>
    <mergeCell ref="AB105:AK105"/>
    <mergeCell ref="AM105:AN105"/>
    <mergeCell ref="M100:T101"/>
    <mergeCell ref="AM100:AN100"/>
    <mergeCell ref="I101:J101"/>
    <mergeCell ref="W101:AA102"/>
    <mergeCell ref="AB101:AK101"/>
    <mergeCell ref="AM101:AN101"/>
    <mergeCell ref="S102:T102"/>
    <mergeCell ref="AB102:AK102"/>
    <mergeCell ref="AM102:AN102"/>
    <mergeCell ref="W86:AA87"/>
    <mergeCell ref="AB86:AK86"/>
    <mergeCell ref="AM86:AN86"/>
    <mergeCell ref="AB87:AK87"/>
    <mergeCell ref="AM87:AN87"/>
    <mergeCell ref="F91:G102"/>
    <mergeCell ref="H91:L92"/>
    <mergeCell ref="U91:U108"/>
    <mergeCell ref="V91:V108"/>
    <mergeCell ref="AM91:AN91"/>
    <mergeCell ref="W92:AA93"/>
    <mergeCell ref="AB92:AK92"/>
    <mergeCell ref="AM92:AN92"/>
    <mergeCell ref="AB93:AK93"/>
    <mergeCell ref="AM93:AN93"/>
    <mergeCell ref="H97:L98"/>
    <mergeCell ref="AM97:AN97"/>
    <mergeCell ref="W98:AA99"/>
    <mergeCell ref="AB98:AK98"/>
    <mergeCell ref="AM98:AN98"/>
    <mergeCell ref="AB99:AK99"/>
    <mergeCell ref="AM99:AN99"/>
    <mergeCell ref="M94:T95"/>
    <mergeCell ref="AM94:AN94"/>
    <mergeCell ref="W83:AA84"/>
    <mergeCell ref="AB83:AK83"/>
    <mergeCell ref="AM83:AN83"/>
    <mergeCell ref="AB84:AK84"/>
    <mergeCell ref="AM84:AN84"/>
    <mergeCell ref="AM85:AN85"/>
    <mergeCell ref="F79:G90"/>
    <mergeCell ref="AM79:AN79"/>
    <mergeCell ref="J80:K80"/>
    <mergeCell ref="W80:AA81"/>
    <mergeCell ref="AB80:AK80"/>
    <mergeCell ref="AM80:AN80"/>
    <mergeCell ref="AB81:AK81"/>
    <mergeCell ref="AM81:AN81"/>
    <mergeCell ref="AM82:AN82"/>
    <mergeCell ref="J83:K83"/>
    <mergeCell ref="AM88:AN88"/>
    <mergeCell ref="J89:K89"/>
    <mergeCell ref="W89:AA90"/>
    <mergeCell ref="AB89:AK89"/>
    <mergeCell ref="AM89:AN89"/>
    <mergeCell ref="AB90:AK90"/>
    <mergeCell ref="AM90:AN90"/>
    <mergeCell ref="J86:K86"/>
    <mergeCell ref="M76:T77"/>
    <mergeCell ref="AM76:AN76"/>
    <mergeCell ref="I77:J77"/>
    <mergeCell ref="W77:AA78"/>
    <mergeCell ref="AB77:AK77"/>
    <mergeCell ref="AM77:AN77"/>
    <mergeCell ref="S78:T78"/>
    <mergeCell ref="AB78:AK78"/>
    <mergeCell ref="AM78:AN78"/>
    <mergeCell ref="H73:L74"/>
    <mergeCell ref="AM73:AN73"/>
    <mergeCell ref="U74:V74"/>
    <mergeCell ref="W74:AA75"/>
    <mergeCell ref="AB74:AK74"/>
    <mergeCell ref="AM74:AN74"/>
    <mergeCell ref="U75:V75"/>
    <mergeCell ref="AB75:AK75"/>
    <mergeCell ref="AM75:AN75"/>
    <mergeCell ref="M70:T71"/>
    <mergeCell ref="AM70:AN70"/>
    <mergeCell ref="I71:J71"/>
    <mergeCell ref="W71:AA72"/>
    <mergeCell ref="AB71:AK71"/>
    <mergeCell ref="AM71:AN71"/>
    <mergeCell ref="S72:T72"/>
    <mergeCell ref="AB72:AK72"/>
    <mergeCell ref="AM72:AN72"/>
    <mergeCell ref="S60:T60"/>
    <mergeCell ref="AB60:AK60"/>
    <mergeCell ref="AM60:AN60"/>
    <mergeCell ref="H67:L68"/>
    <mergeCell ref="AM67:AN67"/>
    <mergeCell ref="W68:AA69"/>
    <mergeCell ref="AB68:AK68"/>
    <mergeCell ref="AM68:AN68"/>
    <mergeCell ref="AB69:AK69"/>
    <mergeCell ref="AM69:AN69"/>
    <mergeCell ref="M64:T65"/>
    <mergeCell ref="AM64:AN64"/>
    <mergeCell ref="I65:J65"/>
    <mergeCell ref="W65:AA66"/>
    <mergeCell ref="AB65:AK65"/>
    <mergeCell ref="AM65:AN65"/>
    <mergeCell ref="S66:T66"/>
    <mergeCell ref="AB66:AK66"/>
    <mergeCell ref="AM66:AN66"/>
    <mergeCell ref="D55:E66"/>
    <mergeCell ref="F55:G66"/>
    <mergeCell ref="H55:L56"/>
    <mergeCell ref="U55:U73"/>
    <mergeCell ref="V55:V73"/>
    <mergeCell ref="AM55:AN55"/>
    <mergeCell ref="W56:AA57"/>
    <mergeCell ref="AB56:AK56"/>
    <mergeCell ref="AM56:AN56"/>
    <mergeCell ref="AB57:AK57"/>
    <mergeCell ref="H61:L62"/>
    <mergeCell ref="AM61:AN61"/>
    <mergeCell ref="W62:AA63"/>
    <mergeCell ref="AB62:AK62"/>
    <mergeCell ref="AM62:AN62"/>
    <mergeCell ref="AB63:AK63"/>
    <mergeCell ref="AM63:AN63"/>
    <mergeCell ref="AM57:AN57"/>
    <mergeCell ref="M58:T59"/>
    <mergeCell ref="AM58:AN58"/>
    <mergeCell ref="I59:J59"/>
    <mergeCell ref="W59:AA60"/>
    <mergeCell ref="AB59:AK59"/>
    <mergeCell ref="AM59:AN59"/>
    <mergeCell ref="M52:T53"/>
    <mergeCell ref="AM52:AN52"/>
    <mergeCell ref="I53:J53"/>
    <mergeCell ref="W53:AA54"/>
    <mergeCell ref="AB53:AK53"/>
    <mergeCell ref="AM53:AN53"/>
    <mergeCell ref="S54:T54"/>
    <mergeCell ref="AB54:AK54"/>
    <mergeCell ref="AM54:AN54"/>
    <mergeCell ref="H49:L50"/>
    <mergeCell ref="AM49:AN49"/>
    <mergeCell ref="U50:V50"/>
    <mergeCell ref="W50:AA51"/>
    <mergeCell ref="AB50:AK50"/>
    <mergeCell ref="AM50:AN50"/>
    <mergeCell ref="U51:V51"/>
    <mergeCell ref="AB51:AK51"/>
    <mergeCell ref="AM51:AN51"/>
    <mergeCell ref="M46:T47"/>
    <mergeCell ref="AM46:AN46"/>
    <mergeCell ref="I47:J47"/>
    <mergeCell ref="W47:AA48"/>
    <mergeCell ref="AB47:AK47"/>
    <mergeCell ref="AM47:AN47"/>
    <mergeCell ref="S48:T48"/>
    <mergeCell ref="AB48:AK48"/>
    <mergeCell ref="AM48:AN48"/>
    <mergeCell ref="AB36:AK36"/>
    <mergeCell ref="AM36:AN36"/>
    <mergeCell ref="H43:L44"/>
    <mergeCell ref="AM43:AN43"/>
    <mergeCell ref="W44:AA45"/>
    <mergeCell ref="AB44:AK44"/>
    <mergeCell ref="AM44:AN44"/>
    <mergeCell ref="AB45:AK45"/>
    <mergeCell ref="AM45:AN45"/>
    <mergeCell ref="M40:T41"/>
    <mergeCell ref="AM40:AN40"/>
    <mergeCell ref="I41:J41"/>
    <mergeCell ref="W41:AA42"/>
    <mergeCell ref="AB41:AK41"/>
    <mergeCell ref="AM41:AN41"/>
    <mergeCell ref="S42:T42"/>
    <mergeCell ref="AB42:AK42"/>
    <mergeCell ref="AM42:AN42"/>
    <mergeCell ref="F31:G42"/>
    <mergeCell ref="H31:L32"/>
    <mergeCell ref="U31:U49"/>
    <mergeCell ref="V31:V49"/>
    <mergeCell ref="AM31:AN31"/>
    <mergeCell ref="W32:AA33"/>
    <mergeCell ref="AB32:AK32"/>
    <mergeCell ref="AM32:AN32"/>
    <mergeCell ref="AB33:AK33"/>
    <mergeCell ref="AM33:AN33"/>
    <mergeCell ref="H37:L38"/>
    <mergeCell ref="AM37:AN37"/>
    <mergeCell ref="W38:AA39"/>
    <mergeCell ref="AB38:AK38"/>
    <mergeCell ref="AM38:AN38"/>
    <mergeCell ref="AB39:AK39"/>
    <mergeCell ref="AM39:AN39"/>
    <mergeCell ref="M34:T35"/>
    <mergeCell ref="AM34:AN34"/>
    <mergeCell ref="I35:J35"/>
    <mergeCell ref="W35:AA36"/>
    <mergeCell ref="AB35:AK35"/>
    <mergeCell ref="AM35:AN35"/>
    <mergeCell ref="S36:T36"/>
    <mergeCell ref="M28:T29"/>
    <mergeCell ref="AM28:AN28"/>
    <mergeCell ref="I29:J29"/>
    <mergeCell ref="W29:AA30"/>
    <mergeCell ref="AB29:AK29"/>
    <mergeCell ref="AM29:AN29"/>
    <mergeCell ref="S30:T30"/>
    <mergeCell ref="AB30:AK30"/>
    <mergeCell ref="AM30:AN30"/>
    <mergeCell ref="H25:L26"/>
    <mergeCell ref="AM25:AN25"/>
    <mergeCell ref="U26:V26"/>
    <mergeCell ref="W26:AA27"/>
    <mergeCell ref="AB26:AK26"/>
    <mergeCell ref="AM26:AN26"/>
    <mergeCell ref="U27:V27"/>
    <mergeCell ref="AB27:AK27"/>
    <mergeCell ref="AM27:AN27"/>
    <mergeCell ref="M22:T23"/>
    <mergeCell ref="AM22:AN22"/>
    <mergeCell ref="I23:J23"/>
    <mergeCell ref="W23:AA24"/>
    <mergeCell ref="AB23:AK23"/>
    <mergeCell ref="AM23:AN23"/>
    <mergeCell ref="S24:T24"/>
    <mergeCell ref="AB24:AK24"/>
    <mergeCell ref="AM24:AN24"/>
    <mergeCell ref="AB11:AK11"/>
    <mergeCell ref="AM11:AN11"/>
    <mergeCell ref="S12:T12"/>
    <mergeCell ref="AB12:AK12"/>
    <mergeCell ref="H19:L20"/>
    <mergeCell ref="AM19:AN19"/>
    <mergeCell ref="W20:AA21"/>
    <mergeCell ref="AB20:AK20"/>
    <mergeCell ref="AM20:AN20"/>
    <mergeCell ref="AB21:AK21"/>
    <mergeCell ref="AM21:AN21"/>
    <mergeCell ref="M16:T17"/>
    <mergeCell ref="AM16:AN16"/>
    <mergeCell ref="I17:J17"/>
    <mergeCell ref="W17:AA18"/>
    <mergeCell ref="AB17:AK17"/>
    <mergeCell ref="AM17:AN17"/>
    <mergeCell ref="S18:T18"/>
    <mergeCell ref="AB18:AK18"/>
    <mergeCell ref="AM18:AN18"/>
    <mergeCell ref="D5:AR5"/>
    <mergeCell ref="D7:E18"/>
    <mergeCell ref="F7:G18"/>
    <mergeCell ref="H7:L8"/>
    <mergeCell ref="U7:U25"/>
    <mergeCell ref="V7:V25"/>
    <mergeCell ref="AM7:AN7"/>
    <mergeCell ref="W8:AA9"/>
    <mergeCell ref="AB8:AK8"/>
    <mergeCell ref="AM8:AN8"/>
    <mergeCell ref="AM12:AN12"/>
    <mergeCell ref="H13:L14"/>
    <mergeCell ref="AM13:AN13"/>
    <mergeCell ref="W14:AA15"/>
    <mergeCell ref="AB14:AK14"/>
    <mergeCell ref="AM14:AN14"/>
    <mergeCell ref="AB15:AK15"/>
    <mergeCell ref="AM15:AN15"/>
    <mergeCell ref="AB9:AK9"/>
    <mergeCell ref="AM9:AN9"/>
    <mergeCell ref="M10:T11"/>
    <mergeCell ref="AM10:AN10"/>
    <mergeCell ref="I11:J11"/>
    <mergeCell ref="W11:AA12"/>
  </mergeCells>
  <phoneticPr fontId="1"/>
  <printOptions horizontalCentered="1"/>
  <pageMargins left="0.39370078740157483" right="0.39370078740157483" top="0.78740157480314965" bottom="0.59055118110236227" header="0.51181102362204722" footer="0.31496062992125984"/>
  <pageSetup paperSize="9" scale="60" fitToHeight="0" orientation="portrait" r:id="rId1"/>
  <headerFooter>
    <oddHeader>&amp;R&amp;9療養介護</oddHeader>
    <oddFooter>&amp;C&amp;14&amp;P</oddFooter>
  </headerFooter>
  <rowBreaks count="4" manualBreakCount="4">
    <brk id="54" max="45" man="1"/>
    <brk id="114" max="45" man="1"/>
    <brk id="186" max="45" man="1"/>
    <brk id="246" max="45"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4">
    <pageSetUpPr autoPageBreaks="0" fitToPage="1"/>
  </sheetPr>
  <dimension ref="A1:AJ105"/>
  <sheetViews>
    <sheetView view="pageBreakPreview" zoomScaleNormal="100" zoomScaleSheetLayoutView="100" workbookViewId="0"/>
  </sheetViews>
  <sheetFormatPr defaultColWidth="9" defaultRowHeight="13.5" x14ac:dyDescent="0.15"/>
  <cols>
    <col min="1" max="1" width="4.5" style="151" customWidth="1"/>
    <col min="2" max="2" width="7.5" style="151" customWidth="1"/>
    <col min="3" max="3" width="30.5" style="152" customWidth="1"/>
    <col min="4" max="5" width="2.5" style="151" customWidth="1"/>
    <col min="6" max="7" width="4.5" style="151" customWidth="1"/>
    <col min="8" max="10" width="2.5" style="152" customWidth="1"/>
    <col min="11" max="20" width="2.5" style="151" customWidth="1"/>
    <col min="21" max="24" width="2.5" style="533" customWidth="1"/>
    <col min="25" max="25" width="30.5" style="533" customWidth="1"/>
    <col min="26" max="29" width="2.5" style="533" customWidth="1"/>
    <col min="30" max="31" width="2.5" style="151" customWidth="1"/>
    <col min="32" max="34" width="2.5" style="152" customWidth="1"/>
    <col min="35" max="35" width="7.125" style="151" customWidth="1"/>
    <col min="36" max="36" width="8.5" style="151" customWidth="1"/>
    <col min="37" max="37" width="2.875" style="151" customWidth="1"/>
    <col min="38" max="16384" width="9" style="151"/>
  </cols>
  <sheetData>
    <row r="1" spans="1:36" ht="17.100000000000001" customHeight="1" x14ac:dyDescent="0.15">
      <c r="A1" s="376"/>
    </row>
    <row r="2" spans="1:36" ht="17.100000000000001" customHeight="1" x14ac:dyDescent="0.15">
      <c r="A2" s="376"/>
    </row>
    <row r="3" spans="1:36" ht="17.100000000000001" customHeight="1" x14ac:dyDescent="0.15">
      <c r="A3" s="376"/>
    </row>
    <row r="4" spans="1:36" ht="17.100000000000001" customHeight="1" x14ac:dyDescent="0.15">
      <c r="B4" s="376" t="s">
        <v>31415</v>
      </c>
    </row>
    <row r="5" spans="1:36" ht="17.100000000000001" customHeight="1" x14ac:dyDescent="0.15">
      <c r="A5" s="300" t="s">
        <v>15540</v>
      </c>
      <c r="B5" s="301"/>
      <c r="C5" s="302" t="s">
        <v>15541</v>
      </c>
      <c r="D5" s="846" t="s">
        <v>15618</v>
      </c>
      <c r="E5" s="939"/>
      <c r="F5" s="939"/>
      <c r="G5" s="939"/>
      <c r="H5" s="939"/>
      <c r="I5" s="939"/>
      <c r="J5" s="939"/>
      <c r="K5" s="939"/>
      <c r="L5" s="939"/>
      <c r="M5" s="939"/>
      <c r="N5" s="939"/>
      <c r="O5" s="939"/>
      <c r="P5" s="939"/>
      <c r="Q5" s="939"/>
      <c r="R5" s="939"/>
      <c r="S5" s="939"/>
      <c r="T5" s="939"/>
      <c r="U5" s="939"/>
      <c r="V5" s="939"/>
      <c r="W5" s="939"/>
      <c r="X5" s="939"/>
      <c r="Y5" s="939"/>
      <c r="Z5" s="939"/>
      <c r="AA5" s="939"/>
      <c r="AB5" s="939"/>
      <c r="AC5" s="939"/>
      <c r="AD5" s="939"/>
      <c r="AE5" s="939"/>
      <c r="AF5" s="939"/>
      <c r="AG5" s="939"/>
      <c r="AH5" s="939"/>
      <c r="AI5" s="306" t="s">
        <v>15543</v>
      </c>
      <c r="AJ5" s="306" t="s">
        <v>15544</v>
      </c>
    </row>
    <row r="6" spans="1:36" ht="17.100000000000001" customHeight="1" x14ac:dyDescent="0.15">
      <c r="A6" s="379" t="s">
        <v>15545</v>
      </c>
      <c r="B6" s="380" t="s">
        <v>15546</v>
      </c>
      <c r="C6" s="381"/>
      <c r="D6" s="382"/>
      <c r="E6" s="383"/>
      <c r="F6" s="383"/>
      <c r="G6" s="383"/>
      <c r="H6" s="383"/>
      <c r="I6" s="383"/>
      <c r="J6" s="383"/>
      <c r="K6" s="383"/>
      <c r="L6" s="383"/>
      <c r="M6" s="383"/>
      <c r="N6" s="383"/>
      <c r="O6" s="383"/>
      <c r="P6" s="383"/>
      <c r="Q6" s="383"/>
      <c r="R6" s="383"/>
      <c r="S6" s="383"/>
      <c r="T6" s="383"/>
      <c r="U6" s="449"/>
      <c r="V6" s="449"/>
      <c r="W6" s="449"/>
      <c r="X6" s="449"/>
      <c r="Y6" s="449"/>
      <c r="Z6" s="449"/>
      <c r="AA6" s="449"/>
      <c r="AB6" s="449"/>
      <c r="AC6" s="449"/>
      <c r="AD6" s="383"/>
      <c r="AE6" s="383"/>
      <c r="AF6" s="383"/>
      <c r="AG6" s="383"/>
      <c r="AH6" s="383"/>
      <c r="AI6" s="384" t="s">
        <v>391</v>
      </c>
      <c r="AJ6" s="384" t="s">
        <v>392</v>
      </c>
    </row>
    <row r="7" spans="1:36" ht="17.100000000000001" customHeight="1" x14ac:dyDescent="0.15">
      <c r="A7" s="321">
        <v>21</v>
      </c>
      <c r="B7" s="322" t="s">
        <v>31416</v>
      </c>
      <c r="C7" s="323" t="s">
        <v>31417</v>
      </c>
      <c r="D7" s="941" t="s">
        <v>30818</v>
      </c>
      <c r="E7" s="942"/>
      <c r="F7" s="943" t="s">
        <v>30819</v>
      </c>
      <c r="G7" s="944"/>
      <c r="H7" s="547" t="s">
        <v>30820</v>
      </c>
      <c r="I7" s="396"/>
      <c r="J7" s="396"/>
      <c r="K7" s="396"/>
      <c r="L7" s="396"/>
      <c r="M7" s="396"/>
      <c r="N7" s="396"/>
      <c r="O7" s="396"/>
      <c r="P7" s="396"/>
      <c r="Q7" s="976">
        <f>'5療養介護(基本)'!I10</f>
        <v>965</v>
      </c>
      <c r="R7" s="939"/>
      <c r="S7" s="396" t="s">
        <v>15624</v>
      </c>
      <c r="T7" s="397"/>
      <c r="U7" s="547"/>
      <c r="V7" s="151"/>
      <c r="W7" s="151"/>
      <c r="X7" s="151"/>
      <c r="Y7" s="151"/>
      <c r="Z7" s="151"/>
      <c r="AA7" s="151"/>
      <c r="AB7" s="151"/>
      <c r="AC7" s="861" t="s">
        <v>31418</v>
      </c>
      <c r="AD7" s="862"/>
      <c r="AE7" s="862"/>
      <c r="AF7" s="862"/>
      <c r="AG7" s="862"/>
      <c r="AH7" s="863"/>
      <c r="AI7" s="392">
        <f>ROUND(Q7*AG$11,0)</f>
        <v>676</v>
      </c>
      <c r="AJ7" s="339" t="s">
        <v>30681</v>
      </c>
    </row>
    <row r="8" spans="1:36" ht="17.100000000000001" customHeight="1" x14ac:dyDescent="0.15">
      <c r="A8" s="340">
        <v>21</v>
      </c>
      <c r="B8" s="341" t="s">
        <v>2508</v>
      </c>
      <c r="C8" s="342" t="s">
        <v>31419</v>
      </c>
      <c r="D8" s="943"/>
      <c r="E8" s="944"/>
      <c r="F8" s="943"/>
      <c r="G8" s="944"/>
      <c r="H8" s="627"/>
      <c r="I8" s="628"/>
      <c r="J8" s="628"/>
      <c r="K8" s="628"/>
      <c r="L8" s="628"/>
      <c r="M8" s="628"/>
      <c r="N8" s="628"/>
      <c r="O8" s="628"/>
      <c r="P8" s="628"/>
      <c r="Q8" s="628"/>
      <c r="R8" s="628"/>
      <c r="S8" s="628"/>
      <c r="T8" s="629"/>
      <c r="U8" s="552" t="s">
        <v>30827</v>
      </c>
      <c r="V8" s="553"/>
      <c r="W8" s="553"/>
      <c r="X8" s="553"/>
      <c r="Y8" s="553"/>
      <c r="Z8" s="427" t="s">
        <v>15626</v>
      </c>
      <c r="AA8" s="977">
        <v>0.96499999999999997</v>
      </c>
      <c r="AB8" s="978"/>
      <c r="AC8" s="864"/>
      <c r="AD8" s="865"/>
      <c r="AE8" s="865"/>
      <c r="AF8" s="865"/>
      <c r="AG8" s="865"/>
      <c r="AH8" s="866"/>
      <c r="AI8" s="392">
        <f>ROUND(ROUND(Q7*AA8,0)*AG$11,0)</f>
        <v>652</v>
      </c>
      <c r="AJ8" s="339"/>
    </row>
    <row r="9" spans="1:36" ht="17.100000000000001" customHeight="1" x14ac:dyDescent="0.15">
      <c r="A9" s="340">
        <v>21</v>
      </c>
      <c r="B9" s="341" t="s">
        <v>25862</v>
      </c>
      <c r="C9" s="342" t="s">
        <v>31420</v>
      </c>
      <c r="D9" s="943"/>
      <c r="E9" s="944"/>
      <c r="F9" s="974"/>
      <c r="G9" s="975"/>
      <c r="H9" s="547" t="s">
        <v>30831</v>
      </c>
      <c r="I9" s="396"/>
      <c r="J9" s="396"/>
      <c r="K9" s="396"/>
      <c r="L9" s="396"/>
      <c r="M9" s="396"/>
      <c r="N9" s="396"/>
      <c r="O9" s="396"/>
      <c r="P9" s="396"/>
      <c r="Q9" s="976">
        <f>'5療養介護(基本)'!I16</f>
        <v>939</v>
      </c>
      <c r="R9" s="939"/>
      <c r="S9" s="396" t="s">
        <v>15624</v>
      </c>
      <c r="T9" s="397"/>
      <c r="U9" s="547"/>
      <c r="V9" s="400"/>
      <c r="W9" s="400"/>
      <c r="X9" s="400"/>
      <c r="Y9" s="400"/>
      <c r="Z9" s="400"/>
      <c r="AA9" s="400"/>
      <c r="AB9" s="400"/>
      <c r="AC9" s="864"/>
      <c r="AD9" s="865"/>
      <c r="AE9" s="865"/>
      <c r="AF9" s="865"/>
      <c r="AG9" s="865"/>
      <c r="AH9" s="866"/>
      <c r="AI9" s="392">
        <f>ROUND(Q9*AG$11,0)</f>
        <v>657</v>
      </c>
      <c r="AJ9" s="339"/>
    </row>
    <row r="10" spans="1:36" ht="17.100000000000001" customHeight="1" x14ac:dyDescent="0.15">
      <c r="A10" s="340">
        <v>21</v>
      </c>
      <c r="B10" s="341" t="s">
        <v>25868</v>
      </c>
      <c r="C10" s="342" t="s">
        <v>31421</v>
      </c>
      <c r="D10" s="943"/>
      <c r="E10" s="944"/>
      <c r="F10" s="974"/>
      <c r="G10" s="975"/>
      <c r="H10" s="627"/>
      <c r="I10" s="628"/>
      <c r="J10" s="628"/>
      <c r="K10" s="628"/>
      <c r="L10" s="628"/>
      <c r="M10" s="628"/>
      <c r="N10" s="628"/>
      <c r="O10" s="628"/>
      <c r="P10" s="628"/>
      <c r="Q10" s="628"/>
      <c r="R10" s="628"/>
      <c r="S10" s="628"/>
      <c r="T10" s="629"/>
      <c r="U10" s="552" t="s">
        <v>30827</v>
      </c>
      <c r="V10" s="553"/>
      <c r="W10" s="553"/>
      <c r="X10" s="553"/>
      <c r="Y10" s="553"/>
      <c r="Z10" s="427" t="s">
        <v>15626</v>
      </c>
      <c r="AA10" s="977">
        <f>$AA$8</f>
        <v>0.96499999999999997</v>
      </c>
      <c r="AB10" s="978"/>
      <c r="AC10" s="864"/>
      <c r="AD10" s="865"/>
      <c r="AE10" s="865"/>
      <c r="AF10" s="865"/>
      <c r="AG10" s="865"/>
      <c r="AH10" s="866"/>
      <c r="AI10" s="392">
        <f>ROUND(ROUND(Q9*AA10,0)*AG$11,0)</f>
        <v>634</v>
      </c>
      <c r="AJ10" s="339"/>
    </row>
    <row r="11" spans="1:36" ht="17.100000000000001" customHeight="1" x14ac:dyDescent="0.15">
      <c r="A11" s="340">
        <v>21</v>
      </c>
      <c r="B11" s="341" t="s">
        <v>25882</v>
      </c>
      <c r="C11" s="342" t="s">
        <v>31422</v>
      </c>
      <c r="D11" s="943"/>
      <c r="E11" s="944"/>
      <c r="F11" s="974"/>
      <c r="G11" s="975"/>
      <c r="H11" s="547" t="s">
        <v>30838</v>
      </c>
      <c r="I11" s="396"/>
      <c r="J11" s="396"/>
      <c r="K11" s="396"/>
      <c r="L11" s="396"/>
      <c r="M11" s="396"/>
      <c r="N11" s="396"/>
      <c r="O11" s="396"/>
      <c r="P11" s="396"/>
      <c r="Q11" s="976">
        <f>'5療養介護(基本)'!I22</f>
        <v>891</v>
      </c>
      <c r="R11" s="939"/>
      <c r="S11" s="396" t="s">
        <v>15624</v>
      </c>
      <c r="T11" s="397"/>
      <c r="U11" s="547"/>
      <c r="V11" s="400"/>
      <c r="W11" s="400"/>
      <c r="X11" s="400"/>
      <c r="Y11" s="400"/>
      <c r="Z11" s="400"/>
      <c r="AA11" s="400"/>
      <c r="AB11" s="400"/>
      <c r="AC11" s="423"/>
      <c r="AD11" s="424"/>
      <c r="AE11" s="424"/>
      <c r="AF11" s="630" t="s">
        <v>15636</v>
      </c>
      <c r="AG11" s="928">
        <v>0.7</v>
      </c>
      <c r="AH11" s="979"/>
      <c r="AI11" s="392">
        <f>ROUND(Q11*AG$11,0)</f>
        <v>624</v>
      </c>
      <c r="AJ11" s="339"/>
    </row>
    <row r="12" spans="1:36" ht="17.100000000000001" customHeight="1" x14ac:dyDescent="0.15">
      <c r="A12" s="340">
        <v>21</v>
      </c>
      <c r="B12" s="341" t="s">
        <v>25888</v>
      </c>
      <c r="C12" s="342" t="s">
        <v>31423</v>
      </c>
      <c r="D12" s="943"/>
      <c r="E12" s="944"/>
      <c r="F12" s="974"/>
      <c r="G12" s="975"/>
      <c r="H12" s="627"/>
      <c r="I12" s="628"/>
      <c r="J12" s="628"/>
      <c r="K12" s="628"/>
      <c r="L12" s="628"/>
      <c r="M12" s="628"/>
      <c r="N12" s="628"/>
      <c r="O12" s="628"/>
      <c r="P12" s="628"/>
      <c r="Q12" s="628"/>
      <c r="R12" s="628"/>
      <c r="S12" s="628"/>
      <c r="T12" s="629"/>
      <c r="U12" s="552" t="s">
        <v>30827</v>
      </c>
      <c r="V12" s="553"/>
      <c r="W12" s="553"/>
      <c r="X12" s="553"/>
      <c r="Y12" s="553"/>
      <c r="Z12" s="427" t="s">
        <v>15626</v>
      </c>
      <c r="AA12" s="977">
        <f>$AA$8</f>
        <v>0.96499999999999997</v>
      </c>
      <c r="AB12" s="978"/>
      <c r="AC12" s="423"/>
      <c r="AD12" s="424"/>
      <c r="AE12" s="424"/>
      <c r="AF12" s="424"/>
      <c r="AG12" s="424"/>
      <c r="AH12" s="425"/>
      <c r="AI12" s="392">
        <f>ROUND(ROUND(Q11*AA12,0)*AG$11,0)</f>
        <v>602</v>
      </c>
      <c r="AJ12" s="339"/>
    </row>
    <row r="13" spans="1:36" ht="17.100000000000001" customHeight="1" x14ac:dyDescent="0.15">
      <c r="A13" s="340">
        <v>21</v>
      </c>
      <c r="B13" s="341" t="s">
        <v>25906</v>
      </c>
      <c r="C13" s="342" t="s">
        <v>31424</v>
      </c>
      <c r="D13" s="943"/>
      <c r="E13" s="944"/>
      <c r="F13" s="974"/>
      <c r="G13" s="975"/>
      <c r="H13" s="547" t="s">
        <v>30845</v>
      </c>
      <c r="I13" s="396"/>
      <c r="J13" s="396"/>
      <c r="K13" s="396"/>
      <c r="L13" s="396"/>
      <c r="M13" s="396"/>
      <c r="N13" s="396"/>
      <c r="O13" s="396"/>
      <c r="P13" s="396"/>
      <c r="Q13" s="976">
        <f>'5療養介護(基本)'!I28</f>
        <v>853</v>
      </c>
      <c r="R13" s="939"/>
      <c r="S13" s="396" t="s">
        <v>15624</v>
      </c>
      <c r="T13" s="397"/>
      <c r="U13" s="547"/>
      <c r="V13" s="400"/>
      <c r="W13" s="400"/>
      <c r="X13" s="400"/>
      <c r="Y13" s="400"/>
      <c r="Z13" s="400"/>
      <c r="AA13" s="400"/>
      <c r="AB13" s="400"/>
      <c r="AC13" s="423"/>
      <c r="AD13" s="424"/>
      <c r="AE13" s="424"/>
      <c r="AF13" s="424"/>
      <c r="AG13" s="424"/>
      <c r="AH13" s="425"/>
      <c r="AI13" s="392">
        <f>ROUND(Q13*AG$11,0)</f>
        <v>597</v>
      </c>
      <c r="AJ13" s="359"/>
    </row>
    <row r="14" spans="1:36" ht="17.100000000000001" customHeight="1" x14ac:dyDescent="0.15">
      <c r="A14" s="340">
        <v>21</v>
      </c>
      <c r="B14" s="341" t="s">
        <v>25912</v>
      </c>
      <c r="C14" s="342" t="s">
        <v>31425</v>
      </c>
      <c r="D14" s="943"/>
      <c r="E14" s="944"/>
      <c r="F14" s="974"/>
      <c r="G14" s="975"/>
      <c r="H14" s="627"/>
      <c r="I14" s="628"/>
      <c r="J14" s="628"/>
      <c r="K14" s="628"/>
      <c r="L14" s="628"/>
      <c r="M14" s="628"/>
      <c r="N14" s="628"/>
      <c r="O14" s="628"/>
      <c r="P14" s="628"/>
      <c r="Q14" s="628"/>
      <c r="R14" s="628"/>
      <c r="S14" s="628"/>
      <c r="T14" s="629"/>
      <c r="U14" s="552" t="s">
        <v>30827</v>
      </c>
      <c r="V14" s="553"/>
      <c r="W14" s="553"/>
      <c r="X14" s="553"/>
      <c r="Y14" s="553"/>
      <c r="Z14" s="427" t="s">
        <v>15626</v>
      </c>
      <c r="AA14" s="977">
        <f>$AA$8</f>
        <v>0.96499999999999997</v>
      </c>
      <c r="AB14" s="978"/>
      <c r="AC14" s="423"/>
      <c r="AD14" s="424"/>
      <c r="AE14" s="424"/>
      <c r="AF14" s="424"/>
      <c r="AG14" s="424"/>
      <c r="AH14" s="425"/>
      <c r="AI14" s="392">
        <f>ROUND(ROUND(Q13*AA14,0)*AG$11,0)</f>
        <v>576</v>
      </c>
      <c r="AJ14" s="359"/>
    </row>
    <row r="15" spans="1:36" ht="17.100000000000001" customHeight="1" x14ac:dyDescent="0.15">
      <c r="A15" s="340">
        <v>21</v>
      </c>
      <c r="B15" s="341" t="s">
        <v>25926</v>
      </c>
      <c r="C15" s="323" t="s">
        <v>31426</v>
      </c>
      <c r="D15" s="943"/>
      <c r="E15" s="944"/>
      <c r="F15" s="941" t="s">
        <v>30852</v>
      </c>
      <c r="G15" s="968"/>
      <c r="H15" s="547" t="s">
        <v>30820</v>
      </c>
      <c r="I15" s="396"/>
      <c r="J15" s="396"/>
      <c r="K15" s="396"/>
      <c r="L15" s="396"/>
      <c r="M15" s="396"/>
      <c r="N15" s="396"/>
      <c r="O15" s="396"/>
      <c r="P15" s="396"/>
      <c r="Q15" s="976">
        <f>'5療養介護(基本)'!I34</f>
        <v>703</v>
      </c>
      <c r="R15" s="939"/>
      <c r="S15" s="396" t="s">
        <v>15624</v>
      </c>
      <c r="T15" s="397"/>
      <c r="U15" s="547"/>
      <c r="V15" s="400"/>
      <c r="W15" s="400"/>
      <c r="X15" s="400"/>
      <c r="Y15" s="400"/>
      <c r="Z15" s="400"/>
      <c r="AA15" s="400"/>
      <c r="AB15" s="400"/>
      <c r="AC15" s="423"/>
      <c r="AD15" s="424"/>
      <c r="AE15" s="424"/>
      <c r="AF15" s="424"/>
      <c r="AG15" s="424"/>
      <c r="AH15" s="425"/>
      <c r="AI15" s="392">
        <f>ROUND(Q15*AG$11,0)</f>
        <v>492</v>
      </c>
      <c r="AJ15" s="339"/>
    </row>
    <row r="16" spans="1:36" ht="17.100000000000001" customHeight="1" x14ac:dyDescent="0.15">
      <c r="A16" s="340">
        <v>21</v>
      </c>
      <c r="B16" s="341" t="s">
        <v>25932</v>
      </c>
      <c r="C16" s="342" t="s">
        <v>31427</v>
      </c>
      <c r="D16" s="943"/>
      <c r="E16" s="944"/>
      <c r="F16" s="943"/>
      <c r="G16" s="969"/>
      <c r="H16" s="627"/>
      <c r="I16" s="628"/>
      <c r="J16" s="628"/>
      <c r="K16" s="628"/>
      <c r="L16" s="628"/>
      <c r="M16" s="628"/>
      <c r="N16" s="628"/>
      <c r="O16" s="628"/>
      <c r="P16" s="628"/>
      <c r="Q16" s="628"/>
      <c r="R16" s="628"/>
      <c r="S16" s="628"/>
      <c r="T16" s="629"/>
      <c r="U16" s="552" t="s">
        <v>30827</v>
      </c>
      <c r="V16" s="553"/>
      <c r="W16" s="553"/>
      <c r="X16" s="553"/>
      <c r="Y16" s="553"/>
      <c r="Z16" s="427" t="s">
        <v>15626</v>
      </c>
      <c r="AA16" s="977">
        <f>$AA$8</f>
        <v>0.96499999999999997</v>
      </c>
      <c r="AB16" s="978"/>
      <c r="AC16" s="631"/>
      <c r="AD16" s="71"/>
      <c r="AE16" s="71"/>
      <c r="AF16" s="424"/>
      <c r="AG16" s="424"/>
      <c r="AH16" s="425"/>
      <c r="AI16" s="392">
        <f>ROUND(ROUND(Q15*AA16,0)*AG$11,0)</f>
        <v>475</v>
      </c>
      <c r="AJ16" s="359"/>
    </row>
    <row r="17" spans="1:36" ht="17.100000000000001" customHeight="1" x14ac:dyDescent="0.15">
      <c r="A17" s="340">
        <v>21</v>
      </c>
      <c r="B17" s="341" t="s">
        <v>2540</v>
      </c>
      <c r="C17" s="342" t="s">
        <v>31428</v>
      </c>
      <c r="D17" s="423"/>
      <c r="E17" s="424"/>
      <c r="F17" s="974"/>
      <c r="G17" s="975"/>
      <c r="H17" s="547" t="s">
        <v>30831</v>
      </c>
      <c r="I17" s="396"/>
      <c r="J17" s="396"/>
      <c r="K17" s="396"/>
      <c r="L17" s="396"/>
      <c r="M17" s="396"/>
      <c r="N17" s="396"/>
      <c r="O17" s="396"/>
      <c r="P17" s="396"/>
      <c r="Q17" s="976">
        <f>'5療養介護(基本)'!I40</f>
        <v>667</v>
      </c>
      <c r="R17" s="939"/>
      <c r="S17" s="396" t="s">
        <v>15624</v>
      </c>
      <c r="T17" s="397"/>
      <c r="U17" s="547"/>
      <c r="V17" s="400"/>
      <c r="W17" s="400"/>
      <c r="X17" s="400"/>
      <c r="Y17" s="400"/>
      <c r="Z17" s="400"/>
      <c r="AA17" s="400"/>
      <c r="AB17" s="400"/>
      <c r="AC17" s="494"/>
      <c r="AD17" s="632"/>
      <c r="AE17" s="632"/>
      <c r="AF17" s="424"/>
      <c r="AG17" s="424"/>
      <c r="AH17" s="425"/>
      <c r="AI17" s="392">
        <f>ROUND(Q17*AG$11,0)</f>
        <v>467</v>
      </c>
      <c r="AJ17" s="359"/>
    </row>
    <row r="18" spans="1:36" ht="17.100000000000001" customHeight="1" x14ac:dyDescent="0.15">
      <c r="A18" s="340">
        <v>21</v>
      </c>
      <c r="B18" s="341" t="s">
        <v>2546</v>
      </c>
      <c r="C18" s="342" t="s">
        <v>31429</v>
      </c>
      <c r="D18" s="423"/>
      <c r="E18" s="424"/>
      <c r="F18" s="974"/>
      <c r="G18" s="975"/>
      <c r="H18" s="627"/>
      <c r="I18" s="628"/>
      <c r="J18" s="628"/>
      <c r="K18" s="628"/>
      <c r="L18" s="628"/>
      <c r="M18" s="628"/>
      <c r="N18" s="628"/>
      <c r="O18" s="628"/>
      <c r="P18" s="628"/>
      <c r="Q18" s="628"/>
      <c r="R18" s="628"/>
      <c r="S18" s="628"/>
      <c r="T18" s="629"/>
      <c r="U18" s="552" t="s">
        <v>30827</v>
      </c>
      <c r="V18" s="553"/>
      <c r="W18" s="553"/>
      <c r="X18" s="553"/>
      <c r="Y18" s="553"/>
      <c r="Z18" s="427" t="s">
        <v>15626</v>
      </c>
      <c r="AA18" s="977">
        <f>$AA$8</f>
        <v>0.96499999999999997</v>
      </c>
      <c r="AB18" s="978"/>
      <c r="AC18" s="633"/>
      <c r="AF18" s="424"/>
      <c r="AG18" s="424"/>
      <c r="AH18" s="425"/>
      <c r="AI18" s="392">
        <f>ROUND(ROUND(Q17*AA18,0)*AG$11,0)</f>
        <v>451</v>
      </c>
      <c r="AJ18" s="359"/>
    </row>
    <row r="19" spans="1:36" ht="17.100000000000001" customHeight="1" x14ac:dyDescent="0.15">
      <c r="A19" s="340">
        <v>21</v>
      </c>
      <c r="B19" s="341" t="s">
        <v>25970</v>
      </c>
      <c r="C19" s="342" t="s">
        <v>31430</v>
      </c>
      <c r="D19" s="423"/>
      <c r="E19" s="424"/>
      <c r="F19" s="974"/>
      <c r="G19" s="975"/>
      <c r="H19" s="547" t="s">
        <v>30838</v>
      </c>
      <c r="I19" s="396"/>
      <c r="J19" s="396"/>
      <c r="K19" s="396"/>
      <c r="L19" s="396"/>
      <c r="M19" s="396"/>
      <c r="N19" s="396"/>
      <c r="O19" s="396"/>
      <c r="P19" s="396"/>
      <c r="Q19" s="976">
        <f>'5療養介護(基本)'!I46</f>
        <v>619</v>
      </c>
      <c r="R19" s="939"/>
      <c r="S19" s="396" t="s">
        <v>15624</v>
      </c>
      <c r="T19" s="397"/>
      <c r="U19" s="547"/>
      <c r="V19" s="400"/>
      <c r="W19" s="400"/>
      <c r="X19" s="400"/>
      <c r="Y19" s="400"/>
      <c r="Z19" s="400"/>
      <c r="AA19" s="400"/>
      <c r="AB19" s="400"/>
      <c r="AC19" s="494"/>
      <c r="AD19" s="632"/>
      <c r="AE19" s="632"/>
      <c r="AF19" s="424"/>
      <c r="AG19" s="424"/>
      <c r="AH19" s="425"/>
      <c r="AI19" s="392">
        <f>ROUND(Q19*AG$11,0)</f>
        <v>433</v>
      </c>
      <c r="AJ19" s="359"/>
    </row>
    <row r="20" spans="1:36" ht="17.100000000000001" customHeight="1" x14ac:dyDescent="0.15">
      <c r="A20" s="340">
        <v>21</v>
      </c>
      <c r="B20" s="341" t="s">
        <v>25976</v>
      </c>
      <c r="C20" s="342" t="s">
        <v>31431</v>
      </c>
      <c r="D20" s="423"/>
      <c r="E20" s="424"/>
      <c r="F20" s="974"/>
      <c r="G20" s="975"/>
      <c r="H20" s="627"/>
      <c r="I20" s="628"/>
      <c r="J20" s="628"/>
      <c r="K20" s="628"/>
      <c r="L20" s="628"/>
      <c r="M20" s="628"/>
      <c r="N20" s="628"/>
      <c r="O20" s="628"/>
      <c r="P20" s="628"/>
      <c r="Q20" s="628"/>
      <c r="R20" s="628"/>
      <c r="S20" s="628"/>
      <c r="T20" s="629"/>
      <c r="U20" s="552" t="s">
        <v>30827</v>
      </c>
      <c r="V20" s="553"/>
      <c r="W20" s="553"/>
      <c r="X20" s="553"/>
      <c r="Y20" s="553"/>
      <c r="Z20" s="427" t="s">
        <v>15626</v>
      </c>
      <c r="AA20" s="977">
        <f>$AA$8</f>
        <v>0.96499999999999997</v>
      </c>
      <c r="AB20" s="978"/>
      <c r="AC20" s="633"/>
      <c r="AD20" s="632"/>
      <c r="AE20" s="632"/>
      <c r="AF20" s="424"/>
      <c r="AG20" s="424"/>
      <c r="AH20" s="425"/>
      <c r="AI20" s="392">
        <f>ROUND(ROUND(Q19*AA20,0)*AG$11,0)</f>
        <v>418</v>
      </c>
      <c r="AJ20" s="359"/>
    </row>
    <row r="21" spans="1:36" ht="17.100000000000001" customHeight="1" x14ac:dyDescent="0.15">
      <c r="A21" s="340">
        <v>21</v>
      </c>
      <c r="B21" s="341" t="s">
        <v>25990</v>
      </c>
      <c r="C21" s="342" t="s">
        <v>31432</v>
      </c>
      <c r="D21" s="423"/>
      <c r="E21" s="424"/>
      <c r="F21" s="974"/>
      <c r="G21" s="975"/>
      <c r="H21" s="547" t="s">
        <v>30845</v>
      </c>
      <c r="I21" s="396"/>
      <c r="J21" s="396"/>
      <c r="K21" s="396"/>
      <c r="L21" s="396"/>
      <c r="M21" s="396"/>
      <c r="N21" s="396"/>
      <c r="O21" s="396"/>
      <c r="P21" s="396"/>
      <c r="Q21" s="976">
        <f>'5療養介護(基本)'!I52</f>
        <v>589</v>
      </c>
      <c r="R21" s="939"/>
      <c r="S21" s="396" t="s">
        <v>15624</v>
      </c>
      <c r="T21" s="397"/>
      <c r="U21" s="547"/>
      <c r="V21" s="400"/>
      <c r="W21" s="400"/>
      <c r="X21" s="400"/>
      <c r="Y21" s="400"/>
      <c r="Z21" s="400"/>
      <c r="AA21" s="400"/>
      <c r="AB21" s="400"/>
      <c r="AC21" s="494"/>
      <c r="AD21" s="614"/>
      <c r="AE21" s="614"/>
      <c r="AF21" s="424"/>
      <c r="AG21" s="424"/>
      <c r="AH21" s="425"/>
      <c r="AI21" s="392">
        <f>ROUND(Q21*AG$11,0)</f>
        <v>412</v>
      </c>
      <c r="AJ21" s="359"/>
    </row>
    <row r="22" spans="1:36" ht="17.100000000000001" customHeight="1" x14ac:dyDescent="0.15">
      <c r="A22" s="340">
        <v>21</v>
      </c>
      <c r="B22" s="341" t="s">
        <v>25996</v>
      </c>
      <c r="C22" s="342" t="s">
        <v>31433</v>
      </c>
      <c r="D22" s="423"/>
      <c r="E22" s="424"/>
      <c r="F22" s="974"/>
      <c r="G22" s="975"/>
      <c r="H22" s="627"/>
      <c r="I22" s="628"/>
      <c r="J22" s="628"/>
      <c r="K22" s="628"/>
      <c r="L22" s="628"/>
      <c r="M22" s="628"/>
      <c r="N22" s="628"/>
      <c r="O22" s="628"/>
      <c r="P22" s="628"/>
      <c r="Q22" s="628"/>
      <c r="R22" s="628"/>
      <c r="S22" s="628"/>
      <c r="T22" s="629"/>
      <c r="U22" s="552" t="s">
        <v>30827</v>
      </c>
      <c r="V22" s="553"/>
      <c r="W22" s="553"/>
      <c r="X22" s="553"/>
      <c r="Y22" s="553"/>
      <c r="Z22" s="427" t="s">
        <v>15626</v>
      </c>
      <c r="AA22" s="977">
        <f>$AA$8</f>
        <v>0.96499999999999997</v>
      </c>
      <c r="AB22" s="978"/>
      <c r="AC22" s="633"/>
      <c r="AF22" s="424"/>
      <c r="AG22" s="424"/>
      <c r="AH22" s="425"/>
      <c r="AI22" s="392">
        <f>ROUND(ROUND(Q21*AA22,0)*AG$11,0)</f>
        <v>398</v>
      </c>
      <c r="AJ22" s="359"/>
    </row>
    <row r="23" spans="1:36" ht="17.100000000000001" customHeight="1" x14ac:dyDescent="0.15">
      <c r="A23" s="321">
        <v>21</v>
      </c>
      <c r="B23" s="341" t="s">
        <v>26014</v>
      </c>
      <c r="C23" s="386" t="s">
        <v>31434</v>
      </c>
      <c r="D23" s="423"/>
      <c r="E23" s="425"/>
      <c r="F23" s="941" t="s">
        <v>30877</v>
      </c>
      <c r="G23" s="968"/>
      <c r="H23" s="547" t="s">
        <v>30820</v>
      </c>
      <c r="I23" s="396"/>
      <c r="J23" s="396"/>
      <c r="K23" s="396"/>
      <c r="L23" s="396"/>
      <c r="M23" s="396"/>
      <c r="N23" s="396"/>
      <c r="O23" s="396"/>
      <c r="P23" s="396"/>
      <c r="Q23" s="976">
        <f>'5療養介護(基本)'!I58</f>
        <v>556</v>
      </c>
      <c r="R23" s="939"/>
      <c r="S23" s="396" t="s">
        <v>15624</v>
      </c>
      <c r="T23" s="397"/>
      <c r="U23" s="547"/>
      <c r="V23" s="400"/>
      <c r="W23" s="400"/>
      <c r="X23" s="400"/>
      <c r="Y23" s="400"/>
      <c r="Z23" s="400"/>
      <c r="AA23" s="400"/>
      <c r="AB23" s="400"/>
      <c r="AC23" s="494"/>
      <c r="AD23" s="632"/>
      <c r="AE23" s="632"/>
      <c r="AF23" s="424"/>
      <c r="AG23" s="424"/>
      <c r="AH23" s="425"/>
      <c r="AI23" s="392">
        <f>ROUND(Q23*AG$11,0)</f>
        <v>389</v>
      </c>
      <c r="AJ23" s="339"/>
    </row>
    <row r="24" spans="1:36" ht="17.100000000000001" customHeight="1" x14ac:dyDescent="0.15">
      <c r="A24" s="340">
        <v>21</v>
      </c>
      <c r="B24" s="341" t="s">
        <v>26020</v>
      </c>
      <c r="C24" s="390" t="s">
        <v>31435</v>
      </c>
      <c r="D24" s="423"/>
      <c r="E24" s="425"/>
      <c r="F24" s="943"/>
      <c r="G24" s="969"/>
      <c r="H24" s="627"/>
      <c r="I24" s="628"/>
      <c r="J24" s="628"/>
      <c r="K24" s="628"/>
      <c r="L24" s="628"/>
      <c r="M24" s="628"/>
      <c r="N24" s="628"/>
      <c r="O24" s="628"/>
      <c r="P24" s="628"/>
      <c r="Q24" s="628"/>
      <c r="R24" s="628"/>
      <c r="S24" s="628"/>
      <c r="T24" s="629"/>
      <c r="U24" s="552" t="s">
        <v>30827</v>
      </c>
      <c r="V24" s="553"/>
      <c r="W24" s="553"/>
      <c r="X24" s="553"/>
      <c r="Y24" s="553"/>
      <c r="Z24" s="427" t="s">
        <v>15626</v>
      </c>
      <c r="AA24" s="977">
        <f>$AA$8</f>
        <v>0.96499999999999997</v>
      </c>
      <c r="AB24" s="978"/>
      <c r="AC24" s="633"/>
      <c r="AD24" s="632"/>
      <c r="AE24" s="632"/>
      <c r="AF24" s="424"/>
      <c r="AG24" s="424"/>
      <c r="AH24" s="425"/>
      <c r="AI24" s="392">
        <f>ROUND(ROUND(Q23*AA24,0)*AG$11,0)</f>
        <v>376</v>
      </c>
      <c r="AJ24" s="359"/>
    </row>
    <row r="25" spans="1:36" ht="17.100000000000001" customHeight="1" x14ac:dyDescent="0.15">
      <c r="A25" s="340">
        <v>21</v>
      </c>
      <c r="B25" s="341" t="s">
        <v>26034</v>
      </c>
      <c r="C25" s="390" t="s">
        <v>31436</v>
      </c>
      <c r="D25" s="423"/>
      <c r="E25" s="425"/>
      <c r="F25" s="974"/>
      <c r="G25" s="975"/>
      <c r="H25" s="547" t="s">
        <v>30831</v>
      </c>
      <c r="I25" s="396"/>
      <c r="J25" s="396"/>
      <c r="K25" s="396"/>
      <c r="L25" s="396"/>
      <c r="M25" s="396"/>
      <c r="N25" s="396"/>
      <c r="O25" s="396"/>
      <c r="P25" s="396"/>
      <c r="Q25" s="976">
        <f>'5療養介護(基本)'!I64</f>
        <v>527</v>
      </c>
      <c r="R25" s="939"/>
      <c r="S25" s="396" t="s">
        <v>15624</v>
      </c>
      <c r="T25" s="397"/>
      <c r="U25" s="547"/>
      <c r="V25" s="400"/>
      <c r="W25" s="400"/>
      <c r="X25" s="400"/>
      <c r="Y25" s="400"/>
      <c r="Z25" s="400"/>
      <c r="AA25" s="400"/>
      <c r="AB25" s="400"/>
      <c r="AC25" s="494"/>
      <c r="AD25" s="632"/>
      <c r="AE25" s="632"/>
      <c r="AF25" s="424"/>
      <c r="AG25" s="424"/>
      <c r="AH25" s="425"/>
      <c r="AI25" s="392">
        <f>ROUND(Q25*AG$11,0)</f>
        <v>369</v>
      </c>
      <c r="AJ25" s="359"/>
    </row>
    <row r="26" spans="1:36" ht="17.100000000000001" customHeight="1" x14ac:dyDescent="0.15">
      <c r="A26" s="340">
        <v>21</v>
      </c>
      <c r="B26" s="341" t="s">
        <v>26040</v>
      </c>
      <c r="C26" s="390" t="s">
        <v>31437</v>
      </c>
      <c r="D26" s="423"/>
      <c r="E26" s="425"/>
      <c r="F26" s="974"/>
      <c r="G26" s="975"/>
      <c r="H26" s="627"/>
      <c r="I26" s="628"/>
      <c r="J26" s="628"/>
      <c r="K26" s="628"/>
      <c r="L26" s="628"/>
      <c r="M26" s="628"/>
      <c r="N26" s="628"/>
      <c r="O26" s="628"/>
      <c r="P26" s="628"/>
      <c r="Q26" s="628"/>
      <c r="R26" s="628"/>
      <c r="S26" s="628"/>
      <c r="T26" s="629"/>
      <c r="U26" s="552" t="s">
        <v>30827</v>
      </c>
      <c r="V26" s="553"/>
      <c r="W26" s="553"/>
      <c r="X26" s="553"/>
      <c r="Y26" s="553"/>
      <c r="Z26" s="427" t="s">
        <v>15626</v>
      </c>
      <c r="AA26" s="977">
        <f>$AA$8</f>
        <v>0.96499999999999997</v>
      </c>
      <c r="AB26" s="978"/>
      <c r="AC26" s="633"/>
      <c r="AD26" s="632"/>
      <c r="AE26" s="632"/>
      <c r="AF26" s="424"/>
      <c r="AG26" s="424"/>
      <c r="AH26" s="425"/>
      <c r="AI26" s="392">
        <f>ROUND(ROUND(Q25*AA26,0)*AG$11,0)</f>
        <v>356</v>
      </c>
      <c r="AJ26" s="359"/>
    </row>
    <row r="27" spans="1:36" ht="17.100000000000001" customHeight="1" x14ac:dyDescent="0.15">
      <c r="A27" s="340">
        <v>21</v>
      </c>
      <c r="B27" s="341" t="s">
        <v>2576</v>
      </c>
      <c r="C27" s="390" t="s">
        <v>31438</v>
      </c>
      <c r="D27" s="423"/>
      <c r="E27" s="425"/>
      <c r="F27" s="974"/>
      <c r="G27" s="975"/>
      <c r="H27" s="547" t="s">
        <v>30838</v>
      </c>
      <c r="I27" s="396"/>
      <c r="J27" s="396"/>
      <c r="K27" s="396"/>
      <c r="L27" s="396"/>
      <c r="M27" s="396"/>
      <c r="N27" s="396"/>
      <c r="O27" s="396"/>
      <c r="P27" s="396"/>
      <c r="Q27" s="976">
        <f>'5療養介護(基本)'!I70</f>
        <v>497</v>
      </c>
      <c r="R27" s="939"/>
      <c r="S27" s="396" t="s">
        <v>15624</v>
      </c>
      <c r="T27" s="397"/>
      <c r="U27" s="547"/>
      <c r="V27" s="400"/>
      <c r="W27" s="400"/>
      <c r="X27" s="400"/>
      <c r="Y27" s="400"/>
      <c r="Z27" s="400"/>
      <c r="AA27" s="400"/>
      <c r="AB27" s="400"/>
      <c r="AC27" s="494"/>
      <c r="AD27" s="632"/>
      <c r="AE27" s="632"/>
      <c r="AF27" s="424"/>
      <c r="AG27" s="424"/>
      <c r="AH27" s="425"/>
      <c r="AI27" s="392">
        <f>ROUND(Q27*AG$11,0)</f>
        <v>348</v>
      </c>
      <c r="AJ27" s="359"/>
    </row>
    <row r="28" spans="1:36" ht="17.100000000000001" customHeight="1" x14ac:dyDescent="0.15">
      <c r="A28" s="340">
        <v>21</v>
      </c>
      <c r="B28" s="341" t="s">
        <v>2582</v>
      </c>
      <c r="C28" s="390" t="s">
        <v>31439</v>
      </c>
      <c r="D28" s="423"/>
      <c r="E28" s="425"/>
      <c r="F28" s="974"/>
      <c r="G28" s="975"/>
      <c r="H28" s="627"/>
      <c r="I28" s="628"/>
      <c r="J28" s="628"/>
      <c r="K28" s="628"/>
      <c r="L28" s="628"/>
      <c r="M28" s="628"/>
      <c r="N28" s="628"/>
      <c r="O28" s="628"/>
      <c r="P28" s="628"/>
      <c r="Q28" s="628"/>
      <c r="R28" s="628"/>
      <c r="S28" s="628"/>
      <c r="T28" s="629"/>
      <c r="U28" s="552" t="s">
        <v>30827</v>
      </c>
      <c r="V28" s="553"/>
      <c r="W28" s="553"/>
      <c r="X28" s="553"/>
      <c r="Y28" s="553"/>
      <c r="Z28" s="427" t="s">
        <v>15626</v>
      </c>
      <c r="AA28" s="977">
        <f>$AA$8</f>
        <v>0.96499999999999997</v>
      </c>
      <c r="AB28" s="978"/>
      <c r="AC28" s="633"/>
      <c r="AD28" s="632"/>
      <c r="AE28" s="632"/>
      <c r="AF28" s="424"/>
      <c r="AG28" s="424"/>
      <c r="AH28" s="425"/>
      <c r="AI28" s="392">
        <f>ROUND(ROUND(Q27*AA28,0)*AG$11,0)</f>
        <v>336</v>
      </c>
      <c r="AJ28" s="359"/>
    </row>
    <row r="29" spans="1:36" ht="17.100000000000001" customHeight="1" x14ac:dyDescent="0.15">
      <c r="A29" s="340">
        <v>21</v>
      </c>
      <c r="B29" s="341" t="s">
        <v>26078</v>
      </c>
      <c r="C29" s="390" t="s">
        <v>31440</v>
      </c>
      <c r="D29" s="423"/>
      <c r="E29" s="425"/>
      <c r="F29" s="974"/>
      <c r="G29" s="975"/>
      <c r="H29" s="547" t="s">
        <v>30845</v>
      </c>
      <c r="I29" s="396"/>
      <c r="J29" s="396"/>
      <c r="K29" s="396"/>
      <c r="L29" s="396"/>
      <c r="M29" s="396"/>
      <c r="N29" s="396"/>
      <c r="O29" s="396"/>
      <c r="P29" s="396"/>
      <c r="Q29" s="976">
        <f>'5療養介護(基本)'!I76</f>
        <v>475</v>
      </c>
      <c r="R29" s="939"/>
      <c r="S29" s="396" t="s">
        <v>15624</v>
      </c>
      <c r="T29" s="397"/>
      <c r="U29" s="547"/>
      <c r="V29" s="400"/>
      <c r="W29" s="400"/>
      <c r="X29" s="400"/>
      <c r="Y29" s="400"/>
      <c r="Z29" s="400"/>
      <c r="AA29" s="400"/>
      <c r="AB29" s="400"/>
      <c r="AC29" s="494"/>
      <c r="AD29" s="614"/>
      <c r="AE29" s="614"/>
      <c r="AF29" s="424"/>
      <c r="AG29" s="424"/>
      <c r="AH29" s="425"/>
      <c r="AI29" s="392">
        <f>ROUND(Q29*AG$11,0)</f>
        <v>333</v>
      </c>
      <c r="AJ29" s="359"/>
    </row>
    <row r="30" spans="1:36" ht="17.100000000000001" customHeight="1" x14ac:dyDescent="0.15">
      <c r="A30" s="340">
        <v>21</v>
      </c>
      <c r="B30" s="341" t="s">
        <v>26084</v>
      </c>
      <c r="C30" s="390" t="s">
        <v>31441</v>
      </c>
      <c r="D30" s="423"/>
      <c r="E30" s="425"/>
      <c r="F30" s="974"/>
      <c r="G30" s="975"/>
      <c r="H30" s="627"/>
      <c r="I30" s="628"/>
      <c r="J30" s="628"/>
      <c r="K30" s="628"/>
      <c r="L30" s="628"/>
      <c r="M30" s="628"/>
      <c r="N30" s="628"/>
      <c r="O30" s="628"/>
      <c r="P30" s="628"/>
      <c r="Q30" s="628"/>
      <c r="R30" s="628"/>
      <c r="S30" s="628"/>
      <c r="T30" s="629"/>
      <c r="U30" s="552" t="s">
        <v>30827</v>
      </c>
      <c r="V30" s="553"/>
      <c r="W30" s="553"/>
      <c r="X30" s="553"/>
      <c r="Y30" s="553"/>
      <c r="Z30" s="427" t="s">
        <v>15626</v>
      </c>
      <c r="AA30" s="980">
        <f>$AA$8</f>
        <v>0.96499999999999997</v>
      </c>
      <c r="AB30" s="981"/>
      <c r="AC30" s="633"/>
      <c r="AF30" s="424"/>
      <c r="AG30" s="424"/>
      <c r="AH30" s="425"/>
      <c r="AI30" s="392">
        <f>ROUND(ROUND(Q29*AA30,0)*AG$11,0)</f>
        <v>321</v>
      </c>
      <c r="AJ30" s="359"/>
    </row>
    <row r="31" spans="1:36" ht="17.100000000000001" customHeight="1" x14ac:dyDescent="0.15">
      <c r="A31" s="340">
        <v>21</v>
      </c>
      <c r="B31" s="341" t="s">
        <v>26098</v>
      </c>
      <c r="C31" s="390" t="s">
        <v>31442</v>
      </c>
      <c r="D31" s="423"/>
      <c r="E31" s="425"/>
      <c r="F31" s="941" t="s">
        <v>30902</v>
      </c>
      <c r="G31" s="942"/>
      <c r="H31" s="330" t="s">
        <v>30820</v>
      </c>
      <c r="I31" s="343"/>
      <c r="J31" s="343"/>
      <c r="K31" s="343"/>
      <c r="L31" s="343"/>
      <c r="M31" s="343"/>
      <c r="N31" s="343"/>
      <c r="O31" s="343"/>
      <c r="P31" s="343"/>
      <c r="Q31" s="983">
        <f>'5療養介護(基本)'!I81</f>
        <v>445</v>
      </c>
      <c r="R31" s="984"/>
      <c r="S31" s="343" t="s">
        <v>15624</v>
      </c>
      <c r="T31" s="343"/>
      <c r="U31" s="343"/>
      <c r="V31" s="454"/>
      <c r="W31" s="454"/>
      <c r="X31" s="454"/>
      <c r="Y31" s="454"/>
      <c r="Z31" s="454"/>
      <c r="AA31" s="454"/>
      <c r="AB31" s="634"/>
      <c r="AC31" s="609"/>
      <c r="AD31" s="152"/>
      <c r="AE31" s="152"/>
      <c r="AF31" s="424"/>
      <c r="AG31" s="424"/>
      <c r="AH31" s="425"/>
      <c r="AI31" s="392">
        <f>ROUND(Q31*AG$11,0)</f>
        <v>312</v>
      </c>
      <c r="AJ31" s="359"/>
    </row>
    <row r="32" spans="1:36" ht="17.100000000000001" customHeight="1" x14ac:dyDescent="0.15">
      <c r="A32" s="340">
        <v>21</v>
      </c>
      <c r="B32" s="341" t="s">
        <v>26110</v>
      </c>
      <c r="C32" s="390" t="s">
        <v>31443</v>
      </c>
      <c r="D32" s="423"/>
      <c r="E32" s="425"/>
      <c r="F32" s="943"/>
      <c r="G32" s="944"/>
      <c r="H32" s="330" t="s">
        <v>30831</v>
      </c>
      <c r="I32" s="343"/>
      <c r="J32" s="343"/>
      <c r="K32" s="343"/>
      <c r="L32" s="343"/>
      <c r="M32" s="343"/>
      <c r="N32" s="343"/>
      <c r="O32" s="343"/>
      <c r="P32" s="343"/>
      <c r="Q32" s="983">
        <f>'5療養介護(基本)'!I84</f>
        <v>409</v>
      </c>
      <c r="R32" s="984"/>
      <c r="S32" s="343" t="s">
        <v>15624</v>
      </c>
      <c r="T32" s="343"/>
      <c r="U32" s="343"/>
      <c r="V32" s="454"/>
      <c r="W32" s="454"/>
      <c r="X32" s="454"/>
      <c r="Y32" s="454"/>
      <c r="Z32" s="454"/>
      <c r="AA32" s="454"/>
      <c r="AB32" s="634"/>
      <c r="AC32" s="609"/>
      <c r="AD32" s="152"/>
      <c r="AE32" s="152"/>
      <c r="AF32" s="424"/>
      <c r="AG32" s="424"/>
      <c r="AH32" s="425"/>
      <c r="AI32" s="392">
        <f>ROUND(Q32*AG$11,0)</f>
        <v>286</v>
      </c>
      <c r="AJ32" s="359"/>
    </row>
    <row r="33" spans="1:36" ht="17.100000000000001" customHeight="1" x14ac:dyDescent="0.15">
      <c r="A33" s="340">
        <v>21</v>
      </c>
      <c r="B33" s="341" t="s">
        <v>26122</v>
      </c>
      <c r="C33" s="390" t="s">
        <v>31444</v>
      </c>
      <c r="D33" s="423"/>
      <c r="E33" s="425"/>
      <c r="F33" s="974"/>
      <c r="G33" s="982"/>
      <c r="H33" s="330" t="s">
        <v>30838</v>
      </c>
      <c r="I33" s="343"/>
      <c r="J33" s="343"/>
      <c r="K33" s="343"/>
      <c r="L33" s="343"/>
      <c r="M33" s="343"/>
      <c r="N33" s="343"/>
      <c r="O33" s="343"/>
      <c r="P33" s="343"/>
      <c r="Q33" s="983">
        <f>'5療養介護(基本)'!I87</f>
        <v>381</v>
      </c>
      <c r="R33" s="984"/>
      <c r="S33" s="343" t="s">
        <v>15624</v>
      </c>
      <c r="T33" s="343"/>
      <c r="U33" s="343"/>
      <c r="V33" s="454"/>
      <c r="W33" s="454"/>
      <c r="X33" s="454"/>
      <c r="Y33" s="454"/>
      <c r="Z33" s="454"/>
      <c r="AA33" s="454"/>
      <c r="AB33" s="634"/>
      <c r="AC33" s="609"/>
      <c r="AD33" s="152"/>
      <c r="AE33" s="152"/>
      <c r="AF33" s="424"/>
      <c r="AG33" s="424"/>
      <c r="AH33" s="425"/>
      <c r="AI33" s="392">
        <f>ROUND(Q33*AG$11,0)</f>
        <v>267</v>
      </c>
      <c r="AJ33" s="359"/>
    </row>
    <row r="34" spans="1:36" ht="17.100000000000001" customHeight="1" x14ac:dyDescent="0.15">
      <c r="A34" s="340">
        <v>21</v>
      </c>
      <c r="B34" s="341" t="s">
        <v>2605</v>
      </c>
      <c r="C34" s="390" t="s">
        <v>31445</v>
      </c>
      <c r="D34" s="423"/>
      <c r="E34" s="425"/>
      <c r="F34" s="974"/>
      <c r="G34" s="982"/>
      <c r="H34" s="330" t="s">
        <v>30845</v>
      </c>
      <c r="I34" s="343"/>
      <c r="J34" s="343"/>
      <c r="K34" s="343"/>
      <c r="L34" s="343"/>
      <c r="M34" s="343"/>
      <c r="N34" s="343"/>
      <c r="O34" s="343"/>
      <c r="P34" s="343"/>
      <c r="Q34" s="983">
        <f>'5療養介護(基本)'!I90</f>
        <v>361</v>
      </c>
      <c r="R34" s="984"/>
      <c r="S34" s="343" t="s">
        <v>15624</v>
      </c>
      <c r="T34" s="343"/>
      <c r="U34" s="343"/>
      <c r="V34" s="454"/>
      <c r="W34" s="454"/>
      <c r="X34" s="454"/>
      <c r="Y34" s="454"/>
      <c r="Z34" s="454"/>
      <c r="AA34" s="454"/>
      <c r="AB34" s="634"/>
      <c r="AC34" s="609"/>
      <c r="AD34" s="152"/>
      <c r="AE34" s="152"/>
      <c r="AF34" s="424"/>
      <c r="AG34" s="424"/>
      <c r="AH34" s="425"/>
      <c r="AI34" s="392">
        <f>ROUND(Q34*AG$11,0)</f>
        <v>253</v>
      </c>
      <c r="AJ34" s="359"/>
    </row>
    <row r="35" spans="1:36" ht="17.100000000000001" customHeight="1" x14ac:dyDescent="0.15">
      <c r="A35" s="321">
        <v>21</v>
      </c>
      <c r="B35" s="341" t="s">
        <v>26142</v>
      </c>
      <c r="C35" s="386" t="s">
        <v>31446</v>
      </c>
      <c r="D35" s="423"/>
      <c r="E35" s="425"/>
      <c r="F35" s="941" t="s">
        <v>30915</v>
      </c>
      <c r="G35" s="968"/>
      <c r="H35" s="547" t="s">
        <v>30820</v>
      </c>
      <c r="I35" s="396"/>
      <c r="J35" s="396"/>
      <c r="K35" s="396"/>
      <c r="L35" s="396"/>
      <c r="M35" s="396"/>
      <c r="N35" s="396"/>
      <c r="O35" s="396"/>
      <c r="P35" s="396"/>
      <c r="Q35" s="976">
        <f>'5療養介護(基本)'!I94</f>
        <v>445</v>
      </c>
      <c r="R35" s="939"/>
      <c r="S35" s="396" t="s">
        <v>15624</v>
      </c>
      <c r="T35" s="396"/>
      <c r="U35" s="330"/>
      <c r="V35" s="459"/>
      <c r="W35" s="459"/>
      <c r="X35" s="459"/>
      <c r="Y35" s="459"/>
      <c r="Z35" s="459"/>
      <c r="AA35" s="459"/>
      <c r="AB35" s="635"/>
      <c r="AC35" s="494"/>
      <c r="AD35" s="632"/>
      <c r="AE35" s="632"/>
      <c r="AF35" s="424"/>
      <c r="AG35" s="424"/>
      <c r="AH35" s="425"/>
      <c r="AI35" s="392">
        <f>ROUND(Q35*AG$11,0)</f>
        <v>312</v>
      </c>
      <c r="AJ35" s="339"/>
    </row>
    <row r="36" spans="1:36" ht="17.100000000000001" customHeight="1" x14ac:dyDescent="0.15">
      <c r="A36" s="340">
        <v>21</v>
      </c>
      <c r="B36" s="341" t="s">
        <v>26148</v>
      </c>
      <c r="C36" s="390" t="s">
        <v>31447</v>
      </c>
      <c r="D36" s="423"/>
      <c r="E36" s="425"/>
      <c r="F36" s="943"/>
      <c r="G36" s="969"/>
      <c r="H36" s="627"/>
      <c r="I36" s="628"/>
      <c r="J36" s="628"/>
      <c r="K36" s="628"/>
      <c r="L36" s="628"/>
      <c r="M36" s="628"/>
      <c r="N36" s="628"/>
      <c r="O36" s="628"/>
      <c r="P36" s="628"/>
      <c r="Q36" s="628"/>
      <c r="R36" s="628"/>
      <c r="S36" s="628"/>
      <c r="T36" s="628"/>
      <c r="U36" s="636" t="s">
        <v>30827</v>
      </c>
      <c r="V36" s="637"/>
      <c r="W36" s="637"/>
      <c r="X36" s="637"/>
      <c r="Y36" s="637"/>
      <c r="Z36" s="455" t="s">
        <v>15626</v>
      </c>
      <c r="AA36" s="977">
        <f>$AA$8</f>
        <v>0.96499999999999997</v>
      </c>
      <c r="AB36" s="978"/>
      <c r="AC36" s="633"/>
      <c r="AD36" s="632"/>
      <c r="AE36" s="632"/>
      <c r="AF36" s="424"/>
      <c r="AG36" s="424"/>
      <c r="AH36" s="425"/>
      <c r="AI36" s="392">
        <f>ROUND(ROUND(Q35*AA36,0)*AG$11,0)</f>
        <v>300</v>
      </c>
      <c r="AJ36" s="359"/>
    </row>
    <row r="37" spans="1:36" ht="17.100000000000001" customHeight="1" x14ac:dyDescent="0.15">
      <c r="A37" s="340">
        <v>21</v>
      </c>
      <c r="B37" s="341" t="s">
        <v>2613</v>
      </c>
      <c r="C37" s="390" t="s">
        <v>31448</v>
      </c>
      <c r="D37" s="423"/>
      <c r="E37" s="424"/>
      <c r="F37" s="974"/>
      <c r="G37" s="975"/>
      <c r="H37" s="547" t="s">
        <v>30831</v>
      </c>
      <c r="I37" s="396"/>
      <c r="J37" s="396"/>
      <c r="K37" s="396"/>
      <c r="L37" s="396"/>
      <c r="M37" s="396"/>
      <c r="N37" s="396"/>
      <c r="O37" s="396"/>
      <c r="P37" s="396"/>
      <c r="Q37" s="976">
        <f>'5療養介護(基本)'!I100</f>
        <v>409</v>
      </c>
      <c r="R37" s="939"/>
      <c r="S37" s="396" t="s">
        <v>15624</v>
      </c>
      <c r="T37" s="396"/>
      <c r="U37" s="330"/>
      <c r="V37" s="459"/>
      <c r="W37" s="459"/>
      <c r="X37" s="459"/>
      <c r="Y37" s="459"/>
      <c r="Z37" s="459"/>
      <c r="AA37" s="459"/>
      <c r="AB37" s="635"/>
      <c r="AC37" s="494"/>
      <c r="AD37" s="632"/>
      <c r="AE37" s="632"/>
      <c r="AF37" s="424"/>
      <c r="AG37" s="424"/>
      <c r="AH37" s="425"/>
      <c r="AI37" s="392">
        <f>ROUND(Q37*AG$11,0)</f>
        <v>286</v>
      </c>
      <c r="AJ37" s="359"/>
    </row>
    <row r="38" spans="1:36" ht="17.100000000000001" customHeight="1" x14ac:dyDescent="0.15">
      <c r="A38" s="340">
        <v>21</v>
      </c>
      <c r="B38" s="341" t="s">
        <v>2619</v>
      </c>
      <c r="C38" s="390" t="s">
        <v>31449</v>
      </c>
      <c r="D38" s="423"/>
      <c r="E38" s="424"/>
      <c r="F38" s="974"/>
      <c r="G38" s="975"/>
      <c r="H38" s="627"/>
      <c r="I38" s="628"/>
      <c r="J38" s="628"/>
      <c r="K38" s="628"/>
      <c r="L38" s="628"/>
      <c r="M38" s="628"/>
      <c r="N38" s="628"/>
      <c r="O38" s="628"/>
      <c r="P38" s="628"/>
      <c r="Q38" s="628"/>
      <c r="R38" s="628"/>
      <c r="S38" s="628"/>
      <c r="T38" s="628"/>
      <c r="U38" s="636" t="s">
        <v>30827</v>
      </c>
      <c r="V38" s="637"/>
      <c r="W38" s="637"/>
      <c r="X38" s="637"/>
      <c r="Y38" s="637"/>
      <c r="Z38" s="455" t="s">
        <v>15626</v>
      </c>
      <c r="AA38" s="977">
        <f>$AA$8</f>
        <v>0.96499999999999997</v>
      </c>
      <c r="AB38" s="978"/>
      <c r="AC38" s="633"/>
      <c r="AD38" s="632"/>
      <c r="AE38" s="632"/>
      <c r="AF38" s="424"/>
      <c r="AG38" s="424"/>
      <c r="AH38" s="425"/>
      <c r="AI38" s="392">
        <f>ROUND(ROUND(Q37*AA38,0)*AG$11,0)</f>
        <v>277</v>
      </c>
      <c r="AJ38" s="359"/>
    </row>
    <row r="39" spans="1:36" ht="17.100000000000001" customHeight="1" x14ac:dyDescent="0.15">
      <c r="A39" s="340">
        <v>21</v>
      </c>
      <c r="B39" s="341" t="s">
        <v>26187</v>
      </c>
      <c r="C39" s="390" t="s">
        <v>31450</v>
      </c>
      <c r="D39" s="423"/>
      <c r="E39" s="424"/>
      <c r="F39" s="974"/>
      <c r="G39" s="975"/>
      <c r="H39" s="547" t="s">
        <v>30838</v>
      </c>
      <c r="I39" s="396"/>
      <c r="J39" s="396"/>
      <c r="K39" s="396"/>
      <c r="L39" s="396"/>
      <c r="M39" s="396"/>
      <c r="N39" s="396"/>
      <c r="O39" s="396"/>
      <c r="P39" s="396"/>
      <c r="Q39" s="976">
        <f>'5療養介護(基本)'!I106</f>
        <v>381</v>
      </c>
      <c r="R39" s="939"/>
      <c r="S39" s="396" t="s">
        <v>15624</v>
      </c>
      <c r="T39" s="396"/>
      <c r="U39" s="330"/>
      <c r="V39" s="459"/>
      <c r="W39" s="459"/>
      <c r="X39" s="459"/>
      <c r="Y39" s="459"/>
      <c r="Z39" s="459"/>
      <c r="AA39" s="459"/>
      <c r="AB39" s="635"/>
      <c r="AC39" s="494"/>
      <c r="AD39" s="632"/>
      <c r="AE39" s="632"/>
      <c r="AF39" s="424"/>
      <c r="AG39" s="424"/>
      <c r="AH39" s="425"/>
      <c r="AI39" s="392">
        <f>ROUND(Q39*AG$11,0)</f>
        <v>267</v>
      </c>
      <c r="AJ39" s="359"/>
    </row>
    <row r="40" spans="1:36" ht="17.100000000000001" customHeight="1" x14ac:dyDescent="0.15">
      <c r="A40" s="340">
        <v>21</v>
      </c>
      <c r="B40" s="341" t="s">
        <v>26193</v>
      </c>
      <c r="C40" s="390" t="s">
        <v>31451</v>
      </c>
      <c r="D40" s="423"/>
      <c r="E40" s="424"/>
      <c r="F40" s="974"/>
      <c r="G40" s="975"/>
      <c r="H40" s="627"/>
      <c r="I40" s="628"/>
      <c r="J40" s="628"/>
      <c r="K40" s="628"/>
      <c r="L40" s="628"/>
      <c r="M40" s="628"/>
      <c r="N40" s="628"/>
      <c r="O40" s="628"/>
      <c r="P40" s="628"/>
      <c r="Q40" s="628"/>
      <c r="R40" s="628"/>
      <c r="S40" s="628"/>
      <c r="T40" s="628"/>
      <c r="U40" s="636" t="s">
        <v>30827</v>
      </c>
      <c r="V40" s="637"/>
      <c r="W40" s="637"/>
      <c r="X40" s="637"/>
      <c r="Y40" s="637"/>
      <c r="Z40" s="455" t="s">
        <v>15626</v>
      </c>
      <c r="AA40" s="977">
        <f>$AA$8</f>
        <v>0.96499999999999997</v>
      </c>
      <c r="AB40" s="978"/>
      <c r="AC40" s="633"/>
      <c r="AD40" s="632"/>
      <c r="AE40" s="632"/>
      <c r="AF40" s="424"/>
      <c r="AG40" s="424"/>
      <c r="AH40" s="425"/>
      <c r="AI40" s="392">
        <f>ROUND(ROUND(Q39*AA40,0)*AG$11,0)</f>
        <v>258</v>
      </c>
      <c r="AJ40" s="359"/>
    </row>
    <row r="41" spans="1:36" ht="17.100000000000001" customHeight="1" x14ac:dyDescent="0.15">
      <c r="A41" s="340">
        <v>21</v>
      </c>
      <c r="B41" s="341" t="s">
        <v>26207</v>
      </c>
      <c r="C41" s="390" t="s">
        <v>31452</v>
      </c>
      <c r="D41" s="423"/>
      <c r="E41" s="424"/>
      <c r="F41" s="974"/>
      <c r="G41" s="975"/>
      <c r="H41" s="547" t="s">
        <v>30845</v>
      </c>
      <c r="I41" s="396"/>
      <c r="J41" s="396"/>
      <c r="K41" s="396"/>
      <c r="L41" s="396"/>
      <c r="M41" s="396"/>
      <c r="N41" s="396"/>
      <c r="O41" s="396"/>
      <c r="P41" s="396"/>
      <c r="Q41" s="976">
        <f>'5療養介護(基本)'!I112</f>
        <v>361</v>
      </c>
      <c r="R41" s="976"/>
      <c r="S41" s="396" t="s">
        <v>15624</v>
      </c>
      <c r="T41" s="396"/>
      <c r="U41" s="330"/>
      <c r="V41" s="459"/>
      <c r="W41" s="459"/>
      <c r="X41" s="459"/>
      <c r="Y41" s="459"/>
      <c r="Z41" s="459"/>
      <c r="AA41" s="459"/>
      <c r="AB41" s="635"/>
      <c r="AC41" s="494"/>
      <c r="AD41" s="152"/>
      <c r="AE41" s="152"/>
      <c r="AF41" s="424"/>
      <c r="AG41" s="424"/>
      <c r="AH41" s="425"/>
      <c r="AI41" s="392">
        <f>ROUND(Q41*AG$11,0)</f>
        <v>253</v>
      </c>
      <c r="AJ41" s="359"/>
    </row>
    <row r="42" spans="1:36" ht="17.100000000000001" customHeight="1" x14ac:dyDescent="0.15">
      <c r="A42" s="340">
        <v>21</v>
      </c>
      <c r="B42" s="341" t="s">
        <v>26213</v>
      </c>
      <c r="C42" s="390" t="s">
        <v>31453</v>
      </c>
      <c r="D42" s="423"/>
      <c r="E42" s="424"/>
      <c r="F42" s="974"/>
      <c r="G42" s="975"/>
      <c r="H42" s="627"/>
      <c r="I42" s="628"/>
      <c r="J42" s="628"/>
      <c r="K42" s="628"/>
      <c r="L42" s="628"/>
      <c r="M42" s="628"/>
      <c r="N42" s="628"/>
      <c r="O42" s="628"/>
      <c r="P42" s="628"/>
      <c r="Q42" s="628"/>
      <c r="R42" s="628"/>
      <c r="S42" s="628"/>
      <c r="T42" s="628"/>
      <c r="U42" s="636" t="s">
        <v>30827</v>
      </c>
      <c r="V42" s="637"/>
      <c r="W42" s="637"/>
      <c r="X42" s="637"/>
      <c r="Y42" s="637"/>
      <c r="Z42" s="455" t="s">
        <v>15626</v>
      </c>
      <c r="AA42" s="977">
        <f>$AA$8</f>
        <v>0.96499999999999997</v>
      </c>
      <c r="AB42" s="978"/>
      <c r="AC42" s="638"/>
      <c r="AD42" s="338"/>
      <c r="AE42" s="338"/>
      <c r="AF42" s="470"/>
      <c r="AG42" s="470"/>
      <c r="AH42" s="471"/>
      <c r="AI42" s="392">
        <f>ROUND(ROUND(Q41*AA42,0)*AG$11,0)</f>
        <v>244</v>
      </c>
      <c r="AJ42" s="359"/>
    </row>
    <row r="43" spans="1:36" ht="17.100000000000001" customHeight="1" x14ac:dyDescent="0.15">
      <c r="A43" s="340">
        <v>21</v>
      </c>
      <c r="B43" s="341" t="s">
        <v>26231</v>
      </c>
      <c r="C43" s="390" t="s">
        <v>31454</v>
      </c>
      <c r="D43" s="941" t="s">
        <v>30940</v>
      </c>
      <c r="E43" s="942"/>
      <c r="F43" s="941" t="s">
        <v>30941</v>
      </c>
      <c r="G43" s="968"/>
      <c r="H43" s="547" t="s">
        <v>30820</v>
      </c>
      <c r="I43" s="396"/>
      <c r="J43" s="396"/>
      <c r="K43" s="396"/>
      <c r="L43" s="396"/>
      <c r="M43" s="396"/>
      <c r="N43" s="396"/>
      <c r="O43" s="396"/>
      <c r="P43" s="396"/>
      <c r="Q43" s="976">
        <f>'5療養介護(基本)'!I118</f>
        <v>902</v>
      </c>
      <c r="R43" s="976"/>
      <c r="S43" s="396" t="s">
        <v>15624</v>
      </c>
      <c r="T43" s="397"/>
      <c r="U43" s="547"/>
      <c r="V43" s="400"/>
      <c r="W43" s="400"/>
      <c r="X43" s="400"/>
      <c r="Y43" s="400"/>
      <c r="Z43" s="400"/>
      <c r="AA43" s="400"/>
      <c r="AB43" s="400"/>
      <c r="AC43" s="861" t="s">
        <v>31418</v>
      </c>
      <c r="AD43" s="862"/>
      <c r="AE43" s="862"/>
      <c r="AF43" s="862"/>
      <c r="AG43" s="862"/>
      <c r="AH43" s="863"/>
      <c r="AI43" s="392">
        <f>ROUND(Q43*AG$47,0)</f>
        <v>631</v>
      </c>
      <c r="AJ43" s="329" t="s">
        <v>30681</v>
      </c>
    </row>
    <row r="44" spans="1:36" ht="17.100000000000001" customHeight="1" x14ac:dyDescent="0.15">
      <c r="A44" s="340">
        <v>21</v>
      </c>
      <c r="B44" s="341" t="s">
        <v>26237</v>
      </c>
      <c r="C44" s="390" t="s">
        <v>31455</v>
      </c>
      <c r="D44" s="943"/>
      <c r="E44" s="944"/>
      <c r="F44" s="943"/>
      <c r="G44" s="969"/>
      <c r="H44" s="627"/>
      <c r="I44" s="628"/>
      <c r="J44" s="628"/>
      <c r="K44" s="628"/>
      <c r="L44" s="628"/>
      <c r="M44" s="628"/>
      <c r="N44" s="628"/>
      <c r="O44" s="628"/>
      <c r="P44" s="628"/>
      <c r="Q44" s="628"/>
      <c r="R44" s="628"/>
      <c r="S44" s="628"/>
      <c r="T44" s="629"/>
      <c r="U44" s="552" t="s">
        <v>30827</v>
      </c>
      <c r="V44" s="553"/>
      <c r="W44" s="553"/>
      <c r="X44" s="553"/>
      <c r="Y44" s="553"/>
      <c r="Z44" s="427" t="s">
        <v>15626</v>
      </c>
      <c r="AA44" s="977">
        <f>$AA$8</f>
        <v>0.96499999999999997</v>
      </c>
      <c r="AB44" s="977"/>
      <c r="AC44" s="864"/>
      <c r="AD44" s="865"/>
      <c r="AE44" s="865"/>
      <c r="AF44" s="865"/>
      <c r="AG44" s="865"/>
      <c r="AH44" s="866"/>
      <c r="AI44" s="392">
        <f>ROUND(ROUND(Q43*AA44,0)*AG$47,0)</f>
        <v>609</v>
      </c>
      <c r="AJ44" s="339"/>
    </row>
    <row r="45" spans="1:36" ht="17.100000000000001" customHeight="1" x14ac:dyDescent="0.15">
      <c r="A45" s="340">
        <v>21</v>
      </c>
      <c r="B45" s="341" t="s">
        <v>26251</v>
      </c>
      <c r="C45" s="390" t="s">
        <v>31456</v>
      </c>
      <c r="D45" s="715"/>
      <c r="E45" s="982"/>
      <c r="F45" s="943"/>
      <c r="G45" s="969"/>
      <c r="H45" s="547" t="s">
        <v>30831</v>
      </c>
      <c r="I45" s="396"/>
      <c r="J45" s="396"/>
      <c r="K45" s="396"/>
      <c r="L45" s="396"/>
      <c r="M45" s="396"/>
      <c r="N45" s="396"/>
      <c r="O45" s="396"/>
      <c r="P45" s="396"/>
      <c r="Q45" s="976">
        <f>'5療養介護(基本)'!I124</f>
        <v>902</v>
      </c>
      <c r="R45" s="976"/>
      <c r="S45" s="396" t="s">
        <v>15624</v>
      </c>
      <c r="T45" s="397"/>
      <c r="U45" s="547"/>
      <c r="V45" s="400"/>
      <c r="W45" s="400"/>
      <c r="X45" s="400"/>
      <c r="Y45" s="400"/>
      <c r="Z45" s="400"/>
      <c r="AA45" s="400"/>
      <c r="AB45" s="400"/>
      <c r="AC45" s="864"/>
      <c r="AD45" s="865"/>
      <c r="AE45" s="865"/>
      <c r="AF45" s="865"/>
      <c r="AG45" s="865"/>
      <c r="AH45" s="866"/>
      <c r="AI45" s="392">
        <f>ROUND(Q45*AG$47,0)</f>
        <v>631</v>
      </c>
      <c r="AJ45" s="339"/>
    </row>
    <row r="46" spans="1:36" ht="17.100000000000001" customHeight="1" x14ac:dyDescent="0.15">
      <c r="A46" s="340">
        <v>21</v>
      </c>
      <c r="B46" s="341" t="s">
        <v>26257</v>
      </c>
      <c r="C46" s="390" t="s">
        <v>31457</v>
      </c>
      <c r="D46" s="715"/>
      <c r="E46" s="982"/>
      <c r="F46" s="943"/>
      <c r="G46" s="969"/>
      <c r="H46" s="627"/>
      <c r="I46" s="628"/>
      <c r="J46" s="628"/>
      <c r="K46" s="628"/>
      <c r="L46" s="628"/>
      <c r="M46" s="628"/>
      <c r="N46" s="628"/>
      <c r="O46" s="628"/>
      <c r="P46" s="628"/>
      <c r="Q46" s="628"/>
      <c r="R46" s="628"/>
      <c r="S46" s="628"/>
      <c r="T46" s="629"/>
      <c r="U46" s="552" t="s">
        <v>30827</v>
      </c>
      <c r="V46" s="553"/>
      <c r="W46" s="553"/>
      <c r="X46" s="553"/>
      <c r="Y46" s="553"/>
      <c r="Z46" s="427" t="s">
        <v>15626</v>
      </c>
      <c r="AA46" s="977">
        <f>$AA$8</f>
        <v>0.96499999999999997</v>
      </c>
      <c r="AB46" s="977"/>
      <c r="AC46" s="864"/>
      <c r="AD46" s="865"/>
      <c r="AE46" s="865"/>
      <c r="AF46" s="865"/>
      <c r="AG46" s="865"/>
      <c r="AH46" s="866"/>
      <c r="AI46" s="392">
        <f>ROUND(ROUND(Q45*AA46,0)*AG$47,0)</f>
        <v>609</v>
      </c>
      <c r="AJ46" s="339"/>
    </row>
    <row r="47" spans="1:36" ht="17.100000000000001" customHeight="1" x14ac:dyDescent="0.15">
      <c r="A47" s="340">
        <v>21</v>
      </c>
      <c r="B47" s="341" t="s">
        <v>2651</v>
      </c>
      <c r="C47" s="390" t="s">
        <v>31458</v>
      </c>
      <c r="D47" s="715"/>
      <c r="E47" s="982"/>
      <c r="F47" s="987"/>
      <c r="G47" s="988"/>
      <c r="H47" s="547" t="s">
        <v>30838</v>
      </c>
      <c r="I47" s="396"/>
      <c r="J47" s="396"/>
      <c r="K47" s="396"/>
      <c r="L47" s="396"/>
      <c r="M47" s="396"/>
      <c r="N47" s="396"/>
      <c r="O47" s="396"/>
      <c r="P47" s="396"/>
      <c r="Q47" s="976">
        <f>'5療養介護(基本)'!I130</f>
        <v>873</v>
      </c>
      <c r="R47" s="976"/>
      <c r="S47" s="396" t="s">
        <v>15624</v>
      </c>
      <c r="T47" s="397"/>
      <c r="U47" s="547"/>
      <c r="V47" s="400"/>
      <c r="W47" s="400"/>
      <c r="X47" s="400"/>
      <c r="Y47" s="400"/>
      <c r="Z47" s="400"/>
      <c r="AA47" s="400"/>
      <c r="AB47" s="400"/>
      <c r="AC47" s="639"/>
      <c r="AD47" s="640"/>
      <c r="AE47" s="640"/>
      <c r="AF47" s="630" t="s">
        <v>15636</v>
      </c>
      <c r="AG47" s="991">
        <f>AG11</f>
        <v>0.7</v>
      </c>
      <c r="AH47" s="967"/>
      <c r="AI47" s="392">
        <f>ROUND(Q47*AG$47,0)</f>
        <v>611</v>
      </c>
      <c r="AJ47" s="339"/>
    </row>
    <row r="48" spans="1:36" ht="17.100000000000001" customHeight="1" x14ac:dyDescent="0.15">
      <c r="A48" s="340">
        <v>21</v>
      </c>
      <c r="B48" s="341" t="s">
        <v>2657</v>
      </c>
      <c r="C48" s="390" t="s">
        <v>31459</v>
      </c>
      <c r="D48" s="715"/>
      <c r="E48" s="982"/>
      <c r="F48" s="987"/>
      <c r="G48" s="988"/>
      <c r="H48" s="627"/>
      <c r="I48" s="628"/>
      <c r="J48" s="628"/>
      <c r="K48" s="628"/>
      <c r="L48" s="628"/>
      <c r="M48" s="628"/>
      <c r="N48" s="628"/>
      <c r="O48" s="628"/>
      <c r="P48" s="628"/>
      <c r="Q48" s="628"/>
      <c r="R48" s="628"/>
      <c r="S48" s="628"/>
      <c r="T48" s="629"/>
      <c r="U48" s="552" t="s">
        <v>30827</v>
      </c>
      <c r="V48" s="553"/>
      <c r="W48" s="553"/>
      <c r="X48" s="553"/>
      <c r="Y48" s="553"/>
      <c r="Z48" s="427" t="s">
        <v>15626</v>
      </c>
      <c r="AA48" s="977">
        <f>$AA$8</f>
        <v>0.96499999999999997</v>
      </c>
      <c r="AB48" s="977"/>
      <c r="AC48" s="639"/>
      <c r="AD48" s="640"/>
      <c r="AE48" s="640"/>
      <c r="AF48" s="424"/>
      <c r="AG48" s="424"/>
      <c r="AH48" s="425"/>
      <c r="AI48" s="392">
        <f>ROUND(ROUND(Q47*AA48,0)*AG$47,0)</f>
        <v>589</v>
      </c>
      <c r="AJ48" s="339"/>
    </row>
    <row r="49" spans="1:36" ht="17.100000000000001" customHeight="1" x14ac:dyDescent="0.15">
      <c r="A49" s="340">
        <v>21</v>
      </c>
      <c r="B49" s="341" t="s">
        <v>26297</v>
      </c>
      <c r="C49" s="390" t="s">
        <v>31460</v>
      </c>
      <c r="D49" s="715"/>
      <c r="E49" s="982"/>
      <c r="F49" s="987"/>
      <c r="G49" s="988"/>
      <c r="H49" s="547" t="s">
        <v>30845</v>
      </c>
      <c r="I49" s="396"/>
      <c r="J49" s="396"/>
      <c r="K49" s="396"/>
      <c r="L49" s="396"/>
      <c r="M49" s="396"/>
      <c r="N49" s="396"/>
      <c r="O49" s="396"/>
      <c r="P49" s="396"/>
      <c r="Q49" s="976">
        <f>'5療養介護(基本)'!I136</f>
        <v>838</v>
      </c>
      <c r="R49" s="976"/>
      <c r="S49" s="396" t="s">
        <v>15624</v>
      </c>
      <c r="T49" s="397"/>
      <c r="U49" s="547"/>
      <c r="V49" s="400"/>
      <c r="W49" s="400"/>
      <c r="X49" s="400"/>
      <c r="Y49" s="400"/>
      <c r="Z49" s="400"/>
      <c r="AA49" s="400"/>
      <c r="AB49" s="400"/>
      <c r="AC49" s="494"/>
      <c r="AD49" s="152"/>
      <c r="AE49" s="152"/>
      <c r="AF49" s="424"/>
      <c r="AG49" s="424"/>
      <c r="AH49" s="425"/>
      <c r="AI49" s="392">
        <f>ROUND(Q49*AG$47,0)</f>
        <v>587</v>
      </c>
      <c r="AJ49" s="359"/>
    </row>
    <row r="50" spans="1:36" ht="17.100000000000001" customHeight="1" x14ac:dyDescent="0.15">
      <c r="A50" s="340">
        <v>21</v>
      </c>
      <c r="B50" s="341" t="s">
        <v>26303</v>
      </c>
      <c r="C50" s="390" t="s">
        <v>31461</v>
      </c>
      <c r="D50" s="985"/>
      <c r="E50" s="986"/>
      <c r="F50" s="989"/>
      <c r="G50" s="990"/>
      <c r="H50" s="627"/>
      <c r="I50" s="628"/>
      <c r="J50" s="628"/>
      <c r="K50" s="628"/>
      <c r="L50" s="628"/>
      <c r="M50" s="628"/>
      <c r="N50" s="628"/>
      <c r="O50" s="628"/>
      <c r="P50" s="628"/>
      <c r="Q50" s="628"/>
      <c r="R50" s="628"/>
      <c r="S50" s="628"/>
      <c r="T50" s="629"/>
      <c r="U50" s="636" t="s">
        <v>30827</v>
      </c>
      <c r="V50" s="637"/>
      <c r="W50" s="637"/>
      <c r="X50" s="637"/>
      <c r="Y50" s="637"/>
      <c r="Z50" s="455" t="s">
        <v>15626</v>
      </c>
      <c r="AA50" s="977">
        <f>$AA$8</f>
        <v>0.96499999999999997</v>
      </c>
      <c r="AB50" s="977"/>
      <c r="AC50" s="641"/>
      <c r="AD50" s="417"/>
      <c r="AE50" s="417"/>
      <c r="AF50" s="470"/>
      <c r="AG50" s="470"/>
      <c r="AH50" s="471"/>
      <c r="AI50" s="353">
        <f>ROUND(ROUND(Q49*AA50,0)*AG$47,0)</f>
        <v>566</v>
      </c>
      <c r="AJ50" s="350"/>
    </row>
    <row r="51" spans="1:36" ht="17.100000000000001" customHeight="1" x14ac:dyDescent="0.15">
      <c r="A51" s="340">
        <v>21</v>
      </c>
      <c r="B51" s="341" t="s">
        <v>26317</v>
      </c>
      <c r="C51" s="342" t="s">
        <v>31462</v>
      </c>
      <c r="D51" s="941" t="s">
        <v>30818</v>
      </c>
      <c r="E51" s="942"/>
      <c r="F51" s="941" t="s">
        <v>30819</v>
      </c>
      <c r="G51" s="968"/>
      <c r="H51" s="547" t="s">
        <v>30820</v>
      </c>
      <c r="I51" s="396"/>
      <c r="J51" s="396"/>
      <c r="K51" s="396"/>
      <c r="L51" s="396"/>
      <c r="M51" s="396"/>
      <c r="N51" s="396"/>
      <c r="O51" s="396"/>
      <c r="P51" s="396"/>
      <c r="Q51" s="976">
        <f>'5療養介護(基本)'!I10</f>
        <v>965</v>
      </c>
      <c r="R51" s="976"/>
      <c r="S51" s="396" t="s">
        <v>15624</v>
      </c>
      <c r="T51" s="397"/>
      <c r="U51" s="547"/>
      <c r="V51" s="400"/>
      <c r="W51" s="400"/>
      <c r="X51" s="400"/>
      <c r="Y51" s="400"/>
      <c r="Z51" s="400"/>
      <c r="AA51" s="400"/>
      <c r="AB51" s="400"/>
      <c r="AC51" s="861" t="s">
        <v>31463</v>
      </c>
      <c r="AD51" s="862"/>
      <c r="AE51" s="862"/>
      <c r="AF51" s="862"/>
      <c r="AG51" s="862"/>
      <c r="AH51" s="863"/>
      <c r="AI51" s="392">
        <f>ROUND(Q51*AG$55,0)</f>
        <v>483</v>
      </c>
      <c r="AJ51" s="329" t="s">
        <v>30681</v>
      </c>
    </row>
    <row r="52" spans="1:36" ht="17.100000000000001" customHeight="1" x14ac:dyDescent="0.15">
      <c r="A52" s="340">
        <v>21</v>
      </c>
      <c r="B52" s="341" t="s">
        <v>26323</v>
      </c>
      <c r="C52" s="342" t="s">
        <v>31464</v>
      </c>
      <c r="D52" s="943"/>
      <c r="E52" s="944"/>
      <c r="F52" s="943"/>
      <c r="G52" s="969"/>
      <c r="H52" s="627"/>
      <c r="I52" s="628"/>
      <c r="J52" s="628"/>
      <c r="K52" s="628"/>
      <c r="L52" s="628"/>
      <c r="M52" s="628"/>
      <c r="N52" s="628"/>
      <c r="O52" s="628"/>
      <c r="P52" s="628"/>
      <c r="Q52" s="628"/>
      <c r="R52" s="628"/>
      <c r="S52" s="628"/>
      <c r="T52" s="629"/>
      <c r="U52" s="552" t="s">
        <v>30827</v>
      </c>
      <c r="V52" s="553"/>
      <c r="W52" s="553"/>
      <c r="X52" s="553"/>
      <c r="Y52" s="553"/>
      <c r="Z52" s="427" t="s">
        <v>15626</v>
      </c>
      <c r="AA52" s="977">
        <f>$AA$8</f>
        <v>0.96499999999999997</v>
      </c>
      <c r="AB52" s="978"/>
      <c r="AC52" s="864"/>
      <c r="AD52" s="865"/>
      <c r="AE52" s="865"/>
      <c r="AF52" s="865"/>
      <c r="AG52" s="865"/>
      <c r="AH52" s="866"/>
      <c r="AI52" s="392">
        <f>ROUND(ROUND(Q51*AA52,0)*AG$55,0)</f>
        <v>466</v>
      </c>
      <c r="AJ52" s="339"/>
    </row>
    <row r="53" spans="1:36" ht="17.100000000000001" customHeight="1" x14ac:dyDescent="0.15">
      <c r="A53" s="340">
        <v>21</v>
      </c>
      <c r="B53" s="341" t="s">
        <v>26341</v>
      </c>
      <c r="C53" s="342" t="s">
        <v>31465</v>
      </c>
      <c r="D53" s="943"/>
      <c r="E53" s="944"/>
      <c r="F53" s="974"/>
      <c r="G53" s="975"/>
      <c r="H53" s="547" t="s">
        <v>30831</v>
      </c>
      <c r="I53" s="396"/>
      <c r="J53" s="396"/>
      <c r="K53" s="396"/>
      <c r="L53" s="396"/>
      <c r="M53" s="396"/>
      <c r="N53" s="396"/>
      <c r="O53" s="396"/>
      <c r="P53" s="396"/>
      <c r="Q53" s="976">
        <f>'5療養介護(基本)'!I16</f>
        <v>939</v>
      </c>
      <c r="R53" s="976"/>
      <c r="S53" s="396" t="s">
        <v>15624</v>
      </c>
      <c r="T53" s="397"/>
      <c r="U53" s="547"/>
      <c r="V53" s="400"/>
      <c r="W53" s="400"/>
      <c r="X53" s="400"/>
      <c r="Y53" s="400"/>
      <c r="Z53" s="400"/>
      <c r="AA53" s="400"/>
      <c r="AB53" s="400"/>
      <c r="AC53" s="864"/>
      <c r="AD53" s="865"/>
      <c r="AE53" s="865"/>
      <c r="AF53" s="865"/>
      <c r="AG53" s="865"/>
      <c r="AH53" s="866"/>
      <c r="AI53" s="392">
        <f>ROUND(Q53*AG$55,0)</f>
        <v>470</v>
      </c>
      <c r="AJ53" s="339"/>
    </row>
    <row r="54" spans="1:36" ht="17.100000000000001" customHeight="1" x14ac:dyDescent="0.15">
      <c r="A54" s="340">
        <v>21</v>
      </c>
      <c r="B54" s="341" t="s">
        <v>26347</v>
      </c>
      <c r="C54" s="342" t="s">
        <v>31466</v>
      </c>
      <c r="D54" s="943"/>
      <c r="E54" s="944"/>
      <c r="F54" s="974"/>
      <c r="G54" s="975"/>
      <c r="H54" s="627"/>
      <c r="I54" s="628"/>
      <c r="J54" s="628"/>
      <c r="K54" s="628"/>
      <c r="L54" s="628"/>
      <c r="M54" s="628"/>
      <c r="N54" s="628"/>
      <c r="O54" s="628"/>
      <c r="P54" s="628"/>
      <c r="Q54" s="628"/>
      <c r="R54" s="628"/>
      <c r="S54" s="628"/>
      <c r="T54" s="629"/>
      <c r="U54" s="552" t="s">
        <v>30827</v>
      </c>
      <c r="V54" s="553"/>
      <c r="W54" s="553"/>
      <c r="X54" s="553"/>
      <c r="Y54" s="553"/>
      <c r="Z54" s="427" t="s">
        <v>15626</v>
      </c>
      <c r="AA54" s="977">
        <f>$AA$8</f>
        <v>0.96499999999999997</v>
      </c>
      <c r="AB54" s="978"/>
      <c r="AC54" s="864"/>
      <c r="AD54" s="865"/>
      <c r="AE54" s="865"/>
      <c r="AF54" s="865"/>
      <c r="AG54" s="865"/>
      <c r="AH54" s="866"/>
      <c r="AI54" s="392">
        <f>ROUND(ROUND(Q53*AA54,0)*AG$55,0)</f>
        <v>453</v>
      </c>
      <c r="AJ54" s="339"/>
    </row>
    <row r="55" spans="1:36" ht="17.100000000000001" customHeight="1" x14ac:dyDescent="0.15">
      <c r="A55" s="340">
        <v>21</v>
      </c>
      <c r="B55" s="341" t="s">
        <v>26361</v>
      </c>
      <c r="C55" s="342" t="s">
        <v>31467</v>
      </c>
      <c r="D55" s="943"/>
      <c r="E55" s="944"/>
      <c r="F55" s="974"/>
      <c r="G55" s="975"/>
      <c r="H55" s="547" t="s">
        <v>30838</v>
      </c>
      <c r="I55" s="396"/>
      <c r="J55" s="396"/>
      <c r="K55" s="396"/>
      <c r="L55" s="396"/>
      <c r="M55" s="396"/>
      <c r="N55" s="396"/>
      <c r="O55" s="396"/>
      <c r="P55" s="396"/>
      <c r="Q55" s="976">
        <f>'5療養介護(基本)'!I22</f>
        <v>891</v>
      </c>
      <c r="R55" s="976"/>
      <c r="S55" s="396" t="s">
        <v>15624</v>
      </c>
      <c r="T55" s="397"/>
      <c r="U55" s="547"/>
      <c r="V55" s="400"/>
      <c r="W55" s="400"/>
      <c r="X55" s="400"/>
      <c r="Y55" s="400"/>
      <c r="Z55" s="400"/>
      <c r="AA55" s="400"/>
      <c r="AB55" s="400"/>
      <c r="AC55" s="639"/>
      <c r="AD55" s="642"/>
      <c r="AE55" s="642"/>
      <c r="AF55" s="630" t="s">
        <v>15636</v>
      </c>
      <c r="AG55" s="991">
        <v>0.5</v>
      </c>
      <c r="AH55" s="967"/>
      <c r="AI55" s="392">
        <f>ROUND(Q55*AG$55,0)</f>
        <v>446</v>
      </c>
      <c r="AJ55" s="339"/>
    </row>
    <row r="56" spans="1:36" ht="17.100000000000001" customHeight="1" x14ac:dyDescent="0.15">
      <c r="A56" s="340">
        <v>21</v>
      </c>
      <c r="B56" s="341" t="s">
        <v>26367</v>
      </c>
      <c r="C56" s="342" t="s">
        <v>31468</v>
      </c>
      <c r="D56" s="943"/>
      <c r="E56" s="944"/>
      <c r="F56" s="974"/>
      <c r="G56" s="975"/>
      <c r="H56" s="627"/>
      <c r="I56" s="628"/>
      <c r="J56" s="628"/>
      <c r="K56" s="628"/>
      <c r="L56" s="628"/>
      <c r="M56" s="628"/>
      <c r="N56" s="628"/>
      <c r="O56" s="628"/>
      <c r="P56" s="628"/>
      <c r="Q56" s="628"/>
      <c r="R56" s="628"/>
      <c r="S56" s="628"/>
      <c r="T56" s="629"/>
      <c r="U56" s="636" t="s">
        <v>30827</v>
      </c>
      <c r="V56" s="553"/>
      <c r="W56" s="553"/>
      <c r="X56" s="553"/>
      <c r="Y56" s="553"/>
      <c r="Z56" s="427" t="s">
        <v>15626</v>
      </c>
      <c r="AA56" s="977">
        <f>$AA$8</f>
        <v>0.96499999999999997</v>
      </c>
      <c r="AB56" s="978"/>
      <c r="AC56" s="639"/>
      <c r="AD56" s="642"/>
      <c r="AE56" s="642"/>
      <c r="AF56" s="424"/>
      <c r="AG56" s="424"/>
      <c r="AH56" s="425"/>
      <c r="AI56" s="392">
        <f>ROUND(ROUND(Q55*AA56,0)*AG$55,0)</f>
        <v>430</v>
      </c>
      <c r="AJ56" s="339"/>
    </row>
    <row r="57" spans="1:36" ht="17.100000000000001" customHeight="1" x14ac:dyDescent="0.15">
      <c r="A57" s="340">
        <v>21</v>
      </c>
      <c r="B57" s="341" t="s">
        <v>2692</v>
      </c>
      <c r="C57" s="342" t="s">
        <v>31469</v>
      </c>
      <c r="D57" s="943"/>
      <c r="E57" s="944"/>
      <c r="F57" s="974"/>
      <c r="G57" s="975"/>
      <c r="H57" s="547" t="s">
        <v>30845</v>
      </c>
      <c r="I57" s="396"/>
      <c r="J57" s="396"/>
      <c r="K57" s="396"/>
      <c r="L57" s="396"/>
      <c r="M57" s="396"/>
      <c r="N57" s="396"/>
      <c r="O57" s="396"/>
      <c r="P57" s="396"/>
      <c r="Q57" s="976">
        <f>'5療養介護(基本)'!I28</f>
        <v>853</v>
      </c>
      <c r="R57" s="976"/>
      <c r="S57" s="396" t="s">
        <v>15624</v>
      </c>
      <c r="T57" s="397"/>
      <c r="U57" s="490"/>
      <c r="V57" s="400"/>
      <c r="W57" s="400"/>
      <c r="X57" s="400"/>
      <c r="Y57" s="400"/>
      <c r="Z57" s="400"/>
      <c r="AA57" s="400"/>
      <c r="AB57" s="400"/>
      <c r="AC57" s="639"/>
      <c r="AD57" s="642"/>
      <c r="AE57" s="642"/>
      <c r="AF57" s="424"/>
      <c r="AG57" s="424"/>
      <c r="AH57" s="425"/>
      <c r="AI57" s="392">
        <f>ROUND(Q57*AG$55,0)</f>
        <v>427</v>
      </c>
      <c r="AJ57" s="359"/>
    </row>
    <row r="58" spans="1:36" ht="17.100000000000001" customHeight="1" x14ac:dyDescent="0.15">
      <c r="A58" s="340">
        <v>21</v>
      </c>
      <c r="B58" s="341" t="s">
        <v>2698</v>
      </c>
      <c r="C58" s="342" t="s">
        <v>31470</v>
      </c>
      <c r="D58" s="943"/>
      <c r="E58" s="944"/>
      <c r="F58" s="974"/>
      <c r="G58" s="975"/>
      <c r="H58" s="627"/>
      <c r="I58" s="628"/>
      <c r="J58" s="628"/>
      <c r="K58" s="628"/>
      <c r="L58" s="628"/>
      <c r="M58" s="628"/>
      <c r="N58" s="628"/>
      <c r="O58" s="628"/>
      <c r="P58" s="628"/>
      <c r="Q58" s="628"/>
      <c r="R58" s="628"/>
      <c r="S58" s="628"/>
      <c r="T58" s="629"/>
      <c r="U58" s="552" t="s">
        <v>30827</v>
      </c>
      <c r="V58" s="553"/>
      <c r="W58" s="553"/>
      <c r="X58" s="553"/>
      <c r="Y58" s="553"/>
      <c r="Z58" s="427" t="s">
        <v>15626</v>
      </c>
      <c r="AA58" s="977">
        <f>$AA$8</f>
        <v>0.96499999999999997</v>
      </c>
      <c r="AB58" s="978"/>
      <c r="AC58" s="639"/>
      <c r="AD58" s="642"/>
      <c r="AE58" s="642"/>
      <c r="AF58" s="424"/>
      <c r="AG58" s="424"/>
      <c r="AH58" s="425"/>
      <c r="AI58" s="392">
        <f>ROUND(ROUND(Q57*AA58,0)*AG$55,0)</f>
        <v>412</v>
      </c>
      <c r="AJ58" s="359"/>
    </row>
    <row r="59" spans="1:36" ht="17.100000000000001" customHeight="1" x14ac:dyDescent="0.15">
      <c r="A59" s="340">
        <v>21</v>
      </c>
      <c r="B59" s="341" t="s">
        <v>26405</v>
      </c>
      <c r="C59" s="323" t="s">
        <v>31471</v>
      </c>
      <c r="D59" s="943"/>
      <c r="E59" s="944"/>
      <c r="F59" s="941" t="s">
        <v>30852</v>
      </c>
      <c r="G59" s="968"/>
      <c r="H59" s="547" t="s">
        <v>30820</v>
      </c>
      <c r="I59" s="396"/>
      <c r="J59" s="396"/>
      <c r="K59" s="396"/>
      <c r="L59" s="396"/>
      <c r="M59" s="396"/>
      <c r="N59" s="396"/>
      <c r="O59" s="396"/>
      <c r="P59" s="396"/>
      <c r="Q59" s="976">
        <f>'5療養介護(基本)'!I34</f>
        <v>703</v>
      </c>
      <c r="R59" s="976"/>
      <c r="S59" s="396" t="s">
        <v>15624</v>
      </c>
      <c r="T59" s="397"/>
      <c r="U59" s="547"/>
      <c r="V59" s="400"/>
      <c r="W59" s="400"/>
      <c r="X59" s="400"/>
      <c r="Y59" s="400"/>
      <c r="Z59" s="400"/>
      <c r="AA59" s="400"/>
      <c r="AB59" s="400"/>
      <c r="AC59" s="639"/>
      <c r="AD59" s="642"/>
      <c r="AE59" s="642"/>
      <c r="AF59" s="424"/>
      <c r="AG59" s="424"/>
      <c r="AH59" s="425"/>
      <c r="AI59" s="392">
        <f>ROUND(Q59*AG$55,0)</f>
        <v>352</v>
      </c>
      <c r="AJ59" s="339"/>
    </row>
    <row r="60" spans="1:36" ht="17.100000000000001" customHeight="1" x14ac:dyDescent="0.15">
      <c r="A60" s="340">
        <v>21</v>
      </c>
      <c r="B60" s="341" t="s">
        <v>26411</v>
      </c>
      <c r="C60" s="342" t="s">
        <v>31472</v>
      </c>
      <c r="D60" s="943"/>
      <c r="E60" s="944"/>
      <c r="F60" s="943"/>
      <c r="G60" s="969"/>
      <c r="H60" s="627"/>
      <c r="I60" s="628"/>
      <c r="J60" s="628"/>
      <c r="K60" s="628"/>
      <c r="L60" s="628"/>
      <c r="M60" s="628"/>
      <c r="N60" s="628"/>
      <c r="O60" s="628"/>
      <c r="P60" s="628"/>
      <c r="Q60" s="628"/>
      <c r="R60" s="628"/>
      <c r="S60" s="628"/>
      <c r="T60" s="629"/>
      <c r="U60" s="552" t="s">
        <v>30827</v>
      </c>
      <c r="V60" s="553"/>
      <c r="W60" s="553"/>
      <c r="X60" s="553"/>
      <c r="Y60" s="553"/>
      <c r="Z60" s="427" t="s">
        <v>15626</v>
      </c>
      <c r="AA60" s="977">
        <f>$AA$8</f>
        <v>0.96499999999999997</v>
      </c>
      <c r="AB60" s="978"/>
      <c r="AC60" s="639"/>
      <c r="AD60" s="642"/>
      <c r="AE60" s="642"/>
      <c r="AF60" s="424"/>
      <c r="AG60" s="424"/>
      <c r="AH60" s="425"/>
      <c r="AI60" s="392">
        <f>ROUND(ROUND(Q59*AA60,0)*AG$55,0)</f>
        <v>339</v>
      </c>
      <c r="AJ60" s="359"/>
    </row>
    <row r="61" spans="1:36" ht="17.100000000000001" customHeight="1" x14ac:dyDescent="0.15">
      <c r="A61" s="340">
        <v>21</v>
      </c>
      <c r="B61" s="341" t="s">
        <v>26425</v>
      </c>
      <c r="C61" s="342" t="s">
        <v>31473</v>
      </c>
      <c r="D61" s="423"/>
      <c r="E61" s="424"/>
      <c r="F61" s="974"/>
      <c r="G61" s="975"/>
      <c r="H61" s="547" t="s">
        <v>30831</v>
      </c>
      <c r="I61" s="396"/>
      <c r="J61" s="396"/>
      <c r="K61" s="396"/>
      <c r="L61" s="396"/>
      <c r="M61" s="396"/>
      <c r="N61" s="396"/>
      <c r="O61" s="396"/>
      <c r="P61" s="396"/>
      <c r="Q61" s="976">
        <f>'5療養介護(基本)'!I40</f>
        <v>667</v>
      </c>
      <c r="R61" s="976"/>
      <c r="S61" s="396" t="s">
        <v>15624</v>
      </c>
      <c r="T61" s="397"/>
      <c r="U61" s="547"/>
      <c r="V61" s="400"/>
      <c r="W61" s="400"/>
      <c r="X61" s="400"/>
      <c r="Y61" s="400"/>
      <c r="Z61" s="400"/>
      <c r="AA61" s="400"/>
      <c r="AB61" s="400"/>
      <c r="AC61" s="639"/>
      <c r="AD61" s="642"/>
      <c r="AE61" s="642"/>
      <c r="AF61" s="424"/>
      <c r="AG61" s="424"/>
      <c r="AH61" s="425"/>
      <c r="AI61" s="392">
        <f>ROUND(Q61*AG$55,0)</f>
        <v>334</v>
      </c>
      <c r="AJ61" s="359"/>
    </row>
    <row r="62" spans="1:36" ht="17.100000000000001" customHeight="1" x14ac:dyDescent="0.15">
      <c r="A62" s="340">
        <v>21</v>
      </c>
      <c r="B62" s="341" t="s">
        <v>26431</v>
      </c>
      <c r="C62" s="342" t="s">
        <v>31474</v>
      </c>
      <c r="D62" s="423"/>
      <c r="E62" s="424"/>
      <c r="F62" s="974"/>
      <c r="G62" s="975"/>
      <c r="H62" s="627"/>
      <c r="I62" s="628"/>
      <c r="J62" s="628"/>
      <c r="K62" s="628"/>
      <c r="L62" s="628"/>
      <c r="M62" s="628"/>
      <c r="N62" s="628"/>
      <c r="O62" s="628"/>
      <c r="P62" s="628"/>
      <c r="Q62" s="628"/>
      <c r="R62" s="628"/>
      <c r="S62" s="628"/>
      <c r="T62" s="629"/>
      <c r="U62" s="552" t="s">
        <v>30827</v>
      </c>
      <c r="V62" s="553"/>
      <c r="W62" s="553"/>
      <c r="X62" s="553"/>
      <c r="Y62" s="553"/>
      <c r="Z62" s="427" t="s">
        <v>15626</v>
      </c>
      <c r="AA62" s="977">
        <f>$AA$8</f>
        <v>0.96499999999999997</v>
      </c>
      <c r="AB62" s="978"/>
      <c r="AC62" s="639"/>
      <c r="AD62" s="642"/>
      <c r="AE62" s="642"/>
      <c r="AF62" s="424"/>
      <c r="AG62" s="424"/>
      <c r="AH62" s="425"/>
      <c r="AI62" s="392">
        <f>ROUND(ROUND(Q61*AA62,0)*AG$55,0)</f>
        <v>322</v>
      </c>
      <c r="AJ62" s="359"/>
    </row>
    <row r="63" spans="1:36" ht="17.100000000000001" customHeight="1" x14ac:dyDescent="0.15">
      <c r="A63" s="340">
        <v>21</v>
      </c>
      <c r="B63" s="341" t="s">
        <v>26449</v>
      </c>
      <c r="C63" s="342" t="s">
        <v>31475</v>
      </c>
      <c r="D63" s="423"/>
      <c r="E63" s="424"/>
      <c r="F63" s="974"/>
      <c r="G63" s="975"/>
      <c r="H63" s="547" t="s">
        <v>30838</v>
      </c>
      <c r="I63" s="396"/>
      <c r="J63" s="396"/>
      <c r="K63" s="396"/>
      <c r="L63" s="396"/>
      <c r="M63" s="396"/>
      <c r="N63" s="396"/>
      <c r="O63" s="396"/>
      <c r="P63" s="396"/>
      <c r="Q63" s="976">
        <f>'5療養介護(基本)'!I46</f>
        <v>619</v>
      </c>
      <c r="R63" s="976"/>
      <c r="S63" s="396" t="s">
        <v>15624</v>
      </c>
      <c r="T63" s="397"/>
      <c r="U63" s="547"/>
      <c r="V63" s="400"/>
      <c r="W63" s="400"/>
      <c r="X63" s="400"/>
      <c r="Y63" s="400"/>
      <c r="Z63" s="400"/>
      <c r="AA63" s="400"/>
      <c r="AB63" s="400"/>
      <c r="AC63" s="639"/>
      <c r="AD63" s="642"/>
      <c r="AE63" s="642"/>
      <c r="AF63" s="424"/>
      <c r="AG63" s="424"/>
      <c r="AH63" s="425"/>
      <c r="AI63" s="392">
        <f>ROUND(Q63*AG$55,0)</f>
        <v>310</v>
      </c>
      <c r="AJ63" s="359"/>
    </row>
    <row r="64" spans="1:36" ht="17.100000000000001" customHeight="1" x14ac:dyDescent="0.15">
      <c r="A64" s="340">
        <v>21</v>
      </c>
      <c r="B64" s="341" t="s">
        <v>26455</v>
      </c>
      <c r="C64" s="342" t="s">
        <v>31476</v>
      </c>
      <c r="D64" s="423"/>
      <c r="E64" s="424"/>
      <c r="F64" s="974"/>
      <c r="G64" s="975"/>
      <c r="H64" s="627"/>
      <c r="I64" s="628"/>
      <c r="J64" s="628"/>
      <c r="K64" s="628"/>
      <c r="L64" s="628"/>
      <c r="M64" s="628"/>
      <c r="N64" s="628"/>
      <c r="O64" s="628"/>
      <c r="P64" s="628"/>
      <c r="Q64" s="628"/>
      <c r="R64" s="628"/>
      <c r="S64" s="628"/>
      <c r="T64" s="629"/>
      <c r="U64" s="552" t="s">
        <v>30827</v>
      </c>
      <c r="V64" s="553"/>
      <c r="W64" s="553"/>
      <c r="X64" s="553"/>
      <c r="Y64" s="553"/>
      <c r="Z64" s="427" t="s">
        <v>15626</v>
      </c>
      <c r="AA64" s="977">
        <f>$AA$8</f>
        <v>0.96499999999999997</v>
      </c>
      <c r="AB64" s="978"/>
      <c r="AC64" s="639"/>
      <c r="AD64" s="642"/>
      <c r="AE64" s="642"/>
      <c r="AF64" s="424"/>
      <c r="AG64" s="424"/>
      <c r="AH64" s="425"/>
      <c r="AI64" s="392">
        <f>ROUND(ROUND(Q63*AA64,0)*AG$55,0)</f>
        <v>299</v>
      </c>
      <c r="AJ64" s="359"/>
    </row>
    <row r="65" spans="1:36" ht="17.100000000000001" customHeight="1" x14ac:dyDescent="0.15">
      <c r="A65" s="340">
        <v>21</v>
      </c>
      <c r="B65" s="341" t="s">
        <v>26469</v>
      </c>
      <c r="C65" s="342" t="s">
        <v>31477</v>
      </c>
      <c r="D65" s="423"/>
      <c r="E65" s="424"/>
      <c r="F65" s="974"/>
      <c r="G65" s="975"/>
      <c r="H65" s="547" t="s">
        <v>30845</v>
      </c>
      <c r="I65" s="396"/>
      <c r="J65" s="396"/>
      <c r="K65" s="396"/>
      <c r="L65" s="396"/>
      <c r="M65" s="396"/>
      <c r="N65" s="396"/>
      <c r="O65" s="396"/>
      <c r="P65" s="396"/>
      <c r="Q65" s="976">
        <f>'5療養介護(基本)'!I52</f>
        <v>589</v>
      </c>
      <c r="R65" s="976"/>
      <c r="S65" s="396" t="s">
        <v>15624</v>
      </c>
      <c r="T65" s="397"/>
      <c r="U65" s="547"/>
      <c r="V65" s="400"/>
      <c r="W65" s="400"/>
      <c r="X65" s="400"/>
      <c r="Y65" s="400"/>
      <c r="Z65" s="400"/>
      <c r="AA65" s="400"/>
      <c r="AB65" s="400"/>
      <c r="AC65" s="639"/>
      <c r="AD65" s="642"/>
      <c r="AE65" s="642"/>
      <c r="AF65" s="424"/>
      <c r="AG65" s="424"/>
      <c r="AH65" s="425"/>
      <c r="AI65" s="392">
        <f>ROUND(Q65*AG$55,0)</f>
        <v>295</v>
      </c>
      <c r="AJ65" s="359"/>
    </row>
    <row r="66" spans="1:36" ht="17.100000000000001" customHeight="1" x14ac:dyDescent="0.15">
      <c r="A66" s="340">
        <v>21</v>
      </c>
      <c r="B66" s="341" t="s">
        <v>26475</v>
      </c>
      <c r="C66" s="342" t="s">
        <v>31478</v>
      </c>
      <c r="D66" s="423"/>
      <c r="E66" s="424"/>
      <c r="F66" s="974"/>
      <c r="G66" s="975"/>
      <c r="H66" s="627"/>
      <c r="I66" s="628"/>
      <c r="J66" s="628"/>
      <c r="K66" s="628"/>
      <c r="L66" s="628"/>
      <c r="M66" s="628"/>
      <c r="N66" s="628"/>
      <c r="O66" s="628"/>
      <c r="P66" s="628"/>
      <c r="Q66" s="628"/>
      <c r="R66" s="628"/>
      <c r="S66" s="628"/>
      <c r="T66" s="629"/>
      <c r="U66" s="552" t="s">
        <v>30827</v>
      </c>
      <c r="V66" s="553"/>
      <c r="W66" s="553"/>
      <c r="X66" s="553"/>
      <c r="Y66" s="553"/>
      <c r="Z66" s="427" t="s">
        <v>15626</v>
      </c>
      <c r="AA66" s="977">
        <f>$AA$8</f>
        <v>0.96499999999999997</v>
      </c>
      <c r="AB66" s="978"/>
      <c r="AC66" s="639"/>
      <c r="AD66" s="642"/>
      <c r="AE66" s="642"/>
      <c r="AF66" s="424"/>
      <c r="AG66" s="424"/>
      <c r="AH66" s="425"/>
      <c r="AI66" s="392">
        <f>ROUND(ROUND(Q65*AA66,0)*AG$55,0)</f>
        <v>284</v>
      </c>
      <c r="AJ66" s="359"/>
    </row>
    <row r="67" spans="1:36" ht="17.100000000000001" customHeight="1" x14ac:dyDescent="0.15">
      <c r="A67" s="321">
        <v>21</v>
      </c>
      <c r="B67" s="341" t="s">
        <v>2728</v>
      </c>
      <c r="C67" s="386" t="s">
        <v>31479</v>
      </c>
      <c r="D67" s="423"/>
      <c r="E67" s="425"/>
      <c r="F67" s="941" t="s">
        <v>30877</v>
      </c>
      <c r="G67" s="968"/>
      <c r="H67" s="547" t="s">
        <v>30820</v>
      </c>
      <c r="I67" s="396"/>
      <c r="J67" s="396"/>
      <c r="K67" s="396"/>
      <c r="L67" s="396"/>
      <c r="M67" s="396"/>
      <c r="N67" s="396"/>
      <c r="O67" s="396"/>
      <c r="P67" s="396"/>
      <c r="Q67" s="976">
        <f>'5療養介護(基本)'!I58</f>
        <v>556</v>
      </c>
      <c r="R67" s="976"/>
      <c r="S67" s="396" t="s">
        <v>15624</v>
      </c>
      <c r="T67" s="397"/>
      <c r="U67" s="547"/>
      <c r="V67" s="400"/>
      <c r="W67" s="400"/>
      <c r="X67" s="400"/>
      <c r="Y67" s="400"/>
      <c r="Z67" s="400"/>
      <c r="AA67" s="400"/>
      <c r="AB67" s="400"/>
      <c r="AC67" s="639"/>
      <c r="AD67" s="642"/>
      <c r="AE67" s="642"/>
      <c r="AF67" s="424"/>
      <c r="AG67" s="424"/>
      <c r="AH67" s="425"/>
      <c r="AI67" s="392">
        <f>ROUND(Q67*AG$55,0)</f>
        <v>278</v>
      </c>
      <c r="AJ67" s="339"/>
    </row>
    <row r="68" spans="1:36" ht="17.100000000000001" customHeight="1" x14ac:dyDescent="0.15">
      <c r="A68" s="340">
        <v>21</v>
      </c>
      <c r="B68" s="341" t="s">
        <v>2734</v>
      </c>
      <c r="C68" s="390" t="s">
        <v>31480</v>
      </c>
      <c r="D68" s="423"/>
      <c r="E68" s="425"/>
      <c r="F68" s="943"/>
      <c r="G68" s="969"/>
      <c r="H68" s="627"/>
      <c r="I68" s="628"/>
      <c r="J68" s="628"/>
      <c r="K68" s="628"/>
      <c r="L68" s="628"/>
      <c r="M68" s="628"/>
      <c r="N68" s="628"/>
      <c r="O68" s="628"/>
      <c r="P68" s="628"/>
      <c r="Q68" s="628"/>
      <c r="R68" s="628"/>
      <c r="S68" s="628"/>
      <c r="T68" s="629"/>
      <c r="U68" s="552" t="s">
        <v>30827</v>
      </c>
      <c r="V68" s="553"/>
      <c r="W68" s="553"/>
      <c r="X68" s="553"/>
      <c r="Y68" s="553"/>
      <c r="Z68" s="427" t="s">
        <v>15626</v>
      </c>
      <c r="AA68" s="977">
        <f>$AA$8</f>
        <v>0.96499999999999997</v>
      </c>
      <c r="AB68" s="978"/>
      <c r="AC68" s="639"/>
      <c r="AD68" s="642"/>
      <c r="AE68" s="642"/>
      <c r="AF68" s="424"/>
      <c r="AG68" s="424"/>
      <c r="AH68" s="425"/>
      <c r="AI68" s="392">
        <f>ROUND(ROUND(Q67*AA68,0)*AG$55,0)</f>
        <v>269</v>
      </c>
      <c r="AJ68" s="359"/>
    </row>
    <row r="69" spans="1:36" ht="17.100000000000001" customHeight="1" x14ac:dyDescent="0.15">
      <c r="A69" s="340">
        <v>21</v>
      </c>
      <c r="B69" s="341" t="s">
        <v>26514</v>
      </c>
      <c r="C69" s="390" t="s">
        <v>31481</v>
      </c>
      <c r="D69" s="423"/>
      <c r="E69" s="425"/>
      <c r="F69" s="974"/>
      <c r="G69" s="975"/>
      <c r="H69" s="547" t="s">
        <v>30831</v>
      </c>
      <c r="I69" s="396"/>
      <c r="J69" s="396"/>
      <c r="K69" s="396"/>
      <c r="L69" s="396"/>
      <c r="M69" s="396"/>
      <c r="N69" s="396"/>
      <c r="O69" s="396"/>
      <c r="P69" s="396"/>
      <c r="Q69" s="976">
        <f>'5療養介護(基本)'!I64</f>
        <v>527</v>
      </c>
      <c r="R69" s="976"/>
      <c r="S69" s="396" t="s">
        <v>15624</v>
      </c>
      <c r="T69" s="397"/>
      <c r="U69" s="547"/>
      <c r="V69" s="400"/>
      <c r="W69" s="400"/>
      <c r="X69" s="400"/>
      <c r="Y69" s="400"/>
      <c r="Z69" s="400"/>
      <c r="AA69" s="400"/>
      <c r="AB69" s="400"/>
      <c r="AC69" s="639"/>
      <c r="AD69" s="642"/>
      <c r="AE69" s="642"/>
      <c r="AF69" s="424"/>
      <c r="AG69" s="424"/>
      <c r="AH69" s="425"/>
      <c r="AI69" s="392">
        <f>ROUND(Q69*AG$55,0)</f>
        <v>264</v>
      </c>
      <c r="AJ69" s="359"/>
    </row>
    <row r="70" spans="1:36" ht="17.100000000000001" customHeight="1" x14ac:dyDescent="0.15">
      <c r="A70" s="340">
        <v>21</v>
      </c>
      <c r="B70" s="341" t="s">
        <v>26520</v>
      </c>
      <c r="C70" s="390" t="s">
        <v>31482</v>
      </c>
      <c r="D70" s="423"/>
      <c r="E70" s="425"/>
      <c r="F70" s="974"/>
      <c r="G70" s="975"/>
      <c r="H70" s="627"/>
      <c r="I70" s="628"/>
      <c r="J70" s="628"/>
      <c r="K70" s="628"/>
      <c r="L70" s="628"/>
      <c r="M70" s="628"/>
      <c r="N70" s="628"/>
      <c r="O70" s="628"/>
      <c r="P70" s="628"/>
      <c r="Q70" s="628"/>
      <c r="R70" s="628"/>
      <c r="S70" s="628"/>
      <c r="T70" s="629"/>
      <c r="U70" s="552" t="s">
        <v>30827</v>
      </c>
      <c r="V70" s="553"/>
      <c r="W70" s="553"/>
      <c r="X70" s="553"/>
      <c r="Y70" s="553"/>
      <c r="Z70" s="427" t="s">
        <v>15626</v>
      </c>
      <c r="AA70" s="977">
        <f>$AA$8</f>
        <v>0.96499999999999997</v>
      </c>
      <c r="AB70" s="978"/>
      <c r="AC70" s="639"/>
      <c r="AD70" s="642"/>
      <c r="AE70" s="642"/>
      <c r="AF70" s="424"/>
      <c r="AG70" s="424"/>
      <c r="AH70" s="425"/>
      <c r="AI70" s="392">
        <f>ROUND(ROUND(Q69*AA70,0)*AG$55,0)</f>
        <v>255</v>
      </c>
      <c r="AJ70" s="359"/>
    </row>
    <row r="71" spans="1:36" ht="17.100000000000001" customHeight="1" x14ac:dyDescent="0.15">
      <c r="A71" s="340">
        <v>21</v>
      </c>
      <c r="B71" s="341" t="s">
        <v>26534</v>
      </c>
      <c r="C71" s="390" t="s">
        <v>31483</v>
      </c>
      <c r="D71" s="423"/>
      <c r="E71" s="425"/>
      <c r="F71" s="974"/>
      <c r="G71" s="975"/>
      <c r="H71" s="547" t="s">
        <v>30838</v>
      </c>
      <c r="I71" s="396"/>
      <c r="J71" s="396"/>
      <c r="K71" s="396"/>
      <c r="L71" s="396"/>
      <c r="M71" s="396"/>
      <c r="N71" s="396"/>
      <c r="O71" s="396"/>
      <c r="P71" s="396"/>
      <c r="Q71" s="976">
        <f>'5療養介護(基本)'!I70</f>
        <v>497</v>
      </c>
      <c r="R71" s="976"/>
      <c r="S71" s="396" t="s">
        <v>15624</v>
      </c>
      <c r="T71" s="397"/>
      <c r="U71" s="547"/>
      <c r="V71" s="400"/>
      <c r="W71" s="400"/>
      <c r="X71" s="400"/>
      <c r="Y71" s="400"/>
      <c r="Z71" s="400"/>
      <c r="AA71" s="400"/>
      <c r="AB71" s="400"/>
      <c r="AC71" s="639"/>
      <c r="AD71" s="642"/>
      <c r="AE71" s="642"/>
      <c r="AF71" s="424"/>
      <c r="AG71" s="424"/>
      <c r="AH71" s="425"/>
      <c r="AI71" s="392">
        <f>ROUND(Q71*AG$55,0)</f>
        <v>249</v>
      </c>
      <c r="AJ71" s="359"/>
    </row>
    <row r="72" spans="1:36" ht="17.100000000000001" customHeight="1" x14ac:dyDescent="0.15">
      <c r="A72" s="340">
        <v>21</v>
      </c>
      <c r="B72" s="341" t="s">
        <v>26540</v>
      </c>
      <c r="C72" s="390" t="s">
        <v>31484</v>
      </c>
      <c r="D72" s="423"/>
      <c r="E72" s="425"/>
      <c r="F72" s="974"/>
      <c r="G72" s="975"/>
      <c r="H72" s="627"/>
      <c r="I72" s="628"/>
      <c r="J72" s="628"/>
      <c r="K72" s="628"/>
      <c r="L72" s="628"/>
      <c r="M72" s="628"/>
      <c r="N72" s="628"/>
      <c r="O72" s="628"/>
      <c r="P72" s="628"/>
      <c r="Q72" s="628"/>
      <c r="R72" s="628"/>
      <c r="S72" s="628"/>
      <c r="T72" s="629"/>
      <c r="U72" s="552" t="s">
        <v>30827</v>
      </c>
      <c r="V72" s="553"/>
      <c r="W72" s="553"/>
      <c r="X72" s="553"/>
      <c r="Y72" s="553"/>
      <c r="Z72" s="427" t="s">
        <v>15626</v>
      </c>
      <c r="AA72" s="977">
        <f>$AA$8</f>
        <v>0.96499999999999997</v>
      </c>
      <c r="AB72" s="978"/>
      <c r="AC72" s="639"/>
      <c r="AD72" s="642"/>
      <c r="AE72" s="642"/>
      <c r="AF72" s="424"/>
      <c r="AG72" s="424"/>
      <c r="AH72" s="425"/>
      <c r="AI72" s="392">
        <f>ROUND(ROUND(Q71*AA72,0)*AG$55,0)</f>
        <v>240</v>
      </c>
      <c r="AJ72" s="359"/>
    </row>
    <row r="73" spans="1:36" ht="17.100000000000001" customHeight="1" x14ac:dyDescent="0.15">
      <c r="A73" s="340">
        <v>21</v>
      </c>
      <c r="B73" s="341" t="s">
        <v>26558</v>
      </c>
      <c r="C73" s="390" t="s">
        <v>31485</v>
      </c>
      <c r="D73" s="423"/>
      <c r="E73" s="425"/>
      <c r="F73" s="974"/>
      <c r="G73" s="975"/>
      <c r="H73" s="547" t="s">
        <v>30845</v>
      </c>
      <c r="I73" s="396"/>
      <c r="J73" s="396"/>
      <c r="K73" s="396"/>
      <c r="L73" s="396"/>
      <c r="M73" s="396"/>
      <c r="N73" s="396"/>
      <c r="O73" s="396"/>
      <c r="P73" s="396"/>
      <c r="Q73" s="976">
        <f>'5療養介護(基本)'!I76</f>
        <v>475</v>
      </c>
      <c r="R73" s="976"/>
      <c r="S73" s="396" t="s">
        <v>15624</v>
      </c>
      <c r="T73" s="397"/>
      <c r="U73" s="547"/>
      <c r="V73" s="400"/>
      <c r="W73" s="400"/>
      <c r="X73" s="400"/>
      <c r="Y73" s="400"/>
      <c r="Z73" s="400"/>
      <c r="AA73" s="400"/>
      <c r="AB73" s="400"/>
      <c r="AC73" s="639"/>
      <c r="AD73" s="642"/>
      <c r="AE73" s="642"/>
      <c r="AF73" s="424"/>
      <c r="AG73" s="424"/>
      <c r="AH73" s="425"/>
      <c r="AI73" s="392">
        <f>ROUND(Q73*AG$55,0)</f>
        <v>238</v>
      </c>
      <c r="AJ73" s="359"/>
    </row>
    <row r="74" spans="1:36" ht="17.100000000000001" customHeight="1" x14ac:dyDescent="0.15">
      <c r="A74" s="340">
        <v>21</v>
      </c>
      <c r="B74" s="341" t="s">
        <v>26564</v>
      </c>
      <c r="C74" s="390" t="s">
        <v>31486</v>
      </c>
      <c r="D74" s="423"/>
      <c r="E74" s="425"/>
      <c r="F74" s="974"/>
      <c r="G74" s="975"/>
      <c r="H74" s="627"/>
      <c r="I74" s="628"/>
      <c r="J74" s="628"/>
      <c r="K74" s="628"/>
      <c r="L74" s="628"/>
      <c r="M74" s="628"/>
      <c r="N74" s="628"/>
      <c r="O74" s="628"/>
      <c r="P74" s="628"/>
      <c r="Q74" s="628"/>
      <c r="R74" s="628"/>
      <c r="S74" s="628"/>
      <c r="T74" s="629"/>
      <c r="U74" s="552" t="s">
        <v>30827</v>
      </c>
      <c r="V74" s="553"/>
      <c r="W74" s="553"/>
      <c r="X74" s="553"/>
      <c r="Y74" s="553"/>
      <c r="Z74" s="427" t="s">
        <v>15626</v>
      </c>
      <c r="AA74" s="977">
        <f>$AA$8</f>
        <v>0.96499999999999997</v>
      </c>
      <c r="AB74" s="978"/>
      <c r="AC74" s="639"/>
      <c r="AD74" s="642"/>
      <c r="AE74" s="642"/>
      <c r="AF74" s="424"/>
      <c r="AG74" s="424"/>
      <c r="AH74" s="425"/>
      <c r="AI74" s="392">
        <f>ROUND(ROUND(Q73*AA74,0)*AG$55,0)</f>
        <v>229</v>
      </c>
      <c r="AJ74" s="359"/>
    </row>
    <row r="75" spans="1:36" ht="17.100000000000001" customHeight="1" x14ac:dyDescent="0.15">
      <c r="A75" s="340">
        <v>21</v>
      </c>
      <c r="B75" s="341" t="s">
        <v>26578</v>
      </c>
      <c r="C75" s="390" t="s">
        <v>31487</v>
      </c>
      <c r="D75" s="423"/>
      <c r="E75" s="425"/>
      <c r="F75" s="992" t="s">
        <v>30902</v>
      </c>
      <c r="G75" s="993"/>
      <c r="H75" s="330" t="s">
        <v>30820</v>
      </c>
      <c r="I75" s="343"/>
      <c r="J75" s="343"/>
      <c r="K75" s="343"/>
      <c r="L75" s="343"/>
      <c r="M75" s="343"/>
      <c r="N75" s="343"/>
      <c r="O75" s="343"/>
      <c r="P75" s="343"/>
      <c r="Q75" s="983">
        <f>'5療養介護(基本)'!I81</f>
        <v>445</v>
      </c>
      <c r="R75" s="983"/>
      <c r="S75" s="343" t="s">
        <v>15624</v>
      </c>
      <c r="T75" s="343"/>
      <c r="U75" s="343"/>
      <c r="V75" s="454"/>
      <c r="W75" s="454"/>
      <c r="X75" s="454"/>
      <c r="Y75" s="454"/>
      <c r="Z75" s="454"/>
      <c r="AA75" s="454"/>
      <c r="AB75" s="634"/>
      <c r="AC75" s="639"/>
      <c r="AD75" s="642"/>
      <c r="AE75" s="642"/>
      <c r="AF75" s="424"/>
      <c r="AG75" s="424"/>
      <c r="AH75" s="425"/>
      <c r="AI75" s="392">
        <f>ROUND(Q75*AG$55,0)</f>
        <v>223</v>
      </c>
      <c r="AJ75" s="359"/>
    </row>
    <row r="76" spans="1:36" ht="17.100000000000001" customHeight="1" x14ac:dyDescent="0.15">
      <c r="A76" s="340">
        <v>21</v>
      </c>
      <c r="B76" s="341" t="s">
        <v>26590</v>
      </c>
      <c r="C76" s="390" t="s">
        <v>31488</v>
      </c>
      <c r="D76" s="423"/>
      <c r="E76" s="425"/>
      <c r="F76" s="994"/>
      <c r="G76" s="995"/>
      <c r="H76" s="330" t="s">
        <v>30831</v>
      </c>
      <c r="I76" s="343"/>
      <c r="J76" s="343"/>
      <c r="K76" s="343"/>
      <c r="L76" s="343"/>
      <c r="M76" s="343"/>
      <c r="N76" s="343"/>
      <c r="O76" s="343"/>
      <c r="P76" s="343"/>
      <c r="Q76" s="983">
        <f>'5療養介護(基本)'!I84</f>
        <v>409</v>
      </c>
      <c r="R76" s="983"/>
      <c r="S76" s="343" t="s">
        <v>15624</v>
      </c>
      <c r="T76" s="343"/>
      <c r="U76" s="343"/>
      <c r="V76" s="454"/>
      <c r="W76" s="454"/>
      <c r="X76" s="454"/>
      <c r="Y76" s="454"/>
      <c r="Z76" s="454"/>
      <c r="AA76" s="454"/>
      <c r="AB76" s="634"/>
      <c r="AC76" s="639"/>
      <c r="AD76" s="642"/>
      <c r="AE76" s="642"/>
      <c r="AF76" s="424"/>
      <c r="AG76" s="424"/>
      <c r="AH76" s="425"/>
      <c r="AI76" s="392">
        <f>ROUND(Q76*AG$55,0)</f>
        <v>205</v>
      </c>
      <c r="AJ76" s="359"/>
    </row>
    <row r="77" spans="1:36" ht="17.100000000000001" customHeight="1" x14ac:dyDescent="0.15">
      <c r="A77" s="340">
        <v>21</v>
      </c>
      <c r="B77" s="341" t="s">
        <v>2765</v>
      </c>
      <c r="C77" s="390" t="s">
        <v>31489</v>
      </c>
      <c r="D77" s="423"/>
      <c r="E77" s="425"/>
      <c r="F77" s="996"/>
      <c r="G77" s="997"/>
      <c r="H77" s="330" t="s">
        <v>30838</v>
      </c>
      <c r="I77" s="343"/>
      <c r="J77" s="343"/>
      <c r="K77" s="343"/>
      <c r="L77" s="343"/>
      <c r="M77" s="343"/>
      <c r="N77" s="343"/>
      <c r="O77" s="343"/>
      <c r="P77" s="343"/>
      <c r="Q77" s="983">
        <f>'5療養介護(基本)'!I87</f>
        <v>381</v>
      </c>
      <c r="R77" s="983"/>
      <c r="S77" s="343" t="s">
        <v>15624</v>
      </c>
      <c r="T77" s="343"/>
      <c r="U77" s="343"/>
      <c r="V77" s="454"/>
      <c r="W77" s="454"/>
      <c r="X77" s="454"/>
      <c r="Y77" s="454"/>
      <c r="Z77" s="454"/>
      <c r="AA77" s="454"/>
      <c r="AB77" s="634"/>
      <c r="AC77" s="639"/>
      <c r="AD77" s="642"/>
      <c r="AE77" s="642"/>
      <c r="AF77" s="424"/>
      <c r="AG77" s="424"/>
      <c r="AH77" s="425"/>
      <c r="AI77" s="392">
        <f>ROUND(Q77*AG$55,0)</f>
        <v>191</v>
      </c>
      <c r="AJ77" s="359"/>
    </row>
    <row r="78" spans="1:36" ht="17.100000000000001" customHeight="1" x14ac:dyDescent="0.15">
      <c r="A78" s="340">
        <v>21</v>
      </c>
      <c r="B78" s="341" t="s">
        <v>26610</v>
      </c>
      <c r="C78" s="390" t="s">
        <v>31490</v>
      </c>
      <c r="D78" s="423"/>
      <c r="E78" s="425"/>
      <c r="F78" s="996"/>
      <c r="G78" s="997"/>
      <c r="H78" s="330" t="s">
        <v>30845</v>
      </c>
      <c r="I78" s="343"/>
      <c r="J78" s="343"/>
      <c r="K78" s="343"/>
      <c r="L78" s="343"/>
      <c r="M78" s="343"/>
      <c r="N78" s="343"/>
      <c r="O78" s="343"/>
      <c r="P78" s="343"/>
      <c r="Q78" s="983">
        <f>'5療養介護(基本)'!I90</f>
        <v>361</v>
      </c>
      <c r="R78" s="983"/>
      <c r="S78" s="343" t="s">
        <v>15624</v>
      </c>
      <c r="T78" s="343"/>
      <c r="U78" s="343"/>
      <c r="V78" s="454"/>
      <c r="W78" s="454"/>
      <c r="X78" s="454"/>
      <c r="Y78" s="454"/>
      <c r="Z78" s="454"/>
      <c r="AA78" s="454"/>
      <c r="AB78" s="634"/>
      <c r="AC78" s="639"/>
      <c r="AD78" s="642"/>
      <c r="AE78" s="642"/>
      <c r="AF78" s="424"/>
      <c r="AG78" s="424"/>
      <c r="AH78" s="425"/>
      <c r="AI78" s="392">
        <f>ROUND(Q78*AG$55,0)</f>
        <v>181</v>
      </c>
      <c r="AJ78" s="359"/>
    </row>
    <row r="79" spans="1:36" ht="17.100000000000001" customHeight="1" x14ac:dyDescent="0.15">
      <c r="A79" s="321">
        <v>21</v>
      </c>
      <c r="B79" s="341" t="s">
        <v>26622</v>
      </c>
      <c r="C79" s="386" t="s">
        <v>31491</v>
      </c>
      <c r="D79" s="423"/>
      <c r="E79" s="425"/>
      <c r="F79" s="941" t="s">
        <v>30915</v>
      </c>
      <c r="G79" s="968"/>
      <c r="H79" s="547" t="s">
        <v>30820</v>
      </c>
      <c r="I79" s="396"/>
      <c r="J79" s="396"/>
      <c r="K79" s="396"/>
      <c r="L79" s="396"/>
      <c r="M79" s="396"/>
      <c r="N79" s="396"/>
      <c r="O79" s="396"/>
      <c r="P79" s="396"/>
      <c r="Q79" s="976">
        <f>'5療養介護(基本)'!I94</f>
        <v>445</v>
      </c>
      <c r="R79" s="976"/>
      <c r="S79" s="396" t="s">
        <v>15624</v>
      </c>
      <c r="T79" s="397"/>
      <c r="U79" s="490"/>
      <c r="V79" s="151"/>
      <c r="W79" s="151"/>
      <c r="X79" s="151"/>
      <c r="Y79" s="151"/>
      <c r="Z79" s="151"/>
      <c r="AA79" s="151"/>
      <c r="AB79" s="151"/>
      <c r="AC79" s="639"/>
      <c r="AD79" s="642"/>
      <c r="AE79" s="642"/>
      <c r="AF79" s="424"/>
      <c r="AG79" s="424"/>
      <c r="AH79" s="425"/>
      <c r="AI79" s="392">
        <f>ROUND(Q79*AG$55,0)</f>
        <v>223</v>
      </c>
      <c r="AJ79" s="339"/>
    </row>
    <row r="80" spans="1:36" ht="17.100000000000001" customHeight="1" x14ac:dyDescent="0.15">
      <c r="A80" s="340">
        <v>21</v>
      </c>
      <c r="B80" s="341" t="s">
        <v>26628</v>
      </c>
      <c r="C80" s="390" t="s">
        <v>31492</v>
      </c>
      <c r="D80" s="423"/>
      <c r="E80" s="425"/>
      <c r="F80" s="943"/>
      <c r="G80" s="969"/>
      <c r="H80" s="627"/>
      <c r="I80" s="628"/>
      <c r="J80" s="628"/>
      <c r="K80" s="628"/>
      <c r="L80" s="628"/>
      <c r="M80" s="628"/>
      <c r="N80" s="628"/>
      <c r="O80" s="628"/>
      <c r="P80" s="628"/>
      <c r="Q80" s="628"/>
      <c r="R80" s="628"/>
      <c r="S80" s="628"/>
      <c r="T80" s="629"/>
      <c r="U80" s="552" t="s">
        <v>30827</v>
      </c>
      <c r="V80" s="553"/>
      <c r="W80" s="553"/>
      <c r="X80" s="553"/>
      <c r="Y80" s="553"/>
      <c r="Z80" s="427" t="s">
        <v>15626</v>
      </c>
      <c r="AA80" s="977">
        <f>$AA$8</f>
        <v>0.96499999999999997</v>
      </c>
      <c r="AB80" s="978"/>
      <c r="AC80" s="639"/>
      <c r="AD80" s="642"/>
      <c r="AE80" s="642"/>
      <c r="AF80" s="424"/>
      <c r="AG80" s="424"/>
      <c r="AH80" s="425"/>
      <c r="AI80" s="392">
        <f>ROUND(ROUND(Q79*AA80,0)*AG$55,0)</f>
        <v>215</v>
      </c>
      <c r="AJ80" s="359"/>
    </row>
    <row r="81" spans="1:36" ht="17.100000000000001" customHeight="1" x14ac:dyDescent="0.15">
      <c r="A81" s="340">
        <v>21</v>
      </c>
      <c r="B81" s="341" t="s">
        <v>26642</v>
      </c>
      <c r="C81" s="390" t="s">
        <v>31493</v>
      </c>
      <c r="D81" s="423"/>
      <c r="E81" s="424"/>
      <c r="F81" s="974"/>
      <c r="G81" s="975"/>
      <c r="H81" s="547" t="s">
        <v>30831</v>
      </c>
      <c r="I81" s="396"/>
      <c r="J81" s="396"/>
      <c r="K81" s="396"/>
      <c r="L81" s="396"/>
      <c r="M81" s="396"/>
      <c r="N81" s="396"/>
      <c r="O81" s="396"/>
      <c r="P81" s="396"/>
      <c r="Q81" s="976">
        <f>'5療養介護(基本)'!I100</f>
        <v>409</v>
      </c>
      <c r="R81" s="976"/>
      <c r="S81" s="396" t="s">
        <v>15624</v>
      </c>
      <c r="T81" s="397"/>
      <c r="U81" s="547"/>
      <c r="V81" s="400"/>
      <c r="W81" s="400"/>
      <c r="X81" s="400"/>
      <c r="Y81" s="400"/>
      <c r="Z81" s="400"/>
      <c r="AA81" s="400"/>
      <c r="AB81" s="400"/>
      <c r="AC81" s="639"/>
      <c r="AD81" s="642"/>
      <c r="AE81" s="642"/>
      <c r="AF81" s="424"/>
      <c r="AG81" s="424"/>
      <c r="AH81" s="425"/>
      <c r="AI81" s="392">
        <f>ROUND(Q81*AG$55,0)</f>
        <v>205</v>
      </c>
      <c r="AJ81" s="359"/>
    </row>
    <row r="82" spans="1:36" ht="17.100000000000001" customHeight="1" x14ac:dyDescent="0.15">
      <c r="A82" s="340">
        <v>21</v>
      </c>
      <c r="B82" s="341" t="s">
        <v>26648</v>
      </c>
      <c r="C82" s="390" t="s">
        <v>31494</v>
      </c>
      <c r="D82" s="423"/>
      <c r="E82" s="424"/>
      <c r="F82" s="974"/>
      <c r="G82" s="975"/>
      <c r="H82" s="627"/>
      <c r="I82" s="628"/>
      <c r="J82" s="628"/>
      <c r="K82" s="628"/>
      <c r="L82" s="628"/>
      <c r="M82" s="628"/>
      <c r="N82" s="628"/>
      <c r="O82" s="628"/>
      <c r="P82" s="628"/>
      <c r="Q82" s="628"/>
      <c r="R82" s="628"/>
      <c r="S82" s="628"/>
      <c r="T82" s="629"/>
      <c r="U82" s="552" t="s">
        <v>30827</v>
      </c>
      <c r="V82" s="553"/>
      <c r="W82" s="553"/>
      <c r="X82" s="553"/>
      <c r="Y82" s="553"/>
      <c r="Z82" s="427" t="s">
        <v>15626</v>
      </c>
      <c r="AA82" s="977">
        <f>$AA$8</f>
        <v>0.96499999999999997</v>
      </c>
      <c r="AB82" s="978"/>
      <c r="AC82" s="639"/>
      <c r="AD82" s="642"/>
      <c r="AE82" s="642"/>
      <c r="AF82" s="424"/>
      <c r="AG82" s="424"/>
      <c r="AH82" s="425"/>
      <c r="AI82" s="392">
        <f>ROUND(ROUND(Q81*AA82,0)*AG$55,0)</f>
        <v>198</v>
      </c>
      <c r="AJ82" s="359"/>
    </row>
    <row r="83" spans="1:36" ht="17.100000000000001" customHeight="1" x14ac:dyDescent="0.15">
      <c r="A83" s="340">
        <v>21</v>
      </c>
      <c r="B83" s="341" t="s">
        <v>26666</v>
      </c>
      <c r="C83" s="390" t="s">
        <v>31495</v>
      </c>
      <c r="D83" s="423"/>
      <c r="E83" s="424"/>
      <c r="F83" s="974"/>
      <c r="G83" s="975"/>
      <c r="H83" s="547" t="s">
        <v>30838</v>
      </c>
      <c r="I83" s="396"/>
      <c r="J83" s="396"/>
      <c r="K83" s="396"/>
      <c r="L83" s="396"/>
      <c r="M83" s="396"/>
      <c r="N83" s="396"/>
      <c r="O83" s="396"/>
      <c r="P83" s="396"/>
      <c r="Q83" s="976">
        <f>'5療養介護(基本)'!I106</f>
        <v>381</v>
      </c>
      <c r="R83" s="976"/>
      <c r="S83" s="396" t="s">
        <v>15624</v>
      </c>
      <c r="T83" s="397"/>
      <c r="U83" s="547"/>
      <c r="V83" s="400"/>
      <c r="W83" s="400"/>
      <c r="X83" s="400"/>
      <c r="Y83" s="400"/>
      <c r="Z83" s="400"/>
      <c r="AA83" s="400"/>
      <c r="AB83" s="400"/>
      <c r="AC83" s="639"/>
      <c r="AD83" s="642"/>
      <c r="AE83" s="642"/>
      <c r="AF83" s="424"/>
      <c r="AG83" s="424"/>
      <c r="AH83" s="425"/>
      <c r="AI83" s="392">
        <f>ROUND(Q83*AG$55,0)</f>
        <v>191</v>
      </c>
      <c r="AJ83" s="359"/>
    </row>
    <row r="84" spans="1:36" ht="17.100000000000001" customHeight="1" x14ac:dyDescent="0.15">
      <c r="A84" s="340">
        <v>21</v>
      </c>
      <c r="B84" s="341" t="s">
        <v>26672</v>
      </c>
      <c r="C84" s="390" t="s">
        <v>31496</v>
      </c>
      <c r="D84" s="423"/>
      <c r="E84" s="424"/>
      <c r="F84" s="974"/>
      <c r="G84" s="975"/>
      <c r="H84" s="627"/>
      <c r="I84" s="628"/>
      <c r="J84" s="628"/>
      <c r="K84" s="628"/>
      <c r="L84" s="628"/>
      <c r="M84" s="628"/>
      <c r="N84" s="628"/>
      <c r="O84" s="628"/>
      <c r="P84" s="628"/>
      <c r="Q84" s="628"/>
      <c r="R84" s="628"/>
      <c r="S84" s="628"/>
      <c r="T84" s="629"/>
      <c r="U84" s="552" t="s">
        <v>30827</v>
      </c>
      <c r="V84" s="553"/>
      <c r="W84" s="553"/>
      <c r="X84" s="553"/>
      <c r="Y84" s="553"/>
      <c r="Z84" s="427" t="s">
        <v>15626</v>
      </c>
      <c r="AA84" s="977">
        <f>$AA$8</f>
        <v>0.96499999999999997</v>
      </c>
      <c r="AB84" s="978"/>
      <c r="AC84" s="639"/>
      <c r="AD84" s="642"/>
      <c r="AE84" s="642"/>
      <c r="AF84" s="424"/>
      <c r="AG84" s="424"/>
      <c r="AH84" s="425"/>
      <c r="AI84" s="392">
        <f>ROUND(ROUND(Q83*AA84,0)*AG$55,0)</f>
        <v>184</v>
      </c>
      <c r="AJ84" s="359"/>
    </row>
    <row r="85" spans="1:36" ht="17.100000000000001" customHeight="1" x14ac:dyDescent="0.15">
      <c r="A85" s="340">
        <v>21</v>
      </c>
      <c r="B85" s="341" t="s">
        <v>26686</v>
      </c>
      <c r="C85" s="390" t="s">
        <v>31497</v>
      </c>
      <c r="D85" s="423"/>
      <c r="E85" s="424"/>
      <c r="F85" s="974"/>
      <c r="G85" s="975"/>
      <c r="H85" s="547" t="s">
        <v>30845</v>
      </c>
      <c r="I85" s="396"/>
      <c r="J85" s="396"/>
      <c r="K85" s="396"/>
      <c r="L85" s="396"/>
      <c r="M85" s="396"/>
      <c r="N85" s="396"/>
      <c r="O85" s="396"/>
      <c r="P85" s="396"/>
      <c r="Q85" s="976">
        <f>'5療養介護(基本)'!I112</f>
        <v>361</v>
      </c>
      <c r="R85" s="976"/>
      <c r="S85" s="396" t="s">
        <v>15624</v>
      </c>
      <c r="T85" s="397"/>
      <c r="U85" s="547"/>
      <c r="V85" s="400"/>
      <c r="W85" s="400"/>
      <c r="X85" s="400"/>
      <c r="Y85" s="400"/>
      <c r="Z85" s="400"/>
      <c r="AA85" s="400"/>
      <c r="AB85" s="400"/>
      <c r="AC85" s="639"/>
      <c r="AD85" s="642"/>
      <c r="AE85" s="642"/>
      <c r="AF85" s="424"/>
      <c r="AG85" s="424"/>
      <c r="AH85" s="425"/>
      <c r="AI85" s="392">
        <f>ROUND(Q85*AG$55,0)</f>
        <v>181</v>
      </c>
      <c r="AJ85" s="359"/>
    </row>
    <row r="86" spans="1:36" ht="17.100000000000001" customHeight="1" x14ac:dyDescent="0.15">
      <c r="A86" s="340">
        <v>21</v>
      </c>
      <c r="B86" s="341" t="s">
        <v>26692</v>
      </c>
      <c r="C86" s="390" t="s">
        <v>31498</v>
      </c>
      <c r="D86" s="469"/>
      <c r="E86" s="470"/>
      <c r="F86" s="998"/>
      <c r="G86" s="999"/>
      <c r="H86" s="627"/>
      <c r="I86" s="628"/>
      <c r="J86" s="628"/>
      <c r="K86" s="628"/>
      <c r="L86" s="628"/>
      <c r="M86" s="628"/>
      <c r="N86" s="628"/>
      <c r="O86" s="628"/>
      <c r="P86" s="628"/>
      <c r="Q86" s="628"/>
      <c r="R86" s="628"/>
      <c r="S86" s="628"/>
      <c r="T86" s="629"/>
      <c r="U86" s="636" t="s">
        <v>30827</v>
      </c>
      <c r="V86" s="637"/>
      <c r="W86" s="637"/>
      <c r="X86" s="637"/>
      <c r="Y86" s="637"/>
      <c r="Z86" s="455" t="s">
        <v>15626</v>
      </c>
      <c r="AA86" s="977">
        <f>$AA$8</f>
        <v>0.96499999999999997</v>
      </c>
      <c r="AB86" s="978"/>
      <c r="AC86" s="627"/>
      <c r="AD86" s="628"/>
      <c r="AE86" s="628"/>
      <c r="AF86" s="470"/>
      <c r="AG86" s="470"/>
      <c r="AH86" s="471"/>
      <c r="AI86" s="353">
        <f>ROUND(ROUND(Q85*AA86,0)*AG$55,0)</f>
        <v>174</v>
      </c>
      <c r="AJ86" s="350"/>
    </row>
    <row r="87" spans="1:36" ht="17.100000000000001" customHeight="1" x14ac:dyDescent="0.15">
      <c r="A87" s="321">
        <v>21</v>
      </c>
      <c r="B87" s="322" t="s">
        <v>2801</v>
      </c>
      <c r="C87" s="386" t="s">
        <v>31499</v>
      </c>
      <c r="D87" s="943" t="s">
        <v>30940</v>
      </c>
      <c r="E87" s="944"/>
      <c r="F87" s="943" t="s">
        <v>30941</v>
      </c>
      <c r="G87" s="969"/>
      <c r="H87" s="547" t="s">
        <v>30820</v>
      </c>
      <c r="I87" s="396"/>
      <c r="J87" s="396"/>
      <c r="K87" s="396"/>
      <c r="L87" s="396"/>
      <c r="M87" s="396"/>
      <c r="N87" s="396"/>
      <c r="O87" s="396"/>
      <c r="P87" s="396"/>
      <c r="Q87" s="976">
        <f>'5療養介護(基本)'!I118</f>
        <v>902</v>
      </c>
      <c r="R87" s="976"/>
      <c r="S87" s="396" t="s">
        <v>15624</v>
      </c>
      <c r="T87" s="397"/>
      <c r="U87" s="490"/>
      <c r="V87" s="151"/>
      <c r="W87" s="151"/>
      <c r="X87" s="151"/>
      <c r="Y87" s="151"/>
      <c r="Z87" s="151"/>
      <c r="AA87" s="151"/>
      <c r="AB87" s="151"/>
      <c r="AC87" s="864" t="s">
        <v>31463</v>
      </c>
      <c r="AD87" s="865"/>
      <c r="AE87" s="865"/>
      <c r="AF87" s="865"/>
      <c r="AG87" s="865"/>
      <c r="AH87" s="865"/>
      <c r="AI87" s="389">
        <f>ROUND(Q87*AG$91,0)</f>
        <v>451</v>
      </c>
      <c r="AJ87" s="339" t="s">
        <v>30681</v>
      </c>
    </row>
    <row r="88" spans="1:36" ht="17.100000000000001" customHeight="1" x14ac:dyDescent="0.15">
      <c r="A88" s="340">
        <v>21</v>
      </c>
      <c r="B88" s="341" t="s">
        <v>2807</v>
      </c>
      <c r="C88" s="390" t="s">
        <v>31500</v>
      </c>
      <c r="D88" s="943"/>
      <c r="E88" s="944"/>
      <c r="F88" s="943"/>
      <c r="G88" s="969"/>
      <c r="H88" s="627"/>
      <c r="I88" s="628"/>
      <c r="J88" s="628"/>
      <c r="K88" s="628"/>
      <c r="L88" s="628"/>
      <c r="M88" s="628"/>
      <c r="N88" s="628"/>
      <c r="O88" s="628"/>
      <c r="P88" s="628"/>
      <c r="Q88" s="628"/>
      <c r="R88" s="628"/>
      <c r="S88" s="628"/>
      <c r="T88" s="629"/>
      <c r="U88" s="552" t="s">
        <v>30827</v>
      </c>
      <c r="V88" s="553"/>
      <c r="W88" s="553"/>
      <c r="X88" s="553"/>
      <c r="Y88" s="553"/>
      <c r="Z88" s="427" t="s">
        <v>15626</v>
      </c>
      <c r="AA88" s="977">
        <f>$AA$8</f>
        <v>0.96499999999999997</v>
      </c>
      <c r="AB88" s="978"/>
      <c r="AC88" s="864"/>
      <c r="AD88" s="865"/>
      <c r="AE88" s="865"/>
      <c r="AF88" s="865"/>
      <c r="AG88" s="865"/>
      <c r="AH88" s="865"/>
      <c r="AI88" s="392">
        <f>ROUND(ROUND(Q87*AA88,0)*AG$91,0)</f>
        <v>435</v>
      </c>
      <c r="AJ88" s="339"/>
    </row>
    <row r="89" spans="1:36" ht="17.100000000000001" customHeight="1" x14ac:dyDescent="0.15">
      <c r="A89" s="340">
        <v>21</v>
      </c>
      <c r="B89" s="341" t="s">
        <v>26730</v>
      </c>
      <c r="C89" s="390" t="s">
        <v>31501</v>
      </c>
      <c r="D89" s="715"/>
      <c r="E89" s="982"/>
      <c r="F89" s="943"/>
      <c r="G89" s="969"/>
      <c r="H89" s="547" t="s">
        <v>30831</v>
      </c>
      <c r="I89" s="396"/>
      <c r="J89" s="396"/>
      <c r="K89" s="396"/>
      <c r="L89" s="396"/>
      <c r="M89" s="396"/>
      <c r="N89" s="396"/>
      <c r="O89" s="396"/>
      <c r="P89" s="396"/>
      <c r="Q89" s="976">
        <f>'5療養介護(基本)'!I124</f>
        <v>902</v>
      </c>
      <c r="R89" s="976"/>
      <c r="S89" s="396" t="s">
        <v>15624</v>
      </c>
      <c r="T89" s="397"/>
      <c r="U89" s="547"/>
      <c r="V89" s="400"/>
      <c r="W89" s="400"/>
      <c r="X89" s="400"/>
      <c r="Y89" s="400"/>
      <c r="Z89" s="400"/>
      <c r="AA89" s="400"/>
      <c r="AB89" s="400"/>
      <c r="AC89" s="864"/>
      <c r="AD89" s="865"/>
      <c r="AE89" s="865"/>
      <c r="AF89" s="865"/>
      <c r="AG89" s="865"/>
      <c r="AH89" s="865"/>
      <c r="AI89" s="392">
        <f>ROUND(Q89*AG$91,0)</f>
        <v>451</v>
      </c>
      <c r="AJ89" s="339"/>
    </row>
    <row r="90" spans="1:36" ht="17.100000000000001" customHeight="1" x14ac:dyDescent="0.15">
      <c r="A90" s="340">
        <v>21</v>
      </c>
      <c r="B90" s="341" t="s">
        <v>26736</v>
      </c>
      <c r="C90" s="390" t="s">
        <v>31502</v>
      </c>
      <c r="D90" s="715"/>
      <c r="E90" s="982"/>
      <c r="F90" s="943"/>
      <c r="G90" s="969"/>
      <c r="H90" s="627"/>
      <c r="I90" s="628"/>
      <c r="J90" s="628"/>
      <c r="K90" s="628"/>
      <c r="L90" s="628"/>
      <c r="M90" s="628"/>
      <c r="N90" s="628"/>
      <c r="O90" s="628"/>
      <c r="P90" s="628"/>
      <c r="Q90" s="628"/>
      <c r="R90" s="628"/>
      <c r="S90" s="628"/>
      <c r="T90" s="629"/>
      <c r="U90" s="552" t="s">
        <v>30827</v>
      </c>
      <c r="V90" s="553"/>
      <c r="W90" s="553"/>
      <c r="X90" s="553"/>
      <c r="Y90" s="553"/>
      <c r="Z90" s="427" t="s">
        <v>15626</v>
      </c>
      <c r="AA90" s="977">
        <f>$AA$8</f>
        <v>0.96499999999999997</v>
      </c>
      <c r="AB90" s="978"/>
      <c r="AC90" s="864"/>
      <c r="AD90" s="865"/>
      <c r="AE90" s="865"/>
      <c r="AF90" s="865"/>
      <c r="AG90" s="865"/>
      <c r="AH90" s="865"/>
      <c r="AI90" s="392">
        <f>ROUND(ROUND(Q89*AA90,0)*AG$91,0)</f>
        <v>435</v>
      </c>
      <c r="AJ90" s="339"/>
    </row>
    <row r="91" spans="1:36" ht="17.100000000000001" customHeight="1" x14ac:dyDescent="0.15">
      <c r="A91" s="340">
        <v>21</v>
      </c>
      <c r="B91" s="341" t="s">
        <v>26750</v>
      </c>
      <c r="C91" s="390" t="s">
        <v>31503</v>
      </c>
      <c r="D91" s="715"/>
      <c r="E91" s="982"/>
      <c r="F91" s="974"/>
      <c r="G91" s="975"/>
      <c r="H91" s="547" t="s">
        <v>30838</v>
      </c>
      <c r="I91" s="396"/>
      <c r="J91" s="396"/>
      <c r="K91" s="396"/>
      <c r="L91" s="396"/>
      <c r="M91" s="396"/>
      <c r="N91" s="396"/>
      <c r="O91" s="396"/>
      <c r="P91" s="396"/>
      <c r="Q91" s="976">
        <f>'5療養介護(基本)'!I130</f>
        <v>873</v>
      </c>
      <c r="R91" s="976"/>
      <c r="S91" s="396" t="s">
        <v>15624</v>
      </c>
      <c r="T91" s="397"/>
      <c r="U91" s="547"/>
      <c r="V91" s="400"/>
      <c r="W91" s="400"/>
      <c r="X91" s="400"/>
      <c r="Y91" s="400"/>
      <c r="Z91" s="400"/>
      <c r="AA91" s="400"/>
      <c r="AB91" s="400"/>
      <c r="AC91" s="639"/>
      <c r="AD91" s="640"/>
      <c r="AE91" s="640"/>
      <c r="AF91" s="630" t="s">
        <v>15636</v>
      </c>
      <c r="AG91" s="991">
        <f>AG55</f>
        <v>0.5</v>
      </c>
      <c r="AH91" s="991"/>
      <c r="AI91" s="392">
        <f>ROUND(Q91*AG$91,0)</f>
        <v>437</v>
      </c>
      <c r="AJ91" s="339"/>
    </row>
    <row r="92" spans="1:36" ht="17.100000000000001" customHeight="1" x14ac:dyDescent="0.15">
      <c r="A92" s="340">
        <v>21</v>
      </c>
      <c r="B92" s="341" t="s">
        <v>26756</v>
      </c>
      <c r="C92" s="390" t="s">
        <v>31504</v>
      </c>
      <c r="D92" s="715"/>
      <c r="E92" s="982"/>
      <c r="F92" s="974"/>
      <c r="G92" s="975"/>
      <c r="H92" s="627"/>
      <c r="I92" s="628"/>
      <c r="J92" s="628"/>
      <c r="K92" s="628"/>
      <c r="L92" s="628"/>
      <c r="M92" s="628"/>
      <c r="N92" s="628"/>
      <c r="O92" s="628"/>
      <c r="P92" s="628"/>
      <c r="Q92" s="628"/>
      <c r="R92" s="628"/>
      <c r="S92" s="628"/>
      <c r="T92" s="629"/>
      <c r="U92" s="552" t="s">
        <v>30827</v>
      </c>
      <c r="V92" s="553"/>
      <c r="W92" s="553"/>
      <c r="X92" s="553"/>
      <c r="Y92" s="553"/>
      <c r="Z92" s="427" t="s">
        <v>15626</v>
      </c>
      <c r="AA92" s="977">
        <f>$AA$8</f>
        <v>0.96499999999999997</v>
      </c>
      <c r="AB92" s="978"/>
      <c r="AC92" s="639"/>
      <c r="AD92" s="640"/>
      <c r="AE92" s="640"/>
      <c r="AF92" s="424"/>
      <c r="AG92" s="424"/>
      <c r="AH92" s="424"/>
      <c r="AI92" s="392">
        <f>ROUND(ROUND(Q91*AA92,0)*AG$91,0)</f>
        <v>421</v>
      </c>
      <c r="AJ92" s="339"/>
    </row>
    <row r="93" spans="1:36" ht="17.100000000000001" customHeight="1" x14ac:dyDescent="0.15">
      <c r="A93" s="340">
        <v>21</v>
      </c>
      <c r="B93" s="341" t="s">
        <v>26775</v>
      </c>
      <c r="C93" s="390" t="s">
        <v>31505</v>
      </c>
      <c r="D93" s="715"/>
      <c r="E93" s="982"/>
      <c r="F93" s="974"/>
      <c r="G93" s="975"/>
      <c r="H93" s="547" t="s">
        <v>30845</v>
      </c>
      <c r="I93" s="396"/>
      <c r="J93" s="396"/>
      <c r="K93" s="396"/>
      <c r="L93" s="396"/>
      <c r="M93" s="396"/>
      <c r="N93" s="396"/>
      <c r="O93" s="396"/>
      <c r="P93" s="396"/>
      <c r="Q93" s="976">
        <f>'5療養介護(基本)'!I136</f>
        <v>838</v>
      </c>
      <c r="R93" s="976"/>
      <c r="S93" s="396" t="s">
        <v>15624</v>
      </c>
      <c r="T93" s="397"/>
      <c r="U93" s="547"/>
      <c r="V93" s="400"/>
      <c r="W93" s="400"/>
      <c r="X93" s="400"/>
      <c r="Y93" s="400"/>
      <c r="Z93" s="400"/>
      <c r="AA93" s="400"/>
      <c r="AB93" s="400"/>
      <c r="AC93" s="494"/>
      <c r="AD93" s="614"/>
      <c r="AE93" s="614"/>
      <c r="AF93" s="424"/>
      <c r="AG93" s="424"/>
      <c r="AH93" s="424"/>
      <c r="AI93" s="392">
        <f>ROUND(Q93*AG$91,0)</f>
        <v>419</v>
      </c>
      <c r="AJ93" s="359"/>
    </row>
    <row r="94" spans="1:36" ht="17.100000000000001" customHeight="1" x14ac:dyDescent="0.15">
      <c r="A94" s="340">
        <v>21</v>
      </c>
      <c r="B94" s="341" t="s">
        <v>26783</v>
      </c>
      <c r="C94" s="390" t="s">
        <v>31506</v>
      </c>
      <c r="D94" s="985"/>
      <c r="E94" s="986"/>
      <c r="F94" s="998"/>
      <c r="G94" s="999"/>
      <c r="H94" s="627"/>
      <c r="I94" s="628"/>
      <c r="J94" s="628"/>
      <c r="K94" s="628"/>
      <c r="L94" s="628"/>
      <c r="M94" s="628"/>
      <c r="N94" s="628"/>
      <c r="O94" s="628"/>
      <c r="P94" s="628"/>
      <c r="Q94" s="628"/>
      <c r="R94" s="628"/>
      <c r="S94" s="628"/>
      <c r="T94" s="629"/>
      <c r="U94" s="636" t="s">
        <v>30827</v>
      </c>
      <c r="V94" s="637"/>
      <c r="W94" s="637"/>
      <c r="X94" s="637"/>
      <c r="Y94" s="637"/>
      <c r="Z94" s="455" t="s">
        <v>15626</v>
      </c>
      <c r="AA94" s="977">
        <f>$AA$8</f>
        <v>0.96499999999999997</v>
      </c>
      <c r="AB94" s="978"/>
      <c r="AC94" s="641"/>
      <c r="AD94" s="417"/>
      <c r="AE94" s="417"/>
      <c r="AF94" s="470"/>
      <c r="AG94" s="470"/>
      <c r="AH94" s="470"/>
      <c r="AI94" s="353">
        <f>ROUND(ROUND(Q93*AA94,0)*AG$91,0)</f>
        <v>405</v>
      </c>
      <c r="AJ94" s="350"/>
    </row>
    <row r="95" spans="1:36" ht="17.100000000000001" customHeight="1" x14ac:dyDescent="0.15"/>
    <row r="96" spans="1:36" ht="17.100000000000001" customHeight="1" x14ac:dyDescent="0.15"/>
    <row r="97" ht="17.100000000000001" customHeight="1" x14ac:dyDescent="0.15"/>
    <row r="98" ht="17.100000000000001" customHeight="1" x14ac:dyDescent="0.15"/>
    <row r="99" ht="17.100000000000001" customHeight="1" x14ac:dyDescent="0.15"/>
    <row r="100" ht="17.100000000000001" customHeight="1" x14ac:dyDescent="0.15"/>
    <row r="101" ht="17.100000000000001" customHeight="1" x14ac:dyDescent="0.15"/>
    <row r="102" ht="17.100000000000001" customHeight="1" x14ac:dyDescent="0.15"/>
    <row r="103" ht="17.100000000000001" customHeight="1" x14ac:dyDescent="0.15"/>
    <row r="104" ht="17.100000000000001" customHeight="1" x14ac:dyDescent="0.15"/>
    <row r="105" ht="17.100000000000001" customHeight="1" x14ac:dyDescent="0.15"/>
  </sheetData>
  <mergeCells count="113">
    <mergeCell ref="Q93:R93"/>
    <mergeCell ref="AA94:AB94"/>
    <mergeCell ref="D87:E94"/>
    <mergeCell ref="F87:G94"/>
    <mergeCell ref="Q87:R87"/>
    <mergeCell ref="AC87:AH90"/>
    <mergeCell ref="AA88:AB88"/>
    <mergeCell ref="Q89:R89"/>
    <mergeCell ref="AA90:AB90"/>
    <mergeCell ref="Q91:R91"/>
    <mergeCell ref="AG91:AH91"/>
    <mergeCell ref="AA92:AB92"/>
    <mergeCell ref="F79:G86"/>
    <mergeCell ref="Q79:R79"/>
    <mergeCell ref="AA80:AB80"/>
    <mergeCell ref="Q81:R81"/>
    <mergeCell ref="AA82:AB82"/>
    <mergeCell ref="Q83:R83"/>
    <mergeCell ref="AA84:AB84"/>
    <mergeCell ref="Q85:R85"/>
    <mergeCell ref="AA86:AB86"/>
    <mergeCell ref="F59:G66"/>
    <mergeCell ref="Q59:R59"/>
    <mergeCell ref="AA60:AB60"/>
    <mergeCell ref="Q61:R61"/>
    <mergeCell ref="AA62:AB62"/>
    <mergeCell ref="Q63:R63"/>
    <mergeCell ref="Q73:R73"/>
    <mergeCell ref="AA74:AB74"/>
    <mergeCell ref="F75:G78"/>
    <mergeCell ref="Q75:R75"/>
    <mergeCell ref="Q76:R76"/>
    <mergeCell ref="Q77:R77"/>
    <mergeCell ref="Q78:R78"/>
    <mergeCell ref="AA64:AB64"/>
    <mergeCell ref="Q65:R65"/>
    <mergeCell ref="AA66:AB66"/>
    <mergeCell ref="F67:G74"/>
    <mergeCell ref="Q67:R67"/>
    <mergeCell ref="AA68:AB68"/>
    <mergeCell ref="Q69:R69"/>
    <mergeCell ref="AA70:AB70"/>
    <mergeCell ref="Q71:R71"/>
    <mergeCell ref="AA72:AB72"/>
    <mergeCell ref="Q49:R49"/>
    <mergeCell ref="AA50:AB50"/>
    <mergeCell ref="D51:E60"/>
    <mergeCell ref="F51:G58"/>
    <mergeCell ref="Q51:R51"/>
    <mergeCell ref="AC51:AH54"/>
    <mergeCell ref="AA52:AB52"/>
    <mergeCell ref="Q53:R53"/>
    <mergeCell ref="AA54:AB54"/>
    <mergeCell ref="Q55:R55"/>
    <mergeCell ref="D43:E50"/>
    <mergeCell ref="F43:G50"/>
    <mergeCell ref="Q43:R43"/>
    <mergeCell ref="AC43:AH46"/>
    <mergeCell ref="AA44:AB44"/>
    <mergeCell ref="Q45:R45"/>
    <mergeCell ref="AA46:AB46"/>
    <mergeCell ref="Q47:R47"/>
    <mergeCell ref="AG47:AH47"/>
    <mergeCell ref="AA48:AB48"/>
    <mergeCell ref="AG55:AH55"/>
    <mergeCell ref="AA56:AB56"/>
    <mergeCell ref="Q57:R57"/>
    <mergeCell ref="AA58:AB58"/>
    <mergeCell ref="F35:G42"/>
    <mergeCell ref="Q35:R35"/>
    <mergeCell ref="AA36:AB36"/>
    <mergeCell ref="Q37:R37"/>
    <mergeCell ref="AA38:AB38"/>
    <mergeCell ref="Q39:R39"/>
    <mergeCell ref="AA40:AB40"/>
    <mergeCell ref="Q41:R41"/>
    <mergeCell ref="AA42:AB42"/>
    <mergeCell ref="AA30:AB30"/>
    <mergeCell ref="F31:G34"/>
    <mergeCell ref="Q31:R31"/>
    <mergeCell ref="Q32:R32"/>
    <mergeCell ref="Q33:R33"/>
    <mergeCell ref="Q34:R34"/>
    <mergeCell ref="Q21:R21"/>
    <mergeCell ref="AA22:AB22"/>
    <mergeCell ref="F23:G30"/>
    <mergeCell ref="Q23:R23"/>
    <mergeCell ref="AA24:AB24"/>
    <mergeCell ref="Q25:R25"/>
    <mergeCell ref="AA26:AB26"/>
    <mergeCell ref="Q27:R27"/>
    <mergeCell ref="AA28:AB28"/>
    <mergeCell ref="Q29:R29"/>
    <mergeCell ref="D5:AH5"/>
    <mergeCell ref="D7:E16"/>
    <mergeCell ref="F7:G14"/>
    <mergeCell ref="Q7:R7"/>
    <mergeCell ref="AC7:AH10"/>
    <mergeCell ref="AA8:AB8"/>
    <mergeCell ref="Q9:R9"/>
    <mergeCell ref="AA10:AB10"/>
    <mergeCell ref="Q11:R11"/>
    <mergeCell ref="AG11:AH11"/>
    <mergeCell ref="AA12:AB12"/>
    <mergeCell ref="Q13:R13"/>
    <mergeCell ref="AA14:AB14"/>
    <mergeCell ref="F15:G22"/>
    <mergeCell ref="Q15:R15"/>
    <mergeCell ref="AA16:AB16"/>
    <mergeCell ref="Q17:R17"/>
    <mergeCell ref="AA18:AB18"/>
    <mergeCell ref="Q19:R19"/>
    <mergeCell ref="AA20:AB20"/>
  </mergeCells>
  <phoneticPr fontId="1"/>
  <printOptions horizontalCentered="1"/>
  <pageMargins left="0.39370078740157483" right="0.39370078740157483" top="0.78740157480314965" bottom="0.59055118110236227" header="0.51181102362204722" footer="0.31496062992125984"/>
  <pageSetup paperSize="9" scale="57" fitToHeight="0" orientation="portrait" r:id="rId1"/>
  <headerFooter>
    <oddHeader>&amp;R&amp;9療養介護</oddHeader>
    <oddFooter>&amp;C&amp;14&amp;P</oddFooter>
  </headerFooter>
  <rowBreaks count="1" manualBreakCount="1">
    <brk id="50" max="3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O176"/>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3.5" style="10" bestFit="1" customWidth="1"/>
    <col min="4" max="4" width="5.875" style="10" bestFit="1" customWidth="1"/>
    <col min="5" max="5" width="5.5" style="117" bestFit="1" customWidth="1"/>
    <col min="6" max="6" width="11.875" style="12" customWidth="1"/>
    <col min="7" max="7" width="3.5" style="12" bestFit="1" customWidth="1"/>
    <col min="8" max="8" width="4.5" style="13" bestFit="1" customWidth="1"/>
    <col min="9" max="9" width="24.875" style="14" bestFit="1" customWidth="1"/>
    <col min="10" max="10" width="3.5" style="12" bestFit="1" customWidth="1"/>
    <col min="11" max="11" width="5.5" style="13" bestFit="1" customWidth="1"/>
    <col min="12" max="12" width="9.875" style="12" customWidth="1"/>
    <col min="13" max="13" width="4.5" style="12" bestFit="1" customWidth="1"/>
    <col min="14" max="14" width="7.125" style="15" customWidth="1"/>
    <col min="15" max="15" width="8.5" style="16" customWidth="1"/>
    <col min="16" max="16384" width="8.875" style="12"/>
  </cols>
  <sheetData>
    <row r="1" spans="1:15" ht="17.100000000000001" customHeight="1" x14ac:dyDescent="0.15">
      <c r="D1" s="11"/>
      <c r="E1" s="12"/>
    </row>
    <row r="2" spans="1:15" ht="17.100000000000001" customHeight="1" x14ac:dyDescent="0.15"/>
    <row r="3" spans="1:15" ht="17.100000000000001" customHeight="1" x14ac:dyDescent="0.15"/>
    <row r="4" spans="1:15" ht="17.100000000000001" customHeight="1" x14ac:dyDescent="0.15">
      <c r="B4" s="17" t="s">
        <v>2675</v>
      </c>
      <c r="D4" s="71"/>
    </row>
    <row r="5" spans="1:15" ht="16.5" customHeight="1" x14ac:dyDescent="0.15">
      <c r="A5" s="19" t="s">
        <v>384</v>
      </c>
      <c r="B5" s="20"/>
      <c r="C5" s="21" t="s">
        <v>385</v>
      </c>
      <c r="D5" s="23" t="s">
        <v>386</v>
      </c>
      <c r="E5" s="118"/>
      <c r="F5" s="23"/>
      <c r="G5" s="23"/>
      <c r="H5" s="24"/>
      <c r="I5" s="23"/>
      <c r="J5" s="23"/>
      <c r="K5" s="24"/>
      <c r="L5" s="23"/>
      <c r="M5" s="23"/>
      <c r="N5" s="25" t="s">
        <v>387</v>
      </c>
      <c r="O5" s="21" t="s">
        <v>388</v>
      </c>
    </row>
    <row r="6" spans="1:15" ht="16.5" customHeight="1" x14ac:dyDescent="0.15">
      <c r="A6" s="26" t="s">
        <v>389</v>
      </c>
      <c r="B6" s="26" t="s">
        <v>390</v>
      </c>
      <c r="C6" s="27"/>
      <c r="D6" s="29"/>
      <c r="E6" s="120"/>
      <c r="F6" s="29"/>
      <c r="G6" s="29"/>
      <c r="H6" s="30"/>
      <c r="I6" s="29"/>
      <c r="J6" s="29"/>
      <c r="K6" s="30"/>
      <c r="L6" s="29"/>
      <c r="M6" s="29"/>
      <c r="N6" s="31" t="s">
        <v>391</v>
      </c>
      <c r="O6" s="32" t="s">
        <v>392</v>
      </c>
    </row>
    <row r="7" spans="1:15" ht="16.5" customHeight="1" x14ac:dyDescent="0.15">
      <c r="A7" s="33">
        <v>11</v>
      </c>
      <c r="B7" s="33">
        <v>1827</v>
      </c>
      <c r="C7" s="161" t="s">
        <v>2676</v>
      </c>
      <c r="D7" s="709" t="s">
        <v>394</v>
      </c>
      <c r="E7" s="718"/>
      <c r="F7" s="35"/>
      <c r="I7" s="36"/>
      <c r="J7" s="37"/>
      <c r="K7" s="38"/>
      <c r="L7" s="35"/>
      <c r="N7" s="39">
        <f>_11_A身体増０．５</f>
        <v>83</v>
      </c>
      <c r="O7" s="40" t="s">
        <v>863</v>
      </c>
    </row>
    <row r="8" spans="1:15" ht="16.5" customHeight="1" x14ac:dyDescent="0.15">
      <c r="A8" s="41">
        <v>11</v>
      </c>
      <c r="B8" s="41">
        <v>1828</v>
      </c>
      <c r="C8" s="162" t="s">
        <v>2677</v>
      </c>
      <c r="D8" s="709"/>
      <c r="E8" s="718"/>
      <c r="F8" s="43"/>
      <c r="G8" s="37"/>
      <c r="H8" s="38"/>
      <c r="I8" s="44" t="s">
        <v>397</v>
      </c>
      <c r="J8" s="45" t="s">
        <v>398</v>
      </c>
      <c r="K8" s="46">
        <v>1</v>
      </c>
      <c r="L8" s="35"/>
      <c r="N8" s="47">
        <f>ROUND((_11_A身体増０．５*_11・２人),0)</f>
        <v>83</v>
      </c>
      <c r="O8" s="48"/>
    </row>
    <row r="9" spans="1:15" ht="16.5" customHeight="1" x14ac:dyDescent="0.15">
      <c r="A9" s="41">
        <v>11</v>
      </c>
      <c r="B9" s="41">
        <v>1829</v>
      </c>
      <c r="C9" s="162" t="s">
        <v>2678</v>
      </c>
      <c r="D9" s="709"/>
      <c r="E9" s="718"/>
      <c r="F9" s="705" t="s">
        <v>400</v>
      </c>
      <c r="G9" s="49" t="s">
        <v>398</v>
      </c>
      <c r="H9" s="50">
        <v>0.7</v>
      </c>
      <c r="I9" s="44"/>
      <c r="J9" s="45"/>
      <c r="K9" s="46"/>
      <c r="L9" s="35"/>
      <c r="N9" s="47">
        <f>ROUND((_11_A身体増０．５*_11・基礎１),0)</f>
        <v>58</v>
      </c>
      <c r="O9" s="48"/>
    </row>
    <row r="10" spans="1:15" ht="16.5" customHeight="1" x14ac:dyDescent="0.15">
      <c r="A10" s="41">
        <v>11</v>
      </c>
      <c r="B10" s="41">
        <v>1830</v>
      </c>
      <c r="C10" s="162" t="s">
        <v>2679</v>
      </c>
      <c r="D10" s="125">
        <f>_11_A身体増０．５</f>
        <v>83</v>
      </c>
      <c r="E10" s="99" t="s">
        <v>392</v>
      </c>
      <c r="F10" s="711"/>
      <c r="G10" s="37"/>
      <c r="H10" s="38"/>
      <c r="I10" s="44" t="s">
        <v>397</v>
      </c>
      <c r="J10" s="45" t="s">
        <v>398</v>
      </c>
      <c r="K10" s="46">
        <v>1</v>
      </c>
      <c r="L10" s="43"/>
      <c r="M10" s="37"/>
      <c r="N10" s="47">
        <f>ROUND((ROUND((_11_A身体増０．５*_11・基礎１),0)*_11・２人),0)</f>
        <v>58</v>
      </c>
      <c r="O10" s="48"/>
    </row>
    <row r="11" spans="1:15" ht="16.5" customHeight="1" x14ac:dyDescent="0.15">
      <c r="A11" s="41">
        <v>11</v>
      </c>
      <c r="B11" s="41" t="s">
        <v>2680</v>
      </c>
      <c r="C11" s="162" t="s">
        <v>2681</v>
      </c>
      <c r="D11" s="121"/>
      <c r="E11" s="99"/>
      <c r="F11" s="53"/>
      <c r="G11" s="49"/>
      <c r="H11" s="50"/>
      <c r="I11" s="44"/>
      <c r="J11" s="45"/>
      <c r="K11" s="46"/>
      <c r="L11" s="707" t="s">
        <v>404</v>
      </c>
      <c r="M11" s="708"/>
      <c r="N11" s="47">
        <f>ROUND((_11_A身体増０．５*_11・初任),0)</f>
        <v>58</v>
      </c>
      <c r="O11" s="48"/>
    </row>
    <row r="12" spans="1:15" ht="16.5" customHeight="1" x14ac:dyDescent="0.15">
      <c r="A12" s="41">
        <v>11</v>
      </c>
      <c r="B12" s="41" t="s">
        <v>2682</v>
      </c>
      <c r="C12" s="162" t="s">
        <v>2683</v>
      </c>
      <c r="D12" s="121"/>
      <c r="E12" s="99"/>
      <c r="F12" s="43"/>
      <c r="G12" s="37"/>
      <c r="H12" s="38"/>
      <c r="I12" s="44" t="s">
        <v>397</v>
      </c>
      <c r="J12" s="45" t="s">
        <v>398</v>
      </c>
      <c r="K12" s="46">
        <v>1</v>
      </c>
      <c r="L12" s="709"/>
      <c r="M12" s="704"/>
      <c r="N12" s="47">
        <f>ROUND((ROUND((_11_A身体増０．５*_11・２人),0)*_11・初任),0)</f>
        <v>58</v>
      </c>
      <c r="O12" s="48"/>
    </row>
    <row r="13" spans="1:15" ht="16.5" customHeight="1" x14ac:dyDescent="0.15">
      <c r="A13" s="41">
        <v>11</v>
      </c>
      <c r="B13" s="41" t="s">
        <v>2684</v>
      </c>
      <c r="C13" s="162" t="s">
        <v>2685</v>
      </c>
      <c r="D13" s="72"/>
      <c r="E13" s="99"/>
      <c r="F13" s="705" t="s">
        <v>400</v>
      </c>
      <c r="G13" s="49" t="s">
        <v>398</v>
      </c>
      <c r="H13" s="50">
        <v>0.7</v>
      </c>
      <c r="I13" s="44"/>
      <c r="J13" s="45"/>
      <c r="K13" s="46"/>
      <c r="L13" s="709"/>
      <c r="M13" s="704"/>
      <c r="N13" s="47">
        <f>ROUND((ROUND((_11_A身体増０．５*_11・基礎１),0)*_11・初任),0)</f>
        <v>41</v>
      </c>
      <c r="O13" s="48"/>
    </row>
    <row r="14" spans="1:15" ht="16.5" customHeight="1" x14ac:dyDescent="0.15">
      <c r="A14" s="41">
        <v>11</v>
      </c>
      <c r="B14" s="41" t="s">
        <v>2686</v>
      </c>
      <c r="C14" s="162" t="s">
        <v>2687</v>
      </c>
      <c r="D14" s="72"/>
      <c r="E14" s="99"/>
      <c r="F14" s="711"/>
      <c r="G14" s="37"/>
      <c r="H14" s="38"/>
      <c r="I14" s="44" t="s">
        <v>397</v>
      </c>
      <c r="J14" s="45" t="s">
        <v>398</v>
      </c>
      <c r="K14" s="46">
        <v>1</v>
      </c>
      <c r="L14" s="55" t="s">
        <v>398</v>
      </c>
      <c r="M14" s="38">
        <f>_11・初任</f>
        <v>0.7</v>
      </c>
      <c r="N14" s="47">
        <f>ROUND((ROUND((ROUND((_11_A身体増０．５*_11・基礎１),0)*_11・２人),0)*_11・初任),0)</f>
        <v>41</v>
      </c>
      <c r="O14" s="48"/>
    </row>
    <row r="15" spans="1:15" ht="16.5" customHeight="1" x14ac:dyDescent="0.15">
      <c r="A15" s="41">
        <v>11</v>
      </c>
      <c r="B15" s="41">
        <v>1831</v>
      </c>
      <c r="C15" s="162" t="s">
        <v>2688</v>
      </c>
      <c r="D15" s="707" t="s">
        <v>412</v>
      </c>
      <c r="E15" s="717"/>
      <c r="F15" s="53"/>
      <c r="G15" s="49"/>
      <c r="H15" s="50"/>
      <c r="I15" s="44"/>
      <c r="J15" s="45"/>
      <c r="K15" s="46"/>
      <c r="L15" s="53"/>
      <c r="M15" s="49"/>
      <c r="N15" s="47">
        <f>_11_A身体増１．０</f>
        <v>166</v>
      </c>
      <c r="O15" s="48"/>
    </row>
    <row r="16" spans="1:15" ht="16.5" customHeight="1" x14ac:dyDescent="0.15">
      <c r="A16" s="41">
        <v>11</v>
      </c>
      <c r="B16" s="41">
        <v>1832</v>
      </c>
      <c r="C16" s="162" t="s">
        <v>2689</v>
      </c>
      <c r="D16" s="709"/>
      <c r="E16" s="718"/>
      <c r="F16" s="43"/>
      <c r="G16" s="37"/>
      <c r="H16" s="38"/>
      <c r="I16" s="44" t="s">
        <v>397</v>
      </c>
      <c r="J16" s="45" t="s">
        <v>398</v>
      </c>
      <c r="K16" s="46">
        <v>1</v>
      </c>
      <c r="L16" s="35"/>
      <c r="N16" s="47">
        <f>ROUND((_11_A身体増１．０*_11・２人),0)</f>
        <v>166</v>
      </c>
      <c r="O16" s="48"/>
    </row>
    <row r="17" spans="1:15" ht="16.5" customHeight="1" x14ac:dyDescent="0.15">
      <c r="A17" s="41">
        <v>11</v>
      </c>
      <c r="B17" s="41">
        <v>1833</v>
      </c>
      <c r="C17" s="162" t="s">
        <v>2690</v>
      </c>
      <c r="D17" s="709"/>
      <c r="E17" s="718"/>
      <c r="F17" s="705" t="s">
        <v>400</v>
      </c>
      <c r="G17" s="49" t="s">
        <v>398</v>
      </c>
      <c r="H17" s="50">
        <v>0.7</v>
      </c>
      <c r="I17" s="44"/>
      <c r="J17" s="45"/>
      <c r="K17" s="46"/>
      <c r="L17" s="35"/>
      <c r="N17" s="47">
        <f>ROUND((_11_A身体増１．０*_11・基礎１),0)</f>
        <v>116</v>
      </c>
      <c r="O17" s="48"/>
    </row>
    <row r="18" spans="1:15" ht="16.5" customHeight="1" x14ac:dyDescent="0.15">
      <c r="A18" s="41">
        <v>11</v>
      </c>
      <c r="B18" s="41">
        <v>1834</v>
      </c>
      <c r="C18" s="162" t="s">
        <v>2691</v>
      </c>
      <c r="D18" s="100">
        <f>_11_A身体増１．０</f>
        <v>166</v>
      </c>
      <c r="E18" s="99" t="s">
        <v>392</v>
      </c>
      <c r="F18" s="722"/>
      <c r="G18" s="37"/>
      <c r="H18" s="38"/>
      <c r="I18" s="44" t="s">
        <v>397</v>
      </c>
      <c r="J18" s="45" t="s">
        <v>398</v>
      </c>
      <c r="K18" s="46">
        <v>1</v>
      </c>
      <c r="L18" s="43"/>
      <c r="M18" s="37"/>
      <c r="N18" s="47">
        <f>ROUND((ROUND((_11_A身体増１．０*_11・基礎１),0)*_11・２人),0)</f>
        <v>116</v>
      </c>
      <c r="O18" s="48"/>
    </row>
    <row r="19" spans="1:15" ht="16.5" customHeight="1" x14ac:dyDescent="0.15">
      <c r="A19" s="41">
        <v>11</v>
      </c>
      <c r="B19" s="41" t="s">
        <v>2692</v>
      </c>
      <c r="C19" s="162" t="s">
        <v>2693</v>
      </c>
      <c r="D19" s="121"/>
      <c r="E19" s="99"/>
      <c r="F19" s="53"/>
      <c r="G19" s="49"/>
      <c r="H19" s="50"/>
      <c r="I19" s="44"/>
      <c r="J19" s="45"/>
      <c r="K19" s="46"/>
      <c r="L19" s="707" t="s">
        <v>404</v>
      </c>
      <c r="M19" s="708"/>
      <c r="N19" s="47">
        <f>ROUND((_11_A身体増１．０*_11・初任),0)</f>
        <v>116</v>
      </c>
      <c r="O19" s="48"/>
    </row>
    <row r="20" spans="1:15" ht="16.5" customHeight="1" x14ac:dyDescent="0.15">
      <c r="A20" s="41">
        <v>11</v>
      </c>
      <c r="B20" s="41" t="s">
        <v>2694</v>
      </c>
      <c r="C20" s="162" t="s">
        <v>2695</v>
      </c>
      <c r="D20" s="121"/>
      <c r="E20" s="99"/>
      <c r="F20" s="43"/>
      <c r="G20" s="37"/>
      <c r="H20" s="38"/>
      <c r="I20" s="44" t="s">
        <v>397</v>
      </c>
      <c r="J20" s="45" t="s">
        <v>398</v>
      </c>
      <c r="K20" s="46">
        <v>1</v>
      </c>
      <c r="L20" s="709"/>
      <c r="M20" s="704"/>
      <c r="N20" s="47">
        <f>ROUND((ROUND((_11_A身体増１．０*_11・２人),0)*_11・初任),0)</f>
        <v>116</v>
      </c>
      <c r="O20" s="48"/>
    </row>
    <row r="21" spans="1:15" ht="16.5" customHeight="1" x14ac:dyDescent="0.15">
      <c r="A21" s="41">
        <v>11</v>
      </c>
      <c r="B21" s="41" t="s">
        <v>2696</v>
      </c>
      <c r="C21" s="162" t="s">
        <v>2697</v>
      </c>
      <c r="D21" s="72"/>
      <c r="E21" s="99"/>
      <c r="F21" s="705" t="s">
        <v>400</v>
      </c>
      <c r="G21" s="49" t="s">
        <v>398</v>
      </c>
      <c r="H21" s="50">
        <v>0.7</v>
      </c>
      <c r="I21" s="44"/>
      <c r="J21" s="45"/>
      <c r="K21" s="46"/>
      <c r="L21" s="709"/>
      <c r="M21" s="704"/>
      <c r="N21" s="47">
        <f>ROUND((ROUND((_11_A身体増１．０*_11・基礎１),0)*_11・初任),0)</f>
        <v>81</v>
      </c>
      <c r="O21" s="48"/>
    </row>
    <row r="22" spans="1:15" ht="16.5" customHeight="1" x14ac:dyDescent="0.15">
      <c r="A22" s="41">
        <v>11</v>
      </c>
      <c r="B22" s="41" t="s">
        <v>2698</v>
      </c>
      <c r="C22" s="162" t="s">
        <v>2699</v>
      </c>
      <c r="D22" s="72"/>
      <c r="E22" s="99"/>
      <c r="F22" s="711"/>
      <c r="G22" s="37"/>
      <c r="H22" s="38"/>
      <c r="I22" s="44" t="s">
        <v>397</v>
      </c>
      <c r="J22" s="45" t="s">
        <v>398</v>
      </c>
      <c r="K22" s="46">
        <v>1</v>
      </c>
      <c r="L22" s="55" t="s">
        <v>398</v>
      </c>
      <c r="M22" s="38">
        <f>_11・初任</f>
        <v>0.7</v>
      </c>
      <c r="N22" s="47">
        <f>ROUND((ROUND((ROUND((_11_A身体増１．０*_11・基礎１),0)*_11・２人),0)*_11・初任),0)</f>
        <v>81</v>
      </c>
      <c r="O22" s="48"/>
    </row>
    <row r="23" spans="1:15" ht="16.5" customHeight="1" x14ac:dyDescent="0.15">
      <c r="A23" s="41">
        <v>11</v>
      </c>
      <c r="B23" s="41">
        <v>1835</v>
      </c>
      <c r="C23" s="162" t="s">
        <v>2700</v>
      </c>
      <c r="D23" s="707" t="s">
        <v>425</v>
      </c>
      <c r="E23" s="717"/>
      <c r="F23" s="53"/>
      <c r="G23" s="49"/>
      <c r="H23" s="50"/>
      <c r="I23" s="44"/>
      <c r="J23" s="45"/>
      <c r="K23" s="46"/>
      <c r="L23" s="53"/>
      <c r="M23" s="49"/>
      <c r="N23" s="47">
        <f>_11_A身体増１．５</f>
        <v>249</v>
      </c>
      <c r="O23" s="48"/>
    </row>
    <row r="24" spans="1:15" ht="16.5" customHeight="1" x14ac:dyDescent="0.15">
      <c r="A24" s="41">
        <v>11</v>
      </c>
      <c r="B24" s="41">
        <v>1836</v>
      </c>
      <c r="C24" s="162" t="s">
        <v>2701</v>
      </c>
      <c r="D24" s="709"/>
      <c r="E24" s="718"/>
      <c r="F24" s="43"/>
      <c r="G24" s="37"/>
      <c r="H24" s="38"/>
      <c r="I24" s="44" t="s">
        <v>397</v>
      </c>
      <c r="J24" s="45" t="s">
        <v>398</v>
      </c>
      <c r="K24" s="46">
        <v>1</v>
      </c>
      <c r="L24" s="35"/>
      <c r="N24" s="47">
        <f>ROUND((_11_A身体増１．５*_11・２人),0)</f>
        <v>249</v>
      </c>
      <c r="O24" s="48"/>
    </row>
    <row r="25" spans="1:15" ht="16.5" customHeight="1" x14ac:dyDescent="0.15">
      <c r="A25" s="41">
        <v>11</v>
      </c>
      <c r="B25" s="41">
        <v>1837</v>
      </c>
      <c r="C25" s="162" t="s">
        <v>2702</v>
      </c>
      <c r="D25" s="709"/>
      <c r="E25" s="718"/>
      <c r="F25" s="705" t="s">
        <v>400</v>
      </c>
      <c r="G25" s="49" t="s">
        <v>398</v>
      </c>
      <c r="H25" s="50">
        <v>0.7</v>
      </c>
      <c r="I25" s="44"/>
      <c r="J25" s="45"/>
      <c r="K25" s="46"/>
      <c r="L25" s="35"/>
      <c r="N25" s="47">
        <f>ROUND((_11_A身体増１．５*_11・基礎１),0)</f>
        <v>174</v>
      </c>
      <c r="O25" s="48"/>
    </row>
    <row r="26" spans="1:15" ht="16.5" customHeight="1" x14ac:dyDescent="0.15">
      <c r="A26" s="41">
        <v>11</v>
      </c>
      <c r="B26" s="41">
        <v>1838</v>
      </c>
      <c r="C26" s="162" t="s">
        <v>2703</v>
      </c>
      <c r="D26" s="100">
        <f>_11_A身体増１．５</f>
        <v>249</v>
      </c>
      <c r="E26" s="12" t="s">
        <v>392</v>
      </c>
      <c r="F26" s="711"/>
      <c r="G26" s="37"/>
      <c r="H26" s="38"/>
      <c r="I26" s="44" t="s">
        <v>397</v>
      </c>
      <c r="J26" s="45" t="s">
        <v>398</v>
      </c>
      <c r="K26" s="46">
        <v>1</v>
      </c>
      <c r="L26" s="43"/>
      <c r="M26" s="37"/>
      <c r="N26" s="47">
        <f>ROUND((ROUND((_11_A身体増１．５*_11・基礎１),0)*_11・２人),0)</f>
        <v>174</v>
      </c>
      <c r="O26" s="48"/>
    </row>
    <row r="27" spans="1:15" ht="16.5" customHeight="1" x14ac:dyDescent="0.15">
      <c r="A27" s="41">
        <v>11</v>
      </c>
      <c r="B27" s="41" t="s">
        <v>2704</v>
      </c>
      <c r="C27" s="162" t="s">
        <v>2705</v>
      </c>
      <c r="D27" s="121"/>
      <c r="E27" s="99"/>
      <c r="F27" s="53"/>
      <c r="G27" s="49"/>
      <c r="H27" s="50"/>
      <c r="I27" s="44"/>
      <c r="J27" s="45"/>
      <c r="K27" s="46"/>
      <c r="L27" s="707" t="s">
        <v>404</v>
      </c>
      <c r="M27" s="708"/>
      <c r="N27" s="47">
        <f>ROUND((_11_A身体増１．５*_11・初任),0)</f>
        <v>174</v>
      </c>
      <c r="O27" s="48"/>
    </row>
    <row r="28" spans="1:15" ht="16.5" customHeight="1" x14ac:dyDescent="0.15">
      <c r="A28" s="41">
        <v>11</v>
      </c>
      <c r="B28" s="41" t="s">
        <v>2706</v>
      </c>
      <c r="C28" s="162" t="s">
        <v>2707</v>
      </c>
      <c r="D28" s="121"/>
      <c r="E28" s="99"/>
      <c r="F28" s="43"/>
      <c r="G28" s="37"/>
      <c r="H28" s="38"/>
      <c r="I28" s="44" t="s">
        <v>397</v>
      </c>
      <c r="J28" s="45" t="s">
        <v>398</v>
      </c>
      <c r="K28" s="46">
        <v>1</v>
      </c>
      <c r="L28" s="709"/>
      <c r="M28" s="704"/>
      <c r="N28" s="47">
        <f>ROUND((ROUND((_11_A身体増１．５*_11・２人),0)*_11・初任),0)</f>
        <v>174</v>
      </c>
      <c r="O28" s="48"/>
    </row>
    <row r="29" spans="1:15" ht="16.5" customHeight="1" x14ac:dyDescent="0.15">
      <c r="A29" s="41">
        <v>11</v>
      </c>
      <c r="B29" s="41" t="s">
        <v>2708</v>
      </c>
      <c r="C29" s="162" t="s">
        <v>2709</v>
      </c>
      <c r="D29" s="72"/>
      <c r="E29" s="99"/>
      <c r="F29" s="705" t="s">
        <v>400</v>
      </c>
      <c r="G29" s="49" t="s">
        <v>398</v>
      </c>
      <c r="H29" s="50">
        <v>0.7</v>
      </c>
      <c r="I29" s="44"/>
      <c r="J29" s="45"/>
      <c r="K29" s="46"/>
      <c r="L29" s="709"/>
      <c r="M29" s="704"/>
      <c r="N29" s="47">
        <f>ROUND((ROUND((_11_A身体増１．５*_11・基礎１),0)*_11・初任),0)</f>
        <v>122</v>
      </c>
      <c r="O29" s="48"/>
    </row>
    <row r="30" spans="1:15" ht="16.5" customHeight="1" x14ac:dyDescent="0.15">
      <c r="A30" s="41">
        <v>11</v>
      </c>
      <c r="B30" s="41" t="s">
        <v>2710</v>
      </c>
      <c r="C30" s="162" t="s">
        <v>2711</v>
      </c>
      <c r="D30" s="72"/>
      <c r="E30" s="99"/>
      <c r="F30" s="711"/>
      <c r="G30" s="37"/>
      <c r="H30" s="38"/>
      <c r="I30" s="44" t="s">
        <v>397</v>
      </c>
      <c r="J30" s="45" t="s">
        <v>398</v>
      </c>
      <c r="K30" s="46">
        <v>1</v>
      </c>
      <c r="L30" s="55" t="s">
        <v>398</v>
      </c>
      <c r="M30" s="38">
        <f>_11・初任</f>
        <v>0.7</v>
      </c>
      <c r="N30" s="47">
        <f>ROUND((ROUND((ROUND((_11_A身体増１．５*_11・基礎１),0)*_11・２人),0)*_11・初任),0)</f>
        <v>122</v>
      </c>
      <c r="O30" s="48"/>
    </row>
    <row r="31" spans="1:15" ht="16.5" customHeight="1" x14ac:dyDescent="0.15">
      <c r="A31" s="41">
        <v>11</v>
      </c>
      <c r="B31" s="41">
        <v>1839</v>
      </c>
      <c r="C31" s="162" t="s">
        <v>2712</v>
      </c>
      <c r="D31" s="707" t="s">
        <v>438</v>
      </c>
      <c r="E31" s="717"/>
      <c r="F31" s="53"/>
      <c r="G31" s="49"/>
      <c r="H31" s="50"/>
      <c r="I31" s="44"/>
      <c r="J31" s="45"/>
      <c r="K31" s="46"/>
      <c r="L31" s="53"/>
      <c r="M31" s="49"/>
      <c r="N31" s="47">
        <f>_11_A身体増２．０</f>
        <v>332</v>
      </c>
      <c r="O31" s="48"/>
    </row>
    <row r="32" spans="1:15" ht="16.5" customHeight="1" x14ac:dyDescent="0.15">
      <c r="A32" s="41">
        <v>11</v>
      </c>
      <c r="B32" s="41">
        <v>1840</v>
      </c>
      <c r="C32" s="162" t="s">
        <v>2713</v>
      </c>
      <c r="D32" s="709"/>
      <c r="E32" s="718"/>
      <c r="F32" s="43"/>
      <c r="G32" s="37"/>
      <c r="H32" s="38"/>
      <c r="I32" s="44" t="s">
        <v>397</v>
      </c>
      <c r="J32" s="45" t="s">
        <v>398</v>
      </c>
      <c r="K32" s="46">
        <v>1</v>
      </c>
      <c r="L32" s="35"/>
      <c r="N32" s="47">
        <f>ROUND((_11_A身体増２．０*_11・２人),0)</f>
        <v>332</v>
      </c>
      <c r="O32" s="48"/>
    </row>
    <row r="33" spans="1:15" ht="16.5" customHeight="1" x14ac:dyDescent="0.15">
      <c r="A33" s="41">
        <v>11</v>
      </c>
      <c r="B33" s="41">
        <v>1841</v>
      </c>
      <c r="C33" s="162" t="s">
        <v>2714</v>
      </c>
      <c r="D33" s="709"/>
      <c r="E33" s="718"/>
      <c r="F33" s="705" t="s">
        <v>400</v>
      </c>
      <c r="G33" s="49" t="s">
        <v>398</v>
      </c>
      <c r="H33" s="50">
        <v>0.7</v>
      </c>
      <c r="I33" s="44"/>
      <c r="J33" s="45"/>
      <c r="K33" s="46"/>
      <c r="L33" s="35"/>
      <c r="N33" s="47">
        <f>ROUND((_11_A身体増２．０*_11・基礎１),0)</f>
        <v>232</v>
      </c>
      <c r="O33" s="48"/>
    </row>
    <row r="34" spans="1:15" ht="16.5" customHeight="1" x14ac:dyDescent="0.15">
      <c r="A34" s="41">
        <v>11</v>
      </c>
      <c r="B34" s="41">
        <v>1842</v>
      </c>
      <c r="C34" s="162" t="s">
        <v>2715</v>
      </c>
      <c r="D34" s="100">
        <f>_11_A身体増２．０</f>
        <v>332</v>
      </c>
      <c r="E34" s="12" t="s">
        <v>392</v>
      </c>
      <c r="F34" s="711"/>
      <c r="G34" s="37"/>
      <c r="H34" s="38"/>
      <c r="I34" s="44" t="s">
        <v>397</v>
      </c>
      <c r="J34" s="45" t="s">
        <v>398</v>
      </c>
      <c r="K34" s="46">
        <v>1</v>
      </c>
      <c r="L34" s="43"/>
      <c r="M34" s="37"/>
      <c r="N34" s="47">
        <f>ROUND((ROUND((_11_A身体増２．０*_11・基礎１),0)*_11・２人),0)</f>
        <v>232</v>
      </c>
      <c r="O34" s="48"/>
    </row>
    <row r="35" spans="1:15" ht="16.5" customHeight="1" x14ac:dyDescent="0.15">
      <c r="A35" s="41">
        <v>11</v>
      </c>
      <c r="B35" s="41" t="s">
        <v>2716</v>
      </c>
      <c r="C35" s="162" t="s">
        <v>2717</v>
      </c>
      <c r="D35" s="121"/>
      <c r="E35" s="99"/>
      <c r="F35" s="53"/>
      <c r="G35" s="49"/>
      <c r="H35" s="50"/>
      <c r="I35" s="44"/>
      <c r="J35" s="45"/>
      <c r="K35" s="46"/>
      <c r="L35" s="707" t="s">
        <v>404</v>
      </c>
      <c r="M35" s="708"/>
      <c r="N35" s="47">
        <f>ROUND((_11_A身体増２．０*_11・初任),0)</f>
        <v>232</v>
      </c>
      <c r="O35" s="48"/>
    </row>
    <row r="36" spans="1:15" ht="16.5" customHeight="1" x14ac:dyDescent="0.15">
      <c r="A36" s="41">
        <v>11</v>
      </c>
      <c r="B36" s="41" t="s">
        <v>2718</v>
      </c>
      <c r="C36" s="162" t="s">
        <v>2719</v>
      </c>
      <c r="D36" s="121"/>
      <c r="E36" s="99"/>
      <c r="F36" s="43"/>
      <c r="G36" s="37"/>
      <c r="H36" s="38"/>
      <c r="I36" s="44" t="s">
        <v>397</v>
      </c>
      <c r="J36" s="45" t="s">
        <v>398</v>
      </c>
      <c r="K36" s="46">
        <v>1</v>
      </c>
      <c r="L36" s="709"/>
      <c r="M36" s="704"/>
      <c r="N36" s="47">
        <f>ROUND((ROUND((_11_A身体増２．０*_11・２人),0)*_11・初任),0)</f>
        <v>232</v>
      </c>
      <c r="O36" s="48"/>
    </row>
    <row r="37" spans="1:15" ht="16.5" customHeight="1" x14ac:dyDescent="0.15">
      <c r="A37" s="41">
        <v>11</v>
      </c>
      <c r="B37" s="41" t="s">
        <v>2720</v>
      </c>
      <c r="C37" s="162" t="s">
        <v>2721</v>
      </c>
      <c r="D37" s="72"/>
      <c r="E37" s="99"/>
      <c r="F37" s="705" t="s">
        <v>400</v>
      </c>
      <c r="G37" s="49" t="s">
        <v>398</v>
      </c>
      <c r="H37" s="50">
        <v>0.7</v>
      </c>
      <c r="I37" s="44"/>
      <c r="J37" s="45"/>
      <c r="K37" s="46"/>
      <c r="L37" s="709"/>
      <c r="M37" s="704"/>
      <c r="N37" s="47">
        <f>ROUND((ROUND((_11_A身体増２．０*_11・基礎１),0)*_11・初任),0)</f>
        <v>162</v>
      </c>
      <c r="O37" s="48"/>
    </row>
    <row r="38" spans="1:15" ht="16.5" customHeight="1" x14ac:dyDescent="0.15">
      <c r="A38" s="41">
        <v>11</v>
      </c>
      <c r="B38" s="41" t="s">
        <v>2722</v>
      </c>
      <c r="C38" s="162" t="s">
        <v>2723</v>
      </c>
      <c r="D38" s="72"/>
      <c r="E38" s="99"/>
      <c r="F38" s="711"/>
      <c r="G38" s="37"/>
      <c r="H38" s="38"/>
      <c r="I38" s="44" t="s">
        <v>397</v>
      </c>
      <c r="J38" s="45" t="s">
        <v>398</v>
      </c>
      <c r="K38" s="46">
        <v>1</v>
      </c>
      <c r="L38" s="55" t="s">
        <v>398</v>
      </c>
      <c r="M38" s="38">
        <f>_11・初任</f>
        <v>0.7</v>
      </c>
      <c r="N38" s="47">
        <f>ROUND((ROUND((ROUND((_11_A身体増２．０*_11・基礎１),0)*_11・２人),0)*_11・初任),0)</f>
        <v>162</v>
      </c>
      <c r="O38" s="48"/>
    </row>
    <row r="39" spans="1:15" ht="16.5" customHeight="1" x14ac:dyDescent="0.15">
      <c r="A39" s="41">
        <v>11</v>
      </c>
      <c r="B39" s="41">
        <v>1843</v>
      </c>
      <c r="C39" s="162" t="s">
        <v>2724</v>
      </c>
      <c r="D39" s="707" t="s">
        <v>451</v>
      </c>
      <c r="E39" s="717"/>
      <c r="F39" s="53"/>
      <c r="G39" s="49"/>
      <c r="H39" s="50"/>
      <c r="I39" s="44"/>
      <c r="J39" s="45"/>
      <c r="K39" s="46"/>
      <c r="L39" s="53"/>
      <c r="M39" s="49"/>
      <c r="N39" s="47">
        <f>_11_A身体増２．５</f>
        <v>415</v>
      </c>
      <c r="O39" s="48"/>
    </row>
    <row r="40" spans="1:15" ht="16.5" customHeight="1" x14ac:dyDescent="0.15">
      <c r="A40" s="41">
        <v>11</v>
      </c>
      <c r="B40" s="41">
        <v>1844</v>
      </c>
      <c r="C40" s="162" t="s">
        <v>2725</v>
      </c>
      <c r="D40" s="709"/>
      <c r="E40" s="718"/>
      <c r="F40" s="43"/>
      <c r="G40" s="37"/>
      <c r="H40" s="38"/>
      <c r="I40" s="44" t="s">
        <v>397</v>
      </c>
      <c r="J40" s="45" t="s">
        <v>398</v>
      </c>
      <c r="K40" s="46">
        <v>1</v>
      </c>
      <c r="L40" s="35"/>
      <c r="N40" s="47">
        <f>ROUND((_11_A身体増２．５*_11・２人),0)</f>
        <v>415</v>
      </c>
      <c r="O40" s="48"/>
    </row>
    <row r="41" spans="1:15" ht="16.5" customHeight="1" x14ac:dyDescent="0.15">
      <c r="A41" s="41">
        <v>11</v>
      </c>
      <c r="B41" s="41">
        <v>1845</v>
      </c>
      <c r="C41" s="162" t="s">
        <v>2726</v>
      </c>
      <c r="D41" s="709"/>
      <c r="E41" s="718"/>
      <c r="F41" s="705" t="s">
        <v>400</v>
      </c>
      <c r="G41" s="49" t="s">
        <v>398</v>
      </c>
      <c r="H41" s="50">
        <v>0.7</v>
      </c>
      <c r="I41" s="44"/>
      <c r="J41" s="45"/>
      <c r="K41" s="46"/>
      <c r="L41" s="35"/>
      <c r="N41" s="47">
        <f>ROUND((_11_A身体増２．５*_11・基礎１),0)</f>
        <v>291</v>
      </c>
      <c r="O41" s="48"/>
    </row>
    <row r="42" spans="1:15" ht="16.5" customHeight="1" x14ac:dyDescent="0.15">
      <c r="A42" s="41">
        <v>11</v>
      </c>
      <c r="B42" s="41">
        <v>1846</v>
      </c>
      <c r="C42" s="162" t="s">
        <v>2727</v>
      </c>
      <c r="D42" s="100">
        <f>_11_A身体増２．５</f>
        <v>415</v>
      </c>
      <c r="E42" s="12" t="s">
        <v>392</v>
      </c>
      <c r="F42" s="711"/>
      <c r="G42" s="37"/>
      <c r="H42" s="38"/>
      <c r="I42" s="44" t="s">
        <v>397</v>
      </c>
      <c r="J42" s="45" t="s">
        <v>398</v>
      </c>
      <c r="K42" s="46">
        <v>1</v>
      </c>
      <c r="L42" s="43"/>
      <c r="M42" s="37"/>
      <c r="N42" s="47">
        <f>ROUND((ROUND((_11_A身体増２．５*_11・基礎１),0)*_11・２人),0)</f>
        <v>291</v>
      </c>
      <c r="O42" s="48"/>
    </row>
    <row r="43" spans="1:15" ht="16.5" customHeight="1" x14ac:dyDescent="0.15">
      <c r="A43" s="41">
        <v>11</v>
      </c>
      <c r="B43" s="41" t="s">
        <v>2728</v>
      </c>
      <c r="C43" s="162" t="s">
        <v>2729</v>
      </c>
      <c r="D43" s="121"/>
      <c r="E43" s="99"/>
      <c r="F43" s="53"/>
      <c r="G43" s="49"/>
      <c r="H43" s="50"/>
      <c r="I43" s="44"/>
      <c r="J43" s="45"/>
      <c r="K43" s="46"/>
      <c r="L43" s="707" t="s">
        <v>404</v>
      </c>
      <c r="M43" s="708"/>
      <c r="N43" s="47">
        <f>ROUND((_11_A身体増２．５*_11・初任),0)</f>
        <v>291</v>
      </c>
      <c r="O43" s="48"/>
    </row>
    <row r="44" spans="1:15" ht="16.5" customHeight="1" x14ac:dyDescent="0.15">
      <c r="A44" s="41">
        <v>11</v>
      </c>
      <c r="B44" s="41" t="s">
        <v>2730</v>
      </c>
      <c r="C44" s="162" t="s">
        <v>2731</v>
      </c>
      <c r="D44" s="121"/>
      <c r="E44" s="99"/>
      <c r="F44" s="43"/>
      <c r="G44" s="37"/>
      <c r="H44" s="38"/>
      <c r="I44" s="44" t="s">
        <v>397</v>
      </c>
      <c r="J44" s="45" t="s">
        <v>398</v>
      </c>
      <c r="K44" s="46">
        <v>1</v>
      </c>
      <c r="L44" s="709"/>
      <c r="M44" s="704"/>
      <c r="N44" s="47">
        <f>ROUND((ROUND((_11_A身体増２．５*_11・２人),0)*_11・初任),0)</f>
        <v>291</v>
      </c>
      <c r="O44" s="48"/>
    </row>
    <row r="45" spans="1:15" ht="16.5" customHeight="1" x14ac:dyDescent="0.15">
      <c r="A45" s="41">
        <v>11</v>
      </c>
      <c r="B45" s="41" t="s">
        <v>2732</v>
      </c>
      <c r="C45" s="162" t="s">
        <v>2733</v>
      </c>
      <c r="D45" s="72"/>
      <c r="E45" s="99"/>
      <c r="F45" s="705" t="s">
        <v>400</v>
      </c>
      <c r="G45" s="49" t="s">
        <v>398</v>
      </c>
      <c r="H45" s="50">
        <v>0.7</v>
      </c>
      <c r="I45" s="44"/>
      <c r="J45" s="45"/>
      <c r="K45" s="46"/>
      <c r="L45" s="709"/>
      <c r="M45" s="704"/>
      <c r="N45" s="47">
        <f>ROUND((ROUND((_11_A身体増２．５*_11・基礎１),0)*_11・初任),0)</f>
        <v>204</v>
      </c>
      <c r="O45" s="48"/>
    </row>
    <row r="46" spans="1:15" ht="16.5" customHeight="1" x14ac:dyDescent="0.15">
      <c r="A46" s="41">
        <v>11</v>
      </c>
      <c r="B46" s="41" t="s">
        <v>2734</v>
      </c>
      <c r="C46" s="162" t="s">
        <v>2735</v>
      </c>
      <c r="D46" s="72"/>
      <c r="E46" s="99"/>
      <c r="F46" s="711"/>
      <c r="G46" s="37"/>
      <c r="H46" s="38"/>
      <c r="I46" s="44" t="s">
        <v>397</v>
      </c>
      <c r="J46" s="45" t="s">
        <v>398</v>
      </c>
      <c r="K46" s="46">
        <v>1</v>
      </c>
      <c r="L46" s="55" t="s">
        <v>398</v>
      </c>
      <c r="M46" s="38">
        <f>_11・初任</f>
        <v>0.7</v>
      </c>
      <c r="N46" s="47">
        <f>ROUND((ROUND((ROUND((_11_A身体増２．５*_11・基礎１),0)*_11・２人),0)*_11・初任),0)</f>
        <v>204</v>
      </c>
      <c r="O46" s="48"/>
    </row>
    <row r="47" spans="1:15" ht="16.5" customHeight="1" x14ac:dyDescent="0.15">
      <c r="A47" s="41">
        <v>11</v>
      </c>
      <c r="B47" s="41">
        <v>1847</v>
      </c>
      <c r="C47" s="162" t="s">
        <v>2736</v>
      </c>
      <c r="D47" s="707" t="s">
        <v>464</v>
      </c>
      <c r="E47" s="717"/>
      <c r="F47" s="53"/>
      <c r="G47" s="49"/>
      <c r="H47" s="50"/>
      <c r="I47" s="44"/>
      <c r="J47" s="45"/>
      <c r="K47" s="46"/>
      <c r="L47" s="53"/>
      <c r="M47" s="49"/>
      <c r="N47" s="47">
        <f>_11_A身体増３．０</f>
        <v>498</v>
      </c>
      <c r="O47" s="48"/>
    </row>
    <row r="48" spans="1:15" ht="16.5" customHeight="1" x14ac:dyDescent="0.15">
      <c r="A48" s="41">
        <v>11</v>
      </c>
      <c r="B48" s="41">
        <v>1848</v>
      </c>
      <c r="C48" s="162" t="s">
        <v>2737</v>
      </c>
      <c r="D48" s="709"/>
      <c r="E48" s="718"/>
      <c r="F48" s="43"/>
      <c r="G48" s="37"/>
      <c r="H48" s="38"/>
      <c r="I48" s="44" t="s">
        <v>397</v>
      </c>
      <c r="J48" s="45" t="s">
        <v>398</v>
      </c>
      <c r="K48" s="46">
        <v>1</v>
      </c>
      <c r="L48" s="35"/>
      <c r="N48" s="47">
        <f>ROUND((_11_A身体増３．０*_11・２人),0)</f>
        <v>498</v>
      </c>
      <c r="O48" s="48"/>
    </row>
    <row r="49" spans="1:15" ht="16.5" customHeight="1" x14ac:dyDescent="0.15">
      <c r="A49" s="41">
        <v>11</v>
      </c>
      <c r="B49" s="41">
        <v>1849</v>
      </c>
      <c r="C49" s="162" t="s">
        <v>2738</v>
      </c>
      <c r="D49" s="709"/>
      <c r="E49" s="718"/>
      <c r="F49" s="705" t="s">
        <v>400</v>
      </c>
      <c r="G49" s="49" t="s">
        <v>398</v>
      </c>
      <c r="H49" s="50">
        <v>0.7</v>
      </c>
      <c r="I49" s="44"/>
      <c r="J49" s="45"/>
      <c r="K49" s="46"/>
      <c r="L49" s="35"/>
      <c r="N49" s="47">
        <f>ROUND((_11_A身体増３．０*_11・基礎１),0)</f>
        <v>349</v>
      </c>
      <c r="O49" s="48"/>
    </row>
    <row r="50" spans="1:15" ht="16.5" customHeight="1" x14ac:dyDescent="0.15">
      <c r="A50" s="41">
        <v>11</v>
      </c>
      <c r="B50" s="41">
        <v>1850</v>
      </c>
      <c r="C50" s="162" t="s">
        <v>2739</v>
      </c>
      <c r="D50" s="100">
        <f>_11_A身体増３．０</f>
        <v>498</v>
      </c>
      <c r="E50" s="12" t="s">
        <v>392</v>
      </c>
      <c r="F50" s="711"/>
      <c r="G50" s="37"/>
      <c r="H50" s="38"/>
      <c r="I50" s="44" t="s">
        <v>397</v>
      </c>
      <c r="J50" s="45" t="s">
        <v>398</v>
      </c>
      <c r="K50" s="46">
        <v>1</v>
      </c>
      <c r="L50" s="43"/>
      <c r="M50" s="37"/>
      <c r="N50" s="47">
        <f>ROUND((ROUND((_11_A身体増３．０*_11・基礎１),0)*_11・２人),0)</f>
        <v>349</v>
      </c>
      <c r="O50" s="48"/>
    </row>
    <row r="51" spans="1:15" ht="16.5" customHeight="1" x14ac:dyDescent="0.15">
      <c r="A51" s="41">
        <v>11</v>
      </c>
      <c r="B51" s="41" t="s">
        <v>2740</v>
      </c>
      <c r="C51" s="162" t="s">
        <v>2741</v>
      </c>
      <c r="D51" s="121"/>
      <c r="E51" s="99"/>
      <c r="F51" s="53"/>
      <c r="G51" s="49"/>
      <c r="H51" s="50"/>
      <c r="I51" s="44"/>
      <c r="J51" s="45"/>
      <c r="K51" s="46"/>
      <c r="L51" s="707" t="s">
        <v>404</v>
      </c>
      <c r="M51" s="708"/>
      <c r="N51" s="47">
        <f>ROUND((_11_A身体増３．０*_11・初任),0)</f>
        <v>349</v>
      </c>
      <c r="O51" s="48"/>
    </row>
    <row r="52" spans="1:15" ht="16.5" customHeight="1" x14ac:dyDescent="0.15">
      <c r="A52" s="41">
        <v>11</v>
      </c>
      <c r="B52" s="41" t="s">
        <v>2742</v>
      </c>
      <c r="C52" s="162" t="s">
        <v>2743</v>
      </c>
      <c r="D52" s="121"/>
      <c r="E52" s="99"/>
      <c r="F52" s="43"/>
      <c r="G52" s="37"/>
      <c r="H52" s="38"/>
      <c r="I52" s="44" t="s">
        <v>397</v>
      </c>
      <c r="J52" s="45" t="s">
        <v>398</v>
      </c>
      <c r="K52" s="46">
        <v>1</v>
      </c>
      <c r="L52" s="709"/>
      <c r="M52" s="704"/>
      <c r="N52" s="47">
        <f>ROUND((ROUND((_11_A身体増３．０*_11・２人),0)*_11・初任),0)</f>
        <v>349</v>
      </c>
      <c r="O52" s="48"/>
    </row>
    <row r="53" spans="1:15" ht="16.5" customHeight="1" x14ac:dyDescent="0.15">
      <c r="A53" s="41">
        <v>11</v>
      </c>
      <c r="B53" s="41" t="s">
        <v>2744</v>
      </c>
      <c r="C53" s="162" t="s">
        <v>2745</v>
      </c>
      <c r="D53" s="72"/>
      <c r="E53" s="99"/>
      <c r="F53" s="705" t="s">
        <v>400</v>
      </c>
      <c r="G53" s="49" t="s">
        <v>398</v>
      </c>
      <c r="H53" s="50">
        <v>0.7</v>
      </c>
      <c r="I53" s="44"/>
      <c r="J53" s="45"/>
      <c r="K53" s="46"/>
      <c r="L53" s="709"/>
      <c r="M53" s="704"/>
      <c r="N53" s="47">
        <f>ROUND((ROUND((_11_A身体増３．０*_11・基礎１),0)*_11・初任),0)</f>
        <v>244</v>
      </c>
      <c r="O53" s="48"/>
    </row>
    <row r="54" spans="1:15" ht="16.5" customHeight="1" x14ac:dyDescent="0.15">
      <c r="A54" s="41">
        <v>11</v>
      </c>
      <c r="B54" s="41" t="s">
        <v>2746</v>
      </c>
      <c r="C54" s="162" t="s">
        <v>2747</v>
      </c>
      <c r="D54" s="72"/>
      <c r="E54" s="99"/>
      <c r="F54" s="711"/>
      <c r="G54" s="37"/>
      <c r="H54" s="38"/>
      <c r="I54" s="44" t="s">
        <v>397</v>
      </c>
      <c r="J54" s="45" t="s">
        <v>398</v>
      </c>
      <c r="K54" s="46">
        <v>1</v>
      </c>
      <c r="L54" s="55" t="s">
        <v>398</v>
      </c>
      <c r="M54" s="38">
        <f>_11・初任</f>
        <v>0.7</v>
      </c>
      <c r="N54" s="47">
        <f>ROUND((ROUND((ROUND((_11_A身体増３．０*_11・基礎１),0)*_11・２人),0)*_11・初任),0)</f>
        <v>244</v>
      </c>
      <c r="O54" s="48"/>
    </row>
    <row r="55" spans="1:15" ht="16.5" customHeight="1" x14ac:dyDescent="0.15">
      <c r="A55" s="41">
        <v>11</v>
      </c>
      <c r="B55" s="41">
        <v>1851</v>
      </c>
      <c r="C55" s="162" t="s">
        <v>2748</v>
      </c>
      <c r="D55" s="707" t="s">
        <v>477</v>
      </c>
      <c r="E55" s="717"/>
      <c r="F55" s="53"/>
      <c r="G55" s="49"/>
      <c r="H55" s="50"/>
      <c r="I55" s="44"/>
      <c r="J55" s="45"/>
      <c r="K55" s="46"/>
      <c r="L55" s="53"/>
      <c r="M55" s="49"/>
      <c r="N55" s="47">
        <f>_11_A身体増３．５</f>
        <v>581</v>
      </c>
      <c r="O55" s="48"/>
    </row>
    <row r="56" spans="1:15" ht="16.5" customHeight="1" x14ac:dyDescent="0.15">
      <c r="A56" s="41">
        <v>11</v>
      </c>
      <c r="B56" s="41">
        <v>1852</v>
      </c>
      <c r="C56" s="162" t="s">
        <v>2749</v>
      </c>
      <c r="D56" s="709"/>
      <c r="E56" s="718"/>
      <c r="F56" s="43"/>
      <c r="G56" s="37"/>
      <c r="H56" s="38"/>
      <c r="I56" s="44" t="s">
        <v>397</v>
      </c>
      <c r="J56" s="45" t="s">
        <v>398</v>
      </c>
      <c r="K56" s="46">
        <v>1</v>
      </c>
      <c r="L56" s="35"/>
      <c r="N56" s="47">
        <f>ROUND((_11_A身体増３．５*_11・２人),0)</f>
        <v>581</v>
      </c>
      <c r="O56" s="48"/>
    </row>
    <row r="57" spans="1:15" ht="16.5" customHeight="1" x14ac:dyDescent="0.15">
      <c r="A57" s="41">
        <v>11</v>
      </c>
      <c r="B57" s="41">
        <v>1853</v>
      </c>
      <c r="C57" s="162" t="s">
        <v>2750</v>
      </c>
      <c r="D57" s="709"/>
      <c r="E57" s="718"/>
      <c r="F57" s="705" t="s">
        <v>400</v>
      </c>
      <c r="G57" s="49" t="s">
        <v>398</v>
      </c>
      <c r="H57" s="50">
        <v>0.7</v>
      </c>
      <c r="I57" s="44"/>
      <c r="J57" s="45"/>
      <c r="K57" s="46"/>
      <c r="L57" s="35"/>
      <c r="N57" s="47">
        <f>ROUND((_11_A身体増３．５*_11・基礎１),0)</f>
        <v>407</v>
      </c>
      <c r="O57" s="48"/>
    </row>
    <row r="58" spans="1:15" ht="16.5" customHeight="1" x14ac:dyDescent="0.15">
      <c r="A58" s="41">
        <v>11</v>
      </c>
      <c r="B58" s="41">
        <v>1854</v>
      </c>
      <c r="C58" s="162" t="s">
        <v>2751</v>
      </c>
      <c r="D58" s="100">
        <f>_11_A身体増３．５</f>
        <v>581</v>
      </c>
      <c r="E58" s="12" t="s">
        <v>392</v>
      </c>
      <c r="F58" s="711"/>
      <c r="G58" s="37"/>
      <c r="H58" s="38"/>
      <c r="I58" s="44" t="s">
        <v>397</v>
      </c>
      <c r="J58" s="45" t="s">
        <v>398</v>
      </c>
      <c r="K58" s="46">
        <v>1</v>
      </c>
      <c r="L58" s="43"/>
      <c r="M58" s="37"/>
      <c r="N58" s="47">
        <f>ROUND((ROUND((_11_A身体増３．５*_11・基礎１),0)*_11・２人),0)</f>
        <v>407</v>
      </c>
      <c r="O58" s="48"/>
    </row>
    <row r="59" spans="1:15" ht="16.5" customHeight="1" x14ac:dyDescent="0.15">
      <c r="A59" s="41">
        <v>11</v>
      </c>
      <c r="B59" s="41" t="s">
        <v>2752</v>
      </c>
      <c r="C59" s="162" t="s">
        <v>2753</v>
      </c>
      <c r="D59" s="121"/>
      <c r="E59" s="99"/>
      <c r="F59" s="53"/>
      <c r="G59" s="49"/>
      <c r="H59" s="50"/>
      <c r="I59" s="44"/>
      <c r="J59" s="45"/>
      <c r="K59" s="46"/>
      <c r="L59" s="707" t="s">
        <v>404</v>
      </c>
      <c r="M59" s="708"/>
      <c r="N59" s="47">
        <f>ROUND((_11_A身体増３．５*_11・初任),0)</f>
        <v>407</v>
      </c>
      <c r="O59" s="48"/>
    </row>
    <row r="60" spans="1:15" ht="16.5" customHeight="1" x14ac:dyDescent="0.15">
      <c r="A60" s="41">
        <v>11</v>
      </c>
      <c r="B60" s="41" t="s">
        <v>2754</v>
      </c>
      <c r="C60" s="162" t="s">
        <v>2755</v>
      </c>
      <c r="D60" s="121"/>
      <c r="E60" s="99"/>
      <c r="F60" s="43"/>
      <c r="G60" s="37"/>
      <c r="H60" s="38"/>
      <c r="I60" s="44" t="s">
        <v>397</v>
      </c>
      <c r="J60" s="45" t="s">
        <v>398</v>
      </c>
      <c r="K60" s="46">
        <v>1</v>
      </c>
      <c r="L60" s="709"/>
      <c r="M60" s="704"/>
      <c r="N60" s="47">
        <f>ROUND((ROUND((_11_A身体増３．５*_11・２人),0)*_11・初任),0)</f>
        <v>407</v>
      </c>
      <c r="O60" s="48"/>
    </row>
    <row r="61" spans="1:15" ht="16.5" customHeight="1" x14ac:dyDescent="0.15">
      <c r="A61" s="41">
        <v>11</v>
      </c>
      <c r="B61" s="41" t="s">
        <v>2756</v>
      </c>
      <c r="C61" s="162" t="s">
        <v>2757</v>
      </c>
      <c r="D61" s="72"/>
      <c r="E61" s="99"/>
      <c r="F61" s="705" t="s">
        <v>400</v>
      </c>
      <c r="G61" s="49" t="s">
        <v>398</v>
      </c>
      <c r="H61" s="50">
        <v>0.7</v>
      </c>
      <c r="I61" s="44"/>
      <c r="J61" s="45"/>
      <c r="K61" s="46"/>
      <c r="L61" s="709"/>
      <c r="M61" s="704"/>
      <c r="N61" s="47">
        <f>ROUND((ROUND((_11_A身体増３．５*_11・基礎１),0)*_11・初任),0)</f>
        <v>285</v>
      </c>
      <c r="O61" s="48"/>
    </row>
    <row r="62" spans="1:15" ht="16.5" customHeight="1" x14ac:dyDescent="0.15">
      <c r="A62" s="41">
        <v>11</v>
      </c>
      <c r="B62" s="41" t="s">
        <v>2758</v>
      </c>
      <c r="C62" s="162" t="s">
        <v>2759</v>
      </c>
      <c r="D62" s="72"/>
      <c r="E62" s="99"/>
      <c r="F62" s="711"/>
      <c r="G62" s="37"/>
      <c r="H62" s="38"/>
      <c r="I62" s="44" t="s">
        <v>397</v>
      </c>
      <c r="J62" s="45" t="s">
        <v>398</v>
      </c>
      <c r="K62" s="46">
        <v>1</v>
      </c>
      <c r="L62" s="55" t="s">
        <v>398</v>
      </c>
      <c r="M62" s="38">
        <f>_11・初任</f>
        <v>0.7</v>
      </c>
      <c r="N62" s="47">
        <f>ROUND((ROUND((ROUND((_11_A身体増３．５*_11・基礎１),0)*_11・２人),0)*_11・初任),0)</f>
        <v>285</v>
      </c>
      <c r="O62" s="48"/>
    </row>
    <row r="63" spans="1:15" ht="16.5" customHeight="1" x14ac:dyDescent="0.15">
      <c r="A63" s="41">
        <v>11</v>
      </c>
      <c r="B63" s="41">
        <v>1855</v>
      </c>
      <c r="C63" s="162" t="s">
        <v>2760</v>
      </c>
      <c r="D63" s="707" t="s">
        <v>2761</v>
      </c>
      <c r="E63" s="717"/>
      <c r="F63" s="53"/>
      <c r="G63" s="49"/>
      <c r="H63" s="50"/>
      <c r="I63" s="44"/>
      <c r="J63" s="45"/>
      <c r="K63" s="46"/>
      <c r="L63" s="53"/>
      <c r="M63" s="49"/>
      <c r="N63" s="47">
        <f>_11_A身体増４．０</f>
        <v>664</v>
      </c>
      <c r="O63" s="48"/>
    </row>
    <row r="64" spans="1:15" ht="16.5" customHeight="1" x14ac:dyDescent="0.15">
      <c r="A64" s="41">
        <v>11</v>
      </c>
      <c r="B64" s="41">
        <v>1856</v>
      </c>
      <c r="C64" s="162" t="s">
        <v>2762</v>
      </c>
      <c r="D64" s="709"/>
      <c r="E64" s="718"/>
      <c r="F64" s="43"/>
      <c r="G64" s="37"/>
      <c r="H64" s="38"/>
      <c r="I64" s="44" t="s">
        <v>397</v>
      </c>
      <c r="J64" s="45" t="s">
        <v>398</v>
      </c>
      <c r="K64" s="46">
        <v>1</v>
      </c>
      <c r="L64" s="35"/>
      <c r="N64" s="47">
        <f>ROUND((_11_A身体増４．０*_11・２人),0)</f>
        <v>664</v>
      </c>
      <c r="O64" s="48"/>
    </row>
    <row r="65" spans="1:15" ht="16.5" customHeight="1" x14ac:dyDescent="0.15">
      <c r="A65" s="41">
        <v>11</v>
      </c>
      <c r="B65" s="41">
        <v>1857</v>
      </c>
      <c r="C65" s="162" t="s">
        <v>2763</v>
      </c>
      <c r="D65" s="709"/>
      <c r="E65" s="718"/>
      <c r="F65" s="705" t="s">
        <v>400</v>
      </c>
      <c r="G65" s="49" t="s">
        <v>398</v>
      </c>
      <c r="H65" s="50">
        <v>0.7</v>
      </c>
      <c r="I65" s="44"/>
      <c r="J65" s="45"/>
      <c r="K65" s="46"/>
      <c r="L65" s="35"/>
      <c r="N65" s="47">
        <f>ROUND((_11_A身体増４．０*_11・基礎１),0)</f>
        <v>465</v>
      </c>
      <c r="O65" s="48"/>
    </row>
    <row r="66" spans="1:15" ht="16.5" customHeight="1" x14ac:dyDescent="0.15">
      <c r="A66" s="41">
        <v>11</v>
      </c>
      <c r="B66" s="41">
        <v>1858</v>
      </c>
      <c r="C66" s="162" t="s">
        <v>2764</v>
      </c>
      <c r="D66" s="100">
        <f>_11_A身体増４．０</f>
        <v>664</v>
      </c>
      <c r="E66" s="12" t="s">
        <v>392</v>
      </c>
      <c r="F66" s="711"/>
      <c r="G66" s="37"/>
      <c r="H66" s="38"/>
      <c r="I66" s="44" t="s">
        <v>397</v>
      </c>
      <c r="J66" s="45" t="s">
        <v>398</v>
      </c>
      <c r="K66" s="46">
        <v>1</v>
      </c>
      <c r="L66" s="43"/>
      <c r="M66" s="37"/>
      <c r="N66" s="47">
        <f>ROUND((ROUND((_11_A身体増４．０*_11・基礎１),0)*_11・２人),0)</f>
        <v>465</v>
      </c>
      <c r="O66" s="48"/>
    </row>
    <row r="67" spans="1:15" ht="16.5" customHeight="1" x14ac:dyDescent="0.15">
      <c r="A67" s="41">
        <v>11</v>
      </c>
      <c r="B67" s="41" t="s">
        <v>2765</v>
      </c>
      <c r="C67" s="162" t="s">
        <v>2766</v>
      </c>
      <c r="D67" s="121"/>
      <c r="E67" s="99"/>
      <c r="F67" s="53"/>
      <c r="G67" s="49"/>
      <c r="H67" s="50"/>
      <c r="I67" s="44"/>
      <c r="J67" s="45"/>
      <c r="K67" s="46"/>
      <c r="L67" s="707" t="s">
        <v>404</v>
      </c>
      <c r="M67" s="708"/>
      <c r="N67" s="47">
        <f>ROUND((_11_A身体増４．０*_11・初任),0)</f>
        <v>465</v>
      </c>
      <c r="O67" s="48"/>
    </row>
    <row r="68" spans="1:15" ht="16.5" customHeight="1" x14ac:dyDescent="0.15">
      <c r="A68" s="41">
        <v>11</v>
      </c>
      <c r="B68" s="41" t="s">
        <v>2767</v>
      </c>
      <c r="C68" s="162" t="s">
        <v>2768</v>
      </c>
      <c r="D68" s="121"/>
      <c r="E68" s="99"/>
      <c r="F68" s="43"/>
      <c r="G68" s="37"/>
      <c r="H68" s="38"/>
      <c r="I68" s="44" t="s">
        <v>397</v>
      </c>
      <c r="J68" s="45" t="s">
        <v>398</v>
      </c>
      <c r="K68" s="46">
        <v>1</v>
      </c>
      <c r="L68" s="709"/>
      <c r="M68" s="704"/>
      <c r="N68" s="47">
        <f>ROUND((ROUND((_11_A身体増４．０*_11・２人),0)*_11・初任),0)</f>
        <v>465</v>
      </c>
      <c r="O68" s="48"/>
    </row>
    <row r="69" spans="1:15" ht="16.5" customHeight="1" x14ac:dyDescent="0.15">
      <c r="A69" s="41">
        <v>11</v>
      </c>
      <c r="B69" s="41" t="s">
        <v>2769</v>
      </c>
      <c r="C69" s="162" t="s">
        <v>2770</v>
      </c>
      <c r="D69" s="72"/>
      <c r="E69" s="99"/>
      <c r="F69" s="705" t="s">
        <v>400</v>
      </c>
      <c r="G69" s="49" t="s">
        <v>398</v>
      </c>
      <c r="H69" s="50">
        <v>0.7</v>
      </c>
      <c r="I69" s="44"/>
      <c r="J69" s="45"/>
      <c r="K69" s="46"/>
      <c r="L69" s="709"/>
      <c r="M69" s="704"/>
      <c r="N69" s="47">
        <f>ROUND((ROUND((_11_A身体増４．０*_11・基礎１),0)*_11・初任),0)</f>
        <v>326</v>
      </c>
      <c r="O69" s="48"/>
    </row>
    <row r="70" spans="1:15" ht="16.5" customHeight="1" x14ac:dyDescent="0.15">
      <c r="A70" s="41">
        <v>11</v>
      </c>
      <c r="B70" s="41" t="s">
        <v>2771</v>
      </c>
      <c r="C70" s="162" t="s">
        <v>2772</v>
      </c>
      <c r="D70" s="122"/>
      <c r="E70" s="111"/>
      <c r="F70" s="711"/>
      <c r="G70" s="37"/>
      <c r="H70" s="38"/>
      <c r="I70" s="44" t="s">
        <v>397</v>
      </c>
      <c r="J70" s="45" t="s">
        <v>398</v>
      </c>
      <c r="K70" s="46">
        <v>1</v>
      </c>
      <c r="L70" s="55" t="s">
        <v>398</v>
      </c>
      <c r="M70" s="38">
        <f>_11・初任</f>
        <v>0.7</v>
      </c>
      <c r="N70" s="47">
        <f>ROUND((ROUND((ROUND((_11_A身体増４．０*_11・基礎１),0)*_11・２人),0)*_11・初任),0)</f>
        <v>326</v>
      </c>
      <c r="O70" s="63"/>
    </row>
    <row r="71" spans="1:15" ht="16.5" customHeight="1" x14ac:dyDescent="0.15">
      <c r="A71" s="33">
        <v>11</v>
      </c>
      <c r="B71" s="33">
        <v>1859</v>
      </c>
      <c r="C71" s="161" t="s">
        <v>2773</v>
      </c>
      <c r="D71" s="709" t="s">
        <v>503</v>
      </c>
      <c r="E71" s="718"/>
      <c r="F71" s="35"/>
      <c r="I71" s="36"/>
      <c r="J71" s="37"/>
      <c r="K71" s="38"/>
      <c r="L71" s="35"/>
      <c r="N71" s="39">
        <f>_11_A身体増４．５</f>
        <v>747</v>
      </c>
      <c r="O71" s="48"/>
    </row>
    <row r="72" spans="1:15" ht="16.5" customHeight="1" x14ac:dyDescent="0.15">
      <c r="A72" s="41">
        <v>11</v>
      </c>
      <c r="B72" s="41">
        <v>1860</v>
      </c>
      <c r="C72" s="162" t="s">
        <v>2774</v>
      </c>
      <c r="D72" s="709"/>
      <c r="E72" s="718"/>
      <c r="F72" s="43"/>
      <c r="G72" s="37"/>
      <c r="H72" s="38"/>
      <c r="I72" s="44" t="s">
        <v>397</v>
      </c>
      <c r="J72" s="45" t="s">
        <v>398</v>
      </c>
      <c r="K72" s="46">
        <v>1</v>
      </c>
      <c r="L72" s="35"/>
      <c r="N72" s="47">
        <f>ROUND((_11_A身体増４．５*_11・２人),0)</f>
        <v>747</v>
      </c>
      <c r="O72" s="48"/>
    </row>
    <row r="73" spans="1:15" ht="16.5" customHeight="1" x14ac:dyDescent="0.15">
      <c r="A73" s="41">
        <v>11</v>
      </c>
      <c r="B73" s="41">
        <v>1861</v>
      </c>
      <c r="C73" s="162" t="s">
        <v>2775</v>
      </c>
      <c r="D73" s="709"/>
      <c r="E73" s="718"/>
      <c r="F73" s="705" t="s">
        <v>400</v>
      </c>
      <c r="G73" s="49" t="s">
        <v>398</v>
      </c>
      <c r="H73" s="50">
        <v>0.7</v>
      </c>
      <c r="I73" s="44"/>
      <c r="J73" s="45"/>
      <c r="K73" s="46"/>
      <c r="L73" s="35"/>
      <c r="N73" s="47">
        <f>ROUND((_11_A身体増４．５*_11・基礎１),0)</f>
        <v>523</v>
      </c>
      <c r="O73" s="48"/>
    </row>
    <row r="74" spans="1:15" ht="16.5" customHeight="1" x14ac:dyDescent="0.15">
      <c r="A74" s="41">
        <v>11</v>
      </c>
      <c r="B74" s="41">
        <v>1862</v>
      </c>
      <c r="C74" s="162" t="s">
        <v>2776</v>
      </c>
      <c r="D74" s="100">
        <f>_11_A身体増４．５</f>
        <v>747</v>
      </c>
      <c r="E74" s="12" t="s">
        <v>392</v>
      </c>
      <c r="F74" s="711"/>
      <c r="G74" s="37"/>
      <c r="H74" s="38"/>
      <c r="I74" s="44" t="s">
        <v>397</v>
      </c>
      <c r="J74" s="45" t="s">
        <v>398</v>
      </c>
      <c r="K74" s="46">
        <v>1</v>
      </c>
      <c r="L74" s="43"/>
      <c r="M74" s="37"/>
      <c r="N74" s="47">
        <f>ROUND((ROUND((_11_A身体増４．５*_11・基礎１),0)*_11・２人),0)</f>
        <v>523</v>
      </c>
      <c r="O74" s="48"/>
    </row>
    <row r="75" spans="1:15" ht="16.5" customHeight="1" x14ac:dyDescent="0.15">
      <c r="A75" s="41">
        <v>11</v>
      </c>
      <c r="B75" s="41" t="s">
        <v>2777</v>
      </c>
      <c r="C75" s="162" t="s">
        <v>2778</v>
      </c>
      <c r="D75" s="121"/>
      <c r="E75" s="99"/>
      <c r="F75" s="53"/>
      <c r="G75" s="49"/>
      <c r="H75" s="50"/>
      <c r="I75" s="44"/>
      <c r="J75" s="45"/>
      <c r="K75" s="46"/>
      <c r="L75" s="707" t="s">
        <v>404</v>
      </c>
      <c r="M75" s="708"/>
      <c r="N75" s="47">
        <f>ROUND((_11_A身体増４．５*_11・初任),0)</f>
        <v>523</v>
      </c>
      <c r="O75" s="48"/>
    </row>
    <row r="76" spans="1:15" ht="16.5" customHeight="1" x14ac:dyDescent="0.15">
      <c r="A76" s="41">
        <v>11</v>
      </c>
      <c r="B76" s="41" t="s">
        <v>2779</v>
      </c>
      <c r="C76" s="162" t="s">
        <v>2780</v>
      </c>
      <c r="D76" s="121"/>
      <c r="E76" s="99"/>
      <c r="F76" s="43"/>
      <c r="G76" s="37"/>
      <c r="H76" s="38"/>
      <c r="I76" s="44" t="s">
        <v>397</v>
      </c>
      <c r="J76" s="45" t="s">
        <v>398</v>
      </c>
      <c r="K76" s="46">
        <v>1</v>
      </c>
      <c r="L76" s="709"/>
      <c r="M76" s="704"/>
      <c r="N76" s="47">
        <f>ROUND((ROUND((_11_A身体増４．５*_11・２人),0)*_11・初任),0)</f>
        <v>523</v>
      </c>
      <c r="O76" s="48"/>
    </row>
    <row r="77" spans="1:15" ht="16.5" customHeight="1" x14ac:dyDescent="0.15">
      <c r="A77" s="41">
        <v>11</v>
      </c>
      <c r="B77" s="41" t="s">
        <v>2781</v>
      </c>
      <c r="C77" s="162" t="s">
        <v>2782</v>
      </c>
      <c r="D77" s="72"/>
      <c r="E77" s="99"/>
      <c r="F77" s="705" t="s">
        <v>400</v>
      </c>
      <c r="G77" s="49" t="s">
        <v>398</v>
      </c>
      <c r="H77" s="50">
        <v>0.7</v>
      </c>
      <c r="I77" s="44"/>
      <c r="J77" s="45"/>
      <c r="K77" s="46"/>
      <c r="L77" s="709"/>
      <c r="M77" s="704"/>
      <c r="N77" s="47">
        <f>ROUND((ROUND((_11_A身体増４．５*_11・基礎１),0)*_11・初任),0)</f>
        <v>366</v>
      </c>
      <c r="O77" s="48"/>
    </row>
    <row r="78" spans="1:15" ht="16.5" customHeight="1" x14ac:dyDescent="0.15">
      <c r="A78" s="41">
        <v>11</v>
      </c>
      <c r="B78" s="41" t="s">
        <v>2783</v>
      </c>
      <c r="C78" s="162" t="s">
        <v>2784</v>
      </c>
      <c r="D78" s="72"/>
      <c r="E78" s="99"/>
      <c r="F78" s="711"/>
      <c r="G78" s="37"/>
      <c r="H78" s="38"/>
      <c r="I78" s="44" t="s">
        <v>397</v>
      </c>
      <c r="J78" s="45" t="s">
        <v>398</v>
      </c>
      <c r="K78" s="46">
        <v>1</v>
      </c>
      <c r="L78" s="55" t="s">
        <v>398</v>
      </c>
      <c r="M78" s="38">
        <f>_11・初任</f>
        <v>0.7</v>
      </c>
      <c r="N78" s="47">
        <f>ROUND((ROUND((ROUND((_11_A身体増４．５*_11・基礎１),0)*_11・２人),0)*_11・初任),0)</f>
        <v>366</v>
      </c>
      <c r="O78" s="48"/>
    </row>
    <row r="79" spans="1:15" ht="16.5" customHeight="1" x14ac:dyDescent="0.15">
      <c r="A79" s="41">
        <v>11</v>
      </c>
      <c r="B79" s="41">
        <v>1863</v>
      </c>
      <c r="C79" s="162" t="s">
        <v>2785</v>
      </c>
      <c r="D79" s="707" t="s">
        <v>516</v>
      </c>
      <c r="E79" s="717"/>
      <c r="F79" s="53"/>
      <c r="G79" s="49"/>
      <c r="H79" s="50"/>
      <c r="I79" s="44"/>
      <c r="J79" s="45"/>
      <c r="K79" s="46"/>
      <c r="L79" s="53"/>
      <c r="M79" s="49"/>
      <c r="N79" s="47">
        <f>_11_A身体増５．０</f>
        <v>830</v>
      </c>
      <c r="O79" s="48"/>
    </row>
    <row r="80" spans="1:15" ht="16.5" customHeight="1" x14ac:dyDescent="0.15">
      <c r="A80" s="41">
        <v>11</v>
      </c>
      <c r="B80" s="41">
        <v>1864</v>
      </c>
      <c r="C80" s="162" t="s">
        <v>2786</v>
      </c>
      <c r="D80" s="709"/>
      <c r="E80" s="718"/>
      <c r="F80" s="43"/>
      <c r="G80" s="37"/>
      <c r="H80" s="38"/>
      <c r="I80" s="44" t="s">
        <v>397</v>
      </c>
      <c r="J80" s="45" t="s">
        <v>398</v>
      </c>
      <c r="K80" s="46">
        <v>1</v>
      </c>
      <c r="L80" s="35"/>
      <c r="N80" s="47">
        <f>ROUND((_11_A身体増５．０*_11・２人),0)</f>
        <v>830</v>
      </c>
      <c r="O80" s="48"/>
    </row>
    <row r="81" spans="1:15" ht="16.5" customHeight="1" x14ac:dyDescent="0.15">
      <c r="A81" s="41">
        <v>11</v>
      </c>
      <c r="B81" s="41">
        <v>1865</v>
      </c>
      <c r="C81" s="162" t="s">
        <v>2787</v>
      </c>
      <c r="D81" s="709"/>
      <c r="E81" s="718"/>
      <c r="F81" s="705" t="s">
        <v>400</v>
      </c>
      <c r="G81" s="49" t="s">
        <v>398</v>
      </c>
      <c r="H81" s="50">
        <v>0.7</v>
      </c>
      <c r="I81" s="44"/>
      <c r="J81" s="45"/>
      <c r="K81" s="46"/>
      <c r="L81" s="35"/>
      <c r="N81" s="47">
        <f>ROUND((_11_A身体増５．０*_11・基礎１),0)</f>
        <v>581</v>
      </c>
      <c r="O81" s="48"/>
    </row>
    <row r="82" spans="1:15" ht="16.5" customHeight="1" x14ac:dyDescent="0.15">
      <c r="A82" s="41">
        <v>11</v>
      </c>
      <c r="B82" s="41">
        <v>1866</v>
      </c>
      <c r="C82" s="162" t="s">
        <v>2788</v>
      </c>
      <c r="D82" s="100">
        <f>_11_A身体増５．０</f>
        <v>830</v>
      </c>
      <c r="E82" s="12" t="s">
        <v>392</v>
      </c>
      <c r="F82" s="711"/>
      <c r="G82" s="37"/>
      <c r="H82" s="38"/>
      <c r="I82" s="44" t="s">
        <v>397</v>
      </c>
      <c r="J82" s="45" t="s">
        <v>398</v>
      </c>
      <c r="K82" s="46">
        <v>1</v>
      </c>
      <c r="L82" s="43"/>
      <c r="M82" s="37"/>
      <c r="N82" s="47">
        <f>ROUND((ROUND((_11_A身体増５．０*_11・基礎１),0)*_11・２人),0)</f>
        <v>581</v>
      </c>
      <c r="O82" s="48"/>
    </row>
    <row r="83" spans="1:15" ht="16.5" customHeight="1" x14ac:dyDescent="0.15">
      <c r="A83" s="41">
        <v>11</v>
      </c>
      <c r="B83" s="41" t="s">
        <v>2789</v>
      </c>
      <c r="C83" s="162" t="s">
        <v>2790</v>
      </c>
      <c r="D83" s="121"/>
      <c r="E83" s="99"/>
      <c r="F83" s="53"/>
      <c r="G83" s="49"/>
      <c r="H83" s="50"/>
      <c r="I83" s="44"/>
      <c r="J83" s="45"/>
      <c r="K83" s="46"/>
      <c r="L83" s="707" t="s">
        <v>404</v>
      </c>
      <c r="M83" s="708"/>
      <c r="N83" s="47">
        <f>ROUND((_11_A身体増５．０*_11・初任),0)</f>
        <v>581</v>
      </c>
      <c r="O83" s="48"/>
    </row>
    <row r="84" spans="1:15" ht="16.5" customHeight="1" x14ac:dyDescent="0.15">
      <c r="A84" s="41">
        <v>11</v>
      </c>
      <c r="B84" s="41" t="s">
        <v>2791</v>
      </c>
      <c r="C84" s="162" t="s">
        <v>2792</v>
      </c>
      <c r="D84" s="121"/>
      <c r="E84" s="99"/>
      <c r="F84" s="43"/>
      <c r="G84" s="37"/>
      <c r="H84" s="38"/>
      <c r="I84" s="44" t="s">
        <v>397</v>
      </c>
      <c r="J84" s="45" t="s">
        <v>398</v>
      </c>
      <c r="K84" s="46">
        <v>1</v>
      </c>
      <c r="L84" s="709"/>
      <c r="M84" s="704"/>
      <c r="N84" s="47">
        <f>ROUND((ROUND((_11_A身体増５．０*_11・２人),0)*_11・初任),0)</f>
        <v>581</v>
      </c>
      <c r="O84" s="48"/>
    </row>
    <row r="85" spans="1:15" ht="16.5" customHeight="1" x14ac:dyDescent="0.15">
      <c r="A85" s="41">
        <v>11</v>
      </c>
      <c r="B85" s="41" t="s">
        <v>2793</v>
      </c>
      <c r="C85" s="162" t="s">
        <v>2794</v>
      </c>
      <c r="D85" s="72"/>
      <c r="E85" s="99"/>
      <c r="F85" s="705" t="s">
        <v>400</v>
      </c>
      <c r="G85" s="49" t="s">
        <v>398</v>
      </c>
      <c r="H85" s="50">
        <v>0.7</v>
      </c>
      <c r="I85" s="44"/>
      <c r="J85" s="45"/>
      <c r="K85" s="46"/>
      <c r="L85" s="709"/>
      <c r="M85" s="704"/>
      <c r="N85" s="47">
        <f>ROUND((ROUND((_11_A身体増５．０*_11・基礎１),0)*_11・初任),0)</f>
        <v>407</v>
      </c>
      <c r="O85" s="48"/>
    </row>
    <row r="86" spans="1:15" ht="16.5" customHeight="1" x14ac:dyDescent="0.15">
      <c r="A86" s="41">
        <v>11</v>
      </c>
      <c r="B86" s="41" t="s">
        <v>2795</v>
      </c>
      <c r="C86" s="162" t="s">
        <v>2796</v>
      </c>
      <c r="D86" s="72"/>
      <c r="E86" s="99"/>
      <c r="F86" s="711"/>
      <c r="G86" s="37"/>
      <c r="H86" s="38"/>
      <c r="I86" s="44" t="s">
        <v>397</v>
      </c>
      <c r="J86" s="45" t="s">
        <v>398</v>
      </c>
      <c r="K86" s="46">
        <v>1</v>
      </c>
      <c r="L86" s="55" t="s">
        <v>398</v>
      </c>
      <c r="M86" s="38">
        <f>_11・初任</f>
        <v>0.7</v>
      </c>
      <c r="N86" s="47">
        <f>ROUND((ROUND((ROUND((_11_A身体増５．０*_11・基礎１),0)*_11・２人),0)*_11・初任),0)</f>
        <v>407</v>
      </c>
      <c r="O86" s="48"/>
    </row>
    <row r="87" spans="1:15" ht="16.5" customHeight="1" x14ac:dyDescent="0.15">
      <c r="A87" s="41">
        <v>11</v>
      </c>
      <c r="B87" s="41">
        <v>1867</v>
      </c>
      <c r="C87" s="162" t="s">
        <v>2797</v>
      </c>
      <c r="D87" s="707" t="s">
        <v>529</v>
      </c>
      <c r="E87" s="717"/>
      <c r="F87" s="53"/>
      <c r="G87" s="49"/>
      <c r="H87" s="50"/>
      <c r="I87" s="44"/>
      <c r="J87" s="45"/>
      <c r="K87" s="46"/>
      <c r="L87" s="53"/>
      <c r="M87" s="49"/>
      <c r="N87" s="47">
        <f>_11_A身体増５．５</f>
        <v>913</v>
      </c>
      <c r="O87" s="48"/>
    </row>
    <row r="88" spans="1:15" ht="16.5" customHeight="1" x14ac:dyDescent="0.15">
      <c r="A88" s="41">
        <v>11</v>
      </c>
      <c r="B88" s="41">
        <v>1868</v>
      </c>
      <c r="C88" s="162" t="s">
        <v>2798</v>
      </c>
      <c r="D88" s="709"/>
      <c r="E88" s="718"/>
      <c r="F88" s="43"/>
      <c r="G88" s="37"/>
      <c r="H88" s="38"/>
      <c r="I88" s="44" t="s">
        <v>397</v>
      </c>
      <c r="J88" s="45" t="s">
        <v>398</v>
      </c>
      <c r="K88" s="46">
        <v>1</v>
      </c>
      <c r="L88" s="35"/>
      <c r="N88" s="47">
        <f>ROUND((_11_A身体増５．５*_11・２人),0)</f>
        <v>913</v>
      </c>
      <c r="O88" s="48"/>
    </row>
    <row r="89" spans="1:15" ht="16.5" customHeight="1" x14ac:dyDescent="0.15">
      <c r="A89" s="41">
        <v>11</v>
      </c>
      <c r="B89" s="41">
        <v>1869</v>
      </c>
      <c r="C89" s="162" t="s">
        <v>2799</v>
      </c>
      <c r="D89" s="709"/>
      <c r="E89" s="718"/>
      <c r="F89" s="705" t="s">
        <v>400</v>
      </c>
      <c r="G89" s="49" t="s">
        <v>398</v>
      </c>
      <c r="H89" s="50">
        <v>0.7</v>
      </c>
      <c r="I89" s="44"/>
      <c r="J89" s="45"/>
      <c r="K89" s="46"/>
      <c r="L89" s="35"/>
      <c r="N89" s="47">
        <f>ROUND((_11_A身体増５．５*_11・基礎１),0)</f>
        <v>639</v>
      </c>
      <c r="O89" s="48"/>
    </row>
    <row r="90" spans="1:15" ht="16.5" customHeight="1" x14ac:dyDescent="0.15">
      <c r="A90" s="41">
        <v>11</v>
      </c>
      <c r="B90" s="41">
        <v>1870</v>
      </c>
      <c r="C90" s="162" t="s">
        <v>2800</v>
      </c>
      <c r="D90" s="100">
        <f>_11_A身体増５．５</f>
        <v>913</v>
      </c>
      <c r="E90" s="12" t="s">
        <v>392</v>
      </c>
      <c r="F90" s="711"/>
      <c r="G90" s="37"/>
      <c r="H90" s="38"/>
      <c r="I90" s="44" t="s">
        <v>397</v>
      </c>
      <c r="J90" s="45" t="s">
        <v>398</v>
      </c>
      <c r="K90" s="46">
        <v>1</v>
      </c>
      <c r="L90" s="43"/>
      <c r="M90" s="37"/>
      <c r="N90" s="47">
        <f>ROUND((ROUND((_11_A身体増５．５*_11・基礎１),0)*_11・２人),0)</f>
        <v>639</v>
      </c>
      <c r="O90" s="48"/>
    </row>
    <row r="91" spans="1:15" ht="16.5" customHeight="1" x14ac:dyDescent="0.15">
      <c r="A91" s="41">
        <v>11</v>
      </c>
      <c r="B91" s="41" t="s">
        <v>2801</v>
      </c>
      <c r="C91" s="162" t="s">
        <v>2802</v>
      </c>
      <c r="D91" s="121"/>
      <c r="E91" s="99"/>
      <c r="F91" s="53"/>
      <c r="G91" s="49"/>
      <c r="H91" s="50"/>
      <c r="I91" s="44"/>
      <c r="J91" s="45"/>
      <c r="K91" s="46"/>
      <c r="L91" s="707" t="s">
        <v>404</v>
      </c>
      <c r="M91" s="708"/>
      <c r="N91" s="47">
        <f>ROUND((_11_A身体増５．５*_11・初任),0)</f>
        <v>639</v>
      </c>
      <c r="O91" s="48"/>
    </row>
    <row r="92" spans="1:15" ht="16.5" customHeight="1" x14ac:dyDescent="0.15">
      <c r="A92" s="41">
        <v>11</v>
      </c>
      <c r="B92" s="41" t="s">
        <v>2803</v>
      </c>
      <c r="C92" s="162" t="s">
        <v>2804</v>
      </c>
      <c r="D92" s="121"/>
      <c r="E92" s="99"/>
      <c r="F92" s="43"/>
      <c r="G92" s="37"/>
      <c r="H92" s="38"/>
      <c r="I92" s="44" t="s">
        <v>397</v>
      </c>
      <c r="J92" s="45" t="s">
        <v>398</v>
      </c>
      <c r="K92" s="46">
        <v>1</v>
      </c>
      <c r="L92" s="709"/>
      <c r="M92" s="704"/>
      <c r="N92" s="47">
        <f>ROUND((ROUND((_11_A身体増５．５*_11・２人),0)*_11・初任),0)</f>
        <v>639</v>
      </c>
      <c r="O92" s="48"/>
    </row>
    <row r="93" spans="1:15" ht="16.5" customHeight="1" x14ac:dyDescent="0.15">
      <c r="A93" s="41">
        <v>11</v>
      </c>
      <c r="B93" s="41" t="s">
        <v>2805</v>
      </c>
      <c r="C93" s="162" t="s">
        <v>2806</v>
      </c>
      <c r="D93" s="72"/>
      <c r="E93" s="99"/>
      <c r="F93" s="705" t="s">
        <v>400</v>
      </c>
      <c r="G93" s="49" t="s">
        <v>398</v>
      </c>
      <c r="H93" s="50">
        <v>0.7</v>
      </c>
      <c r="I93" s="44"/>
      <c r="J93" s="45"/>
      <c r="K93" s="46"/>
      <c r="L93" s="709"/>
      <c r="M93" s="704"/>
      <c r="N93" s="47">
        <f>ROUND((ROUND((_11_A身体増５．５*_11・基礎１),0)*_11・初任),0)</f>
        <v>447</v>
      </c>
      <c r="O93" s="48"/>
    </row>
    <row r="94" spans="1:15" ht="16.5" customHeight="1" x14ac:dyDescent="0.15">
      <c r="A94" s="41">
        <v>11</v>
      </c>
      <c r="B94" s="41" t="s">
        <v>2807</v>
      </c>
      <c r="C94" s="162" t="s">
        <v>2808</v>
      </c>
      <c r="D94" s="72"/>
      <c r="E94" s="99"/>
      <c r="F94" s="711"/>
      <c r="G94" s="37"/>
      <c r="H94" s="38"/>
      <c r="I94" s="44" t="s">
        <v>397</v>
      </c>
      <c r="J94" s="45" t="s">
        <v>398</v>
      </c>
      <c r="K94" s="46">
        <v>1</v>
      </c>
      <c r="L94" s="55" t="s">
        <v>398</v>
      </c>
      <c r="M94" s="38">
        <f>_11・初任</f>
        <v>0.7</v>
      </c>
      <c r="N94" s="47">
        <f>ROUND((ROUND((ROUND((_11_A身体増５．５*_11・基礎１),0)*_11・２人),0)*_11・初任),0)</f>
        <v>447</v>
      </c>
      <c r="O94" s="48"/>
    </row>
    <row r="95" spans="1:15" ht="16.5" customHeight="1" x14ac:dyDescent="0.15">
      <c r="A95" s="41">
        <v>11</v>
      </c>
      <c r="B95" s="41">
        <v>1871</v>
      </c>
      <c r="C95" s="162" t="s">
        <v>2809</v>
      </c>
      <c r="D95" s="707" t="s">
        <v>542</v>
      </c>
      <c r="E95" s="717"/>
      <c r="F95" s="53"/>
      <c r="G95" s="49"/>
      <c r="H95" s="50"/>
      <c r="I95" s="44"/>
      <c r="J95" s="45"/>
      <c r="K95" s="46"/>
      <c r="L95" s="53"/>
      <c r="M95" s="49"/>
      <c r="N95" s="47">
        <f>_11_A身体増６．０</f>
        <v>996</v>
      </c>
      <c r="O95" s="48"/>
    </row>
    <row r="96" spans="1:15" ht="16.5" customHeight="1" x14ac:dyDescent="0.15">
      <c r="A96" s="41">
        <v>11</v>
      </c>
      <c r="B96" s="41">
        <v>1872</v>
      </c>
      <c r="C96" s="162" t="s">
        <v>2810</v>
      </c>
      <c r="D96" s="709"/>
      <c r="E96" s="718"/>
      <c r="F96" s="43"/>
      <c r="G96" s="37"/>
      <c r="H96" s="38"/>
      <c r="I96" s="44" t="s">
        <v>397</v>
      </c>
      <c r="J96" s="45" t="s">
        <v>398</v>
      </c>
      <c r="K96" s="46">
        <v>1</v>
      </c>
      <c r="L96" s="35"/>
      <c r="N96" s="47">
        <f>ROUND((_11_A身体増６．０*_11・２人),0)</f>
        <v>996</v>
      </c>
      <c r="O96" s="48"/>
    </row>
    <row r="97" spans="1:15" ht="16.5" customHeight="1" x14ac:dyDescent="0.15">
      <c r="A97" s="41">
        <v>11</v>
      </c>
      <c r="B97" s="41">
        <v>1873</v>
      </c>
      <c r="C97" s="162" t="s">
        <v>2811</v>
      </c>
      <c r="D97" s="709"/>
      <c r="E97" s="718"/>
      <c r="F97" s="705" t="s">
        <v>400</v>
      </c>
      <c r="G97" s="49" t="s">
        <v>398</v>
      </c>
      <c r="H97" s="50">
        <v>0.7</v>
      </c>
      <c r="I97" s="44"/>
      <c r="J97" s="45"/>
      <c r="K97" s="46"/>
      <c r="L97" s="35"/>
      <c r="N97" s="47">
        <f>ROUND((_11_A身体増６．０*_11・基礎１),0)</f>
        <v>697</v>
      </c>
      <c r="O97" s="48"/>
    </row>
    <row r="98" spans="1:15" ht="16.5" customHeight="1" x14ac:dyDescent="0.15">
      <c r="A98" s="41">
        <v>11</v>
      </c>
      <c r="B98" s="41">
        <v>1874</v>
      </c>
      <c r="C98" s="162" t="s">
        <v>2812</v>
      </c>
      <c r="D98" s="100">
        <f>_11_A身体増６．０</f>
        <v>996</v>
      </c>
      <c r="E98" s="12" t="s">
        <v>392</v>
      </c>
      <c r="F98" s="711"/>
      <c r="G98" s="37"/>
      <c r="H98" s="38"/>
      <c r="I98" s="44" t="s">
        <v>397</v>
      </c>
      <c r="J98" s="45" t="s">
        <v>398</v>
      </c>
      <c r="K98" s="46">
        <v>1</v>
      </c>
      <c r="L98" s="43"/>
      <c r="M98" s="37"/>
      <c r="N98" s="47">
        <f>ROUND((ROUND((_11_A身体増６．０*_11・基礎１),0)*_11・２人),0)</f>
        <v>697</v>
      </c>
      <c r="O98" s="48"/>
    </row>
    <row r="99" spans="1:15" ht="16.5" customHeight="1" x14ac:dyDescent="0.15">
      <c r="A99" s="41">
        <v>11</v>
      </c>
      <c r="B99" s="41" t="s">
        <v>2813</v>
      </c>
      <c r="C99" s="162" t="s">
        <v>2814</v>
      </c>
      <c r="D99" s="121"/>
      <c r="E99" s="99"/>
      <c r="F99" s="53"/>
      <c r="G99" s="49"/>
      <c r="H99" s="50"/>
      <c r="I99" s="44"/>
      <c r="J99" s="45"/>
      <c r="K99" s="46"/>
      <c r="L99" s="707" t="s">
        <v>404</v>
      </c>
      <c r="M99" s="708"/>
      <c r="N99" s="47">
        <f>ROUND((_11_A身体増６．０*_11・初任),0)</f>
        <v>697</v>
      </c>
      <c r="O99" s="48"/>
    </row>
    <row r="100" spans="1:15" ht="16.5" customHeight="1" x14ac:dyDescent="0.15">
      <c r="A100" s="41">
        <v>11</v>
      </c>
      <c r="B100" s="41" t="s">
        <v>2815</v>
      </c>
      <c r="C100" s="162" t="s">
        <v>2816</v>
      </c>
      <c r="D100" s="121"/>
      <c r="E100" s="99"/>
      <c r="F100" s="43"/>
      <c r="G100" s="37"/>
      <c r="H100" s="38"/>
      <c r="I100" s="44" t="s">
        <v>397</v>
      </c>
      <c r="J100" s="45" t="s">
        <v>398</v>
      </c>
      <c r="K100" s="46">
        <v>1</v>
      </c>
      <c r="L100" s="709"/>
      <c r="M100" s="704"/>
      <c r="N100" s="47">
        <f>ROUND((ROUND((_11_A身体増６．０*_11・２人),0)*_11・初任),0)</f>
        <v>697</v>
      </c>
      <c r="O100" s="48"/>
    </row>
    <row r="101" spans="1:15" ht="16.5" customHeight="1" x14ac:dyDescent="0.15">
      <c r="A101" s="41">
        <v>11</v>
      </c>
      <c r="B101" s="41" t="s">
        <v>2817</v>
      </c>
      <c r="C101" s="162" t="s">
        <v>2818</v>
      </c>
      <c r="D101" s="72"/>
      <c r="E101" s="99"/>
      <c r="F101" s="705" t="s">
        <v>400</v>
      </c>
      <c r="G101" s="49" t="s">
        <v>398</v>
      </c>
      <c r="H101" s="50">
        <v>0.7</v>
      </c>
      <c r="I101" s="44"/>
      <c r="J101" s="45"/>
      <c r="K101" s="46"/>
      <c r="L101" s="709"/>
      <c r="M101" s="704"/>
      <c r="N101" s="47">
        <f>ROUND((ROUND((_11_A身体増６．０*_11・基礎１),0)*_11・初任),0)</f>
        <v>488</v>
      </c>
      <c r="O101" s="48"/>
    </row>
    <row r="102" spans="1:15" ht="16.5" customHeight="1" x14ac:dyDescent="0.15">
      <c r="A102" s="41">
        <v>11</v>
      </c>
      <c r="B102" s="41" t="s">
        <v>2819</v>
      </c>
      <c r="C102" s="162" t="s">
        <v>2820</v>
      </c>
      <c r="D102" s="72"/>
      <c r="E102" s="99"/>
      <c r="F102" s="711"/>
      <c r="G102" s="37"/>
      <c r="H102" s="38"/>
      <c r="I102" s="44" t="s">
        <v>397</v>
      </c>
      <c r="J102" s="45" t="s">
        <v>398</v>
      </c>
      <c r="K102" s="46">
        <v>1</v>
      </c>
      <c r="L102" s="55" t="s">
        <v>398</v>
      </c>
      <c r="M102" s="38">
        <f>_11・初任</f>
        <v>0.7</v>
      </c>
      <c r="N102" s="47">
        <f>ROUND((ROUND((ROUND((_11_A身体増６．０*_11・基礎１),0)*_11・２人),0)*_11・初任),0)</f>
        <v>488</v>
      </c>
      <c r="O102" s="48"/>
    </row>
    <row r="103" spans="1:15" ht="16.5" customHeight="1" x14ac:dyDescent="0.15">
      <c r="A103" s="41">
        <v>11</v>
      </c>
      <c r="B103" s="41">
        <v>1875</v>
      </c>
      <c r="C103" s="162" t="s">
        <v>2821</v>
      </c>
      <c r="D103" s="707" t="s">
        <v>555</v>
      </c>
      <c r="E103" s="717"/>
      <c r="F103" s="53"/>
      <c r="G103" s="49"/>
      <c r="H103" s="50"/>
      <c r="I103" s="44"/>
      <c r="J103" s="45"/>
      <c r="K103" s="46"/>
      <c r="L103" s="53"/>
      <c r="M103" s="49"/>
      <c r="N103" s="47">
        <f>_11_A身体増６．５</f>
        <v>1079</v>
      </c>
      <c r="O103" s="48"/>
    </row>
    <row r="104" spans="1:15" ht="16.5" customHeight="1" x14ac:dyDescent="0.15">
      <c r="A104" s="41">
        <v>11</v>
      </c>
      <c r="B104" s="41">
        <v>1876</v>
      </c>
      <c r="C104" s="162" t="s">
        <v>2822</v>
      </c>
      <c r="D104" s="709"/>
      <c r="E104" s="718"/>
      <c r="F104" s="43"/>
      <c r="G104" s="37"/>
      <c r="H104" s="38"/>
      <c r="I104" s="44" t="s">
        <v>397</v>
      </c>
      <c r="J104" s="45" t="s">
        <v>398</v>
      </c>
      <c r="K104" s="46">
        <v>1</v>
      </c>
      <c r="L104" s="35"/>
      <c r="N104" s="47">
        <f>ROUND((_11_A身体増６．５*_11・２人),0)</f>
        <v>1079</v>
      </c>
      <c r="O104" s="48"/>
    </row>
    <row r="105" spans="1:15" ht="16.5" customHeight="1" x14ac:dyDescent="0.15">
      <c r="A105" s="41">
        <v>11</v>
      </c>
      <c r="B105" s="41">
        <v>1877</v>
      </c>
      <c r="C105" s="162" t="s">
        <v>2823</v>
      </c>
      <c r="D105" s="709"/>
      <c r="E105" s="718"/>
      <c r="F105" s="705" t="s">
        <v>400</v>
      </c>
      <c r="G105" s="49" t="s">
        <v>398</v>
      </c>
      <c r="H105" s="50">
        <v>0.7</v>
      </c>
      <c r="I105" s="44"/>
      <c r="J105" s="45"/>
      <c r="K105" s="46"/>
      <c r="L105" s="35"/>
      <c r="N105" s="47">
        <f>ROUND((_11_A身体増６．５*_11・基礎１),0)</f>
        <v>755</v>
      </c>
      <c r="O105" s="48"/>
    </row>
    <row r="106" spans="1:15" ht="16.5" customHeight="1" x14ac:dyDescent="0.15">
      <c r="A106" s="41">
        <v>11</v>
      </c>
      <c r="B106" s="41">
        <v>1878</v>
      </c>
      <c r="C106" s="162" t="s">
        <v>2824</v>
      </c>
      <c r="D106" s="100">
        <f>_11_A身体増６．５</f>
        <v>1079</v>
      </c>
      <c r="E106" s="12" t="s">
        <v>392</v>
      </c>
      <c r="F106" s="711"/>
      <c r="G106" s="37"/>
      <c r="H106" s="38"/>
      <c r="I106" s="44" t="s">
        <v>397</v>
      </c>
      <c r="J106" s="45" t="s">
        <v>398</v>
      </c>
      <c r="K106" s="46">
        <v>1</v>
      </c>
      <c r="L106" s="43"/>
      <c r="M106" s="37"/>
      <c r="N106" s="47">
        <f>ROUND((ROUND((_11_A身体増６．５*_11・基礎１),0)*_11・２人),0)</f>
        <v>755</v>
      </c>
      <c r="O106" s="48"/>
    </row>
    <row r="107" spans="1:15" ht="16.5" customHeight="1" x14ac:dyDescent="0.15">
      <c r="A107" s="41">
        <v>11</v>
      </c>
      <c r="B107" s="41" t="s">
        <v>2825</v>
      </c>
      <c r="C107" s="162" t="s">
        <v>2826</v>
      </c>
      <c r="D107" s="121"/>
      <c r="E107" s="99"/>
      <c r="F107" s="53"/>
      <c r="G107" s="49"/>
      <c r="H107" s="50"/>
      <c r="I107" s="44"/>
      <c r="J107" s="45"/>
      <c r="K107" s="46"/>
      <c r="L107" s="707" t="s">
        <v>404</v>
      </c>
      <c r="M107" s="708"/>
      <c r="N107" s="47">
        <f>ROUND((_11_A身体増６．５*_11・初任),0)</f>
        <v>755</v>
      </c>
      <c r="O107" s="48"/>
    </row>
    <row r="108" spans="1:15" ht="16.5" customHeight="1" x14ac:dyDescent="0.15">
      <c r="A108" s="41">
        <v>11</v>
      </c>
      <c r="B108" s="41" t="s">
        <v>2827</v>
      </c>
      <c r="C108" s="162" t="s">
        <v>2828</v>
      </c>
      <c r="D108" s="121"/>
      <c r="E108" s="99"/>
      <c r="F108" s="43"/>
      <c r="G108" s="37"/>
      <c r="H108" s="38"/>
      <c r="I108" s="44" t="s">
        <v>397</v>
      </c>
      <c r="J108" s="45" t="s">
        <v>398</v>
      </c>
      <c r="K108" s="46">
        <v>1</v>
      </c>
      <c r="L108" s="709"/>
      <c r="M108" s="704"/>
      <c r="N108" s="47">
        <f>ROUND((ROUND((_11_A身体増６．５*_11・２人),0)*_11・初任),0)</f>
        <v>755</v>
      </c>
      <c r="O108" s="48"/>
    </row>
    <row r="109" spans="1:15" ht="16.5" customHeight="1" x14ac:dyDescent="0.15">
      <c r="A109" s="41">
        <v>11</v>
      </c>
      <c r="B109" s="41" t="s">
        <v>2829</v>
      </c>
      <c r="C109" s="162" t="s">
        <v>2830</v>
      </c>
      <c r="D109" s="72"/>
      <c r="E109" s="99"/>
      <c r="F109" s="705" t="s">
        <v>400</v>
      </c>
      <c r="G109" s="49" t="s">
        <v>398</v>
      </c>
      <c r="H109" s="50">
        <v>0.7</v>
      </c>
      <c r="I109" s="44"/>
      <c r="J109" s="45"/>
      <c r="K109" s="46"/>
      <c r="L109" s="709"/>
      <c r="M109" s="704"/>
      <c r="N109" s="47">
        <f>ROUND((ROUND((_11_A身体増６．５*_11・基礎１),0)*_11・初任),0)</f>
        <v>529</v>
      </c>
      <c r="O109" s="48"/>
    </row>
    <row r="110" spans="1:15" ht="16.5" customHeight="1" x14ac:dyDescent="0.15">
      <c r="A110" s="41">
        <v>11</v>
      </c>
      <c r="B110" s="41" t="s">
        <v>2831</v>
      </c>
      <c r="C110" s="162" t="s">
        <v>2832</v>
      </c>
      <c r="D110" s="72"/>
      <c r="E110" s="99"/>
      <c r="F110" s="711"/>
      <c r="G110" s="37"/>
      <c r="H110" s="38"/>
      <c r="I110" s="44" t="s">
        <v>397</v>
      </c>
      <c r="J110" s="45" t="s">
        <v>398</v>
      </c>
      <c r="K110" s="46">
        <v>1</v>
      </c>
      <c r="L110" s="55" t="s">
        <v>398</v>
      </c>
      <c r="M110" s="38">
        <f>_11・初任</f>
        <v>0.7</v>
      </c>
      <c r="N110" s="47">
        <f>ROUND((ROUND((ROUND((_11_A身体増６．５*_11・基礎１),0)*_11・２人),0)*_11・初任),0)</f>
        <v>529</v>
      </c>
      <c r="O110" s="48"/>
    </row>
    <row r="111" spans="1:15" ht="16.5" customHeight="1" x14ac:dyDescent="0.15">
      <c r="A111" s="41">
        <v>11</v>
      </c>
      <c r="B111" s="41">
        <v>1879</v>
      </c>
      <c r="C111" s="162" t="s">
        <v>2833</v>
      </c>
      <c r="D111" s="707" t="s">
        <v>568</v>
      </c>
      <c r="E111" s="717"/>
      <c r="F111" s="53"/>
      <c r="G111" s="49"/>
      <c r="H111" s="50"/>
      <c r="I111" s="44"/>
      <c r="J111" s="45"/>
      <c r="K111" s="46"/>
      <c r="L111" s="53"/>
      <c r="M111" s="49"/>
      <c r="N111" s="47">
        <f>_11_A身体増７．０</f>
        <v>1162</v>
      </c>
      <c r="O111" s="48"/>
    </row>
    <row r="112" spans="1:15" ht="16.5" customHeight="1" x14ac:dyDescent="0.15">
      <c r="A112" s="41">
        <v>11</v>
      </c>
      <c r="B112" s="41">
        <v>1880</v>
      </c>
      <c r="C112" s="162" t="s">
        <v>2834</v>
      </c>
      <c r="D112" s="709"/>
      <c r="E112" s="718"/>
      <c r="F112" s="43"/>
      <c r="G112" s="37"/>
      <c r="H112" s="38"/>
      <c r="I112" s="44" t="s">
        <v>397</v>
      </c>
      <c r="J112" s="45" t="s">
        <v>398</v>
      </c>
      <c r="K112" s="46">
        <v>1</v>
      </c>
      <c r="L112" s="35"/>
      <c r="N112" s="47">
        <f>ROUND((_11_A身体増７．０*_11・２人),0)</f>
        <v>1162</v>
      </c>
      <c r="O112" s="48"/>
    </row>
    <row r="113" spans="1:15" ht="16.5" customHeight="1" x14ac:dyDescent="0.15">
      <c r="A113" s="41">
        <v>11</v>
      </c>
      <c r="B113" s="41">
        <v>1881</v>
      </c>
      <c r="C113" s="162" t="s">
        <v>2835</v>
      </c>
      <c r="D113" s="709"/>
      <c r="E113" s="718"/>
      <c r="F113" s="705" t="s">
        <v>400</v>
      </c>
      <c r="G113" s="49" t="s">
        <v>398</v>
      </c>
      <c r="H113" s="50">
        <v>0.7</v>
      </c>
      <c r="I113" s="44"/>
      <c r="J113" s="45"/>
      <c r="K113" s="46"/>
      <c r="L113" s="35"/>
      <c r="N113" s="47">
        <f>ROUND((_11_A身体増７．０*_11・基礎１),0)</f>
        <v>813</v>
      </c>
      <c r="O113" s="48"/>
    </row>
    <row r="114" spans="1:15" ht="16.5" customHeight="1" x14ac:dyDescent="0.15">
      <c r="A114" s="41">
        <v>11</v>
      </c>
      <c r="B114" s="41">
        <v>1882</v>
      </c>
      <c r="C114" s="162" t="s">
        <v>2836</v>
      </c>
      <c r="D114" s="100">
        <f>_11_A身体増７．０</f>
        <v>1162</v>
      </c>
      <c r="E114" s="12" t="s">
        <v>392</v>
      </c>
      <c r="F114" s="711"/>
      <c r="G114" s="37"/>
      <c r="H114" s="38"/>
      <c r="I114" s="44" t="s">
        <v>397</v>
      </c>
      <c r="J114" s="45" t="s">
        <v>398</v>
      </c>
      <c r="K114" s="46">
        <v>1</v>
      </c>
      <c r="L114" s="43"/>
      <c r="M114" s="37"/>
      <c r="N114" s="47">
        <f>ROUND((ROUND((_11_A身体増７．０*_11・基礎１),0)*_11・２人),0)</f>
        <v>813</v>
      </c>
      <c r="O114" s="48"/>
    </row>
    <row r="115" spans="1:15" ht="16.5" customHeight="1" x14ac:dyDescent="0.15">
      <c r="A115" s="41">
        <v>11</v>
      </c>
      <c r="B115" s="41" t="s">
        <v>2837</v>
      </c>
      <c r="C115" s="162" t="s">
        <v>2838</v>
      </c>
      <c r="D115" s="121"/>
      <c r="E115" s="99"/>
      <c r="F115" s="53"/>
      <c r="G115" s="49"/>
      <c r="H115" s="50"/>
      <c r="I115" s="44"/>
      <c r="J115" s="45"/>
      <c r="K115" s="46"/>
      <c r="L115" s="707" t="s">
        <v>404</v>
      </c>
      <c r="M115" s="708"/>
      <c r="N115" s="47">
        <f>ROUND((_11_A身体増７．０*_11・初任),0)</f>
        <v>813</v>
      </c>
      <c r="O115" s="48"/>
    </row>
    <row r="116" spans="1:15" ht="16.5" customHeight="1" x14ac:dyDescent="0.15">
      <c r="A116" s="41">
        <v>11</v>
      </c>
      <c r="B116" s="41" t="s">
        <v>2839</v>
      </c>
      <c r="C116" s="162" t="s">
        <v>2840</v>
      </c>
      <c r="D116" s="121"/>
      <c r="E116" s="99"/>
      <c r="F116" s="43"/>
      <c r="G116" s="37"/>
      <c r="H116" s="38"/>
      <c r="I116" s="44" t="s">
        <v>397</v>
      </c>
      <c r="J116" s="45" t="s">
        <v>398</v>
      </c>
      <c r="K116" s="46">
        <v>1</v>
      </c>
      <c r="L116" s="709"/>
      <c r="M116" s="704"/>
      <c r="N116" s="47">
        <f>ROUND((ROUND((_11_A身体増７．０*_11・２人),0)*_11・初任),0)</f>
        <v>813</v>
      </c>
      <c r="O116" s="48"/>
    </row>
    <row r="117" spans="1:15" ht="16.5" customHeight="1" x14ac:dyDescent="0.15">
      <c r="A117" s="41">
        <v>11</v>
      </c>
      <c r="B117" s="41" t="s">
        <v>2841</v>
      </c>
      <c r="C117" s="162" t="s">
        <v>2842</v>
      </c>
      <c r="D117" s="72"/>
      <c r="E117" s="99"/>
      <c r="F117" s="705" t="s">
        <v>400</v>
      </c>
      <c r="G117" s="49" t="s">
        <v>398</v>
      </c>
      <c r="H117" s="50">
        <v>0.7</v>
      </c>
      <c r="I117" s="44"/>
      <c r="J117" s="45"/>
      <c r="K117" s="46"/>
      <c r="L117" s="709"/>
      <c r="M117" s="704"/>
      <c r="N117" s="47">
        <f>ROUND((ROUND((_11_A身体増７．０*_11・基礎１),0)*_11・初任),0)</f>
        <v>569</v>
      </c>
      <c r="O117" s="48"/>
    </row>
    <row r="118" spans="1:15" ht="16.5" customHeight="1" x14ac:dyDescent="0.15">
      <c r="A118" s="41">
        <v>11</v>
      </c>
      <c r="B118" s="41" t="s">
        <v>2843</v>
      </c>
      <c r="C118" s="162" t="s">
        <v>2844</v>
      </c>
      <c r="D118" s="72"/>
      <c r="E118" s="99"/>
      <c r="F118" s="711"/>
      <c r="G118" s="37"/>
      <c r="H118" s="38"/>
      <c r="I118" s="44" t="s">
        <v>397</v>
      </c>
      <c r="J118" s="45" t="s">
        <v>398</v>
      </c>
      <c r="K118" s="46">
        <v>1</v>
      </c>
      <c r="L118" s="55" t="s">
        <v>398</v>
      </c>
      <c r="M118" s="38">
        <f>_11・初任</f>
        <v>0.7</v>
      </c>
      <c r="N118" s="47">
        <f>ROUND((ROUND((ROUND((_11_A身体増７．０*_11・基礎１),0)*_11・２人),0)*_11・初任),0)</f>
        <v>569</v>
      </c>
      <c r="O118" s="48"/>
    </row>
    <row r="119" spans="1:15" ht="16.5" customHeight="1" x14ac:dyDescent="0.15">
      <c r="A119" s="41">
        <v>11</v>
      </c>
      <c r="B119" s="41">
        <v>1883</v>
      </c>
      <c r="C119" s="162" t="s">
        <v>2845</v>
      </c>
      <c r="D119" s="707" t="s">
        <v>581</v>
      </c>
      <c r="E119" s="717"/>
      <c r="F119" s="53"/>
      <c r="G119" s="49"/>
      <c r="H119" s="50"/>
      <c r="I119" s="44"/>
      <c r="J119" s="45"/>
      <c r="K119" s="46"/>
      <c r="L119" s="53"/>
      <c r="M119" s="49"/>
      <c r="N119" s="47">
        <f>_11_A身体増７．５</f>
        <v>1245</v>
      </c>
      <c r="O119" s="48"/>
    </row>
    <row r="120" spans="1:15" ht="16.5" customHeight="1" x14ac:dyDescent="0.15">
      <c r="A120" s="41">
        <v>11</v>
      </c>
      <c r="B120" s="41">
        <v>1884</v>
      </c>
      <c r="C120" s="162" t="s">
        <v>2846</v>
      </c>
      <c r="D120" s="709"/>
      <c r="E120" s="718"/>
      <c r="F120" s="43"/>
      <c r="G120" s="37"/>
      <c r="H120" s="38"/>
      <c r="I120" s="44" t="s">
        <v>397</v>
      </c>
      <c r="J120" s="45" t="s">
        <v>398</v>
      </c>
      <c r="K120" s="46">
        <v>1</v>
      </c>
      <c r="L120" s="35"/>
      <c r="N120" s="47">
        <f>ROUND((_11_A身体増７．５*_11・２人),0)</f>
        <v>1245</v>
      </c>
      <c r="O120" s="48"/>
    </row>
    <row r="121" spans="1:15" ht="16.5" customHeight="1" x14ac:dyDescent="0.15">
      <c r="A121" s="41">
        <v>11</v>
      </c>
      <c r="B121" s="41">
        <v>1885</v>
      </c>
      <c r="C121" s="162" t="s">
        <v>2847</v>
      </c>
      <c r="D121" s="709"/>
      <c r="E121" s="718"/>
      <c r="F121" s="705" t="s">
        <v>400</v>
      </c>
      <c r="G121" s="49" t="s">
        <v>398</v>
      </c>
      <c r="H121" s="50">
        <v>0.7</v>
      </c>
      <c r="I121" s="44"/>
      <c r="J121" s="45"/>
      <c r="K121" s="46"/>
      <c r="L121" s="35"/>
      <c r="N121" s="47">
        <f>ROUND((_11_A身体増７．５*_11・基礎１),0)</f>
        <v>872</v>
      </c>
      <c r="O121" s="48"/>
    </row>
    <row r="122" spans="1:15" ht="16.5" customHeight="1" x14ac:dyDescent="0.15">
      <c r="A122" s="41">
        <v>11</v>
      </c>
      <c r="B122" s="41">
        <v>1886</v>
      </c>
      <c r="C122" s="162" t="s">
        <v>2848</v>
      </c>
      <c r="D122" s="100">
        <f>_11_A身体増７．５</f>
        <v>1245</v>
      </c>
      <c r="E122" s="12" t="s">
        <v>392</v>
      </c>
      <c r="F122" s="711"/>
      <c r="G122" s="37"/>
      <c r="H122" s="38"/>
      <c r="I122" s="44" t="s">
        <v>397</v>
      </c>
      <c r="J122" s="45" t="s">
        <v>398</v>
      </c>
      <c r="K122" s="46">
        <v>1</v>
      </c>
      <c r="L122" s="43"/>
      <c r="M122" s="37"/>
      <c r="N122" s="47">
        <f>ROUND((ROUND((_11_A身体増７．５*_11・基礎１),0)*_11・２人),0)</f>
        <v>872</v>
      </c>
      <c r="O122" s="48"/>
    </row>
    <row r="123" spans="1:15" ht="16.5" customHeight="1" x14ac:dyDescent="0.15">
      <c r="A123" s="41">
        <v>11</v>
      </c>
      <c r="B123" s="41" t="s">
        <v>2849</v>
      </c>
      <c r="C123" s="162" t="s">
        <v>2850</v>
      </c>
      <c r="D123" s="121"/>
      <c r="E123" s="99"/>
      <c r="F123" s="53"/>
      <c r="G123" s="49"/>
      <c r="H123" s="50"/>
      <c r="I123" s="44"/>
      <c r="J123" s="45"/>
      <c r="K123" s="46"/>
      <c r="L123" s="707" t="s">
        <v>404</v>
      </c>
      <c r="M123" s="708"/>
      <c r="N123" s="47">
        <f>ROUND((_11_A身体増７．５*_11・初任),0)</f>
        <v>872</v>
      </c>
      <c r="O123" s="48"/>
    </row>
    <row r="124" spans="1:15" ht="16.5" customHeight="1" x14ac:dyDescent="0.15">
      <c r="A124" s="41">
        <v>11</v>
      </c>
      <c r="B124" s="41" t="s">
        <v>2851</v>
      </c>
      <c r="C124" s="162" t="s">
        <v>2852</v>
      </c>
      <c r="D124" s="121"/>
      <c r="E124" s="99"/>
      <c r="F124" s="43"/>
      <c r="G124" s="37"/>
      <c r="H124" s="38"/>
      <c r="I124" s="44" t="s">
        <v>397</v>
      </c>
      <c r="J124" s="45" t="s">
        <v>398</v>
      </c>
      <c r="K124" s="46">
        <v>1</v>
      </c>
      <c r="L124" s="709"/>
      <c r="M124" s="704"/>
      <c r="N124" s="47">
        <f>ROUND((ROUND((_11_A身体増７．５*_11・２人),0)*_11・初任),0)</f>
        <v>872</v>
      </c>
      <c r="O124" s="48"/>
    </row>
    <row r="125" spans="1:15" ht="16.5" customHeight="1" x14ac:dyDescent="0.15">
      <c r="A125" s="41">
        <v>11</v>
      </c>
      <c r="B125" s="41" t="s">
        <v>2853</v>
      </c>
      <c r="C125" s="162" t="s">
        <v>2854</v>
      </c>
      <c r="D125" s="72"/>
      <c r="E125" s="99"/>
      <c r="F125" s="705" t="s">
        <v>400</v>
      </c>
      <c r="G125" s="49" t="s">
        <v>398</v>
      </c>
      <c r="H125" s="50">
        <v>0.7</v>
      </c>
      <c r="I125" s="44"/>
      <c r="J125" s="45"/>
      <c r="K125" s="46"/>
      <c r="L125" s="709"/>
      <c r="M125" s="704"/>
      <c r="N125" s="47">
        <f>ROUND((ROUND((_11_A身体増７．５*_11・基礎１),0)*_11・初任),0)</f>
        <v>610</v>
      </c>
      <c r="O125" s="48"/>
    </row>
    <row r="126" spans="1:15" ht="16.5" customHeight="1" x14ac:dyDescent="0.15">
      <c r="A126" s="41">
        <v>11</v>
      </c>
      <c r="B126" s="41" t="s">
        <v>2855</v>
      </c>
      <c r="C126" s="162" t="s">
        <v>2856</v>
      </c>
      <c r="D126" s="72"/>
      <c r="E126" s="99"/>
      <c r="F126" s="711"/>
      <c r="G126" s="37"/>
      <c r="H126" s="38"/>
      <c r="I126" s="44" t="s">
        <v>397</v>
      </c>
      <c r="J126" s="45" t="s">
        <v>398</v>
      </c>
      <c r="K126" s="46">
        <v>1</v>
      </c>
      <c r="L126" s="55" t="s">
        <v>398</v>
      </c>
      <c r="M126" s="38">
        <f>_11・初任</f>
        <v>0.7</v>
      </c>
      <c r="N126" s="47">
        <f>ROUND((ROUND((ROUND((_11_A身体増７．５*_11・基礎１),0)*_11・２人),0)*_11・初任),0)</f>
        <v>610</v>
      </c>
      <c r="O126" s="48"/>
    </row>
    <row r="127" spans="1:15" ht="16.5" customHeight="1" x14ac:dyDescent="0.15">
      <c r="A127" s="41">
        <v>11</v>
      </c>
      <c r="B127" s="41">
        <v>1887</v>
      </c>
      <c r="C127" s="162" t="s">
        <v>2857</v>
      </c>
      <c r="D127" s="707" t="s">
        <v>594</v>
      </c>
      <c r="E127" s="717"/>
      <c r="F127" s="53"/>
      <c r="G127" s="49"/>
      <c r="H127" s="50"/>
      <c r="I127" s="44"/>
      <c r="J127" s="45"/>
      <c r="K127" s="46"/>
      <c r="L127" s="53"/>
      <c r="M127" s="49"/>
      <c r="N127" s="47">
        <f>_11_A身体増８．０</f>
        <v>1328</v>
      </c>
      <c r="O127" s="48"/>
    </row>
    <row r="128" spans="1:15" ht="16.5" customHeight="1" x14ac:dyDescent="0.15">
      <c r="A128" s="41">
        <v>11</v>
      </c>
      <c r="B128" s="41">
        <v>1888</v>
      </c>
      <c r="C128" s="162" t="s">
        <v>2858</v>
      </c>
      <c r="D128" s="709"/>
      <c r="E128" s="718"/>
      <c r="F128" s="43"/>
      <c r="G128" s="37"/>
      <c r="H128" s="38"/>
      <c r="I128" s="44" t="s">
        <v>397</v>
      </c>
      <c r="J128" s="45" t="s">
        <v>398</v>
      </c>
      <c r="K128" s="46">
        <v>1</v>
      </c>
      <c r="L128" s="35"/>
      <c r="N128" s="47">
        <f>ROUND((_11_A身体増８．０*_11・２人),0)</f>
        <v>1328</v>
      </c>
      <c r="O128" s="48"/>
    </row>
    <row r="129" spans="1:15" ht="16.5" customHeight="1" x14ac:dyDescent="0.15">
      <c r="A129" s="41">
        <v>11</v>
      </c>
      <c r="B129" s="41">
        <v>1889</v>
      </c>
      <c r="C129" s="162" t="s">
        <v>2859</v>
      </c>
      <c r="D129" s="709"/>
      <c r="E129" s="718"/>
      <c r="F129" s="705" t="s">
        <v>400</v>
      </c>
      <c r="G129" s="49" t="s">
        <v>398</v>
      </c>
      <c r="H129" s="50">
        <v>0.7</v>
      </c>
      <c r="I129" s="44"/>
      <c r="J129" s="45"/>
      <c r="K129" s="46"/>
      <c r="L129" s="35"/>
      <c r="N129" s="47">
        <f>ROUND((_11_A身体増８．０*_11・基礎１),0)</f>
        <v>930</v>
      </c>
      <c r="O129" s="48"/>
    </row>
    <row r="130" spans="1:15" ht="16.5" customHeight="1" x14ac:dyDescent="0.15">
      <c r="A130" s="41">
        <v>11</v>
      </c>
      <c r="B130" s="41">
        <v>1890</v>
      </c>
      <c r="C130" s="162" t="s">
        <v>2860</v>
      </c>
      <c r="D130" s="100">
        <f>_11_A身体増８．０</f>
        <v>1328</v>
      </c>
      <c r="E130" s="12" t="s">
        <v>392</v>
      </c>
      <c r="F130" s="711"/>
      <c r="G130" s="37"/>
      <c r="H130" s="38"/>
      <c r="I130" s="44" t="s">
        <v>397</v>
      </c>
      <c r="J130" s="45" t="s">
        <v>398</v>
      </c>
      <c r="K130" s="46">
        <v>1</v>
      </c>
      <c r="L130" s="43"/>
      <c r="M130" s="37"/>
      <c r="N130" s="47">
        <f>ROUND((ROUND((_11_A身体増８．０*_11・基礎１),0)*_11・２人),0)</f>
        <v>930</v>
      </c>
      <c r="O130" s="48"/>
    </row>
    <row r="131" spans="1:15" ht="16.5" customHeight="1" x14ac:dyDescent="0.15">
      <c r="A131" s="41">
        <v>11</v>
      </c>
      <c r="B131" s="41" t="s">
        <v>2861</v>
      </c>
      <c r="C131" s="162" t="s">
        <v>2862</v>
      </c>
      <c r="D131" s="121"/>
      <c r="E131" s="99"/>
      <c r="F131" s="53"/>
      <c r="G131" s="49"/>
      <c r="H131" s="50"/>
      <c r="I131" s="44"/>
      <c r="J131" s="45"/>
      <c r="K131" s="46"/>
      <c r="L131" s="707" t="s">
        <v>404</v>
      </c>
      <c r="M131" s="708"/>
      <c r="N131" s="47">
        <f>ROUND((_11_A身体増８．０*_11・初任),0)</f>
        <v>930</v>
      </c>
      <c r="O131" s="48"/>
    </row>
    <row r="132" spans="1:15" ht="16.5" customHeight="1" x14ac:dyDescent="0.15">
      <c r="A132" s="41">
        <v>11</v>
      </c>
      <c r="B132" s="41" t="s">
        <v>2863</v>
      </c>
      <c r="C132" s="162" t="s">
        <v>2864</v>
      </c>
      <c r="D132" s="121"/>
      <c r="E132" s="99"/>
      <c r="F132" s="43"/>
      <c r="G132" s="37"/>
      <c r="H132" s="38"/>
      <c r="I132" s="44" t="s">
        <v>397</v>
      </c>
      <c r="J132" s="45" t="s">
        <v>398</v>
      </c>
      <c r="K132" s="46">
        <v>1</v>
      </c>
      <c r="L132" s="709"/>
      <c r="M132" s="704"/>
      <c r="N132" s="47">
        <f>ROUND((ROUND((_11_A身体増８．０*_11・２人),0)*_11・初任),0)</f>
        <v>930</v>
      </c>
      <c r="O132" s="48"/>
    </row>
    <row r="133" spans="1:15" ht="16.5" customHeight="1" x14ac:dyDescent="0.15">
      <c r="A133" s="41">
        <v>11</v>
      </c>
      <c r="B133" s="41" t="s">
        <v>2865</v>
      </c>
      <c r="C133" s="162" t="s">
        <v>2866</v>
      </c>
      <c r="D133" s="72"/>
      <c r="E133" s="99"/>
      <c r="F133" s="705" t="s">
        <v>400</v>
      </c>
      <c r="G133" s="49" t="s">
        <v>398</v>
      </c>
      <c r="H133" s="50">
        <v>0.7</v>
      </c>
      <c r="I133" s="44"/>
      <c r="J133" s="45"/>
      <c r="K133" s="46"/>
      <c r="L133" s="709"/>
      <c r="M133" s="704"/>
      <c r="N133" s="47">
        <f>ROUND((ROUND((_11_A身体増８．０*_11・基礎１),0)*_11・初任),0)</f>
        <v>651</v>
      </c>
      <c r="O133" s="48"/>
    </row>
    <row r="134" spans="1:15" ht="16.5" customHeight="1" x14ac:dyDescent="0.15">
      <c r="A134" s="41">
        <v>11</v>
      </c>
      <c r="B134" s="41" t="s">
        <v>2867</v>
      </c>
      <c r="C134" s="162" t="s">
        <v>2868</v>
      </c>
      <c r="D134" s="72"/>
      <c r="E134" s="99"/>
      <c r="F134" s="711"/>
      <c r="G134" s="37"/>
      <c r="H134" s="38"/>
      <c r="I134" s="44" t="s">
        <v>397</v>
      </c>
      <c r="J134" s="45" t="s">
        <v>398</v>
      </c>
      <c r="K134" s="46">
        <v>1</v>
      </c>
      <c r="L134" s="55" t="s">
        <v>398</v>
      </c>
      <c r="M134" s="38">
        <f>_11・初任</f>
        <v>0.7</v>
      </c>
      <c r="N134" s="47">
        <f>ROUND((ROUND((ROUND((_11_A身体増８．０*_11・基礎１),0)*_11・２人),0)*_11・初任),0)</f>
        <v>651</v>
      </c>
      <c r="O134" s="48"/>
    </row>
    <row r="135" spans="1:15" ht="16.5" customHeight="1" x14ac:dyDescent="0.15">
      <c r="A135" s="41">
        <v>11</v>
      </c>
      <c r="B135" s="41">
        <v>1891</v>
      </c>
      <c r="C135" s="162" t="s">
        <v>2869</v>
      </c>
      <c r="D135" s="707" t="s">
        <v>607</v>
      </c>
      <c r="E135" s="717"/>
      <c r="F135" s="53"/>
      <c r="G135" s="49"/>
      <c r="H135" s="50"/>
      <c r="I135" s="44"/>
      <c r="J135" s="45"/>
      <c r="K135" s="46"/>
      <c r="L135" s="53"/>
      <c r="M135" s="49"/>
      <c r="N135" s="47">
        <f>_11_A身体増８．５</f>
        <v>1411</v>
      </c>
      <c r="O135" s="48"/>
    </row>
    <row r="136" spans="1:15" ht="16.5" customHeight="1" x14ac:dyDescent="0.15">
      <c r="A136" s="41">
        <v>11</v>
      </c>
      <c r="B136" s="41">
        <v>1892</v>
      </c>
      <c r="C136" s="162" t="s">
        <v>2870</v>
      </c>
      <c r="D136" s="709"/>
      <c r="E136" s="718"/>
      <c r="F136" s="43"/>
      <c r="G136" s="37"/>
      <c r="H136" s="38"/>
      <c r="I136" s="44" t="s">
        <v>397</v>
      </c>
      <c r="J136" s="45" t="s">
        <v>398</v>
      </c>
      <c r="K136" s="46">
        <v>1</v>
      </c>
      <c r="L136" s="35"/>
      <c r="N136" s="47">
        <f>ROUND((_11_A身体増８．５*_11・２人),0)</f>
        <v>1411</v>
      </c>
      <c r="O136" s="48"/>
    </row>
    <row r="137" spans="1:15" ht="16.5" customHeight="1" x14ac:dyDescent="0.15">
      <c r="A137" s="41">
        <v>11</v>
      </c>
      <c r="B137" s="41">
        <v>1893</v>
      </c>
      <c r="C137" s="162" t="s">
        <v>2871</v>
      </c>
      <c r="D137" s="709"/>
      <c r="E137" s="718"/>
      <c r="F137" s="705" t="s">
        <v>400</v>
      </c>
      <c r="G137" s="49" t="s">
        <v>398</v>
      </c>
      <c r="H137" s="50">
        <v>0.7</v>
      </c>
      <c r="I137" s="44"/>
      <c r="J137" s="45"/>
      <c r="K137" s="46"/>
      <c r="L137" s="35"/>
      <c r="N137" s="47">
        <f>ROUND((_11_A身体増８．５*_11・基礎１),0)</f>
        <v>988</v>
      </c>
      <c r="O137" s="48"/>
    </row>
    <row r="138" spans="1:15" ht="16.5" customHeight="1" x14ac:dyDescent="0.15">
      <c r="A138" s="41">
        <v>11</v>
      </c>
      <c r="B138" s="41">
        <v>1894</v>
      </c>
      <c r="C138" s="162" t="s">
        <v>2872</v>
      </c>
      <c r="D138" s="100">
        <f>_11_A身体増８．５</f>
        <v>1411</v>
      </c>
      <c r="E138" s="12" t="s">
        <v>392</v>
      </c>
      <c r="F138" s="711"/>
      <c r="G138" s="37"/>
      <c r="H138" s="38"/>
      <c r="I138" s="44" t="s">
        <v>397</v>
      </c>
      <c r="J138" s="45" t="s">
        <v>398</v>
      </c>
      <c r="K138" s="46">
        <v>1</v>
      </c>
      <c r="L138" s="43"/>
      <c r="M138" s="37"/>
      <c r="N138" s="47">
        <f>ROUND((ROUND((_11_A身体増８．５*_11・基礎１),0)*_11・２人),0)</f>
        <v>988</v>
      </c>
      <c r="O138" s="48"/>
    </row>
    <row r="139" spans="1:15" ht="16.5" customHeight="1" x14ac:dyDescent="0.15">
      <c r="A139" s="41">
        <v>11</v>
      </c>
      <c r="B139" s="41" t="s">
        <v>2873</v>
      </c>
      <c r="C139" s="162" t="s">
        <v>2874</v>
      </c>
      <c r="D139" s="121"/>
      <c r="E139" s="99"/>
      <c r="F139" s="53"/>
      <c r="G139" s="49"/>
      <c r="H139" s="50"/>
      <c r="I139" s="44"/>
      <c r="J139" s="45"/>
      <c r="K139" s="46"/>
      <c r="L139" s="707" t="s">
        <v>404</v>
      </c>
      <c r="M139" s="708"/>
      <c r="N139" s="47">
        <f>ROUND((_11_A身体増８．５*_11・初任),0)</f>
        <v>988</v>
      </c>
      <c r="O139" s="48"/>
    </row>
    <row r="140" spans="1:15" ht="16.5" customHeight="1" x14ac:dyDescent="0.15">
      <c r="A140" s="41">
        <v>11</v>
      </c>
      <c r="B140" s="41" t="s">
        <v>2875</v>
      </c>
      <c r="C140" s="162" t="s">
        <v>2876</v>
      </c>
      <c r="D140" s="121"/>
      <c r="E140" s="99"/>
      <c r="F140" s="43"/>
      <c r="G140" s="37"/>
      <c r="H140" s="38"/>
      <c r="I140" s="44" t="s">
        <v>397</v>
      </c>
      <c r="J140" s="45" t="s">
        <v>398</v>
      </c>
      <c r="K140" s="46">
        <v>1</v>
      </c>
      <c r="L140" s="709"/>
      <c r="M140" s="704"/>
      <c r="N140" s="47">
        <f>ROUND((ROUND((_11_A身体増８．５*_11・２人),0)*_11・初任),0)</f>
        <v>988</v>
      </c>
      <c r="O140" s="48"/>
    </row>
    <row r="141" spans="1:15" ht="16.5" customHeight="1" x14ac:dyDescent="0.15">
      <c r="A141" s="41">
        <v>11</v>
      </c>
      <c r="B141" s="41" t="s">
        <v>2877</v>
      </c>
      <c r="C141" s="162" t="s">
        <v>2878</v>
      </c>
      <c r="D141" s="72"/>
      <c r="E141" s="99"/>
      <c r="F141" s="705" t="s">
        <v>400</v>
      </c>
      <c r="G141" s="49" t="s">
        <v>398</v>
      </c>
      <c r="H141" s="50">
        <v>0.7</v>
      </c>
      <c r="I141" s="44"/>
      <c r="J141" s="45"/>
      <c r="K141" s="46"/>
      <c r="L141" s="709"/>
      <c r="M141" s="704"/>
      <c r="N141" s="47">
        <f>ROUND((ROUND((_11_A身体増８．５*_11・基礎１),0)*_11・初任),0)</f>
        <v>692</v>
      </c>
      <c r="O141" s="48"/>
    </row>
    <row r="142" spans="1:15" ht="16.5" customHeight="1" x14ac:dyDescent="0.15">
      <c r="A142" s="41">
        <v>11</v>
      </c>
      <c r="B142" s="41" t="s">
        <v>2879</v>
      </c>
      <c r="C142" s="162" t="s">
        <v>2880</v>
      </c>
      <c r="D142" s="122"/>
      <c r="E142" s="111"/>
      <c r="F142" s="711"/>
      <c r="G142" s="37"/>
      <c r="H142" s="38"/>
      <c r="I142" s="44" t="s">
        <v>397</v>
      </c>
      <c r="J142" s="45" t="s">
        <v>398</v>
      </c>
      <c r="K142" s="46">
        <v>1</v>
      </c>
      <c r="L142" s="55" t="s">
        <v>398</v>
      </c>
      <c r="M142" s="38">
        <f>_11・初任</f>
        <v>0.7</v>
      </c>
      <c r="N142" s="47">
        <f>ROUND((ROUND((ROUND((_11_A身体増８．５*_11・基礎１),0)*_11・２人),0)*_11・初任),0)</f>
        <v>692</v>
      </c>
      <c r="O142" s="63"/>
    </row>
    <row r="143" spans="1:15" ht="16.5" customHeight="1" x14ac:dyDescent="0.15">
      <c r="A143" s="33">
        <v>11</v>
      </c>
      <c r="B143" s="33">
        <v>1895</v>
      </c>
      <c r="C143" s="161" t="s">
        <v>2881</v>
      </c>
      <c r="D143" s="709" t="s">
        <v>620</v>
      </c>
      <c r="E143" s="718"/>
      <c r="F143" s="35"/>
      <c r="I143" s="36"/>
      <c r="J143" s="37"/>
      <c r="K143" s="38"/>
      <c r="L143" s="35"/>
      <c r="N143" s="39">
        <f>_11_A身体増９．０</f>
        <v>1494</v>
      </c>
      <c r="O143" s="48"/>
    </row>
    <row r="144" spans="1:15" ht="16.5" customHeight="1" x14ac:dyDescent="0.15">
      <c r="A144" s="41">
        <v>11</v>
      </c>
      <c r="B144" s="41">
        <v>1896</v>
      </c>
      <c r="C144" s="162" t="s">
        <v>2882</v>
      </c>
      <c r="D144" s="709"/>
      <c r="E144" s="718"/>
      <c r="F144" s="43"/>
      <c r="G144" s="37"/>
      <c r="H144" s="38"/>
      <c r="I144" s="44" t="s">
        <v>397</v>
      </c>
      <c r="J144" s="45" t="s">
        <v>398</v>
      </c>
      <c r="K144" s="46">
        <v>1</v>
      </c>
      <c r="L144" s="35"/>
      <c r="N144" s="47">
        <f>ROUND((_11_A身体増９．０*_11・２人),0)</f>
        <v>1494</v>
      </c>
      <c r="O144" s="48"/>
    </row>
    <row r="145" spans="1:15" ht="16.5" customHeight="1" x14ac:dyDescent="0.15">
      <c r="A145" s="41">
        <v>11</v>
      </c>
      <c r="B145" s="41">
        <v>1897</v>
      </c>
      <c r="C145" s="162" t="s">
        <v>2883</v>
      </c>
      <c r="D145" s="709"/>
      <c r="E145" s="718"/>
      <c r="F145" s="705" t="s">
        <v>400</v>
      </c>
      <c r="G145" s="49" t="s">
        <v>398</v>
      </c>
      <c r="H145" s="50">
        <v>0.7</v>
      </c>
      <c r="I145" s="44"/>
      <c r="J145" s="45"/>
      <c r="K145" s="46"/>
      <c r="L145" s="35"/>
      <c r="N145" s="47">
        <f>ROUND((_11_A身体増９．０*_11・基礎１),0)</f>
        <v>1046</v>
      </c>
      <c r="O145" s="48"/>
    </row>
    <row r="146" spans="1:15" ht="16.5" customHeight="1" x14ac:dyDescent="0.15">
      <c r="A146" s="41">
        <v>11</v>
      </c>
      <c r="B146" s="41">
        <v>1898</v>
      </c>
      <c r="C146" s="162" t="s">
        <v>2884</v>
      </c>
      <c r="D146" s="100">
        <f>_11_A身体増９．０</f>
        <v>1494</v>
      </c>
      <c r="E146" s="12" t="s">
        <v>392</v>
      </c>
      <c r="F146" s="711"/>
      <c r="G146" s="37"/>
      <c r="H146" s="38"/>
      <c r="I146" s="44" t="s">
        <v>397</v>
      </c>
      <c r="J146" s="45" t="s">
        <v>398</v>
      </c>
      <c r="K146" s="46">
        <v>1</v>
      </c>
      <c r="L146" s="43"/>
      <c r="M146" s="37"/>
      <c r="N146" s="47">
        <f>ROUND((ROUND((_11_A身体増９．０*_11・基礎１),0)*_11・２人),0)</f>
        <v>1046</v>
      </c>
      <c r="O146" s="48"/>
    </row>
    <row r="147" spans="1:15" ht="16.5" customHeight="1" x14ac:dyDescent="0.15">
      <c r="A147" s="41">
        <v>11</v>
      </c>
      <c r="B147" s="41" t="s">
        <v>2885</v>
      </c>
      <c r="C147" s="162" t="s">
        <v>2886</v>
      </c>
      <c r="D147" s="121"/>
      <c r="E147" s="99"/>
      <c r="F147" s="53"/>
      <c r="G147" s="49"/>
      <c r="H147" s="50"/>
      <c r="I147" s="44"/>
      <c r="J147" s="45"/>
      <c r="K147" s="46"/>
      <c r="L147" s="707" t="s">
        <v>404</v>
      </c>
      <c r="M147" s="708"/>
      <c r="N147" s="47">
        <f>ROUND((_11_A身体増９．０*_11・初任),0)</f>
        <v>1046</v>
      </c>
      <c r="O147" s="48"/>
    </row>
    <row r="148" spans="1:15" ht="16.5" customHeight="1" x14ac:dyDescent="0.15">
      <c r="A148" s="41">
        <v>11</v>
      </c>
      <c r="B148" s="41" t="s">
        <v>2887</v>
      </c>
      <c r="C148" s="162" t="s">
        <v>2888</v>
      </c>
      <c r="D148" s="121"/>
      <c r="E148" s="99"/>
      <c r="F148" s="43"/>
      <c r="G148" s="37"/>
      <c r="H148" s="38"/>
      <c r="I148" s="44" t="s">
        <v>397</v>
      </c>
      <c r="J148" s="45" t="s">
        <v>398</v>
      </c>
      <c r="K148" s="46">
        <v>1</v>
      </c>
      <c r="L148" s="709"/>
      <c r="M148" s="704"/>
      <c r="N148" s="47">
        <f>ROUND((ROUND((_11_A身体増９．０*_11・２人),0)*_11・初任),0)</f>
        <v>1046</v>
      </c>
      <c r="O148" s="48"/>
    </row>
    <row r="149" spans="1:15" ht="16.5" customHeight="1" x14ac:dyDescent="0.15">
      <c r="A149" s="41">
        <v>11</v>
      </c>
      <c r="B149" s="41" t="s">
        <v>2889</v>
      </c>
      <c r="C149" s="162" t="s">
        <v>2890</v>
      </c>
      <c r="D149" s="72"/>
      <c r="E149" s="99"/>
      <c r="F149" s="705" t="s">
        <v>400</v>
      </c>
      <c r="G149" s="49" t="s">
        <v>398</v>
      </c>
      <c r="H149" s="50">
        <v>0.7</v>
      </c>
      <c r="I149" s="44"/>
      <c r="J149" s="45"/>
      <c r="K149" s="46"/>
      <c r="L149" s="709"/>
      <c r="M149" s="704"/>
      <c r="N149" s="47">
        <f>ROUND((ROUND((_11_A身体増９．０*_11・基礎１),0)*_11・初任),0)</f>
        <v>732</v>
      </c>
      <c r="O149" s="48"/>
    </row>
    <row r="150" spans="1:15" ht="16.5" customHeight="1" x14ac:dyDescent="0.15">
      <c r="A150" s="41">
        <v>11</v>
      </c>
      <c r="B150" s="41" t="s">
        <v>2891</v>
      </c>
      <c r="C150" s="162" t="s">
        <v>2892</v>
      </c>
      <c r="D150" s="72"/>
      <c r="E150" s="99"/>
      <c r="F150" s="711"/>
      <c r="G150" s="37"/>
      <c r="H150" s="38"/>
      <c r="I150" s="44" t="s">
        <v>397</v>
      </c>
      <c r="J150" s="45" t="s">
        <v>398</v>
      </c>
      <c r="K150" s="46">
        <v>1</v>
      </c>
      <c r="L150" s="55" t="s">
        <v>398</v>
      </c>
      <c r="M150" s="38">
        <f>_11・初任</f>
        <v>0.7</v>
      </c>
      <c r="N150" s="47">
        <f>ROUND((ROUND((ROUND((_11_A身体増９．０*_11・基礎１),0)*_11・２人),0)*_11・初任),0)</f>
        <v>732</v>
      </c>
      <c r="O150" s="48"/>
    </row>
    <row r="151" spans="1:15" ht="16.5" customHeight="1" x14ac:dyDescent="0.15">
      <c r="A151" s="41">
        <v>11</v>
      </c>
      <c r="B151" s="41">
        <v>1899</v>
      </c>
      <c r="C151" s="162" t="s">
        <v>2893</v>
      </c>
      <c r="D151" s="707" t="s">
        <v>633</v>
      </c>
      <c r="E151" s="717"/>
      <c r="F151" s="53"/>
      <c r="G151" s="49"/>
      <c r="H151" s="50"/>
      <c r="I151" s="44"/>
      <c r="J151" s="45"/>
      <c r="K151" s="46"/>
      <c r="L151" s="53"/>
      <c r="M151" s="49"/>
      <c r="N151" s="47">
        <f>_11_A身体増９．５</f>
        <v>1577</v>
      </c>
      <c r="O151" s="48"/>
    </row>
    <row r="152" spans="1:15" ht="16.5" customHeight="1" x14ac:dyDescent="0.15">
      <c r="A152" s="41">
        <v>11</v>
      </c>
      <c r="B152" s="41">
        <v>1900</v>
      </c>
      <c r="C152" s="162" t="s">
        <v>2894</v>
      </c>
      <c r="D152" s="709"/>
      <c r="E152" s="718"/>
      <c r="F152" s="43"/>
      <c r="G152" s="37"/>
      <c r="H152" s="38"/>
      <c r="I152" s="44" t="s">
        <v>397</v>
      </c>
      <c r="J152" s="45" t="s">
        <v>398</v>
      </c>
      <c r="K152" s="46">
        <v>1</v>
      </c>
      <c r="L152" s="35"/>
      <c r="N152" s="47">
        <f>ROUND((_11_A身体増９．５*_11・２人),0)</f>
        <v>1577</v>
      </c>
      <c r="O152" s="48"/>
    </row>
    <row r="153" spans="1:15" ht="16.5" customHeight="1" x14ac:dyDescent="0.15">
      <c r="A153" s="41">
        <v>11</v>
      </c>
      <c r="B153" s="41">
        <v>1901</v>
      </c>
      <c r="C153" s="162" t="s">
        <v>2895</v>
      </c>
      <c r="D153" s="709"/>
      <c r="E153" s="718"/>
      <c r="F153" s="705" t="s">
        <v>400</v>
      </c>
      <c r="G153" s="49" t="s">
        <v>398</v>
      </c>
      <c r="H153" s="50">
        <v>0.7</v>
      </c>
      <c r="I153" s="44"/>
      <c r="J153" s="45"/>
      <c r="K153" s="46"/>
      <c r="L153" s="35"/>
      <c r="N153" s="47">
        <f>ROUND((_11_A身体増９．５*_11・基礎１),0)</f>
        <v>1104</v>
      </c>
      <c r="O153" s="48"/>
    </row>
    <row r="154" spans="1:15" ht="16.5" customHeight="1" x14ac:dyDescent="0.15">
      <c r="A154" s="41">
        <v>11</v>
      </c>
      <c r="B154" s="41">
        <v>1902</v>
      </c>
      <c r="C154" s="162" t="s">
        <v>2896</v>
      </c>
      <c r="D154" s="100">
        <f>_11_A身体増９．５</f>
        <v>1577</v>
      </c>
      <c r="E154" s="12" t="s">
        <v>392</v>
      </c>
      <c r="F154" s="711"/>
      <c r="G154" s="37"/>
      <c r="H154" s="38"/>
      <c r="I154" s="44" t="s">
        <v>397</v>
      </c>
      <c r="J154" s="45" t="s">
        <v>398</v>
      </c>
      <c r="K154" s="46">
        <v>1</v>
      </c>
      <c r="L154" s="43"/>
      <c r="M154" s="37"/>
      <c r="N154" s="47">
        <f>ROUND((ROUND((_11_A身体増９．５*_11・基礎１),0)*_11・２人),0)</f>
        <v>1104</v>
      </c>
      <c r="O154" s="48"/>
    </row>
    <row r="155" spans="1:15" ht="16.5" customHeight="1" x14ac:dyDescent="0.15">
      <c r="A155" s="41">
        <v>11</v>
      </c>
      <c r="B155" s="41" t="s">
        <v>2897</v>
      </c>
      <c r="C155" s="162" t="s">
        <v>2898</v>
      </c>
      <c r="D155" s="121"/>
      <c r="E155" s="99"/>
      <c r="F155" s="53"/>
      <c r="G155" s="49"/>
      <c r="H155" s="50"/>
      <c r="I155" s="44"/>
      <c r="J155" s="45"/>
      <c r="K155" s="46"/>
      <c r="L155" s="707" t="s">
        <v>404</v>
      </c>
      <c r="M155" s="708"/>
      <c r="N155" s="47">
        <f>ROUND((_11_A身体増９．５*_11・初任),0)</f>
        <v>1104</v>
      </c>
      <c r="O155" s="48"/>
    </row>
    <row r="156" spans="1:15" ht="16.5" customHeight="1" x14ac:dyDescent="0.15">
      <c r="A156" s="41">
        <v>11</v>
      </c>
      <c r="B156" s="41" t="s">
        <v>2899</v>
      </c>
      <c r="C156" s="162" t="s">
        <v>2900</v>
      </c>
      <c r="D156" s="121"/>
      <c r="E156" s="99"/>
      <c r="F156" s="43"/>
      <c r="G156" s="37"/>
      <c r="H156" s="38"/>
      <c r="I156" s="44" t="s">
        <v>397</v>
      </c>
      <c r="J156" s="45" t="s">
        <v>398</v>
      </c>
      <c r="K156" s="46">
        <v>1</v>
      </c>
      <c r="L156" s="709"/>
      <c r="M156" s="704"/>
      <c r="N156" s="47">
        <f>ROUND((ROUND((_11_A身体増９．５*_11・２人),0)*_11・初任),0)</f>
        <v>1104</v>
      </c>
      <c r="O156" s="48"/>
    </row>
    <row r="157" spans="1:15" ht="16.5" customHeight="1" x14ac:dyDescent="0.15">
      <c r="A157" s="41">
        <v>11</v>
      </c>
      <c r="B157" s="41" t="s">
        <v>2901</v>
      </c>
      <c r="C157" s="162" t="s">
        <v>2902</v>
      </c>
      <c r="D157" s="72"/>
      <c r="E157" s="99"/>
      <c r="F157" s="705" t="s">
        <v>400</v>
      </c>
      <c r="G157" s="49" t="s">
        <v>398</v>
      </c>
      <c r="H157" s="50">
        <v>0.7</v>
      </c>
      <c r="I157" s="44"/>
      <c r="J157" s="45"/>
      <c r="K157" s="46"/>
      <c r="L157" s="709"/>
      <c r="M157" s="704"/>
      <c r="N157" s="47">
        <f>ROUND((ROUND((_11_A身体増９．５*_11・基礎１),0)*_11・初任),0)</f>
        <v>773</v>
      </c>
      <c r="O157" s="48"/>
    </row>
    <row r="158" spans="1:15" ht="16.5" customHeight="1" x14ac:dyDescent="0.15">
      <c r="A158" s="41">
        <v>11</v>
      </c>
      <c r="B158" s="41" t="s">
        <v>2903</v>
      </c>
      <c r="C158" s="162" t="s">
        <v>2904</v>
      </c>
      <c r="D158" s="72"/>
      <c r="E158" s="99"/>
      <c r="F158" s="711"/>
      <c r="G158" s="37"/>
      <c r="H158" s="38"/>
      <c r="I158" s="44" t="s">
        <v>397</v>
      </c>
      <c r="J158" s="45" t="s">
        <v>398</v>
      </c>
      <c r="K158" s="46">
        <v>1</v>
      </c>
      <c r="L158" s="55" t="s">
        <v>398</v>
      </c>
      <c r="M158" s="38">
        <f>_11・初任</f>
        <v>0.7</v>
      </c>
      <c r="N158" s="47">
        <f>ROUND((ROUND((ROUND((_11_A身体増９．５*_11・基礎１),0)*_11・２人),0)*_11・初任),0)</f>
        <v>773</v>
      </c>
      <c r="O158" s="48"/>
    </row>
    <row r="159" spans="1:15" ht="16.5" customHeight="1" x14ac:dyDescent="0.15">
      <c r="A159" s="41">
        <v>11</v>
      </c>
      <c r="B159" s="41">
        <v>1903</v>
      </c>
      <c r="C159" s="162" t="s">
        <v>2905</v>
      </c>
      <c r="D159" s="707" t="s">
        <v>646</v>
      </c>
      <c r="E159" s="717"/>
      <c r="F159" s="53"/>
      <c r="G159" s="49"/>
      <c r="H159" s="50"/>
      <c r="I159" s="44"/>
      <c r="J159" s="45"/>
      <c r="K159" s="46"/>
      <c r="L159" s="53"/>
      <c r="M159" s="49"/>
      <c r="N159" s="47">
        <f>_11_A身体増１０．０</f>
        <v>1660</v>
      </c>
      <c r="O159" s="48"/>
    </row>
    <row r="160" spans="1:15" ht="16.5" customHeight="1" x14ac:dyDescent="0.15">
      <c r="A160" s="41">
        <v>11</v>
      </c>
      <c r="B160" s="41">
        <v>1904</v>
      </c>
      <c r="C160" s="162" t="s">
        <v>2906</v>
      </c>
      <c r="D160" s="709"/>
      <c r="E160" s="718"/>
      <c r="F160" s="43"/>
      <c r="G160" s="37"/>
      <c r="H160" s="38"/>
      <c r="I160" s="44" t="s">
        <v>397</v>
      </c>
      <c r="J160" s="45" t="s">
        <v>398</v>
      </c>
      <c r="K160" s="46">
        <v>1</v>
      </c>
      <c r="L160" s="35"/>
      <c r="N160" s="47">
        <f>ROUND((_11_A身体増１０．０*_11・２人),0)</f>
        <v>1660</v>
      </c>
      <c r="O160" s="48"/>
    </row>
    <row r="161" spans="1:15" ht="16.5" customHeight="1" x14ac:dyDescent="0.15">
      <c r="A161" s="41">
        <v>11</v>
      </c>
      <c r="B161" s="41">
        <v>1905</v>
      </c>
      <c r="C161" s="162" t="s">
        <v>2907</v>
      </c>
      <c r="D161" s="709"/>
      <c r="E161" s="718"/>
      <c r="F161" s="705" t="s">
        <v>400</v>
      </c>
      <c r="G161" s="49" t="s">
        <v>398</v>
      </c>
      <c r="H161" s="50">
        <v>0.7</v>
      </c>
      <c r="I161" s="44"/>
      <c r="J161" s="45"/>
      <c r="K161" s="46"/>
      <c r="L161" s="35"/>
      <c r="N161" s="47">
        <f>ROUND((_11_A身体増１０．０*_11・基礎１),0)</f>
        <v>1162</v>
      </c>
      <c r="O161" s="48"/>
    </row>
    <row r="162" spans="1:15" ht="16.5" customHeight="1" x14ac:dyDescent="0.15">
      <c r="A162" s="41">
        <v>11</v>
      </c>
      <c r="B162" s="41">
        <v>1906</v>
      </c>
      <c r="C162" s="162" t="s">
        <v>2908</v>
      </c>
      <c r="D162" s="100">
        <f>_11_A身体増１０．０</f>
        <v>1660</v>
      </c>
      <c r="E162" s="12" t="s">
        <v>392</v>
      </c>
      <c r="F162" s="711"/>
      <c r="G162" s="37"/>
      <c r="H162" s="38"/>
      <c r="I162" s="44" t="s">
        <v>397</v>
      </c>
      <c r="J162" s="45" t="s">
        <v>398</v>
      </c>
      <c r="K162" s="46">
        <v>1</v>
      </c>
      <c r="L162" s="43"/>
      <c r="M162" s="37"/>
      <c r="N162" s="47">
        <f>ROUND((ROUND((_11_A身体増１０．０*_11・基礎１),0)*_11・２人),0)</f>
        <v>1162</v>
      </c>
      <c r="O162" s="48"/>
    </row>
    <row r="163" spans="1:15" ht="16.5" customHeight="1" x14ac:dyDescent="0.15">
      <c r="A163" s="41">
        <v>11</v>
      </c>
      <c r="B163" s="41" t="s">
        <v>2909</v>
      </c>
      <c r="C163" s="162" t="s">
        <v>2910</v>
      </c>
      <c r="D163" s="121"/>
      <c r="E163" s="99"/>
      <c r="F163" s="53"/>
      <c r="G163" s="49"/>
      <c r="H163" s="50"/>
      <c r="I163" s="44"/>
      <c r="J163" s="45"/>
      <c r="K163" s="46"/>
      <c r="L163" s="707" t="s">
        <v>404</v>
      </c>
      <c r="M163" s="708"/>
      <c r="N163" s="47">
        <f>ROUND((_11_A身体増１０．０*_11・初任),0)</f>
        <v>1162</v>
      </c>
      <c r="O163" s="48"/>
    </row>
    <row r="164" spans="1:15" ht="16.5" customHeight="1" x14ac:dyDescent="0.15">
      <c r="A164" s="41">
        <v>11</v>
      </c>
      <c r="B164" s="41" t="s">
        <v>2911</v>
      </c>
      <c r="C164" s="162" t="s">
        <v>2912</v>
      </c>
      <c r="D164" s="121"/>
      <c r="E164" s="99"/>
      <c r="F164" s="43"/>
      <c r="G164" s="37"/>
      <c r="H164" s="38"/>
      <c r="I164" s="44" t="s">
        <v>397</v>
      </c>
      <c r="J164" s="45" t="s">
        <v>398</v>
      </c>
      <c r="K164" s="46">
        <v>1</v>
      </c>
      <c r="L164" s="709"/>
      <c r="M164" s="704"/>
      <c r="N164" s="47">
        <f>ROUND((ROUND((_11_A身体増１０．０*_11・２人),0)*_11・初任),0)</f>
        <v>1162</v>
      </c>
      <c r="O164" s="48"/>
    </row>
    <row r="165" spans="1:15" ht="16.5" customHeight="1" x14ac:dyDescent="0.15">
      <c r="A165" s="41">
        <v>11</v>
      </c>
      <c r="B165" s="41" t="s">
        <v>2913</v>
      </c>
      <c r="C165" s="162" t="s">
        <v>2914</v>
      </c>
      <c r="D165" s="72"/>
      <c r="E165" s="99"/>
      <c r="F165" s="705" t="s">
        <v>400</v>
      </c>
      <c r="G165" s="49" t="s">
        <v>398</v>
      </c>
      <c r="H165" s="50">
        <v>0.7</v>
      </c>
      <c r="I165" s="44"/>
      <c r="J165" s="45"/>
      <c r="K165" s="46"/>
      <c r="L165" s="709"/>
      <c r="M165" s="704"/>
      <c r="N165" s="47">
        <f>ROUND((ROUND((_11_A身体増１０．０*_11・基礎１),0)*_11・初任),0)</f>
        <v>813</v>
      </c>
      <c r="O165" s="48"/>
    </row>
    <row r="166" spans="1:15" ht="16.5" customHeight="1" x14ac:dyDescent="0.15">
      <c r="A166" s="41">
        <v>11</v>
      </c>
      <c r="B166" s="41" t="s">
        <v>2915</v>
      </c>
      <c r="C166" s="162" t="s">
        <v>2916</v>
      </c>
      <c r="D166" s="72"/>
      <c r="E166" s="99"/>
      <c r="F166" s="711"/>
      <c r="G166" s="37"/>
      <c r="H166" s="38"/>
      <c r="I166" s="44" t="s">
        <v>397</v>
      </c>
      <c r="J166" s="45" t="s">
        <v>398</v>
      </c>
      <c r="K166" s="46">
        <v>1</v>
      </c>
      <c r="L166" s="55" t="s">
        <v>398</v>
      </c>
      <c r="M166" s="38">
        <f>_11・初任</f>
        <v>0.7</v>
      </c>
      <c r="N166" s="47">
        <f>ROUND((ROUND((ROUND((_11_A身体増１０．０*_11・基礎１),0)*_11・２人),0)*_11・初任),0)</f>
        <v>813</v>
      </c>
      <c r="O166" s="48"/>
    </row>
    <row r="167" spans="1:15" ht="16.5" customHeight="1" x14ac:dyDescent="0.15">
      <c r="A167" s="41">
        <v>11</v>
      </c>
      <c r="B167" s="41">
        <v>1907</v>
      </c>
      <c r="C167" s="162" t="s">
        <v>2917</v>
      </c>
      <c r="D167" s="707" t="s">
        <v>659</v>
      </c>
      <c r="E167" s="717"/>
      <c r="F167" s="53"/>
      <c r="G167" s="49"/>
      <c r="H167" s="50"/>
      <c r="I167" s="44"/>
      <c r="J167" s="45"/>
      <c r="K167" s="46"/>
      <c r="L167" s="53"/>
      <c r="M167" s="49"/>
      <c r="N167" s="47">
        <f>_11_A身体増１０．５</f>
        <v>1743</v>
      </c>
      <c r="O167" s="48"/>
    </row>
    <row r="168" spans="1:15" ht="16.5" customHeight="1" x14ac:dyDescent="0.15">
      <c r="A168" s="41">
        <v>11</v>
      </c>
      <c r="B168" s="41">
        <v>1908</v>
      </c>
      <c r="C168" s="162" t="s">
        <v>2918</v>
      </c>
      <c r="D168" s="709"/>
      <c r="E168" s="718"/>
      <c r="F168" s="43"/>
      <c r="G168" s="37"/>
      <c r="H168" s="38"/>
      <c r="I168" s="44" t="s">
        <v>397</v>
      </c>
      <c r="J168" s="45" t="s">
        <v>398</v>
      </c>
      <c r="K168" s="46">
        <v>1</v>
      </c>
      <c r="L168" s="35"/>
      <c r="N168" s="47">
        <f>ROUND((_11_A身体増１０．５*_11・２人),0)</f>
        <v>1743</v>
      </c>
      <c r="O168" s="48"/>
    </row>
    <row r="169" spans="1:15" ht="16.5" customHeight="1" x14ac:dyDescent="0.15">
      <c r="A169" s="41">
        <v>11</v>
      </c>
      <c r="B169" s="41">
        <v>1909</v>
      </c>
      <c r="C169" s="162" t="s">
        <v>2919</v>
      </c>
      <c r="D169" s="709"/>
      <c r="E169" s="718"/>
      <c r="F169" s="705" t="s">
        <v>400</v>
      </c>
      <c r="G169" s="49" t="s">
        <v>398</v>
      </c>
      <c r="H169" s="50">
        <v>0.7</v>
      </c>
      <c r="I169" s="44"/>
      <c r="J169" s="45"/>
      <c r="K169" s="46"/>
      <c r="L169" s="35"/>
      <c r="N169" s="47">
        <f>ROUND((_11_A身体増１０．５*_11・基礎１),0)</f>
        <v>1220</v>
      </c>
      <c r="O169" s="48"/>
    </row>
    <row r="170" spans="1:15" ht="16.5" customHeight="1" x14ac:dyDescent="0.15">
      <c r="A170" s="41">
        <v>11</v>
      </c>
      <c r="B170" s="41">
        <v>1910</v>
      </c>
      <c r="C170" s="162" t="s">
        <v>2920</v>
      </c>
      <c r="D170" s="100">
        <f>_11_A身体増１０．５</f>
        <v>1743</v>
      </c>
      <c r="E170" s="12" t="s">
        <v>392</v>
      </c>
      <c r="F170" s="711"/>
      <c r="G170" s="37"/>
      <c r="H170" s="38"/>
      <c r="I170" s="44" t="s">
        <v>397</v>
      </c>
      <c r="J170" s="45" t="s">
        <v>398</v>
      </c>
      <c r="K170" s="46">
        <v>1</v>
      </c>
      <c r="L170" s="43"/>
      <c r="M170" s="37"/>
      <c r="N170" s="47">
        <f>ROUND((ROUND((_11_A身体増１０．５*_11・基礎１),0)*_11・２人),0)</f>
        <v>1220</v>
      </c>
      <c r="O170" s="48"/>
    </row>
    <row r="171" spans="1:15" ht="16.5" customHeight="1" x14ac:dyDescent="0.15">
      <c r="A171" s="41">
        <v>11</v>
      </c>
      <c r="B171" s="41" t="s">
        <v>2921</v>
      </c>
      <c r="C171" s="162" t="s">
        <v>2922</v>
      </c>
      <c r="D171" s="121"/>
      <c r="E171" s="99"/>
      <c r="F171" s="53"/>
      <c r="G171" s="49"/>
      <c r="H171" s="50"/>
      <c r="I171" s="44"/>
      <c r="J171" s="45"/>
      <c r="K171" s="46"/>
      <c r="L171" s="707" t="s">
        <v>404</v>
      </c>
      <c r="M171" s="708"/>
      <c r="N171" s="47">
        <f>ROUND((_11_A身体増１０．５*_11・初任),0)</f>
        <v>1220</v>
      </c>
      <c r="O171" s="48"/>
    </row>
    <row r="172" spans="1:15" ht="16.5" customHeight="1" x14ac:dyDescent="0.15">
      <c r="A172" s="41">
        <v>11</v>
      </c>
      <c r="B172" s="41" t="s">
        <v>2923</v>
      </c>
      <c r="C172" s="162" t="s">
        <v>2924</v>
      </c>
      <c r="D172" s="121"/>
      <c r="E172" s="99"/>
      <c r="F172" s="43"/>
      <c r="G172" s="37"/>
      <c r="H172" s="38"/>
      <c r="I172" s="44" t="s">
        <v>397</v>
      </c>
      <c r="J172" s="45" t="s">
        <v>398</v>
      </c>
      <c r="K172" s="46">
        <v>1</v>
      </c>
      <c r="L172" s="709"/>
      <c r="M172" s="704"/>
      <c r="N172" s="47">
        <f>ROUND((ROUND((_11_A身体増１０．５*_11・２人),0)*_11・初任),0)</f>
        <v>1220</v>
      </c>
      <c r="O172" s="48"/>
    </row>
    <row r="173" spans="1:15" ht="16.5" customHeight="1" x14ac:dyDescent="0.15">
      <c r="A173" s="41">
        <v>11</v>
      </c>
      <c r="B173" s="41" t="s">
        <v>2925</v>
      </c>
      <c r="C173" s="162" t="s">
        <v>2926</v>
      </c>
      <c r="D173" s="72"/>
      <c r="E173" s="99"/>
      <c r="F173" s="705" t="s">
        <v>400</v>
      </c>
      <c r="G173" s="49" t="s">
        <v>398</v>
      </c>
      <c r="H173" s="50">
        <v>0.7</v>
      </c>
      <c r="I173" s="44"/>
      <c r="J173" s="45"/>
      <c r="K173" s="46"/>
      <c r="L173" s="709"/>
      <c r="M173" s="704"/>
      <c r="N173" s="47">
        <f>ROUND((ROUND((_11_A身体増１０．５*_11・基礎１),0)*_11・初任),0)</f>
        <v>854</v>
      </c>
      <c r="O173" s="48"/>
    </row>
    <row r="174" spans="1:15" ht="16.5" customHeight="1" x14ac:dyDescent="0.15">
      <c r="A174" s="41">
        <v>11</v>
      </c>
      <c r="B174" s="41" t="s">
        <v>2927</v>
      </c>
      <c r="C174" s="162" t="s">
        <v>2928</v>
      </c>
      <c r="D174" s="122"/>
      <c r="E174" s="111"/>
      <c r="F174" s="711"/>
      <c r="G174" s="37"/>
      <c r="H174" s="38"/>
      <c r="I174" s="44" t="s">
        <v>397</v>
      </c>
      <c r="J174" s="45" t="s">
        <v>398</v>
      </c>
      <c r="K174" s="46">
        <v>1</v>
      </c>
      <c r="L174" s="55" t="s">
        <v>398</v>
      </c>
      <c r="M174" s="38">
        <f>_11・初任</f>
        <v>0.7</v>
      </c>
      <c r="N174" s="47">
        <f>ROUND((ROUND((ROUND((_11_A身体増１０．５*_11・基礎１),0)*_11・２人),0)*_11・初任),0)</f>
        <v>854</v>
      </c>
      <c r="O174" s="63"/>
    </row>
    <row r="175" spans="1:15" ht="16.5" customHeight="1" x14ac:dyDescent="0.15"/>
    <row r="176" spans="1:15" ht="16.5" customHeight="1" x14ac:dyDescent="0.15"/>
  </sheetData>
  <mergeCells count="84">
    <mergeCell ref="L163:M165"/>
    <mergeCell ref="F165:F166"/>
    <mergeCell ref="D167:E169"/>
    <mergeCell ref="F169:F170"/>
    <mergeCell ref="L171:M173"/>
    <mergeCell ref="F173:F174"/>
    <mergeCell ref="D151:E153"/>
    <mergeCell ref="F153:F154"/>
    <mergeCell ref="L155:M157"/>
    <mergeCell ref="F157:F158"/>
    <mergeCell ref="D159:E161"/>
    <mergeCell ref="F161:F162"/>
    <mergeCell ref="L139:M141"/>
    <mergeCell ref="F141:F142"/>
    <mergeCell ref="D143:E145"/>
    <mergeCell ref="F145:F146"/>
    <mergeCell ref="L147:M149"/>
    <mergeCell ref="F149:F150"/>
    <mergeCell ref="D127:E129"/>
    <mergeCell ref="F129:F130"/>
    <mergeCell ref="L131:M133"/>
    <mergeCell ref="F133:F134"/>
    <mergeCell ref="D135:E137"/>
    <mergeCell ref="F137:F138"/>
    <mergeCell ref="L115:M117"/>
    <mergeCell ref="F117:F118"/>
    <mergeCell ref="D119:E121"/>
    <mergeCell ref="F121:F122"/>
    <mergeCell ref="L123:M125"/>
    <mergeCell ref="F125:F126"/>
    <mergeCell ref="D103:E105"/>
    <mergeCell ref="F105:F106"/>
    <mergeCell ref="L107:M109"/>
    <mergeCell ref="F109:F110"/>
    <mergeCell ref="D111:E113"/>
    <mergeCell ref="F113:F114"/>
    <mergeCell ref="L91:M93"/>
    <mergeCell ref="F93:F94"/>
    <mergeCell ref="D95:E97"/>
    <mergeCell ref="F97:F98"/>
    <mergeCell ref="L99:M101"/>
    <mergeCell ref="F101:F102"/>
    <mergeCell ref="D79:E81"/>
    <mergeCell ref="F81:F82"/>
    <mergeCell ref="L83:M85"/>
    <mergeCell ref="F85:F86"/>
    <mergeCell ref="D87:E89"/>
    <mergeCell ref="F89:F90"/>
    <mergeCell ref="L67:M69"/>
    <mergeCell ref="F69:F70"/>
    <mergeCell ref="D71:E73"/>
    <mergeCell ref="F73:F74"/>
    <mergeCell ref="L75:M77"/>
    <mergeCell ref="F77:F78"/>
    <mergeCell ref="D55:E57"/>
    <mergeCell ref="F57:F58"/>
    <mergeCell ref="L59:M61"/>
    <mergeCell ref="F61:F62"/>
    <mergeCell ref="D63:E65"/>
    <mergeCell ref="F65:F66"/>
    <mergeCell ref="L43:M45"/>
    <mergeCell ref="F45:F46"/>
    <mergeCell ref="D47:E49"/>
    <mergeCell ref="F49:F50"/>
    <mergeCell ref="L51:M53"/>
    <mergeCell ref="F53:F54"/>
    <mergeCell ref="D31:E33"/>
    <mergeCell ref="F33:F34"/>
    <mergeCell ref="L35:M37"/>
    <mergeCell ref="F37:F38"/>
    <mergeCell ref="D39:E41"/>
    <mergeCell ref="F41:F42"/>
    <mergeCell ref="L19:M21"/>
    <mergeCell ref="F21:F22"/>
    <mergeCell ref="D23:E25"/>
    <mergeCell ref="F25:F26"/>
    <mergeCell ref="L27:M29"/>
    <mergeCell ref="F29:F30"/>
    <mergeCell ref="D7:E9"/>
    <mergeCell ref="F9:F10"/>
    <mergeCell ref="L11:M13"/>
    <mergeCell ref="F13:F14"/>
    <mergeCell ref="D15:E17"/>
    <mergeCell ref="F17:F18"/>
  </mergeCells>
  <phoneticPr fontId="1"/>
  <printOptions horizontalCentered="1"/>
  <pageMargins left="0.70866141732283472" right="0.70866141732283472" top="0.74803149606299213" bottom="0.74803149606299213" header="0.31496062992125984" footer="0.31496062992125984"/>
  <pageSetup paperSize="9" scale="62" fitToHeight="0" orientation="portrait" r:id="rId1"/>
  <headerFooter>
    <oddHeader>&amp;R&amp;"ＭＳ Ｐゴシック"&amp;9居宅介護</oddHeader>
    <oddFooter>&amp;C&amp;"ＭＳ Ｐゴシック"&amp;14&amp;P</oddFooter>
  </headerFooter>
  <rowBreaks count="2" manualBreakCount="2">
    <brk id="70" max="14" man="1"/>
    <brk id="142" max="1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R125"/>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2.5" style="10" bestFit="1" customWidth="1"/>
    <col min="4" max="4" width="4.875" style="10" customWidth="1"/>
    <col min="5" max="5" width="5.5" style="117" bestFit="1" customWidth="1"/>
    <col min="6" max="6" width="11.875" style="12" customWidth="1"/>
    <col min="7" max="7" width="3.5" style="12" bestFit="1" customWidth="1"/>
    <col min="8" max="8" width="4.5" style="13" bestFit="1" customWidth="1"/>
    <col min="9" max="9" width="24.875" style="14" bestFit="1" customWidth="1"/>
    <col min="10" max="10" width="3.5" style="12" bestFit="1" customWidth="1"/>
    <col min="11" max="11" width="5.5" style="13" bestFit="1" customWidth="1"/>
    <col min="12" max="12" width="3.5" style="12" bestFit="1" customWidth="1"/>
    <col min="13" max="13" width="4.5" style="13" bestFit="1" customWidth="1"/>
    <col min="14" max="14" width="5.5" style="12" bestFit="1" customWidth="1"/>
    <col min="15" max="15" width="9.875" style="12" customWidth="1"/>
    <col min="16" max="16" width="4.5" style="12" bestFit="1" customWidth="1"/>
    <col min="17" max="17" width="7.125" style="15" customWidth="1"/>
    <col min="18" max="18" width="8.5" style="16" customWidth="1"/>
    <col min="19" max="16384" width="8.875" style="12"/>
  </cols>
  <sheetData>
    <row r="1" spans="1:18" ht="17.100000000000001" customHeight="1" x14ac:dyDescent="0.15">
      <c r="D1" s="11"/>
      <c r="E1" s="12"/>
    </row>
    <row r="2" spans="1:18" ht="17.100000000000001" customHeight="1" x14ac:dyDescent="0.15"/>
    <row r="3" spans="1:18" ht="17.100000000000001" customHeight="1" x14ac:dyDescent="0.15"/>
    <row r="4" spans="1:18" ht="17.100000000000001" customHeight="1" x14ac:dyDescent="0.15">
      <c r="B4" s="17" t="s">
        <v>2929</v>
      </c>
      <c r="D4" s="71"/>
    </row>
    <row r="5" spans="1:18" ht="16.5" customHeight="1" x14ac:dyDescent="0.15">
      <c r="A5" s="19" t="s">
        <v>384</v>
      </c>
      <c r="B5" s="20"/>
      <c r="C5" s="21" t="s">
        <v>385</v>
      </c>
      <c r="D5" s="23" t="s">
        <v>386</v>
      </c>
      <c r="E5" s="118"/>
      <c r="F5" s="23"/>
      <c r="G5" s="23"/>
      <c r="H5" s="24"/>
      <c r="I5" s="23"/>
      <c r="J5" s="23"/>
      <c r="K5" s="24"/>
      <c r="L5" s="23"/>
      <c r="M5" s="24"/>
      <c r="N5" s="23"/>
      <c r="O5" s="23"/>
      <c r="P5" s="23"/>
      <c r="Q5" s="25" t="s">
        <v>387</v>
      </c>
      <c r="R5" s="21" t="s">
        <v>388</v>
      </c>
    </row>
    <row r="6" spans="1:18" ht="16.5" customHeight="1" x14ac:dyDescent="0.15">
      <c r="A6" s="26" t="s">
        <v>389</v>
      </c>
      <c r="B6" s="26" t="s">
        <v>390</v>
      </c>
      <c r="C6" s="27"/>
      <c r="D6" s="29"/>
      <c r="E6" s="120"/>
      <c r="F6" s="29"/>
      <c r="G6" s="29"/>
      <c r="H6" s="30"/>
      <c r="I6" s="29"/>
      <c r="J6" s="29"/>
      <c r="K6" s="30"/>
      <c r="L6" s="29"/>
      <c r="M6" s="30"/>
      <c r="N6" s="29"/>
      <c r="O6" s="29"/>
      <c r="P6" s="29"/>
      <c r="Q6" s="31" t="s">
        <v>391</v>
      </c>
      <c r="R6" s="32" t="s">
        <v>392</v>
      </c>
    </row>
    <row r="7" spans="1:18" ht="16.5" customHeight="1" x14ac:dyDescent="0.15">
      <c r="A7" s="33">
        <v>11</v>
      </c>
      <c r="B7" s="33">
        <v>1911</v>
      </c>
      <c r="C7" s="34" t="s">
        <v>2930</v>
      </c>
      <c r="D7" s="709" t="s">
        <v>673</v>
      </c>
      <c r="E7" s="718"/>
      <c r="F7" s="35"/>
      <c r="I7" s="36"/>
      <c r="J7" s="37"/>
      <c r="K7" s="38"/>
      <c r="L7" s="72" t="s">
        <v>674</v>
      </c>
      <c r="N7" s="57"/>
      <c r="O7" s="35"/>
      <c r="Q7" s="39">
        <f>ROUND((_11_A身体増０．５*(1+_11・A早朝)),0)</f>
        <v>104</v>
      </c>
      <c r="R7" s="40" t="s">
        <v>395</v>
      </c>
    </row>
    <row r="8" spans="1:18" ht="16.5" customHeight="1" x14ac:dyDescent="0.15">
      <c r="A8" s="41">
        <v>11</v>
      </c>
      <c r="B8" s="41">
        <v>1912</v>
      </c>
      <c r="C8" s="74" t="s">
        <v>2931</v>
      </c>
      <c r="D8" s="709"/>
      <c r="E8" s="718"/>
      <c r="F8" s="43"/>
      <c r="G8" s="37"/>
      <c r="H8" s="38"/>
      <c r="I8" s="44" t="s">
        <v>397</v>
      </c>
      <c r="J8" s="45" t="s">
        <v>398</v>
      </c>
      <c r="K8" s="46">
        <v>1</v>
      </c>
      <c r="L8" s="35" t="s">
        <v>398</v>
      </c>
      <c r="M8" s="13">
        <v>0.25</v>
      </c>
      <c r="N8" s="728" t="s">
        <v>676</v>
      </c>
      <c r="O8" s="35"/>
      <c r="Q8" s="47">
        <f>ROUND((ROUND((_11_A身体増０．５*_11・２人),0)*(1+_11・A早朝)),0)</f>
        <v>104</v>
      </c>
      <c r="R8" s="48"/>
    </row>
    <row r="9" spans="1:18" ht="16.5" customHeight="1" x14ac:dyDescent="0.15">
      <c r="A9" s="41">
        <v>11</v>
      </c>
      <c r="B9" s="41">
        <v>1913</v>
      </c>
      <c r="C9" s="74" t="s">
        <v>2932</v>
      </c>
      <c r="D9" s="709"/>
      <c r="E9" s="718"/>
      <c r="F9" s="705" t="s">
        <v>400</v>
      </c>
      <c r="G9" s="49" t="s">
        <v>398</v>
      </c>
      <c r="H9" s="50">
        <v>0.7</v>
      </c>
      <c r="I9" s="44"/>
      <c r="J9" s="45"/>
      <c r="K9" s="46"/>
      <c r="L9" s="35"/>
      <c r="N9" s="728"/>
      <c r="O9" s="35"/>
      <c r="Q9" s="47">
        <f>ROUND((ROUND((_11_A身体増０．５*_11・基礎１),0)*(1+_11・A早朝)),0)</f>
        <v>73</v>
      </c>
      <c r="R9" s="48"/>
    </row>
    <row r="10" spans="1:18" ht="16.5" customHeight="1" x14ac:dyDescent="0.15">
      <c r="A10" s="41">
        <v>11</v>
      </c>
      <c r="B10" s="41">
        <v>1914</v>
      </c>
      <c r="C10" s="74" t="s">
        <v>2933</v>
      </c>
      <c r="D10" s="125">
        <f>_11_A身体増０．５</f>
        <v>83</v>
      </c>
      <c r="E10" s="99" t="s">
        <v>392</v>
      </c>
      <c r="F10" s="711"/>
      <c r="G10" s="37"/>
      <c r="H10" s="38"/>
      <c r="I10" s="44" t="s">
        <v>397</v>
      </c>
      <c r="J10" s="45" t="s">
        <v>398</v>
      </c>
      <c r="K10" s="46">
        <v>1</v>
      </c>
      <c r="L10" s="35"/>
      <c r="N10" s="57"/>
      <c r="O10" s="43"/>
      <c r="P10" s="37"/>
      <c r="Q10" s="47">
        <f>ROUND((ROUND((ROUND((_11_A身体増０．５*_11・基礎１),0)*_11・２人),0)*(1+_11・A早朝)),0)</f>
        <v>73</v>
      </c>
      <c r="R10" s="48"/>
    </row>
    <row r="11" spans="1:18" ht="16.5" customHeight="1" x14ac:dyDescent="0.15">
      <c r="A11" s="41">
        <v>11</v>
      </c>
      <c r="B11" s="41" t="s">
        <v>2934</v>
      </c>
      <c r="C11" s="74" t="s">
        <v>2935</v>
      </c>
      <c r="D11" s="121"/>
      <c r="E11" s="99"/>
      <c r="F11" s="53"/>
      <c r="G11" s="49"/>
      <c r="H11" s="50"/>
      <c r="I11" s="44"/>
      <c r="J11" s="45"/>
      <c r="K11" s="46"/>
      <c r="L11" s="35"/>
      <c r="N11" s="57"/>
      <c r="O11" s="707" t="s">
        <v>404</v>
      </c>
      <c r="P11" s="708"/>
      <c r="Q11" s="47">
        <f>ROUND((ROUND((_11_A身体増０．５*(1+_11・A早朝)),0)*_11・初任),0)</f>
        <v>73</v>
      </c>
      <c r="R11" s="48"/>
    </row>
    <row r="12" spans="1:18" ht="16.5" customHeight="1" x14ac:dyDescent="0.15">
      <c r="A12" s="41">
        <v>11</v>
      </c>
      <c r="B12" s="41" t="s">
        <v>2936</v>
      </c>
      <c r="C12" s="74" t="s">
        <v>2937</v>
      </c>
      <c r="D12" s="121"/>
      <c r="E12" s="99"/>
      <c r="F12" s="43"/>
      <c r="G12" s="37"/>
      <c r="H12" s="38"/>
      <c r="I12" s="44" t="s">
        <v>397</v>
      </c>
      <c r="J12" s="45" t="s">
        <v>398</v>
      </c>
      <c r="K12" s="46">
        <v>1</v>
      </c>
      <c r="L12" s="35"/>
      <c r="N12" s="57"/>
      <c r="O12" s="709"/>
      <c r="P12" s="704"/>
      <c r="Q12" s="47">
        <f>ROUND((ROUND((ROUND((_11_A身体増０．５*_11・２人),0)*(1+_11・A早朝)),0)*_11・初任),0)</f>
        <v>73</v>
      </c>
      <c r="R12" s="48"/>
    </row>
    <row r="13" spans="1:18" ht="16.5" customHeight="1" x14ac:dyDescent="0.15">
      <c r="A13" s="41">
        <v>11</v>
      </c>
      <c r="B13" s="41" t="s">
        <v>2938</v>
      </c>
      <c r="C13" s="74" t="s">
        <v>2939</v>
      </c>
      <c r="D13" s="72"/>
      <c r="E13" s="99"/>
      <c r="F13" s="705" t="s">
        <v>400</v>
      </c>
      <c r="G13" s="49" t="s">
        <v>398</v>
      </c>
      <c r="H13" s="50">
        <v>0.7</v>
      </c>
      <c r="I13" s="44"/>
      <c r="J13" s="45"/>
      <c r="K13" s="46"/>
      <c r="L13" s="35"/>
      <c r="N13" s="57"/>
      <c r="O13" s="709"/>
      <c r="P13" s="704"/>
      <c r="Q13" s="47">
        <f>ROUND((ROUND((ROUND((_11_A身体増０．５*_11・基礎１),0)*(1+_11・A早朝)),0)*_11・初任),0)</f>
        <v>51</v>
      </c>
      <c r="R13" s="48"/>
    </row>
    <row r="14" spans="1:18" ht="16.5" customHeight="1" x14ac:dyDescent="0.15">
      <c r="A14" s="41">
        <v>11</v>
      </c>
      <c r="B14" s="41" t="s">
        <v>2940</v>
      </c>
      <c r="C14" s="74" t="s">
        <v>2941</v>
      </c>
      <c r="D14" s="72"/>
      <c r="E14" s="99"/>
      <c r="F14" s="711"/>
      <c r="G14" s="37"/>
      <c r="H14" s="38"/>
      <c r="I14" s="44" t="s">
        <v>397</v>
      </c>
      <c r="J14" s="45" t="s">
        <v>398</v>
      </c>
      <c r="K14" s="46">
        <v>1</v>
      </c>
      <c r="L14" s="35"/>
      <c r="N14" s="57"/>
      <c r="O14" s="55" t="s">
        <v>398</v>
      </c>
      <c r="P14" s="38">
        <f>_11・初任</f>
        <v>0.7</v>
      </c>
      <c r="Q14" s="47">
        <f>ROUND((ROUND((ROUND((ROUND((_11_A身体増０．５*_11・基礎１),0)*_11・２人),0)*(1+_11・A早朝)),0)*_11・初任),0)</f>
        <v>51</v>
      </c>
      <c r="R14" s="48"/>
    </row>
    <row r="15" spans="1:18" ht="16.5" customHeight="1" x14ac:dyDescent="0.15">
      <c r="A15" s="41">
        <v>11</v>
      </c>
      <c r="B15" s="41">
        <v>1915</v>
      </c>
      <c r="C15" s="74" t="s">
        <v>2942</v>
      </c>
      <c r="D15" s="707" t="s">
        <v>689</v>
      </c>
      <c r="E15" s="717"/>
      <c r="F15" s="53"/>
      <c r="G15" s="49"/>
      <c r="H15" s="50"/>
      <c r="I15" s="44"/>
      <c r="J15" s="45"/>
      <c r="K15" s="46"/>
      <c r="L15" s="35"/>
      <c r="N15" s="57"/>
      <c r="O15" s="53"/>
      <c r="P15" s="49"/>
      <c r="Q15" s="47">
        <f>ROUND((_11_A身体増１．０*(1+_11・A早朝)),0)</f>
        <v>208</v>
      </c>
      <c r="R15" s="48"/>
    </row>
    <row r="16" spans="1:18" ht="16.5" customHeight="1" x14ac:dyDescent="0.15">
      <c r="A16" s="41">
        <v>11</v>
      </c>
      <c r="B16" s="41">
        <v>1916</v>
      </c>
      <c r="C16" s="74" t="s">
        <v>2943</v>
      </c>
      <c r="D16" s="709"/>
      <c r="E16" s="718"/>
      <c r="F16" s="43"/>
      <c r="G16" s="37"/>
      <c r="H16" s="38"/>
      <c r="I16" s="44" t="s">
        <v>397</v>
      </c>
      <c r="J16" s="45" t="s">
        <v>398</v>
      </c>
      <c r="K16" s="46">
        <v>1</v>
      </c>
      <c r="L16" s="35"/>
      <c r="N16" s="57"/>
      <c r="O16" s="35"/>
      <c r="Q16" s="47">
        <f>ROUND((ROUND((_11_A身体増１．０*_11・２人),0)*(1+_11・A早朝)),0)</f>
        <v>208</v>
      </c>
      <c r="R16" s="48"/>
    </row>
    <row r="17" spans="1:18" ht="16.5" customHeight="1" x14ac:dyDescent="0.15">
      <c r="A17" s="41">
        <v>11</v>
      </c>
      <c r="B17" s="41">
        <v>1917</v>
      </c>
      <c r="C17" s="74" t="s">
        <v>2944</v>
      </c>
      <c r="D17" s="709"/>
      <c r="E17" s="718"/>
      <c r="F17" s="705" t="s">
        <v>400</v>
      </c>
      <c r="G17" s="49" t="s">
        <v>398</v>
      </c>
      <c r="H17" s="50">
        <v>0.7</v>
      </c>
      <c r="I17" s="44"/>
      <c r="J17" s="45"/>
      <c r="K17" s="46"/>
      <c r="L17" s="35"/>
      <c r="N17" s="57"/>
      <c r="O17" s="35"/>
      <c r="Q17" s="47">
        <f>ROUND((ROUND((_11_A身体増１．０*_11・基礎１),0)*(1+_11・A早朝)),0)</f>
        <v>145</v>
      </c>
      <c r="R17" s="48"/>
    </row>
    <row r="18" spans="1:18" ht="16.5" customHeight="1" x14ac:dyDescent="0.15">
      <c r="A18" s="41">
        <v>11</v>
      </c>
      <c r="B18" s="41">
        <v>1918</v>
      </c>
      <c r="C18" s="74" t="s">
        <v>2945</v>
      </c>
      <c r="D18" s="125">
        <f>_11_A身体増１．０</f>
        <v>166</v>
      </c>
      <c r="E18" s="99" t="s">
        <v>392</v>
      </c>
      <c r="F18" s="722"/>
      <c r="G18" s="37"/>
      <c r="H18" s="38"/>
      <c r="I18" s="44" t="s">
        <v>397</v>
      </c>
      <c r="J18" s="45" t="s">
        <v>398</v>
      </c>
      <c r="K18" s="46">
        <v>1</v>
      </c>
      <c r="L18" s="35"/>
      <c r="N18" s="57"/>
      <c r="O18" s="43"/>
      <c r="P18" s="37"/>
      <c r="Q18" s="47">
        <f>ROUND((ROUND((ROUND((_11_A身体増１．０*_11・基礎１),0)*_11・２人),0)*(1+_11・A早朝)),0)</f>
        <v>145</v>
      </c>
      <c r="R18" s="48"/>
    </row>
    <row r="19" spans="1:18" ht="16.5" customHeight="1" x14ac:dyDescent="0.15">
      <c r="A19" s="41">
        <v>11</v>
      </c>
      <c r="B19" s="41" t="s">
        <v>2946</v>
      </c>
      <c r="C19" s="74" t="s">
        <v>2947</v>
      </c>
      <c r="D19" s="121"/>
      <c r="E19" s="99"/>
      <c r="F19" s="53"/>
      <c r="G19" s="49"/>
      <c r="H19" s="50"/>
      <c r="I19" s="44"/>
      <c r="J19" s="45"/>
      <c r="K19" s="46"/>
      <c r="L19" s="35"/>
      <c r="N19" s="57"/>
      <c r="O19" s="707" t="s">
        <v>404</v>
      </c>
      <c r="P19" s="708"/>
      <c r="Q19" s="47">
        <f>ROUND((ROUND((_11_A身体増１．０*(1+_11・A早朝)),0)*_11・初任),0)</f>
        <v>146</v>
      </c>
      <c r="R19" s="48"/>
    </row>
    <row r="20" spans="1:18" ht="16.5" customHeight="1" x14ac:dyDescent="0.15">
      <c r="A20" s="41">
        <v>11</v>
      </c>
      <c r="B20" s="41" t="s">
        <v>2948</v>
      </c>
      <c r="C20" s="74" t="s">
        <v>2949</v>
      </c>
      <c r="D20" s="121"/>
      <c r="E20" s="99"/>
      <c r="F20" s="43"/>
      <c r="G20" s="37"/>
      <c r="H20" s="38"/>
      <c r="I20" s="44" t="s">
        <v>397</v>
      </c>
      <c r="J20" s="45" t="s">
        <v>398</v>
      </c>
      <c r="K20" s="46">
        <v>1</v>
      </c>
      <c r="L20" s="35"/>
      <c r="N20" s="57"/>
      <c r="O20" s="709"/>
      <c r="P20" s="704"/>
      <c r="Q20" s="47">
        <f>ROUND((ROUND((ROUND((_11_A身体増１．０*_11・２人),0)*(1+_11・A早朝)),0)*_11・初任),0)</f>
        <v>146</v>
      </c>
      <c r="R20" s="48"/>
    </row>
    <row r="21" spans="1:18" ht="16.5" customHeight="1" x14ac:dyDescent="0.15">
      <c r="A21" s="41">
        <v>11</v>
      </c>
      <c r="B21" s="41" t="s">
        <v>2950</v>
      </c>
      <c r="C21" s="74" t="s">
        <v>2951</v>
      </c>
      <c r="D21" s="72"/>
      <c r="E21" s="99"/>
      <c r="F21" s="705" t="s">
        <v>400</v>
      </c>
      <c r="G21" s="49" t="s">
        <v>398</v>
      </c>
      <c r="H21" s="50">
        <v>0.7</v>
      </c>
      <c r="I21" s="44"/>
      <c r="J21" s="45"/>
      <c r="K21" s="46"/>
      <c r="L21" s="35"/>
      <c r="N21" s="57"/>
      <c r="O21" s="709"/>
      <c r="P21" s="704"/>
      <c r="Q21" s="47">
        <f>ROUND((ROUND((ROUND((_11_A身体増１．０*_11・基礎１),0)*(1+_11・A早朝)),0)*_11・初任),0)</f>
        <v>102</v>
      </c>
      <c r="R21" s="48"/>
    </row>
    <row r="22" spans="1:18" ht="16.5" customHeight="1" x14ac:dyDescent="0.15">
      <c r="A22" s="41">
        <v>11</v>
      </c>
      <c r="B22" s="41" t="s">
        <v>2952</v>
      </c>
      <c r="C22" s="74" t="s">
        <v>2953</v>
      </c>
      <c r="D22" s="72"/>
      <c r="E22" s="99"/>
      <c r="F22" s="711"/>
      <c r="G22" s="37"/>
      <c r="H22" s="38"/>
      <c r="I22" s="44" t="s">
        <v>397</v>
      </c>
      <c r="J22" s="45" t="s">
        <v>398</v>
      </c>
      <c r="K22" s="46">
        <v>1</v>
      </c>
      <c r="L22" s="35"/>
      <c r="N22" s="57"/>
      <c r="O22" s="55" t="s">
        <v>398</v>
      </c>
      <c r="P22" s="38">
        <f>_11・初任</f>
        <v>0.7</v>
      </c>
      <c r="Q22" s="47">
        <f>ROUND((ROUND((ROUND((ROUND((_11_A身体増１．０*_11・基礎１),0)*_11・２人),0)*(1+_11・A早朝)),0)*_11・初任),0)</f>
        <v>102</v>
      </c>
      <c r="R22" s="48"/>
    </row>
    <row r="23" spans="1:18" ht="16.5" customHeight="1" x14ac:dyDescent="0.15">
      <c r="A23" s="41">
        <v>11</v>
      </c>
      <c r="B23" s="41">
        <v>1919</v>
      </c>
      <c r="C23" s="74" t="s">
        <v>2954</v>
      </c>
      <c r="D23" s="707" t="s">
        <v>702</v>
      </c>
      <c r="E23" s="717"/>
      <c r="F23" s="53"/>
      <c r="G23" s="49"/>
      <c r="H23" s="50"/>
      <c r="I23" s="44"/>
      <c r="J23" s="45"/>
      <c r="K23" s="46"/>
      <c r="L23" s="35"/>
      <c r="N23" s="57"/>
      <c r="O23" s="53"/>
      <c r="P23" s="49"/>
      <c r="Q23" s="47">
        <f>ROUND((_11_A身体増１．５*(1+_11・A早朝)),0)</f>
        <v>311</v>
      </c>
      <c r="R23" s="48"/>
    </row>
    <row r="24" spans="1:18" ht="16.5" customHeight="1" x14ac:dyDescent="0.15">
      <c r="A24" s="41">
        <v>11</v>
      </c>
      <c r="B24" s="41">
        <v>1920</v>
      </c>
      <c r="C24" s="74" t="s">
        <v>2955</v>
      </c>
      <c r="D24" s="709"/>
      <c r="E24" s="718"/>
      <c r="F24" s="43"/>
      <c r="G24" s="37"/>
      <c r="H24" s="38"/>
      <c r="I24" s="44" t="s">
        <v>397</v>
      </c>
      <c r="J24" s="45" t="s">
        <v>398</v>
      </c>
      <c r="K24" s="46">
        <v>1</v>
      </c>
      <c r="L24" s="35"/>
      <c r="N24" s="57"/>
      <c r="O24" s="35"/>
      <c r="Q24" s="47">
        <f>ROUND((ROUND((_11_A身体増１．５*_11・２人),0)*(1+_11・A早朝)),0)</f>
        <v>311</v>
      </c>
      <c r="R24" s="48"/>
    </row>
    <row r="25" spans="1:18" ht="16.5" customHeight="1" x14ac:dyDescent="0.15">
      <c r="A25" s="41">
        <v>11</v>
      </c>
      <c r="B25" s="41">
        <v>1921</v>
      </c>
      <c r="C25" s="74" t="s">
        <v>2956</v>
      </c>
      <c r="D25" s="709"/>
      <c r="E25" s="718"/>
      <c r="F25" s="705" t="s">
        <v>400</v>
      </c>
      <c r="G25" s="49" t="s">
        <v>398</v>
      </c>
      <c r="H25" s="50">
        <v>0.7</v>
      </c>
      <c r="I25" s="44"/>
      <c r="J25" s="45"/>
      <c r="K25" s="46"/>
      <c r="L25" s="35"/>
      <c r="N25" s="57"/>
      <c r="O25" s="35"/>
      <c r="Q25" s="47">
        <f>ROUND((ROUND((_11_A身体増１．５*_11・基礎１),0)*(1+_11・A早朝)),0)</f>
        <v>218</v>
      </c>
      <c r="R25" s="48"/>
    </row>
    <row r="26" spans="1:18" ht="16.5" customHeight="1" x14ac:dyDescent="0.15">
      <c r="A26" s="41">
        <v>11</v>
      </c>
      <c r="B26" s="41">
        <v>1922</v>
      </c>
      <c r="C26" s="74" t="s">
        <v>2957</v>
      </c>
      <c r="D26" s="100">
        <f>_11_A身体増１．５</f>
        <v>249</v>
      </c>
      <c r="E26" s="12" t="s">
        <v>392</v>
      </c>
      <c r="F26" s="711"/>
      <c r="G26" s="37"/>
      <c r="H26" s="38"/>
      <c r="I26" s="44" t="s">
        <v>397</v>
      </c>
      <c r="J26" s="45" t="s">
        <v>398</v>
      </c>
      <c r="K26" s="46">
        <v>1</v>
      </c>
      <c r="L26" s="35"/>
      <c r="N26" s="57"/>
      <c r="O26" s="43"/>
      <c r="P26" s="37"/>
      <c r="Q26" s="47">
        <f>ROUND((ROUND((ROUND((_11_A身体増１．５*_11・基礎１),0)*_11・２人),0)*(1+_11・A早朝)),0)</f>
        <v>218</v>
      </c>
      <c r="R26" s="48"/>
    </row>
    <row r="27" spans="1:18" ht="16.5" customHeight="1" x14ac:dyDescent="0.15">
      <c r="A27" s="41">
        <v>11</v>
      </c>
      <c r="B27" s="41" t="s">
        <v>2958</v>
      </c>
      <c r="C27" s="74" t="s">
        <v>2959</v>
      </c>
      <c r="D27" s="121"/>
      <c r="E27" s="99"/>
      <c r="F27" s="53"/>
      <c r="G27" s="49"/>
      <c r="H27" s="50"/>
      <c r="I27" s="44"/>
      <c r="J27" s="45"/>
      <c r="K27" s="46"/>
      <c r="L27" s="35"/>
      <c r="N27" s="57"/>
      <c r="O27" s="707" t="s">
        <v>404</v>
      </c>
      <c r="P27" s="708"/>
      <c r="Q27" s="47">
        <f>ROUND((ROUND((_11_A身体増１．５*(1+_11・A早朝)),0)*_11・初任),0)</f>
        <v>218</v>
      </c>
      <c r="R27" s="48"/>
    </row>
    <row r="28" spans="1:18" ht="16.5" customHeight="1" x14ac:dyDescent="0.15">
      <c r="A28" s="41">
        <v>11</v>
      </c>
      <c r="B28" s="41" t="s">
        <v>2960</v>
      </c>
      <c r="C28" s="74" t="s">
        <v>2961</v>
      </c>
      <c r="D28" s="121"/>
      <c r="E28" s="99"/>
      <c r="F28" s="43"/>
      <c r="G28" s="37"/>
      <c r="H28" s="38"/>
      <c r="I28" s="44" t="s">
        <v>397</v>
      </c>
      <c r="J28" s="45" t="s">
        <v>398</v>
      </c>
      <c r="K28" s="46">
        <v>1</v>
      </c>
      <c r="L28" s="35"/>
      <c r="N28" s="57"/>
      <c r="O28" s="709"/>
      <c r="P28" s="704"/>
      <c r="Q28" s="47">
        <f>ROUND((ROUND((ROUND((_11_A身体増１．５*_11・２人),0)*(1+_11・A早朝)),0)*_11・初任),0)</f>
        <v>218</v>
      </c>
      <c r="R28" s="48"/>
    </row>
    <row r="29" spans="1:18" ht="16.5" customHeight="1" x14ac:dyDescent="0.15">
      <c r="A29" s="41">
        <v>11</v>
      </c>
      <c r="B29" s="41" t="s">
        <v>2962</v>
      </c>
      <c r="C29" s="74" t="s">
        <v>2963</v>
      </c>
      <c r="D29" s="72"/>
      <c r="E29" s="99"/>
      <c r="F29" s="705" t="s">
        <v>400</v>
      </c>
      <c r="G29" s="49" t="s">
        <v>398</v>
      </c>
      <c r="H29" s="50">
        <v>0.7</v>
      </c>
      <c r="I29" s="44"/>
      <c r="J29" s="45"/>
      <c r="K29" s="46"/>
      <c r="L29" s="35"/>
      <c r="N29" s="57"/>
      <c r="O29" s="709"/>
      <c r="P29" s="704"/>
      <c r="Q29" s="47">
        <f>ROUND((ROUND((ROUND((_11_A身体増１．５*_11・基礎１),0)*(1+_11・A早朝)),0)*_11・初任),0)</f>
        <v>153</v>
      </c>
      <c r="R29" s="48"/>
    </row>
    <row r="30" spans="1:18" ht="16.5" customHeight="1" x14ac:dyDescent="0.15">
      <c r="A30" s="41">
        <v>11</v>
      </c>
      <c r="B30" s="41" t="s">
        <v>2964</v>
      </c>
      <c r="C30" s="74" t="s">
        <v>2965</v>
      </c>
      <c r="D30" s="72"/>
      <c r="E30" s="99"/>
      <c r="F30" s="711"/>
      <c r="G30" s="37"/>
      <c r="H30" s="38"/>
      <c r="I30" s="44" t="s">
        <v>397</v>
      </c>
      <c r="J30" s="45" t="s">
        <v>398</v>
      </c>
      <c r="K30" s="46">
        <v>1</v>
      </c>
      <c r="L30" s="35"/>
      <c r="M30" s="12"/>
      <c r="N30" s="57"/>
      <c r="O30" s="55" t="s">
        <v>398</v>
      </c>
      <c r="P30" s="38">
        <f>_11・初任</f>
        <v>0.7</v>
      </c>
      <c r="Q30" s="47">
        <f>ROUND((ROUND((ROUND((ROUND((_11_A身体増１．５*_11・基礎１),0)*_11・２人),0)*(1+_11・A早朝)),0)*_11・初任),0)</f>
        <v>153</v>
      </c>
      <c r="R30" s="48"/>
    </row>
    <row r="31" spans="1:18" ht="16.5" customHeight="1" x14ac:dyDescent="0.15">
      <c r="A31" s="41">
        <v>11</v>
      </c>
      <c r="B31" s="41">
        <v>1923</v>
      </c>
      <c r="C31" s="74" t="s">
        <v>2966</v>
      </c>
      <c r="D31" s="707" t="s">
        <v>715</v>
      </c>
      <c r="E31" s="717"/>
      <c r="F31" s="53"/>
      <c r="G31" s="49"/>
      <c r="H31" s="50"/>
      <c r="I31" s="44"/>
      <c r="J31" s="45"/>
      <c r="K31" s="46"/>
      <c r="L31" s="35"/>
      <c r="M31" s="12"/>
      <c r="N31" s="57"/>
      <c r="O31" s="53"/>
      <c r="P31" s="49"/>
      <c r="Q31" s="47">
        <f>ROUND((_11_A身体増２．０*(1+_11・A早朝)),0)</f>
        <v>415</v>
      </c>
      <c r="R31" s="48"/>
    </row>
    <row r="32" spans="1:18" ht="16.5" customHeight="1" x14ac:dyDescent="0.15">
      <c r="A32" s="41">
        <v>11</v>
      </c>
      <c r="B32" s="41">
        <v>1924</v>
      </c>
      <c r="C32" s="74" t="s">
        <v>2967</v>
      </c>
      <c r="D32" s="709"/>
      <c r="E32" s="718"/>
      <c r="F32" s="43"/>
      <c r="G32" s="37"/>
      <c r="H32" s="38"/>
      <c r="I32" s="44" t="s">
        <v>397</v>
      </c>
      <c r="J32" s="45" t="s">
        <v>398</v>
      </c>
      <c r="K32" s="46">
        <v>1</v>
      </c>
      <c r="L32" s="35"/>
      <c r="M32" s="12"/>
      <c r="N32" s="57"/>
      <c r="O32" s="35"/>
      <c r="Q32" s="47">
        <f>ROUND((ROUND((_11_A身体増２．０*_11・２人),0)*(1+_11・A早朝)),0)</f>
        <v>415</v>
      </c>
      <c r="R32" s="48"/>
    </row>
    <row r="33" spans="1:18" ht="16.5" customHeight="1" x14ac:dyDescent="0.15">
      <c r="A33" s="41">
        <v>11</v>
      </c>
      <c r="B33" s="41">
        <v>1925</v>
      </c>
      <c r="C33" s="74" t="s">
        <v>2968</v>
      </c>
      <c r="D33" s="709"/>
      <c r="E33" s="718"/>
      <c r="F33" s="705" t="s">
        <v>400</v>
      </c>
      <c r="G33" s="49" t="s">
        <v>398</v>
      </c>
      <c r="H33" s="50">
        <v>0.7</v>
      </c>
      <c r="I33" s="44"/>
      <c r="J33" s="45"/>
      <c r="K33" s="46"/>
      <c r="L33" s="35"/>
      <c r="M33" s="12"/>
      <c r="N33" s="57"/>
      <c r="O33" s="35"/>
      <c r="Q33" s="47">
        <f>ROUND((ROUND((_11_A身体増２．０*_11・基礎１),0)*(1+_11・A早朝)),0)</f>
        <v>290</v>
      </c>
      <c r="R33" s="48"/>
    </row>
    <row r="34" spans="1:18" ht="16.5" customHeight="1" x14ac:dyDescent="0.15">
      <c r="A34" s="41">
        <v>11</v>
      </c>
      <c r="B34" s="41">
        <v>1926</v>
      </c>
      <c r="C34" s="74" t="s">
        <v>2969</v>
      </c>
      <c r="D34" s="100">
        <f>_11_A身体増２．０</f>
        <v>332</v>
      </c>
      <c r="E34" s="12" t="s">
        <v>392</v>
      </c>
      <c r="F34" s="711"/>
      <c r="G34" s="37"/>
      <c r="H34" s="38"/>
      <c r="I34" s="44" t="s">
        <v>397</v>
      </c>
      <c r="J34" s="45" t="s">
        <v>398</v>
      </c>
      <c r="K34" s="46">
        <v>1</v>
      </c>
      <c r="L34" s="35"/>
      <c r="N34" s="57"/>
      <c r="O34" s="43"/>
      <c r="P34" s="37"/>
      <c r="Q34" s="47">
        <f>ROUND((ROUND((ROUND((_11_A身体増２．０*_11・基礎１),0)*_11・２人),0)*(1+_11・A早朝)),0)</f>
        <v>290</v>
      </c>
      <c r="R34" s="48"/>
    </row>
    <row r="35" spans="1:18" ht="16.5" customHeight="1" x14ac:dyDescent="0.15">
      <c r="A35" s="41">
        <v>11</v>
      </c>
      <c r="B35" s="41" t="s">
        <v>2970</v>
      </c>
      <c r="C35" s="74" t="s">
        <v>2971</v>
      </c>
      <c r="D35" s="121"/>
      <c r="E35" s="99"/>
      <c r="F35" s="53"/>
      <c r="G35" s="49"/>
      <c r="H35" s="50"/>
      <c r="I35" s="44"/>
      <c r="J35" s="45"/>
      <c r="K35" s="46"/>
      <c r="L35" s="35"/>
      <c r="N35" s="57"/>
      <c r="O35" s="707" t="s">
        <v>404</v>
      </c>
      <c r="P35" s="708"/>
      <c r="Q35" s="47">
        <f>ROUND((ROUND((_11_A身体増２．０*(1+_11・A早朝)),0)*_11・初任),0)</f>
        <v>291</v>
      </c>
      <c r="R35" s="48"/>
    </row>
    <row r="36" spans="1:18" ht="16.5" customHeight="1" x14ac:dyDescent="0.15">
      <c r="A36" s="41">
        <v>11</v>
      </c>
      <c r="B36" s="41" t="s">
        <v>2972</v>
      </c>
      <c r="C36" s="74" t="s">
        <v>2973</v>
      </c>
      <c r="D36" s="121"/>
      <c r="E36" s="99"/>
      <c r="F36" s="43"/>
      <c r="G36" s="37"/>
      <c r="H36" s="38"/>
      <c r="I36" s="44" t="s">
        <v>397</v>
      </c>
      <c r="J36" s="45" t="s">
        <v>398</v>
      </c>
      <c r="K36" s="46">
        <v>1</v>
      </c>
      <c r="L36" s="35"/>
      <c r="N36" s="57"/>
      <c r="O36" s="709"/>
      <c r="P36" s="704"/>
      <c r="Q36" s="47">
        <f>ROUND((ROUND((ROUND((_11_A身体増２．０*_11・２人),0)*(1+_11・A早朝)),0)*_11・初任),0)</f>
        <v>291</v>
      </c>
      <c r="R36" s="48"/>
    </row>
    <row r="37" spans="1:18" ht="16.5" customHeight="1" x14ac:dyDescent="0.15">
      <c r="A37" s="41">
        <v>11</v>
      </c>
      <c r="B37" s="41" t="s">
        <v>2974</v>
      </c>
      <c r="C37" s="74" t="s">
        <v>2975</v>
      </c>
      <c r="D37" s="72"/>
      <c r="E37" s="99"/>
      <c r="F37" s="705" t="s">
        <v>400</v>
      </c>
      <c r="G37" s="49" t="s">
        <v>398</v>
      </c>
      <c r="H37" s="50">
        <v>0.7</v>
      </c>
      <c r="I37" s="44"/>
      <c r="J37" s="45"/>
      <c r="K37" s="46"/>
      <c r="L37" s="35"/>
      <c r="N37" s="57"/>
      <c r="O37" s="709"/>
      <c r="P37" s="704"/>
      <c r="Q37" s="47">
        <f>ROUND((ROUND((ROUND((_11_A身体増２．０*_11・基礎１),0)*(1+_11・A早朝)),0)*_11・初任),0)</f>
        <v>203</v>
      </c>
      <c r="R37" s="48"/>
    </row>
    <row r="38" spans="1:18" ht="16.5" customHeight="1" x14ac:dyDescent="0.15">
      <c r="A38" s="41">
        <v>11</v>
      </c>
      <c r="B38" s="41" t="s">
        <v>2976</v>
      </c>
      <c r="C38" s="74" t="s">
        <v>2977</v>
      </c>
      <c r="D38" s="72"/>
      <c r="E38" s="99"/>
      <c r="F38" s="711"/>
      <c r="G38" s="37"/>
      <c r="H38" s="38"/>
      <c r="I38" s="44" t="s">
        <v>397</v>
      </c>
      <c r="J38" s="45" t="s">
        <v>398</v>
      </c>
      <c r="K38" s="46">
        <v>1</v>
      </c>
      <c r="L38" s="35"/>
      <c r="N38" s="57"/>
      <c r="O38" s="55" t="s">
        <v>398</v>
      </c>
      <c r="P38" s="38">
        <f>_11・初任</f>
        <v>0.7</v>
      </c>
      <c r="Q38" s="47">
        <f>ROUND((ROUND((ROUND((ROUND((_11_A身体増２．０*_11・基礎１),0)*_11・２人),0)*(1+_11・A早朝)),0)*_11・初任),0)</f>
        <v>203</v>
      </c>
      <c r="R38" s="48"/>
    </row>
    <row r="39" spans="1:18" ht="16.5" customHeight="1" x14ac:dyDescent="0.15">
      <c r="A39" s="41">
        <v>11</v>
      </c>
      <c r="B39" s="41">
        <v>1927</v>
      </c>
      <c r="C39" s="74" t="s">
        <v>2978</v>
      </c>
      <c r="D39" s="707" t="s">
        <v>728</v>
      </c>
      <c r="E39" s="717"/>
      <c r="F39" s="53"/>
      <c r="G39" s="49"/>
      <c r="H39" s="50"/>
      <c r="I39" s="44"/>
      <c r="J39" s="45"/>
      <c r="K39" s="46"/>
      <c r="L39" s="35"/>
      <c r="N39" s="57"/>
      <c r="O39" s="53"/>
      <c r="P39" s="49"/>
      <c r="Q39" s="47">
        <f>ROUND((_11_A身体増２．５*(1+_11・A早朝)),0)</f>
        <v>519</v>
      </c>
      <c r="R39" s="48"/>
    </row>
    <row r="40" spans="1:18" ht="16.5" customHeight="1" x14ac:dyDescent="0.15">
      <c r="A40" s="41">
        <v>11</v>
      </c>
      <c r="B40" s="41">
        <v>1928</v>
      </c>
      <c r="C40" s="74" t="s">
        <v>2979</v>
      </c>
      <c r="D40" s="709"/>
      <c r="E40" s="718"/>
      <c r="F40" s="43"/>
      <c r="G40" s="37"/>
      <c r="H40" s="38"/>
      <c r="I40" s="44" t="s">
        <v>397</v>
      </c>
      <c r="J40" s="45" t="s">
        <v>398</v>
      </c>
      <c r="K40" s="46">
        <v>1</v>
      </c>
      <c r="L40" s="35"/>
      <c r="N40" s="57"/>
      <c r="O40" s="35"/>
      <c r="Q40" s="47">
        <f>ROUND((ROUND((_11_A身体増２．５*_11・２人),0)*(1+_11・A早朝)),0)</f>
        <v>519</v>
      </c>
      <c r="R40" s="48"/>
    </row>
    <row r="41" spans="1:18" ht="16.5" customHeight="1" x14ac:dyDescent="0.15">
      <c r="A41" s="41">
        <v>11</v>
      </c>
      <c r="B41" s="41">
        <v>1929</v>
      </c>
      <c r="C41" s="74" t="s">
        <v>2980</v>
      </c>
      <c r="D41" s="709"/>
      <c r="E41" s="718"/>
      <c r="F41" s="705" t="s">
        <v>400</v>
      </c>
      <c r="G41" s="49" t="s">
        <v>398</v>
      </c>
      <c r="H41" s="50">
        <v>0.7</v>
      </c>
      <c r="I41" s="44"/>
      <c r="J41" s="45"/>
      <c r="K41" s="46"/>
      <c r="L41" s="35"/>
      <c r="N41" s="57"/>
      <c r="O41" s="35"/>
      <c r="Q41" s="47">
        <f>ROUND((ROUND((_11_A身体増２．５*_11・基礎１),0)*(1+_11・A早朝)),0)</f>
        <v>364</v>
      </c>
      <c r="R41" s="48"/>
    </row>
    <row r="42" spans="1:18" ht="16.5" customHeight="1" x14ac:dyDescent="0.15">
      <c r="A42" s="41">
        <v>11</v>
      </c>
      <c r="B42" s="41">
        <v>1930</v>
      </c>
      <c r="C42" s="74" t="s">
        <v>2981</v>
      </c>
      <c r="D42" s="100">
        <f>_11_A身体増２．５</f>
        <v>415</v>
      </c>
      <c r="E42" s="12" t="s">
        <v>392</v>
      </c>
      <c r="F42" s="711"/>
      <c r="G42" s="37"/>
      <c r="H42" s="38"/>
      <c r="I42" s="44" t="s">
        <v>397</v>
      </c>
      <c r="J42" s="45" t="s">
        <v>398</v>
      </c>
      <c r="K42" s="46">
        <v>1</v>
      </c>
      <c r="L42" s="35"/>
      <c r="N42" s="57"/>
      <c r="O42" s="43"/>
      <c r="P42" s="37"/>
      <c r="Q42" s="47">
        <f>ROUND((ROUND((ROUND((_11_A身体増２．５*_11・基礎１),0)*_11・２人),0)*(1+_11・A早朝)),0)</f>
        <v>364</v>
      </c>
      <c r="R42" s="48"/>
    </row>
    <row r="43" spans="1:18" ht="16.5" customHeight="1" x14ac:dyDescent="0.15">
      <c r="A43" s="41">
        <v>11</v>
      </c>
      <c r="B43" s="41" t="s">
        <v>2982</v>
      </c>
      <c r="C43" s="74" t="s">
        <v>2983</v>
      </c>
      <c r="D43" s="121"/>
      <c r="E43" s="99"/>
      <c r="F43" s="53"/>
      <c r="G43" s="49"/>
      <c r="H43" s="50"/>
      <c r="I43" s="44"/>
      <c r="J43" s="45"/>
      <c r="K43" s="46"/>
      <c r="L43" s="35"/>
      <c r="N43" s="57"/>
      <c r="O43" s="707" t="s">
        <v>404</v>
      </c>
      <c r="P43" s="708"/>
      <c r="Q43" s="47">
        <f>ROUND((ROUND((_11_A身体増２．５*(1+_11・A早朝)),0)*_11・初任),0)</f>
        <v>363</v>
      </c>
      <c r="R43" s="48"/>
    </row>
    <row r="44" spans="1:18" ht="16.5" customHeight="1" x14ac:dyDescent="0.15">
      <c r="A44" s="41">
        <v>11</v>
      </c>
      <c r="B44" s="41" t="s">
        <v>2984</v>
      </c>
      <c r="C44" s="74" t="s">
        <v>2985</v>
      </c>
      <c r="D44" s="121"/>
      <c r="E44" s="99"/>
      <c r="F44" s="43"/>
      <c r="G44" s="37"/>
      <c r="H44" s="38"/>
      <c r="I44" s="44" t="s">
        <v>397</v>
      </c>
      <c r="J44" s="45" t="s">
        <v>398</v>
      </c>
      <c r="K44" s="46">
        <v>1</v>
      </c>
      <c r="L44" s="35"/>
      <c r="N44" s="57"/>
      <c r="O44" s="709"/>
      <c r="P44" s="704"/>
      <c r="Q44" s="47">
        <f>ROUND((ROUND((ROUND((_11_A身体増２．５*_11・２人),0)*(1+_11・A早朝)),0)*_11・初任),0)</f>
        <v>363</v>
      </c>
      <c r="R44" s="48"/>
    </row>
    <row r="45" spans="1:18" ht="16.5" customHeight="1" x14ac:dyDescent="0.15">
      <c r="A45" s="41">
        <v>11</v>
      </c>
      <c r="B45" s="41" t="s">
        <v>2986</v>
      </c>
      <c r="C45" s="74" t="s">
        <v>2987</v>
      </c>
      <c r="D45" s="72"/>
      <c r="E45" s="99"/>
      <c r="F45" s="705" t="s">
        <v>400</v>
      </c>
      <c r="G45" s="49" t="s">
        <v>398</v>
      </c>
      <c r="H45" s="50">
        <v>0.7</v>
      </c>
      <c r="I45" s="44"/>
      <c r="J45" s="45"/>
      <c r="K45" s="46"/>
      <c r="L45" s="35"/>
      <c r="N45" s="57"/>
      <c r="O45" s="709"/>
      <c r="P45" s="704"/>
      <c r="Q45" s="47">
        <f>ROUND((ROUND((ROUND((_11_A身体増２．５*_11・基礎１),0)*(1+_11・A早朝)),0)*_11・初任),0)</f>
        <v>255</v>
      </c>
      <c r="R45" s="48"/>
    </row>
    <row r="46" spans="1:18" ht="16.5" customHeight="1" x14ac:dyDescent="0.15">
      <c r="A46" s="41">
        <v>11</v>
      </c>
      <c r="B46" s="41" t="s">
        <v>2988</v>
      </c>
      <c r="C46" s="74" t="s">
        <v>2989</v>
      </c>
      <c r="D46" s="122"/>
      <c r="E46" s="111"/>
      <c r="F46" s="711"/>
      <c r="G46" s="37"/>
      <c r="H46" s="38"/>
      <c r="I46" s="44" t="s">
        <v>397</v>
      </c>
      <c r="J46" s="45" t="s">
        <v>398</v>
      </c>
      <c r="K46" s="46">
        <v>1</v>
      </c>
      <c r="L46" s="43"/>
      <c r="M46" s="38"/>
      <c r="N46" s="79"/>
      <c r="O46" s="55" t="s">
        <v>398</v>
      </c>
      <c r="P46" s="38">
        <f>_11・初任</f>
        <v>0.7</v>
      </c>
      <c r="Q46" s="47">
        <f>ROUND((ROUND((ROUND((ROUND((_11_A身体増２．５*_11・基礎１),0)*_11・２人),0)*(1+_11・A早朝)),0)*_11・初任),0)</f>
        <v>255</v>
      </c>
      <c r="R46" s="63"/>
    </row>
    <row r="47" spans="1:18" ht="16.5" customHeight="1" x14ac:dyDescent="0.15">
      <c r="A47" s="80"/>
      <c r="B47" s="80"/>
      <c r="C47" s="81"/>
      <c r="F47" s="83"/>
      <c r="Q47" s="84"/>
      <c r="R47" s="85"/>
    </row>
    <row r="48" spans="1:18" ht="16.5" customHeight="1" x14ac:dyDescent="0.15">
      <c r="A48" s="80"/>
      <c r="B48" s="80"/>
      <c r="C48" s="81"/>
      <c r="F48" s="83"/>
      <c r="Q48" s="84"/>
      <c r="R48" s="85"/>
    </row>
    <row r="49" spans="1:18" ht="16.5" customHeight="1" x14ac:dyDescent="0.15">
      <c r="A49" s="80"/>
      <c r="B49" s="86" t="s">
        <v>2990</v>
      </c>
      <c r="C49" s="81"/>
      <c r="D49" s="71"/>
      <c r="F49" s="83"/>
      <c r="Q49" s="84"/>
      <c r="R49" s="85"/>
    </row>
    <row r="50" spans="1:18" ht="16.5" customHeight="1" x14ac:dyDescent="0.15">
      <c r="A50" s="87" t="s">
        <v>384</v>
      </c>
      <c r="B50" s="20"/>
      <c r="C50" s="88" t="s">
        <v>385</v>
      </c>
      <c r="D50" s="23" t="s">
        <v>386</v>
      </c>
      <c r="E50" s="118"/>
      <c r="F50" s="123"/>
      <c r="G50" s="23"/>
      <c r="H50" s="24"/>
      <c r="I50" s="23"/>
      <c r="J50" s="23"/>
      <c r="K50" s="24"/>
      <c r="L50" s="23"/>
      <c r="M50" s="24"/>
      <c r="N50" s="23"/>
      <c r="O50" s="23"/>
      <c r="P50" s="23"/>
      <c r="Q50" s="25" t="s">
        <v>387</v>
      </c>
      <c r="R50" s="21" t="s">
        <v>388</v>
      </c>
    </row>
    <row r="51" spans="1:18" ht="16.5" customHeight="1" x14ac:dyDescent="0.15">
      <c r="A51" s="26" t="s">
        <v>389</v>
      </c>
      <c r="B51" s="26" t="s">
        <v>390</v>
      </c>
      <c r="C51" s="89"/>
      <c r="D51" s="29"/>
      <c r="E51" s="120"/>
      <c r="F51" s="90"/>
      <c r="G51" s="29"/>
      <c r="H51" s="30"/>
      <c r="I51" s="29"/>
      <c r="J51" s="29"/>
      <c r="K51" s="30"/>
      <c r="L51" s="29"/>
      <c r="M51" s="30"/>
      <c r="N51" s="29"/>
      <c r="O51" s="29"/>
      <c r="P51" s="29"/>
      <c r="Q51" s="31" t="s">
        <v>391</v>
      </c>
      <c r="R51" s="32" t="s">
        <v>392</v>
      </c>
    </row>
    <row r="52" spans="1:18" ht="16.5" customHeight="1" x14ac:dyDescent="0.15">
      <c r="A52" s="33">
        <v>11</v>
      </c>
      <c r="B52" s="33">
        <v>1931</v>
      </c>
      <c r="C52" s="34" t="s">
        <v>2991</v>
      </c>
      <c r="D52" s="709" t="s">
        <v>742</v>
      </c>
      <c r="E52" s="718"/>
      <c r="F52" s="91"/>
      <c r="I52" s="36"/>
      <c r="J52" s="37"/>
      <c r="K52" s="38"/>
      <c r="L52" s="72" t="s">
        <v>743</v>
      </c>
      <c r="N52" s="57"/>
      <c r="O52" s="35"/>
      <c r="Q52" s="39">
        <f>ROUND((_11_A身体増０．５*(1+_11・A夜間)),0)</f>
        <v>104</v>
      </c>
      <c r="R52" s="40" t="s">
        <v>863</v>
      </c>
    </row>
    <row r="53" spans="1:18" ht="16.5" customHeight="1" x14ac:dyDescent="0.15">
      <c r="A53" s="41">
        <v>11</v>
      </c>
      <c r="B53" s="41">
        <v>1932</v>
      </c>
      <c r="C53" s="74" t="s">
        <v>2992</v>
      </c>
      <c r="D53" s="709"/>
      <c r="E53" s="718"/>
      <c r="F53" s="94"/>
      <c r="G53" s="37"/>
      <c r="H53" s="38"/>
      <c r="I53" s="44" t="s">
        <v>397</v>
      </c>
      <c r="J53" s="45" t="s">
        <v>398</v>
      </c>
      <c r="K53" s="46">
        <v>1</v>
      </c>
      <c r="L53" s="35" t="s">
        <v>398</v>
      </c>
      <c r="M53" s="13">
        <v>0.25</v>
      </c>
      <c r="N53" s="728" t="s">
        <v>676</v>
      </c>
      <c r="O53" s="35"/>
      <c r="Q53" s="47">
        <f>ROUND((ROUND((_11_A身体増０．５*_11・２人),0)*(1+_11・A夜間)),0)</f>
        <v>104</v>
      </c>
      <c r="R53" s="48"/>
    </row>
    <row r="54" spans="1:18" ht="16.5" customHeight="1" x14ac:dyDescent="0.15">
      <c r="A54" s="41">
        <v>11</v>
      </c>
      <c r="B54" s="41">
        <v>1933</v>
      </c>
      <c r="C54" s="74" t="s">
        <v>2993</v>
      </c>
      <c r="D54" s="709"/>
      <c r="E54" s="718"/>
      <c r="F54" s="705" t="s">
        <v>400</v>
      </c>
      <c r="G54" s="49" t="s">
        <v>398</v>
      </c>
      <c r="H54" s="50">
        <v>0.7</v>
      </c>
      <c r="I54" s="44"/>
      <c r="J54" s="45"/>
      <c r="K54" s="46"/>
      <c r="L54" s="35"/>
      <c r="N54" s="728"/>
      <c r="O54" s="35"/>
      <c r="Q54" s="47">
        <f>ROUND((ROUND((_11_A身体増０．５*_11・基礎１),0)*(1+_11・A夜間)),0)</f>
        <v>73</v>
      </c>
      <c r="R54" s="48"/>
    </row>
    <row r="55" spans="1:18" ht="16.5" customHeight="1" x14ac:dyDescent="0.15">
      <c r="A55" s="41">
        <v>11</v>
      </c>
      <c r="B55" s="41">
        <v>1934</v>
      </c>
      <c r="C55" s="74" t="s">
        <v>2994</v>
      </c>
      <c r="D55" s="100">
        <f>_11_A身体増０．５</f>
        <v>83</v>
      </c>
      <c r="E55" s="12" t="s">
        <v>392</v>
      </c>
      <c r="F55" s="723"/>
      <c r="G55" s="37"/>
      <c r="H55" s="38"/>
      <c r="I55" s="44" t="s">
        <v>397</v>
      </c>
      <c r="J55" s="45" t="s">
        <v>398</v>
      </c>
      <c r="K55" s="46">
        <v>1</v>
      </c>
      <c r="L55" s="35"/>
      <c r="N55" s="57"/>
      <c r="O55" s="43"/>
      <c r="P55" s="37"/>
      <c r="Q55" s="47">
        <f>ROUND((ROUND((ROUND((_11_A身体増０．５*_11・基礎１),0)*_11・２人),0)*(1+_11・A夜間)),0)</f>
        <v>73</v>
      </c>
      <c r="R55" s="48"/>
    </row>
    <row r="56" spans="1:18" ht="16.5" customHeight="1" x14ac:dyDescent="0.15">
      <c r="A56" s="41">
        <v>11</v>
      </c>
      <c r="B56" s="41" t="s">
        <v>2995</v>
      </c>
      <c r="C56" s="74" t="s">
        <v>2996</v>
      </c>
      <c r="D56" s="121"/>
      <c r="E56" s="99"/>
      <c r="F56" s="96"/>
      <c r="G56" s="49"/>
      <c r="H56" s="50"/>
      <c r="I56" s="44"/>
      <c r="J56" s="45"/>
      <c r="K56" s="46"/>
      <c r="L56" s="35"/>
      <c r="N56" s="57"/>
      <c r="O56" s="707" t="s">
        <v>404</v>
      </c>
      <c r="P56" s="708"/>
      <c r="Q56" s="47">
        <f>ROUND((ROUND((_11_A身体増０．５*(1+_11・A夜間)),0)*_11・初任),0)</f>
        <v>73</v>
      </c>
      <c r="R56" s="48"/>
    </row>
    <row r="57" spans="1:18" ht="16.5" customHeight="1" x14ac:dyDescent="0.15">
      <c r="A57" s="41">
        <v>11</v>
      </c>
      <c r="B57" s="41" t="s">
        <v>2997</v>
      </c>
      <c r="C57" s="74" t="s">
        <v>2998</v>
      </c>
      <c r="D57" s="121"/>
      <c r="E57" s="99"/>
      <c r="F57" s="94"/>
      <c r="G57" s="37"/>
      <c r="H57" s="38"/>
      <c r="I57" s="44" t="s">
        <v>397</v>
      </c>
      <c r="J57" s="45" t="s">
        <v>398</v>
      </c>
      <c r="K57" s="46">
        <v>1</v>
      </c>
      <c r="L57" s="35"/>
      <c r="N57" s="57"/>
      <c r="O57" s="709"/>
      <c r="P57" s="704"/>
      <c r="Q57" s="47">
        <f>ROUND((ROUND((ROUND((_11_A身体増０．５*_11・２人),0)*(1+_11・A夜間)),0)*_11・初任),0)</f>
        <v>73</v>
      </c>
      <c r="R57" s="48"/>
    </row>
    <row r="58" spans="1:18" ht="16.5" customHeight="1" x14ac:dyDescent="0.15">
      <c r="A58" s="41">
        <v>11</v>
      </c>
      <c r="B58" s="41" t="s">
        <v>2999</v>
      </c>
      <c r="C58" s="74" t="s">
        <v>3000</v>
      </c>
      <c r="D58" s="72"/>
      <c r="E58" s="99"/>
      <c r="F58" s="705" t="s">
        <v>400</v>
      </c>
      <c r="G58" s="49" t="s">
        <v>398</v>
      </c>
      <c r="H58" s="50">
        <v>0.7</v>
      </c>
      <c r="I58" s="44"/>
      <c r="J58" s="45"/>
      <c r="K58" s="46"/>
      <c r="L58" s="35"/>
      <c r="N58" s="57"/>
      <c r="O58" s="709"/>
      <c r="P58" s="704"/>
      <c r="Q58" s="47">
        <f>ROUND((ROUND((ROUND((_11_A身体増０．５*_11・基礎１),0)*(1+_11・A夜間)),0)*_11・初任),0)</f>
        <v>51</v>
      </c>
      <c r="R58" s="48"/>
    </row>
    <row r="59" spans="1:18" ht="16.5" customHeight="1" x14ac:dyDescent="0.15">
      <c r="A59" s="41">
        <v>11</v>
      </c>
      <c r="B59" s="41" t="s">
        <v>3001</v>
      </c>
      <c r="C59" s="74" t="s">
        <v>3002</v>
      </c>
      <c r="D59" s="72"/>
      <c r="E59" s="99"/>
      <c r="F59" s="723"/>
      <c r="G59" s="37"/>
      <c r="H59" s="38"/>
      <c r="I59" s="44" t="s">
        <v>397</v>
      </c>
      <c r="J59" s="45" t="s">
        <v>398</v>
      </c>
      <c r="K59" s="46">
        <v>1</v>
      </c>
      <c r="L59" s="35"/>
      <c r="N59" s="57"/>
      <c r="O59" s="55" t="s">
        <v>398</v>
      </c>
      <c r="P59" s="38">
        <f>_11・初任</f>
        <v>0.7</v>
      </c>
      <c r="Q59" s="47">
        <f>ROUND((ROUND((ROUND((ROUND((_11_A身体増０．５*_11・基礎１),0)*_11・２人),0)*(1+_11・A夜間)),0)*_11・初任),0)</f>
        <v>51</v>
      </c>
      <c r="R59" s="48"/>
    </row>
    <row r="60" spans="1:18" ht="16.5" customHeight="1" x14ac:dyDescent="0.15">
      <c r="A60" s="41">
        <v>11</v>
      </c>
      <c r="B60" s="41">
        <v>1935</v>
      </c>
      <c r="C60" s="74" t="s">
        <v>3003</v>
      </c>
      <c r="D60" s="707" t="s">
        <v>756</v>
      </c>
      <c r="E60" s="717"/>
      <c r="F60" s="96"/>
      <c r="G60" s="49"/>
      <c r="H60" s="50"/>
      <c r="I60" s="44"/>
      <c r="J60" s="45"/>
      <c r="K60" s="46"/>
      <c r="L60" s="72"/>
      <c r="N60" s="57"/>
      <c r="O60" s="53"/>
      <c r="P60" s="49"/>
      <c r="Q60" s="47">
        <f>ROUND((_11_A身体増１．０*(1+_11・A夜間)),0)</f>
        <v>208</v>
      </c>
      <c r="R60" s="48"/>
    </row>
    <row r="61" spans="1:18" ht="16.5" customHeight="1" x14ac:dyDescent="0.15">
      <c r="A61" s="41">
        <v>11</v>
      </c>
      <c r="B61" s="41">
        <v>1936</v>
      </c>
      <c r="C61" s="74" t="s">
        <v>3004</v>
      </c>
      <c r="D61" s="709"/>
      <c r="E61" s="718"/>
      <c r="F61" s="94"/>
      <c r="G61" s="37"/>
      <c r="H61" s="38"/>
      <c r="I61" s="44" t="s">
        <v>397</v>
      </c>
      <c r="J61" s="45" t="s">
        <v>398</v>
      </c>
      <c r="K61" s="46">
        <v>1</v>
      </c>
      <c r="L61" s="35"/>
      <c r="N61" s="145"/>
      <c r="O61" s="35"/>
      <c r="Q61" s="47">
        <f>ROUND((ROUND((_11_A身体増１．０*_11・２人),0)*(1+_11・A夜間)),0)</f>
        <v>208</v>
      </c>
      <c r="R61" s="48"/>
    </row>
    <row r="62" spans="1:18" ht="16.5" customHeight="1" x14ac:dyDescent="0.15">
      <c r="A62" s="41">
        <v>11</v>
      </c>
      <c r="B62" s="41">
        <v>1937</v>
      </c>
      <c r="C62" s="74" t="s">
        <v>3005</v>
      </c>
      <c r="D62" s="709"/>
      <c r="E62" s="718"/>
      <c r="F62" s="705" t="s">
        <v>400</v>
      </c>
      <c r="G62" s="49" t="s">
        <v>398</v>
      </c>
      <c r="H62" s="50">
        <v>0.7</v>
      </c>
      <c r="I62" s="44"/>
      <c r="J62" s="45"/>
      <c r="K62" s="46"/>
      <c r="L62" s="35"/>
      <c r="N62" s="145"/>
      <c r="O62" s="35"/>
      <c r="Q62" s="47">
        <f>ROUND((ROUND((_11_A身体増１．０*_11・基礎１),0)*(1+_11・A夜間)),0)</f>
        <v>145</v>
      </c>
      <c r="R62" s="48"/>
    </row>
    <row r="63" spans="1:18" ht="16.5" customHeight="1" x14ac:dyDescent="0.15">
      <c r="A63" s="41">
        <v>11</v>
      </c>
      <c r="B63" s="41">
        <v>1938</v>
      </c>
      <c r="C63" s="74" t="s">
        <v>3006</v>
      </c>
      <c r="D63" s="100">
        <f>_11_A身体増１．０</f>
        <v>166</v>
      </c>
      <c r="E63" s="12" t="s">
        <v>392</v>
      </c>
      <c r="F63" s="723"/>
      <c r="G63" s="37"/>
      <c r="H63" s="38"/>
      <c r="I63" s="44" t="s">
        <v>397</v>
      </c>
      <c r="J63" s="45" t="s">
        <v>398</v>
      </c>
      <c r="K63" s="46">
        <v>1</v>
      </c>
      <c r="L63" s="35"/>
      <c r="N63" s="57"/>
      <c r="O63" s="43"/>
      <c r="P63" s="37"/>
      <c r="Q63" s="47">
        <f>ROUND((ROUND((ROUND((_11_A身体増１．０*_11・基礎１),0)*_11・２人),0)*(1+_11・A夜間)),0)</f>
        <v>145</v>
      </c>
      <c r="R63" s="48"/>
    </row>
    <row r="64" spans="1:18" ht="16.5" customHeight="1" x14ac:dyDescent="0.15">
      <c r="A64" s="41">
        <v>11</v>
      </c>
      <c r="B64" s="41" t="s">
        <v>3007</v>
      </c>
      <c r="C64" s="74" t="s">
        <v>3008</v>
      </c>
      <c r="D64" s="121"/>
      <c r="E64" s="99"/>
      <c r="F64" s="96"/>
      <c r="G64" s="49"/>
      <c r="H64" s="50"/>
      <c r="I64" s="44"/>
      <c r="J64" s="45"/>
      <c r="K64" s="46"/>
      <c r="L64" s="35"/>
      <c r="N64" s="57"/>
      <c r="O64" s="707" t="s">
        <v>404</v>
      </c>
      <c r="P64" s="708"/>
      <c r="Q64" s="47">
        <f>ROUND((ROUND((_11_A身体増１．０*(1+_11・A夜間)),0)*_11・初任),0)</f>
        <v>146</v>
      </c>
      <c r="R64" s="48"/>
    </row>
    <row r="65" spans="1:18" ht="16.5" customHeight="1" x14ac:dyDescent="0.15">
      <c r="A65" s="41">
        <v>11</v>
      </c>
      <c r="B65" s="41" t="s">
        <v>3009</v>
      </c>
      <c r="C65" s="74" t="s">
        <v>3010</v>
      </c>
      <c r="D65" s="121"/>
      <c r="E65" s="99"/>
      <c r="F65" s="94"/>
      <c r="G65" s="37"/>
      <c r="H65" s="38"/>
      <c r="I65" s="44" t="s">
        <v>397</v>
      </c>
      <c r="J65" s="45" t="s">
        <v>398</v>
      </c>
      <c r="K65" s="46">
        <v>1</v>
      </c>
      <c r="L65" s="35"/>
      <c r="N65" s="57"/>
      <c r="O65" s="709"/>
      <c r="P65" s="704"/>
      <c r="Q65" s="47">
        <f>ROUND((ROUND((ROUND((_11_A身体増１．０*_11・２人),0)*(1+_11・A夜間)),0)*_11・初任),0)</f>
        <v>146</v>
      </c>
      <c r="R65" s="48"/>
    </row>
    <row r="66" spans="1:18" ht="16.5" customHeight="1" x14ac:dyDescent="0.15">
      <c r="A66" s="41">
        <v>11</v>
      </c>
      <c r="B66" s="41" t="s">
        <v>3011</v>
      </c>
      <c r="C66" s="74" t="s">
        <v>3012</v>
      </c>
      <c r="D66" s="72"/>
      <c r="E66" s="99"/>
      <c r="F66" s="705" t="s">
        <v>400</v>
      </c>
      <c r="G66" s="49" t="s">
        <v>398</v>
      </c>
      <c r="H66" s="50">
        <v>0.7</v>
      </c>
      <c r="I66" s="44"/>
      <c r="J66" s="45"/>
      <c r="K66" s="46"/>
      <c r="L66" s="35"/>
      <c r="N66" s="57"/>
      <c r="O66" s="709"/>
      <c r="P66" s="704"/>
      <c r="Q66" s="47">
        <f>ROUND((ROUND((ROUND((_11_A身体増１．０*_11・基礎１),0)*(1+_11・A夜間)),0)*_11・初任),0)</f>
        <v>102</v>
      </c>
      <c r="R66" s="48"/>
    </row>
    <row r="67" spans="1:18" ht="16.5" customHeight="1" x14ac:dyDescent="0.15">
      <c r="A67" s="41">
        <v>11</v>
      </c>
      <c r="B67" s="41" t="s">
        <v>3013</v>
      </c>
      <c r="C67" s="74" t="s">
        <v>3014</v>
      </c>
      <c r="D67" s="72"/>
      <c r="E67" s="99"/>
      <c r="F67" s="723"/>
      <c r="G67" s="37"/>
      <c r="H67" s="38"/>
      <c r="I67" s="44" t="s">
        <v>397</v>
      </c>
      <c r="J67" s="45" t="s">
        <v>398</v>
      </c>
      <c r="K67" s="46">
        <v>1</v>
      </c>
      <c r="L67" s="35"/>
      <c r="N67" s="57"/>
      <c r="O67" s="55" t="s">
        <v>398</v>
      </c>
      <c r="P67" s="38">
        <f>_11・初任</f>
        <v>0.7</v>
      </c>
      <c r="Q67" s="47">
        <f>ROUND((ROUND((ROUND((ROUND((_11_A身体増１．０*_11・基礎１),0)*_11・２人),0)*(1+_11・A夜間)),0)*_11・初任),0)</f>
        <v>102</v>
      </c>
      <c r="R67" s="48"/>
    </row>
    <row r="68" spans="1:18" ht="16.5" customHeight="1" x14ac:dyDescent="0.15">
      <c r="A68" s="41">
        <v>11</v>
      </c>
      <c r="B68" s="41">
        <v>1939</v>
      </c>
      <c r="C68" s="74" t="s">
        <v>3015</v>
      </c>
      <c r="D68" s="707" t="s">
        <v>1732</v>
      </c>
      <c r="E68" s="717"/>
      <c r="F68" s="96"/>
      <c r="G68" s="49"/>
      <c r="H68" s="50"/>
      <c r="I68" s="44"/>
      <c r="J68" s="45"/>
      <c r="K68" s="46"/>
      <c r="L68" s="35"/>
      <c r="N68" s="57"/>
      <c r="O68" s="53"/>
      <c r="P68" s="49"/>
      <c r="Q68" s="47">
        <f>ROUND((_11_A身体増１．５*(1+_11・A夜間)),0)</f>
        <v>311</v>
      </c>
      <c r="R68" s="48"/>
    </row>
    <row r="69" spans="1:18" ht="16.5" customHeight="1" x14ac:dyDescent="0.15">
      <c r="A69" s="41">
        <v>11</v>
      </c>
      <c r="B69" s="41">
        <v>1940</v>
      </c>
      <c r="C69" s="74" t="s">
        <v>3016</v>
      </c>
      <c r="D69" s="709"/>
      <c r="E69" s="718"/>
      <c r="F69" s="94"/>
      <c r="G69" s="37"/>
      <c r="H69" s="38"/>
      <c r="I69" s="44" t="s">
        <v>397</v>
      </c>
      <c r="J69" s="45" t="s">
        <v>398</v>
      </c>
      <c r="K69" s="46">
        <v>1</v>
      </c>
      <c r="L69" s="35"/>
      <c r="N69" s="57"/>
      <c r="O69" s="35"/>
      <c r="Q69" s="47">
        <f>ROUND((ROUND((_11_A身体増１．５*_11・２人),0)*(1+_11・A夜間)),0)</f>
        <v>311</v>
      </c>
      <c r="R69" s="48"/>
    </row>
    <row r="70" spans="1:18" ht="16.5" customHeight="1" x14ac:dyDescent="0.15">
      <c r="A70" s="41">
        <v>11</v>
      </c>
      <c r="B70" s="41">
        <v>1941</v>
      </c>
      <c r="C70" s="74" t="s">
        <v>3017</v>
      </c>
      <c r="D70" s="709"/>
      <c r="E70" s="718"/>
      <c r="F70" s="705" t="s">
        <v>400</v>
      </c>
      <c r="G70" s="49" t="s">
        <v>398</v>
      </c>
      <c r="H70" s="50">
        <v>0.7</v>
      </c>
      <c r="I70" s="44"/>
      <c r="J70" s="45"/>
      <c r="K70" s="46"/>
      <c r="L70" s="35"/>
      <c r="N70" s="57"/>
      <c r="O70" s="35"/>
      <c r="Q70" s="47">
        <f>ROUND((ROUND((_11_A身体増１．５*_11・基礎１),0)*(1+_11・A夜間)),0)</f>
        <v>218</v>
      </c>
      <c r="R70" s="48"/>
    </row>
    <row r="71" spans="1:18" ht="16.5" customHeight="1" x14ac:dyDescent="0.15">
      <c r="A71" s="41">
        <v>11</v>
      </c>
      <c r="B71" s="41">
        <v>1942</v>
      </c>
      <c r="C71" s="74" t="s">
        <v>3018</v>
      </c>
      <c r="D71" s="100">
        <f>_11_A身体増１．５</f>
        <v>249</v>
      </c>
      <c r="E71" s="12" t="s">
        <v>392</v>
      </c>
      <c r="F71" s="723"/>
      <c r="G71" s="37"/>
      <c r="H71" s="38"/>
      <c r="I71" s="44" t="s">
        <v>397</v>
      </c>
      <c r="J71" s="45" t="s">
        <v>398</v>
      </c>
      <c r="K71" s="46">
        <v>1</v>
      </c>
      <c r="L71" s="35"/>
      <c r="N71" s="57"/>
      <c r="O71" s="43"/>
      <c r="P71" s="37"/>
      <c r="Q71" s="47">
        <f>ROUND((ROUND((ROUND((_11_A身体増１．５*_11・基礎１),0)*_11・２人),0)*(1+_11・A夜間)),0)</f>
        <v>218</v>
      </c>
      <c r="R71" s="48"/>
    </row>
    <row r="72" spans="1:18" ht="16.5" customHeight="1" x14ac:dyDescent="0.15">
      <c r="A72" s="41">
        <v>11</v>
      </c>
      <c r="B72" s="41" t="s">
        <v>3019</v>
      </c>
      <c r="C72" s="74" t="s">
        <v>3020</v>
      </c>
      <c r="D72" s="121"/>
      <c r="E72" s="99"/>
      <c r="F72" s="96"/>
      <c r="G72" s="49"/>
      <c r="H72" s="50"/>
      <c r="I72" s="44"/>
      <c r="J72" s="45"/>
      <c r="K72" s="46"/>
      <c r="L72" s="35"/>
      <c r="N72" s="57"/>
      <c r="O72" s="707" t="s">
        <v>404</v>
      </c>
      <c r="P72" s="708"/>
      <c r="Q72" s="47">
        <f>ROUND((ROUND((_11_A身体増１．５*(1+_11・A夜間)),0)*_11・初任),0)</f>
        <v>218</v>
      </c>
      <c r="R72" s="48"/>
    </row>
    <row r="73" spans="1:18" ht="16.5" customHeight="1" x14ac:dyDescent="0.15">
      <c r="A73" s="41">
        <v>11</v>
      </c>
      <c r="B73" s="41" t="s">
        <v>3021</v>
      </c>
      <c r="C73" s="74" t="s">
        <v>3022</v>
      </c>
      <c r="D73" s="121"/>
      <c r="E73" s="99"/>
      <c r="F73" s="94"/>
      <c r="G73" s="37"/>
      <c r="H73" s="38"/>
      <c r="I73" s="44" t="s">
        <v>397</v>
      </c>
      <c r="J73" s="45" t="s">
        <v>398</v>
      </c>
      <c r="K73" s="46">
        <v>1</v>
      </c>
      <c r="L73" s="35"/>
      <c r="N73" s="57"/>
      <c r="O73" s="709"/>
      <c r="P73" s="704"/>
      <c r="Q73" s="47">
        <f>ROUND((ROUND((ROUND((_11_A身体増１．５*_11・２人),0)*(1+_11・A夜間)),0)*_11・初任),0)</f>
        <v>218</v>
      </c>
      <c r="R73" s="48"/>
    </row>
    <row r="74" spans="1:18" ht="16.5" customHeight="1" x14ac:dyDescent="0.15">
      <c r="A74" s="41">
        <v>11</v>
      </c>
      <c r="B74" s="41" t="s">
        <v>3023</v>
      </c>
      <c r="C74" s="74" t="s">
        <v>3024</v>
      </c>
      <c r="D74" s="72"/>
      <c r="E74" s="99"/>
      <c r="F74" s="705" t="s">
        <v>400</v>
      </c>
      <c r="G74" s="49" t="s">
        <v>398</v>
      </c>
      <c r="H74" s="50">
        <v>0.7</v>
      </c>
      <c r="I74" s="44"/>
      <c r="J74" s="45"/>
      <c r="K74" s="46"/>
      <c r="L74" s="35"/>
      <c r="N74" s="57"/>
      <c r="O74" s="709"/>
      <c r="P74" s="704"/>
      <c r="Q74" s="47">
        <f>ROUND((ROUND((ROUND((_11_A身体増１．５*_11・基礎１),0)*(1+_11・A夜間)),0)*_11・初任),0)</f>
        <v>153</v>
      </c>
      <c r="R74" s="48"/>
    </row>
    <row r="75" spans="1:18" ht="16.5" customHeight="1" x14ac:dyDescent="0.15">
      <c r="A75" s="41">
        <v>11</v>
      </c>
      <c r="B75" s="41" t="s">
        <v>3025</v>
      </c>
      <c r="C75" s="74" t="s">
        <v>3026</v>
      </c>
      <c r="D75" s="122"/>
      <c r="E75" s="111"/>
      <c r="F75" s="723"/>
      <c r="G75" s="37"/>
      <c r="H75" s="38"/>
      <c r="I75" s="44" t="s">
        <v>397</v>
      </c>
      <c r="J75" s="45" t="s">
        <v>398</v>
      </c>
      <c r="K75" s="46">
        <v>1</v>
      </c>
      <c r="L75" s="35"/>
      <c r="N75" s="57"/>
      <c r="O75" s="55" t="s">
        <v>398</v>
      </c>
      <c r="P75" s="38">
        <f>_11・初任</f>
        <v>0.7</v>
      </c>
      <c r="Q75" s="47">
        <f>ROUND((ROUND((ROUND((ROUND((_11_A身体増１．５*_11・基礎１),0)*_11・２人),0)*(1+_11・A夜間)),0)*_11・初任),0)</f>
        <v>153</v>
      </c>
      <c r="R75" s="48"/>
    </row>
    <row r="76" spans="1:18" ht="16.5" customHeight="1" x14ac:dyDescent="0.15">
      <c r="A76" s="33">
        <v>11</v>
      </c>
      <c r="B76" s="33">
        <v>1943</v>
      </c>
      <c r="C76" s="34" t="s">
        <v>3027</v>
      </c>
      <c r="D76" s="709" t="s">
        <v>782</v>
      </c>
      <c r="E76" s="718"/>
      <c r="F76" s="91"/>
      <c r="I76" s="36"/>
      <c r="J76" s="37"/>
      <c r="K76" s="38"/>
      <c r="L76" s="35"/>
      <c r="N76" s="57"/>
      <c r="O76" s="35"/>
      <c r="Q76" s="39">
        <f>ROUND((_11_A身体増２．０*(1+_11・A夜間)),0)</f>
        <v>415</v>
      </c>
      <c r="R76" s="48"/>
    </row>
    <row r="77" spans="1:18" ht="16.5" customHeight="1" x14ac:dyDescent="0.15">
      <c r="A77" s="41">
        <v>11</v>
      </c>
      <c r="B77" s="41">
        <v>1944</v>
      </c>
      <c r="C77" s="74" t="s">
        <v>3028</v>
      </c>
      <c r="D77" s="709"/>
      <c r="E77" s="718"/>
      <c r="F77" s="94"/>
      <c r="G77" s="37"/>
      <c r="H77" s="38"/>
      <c r="I77" s="44" t="s">
        <v>397</v>
      </c>
      <c r="J77" s="45" t="s">
        <v>398</v>
      </c>
      <c r="K77" s="46">
        <v>1</v>
      </c>
      <c r="L77" s="35"/>
      <c r="N77" s="57"/>
      <c r="O77" s="35"/>
      <c r="Q77" s="47">
        <f>ROUND((ROUND((_11_A身体増２．０*_11・２人),0)*(1+_11・A夜間)),0)</f>
        <v>415</v>
      </c>
      <c r="R77" s="48"/>
    </row>
    <row r="78" spans="1:18" ht="16.5" customHeight="1" x14ac:dyDescent="0.15">
      <c r="A78" s="41">
        <v>11</v>
      </c>
      <c r="B78" s="41">
        <v>1945</v>
      </c>
      <c r="C78" s="74" t="s">
        <v>3029</v>
      </c>
      <c r="D78" s="709"/>
      <c r="E78" s="718"/>
      <c r="F78" s="705" t="s">
        <v>400</v>
      </c>
      <c r="G78" s="49" t="s">
        <v>398</v>
      </c>
      <c r="H78" s="50">
        <v>0.7</v>
      </c>
      <c r="I78" s="44"/>
      <c r="J78" s="45"/>
      <c r="K78" s="46"/>
      <c r="L78" s="35"/>
      <c r="N78" s="57"/>
      <c r="O78" s="35"/>
      <c r="Q78" s="47">
        <f>ROUND((ROUND((_11_A身体増２．０*_11・基礎１),0)*(1+_11・A夜間)),0)</f>
        <v>290</v>
      </c>
      <c r="R78" s="48"/>
    </row>
    <row r="79" spans="1:18" ht="16.5" customHeight="1" x14ac:dyDescent="0.15">
      <c r="A79" s="41">
        <v>11</v>
      </c>
      <c r="B79" s="41">
        <v>1946</v>
      </c>
      <c r="C79" s="74" t="s">
        <v>3030</v>
      </c>
      <c r="D79" s="100">
        <f>_11_A身体増２．０</f>
        <v>332</v>
      </c>
      <c r="E79" s="12" t="s">
        <v>392</v>
      </c>
      <c r="F79" s="723"/>
      <c r="G79" s="37"/>
      <c r="H79" s="38"/>
      <c r="I79" s="44" t="s">
        <v>397</v>
      </c>
      <c r="J79" s="45" t="s">
        <v>398</v>
      </c>
      <c r="K79" s="46">
        <v>1</v>
      </c>
      <c r="L79" s="35"/>
      <c r="N79" s="57"/>
      <c r="O79" s="43"/>
      <c r="P79" s="37"/>
      <c r="Q79" s="47">
        <f>ROUND((ROUND((ROUND((_11_A身体増２．０*_11・基礎１),0)*_11・２人),0)*(1+_11・A夜間)),0)</f>
        <v>290</v>
      </c>
      <c r="R79" s="48"/>
    </row>
    <row r="80" spans="1:18" ht="16.5" customHeight="1" x14ac:dyDescent="0.15">
      <c r="A80" s="41">
        <v>11</v>
      </c>
      <c r="B80" s="41" t="s">
        <v>3031</v>
      </c>
      <c r="C80" s="74" t="s">
        <v>3032</v>
      </c>
      <c r="D80" s="121"/>
      <c r="E80" s="99"/>
      <c r="F80" s="96"/>
      <c r="G80" s="49"/>
      <c r="H80" s="50"/>
      <c r="I80" s="44"/>
      <c r="J80" s="45"/>
      <c r="K80" s="46"/>
      <c r="L80" s="35"/>
      <c r="N80" s="57"/>
      <c r="O80" s="707" t="s">
        <v>404</v>
      </c>
      <c r="P80" s="708"/>
      <c r="Q80" s="47">
        <f>ROUND((ROUND((_11_A身体増２．０*(1+_11・A夜間)),0)*_11・初任),0)</f>
        <v>291</v>
      </c>
      <c r="R80" s="48"/>
    </row>
    <row r="81" spans="1:18" ht="16.5" customHeight="1" x14ac:dyDescent="0.15">
      <c r="A81" s="41">
        <v>11</v>
      </c>
      <c r="B81" s="41" t="s">
        <v>3033</v>
      </c>
      <c r="C81" s="74" t="s">
        <v>3034</v>
      </c>
      <c r="D81" s="121"/>
      <c r="E81" s="99"/>
      <c r="F81" s="94"/>
      <c r="G81" s="37"/>
      <c r="H81" s="38"/>
      <c r="I81" s="44" t="s">
        <v>397</v>
      </c>
      <c r="J81" s="45" t="s">
        <v>398</v>
      </c>
      <c r="K81" s="46">
        <v>1</v>
      </c>
      <c r="L81" s="35"/>
      <c r="N81" s="57"/>
      <c r="O81" s="709"/>
      <c r="P81" s="704"/>
      <c r="Q81" s="47">
        <f>ROUND((ROUND((ROUND((_11_A身体増２．０*_11・２人),0)*(1+_11・A夜間)),0)*_11・初任),0)</f>
        <v>291</v>
      </c>
      <c r="R81" s="48"/>
    </row>
    <row r="82" spans="1:18" ht="16.5" customHeight="1" x14ac:dyDescent="0.15">
      <c r="A82" s="41">
        <v>11</v>
      </c>
      <c r="B82" s="41" t="s">
        <v>3035</v>
      </c>
      <c r="C82" s="74" t="s">
        <v>3036</v>
      </c>
      <c r="D82" s="72"/>
      <c r="E82" s="99"/>
      <c r="F82" s="705" t="s">
        <v>400</v>
      </c>
      <c r="G82" s="49" t="s">
        <v>398</v>
      </c>
      <c r="H82" s="50">
        <v>0.7</v>
      </c>
      <c r="I82" s="44"/>
      <c r="J82" s="45"/>
      <c r="K82" s="46"/>
      <c r="L82" s="35"/>
      <c r="N82" s="57"/>
      <c r="O82" s="709"/>
      <c r="P82" s="704"/>
      <c r="Q82" s="47">
        <f>ROUND((ROUND((ROUND((_11_A身体増２．０*_11・基礎１),0)*(1+_11・A夜間)),0)*_11・初任),0)</f>
        <v>203</v>
      </c>
      <c r="R82" s="48"/>
    </row>
    <row r="83" spans="1:18" ht="16.5" customHeight="1" x14ac:dyDescent="0.15">
      <c r="A83" s="41">
        <v>11</v>
      </c>
      <c r="B83" s="41" t="s">
        <v>3037</v>
      </c>
      <c r="C83" s="74" t="s">
        <v>3038</v>
      </c>
      <c r="D83" s="122"/>
      <c r="E83" s="111"/>
      <c r="F83" s="723"/>
      <c r="G83" s="37"/>
      <c r="H83" s="38"/>
      <c r="I83" s="44" t="s">
        <v>397</v>
      </c>
      <c r="J83" s="45" t="s">
        <v>398</v>
      </c>
      <c r="K83" s="46">
        <v>1</v>
      </c>
      <c r="L83" s="43"/>
      <c r="M83" s="38"/>
      <c r="N83" s="79"/>
      <c r="O83" s="55" t="s">
        <v>398</v>
      </c>
      <c r="P83" s="38">
        <f>_11・初任</f>
        <v>0.7</v>
      </c>
      <c r="Q83" s="47">
        <f>ROUND((ROUND((ROUND((ROUND((_11_A身体増２．０*_11・基礎１),0)*_11・２人),0)*(1+_11・A夜間)),0)*_11・初任),0)</f>
        <v>203</v>
      </c>
      <c r="R83" s="63"/>
    </row>
    <row r="84" spans="1:18" ht="16.5" customHeight="1" x14ac:dyDescent="0.15">
      <c r="A84" s="41">
        <v>11</v>
      </c>
      <c r="B84" s="41">
        <v>1947</v>
      </c>
      <c r="C84" s="74" t="s">
        <v>3039</v>
      </c>
      <c r="D84" s="707" t="s">
        <v>795</v>
      </c>
      <c r="E84" s="717"/>
      <c r="F84" s="96"/>
      <c r="G84" s="49"/>
      <c r="H84" s="50"/>
      <c r="I84" s="44"/>
      <c r="J84" s="45"/>
      <c r="K84" s="46"/>
      <c r="L84" s="72" t="s">
        <v>743</v>
      </c>
      <c r="N84" s="57"/>
      <c r="O84" s="35"/>
      <c r="Q84" s="39">
        <f>ROUND((_11_A身体増２．５*(1+_11・A夜間)),0)</f>
        <v>519</v>
      </c>
      <c r="R84" s="48"/>
    </row>
    <row r="85" spans="1:18" ht="16.5" customHeight="1" x14ac:dyDescent="0.15">
      <c r="A85" s="41">
        <v>11</v>
      </c>
      <c r="B85" s="41">
        <v>1948</v>
      </c>
      <c r="C85" s="74" t="s">
        <v>3040</v>
      </c>
      <c r="D85" s="709"/>
      <c r="E85" s="718"/>
      <c r="F85" s="94"/>
      <c r="G85" s="37"/>
      <c r="H85" s="38"/>
      <c r="I85" s="44" t="s">
        <v>397</v>
      </c>
      <c r="J85" s="45" t="s">
        <v>398</v>
      </c>
      <c r="K85" s="46">
        <v>1</v>
      </c>
      <c r="L85" s="35" t="s">
        <v>398</v>
      </c>
      <c r="M85" s="13">
        <v>0.25</v>
      </c>
      <c r="N85" s="728" t="s">
        <v>676</v>
      </c>
      <c r="O85" s="35"/>
      <c r="Q85" s="47">
        <f>ROUND((ROUND((_11_A身体増２．５*_11・２人),0)*(1+_11・A夜間)),0)</f>
        <v>519</v>
      </c>
      <c r="R85" s="48"/>
    </row>
    <row r="86" spans="1:18" ht="16.5" customHeight="1" x14ac:dyDescent="0.15">
      <c r="A86" s="41">
        <v>11</v>
      </c>
      <c r="B86" s="41">
        <v>1949</v>
      </c>
      <c r="C86" s="74" t="s">
        <v>3041</v>
      </c>
      <c r="D86" s="709"/>
      <c r="E86" s="718"/>
      <c r="F86" s="705" t="s">
        <v>400</v>
      </c>
      <c r="G86" s="49" t="s">
        <v>398</v>
      </c>
      <c r="H86" s="50">
        <v>0.7</v>
      </c>
      <c r="I86" s="44"/>
      <c r="J86" s="45"/>
      <c r="K86" s="46"/>
      <c r="L86" s="35"/>
      <c r="N86" s="728"/>
      <c r="O86" s="35"/>
      <c r="Q86" s="47">
        <f>ROUND((ROUND((_11_A身体増２．５*_11・基礎１),0)*(1+_11・A夜間)),0)</f>
        <v>364</v>
      </c>
      <c r="R86" s="48"/>
    </row>
    <row r="87" spans="1:18" ht="16.5" customHeight="1" x14ac:dyDescent="0.15">
      <c r="A87" s="41">
        <v>11</v>
      </c>
      <c r="B87" s="41">
        <v>1950</v>
      </c>
      <c r="C87" s="74" t="s">
        <v>3042</v>
      </c>
      <c r="D87" s="100">
        <f>_11_A身体増２．５</f>
        <v>415</v>
      </c>
      <c r="E87" s="12" t="s">
        <v>392</v>
      </c>
      <c r="F87" s="723"/>
      <c r="G87" s="37"/>
      <c r="H87" s="38"/>
      <c r="I87" s="44" t="s">
        <v>397</v>
      </c>
      <c r="J87" s="45" t="s">
        <v>398</v>
      </c>
      <c r="K87" s="46">
        <v>1</v>
      </c>
      <c r="L87" s="35"/>
      <c r="N87" s="57"/>
      <c r="O87" s="43"/>
      <c r="P87" s="37"/>
      <c r="Q87" s="47">
        <f>ROUND((ROUND((ROUND((_11_A身体増２．５*_11・基礎１),0)*_11・２人),0)*(1+_11・A夜間)),0)</f>
        <v>364</v>
      </c>
      <c r="R87" s="48"/>
    </row>
    <row r="88" spans="1:18" ht="16.5" customHeight="1" x14ac:dyDescent="0.15">
      <c r="A88" s="41">
        <v>11</v>
      </c>
      <c r="B88" s="41" t="s">
        <v>3043</v>
      </c>
      <c r="C88" s="74" t="s">
        <v>3044</v>
      </c>
      <c r="D88" s="121"/>
      <c r="E88" s="99"/>
      <c r="F88" s="96"/>
      <c r="G88" s="49"/>
      <c r="H88" s="50"/>
      <c r="I88" s="44"/>
      <c r="J88" s="45"/>
      <c r="K88" s="46"/>
      <c r="L88" s="35"/>
      <c r="N88" s="57"/>
      <c r="O88" s="707" t="s">
        <v>404</v>
      </c>
      <c r="P88" s="708"/>
      <c r="Q88" s="47">
        <f>ROUND((ROUND((_11_A身体増２．５*(1+_11・A夜間)),0)*_11・初任),0)</f>
        <v>363</v>
      </c>
      <c r="R88" s="48"/>
    </row>
    <row r="89" spans="1:18" ht="16.5" customHeight="1" x14ac:dyDescent="0.15">
      <c r="A89" s="41">
        <v>11</v>
      </c>
      <c r="B89" s="41" t="s">
        <v>3045</v>
      </c>
      <c r="C89" s="74" t="s">
        <v>3046</v>
      </c>
      <c r="D89" s="121"/>
      <c r="E89" s="99"/>
      <c r="F89" s="94"/>
      <c r="G89" s="37"/>
      <c r="H89" s="38"/>
      <c r="I89" s="44" t="s">
        <v>397</v>
      </c>
      <c r="J89" s="45" t="s">
        <v>398</v>
      </c>
      <c r="K89" s="46">
        <v>1</v>
      </c>
      <c r="L89" s="35"/>
      <c r="N89" s="57"/>
      <c r="O89" s="709"/>
      <c r="P89" s="704"/>
      <c r="Q89" s="47">
        <f>ROUND((ROUND((ROUND((_11_A身体増２．５*_11・２人),0)*(1+_11・A夜間)),0)*_11・初任),0)</f>
        <v>363</v>
      </c>
      <c r="R89" s="48"/>
    </row>
    <row r="90" spans="1:18" ht="16.5" customHeight="1" x14ac:dyDescent="0.15">
      <c r="A90" s="41">
        <v>11</v>
      </c>
      <c r="B90" s="41" t="s">
        <v>3047</v>
      </c>
      <c r="C90" s="74" t="s">
        <v>3048</v>
      </c>
      <c r="D90" s="72"/>
      <c r="E90" s="99"/>
      <c r="F90" s="705" t="s">
        <v>400</v>
      </c>
      <c r="G90" s="49" t="s">
        <v>398</v>
      </c>
      <c r="H90" s="50">
        <v>0.7</v>
      </c>
      <c r="I90" s="44"/>
      <c r="J90" s="45"/>
      <c r="K90" s="46"/>
      <c r="L90" s="35"/>
      <c r="N90" s="57"/>
      <c r="O90" s="709"/>
      <c r="P90" s="704"/>
      <c r="Q90" s="47">
        <f>ROUND((ROUND((ROUND((_11_A身体増２．５*_11・基礎１),0)*(1+_11・A夜間)),0)*_11・初任),0)</f>
        <v>255</v>
      </c>
      <c r="R90" s="48"/>
    </row>
    <row r="91" spans="1:18" ht="16.5" customHeight="1" x14ac:dyDescent="0.15">
      <c r="A91" s="41">
        <v>11</v>
      </c>
      <c r="B91" s="41" t="s">
        <v>3049</v>
      </c>
      <c r="C91" s="74" t="s">
        <v>3050</v>
      </c>
      <c r="D91" s="72"/>
      <c r="E91" s="99"/>
      <c r="F91" s="723"/>
      <c r="G91" s="37"/>
      <c r="H91" s="38"/>
      <c r="I91" s="44" t="s">
        <v>397</v>
      </c>
      <c r="J91" s="45" t="s">
        <v>398</v>
      </c>
      <c r="K91" s="46">
        <v>1</v>
      </c>
      <c r="L91" s="35"/>
      <c r="N91" s="57"/>
      <c r="O91" s="55" t="s">
        <v>398</v>
      </c>
      <c r="P91" s="38">
        <f>_11・初任</f>
        <v>0.7</v>
      </c>
      <c r="Q91" s="47">
        <f>ROUND((ROUND((ROUND((ROUND((_11_A身体増２．５*_11・基礎１),0)*_11・２人),0)*(1+_11・A夜間)),0)*_11・初任),0)</f>
        <v>255</v>
      </c>
      <c r="R91" s="48"/>
    </row>
    <row r="92" spans="1:18" ht="16.5" customHeight="1" x14ac:dyDescent="0.15">
      <c r="A92" s="41">
        <v>11</v>
      </c>
      <c r="B92" s="41">
        <v>1951</v>
      </c>
      <c r="C92" s="74" t="s">
        <v>3051</v>
      </c>
      <c r="D92" s="707" t="s">
        <v>808</v>
      </c>
      <c r="E92" s="717"/>
      <c r="F92" s="96"/>
      <c r="G92" s="49"/>
      <c r="H92" s="50"/>
      <c r="I92" s="44"/>
      <c r="J92" s="45"/>
      <c r="K92" s="46"/>
      <c r="L92" s="35"/>
      <c r="N92" s="57"/>
      <c r="O92" s="53"/>
      <c r="P92" s="49"/>
      <c r="Q92" s="47">
        <f>ROUND((_11_A身体増３．０*(1+_11・A夜間)),0)</f>
        <v>623</v>
      </c>
      <c r="R92" s="48"/>
    </row>
    <row r="93" spans="1:18" ht="16.5" customHeight="1" x14ac:dyDescent="0.15">
      <c r="A93" s="41">
        <v>11</v>
      </c>
      <c r="B93" s="41">
        <v>1952</v>
      </c>
      <c r="C93" s="74" t="s">
        <v>3052</v>
      </c>
      <c r="D93" s="709"/>
      <c r="E93" s="718"/>
      <c r="F93" s="94"/>
      <c r="G93" s="37"/>
      <c r="H93" s="38"/>
      <c r="I93" s="44" t="s">
        <v>397</v>
      </c>
      <c r="J93" s="45" t="s">
        <v>398</v>
      </c>
      <c r="K93" s="46">
        <v>1</v>
      </c>
      <c r="L93" s="35"/>
      <c r="N93" s="57"/>
      <c r="O93" s="35"/>
      <c r="Q93" s="47">
        <f>ROUND((ROUND((_11_A身体増３．０*_11・２人),0)*(1+_11・A夜間)),0)</f>
        <v>623</v>
      </c>
      <c r="R93" s="48"/>
    </row>
    <row r="94" spans="1:18" ht="16.5" customHeight="1" x14ac:dyDescent="0.15">
      <c r="A94" s="41">
        <v>11</v>
      </c>
      <c r="B94" s="41">
        <v>1953</v>
      </c>
      <c r="C94" s="74" t="s">
        <v>3053</v>
      </c>
      <c r="D94" s="709"/>
      <c r="E94" s="718"/>
      <c r="F94" s="705" t="s">
        <v>400</v>
      </c>
      <c r="G94" s="49" t="s">
        <v>398</v>
      </c>
      <c r="H94" s="50">
        <v>0.7</v>
      </c>
      <c r="I94" s="44"/>
      <c r="J94" s="45"/>
      <c r="K94" s="46"/>
      <c r="L94" s="35"/>
      <c r="N94" s="57"/>
      <c r="O94" s="35"/>
      <c r="Q94" s="47">
        <f>ROUND((ROUND((_11_A身体増３．０*_11・基礎１),0)*(1+_11・A夜間)),0)</f>
        <v>436</v>
      </c>
      <c r="R94" s="48"/>
    </row>
    <row r="95" spans="1:18" ht="16.5" customHeight="1" x14ac:dyDescent="0.15">
      <c r="A95" s="41">
        <v>11</v>
      </c>
      <c r="B95" s="41">
        <v>1954</v>
      </c>
      <c r="C95" s="74" t="s">
        <v>3054</v>
      </c>
      <c r="D95" s="100">
        <f>_11_A身体増３．０</f>
        <v>498</v>
      </c>
      <c r="E95" s="12" t="s">
        <v>392</v>
      </c>
      <c r="F95" s="723"/>
      <c r="G95" s="37"/>
      <c r="H95" s="38"/>
      <c r="I95" s="44" t="s">
        <v>397</v>
      </c>
      <c r="J95" s="45" t="s">
        <v>398</v>
      </c>
      <c r="K95" s="46">
        <v>1</v>
      </c>
      <c r="L95" s="35"/>
      <c r="N95" s="57"/>
      <c r="O95" s="43"/>
      <c r="P95" s="37"/>
      <c r="Q95" s="47">
        <f>ROUND((ROUND((ROUND((_11_A身体増３．０*_11・基礎１),0)*_11・２人),0)*(1+_11・A夜間)),0)</f>
        <v>436</v>
      </c>
      <c r="R95" s="48"/>
    </row>
    <row r="96" spans="1:18" ht="16.5" customHeight="1" x14ac:dyDescent="0.15">
      <c r="A96" s="41">
        <v>11</v>
      </c>
      <c r="B96" s="41" t="s">
        <v>3055</v>
      </c>
      <c r="C96" s="74" t="s">
        <v>3056</v>
      </c>
      <c r="D96" s="121"/>
      <c r="E96" s="99"/>
      <c r="F96" s="96"/>
      <c r="G96" s="49"/>
      <c r="H96" s="50"/>
      <c r="I96" s="44"/>
      <c r="J96" s="45"/>
      <c r="K96" s="46"/>
      <c r="L96" s="35"/>
      <c r="N96" s="57"/>
      <c r="O96" s="707" t="s">
        <v>404</v>
      </c>
      <c r="P96" s="708"/>
      <c r="Q96" s="47">
        <f>ROUND((ROUND((_11_A身体増３．０*(1+_11・A夜間)),0)*_11・初任),0)</f>
        <v>436</v>
      </c>
      <c r="R96" s="48"/>
    </row>
    <row r="97" spans="1:18" ht="16.5" customHeight="1" x14ac:dyDescent="0.15">
      <c r="A97" s="41">
        <v>11</v>
      </c>
      <c r="B97" s="41" t="s">
        <v>3057</v>
      </c>
      <c r="C97" s="74" t="s">
        <v>3058</v>
      </c>
      <c r="D97" s="121"/>
      <c r="E97" s="99"/>
      <c r="F97" s="94"/>
      <c r="G97" s="37"/>
      <c r="H97" s="38"/>
      <c r="I97" s="44" t="s">
        <v>397</v>
      </c>
      <c r="J97" s="45" t="s">
        <v>398</v>
      </c>
      <c r="K97" s="46">
        <v>1</v>
      </c>
      <c r="L97" s="35"/>
      <c r="N97" s="57"/>
      <c r="O97" s="709"/>
      <c r="P97" s="704"/>
      <c r="Q97" s="47">
        <f>ROUND((ROUND((ROUND((_11_A身体増３．０*_11・２人),0)*(1+_11・A夜間)),0)*_11・初任),0)</f>
        <v>436</v>
      </c>
      <c r="R97" s="48"/>
    </row>
    <row r="98" spans="1:18" ht="16.5" customHeight="1" x14ac:dyDescent="0.15">
      <c r="A98" s="41">
        <v>11</v>
      </c>
      <c r="B98" s="41" t="s">
        <v>3059</v>
      </c>
      <c r="C98" s="74" t="s">
        <v>3060</v>
      </c>
      <c r="D98" s="72"/>
      <c r="E98" s="99"/>
      <c r="F98" s="705" t="s">
        <v>400</v>
      </c>
      <c r="G98" s="49" t="s">
        <v>398</v>
      </c>
      <c r="H98" s="50">
        <v>0.7</v>
      </c>
      <c r="I98" s="44"/>
      <c r="J98" s="45"/>
      <c r="K98" s="46"/>
      <c r="L98" s="35"/>
      <c r="N98" s="57"/>
      <c r="O98" s="709"/>
      <c r="P98" s="704"/>
      <c r="Q98" s="47">
        <f>ROUND((ROUND((ROUND((_11_A身体増３．０*_11・基礎１),0)*(1+_11・A夜間)),0)*_11・初任),0)</f>
        <v>305</v>
      </c>
      <c r="R98" s="48"/>
    </row>
    <row r="99" spans="1:18" ht="16.5" customHeight="1" x14ac:dyDescent="0.15">
      <c r="A99" s="41">
        <v>11</v>
      </c>
      <c r="B99" s="41" t="s">
        <v>3061</v>
      </c>
      <c r="C99" s="74" t="s">
        <v>3062</v>
      </c>
      <c r="D99" s="72"/>
      <c r="E99" s="99"/>
      <c r="F99" s="723"/>
      <c r="G99" s="37"/>
      <c r="H99" s="38"/>
      <c r="I99" s="44" t="s">
        <v>397</v>
      </c>
      <c r="J99" s="45" t="s">
        <v>398</v>
      </c>
      <c r="K99" s="46">
        <v>1</v>
      </c>
      <c r="L99" s="35"/>
      <c r="N99" s="57"/>
      <c r="O99" s="55" t="s">
        <v>398</v>
      </c>
      <c r="P99" s="38">
        <f>_11・初任</f>
        <v>0.7</v>
      </c>
      <c r="Q99" s="47">
        <f>ROUND((ROUND((ROUND((ROUND((_11_A身体増３．０*_11・基礎１),0)*_11・２人),0)*(1+_11・A夜間)),0)*_11・初任),0)</f>
        <v>305</v>
      </c>
      <c r="R99" s="48"/>
    </row>
    <row r="100" spans="1:18" ht="16.5" customHeight="1" x14ac:dyDescent="0.15">
      <c r="A100" s="41">
        <v>11</v>
      </c>
      <c r="B100" s="41">
        <v>1955</v>
      </c>
      <c r="C100" s="74" t="s">
        <v>3063</v>
      </c>
      <c r="D100" s="707" t="s">
        <v>821</v>
      </c>
      <c r="E100" s="717"/>
      <c r="F100" s="96"/>
      <c r="G100" s="49"/>
      <c r="H100" s="50"/>
      <c r="I100" s="44"/>
      <c r="J100" s="45"/>
      <c r="K100" s="46"/>
      <c r="L100" s="35"/>
      <c r="N100" s="57"/>
      <c r="O100" s="53"/>
      <c r="P100" s="49"/>
      <c r="Q100" s="47">
        <f>ROUND((_11_A身体増３．５*(1+_11・A夜間)),0)</f>
        <v>726</v>
      </c>
      <c r="R100" s="48"/>
    </row>
    <row r="101" spans="1:18" ht="16.5" customHeight="1" x14ac:dyDescent="0.15">
      <c r="A101" s="41">
        <v>11</v>
      </c>
      <c r="B101" s="41">
        <v>1956</v>
      </c>
      <c r="C101" s="74" t="s">
        <v>3064</v>
      </c>
      <c r="D101" s="709"/>
      <c r="E101" s="718"/>
      <c r="F101" s="94"/>
      <c r="G101" s="37"/>
      <c r="H101" s="38"/>
      <c r="I101" s="44" t="s">
        <v>397</v>
      </c>
      <c r="J101" s="45" t="s">
        <v>398</v>
      </c>
      <c r="K101" s="46">
        <v>1</v>
      </c>
      <c r="L101" s="35"/>
      <c r="N101" s="57"/>
      <c r="O101" s="35"/>
      <c r="Q101" s="47">
        <f>ROUND((ROUND((_11_A身体増３．５*_11・２人),0)*(1+_11・A夜間)),0)</f>
        <v>726</v>
      </c>
      <c r="R101" s="48"/>
    </row>
    <row r="102" spans="1:18" ht="16.5" customHeight="1" x14ac:dyDescent="0.15">
      <c r="A102" s="41">
        <v>11</v>
      </c>
      <c r="B102" s="41">
        <v>1957</v>
      </c>
      <c r="C102" s="74" t="s">
        <v>3065</v>
      </c>
      <c r="D102" s="709"/>
      <c r="E102" s="718"/>
      <c r="F102" s="705" t="s">
        <v>400</v>
      </c>
      <c r="G102" s="49" t="s">
        <v>398</v>
      </c>
      <c r="H102" s="50">
        <v>0.7</v>
      </c>
      <c r="I102" s="44"/>
      <c r="J102" s="45"/>
      <c r="K102" s="46"/>
      <c r="L102" s="35"/>
      <c r="N102" s="57"/>
      <c r="O102" s="35"/>
      <c r="Q102" s="47">
        <f>ROUND((ROUND((_11_A身体増３．５*_11・基礎１),0)*(1+_11・A夜間)),0)</f>
        <v>509</v>
      </c>
      <c r="R102" s="48"/>
    </row>
    <row r="103" spans="1:18" ht="16.5" customHeight="1" x14ac:dyDescent="0.15">
      <c r="A103" s="41">
        <v>11</v>
      </c>
      <c r="B103" s="41">
        <v>1958</v>
      </c>
      <c r="C103" s="74" t="s">
        <v>3066</v>
      </c>
      <c r="D103" s="100">
        <f>_11_A身体増３．５</f>
        <v>581</v>
      </c>
      <c r="E103" s="12" t="s">
        <v>392</v>
      </c>
      <c r="F103" s="723"/>
      <c r="G103" s="37"/>
      <c r="H103" s="38"/>
      <c r="I103" s="44" t="s">
        <v>397</v>
      </c>
      <c r="J103" s="45" t="s">
        <v>398</v>
      </c>
      <c r="K103" s="46">
        <v>1</v>
      </c>
      <c r="L103" s="35"/>
      <c r="N103" s="57"/>
      <c r="O103" s="43"/>
      <c r="P103" s="37"/>
      <c r="Q103" s="47">
        <f>ROUND((ROUND((ROUND((_11_A身体増３．５*_11・基礎１),0)*_11・２人),0)*(1+_11・A夜間)),0)</f>
        <v>509</v>
      </c>
      <c r="R103" s="48"/>
    </row>
    <row r="104" spans="1:18" ht="16.5" customHeight="1" x14ac:dyDescent="0.15">
      <c r="A104" s="41">
        <v>11</v>
      </c>
      <c r="B104" s="41" t="s">
        <v>3067</v>
      </c>
      <c r="C104" s="74" t="s">
        <v>3068</v>
      </c>
      <c r="D104" s="121"/>
      <c r="E104" s="99"/>
      <c r="F104" s="96"/>
      <c r="G104" s="49"/>
      <c r="H104" s="50"/>
      <c r="I104" s="44"/>
      <c r="J104" s="45"/>
      <c r="K104" s="46"/>
      <c r="L104" s="35"/>
      <c r="N104" s="57"/>
      <c r="O104" s="707" t="s">
        <v>404</v>
      </c>
      <c r="P104" s="708"/>
      <c r="Q104" s="47">
        <f>ROUND((ROUND((_11_A身体増３．５*(1+_11・A夜間)),0)*_11・初任),0)</f>
        <v>508</v>
      </c>
      <c r="R104" s="48"/>
    </row>
    <row r="105" spans="1:18" ht="16.5" customHeight="1" x14ac:dyDescent="0.15">
      <c r="A105" s="41">
        <v>11</v>
      </c>
      <c r="B105" s="41" t="s">
        <v>3069</v>
      </c>
      <c r="C105" s="74" t="s">
        <v>3070</v>
      </c>
      <c r="D105" s="121"/>
      <c r="E105" s="99"/>
      <c r="F105" s="94"/>
      <c r="G105" s="37"/>
      <c r="H105" s="38"/>
      <c r="I105" s="44" t="s">
        <v>397</v>
      </c>
      <c r="J105" s="45" t="s">
        <v>398</v>
      </c>
      <c r="K105" s="46">
        <v>1</v>
      </c>
      <c r="L105" s="35"/>
      <c r="N105" s="57"/>
      <c r="O105" s="709"/>
      <c r="P105" s="704"/>
      <c r="Q105" s="47">
        <f>ROUND((ROUND((ROUND((_11_A身体増３．５*_11・２人),0)*(1+_11・A夜間)),0)*_11・初任),0)</f>
        <v>508</v>
      </c>
      <c r="R105" s="48"/>
    </row>
    <row r="106" spans="1:18" ht="16.5" customHeight="1" x14ac:dyDescent="0.15">
      <c r="A106" s="41">
        <v>11</v>
      </c>
      <c r="B106" s="41" t="s">
        <v>3071</v>
      </c>
      <c r="C106" s="74" t="s">
        <v>3072</v>
      </c>
      <c r="D106" s="72"/>
      <c r="E106" s="99"/>
      <c r="F106" s="705" t="s">
        <v>400</v>
      </c>
      <c r="G106" s="49" t="s">
        <v>398</v>
      </c>
      <c r="H106" s="50">
        <v>0.7</v>
      </c>
      <c r="I106" s="44"/>
      <c r="J106" s="45"/>
      <c r="K106" s="46"/>
      <c r="L106" s="35"/>
      <c r="N106" s="57"/>
      <c r="O106" s="709"/>
      <c r="P106" s="704"/>
      <c r="Q106" s="47">
        <f>ROUND((ROUND((ROUND((_11_A身体増３．５*_11・基礎１),0)*(1+_11・A夜間)),0)*_11・初任),0)</f>
        <v>356</v>
      </c>
      <c r="R106" s="48"/>
    </row>
    <row r="107" spans="1:18" ht="16.5" customHeight="1" x14ac:dyDescent="0.15">
      <c r="A107" s="41">
        <v>11</v>
      </c>
      <c r="B107" s="41" t="s">
        <v>3073</v>
      </c>
      <c r="C107" s="74" t="s">
        <v>3074</v>
      </c>
      <c r="D107" s="72"/>
      <c r="E107" s="99"/>
      <c r="F107" s="723"/>
      <c r="G107" s="37"/>
      <c r="H107" s="38"/>
      <c r="I107" s="44" t="s">
        <v>397</v>
      </c>
      <c r="J107" s="45" t="s">
        <v>398</v>
      </c>
      <c r="K107" s="46">
        <v>1</v>
      </c>
      <c r="L107" s="35"/>
      <c r="N107" s="57"/>
      <c r="O107" s="55" t="s">
        <v>398</v>
      </c>
      <c r="P107" s="38">
        <f>_11・初任</f>
        <v>0.7</v>
      </c>
      <c r="Q107" s="47">
        <f>ROUND((ROUND((ROUND((ROUND((_11_A身体増３．５*_11・基礎１),0)*_11・２人),0)*(1+_11・A夜間)),0)*_11・初任),0)</f>
        <v>356</v>
      </c>
      <c r="R107" s="48"/>
    </row>
    <row r="108" spans="1:18" ht="16.5" customHeight="1" x14ac:dyDescent="0.15">
      <c r="A108" s="41">
        <v>11</v>
      </c>
      <c r="B108" s="41">
        <v>1959</v>
      </c>
      <c r="C108" s="74" t="s">
        <v>3075</v>
      </c>
      <c r="D108" s="707" t="s">
        <v>834</v>
      </c>
      <c r="E108" s="717"/>
      <c r="F108" s="96"/>
      <c r="G108" s="49"/>
      <c r="H108" s="50"/>
      <c r="I108" s="44"/>
      <c r="J108" s="45"/>
      <c r="K108" s="46"/>
      <c r="L108" s="72"/>
      <c r="N108" s="57"/>
      <c r="O108" s="53"/>
      <c r="P108" s="49"/>
      <c r="Q108" s="47">
        <f>ROUND((_11_A身体増４．０*(1+_11・A夜間)),0)</f>
        <v>830</v>
      </c>
      <c r="R108" s="48"/>
    </row>
    <row r="109" spans="1:18" ht="16.5" customHeight="1" x14ac:dyDescent="0.15">
      <c r="A109" s="41">
        <v>11</v>
      </c>
      <c r="B109" s="41">
        <v>1960</v>
      </c>
      <c r="C109" s="74" t="s">
        <v>3076</v>
      </c>
      <c r="D109" s="709"/>
      <c r="E109" s="718"/>
      <c r="F109" s="94"/>
      <c r="G109" s="37"/>
      <c r="H109" s="38"/>
      <c r="I109" s="44" t="s">
        <v>397</v>
      </c>
      <c r="J109" s="45" t="s">
        <v>398</v>
      </c>
      <c r="K109" s="46">
        <v>1</v>
      </c>
      <c r="L109" s="35"/>
      <c r="N109" s="145"/>
      <c r="O109" s="35"/>
      <c r="Q109" s="47">
        <f>ROUND((ROUND((_11_A身体増４．０*_11・２人),0)*(1+_11・A夜間)),0)</f>
        <v>830</v>
      </c>
      <c r="R109" s="48"/>
    </row>
    <row r="110" spans="1:18" ht="16.5" customHeight="1" x14ac:dyDescent="0.15">
      <c r="A110" s="41">
        <v>11</v>
      </c>
      <c r="B110" s="41">
        <v>1961</v>
      </c>
      <c r="C110" s="74" t="s">
        <v>3077</v>
      </c>
      <c r="D110" s="709"/>
      <c r="E110" s="718"/>
      <c r="F110" s="705" t="s">
        <v>400</v>
      </c>
      <c r="G110" s="49" t="s">
        <v>398</v>
      </c>
      <c r="H110" s="50">
        <v>0.7</v>
      </c>
      <c r="I110" s="44"/>
      <c r="J110" s="45"/>
      <c r="K110" s="46"/>
      <c r="L110" s="35"/>
      <c r="N110" s="145"/>
      <c r="O110" s="35"/>
      <c r="Q110" s="47">
        <f>ROUND((ROUND((_11_A身体増４．０*_11・基礎１),0)*(1+_11・A夜間)),0)</f>
        <v>581</v>
      </c>
      <c r="R110" s="48"/>
    </row>
    <row r="111" spans="1:18" ht="16.5" customHeight="1" x14ac:dyDescent="0.15">
      <c r="A111" s="41">
        <v>11</v>
      </c>
      <c r="B111" s="41">
        <v>1962</v>
      </c>
      <c r="C111" s="74" t="s">
        <v>3078</v>
      </c>
      <c r="D111" s="100">
        <f>_11_A身体増４．０</f>
        <v>664</v>
      </c>
      <c r="E111" s="12" t="s">
        <v>392</v>
      </c>
      <c r="F111" s="723"/>
      <c r="G111" s="37"/>
      <c r="H111" s="38"/>
      <c r="I111" s="44" t="s">
        <v>397</v>
      </c>
      <c r="J111" s="45" t="s">
        <v>398</v>
      </c>
      <c r="K111" s="46">
        <v>1</v>
      </c>
      <c r="L111" s="35"/>
      <c r="N111" s="57"/>
      <c r="O111" s="43"/>
      <c r="P111" s="37"/>
      <c r="Q111" s="47">
        <f>ROUND((ROUND((ROUND((_11_A身体増４．０*_11・基礎１),0)*_11・２人),0)*(1+_11・A夜間)),0)</f>
        <v>581</v>
      </c>
      <c r="R111" s="48"/>
    </row>
    <row r="112" spans="1:18" ht="16.5" customHeight="1" x14ac:dyDescent="0.15">
      <c r="A112" s="41">
        <v>11</v>
      </c>
      <c r="B112" s="41" t="s">
        <v>3079</v>
      </c>
      <c r="C112" s="74" t="s">
        <v>3080</v>
      </c>
      <c r="D112" s="121"/>
      <c r="E112" s="99"/>
      <c r="F112" s="96"/>
      <c r="G112" s="49"/>
      <c r="H112" s="50"/>
      <c r="I112" s="44"/>
      <c r="J112" s="45"/>
      <c r="K112" s="46"/>
      <c r="L112" s="35"/>
      <c r="N112" s="57"/>
      <c r="O112" s="707" t="s">
        <v>404</v>
      </c>
      <c r="P112" s="708"/>
      <c r="Q112" s="47">
        <f>ROUND((ROUND((_11_A身体増４．０*(1+_11・A夜間)),0)*_11・初任),0)</f>
        <v>581</v>
      </c>
      <c r="R112" s="48"/>
    </row>
    <row r="113" spans="1:18" ht="16.5" customHeight="1" x14ac:dyDescent="0.15">
      <c r="A113" s="41">
        <v>11</v>
      </c>
      <c r="B113" s="41" t="s">
        <v>3081</v>
      </c>
      <c r="C113" s="74" t="s">
        <v>3082</v>
      </c>
      <c r="D113" s="121"/>
      <c r="E113" s="99"/>
      <c r="F113" s="94"/>
      <c r="G113" s="37"/>
      <c r="H113" s="38"/>
      <c r="I113" s="44" t="s">
        <v>397</v>
      </c>
      <c r="J113" s="45" t="s">
        <v>398</v>
      </c>
      <c r="K113" s="46">
        <v>1</v>
      </c>
      <c r="L113" s="35"/>
      <c r="N113" s="57"/>
      <c r="O113" s="709"/>
      <c r="P113" s="704"/>
      <c r="Q113" s="47">
        <f>ROUND((ROUND((ROUND((_11_A身体増４．０*_11・２人),0)*(1+_11・A夜間)),0)*_11・初任),0)</f>
        <v>581</v>
      </c>
      <c r="R113" s="48"/>
    </row>
    <row r="114" spans="1:18" ht="16.5" customHeight="1" x14ac:dyDescent="0.15">
      <c r="A114" s="41">
        <v>11</v>
      </c>
      <c r="B114" s="41" t="s">
        <v>3083</v>
      </c>
      <c r="C114" s="74" t="s">
        <v>3084</v>
      </c>
      <c r="D114" s="72"/>
      <c r="E114" s="99"/>
      <c r="F114" s="705" t="s">
        <v>400</v>
      </c>
      <c r="G114" s="49" t="s">
        <v>398</v>
      </c>
      <c r="H114" s="50">
        <v>0.7</v>
      </c>
      <c r="I114" s="44"/>
      <c r="J114" s="45"/>
      <c r="K114" s="46"/>
      <c r="L114" s="35"/>
      <c r="N114" s="57"/>
      <c r="O114" s="709"/>
      <c r="P114" s="704"/>
      <c r="Q114" s="47">
        <f>ROUND((ROUND((ROUND((_11_A身体増４．０*_11・基礎１),0)*(1+_11・A夜間)),0)*_11・初任),0)</f>
        <v>407</v>
      </c>
      <c r="R114" s="48"/>
    </row>
    <row r="115" spans="1:18" ht="16.5" customHeight="1" x14ac:dyDescent="0.15">
      <c r="A115" s="41">
        <v>11</v>
      </c>
      <c r="B115" s="41" t="s">
        <v>3085</v>
      </c>
      <c r="C115" s="74" t="s">
        <v>3086</v>
      </c>
      <c r="D115" s="72"/>
      <c r="E115" s="99"/>
      <c r="F115" s="723"/>
      <c r="G115" s="37"/>
      <c r="H115" s="38"/>
      <c r="I115" s="44" t="s">
        <v>397</v>
      </c>
      <c r="J115" s="45" t="s">
        <v>398</v>
      </c>
      <c r="K115" s="46">
        <v>1</v>
      </c>
      <c r="L115" s="35"/>
      <c r="N115" s="57"/>
      <c r="O115" s="55" t="s">
        <v>398</v>
      </c>
      <c r="P115" s="38">
        <f>_11・初任</f>
        <v>0.7</v>
      </c>
      <c r="Q115" s="47">
        <f>ROUND((ROUND((ROUND((ROUND((_11_A身体増４．０*_11・基礎１),0)*_11・２人),0)*(1+_11・A夜間)),0)*_11・初任),0)</f>
        <v>407</v>
      </c>
      <c r="R115" s="48"/>
    </row>
    <row r="116" spans="1:18" ht="16.5" customHeight="1" x14ac:dyDescent="0.15">
      <c r="A116" s="41">
        <v>11</v>
      </c>
      <c r="B116" s="41">
        <v>1963</v>
      </c>
      <c r="C116" s="74" t="s">
        <v>3087</v>
      </c>
      <c r="D116" s="707" t="s">
        <v>847</v>
      </c>
      <c r="E116" s="717"/>
      <c r="F116" s="96"/>
      <c r="G116" s="49"/>
      <c r="H116" s="50"/>
      <c r="I116" s="44"/>
      <c r="J116" s="45"/>
      <c r="K116" s="46"/>
      <c r="L116" s="35"/>
      <c r="N116" s="57"/>
      <c r="O116" s="53"/>
      <c r="P116" s="49"/>
      <c r="Q116" s="47">
        <f>ROUND((_11_A身体増４．５*(1+_11・A夜間)),0)</f>
        <v>934</v>
      </c>
      <c r="R116" s="48"/>
    </row>
    <row r="117" spans="1:18" ht="16.5" customHeight="1" x14ac:dyDescent="0.15">
      <c r="A117" s="41">
        <v>11</v>
      </c>
      <c r="B117" s="41">
        <v>1964</v>
      </c>
      <c r="C117" s="74" t="s">
        <v>3088</v>
      </c>
      <c r="D117" s="709"/>
      <c r="E117" s="718"/>
      <c r="F117" s="94"/>
      <c r="G117" s="37"/>
      <c r="H117" s="38"/>
      <c r="I117" s="44" t="s">
        <v>397</v>
      </c>
      <c r="J117" s="45" t="s">
        <v>398</v>
      </c>
      <c r="K117" s="46">
        <v>1</v>
      </c>
      <c r="L117" s="35"/>
      <c r="N117" s="57"/>
      <c r="O117" s="35"/>
      <c r="Q117" s="47">
        <f>ROUND((ROUND((_11_A身体増４．５*_11・２人),0)*(1+_11・A夜間)),0)</f>
        <v>934</v>
      </c>
      <c r="R117" s="48"/>
    </row>
    <row r="118" spans="1:18" ht="16.5" customHeight="1" x14ac:dyDescent="0.15">
      <c r="A118" s="41">
        <v>11</v>
      </c>
      <c r="B118" s="41">
        <v>1965</v>
      </c>
      <c r="C118" s="74" t="s">
        <v>3089</v>
      </c>
      <c r="D118" s="709"/>
      <c r="E118" s="718"/>
      <c r="F118" s="705" t="s">
        <v>400</v>
      </c>
      <c r="G118" s="49" t="s">
        <v>398</v>
      </c>
      <c r="H118" s="50">
        <v>0.7</v>
      </c>
      <c r="I118" s="44"/>
      <c r="J118" s="45"/>
      <c r="K118" s="46"/>
      <c r="L118" s="35"/>
      <c r="N118" s="57"/>
      <c r="O118" s="35"/>
      <c r="Q118" s="47">
        <f>ROUND((ROUND((_11_A身体増４．５*_11・基礎１),0)*(1+_11・A夜間)),0)</f>
        <v>654</v>
      </c>
      <c r="R118" s="48"/>
    </row>
    <row r="119" spans="1:18" ht="16.5" customHeight="1" x14ac:dyDescent="0.15">
      <c r="A119" s="41">
        <v>11</v>
      </c>
      <c r="B119" s="41">
        <v>1966</v>
      </c>
      <c r="C119" s="74" t="s">
        <v>3090</v>
      </c>
      <c r="D119" s="100">
        <f>_11_A身体増４．５</f>
        <v>747</v>
      </c>
      <c r="E119" s="12" t="s">
        <v>392</v>
      </c>
      <c r="F119" s="723"/>
      <c r="G119" s="37"/>
      <c r="H119" s="38"/>
      <c r="I119" s="44" t="s">
        <v>397</v>
      </c>
      <c r="J119" s="45" t="s">
        <v>398</v>
      </c>
      <c r="K119" s="46">
        <v>1</v>
      </c>
      <c r="L119" s="35"/>
      <c r="N119" s="57"/>
      <c r="O119" s="43"/>
      <c r="P119" s="37"/>
      <c r="Q119" s="47">
        <f>ROUND((ROUND((ROUND((_11_A身体増４．５*_11・基礎１),0)*_11・２人),0)*(1+_11・A夜間)),0)</f>
        <v>654</v>
      </c>
      <c r="R119" s="48"/>
    </row>
    <row r="120" spans="1:18" ht="16.5" customHeight="1" x14ac:dyDescent="0.15">
      <c r="A120" s="41">
        <v>11</v>
      </c>
      <c r="B120" s="41" t="s">
        <v>3091</v>
      </c>
      <c r="C120" s="74" t="s">
        <v>3092</v>
      </c>
      <c r="D120" s="121"/>
      <c r="E120" s="99"/>
      <c r="F120" s="96"/>
      <c r="G120" s="49"/>
      <c r="H120" s="50"/>
      <c r="I120" s="44"/>
      <c r="J120" s="45"/>
      <c r="K120" s="46"/>
      <c r="L120" s="35"/>
      <c r="N120" s="57"/>
      <c r="O120" s="707" t="s">
        <v>404</v>
      </c>
      <c r="P120" s="708"/>
      <c r="Q120" s="47">
        <f>ROUND((ROUND((_11_A身体増４．５*(1+_11・A夜間)),0)*_11・初任),0)</f>
        <v>654</v>
      </c>
      <c r="R120" s="48"/>
    </row>
    <row r="121" spans="1:18" ht="16.5" customHeight="1" x14ac:dyDescent="0.15">
      <c r="A121" s="41">
        <v>11</v>
      </c>
      <c r="B121" s="41" t="s">
        <v>3093</v>
      </c>
      <c r="C121" s="74" t="s">
        <v>3094</v>
      </c>
      <c r="D121" s="121"/>
      <c r="E121" s="99"/>
      <c r="F121" s="94"/>
      <c r="G121" s="37"/>
      <c r="H121" s="38"/>
      <c r="I121" s="44" t="s">
        <v>397</v>
      </c>
      <c r="J121" s="45" t="s">
        <v>398</v>
      </c>
      <c r="K121" s="46">
        <v>1</v>
      </c>
      <c r="L121" s="35"/>
      <c r="N121" s="57"/>
      <c r="O121" s="709"/>
      <c r="P121" s="704"/>
      <c r="Q121" s="47">
        <f>ROUND((ROUND((ROUND((_11_A身体増４．５*_11・２人),0)*(1+_11・A夜間)),0)*_11・初任),0)</f>
        <v>654</v>
      </c>
      <c r="R121" s="48"/>
    </row>
    <row r="122" spans="1:18" ht="16.5" customHeight="1" x14ac:dyDescent="0.15">
      <c r="A122" s="41">
        <v>11</v>
      </c>
      <c r="B122" s="41" t="s">
        <v>3095</v>
      </c>
      <c r="C122" s="74" t="s">
        <v>3096</v>
      </c>
      <c r="D122" s="72"/>
      <c r="E122" s="99"/>
      <c r="F122" s="705" t="s">
        <v>400</v>
      </c>
      <c r="G122" s="49" t="s">
        <v>398</v>
      </c>
      <c r="H122" s="50">
        <v>0.7</v>
      </c>
      <c r="I122" s="44"/>
      <c r="J122" s="45"/>
      <c r="K122" s="46"/>
      <c r="L122" s="35"/>
      <c r="N122" s="57"/>
      <c r="O122" s="709"/>
      <c r="P122" s="704"/>
      <c r="Q122" s="47">
        <f>ROUND((ROUND((ROUND((_11_A身体増４．５*_11・基礎１),0)*(1+_11・A夜間)),0)*_11・初任),0)</f>
        <v>458</v>
      </c>
      <c r="R122" s="48"/>
    </row>
    <row r="123" spans="1:18" ht="16.5" customHeight="1" x14ac:dyDescent="0.15">
      <c r="A123" s="41">
        <v>11</v>
      </c>
      <c r="B123" s="41" t="s">
        <v>3097</v>
      </c>
      <c r="C123" s="74" t="s">
        <v>3098</v>
      </c>
      <c r="D123" s="122"/>
      <c r="E123" s="111"/>
      <c r="F123" s="723"/>
      <c r="G123" s="37"/>
      <c r="H123" s="38"/>
      <c r="I123" s="44" t="s">
        <v>397</v>
      </c>
      <c r="J123" s="45" t="s">
        <v>398</v>
      </c>
      <c r="K123" s="46">
        <v>1</v>
      </c>
      <c r="L123" s="43"/>
      <c r="M123" s="38"/>
      <c r="N123" s="79"/>
      <c r="O123" s="55" t="s">
        <v>398</v>
      </c>
      <c r="P123" s="38">
        <f>_11・初任</f>
        <v>0.7</v>
      </c>
      <c r="Q123" s="47">
        <f>ROUND((ROUND((ROUND((ROUND((_11_A身体増４．５*_11・基礎１),0)*_11・２人),0)*(1+_11・A夜間)),0)*_11・初任),0)</f>
        <v>458</v>
      </c>
      <c r="R123" s="63"/>
    </row>
    <row r="124" spans="1:18" ht="16.5" customHeight="1" x14ac:dyDescent="0.15"/>
    <row r="125" spans="1:18" ht="16.5" customHeight="1" x14ac:dyDescent="0.15"/>
  </sheetData>
  <mergeCells count="59">
    <mergeCell ref="O120:P122"/>
    <mergeCell ref="F122:F123"/>
    <mergeCell ref="D108:E110"/>
    <mergeCell ref="F110:F111"/>
    <mergeCell ref="O112:P114"/>
    <mergeCell ref="F114:F115"/>
    <mergeCell ref="D116:E118"/>
    <mergeCell ref="F118:F119"/>
    <mergeCell ref="O96:P98"/>
    <mergeCell ref="F98:F99"/>
    <mergeCell ref="D100:E102"/>
    <mergeCell ref="F102:F103"/>
    <mergeCell ref="O104:P106"/>
    <mergeCell ref="F106:F107"/>
    <mergeCell ref="D92:E94"/>
    <mergeCell ref="F94:F95"/>
    <mergeCell ref="O72:P74"/>
    <mergeCell ref="F74:F75"/>
    <mergeCell ref="D76:E78"/>
    <mergeCell ref="F78:F79"/>
    <mergeCell ref="O80:P82"/>
    <mergeCell ref="F82:F83"/>
    <mergeCell ref="D84:E86"/>
    <mergeCell ref="N85:N86"/>
    <mergeCell ref="F86:F87"/>
    <mergeCell ref="O88:P90"/>
    <mergeCell ref="F90:F91"/>
    <mergeCell ref="D60:E62"/>
    <mergeCell ref="F62:F63"/>
    <mergeCell ref="O64:P66"/>
    <mergeCell ref="F66:F67"/>
    <mergeCell ref="D68:E70"/>
    <mergeCell ref="F70:F71"/>
    <mergeCell ref="O27:P29"/>
    <mergeCell ref="F29:F30"/>
    <mergeCell ref="O56:P58"/>
    <mergeCell ref="F58:F59"/>
    <mergeCell ref="D31:E33"/>
    <mergeCell ref="F33:F34"/>
    <mergeCell ref="O35:P37"/>
    <mergeCell ref="F37:F38"/>
    <mergeCell ref="D39:E41"/>
    <mergeCell ref="F41:F42"/>
    <mergeCell ref="O43:P45"/>
    <mergeCell ref="F45:F46"/>
    <mergeCell ref="D52:E54"/>
    <mergeCell ref="N53:N54"/>
    <mergeCell ref="F54:F55"/>
    <mergeCell ref="O19:P21"/>
    <mergeCell ref="F21:F22"/>
    <mergeCell ref="D23:E25"/>
    <mergeCell ref="F25:F26"/>
    <mergeCell ref="D15:E17"/>
    <mergeCell ref="F17:F18"/>
    <mergeCell ref="D7:E9"/>
    <mergeCell ref="N8:N9"/>
    <mergeCell ref="F9:F10"/>
    <mergeCell ref="O11:P13"/>
    <mergeCell ref="F13:F14"/>
  </mergeCells>
  <phoneticPr fontId="1"/>
  <printOptions horizontalCentered="1"/>
  <pageMargins left="0.70866141732283472" right="0.70866141732283472" top="0.74803149606299213" bottom="0.74803149606299213" header="0.31496062992125984" footer="0.31496062992125984"/>
  <pageSetup paperSize="9" scale="58" fitToHeight="0" orientation="portrait" r:id="rId1"/>
  <headerFooter>
    <oddHeader>&amp;R&amp;"ＭＳ Ｐゴシック"&amp;9居宅介護</oddHeader>
    <oddFooter>&amp;C&amp;"ＭＳ Ｐゴシック"&amp;14&amp;P</oddFooter>
  </headerFooter>
  <rowBreaks count="1" manualBreakCount="1">
    <brk id="83" max="1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pageSetUpPr fitToPage="1"/>
  </sheetPr>
  <dimension ref="A1:R112"/>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2.5" style="10" bestFit="1" customWidth="1"/>
    <col min="4" max="4" width="6.5" style="10" bestFit="1" customWidth="1"/>
    <col min="5" max="5" width="5.5" style="117" bestFit="1" customWidth="1"/>
    <col min="6" max="6" width="11.875" style="12" customWidth="1"/>
    <col min="7" max="7" width="3.5" style="12" bestFit="1" customWidth="1"/>
    <col min="8" max="8" width="4.5" style="13" bestFit="1" customWidth="1"/>
    <col min="9" max="9" width="24.875" style="14" bestFit="1" customWidth="1"/>
    <col min="10" max="10" width="3.5" style="12" bestFit="1" customWidth="1"/>
    <col min="11" max="11" width="5.5" style="13" bestFit="1" customWidth="1"/>
    <col min="12" max="12" width="3.5" style="12" bestFit="1" customWidth="1"/>
    <col min="13" max="13" width="4.5" style="13" bestFit="1" customWidth="1"/>
    <col min="14" max="14" width="5.5" style="12" bestFit="1" customWidth="1"/>
    <col min="15" max="15" width="9.875" style="12" customWidth="1"/>
    <col min="16" max="16" width="4.5" style="12" bestFit="1" customWidth="1"/>
    <col min="17" max="17" width="7.125" style="15" customWidth="1"/>
    <col min="18" max="18" width="8.5" style="16" customWidth="1"/>
    <col min="19" max="16384" width="8.875" style="12"/>
  </cols>
  <sheetData>
    <row r="1" spans="1:18" ht="17.100000000000001" customHeight="1" x14ac:dyDescent="0.15">
      <c r="D1" s="11"/>
      <c r="E1" s="12"/>
    </row>
    <row r="2" spans="1:18" ht="17.100000000000001" customHeight="1" x14ac:dyDescent="0.15"/>
    <row r="3" spans="1:18" ht="17.100000000000001" customHeight="1" x14ac:dyDescent="0.15"/>
    <row r="4" spans="1:18" ht="17.100000000000001" customHeight="1" x14ac:dyDescent="0.15">
      <c r="B4" s="17" t="s">
        <v>3099</v>
      </c>
      <c r="D4" s="71"/>
    </row>
    <row r="5" spans="1:18" ht="16.5" customHeight="1" x14ac:dyDescent="0.15">
      <c r="A5" s="19" t="s">
        <v>384</v>
      </c>
      <c r="B5" s="20"/>
      <c r="C5" s="21" t="s">
        <v>385</v>
      </c>
      <c r="D5" s="23" t="s">
        <v>386</v>
      </c>
      <c r="E5" s="118"/>
      <c r="F5" s="23"/>
      <c r="G5" s="23"/>
      <c r="H5" s="24"/>
      <c r="I5" s="23"/>
      <c r="J5" s="23"/>
      <c r="K5" s="24"/>
      <c r="L5" s="23"/>
      <c r="M5" s="24"/>
      <c r="N5" s="23"/>
      <c r="O5" s="23"/>
      <c r="P5" s="23"/>
      <c r="Q5" s="25" t="s">
        <v>387</v>
      </c>
      <c r="R5" s="21" t="s">
        <v>388</v>
      </c>
    </row>
    <row r="6" spans="1:18" ht="16.5" customHeight="1" x14ac:dyDescent="0.15">
      <c r="A6" s="26" t="s">
        <v>389</v>
      </c>
      <c r="B6" s="26" t="s">
        <v>390</v>
      </c>
      <c r="C6" s="27"/>
      <c r="D6" s="29"/>
      <c r="E6" s="120"/>
      <c r="F6" s="29"/>
      <c r="G6" s="29"/>
      <c r="H6" s="30"/>
      <c r="I6" s="29"/>
      <c r="J6" s="29"/>
      <c r="K6" s="30"/>
      <c r="L6" s="29"/>
      <c r="M6" s="30"/>
      <c r="N6" s="29"/>
      <c r="O6" s="29"/>
      <c r="P6" s="29"/>
      <c r="Q6" s="31" t="s">
        <v>391</v>
      </c>
      <c r="R6" s="32" t="s">
        <v>392</v>
      </c>
    </row>
    <row r="7" spans="1:18" ht="16.5" customHeight="1" x14ac:dyDescent="0.15">
      <c r="A7" s="33">
        <v>11</v>
      </c>
      <c r="B7" s="33">
        <v>1967</v>
      </c>
      <c r="C7" s="34" t="s">
        <v>3100</v>
      </c>
      <c r="D7" s="709" t="s">
        <v>861</v>
      </c>
      <c r="E7" s="718"/>
      <c r="F7" s="35"/>
      <c r="I7" s="36"/>
      <c r="J7" s="37"/>
      <c r="K7" s="38"/>
      <c r="L7" s="72" t="s">
        <v>862</v>
      </c>
      <c r="N7" s="57"/>
      <c r="O7" s="35"/>
      <c r="Q7" s="39">
        <f>ROUND((_11_A身体増０．５*(1+_11・A深夜)),0)</f>
        <v>125</v>
      </c>
      <c r="R7" s="40" t="s">
        <v>863</v>
      </c>
    </row>
    <row r="8" spans="1:18" ht="16.5" customHeight="1" x14ac:dyDescent="0.15">
      <c r="A8" s="41">
        <v>11</v>
      </c>
      <c r="B8" s="41">
        <v>1968</v>
      </c>
      <c r="C8" s="74" t="s">
        <v>3101</v>
      </c>
      <c r="D8" s="709"/>
      <c r="E8" s="718"/>
      <c r="F8" s="43"/>
      <c r="G8" s="37"/>
      <c r="H8" s="38"/>
      <c r="I8" s="44" t="s">
        <v>397</v>
      </c>
      <c r="J8" s="45" t="s">
        <v>398</v>
      </c>
      <c r="K8" s="46">
        <v>1</v>
      </c>
      <c r="L8" s="35" t="s">
        <v>398</v>
      </c>
      <c r="M8" s="13">
        <v>0.5</v>
      </c>
      <c r="N8" s="728" t="s">
        <v>676</v>
      </c>
      <c r="O8" s="35"/>
      <c r="Q8" s="47">
        <f>ROUND((ROUND((_11_A身体増０．５*_11・２人),0)*(1+_11・A深夜)),0)</f>
        <v>125</v>
      </c>
      <c r="R8" s="48"/>
    </row>
    <row r="9" spans="1:18" ht="16.5" customHeight="1" x14ac:dyDescent="0.15">
      <c r="A9" s="41">
        <v>11</v>
      </c>
      <c r="B9" s="41">
        <v>1969</v>
      </c>
      <c r="C9" s="74" t="s">
        <v>3102</v>
      </c>
      <c r="D9" s="709"/>
      <c r="E9" s="718"/>
      <c r="F9" s="705" t="s">
        <v>400</v>
      </c>
      <c r="G9" s="49" t="s">
        <v>398</v>
      </c>
      <c r="H9" s="50">
        <v>0.7</v>
      </c>
      <c r="I9" s="44"/>
      <c r="J9" s="45"/>
      <c r="K9" s="46"/>
      <c r="L9" s="35"/>
      <c r="N9" s="728"/>
      <c r="O9" s="35"/>
      <c r="Q9" s="47">
        <f>ROUND((ROUND((_11_A身体増０．５*_11・基礎１),0)*(1+_11・A深夜)),0)</f>
        <v>87</v>
      </c>
      <c r="R9" s="48"/>
    </row>
    <row r="10" spans="1:18" ht="16.5" customHeight="1" x14ac:dyDescent="0.15">
      <c r="A10" s="41">
        <v>11</v>
      </c>
      <c r="B10" s="41">
        <v>1970</v>
      </c>
      <c r="C10" s="74" t="s">
        <v>3103</v>
      </c>
      <c r="D10" s="100">
        <f>_11_A身体増０．５</f>
        <v>83</v>
      </c>
      <c r="E10" s="12" t="s">
        <v>392</v>
      </c>
      <c r="F10" s="711"/>
      <c r="G10" s="37"/>
      <c r="H10" s="38"/>
      <c r="I10" s="44" t="s">
        <v>397</v>
      </c>
      <c r="J10" s="45" t="s">
        <v>398</v>
      </c>
      <c r="K10" s="46">
        <v>1</v>
      </c>
      <c r="L10" s="35"/>
      <c r="N10" s="57"/>
      <c r="O10" s="43"/>
      <c r="P10" s="37"/>
      <c r="Q10" s="47">
        <f>ROUND((ROUND((ROUND((_11_A身体増０．５*_11・基礎１),0)*_11・２人),0)*(1+_11・A深夜)),0)</f>
        <v>87</v>
      </c>
      <c r="R10" s="48"/>
    </row>
    <row r="11" spans="1:18" ht="16.5" customHeight="1" x14ac:dyDescent="0.15">
      <c r="A11" s="41">
        <v>11</v>
      </c>
      <c r="B11" s="41" t="s">
        <v>3104</v>
      </c>
      <c r="C11" s="74" t="s">
        <v>3105</v>
      </c>
      <c r="D11" s="121"/>
      <c r="E11" s="99"/>
      <c r="F11" s="53"/>
      <c r="G11" s="49"/>
      <c r="H11" s="50"/>
      <c r="I11" s="44"/>
      <c r="J11" s="45"/>
      <c r="K11" s="46"/>
      <c r="L11" s="35"/>
      <c r="N11" s="57"/>
      <c r="O11" s="707" t="s">
        <v>404</v>
      </c>
      <c r="P11" s="708"/>
      <c r="Q11" s="47">
        <f>ROUND((ROUND((_11_A身体増０．５*(1+_11・A深夜)),0)*_11・初任),0)</f>
        <v>88</v>
      </c>
      <c r="R11" s="48"/>
    </row>
    <row r="12" spans="1:18" ht="16.5" customHeight="1" x14ac:dyDescent="0.15">
      <c r="A12" s="41">
        <v>11</v>
      </c>
      <c r="B12" s="41" t="s">
        <v>3106</v>
      </c>
      <c r="C12" s="74" t="s">
        <v>3107</v>
      </c>
      <c r="D12" s="121"/>
      <c r="E12" s="99"/>
      <c r="F12" s="43"/>
      <c r="G12" s="37"/>
      <c r="H12" s="38"/>
      <c r="I12" s="44" t="s">
        <v>397</v>
      </c>
      <c r="J12" s="45" t="s">
        <v>398</v>
      </c>
      <c r="K12" s="46">
        <v>1</v>
      </c>
      <c r="L12" s="35"/>
      <c r="N12" s="57"/>
      <c r="O12" s="709"/>
      <c r="P12" s="704"/>
      <c r="Q12" s="47">
        <f>ROUND((ROUND((ROUND((_11_A身体増０．５*_11・２人),0)*(1+_11・A深夜)),0)*_11・初任),0)</f>
        <v>88</v>
      </c>
      <c r="R12" s="48"/>
    </row>
    <row r="13" spans="1:18" ht="16.5" customHeight="1" x14ac:dyDescent="0.15">
      <c r="A13" s="41">
        <v>11</v>
      </c>
      <c r="B13" s="41" t="s">
        <v>3108</v>
      </c>
      <c r="C13" s="74" t="s">
        <v>3109</v>
      </c>
      <c r="D13" s="72"/>
      <c r="E13" s="99"/>
      <c r="F13" s="705" t="s">
        <v>400</v>
      </c>
      <c r="G13" s="49" t="s">
        <v>398</v>
      </c>
      <c r="H13" s="50">
        <v>0.7</v>
      </c>
      <c r="I13" s="44"/>
      <c r="J13" s="45"/>
      <c r="K13" s="46"/>
      <c r="L13" s="35"/>
      <c r="N13" s="57"/>
      <c r="O13" s="709"/>
      <c r="P13" s="704"/>
      <c r="Q13" s="47">
        <f>ROUND((ROUND((ROUND((_11_A身体増０．５*_11・基礎１),0)*(1+_11・A深夜)),0)*_11・初任),0)</f>
        <v>61</v>
      </c>
      <c r="R13" s="48"/>
    </row>
    <row r="14" spans="1:18" ht="16.5" customHeight="1" x14ac:dyDescent="0.15">
      <c r="A14" s="41">
        <v>11</v>
      </c>
      <c r="B14" s="41" t="s">
        <v>3110</v>
      </c>
      <c r="C14" s="74" t="s">
        <v>3111</v>
      </c>
      <c r="D14" s="72"/>
      <c r="E14" s="99"/>
      <c r="F14" s="711"/>
      <c r="G14" s="37"/>
      <c r="H14" s="38"/>
      <c r="I14" s="44" t="s">
        <v>397</v>
      </c>
      <c r="J14" s="45" t="s">
        <v>398</v>
      </c>
      <c r="K14" s="46">
        <v>1</v>
      </c>
      <c r="L14" s="35"/>
      <c r="N14" s="57"/>
      <c r="O14" s="55" t="s">
        <v>398</v>
      </c>
      <c r="P14" s="38">
        <f>_11・初任</f>
        <v>0.7</v>
      </c>
      <c r="Q14" s="47">
        <f>ROUND((ROUND((ROUND((ROUND((_11_A身体増０．５*_11・基礎１),0)*_11・２人),0)*(1+_11・A深夜)),0)*_11・初任),0)</f>
        <v>61</v>
      </c>
      <c r="R14" s="48"/>
    </row>
    <row r="15" spans="1:18" ht="16.5" customHeight="1" x14ac:dyDescent="0.15">
      <c r="A15" s="41">
        <v>11</v>
      </c>
      <c r="B15" s="41">
        <v>1971</v>
      </c>
      <c r="C15" s="74" t="s">
        <v>3112</v>
      </c>
      <c r="D15" s="707" t="s">
        <v>876</v>
      </c>
      <c r="E15" s="717"/>
      <c r="F15" s="53"/>
      <c r="G15" s="49"/>
      <c r="H15" s="50"/>
      <c r="I15" s="44"/>
      <c r="J15" s="45"/>
      <c r="K15" s="46"/>
      <c r="L15" s="35"/>
      <c r="N15" s="57"/>
      <c r="O15" s="53"/>
      <c r="P15" s="49"/>
      <c r="Q15" s="47">
        <f>ROUND((_11_A身体増１．０*(1+_11・A深夜)),0)</f>
        <v>249</v>
      </c>
      <c r="R15" s="48"/>
    </row>
    <row r="16" spans="1:18" ht="16.5" customHeight="1" x14ac:dyDescent="0.15">
      <c r="A16" s="41">
        <v>11</v>
      </c>
      <c r="B16" s="41">
        <v>1972</v>
      </c>
      <c r="C16" s="74" t="s">
        <v>3113</v>
      </c>
      <c r="D16" s="709"/>
      <c r="E16" s="718"/>
      <c r="F16" s="43"/>
      <c r="G16" s="37"/>
      <c r="H16" s="38"/>
      <c r="I16" s="44" t="s">
        <v>397</v>
      </c>
      <c r="J16" s="45" t="s">
        <v>398</v>
      </c>
      <c r="K16" s="46">
        <v>1</v>
      </c>
      <c r="L16" s="35"/>
      <c r="N16" s="57"/>
      <c r="O16" s="35"/>
      <c r="Q16" s="47">
        <f>ROUND((ROUND((_11_A身体増１．０*_11・２人),0)*(1+_11・A深夜)),0)</f>
        <v>249</v>
      </c>
      <c r="R16" s="48"/>
    </row>
    <row r="17" spans="1:18" ht="16.5" customHeight="1" x14ac:dyDescent="0.15">
      <c r="A17" s="41">
        <v>11</v>
      </c>
      <c r="B17" s="41">
        <v>1973</v>
      </c>
      <c r="C17" s="74" t="s">
        <v>3114</v>
      </c>
      <c r="D17" s="709"/>
      <c r="E17" s="718"/>
      <c r="F17" s="705" t="s">
        <v>400</v>
      </c>
      <c r="G17" s="49" t="s">
        <v>398</v>
      </c>
      <c r="H17" s="50">
        <v>0.7</v>
      </c>
      <c r="I17" s="44"/>
      <c r="J17" s="45"/>
      <c r="K17" s="46"/>
      <c r="L17" s="35"/>
      <c r="N17" s="57"/>
      <c r="O17" s="35"/>
      <c r="Q17" s="47">
        <f>ROUND((ROUND((_11_A身体増１．０*_11・基礎１),0)*(1+_11・A深夜)),0)</f>
        <v>174</v>
      </c>
      <c r="R17" s="48"/>
    </row>
    <row r="18" spans="1:18" ht="16.5" customHeight="1" x14ac:dyDescent="0.15">
      <c r="A18" s="41">
        <v>11</v>
      </c>
      <c r="B18" s="41">
        <v>1974</v>
      </c>
      <c r="C18" s="74" t="s">
        <v>3115</v>
      </c>
      <c r="D18" s="125">
        <f>_11_A身体増１．０</f>
        <v>166</v>
      </c>
      <c r="E18" s="12" t="s">
        <v>392</v>
      </c>
      <c r="F18" s="722"/>
      <c r="G18" s="37"/>
      <c r="H18" s="38"/>
      <c r="I18" s="44" t="s">
        <v>397</v>
      </c>
      <c r="J18" s="45" t="s">
        <v>398</v>
      </c>
      <c r="K18" s="46">
        <v>1</v>
      </c>
      <c r="L18" s="35"/>
      <c r="N18" s="57"/>
      <c r="O18" s="43"/>
      <c r="P18" s="37"/>
      <c r="Q18" s="47">
        <f>ROUND((ROUND((ROUND((_11_A身体増１．０*_11・基礎１),0)*_11・２人),0)*(1+_11・A深夜)),0)</f>
        <v>174</v>
      </c>
      <c r="R18" s="48"/>
    </row>
    <row r="19" spans="1:18" ht="16.5" customHeight="1" x14ac:dyDescent="0.15">
      <c r="A19" s="41">
        <v>11</v>
      </c>
      <c r="B19" s="41" t="s">
        <v>3116</v>
      </c>
      <c r="C19" s="74" t="s">
        <v>3117</v>
      </c>
      <c r="D19" s="121"/>
      <c r="E19" s="99"/>
      <c r="F19" s="53"/>
      <c r="G19" s="49"/>
      <c r="H19" s="50"/>
      <c r="I19" s="44"/>
      <c r="J19" s="45"/>
      <c r="K19" s="46"/>
      <c r="L19" s="35"/>
      <c r="N19" s="57"/>
      <c r="O19" s="707" t="s">
        <v>404</v>
      </c>
      <c r="P19" s="708"/>
      <c r="Q19" s="47">
        <f>ROUND((ROUND((_11_A身体増１．０*(1+_11・A深夜)),0)*_11・初任),0)</f>
        <v>174</v>
      </c>
      <c r="R19" s="48"/>
    </row>
    <row r="20" spans="1:18" ht="16.5" customHeight="1" x14ac:dyDescent="0.15">
      <c r="A20" s="41">
        <v>11</v>
      </c>
      <c r="B20" s="41" t="s">
        <v>3118</v>
      </c>
      <c r="C20" s="74" t="s">
        <v>3119</v>
      </c>
      <c r="D20" s="121"/>
      <c r="E20" s="99"/>
      <c r="F20" s="43"/>
      <c r="G20" s="37"/>
      <c r="H20" s="38"/>
      <c r="I20" s="44" t="s">
        <v>397</v>
      </c>
      <c r="J20" s="45" t="s">
        <v>398</v>
      </c>
      <c r="K20" s="46">
        <v>1</v>
      </c>
      <c r="L20" s="35"/>
      <c r="N20" s="57"/>
      <c r="O20" s="709"/>
      <c r="P20" s="704"/>
      <c r="Q20" s="47">
        <f>ROUND((ROUND((ROUND((_11_A身体増１．０*_11・２人),0)*(1+_11・A深夜)),0)*_11・初任),0)</f>
        <v>174</v>
      </c>
      <c r="R20" s="48"/>
    </row>
    <row r="21" spans="1:18" ht="16.5" customHeight="1" x14ac:dyDescent="0.15">
      <c r="A21" s="41">
        <v>11</v>
      </c>
      <c r="B21" s="41" t="s">
        <v>3120</v>
      </c>
      <c r="C21" s="74" t="s">
        <v>3121</v>
      </c>
      <c r="D21" s="72"/>
      <c r="E21" s="99"/>
      <c r="F21" s="705" t="s">
        <v>400</v>
      </c>
      <c r="G21" s="49" t="s">
        <v>398</v>
      </c>
      <c r="H21" s="50">
        <v>0.7</v>
      </c>
      <c r="I21" s="44"/>
      <c r="J21" s="45"/>
      <c r="K21" s="46"/>
      <c r="L21" s="35"/>
      <c r="N21" s="57"/>
      <c r="O21" s="709"/>
      <c r="P21" s="704"/>
      <c r="Q21" s="47">
        <f>ROUND((ROUND((ROUND((_11_A身体増１．０*_11・基礎１),0)*(1+_11・A深夜)),0)*_11・初任),0)</f>
        <v>122</v>
      </c>
      <c r="R21" s="48"/>
    </row>
    <row r="22" spans="1:18" ht="16.5" customHeight="1" x14ac:dyDescent="0.15">
      <c r="A22" s="41">
        <v>11</v>
      </c>
      <c r="B22" s="41" t="s">
        <v>3122</v>
      </c>
      <c r="C22" s="74" t="s">
        <v>3123</v>
      </c>
      <c r="D22" s="72"/>
      <c r="E22" s="99"/>
      <c r="F22" s="711"/>
      <c r="G22" s="37"/>
      <c r="H22" s="38"/>
      <c r="I22" s="44" t="s">
        <v>397</v>
      </c>
      <c r="J22" s="45" t="s">
        <v>398</v>
      </c>
      <c r="K22" s="46">
        <v>1</v>
      </c>
      <c r="L22" s="35"/>
      <c r="N22" s="57"/>
      <c r="O22" s="55" t="s">
        <v>398</v>
      </c>
      <c r="P22" s="38">
        <f>_11・初任</f>
        <v>0.7</v>
      </c>
      <c r="Q22" s="47">
        <f>ROUND((ROUND((ROUND((ROUND((_11_A身体増１．０*_11・基礎１),0)*_11・２人),0)*(1+_11・A深夜)),0)*_11・初任),0)</f>
        <v>122</v>
      </c>
      <c r="R22" s="48"/>
    </row>
    <row r="23" spans="1:18" ht="16.5" customHeight="1" x14ac:dyDescent="0.15">
      <c r="A23" s="41">
        <v>11</v>
      </c>
      <c r="B23" s="41">
        <v>1975</v>
      </c>
      <c r="C23" s="74" t="s">
        <v>3124</v>
      </c>
      <c r="D23" s="707" t="s">
        <v>889</v>
      </c>
      <c r="E23" s="717"/>
      <c r="F23" s="53"/>
      <c r="G23" s="49"/>
      <c r="H23" s="50"/>
      <c r="I23" s="44"/>
      <c r="J23" s="45"/>
      <c r="K23" s="46"/>
      <c r="L23" s="35"/>
      <c r="N23" s="57"/>
      <c r="O23" s="53"/>
      <c r="P23" s="49"/>
      <c r="Q23" s="47">
        <f>ROUND((_11_A身体増１．５*(1+_11・A深夜)),0)</f>
        <v>374</v>
      </c>
      <c r="R23" s="48"/>
    </row>
    <row r="24" spans="1:18" ht="16.5" customHeight="1" x14ac:dyDescent="0.15">
      <c r="A24" s="41">
        <v>11</v>
      </c>
      <c r="B24" s="41">
        <v>1976</v>
      </c>
      <c r="C24" s="74" t="s">
        <v>3125</v>
      </c>
      <c r="D24" s="709"/>
      <c r="E24" s="718"/>
      <c r="F24" s="43"/>
      <c r="G24" s="37"/>
      <c r="H24" s="38"/>
      <c r="I24" s="44" t="s">
        <v>397</v>
      </c>
      <c r="J24" s="45" t="s">
        <v>398</v>
      </c>
      <c r="K24" s="46">
        <v>1</v>
      </c>
      <c r="L24" s="35"/>
      <c r="N24" s="57"/>
      <c r="O24" s="35"/>
      <c r="Q24" s="47">
        <f>ROUND((ROUND((_11_A身体増１．５*_11・２人),0)*(1+_11・A深夜)),0)</f>
        <v>374</v>
      </c>
      <c r="R24" s="48"/>
    </row>
    <row r="25" spans="1:18" ht="16.5" customHeight="1" x14ac:dyDescent="0.15">
      <c r="A25" s="41">
        <v>11</v>
      </c>
      <c r="B25" s="41">
        <v>1977</v>
      </c>
      <c r="C25" s="74" t="s">
        <v>3126</v>
      </c>
      <c r="D25" s="709"/>
      <c r="E25" s="718"/>
      <c r="F25" s="705" t="s">
        <v>400</v>
      </c>
      <c r="G25" s="49" t="s">
        <v>398</v>
      </c>
      <c r="H25" s="50">
        <v>0.7</v>
      </c>
      <c r="I25" s="44"/>
      <c r="J25" s="45"/>
      <c r="K25" s="46"/>
      <c r="L25" s="35"/>
      <c r="N25" s="57"/>
      <c r="O25" s="35"/>
      <c r="Q25" s="47">
        <f>ROUND((ROUND((_11_A身体増１．５*_11・基礎１),0)*(1+_11・A深夜)),0)</f>
        <v>261</v>
      </c>
      <c r="R25" s="48"/>
    </row>
    <row r="26" spans="1:18" ht="16.5" customHeight="1" x14ac:dyDescent="0.15">
      <c r="A26" s="41">
        <v>11</v>
      </c>
      <c r="B26" s="41">
        <v>1978</v>
      </c>
      <c r="C26" s="74" t="s">
        <v>3127</v>
      </c>
      <c r="D26" s="100">
        <f>_11_A身体増１．５</f>
        <v>249</v>
      </c>
      <c r="E26" s="12" t="s">
        <v>392</v>
      </c>
      <c r="F26" s="711"/>
      <c r="G26" s="37"/>
      <c r="H26" s="38"/>
      <c r="I26" s="44" t="s">
        <v>397</v>
      </c>
      <c r="J26" s="45" t="s">
        <v>398</v>
      </c>
      <c r="K26" s="46">
        <v>1</v>
      </c>
      <c r="L26" s="35"/>
      <c r="N26" s="57"/>
      <c r="O26" s="43"/>
      <c r="P26" s="37"/>
      <c r="Q26" s="47">
        <f>ROUND((ROUND((ROUND((_11_A身体増１．５*_11・基礎１),0)*_11・２人),0)*(1+_11・A深夜)),0)</f>
        <v>261</v>
      </c>
      <c r="R26" s="48"/>
    </row>
    <row r="27" spans="1:18" ht="16.5" customHeight="1" x14ac:dyDescent="0.15">
      <c r="A27" s="41">
        <v>11</v>
      </c>
      <c r="B27" s="41" t="s">
        <v>3128</v>
      </c>
      <c r="C27" s="74" t="s">
        <v>3129</v>
      </c>
      <c r="D27" s="121"/>
      <c r="E27" s="99"/>
      <c r="F27" s="53"/>
      <c r="G27" s="49"/>
      <c r="H27" s="50"/>
      <c r="I27" s="44"/>
      <c r="J27" s="45"/>
      <c r="K27" s="46"/>
      <c r="L27" s="35"/>
      <c r="N27" s="57"/>
      <c r="O27" s="707" t="s">
        <v>404</v>
      </c>
      <c r="P27" s="708"/>
      <c r="Q27" s="47">
        <f>ROUND((ROUND((_11_A身体増１．５*(1+_11・A深夜)),0)*_11・初任),0)</f>
        <v>262</v>
      </c>
      <c r="R27" s="48"/>
    </row>
    <row r="28" spans="1:18" ht="16.5" customHeight="1" x14ac:dyDescent="0.15">
      <c r="A28" s="41">
        <v>11</v>
      </c>
      <c r="B28" s="41" t="s">
        <v>3130</v>
      </c>
      <c r="C28" s="74" t="s">
        <v>3131</v>
      </c>
      <c r="D28" s="121"/>
      <c r="E28" s="99"/>
      <c r="F28" s="43"/>
      <c r="G28" s="37"/>
      <c r="H28" s="38"/>
      <c r="I28" s="44" t="s">
        <v>397</v>
      </c>
      <c r="J28" s="45" t="s">
        <v>398</v>
      </c>
      <c r="K28" s="46">
        <v>1</v>
      </c>
      <c r="L28" s="35"/>
      <c r="N28" s="57"/>
      <c r="O28" s="709"/>
      <c r="P28" s="704"/>
      <c r="Q28" s="47">
        <f>ROUND((ROUND((ROUND((_11_A身体増１．５*_11・２人),0)*(1+_11・A深夜)),0)*_11・初任),0)</f>
        <v>262</v>
      </c>
      <c r="R28" s="48"/>
    </row>
    <row r="29" spans="1:18" ht="16.5" customHeight="1" x14ac:dyDescent="0.15">
      <c r="A29" s="41">
        <v>11</v>
      </c>
      <c r="B29" s="41" t="s">
        <v>3132</v>
      </c>
      <c r="C29" s="74" t="s">
        <v>3133</v>
      </c>
      <c r="D29" s="72"/>
      <c r="E29" s="99"/>
      <c r="F29" s="705" t="s">
        <v>400</v>
      </c>
      <c r="G29" s="49" t="s">
        <v>398</v>
      </c>
      <c r="H29" s="50">
        <v>0.7</v>
      </c>
      <c r="I29" s="44"/>
      <c r="J29" s="45"/>
      <c r="K29" s="46"/>
      <c r="L29" s="35"/>
      <c r="N29" s="57"/>
      <c r="O29" s="709"/>
      <c r="P29" s="704"/>
      <c r="Q29" s="47">
        <f>ROUND((ROUND((ROUND((_11_A身体増１．５*_11・基礎１),0)*(1+_11・A深夜)),0)*_11・初任),0)</f>
        <v>183</v>
      </c>
      <c r="R29" s="48"/>
    </row>
    <row r="30" spans="1:18" ht="16.5" customHeight="1" x14ac:dyDescent="0.15">
      <c r="A30" s="41">
        <v>11</v>
      </c>
      <c r="B30" s="41" t="s">
        <v>3134</v>
      </c>
      <c r="C30" s="74" t="s">
        <v>3135</v>
      </c>
      <c r="D30" s="72"/>
      <c r="E30" s="99"/>
      <c r="F30" s="711"/>
      <c r="G30" s="37"/>
      <c r="H30" s="38"/>
      <c r="I30" s="44" t="s">
        <v>397</v>
      </c>
      <c r="J30" s="45" t="s">
        <v>398</v>
      </c>
      <c r="K30" s="46">
        <v>1</v>
      </c>
      <c r="L30" s="35"/>
      <c r="N30" s="57"/>
      <c r="O30" s="55" t="s">
        <v>398</v>
      </c>
      <c r="P30" s="38">
        <f>_11・初任</f>
        <v>0.7</v>
      </c>
      <c r="Q30" s="47">
        <f>ROUND((ROUND((ROUND((ROUND((_11_A身体増１．５*_11・基礎１),0)*_11・２人),0)*(1+_11・A深夜)),0)*_11・初任),0)</f>
        <v>183</v>
      </c>
      <c r="R30" s="48"/>
    </row>
    <row r="31" spans="1:18" ht="16.5" customHeight="1" x14ac:dyDescent="0.15">
      <c r="A31" s="41">
        <v>11</v>
      </c>
      <c r="B31" s="41">
        <v>1979</v>
      </c>
      <c r="C31" s="74" t="s">
        <v>3136</v>
      </c>
      <c r="D31" s="707" t="s">
        <v>1188</v>
      </c>
      <c r="E31" s="717"/>
      <c r="F31" s="53"/>
      <c r="G31" s="49"/>
      <c r="H31" s="50"/>
      <c r="I31" s="44"/>
      <c r="J31" s="45"/>
      <c r="K31" s="46"/>
      <c r="L31" s="72"/>
      <c r="N31" s="57"/>
      <c r="O31" s="53"/>
      <c r="P31" s="49"/>
      <c r="Q31" s="47">
        <f>ROUND((_11_A身体増２．０*(1+_11・A深夜)),0)</f>
        <v>498</v>
      </c>
      <c r="R31" s="48"/>
    </row>
    <row r="32" spans="1:18" ht="16.5" customHeight="1" x14ac:dyDescent="0.15">
      <c r="A32" s="41">
        <v>11</v>
      </c>
      <c r="B32" s="41">
        <v>1980</v>
      </c>
      <c r="C32" s="74" t="s">
        <v>3137</v>
      </c>
      <c r="D32" s="709"/>
      <c r="E32" s="718"/>
      <c r="F32" s="43"/>
      <c r="G32" s="37"/>
      <c r="H32" s="38"/>
      <c r="I32" s="44" t="s">
        <v>397</v>
      </c>
      <c r="J32" s="45" t="s">
        <v>398</v>
      </c>
      <c r="K32" s="46">
        <v>1</v>
      </c>
      <c r="L32" s="35"/>
      <c r="N32" s="145"/>
      <c r="O32" s="35"/>
      <c r="Q32" s="47">
        <f>ROUND((ROUND((_11_A身体増２．０*_11・２人),0)*(1+_11・A深夜)),0)</f>
        <v>498</v>
      </c>
      <c r="R32" s="48"/>
    </row>
    <row r="33" spans="1:18" ht="16.5" customHeight="1" x14ac:dyDescent="0.15">
      <c r="A33" s="41">
        <v>11</v>
      </c>
      <c r="B33" s="41">
        <v>1981</v>
      </c>
      <c r="C33" s="74" t="s">
        <v>3138</v>
      </c>
      <c r="D33" s="709"/>
      <c r="E33" s="718"/>
      <c r="F33" s="705" t="s">
        <v>400</v>
      </c>
      <c r="G33" s="49" t="s">
        <v>398</v>
      </c>
      <c r="H33" s="50">
        <v>0.7</v>
      </c>
      <c r="I33" s="44"/>
      <c r="J33" s="45"/>
      <c r="K33" s="46"/>
      <c r="L33" s="35"/>
      <c r="N33" s="145"/>
      <c r="O33" s="35"/>
      <c r="Q33" s="47">
        <f>ROUND((ROUND((_11_A身体増２．０*_11・基礎１),0)*(1+_11・A深夜)),0)</f>
        <v>348</v>
      </c>
      <c r="R33" s="48"/>
    </row>
    <row r="34" spans="1:18" ht="16.5" customHeight="1" x14ac:dyDescent="0.15">
      <c r="A34" s="41">
        <v>11</v>
      </c>
      <c r="B34" s="41">
        <v>1982</v>
      </c>
      <c r="C34" s="74" t="s">
        <v>3139</v>
      </c>
      <c r="D34" s="100">
        <f>_11_A身体増２．０</f>
        <v>332</v>
      </c>
      <c r="E34" s="12" t="s">
        <v>392</v>
      </c>
      <c r="F34" s="711"/>
      <c r="G34" s="37"/>
      <c r="H34" s="38"/>
      <c r="I34" s="44" t="s">
        <v>397</v>
      </c>
      <c r="J34" s="45" t="s">
        <v>398</v>
      </c>
      <c r="K34" s="46">
        <v>1</v>
      </c>
      <c r="L34" s="35"/>
      <c r="N34" s="57"/>
      <c r="O34" s="43"/>
      <c r="P34" s="37"/>
      <c r="Q34" s="47">
        <f>ROUND((ROUND((ROUND((_11_A身体増２．０*_11・基礎１),0)*_11・２人),0)*(1+_11・A深夜)),0)</f>
        <v>348</v>
      </c>
      <c r="R34" s="48"/>
    </row>
    <row r="35" spans="1:18" ht="16.5" customHeight="1" x14ac:dyDescent="0.15">
      <c r="A35" s="41">
        <v>11</v>
      </c>
      <c r="B35" s="41" t="s">
        <v>3140</v>
      </c>
      <c r="C35" s="74" t="s">
        <v>3141</v>
      </c>
      <c r="D35" s="121"/>
      <c r="E35" s="99"/>
      <c r="F35" s="53"/>
      <c r="G35" s="49"/>
      <c r="H35" s="50"/>
      <c r="I35" s="44"/>
      <c r="J35" s="45"/>
      <c r="K35" s="46"/>
      <c r="L35" s="35"/>
      <c r="N35" s="57"/>
      <c r="O35" s="707" t="s">
        <v>404</v>
      </c>
      <c r="P35" s="708"/>
      <c r="Q35" s="47">
        <f>ROUND((ROUND((_11_A身体増２．０*(1+_11・A深夜)),0)*_11・初任),0)</f>
        <v>349</v>
      </c>
      <c r="R35" s="48"/>
    </row>
    <row r="36" spans="1:18" ht="16.5" customHeight="1" x14ac:dyDescent="0.15">
      <c r="A36" s="41">
        <v>11</v>
      </c>
      <c r="B36" s="41" t="s">
        <v>3142</v>
      </c>
      <c r="C36" s="74" t="s">
        <v>3143</v>
      </c>
      <c r="D36" s="121"/>
      <c r="E36" s="99"/>
      <c r="F36" s="43"/>
      <c r="G36" s="37"/>
      <c r="H36" s="38"/>
      <c r="I36" s="44" t="s">
        <v>397</v>
      </c>
      <c r="J36" s="45" t="s">
        <v>398</v>
      </c>
      <c r="K36" s="46">
        <v>1</v>
      </c>
      <c r="L36" s="35"/>
      <c r="N36" s="57"/>
      <c r="O36" s="709"/>
      <c r="P36" s="704"/>
      <c r="Q36" s="47">
        <f>ROUND((ROUND((ROUND((_11_A身体増２．０*_11・２人),0)*(1+_11・A深夜)),0)*_11・初任),0)</f>
        <v>349</v>
      </c>
      <c r="R36" s="48"/>
    </row>
    <row r="37" spans="1:18" ht="16.5" customHeight="1" x14ac:dyDescent="0.15">
      <c r="A37" s="41">
        <v>11</v>
      </c>
      <c r="B37" s="41" t="s">
        <v>3144</v>
      </c>
      <c r="C37" s="74" t="s">
        <v>3145</v>
      </c>
      <c r="D37" s="72"/>
      <c r="E37" s="99"/>
      <c r="F37" s="705" t="s">
        <v>400</v>
      </c>
      <c r="G37" s="49" t="s">
        <v>398</v>
      </c>
      <c r="H37" s="50">
        <v>0.7</v>
      </c>
      <c r="I37" s="44"/>
      <c r="J37" s="45"/>
      <c r="K37" s="46"/>
      <c r="L37" s="35"/>
      <c r="N37" s="57"/>
      <c r="O37" s="709"/>
      <c r="P37" s="704"/>
      <c r="Q37" s="47">
        <f>ROUND((ROUND((ROUND((_11_A身体増２．０*_11・基礎１),0)*(1+_11・A深夜)),0)*_11・初任),0)</f>
        <v>244</v>
      </c>
      <c r="R37" s="48"/>
    </row>
    <row r="38" spans="1:18" ht="16.5" customHeight="1" x14ac:dyDescent="0.15">
      <c r="A38" s="41">
        <v>11</v>
      </c>
      <c r="B38" s="41" t="s">
        <v>3146</v>
      </c>
      <c r="C38" s="74" t="s">
        <v>3147</v>
      </c>
      <c r="D38" s="72"/>
      <c r="E38" s="99"/>
      <c r="F38" s="711"/>
      <c r="G38" s="37"/>
      <c r="H38" s="38"/>
      <c r="I38" s="44" t="s">
        <v>397</v>
      </c>
      <c r="J38" s="45" t="s">
        <v>398</v>
      </c>
      <c r="K38" s="46">
        <v>1</v>
      </c>
      <c r="L38" s="35"/>
      <c r="N38" s="57"/>
      <c r="O38" s="55" t="s">
        <v>398</v>
      </c>
      <c r="P38" s="38">
        <f>_11・初任</f>
        <v>0.7</v>
      </c>
      <c r="Q38" s="47">
        <f>ROUND((ROUND((ROUND((ROUND((_11_A身体増２．０*_11・基礎１),0)*_11・２人),0)*(1+_11・A深夜)),0)*_11・初任),0)</f>
        <v>244</v>
      </c>
      <c r="R38" s="48"/>
    </row>
    <row r="39" spans="1:18" ht="16.5" customHeight="1" x14ac:dyDescent="0.15">
      <c r="A39" s="41">
        <v>11</v>
      </c>
      <c r="B39" s="41">
        <v>1983</v>
      </c>
      <c r="C39" s="74" t="s">
        <v>3148</v>
      </c>
      <c r="D39" s="707" t="s">
        <v>915</v>
      </c>
      <c r="E39" s="717"/>
      <c r="F39" s="53"/>
      <c r="G39" s="49"/>
      <c r="H39" s="50"/>
      <c r="I39" s="44"/>
      <c r="J39" s="45"/>
      <c r="K39" s="46"/>
      <c r="L39" s="35"/>
      <c r="N39" s="57"/>
      <c r="O39" s="53"/>
      <c r="P39" s="49"/>
      <c r="Q39" s="47">
        <f>ROUND((_11_A身体増２．５*(1+_11・A深夜)),0)</f>
        <v>623</v>
      </c>
      <c r="R39" s="48"/>
    </row>
    <row r="40" spans="1:18" ht="16.5" customHeight="1" x14ac:dyDescent="0.15">
      <c r="A40" s="41">
        <v>11</v>
      </c>
      <c r="B40" s="41">
        <v>1984</v>
      </c>
      <c r="C40" s="74" t="s">
        <v>3149</v>
      </c>
      <c r="D40" s="709"/>
      <c r="E40" s="718"/>
      <c r="F40" s="43"/>
      <c r="G40" s="37"/>
      <c r="H40" s="38"/>
      <c r="I40" s="44" t="s">
        <v>397</v>
      </c>
      <c r="J40" s="45" t="s">
        <v>398</v>
      </c>
      <c r="K40" s="46">
        <v>1</v>
      </c>
      <c r="L40" s="35"/>
      <c r="N40" s="57"/>
      <c r="O40" s="35"/>
      <c r="Q40" s="47">
        <f>ROUND((ROUND((_11_A身体増２．５*_11・２人),0)*(1+_11・A深夜)),0)</f>
        <v>623</v>
      </c>
      <c r="R40" s="48"/>
    </row>
    <row r="41" spans="1:18" ht="16.5" customHeight="1" x14ac:dyDescent="0.15">
      <c r="A41" s="41">
        <v>11</v>
      </c>
      <c r="B41" s="41">
        <v>1985</v>
      </c>
      <c r="C41" s="74" t="s">
        <v>3150</v>
      </c>
      <c r="D41" s="709"/>
      <c r="E41" s="718"/>
      <c r="F41" s="705" t="s">
        <v>400</v>
      </c>
      <c r="G41" s="49" t="s">
        <v>398</v>
      </c>
      <c r="H41" s="50">
        <v>0.7</v>
      </c>
      <c r="I41" s="44"/>
      <c r="J41" s="45"/>
      <c r="K41" s="46"/>
      <c r="L41" s="35"/>
      <c r="N41" s="57"/>
      <c r="O41" s="35"/>
      <c r="Q41" s="47">
        <f>ROUND((ROUND((_11_A身体増２．５*_11・基礎１),0)*(1+_11・A深夜)),0)</f>
        <v>437</v>
      </c>
      <c r="R41" s="48"/>
    </row>
    <row r="42" spans="1:18" ht="16.5" customHeight="1" x14ac:dyDescent="0.15">
      <c r="A42" s="41">
        <v>11</v>
      </c>
      <c r="B42" s="41">
        <v>1986</v>
      </c>
      <c r="C42" s="74" t="s">
        <v>3151</v>
      </c>
      <c r="D42" s="100">
        <f>_11_A身体増２．５</f>
        <v>415</v>
      </c>
      <c r="E42" s="12" t="s">
        <v>392</v>
      </c>
      <c r="F42" s="711"/>
      <c r="G42" s="37"/>
      <c r="H42" s="38"/>
      <c r="I42" s="44" t="s">
        <v>397</v>
      </c>
      <c r="J42" s="45" t="s">
        <v>398</v>
      </c>
      <c r="K42" s="46">
        <v>1</v>
      </c>
      <c r="L42" s="35"/>
      <c r="N42" s="57"/>
      <c r="O42" s="43"/>
      <c r="P42" s="37"/>
      <c r="Q42" s="47">
        <f>ROUND((ROUND((ROUND((_11_A身体増２．５*_11・基礎１),0)*_11・２人),0)*(1+_11・A深夜)),0)</f>
        <v>437</v>
      </c>
      <c r="R42" s="48"/>
    </row>
    <row r="43" spans="1:18" ht="16.5" customHeight="1" x14ac:dyDescent="0.15">
      <c r="A43" s="41">
        <v>11</v>
      </c>
      <c r="B43" s="41" t="s">
        <v>3152</v>
      </c>
      <c r="C43" s="74" t="s">
        <v>3153</v>
      </c>
      <c r="D43" s="121"/>
      <c r="E43" s="99"/>
      <c r="F43" s="53"/>
      <c r="G43" s="49"/>
      <c r="H43" s="50"/>
      <c r="I43" s="44"/>
      <c r="J43" s="45"/>
      <c r="K43" s="46"/>
      <c r="L43" s="35"/>
      <c r="N43" s="57"/>
      <c r="O43" s="707" t="s">
        <v>404</v>
      </c>
      <c r="P43" s="708"/>
      <c r="Q43" s="47">
        <f>ROUND((ROUND((_11_A身体増２．５*(1+_11・A深夜)),0)*_11・初任),0)</f>
        <v>436</v>
      </c>
      <c r="R43" s="48"/>
    </row>
    <row r="44" spans="1:18" ht="16.5" customHeight="1" x14ac:dyDescent="0.15">
      <c r="A44" s="41">
        <v>11</v>
      </c>
      <c r="B44" s="41" t="s">
        <v>3154</v>
      </c>
      <c r="C44" s="74" t="s">
        <v>3155</v>
      </c>
      <c r="D44" s="121"/>
      <c r="E44" s="99"/>
      <c r="F44" s="43"/>
      <c r="G44" s="37"/>
      <c r="H44" s="38"/>
      <c r="I44" s="44" t="s">
        <v>397</v>
      </c>
      <c r="J44" s="45" t="s">
        <v>398</v>
      </c>
      <c r="K44" s="46">
        <v>1</v>
      </c>
      <c r="L44" s="35"/>
      <c r="N44" s="57"/>
      <c r="O44" s="709"/>
      <c r="P44" s="704"/>
      <c r="Q44" s="47">
        <f>ROUND((ROUND((ROUND((_11_A身体増２．５*_11・２人),0)*(1+_11・A深夜)),0)*_11・初任),0)</f>
        <v>436</v>
      </c>
      <c r="R44" s="48"/>
    </row>
    <row r="45" spans="1:18" ht="16.5" customHeight="1" x14ac:dyDescent="0.15">
      <c r="A45" s="41">
        <v>11</v>
      </c>
      <c r="B45" s="41" t="s">
        <v>3156</v>
      </c>
      <c r="C45" s="74" t="s">
        <v>3157</v>
      </c>
      <c r="D45" s="72"/>
      <c r="E45" s="99"/>
      <c r="F45" s="705" t="s">
        <v>400</v>
      </c>
      <c r="G45" s="49" t="s">
        <v>398</v>
      </c>
      <c r="H45" s="50">
        <v>0.7</v>
      </c>
      <c r="I45" s="44"/>
      <c r="J45" s="45"/>
      <c r="K45" s="46"/>
      <c r="L45" s="35"/>
      <c r="N45" s="57"/>
      <c r="O45" s="709"/>
      <c r="P45" s="704"/>
      <c r="Q45" s="47">
        <f>ROUND((ROUND((ROUND((_11_A身体増２．５*_11・基礎１),0)*(1+_11・A深夜)),0)*_11・初任),0)</f>
        <v>306</v>
      </c>
      <c r="R45" s="48"/>
    </row>
    <row r="46" spans="1:18" ht="16.5" customHeight="1" x14ac:dyDescent="0.15">
      <c r="A46" s="41">
        <v>11</v>
      </c>
      <c r="B46" s="41" t="s">
        <v>3158</v>
      </c>
      <c r="C46" s="74" t="s">
        <v>3159</v>
      </c>
      <c r="D46" s="72"/>
      <c r="E46" s="99"/>
      <c r="F46" s="711"/>
      <c r="G46" s="37"/>
      <c r="H46" s="38"/>
      <c r="I46" s="44" t="s">
        <v>397</v>
      </c>
      <c r="J46" s="45" t="s">
        <v>398</v>
      </c>
      <c r="K46" s="46">
        <v>1</v>
      </c>
      <c r="L46" s="35"/>
      <c r="N46" s="57"/>
      <c r="O46" s="55" t="s">
        <v>398</v>
      </c>
      <c r="P46" s="38">
        <f>_11・初任</f>
        <v>0.7</v>
      </c>
      <c r="Q46" s="47">
        <f>ROUND((ROUND((ROUND((ROUND((_11_A身体増２．５*_11・基礎１),0)*_11・２人),0)*(1+_11・A深夜)),0)*_11・初任),0)</f>
        <v>306</v>
      </c>
      <c r="R46" s="48"/>
    </row>
    <row r="47" spans="1:18" ht="16.5" customHeight="1" x14ac:dyDescent="0.15">
      <c r="A47" s="41">
        <v>11</v>
      </c>
      <c r="B47" s="41">
        <v>1987</v>
      </c>
      <c r="C47" s="74" t="s">
        <v>3160</v>
      </c>
      <c r="D47" s="707" t="s">
        <v>928</v>
      </c>
      <c r="E47" s="717"/>
      <c r="F47" s="53"/>
      <c r="G47" s="49"/>
      <c r="H47" s="50"/>
      <c r="I47" s="44"/>
      <c r="J47" s="45"/>
      <c r="K47" s="46"/>
      <c r="L47" s="35"/>
      <c r="N47" s="57"/>
      <c r="O47" s="53"/>
      <c r="P47" s="49"/>
      <c r="Q47" s="47">
        <f>ROUND((_11_A身体増３．０*(1+_11・A深夜)),0)</f>
        <v>747</v>
      </c>
      <c r="R47" s="48"/>
    </row>
    <row r="48" spans="1:18" ht="16.5" customHeight="1" x14ac:dyDescent="0.15">
      <c r="A48" s="41">
        <v>11</v>
      </c>
      <c r="B48" s="41">
        <v>1988</v>
      </c>
      <c r="C48" s="74" t="s">
        <v>3161</v>
      </c>
      <c r="D48" s="709"/>
      <c r="E48" s="718"/>
      <c r="F48" s="43"/>
      <c r="G48" s="37"/>
      <c r="H48" s="38"/>
      <c r="I48" s="44" t="s">
        <v>397</v>
      </c>
      <c r="J48" s="45" t="s">
        <v>398</v>
      </c>
      <c r="K48" s="46">
        <v>1</v>
      </c>
      <c r="L48" s="35"/>
      <c r="N48" s="57"/>
      <c r="O48" s="35"/>
      <c r="Q48" s="47">
        <f>ROUND((ROUND((_11_A身体増３．０*_11・２人),0)*(1+_11・A深夜)),0)</f>
        <v>747</v>
      </c>
      <c r="R48" s="48"/>
    </row>
    <row r="49" spans="1:18" ht="16.5" customHeight="1" x14ac:dyDescent="0.15">
      <c r="A49" s="41">
        <v>11</v>
      </c>
      <c r="B49" s="41">
        <v>1989</v>
      </c>
      <c r="C49" s="74" t="s">
        <v>3162</v>
      </c>
      <c r="D49" s="709"/>
      <c r="E49" s="718"/>
      <c r="F49" s="705" t="s">
        <v>400</v>
      </c>
      <c r="G49" s="49" t="s">
        <v>398</v>
      </c>
      <c r="H49" s="50">
        <v>0.7</v>
      </c>
      <c r="I49" s="44"/>
      <c r="J49" s="45"/>
      <c r="K49" s="46"/>
      <c r="L49" s="35"/>
      <c r="N49" s="57"/>
      <c r="O49" s="35"/>
      <c r="Q49" s="47">
        <f>ROUND((ROUND((_11_A身体増３．０*_11・基礎１),0)*(1+_11・A深夜)),0)</f>
        <v>524</v>
      </c>
      <c r="R49" s="48"/>
    </row>
    <row r="50" spans="1:18" ht="16.5" customHeight="1" x14ac:dyDescent="0.15">
      <c r="A50" s="41">
        <v>11</v>
      </c>
      <c r="B50" s="41">
        <v>1990</v>
      </c>
      <c r="C50" s="74" t="s">
        <v>3163</v>
      </c>
      <c r="D50" s="100">
        <f>_11_A身体増３．０</f>
        <v>498</v>
      </c>
      <c r="E50" s="12" t="s">
        <v>392</v>
      </c>
      <c r="F50" s="711"/>
      <c r="G50" s="37"/>
      <c r="H50" s="38"/>
      <c r="I50" s="44" t="s">
        <v>397</v>
      </c>
      <c r="J50" s="45" t="s">
        <v>398</v>
      </c>
      <c r="K50" s="46">
        <v>1</v>
      </c>
      <c r="L50" s="35"/>
      <c r="N50" s="57"/>
      <c r="O50" s="43"/>
      <c r="P50" s="37"/>
      <c r="Q50" s="47">
        <f>ROUND((ROUND((ROUND((_11_A身体増３．０*_11・基礎１),0)*_11・２人),0)*(1+_11・A深夜)),0)</f>
        <v>524</v>
      </c>
      <c r="R50" s="48"/>
    </row>
    <row r="51" spans="1:18" ht="16.5" customHeight="1" x14ac:dyDescent="0.15">
      <c r="A51" s="41">
        <v>11</v>
      </c>
      <c r="B51" s="41" t="s">
        <v>3164</v>
      </c>
      <c r="C51" s="74" t="s">
        <v>3165</v>
      </c>
      <c r="D51" s="121"/>
      <c r="E51" s="99"/>
      <c r="F51" s="53"/>
      <c r="G51" s="49"/>
      <c r="H51" s="50"/>
      <c r="I51" s="44"/>
      <c r="J51" s="45"/>
      <c r="K51" s="46"/>
      <c r="L51" s="35"/>
      <c r="N51" s="57"/>
      <c r="O51" s="707" t="s">
        <v>404</v>
      </c>
      <c r="P51" s="708"/>
      <c r="Q51" s="47">
        <f>ROUND((ROUND((_11_A身体増３．０*(1+_11・A深夜)),0)*_11・初任),0)</f>
        <v>523</v>
      </c>
      <c r="R51" s="48"/>
    </row>
    <row r="52" spans="1:18" ht="16.5" customHeight="1" x14ac:dyDescent="0.15">
      <c r="A52" s="41">
        <v>11</v>
      </c>
      <c r="B52" s="41" t="s">
        <v>3166</v>
      </c>
      <c r="C52" s="74" t="s">
        <v>3167</v>
      </c>
      <c r="D52" s="121"/>
      <c r="E52" s="99"/>
      <c r="F52" s="43"/>
      <c r="G52" s="37"/>
      <c r="H52" s="38"/>
      <c r="I52" s="44" t="s">
        <v>397</v>
      </c>
      <c r="J52" s="45" t="s">
        <v>398</v>
      </c>
      <c r="K52" s="46">
        <v>1</v>
      </c>
      <c r="L52" s="35"/>
      <c r="N52" s="57"/>
      <c r="O52" s="709"/>
      <c r="P52" s="704"/>
      <c r="Q52" s="47">
        <f>ROUND((ROUND((ROUND((_11_A身体増３．０*_11・２人),0)*(1+_11・A深夜)),0)*_11・初任),0)</f>
        <v>523</v>
      </c>
      <c r="R52" s="48"/>
    </row>
    <row r="53" spans="1:18" ht="16.5" customHeight="1" x14ac:dyDescent="0.15">
      <c r="A53" s="41">
        <v>11</v>
      </c>
      <c r="B53" s="41" t="s">
        <v>3168</v>
      </c>
      <c r="C53" s="74" t="s">
        <v>3169</v>
      </c>
      <c r="D53" s="72"/>
      <c r="E53" s="99"/>
      <c r="F53" s="705" t="s">
        <v>400</v>
      </c>
      <c r="G53" s="49" t="s">
        <v>398</v>
      </c>
      <c r="H53" s="50">
        <v>0.7</v>
      </c>
      <c r="I53" s="44"/>
      <c r="J53" s="45"/>
      <c r="K53" s="46"/>
      <c r="L53" s="35"/>
      <c r="N53" s="57"/>
      <c r="O53" s="709"/>
      <c r="P53" s="704"/>
      <c r="Q53" s="47">
        <f>ROUND((ROUND((ROUND((_11_A身体増３．０*_11・基礎１),0)*(1+_11・A深夜)),0)*_11・初任),0)</f>
        <v>367</v>
      </c>
      <c r="R53" s="48"/>
    </row>
    <row r="54" spans="1:18" ht="16.5" customHeight="1" x14ac:dyDescent="0.15">
      <c r="A54" s="41">
        <v>11</v>
      </c>
      <c r="B54" s="41" t="s">
        <v>3170</v>
      </c>
      <c r="C54" s="74" t="s">
        <v>3171</v>
      </c>
      <c r="D54" s="72"/>
      <c r="E54" s="99"/>
      <c r="F54" s="711"/>
      <c r="G54" s="37"/>
      <c r="H54" s="38"/>
      <c r="I54" s="44" t="s">
        <v>397</v>
      </c>
      <c r="J54" s="45" t="s">
        <v>398</v>
      </c>
      <c r="K54" s="46">
        <v>1</v>
      </c>
      <c r="L54" s="35"/>
      <c r="N54" s="57"/>
      <c r="O54" s="55" t="s">
        <v>398</v>
      </c>
      <c r="P54" s="38">
        <f>_11・初任</f>
        <v>0.7</v>
      </c>
      <c r="Q54" s="47">
        <f>ROUND((ROUND((ROUND((ROUND((_11_A身体増３．０*_11・基礎１),0)*_11・２人),0)*(1+_11・A深夜)),0)*_11・初任),0)</f>
        <v>367</v>
      </c>
      <c r="R54" s="48"/>
    </row>
    <row r="55" spans="1:18" ht="16.5" customHeight="1" x14ac:dyDescent="0.15">
      <c r="A55" s="41">
        <v>11</v>
      </c>
      <c r="B55" s="41">
        <v>1991</v>
      </c>
      <c r="C55" s="74" t="s">
        <v>3172</v>
      </c>
      <c r="D55" s="707" t="s">
        <v>941</v>
      </c>
      <c r="E55" s="717"/>
      <c r="F55" s="53"/>
      <c r="G55" s="49"/>
      <c r="H55" s="50"/>
      <c r="I55" s="44"/>
      <c r="J55" s="45"/>
      <c r="K55" s="46"/>
      <c r="L55" s="72"/>
      <c r="N55" s="57"/>
      <c r="O55" s="53"/>
      <c r="P55" s="49"/>
      <c r="Q55" s="47">
        <f>ROUND((_11_A身体増３．５*(1+_11・A深夜)),0)</f>
        <v>872</v>
      </c>
      <c r="R55" s="48"/>
    </row>
    <row r="56" spans="1:18" ht="16.5" customHeight="1" x14ac:dyDescent="0.15">
      <c r="A56" s="41">
        <v>11</v>
      </c>
      <c r="B56" s="41">
        <v>1992</v>
      </c>
      <c r="C56" s="74" t="s">
        <v>3173</v>
      </c>
      <c r="D56" s="709"/>
      <c r="E56" s="718"/>
      <c r="F56" s="43"/>
      <c r="G56" s="37"/>
      <c r="H56" s="38"/>
      <c r="I56" s="44" t="s">
        <v>397</v>
      </c>
      <c r="J56" s="45" t="s">
        <v>398</v>
      </c>
      <c r="K56" s="46">
        <v>1</v>
      </c>
      <c r="L56" s="35"/>
      <c r="N56" s="145"/>
      <c r="O56" s="35"/>
      <c r="Q56" s="47">
        <f>ROUND((ROUND((_11_A身体増３．５*_11・２人),0)*(1+_11・A深夜)),0)</f>
        <v>872</v>
      </c>
      <c r="R56" s="48"/>
    </row>
    <row r="57" spans="1:18" ht="16.5" customHeight="1" x14ac:dyDescent="0.15">
      <c r="A57" s="41">
        <v>11</v>
      </c>
      <c r="B57" s="41">
        <v>1993</v>
      </c>
      <c r="C57" s="74" t="s">
        <v>3174</v>
      </c>
      <c r="D57" s="709"/>
      <c r="E57" s="718"/>
      <c r="F57" s="705" t="s">
        <v>400</v>
      </c>
      <c r="G57" s="49" t="s">
        <v>398</v>
      </c>
      <c r="H57" s="50">
        <v>0.7</v>
      </c>
      <c r="I57" s="44"/>
      <c r="J57" s="45"/>
      <c r="K57" s="46"/>
      <c r="L57" s="35"/>
      <c r="N57" s="145"/>
      <c r="O57" s="35"/>
      <c r="Q57" s="47">
        <f>ROUND((ROUND((_11_A身体増３．５*_11・基礎１),0)*(1+_11・A深夜)),0)</f>
        <v>611</v>
      </c>
      <c r="R57" s="48"/>
    </row>
    <row r="58" spans="1:18" ht="16.5" customHeight="1" x14ac:dyDescent="0.15">
      <c r="A58" s="41">
        <v>11</v>
      </c>
      <c r="B58" s="41">
        <v>1994</v>
      </c>
      <c r="C58" s="74" t="s">
        <v>3175</v>
      </c>
      <c r="D58" s="100">
        <f>_11_A身体増３．５</f>
        <v>581</v>
      </c>
      <c r="E58" s="12" t="s">
        <v>392</v>
      </c>
      <c r="F58" s="711"/>
      <c r="G58" s="37"/>
      <c r="H58" s="38"/>
      <c r="I58" s="44" t="s">
        <v>397</v>
      </c>
      <c r="J58" s="45" t="s">
        <v>398</v>
      </c>
      <c r="K58" s="46">
        <v>1</v>
      </c>
      <c r="L58" s="35"/>
      <c r="N58" s="57"/>
      <c r="O58" s="43"/>
      <c r="P58" s="37"/>
      <c r="Q58" s="47">
        <f>ROUND((ROUND((ROUND((_11_A身体増３．５*_11・基礎１),0)*_11・２人),0)*(1+_11・A深夜)),0)</f>
        <v>611</v>
      </c>
      <c r="R58" s="48"/>
    </row>
    <row r="59" spans="1:18" ht="16.5" customHeight="1" x14ac:dyDescent="0.15">
      <c r="A59" s="41">
        <v>11</v>
      </c>
      <c r="B59" s="41" t="s">
        <v>3176</v>
      </c>
      <c r="C59" s="74" t="s">
        <v>3177</v>
      </c>
      <c r="D59" s="121"/>
      <c r="E59" s="99"/>
      <c r="F59" s="53"/>
      <c r="G59" s="49"/>
      <c r="H59" s="50"/>
      <c r="I59" s="44"/>
      <c r="J59" s="45"/>
      <c r="K59" s="46"/>
      <c r="L59" s="35"/>
      <c r="N59" s="57"/>
      <c r="O59" s="707" t="s">
        <v>404</v>
      </c>
      <c r="P59" s="708"/>
      <c r="Q59" s="47">
        <f>ROUND((ROUND((_11_A身体増３．５*(1+_11・A深夜)),0)*_11・初任),0)</f>
        <v>610</v>
      </c>
      <c r="R59" s="48"/>
    </row>
    <row r="60" spans="1:18" ht="16.5" customHeight="1" x14ac:dyDescent="0.15">
      <c r="A60" s="41">
        <v>11</v>
      </c>
      <c r="B60" s="41" t="s">
        <v>3178</v>
      </c>
      <c r="C60" s="74" t="s">
        <v>3179</v>
      </c>
      <c r="D60" s="121"/>
      <c r="E60" s="99"/>
      <c r="F60" s="43"/>
      <c r="G60" s="37"/>
      <c r="H60" s="38"/>
      <c r="I60" s="44" t="s">
        <v>397</v>
      </c>
      <c r="J60" s="45" t="s">
        <v>398</v>
      </c>
      <c r="K60" s="46">
        <v>1</v>
      </c>
      <c r="L60" s="35"/>
      <c r="N60" s="57"/>
      <c r="O60" s="709"/>
      <c r="P60" s="704"/>
      <c r="Q60" s="47">
        <f>ROUND((ROUND((ROUND((_11_A身体増３．５*_11・２人),0)*(1+_11・A深夜)),0)*_11・初任),0)</f>
        <v>610</v>
      </c>
      <c r="R60" s="48"/>
    </row>
    <row r="61" spans="1:18" ht="16.5" customHeight="1" x14ac:dyDescent="0.15">
      <c r="A61" s="41">
        <v>11</v>
      </c>
      <c r="B61" s="41" t="s">
        <v>3180</v>
      </c>
      <c r="C61" s="74" t="s">
        <v>3181</v>
      </c>
      <c r="D61" s="72"/>
      <c r="E61" s="99"/>
      <c r="F61" s="705" t="s">
        <v>400</v>
      </c>
      <c r="G61" s="49" t="s">
        <v>398</v>
      </c>
      <c r="H61" s="50">
        <v>0.7</v>
      </c>
      <c r="I61" s="44"/>
      <c r="J61" s="45"/>
      <c r="K61" s="46"/>
      <c r="L61" s="35"/>
      <c r="N61" s="57"/>
      <c r="O61" s="709"/>
      <c r="P61" s="704"/>
      <c r="Q61" s="47">
        <f>ROUND((ROUND((ROUND((_11_A身体増３．５*_11・基礎１),0)*(1+_11・A深夜)),0)*_11・初任),0)</f>
        <v>428</v>
      </c>
      <c r="R61" s="48"/>
    </row>
    <row r="62" spans="1:18" ht="16.5" customHeight="1" x14ac:dyDescent="0.15">
      <c r="A62" s="41">
        <v>11</v>
      </c>
      <c r="B62" s="41" t="s">
        <v>3182</v>
      </c>
      <c r="C62" s="74" t="s">
        <v>3183</v>
      </c>
      <c r="D62" s="72"/>
      <c r="E62" s="99"/>
      <c r="F62" s="711"/>
      <c r="G62" s="37"/>
      <c r="H62" s="38"/>
      <c r="I62" s="44" t="s">
        <v>397</v>
      </c>
      <c r="J62" s="45" t="s">
        <v>398</v>
      </c>
      <c r="K62" s="46">
        <v>1</v>
      </c>
      <c r="L62" s="35"/>
      <c r="N62" s="57"/>
      <c r="O62" s="55" t="s">
        <v>398</v>
      </c>
      <c r="P62" s="38">
        <f>_11・初任</f>
        <v>0.7</v>
      </c>
      <c r="Q62" s="47">
        <f>ROUND((ROUND((ROUND((ROUND((_11_A身体増３．５*_11・基礎１),0)*_11・２人),0)*(1+_11・A深夜)),0)*_11・初任),0)</f>
        <v>428</v>
      </c>
      <c r="R62" s="48"/>
    </row>
    <row r="63" spans="1:18" ht="16.5" customHeight="1" x14ac:dyDescent="0.15">
      <c r="A63" s="41">
        <v>11</v>
      </c>
      <c r="B63" s="41">
        <v>1995</v>
      </c>
      <c r="C63" s="74" t="s">
        <v>3184</v>
      </c>
      <c r="D63" s="707" t="s">
        <v>954</v>
      </c>
      <c r="E63" s="717"/>
      <c r="F63" s="53"/>
      <c r="G63" s="49"/>
      <c r="H63" s="50"/>
      <c r="I63" s="44"/>
      <c r="J63" s="45"/>
      <c r="K63" s="46"/>
      <c r="L63" s="35"/>
      <c r="N63" s="57"/>
      <c r="O63" s="53"/>
      <c r="P63" s="49"/>
      <c r="Q63" s="47">
        <f>ROUND((_11_A身体増４．０*(1+_11・A深夜)),0)</f>
        <v>996</v>
      </c>
      <c r="R63" s="48"/>
    </row>
    <row r="64" spans="1:18" ht="16.5" customHeight="1" x14ac:dyDescent="0.15">
      <c r="A64" s="41">
        <v>11</v>
      </c>
      <c r="B64" s="41">
        <v>1996</v>
      </c>
      <c r="C64" s="74" t="s">
        <v>3185</v>
      </c>
      <c r="D64" s="709"/>
      <c r="E64" s="718"/>
      <c r="F64" s="43"/>
      <c r="G64" s="37"/>
      <c r="H64" s="38"/>
      <c r="I64" s="44" t="s">
        <v>397</v>
      </c>
      <c r="J64" s="45" t="s">
        <v>398</v>
      </c>
      <c r="K64" s="46">
        <v>1</v>
      </c>
      <c r="L64" s="35"/>
      <c r="N64" s="57"/>
      <c r="O64" s="35"/>
      <c r="Q64" s="47">
        <f>ROUND((ROUND((_11_A身体増４．０*_11・２人),0)*(1+_11・A深夜)),0)</f>
        <v>996</v>
      </c>
      <c r="R64" s="48"/>
    </row>
    <row r="65" spans="1:18" ht="16.5" customHeight="1" x14ac:dyDescent="0.15">
      <c r="A65" s="41">
        <v>11</v>
      </c>
      <c r="B65" s="41">
        <v>1997</v>
      </c>
      <c r="C65" s="74" t="s">
        <v>3186</v>
      </c>
      <c r="D65" s="709"/>
      <c r="E65" s="718"/>
      <c r="F65" s="705" t="s">
        <v>400</v>
      </c>
      <c r="G65" s="49" t="s">
        <v>398</v>
      </c>
      <c r="H65" s="50">
        <v>0.7</v>
      </c>
      <c r="I65" s="44"/>
      <c r="J65" s="45"/>
      <c r="K65" s="46"/>
      <c r="L65" s="35"/>
      <c r="N65" s="57"/>
      <c r="O65" s="35"/>
      <c r="Q65" s="47">
        <f>ROUND((ROUND((_11_A身体増４．０*_11・基礎１),0)*(1+_11・A深夜)),0)</f>
        <v>698</v>
      </c>
      <c r="R65" s="48"/>
    </row>
    <row r="66" spans="1:18" ht="16.5" customHeight="1" x14ac:dyDescent="0.15">
      <c r="A66" s="41">
        <v>11</v>
      </c>
      <c r="B66" s="41">
        <v>1998</v>
      </c>
      <c r="C66" s="74" t="s">
        <v>3187</v>
      </c>
      <c r="D66" s="100">
        <f>_11_A身体増４．０</f>
        <v>664</v>
      </c>
      <c r="E66" s="12" t="s">
        <v>392</v>
      </c>
      <c r="F66" s="711"/>
      <c r="G66" s="37"/>
      <c r="H66" s="38"/>
      <c r="I66" s="44" t="s">
        <v>397</v>
      </c>
      <c r="J66" s="45" t="s">
        <v>398</v>
      </c>
      <c r="K66" s="46">
        <v>1</v>
      </c>
      <c r="L66" s="35"/>
      <c r="N66" s="57"/>
      <c r="O66" s="43"/>
      <c r="P66" s="37"/>
      <c r="Q66" s="47">
        <f>ROUND((ROUND((ROUND((_11_A身体増４．０*_11・基礎１),0)*_11・２人),0)*(1+_11・A深夜)),0)</f>
        <v>698</v>
      </c>
      <c r="R66" s="48"/>
    </row>
    <row r="67" spans="1:18" ht="16.5" customHeight="1" x14ac:dyDescent="0.15">
      <c r="A67" s="41">
        <v>11</v>
      </c>
      <c r="B67" s="41" t="s">
        <v>3188</v>
      </c>
      <c r="C67" s="74" t="s">
        <v>3189</v>
      </c>
      <c r="D67" s="121"/>
      <c r="E67" s="99"/>
      <c r="F67" s="53"/>
      <c r="G67" s="49"/>
      <c r="H67" s="50"/>
      <c r="I67" s="44"/>
      <c r="J67" s="45"/>
      <c r="K67" s="46"/>
      <c r="L67" s="35"/>
      <c r="N67" s="57"/>
      <c r="O67" s="707" t="s">
        <v>404</v>
      </c>
      <c r="P67" s="708"/>
      <c r="Q67" s="47">
        <f>ROUND((ROUND((_11_A身体増４．０*(1+_11・A深夜)),0)*_11・初任),0)</f>
        <v>697</v>
      </c>
      <c r="R67" s="48"/>
    </row>
    <row r="68" spans="1:18" ht="16.5" customHeight="1" x14ac:dyDescent="0.15">
      <c r="A68" s="41">
        <v>11</v>
      </c>
      <c r="B68" s="41" t="s">
        <v>3190</v>
      </c>
      <c r="C68" s="74" t="s">
        <v>3191</v>
      </c>
      <c r="D68" s="121"/>
      <c r="E68" s="99"/>
      <c r="F68" s="43"/>
      <c r="G68" s="37"/>
      <c r="H68" s="38"/>
      <c r="I68" s="44" t="s">
        <v>397</v>
      </c>
      <c r="J68" s="45" t="s">
        <v>398</v>
      </c>
      <c r="K68" s="46">
        <v>1</v>
      </c>
      <c r="L68" s="35"/>
      <c r="N68" s="57"/>
      <c r="O68" s="709"/>
      <c r="P68" s="704"/>
      <c r="Q68" s="47">
        <f>ROUND((ROUND((ROUND((_11_A身体増４．０*_11・２人),0)*(1+_11・A深夜)),0)*_11・初任),0)</f>
        <v>697</v>
      </c>
      <c r="R68" s="48"/>
    </row>
    <row r="69" spans="1:18" ht="16.5" customHeight="1" x14ac:dyDescent="0.15">
      <c r="A69" s="41">
        <v>11</v>
      </c>
      <c r="B69" s="41" t="s">
        <v>3192</v>
      </c>
      <c r="C69" s="74" t="s">
        <v>3193</v>
      </c>
      <c r="D69" s="72"/>
      <c r="E69" s="99"/>
      <c r="F69" s="705" t="s">
        <v>400</v>
      </c>
      <c r="G69" s="49" t="s">
        <v>398</v>
      </c>
      <c r="H69" s="50">
        <v>0.7</v>
      </c>
      <c r="I69" s="44"/>
      <c r="J69" s="45"/>
      <c r="K69" s="46"/>
      <c r="L69" s="35"/>
      <c r="N69" s="57"/>
      <c r="O69" s="709"/>
      <c r="P69" s="704"/>
      <c r="Q69" s="47">
        <f>ROUND((ROUND((ROUND((_11_A身体増４．０*_11・基礎１),0)*(1+_11・A深夜)),0)*_11・初任),0)</f>
        <v>489</v>
      </c>
      <c r="R69" s="48"/>
    </row>
    <row r="70" spans="1:18" ht="16.5" customHeight="1" x14ac:dyDescent="0.15">
      <c r="A70" s="41">
        <v>11</v>
      </c>
      <c r="B70" s="41" t="s">
        <v>3194</v>
      </c>
      <c r="C70" s="74" t="s">
        <v>3195</v>
      </c>
      <c r="D70" s="72"/>
      <c r="E70" s="99"/>
      <c r="F70" s="711"/>
      <c r="G70" s="37"/>
      <c r="H70" s="38"/>
      <c r="I70" s="44" t="s">
        <v>397</v>
      </c>
      <c r="J70" s="45" t="s">
        <v>398</v>
      </c>
      <c r="K70" s="46">
        <v>1</v>
      </c>
      <c r="L70" s="35"/>
      <c r="N70" s="57"/>
      <c r="O70" s="55" t="s">
        <v>398</v>
      </c>
      <c r="P70" s="38">
        <f>_11・初任</f>
        <v>0.7</v>
      </c>
      <c r="Q70" s="47">
        <f>ROUND((ROUND((ROUND((ROUND((_11_A身体増４．０*_11・基礎１),0)*_11・２人),0)*(1+_11・A深夜)),0)*_11・初任),0)</f>
        <v>489</v>
      </c>
      <c r="R70" s="48"/>
    </row>
    <row r="71" spans="1:18" ht="16.5" customHeight="1" x14ac:dyDescent="0.15">
      <c r="A71" s="41">
        <v>11</v>
      </c>
      <c r="B71" s="41">
        <v>1999</v>
      </c>
      <c r="C71" s="74" t="s">
        <v>3196</v>
      </c>
      <c r="D71" s="707" t="s">
        <v>3197</v>
      </c>
      <c r="E71" s="717"/>
      <c r="F71" s="53"/>
      <c r="G71" s="49"/>
      <c r="H71" s="50"/>
      <c r="I71" s="44"/>
      <c r="J71" s="45"/>
      <c r="K71" s="46"/>
      <c r="L71" s="35"/>
      <c r="N71" s="57"/>
      <c r="O71" s="53"/>
      <c r="P71" s="49"/>
      <c r="Q71" s="47">
        <f>ROUND((_11_A身体増４．５*(1+_11・A深夜)),0)</f>
        <v>1121</v>
      </c>
      <c r="R71" s="48"/>
    </row>
    <row r="72" spans="1:18" ht="16.5" customHeight="1" x14ac:dyDescent="0.15">
      <c r="A72" s="41">
        <v>11</v>
      </c>
      <c r="B72" s="41">
        <v>2000</v>
      </c>
      <c r="C72" s="74" t="s">
        <v>3198</v>
      </c>
      <c r="D72" s="709"/>
      <c r="E72" s="718"/>
      <c r="F72" s="43"/>
      <c r="G72" s="37"/>
      <c r="H72" s="38"/>
      <c r="I72" s="44" t="s">
        <v>397</v>
      </c>
      <c r="J72" s="45" t="s">
        <v>398</v>
      </c>
      <c r="K72" s="46">
        <v>1</v>
      </c>
      <c r="L72" s="35"/>
      <c r="N72" s="57"/>
      <c r="O72" s="35"/>
      <c r="Q72" s="47">
        <f>ROUND((ROUND((_11_A身体増４．５*_11・２人),0)*(1+_11・A深夜)),0)</f>
        <v>1121</v>
      </c>
      <c r="R72" s="48"/>
    </row>
    <row r="73" spans="1:18" ht="16.5" customHeight="1" x14ac:dyDescent="0.15">
      <c r="A73" s="41">
        <v>11</v>
      </c>
      <c r="B73" s="41">
        <v>2001</v>
      </c>
      <c r="C73" s="74" t="s">
        <v>3199</v>
      </c>
      <c r="D73" s="709"/>
      <c r="E73" s="718"/>
      <c r="F73" s="705" t="s">
        <v>400</v>
      </c>
      <c r="G73" s="49" t="s">
        <v>398</v>
      </c>
      <c r="H73" s="50">
        <v>0.7</v>
      </c>
      <c r="I73" s="44"/>
      <c r="J73" s="45"/>
      <c r="K73" s="46"/>
      <c r="L73" s="35"/>
      <c r="N73" s="57"/>
      <c r="O73" s="35"/>
      <c r="Q73" s="47">
        <f>ROUND((ROUND((_11_A身体増４．５*_11・基礎１),0)*(1+_11・A深夜)),0)</f>
        <v>785</v>
      </c>
      <c r="R73" s="48"/>
    </row>
    <row r="74" spans="1:18" ht="16.5" customHeight="1" x14ac:dyDescent="0.15">
      <c r="A74" s="41">
        <v>11</v>
      </c>
      <c r="B74" s="41">
        <v>2002</v>
      </c>
      <c r="C74" s="74" t="s">
        <v>3200</v>
      </c>
      <c r="D74" s="100">
        <f>_11_A身体増４．５</f>
        <v>747</v>
      </c>
      <c r="E74" s="12" t="s">
        <v>392</v>
      </c>
      <c r="F74" s="711"/>
      <c r="G74" s="37"/>
      <c r="H74" s="38"/>
      <c r="I74" s="44" t="s">
        <v>397</v>
      </c>
      <c r="J74" s="45" t="s">
        <v>398</v>
      </c>
      <c r="K74" s="46">
        <v>1</v>
      </c>
      <c r="L74" s="35"/>
      <c r="N74" s="57"/>
      <c r="O74" s="43"/>
      <c r="P74" s="37"/>
      <c r="Q74" s="47">
        <f>ROUND((ROUND((ROUND((_11_A身体増４．５*_11・基礎１),0)*_11・２人),0)*(1+_11・A深夜)),0)</f>
        <v>785</v>
      </c>
      <c r="R74" s="48"/>
    </row>
    <row r="75" spans="1:18" ht="16.5" customHeight="1" x14ac:dyDescent="0.15">
      <c r="A75" s="41">
        <v>11</v>
      </c>
      <c r="B75" s="41" t="s">
        <v>3201</v>
      </c>
      <c r="C75" s="74" t="s">
        <v>3202</v>
      </c>
      <c r="D75" s="121"/>
      <c r="E75" s="99"/>
      <c r="F75" s="53"/>
      <c r="G75" s="49"/>
      <c r="H75" s="50"/>
      <c r="I75" s="44"/>
      <c r="J75" s="45"/>
      <c r="K75" s="46"/>
      <c r="L75" s="35"/>
      <c r="N75" s="57"/>
      <c r="O75" s="707" t="s">
        <v>404</v>
      </c>
      <c r="P75" s="708"/>
      <c r="Q75" s="47">
        <f>ROUND((ROUND((_11_A身体増４．５*(1+_11・A深夜)),0)*_11・初任),0)</f>
        <v>785</v>
      </c>
      <c r="R75" s="48"/>
    </row>
    <row r="76" spans="1:18" ht="16.5" customHeight="1" x14ac:dyDescent="0.15">
      <c r="A76" s="41">
        <v>11</v>
      </c>
      <c r="B76" s="41" t="s">
        <v>3203</v>
      </c>
      <c r="C76" s="74" t="s">
        <v>3204</v>
      </c>
      <c r="D76" s="121"/>
      <c r="E76" s="99"/>
      <c r="F76" s="43"/>
      <c r="G76" s="37"/>
      <c r="H76" s="38"/>
      <c r="I76" s="44" t="s">
        <v>397</v>
      </c>
      <c r="J76" s="45" t="s">
        <v>398</v>
      </c>
      <c r="K76" s="46">
        <v>1</v>
      </c>
      <c r="L76" s="35"/>
      <c r="N76" s="57"/>
      <c r="O76" s="709"/>
      <c r="P76" s="704"/>
      <c r="Q76" s="47">
        <f>ROUND((ROUND((ROUND((_11_A身体増４．５*_11・２人),0)*(1+_11・A深夜)),0)*_11・初任),0)</f>
        <v>785</v>
      </c>
      <c r="R76" s="48"/>
    </row>
    <row r="77" spans="1:18" ht="16.5" customHeight="1" x14ac:dyDescent="0.15">
      <c r="A77" s="41">
        <v>11</v>
      </c>
      <c r="B77" s="41" t="s">
        <v>3205</v>
      </c>
      <c r="C77" s="74" t="s">
        <v>3206</v>
      </c>
      <c r="D77" s="72"/>
      <c r="E77" s="99"/>
      <c r="F77" s="705" t="s">
        <v>400</v>
      </c>
      <c r="G77" s="49" t="s">
        <v>398</v>
      </c>
      <c r="H77" s="50">
        <v>0.7</v>
      </c>
      <c r="I77" s="44"/>
      <c r="J77" s="45"/>
      <c r="K77" s="46"/>
      <c r="L77" s="35"/>
      <c r="N77" s="57"/>
      <c r="O77" s="709"/>
      <c r="P77" s="704"/>
      <c r="Q77" s="47">
        <f>ROUND((ROUND((ROUND((_11_A身体増４．５*_11・基礎１),0)*(1+_11・A深夜)),0)*_11・初任),0)</f>
        <v>550</v>
      </c>
      <c r="R77" s="48"/>
    </row>
    <row r="78" spans="1:18" ht="16.5" customHeight="1" x14ac:dyDescent="0.15">
      <c r="A78" s="41">
        <v>11</v>
      </c>
      <c r="B78" s="41" t="s">
        <v>3207</v>
      </c>
      <c r="C78" s="74" t="s">
        <v>3208</v>
      </c>
      <c r="D78" s="122"/>
      <c r="E78" s="111"/>
      <c r="F78" s="711"/>
      <c r="G78" s="37"/>
      <c r="H78" s="38"/>
      <c r="I78" s="44" t="s">
        <v>397</v>
      </c>
      <c r="J78" s="45" t="s">
        <v>398</v>
      </c>
      <c r="K78" s="46">
        <v>1</v>
      </c>
      <c r="L78" s="43"/>
      <c r="M78" s="38"/>
      <c r="N78" s="79"/>
      <c r="O78" s="55" t="s">
        <v>398</v>
      </c>
      <c r="P78" s="38">
        <f>_11・初任</f>
        <v>0.7</v>
      </c>
      <c r="Q78" s="47">
        <f>ROUND((ROUND((ROUND((ROUND((_11_A身体増４．５*_11・基礎１),0)*_11・２人),0)*(1+_11・A深夜)),0)*_11・初任),0)</f>
        <v>550</v>
      </c>
      <c r="R78" s="63"/>
    </row>
    <row r="79" spans="1:18" ht="16.5" customHeight="1" x14ac:dyDescent="0.15">
      <c r="A79" s="33">
        <v>11</v>
      </c>
      <c r="B79" s="33">
        <v>2003</v>
      </c>
      <c r="C79" s="34" t="s">
        <v>3209</v>
      </c>
      <c r="D79" s="709" t="s">
        <v>980</v>
      </c>
      <c r="E79" s="718"/>
      <c r="F79" s="35"/>
      <c r="I79" s="36"/>
      <c r="J79" s="37"/>
      <c r="K79" s="38"/>
      <c r="L79" s="72" t="s">
        <v>862</v>
      </c>
      <c r="N79" s="57"/>
      <c r="O79" s="35"/>
      <c r="Q79" s="39">
        <f>ROUND((_11_A身体増５．０*(1+_11・A深夜)),0)</f>
        <v>1245</v>
      </c>
      <c r="R79" s="48"/>
    </row>
    <row r="80" spans="1:18" ht="16.5" customHeight="1" x14ac:dyDescent="0.15">
      <c r="A80" s="41">
        <v>11</v>
      </c>
      <c r="B80" s="41">
        <v>2004</v>
      </c>
      <c r="C80" s="74" t="s">
        <v>3210</v>
      </c>
      <c r="D80" s="709"/>
      <c r="E80" s="718"/>
      <c r="F80" s="43"/>
      <c r="G80" s="37"/>
      <c r="H80" s="38"/>
      <c r="I80" s="44" t="s">
        <v>397</v>
      </c>
      <c r="J80" s="45" t="s">
        <v>398</v>
      </c>
      <c r="K80" s="46">
        <v>1</v>
      </c>
      <c r="L80" s="35" t="s">
        <v>398</v>
      </c>
      <c r="M80" s="13">
        <v>0.5</v>
      </c>
      <c r="N80" s="728" t="s">
        <v>676</v>
      </c>
      <c r="O80" s="35"/>
      <c r="Q80" s="47">
        <f>ROUND((ROUND((_11_A身体増５．０*_11・２人),0)*(1+_11・A深夜)),0)</f>
        <v>1245</v>
      </c>
      <c r="R80" s="48"/>
    </row>
    <row r="81" spans="1:18" ht="16.5" customHeight="1" x14ac:dyDescent="0.15">
      <c r="A81" s="41">
        <v>11</v>
      </c>
      <c r="B81" s="41">
        <v>2005</v>
      </c>
      <c r="C81" s="74" t="s">
        <v>3211</v>
      </c>
      <c r="D81" s="709"/>
      <c r="E81" s="718"/>
      <c r="F81" s="705" t="s">
        <v>400</v>
      </c>
      <c r="G81" s="49" t="s">
        <v>398</v>
      </c>
      <c r="H81" s="50">
        <v>0.7</v>
      </c>
      <c r="I81" s="44"/>
      <c r="J81" s="45"/>
      <c r="K81" s="46"/>
      <c r="L81" s="35"/>
      <c r="N81" s="728"/>
      <c r="O81" s="35"/>
      <c r="Q81" s="47">
        <f>ROUND((ROUND((_11_A身体増５．０*_11・基礎１),0)*(1+_11・A深夜)),0)</f>
        <v>872</v>
      </c>
      <c r="R81" s="48"/>
    </row>
    <row r="82" spans="1:18" ht="16.5" customHeight="1" x14ac:dyDescent="0.15">
      <c r="A82" s="41">
        <v>11</v>
      </c>
      <c r="B82" s="41">
        <v>2006</v>
      </c>
      <c r="C82" s="74" t="s">
        <v>3212</v>
      </c>
      <c r="D82" s="100">
        <f>_11_A身体増５．０</f>
        <v>830</v>
      </c>
      <c r="E82" s="12" t="s">
        <v>392</v>
      </c>
      <c r="F82" s="711"/>
      <c r="G82" s="37"/>
      <c r="H82" s="38"/>
      <c r="I82" s="44" t="s">
        <v>397</v>
      </c>
      <c r="J82" s="45" t="s">
        <v>398</v>
      </c>
      <c r="K82" s="46">
        <v>1</v>
      </c>
      <c r="L82" s="35"/>
      <c r="N82" s="57"/>
      <c r="O82" s="43"/>
      <c r="P82" s="37"/>
      <c r="Q82" s="47">
        <f>ROUND((ROUND((ROUND((_11_A身体増５．０*_11・基礎１),0)*_11・２人),0)*(1+_11・A深夜)),0)</f>
        <v>872</v>
      </c>
      <c r="R82" s="48"/>
    </row>
    <row r="83" spans="1:18" ht="16.5" customHeight="1" x14ac:dyDescent="0.15">
      <c r="A83" s="41">
        <v>11</v>
      </c>
      <c r="B83" s="41" t="s">
        <v>3213</v>
      </c>
      <c r="C83" s="74" t="s">
        <v>3214</v>
      </c>
      <c r="D83" s="121"/>
      <c r="E83" s="99"/>
      <c r="F83" s="53"/>
      <c r="G83" s="49"/>
      <c r="H83" s="50"/>
      <c r="I83" s="44"/>
      <c r="J83" s="45"/>
      <c r="K83" s="46"/>
      <c r="L83" s="35"/>
      <c r="N83" s="57"/>
      <c r="O83" s="707" t="s">
        <v>404</v>
      </c>
      <c r="P83" s="708"/>
      <c r="Q83" s="47">
        <f>ROUND((ROUND((_11_A身体増５．０*(1+_11・A深夜)),0)*_11・初任),0)</f>
        <v>872</v>
      </c>
      <c r="R83" s="48"/>
    </row>
    <row r="84" spans="1:18" ht="16.5" customHeight="1" x14ac:dyDescent="0.15">
      <c r="A84" s="41">
        <v>11</v>
      </c>
      <c r="B84" s="41" t="s">
        <v>3215</v>
      </c>
      <c r="C84" s="74" t="s">
        <v>3216</v>
      </c>
      <c r="D84" s="121"/>
      <c r="E84" s="99"/>
      <c r="F84" s="43"/>
      <c r="G84" s="37"/>
      <c r="H84" s="38"/>
      <c r="I84" s="44" t="s">
        <v>397</v>
      </c>
      <c r="J84" s="45" t="s">
        <v>398</v>
      </c>
      <c r="K84" s="46">
        <v>1</v>
      </c>
      <c r="L84" s="35"/>
      <c r="N84" s="57"/>
      <c r="O84" s="709"/>
      <c r="P84" s="704"/>
      <c r="Q84" s="47">
        <f>ROUND((ROUND((ROUND((_11_A身体増５．０*_11・２人),0)*(1+_11・A深夜)),0)*_11・初任),0)</f>
        <v>872</v>
      </c>
      <c r="R84" s="48"/>
    </row>
    <row r="85" spans="1:18" ht="16.5" customHeight="1" x14ac:dyDescent="0.15">
      <c r="A85" s="41">
        <v>11</v>
      </c>
      <c r="B85" s="41" t="s">
        <v>3217</v>
      </c>
      <c r="C85" s="74" t="s">
        <v>3218</v>
      </c>
      <c r="D85" s="72"/>
      <c r="E85" s="99"/>
      <c r="F85" s="705" t="s">
        <v>400</v>
      </c>
      <c r="G85" s="49" t="s">
        <v>398</v>
      </c>
      <c r="H85" s="50">
        <v>0.7</v>
      </c>
      <c r="I85" s="44"/>
      <c r="J85" s="45"/>
      <c r="K85" s="46"/>
      <c r="L85" s="35"/>
      <c r="N85" s="57"/>
      <c r="O85" s="709"/>
      <c r="P85" s="704"/>
      <c r="Q85" s="47">
        <f>ROUND((ROUND((ROUND((_11_A身体増５．０*_11・基礎１),0)*(1+_11・A深夜)),0)*_11・初任),0)</f>
        <v>610</v>
      </c>
      <c r="R85" s="48"/>
    </row>
    <row r="86" spans="1:18" ht="16.5" customHeight="1" x14ac:dyDescent="0.15">
      <c r="A86" s="41">
        <v>11</v>
      </c>
      <c r="B86" s="41" t="s">
        <v>3219</v>
      </c>
      <c r="C86" s="74" t="s">
        <v>3220</v>
      </c>
      <c r="D86" s="72"/>
      <c r="E86" s="99"/>
      <c r="F86" s="711"/>
      <c r="G86" s="37"/>
      <c r="H86" s="38"/>
      <c r="I86" s="44" t="s">
        <v>397</v>
      </c>
      <c r="J86" s="45" t="s">
        <v>398</v>
      </c>
      <c r="K86" s="46">
        <v>1</v>
      </c>
      <c r="L86" s="35"/>
      <c r="N86" s="57"/>
      <c r="O86" s="55" t="s">
        <v>398</v>
      </c>
      <c r="P86" s="38">
        <f>_11・初任</f>
        <v>0.7</v>
      </c>
      <c r="Q86" s="47">
        <f>ROUND((ROUND((ROUND((ROUND((_11_A身体増５．０*_11・基礎１),0)*_11・２人),0)*(1+_11・A深夜)),0)*_11・初任),0)</f>
        <v>610</v>
      </c>
      <c r="R86" s="48"/>
    </row>
    <row r="87" spans="1:18" ht="16.5" customHeight="1" x14ac:dyDescent="0.15">
      <c r="A87" s="41">
        <v>11</v>
      </c>
      <c r="B87" s="41">
        <v>2007</v>
      </c>
      <c r="C87" s="74" t="s">
        <v>3221</v>
      </c>
      <c r="D87" s="707" t="s">
        <v>993</v>
      </c>
      <c r="E87" s="717"/>
      <c r="F87" s="53"/>
      <c r="G87" s="49"/>
      <c r="H87" s="50"/>
      <c r="I87" s="44"/>
      <c r="J87" s="45"/>
      <c r="K87" s="46"/>
      <c r="L87" s="35"/>
      <c r="N87" s="57"/>
      <c r="O87" s="53"/>
      <c r="P87" s="49"/>
      <c r="Q87" s="47">
        <f>ROUND((_11_A身体増５．５*(1+_11・A深夜)),0)</f>
        <v>1370</v>
      </c>
      <c r="R87" s="48"/>
    </row>
    <row r="88" spans="1:18" ht="16.5" customHeight="1" x14ac:dyDescent="0.15">
      <c r="A88" s="41">
        <v>11</v>
      </c>
      <c r="B88" s="41">
        <v>2008</v>
      </c>
      <c r="C88" s="74" t="s">
        <v>3222</v>
      </c>
      <c r="D88" s="709"/>
      <c r="E88" s="718"/>
      <c r="F88" s="43"/>
      <c r="G88" s="37"/>
      <c r="H88" s="38"/>
      <c r="I88" s="44" t="s">
        <v>397</v>
      </c>
      <c r="J88" s="45" t="s">
        <v>398</v>
      </c>
      <c r="K88" s="46">
        <v>1</v>
      </c>
      <c r="L88" s="35"/>
      <c r="N88" s="57"/>
      <c r="O88" s="35"/>
      <c r="Q88" s="47">
        <f>ROUND((ROUND((_11_A身体増５．５*_11・２人),0)*(1+_11・A深夜)),0)</f>
        <v>1370</v>
      </c>
      <c r="R88" s="48"/>
    </row>
    <row r="89" spans="1:18" ht="16.5" customHeight="1" x14ac:dyDescent="0.15">
      <c r="A89" s="41">
        <v>11</v>
      </c>
      <c r="B89" s="41">
        <v>2009</v>
      </c>
      <c r="C89" s="74" t="s">
        <v>3223</v>
      </c>
      <c r="D89" s="709"/>
      <c r="E89" s="718"/>
      <c r="F89" s="705" t="s">
        <v>400</v>
      </c>
      <c r="G89" s="49" t="s">
        <v>398</v>
      </c>
      <c r="H89" s="50">
        <v>0.7</v>
      </c>
      <c r="I89" s="44"/>
      <c r="J89" s="45"/>
      <c r="K89" s="46"/>
      <c r="L89" s="35"/>
      <c r="N89" s="57"/>
      <c r="O89" s="35"/>
      <c r="Q89" s="47">
        <f>ROUND((ROUND((_11_A身体増５．５*_11・基礎１),0)*(1+_11・A深夜)),0)</f>
        <v>959</v>
      </c>
      <c r="R89" s="48"/>
    </row>
    <row r="90" spans="1:18" ht="16.5" customHeight="1" x14ac:dyDescent="0.15">
      <c r="A90" s="41">
        <v>11</v>
      </c>
      <c r="B90" s="41">
        <v>2010</v>
      </c>
      <c r="C90" s="74" t="s">
        <v>3224</v>
      </c>
      <c r="D90" s="100">
        <f>_11_A身体増５．５</f>
        <v>913</v>
      </c>
      <c r="E90" s="12" t="s">
        <v>392</v>
      </c>
      <c r="F90" s="711"/>
      <c r="G90" s="37"/>
      <c r="H90" s="38"/>
      <c r="I90" s="44" t="s">
        <v>397</v>
      </c>
      <c r="J90" s="45" t="s">
        <v>398</v>
      </c>
      <c r="K90" s="46">
        <v>1</v>
      </c>
      <c r="L90" s="35"/>
      <c r="N90" s="57"/>
      <c r="O90" s="43"/>
      <c r="P90" s="37"/>
      <c r="Q90" s="47">
        <f>ROUND((ROUND((ROUND((_11_A身体増５．５*_11・基礎１),0)*_11・２人),0)*(1+_11・A深夜)),0)</f>
        <v>959</v>
      </c>
      <c r="R90" s="48"/>
    </row>
    <row r="91" spans="1:18" ht="16.5" customHeight="1" x14ac:dyDescent="0.15">
      <c r="A91" s="41">
        <v>11</v>
      </c>
      <c r="B91" s="41" t="s">
        <v>3225</v>
      </c>
      <c r="C91" s="74" t="s">
        <v>3226</v>
      </c>
      <c r="D91" s="121"/>
      <c r="E91" s="99"/>
      <c r="F91" s="53"/>
      <c r="G91" s="49"/>
      <c r="H91" s="50"/>
      <c r="I91" s="44"/>
      <c r="J91" s="45"/>
      <c r="K91" s="46"/>
      <c r="L91" s="35"/>
      <c r="N91" s="57"/>
      <c r="O91" s="707" t="s">
        <v>404</v>
      </c>
      <c r="P91" s="708"/>
      <c r="Q91" s="47">
        <f>ROUND((ROUND((_11_A身体増５．５*(1+_11・A深夜)),0)*_11・初任),0)</f>
        <v>959</v>
      </c>
      <c r="R91" s="48"/>
    </row>
    <row r="92" spans="1:18" ht="16.5" customHeight="1" x14ac:dyDescent="0.15">
      <c r="A92" s="41">
        <v>11</v>
      </c>
      <c r="B92" s="41" t="s">
        <v>3227</v>
      </c>
      <c r="C92" s="74" t="s">
        <v>3228</v>
      </c>
      <c r="D92" s="121"/>
      <c r="E92" s="99"/>
      <c r="F92" s="43"/>
      <c r="G92" s="37"/>
      <c r="H92" s="38"/>
      <c r="I92" s="44" t="s">
        <v>397</v>
      </c>
      <c r="J92" s="45" t="s">
        <v>398</v>
      </c>
      <c r="K92" s="46">
        <v>1</v>
      </c>
      <c r="L92" s="35"/>
      <c r="N92" s="57"/>
      <c r="O92" s="709"/>
      <c r="P92" s="704"/>
      <c r="Q92" s="47">
        <f>ROUND((ROUND((ROUND((_11_A身体増５．５*_11・２人),0)*(1+_11・A深夜)),0)*_11・初任),0)</f>
        <v>959</v>
      </c>
      <c r="R92" s="48"/>
    </row>
    <row r="93" spans="1:18" ht="16.5" customHeight="1" x14ac:dyDescent="0.15">
      <c r="A93" s="41">
        <v>11</v>
      </c>
      <c r="B93" s="41" t="s">
        <v>3229</v>
      </c>
      <c r="C93" s="74" t="s">
        <v>3230</v>
      </c>
      <c r="D93" s="72"/>
      <c r="E93" s="99"/>
      <c r="F93" s="705" t="s">
        <v>400</v>
      </c>
      <c r="G93" s="49" t="s">
        <v>398</v>
      </c>
      <c r="H93" s="50">
        <v>0.7</v>
      </c>
      <c r="I93" s="44"/>
      <c r="J93" s="45"/>
      <c r="K93" s="46"/>
      <c r="L93" s="35"/>
      <c r="N93" s="57"/>
      <c r="O93" s="709"/>
      <c r="P93" s="704"/>
      <c r="Q93" s="47">
        <f>ROUND((ROUND((ROUND((_11_A身体増５．５*_11・基礎１),0)*(1+_11・A深夜)),0)*_11・初任),0)</f>
        <v>671</v>
      </c>
      <c r="R93" s="48"/>
    </row>
    <row r="94" spans="1:18" ht="16.5" customHeight="1" x14ac:dyDescent="0.15">
      <c r="A94" s="41">
        <v>11</v>
      </c>
      <c r="B94" s="41" t="s">
        <v>3231</v>
      </c>
      <c r="C94" s="74" t="s">
        <v>3232</v>
      </c>
      <c r="D94" s="72"/>
      <c r="E94" s="99"/>
      <c r="F94" s="711"/>
      <c r="G94" s="37"/>
      <c r="H94" s="38"/>
      <c r="I94" s="44" t="s">
        <v>397</v>
      </c>
      <c r="J94" s="45" t="s">
        <v>398</v>
      </c>
      <c r="K94" s="46">
        <v>1</v>
      </c>
      <c r="L94" s="35"/>
      <c r="N94" s="57"/>
      <c r="O94" s="55" t="s">
        <v>398</v>
      </c>
      <c r="P94" s="38">
        <f>_11・初任</f>
        <v>0.7</v>
      </c>
      <c r="Q94" s="47">
        <f>ROUND((ROUND((ROUND((ROUND((_11_A身体増５．５*_11・基礎１),0)*_11・２人),0)*(1+_11・A深夜)),0)*_11・初任),0)</f>
        <v>671</v>
      </c>
      <c r="R94" s="48"/>
    </row>
    <row r="95" spans="1:18" ht="16.5" customHeight="1" x14ac:dyDescent="0.15">
      <c r="A95" s="41">
        <v>11</v>
      </c>
      <c r="B95" s="41">
        <v>2011</v>
      </c>
      <c r="C95" s="74" t="s">
        <v>3233</v>
      </c>
      <c r="D95" s="707" t="s">
        <v>1006</v>
      </c>
      <c r="E95" s="717"/>
      <c r="F95" s="53"/>
      <c r="G95" s="49"/>
      <c r="H95" s="50"/>
      <c r="I95" s="44"/>
      <c r="J95" s="45"/>
      <c r="K95" s="46"/>
      <c r="L95" s="35"/>
      <c r="N95" s="57"/>
      <c r="O95" s="53"/>
      <c r="P95" s="49"/>
      <c r="Q95" s="47">
        <f>ROUND((_11_A身体増６．０*(1+_11・A深夜)),0)</f>
        <v>1494</v>
      </c>
      <c r="R95" s="48"/>
    </row>
    <row r="96" spans="1:18" ht="16.5" customHeight="1" x14ac:dyDescent="0.15">
      <c r="A96" s="41">
        <v>11</v>
      </c>
      <c r="B96" s="41">
        <v>2012</v>
      </c>
      <c r="C96" s="74" t="s">
        <v>3234</v>
      </c>
      <c r="D96" s="709"/>
      <c r="E96" s="718"/>
      <c r="F96" s="43"/>
      <c r="G96" s="37"/>
      <c r="H96" s="38"/>
      <c r="I96" s="44" t="s">
        <v>397</v>
      </c>
      <c r="J96" s="45" t="s">
        <v>398</v>
      </c>
      <c r="K96" s="46">
        <v>1</v>
      </c>
      <c r="L96" s="35"/>
      <c r="N96" s="57"/>
      <c r="O96" s="35"/>
      <c r="Q96" s="47">
        <f>ROUND((ROUND((_11_A身体増６．０*_11・２人),0)*(1+_11・A深夜)),0)</f>
        <v>1494</v>
      </c>
      <c r="R96" s="48"/>
    </row>
    <row r="97" spans="1:18" ht="16.5" customHeight="1" x14ac:dyDescent="0.15">
      <c r="A97" s="41">
        <v>11</v>
      </c>
      <c r="B97" s="41">
        <v>2013</v>
      </c>
      <c r="C97" s="74" t="s">
        <v>3235</v>
      </c>
      <c r="D97" s="709"/>
      <c r="E97" s="718"/>
      <c r="F97" s="705" t="s">
        <v>400</v>
      </c>
      <c r="G97" s="49" t="s">
        <v>398</v>
      </c>
      <c r="H97" s="50">
        <v>0.7</v>
      </c>
      <c r="I97" s="44"/>
      <c r="J97" s="45"/>
      <c r="K97" s="46"/>
      <c r="L97" s="35"/>
      <c r="N97" s="57"/>
      <c r="O97" s="35"/>
      <c r="Q97" s="47">
        <f>ROUND((ROUND((_11_A身体増６．０*_11・基礎１),0)*(1+_11・A深夜)),0)</f>
        <v>1046</v>
      </c>
      <c r="R97" s="48"/>
    </row>
    <row r="98" spans="1:18" ht="16.5" customHeight="1" x14ac:dyDescent="0.15">
      <c r="A98" s="41">
        <v>11</v>
      </c>
      <c r="B98" s="41">
        <v>2014</v>
      </c>
      <c r="C98" s="74" t="s">
        <v>3236</v>
      </c>
      <c r="D98" s="100">
        <f>_11_A身体増６．０</f>
        <v>996</v>
      </c>
      <c r="E98" s="12" t="s">
        <v>392</v>
      </c>
      <c r="F98" s="711"/>
      <c r="G98" s="37"/>
      <c r="H98" s="38"/>
      <c r="I98" s="44" t="s">
        <v>397</v>
      </c>
      <c r="J98" s="45" t="s">
        <v>398</v>
      </c>
      <c r="K98" s="46">
        <v>1</v>
      </c>
      <c r="L98" s="35"/>
      <c r="N98" s="57"/>
      <c r="O98" s="43"/>
      <c r="P98" s="37"/>
      <c r="Q98" s="47">
        <f>ROUND((ROUND((ROUND((_11_A身体増６．０*_11・基礎１),0)*_11・２人),0)*(1+_11・A深夜)),0)</f>
        <v>1046</v>
      </c>
      <c r="R98" s="48"/>
    </row>
    <row r="99" spans="1:18" ht="16.5" customHeight="1" x14ac:dyDescent="0.15">
      <c r="A99" s="41">
        <v>11</v>
      </c>
      <c r="B99" s="41" t="s">
        <v>3237</v>
      </c>
      <c r="C99" s="74" t="s">
        <v>3238</v>
      </c>
      <c r="D99" s="121"/>
      <c r="E99" s="99"/>
      <c r="F99" s="53"/>
      <c r="G99" s="49"/>
      <c r="H99" s="50"/>
      <c r="I99" s="44"/>
      <c r="J99" s="45"/>
      <c r="K99" s="46"/>
      <c r="L99" s="35"/>
      <c r="N99" s="57"/>
      <c r="O99" s="707" t="s">
        <v>404</v>
      </c>
      <c r="P99" s="708"/>
      <c r="Q99" s="47">
        <f>ROUND((ROUND((_11_A身体増６．０*(1+_11・A深夜)),0)*_11・初任),0)</f>
        <v>1046</v>
      </c>
      <c r="R99" s="48"/>
    </row>
    <row r="100" spans="1:18" ht="16.5" customHeight="1" x14ac:dyDescent="0.15">
      <c r="A100" s="41">
        <v>11</v>
      </c>
      <c r="B100" s="41" t="s">
        <v>3239</v>
      </c>
      <c r="C100" s="74" t="s">
        <v>3240</v>
      </c>
      <c r="D100" s="121"/>
      <c r="E100" s="99"/>
      <c r="F100" s="43"/>
      <c r="G100" s="37"/>
      <c r="H100" s="38"/>
      <c r="I100" s="44" t="s">
        <v>397</v>
      </c>
      <c r="J100" s="45" t="s">
        <v>398</v>
      </c>
      <c r="K100" s="46">
        <v>1</v>
      </c>
      <c r="L100" s="35"/>
      <c r="N100" s="57"/>
      <c r="O100" s="709"/>
      <c r="P100" s="704"/>
      <c r="Q100" s="47">
        <f>ROUND((ROUND((ROUND((_11_A身体増６．０*_11・２人),0)*(1+_11・A深夜)),0)*_11・初任),0)</f>
        <v>1046</v>
      </c>
      <c r="R100" s="48"/>
    </row>
    <row r="101" spans="1:18" ht="16.5" customHeight="1" x14ac:dyDescent="0.15">
      <c r="A101" s="41">
        <v>11</v>
      </c>
      <c r="B101" s="41" t="s">
        <v>3241</v>
      </c>
      <c r="C101" s="74" t="s">
        <v>3242</v>
      </c>
      <c r="D101" s="72"/>
      <c r="E101" s="99"/>
      <c r="F101" s="705" t="s">
        <v>400</v>
      </c>
      <c r="G101" s="49" t="s">
        <v>398</v>
      </c>
      <c r="H101" s="50">
        <v>0.7</v>
      </c>
      <c r="I101" s="44"/>
      <c r="J101" s="45"/>
      <c r="K101" s="46"/>
      <c r="L101" s="35"/>
      <c r="N101" s="57"/>
      <c r="O101" s="709"/>
      <c r="P101" s="704"/>
      <c r="Q101" s="47">
        <f>ROUND((ROUND((ROUND((_11_A身体増６．０*_11・基礎１),0)*(1+_11・A深夜)),0)*_11・初任),0)</f>
        <v>732</v>
      </c>
      <c r="R101" s="48"/>
    </row>
    <row r="102" spans="1:18" ht="16.5" customHeight="1" x14ac:dyDescent="0.15">
      <c r="A102" s="41">
        <v>11</v>
      </c>
      <c r="B102" s="41" t="s">
        <v>3243</v>
      </c>
      <c r="C102" s="74" t="s">
        <v>3244</v>
      </c>
      <c r="D102" s="72"/>
      <c r="E102" s="99"/>
      <c r="F102" s="711"/>
      <c r="G102" s="37"/>
      <c r="H102" s="38"/>
      <c r="I102" s="44" t="s">
        <v>397</v>
      </c>
      <c r="J102" s="45" t="s">
        <v>398</v>
      </c>
      <c r="K102" s="46">
        <v>1</v>
      </c>
      <c r="L102" s="35"/>
      <c r="N102" s="57"/>
      <c r="O102" s="55" t="s">
        <v>398</v>
      </c>
      <c r="P102" s="38">
        <f>_11・初任</f>
        <v>0.7</v>
      </c>
      <c r="Q102" s="47">
        <f>ROUND((ROUND((ROUND((ROUND((_11_A身体増６．０*_11・基礎１),0)*_11・２人),0)*(1+_11・A深夜)),0)*_11・初任),0)</f>
        <v>732</v>
      </c>
      <c r="R102" s="48"/>
    </row>
    <row r="103" spans="1:18" ht="16.5" customHeight="1" x14ac:dyDescent="0.15">
      <c r="A103" s="41">
        <v>11</v>
      </c>
      <c r="B103" s="41">
        <v>2015</v>
      </c>
      <c r="C103" s="74" t="s">
        <v>3245</v>
      </c>
      <c r="D103" s="707" t="s">
        <v>1019</v>
      </c>
      <c r="E103" s="717"/>
      <c r="F103" s="53"/>
      <c r="G103" s="49"/>
      <c r="H103" s="50"/>
      <c r="I103" s="44"/>
      <c r="J103" s="45"/>
      <c r="K103" s="46"/>
      <c r="L103" s="72"/>
      <c r="N103" s="57"/>
      <c r="O103" s="53"/>
      <c r="P103" s="49"/>
      <c r="Q103" s="47">
        <f>ROUND((_11_A身体増６．５*(1+_11・A深夜)),0)</f>
        <v>1619</v>
      </c>
      <c r="R103" s="48"/>
    </row>
    <row r="104" spans="1:18" ht="16.5" customHeight="1" x14ac:dyDescent="0.15">
      <c r="A104" s="41">
        <v>11</v>
      </c>
      <c r="B104" s="41">
        <v>2016</v>
      </c>
      <c r="C104" s="74" t="s">
        <v>3246</v>
      </c>
      <c r="D104" s="709"/>
      <c r="E104" s="718"/>
      <c r="F104" s="43"/>
      <c r="G104" s="37"/>
      <c r="H104" s="38"/>
      <c r="I104" s="44" t="s">
        <v>397</v>
      </c>
      <c r="J104" s="45" t="s">
        <v>398</v>
      </c>
      <c r="K104" s="46">
        <v>1</v>
      </c>
      <c r="L104" s="35"/>
      <c r="N104" s="728"/>
      <c r="O104" s="35"/>
      <c r="Q104" s="47">
        <f>ROUND((ROUND((_11_A身体増６．５*_11・２人),0)*(1+_11・A深夜)),0)</f>
        <v>1619</v>
      </c>
      <c r="R104" s="48"/>
    </row>
    <row r="105" spans="1:18" ht="16.5" customHeight="1" x14ac:dyDescent="0.15">
      <c r="A105" s="41">
        <v>11</v>
      </c>
      <c r="B105" s="41">
        <v>2017</v>
      </c>
      <c r="C105" s="74" t="s">
        <v>3247</v>
      </c>
      <c r="D105" s="709"/>
      <c r="E105" s="718"/>
      <c r="F105" s="705" t="s">
        <v>400</v>
      </c>
      <c r="G105" s="49" t="s">
        <v>398</v>
      </c>
      <c r="H105" s="50">
        <v>0.7</v>
      </c>
      <c r="I105" s="44"/>
      <c r="J105" s="45"/>
      <c r="K105" s="46"/>
      <c r="L105" s="35"/>
      <c r="N105" s="728"/>
      <c r="O105" s="35"/>
      <c r="Q105" s="47">
        <f>ROUND((ROUND((_11_A身体増６．５*_11・基礎１),0)*(1+_11・A深夜)),0)</f>
        <v>1133</v>
      </c>
      <c r="R105" s="48"/>
    </row>
    <row r="106" spans="1:18" ht="16.5" customHeight="1" x14ac:dyDescent="0.15">
      <c r="A106" s="41">
        <v>11</v>
      </c>
      <c r="B106" s="41">
        <v>2018</v>
      </c>
      <c r="C106" s="74" t="s">
        <v>3248</v>
      </c>
      <c r="D106" s="100">
        <f>_11_A身体増６．５</f>
        <v>1079</v>
      </c>
      <c r="E106" s="12" t="s">
        <v>392</v>
      </c>
      <c r="F106" s="711"/>
      <c r="G106" s="37"/>
      <c r="H106" s="38"/>
      <c r="I106" s="44" t="s">
        <v>397</v>
      </c>
      <c r="J106" s="45" t="s">
        <v>398</v>
      </c>
      <c r="K106" s="46">
        <v>1</v>
      </c>
      <c r="L106" s="35"/>
      <c r="N106" s="57"/>
      <c r="O106" s="43"/>
      <c r="P106" s="37"/>
      <c r="Q106" s="47">
        <f>ROUND((ROUND((ROUND((_11_A身体増６．５*_11・基礎１),0)*_11・２人),0)*(1+_11・A深夜)),0)</f>
        <v>1133</v>
      </c>
      <c r="R106" s="48"/>
    </row>
    <row r="107" spans="1:18" ht="16.5" customHeight="1" x14ac:dyDescent="0.15">
      <c r="A107" s="41">
        <v>11</v>
      </c>
      <c r="B107" s="41" t="s">
        <v>3249</v>
      </c>
      <c r="C107" s="74" t="s">
        <v>3250</v>
      </c>
      <c r="D107" s="121"/>
      <c r="E107" s="99"/>
      <c r="F107" s="53"/>
      <c r="G107" s="49"/>
      <c r="H107" s="50"/>
      <c r="I107" s="44"/>
      <c r="J107" s="45"/>
      <c r="K107" s="46"/>
      <c r="L107" s="35"/>
      <c r="N107" s="57"/>
      <c r="O107" s="707" t="s">
        <v>404</v>
      </c>
      <c r="P107" s="708"/>
      <c r="Q107" s="47">
        <f>ROUND((ROUND((_11_A身体増６．５*(1+_11・A深夜)),0)*_11・初任),0)</f>
        <v>1133</v>
      </c>
      <c r="R107" s="48"/>
    </row>
    <row r="108" spans="1:18" ht="16.5" customHeight="1" x14ac:dyDescent="0.15">
      <c r="A108" s="41">
        <v>11</v>
      </c>
      <c r="B108" s="41" t="s">
        <v>3251</v>
      </c>
      <c r="C108" s="74" t="s">
        <v>3252</v>
      </c>
      <c r="D108" s="121"/>
      <c r="E108" s="99"/>
      <c r="F108" s="43"/>
      <c r="G108" s="37"/>
      <c r="H108" s="38"/>
      <c r="I108" s="44" t="s">
        <v>397</v>
      </c>
      <c r="J108" s="45" t="s">
        <v>398</v>
      </c>
      <c r="K108" s="46">
        <v>1</v>
      </c>
      <c r="L108" s="35"/>
      <c r="N108" s="57"/>
      <c r="O108" s="709"/>
      <c r="P108" s="704"/>
      <c r="Q108" s="47">
        <f>ROUND((ROUND((ROUND((_11_A身体増６．５*_11・２人),0)*(1+_11・A深夜)),0)*_11・初任),0)</f>
        <v>1133</v>
      </c>
      <c r="R108" s="48"/>
    </row>
    <row r="109" spans="1:18" ht="16.5" customHeight="1" x14ac:dyDescent="0.15">
      <c r="A109" s="41">
        <v>11</v>
      </c>
      <c r="B109" s="41" t="s">
        <v>3253</v>
      </c>
      <c r="C109" s="74" t="s">
        <v>3254</v>
      </c>
      <c r="D109" s="72"/>
      <c r="E109" s="99"/>
      <c r="F109" s="705" t="s">
        <v>400</v>
      </c>
      <c r="G109" s="49" t="s">
        <v>398</v>
      </c>
      <c r="H109" s="50">
        <v>0.7</v>
      </c>
      <c r="I109" s="44"/>
      <c r="J109" s="45"/>
      <c r="K109" s="46"/>
      <c r="L109" s="35"/>
      <c r="N109" s="57"/>
      <c r="O109" s="709"/>
      <c r="P109" s="704"/>
      <c r="Q109" s="47">
        <f>ROUND((ROUND((ROUND((_11_A身体増６．５*_11・基礎１),0)*(1+_11・A深夜)),0)*_11・初任),0)</f>
        <v>793</v>
      </c>
      <c r="R109" s="48"/>
    </row>
    <row r="110" spans="1:18" ht="16.5" customHeight="1" x14ac:dyDescent="0.15">
      <c r="A110" s="41">
        <v>11</v>
      </c>
      <c r="B110" s="41" t="s">
        <v>3255</v>
      </c>
      <c r="C110" s="74" t="s">
        <v>3256</v>
      </c>
      <c r="D110" s="122"/>
      <c r="E110" s="111"/>
      <c r="F110" s="711"/>
      <c r="G110" s="37"/>
      <c r="H110" s="38"/>
      <c r="I110" s="44" t="s">
        <v>397</v>
      </c>
      <c r="J110" s="45" t="s">
        <v>398</v>
      </c>
      <c r="K110" s="46">
        <v>1</v>
      </c>
      <c r="L110" s="43"/>
      <c r="M110" s="38"/>
      <c r="N110" s="79"/>
      <c r="O110" s="55" t="s">
        <v>398</v>
      </c>
      <c r="P110" s="38">
        <f>_11・初任</f>
        <v>0.7</v>
      </c>
      <c r="Q110" s="47">
        <f>ROUND((ROUND((ROUND((ROUND((_11_A身体増６．５*_11・基礎１),0)*_11・２人),0)*(1+_11・A深夜)),0)*_11・初任),0)</f>
        <v>793</v>
      </c>
      <c r="R110" s="63"/>
    </row>
    <row r="111" spans="1:18" ht="16.5" customHeight="1" x14ac:dyDescent="0.15"/>
    <row r="112" spans="1:18" ht="16.5" customHeight="1" x14ac:dyDescent="0.15"/>
  </sheetData>
  <mergeCells count="55">
    <mergeCell ref="D103:E105"/>
    <mergeCell ref="N104:N105"/>
    <mergeCell ref="F105:F106"/>
    <mergeCell ref="O107:P109"/>
    <mergeCell ref="F109:F110"/>
    <mergeCell ref="O91:P93"/>
    <mergeCell ref="F93:F94"/>
    <mergeCell ref="D95:E97"/>
    <mergeCell ref="F97:F98"/>
    <mergeCell ref="O99:P101"/>
    <mergeCell ref="F101:F102"/>
    <mergeCell ref="D63:E65"/>
    <mergeCell ref="F65:F66"/>
    <mergeCell ref="D87:E89"/>
    <mergeCell ref="F89:F90"/>
    <mergeCell ref="O67:P69"/>
    <mergeCell ref="F69:F70"/>
    <mergeCell ref="D71:E73"/>
    <mergeCell ref="F73:F74"/>
    <mergeCell ref="O75:P77"/>
    <mergeCell ref="F77:F78"/>
    <mergeCell ref="D79:E81"/>
    <mergeCell ref="N80:N81"/>
    <mergeCell ref="F81:F82"/>
    <mergeCell ref="O83:P85"/>
    <mergeCell ref="F85:F86"/>
    <mergeCell ref="O51:P53"/>
    <mergeCell ref="F53:F54"/>
    <mergeCell ref="D55:E57"/>
    <mergeCell ref="F57:F58"/>
    <mergeCell ref="O59:P61"/>
    <mergeCell ref="F61:F62"/>
    <mergeCell ref="D39:E41"/>
    <mergeCell ref="F41:F42"/>
    <mergeCell ref="O43:P45"/>
    <mergeCell ref="F45:F46"/>
    <mergeCell ref="D47:E49"/>
    <mergeCell ref="F49:F50"/>
    <mergeCell ref="O27:P29"/>
    <mergeCell ref="F29:F30"/>
    <mergeCell ref="D31:E33"/>
    <mergeCell ref="F33:F34"/>
    <mergeCell ref="O35:P37"/>
    <mergeCell ref="F37:F38"/>
    <mergeCell ref="O19:P21"/>
    <mergeCell ref="F21:F22"/>
    <mergeCell ref="D23:E25"/>
    <mergeCell ref="F25:F26"/>
    <mergeCell ref="D15:E17"/>
    <mergeCell ref="F17:F18"/>
    <mergeCell ref="D7:E9"/>
    <mergeCell ref="N8:N9"/>
    <mergeCell ref="F9:F10"/>
    <mergeCell ref="O11:P13"/>
    <mergeCell ref="F13:F14"/>
  </mergeCells>
  <phoneticPr fontId="1"/>
  <printOptions horizontalCentered="1"/>
  <pageMargins left="0.70866141732283472" right="0.70866141732283472" top="0.74803149606299213" bottom="0.74803149606299213" header="0.31496062992125984" footer="0.31496062992125984"/>
  <pageSetup paperSize="9" scale="58" fitToHeight="0" orientation="portrait" r:id="rId1"/>
  <headerFooter>
    <oddHeader>&amp;R&amp;"ＭＳ Ｐゴシック"&amp;9居宅介護</oddHeader>
    <oddFooter>&amp;C&amp;"ＭＳ Ｐゴシック"&amp;14&amp;P</oddFooter>
  </headerFooter>
  <rowBreaks count="1" manualBreakCount="1">
    <brk id="78" max="17"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pageSetUpPr fitToPage="1"/>
  </sheetPr>
  <dimension ref="A1:P146"/>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4.5" style="10" bestFit="1" customWidth="1"/>
    <col min="4" max="4" width="6.5" style="10" bestFit="1" customWidth="1"/>
    <col min="5" max="5" width="5.5" style="117" bestFit="1" customWidth="1"/>
    <col min="6" max="6" width="27" style="14" bestFit="1" customWidth="1"/>
    <col min="7" max="7" width="3.5" style="12" bestFit="1" customWidth="1"/>
    <col min="8" max="8" width="5.5" style="13" bestFit="1" customWidth="1"/>
    <col min="9" max="9" width="3.5" style="12" bestFit="1" customWidth="1"/>
    <col min="10" max="10" width="4.5" style="13" bestFit="1" customWidth="1"/>
    <col min="11" max="11" width="5.5" style="12" bestFit="1" customWidth="1"/>
    <col min="12" max="12" width="17.875" style="12" customWidth="1"/>
    <col min="13" max="13" width="3.5" style="12" bestFit="1" customWidth="1"/>
    <col min="14" max="14" width="4.5" style="13" bestFit="1" customWidth="1"/>
    <col min="15" max="15" width="7.125" style="15" customWidth="1"/>
    <col min="16" max="16" width="8.5" style="16" customWidth="1"/>
    <col min="17" max="16384" width="8.875" style="12"/>
  </cols>
  <sheetData>
    <row r="1" spans="1:16" ht="17.100000000000001" customHeight="1" x14ac:dyDescent="0.15">
      <c r="D1" s="11"/>
    </row>
    <row r="2" spans="1:16" ht="17.100000000000001" customHeight="1" x14ac:dyDescent="0.15"/>
    <row r="3" spans="1:16" ht="17.100000000000001" customHeight="1" x14ac:dyDescent="0.15"/>
    <row r="4" spans="1:16" ht="17.100000000000001" customHeight="1" x14ac:dyDescent="0.15">
      <c r="B4" s="17" t="s">
        <v>3257</v>
      </c>
      <c r="D4" s="71"/>
    </row>
    <row r="5" spans="1:16" ht="16.5" customHeight="1" x14ac:dyDescent="0.15">
      <c r="A5" s="19" t="s">
        <v>384</v>
      </c>
      <c r="B5" s="20"/>
      <c r="C5" s="21" t="s">
        <v>385</v>
      </c>
      <c r="D5" s="23" t="s">
        <v>386</v>
      </c>
      <c r="E5" s="118"/>
      <c r="F5" s="23"/>
      <c r="G5" s="23"/>
      <c r="H5" s="24"/>
      <c r="I5" s="23"/>
      <c r="J5" s="24"/>
      <c r="K5" s="23"/>
      <c r="L5" s="23"/>
      <c r="M5" s="23"/>
      <c r="N5" s="24"/>
      <c r="O5" s="25" t="s">
        <v>387</v>
      </c>
      <c r="P5" s="21" t="s">
        <v>388</v>
      </c>
    </row>
    <row r="6" spans="1:16" ht="16.5" customHeight="1" x14ac:dyDescent="0.15">
      <c r="A6" s="26" t="s">
        <v>389</v>
      </c>
      <c r="B6" s="26" t="s">
        <v>390</v>
      </c>
      <c r="C6" s="27"/>
      <c r="D6" s="29"/>
      <c r="E6" s="120"/>
      <c r="F6" s="29"/>
      <c r="G6" s="29"/>
      <c r="H6" s="30"/>
      <c r="I6" s="29"/>
      <c r="J6" s="30"/>
      <c r="K6" s="29"/>
      <c r="L6" s="29"/>
      <c r="M6" s="29"/>
      <c r="N6" s="30"/>
      <c r="O6" s="31" t="s">
        <v>391</v>
      </c>
      <c r="P6" s="32" t="s">
        <v>392</v>
      </c>
    </row>
    <row r="7" spans="1:16" ht="16.5" customHeight="1" x14ac:dyDescent="0.15">
      <c r="A7" s="33">
        <v>11</v>
      </c>
      <c r="B7" s="33">
        <v>2019</v>
      </c>
      <c r="C7" s="34" t="s">
        <v>3258</v>
      </c>
      <c r="D7" s="709" t="s">
        <v>3259</v>
      </c>
      <c r="E7" s="718"/>
      <c r="F7" s="36"/>
      <c r="G7" s="37"/>
      <c r="H7" s="38"/>
      <c r="I7" s="35"/>
      <c r="K7" s="57"/>
      <c r="L7" s="35"/>
      <c r="O7" s="39">
        <f>_11_A重度研修１．０</f>
        <v>185</v>
      </c>
      <c r="P7" s="40" t="s">
        <v>395</v>
      </c>
    </row>
    <row r="8" spans="1:16" ht="16.5" customHeight="1" x14ac:dyDescent="0.15">
      <c r="A8" s="41">
        <v>11</v>
      </c>
      <c r="B8" s="41">
        <v>2020</v>
      </c>
      <c r="C8" s="74" t="s">
        <v>3260</v>
      </c>
      <c r="D8" s="709"/>
      <c r="E8" s="718"/>
      <c r="F8" s="44" t="s">
        <v>397</v>
      </c>
      <c r="G8" s="45" t="s">
        <v>398</v>
      </c>
      <c r="H8" s="46">
        <v>1</v>
      </c>
      <c r="I8" s="35"/>
      <c r="K8" s="57"/>
      <c r="L8" s="43"/>
      <c r="M8" s="37"/>
      <c r="N8" s="38"/>
      <c r="O8" s="47">
        <f>ROUND((_11_A重度研修１．０*_11・２人),0)</f>
        <v>185</v>
      </c>
      <c r="P8" s="48"/>
    </row>
    <row r="9" spans="1:16" ht="16.5" customHeight="1" x14ac:dyDescent="0.15">
      <c r="A9" s="41">
        <v>11</v>
      </c>
      <c r="B9" s="41" t="s">
        <v>3261</v>
      </c>
      <c r="C9" s="74" t="s">
        <v>3262</v>
      </c>
      <c r="D9" s="709"/>
      <c r="E9" s="718"/>
      <c r="F9" s="44"/>
      <c r="G9" s="45"/>
      <c r="H9" s="46"/>
      <c r="I9" s="35"/>
      <c r="K9" s="57"/>
      <c r="L9" s="734" t="s">
        <v>404</v>
      </c>
      <c r="M9" s="49" t="s">
        <v>398</v>
      </c>
      <c r="N9" s="50">
        <f>_11・初任</f>
        <v>0.7</v>
      </c>
      <c r="O9" s="47">
        <f>ROUND((_11_A重度研修１．０*_11・初任),0)</f>
        <v>130</v>
      </c>
      <c r="P9" s="48"/>
    </row>
    <row r="10" spans="1:16" ht="16.5" customHeight="1" x14ac:dyDescent="0.15">
      <c r="A10" s="41">
        <v>11</v>
      </c>
      <c r="B10" s="41" t="s">
        <v>3263</v>
      </c>
      <c r="C10" s="74" t="s">
        <v>3264</v>
      </c>
      <c r="D10" s="100">
        <f>_11_A重度研修１．０</f>
        <v>185</v>
      </c>
      <c r="E10" s="12" t="s">
        <v>392</v>
      </c>
      <c r="F10" s="44" t="s">
        <v>397</v>
      </c>
      <c r="G10" s="45" t="s">
        <v>398</v>
      </c>
      <c r="H10" s="46">
        <v>1</v>
      </c>
      <c r="I10" s="35"/>
      <c r="K10" s="57"/>
      <c r="L10" s="706"/>
      <c r="M10" s="37"/>
      <c r="N10" s="38"/>
      <c r="O10" s="47">
        <f>ROUND((ROUND((_11_A重度研修１．０*_11・２人),0)*_11・初任),0)</f>
        <v>130</v>
      </c>
      <c r="P10" s="48"/>
    </row>
    <row r="11" spans="1:16" ht="16.5" customHeight="1" x14ac:dyDescent="0.15">
      <c r="A11" s="41">
        <v>11</v>
      </c>
      <c r="B11" s="41">
        <v>2229</v>
      </c>
      <c r="C11" s="74" t="s">
        <v>3265</v>
      </c>
      <c r="D11" s="707" t="s">
        <v>3266</v>
      </c>
      <c r="E11" s="717"/>
      <c r="F11" s="44"/>
      <c r="G11" s="45"/>
      <c r="H11" s="46"/>
      <c r="I11" s="35"/>
      <c r="K11" s="57"/>
      <c r="L11" s="53"/>
      <c r="M11" s="49"/>
      <c r="N11" s="50"/>
      <c r="O11" s="47">
        <f>_11_A重度研修１．５</f>
        <v>275</v>
      </c>
      <c r="P11" s="48"/>
    </row>
    <row r="12" spans="1:16" ht="16.5" customHeight="1" x14ac:dyDescent="0.15">
      <c r="A12" s="41">
        <v>11</v>
      </c>
      <c r="B12" s="41">
        <v>2230</v>
      </c>
      <c r="C12" s="74" t="s">
        <v>3267</v>
      </c>
      <c r="D12" s="709"/>
      <c r="E12" s="718"/>
      <c r="F12" s="44" t="s">
        <v>397</v>
      </c>
      <c r="G12" s="45" t="s">
        <v>398</v>
      </c>
      <c r="H12" s="46">
        <v>1</v>
      </c>
      <c r="I12" s="35"/>
      <c r="K12" s="57"/>
      <c r="L12" s="43"/>
      <c r="M12" s="37"/>
      <c r="N12" s="38"/>
      <c r="O12" s="47">
        <f>ROUND((_11_A重度研修１．５*_11・２人),0)</f>
        <v>275</v>
      </c>
      <c r="P12" s="48"/>
    </row>
    <row r="13" spans="1:16" ht="16.5" customHeight="1" x14ac:dyDescent="0.15">
      <c r="A13" s="41">
        <v>11</v>
      </c>
      <c r="B13" s="41" t="s">
        <v>3268</v>
      </c>
      <c r="C13" s="74" t="s">
        <v>3269</v>
      </c>
      <c r="D13" s="709"/>
      <c r="E13" s="718"/>
      <c r="F13" s="44"/>
      <c r="G13" s="45"/>
      <c r="H13" s="46"/>
      <c r="I13" s="35"/>
      <c r="K13" s="57"/>
      <c r="L13" s="734" t="s">
        <v>404</v>
      </c>
      <c r="M13" s="49" t="s">
        <v>398</v>
      </c>
      <c r="N13" s="50">
        <f>_11・初任</f>
        <v>0.7</v>
      </c>
      <c r="O13" s="47">
        <f>ROUND((_11_A重度研修１．５*_11・初任),0)</f>
        <v>193</v>
      </c>
      <c r="P13" s="48"/>
    </row>
    <row r="14" spans="1:16" ht="16.5" customHeight="1" x14ac:dyDescent="0.15">
      <c r="A14" s="41">
        <v>11</v>
      </c>
      <c r="B14" s="41" t="s">
        <v>3270</v>
      </c>
      <c r="C14" s="74" t="s">
        <v>3271</v>
      </c>
      <c r="D14" s="100">
        <f>_11_A重度研修１．５</f>
        <v>275</v>
      </c>
      <c r="E14" s="12" t="s">
        <v>392</v>
      </c>
      <c r="F14" s="44" t="s">
        <v>397</v>
      </c>
      <c r="G14" s="45" t="s">
        <v>398</v>
      </c>
      <c r="H14" s="46">
        <v>1</v>
      </c>
      <c r="I14" s="35"/>
      <c r="K14" s="57"/>
      <c r="L14" s="706"/>
      <c r="M14" s="37"/>
      <c r="N14" s="38"/>
      <c r="O14" s="47">
        <f>ROUND((ROUND((_11_A重度研修１．５*_11・２人),0)*_11・初任),0)</f>
        <v>193</v>
      </c>
      <c r="P14" s="48"/>
    </row>
    <row r="15" spans="1:16" ht="16.5" customHeight="1" x14ac:dyDescent="0.15">
      <c r="A15" s="41">
        <v>11</v>
      </c>
      <c r="B15" s="41">
        <v>2021</v>
      </c>
      <c r="C15" s="74" t="s">
        <v>3272</v>
      </c>
      <c r="D15" s="707" t="s">
        <v>3273</v>
      </c>
      <c r="E15" s="717"/>
      <c r="F15" s="163"/>
      <c r="G15" s="45"/>
      <c r="H15" s="46"/>
      <c r="I15" s="35"/>
      <c r="K15" s="57"/>
      <c r="L15" s="53"/>
      <c r="M15" s="49"/>
      <c r="N15" s="50"/>
      <c r="O15" s="47">
        <f>_11_A重度研修２．０</f>
        <v>367</v>
      </c>
      <c r="P15" s="48"/>
    </row>
    <row r="16" spans="1:16" ht="16.5" customHeight="1" x14ac:dyDescent="0.15">
      <c r="A16" s="41">
        <v>11</v>
      </c>
      <c r="B16" s="41">
        <v>2022</v>
      </c>
      <c r="C16" s="74" t="s">
        <v>3274</v>
      </c>
      <c r="D16" s="709"/>
      <c r="E16" s="718"/>
      <c r="F16" s="164" t="s">
        <v>397</v>
      </c>
      <c r="G16" s="45" t="s">
        <v>398</v>
      </c>
      <c r="H16" s="46">
        <v>1</v>
      </c>
      <c r="I16" s="35"/>
      <c r="K16" s="57"/>
      <c r="L16" s="43"/>
      <c r="M16" s="37"/>
      <c r="N16" s="38"/>
      <c r="O16" s="47">
        <f>ROUND((_11_A重度研修２．０*_11・２人),0)</f>
        <v>367</v>
      </c>
      <c r="P16" s="48"/>
    </row>
    <row r="17" spans="1:16" ht="16.5" customHeight="1" x14ac:dyDescent="0.15">
      <c r="A17" s="41">
        <v>11</v>
      </c>
      <c r="B17" s="41" t="s">
        <v>3275</v>
      </c>
      <c r="C17" s="74" t="s">
        <v>3276</v>
      </c>
      <c r="D17" s="709"/>
      <c r="E17" s="718"/>
      <c r="F17" s="44"/>
      <c r="G17" s="45"/>
      <c r="H17" s="46"/>
      <c r="I17" s="35"/>
      <c r="K17" s="57"/>
      <c r="L17" s="734" t="s">
        <v>404</v>
      </c>
      <c r="M17" s="49" t="s">
        <v>398</v>
      </c>
      <c r="N17" s="50">
        <f>_11・初任</f>
        <v>0.7</v>
      </c>
      <c r="O17" s="47">
        <f>ROUND((_11_A重度研修２．０*_11・初任),0)</f>
        <v>257</v>
      </c>
      <c r="P17" s="48"/>
    </row>
    <row r="18" spans="1:16" ht="16.5" customHeight="1" x14ac:dyDescent="0.15">
      <c r="A18" s="41">
        <v>11</v>
      </c>
      <c r="B18" s="41" t="s">
        <v>3277</v>
      </c>
      <c r="C18" s="74" t="s">
        <v>3278</v>
      </c>
      <c r="D18" s="100">
        <f>_11_A重度研修２．０</f>
        <v>367</v>
      </c>
      <c r="E18" s="99" t="s">
        <v>3279</v>
      </c>
      <c r="F18" s="44" t="s">
        <v>397</v>
      </c>
      <c r="G18" s="45" t="s">
        <v>398</v>
      </c>
      <c r="H18" s="46">
        <v>1</v>
      </c>
      <c r="I18" s="35"/>
      <c r="K18" s="57"/>
      <c r="L18" s="706"/>
      <c r="M18" s="37"/>
      <c r="N18" s="38"/>
      <c r="O18" s="47">
        <f>ROUND((ROUND((_11_A重度研修２．０*_11・２人),0)*_11・初任),0)</f>
        <v>257</v>
      </c>
      <c r="P18" s="48"/>
    </row>
    <row r="19" spans="1:16" ht="16.5" customHeight="1" x14ac:dyDescent="0.15">
      <c r="A19" s="41">
        <v>11</v>
      </c>
      <c r="B19" s="41">
        <v>2231</v>
      </c>
      <c r="C19" s="74" t="s">
        <v>3280</v>
      </c>
      <c r="D19" s="707" t="s">
        <v>3281</v>
      </c>
      <c r="E19" s="717"/>
      <c r="F19" s="44"/>
      <c r="G19" s="45"/>
      <c r="H19" s="46"/>
      <c r="I19" s="35"/>
      <c r="K19" s="57"/>
      <c r="L19" s="53"/>
      <c r="M19" s="49"/>
      <c r="N19" s="50"/>
      <c r="O19" s="47">
        <f>_11_A重度研修２．５</f>
        <v>458</v>
      </c>
      <c r="P19" s="48"/>
    </row>
    <row r="20" spans="1:16" ht="16.5" customHeight="1" x14ac:dyDescent="0.15">
      <c r="A20" s="41">
        <v>11</v>
      </c>
      <c r="B20" s="41">
        <v>2232</v>
      </c>
      <c r="C20" s="74" t="s">
        <v>3282</v>
      </c>
      <c r="D20" s="709"/>
      <c r="E20" s="718"/>
      <c r="F20" s="44" t="s">
        <v>397</v>
      </c>
      <c r="G20" s="45" t="s">
        <v>398</v>
      </c>
      <c r="H20" s="46">
        <v>1</v>
      </c>
      <c r="I20" s="35"/>
      <c r="K20" s="57"/>
      <c r="L20" s="43"/>
      <c r="M20" s="37"/>
      <c r="N20" s="38"/>
      <c r="O20" s="47">
        <f>ROUND((_11_A重度研修２．５*_11・２人),0)</f>
        <v>458</v>
      </c>
      <c r="P20" s="48"/>
    </row>
    <row r="21" spans="1:16" ht="16.5" customHeight="1" x14ac:dyDescent="0.15">
      <c r="A21" s="41">
        <v>11</v>
      </c>
      <c r="B21" s="41" t="s">
        <v>3283</v>
      </c>
      <c r="C21" s="74" t="s">
        <v>3284</v>
      </c>
      <c r="D21" s="709"/>
      <c r="E21" s="718"/>
      <c r="F21" s="44"/>
      <c r="G21" s="45"/>
      <c r="H21" s="46"/>
      <c r="I21" s="35"/>
      <c r="K21" s="57"/>
      <c r="L21" s="734" t="s">
        <v>404</v>
      </c>
      <c r="M21" s="49" t="s">
        <v>398</v>
      </c>
      <c r="N21" s="50">
        <f>_11・初任</f>
        <v>0.7</v>
      </c>
      <c r="O21" s="47">
        <f>ROUND((_11_A重度研修２．５*_11・初任),0)</f>
        <v>321</v>
      </c>
      <c r="P21" s="48"/>
    </row>
    <row r="22" spans="1:16" ht="16.5" customHeight="1" x14ac:dyDescent="0.15">
      <c r="A22" s="41">
        <v>11</v>
      </c>
      <c r="B22" s="41" t="s">
        <v>3285</v>
      </c>
      <c r="C22" s="74" t="s">
        <v>3286</v>
      </c>
      <c r="D22" s="100">
        <f>_11_A重度研修２．５</f>
        <v>458</v>
      </c>
      <c r="E22" s="12" t="s">
        <v>392</v>
      </c>
      <c r="F22" s="44" t="s">
        <v>397</v>
      </c>
      <c r="G22" s="45" t="s">
        <v>398</v>
      </c>
      <c r="H22" s="46">
        <v>1</v>
      </c>
      <c r="I22" s="35"/>
      <c r="K22" s="57"/>
      <c r="L22" s="706"/>
      <c r="M22" s="37"/>
      <c r="N22" s="38"/>
      <c r="O22" s="47">
        <f>ROUND((ROUND((_11_A重度研修２．５*_11・２人),0)*_11・初任),0)</f>
        <v>321</v>
      </c>
      <c r="P22" s="48"/>
    </row>
    <row r="23" spans="1:16" ht="16.5" customHeight="1" x14ac:dyDescent="0.15">
      <c r="A23" s="41">
        <v>11</v>
      </c>
      <c r="B23" s="41">
        <v>2023</v>
      </c>
      <c r="C23" s="74" t="s">
        <v>3287</v>
      </c>
      <c r="D23" s="707" t="s">
        <v>3288</v>
      </c>
      <c r="E23" s="717"/>
      <c r="F23" s="44"/>
      <c r="G23" s="45"/>
      <c r="H23" s="46"/>
      <c r="I23" s="35"/>
      <c r="K23" s="57"/>
      <c r="L23" s="53"/>
      <c r="M23" s="49"/>
      <c r="N23" s="50"/>
      <c r="O23" s="47">
        <f>_11_A重度研修３．０</f>
        <v>550</v>
      </c>
      <c r="P23" s="48"/>
    </row>
    <row r="24" spans="1:16" ht="16.5" customHeight="1" x14ac:dyDescent="0.15">
      <c r="A24" s="41">
        <v>11</v>
      </c>
      <c r="B24" s="41">
        <v>2024</v>
      </c>
      <c r="C24" s="74" t="s">
        <v>3289</v>
      </c>
      <c r="D24" s="709"/>
      <c r="E24" s="718"/>
      <c r="F24" s="44" t="s">
        <v>397</v>
      </c>
      <c r="G24" s="45" t="s">
        <v>398</v>
      </c>
      <c r="H24" s="46">
        <v>1</v>
      </c>
      <c r="I24" s="35"/>
      <c r="K24" s="57"/>
      <c r="L24" s="43"/>
      <c r="M24" s="37"/>
      <c r="N24" s="38"/>
      <c r="O24" s="47">
        <f>ROUND((_11_A重度研修３．０*_11・２人),0)</f>
        <v>550</v>
      </c>
      <c r="P24" s="48"/>
    </row>
    <row r="25" spans="1:16" ht="16.5" customHeight="1" x14ac:dyDescent="0.15">
      <c r="A25" s="41">
        <v>11</v>
      </c>
      <c r="B25" s="41" t="s">
        <v>3290</v>
      </c>
      <c r="C25" s="74" t="s">
        <v>3291</v>
      </c>
      <c r="D25" s="709"/>
      <c r="E25" s="718"/>
      <c r="F25" s="44"/>
      <c r="G25" s="45"/>
      <c r="H25" s="46"/>
      <c r="I25" s="35"/>
      <c r="K25" s="57"/>
      <c r="L25" s="734" t="s">
        <v>404</v>
      </c>
      <c r="M25" s="49" t="s">
        <v>398</v>
      </c>
      <c r="N25" s="50">
        <f>_11・初任</f>
        <v>0.7</v>
      </c>
      <c r="O25" s="47">
        <f>ROUND((_11_A重度研修３．０*_11・初任),0)</f>
        <v>385</v>
      </c>
      <c r="P25" s="48"/>
    </row>
    <row r="26" spans="1:16" ht="16.5" customHeight="1" x14ac:dyDescent="0.15">
      <c r="A26" s="41">
        <v>11</v>
      </c>
      <c r="B26" s="41" t="s">
        <v>3292</v>
      </c>
      <c r="C26" s="74" t="s">
        <v>3293</v>
      </c>
      <c r="D26" s="100">
        <f>_11_A重度研修３．０</f>
        <v>550</v>
      </c>
      <c r="E26" s="12" t="s">
        <v>392</v>
      </c>
      <c r="F26" s="44" t="s">
        <v>397</v>
      </c>
      <c r="G26" s="45" t="s">
        <v>398</v>
      </c>
      <c r="H26" s="46">
        <v>1</v>
      </c>
      <c r="I26" s="35"/>
      <c r="K26" s="57"/>
      <c r="L26" s="706"/>
      <c r="M26" s="37"/>
      <c r="N26" s="38"/>
      <c r="O26" s="47">
        <f>ROUND((ROUND((_11_A重度研修３．０*_11・２人),0)*_11・初任),0)</f>
        <v>385</v>
      </c>
      <c r="P26" s="48"/>
    </row>
    <row r="27" spans="1:16" ht="16.5" customHeight="1" x14ac:dyDescent="0.15">
      <c r="A27" s="41">
        <v>11</v>
      </c>
      <c r="B27" s="41">
        <v>2025</v>
      </c>
      <c r="C27" s="74" t="s">
        <v>3294</v>
      </c>
      <c r="D27" s="707" t="s">
        <v>3295</v>
      </c>
      <c r="E27" s="717"/>
      <c r="F27" s="44"/>
      <c r="G27" s="45"/>
      <c r="H27" s="46"/>
      <c r="I27" s="35"/>
      <c r="K27" s="57"/>
      <c r="L27" s="53"/>
      <c r="M27" s="49"/>
      <c r="N27" s="50"/>
      <c r="O27" s="47">
        <f>_11_A重度研修３．５</f>
        <v>635</v>
      </c>
      <c r="P27" s="48"/>
    </row>
    <row r="28" spans="1:16" ht="16.5" customHeight="1" x14ac:dyDescent="0.15">
      <c r="A28" s="41">
        <v>11</v>
      </c>
      <c r="B28" s="41">
        <v>2026</v>
      </c>
      <c r="C28" s="74" t="s">
        <v>3296</v>
      </c>
      <c r="D28" s="709"/>
      <c r="E28" s="718"/>
      <c r="F28" s="44" t="s">
        <v>397</v>
      </c>
      <c r="G28" s="45" t="s">
        <v>398</v>
      </c>
      <c r="H28" s="46">
        <v>1</v>
      </c>
      <c r="I28" s="35"/>
      <c r="K28" s="57"/>
      <c r="L28" s="43"/>
      <c r="M28" s="37"/>
      <c r="N28" s="38"/>
      <c r="O28" s="47">
        <f>ROUND((_11_A重度研修３．５*_11・２人),0)</f>
        <v>635</v>
      </c>
      <c r="P28" s="48"/>
    </row>
    <row r="29" spans="1:16" ht="16.5" customHeight="1" x14ac:dyDescent="0.15">
      <c r="A29" s="41">
        <v>11</v>
      </c>
      <c r="B29" s="41" t="s">
        <v>3297</v>
      </c>
      <c r="C29" s="74" t="s">
        <v>3298</v>
      </c>
      <c r="D29" s="709"/>
      <c r="E29" s="718"/>
      <c r="F29" s="44"/>
      <c r="G29" s="45"/>
      <c r="H29" s="46"/>
      <c r="I29" s="35"/>
      <c r="K29" s="57"/>
      <c r="L29" s="734" t="s">
        <v>404</v>
      </c>
      <c r="M29" s="49" t="s">
        <v>398</v>
      </c>
      <c r="N29" s="50">
        <f>_11・初任</f>
        <v>0.7</v>
      </c>
      <c r="O29" s="47">
        <f>ROUND((_11_A重度研修３．５*_11・初任),0)</f>
        <v>445</v>
      </c>
      <c r="P29" s="48"/>
    </row>
    <row r="30" spans="1:16" ht="16.5" customHeight="1" x14ac:dyDescent="0.15">
      <c r="A30" s="41">
        <v>11</v>
      </c>
      <c r="B30" s="41" t="s">
        <v>3299</v>
      </c>
      <c r="C30" s="74" t="s">
        <v>3300</v>
      </c>
      <c r="D30" s="100">
        <f>_11_A重度研修３．５</f>
        <v>635</v>
      </c>
      <c r="E30" s="12" t="s">
        <v>392</v>
      </c>
      <c r="F30" s="44" t="s">
        <v>397</v>
      </c>
      <c r="G30" s="45" t="s">
        <v>398</v>
      </c>
      <c r="H30" s="46">
        <v>1</v>
      </c>
      <c r="I30" s="35"/>
      <c r="K30" s="57"/>
      <c r="L30" s="706"/>
      <c r="M30" s="37"/>
      <c r="N30" s="38"/>
      <c r="O30" s="47">
        <f>ROUND((ROUND((_11_A重度研修３．５*_11・２人),0)*_11・初任),0)</f>
        <v>445</v>
      </c>
      <c r="P30" s="48"/>
    </row>
    <row r="31" spans="1:16" ht="16.5" customHeight="1" x14ac:dyDescent="0.15">
      <c r="A31" s="41">
        <v>11</v>
      </c>
      <c r="B31" s="41">
        <v>2027</v>
      </c>
      <c r="C31" s="74" t="s">
        <v>3301</v>
      </c>
      <c r="D31" s="707" t="s">
        <v>3302</v>
      </c>
      <c r="E31" s="717"/>
      <c r="F31" s="44"/>
      <c r="G31" s="45"/>
      <c r="H31" s="46"/>
      <c r="I31" s="35"/>
      <c r="K31" s="57"/>
      <c r="L31" s="53"/>
      <c r="M31" s="49"/>
      <c r="N31" s="50"/>
      <c r="O31" s="47">
        <f>_11_A重度研修４．０</f>
        <v>721</v>
      </c>
      <c r="P31" s="48"/>
    </row>
    <row r="32" spans="1:16" ht="16.5" customHeight="1" x14ac:dyDescent="0.15">
      <c r="A32" s="41">
        <v>11</v>
      </c>
      <c r="B32" s="41">
        <v>2028</v>
      </c>
      <c r="C32" s="74" t="s">
        <v>3303</v>
      </c>
      <c r="D32" s="709"/>
      <c r="E32" s="718"/>
      <c r="F32" s="44" t="s">
        <v>397</v>
      </c>
      <c r="G32" s="45" t="s">
        <v>398</v>
      </c>
      <c r="H32" s="46">
        <v>1</v>
      </c>
      <c r="I32" s="35"/>
      <c r="K32" s="57"/>
      <c r="L32" s="43"/>
      <c r="M32" s="37"/>
      <c r="N32" s="38"/>
      <c r="O32" s="47">
        <f>ROUND((_11_A重度研修４．０*_11・２人),0)</f>
        <v>721</v>
      </c>
      <c r="P32" s="48"/>
    </row>
    <row r="33" spans="1:16" ht="16.5" customHeight="1" x14ac:dyDescent="0.15">
      <c r="A33" s="41">
        <v>11</v>
      </c>
      <c r="B33" s="41" t="s">
        <v>3304</v>
      </c>
      <c r="C33" s="74" t="s">
        <v>3305</v>
      </c>
      <c r="D33" s="709"/>
      <c r="E33" s="718"/>
      <c r="F33" s="44"/>
      <c r="G33" s="45"/>
      <c r="H33" s="46"/>
      <c r="I33" s="35"/>
      <c r="K33" s="57"/>
      <c r="L33" s="734" t="s">
        <v>404</v>
      </c>
      <c r="M33" s="49" t="s">
        <v>398</v>
      </c>
      <c r="N33" s="50">
        <f>_11・初任</f>
        <v>0.7</v>
      </c>
      <c r="O33" s="47">
        <f>ROUND((_11_A重度研修４．０*_11・初任),0)</f>
        <v>505</v>
      </c>
      <c r="P33" s="48"/>
    </row>
    <row r="34" spans="1:16" ht="16.5" customHeight="1" x14ac:dyDescent="0.15">
      <c r="A34" s="41">
        <v>11</v>
      </c>
      <c r="B34" s="41" t="s">
        <v>3306</v>
      </c>
      <c r="C34" s="74" t="s">
        <v>3307</v>
      </c>
      <c r="D34" s="100">
        <f>_11_A重度研修４．０</f>
        <v>721</v>
      </c>
      <c r="E34" s="12" t="s">
        <v>392</v>
      </c>
      <c r="F34" s="44" t="s">
        <v>397</v>
      </c>
      <c r="G34" s="45" t="s">
        <v>398</v>
      </c>
      <c r="H34" s="46">
        <v>1</v>
      </c>
      <c r="I34" s="35"/>
      <c r="K34" s="57"/>
      <c r="L34" s="706"/>
      <c r="M34" s="37"/>
      <c r="N34" s="38"/>
      <c r="O34" s="47">
        <f>ROUND((ROUND((_11_A重度研修４．０*_11・２人),0)*_11・初任),0)</f>
        <v>505</v>
      </c>
      <c r="P34" s="48"/>
    </row>
    <row r="35" spans="1:16" ht="16.5" customHeight="1" x14ac:dyDescent="0.15">
      <c r="A35" s="41">
        <v>11</v>
      </c>
      <c r="B35" s="41">
        <v>2029</v>
      </c>
      <c r="C35" s="74" t="s">
        <v>3308</v>
      </c>
      <c r="D35" s="707" t="s">
        <v>3309</v>
      </c>
      <c r="E35" s="717"/>
      <c r="F35" s="44"/>
      <c r="G35" s="45"/>
      <c r="H35" s="46"/>
      <c r="I35" s="35"/>
      <c r="K35" s="57"/>
      <c r="L35" s="53"/>
      <c r="M35" s="49"/>
      <c r="N35" s="50"/>
      <c r="O35" s="47">
        <f>_11_A重度研修４．５</f>
        <v>807</v>
      </c>
      <c r="P35" s="48"/>
    </row>
    <row r="36" spans="1:16" ht="16.5" customHeight="1" x14ac:dyDescent="0.15">
      <c r="A36" s="41">
        <v>11</v>
      </c>
      <c r="B36" s="41">
        <v>2030</v>
      </c>
      <c r="C36" s="74" t="s">
        <v>3310</v>
      </c>
      <c r="D36" s="709"/>
      <c r="E36" s="718"/>
      <c r="F36" s="44" t="s">
        <v>397</v>
      </c>
      <c r="G36" s="45" t="s">
        <v>398</v>
      </c>
      <c r="H36" s="46">
        <v>1</v>
      </c>
      <c r="I36" s="35"/>
      <c r="K36" s="57"/>
      <c r="L36" s="43"/>
      <c r="M36" s="37"/>
      <c r="N36" s="38"/>
      <c r="O36" s="47">
        <f>ROUND((_11_A重度研修４．５*_11・２人),0)</f>
        <v>807</v>
      </c>
      <c r="P36" s="48"/>
    </row>
    <row r="37" spans="1:16" ht="16.5" customHeight="1" x14ac:dyDescent="0.15">
      <c r="A37" s="41">
        <v>11</v>
      </c>
      <c r="B37" s="41" t="s">
        <v>3311</v>
      </c>
      <c r="C37" s="74" t="s">
        <v>3312</v>
      </c>
      <c r="D37" s="709"/>
      <c r="E37" s="718"/>
      <c r="F37" s="44"/>
      <c r="G37" s="45"/>
      <c r="H37" s="46"/>
      <c r="I37" s="35"/>
      <c r="K37" s="57"/>
      <c r="L37" s="734" t="s">
        <v>404</v>
      </c>
      <c r="M37" s="49" t="s">
        <v>398</v>
      </c>
      <c r="N37" s="50">
        <f>_11・初任</f>
        <v>0.7</v>
      </c>
      <c r="O37" s="47">
        <f>ROUND((_11_A重度研修４．５*_11・初任),0)</f>
        <v>565</v>
      </c>
      <c r="P37" s="48"/>
    </row>
    <row r="38" spans="1:16" ht="16.5" customHeight="1" x14ac:dyDescent="0.15">
      <c r="A38" s="41">
        <v>11</v>
      </c>
      <c r="B38" s="41" t="s">
        <v>3313</v>
      </c>
      <c r="C38" s="74" t="s">
        <v>3314</v>
      </c>
      <c r="D38" s="100">
        <f>_11_A重度研修４．５</f>
        <v>807</v>
      </c>
      <c r="E38" s="12" t="s">
        <v>392</v>
      </c>
      <c r="F38" s="44" t="s">
        <v>397</v>
      </c>
      <c r="G38" s="45" t="s">
        <v>398</v>
      </c>
      <c r="H38" s="46">
        <v>1</v>
      </c>
      <c r="I38" s="35"/>
      <c r="K38" s="57"/>
      <c r="L38" s="706"/>
      <c r="M38" s="37"/>
      <c r="N38" s="38"/>
      <c r="O38" s="47">
        <f>ROUND((ROUND((_11_A重度研修４．５*_11・２人),0)*_11・初任),0)</f>
        <v>565</v>
      </c>
      <c r="P38" s="48"/>
    </row>
    <row r="39" spans="1:16" ht="16.5" customHeight="1" x14ac:dyDescent="0.15">
      <c r="A39" s="41">
        <v>11</v>
      </c>
      <c r="B39" s="41">
        <v>2031</v>
      </c>
      <c r="C39" s="74" t="s">
        <v>3315</v>
      </c>
      <c r="D39" s="707" t="s">
        <v>3316</v>
      </c>
      <c r="E39" s="717"/>
      <c r="F39" s="44"/>
      <c r="G39" s="45"/>
      <c r="H39" s="46"/>
      <c r="I39" s="35"/>
      <c r="K39" s="57"/>
      <c r="L39" s="53"/>
      <c r="M39" s="49"/>
      <c r="N39" s="50"/>
      <c r="O39" s="47">
        <f>_11_A重度研修５．０</f>
        <v>893</v>
      </c>
      <c r="P39" s="48"/>
    </row>
    <row r="40" spans="1:16" ht="16.5" customHeight="1" x14ac:dyDescent="0.15">
      <c r="A40" s="41">
        <v>11</v>
      </c>
      <c r="B40" s="41">
        <v>2032</v>
      </c>
      <c r="C40" s="74" t="s">
        <v>3317</v>
      </c>
      <c r="D40" s="709"/>
      <c r="E40" s="718"/>
      <c r="F40" s="44" t="s">
        <v>397</v>
      </c>
      <c r="G40" s="45" t="s">
        <v>398</v>
      </c>
      <c r="H40" s="46">
        <v>1</v>
      </c>
      <c r="I40" s="35"/>
      <c r="K40" s="57"/>
      <c r="L40" s="43"/>
      <c r="M40" s="37"/>
      <c r="N40" s="38"/>
      <c r="O40" s="47">
        <f>ROUND((_11_A重度研修５．０*_11・２人),0)</f>
        <v>893</v>
      </c>
      <c r="P40" s="48"/>
    </row>
    <row r="41" spans="1:16" ht="16.5" customHeight="1" x14ac:dyDescent="0.15">
      <c r="A41" s="41">
        <v>11</v>
      </c>
      <c r="B41" s="41" t="s">
        <v>3318</v>
      </c>
      <c r="C41" s="74" t="s">
        <v>3319</v>
      </c>
      <c r="D41" s="709"/>
      <c r="E41" s="718"/>
      <c r="F41" s="44"/>
      <c r="G41" s="45"/>
      <c r="H41" s="46"/>
      <c r="I41" s="35"/>
      <c r="K41" s="57"/>
      <c r="L41" s="734" t="s">
        <v>404</v>
      </c>
      <c r="M41" s="49" t="s">
        <v>398</v>
      </c>
      <c r="N41" s="50">
        <f>_11・初任</f>
        <v>0.7</v>
      </c>
      <c r="O41" s="47">
        <f>ROUND((_11_A重度研修５．０*_11・初任),0)</f>
        <v>625</v>
      </c>
      <c r="P41" s="48"/>
    </row>
    <row r="42" spans="1:16" ht="16.5" customHeight="1" x14ac:dyDescent="0.15">
      <c r="A42" s="41">
        <v>11</v>
      </c>
      <c r="B42" s="41" t="s">
        <v>3320</v>
      </c>
      <c r="C42" s="74" t="s">
        <v>3321</v>
      </c>
      <c r="D42" s="100">
        <f>_11_A重度研修５．０</f>
        <v>893</v>
      </c>
      <c r="E42" s="12" t="s">
        <v>392</v>
      </c>
      <c r="F42" s="44" t="s">
        <v>397</v>
      </c>
      <c r="G42" s="45" t="s">
        <v>398</v>
      </c>
      <c r="H42" s="46">
        <v>1</v>
      </c>
      <c r="I42" s="35"/>
      <c r="K42" s="57"/>
      <c r="L42" s="706"/>
      <c r="M42" s="37"/>
      <c r="N42" s="38"/>
      <c r="O42" s="47">
        <f>ROUND((ROUND((_11_A重度研修５．０*_11・２人),0)*_11・初任),0)</f>
        <v>625</v>
      </c>
      <c r="P42" s="48"/>
    </row>
    <row r="43" spans="1:16" ht="16.5" customHeight="1" x14ac:dyDescent="0.15">
      <c r="A43" s="41">
        <v>11</v>
      </c>
      <c r="B43" s="41">
        <v>2033</v>
      </c>
      <c r="C43" s="74" t="s">
        <v>3322</v>
      </c>
      <c r="D43" s="707" t="s">
        <v>3323</v>
      </c>
      <c r="E43" s="717"/>
      <c r="F43" s="44"/>
      <c r="G43" s="45"/>
      <c r="H43" s="46"/>
      <c r="I43" s="35"/>
      <c r="K43" s="57"/>
      <c r="L43" s="53"/>
      <c r="M43" s="49"/>
      <c r="N43" s="50"/>
      <c r="O43" s="47">
        <f>_11_A重度研修５．５</f>
        <v>979</v>
      </c>
      <c r="P43" s="48"/>
    </row>
    <row r="44" spans="1:16" ht="16.5" customHeight="1" x14ac:dyDescent="0.15">
      <c r="A44" s="41">
        <v>11</v>
      </c>
      <c r="B44" s="41">
        <v>2034</v>
      </c>
      <c r="C44" s="74" t="s">
        <v>3324</v>
      </c>
      <c r="D44" s="709"/>
      <c r="E44" s="718"/>
      <c r="F44" s="44" t="s">
        <v>397</v>
      </c>
      <c r="G44" s="45" t="s">
        <v>398</v>
      </c>
      <c r="H44" s="46">
        <v>1</v>
      </c>
      <c r="I44" s="35"/>
      <c r="K44" s="57"/>
      <c r="L44" s="43"/>
      <c r="M44" s="37"/>
      <c r="N44" s="38"/>
      <c r="O44" s="47">
        <f>ROUND((_11_A重度研修５．５*_11・２人),0)</f>
        <v>979</v>
      </c>
      <c r="P44" s="48"/>
    </row>
    <row r="45" spans="1:16" ht="16.5" customHeight="1" x14ac:dyDescent="0.15">
      <c r="A45" s="41">
        <v>11</v>
      </c>
      <c r="B45" s="41" t="s">
        <v>3325</v>
      </c>
      <c r="C45" s="74" t="s">
        <v>3326</v>
      </c>
      <c r="D45" s="709"/>
      <c r="E45" s="718"/>
      <c r="F45" s="44"/>
      <c r="G45" s="45"/>
      <c r="H45" s="46"/>
      <c r="I45" s="35"/>
      <c r="K45" s="57"/>
      <c r="L45" s="734" t="s">
        <v>404</v>
      </c>
      <c r="M45" s="49" t="s">
        <v>398</v>
      </c>
      <c r="N45" s="50">
        <f>_11・初任</f>
        <v>0.7</v>
      </c>
      <c r="O45" s="47">
        <f>ROUND((_11_A重度研修５．５*_11・初任),0)</f>
        <v>685</v>
      </c>
      <c r="P45" s="48"/>
    </row>
    <row r="46" spans="1:16" ht="16.5" customHeight="1" x14ac:dyDescent="0.15">
      <c r="A46" s="41">
        <v>11</v>
      </c>
      <c r="B46" s="41" t="s">
        <v>3327</v>
      </c>
      <c r="C46" s="74" t="s">
        <v>3328</v>
      </c>
      <c r="D46" s="100">
        <f>_11_A重度研修５．５</f>
        <v>979</v>
      </c>
      <c r="E46" s="12" t="s">
        <v>392</v>
      </c>
      <c r="F46" s="44" t="s">
        <v>397</v>
      </c>
      <c r="G46" s="45" t="s">
        <v>398</v>
      </c>
      <c r="H46" s="46">
        <v>1</v>
      </c>
      <c r="I46" s="35"/>
      <c r="K46" s="57"/>
      <c r="L46" s="706"/>
      <c r="M46" s="37"/>
      <c r="N46" s="38"/>
      <c r="O46" s="47">
        <f>ROUND((ROUND((_11_A重度研修５．５*_11・２人),0)*_11・初任),0)</f>
        <v>685</v>
      </c>
      <c r="P46" s="48"/>
    </row>
    <row r="47" spans="1:16" ht="16.5" customHeight="1" x14ac:dyDescent="0.15">
      <c r="A47" s="41">
        <v>11</v>
      </c>
      <c r="B47" s="41">
        <v>2035</v>
      </c>
      <c r="C47" s="74" t="s">
        <v>3329</v>
      </c>
      <c r="D47" s="707" t="s">
        <v>3330</v>
      </c>
      <c r="E47" s="717"/>
      <c r="F47" s="44"/>
      <c r="G47" s="45"/>
      <c r="H47" s="46"/>
      <c r="I47" s="35"/>
      <c r="K47" s="57"/>
      <c r="L47" s="53"/>
      <c r="M47" s="49"/>
      <c r="N47" s="50"/>
      <c r="O47" s="47">
        <f>_11_A重度研修６．０</f>
        <v>1065</v>
      </c>
      <c r="P47" s="48"/>
    </row>
    <row r="48" spans="1:16" ht="16.5" customHeight="1" x14ac:dyDescent="0.15">
      <c r="A48" s="41">
        <v>11</v>
      </c>
      <c r="B48" s="41">
        <v>2036</v>
      </c>
      <c r="C48" s="74" t="s">
        <v>3331</v>
      </c>
      <c r="D48" s="709"/>
      <c r="E48" s="718"/>
      <c r="F48" s="44" t="s">
        <v>397</v>
      </c>
      <c r="G48" s="45" t="s">
        <v>398</v>
      </c>
      <c r="H48" s="46">
        <v>1</v>
      </c>
      <c r="I48" s="35"/>
      <c r="K48" s="57"/>
      <c r="L48" s="43"/>
      <c r="M48" s="37"/>
      <c r="N48" s="38"/>
      <c r="O48" s="47">
        <f>ROUND((_11_A重度研修６．０*_11・２人),0)</f>
        <v>1065</v>
      </c>
      <c r="P48" s="48"/>
    </row>
    <row r="49" spans="1:16" ht="16.5" customHeight="1" x14ac:dyDescent="0.15">
      <c r="A49" s="41">
        <v>11</v>
      </c>
      <c r="B49" s="41" t="s">
        <v>3332</v>
      </c>
      <c r="C49" s="74" t="s">
        <v>3333</v>
      </c>
      <c r="D49" s="709"/>
      <c r="E49" s="718"/>
      <c r="F49" s="44"/>
      <c r="G49" s="45"/>
      <c r="H49" s="46"/>
      <c r="I49" s="35"/>
      <c r="K49" s="57"/>
      <c r="L49" s="734" t="s">
        <v>404</v>
      </c>
      <c r="M49" s="49" t="s">
        <v>398</v>
      </c>
      <c r="N49" s="50">
        <f>_11・初任</f>
        <v>0.7</v>
      </c>
      <c r="O49" s="47">
        <f>ROUND((_11_A重度研修６．０*_11・初任),0)</f>
        <v>746</v>
      </c>
      <c r="P49" s="48"/>
    </row>
    <row r="50" spans="1:16" ht="16.5" customHeight="1" x14ac:dyDescent="0.15">
      <c r="A50" s="41">
        <v>11</v>
      </c>
      <c r="B50" s="41" t="s">
        <v>3334</v>
      </c>
      <c r="C50" s="74" t="s">
        <v>3335</v>
      </c>
      <c r="D50" s="100">
        <f>_11_A重度研修６．０</f>
        <v>1065</v>
      </c>
      <c r="E50" s="12" t="s">
        <v>392</v>
      </c>
      <c r="F50" s="44" t="s">
        <v>397</v>
      </c>
      <c r="G50" s="45" t="s">
        <v>398</v>
      </c>
      <c r="H50" s="46">
        <v>1</v>
      </c>
      <c r="I50" s="35"/>
      <c r="K50" s="57"/>
      <c r="L50" s="706"/>
      <c r="M50" s="37"/>
      <c r="N50" s="38"/>
      <c r="O50" s="47">
        <f>ROUND((ROUND((_11_A重度研修６．０*_11・２人),0)*_11・初任),0)</f>
        <v>746</v>
      </c>
      <c r="P50" s="48"/>
    </row>
    <row r="51" spans="1:16" ht="16.5" customHeight="1" x14ac:dyDescent="0.15">
      <c r="A51" s="41">
        <v>11</v>
      </c>
      <c r="B51" s="41">
        <v>2037</v>
      </c>
      <c r="C51" s="74" t="s">
        <v>3336</v>
      </c>
      <c r="D51" s="707" t="s">
        <v>3337</v>
      </c>
      <c r="E51" s="717"/>
      <c r="F51" s="44"/>
      <c r="G51" s="45"/>
      <c r="H51" s="46"/>
      <c r="I51" s="35"/>
      <c r="K51" s="57"/>
      <c r="L51" s="53"/>
      <c r="M51" s="49"/>
      <c r="N51" s="50"/>
      <c r="O51" s="47">
        <f>_11_A重度研修６．５</f>
        <v>1151</v>
      </c>
      <c r="P51" s="48"/>
    </row>
    <row r="52" spans="1:16" ht="16.5" customHeight="1" x14ac:dyDescent="0.15">
      <c r="A52" s="41">
        <v>11</v>
      </c>
      <c r="B52" s="41">
        <v>2038</v>
      </c>
      <c r="C52" s="74" t="s">
        <v>3338</v>
      </c>
      <c r="D52" s="709"/>
      <c r="E52" s="718"/>
      <c r="F52" s="44" t="s">
        <v>397</v>
      </c>
      <c r="G52" s="45" t="s">
        <v>398</v>
      </c>
      <c r="H52" s="46">
        <v>1</v>
      </c>
      <c r="I52" s="35"/>
      <c r="K52" s="57"/>
      <c r="L52" s="43"/>
      <c r="M52" s="37"/>
      <c r="N52" s="38"/>
      <c r="O52" s="47">
        <f>ROUND((_11_A重度研修６．５*_11・２人),0)</f>
        <v>1151</v>
      </c>
      <c r="P52" s="48"/>
    </row>
    <row r="53" spans="1:16" ht="16.5" customHeight="1" x14ac:dyDescent="0.15">
      <c r="A53" s="41">
        <v>11</v>
      </c>
      <c r="B53" s="41" t="s">
        <v>3339</v>
      </c>
      <c r="C53" s="74" t="s">
        <v>3340</v>
      </c>
      <c r="D53" s="709"/>
      <c r="E53" s="718"/>
      <c r="F53" s="44"/>
      <c r="G53" s="45"/>
      <c r="H53" s="46"/>
      <c r="I53" s="35"/>
      <c r="K53" s="57"/>
      <c r="L53" s="734" t="s">
        <v>404</v>
      </c>
      <c r="M53" s="49" t="s">
        <v>398</v>
      </c>
      <c r="N53" s="50">
        <f>_11・初任</f>
        <v>0.7</v>
      </c>
      <c r="O53" s="47">
        <f>ROUND((_11_A重度研修６．５*_11・初任),0)</f>
        <v>806</v>
      </c>
      <c r="P53" s="48"/>
    </row>
    <row r="54" spans="1:16" ht="16.5" customHeight="1" x14ac:dyDescent="0.15">
      <c r="A54" s="41">
        <v>11</v>
      </c>
      <c r="B54" s="41" t="s">
        <v>3341</v>
      </c>
      <c r="C54" s="74" t="s">
        <v>3342</v>
      </c>
      <c r="D54" s="100">
        <f>_11_A重度研修６．５</f>
        <v>1151</v>
      </c>
      <c r="E54" s="12" t="s">
        <v>392</v>
      </c>
      <c r="F54" s="44" t="s">
        <v>397</v>
      </c>
      <c r="G54" s="45" t="s">
        <v>398</v>
      </c>
      <c r="H54" s="46">
        <v>1</v>
      </c>
      <c r="I54" s="35"/>
      <c r="K54" s="57"/>
      <c r="L54" s="706"/>
      <c r="M54" s="37"/>
      <c r="N54" s="38"/>
      <c r="O54" s="47">
        <f>ROUND((ROUND((_11_A重度研修６．５*_11・２人),0)*_11・初任),0)</f>
        <v>806</v>
      </c>
      <c r="P54" s="48"/>
    </row>
    <row r="55" spans="1:16" ht="16.5" customHeight="1" x14ac:dyDescent="0.15">
      <c r="A55" s="41">
        <v>11</v>
      </c>
      <c r="B55" s="41">
        <v>2039</v>
      </c>
      <c r="C55" s="74" t="s">
        <v>3343</v>
      </c>
      <c r="D55" s="707" t="s">
        <v>3344</v>
      </c>
      <c r="E55" s="717"/>
      <c r="F55" s="44"/>
      <c r="G55" s="45"/>
      <c r="H55" s="46"/>
      <c r="I55" s="35"/>
      <c r="K55" s="57"/>
      <c r="L55" s="53"/>
      <c r="M55" s="49"/>
      <c r="N55" s="50"/>
      <c r="O55" s="47">
        <f>_11_A重度研修７．０</f>
        <v>1237</v>
      </c>
      <c r="P55" s="48"/>
    </row>
    <row r="56" spans="1:16" ht="16.5" customHeight="1" x14ac:dyDescent="0.15">
      <c r="A56" s="41">
        <v>11</v>
      </c>
      <c r="B56" s="41">
        <v>2040</v>
      </c>
      <c r="C56" s="74" t="s">
        <v>3345</v>
      </c>
      <c r="D56" s="709"/>
      <c r="E56" s="718"/>
      <c r="F56" s="44" t="s">
        <v>397</v>
      </c>
      <c r="G56" s="45" t="s">
        <v>398</v>
      </c>
      <c r="H56" s="46">
        <v>1</v>
      </c>
      <c r="I56" s="35"/>
      <c r="K56" s="57"/>
      <c r="L56" s="43"/>
      <c r="M56" s="37"/>
      <c r="N56" s="38"/>
      <c r="O56" s="47">
        <f>ROUND((_11_A重度研修７．０*_11・２人),0)</f>
        <v>1237</v>
      </c>
      <c r="P56" s="48"/>
    </row>
    <row r="57" spans="1:16" ht="16.5" customHeight="1" x14ac:dyDescent="0.15">
      <c r="A57" s="41">
        <v>11</v>
      </c>
      <c r="B57" s="41" t="s">
        <v>3346</v>
      </c>
      <c r="C57" s="74" t="s">
        <v>3347</v>
      </c>
      <c r="D57" s="709"/>
      <c r="E57" s="718"/>
      <c r="F57" s="44"/>
      <c r="G57" s="45"/>
      <c r="H57" s="46"/>
      <c r="I57" s="35"/>
      <c r="K57" s="57"/>
      <c r="L57" s="734" t="s">
        <v>404</v>
      </c>
      <c r="M57" s="49" t="s">
        <v>398</v>
      </c>
      <c r="N57" s="50">
        <f>_11・初任</f>
        <v>0.7</v>
      </c>
      <c r="O57" s="47">
        <f>ROUND((_11_A重度研修７．０*_11・初任),0)</f>
        <v>866</v>
      </c>
      <c r="P57" s="48"/>
    </row>
    <row r="58" spans="1:16" ht="16.5" customHeight="1" x14ac:dyDescent="0.15">
      <c r="A58" s="41">
        <v>11</v>
      </c>
      <c r="B58" s="41" t="s">
        <v>3348</v>
      </c>
      <c r="C58" s="74" t="s">
        <v>3349</v>
      </c>
      <c r="D58" s="100">
        <f>_11_A重度研修７．０</f>
        <v>1237</v>
      </c>
      <c r="E58" s="12" t="s">
        <v>392</v>
      </c>
      <c r="F58" s="44" t="s">
        <v>397</v>
      </c>
      <c r="G58" s="45" t="s">
        <v>398</v>
      </c>
      <c r="H58" s="46">
        <v>1</v>
      </c>
      <c r="I58" s="35"/>
      <c r="K58" s="57"/>
      <c r="L58" s="706"/>
      <c r="M58" s="37"/>
      <c r="N58" s="38"/>
      <c r="O58" s="47">
        <f>ROUND((ROUND((_11_A重度研修７．０*_11・２人),0)*_11・初任),0)</f>
        <v>866</v>
      </c>
      <c r="P58" s="48"/>
    </row>
    <row r="59" spans="1:16" ht="16.5" customHeight="1" x14ac:dyDescent="0.15">
      <c r="A59" s="41">
        <v>11</v>
      </c>
      <c r="B59" s="41">
        <v>2041</v>
      </c>
      <c r="C59" s="74" t="s">
        <v>3350</v>
      </c>
      <c r="D59" s="707" t="s">
        <v>3351</v>
      </c>
      <c r="E59" s="717"/>
      <c r="F59" s="44"/>
      <c r="G59" s="45"/>
      <c r="H59" s="46"/>
      <c r="I59" s="35"/>
      <c r="K59" s="57"/>
      <c r="L59" s="53"/>
      <c r="M59" s="49"/>
      <c r="N59" s="50"/>
      <c r="O59" s="47">
        <f>_11_A重度研修７．５</f>
        <v>1323</v>
      </c>
      <c r="P59" s="48"/>
    </row>
    <row r="60" spans="1:16" ht="16.5" customHeight="1" x14ac:dyDescent="0.15">
      <c r="A60" s="41">
        <v>11</v>
      </c>
      <c r="B60" s="41">
        <v>2042</v>
      </c>
      <c r="C60" s="74" t="s">
        <v>3352</v>
      </c>
      <c r="D60" s="709"/>
      <c r="E60" s="718"/>
      <c r="F60" s="44" t="s">
        <v>397</v>
      </c>
      <c r="G60" s="45" t="s">
        <v>398</v>
      </c>
      <c r="H60" s="46">
        <v>1</v>
      </c>
      <c r="I60" s="35"/>
      <c r="K60" s="57"/>
      <c r="L60" s="43"/>
      <c r="M60" s="37"/>
      <c r="N60" s="38"/>
      <c r="O60" s="47">
        <f>ROUND((_11_A重度研修７．５*_11・２人),0)</f>
        <v>1323</v>
      </c>
      <c r="P60" s="48"/>
    </row>
    <row r="61" spans="1:16" ht="16.5" customHeight="1" x14ac:dyDescent="0.15">
      <c r="A61" s="41">
        <v>11</v>
      </c>
      <c r="B61" s="41" t="s">
        <v>3353</v>
      </c>
      <c r="C61" s="74" t="s">
        <v>3354</v>
      </c>
      <c r="D61" s="709"/>
      <c r="E61" s="718"/>
      <c r="F61" s="44"/>
      <c r="G61" s="45"/>
      <c r="H61" s="46"/>
      <c r="I61" s="35"/>
      <c r="K61" s="57"/>
      <c r="L61" s="734" t="s">
        <v>404</v>
      </c>
      <c r="M61" s="49" t="s">
        <v>398</v>
      </c>
      <c r="N61" s="50">
        <f>_11・初任</f>
        <v>0.7</v>
      </c>
      <c r="O61" s="47">
        <f>ROUND((_11_A重度研修７．５*_11・初任),0)</f>
        <v>926</v>
      </c>
      <c r="P61" s="48"/>
    </row>
    <row r="62" spans="1:16" ht="16.5" customHeight="1" x14ac:dyDescent="0.15">
      <c r="A62" s="41">
        <v>11</v>
      </c>
      <c r="B62" s="41" t="s">
        <v>3355</v>
      </c>
      <c r="C62" s="74" t="s">
        <v>3356</v>
      </c>
      <c r="D62" s="100">
        <f>_11_A重度研修７．５</f>
        <v>1323</v>
      </c>
      <c r="E62" s="12" t="s">
        <v>392</v>
      </c>
      <c r="F62" s="44" t="s">
        <v>397</v>
      </c>
      <c r="G62" s="45" t="s">
        <v>398</v>
      </c>
      <c r="H62" s="46">
        <v>1</v>
      </c>
      <c r="I62" s="35"/>
      <c r="K62" s="57"/>
      <c r="L62" s="706"/>
      <c r="M62" s="37"/>
      <c r="N62" s="38"/>
      <c r="O62" s="47">
        <f>ROUND((ROUND((_11_A重度研修７．５*_11・２人),0)*_11・初任),0)</f>
        <v>926</v>
      </c>
      <c r="P62" s="48"/>
    </row>
    <row r="63" spans="1:16" ht="16.5" customHeight="1" x14ac:dyDescent="0.15">
      <c r="A63" s="41">
        <v>11</v>
      </c>
      <c r="B63" s="41">
        <v>2043</v>
      </c>
      <c r="C63" s="74" t="s">
        <v>3357</v>
      </c>
      <c r="D63" s="707" t="s">
        <v>3358</v>
      </c>
      <c r="E63" s="717"/>
      <c r="F63" s="44"/>
      <c r="G63" s="45"/>
      <c r="H63" s="46"/>
      <c r="I63" s="35"/>
      <c r="K63" s="57"/>
      <c r="L63" s="53"/>
      <c r="M63" s="49"/>
      <c r="N63" s="50"/>
      <c r="O63" s="47">
        <f>_11_A重度研修８．０</f>
        <v>1409</v>
      </c>
      <c r="P63" s="48"/>
    </row>
    <row r="64" spans="1:16" ht="16.5" customHeight="1" x14ac:dyDescent="0.15">
      <c r="A64" s="41">
        <v>11</v>
      </c>
      <c r="B64" s="41">
        <v>2044</v>
      </c>
      <c r="C64" s="74" t="s">
        <v>3359</v>
      </c>
      <c r="D64" s="709"/>
      <c r="E64" s="718"/>
      <c r="F64" s="44" t="s">
        <v>397</v>
      </c>
      <c r="G64" s="45" t="s">
        <v>398</v>
      </c>
      <c r="H64" s="46">
        <v>1</v>
      </c>
      <c r="I64" s="35"/>
      <c r="K64" s="57"/>
      <c r="L64" s="43"/>
      <c r="M64" s="37"/>
      <c r="N64" s="38"/>
      <c r="O64" s="47">
        <f>ROUND((_11_A重度研修８．０*_11・２人),0)</f>
        <v>1409</v>
      </c>
      <c r="P64" s="48"/>
    </row>
    <row r="65" spans="1:16" ht="16.5" customHeight="1" x14ac:dyDescent="0.15">
      <c r="A65" s="41">
        <v>11</v>
      </c>
      <c r="B65" s="41" t="s">
        <v>3360</v>
      </c>
      <c r="C65" s="74" t="s">
        <v>3361</v>
      </c>
      <c r="D65" s="709"/>
      <c r="E65" s="718"/>
      <c r="F65" s="44"/>
      <c r="G65" s="45"/>
      <c r="H65" s="46"/>
      <c r="I65" s="35"/>
      <c r="K65" s="57"/>
      <c r="L65" s="734" t="s">
        <v>404</v>
      </c>
      <c r="M65" s="49" t="s">
        <v>398</v>
      </c>
      <c r="N65" s="50">
        <f>_11・初任</f>
        <v>0.7</v>
      </c>
      <c r="O65" s="47">
        <f>ROUND((_11_A重度研修８．０*_11・初任),0)</f>
        <v>986</v>
      </c>
      <c r="P65" s="48"/>
    </row>
    <row r="66" spans="1:16" ht="16.5" customHeight="1" x14ac:dyDescent="0.15">
      <c r="A66" s="41">
        <v>11</v>
      </c>
      <c r="B66" s="41" t="s">
        <v>3362</v>
      </c>
      <c r="C66" s="74" t="s">
        <v>3363</v>
      </c>
      <c r="D66" s="100">
        <f>_11_A重度研修８．０</f>
        <v>1409</v>
      </c>
      <c r="E66" s="12" t="s">
        <v>392</v>
      </c>
      <c r="F66" s="44" t="s">
        <v>397</v>
      </c>
      <c r="G66" s="45" t="s">
        <v>398</v>
      </c>
      <c r="H66" s="46">
        <v>1</v>
      </c>
      <c r="I66" s="35"/>
      <c r="K66" s="57"/>
      <c r="L66" s="706"/>
      <c r="M66" s="37"/>
      <c r="N66" s="38"/>
      <c r="O66" s="47">
        <f>ROUND((ROUND((_11_A重度研修８．０*_11・２人),0)*_11・初任),0)</f>
        <v>986</v>
      </c>
      <c r="P66" s="48"/>
    </row>
    <row r="67" spans="1:16" ht="16.5" customHeight="1" x14ac:dyDescent="0.15">
      <c r="A67" s="41">
        <v>11</v>
      </c>
      <c r="B67" s="41">
        <v>2045</v>
      </c>
      <c r="C67" s="74" t="s">
        <v>3364</v>
      </c>
      <c r="D67" s="707" t="s">
        <v>3365</v>
      </c>
      <c r="E67" s="717"/>
      <c r="F67" s="44"/>
      <c r="G67" s="45"/>
      <c r="H67" s="46"/>
      <c r="I67" s="35"/>
      <c r="K67" s="57"/>
      <c r="L67" s="53"/>
      <c r="M67" s="49"/>
      <c r="N67" s="50"/>
      <c r="O67" s="47">
        <f>_11_A重度研修８．５</f>
        <v>1495</v>
      </c>
      <c r="P67" s="48"/>
    </row>
    <row r="68" spans="1:16" ht="16.5" customHeight="1" x14ac:dyDescent="0.15">
      <c r="A68" s="41">
        <v>11</v>
      </c>
      <c r="B68" s="41">
        <v>2046</v>
      </c>
      <c r="C68" s="74" t="s">
        <v>3366</v>
      </c>
      <c r="D68" s="709"/>
      <c r="E68" s="718"/>
      <c r="F68" s="44" t="s">
        <v>397</v>
      </c>
      <c r="G68" s="45" t="s">
        <v>398</v>
      </c>
      <c r="H68" s="46">
        <v>1</v>
      </c>
      <c r="I68" s="35"/>
      <c r="K68" s="57"/>
      <c r="L68" s="43"/>
      <c r="M68" s="37"/>
      <c r="N68" s="38"/>
      <c r="O68" s="47">
        <f>ROUND((_11_A重度研修８．５*_11・２人),0)</f>
        <v>1495</v>
      </c>
      <c r="P68" s="48"/>
    </row>
    <row r="69" spans="1:16" ht="16.5" customHeight="1" x14ac:dyDescent="0.15">
      <c r="A69" s="41">
        <v>11</v>
      </c>
      <c r="B69" s="41" t="s">
        <v>3367</v>
      </c>
      <c r="C69" s="74" t="s">
        <v>3368</v>
      </c>
      <c r="D69" s="709"/>
      <c r="E69" s="718"/>
      <c r="F69" s="44"/>
      <c r="G69" s="45"/>
      <c r="H69" s="46"/>
      <c r="I69" s="35"/>
      <c r="K69" s="57"/>
      <c r="L69" s="734" t="s">
        <v>404</v>
      </c>
      <c r="M69" s="49" t="s">
        <v>398</v>
      </c>
      <c r="N69" s="50">
        <f>_11・初任</f>
        <v>0.7</v>
      </c>
      <c r="O69" s="47">
        <f>ROUND((_11_A重度研修８．５*_11・初任),0)</f>
        <v>1047</v>
      </c>
      <c r="P69" s="48"/>
    </row>
    <row r="70" spans="1:16" ht="16.5" customHeight="1" x14ac:dyDescent="0.15">
      <c r="A70" s="41">
        <v>11</v>
      </c>
      <c r="B70" s="41" t="s">
        <v>3369</v>
      </c>
      <c r="C70" s="74" t="s">
        <v>3370</v>
      </c>
      <c r="D70" s="100">
        <f>_11_A重度研修８．５</f>
        <v>1495</v>
      </c>
      <c r="E70" s="12" t="s">
        <v>392</v>
      </c>
      <c r="F70" s="44" t="s">
        <v>397</v>
      </c>
      <c r="G70" s="45" t="s">
        <v>398</v>
      </c>
      <c r="H70" s="46">
        <v>1</v>
      </c>
      <c r="I70" s="35"/>
      <c r="K70" s="57"/>
      <c r="L70" s="706"/>
      <c r="M70" s="37"/>
      <c r="N70" s="38"/>
      <c r="O70" s="47">
        <f>ROUND((ROUND((_11_A重度研修８．５*_11・２人),0)*_11・初任),0)</f>
        <v>1047</v>
      </c>
      <c r="P70" s="48"/>
    </row>
    <row r="71" spans="1:16" ht="16.5" customHeight="1" x14ac:dyDescent="0.15">
      <c r="A71" s="41">
        <v>11</v>
      </c>
      <c r="B71" s="41">
        <v>2047</v>
      </c>
      <c r="C71" s="74" t="s">
        <v>3371</v>
      </c>
      <c r="D71" s="707" t="s">
        <v>3372</v>
      </c>
      <c r="E71" s="717"/>
      <c r="F71" s="44"/>
      <c r="G71" s="45"/>
      <c r="H71" s="46"/>
      <c r="I71" s="35"/>
      <c r="K71" s="57"/>
      <c r="L71" s="53"/>
      <c r="M71" s="49"/>
      <c r="N71" s="50"/>
      <c r="O71" s="47">
        <f>_11_A重度研修９．０</f>
        <v>1581</v>
      </c>
      <c r="P71" s="48"/>
    </row>
    <row r="72" spans="1:16" ht="16.5" customHeight="1" x14ac:dyDescent="0.15">
      <c r="A72" s="41">
        <v>11</v>
      </c>
      <c r="B72" s="41">
        <v>2048</v>
      </c>
      <c r="C72" s="74" t="s">
        <v>3373</v>
      </c>
      <c r="D72" s="709"/>
      <c r="E72" s="718"/>
      <c r="F72" s="44" t="s">
        <v>397</v>
      </c>
      <c r="G72" s="45" t="s">
        <v>398</v>
      </c>
      <c r="H72" s="46">
        <v>1</v>
      </c>
      <c r="I72" s="35"/>
      <c r="K72" s="57"/>
      <c r="L72" s="43"/>
      <c r="M72" s="37"/>
      <c r="N72" s="38"/>
      <c r="O72" s="47">
        <f>ROUND((_11_A重度研修９．０*_11・２人),0)</f>
        <v>1581</v>
      </c>
      <c r="P72" s="48"/>
    </row>
    <row r="73" spans="1:16" ht="16.5" customHeight="1" x14ac:dyDescent="0.15">
      <c r="A73" s="41">
        <v>11</v>
      </c>
      <c r="B73" s="41" t="s">
        <v>3374</v>
      </c>
      <c r="C73" s="74" t="s">
        <v>3375</v>
      </c>
      <c r="D73" s="709"/>
      <c r="E73" s="718"/>
      <c r="F73" s="44"/>
      <c r="G73" s="45"/>
      <c r="H73" s="46"/>
      <c r="I73" s="35"/>
      <c r="K73" s="57"/>
      <c r="L73" s="734" t="s">
        <v>404</v>
      </c>
      <c r="M73" s="49" t="s">
        <v>398</v>
      </c>
      <c r="N73" s="50">
        <f>_11・初任</f>
        <v>0.7</v>
      </c>
      <c r="O73" s="47">
        <f>ROUND((_11_A重度研修９．０*_11・初任),0)</f>
        <v>1107</v>
      </c>
      <c r="P73" s="48"/>
    </row>
    <row r="74" spans="1:16" ht="16.5" customHeight="1" x14ac:dyDescent="0.15">
      <c r="A74" s="41">
        <v>11</v>
      </c>
      <c r="B74" s="41" t="s">
        <v>3376</v>
      </c>
      <c r="C74" s="74" t="s">
        <v>3377</v>
      </c>
      <c r="D74" s="100">
        <f>_11_A重度研修９．０</f>
        <v>1581</v>
      </c>
      <c r="E74" s="12" t="s">
        <v>392</v>
      </c>
      <c r="F74" s="44" t="s">
        <v>397</v>
      </c>
      <c r="G74" s="45" t="s">
        <v>398</v>
      </c>
      <c r="H74" s="46">
        <v>1</v>
      </c>
      <c r="I74" s="35"/>
      <c r="K74" s="57"/>
      <c r="L74" s="706"/>
      <c r="M74" s="37"/>
      <c r="N74" s="38"/>
      <c r="O74" s="47">
        <f>ROUND((ROUND((_11_A重度研修９．０*_11・２人),0)*_11・初任),0)</f>
        <v>1107</v>
      </c>
      <c r="P74" s="48"/>
    </row>
    <row r="75" spans="1:16" ht="16.5" customHeight="1" x14ac:dyDescent="0.15">
      <c r="A75" s="41">
        <v>11</v>
      </c>
      <c r="B75" s="41">
        <v>2049</v>
      </c>
      <c r="C75" s="74" t="s">
        <v>3378</v>
      </c>
      <c r="D75" s="707" t="s">
        <v>3379</v>
      </c>
      <c r="E75" s="717"/>
      <c r="F75" s="44"/>
      <c r="G75" s="45"/>
      <c r="H75" s="46"/>
      <c r="I75" s="35"/>
      <c r="K75" s="57"/>
      <c r="L75" s="53"/>
      <c r="M75" s="49"/>
      <c r="N75" s="50"/>
      <c r="O75" s="47">
        <f>_11_A重度研修９．５</f>
        <v>1667</v>
      </c>
      <c r="P75" s="48"/>
    </row>
    <row r="76" spans="1:16" ht="16.5" customHeight="1" x14ac:dyDescent="0.15">
      <c r="A76" s="41">
        <v>11</v>
      </c>
      <c r="B76" s="41">
        <v>2050</v>
      </c>
      <c r="C76" s="74" t="s">
        <v>3380</v>
      </c>
      <c r="D76" s="709"/>
      <c r="E76" s="718"/>
      <c r="F76" s="44" t="s">
        <v>397</v>
      </c>
      <c r="G76" s="45" t="s">
        <v>398</v>
      </c>
      <c r="H76" s="46">
        <v>1</v>
      </c>
      <c r="I76" s="35"/>
      <c r="K76" s="57"/>
      <c r="L76" s="43"/>
      <c r="M76" s="37"/>
      <c r="N76" s="38"/>
      <c r="O76" s="47">
        <f>ROUND((_11_A重度研修９．５*_11・２人),0)</f>
        <v>1667</v>
      </c>
      <c r="P76" s="48"/>
    </row>
    <row r="77" spans="1:16" ht="16.5" customHeight="1" x14ac:dyDescent="0.15">
      <c r="A77" s="41">
        <v>11</v>
      </c>
      <c r="B77" s="41" t="s">
        <v>3381</v>
      </c>
      <c r="C77" s="74" t="s">
        <v>3382</v>
      </c>
      <c r="D77" s="709"/>
      <c r="E77" s="718"/>
      <c r="F77" s="44"/>
      <c r="G77" s="45"/>
      <c r="H77" s="46"/>
      <c r="I77" s="35"/>
      <c r="K77" s="57"/>
      <c r="L77" s="734" t="s">
        <v>404</v>
      </c>
      <c r="M77" s="49" t="s">
        <v>398</v>
      </c>
      <c r="N77" s="50">
        <f>_11・初任</f>
        <v>0.7</v>
      </c>
      <c r="O77" s="47">
        <f>ROUND((_11_A重度研修９．５*_11・初任),0)</f>
        <v>1167</v>
      </c>
      <c r="P77" s="48"/>
    </row>
    <row r="78" spans="1:16" ht="16.5" customHeight="1" x14ac:dyDescent="0.15">
      <c r="A78" s="41">
        <v>11</v>
      </c>
      <c r="B78" s="41" t="s">
        <v>3383</v>
      </c>
      <c r="C78" s="74" t="s">
        <v>3384</v>
      </c>
      <c r="D78" s="165">
        <f>_11_A重度研修９．５</f>
        <v>1667</v>
      </c>
      <c r="E78" s="37" t="s">
        <v>392</v>
      </c>
      <c r="F78" s="44" t="s">
        <v>397</v>
      </c>
      <c r="G78" s="45" t="s">
        <v>398</v>
      </c>
      <c r="H78" s="46">
        <v>1</v>
      </c>
      <c r="I78" s="43"/>
      <c r="J78" s="38"/>
      <c r="K78" s="79"/>
      <c r="L78" s="706"/>
      <c r="M78" s="37"/>
      <c r="N78" s="38"/>
      <c r="O78" s="47">
        <f>ROUND((ROUND((_11_A重度研修９．５*_11・２人),0)*_11・初任),0)</f>
        <v>1167</v>
      </c>
      <c r="P78" s="63"/>
    </row>
    <row r="79" spans="1:16" ht="16.5" customHeight="1" x14ac:dyDescent="0.15">
      <c r="A79" s="33">
        <v>11</v>
      </c>
      <c r="B79" s="33">
        <v>2051</v>
      </c>
      <c r="C79" s="34" t="s">
        <v>3385</v>
      </c>
      <c r="D79" s="709" t="s">
        <v>3386</v>
      </c>
      <c r="E79" s="718"/>
      <c r="F79" s="36"/>
      <c r="G79" s="37"/>
      <c r="H79" s="38"/>
      <c r="I79" s="35"/>
      <c r="K79" s="57"/>
      <c r="L79" s="35"/>
      <c r="O79" s="39">
        <f>_11_A重度研修１０．０</f>
        <v>1753</v>
      </c>
      <c r="P79" s="48"/>
    </row>
    <row r="80" spans="1:16" ht="16.5" customHeight="1" x14ac:dyDescent="0.15">
      <c r="A80" s="41">
        <v>11</v>
      </c>
      <c r="B80" s="41">
        <v>2052</v>
      </c>
      <c r="C80" s="74" t="s">
        <v>3387</v>
      </c>
      <c r="D80" s="709"/>
      <c r="E80" s="718"/>
      <c r="F80" s="44" t="s">
        <v>397</v>
      </c>
      <c r="G80" s="45" t="s">
        <v>398</v>
      </c>
      <c r="H80" s="46">
        <v>1</v>
      </c>
      <c r="I80" s="35"/>
      <c r="K80" s="57"/>
      <c r="L80" s="43"/>
      <c r="M80" s="37"/>
      <c r="N80" s="38"/>
      <c r="O80" s="47">
        <f>ROUND((_11_A重度研修１０．０*_11・２人),0)</f>
        <v>1753</v>
      </c>
      <c r="P80" s="48"/>
    </row>
    <row r="81" spans="1:16" ht="16.5" customHeight="1" x14ac:dyDescent="0.15">
      <c r="A81" s="41">
        <v>11</v>
      </c>
      <c r="B81" s="41" t="s">
        <v>3388</v>
      </c>
      <c r="C81" s="74" t="s">
        <v>3389</v>
      </c>
      <c r="D81" s="709"/>
      <c r="E81" s="718"/>
      <c r="F81" s="44"/>
      <c r="G81" s="45"/>
      <c r="H81" s="46"/>
      <c r="I81" s="35"/>
      <c r="K81" s="57"/>
      <c r="L81" s="734" t="s">
        <v>404</v>
      </c>
      <c r="M81" s="49" t="s">
        <v>398</v>
      </c>
      <c r="N81" s="50">
        <f>_11・初任</f>
        <v>0.7</v>
      </c>
      <c r="O81" s="47">
        <f>ROUND((_11_A重度研修１０．０*_11・初任),0)</f>
        <v>1227</v>
      </c>
      <c r="P81" s="48"/>
    </row>
    <row r="82" spans="1:16" ht="16.5" customHeight="1" x14ac:dyDescent="0.15">
      <c r="A82" s="41">
        <v>11</v>
      </c>
      <c r="B82" s="41" t="s">
        <v>3390</v>
      </c>
      <c r="C82" s="74" t="s">
        <v>3391</v>
      </c>
      <c r="D82" s="100">
        <f>_11_A重度研修１０．０</f>
        <v>1753</v>
      </c>
      <c r="E82" s="12" t="s">
        <v>392</v>
      </c>
      <c r="F82" s="44" t="s">
        <v>397</v>
      </c>
      <c r="G82" s="45" t="s">
        <v>398</v>
      </c>
      <c r="H82" s="46">
        <v>1</v>
      </c>
      <c r="I82" s="35"/>
      <c r="K82" s="57"/>
      <c r="L82" s="706"/>
      <c r="M82" s="37"/>
      <c r="N82" s="38"/>
      <c r="O82" s="47">
        <f>ROUND((ROUND((_11_A重度研修１０．０*_11・２人),0)*_11・初任),0)</f>
        <v>1227</v>
      </c>
      <c r="P82" s="48"/>
    </row>
    <row r="83" spans="1:16" ht="16.5" customHeight="1" x14ac:dyDescent="0.15">
      <c r="A83" s="41">
        <v>11</v>
      </c>
      <c r="B83" s="41">
        <v>2053</v>
      </c>
      <c r="C83" s="74" t="s">
        <v>3392</v>
      </c>
      <c r="D83" s="707" t="s">
        <v>3393</v>
      </c>
      <c r="E83" s="717"/>
      <c r="F83" s="44"/>
      <c r="G83" s="45"/>
      <c r="H83" s="46"/>
      <c r="I83" s="35"/>
      <c r="K83" s="57"/>
      <c r="L83" s="53"/>
      <c r="M83" s="49"/>
      <c r="N83" s="50"/>
      <c r="O83" s="47">
        <f>_11_A重度研修１０．５</f>
        <v>1839</v>
      </c>
      <c r="P83" s="48"/>
    </row>
    <row r="84" spans="1:16" ht="16.5" customHeight="1" x14ac:dyDescent="0.15">
      <c r="A84" s="41">
        <v>11</v>
      </c>
      <c r="B84" s="41">
        <v>2054</v>
      </c>
      <c r="C84" s="74" t="s">
        <v>3394</v>
      </c>
      <c r="D84" s="709"/>
      <c r="E84" s="718"/>
      <c r="F84" s="44" t="s">
        <v>397</v>
      </c>
      <c r="G84" s="45" t="s">
        <v>398</v>
      </c>
      <c r="H84" s="46">
        <v>1</v>
      </c>
      <c r="I84" s="35"/>
      <c r="K84" s="57"/>
      <c r="L84" s="43"/>
      <c r="M84" s="37"/>
      <c r="N84" s="38"/>
      <c r="O84" s="47">
        <f>ROUND((_11_A重度研修１０．５*_11・２人),0)</f>
        <v>1839</v>
      </c>
      <c r="P84" s="48"/>
    </row>
    <row r="85" spans="1:16" ht="16.5" customHeight="1" x14ac:dyDescent="0.15">
      <c r="A85" s="41">
        <v>11</v>
      </c>
      <c r="B85" s="41" t="s">
        <v>3395</v>
      </c>
      <c r="C85" s="74" t="s">
        <v>3396</v>
      </c>
      <c r="D85" s="709"/>
      <c r="E85" s="718"/>
      <c r="F85" s="44"/>
      <c r="G85" s="45"/>
      <c r="H85" s="46"/>
      <c r="I85" s="35"/>
      <c r="K85" s="57"/>
      <c r="L85" s="734" t="s">
        <v>404</v>
      </c>
      <c r="M85" s="49" t="s">
        <v>398</v>
      </c>
      <c r="N85" s="50">
        <f>_11・初任</f>
        <v>0.7</v>
      </c>
      <c r="O85" s="47">
        <f>ROUND((_11_A重度研修１０．５*_11・初任),0)</f>
        <v>1287</v>
      </c>
      <c r="P85" s="48"/>
    </row>
    <row r="86" spans="1:16" ht="16.5" customHeight="1" x14ac:dyDescent="0.15">
      <c r="A86" s="41">
        <v>11</v>
      </c>
      <c r="B86" s="41" t="s">
        <v>3397</v>
      </c>
      <c r="C86" s="74" t="s">
        <v>3398</v>
      </c>
      <c r="D86" s="165">
        <f>_11_A重度研修１０．５</f>
        <v>1839</v>
      </c>
      <c r="E86" s="37" t="s">
        <v>392</v>
      </c>
      <c r="F86" s="44" t="s">
        <v>397</v>
      </c>
      <c r="G86" s="45" t="s">
        <v>398</v>
      </c>
      <c r="H86" s="46">
        <v>1</v>
      </c>
      <c r="I86" s="43"/>
      <c r="J86" s="38"/>
      <c r="K86" s="79"/>
      <c r="L86" s="706"/>
      <c r="M86" s="37"/>
      <c r="N86" s="38"/>
      <c r="O86" s="47">
        <f>ROUND((ROUND((_11_A重度研修１０．５*_11・２人),0)*_11・初任),0)</f>
        <v>1287</v>
      </c>
      <c r="P86" s="63"/>
    </row>
    <row r="87" spans="1:16" ht="16.5" customHeight="1" x14ac:dyDescent="0.15">
      <c r="A87" s="80"/>
      <c r="B87" s="80"/>
      <c r="C87" s="81"/>
      <c r="O87" s="84"/>
      <c r="P87" s="85"/>
    </row>
    <row r="88" spans="1:16" ht="16.5" customHeight="1" x14ac:dyDescent="0.15">
      <c r="A88" s="80"/>
      <c r="B88" s="80"/>
      <c r="C88" s="81"/>
      <c r="O88" s="84"/>
      <c r="P88" s="85"/>
    </row>
    <row r="89" spans="1:16" ht="16.5" customHeight="1" x14ac:dyDescent="0.15">
      <c r="A89" s="80"/>
      <c r="B89" s="86" t="s">
        <v>3399</v>
      </c>
      <c r="C89" s="81"/>
      <c r="D89" s="71"/>
      <c r="O89" s="84"/>
      <c r="P89" s="85"/>
    </row>
    <row r="90" spans="1:16" ht="16.5" customHeight="1" x14ac:dyDescent="0.15">
      <c r="A90" s="87" t="s">
        <v>384</v>
      </c>
      <c r="B90" s="20"/>
      <c r="C90" s="88" t="s">
        <v>385</v>
      </c>
      <c r="D90" s="23" t="s">
        <v>386</v>
      </c>
      <c r="E90" s="118"/>
      <c r="F90" s="23"/>
      <c r="G90" s="23"/>
      <c r="H90" s="24"/>
      <c r="I90" s="23"/>
      <c r="J90" s="24"/>
      <c r="K90" s="23"/>
      <c r="L90" s="23"/>
      <c r="M90" s="23"/>
      <c r="N90" s="24"/>
      <c r="O90" s="25" t="s">
        <v>387</v>
      </c>
      <c r="P90" s="21" t="s">
        <v>388</v>
      </c>
    </row>
    <row r="91" spans="1:16" ht="16.5" customHeight="1" x14ac:dyDescent="0.15">
      <c r="A91" s="26" t="s">
        <v>389</v>
      </c>
      <c r="B91" s="26" t="s">
        <v>390</v>
      </c>
      <c r="C91" s="89"/>
      <c r="D91" s="29"/>
      <c r="E91" s="120"/>
      <c r="F91" s="29"/>
      <c r="G91" s="29"/>
      <c r="H91" s="30"/>
      <c r="I91" s="29"/>
      <c r="J91" s="30"/>
      <c r="K91" s="29"/>
      <c r="L91" s="29"/>
      <c r="M91" s="29"/>
      <c r="N91" s="30"/>
      <c r="O91" s="31" t="s">
        <v>391</v>
      </c>
      <c r="P91" s="32" t="s">
        <v>392</v>
      </c>
    </row>
    <row r="92" spans="1:16" ht="16.5" customHeight="1" x14ac:dyDescent="0.15">
      <c r="A92" s="33">
        <v>11</v>
      </c>
      <c r="B92" s="33">
        <v>2055</v>
      </c>
      <c r="C92" s="34" t="s">
        <v>3400</v>
      </c>
      <c r="D92" s="709" t="s">
        <v>3401</v>
      </c>
      <c r="E92" s="718"/>
      <c r="F92" s="36"/>
      <c r="G92" s="37"/>
      <c r="H92" s="38"/>
      <c r="I92" s="35" t="s">
        <v>674</v>
      </c>
      <c r="K92" s="57"/>
      <c r="O92" s="39">
        <f>ROUND((_11_A重度研修１．０*(1+_11・A早朝)),0)</f>
        <v>231</v>
      </c>
      <c r="P92" s="40" t="s">
        <v>863</v>
      </c>
    </row>
    <row r="93" spans="1:16" ht="16.5" customHeight="1" x14ac:dyDescent="0.15">
      <c r="A93" s="41">
        <v>11</v>
      </c>
      <c r="B93" s="41">
        <v>2056</v>
      </c>
      <c r="C93" s="74" t="s">
        <v>3402</v>
      </c>
      <c r="D93" s="709"/>
      <c r="E93" s="718"/>
      <c r="F93" s="44" t="s">
        <v>397</v>
      </c>
      <c r="G93" s="45" t="s">
        <v>398</v>
      </c>
      <c r="H93" s="46">
        <v>1</v>
      </c>
      <c r="I93" s="35" t="s">
        <v>398</v>
      </c>
      <c r="J93" s="13">
        <v>0.25</v>
      </c>
      <c r="K93" s="728" t="s">
        <v>676</v>
      </c>
      <c r="L93" s="37"/>
      <c r="M93" s="37"/>
      <c r="N93" s="38"/>
      <c r="O93" s="47">
        <f>ROUND((ROUND((_11_A重度研修１．０*_11・２人),0)*(1+_11・A早朝)),0)</f>
        <v>231</v>
      </c>
      <c r="P93" s="48"/>
    </row>
    <row r="94" spans="1:16" ht="16.5" customHeight="1" x14ac:dyDescent="0.15">
      <c r="A94" s="41">
        <v>11</v>
      </c>
      <c r="B94" s="41" t="s">
        <v>3403</v>
      </c>
      <c r="C94" s="74" t="s">
        <v>3404</v>
      </c>
      <c r="D94" s="709"/>
      <c r="E94" s="718"/>
      <c r="F94" s="44"/>
      <c r="G94" s="45"/>
      <c r="H94" s="46"/>
      <c r="I94" s="35"/>
      <c r="K94" s="728"/>
      <c r="L94" s="734" t="s">
        <v>404</v>
      </c>
      <c r="M94" s="49" t="s">
        <v>398</v>
      </c>
      <c r="N94" s="50">
        <f>_11・初任</f>
        <v>0.7</v>
      </c>
      <c r="O94" s="47">
        <f>ROUND((ROUND((_11_A重度研修１．０*(1+_11・A早朝)),0)*_11・初任),0)</f>
        <v>162</v>
      </c>
      <c r="P94" s="48"/>
    </row>
    <row r="95" spans="1:16" ht="16.5" customHeight="1" x14ac:dyDescent="0.15">
      <c r="A95" s="41">
        <v>11</v>
      </c>
      <c r="B95" s="41" t="s">
        <v>3405</v>
      </c>
      <c r="C95" s="74" t="s">
        <v>3406</v>
      </c>
      <c r="D95" s="100">
        <f>_11_A重度研修１．０</f>
        <v>185</v>
      </c>
      <c r="E95" s="12" t="s">
        <v>392</v>
      </c>
      <c r="F95" s="44" t="s">
        <v>397</v>
      </c>
      <c r="G95" s="45" t="s">
        <v>398</v>
      </c>
      <c r="H95" s="46">
        <v>1</v>
      </c>
      <c r="I95" s="35"/>
      <c r="K95" s="57"/>
      <c r="L95" s="706"/>
      <c r="M95" s="37"/>
      <c r="N95" s="38"/>
      <c r="O95" s="47">
        <f>ROUND((ROUND((ROUND((_11_A重度研修１．０*_11・２人),0)*(1+_11・A早朝)),0)*_11・初任),0)</f>
        <v>162</v>
      </c>
      <c r="P95" s="48"/>
    </row>
    <row r="96" spans="1:16" ht="16.5" customHeight="1" x14ac:dyDescent="0.15">
      <c r="A96" s="41">
        <v>11</v>
      </c>
      <c r="B96" s="41">
        <v>2233</v>
      </c>
      <c r="C96" s="74" t="s">
        <v>3407</v>
      </c>
      <c r="D96" s="707" t="s">
        <v>3408</v>
      </c>
      <c r="E96" s="717"/>
      <c r="F96" s="44"/>
      <c r="G96" s="45"/>
      <c r="H96" s="46"/>
      <c r="I96" s="35"/>
      <c r="K96" s="57"/>
      <c r="L96" s="53"/>
      <c r="M96" s="49"/>
      <c r="N96" s="50"/>
      <c r="O96" s="47">
        <f>ROUND((_11_A重度研修１．５*(1+_11・A早朝)),0)</f>
        <v>344</v>
      </c>
      <c r="P96" s="48"/>
    </row>
    <row r="97" spans="1:16" ht="16.5" customHeight="1" x14ac:dyDescent="0.15">
      <c r="A97" s="41">
        <v>11</v>
      </c>
      <c r="B97" s="41">
        <v>2234</v>
      </c>
      <c r="C97" s="74" t="s">
        <v>3409</v>
      </c>
      <c r="D97" s="709"/>
      <c r="E97" s="718"/>
      <c r="F97" s="44" t="s">
        <v>397</v>
      </c>
      <c r="G97" s="45" t="s">
        <v>398</v>
      </c>
      <c r="H97" s="46">
        <v>1</v>
      </c>
      <c r="I97" s="35"/>
      <c r="K97" s="57"/>
      <c r="L97" s="43"/>
      <c r="M97" s="37"/>
      <c r="N97" s="38"/>
      <c r="O97" s="47">
        <f>ROUND((ROUND((_11_A重度研修１．５*_11・２人),0)*(1+_11・A早朝)),0)</f>
        <v>344</v>
      </c>
      <c r="P97" s="48"/>
    </row>
    <row r="98" spans="1:16" ht="16.5" customHeight="1" x14ac:dyDescent="0.15">
      <c r="A98" s="41">
        <v>11</v>
      </c>
      <c r="B98" s="41" t="s">
        <v>3410</v>
      </c>
      <c r="C98" s="74" t="s">
        <v>3411</v>
      </c>
      <c r="D98" s="709"/>
      <c r="E98" s="718"/>
      <c r="F98" s="44"/>
      <c r="G98" s="45"/>
      <c r="H98" s="46"/>
      <c r="I98" s="35"/>
      <c r="K98" s="57"/>
      <c r="L98" s="734" t="s">
        <v>404</v>
      </c>
      <c r="M98" s="49" t="s">
        <v>398</v>
      </c>
      <c r="N98" s="50">
        <f>_11・初任</f>
        <v>0.7</v>
      </c>
      <c r="O98" s="47">
        <f>ROUND((ROUND((_11_A重度研修１．５*(1+_11・A早朝)),0)*_11・初任),0)</f>
        <v>241</v>
      </c>
      <c r="P98" s="48"/>
    </row>
    <row r="99" spans="1:16" ht="16.5" customHeight="1" x14ac:dyDescent="0.15">
      <c r="A99" s="41">
        <v>11</v>
      </c>
      <c r="B99" s="41" t="s">
        <v>3412</v>
      </c>
      <c r="C99" s="74" t="s">
        <v>3413</v>
      </c>
      <c r="D99" s="100">
        <f>_11_A重度研修１．５</f>
        <v>275</v>
      </c>
      <c r="E99" s="12" t="s">
        <v>392</v>
      </c>
      <c r="F99" s="44" t="s">
        <v>397</v>
      </c>
      <c r="G99" s="45" t="s">
        <v>398</v>
      </c>
      <c r="H99" s="46">
        <v>1</v>
      </c>
      <c r="I99" s="35"/>
      <c r="K99" s="57"/>
      <c r="L99" s="706"/>
      <c r="M99" s="37"/>
      <c r="N99" s="38"/>
      <c r="O99" s="47">
        <f>ROUND((ROUND((ROUND((_11_A重度研修１．５*_11・２人),0)*(1+_11・A早朝)),0)*_11・初任),0)</f>
        <v>241</v>
      </c>
      <c r="P99" s="48"/>
    </row>
    <row r="100" spans="1:16" ht="16.5" customHeight="1" x14ac:dyDescent="0.15">
      <c r="A100" s="41">
        <v>11</v>
      </c>
      <c r="B100" s="41">
        <v>2057</v>
      </c>
      <c r="C100" s="74" t="s">
        <v>3414</v>
      </c>
      <c r="D100" s="707" t="s">
        <v>3415</v>
      </c>
      <c r="E100" s="717"/>
      <c r="F100" s="44"/>
      <c r="G100" s="45"/>
      <c r="H100" s="46"/>
      <c r="I100" s="35"/>
      <c r="K100" s="57"/>
      <c r="L100" s="53"/>
      <c r="M100" s="49"/>
      <c r="N100" s="50"/>
      <c r="O100" s="47">
        <f>ROUND((_11_A重度研修２．０*(1+_11・A早朝)),0)</f>
        <v>459</v>
      </c>
      <c r="P100" s="48"/>
    </row>
    <row r="101" spans="1:16" ht="16.5" customHeight="1" x14ac:dyDescent="0.15">
      <c r="A101" s="41">
        <v>11</v>
      </c>
      <c r="B101" s="41">
        <v>2058</v>
      </c>
      <c r="C101" s="74" t="s">
        <v>3416</v>
      </c>
      <c r="D101" s="709"/>
      <c r="E101" s="718"/>
      <c r="F101" s="44" t="s">
        <v>397</v>
      </c>
      <c r="G101" s="45" t="s">
        <v>398</v>
      </c>
      <c r="H101" s="46">
        <v>1</v>
      </c>
      <c r="I101" s="35"/>
      <c r="K101" s="57"/>
      <c r="L101" s="43"/>
      <c r="M101" s="37"/>
      <c r="N101" s="38"/>
      <c r="O101" s="47">
        <f>ROUND((ROUND((_11_A重度研修２．０*_11・２人),0)*(1+_11・A早朝)),0)</f>
        <v>459</v>
      </c>
      <c r="P101" s="48"/>
    </row>
    <row r="102" spans="1:16" ht="16.5" customHeight="1" x14ac:dyDescent="0.15">
      <c r="A102" s="41">
        <v>11</v>
      </c>
      <c r="B102" s="41" t="s">
        <v>3417</v>
      </c>
      <c r="C102" s="74" t="s">
        <v>3418</v>
      </c>
      <c r="D102" s="709"/>
      <c r="E102" s="718"/>
      <c r="F102" s="44"/>
      <c r="G102" s="45"/>
      <c r="H102" s="46"/>
      <c r="I102" s="35"/>
      <c r="K102" s="57"/>
      <c r="L102" s="734" t="s">
        <v>404</v>
      </c>
      <c r="M102" s="49" t="s">
        <v>398</v>
      </c>
      <c r="N102" s="50">
        <f>_11・初任</f>
        <v>0.7</v>
      </c>
      <c r="O102" s="47">
        <f>ROUND((ROUND((_11_A重度研修２．０*(1+_11・A早朝)),0)*_11・初任),0)</f>
        <v>321</v>
      </c>
      <c r="P102" s="48"/>
    </row>
    <row r="103" spans="1:16" ht="16.5" customHeight="1" x14ac:dyDescent="0.15">
      <c r="A103" s="41">
        <v>11</v>
      </c>
      <c r="B103" s="41" t="s">
        <v>3419</v>
      </c>
      <c r="C103" s="74" t="s">
        <v>3420</v>
      </c>
      <c r="D103" s="100">
        <f>_11_A重度研修２．０</f>
        <v>367</v>
      </c>
      <c r="E103" s="12" t="s">
        <v>392</v>
      </c>
      <c r="F103" s="44" t="s">
        <v>397</v>
      </c>
      <c r="G103" s="45" t="s">
        <v>398</v>
      </c>
      <c r="H103" s="46">
        <v>1</v>
      </c>
      <c r="I103" s="35"/>
      <c r="K103" s="57"/>
      <c r="L103" s="706"/>
      <c r="M103" s="37"/>
      <c r="N103" s="38"/>
      <c r="O103" s="47">
        <f>ROUND((ROUND((ROUND((_11_A重度研修２．０*_11・２人),0)*(1+_11・A早朝)),0)*_11・初任),0)</f>
        <v>321</v>
      </c>
      <c r="P103" s="48"/>
    </row>
    <row r="104" spans="1:16" ht="16.5" customHeight="1" x14ac:dyDescent="0.15">
      <c r="A104" s="41">
        <v>11</v>
      </c>
      <c r="B104" s="41">
        <v>2235</v>
      </c>
      <c r="C104" s="74" t="s">
        <v>3421</v>
      </c>
      <c r="D104" s="707" t="s">
        <v>3422</v>
      </c>
      <c r="E104" s="717"/>
      <c r="F104" s="44"/>
      <c r="G104" s="45"/>
      <c r="H104" s="46"/>
      <c r="I104" s="35"/>
      <c r="K104" s="57"/>
      <c r="L104" s="53"/>
      <c r="M104" s="49"/>
      <c r="N104" s="50"/>
      <c r="O104" s="47">
        <f>ROUND((_11_A重度研修２．５*(1+_11・A早朝)),0)</f>
        <v>573</v>
      </c>
      <c r="P104" s="48"/>
    </row>
    <row r="105" spans="1:16" ht="16.5" customHeight="1" x14ac:dyDescent="0.15">
      <c r="A105" s="41">
        <v>11</v>
      </c>
      <c r="B105" s="41">
        <v>2236</v>
      </c>
      <c r="C105" s="74" t="s">
        <v>3423</v>
      </c>
      <c r="D105" s="709"/>
      <c r="E105" s="718"/>
      <c r="F105" s="44" t="s">
        <v>397</v>
      </c>
      <c r="G105" s="45" t="s">
        <v>398</v>
      </c>
      <c r="H105" s="46">
        <v>1</v>
      </c>
      <c r="I105" s="35"/>
      <c r="K105" s="57"/>
      <c r="L105" s="43"/>
      <c r="M105" s="37"/>
      <c r="N105" s="38"/>
      <c r="O105" s="47">
        <f>ROUND((ROUND((_11_A重度研修２．５*_11・２人),0)*(1+_11・A早朝)),0)</f>
        <v>573</v>
      </c>
      <c r="P105" s="48"/>
    </row>
    <row r="106" spans="1:16" ht="16.5" customHeight="1" x14ac:dyDescent="0.15">
      <c r="A106" s="41">
        <v>11</v>
      </c>
      <c r="B106" s="41" t="s">
        <v>3424</v>
      </c>
      <c r="C106" s="74" t="s">
        <v>3425</v>
      </c>
      <c r="D106" s="709"/>
      <c r="E106" s="718"/>
      <c r="F106" s="44"/>
      <c r="G106" s="45"/>
      <c r="H106" s="46"/>
      <c r="I106" s="35"/>
      <c r="K106" s="57"/>
      <c r="L106" s="734" t="s">
        <v>404</v>
      </c>
      <c r="M106" s="49" t="s">
        <v>398</v>
      </c>
      <c r="N106" s="50">
        <f>_11・初任</f>
        <v>0.7</v>
      </c>
      <c r="O106" s="47">
        <f>ROUND((ROUND((_11_A重度研修２．５*(1+_11・A早朝)),0)*_11・初任),0)</f>
        <v>401</v>
      </c>
      <c r="P106" s="48"/>
    </row>
    <row r="107" spans="1:16" ht="16.5" customHeight="1" x14ac:dyDescent="0.15">
      <c r="A107" s="41">
        <v>11</v>
      </c>
      <c r="B107" s="41" t="s">
        <v>3426</v>
      </c>
      <c r="C107" s="74" t="s">
        <v>3427</v>
      </c>
      <c r="D107" s="165">
        <f>_11_A重度研修２．５</f>
        <v>458</v>
      </c>
      <c r="E107" s="37" t="s">
        <v>392</v>
      </c>
      <c r="F107" s="44" t="s">
        <v>397</v>
      </c>
      <c r="G107" s="45" t="s">
        <v>398</v>
      </c>
      <c r="H107" s="46">
        <v>1</v>
      </c>
      <c r="I107" s="43"/>
      <c r="J107" s="38"/>
      <c r="K107" s="79"/>
      <c r="L107" s="706"/>
      <c r="M107" s="37"/>
      <c r="N107" s="38"/>
      <c r="O107" s="47">
        <f>ROUND((ROUND((ROUND((_11_A重度研修２．５*_11・２人),0)*(1+_11・A早朝)),0)*_11・初任),0)</f>
        <v>401</v>
      </c>
      <c r="P107" s="63"/>
    </row>
    <row r="108" spans="1:16" ht="16.5" customHeight="1" x14ac:dyDescent="0.15">
      <c r="A108" s="80"/>
      <c r="B108" s="80"/>
      <c r="C108" s="81"/>
      <c r="O108" s="84"/>
      <c r="P108" s="85"/>
    </row>
    <row r="109" spans="1:16" ht="16.5" customHeight="1" x14ac:dyDescent="0.15">
      <c r="A109" s="80"/>
      <c r="B109" s="80"/>
      <c r="C109" s="81"/>
      <c r="O109" s="84"/>
      <c r="P109" s="85"/>
    </row>
    <row r="110" spans="1:16" ht="16.5" customHeight="1" x14ac:dyDescent="0.15">
      <c r="A110" s="80"/>
      <c r="B110" s="86" t="s">
        <v>3428</v>
      </c>
      <c r="C110" s="81"/>
      <c r="D110" s="71"/>
      <c r="O110" s="84"/>
      <c r="P110" s="85"/>
    </row>
    <row r="111" spans="1:16" ht="16.5" customHeight="1" x14ac:dyDescent="0.15">
      <c r="A111" s="87" t="s">
        <v>384</v>
      </c>
      <c r="B111" s="20"/>
      <c r="C111" s="88" t="s">
        <v>385</v>
      </c>
      <c r="D111" s="23" t="s">
        <v>386</v>
      </c>
      <c r="E111" s="118"/>
      <c r="F111" s="23"/>
      <c r="G111" s="23"/>
      <c r="H111" s="24"/>
      <c r="I111" s="23"/>
      <c r="J111" s="24"/>
      <c r="K111" s="23"/>
      <c r="L111" s="23"/>
      <c r="M111" s="23"/>
      <c r="N111" s="24"/>
      <c r="O111" s="25" t="s">
        <v>387</v>
      </c>
      <c r="P111" s="21" t="s">
        <v>388</v>
      </c>
    </row>
    <row r="112" spans="1:16" ht="16.5" customHeight="1" x14ac:dyDescent="0.15">
      <c r="A112" s="26" t="s">
        <v>389</v>
      </c>
      <c r="B112" s="26" t="s">
        <v>390</v>
      </c>
      <c r="C112" s="89"/>
      <c r="D112" s="29"/>
      <c r="E112" s="120"/>
      <c r="F112" s="29"/>
      <c r="G112" s="29"/>
      <c r="H112" s="30"/>
      <c r="I112" s="29"/>
      <c r="J112" s="30"/>
      <c r="K112" s="29"/>
      <c r="L112" s="29"/>
      <c r="M112" s="29"/>
      <c r="N112" s="30"/>
      <c r="O112" s="31" t="s">
        <v>391</v>
      </c>
      <c r="P112" s="32" t="s">
        <v>392</v>
      </c>
    </row>
    <row r="113" spans="1:16" ht="16.5" customHeight="1" x14ac:dyDescent="0.15">
      <c r="A113" s="33">
        <v>11</v>
      </c>
      <c r="B113" s="33">
        <v>2061</v>
      </c>
      <c r="C113" s="34" t="s">
        <v>3429</v>
      </c>
      <c r="D113" s="709" t="s">
        <v>3430</v>
      </c>
      <c r="E113" s="718"/>
      <c r="F113" s="36"/>
      <c r="G113" s="37"/>
      <c r="H113" s="38"/>
      <c r="I113" s="72" t="s">
        <v>743</v>
      </c>
      <c r="K113" s="57"/>
      <c r="L113" s="35"/>
      <c r="O113" s="39">
        <f>ROUND((_11_A重度研修１．０*(1+_11・A夜間)),0)</f>
        <v>231</v>
      </c>
      <c r="P113" s="40" t="s">
        <v>395</v>
      </c>
    </row>
    <row r="114" spans="1:16" ht="16.5" customHeight="1" x14ac:dyDescent="0.15">
      <c r="A114" s="41">
        <v>11</v>
      </c>
      <c r="B114" s="41">
        <v>2062</v>
      </c>
      <c r="C114" s="74" t="s">
        <v>3431</v>
      </c>
      <c r="D114" s="709"/>
      <c r="E114" s="718"/>
      <c r="F114" s="44" t="s">
        <v>397</v>
      </c>
      <c r="G114" s="45" t="s">
        <v>398</v>
      </c>
      <c r="H114" s="46">
        <v>1</v>
      </c>
      <c r="I114" s="35" t="s">
        <v>398</v>
      </c>
      <c r="J114" s="13">
        <v>0.25</v>
      </c>
      <c r="K114" s="728" t="s">
        <v>676</v>
      </c>
      <c r="L114" s="43"/>
      <c r="M114" s="37"/>
      <c r="N114" s="38"/>
      <c r="O114" s="47">
        <f>ROUND((ROUND((_11_A重度研修１．０*_11・２人),0)*(1+_11・A夜間)),0)</f>
        <v>231</v>
      </c>
      <c r="P114" s="48"/>
    </row>
    <row r="115" spans="1:16" ht="16.5" customHeight="1" x14ac:dyDescent="0.15">
      <c r="A115" s="41">
        <v>11</v>
      </c>
      <c r="B115" s="41" t="s">
        <v>3432</v>
      </c>
      <c r="C115" s="74" t="s">
        <v>3433</v>
      </c>
      <c r="D115" s="709"/>
      <c r="E115" s="718"/>
      <c r="F115" s="44"/>
      <c r="G115" s="45"/>
      <c r="H115" s="46"/>
      <c r="I115" s="35"/>
      <c r="K115" s="728"/>
      <c r="L115" s="734" t="s">
        <v>404</v>
      </c>
      <c r="M115" s="49" t="s">
        <v>398</v>
      </c>
      <c r="N115" s="50">
        <f>_11・初任</f>
        <v>0.7</v>
      </c>
      <c r="O115" s="47">
        <f>ROUND((ROUND((_11_A重度研修１．０*(1+_11・A夜間)),0)*_11・初任),0)</f>
        <v>162</v>
      </c>
      <c r="P115" s="48"/>
    </row>
    <row r="116" spans="1:16" ht="16.5" customHeight="1" x14ac:dyDescent="0.15">
      <c r="A116" s="41">
        <v>11</v>
      </c>
      <c r="B116" s="41" t="s">
        <v>3434</v>
      </c>
      <c r="C116" s="74" t="s">
        <v>3435</v>
      </c>
      <c r="D116" s="100">
        <f>_11_A重度研修１．０</f>
        <v>185</v>
      </c>
      <c r="E116" s="12" t="s">
        <v>392</v>
      </c>
      <c r="F116" s="44" t="s">
        <v>397</v>
      </c>
      <c r="G116" s="45" t="s">
        <v>398</v>
      </c>
      <c r="H116" s="46">
        <v>1</v>
      </c>
      <c r="I116" s="35"/>
      <c r="K116" s="57"/>
      <c r="L116" s="706"/>
      <c r="M116" s="37"/>
      <c r="N116" s="38"/>
      <c r="O116" s="47">
        <f>ROUND((ROUND((ROUND((_11_A重度研修１．０*_11・２人),0)*(1+_11・A夜間)),0)*_11・初任),0)</f>
        <v>162</v>
      </c>
      <c r="P116" s="48"/>
    </row>
    <row r="117" spans="1:16" ht="16.5" customHeight="1" x14ac:dyDescent="0.15">
      <c r="A117" s="41">
        <v>11</v>
      </c>
      <c r="B117" s="41">
        <v>2237</v>
      </c>
      <c r="C117" s="74" t="s">
        <v>3436</v>
      </c>
      <c r="D117" s="707" t="s">
        <v>3437</v>
      </c>
      <c r="E117" s="717"/>
      <c r="F117" s="44"/>
      <c r="G117" s="45"/>
      <c r="H117" s="46"/>
      <c r="I117" s="72"/>
      <c r="K117" s="57"/>
      <c r="L117" s="53"/>
      <c r="M117" s="49"/>
      <c r="N117" s="50"/>
      <c r="O117" s="47">
        <f>ROUND((_11_A重度研修１．５*(1+_11・A夜間)),0)</f>
        <v>344</v>
      </c>
      <c r="P117" s="48"/>
    </row>
    <row r="118" spans="1:16" ht="16.5" customHeight="1" x14ac:dyDescent="0.15">
      <c r="A118" s="41">
        <v>11</v>
      </c>
      <c r="B118" s="41">
        <v>2238</v>
      </c>
      <c r="C118" s="74" t="s">
        <v>3438</v>
      </c>
      <c r="D118" s="709"/>
      <c r="E118" s="718"/>
      <c r="F118" s="44" t="s">
        <v>397</v>
      </c>
      <c r="G118" s="45" t="s">
        <v>398</v>
      </c>
      <c r="H118" s="46">
        <v>1</v>
      </c>
      <c r="I118" s="35"/>
      <c r="K118" s="145"/>
      <c r="L118" s="43"/>
      <c r="M118" s="37"/>
      <c r="N118" s="38"/>
      <c r="O118" s="47">
        <f>ROUND((ROUND((_11_A重度研修１．５*_11・２人),0)*(1+_11・A夜間)),0)</f>
        <v>344</v>
      </c>
      <c r="P118" s="48"/>
    </row>
    <row r="119" spans="1:16" ht="16.5" customHeight="1" x14ac:dyDescent="0.15">
      <c r="A119" s="41">
        <v>11</v>
      </c>
      <c r="B119" s="41" t="s">
        <v>3439</v>
      </c>
      <c r="C119" s="74" t="s">
        <v>3440</v>
      </c>
      <c r="D119" s="709"/>
      <c r="E119" s="718"/>
      <c r="F119" s="44"/>
      <c r="G119" s="45"/>
      <c r="H119" s="46"/>
      <c r="I119" s="35"/>
      <c r="K119" s="145"/>
      <c r="L119" s="734" t="s">
        <v>404</v>
      </c>
      <c r="M119" s="49" t="s">
        <v>398</v>
      </c>
      <c r="N119" s="50">
        <f>_11・初任</f>
        <v>0.7</v>
      </c>
      <c r="O119" s="47">
        <f>ROUND((ROUND((_11_A重度研修１．５*(1+_11・A夜間)),0)*_11・初任),0)</f>
        <v>241</v>
      </c>
      <c r="P119" s="48"/>
    </row>
    <row r="120" spans="1:16" ht="16.5" customHeight="1" x14ac:dyDescent="0.15">
      <c r="A120" s="41">
        <v>11</v>
      </c>
      <c r="B120" s="41" t="s">
        <v>3441</v>
      </c>
      <c r="C120" s="74" t="s">
        <v>3442</v>
      </c>
      <c r="D120" s="100">
        <f>_11_A重度研修１．５</f>
        <v>275</v>
      </c>
      <c r="E120" s="12" t="s">
        <v>392</v>
      </c>
      <c r="F120" s="44" t="s">
        <v>397</v>
      </c>
      <c r="G120" s="45" t="s">
        <v>398</v>
      </c>
      <c r="H120" s="46">
        <v>1</v>
      </c>
      <c r="I120" s="35"/>
      <c r="K120" s="57"/>
      <c r="L120" s="706"/>
      <c r="M120" s="37"/>
      <c r="N120" s="38"/>
      <c r="O120" s="47">
        <f>ROUND((ROUND((ROUND((_11_A重度研修１．５*_11・２人),0)*(1+_11・A夜間)),0)*_11・初任),0)</f>
        <v>241</v>
      </c>
      <c r="P120" s="48"/>
    </row>
    <row r="121" spans="1:16" ht="16.5" customHeight="1" x14ac:dyDescent="0.15">
      <c r="A121" s="41">
        <v>11</v>
      </c>
      <c r="B121" s="41">
        <v>2063</v>
      </c>
      <c r="C121" s="74" t="s">
        <v>3443</v>
      </c>
      <c r="D121" s="707" t="s">
        <v>3444</v>
      </c>
      <c r="E121" s="717"/>
      <c r="F121" s="44"/>
      <c r="G121" s="45"/>
      <c r="H121" s="46"/>
      <c r="I121" s="35"/>
      <c r="K121" s="57"/>
      <c r="L121" s="53"/>
      <c r="M121" s="49"/>
      <c r="N121" s="50"/>
      <c r="O121" s="47">
        <f>ROUND((_11_A重度研修２．０*(1+_11・A夜間)),0)</f>
        <v>459</v>
      </c>
      <c r="P121" s="48"/>
    </row>
    <row r="122" spans="1:16" ht="16.5" customHeight="1" x14ac:dyDescent="0.15">
      <c r="A122" s="41">
        <v>11</v>
      </c>
      <c r="B122" s="41">
        <v>2064</v>
      </c>
      <c r="C122" s="74" t="s">
        <v>3445</v>
      </c>
      <c r="D122" s="709"/>
      <c r="E122" s="718"/>
      <c r="F122" s="44" t="s">
        <v>397</v>
      </c>
      <c r="G122" s="45" t="s">
        <v>398</v>
      </c>
      <c r="H122" s="46">
        <v>1</v>
      </c>
      <c r="I122" s="35"/>
      <c r="K122" s="57"/>
      <c r="L122" s="43"/>
      <c r="M122" s="37"/>
      <c r="N122" s="38"/>
      <c r="O122" s="47">
        <f>ROUND((ROUND((_11_A重度研修２．０*_11・２人),0)*(1+_11・A夜間)),0)</f>
        <v>459</v>
      </c>
      <c r="P122" s="48"/>
    </row>
    <row r="123" spans="1:16" ht="16.5" customHeight="1" x14ac:dyDescent="0.15">
      <c r="A123" s="41">
        <v>11</v>
      </c>
      <c r="B123" s="41" t="s">
        <v>3446</v>
      </c>
      <c r="C123" s="74" t="s">
        <v>3447</v>
      </c>
      <c r="D123" s="709"/>
      <c r="E123" s="718"/>
      <c r="F123" s="44"/>
      <c r="G123" s="45"/>
      <c r="H123" s="46"/>
      <c r="I123" s="35"/>
      <c r="K123" s="57"/>
      <c r="L123" s="734" t="s">
        <v>404</v>
      </c>
      <c r="M123" s="49" t="s">
        <v>398</v>
      </c>
      <c r="N123" s="50">
        <f>_11・初任</f>
        <v>0.7</v>
      </c>
      <c r="O123" s="47">
        <f>ROUND((ROUND((_11_A重度研修２．０*(1+_11・A夜間)),0)*_11・初任),0)</f>
        <v>321</v>
      </c>
      <c r="P123" s="48"/>
    </row>
    <row r="124" spans="1:16" ht="16.5" customHeight="1" x14ac:dyDescent="0.15">
      <c r="A124" s="41">
        <v>11</v>
      </c>
      <c r="B124" s="41" t="s">
        <v>3448</v>
      </c>
      <c r="C124" s="74" t="s">
        <v>3449</v>
      </c>
      <c r="D124" s="100">
        <f>_11_A重度研修２．０</f>
        <v>367</v>
      </c>
      <c r="E124" s="12" t="s">
        <v>392</v>
      </c>
      <c r="F124" s="44" t="s">
        <v>397</v>
      </c>
      <c r="G124" s="45" t="s">
        <v>398</v>
      </c>
      <c r="H124" s="46">
        <v>1</v>
      </c>
      <c r="I124" s="35"/>
      <c r="K124" s="57"/>
      <c r="L124" s="706"/>
      <c r="M124" s="37"/>
      <c r="N124" s="38"/>
      <c r="O124" s="47">
        <f>ROUND((ROUND((ROUND((_11_A重度研修２．０*_11・２人),0)*(1+_11・A夜間)),0)*_11・初任),0)</f>
        <v>321</v>
      </c>
      <c r="P124" s="48"/>
    </row>
    <row r="125" spans="1:16" ht="16.5" customHeight="1" x14ac:dyDescent="0.15">
      <c r="A125" s="41">
        <v>11</v>
      </c>
      <c r="B125" s="41">
        <v>2239</v>
      </c>
      <c r="C125" s="74" t="s">
        <v>3450</v>
      </c>
      <c r="D125" s="707" t="s">
        <v>3451</v>
      </c>
      <c r="E125" s="717"/>
      <c r="F125" s="44"/>
      <c r="G125" s="45"/>
      <c r="H125" s="46"/>
      <c r="I125" s="35"/>
      <c r="K125" s="57"/>
      <c r="L125" s="53"/>
      <c r="M125" s="49"/>
      <c r="N125" s="50"/>
      <c r="O125" s="47">
        <f>ROUND((_11_A重度研修２．５*(1+_11・A夜間)),0)</f>
        <v>573</v>
      </c>
      <c r="P125" s="48"/>
    </row>
    <row r="126" spans="1:16" ht="16.5" customHeight="1" x14ac:dyDescent="0.15">
      <c r="A126" s="41">
        <v>11</v>
      </c>
      <c r="B126" s="41">
        <v>2240</v>
      </c>
      <c r="C126" s="74" t="s">
        <v>3452</v>
      </c>
      <c r="D126" s="709"/>
      <c r="E126" s="718"/>
      <c r="F126" s="44" t="s">
        <v>397</v>
      </c>
      <c r="G126" s="45" t="s">
        <v>398</v>
      </c>
      <c r="H126" s="46">
        <v>1</v>
      </c>
      <c r="I126" s="35"/>
      <c r="K126" s="57"/>
      <c r="L126" s="43"/>
      <c r="M126" s="37"/>
      <c r="N126" s="38"/>
      <c r="O126" s="47">
        <f>ROUND((ROUND((_11_A重度研修２．５*_11・２人),0)*(1+_11・A夜間)),0)</f>
        <v>573</v>
      </c>
      <c r="P126" s="48"/>
    </row>
    <row r="127" spans="1:16" ht="16.5" customHeight="1" x14ac:dyDescent="0.15">
      <c r="A127" s="41">
        <v>11</v>
      </c>
      <c r="B127" s="41" t="s">
        <v>3453</v>
      </c>
      <c r="C127" s="74" t="s">
        <v>3454</v>
      </c>
      <c r="D127" s="709"/>
      <c r="E127" s="718"/>
      <c r="F127" s="44"/>
      <c r="G127" s="45"/>
      <c r="H127" s="46"/>
      <c r="I127" s="35"/>
      <c r="K127" s="57"/>
      <c r="L127" s="734" t="s">
        <v>404</v>
      </c>
      <c r="M127" s="49" t="s">
        <v>398</v>
      </c>
      <c r="N127" s="50">
        <f>_11・初任</f>
        <v>0.7</v>
      </c>
      <c r="O127" s="47">
        <f>ROUND((ROUND((_11_A重度研修２．５*(1+_11・A夜間)),0)*_11・初任),0)</f>
        <v>401</v>
      </c>
      <c r="P127" s="48"/>
    </row>
    <row r="128" spans="1:16" ht="16.5" customHeight="1" x14ac:dyDescent="0.15">
      <c r="A128" s="41">
        <v>11</v>
      </c>
      <c r="B128" s="41" t="s">
        <v>3455</v>
      </c>
      <c r="C128" s="74" t="s">
        <v>3456</v>
      </c>
      <c r="D128" s="100">
        <f>_11_A重度研修２．５</f>
        <v>458</v>
      </c>
      <c r="E128" s="12" t="s">
        <v>392</v>
      </c>
      <c r="F128" s="44" t="s">
        <v>397</v>
      </c>
      <c r="G128" s="45" t="s">
        <v>398</v>
      </c>
      <c r="H128" s="46">
        <v>1</v>
      </c>
      <c r="I128" s="35"/>
      <c r="K128" s="57"/>
      <c r="L128" s="706"/>
      <c r="M128" s="37"/>
      <c r="N128" s="38"/>
      <c r="O128" s="47">
        <f>ROUND((ROUND((ROUND((_11_A重度研修２．５*_11・２人),0)*(1+_11・A夜間)),0)*_11・初任),0)</f>
        <v>401</v>
      </c>
      <c r="P128" s="48"/>
    </row>
    <row r="129" spans="1:16" ht="16.5" customHeight="1" x14ac:dyDescent="0.15">
      <c r="A129" s="41">
        <v>11</v>
      </c>
      <c r="B129" s="41">
        <v>2065</v>
      </c>
      <c r="C129" s="74" t="s">
        <v>3457</v>
      </c>
      <c r="D129" s="707" t="s">
        <v>3458</v>
      </c>
      <c r="E129" s="717"/>
      <c r="F129" s="44"/>
      <c r="G129" s="45"/>
      <c r="H129" s="46"/>
      <c r="I129" s="35"/>
      <c r="K129" s="57"/>
      <c r="L129" s="53"/>
      <c r="M129" s="49"/>
      <c r="N129" s="50"/>
      <c r="O129" s="47">
        <f>ROUND((_11_A重度研修３．０*(1+_11・A夜間)),0)</f>
        <v>688</v>
      </c>
      <c r="P129" s="48"/>
    </row>
    <row r="130" spans="1:16" ht="16.5" customHeight="1" x14ac:dyDescent="0.15">
      <c r="A130" s="41">
        <v>11</v>
      </c>
      <c r="B130" s="41">
        <v>2066</v>
      </c>
      <c r="C130" s="74" t="s">
        <v>3459</v>
      </c>
      <c r="D130" s="709"/>
      <c r="E130" s="718"/>
      <c r="F130" s="44" t="s">
        <v>397</v>
      </c>
      <c r="G130" s="45" t="s">
        <v>398</v>
      </c>
      <c r="H130" s="46">
        <v>1</v>
      </c>
      <c r="I130" s="35"/>
      <c r="K130" s="57"/>
      <c r="L130" s="43"/>
      <c r="M130" s="37"/>
      <c r="N130" s="38"/>
      <c r="O130" s="47">
        <f>ROUND((ROUND((_11_A重度研修３．０*_11・２人),0)*(1+_11・A夜間)),0)</f>
        <v>688</v>
      </c>
      <c r="P130" s="48"/>
    </row>
    <row r="131" spans="1:16" ht="16.5" customHeight="1" x14ac:dyDescent="0.15">
      <c r="A131" s="41">
        <v>11</v>
      </c>
      <c r="B131" s="41" t="s">
        <v>3460</v>
      </c>
      <c r="C131" s="74" t="s">
        <v>3461</v>
      </c>
      <c r="D131" s="709"/>
      <c r="E131" s="718"/>
      <c r="F131" s="44"/>
      <c r="G131" s="45"/>
      <c r="H131" s="46"/>
      <c r="I131" s="35"/>
      <c r="K131" s="57"/>
      <c r="L131" s="734" t="s">
        <v>404</v>
      </c>
      <c r="M131" s="49" t="s">
        <v>398</v>
      </c>
      <c r="N131" s="50">
        <f>_11・初任</f>
        <v>0.7</v>
      </c>
      <c r="O131" s="47">
        <f>ROUND((ROUND((_11_A重度研修３．０*(1+_11・A夜間)),0)*_11・初任),0)</f>
        <v>482</v>
      </c>
      <c r="P131" s="48"/>
    </row>
    <row r="132" spans="1:16" ht="16.5" customHeight="1" x14ac:dyDescent="0.15">
      <c r="A132" s="41">
        <v>11</v>
      </c>
      <c r="B132" s="41" t="s">
        <v>3462</v>
      </c>
      <c r="C132" s="74" t="s">
        <v>3463</v>
      </c>
      <c r="D132" s="100">
        <f>_11_A重度研修３．０</f>
        <v>550</v>
      </c>
      <c r="E132" s="12" t="s">
        <v>392</v>
      </c>
      <c r="F132" s="44" t="s">
        <v>397</v>
      </c>
      <c r="G132" s="45" t="s">
        <v>398</v>
      </c>
      <c r="H132" s="46">
        <v>1</v>
      </c>
      <c r="I132" s="35"/>
      <c r="K132" s="57"/>
      <c r="L132" s="706"/>
      <c r="M132" s="37"/>
      <c r="N132" s="38"/>
      <c r="O132" s="47">
        <f>ROUND((ROUND((ROUND((_11_A重度研修３．０*_11・２人),0)*(1+_11・A夜間)),0)*_11・初任),0)</f>
        <v>482</v>
      </c>
      <c r="P132" s="48"/>
    </row>
    <row r="133" spans="1:16" ht="16.5" customHeight="1" x14ac:dyDescent="0.15">
      <c r="A133" s="41">
        <v>11</v>
      </c>
      <c r="B133" s="41">
        <v>2067</v>
      </c>
      <c r="C133" s="74" t="s">
        <v>3464</v>
      </c>
      <c r="D133" s="707" t="s">
        <v>3465</v>
      </c>
      <c r="E133" s="717"/>
      <c r="F133" s="44"/>
      <c r="G133" s="45"/>
      <c r="H133" s="46"/>
      <c r="I133" s="35"/>
      <c r="K133" s="57"/>
      <c r="L133" s="53"/>
      <c r="M133" s="49"/>
      <c r="N133" s="50"/>
      <c r="O133" s="47">
        <f>ROUND((_11_A重度研修３．５*(1+_11・A夜間)),0)</f>
        <v>794</v>
      </c>
      <c r="P133" s="48"/>
    </row>
    <row r="134" spans="1:16" ht="16.5" customHeight="1" x14ac:dyDescent="0.15">
      <c r="A134" s="41">
        <v>11</v>
      </c>
      <c r="B134" s="41">
        <v>2068</v>
      </c>
      <c r="C134" s="74" t="s">
        <v>3466</v>
      </c>
      <c r="D134" s="709"/>
      <c r="E134" s="718"/>
      <c r="F134" s="44" t="s">
        <v>397</v>
      </c>
      <c r="G134" s="45" t="s">
        <v>398</v>
      </c>
      <c r="H134" s="46">
        <v>1</v>
      </c>
      <c r="I134" s="35"/>
      <c r="K134" s="57"/>
      <c r="L134" s="43"/>
      <c r="M134" s="37"/>
      <c r="N134" s="38"/>
      <c r="O134" s="47">
        <f>ROUND((ROUND((_11_A重度研修３．５*_11・２人),0)*(1+_11・A夜間)),0)</f>
        <v>794</v>
      </c>
      <c r="P134" s="48"/>
    </row>
    <row r="135" spans="1:16" ht="16.5" customHeight="1" x14ac:dyDescent="0.15">
      <c r="A135" s="41">
        <v>11</v>
      </c>
      <c r="B135" s="41" t="s">
        <v>3467</v>
      </c>
      <c r="C135" s="74" t="s">
        <v>3468</v>
      </c>
      <c r="D135" s="709"/>
      <c r="E135" s="718"/>
      <c r="F135" s="44"/>
      <c r="G135" s="45"/>
      <c r="H135" s="46"/>
      <c r="I135" s="35"/>
      <c r="K135" s="57"/>
      <c r="L135" s="734" t="s">
        <v>404</v>
      </c>
      <c r="M135" s="49" t="s">
        <v>398</v>
      </c>
      <c r="N135" s="50">
        <f>_11・初任</f>
        <v>0.7</v>
      </c>
      <c r="O135" s="47">
        <f>ROUND((ROUND((_11_A重度研修３．５*(1+_11・A夜間)),0)*_11・初任),0)</f>
        <v>556</v>
      </c>
      <c r="P135" s="48"/>
    </row>
    <row r="136" spans="1:16" ht="16.5" customHeight="1" x14ac:dyDescent="0.15">
      <c r="A136" s="41">
        <v>11</v>
      </c>
      <c r="B136" s="41" t="s">
        <v>3469</v>
      </c>
      <c r="C136" s="74" t="s">
        <v>3470</v>
      </c>
      <c r="D136" s="100">
        <f>_11_A重度研修３．５</f>
        <v>635</v>
      </c>
      <c r="E136" s="12" t="s">
        <v>392</v>
      </c>
      <c r="F136" s="44" t="s">
        <v>397</v>
      </c>
      <c r="G136" s="45" t="s">
        <v>398</v>
      </c>
      <c r="H136" s="46">
        <v>1</v>
      </c>
      <c r="I136" s="35"/>
      <c r="K136" s="57"/>
      <c r="L136" s="706"/>
      <c r="M136" s="37"/>
      <c r="N136" s="38"/>
      <c r="O136" s="47">
        <f>ROUND((ROUND((ROUND((_11_A重度研修３．５*_11・２人),0)*(1+_11・A夜間)),0)*_11・初任),0)</f>
        <v>556</v>
      </c>
      <c r="P136" s="48"/>
    </row>
    <row r="137" spans="1:16" ht="16.5" customHeight="1" x14ac:dyDescent="0.15">
      <c r="A137" s="41">
        <v>11</v>
      </c>
      <c r="B137" s="41">
        <v>2069</v>
      </c>
      <c r="C137" s="74" t="s">
        <v>3471</v>
      </c>
      <c r="D137" s="707" t="s">
        <v>3472</v>
      </c>
      <c r="E137" s="717"/>
      <c r="F137" s="44"/>
      <c r="G137" s="45"/>
      <c r="H137" s="46"/>
      <c r="I137" s="35"/>
      <c r="K137" s="57"/>
      <c r="L137" s="53"/>
      <c r="M137" s="49"/>
      <c r="N137" s="50"/>
      <c r="O137" s="47">
        <f>ROUND((_11_A重度研修４．０*(1+_11・A夜間)),0)</f>
        <v>901</v>
      </c>
      <c r="P137" s="48"/>
    </row>
    <row r="138" spans="1:16" ht="16.5" customHeight="1" x14ac:dyDescent="0.15">
      <c r="A138" s="41">
        <v>11</v>
      </c>
      <c r="B138" s="41">
        <v>2070</v>
      </c>
      <c r="C138" s="74" t="s">
        <v>3473</v>
      </c>
      <c r="D138" s="709"/>
      <c r="E138" s="718"/>
      <c r="F138" s="44" t="s">
        <v>397</v>
      </c>
      <c r="G138" s="45" t="s">
        <v>398</v>
      </c>
      <c r="H138" s="46">
        <v>1</v>
      </c>
      <c r="I138" s="35"/>
      <c r="K138" s="57"/>
      <c r="L138" s="43"/>
      <c r="M138" s="37"/>
      <c r="N138" s="38"/>
      <c r="O138" s="47">
        <f>ROUND((ROUND((_11_A重度研修４．０*_11・２人),0)*(1+_11・A夜間)),0)</f>
        <v>901</v>
      </c>
      <c r="P138" s="48"/>
    </row>
    <row r="139" spans="1:16" ht="16.5" customHeight="1" x14ac:dyDescent="0.15">
      <c r="A139" s="41">
        <v>11</v>
      </c>
      <c r="B139" s="41" t="s">
        <v>3474</v>
      </c>
      <c r="C139" s="74" t="s">
        <v>3475</v>
      </c>
      <c r="D139" s="709"/>
      <c r="E139" s="718"/>
      <c r="F139" s="44"/>
      <c r="G139" s="45"/>
      <c r="H139" s="46"/>
      <c r="I139" s="35"/>
      <c r="K139" s="57"/>
      <c r="L139" s="734" t="s">
        <v>404</v>
      </c>
      <c r="M139" s="49" t="s">
        <v>398</v>
      </c>
      <c r="N139" s="50">
        <f>_11・初任</f>
        <v>0.7</v>
      </c>
      <c r="O139" s="47">
        <f>ROUND((ROUND((_11_A重度研修４．０*(1+_11・A夜間)),0)*_11・初任),0)</f>
        <v>631</v>
      </c>
      <c r="P139" s="48"/>
    </row>
    <row r="140" spans="1:16" ht="16.5" customHeight="1" x14ac:dyDescent="0.15">
      <c r="A140" s="41">
        <v>11</v>
      </c>
      <c r="B140" s="41" t="s">
        <v>3476</v>
      </c>
      <c r="C140" s="74" t="s">
        <v>3477</v>
      </c>
      <c r="D140" s="100">
        <f>_11_A重度研修４．０</f>
        <v>721</v>
      </c>
      <c r="E140" s="12" t="s">
        <v>392</v>
      </c>
      <c r="F140" s="44" t="s">
        <v>397</v>
      </c>
      <c r="G140" s="45" t="s">
        <v>398</v>
      </c>
      <c r="H140" s="46">
        <v>1</v>
      </c>
      <c r="I140" s="35"/>
      <c r="K140" s="57"/>
      <c r="L140" s="706"/>
      <c r="M140" s="37"/>
      <c r="N140" s="38"/>
      <c r="O140" s="47">
        <f>ROUND((ROUND((ROUND((_11_A重度研修４．０*_11・２人),0)*(1+_11・A夜間)),0)*_11・初任),0)</f>
        <v>631</v>
      </c>
      <c r="P140" s="48"/>
    </row>
    <row r="141" spans="1:16" ht="16.5" customHeight="1" x14ac:dyDescent="0.15">
      <c r="A141" s="41">
        <v>11</v>
      </c>
      <c r="B141" s="41">
        <v>2071</v>
      </c>
      <c r="C141" s="74" t="s">
        <v>3478</v>
      </c>
      <c r="D141" s="707" t="s">
        <v>3479</v>
      </c>
      <c r="E141" s="717"/>
      <c r="F141" s="44"/>
      <c r="G141" s="45"/>
      <c r="H141" s="46"/>
      <c r="I141" s="35"/>
      <c r="K141" s="57"/>
      <c r="L141" s="53"/>
      <c r="M141" s="49"/>
      <c r="N141" s="50"/>
      <c r="O141" s="47">
        <f>ROUND((_11_A重度研修４．５*(1+_11・A夜間)),0)</f>
        <v>1009</v>
      </c>
      <c r="P141" s="48"/>
    </row>
    <row r="142" spans="1:16" ht="16.5" customHeight="1" x14ac:dyDescent="0.15">
      <c r="A142" s="41">
        <v>11</v>
      </c>
      <c r="B142" s="41">
        <v>2072</v>
      </c>
      <c r="C142" s="74" t="s">
        <v>3480</v>
      </c>
      <c r="D142" s="709"/>
      <c r="E142" s="718"/>
      <c r="F142" s="44" t="s">
        <v>397</v>
      </c>
      <c r="G142" s="45" t="s">
        <v>398</v>
      </c>
      <c r="H142" s="46">
        <v>1</v>
      </c>
      <c r="I142" s="35"/>
      <c r="K142" s="57"/>
      <c r="L142" s="43"/>
      <c r="M142" s="37"/>
      <c r="N142" s="38"/>
      <c r="O142" s="47">
        <f>ROUND((ROUND((_11_A重度研修４．５*_11・２人),0)*(1+_11・A夜間)),0)</f>
        <v>1009</v>
      </c>
      <c r="P142" s="48"/>
    </row>
    <row r="143" spans="1:16" ht="16.5" customHeight="1" x14ac:dyDescent="0.15">
      <c r="A143" s="41">
        <v>11</v>
      </c>
      <c r="B143" s="41" t="s">
        <v>3481</v>
      </c>
      <c r="C143" s="74" t="s">
        <v>3482</v>
      </c>
      <c r="D143" s="709"/>
      <c r="E143" s="718"/>
      <c r="F143" s="44"/>
      <c r="G143" s="45"/>
      <c r="H143" s="46"/>
      <c r="I143" s="35"/>
      <c r="K143" s="57"/>
      <c r="L143" s="734" t="s">
        <v>404</v>
      </c>
      <c r="M143" s="49" t="s">
        <v>398</v>
      </c>
      <c r="N143" s="50">
        <f>_11・初任</f>
        <v>0.7</v>
      </c>
      <c r="O143" s="47">
        <f>ROUND((ROUND((_11_A重度研修４．５*(1+_11・A夜間)),0)*_11・初任),0)</f>
        <v>706</v>
      </c>
      <c r="P143" s="48"/>
    </row>
    <row r="144" spans="1:16" ht="16.5" customHeight="1" x14ac:dyDescent="0.15">
      <c r="A144" s="41">
        <v>11</v>
      </c>
      <c r="B144" s="41" t="s">
        <v>3483</v>
      </c>
      <c r="C144" s="74" t="s">
        <v>3484</v>
      </c>
      <c r="D144" s="165">
        <f>_11_A重度研修４．５</f>
        <v>807</v>
      </c>
      <c r="E144" s="37" t="s">
        <v>392</v>
      </c>
      <c r="F144" s="44" t="s">
        <v>397</v>
      </c>
      <c r="G144" s="45" t="s">
        <v>398</v>
      </c>
      <c r="H144" s="46">
        <v>1</v>
      </c>
      <c r="I144" s="43"/>
      <c r="J144" s="38"/>
      <c r="K144" s="79"/>
      <c r="L144" s="706"/>
      <c r="M144" s="37"/>
      <c r="N144" s="38"/>
      <c r="O144" s="47">
        <f>ROUND((ROUND((ROUND((_11_A重度研修４．５*_11・２人),0)*(1+_11・A夜間)),0)*_11・初任),0)</f>
        <v>706</v>
      </c>
      <c r="P144" s="63"/>
    </row>
    <row r="145" ht="16.5" customHeight="1" x14ac:dyDescent="0.15"/>
    <row r="146" ht="16.5" customHeight="1" x14ac:dyDescent="0.15"/>
  </sheetData>
  <mergeCells count="66">
    <mergeCell ref="D137:E139"/>
    <mergeCell ref="L139:L140"/>
    <mergeCell ref="D141:E143"/>
    <mergeCell ref="L143:L144"/>
    <mergeCell ref="D125:E127"/>
    <mergeCell ref="L127:L128"/>
    <mergeCell ref="D129:E131"/>
    <mergeCell ref="L131:L132"/>
    <mergeCell ref="D133:E135"/>
    <mergeCell ref="L135:L136"/>
    <mergeCell ref="D121:E123"/>
    <mergeCell ref="L123:L124"/>
    <mergeCell ref="D96:E98"/>
    <mergeCell ref="L98:L99"/>
    <mergeCell ref="D100:E102"/>
    <mergeCell ref="L102:L103"/>
    <mergeCell ref="D104:E106"/>
    <mergeCell ref="L106:L107"/>
    <mergeCell ref="D113:E115"/>
    <mergeCell ref="K114:K115"/>
    <mergeCell ref="L115:L116"/>
    <mergeCell ref="D117:E119"/>
    <mergeCell ref="L119:L120"/>
    <mergeCell ref="D79:E81"/>
    <mergeCell ref="L81:L82"/>
    <mergeCell ref="D83:E85"/>
    <mergeCell ref="L85:L86"/>
    <mergeCell ref="D92:E94"/>
    <mergeCell ref="K93:K94"/>
    <mergeCell ref="L94:L95"/>
    <mergeCell ref="D67:E69"/>
    <mergeCell ref="L69:L70"/>
    <mergeCell ref="D71:E73"/>
    <mergeCell ref="L73:L74"/>
    <mergeCell ref="D75:E77"/>
    <mergeCell ref="L77:L78"/>
    <mergeCell ref="D55:E57"/>
    <mergeCell ref="L57:L58"/>
    <mergeCell ref="D59:E61"/>
    <mergeCell ref="L61:L62"/>
    <mergeCell ref="D63:E65"/>
    <mergeCell ref="L65:L66"/>
    <mergeCell ref="D43:E45"/>
    <mergeCell ref="L45:L46"/>
    <mergeCell ref="D47:E49"/>
    <mergeCell ref="L49:L50"/>
    <mergeCell ref="D51:E53"/>
    <mergeCell ref="L53:L54"/>
    <mergeCell ref="D31:E33"/>
    <mergeCell ref="L33:L34"/>
    <mergeCell ref="D35:E37"/>
    <mergeCell ref="L37:L38"/>
    <mergeCell ref="D39:E41"/>
    <mergeCell ref="L41:L42"/>
    <mergeCell ref="D19:E21"/>
    <mergeCell ref="L21:L22"/>
    <mergeCell ref="D23:E25"/>
    <mergeCell ref="L25:L26"/>
    <mergeCell ref="D27:E29"/>
    <mergeCell ref="L29:L30"/>
    <mergeCell ref="D7:E9"/>
    <mergeCell ref="L9:L10"/>
    <mergeCell ref="D11:E13"/>
    <mergeCell ref="L13:L14"/>
    <mergeCell ref="D15:E17"/>
    <mergeCell ref="L17:L18"/>
  </mergeCells>
  <phoneticPr fontId="1"/>
  <printOptions horizontalCentered="1"/>
  <pageMargins left="0.70866141732283472" right="0.70866141732283472" top="0.74803149606299213" bottom="0.74803149606299213" header="0.31496062992125984" footer="0.31496062992125984"/>
  <pageSetup paperSize="9" scale="59" fitToHeight="0" orientation="portrait" r:id="rId1"/>
  <headerFooter>
    <oddHeader>&amp;R&amp;"ＭＳ Ｐゴシック"&amp;9居宅介護</oddHeader>
    <oddFooter>&amp;C&amp;"ＭＳ Ｐゴシック"&amp;14&amp;P</oddFooter>
  </headerFooter>
  <rowBreaks count="1" manualBreakCount="1">
    <brk id="78" max="1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pageSetUpPr fitToPage="1"/>
  </sheetPr>
  <dimension ref="A1:P56"/>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3.5" style="10" bestFit="1" customWidth="1"/>
    <col min="4" max="4" width="6" style="10" bestFit="1" customWidth="1"/>
    <col min="5" max="5" width="5.5" style="117" bestFit="1" customWidth="1"/>
    <col min="6" max="6" width="26.875" style="14" bestFit="1" customWidth="1"/>
    <col min="7" max="7" width="3.5" style="12" bestFit="1" customWidth="1"/>
    <col min="8" max="8" width="5.5" style="13" bestFit="1" customWidth="1"/>
    <col min="9" max="9" width="3.5" style="12" bestFit="1" customWidth="1"/>
    <col min="10" max="10" width="4.5" style="13" bestFit="1" customWidth="1"/>
    <col min="11" max="11" width="5.5" style="12" bestFit="1" customWidth="1"/>
    <col min="12" max="12" width="17.875" style="12" customWidth="1"/>
    <col min="13" max="13" width="3.5" style="12" bestFit="1" customWidth="1"/>
    <col min="14" max="14" width="4.5" style="13" bestFit="1" customWidth="1"/>
    <col min="15" max="15" width="7.125" style="15" customWidth="1"/>
    <col min="16" max="16" width="8.5" style="16" customWidth="1"/>
    <col min="17" max="16384" width="8.875" style="12"/>
  </cols>
  <sheetData>
    <row r="1" spans="1:16" ht="17.100000000000001" customHeight="1" x14ac:dyDescent="0.15">
      <c r="D1" s="11"/>
    </row>
    <row r="2" spans="1:16" ht="17.100000000000001" customHeight="1" x14ac:dyDescent="0.15"/>
    <row r="3" spans="1:16" ht="17.100000000000001" customHeight="1" x14ac:dyDescent="0.15"/>
    <row r="4" spans="1:16" ht="17.100000000000001" customHeight="1" x14ac:dyDescent="0.15">
      <c r="B4" s="17" t="s">
        <v>3485</v>
      </c>
      <c r="D4" s="71"/>
    </row>
    <row r="5" spans="1:16" ht="16.5" customHeight="1" x14ac:dyDescent="0.15">
      <c r="A5" s="19" t="s">
        <v>384</v>
      </c>
      <c r="B5" s="20"/>
      <c r="C5" s="21" t="s">
        <v>385</v>
      </c>
      <c r="D5" s="23" t="s">
        <v>386</v>
      </c>
      <c r="E5" s="118"/>
      <c r="F5" s="23"/>
      <c r="G5" s="23"/>
      <c r="H5" s="24"/>
      <c r="I5" s="23"/>
      <c r="J5" s="24"/>
      <c r="K5" s="23"/>
      <c r="L5" s="23"/>
      <c r="M5" s="23"/>
      <c r="N5" s="24"/>
      <c r="O5" s="25" t="s">
        <v>387</v>
      </c>
      <c r="P5" s="21" t="s">
        <v>388</v>
      </c>
    </row>
    <row r="6" spans="1:16" ht="16.5" customHeight="1" x14ac:dyDescent="0.15">
      <c r="A6" s="26" t="s">
        <v>389</v>
      </c>
      <c r="B6" s="26" t="s">
        <v>390</v>
      </c>
      <c r="C6" s="27"/>
      <c r="D6" s="29"/>
      <c r="E6" s="120"/>
      <c r="F6" s="29"/>
      <c r="G6" s="29"/>
      <c r="H6" s="30"/>
      <c r="I6" s="29"/>
      <c r="J6" s="30"/>
      <c r="K6" s="29"/>
      <c r="L6" s="29"/>
      <c r="M6" s="29"/>
      <c r="N6" s="30"/>
      <c r="O6" s="31" t="s">
        <v>391</v>
      </c>
      <c r="P6" s="32" t="s">
        <v>392</v>
      </c>
    </row>
    <row r="7" spans="1:16" ht="16.5" customHeight="1" x14ac:dyDescent="0.15">
      <c r="A7" s="33">
        <v>11</v>
      </c>
      <c r="B7" s="33">
        <v>2073</v>
      </c>
      <c r="C7" s="34" t="s">
        <v>3486</v>
      </c>
      <c r="D7" s="709" t="s">
        <v>3487</v>
      </c>
      <c r="E7" s="718"/>
      <c r="F7" s="36"/>
      <c r="G7" s="37"/>
      <c r="H7" s="38"/>
      <c r="I7" s="72" t="s">
        <v>862</v>
      </c>
      <c r="K7" s="57"/>
      <c r="L7" s="35"/>
      <c r="O7" s="39">
        <f>ROUND((_11_A重度研修１．０*(1+_11・A深夜)),0)</f>
        <v>278</v>
      </c>
      <c r="P7" s="40" t="s">
        <v>395</v>
      </c>
    </row>
    <row r="8" spans="1:16" ht="16.5" customHeight="1" x14ac:dyDescent="0.15">
      <c r="A8" s="41">
        <v>11</v>
      </c>
      <c r="B8" s="41">
        <v>2074</v>
      </c>
      <c r="C8" s="74" t="s">
        <v>3488</v>
      </c>
      <c r="D8" s="709"/>
      <c r="E8" s="718"/>
      <c r="F8" s="44" t="s">
        <v>397</v>
      </c>
      <c r="G8" s="45" t="s">
        <v>398</v>
      </c>
      <c r="H8" s="46">
        <v>1</v>
      </c>
      <c r="I8" s="35" t="s">
        <v>398</v>
      </c>
      <c r="J8" s="13">
        <v>0.5</v>
      </c>
      <c r="K8" s="728" t="s">
        <v>676</v>
      </c>
      <c r="L8" s="43"/>
      <c r="M8" s="37"/>
      <c r="N8" s="38"/>
      <c r="O8" s="47">
        <f>ROUND((ROUND((_11_A重度研修１．０*_11・２人),0)*(1+_11・A深夜)),0)</f>
        <v>278</v>
      </c>
      <c r="P8" s="48"/>
    </row>
    <row r="9" spans="1:16" ht="16.5" customHeight="1" x14ac:dyDescent="0.15">
      <c r="A9" s="41">
        <v>11</v>
      </c>
      <c r="B9" s="41" t="s">
        <v>3489</v>
      </c>
      <c r="C9" s="74" t="s">
        <v>3490</v>
      </c>
      <c r="D9" s="709"/>
      <c r="E9" s="718"/>
      <c r="F9" s="44"/>
      <c r="G9" s="45"/>
      <c r="H9" s="46"/>
      <c r="I9" s="35"/>
      <c r="K9" s="728"/>
      <c r="L9" s="734" t="s">
        <v>404</v>
      </c>
      <c r="M9" s="49" t="s">
        <v>398</v>
      </c>
      <c r="N9" s="50">
        <f>_11・初任</f>
        <v>0.7</v>
      </c>
      <c r="O9" s="47">
        <f>ROUND((ROUND((_11_A重度研修１．０*(1+_11・A深夜)),0)*_11・初任),0)</f>
        <v>195</v>
      </c>
      <c r="P9" s="48"/>
    </row>
    <row r="10" spans="1:16" ht="16.5" customHeight="1" x14ac:dyDescent="0.15">
      <c r="A10" s="41">
        <v>11</v>
      </c>
      <c r="B10" s="41" t="s">
        <v>3491</v>
      </c>
      <c r="C10" s="74" t="s">
        <v>3492</v>
      </c>
      <c r="D10" s="100">
        <f>_11_A重度研修１．０</f>
        <v>185</v>
      </c>
      <c r="E10" s="12" t="s">
        <v>392</v>
      </c>
      <c r="F10" s="44" t="s">
        <v>397</v>
      </c>
      <c r="G10" s="45" t="s">
        <v>398</v>
      </c>
      <c r="H10" s="46">
        <v>1</v>
      </c>
      <c r="I10" s="35"/>
      <c r="K10" s="57"/>
      <c r="L10" s="706"/>
      <c r="M10" s="37"/>
      <c r="N10" s="38"/>
      <c r="O10" s="47">
        <f>ROUND((ROUND((ROUND((_11_A重度研修１．０*_11・２人),0)*(1+_11・A深夜)),0)*_11・初任),0)</f>
        <v>195</v>
      </c>
      <c r="P10" s="48"/>
    </row>
    <row r="11" spans="1:16" ht="16.5" customHeight="1" x14ac:dyDescent="0.15">
      <c r="A11" s="41">
        <v>11</v>
      </c>
      <c r="B11" s="41">
        <v>2241</v>
      </c>
      <c r="C11" s="74" t="s">
        <v>3493</v>
      </c>
      <c r="D11" s="707" t="s">
        <v>3494</v>
      </c>
      <c r="E11" s="717"/>
      <c r="F11" s="44"/>
      <c r="G11" s="45"/>
      <c r="H11" s="46"/>
      <c r="I11" s="35"/>
      <c r="K11" s="57"/>
      <c r="L11" s="53"/>
      <c r="M11" s="49"/>
      <c r="N11" s="50"/>
      <c r="O11" s="47">
        <f>ROUND((_11_A重度研修１．５*(1+_11・A深夜)),0)</f>
        <v>413</v>
      </c>
      <c r="P11" s="48"/>
    </row>
    <row r="12" spans="1:16" ht="16.5" customHeight="1" x14ac:dyDescent="0.15">
      <c r="A12" s="41">
        <v>11</v>
      </c>
      <c r="B12" s="41">
        <v>2242</v>
      </c>
      <c r="C12" s="74" t="s">
        <v>3495</v>
      </c>
      <c r="D12" s="709"/>
      <c r="E12" s="718"/>
      <c r="F12" s="44" t="s">
        <v>397</v>
      </c>
      <c r="G12" s="45" t="s">
        <v>398</v>
      </c>
      <c r="H12" s="46">
        <v>1</v>
      </c>
      <c r="I12" s="35"/>
      <c r="K12" s="57"/>
      <c r="L12" s="43"/>
      <c r="M12" s="37"/>
      <c r="N12" s="38"/>
      <c r="O12" s="47">
        <f>ROUND((ROUND((_11_A重度研修１．５*_11・２人),0)*(1+_11・A深夜)),0)</f>
        <v>413</v>
      </c>
      <c r="P12" s="48"/>
    </row>
    <row r="13" spans="1:16" ht="16.5" customHeight="1" x14ac:dyDescent="0.15">
      <c r="A13" s="41">
        <v>11</v>
      </c>
      <c r="B13" s="41" t="s">
        <v>3496</v>
      </c>
      <c r="C13" s="74" t="s">
        <v>3497</v>
      </c>
      <c r="D13" s="709"/>
      <c r="E13" s="718"/>
      <c r="F13" s="44"/>
      <c r="G13" s="45"/>
      <c r="H13" s="46"/>
      <c r="I13" s="35"/>
      <c r="K13" s="57"/>
      <c r="L13" s="734" t="s">
        <v>404</v>
      </c>
      <c r="M13" s="49" t="s">
        <v>398</v>
      </c>
      <c r="N13" s="50">
        <f>_11・初任</f>
        <v>0.7</v>
      </c>
      <c r="O13" s="47">
        <f>ROUND((ROUND((_11_A重度研修１．５*(1+_11・A深夜)),0)*_11・初任),0)</f>
        <v>289</v>
      </c>
      <c r="P13" s="48"/>
    </row>
    <row r="14" spans="1:16" ht="16.5" customHeight="1" x14ac:dyDescent="0.15">
      <c r="A14" s="41">
        <v>11</v>
      </c>
      <c r="B14" s="41" t="s">
        <v>3498</v>
      </c>
      <c r="C14" s="74" t="s">
        <v>3499</v>
      </c>
      <c r="D14" s="100">
        <f>_11_A重度研修１．５</f>
        <v>275</v>
      </c>
      <c r="E14" s="12" t="s">
        <v>392</v>
      </c>
      <c r="F14" s="44" t="s">
        <v>397</v>
      </c>
      <c r="G14" s="45" t="s">
        <v>398</v>
      </c>
      <c r="H14" s="46">
        <v>1</v>
      </c>
      <c r="I14" s="35"/>
      <c r="K14" s="57"/>
      <c r="L14" s="706"/>
      <c r="M14" s="37"/>
      <c r="N14" s="38"/>
      <c r="O14" s="47">
        <f>ROUND((ROUND((ROUND((_11_A重度研修１．５*_11・２人),0)*(1+_11・A深夜)),0)*_11・初任),0)</f>
        <v>289</v>
      </c>
      <c r="P14" s="48"/>
    </row>
    <row r="15" spans="1:16" ht="16.5" customHeight="1" x14ac:dyDescent="0.15">
      <c r="A15" s="41">
        <v>11</v>
      </c>
      <c r="B15" s="41">
        <v>2075</v>
      </c>
      <c r="C15" s="74" t="s">
        <v>3500</v>
      </c>
      <c r="D15" s="707" t="s">
        <v>3501</v>
      </c>
      <c r="E15" s="717"/>
      <c r="F15" s="44"/>
      <c r="G15" s="45"/>
      <c r="H15" s="46"/>
      <c r="I15" s="35"/>
      <c r="K15" s="57"/>
      <c r="L15" s="53"/>
      <c r="M15" s="49"/>
      <c r="N15" s="50"/>
      <c r="O15" s="47">
        <f>ROUND((_11_A重度研修２．０*(1+_11・A深夜)),0)</f>
        <v>551</v>
      </c>
      <c r="P15" s="48"/>
    </row>
    <row r="16" spans="1:16" ht="16.5" customHeight="1" x14ac:dyDescent="0.15">
      <c r="A16" s="41">
        <v>11</v>
      </c>
      <c r="B16" s="41">
        <v>2076</v>
      </c>
      <c r="C16" s="74" t="s">
        <v>3502</v>
      </c>
      <c r="D16" s="709"/>
      <c r="E16" s="718"/>
      <c r="F16" s="164" t="s">
        <v>397</v>
      </c>
      <c r="G16" s="45" t="s">
        <v>398</v>
      </c>
      <c r="H16" s="46">
        <v>1</v>
      </c>
      <c r="I16" s="35"/>
      <c r="K16" s="57"/>
      <c r="L16" s="43"/>
      <c r="M16" s="37"/>
      <c r="N16" s="38"/>
      <c r="O16" s="47">
        <f>ROUND((ROUND((_11_A重度研修２．０*_11・２人),0)*(1+_11・A深夜)),0)</f>
        <v>551</v>
      </c>
      <c r="P16" s="48"/>
    </row>
    <row r="17" spans="1:16" ht="16.5" customHeight="1" x14ac:dyDescent="0.15">
      <c r="A17" s="41">
        <v>11</v>
      </c>
      <c r="B17" s="41" t="s">
        <v>3503</v>
      </c>
      <c r="C17" s="74" t="s">
        <v>3504</v>
      </c>
      <c r="D17" s="709"/>
      <c r="E17" s="718"/>
      <c r="F17" s="44"/>
      <c r="G17" s="45"/>
      <c r="H17" s="46"/>
      <c r="I17" s="35"/>
      <c r="K17" s="57"/>
      <c r="L17" s="734" t="s">
        <v>404</v>
      </c>
      <c r="M17" s="49" t="s">
        <v>398</v>
      </c>
      <c r="N17" s="50">
        <f>_11・初任</f>
        <v>0.7</v>
      </c>
      <c r="O17" s="47">
        <f>ROUND((ROUND((_11_A重度研修２．０*(1+_11・A深夜)),0)*_11・初任),0)</f>
        <v>386</v>
      </c>
      <c r="P17" s="48"/>
    </row>
    <row r="18" spans="1:16" ht="16.5" customHeight="1" x14ac:dyDescent="0.15">
      <c r="A18" s="41">
        <v>11</v>
      </c>
      <c r="B18" s="41" t="s">
        <v>3505</v>
      </c>
      <c r="C18" s="74" t="s">
        <v>3506</v>
      </c>
      <c r="D18" s="100">
        <f>_11_A重度研修２．０</f>
        <v>367</v>
      </c>
      <c r="E18" s="99" t="s">
        <v>3279</v>
      </c>
      <c r="F18" s="164" t="s">
        <v>397</v>
      </c>
      <c r="G18" s="45" t="s">
        <v>398</v>
      </c>
      <c r="H18" s="46">
        <v>1</v>
      </c>
      <c r="I18" s="35"/>
      <c r="K18" s="57"/>
      <c r="L18" s="706"/>
      <c r="M18" s="37"/>
      <c r="N18" s="38"/>
      <c r="O18" s="47">
        <f>ROUND((ROUND((ROUND((_11_A重度研修２．０*_11・２人),0)*(1+_11・A深夜)),0)*_11・初任),0)</f>
        <v>386</v>
      </c>
      <c r="P18" s="48"/>
    </row>
    <row r="19" spans="1:16" ht="16.5" customHeight="1" x14ac:dyDescent="0.15">
      <c r="A19" s="41">
        <v>11</v>
      </c>
      <c r="B19" s="41">
        <v>2243</v>
      </c>
      <c r="C19" s="74" t="s">
        <v>3507</v>
      </c>
      <c r="D19" s="707" t="s">
        <v>3508</v>
      </c>
      <c r="E19" s="717"/>
      <c r="F19" s="44"/>
      <c r="G19" s="45"/>
      <c r="H19" s="46"/>
      <c r="I19" s="35"/>
      <c r="K19" s="57"/>
      <c r="L19" s="53"/>
      <c r="M19" s="49"/>
      <c r="N19" s="50"/>
      <c r="O19" s="47">
        <f>ROUND((_11_A重度研修２．５*(1+_11・A深夜)),0)</f>
        <v>687</v>
      </c>
      <c r="P19" s="48"/>
    </row>
    <row r="20" spans="1:16" ht="16.5" customHeight="1" x14ac:dyDescent="0.15">
      <c r="A20" s="41">
        <v>11</v>
      </c>
      <c r="B20" s="41">
        <v>2244</v>
      </c>
      <c r="C20" s="74" t="s">
        <v>3509</v>
      </c>
      <c r="D20" s="709"/>
      <c r="E20" s="718"/>
      <c r="F20" s="44" t="s">
        <v>397</v>
      </c>
      <c r="G20" s="45" t="s">
        <v>398</v>
      </c>
      <c r="H20" s="46">
        <v>1</v>
      </c>
      <c r="I20" s="35"/>
      <c r="K20" s="57"/>
      <c r="L20" s="43"/>
      <c r="M20" s="37"/>
      <c r="N20" s="38"/>
      <c r="O20" s="47">
        <f>ROUND((ROUND((_11_A重度研修２．５*_11・２人),0)*(1+_11・A深夜)),0)</f>
        <v>687</v>
      </c>
      <c r="P20" s="48"/>
    </row>
    <row r="21" spans="1:16" ht="16.5" customHeight="1" x14ac:dyDescent="0.15">
      <c r="A21" s="41">
        <v>11</v>
      </c>
      <c r="B21" s="41" t="s">
        <v>3510</v>
      </c>
      <c r="C21" s="74" t="s">
        <v>3511</v>
      </c>
      <c r="D21" s="709"/>
      <c r="E21" s="718"/>
      <c r="F21" s="44"/>
      <c r="G21" s="45"/>
      <c r="H21" s="46"/>
      <c r="I21" s="35"/>
      <c r="K21" s="57"/>
      <c r="L21" s="734" t="s">
        <v>404</v>
      </c>
      <c r="M21" s="49" t="s">
        <v>398</v>
      </c>
      <c r="N21" s="50">
        <f>_11・初任</f>
        <v>0.7</v>
      </c>
      <c r="O21" s="47">
        <f>ROUND((ROUND((_11_A重度研修２．５*(1+_11・A深夜)),0)*_11・初任),0)</f>
        <v>481</v>
      </c>
      <c r="P21" s="48"/>
    </row>
    <row r="22" spans="1:16" ht="16.5" customHeight="1" x14ac:dyDescent="0.15">
      <c r="A22" s="41">
        <v>11</v>
      </c>
      <c r="B22" s="41" t="s">
        <v>3512</v>
      </c>
      <c r="C22" s="74" t="s">
        <v>3513</v>
      </c>
      <c r="D22" s="100">
        <f>_11_A重度研修２．５</f>
        <v>458</v>
      </c>
      <c r="E22" s="12" t="s">
        <v>392</v>
      </c>
      <c r="F22" s="44" t="s">
        <v>397</v>
      </c>
      <c r="G22" s="45" t="s">
        <v>398</v>
      </c>
      <c r="H22" s="46">
        <v>1</v>
      </c>
      <c r="I22" s="35"/>
      <c r="K22" s="57"/>
      <c r="L22" s="706"/>
      <c r="M22" s="37"/>
      <c r="N22" s="38"/>
      <c r="O22" s="47">
        <f>ROUND((ROUND((ROUND((_11_A重度研修２．５*_11・２人),0)*(1+_11・A深夜)),0)*_11・初任),0)</f>
        <v>481</v>
      </c>
      <c r="P22" s="48"/>
    </row>
    <row r="23" spans="1:16" ht="16.5" customHeight="1" x14ac:dyDescent="0.15">
      <c r="A23" s="41">
        <v>11</v>
      </c>
      <c r="B23" s="41">
        <v>2077</v>
      </c>
      <c r="C23" s="74" t="s">
        <v>3514</v>
      </c>
      <c r="D23" s="707" t="s">
        <v>3515</v>
      </c>
      <c r="E23" s="717"/>
      <c r="F23" s="44"/>
      <c r="G23" s="45"/>
      <c r="H23" s="46"/>
      <c r="I23" s="35"/>
      <c r="K23" s="57"/>
      <c r="L23" s="53"/>
      <c r="M23" s="49"/>
      <c r="N23" s="50"/>
      <c r="O23" s="47">
        <f>ROUND((_11_A重度研修３．０*(1+_11・A深夜)),0)</f>
        <v>825</v>
      </c>
      <c r="P23" s="48"/>
    </row>
    <row r="24" spans="1:16" ht="16.5" customHeight="1" x14ac:dyDescent="0.15">
      <c r="A24" s="41">
        <v>11</v>
      </c>
      <c r="B24" s="41">
        <v>2078</v>
      </c>
      <c r="C24" s="74" t="s">
        <v>3516</v>
      </c>
      <c r="D24" s="709"/>
      <c r="E24" s="718"/>
      <c r="F24" s="44" t="s">
        <v>397</v>
      </c>
      <c r="G24" s="45" t="s">
        <v>398</v>
      </c>
      <c r="H24" s="46">
        <v>1</v>
      </c>
      <c r="I24" s="35"/>
      <c r="K24" s="57"/>
      <c r="L24" s="43"/>
      <c r="M24" s="37"/>
      <c r="N24" s="38"/>
      <c r="O24" s="47">
        <f>ROUND((ROUND((_11_A重度研修３．０*_11・２人),0)*(1+_11・A深夜)),0)</f>
        <v>825</v>
      </c>
      <c r="P24" s="48"/>
    </row>
    <row r="25" spans="1:16" ht="16.5" customHeight="1" x14ac:dyDescent="0.15">
      <c r="A25" s="41">
        <v>11</v>
      </c>
      <c r="B25" s="41" t="s">
        <v>3517</v>
      </c>
      <c r="C25" s="74" t="s">
        <v>3518</v>
      </c>
      <c r="D25" s="709"/>
      <c r="E25" s="718"/>
      <c r="F25" s="44"/>
      <c r="G25" s="45"/>
      <c r="H25" s="46"/>
      <c r="I25" s="35"/>
      <c r="K25" s="57"/>
      <c r="L25" s="734" t="s">
        <v>404</v>
      </c>
      <c r="M25" s="49" t="s">
        <v>398</v>
      </c>
      <c r="N25" s="50">
        <f>_11・初任</f>
        <v>0.7</v>
      </c>
      <c r="O25" s="47">
        <f>ROUND((ROUND((_11_A重度研修３．０*(1+_11・A深夜)),0)*_11・初任),0)</f>
        <v>578</v>
      </c>
      <c r="P25" s="48"/>
    </row>
    <row r="26" spans="1:16" ht="16.5" customHeight="1" x14ac:dyDescent="0.15">
      <c r="A26" s="41">
        <v>11</v>
      </c>
      <c r="B26" s="41" t="s">
        <v>3519</v>
      </c>
      <c r="C26" s="74" t="s">
        <v>3520</v>
      </c>
      <c r="D26" s="100">
        <f>_11_A重度研修３．０</f>
        <v>550</v>
      </c>
      <c r="E26" s="12" t="s">
        <v>392</v>
      </c>
      <c r="F26" s="44" t="s">
        <v>397</v>
      </c>
      <c r="G26" s="45" t="s">
        <v>398</v>
      </c>
      <c r="H26" s="46">
        <v>1</v>
      </c>
      <c r="I26" s="35"/>
      <c r="K26" s="57"/>
      <c r="L26" s="706"/>
      <c r="M26" s="37"/>
      <c r="N26" s="38"/>
      <c r="O26" s="47">
        <f>ROUND((ROUND((ROUND((_11_A重度研修３．０*_11・２人),0)*(1+_11・A深夜)),0)*_11・初任),0)</f>
        <v>578</v>
      </c>
      <c r="P26" s="48"/>
    </row>
    <row r="27" spans="1:16" ht="16.5" customHeight="1" x14ac:dyDescent="0.15">
      <c r="A27" s="41">
        <v>11</v>
      </c>
      <c r="B27" s="41">
        <v>2079</v>
      </c>
      <c r="C27" s="74" t="s">
        <v>3521</v>
      </c>
      <c r="D27" s="707" t="s">
        <v>3522</v>
      </c>
      <c r="E27" s="717"/>
      <c r="F27" s="44"/>
      <c r="G27" s="45"/>
      <c r="H27" s="46"/>
      <c r="I27" s="35"/>
      <c r="K27" s="57"/>
      <c r="L27" s="53"/>
      <c r="M27" s="49"/>
      <c r="N27" s="50"/>
      <c r="O27" s="47">
        <f>ROUND((_11_A重度研修３．５*(1+_11・A深夜)),0)</f>
        <v>953</v>
      </c>
      <c r="P27" s="48"/>
    </row>
    <row r="28" spans="1:16" ht="16.5" customHeight="1" x14ac:dyDescent="0.15">
      <c r="A28" s="41">
        <v>11</v>
      </c>
      <c r="B28" s="41">
        <v>2080</v>
      </c>
      <c r="C28" s="74" t="s">
        <v>3523</v>
      </c>
      <c r="D28" s="709"/>
      <c r="E28" s="718"/>
      <c r="F28" s="44" t="s">
        <v>397</v>
      </c>
      <c r="G28" s="45" t="s">
        <v>398</v>
      </c>
      <c r="H28" s="46">
        <v>1</v>
      </c>
      <c r="I28" s="35"/>
      <c r="K28" s="57"/>
      <c r="L28" s="43"/>
      <c r="M28" s="37"/>
      <c r="N28" s="38"/>
      <c r="O28" s="47">
        <f>ROUND((ROUND((_11_A重度研修３．５*_11・２人),0)*(1+_11・A深夜)),0)</f>
        <v>953</v>
      </c>
      <c r="P28" s="48"/>
    </row>
    <row r="29" spans="1:16" ht="16.5" customHeight="1" x14ac:dyDescent="0.15">
      <c r="A29" s="41">
        <v>11</v>
      </c>
      <c r="B29" s="41" t="s">
        <v>3524</v>
      </c>
      <c r="C29" s="74" t="s">
        <v>3525</v>
      </c>
      <c r="D29" s="709"/>
      <c r="E29" s="718"/>
      <c r="F29" s="44"/>
      <c r="G29" s="45"/>
      <c r="H29" s="46"/>
      <c r="I29" s="35"/>
      <c r="K29" s="57"/>
      <c r="L29" s="734" t="s">
        <v>404</v>
      </c>
      <c r="M29" s="49" t="s">
        <v>398</v>
      </c>
      <c r="N29" s="50">
        <f>_11・初任</f>
        <v>0.7</v>
      </c>
      <c r="O29" s="47">
        <f>ROUND((ROUND((_11_A重度研修３．５*(1+_11・A深夜)),0)*_11・初任),0)</f>
        <v>667</v>
      </c>
      <c r="P29" s="48"/>
    </row>
    <row r="30" spans="1:16" ht="16.5" customHeight="1" x14ac:dyDescent="0.15">
      <c r="A30" s="41">
        <v>11</v>
      </c>
      <c r="B30" s="41" t="s">
        <v>3526</v>
      </c>
      <c r="C30" s="74" t="s">
        <v>3527</v>
      </c>
      <c r="D30" s="100">
        <f>_11_A重度研修３．５</f>
        <v>635</v>
      </c>
      <c r="E30" s="12" t="s">
        <v>392</v>
      </c>
      <c r="F30" s="44" t="s">
        <v>397</v>
      </c>
      <c r="G30" s="45" t="s">
        <v>398</v>
      </c>
      <c r="H30" s="46">
        <v>1</v>
      </c>
      <c r="I30" s="35"/>
      <c r="K30" s="57"/>
      <c r="L30" s="706"/>
      <c r="M30" s="37"/>
      <c r="N30" s="38"/>
      <c r="O30" s="47">
        <f>ROUND((ROUND((ROUND((_11_A重度研修３．５*_11・２人),0)*(1+_11・A深夜)),0)*_11・初任),0)</f>
        <v>667</v>
      </c>
      <c r="P30" s="48"/>
    </row>
    <row r="31" spans="1:16" ht="16.5" customHeight="1" x14ac:dyDescent="0.15">
      <c r="A31" s="41">
        <v>11</v>
      </c>
      <c r="B31" s="41">
        <v>2081</v>
      </c>
      <c r="C31" s="74" t="s">
        <v>3528</v>
      </c>
      <c r="D31" s="707" t="s">
        <v>3529</v>
      </c>
      <c r="E31" s="717"/>
      <c r="F31" s="44"/>
      <c r="G31" s="45"/>
      <c r="H31" s="46"/>
      <c r="I31" s="72"/>
      <c r="K31" s="57"/>
      <c r="L31" s="53"/>
      <c r="M31" s="49"/>
      <c r="N31" s="50"/>
      <c r="O31" s="47">
        <f>ROUND((_11_A重度研修４．０*(1+_11・A深夜)),0)</f>
        <v>1082</v>
      </c>
      <c r="P31" s="48"/>
    </row>
    <row r="32" spans="1:16" ht="16.5" customHeight="1" x14ac:dyDescent="0.15">
      <c r="A32" s="41">
        <v>11</v>
      </c>
      <c r="B32" s="41">
        <v>2082</v>
      </c>
      <c r="C32" s="74" t="s">
        <v>3530</v>
      </c>
      <c r="D32" s="709"/>
      <c r="E32" s="718"/>
      <c r="F32" s="44" t="s">
        <v>397</v>
      </c>
      <c r="G32" s="45" t="s">
        <v>398</v>
      </c>
      <c r="H32" s="46">
        <v>1</v>
      </c>
      <c r="I32" s="35"/>
      <c r="K32" s="145"/>
      <c r="L32" s="43"/>
      <c r="M32" s="37"/>
      <c r="N32" s="38"/>
      <c r="O32" s="47">
        <f>ROUND((ROUND((_11_A重度研修４．０*_11・２人),0)*(1+_11・A深夜)),0)</f>
        <v>1082</v>
      </c>
      <c r="P32" s="48"/>
    </row>
    <row r="33" spans="1:16" ht="16.5" customHeight="1" x14ac:dyDescent="0.15">
      <c r="A33" s="41">
        <v>11</v>
      </c>
      <c r="B33" s="41" t="s">
        <v>3531</v>
      </c>
      <c r="C33" s="74" t="s">
        <v>3532</v>
      </c>
      <c r="D33" s="709"/>
      <c r="E33" s="718"/>
      <c r="F33" s="44"/>
      <c r="G33" s="45"/>
      <c r="H33" s="46"/>
      <c r="I33" s="35"/>
      <c r="K33" s="145"/>
      <c r="L33" s="734" t="s">
        <v>404</v>
      </c>
      <c r="M33" s="49" t="s">
        <v>398</v>
      </c>
      <c r="N33" s="50">
        <f>_11・初任</f>
        <v>0.7</v>
      </c>
      <c r="O33" s="47">
        <f>ROUND((ROUND((_11_A重度研修４．０*(1+_11・A深夜)),0)*_11・初任),0)</f>
        <v>757</v>
      </c>
      <c r="P33" s="48"/>
    </row>
    <row r="34" spans="1:16" ht="16.5" customHeight="1" x14ac:dyDescent="0.15">
      <c r="A34" s="41">
        <v>11</v>
      </c>
      <c r="B34" s="41" t="s">
        <v>3533</v>
      </c>
      <c r="C34" s="74" t="s">
        <v>3534</v>
      </c>
      <c r="D34" s="100">
        <f>_11_A重度研修４．０</f>
        <v>721</v>
      </c>
      <c r="E34" s="12" t="s">
        <v>392</v>
      </c>
      <c r="F34" s="44" t="s">
        <v>397</v>
      </c>
      <c r="G34" s="45" t="s">
        <v>398</v>
      </c>
      <c r="H34" s="46">
        <v>1</v>
      </c>
      <c r="I34" s="35"/>
      <c r="K34" s="57"/>
      <c r="L34" s="706"/>
      <c r="M34" s="37"/>
      <c r="N34" s="38"/>
      <c r="O34" s="47">
        <f>ROUND((ROUND((ROUND((_11_A重度研修４．０*_11・２人),0)*(1+_11・A深夜)),0)*_11・初任),0)</f>
        <v>757</v>
      </c>
      <c r="P34" s="48"/>
    </row>
    <row r="35" spans="1:16" ht="16.5" customHeight="1" x14ac:dyDescent="0.15">
      <c r="A35" s="41">
        <v>11</v>
      </c>
      <c r="B35" s="41">
        <v>2083</v>
      </c>
      <c r="C35" s="74" t="s">
        <v>3535</v>
      </c>
      <c r="D35" s="707" t="s">
        <v>3536</v>
      </c>
      <c r="E35" s="717"/>
      <c r="F35" s="44"/>
      <c r="G35" s="45"/>
      <c r="H35" s="46"/>
      <c r="I35" s="35"/>
      <c r="K35" s="57"/>
      <c r="L35" s="53"/>
      <c r="M35" s="49"/>
      <c r="N35" s="50"/>
      <c r="O35" s="47">
        <f>ROUND((_11_A重度研修４．５*(1+_11・A深夜)),0)</f>
        <v>1211</v>
      </c>
      <c r="P35" s="48"/>
    </row>
    <row r="36" spans="1:16" ht="16.5" customHeight="1" x14ac:dyDescent="0.15">
      <c r="A36" s="41">
        <v>11</v>
      </c>
      <c r="B36" s="41">
        <v>2084</v>
      </c>
      <c r="C36" s="74" t="s">
        <v>3537</v>
      </c>
      <c r="D36" s="709"/>
      <c r="E36" s="718"/>
      <c r="F36" s="44" t="s">
        <v>397</v>
      </c>
      <c r="G36" s="45" t="s">
        <v>398</v>
      </c>
      <c r="H36" s="46">
        <v>1</v>
      </c>
      <c r="I36" s="35"/>
      <c r="K36" s="57"/>
      <c r="L36" s="43"/>
      <c r="M36" s="37"/>
      <c r="N36" s="38"/>
      <c r="O36" s="47">
        <f>ROUND((ROUND((_11_A重度研修４．５*_11・２人),0)*(1+_11・A深夜)),0)</f>
        <v>1211</v>
      </c>
      <c r="P36" s="48"/>
    </row>
    <row r="37" spans="1:16" ht="16.5" customHeight="1" x14ac:dyDescent="0.15">
      <c r="A37" s="41">
        <v>11</v>
      </c>
      <c r="B37" s="41" t="s">
        <v>3538</v>
      </c>
      <c r="C37" s="74" t="s">
        <v>3539</v>
      </c>
      <c r="D37" s="709"/>
      <c r="E37" s="718"/>
      <c r="F37" s="44"/>
      <c r="G37" s="45"/>
      <c r="H37" s="46"/>
      <c r="I37" s="35"/>
      <c r="K37" s="57"/>
      <c r="L37" s="734" t="s">
        <v>404</v>
      </c>
      <c r="M37" s="49" t="s">
        <v>398</v>
      </c>
      <c r="N37" s="50">
        <f>_11・初任</f>
        <v>0.7</v>
      </c>
      <c r="O37" s="47">
        <f>ROUND((ROUND((_11_A重度研修４．５*(1+_11・A深夜)),0)*_11・初任),0)</f>
        <v>848</v>
      </c>
      <c r="P37" s="48"/>
    </row>
    <row r="38" spans="1:16" ht="16.5" customHeight="1" x14ac:dyDescent="0.15">
      <c r="A38" s="41">
        <v>11</v>
      </c>
      <c r="B38" s="41" t="s">
        <v>3540</v>
      </c>
      <c r="C38" s="74" t="s">
        <v>3541</v>
      </c>
      <c r="D38" s="100">
        <f>_11_A重度研修４．５</f>
        <v>807</v>
      </c>
      <c r="E38" s="12" t="s">
        <v>392</v>
      </c>
      <c r="F38" s="44" t="s">
        <v>397</v>
      </c>
      <c r="G38" s="45" t="s">
        <v>398</v>
      </c>
      <c r="H38" s="46">
        <v>1</v>
      </c>
      <c r="I38" s="35"/>
      <c r="K38" s="57"/>
      <c r="L38" s="706"/>
      <c r="M38" s="37"/>
      <c r="N38" s="38"/>
      <c r="O38" s="47">
        <f>ROUND((ROUND((ROUND((_11_A重度研修４．５*_11・２人),0)*(1+_11・A深夜)),0)*_11・初任),0)</f>
        <v>848</v>
      </c>
      <c r="P38" s="48"/>
    </row>
    <row r="39" spans="1:16" ht="16.5" customHeight="1" x14ac:dyDescent="0.15">
      <c r="A39" s="41">
        <v>11</v>
      </c>
      <c r="B39" s="41">
        <v>2085</v>
      </c>
      <c r="C39" s="74" t="s">
        <v>3542</v>
      </c>
      <c r="D39" s="707" t="s">
        <v>3543</v>
      </c>
      <c r="E39" s="717"/>
      <c r="F39" s="44"/>
      <c r="G39" s="45"/>
      <c r="H39" s="46"/>
      <c r="I39" s="35"/>
      <c r="K39" s="57"/>
      <c r="L39" s="53"/>
      <c r="M39" s="49"/>
      <c r="N39" s="50"/>
      <c r="O39" s="47">
        <f>ROUND((_11_A重度研修５．０*(1+_11・A深夜)),0)</f>
        <v>1340</v>
      </c>
      <c r="P39" s="48"/>
    </row>
    <row r="40" spans="1:16" ht="16.5" customHeight="1" x14ac:dyDescent="0.15">
      <c r="A40" s="41">
        <v>11</v>
      </c>
      <c r="B40" s="41">
        <v>2086</v>
      </c>
      <c r="C40" s="74" t="s">
        <v>3544</v>
      </c>
      <c r="D40" s="709"/>
      <c r="E40" s="718"/>
      <c r="F40" s="44" t="s">
        <v>397</v>
      </c>
      <c r="G40" s="45" t="s">
        <v>398</v>
      </c>
      <c r="H40" s="46">
        <v>1</v>
      </c>
      <c r="I40" s="35"/>
      <c r="K40" s="57"/>
      <c r="L40" s="43"/>
      <c r="M40" s="37"/>
      <c r="N40" s="38"/>
      <c r="O40" s="47">
        <f>ROUND((ROUND((_11_A重度研修５．０*_11・２人),0)*(1+_11・A深夜)),0)</f>
        <v>1340</v>
      </c>
      <c r="P40" s="48"/>
    </row>
    <row r="41" spans="1:16" ht="16.5" customHeight="1" x14ac:dyDescent="0.15">
      <c r="A41" s="41">
        <v>11</v>
      </c>
      <c r="B41" s="41" t="s">
        <v>3545</v>
      </c>
      <c r="C41" s="74" t="s">
        <v>3546</v>
      </c>
      <c r="D41" s="709"/>
      <c r="E41" s="718"/>
      <c r="F41" s="44"/>
      <c r="G41" s="45"/>
      <c r="H41" s="46"/>
      <c r="I41" s="35"/>
      <c r="K41" s="57"/>
      <c r="L41" s="734" t="s">
        <v>404</v>
      </c>
      <c r="M41" s="49" t="s">
        <v>398</v>
      </c>
      <c r="N41" s="50">
        <f>_11・初任</f>
        <v>0.7</v>
      </c>
      <c r="O41" s="47">
        <f>ROUND((ROUND((_11_A重度研修５．０*(1+_11・A深夜)),0)*_11・初任),0)</f>
        <v>938</v>
      </c>
      <c r="P41" s="48"/>
    </row>
    <row r="42" spans="1:16" ht="16.5" customHeight="1" x14ac:dyDescent="0.15">
      <c r="A42" s="41">
        <v>11</v>
      </c>
      <c r="B42" s="41" t="s">
        <v>3547</v>
      </c>
      <c r="C42" s="74" t="s">
        <v>3548</v>
      </c>
      <c r="D42" s="100">
        <f>_11_A重度研修５．０</f>
        <v>893</v>
      </c>
      <c r="E42" s="12" t="s">
        <v>392</v>
      </c>
      <c r="F42" s="44" t="s">
        <v>397</v>
      </c>
      <c r="G42" s="45" t="s">
        <v>398</v>
      </c>
      <c r="H42" s="46">
        <v>1</v>
      </c>
      <c r="I42" s="35"/>
      <c r="K42" s="57"/>
      <c r="L42" s="706"/>
      <c r="M42" s="37"/>
      <c r="N42" s="38"/>
      <c r="O42" s="47">
        <f>ROUND((ROUND((ROUND((_11_A重度研修５．０*_11・２人),0)*(1+_11・A深夜)),0)*_11・初任),0)</f>
        <v>938</v>
      </c>
      <c r="P42" s="48"/>
    </row>
    <row r="43" spans="1:16" ht="16.5" customHeight="1" x14ac:dyDescent="0.15">
      <c r="A43" s="41">
        <v>11</v>
      </c>
      <c r="B43" s="41">
        <v>2087</v>
      </c>
      <c r="C43" s="74" t="s">
        <v>3549</v>
      </c>
      <c r="D43" s="707" t="s">
        <v>3550</v>
      </c>
      <c r="E43" s="717"/>
      <c r="F43" s="44"/>
      <c r="G43" s="45"/>
      <c r="H43" s="46"/>
      <c r="I43" s="35"/>
      <c r="K43" s="57"/>
      <c r="L43" s="53"/>
      <c r="M43" s="49"/>
      <c r="N43" s="50"/>
      <c r="O43" s="47">
        <f>ROUND((_11_A重度研修５．５*(1+_11・A深夜)),0)</f>
        <v>1469</v>
      </c>
      <c r="P43" s="48"/>
    </row>
    <row r="44" spans="1:16" ht="16.5" customHeight="1" x14ac:dyDescent="0.15">
      <c r="A44" s="41">
        <v>11</v>
      </c>
      <c r="B44" s="41">
        <v>2088</v>
      </c>
      <c r="C44" s="74" t="s">
        <v>3551</v>
      </c>
      <c r="D44" s="709"/>
      <c r="E44" s="718"/>
      <c r="F44" s="44" t="s">
        <v>397</v>
      </c>
      <c r="G44" s="45" t="s">
        <v>398</v>
      </c>
      <c r="H44" s="46">
        <v>1</v>
      </c>
      <c r="I44" s="35"/>
      <c r="K44" s="57"/>
      <c r="L44" s="43"/>
      <c r="M44" s="37"/>
      <c r="N44" s="38"/>
      <c r="O44" s="47">
        <f>ROUND((ROUND((_11_A重度研修５．５*_11・２人),0)*(1+_11・A深夜)),0)</f>
        <v>1469</v>
      </c>
      <c r="P44" s="48"/>
    </row>
    <row r="45" spans="1:16" ht="16.5" customHeight="1" x14ac:dyDescent="0.15">
      <c r="A45" s="41">
        <v>11</v>
      </c>
      <c r="B45" s="41" t="s">
        <v>3552</v>
      </c>
      <c r="C45" s="74" t="s">
        <v>3553</v>
      </c>
      <c r="D45" s="709"/>
      <c r="E45" s="718"/>
      <c r="F45" s="44"/>
      <c r="G45" s="45"/>
      <c r="H45" s="46"/>
      <c r="I45" s="35"/>
      <c r="K45" s="57"/>
      <c r="L45" s="734" t="s">
        <v>404</v>
      </c>
      <c r="M45" s="49" t="s">
        <v>398</v>
      </c>
      <c r="N45" s="50">
        <f>_11・初任</f>
        <v>0.7</v>
      </c>
      <c r="O45" s="47">
        <f>ROUND((ROUND((_11_A重度研修５．５*(1+_11・A深夜)),0)*_11・初任),0)</f>
        <v>1028</v>
      </c>
      <c r="P45" s="48"/>
    </row>
    <row r="46" spans="1:16" ht="16.5" customHeight="1" x14ac:dyDescent="0.15">
      <c r="A46" s="41">
        <v>11</v>
      </c>
      <c r="B46" s="41" t="s">
        <v>3554</v>
      </c>
      <c r="C46" s="74" t="s">
        <v>3555</v>
      </c>
      <c r="D46" s="100">
        <f>_11_A重度研修５．５</f>
        <v>979</v>
      </c>
      <c r="E46" s="12" t="s">
        <v>392</v>
      </c>
      <c r="F46" s="44" t="s">
        <v>397</v>
      </c>
      <c r="G46" s="45" t="s">
        <v>398</v>
      </c>
      <c r="H46" s="46">
        <v>1</v>
      </c>
      <c r="I46" s="35"/>
      <c r="K46" s="57"/>
      <c r="L46" s="706"/>
      <c r="M46" s="37"/>
      <c r="N46" s="38"/>
      <c r="O46" s="47">
        <f>ROUND((ROUND((ROUND((_11_A重度研修５．５*_11・２人),0)*(1+_11・A深夜)),0)*_11・初任),0)</f>
        <v>1028</v>
      </c>
      <c r="P46" s="48"/>
    </row>
    <row r="47" spans="1:16" ht="16.5" customHeight="1" x14ac:dyDescent="0.15">
      <c r="A47" s="41">
        <v>11</v>
      </c>
      <c r="B47" s="41">
        <v>2089</v>
      </c>
      <c r="C47" s="74" t="s">
        <v>3556</v>
      </c>
      <c r="D47" s="707" t="s">
        <v>3557</v>
      </c>
      <c r="E47" s="717"/>
      <c r="F47" s="44"/>
      <c r="G47" s="45"/>
      <c r="H47" s="46"/>
      <c r="I47" s="35"/>
      <c r="K47" s="57"/>
      <c r="L47" s="53"/>
      <c r="M47" s="49"/>
      <c r="N47" s="50"/>
      <c r="O47" s="47">
        <f>ROUND((_11_A重度研修６．０*(1+_11・A深夜)),0)</f>
        <v>1598</v>
      </c>
      <c r="P47" s="48"/>
    </row>
    <row r="48" spans="1:16" ht="16.5" customHeight="1" x14ac:dyDescent="0.15">
      <c r="A48" s="41">
        <v>11</v>
      </c>
      <c r="B48" s="41">
        <v>2090</v>
      </c>
      <c r="C48" s="74" t="s">
        <v>3558</v>
      </c>
      <c r="D48" s="709"/>
      <c r="E48" s="718"/>
      <c r="F48" s="44" t="s">
        <v>397</v>
      </c>
      <c r="G48" s="45" t="s">
        <v>398</v>
      </c>
      <c r="H48" s="46">
        <v>1</v>
      </c>
      <c r="I48" s="35"/>
      <c r="K48" s="57"/>
      <c r="L48" s="43"/>
      <c r="M48" s="37"/>
      <c r="N48" s="38"/>
      <c r="O48" s="47">
        <f>ROUND((ROUND((_11_A重度研修６．０*_11・２人),0)*(1+_11・A深夜)),0)</f>
        <v>1598</v>
      </c>
      <c r="P48" s="48"/>
    </row>
    <row r="49" spans="1:16" ht="16.5" customHeight="1" x14ac:dyDescent="0.15">
      <c r="A49" s="41">
        <v>11</v>
      </c>
      <c r="B49" s="41" t="s">
        <v>3559</v>
      </c>
      <c r="C49" s="74" t="s">
        <v>3560</v>
      </c>
      <c r="D49" s="709"/>
      <c r="E49" s="718"/>
      <c r="F49" s="44"/>
      <c r="G49" s="45"/>
      <c r="H49" s="46"/>
      <c r="I49" s="35"/>
      <c r="K49" s="57"/>
      <c r="L49" s="734" t="s">
        <v>404</v>
      </c>
      <c r="M49" s="49" t="s">
        <v>398</v>
      </c>
      <c r="N49" s="50">
        <f>_11・初任</f>
        <v>0.7</v>
      </c>
      <c r="O49" s="47">
        <f>ROUND((ROUND((_11_A重度研修６．０*(1+_11・A深夜)),0)*_11・初任),0)</f>
        <v>1119</v>
      </c>
      <c r="P49" s="48"/>
    </row>
    <row r="50" spans="1:16" ht="16.5" customHeight="1" x14ac:dyDescent="0.15">
      <c r="A50" s="41">
        <v>11</v>
      </c>
      <c r="B50" s="41" t="s">
        <v>3561</v>
      </c>
      <c r="C50" s="74" t="s">
        <v>3562</v>
      </c>
      <c r="D50" s="100">
        <f>_11_A重度研修６．０</f>
        <v>1065</v>
      </c>
      <c r="E50" s="12" t="s">
        <v>392</v>
      </c>
      <c r="F50" s="44" t="s">
        <v>397</v>
      </c>
      <c r="G50" s="45" t="s">
        <v>398</v>
      </c>
      <c r="H50" s="46">
        <v>1</v>
      </c>
      <c r="I50" s="35"/>
      <c r="K50" s="57"/>
      <c r="L50" s="706"/>
      <c r="M50" s="37"/>
      <c r="N50" s="38"/>
      <c r="O50" s="47">
        <f>ROUND((ROUND((ROUND((_11_A重度研修６．０*_11・２人),0)*(1+_11・A深夜)),0)*_11・初任),0)</f>
        <v>1119</v>
      </c>
      <c r="P50" s="48"/>
    </row>
    <row r="51" spans="1:16" ht="16.5" customHeight="1" x14ac:dyDescent="0.15">
      <c r="A51" s="41">
        <v>11</v>
      </c>
      <c r="B51" s="41">
        <v>2091</v>
      </c>
      <c r="C51" s="74" t="s">
        <v>3563</v>
      </c>
      <c r="D51" s="707" t="s">
        <v>3564</v>
      </c>
      <c r="E51" s="717"/>
      <c r="F51" s="44"/>
      <c r="G51" s="45"/>
      <c r="H51" s="46"/>
      <c r="I51" s="35"/>
      <c r="K51" s="57"/>
      <c r="L51" s="53"/>
      <c r="M51" s="49"/>
      <c r="N51" s="50"/>
      <c r="O51" s="47">
        <f>ROUND((_11_A重度研修６．５*(1+_11・A深夜)),0)</f>
        <v>1727</v>
      </c>
      <c r="P51" s="48"/>
    </row>
    <row r="52" spans="1:16" ht="16.5" customHeight="1" x14ac:dyDescent="0.15">
      <c r="A52" s="41">
        <v>11</v>
      </c>
      <c r="B52" s="41">
        <v>2092</v>
      </c>
      <c r="C52" s="74" t="s">
        <v>3565</v>
      </c>
      <c r="D52" s="709"/>
      <c r="E52" s="718"/>
      <c r="F52" s="44" t="s">
        <v>397</v>
      </c>
      <c r="G52" s="45" t="s">
        <v>398</v>
      </c>
      <c r="H52" s="46">
        <v>1</v>
      </c>
      <c r="I52" s="35"/>
      <c r="K52" s="57"/>
      <c r="L52" s="43"/>
      <c r="M52" s="37"/>
      <c r="N52" s="38"/>
      <c r="O52" s="47">
        <f>ROUND((ROUND((_11_A重度研修６．５*_11・２人),0)*(1+_11・A深夜)),0)</f>
        <v>1727</v>
      </c>
      <c r="P52" s="48"/>
    </row>
    <row r="53" spans="1:16" ht="16.5" customHeight="1" x14ac:dyDescent="0.15">
      <c r="A53" s="41">
        <v>11</v>
      </c>
      <c r="B53" s="41" t="s">
        <v>3566</v>
      </c>
      <c r="C53" s="74" t="s">
        <v>3567</v>
      </c>
      <c r="D53" s="709"/>
      <c r="E53" s="718"/>
      <c r="F53" s="44"/>
      <c r="G53" s="45"/>
      <c r="H53" s="46"/>
      <c r="I53" s="35"/>
      <c r="K53" s="57"/>
      <c r="L53" s="734" t="s">
        <v>404</v>
      </c>
      <c r="M53" s="49" t="s">
        <v>398</v>
      </c>
      <c r="N53" s="50">
        <f>_11・初任</f>
        <v>0.7</v>
      </c>
      <c r="O53" s="47">
        <f>ROUND((ROUND((_11_A重度研修６．５*(1+_11・A深夜)),0)*_11・初任),0)</f>
        <v>1209</v>
      </c>
      <c r="P53" s="48"/>
    </row>
    <row r="54" spans="1:16" ht="16.5" customHeight="1" x14ac:dyDescent="0.15">
      <c r="A54" s="41">
        <v>11</v>
      </c>
      <c r="B54" s="41" t="s">
        <v>3568</v>
      </c>
      <c r="C54" s="74" t="s">
        <v>3569</v>
      </c>
      <c r="D54" s="165">
        <f>_11_A重度研修６．５</f>
        <v>1151</v>
      </c>
      <c r="E54" s="37" t="s">
        <v>392</v>
      </c>
      <c r="F54" s="44" t="s">
        <v>397</v>
      </c>
      <c r="G54" s="45" t="s">
        <v>398</v>
      </c>
      <c r="H54" s="46">
        <v>1</v>
      </c>
      <c r="I54" s="43"/>
      <c r="J54" s="38"/>
      <c r="K54" s="79"/>
      <c r="L54" s="706"/>
      <c r="M54" s="37"/>
      <c r="N54" s="38"/>
      <c r="O54" s="47">
        <f>ROUND((ROUND((ROUND((_11_A重度研修６．５*_11・２人),0)*(1+_11・A深夜)),0)*_11・初任),0)</f>
        <v>1209</v>
      </c>
      <c r="P54" s="63"/>
    </row>
    <row r="55" spans="1:16" ht="16.5" customHeight="1" x14ac:dyDescent="0.15"/>
    <row r="56" spans="1:16" ht="16.5" customHeight="1" x14ac:dyDescent="0.15"/>
  </sheetData>
  <mergeCells count="25">
    <mergeCell ref="D43:E45"/>
    <mergeCell ref="L45:L46"/>
    <mergeCell ref="D47:E49"/>
    <mergeCell ref="L49:L50"/>
    <mergeCell ref="D51:E53"/>
    <mergeCell ref="L53:L54"/>
    <mergeCell ref="D31:E33"/>
    <mergeCell ref="L33:L34"/>
    <mergeCell ref="D35:E37"/>
    <mergeCell ref="L37:L38"/>
    <mergeCell ref="D39:E41"/>
    <mergeCell ref="L41:L42"/>
    <mergeCell ref="D19:E21"/>
    <mergeCell ref="L21:L22"/>
    <mergeCell ref="D23:E25"/>
    <mergeCell ref="L25:L26"/>
    <mergeCell ref="D27:E29"/>
    <mergeCell ref="L29:L30"/>
    <mergeCell ref="D15:E17"/>
    <mergeCell ref="L17:L18"/>
    <mergeCell ref="D7:E9"/>
    <mergeCell ref="K8:K9"/>
    <mergeCell ref="L9:L10"/>
    <mergeCell ref="D11:E13"/>
    <mergeCell ref="L13:L14"/>
  </mergeCells>
  <phoneticPr fontId="1"/>
  <printOptions horizontalCentered="1"/>
  <pageMargins left="0.70866141732283472" right="0.70866141732283472" top="0.74803149606299213" bottom="0.74803149606299213" header="0.31496062992125984" footer="0.31496062992125984"/>
  <pageSetup paperSize="9" scale="60" fitToHeight="0" orientation="portrait" r:id="rId1"/>
  <headerFooter>
    <oddHeader>&amp;R&amp;"ＭＳ Ｐゴシック"&amp;9居宅介護</oddHeader>
    <oddFooter>&amp;C&amp;"ＭＳ Ｐゴシック"&amp;14&amp;P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234D-B02A-460E-934F-839A83C30251}">
  <sheetPr>
    <pageSetUpPr autoPageBreaks="0"/>
  </sheetPr>
  <dimension ref="A1:V137"/>
  <sheetViews>
    <sheetView tabSelected="1" view="pageBreakPreview" zoomScaleNormal="100" zoomScaleSheetLayoutView="100" workbookViewId="0"/>
  </sheetViews>
  <sheetFormatPr defaultColWidth="9" defaultRowHeight="13.5" x14ac:dyDescent="0.15"/>
  <cols>
    <col min="1" max="5" width="3.625" style="643" customWidth="1"/>
    <col min="6" max="6" width="2.375" style="643" customWidth="1"/>
    <col min="7" max="7" width="3.625" style="643" customWidth="1"/>
    <col min="8" max="8" width="2.875" style="643" customWidth="1"/>
    <col min="9" max="19" width="3.625" style="643" customWidth="1"/>
    <col min="20" max="20" width="5.625" style="644" customWidth="1"/>
    <col min="21" max="24" width="3.625" style="643" customWidth="1"/>
    <col min="25" max="16384" width="9" style="643"/>
  </cols>
  <sheetData>
    <row r="1" spans="3:22" ht="12.95" customHeight="1" x14ac:dyDescent="0.15"/>
    <row r="2" spans="3:22" ht="12.95" customHeight="1" x14ac:dyDescent="0.15"/>
    <row r="3" spans="3:22" ht="12.95" customHeight="1" x14ac:dyDescent="0.15"/>
    <row r="4" spans="3:22" ht="13.5" customHeight="1" x14ac:dyDescent="0.15">
      <c r="C4" s="679" t="s">
        <v>31652</v>
      </c>
      <c r="D4" s="680"/>
      <c r="E4" s="680"/>
      <c r="F4" s="680"/>
      <c r="G4" s="680"/>
      <c r="H4" s="680"/>
      <c r="I4" s="680"/>
      <c r="J4" s="680"/>
      <c r="K4" s="680"/>
      <c r="L4" s="680"/>
      <c r="M4" s="680"/>
      <c r="N4" s="680"/>
      <c r="O4" s="680"/>
      <c r="P4" s="680"/>
      <c r="Q4" s="680"/>
      <c r="R4" s="680"/>
      <c r="S4" s="680"/>
      <c r="T4" s="680"/>
      <c r="U4" s="680"/>
      <c r="V4" s="681"/>
    </row>
    <row r="5" spans="3:22" ht="13.5" customHeight="1" x14ac:dyDescent="0.15">
      <c r="C5" s="682"/>
      <c r="D5" s="683"/>
      <c r="E5" s="683"/>
      <c r="F5" s="683"/>
      <c r="G5" s="683"/>
      <c r="H5" s="683"/>
      <c r="I5" s="683"/>
      <c r="J5" s="683"/>
      <c r="K5" s="683"/>
      <c r="L5" s="683"/>
      <c r="M5" s="683"/>
      <c r="N5" s="683"/>
      <c r="O5" s="683"/>
      <c r="P5" s="683"/>
      <c r="Q5" s="683"/>
      <c r="R5" s="683"/>
      <c r="S5" s="683"/>
      <c r="T5" s="683"/>
      <c r="U5" s="683"/>
      <c r="V5" s="684"/>
    </row>
    <row r="6" spans="3:22" ht="13.5" customHeight="1" x14ac:dyDescent="0.15">
      <c r="C6" s="682"/>
      <c r="D6" s="683"/>
      <c r="E6" s="683"/>
      <c r="F6" s="683"/>
      <c r="G6" s="683"/>
      <c r="H6" s="683"/>
      <c r="I6" s="683"/>
      <c r="J6" s="683"/>
      <c r="K6" s="683"/>
      <c r="L6" s="683"/>
      <c r="M6" s="683"/>
      <c r="N6" s="683"/>
      <c r="O6" s="683"/>
      <c r="P6" s="683"/>
      <c r="Q6" s="683"/>
      <c r="R6" s="683"/>
      <c r="S6" s="683"/>
      <c r="T6" s="683"/>
      <c r="U6" s="683"/>
      <c r="V6" s="684"/>
    </row>
    <row r="7" spans="3:22" ht="13.5" customHeight="1" x14ac:dyDescent="0.15">
      <c r="C7" s="682"/>
      <c r="D7" s="683"/>
      <c r="E7" s="683"/>
      <c r="F7" s="683"/>
      <c r="G7" s="683"/>
      <c r="H7" s="683"/>
      <c r="I7" s="683"/>
      <c r="J7" s="683"/>
      <c r="K7" s="683"/>
      <c r="L7" s="683"/>
      <c r="M7" s="683"/>
      <c r="N7" s="683"/>
      <c r="O7" s="683"/>
      <c r="P7" s="683"/>
      <c r="Q7" s="683"/>
      <c r="R7" s="683"/>
      <c r="S7" s="683"/>
      <c r="T7" s="683"/>
      <c r="U7" s="683"/>
      <c r="V7" s="684"/>
    </row>
    <row r="8" spans="3:22" x14ac:dyDescent="0.15">
      <c r="C8" s="685"/>
      <c r="D8" s="686"/>
      <c r="E8" s="686"/>
      <c r="F8" s="686"/>
      <c r="G8" s="686"/>
      <c r="H8" s="686"/>
      <c r="I8" s="686"/>
      <c r="J8" s="686"/>
      <c r="K8" s="686"/>
      <c r="L8" s="686"/>
      <c r="M8" s="686"/>
      <c r="N8" s="686"/>
      <c r="O8" s="686"/>
      <c r="P8" s="686"/>
      <c r="Q8" s="686"/>
      <c r="R8" s="686"/>
      <c r="S8" s="686"/>
      <c r="T8" s="686"/>
      <c r="U8" s="686"/>
      <c r="V8" s="687"/>
    </row>
    <row r="11" spans="3:22" ht="17.25" customHeight="1" x14ac:dyDescent="0.15">
      <c r="H11" s="645"/>
      <c r="I11" s="646"/>
      <c r="J11" s="646"/>
      <c r="K11" s="646"/>
      <c r="L11" s="646"/>
      <c r="M11" s="646"/>
      <c r="N11" s="646"/>
      <c r="O11" s="646"/>
      <c r="P11" s="646"/>
      <c r="Q11" s="646"/>
    </row>
    <row r="12" spans="3:22" ht="24" x14ac:dyDescent="0.15">
      <c r="I12" s="646"/>
      <c r="J12" s="646"/>
      <c r="K12" s="646"/>
      <c r="L12" s="646"/>
      <c r="M12" s="646"/>
      <c r="N12" s="646"/>
      <c r="O12" s="646"/>
      <c r="P12" s="646"/>
      <c r="Q12" s="646"/>
    </row>
    <row r="15" spans="3:22" ht="13.5" customHeight="1" x14ac:dyDescent="0.15"/>
    <row r="16" spans="3:22" x14ac:dyDescent="0.15">
      <c r="C16" s="647" t="s">
        <v>31507</v>
      </c>
      <c r="D16" s="647"/>
      <c r="S16" s="643" t="s">
        <v>31508</v>
      </c>
      <c r="T16" s="644" t="s">
        <v>31509</v>
      </c>
      <c r="V16" s="648"/>
    </row>
    <row r="17" spans="3:22" ht="5.0999999999999996" customHeight="1" x14ac:dyDescent="0.15">
      <c r="C17" s="647"/>
      <c r="D17" s="647"/>
      <c r="V17" s="648"/>
    </row>
    <row r="18" spans="3:22" x14ac:dyDescent="0.15">
      <c r="C18" s="647" t="s">
        <v>31510</v>
      </c>
      <c r="D18" s="647"/>
      <c r="S18" s="643" t="s">
        <v>31508</v>
      </c>
      <c r="T18" s="649" t="s">
        <v>31511</v>
      </c>
      <c r="V18" s="648"/>
    </row>
    <row r="19" spans="3:22" ht="4.5" customHeight="1" x14ac:dyDescent="0.15">
      <c r="C19" s="647"/>
      <c r="D19" s="647"/>
      <c r="T19" s="649"/>
      <c r="V19" s="648"/>
    </row>
    <row r="20" spans="3:22" ht="13.5" customHeight="1" x14ac:dyDescent="0.15">
      <c r="C20" s="647" t="s">
        <v>31512</v>
      </c>
      <c r="D20" s="647"/>
      <c r="S20" s="643" t="s">
        <v>31508</v>
      </c>
      <c r="T20" s="649" t="s">
        <v>31513</v>
      </c>
      <c r="V20" s="648"/>
    </row>
    <row r="21" spans="3:22" ht="4.5" customHeight="1" x14ac:dyDescent="0.15">
      <c r="C21" s="647"/>
      <c r="D21" s="647"/>
      <c r="T21" s="649"/>
      <c r="V21" s="648"/>
    </row>
    <row r="22" spans="3:22" ht="13.5" customHeight="1" x14ac:dyDescent="0.15">
      <c r="C22" s="647" t="s">
        <v>31514</v>
      </c>
      <c r="D22" s="647"/>
      <c r="S22" s="643" t="s">
        <v>31508</v>
      </c>
      <c r="T22" s="649" t="s">
        <v>31515</v>
      </c>
      <c r="V22" s="648"/>
    </row>
    <row r="23" spans="3:22" ht="4.5" customHeight="1" x14ac:dyDescent="0.15">
      <c r="C23" s="647"/>
      <c r="D23" s="647"/>
      <c r="T23" s="649"/>
      <c r="V23" s="648"/>
    </row>
    <row r="24" spans="3:22" x14ac:dyDescent="0.15">
      <c r="C24" s="647" t="s">
        <v>31516</v>
      </c>
      <c r="D24" s="647"/>
      <c r="S24" s="643" t="s">
        <v>31508</v>
      </c>
      <c r="T24" s="649" t="s">
        <v>31517</v>
      </c>
      <c r="V24" s="648"/>
    </row>
    <row r="25" spans="3:22" ht="5.0999999999999996" customHeight="1" x14ac:dyDescent="0.15">
      <c r="C25" s="647"/>
      <c r="D25" s="647"/>
      <c r="T25" s="649"/>
      <c r="V25" s="648"/>
    </row>
    <row r="26" spans="3:22" x14ac:dyDescent="0.15">
      <c r="C26" s="647" t="s">
        <v>31518</v>
      </c>
      <c r="D26" s="647"/>
      <c r="S26" s="643" t="s">
        <v>31508</v>
      </c>
      <c r="T26" s="649" t="s">
        <v>31519</v>
      </c>
      <c r="V26" s="648"/>
    </row>
    <row r="27" spans="3:22" ht="5.0999999999999996" customHeight="1" x14ac:dyDescent="0.15">
      <c r="C27" s="647"/>
      <c r="D27" s="647"/>
      <c r="T27" s="649"/>
      <c r="V27" s="648"/>
    </row>
    <row r="28" spans="3:22" x14ac:dyDescent="0.15">
      <c r="C28" s="647" t="s">
        <v>31520</v>
      </c>
      <c r="D28" s="647"/>
      <c r="S28" s="643" t="s">
        <v>31508</v>
      </c>
      <c r="T28" s="649" t="s">
        <v>31521</v>
      </c>
      <c r="U28" s="650"/>
      <c r="V28" s="648"/>
    </row>
    <row r="29" spans="3:22" ht="5.0999999999999996" customHeight="1" x14ac:dyDescent="0.15">
      <c r="C29" s="647"/>
      <c r="D29" s="647"/>
      <c r="T29" s="649"/>
      <c r="V29" s="648"/>
    </row>
    <row r="30" spans="3:22" x14ac:dyDescent="0.15">
      <c r="C30" s="647" t="s">
        <v>31522</v>
      </c>
      <c r="D30" s="647"/>
      <c r="S30" s="643" t="s">
        <v>31508</v>
      </c>
      <c r="T30" s="649" t="s">
        <v>31523</v>
      </c>
      <c r="V30" s="648"/>
    </row>
    <row r="31" spans="3:22" ht="5.0999999999999996" customHeight="1" x14ac:dyDescent="0.15">
      <c r="C31" s="647"/>
      <c r="D31" s="647"/>
      <c r="T31" s="649"/>
      <c r="V31" s="648"/>
    </row>
    <row r="32" spans="3:22" x14ac:dyDescent="0.15">
      <c r="C32" s="647" t="s">
        <v>31524</v>
      </c>
      <c r="D32" s="647"/>
      <c r="S32" s="643" t="s">
        <v>31508</v>
      </c>
      <c r="T32" s="649" t="s">
        <v>31525</v>
      </c>
      <c r="V32" s="648"/>
    </row>
    <row r="33" spans="3:22" ht="5.0999999999999996" customHeight="1" x14ac:dyDescent="0.15">
      <c r="C33" s="647"/>
      <c r="D33" s="647"/>
      <c r="T33" s="649"/>
      <c r="V33" s="648"/>
    </row>
    <row r="34" spans="3:22" x14ac:dyDescent="0.15">
      <c r="C34" s="647" t="s">
        <v>31526</v>
      </c>
      <c r="D34" s="647"/>
      <c r="S34" s="643" t="s">
        <v>31508</v>
      </c>
      <c r="T34" s="649" t="s">
        <v>31527</v>
      </c>
      <c r="V34" s="648"/>
    </row>
    <row r="35" spans="3:22" ht="5.0999999999999996" customHeight="1" x14ac:dyDescent="0.15">
      <c r="C35" s="647"/>
      <c r="D35" s="647"/>
      <c r="T35" s="649"/>
      <c r="V35" s="648"/>
    </row>
    <row r="36" spans="3:22" x14ac:dyDescent="0.15">
      <c r="C36" s="647" t="s">
        <v>31528</v>
      </c>
      <c r="D36" s="647"/>
      <c r="S36" s="643" t="s">
        <v>31508</v>
      </c>
      <c r="T36" s="649" t="s">
        <v>31529</v>
      </c>
      <c r="V36" s="648"/>
    </row>
    <row r="37" spans="3:22" ht="5.0999999999999996" customHeight="1" x14ac:dyDescent="0.15">
      <c r="C37" s="647" t="s">
        <v>31530</v>
      </c>
      <c r="T37" s="649"/>
      <c r="V37" s="648"/>
    </row>
    <row r="38" spans="3:22" x14ac:dyDescent="0.15">
      <c r="C38" s="647" t="s">
        <v>31531</v>
      </c>
      <c r="D38" s="647"/>
      <c r="S38" s="643" t="s">
        <v>31508</v>
      </c>
      <c r="T38" s="649" t="s">
        <v>31532</v>
      </c>
      <c r="V38" s="648"/>
    </row>
    <row r="39" spans="3:22" ht="5.0999999999999996" customHeight="1" x14ac:dyDescent="0.15">
      <c r="C39" s="647"/>
      <c r="D39" s="647"/>
      <c r="T39" s="649"/>
      <c r="V39" s="648"/>
    </row>
    <row r="40" spans="3:22" x14ac:dyDescent="0.15">
      <c r="C40" s="647" t="s">
        <v>31533</v>
      </c>
      <c r="D40" s="647"/>
      <c r="S40" s="643" t="s">
        <v>31508</v>
      </c>
      <c r="T40" s="649" t="s">
        <v>31534</v>
      </c>
      <c r="V40" s="648"/>
    </row>
    <row r="41" spans="3:22" ht="5.0999999999999996" customHeight="1" x14ac:dyDescent="0.15">
      <c r="C41" s="647"/>
      <c r="D41" s="647"/>
      <c r="T41" s="649"/>
      <c r="V41" s="648"/>
    </row>
    <row r="42" spans="3:22" x14ac:dyDescent="0.15">
      <c r="C42" s="647" t="s">
        <v>31535</v>
      </c>
      <c r="D42" s="647"/>
      <c r="S42" s="643" t="s">
        <v>31508</v>
      </c>
      <c r="T42" s="649" t="s">
        <v>31536</v>
      </c>
      <c r="V42" s="648"/>
    </row>
    <row r="43" spans="3:22" ht="5.0999999999999996" customHeight="1" x14ac:dyDescent="0.15">
      <c r="C43" s="647"/>
      <c r="D43" s="647"/>
      <c r="T43" s="649"/>
      <c r="V43" s="648"/>
    </row>
    <row r="44" spans="3:22" x14ac:dyDescent="0.15">
      <c r="C44" s="647" t="s">
        <v>31537</v>
      </c>
      <c r="D44" s="647"/>
      <c r="S44" s="643" t="s">
        <v>31508</v>
      </c>
      <c r="T44" s="649" t="s">
        <v>31538</v>
      </c>
      <c r="V44" s="648"/>
    </row>
    <row r="45" spans="3:22" ht="5.0999999999999996" customHeight="1" x14ac:dyDescent="0.15">
      <c r="C45" s="647"/>
      <c r="D45" s="647"/>
      <c r="T45" s="649"/>
      <c r="V45" s="648"/>
    </row>
    <row r="46" spans="3:22" x14ac:dyDescent="0.15">
      <c r="C46" s="647" t="s">
        <v>31539</v>
      </c>
      <c r="D46" s="647"/>
      <c r="S46" s="643" t="s">
        <v>31508</v>
      </c>
      <c r="T46" s="649" t="s">
        <v>31540</v>
      </c>
      <c r="V46" s="648"/>
    </row>
    <row r="47" spans="3:22" ht="5.0999999999999996" customHeight="1" x14ac:dyDescent="0.15">
      <c r="C47" s="647"/>
      <c r="D47" s="647"/>
      <c r="T47" s="649"/>
      <c r="V47" s="648"/>
    </row>
    <row r="48" spans="3:22" x14ac:dyDescent="0.15">
      <c r="C48" s="647" t="s">
        <v>31541</v>
      </c>
      <c r="D48" s="647"/>
      <c r="S48" s="643" t="s">
        <v>31508</v>
      </c>
      <c r="T48" s="649" t="s">
        <v>31542</v>
      </c>
      <c r="V48" s="648"/>
    </row>
    <row r="49" spans="3:22" ht="5.0999999999999996" customHeight="1" x14ac:dyDescent="0.15">
      <c r="C49" s="647"/>
      <c r="D49" s="647"/>
      <c r="T49" s="649"/>
      <c r="V49" s="648"/>
    </row>
    <row r="50" spans="3:22" x14ac:dyDescent="0.15">
      <c r="C50" s="647" t="s">
        <v>31543</v>
      </c>
      <c r="D50" s="647"/>
      <c r="S50" s="643" t="s">
        <v>31508</v>
      </c>
      <c r="T50" s="651">
        <v>639</v>
      </c>
      <c r="V50" s="648"/>
    </row>
    <row r="51" spans="3:22" ht="5.0999999999999996" customHeight="1" x14ac:dyDescent="0.15">
      <c r="C51" s="652"/>
      <c r="D51" s="309"/>
      <c r="E51" s="653"/>
      <c r="T51" s="649"/>
      <c r="V51" s="648"/>
    </row>
    <row r="52" spans="3:22" x14ac:dyDescent="0.15">
      <c r="C52" s="309" t="s">
        <v>31544</v>
      </c>
      <c r="E52" s="653"/>
      <c r="S52" s="643" t="s">
        <v>31508</v>
      </c>
      <c r="T52" s="649" t="s">
        <v>31545</v>
      </c>
      <c r="V52" s="648"/>
    </row>
    <row r="53" spans="3:22" ht="5.0999999999999996" customHeight="1" x14ac:dyDescent="0.15">
      <c r="C53" s="652"/>
      <c r="D53" s="309"/>
      <c r="E53" s="653"/>
      <c r="T53" s="649"/>
      <c r="V53" s="648"/>
    </row>
    <row r="54" spans="3:22" x14ac:dyDescent="0.15">
      <c r="C54" s="654" t="s">
        <v>31546</v>
      </c>
      <c r="D54" s="309"/>
      <c r="E54" s="653"/>
      <c r="S54" s="643" t="s">
        <v>31508</v>
      </c>
      <c r="T54" s="649" t="s">
        <v>31547</v>
      </c>
      <c r="V54" s="648"/>
    </row>
    <row r="55" spans="3:22" ht="5.0999999999999996" customHeight="1" x14ac:dyDescent="0.15">
      <c r="C55" s="652"/>
      <c r="D55" s="309"/>
      <c r="E55" s="653"/>
      <c r="T55" s="649"/>
      <c r="V55" s="648"/>
    </row>
    <row r="56" spans="3:22" x14ac:dyDescent="0.15">
      <c r="C56" s="654" t="s">
        <v>31548</v>
      </c>
      <c r="D56" s="309"/>
      <c r="E56" s="653"/>
      <c r="S56" s="643" t="s">
        <v>31508</v>
      </c>
      <c r="T56" s="649" t="s">
        <v>31549</v>
      </c>
      <c r="V56" s="648"/>
    </row>
    <row r="57" spans="3:22" ht="5.0999999999999996" customHeight="1" x14ac:dyDescent="0.15">
      <c r="C57" s="652"/>
      <c r="D57" s="309"/>
      <c r="E57" s="653"/>
      <c r="T57" s="649"/>
      <c r="V57" s="648"/>
    </row>
    <row r="58" spans="3:22" ht="13.5" customHeight="1" x14ac:dyDescent="0.15">
      <c r="C58" s="647" t="s">
        <v>31550</v>
      </c>
      <c r="E58" s="653"/>
      <c r="S58" s="643" t="s">
        <v>31508</v>
      </c>
      <c r="T58" s="649" t="s">
        <v>31551</v>
      </c>
      <c r="V58" s="648"/>
    </row>
    <row r="59" spans="3:22" ht="5.0999999999999996" customHeight="1" x14ac:dyDescent="0.15">
      <c r="C59" s="647"/>
      <c r="D59" s="309"/>
      <c r="E59" s="653"/>
      <c r="T59" s="649"/>
      <c r="V59" s="648"/>
    </row>
    <row r="60" spans="3:22" x14ac:dyDescent="0.15">
      <c r="C60" s="647" t="s">
        <v>31552</v>
      </c>
      <c r="D60" s="309"/>
      <c r="E60" s="655"/>
      <c r="F60" s="656"/>
      <c r="S60" s="643" t="s">
        <v>31508</v>
      </c>
      <c r="T60" s="649" t="s">
        <v>31553</v>
      </c>
      <c r="V60" s="648"/>
    </row>
    <row r="61" spans="3:22" ht="4.5" customHeight="1" x14ac:dyDescent="0.15">
      <c r="C61" s="647"/>
      <c r="D61" s="309"/>
      <c r="E61" s="655"/>
      <c r="F61" s="656"/>
      <c r="T61" s="649"/>
    </row>
    <row r="62" spans="3:22" x14ac:dyDescent="0.15">
      <c r="C62" s="647" t="s">
        <v>31554</v>
      </c>
      <c r="D62" s="309"/>
      <c r="E62" s="655"/>
      <c r="F62" s="656"/>
      <c r="S62" s="643" t="s">
        <v>31508</v>
      </c>
      <c r="T62" s="649" t="s">
        <v>31555</v>
      </c>
    </row>
    <row r="63" spans="3:22" ht="4.5" customHeight="1" x14ac:dyDescent="0.15">
      <c r="D63" s="653"/>
      <c r="E63" s="655"/>
      <c r="F63" s="656"/>
      <c r="T63" s="649"/>
    </row>
    <row r="64" spans="3:22" x14ac:dyDescent="0.15">
      <c r="C64" s="647" t="s">
        <v>31556</v>
      </c>
      <c r="D64" s="309"/>
      <c r="E64" s="655"/>
      <c r="F64" s="656"/>
      <c r="S64" s="643" t="s">
        <v>31508</v>
      </c>
      <c r="T64" s="649" t="s">
        <v>31557</v>
      </c>
    </row>
    <row r="65" spans="3:20" ht="4.5" customHeight="1" x14ac:dyDescent="0.15">
      <c r="D65" s="653"/>
      <c r="E65" s="655"/>
      <c r="F65" s="656"/>
      <c r="T65" s="649"/>
    </row>
    <row r="66" spans="3:20" x14ac:dyDescent="0.15">
      <c r="C66" s="647" t="s">
        <v>31558</v>
      </c>
      <c r="D66" s="309"/>
      <c r="E66" s="655"/>
      <c r="F66" s="656"/>
      <c r="S66" s="643" t="s">
        <v>31508</v>
      </c>
      <c r="T66" s="649" t="s">
        <v>31559</v>
      </c>
    </row>
    <row r="67" spans="3:20" ht="4.5" customHeight="1" x14ac:dyDescent="0.15">
      <c r="D67" s="653"/>
      <c r="E67" s="655"/>
      <c r="F67" s="656"/>
      <c r="T67" s="649"/>
    </row>
    <row r="68" spans="3:20" ht="13.5" customHeight="1" x14ac:dyDescent="0.15">
      <c r="C68" s="647" t="s">
        <v>31560</v>
      </c>
      <c r="D68" s="309"/>
      <c r="E68" s="655"/>
      <c r="F68" s="656"/>
      <c r="S68" s="643" t="s">
        <v>31508</v>
      </c>
      <c r="T68" s="649" t="s">
        <v>31561</v>
      </c>
    </row>
    <row r="69" spans="3:20" ht="4.5" customHeight="1" x14ac:dyDescent="0.15">
      <c r="D69" s="653"/>
      <c r="E69" s="655"/>
      <c r="F69" s="656"/>
      <c r="T69" s="649"/>
    </row>
    <row r="70" spans="3:20" x14ac:dyDescent="0.15">
      <c r="C70" s="647" t="s">
        <v>31562</v>
      </c>
      <c r="D70" s="309"/>
      <c r="E70" s="655"/>
      <c r="F70" s="656"/>
      <c r="S70" s="643" t="s">
        <v>31508</v>
      </c>
      <c r="T70" s="649" t="s">
        <v>31563</v>
      </c>
    </row>
    <row r="71" spans="3:20" ht="4.5" customHeight="1" x14ac:dyDescent="0.15">
      <c r="D71" s="653"/>
      <c r="E71" s="655"/>
      <c r="F71" s="656"/>
      <c r="T71" s="649"/>
    </row>
    <row r="72" spans="3:20" x14ac:dyDescent="0.15">
      <c r="C72" s="647" t="s">
        <v>31564</v>
      </c>
      <c r="D72" s="309"/>
      <c r="E72" s="655"/>
      <c r="F72" s="656"/>
      <c r="S72" s="643" t="s">
        <v>31508</v>
      </c>
      <c r="T72" s="649" t="s">
        <v>31565</v>
      </c>
    </row>
    <row r="73" spans="3:20" ht="4.5" customHeight="1" x14ac:dyDescent="0.15">
      <c r="D73" s="653"/>
      <c r="E73" s="655"/>
      <c r="F73" s="656"/>
      <c r="T73" s="649"/>
    </row>
    <row r="74" spans="3:20" x14ac:dyDescent="0.15">
      <c r="C74" s="647" t="s">
        <v>31566</v>
      </c>
      <c r="D74" s="309"/>
      <c r="E74" s="655"/>
      <c r="F74" s="656"/>
      <c r="S74" s="643" t="s">
        <v>31508</v>
      </c>
      <c r="T74" s="649" t="s">
        <v>31567</v>
      </c>
    </row>
    <row r="75" spans="3:20" ht="4.5" customHeight="1" x14ac:dyDescent="0.15">
      <c r="D75" s="653"/>
      <c r="E75" s="655"/>
      <c r="F75" s="656"/>
      <c r="T75" s="649"/>
    </row>
    <row r="76" spans="3:20" ht="13.5" customHeight="1" x14ac:dyDescent="0.15">
      <c r="C76" s="654" t="s">
        <v>31568</v>
      </c>
      <c r="D76" s="309"/>
      <c r="E76" s="655"/>
      <c r="F76" s="656"/>
      <c r="S76" s="643" t="s">
        <v>31508</v>
      </c>
      <c r="T76" s="649" t="s">
        <v>31569</v>
      </c>
    </row>
    <row r="77" spans="3:20" ht="4.5" customHeight="1" x14ac:dyDescent="0.15">
      <c r="C77" s="657"/>
      <c r="D77" s="653"/>
      <c r="E77" s="655"/>
      <c r="F77" s="656"/>
      <c r="T77" s="649"/>
    </row>
    <row r="78" spans="3:20" x14ac:dyDescent="0.15">
      <c r="C78" s="647" t="s">
        <v>31570</v>
      </c>
      <c r="D78" s="309"/>
      <c r="E78" s="655"/>
      <c r="F78" s="656"/>
      <c r="S78" s="643" t="s">
        <v>31508</v>
      </c>
      <c r="T78" s="649" t="s">
        <v>31571</v>
      </c>
    </row>
    <row r="79" spans="3:20" ht="4.5" customHeight="1" x14ac:dyDescent="0.15">
      <c r="C79" s="657"/>
      <c r="D79" s="653"/>
      <c r="E79" s="655"/>
      <c r="F79" s="656"/>
    </row>
    <row r="80" spans="3:20" x14ac:dyDescent="0.15">
      <c r="C80" s="652"/>
      <c r="D80" s="309"/>
      <c r="E80" s="655"/>
      <c r="F80" s="656"/>
    </row>
    <row r="81" spans="3:3" ht="4.5" customHeight="1" x14ac:dyDescent="0.15"/>
    <row r="83" spans="3:3" ht="4.5" customHeight="1" x14ac:dyDescent="0.15"/>
    <row r="84" spans="3:3" x14ac:dyDescent="0.15">
      <c r="C84" s="647"/>
    </row>
    <row r="117" spans="2:22" x14ac:dyDescent="0.15">
      <c r="T117" s="643"/>
    </row>
    <row r="118" spans="2:22" x14ac:dyDescent="0.15">
      <c r="B118" s="309"/>
      <c r="C118" s="309"/>
      <c r="D118" s="309"/>
      <c r="E118" s="309"/>
      <c r="F118" s="309"/>
      <c r="G118" s="309"/>
      <c r="H118" s="309"/>
      <c r="I118" s="309"/>
      <c r="J118" s="309"/>
      <c r="K118" s="309"/>
      <c r="L118" s="309"/>
      <c r="M118" s="309"/>
      <c r="N118" s="309"/>
      <c r="O118" s="309"/>
      <c r="P118" s="309"/>
      <c r="Q118" s="309"/>
      <c r="R118" s="309"/>
      <c r="S118" s="647"/>
      <c r="T118" s="647"/>
      <c r="U118" s="647"/>
      <c r="V118" s="647"/>
    </row>
    <row r="119" spans="2:22" x14ac:dyDescent="0.15">
      <c r="B119" s="309"/>
      <c r="C119" s="309"/>
      <c r="D119" s="309"/>
      <c r="E119" s="309"/>
      <c r="F119" s="309"/>
      <c r="G119" s="309"/>
      <c r="H119" s="309"/>
      <c r="I119" s="309"/>
      <c r="J119" s="309"/>
      <c r="K119" s="309"/>
      <c r="L119" s="309"/>
      <c r="M119" s="309"/>
      <c r="N119" s="309"/>
      <c r="O119" s="309"/>
      <c r="P119" s="309"/>
      <c r="Q119" s="309"/>
      <c r="R119" s="309"/>
      <c r="S119" s="647"/>
      <c r="T119" s="647"/>
      <c r="U119" s="647"/>
      <c r="V119" s="647"/>
    </row>
    <row r="120" spans="2:22" x14ac:dyDescent="0.15">
      <c r="B120" s="309"/>
      <c r="C120" s="309"/>
      <c r="D120" s="309"/>
      <c r="E120" s="309"/>
      <c r="F120" s="309"/>
      <c r="G120" s="309"/>
      <c r="H120" s="309"/>
      <c r="I120" s="309"/>
      <c r="J120" s="309"/>
      <c r="K120" s="309"/>
      <c r="L120" s="309"/>
      <c r="M120" s="309"/>
      <c r="N120" s="309"/>
      <c r="O120" s="309"/>
      <c r="P120" s="309"/>
      <c r="Q120" s="309"/>
      <c r="R120" s="309"/>
      <c r="S120" s="647"/>
      <c r="T120" s="647"/>
      <c r="U120" s="647"/>
      <c r="V120" s="647"/>
    </row>
    <row r="121" spans="2:22" x14ac:dyDescent="0.15">
      <c r="B121" s="309"/>
      <c r="C121" s="309"/>
      <c r="D121" s="309"/>
      <c r="E121" s="309"/>
      <c r="F121" s="309"/>
      <c r="G121" s="309"/>
      <c r="H121" s="309"/>
      <c r="I121" s="309"/>
      <c r="J121" s="309"/>
      <c r="K121" s="309"/>
      <c r="L121" s="309"/>
      <c r="M121" s="309"/>
      <c r="N121" s="309"/>
      <c r="O121" s="309"/>
      <c r="P121" s="309"/>
      <c r="Q121" s="309"/>
      <c r="R121" s="309"/>
      <c r="S121" s="647"/>
      <c r="T121" s="647"/>
      <c r="U121" s="647"/>
      <c r="V121" s="647"/>
    </row>
    <row r="122" spans="2:22" x14ac:dyDescent="0.15">
      <c r="B122" s="309"/>
      <c r="C122" s="658"/>
      <c r="D122" s="156"/>
      <c r="E122" s="156"/>
      <c r="F122" s="156"/>
      <c r="G122" s="659"/>
      <c r="H122" s="156"/>
      <c r="I122" s="156"/>
      <c r="J122" s="156"/>
      <c r="K122" s="156"/>
      <c r="L122" s="156"/>
      <c r="M122" s="156"/>
      <c r="N122" s="156"/>
      <c r="O122" s="156"/>
      <c r="P122" s="156"/>
      <c r="Q122" s="156"/>
      <c r="R122" s="309"/>
      <c r="S122" s="647"/>
      <c r="T122" s="647"/>
      <c r="U122" s="647"/>
      <c r="V122" s="647"/>
    </row>
    <row r="123" spans="2:22" x14ac:dyDescent="0.15">
      <c r="B123" s="309"/>
      <c r="C123" s="156"/>
      <c r="D123" s="156"/>
      <c r="E123" s="156"/>
      <c r="F123" s="156"/>
      <c r="G123" s="659"/>
      <c r="H123" s="156"/>
      <c r="I123" s="156"/>
      <c r="J123" s="156"/>
      <c r="K123" s="156"/>
      <c r="L123" s="156"/>
      <c r="M123" s="156"/>
      <c r="N123" s="156"/>
      <c r="O123" s="156"/>
      <c r="P123" s="156"/>
      <c r="Q123" s="156"/>
      <c r="R123" s="309"/>
      <c r="S123" s="647"/>
      <c r="T123" s="647"/>
      <c r="U123" s="647"/>
      <c r="V123" s="647"/>
    </row>
    <row r="124" spans="2:22" x14ac:dyDescent="0.15">
      <c r="B124" s="309"/>
      <c r="C124" s="658"/>
      <c r="D124" s="156"/>
      <c r="E124" s="156"/>
      <c r="F124" s="156"/>
      <c r="G124" s="659"/>
      <c r="H124" s="156"/>
      <c r="I124" s="156"/>
      <c r="J124" s="156"/>
      <c r="K124" s="156"/>
      <c r="L124" s="156"/>
      <c r="M124" s="156"/>
      <c r="N124" s="156"/>
      <c r="O124" s="156"/>
      <c r="P124" s="156"/>
      <c r="Q124" s="156"/>
      <c r="R124" s="309"/>
      <c r="S124" s="647"/>
      <c r="T124" s="647"/>
      <c r="U124" s="647"/>
      <c r="V124" s="647"/>
    </row>
    <row r="125" spans="2:22" x14ac:dyDescent="0.15">
      <c r="B125" s="309"/>
      <c r="C125" s="156"/>
      <c r="D125" s="156"/>
      <c r="E125" s="156"/>
      <c r="F125" s="156"/>
      <c r="G125" s="659"/>
      <c r="H125" s="156"/>
      <c r="I125" s="156"/>
      <c r="J125" s="156"/>
      <c r="K125" s="156"/>
      <c r="L125" s="156"/>
      <c r="M125" s="156"/>
      <c r="N125" s="156"/>
      <c r="O125" s="156"/>
      <c r="P125" s="156"/>
      <c r="Q125" s="156"/>
      <c r="R125" s="309"/>
      <c r="S125" s="647"/>
      <c r="T125" s="647"/>
      <c r="U125" s="647"/>
      <c r="V125" s="647"/>
    </row>
    <row r="126" spans="2:22" x14ac:dyDescent="0.15">
      <c r="B126" s="309"/>
      <c r="C126" s="156"/>
      <c r="D126" s="156"/>
      <c r="E126" s="156"/>
      <c r="F126" s="156"/>
      <c r="G126" s="659"/>
      <c r="H126" s="156"/>
      <c r="I126" s="156"/>
      <c r="J126" s="156"/>
      <c r="K126" s="156"/>
      <c r="L126" s="156"/>
      <c r="M126" s="156"/>
      <c r="N126" s="156"/>
      <c r="O126" s="156"/>
      <c r="P126" s="156"/>
      <c r="Q126" s="156"/>
      <c r="R126" s="309"/>
      <c r="S126" s="647"/>
      <c r="T126" s="647"/>
      <c r="U126" s="647"/>
      <c r="V126" s="647"/>
    </row>
    <row r="127" spans="2:22" x14ac:dyDescent="0.15">
      <c r="B127" s="309"/>
      <c r="C127" s="156"/>
      <c r="D127" s="156"/>
      <c r="E127" s="156"/>
      <c r="F127" s="156"/>
      <c r="G127" s="659"/>
      <c r="H127" s="156"/>
      <c r="I127" s="156"/>
      <c r="J127" s="156"/>
      <c r="K127" s="156"/>
      <c r="L127" s="156"/>
      <c r="M127" s="156"/>
      <c r="N127" s="156"/>
      <c r="O127" s="156"/>
      <c r="P127" s="156"/>
      <c r="Q127" s="156"/>
      <c r="R127" s="309"/>
      <c r="S127" s="647"/>
      <c r="T127" s="647"/>
      <c r="U127" s="647"/>
      <c r="V127" s="647"/>
    </row>
    <row r="128" spans="2:22" x14ac:dyDescent="0.15">
      <c r="B128" s="309"/>
      <c r="C128" s="156"/>
      <c r="D128" s="156"/>
      <c r="E128" s="156"/>
      <c r="F128" s="156"/>
      <c r="G128" s="659"/>
      <c r="H128" s="156"/>
      <c r="I128" s="156"/>
      <c r="J128" s="156"/>
      <c r="K128" s="156"/>
      <c r="L128" s="156"/>
      <c r="M128" s="156"/>
      <c r="N128" s="156"/>
      <c r="O128" s="156"/>
      <c r="P128" s="156"/>
      <c r="Q128" s="156"/>
      <c r="R128" s="309"/>
      <c r="S128" s="647"/>
      <c r="T128" s="647"/>
      <c r="U128" s="647"/>
      <c r="V128" s="647"/>
    </row>
    <row r="129" spans="1:22" x14ac:dyDescent="0.15">
      <c r="A129" s="309"/>
      <c r="B129" s="309"/>
      <c r="C129" s="309"/>
      <c r="D129" s="309"/>
      <c r="E129" s="309"/>
      <c r="F129" s="660"/>
      <c r="G129" s="309"/>
      <c r="H129" s="309"/>
      <c r="I129" s="309"/>
      <c r="J129" s="309"/>
      <c r="K129" s="309"/>
      <c r="L129" s="309"/>
      <c r="M129" s="309"/>
      <c r="N129" s="309"/>
      <c r="O129" s="309"/>
      <c r="P129" s="309"/>
      <c r="Q129" s="309"/>
      <c r="R129" s="309"/>
      <c r="S129" s="647"/>
      <c r="T129" s="647"/>
      <c r="U129" s="647"/>
      <c r="V129" s="647"/>
    </row>
    <row r="130" spans="1:22" x14ac:dyDescent="0.15">
      <c r="A130" s="647"/>
      <c r="B130" s="647"/>
      <c r="C130" s="647"/>
      <c r="D130" s="647"/>
      <c r="E130" s="647"/>
      <c r="F130" s="647"/>
      <c r="G130" s="647"/>
      <c r="H130" s="647"/>
      <c r="I130" s="647"/>
      <c r="J130" s="647"/>
      <c r="K130" s="647"/>
      <c r="L130" s="647"/>
      <c r="M130" s="647"/>
      <c r="N130" s="647"/>
      <c r="O130" s="647"/>
      <c r="P130" s="647"/>
      <c r="Q130" s="647"/>
      <c r="R130" s="647"/>
      <c r="S130" s="647"/>
      <c r="T130" s="647"/>
      <c r="U130" s="647"/>
      <c r="V130" s="647"/>
    </row>
    <row r="131" spans="1:22" x14ac:dyDescent="0.15">
      <c r="A131" s="647"/>
      <c r="B131" s="647"/>
      <c r="C131" s="647"/>
      <c r="D131" s="647"/>
      <c r="E131" s="647"/>
      <c r="F131" s="647"/>
      <c r="G131" s="647"/>
      <c r="H131" s="647"/>
      <c r="I131" s="647"/>
      <c r="J131" s="647"/>
      <c r="K131" s="647"/>
      <c r="L131" s="647"/>
      <c r="M131" s="647"/>
      <c r="N131" s="647"/>
      <c r="O131" s="647"/>
      <c r="P131" s="647"/>
      <c r="Q131" s="647"/>
      <c r="R131" s="647"/>
      <c r="S131" s="647"/>
      <c r="T131" s="647"/>
      <c r="U131" s="647"/>
      <c r="V131" s="647"/>
    </row>
    <row r="132" spans="1:22" x14ac:dyDescent="0.15">
      <c r="A132" s="647"/>
      <c r="B132" s="647"/>
      <c r="C132" s="647"/>
      <c r="D132" s="647"/>
      <c r="E132" s="647"/>
      <c r="F132" s="647"/>
      <c r="G132" s="647"/>
      <c r="H132" s="647"/>
      <c r="I132" s="647"/>
      <c r="J132" s="647"/>
      <c r="K132" s="647"/>
      <c r="L132" s="647"/>
      <c r="M132" s="647"/>
      <c r="N132" s="647"/>
      <c r="O132" s="647"/>
      <c r="P132" s="647"/>
      <c r="Q132" s="647"/>
      <c r="R132" s="647"/>
      <c r="S132" s="647"/>
      <c r="T132" s="647"/>
      <c r="U132" s="647"/>
      <c r="V132" s="647"/>
    </row>
    <row r="133" spans="1:22" x14ac:dyDescent="0.15">
      <c r="A133" s="647"/>
      <c r="B133" s="647"/>
      <c r="C133" s="647"/>
      <c r="D133" s="647"/>
      <c r="E133" s="647"/>
      <c r="F133" s="647"/>
      <c r="G133" s="647"/>
      <c r="H133" s="647"/>
      <c r="I133" s="647"/>
      <c r="J133" s="647"/>
      <c r="K133" s="647"/>
      <c r="L133" s="647"/>
      <c r="M133" s="647"/>
      <c r="N133" s="647"/>
      <c r="O133" s="647"/>
      <c r="P133" s="647"/>
      <c r="Q133" s="647"/>
      <c r="R133" s="647"/>
      <c r="S133" s="647"/>
      <c r="T133" s="647"/>
      <c r="U133" s="647"/>
      <c r="V133" s="647"/>
    </row>
    <row r="134" spans="1:22" x14ac:dyDescent="0.15">
      <c r="T134" s="643"/>
    </row>
    <row r="135" spans="1:22" x14ac:dyDescent="0.15">
      <c r="T135" s="643"/>
    </row>
    <row r="136" spans="1:22" x14ac:dyDescent="0.15">
      <c r="T136" s="643"/>
    </row>
    <row r="137" spans="1:22" x14ac:dyDescent="0.15">
      <c r="T137" s="643"/>
    </row>
  </sheetData>
  <mergeCells count="1">
    <mergeCell ref="C4:V8"/>
  </mergeCells>
  <phoneticPr fontId="1"/>
  <printOptions horizontalCentered="1"/>
  <pageMargins left="0.78740157480314965" right="0.98425196850393704" top="0.39370078740157483" bottom="0.59055118110236227" header="0.51181102362204722"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pageSetUpPr fitToPage="1"/>
  </sheetPr>
  <dimension ref="A1:W47"/>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1.875" style="10" bestFit="1" customWidth="1"/>
    <col min="4" max="4" width="2.5" style="10" customWidth="1"/>
    <col min="5" max="5" width="4.875" style="10" customWidth="1"/>
    <col min="6" max="6" width="5.5" style="117" customWidth="1"/>
    <col min="7" max="7" width="2.5" style="117" customWidth="1"/>
    <col min="8" max="8" width="4.875" style="10" customWidth="1"/>
    <col min="9" max="9" width="5.5" style="117" bestFit="1" customWidth="1"/>
    <col min="10" max="10" width="24.875" style="14" bestFit="1" customWidth="1"/>
    <col min="11" max="11" width="3.5" style="12" bestFit="1" customWidth="1"/>
    <col min="12" max="12" width="5.5" style="13" bestFit="1" customWidth="1"/>
    <col min="13" max="13" width="3.5" style="12" bestFit="1" customWidth="1"/>
    <col min="14" max="14" width="4.5" style="13" bestFit="1" customWidth="1"/>
    <col min="15" max="15" width="5.5" style="12" bestFit="1" customWidth="1"/>
    <col min="16" max="16" width="3.5" style="12" bestFit="1" customWidth="1"/>
    <col min="17" max="17" width="4.5" style="13" bestFit="1" customWidth="1"/>
    <col min="18" max="18" width="5.5" style="12" bestFit="1" customWidth="1"/>
    <col min="19" max="19" width="17.875" style="12" customWidth="1"/>
    <col min="20" max="20" width="3.5" style="12" bestFit="1" customWidth="1"/>
    <col min="21" max="21" width="4.5" style="13" bestFit="1" customWidth="1"/>
    <col min="22" max="22" width="7.125" style="15" customWidth="1"/>
    <col min="23" max="23" width="8.5" style="16" customWidth="1"/>
    <col min="24" max="16384" width="8.875" style="12"/>
  </cols>
  <sheetData>
    <row r="1" spans="1:23" ht="17.100000000000001" customHeight="1" x14ac:dyDescent="0.15">
      <c r="E1" s="11"/>
      <c r="H1" s="11"/>
    </row>
    <row r="2" spans="1:23" ht="17.100000000000001" customHeight="1" x14ac:dyDescent="0.15"/>
    <row r="3" spans="1:23" ht="17.100000000000001" customHeight="1" x14ac:dyDescent="0.15"/>
    <row r="4" spans="1:23" ht="17.100000000000001" customHeight="1" x14ac:dyDescent="0.15">
      <c r="B4" s="17" t="s">
        <v>3570</v>
      </c>
      <c r="E4" s="71"/>
    </row>
    <row r="5" spans="1:23" ht="16.5" customHeight="1" x14ac:dyDescent="0.15">
      <c r="A5" s="19" t="s">
        <v>384</v>
      </c>
      <c r="B5" s="20"/>
      <c r="C5" s="21" t="s">
        <v>385</v>
      </c>
      <c r="D5" s="166"/>
      <c r="E5" s="23" t="s">
        <v>386</v>
      </c>
      <c r="F5" s="118"/>
      <c r="G5" s="118"/>
      <c r="H5" s="23"/>
      <c r="I5" s="118"/>
      <c r="J5" s="23"/>
      <c r="K5" s="23"/>
      <c r="L5" s="24"/>
      <c r="M5" s="23"/>
      <c r="N5" s="24"/>
      <c r="O5" s="23"/>
      <c r="P5" s="23"/>
      <c r="Q5" s="24"/>
      <c r="R5" s="23"/>
      <c r="S5" s="23"/>
      <c r="T5" s="23"/>
      <c r="U5" s="24"/>
      <c r="V5" s="25" t="s">
        <v>387</v>
      </c>
      <c r="W5" s="21" t="s">
        <v>388</v>
      </c>
    </row>
    <row r="6" spans="1:23" ht="16.5" customHeight="1" x14ac:dyDescent="0.15">
      <c r="A6" s="26" t="s">
        <v>389</v>
      </c>
      <c r="B6" s="26" t="s">
        <v>390</v>
      </c>
      <c r="C6" s="27"/>
      <c r="D6" s="726" t="s">
        <v>1032</v>
      </c>
      <c r="E6" s="731"/>
      <c r="F6" s="737"/>
      <c r="G6" s="738" t="s">
        <v>1033</v>
      </c>
      <c r="H6" s="731"/>
      <c r="I6" s="727"/>
      <c r="J6" s="29"/>
      <c r="K6" s="29"/>
      <c r="L6" s="30"/>
      <c r="M6" s="29"/>
      <c r="N6" s="30"/>
      <c r="O6" s="29"/>
      <c r="P6" s="29"/>
      <c r="Q6" s="30"/>
      <c r="R6" s="29"/>
      <c r="S6" s="29"/>
      <c r="T6" s="29"/>
      <c r="U6" s="30"/>
      <c r="V6" s="31" t="s">
        <v>391</v>
      </c>
      <c r="W6" s="32" t="s">
        <v>392</v>
      </c>
    </row>
    <row r="7" spans="1:23" ht="16.5" customHeight="1" x14ac:dyDescent="0.15">
      <c r="A7" s="33">
        <v>11</v>
      </c>
      <c r="B7" s="33">
        <v>2245</v>
      </c>
      <c r="C7" s="34" t="s">
        <v>3571</v>
      </c>
      <c r="D7" s="709" t="s">
        <v>3572</v>
      </c>
      <c r="E7" s="704"/>
      <c r="F7" s="739"/>
      <c r="G7" s="736" t="s">
        <v>3573</v>
      </c>
      <c r="H7" s="704"/>
      <c r="I7" s="718"/>
      <c r="J7" s="36"/>
      <c r="K7" s="37"/>
      <c r="L7" s="38"/>
      <c r="M7" s="72" t="s">
        <v>1036</v>
      </c>
      <c r="O7" s="57"/>
      <c r="P7" s="167" t="s">
        <v>1037</v>
      </c>
      <c r="R7" s="57"/>
      <c r="S7" s="35"/>
      <c r="V7" s="39">
        <f>ROUND((_11_A重度研修１．０*(1+_11・A深夜)),0)+ROUND((_11_B重度研修１．０＿０．５*(1+_11・B早朝)),0)</f>
        <v>391</v>
      </c>
      <c r="W7" s="40" t="s">
        <v>395</v>
      </c>
    </row>
    <row r="8" spans="1:23" ht="16.5" customHeight="1" x14ac:dyDescent="0.15">
      <c r="A8" s="41">
        <v>11</v>
      </c>
      <c r="B8" s="41">
        <v>2246</v>
      </c>
      <c r="C8" s="74" t="s">
        <v>3574</v>
      </c>
      <c r="D8" s="709"/>
      <c r="E8" s="704"/>
      <c r="F8" s="739"/>
      <c r="G8" s="736"/>
      <c r="H8" s="704"/>
      <c r="I8" s="718"/>
      <c r="J8" s="44" t="s">
        <v>397</v>
      </c>
      <c r="K8" s="45" t="s">
        <v>398</v>
      </c>
      <c r="L8" s="46">
        <v>1</v>
      </c>
      <c r="M8" s="35" t="s">
        <v>398</v>
      </c>
      <c r="N8" s="13">
        <v>0.5</v>
      </c>
      <c r="O8" s="57" t="s">
        <v>3575</v>
      </c>
      <c r="P8" s="35" t="s">
        <v>398</v>
      </c>
      <c r="Q8" s="13">
        <v>0.25</v>
      </c>
      <c r="R8" s="57" t="s">
        <v>3575</v>
      </c>
      <c r="S8" s="43"/>
      <c r="T8" s="37"/>
      <c r="U8" s="38"/>
      <c r="V8" s="47">
        <f>ROUND((ROUND((_11_A重度研修１．０*_11・２人),0)*(1+_11・A深夜)),0)+ROUND((ROUND((_11_B重度研修１．０＿０．５*_11・２人),0)*(1+_11・B早朝)),0)</f>
        <v>391</v>
      </c>
      <c r="W8" s="48"/>
    </row>
    <row r="9" spans="1:23" ht="16.5" customHeight="1" x14ac:dyDescent="0.15">
      <c r="A9" s="41">
        <v>11</v>
      </c>
      <c r="B9" s="41" t="s">
        <v>3576</v>
      </c>
      <c r="C9" s="74" t="s">
        <v>3577</v>
      </c>
      <c r="D9" s="709"/>
      <c r="E9" s="704"/>
      <c r="F9" s="739"/>
      <c r="G9" s="736"/>
      <c r="H9" s="704"/>
      <c r="I9" s="718"/>
      <c r="J9" s="44"/>
      <c r="K9" s="45"/>
      <c r="L9" s="46"/>
      <c r="M9" s="35"/>
      <c r="O9" s="57"/>
      <c r="P9" s="35"/>
      <c r="R9" s="57"/>
      <c r="S9" s="734" t="s">
        <v>404</v>
      </c>
      <c r="T9" s="49" t="s">
        <v>398</v>
      </c>
      <c r="U9" s="50">
        <f>_11・初任</f>
        <v>0.7</v>
      </c>
      <c r="V9" s="47">
        <f>ROUND((ROUND((_11_A重度研修１．０*(1+_11・A深夜)),0)*_11・初任),0)+ROUND((ROUND((_11_B重度研修１．０＿０．５*(1+_11・B早朝)),0)*_11・初任),0)</f>
        <v>274</v>
      </c>
      <c r="W9" s="48"/>
    </row>
    <row r="10" spans="1:23" ht="16.5" customHeight="1" x14ac:dyDescent="0.15">
      <c r="A10" s="41">
        <v>11</v>
      </c>
      <c r="B10" s="41" t="s">
        <v>3578</v>
      </c>
      <c r="C10" s="74" t="s">
        <v>3579</v>
      </c>
      <c r="D10" s="72"/>
      <c r="E10" s="168">
        <f>_11_A重度研修１．０</f>
        <v>185</v>
      </c>
      <c r="F10" s="169" t="s">
        <v>392</v>
      </c>
      <c r="G10" s="99"/>
      <c r="H10" s="168">
        <f>_11_B重度研修１．０＿０．５</f>
        <v>90</v>
      </c>
      <c r="I10" s="99" t="s">
        <v>392</v>
      </c>
      <c r="J10" s="44" t="s">
        <v>397</v>
      </c>
      <c r="K10" s="45" t="s">
        <v>398</v>
      </c>
      <c r="L10" s="46">
        <v>1</v>
      </c>
      <c r="M10" s="35"/>
      <c r="O10" s="57"/>
      <c r="P10" s="35"/>
      <c r="R10" s="57"/>
      <c r="S10" s="706"/>
      <c r="T10" s="37"/>
      <c r="U10" s="38"/>
      <c r="V10" s="47">
        <f>ROUND((ROUND((ROUND((_11_A重度研修１．０*_11・２人),0)*(1+_11・A深夜)),0)*_11・初任),0)+ROUND((ROUND((ROUND((_11_B重度研修１．０＿０．５*_11・２人),0)*(1+_11・B早朝)),0)*_11・初任),0)</f>
        <v>274</v>
      </c>
      <c r="W10" s="48"/>
    </row>
    <row r="11" spans="1:23" ht="16.5" customHeight="1" x14ac:dyDescent="0.15">
      <c r="A11" s="41">
        <v>11</v>
      </c>
      <c r="B11" s="41">
        <v>2093</v>
      </c>
      <c r="C11" s="74" t="s">
        <v>3580</v>
      </c>
      <c r="D11" s="72"/>
      <c r="F11" s="169"/>
      <c r="G11" s="735" t="s">
        <v>3581</v>
      </c>
      <c r="H11" s="708"/>
      <c r="I11" s="717"/>
      <c r="J11" s="44"/>
      <c r="K11" s="45"/>
      <c r="L11" s="46"/>
      <c r="M11" s="35"/>
      <c r="O11" s="57"/>
      <c r="P11" s="35"/>
      <c r="R11" s="57"/>
      <c r="S11" s="53"/>
      <c r="T11" s="49"/>
      <c r="U11" s="50"/>
      <c r="V11" s="47">
        <f>ROUND((_11_A重度研修１．０*(1+_11・A深夜)),0)+ROUND((_11_B重度研修１．０＿１．０*(1+_11・B早朝)),0)</f>
        <v>506</v>
      </c>
      <c r="W11" s="48"/>
    </row>
    <row r="12" spans="1:23" ht="16.5" customHeight="1" x14ac:dyDescent="0.15">
      <c r="A12" s="41">
        <v>11</v>
      </c>
      <c r="B12" s="41">
        <v>2094</v>
      </c>
      <c r="C12" s="74" t="s">
        <v>3582</v>
      </c>
      <c r="D12" s="72"/>
      <c r="F12" s="169"/>
      <c r="G12" s="736"/>
      <c r="H12" s="704"/>
      <c r="I12" s="718"/>
      <c r="J12" s="44" t="s">
        <v>397</v>
      </c>
      <c r="K12" s="45" t="s">
        <v>398</v>
      </c>
      <c r="L12" s="46">
        <v>1</v>
      </c>
      <c r="M12" s="35"/>
      <c r="O12" s="57"/>
      <c r="P12" s="35"/>
      <c r="R12" s="57"/>
      <c r="S12" s="43"/>
      <c r="T12" s="37"/>
      <c r="U12" s="38"/>
      <c r="V12" s="47">
        <f>ROUND((ROUND((_11_A重度研修１．０*_11・２人),0)*(1+_11・A深夜)),0)+ROUND((ROUND((_11_B重度研修１．０＿１．０*_11・２人),0)*(1+_11・B早朝)),0)</f>
        <v>506</v>
      </c>
      <c r="W12" s="48"/>
    </row>
    <row r="13" spans="1:23" ht="16.5" customHeight="1" x14ac:dyDescent="0.15">
      <c r="A13" s="41">
        <v>11</v>
      </c>
      <c r="B13" s="41" t="s">
        <v>3583</v>
      </c>
      <c r="C13" s="74" t="s">
        <v>3584</v>
      </c>
      <c r="D13" s="72"/>
      <c r="F13" s="169"/>
      <c r="G13" s="736"/>
      <c r="H13" s="704"/>
      <c r="I13" s="718"/>
      <c r="J13" s="44"/>
      <c r="K13" s="45"/>
      <c r="L13" s="46"/>
      <c r="M13" s="35"/>
      <c r="O13" s="57"/>
      <c r="P13" s="35"/>
      <c r="R13" s="57"/>
      <c r="S13" s="734" t="s">
        <v>404</v>
      </c>
      <c r="T13" s="49" t="s">
        <v>398</v>
      </c>
      <c r="U13" s="50">
        <f>_11・初任</f>
        <v>0.7</v>
      </c>
      <c r="V13" s="47">
        <f>ROUND((ROUND((_11_A重度研修１．０*(1+_11・A深夜)),0)*_11・初任),0)+ROUND((ROUND((_11_B重度研修１．０＿１．０*(1+_11・B早朝)),0)*_11・初任),0)</f>
        <v>355</v>
      </c>
      <c r="W13" s="48"/>
    </row>
    <row r="14" spans="1:23" ht="16.5" customHeight="1" x14ac:dyDescent="0.15">
      <c r="A14" s="41">
        <v>11</v>
      </c>
      <c r="B14" s="41" t="s">
        <v>3585</v>
      </c>
      <c r="C14" s="74" t="s">
        <v>3586</v>
      </c>
      <c r="D14" s="72"/>
      <c r="F14" s="169"/>
      <c r="G14" s="99"/>
      <c r="H14" s="168">
        <f>_11_B重度研修１．０＿１．０</f>
        <v>182</v>
      </c>
      <c r="I14" s="99" t="s">
        <v>392</v>
      </c>
      <c r="J14" s="44" t="s">
        <v>397</v>
      </c>
      <c r="K14" s="45" t="s">
        <v>398</v>
      </c>
      <c r="L14" s="46">
        <v>1</v>
      </c>
      <c r="M14" s="35"/>
      <c r="O14" s="57"/>
      <c r="P14" s="35"/>
      <c r="R14" s="57"/>
      <c r="S14" s="706"/>
      <c r="T14" s="37"/>
      <c r="U14" s="38"/>
      <c r="V14" s="47">
        <f>ROUND((ROUND((ROUND((_11_A重度研修１．０*_11・２人),0)*(1+_11・A深夜)),0)*_11・初任),0)+ROUND((ROUND((ROUND((_11_B重度研修１．０＿１．０*_11・２人),0)*(1+_11・B早朝)),0)*_11・初任),0)</f>
        <v>355</v>
      </c>
      <c r="W14" s="48"/>
    </row>
    <row r="15" spans="1:23" ht="16.5" customHeight="1" x14ac:dyDescent="0.15">
      <c r="A15" s="41">
        <v>11</v>
      </c>
      <c r="B15" s="41">
        <v>2247</v>
      </c>
      <c r="C15" s="74" t="s">
        <v>3587</v>
      </c>
      <c r="D15" s="72"/>
      <c r="F15" s="169"/>
      <c r="G15" s="735" t="s">
        <v>3588</v>
      </c>
      <c r="H15" s="708"/>
      <c r="I15" s="717"/>
      <c r="J15" s="44"/>
      <c r="K15" s="45"/>
      <c r="L15" s="46"/>
      <c r="M15" s="35"/>
      <c r="O15" s="57"/>
      <c r="P15" s="35"/>
      <c r="R15" s="57"/>
      <c r="S15" s="53"/>
      <c r="T15" s="49"/>
      <c r="U15" s="50"/>
      <c r="V15" s="47">
        <f>ROUND((_11_A重度研修１．０*(1+_11・A深夜)),0)+ROUND((_11_B重度研修１．０＿１．５*(1+_11・B早朝)),0)</f>
        <v>619</v>
      </c>
      <c r="W15" s="48"/>
    </row>
    <row r="16" spans="1:23" ht="16.5" customHeight="1" x14ac:dyDescent="0.15">
      <c r="A16" s="41">
        <v>11</v>
      </c>
      <c r="B16" s="41">
        <v>2248</v>
      </c>
      <c r="C16" s="74" t="s">
        <v>3589</v>
      </c>
      <c r="D16" s="72"/>
      <c r="F16" s="169"/>
      <c r="G16" s="736"/>
      <c r="H16" s="704"/>
      <c r="I16" s="718"/>
      <c r="J16" s="44" t="s">
        <v>397</v>
      </c>
      <c r="K16" s="45" t="s">
        <v>398</v>
      </c>
      <c r="L16" s="46">
        <v>1</v>
      </c>
      <c r="M16" s="35"/>
      <c r="O16" s="57"/>
      <c r="P16" s="35"/>
      <c r="R16" s="57"/>
      <c r="S16" s="43"/>
      <c r="T16" s="37"/>
      <c r="U16" s="38"/>
      <c r="V16" s="47">
        <f>ROUND((ROUND((_11_A重度研修１．０*_11・２人),0)*(1+_11・A深夜)),0)+ROUND((ROUND((_11_B重度研修１．０＿１．５*_11・２人),0)*(1+_11・B早朝)),0)</f>
        <v>619</v>
      </c>
      <c r="W16" s="48"/>
    </row>
    <row r="17" spans="1:23" ht="16.5" customHeight="1" x14ac:dyDescent="0.15">
      <c r="A17" s="41">
        <v>11</v>
      </c>
      <c r="B17" s="41" t="s">
        <v>3590</v>
      </c>
      <c r="C17" s="74" t="s">
        <v>3591</v>
      </c>
      <c r="D17" s="72"/>
      <c r="F17" s="169"/>
      <c r="G17" s="736"/>
      <c r="H17" s="704"/>
      <c r="I17" s="718"/>
      <c r="J17" s="44"/>
      <c r="K17" s="45"/>
      <c r="L17" s="46"/>
      <c r="M17" s="35"/>
      <c r="O17" s="57"/>
      <c r="P17" s="35"/>
      <c r="R17" s="57"/>
      <c r="S17" s="734" t="s">
        <v>404</v>
      </c>
      <c r="T17" s="49" t="s">
        <v>398</v>
      </c>
      <c r="U17" s="50">
        <f>_11・初任</f>
        <v>0.7</v>
      </c>
      <c r="V17" s="47">
        <f>ROUND((ROUND((_11_A重度研修１．０*(1+_11・A深夜)),0)*_11・初任),0)+ROUND((ROUND((_11_B重度研修１．０＿１．５*(1+_11・B早朝)),0)*_11・初任),0)</f>
        <v>434</v>
      </c>
      <c r="W17" s="48"/>
    </row>
    <row r="18" spans="1:23" ht="16.5" customHeight="1" x14ac:dyDescent="0.15">
      <c r="A18" s="41">
        <v>11</v>
      </c>
      <c r="B18" s="41" t="s">
        <v>3592</v>
      </c>
      <c r="C18" s="74" t="s">
        <v>3593</v>
      </c>
      <c r="D18" s="72"/>
      <c r="F18" s="169"/>
      <c r="G18" s="99"/>
      <c r="H18" s="170">
        <f>_11_B重度研修１．０＿１．５</f>
        <v>273</v>
      </c>
      <c r="I18" s="12" t="s">
        <v>392</v>
      </c>
      <c r="J18" s="44" t="s">
        <v>397</v>
      </c>
      <c r="K18" s="45" t="s">
        <v>398</v>
      </c>
      <c r="L18" s="46">
        <v>1</v>
      </c>
      <c r="M18" s="35"/>
      <c r="O18" s="57"/>
      <c r="P18" s="35"/>
      <c r="R18" s="57"/>
      <c r="S18" s="706"/>
      <c r="T18" s="37"/>
      <c r="U18" s="38"/>
      <c r="V18" s="47">
        <f>ROUND((ROUND((ROUND((_11_A重度研修１．０*_11・２人),0)*(1+_11・A深夜)),0)*_11・初任),0)+ROUND((ROUND((ROUND((_11_B重度研修１．０＿１．５*_11・２人),0)*(1+_11・B早朝)),0)*_11・初任),0)</f>
        <v>434</v>
      </c>
      <c r="W18" s="48"/>
    </row>
    <row r="19" spans="1:23" ht="16.5" customHeight="1" x14ac:dyDescent="0.15">
      <c r="A19" s="41">
        <v>11</v>
      </c>
      <c r="B19" s="41">
        <v>2095</v>
      </c>
      <c r="C19" s="74" t="s">
        <v>3594</v>
      </c>
      <c r="D19" s="72"/>
      <c r="F19" s="169"/>
      <c r="G19" s="735" t="s">
        <v>1139</v>
      </c>
      <c r="H19" s="708"/>
      <c r="I19" s="717"/>
      <c r="J19" s="44"/>
      <c r="K19" s="45"/>
      <c r="L19" s="46"/>
      <c r="M19" s="35"/>
      <c r="O19" s="57"/>
      <c r="P19" s="35"/>
      <c r="R19" s="57"/>
      <c r="S19" s="53"/>
      <c r="T19" s="49"/>
      <c r="U19" s="50"/>
      <c r="V19" s="47">
        <f>ROUND((_11_A重度研修１．０*(1+_11・A深夜)),0)+ROUND((_11_B重度研修１．０＿２．０*(1+_11・B早朝)),0)</f>
        <v>734</v>
      </c>
      <c r="W19" s="48"/>
    </row>
    <row r="20" spans="1:23" ht="16.5" customHeight="1" x14ac:dyDescent="0.15">
      <c r="A20" s="41">
        <v>11</v>
      </c>
      <c r="B20" s="41">
        <v>2096</v>
      </c>
      <c r="C20" s="74" t="s">
        <v>3595</v>
      </c>
      <c r="D20" s="72"/>
      <c r="F20" s="169"/>
      <c r="G20" s="736"/>
      <c r="H20" s="704"/>
      <c r="I20" s="718"/>
      <c r="J20" s="44" t="s">
        <v>397</v>
      </c>
      <c r="K20" s="45" t="s">
        <v>398</v>
      </c>
      <c r="L20" s="46">
        <v>1</v>
      </c>
      <c r="M20" s="35"/>
      <c r="O20" s="57"/>
      <c r="P20" s="35"/>
      <c r="R20" s="57"/>
      <c r="S20" s="43"/>
      <c r="T20" s="37"/>
      <c r="U20" s="38"/>
      <c r="V20" s="47">
        <f>ROUND((ROUND((_11_A重度研修１．０*_11・２人),0)*(1+_11・A深夜)),0)+ROUND((ROUND((_11_B重度研修１．０＿２．０*_11・２人),0)*(1+_11・B早朝)),0)</f>
        <v>734</v>
      </c>
      <c r="W20" s="48"/>
    </row>
    <row r="21" spans="1:23" ht="16.5" customHeight="1" x14ac:dyDescent="0.15">
      <c r="A21" s="41">
        <v>11</v>
      </c>
      <c r="B21" s="41" t="s">
        <v>3596</v>
      </c>
      <c r="C21" s="74" t="s">
        <v>3597</v>
      </c>
      <c r="D21" s="72"/>
      <c r="F21" s="169"/>
      <c r="G21" s="736"/>
      <c r="H21" s="704"/>
      <c r="I21" s="718"/>
      <c r="J21" s="44"/>
      <c r="K21" s="45"/>
      <c r="L21" s="46"/>
      <c r="M21" s="35"/>
      <c r="O21" s="57"/>
      <c r="P21" s="35"/>
      <c r="R21" s="57"/>
      <c r="S21" s="734" t="s">
        <v>404</v>
      </c>
      <c r="T21" s="49" t="s">
        <v>398</v>
      </c>
      <c r="U21" s="50">
        <f>_11・初任</f>
        <v>0.7</v>
      </c>
      <c r="V21" s="47">
        <f>ROUND((ROUND((_11_A重度研修１．０*(1+_11・A深夜)),0)*_11・初任),0)+ROUND((ROUND((_11_B重度研修１．０＿２．０*(1+_11・B早朝)),0)*_11・初任),0)</f>
        <v>514</v>
      </c>
      <c r="W21" s="48"/>
    </row>
    <row r="22" spans="1:23" ht="16.5" customHeight="1" x14ac:dyDescent="0.15">
      <c r="A22" s="41">
        <v>11</v>
      </c>
      <c r="B22" s="41" t="s">
        <v>3598</v>
      </c>
      <c r="C22" s="74" t="s">
        <v>3599</v>
      </c>
      <c r="D22" s="72"/>
      <c r="F22" s="169"/>
      <c r="G22" s="99"/>
      <c r="H22" s="170">
        <f>_11_B重度研修１．０＿２．０</f>
        <v>365</v>
      </c>
      <c r="I22" s="12" t="s">
        <v>392</v>
      </c>
      <c r="J22" s="44" t="s">
        <v>397</v>
      </c>
      <c r="K22" s="45" t="s">
        <v>398</v>
      </c>
      <c r="L22" s="46">
        <v>1</v>
      </c>
      <c r="M22" s="35"/>
      <c r="O22" s="57"/>
      <c r="P22" s="35"/>
      <c r="R22" s="57"/>
      <c r="S22" s="706"/>
      <c r="T22" s="37"/>
      <c r="U22" s="38"/>
      <c r="V22" s="47">
        <f>ROUND((ROUND((ROUND((_11_A重度研修１．０*_11・２人),0)*(1+_11・A深夜)),0)*_11・初任),0)+ROUND((ROUND((ROUND((_11_B重度研修１．０＿２．０*_11・２人),0)*(1+_11・B早朝)),0)*_11・初任),0)</f>
        <v>514</v>
      </c>
      <c r="W22" s="48"/>
    </row>
    <row r="23" spans="1:23" ht="16.5" customHeight="1" x14ac:dyDescent="0.15">
      <c r="A23" s="41">
        <v>11</v>
      </c>
      <c r="B23" s="41">
        <v>2249</v>
      </c>
      <c r="C23" s="74" t="s">
        <v>3600</v>
      </c>
      <c r="D23" s="707" t="s">
        <v>3601</v>
      </c>
      <c r="E23" s="708"/>
      <c r="F23" s="740"/>
      <c r="G23" s="735" t="s">
        <v>3602</v>
      </c>
      <c r="H23" s="708"/>
      <c r="I23" s="717"/>
      <c r="J23" s="44"/>
      <c r="K23" s="45"/>
      <c r="L23" s="46"/>
      <c r="M23" s="35"/>
      <c r="O23" s="57"/>
      <c r="P23" s="35"/>
      <c r="R23" s="57"/>
      <c r="S23" s="53"/>
      <c r="T23" s="49"/>
      <c r="U23" s="50"/>
      <c r="V23" s="47">
        <f>ROUND((_11_A重度研修１．５*(1+_11・A深夜)),0)+ROUND((_11_B重度研修１．５＿０．５*(1+_11・B早朝)),0)</f>
        <v>528</v>
      </c>
      <c r="W23" s="48"/>
    </row>
    <row r="24" spans="1:23" ht="16.5" customHeight="1" x14ac:dyDescent="0.15">
      <c r="A24" s="41">
        <v>11</v>
      </c>
      <c r="B24" s="41">
        <v>2250</v>
      </c>
      <c r="C24" s="74" t="s">
        <v>3603</v>
      </c>
      <c r="D24" s="709"/>
      <c r="E24" s="704"/>
      <c r="F24" s="739"/>
      <c r="G24" s="736"/>
      <c r="H24" s="704"/>
      <c r="I24" s="718"/>
      <c r="J24" s="44" t="s">
        <v>397</v>
      </c>
      <c r="K24" s="45" t="s">
        <v>398</v>
      </c>
      <c r="L24" s="46">
        <v>1</v>
      </c>
      <c r="M24" s="35"/>
      <c r="O24" s="57"/>
      <c r="P24" s="35"/>
      <c r="R24" s="57"/>
      <c r="S24" s="43"/>
      <c r="T24" s="37"/>
      <c r="U24" s="38"/>
      <c r="V24" s="47">
        <f>ROUND((ROUND((_11_A重度研修１．５*_11・２人),0)*(1+_11・A深夜)),0)+ROUND((ROUND((_11_B重度研修１．５＿０．５*_11・２人),0)*(1+_11・B早朝)),0)</f>
        <v>528</v>
      </c>
      <c r="W24" s="48"/>
    </row>
    <row r="25" spans="1:23" ht="16.5" customHeight="1" x14ac:dyDescent="0.15">
      <c r="A25" s="41">
        <v>11</v>
      </c>
      <c r="B25" s="41" t="s">
        <v>3604</v>
      </c>
      <c r="C25" s="74" t="s">
        <v>3605</v>
      </c>
      <c r="D25" s="709"/>
      <c r="E25" s="704"/>
      <c r="F25" s="739"/>
      <c r="G25" s="736"/>
      <c r="H25" s="704"/>
      <c r="I25" s="718"/>
      <c r="J25" s="44"/>
      <c r="K25" s="45"/>
      <c r="L25" s="46"/>
      <c r="M25" s="35"/>
      <c r="O25" s="57"/>
      <c r="P25" s="35"/>
      <c r="R25" s="57"/>
      <c r="S25" s="734" t="s">
        <v>404</v>
      </c>
      <c r="T25" s="49" t="s">
        <v>398</v>
      </c>
      <c r="U25" s="50">
        <f>_11・初任</f>
        <v>0.7</v>
      </c>
      <c r="V25" s="47">
        <f>ROUND((ROUND((_11_A重度研修１．５*(1+_11・A深夜)),0)*_11・初任),0)+ROUND((ROUND((_11_B重度研修１．５＿０．５*(1+_11・B早朝)),0)*_11・初任),0)</f>
        <v>370</v>
      </c>
      <c r="W25" s="48"/>
    </row>
    <row r="26" spans="1:23" ht="16.5" customHeight="1" x14ac:dyDescent="0.15">
      <c r="A26" s="41">
        <v>11</v>
      </c>
      <c r="B26" s="41" t="s">
        <v>3606</v>
      </c>
      <c r="C26" s="74" t="s">
        <v>3607</v>
      </c>
      <c r="D26" s="72"/>
      <c r="E26" s="170">
        <f>_11_A重度研修１．５</f>
        <v>275</v>
      </c>
      <c r="F26" s="171" t="s">
        <v>392</v>
      </c>
      <c r="G26" s="12"/>
      <c r="H26" s="170">
        <f>_11_B重度研修１．５＿０．５</f>
        <v>92</v>
      </c>
      <c r="I26" s="12" t="s">
        <v>392</v>
      </c>
      <c r="J26" s="44" t="s">
        <v>397</v>
      </c>
      <c r="K26" s="45" t="s">
        <v>398</v>
      </c>
      <c r="L26" s="46">
        <v>1</v>
      </c>
      <c r="M26" s="35"/>
      <c r="O26" s="57"/>
      <c r="P26" s="35"/>
      <c r="R26" s="57"/>
      <c r="S26" s="706"/>
      <c r="T26" s="37"/>
      <c r="U26" s="38"/>
      <c r="V26" s="47">
        <f>ROUND((ROUND((ROUND((_11_A重度研修１．５*_11・２人),0)*(1+_11・A深夜)),0)*_11・初任),0)+ROUND((ROUND((ROUND((_11_B重度研修１．５＿０．５*_11・２人),0)*(1+_11・B早朝)),0)*_11・初任),0)</f>
        <v>370</v>
      </c>
      <c r="W26" s="48"/>
    </row>
    <row r="27" spans="1:23" ht="16.5" customHeight="1" x14ac:dyDescent="0.15">
      <c r="A27" s="41">
        <v>11</v>
      </c>
      <c r="B27" s="41">
        <v>2251</v>
      </c>
      <c r="C27" s="74" t="s">
        <v>3608</v>
      </c>
      <c r="D27" s="72"/>
      <c r="F27" s="169"/>
      <c r="G27" s="735" t="s">
        <v>3581</v>
      </c>
      <c r="H27" s="708"/>
      <c r="I27" s="717"/>
      <c r="J27" s="44"/>
      <c r="K27" s="45"/>
      <c r="L27" s="46"/>
      <c r="M27" s="35"/>
      <c r="O27" s="57"/>
      <c r="P27" s="35"/>
      <c r="R27" s="57"/>
      <c r="S27" s="53"/>
      <c r="T27" s="49"/>
      <c r="U27" s="50"/>
      <c r="V27" s="47">
        <f>ROUND((_11_A重度研修１．５*(1+_11・A深夜)),0)+ROUND((_11_B重度研修１．５＿１．０*(1+_11・B早朝)),0)</f>
        <v>642</v>
      </c>
      <c r="W27" s="48"/>
    </row>
    <row r="28" spans="1:23" ht="16.5" customHeight="1" x14ac:dyDescent="0.15">
      <c r="A28" s="41">
        <v>11</v>
      </c>
      <c r="B28" s="41">
        <v>2252</v>
      </c>
      <c r="C28" s="74" t="s">
        <v>3609</v>
      </c>
      <c r="D28" s="72"/>
      <c r="F28" s="169"/>
      <c r="G28" s="736"/>
      <c r="H28" s="704"/>
      <c r="I28" s="718"/>
      <c r="J28" s="44" t="s">
        <v>397</v>
      </c>
      <c r="K28" s="45" t="s">
        <v>398</v>
      </c>
      <c r="L28" s="46">
        <v>1</v>
      </c>
      <c r="M28" s="35"/>
      <c r="O28" s="57"/>
      <c r="P28" s="35"/>
      <c r="R28" s="57"/>
      <c r="S28" s="43"/>
      <c r="T28" s="37"/>
      <c r="U28" s="38"/>
      <c r="V28" s="47">
        <f>ROUND((ROUND((_11_A重度研修１．５*_11・２人),0)*(1+_11・A深夜)),0)+ROUND((ROUND((_11_B重度研修１．５＿１．０*_11・２人),0)*(1+_11・B早朝)),0)</f>
        <v>642</v>
      </c>
      <c r="W28" s="48"/>
    </row>
    <row r="29" spans="1:23" ht="16.5" customHeight="1" x14ac:dyDescent="0.15">
      <c r="A29" s="41">
        <v>11</v>
      </c>
      <c r="B29" s="41" t="s">
        <v>3610</v>
      </c>
      <c r="C29" s="74" t="s">
        <v>3611</v>
      </c>
      <c r="D29" s="72"/>
      <c r="F29" s="169"/>
      <c r="G29" s="736"/>
      <c r="H29" s="704"/>
      <c r="I29" s="718"/>
      <c r="J29" s="44"/>
      <c r="K29" s="45"/>
      <c r="L29" s="46"/>
      <c r="M29" s="35"/>
      <c r="O29" s="57"/>
      <c r="P29" s="35"/>
      <c r="R29" s="57"/>
      <c r="S29" s="734" t="s">
        <v>404</v>
      </c>
      <c r="T29" s="49" t="s">
        <v>398</v>
      </c>
      <c r="U29" s="50">
        <f>_11・初任</f>
        <v>0.7</v>
      </c>
      <c r="V29" s="47">
        <f>ROUND((ROUND((_11_A重度研修１．５*(1+_11・A深夜)),0)*_11・初任),0)+ROUND((ROUND((_11_B重度研修１．５＿１．０*(1+_11・B早朝)),0)*_11・初任),0)</f>
        <v>449</v>
      </c>
      <c r="W29" s="48"/>
    </row>
    <row r="30" spans="1:23" ht="16.5" customHeight="1" x14ac:dyDescent="0.15">
      <c r="A30" s="41">
        <v>11</v>
      </c>
      <c r="B30" s="41" t="s">
        <v>3612</v>
      </c>
      <c r="C30" s="74" t="s">
        <v>3613</v>
      </c>
      <c r="D30" s="72"/>
      <c r="F30" s="169"/>
      <c r="G30" s="99"/>
      <c r="H30" s="170">
        <f>_11_B重度研修１．５＿１．０</f>
        <v>183</v>
      </c>
      <c r="I30" s="12" t="s">
        <v>392</v>
      </c>
      <c r="J30" s="44" t="s">
        <v>397</v>
      </c>
      <c r="K30" s="45" t="s">
        <v>398</v>
      </c>
      <c r="L30" s="46">
        <v>1</v>
      </c>
      <c r="M30" s="35"/>
      <c r="O30" s="57"/>
      <c r="P30" s="35"/>
      <c r="R30" s="57"/>
      <c r="S30" s="706"/>
      <c r="T30" s="37"/>
      <c r="U30" s="38"/>
      <c r="V30" s="47">
        <f>ROUND((ROUND((ROUND((_11_A重度研修１．５*_11・２人),0)*(1+_11・A深夜)),0)*_11・初任),0)+ROUND((ROUND((ROUND((_11_B重度研修１．５＿１．０*_11・２人),0)*(1+_11・B早朝)),0)*_11・初任),0)</f>
        <v>449</v>
      </c>
      <c r="W30" s="48"/>
    </row>
    <row r="31" spans="1:23" ht="16.5" customHeight="1" x14ac:dyDescent="0.15">
      <c r="A31" s="41">
        <v>11</v>
      </c>
      <c r="B31" s="41">
        <v>2253</v>
      </c>
      <c r="C31" s="74" t="s">
        <v>3614</v>
      </c>
      <c r="D31" s="72"/>
      <c r="F31" s="169"/>
      <c r="G31" s="735" t="s">
        <v>3588</v>
      </c>
      <c r="H31" s="708"/>
      <c r="I31" s="717"/>
      <c r="J31" s="44"/>
      <c r="K31" s="45"/>
      <c r="L31" s="46"/>
      <c r="M31" s="35"/>
      <c r="O31" s="57"/>
      <c r="P31" s="35"/>
      <c r="R31" s="57"/>
      <c r="S31" s="53"/>
      <c r="T31" s="49"/>
      <c r="U31" s="50"/>
      <c r="V31" s="47">
        <f>ROUND((_11_A重度研修１．５*(1+_11・A深夜)),0)+ROUND((_11_B重度研修１．５＿１．５*(1+_11・B早朝)),0)</f>
        <v>757</v>
      </c>
      <c r="W31" s="48"/>
    </row>
    <row r="32" spans="1:23" ht="16.5" customHeight="1" x14ac:dyDescent="0.15">
      <c r="A32" s="41">
        <v>11</v>
      </c>
      <c r="B32" s="41">
        <v>2254</v>
      </c>
      <c r="C32" s="74" t="s">
        <v>3615</v>
      </c>
      <c r="D32" s="72"/>
      <c r="F32" s="169"/>
      <c r="G32" s="736"/>
      <c r="H32" s="704"/>
      <c r="I32" s="718"/>
      <c r="J32" s="44" t="s">
        <v>397</v>
      </c>
      <c r="K32" s="45" t="s">
        <v>398</v>
      </c>
      <c r="L32" s="46">
        <v>1</v>
      </c>
      <c r="M32" s="35"/>
      <c r="O32" s="57"/>
      <c r="P32" s="35"/>
      <c r="R32" s="57"/>
      <c r="S32" s="43"/>
      <c r="T32" s="37"/>
      <c r="U32" s="38"/>
      <c r="V32" s="47">
        <f>ROUND((ROUND((_11_A重度研修１．５*_11・２人),0)*(1+_11・A深夜)),0)+ROUND((ROUND((_11_B重度研修１．５＿１．５*_11・２人),0)*(1+_11・B早朝)),0)</f>
        <v>757</v>
      </c>
      <c r="W32" s="48"/>
    </row>
    <row r="33" spans="1:23" ht="16.5" customHeight="1" x14ac:dyDescent="0.15">
      <c r="A33" s="41">
        <v>11</v>
      </c>
      <c r="B33" s="41" t="s">
        <v>3616</v>
      </c>
      <c r="C33" s="74" t="s">
        <v>3617</v>
      </c>
      <c r="D33" s="72"/>
      <c r="F33" s="169"/>
      <c r="G33" s="736"/>
      <c r="H33" s="704"/>
      <c r="I33" s="718"/>
      <c r="J33" s="44"/>
      <c r="K33" s="45"/>
      <c r="L33" s="46"/>
      <c r="M33" s="35"/>
      <c r="O33" s="57"/>
      <c r="P33" s="35"/>
      <c r="R33" s="57"/>
      <c r="S33" s="734" t="s">
        <v>404</v>
      </c>
      <c r="T33" s="49" t="s">
        <v>398</v>
      </c>
      <c r="U33" s="50">
        <f>_11・初任</f>
        <v>0.7</v>
      </c>
      <c r="V33" s="47">
        <f>ROUND((ROUND((_11_A重度研修１．５*(1+_11・A深夜)),0)*_11・初任),0)+ROUND((ROUND((_11_B重度研修１．５＿１．５*(1+_11・B早朝)),0)*_11・初任),0)</f>
        <v>530</v>
      </c>
      <c r="W33" s="48"/>
    </row>
    <row r="34" spans="1:23" ht="16.5" customHeight="1" x14ac:dyDescent="0.15">
      <c r="A34" s="41">
        <v>11</v>
      </c>
      <c r="B34" s="41" t="s">
        <v>3618</v>
      </c>
      <c r="C34" s="74" t="s">
        <v>3619</v>
      </c>
      <c r="D34" s="72"/>
      <c r="F34" s="169"/>
      <c r="G34" s="99"/>
      <c r="H34" s="170">
        <f>_11_B重度研修１．５＿１．５</f>
        <v>275</v>
      </c>
      <c r="I34" s="12" t="s">
        <v>392</v>
      </c>
      <c r="J34" s="44" t="s">
        <v>397</v>
      </c>
      <c r="K34" s="45" t="s">
        <v>398</v>
      </c>
      <c r="L34" s="46">
        <v>1</v>
      </c>
      <c r="M34" s="35"/>
      <c r="O34" s="57"/>
      <c r="P34" s="35"/>
      <c r="R34" s="57"/>
      <c r="S34" s="706"/>
      <c r="T34" s="37"/>
      <c r="U34" s="38"/>
      <c r="V34" s="47">
        <f>ROUND((ROUND((ROUND((_11_A重度研修１．５*_11・２人),0)*(1+_11・A深夜)),0)*_11・初任),0)+ROUND((ROUND((ROUND((_11_B重度研修１．５＿１．５*_11・２人),0)*(1+_11・B早朝)),0)*_11・初任),0)</f>
        <v>530</v>
      </c>
      <c r="W34" s="48"/>
    </row>
    <row r="35" spans="1:23" ht="16.5" customHeight="1" x14ac:dyDescent="0.15">
      <c r="A35" s="41">
        <v>11</v>
      </c>
      <c r="B35" s="41">
        <v>2255</v>
      </c>
      <c r="C35" s="74" t="s">
        <v>3620</v>
      </c>
      <c r="D35" s="707" t="s">
        <v>3621</v>
      </c>
      <c r="E35" s="708"/>
      <c r="F35" s="740"/>
      <c r="G35" s="735" t="s">
        <v>3602</v>
      </c>
      <c r="H35" s="708"/>
      <c r="I35" s="717"/>
      <c r="J35" s="44"/>
      <c r="K35" s="45"/>
      <c r="L35" s="46"/>
      <c r="M35" s="35"/>
      <c r="O35" s="57"/>
      <c r="P35" s="35"/>
      <c r="R35" s="57"/>
      <c r="S35" s="53"/>
      <c r="T35" s="49"/>
      <c r="U35" s="50"/>
      <c r="V35" s="47">
        <f>ROUND((_11_A重度研修２．０*(1+_11・A深夜)),0)+ROUND((_11_B重度研修２．０＿０．５*(1+_11・B早朝)),0)</f>
        <v>665</v>
      </c>
      <c r="W35" s="48"/>
    </row>
    <row r="36" spans="1:23" ht="16.5" customHeight="1" x14ac:dyDescent="0.15">
      <c r="A36" s="41">
        <v>11</v>
      </c>
      <c r="B36" s="41">
        <v>2256</v>
      </c>
      <c r="C36" s="74" t="s">
        <v>3622</v>
      </c>
      <c r="D36" s="709"/>
      <c r="E36" s="704"/>
      <c r="F36" s="739"/>
      <c r="G36" s="736"/>
      <c r="H36" s="704"/>
      <c r="I36" s="718"/>
      <c r="J36" s="44" t="s">
        <v>397</v>
      </c>
      <c r="K36" s="45" t="s">
        <v>398</v>
      </c>
      <c r="L36" s="46">
        <v>1</v>
      </c>
      <c r="M36" s="35"/>
      <c r="O36" s="57"/>
      <c r="P36" s="35"/>
      <c r="R36" s="57"/>
      <c r="S36" s="43"/>
      <c r="T36" s="37"/>
      <c r="U36" s="38"/>
      <c r="V36" s="47">
        <f>ROUND((ROUND((_11_A重度研修２．０*_11・２人),0)*(1+_11・A深夜)),0)+ROUND((ROUND((_11_B重度研修２．０＿０．５*_11・２人),0)*(1+_11・B早朝)),0)</f>
        <v>665</v>
      </c>
      <c r="W36" s="48"/>
    </row>
    <row r="37" spans="1:23" ht="16.5" customHeight="1" x14ac:dyDescent="0.15">
      <c r="A37" s="41">
        <v>11</v>
      </c>
      <c r="B37" s="41" t="s">
        <v>3623</v>
      </c>
      <c r="C37" s="74" t="s">
        <v>3624</v>
      </c>
      <c r="D37" s="709"/>
      <c r="E37" s="704"/>
      <c r="F37" s="739"/>
      <c r="G37" s="736"/>
      <c r="H37" s="704"/>
      <c r="I37" s="718"/>
      <c r="J37" s="44"/>
      <c r="K37" s="45"/>
      <c r="L37" s="46"/>
      <c r="M37" s="35"/>
      <c r="O37" s="57"/>
      <c r="P37" s="35"/>
      <c r="R37" s="57"/>
      <c r="S37" s="734" t="s">
        <v>404</v>
      </c>
      <c r="T37" s="49" t="s">
        <v>398</v>
      </c>
      <c r="U37" s="50">
        <f>_11・初任</f>
        <v>0.7</v>
      </c>
      <c r="V37" s="47">
        <f>ROUND((ROUND((_11_A重度研修２．０*(1+_11・A深夜)),0)*_11・初任),0)+ROUND((ROUND((_11_B重度研修２．０＿０．５*(1+_11・B早朝)),0)*_11・初任),0)</f>
        <v>466</v>
      </c>
      <c r="W37" s="48"/>
    </row>
    <row r="38" spans="1:23" ht="16.5" customHeight="1" x14ac:dyDescent="0.15">
      <c r="A38" s="41">
        <v>11</v>
      </c>
      <c r="B38" s="41" t="s">
        <v>3625</v>
      </c>
      <c r="C38" s="74" t="s">
        <v>3626</v>
      </c>
      <c r="D38" s="72"/>
      <c r="E38" s="170">
        <f>_11_A重度研修２．０</f>
        <v>367</v>
      </c>
      <c r="F38" s="171" t="s">
        <v>392</v>
      </c>
      <c r="G38" s="12"/>
      <c r="H38" s="170">
        <f>_11_B重度研修２．０＿０．５</f>
        <v>91</v>
      </c>
      <c r="I38" s="12" t="s">
        <v>392</v>
      </c>
      <c r="J38" s="44" t="s">
        <v>397</v>
      </c>
      <c r="K38" s="45" t="s">
        <v>398</v>
      </c>
      <c r="L38" s="46">
        <v>1</v>
      </c>
      <c r="M38" s="35"/>
      <c r="O38" s="57"/>
      <c r="P38" s="35"/>
      <c r="R38" s="57"/>
      <c r="S38" s="706"/>
      <c r="T38" s="37"/>
      <c r="U38" s="38"/>
      <c r="V38" s="47">
        <f>ROUND((ROUND((ROUND((_11_A重度研修２．０*_11・２人),0)*(1+_11・A深夜)),0)*_11・初任),0)+ROUND((ROUND((ROUND((_11_B重度研修２．０＿０．５*_11・２人),0)*(1+_11・B早朝)),0)*_11・初任),0)</f>
        <v>466</v>
      </c>
      <c r="W38" s="48"/>
    </row>
    <row r="39" spans="1:23" ht="16.5" customHeight="1" x14ac:dyDescent="0.15">
      <c r="A39" s="41">
        <v>11</v>
      </c>
      <c r="B39" s="41">
        <v>2097</v>
      </c>
      <c r="C39" s="74" t="s">
        <v>3627</v>
      </c>
      <c r="D39" s="132"/>
      <c r="E39" s="172"/>
      <c r="F39" s="173"/>
      <c r="G39" s="735" t="s">
        <v>3581</v>
      </c>
      <c r="H39" s="708"/>
      <c r="I39" s="717"/>
      <c r="J39" s="44"/>
      <c r="K39" s="45"/>
      <c r="L39" s="46"/>
      <c r="M39" s="35"/>
      <c r="O39" s="57"/>
      <c r="P39" s="35"/>
      <c r="R39" s="57"/>
      <c r="S39" s="53"/>
      <c r="T39" s="49"/>
      <c r="U39" s="50"/>
      <c r="V39" s="47">
        <f>ROUND((_11_A重度研修２．０*(1+_11・A深夜)),0)+ROUND((_11_B重度研修２．０＿１．０*(1+_11・B早朝)),0)</f>
        <v>780</v>
      </c>
      <c r="W39" s="48"/>
    </row>
    <row r="40" spans="1:23" ht="16.5" customHeight="1" x14ac:dyDescent="0.15">
      <c r="A40" s="41">
        <v>11</v>
      </c>
      <c r="B40" s="41">
        <v>2098</v>
      </c>
      <c r="C40" s="74" t="s">
        <v>3628</v>
      </c>
      <c r="D40" s="132"/>
      <c r="E40" s="172"/>
      <c r="F40" s="173"/>
      <c r="G40" s="736"/>
      <c r="H40" s="704"/>
      <c r="I40" s="718"/>
      <c r="J40" s="44" t="s">
        <v>397</v>
      </c>
      <c r="K40" s="45" t="s">
        <v>398</v>
      </c>
      <c r="L40" s="46">
        <v>1</v>
      </c>
      <c r="M40" s="35"/>
      <c r="O40" s="57"/>
      <c r="P40" s="35"/>
      <c r="R40" s="57"/>
      <c r="S40" s="43"/>
      <c r="T40" s="37"/>
      <c r="U40" s="38"/>
      <c r="V40" s="47">
        <f>ROUND((ROUND((_11_A重度研修２．０*_11・２人),0)*(1+_11・A深夜)),0)+ROUND((ROUND((_11_B重度研修２．０＿１．０*_11・２人),0)*(1+_11・B早朝)),0)</f>
        <v>780</v>
      </c>
      <c r="W40" s="48"/>
    </row>
    <row r="41" spans="1:23" ht="16.5" customHeight="1" x14ac:dyDescent="0.15">
      <c r="A41" s="41">
        <v>11</v>
      </c>
      <c r="B41" s="41" t="s">
        <v>3629</v>
      </c>
      <c r="C41" s="74" t="s">
        <v>3630</v>
      </c>
      <c r="D41" s="132"/>
      <c r="E41" s="172"/>
      <c r="F41" s="173"/>
      <c r="G41" s="736"/>
      <c r="H41" s="704"/>
      <c r="I41" s="718"/>
      <c r="J41" s="44"/>
      <c r="K41" s="45"/>
      <c r="L41" s="46"/>
      <c r="M41" s="35"/>
      <c r="O41" s="57"/>
      <c r="P41" s="35"/>
      <c r="R41" s="57"/>
      <c r="S41" s="734" t="s">
        <v>404</v>
      </c>
      <c r="T41" s="49" t="s">
        <v>398</v>
      </c>
      <c r="U41" s="50">
        <f>_11・初任</f>
        <v>0.7</v>
      </c>
      <c r="V41" s="47">
        <f>ROUND((ROUND((_11_A重度研修２．０*(1+_11・A深夜)),0)*_11・初任),0)+ROUND((ROUND((_11_B重度研修２．０＿１．０*(1+_11・B早朝)),0)*_11・初任),0)</f>
        <v>546</v>
      </c>
      <c r="W41" s="48"/>
    </row>
    <row r="42" spans="1:23" ht="16.5" customHeight="1" x14ac:dyDescent="0.15">
      <c r="A42" s="41">
        <v>11</v>
      </c>
      <c r="B42" s="41" t="s">
        <v>3631</v>
      </c>
      <c r="C42" s="74" t="s">
        <v>3632</v>
      </c>
      <c r="D42" s="122"/>
      <c r="E42" s="174"/>
      <c r="F42" s="175"/>
      <c r="G42" s="99"/>
      <c r="H42" s="170">
        <f>_11_B重度研修２．０＿１．０</f>
        <v>183</v>
      </c>
      <c r="I42" s="12" t="s">
        <v>392</v>
      </c>
      <c r="J42" s="44" t="s">
        <v>397</v>
      </c>
      <c r="K42" s="45" t="s">
        <v>398</v>
      </c>
      <c r="L42" s="46">
        <v>1</v>
      </c>
      <c r="M42" s="35"/>
      <c r="O42" s="57"/>
      <c r="P42" s="35"/>
      <c r="R42" s="57"/>
      <c r="S42" s="706"/>
      <c r="T42" s="37"/>
      <c r="U42" s="38"/>
      <c r="V42" s="47">
        <f>ROUND((ROUND((ROUND((_11_A重度研修２．０*_11・２人),0)*(1+_11・A深夜)),0)*_11・初任),0)+ROUND((ROUND((ROUND((_11_B重度研修２．０＿１．０*_11・２人),0)*(1+_11・B早朝)),0)*_11・初任),0)</f>
        <v>546</v>
      </c>
      <c r="W42" s="48"/>
    </row>
    <row r="43" spans="1:23" ht="16.5" customHeight="1" x14ac:dyDescent="0.15">
      <c r="A43" s="41">
        <v>11</v>
      </c>
      <c r="B43" s="41">
        <v>2257</v>
      </c>
      <c r="C43" s="74" t="s">
        <v>3633</v>
      </c>
      <c r="D43" s="707" t="s">
        <v>3634</v>
      </c>
      <c r="E43" s="708"/>
      <c r="F43" s="740"/>
      <c r="G43" s="735" t="s">
        <v>3602</v>
      </c>
      <c r="H43" s="708"/>
      <c r="I43" s="717"/>
      <c r="J43" s="44"/>
      <c r="K43" s="45"/>
      <c r="L43" s="46"/>
      <c r="M43" s="35"/>
      <c r="O43" s="57"/>
      <c r="P43" s="35"/>
      <c r="R43" s="57"/>
      <c r="S43" s="53"/>
      <c r="T43" s="49"/>
      <c r="U43" s="50"/>
      <c r="V43" s="47">
        <f>ROUND((_11_A重度研修２．５*(1+_11・A深夜)),0)+ROUND((_11_B重度研修２．５＿０．５*(1+_11・B早朝)),0)</f>
        <v>802</v>
      </c>
      <c r="W43" s="48"/>
    </row>
    <row r="44" spans="1:23" ht="16.5" customHeight="1" x14ac:dyDescent="0.15">
      <c r="A44" s="41">
        <v>11</v>
      </c>
      <c r="B44" s="41">
        <v>2258</v>
      </c>
      <c r="C44" s="74" t="s">
        <v>3635</v>
      </c>
      <c r="D44" s="709"/>
      <c r="E44" s="704"/>
      <c r="F44" s="739"/>
      <c r="G44" s="736"/>
      <c r="H44" s="704"/>
      <c r="I44" s="718"/>
      <c r="J44" s="44" t="s">
        <v>397</v>
      </c>
      <c r="K44" s="45" t="s">
        <v>398</v>
      </c>
      <c r="L44" s="46">
        <v>1</v>
      </c>
      <c r="M44" s="35"/>
      <c r="O44" s="57"/>
      <c r="P44" s="35"/>
      <c r="R44" s="57"/>
      <c r="S44" s="43"/>
      <c r="T44" s="37"/>
      <c r="U44" s="38"/>
      <c r="V44" s="47">
        <f>ROUND((ROUND((_11_A重度研修２．５*_11・２人),0)*(1+_11・A深夜)),0)+ROUND((ROUND((_11_B重度研修２．５＿０．５*_11・２人),0)*(1+_11・B早朝)),0)</f>
        <v>802</v>
      </c>
      <c r="W44" s="48"/>
    </row>
    <row r="45" spans="1:23" ht="16.5" customHeight="1" x14ac:dyDescent="0.15">
      <c r="A45" s="41">
        <v>11</v>
      </c>
      <c r="B45" s="41" t="s">
        <v>3636</v>
      </c>
      <c r="C45" s="74" t="s">
        <v>3637</v>
      </c>
      <c r="D45" s="709"/>
      <c r="E45" s="704"/>
      <c r="F45" s="739"/>
      <c r="G45" s="736"/>
      <c r="H45" s="704"/>
      <c r="I45" s="718"/>
      <c r="J45" s="44"/>
      <c r="K45" s="45"/>
      <c r="L45" s="46"/>
      <c r="M45" s="35"/>
      <c r="O45" s="57"/>
      <c r="P45" s="35"/>
      <c r="R45" s="57"/>
      <c r="S45" s="734" t="s">
        <v>404</v>
      </c>
      <c r="T45" s="49" t="s">
        <v>398</v>
      </c>
      <c r="U45" s="50">
        <f>_11・初任</f>
        <v>0.7</v>
      </c>
      <c r="V45" s="47">
        <f>ROUND((ROUND((_11_A重度研修２．５*(1+_11・A深夜)),0)*_11・初任),0)+ROUND((ROUND((_11_B重度研修２．５＿０．５*(1+_11・B早朝)),0)*_11・初任),0)</f>
        <v>562</v>
      </c>
      <c r="W45" s="48"/>
    </row>
    <row r="46" spans="1:23" ht="16.5" customHeight="1" x14ac:dyDescent="0.15">
      <c r="A46" s="41">
        <v>11</v>
      </c>
      <c r="B46" s="41" t="s">
        <v>3638</v>
      </c>
      <c r="C46" s="74" t="s">
        <v>3639</v>
      </c>
      <c r="D46" s="122"/>
      <c r="E46" s="176">
        <f>_11_A重度研修２．５</f>
        <v>458</v>
      </c>
      <c r="F46" s="175" t="s">
        <v>392</v>
      </c>
      <c r="G46" s="37"/>
      <c r="H46" s="176">
        <f>_11_B重度研修２．５＿０．５</f>
        <v>92</v>
      </c>
      <c r="I46" s="37" t="s">
        <v>392</v>
      </c>
      <c r="J46" s="44" t="s">
        <v>397</v>
      </c>
      <c r="K46" s="45" t="s">
        <v>398</v>
      </c>
      <c r="L46" s="46">
        <v>1</v>
      </c>
      <c r="M46" s="43"/>
      <c r="N46" s="38"/>
      <c r="O46" s="79"/>
      <c r="P46" s="43"/>
      <c r="Q46" s="38"/>
      <c r="R46" s="79"/>
      <c r="S46" s="706"/>
      <c r="T46" s="37"/>
      <c r="U46" s="38"/>
      <c r="V46" s="47">
        <f>ROUND((ROUND((ROUND((_11_A重度研修２．５*_11・２人),0)*(1+_11・A深夜)),0)*_11・初任),0)+ROUND((ROUND((ROUND((_11_B重度研修２．５＿０．５*_11・２人),0)*(1+_11・B早朝)),0)*_11・初任),0)</f>
        <v>562</v>
      </c>
      <c r="W46" s="63"/>
    </row>
    <row r="47" spans="1:23" ht="16.5" customHeight="1" x14ac:dyDescent="0.15">
      <c r="G47" s="99"/>
    </row>
  </sheetData>
  <mergeCells count="26">
    <mergeCell ref="G39:I41"/>
    <mergeCell ref="S41:S42"/>
    <mergeCell ref="D43:F45"/>
    <mergeCell ref="G43:I45"/>
    <mergeCell ref="S45:S46"/>
    <mergeCell ref="G27:I29"/>
    <mergeCell ref="S29:S30"/>
    <mergeCell ref="G31:I33"/>
    <mergeCell ref="S33:S34"/>
    <mergeCell ref="D35:F37"/>
    <mergeCell ref="G35:I37"/>
    <mergeCell ref="S37:S38"/>
    <mergeCell ref="G15:I17"/>
    <mergeCell ref="S17:S18"/>
    <mergeCell ref="G19:I21"/>
    <mergeCell ref="S21:S22"/>
    <mergeCell ref="D23:F25"/>
    <mergeCell ref="G23:I25"/>
    <mergeCell ref="S25:S26"/>
    <mergeCell ref="G11:I13"/>
    <mergeCell ref="S13:S14"/>
    <mergeCell ref="D6:F6"/>
    <mergeCell ref="G6:I6"/>
    <mergeCell ref="D7:F9"/>
    <mergeCell ref="G7:I9"/>
    <mergeCell ref="S9:S10"/>
  </mergeCells>
  <phoneticPr fontId="1"/>
  <printOptions horizontalCentered="1"/>
  <pageMargins left="0.70866141732283472" right="0.70866141732283472" top="0.74803149606299213" bottom="0.74803149606299213" header="0.31496062992125984" footer="0.31496062992125984"/>
  <pageSetup paperSize="9" scale="48" fitToHeight="0" orientation="portrait" r:id="rId1"/>
  <headerFooter>
    <oddHeader>&amp;R&amp;"ＭＳ Ｐゴシック"&amp;9居宅介護</oddHeader>
    <oddFooter>&amp;C&amp;"ＭＳ Ｐゴシック"&amp;14&amp;P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T47"/>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1.875" style="10" bestFit="1" customWidth="1"/>
    <col min="4" max="4" width="2.5" style="10" customWidth="1"/>
    <col min="5" max="5" width="4.875" style="10" customWidth="1"/>
    <col min="6" max="6" width="5.5" style="117" customWidth="1"/>
    <col min="7" max="7" width="2.5" style="117" customWidth="1"/>
    <col min="8" max="8" width="4.875" style="10" customWidth="1"/>
    <col min="9" max="9" width="5.5" style="117" bestFit="1" customWidth="1"/>
    <col min="10" max="10" width="24.875" style="14" bestFit="1" customWidth="1"/>
    <col min="11" max="11" width="3.5" style="12" bestFit="1" customWidth="1"/>
    <col min="12" max="12" width="5.5" style="13" bestFit="1" customWidth="1"/>
    <col min="13" max="13" width="3.5" style="12" bestFit="1" customWidth="1"/>
    <col min="14" max="14" width="4.5" style="13" bestFit="1" customWidth="1"/>
    <col min="15" max="15" width="5.5" style="12" bestFit="1" customWidth="1"/>
    <col min="16" max="16" width="17.875" style="12" customWidth="1"/>
    <col min="17" max="17" width="3.5" style="12" bestFit="1" customWidth="1"/>
    <col min="18" max="18" width="4.5" style="13" bestFit="1" customWidth="1"/>
    <col min="19" max="19" width="7.125" style="15" customWidth="1"/>
    <col min="20" max="20" width="8.5" style="16" customWidth="1"/>
    <col min="21" max="16384" width="8.875" style="12"/>
  </cols>
  <sheetData>
    <row r="1" spans="1:20" ht="17.100000000000001" customHeight="1" x14ac:dyDescent="0.15">
      <c r="E1" s="11"/>
      <c r="H1" s="11"/>
    </row>
    <row r="2" spans="1:20" ht="17.100000000000001" customHeight="1" x14ac:dyDescent="0.15"/>
    <row r="3" spans="1:20" ht="17.100000000000001" customHeight="1" x14ac:dyDescent="0.15">
      <c r="G3" s="99"/>
    </row>
    <row r="4" spans="1:20" ht="17.100000000000001" customHeight="1" x14ac:dyDescent="0.15">
      <c r="B4" s="17" t="s">
        <v>3640</v>
      </c>
      <c r="E4" s="71"/>
      <c r="G4" s="99"/>
    </row>
    <row r="5" spans="1:20" ht="16.5" customHeight="1" x14ac:dyDescent="0.15">
      <c r="A5" s="19" t="s">
        <v>384</v>
      </c>
      <c r="B5" s="20"/>
      <c r="C5" s="21" t="s">
        <v>385</v>
      </c>
      <c r="D5" s="166"/>
      <c r="E5" s="23" t="s">
        <v>386</v>
      </c>
      <c r="F5" s="118"/>
      <c r="G5" s="118"/>
      <c r="H5" s="23"/>
      <c r="I5" s="118"/>
      <c r="J5" s="23"/>
      <c r="K5" s="23"/>
      <c r="L5" s="24"/>
      <c r="M5" s="23"/>
      <c r="N5" s="24"/>
      <c r="O5" s="23"/>
      <c r="P5" s="23"/>
      <c r="Q5" s="23"/>
      <c r="R5" s="24"/>
      <c r="S5" s="25" t="s">
        <v>387</v>
      </c>
      <c r="T5" s="21" t="s">
        <v>388</v>
      </c>
    </row>
    <row r="6" spans="1:20" ht="16.5" customHeight="1" x14ac:dyDescent="0.15">
      <c r="A6" s="26" t="s">
        <v>389</v>
      </c>
      <c r="B6" s="26" t="s">
        <v>390</v>
      </c>
      <c r="C6" s="27"/>
      <c r="D6" s="726" t="s">
        <v>1032</v>
      </c>
      <c r="E6" s="731"/>
      <c r="F6" s="727"/>
      <c r="G6" s="177"/>
      <c r="H6" s="29"/>
      <c r="I6" s="120"/>
      <c r="J6" s="29"/>
      <c r="K6" s="29"/>
      <c r="L6" s="30"/>
      <c r="M6" s="29"/>
      <c r="N6" s="30"/>
      <c r="O6" s="29"/>
      <c r="P6" s="29"/>
      <c r="Q6" s="29"/>
      <c r="R6" s="30"/>
      <c r="S6" s="31" t="s">
        <v>391</v>
      </c>
      <c r="T6" s="32" t="s">
        <v>392</v>
      </c>
    </row>
    <row r="7" spans="1:20" ht="16.5" customHeight="1" x14ac:dyDescent="0.15">
      <c r="A7" s="33">
        <v>11</v>
      </c>
      <c r="B7" s="33">
        <v>2259</v>
      </c>
      <c r="C7" s="34" t="s">
        <v>3641</v>
      </c>
      <c r="D7" s="709" t="s">
        <v>3642</v>
      </c>
      <c r="E7" s="704"/>
      <c r="F7" s="739"/>
      <c r="G7" s="736" t="s">
        <v>3643</v>
      </c>
      <c r="H7" s="704"/>
      <c r="I7" s="718"/>
      <c r="J7" s="36"/>
      <c r="K7" s="37"/>
      <c r="L7" s="38"/>
      <c r="M7" s="72" t="s">
        <v>1227</v>
      </c>
      <c r="O7" s="57"/>
      <c r="P7" s="35"/>
      <c r="S7" s="39">
        <f>ROUND((_11_A重度研修１．０*(1+_11・A早朝)),0)+_11_B重度研修１．０＿０．５</f>
        <v>321</v>
      </c>
      <c r="T7" s="40" t="s">
        <v>395</v>
      </c>
    </row>
    <row r="8" spans="1:20" ht="16.5" customHeight="1" x14ac:dyDescent="0.15">
      <c r="A8" s="41">
        <v>11</v>
      </c>
      <c r="B8" s="41">
        <v>2260</v>
      </c>
      <c r="C8" s="74" t="s">
        <v>3644</v>
      </c>
      <c r="D8" s="709"/>
      <c r="E8" s="704"/>
      <c r="F8" s="739"/>
      <c r="G8" s="736"/>
      <c r="H8" s="704"/>
      <c r="I8" s="718"/>
      <c r="J8" s="44" t="s">
        <v>397</v>
      </c>
      <c r="K8" s="45" t="s">
        <v>398</v>
      </c>
      <c r="L8" s="46">
        <v>1</v>
      </c>
      <c r="M8" s="35" t="s">
        <v>398</v>
      </c>
      <c r="N8" s="13">
        <v>0.25</v>
      </c>
      <c r="O8" s="57" t="s">
        <v>3575</v>
      </c>
      <c r="P8" s="43"/>
      <c r="Q8" s="37"/>
      <c r="R8" s="38"/>
      <c r="S8" s="47">
        <f>ROUND((ROUND((_11_A重度研修１．０*_11・２人),0)*(1+_11・A早朝)),0)+ROUND((_11_B重度研修１．０＿０．５*_11・２人),0)</f>
        <v>321</v>
      </c>
      <c r="T8" s="48"/>
    </row>
    <row r="9" spans="1:20" ht="16.5" customHeight="1" x14ac:dyDescent="0.15">
      <c r="A9" s="41">
        <v>11</v>
      </c>
      <c r="B9" s="41" t="s">
        <v>3645</v>
      </c>
      <c r="C9" s="74" t="s">
        <v>3646</v>
      </c>
      <c r="D9" s="709"/>
      <c r="E9" s="704"/>
      <c r="F9" s="739"/>
      <c r="G9" s="736"/>
      <c r="H9" s="704"/>
      <c r="I9" s="718"/>
      <c r="J9" s="44"/>
      <c r="K9" s="45"/>
      <c r="L9" s="46"/>
      <c r="M9" s="35"/>
      <c r="O9" s="57"/>
      <c r="P9" s="734" t="s">
        <v>404</v>
      </c>
      <c r="Q9" s="49" t="s">
        <v>398</v>
      </c>
      <c r="R9" s="50">
        <f>_11・初任</f>
        <v>0.7</v>
      </c>
      <c r="S9" s="47">
        <f>ROUND((ROUND((_11_A重度研修１．０*(1+_11・A早朝)),0)*_11・初任),0)+ROUND((_11_B重度研修１．０＿０．５*_11・初任),0)</f>
        <v>225</v>
      </c>
      <c r="T9" s="48"/>
    </row>
    <row r="10" spans="1:20" ht="16.5" customHeight="1" x14ac:dyDescent="0.15">
      <c r="A10" s="41">
        <v>11</v>
      </c>
      <c r="B10" s="41" t="s">
        <v>3647</v>
      </c>
      <c r="C10" s="74" t="s">
        <v>3648</v>
      </c>
      <c r="D10" s="72"/>
      <c r="E10" s="170">
        <f>_11_A重度研修１．０</f>
        <v>185</v>
      </c>
      <c r="F10" s="171" t="s">
        <v>392</v>
      </c>
      <c r="G10" s="12"/>
      <c r="H10" s="170">
        <f>_11_B重度研修１．０＿０．５</f>
        <v>90</v>
      </c>
      <c r="I10" s="12" t="s">
        <v>392</v>
      </c>
      <c r="J10" s="44" t="s">
        <v>397</v>
      </c>
      <c r="K10" s="45" t="s">
        <v>398</v>
      </c>
      <c r="L10" s="46">
        <v>1</v>
      </c>
      <c r="M10" s="35"/>
      <c r="O10" s="57"/>
      <c r="P10" s="706"/>
      <c r="Q10" s="37"/>
      <c r="R10" s="38"/>
      <c r="S10" s="47">
        <f>ROUND((ROUND((ROUND((_11_A重度研修１．０*_11・２人),0)*(1+_11・A早朝)),0)*_11・初任),0)+ROUND((ROUND((_11_B重度研修１．０＿０．５*_11・２人),0)*_11・初任),0)</f>
        <v>225</v>
      </c>
      <c r="T10" s="48"/>
    </row>
    <row r="11" spans="1:20" ht="16.5" customHeight="1" x14ac:dyDescent="0.15">
      <c r="A11" s="41">
        <v>11</v>
      </c>
      <c r="B11" s="41">
        <v>2099</v>
      </c>
      <c r="C11" s="74" t="s">
        <v>3649</v>
      </c>
      <c r="D11" s="72"/>
      <c r="F11" s="169"/>
      <c r="G11" s="735" t="s">
        <v>3650</v>
      </c>
      <c r="H11" s="708"/>
      <c r="I11" s="717"/>
      <c r="J11" s="44"/>
      <c r="K11" s="45"/>
      <c r="L11" s="46"/>
      <c r="M11" s="35"/>
      <c r="O11" s="57"/>
      <c r="P11" s="53"/>
      <c r="Q11" s="49"/>
      <c r="R11" s="50"/>
      <c r="S11" s="47">
        <f>ROUND((_11_A重度研修１．０*(1+_11・A早朝)),0)+_11_B重度研修１．０＿１．０</f>
        <v>413</v>
      </c>
      <c r="T11" s="48"/>
    </row>
    <row r="12" spans="1:20" ht="16.5" customHeight="1" x14ac:dyDescent="0.15">
      <c r="A12" s="41">
        <v>11</v>
      </c>
      <c r="B12" s="41">
        <v>2100</v>
      </c>
      <c r="C12" s="74" t="s">
        <v>3651</v>
      </c>
      <c r="D12" s="72"/>
      <c r="F12" s="169"/>
      <c r="G12" s="736"/>
      <c r="H12" s="704"/>
      <c r="I12" s="718"/>
      <c r="J12" s="44" t="s">
        <v>397</v>
      </c>
      <c r="K12" s="45" t="s">
        <v>398</v>
      </c>
      <c r="L12" s="46">
        <v>1</v>
      </c>
      <c r="M12" s="35"/>
      <c r="O12" s="57"/>
      <c r="P12" s="43"/>
      <c r="Q12" s="37"/>
      <c r="R12" s="38"/>
      <c r="S12" s="47">
        <f>ROUND((ROUND((_11_A重度研修１．０*_11・２人),0)*(1+_11・A早朝)),0)+ROUND((_11_B重度研修１．０＿１．０*_11・２人),0)</f>
        <v>413</v>
      </c>
      <c r="T12" s="48"/>
    </row>
    <row r="13" spans="1:20" ht="16.5" customHeight="1" x14ac:dyDescent="0.15">
      <c r="A13" s="41">
        <v>11</v>
      </c>
      <c r="B13" s="41" t="s">
        <v>3652</v>
      </c>
      <c r="C13" s="74" t="s">
        <v>3653</v>
      </c>
      <c r="D13" s="72"/>
      <c r="F13" s="169"/>
      <c r="G13" s="736"/>
      <c r="H13" s="704"/>
      <c r="I13" s="718"/>
      <c r="J13" s="44"/>
      <c r="K13" s="45"/>
      <c r="L13" s="46"/>
      <c r="M13" s="35"/>
      <c r="O13" s="57"/>
      <c r="P13" s="734" t="s">
        <v>404</v>
      </c>
      <c r="Q13" s="49" t="s">
        <v>398</v>
      </c>
      <c r="R13" s="50">
        <f>_11・初任</f>
        <v>0.7</v>
      </c>
      <c r="S13" s="47">
        <f>ROUND((ROUND((_11_A重度研修１．０*(1+_11・A早朝)),0)*_11・初任),0)+ROUND((_11_B重度研修１．０＿１．０*_11・初任),0)</f>
        <v>289</v>
      </c>
      <c r="T13" s="48"/>
    </row>
    <row r="14" spans="1:20" ht="16.5" customHeight="1" x14ac:dyDescent="0.15">
      <c r="A14" s="41">
        <v>11</v>
      </c>
      <c r="B14" s="41" t="s">
        <v>3654</v>
      </c>
      <c r="C14" s="74" t="s">
        <v>3655</v>
      </c>
      <c r="D14" s="72"/>
      <c r="F14" s="169"/>
      <c r="G14" s="99"/>
      <c r="H14" s="170">
        <f>_11_B重度研修１．０＿１．０</f>
        <v>182</v>
      </c>
      <c r="I14" s="12" t="s">
        <v>392</v>
      </c>
      <c r="J14" s="44" t="s">
        <v>397</v>
      </c>
      <c r="K14" s="45" t="s">
        <v>398</v>
      </c>
      <c r="L14" s="46">
        <v>1</v>
      </c>
      <c r="M14" s="35"/>
      <c r="O14" s="57"/>
      <c r="P14" s="706"/>
      <c r="Q14" s="37"/>
      <c r="R14" s="38"/>
      <c r="S14" s="47">
        <f>ROUND((ROUND((ROUND((_11_A重度研修１．０*_11・２人),0)*(1+_11・A早朝)),0)*_11・初任),0)+ROUND((ROUND((_11_B重度研修１．０＿１．０*_11・２人),0)*_11・初任),0)</f>
        <v>289</v>
      </c>
      <c r="T14" s="48"/>
    </row>
    <row r="15" spans="1:20" ht="16.5" customHeight="1" x14ac:dyDescent="0.15">
      <c r="A15" s="41">
        <v>11</v>
      </c>
      <c r="B15" s="41">
        <v>2261</v>
      </c>
      <c r="C15" s="74" t="s">
        <v>3656</v>
      </c>
      <c r="D15" s="72"/>
      <c r="F15" s="169"/>
      <c r="G15" s="741" t="s">
        <v>1253</v>
      </c>
      <c r="H15" s="742"/>
      <c r="I15" s="714"/>
      <c r="J15" s="44"/>
      <c r="K15" s="45"/>
      <c r="L15" s="46"/>
      <c r="M15" s="35"/>
      <c r="O15" s="57"/>
      <c r="P15" s="53"/>
      <c r="Q15" s="49"/>
      <c r="R15" s="50"/>
      <c r="S15" s="47">
        <f>ROUND((_11_A重度研修１．０*(1+_11・A早朝)),0)+_11_B重度研修１．０＿１．５</f>
        <v>504</v>
      </c>
      <c r="T15" s="48"/>
    </row>
    <row r="16" spans="1:20" ht="16.5" customHeight="1" x14ac:dyDescent="0.15">
      <c r="A16" s="41">
        <v>11</v>
      </c>
      <c r="B16" s="41">
        <v>2262</v>
      </c>
      <c r="C16" s="74" t="s">
        <v>3657</v>
      </c>
      <c r="D16" s="72"/>
      <c r="F16" s="169"/>
      <c r="G16" s="743"/>
      <c r="H16" s="744"/>
      <c r="I16" s="716"/>
      <c r="J16" s="44" t="s">
        <v>397</v>
      </c>
      <c r="K16" s="45" t="s">
        <v>398</v>
      </c>
      <c r="L16" s="46">
        <v>1</v>
      </c>
      <c r="M16" s="35"/>
      <c r="O16" s="57"/>
      <c r="P16" s="43"/>
      <c r="Q16" s="37"/>
      <c r="R16" s="38"/>
      <c r="S16" s="47">
        <f>ROUND((ROUND((_11_A重度研修１．０*_11・２人),0)*(1+_11・A早朝)),0)+ROUND((_11_B重度研修１．０＿１．５*_11・２人),0)</f>
        <v>504</v>
      </c>
      <c r="T16" s="48"/>
    </row>
    <row r="17" spans="1:20" ht="16.5" customHeight="1" x14ac:dyDescent="0.15">
      <c r="A17" s="41">
        <v>11</v>
      </c>
      <c r="B17" s="41" t="s">
        <v>3658</v>
      </c>
      <c r="C17" s="74" t="s">
        <v>3659</v>
      </c>
      <c r="D17" s="72"/>
      <c r="F17" s="169"/>
      <c r="G17" s="743"/>
      <c r="H17" s="744"/>
      <c r="I17" s="716"/>
      <c r="J17" s="44"/>
      <c r="K17" s="45"/>
      <c r="L17" s="46"/>
      <c r="M17" s="35"/>
      <c r="O17" s="57"/>
      <c r="P17" s="734" t="s">
        <v>404</v>
      </c>
      <c r="Q17" s="49" t="s">
        <v>398</v>
      </c>
      <c r="R17" s="50">
        <f>_11・初任</f>
        <v>0.7</v>
      </c>
      <c r="S17" s="47">
        <f>ROUND((ROUND((_11_A重度研修１．０*(1+_11・A早朝)),0)*_11・初任),0)+ROUND((_11_B重度研修１．０＿１．５*_11・初任),0)</f>
        <v>353</v>
      </c>
      <c r="T17" s="48"/>
    </row>
    <row r="18" spans="1:20" ht="16.5" customHeight="1" x14ac:dyDescent="0.15">
      <c r="A18" s="41">
        <v>11</v>
      </c>
      <c r="B18" s="41" t="s">
        <v>3660</v>
      </c>
      <c r="C18" s="74" t="s">
        <v>3661</v>
      </c>
      <c r="D18" s="72"/>
      <c r="F18" s="169"/>
      <c r="G18" s="99"/>
      <c r="H18" s="170">
        <f>_11_B重度研修１．０＿１．５</f>
        <v>273</v>
      </c>
      <c r="I18" s="12" t="s">
        <v>392</v>
      </c>
      <c r="J18" s="44" t="s">
        <v>397</v>
      </c>
      <c r="K18" s="45" t="s">
        <v>398</v>
      </c>
      <c r="L18" s="46">
        <v>1</v>
      </c>
      <c r="M18" s="35"/>
      <c r="O18" s="57"/>
      <c r="P18" s="706"/>
      <c r="Q18" s="37"/>
      <c r="R18" s="38"/>
      <c r="S18" s="47">
        <f>ROUND((ROUND((ROUND((_11_A重度研修１．０*_11・２人),0)*(1+_11・A早朝)),0)*_11・初任),0)+ROUND((ROUND((_11_B重度研修１．０＿１．５*_11・２人),0)*_11・初任),0)</f>
        <v>353</v>
      </c>
      <c r="T18" s="48"/>
    </row>
    <row r="19" spans="1:20" ht="16.5" customHeight="1" x14ac:dyDescent="0.15">
      <c r="A19" s="41">
        <v>11</v>
      </c>
      <c r="B19" s="41">
        <v>2101</v>
      </c>
      <c r="C19" s="74" t="s">
        <v>3662</v>
      </c>
      <c r="D19" s="72"/>
      <c r="F19" s="169"/>
      <c r="G19" s="735" t="s">
        <v>3663</v>
      </c>
      <c r="H19" s="708"/>
      <c r="I19" s="717"/>
      <c r="J19" s="44"/>
      <c r="K19" s="45"/>
      <c r="L19" s="46"/>
      <c r="M19" s="35"/>
      <c r="O19" s="57"/>
      <c r="P19" s="53"/>
      <c r="Q19" s="49"/>
      <c r="R19" s="50"/>
      <c r="S19" s="47">
        <f>ROUND((_11_A重度研修１．０*(1+_11・A早朝)),0)+_11_B重度研修１．０＿２．０</f>
        <v>596</v>
      </c>
      <c r="T19" s="48"/>
    </row>
    <row r="20" spans="1:20" ht="16.5" customHeight="1" x14ac:dyDescent="0.15">
      <c r="A20" s="41">
        <v>11</v>
      </c>
      <c r="B20" s="41">
        <v>2102</v>
      </c>
      <c r="C20" s="74" t="s">
        <v>3664</v>
      </c>
      <c r="D20" s="72"/>
      <c r="F20" s="169"/>
      <c r="G20" s="736"/>
      <c r="H20" s="704"/>
      <c r="I20" s="718"/>
      <c r="J20" s="44" t="s">
        <v>397</v>
      </c>
      <c r="K20" s="45" t="s">
        <v>398</v>
      </c>
      <c r="L20" s="46">
        <v>1</v>
      </c>
      <c r="M20" s="35"/>
      <c r="O20" s="57"/>
      <c r="P20" s="43"/>
      <c r="Q20" s="37"/>
      <c r="R20" s="38"/>
      <c r="S20" s="47">
        <f>ROUND((ROUND((_11_A重度研修１．０*_11・２人),0)*(1+_11・A早朝)),0)+ROUND((_11_B重度研修１．０＿２．０*_11・２人),0)</f>
        <v>596</v>
      </c>
      <c r="T20" s="48"/>
    </row>
    <row r="21" spans="1:20" ht="16.5" customHeight="1" x14ac:dyDescent="0.15">
      <c r="A21" s="41">
        <v>11</v>
      </c>
      <c r="B21" s="41" t="s">
        <v>3665</v>
      </c>
      <c r="C21" s="74" t="s">
        <v>3666</v>
      </c>
      <c r="D21" s="72"/>
      <c r="F21" s="169"/>
      <c r="G21" s="736"/>
      <c r="H21" s="704"/>
      <c r="I21" s="718"/>
      <c r="J21" s="44"/>
      <c r="K21" s="45"/>
      <c r="L21" s="46"/>
      <c r="M21" s="35"/>
      <c r="O21" s="57"/>
      <c r="P21" s="734" t="s">
        <v>404</v>
      </c>
      <c r="Q21" s="49" t="s">
        <v>398</v>
      </c>
      <c r="R21" s="50">
        <f>_11・初任</f>
        <v>0.7</v>
      </c>
      <c r="S21" s="47">
        <f>ROUND((ROUND((_11_A重度研修１．０*(1+_11・A早朝)),0)*_11・初任),0)+ROUND((_11_B重度研修１．０＿２．０*_11・初任),0)</f>
        <v>418</v>
      </c>
      <c r="T21" s="48"/>
    </row>
    <row r="22" spans="1:20" ht="16.5" customHeight="1" x14ac:dyDescent="0.15">
      <c r="A22" s="41">
        <v>11</v>
      </c>
      <c r="B22" s="41" t="s">
        <v>3667</v>
      </c>
      <c r="C22" s="74" t="s">
        <v>3668</v>
      </c>
      <c r="D22" s="72"/>
      <c r="F22" s="169"/>
      <c r="G22" s="99"/>
      <c r="H22" s="170">
        <f>_11_B重度研修１．０＿２．０</f>
        <v>365</v>
      </c>
      <c r="I22" s="12" t="s">
        <v>392</v>
      </c>
      <c r="J22" s="44" t="s">
        <v>397</v>
      </c>
      <c r="K22" s="45" t="s">
        <v>398</v>
      </c>
      <c r="L22" s="46">
        <v>1</v>
      </c>
      <c r="M22" s="35"/>
      <c r="O22" s="57"/>
      <c r="P22" s="706"/>
      <c r="Q22" s="37"/>
      <c r="R22" s="38"/>
      <c r="S22" s="47">
        <f>ROUND((ROUND((ROUND((_11_A重度研修１．０*_11・２人),0)*(1+_11・A早朝)),0)*_11・初任),0)+ROUND((ROUND((_11_B重度研修１．０＿２．０*_11・２人),0)*_11・初任),0)</f>
        <v>418</v>
      </c>
      <c r="T22" s="48"/>
    </row>
    <row r="23" spans="1:20" ht="16.5" customHeight="1" x14ac:dyDescent="0.15">
      <c r="A23" s="41">
        <v>11</v>
      </c>
      <c r="B23" s="41">
        <v>2263</v>
      </c>
      <c r="C23" s="74" t="s">
        <v>3669</v>
      </c>
      <c r="D23" s="707" t="s">
        <v>3670</v>
      </c>
      <c r="E23" s="708"/>
      <c r="F23" s="740"/>
      <c r="G23" s="735" t="s">
        <v>3643</v>
      </c>
      <c r="H23" s="708"/>
      <c r="I23" s="717"/>
      <c r="J23" s="44"/>
      <c r="K23" s="45"/>
      <c r="L23" s="46"/>
      <c r="M23" s="35"/>
      <c r="O23" s="57"/>
      <c r="P23" s="53"/>
      <c r="Q23" s="49"/>
      <c r="R23" s="50"/>
      <c r="S23" s="47">
        <f>ROUND((_11_A重度研修１．５*(1+_11・A早朝)),0)+_11_B重度研修１．５＿０．５</f>
        <v>436</v>
      </c>
      <c r="T23" s="48"/>
    </row>
    <row r="24" spans="1:20" ht="16.5" customHeight="1" x14ac:dyDescent="0.15">
      <c r="A24" s="41">
        <v>11</v>
      </c>
      <c r="B24" s="41">
        <v>2264</v>
      </c>
      <c r="C24" s="74" t="s">
        <v>3671</v>
      </c>
      <c r="D24" s="709"/>
      <c r="E24" s="704"/>
      <c r="F24" s="739"/>
      <c r="G24" s="736"/>
      <c r="H24" s="704"/>
      <c r="I24" s="718"/>
      <c r="J24" s="44" t="s">
        <v>397</v>
      </c>
      <c r="K24" s="45" t="s">
        <v>398</v>
      </c>
      <c r="L24" s="46">
        <v>1</v>
      </c>
      <c r="M24" s="35"/>
      <c r="O24" s="57"/>
      <c r="P24" s="43"/>
      <c r="Q24" s="37"/>
      <c r="R24" s="38"/>
      <c r="S24" s="47">
        <f>ROUND((ROUND((_11_A重度研修１．５*_11・２人),0)*(1+_11・A早朝)),0)+ROUND((_11_B重度研修１．５＿０．５*_11・２人),0)</f>
        <v>436</v>
      </c>
      <c r="T24" s="48"/>
    </row>
    <row r="25" spans="1:20" ht="16.5" customHeight="1" x14ac:dyDescent="0.15">
      <c r="A25" s="41">
        <v>11</v>
      </c>
      <c r="B25" s="41" t="s">
        <v>3672</v>
      </c>
      <c r="C25" s="74" t="s">
        <v>3673</v>
      </c>
      <c r="D25" s="709"/>
      <c r="E25" s="704"/>
      <c r="F25" s="739"/>
      <c r="G25" s="736"/>
      <c r="H25" s="704"/>
      <c r="I25" s="718"/>
      <c r="J25" s="44"/>
      <c r="K25" s="45"/>
      <c r="L25" s="46"/>
      <c r="M25" s="35"/>
      <c r="O25" s="57"/>
      <c r="P25" s="734" t="s">
        <v>404</v>
      </c>
      <c r="Q25" s="49" t="s">
        <v>398</v>
      </c>
      <c r="R25" s="50">
        <f>_11・初任</f>
        <v>0.7</v>
      </c>
      <c r="S25" s="47">
        <f>ROUND((ROUND((_11_A重度研修１．５*(1+_11・A早朝)),0)*_11・初任),0)+ROUND((_11_B重度研修１．５＿０．５*_11・初任),0)</f>
        <v>305</v>
      </c>
      <c r="T25" s="48"/>
    </row>
    <row r="26" spans="1:20" ht="16.5" customHeight="1" x14ac:dyDescent="0.15">
      <c r="A26" s="41">
        <v>11</v>
      </c>
      <c r="B26" s="41" t="s">
        <v>3674</v>
      </c>
      <c r="C26" s="74" t="s">
        <v>3675</v>
      </c>
      <c r="D26" s="72"/>
      <c r="E26" s="170">
        <f>_11_A重度研修１．５</f>
        <v>275</v>
      </c>
      <c r="F26" s="171" t="s">
        <v>392</v>
      </c>
      <c r="G26" s="12"/>
      <c r="H26" s="170">
        <f>_11_B重度研修１．５＿０．５</f>
        <v>92</v>
      </c>
      <c r="I26" s="12" t="s">
        <v>392</v>
      </c>
      <c r="J26" s="44" t="s">
        <v>397</v>
      </c>
      <c r="K26" s="45" t="s">
        <v>398</v>
      </c>
      <c r="L26" s="46">
        <v>1</v>
      </c>
      <c r="M26" s="35"/>
      <c r="O26" s="57"/>
      <c r="P26" s="706"/>
      <c r="Q26" s="37"/>
      <c r="R26" s="38"/>
      <c r="S26" s="47">
        <f>ROUND((ROUND((ROUND((_11_A重度研修１．５*_11・２人),0)*(1+_11・A早朝)),0)*_11・初任),0)+ROUND((ROUND((_11_B重度研修１．５＿０．５*_11・２人),0)*_11・初任),0)</f>
        <v>305</v>
      </c>
      <c r="T26" s="48"/>
    </row>
    <row r="27" spans="1:20" ht="16.5" customHeight="1" x14ac:dyDescent="0.15">
      <c r="A27" s="41">
        <v>11</v>
      </c>
      <c r="B27" s="41">
        <v>2265</v>
      </c>
      <c r="C27" s="74" t="s">
        <v>3676</v>
      </c>
      <c r="D27" s="72"/>
      <c r="F27" s="169"/>
      <c r="G27" s="735" t="s">
        <v>3650</v>
      </c>
      <c r="H27" s="708"/>
      <c r="I27" s="717"/>
      <c r="J27" s="44"/>
      <c r="K27" s="45"/>
      <c r="L27" s="46"/>
      <c r="M27" s="35"/>
      <c r="O27" s="57"/>
      <c r="P27" s="53"/>
      <c r="Q27" s="49"/>
      <c r="R27" s="50"/>
      <c r="S27" s="47">
        <f>ROUND((_11_A重度研修１．５*(1+_11・A早朝)),0)+_11_B重度研修１．５＿１．０</f>
        <v>527</v>
      </c>
      <c r="T27" s="48"/>
    </row>
    <row r="28" spans="1:20" ht="16.5" customHeight="1" x14ac:dyDescent="0.15">
      <c r="A28" s="41">
        <v>11</v>
      </c>
      <c r="B28" s="41">
        <v>2266</v>
      </c>
      <c r="C28" s="74" t="s">
        <v>3677</v>
      </c>
      <c r="D28" s="72"/>
      <c r="F28" s="169"/>
      <c r="G28" s="736"/>
      <c r="H28" s="704"/>
      <c r="I28" s="718"/>
      <c r="J28" s="44" t="s">
        <v>397</v>
      </c>
      <c r="K28" s="45" t="s">
        <v>398</v>
      </c>
      <c r="L28" s="46">
        <v>1</v>
      </c>
      <c r="M28" s="35"/>
      <c r="O28" s="57"/>
      <c r="P28" s="43"/>
      <c r="Q28" s="37"/>
      <c r="R28" s="38"/>
      <c r="S28" s="47">
        <f>ROUND((ROUND((_11_A重度研修１．５*_11・２人),0)*(1+_11・A早朝)),0)+ROUND((_11_B重度研修１．５＿１．０*_11・２人),0)</f>
        <v>527</v>
      </c>
      <c r="T28" s="48"/>
    </row>
    <row r="29" spans="1:20" ht="16.5" customHeight="1" x14ac:dyDescent="0.15">
      <c r="A29" s="41">
        <v>11</v>
      </c>
      <c r="B29" s="41" t="s">
        <v>3678</v>
      </c>
      <c r="C29" s="74" t="s">
        <v>3679</v>
      </c>
      <c r="D29" s="72"/>
      <c r="F29" s="169"/>
      <c r="G29" s="736"/>
      <c r="H29" s="704"/>
      <c r="I29" s="718"/>
      <c r="J29" s="44"/>
      <c r="K29" s="45"/>
      <c r="L29" s="46"/>
      <c r="M29" s="35"/>
      <c r="O29" s="57"/>
      <c r="P29" s="734" t="s">
        <v>404</v>
      </c>
      <c r="Q29" s="49" t="s">
        <v>398</v>
      </c>
      <c r="R29" s="50">
        <f>_11・初任</f>
        <v>0.7</v>
      </c>
      <c r="S29" s="47">
        <f>ROUND((ROUND((_11_A重度研修１．５*(1+_11・A早朝)),0)*_11・初任),0)+ROUND((_11_B重度研修１．５＿１．０*_11・初任),0)</f>
        <v>369</v>
      </c>
      <c r="T29" s="48"/>
    </row>
    <row r="30" spans="1:20" ht="16.5" customHeight="1" x14ac:dyDescent="0.15">
      <c r="A30" s="41">
        <v>11</v>
      </c>
      <c r="B30" s="41" t="s">
        <v>3680</v>
      </c>
      <c r="C30" s="74" t="s">
        <v>3681</v>
      </c>
      <c r="D30" s="72"/>
      <c r="F30" s="169"/>
      <c r="G30" s="99"/>
      <c r="H30" s="170">
        <f>_11_B重度研修１．５＿１．０</f>
        <v>183</v>
      </c>
      <c r="I30" s="12" t="s">
        <v>392</v>
      </c>
      <c r="J30" s="44" t="s">
        <v>397</v>
      </c>
      <c r="K30" s="45" t="s">
        <v>398</v>
      </c>
      <c r="L30" s="46">
        <v>1</v>
      </c>
      <c r="M30" s="35"/>
      <c r="O30" s="57"/>
      <c r="P30" s="706"/>
      <c r="Q30" s="37"/>
      <c r="R30" s="38"/>
      <c r="S30" s="47">
        <f>ROUND((ROUND((ROUND((_11_A重度研修１．５*_11・２人),0)*(1+_11・A早朝)),0)*_11・初任),0)+ROUND((ROUND((_11_B重度研修１．５＿１．０*_11・２人),0)*_11・初任),0)</f>
        <v>369</v>
      </c>
      <c r="T30" s="48"/>
    </row>
    <row r="31" spans="1:20" ht="16.5" customHeight="1" x14ac:dyDescent="0.15">
      <c r="A31" s="41">
        <v>11</v>
      </c>
      <c r="B31" s="41">
        <v>2267</v>
      </c>
      <c r="C31" s="74" t="s">
        <v>3682</v>
      </c>
      <c r="D31" s="72"/>
      <c r="F31" s="169"/>
      <c r="G31" s="735" t="s">
        <v>1253</v>
      </c>
      <c r="H31" s="708"/>
      <c r="I31" s="717"/>
      <c r="J31" s="44"/>
      <c r="K31" s="45"/>
      <c r="L31" s="46"/>
      <c r="M31" s="35"/>
      <c r="O31" s="57"/>
      <c r="P31" s="53"/>
      <c r="Q31" s="49"/>
      <c r="R31" s="50"/>
      <c r="S31" s="47">
        <f>ROUND((_11_A重度研修１．５*(1+_11・A早朝)),0)+_11_B重度研修１．５＿１．５</f>
        <v>619</v>
      </c>
      <c r="T31" s="48"/>
    </row>
    <row r="32" spans="1:20" ht="16.5" customHeight="1" x14ac:dyDescent="0.15">
      <c r="A32" s="41">
        <v>11</v>
      </c>
      <c r="B32" s="41">
        <v>2268</v>
      </c>
      <c r="C32" s="74" t="s">
        <v>3683</v>
      </c>
      <c r="D32" s="72"/>
      <c r="F32" s="169"/>
      <c r="G32" s="736"/>
      <c r="H32" s="704"/>
      <c r="I32" s="718"/>
      <c r="J32" s="44" t="s">
        <v>397</v>
      </c>
      <c r="K32" s="45" t="s">
        <v>398</v>
      </c>
      <c r="L32" s="46">
        <v>1</v>
      </c>
      <c r="M32" s="35"/>
      <c r="O32" s="57"/>
      <c r="P32" s="43"/>
      <c r="Q32" s="37"/>
      <c r="R32" s="38"/>
      <c r="S32" s="47">
        <f>ROUND((ROUND((_11_A重度研修１．５*_11・２人),0)*(1+_11・A早朝)),0)+ROUND((_11_B重度研修１．５＿１．５*_11・２人),0)</f>
        <v>619</v>
      </c>
      <c r="T32" s="48"/>
    </row>
    <row r="33" spans="1:20" ht="16.5" customHeight="1" x14ac:dyDescent="0.15">
      <c r="A33" s="41">
        <v>11</v>
      </c>
      <c r="B33" s="41" t="s">
        <v>3684</v>
      </c>
      <c r="C33" s="74" t="s">
        <v>3685</v>
      </c>
      <c r="D33" s="72"/>
      <c r="F33" s="169"/>
      <c r="G33" s="736"/>
      <c r="H33" s="704"/>
      <c r="I33" s="718"/>
      <c r="J33" s="44"/>
      <c r="K33" s="45"/>
      <c r="L33" s="46"/>
      <c r="M33" s="35"/>
      <c r="O33" s="57"/>
      <c r="P33" s="734" t="s">
        <v>404</v>
      </c>
      <c r="Q33" s="49" t="s">
        <v>398</v>
      </c>
      <c r="R33" s="50">
        <f>_11・初任</f>
        <v>0.7</v>
      </c>
      <c r="S33" s="47">
        <f>ROUND((ROUND((_11_A重度研修１．５*(1+_11・A早朝)),0)*_11・初任),0)+ROUND((_11_B重度研修１．５＿１．５*_11・初任),0)</f>
        <v>434</v>
      </c>
      <c r="T33" s="48"/>
    </row>
    <row r="34" spans="1:20" ht="16.5" customHeight="1" x14ac:dyDescent="0.15">
      <c r="A34" s="41">
        <v>11</v>
      </c>
      <c r="B34" s="41" t="s">
        <v>3686</v>
      </c>
      <c r="C34" s="74" t="s">
        <v>3687</v>
      </c>
      <c r="D34" s="72"/>
      <c r="F34" s="169"/>
      <c r="G34" s="99"/>
      <c r="H34" s="170">
        <f>_11_B重度研修１．５＿１．５</f>
        <v>275</v>
      </c>
      <c r="I34" s="12" t="s">
        <v>392</v>
      </c>
      <c r="J34" s="44" t="s">
        <v>397</v>
      </c>
      <c r="K34" s="45" t="s">
        <v>398</v>
      </c>
      <c r="L34" s="46">
        <v>1</v>
      </c>
      <c r="M34" s="35"/>
      <c r="O34" s="57"/>
      <c r="P34" s="706"/>
      <c r="Q34" s="37"/>
      <c r="R34" s="38"/>
      <c r="S34" s="47">
        <f>ROUND((ROUND((ROUND((_11_A重度研修１．５*_11・２人),0)*(1+_11・A早朝)),0)*_11・初任),0)+ROUND((ROUND((_11_B重度研修１．５＿１．５*_11・２人),0)*_11・初任),0)</f>
        <v>434</v>
      </c>
      <c r="T34" s="48"/>
    </row>
    <row r="35" spans="1:20" ht="16.5" customHeight="1" x14ac:dyDescent="0.15">
      <c r="A35" s="41">
        <v>11</v>
      </c>
      <c r="B35" s="41">
        <v>2269</v>
      </c>
      <c r="C35" s="74" t="s">
        <v>3688</v>
      </c>
      <c r="D35" s="707" t="s">
        <v>3689</v>
      </c>
      <c r="E35" s="708"/>
      <c r="F35" s="740"/>
      <c r="G35" s="735" t="s">
        <v>3643</v>
      </c>
      <c r="H35" s="708"/>
      <c r="I35" s="717"/>
      <c r="J35" s="44"/>
      <c r="K35" s="45"/>
      <c r="L35" s="46"/>
      <c r="M35" s="35"/>
      <c r="O35" s="57"/>
      <c r="P35" s="53"/>
      <c r="Q35" s="49"/>
      <c r="R35" s="50"/>
      <c r="S35" s="47">
        <f>ROUND((_11_A重度研修２．０*(1+_11・A早朝)),0)+_11_B重度研修２．０＿０．５</f>
        <v>550</v>
      </c>
      <c r="T35" s="48"/>
    </row>
    <row r="36" spans="1:20" ht="16.5" customHeight="1" x14ac:dyDescent="0.15">
      <c r="A36" s="41">
        <v>11</v>
      </c>
      <c r="B36" s="41">
        <v>2270</v>
      </c>
      <c r="C36" s="74" t="s">
        <v>3690</v>
      </c>
      <c r="D36" s="709"/>
      <c r="E36" s="704"/>
      <c r="F36" s="739"/>
      <c r="G36" s="736"/>
      <c r="H36" s="704"/>
      <c r="I36" s="718"/>
      <c r="J36" s="44" t="s">
        <v>397</v>
      </c>
      <c r="K36" s="45" t="s">
        <v>398</v>
      </c>
      <c r="L36" s="46">
        <v>1</v>
      </c>
      <c r="M36" s="35"/>
      <c r="O36" s="57"/>
      <c r="P36" s="43"/>
      <c r="Q36" s="37"/>
      <c r="R36" s="38"/>
      <c r="S36" s="47">
        <f>ROUND((ROUND((_11_A重度研修２．０*_11・２人),0)*(1+_11・A早朝)),0)+ROUND((_11_B重度研修２．０＿０．５*_11・２人),0)</f>
        <v>550</v>
      </c>
      <c r="T36" s="48"/>
    </row>
    <row r="37" spans="1:20" ht="16.5" customHeight="1" x14ac:dyDescent="0.15">
      <c r="A37" s="41">
        <v>11</v>
      </c>
      <c r="B37" s="41" t="s">
        <v>3691</v>
      </c>
      <c r="C37" s="74" t="s">
        <v>3692</v>
      </c>
      <c r="D37" s="709"/>
      <c r="E37" s="704"/>
      <c r="F37" s="739"/>
      <c r="G37" s="736"/>
      <c r="H37" s="704"/>
      <c r="I37" s="718"/>
      <c r="J37" s="44"/>
      <c r="K37" s="45"/>
      <c r="L37" s="46"/>
      <c r="M37" s="35"/>
      <c r="O37" s="57"/>
      <c r="P37" s="734" t="s">
        <v>404</v>
      </c>
      <c r="Q37" s="49" t="s">
        <v>398</v>
      </c>
      <c r="R37" s="50">
        <f>_11・初任</f>
        <v>0.7</v>
      </c>
      <c r="S37" s="47">
        <f>ROUND((ROUND((_11_A重度研修２．０*(1+_11・A早朝)),0)*_11・初任),0)+ROUND((_11_B重度研修２．０＿０．５*_11・初任),0)</f>
        <v>385</v>
      </c>
      <c r="T37" s="48"/>
    </row>
    <row r="38" spans="1:20" ht="16.5" customHeight="1" x14ac:dyDescent="0.15">
      <c r="A38" s="41">
        <v>11</v>
      </c>
      <c r="B38" s="41" t="s">
        <v>3693</v>
      </c>
      <c r="C38" s="74" t="s">
        <v>3694</v>
      </c>
      <c r="D38" s="72"/>
      <c r="E38" s="170">
        <f>_11_A重度研修２．０</f>
        <v>367</v>
      </c>
      <c r="F38" s="171" t="s">
        <v>392</v>
      </c>
      <c r="G38" s="12"/>
      <c r="H38" s="170">
        <f>_11_B重度研修２．０＿０．５</f>
        <v>91</v>
      </c>
      <c r="I38" s="12" t="s">
        <v>392</v>
      </c>
      <c r="J38" s="44" t="s">
        <v>397</v>
      </c>
      <c r="K38" s="45" t="s">
        <v>398</v>
      </c>
      <c r="L38" s="46">
        <v>1</v>
      </c>
      <c r="M38" s="35"/>
      <c r="O38" s="57"/>
      <c r="P38" s="706"/>
      <c r="Q38" s="37"/>
      <c r="R38" s="38"/>
      <c r="S38" s="47">
        <f>ROUND((ROUND((ROUND((_11_A重度研修２．０*_11・２人),0)*(1+_11・A早朝)),0)*_11・初任),0)+ROUND((ROUND((_11_B重度研修２．０＿０．５*_11・２人),0)*_11・初任),0)</f>
        <v>385</v>
      </c>
      <c r="T38" s="48"/>
    </row>
    <row r="39" spans="1:20" ht="16.5" customHeight="1" x14ac:dyDescent="0.15">
      <c r="A39" s="41">
        <v>11</v>
      </c>
      <c r="B39" s="41">
        <v>2103</v>
      </c>
      <c r="C39" s="74" t="s">
        <v>3695</v>
      </c>
      <c r="D39" s="72"/>
      <c r="F39" s="169"/>
      <c r="G39" s="735" t="s">
        <v>3650</v>
      </c>
      <c r="H39" s="708"/>
      <c r="I39" s="717"/>
      <c r="J39" s="44"/>
      <c r="K39" s="45"/>
      <c r="L39" s="46"/>
      <c r="M39" s="35"/>
      <c r="O39" s="57"/>
      <c r="P39" s="53"/>
      <c r="Q39" s="49"/>
      <c r="R39" s="50"/>
      <c r="S39" s="47">
        <f>ROUND((_11_A重度研修２．０*(1+_11・A早朝)),0)+_11_B重度研修２．０＿１．０</f>
        <v>642</v>
      </c>
      <c r="T39" s="48"/>
    </row>
    <row r="40" spans="1:20" ht="16.5" customHeight="1" x14ac:dyDescent="0.15">
      <c r="A40" s="41">
        <v>11</v>
      </c>
      <c r="B40" s="41">
        <v>2104</v>
      </c>
      <c r="C40" s="74" t="s">
        <v>3696</v>
      </c>
      <c r="D40" s="72"/>
      <c r="F40" s="169"/>
      <c r="G40" s="736"/>
      <c r="H40" s="704"/>
      <c r="I40" s="718"/>
      <c r="J40" s="44" t="s">
        <v>397</v>
      </c>
      <c r="K40" s="45" t="s">
        <v>398</v>
      </c>
      <c r="L40" s="46">
        <v>1</v>
      </c>
      <c r="M40" s="35"/>
      <c r="O40" s="57"/>
      <c r="P40" s="43"/>
      <c r="Q40" s="37"/>
      <c r="R40" s="38"/>
      <c r="S40" s="47">
        <f>ROUND((ROUND((_11_A重度研修２．０*_11・２人),0)*(1+_11・A早朝)),0)+ROUND((_11_B重度研修２．０＿１．０*_11・２人),0)</f>
        <v>642</v>
      </c>
      <c r="T40" s="48"/>
    </row>
    <row r="41" spans="1:20" ht="16.5" customHeight="1" x14ac:dyDescent="0.15">
      <c r="A41" s="41">
        <v>11</v>
      </c>
      <c r="B41" s="41" t="s">
        <v>3697</v>
      </c>
      <c r="C41" s="74" t="s">
        <v>3698</v>
      </c>
      <c r="D41" s="72"/>
      <c r="F41" s="169"/>
      <c r="G41" s="736"/>
      <c r="H41" s="704"/>
      <c r="I41" s="718"/>
      <c r="J41" s="44"/>
      <c r="K41" s="45"/>
      <c r="L41" s="46"/>
      <c r="M41" s="35"/>
      <c r="O41" s="57"/>
      <c r="P41" s="734" t="s">
        <v>404</v>
      </c>
      <c r="Q41" s="49" t="s">
        <v>398</v>
      </c>
      <c r="R41" s="50">
        <f>_11・初任</f>
        <v>0.7</v>
      </c>
      <c r="S41" s="47">
        <f>ROUND((ROUND((_11_A重度研修２．０*(1+_11・A早朝)),0)*_11・初任),0)+ROUND((_11_B重度研修２．０＿１．０*_11・初任),0)</f>
        <v>449</v>
      </c>
      <c r="T41" s="48"/>
    </row>
    <row r="42" spans="1:20" ht="16.5" customHeight="1" x14ac:dyDescent="0.15">
      <c r="A42" s="41">
        <v>11</v>
      </c>
      <c r="B42" s="41" t="s">
        <v>3699</v>
      </c>
      <c r="C42" s="74" t="s">
        <v>3700</v>
      </c>
      <c r="D42" s="72"/>
      <c r="F42" s="169"/>
      <c r="G42" s="99"/>
      <c r="H42" s="170">
        <f>_11_B重度研修２．０＿１．０</f>
        <v>183</v>
      </c>
      <c r="I42" s="12" t="s">
        <v>392</v>
      </c>
      <c r="J42" s="44" t="s">
        <v>397</v>
      </c>
      <c r="K42" s="45" t="s">
        <v>398</v>
      </c>
      <c r="L42" s="46">
        <v>1</v>
      </c>
      <c r="M42" s="35"/>
      <c r="O42" s="57"/>
      <c r="P42" s="706"/>
      <c r="Q42" s="37"/>
      <c r="R42" s="38"/>
      <c r="S42" s="47">
        <f>ROUND((ROUND((ROUND((_11_A重度研修２．０*_11・２人),0)*(1+_11・A早朝)),0)*_11・初任),0)+ROUND((ROUND((_11_B重度研修２．０＿１．０*_11・２人),0)*_11・初任),0)</f>
        <v>449</v>
      </c>
      <c r="T42" s="48"/>
    </row>
    <row r="43" spans="1:20" ht="16.5" customHeight="1" x14ac:dyDescent="0.15">
      <c r="A43" s="41">
        <v>11</v>
      </c>
      <c r="B43" s="41">
        <v>2271</v>
      </c>
      <c r="C43" s="74" t="s">
        <v>3701</v>
      </c>
      <c r="D43" s="707" t="s">
        <v>3702</v>
      </c>
      <c r="E43" s="708"/>
      <c r="F43" s="740"/>
      <c r="G43" s="735" t="s">
        <v>3643</v>
      </c>
      <c r="H43" s="708"/>
      <c r="I43" s="717"/>
      <c r="J43" s="44"/>
      <c r="K43" s="45"/>
      <c r="L43" s="46"/>
      <c r="M43" s="35"/>
      <c r="O43" s="57"/>
      <c r="P43" s="53"/>
      <c r="Q43" s="49"/>
      <c r="R43" s="50"/>
      <c r="S43" s="47">
        <f>ROUND((_11_A重度研修２．５*(1+_11・A早朝)),0)+_11_B重度研修２．５＿０．５</f>
        <v>665</v>
      </c>
      <c r="T43" s="48"/>
    </row>
    <row r="44" spans="1:20" ht="16.5" customHeight="1" x14ac:dyDescent="0.15">
      <c r="A44" s="41">
        <v>11</v>
      </c>
      <c r="B44" s="41">
        <v>2272</v>
      </c>
      <c r="C44" s="74" t="s">
        <v>3703</v>
      </c>
      <c r="D44" s="709"/>
      <c r="E44" s="704"/>
      <c r="F44" s="739"/>
      <c r="G44" s="736"/>
      <c r="H44" s="704"/>
      <c r="I44" s="718"/>
      <c r="J44" s="44" t="s">
        <v>397</v>
      </c>
      <c r="K44" s="45" t="s">
        <v>398</v>
      </c>
      <c r="L44" s="46">
        <v>1</v>
      </c>
      <c r="M44" s="35"/>
      <c r="O44" s="57"/>
      <c r="P44" s="43"/>
      <c r="Q44" s="37"/>
      <c r="R44" s="38"/>
      <c r="S44" s="47">
        <f>ROUND((ROUND((_11_A重度研修２．５*_11・２人),0)*(1+_11・A早朝)),0)+ROUND((_11_B重度研修２．５＿０．５*_11・２人),0)</f>
        <v>665</v>
      </c>
      <c r="T44" s="48"/>
    </row>
    <row r="45" spans="1:20" ht="16.5" customHeight="1" x14ac:dyDescent="0.15">
      <c r="A45" s="41">
        <v>11</v>
      </c>
      <c r="B45" s="41" t="s">
        <v>3704</v>
      </c>
      <c r="C45" s="74" t="s">
        <v>3705</v>
      </c>
      <c r="D45" s="709"/>
      <c r="E45" s="704"/>
      <c r="F45" s="739"/>
      <c r="G45" s="736"/>
      <c r="H45" s="704"/>
      <c r="I45" s="718"/>
      <c r="J45" s="44"/>
      <c r="K45" s="45"/>
      <c r="L45" s="46"/>
      <c r="M45" s="35"/>
      <c r="O45" s="57"/>
      <c r="P45" s="734" t="s">
        <v>404</v>
      </c>
      <c r="Q45" s="49" t="s">
        <v>398</v>
      </c>
      <c r="R45" s="50">
        <f>_11・初任</f>
        <v>0.7</v>
      </c>
      <c r="S45" s="47">
        <f>ROUND((ROUND((_11_A重度研修２．５*(1+_11・A早朝)),0)*_11・初任),0)+ROUND((_11_B重度研修２．５＿０．５*_11・初任),0)</f>
        <v>465</v>
      </c>
      <c r="T45" s="48"/>
    </row>
    <row r="46" spans="1:20" ht="16.5" customHeight="1" x14ac:dyDescent="0.15">
      <c r="A46" s="41">
        <v>11</v>
      </c>
      <c r="B46" s="41" t="s">
        <v>3706</v>
      </c>
      <c r="C46" s="74" t="s">
        <v>3707</v>
      </c>
      <c r="D46" s="122"/>
      <c r="E46" s="176">
        <f>_11_A重度研修２．５</f>
        <v>458</v>
      </c>
      <c r="F46" s="175" t="s">
        <v>392</v>
      </c>
      <c r="G46" s="37"/>
      <c r="H46" s="176">
        <f>_11_B重度研修２．５＿０．５</f>
        <v>92</v>
      </c>
      <c r="I46" s="37" t="s">
        <v>392</v>
      </c>
      <c r="J46" s="44" t="s">
        <v>397</v>
      </c>
      <c r="K46" s="45" t="s">
        <v>398</v>
      </c>
      <c r="L46" s="46">
        <v>1</v>
      </c>
      <c r="M46" s="43"/>
      <c r="N46" s="38"/>
      <c r="O46" s="79"/>
      <c r="P46" s="706"/>
      <c r="Q46" s="37"/>
      <c r="R46" s="38"/>
      <c r="S46" s="47">
        <f>ROUND((ROUND((ROUND((_11_A重度研修２．５*_11・２人),0)*(1+_11・A早朝)),0)*_11・初任),0)+ROUND((ROUND((_11_B重度研修２．５＿０．５*_11・２人),0)*_11・初任),0)</f>
        <v>465</v>
      </c>
      <c r="T46" s="63"/>
    </row>
    <row r="47" spans="1:20" ht="16.5" customHeight="1" x14ac:dyDescent="0.15">
      <c r="G47" s="99"/>
    </row>
  </sheetData>
  <mergeCells count="25">
    <mergeCell ref="G39:I41"/>
    <mergeCell ref="P41:P42"/>
    <mergeCell ref="D43:F45"/>
    <mergeCell ref="G43:I45"/>
    <mergeCell ref="P45:P46"/>
    <mergeCell ref="G27:I29"/>
    <mergeCell ref="P29:P30"/>
    <mergeCell ref="G31:I33"/>
    <mergeCell ref="P33:P34"/>
    <mergeCell ref="D35:F37"/>
    <mergeCell ref="G35:I37"/>
    <mergeCell ref="P37:P38"/>
    <mergeCell ref="G15:I17"/>
    <mergeCell ref="P17:P18"/>
    <mergeCell ref="G19:I21"/>
    <mergeCell ref="P21:P22"/>
    <mergeCell ref="D23:F25"/>
    <mergeCell ref="G23:I25"/>
    <mergeCell ref="P25:P26"/>
    <mergeCell ref="D6:F6"/>
    <mergeCell ref="D7:F9"/>
    <mergeCell ref="G7:I9"/>
    <mergeCell ref="P9:P10"/>
    <mergeCell ref="G11:I13"/>
    <mergeCell ref="P13:P14"/>
  </mergeCells>
  <phoneticPr fontId="1"/>
  <printOptions horizontalCentered="1"/>
  <pageMargins left="0.70866141732283472" right="0.70866141732283472" top="0.74803149606299213" bottom="0.74803149606299213" header="0.31496062992125984" footer="0.31496062992125984"/>
  <pageSetup paperSize="9" scale="52" fitToHeight="0" orientation="portrait" r:id="rId1"/>
  <headerFooter>
    <oddHeader>&amp;R&amp;"ＭＳ Ｐゴシック"&amp;9居宅介護</oddHeader>
    <oddFooter>&amp;C&amp;"ＭＳ Ｐゴシック"&amp;14&amp;P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T47"/>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1.875" style="10" bestFit="1" customWidth="1"/>
    <col min="4" max="4" width="2.5" style="10" customWidth="1"/>
    <col min="5" max="5" width="4.875" style="10" customWidth="1"/>
    <col min="6" max="6" width="5.5" style="117" customWidth="1"/>
    <col min="7" max="7" width="2.5" style="117" customWidth="1"/>
    <col min="8" max="8" width="4.875" style="10" customWidth="1"/>
    <col min="9" max="9" width="5.5" style="117" bestFit="1" customWidth="1"/>
    <col min="10" max="10" width="24.875" style="14" bestFit="1" customWidth="1"/>
    <col min="11" max="11" width="3.5" style="12" bestFit="1" customWidth="1"/>
    <col min="12" max="12" width="5.5" style="13" bestFit="1" customWidth="1"/>
    <col min="13" max="13" width="3.5" style="12" bestFit="1" customWidth="1"/>
    <col min="14" max="14" width="4.5" style="13" bestFit="1" customWidth="1"/>
    <col min="15" max="15" width="5.5" style="12" bestFit="1" customWidth="1"/>
    <col min="16" max="16" width="17.875" style="12" customWidth="1"/>
    <col min="17" max="17" width="3.5" style="12" bestFit="1" customWidth="1"/>
    <col min="18" max="18" width="4.5" style="13" bestFit="1" customWidth="1"/>
    <col min="19" max="19" width="7.125" style="15" customWidth="1"/>
    <col min="20" max="20" width="8.5" style="16" customWidth="1"/>
    <col min="21" max="16384" width="8.875" style="12"/>
  </cols>
  <sheetData>
    <row r="1" spans="1:20" ht="17.100000000000001" customHeight="1" x14ac:dyDescent="0.15">
      <c r="E1" s="11"/>
      <c r="H1" s="11"/>
    </row>
    <row r="2" spans="1:20" ht="17.100000000000001" customHeight="1" x14ac:dyDescent="0.15"/>
    <row r="3" spans="1:20" ht="17.100000000000001" customHeight="1" x14ac:dyDescent="0.15">
      <c r="G3" s="99"/>
    </row>
    <row r="4" spans="1:20" ht="17.100000000000001" customHeight="1" x14ac:dyDescent="0.15">
      <c r="B4" s="17" t="s">
        <v>3708</v>
      </c>
      <c r="E4" s="71"/>
      <c r="G4" s="99"/>
    </row>
    <row r="5" spans="1:20" ht="16.5" customHeight="1" x14ac:dyDescent="0.15">
      <c r="A5" s="19" t="s">
        <v>384</v>
      </c>
      <c r="B5" s="20"/>
      <c r="C5" s="21" t="s">
        <v>385</v>
      </c>
      <c r="D5" s="166"/>
      <c r="E5" s="23" t="s">
        <v>386</v>
      </c>
      <c r="F5" s="118"/>
      <c r="G5" s="118"/>
      <c r="H5" s="23"/>
      <c r="I5" s="118"/>
      <c r="J5" s="23"/>
      <c r="K5" s="23"/>
      <c r="L5" s="24"/>
      <c r="M5" s="23"/>
      <c r="N5" s="24"/>
      <c r="O5" s="23"/>
      <c r="P5" s="23"/>
      <c r="Q5" s="23"/>
      <c r="R5" s="24"/>
      <c r="S5" s="25" t="s">
        <v>387</v>
      </c>
      <c r="T5" s="21" t="s">
        <v>388</v>
      </c>
    </row>
    <row r="6" spans="1:20" ht="16.5" customHeight="1" x14ac:dyDescent="0.15">
      <c r="A6" s="26" t="s">
        <v>389</v>
      </c>
      <c r="B6" s="26" t="s">
        <v>390</v>
      </c>
      <c r="C6" s="27"/>
      <c r="D6" s="29"/>
      <c r="E6" s="29"/>
      <c r="F6" s="120"/>
      <c r="G6" s="738" t="s">
        <v>1032</v>
      </c>
      <c r="H6" s="731"/>
      <c r="I6" s="727"/>
      <c r="J6" s="29"/>
      <c r="K6" s="29"/>
      <c r="L6" s="30"/>
      <c r="M6" s="29"/>
      <c r="N6" s="30"/>
      <c r="O6" s="29"/>
      <c r="P6" s="29"/>
      <c r="Q6" s="29"/>
      <c r="R6" s="30"/>
      <c r="S6" s="31" t="s">
        <v>391</v>
      </c>
      <c r="T6" s="32" t="s">
        <v>392</v>
      </c>
    </row>
    <row r="7" spans="1:20" ht="16.5" customHeight="1" x14ac:dyDescent="0.15">
      <c r="A7" s="33">
        <v>11</v>
      </c>
      <c r="B7" s="33">
        <v>2273</v>
      </c>
      <c r="C7" s="34" t="s">
        <v>3709</v>
      </c>
      <c r="D7" s="709" t="s">
        <v>3710</v>
      </c>
      <c r="E7" s="704"/>
      <c r="F7" s="739"/>
      <c r="G7" s="736" t="s">
        <v>3711</v>
      </c>
      <c r="H7" s="704"/>
      <c r="I7" s="718"/>
      <c r="J7" s="36"/>
      <c r="K7" s="37"/>
      <c r="L7" s="38"/>
      <c r="M7" s="72" t="s">
        <v>1416</v>
      </c>
      <c r="O7" s="57"/>
      <c r="P7" s="35"/>
      <c r="S7" s="39">
        <f>_11_A重度研修１．０+ROUND((_11_B重度研修１．０＿０．５*(1+_11・B夜間)),0)</f>
        <v>298</v>
      </c>
      <c r="T7" s="40" t="s">
        <v>395</v>
      </c>
    </row>
    <row r="8" spans="1:20" ht="16.5" customHeight="1" x14ac:dyDescent="0.15">
      <c r="A8" s="41">
        <v>11</v>
      </c>
      <c r="B8" s="41">
        <v>2274</v>
      </c>
      <c r="C8" s="74" t="s">
        <v>3712</v>
      </c>
      <c r="D8" s="709"/>
      <c r="E8" s="704"/>
      <c r="F8" s="739"/>
      <c r="G8" s="736"/>
      <c r="H8" s="704"/>
      <c r="I8" s="718"/>
      <c r="J8" s="44" t="s">
        <v>397</v>
      </c>
      <c r="K8" s="45" t="s">
        <v>398</v>
      </c>
      <c r="L8" s="46">
        <v>1</v>
      </c>
      <c r="M8" s="35" t="s">
        <v>398</v>
      </c>
      <c r="N8" s="13">
        <v>0.25</v>
      </c>
      <c r="O8" s="57" t="s">
        <v>3575</v>
      </c>
      <c r="P8" s="43"/>
      <c r="Q8" s="37"/>
      <c r="R8" s="38"/>
      <c r="S8" s="47">
        <f>ROUND((_11_A重度研修１．０*_11・２人),0)+ROUND((ROUND((_11_B重度研修１．０＿０．５*_11・２人),0)*(1+_11・B夜間)),0)</f>
        <v>298</v>
      </c>
      <c r="T8" s="48"/>
    </row>
    <row r="9" spans="1:20" ht="16.5" customHeight="1" x14ac:dyDescent="0.15">
      <c r="A9" s="41">
        <v>11</v>
      </c>
      <c r="B9" s="41" t="s">
        <v>3713</v>
      </c>
      <c r="C9" s="74" t="s">
        <v>3714</v>
      </c>
      <c r="D9" s="709"/>
      <c r="E9" s="704"/>
      <c r="F9" s="739"/>
      <c r="G9" s="736"/>
      <c r="H9" s="704"/>
      <c r="I9" s="718"/>
      <c r="J9" s="44"/>
      <c r="K9" s="45"/>
      <c r="L9" s="46"/>
      <c r="M9" s="35"/>
      <c r="O9" s="57"/>
      <c r="P9" s="734" t="s">
        <v>404</v>
      </c>
      <c r="Q9" s="49" t="s">
        <v>398</v>
      </c>
      <c r="R9" s="50">
        <f>_11・初任</f>
        <v>0.7</v>
      </c>
      <c r="S9" s="47">
        <f>ROUND((_11_A重度研修１．０*_11・初任),0)+ROUND((ROUND((_11_B重度研修１．０＿０．５*(1+_11・B夜間)),0)*_11・初任),0)</f>
        <v>209</v>
      </c>
      <c r="T9" s="48"/>
    </row>
    <row r="10" spans="1:20" ht="16.5" customHeight="1" x14ac:dyDescent="0.15">
      <c r="A10" s="41">
        <v>11</v>
      </c>
      <c r="B10" s="41" t="s">
        <v>3715</v>
      </c>
      <c r="C10" s="74" t="s">
        <v>3716</v>
      </c>
      <c r="D10" s="72"/>
      <c r="E10" s="170">
        <f>_11_A重度研修１．０</f>
        <v>185</v>
      </c>
      <c r="F10" s="171" t="s">
        <v>392</v>
      </c>
      <c r="G10" s="12"/>
      <c r="H10" s="170">
        <f>_11_B重度研修１．０＿０．５</f>
        <v>90</v>
      </c>
      <c r="I10" s="12" t="s">
        <v>392</v>
      </c>
      <c r="J10" s="44" t="s">
        <v>397</v>
      </c>
      <c r="K10" s="45" t="s">
        <v>398</v>
      </c>
      <c r="L10" s="46">
        <v>1</v>
      </c>
      <c r="M10" s="35"/>
      <c r="O10" s="57"/>
      <c r="P10" s="706"/>
      <c r="Q10" s="37"/>
      <c r="R10" s="38"/>
      <c r="S10" s="47">
        <f>ROUND((ROUND((_11_A重度研修１．０*_11・２人),0)*_11・初任),0)+ROUND((ROUND((ROUND((_11_B重度研修１．０＿０．５*_11・２人),0)*(1+_11・B夜間)),0)*_11・初任),0)</f>
        <v>209</v>
      </c>
      <c r="T10" s="48"/>
    </row>
    <row r="11" spans="1:20" ht="16.5" customHeight="1" x14ac:dyDescent="0.15">
      <c r="A11" s="41">
        <v>11</v>
      </c>
      <c r="B11" s="41">
        <v>2105</v>
      </c>
      <c r="C11" s="74" t="s">
        <v>3717</v>
      </c>
      <c r="D11" s="72"/>
      <c r="F11" s="169"/>
      <c r="G11" s="735" t="s">
        <v>3718</v>
      </c>
      <c r="H11" s="708"/>
      <c r="I11" s="717"/>
      <c r="J11" s="44"/>
      <c r="K11" s="45"/>
      <c r="L11" s="46"/>
      <c r="M11" s="35"/>
      <c r="O11" s="57"/>
      <c r="P11" s="53"/>
      <c r="Q11" s="49"/>
      <c r="R11" s="50"/>
      <c r="S11" s="47">
        <f>_11_A重度研修１．０+ROUND((_11_B重度研修１．０＿１．０*(1+_11・B夜間)),0)</f>
        <v>413</v>
      </c>
      <c r="T11" s="48"/>
    </row>
    <row r="12" spans="1:20" ht="16.5" customHeight="1" x14ac:dyDescent="0.15">
      <c r="A12" s="41">
        <v>11</v>
      </c>
      <c r="B12" s="41">
        <v>2106</v>
      </c>
      <c r="C12" s="74" t="s">
        <v>3719</v>
      </c>
      <c r="D12" s="72"/>
      <c r="F12" s="169"/>
      <c r="G12" s="736"/>
      <c r="H12" s="704"/>
      <c r="I12" s="718"/>
      <c r="J12" s="44" t="s">
        <v>397</v>
      </c>
      <c r="K12" s="45" t="s">
        <v>398</v>
      </c>
      <c r="L12" s="46">
        <v>1</v>
      </c>
      <c r="M12" s="35"/>
      <c r="O12" s="57"/>
      <c r="P12" s="43"/>
      <c r="Q12" s="37"/>
      <c r="R12" s="38"/>
      <c r="S12" s="47">
        <f>ROUND((_11_A重度研修１．０*_11・２人),0)+ROUND((ROUND((_11_B重度研修１．０＿１．０*_11・２人),0)*(1+_11・B夜間)),0)</f>
        <v>413</v>
      </c>
      <c r="T12" s="48"/>
    </row>
    <row r="13" spans="1:20" ht="16.5" customHeight="1" x14ac:dyDescent="0.15">
      <c r="A13" s="41">
        <v>11</v>
      </c>
      <c r="B13" s="41" t="s">
        <v>3720</v>
      </c>
      <c r="C13" s="74" t="s">
        <v>3721</v>
      </c>
      <c r="D13" s="72"/>
      <c r="F13" s="169"/>
      <c r="G13" s="736"/>
      <c r="H13" s="704"/>
      <c r="I13" s="718"/>
      <c r="J13" s="44"/>
      <c r="K13" s="45"/>
      <c r="L13" s="46"/>
      <c r="M13" s="35"/>
      <c r="O13" s="57"/>
      <c r="P13" s="734" t="s">
        <v>404</v>
      </c>
      <c r="Q13" s="49" t="s">
        <v>398</v>
      </c>
      <c r="R13" s="50">
        <f>_11・初任</f>
        <v>0.7</v>
      </c>
      <c r="S13" s="47">
        <f>ROUND((_11_A重度研修１．０*_11・初任),0)+ROUND((ROUND((_11_B重度研修１．０＿１．０*(1+_11・B夜間)),0)*_11・初任),0)</f>
        <v>290</v>
      </c>
      <c r="T13" s="48"/>
    </row>
    <row r="14" spans="1:20" ht="16.5" customHeight="1" x14ac:dyDescent="0.15">
      <c r="A14" s="41">
        <v>11</v>
      </c>
      <c r="B14" s="41" t="s">
        <v>3722</v>
      </c>
      <c r="C14" s="74" t="s">
        <v>3723</v>
      </c>
      <c r="D14" s="72"/>
      <c r="F14" s="169"/>
      <c r="G14" s="99"/>
      <c r="H14" s="170">
        <f>_11_B重度研修１．０＿１．０</f>
        <v>182</v>
      </c>
      <c r="I14" s="12" t="s">
        <v>392</v>
      </c>
      <c r="J14" s="44" t="s">
        <v>397</v>
      </c>
      <c r="K14" s="45" t="s">
        <v>398</v>
      </c>
      <c r="L14" s="46">
        <v>1</v>
      </c>
      <c r="M14" s="35"/>
      <c r="O14" s="57"/>
      <c r="P14" s="706"/>
      <c r="Q14" s="37"/>
      <c r="R14" s="38"/>
      <c r="S14" s="47">
        <f>ROUND((ROUND((_11_A重度研修１．０*_11・２人),0)*_11・初任),0)+ROUND((ROUND((ROUND((_11_B重度研修１．０＿１．０*_11・２人),0)*(1+_11・B夜間)),0)*_11・初任),0)</f>
        <v>290</v>
      </c>
      <c r="T14" s="48"/>
    </row>
    <row r="15" spans="1:20" ht="16.5" customHeight="1" x14ac:dyDescent="0.15">
      <c r="A15" s="41">
        <v>11</v>
      </c>
      <c r="B15" s="41">
        <v>2275</v>
      </c>
      <c r="C15" s="74" t="s">
        <v>3724</v>
      </c>
      <c r="D15" s="72"/>
      <c r="F15" s="169"/>
      <c r="G15" s="735" t="s">
        <v>3725</v>
      </c>
      <c r="H15" s="708"/>
      <c r="I15" s="717"/>
      <c r="J15" s="44"/>
      <c r="K15" s="45"/>
      <c r="L15" s="46"/>
      <c r="M15" s="35"/>
      <c r="O15" s="57"/>
      <c r="P15" s="53"/>
      <c r="Q15" s="49"/>
      <c r="R15" s="50"/>
      <c r="S15" s="47">
        <f>_11_A重度研修１．０+ROUND((_11_B重度研修１．０＿１．５*(1+_11・B夜間)),0)</f>
        <v>526</v>
      </c>
      <c r="T15" s="48"/>
    </row>
    <row r="16" spans="1:20" ht="16.5" customHeight="1" x14ac:dyDescent="0.15">
      <c r="A16" s="41">
        <v>11</v>
      </c>
      <c r="B16" s="41">
        <v>2276</v>
      </c>
      <c r="C16" s="74" t="s">
        <v>3726</v>
      </c>
      <c r="D16" s="72"/>
      <c r="F16" s="169"/>
      <c r="G16" s="736"/>
      <c r="H16" s="704"/>
      <c r="I16" s="718"/>
      <c r="J16" s="44" t="s">
        <v>397</v>
      </c>
      <c r="K16" s="45" t="s">
        <v>398</v>
      </c>
      <c r="L16" s="46">
        <v>1</v>
      </c>
      <c r="M16" s="35"/>
      <c r="O16" s="57"/>
      <c r="P16" s="43"/>
      <c r="Q16" s="37"/>
      <c r="R16" s="38"/>
      <c r="S16" s="47">
        <f>ROUND((_11_A重度研修１．０*_11・２人),0)+ROUND((ROUND((_11_B重度研修１．０＿１．５*_11・２人),0)*(1+_11・B夜間)),0)</f>
        <v>526</v>
      </c>
      <c r="T16" s="48"/>
    </row>
    <row r="17" spans="1:20" ht="16.5" customHeight="1" x14ac:dyDescent="0.15">
      <c r="A17" s="41">
        <v>11</v>
      </c>
      <c r="B17" s="41" t="s">
        <v>3727</v>
      </c>
      <c r="C17" s="74" t="s">
        <v>3728</v>
      </c>
      <c r="D17" s="72"/>
      <c r="F17" s="169"/>
      <c r="G17" s="736"/>
      <c r="H17" s="704"/>
      <c r="I17" s="718"/>
      <c r="J17" s="44"/>
      <c r="K17" s="45"/>
      <c r="L17" s="46"/>
      <c r="M17" s="35"/>
      <c r="O17" s="57"/>
      <c r="P17" s="734" t="s">
        <v>404</v>
      </c>
      <c r="Q17" s="49" t="s">
        <v>398</v>
      </c>
      <c r="R17" s="50">
        <f>_11・初任</f>
        <v>0.7</v>
      </c>
      <c r="S17" s="47">
        <f>ROUND((_11_A重度研修１．０*_11・初任),0)+ROUND((ROUND((_11_B重度研修１．０＿１．５*(1+_11・B夜間)),0)*_11・初任),0)</f>
        <v>369</v>
      </c>
      <c r="T17" s="48"/>
    </row>
    <row r="18" spans="1:20" ht="16.5" customHeight="1" x14ac:dyDescent="0.15">
      <c r="A18" s="41">
        <v>11</v>
      </c>
      <c r="B18" s="41" t="s">
        <v>3729</v>
      </c>
      <c r="C18" s="74" t="s">
        <v>3730</v>
      </c>
      <c r="D18" s="72"/>
      <c r="F18" s="169"/>
      <c r="G18" s="99"/>
      <c r="H18" s="170">
        <f>_11_B重度研修１．０＿１．５</f>
        <v>273</v>
      </c>
      <c r="I18" s="12" t="s">
        <v>392</v>
      </c>
      <c r="J18" s="44" t="s">
        <v>397</v>
      </c>
      <c r="K18" s="45" t="s">
        <v>398</v>
      </c>
      <c r="L18" s="46">
        <v>1</v>
      </c>
      <c r="M18" s="35"/>
      <c r="O18" s="57"/>
      <c r="P18" s="706"/>
      <c r="Q18" s="37"/>
      <c r="R18" s="38"/>
      <c r="S18" s="47">
        <f>ROUND((ROUND((_11_A重度研修１．０*_11・２人),0)*_11・初任),0)+ROUND((ROUND((ROUND((_11_B重度研修１．０＿１．５*_11・２人),0)*(1+_11・B夜間)),0)*_11・初任),0)</f>
        <v>369</v>
      </c>
      <c r="T18" s="48"/>
    </row>
    <row r="19" spans="1:20" ht="16.5" customHeight="1" x14ac:dyDescent="0.15">
      <c r="A19" s="41">
        <v>11</v>
      </c>
      <c r="B19" s="41">
        <v>2107</v>
      </c>
      <c r="C19" s="74" t="s">
        <v>3731</v>
      </c>
      <c r="D19" s="72"/>
      <c r="F19" s="169"/>
      <c r="G19" s="735" t="s">
        <v>3732</v>
      </c>
      <c r="H19" s="708"/>
      <c r="I19" s="717"/>
      <c r="J19" s="44"/>
      <c r="K19" s="45"/>
      <c r="L19" s="46"/>
      <c r="M19" s="35"/>
      <c r="O19" s="57"/>
      <c r="P19" s="53"/>
      <c r="Q19" s="49"/>
      <c r="R19" s="50"/>
      <c r="S19" s="47">
        <f>_11_A重度研修１．０+ROUND((_11_B重度研修１．０＿２．０*(1+_11・B夜間)),0)</f>
        <v>641</v>
      </c>
      <c r="T19" s="48"/>
    </row>
    <row r="20" spans="1:20" ht="16.5" customHeight="1" x14ac:dyDescent="0.15">
      <c r="A20" s="41">
        <v>11</v>
      </c>
      <c r="B20" s="41">
        <v>2108</v>
      </c>
      <c r="C20" s="74" t="s">
        <v>3733</v>
      </c>
      <c r="D20" s="72"/>
      <c r="F20" s="169"/>
      <c r="G20" s="736"/>
      <c r="H20" s="704"/>
      <c r="I20" s="718"/>
      <c r="J20" s="44" t="s">
        <v>397</v>
      </c>
      <c r="K20" s="45" t="s">
        <v>398</v>
      </c>
      <c r="L20" s="46">
        <v>1</v>
      </c>
      <c r="M20" s="35"/>
      <c r="O20" s="57"/>
      <c r="P20" s="43"/>
      <c r="Q20" s="37"/>
      <c r="R20" s="38"/>
      <c r="S20" s="47">
        <f>ROUND((_11_A重度研修１．０*_11・２人),0)+ROUND((ROUND((_11_B重度研修１．０＿２．０*_11・２人),0)*(1+_11・B夜間)),0)</f>
        <v>641</v>
      </c>
      <c r="T20" s="48"/>
    </row>
    <row r="21" spans="1:20" ht="16.5" customHeight="1" x14ac:dyDescent="0.15">
      <c r="A21" s="41">
        <v>11</v>
      </c>
      <c r="B21" s="41" t="s">
        <v>3734</v>
      </c>
      <c r="C21" s="74" t="s">
        <v>3735</v>
      </c>
      <c r="D21" s="72"/>
      <c r="F21" s="169"/>
      <c r="G21" s="736"/>
      <c r="H21" s="704"/>
      <c r="I21" s="718"/>
      <c r="J21" s="44"/>
      <c r="K21" s="45"/>
      <c r="L21" s="46"/>
      <c r="M21" s="35"/>
      <c r="O21" s="57"/>
      <c r="P21" s="734" t="s">
        <v>404</v>
      </c>
      <c r="Q21" s="49" t="s">
        <v>398</v>
      </c>
      <c r="R21" s="50">
        <f>_11・初任</f>
        <v>0.7</v>
      </c>
      <c r="S21" s="47">
        <f>ROUND((_11_A重度研修１．０*_11・初任),0)+ROUND((ROUND((_11_B重度研修１．０＿２．０*(1+_11・B夜間)),0)*_11・初任),0)</f>
        <v>449</v>
      </c>
      <c r="T21" s="48"/>
    </row>
    <row r="22" spans="1:20" ht="16.5" customHeight="1" x14ac:dyDescent="0.15">
      <c r="A22" s="41">
        <v>11</v>
      </c>
      <c r="B22" s="41" t="s">
        <v>3736</v>
      </c>
      <c r="C22" s="74" t="s">
        <v>3737</v>
      </c>
      <c r="D22" s="72"/>
      <c r="F22" s="169"/>
      <c r="G22" s="99"/>
      <c r="H22" s="170">
        <f>_11_B重度研修１．０＿２．０</f>
        <v>365</v>
      </c>
      <c r="I22" s="12" t="s">
        <v>392</v>
      </c>
      <c r="J22" s="44" t="s">
        <v>397</v>
      </c>
      <c r="K22" s="45" t="s">
        <v>398</v>
      </c>
      <c r="L22" s="46">
        <v>1</v>
      </c>
      <c r="M22" s="35"/>
      <c r="O22" s="57"/>
      <c r="P22" s="706"/>
      <c r="Q22" s="37"/>
      <c r="R22" s="38"/>
      <c r="S22" s="47">
        <f>ROUND((ROUND((_11_A重度研修１．０*_11・２人),0)*_11・初任),0)+ROUND((ROUND((ROUND((_11_B重度研修１．０＿２．０*_11・２人),0)*(1+_11・B夜間)),0)*_11・初任),0)</f>
        <v>449</v>
      </c>
      <c r="T22" s="48"/>
    </row>
    <row r="23" spans="1:20" ht="16.5" customHeight="1" x14ac:dyDescent="0.15">
      <c r="A23" s="41">
        <v>11</v>
      </c>
      <c r="B23" s="41">
        <v>2277</v>
      </c>
      <c r="C23" s="74" t="s">
        <v>3738</v>
      </c>
      <c r="D23" s="707" t="s">
        <v>3739</v>
      </c>
      <c r="E23" s="708"/>
      <c r="F23" s="740"/>
      <c r="G23" s="735" t="s">
        <v>3711</v>
      </c>
      <c r="H23" s="708"/>
      <c r="I23" s="717"/>
      <c r="J23" s="44"/>
      <c r="K23" s="45"/>
      <c r="L23" s="46"/>
      <c r="M23" s="35"/>
      <c r="O23" s="57"/>
      <c r="P23" s="53"/>
      <c r="Q23" s="49"/>
      <c r="R23" s="50"/>
      <c r="S23" s="47">
        <f>_11_A重度研修１．５+ROUND((_11_B重度研修１．５＿０．５*(1+_11・B夜間)),0)</f>
        <v>390</v>
      </c>
      <c r="T23" s="48"/>
    </row>
    <row r="24" spans="1:20" ht="16.5" customHeight="1" x14ac:dyDescent="0.15">
      <c r="A24" s="41">
        <v>11</v>
      </c>
      <c r="B24" s="41">
        <v>2278</v>
      </c>
      <c r="C24" s="74" t="s">
        <v>3740</v>
      </c>
      <c r="D24" s="709"/>
      <c r="E24" s="704"/>
      <c r="F24" s="739"/>
      <c r="G24" s="736"/>
      <c r="H24" s="704"/>
      <c r="I24" s="718"/>
      <c r="J24" s="44" t="s">
        <v>397</v>
      </c>
      <c r="K24" s="45" t="s">
        <v>398</v>
      </c>
      <c r="L24" s="46">
        <v>1</v>
      </c>
      <c r="M24" s="35"/>
      <c r="O24" s="57"/>
      <c r="P24" s="43"/>
      <c r="Q24" s="37"/>
      <c r="R24" s="38"/>
      <c r="S24" s="47">
        <f>ROUND((_11_A重度研修１．５*_11・２人),0)+ROUND((ROUND((_11_B重度研修１．５＿０．５*_11・２人),0)*(1+_11・B夜間)),0)</f>
        <v>390</v>
      </c>
      <c r="T24" s="48"/>
    </row>
    <row r="25" spans="1:20" ht="16.5" customHeight="1" x14ac:dyDescent="0.15">
      <c r="A25" s="41">
        <v>11</v>
      </c>
      <c r="B25" s="41" t="s">
        <v>3741</v>
      </c>
      <c r="C25" s="74" t="s">
        <v>3742</v>
      </c>
      <c r="D25" s="709"/>
      <c r="E25" s="704"/>
      <c r="F25" s="739"/>
      <c r="G25" s="736"/>
      <c r="H25" s="704"/>
      <c r="I25" s="718"/>
      <c r="J25" s="44"/>
      <c r="K25" s="45"/>
      <c r="L25" s="46"/>
      <c r="M25" s="35"/>
      <c r="O25" s="57"/>
      <c r="P25" s="734" t="s">
        <v>404</v>
      </c>
      <c r="Q25" s="49" t="s">
        <v>398</v>
      </c>
      <c r="R25" s="50">
        <f>_11・初任</f>
        <v>0.7</v>
      </c>
      <c r="S25" s="47">
        <f>ROUND((_11_A重度研修１．５*_11・初任),0)+ROUND((ROUND((_11_B重度研修１．５＿０．５*(1+_11・B夜間)),0)*_11・初任),0)</f>
        <v>274</v>
      </c>
      <c r="T25" s="48"/>
    </row>
    <row r="26" spans="1:20" ht="16.5" customHeight="1" x14ac:dyDescent="0.15">
      <c r="A26" s="41">
        <v>11</v>
      </c>
      <c r="B26" s="41" t="s">
        <v>3743</v>
      </c>
      <c r="C26" s="74" t="s">
        <v>3744</v>
      </c>
      <c r="D26" s="72"/>
      <c r="E26" s="170">
        <f>_11_A重度研修１．５</f>
        <v>275</v>
      </c>
      <c r="F26" s="171" t="s">
        <v>392</v>
      </c>
      <c r="G26" s="12"/>
      <c r="H26" s="170">
        <f>_11_B重度研修１．５＿０．５</f>
        <v>92</v>
      </c>
      <c r="I26" s="12" t="s">
        <v>392</v>
      </c>
      <c r="J26" s="44" t="s">
        <v>397</v>
      </c>
      <c r="K26" s="45" t="s">
        <v>398</v>
      </c>
      <c r="L26" s="46">
        <v>1</v>
      </c>
      <c r="M26" s="35"/>
      <c r="O26" s="57"/>
      <c r="P26" s="706"/>
      <c r="Q26" s="37"/>
      <c r="R26" s="38"/>
      <c r="S26" s="47">
        <f>ROUND((ROUND((_11_A重度研修１．５*_11・２人),0)*_11・初任),0)+ROUND((ROUND((ROUND((_11_B重度研修１．５＿０．５*_11・２人),0)*(1+_11・B夜間)),0)*_11・初任),0)</f>
        <v>274</v>
      </c>
      <c r="T26" s="48"/>
    </row>
    <row r="27" spans="1:20" ht="16.5" customHeight="1" x14ac:dyDescent="0.15">
      <c r="A27" s="41">
        <v>11</v>
      </c>
      <c r="B27" s="41">
        <v>2279</v>
      </c>
      <c r="C27" s="74" t="s">
        <v>3745</v>
      </c>
      <c r="D27" s="72"/>
      <c r="F27" s="169"/>
      <c r="G27" s="735" t="s">
        <v>3718</v>
      </c>
      <c r="H27" s="708"/>
      <c r="I27" s="717"/>
      <c r="J27" s="44"/>
      <c r="K27" s="45"/>
      <c r="L27" s="46"/>
      <c r="M27" s="35"/>
      <c r="O27" s="57"/>
      <c r="P27" s="53"/>
      <c r="Q27" s="49"/>
      <c r="R27" s="50"/>
      <c r="S27" s="47">
        <f>_11_A重度研修１．５+ROUND((_11_B重度研修１．５＿１．０*(1+_11・B夜間)),0)</f>
        <v>504</v>
      </c>
      <c r="T27" s="48"/>
    </row>
    <row r="28" spans="1:20" ht="16.5" customHeight="1" x14ac:dyDescent="0.15">
      <c r="A28" s="41">
        <v>11</v>
      </c>
      <c r="B28" s="41">
        <v>2280</v>
      </c>
      <c r="C28" s="74" t="s">
        <v>3746</v>
      </c>
      <c r="D28" s="72"/>
      <c r="F28" s="169"/>
      <c r="G28" s="736"/>
      <c r="H28" s="704"/>
      <c r="I28" s="718"/>
      <c r="J28" s="44" t="s">
        <v>397</v>
      </c>
      <c r="K28" s="45" t="s">
        <v>398</v>
      </c>
      <c r="L28" s="46">
        <v>1</v>
      </c>
      <c r="M28" s="35"/>
      <c r="O28" s="57"/>
      <c r="P28" s="43"/>
      <c r="Q28" s="37"/>
      <c r="R28" s="38"/>
      <c r="S28" s="47">
        <f>ROUND((_11_A重度研修１．５*_11・２人),0)+ROUND((ROUND((_11_B重度研修１．５＿１．０*_11・２人),0)*(1+_11・B夜間)),0)</f>
        <v>504</v>
      </c>
      <c r="T28" s="48"/>
    </row>
    <row r="29" spans="1:20" ht="16.5" customHeight="1" x14ac:dyDescent="0.15">
      <c r="A29" s="41">
        <v>11</v>
      </c>
      <c r="B29" s="41" t="s">
        <v>3747</v>
      </c>
      <c r="C29" s="74" t="s">
        <v>3748</v>
      </c>
      <c r="D29" s="72"/>
      <c r="F29" s="169"/>
      <c r="G29" s="736"/>
      <c r="H29" s="704"/>
      <c r="I29" s="718"/>
      <c r="J29" s="44"/>
      <c r="K29" s="45"/>
      <c r="L29" s="46"/>
      <c r="M29" s="35"/>
      <c r="O29" s="57"/>
      <c r="P29" s="734" t="s">
        <v>404</v>
      </c>
      <c r="Q29" s="49" t="s">
        <v>398</v>
      </c>
      <c r="R29" s="50">
        <f>_11・初任</f>
        <v>0.7</v>
      </c>
      <c r="S29" s="47">
        <f>ROUND((_11_A重度研修１．５*_11・初任),0)+ROUND((ROUND((_11_B重度研修１．５＿１．０*(1+_11・B夜間)),0)*_11・初任),0)</f>
        <v>353</v>
      </c>
      <c r="T29" s="48"/>
    </row>
    <row r="30" spans="1:20" ht="16.5" customHeight="1" x14ac:dyDescent="0.15">
      <c r="A30" s="41">
        <v>11</v>
      </c>
      <c r="B30" s="41" t="s">
        <v>3749</v>
      </c>
      <c r="C30" s="74" t="s">
        <v>3750</v>
      </c>
      <c r="D30" s="72"/>
      <c r="F30" s="169"/>
      <c r="G30" s="99"/>
      <c r="H30" s="170">
        <f>_11_B重度研修１．５＿１．０</f>
        <v>183</v>
      </c>
      <c r="I30" s="12" t="s">
        <v>392</v>
      </c>
      <c r="J30" s="44" t="s">
        <v>397</v>
      </c>
      <c r="K30" s="45" t="s">
        <v>398</v>
      </c>
      <c r="L30" s="46">
        <v>1</v>
      </c>
      <c r="M30" s="35"/>
      <c r="O30" s="57"/>
      <c r="P30" s="706"/>
      <c r="Q30" s="37"/>
      <c r="R30" s="38"/>
      <c r="S30" s="47">
        <f>ROUND((ROUND((_11_A重度研修１．５*_11・２人),0)*_11・初任),0)+ROUND((ROUND((ROUND((_11_B重度研修１．５＿１．０*_11・２人),0)*(1+_11・B夜間)),0)*_11・初任),0)</f>
        <v>353</v>
      </c>
      <c r="T30" s="48"/>
    </row>
    <row r="31" spans="1:20" ht="16.5" customHeight="1" x14ac:dyDescent="0.15">
      <c r="A31" s="41">
        <v>11</v>
      </c>
      <c r="B31" s="41">
        <v>2281</v>
      </c>
      <c r="C31" s="74" t="s">
        <v>3751</v>
      </c>
      <c r="D31" s="72"/>
      <c r="F31" s="169"/>
      <c r="G31" s="735" t="s">
        <v>3725</v>
      </c>
      <c r="H31" s="708"/>
      <c r="I31" s="717"/>
      <c r="J31" s="44"/>
      <c r="K31" s="45"/>
      <c r="L31" s="46"/>
      <c r="M31" s="35"/>
      <c r="O31" s="57"/>
      <c r="P31" s="53"/>
      <c r="Q31" s="49"/>
      <c r="R31" s="50"/>
      <c r="S31" s="47">
        <f>_11_A重度研修１．５+ROUND((_11_B重度研修１．５＿１．５*(1+_11・B夜間)),0)</f>
        <v>619</v>
      </c>
      <c r="T31" s="48"/>
    </row>
    <row r="32" spans="1:20" ht="16.5" customHeight="1" x14ac:dyDescent="0.15">
      <c r="A32" s="41">
        <v>11</v>
      </c>
      <c r="B32" s="41">
        <v>2282</v>
      </c>
      <c r="C32" s="74" t="s">
        <v>3752</v>
      </c>
      <c r="D32" s="72"/>
      <c r="F32" s="169"/>
      <c r="G32" s="736"/>
      <c r="H32" s="704"/>
      <c r="I32" s="718"/>
      <c r="J32" s="44" t="s">
        <v>397</v>
      </c>
      <c r="K32" s="45" t="s">
        <v>398</v>
      </c>
      <c r="L32" s="46">
        <v>1</v>
      </c>
      <c r="M32" s="35"/>
      <c r="O32" s="57"/>
      <c r="P32" s="43"/>
      <c r="Q32" s="37"/>
      <c r="R32" s="38"/>
      <c r="S32" s="47">
        <f>ROUND((_11_A重度研修１．５*_11・２人),0)+ROUND((ROUND((_11_B重度研修１．５＿１．５*_11・２人),0)*(1+_11・B夜間)),0)</f>
        <v>619</v>
      </c>
      <c r="T32" s="48"/>
    </row>
    <row r="33" spans="1:20" ht="16.5" customHeight="1" x14ac:dyDescent="0.15">
      <c r="A33" s="41">
        <v>11</v>
      </c>
      <c r="B33" s="41" t="s">
        <v>3753</v>
      </c>
      <c r="C33" s="74" t="s">
        <v>3754</v>
      </c>
      <c r="D33" s="72"/>
      <c r="F33" s="169"/>
      <c r="G33" s="736"/>
      <c r="H33" s="704"/>
      <c r="I33" s="718"/>
      <c r="J33" s="44"/>
      <c r="K33" s="45"/>
      <c r="L33" s="46"/>
      <c r="M33" s="35"/>
      <c r="O33" s="57"/>
      <c r="P33" s="734" t="s">
        <v>404</v>
      </c>
      <c r="Q33" s="49" t="s">
        <v>398</v>
      </c>
      <c r="R33" s="50">
        <f>_11・初任</f>
        <v>0.7</v>
      </c>
      <c r="S33" s="47">
        <f>ROUND((_11_A重度研修１．５*_11・初任),0)+ROUND((ROUND((_11_B重度研修１．５＿１．５*(1+_11・B夜間)),0)*_11・初任),0)</f>
        <v>434</v>
      </c>
      <c r="T33" s="48"/>
    </row>
    <row r="34" spans="1:20" ht="16.5" customHeight="1" x14ac:dyDescent="0.15">
      <c r="A34" s="41">
        <v>11</v>
      </c>
      <c r="B34" s="41" t="s">
        <v>3755</v>
      </c>
      <c r="C34" s="74" t="s">
        <v>3756</v>
      </c>
      <c r="D34" s="72"/>
      <c r="F34" s="169"/>
      <c r="G34" s="99"/>
      <c r="H34" s="170">
        <f>_11_B重度研修１．５＿１．５</f>
        <v>275</v>
      </c>
      <c r="I34" s="12" t="s">
        <v>392</v>
      </c>
      <c r="J34" s="44" t="s">
        <v>397</v>
      </c>
      <c r="K34" s="45" t="s">
        <v>398</v>
      </c>
      <c r="L34" s="46">
        <v>1</v>
      </c>
      <c r="M34" s="35"/>
      <c r="O34" s="57"/>
      <c r="P34" s="706"/>
      <c r="Q34" s="37"/>
      <c r="R34" s="38"/>
      <c r="S34" s="47">
        <f>ROUND((ROUND((_11_A重度研修１．５*_11・２人),0)*_11・初任),0)+ROUND((ROUND((ROUND((_11_B重度研修１．５＿１．５*_11・２人),0)*(1+_11・B夜間)),0)*_11・初任),0)</f>
        <v>434</v>
      </c>
      <c r="T34" s="48"/>
    </row>
    <row r="35" spans="1:20" ht="16.5" customHeight="1" x14ac:dyDescent="0.15">
      <c r="A35" s="41">
        <v>11</v>
      </c>
      <c r="B35" s="41">
        <v>2283</v>
      </c>
      <c r="C35" s="74" t="s">
        <v>3757</v>
      </c>
      <c r="D35" s="707" t="s">
        <v>3758</v>
      </c>
      <c r="E35" s="708"/>
      <c r="F35" s="740"/>
      <c r="G35" s="735" t="s">
        <v>3711</v>
      </c>
      <c r="H35" s="708"/>
      <c r="I35" s="717"/>
      <c r="J35" s="44"/>
      <c r="K35" s="45"/>
      <c r="L35" s="46"/>
      <c r="M35" s="35"/>
      <c r="O35" s="57"/>
      <c r="P35" s="53"/>
      <c r="Q35" s="49"/>
      <c r="R35" s="50"/>
      <c r="S35" s="47">
        <f>_11_A重度研修２．０+ROUND((_11_B重度研修２．０＿０．５*(1+_11・B夜間)),0)</f>
        <v>481</v>
      </c>
      <c r="T35" s="48"/>
    </row>
    <row r="36" spans="1:20" ht="16.5" customHeight="1" x14ac:dyDescent="0.15">
      <c r="A36" s="41">
        <v>11</v>
      </c>
      <c r="B36" s="41">
        <v>2284</v>
      </c>
      <c r="C36" s="74" t="s">
        <v>3759</v>
      </c>
      <c r="D36" s="709"/>
      <c r="E36" s="704"/>
      <c r="F36" s="739"/>
      <c r="G36" s="736"/>
      <c r="H36" s="704"/>
      <c r="I36" s="718"/>
      <c r="J36" s="44" t="s">
        <v>397</v>
      </c>
      <c r="K36" s="45" t="s">
        <v>398</v>
      </c>
      <c r="L36" s="46">
        <v>1</v>
      </c>
      <c r="M36" s="35"/>
      <c r="O36" s="57"/>
      <c r="P36" s="43"/>
      <c r="Q36" s="37"/>
      <c r="R36" s="38"/>
      <c r="S36" s="47">
        <f>ROUND((_11_A重度研修２．０*_11・２人),0)+ROUND((ROUND((_11_B重度研修２．０＿０．５*_11・２人),0)*(1+_11・B夜間)),0)</f>
        <v>481</v>
      </c>
      <c r="T36" s="48"/>
    </row>
    <row r="37" spans="1:20" ht="16.5" customHeight="1" x14ac:dyDescent="0.15">
      <c r="A37" s="41">
        <v>11</v>
      </c>
      <c r="B37" s="41" t="s">
        <v>3760</v>
      </c>
      <c r="C37" s="74" t="s">
        <v>3761</v>
      </c>
      <c r="D37" s="709"/>
      <c r="E37" s="704"/>
      <c r="F37" s="739"/>
      <c r="G37" s="736"/>
      <c r="H37" s="704"/>
      <c r="I37" s="718"/>
      <c r="J37" s="44"/>
      <c r="K37" s="45"/>
      <c r="L37" s="46"/>
      <c r="M37" s="35"/>
      <c r="O37" s="57"/>
      <c r="P37" s="734" t="s">
        <v>404</v>
      </c>
      <c r="Q37" s="49" t="s">
        <v>398</v>
      </c>
      <c r="R37" s="50">
        <f>_11・初任</f>
        <v>0.7</v>
      </c>
      <c r="S37" s="47">
        <f>ROUND((_11_A重度研修２．０*_11・初任),0)+ROUND((ROUND((_11_B重度研修２．０＿０．５*(1+_11・B夜間)),0)*_11・初任),0)</f>
        <v>337</v>
      </c>
      <c r="T37" s="48"/>
    </row>
    <row r="38" spans="1:20" ht="16.5" customHeight="1" x14ac:dyDescent="0.15">
      <c r="A38" s="41">
        <v>11</v>
      </c>
      <c r="B38" s="41" t="s">
        <v>3762</v>
      </c>
      <c r="C38" s="74" t="s">
        <v>3763</v>
      </c>
      <c r="D38" s="72"/>
      <c r="E38" s="170">
        <f>_11_A重度研修２．０</f>
        <v>367</v>
      </c>
      <c r="F38" s="171" t="s">
        <v>392</v>
      </c>
      <c r="G38" s="12"/>
      <c r="H38" s="170">
        <f>_11_B重度研修２．０＿０．５</f>
        <v>91</v>
      </c>
      <c r="I38" s="12" t="s">
        <v>392</v>
      </c>
      <c r="J38" s="44" t="s">
        <v>397</v>
      </c>
      <c r="K38" s="45" t="s">
        <v>398</v>
      </c>
      <c r="L38" s="46">
        <v>1</v>
      </c>
      <c r="M38" s="35"/>
      <c r="O38" s="57"/>
      <c r="P38" s="706"/>
      <c r="Q38" s="37"/>
      <c r="R38" s="38"/>
      <c r="S38" s="47">
        <f>ROUND((ROUND((_11_A重度研修２．０*_11・２人),0)*_11・初任),0)+ROUND((ROUND((ROUND((_11_B重度研修２．０＿０．５*_11・２人),0)*(1+_11・B夜間)),0)*_11・初任),0)</f>
        <v>337</v>
      </c>
      <c r="T38" s="48"/>
    </row>
    <row r="39" spans="1:20" ht="16.5" customHeight="1" x14ac:dyDescent="0.15">
      <c r="A39" s="41">
        <v>11</v>
      </c>
      <c r="B39" s="41">
        <v>2109</v>
      </c>
      <c r="C39" s="74" t="s">
        <v>3764</v>
      </c>
      <c r="D39" s="72"/>
      <c r="F39" s="169"/>
      <c r="G39" s="735" t="s">
        <v>3718</v>
      </c>
      <c r="H39" s="708"/>
      <c r="I39" s="717"/>
      <c r="J39" s="44"/>
      <c r="K39" s="45"/>
      <c r="L39" s="46"/>
      <c r="M39" s="35"/>
      <c r="O39" s="57"/>
      <c r="P39" s="53"/>
      <c r="Q39" s="49"/>
      <c r="R39" s="50"/>
      <c r="S39" s="47">
        <f>_11_A重度研修２．０+ROUND((_11_B重度研修２．０＿１．０*(1+_11・B夜間)),0)</f>
        <v>596</v>
      </c>
      <c r="T39" s="48"/>
    </row>
    <row r="40" spans="1:20" ht="16.5" customHeight="1" x14ac:dyDescent="0.15">
      <c r="A40" s="41">
        <v>11</v>
      </c>
      <c r="B40" s="41">
        <v>2110</v>
      </c>
      <c r="C40" s="74" t="s">
        <v>3765</v>
      </c>
      <c r="D40" s="72"/>
      <c r="F40" s="169"/>
      <c r="G40" s="736"/>
      <c r="H40" s="704"/>
      <c r="I40" s="718"/>
      <c r="J40" s="44" t="s">
        <v>397</v>
      </c>
      <c r="K40" s="45" t="s">
        <v>398</v>
      </c>
      <c r="L40" s="46">
        <v>1</v>
      </c>
      <c r="M40" s="35"/>
      <c r="O40" s="57"/>
      <c r="P40" s="43"/>
      <c r="Q40" s="37"/>
      <c r="R40" s="38"/>
      <c r="S40" s="47">
        <f>ROUND((_11_A重度研修２．０*_11・２人),0)+ROUND((ROUND((_11_B重度研修２．０＿１．０*_11・２人),0)*(1+_11・B夜間)),0)</f>
        <v>596</v>
      </c>
      <c r="T40" s="48"/>
    </row>
    <row r="41" spans="1:20" ht="16.5" customHeight="1" x14ac:dyDescent="0.15">
      <c r="A41" s="41">
        <v>11</v>
      </c>
      <c r="B41" s="41" t="s">
        <v>3766</v>
      </c>
      <c r="C41" s="74" t="s">
        <v>3767</v>
      </c>
      <c r="D41" s="72"/>
      <c r="F41" s="169"/>
      <c r="G41" s="736"/>
      <c r="H41" s="704"/>
      <c r="I41" s="718"/>
      <c r="J41" s="44"/>
      <c r="K41" s="45"/>
      <c r="L41" s="46"/>
      <c r="M41" s="35"/>
      <c r="O41" s="57"/>
      <c r="P41" s="734" t="s">
        <v>404</v>
      </c>
      <c r="Q41" s="49" t="s">
        <v>398</v>
      </c>
      <c r="R41" s="50">
        <f>_11・初任</f>
        <v>0.7</v>
      </c>
      <c r="S41" s="47">
        <f>ROUND((_11_A重度研修２．０*_11・初任),0)+ROUND((ROUND((_11_B重度研修２．０＿１．０*(1+_11・B夜間)),0)*_11・初任),0)</f>
        <v>417</v>
      </c>
      <c r="T41" s="48"/>
    </row>
    <row r="42" spans="1:20" ht="16.5" customHeight="1" x14ac:dyDescent="0.15">
      <c r="A42" s="41">
        <v>11</v>
      </c>
      <c r="B42" s="41" t="s">
        <v>3768</v>
      </c>
      <c r="C42" s="74" t="s">
        <v>3769</v>
      </c>
      <c r="D42" s="72"/>
      <c r="F42" s="169"/>
      <c r="G42" s="99"/>
      <c r="H42" s="170">
        <f>_11_B重度研修２．０＿１．０</f>
        <v>183</v>
      </c>
      <c r="I42" s="12" t="s">
        <v>392</v>
      </c>
      <c r="J42" s="44" t="s">
        <v>397</v>
      </c>
      <c r="K42" s="45" t="s">
        <v>398</v>
      </c>
      <c r="L42" s="46">
        <v>1</v>
      </c>
      <c r="M42" s="35"/>
      <c r="O42" s="57"/>
      <c r="P42" s="706"/>
      <c r="Q42" s="37"/>
      <c r="R42" s="38"/>
      <c r="S42" s="47">
        <f>ROUND((ROUND((_11_A重度研修２．０*_11・２人),0)*_11・初任),0)+ROUND((ROUND((ROUND((_11_B重度研修２．０＿１．０*_11・２人),0)*(1+_11・B夜間)),0)*_11・初任),0)</f>
        <v>417</v>
      </c>
      <c r="T42" s="48"/>
    </row>
    <row r="43" spans="1:20" ht="16.5" customHeight="1" x14ac:dyDescent="0.15">
      <c r="A43" s="41">
        <v>11</v>
      </c>
      <c r="B43" s="41">
        <v>2285</v>
      </c>
      <c r="C43" s="74" t="s">
        <v>3770</v>
      </c>
      <c r="D43" s="707" t="s">
        <v>3771</v>
      </c>
      <c r="E43" s="708"/>
      <c r="F43" s="740"/>
      <c r="G43" s="735" t="s">
        <v>3711</v>
      </c>
      <c r="H43" s="708"/>
      <c r="I43" s="717"/>
      <c r="J43" s="44"/>
      <c r="K43" s="45"/>
      <c r="L43" s="46"/>
      <c r="M43" s="35"/>
      <c r="O43" s="57"/>
      <c r="P43" s="53"/>
      <c r="Q43" s="49"/>
      <c r="R43" s="50"/>
      <c r="S43" s="47">
        <f>_11_A重度研修２．５+ROUND((_11_B重度研修２．５＿０．５*(1+_11・B夜間)),0)</f>
        <v>573</v>
      </c>
      <c r="T43" s="48"/>
    </row>
    <row r="44" spans="1:20" ht="16.5" customHeight="1" x14ac:dyDescent="0.15">
      <c r="A44" s="41">
        <v>11</v>
      </c>
      <c r="B44" s="41">
        <v>2286</v>
      </c>
      <c r="C44" s="74" t="s">
        <v>3772</v>
      </c>
      <c r="D44" s="709"/>
      <c r="E44" s="704"/>
      <c r="F44" s="739"/>
      <c r="G44" s="736"/>
      <c r="H44" s="704"/>
      <c r="I44" s="718"/>
      <c r="J44" s="44" t="s">
        <v>397</v>
      </c>
      <c r="K44" s="45" t="s">
        <v>398</v>
      </c>
      <c r="L44" s="46">
        <v>1</v>
      </c>
      <c r="M44" s="35"/>
      <c r="O44" s="57"/>
      <c r="P44" s="43"/>
      <c r="Q44" s="37"/>
      <c r="R44" s="38"/>
      <c r="S44" s="47">
        <f>ROUND((_11_A重度研修２．５*_11・２人),0)+ROUND((ROUND((_11_B重度研修２．５＿０．５*_11・２人),0)*(1+_11・B夜間)),0)</f>
        <v>573</v>
      </c>
      <c r="T44" s="48"/>
    </row>
    <row r="45" spans="1:20" ht="16.5" customHeight="1" x14ac:dyDescent="0.15">
      <c r="A45" s="41">
        <v>11</v>
      </c>
      <c r="B45" s="41" t="s">
        <v>3773</v>
      </c>
      <c r="C45" s="74" t="s">
        <v>3774</v>
      </c>
      <c r="D45" s="709"/>
      <c r="E45" s="704"/>
      <c r="F45" s="739"/>
      <c r="G45" s="736"/>
      <c r="H45" s="704"/>
      <c r="I45" s="718"/>
      <c r="J45" s="44"/>
      <c r="K45" s="45"/>
      <c r="L45" s="46"/>
      <c r="M45" s="35"/>
      <c r="O45" s="57"/>
      <c r="P45" s="734" t="s">
        <v>404</v>
      </c>
      <c r="Q45" s="49" t="s">
        <v>398</v>
      </c>
      <c r="R45" s="50">
        <f>_11・初任</f>
        <v>0.7</v>
      </c>
      <c r="S45" s="47">
        <f>ROUND((_11_A重度研修２．５*_11・初任),0)+ROUND((ROUND((_11_B重度研修２．５＿０．５*(1+_11・B夜間)),0)*_11・初任),0)</f>
        <v>402</v>
      </c>
      <c r="T45" s="48"/>
    </row>
    <row r="46" spans="1:20" ht="16.5" customHeight="1" x14ac:dyDescent="0.15">
      <c r="A46" s="41">
        <v>11</v>
      </c>
      <c r="B46" s="41" t="s">
        <v>3775</v>
      </c>
      <c r="C46" s="74" t="s">
        <v>3776</v>
      </c>
      <c r="D46" s="122"/>
      <c r="E46" s="176">
        <f>_11_A重度研修２．５</f>
        <v>458</v>
      </c>
      <c r="F46" s="175" t="s">
        <v>392</v>
      </c>
      <c r="G46" s="37"/>
      <c r="H46" s="176">
        <f>_11_B重度研修２．５＿０．５</f>
        <v>92</v>
      </c>
      <c r="I46" s="37" t="s">
        <v>392</v>
      </c>
      <c r="J46" s="44" t="s">
        <v>397</v>
      </c>
      <c r="K46" s="45" t="s">
        <v>398</v>
      </c>
      <c r="L46" s="46">
        <v>1</v>
      </c>
      <c r="M46" s="43"/>
      <c r="N46" s="38"/>
      <c r="O46" s="79"/>
      <c r="P46" s="706"/>
      <c r="Q46" s="37"/>
      <c r="R46" s="38"/>
      <c r="S46" s="47">
        <f>ROUND((ROUND((_11_A重度研修２．５*_11・２人),0)*_11・初任),0)+ROUND((ROUND((ROUND((_11_B重度研修２．５＿０．５*_11・２人),0)*(1+_11・B夜間)),0)*_11・初任),0)</f>
        <v>402</v>
      </c>
      <c r="T46" s="63"/>
    </row>
    <row r="47" spans="1:20" ht="16.5" customHeight="1" x14ac:dyDescent="0.15">
      <c r="G47" s="99"/>
    </row>
  </sheetData>
  <mergeCells count="25">
    <mergeCell ref="G39:I41"/>
    <mergeCell ref="P41:P42"/>
    <mergeCell ref="D43:F45"/>
    <mergeCell ref="G43:I45"/>
    <mergeCell ref="P45:P46"/>
    <mergeCell ref="G27:I29"/>
    <mergeCell ref="P29:P30"/>
    <mergeCell ref="G31:I33"/>
    <mergeCell ref="P33:P34"/>
    <mergeCell ref="D35:F37"/>
    <mergeCell ref="G35:I37"/>
    <mergeCell ref="P37:P38"/>
    <mergeCell ref="G15:I17"/>
    <mergeCell ref="P17:P18"/>
    <mergeCell ref="G19:I21"/>
    <mergeCell ref="P21:P22"/>
    <mergeCell ref="D23:F25"/>
    <mergeCell ref="G23:I25"/>
    <mergeCell ref="P25:P26"/>
    <mergeCell ref="G6:I6"/>
    <mergeCell ref="D7:F9"/>
    <mergeCell ref="G7:I9"/>
    <mergeCell ref="P9:P10"/>
    <mergeCell ref="G11:I13"/>
    <mergeCell ref="P13:P14"/>
  </mergeCells>
  <phoneticPr fontId="1"/>
  <printOptions horizontalCentered="1"/>
  <pageMargins left="0.70866141732283472" right="0.70866141732283472" top="0.74803149606299213" bottom="0.74803149606299213" header="0.31496062992125984" footer="0.31496062992125984"/>
  <pageSetup paperSize="9" scale="52" fitToHeight="0" orientation="portrait" r:id="rId1"/>
  <headerFooter>
    <oddHeader>&amp;R&amp;"ＭＳ Ｐゴシック"&amp;9居宅介護</oddHeader>
    <oddFooter>&amp;C&amp;"ＭＳ Ｐゴシック"&amp;14&amp;P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pageSetUpPr fitToPage="1"/>
  </sheetPr>
  <dimension ref="A1:W47"/>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1.875" style="10" bestFit="1" customWidth="1"/>
    <col min="4" max="4" width="2.5" style="10" customWidth="1"/>
    <col min="5" max="5" width="4.875" style="10" customWidth="1"/>
    <col min="6" max="6" width="5.5" style="117" customWidth="1"/>
    <col min="7" max="7" width="2.5" style="117" customWidth="1"/>
    <col min="8" max="8" width="4.875" style="10" customWidth="1"/>
    <col min="9" max="9" width="5.5" style="117" bestFit="1" customWidth="1"/>
    <col min="10" max="10" width="24.875" style="14" bestFit="1" customWidth="1"/>
    <col min="11" max="11" width="3.5" style="12" bestFit="1" customWidth="1"/>
    <col min="12" max="12" width="5.5" style="13" bestFit="1" customWidth="1"/>
    <col min="13" max="13" width="3.5" style="12" bestFit="1" customWidth="1"/>
    <col min="14" max="14" width="4.5" style="13" bestFit="1" customWidth="1"/>
    <col min="15" max="15" width="5.5" style="12" bestFit="1" customWidth="1"/>
    <col min="16" max="16" width="3.5" style="12" bestFit="1" customWidth="1"/>
    <col min="17" max="17" width="4.5" style="13" bestFit="1" customWidth="1"/>
    <col min="18" max="18" width="5.5" style="12" bestFit="1" customWidth="1"/>
    <col min="19" max="19" width="17.875" style="12" customWidth="1"/>
    <col min="20" max="20" width="3.5" style="12" bestFit="1" customWidth="1"/>
    <col min="21" max="21" width="4.5" style="13" bestFit="1" customWidth="1"/>
    <col min="22" max="22" width="7.125" style="15" customWidth="1"/>
    <col min="23" max="23" width="8.5" style="16" customWidth="1"/>
    <col min="24" max="16384" width="8.875" style="12"/>
  </cols>
  <sheetData>
    <row r="1" spans="1:23" ht="17.100000000000001" customHeight="1" x14ac:dyDescent="0.15">
      <c r="E1" s="11"/>
      <c r="H1" s="11"/>
    </row>
    <row r="2" spans="1:23" ht="17.100000000000001" customHeight="1" x14ac:dyDescent="0.15"/>
    <row r="3" spans="1:23" ht="17.100000000000001" customHeight="1" x14ac:dyDescent="0.15">
      <c r="G3" s="99"/>
    </row>
    <row r="4" spans="1:23" ht="17.100000000000001" customHeight="1" x14ac:dyDescent="0.15">
      <c r="B4" s="17" t="s">
        <v>3777</v>
      </c>
      <c r="E4" s="71"/>
      <c r="G4" s="99"/>
    </row>
    <row r="5" spans="1:23" ht="16.5" customHeight="1" x14ac:dyDescent="0.15">
      <c r="A5" s="19" t="s">
        <v>384</v>
      </c>
      <c r="B5" s="20"/>
      <c r="C5" s="21" t="s">
        <v>385</v>
      </c>
      <c r="D5" s="166"/>
      <c r="E5" s="23" t="s">
        <v>386</v>
      </c>
      <c r="F5" s="118"/>
      <c r="G5" s="118"/>
      <c r="H5" s="23"/>
      <c r="I5" s="118"/>
      <c r="J5" s="23"/>
      <c r="K5" s="23"/>
      <c r="L5" s="24"/>
      <c r="M5" s="23"/>
      <c r="N5" s="24"/>
      <c r="O5" s="23"/>
      <c r="P5" s="23"/>
      <c r="Q5" s="24"/>
      <c r="R5" s="23"/>
      <c r="S5" s="23"/>
      <c r="T5" s="23"/>
      <c r="U5" s="24"/>
      <c r="V5" s="25" t="s">
        <v>387</v>
      </c>
      <c r="W5" s="21" t="s">
        <v>388</v>
      </c>
    </row>
    <row r="6" spans="1:23" ht="16.5" customHeight="1" x14ac:dyDescent="0.15">
      <c r="A6" s="26" t="s">
        <v>389</v>
      </c>
      <c r="B6" s="26" t="s">
        <v>390</v>
      </c>
      <c r="C6" s="159"/>
      <c r="D6" s="738" t="s">
        <v>1032</v>
      </c>
      <c r="E6" s="731"/>
      <c r="F6" s="737"/>
      <c r="G6" s="738" t="s">
        <v>1033</v>
      </c>
      <c r="H6" s="731"/>
      <c r="I6" s="727"/>
      <c r="J6" s="29"/>
      <c r="K6" s="29"/>
      <c r="L6" s="30"/>
      <c r="M6" s="29"/>
      <c r="N6" s="30"/>
      <c r="O6" s="29"/>
      <c r="P6" s="29"/>
      <c r="Q6" s="30"/>
      <c r="R6" s="29"/>
      <c r="S6" s="29"/>
      <c r="T6" s="29"/>
      <c r="U6" s="30"/>
      <c r="V6" s="31" t="s">
        <v>391</v>
      </c>
      <c r="W6" s="32" t="s">
        <v>392</v>
      </c>
    </row>
    <row r="7" spans="1:23" ht="16.5" customHeight="1" x14ac:dyDescent="0.15">
      <c r="A7" s="33">
        <v>11</v>
      </c>
      <c r="B7" s="33">
        <v>2287</v>
      </c>
      <c r="C7" s="34" t="s">
        <v>3778</v>
      </c>
      <c r="D7" s="709" t="s">
        <v>3779</v>
      </c>
      <c r="E7" s="704"/>
      <c r="F7" s="739"/>
      <c r="G7" s="736" t="s">
        <v>3780</v>
      </c>
      <c r="H7" s="704"/>
      <c r="I7" s="718"/>
      <c r="J7" s="36"/>
      <c r="K7" s="37"/>
      <c r="L7" s="38"/>
      <c r="M7" s="72" t="s">
        <v>1416</v>
      </c>
      <c r="O7" s="57"/>
      <c r="P7" s="72" t="s">
        <v>1618</v>
      </c>
      <c r="R7" s="57"/>
      <c r="S7" s="35"/>
      <c r="V7" s="39">
        <f>ROUND((_11_A重度研修１．０*(1+_11・A夜間)),0)+ROUND((_11_B重度研修１．０＿０．５*(1+_11・B深夜)),0)</f>
        <v>366</v>
      </c>
      <c r="W7" s="40" t="s">
        <v>395</v>
      </c>
    </row>
    <row r="8" spans="1:23" ht="16.5" customHeight="1" x14ac:dyDescent="0.15">
      <c r="A8" s="41">
        <v>11</v>
      </c>
      <c r="B8" s="41">
        <v>2288</v>
      </c>
      <c r="C8" s="74" t="s">
        <v>3781</v>
      </c>
      <c r="D8" s="709"/>
      <c r="E8" s="704"/>
      <c r="F8" s="739"/>
      <c r="G8" s="736"/>
      <c r="H8" s="704"/>
      <c r="I8" s="718"/>
      <c r="J8" s="44" t="s">
        <v>397</v>
      </c>
      <c r="K8" s="45" t="s">
        <v>398</v>
      </c>
      <c r="L8" s="46">
        <v>1</v>
      </c>
      <c r="M8" s="35" t="s">
        <v>398</v>
      </c>
      <c r="N8" s="13">
        <v>0.25</v>
      </c>
      <c r="O8" s="57" t="s">
        <v>3575</v>
      </c>
      <c r="P8" s="35" t="s">
        <v>398</v>
      </c>
      <c r="Q8" s="13">
        <v>0.5</v>
      </c>
      <c r="R8" s="57" t="s">
        <v>3575</v>
      </c>
      <c r="S8" s="43"/>
      <c r="T8" s="37"/>
      <c r="U8" s="38"/>
      <c r="V8" s="47">
        <f>ROUND((ROUND((_11_A重度研修１．０*_11・２人),0)*(1+_11・A夜間)),0)+ROUND((ROUND((_11_B重度研修１．０＿０．５*_11・２人),0)*(1+_11・B深夜)),0)</f>
        <v>366</v>
      </c>
      <c r="W8" s="48"/>
    </row>
    <row r="9" spans="1:23" ht="16.5" customHeight="1" x14ac:dyDescent="0.15">
      <c r="A9" s="41">
        <v>11</v>
      </c>
      <c r="B9" s="41" t="s">
        <v>3782</v>
      </c>
      <c r="C9" s="74" t="s">
        <v>3783</v>
      </c>
      <c r="D9" s="709"/>
      <c r="E9" s="704"/>
      <c r="F9" s="739"/>
      <c r="G9" s="736"/>
      <c r="H9" s="704"/>
      <c r="I9" s="718"/>
      <c r="J9" s="44"/>
      <c r="K9" s="45"/>
      <c r="L9" s="46"/>
      <c r="M9" s="35"/>
      <c r="O9" s="57"/>
      <c r="P9" s="35"/>
      <c r="R9" s="57"/>
      <c r="S9" s="734" t="s">
        <v>404</v>
      </c>
      <c r="T9" s="49" t="s">
        <v>398</v>
      </c>
      <c r="U9" s="50">
        <f>_11・初任</f>
        <v>0.7</v>
      </c>
      <c r="V9" s="47">
        <f>ROUND((ROUND((_11_A重度研修１．０*(1+_11・A夜間)),0)*_11・初任),0)+ROUND((ROUND((_11_B重度研修１．０＿０．５*(1+_11・B深夜)),0)*_11・初任),0)</f>
        <v>257</v>
      </c>
      <c r="W9" s="48"/>
    </row>
    <row r="10" spans="1:23" ht="16.5" customHeight="1" x14ac:dyDescent="0.15">
      <c r="A10" s="41">
        <v>11</v>
      </c>
      <c r="B10" s="41" t="s">
        <v>3784</v>
      </c>
      <c r="C10" s="74" t="s">
        <v>3785</v>
      </c>
      <c r="D10" s="72"/>
      <c r="E10" s="170">
        <f>_11_A重度研修１．０</f>
        <v>185</v>
      </c>
      <c r="F10" s="12" t="s">
        <v>392</v>
      </c>
      <c r="G10" s="178"/>
      <c r="H10" s="170">
        <f>_11_B重度研修１．０＿０．５</f>
        <v>90</v>
      </c>
      <c r="I10" s="12" t="s">
        <v>392</v>
      </c>
      <c r="J10" s="44" t="s">
        <v>397</v>
      </c>
      <c r="K10" s="45" t="s">
        <v>398</v>
      </c>
      <c r="L10" s="46">
        <v>1</v>
      </c>
      <c r="M10" s="35"/>
      <c r="O10" s="57"/>
      <c r="P10" s="35"/>
      <c r="R10" s="57"/>
      <c r="S10" s="706"/>
      <c r="T10" s="37"/>
      <c r="U10" s="38"/>
      <c r="V10" s="47">
        <f>ROUND((ROUND((ROUND((_11_A重度研修１．０*_11・２人),0)*(1+_11・A夜間)),0)*_11・初任),0)+ROUND((ROUND((ROUND((_11_B重度研修１．０＿０．５*_11・２人),0)*(1+_11・B深夜)),0)*_11・初任),0)</f>
        <v>257</v>
      </c>
      <c r="W10" s="48"/>
    </row>
    <row r="11" spans="1:23" ht="16.5" customHeight="1" x14ac:dyDescent="0.15">
      <c r="A11" s="41">
        <v>11</v>
      </c>
      <c r="B11" s="41">
        <v>2111</v>
      </c>
      <c r="C11" s="74" t="s">
        <v>3786</v>
      </c>
      <c r="D11" s="72"/>
      <c r="F11" s="99"/>
      <c r="G11" s="735" t="s">
        <v>3787</v>
      </c>
      <c r="H11" s="708"/>
      <c r="I11" s="717"/>
      <c r="J11" s="44"/>
      <c r="K11" s="45"/>
      <c r="L11" s="46"/>
      <c r="M11" s="35"/>
      <c r="O11" s="57"/>
      <c r="P11" s="35"/>
      <c r="R11" s="57"/>
      <c r="S11" s="53"/>
      <c r="T11" s="49"/>
      <c r="U11" s="50"/>
      <c r="V11" s="47">
        <f>ROUND((_11_A重度研修１．０*(1+_11・A夜間)),0)+ROUND((_11_B重度研修１．０＿１．０*(1+_11・B深夜)),0)</f>
        <v>504</v>
      </c>
      <c r="W11" s="48"/>
    </row>
    <row r="12" spans="1:23" ht="16.5" customHeight="1" x14ac:dyDescent="0.15">
      <c r="A12" s="41">
        <v>11</v>
      </c>
      <c r="B12" s="41">
        <v>2112</v>
      </c>
      <c r="C12" s="74" t="s">
        <v>3788</v>
      </c>
      <c r="D12" s="72"/>
      <c r="F12" s="99"/>
      <c r="G12" s="736"/>
      <c r="H12" s="704"/>
      <c r="I12" s="718"/>
      <c r="J12" s="44" t="s">
        <v>397</v>
      </c>
      <c r="K12" s="45" t="s">
        <v>398</v>
      </c>
      <c r="L12" s="46">
        <v>1</v>
      </c>
      <c r="M12" s="35"/>
      <c r="O12" s="57"/>
      <c r="P12" s="35"/>
      <c r="R12" s="57"/>
      <c r="S12" s="43"/>
      <c r="T12" s="37"/>
      <c r="U12" s="38"/>
      <c r="V12" s="47">
        <f>ROUND((ROUND((_11_A重度研修１．０*_11・２人),0)*(1+_11・A夜間)),0)+ROUND((ROUND((_11_B重度研修１．０＿１．０*_11・２人),0)*(1+_11・B深夜)),0)</f>
        <v>504</v>
      </c>
      <c r="W12" s="48"/>
    </row>
    <row r="13" spans="1:23" ht="16.5" customHeight="1" x14ac:dyDescent="0.15">
      <c r="A13" s="41">
        <v>11</v>
      </c>
      <c r="B13" s="41" t="s">
        <v>3789</v>
      </c>
      <c r="C13" s="74" t="s">
        <v>3790</v>
      </c>
      <c r="D13" s="72"/>
      <c r="F13" s="99"/>
      <c r="G13" s="736"/>
      <c r="H13" s="704"/>
      <c r="I13" s="718"/>
      <c r="J13" s="44"/>
      <c r="K13" s="45"/>
      <c r="L13" s="46"/>
      <c r="M13" s="35"/>
      <c r="O13" s="57"/>
      <c r="P13" s="35"/>
      <c r="R13" s="57"/>
      <c r="S13" s="734" t="s">
        <v>404</v>
      </c>
      <c r="T13" s="49" t="s">
        <v>398</v>
      </c>
      <c r="U13" s="50">
        <f>_11・初任</f>
        <v>0.7</v>
      </c>
      <c r="V13" s="47">
        <f>ROUND((ROUND((_11_A重度研修１．０*(1+_11・A夜間)),0)*_11・初任),0)+ROUND((ROUND((_11_B重度研修１．０＿１．０*(1+_11・B深夜)),0)*_11・初任),0)</f>
        <v>353</v>
      </c>
      <c r="W13" s="48"/>
    </row>
    <row r="14" spans="1:23" ht="16.5" customHeight="1" x14ac:dyDescent="0.15">
      <c r="A14" s="41">
        <v>11</v>
      </c>
      <c r="B14" s="41" t="s">
        <v>3791</v>
      </c>
      <c r="C14" s="74" t="s">
        <v>3792</v>
      </c>
      <c r="D14" s="72"/>
      <c r="F14" s="99"/>
      <c r="G14" s="179"/>
      <c r="H14" s="170">
        <f>_11_B重度研修１．０＿１．０</f>
        <v>182</v>
      </c>
      <c r="I14" s="12" t="s">
        <v>392</v>
      </c>
      <c r="J14" s="44" t="s">
        <v>397</v>
      </c>
      <c r="K14" s="45" t="s">
        <v>398</v>
      </c>
      <c r="L14" s="46">
        <v>1</v>
      </c>
      <c r="M14" s="35"/>
      <c r="O14" s="57"/>
      <c r="P14" s="35"/>
      <c r="R14" s="57"/>
      <c r="S14" s="706"/>
      <c r="T14" s="37"/>
      <c r="U14" s="38"/>
      <c r="V14" s="47">
        <f>ROUND((ROUND((ROUND((_11_A重度研修１．０*_11・２人),0)*(1+_11・A夜間)),0)*_11・初任),0)+ROUND((ROUND((ROUND((_11_B重度研修１．０＿１．０*_11・２人),0)*(1+_11・B深夜)),0)*_11・初任),0)</f>
        <v>353</v>
      </c>
      <c r="W14" s="48"/>
    </row>
    <row r="15" spans="1:23" ht="16.5" customHeight="1" x14ac:dyDescent="0.15">
      <c r="A15" s="41">
        <v>11</v>
      </c>
      <c r="B15" s="41">
        <v>2289</v>
      </c>
      <c r="C15" s="74" t="s">
        <v>3793</v>
      </c>
      <c r="D15" s="72"/>
      <c r="F15" s="99"/>
      <c r="G15" s="735" t="s">
        <v>3794</v>
      </c>
      <c r="H15" s="708"/>
      <c r="I15" s="717"/>
      <c r="J15" s="44"/>
      <c r="K15" s="45"/>
      <c r="L15" s="46"/>
      <c r="M15" s="35"/>
      <c r="O15" s="57"/>
      <c r="P15" s="35"/>
      <c r="R15" s="57"/>
      <c r="S15" s="53"/>
      <c r="T15" s="49"/>
      <c r="U15" s="50"/>
      <c r="V15" s="47">
        <f>ROUND((_11_A重度研修１．０*(1+_11・A夜間)),0)+ROUND((_11_B重度研修１．０＿１．５*(1+_11・B深夜)),0)</f>
        <v>641</v>
      </c>
      <c r="W15" s="48"/>
    </row>
    <row r="16" spans="1:23" ht="16.5" customHeight="1" x14ac:dyDescent="0.15">
      <c r="A16" s="41">
        <v>11</v>
      </c>
      <c r="B16" s="41">
        <v>2290</v>
      </c>
      <c r="C16" s="74" t="s">
        <v>3795</v>
      </c>
      <c r="D16" s="72"/>
      <c r="F16" s="99"/>
      <c r="G16" s="736"/>
      <c r="H16" s="704"/>
      <c r="I16" s="718"/>
      <c r="J16" s="44" t="s">
        <v>397</v>
      </c>
      <c r="K16" s="45" t="s">
        <v>398</v>
      </c>
      <c r="L16" s="46">
        <v>1</v>
      </c>
      <c r="M16" s="35"/>
      <c r="O16" s="57"/>
      <c r="P16" s="35"/>
      <c r="R16" s="57"/>
      <c r="S16" s="43"/>
      <c r="T16" s="37"/>
      <c r="U16" s="38"/>
      <c r="V16" s="47">
        <f>ROUND((ROUND((_11_A重度研修１．０*_11・２人),0)*(1+_11・A夜間)),0)+ROUND((ROUND((_11_B重度研修１．０＿１．５*_11・２人),0)*(1+_11・B深夜)),0)</f>
        <v>641</v>
      </c>
      <c r="W16" s="48"/>
    </row>
    <row r="17" spans="1:23" ht="16.5" customHeight="1" x14ac:dyDescent="0.15">
      <c r="A17" s="41">
        <v>11</v>
      </c>
      <c r="B17" s="41" t="s">
        <v>3796</v>
      </c>
      <c r="C17" s="74" t="s">
        <v>3797</v>
      </c>
      <c r="D17" s="72"/>
      <c r="F17" s="99"/>
      <c r="G17" s="736"/>
      <c r="H17" s="704"/>
      <c r="I17" s="718"/>
      <c r="J17" s="44"/>
      <c r="K17" s="45"/>
      <c r="L17" s="46"/>
      <c r="M17" s="35"/>
      <c r="O17" s="57"/>
      <c r="P17" s="35"/>
      <c r="R17" s="57"/>
      <c r="S17" s="734" t="s">
        <v>404</v>
      </c>
      <c r="T17" s="49" t="s">
        <v>398</v>
      </c>
      <c r="U17" s="50">
        <f>_11・初任</f>
        <v>0.7</v>
      </c>
      <c r="V17" s="47">
        <f>ROUND((ROUND((_11_A重度研修１．０*(1+_11・A夜間)),0)*_11・初任),0)+ROUND((ROUND((_11_B重度研修１．０＿１．５*(1+_11・B深夜)),0)*_11・初任),0)</f>
        <v>449</v>
      </c>
      <c r="W17" s="48"/>
    </row>
    <row r="18" spans="1:23" ht="16.5" customHeight="1" x14ac:dyDescent="0.15">
      <c r="A18" s="41">
        <v>11</v>
      </c>
      <c r="B18" s="41" t="s">
        <v>3798</v>
      </c>
      <c r="C18" s="74" t="s">
        <v>3799</v>
      </c>
      <c r="D18" s="72"/>
      <c r="F18" s="99"/>
      <c r="G18" s="179"/>
      <c r="H18" s="170">
        <f>_11_B重度研修１．０＿１．５</f>
        <v>273</v>
      </c>
      <c r="I18" s="12" t="s">
        <v>392</v>
      </c>
      <c r="J18" s="44" t="s">
        <v>397</v>
      </c>
      <c r="K18" s="45" t="s">
        <v>398</v>
      </c>
      <c r="L18" s="46">
        <v>1</v>
      </c>
      <c r="M18" s="35"/>
      <c r="O18" s="57"/>
      <c r="P18" s="35"/>
      <c r="R18" s="57"/>
      <c r="S18" s="706"/>
      <c r="T18" s="37"/>
      <c r="U18" s="38"/>
      <c r="V18" s="47">
        <f>ROUND((ROUND((ROUND((_11_A重度研修１．０*_11・２人),0)*(1+_11・A夜間)),0)*_11・初任),0)+ROUND((ROUND((ROUND((_11_B重度研修１．０＿１．５*_11・２人),0)*(1+_11・B深夜)),0)*_11・初任),0)</f>
        <v>449</v>
      </c>
      <c r="W18" s="48"/>
    </row>
    <row r="19" spans="1:23" ht="16.5" customHeight="1" x14ac:dyDescent="0.15">
      <c r="A19" s="41">
        <v>11</v>
      </c>
      <c r="B19" s="41">
        <v>2113</v>
      </c>
      <c r="C19" s="74" t="s">
        <v>3800</v>
      </c>
      <c r="D19" s="72"/>
      <c r="F19" s="99"/>
      <c r="G19" s="735" t="s">
        <v>3801</v>
      </c>
      <c r="H19" s="708"/>
      <c r="I19" s="717"/>
      <c r="J19" s="44"/>
      <c r="K19" s="45"/>
      <c r="L19" s="46"/>
      <c r="M19" s="35"/>
      <c r="O19" s="57"/>
      <c r="P19" s="35"/>
      <c r="R19" s="57"/>
      <c r="S19" s="53"/>
      <c r="T19" s="49"/>
      <c r="U19" s="50"/>
      <c r="V19" s="47">
        <f>ROUND((_11_A重度研修１．０*(1+_11・A夜間)),0)+ROUND((_11_B重度研修１．０＿２．０*(1+_11・B深夜)),0)</f>
        <v>779</v>
      </c>
      <c r="W19" s="48"/>
    </row>
    <row r="20" spans="1:23" ht="16.5" customHeight="1" x14ac:dyDescent="0.15">
      <c r="A20" s="41">
        <v>11</v>
      </c>
      <c r="B20" s="41">
        <v>2114</v>
      </c>
      <c r="C20" s="74" t="s">
        <v>3802</v>
      </c>
      <c r="D20" s="72"/>
      <c r="F20" s="99"/>
      <c r="G20" s="736"/>
      <c r="H20" s="704"/>
      <c r="I20" s="718"/>
      <c r="J20" s="44" t="s">
        <v>397</v>
      </c>
      <c r="K20" s="45" t="s">
        <v>398</v>
      </c>
      <c r="L20" s="46">
        <v>1</v>
      </c>
      <c r="M20" s="35"/>
      <c r="O20" s="57"/>
      <c r="P20" s="35"/>
      <c r="R20" s="57"/>
      <c r="S20" s="43"/>
      <c r="T20" s="37"/>
      <c r="U20" s="38"/>
      <c r="V20" s="47">
        <f>ROUND((ROUND((_11_A重度研修１．０*_11・２人),0)*(1+_11・A夜間)),0)+ROUND((ROUND((_11_B重度研修１．０＿２．０*_11・２人),0)*(1+_11・B深夜)),0)</f>
        <v>779</v>
      </c>
      <c r="W20" s="48"/>
    </row>
    <row r="21" spans="1:23" ht="16.5" customHeight="1" x14ac:dyDescent="0.15">
      <c r="A21" s="41">
        <v>11</v>
      </c>
      <c r="B21" s="41" t="s">
        <v>3803</v>
      </c>
      <c r="C21" s="74" t="s">
        <v>3804</v>
      </c>
      <c r="D21" s="72"/>
      <c r="F21" s="99"/>
      <c r="G21" s="736"/>
      <c r="H21" s="704"/>
      <c r="I21" s="718"/>
      <c r="J21" s="44"/>
      <c r="K21" s="45"/>
      <c r="L21" s="46"/>
      <c r="M21" s="35"/>
      <c r="O21" s="57"/>
      <c r="P21" s="35"/>
      <c r="R21" s="57"/>
      <c r="S21" s="734" t="s">
        <v>404</v>
      </c>
      <c r="T21" s="49" t="s">
        <v>398</v>
      </c>
      <c r="U21" s="50">
        <f>_11・初任</f>
        <v>0.7</v>
      </c>
      <c r="V21" s="47">
        <f>ROUND((ROUND((_11_A重度研修１．０*(1+_11・A夜間)),0)*_11・初任),0)+ROUND((ROUND((_11_B重度研修１．０＿２．０*(1+_11・B深夜)),0)*_11・初任),0)</f>
        <v>546</v>
      </c>
      <c r="W21" s="48"/>
    </row>
    <row r="22" spans="1:23" ht="16.5" customHeight="1" x14ac:dyDescent="0.15">
      <c r="A22" s="41">
        <v>11</v>
      </c>
      <c r="B22" s="41" t="s">
        <v>3805</v>
      </c>
      <c r="C22" s="74" t="s">
        <v>3806</v>
      </c>
      <c r="D22" s="72"/>
      <c r="F22" s="99"/>
      <c r="G22" s="179"/>
      <c r="H22" s="170">
        <f>_11_B重度研修１．０＿２．０</f>
        <v>365</v>
      </c>
      <c r="I22" s="12" t="s">
        <v>392</v>
      </c>
      <c r="J22" s="44" t="s">
        <v>397</v>
      </c>
      <c r="K22" s="45" t="s">
        <v>398</v>
      </c>
      <c r="L22" s="46">
        <v>1</v>
      </c>
      <c r="M22" s="35"/>
      <c r="O22" s="57"/>
      <c r="P22" s="35"/>
      <c r="R22" s="57"/>
      <c r="S22" s="706"/>
      <c r="T22" s="37"/>
      <c r="U22" s="38"/>
      <c r="V22" s="47">
        <f>ROUND((ROUND((ROUND((_11_A重度研修１．０*_11・２人),0)*(1+_11・A夜間)),0)*_11・初任),0)+ROUND((ROUND((ROUND((_11_B重度研修１．０＿２．０*_11・２人),0)*(1+_11・B深夜)),0)*_11・初任),0)</f>
        <v>546</v>
      </c>
      <c r="W22" s="48"/>
    </row>
    <row r="23" spans="1:23" ht="16.5" customHeight="1" x14ac:dyDescent="0.15">
      <c r="A23" s="41">
        <v>11</v>
      </c>
      <c r="B23" s="41">
        <v>2291</v>
      </c>
      <c r="C23" s="74" t="s">
        <v>3807</v>
      </c>
      <c r="D23" s="707" t="s">
        <v>3808</v>
      </c>
      <c r="E23" s="708"/>
      <c r="F23" s="740"/>
      <c r="G23" s="735" t="s">
        <v>3780</v>
      </c>
      <c r="H23" s="708"/>
      <c r="I23" s="717"/>
      <c r="J23" s="44"/>
      <c r="K23" s="45"/>
      <c r="L23" s="46"/>
      <c r="M23" s="35"/>
      <c r="O23" s="57"/>
      <c r="P23" s="35"/>
      <c r="R23" s="57"/>
      <c r="S23" s="53"/>
      <c r="T23" s="49"/>
      <c r="U23" s="50"/>
      <c r="V23" s="47">
        <f>ROUND((_11_A重度研修１．５*(1+_11・A夜間)),0)+ROUND((_11_B重度研修１．５＿０．５*(1+_11・B深夜)),0)</f>
        <v>482</v>
      </c>
      <c r="W23" s="48"/>
    </row>
    <row r="24" spans="1:23" ht="16.5" customHeight="1" x14ac:dyDescent="0.15">
      <c r="A24" s="41">
        <v>11</v>
      </c>
      <c r="B24" s="41">
        <v>2292</v>
      </c>
      <c r="C24" s="74" t="s">
        <v>3809</v>
      </c>
      <c r="D24" s="709"/>
      <c r="E24" s="704"/>
      <c r="F24" s="739"/>
      <c r="G24" s="736"/>
      <c r="H24" s="704"/>
      <c r="I24" s="718"/>
      <c r="J24" s="44" t="s">
        <v>397</v>
      </c>
      <c r="K24" s="45" t="s">
        <v>398</v>
      </c>
      <c r="L24" s="46">
        <v>1</v>
      </c>
      <c r="M24" s="35"/>
      <c r="O24" s="57"/>
      <c r="P24" s="35"/>
      <c r="R24" s="57"/>
      <c r="S24" s="43"/>
      <c r="T24" s="37"/>
      <c r="U24" s="38"/>
      <c r="V24" s="47">
        <f>ROUND((ROUND((_11_A重度研修１．５*_11・２人),0)*(1+_11・A夜間)),0)+ROUND((ROUND((_11_B重度研修１．５＿０．５*_11・２人),0)*(1+_11・B深夜)),0)</f>
        <v>482</v>
      </c>
      <c r="W24" s="48"/>
    </row>
    <row r="25" spans="1:23" ht="16.5" customHeight="1" x14ac:dyDescent="0.15">
      <c r="A25" s="41">
        <v>11</v>
      </c>
      <c r="B25" s="41" t="s">
        <v>3810</v>
      </c>
      <c r="C25" s="74" t="s">
        <v>3811</v>
      </c>
      <c r="D25" s="709"/>
      <c r="E25" s="704"/>
      <c r="F25" s="739"/>
      <c r="G25" s="736"/>
      <c r="H25" s="704"/>
      <c r="I25" s="718"/>
      <c r="J25" s="44"/>
      <c r="K25" s="45"/>
      <c r="L25" s="46"/>
      <c r="M25" s="35"/>
      <c r="O25" s="57"/>
      <c r="P25" s="35"/>
      <c r="R25" s="57"/>
      <c r="S25" s="734" t="s">
        <v>404</v>
      </c>
      <c r="T25" s="49" t="s">
        <v>398</v>
      </c>
      <c r="U25" s="50">
        <f>_11・初任</f>
        <v>0.7</v>
      </c>
      <c r="V25" s="47">
        <f>ROUND((ROUND((_11_A重度研修１．５*(1+_11・A夜間)),0)*_11・初任),0)+ROUND((ROUND((_11_B重度研修１．５＿０．５*(1+_11・B深夜)),0)*_11・初任),0)</f>
        <v>338</v>
      </c>
      <c r="W25" s="48"/>
    </row>
    <row r="26" spans="1:23" ht="16.5" customHeight="1" x14ac:dyDescent="0.15">
      <c r="A26" s="41">
        <v>11</v>
      </c>
      <c r="B26" s="41" t="s">
        <v>3812</v>
      </c>
      <c r="C26" s="74" t="s">
        <v>3813</v>
      </c>
      <c r="D26" s="72"/>
      <c r="E26" s="170">
        <f>_11_A重度研修１．５</f>
        <v>275</v>
      </c>
      <c r="F26" s="12" t="s">
        <v>392</v>
      </c>
      <c r="G26" s="178"/>
      <c r="H26" s="170">
        <f>_11_B重度研修１．５＿０．５</f>
        <v>92</v>
      </c>
      <c r="I26" s="12" t="s">
        <v>392</v>
      </c>
      <c r="J26" s="44" t="s">
        <v>397</v>
      </c>
      <c r="K26" s="45" t="s">
        <v>398</v>
      </c>
      <c r="L26" s="46">
        <v>1</v>
      </c>
      <c r="M26" s="35"/>
      <c r="O26" s="57"/>
      <c r="P26" s="35"/>
      <c r="R26" s="57"/>
      <c r="S26" s="706"/>
      <c r="T26" s="37"/>
      <c r="U26" s="38"/>
      <c r="V26" s="47">
        <f>ROUND((ROUND((ROUND((_11_A重度研修１．５*_11・２人),0)*(1+_11・A夜間)),0)*_11・初任),0)+ROUND((ROUND((ROUND((_11_B重度研修１．５＿０．５*_11・２人),0)*(1+_11・B深夜)),0)*_11・初任),0)</f>
        <v>338</v>
      </c>
      <c r="W26" s="48"/>
    </row>
    <row r="27" spans="1:23" ht="16.5" customHeight="1" x14ac:dyDescent="0.15">
      <c r="A27" s="41">
        <v>11</v>
      </c>
      <c r="B27" s="41">
        <v>2293</v>
      </c>
      <c r="C27" s="74" t="s">
        <v>3814</v>
      </c>
      <c r="D27" s="72"/>
      <c r="F27" s="99"/>
      <c r="G27" s="735" t="s">
        <v>3787</v>
      </c>
      <c r="H27" s="708"/>
      <c r="I27" s="717"/>
      <c r="J27" s="44"/>
      <c r="K27" s="45"/>
      <c r="L27" s="46"/>
      <c r="M27" s="35"/>
      <c r="O27" s="57"/>
      <c r="P27" s="35"/>
      <c r="R27" s="57"/>
      <c r="S27" s="53"/>
      <c r="T27" s="49"/>
      <c r="U27" s="50"/>
      <c r="V27" s="47">
        <f>ROUND((_11_A重度研修１．５*(1+_11・A夜間)),0)+ROUND((_11_B重度研修１．５＿１．０*(1+_11・B深夜)),0)</f>
        <v>619</v>
      </c>
      <c r="W27" s="48"/>
    </row>
    <row r="28" spans="1:23" ht="16.5" customHeight="1" x14ac:dyDescent="0.15">
      <c r="A28" s="41">
        <v>11</v>
      </c>
      <c r="B28" s="41">
        <v>2294</v>
      </c>
      <c r="C28" s="74" t="s">
        <v>3815</v>
      </c>
      <c r="D28" s="72"/>
      <c r="F28" s="99"/>
      <c r="G28" s="736"/>
      <c r="H28" s="704"/>
      <c r="I28" s="718"/>
      <c r="J28" s="44" t="s">
        <v>397</v>
      </c>
      <c r="K28" s="45" t="s">
        <v>398</v>
      </c>
      <c r="L28" s="46">
        <v>1</v>
      </c>
      <c r="M28" s="35"/>
      <c r="O28" s="57"/>
      <c r="P28" s="35"/>
      <c r="R28" s="57"/>
      <c r="S28" s="43"/>
      <c r="T28" s="37"/>
      <c r="U28" s="38"/>
      <c r="V28" s="47">
        <f>ROUND((ROUND((_11_A重度研修１．５*_11・２人),0)*(1+_11・A夜間)),0)+ROUND((ROUND((_11_B重度研修１．５＿１．０*_11・２人),0)*(1+_11・B深夜)),0)</f>
        <v>619</v>
      </c>
      <c r="W28" s="48"/>
    </row>
    <row r="29" spans="1:23" ht="16.5" customHeight="1" x14ac:dyDescent="0.15">
      <c r="A29" s="41">
        <v>11</v>
      </c>
      <c r="B29" s="41" t="s">
        <v>3816</v>
      </c>
      <c r="C29" s="74" t="s">
        <v>3817</v>
      </c>
      <c r="D29" s="72"/>
      <c r="F29" s="99"/>
      <c r="G29" s="736"/>
      <c r="H29" s="704"/>
      <c r="I29" s="718"/>
      <c r="J29" s="44"/>
      <c r="K29" s="45"/>
      <c r="L29" s="46"/>
      <c r="M29" s="35"/>
      <c r="O29" s="57"/>
      <c r="P29" s="35"/>
      <c r="R29" s="57"/>
      <c r="S29" s="734" t="s">
        <v>404</v>
      </c>
      <c r="T29" s="49" t="s">
        <v>398</v>
      </c>
      <c r="U29" s="50">
        <f>_11・初任</f>
        <v>0.7</v>
      </c>
      <c r="V29" s="47">
        <f>ROUND((ROUND((_11_A重度研修１．５*(1+_11・A夜間)),0)*_11・初任),0)+ROUND((ROUND((_11_B重度研修１．５＿１．０*(1+_11・B深夜)),0)*_11・初任),0)</f>
        <v>434</v>
      </c>
      <c r="W29" s="48"/>
    </row>
    <row r="30" spans="1:23" ht="16.5" customHeight="1" x14ac:dyDescent="0.15">
      <c r="A30" s="41">
        <v>11</v>
      </c>
      <c r="B30" s="41" t="s">
        <v>3818</v>
      </c>
      <c r="C30" s="74" t="s">
        <v>3819</v>
      </c>
      <c r="D30" s="72"/>
      <c r="F30" s="99"/>
      <c r="G30" s="179"/>
      <c r="H30" s="170">
        <f>_11_B重度研修１．５＿１．０</f>
        <v>183</v>
      </c>
      <c r="I30" s="12" t="s">
        <v>392</v>
      </c>
      <c r="J30" s="44" t="s">
        <v>397</v>
      </c>
      <c r="K30" s="45" t="s">
        <v>398</v>
      </c>
      <c r="L30" s="46">
        <v>1</v>
      </c>
      <c r="M30" s="35"/>
      <c r="O30" s="57"/>
      <c r="P30" s="35"/>
      <c r="R30" s="57"/>
      <c r="S30" s="706"/>
      <c r="T30" s="37"/>
      <c r="U30" s="38"/>
      <c r="V30" s="47">
        <f>ROUND((ROUND((ROUND((_11_A重度研修１．５*_11・２人),0)*(1+_11・A夜間)),0)*_11・初任),0)+ROUND((ROUND((ROUND((_11_B重度研修１．５＿１．０*_11・２人),0)*(1+_11・B深夜)),0)*_11・初任),0)</f>
        <v>434</v>
      </c>
      <c r="W30" s="48"/>
    </row>
    <row r="31" spans="1:23" ht="16.5" customHeight="1" x14ac:dyDescent="0.15">
      <c r="A31" s="41">
        <v>11</v>
      </c>
      <c r="B31" s="41">
        <v>2295</v>
      </c>
      <c r="C31" s="74" t="s">
        <v>3820</v>
      </c>
      <c r="D31" s="72"/>
      <c r="F31" s="99"/>
      <c r="G31" s="735" t="s">
        <v>3794</v>
      </c>
      <c r="H31" s="708"/>
      <c r="I31" s="717"/>
      <c r="J31" s="44"/>
      <c r="K31" s="45"/>
      <c r="L31" s="46"/>
      <c r="M31" s="35"/>
      <c r="O31" s="57"/>
      <c r="P31" s="35"/>
      <c r="R31" s="57"/>
      <c r="S31" s="53"/>
      <c r="T31" s="49"/>
      <c r="U31" s="50"/>
      <c r="V31" s="47">
        <f>ROUND((_11_A重度研修１．５*(1+_11・A夜間)),0)+ROUND((_11_B重度研修１．５＿１．５*(1+_11・B深夜)),0)</f>
        <v>757</v>
      </c>
      <c r="W31" s="48"/>
    </row>
    <row r="32" spans="1:23" ht="16.5" customHeight="1" x14ac:dyDescent="0.15">
      <c r="A32" s="41">
        <v>11</v>
      </c>
      <c r="B32" s="41">
        <v>2296</v>
      </c>
      <c r="C32" s="74" t="s">
        <v>3821</v>
      </c>
      <c r="D32" s="72"/>
      <c r="F32" s="99"/>
      <c r="G32" s="736"/>
      <c r="H32" s="704"/>
      <c r="I32" s="718"/>
      <c r="J32" s="44" t="s">
        <v>397</v>
      </c>
      <c r="K32" s="45" t="s">
        <v>398</v>
      </c>
      <c r="L32" s="46">
        <v>1</v>
      </c>
      <c r="M32" s="35"/>
      <c r="O32" s="57"/>
      <c r="P32" s="35"/>
      <c r="R32" s="57"/>
      <c r="S32" s="43"/>
      <c r="T32" s="37"/>
      <c r="U32" s="38"/>
      <c r="V32" s="47">
        <f>ROUND((ROUND((_11_A重度研修１．５*_11・２人),0)*(1+_11・A夜間)),0)+ROUND((ROUND((_11_B重度研修１．５＿１．５*_11・２人),0)*(1+_11・B深夜)),0)</f>
        <v>757</v>
      </c>
      <c r="W32" s="48"/>
    </row>
    <row r="33" spans="1:23" ht="16.5" customHeight="1" x14ac:dyDescent="0.15">
      <c r="A33" s="41">
        <v>11</v>
      </c>
      <c r="B33" s="41" t="s">
        <v>3822</v>
      </c>
      <c r="C33" s="74" t="s">
        <v>3823</v>
      </c>
      <c r="D33" s="72"/>
      <c r="F33" s="99"/>
      <c r="G33" s="736"/>
      <c r="H33" s="704"/>
      <c r="I33" s="718"/>
      <c r="J33" s="44"/>
      <c r="K33" s="45"/>
      <c r="L33" s="46"/>
      <c r="M33" s="35"/>
      <c r="O33" s="57"/>
      <c r="P33" s="35"/>
      <c r="R33" s="57"/>
      <c r="S33" s="734" t="s">
        <v>404</v>
      </c>
      <c r="T33" s="49" t="s">
        <v>398</v>
      </c>
      <c r="U33" s="50">
        <f>_11・初任</f>
        <v>0.7</v>
      </c>
      <c r="V33" s="47">
        <f>ROUND((ROUND((_11_A重度研修１．５*(1+_11・A夜間)),0)*_11・初任),0)+ROUND((ROUND((_11_B重度研修１．５＿１．５*(1+_11・B深夜)),0)*_11・初任),0)</f>
        <v>530</v>
      </c>
      <c r="W33" s="48"/>
    </row>
    <row r="34" spans="1:23" ht="16.5" customHeight="1" x14ac:dyDescent="0.15">
      <c r="A34" s="41">
        <v>11</v>
      </c>
      <c r="B34" s="41" t="s">
        <v>3824</v>
      </c>
      <c r="C34" s="74" t="s">
        <v>3825</v>
      </c>
      <c r="D34" s="72"/>
      <c r="F34" s="99"/>
      <c r="G34" s="179"/>
      <c r="H34" s="170">
        <f>_11_B重度研修１．５＿１．５</f>
        <v>275</v>
      </c>
      <c r="I34" s="12" t="s">
        <v>392</v>
      </c>
      <c r="J34" s="44" t="s">
        <v>397</v>
      </c>
      <c r="K34" s="45" t="s">
        <v>398</v>
      </c>
      <c r="L34" s="46">
        <v>1</v>
      </c>
      <c r="M34" s="35"/>
      <c r="O34" s="57"/>
      <c r="P34" s="35"/>
      <c r="R34" s="57"/>
      <c r="S34" s="706"/>
      <c r="T34" s="37"/>
      <c r="U34" s="38"/>
      <c r="V34" s="47">
        <f>ROUND((ROUND((ROUND((_11_A重度研修１．５*_11・２人),0)*(1+_11・A夜間)),0)*_11・初任),0)+ROUND((ROUND((ROUND((_11_B重度研修１．５＿１．５*_11・２人),0)*(1+_11・B深夜)),0)*_11・初任),0)</f>
        <v>530</v>
      </c>
      <c r="W34" s="48"/>
    </row>
    <row r="35" spans="1:23" ht="16.5" customHeight="1" x14ac:dyDescent="0.15">
      <c r="A35" s="41">
        <v>11</v>
      </c>
      <c r="B35" s="41">
        <v>2297</v>
      </c>
      <c r="C35" s="74" t="s">
        <v>3826</v>
      </c>
      <c r="D35" s="707" t="s">
        <v>3827</v>
      </c>
      <c r="E35" s="708"/>
      <c r="F35" s="740"/>
      <c r="G35" s="735" t="s">
        <v>3780</v>
      </c>
      <c r="H35" s="708"/>
      <c r="I35" s="717"/>
      <c r="J35" s="44"/>
      <c r="K35" s="45"/>
      <c r="L35" s="46"/>
      <c r="M35" s="35"/>
      <c r="O35" s="57"/>
      <c r="P35" s="35"/>
      <c r="R35" s="57"/>
      <c r="S35" s="53"/>
      <c r="T35" s="49"/>
      <c r="U35" s="50"/>
      <c r="V35" s="47">
        <f>ROUND((_11_A重度研修２．０*(1+_11・A夜間)),0)+ROUND((_11_B重度研修２．０＿０．５*(1+_11・B深夜)),0)</f>
        <v>596</v>
      </c>
      <c r="W35" s="48"/>
    </row>
    <row r="36" spans="1:23" ht="16.5" customHeight="1" x14ac:dyDescent="0.15">
      <c r="A36" s="41">
        <v>11</v>
      </c>
      <c r="B36" s="41">
        <v>2298</v>
      </c>
      <c r="C36" s="74" t="s">
        <v>3828</v>
      </c>
      <c r="D36" s="709"/>
      <c r="E36" s="704"/>
      <c r="F36" s="739"/>
      <c r="G36" s="736"/>
      <c r="H36" s="704"/>
      <c r="I36" s="718"/>
      <c r="J36" s="44" t="s">
        <v>397</v>
      </c>
      <c r="K36" s="45" t="s">
        <v>398</v>
      </c>
      <c r="L36" s="46">
        <v>1</v>
      </c>
      <c r="M36" s="35"/>
      <c r="O36" s="57"/>
      <c r="P36" s="35"/>
      <c r="R36" s="57"/>
      <c r="S36" s="43"/>
      <c r="T36" s="37"/>
      <c r="U36" s="38"/>
      <c r="V36" s="47">
        <f>ROUND((ROUND((_11_A重度研修２．０*_11・２人),0)*(1+_11・A夜間)),0)+ROUND((ROUND((_11_B重度研修２．０＿０．５*_11・２人),0)*(1+_11・B深夜)),0)</f>
        <v>596</v>
      </c>
      <c r="W36" s="48"/>
    </row>
    <row r="37" spans="1:23" ht="16.5" customHeight="1" x14ac:dyDescent="0.15">
      <c r="A37" s="41">
        <v>11</v>
      </c>
      <c r="B37" s="41" t="s">
        <v>3829</v>
      </c>
      <c r="C37" s="74" t="s">
        <v>3830</v>
      </c>
      <c r="D37" s="709"/>
      <c r="E37" s="704"/>
      <c r="F37" s="739"/>
      <c r="G37" s="736"/>
      <c r="H37" s="704"/>
      <c r="I37" s="718"/>
      <c r="J37" s="44"/>
      <c r="K37" s="45"/>
      <c r="L37" s="46"/>
      <c r="M37" s="35"/>
      <c r="O37" s="57"/>
      <c r="P37" s="35"/>
      <c r="R37" s="57"/>
      <c r="S37" s="734" t="s">
        <v>404</v>
      </c>
      <c r="T37" s="49" t="s">
        <v>398</v>
      </c>
      <c r="U37" s="50">
        <f>_11・初任</f>
        <v>0.7</v>
      </c>
      <c r="V37" s="47">
        <f>ROUND((ROUND((_11_A重度研修２．０*(1+_11・A夜間)),0)*_11・初任),0)+ROUND((ROUND((_11_B重度研修２．０＿０．５*(1+_11・B深夜)),0)*_11・初任),0)</f>
        <v>417</v>
      </c>
      <c r="W37" s="48"/>
    </row>
    <row r="38" spans="1:23" ht="16.5" customHeight="1" x14ac:dyDescent="0.15">
      <c r="A38" s="41">
        <v>11</v>
      </c>
      <c r="B38" s="41" t="s">
        <v>3831</v>
      </c>
      <c r="C38" s="74" t="s">
        <v>3832</v>
      </c>
      <c r="D38" s="72"/>
      <c r="E38" s="170">
        <f>_11_A重度研修２．０</f>
        <v>367</v>
      </c>
      <c r="F38" s="12" t="s">
        <v>392</v>
      </c>
      <c r="G38" s="178"/>
      <c r="H38" s="170">
        <f>_11_B重度研修２．０＿０．５</f>
        <v>91</v>
      </c>
      <c r="I38" s="12" t="s">
        <v>392</v>
      </c>
      <c r="J38" s="44" t="s">
        <v>397</v>
      </c>
      <c r="K38" s="45" t="s">
        <v>398</v>
      </c>
      <c r="L38" s="46">
        <v>1</v>
      </c>
      <c r="M38" s="35"/>
      <c r="O38" s="57"/>
      <c r="P38" s="35"/>
      <c r="R38" s="57"/>
      <c r="S38" s="706"/>
      <c r="T38" s="37"/>
      <c r="U38" s="38"/>
      <c r="V38" s="47">
        <f>ROUND((ROUND((ROUND((_11_A重度研修２．０*_11・２人),0)*(1+_11・A夜間)),0)*_11・初任),0)+ROUND((ROUND((ROUND((_11_B重度研修２．０＿０．５*_11・２人),0)*(1+_11・B深夜)),0)*_11・初任),0)</f>
        <v>417</v>
      </c>
      <c r="W38" s="48"/>
    </row>
    <row r="39" spans="1:23" ht="16.5" customHeight="1" x14ac:dyDescent="0.15">
      <c r="A39" s="41">
        <v>11</v>
      </c>
      <c r="B39" s="41">
        <v>2115</v>
      </c>
      <c r="C39" s="74" t="s">
        <v>3833</v>
      </c>
      <c r="D39" s="72"/>
      <c r="F39" s="99"/>
      <c r="G39" s="735" t="s">
        <v>3787</v>
      </c>
      <c r="H39" s="708"/>
      <c r="I39" s="717"/>
      <c r="J39" s="44"/>
      <c r="K39" s="45"/>
      <c r="L39" s="46"/>
      <c r="M39" s="35"/>
      <c r="O39" s="57"/>
      <c r="P39" s="35"/>
      <c r="R39" s="57"/>
      <c r="S39" s="53"/>
      <c r="T39" s="49"/>
      <c r="U39" s="50"/>
      <c r="V39" s="47">
        <f>ROUND((_11_A重度研修２．０*(1+_11・A夜間)),0)+ROUND((_11_B重度研修２．０＿１．０*(1+_11・B深夜)),0)</f>
        <v>734</v>
      </c>
      <c r="W39" s="48"/>
    </row>
    <row r="40" spans="1:23" ht="16.5" customHeight="1" x14ac:dyDescent="0.15">
      <c r="A40" s="41">
        <v>11</v>
      </c>
      <c r="B40" s="41">
        <v>2116</v>
      </c>
      <c r="C40" s="74" t="s">
        <v>3834</v>
      </c>
      <c r="D40" s="72"/>
      <c r="F40" s="99"/>
      <c r="G40" s="736"/>
      <c r="H40" s="704"/>
      <c r="I40" s="718"/>
      <c r="J40" s="44" t="s">
        <v>397</v>
      </c>
      <c r="K40" s="45" t="s">
        <v>398</v>
      </c>
      <c r="L40" s="46">
        <v>1</v>
      </c>
      <c r="M40" s="35"/>
      <c r="O40" s="57"/>
      <c r="P40" s="35"/>
      <c r="R40" s="57"/>
      <c r="S40" s="43"/>
      <c r="T40" s="37"/>
      <c r="U40" s="38"/>
      <c r="V40" s="47">
        <f>ROUND((ROUND((_11_A重度研修２．０*_11・２人),0)*(1+_11・A夜間)),0)+ROUND((ROUND((_11_B重度研修２．０＿１．０*_11・２人),0)*(1+_11・B深夜)),0)</f>
        <v>734</v>
      </c>
      <c r="W40" s="48"/>
    </row>
    <row r="41" spans="1:23" ht="16.5" customHeight="1" x14ac:dyDescent="0.15">
      <c r="A41" s="41">
        <v>11</v>
      </c>
      <c r="B41" s="41" t="s">
        <v>3835</v>
      </c>
      <c r="C41" s="74" t="s">
        <v>3836</v>
      </c>
      <c r="D41" s="72"/>
      <c r="F41" s="99"/>
      <c r="G41" s="736"/>
      <c r="H41" s="704"/>
      <c r="I41" s="718"/>
      <c r="J41" s="44"/>
      <c r="K41" s="45"/>
      <c r="L41" s="46"/>
      <c r="M41" s="35"/>
      <c r="O41" s="57"/>
      <c r="P41" s="35"/>
      <c r="R41" s="57"/>
      <c r="S41" s="734" t="s">
        <v>404</v>
      </c>
      <c r="T41" s="49" t="s">
        <v>398</v>
      </c>
      <c r="U41" s="50">
        <f>_11・初任</f>
        <v>0.7</v>
      </c>
      <c r="V41" s="47">
        <f>ROUND((ROUND((_11_A重度研修２．０*(1+_11・A夜間)),0)*_11・初任),0)+ROUND((ROUND((_11_B重度研修２．０＿１．０*(1+_11・B深夜)),0)*_11・初任),0)</f>
        <v>514</v>
      </c>
      <c r="W41" s="48"/>
    </row>
    <row r="42" spans="1:23" ht="16.5" customHeight="1" x14ac:dyDescent="0.15">
      <c r="A42" s="41">
        <v>11</v>
      </c>
      <c r="B42" s="41" t="s">
        <v>3837</v>
      </c>
      <c r="C42" s="74" t="s">
        <v>3838</v>
      </c>
      <c r="D42" s="72"/>
      <c r="F42" s="99"/>
      <c r="G42" s="179"/>
      <c r="H42" s="170">
        <f>_11_B重度研修２．０＿１．０</f>
        <v>183</v>
      </c>
      <c r="I42" s="12" t="s">
        <v>392</v>
      </c>
      <c r="J42" s="44" t="s">
        <v>397</v>
      </c>
      <c r="K42" s="45" t="s">
        <v>398</v>
      </c>
      <c r="L42" s="46">
        <v>1</v>
      </c>
      <c r="M42" s="35"/>
      <c r="O42" s="57"/>
      <c r="P42" s="35"/>
      <c r="R42" s="57"/>
      <c r="S42" s="706"/>
      <c r="T42" s="37"/>
      <c r="U42" s="38"/>
      <c r="V42" s="47">
        <f>ROUND((ROUND((ROUND((_11_A重度研修２．０*_11・２人),0)*(1+_11・A夜間)),0)*_11・初任),0)+ROUND((ROUND((ROUND((_11_B重度研修２．０＿１．０*_11・２人),0)*(1+_11・B深夜)),0)*_11・初任),0)</f>
        <v>514</v>
      </c>
      <c r="W42" s="48"/>
    </row>
    <row r="43" spans="1:23" ht="16.5" customHeight="1" x14ac:dyDescent="0.15">
      <c r="A43" s="41">
        <v>11</v>
      </c>
      <c r="B43" s="41">
        <v>2299</v>
      </c>
      <c r="C43" s="74" t="s">
        <v>3839</v>
      </c>
      <c r="D43" s="707" t="s">
        <v>3840</v>
      </c>
      <c r="E43" s="708"/>
      <c r="F43" s="717"/>
      <c r="G43" s="707" t="s">
        <v>3780</v>
      </c>
      <c r="H43" s="708"/>
      <c r="I43" s="717"/>
      <c r="J43" s="44"/>
      <c r="K43" s="45"/>
      <c r="L43" s="46"/>
      <c r="M43" s="35"/>
      <c r="O43" s="57"/>
      <c r="P43" s="35"/>
      <c r="R43" s="57"/>
      <c r="S43" s="53"/>
      <c r="T43" s="49"/>
      <c r="U43" s="50"/>
      <c r="V43" s="47">
        <f>ROUND((_11_A重度研修２．５*(1+_11・A夜間)),0)+ROUND((_11_B重度研修２．５＿０．５*(1+_11・B深夜)),0)</f>
        <v>711</v>
      </c>
      <c r="W43" s="48"/>
    </row>
    <row r="44" spans="1:23" ht="16.5" customHeight="1" x14ac:dyDescent="0.15">
      <c r="A44" s="41">
        <v>11</v>
      </c>
      <c r="B44" s="41">
        <v>2300</v>
      </c>
      <c r="C44" s="74" t="s">
        <v>3841</v>
      </c>
      <c r="D44" s="709"/>
      <c r="E44" s="704"/>
      <c r="F44" s="718"/>
      <c r="G44" s="709"/>
      <c r="H44" s="704"/>
      <c r="I44" s="718"/>
      <c r="J44" s="44" t="s">
        <v>397</v>
      </c>
      <c r="K44" s="45" t="s">
        <v>398</v>
      </c>
      <c r="L44" s="46">
        <v>1</v>
      </c>
      <c r="M44" s="35"/>
      <c r="O44" s="57"/>
      <c r="P44" s="35"/>
      <c r="R44" s="57"/>
      <c r="S44" s="43"/>
      <c r="T44" s="37"/>
      <c r="U44" s="38"/>
      <c r="V44" s="47">
        <f>ROUND((ROUND((_11_A重度研修２．５*_11・２人),0)*(1+_11・A夜間)),0)+ROUND((ROUND((_11_B重度研修２．５＿０．５*_11・２人),0)*(1+_11・B深夜)),0)</f>
        <v>711</v>
      </c>
      <c r="W44" s="48"/>
    </row>
    <row r="45" spans="1:23" ht="16.5" customHeight="1" x14ac:dyDescent="0.15">
      <c r="A45" s="41">
        <v>11</v>
      </c>
      <c r="B45" s="41" t="s">
        <v>3842</v>
      </c>
      <c r="C45" s="74" t="s">
        <v>3843</v>
      </c>
      <c r="D45" s="709"/>
      <c r="E45" s="704"/>
      <c r="F45" s="718"/>
      <c r="G45" s="709"/>
      <c r="H45" s="704"/>
      <c r="I45" s="718"/>
      <c r="J45" s="44"/>
      <c r="K45" s="45"/>
      <c r="L45" s="46"/>
      <c r="M45" s="35"/>
      <c r="O45" s="57"/>
      <c r="P45" s="35"/>
      <c r="R45" s="57"/>
      <c r="S45" s="734" t="s">
        <v>404</v>
      </c>
      <c r="T45" s="49" t="s">
        <v>398</v>
      </c>
      <c r="U45" s="50">
        <f>_11・初任</f>
        <v>0.7</v>
      </c>
      <c r="V45" s="47">
        <f>ROUND((ROUND((_11_A重度研修２．５*(1+_11・A夜間)),0)*_11・初任),0)+ROUND((ROUND((_11_B重度研修２．５＿０．５*(1+_11・B深夜)),0)*_11・初任),0)</f>
        <v>498</v>
      </c>
      <c r="W45" s="48"/>
    </row>
    <row r="46" spans="1:23" ht="16.5" customHeight="1" x14ac:dyDescent="0.15">
      <c r="A46" s="41">
        <v>11</v>
      </c>
      <c r="B46" s="41" t="s">
        <v>3844</v>
      </c>
      <c r="C46" s="74" t="s">
        <v>3845</v>
      </c>
      <c r="D46" s="122"/>
      <c r="E46" s="176">
        <f>_11_A重度研修２．５</f>
        <v>458</v>
      </c>
      <c r="F46" s="37" t="s">
        <v>392</v>
      </c>
      <c r="G46" s="180"/>
      <c r="H46" s="176">
        <f>_11_B重度研修２．５＿０．５</f>
        <v>92</v>
      </c>
      <c r="I46" s="37" t="s">
        <v>392</v>
      </c>
      <c r="J46" s="44" t="s">
        <v>397</v>
      </c>
      <c r="K46" s="45" t="s">
        <v>398</v>
      </c>
      <c r="L46" s="46">
        <v>1</v>
      </c>
      <c r="M46" s="43"/>
      <c r="N46" s="38"/>
      <c r="O46" s="79"/>
      <c r="P46" s="43"/>
      <c r="Q46" s="38"/>
      <c r="R46" s="79"/>
      <c r="S46" s="706"/>
      <c r="T46" s="37"/>
      <c r="U46" s="38"/>
      <c r="V46" s="47">
        <f>ROUND((ROUND((ROUND((_11_A重度研修２．５*_11・２人),0)*(1+_11・A夜間)),0)*_11・初任),0)+ROUND((ROUND((ROUND((_11_B重度研修２．５＿０．５*_11・２人),0)*(1+_11・B深夜)),0)*_11・初任),0)</f>
        <v>498</v>
      </c>
      <c r="W46" s="63"/>
    </row>
    <row r="47" spans="1:23" ht="16.5" customHeight="1" x14ac:dyDescent="0.15"/>
  </sheetData>
  <mergeCells count="26">
    <mergeCell ref="G39:I41"/>
    <mergeCell ref="S41:S42"/>
    <mergeCell ref="D43:F45"/>
    <mergeCell ref="G43:I45"/>
    <mergeCell ref="S45:S46"/>
    <mergeCell ref="G27:I29"/>
    <mergeCell ref="S29:S30"/>
    <mergeCell ref="G31:I33"/>
    <mergeCell ref="S33:S34"/>
    <mergeCell ref="D35:F37"/>
    <mergeCell ref="G35:I37"/>
    <mergeCell ref="S37:S38"/>
    <mergeCell ref="G15:I17"/>
    <mergeCell ref="S17:S18"/>
    <mergeCell ref="G19:I21"/>
    <mergeCell ref="S21:S22"/>
    <mergeCell ref="D23:F25"/>
    <mergeCell ref="G23:I25"/>
    <mergeCell ref="S25:S26"/>
    <mergeCell ref="G11:I13"/>
    <mergeCell ref="S13:S14"/>
    <mergeCell ref="D6:F6"/>
    <mergeCell ref="G6:I6"/>
    <mergeCell ref="D7:F9"/>
    <mergeCell ref="G7:I9"/>
    <mergeCell ref="S9:S10"/>
  </mergeCells>
  <phoneticPr fontId="1"/>
  <printOptions horizontalCentered="1"/>
  <pageMargins left="0.70866141732283472" right="0.70866141732283472" top="0.74803149606299213" bottom="0.74803149606299213" header="0.31496062992125984" footer="0.31496062992125984"/>
  <pageSetup paperSize="9" scale="48" fitToHeight="0" orientation="portrait" r:id="rId1"/>
  <headerFooter>
    <oddHeader>&amp;R&amp;"ＭＳ Ｐゴシック"&amp;9居宅介護</oddHeader>
    <oddFooter>&amp;C&amp;"ＭＳ Ｐゴシック"&amp;14&amp;P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pageSetUpPr fitToPage="1"/>
  </sheetPr>
  <dimension ref="A1:T47"/>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8.875" style="10" bestFit="1" customWidth="1"/>
    <col min="4" max="4" width="2.5" style="10" customWidth="1"/>
    <col min="5" max="5" width="4.875" style="10" customWidth="1"/>
    <col min="6" max="6" width="5.5" style="117" customWidth="1"/>
    <col min="7" max="7" width="2.5" style="117" customWidth="1"/>
    <col min="8" max="8" width="4.875" style="10" customWidth="1"/>
    <col min="9" max="9" width="5.5" style="117" bestFit="1" customWidth="1"/>
    <col min="10" max="10" width="24.875" style="14" bestFit="1" customWidth="1"/>
    <col min="11" max="11" width="3.5" style="12" bestFit="1" customWidth="1"/>
    <col min="12" max="12" width="5.5" style="13" bestFit="1" customWidth="1"/>
    <col min="13" max="13" width="3.5" style="12" bestFit="1" customWidth="1"/>
    <col min="14" max="14" width="4.5" style="13" bestFit="1" customWidth="1"/>
    <col min="15" max="15" width="5.5" style="12" bestFit="1" customWidth="1"/>
    <col min="16" max="16" width="17.875" style="12" customWidth="1"/>
    <col min="17" max="17" width="3.5" style="12" bestFit="1" customWidth="1"/>
    <col min="18" max="18" width="4.5" style="13" bestFit="1" customWidth="1"/>
    <col min="19" max="19" width="7.125" style="15" customWidth="1"/>
    <col min="20" max="20" width="8.5" style="16" customWidth="1"/>
    <col min="21" max="16384" width="8.875" style="12"/>
  </cols>
  <sheetData>
    <row r="1" spans="1:20" ht="17.100000000000001" customHeight="1" x14ac:dyDescent="0.15">
      <c r="E1" s="11"/>
      <c r="H1" s="11"/>
    </row>
    <row r="2" spans="1:20" ht="17.100000000000001" customHeight="1" x14ac:dyDescent="0.15"/>
    <row r="3" spans="1:20" ht="17.100000000000001" customHeight="1" x14ac:dyDescent="0.15"/>
    <row r="4" spans="1:20" ht="17.100000000000001" customHeight="1" x14ac:dyDescent="0.15">
      <c r="B4" s="17" t="s">
        <v>3846</v>
      </c>
      <c r="E4" s="71"/>
    </row>
    <row r="5" spans="1:20" ht="16.5" customHeight="1" x14ac:dyDescent="0.15">
      <c r="A5" s="19" t="s">
        <v>384</v>
      </c>
      <c r="B5" s="20"/>
      <c r="C5" s="21" t="s">
        <v>385</v>
      </c>
      <c r="D5" s="166"/>
      <c r="E5" s="23" t="s">
        <v>386</v>
      </c>
      <c r="F5" s="118"/>
      <c r="G5" s="118"/>
      <c r="H5" s="23"/>
      <c r="I5" s="118"/>
      <c r="J5" s="23"/>
      <c r="K5" s="23"/>
      <c r="L5" s="24"/>
      <c r="M5" s="23"/>
      <c r="N5" s="24"/>
      <c r="O5" s="23"/>
      <c r="P5" s="23"/>
      <c r="Q5" s="23"/>
      <c r="R5" s="24"/>
      <c r="S5" s="25" t="s">
        <v>387</v>
      </c>
      <c r="T5" s="21" t="s">
        <v>388</v>
      </c>
    </row>
    <row r="6" spans="1:20" ht="16.5" customHeight="1" x14ac:dyDescent="0.15">
      <c r="A6" s="26" t="s">
        <v>389</v>
      </c>
      <c r="B6" s="26" t="s">
        <v>390</v>
      </c>
      <c r="C6" s="27"/>
      <c r="D6" s="29"/>
      <c r="E6" s="29"/>
      <c r="F6" s="120"/>
      <c r="G6" s="738" t="s">
        <v>1032</v>
      </c>
      <c r="H6" s="731"/>
      <c r="I6" s="727"/>
      <c r="J6" s="29"/>
      <c r="K6" s="29"/>
      <c r="L6" s="30"/>
      <c r="M6" s="29"/>
      <c r="N6" s="30"/>
      <c r="O6" s="29"/>
      <c r="P6" s="29"/>
      <c r="Q6" s="29"/>
      <c r="R6" s="30"/>
      <c r="S6" s="31" t="s">
        <v>391</v>
      </c>
      <c r="T6" s="32" t="s">
        <v>392</v>
      </c>
    </row>
    <row r="7" spans="1:20" ht="16.5" customHeight="1" x14ac:dyDescent="0.15">
      <c r="A7" s="41">
        <v>11</v>
      </c>
      <c r="B7" s="41">
        <v>2301</v>
      </c>
      <c r="C7" s="74" t="s">
        <v>3847</v>
      </c>
      <c r="D7" s="745" t="s">
        <v>3848</v>
      </c>
      <c r="E7" s="707" t="s">
        <v>3487</v>
      </c>
      <c r="F7" s="708"/>
      <c r="G7" s="745" t="s">
        <v>3849</v>
      </c>
      <c r="H7" s="707" t="s">
        <v>1617</v>
      </c>
      <c r="I7" s="717"/>
      <c r="J7" s="44"/>
      <c r="K7" s="45"/>
      <c r="L7" s="46"/>
      <c r="M7" s="114" t="s">
        <v>1036</v>
      </c>
      <c r="N7" s="50"/>
      <c r="O7" s="115"/>
      <c r="P7" s="53"/>
      <c r="Q7" s="49"/>
      <c r="R7" s="50"/>
      <c r="S7" s="47">
        <f>+ROUND((_11_B重度研修１．０＿０．５*(1+_11・B深夜)),0)</f>
        <v>135</v>
      </c>
      <c r="T7" s="128" t="s">
        <v>395</v>
      </c>
    </row>
    <row r="8" spans="1:20" ht="16.5" customHeight="1" x14ac:dyDescent="0.15">
      <c r="A8" s="41">
        <v>11</v>
      </c>
      <c r="B8" s="41">
        <v>2302</v>
      </c>
      <c r="C8" s="74" t="s">
        <v>3850</v>
      </c>
      <c r="D8" s="746"/>
      <c r="E8" s="709"/>
      <c r="F8" s="704"/>
      <c r="G8" s="746"/>
      <c r="H8" s="709"/>
      <c r="I8" s="718"/>
      <c r="J8" s="44" t="s">
        <v>397</v>
      </c>
      <c r="K8" s="45" t="s">
        <v>398</v>
      </c>
      <c r="L8" s="46">
        <v>1</v>
      </c>
      <c r="M8" s="35" t="s">
        <v>398</v>
      </c>
      <c r="N8" s="13">
        <v>0.5</v>
      </c>
      <c r="O8" s="57" t="s">
        <v>3575</v>
      </c>
      <c r="P8" s="43"/>
      <c r="Q8" s="37"/>
      <c r="R8" s="38"/>
      <c r="S8" s="47">
        <f>+ROUND((ROUND((_11_B重度研修１．０＿０．５*_11・２人),0)*(1+_11・B深夜)),0)</f>
        <v>135</v>
      </c>
      <c r="T8" s="48"/>
    </row>
    <row r="9" spans="1:20" ht="16.5" customHeight="1" x14ac:dyDescent="0.15">
      <c r="A9" s="41">
        <v>11</v>
      </c>
      <c r="B9" s="41" t="s">
        <v>3851</v>
      </c>
      <c r="C9" s="74" t="s">
        <v>3852</v>
      </c>
      <c r="D9" s="746"/>
      <c r="E9" s="709"/>
      <c r="F9" s="704"/>
      <c r="G9" s="746"/>
      <c r="H9" s="709"/>
      <c r="I9" s="718"/>
      <c r="J9" s="44"/>
      <c r="K9" s="45"/>
      <c r="L9" s="46"/>
      <c r="M9" s="35"/>
      <c r="O9" s="57"/>
      <c r="P9" s="734" t="s">
        <v>404</v>
      </c>
      <c r="Q9" s="49" t="s">
        <v>398</v>
      </c>
      <c r="R9" s="50">
        <f>_11・初任</f>
        <v>0.7</v>
      </c>
      <c r="S9" s="47">
        <f>+ROUND((ROUND((_11_B重度研修１．０＿０．５*(1+_11・B深夜)),0)*_11・初任),0)</f>
        <v>95</v>
      </c>
      <c r="T9" s="48"/>
    </row>
    <row r="10" spans="1:20" ht="16.5" customHeight="1" x14ac:dyDescent="0.15">
      <c r="A10" s="41">
        <v>11</v>
      </c>
      <c r="B10" s="41" t="s">
        <v>3853</v>
      </c>
      <c r="C10" s="74" t="s">
        <v>3854</v>
      </c>
      <c r="D10" s="746"/>
      <c r="E10" s="121"/>
      <c r="F10" s="99"/>
      <c r="G10" s="746"/>
      <c r="H10" s="100">
        <f>_11_B重度研修１．０＿０．５</f>
        <v>90</v>
      </c>
      <c r="I10" s="12" t="s">
        <v>392</v>
      </c>
      <c r="J10" s="44" t="s">
        <v>397</v>
      </c>
      <c r="K10" s="45" t="s">
        <v>398</v>
      </c>
      <c r="L10" s="46">
        <v>1</v>
      </c>
      <c r="M10" s="35"/>
      <c r="O10" s="57"/>
      <c r="P10" s="706"/>
      <c r="Q10" s="37"/>
      <c r="R10" s="38"/>
      <c r="S10" s="47">
        <f>+ROUND((ROUND((ROUND((_11_B重度研修１．０＿０．５*_11・２人),0)*(1+_11・B深夜)),0)*_11・初任),0)</f>
        <v>95</v>
      </c>
      <c r="T10" s="48"/>
    </row>
    <row r="11" spans="1:20" ht="16.5" customHeight="1" x14ac:dyDescent="0.15">
      <c r="A11" s="41">
        <v>11</v>
      </c>
      <c r="B11" s="41">
        <v>2117</v>
      </c>
      <c r="C11" s="74" t="s">
        <v>3855</v>
      </c>
      <c r="D11" s="746"/>
      <c r="E11" s="72"/>
      <c r="F11" s="99"/>
      <c r="G11" s="746"/>
      <c r="H11" s="707" t="s">
        <v>1695</v>
      </c>
      <c r="I11" s="717"/>
      <c r="J11" s="44"/>
      <c r="K11" s="45"/>
      <c r="L11" s="46"/>
      <c r="M11" s="35"/>
      <c r="O11" s="57"/>
      <c r="P11" s="53"/>
      <c r="Q11" s="49"/>
      <c r="R11" s="50"/>
      <c r="S11" s="47">
        <f>+ROUND((_11_B重度研修１．０＿１．０*(1+_11・B深夜)),0)</f>
        <v>273</v>
      </c>
      <c r="T11" s="48"/>
    </row>
    <row r="12" spans="1:20" ht="16.5" customHeight="1" x14ac:dyDescent="0.15">
      <c r="A12" s="41">
        <v>11</v>
      </c>
      <c r="B12" s="41">
        <v>2118</v>
      </c>
      <c r="C12" s="74" t="s">
        <v>3856</v>
      </c>
      <c r="D12" s="746"/>
      <c r="E12" s="72"/>
      <c r="F12" s="99"/>
      <c r="G12" s="746"/>
      <c r="H12" s="709"/>
      <c r="I12" s="718"/>
      <c r="J12" s="44" t="s">
        <v>397</v>
      </c>
      <c r="K12" s="45" t="s">
        <v>398</v>
      </c>
      <c r="L12" s="46">
        <v>1</v>
      </c>
      <c r="M12" s="35"/>
      <c r="O12" s="57"/>
      <c r="P12" s="43"/>
      <c r="Q12" s="37"/>
      <c r="R12" s="38"/>
      <c r="S12" s="47">
        <f>+ROUND((ROUND((_11_B重度研修１．０＿１．０*_11・２人),0)*(1+_11・B深夜)),0)</f>
        <v>273</v>
      </c>
      <c r="T12" s="48"/>
    </row>
    <row r="13" spans="1:20" ht="16.5" customHeight="1" x14ac:dyDescent="0.15">
      <c r="A13" s="41">
        <v>11</v>
      </c>
      <c r="B13" s="41" t="s">
        <v>3857</v>
      </c>
      <c r="C13" s="74" t="s">
        <v>3858</v>
      </c>
      <c r="D13" s="746"/>
      <c r="E13" s="72"/>
      <c r="F13" s="99"/>
      <c r="G13" s="746"/>
      <c r="H13" s="709"/>
      <c r="I13" s="718"/>
      <c r="J13" s="44"/>
      <c r="K13" s="45"/>
      <c r="L13" s="46"/>
      <c r="M13" s="35"/>
      <c r="O13" s="57"/>
      <c r="P13" s="734" t="s">
        <v>404</v>
      </c>
      <c r="Q13" s="49" t="s">
        <v>398</v>
      </c>
      <c r="R13" s="50">
        <f>_11・初任</f>
        <v>0.7</v>
      </c>
      <c r="S13" s="47">
        <f>+ROUND((ROUND((_11_B重度研修１．０＿１．０*(1+_11・B深夜)),0)*_11・初任),0)</f>
        <v>191</v>
      </c>
      <c r="T13" s="48"/>
    </row>
    <row r="14" spans="1:20" ht="16.5" customHeight="1" x14ac:dyDescent="0.15">
      <c r="A14" s="41">
        <v>11</v>
      </c>
      <c r="B14" s="41" t="s">
        <v>3859</v>
      </c>
      <c r="C14" s="74" t="s">
        <v>3860</v>
      </c>
      <c r="D14" s="746"/>
      <c r="E14" s="72"/>
      <c r="F14" s="99"/>
      <c r="G14" s="746"/>
      <c r="H14" s="100">
        <f>_11_B重度研修１．０＿１．０</f>
        <v>182</v>
      </c>
      <c r="I14" s="12" t="s">
        <v>392</v>
      </c>
      <c r="J14" s="44" t="s">
        <v>397</v>
      </c>
      <c r="K14" s="45" t="s">
        <v>398</v>
      </c>
      <c r="L14" s="46">
        <v>1</v>
      </c>
      <c r="M14" s="35"/>
      <c r="O14" s="57"/>
      <c r="P14" s="706"/>
      <c r="Q14" s="37"/>
      <c r="R14" s="38"/>
      <c r="S14" s="47">
        <f>+ROUND((ROUND((ROUND((_11_B重度研修１．０＿１．０*_11・２人),0)*(1+_11・B深夜)),0)*_11・初任),0)</f>
        <v>191</v>
      </c>
      <c r="T14" s="48"/>
    </row>
    <row r="15" spans="1:20" ht="16.5" customHeight="1" x14ac:dyDescent="0.15">
      <c r="A15" s="41">
        <v>11</v>
      </c>
      <c r="B15" s="41">
        <v>2303</v>
      </c>
      <c r="C15" s="74" t="s">
        <v>3861</v>
      </c>
      <c r="D15" s="746"/>
      <c r="E15" s="72"/>
      <c r="F15" s="99"/>
      <c r="G15" s="746"/>
      <c r="H15" s="707" t="s">
        <v>1644</v>
      </c>
      <c r="I15" s="717"/>
      <c r="J15" s="44"/>
      <c r="K15" s="45"/>
      <c r="L15" s="46"/>
      <c r="M15" s="35"/>
      <c r="O15" s="57"/>
      <c r="P15" s="53"/>
      <c r="Q15" s="49"/>
      <c r="R15" s="50"/>
      <c r="S15" s="47">
        <f>+ROUND((_11_B重度研修１．０＿１．５*(1+_11・B深夜)),0)</f>
        <v>410</v>
      </c>
      <c r="T15" s="48"/>
    </row>
    <row r="16" spans="1:20" ht="16.5" customHeight="1" x14ac:dyDescent="0.15">
      <c r="A16" s="41">
        <v>11</v>
      </c>
      <c r="B16" s="41">
        <v>2304</v>
      </c>
      <c r="C16" s="74" t="s">
        <v>3862</v>
      </c>
      <c r="D16" s="746"/>
      <c r="E16" s="72"/>
      <c r="F16" s="99"/>
      <c r="G16" s="746"/>
      <c r="H16" s="709"/>
      <c r="I16" s="718"/>
      <c r="J16" s="44" t="s">
        <v>397</v>
      </c>
      <c r="K16" s="45" t="s">
        <v>398</v>
      </c>
      <c r="L16" s="46">
        <v>1</v>
      </c>
      <c r="M16" s="35"/>
      <c r="O16" s="57"/>
      <c r="P16" s="43"/>
      <c r="Q16" s="37"/>
      <c r="R16" s="38"/>
      <c r="S16" s="47">
        <f>+ROUND((ROUND((_11_B重度研修１．０＿１．５*_11・２人),0)*(1+_11・B深夜)),0)</f>
        <v>410</v>
      </c>
      <c r="T16" s="48"/>
    </row>
    <row r="17" spans="1:20" ht="16.5" customHeight="1" x14ac:dyDescent="0.15">
      <c r="A17" s="41">
        <v>11</v>
      </c>
      <c r="B17" s="41" t="s">
        <v>3863</v>
      </c>
      <c r="C17" s="74" t="s">
        <v>3864</v>
      </c>
      <c r="D17" s="746"/>
      <c r="E17" s="72"/>
      <c r="F17" s="99"/>
      <c r="G17" s="746"/>
      <c r="H17" s="709"/>
      <c r="I17" s="718"/>
      <c r="J17" s="44"/>
      <c r="K17" s="45"/>
      <c r="L17" s="46"/>
      <c r="M17" s="35"/>
      <c r="O17" s="57"/>
      <c r="P17" s="734" t="s">
        <v>404</v>
      </c>
      <c r="Q17" s="49" t="s">
        <v>398</v>
      </c>
      <c r="R17" s="50">
        <f>_11・初任</f>
        <v>0.7</v>
      </c>
      <c r="S17" s="47">
        <f>+ROUND((ROUND((_11_B重度研修１．０＿１．５*(1+_11・B深夜)),0)*_11・初任),0)</f>
        <v>287</v>
      </c>
      <c r="T17" s="48"/>
    </row>
    <row r="18" spans="1:20" ht="16.5" customHeight="1" x14ac:dyDescent="0.15">
      <c r="A18" s="41">
        <v>11</v>
      </c>
      <c r="B18" s="41" t="s">
        <v>3865</v>
      </c>
      <c r="C18" s="74" t="s">
        <v>3866</v>
      </c>
      <c r="D18" s="746"/>
      <c r="E18" s="72"/>
      <c r="F18" s="99"/>
      <c r="G18" s="746"/>
      <c r="H18" s="100">
        <f>_11_B重度研修１．０＿１．５</f>
        <v>273</v>
      </c>
      <c r="I18" s="12" t="s">
        <v>392</v>
      </c>
      <c r="J18" s="44" t="s">
        <v>397</v>
      </c>
      <c r="K18" s="45" t="s">
        <v>398</v>
      </c>
      <c r="L18" s="46">
        <v>1</v>
      </c>
      <c r="M18" s="35"/>
      <c r="O18" s="57"/>
      <c r="P18" s="706"/>
      <c r="Q18" s="37"/>
      <c r="R18" s="38"/>
      <c r="S18" s="47">
        <f>+ROUND((ROUND((ROUND((_11_B重度研修１．０＿１．５*_11・２人),0)*(1+_11・B深夜)),0)*_11・初任),0)</f>
        <v>287</v>
      </c>
      <c r="T18" s="48"/>
    </row>
    <row r="19" spans="1:20" ht="16.5" customHeight="1" x14ac:dyDescent="0.15">
      <c r="A19" s="41">
        <v>11</v>
      </c>
      <c r="B19" s="41">
        <v>2119</v>
      </c>
      <c r="C19" s="74" t="s">
        <v>3867</v>
      </c>
      <c r="D19" s="746"/>
      <c r="E19" s="72"/>
      <c r="F19" s="99"/>
      <c r="G19" s="746"/>
      <c r="H19" s="707" t="s">
        <v>1657</v>
      </c>
      <c r="I19" s="717"/>
      <c r="J19" s="44"/>
      <c r="K19" s="45"/>
      <c r="L19" s="46"/>
      <c r="M19" s="35"/>
      <c r="O19" s="57"/>
      <c r="P19" s="53"/>
      <c r="Q19" s="49"/>
      <c r="R19" s="50"/>
      <c r="S19" s="47">
        <f>+ROUND((_11_B重度研修１．０＿２．０*(1+_11・B深夜)),0)</f>
        <v>548</v>
      </c>
      <c r="T19" s="48"/>
    </row>
    <row r="20" spans="1:20" ht="16.5" customHeight="1" x14ac:dyDescent="0.15">
      <c r="A20" s="41">
        <v>11</v>
      </c>
      <c r="B20" s="41">
        <v>2120</v>
      </c>
      <c r="C20" s="74" t="s">
        <v>3868</v>
      </c>
      <c r="D20" s="746"/>
      <c r="E20" s="72"/>
      <c r="F20" s="99"/>
      <c r="G20" s="746"/>
      <c r="H20" s="709"/>
      <c r="I20" s="718"/>
      <c r="J20" s="44" t="s">
        <v>397</v>
      </c>
      <c r="K20" s="45" t="s">
        <v>398</v>
      </c>
      <c r="L20" s="46">
        <v>1</v>
      </c>
      <c r="M20" s="35"/>
      <c r="O20" s="57"/>
      <c r="P20" s="43"/>
      <c r="Q20" s="37"/>
      <c r="R20" s="38"/>
      <c r="S20" s="47">
        <f>+ROUND((ROUND((_11_B重度研修１．０＿２．０*_11・２人),0)*(1+_11・B深夜)),0)</f>
        <v>548</v>
      </c>
      <c r="T20" s="48"/>
    </row>
    <row r="21" spans="1:20" ht="16.5" customHeight="1" x14ac:dyDescent="0.15">
      <c r="A21" s="41">
        <v>11</v>
      </c>
      <c r="B21" s="41" t="s">
        <v>3869</v>
      </c>
      <c r="C21" s="74" t="s">
        <v>3870</v>
      </c>
      <c r="D21" s="746"/>
      <c r="E21" s="72"/>
      <c r="F21" s="99"/>
      <c r="G21" s="746"/>
      <c r="H21" s="709"/>
      <c r="I21" s="718"/>
      <c r="J21" s="44"/>
      <c r="K21" s="45"/>
      <c r="L21" s="46"/>
      <c r="M21" s="35"/>
      <c r="O21" s="57"/>
      <c r="P21" s="734" t="s">
        <v>404</v>
      </c>
      <c r="Q21" s="49" t="s">
        <v>398</v>
      </c>
      <c r="R21" s="50">
        <f>_11・初任</f>
        <v>0.7</v>
      </c>
      <c r="S21" s="47">
        <f>+ROUND((ROUND((_11_B重度研修１．０＿２．０*(1+_11・B深夜)),0)*_11・初任),0)</f>
        <v>384</v>
      </c>
      <c r="T21" s="48"/>
    </row>
    <row r="22" spans="1:20" ht="16.5" customHeight="1" x14ac:dyDescent="0.15">
      <c r="A22" s="41">
        <v>11</v>
      </c>
      <c r="B22" s="41" t="s">
        <v>3871</v>
      </c>
      <c r="C22" s="74" t="s">
        <v>3872</v>
      </c>
      <c r="D22" s="746"/>
      <c r="E22" s="72"/>
      <c r="F22" s="99"/>
      <c r="G22" s="746"/>
      <c r="H22" s="100">
        <f>_11_B重度研修１．０＿２．０</f>
        <v>365</v>
      </c>
      <c r="I22" s="12" t="s">
        <v>392</v>
      </c>
      <c r="J22" s="44" t="s">
        <v>397</v>
      </c>
      <c r="K22" s="45" t="s">
        <v>398</v>
      </c>
      <c r="L22" s="46">
        <v>1</v>
      </c>
      <c r="M22" s="35"/>
      <c r="O22" s="57"/>
      <c r="P22" s="706"/>
      <c r="Q22" s="37"/>
      <c r="R22" s="38"/>
      <c r="S22" s="47">
        <f>+ROUND((ROUND((ROUND((_11_B重度研修１．０＿２．０*_11・２人),0)*(1+_11・B深夜)),0)*_11・初任),0)</f>
        <v>384</v>
      </c>
      <c r="T22" s="48"/>
    </row>
    <row r="23" spans="1:20" ht="16.5" customHeight="1" x14ac:dyDescent="0.15">
      <c r="A23" s="41">
        <v>11</v>
      </c>
      <c r="B23" s="41">
        <v>2305</v>
      </c>
      <c r="C23" s="74" t="s">
        <v>3873</v>
      </c>
      <c r="D23" s="746"/>
      <c r="E23" s="707" t="s">
        <v>3494</v>
      </c>
      <c r="F23" s="708"/>
      <c r="G23" s="746"/>
      <c r="H23" s="707" t="s">
        <v>1617</v>
      </c>
      <c r="I23" s="717"/>
      <c r="J23" s="44"/>
      <c r="K23" s="45"/>
      <c r="L23" s="46"/>
      <c r="M23" s="35"/>
      <c r="O23" s="57"/>
      <c r="P23" s="53"/>
      <c r="Q23" s="49"/>
      <c r="R23" s="50"/>
      <c r="S23" s="47">
        <f>+ROUND((_11_B重度研修１．５＿０．５*(1+_11・B深夜)),0)</f>
        <v>138</v>
      </c>
      <c r="T23" s="48"/>
    </row>
    <row r="24" spans="1:20" ht="16.5" customHeight="1" x14ac:dyDescent="0.15">
      <c r="A24" s="41">
        <v>11</v>
      </c>
      <c r="B24" s="41">
        <v>2306</v>
      </c>
      <c r="C24" s="74" t="s">
        <v>3874</v>
      </c>
      <c r="D24" s="746"/>
      <c r="E24" s="709"/>
      <c r="F24" s="704"/>
      <c r="G24" s="746"/>
      <c r="H24" s="709"/>
      <c r="I24" s="718"/>
      <c r="J24" s="44" t="s">
        <v>397</v>
      </c>
      <c r="K24" s="45" t="s">
        <v>398</v>
      </c>
      <c r="L24" s="46">
        <v>1</v>
      </c>
      <c r="M24" s="35"/>
      <c r="O24" s="57"/>
      <c r="P24" s="43"/>
      <c r="Q24" s="37"/>
      <c r="R24" s="38"/>
      <c r="S24" s="47">
        <f>+ROUND((ROUND((_11_B重度研修１．５＿０．５*_11・２人),0)*(1+_11・B深夜)),0)</f>
        <v>138</v>
      </c>
      <c r="T24" s="48"/>
    </row>
    <row r="25" spans="1:20" ht="16.5" customHeight="1" x14ac:dyDescent="0.15">
      <c r="A25" s="41">
        <v>11</v>
      </c>
      <c r="B25" s="41" t="s">
        <v>3875</v>
      </c>
      <c r="C25" s="74" t="s">
        <v>3876</v>
      </c>
      <c r="D25" s="746"/>
      <c r="E25" s="709"/>
      <c r="F25" s="704"/>
      <c r="G25" s="746"/>
      <c r="H25" s="709"/>
      <c r="I25" s="718"/>
      <c r="J25" s="44"/>
      <c r="K25" s="45"/>
      <c r="L25" s="46"/>
      <c r="M25" s="35"/>
      <c r="O25" s="57"/>
      <c r="P25" s="734" t="s">
        <v>404</v>
      </c>
      <c r="Q25" s="49" t="s">
        <v>398</v>
      </c>
      <c r="R25" s="50">
        <f>_11・初任</f>
        <v>0.7</v>
      </c>
      <c r="S25" s="47">
        <f>+ROUND((ROUND((_11_B重度研修１．５＿０．５*(1+_11・B深夜)),0)*_11・初任),0)</f>
        <v>97</v>
      </c>
      <c r="T25" s="48"/>
    </row>
    <row r="26" spans="1:20" ht="16.5" customHeight="1" x14ac:dyDescent="0.15">
      <c r="A26" s="41">
        <v>11</v>
      </c>
      <c r="B26" s="41" t="s">
        <v>3877</v>
      </c>
      <c r="C26" s="74" t="s">
        <v>3878</v>
      </c>
      <c r="D26" s="746"/>
      <c r="E26" s="121"/>
      <c r="F26" s="99"/>
      <c r="G26" s="746"/>
      <c r="H26" s="100">
        <f>_11_B重度研修１．５＿０．５</f>
        <v>92</v>
      </c>
      <c r="I26" s="12" t="s">
        <v>392</v>
      </c>
      <c r="J26" s="44" t="s">
        <v>397</v>
      </c>
      <c r="K26" s="45" t="s">
        <v>398</v>
      </c>
      <c r="L26" s="46">
        <v>1</v>
      </c>
      <c r="M26" s="35"/>
      <c r="O26" s="57"/>
      <c r="P26" s="706"/>
      <c r="Q26" s="37"/>
      <c r="R26" s="38"/>
      <c r="S26" s="47">
        <f>+ROUND((ROUND((ROUND((_11_B重度研修１．５＿０．５*_11・２人),0)*(1+_11・B深夜)),0)*_11・初任),0)</f>
        <v>97</v>
      </c>
      <c r="T26" s="48"/>
    </row>
    <row r="27" spans="1:20" ht="16.5" customHeight="1" x14ac:dyDescent="0.15">
      <c r="A27" s="41">
        <v>11</v>
      </c>
      <c r="B27" s="41">
        <v>2307</v>
      </c>
      <c r="C27" s="74" t="s">
        <v>3879</v>
      </c>
      <c r="D27" s="746"/>
      <c r="E27" s="72"/>
      <c r="F27" s="99"/>
      <c r="G27" s="746"/>
      <c r="H27" s="707" t="s">
        <v>1695</v>
      </c>
      <c r="I27" s="717"/>
      <c r="J27" s="44"/>
      <c r="K27" s="45"/>
      <c r="L27" s="46"/>
      <c r="M27" s="35"/>
      <c r="O27" s="57"/>
      <c r="P27" s="53"/>
      <c r="Q27" s="49"/>
      <c r="R27" s="50"/>
      <c r="S27" s="47">
        <f>+ROUND((_11_B重度研修１．５＿１．０*(1+_11・B深夜)),0)</f>
        <v>275</v>
      </c>
      <c r="T27" s="48"/>
    </row>
    <row r="28" spans="1:20" ht="16.5" customHeight="1" x14ac:dyDescent="0.15">
      <c r="A28" s="41">
        <v>11</v>
      </c>
      <c r="B28" s="41">
        <v>2308</v>
      </c>
      <c r="C28" s="74" t="s">
        <v>3880</v>
      </c>
      <c r="D28" s="746"/>
      <c r="E28" s="72"/>
      <c r="F28" s="99"/>
      <c r="G28" s="746"/>
      <c r="H28" s="709"/>
      <c r="I28" s="718"/>
      <c r="J28" s="44" t="s">
        <v>397</v>
      </c>
      <c r="K28" s="45" t="s">
        <v>398</v>
      </c>
      <c r="L28" s="46">
        <v>1</v>
      </c>
      <c r="M28" s="35"/>
      <c r="O28" s="57"/>
      <c r="P28" s="43"/>
      <c r="Q28" s="37"/>
      <c r="R28" s="38"/>
      <c r="S28" s="47">
        <f>+ROUND((ROUND((_11_B重度研修１．５＿１．０*_11・２人),0)*(1+_11・B深夜)),0)</f>
        <v>275</v>
      </c>
      <c r="T28" s="48"/>
    </row>
    <row r="29" spans="1:20" ht="16.5" customHeight="1" x14ac:dyDescent="0.15">
      <c r="A29" s="41">
        <v>11</v>
      </c>
      <c r="B29" s="41" t="s">
        <v>3881</v>
      </c>
      <c r="C29" s="74" t="s">
        <v>3882</v>
      </c>
      <c r="D29" s="746"/>
      <c r="E29" s="72"/>
      <c r="F29" s="99"/>
      <c r="G29" s="746"/>
      <c r="H29" s="709"/>
      <c r="I29" s="718"/>
      <c r="J29" s="44"/>
      <c r="K29" s="45"/>
      <c r="L29" s="46"/>
      <c r="M29" s="35"/>
      <c r="O29" s="57"/>
      <c r="P29" s="734" t="s">
        <v>404</v>
      </c>
      <c r="Q29" s="49" t="s">
        <v>398</v>
      </c>
      <c r="R29" s="50">
        <f>_11・初任</f>
        <v>0.7</v>
      </c>
      <c r="S29" s="47">
        <f>+ROUND((ROUND((_11_B重度研修１．５＿１．０*(1+_11・B深夜)),0)*_11・初任),0)</f>
        <v>193</v>
      </c>
      <c r="T29" s="48"/>
    </row>
    <row r="30" spans="1:20" ht="16.5" customHeight="1" x14ac:dyDescent="0.15">
      <c r="A30" s="41">
        <v>11</v>
      </c>
      <c r="B30" s="41" t="s">
        <v>3883</v>
      </c>
      <c r="C30" s="74" t="s">
        <v>3884</v>
      </c>
      <c r="D30" s="746"/>
      <c r="E30" s="72"/>
      <c r="F30" s="99"/>
      <c r="G30" s="746"/>
      <c r="H30" s="100">
        <f>_11_B重度研修１．５＿１．０</f>
        <v>183</v>
      </c>
      <c r="I30" s="12" t="s">
        <v>392</v>
      </c>
      <c r="J30" s="44" t="s">
        <v>397</v>
      </c>
      <c r="K30" s="45" t="s">
        <v>398</v>
      </c>
      <c r="L30" s="46">
        <v>1</v>
      </c>
      <c r="M30" s="35"/>
      <c r="O30" s="57"/>
      <c r="P30" s="706"/>
      <c r="Q30" s="37"/>
      <c r="R30" s="38"/>
      <c r="S30" s="47">
        <f>+ROUND((ROUND((ROUND((_11_B重度研修１．５＿１．０*_11・２人),0)*(1+_11・B深夜)),0)*_11・初任),0)</f>
        <v>193</v>
      </c>
      <c r="T30" s="48"/>
    </row>
    <row r="31" spans="1:20" ht="16.5" customHeight="1" x14ac:dyDescent="0.15">
      <c r="A31" s="41">
        <v>11</v>
      </c>
      <c r="B31" s="41">
        <v>2309</v>
      </c>
      <c r="C31" s="74" t="s">
        <v>3885</v>
      </c>
      <c r="D31" s="746"/>
      <c r="E31" s="72"/>
      <c r="F31" s="99"/>
      <c r="G31" s="746"/>
      <c r="H31" s="707" t="s">
        <v>1644</v>
      </c>
      <c r="I31" s="717"/>
      <c r="J31" s="44"/>
      <c r="K31" s="45"/>
      <c r="L31" s="46"/>
      <c r="M31" s="35"/>
      <c r="O31" s="57"/>
      <c r="P31" s="53"/>
      <c r="Q31" s="49"/>
      <c r="R31" s="50"/>
      <c r="S31" s="47">
        <f>+ROUND((_11_B重度研修１．５＿１．５*(1+_11・B深夜)),0)</f>
        <v>413</v>
      </c>
      <c r="T31" s="48"/>
    </row>
    <row r="32" spans="1:20" ht="16.5" customHeight="1" x14ac:dyDescent="0.15">
      <c r="A32" s="41">
        <v>11</v>
      </c>
      <c r="B32" s="41">
        <v>2310</v>
      </c>
      <c r="C32" s="74" t="s">
        <v>3886</v>
      </c>
      <c r="D32" s="746"/>
      <c r="E32" s="72"/>
      <c r="F32" s="99"/>
      <c r="G32" s="746"/>
      <c r="H32" s="709"/>
      <c r="I32" s="718"/>
      <c r="J32" s="44" t="s">
        <v>397</v>
      </c>
      <c r="K32" s="45" t="s">
        <v>398</v>
      </c>
      <c r="L32" s="46">
        <v>1</v>
      </c>
      <c r="M32" s="35"/>
      <c r="O32" s="57"/>
      <c r="P32" s="43"/>
      <c r="Q32" s="37"/>
      <c r="R32" s="38"/>
      <c r="S32" s="47">
        <f>+ROUND((ROUND((_11_B重度研修１．５＿１．５*_11・２人),0)*(1+_11・B深夜)),0)</f>
        <v>413</v>
      </c>
      <c r="T32" s="48"/>
    </row>
    <row r="33" spans="1:20" ht="16.5" customHeight="1" x14ac:dyDescent="0.15">
      <c r="A33" s="41">
        <v>11</v>
      </c>
      <c r="B33" s="41" t="s">
        <v>3887</v>
      </c>
      <c r="C33" s="74" t="s">
        <v>3888</v>
      </c>
      <c r="D33" s="746"/>
      <c r="E33" s="72"/>
      <c r="F33" s="99"/>
      <c r="G33" s="746"/>
      <c r="H33" s="709"/>
      <c r="I33" s="718"/>
      <c r="J33" s="44"/>
      <c r="K33" s="45"/>
      <c r="L33" s="46"/>
      <c r="M33" s="35"/>
      <c r="O33" s="57"/>
      <c r="P33" s="734" t="s">
        <v>404</v>
      </c>
      <c r="Q33" s="49" t="s">
        <v>398</v>
      </c>
      <c r="R33" s="50">
        <f>_11・初任</f>
        <v>0.7</v>
      </c>
      <c r="S33" s="47">
        <f>+ROUND((ROUND((_11_B重度研修１．５＿１．５*(1+_11・B深夜)),0)*_11・初任),0)</f>
        <v>289</v>
      </c>
      <c r="T33" s="48"/>
    </row>
    <row r="34" spans="1:20" ht="16.5" customHeight="1" x14ac:dyDescent="0.15">
      <c r="A34" s="41">
        <v>11</v>
      </c>
      <c r="B34" s="41" t="s">
        <v>3889</v>
      </c>
      <c r="C34" s="74" t="s">
        <v>3890</v>
      </c>
      <c r="D34" s="746"/>
      <c r="E34" s="72"/>
      <c r="F34" s="99"/>
      <c r="G34" s="746"/>
      <c r="H34" s="100">
        <f>_11_B重度研修１．５＿１．５</f>
        <v>275</v>
      </c>
      <c r="I34" s="12" t="s">
        <v>392</v>
      </c>
      <c r="J34" s="44" t="s">
        <v>397</v>
      </c>
      <c r="K34" s="45" t="s">
        <v>398</v>
      </c>
      <c r="L34" s="46">
        <v>1</v>
      </c>
      <c r="M34" s="35"/>
      <c r="O34" s="57"/>
      <c r="P34" s="706"/>
      <c r="Q34" s="37"/>
      <c r="R34" s="38"/>
      <c r="S34" s="47">
        <f>+ROUND((ROUND((ROUND((_11_B重度研修１．５＿１．５*_11・２人),0)*(1+_11・B深夜)),0)*_11・初任),0)</f>
        <v>289</v>
      </c>
      <c r="T34" s="48"/>
    </row>
    <row r="35" spans="1:20" ht="16.5" customHeight="1" x14ac:dyDescent="0.15">
      <c r="A35" s="41">
        <v>11</v>
      </c>
      <c r="B35" s="41">
        <v>2311</v>
      </c>
      <c r="C35" s="74" t="s">
        <v>3891</v>
      </c>
      <c r="D35" s="746"/>
      <c r="E35" s="707" t="s">
        <v>3501</v>
      </c>
      <c r="F35" s="708"/>
      <c r="G35" s="746"/>
      <c r="H35" s="707" t="s">
        <v>1617</v>
      </c>
      <c r="I35" s="717"/>
      <c r="J35" s="44"/>
      <c r="K35" s="45"/>
      <c r="L35" s="46"/>
      <c r="M35" s="35"/>
      <c r="O35" s="57"/>
      <c r="P35" s="53"/>
      <c r="Q35" s="49"/>
      <c r="R35" s="50"/>
      <c r="S35" s="47">
        <f>+ROUND((_11_B重度研修２．０＿０．５*(1+_11・B深夜)),0)</f>
        <v>137</v>
      </c>
      <c r="T35" s="48"/>
    </row>
    <row r="36" spans="1:20" ht="16.5" customHeight="1" x14ac:dyDescent="0.15">
      <c r="A36" s="41">
        <v>11</v>
      </c>
      <c r="B36" s="41">
        <v>2312</v>
      </c>
      <c r="C36" s="74" t="s">
        <v>3892</v>
      </c>
      <c r="D36" s="746"/>
      <c r="E36" s="709"/>
      <c r="F36" s="704"/>
      <c r="G36" s="746"/>
      <c r="H36" s="709"/>
      <c r="I36" s="718"/>
      <c r="J36" s="44" t="s">
        <v>397</v>
      </c>
      <c r="K36" s="45" t="s">
        <v>398</v>
      </c>
      <c r="L36" s="46">
        <v>1</v>
      </c>
      <c r="M36" s="35"/>
      <c r="O36" s="57"/>
      <c r="P36" s="43"/>
      <c r="Q36" s="37"/>
      <c r="R36" s="38"/>
      <c r="S36" s="47">
        <f>+ROUND((ROUND((_11_B重度研修２．０＿０．５*_11・２人),0)*(1+_11・B深夜)),0)</f>
        <v>137</v>
      </c>
      <c r="T36" s="48"/>
    </row>
    <row r="37" spans="1:20" ht="16.5" customHeight="1" x14ac:dyDescent="0.15">
      <c r="A37" s="41">
        <v>11</v>
      </c>
      <c r="B37" s="41" t="s">
        <v>3893</v>
      </c>
      <c r="C37" s="74" t="s">
        <v>3894</v>
      </c>
      <c r="D37" s="746"/>
      <c r="E37" s="709"/>
      <c r="F37" s="704"/>
      <c r="G37" s="746"/>
      <c r="H37" s="709"/>
      <c r="I37" s="718"/>
      <c r="J37" s="44"/>
      <c r="K37" s="45"/>
      <c r="L37" s="46"/>
      <c r="M37" s="35"/>
      <c r="O37" s="57"/>
      <c r="P37" s="734" t="s">
        <v>404</v>
      </c>
      <c r="Q37" s="49" t="s">
        <v>398</v>
      </c>
      <c r="R37" s="50">
        <f>_11・初任</f>
        <v>0.7</v>
      </c>
      <c r="S37" s="47">
        <f>+ROUND((ROUND((_11_B重度研修２．０＿０．５*(1+_11・B深夜)),0)*_11・初任),0)</f>
        <v>96</v>
      </c>
      <c r="T37" s="48"/>
    </row>
    <row r="38" spans="1:20" ht="16.5" customHeight="1" x14ac:dyDescent="0.15">
      <c r="A38" s="41">
        <v>11</v>
      </c>
      <c r="B38" s="41" t="s">
        <v>3895</v>
      </c>
      <c r="C38" s="74" t="s">
        <v>3896</v>
      </c>
      <c r="D38" s="746"/>
      <c r="E38" s="121"/>
      <c r="F38" s="99"/>
      <c r="G38" s="746"/>
      <c r="H38" s="100">
        <f>_11_B重度研修２．０＿０．５</f>
        <v>91</v>
      </c>
      <c r="I38" s="12" t="s">
        <v>392</v>
      </c>
      <c r="J38" s="44" t="s">
        <v>397</v>
      </c>
      <c r="K38" s="45" t="s">
        <v>398</v>
      </c>
      <c r="L38" s="46">
        <v>1</v>
      </c>
      <c r="M38" s="35"/>
      <c r="O38" s="57"/>
      <c r="P38" s="706"/>
      <c r="Q38" s="37"/>
      <c r="R38" s="38"/>
      <c r="S38" s="47">
        <f>+ROUND((ROUND((ROUND((_11_B重度研修２．０＿０．５*_11・２人),0)*(1+_11・B深夜)),0)*_11・初任),0)</f>
        <v>96</v>
      </c>
      <c r="T38" s="48"/>
    </row>
    <row r="39" spans="1:20" ht="16.5" customHeight="1" x14ac:dyDescent="0.15">
      <c r="A39" s="41">
        <v>11</v>
      </c>
      <c r="B39" s="41">
        <v>2121</v>
      </c>
      <c r="C39" s="74" t="s">
        <v>3897</v>
      </c>
      <c r="D39" s="746"/>
      <c r="E39" s="72"/>
      <c r="F39" s="99"/>
      <c r="G39" s="746"/>
      <c r="H39" s="707" t="s">
        <v>1695</v>
      </c>
      <c r="I39" s="717"/>
      <c r="J39" s="44"/>
      <c r="K39" s="45"/>
      <c r="L39" s="46"/>
      <c r="M39" s="35"/>
      <c r="O39" s="57"/>
      <c r="P39" s="53"/>
      <c r="Q39" s="49"/>
      <c r="R39" s="50"/>
      <c r="S39" s="47">
        <f>+ROUND((_11_B重度研修２．０＿１．０*(1+_11・B深夜)),0)</f>
        <v>275</v>
      </c>
      <c r="T39" s="48"/>
    </row>
    <row r="40" spans="1:20" ht="16.5" customHeight="1" x14ac:dyDescent="0.15">
      <c r="A40" s="41">
        <v>11</v>
      </c>
      <c r="B40" s="41">
        <v>2122</v>
      </c>
      <c r="C40" s="74" t="s">
        <v>3898</v>
      </c>
      <c r="D40" s="746"/>
      <c r="E40" s="72"/>
      <c r="F40" s="99"/>
      <c r="G40" s="746"/>
      <c r="H40" s="709"/>
      <c r="I40" s="718"/>
      <c r="J40" s="44" t="s">
        <v>397</v>
      </c>
      <c r="K40" s="45" t="s">
        <v>398</v>
      </c>
      <c r="L40" s="46">
        <v>1</v>
      </c>
      <c r="M40" s="35"/>
      <c r="O40" s="57"/>
      <c r="P40" s="43"/>
      <c r="Q40" s="37"/>
      <c r="R40" s="38"/>
      <c r="S40" s="47">
        <f>+ROUND((ROUND((_11_B重度研修２．０＿１．０*_11・２人),0)*(1+_11・B深夜)),0)</f>
        <v>275</v>
      </c>
      <c r="T40" s="48"/>
    </row>
    <row r="41" spans="1:20" ht="16.5" customHeight="1" x14ac:dyDescent="0.15">
      <c r="A41" s="41">
        <v>11</v>
      </c>
      <c r="B41" s="41" t="s">
        <v>3899</v>
      </c>
      <c r="C41" s="74" t="s">
        <v>3900</v>
      </c>
      <c r="D41" s="746"/>
      <c r="E41" s="72"/>
      <c r="F41" s="99"/>
      <c r="G41" s="746"/>
      <c r="H41" s="709"/>
      <c r="I41" s="718"/>
      <c r="J41" s="44"/>
      <c r="K41" s="45"/>
      <c r="L41" s="46"/>
      <c r="M41" s="35"/>
      <c r="O41" s="57"/>
      <c r="P41" s="734" t="s">
        <v>404</v>
      </c>
      <c r="Q41" s="49" t="s">
        <v>398</v>
      </c>
      <c r="R41" s="50">
        <f>_11・初任</f>
        <v>0.7</v>
      </c>
      <c r="S41" s="47">
        <f>+ROUND((ROUND((_11_B重度研修２．０＿１．０*(1+_11・B深夜)),0)*_11・初任),0)</f>
        <v>193</v>
      </c>
      <c r="T41" s="48"/>
    </row>
    <row r="42" spans="1:20" ht="16.5" customHeight="1" x14ac:dyDescent="0.15">
      <c r="A42" s="41">
        <v>11</v>
      </c>
      <c r="B42" s="41" t="s">
        <v>3901</v>
      </c>
      <c r="C42" s="74" t="s">
        <v>3902</v>
      </c>
      <c r="D42" s="746"/>
      <c r="E42" s="72"/>
      <c r="F42" s="99"/>
      <c r="G42" s="746"/>
      <c r="H42" s="100">
        <f>_11_B重度研修２．０＿１．０</f>
        <v>183</v>
      </c>
      <c r="I42" s="12" t="s">
        <v>392</v>
      </c>
      <c r="J42" s="44" t="s">
        <v>397</v>
      </c>
      <c r="K42" s="45" t="s">
        <v>398</v>
      </c>
      <c r="L42" s="46">
        <v>1</v>
      </c>
      <c r="M42" s="35"/>
      <c r="O42" s="57"/>
      <c r="P42" s="706"/>
      <c r="Q42" s="37"/>
      <c r="R42" s="38"/>
      <c r="S42" s="47">
        <f>+ROUND((ROUND((ROUND((_11_B重度研修２．０＿１．０*_11・２人),0)*(1+_11・B深夜)),0)*_11・初任),0)</f>
        <v>193</v>
      </c>
      <c r="T42" s="48"/>
    </row>
    <row r="43" spans="1:20" ht="16.5" customHeight="1" x14ac:dyDescent="0.15">
      <c r="A43" s="41">
        <v>11</v>
      </c>
      <c r="B43" s="41">
        <v>2313</v>
      </c>
      <c r="C43" s="74" t="s">
        <v>3903</v>
      </c>
      <c r="D43" s="746"/>
      <c r="E43" s="707" t="s">
        <v>3508</v>
      </c>
      <c r="F43" s="708"/>
      <c r="G43" s="746"/>
      <c r="H43" s="707" t="s">
        <v>1617</v>
      </c>
      <c r="I43" s="717"/>
      <c r="J43" s="44"/>
      <c r="K43" s="45"/>
      <c r="L43" s="46"/>
      <c r="M43" s="35"/>
      <c r="O43" s="57"/>
      <c r="P43" s="53"/>
      <c r="Q43" s="49"/>
      <c r="R43" s="50"/>
      <c r="S43" s="47">
        <f>+ROUND((_11_B重度研修２．５＿０．５*(1+_11・B深夜)),0)</f>
        <v>138</v>
      </c>
      <c r="T43" s="48"/>
    </row>
    <row r="44" spans="1:20" ht="16.5" customHeight="1" x14ac:dyDescent="0.15">
      <c r="A44" s="41">
        <v>11</v>
      </c>
      <c r="B44" s="41">
        <v>2314</v>
      </c>
      <c r="C44" s="74" t="s">
        <v>3904</v>
      </c>
      <c r="D44" s="746"/>
      <c r="E44" s="709"/>
      <c r="F44" s="704"/>
      <c r="G44" s="746"/>
      <c r="H44" s="709"/>
      <c r="I44" s="718"/>
      <c r="J44" s="44" t="s">
        <v>397</v>
      </c>
      <c r="K44" s="45" t="s">
        <v>398</v>
      </c>
      <c r="L44" s="46">
        <v>1</v>
      </c>
      <c r="M44" s="35"/>
      <c r="O44" s="57"/>
      <c r="P44" s="43"/>
      <c r="Q44" s="37"/>
      <c r="R44" s="38"/>
      <c r="S44" s="47">
        <f>+ROUND((ROUND((_11_B重度研修２．５＿０．５*_11・２人),0)*(1+_11・B深夜)),0)</f>
        <v>138</v>
      </c>
      <c r="T44" s="48"/>
    </row>
    <row r="45" spans="1:20" ht="16.5" customHeight="1" x14ac:dyDescent="0.15">
      <c r="A45" s="41">
        <v>11</v>
      </c>
      <c r="B45" s="41" t="s">
        <v>3905</v>
      </c>
      <c r="C45" s="74" t="s">
        <v>3906</v>
      </c>
      <c r="D45" s="746"/>
      <c r="E45" s="709"/>
      <c r="F45" s="704"/>
      <c r="G45" s="746"/>
      <c r="H45" s="709"/>
      <c r="I45" s="718"/>
      <c r="J45" s="44"/>
      <c r="K45" s="45"/>
      <c r="L45" s="46"/>
      <c r="M45" s="35"/>
      <c r="O45" s="57"/>
      <c r="P45" s="734" t="s">
        <v>404</v>
      </c>
      <c r="Q45" s="49" t="s">
        <v>398</v>
      </c>
      <c r="R45" s="50">
        <f>_11・初任</f>
        <v>0.7</v>
      </c>
      <c r="S45" s="47">
        <f>+ROUND((ROUND((_11_B重度研修２．５＿０．５*(1+_11・B深夜)),0)*_11・初任),0)</f>
        <v>97</v>
      </c>
      <c r="T45" s="48"/>
    </row>
    <row r="46" spans="1:20" ht="16.5" customHeight="1" x14ac:dyDescent="0.15">
      <c r="A46" s="41">
        <v>11</v>
      </c>
      <c r="B46" s="41" t="s">
        <v>3907</v>
      </c>
      <c r="C46" s="74" t="s">
        <v>3908</v>
      </c>
      <c r="D46" s="747"/>
      <c r="E46" s="181"/>
      <c r="F46" s="111"/>
      <c r="G46" s="747"/>
      <c r="H46" s="165">
        <f>_11_B重度研修２．５＿０．５</f>
        <v>92</v>
      </c>
      <c r="I46" s="37" t="s">
        <v>392</v>
      </c>
      <c r="J46" s="44" t="s">
        <v>397</v>
      </c>
      <c r="K46" s="45" t="s">
        <v>398</v>
      </c>
      <c r="L46" s="46">
        <v>1</v>
      </c>
      <c r="M46" s="43"/>
      <c r="N46" s="38"/>
      <c r="O46" s="79"/>
      <c r="P46" s="706"/>
      <c r="Q46" s="37"/>
      <c r="R46" s="38"/>
      <c r="S46" s="47">
        <f>+ROUND((ROUND((ROUND((_11_B重度研修２．５＿０．５*_11・２人),0)*(1+_11・B深夜)),0)*_11・初任),0)</f>
        <v>97</v>
      </c>
      <c r="T46" s="63"/>
    </row>
    <row r="47" spans="1:20" ht="16.5" customHeight="1" x14ac:dyDescent="0.15"/>
  </sheetData>
  <mergeCells count="27">
    <mergeCell ref="P29:P30"/>
    <mergeCell ref="P45:P46"/>
    <mergeCell ref="H31:I33"/>
    <mergeCell ref="P33:P34"/>
    <mergeCell ref="E35:F37"/>
    <mergeCell ref="H35:I37"/>
    <mergeCell ref="P37:P38"/>
    <mergeCell ref="H39:I41"/>
    <mergeCell ref="P41:P42"/>
    <mergeCell ref="G6:I6"/>
    <mergeCell ref="D7:D46"/>
    <mergeCell ref="E7:F9"/>
    <mergeCell ref="G7:G46"/>
    <mergeCell ref="H7:I9"/>
    <mergeCell ref="H19:I21"/>
    <mergeCell ref="E43:F45"/>
    <mergeCell ref="H43:I45"/>
    <mergeCell ref="H27:I29"/>
    <mergeCell ref="P21:P22"/>
    <mergeCell ref="E23:F25"/>
    <mergeCell ref="H23:I25"/>
    <mergeCell ref="P9:P10"/>
    <mergeCell ref="H11:I13"/>
    <mergeCell ref="P13:P14"/>
    <mergeCell ref="H15:I17"/>
    <mergeCell ref="P17:P18"/>
    <mergeCell ref="P25:P26"/>
  </mergeCells>
  <phoneticPr fontId="1"/>
  <printOptions horizontalCentered="1"/>
  <pageMargins left="0.70866141732283472" right="0.70866141732283472" top="0.74803149606299213" bottom="0.74803149606299213" header="0.31496062992125984" footer="0.31496062992125984"/>
  <pageSetup paperSize="9" scale="53" fitToHeight="0" orientation="portrait" r:id="rId1"/>
  <headerFooter>
    <oddHeader>&amp;R&amp;"ＭＳ Ｐゴシック"&amp;9居宅介護</oddHeader>
    <oddFooter>&amp;C&amp;"ＭＳ Ｐゴシック"&amp;14&amp;P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pageSetUpPr fitToPage="1"/>
  </sheetPr>
  <dimension ref="A1:T47"/>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5.125" style="10" bestFit="1" customWidth="1"/>
    <col min="4" max="4" width="2.5" style="10" customWidth="1"/>
    <col min="5" max="5" width="4.875" style="10" customWidth="1"/>
    <col min="6" max="6" width="5.5" style="117" customWidth="1"/>
    <col min="7" max="7" width="2.5" style="117" customWidth="1"/>
    <col min="8" max="8" width="4.875" style="10" customWidth="1"/>
    <col min="9" max="9" width="5.5" style="117" bestFit="1" customWidth="1"/>
    <col min="10" max="10" width="24.875" style="14" bestFit="1" customWidth="1"/>
    <col min="11" max="11" width="3.5" style="12" bestFit="1" customWidth="1"/>
    <col min="12" max="12" width="5.5" style="13" bestFit="1" customWidth="1"/>
    <col min="13" max="13" width="3.5" style="12" bestFit="1" customWidth="1"/>
    <col min="14" max="14" width="4.5" style="13" bestFit="1" customWidth="1"/>
    <col min="15" max="15" width="5.5" style="12" bestFit="1" customWidth="1"/>
    <col min="16" max="16" width="17.875" style="12" customWidth="1"/>
    <col min="17" max="17" width="3.5" style="12" bestFit="1" customWidth="1"/>
    <col min="18" max="18" width="4.5" style="13" bestFit="1" customWidth="1"/>
    <col min="19" max="19" width="7.125" style="15" customWidth="1"/>
    <col min="20" max="20" width="8.5" style="16" customWidth="1"/>
    <col min="21" max="16384" width="8.875" style="12"/>
  </cols>
  <sheetData>
    <row r="1" spans="1:20" ht="17.100000000000001" customHeight="1" x14ac:dyDescent="0.15">
      <c r="E1" s="11"/>
      <c r="H1" s="11"/>
    </row>
    <row r="2" spans="1:20" ht="17.100000000000001" customHeight="1" x14ac:dyDescent="0.15"/>
    <row r="3" spans="1:20" ht="17.100000000000001" customHeight="1" x14ac:dyDescent="0.15"/>
    <row r="4" spans="1:20" ht="17.100000000000001" customHeight="1" x14ac:dyDescent="0.15">
      <c r="B4" s="17" t="s">
        <v>3909</v>
      </c>
      <c r="E4" s="71"/>
    </row>
    <row r="5" spans="1:20" ht="16.5" customHeight="1" x14ac:dyDescent="0.15">
      <c r="A5" s="19" t="s">
        <v>384</v>
      </c>
      <c r="B5" s="20"/>
      <c r="C5" s="21" t="s">
        <v>385</v>
      </c>
      <c r="D5" s="166"/>
      <c r="E5" s="23" t="s">
        <v>386</v>
      </c>
      <c r="F5" s="118"/>
      <c r="G5" s="118"/>
      <c r="H5" s="23"/>
      <c r="I5" s="118"/>
      <c r="J5" s="23"/>
      <c r="K5" s="23"/>
      <c r="L5" s="24"/>
      <c r="M5" s="23"/>
      <c r="N5" s="24"/>
      <c r="O5" s="23"/>
      <c r="P5" s="23"/>
      <c r="Q5" s="23"/>
      <c r="R5" s="24"/>
      <c r="S5" s="25" t="s">
        <v>387</v>
      </c>
      <c r="T5" s="21" t="s">
        <v>388</v>
      </c>
    </row>
    <row r="6" spans="1:20" ht="16.350000000000001" customHeight="1" x14ac:dyDescent="0.15">
      <c r="A6" s="26" t="s">
        <v>389</v>
      </c>
      <c r="B6" s="26" t="s">
        <v>390</v>
      </c>
      <c r="C6" s="27"/>
      <c r="D6" s="748" t="s">
        <v>1032</v>
      </c>
      <c r="E6" s="749"/>
      <c r="F6" s="750"/>
      <c r="G6" s="751" t="s">
        <v>3910</v>
      </c>
      <c r="H6" s="749"/>
      <c r="I6" s="750"/>
      <c r="J6" s="29"/>
      <c r="K6" s="29"/>
      <c r="L6" s="30"/>
      <c r="M6" s="29"/>
      <c r="N6" s="30"/>
      <c r="O6" s="29"/>
      <c r="P6" s="29"/>
      <c r="Q6" s="29"/>
      <c r="R6" s="30"/>
      <c r="S6" s="31" t="s">
        <v>391</v>
      </c>
      <c r="T6" s="32" t="s">
        <v>392</v>
      </c>
    </row>
    <row r="7" spans="1:20" ht="16.5" customHeight="1" x14ac:dyDescent="0.15">
      <c r="A7" s="33">
        <v>11</v>
      </c>
      <c r="B7" s="33">
        <v>2315</v>
      </c>
      <c r="C7" s="34" t="s">
        <v>3911</v>
      </c>
      <c r="D7" s="709" t="s">
        <v>3572</v>
      </c>
      <c r="E7" s="704"/>
      <c r="F7" s="739"/>
      <c r="G7" s="736" t="s">
        <v>3643</v>
      </c>
      <c r="H7" s="704"/>
      <c r="I7" s="718"/>
      <c r="J7" s="36"/>
      <c r="K7" s="37"/>
      <c r="L7" s="38"/>
      <c r="M7" s="72" t="s">
        <v>1036</v>
      </c>
      <c r="O7" s="57"/>
      <c r="P7" s="35"/>
      <c r="S7" s="39">
        <f>ROUND((_11_A重度研修１．０*(1+_11・A深夜)),0)+_11_B重度研修１．０＿０．５</f>
        <v>368</v>
      </c>
      <c r="T7" s="40" t="s">
        <v>395</v>
      </c>
    </row>
    <row r="8" spans="1:20" ht="16.5" customHeight="1" x14ac:dyDescent="0.15">
      <c r="A8" s="41">
        <v>11</v>
      </c>
      <c r="B8" s="41">
        <v>2316</v>
      </c>
      <c r="C8" s="74" t="s">
        <v>3912</v>
      </c>
      <c r="D8" s="709"/>
      <c r="E8" s="704"/>
      <c r="F8" s="739"/>
      <c r="G8" s="736"/>
      <c r="H8" s="704"/>
      <c r="I8" s="718"/>
      <c r="J8" s="44" t="s">
        <v>397</v>
      </c>
      <c r="K8" s="45" t="s">
        <v>398</v>
      </c>
      <c r="L8" s="46">
        <v>1</v>
      </c>
      <c r="M8" s="35" t="s">
        <v>398</v>
      </c>
      <c r="N8" s="13">
        <v>0.5</v>
      </c>
      <c r="O8" s="57" t="s">
        <v>3575</v>
      </c>
      <c r="P8" s="43"/>
      <c r="Q8" s="37"/>
      <c r="R8" s="38"/>
      <c r="S8" s="47">
        <f>ROUND((ROUND((_11_A重度研修１．０*_11・２人),0)*(1+_11・A深夜)),0)+ROUND((_11_B重度研修１．０＿０．５*_11・２人),0)</f>
        <v>368</v>
      </c>
      <c r="T8" s="48"/>
    </row>
    <row r="9" spans="1:20" ht="16.5" customHeight="1" x14ac:dyDescent="0.15">
      <c r="A9" s="41">
        <v>11</v>
      </c>
      <c r="B9" s="41" t="s">
        <v>3913</v>
      </c>
      <c r="C9" s="74" t="s">
        <v>3914</v>
      </c>
      <c r="D9" s="709"/>
      <c r="E9" s="704"/>
      <c r="F9" s="739"/>
      <c r="G9" s="736"/>
      <c r="H9" s="704"/>
      <c r="I9" s="718"/>
      <c r="J9" s="44"/>
      <c r="K9" s="45"/>
      <c r="L9" s="46"/>
      <c r="M9" s="35"/>
      <c r="O9" s="57"/>
      <c r="P9" s="734" t="s">
        <v>404</v>
      </c>
      <c r="Q9" s="49" t="s">
        <v>398</v>
      </c>
      <c r="R9" s="50">
        <f>_11・初任</f>
        <v>0.7</v>
      </c>
      <c r="S9" s="47">
        <f>ROUND((ROUND((_11_A重度研修１．０*(1+_11・A深夜)),0)*_11・初任),0)+ROUND((_11_B重度研修１．０＿０．５*_11・初任),0)</f>
        <v>258</v>
      </c>
      <c r="T9" s="48"/>
    </row>
    <row r="10" spans="1:20" ht="16.5" customHeight="1" x14ac:dyDescent="0.15">
      <c r="A10" s="41">
        <v>11</v>
      </c>
      <c r="B10" s="41" t="s">
        <v>3915</v>
      </c>
      <c r="C10" s="74" t="s">
        <v>3916</v>
      </c>
      <c r="D10" s="72"/>
      <c r="E10" s="170">
        <f>_11_A重度研修１．０</f>
        <v>185</v>
      </c>
      <c r="F10" s="12" t="s">
        <v>392</v>
      </c>
      <c r="G10" s="182"/>
      <c r="H10" s="170">
        <f>_11_B重度研修１．０＿０．５</f>
        <v>90</v>
      </c>
      <c r="I10" s="12" t="s">
        <v>392</v>
      </c>
      <c r="J10" s="44" t="s">
        <v>397</v>
      </c>
      <c r="K10" s="45" t="s">
        <v>398</v>
      </c>
      <c r="L10" s="46">
        <v>1</v>
      </c>
      <c r="M10" s="35"/>
      <c r="O10" s="57"/>
      <c r="P10" s="706"/>
      <c r="Q10" s="37"/>
      <c r="R10" s="38"/>
      <c r="S10" s="47">
        <f>ROUND((ROUND((ROUND((_11_A重度研修１．０*_11・２人),0)*(1+_11・A深夜)),0)*_11・初任),0)+ROUND((ROUND((_11_B重度研修１．０＿０．５*_11・２人),0)*_11・初任),0)</f>
        <v>258</v>
      </c>
      <c r="T10" s="48"/>
    </row>
    <row r="11" spans="1:20" ht="16.5" customHeight="1" x14ac:dyDescent="0.15">
      <c r="A11" s="41">
        <v>11</v>
      </c>
      <c r="B11" s="41">
        <v>2123</v>
      </c>
      <c r="C11" s="74" t="s">
        <v>3917</v>
      </c>
      <c r="D11" s="72"/>
      <c r="F11" s="99"/>
      <c r="G11" s="735" t="s">
        <v>3650</v>
      </c>
      <c r="H11" s="708"/>
      <c r="I11" s="717"/>
      <c r="J11" s="44"/>
      <c r="K11" s="45"/>
      <c r="L11" s="46"/>
      <c r="M11" s="35"/>
      <c r="O11" s="57"/>
      <c r="P11" s="53"/>
      <c r="Q11" s="49"/>
      <c r="R11" s="50"/>
      <c r="S11" s="47">
        <f>ROUND((_11_A重度研修１．０*(1+_11・A深夜)),0)+_11_B重度研修１．０＿１．０</f>
        <v>460</v>
      </c>
      <c r="T11" s="48"/>
    </row>
    <row r="12" spans="1:20" ht="16.5" customHeight="1" x14ac:dyDescent="0.15">
      <c r="A12" s="41">
        <v>11</v>
      </c>
      <c r="B12" s="41">
        <v>2124</v>
      </c>
      <c r="C12" s="74" t="s">
        <v>3918</v>
      </c>
      <c r="D12" s="72"/>
      <c r="F12" s="99"/>
      <c r="G12" s="736"/>
      <c r="H12" s="704"/>
      <c r="I12" s="718"/>
      <c r="J12" s="44" t="s">
        <v>397</v>
      </c>
      <c r="K12" s="45" t="s">
        <v>398</v>
      </c>
      <c r="L12" s="46">
        <v>1</v>
      </c>
      <c r="M12" s="35"/>
      <c r="O12" s="57"/>
      <c r="P12" s="43"/>
      <c r="Q12" s="37"/>
      <c r="R12" s="38"/>
      <c r="S12" s="47">
        <f>ROUND((ROUND((_11_A重度研修１．０*_11・２人),0)*(1+_11・A深夜)),0)+ROUND((_11_B重度研修１．０＿１．０*_11・２人),0)</f>
        <v>460</v>
      </c>
      <c r="T12" s="48"/>
    </row>
    <row r="13" spans="1:20" ht="16.5" customHeight="1" x14ac:dyDescent="0.15">
      <c r="A13" s="41">
        <v>11</v>
      </c>
      <c r="B13" s="41" t="s">
        <v>3919</v>
      </c>
      <c r="C13" s="74" t="s">
        <v>3920</v>
      </c>
      <c r="D13" s="72"/>
      <c r="F13" s="99"/>
      <c r="G13" s="736"/>
      <c r="H13" s="704"/>
      <c r="I13" s="718"/>
      <c r="J13" s="44"/>
      <c r="K13" s="45"/>
      <c r="L13" s="46"/>
      <c r="M13" s="35"/>
      <c r="O13" s="57"/>
      <c r="P13" s="734" t="s">
        <v>404</v>
      </c>
      <c r="Q13" s="49" t="s">
        <v>398</v>
      </c>
      <c r="R13" s="50">
        <f>_11・初任</f>
        <v>0.7</v>
      </c>
      <c r="S13" s="47">
        <f>ROUND((ROUND((_11_A重度研修１．０*(1+_11・A深夜)),0)*_11・初任),0)+ROUND((_11_B重度研修１．０＿１．０*_11・初任),0)</f>
        <v>322</v>
      </c>
      <c r="T13" s="48"/>
    </row>
    <row r="14" spans="1:20" ht="16.5" customHeight="1" x14ac:dyDescent="0.15">
      <c r="A14" s="41">
        <v>11</v>
      </c>
      <c r="B14" s="41" t="s">
        <v>3921</v>
      </c>
      <c r="C14" s="74" t="s">
        <v>3922</v>
      </c>
      <c r="D14" s="72"/>
      <c r="F14" s="99"/>
      <c r="G14" s="182"/>
      <c r="H14" s="170">
        <f>_11_B重度研修１．０＿１．０</f>
        <v>182</v>
      </c>
      <c r="I14" s="12" t="s">
        <v>392</v>
      </c>
      <c r="J14" s="44" t="s">
        <v>397</v>
      </c>
      <c r="K14" s="45" t="s">
        <v>398</v>
      </c>
      <c r="L14" s="46">
        <v>1</v>
      </c>
      <c r="M14" s="35"/>
      <c r="O14" s="57"/>
      <c r="P14" s="706"/>
      <c r="Q14" s="37"/>
      <c r="R14" s="38"/>
      <c r="S14" s="47">
        <f>ROUND((ROUND((ROUND((_11_A重度研修１．０*_11・２人),0)*(1+_11・A深夜)),0)*_11・初任),0)+ROUND((ROUND((_11_B重度研修１．０＿１．０*_11・２人),0)*_11・初任),0)</f>
        <v>322</v>
      </c>
      <c r="T14" s="48"/>
    </row>
    <row r="15" spans="1:20" ht="16.5" customHeight="1" x14ac:dyDescent="0.15">
      <c r="A15" s="41">
        <v>11</v>
      </c>
      <c r="B15" s="41">
        <v>2317</v>
      </c>
      <c r="C15" s="74" t="s">
        <v>3923</v>
      </c>
      <c r="D15" s="72"/>
      <c r="F15" s="99"/>
      <c r="G15" s="735" t="s">
        <v>1253</v>
      </c>
      <c r="H15" s="708"/>
      <c r="I15" s="717"/>
      <c r="J15" s="44"/>
      <c r="K15" s="45"/>
      <c r="L15" s="46"/>
      <c r="M15" s="35"/>
      <c r="O15" s="57"/>
      <c r="P15" s="53"/>
      <c r="Q15" s="49"/>
      <c r="R15" s="50"/>
      <c r="S15" s="47">
        <f>ROUND((_11_A重度研修１．０*(1+_11・A深夜)),0)+_11_B重度研修１．０＿１．５</f>
        <v>551</v>
      </c>
      <c r="T15" s="48"/>
    </row>
    <row r="16" spans="1:20" ht="16.5" customHeight="1" x14ac:dyDescent="0.15">
      <c r="A16" s="41">
        <v>11</v>
      </c>
      <c r="B16" s="41">
        <v>2318</v>
      </c>
      <c r="C16" s="74" t="s">
        <v>3924</v>
      </c>
      <c r="D16" s="72"/>
      <c r="F16" s="99"/>
      <c r="G16" s="736"/>
      <c r="H16" s="704"/>
      <c r="I16" s="718"/>
      <c r="J16" s="44" t="s">
        <v>397</v>
      </c>
      <c r="K16" s="45" t="s">
        <v>398</v>
      </c>
      <c r="L16" s="46">
        <v>1</v>
      </c>
      <c r="M16" s="35"/>
      <c r="O16" s="57"/>
      <c r="P16" s="43"/>
      <c r="Q16" s="37"/>
      <c r="R16" s="38"/>
      <c r="S16" s="47">
        <f>ROUND((ROUND((_11_A重度研修１．０*_11・２人),0)*(1+_11・A深夜)),0)+ROUND((_11_B重度研修１．０＿１．５*_11・２人),0)</f>
        <v>551</v>
      </c>
      <c r="T16" s="48"/>
    </row>
    <row r="17" spans="1:20" ht="16.5" customHeight="1" x14ac:dyDescent="0.15">
      <c r="A17" s="41">
        <v>11</v>
      </c>
      <c r="B17" s="41" t="s">
        <v>3925</v>
      </c>
      <c r="C17" s="74" t="s">
        <v>3926</v>
      </c>
      <c r="D17" s="72"/>
      <c r="F17" s="99"/>
      <c r="G17" s="736"/>
      <c r="H17" s="704"/>
      <c r="I17" s="718"/>
      <c r="J17" s="44"/>
      <c r="K17" s="45"/>
      <c r="L17" s="46"/>
      <c r="M17" s="35"/>
      <c r="O17" s="57"/>
      <c r="P17" s="734" t="s">
        <v>404</v>
      </c>
      <c r="Q17" s="49" t="s">
        <v>398</v>
      </c>
      <c r="R17" s="50">
        <f>_11・初任</f>
        <v>0.7</v>
      </c>
      <c r="S17" s="47">
        <f>ROUND((ROUND((_11_A重度研修１．０*(1+_11・A深夜)),0)*_11・初任),0)+ROUND((_11_B重度研修１．０＿１．５*_11・初任),0)</f>
        <v>386</v>
      </c>
      <c r="T17" s="48"/>
    </row>
    <row r="18" spans="1:20" ht="16.5" customHeight="1" x14ac:dyDescent="0.15">
      <c r="A18" s="41">
        <v>11</v>
      </c>
      <c r="B18" s="41" t="s">
        <v>3927</v>
      </c>
      <c r="C18" s="74" t="s">
        <v>3928</v>
      </c>
      <c r="D18" s="72"/>
      <c r="F18" s="99"/>
      <c r="G18" s="182"/>
      <c r="H18" s="170">
        <f>_11_B重度研修１．０＿１．５</f>
        <v>273</v>
      </c>
      <c r="I18" s="12" t="s">
        <v>392</v>
      </c>
      <c r="J18" s="44" t="s">
        <v>397</v>
      </c>
      <c r="K18" s="45" t="s">
        <v>398</v>
      </c>
      <c r="L18" s="46">
        <v>1</v>
      </c>
      <c r="M18" s="35"/>
      <c r="O18" s="57"/>
      <c r="P18" s="706"/>
      <c r="Q18" s="37"/>
      <c r="R18" s="38"/>
      <c r="S18" s="47">
        <f>ROUND((ROUND((ROUND((_11_A重度研修１．０*_11・２人),0)*(1+_11・A深夜)),0)*_11・初任),0)+ROUND((ROUND((_11_B重度研修１．０＿１．５*_11・２人),0)*_11・初任),0)</f>
        <v>386</v>
      </c>
      <c r="T18" s="48"/>
    </row>
    <row r="19" spans="1:20" ht="16.5" customHeight="1" x14ac:dyDescent="0.15">
      <c r="A19" s="41">
        <v>11</v>
      </c>
      <c r="B19" s="41">
        <v>2125</v>
      </c>
      <c r="C19" s="74" t="s">
        <v>3929</v>
      </c>
      <c r="D19" s="72"/>
      <c r="F19" s="99"/>
      <c r="G19" s="735" t="s">
        <v>3663</v>
      </c>
      <c r="H19" s="708"/>
      <c r="I19" s="717"/>
      <c r="J19" s="44"/>
      <c r="K19" s="45"/>
      <c r="L19" s="46"/>
      <c r="M19" s="35"/>
      <c r="O19" s="57"/>
      <c r="P19" s="53"/>
      <c r="Q19" s="49"/>
      <c r="R19" s="50"/>
      <c r="S19" s="47">
        <f>ROUND((_11_A重度研修１．０*(1+_11・A深夜)),0)+_11_B重度研修１．０＿２．０</f>
        <v>643</v>
      </c>
      <c r="T19" s="48"/>
    </row>
    <row r="20" spans="1:20" ht="16.5" customHeight="1" x14ac:dyDescent="0.15">
      <c r="A20" s="41">
        <v>11</v>
      </c>
      <c r="B20" s="41">
        <v>2126</v>
      </c>
      <c r="C20" s="74" t="s">
        <v>3930</v>
      </c>
      <c r="D20" s="72"/>
      <c r="F20" s="99"/>
      <c r="G20" s="736"/>
      <c r="H20" s="704"/>
      <c r="I20" s="718"/>
      <c r="J20" s="44" t="s">
        <v>397</v>
      </c>
      <c r="K20" s="45" t="s">
        <v>398</v>
      </c>
      <c r="L20" s="46">
        <v>1</v>
      </c>
      <c r="M20" s="35"/>
      <c r="O20" s="57"/>
      <c r="P20" s="43"/>
      <c r="Q20" s="37"/>
      <c r="R20" s="38"/>
      <c r="S20" s="47">
        <f>ROUND((ROUND((_11_A重度研修１．０*_11・２人),0)*(1+_11・A深夜)),0)+ROUND((_11_B重度研修１．０＿２．０*_11・２人),0)</f>
        <v>643</v>
      </c>
      <c r="T20" s="48"/>
    </row>
    <row r="21" spans="1:20" ht="16.5" customHeight="1" x14ac:dyDescent="0.15">
      <c r="A21" s="41">
        <v>11</v>
      </c>
      <c r="B21" s="41" t="s">
        <v>3931</v>
      </c>
      <c r="C21" s="74" t="s">
        <v>3932</v>
      </c>
      <c r="D21" s="72"/>
      <c r="F21" s="99"/>
      <c r="G21" s="736"/>
      <c r="H21" s="704"/>
      <c r="I21" s="718"/>
      <c r="J21" s="44"/>
      <c r="K21" s="45"/>
      <c r="L21" s="46"/>
      <c r="M21" s="35"/>
      <c r="O21" s="57"/>
      <c r="P21" s="734" t="s">
        <v>404</v>
      </c>
      <c r="Q21" s="49" t="s">
        <v>398</v>
      </c>
      <c r="R21" s="50">
        <f>_11・初任</f>
        <v>0.7</v>
      </c>
      <c r="S21" s="47">
        <f>ROUND((ROUND((_11_A重度研修１．０*(1+_11・A深夜)),0)*_11・初任),0)+ROUND((_11_B重度研修１．０＿２．０*_11・初任),0)</f>
        <v>451</v>
      </c>
      <c r="T21" s="48"/>
    </row>
    <row r="22" spans="1:20" ht="16.5" customHeight="1" x14ac:dyDescent="0.15">
      <c r="A22" s="41">
        <v>11</v>
      </c>
      <c r="B22" s="41" t="s">
        <v>3933</v>
      </c>
      <c r="C22" s="74" t="s">
        <v>3934</v>
      </c>
      <c r="D22" s="72"/>
      <c r="F22" s="99"/>
      <c r="G22" s="182"/>
      <c r="H22" s="170">
        <f>_11_B重度研修１．０＿２．０</f>
        <v>365</v>
      </c>
      <c r="I22" s="12" t="s">
        <v>392</v>
      </c>
      <c r="J22" s="44" t="s">
        <v>397</v>
      </c>
      <c r="K22" s="45" t="s">
        <v>398</v>
      </c>
      <c r="L22" s="46">
        <v>1</v>
      </c>
      <c r="M22" s="35"/>
      <c r="O22" s="57"/>
      <c r="P22" s="706"/>
      <c r="Q22" s="37"/>
      <c r="R22" s="38"/>
      <c r="S22" s="47">
        <f>ROUND((ROUND((ROUND((_11_A重度研修１．０*_11・２人),0)*(1+_11・A深夜)),0)*_11・初任),0)+ROUND((ROUND((_11_B重度研修１．０＿２．０*_11・２人),0)*_11・初任),0)</f>
        <v>451</v>
      </c>
      <c r="T22" s="48"/>
    </row>
    <row r="23" spans="1:20" ht="16.5" customHeight="1" x14ac:dyDescent="0.15">
      <c r="A23" s="41">
        <v>11</v>
      </c>
      <c r="B23" s="41">
        <v>2319</v>
      </c>
      <c r="C23" s="74" t="s">
        <v>3935</v>
      </c>
      <c r="D23" s="707" t="s">
        <v>3601</v>
      </c>
      <c r="E23" s="708"/>
      <c r="F23" s="740"/>
      <c r="G23" s="735" t="s">
        <v>3643</v>
      </c>
      <c r="H23" s="708"/>
      <c r="I23" s="717"/>
      <c r="J23" s="44"/>
      <c r="K23" s="45"/>
      <c r="L23" s="46"/>
      <c r="M23" s="35"/>
      <c r="O23" s="57"/>
      <c r="P23" s="53"/>
      <c r="Q23" s="49"/>
      <c r="R23" s="50"/>
      <c r="S23" s="47">
        <f>ROUND((_11_A重度研修１．５*(1+_11・A深夜)),0)+_11_B重度研修１．５＿０．５</f>
        <v>505</v>
      </c>
      <c r="T23" s="48"/>
    </row>
    <row r="24" spans="1:20" ht="16.5" customHeight="1" x14ac:dyDescent="0.15">
      <c r="A24" s="41">
        <v>11</v>
      </c>
      <c r="B24" s="41">
        <v>2320</v>
      </c>
      <c r="C24" s="74" t="s">
        <v>3936</v>
      </c>
      <c r="D24" s="709"/>
      <c r="E24" s="704"/>
      <c r="F24" s="739"/>
      <c r="G24" s="736"/>
      <c r="H24" s="704"/>
      <c r="I24" s="718"/>
      <c r="J24" s="44" t="s">
        <v>397</v>
      </c>
      <c r="K24" s="45" t="s">
        <v>398</v>
      </c>
      <c r="L24" s="46">
        <v>1</v>
      </c>
      <c r="M24" s="35"/>
      <c r="O24" s="57"/>
      <c r="P24" s="43"/>
      <c r="Q24" s="37"/>
      <c r="R24" s="38"/>
      <c r="S24" s="47">
        <f>ROUND((ROUND((_11_A重度研修１．５*_11・２人),0)*(1+_11・A深夜)),0)+ROUND((_11_B重度研修１．５＿０．５*_11・２人),0)</f>
        <v>505</v>
      </c>
      <c r="T24" s="48"/>
    </row>
    <row r="25" spans="1:20" ht="16.5" customHeight="1" x14ac:dyDescent="0.15">
      <c r="A25" s="41">
        <v>11</v>
      </c>
      <c r="B25" s="41" t="s">
        <v>3937</v>
      </c>
      <c r="C25" s="74" t="s">
        <v>3938</v>
      </c>
      <c r="D25" s="709"/>
      <c r="E25" s="704"/>
      <c r="F25" s="739"/>
      <c r="G25" s="736"/>
      <c r="H25" s="704"/>
      <c r="I25" s="718"/>
      <c r="J25" s="44"/>
      <c r="K25" s="45"/>
      <c r="L25" s="46"/>
      <c r="M25" s="35"/>
      <c r="O25" s="57"/>
      <c r="P25" s="734" t="s">
        <v>404</v>
      </c>
      <c r="Q25" s="49" t="s">
        <v>398</v>
      </c>
      <c r="R25" s="50">
        <f>_11・初任</f>
        <v>0.7</v>
      </c>
      <c r="S25" s="47">
        <f>ROUND((ROUND((_11_A重度研修１．５*(1+_11・A深夜)),0)*_11・初任),0)+ROUND((_11_B重度研修１．５＿０．５*_11・初任),0)</f>
        <v>353</v>
      </c>
      <c r="T25" s="48"/>
    </row>
    <row r="26" spans="1:20" ht="16.5" customHeight="1" x14ac:dyDescent="0.15">
      <c r="A26" s="41">
        <v>11</v>
      </c>
      <c r="B26" s="41" t="s">
        <v>3939</v>
      </c>
      <c r="C26" s="74" t="s">
        <v>3940</v>
      </c>
      <c r="D26" s="72"/>
      <c r="E26" s="170">
        <f>_11_A重度研修１．５</f>
        <v>275</v>
      </c>
      <c r="F26" s="12" t="s">
        <v>392</v>
      </c>
      <c r="G26" s="182"/>
      <c r="H26" s="170">
        <f>_11_B重度研修１．５＿０．５</f>
        <v>92</v>
      </c>
      <c r="I26" s="12" t="s">
        <v>392</v>
      </c>
      <c r="J26" s="44" t="s">
        <v>397</v>
      </c>
      <c r="K26" s="45" t="s">
        <v>398</v>
      </c>
      <c r="L26" s="46">
        <v>1</v>
      </c>
      <c r="M26" s="35"/>
      <c r="O26" s="57"/>
      <c r="P26" s="706"/>
      <c r="Q26" s="37"/>
      <c r="R26" s="38"/>
      <c r="S26" s="47">
        <f>ROUND((ROUND((ROUND((_11_A重度研修１．５*_11・２人),0)*(1+_11・A深夜)),0)*_11・初任),0)+ROUND((ROUND((_11_B重度研修１．５＿０．５*_11・２人),0)*_11・初任),0)</f>
        <v>353</v>
      </c>
      <c r="T26" s="48"/>
    </row>
    <row r="27" spans="1:20" ht="16.5" customHeight="1" x14ac:dyDescent="0.15">
      <c r="A27" s="41">
        <v>11</v>
      </c>
      <c r="B27" s="41">
        <v>2321</v>
      </c>
      <c r="C27" s="74" t="s">
        <v>3941</v>
      </c>
      <c r="D27" s="72"/>
      <c r="F27" s="99"/>
      <c r="G27" s="735" t="s">
        <v>3650</v>
      </c>
      <c r="H27" s="708"/>
      <c r="I27" s="717"/>
      <c r="J27" s="44"/>
      <c r="K27" s="45"/>
      <c r="L27" s="46"/>
      <c r="M27" s="35"/>
      <c r="O27" s="57"/>
      <c r="P27" s="53"/>
      <c r="Q27" s="49"/>
      <c r="R27" s="50"/>
      <c r="S27" s="47">
        <f>ROUND((_11_A重度研修１．５*(1+_11・A深夜)),0)+_11_B重度研修１．５＿１．０</f>
        <v>596</v>
      </c>
      <c r="T27" s="48"/>
    </row>
    <row r="28" spans="1:20" ht="16.5" customHeight="1" x14ac:dyDescent="0.15">
      <c r="A28" s="41">
        <v>11</v>
      </c>
      <c r="B28" s="41">
        <v>2322</v>
      </c>
      <c r="C28" s="74" t="s">
        <v>3942</v>
      </c>
      <c r="D28" s="72"/>
      <c r="F28" s="99"/>
      <c r="G28" s="736"/>
      <c r="H28" s="704"/>
      <c r="I28" s="718"/>
      <c r="J28" s="44" t="s">
        <v>397</v>
      </c>
      <c r="K28" s="45" t="s">
        <v>398</v>
      </c>
      <c r="L28" s="46">
        <v>1</v>
      </c>
      <c r="M28" s="35"/>
      <c r="O28" s="57"/>
      <c r="P28" s="43"/>
      <c r="Q28" s="37"/>
      <c r="R28" s="38"/>
      <c r="S28" s="47">
        <f>ROUND((ROUND((_11_A重度研修１．５*_11・２人),0)*(1+_11・A深夜)),0)+ROUND((_11_B重度研修１．５＿１．０*_11・２人),0)</f>
        <v>596</v>
      </c>
      <c r="T28" s="48"/>
    </row>
    <row r="29" spans="1:20" ht="16.5" customHeight="1" x14ac:dyDescent="0.15">
      <c r="A29" s="41">
        <v>11</v>
      </c>
      <c r="B29" s="41" t="s">
        <v>3943</v>
      </c>
      <c r="C29" s="74" t="s">
        <v>3944</v>
      </c>
      <c r="D29" s="72"/>
      <c r="F29" s="99"/>
      <c r="G29" s="736"/>
      <c r="H29" s="704"/>
      <c r="I29" s="718"/>
      <c r="J29" s="44"/>
      <c r="K29" s="45"/>
      <c r="L29" s="46"/>
      <c r="M29" s="35"/>
      <c r="O29" s="57"/>
      <c r="P29" s="734" t="s">
        <v>404</v>
      </c>
      <c r="Q29" s="49" t="s">
        <v>398</v>
      </c>
      <c r="R29" s="50">
        <f>_11・初任</f>
        <v>0.7</v>
      </c>
      <c r="S29" s="47">
        <f>ROUND((ROUND((_11_A重度研修１．５*(1+_11・A深夜)),0)*_11・初任),0)+ROUND((_11_B重度研修１．５＿１．０*_11・初任),0)</f>
        <v>417</v>
      </c>
      <c r="T29" s="48"/>
    </row>
    <row r="30" spans="1:20" ht="16.5" customHeight="1" x14ac:dyDescent="0.15">
      <c r="A30" s="41">
        <v>11</v>
      </c>
      <c r="B30" s="41" t="s">
        <v>3945</v>
      </c>
      <c r="C30" s="74" t="s">
        <v>3946</v>
      </c>
      <c r="D30" s="72"/>
      <c r="F30" s="99"/>
      <c r="G30" s="182"/>
      <c r="H30" s="168">
        <f>_11_B重度研修１．５＿１．０</f>
        <v>183</v>
      </c>
      <c r="I30" s="12" t="s">
        <v>392</v>
      </c>
      <c r="J30" s="44" t="s">
        <v>397</v>
      </c>
      <c r="K30" s="45" t="s">
        <v>398</v>
      </c>
      <c r="L30" s="46">
        <v>1</v>
      </c>
      <c r="M30" s="35"/>
      <c r="O30" s="57"/>
      <c r="P30" s="706"/>
      <c r="Q30" s="37"/>
      <c r="R30" s="38"/>
      <c r="S30" s="47">
        <f>ROUND((ROUND((ROUND((_11_A重度研修１．５*_11・２人),0)*(1+_11・A深夜)),0)*_11・初任),0)+ROUND((ROUND((_11_B重度研修１．５＿１．０*_11・２人),0)*_11・初任),0)</f>
        <v>417</v>
      </c>
      <c r="T30" s="48"/>
    </row>
    <row r="31" spans="1:20" ht="16.5" customHeight="1" x14ac:dyDescent="0.15">
      <c r="A31" s="41">
        <v>11</v>
      </c>
      <c r="B31" s="41">
        <v>2323</v>
      </c>
      <c r="C31" s="74" t="s">
        <v>3947</v>
      </c>
      <c r="D31" s="72"/>
      <c r="F31" s="99"/>
      <c r="G31" s="735" t="s">
        <v>1253</v>
      </c>
      <c r="H31" s="708"/>
      <c r="I31" s="717"/>
      <c r="J31" s="44"/>
      <c r="K31" s="45"/>
      <c r="L31" s="46"/>
      <c r="M31" s="35"/>
      <c r="O31" s="57"/>
      <c r="P31" s="53"/>
      <c r="Q31" s="49"/>
      <c r="R31" s="50"/>
      <c r="S31" s="47">
        <f>ROUND((_11_A重度研修１．５*(1+_11・A深夜)),0)+_11_B重度研修１．５＿１．５</f>
        <v>688</v>
      </c>
      <c r="T31" s="48"/>
    </row>
    <row r="32" spans="1:20" ht="16.5" customHeight="1" x14ac:dyDescent="0.15">
      <c r="A32" s="41">
        <v>11</v>
      </c>
      <c r="B32" s="41">
        <v>2324</v>
      </c>
      <c r="C32" s="74" t="s">
        <v>3948</v>
      </c>
      <c r="D32" s="72"/>
      <c r="F32" s="99"/>
      <c r="G32" s="736"/>
      <c r="H32" s="704"/>
      <c r="I32" s="718"/>
      <c r="J32" s="44" t="s">
        <v>397</v>
      </c>
      <c r="K32" s="45" t="s">
        <v>398</v>
      </c>
      <c r="L32" s="46">
        <v>1</v>
      </c>
      <c r="M32" s="35"/>
      <c r="O32" s="57"/>
      <c r="P32" s="43"/>
      <c r="Q32" s="37"/>
      <c r="R32" s="38"/>
      <c r="S32" s="47">
        <f>ROUND((ROUND((_11_A重度研修１．５*_11・２人),0)*(1+_11・A深夜)),0)+ROUND((_11_B重度研修１．５＿１．５*_11・２人),0)</f>
        <v>688</v>
      </c>
      <c r="T32" s="48"/>
    </row>
    <row r="33" spans="1:20" ht="16.5" customHeight="1" x14ac:dyDescent="0.15">
      <c r="A33" s="41">
        <v>11</v>
      </c>
      <c r="B33" s="41" t="s">
        <v>3949</v>
      </c>
      <c r="C33" s="74" t="s">
        <v>3950</v>
      </c>
      <c r="D33" s="72"/>
      <c r="F33" s="99"/>
      <c r="G33" s="736"/>
      <c r="H33" s="704"/>
      <c r="I33" s="718"/>
      <c r="J33" s="44"/>
      <c r="K33" s="45"/>
      <c r="L33" s="46"/>
      <c r="M33" s="35"/>
      <c r="O33" s="57"/>
      <c r="P33" s="734" t="s">
        <v>404</v>
      </c>
      <c r="Q33" s="49" t="s">
        <v>398</v>
      </c>
      <c r="R33" s="50">
        <f>_11・初任</f>
        <v>0.7</v>
      </c>
      <c r="S33" s="47">
        <f>ROUND((ROUND((_11_A重度研修１．５*(1+_11・A深夜)),0)*_11・初任),0)+ROUND((_11_B重度研修１．５＿１．５*_11・初任),0)</f>
        <v>482</v>
      </c>
      <c r="T33" s="48"/>
    </row>
    <row r="34" spans="1:20" ht="16.5" customHeight="1" x14ac:dyDescent="0.15">
      <c r="A34" s="41">
        <v>11</v>
      </c>
      <c r="B34" s="41" t="s">
        <v>3951</v>
      </c>
      <c r="C34" s="74" t="s">
        <v>3952</v>
      </c>
      <c r="D34" s="72"/>
      <c r="F34" s="99"/>
      <c r="G34" s="182"/>
      <c r="H34" s="170">
        <f>_11_B重度研修１．５＿１．５</f>
        <v>275</v>
      </c>
      <c r="I34" s="12" t="s">
        <v>392</v>
      </c>
      <c r="J34" s="44" t="s">
        <v>397</v>
      </c>
      <c r="K34" s="45" t="s">
        <v>398</v>
      </c>
      <c r="L34" s="46">
        <v>1</v>
      </c>
      <c r="M34" s="35"/>
      <c r="O34" s="57"/>
      <c r="P34" s="706"/>
      <c r="Q34" s="37"/>
      <c r="R34" s="38"/>
      <c r="S34" s="47">
        <f>ROUND((ROUND((ROUND((_11_A重度研修１．５*_11・２人),0)*(1+_11・A深夜)),0)*_11・初任),0)+ROUND((ROUND((_11_B重度研修１．５＿１．５*_11・２人),0)*_11・初任),0)</f>
        <v>482</v>
      </c>
      <c r="T34" s="48"/>
    </row>
    <row r="35" spans="1:20" ht="16.5" customHeight="1" x14ac:dyDescent="0.15">
      <c r="A35" s="41">
        <v>11</v>
      </c>
      <c r="B35" s="41">
        <v>2325</v>
      </c>
      <c r="C35" s="74" t="s">
        <v>3953</v>
      </c>
      <c r="D35" s="707" t="s">
        <v>3621</v>
      </c>
      <c r="E35" s="708"/>
      <c r="F35" s="740"/>
      <c r="G35" s="735" t="s">
        <v>3643</v>
      </c>
      <c r="H35" s="708"/>
      <c r="I35" s="717"/>
      <c r="J35" s="44"/>
      <c r="K35" s="45"/>
      <c r="L35" s="46"/>
      <c r="M35" s="35"/>
      <c r="O35" s="57"/>
      <c r="P35" s="53"/>
      <c r="Q35" s="49"/>
      <c r="R35" s="50"/>
      <c r="S35" s="47">
        <f>ROUND((_11_A重度研修２．０*(1+_11・A深夜)),0)+_11_B重度研修２．０＿０．５</f>
        <v>642</v>
      </c>
      <c r="T35" s="48"/>
    </row>
    <row r="36" spans="1:20" ht="16.5" customHeight="1" x14ac:dyDescent="0.15">
      <c r="A36" s="41">
        <v>11</v>
      </c>
      <c r="B36" s="41">
        <v>2326</v>
      </c>
      <c r="C36" s="74" t="s">
        <v>3954</v>
      </c>
      <c r="D36" s="709"/>
      <c r="E36" s="704"/>
      <c r="F36" s="739"/>
      <c r="G36" s="736"/>
      <c r="H36" s="704"/>
      <c r="I36" s="718"/>
      <c r="J36" s="44" t="s">
        <v>397</v>
      </c>
      <c r="K36" s="45" t="s">
        <v>398</v>
      </c>
      <c r="L36" s="46">
        <v>1</v>
      </c>
      <c r="M36" s="35"/>
      <c r="O36" s="57"/>
      <c r="P36" s="43"/>
      <c r="Q36" s="37"/>
      <c r="R36" s="38"/>
      <c r="S36" s="47">
        <f>ROUND((ROUND((_11_A重度研修２．０*_11・２人),0)*(1+_11・A深夜)),0)+ROUND((_11_B重度研修２．０＿０．５*_11・２人),0)</f>
        <v>642</v>
      </c>
      <c r="T36" s="48"/>
    </row>
    <row r="37" spans="1:20" ht="16.5" customHeight="1" x14ac:dyDescent="0.15">
      <c r="A37" s="41">
        <v>11</v>
      </c>
      <c r="B37" s="41" t="s">
        <v>3955</v>
      </c>
      <c r="C37" s="74" t="s">
        <v>3956</v>
      </c>
      <c r="D37" s="709"/>
      <c r="E37" s="704"/>
      <c r="F37" s="739"/>
      <c r="G37" s="736"/>
      <c r="H37" s="704"/>
      <c r="I37" s="718"/>
      <c r="J37" s="44"/>
      <c r="K37" s="45"/>
      <c r="L37" s="46"/>
      <c r="M37" s="35"/>
      <c r="O37" s="57"/>
      <c r="P37" s="734" t="s">
        <v>404</v>
      </c>
      <c r="Q37" s="49" t="s">
        <v>398</v>
      </c>
      <c r="R37" s="50">
        <f>_11・初任</f>
        <v>0.7</v>
      </c>
      <c r="S37" s="47">
        <f>ROUND((ROUND((_11_A重度研修２．０*(1+_11・A深夜)),0)*_11・初任),0)+ROUND((_11_B重度研修２．０＿０．５*_11・初任),0)</f>
        <v>450</v>
      </c>
      <c r="T37" s="48"/>
    </row>
    <row r="38" spans="1:20" ht="16.5" customHeight="1" x14ac:dyDescent="0.15">
      <c r="A38" s="41">
        <v>11</v>
      </c>
      <c r="B38" s="41" t="s">
        <v>3957</v>
      </c>
      <c r="C38" s="74" t="s">
        <v>3958</v>
      </c>
      <c r="D38" s="72"/>
      <c r="E38" s="170">
        <f>_11_A重度研修２．０</f>
        <v>367</v>
      </c>
      <c r="F38" s="12" t="s">
        <v>392</v>
      </c>
      <c r="G38" s="182"/>
      <c r="H38" s="168">
        <f>_11_B重度研修２．０＿０．５</f>
        <v>91</v>
      </c>
      <c r="I38" s="12" t="s">
        <v>392</v>
      </c>
      <c r="J38" s="44" t="s">
        <v>397</v>
      </c>
      <c r="K38" s="45" t="s">
        <v>398</v>
      </c>
      <c r="L38" s="46">
        <v>1</v>
      </c>
      <c r="M38" s="35"/>
      <c r="O38" s="57"/>
      <c r="P38" s="706"/>
      <c r="Q38" s="37"/>
      <c r="R38" s="38"/>
      <c r="S38" s="47">
        <f>ROUND((ROUND((ROUND((_11_A重度研修２．０*_11・２人),0)*(1+_11・A深夜)),0)*_11・初任),0)+ROUND((ROUND((_11_B重度研修２．０＿０．５*_11・２人),0)*_11・初任),0)</f>
        <v>450</v>
      </c>
      <c r="T38" s="48"/>
    </row>
    <row r="39" spans="1:20" ht="16.5" customHeight="1" x14ac:dyDescent="0.15">
      <c r="A39" s="41">
        <v>11</v>
      </c>
      <c r="B39" s="41">
        <v>2127</v>
      </c>
      <c r="C39" s="74" t="s">
        <v>3959</v>
      </c>
      <c r="D39" s="72"/>
      <c r="F39" s="99"/>
      <c r="G39" s="735" t="s">
        <v>3650</v>
      </c>
      <c r="H39" s="708"/>
      <c r="I39" s="717"/>
      <c r="J39" s="44"/>
      <c r="K39" s="45"/>
      <c r="L39" s="46"/>
      <c r="M39" s="35"/>
      <c r="O39" s="57"/>
      <c r="P39" s="53"/>
      <c r="Q39" s="49"/>
      <c r="R39" s="50"/>
      <c r="S39" s="47">
        <f>ROUND((_11_A重度研修２．０*(1+_11・A深夜)),0)+_11_B重度研修２．０＿１．０</f>
        <v>734</v>
      </c>
      <c r="T39" s="48"/>
    </row>
    <row r="40" spans="1:20" ht="16.5" customHeight="1" x14ac:dyDescent="0.15">
      <c r="A40" s="41">
        <v>11</v>
      </c>
      <c r="B40" s="41">
        <v>2128</v>
      </c>
      <c r="C40" s="74" t="s">
        <v>3960</v>
      </c>
      <c r="D40" s="72"/>
      <c r="F40" s="99"/>
      <c r="G40" s="736"/>
      <c r="H40" s="704"/>
      <c r="I40" s="718"/>
      <c r="J40" s="44" t="s">
        <v>397</v>
      </c>
      <c r="K40" s="45" t="s">
        <v>398</v>
      </c>
      <c r="L40" s="46">
        <v>1</v>
      </c>
      <c r="M40" s="35"/>
      <c r="O40" s="57"/>
      <c r="P40" s="43"/>
      <c r="Q40" s="37"/>
      <c r="R40" s="38"/>
      <c r="S40" s="47">
        <f>ROUND((ROUND((_11_A重度研修２．０*_11・２人),0)*(1+_11・A深夜)),0)+ROUND((_11_B重度研修２．０＿１．０*_11・２人),0)</f>
        <v>734</v>
      </c>
      <c r="T40" s="48"/>
    </row>
    <row r="41" spans="1:20" ht="16.5" customHeight="1" x14ac:dyDescent="0.15">
      <c r="A41" s="41">
        <v>11</v>
      </c>
      <c r="B41" s="41" t="s">
        <v>3961</v>
      </c>
      <c r="C41" s="74" t="s">
        <v>3962</v>
      </c>
      <c r="D41" s="72"/>
      <c r="F41" s="99"/>
      <c r="G41" s="736"/>
      <c r="H41" s="704"/>
      <c r="I41" s="718"/>
      <c r="J41" s="44"/>
      <c r="K41" s="45"/>
      <c r="L41" s="46"/>
      <c r="M41" s="35"/>
      <c r="O41" s="57"/>
      <c r="P41" s="734" t="s">
        <v>404</v>
      </c>
      <c r="Q41" s="49" t="s">
        <v>398</v>
      </c>
      <c r="R41" s="50">
        <f>_11・初任</f>
        <v>0.7</v>
      </c>
      <c r="S41" s="47">
        <f>ROUND((ROUND((_11_A重度研修２．０*(1+_11・A深夜)),0)*_11・初任),0)+ROUND((_11_B重度研修２．０＿１．０*_11・初任),0)</f>
        <v>514</v>
      </c>
      <c r="T41" s="48"/>
    </row>
    <row r="42" spans="1:20" ht="16.5" customHeight="1" x14ac:dyDescent="0.15">
      <c r="A42" s="41">
        <v>11</v>
      </c>
      <c r="B42" s="41" t="s">
        <v>3963</v>
      </c>
      <c r="C42" s="74" t="s">
        <v>3964</v>
      </c>
      <c r="D42" s="72"/>
      <c r="F42" s="99"/>
      <c r="G42" s="182"/>
      <c r="H42" s="168">
        <f>_11_B重度研修２．０＿１．０</f>
        <v>183</v>
      </c>
      <c r="I42" s="12" t="s">
        <v>392</v>
      </c>
      <c r="J42" s="44" t="s">
        <v>397</v>
      </c>
      <c r="K42" s="45" t="s">
        <v>398</v>
      </c>
      <c r="L42" s="46">
        <v>1</v>
      </c>
      <c r="M42" s="35"/>
      <c r="O42" s="57"/>
      <c r="P42" s="706"/>
      <c r="Q42" s="37"/>
      <c r="R42" s="38"/>
      <c r="S42" s="47">
        <f>ROUND((ROUND((ROUND((_11_A重度研修２．０*_11・２人),0)*(1+_11・A深夜)),0)*_11・初任),0)+ROUND((ROUND((_11_B重度研修２．０＿１．０*_11・２人),0)*_11・初任),0)</f>
        <v>514</v>
      </c>
      <c r="T42" s="48"/>
    </row>
    <row r="43" spans="1:20" ht="16.5" customHeight="1" x14ac:dyDescent="0.15">
      <c r="A43" s="41">
        <v>11</v>
      </c>
      <c r="B43" s="41">
        <v>2327</v>
      </c>
      <c r="C43" s="74" t="s">
        <v>3965</v>
      </c>
      <c r="D43" s="707" t="s">
        <v>3634</v>
      </c>
      <c r="E43" s="708"/>
      <c r="F43" s="740"/>
      <c r="G43" s="735" t="s">
        <v>3643</v>
      </c>
      <c r="H43" s="708"/>
      <c r="I43" s="717"/>
      <c r="J43" s="44"/>
      <c r="K43" s="45"/>
      <c r="L43" s="46"/>
      <c r="M43" s="35"/>
      <c r="O43" s="57"/>
      <c r="P43" s="53"/>
      <c r="Q43" s="49"/>
      <c r="R43" s="50"/>
      <c r="S43" s="47">
        <f>ROUND((_11_A重度研修２．５*(1+_11・A深夜)),0)+_11_B重度研修２．５＿０．５</f>
        <v>779</v>
      </c>
      <c r="T43" s="48"/>
    </row>
    <row r="44" spans="1:20" ht="16.5" customHeight="1" x14ac:dyDescent="0.15">
      <c r="A44" s="41">
        <v>11</v>
      </c>
      <c r="B44" s="41">
        <v>2328</v>
      </c>
      <c r="C44" s="74" t="s">
        <v>3966</v>
      </c>
      <c r="D44" s="709"/>
      <c r="E44" s="704"/>
      <c r="F44" s="739"/>
      <c r="G44" s="736"/>
      <c r="H44" s="704"/>
      <c r="I44" s="718"/>
      <c r="J44" s="44" t="s">
        <v>397</v>
      </c>
      <c r="K44" s="45" t="s">
        <v>398</v>
      </c>
      <c r="L44" s="46">
        <v>1</v>
      </c>
      <c r="M44" s="35"/>
      <c r="O44" s="57"/>
      <c r="P44" s="43"/>
      <c r="Q44" s="37"/>
      <c r="R44" s="38"/>
      <c r="S44" s="47">
        <f>ROUND((ROUND((_11_A重度研修２．５*_11・２人),0)*(1+_11・A深夜)),0)+ROUND((_11_B重度研修２．５＿０．５*_11・２人),0)</f>
        <v>779</v>
      </c>
      <c r="T44" s="48"/>
    </row>
    <row r="45" spans="1:20" ht="16.5" customHeight="1" x14ac:dyDescent="0.15">
      <c r="A45" s="41">
        <v>11</v>
      </c>
      <c r="B45" s="41" t="s">
        <v>3967</v>
      </c>
      <c r="C45" s="74" t="s">
        <v>3968</v>
      </c>
      <c r="D45" s="709"/>
      <c r="E45" s="704"/>
      <c r="F45" s="739"/>
      <c r="G45" s="736"/>
      <c r="H45" s="704"/>
      <c r="I45" s="718"/>
      <c r="J45" s="44"/>
      <c r="K45" s="45"/>
      <c r="L45" s="46"/>
      <c r="M45" s="35"/>
      <c r="O45" s="57"/>
      <c r="P45" s="734" t="s">
        <v>404</v>
      </c>
      <c r="Q45" s="49" t="s">
        <v>398</v>
      </c>
      <c r="R45" s="50">
        <f>_11・初任</f>
        <v>0.7</v>
      </c>
      <c r="S45" s="47">
        <f>ROUND((ROUND((_11_A重度研修２．５*(1+_11・A深夜)),0)*_11・初任),0)+ROUND((_11_B重度研修２．５＿０．５*_11・初任),0)</f>
        <v>545</v>
      </c>
      <c r="T45" s="48"/>
    </row>
    <row r="46" spans="1:20" ht="16.5" customHeight="1" x14ac:dyDescent="0.15">
      <c r="A46" s="41">
        <v>11</v>
      </c>
      <c r="B46" s="41" t="s">
        <v>3969</v>
      </c>
      <c r="C46" s="74" t="s">
        <v>3970</v>
      </c>
      <c r="D46" s="122"/>
      <c r="E46" s="176">
        <f>_11_A重度研修２．５</f>
        <v>458</v>
      </c>
      <c r="F46" s="37" t="s">
        <v>392</v>
      </c>
      <c r="G46" s="183"/>
      <c r="H46" s="176">
        <f>_11_B重度研修２．５＿０．５</f>
        <v>92</v>
      </c>
      <c r="I46" s="37" t="s">
        <v>392</v>
      </c>
      <c r="J46" s="44" t="s">
        <v>397</v>
      </c>
      <c r="K46" s="45" t="s">
        <v>398</v>
      </c>
      <c r="L46" s="46">
        <v>1</v>
      </c>
      <c r="M46" s="43"/>
      <c r="N46" s="38"/>
      <c r="O46" s="79"/>
      <c r="P46" s="706"/>
      <c r="Q46" s="37"/>
      <c r="R46" s="38"/>
      <c r="S46" s="47">
        <f>ROUND((ROUND((ROUND((_11_A重度研修２．５*_11・２人),0)*(1+_11・A深夜)),0)*_11・初任),0)+ROUND((ROUND((_11_B重度研修２．５＿０．５*_11・２人),0)*_11・初任),0)</f>
        <v>545</v>
      </c>
      <c r="T46" s="63"/>
    </row>
    <row r="47" spans="1:20" ht="16.5" customHeight="1" x14ac:dyDescent="0.15"/>
  </sheetData>
  <mergeCells count="26">
    <mergeCell ref="G39:I41"/>
    <mergeCell ref="P41:P42"/>
    <mergeCell ref="D43:F45"/>
    <mergeCell ref="G43:I45"/>
    <mergeCell ref="P45:P46"/>
    <mergeCell ref="G27:I29"/>
    <mergeCell ref="P29:P30"/>
    <mergeCell ref="G31:I33"/>
    <mergeCell ref="P33:P34"/>
    <mergeCell ref="D35:F37"/>
    <mergeCell ref="G35:I37"/>
    <mergeCell ref="P37:P38"/>
    <mergeCell ref="G15:I17"/>
    <mergeCell ref="P17:P18"/>
    <mergeCell ref="G19:I21"/>
    <mergeCell ref="P21:P22"/>
    <mergeCell ref="D23:F25"/>
    <mergeCell ref="G23:I25"/>
    <mergeCell ref="P25:P26"/>
    <mergeCell ref="G11:I13"/>
    <mergeCell ref="P13:P14"/>
    <mergeCell ref="D6:F6"/>
    <mergeCell ref="G6:I6"/>
    <mergeCell ref="D7:F9"/>
    <mergeCell ref="G7:I9"/>
    <mergeCell ref="P9:P10"/>
  </mergeCells>
  <phoneticPr fontId="1"/>
  <printOptions horizontalCentered="1"/>
  <pageMargins left="0.70866141732283472" right="0.70866141732283472" top="0.74803149606299213" bottom="0.74803149606299213" header="0.31496062992125984" footer="0.31496062992125984"/>
  <pageSetup paperSize="9" scale="55" fitToHeight="0" orientation="portrait" r:id="rId1"/>
  <headerFooter>
    <oddHeader>&amp;R&amp;"ＭＳ Ｐゴシック"&amp;9居宅介護</oddHeader>
    <oddFooter>&amp;C&amp;"ＭＳ Ｐゴシック"&amp;14&amp;P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pageSetUpPr fitToPage="1"/>
  </sheetPr>
  <dimension ref="A1:Y47"/>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1.875" style="10" bestFit="1" customWidth="1"/>
    <col min="4" max="4" width="2.5" style="10" customWidth="1"/>
    <col min="5" max="5" width="4.875" style="10" customWidth="1"/>
    <col min="6" max="6" width="5.5" style="117" customWidth="1"/>
    <col min="7" max="7" width="2.5" style="117" customWidth="1"/>
    <col min="8" max="8" width="4.875" style="10" customWidth="1"/>
    <col min="9" max="9" width="5.5" style="117" bestFit="1" customWidth="1"/>
    <col min="10" max="10" width="5.875" style="10" customWidth="1"/>
    <col min="11" max="11" width="6.125" style="12" customWidth="1"/>
    <col min="12" max="12" width="24.875" style="14" bestFit="1" customWidth="1"/>
    <col min="13" max="13" width="3.5" style="12" bestFit="1" customWidth="1"/>
    <col min="14" max="14" width="5.5" style="13" bestFit="1" customWidth="1"/>
    <col min="15" max="15" width="3.5" style="12" bestFit="1" customWidth="1"/>
    <col min="16" max="16" width="4.5" style="13" bestFit="1" customWidth="1"/>
    <col min="17" max="17" width="5.5" style="12" bestFit="1" customWidth="1"/>
    <col min="18" max="18" width="3.5" style="12" bestFit="1" customWidth="1"/>
    <col min="19" max="19" width="4.5" style="13" bestFit="1" customWidth="1"/>
    <col min="20" max="20" width="5.5" style="12" bestFit="1" customWidth="1"/>
    <col min="21" max="21" width="17.875" style="12" customWidth="1"/>
    <col min="22" max="22" width="3.5" style="12" bestFit="1" customWidth="1"/>
    <col min="23" max="23" width="4.5" style="13" bestFit="1" customWidth="1"/>
    <col min="24" max="24" width="7.125" style="15" customWidth="1"/>
    <col min="25" max="25" width="8.5" style="16" customWidth="1"/>
    <col min="26" max="16384" width="8.875" style="12"/>
  </cols>
  <sheetData>
    <row r="1" spans="1:25" ht="17.100000000000001" customHeight="1" x14ac:dyDescent="0.15">
      <c r="E1" s="11"/>
      <c r="H1" s="11"/>
    </row>
    <row r="2" spans="1:25" ht="17.100000000000001" customHeight="1" x14ac:dyDescent="0.15"/>
    <row r="3" spans="1:25" ht="17.100000000000001" customHeight="1" x14ac:dyDescent="0.15"/>
    <row r="4" spans="1:25" ht="17.100000000000001" customHeight="1" x14ac:dyDescent="0.15">
      <c r="B4" s="17" t="s">
        <v>3971</v>
      </c>
      <c r="E4" s="71"/>
    </row>
    <row r="5" spans="1:25" ht="16.5" customHeight="1" x14ac:dyDescent="0.15">
      <c r="A5" s="19" t="s">
        <v>384</v>
      </c>
      <c r="B5" s="20"/>
      <c r="C5" s="21" t="s">
        <v>385</v>
      </c>
      <c r="D5" s="166"/>
      <c r="E5" s="23" t="s">
        <v>386</v>
      </c>
      <c r="F5" s="118"/>
      <c r="G5" s="118"/>
      <c r="H5" s="23"/>
      <c r="I5" s="118"/>
      <c r="J5" s="23"/>
      <c r="K5" s="23"/>
      <c r="L5" s="23"/>
      <c r="M5" s="23"/>
      <c r="N5" s="24"/>
      <c r="O5" s="23"/>
      <c r="P5" s="24"/>
      <c r="Q5" s="23"/>
      <c r="R5" s="23"/>
      <c r="S5" s="24"/>
      <c r="T5" s="23"/>
      <c r="U5" s="23"/>
      <c r="V5" s="23"/>
      <c r="W5" s="24"/>
      <c r="X5" s="25" t="s">
        <v>387</v>
      </c>
      <c r="Y5" s="21" t="s">
        <v>388</v>
      </c>
    </row>
    <row r="6" spans="1:25" ht="16.5" customHeight="1" x14ac:dyDescent="0.15">
      <c r="A6" s="26" t="s">
        <v>389</v>
      </c>
      <c r="B6" s="26" t="s">
        <v>390</v>
      </c>
      <c r="C6" s="27"/>
      <c r="D6" s="726" t="s">
        <v>1032</v>
      </c>
      <c r="E6" s="731"/>
      <c r="F6" s="737"/>
      <c r="G6" s="738" t="s">
        <v>1033</v>
      </c>
      <c r="H6" s="731"/>
      <c r="I6" s="737"/>
      <c r="J6" s="29"/>
      <c r="K6" s="29"/>
      <c r="L6" s="29"/>
      <c r="M6" s="29"/>
      <c r="N6" s="30"/>
      <c r="O6" s="29"/>
      <c r="P6" s="30"/>
      <c r="Q6" s="29"/>
      <c r="R6" s="29"/>
      <c r="S6" s="30"/>
      <c r="T6" s="29"/>
      <c r="U6" s="29"/>
      <c r="V6" s="29"/>
      <c r="W6" s="30"/>
      <c r="X6" s="31" t="s">
        <v>391</v>
      </c>
      <c r="Y6" s="32" t="s">
        <v>392</v>
      </c>
    </row>
    <row r="7" spans="1:25" ht="16.5" customHeight="1" x14ac:dyDescent="0.15">
      <c r="A7" s="33">
        <v>11</v>
      </c>
      <c r="B7" s="33">
        <v>2329</v>
      </c>
      <c r="C7" s="34" t="s">
        <v>3972</v>
      </c>
      <c r="D7" s="709" t="s">
        <v>3572</v>
      </c>
      <c r="E7" s="704"/>
      <c r="F7" s="739"/>
      <c r="G7" s="736" t="s">
        <v>3602</v>
      </c>
      <c r="H7" s="704"/>
      <c r="I7" s="718"/>
      <c r="J7" s="709" t="s">
        <v>1226</v>
      </c>
      <c r="K7" s="718"/>
      <c r="L7" s="36"/>
      <c r="M7" s="37"/>
      <c r="N7" s="38"/>
      <c r="O7" s="72" t="s">
        <v>1036</v>
      </c>
      <c r="Q7" s="57"/>
      <c r="R7" s="72" t="s">
        <v>1037</v>
      </c>
      <c r="T7" s="57"/>
      <c r="U7" s="35"/>
      <c r="X7" s="39">
        <f>ROUND((_11_A重度研修１．０*(1+_11・A深夜)),0)+ROUND((_11_B重度研修１．０＿０．５*(1+_11・B早朝)),0)+_11_C重度研修１．０＿０．５＿０．５</f>
        <v>483</v>
      </c>
      <c r="Y7" s="40" t="s">
        <v>395</v>
      </c>
    </row>
    <row r="8" spans="1:25" ht="16.5" customHeight="1" x14ac:dyDescent="0.15">
      <c r="A8" s="41">
        <v>11</v>
      </c>
      <c r="B8" s="41">
        <v>2330</v>
      </c>
      <c r="C8" s="74" t="s">
        <v>3973</v>
      </c>
      <c r="D8" s="709"/>
      <c r="E8" s="704"/>
      <c r="F8" s="739"/>
      <c r="G8" s="736"/>
      <c r="H8" s="704"/>
      <c r="I8" s="718"/>
      <c r="J8" s="709"/>
      <c r="K8" s="718"/>
      <c r="L8" s="44" t="s">
        <v>397</v>
      </c>
      <c r="M8" s="45" t="s">
        <v>398</v>
      </c>
      <c r="N8" s="46">
        <v>1</v>
      </c>
      <c r="O8" s="35" t="s">
        <v>398</v>
      </c>
      <c r="P8" s="13">
        <v>0.5</v>
      </c>
      <c r="Q8" s="57" t="s">
        <v>3575</v>
      </c>
      <c r="R8" s="35" t="s">
        <v>398</v>
      </c>
      <c r="S8" s="13">
        <v>0.25</v>
      </c>
      <c r="T8" s="57" t="s">
        <v>3575</v>
      </c>
      <c r="U8" s="43"/>
      <c r="V8" s="37"/>
      <c r="W8" s="38"/>
      <c r="X8" s="47">
        <f>ROUND((ROUND((_11_A重度研修１．０*_11・２人),0)*(1+_11・A深夜)),0)+ROUND((ROUND((_11_B重度研修１．０＿０．５*_11・２人),0)*(1+_11・B早朝)),0)+ROUND((_11_C重度研修１．０＿０．５＿０．５*_11・２人),0)</f>
        <v>483</v>
      </c>
      <c r="Y8" s="48"/>
    </row>
    <row r="9" spans="1:25" ht="16.5" customHeight="1" x14ac:dyDescent="0.15">
      <c r="A9" s="41">
        <v>11</v>
      </c>
      <c r="B9" s="41" t="s">
        <v>3974</v>
      </c>
      <c r="C9" s="74" t="s">
        <v>3975</v>
      </c>
      <c r="D9" s="709"/>
      <c r="E9" s="704"/>
      <c r="F9" s="739"/>
      <c r="G9" s="736"/>
      <c r="H9" s="704"/>
      <c r="I9" s="718"/>
      <c r="J9" s="709"/>
      <c r="K9" s="718"/>
      <c r="L9" s="44"/>
      <c r="M9" s="45"/>
      <c r="N9" s="46"/>
      <c r="O9" s="35"/>
      <c r="Q9" s="57"/>
      <c r="R9" s="35"/>
      <c r="T9" s="57"/>
      <c r="U9" s="734" t="s">
        <v>404</v>
      </c>
      <c r="V9" s="49" t="s">
        <v>398</v>
      </c>
      <c r="W9" s="50">
        <f>_11・初任</f>
        <v>0.7</v>
      </c>
      <c r="X9" s="47">
        <f>ROUND((ROUND((_11_A重度研修１．０*(1+_11・A深夜)),0)*_11・初任),0)+ROUND((ROUND((_11_B重度研修１．０＿０．５*(1+_11・B早朝)),0)*_11・初任),0)+ROUND((_11_C重度研修１．０＿０．５＿０．５*_11・初任),0)</f>
        <v>338</v>
      </c>
      <c r="Y9" s="48"/>
    </row>
    <row r="10" spans="1:25" ht="16.5" customHeight="1" x14ac:dyDescent="0.15">
      <c r="A10" s="41">
        <v>11</v>
      </c>
      <c r="B10" s="41" t="s">
        <v>3976</v>
      </c>
      <c r="C10" s="74" t="s">
        <v>3977</v>
      </c>
      <c r="D10" s="72"/>
      <c r="E10" s="170">
        <f>_11_A重度研修１．０</f>
        <v>185</v>
      </c>
      <c r="F10" s="12" t="s">
        <v>392</v>
      </c>
      <c r="G10" s="178"/>
      <c r="H10" s="170">
        <f>_11_B重度研修１．０＿０．５</f>
        <v>90</v>
      </c>
      <c r="I10" s="171" t="s">
        <v>392</v>
      </c>
      <c r="J10" s="168">
        <f>_11_C重度研修１．０＿０．５＿０．５</f>
        <v>92</v>
      </c>
      <c r="K10" s="12" t="s">
        <v>392</v>
      </c>
      <c r="L10" s="44" t="s">
        <v>397</v>
      </c>
      <c r="M10" s="45" t="s">
        <v>398</v>
      </c>
      <c r="N10" s="46">
        <v>1</v>
      </c>
      <c r="O10" s="35"/>
      <c r="Q10" s="57"/>
      <c r="R10" s="35"/>
      <c r="T10" s="57"/>
      <c r="U10" s="706"/>
      <c r="V10" s="37"/>
      <c r="W10" s="38"/>
      <c r="X10" s="47">
        <f>ROUND((ROUND((ROUND((_11_A重度研修１．０*_11・２人),0)*(1+_11・A深夜)),0)*_11・初任),0)+ROUND((ROUND((ROUND((_11_B重度研修１．０＿０．５*_11・２人),0)*(1+_11・B早朝)),0)*_11・初任),0)+ROUND((ROUND((_11_C重度研修１．０＿０．５＿０．５*_11・２人),0)*_11・初任),0)</f>
        <v>338</v>
      </c>
      <c r="Y10" s="48"/>
    </row>
    <row r="11" spans="1:25" ht="16.5" customHeight="1" x14ac:dyDescent="0.15">
      <c r="A11" s="41">
        <v>11</v>
      </c>
      <c r="B11" s="41">
        <v>2331</v>
      </c>
      <c r="C11" s="74" t="s">
        <v>3978</v>
      </c>
      <c r="D11" s="72"/>
      <c r="F11" s="99"/>
      <c r="G11" s="179"/>
      <c r="I11" s="169"/>
      <c r="J11" s="735" t="s">
        <v>1304</v>
      </c>
      <c r="K11" s="717"/>
      <c r="L11" s="44"/>
      <c r="M11" s="45"/>
      <c r="N11" s="46"/>
      <c r="O11" s="35"/>
      <c r="Q11" s="57"/>
      <c r="R11" s="35"/>
      <c r="T11" s="57"/>
      <c r="U11" s="53"/>
      <c r="V11" s="49"/>
      <c r="W11" s="50"/>
      <c r="X11" s="47">
        <f>ROUND((_11_A重度研修１．０*(1+_11・A深夜)),0)+ROUND((_11_B重度研修１．０＿０．５*(1+_11・B早朝)),0)+_11_C重度研修１．０＿０．５＿１．０</f>
        <v>574</v>
      </c>
      <c r="Y11" s="48"/>
    </row>
    <row r="12" spans="1:25" ht="16.5" customHeight="1" x14ac:dyDescent="0.15">
      <c r="A12" s="41">
        <v>11</v>
      </c>
      <c r="B12" s="41">
        <v>2332</v>
      </c>
      <c r="C12" s="74" t="s">
        <v>3979</v>
      </c>
      <c r="D12" s="72"/>
      <c r="F12" s="99"/>
      <c r="G12" s="179"/>
      <c r="I12" s="169"/>
      <c r="J12" s="736"/>
      <c r="K12" s="718"/>
      <c r="L12" s="44" t="s">
        <v>397</v>
      </c>
      <c r="M12" s="45" t="s">
        <v>398</v>
      </c>
      <c r="N12" s="46">
        <v>1</v>
      </c>
      <c r="O12" s="35"/>
      <c r="Q12" s="57"/>
      <c r="R12" s="35"/>
      <c r="T12" s="57"/>
      <c r="U12" s="43"/>
      <c r="V12" s="37"/>
      <c r="W12" s="38"/>
      <c r="X12" s="47">
        <f>ROUND((ROUND((_11_A重度研修１．０*_11・２人),0)*(1+_11・A深夜)),0)+ROUND((ROUND((_11_B重度研修１．０＿０．５*_11・２人),0)*(1+_11・B早朝)),0)+ROUND((_11_C重度研修１．０＿０．５＿１．０*_11・２人),0)</f>
        <v>574</v>
      </c>
      <c r="Y12" s="48"/>
    </row>
    <row r="13" spans="1:25" ht="16.5" customHeight="1" x14ac:dyDescent="0.15">
      <c r="A13" s="41">
        <v>11</v>
      </c>
      <c r="B13" s="41" t="s">
        <v>3980</v>
      </c>
      <c r="C13" s="74" t="s">
        <v>3981</v>
      </c>
      <c r="D13" s="72"/>
      <c r="F13" s="99"/>
      <c r="G13" s="179"/>
      <c r="I13" s="169"/>
      <c r="J13" s="736"/>
      <c r="K13" s="718"/>
      <c r="L13" s="44"/>
      <c r="M13" s="45"/>
      <c r="N13" s="46"/>
      <c r="O13" s="35"/>
      <c r="Q13" s="57"/>
      <c r="R13" s="35"/>
      <c r="T13" s="57"/>
      <c r="U13" s="734" t="s">
        <v>404</v>
      </c>
      <c r="V13" s="49" t="s">
        <v>398</v>
      </c>
      <c r="W13" s="50">
        <f>_11・初任</f>
        <v>0.7</v>
      </c>
      <c r="X13" s="47">
        <f>ROUND((ROUND((_11_A重度研修１．０*(1+_11・A深夜)),0)*_11・初任),0)+ROUND((ROUND((_11_B重度研修１．０＿０．５*(1+_11・B早朝)),0)*_11・初任),0)+ROUND((_11_C重度研修１．０＿０．５＿１．０*_11・初任),0)</f>
        <v>402</v>
      </c>
      <c r="Y13" s="48"/>
    </row>
    <row r="14" spans="1:25" ht="16.5" customHeight="1" x14ac:dyDescent="0.15">
      <c r="A14" s="41">
        <v>11</v>
      </c>
      <c r="B14" s="41" t="s">
        <v>3982</v>
      </c>
      <c r="C14" s="74" t="s">
        <v>3983</v>
      </c>
      <c r="D14" s="72"/>
      <c r="F14" s="99"/>
      <c r="G14" s="179"/>
      <c r="I14" s="169"/>
      <c r="J14" s="168">
        <f>_11_C重度研修１．０＿０．５＿１．０</f>
        <v>183</v>
      </c>
      <c r="K14" s="12" t="s">
        <v>392</v>
      </c>
      <c r="L14" s="44" t="s">
        <v>397</v>
      </c>
      <c r="M14" s="45" t="s">
        <v>398</v>
      </c>
      <c r="N14" s="46">
        <v>1</v>
      </c>
      <c r="O14" s="35"/>
      <c r="Q14" s="57"/>
      <c r="R14" s="35"/>
      <c r="T14" s="57"/>
      <c r="U14" s="706"/>
      <c r="V14" s="37"/>
      <c r="W14" s="38"/>
      <c r="X14" s="47">
        <f>ROUND((ROUND((ROUND((_11_A重度研修１．０*_11・２人),0)*(1+_11・A深夜)),0)*_11・初任),0)+ROUND((ROUND((ROUND((_11_B重度研修１．０＿０．５*_11・２人),0)*(1+_11・B早朝)),0)*_11・初任),0)+ROUND((ROUND((_11_C重度研修１．０＿０．５＿１．０*_11・２人),0)*_11・初任),0)</f>
        <v>402</v>
      </c>
      <c r="Y14" s="48"/>
    </row>
    <row r="15" spans="1:25" ht="16.5" customHeight="1" x14ac:dyDescent="0.15">
      <c r="A15" s="41">
        <v>11</v>
      </c>
      <c r="B15" s="41">
        <v>2333</v>
      </c>
      <c r="C15" s="74" t="s">
        <v>3984</v>
      </c>
      <c r="D15" s="72"/>
      <c r="F15" s="99"/>
      <c r="G15" s="179"/>
      <c r="I15" s="169"/>
      <c r="J15" s="735" t="s">
        <v>1317</v>
      </c>
      <c r="K15" s="717"/>
      <c r="L15" s="44"/>
      <c r="M15" s="45"/>
      <c r="N15" s="46"/>
      <c r="O15" s="35"/>
      <c r="Q15" s="57"/>
      <c r="R15" s="35"/>
      <c r="T15" s="57"/>
      <c r="U15" s="53"/>
      <c r="V15" s="49"/>
      <c r="W15" s="50"/>
      <c r="X15" s="47">
        <f>ROUND((_11_A重度研修１．０*(1+_11・A深夜)),0)+ROUND((_11_B重度研修１．０＿０．５*(1+_11・B早朝)),0)+_11_C重度研修１．０＿０．５＿１．５</f>
        <v>666</v>
      </c>
      <c r="Y15" s="48"/>
    </row>
    <row r="16" spans="1:25" ht="16.5" customHeight="1" x14ac:dyDescent="0.15">
      <c r="A16" s="41">
        <v>11</v>
      </c>
      <c r="B16" s="41">
        <v>2334</v>
      </c>
      <c r="C16" s="74" t="s">
        <v>3985</v>
      </c>
      <c r="D16" s="72"/>
      <c r="F16" s="99"/>
      <c r="G16" s="179"/>
      <c r="I16" s="169"/>
      <c r="J16" s="736"/>
      <c r="K16" s="718"/>
      <c r="L16" s="44" t="s">
        <v>397</v>
      </c>
      <c r="M16" s="45" t="s">
        <v>398</v>
      </c>
      <c r="N16" s="46">
        <v>1</v>
      </c>
      <c r="O16" s="35"/>
      <c r="Q16" s="57"/>
      <c r="R16" s="35"/>
      <c r="T16" s="57"/>
      <c r="U16" s="43"/>
      <c r="V16" s="37"/>
      <c r="W16" s="38"/>
      <c r="X16" s="47">
        <f>ROUND((ROUND((_11_A重度研修１．０*_11・２人),0)*(1+_11・A深夜)),0)+ROUND((ROUND((_11_B重度研修１．０＿０．５*_11・２人),0)*(1+_11・B早朝)),0)+ROUND((_11_C重度研修１．０＿０．５＿１．５*_11・２人),0)</f>
        <v>666</v>
      </c>
      <c r="Y16" s="48"/>
    </row>
    <row r="17" spans="1:25" ht="16.5" customHeight="1" x14ac:dyDescent="0.15">
      <c r="A17" s="41">
        <v>11</v>
      </c>
      <c r="B17" s="41" t="s">
        <v>3986</v>
      </c>
      <c r="C17" s="74" t="s">
        <v>3987</v>
      </c>
      <c r="D17" s="72"/>
      <c r="F17" s="99"/>
      <c r="G17" s="179"/>
      <c r="I17" s="169"/>
      <c r="J17" s="736"/>
      <c r="K17" s="718"/>
      <c r="L17" s="44"/>
      <c r="M17" s="45"/>
      <c r="N17" s="46"/>
      <c r="O17" s="35"/>
      <c r="Q17" s="57"/>
      <c r="R17" s="35"/>
      <c r="T17" s="57"/>
      <c r="U17" s="734" t="s">
        <v>404</v>
      </c>
      <c r="V17" s="49" t="s">
        <v>398</v>
      </c>
      <c r="W17" s="50">
        <f>_11・初任</f>
        <v>0.7</v>
      </c>
      <c r="X17" s="47">
        <f>ROUND((ROUND((_11_A重度研修１．０*(1+_11・A深夜)),0)*_11・初任),0)+ROUND((ROUND((_11_B重度研修１．０＿０．５*(1+_11・B早朝)),0)*_11・初任),0)+ROUND((_11_C重度研修１．０＿０．５＿１．５*_11・初任),0)</f>
        <v>467</v>
      </c>
      <c r="Y17" s="48"/>
    </row>
    <row r="18" spans="1:25" ht="16.5" customHeight="1" x14ac:dyDescent="0.15">
      <c r="A18" s="41">
        <v>11</v>
      </c>
      <c r="B18" s="41" t="s">
        <v>3988</v>
      </c>
      <c r="C18" s="74" t="s">
        <v>3989</v>
      </c>
      <c r="D18" s="72"/>
      <c r="F18" s="99"/>
      <c r="G18" s="179"/>
      <c r="I18" s="169"/>
      <c r="J18" s="168">
        <f>_11_C重度研修１．０＿０．５＿１．５</f>
        <v>275</v>
      </c>
      <c r="K18" s="12" t="s">
        <v>392</v>
      </c>
      <c r="L18" s="44" t="s">
        <v>397</v>
      </c>
      <c r="M18" s="45" t="s">
        <v>398</v>
      </c>
      <c r="N18" s="46">
        <v>1</v>
      </c>
      <c r="O18" s="35"/>
      <c r="Q18" s="57"/>
      <c r="R18" s="35"/>
      <c r="T18" s="57"/>
      <c r="U18" s="706"/>
      <c r="V18" s="37"/>
      <c r="W18" s="38"/>
      <c r="X18" s="47">
        <f>ROUND((ROUND((ROUND((_11_A重度研修１．０*_11・２人),0)*(1+_11・A深夜)),0)*_11・初任),0)+ROUND((ROUND((ROUND((_11_B重度研修１．０＿０．５*_11・２人),0)*(1+_11・B早朝)),0)*_11・初任),0)+ROUND((ROUND((_11_C重度研修１．０＿０．５＿１．５*_11・２人),0)*_11・初任),0)</f>
        <v>467</v>
      </c>
      <c r="Y18" s="48"/>
    </row>
    <row r="19" spans="1:25" ht="16.5" customHeight="1" x14ac:dyDescent="0.15">
      <c r="A19" s="41">
        <v>11</v>
      </c>
      <c r="B19" s="41">
        <v>2335</v>
      </c>
      <c r="C19" s="74" t="s">
        <v>3990</v>
      </c>
      <c r="D19" s="72"/>
      <c r="F19" s="99"/>
      <c r="G19" s="735" t="s">
        <v>3581</v>
      </c>
      <c r="H19" s="708"/>
      <c r="I19" s="717"/>
      <c r="J19" s="707" t="s">
        <v>1226</v>
      </c>
      <c r="K19" s="717"/>
      <c r="L19" s="44"/>
      <c r="M19" s="45"/>
      <c r="N19" s="46"/>
      <c r="O19" s="35"/>
      <c r="Q19" s="57"/>
      <c r="R19" s="35"/>
      <c r="T19" s="57"/>
      <c r="U19" s="53"/>
      <c r="V19" s="49"/>
      <c r="W19" s="50"/>
      <c r="X19" s="47">
        <f>ROUND((_11_A重度研修１．０*(1+_11・A深夜)),0)+ROUND((_11_B重度研修１．０＿１．０*(1+_11・B早朝)),0)+_11_C重度研修１．０＿１．０＿０．５</f>
        <v>597</v>
      </c>
      <c r="Y19" s="48"/>
    </row>
    <row r="20" spans="1:25" ht="16.5" customHeight="1" x14ac:dyDescent="0.15">
      <c r="A20" s="41">
        <v>11</v>
      </c>
      <c r="B20" s="41">
        <v>2336</v>
      </c>
      <c r="C20" s="74" t="s">
        <v>3991</v>
      </c>
      <c r="D20" s="72"/>
      <c r="F20" s="99"/>
      <c r="G20" s="736"/>
      <c r="H20" s="704"/>
      <c r="I20" s="718"/>
      <c r="J20" s="709"/>
      <c r="K20" s="718"/>
      <c r="L20" s="44" t="s">
        <v>397</v>
      </c>
      <c r="M20" s="45" t="s">
        <v>398</v>
      </c>
      <c r="N20" s="46">
        <v>1</v>
      </c>
      <c r="O20" s="35"/>
      <c r="Q20" s="57"/>
      <c r="R20" s="35"/>
      <c r="T20" s="57"/>
      <c r="U20" s="43"/>
      <c r="V20" s="37"/>
      <c r="W20" s="38"/>
      <c r="X20" s="47">
        <f>ROUND((ROUND((_11_A重度研修１．０*_11・２人),0)*(1+_11・A深夜)),0)+ROUND((ROUND((_11_B重度研修１．０＿１．０*_11・２人),0)*(1+_11・B早朝)),0)+ROUND((_11_C重度研修１．０＿１．０＿０．５*_11・２人),0)</f>
        <v>597</v>
      </c>
      <c r="Y20" s="48"/>
    </row>
    <row r="21" spans="1:25" ht="16.5" customHeight="1" x14ac:dyDescent="0.15">
      <c r="A21" s="41">
        <v>11</v>
      </c>
      <c r="B21" s="41" t="s">
        <v>3992</v>
      </c>
      <c r="C21" s="74" t="s">
        <v>3993</v>
      </c>
      <c r="D21" s="72"/>
      <c r="F21" s="99"/>
      <c r="G21" s="736"/>
      <c r="H21" s="704"/>
      <c r="I21" s="718"/>
      <c r="J21" s="709"/>
      <c r="K21" s="718"/>
      <c r="L21" s="44"/>
      <c r="M21" s="45"/>
      <c r="N21" s="46"/>
      <c r="O21" s="35"/>
      <c r="Q21" s="57"/>
      <c r="R21" s="35"/>
      <c r="T21" s="57"/>
      <c r="U21" s="734" t="s">
        <v>404</v>
      </c>
      <c r="V21" s="49" t="s">
        <v>398</v>
      </c>
      <c r="W21" s="50">
        <f>_11・初任</f>
        <v>0.7</v>
      </c>
      <c r="X21" s="47">
        <f>ROUND((ROUND((_11_A重度研修１．０*(1+_11・A深夜)),0)*_11・初任),0)+ROUND((ROUND((_11_B重度研修１．０＿１．０*(1+_11・B早朝)),0)*_11・初任),0)+ROUND((_11_C重度研修１．０＿１．０＿０．５*_11・初任),0)</f>
        <v>419</v>
      </c>
      <c r="Y21" s="48"/>
    </row>
    <row r="22" spans="1:25" ht="16.5" customHeight="1" x14ac:dyDescent="0.15">
      <c r="A22" s="41">
        <v>11</v>
      </c>
      <c r="B22" s="41" t="s">
        <v>3994</v>
      </c>
      <c r="C22" s="74" t="s">
        <v>3995</v>
      </c>
      <c r="D22" s="72"/>
      <c r="F22" s="99"/>
      <c r="G22" s="179"/>
      <c r="H22" s="170">
        <f>_11_B重度研修１．０＿１．０</f>
        <v>182</v>
      </c>
      <c r="I22" s="171" t="s">
        <v>392</v>
      </c>
      <c r="J22" s="168">
        <f>_11_C重度研修１．０＿１．０＿０．５</f>
        <v>91</v>
      </c>
      <c r="K22" s="12" t="s">
        <v>392</v>
      </c>
      <c r="L22" s="44" t="s">
        <v>397</v>
      </c>
      <c r="M22" s="45" t="s">
        <v>398</v>
      </c>
      <c r="N22" s="46">
        <v>1</v>
      </c>
      <c r="O22" s="35"/>
      <c r="Q22" s="57"/>
      <c r="R22" s="35"/>
      <c r="T22" s="57"/>
      <c r="U22" s="706"/>
      <c r="V22" s="37"/>
      <c r="W22" s="38"/>
      <c r="X22" s="47">
        <f>ROUND((ROUND((ROUND((_11_A重度研修１．０*_11・２人),0)*(1+_11・A深夜)),0)*_11・初任),0)+ROUND((ROUND((ROUND((_11_B重度研修１．０＿１．０*_11・２人),0)*(1+_11・B早朝)),0)*_11・初任),0)+ROUND((ROUND((_11_C重度研修１．０＿１．０＿０．５*_11・２人),0)*_11・初任),0)</f>
        <v>419</v>
      </c>
      <c r="Y22" s="48"/>
    </row>
    <row r="23" spans="1:25" ht="16.5" customHeight="1" x14ac:dyDescent="0.15">
      <c r="A23" s="41">
        <v>11</v>
      </c>
      <c r="B23" s="41">
        <v>2129</v>
      </c>
      <c r="C23" s="74" t="s">
        <v>3996</v>
      </c>
      <c r="D23" s="72"/>
      <c r="F23" s="99"/>
      <c r="G23" s="179"/>
      <c r="I23" s="169"/>
      <c r="J23" s="735" t="s">
        <v>1304</v>
      </c>
      <c r="K23" s="717"/>
      <c r="L23" s="44"/>
      <c r="M23" s="45"/>
      <c r="N23" s="46"/>
      <c r="O23" s="35"/>
      <c r="Q23" s="57"/>
      <c r="R23" s="35"/>
      <c r="T23" s="57"/>
      <c r="U23" s="53"/>
      <c r="V23" s="49"/>
      <c r="W23" s="50"/>
      <c r="X23" s="47">
        <f>ROUND((_11_A重度研修１．０*(1+_11・A深夜)),0)+ROUND((_11_B重度研修１．０＿１．０*(1+_11・B早朝)),0)+_11_C重度研修１．０＿１．０＿１．０</f>
        <v>689</v>
      </c>
      <c r="Y23" s="48"/>
    </row>
    <row r="24" spans="1:25" ht="16.5" customHeight="1" x14ac:dyDescent="0.15">
      <c r="A24" s="41">
        <v>11</v>
      </c>
      <c r="B24" s="41">
        <v>2130</v>
      </c>
      <c r="C24" s="74" t="s">
        <v>3997</v>
      </c>
      <c r="D24" s="72"/>
      <c r="F24" s="99"/>
      <c r="G24" s="179"/>
      <c r="I24" s="169"/>
      <c r="J24" s="736"/>
      <c r="K24" s="718"/>
      <c r="L24" s="44" t="s">
        <v>397</v>
      </c>
      <c r="M24" s="45" t="s">
        <v>398</v>
      </c>
      <c r="N24" s="46">
        <v>1</v>
      </c>
      <c r="O24" s="35"/>
      <c r="Q24" s="57"/>
      <c r="R24" s="35"/>
      <c r="T24" s="57"/>
      <c r="U24" s="43"/>
      <c r="V24" s="37"/>
      <c r="W24" s="38"/>
      <c r="X24" s="47">
        <f>ROUND((ROUND((_11_A重度研修１．０*_11・２人),0)*(1+_11・A深夜)),0)+ROUND((ROUND((_11_B重度研修１．０＿１．０*_11・２人),0)*(1+_11・B早朝)),0)+ROUND((_11_C重度研修１．０＿１．０＿１．０*_11・２人),0)</f>
        <v>689</v>
      </c>
      <c r="Y24" s="48"/>
    </row>
    <row r="25" spans="1:25" ht="16.5" customHeight="1" x14ac:dyDescent="0.15">
      <c r="A25" s="41">
        <v>11</v>
      </c>
      <c r="B25" s="41" t="s">
        <v>3998</v>
      </c>
      <c r="C25" s="74" t="s">
        <v>3999</v>
      </c>
      <c r="D25" s="72"/>
      <c r="F25" s="99"/>
      <c r="G25" s="179"/>
      <c r="I25" s="169"/>
      <c r="J25" s="736"/>
      <c r="K25" s="718"/>
      <c r="L25" s="44"/>
      <c r="M25" s="45"/>
      <c r="N25" s="46"/>
      <c r="O25" s="35"/>
      <c r="Q25" s="57"/>
      <c r="R25" s="35"/>
      <c r="T25" s="57"/>
      <c r="U25" s="734" t="s">
        <v>404</v>
      </c>
      <c r="V25" s="49" t="s">
        <v>398</v>
      </c>
      <c r="W25" s="50">
        <f>_11・初任</f>
        <v>0.7</v>
      </c>
      <c r="X25" s="47">
        <f>ROUND((ROUND((_11_A重度研修１．０*(1+_11・A深夜)),0)*_11・初任),0)+ROUND((ROUND((_11_B重度研修１．０＿１．０*(1+_11・B早朝)),0)*_11・初任),0)+ROUND((_11_C重度研修１．０＿１．０＿１．０*_11・初任),0)</f>
        <v>483</v>
      </c>
      <c r="Y25" s="48"/>
    </row>
    <row r="26" spans="1:25" ht="16.5" customHeight="1" x14ac:dyDescent="0.15">
      <c r="A26" s="41">
        <v>11</v>
      </c>
      <c r="B26" s="41" t="s">
        <v>4000</v>
      </c>
      <c r="C26" s="74" t="s">
        <v>4001</v>
      </c>
      <c r="D26" s="72"/>
      <c r="F26" s="99"/>
      <c r="G26" s="179"/>
      <c r="I26" s="169"/>
      <c r="J26" s="168">
        <f>_11_C重度研修１．０＿１．０＿１．０</f>
        <v>183</v>
      </c>
      <c r="K26" s="12" t="s">
        <v>392</v>
      </c>
      <c r="L26" s="44" t="s">
        <v>397</v>
      </c>
      <c r="M26" s="45" t="s">
        <v>398</v>
      </c>
      <c r="N26" s="46">
        <v>1</v>
      </c>
      <c r="O26" s="35"/>
      <c r="Q26" s="57"/>
      <c r="R26" s="35"/>
      <c r="T26" s="57"/>
      <c r="U26" s="706"/>
      <c r="V26" s="37"/>
      <c r="W26" s="38"/>
      <c r="X26" s="47">
        <f>ROUND((ROUND((ROUND((_11_A重度研修１．０*_11・２人),0)*(1+_11・A深夜)),0)*_11・初任),0)+ROUND((ROUND((ROUND((_11_B重度研修１．０＿１．０*_11・２人),0)*(1+_11・B早朝)),0)*_11・初任),0)+ROUND((ROUND((_11_C重度研修１．０＿１．０＿１．０*_11・２人),0)*_11・初任),0)</f>
        <v>483</v>
      </c>
      <c r="Y26" s="48"/>
    </row>
    <row r="27" spans="1:25" ht="16.5" customHeight="1" x14ac:dyDescent="0.15">
      <c r="A27" s="41">
        <v>11</v>
      </c>
      <c r="B27" s="41">
        <v>2337</v>
      </c>
      <c r="C27" s="74" t="s">
        <v>4002</v>
      </c>
      <c r="D27" s="72"/>
      <c r="F27" s="99"/>
      <c r="G27" s="735" t="s">
        <v>3588</v>
      </c>
      <c r="H27" s="708"/>
      <c r="I27" s="717"/>
      <c r="J27" s="707" t="s">
        <v>1226</v>
      </c>
      <c r="K27" s="717"/>
      <c r="L27" s="44"/>
      <c r="M27" s="45"/>
      <c r="N27" s="46"/>
      <c r="O27" s="35"/>
      <c r="Q27" s="57"/>
      <c r="R27" s="35"/>
      <c r="T27" s="57"/>
      <c r="U27" s="53"/>
      <c r="V27" s="49"/>
      <c r="W27" s="50"/>
      <c r="X27" s="47">
        <f>ROUND((_11_A重度研修１．０*(1+_11・A深夜)),0)+ROUND((_11_B重度研修１．０＿１．５*(1+_11・B早朝)),0)+_11_C重度研修１．０＿１．５＿０．５</f>
        <v>711</v>
      </c>
      <c r="Y27" s="48"/>
    </row>
    <row r="28" spans="1:25" ht="16.5" customHeight="1" x14ac:dyDescent="0.15">
      <c r="A28" s="41">
        <v>11</v>
      </c>
      <c r="B28" s="41">
        <v>2338</v>
      </c>
      <c r="C28" s="74" t="s">
        <v>4003</v>
      </c>
      <c r="D28" s="72"/>
      <c r="F28" s="99"/>
      <c r="G28" s="736"/>
      <c r="H28" s="704"/>
      <c r="I28" s="718"/>
      <c r="J28" s="709"/>
      <c r="K28" s="718"/>
      <c r="L28" s="44" t="s">
        <v>397</v>
      </c>
      <c r="M28" s="45" t="s">
        <v>398</v>
      </c>
      <c r="N28" s="46">
        <v>1</v>
      </c>
      <c r="O28" s="35"/>
      <c r="Q28" s="57"/>
      <c r="R28" s="35"/>
      <c r="T28" s="57"/>
      <c r="U28" s="43"/>
      <c r="V28" s="37"/>
      <c r="W28" s="38"/>
      <c r="X28" s="47">
        <f>ROUND((ROUND((_11_A重度研修１．０*_11・２人),0)*(1+_11・A深夜)),0)+ROUND((ROUND((_11_B重度研修１．０＿１．５*_11・２人),0)*(1+_11・B早朝)),0)+ROUND((_11_C重度研修１．０＿１．５＿０．５*_11・２人),0)</f>
        <v>711</v>
      </c>
      <c r="Y28" s="48"/>
    </row>
    <row r="29" spans="1:25" ht="16.5" customHeight="1" x14ac:dyDescent="0.15">
      <c r="A29" s="41">
        <v>11</v>
      </c>
      <c r="B29" s="41" t="s">
        <v>4004</v>
      </c>
      <c r="C29" s="74" t="s">
        <v>4005</v>
      </c>
      <c r="D29" s="72"/>
      <c r="F29" s="99"/>
      <c r="G29" s="736"/>
      <c r="H29" s="704"/>
      <c r="I29" s="718"/>
      <c r="J29" s="709"/>
      <c r="K29" s="718"/>
      <c r="L29" s="44"/>
      <c r="M29" s="45"/>
      <c r="N29" s="46"/>
      <c r="O29" s="35"/>
      <c r="Q29" s="57"/>
      <c r="R29" s="35"/>
      <c r="T29" s="57"/>
      <c r="U29" s="734" t="s">
        <v>404</v>
      </c>
      <c r="V29" s="49" t="s">
        <v>398</v>
      </c>
      <c r="W29" s="50">
        <f>_11・初任</f>
        <v>0.7</v>
      </c>
      <c r="X29" s="47">
        <f>ROUND((ROUND((_11_A重度研修１．０*(1+_11・A深夜)),0)*_11・初任),0)+ROUND((ROUND((_11_B重度研修１．０＿１．５*(1+_11・B早朝)),0)*_11・初任),0)+ROUND((_11_C重度研修１．０＿１．５＿０．５*_11・初任),0)</f>
        <v>498</v>
      </c>
      <c r="Y29" s="48"/>
    </row>
    <row r="30" spans="1:25" ht="16.5" customHeight="1" x14ac:dyDescent="0.15">
      <c r="A30" s="41">
        <v>11</v>
      </c>
      <c r="B30" s="41" t="s">
        <v>4006</v>
      </c>
      <c r="C30" s="74" t="s">
        <v>4007</v>
      </c>
      <c r="D30" s="72"/>
      <c r="F30" s="99"/>
      <c r="G30" s="179"/>
      <c r="H30" s="170">
        <f>_11_B重度研修１．０＿１．５</f>
        <v>273</v>
      </c>
      <c r="I30" s="171" t="s">
        <v>392</v>
      </c>
      <c r="J30" s="168">
        <f>_11_C重度研修１．０＿１．５＿０．５</f>
        <v>92</v>
      </c>
      <c r="K30" s="12" t="s">
        <v>392</v>
      </c>
      <c r="L30" s="44" t="s">
        <v>397</v>
      </c>
      <c r="M30" s="45" t="s">
        <v>398</v>
      </c>
      <c r="N30" s="46">
        <v>1</v>
      </c>
      <c r="O30" s="35"/>
      <c r="Q30" s="57"/>
      <c r="R30" s="35"/>
      <c r="T30" s="57"/>
      <c r="U30" s="706"/>
      <c r="V30" s="37"/>
      <c r="W30" s="38"/>
      <c r="X30" s="47">
        <f>ROUND((ROUND((ROUND((_11_A重度研修１．０*_11・２人),0)*(1+_11・A深夜)),0)*_11・初任),0)+ROUND((ROUND((ROUND((_11_B重度研修１．０＿１．５*_11・２人),0)*(1+_11・B早朝)),0)*_11・初任),0)+ROUND((ROUND((_11_C重度研修１．０＿１．５＿０．５*_11・２人),0)*_11・初任),0)</f>
        <v>498</v>
      </c>
      <c r="Y30" s="48"/>
    </row>
    <row r="31" spans="1:25" ht="16.5" customHeight="1" x14ac:dyDescent="0.15">
      <c r="A31" s="41">
        <v>11</v>
      </c>
      <c r="B31" s="41">
        <v>2339</v>
      </c>
      <c r="C31" s="74" t="s">
        <v>4008</v>
      </c>
      <c r="D31" s="707" t="s">
        <v>3601</v>
      </c>
      <c r="E31" s="708"/>
      <c r="F31" s="740"/>
      <c r="G31" s="735" t="s">
        <v>3602</v>
      </c>
      <c r="H31" s="708"/>
      <c r="I31" s="717"/>
      <c r="J31" s="707" t="s">
        <v>1226</v>
      </c>
      <c r="K31" s="717"/>
      <c r="L31" s="44"/>
      <c r="M31" s="45"/>
      <c r="N31" s="46"/>
      <c r="O31" s="35"/>
      <c r="Q31" s="57"/>
      <c r="R31" s="35"/>
      <c r="T31" s="57"/>
      <c r="U31" s="53"/>
      <c r="V31" s="49"/>
      <c r="W31" s="50"/>
      <c r="X31" s="47">
        <f>ROUND((_11_A重度研修１．５*(1+_11・A深夜)),0)+ROUND((_11_B重度研修１．５＿０．５*(1+_11・B早朝)),0)+_11_C重度研修１．５＿０．５＿０．５</f>
        <v>619</v>
      </c>
      <c r="Y31" s="48"/>
    </row>
    <row r="32" spans="1:25" ht="16.5" customHeight="1" x14ac:dyDescent="0.15">
      <c r="A32" s="41">
        <v>11</v>
      </c>
      <c r="B32" s="41">
        <v>2340</v>
      </c>
      <c r="C32" s="74" t="s">
        <v>4009</v>
      </c>
      <c r="D32" s="709"/>
      <c r="E32" s="704"/>
      <c r="F32" s="739"/>
      <c r="G32" s="736"/>
      <c r="H32" s="704"/>
      <c r="I32" s="718"/>
      <c r="J32" s="709"/>
      <c r="K32" s="718"/>
      <c r="L32" s="44" t="s">
        <v>397</v>
      </c>
      <c r="M32" s="45" t="s">
        <v>398</v>
      </c>
      <c r="N32" s="46">
        <v>1</v>
      </c>
      <c r="O32" s="35"/>
      <c r="Q32" s="57"/>
      <c r="R32" s="35"/>
      <c r="T32" s="57"/>
      <c r="U32" s="43"/>
      <c r="V32" s="37"/>
      <c r="W32" s="38"/>
      <c r="X32" s="47">
        <f>ROUND((ROUND((_11_A重度研修１．５*_11・２人),0)*(1+_11・A深夜)),0)+ROUND((ROUND((_11_B重度研修１．５＿０．５*_11・２人),0)*(1+_11・B早朝)),0)+ROUND((_11_C重度研修１．５＿０．５＿０．５*_11・２人),0)</f>
        <v>619</v>
      </c>
      <c r="Y32" s="48"/>
    </row>
    <row r="33" spans="1:25" ht="16.5" customHeight="1" x14ac:dyDescent="0.15">
      <c r="A33" s="41">
        <v>11</v>
      </c>
      <c r="B33" s="41" t="s">
        <v>4010</v>
      </c>
      <c r="C33" s="74" t="s">
        <v>4011</v>
      </c>
      <c r="D33" s="709"/>
      <c r="E33" s="704"/>
      <c r="F33" s="739"/>
      <c r="G33" s="736"/>
      <c r="H33" s="704"/>
      <c r="I33" s="718"/>
      <c r="J33" s="709"/>
      <c r="K33" s="718"/>
      <c r="L33" s="44"/>
      <c r="M33" s="45"/>
      <c r="N33" s="46"/>
      <c r="O33" s="35"/>
      <c r="Q33" s="57"/>
      <c r="R33" s="35"/>
      <c r="T33" s="57"/>
      <c r="U33" s="734" t="s">
        <v>404</v>
      </c>
      <c r="V33" s="49" t="s">
        <v>398</v>
      </c>
      <c r="W33" s="50">
        <f>_11・初任</f>
        <v>0.7</v>
      </c>
      <c r="X33" s="47">
        <f>ROUND((ROUND((_11_A重度研修１．５*(1+_11・A深夜)),0)*_11・初任),0)+ROUND((ROUND((_11_B重度研修１．５＿０．５*(1+_11・B早朝)),0)*_11・初任),0)+ROUND((_11_C重度研修１．５＿０．５＿０．５*_11・初任),0)</f>
        <v>434</v>
      </c>
      <c r="Y33" s="48"/>
    </row>
    <row r="34" spans="1:25" ht="16.5" customHeight="1" x14ac:dyDescent="0.15">
      <c r="A34" s="41">
        <v>11</v>
      </c>
      <c r="B34" s="41" t="s">
        <v>4012</v>
      </c>
      <c r="C34" s="74" t="s">
        <v>4013</v>
      </c>
      <c r="D34" s="72"/>
      <c r="E34" s="170">
        <f>_11_A重度研修１．５</f>
        <v>275</v>
      </c>
      <c r="F34" s="12" t="s">
        <v>392</v>
      </c>
      <c r="G34" s="178"/>
      <c r="H34" s="170">
        <f>_11_B重度研修１．５＿０．５</f>
        <v>92</v>
      </c>
      <c r="I34" s="171" t="s">
        <v>392</v>
      </c>
      <c r="J34" s="168">
        <f>_11_C重度研修１．５＿０．５＿０．５</f>
        <v>91</v>
      </c>
      <c r="K34" s="12" t="s">
        <v>392</v>
      </c>
      <c r="L34" s="44" t="s">
        <v>397</v>
      </c>
      <c r="M34" s="45" t="s">
        <v>398</v>
      </c>
      <c r="N34" s="46">
        <v>1</v>
      </c>
      <c r="O34" s="35"/>
      <c r="Q34" s="57"/>
      <c r="R34" s="35"/>
      <c r="T34" s="57"/>
      <c r="U34" s="706"/>
      <c r="V34" s="37"/>
      <c r="W34" s="38"/>
      <c r="X34" s="47">
        <f>ROUND((ROUND((ROUND((_11_A重度研修１．５*_11・２人),0)*(1+_11・A深夜)),0)*_11・初任),0)+ROUND((ROUND((ROUND((_11_B重度研修１．５＿０．５*_11・２人),0)*(1+_11・B早朝)),0)*_11・初任),0)+ROUND((ROUND((_11_C重度研修１．５＿０．５＿０．５*_11・２人),0)*_11・初任),0)</f>
        <v>434</v>
      </c>
      <c r="Y34" s="48"/>
    </row>
    <row r="35" spans="1:25" ht="16.5" customHeight="1" x14ac:dyDescent="0.15">
      <c r="A35" s="41">
        <v>11</v>
      </c>
      <c r="B35" s="41">
        <v>2341</v>
      </c>
      <c r="C35" s="74" t="s">
        <v>4014</v>
      </c>
      <c r="D35" s="72"/>
      <c r="F35" s="99"/>
      <c r="G35" s="179"/>
      <c r="I35" s="169"/>
      <c r="J35" s="735" t="s">
        <v>1304</v>
      </c>
      <c r="K35" s="717"/>
      <c r="L35" s="44"/>
      <c r="M35" s="45"/>
      <c r="N35" s="46"/>
      <c r="O35" s="35"/>
      <c r="Q35" s="57"/>
      <c r="R35" s="35"/>
      <c r="T35" s="57"/>
      <c r="U35" s="53"/>
      <c r="V35" s="49"/>
      <c r="W35" s="50"/>
      <c r="X35" s="47">
        <f>ROUND((_11_A重度研修１．５*(1+_11・A深夜)),0)+ROUND((_11_B重度研修１．５＿０．５*(1+_11・B早朝)),0)+_11_C重度研修１．５＿０．５＿１．０</f>
        <v>711</v>
      </c>
      <c r="Y35" s="48"/>
    </row>
    <row r="36" spans="1:25" ht="16.5" customHeight="1" x14ac:dyDescent="0.15">
      <c r="A36" s="41">
        <v>11</v>
      </c>
      <c r="B36" s="41">
        <v>2342</v>
      </c>
      <c r="C36" s="74" t="s">
        <v>4015</v>
      </c>
      <c r="D36" s="72"/>
      <c r="F36" s="99"/>
      <c r="G36" s="179"/>
      <c r="I36" s="169"/>
      <c r="J36" s="736"/>
      <c r="K36" s="718"/>
      <c r="L36" s="44" t="s">
        <v>397</v>
      </c>
      <c r="M36" s="45" t="s">
        <v>398</v>
      </c>
      <c r="N36" s="46">
        <v>1</v>
      </c>
      <c r="O36" s="35"/>
      <c r="Q36" s="57"/>
      <c r="R36" s="35"/>
      <c r="T36" s="57"/>
      <c r="U36" s="43"/>
      <c r="V36" s="37"/>
      <c r="W36" s="38"/>
      <c r="X36" s="47">
        <f>ROUND((ROUND((_11_A重度研修１．５*_11・２人),0)*(1+_11・A深夜)),0)+ROUND((ROUND((_11_B重度研修１．５＿０．５*_11・２人),0)*(1+_11・B早朝)),0)+ROUND((_11_C重度研修１．５＿０．５＿１．０*_11・２人),0)</f>
        <v>711</v>
      </c>
      <c r="Y36" s="48"/>
    </row>
    <row r="37" spans="1:25" ht="16.5" customHeight="1" x14ac:dyDescent="0.15">
      <c r="A37" s="41">
        <v>11</v>
      </c>
      <c r="B37" s="41" t="s">
        <v>4016</v>
      </c>
      <c r="C37" s="74" t="s">
        <v>4017</v>
      </c>
      <c r="D37" s="72"/>
      <c r="F37" s="99"/>
      <c r="G37" s="179"/>
      <c r="I37" s="169"/>
      <c r="J37" s="736"/>
      <c r="K37" s="718"/>
      <c r="L37" s="44"/>
      <c r="M37" s="45"/>
      <c r="N37" s="46"/>
      <c r="O37" s="35"/>
      <c r="Q37" s="57"/>
      <c r="R37" s="35"/>
      <c r="T37" s="57"/>
      <c r="U37" s="734" t="s">
        <v>404</v>
      </c>
      <c r="V37" s="49" t="s">
        <v>398</v>
      </c>
      <c r="W37" s="50">
        <f>_11・初任</f>
        <v>0.7</v>
      </c>
      <c r="X37" s="47">
        <f>ROUND((ROUND((_11_A重度研修１．５*(1+_11・A深夜)),0)*_11・初任),0)+ROUND((ROUND((_11_B重度研修１．５＿０．５*(1+_11・B早朝)),0)*_11・初任),0)+ROUND((_11_C重度研修１．５＿０．５＿１．０*_11・初任),0)</f>
        <v>498</v>
      </c>
      <c r="Y37" s="48"/>
    </row>
    <row r="38" spans="1:25" ht="16.5" customHeight="1" x14ac:dyDescent="0.15">
      <c r="A38" s="41">
        <v>11</v>
      </c>
      <c r="B38" s="41" t="s">
        <v>4018</v>
      </c>
      <c r="C38" s="74" t="s">
        <v>4019</v>
      </c>
      <c r="D38" s="72"/>
      <c r="F38" s="99"/>
      <c r="G38" s="179"/>
      <c r="I38" s="169"/>
      <c r="J38" s="168">
        <f>_11_C重度研修１．５＿０．５＿１．０</f>
        <v>183</v>
      </c>
      <c r="K38" s="12" t="s">
        <v>392</v>
      </c>
      <c r="L38" s="44" t="s">
        <v>397</v>
      </c>
      <c r="M38" s="45" t="s">
        <v>398</v>
      </c>
      <c r="N38" s="46">
        <v>1</v>
      </c>
      <c r="O38" s="35"/>
      <c r="Q38" s="57"/>
      <c r="R38" s="35"/>
      <c r="T38" s="57"/>
      <c r="U38" s="706"/>
      <c r="V38" s="37"/>
      <c r="W38" s="38"/>
      <c r="X38" s="47">
        <f>ROUND((ROUND((ROUND((_11_A重度研修１．５*_11・２人),0)*(1+_11・A深夜)),0)*_11・初任),0)+ROUND((ROUND((ROUND((_11_B重度研修１．５＿０．５*_11・２人),0)*(1+_11・B早朝)),0)*_11・初任),0)+ROUND((ROUND((_11_C重度研修１．５＿０．５＿１．０*_11・２人),0)*_11・初任),0)</f>
        <v>498</v>
      </c>
      <c r="Y38" s="48"/>
    </row>
    <row r="39" spans="1:25" ht="16.5" customHeight="1" x14ac:dyDescent="0.15">
      <c r="A39" s="41">
        <v>11</v>
      </c>
      <c r="B39" s="41">
        <v>2343</v>
      </c>
      <c r="C39" s="74" t="s">
        <v>4020</v>
      </c>
      <c r="D39" s="72"/>
      <c r="F39" s="99"/>
      <c r="G39" s="735" t="s">
        <v>3581</v>
      </c>
      <c r="H39" s="708"/>
      <c r="I39" s="717"/>
      <c r="J39" s="707" t="s">
        <v>1226</v>
      </c>
      <c r="K39" s="717"/>
      <c r="L39" s="44"/>
      <c r="M39" s="45"/>
      <c r="N39" s="46"/>
      <c r="O39" s="35"/>
      <c r="Q39" s="57"/>
      <c r="R39" s="35"/>
      <c r="T39" s="57"/>
      <c r="U39" s="53"/>
      <c r="V39" s="49"/>
      <c r="W39" s="50"/>
      <c r="X39" s="47">
        <f>ROUND((_11_A重度研修１．５*(1+_11・A深夜)),0)+ROUND((_11_B重度研修１．５＿１．０*(1+_11・B早朝)),0)+_11_C重度研修１．５＿１．０＿０．５</f>
        <v>734</v>
      </c>
      <c r="Y39" s="48"/>
    </row>
    <row r="40" spans="1:25" ht="16.5" customHeight="1" x14ac:dyDescent="0.15">
      <c r="A40" s="41">
        <v>11</v>
      </c>
      <c r="B40" s="41">
        <v>2344</v>
      </c>
      <c r="C40" s="74" t="s">
        <v>4021</v>
      </c>
      <c r="D40" s="72"/>
      <c r="F40" s="99"/>
      <c r="G40" s="736"/>
      <c r="H40" s="704"/>
      <c r="I40" s="718"/>
      <c r="J40" s="709"/>
      <c r="K40" s="718"/>
      <c r="L40" s="44" t="s">
        <v>397</v>
      </c>
      <c r="M40" s="45" t="s">
        <v>398</v>
      </c>
      <c r="N40" s="46">
        <v>1</v>
      </c>
      <c r="O40" s="35"/>
      <c r="Q40" s="57"/>
      <c r="R40" s="35"/>
      <c r="T40" s="57"/>
      <c r="U40" s="43"/>
      <c r="V40" s="37"/>
      <c r="W40" s="38"/>
      <c r="X40" s="47">
        <f>ROUND((ROUND((_11_A重度研修１．５*_11・２人),0)*(1+_11・A深夜)),0)+ROUND((ROUND((_11_B重度研修１．５＿１．０*_11・２人),0)*(1+_11・B早朝)),0)+ROUND((_11_C重度研修１．５＿１．０＿０．５*_11・２人),0)</f>
        <v>734</v>
      </c>
      <c r="Y40" s="48"/>
    </row>
    <row r="41" spans="1:25" ht="16.5" customHeight="1" x14ac:dyDescent="0.15">
      <c r="A41" s="41">
        <v>11</v>
      </c>
      <c r="B41" s="41" t="s">
        <v>4022</v>
      </c>
      <c r="C41" s="74" t="s">
        <v>4023</v>
      </c>
      <c r="D41" s="72"/>
      <c r="F41" s="99"/>
      <c r="G41" s="736"/>
      <c r="H41" s="704"/>
      <c r="I41" s="718"/>
      <c r="J41" s="709"/>
      <c r="K41" s="718"/>
      <c r="L41" s="44"/>
      <c r="M41" s="45"/>
      <c r="N41" s="46"/>
      <c r="O41" s="35"/>
      <c r="Q41" s="57"/>
      <c r="R41" s="35"/>
      <c r="T41" s="57"/>
      <c r="U41" s="734" t="s">
        <v>404</v>
      </c>
      <c r="V41" s="49" t="s">
        <v>398</v>
      </c>
      <c r="W41" s="50">
        <f>_11・初任</f>
        <v>0.7</v>
      </c>
      <c r="X41" s="47">
        <f>ROUND((ROUND((_11_A重度研修１．５*(1+_11・A深夜)),0)*_11・初任),0)+ROUND((ROUND((_11_B重度研修１．５＿１．０*(1+_11・B早朝)),0)*_11・初任),0)+ROUND((_11_C重度研修１．５＿１．０＿０．５*_11・初任),0)</f>
        <v>513</v>
      </c>
      <c r="Y41" s="48"/>
    </row>
    <row r="42" spans="1:25" ht="16.5" customHeight="1" x14ac:dyDescent="0.15">
      <c r="A42" s="41">
        <v>11</v>
      </c>
      <c r="B42" s="41" t="s">
        <v>4024</v>
      </c>
      <c r="C42" s="74" t="s">
        <v>4025</v>
      </c>
      <c r="D42" s="72"/>
      <c r="F42" s="99"/>
      <c r="G42" s="179"/>
      <c r="H42" s="170">
        <f>_11_B重度研修１．５＿１．０</f>
        <v>183</v>
      </c>
      <c r="I42" s="171" t="s">
        <v>392</v>
      </c>
      <c r="J42" s="168">
        <f>_11_C重度研修１．５＿１．０＿０．５</f>
        <v>92</v>
      </c>
      <c r="K42" s="12" t="s">
        <v>392</v>
      </c>
      <c r="L42" s="44" t="s">
        <v>397</v>
      </c>
      <c r="M42" s="45" t="s">
        <v>398</v>
      </c>
      <c r="N42" s="46">
        <v>1</v>
      </c>
      <c r="O42" s="35"/>
      <c r="Q42" s="57"/>
      <c r="R42" s="35"/>
      <c r="T42" s="57"/>
      <c r="U42" s="706"/>
      <c r="V42" s="37"/>
      <c r="W42" s="38"/>
      <c r="X42" s="47">
        <f>ROUND((ROUND((ROUND((_11_A重度研修１．５*_11・２人),0)*(1+_11・A深夜)),0)*_11・初任),0)+ROUND((ROUND((ROUND((_11_B重度研修１．５＿１．０*_11・２人),0)*(1+_11・B早朝)),0)*_11・初任),0)+ROUND((ROUND((_11_C重度研修１．５＿１．０＿０．５*_11・２人),0)*_11・初任),0)</f>
        <v>513</v>
      </c>
      <c r="Y42" s="48"/>
    </row>
    <row r="43" spans="1:25" ht="16.5" customHeight="1" x14ac:dyDescent="0.15">
      <c r="A43" s="41">
        <v>11</v>
      </c>
      <c r="B43" s="41">
        <v>2361</v>
      </c>
      <c r="C43" s="74" t="s">
        <v>4026</v>
      </c>
      <c r="D43" s="707" t="s">
        <v>3621</v>
      </c>
      <c r="E43" s="708"/>
      <c r="F43" s="740"/>
      <c r="G43" s="735" t="s">
        <v>3602</v>
      </c>
      <c r="H43" s="708"/>
      <c r="I43" s="717"/>
      <c r="J43" s="707" t="s">
        <v>1226</v>
      </c>
      <c r="K43" s="717"/>
      <c r="L43" s="44"/>
      <c r="M43" s="45"/>
      <c r="N43" s="46"/>
      <c r="O43" s="35"/>
      <c r="Q43" s="57"/>
      <c r="R43" s="35"/>
      <c r="T43" s="57"/>
      <c r="U43" s="53"/>
      <c r="V43" s="49"/>
      <c r="W43" s="50"/>
      <c r="X43" s="47">
        <f>ROUND((_11_A重度研修２．０*(1+_11・A深夜)),0)+ROUND((_11_B重度研修２．０＿０．５*(1+_11・B早朝)),0)+_11_C重度研修２．０＿０．５＿０．５</f>
        <v>757</v>
      </c>
      <c r="Y43" s="48"/>
    </row>
    <row r="44" spans="1:25" ht="16.5" customHeight="1" x14ac:dyDescent="0.15">
      <c r="A44" s="41">
        <v>11</v>
      </c>
      <c r="B44" s="41">
        <v>2362</v>
      </c>
      <c r="C44" s="74" t="s">
        <v>4027</v>
      </c>
      <c r="D44" s="709"/>
      <c r="E44" s="704"/>
      <c r="F44" s="739"/>
      <c r="G44" s="736"/>
      <c r="H44" s="704"/>
      <c r="I44" s="718"/>
      <c r="J44" s="709"/>
      <c r="K44" s="718"/>
      <c r="L44" s="44" t="s">
        <v>397</v>
      </c>
      <c r="M44" s="45" t="s">
        <v>398</v>
      </c>
      <c r="N44" s="46">
        <v>1</v>
      </c>
      <c r="O44" s="35"/>
      <c r="Q44" s="57"/>
      <c r="R44" s="35"/>
      <c r="T44" s="57"/>
      <c r="U44" s="43"/>
      <c r="V44" s="37"/>
      <c r="W44" s="38"/>
      <c r="X44" s="47">
        <f>ROUND((ROUND((_11_A重度研修２．０*_11・２人),0)*(1+_11・A深夜)),0)+ROUND((ROUND((_11_B重度研修２．０＿０．５*_11・２人),0)*(1+_11・B早朝)),0)+ROUND((_11_C重度研修２．０＿０．５＿０．５*_11・２人),0)</f>
        <v>757</v>
      </c>
      <c r="Y44" s="48"/>
    </row>
    <row r="45" spans="1:25" ht="16.5" customHeight="1" x14ac:dyDescent="0.15">
      <c r="A45" s="41">
        <v>11</v>
      </c>
      <c r="B45" s="41" t="s">
        <v>4028</v>
      </c>
      <c r="C45" s="74" t="s">
        <v>4029</v>
      </c>
      <c r="D45" s="709"/>
      <c r="E45" s="704"/>
      <c r="F45" s="739"/>
      <c r="G45" s="736"/>
      <c r="H45" s="704"/>
      <c r="I45" s="718"/>
      <c r="J45" s="709"/>
      <c r="K45" s="718"/>
      <c r="L45" s="44"/>
      <c r="M45" s="45"/>
      <c r="N45" s="46"/>
      <c r="O45" s="35"/>
      <c r="Q45" s="57"/>
      <c r="R45" s="35"/>
      <c r="T45" s="57"/>
      <c r="U45" s="734" t="s">
        <v>404</v>
      </c>
      <c r="V45" s="49" t="s">
        <v>398</v>
      </c>
      <c r="W45" s="50">
        <f>_11・初任</f>
        <v>0.7</v>
      </c>
      <c r="X45" s="47">
        <f>ROUND((ROUND((_11_A重度研修２．０*(1+_11・A深夜)),0)*_11・初任),0)+ROUND((ROUND((_11_B重度研修２．０＿０．５*(1+_11・B早朝)),0)*_11・初任),0)+ROUND((_11_C重度研修２．０＿０．５＿０．５*_11・初任),0)</f>
        <v>530</v>
      </c>
      <c r="Y45" s="48"/>
    </row>
    <row r="46" spans="1:25" ht="16.5" customHeight="1" x14ac:dyDescent="0.15">
      <c r="A46" s="41">
        <v>11</v>
      </c>
      <c r="B46" s="41" t="s">
        <v>4030</v>
      </c>
      <c r="C46" s="74" t="s">
        <v>4031</v>
      </c>
      <c r="D46" s="122"/>
      <c r="E46" s="176">
        <f>_11_A重度研修２．０</f>
        <v>367</v>
      </c>
      <c r="F46" s="37" t="s">
        <v>392</v>
      </c>
      <c r="G46" s="180"/>
      <c r="H46" s="176">
        <f>_11_B重度研修２．０＿０．５</f>
        <v>91</v>
      </c>
      <c r="I46" s="175" t="s">
        <v>392</v>
      </c>
      <c r="J46" s="184">
        <f>_11_C重度研修２．０＿０．５＿０．５</f>
        <v>92</v>
      </c>
      <c r="K46" s="37" t="s">
        <v>392</v>
      </c>
      <c r="L46" s="44" t="s">
        <v>397</v>
      </c>
      <c r="M46" s="45" t="s">
        <v>398</v>
      </c>
      <c r="N46" s="46">
        <v>1</v>
      </c>
      <c r="O46" s="43"/>
      <c r="P46" s="38"/>
      <c r="Q46" s="79"/>
      <c r="R46" s="43"/>
      <c r="S46" s="38"/>
      <c r="T46" s="79"/>
      <c r="U46" s="706"/>
      <c r="V46" s="37"/>
      <c r="W46" s="38"/>
      <c r="X46" s="47">
        <f>ROUND((ROUND((ROUND((_11_A重度研修２．０*_11・２人),0)*(1+_11・A深夜)),0)*_11・初任),0)+ROUND((ROUND((ROUND((_11_B重度研修２．０＿０．５*_11・２人),0)*(1+_11・B早朝)),0)*_11・初任),0)+ROUND((ROUND((_11_C重度研修２．０＿０．５＿０．５*_11・２人),0)*_11・初任),0)</f>
        <v>530</v>
      </c>
      <c r="Y46" s="63"/>
    </row>
    <row r="47" spans="1:25" ht="16.5" customHeight="1" x14ac:dyDescent="0.15"/>
  </sheetData>
  <mergeCells count="31">
    <mergeCell ref="J39:K41"/>
    <mergeCell ref="U41:U42"/>
    <mergeCell ref="D43:F45"/>
    <mergeCell ref="G43:I45"/>
    <mergeCell ref="J43:K45"/>
    <mergeCell ref="U45:U46"/>
    <mergeCell ref="G39:I41"/>
    <mergeCell ref="J23:K25"/>
    <mergeCell ref="U25:U26"/>
    <mergeCell ref="G27:I29"/>
    <mergeCell ref="J27:K29"/>
    <mergeCell ref="U29:U30"/>
    <mergeCell ref="D31:F33"/>
    <mergeCell ref="G31:I33"/>
    <mergeCell ref="J31:K33"/>
    <mergeCell ref="U33:U34"/>
    <mergeCell ref="J35:K37"/>
    <mergeCell ref="U37:U38"/>
    <mergeCell ref="J11:K13"/>
    <mergeCell ref="U13:U14"/>
    <mergeCell ref="J15:K17"/>
    <mergeCell ref="U17:U18"/>
    <mergeCell ref="G19:I21"/>
    <mergeCell ref="J19:K21"/>
    <mergeCell ref="U21:U22"/>
    <mergeCell ref="U9:U10"/>
    <mergeCell ref="D6:F6"/>
    <mergeCell ref="G6:I6"/>
    <mergeCell ref="D7:F9"/>
    <mergeCell ref="G7:I9"/>
    <mergeCell ref="J7:K9"/>
  </mergeCells>
  <phoneticPr fontId="1"/>
  <printOptions horizontalCentered="1"/>
  <pageMargins left="0.70866141732283472" right="0.70866141732283472" top="0.74803149606299213" bottom="0.74803149606299213" header="0.31496062992125984" footer="0.31496062992125984"/>
  <pageSetup paperSize="9" scale="45" fitToHeight="0" orientation="portrait" r:id="rId1"/>
  <headerFooter>
    <oddHeader>&amp;R&amp;"ＭＳ Ｐゴシック"&amp;9居宅介護</oddHeader>
    <oddFooter>&amp;C&amp;"ＭＳ Ｐゴシック"&amp;14&amp;P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pageSetUpPr fitToPage="1"/>
  </sheetPr>
  <dimension ref="A1:Y4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1.875" style="10" bestFit="1" customWidth="1"/>
    <col min="4" max="4" width="2.5" style="10" customWidth="1"/>
    <col min="5" max="5" width="4.875" style="10" customWidth="1"/>
    <col min="6" max="6" width="5.5" style="117" customWidth="1"/>
    <col min="7" max="7" width="2.5" style="117" customWidth="1"/>
    <col min="8" max="8" width="4.875" style="10" customWidth="1"/>
    <col min="9" max="9" width="5.5" style="117" bestFit="1" customWidth="1"/>
    <col min="10" max="10" width="5.875" style="10" customWidth="1"/>
    <col min="11" max="11" width="6.125" style="12" customWidth="1"/>
    <col min="12" max="12" width="24.875" style="14" bestFit="1" customWidth="1"/>
    <col min="13" max="13" width="3.5" style="12" bestFit="1" customWidth="1"/>
    <col min="14" max="14" width="5.5" style="13" bestFit="1" customWidth="1"/>
    <col min="15" max="15" width="3.5" style="12" bestFit="1" customWidth="1"/>
    <col min="16" max="16" width="4.5" style="13" bestFit="1" customWidth="1"/>
    <col min="17" max="17" width="5.5" style="12" bestFit="1" customWidth="1"/>
    <col min="18" max="18" width="3.5" style="12" bestFit="1" customWidth="1"/>
    <col min="19" max="19" width="4.5" style="13" bestFit="1" customWidth="1"/>
    <col min="20" max="20" width="5.5" style="12" bestFit="1" customWidth="1"/>
    <col min="21" max="21" width="17.875" style="12" customWidth="1"/>
    <col min="22" max="22" width="3.5" style="12" bestFit="1" customWidth="1"/>
    <col min="23" max="23" width="4.5" style="13" bestFit="1" customWidth="1"/>
    <col min="24" max="24" width="7.125" style="15" customWidth="1"/>
    <col min="25" max="25" width="8.5" style="16" customWidth="1"/>
    <col min="26" max="16384" width="8.875" style="12"/>
  </cols>
  <sheetData>
    <row r="1" spans="1:25" ht="17.100000000000001" customHeight="1" x14ac:dyDescent="0.15">
      <c r="E1" s="11"/>
      <c r="H1" s="11"/>
    </row>
    <row r="2" spans="1:25" ht="17.100000000000001" customHeight="1" x14ac:dyDescent="0.15"/>
    <row r="3" spans="1:25" ht="16.5" customHeight="1" x14ac:dyDescent="0.15"/>
    <row r="4" spans="1:25" ht="17.100000000000001" customHeight="1" x14ac:dyDescent="0.15">
      <c r="B4" s="17" t="s">
        <v>4032</v>
      </c>
      <c r="E4" s="71"/>
    </row>
    <row r="5" spans="1:25" ht="16.5" customHeight="1" x14ac:dyDescent="0.15">
      <c r="A5" s="19" t="s">
        <v>384</v>
      </c>
      <c r="B5" s="20"/>
      <c r="C5" s="21" t="s">
        <v>385</v>
      </c>
      <c r="D5" s="166"/>
      <c r="E5" s="23" t="s">
        <v>386</v>
      </c>
      <c r="F5" s="118"/>
      <c r="G5" s="118"/>
      <c r="H5" s="23"/>
      <c r="I5" s="118"/>
      <c r="J5" s="23"/>
      <c r="K5" s="23"/>
      <c r="L5" s="23"/>
      <c r="M5" s="23"/>
      <c r="N5" s="24"/>
      <c r="O5" s="23"/>
      <c r="P5" s="24"/>
      <c r="Q5" s="23"/>
      <c r="R5" s="23"/>
      <c r="S5" s="24"/>
      <c r="T5" s="23"/>
      <c r="U5" s="23"/>
      <c r="V5" s="23"/>
      <c r="W5" s="24"/>
      <c r="X5" s="25" t="s">
        <v>387</v>
      </c>
      <c r="Y5" s="21" t="s">
        <v>388</v>
      </c>
    </row>
    <row r="6" spans="1:25" ht="16.5" customHeight="1" x14ac:dyDescent="0.15">
      <c r="A6" s="26" t="s">
        <v>389</v>
      </c>
      <c r="B6" s="26" t="s">
        <v>390</v>
      </c>
      <c r="C6" s="27"/>
      <c r="D6" s="29"/>
      <c r="E6" s="29"/>
      <c r="F6" s="185"/>
      <c r="G6" s="738" t="s">
        <v>1032</v>
      </c>
      <c r="H6" s="731"/>
      <c r="I6" s="727"/>
      <c r="J6" s="726" t="s">
        <v>1033</v>
      </c>
      <c r="K6" s="737"/>
      <c r="L6" s="29"/>
      <c r="M6" s="29"/>
      <c r="N6" s="30"/>
      <c r="O6" s="29"/>
      <c r="P6" s="30"/>
      <c r="Q6" s="29"/>
      <c r="R6" s="29"/>
      <c r="S6" s="30"/>
      <c r="T6" s="29"/>
      <c r="U6" s="29"/>
      <c r="V6" s="29"/>
      <c r="W6" s="30"/>
      <c r="X6" s="31" t="s">
        <v>391</v>
      </c>
      <c r="Y6" s="32" t="s">
        <v>392</v>
      </c>
    </row>
    <row r="7" spans="1:25" ht="16.5" customHeight="1" x14ac:dyDescent="0.15">
      <c r="A7" s="33">
        <v>11</v>
      </c>
      <c r="B7" s="33">
        <v>2345</v>
      </c>
      <c r="C7" s="34" t="s">
        <v>4033</v>
      </c>
      <c r="D7" s="709" t="s">
        <v>3710</v>
      </c>
      <c r="E7" s="704"/>
      <c r="F7" s="739"/>
      <c r="G7" s="736" t="s">
        <v>3711</v>
      </c>
      <c r="H7" s="704"/>
      <c r="I7" s="718"/>
      <c r="J7" s="709" t="s">
        <v>1617</v>
      </c>
      <c r="K7" s="718"/>
      <c r="L7" s="36"/>
      <c r="M7" s="37"/>
      <c r="N7" s="38"/>
      <c r="O7" s="72" t="s">
        <v>1416</v>
      </c>
      <c r="Q7" s="57"/>
      <c r="R7" s="72" t="s">
        <v>1618</v>
      </c>
      <c r="T7" s="57"/>
      <c r="U7" s="35"/>
      <c r="X7" s="39">
        <f>_11_A重度研修１．０+ROUND((_11_B重度研修１．０＿０．５*(1+_11・B夜間)),0)+ROUND((_11_C重度研修１．０＿０．５＿０．５*(1+_11・C深夜)),0)</f>
        <v>436</v>
      </c>
      <c r="Y7" s="40" t="s">
        <v>395</v>
      </c>
    </row>
    <row r="8" spans="1:25" ht="16.5" customHeight="1" x14ac:dyDescent="0.15">
      <c r="A8" s="41">
        <v>11</v>
      </c>
      <c r="B8" s="41">
        <v>2346</v>
      </c>
      <c r="C8" s="74" t="s">
        <v>4034</v>
      </c>
      <c r="D8" s="709"/>
      <c r="E8" s="704"/>
      <c r="F8" s="739"/>
      <c r="G8" s="736"/>
      <c r="H8" s="704"/>
      <c r="I8" s="718"/>
      <c r="J8" s="709"/>
      <c r="K8" s="718"/>
      <c r="L8" s="44" t="s">
        <v>397</v>
      </c>
      <c r="M8" s="45" t="s">
        <v>398</v>
      </c>
      <c r="N8" s="46">
        <v>1</v>
      </c>
      <c r="O8" s="35" t="s">
        <v>398</v>
      </c>
      <c r="P8" s="13">
        <v>0.25</v>
      </c>
      <c r="Q8" s="57" t="s">
        <v>3575</v>
      </c>
      <c r="R8" s="35" t="s">
        <v>398</v>
      </c>
      <c r="S8" s="13">
        <v>0.5</v>
      </c>
      <c r="T8" s="57" t="s">
        <v>3575</v>
      </c>
      <c r="U8" s="43"/>
      <c r="V8" s="37"/>
      <c r="W8" s="38"/>
      <c r="X8" s="47">
        <f>ROUND((_11_A重度研修１．０*_11・２人),0)+ROUND((ROUND((_11_B重度研修１．０＿０．５*_11・２人),0)*(1+_11・B夜間)),0)+ROUND((ROUND((_11_C重度研修１．０＿０．５＿０．５*_11・２人),0)*(1+_11・C深夜)),0)</f>
        <v>436</v>
      </c>
      <c r="Y8" s="48"/>
    </row>
    <row r="9" spans="1:25" ht="16.5" customHeight="1" x14ac:dyDescent="0.15">
      <c r="A9" s="41">
        <v>11</v>
      </c>
      <c r="B9" s="41" t="s">
        <v>4035</v>
      </c>
      <c r="C9" s="74" t="s">
        <v>4036</v>
      </c>
      <c r="D9" s="709"/>
      <c r="E9" s="704"/>
      <c r="F9" s="739"/>
      <c r="G9" s="736"/>
      <c r="H9" s="704"/>
      <c r="I9" s="718"/>
      <c r="J9" s="709"/>
      <c r="K9" s="718"/>
      <c r="L9" s="44"/>
      <c r="M9" s="45"/>
      <c r="N9" s="46"/>
      <c r="O9" s="35"/>
      <c r="Q9" s="57"/>
      <c r="R9" s="35"/>
      <c r="T9" s="57"/>
      <c r="U9" s="734" t="s">
        <v>404</v>
      </c>
      <c r="V9" s="49" t="s">
        <v>398</v>
      </c>
      <c r="W9" s="50">
        <f>_11・初任</f>
        <v>0.7</v>
      </c>
      <c r="X9" s="47">
        <f>ROUND((_11_A重度研修１．０*_11・初任),0)+ROUND((ROUND((_11_B重度研修１．０＿０．５*(1+_11・B夜間)),0)*_11・初任),0)+ROUND((ROUND((_11_C重度研修１．０＿０．５＿０．５*(1+_11・C深夜)),0)*_11・初任),0)</f>
        <v>306</v>
      </c>
      <c r="Y9" s="48"/>
    </row>
    <row r="10" spans="1:25" ht="16.5" customHeight="1" x14ac:dyDescent="0.15">
      <c r="A10" s="41">
        <v>11</v>
      </c>
      <c r="B10" s="41" t="s">
        <v>4037</v>
      </c>
      <c r="C10" s="74" t="s">
        <v>4038</v>
      </c>
      <c r="D10" s="72"/>
      <c r="E10" s="170">
        <f>_11_A重度研修１．０</f>
        <v>185</v>
      </c>
      <c r="F10" s="171" t="s">
        <v>392</v>
      </c>
      <c r="G10" s="12"/>
      <c r="H10" s="170">
        <f>_11_B重度研修１．０＿０．５</f>
        <v>90</v>
      </c>
      <c r="I10" s="12" t="s">
        <v>392</v>
      </c>
      <c r="J10" s="125">
        <f>_11_C重度研修１．０＿０．５＿０．５</f>
        <v>92</v>
      </c>
      <c r="K10" s="12" t="s">
        <v>392</v>
      </c>
      <c r="L10" s="44" t="s">
        <v>397</v>
      </c>
      <c r="M10" s="45" t="s">
        <v>398</v>
      </c>
      <c r="N10" s="46">
        <v>1</v>
      </c>
      <c r="O10" s="35"/>
      <c r="Q10" s="57"/>
      <c r="R10" s="35"/>
      <c r="T10" s="57"/>
      <c r="U10" s="706"/>
      <c r="V10" s="37"/>
      <c r="W10" s="38"/>
      <c r="X10" s="47">
        <f>ROUND((ROUND((_11_A重度研修１．０*_11・２人),0)*_11・初任),0)+ROUND((ROUND((ROUND((_11_B重度研修１．０＿０．５*_11・２人),0)*(1+_11・B夜間)),0)*_11・初任),0)+ROUND((ROUND((ROUND((_11_C重度研修１．０＿０．５＿０．５*_11・２人),0)*(1+_11・C深夜)),0)*_11・初任),0)</f>
        <v>306</v>
      </c>
      <c r="Y10" s="48"/>
    </row>
    <row r="11" spans="1:25" ht="16.5" customHeight="1" x14ac:dyDescent="0.15">
      <c r="A11" s="41">
        <v>11</v>
      </c>
      <c r="B11" s="41">
        <v>2347</v>
      </c>
      <c r="C11" s="74" t="s">
        <v>4039</v>
      </c>
      <c r="D11" s="72"/>
      <c r="F11" s="169"/>
      <c r="G11" s="99"/>
      <c r="I11" s="99"/>
      <c r="J11" s="707" t="s">
        <v>1695</v>
      </c>
      <c r="K11" s="717"/>
      <c r="L11" s="44"/>
      <c r="M11" s="45"/>
      <c r="N11" s="46"/>
      <c r="O11" s="35"/>
      <c r="Q11" s="57"/>
      <c r="R11" s="35"/>
      <c r="T11" s="57"/>
      <c r="U11" s="53"/>
      <c r="V11" s="49"/>
      <c r="W11" s="50"/>
      <c r="X11" s="47">
        <f>_11_A重度研修１．０+ROUND((_11_B重度研修１．０＿０．５*(1+_11・B夜間)),0)+ROUND((_11_C重度研修１．０＿０．５＿１．０*(1+_11・C深夜)),0)</f>
        <v>573</v>
      </c>
      <c r="Y11" s="48"/>
    </row>
    <row r="12" spans="1:25" ht="16.5" customHeight="1" x14ac:dyDescent="0.15">
      <c r="A12" s="41">
        <v>11</v>
      </c>
      <c r="B12" s="41">
        <v>2348</v>
      </c>
      <c r="C12" s="74" t="s">
        <v>4040</v>
      </c>
      <c r="D12" s="72"/>
      <c r="F12" s="169"/>
      <c r="G12" s="99"/>
      <c r="I12" s="99"/>
      <c r="J12" s="709"/>
      <c r="K12" s="718"/>
      <c r="L12" s="44" t="s">
        <v>397</v>
      </c>
      <c r="M12" s="45" t="s">
        <v>398</v>
      </c>
      <c r="N12" s="46">
        <v>1</v>
      </c>
      <c r="O12" s="35"/>
      <c r="Q12" s="57"/>
      <c r="R12" s="35"/>
      <c r="T12" s="57"/>
      <c r="U12" s="43"/>
      <c r="V12" s="37"/>
      <c r="W12" s="38"/>
      <c r="X12" s="47">
        <f>ROUND((_11_A重度研修１．０*_11・２人),0)+ROUND((ROUND((_11_B重度研修１．０＿０．５*_11・２人),0)*(1+_11・B夜間)),0)+ROUND((ROUND((_11_C重度研修１．０＿０．５＿１．０*_11・２人),0)*(1+_11・C深夜)),0)</f>
        <v>573</v>
      </c>
      <c r="Y12" s="48"/>
    </row>
    <row r="13" spans="1:25" ht="16.5" customHeight="1" x14ac:dyDescent="0.15">
      <c r="A13" s="41">
        <v>11</v>
      </c>
      <c r="B13" s="41" t="s">
        <v>4041</v>
      </c>
      <c r="C13" s="74" t="s">
        <v>4042</v>
      </c>
      <c r="D13" s="72"/>
      <c r="F13" s="169"/>
      <c r="G13" s="99"/>
      <c r="I13" s="99"/>
      <c r="J13" s="709"/>
      <c r="K13" s="718"/>
      <c r="L13" s="44"/>
      <c r="M13" s="45"/>
      <c r="N13" s="46"/>
      <c r="O13" s="35"/>
      <c r="Q13" s="57"/>
      <c r="R13" s="35"/>
      <c r="T13" s="57"/>
      <c r="U13" s="734" t="s">
        <v>404</v>
      </c>
      <c r="V13" s="49" t="s">
        <v>398</v>
      </c>
      <c r="W13" s="50">
        <f>_11・初任</f>
        <v>0.7</v>
      </c>
      <c r="X13" s="47">
        <f>ROUND((_11_A重度研修１．０*_11・初任),0)+ROUND((ROUND((_11_B重度研修１．０＿０．５*(1+_11・B夜間)),0)*_11・初任),0)+ROUND((ROUND((_11_C重度研修１．０＿０．５＿１．０*(1+_11・C深夜)),0)*_11・初任),0)</f>
        <v>402</v>
      </c>
      <c r="Y13" s="48"/>
    </row>
    <row r="14" spans="1:25" ht="16.5" customHeight="1" x14ac:dyDescent="0.15">
      <c r="A14" s="41">
        <v>11</v>
      </c>
      <c r="B14" s="41" t="s">
        <v>4043</v>
      </c>
      <c r="C14" s="74" t="s">
        <v>4044</v>
      </c>
      <c r="D14" s="72"/>
      <c r="F14" s="169"/>
      <c r="G14" s="99"/>
      <c r="I14" s="99"/>
      <c r="J14" s="125">
        <f>_11_C重度研修１．０＿０．５＿１．０</f>
        <v>183</v>
      </c>
      <c r="K14" s="12" t="s">
        <v>392</v>
      </c>
      <c r="L14" s="44" t="s">
        <v>397</v>
      </c>
      <c r="M14" s="45" t="s">
        <v>398</v>
      </c>
      <c r="N14" s="46">
        <v>1</v>
      </c>
      <c r="O14" s="35"/>
      <c r="Q14" s="57"/>
      <c r="R14" s="35"/>
      <c r="T14" s="57"/>
      <c r="U14" s="706"/>
      <c r="V14" s="37"/>
      <c r="W14" s="38"/>
      <c r="X14" s="47">
        <f>ROUND((ROUND((_11_A重度研修１．０*_11・２人),0)*_11・初任),0)+ROUND((ROUND((ROUND((_11_B重度研修１．０＿０．５*_11・２人),0)*(1+_11・B夜間)),0)*_11・初任),0)+ROUND((ROUND((ROUND((_11_C重度研修１．０＿０．５＿１．０*_11・２人),0)*(1+_11・C深夜)),0)*_11・初任),0)</f>
        <v>402</v>
      </c>
      <c r="Y14" s="48"/>
    </row>
    <row r="15" spans="1:25" ht="16.5" customHeight="1" x14ac:dyDescent="0.15">
      <c r="A15" s="41">
        <v>11</v>
      </c>
      <c r="B15" s="41">
        <v>2349</v>
      </c>
      <c r="C15" s="74" t="s">
        <v>4045</v>
      </c>
      <c r="D15" s="72"/>
      <c r="F15" s="169"/>
      <c r="G15" s="99"/>
      <c r="I15" s="99"/>
      <c r="J15" s="707" t="s">
        <v>1644</v>
      </c>
      <c r="K15" s="717"/>
      <c r="L15" s="44"/>
      <c r="M15" s="45"/>
      <c r="N15" s="46"/>
      <c r="O15" s="35"/>
      <c r="Q15" s="57"/>
      <c r="R15" s="35"/>
      <c r="T15" s="57"/>
      <c r="U15" s="53"/>
      <c r="V15" s="49"/>
      <c r="W15" s="50"/>
      <c r="X15" s="47">
        <f>_11_A重度研修１．０+ROUND((_11_B重度研修１．０＿０．５*(1+_11・B夜間)),0)+ROUND((_11_C重度研修１．０＿０．５＿１．５*(1+_11・C深夜)),0)</f>
        <v>711</v>
      </c>
      <c r="Y15" s="48"/>
    </row>
    <row r="16" spans="1:25" ht="16.5" customHeight="1" x14ac:dyDescent="0.15">
      <c r="A16" s="41">
        <v>11</v>
      </c>
      <c r="B16" s="41">
        <v>2350</v>
      </c>
      <c r="C16" s="74" t="s">
        <v>4046</v>
      </c>
      <c r="D16" s="72"/>
      <c r="F16" s="169"/>
      <c r="G16" s="99"/>
      <c r="I16" s="99"/>
      <c r="J16" s="709"/>
      <c r="K16" s="718"/>
      <c r="L16" s="44" t="s">
        <v>397</v>
      </c>
      <c r="M16" s="45" t="s">
        <v>398</v>
      </c>
      <c r="N16" s="46">
        <v>1</v>
      </c>
      <c r="O16" s="35"/>
      <c r="Q16" s="57"/>
      <c r="R16" s="35"/>
      <c r="T16" s="57"/>
      <c r="U16" s="43"/>
      <c r="V16" s="37"/>
      <c r="W16" s="38"/>
      <c r="X16" s="47">
        <f>ROUND((_11_A重度研修１．０*_11・２人),0)+ROUND((ROUND((_11_B重度研修１．０＿０．５*_11・２人),0)*(1+_11・B夜間)),0)+ROUND((ROUND((_11_C重度研修１．０＿０．５＿１．５*_11・２人),0)*(1+_11・C深夜)),0)</f>
        <v>711</v>
      </c>
      <c r="Y16" s="48"/>
    </row>
    <row r="17" spans="1:25" ht="16.5" customHeight="1" x14ac:dyDescent="0.15">
      <c r="A17" s="41">
        <v>11</v>
      </c>
      <c r="B17" s="41" t="s">
        <v>4047</v>
      </c>
      <c r="C17" s="74" t="s">
        <v>4048</v>
      </c>
      <c r="D17" s="72"/>
      <c r="F17" s="169"/>
      <c r="G17" s="99"/>
      <c r="I17" s="99"/>
      <c r="J17" s="709"/>
      <c r="K17" s="718"/>
      <c r="L17" s="44"/>
      <c r="M17" s="45"/>
      <c r="N17" s="46"/>
      <c r="O17" s="35"/>
      <c r="Q17" s="57"/>
      <c r="R17" s="35"/>
      <c r="T17" s="57"/>
      <c r="U17" s="734" t="s">
        <v>404</v>
      </c>
      <c r="V17" s="49" t="s">
        <v>398</v>
      </c>
      <c r="W17" s="50">
        <f>_11・初任</f>
        <v>0.7</v>
      </c>
      <c r="X17" s="47">
        <f>ROUND((_11_A重度研修１．０*_11・初任),0)+ROUND((ROUND((_11_B重度研修１．０＿０．５*(1+_11・B夜間)),0)*_11・初任),0)+ROUND((ROUND((_11_C重度研修１．０＿０．５＿１．５*(1+_11・C深夜)),0)*_11・初任),0)</f>
        <v>498</v>
      </c>
      <c r="Y17" s="48"/>
    </row>
    <row r="18" spans="1:25" ht="16.5" customHeight="1" x14ac:dyDescent="0.15">
      <c r="A18" s="41">
        <v>11</v>
      </c>
      <c r="B18" s="41" t="s">
        <v>4049</v>
      </c>
      <c r="C18" s="74" t="s">
        <v>4050</v>
      </c>
      <c r="D18" s="72"/>
      <c r="F18" s="169"/>
      <c r="G18" s="99"/>
      <c r="I18" s="99"/>
      <c r="J18" s="125">
        <f>_11_C重度研修１．０＿０．５＿１．５</f>
        <v>275</v>
      </c>
      <c r="K18" s="12" t="s">
        <v>392</v>
      </c>
      <c r="L18" s="44" t="s">
        <v>397</v>
      </c>
      <c r="M18" s="45" t="s">
        <v>398</v>
      </c>
      <c r="N18" s="46">
        <v>1</v>
      </c>
      <c r="O18" s="35"/>
      <c r="Q18" s="57"/>
      <c r="R18" s="35"/>
      <c r="T18" s="57"/>
      <c r="U18" s="706"/>
      <c r="V18" s="37"/>
      <c r="W18" s="38"/>
      <c r="X18" s="47">
        <f>ROUND((ROUND((_11_A重度研修１．０*_11・２人),0)*_11・初任),0)+ROUND((ROUND((ROUND((_11_B重度研修１．０＿０．５*_11・２人),0)*(1+_11・B夜間)),0)*_11・初任),0)+ROUND((ROUND((ROUND((_11_C重度研修１．０＿０．５＿１．５*_11・２人),0)*(1+_11・C深夜)),0)*_11・初任),0)</f>
        <v>498</v>
      </c>
      <c r="Y18" s="48"/>
    </row>
    <row r="19" spans="1:25" ht="16.5" customHeight="1" x14ac:dyDescent="0.15">
      <c r="A19" s="41">
        <v>11</v>
      </c>
      <c r="B19" s="41">
        <v>2351</v>
      </c>
      <c r="C19" s="74" t="s">
        <v>4051</v>
      </c>
      <c r="D19" s="72"/>
      <c r="F19" s="169"/>
      <c r="G19" s="735" t="s">
        <v>3718</v>
      </c>
      <c r="H19" s="708"/>
      <c r="I19" s="717"/>
      <c r="J19" s="707" t="s">
        <v>1617</v>
      </c>
      <c r="K19" s="717"/>
      <c r="L19" s="44"/>
      <c r="M19" s="45"/>
      <c r="N19" s="46"/>
      <c r="O19" s="35"/>
      <c r="Q19" s="57"/>
      <c r="R19" s="35"/>
      <c r="T19" s="57"/>
      <c r="U19" s="53"/>
      <c r="V19" s="49"/>
      <c r="W19" s="50"/>
      <c r="X19" s="47">
        <f>_11_A重度研修１．０+ROUND((_11_B重度研修１．０＿１．０*(1+_11・B夜間)),0)+ROUND((_11_C重度研修１．０＿１．０＿０．５*(1+_11・C深夜)),0)</f>
        <v>550</v>
      </c>
      <c r="Y19" s="48"/>
    </row>
    <row r="20" spans="1:25" ht="16.5" customHeight="1" x14ac:dyDescent="0.15">
      <c r="A20" s="41">
        <v>11</v>
      </c>
      <c r="B20" s="41">
        <v>2352</v>
      </c>
      <c r="C20" s="74" t="s">
        <v>4052</v>
      </c>
      <c r="D20" s="72"/>
      <c r="F20" s="169"/>
      <c r="G20" s="736"/>
      <c r="H20" s="704"/>
      <c r="I20" s="718"/>
      <c r="J20" s="709"/>
      <c r="K20" s="718"/>
      <c r="L20" s="44" t="s">
        <v>397</v>
      </c>
      <c r="M20" s="45" t="s">
        <v>398</v>
      </c>
      <c r="N20" s="46">
        <v>1</v>
      </c>
      <c r="O20" s="35"/>
      <c r="Q20" s="57"/>
      <c r="R20" s="35"/>
      <c r="T20" s="57"/>
      <c r="U20" s="43"/>
      <c r="V20" s="37"/>
      <c r="W20" s="38"/>
      <c r="X20" s="47">
        <f>ROUND((_11_A重度研修１．０*_11・２人),0)+ROUND((ROUND((_11_B重度研修１．０＿１．０*_11・２人),0)*(1+_11・B夜間)),0)+ROUND((ROUND((_11_C重度研修１．０＿１．０＿０．５*_11・２人),0)*(1+_11・C深夜)),0)</f>
        <v>550</v>
      </c>
      <c r="Y20" s="48"/>
    </row>
    <row r="21" spans="1:25" ht="16.5" customHeight="1" x14ac:dyDescent="0.15">
      <c r="A21" s="41">
        <v>11</v>
      </c>
      <c r="B21" s="41" t="s">
        <v>4053</v>
      </c>
      <c r="C21" s="74" t="s">
        <v>4054</v>
      </c>
      <c r="D21" s="72"/>
      <c r="F21" s="169"/>
      <c r="G21" s="736"/>
      <c r="H21" s="704"/>
      <c r="I21" s="718"/>
      <c r="J21" s="709"/>
      <c r="K21" s="718"/>
      <c r="L21" s="44"/>
      <c r="M21" s="45"/>
      <c r="N21" s="46"/>
      <c r="O21" s="35"/>
      <c r="Q21" s="57"/>
      <c r="R21" s="35"/>
      <c r="T21" s="57"/>
      <c r="U21" s="734" t="s">
        <v>404</v>
      </c>
      <c r="V21" s="49" t="s">
        <v>398</v>
      </c>
      <c r="W21" s="50">
        <f>_11・初任</f>
        <v>0.7</v>
      </c>
      <c r="X21" s="47">
        <f>ROUND((_11_A重度研修１．０*_11・初任),0)+ROUND((ROUND((_11_B重度研修１．０＿１．０*(1+_11・B夜間)),0)*_11・初任),0)+ROUND((ROUND((_11_C重度研修１．０＿１．０＿０．５*(1+_11・C深夜)),0)*_11・初任),0)</f>
        <v>386</v>
      </c>
      <c r="Y21" s="48"/>
    </row>
    <row r="22" spans="1:25" ht="16.5" customHeight="1" x14ac:dyDescent="0.15">
      <c r="A22" s="41">
        <v>11</v>
      </c>
      <c r="B22" s="41" t="s">
        <v>4055</v>
      </c>
      <c r="C22" s="74" t="s">
        <v>4056</v>
      </c>
      <c r="D22" s="72"/>
      <c r="F22" s="169"/>
      <c r="G22" s="99"/>
      <c r="H22" s="170">
        <f>_11_B重度研修１．０＿１．０</f>
        <v>182</v>
      </c>
      <c r="I22" s="12" t="s">
        <v>392</v>
      </c>
      <c r="J22" s="125">
        <f>_11_C重度研修１．０＿１．０＿０．５</f>
        <v>91</v>
      </c>
      <c r="K22" s="12" t="s">
        <v>392</v>
      </c>
      <c r="L22" s="44" t="s">
        <v>397</v>
      </c>
      <c r="M22" s="45" t="s">
        <v>398</v>
      </c>
      <c r="N22" s="46">
        <v>1</v>
      </c>
      <c r="O22" s="35"/>
      <c r="Q22" s="57"/>
      <c r="R22" s="35"/>
      <c r="T22" s="57"/>
      <c r="U22" s="706"/>
      <c r="V22" s="37"/>
      <c r="W22" s="38"/>
      <c r="X22" s="47">
        <f>ROUND((ROUND((_11_A重度研修１．０*_11・２人),0)*_11・初任),0)+ROUND((ROUND((ROUND((_11_B重度研修１．０＿１．０*_11・２人),0)*(1+_11・B夜間)),0)*_11・初任),0)+ROUND((ROUND((ROUND((_11_C重度研修１．０＿１．０＿０．５*_11・２人),0)*(1+_11・C深夜)),0)*_11・初任),0)</f>
        <v>386</v>
      </c>
      <c r="Y22" s="48"/>
    </row>
    <row r="23" spans="1:25" ht="16.5" customHeight="1" x14ac:dyDescent="0.15">
      <c r="A23" s="41">
        <v>11</v>
      </c>
      <c r="B23" s="41">
        <v>2131</v>
      </c>
      <c r="C23" s="74" t="s">
        <v>4057</v>
      </c>
      <c r="D23" s="72"/>
      <c r="F23" s="169"/>
      <c r="G23" s="99"/>
      <c r="I23" s="99"/>
      <c r="J23" s="707" t="s">
        <v>1695</v>
      </c>
      <c r="K23" s="717"/>
      <c r="L23" s="44"/>
      <c r="M23" s="45"/>
      <c r="N23" s="46"/>
      <c r="O23" s="35"/>
      <c r="Q23" s="57"/>
      <c r="R23" s="35"/>
      <c r="T23" s="57"/>
      <c r="U23" s="53"/>
      <c r="V23" s="49"/>
      <c r="W23" s="50"/>
      <c r="X23" s="47">
        <f>_11_A重度研修１．０+ROUND((_11_B重度研修１．０＿１．０*(1+_11・B夜間)),0)+ROUND((_11_C重度研修１．０＿１．０＿１．０*(1+_11・C深夜)),0)</f>
        <v>688</v>
      </c>
      <c r="Y23" s="48"/>
    </row>
    <row r="24" spans="1:25" ht="16.5" customHeight="1" x14ac:dyDescent="0.15">
      <c r="A24" s="41">
        <v>11</v>
      </c>
      <c r="B24" s="41">
        <v>2132</v>
      </c>
      <c r="C24" s="74" t="s">
        <v>4058</v>
      </c>
      <c r="D24" s="72"/>
      <c r="F24" s="169"/>
      <c r="G24" s="99"/>
      <c r="I24" s="99"/>
      <c r="J24" s="709"/>
      <c r="K24" s="718"/>
      <c r="L24" s="44" t="s">
        <v>397</v>
      </c>
      <c r="M24" s="45" t="s">
        <v>398</v>
      </c>
      <c r="N24" s="46">
        <v>1</v>
      </c>
      <c r="O24" s="35"/>
      <c r="Q24" s="57"/>
      <c r="R24" s="35"/>
      <c r="T24" s="57"/>
      <c r="U24" s="43"/>
      <c r="V24" s="37"/>
      <c r="W24" s="38"/>
      <c r="X24" s="47">
        <f>ROUND((_11_A重度研修１．０*_11・２人),0)+ROUND((ROUND((_11_B重度研修１．０＿１．０*_11・２人),0)*(1+_11・B夜間)),0)+ROUND((ROUND((_11_C重度研修１．０＿１．０＿１．０*_11・２人),0)*(1+_11・C深夜)),0)</f>
        <v>688</v>
      </c>
      <c r="Y24" s="48"/>
    </row>
    <row r="25" spans="1:25" ht="16.5" customHeight="1" x14ac:dyDescent="0.15">
      <c r="A25" s="41">
        <v>11</v>
      </c>
      <c r="B25" s="41" t="s">
        <v>4059</v>
      </c>
      <c r="C25" s="74" t="s">
        <v>4060</v>
      </c>
      <c r="D25" s="72"/>
      <c r="F25" s="169"/>
      <c r="G25" s="99"/>
      <c r="I25" s="99"/>
      <c r="J25" s="709"/>
      <c r="K25" s="718"/>
      <c r="L25" s="44"/>
      <c r="M25" s="45"/>
      <c r="N25" s="46"/>
      <c r="O25" s="35"/>
      <c r="Q25" s="57"/>
      <c r="R25" s="35"/>
      <c r="T25" s="57"/>
      <c r="U25" s="734" t="s">
        <v>404</v>
      </c>
      <c r="V25" s="49" t="s">
        <v>398</v>
      </c>
      <c r="W25" s="50">
        <f>_11・初任</f>
        <v>0.7</v>
      </c>
      <c r="X25" s="47">
        <f>ROUND((_11_A重度研修１．０*_11・初任),0)+ROUND((ROUND((_11_B重度研修１．０＿１．０*(1+_11・B夜間)),0)*_11・初任),0)+ROUND((ROUND((_11_C重度研修１．０＿１．０＿１．０*(1+_11・C深夜)),0)*_11・初任),0)</f>
        <v>483</v>
      </c>
      <c r="Y25" s="48"/>
    </row>
    <row r="26" spans="1:25" ht="16.5" customHeight="1" x14ac:dyDescent="0.15">
      <c r="A26" s="41">
        <v>11</v>
      </c>
      <c r="B26" s="41" t="s">
        <v>4061</v>
      </c>
      <c r="C26" s="74" t="s">
        <v>4062</v>
      </c>
      <c r="D26" s="72"/>
      <c r="F26" s="169"/>
      <c r="G26" s="99"/>
      <c r="I26" s="99"/>
      <c r="J26" s="125">
        <f>_11_C重度研修１．０＿１．０＿１．０</f>
        <v>183</v>
      </c>
      <c r="K26" s="12" t="s">
        <v>392</v>
      </c>
      <c r="L26" s="44" t="s">
        <v>397</v>
      </c>
      <c r="M26" s="45" t="s">
        <v>398</v>
      </c>
      <c r="N26" s="46">
        <v>1</v>
      </c>
      <c r="O26" s="35"/>
      <c r="Q26" s="57"/>
      <c r="R26" s="35"/>
      <c r="T26" s="57"/>
      <c r="U26" s="706"/>
      <c r="V26" s="37"/>
      <c r="W26" s="38"/>
      <c r="X26" s="47">
        <f>ROUND((ROUND((_11_A重度研修１．０*_11・２人),0)*_11・初任),0)+ROUND((ROUND((ROUND((_11_B重度研修１．０＿１．０*_11・２人),0)*(1+_11・B夜間)),0)*_11・初任),0)+ROUND((ROUND((ROUND((_11_C重度研修１．０＿１．０＿１．０*_11・２人),0)*(1+_11・C深夜)),0)*_11・初任),0)</f>
        <v>483</v>
      </c>
      <c r="Y26" s="48"/>
    </row>
    <row r="27" spans="1:25" ht="16.5" customHeight="1" x14ac:dyDescent="0.15">
      <c r="A27" s="41">
        <v>11</v>
      </c>
      <c r="B27" s="41">
        <v>2353</v>
      </c>
      <c r="C27" s="74" t="s">
        <v>4063</v>
      </c>
      <c r="D27" s="72"/>
      <c r="F27" s="169"/>
      <c r="G27" s="735" t="s">
        <v>3725</v>
      </c>
      <c r="H27" s="708"/>
      <c r="I27" s="717"/>
      <c r="J27" s="707" t="s">
        <v>1617</v>
      </c>
      <c r="K27" s="717"/>
      <c r="L27" s="44"/>
      <c r="M27" s="45"/>
      <c r="N27" s="46"/>
      <c r="O27" s="35"/>
      <c r="Q27" s="57"/>
      <c r="R27" s="35"/>
      <c r="T27" s="57"/>
      <c r="U27" s="53"/>
      <c r="V27" s="49"/>
      <c r="W27" s="50"/>
      <c r="X27" s="47">
        <f>_11_A重度研修１．０+ROUND((_11_B重度研修１．０＿１．５*(1+_11・B夜間)),0)+ROUND((_11_C重度研修１．０＿１．５＿０．５*(1+_11・C深夜)),0)</f>
        <v>664</v>
      </c>
      <c r="Y27" s="48"/>
    </row>
    <row r="28" spans="1:25" ht="16.5" customHeight="1" x14ac:dyDescent="0.15">
      <c r="A28" s="41">
        <v>11</v>
      </c>
      <c r="B28" s="41">
        <v>2354</v>
      </c>
      <c r="C28" s="74" t="s">
        <v>4064</v>
      </c>
      <c r="D28" s="72"/>
      <c r="F28" s="169"/>
      <c r="G28" s="736"/>
      <c r="H28" s="704"/>
      <c r="I28" s="718"/>
      <c r="J28" s="709"/>
      <c r="K28" s="718"/>
      <c r="L28" s="44" t="s">
        <v>397</v>
      </c>
      <c r="M28" s="45" t="s">
        <v>398</v>
      </c>
      <c r="N28" s="46">
        <v>1</v>
      </c>
      <c r="O28" s="35"/>
      <c r="Q28" s="57"/>
      <c r="R28" s="35"/>
      <c r="T28" s="57"/>
      <c r="U28" s="43"/>
      <c r="V28" s="37"/>
      <c r="W28" s="38"/>
      <c r="X28" s="47">
        <f>ROUND((_11_A重度研修１．０*_11・２人),0)+ROUND((ROUND((_11_B重度研修１．０＿１．５*_11・２人),0)*(1+_11・B夜間)),0)+ROUND((ROUND((_11_C重度研修１．０＿１．５＿０．５*_11・２人),0)*(1+_11・C深夜)),0)</f>
        <v>664</v>
      </c>
      <c r="Y28" s="48"/>
    </row>
    <row r="29" spans="1:25" ht="16.5" customHeight="1" x14ac:dyDescent="0.15">
      <c r="A29" s="41">
        <v>11</v>
      </c>
      <c r="B29" s="41" t="s">
        <v>4065</v>
      </c>
      <c r="C29" s="74" t="s">
        <v>4066</v>
      </c>
      <c r="D29" s="72"/>
      <c r="F29" s="169"/>
      <c r="G29" s="736"/>
      <c r="H29" s="704"/>
      <c r="I29" s="718"/>
      <c r="J29" s="709"/>
      <c r="K29" s="718"/>
      <c r="L29" s="44"/>
      <c r="M29" s="45"/>
      <c r="N29" s="46"/>
      <c r="O29" s="35"/>
      <c r="Q29" s="57"/>
      <c r="R29" s="35"/>
      <c r="T29" s="57"/>
      <c r="U29" s="734" t="s">
        <v>404</v>
      </c>
      <c r="V29" s="49" t="s">
        <v>398</v>
      </c>
      <c r="W29" s="50">
        <f>_11・初任</f>
        <v>0.7</v>
      </c>
      <c r="X29" s="47">
        <f>ROUND((_11_A重度研修１．０*_11・初任),0)+ROUND((ROUND((_11_B重度研修１．０＿１．５*(1+_11・B夜間)),0)*_11・初任),0)+ROUND((ROUND((_11_C重度研修１．０＿１．５＿０．５*(1+_11・C深夜)),0)*_11・初任),0)</f>
        <v>466</v>
      </c>
      <c r="Y29" s="48"/>
    </row>
    <row r="30" spans="1:25" ht="16.5" customHeight="1" x14ac:dyDescent="0.15">
      <c r="A30" s="41">
        <v>11</v>
      </c>
      <c r="B30" s="41" t="s">
        <v>4067</v>
      </c>
      <c r="C30" s="74" t="s">
        <v>4068</v>
      </c>
      <c r="D30" s="72"/>
      <c r="F30" s="169"/>
      <c r="G30" s="99"/>
      <c r="H30" s="170">
        <f>_11_B重度研修１．０＿１．５</f>
        <v>273</v>
      </c>
      <c r="I30" s="12" t="s">
        <v>392</v>
      </c>
      <c r="J30" s="125">
        <f>_11_C重度研修１．０＿１．５＿０．５</f>
        <v>92</v>
      </c>
      <c r="K30" s="12" t="s">
        <v>392</v>
      </c>
      <c r="L30" s="44" t="s">
        <v>397</v>
      </c>
      <c r="M30" s="45" t="s">
        <v>398</v>
      </c>
      <c r="N30" s="46">
        <v>1</v>
      </c>
      <c r="O30" s="35"/>
      <c r="Q30" s="57"/>
      <c r="R30" s="35"/>
      <c r="T30" s="57"/>
      <c r="U30" s="706"/>
      <c r="V30" s="37"/>
      <c r="W30" s="38"/>
      <c r="X30" s="47">
        <f>ROUND((ROUND((_11_A重度研修１．０*_11・２人),0)*_11・初任),0)+ROUND((ROUND((ROUND((_11_B重度研修１．０＿１．５*_11・２人),0)*(1+_11・B夜間)),0)*_11・初任),0)+ROUND((ROUND((ROUND((_11_C重度研修１．０＿１．５＿０．５*_11・２人),0)*(1+_11・C深夜)),0)*_11・初任),0)</f>
        <v>466</v>
      </c>
      <c r="Y30" s="48"/>
    </row>
    <row r="31" spans="1:25" ht="16.5" customHeight="1" x14ac:dyDescent="0.15">
      <c r="A31" s="41">
        <v>11</v>
      </c>
      <c r="B31" s="41">
        <v>2355</v>
      </c>
      <c r="C31" s="74" t="s">
        <v>4069</v>
      </c>
      <c r="D31" s="707" t="s">
        <v>3739</v>
      </c>
      <c r="E31" s="708"/>
      <c r="F31" s="740"/>
      <c r="G31" s="735" t="s">
        <v>3711</v>
      </c>
      <c r="H31" s="708"/>
      <c r="I31" s="717"/>
      <c r="J31" s="707" t="s">
        <v>1617</v>
      </c>
      <c r="K31" s="717"/>
      <c r="L31" s="44"/>
      <c r="M31" s="45"/>
      <c r="N31" s="46"/>
      <c r="O31" s="35"/>
      <c r="Q31" s="57"/>
      <c r="R31" s="35"/>
      <c r="T31" s="57"/>
      <c r="U31" s="53"/>
      <c r="V31" s="49"/>
      <c r="W31" s="50"/>
      <c r="X31" s="47">
        <f>_11_A重度研修１．５+ROUND((_11_B重度研修１．５＿０．５*(1+_11・B夜間)),0)+ROUND((_11_C重度研修１．５＿０．５＿０．５*(1+_11・C深夜)),0)</f>
        <v>527</v>
      </c>
      <c r="Y31" s="48"/>
    </row>
    <row r="32" spans="1:25" ht="16.5" customHeight="1" x14ac:dyDescent="0.15">
      <c r="A32" s="41">
        <v>11</v>
      </c>
      <c r="B32" s="41">
        <v>2356</v>
      </c>
      <c r="C32" s="74" t="s">
        <v>4070</v>
      </c>
      <c r="D32" s="709"/>
      <c r="E32" s="704"/>
      <c r="F32" s="739"/>
      <c r="G32" s="736"/>
      <c r="H32" s="704"/>
      <c r="I32" s="718"/>
      <c r="J32" s="709"/>
      <c r="K32" s="718"/>
      <c r="L32" s="44" t="s">
        <v>397</v>
      </c>
      <c r="M32" s="45" t="s">
        <v>398</v>
      </c>
      <c r="N32" s="46">
        <v>1</v>
      </c>
      <c r="O32" s="35"/>
      <c r="Q32" s="57"/>
      <c r="R32" s="35"/>
      <c r="T32" s="57"/>
      <c r="U32" s="43"/>
      <c r="V32" s="37"/>
      <c r="W32" s="38"/>
      <c r="X32" s="47">
        <f>ROUND((_11_A重度研修１．５*_11・２人),0)+ROUND((ROUND((_11_B重度研修１．５＿０．５*_11・２人),0)*(1+_11・B夜間)),0)+ROUND((ROUND((_11_C重度研修１．５＿０．５＿０．５*_11・２人),0)*(1+_11・C深夜)),0)</f>
        <v>527</v>
      </c>
      <c r="Y32" s="48"/>
    </row>
    <row r="33" spans="1:25" ht="16.5" customHeight="1" x14ac:dyDescent="0.15">
      <c r="A33" s="41">
        <v>11</v>
      </c>
      <c r="B33" s="41" t="s">
        <v>4071</v>
      </c>
      <c r="C33" s="74" t="s">
        <v>4072</v>
      </c>
      <c r="D33" s="709"/>
      <c r="E33" s="704"/>
      <c r="F33" s="739"/>
      <c r="G33" s="736"/>
      <c r="H33" s="704"/>
      <c r="I33" s="718"/>
      <c r="J33" s="709"/>
      <c r="K33" s="718"/>
      <c r="L33" s="44"/>
      <c r="M33" s="45"/>
      <c r="N33" s="46"/>
      <c r="O33" s="35"/>
      <c r="Q33" s="57"/>
      <c r="R33" s="35"/>
      <c r="T33" s="57"/>
      <c r="U33" s="734" t="s">
        <v>404</v>
      </c>
      <c r="V33" s="49" t="s">
        <v>398</v>
      </c>
      <c r="W33" s="50">
        <f>_11・初任</f>
        <v>0.7</v>
      </c>
      <c r="X33" s="47">
        <f>ROUND((_11_A重度研修１．５*_11・初任),0)+ROUND((ROUND((_11_B重度研修１．５＿０．５*(1+_11・B夜間)),0)*_11・初任),0)+ROUND((ROUND((_11_C重度研修１．５＿０．５＿０．５*(1+_11・C深夜)),0)*_11・初任),0)</f>
        <v>370</v>
      </c>
      <c r="Y33" s="48"/>
    </row>
    <row r="34" spans="1:25" ht="16.5" customHeight="1" x14ac:dyDescent="0.15">
      <c r="A34" s="41">
        <v>11</v>
      </c>
      <c r="B34" s="41" t="s">
        <v>4073</v>
      </c>
      <c r="C34" s="74" t="s">
        <v>4074</v>
      </c>
      <c r="D34" s="72"/>
      <c r="E34" s="170">
        <f>_11_A重度研修１．５</f>
        <v>275</v>
      </c>
      <c r="F34" s="171" t="s">
        <v>392</v>
      </c>
      <c r="G34" s="12"/>
      <c r="H34" s="170">
        <f>_11_B重度研修１．５＿０．５</f>
        <v>92</v>
      </c>
      <c r="I34" s="12" t="s">
        <v>392</v>
      </c>
      <c r="J34" s="125">
        <f>_11_C重度研修１．５＿０．５＿０．５</f>
        <v>91</v>
      </c>
      <c r="K34" s="12" t="s">
        <v>392</v>
      </c>
      <c r="L34" s="44" t="s">
        <v>397</v>
      </c>
      <c r="M34" s="45" t="s">
        <v>398</v>
      </c>
      <c r="N34" s="46">
        <v>1</v>
      </c>
      <c r="O34" s="35"/>
      <c r="Q34" s="57"/>
      <c r="R34" s="35"/>
      <c r="T34" s="57"/>
      <c r="U34" s="706"/>
      <c r="V34" s="37"/>
      <c r="W34" s="38"/>
      <c r="X34" s="47">
        <f>ROUND((ROUND((_11_A重度研修１．５*_11・２人),0)*_11・初任),0)+ROUND((ROUND((ROUND((_11_B重度研修１．５＿０．５*_11・２人),0)*(1+_11・B夜間)),0)*_11・初任),0)+ROUND((ROUND((ROUND((_11_C重度研修１．５＿０．５＿０．５*_11・２人),0)*(1+_11・C深夜)),0)*_11・初任),0)</f>
        <v>370</v>
      </c>
      <c r="Y34" s="48"/>
    </row>
    <row r="35" spans="1:25" ht="16.5" customHeight="1" x14ac:dyDescent="0.15">
      <c r="A35" s="41">
        <v>11</v>
      </c>
      <c r="B35" s="41">
        <v>2357</v>
      </c>
      <c r="C35" s="74" t="s">
        <v>4075</v>
      </c>
      <c r="D35" s="72"/>
      <c r="F35" s="169"/>
      <c r="G35" s="99"/>
      <c r="I35" s="99"/>
      <c r="J35" s="707" t="s">
        <v>1695</v>
      </c>
      <c r="K35" s="717"/>
      <c r="L35" s="44"/>
      <c r="M35" s="45"/>
      <c r="N35" s="46"/>
      <c r="O35" s="35"/>
      <c r="Q35" s="57"/>
      <c r="R35" s="35"/>
      <c r="T35" s="57"/>
      <c r="U35" s="53"/>
      <c r="V35" s="49"/>
      <c r="W35" s="50"/>
      <c r="X35" s="47">
        <f>_11_A重度研修１．５+ROUND((_11_B重度研修１．５＿０．５*(1+_11・B夜間)),0)+ROUND((_11_C重度研修１．５＿０．５＿１．０*(1+_11・C深夜)),0)</f>
        <v>665</v>
      </c>
      <c r="Y35" s="48"/>
    </row>
    <row r="36" spans="1:25" ht="16.5" customHeight="1" x14ac:dyDescent="0.15">
      <c r="A36" s="41">
        <v>11</v>
      </c>
      <c r="B36" s="41">
        <v>2358</v>
      </c>
      <c r="C36" s="74" t="s">
        <v>4076</v>
      </c>
      <c r="D36" s="72"/>
      <c r="F36" s="169"/>
      <c r="G36" s="99"/>
      <c r="I36" s="99"/>
      <c r="J36" s="709"/>
      <c r="K36" s="718"/>
      <c r="L36" s="44" t="s">
        <v>397</v>
      </c>
      <c r="M36" s="45" t="s">
        <v>398</v>
      </c>
      <c r="N36" s="46">
        <v>1</v>
      </c>
      <c r="O36" s="35"/>
      <c r="Q36" s="57"/>
      <c r="R36" s="35"/>
      <c r="T36" s="57"/>
      <c r="U36" s="43"/>
      <c r="V36" s="37"/>
      <c r="W36" s="38"/>
      <c r="X36" s="47">
        <f>ROUND((_11_A重度研修１．５*_11・２人),0)+ROUND((ROUND((_11_B重度研修１．５＿０．５*_11・２人),0)*(1+_11・B夜間)),0)+ROUND((ROUND((_11_C重度研修１．５＿０．５＿１．０*_11・２人),0)*(1+_11・C深夜)),0)</f>
        <v>665</v>
      </c>
      <c r="Y36" s="48"/>
    </row>
    <row r="37" spans="1:25" ht="16.5" customHeight="1" x14ac:dyDescent="0.15">
      <c r="A37" s="41">
        <v>11</v>
      </c>
      <c r="B37" s="41" t="s">
        <v>4077</v>
      </c>
      <c r="C37" s="74" t="s">
        <v>4078</v>
      </c>
      <c r="D37" s="72"/>
      <c r="F37" s="169"/>
      <c r="G37" s="99"/>
      <c r="I37" s="99"/>
      <c r="J37" s="709"/>
      <c r="K37" s="718"/>
      <c r="L37" s="44"/>
      <c r="M37" s="45"/>
      <c r="N37" s="46"/>
      <c r="O37" s="35"/>
      <c r="Q37" s="57"/>
      <c r="R37" s="35"/>
      <c r="T37" s="57"/>
      <c r="U37" s="734" t="s">
        <v>404</v>
      </c>
      <c r="V37" s="49" t="s">
        <v>398</v>
      </c>
      <c r="W37" s="50">
        <f>_11・初任</f>
        <v>0.7</v>
      </c>
      <c r="X37" s="47">
        <f>ROUND((_11_A重度研修１．５*_11・初任),0)+ROUND((ROUND((_11_B重度研修１．５＿０．５*(1+_11・B夜間)),0)*_11・初任),0)+ROUND((ROUND((_11_C重度研修１．５＿０．５＿１．０*(1+_11・C深夜)),0)*_11・初任),0)</f>
        <v>467</v>
      </c>
      <c r="Y37" s="48"/>
    </row>
    <row r="38" spans="1:25" ht="16.5" customHeight="1" x14ac:dyDescent="0.15">
      <c r="A38" s="41">
        <v>11</v>
      </c>
      <c r="B38" s="41" t="s">
        <v>4079</v>
      </c>
      <c r="C38" s="74" t="s">
        <v>4080</v>
      </c>
      <c r="D38" s="72"/>
      <c r="F38" s="169"/>
      <c r="G38" s="99"/>
      <c r="I38" s="99"/>
      <c r="J38" s="125">
        <f>_11_C重度研修１．５＿０．５＿１．０</f>
        <v>183</v>
      </c>
      <c r="K38" s="12" t="s">
        <v>392</v>
      </c>
      <c r="L38" s="44" t="s">
        <v>397</v>
      </c>
      <c r="M38" s="45" t="s">
        <v>398</v>
      </c>
      <c r="N38" s="46">
        <v>1</v>
      </c>
      <c r="O38" s="35"/>
      <c r="Q38" s="57"/>
      <c r="R38" s="35"/>
      <c r="T38" s="57"/>
      <c r="U38" s="706"/>
      <c r="V38" s="37"/>
      <c r="W38" s="38"/>
      <c r="X38" s="47">
        <f>ROUND((ROUND((_11_A重度研修１．５*_11・２人),0)*_11・初任),0)+ROUND((ROUND((ROUND((_11_B重度研修１．５＿０．５*_11・２人),0)*(1+_11・B夜間)),0)*_11・初任),0)+ROUND((ROUND((ROUND((_11_C重度研修１．５＿０．５＿１．０*_11・２人),0)*(1+_11・C深夜)),0)*_11・初任),0)</f>
        <v>467</v>
      </c>
      <c r="Y38" s="48"/>
    </row>
    <row r="39" spans="1:25" ht="16.5" customHeight="1" x14ac:dyDescent="0.15">
      <c r="A39" s="41">
        <v>11</v>
      </c>
      <c r="B39" s="41">
        <v>2359</v>
      </c>
      <c r="C39" s="74" t="s">
        <v>4081</v>
      </c>
      <c r="D39" s="72"/>
      <c r="F39" s="169"/>
      <c r="G39" s="735" t="s">
        <v>3718</v>
      </c>
      <c r="H39" s="708"/>
      <c r="I39" s="717"/>
      <c r="J39" s="707" t="s">
        <v>1617</v>
      </c>
      <c r="K39" s="717"/>
      <c r="L39" s="44"/>
      <c r="M39" s="45"/>
      <c r="N39" s="46"/>
      <c r="O39" s="35"/>
      <c r="Q39" s="57"/>
      <c r="R39" s="35"/>
      <c r="T39" s="57"/>
      <c r="U39" s="53"/>
      <c r="V39" s="49"/>
      <c r="W39" s="50"/>
      <c r="X39" s="47">
        <f>_11_A重度研修１．５+ROUND((_11_B重度研修１．５＿１．０*(1+_11・B夜間)),0)+ROUND((_11_C重度研修１．５＿１．０＿０．５*(1+_11・C深夜)),0)</f>
        <v>642</v>
      </c>
      <c r="Y39" s="48"/>
    </row>
    <row r="40" spans="1:25" ht="16.5" customHeight="1" x14ac:dyDescent="0.15">
      <c r="A40" s="41">
        <v>11</v>
      </c>
      <c r="B40" s="41">
        <v>2360</v>
      </c>
      <c r="C40" s="74" t="s">
        <v>4082</v>
      </c>
      <c r="D40" s="72"/>
      <c r="F40" s="169"/>
      <c r="G40" s="736"/>
      <c r="H40" s="704"/>
      <c r="I40" s="718"/>
      <c r="J40" s="709"/>
      <c r="K40" s="718"/>
      <c r="L40" s="44" t="s">
        <v>397</v>
      </c>
      <c r="M40" s="45" t="s">
        <v>398</v>
      </c>
      <c r="N40" s="46">
        <v>1</v>
      </c>
      <c r="O40" s="35"/>
      <c r="Q40" s="57"/>
      <c r="R40" s="35"/>
      <c r="T40" s="57"/>
      <c r="U40" s="43"/>
      <c r="V40" s="37"/>
      <c r="W40" s="38"/>
      <c r="X40" s="47">
        <f>ROUND((_11_A重度研修１．５*_11・２人),0)+ROUND((ROUND((_11_B重度研修１．５＿１．０*_11・２人),0)*(1+_11・B夜間)),0)+ROUND((ROUND((_11_C重度研修１．５＿１．０＿０．５*_11・２人),0)*(1+_11・C深夜)),0)</f>
        <v>642</v>
      </c>
      <c r="Y40" s="48"/>
    </row>
    <row r="41" spans="1:25" ht="16.5" customHeight="1" x14ac:dyDescent="0.15">
      <c r="A41" s="41">
        <v>11</v>
      </c>
      <c r="B41" s="41" t="s">
        <v>4083</v>
      </c>
      <c r="C41" s="74" t="s">
        <v>4084</v>
      </c>
      <c r="D41" s="72"/>
      <c r="F41" s="169"/>
      <c r="G41" s="736"/>
      <c r="H41" s="704"/>
      <c r="I41" s="718"/>
      <c r="J41" s="709"/>
      <c r="K41" s="718"/>
      <c r="L41" s="44"/>
      <c r="M41" s="45"/>
      <c r="N41" s="46"/>
      <c r="O41" s="35"/>
      <c r="Q41" s="57"/>
      <c r="R41" s="35"/>
      <c r="T41" s="57"/>
      <c r="U41" s="734" t="s">
        <v>404</v>
      </c>
      <c r="V41" s="49" t="s">
        <v>398</v>
      </c>
      <c r="W41" s="50">
        <f>_11・初任</f>
        <v>0.7</v>
      </c>
      <c r="X41" s="47">
        <f>ROUND((_11_A重度研修１．５*_11・初任),0)+ROUND((ROUND((_11_B重度研修１．５＿１．０*(1+_11・B夜間)),0)*_11・初任),0)+ROUND((ROUND((_11_C重度研修１．５＿１．０＿０．５*(1+_11・C深夜)),0)*_11・初任),0)</f>
        <v>450</v>
      </c>
      <c r="Y41" s="48"/>
    </row>
    <row r="42" spans="1:25" ht="16.5" customHeight="1" x14ac:dyDescent="0.15">
      <c r="A42" s="41">
        <v>11</v>
      </c>
      <c r="B42" s="41" t="s">
        <v>4085</v>
      </c>
      <c r="C42" s="74" t="s">
        <v>4086</v>
      </c>
      <c r="D42" s="72"/>
      <c r="F42" s="169"/>
      <c r="G42" s="99"/>
      <c r="H42" s="170">
        <f>_11_B重度研修１．５＿１．０</f>
        <v>183</v>
      </c>
      <c r="I42" s="12" t="s">
        <v>392</v>
      </c>
      <c r="J42" s="125">
        <f>_11_C重度研修１．５＿１．０＿０．５</f>
        <v>92</v>
      </c>
      <c r="K42" s="12" t="s">
        <v>392</v>
      </c>
      <c r="L42" s="44" t="s">
        <v>397</v>
      </c>
      <c r="M42" s="45" t="s">
        <v>398</v>
      </c>
      <c r="N42" s="46">
        <v>1</v>
      </c>
      <c r="O42" s="35"/>
      <c r="Q42" s="57"/>
      <c r="R42" s="35"/>
      <c r="T42" s="57"/>
      <c r="U42" s="706"/>
      <c r="V42" s="37"/>
      <c r="W42" s="38"/>
      <c r="X42" s="47">
        <f>ROUND((ROUND((_11_A重度研修１．５*_11・２人),0)*_11・初任),0)+ROUND((ROUND((ROUND((_11_B重度研修１．５＿１．０*_11・２人),0)*(1+_11・B夜間)),0)*_11・初任),0)+ROUND((ROUND((ROUND((_11_C重度研修１．５＿１．０＿０．５*_11・２人),0)*(1+_11・C深夜)),0)*_11・初任),0)</f>
        <v>450</v>
      </c>
      <c r="Y42" s="48"/>
    </row>
    <row r="43" spans="1:25" ht="16.5" customHeight="1" x14ac:dyDescent="0.15">
      <c r="A43" s="41">
        <v>11</v>
      </c>
      <c r="B43" s="41">
        <v>2363</v>
      </c>
      <c r="C43" s="74" t="s">
        <v>4087</v>
      </c>
      <c r="D43" s="707" t="s">
        <v>3758</v>
      </c>
      <c r="E43" s="708"/>
      <c r="F43" s="740"/>
      <c r="G43" s="735" t="s">
        <v>3711</v>
      </c>
      <c r="H43" s="708"/>
      <c r="I43" s="717"/>
      <c r="J43" s="707" t="s">
        <v>1617</v>
      </c>
      <c r="K43" s="717"/>
      <c r="L43" s="44"/>
      <c r="M43" s="45"/>
      <c r="N43" s="46"/>
      <c r="O43" s="35"/>
      <c r="Q43" s="57"/>
      <c r="R43" s="35"/>
      <c r="T43" s="57"/>
      <c r="U43" s="53"/>
      <c r="V43" s="49"/>
      <c r="W43" s="50"/>
      <c r="X43" s="47">
        <f>_11_A重度研修２．０+ROUND((_11_B重度研修２．０＿０．５*(1+_11・B夜間)),0)+ROUND((_11_C重度研修２．０＿０．５＿０．５*(1+_11・C深夜)),0)</f>
        <v>619</v>
      </c>
      <c r="Y43" s="48"/>
    </row>
    <row r="44" spans="1:25" ht="16.5" customHeight="1" x14ac:dyDescent="0.15">
      <c r="A44" s="41">
        <v>11</v>
      </c>
      <c r="B44" s="41">
        <v>2364</v>
      </c>
      <c r="C44" s="74" t="s">
        <v>4088</v>
      </c>
      <c r="D44" s="709"/>
      <c r="E44" s="704"/>
      <c r="F44" s="739"/>
      <c r="G44" s="736"/>
      <c r="H44" s="704"/>
      <c r="I44" s="718"/>
      <c r="J44" s="709"/>
      <c r="K44" s="718"/>
      <c r="L44" s="44" t="s">
        <v>397</v>
      </c>
      <c r="M44" s="45" t="s">
        <v>398</v>
      </c>
      <c r="N44" s="46">
        <v>1</v>
      </c>
      <c r="O44" s="35"/>
      <c r="Q44" s="57"/>
      <c r="R44" s="35"/>
      <c r="T44" s="57"/>
      <c r="U44" s="43"/>
      <c r="V44" s="37"/>
      <c r="W44" s="38"/>
      <c r="X44" s="47">
        <f>ROUND((_11_A重度研修２．０*_11・２人),0)+ROUND((ROUND((_11_B重度研修２．０＿０．５*_11・２人),0)*(1+_11・B夜間)),0)+ROUND((ROUND((_11_C重度研修２．０＿０．５＿０．５*_11・２人),0)*(1+_11・C深夜)),0)</f>
        <v>619</v>
      </c>
      <c r="Y44" s="48"/>
    </row>
    <row r="45" spans="1:25" ht="16.5" customHeight="1" x14ac:dyDescent="0.15">
      <c r="A45" s="41">
        <v>11</v>
      </c>
      <c r="B45" s="41" t="s">
        <v>4089</v>
      </c>
      <c r="C45" s="74" t="s">
        <v>4090</v>
      </c>
      <c r="D45" s="709"/>
      <c r="E45" s="704"/>
      <c r="F45" s="739"/>
      <c r="G45" s="736"/>
      <c r="H45" s="704"/>
      <c r="I45" s="718"/>
      <c r="J45" s="709"/>
      <c r="K45" s="718"/>
      <c r="L45" s="44"/>
      <c r="M45" s="45"/>
      <c r="N45" s="46"/>
      <c r="O45" s="35"/>
      <c r="Q45" s="57"/>
      <c r="R45" s="35"/>
      <c r="T45" s="57"/>
      <c r="U45" s="734" t="s">
        <v>404</v>
      </c>
      <c r="V45" s="49" t="s">
        <v>398</v>
      </c>
      <c r="W45" s="50">
        <f>_11・初任</f>
        <v>0.7</v>
      </c>
      <c r="X45" s="47">
        <f>ROUND((_11_A重度研修２．０*_11・初任),0)+ROUND((ROUND((_11_B重度研修２．０＿０．５*(1+_11・B夜間)),0)*_11・初任),0)+ROUND((ROUND((_11_C重度研修２．０＿０．５＿０．５*(1+_11・C深夜)),0)*_11・初任),0)</f>
        <v>434</v>
      </c>
      <c r="Y45" s="48"/>
    </row>
    <row r="46" spans="1:25" ht="16.5" customHeight="1" x14ac:dyDescent="0.15">
      <c r="A46" s="41">
        <v>11</v>
      </c>
      <c r="B46" s="41" t="s">
        <v>4091</v>
      </c>
      <c r="C46" s="74" t="s">
        <v>4092</v>
      </c>
      <c r="D46" s="122"/>
      <c r="E46" s="176">
        <f>_11_A重度研修２．０</f>
        <v>367</v>
      </c>
      <c r="F46" s="175" t="s">
        <v>392</v>
      </c>
      <c r="G46" s="37"/>
      <c r="H46" s="176">
        <f>_11_B重度研修２．０＿０．５</f>
        <v>91</v>
      </c>
      <c r="I46" s="37" t="s">
        <v>392</v>
      </c>
      <c r="J46" s="186">
        <f>_11_C重度研修２．０＿０．５＿０．５</f>
        <v>92</v>
      </c>
      <c r="K46" s="37" t="s">
        <v>392</v>
      </c>
      <c r="L46" s="44" t="s">
        <v>397</v>
      </c>
      <c r="M46" s="45" t="s">
        <v>398</v>
      </c>
      <c r="N46" s="46">
        <v>1</v>
      </c>
      <c r="O46" s="43"/>
      <c r="P46" s="38"/>
      <c r="Q46" s="79"/>
      <c r="R46" s="43"/>
      <c r="S46" s="38"/>
      <c r="T46" s="79"/>
      <c r="U46" s="706"/>
      <c r="V46" s="37"/>
      <c r="W46" s="38"/>
      <c r="X46" s="47">
        <f>ROUND((ROUND((_11_A重度研修２．０*_11・２人),0)*_11・初任),0)+ROUND((ROUND((ROUND((_11_B重度研修２．０＿０．５*_11・２人),0)*(1+_11・B夜間)),0)*_11・初任),0)+ROUND((ROUND((ROUND((_11_C重度研修２．０＿０．５＿０．５*_11・２人),0)*(1+_11・C深夜)),0)*_11・初任),0)</f>
        <v>434</v>
      </c>
      <c r="Y46" s="63"/>
    </row>
    <row r="47" spans="1:25" ht="16.5" customHeight="1" x14ac:dyDescent="0.15"/>
    <row r="48" spans="1:25" ht="16.5" customHeight="1" x14ac:dyDescent="0.15"/>
  </sheetData>
  <mergeCells count="31">
    <mergeCell ref="J39:K41"/>
    <mergeCell ref="U41:U42"/>
    <mergeCell ref="D43:F45"/>
    <mergeCell ref="G43:I45"/>
    <mergeCell ref="J43:K45"/>
    <mergeCell ref="U45:U46"/>
    <mergeCell ref="G39:I41"/>
    <mergeCell ref="J23:K25"/>
    <mergeCell ref="U25:U26"/>
    <mergeCell ref="G27:I29"/>
    <mergeCell ref="J27:K29"/>
    <mergeCell ref="U29:U30"/>
    <mergeCell ref="D31:F33"/>
    <mergeCell ref="G31:I33"/>
    <mergeCell ref="J31:K33"/>
    <mergeCell ref="U33:U34"/>
    <mergeCell ref="J35:K37"/>
    <mergeCell ref="U37:U38"/>
    <mergeCell ref="J11:K13"/>
    <mergeCell ref="U13:U14"/>
    <mergeCell ref="J15:K17"/>
    <mergeCell ref="U17:U18"/>
    <mergeCell ref="G19:I21"/>
    <mergeCell ref="J19:K21"/>
    <mergeCell ref="U21:U22"/>
    <mergeCell ref="U9:U10"/>
    <mergeCell ref="G6:I6"/>
    <mergeCell ref="J6:K6"/>
    <mergeCell ref="D7:F9"/>
    <mergeCell ref="G7:I9"/>
    <mergeCell ref="J7:K9"/>
  </mergeCells>
  <phoneticPr fontId="1"/>
  <printOptions horizontalCentered="1"/>
  <pageMargins left="0.70866141732283472" right="0.70866141732283472" top="0.74803149606299213" bottom="0.74803149606299213" header="0.31496062992125984" footer="0.31496062992125984"/>
  <pageSetup paperSize="9" scale="45" fitToHeight="0" orientation="portrait" r:id="rId1"/>
  <headerFooter>
    <oddHeader>&amp;R&amp;"ＭＳ Ｐゴシック"&amp;9居宅介護</oddHeader>
    <oddFooter>&amp;C&amp;"ＭＳ Ｐゴシック"&amp;14&amp;P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P117"/>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6.5" style="10" bestFit="1" customWidth="1"/>
    <col min="4" max="4" width="6" style="10" bestFit="1" customWidth="1"/>
    <col min="5" max="5" width="5.5" style="117" bestFit="1" customWidth="1"/>
    <col min="6" max="6" width="25.5" style="14" bestFit="1" customWidth="1"/>
    <col min="7" max="7" width="3.5" style="12" bestFit="1" customWidth="1"/>
    <col min="8" max="8" width="5.5" style="13" bestFit="1" customWidth="1"/>
    <col min="9" max="9" width="3.5" style="12" bestFit="1" customWidth="1"/>
    <col min="10" max="10" width="4.5" style="13" bestFit="1" customWidth="1"/>
    <col min="11" max="11" width="5.5" style="12" bestFit="1" customWidth="1"/>
    <col min="12" max="12" width="17.875" style="12" customWidth="1"/>
    <col min="13" max="13" width="3.5" style="12" bestFit="1" customWidth="1"/>
    <col min="14" max="14" width="4.5" style="13" bestFit="1" customWidth="1"/>
    <col min="15" max="15" width="7.125" style="15" customWidth="1"/>
    <col min="16" max="16" width="8.5" style="16" customWidth="1"/>
    <col min="17" max="16384" width="8.875" style="12"/>
  </cols>
  <sheetData>
    <row r="1" spans="1:16" ht="17.100000000000001" customHeight="1" x14ac:dyDescent="0.15"/>
    <row r="2" spans="1:16" ht="17.100000000000001" customHeight="1" x14ac:dyDescent="0.15"/>
    <row r="3" spans="1:16" ht="17.100000000000001" customHeight="1" x14ac:dyDescent="0.15"/>
    <row r="4" spans="1:16" ht="17.100000000000001" customHeight="1" x14ac:dyDescent="0.15">
      <c r="B4" s="17" t="s">
        <v>4093</v>
      </c>
      <c r="D4" s="71"/>
    </row>
    <row r="5" spans="1:16" ht="16.5" customHeight="1" x14ac:dyDescent="0.15">
      <c r="A5" s="19" t="s">
        <v>384</v>
      </c>
      <c r="B5" s="20"/>
      <c r="C5" s="21" t="s">
        <v>385</v>
      </c>
      <c r="D5" s="23" t="s">
        <v>386</v>
      </c>
      <c r="E5" s="118"/>
      <c r="F5" s="23"/>
      <c r="G5" s="23"/>
      <c r="H5" s="24"/>
      <c r="I5" s="23"/>
      <c r="J5" s="24"/>
      <c r="K5" s="23"/>
      <c r="L5" s="23"/>
      <c r="M5" s="23"/>
      <c r="N5" s="24"/>
      <c r="O5" s="25" t="s">
        <v>387</v>
      </c>
      <c r="P5" s="21" t="s">
        <v>388</v>
      </c>
    </row>
    <row r="6" spans="1:16" ht="16.5" customHeight="1" x14ac:dyDescent="0.15">
      <c r="A6" s="26" t="s">
        <v>389</v>
      </c>
      <c r="B6" s="26" t="s">
        <v>390</v>
      </c>
      <c r="C6" s="27"/>
      <c r="D6" s="29"/>
      <c r="E6" s="120"/>
      <c r="F6" s="29"/>
      <c r="G6" s="29"/>
      <c r="H6" s="30"/>
      <c r="I6" s="29"/>
      <c r="J6" s="30"/>
      <c r="K6" s="29"/>
      <c r="L6" s="29"/>
      <c r="M6" s="29"/>
      <c r="N6" s="30"/>
      <c r="O6" s="31" t="s">
        <v>391</v>
      </c>
      <c r="P6" s="32" t="s">
        <v>392</v>
      </c>
    </row>
    <row r="7" spans="1:16" ht="16.5" customHeight="1" x14ac:dyDescent="0.15">
      <c r="A7" s="33">
        <v>11</v>
      </c>
      <c r="B7" s="33">
        <v>2133</v>
      </c>
      <c r="C7" s="34" t="s">
        <v>4094</v>
      </c>
      <c r="D7" s="709" t="s">
        <v>394</v>
      </c>
      <c r="E7" s="718"/>
      <c r="F7" s="36"/>
      <c r="G7" s="37"/>
      <c r="H7" s="38"/>
      <c r="I7" s="35"/>
      <c r="K7" s="57"/>
      <c r="L7" s="35"/>
      <c r="O7" s="39">
        <f>_11_A重度研修増０．５</f>
        <v>86</v>
      </c>
      <c r="P7" s="40" t="s">
        <v>395</v>
      </c>
    </row>
    <row r="8" spans="1:16" ht="16.5" customHeight="1" x14ac:dyDescent="0.15">
      <c r="A8" s="41">
        <v>11</v>
      </c>
      <c r="B8" s="41">
        <v>2134</v>
      </c>
      <c r="C8" s="74" t="s">
        <v>4095</v>
      </c>
      <c r="D8" s="709"/>
      <c r="E8" s="718"/>
      <c r="F8" s="44" t="s">
        <v>397</v>
      </c>
      <c r="G8" s="45" t="s">
        <v>398</v>
      </c>
      <c r="H8" s="46">
        <v>1</v>
      </c>
      <c r="I8" s="35"/>
      <c r="K8" s="57"/>
      <c r="L8" s="43"/>
      <c r="M8" s="37"/>
      <c r="N8" s="38"/>
      <c r="O8" s="47">
        <f>ROUND((_11_A重度研修増０．５*_11・２人),0)</f>
        <v>86</v>
      </c>
      <c r="P8" s="48"/>
    </row>
    <row r="9" spans="1:16" ht="16.5" customHeight="1" x14ac:dyDescent="0.15">
      <c r="A9" s="41">
        <v>11</v>
      </c>
      <c r="B9" s="41" t="s">
        <v>4096</v>
      </c>
      <c r="C9" s="74" t="s">
        <v>4097</v>
      </c>
      <c r="D9" s="709"/>
      <c r="E9" s="718"/>
      <c r="F9" s="44"/>
      <c r="G9" s="45"/>
      <c r="H9" s="46"/>
      <c r="I9" s="35"/>
      <c r="K9" s="57"/>
      <c r="L9" s="734" t="s">
        <v>404</v>
      </c>
      <c r="M9" s="49" t="s">
        <v>398</v>
      </c>
      <c r="N9" s="50">
        <f>_11・初任</f>
        <v>0.7</v>
      </c>
      <c r="O9" s="47">
        <f>ROUND((_11_A重度研修増０．５*_11・初任),0)</f>
        <v>60</v>
      </c>
      <c r="P9" s="48"/>
    </row>
    <row r="10" spans="1:16" ht="16.5" customHeight="1" x14ac:dyDescent="0.15">
      <c r="A10" s="41">
        <v>11</v>
      </c>
      <c r="B10" s="41" t="s">
        <v>4098</v>
      </c>
      <c r="C10" s="74" t="s">
        <v>4099</v>
      </c>
      <c r="D10" s="125">
        <f>_11_A重度研修増０．５</f>
        <v>86</v>
      </c>
      <c r="E10" s="99" t="s">
        <v>392</v>
      </c>
      <c r="F10" s="44" t="s">
        <v>397</v>
      </c>
      <c r="G10" s="45" t="s">
        <v>398</v>
      </c>
      <c r="H10" s="46">
        <v>1</v>
      </c>
      <c r="I10" s="35"/>
      <c r="K10" s="57"/>
      <c r="L10" s="706"/>
      <c r="M10" s="37"/>
      <c r="N10" s="38"/>
      <c r="O10" s="47">
        <f>ROUND((ROUND((_11_A重度研修増０．５*_11・２人),0)*_11・初任),0)</f>
        <v>60</v>
      </c>
      <c r="P10" s="48"/>
    </row>
    <row r="11" spans="1:16" ht="16.5" customHeight="1" x14ac:dyDescent="0.15">
      <c r="A11" s="41">
        <v>11</v>
      </c>
      <c r="B11" s="41">
        <v>2135</v>
      </c>
      <c r="C11" s="74" t="s">
        <v>4100</v>
      </c>
      <c r="D11" s="707" t="s">
        <v>412</v>
      </c>
      <c r="E11" s="717"/>
      <c r="F11" s="44"/>
      <c r="G11" s="45"/>
      <c r="H11" s="46"/>
      <c r="I11" s="35"/>
      <c r="K11" s="57"/>
      <c r="L11" s="53"/>
      <c r="M11" s="49"/>
      <c r="N11" s="50"/>
      <c r="O11" s="47">
        <f>_11_A重度研修増１．０</f>
        <v>172</v>
      </c>
      <c r="P11" s="48"/>
    </row>
    <row r="12" spans="1:16" ht="16.5" customHeight="1" x14ac:dyDescent="0.15">
      <c r="A12" s="41">
        <v>11</v>
      </c>
      <c r="B12" s="41">
        <v>2136</v>
      </c>
      <c r="C12" s="74" t="s">
        <v>4101</v>
      </c>
      <c r="D12" s="709"/>
      <c r="E12" s="718"/>
      <c r="F12" s="44" t="s">
        <v>397</v>
      </c>
      <c r="G12" s="45" t="s">
        <v>398</v>
      </c>
      <c r="H12" s="46">
        <v>1</v>
      </c>
      <c r="I12" s="35"/>
      <c r="K12" s="57"/>
      <c r="L12" s="43"/>
      <c r="M12" s="37"/>
      <c r="N12" s="38"/>
      <c r="O12" s="47">
        <f>ROUND((_11_A重度研修増１．０*_11・２人),0)</f>
        <v>172</v>
      </c>
      <c r="P12" s="48"/>
    </row>
    <row r="13" spans="1:16" ht="16.5" customHeight="1" x14ac:dyDescent="0.15">
      <c r="A13" s="41">
        <v>11</v>
      </c>
      <c r="B13" s="41" t="s">
        <v>4102</v>
      </c>
      <c r="C13" s="74" t="s">
        <v>4103</v>
      </c>
      <c r="D13" s="709"/>
      <c r="E13" s="718"/>
      <c r="F13" s="44"/>
      <c r="G13" s="45"/>
      <c r="H13" s="46"/>
      <c r="I13" s="35"/>
      <c r="K13" s="57"/>
      <c r="L13" s="734" t="s">
        <v>404</v>
      </c>
      <c r="M13" s="49" t="s">
        <v>398</v>
      </c>
      <c r="N13" s="50">
        <f>_11・初任</f>
        <v>0.7</v>
      </c>
      <c r="O13" s="47">
        <f>ROUND((_11_A重度研修増１．０*_11・初任),0)</f>
        <v>120</v>
      </c>
      <c r="P13" s="48"/>
    </row>
    <row r="14" spans="1:16" ht="16.5" customHeight="1" x14ac:dyDescent="0.15">
      <c r="A14" s="41">
        <v>11</v>
      </c>
      <c r="B14" s="41" t="s">
        <v>4104</v>
      </c>
      <c r="C14" s="74" t="s">
        <v>4105</v>
      </c>
      <c r="D14" s="100">
        <f>_11_A重度研修増１．０</f>
        <v>172</v>
      </c>
      <c r="E14" s="12" t="s">
        <v>392</v>
      </c>
      <c r="F14" s="44" t="s">
        <v>397</v>
      </c>
      <c r="G14" s="45" t="s">
        <v>398</v>
      </c>
      <c r="H14" s="46">
        <v>1</v>
      </c>
      <c r="I14" s="35"/>
      <c r="K14" s="57"/>
      <c r="L14" s="706"/>
      <c r="M14" s="37"/>
      <c r="N14" s="38"/>
      <c r="O14" s="47">
        <f>ROUND((ROUND((_11_A重度研修増１．０*_11・２人),0)*_11・初任),0)</f>
        <v>120</v>
      </c>
      <c r="P14" s="48"/>
    </row>
    <row r="15" spans="1:16" ht="16.5" customHeight="1" x14ac:dyDescent="0.15">
      <c r="A15" s="41">
        <v>11</v>
      </c>
      <c r="B15" s="41">
        <v>2137</v>
      </c>
      <c r="C15" s="74" t="s">
        <v>4106</v>
      </c>
      <c r="D15" s="707" t="s">
        <v>425</v>
      </c>
      <c r="E15" s="717"/>
      <c r="F15" s="44"/>
      <c r="G15" s="45"/>
      <c r="H15" s="46"/>
      <c r="I15" s="35"/>
      <c r="K15" s="57"/>
      <c r="L15" s="53"/>
      <c r="M15" s="49"/>
      <c r="N15" s="50"/>
      <c r="O15" s="47">
        <f>_11_A重度研修増１．５</f>
        <v>258</v>
      </c>
      <c r="P15" s="48"/>
    </row>
    <row r="16" spans="1:16" ht="16.5" customHeight="1" x14ac:dyDescent="0.15">
      <c r="A16" s="41">
        <v>11</v>
      </c>
      <c r="B16" s="41">
        <v>2138</v>
      </c>
      <c r="C16" s="74" t="s">
        <v>4107</v>
      </c>
      <c r="D16" s="709"/>
      <c r="E16" s="718"/>
      <c r="F16" s="44" t="s">
        <v>397</v>
      </c>
      <c r="G16" s="45" t="s">
        <v>398</v>
      </c>
      <c r="H16" s="46">
        <v>1</v>
      </c>
      <c r="I16" s="35"/>
      <c r="K16" s="57"/>
      <c r="L16" s="43"/>
      <c r="M16" s="37"/>
      <c r="N16" s="38"/>
      <c r="O16" s="47">
        <f>ROUND((_11_A重度研修増１．５*_11・２人),0)</f>
        <v>258</v>
      </c>
      <c r="P16" s="48"/>
    </row>
    <row r="17" spans="1:16" ht="16.5" customHeight="1" x14ac:dyDescent="0.15">
      <c r="A17" s="41">
        <v>11</v>
      </c>
      <c r="B17" s="41" t="s">
        <v>4108</v>
      </c>
      <c r="C17" s="74" t="s">
        <v>4109</v>
      </c>
      <c r="D17" s="709"/>
      <c r="E17" s="718"/>
      <c r="F17" s="44"/>
      <c r="G17" s="45"/>
      <c r="H17" s="46"/>
      <c r="I17" s="35"/>
      <c r="K17" s="57"/>
      <c r="L17" s="734" t="s">
        <v>404</v>
      </c>
      <c r="M17" s="49" t="s">
        <v>398</v>
      </c>
      <c r="N17" s="50">
        <f>_11・初任</f>
        <v>0.7</v>
      </c>
      <c r="O17" s="47">
        <f>ROUND((_11_A重度研修増１．５*_11・初任),0)</f>
        <v>181</v>
      </c>
      <c r="P17" s="48"/>
    </row>
    <row r="18" spans="1:16" ht="16.5" customHeight="1" x14ac:dyDescent="0.15">
      <c r="A18" s="41">
        <v>11</v>
      </c>
      <c r="B18" s="41" t="s">
        <v>4110</v>
      </c>
      <c r="C18" s="74" t="s">
        <v>4111</v>
      </c>
      <c r="D18" s="100">
        <f>_11_A重度研修増１．５</f>
        <v>258</v>
      </c>
      <c r="E18" s="12" t="s">
        <v>3279</v>
      </c>
      <c r="F18" s="44" t="s">
        <v>397</v>
      </c>
      <c r="G18" s="45" t="s">
        <v>398</v>
      </c>
      <c r="H18" s="46">
        <v>1</v>
      </c>
      <c r="I18" s="35"/>
      <c r="K18" s="57"/>
      <c r="L18" s="706"/>
      <c r="M18" s="37"/>
      <c r="N18" s="38"/>
      <c r="O18" s="47">
        <f>ROUND((ROUND((_11_A重度研修増１．５*_11・２人),0)*_11・初任),0)</f>
        <v>181</v>
      </c>
      <c r="P18" s="48"/>
    </row>
    <row r="19" spans="1:16" ht="16.5" customHeight="1" x14ac:dyDescent="0.15">
      <c r="A19" s="41">
        <v>11</v>
      </c>
      <c r="B19" s="41">
        <v>2139</v>
      </c>
      <c r="C19" s="74" t="s">
        <v>4112</v>
      </c>
      <c r="D19" s="707" t="s">
        <v>438</v>
      </c>
      <c r="E19" s="717"/>
      <c r="F19" s="44"/>
      <c r="G19" s="45"/>
      <c r="H19" s="46"/>
      <c r="I19" s="35"/>
      <c r="K19" s="57"/>
      <c r="L19" s="53"/>
      <c r="M19" s="49"/>
      <c r="N19" s="50"/>
      <c r="O19" s="47">
        <f>_11_A重度研修増２．０</f>
        <v>344</v>
      </c>
      <c r="P19" s="48"/>
    </row>
    <row r="20" spans="1:16" ht="16.5" customHeight="1" x14ac:dyDescent="0.15">
      <c r="A20" s="41">
        <v>11</v>
      </c>
      <c r="B20" s="41">
        <v>2140</v>
      </c>
      <c r="C20" s="74" t="s">
        <v>4113</v>
      </c>
      <c r="D20" s="709"/>
      <c r="E20" s="718"/>
      <c r="F20" s="44" t="s">
        <v>397</v>
      </c>
      <c r="G20" s="45" t="s">
        <v>398</v>
      </c>
      <c r="H20" s="46">
        <v>1</v>
      </c>
      <c r="I20" s="35"/>
      <c r="K20" s="57"/>
      <c r="L20" s="43"/>
      <c r="M20" s="37"/>
      <c r="N20" s="38"/>
      <c r="O20" s="47">
        <f>ROUND((_11_A重度研修増２．０*_11・２人),0)</f>
        <v>344</v>
      </c>
      <c r="P20" s="48"/>
    </row>
    <row r="21" spans="1:16" ht="16.5" customHeight="1" x14ac:dyDescent="0.15">
      <c r="A21" s="41">
        <v>11</v>
      </c>
      <c r="B21" s="41" t="s">
        <v>4114</v>
      </c>
      <c r="C21" s="74" t="s">
        <v>4115</v>
      </c>
      <c r="D21" s="709"/>
      <c r="E21" s="718"/>
      <c r="F21" s="44"/>
      <c r="G21" s="45"/>
      <c r="H21" s="46"/>
      <c r="I21" s="35"/>
      <c r="K21" s="57"/>
      <c r="L21" s="734" t="s">
        <v>404</v>
      </c>
      <c r="M21" s="49" t="s">
        <v>398</v>
      </c>
      <c r="N21" s="50">
        <f>_11・初任</f>
        <v>0.7</v>
      </c>
      <c r="O21" s="47">
        <f>ROUND((_11_A重度研修増２．０*_11・初任),0)</f>
        <v>241</v>
      </c>
      <c r="P21" s="48"/>
    </row>
    <row r="22" spans="1:16" ht="16.5" customHeight="1" x14ac:dyDescent="0.15">
      <c r="A22" s="41">
        <v>11</v>
      </c>
      <c r="B22" s="41" t="s">
        <v>4116</v>
      </c>
      <c r="C22" s="74" t="s">
        <v>4117</v>
      </c>
      <c r="D22" s="100">
        <f>_11_A重度研修増２．０</f>
        <v>344</v>
      </c>
      <c r="E22" s="12" t="s">
        <v>392</v>
      </c>
      <c r="F22" s="44" t="s">
        <v>397</v>
      </c>
      <c r="G22" s="45" t="s">
        <v>398</v>
      </c>
      <c r="H22" s="46">
        <v>1</v>
      </c>
      <c r="I22" s="35"/>
      <c r="K22" s="57"/>
      <c r="L22" s="706"/>
      <c r="M22" s="37"/>
      <c r="N22" s="38"/>
      <c r="O22" s="47">
        <f>ROUND((ROUND((_11_A重度研修増２．０*_11・２人),0)*_11・初任),0)</f>
        <v>241</v>
      </c>
      <c r="P22" s="48"/>
    </row>
    <row r="23" spans="1:16" ht="16.5" customHeight="1" x14ac:dyDescent="0.15">
      <c r="A23" s="41">
        <v>11</v>
      </c>
      <c r="B23" s="41">
        <v>2141</v>
      </c>
      <c r="C23" s="74" t="s">
        <v>4118</v>
      </c>
      <c r="D23" s="707" t="s">
        <v>451</v>
      </c>
      <c r="E23" s="717"/>
      <c r="F23" s="44"/>
      <c r="G23" s="45"/>
      <c r="H23" s="46"/>
      <c r="I23" s="35"/>
      <c r="K23" s="57"/>
      <c r="L23" s="53"/>
      <c r="M23" s="49"/>
      <c r="N23" s="50"/>
      <c r="O23" s="47">
        <f>_11_A重度研修増２．５</f>
        <v>430</v>
      </c>
      <c r="P23" s="48"/>
    </row>
    <row r="24" spans="1:16" ht="16.5" customHeight="1" x14ac:dyDescent="0.15">
      <c r="A24" s="41">
        <v>11</v>
      </c>
      <c r="B24" s="41">
        <v>2142</v>
      </c>
      <c r="C24" s="74" t="s">
        <v>4119</v>
      </c>
      <c r="D24" s="709"/>
      <c r="E24" s="718"/>
      <c r="F24" s="44" t="s">
        <v>397</v>
      </c>
      <c r="G24" s="45" t="s">
        <v>398</v>
      </c>
      <c r="H24" s="46">
        <v>1</v>
      </c>
      <c r="I24" s="35"/>
      <c r="K24" s="57"/>
      <c r="L24" s="43"/>
      <c r="M24" s="37"/>
      <c r="N24" s="38"/>
      <c r="O24" s="47">
        <f>ROUND((_11_A重度研修増２．５*_11・２人),0)</f>
        <v>430</v>
      </c>
      <c r="P24" s="48"/>
    </row>
    <row r="25" spans="1:16" ht="16.5" customHeight="1" x14ac:dyDescent="0.15">
      <c r="A25" s="41">
        <v>11</v>
      </c>
      <c r="B25" s="41" t="s">
        <v>4120</v>
      </c>
      <c r="C25" s="74" t="s">
        <v>4121</v>
      </c>
      <c r="D25" s="709"/>
      <c r="E25" s="718"/>
      <c r="F25" s="44"/>
      <c r="G25" s="45"/>
      <c r="H25" s="46"/>
      <c r="I25" s="35"/>
      <c r="K25" s="57"/>
      <c r="L25" s="734" t="s">
        <v>404</v>
      </c>
      <c r="M25" s="49" t="s">
        <v>398</v>
      </c>
      <c r="N25" s="50">
        <f>_11・初任</f>
        <v>0.7</v>
      </c>
      <c r="O25" s="47">
        <f>ROUND((_11_A重度研修増２．５*_11・初任),0)</f>
        <v>301</v>
      </c>
      <c r="P25" s="48"/>
    </row>
    <row r="26" spans="1:16" ht="16.5" customHeight="1" x14ac:dyDescent="0.15">
      <c r="A26" s="41">
        <v>11</v>
      </c>
      <c r="B26" s="41" t="s">
        <v>4122</v>
      </c>
      <c r="C26" s="74" t="s">
        <v>4123</v>
      </c>
      <c r="D26" s="100">
        <f>_11_A重度研修増２．５</f>
        <v>430</v>
      </c>
      <c r="E26" s="12" t="s">
        <v>392</v>
      </c>
      <c r="F26" s="44" t="s">
        <v>397</v>
      </c>
      <c r="G26" s="45" t="s">
        <v>398</v>
      </c>
      <c r="H26" s="46">
        <v>1</v>
      </c>
      <c r="I26" s="35"/>
      <c r="K26" s="57"/>
      <c r="L26" s="706"/>
      <c r="M26" s="37"/>
      <c r="N26" s="38"/>
      <c r="O26" s="47">
        <f>ROUND((ROUND((_11_A重度研修増２．５*_11・２人),0)*_11・初任),0)</f>
        <v>301</v>
      </c>
      <c r="P26" s="48"/>
    </row>
    <row r="27" spans="1:16" ht="16.5" customHeight="1" x14ac:dyDescent="0.15">
      <c r="A27" s="41">
        <v>11</v>
      </c>
      <c r="B27" s="41">
        <v>2143</v>
      </c>
      <c r="C27" s="74" t="s">
        <v>4124</v>
      </c>
      <c r="D27" s="707" t="s">
        <v>464</v>
      </c>
      <c r="E27" s="717"/>
      <c r="F27" s="44"/>
      <c r="G27" s="45"/>
      <c r="H27" s="46"/>
      <c r="I27" s="35"/>
      <c r="K27" s="57"/>
      <c r="L27" s="53"/>
      <c r="M27" s="49"/>
      <c r="N27" s="50"/>
      <c r="O27" s="47">
        <f>_11_A重度研修増３．０</f>
        <v>516</v>
      </c>
      <c r="P27" s="48"/>
    </row>
    <row r="28" spans="1:16" ht="16.5" customHeight="1" x14ac:dyDescent="0.15">
      <c r="A28" s="41">
        <v>11</v>
      </c>
      <c r="B28" s="41">
        <v>2144</v>
      </c>
      <c r="C28" s="74" t="s">
        <v>4125</v>
      </c>
      <c r="D28" s="709"/>
      <c r="E28" s="718"/>
      <c r="F28" s="44" t="s">
        <v>397</v>
      </c>
      <c r="G28" s="45" t="s">
        <v>398</v>
      </c>
      <c r="H28" s="46">
        <v>1</v>
      </c>
      <c r="I28" s="35"/>
      <c r="K28" s="57"/>
      <c r="L28" s="43"/>
      <c r="M28" s="37"/>
      <c r="N28" s="38"/>
      <c r="O28" s="47">
        <f>ROUND((_11_A重度研修増３．０*_11・２人),0)</f>
        <v>516</v>
      </c>
      <c r="P28" s="48"/>
    </row>
    <row r="29" spans="1:16" ht="16.5" customHeight="1" x14ac:dyDescent="0.15">
      <c r="A29" s="41">
        <v>11</v>
      </c>
      <c r="B29" s="41" t="s">
        <v>4126</v>
      </c>
      <c r="C29" s="74" t="s">
        <v>4127</v>
      </c>
      <c r="D29" s="709"/>
      <c r="E29" s="718"/>
      <c r="F29" s="44"/>
      <c r="G29" s="45"/>
      <c r="H29" s="46"/>
      <c r="I29" s="35"/>
      <c r="K29" s="57"/>
      <c r="L29" s="734" t="s">
        <v>404</v>
      </c>
      <c r="M29" s="49" t="s">
        <v>398</v>
      </c>
      <c r="N29" s="50">
        <f>_11・初任</f>
        <v>0.7</v>
      </c>
      <c r="O29" s="47">
        <f>ROUND((_11_A重度研修増３．０*_11・初任),0)</f>
        <v>361</v>
      </c>
      <c r="P29" s="48"/>
    </row>
    <row r="30" spans="1:16" ht="16.5" customHeight="1" x14ac:dyDescent="0.15">
      <c r="A30" s="41">
        <v>11</v>
      </c>
      <c r="B30" s="41" t="s">
        <v>4128</v>
      </c>
      <c r="C30" s="74" t="s">
        <v>4129</v>
      </c>
      <c r="D30" s="100">
        <f>_11_A重度研修増３．０</f>
        <v>516</v>
      </c>
      <c r="E30" s="12" t="s">
        <v>392</v>
      </c>
      <c r="F30" s="44" t="s">
        <v>397</v>
      </c>
      <c r="G30" s="45" t="s">
        <v>398</v>
      </c>
      <c r="H30" s="46">
        <v>1</v>
      </c>
      <c r="I30" s="35"/>
      <c r="K30" s="57"/>
      <c r="L30" s="706"/>
      <c r="M30" s="37"/>
      <c r="N30" s="38"/>
      <c r="O30" s="47">
        <f>ROUND((ROUND((_11_A重度研修増３．０*_11・２人),0)*_11・初任),0)</f>
        <v>361</v>
      </c>
      <c r="P30" s="48"/>
    </row>
    <row r="31" spans="1:16" ht="16.5" customHeight="1" x14ac:dyDescent="0.15">
      <c r="A31" s="41">
        <v>11</v>
      </c>
      <c r="B31" s="41">
        <v>2145</v>
      </c>
      <c r="C31" s="74" t="s">
        <v>4130</v>
      </c>
      <c r="D31" s="707" t="s">
        <v>477</v>
      </c>
      <c r="E31" s="717"/>
      <c r="F31" s="44"/>
      <c r="G31" s="45"/>
      <c r="H31" s="46"/>
      <c r="I31" s="35"/>
      <c r="K31" s="57"/>
      <c r="L31" s="53"/>
      <c r="M31" s="49"/>
      <c r="N31" s="50"/>
      <c r="O31" s="47">
        <f>_11_A重度研修増３．５</f>
        <v>602</v>
      </c>
      <c r="P31" s="48"/>
    </row>
    <row r="32" spans="1:16" ht="16.5" customHeight="1" x14ac:dyDescent="0.15">
      <c r="A32" s="41">
        <v>11</v>
      </c>
      <c r="B32" s="41">
        <v>2146</v>
      </c>
      <c r="C32" s="74" t="s">
        <v>4131</v>
      </c>
      <c r="D32" s="709"/>
      <c r="E32" s="718"/>
      <c r="F32" s="44" t="s">
        <v>397</v>
      </c>
      <c r="G32" s="45" t="s">
        <v>398</v>
      </c>
      <c r="H32" s="46">
        <v>1</v>
      </c>
      <c r="I32" s="35"/>
      <c r="K32" s="57"/>
      <c r="L32" s="43"/>
      <c r="M32" s="37"/>
      <c r="N32" s="38"/>
      <c r="O32" s="47">
        <f>ROUND((_11_A重度研修増３．５*_11・２人),0)</f>
        <v>602</v>
      </c>
      <c r="P32" s="48"/>
    </row>
    <row r="33" spans="1:16" ht="16.5" customHeight="1" x14ac:dyDescent="0.15">
      <c r="A33" s="41">
        <v>11</v>
      </c>
      <c r="B33" s="41" t="s">
        <v>4132</v>
      </c>
      <c r="C33" s="74" t="s">
        <v>4133</v>
      </c>
      <c r="D33" s="709"/>
      <c r="E33" s="718"/>
      <c r="F33" s="44"/>
      <c r="G33" s="45"/>
      <c r="H33" s="46"/>
      <c r="I33" s="35"/>
      <c r="K33" s="57"/>
      <c r="L33" s="734" t="s">
        <v>404</v>
      </c>
      <c r="M33" s="49" t="s">
        <v>398</v>
      </c>
      <c r="N33" s="50">
        <f>_11・初任</f>
        <v>0.7</v>
      </c>
      <c r="O33" s="47">
        <f>ROUND((_11_A重度研修増３．５*_11・初任),0)</f>
        <v>421</v>
      </c>
      <c r="P33" s="48"/>
    </row>
    <row r="34" spans="1:16" ht="16.5" customHeight="1" x14ac:dyDescent="0.15">
      <c r="A34" s="41">
        <v>11</v>
      </c>
      <c r="B34" s="41" t="s">
        <v>4134</v>
      </c>
      <c r="C34" s="74" t="s">
        <v>4135</v>
      </c>
      <c r="D34" s="100">
        <f>_11_A重度研修増３．５</f>
        <v>602</v>
      </c>
      <c r="E34" s="12" t="s">
        <v>392</v>
      </c>
      <c r="F34" s="44" t="s">
        <v>397</v>
      </c>
      <c r="G34" s="45" t="s">
        <v>398</v>
      </c>
      <c r="H34" s="46">
        <v>1</v>
      </c>
      <c r="I34" s="35"/>
      <c r="K34" s="57"/>
      <c r="L34" s="706"/>
      <c r="M34" s="37"/>
      <c r="N34" s="38"/>
      <c r="O34" s="47">
        <f>ROUND((ROUND((_11_A重度研修増３．５*_11・２人),0)*_11・初任),0)</f>
        <v>421</v>
      </c>
      <c r="P34" s="48"/>
    </row>
    <row r="35" spans="1:16" ht="16.5" customHeight="1" x14ac:dyDescent="0.15">
      <c r="A35" s="41">
        <v>11</v>
      </c>
      <c r="B35" s="41">
        <v>2147</v>
      </c>
      <c r="C35" s="74" t="s">
        <v>4136</v>
      </c>
      <c r="D35" s="707" t="s">
        <v>2761</v>
      </c>
      <c r="E35" s="717"/>
      <c r="F35" s="44"/>
      <c r="G35" s="45"/>
      <c r="H35" s="46"/>
      <c r="I35" s="35"/>
      <c r="K35" s="57"/>
      <c r="L35" s="53"/>
      <c r="M35" s="49"/>
      <c r="N35" s="50"/>
      <c r="O35" s="47">
        <f>_11_A重度研修増４．０</f>
        <v>688</v>
      </c>
      <c r="P35" s="48"/>
    </row>
    <row r="36" spans="1:16" ht="16.5" customHeight="1" x14ac:dyDescent="0.15">
      <c r="A36" s="41">
        <v>11</v>
      </c>
      <c r="B36" s="41">
        <v>2148</v>
      </c>
      <c r="C36" s="74" t="s">
        <v>4137</v>
      </c>
      <c r="D36" s="709"/>
      <c r="E36" s="718"/>
      <c r="F36" s="44" t="s">
        <v>397</v>
      </c>
      <c r="G36" s="45" t="s">
        <v>398</v>
      </c>
      <c r="H36" s="46">
        <v>1</v>
      </c>
      <c r="I36" s="35"/>
      <c r="K36" s="57"/>
      <c r="L36" s="43"/>
      <c r="M36" s="37"/>
      <c r="N36" s="38"/>
      <c r="O36" s="47">
        <f>ROUND((_11_A重度研修増４．０*_11・２人),0)</f>
        <v>688</v>
      </c>
      <c r="P36" s="48"/>
    </row>
    <row r="37" spans="1:16" ht="16.5" customHeight="1" x14ac:dyDescent="0.15">
      <c r="A37" s="41">
        <v>11</v>
      </c>
      <c r="B37" s="41" t="s">
        <v>4138</v>
      </c>
      <c r="C37" s="74" t="s">
        <v>4139</v>
      </c>
      <c r="D37" s="709"/>
      <c r="E37" s="718"/>
      <c r="F37" s="44"/>
      <c r="G37" s="45"/>
      <c r="H37" s="46"/>
      <c r="I37" s="35"/>
      <c r="K37" s="57"/>
      <c r="L37" s="734" t="s">
        <v>404</v>
      </c>
      <c r="M37" s="49" t="s">
        <v>398</v>
      </c>
      <c r="N37" s="50">
        <f>_11・初任</f>
        <v>0.7</v>
      </c>
      <c r="O37" s="47">
        <f>ROUND((_11_A重度研修増４．０*_11・初任),0)</f>
        <v>482</v>
      </c>
      <c r="P37" s="48"/>
    </row>
    <row r="38" spans="1:16" ht="16.5" customHeight="1" x14ac:dyDescent="0.15">
      <c r="A38" s="41">
        <v>11</v>
      </c>
      <c r="B38" s="41" t="s">
        <v>4140</v>
      </c>
      <c r="C38" s="74" t="s">
        <v>4141</v>
      </c>
      <c r="D38" s="100">
        <f>_11_A重度研修増４．０</f>
        <v>688</v>
      </c>
      <c r="E38" s="12" t="s">
        <v>392</v>
      </c>
      <c r="F38" s="44" t="s">
        <v>397</v>
      </c>
      <c r="G38" s="45" t="s">
        <v>398</v>
      </c>
      <c r="H38" s="46">
        <v>1</v>
      </c>
      <c r="I38" s="35"/>
      <c r="K38" s="57"/>
      <c r="L38" s="706"/>
      <c r="M38" s="37"/>
      <c r="N38" s="38"/>
      <c r="O38" s="47">
        <f>ROUND((ROUND((_11_A重度研修増４．０*_11・２人),0)*_11・初任),0)</f>
        <v>482</v>
      </c>
      <c r="P38" s="48"/>
    </row>
    <row r="39" spans="1:16" ht="16.5" customHeight="1" x14ac:dyDescent="0.15">
      <c r="A39" s="41">
        <v>11</v>
      </c>
      <c r="B39" s="41">
        <v>2149</v>
      </c>
      <c r="C39" s="74" t="s">
        <v>4142</v>
      </c>
      <c r="D39" s="707" t="s">
        <v>503</v>
      </c>
      <c r="E39" s="717"/>
      <c r="F39" s="44"/>
      <c r="G39" s="45"/>
      <c r="H39" s="46"/>
      <c r="I39" s="35"/>
      <c r="K39" s="57"/>
      <c r="L39" s="53"/>
      <c r="M39" s="49"/>
      <c r="N39" s="50"/>
      <c r="O39" s="47">
        <f>_11_A重度研修増４．５</f>
        <v>774</v>
      </c>
      <c r="P39" s="48"/>
    </row>
    <row r="40" spans="1:16" ht="16.5" customHeight="1" x14ac:dyDescent="0.15">
      <c r="A40" s="41">
        <v>11</v>
      </c>
      <c r="B40" s="41">
        <v>2150</v>
      </c>
      <c r="C40" s="74" t="s">
        <v>4143</v>
      </c>
      <c r="D40" s="709"/>
      <c r="E40" s="718"/>
      <c r="F40" s="44" t="s">
        <v>397</v>
      </c>
      <c r="G40" s="45" t="s">
        <v>398</v>
      </c>
      <c r="H40" s="46">
        <v>1</v>
      </c>
      <c r="I40" s="35"/>
      <c r="K40" s="57"/>
      <c r="L40" s="43"/>
      <c r="M40" s="37"/>
      <c r="N40" s="38"/>
      <c r="O40" s="47">
        <f>ROUND((_11_A重度研修増４．５*_11・２人),0)</f>
        <v>774</v>
      </c>
      <c r="P40" s="48"/>
    </row>
    <row r="41" spans="1:16" ht="16.5" customHeight="1" x14ac:dyDescent="0.15">
      <c r="A41" s="41">
        <v>11</v>
      </c>
      <c r="B41" s="41" t="s">
        <v>4144</v>
      </c>
      <c r="C41" s="74" t="s">
        <v>4145</v>
      </c>
      <c r="D41" s="709"/>
      <c r="E41" s="718"/>
      <c r="F41" s="44"/>
      <c r="G41" s="45"/>
      <c r="H41" s="46"/>
      <c r="I41" s="35"/>
      <c r="K41" s="57"/>
      <c r="L41" s="734" t="s">
        <v>404</v>
      </c>
      <c r="M41" s="49" t="s">
        <v>398</v>
      </c>
      <c r="N41" s="50">
        <f>_11・初任</f>
        <v>0.7</v>
      </c>
      <c r="O41" s="47">
        <f>ROUND((_11_A重度研修増４．５*_11・初任),0)</f>
        <v>542</v>
      </c>
      <c r="P41" s="48"/>
    </row>
    <row r="42" spans="1:16" ht="16.5" customHeight="1" x14ac:dyDescent="0.15">
      <c r="A42" s="41">
        <v>11</v>
      </c>
      <c r="B42" s="41" t="s">
        <v>4146</v>
      </c>
      <c r="C42" s="74" t="s">
        <v>4147</v>
      </c>
      <c r="D42" s="100">
        <f>_11_A重度研修増４．５</f>
        <v>774</v>
      </c>
      <c r="E42" s="12" t="s">
        <v>392</v>
      </c>
      <c r="F42" s="44" t="s">
        <v>397</v>
      </c>
      <c r="G42" s="45" t="s">
        <v>398</v>
      </c>
      <c r="H42" s="46">
        <v>1</v>
      </c>
      <c r="I42" s="35"/>
      <c r="K42" s="57"/>
      <c r="L42" s="706"/>
      <c r="M42" s="37"/>
      <c r="N42" s="38"/>
      <c r="O42" s="47">
        <f>ROUND((ROUND((_11_A重度研修増４．５*_11・２人),0)*_11・初任),0)</f>
        <v>542</v>
      </c>
      <c r="P42" s="48"/>
    </row>
    <row r="43" spans="1:16" ht="16.5" customHeight="1" x14ac:dyDescent="0.15">
      <c r="A43" s="41">
        <v>11</v>
      </c>
      <c r="B43" s="41">
        <v>2151</v>
      </c>
      <c r="C43" s="74" t="s">
        <v>4148</v>
      </c>
      <c r="D43" s="707" t="s">
        <v>516</v>
      </c>
      <c r="E43" s="717"/>
      <c r="F43" s="44"/>
      <c r="G43" s="45"/>
      <c r="H43" s="46"/>
      <c r="I43" s="35"/>
      <c r="K43" s="57"/>
      <c r="L43" s="53"/>
      <c r="M43" s="49"/>
      <c r="N43" s="50"/>
      <c r="O43" s="47">
        <f>_11_A重度研修増５．０</f>
        <v>860</v>
      </c>
      <c r="P43" s="48"/>
    </row>
    <row r="44" spans="1:16" ht="16.5" customHeight="1" x14ac:dyDescent="0.15">
      <c r="A44" s="41">
        <v>11</v>
      </c>
      <c r="B44" s="41">
        <v>2152</v>
      </c>
      <c r="C44" s="74" t="s">
        <v>4149</v>
      </c>
      <c r="D44" s="709"/>
      <c r="E44" s="718"/>
      <c r="F44" s="44" t="s">
        <v>397</v>
      </c>
      <c r="G44" s="45" t="s">
        <v>398</v>
      </c>
      <c r="H44" s="46">
        <v>1</v>
      </c>
      <c r="I44" s="35"/>
      <c r="K44" s="57"/>
      <c r="L44" s="43"/>
      <c r="M44" s="37"/>
      <c r="N44" s="38"/>
      <c r="O44" s="47">
        <f>ROUND((_11_A重度研修増５．０*_11・２人),0)</f>
        <v>860</v>
      </c>
      <c r="P44" s="48"/>
    </row>
    <row r="45" spans="1:16" ht="16.5" customHeight="1" x14ac:dyDescent="0.15">
      <c r="A45" s="41">
        <v>11</v>
      </c>
      <c r="B45" s="41" t="s">
        <v>4150</v>
      </c>
      <c r="C45" s="74" t="s">
        <v>4151</v>
      </c>
      <c r="D45" s="709"/>
      <c r="E45" s="718"/>
      <c r="F45" s="44"/>
      <c r="G45" s="45"/>
      <c r="H45" s="46"/>
      <c r="I45" s="35"/>
      <c r="K45" s="57"/>
      <c r="L45" s="734" t="s">
        <v>404</v>
      </c>
      <c r="M45" s="49" t="s">
        <v>398</v>
      </c>
      <c r="N45" s="50">
        <f>_11・初任</f>
        <v>0.7</v>
      </c>
      <c r="O45" s="47">
        <f>ROUND((_11_A重度研修増５．０*_11・初任),0)</f>
        <v>602</v>
      </c>
      <c r="P45" s="48"/>
    </row>
    <row r="46" spans="1:16" ht="16.5" customHeight="1" x14ac:dyDescent="0.15">
      <c r="A46" s="41">
        <v>11</v>
      </c>
      <c r="B46" s="41" t="s">
        <v>4152</v>
      </c>
      <c r="C46" s="74" t="s">
        <v>4153</v>
      </c>
      <c r="D46" s="100">
        <f>_11_A重度研修増５．０</f>
        <v>860</v>
      </c>
      <c r="E46" s="12" t="s">
        <v>392</v>
      </c>
      <c r="F46" s="44" t="s">
        <v>397</v>
      </c>
      <c r="G46" s="45" t="s">
        <v>398</v>
      </c>
      <c r="H46" s="46">
        <v>1</v>
      </c>
      <c r="I46" s="35"/>
      <c r="K46" s="57"/>
      <c r="L46" s="706"/>
      <c r="M46" s="37"/>
      <c r="N46" s="38"/>
      <c r="O46" s="47">
        <f>ROUND((ROUND((_11_A重度研修増５．０*_11・２人),0)*_11・初任),0)</f>
        <v>602</v>
      </c>
      <c r="P46" s="48"/>
    </row>
    <row r="47" spans="1:16" ht="16.5" customHeight="1" x14ac:dyDescent="0.15">
      <c r="A47" s="41">
        <v>11</v>
      </c>
      <c r="B47" s="41">
        <v>2153</v>
      </c>
      <c r="C47" s="74" t="s">
        <v>4154</v>
      </c>
      <c r="D47" s="707" t="s">
        <v>529</v>
      </c>
      <c r="E47" s="717"/>
      <c r="F47" s="44"/>
      <c r="G47" s="45"/>
      <c r="H47" s="46"/>
      <c r="I47" s="35"/>
      <c r="K47" s="57"/>
      <c r="L47" s="53"/>
      <c r="M47" s="49"/>
      <c r="N47" s="50"/>
      <c r="O47" s="47">
        <f>_11_A重度研修増５．５</f>
        <v>946</v>
      </c>
      <c r="P47" s="48"/>
    </row>
    <row r="48" spans="1:16" ht="16.5" customHeight="1" x14ac:dyDescent="0.15">
      <c r="A48" s="41">
        <v>11</v>
      </c>
      <c r="B48" s="41">
        <v>2154</v>
      </c>
      <c r="C48" s="74" t="s">
        <v>4155</v>
      </c>
      <c r="D48" s="709"/>
      <c r="E48" s="718"/>
      <c r="F48" s="44" t="s">
        <v>397</v>
      </c>
      <c r="G48" s="45" t="s">
        <v>398</v>
      </c>
      <c r="H48" s="46">
        <v>1</v>
      </c>
      <c r="I48" s="35"/>
      <c r="K48" s="57"/>
      <c r="L48" s="43"/>
      <c r="M48" s="37"/>
      <c r="N48" s="38"/>
      <c r="O48" s="47">
        <f>ROUND((_11_A重度研修増５．５*_11・２人),0)</f>
        <v>946</v>
      </c>
      <c r="P48" s="48"/>
    </row>
    <row r="49" spans="1:16" ht="16.5" customHeight="1" x14ac:dyDescent="0.15">
      <c r="A49" s="41">
        <v>11</v>
      </c>
      <c r="B49" s="41" t="s">
        <v>4156</v>
      </c>
      <c r="C49" s="74" t="s">
        <v>4157</v>
      </c>
      <c r="D49" s="709"/>
      <c r="E49" s="718"/>
      <c r="F49" s="44"/>
      <c r="G49" s="45"/>
      <c r="H49" s="46"/>
      <c r="I49" s="35"/>
      <c r="K49" s="57"/>
      <c r="L49" s="734" t="s">
        <v>404</v>
      </c>
      <c r="M49" s="49" t="s">
        <v>398</v>
      </c>
      <c r="N49" s="50">
        <f>_11・初任</f>
        <v>0.7</v>
      </c>
      <c r="O49" s="47">
        <f>ROUND((_11_A重度研修増５．５*_11・初任),0)</f>
        <v>662</v>
      </c>
      <c r="P49" s="48"/>
    </row>
    <row r="50" spans="1:16" ht="16.5" customHeight="1" x14ac:dyDescent="0.15">
      <c r="A50" s="41">
        <v>11</v>
      </c>
      <c r="B50" s="41" t="s">
        <v>4158</v>
      </c>
      <c r="C50" s="74" t="s">
        <v>4159</v>
      </c>
      <c r="D50" s="100">
        <f>_11_A重度研修増５．５</f>
        <v>946</v>
      </c>
      <c r="E50" s="12" t="s">
        <v>392</v>
      </c>
      <c r="F50" s="44" t="s">
        <v>397</v>
      </c>
      <c r="G50" s="45" t="s">
        <v>398</v>
      </c>
      <c r="H50" s="46">
        <v>1</v>
      </c>
      <c r="I50" s="35"/>
      <c r="K50" s="57"/>
      <c r="L50" s="706"/>
      <c r="M50" s="37"/>
      <c r="N50" s="38"/>
      <c r="O50" s="47">
        <f>ROUND((ROUND((_11_A重度研修増５．５*_11・２人),0)*_11・初任),0)</f>
        <v>662</v>
      </c>
      <c r="P50" s="48"/>
    </row>
    <row r="51" spans="1:16" ht="16.5" customHeight="1" x14ac:dyDescent="0.15">
      <c r="A51" s="41">
        <v>11</v>
      </c>
      <c r="B51" s="41">
        <v>2155</v>
      </c>
      <c r="C51" s="74" t="s">
        <v>4160</v>
      </c>
      <c r="D51" s="707" t="s">
        <v>542</v>
      </c>
      <c r="E51" s="717"/>
      <c r="F51" s="44"/>
      <c r="G51" s="45"/>
      <c r="H51" s="46"/>
      <c r="I51" s="35"/>
      <c r="K51" s="57"/>
      <c r="L51" s="53"/>
      <c r="M51" s="49"/>
      <c r="N51" s="50"/>
      <c r="O51" s="47">
        <f>_11_A重度研修増６．０</f>
        <v>1032</v>
      </c>
      <c r="P51" s="48"/>
    </row>
    <row r="52" spans="1:16" ht="16.5" customHeight="1" x14ac:dyDescent="0.15">
      <c r="A52" s="41">
        <v>11</v>
      </c>
      <c r="B52" s="41">
        <v>2156</v>
      </c>
      <c r="C52" s="74" t="s">
        <v>4161</v>
      </c>
      <c r="D52" s="709"/>
      <c r="E52" s="718"/>
      <c r="F52" s="44" t="s">
        <v>397</v>
      </c>
      <c r="G52" s="45" t="s">
        <v>398</v>
      </c>
      <c r="H52" s="46">
        <v>1</v>
      </c>
      <c r="I52" s="35"/>
      <c r="K52" s="57"/>
      <c r="L52" s="43"/>
      <c r="M52" s="37"/>
      <c r="N52" s="38"/>
      <c r="O52" s="47">
        <f>ROUND((_11_A重度研修増６．０*_11・２人),0)</f>
        <v>1032</v>
      </c>
      <c r="P52" s="48"/>
    </row>
    <row r="53" spans="1:16" ht="16.5" customHeight="1" x14ac:dyDescent="0.15">
      <c r="A53" s="41">
        <v>11</v>
      </c>
      <c r="B53" s="41" t="s">
        <v>4162</v>
      </c>
      <c r="C53" s="74" t="s">
        <v>4163</v>
      </c>
      <c r="D53" s="709"/>
      <c r="E53" s="718"/>
      <c r="F53" s="44"/>
      <c r="G53" s="45"/>
      <c r="H53" s="46"/>
      <c r="I53" s="35"/>
      <c r="K53" s="57"/>
      <c r="L53" s="734" t="s">
        <v>404</v>
      </c>
      <c r="M53" s="49" t="s">
        <v>398</v>
      </c>
      <c r="N53" s="50">
        <f>_11・初任</f>
        <v>0.7</v>
      </c>
      <c r="O53" s="47">
        <f>ROUND((_11_A重度研修増６．０*_11・初任),0)</f>
        <v>722</v>
      </c>
      <c r="P53" s="48"/>
    </row>
    <row r="54" spans="1:16" ht="16.5" customHeight="1" x14ac:dyDescent="0.15">
      <c r="A54" s="41">
        <v>11</v>
      </c>
      <c r="B54" s="41" t="s">
        <v>4164</v>
      </c>
      <c r="C54" s="74" t="s">
        <v>4165</v>
      </c>
      <c r="D54" s="100">
        <f>_11_A重度研修増６．０</f>
        <v>1032</v>
      </c>
      <c r="E54" s="12" t="s">
        <v>392</v>
      </c>
      <c r="F54" s="44" t="s">
        <v>397</v>
      </c>
      <c r="G54" s="45" t="s">
        <v>398</v>
      </c>
      <c r="H54" s="46">
        <v>1</v>
      </c>
      <c r="I54" s="35"/>
      <c r="K54" s="57"/>
      <c r="L54" s="706"/>
      <c r="M54" s="37"/>
      <c r="N54" s="38"/>
      <c r="O54" s="47">
        <f>ROUND((ROUND((_11_A重度研修増６．０*_11・２人),0)*_11・初任),0)</f>
        <v>722</v>
      </c>
      <c r="P54" s="48"/>
    </row>
    <row r="55" spans="1:16" ht="16.5" customHeight="1" x14ac:dyDescent="0.15">
      <c r="A55" s="41">
        <v>11</v>
      </c>
      <c r="B55" s="41">
        <v>2157</v>
      </c>
      <c r="C55" s="74" t="s">
        <v>4166</v>
      </c>
      <c r="D55" s="707" t="s">
        <v>555</v>
      </c>
      <c r="E55" s="717"/>
      <c r="F55" s="44"/>
      <c r="G55" s="45"/>
      <c r="H55" s="46"/>
      <c r="I55" s="35"/>
      <c r="K55" s="57"/>
      <c r="L55" s="53"/>
      <c r="M55" s="49"/>
      <c r="N55" s="50"/>
      <c r="O55" s="47">
        <f>_11_A重度研修増６．５</f>
        <v>1118</v>
      </c>
      <c r="P55" s="48"/>
    </row>
    <row r="56" spans="1:16" ht="16.5" customHeight="1" x14ac:dyDescent="0.15">
      <c r="A56" s="41">
        <v>11</v>
      </c>
      <c r="B56" s="41">
        <v>2158</v>
      </c>
      <c r="C56" s="74" t="s">
        <v>4167</v>
      </c>
      <c r="D56" s="709"/>
      <c r="E56" s="718"/>
      <c r="F56" s="44" t="s">
        <v>397</v>
      </c>
      <c r="G56" s="45" t="s">
        <v>398</v>
      </c>
      <c r="H56" s="46">
        <v>1</v>
      </c>
      <c r="I56" s="35"/>
      <c r="K56" s="57"/>
      <c r="L56" s="43"/>
      <c r="M56" s="37"/>
      <c r="N56" s="38"/>
      <c r="O56" s="47">
        <f>ROUND((_11_A重度研修増６．５*_11・２人),0)</f>
        <v>1118</v>
      </c>
      <c r="P56" s="48"/>
    </row>
    <row r="57" spans="1:16" ht="16.5" customHeight="1" x14ac:dyDescent="0.15">
      <c r="A57" s="41">
        <v>11</v>
      </c>
      <c r="B57" s="41" t="s">
        <v>4168</v>
      </c>
      <c r="C57" s="74" t="s">
        <v>4169</v>
      </c>
      <c r="D57" s="709"/>
      <c r="E57" s="718"/>
      <c r="F57" s="44"/>
      <c r="G57" s="45"/>
      <c r="H57" s="46"/>
      <c r="I57" s="35"/>
      <c r="K57" s="57"/>
      <c r="L57" s="734" t="s">
        <v>404</v>
      </c>
      <c r="M57" s="49" t="s">
        <v>398</v>
      </c>
      <c r="N57" s="50">
        <f>_11・初任</f>
        <v>0.7</v>
      </c>
      <c r="O57" s="47">
        <f>ROUND((_11_A重度研修増６．５*_11・初任),0)</f>
        <v>783</v>
      </c>
      <c r="P57" s="48"/>
    </row>
    <row r="58" spans="1:16" ht="16.5" customHeight="1" x14ac:dyDescent="0.15">
      <c r="A58" s="41">
        <v>11</v>
      </c>
      <c r="B58" s="41" t="s">
        <v>4170</v>
      </c>
      <c r="C58" s="74" t="s">
        <v>4171</v>
      </c>
      <c r="D58" s="100">
        <f>_11_A重度研修増６．５</f>
        <v>1118</v>
      </c>
      <c r="E58" s="12" t="s">
        <v>392</v>
      </c>
      <c r="F58" s="44" t="s">
        <v>397</v>
      </c>
      <c r="G58" s="45" t="s">
        <v>398</v>
      </c>
      <c r="H58" s="46">
        <v>1</v>
      </c>
      <c r="I58" s="35"/>
      <c r="K58" s="57"/>
      <c r="L58" s="706"/>
      <c r="M58" s="37"/>
      <c r="N58" s="38"/>
      <c r="O58" s="47">
        <f>ROUND((ROUND((_11_A重度研修増６．５*_11・２人),0)*_11・初任),0)</f>
        <v>783</v>
      </c>
      <c r="P58" s="48"/>
    </row>
    <row r="59" spans="1:16" ht="16.5" customHeight="1" x14ac:dyDescent="0.15">
      <c r="A59" s="41">
        <v>11</v>
      </c>
      <c r="B59" s="41">
        <v>2159</v>
      </c>
      <c r="C59" s="74" t="s">
        <v>4172</v>
      </c>
      <c r="D59" s="707" t="s">
        <v>568</v>
      </c>
      <c r="E59" s="717"/>
      <c r="F59" s="44"/>
      <c r="G59" s="45"/>
      <c r="H59" s="46"/>
      <c r="I59" s="35"/>
      <c r="K59" s="57"/>
      <c r="L59" s="53"/>
      <c r="M59" s="49"/>
      <c r="N59" s="50"/>
      <c r="O59" s="47">
        <f>_11_A重度研修増７．０</f>
        <v>1204</v>
      </c>
      <c r="P59" s="48"/>
    </row>
    <row r="60" spans="1:16" ht="16.5" customHeight="1" x14ac:dyDescent="0.15">
      <c r="A60" s="41">
        <v>11</v>
      </c>
      <c r="B60" s="41">
        <v>2160</v>
      </c>
      <c r="C60" s="74" t="s">
        <v>4173</v>
      </c>
      <c r="D60" s="709"/>
      <c r="E60" s="718"/>
      <c r="F60" s="44" t="s">
        <v>397</v>
      </c>
      <c r="G60" s="45" t="s">
        <v>398</v>
      </c>
      <c r="H60" s="46">
        <v>1</v>
      </c>
      <c r="I60" s="35"/>
      <c r="K60" s="57"/>
      <c r="L60" s="43"/>
      <c r="M60" s="37"/>
      <c r="N60" s="38"/>
      <c r="O60" s="47">
        <f>ROUND((_11_A重度研修増７．０*_11・２人),0)</f>
        <v>1204</v>
      </c>
      <c r="P60" s="48"/>
    </row>
    <row r="61" spans="1:16" ht="16.5" customHeight="1" x14ac:dyDescent="0.15">
      <c r="A61" s="41">
        <v>11</v>
      </c>
      <c r="B61" s="41" t="s">
        <v>4174</v>
      </c>
      <c r="C61" s="74" t="s">
        <v>4175</v>
      </c>
      <c r="D61" s="709"/>
      <c r="E61" s="718"/>
      <c r="F61" s="44"/>
      <c r="G61" s="45"/>
      <c r="H61" s="46"/>
      <c r="I61" s="35"/>
      <c r="K61" s="57"/>
      <c r="L61" s="734" t="s">
        <v>404</v>
      </c>
      <c r="M61" s="49" t="s">
        <v>398</v>
      </c>
      <c r="N61" s="50">
        <f>_11・初任</f>
        <v>0.7</v>
      </c>
      <c r="O61" s="47">
        <f>ROUND((_11_A重度研修増７．０*_11・初任),0)</f>
        <v>843</v>
      </c>
      <c r="P61" s="48"/>
    </row>
    <row r="62" spans="1:16" ht="16.5" customHeight="1" x14ac:dyDescent="0.15">
      <c r="A62" s="41">
        <v>11</v>
      </c>
      <c r="B62" s="41" t="s">
        <v>4176</v>
      </c>
      <c r="C62" s="74" t="s">
        <v>4177</v>
      </c>
      <c r="D62" s="100">
        <f>_11_A重度研修増７．０</f>
        <v>1204</v>
      </c>
      <c r="E62" s="12" t="s">
        <v>392</v>
      </c>
      <c r="F62" s="44" t="s">
        <v>397</v>
      </c>
      <c r="G62" s="45" t="s">
        <v>398</v>
      </c>
      <c r="H62" s="46">
        <v>1</v>
      </c>
      <c r="I62" s="35"/>
      <c r="K62" s="57"/>
      <c r="L62" s="706"/>
      <c r="M62" s="37"/>
      <c r="N62" s="38"/>
      <c r="O62" s="47">
        <f>ROUND((ROUND((_11_A重度研修増７．０*_11・２人),0)*_11・初任),0)</f>
        <v>843</v>
      </c>
      <c r="P62" s="48"/>
    </row>
    <row r="63" spans="1:16" ht="16.5" customHeight="1" x14ac:dyDescent="0.15">
      <c r="A63" s="41">
        <v>11</v>
      </c>
      <c r="B63" s="41">
        <v>2161</v>
      </c>
      <c r="C63" s="74" t="s">
        <v>4178</v>
      </c>
      <c r="D63" s="707" t="s">
        <v>581</v>
      </c>
      <c r="E63" s="717"/>
      <c r="F63" s="44"/>
      <c r="G63" s="45"/>
      <c r="H63" s="46"/>
      <c r="I63" s="35"/>
      <c r="K63" s="57"/>
      <c r="L63" s="53"/>
      <c r="M63" s="49"/>
      <c r="N63" s="50"/>
      <c r="O63" s="47">
        <f>_11_A重度研修増７．５</f>
        <v>1290</v>
      </c>
      <c r="P63" s="48"/>
    </row>
    <row r="64" spans="1:16" ht="16.5" customHeight="1" x14ac:dyDescent="0.15">
      <c r="A64" s="41">
        <v>11</v>
      </c>
      <c r="B64" s="41">
        <v>2162</v>
      </c>
      <c r="C64" s="74" t="s">
        <v>4179</v>
      </c>
      <c r="D64" s="709"/>
      <c r="E64" s="718"/>
      <c r="F64" s="44" t="s">
        <v>397</v>
      </c>
      <c r="G64" s="45" t="s">
        <v>398</v>
      </c>
      <c r="H64" s="46">
        <v>1</v>
      </c>
      <c r="I64" s="35"/>
      <c r="K64" s="57"/>
      <c r="L64" s="43"/>
      <c r="M64" s="37"/>
      <c r="N64" s="38"/>
      <c r="O64" s="47">
        <f>ROUND((_11_A重度研修増７．５*_11・２人),0)</f>
        <v>1290</v>
      </c>
      <c r="P64" s="48"/>
    </row>
    <row r="65" spans="1:16" ht="16.5" customHeight="1" x14ac:dyDescent="0.15">
      <c r="A65" s="41">
        <v>11</v>
      </c>
      <c r="B65" s="41" t="s">
        <v>4180</v>
      </c>
      <c r="C65" s="74" t="s">
        <v>4181</v>
      </c>
      <c r="D65" s="709"/>
      <c r="E65" s="718"/>
      <c r="F65" s="44"/>
      <c r="G65" s="45"/>
      <c r="H65" s="46"/>
      <c r="I65" s="35"/>
      <c r="K65" s="57"/>
      <c r="L65" s="734" t="s">
        <v>404</v>
      </c>
      <c r="M65" s="49" t="s">
        <v>398</v>
      </c>
      <c r="N65" s="50">
        <f>_11・初任</f>
        <v>0.7</v>
      </c>
      <c r="O65" s="47">
        <f>ROUND((_11_A重度研修増７．５*_11・初任),0)</f>
        <v>903</v>
      </c>
      <c r="P65" s="48"/>
    </row>
    <row r="66" spans="1:16" ht="16.5" customHeight="1" x14ac:dyDescent="0.15">
      <c r="A66" s="41">
        <v>11</v>
      </c>
      <c r="B66" s="41" t="s">
        <v>4182</v>
      </c>
      <c r="C66" s="74" t="s">
        <v>4183</v>
      </c>
      <c r="D66" s="100">
        <f>_11_A重度研修増７．５</f>
        <v>1290</v>
      </c>
      <c r="E66" s="12" t="s">
        <v>392</v>
      </c>
      <c r="F66" s="44" t="s">
        <v>397</v>
      </c>
      <c r="G66" s="45" t="s">
        <v>398</v>
      </c>
      <c r="H66" s="46">
        <v>1</v>
      </c>
      <c r="I66" s="35"/>
      <c r="K66" s="57"/>
      <c r="L66" s="706"/>
      <c r="M66" s="37"/>
      <c r="N66" s="38"/>
      <c r="O66" s="47">
        <f>ROUND((ROUND((_11_A重度研修増７．５*_11・２人),0)*_11・初任),0)</f>
        <v>903</v>
      </c>
      <c r="P66" s="48"/>
    </row>
    <row r="67" spans="1:16" ht="16.5" customHeight="1" x14ac:dyDescent="0.15">
      <c r="A67" s="41">
        <v>11</v>
      </c>
      <c r="B67" s="41">
        <v>2163</v>
      </c>
      <c r="C67" s="74" t="s">
        <v>4184</v>
      </c>
      <c r="D67" s="707" t="s">
        <v>594</v>
      </c>
      <c r="E67" s="717"/>
      <c r="F67" s="44"/>
      <c r="G67" s="45"/>
      <c r="H67" s="46"/>
      <c r="I67" s="35"/>
      <c r="K67" s="57"/>
      <c r="L67" s="53"/>
      <c r="M67" s="49"/>
      <c r="N67" s="50"/>
      <c r="O67" s="47">
        <f>_11_A重度研修増８．０</f>
        <v>1376</v>
      </c>
      <c r="P67" s="48"/>
    </row>
    <row r="68" spans="1:16" ht="16.5" customHeight="1" x14ac:dyDescent="0.15">
      <c r="A68" s="41">
        <v>11</v>
      </c>
      <c r="B68" s="41">
        <v>2164</v>
      </c>
      <c r="C68" s="74" t="s">
        <v>4185</v>
      </c>
      <c r="D68" s="709"/>
      <c r="E68" s="718"/>
      <c r="F68" s="44" t="s">
        <v>397</v>
      </c>
      <c r="G68" s="45" t="s">
        <v>398</v>
      </c>
      <c r="H68" s="46">
        <v>1</v>
      </c>
      <c r="I68" s="35"/>
      <c r="K68" s="57"/>
      <c r="L68" s="43"/>
      <c r="M68" s="37"/>
      <c r="N68" s="38"/>
      <c r="O68" s="47">
        <f>ROUND((_11_A重度研修増８．０*_11・２人),0)</f>
        <v>1376</v>
      </c>
      <c r="P68" s="48"/>
    </row>
    <row r="69" spans="1:16" ht="16.5" customHeight="1" x14ac:dyDescent="0.15">
      <c r="A69" s="41">
        <v>11</v>
      </c>
      <c r="B69" s="41" t="s">
        <v>4186</v>
      </c>
      <c r="C69" s="74" t="s">
        <v>4187</v>
      </c>
      <c r="D69" s="709"/>
      <c r="E69" s="718"/>
      <c r="F69" s="44"/>
      <c r="G69" s="45"/>
      <c r="H69" s="46"/>
      <c r="I69" s="35"/>
      <c r="K69" s="57"/>
      <c r="L69" s="734" t="s">
        <v>404</v>
      </c>
      <c r="M69" s="49" t="s">
        <v>398</v>
      </c>
      <c r="N69" s="50">
        <f>_11・初任</f>
        <v>0.7</v>
      </c>
      <c r="O69" s="47">
        <f>ROUND((_11_A重度研修増８．０*_11・初任),0)</f>
        <v>963</v>
      </c>
      <c r="P69" s="48"/>
    </row>
    <row r="70" spans="1:16" ht="16.5" customHeight="1" x14ac:dyDescent="0.15">
      <c r="A70" s="41">
        <v>11</v>
      </c>
      <c r="B70" s="41" t="s">
        <v>4188</v>
      </c>
      <c r="C70" s="74" t="s">
        <v>4189</v>
      </c>
      <c r="D70" s="100">
        <f>_11_A重度研修増８．０</f>
        <v>1376</v>
      </c>
      <c r="E70" s="12" t="s">
        <v>392</v>
      </c>
      <c r="F70" s="44" t="s">
        <v>397</v>
      </c>
      <c r="G70" s="45" t="s">
        <v>398</v>
      </c>
      <c r="H70" s="46">
        <v>1</v>
      </c>
      <c r="I70" s="35"/>
      <c r="K70" s="57"/>
      <c r="L70" s="706"/>
      <c r="M70" s="37"/>
      <c r="N70" s="38"/>
      <c r="O70" s="47">
        <f>ROUND((ROUND((_11_A重度研修増８．０*_11・２人),0)*_11・初任),0)</f>
        <v>963</v>
      </c>
      <c r="P70" s="48"/>
    </row>
    <row r="71" spans="1:16" ht="16.5" customHeight="1" x14ac:dyDescent="0.15">
      <c r="A71" s="41">
        <v>11</v>
      </c>
      <c r="B71" s="41">
        <v>2165</v>
      </c>
      <c r="C71" s="74" t="s">
        <v>4190</v>
      </c>
      <c r="D71" s="707" t="s">
        <v>607</v>
      </c>
      <c r="E71" s="717"/>
      <c r="F71" s="44"/>
      <c r="G71" s="45"/>
      <c r="H71" s="46"/>
      <c r="I71" s="35"/>
      <c r="K71" s="57"/>
      <c r="L71" s="53"/>
      <c r="M71" s="49"/>
      <c r="N71" s="50"/>
      <c r="O71" s="47">
        <f>_11_A重度研修増８．５</f>
        <v>1462</v>
      </c>
      <c r="P71" s="48"/>
    </row>
    <row r="72" spans="1:16" ht="16.5" customHeight="1" x14ac:dyDescent="0.15">
      <c r="A72" s="41">
        <v>11</v>
      </c>
      <c r="B72" s="41">
        <v>2166</v>
      </c>
      <c r="C72" s="74" t="s">
        <v>4191</v>
      </c>
      <c r="D72" s="709"/>
      <c r="E72" s="718"/>
      <c r="F72" s="44" t="s">
        <v>397</v>
      </c>
      <c r="G72" s="45" t="s">
        <v>398</v>
      </c>
      <c r="H72" s="46">
        <v>1</v>
      </c>
      <c r="I72" s="35"/>
      <c r="K72" s="57"/>
      <c r="L72" s="43"/>
      <c r="M72" s="37"/>
      <c r="N72" s="38"/>
      <c r="O72" s="47">
        <f>ROUND((_11_A重度研修増８．５*_11・２人),0)</f>
        <v>1462</v>
      </c>
      <c r="P72" s="48"/>
    </row>
    <row r="73" spans="1:16" ht="16.5" customHeight="1" x14ac:dyDescent="0.15">
      <c r="A73" s="41">
        <v>11</v>
      </c>
      <c r="B73" s="41" t="s">
        <v>4192</v>
      </c>
      <c r="C73" s="74" t="s">
        <v>4193</v>
      </c>
      <c r="D73" s="709"/>
      <c r="E73" s="718"/>
      <c r="F73" s="44"/>
      <c r="G73" s="45"/>
      <c r="H73" s="46"/>
      <c r="I73" s="35"/>
      <c r="K73" s="57"/>
      <c r="L73" s="734" t="s">
        <v>404</v>
      </c>
      <c r="M73" s="49" t="s">
        <v>398</v>
      </c>
      <c r="N73" s="50">
        <f>_11・初任</f>
        <v>0.7</v>
      </c>
      <c r="O73" s="47">
        <f>ROUND((_11_A重度研修増８．５*_11・初任),0)</f>
        <v>1023</v>
      </c>
      <c r="P73" s="48"/>
    </row>
    <row r="74" spans="1:16" ht="16.5" customHeight="1" x14ac:dyDescent="0.15">
      <c r="A74" s="41">
        <v>11</v>
      </c>
      <c r="B74" s="41" t="s">
        <v>4194</v>
      </c>
      <c r="C74" s="74" t="s">
        <v>4195</v>
      </c>
      <c r="D74" s="100">
        <f>_11_A重度研修増８．５</f>
        <v>1462</v>
      </c>
      <c r="E74" s="12" t="s">
        <v>392</v>
      </c>
      <c r="F74" s="44" t="s">
        <v>397</v>
      </c>
      <c r="G74" s="45" t="s">
        <v>398</v>
      </c>
      <c r="H74" s="46">
        <v>1</v>
      </c>
      <c r="I74" s="35"/>
      <c r="K74" s="57"/>
      <c r="L74" s="706"/>
      <c r="M74" s="37"/>
      <c r="N74" s="38"/>
      <c r="O74" s="47">
        <f>ROUND((ROUND((_11_A重度研修増８．５*_11・２人),0)*_11・初任),0)</f>
        <v>1023</v>
      </c>
      <c r="P74" s="48"/>
    </row>
    <row r="75" spans="1:16" ht="16.5" customHeight="1" x14ac:dyDescent="0.15">
      <c r="A75" s="41">
        <v>11</v>
      </c>
      <c r="B75" s="41">
        <v>2167</v>
      </c>
      <c r="C75" s="74" t="s">
        <v>4196</v>
      </c>
      <c r="D75" s="707" t="s">
        <v>620</v>
      </c>
      <c r="E75" s="717"/>
      <c r="F75" s="44"/>
      <c r="G75" s="45"/>
      <c r="H75" s="46"/>
      <c r="I75" s="35"/>
      <c r="K75" s="57"/>
      <c r="L75" s="53"/>
      <c r="M75" s="49"/>
      <c r="N75" s="50"/>
      <c r="O75" s="47">
        <f>_11_A重度研修増９．０</f>
        <v>1548</v>
      </c>
      <c r="P75" s="48"/>
    </row>
    <row r="76" spans="1:16" ht="16.5" customHeight="1" x14ac:dyDescent="0.15">
      <c r="A76" s="41">
        <v>11</v>
      </c>
      <c r="B76" s="41">
        <v>2168</v>
      </c>
      <c r="C76" s="74" t="s">
        <v>4197</v>
      </c>
      <c r="D76" s="709"/>
      <c r="E76" s="718"/>
      <c r="F76" s="44" t="s">
        <v>397</v>
      </c>
      <c r="G76" s="45" t="s">
        <v>398</v>
      </c>
      <c r="H76" s="46">
        <v>1</v>
      </c>
      <c r="I76" s="35"/>
      <c r="K76" s="57"/>
      <c r="L76" s="43"/>
      <c r="M76" s="37"/>
      <c r="N76" s="38"/>
      <c r="O76" s="47">
        <f>ROUND((_11_A重度研修増９．０*_11・２人),0)</f>
        <v>1548</v>
      </c>
      <c r="P76" s="48"/>
    </row>
    <row r="77" spans="1:16" ht="16.5" customHeight="1" x14ac:dyDescent="0.15">
      <c r="A77" s="41">
        <v>11</v>
      </c>
      <c r="B77" s="41" t="s">
        <v>4198</v>
      </c>
      <c r="C77" s="74" t="s">
        <v>4199</v>
      </c>
      <c r="D77" s="709"/>
      <c r="E77" s="718"/>
      <c r="F77" s="44"/>
      <c r="G77" s="45"/>
      <c r="H77" s="46"/>
      <c r="I77" s="35"/>
      <c r="K77" s="57"/>
      <c r="L77" s="734" t="s">
        <v>404</v>
      </c>
      <c r="M77" s="49" t="s">
        <v>398</v>
      </c>
      <c r="N77" s="50">
        <f>_11・初任</f>
        <v>0.7</v>
      </c>
      <c r="O77" s="47">
        <f>ROUND((_11_A重度研修増９．０*_11・初任),0)</f>
        <v>1084</v>
      </c>
      <c r="P77" s="48"/>
    </row>
    <row r="78" spans="1:16" ht="16.5" customHeight="1" x14ac:dyDescent="0.15">
      <c r="A78" s="41">
        <v>11</v>
      </c>
      <c r="B78" s="41" t="s">
        <v>4200</v>
      </c>
      <c r="C78" s="74" t="s">
        <v>4201</v>
      </c>
      <c r="D78" s="165">
        <f>_11_A重度研修増９．０</f>
        <v>1548</v>
      </c>
      <c r="E78" s="37" t="s">
        <v>392</v>
      </c>
      <c r="F78" s="44" t="s">
        <v>397</v>
      </c>
      <c r="G78" s="45" t="s">
        <v>398</v>
      </c>
      <c r="H78" s="46">
        <v>1</v>
      </c>
      <c r="I78" s="43"/>
      <c r="J78" s="38"/>
      <c r="K78" s="79"/>
      <c r="L78" s="706"/>
      <c r="M78" s="37"/>
      <c r="N78" s="38"/>
      <c r="O78" s="47">
        <f>ROUND((ROUND((_11_A重度研修増９．０*_11・２人),0)*_11・初任),0)</f>
        <v>1084</v>
      </c>
      <c r="P78" s="63"/>
    </row>
    <row r="79" spans="1:16" ht="16.5" customHeight="1" x14ac:dyDescent="0.15">
      <c r="A79" s="33">
        <v>11</v>
      </c>
      <c r="B79" s="33">
        <v>2169</v>
      </c>
      <c r="C79" s="34" t="s">
        <v>4202</v>
      </c>
      <c r="D79" s="709" t="s">
        <v>633</v>
      </c>
      <c r="E79" s="718"/>
      <c r="F79" s="36"/>
      <c r="G79" s="37"/>
      <c r="H79" s="38"/>
      <c r="I79" s="35"/>
      <c r="K79" s="57"/>
      <c r="L79" s="35"/>
      <c r="O79" s="39">
        <f>_11_A重度研修増９．５</f>
        <v>1634</v>
      </c>
      <c r="P79" s="48"/>
    </row>
    <row r="80" spans="1:16" ht="16.5" customHeight="1" x14ac:dyDescent="0.15">
      <c r="A80" s="41">
        <v>11</v>
      </c>
      <c r="B80" s="41">
        <v>2170</v>
      </c>
      <c r="C80" s="74" t="s">
        <v>4203</v>
      </c>
      <c r="D80" s="709"/>
      <c r="E80" s="718"/>
      <c r="F80" s="44" t="s">
        <v>397</v>
      </c>
      <c r="G80" s="45" t="s">
        <v>398</v>
      </c>
      <c r="H80" s="46">
        <v>1</v>
      </c>
      <c r="I80" s="35"/>
      <c r="K80" s="57"/>
      <c r="L80" s="43"/>
      <c r="M80" s="37"/>
      <c r="N80" s="38"/>
      <c r="O80" s="47">
        <f>ROUND((_11_A重度研修増９．５*_11・２人),0)</f>
        <v>1634</v>
      </c>
      <c r="P80" s="48"/>
    </row>
    <row r="81" spans="1:16" ht="16.5" customHeight="1" x14ac:dyDescent="0.15">
      <c r="A81" s="41">
        <v>11</v>
      </c>
      <c r="B81" s="41" t="s">
        <v>4204</v>
      </c>
      <c r="C81" s="74" t="s">
        <v>4205</v>
      </c>
      <c r="D81" s="709"/>
      <c r="E81" s="718"/>
      <c r="F81" s="44"/>
      <c r="G81" s="45"/>
      <c r="H81" s="46"/>
      <c r="I81" s="35"/>
      <c r="K81" s="57"/>
      <c r="L81" s="734" t="s">
        <v>404</v>
      </c>
      <c r="M81" s="49" t="s">
        <v>398</v>
      </c>
      <c r="N81" s="50">
        <f>_11・初任</f>
        <v>0.7</v>
      </c>
      <c r="O81" s="47">
        <f>ROUND((_11_A重度研修増９．５*_11・初任),0)</f>
        <v>1144</v>
      </c>
      <c r="P81" s="48"/>
    </row>
    <row r="82" spans="1:16" ht="16.5" customHeight="1" x14ac:dyDescent="0.15">
      <c r="A82" s="41">
        <v>11</v>
      </c>
      <c r="B82" s="41" t="s">
        <v>4206</v>
      </c>
      <c r="C82" s="74" t="s">
        <v>4207</v>
      </c>
      <c r="D82" s="100">
        <f>_11_A重度研修増９．５</f>
        <v>1634</v>
      </c>
      <c r="E82" s="12" t="s">
        <v>392</v>
      </c>
      <c r="F82" s="44" t="s">
        <v>397</v>
      </c>
      <c r="G82" s="45" t="s">
        <v>398</v>
      </c>
      <c r="H82" s="46">
        <v>1</v>
      </c>
      <c r="I82" s="35"/>
      <c r="K82" s="57"/>
      <c r="L82" s="706"/>
      <c r="M82" s="37"/>
      <c r="N82" s="38"/>
      <c r="O82" s="47">
        <f>ROUND((ROUND((_11_A重度研修増９．５*_11・２人),0)*_11・初任),0)</f>
        <v>1144</v>
      </c>
      <c r="P82" s="48"/>
    </row>
    <row r="83" spans="1:16" ht="16.5" customHeight="1" x14ac:dyDescent="0.15">
      <c r="A83" s="41">
        <v>11</v>
      </c>
      <c r="B83" s="41">
        <v>2171</v>
      </c>
      <c r="C83" s="74" t="s">
        <v>4208</v>
      </c>
      <c r="D83" s="707" t="s">
        <v>646</v>
      </c>
      <c r="E83" s="717"/>
      <c r="F83" s="44"/>
      <c r="G83" s="45"/>
      <c r="H83" s="46"/>
      <c r="I83" s="35"/>
      <c r="K83" s="57"/>
      <c r="L83" s="53"/>
      <c r="M83" s="49"/>
      <c r="N83" s="50"/>
      <c r="O83" s="47">
        <f>_11_A重度研修増１０．０</f>
        <v>1720</v>
      </c>
      <c r="P83" s="48"/>
    </row>
    <row r="84" spans="1:16" ht="16.5" customHeight="1" x14ac:dyDescent="0.15">
      <c r="A84" s="41">
        <v>11</v>
      </c>
      <c r="B84" s="41">
        <v>2172</v>
      </c>
      <c r="C84" s="74" t="s">
        <v>4209</v>
      </c>
      <c r="D84" s="709"/>
      <c r="E84" s="718"/>
      <c r="F84" s="44" t="s">
        <v>397</v>
      </c>
      <c r="G84" s="45" t="s">
        <v>398</v>
      </c>
      <c r="H84" s="46">
        <v>1</v>
      </c>
      <c r="I84" s="35"/>
      <c r="K84" s="57"/>
      <c r="L84" s="43"/>
      <c r="M84" s="37"/>
      <c r="N84" s="38"/>
      <c r="O84" s="47">
        <f>ROUND((_11_A重度研修増１０．０*_11・２人),0)</f>
        <v>1720</v>
      </c>
      <c r="P84" s="48"/>
    </row>
    <row r="85" spans="1:16" ht="16.5" customHeight="1" x14ac:dyDescent="0.15">
      <c r="A85" s="41">
        <v>11</v>
      </c>
      <c r="B85" s="41" t="s">
        <v>4210</v>
      </c>
      <c r="C85" s="74" t="s">
        <v>4211</v>
      </c>
      <c r="D85" s="709"/>
      <c r="E85" s="718"/>
      <c r="F85" s="44"/>
      <c r="G85" s="45"/>
      <c r="H85" s="46"/>
      <c r="I85" s="35"/>
      <c r="K85" s="57"/>
      <c r="L85" s="734" t="s">
        <v>404</v>
      </c>
      <c r="M85" s="49" t="s">
        <v>398</v>
      </c>
      <c r="N85" s="50">
        <f>_11・初任</f>
        <v>0.7</v>
      </c>
      <c r="O85" s="47">
        <f>ROUND((_11_A重度研修増１０．０*_11・初任),0)</f>
        <v>1204</v>
      </c>
      <c r="P85" s="48"/>
    </row>
    <row r="86" spans="1:16" ht="16.5" customHeight="1" x14ac:dyDescent="0.15">
      <c r="A86" s="41">
        <v>11</v>
      </c>
      <c r="B86" s="41" t="s">
        <v>4212</v>
      </c>
      <c r="C86" s="74" t="s">
        <v>4213</v>
      </c>
      <c r="D86" s="100">
        <f>_11_A重度研修増１０．０</f>
        <v>1720</v>
      </c>
      <c r="E86" s="12" t="s">
        <v>392</v>
      </c>
      <c r="F86" s="44" t="s">
        <v>397</v>
      </c>
      <c r="G86" s="45" t="s">
        <v>398</v>
      </c>
      <c r="H86" s="46">
        <v>1</v>
      </c>
      <c r="I86" s="35"/>
      <c r="K86" s="57"/>
      <c r="L86" s="706"/>
      <c r="M86" s="37"/>
      <c r="N86" s="38"/>
      <c r="O86" s="47">
        <f>ROUND((ROUND((_11_A重度研修増１０．０*_11・２人),0)*_11・初任),0)</f>
        <v>1204</v>
      </c>
      <c r="P86" s="48"/>
    </row>
    <row r="87" spans="1:16" ht="16.5" customHeight="1" x14ac:dyDescent="0.15">
      <c r="A87" s="41">
        <v>11</v>
      </c>
      <c r="B87" s="41">
        <v>2173</v>
      </c>
      <c r="C87" s="74" t="s">
        <v>4214</v>
      </c>
      <c r="D87" s="707" t="s">
        <v>659</v>
      </c>
      <c r="E87" s="717"/>
      <c r="F87" s="44"/>
      <c r="G87" s="45"/>
      <c r="H87" s="46"/>
      <c r="I87" s="35"/>
      <c r="K87" s="57"/>
      <c r="L87" s="53"/>
      <c r="M87" s="49"/>
      <c r="N87" s="50"/>
      <c r="O87" s="47">
        <f>_11_A重度研修増１０．５</f>
        <v>1806</v>
      </c>
      <c r="P87" s="48"/>
    </row>
    <row r="88" spans="1:16" ht="16.5" customHeight="1" x14ac:dyDescent="0.15">
      <c r="A88" s="41">
        <v>11</v>
      </c>
      <c r="B88" s="41">
        <v>2174</v>
      </c>
      <c r="C88" s="74" t="s">
        <v>4215</v>
      </c>
      <c r="D88" s="709"/>
      <c r="E88" s="718"/>
      <c r="F88" s="44" t="s">
        <v>397</v>
      </c>
      <c r="G88" s="45" t="s">
        <v>398</v>
      </c>
      <c r="H88" s="46">
        <v>1</v>
      </c>
      <c r="I88" s="35"/>
      <c r="K88" s="57"/>
      <c r="L88" s="43"/>
      <c r="M88" s="37"/>
      <c r="N88" s="38"/>
      <c r="O88" s="47">
        <f>ROUND((_11_A重度研修増１０．５*_11・２人),0)</f>
        <v>1806</v>
      </c>
      <c r="P88" s="48"/>
    </row>
    <row r="89" spans="1:16" ht="16.5" customHeight="1" x14ac:dyDescent="0.15">
      <c r="A89" s="41">
        <v>11</v>
      </c>
      <c r="B89" s="41" t="s">
        <v>4216</v>
      </c>
      <c r="C89" s="74" t="s">
        <v>4217</v>
      </c>
      <c r="D89" s="709"/>
      <c r="E89" s="718"/>
      <c r="F89" s="44"/>
      <c r="G89" s="45"/>
      <c r="H89" s="46"/>
      <c r="I89" s="35"/>
      <c r="K89" s="57"/>
      <c r="L89" s="734" t="s">
        <v>404</v>
      </c>
      <c r="M89" s="49" t="s">
        <v>398</v>
      </c>
      <c r="N89" s="50">
        <f>_11・初任</f>
        <v>0.7</v>
      </c>
      <c r="O89" s="47">
        <f>ROUND((_11_A重度研修増１０．５*_11・初任),0)</f>
        <v>1264</v>
      </c>
      <c r="P89" s="48"/>
    </row>
    <row r="90" spans="1:16" ht="16.5" customHeight="1" x14ac:dyDescent="0.15">
      <c r="A90" s="41">
        <v>11</v>
      </c>
      <c r="B90" s="41" t="s">
        <v>4218</v>
      </c>
      <c r="C90" s="74" t="s">
        <v>4219</v>
      </c>
      <c r="D90" s="165">
        <f>_11_A重度研修増１０．５</f>
        <v>1806</v>
      </c>
      <c r="E90" s="37" t="s">
        <v>392</v>
      </c>
      <c r="F90" s="44" t="s">
        <v>397</v>
      </c>
      <c r="G90" s="45" t="s">
        <v>398</v>
      </c>
      <c r="H90" s="46">
        <v>1</v>
      </c>
      <c r="I90" s="43"/>
      <c r="J90" s="38"/>
      <c r="K90" s="79"/>
      <c r="L90" s="706"/>
      <c r="M90" s="37"/>
      <c r="N90" s="38"/>
      <c r="O90" s="47">
        <f>ROUND((ROUND((_11_A重度研修増１０．５*_11・２人),0)*_11・初任),0)</f>
        <v>1264</v>
      </c>
      <c r="P90" s="63"/>
    </row>
    <row r="91" spans="1:16" ht="16.5" customHeight="1" x14ac:dyDescent="0.15">
      <c r="A91" s="80"/>
      <c r="B91" s="80"/>
      <c r="C91" s="81"/>
      <c r="O91" s="84"/>
      <c r="P91" s="85"/>
    </row>
    <row r="92" spans="1:16" ht="16.5" customHeight="1" x14ac:dyDescent="0.15">
      <c r="A92" s="80"/>
      <c r="B92" s="80"/>
      <c r="C92" s="81"/>
      <c r="O92" s="84"/>
      <c r="P92" s="85"/>
    </row>
    <row r="93" spans="1:16" ht="16.5" customHeight="1" x14ac:dyDescent="0.15">
      <c r="A93" s="80"/>
      <c r="B93" s="86" t="s">
        <v>4220</v>
      </c>
      <c r="C93" s="81"/>
      <c r="D93" s="71"/>
      <c r="O93" s="84"/>
      <c r="P93" s="85"/>
    </row>
    <row r="94" spans="1:16" ht="16.5" customHeight="1" x14ac:dyDescent="0.15">
      <c r="A94" s="87" t="s">
        <v>384</v>
      </c>
      <c r="B94" s="20"/>
      <c r="C94" s="88" t="s">
        <v>385</v>
      </c>
      <c r="D94" s="23" t="s">
        <v>386</v>
      </c>
      <c r="E94" s="118"/>
      <c r="F94" s="23"/>
      <c r="G94" s="23"/>
      <c r="H94" s="24"/>
      <c r="I94" s="23"/>
      <c r="J94" s="24"/>
      <c r="K94" s="23"/>
      <c r="L94" s="23"/>
      <c r="M94" s="23"/>
      <c r="N94" s="24"/>
      <c r="O94" s="25" t="s">
        <v>387</v>
      </c>
      <c r="P94" s="21" t="s">
        <v>388</v>
      </c>
    </row>
    <row r="95" spans="1:16" ht="16.5" customHeight="1" x14ac:dyDescent="0.15">
      <c r="A95" s="26" t="s">
        <v>389</v>
      </c>
      <c r="B95" s="26" t="s">
        <v>390</v>
      </c>
      <c r="C95" s="89"/>
      <c r="D95" s="29"/>
      <c r="E95" s="120"/>
      <c r="F95" s="29"/>
      <c r="G95" s="29"/>
      <c r="H95" s="30"/>
      <c r="I95" s="29"/>
      <c r="J95" s="30"/>
      <c r="K95" s="29"/>
      <c r="L95" s="29"/>
      <c r="M95" s="29"/>
      <c r="N95" s="30"/>
      <c r="O95" s="31" t="s">
        <v>391</v>
      </c>
      <c r="P95" s="32" t="s">
        <v>392</v>
      </c>
    </row>
    <row r="96" spans="1:16" ht="16.5" customHeight="1" x14ac:dyDescent="0.15">
      <c r="A96" s="33">
        <v>11</v>
      </c>
      <c r="B96" s="33">
        <v>2175</v>
      </c>
      <c r="C96" s="34" t="s">
        <v>4221</v>
      </c>
      <c r="D96" s="709" t="s">
        <v>673</v>
      </c>
      <c r="E96" s="718"/>
      <c r="F96" s="36"/>
      <c r="G96" s="37"/>
      <c r="H96" s="38"/>
      <c r="I96" s="72" t="s">
        <v>674</v>
      </c>
      <c r="K96" s="57"/>
      <c r="L96" s="35"/>
      <c r="O96" s="39">
        <f>ROUND((_11_A重度研修増０．５*(1+_11・A早朝)),0)</f>
        <v>108</v>
      </c>
      <c r="P96" s="40" t="s">
        <v>395</v>
      </c>
    </row>
    <row r="97" spans="1:16" ht="16.5" customHeight="1" x14ac:dyDescent="0.15">
      <c r="A97" s="41">
        <v>11</v>
      </c>
      <c r="B97" s="41">
        <v>2176</v>
      </c>
      <c r="C97" s="74" t="s">
        <v>4222</v>
      </c>
      <c r="D97" s="709"/>
      <c r="E97" s="718"/>
      <c r="F97" s="44" t="s">
        <v>397</v>
      </c>
      <c r="G97" s="45" t="s">
        <v>398</v>
      </c>
      <c r="H97" s="46">
        <v>1</v>
      </c>
      <c r="I97" s="35" t="s">
        <v>398</v>
      </c>
      <c r="J97" s="13">
        <v>0.25</v>
      </c>
      <c r="K97" s="728" t="s">
        <v>676</v>
      </c>
      <c r="L97" s="43"/>
      <c r="M97" s="37"/>
      <c r="N97" s="38"/>
      <c r="O97" s="47">
        <f>ROUND((ROUND((_11_A重度研修増０．５*_11・２人),0)*(1+_11・A早朝)),0)</f>
        <v>108</v>
      </c>
      <c r="P97" s="48"/>
    </row>
    <row r="98" spans="1:16" ht="16.5" customHeight="1" x14ac:dyDescent="0.15">
      <c r="A98" s="41">
        <v>11</v>
      </c>
      <c r="B98" s="41" t="s">
        <v>4223</v>
      </c>
      <c r="C98" s="74" t="s">
        <v>4224</v>
      </c>
      <c r="D98" s="709"/>
      <c r="E98" s="718"/>
      <c r="F98" s="44"/>
      <c r="G98" s="45"/>
      <c r="H98" s="46"/>
      <c r="I98" s="35"/>
      <c r="K98" s="728"/>
      <c r="L98" s="734" t="s">
        <v>404</v>
      </c>
      <c r="M98" s="49" t="s">
        <v>398</v>
      </c>
      <c r="N98" s="50">
        <f>_11・初任</f>
        <v>0.7</v>
      </c>
      <c r="O98" s="47">
        <f>ROUND((ROUND((_11_A重度研修増０．５*(1+_11・A早朝)),0)*_11・初任),0)</f>
        <v>76</v>
      </c>
      <c r="P98" s="48"/>
    </row>
    <row r="99" spans="1:16" ht="16.5" customHeight="1" x14ac:dyDescent="0.15">
      <c r="A99" s="41">
        <v>11</v>
      </c>
      <c r="B99" s="41" t="s">
        <v>4225</v>
      </c>
      <c r="C99" s="74" t="s">
        <v>4226</v>
      </c>
      <c r="D99" s="100">
        <f>_11_A重度研修増０．５</f>
        <v>86</v>
      </c>
      <c r="E99" s="12" t="s">
        <v>392</v>
      </c>
      <c r="F99" s="44" t="s">
        <v>397</v>
      </c>
      <c r="G99" s="45" t="s">
        <v>398</v>
      </c>
      <c r="H99" s="46">
        <v>1</v>
      </c>
      <c r="I99" s="35"/>
      <c r="K99" s="57"/>
      <c r="L99" s="706"/>
      <c r="M99" s="37"/>
      <c r="N99" s="38"/>
      <c r="O99" s="47">
        <f>ROUND((ROUND((ROUND((_11_A重度研修増０．５*_11・２人),0)*(1+_11・A早朝)),0)*_11・初任),0)</f>
        <v>76</v>
      </c>
      <c r="P99" s="48"/>
    </row>
    <row r="100" spans="1:16" ht="16.5" customHeight="1" x14ac:dyDescent="0.15">
      <c r="A100" s="41">
        <v>11</v>
      </c>
      <c r="B100" s="41">
        <v>2177</v>
      </c>
      <c r="C100" s="74" t="s">
        <v>4227</v>
      </c>
      <c r="D100" s="707" t="s">
        <v>689</v>
      </c>
      <c r="E100" s="717"/>
      <c r="F100" s="44"/>
      <c r="G100" s="45"/>
      <c r="H100" s="46"/>
      <c r="I100" s="35"/>
      <c r="K100" s="57"/>
      <c r="L100" s="53"/>
      <c r="M100" s="49"/>
      <c r="N100" s="50"/>
      <c r="O100" s="47">
        <f>ROUND((_11_A重度研修増１．０*(1+_11・A早朝)),0)</f>
        <v>215</v>
      </c>
      <c r="P100" s="48"/>
    </row>
    <row r="101" spans="1:16" ht="16.5" customHeight="1" x14ac:dyDescent="0.15">
      <c r="A101" s="41">
        <v>11</v>
      </c>
      <c r="B101" s="41">
        <v>2178</v>
      </c>
      <c r="C101" s="74" t="s">
        <v>4228</v>
      </c>
      <c r="D101" s="709"/>
      <c r="E101" s="718"/>
      <c r="F101" s="44" t="s">
        <v>397</v>
      </c>
      <c r="G101" s="45" t="s">
        <v>398</v>
      </c>
      <c r="H101" s="46">
        <v>1</v>
      </c>
      <c r="I101" s="35"/>
      <c r="K101" s="57"/>
      <c r="L101" s="43"/>
      <c r="M101" s="37"/>
      <c r="N101" s="38"/>
      <c r="O101" s="47">
        <f>ROUND((ROUND((_11_A重度研修増１．０*_11・２人),0)*(1+_11・A早朝)),0)</f>
        <v>215</v>
      </c>
      <c r="P101" s="48"/>
    </row>
    <row r="102" spans="1:16" ht="16.5" customHeight="1" x14ac:dyDescent="0.15">
      <c r="A102" s="41">
        <v>11</v>
      </c>
      <c r="B102" s="41" t="s">
        <v>4229</v>
      </c>
      <c r="C102" s="74" t="s">
        <v>4230</v>
      </c>
      <c r="D102" s="709"/>
      <c r="E102" s="718"/>
      <c r="F102" s="44"/>
      <c r="G102" s="45"/>
      <c r="H102" s="46"/>
      <c r="I102" s="35"/>
      <c r="K102" s="57"/>
      <c r="L102" s="734" t="s">
        <v>404</v>
      </c>
      <c r="M102" s="49" t="s">
        <v>398</v>
      </c>
      <c r="N102" s="50">
        <f>_11・初任</f>
        <v>0.7</v>
      </c>
      <c r="O102" s="47">
        <f>ROUND((ROUND((_11_A重度研修増１．０*(1+_11・A早朝)),0)*_11・初任),0)</f>
        <v>151</v>
      </c>
      <c r="P102" s="48"/>
    </row>
    <row r="103" spans="1:16" ht="16.5" customHeight="1" x14ac:dyDescent="0.15">
      <c r="A103" s="41">
        <v>11</v>
      </c>
      <c r="B103" s="41" t="s">
        <v>4231</v>
      </c>
      <c r="C103" s="74" t="s">
        <v>4232</v>
      </c>
      <c r="D103" s="100">
        <f>_11_A重度研修増１．０</f>
        <v>172</v>
      </c>
      <c r="E103" s="12" t="s">
        <v>392</v>
      </c>
      <c r="F103" s="44" t="s">
        <v>397</v>
      </c>
      <c r="G103" s="45" t="s">
        <v>398</v>
      </c>
      <c r="H103" s="46">
        <v>1</v>
      </c>
      <c r="I103" s="35"/>
      <c r="K103" s="57"/>
      <c r="L103" s="706"/>
      <c r="M103" s="37"/>
      <c r="N103" s="38"/>
      <c r="O103" s="47">
        <f>ROUND((ROUND((ROUND((_11_A重度研修増１．０*_11・２人),0)*(1+_11・A早朝)),0)*_11・初任),0)</f>
        <v>151</v>
      </c>
      <c r="P103" s="48"/>
    </row>
    <row r="104" spans="1:16" ht="16.5" customHeight="1" x14ac:dyDescent="0.15">
      <c r="A104" s="41">
        <v>11</v>
      </c>
      <c r="B104" s="41">
        <v>2179</v>
      </c>
      <c r="C104" s="74" t="s">
        <v>4233</v>
      </c>
      <c r="D104" s="707" t="s">
        <v>702</v>
      </c>
      <c r="E104" s="717"/>
      <c r="F104" s="44"/>
      <c r="G104" s="45"/>
      <c r="H104" s="46"/>
      <c r="I104" s="35"/>
      <c r="K104" s="57"/>
      <c r="L104" s="53"/>
      <c r="M104" s="49"/>
      <c r="N104" s="50"/>
      <c r="O104" s="47">
        <f>ROUND((_11_A重度研修増１．５*(1+_11・A早朝)),0)</f>
        <v>323</v>
      </c>
      <c r="P104" s="48"/>
    </row>
    <row r="105" spans="1:16" ht="16.5" customHeight="1" x14ac:dyDescent="0.15">
      <c r="A105" s="41">
        <v>11</v>
      </c>
      <c r="B105" s="41">
        <v>2180</v>
      </c>
      <c r="C105" s="74" t="s">
        <v>4234</v>
      </c>
      <c r="D105" s="709"/>
      <c r="E105" s="718"/>
      <c r="F105" s="44" t="s">
        <v>397</v>
      </c>
      <c r="G105" s="45" t="s">
        <v>398</v>
      </c>
      <c r="H105" s="46">
        <v>1</v>
      </c>
      <c r="I105" s="35"/>
      <c r="K105" s="57"/>
      <c r="L105" s="43"/>
      <c r="M105" s="37"/>
      <c r="N105" s="38"/>
      <c r="O105" s="47">
        <f>ROUND((ROUND((_11_A重度研修増１．５*_11・２人),0)*(1+_11・A早朝)),0)</f>
        <v>323</v>
      </c>
      <c r="P105" s="48"/>
    </row>
    <row r="106" spans="1:16" ht="16.5" customHeight="1" x14ac:dyDescent="0.15">
      <c r="A106" s="41">
        <v>11</v>
      </c>
      <c r="B106" s="41" t="s">
        <v>4235</v>
      </c>
      <c r="C106" s="74" t="s">
        <v>4236</v>
      </c>
      <c r="D106" s="709"/>
      <c r="E106" s="718"/>
      <c r="F106" s="44"/>
      <c r="G106" s="45"/>
      <c r="H106" s="46"/>
      <c r="I106" s="35"/>
      <c r="K106" s="57"/>
      <c r="L106" s="734" t="s">
        <v>404</v>
      </c>
      <c r="M106" s="49" t="s">
        <v>398</v>
      </c>
      <c r="N106" s="50">
        <f>_11・初任</f>
        <v>0.7</v>
      </c>
      <c r="O106" s="47">
        <f>ROUND((ROUND((_11_A重度研修増１．５*(1+_11・A早朝)),0)*_11・初任),0)</f>
        <v>226</v>
      </c>
      <c r="P106" s="48"/>
    </row>
    <row r="107" spans="1:16" ht="16.5" customHeight="1" x14ac:dyDescent="0.15">
      <c r="A107" s="41">
        <v>11</v>
      </c>
      <c r="B107" s="41" t="s">
        <v>4237</v>
      </c>
      <c r="C107" s="74" t="s">
        <v>4238</v>
      </c>
      <c r="D107" s="100">
        <f>_11_A重度研修増１．５</f>
        <v>258</v>
      </c>
      <c r="E107" s="12" t="s">
        <v>392</v>
      </c>
      <c r="F107" s="44" t="s">
        <v>397</v>
      </c>
      <c r="G107" s="45" t="s">
        <v>398</v>
      </c>
      <c r="H107" s="46">
        <v>1</v>
      </c>
      <c r="I107" s="35"/>
      <c r="K107" s="57"/>
      <c r="L107" s="706"/>
      <c r="M107" s="37"/>
      <c r="N107" s="38"/>
      <c r="O107" s="47">
        <f>ROUND((ROUND((ROUND((_11_A重度研修増１．５*_11・２人),0)*(1+_11・A早朝)),0)*_11・初任),0)</f>
        <v>226</v>
      </c>
      <c r="P107" s="48"/>
    </row>
    <row r="108" spans="1:16" ht="16.5" customHeight="1" x14ac:dyDescent="0.15">
      <c r="A108" s="41">
        <v>11</v>
      </c>
      <c r="B108" s="41">
        <v>2181</v>
      </c>
      <c r="C108" s="74" t="s">
        <v>4239</v>
      </c>
      <c r="D108" s="707" t="s">
        <v>715</v>
      </c>
      <c r="E108" s="717"/>
      <c r="F108" s="44"/>
      <c r="G108" s="45"/>
      <c r="H108" s="46"/>
      <c r="I108" s="35"/>
      <c r="K108" s="57"/>
      <c r="L108" s="53"/>
      <c r="M108" s="49"/>
      <c r="N108" s="50"/>
      <c r="O108" s="47">
        <f>ROUND((_11_A重度研修増２．０*(1+_11・A早朝)),0)</f>
        <v>430</v>
      </c>
      <c r="P108" s="48"/>
    </row>
    <row r="109" spans="1:16" ht="16.5" customHeight="1" x14ac:dyDescent="0.15">
      <c r="A109" s="41">
        <v>11</v>
      </c>
      <c r="B109" s="41">
        <v>2182</v>
      </c>
      <c r="C109" s="74" t="s">
        <v>4240</v>
      </c>
      <c r="D109" s="709"/>
      <c r="E109" s="718"/>
      <c r="F109" s="44" t="s">
        <v>397</v>
      </c>
      <c r="G109" s="45" t="s">
        <v>398</v>
      </c>
      <c r="H109" s="46">
        <v>1</v>
      </c>
      <c r="I109" s="35"/>
      <c r="K109" s="57"/>
      <c r="L109" s="43"/>
      <c r="M109" s="37"/>
      <c r="N109" s="38"/>
      <c r="O109" s="47">
        <f>ROUND((ROUND((_11_A重度研修増２．０*_11・２人),0)*(1+_11・A早朝)),0)</f>
        <v>430</v>
      </c>
      <c r="P109" s="48"/>
    </row>
    <row r="110" spans="1:16" ht="16.5" customHeight="1" x14ac:dyDescent="0.15">
      <c r="A110" s="41">
        <v>11</v>
      </c>
      <c r="B110" s="41" t="s">
        <v>4241</v>
      </c>
      <c r="C110" s="74" t="s">
        <v>4242</v>
      </c>
      <c r="D110" s="709"/>
      <c r="E110" s="718"/>
      <c r="F110" s="44"/>
      <c r="G110" s="45"/>
      <c r="H110" s="46"/>
      <c r="I110" s="35"/>
      <c r="K110" s="57"/>
      <c r="L110" s="734" t="s">
        <v>404</v>
      </c>
      <c r="M110" s="49" t="s">
        <v>398</v>
      </c>
      <c r="N110" s="50">
        <f>_11・初任</f>
        <v>0.7</v>
      </c>
      <c r="O110" s="47">
        <f>ROUND((ROUND((_11_A重度研修増２．０*(1+_11・A早朝)),0)*_11・初任),0)</f>
        <v>301</v>
      </c>
      <c r="P110" s="48"/>
    </row>
    <row r="111" spans="1:16" ht="16.5" customHeight="1" x14ac:dyDescent="0.15">
      <c r="A111" s="41">
        <v>11</v>
      </c>
      <c r="B111" s="41" t="s">
        <v>4243</v>
      </c>
      <c r="C111" s="74" t="s">
        <v>4244</v>
      </c>
      <c r="D111" s="100">
        <f>_11_A重度研修増２．０</f>
        <v>344</v>
      </c>
      <c r="E111" s="12" t="s">
        <v>392</v>
      </c>
      <c r="F111" s="44" t="s">
        <v>397</v>
      </c>
      <c r="G111" s="45" t="s">
        <v>398</v>
      </c>
      <c r="H111" s="46">
        <v>1</v>
      </c>
      <c r="I111" s="35"/>
      <c r="K111" s="57"/>
      <c r="L111" s="706"/>
      <c r="M111" s="37"/>
      <c r="N111" s="38"/>
      <c r="O111" s="47">
        <f>ROUND((ROUND((ROUND((_11_A重度研修増２．０*_11・２人),0)*(1+_11・A早朝)),0)*_11・初任),0)</f>
        <v>301</v>
      </c>
      <c r="P111" s="48"/>
    </row>
    <row r="112" spans="1:16" ht="16.5" customHeight="1" x14ac:dyDescent="0.15">
      <c r="A112" s="41">
        <v>11</v>
      </c>
      <c r="B112" s="41">
        <v>2183</v>
      </c>
      <c r="C112" s="74" t="s">
        <v>4245</v>
      </c>
      <c r="D112" s="707" t="s">
        <v>728</v>
      </c>
      <c r="E112" s="717"/>
      <c r="F112" s="44"/>
      <c r="G112" s="45"/>
      <c r="H112" s="46"/>
      <c r="I112" s="35"/>
      <c r="K112" s="57"/>
      <c r="L112" s="53"/>
      <c r="M112" s="49"/>
      <c r="N112" s="50"/>
      <c r="O112" s="47">
        <f>ROUND((_11_A重度研修増２．５*(1+_11・A早朝)),0)</f>
        <v>538</v>
      </c>
      <c r="P112" s="48"/>
    </row>
    <row r="113" spans="1:16" ht="16.5" customHeight="1" x14ac:dyDescent="0.15">
      <c r="A113" s="41">
        <v>11</v>
      </c>
      <c r="B113" s="41">
        <v>2184</v>
      </c>
      <c r="C113" s="74" t="s">
        <v>4246</v>
      </c>
      <c r="D113" s="709"/>
      <c r="E113" s="718"/>
      <c r="F113" s="44" t="s">
        <v>397</v>
      </c>
      <c r="G113" s="45" t="s">
        <v>398</v>
      </c>
      <c r="H113" s="46">
        <v>1</v>
      </c>
      <c r="I113" s="35"/>
      <c r="K113" s="57"/>
      <c r="L113" s="43"/>
      <c r="M113" s="37"/>
      <c r="N113" s="38"/>
      <c r="O113" s="47">
        <f>ROUND((ROUND((_11_A重度研修増２．５*_11・２人),0)*(1+_11・A早朝)),0)</f>
        <v>538</v>
      </c>
      <c r="P113" s="48"/>
    </row>
    <row r="114" spans="1:16" ht="16.5" customHeight="1" x14ac:dyDescent="0.15">
      <c r="A114" s="41">
        <v>11</v>
      </c>
      <c r="B114" s="41" t="s">
        <v>4247</v>
      </c>
      <c r="C114" s="74" t="s">
        <v>4248</v>
      </c>
      <c r="D114" s="709"/>
      <c r="E114" s="718"/>
      <c r="F114" s="44"/>
      <c r="G114" s="45"/>
      <c r="H114" s="46"/>
      <c r="I114" s="35"/>
      <c r="K114" s="57"/>
      <c r="L114" s="734" t="s">
        <v>404</v>
      </c>
      <c r="M114" s="49" t="s">
        <v>398</v>
      </c>
      <c r="N114" s="50">
        <f>_11・初任</f>
        <v>0.7</v>
      </c>
      <c r="O114" s="47">
        <f>ROUND((ROUND((_11_A重度研修増２．５*(1+_11・A早朝)),0)*_11・初任),0)</f>
        <v>377</v>
      </c>
      <c r="P114" s="48"/>
    </row>
    <row r="115" spans="1:16" ht="16.5" customHeight="1" x14ac:dyDescent="0.15">
      <c r="A115" s="41">
        <v>11</v>
      </c>
      <c r="B115" s="41" t="s">
        <v>4249</v>
      </c>
      <c r="C115" s="74" t="s">
        <v>4250</v>
      </c>
      <c r="D115" s="165">
        <f>_11_A重度研修増２．５</f>
        <v>430</v>
      </c>
      <c r="E115" s="37" t="s">
        <v>392</v>
      </c>
      <c r="F115" s="44" t="s">
        <v>397</v>
      </c>
      <c r="G115" s="45" t="s">
        <v>398</v>
      </c>
      <c r="H115" s="46">
        <v>1</v>
      </c>
      <c r="I115" s="43"/>
      <c r="J115" s="38"/>
      <c r="K115" s="79"/>
      <c r="L115" s="706"/>
      <c r="M115" s="37"/>
      <c r="N115" s="38"/>
      <c r="O115" s="47">
        <f>ROUND((ROUND((ROUND((_11_A重度研修増２．５*_11・２人),0)*(1+_11・A早朝)),0)*_11・初任),0)</f>
        <v>377</v>
      </c>
      <c r="P115" s="63"/>
    </row>
    <row r="116" spans="1:16" ht="16.5" customHeight="1" x14ac:dyDescent="0.15"/>
    <row r="117" spans="1:16" ht="16.5" customHeight="1" x14ac:dyDescent="0.15"/>
  </sheetData>
  <mergeCells count="53">
    <mergeCell ref="D108:E110"/>
    <mergeCell ref="L110:L111"/>
    <mergeCell ref="D112:E114"/>
    <mergeCell ref="L114:L115"/>
    <mergeCell ref="D96:E98"/>
    <mergeCell ref="K97:K98"/>
    <mergeCell ref="L98:L99"/>
    <mergeCell ref="D100:E102"/>
    <mergeCell ref="L102:L103"/>
    <mergeCell ref="D104:E106"/>
    <mergeCell ref="L106:L107"/>
    <mergeCell ref="D79:E81"/>
    <mergeCell ref="L81:L82"/>
    <mergeCell ref="D83:E85"/>
    <mergeCell ref="L85:L86"/>
    <mergeCell ref="D87:E89"/>
    <mergeCell ref="L89:L90"/>
    <mergeCell ref="D67:E69"/>
    <mergeCell ref="L69:L70"/>
    <mergeCell ref="D71:E73"/>
    <mergeCell ref="L73:L74"/>
    <mergeCell ref="D75:E77"/>
    <mergeCell ref="L77:L78"/>
    <mergeCell ref="D55:E57"/>
    <mergeCell ref="L57:L58"/>
    <mergeCell ref="D59:E61"/>
    <mergeCell ref="L61:L62"/>
    <mergeCell ref="D63:E65"/>
    <mergeCell ref="L65:L66"/>
    <mergeCell ref="D43:E45"/>
    <mergeCell ref="L45:L46"/>
    <mergeCell ref="D47:E49"/>
    <mergeCell ref="L49:L50"/>
    <mergeCell ref="D51:E53"/>
    <mergeCell ref="L53:L54"/>
    <mergeCell ref="D31:E33"/>
    <mergeCell ref="L33:L34"/>
    <mergeCell ref="D35:E37"/>
    <mergeCell ref="L37:L38"/>
    <mergeCell ref="D39:E41"/>
    <mergeCell ref="L41:L42"/>
    <mergeCell ref="D19:E21"/>
    <mergeCell ref="L21:L22"/>
    <mergeCell ref="D23:E25"/>
    <mergeCell ref="L25:L26"/>
    <mergeCell ref="D27:E29"/>
    <mergeCell ref="L29:L30"/>
    <mergeCell ref="D7:E9"/>
    <mergeCell ref="L9:L10"/>
    <mergeCell ref="D11:E13"/>
    <mergeCell ref="L13:L14"/>
    <mergeCell ref="D15:E17"/>
    <mergeCell ref="L17:L18"/>
  </mergeCells>
  <phoneticPr fontId="1"/>
  <printOptions horizontalCentered="1"/>
  <pageMargins left="0.70866141732283472" right="0.70866141732283472" top="0.74803149606299213" bottom="0.74803149606299213" header="0.31496062992125984" footer="0.31496062992125984"/>
  <pageSetup paperSize="9" scale="59" fitToHeight="0" orientation="portrait" r:id="rId1"/>
  <headerFooter>
    <oddHeader>&amp;R&amp;"ＭＳ Ｐゴシック"&amp;9居宅介護</oddHeader>
    <oddFooter>&amp;C&amp;"ＭＳ Ｐゴシック"&amp;14&amp;P</oddFooter>
  </headerFooter>
  <rowBreaks count="1" manualBreakCount="1">
    <brk id="78" max="1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pageSetUpPr fitToPage="1"/>
  </sheetPr>
  <dimension ref="A1:P101"/>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5.125" style="10" bestFit="1" customWidth="1"/>
    <col min="4" max="4" width="6" style="10" bestFit="1" customWidth="1"/>
    <col min="5" max="5" width="5.5" style="117" bestFit="1" customWidth="1"/>
    <col min="6" max="6" width="25.5" style="14" bestFit="1" customWidth="1"/>
    <col min="7" max="7" width="3.5" style="12" bestFit="1" customWidth="1"/>
    <col min="8" max="8" width="5.5" style="13" bestFit="1" customWidth="1"/>
    <col min="9" max="9" width="3.5" style="12" bestFit="1" customWidth="1"/>
    <col min="10" max="10" width="4.5" style="13" bestFit="1" customWidth="1"/>
    <col min="11" max="11" width="5.5" style="12" bestFit="1" customWidth="1"/>
    <col min="12" max="12" width="17.875" style="12" customWidth="1"/>
    <col min="13" max="13" width="3.5" style="12" bestFit="1" customWidth="1"/>
    <col min="14" max="14" width="4.5" style="13" bestFit="1" customWidth="1"/>
    <col min="15" max="15" width="7.125" style="15" customWidth="1"/>
    <col min="16" max="16" width="8.5" style="16" customWidth="1"/>
    <col min="17" max="16384" width="8.875" style="12"/>
  </cols>
  <sheetData>
    <row r="1" spans="1:16" ht="17.100000000000001" customHeight="1" x14ac:dyDescent="0.15"/>
    <row r="2" spans="1:16" ht="17.100000000000001" customHeight="1" x14ac:dyDescent="0.15"/>
    <row r="3" spans="1:16" ht="17.100000000000001" customHeight="1" x14ac:dyDescent="0.15"/>
    <row r="4" spans="1:16" ht="17.100000000000001" customHeight="1" x14ac:dyDescent="0.15">
      <c r="B4" s="17" t="s">
        <v>4251</v>
      </c>
      <c r="D4" s="71"/>
    </row>
    <row r="5" spans="1:16" ht="16.5" customHeight="1" x14ac:dyDescent="0.15">
      <c r="A5" s="19" t="s">
        <v>384</v>
      </c>
      <c r="B5" s="20"/>
      <c r="C5" s="21" t="s">
        <v>385</v>
      </c>
      <c r="D5" s="23" t="s">
        <v>386</v>
      </c>
      <c r="E5" s="118"/>
      <c r="F5" s="23"/>
      <c r="G5" s="23"/>
      <c r="H5" s="24"/>
      <c r="I5" s="23"/>
      <c r="J5" s="24"/>
      <c r="K5" s="23"/>
      <c r="L5" s="23"/>
      <c r="M5" s="23"/>
      <c r="N5" s="24"/>
      <c r="O5" s="25" t="s">
        <v>387</v>
      </c>
      <c r="P5" s="21" t="s">
        <v>388</v>
      </c>
    </row>
    <row r="6" spans="1:16" ht="16.5" customHeight="1" x14ac:dyDescent="0.15">
      <c r="A6" s="26" t="s">
        <v>389</v>
      </c>
      <c r="B6" s="26" t="s">
        <v>390</v>
      </c>
      <c r="C6" s="27"/>
      <c r="D6" s="29"/>
      <c r="E6" s="120"/>
      <c r="F6" s="29"/>
      <c r="G6" s="29"/>
      <c r="H6" s="30"/>
      <c r="I6" s="29"/>
      <c r="J6" s="30"/>
      <c r="K6" s="29"/>
      <c r="L6" s="29"/>
      <c r="M6" s="29"/>
      <c r="N6" s="30"/>
      <c r="O6" s="31" t="s">
        <v>391</v>
      </c>
      <c r="P6" s="32" t="s">
        <v>392</v>
      </c>
    </row>
    <row r="7" spans="1:16" ht="16.5" customHeight="1" x14ac:dyDescent="0.15">
      <c r="A7" s="33">
        <v>11</v>
      </c>
      <c r="B7" s="33">
        <v>2185</v>
      </c>
      <c r="C7" s="34" t="s">
        <v>4252</v>
      </c>
      <c r="D7" s="709" t="s">
        <v>742</v>
      </c>
      <c r="E7" s="718"/>
      <c r="F7" s="36"/>
      <c r="G7" s="37"/>
      <c r="H7" s="38"/>
      <c r="I7" s="72" t="s">
        <v>743</v>
      </c>
      <c r="K7" s="57"/>
      <c r="L7" s="35"/>
      <c r="O7" s="39">
        <f>ROUND((_11_A重度研修増０．５*(1+_11・A夜間)),0)</f>
        <v>108</v>
      </c>
      <c r="P7" s="40" t="s">
        <v>395</v>
      </c>
    </row>
    <row r="8" spans="1:16" ht="16.5" customHeight="1" x14ac:dyDescent="0.15">
      <c r="A8" s="41">
        <v>11</v>
      </c>
      <c r="B8" s="41">
        <v>2186</v>
      </c>
      <c r="C8" s="74" t="s">
        <v>4253</v>
      </c>
      <c r="D8" s="709"/>
      <c r="E8" s="718"/>
      <c r="F8" s="44" t="s">
        <v>397</v>
      </c>
      <c r="G8" s="45" t="s">
        <v>398</v>
      </c>
      <c r="H8" s="46">
        <v>1</v>
      </c>
      <c r="I8" s="35" t="s">
        <v>398</v>
      </c>
      <c r="J8" s="13">
        <v>0.25</v>
      </c>
      <c r="K8" s="728" t="s">
        <v>676</v>
      </c>
      <c r="L8" s="43"/>
      <c r="M8" s="37"/>
      <c r="N8" s="38"/>
      <c r="O8" s="47">
        <f>ROUND((ROUND((_11_A重度研修増０．５*_11・２人),0)*(1+_11・A夜間)),0)</f>
        <v>108</v>
      </c>
      <c r="P8" s="48"/>
    </row>
    <row r="9" spans="1:16" ht="16.5" customHeight="1" x14ac:dyDescent="0.15">
      <c r="A9" s="41">
        <v>11</v>
      </c>
      <c r="B9" s="41" t="s">
        <v>4254</v>
      </c>
      <c r="C9" s="74" t="s">
        <v>4255</v>
      </c>
      <c r="D9" s="709"/>
      <c r="E9" s="718"/>
      <c r="F9" s="44"/>
      <c r="G9" s="45"/>
      <c r="H9" s="46"/>
      <c r="I9" s="35"/>
      <c r="K9" s="728"/>
      <c r="L9" s="734" t="s">
        <v>404</v>
      </c>
      <c r="M9" s="49" t="s">
        <v>398</v>
      </c>
      <c r="N9" s="50">
        <f>_11・初任</f>
        <v>0.7</v>
      </c>
      <c r="O9" s="47">
        <f>ROUND((ROUND((_11_A重度研修増０．５*(1+_11・A夜間)),0)*_11・初任),0)</f>
        <v>76</v>
      </c>
      <c r="P9" s="48"/>
    </row>
    <row r="10" spans="1:16" ht="16.5" customHeight="1" x14ac:dyDescent="0.15">
      <c r="A10" s="41">
        <v>11</v>
      </c>
      <c r="B10" s="41" t="s">
        <v>4256</v>
      </c>
      <c r="C10" s="74" t="s">
        <v>4257</v>
      </c>
      <c r="D10" s="100">
        <f>_11_A重度研修増０．５</f>
        <v>86</v>
      </c>
      <c r="E10" s="12" t="s">
        <v>392</v>
      </c>
      <c r="F10" s="44" t="s">
        <v>397</v>
      </c>
      <c r="G10" s="45" t="s">
        <v>398</v>
      </c>
      <c r="H10" s="46">
        <v>1</v>
      </c>
      <c r="I10" s="35"/>
      <c r="K10" s="57"/>
      <c r="L10" s="706"/>
      <c r="M10" s="37"/>
      <c r="N10" s="38"/>
      <c r="O10" s="47">
        <f>ROUND((ROUND((ROUND((_11_A重度研修増０．５*_11・２人),0)*(1+_11・A夜間)),0)*_11・初任),0)</f>
        <v>76</v>
      </c>
      <c r="P10" s="48"/>
    </row>
    <row r="11" spans="1:16" ht="16.5" customHeight="1" x14ac:dyDescent="0.15">
      <c r="A11" s="41">
        <v>11</v>
      </c>
      <c r="B11" s="41">
        <v>2187</v>
      </c>
      <c r="C11" s="74" t="s">
        <v>4258</v>
      </c>
      <c r="D11" s="707" t="s">
        <v>756</v>
      </c>
      <c r="E11" s="717"/>
      <c r="F11" s="44"/>
      <c r="G11" s="45"/>
      <c r="H11" s="46"/>
      <c r="I11" s="35"/>
      <c r="K11" s="57"/>
      <c r="L11" s="53"/>
      <c r="M11" s="49"/>
      <c r="N11" s="50"/>
      <c r="O11" s="47">
        <f>ROUND((_11_A重度研修増１．０*(1+_11・A夜間)),0)</f>
        <v>215</v>
      </c>
      <c r="P11" s="48"/>
    </row>
    <row r="12" spans="1:16" ht="16.5" customHeight="1" x14ac:dyDescent="0.15">
      <c r="A12" s="41">
        <v>11</v>
      </c>
      <c r="B12" s="41">
        <v>2188</v>
      </c>
      <c r="C12" s="74" t="s">
        <v>4259</v>
      </c>
      <c r="D12" s="709"/>
      <c r="E12" s="718"/>
      <c r="F12" s="44" t="s">
        <v>397</v>
      </c>
      <c r="G12" s="45" t="s">
        <v>398</v>
      </c>
      <c r="H12" s="46">
        <v>1</v>
      </c>
      <c r="I12" s="35"/>
      <c r="K12" s="57"/>
      <c r="L12" s="43"/>
      <c r="M12" s="37"/>
      <c r="N12" s="38"/>
      <c r="O12" s="47">
        <f>ROUND((ROUND((_11_A重度研修増１．０*_11・２人),0)*(1+_11・A夜間)),0)</f>
        <v>215</v>
      </c>
      <c r="P12" s="48"/>
    </row>
    <row r="13" spans="1:16" ht="16.5" customHeight="1" x14ac:dyDescent="0.15">
      <c r="A13" s="41">
        <v>11</v>
      </c>
      <c r="B13" s="41" t="s">
        <v>4260</v>
      </c>
      <c r="C13" s="74" t="s">
        <v>4261</v>
      </c>
      <c r="D13" s="709"/>
      <c r="E13" s="718"/>
      <c r="F13" s="44"/>
      <c r="G13" s="45"/>
      <c r="H13" s="46"/>
      <c r="I13" s="35"/>
      <c r="K13" s="57"/>
      <c r="L13" s="734" t="s">
        <v>404</v>
      </c>
      <c r="M13" s="49" t="s">
        <v>398</v>
      </c>
      <c r="N13" s="50">
        <f>_11・初任</f>
        <v>0.7</v>
      </c>
      <c r="O13" s="47">
        <f>ROUND((ROUND((_11_A重度研修増１．０*(1+_11・A夜間)),0)*_11・初任),0)</f>
        <v>151</v>
      </c>
      <c r="P13" s="48"/>
    </row>
    <row r="14" spans="1:16" ht="16.5" customHeight="1" x14ac:dyDescent="0.15">
      <c r="A14" s="41">
        <v>11</v>
      </c>
      <c r="B14" s="41" t="s">
        <v>4262</v>
      </c>
      <c r="C14" s="74" t="s">
        <v>4263</v>
      </c>
      <c r="D14" s="100">
        <f>_11_A重度研修増１．０</f>
        <v>172</v>
      </c>
      <c r="E14" s="12" t="s">
        <v>392</v>
      </c>
      <c r="F14" s="44" t="s">
        <v>397</v>
      </c>
      <c r="G14" s="45" t="s">
        <v>398</v>
      </c>
      <c r="H14" s="46">
        <v>1</v>
      </c>
      <c r="I14" s="35"/>
      <c r="K14" s="57"/>
      <c r="L14" s="706"/>
      <c r="M14" s="37"/>
      <c r="N14" s="38"/>
      <c r="O14" s="47">
        <f>ROUND((ROUND((ROUND((_11_A重度研修増１．０*_11・２人),0)*(1+_11・A夜間)),0)*_11・初任),0)</f>
        <v>151</v>
      </c>
      <c r="P14" s="48"/>
    </row>
    <row r="15" spans="1:16" ht="16.5" customHeight="1" x14ac:dyDescent="0.15">
      <c r="A15" s="41">
        <v>11</v>
      </c>
      <c r="B15" s="41">
        <v>2189</v>
      </c>
      <c r="C15" s="74" t="s">
        <v>4264</v>
      </c>
      <c r="D15" s="707" t="s">
        <v>1732</v>
      </c>
      <c r="E15" s="717"/>
      <c r="F15" s="163"/>
      <c r="G15" s="45"/>
      <c r="H15" s="46"/>
      <c r="I15" s="35"/>
      <c r="K15" s="57"/>
      <c r="L15" s="53"/>
      <c r="M15" s="49"/>
      <c r="N15" s="50"/>
      <c r="O15" s="47">
        <f>ROUND((_11_A重度研修増１．５*(1+_11・A夜間)),0)</f>
        <v>323</v>
      </c>
      <c r="P15" s="48"/>
    </row>
    <row r="16" spans="1:16" ht="16.5" customHeight="1" x14ac:dyDescent="0.15">
      <c r="A16" s="41">
        <v>11</v>
      </c>
      <c r="B16" s="41">
        <v>2190</v>
      </c>
      <c r="C16" s="74" t="s">
        <v>4265</v>
      </c>
      <c r="D16" s="709"/>
      <c r="E16" s="718"/>
      <c r="F16" s="44" t="s">
        <v>397</v>
      </c>
      <c r="G16" s="45" t="s">
        <v>398</v>
      </c>
      <c r="H16" s="46">
        <v>1</v>
      </c>
      <c r="I16" s="35"/>
      <c r="K16" s="57"/>
      <c r="L16" s="43"/>
      <c r="M16" s="37"/>
      <c r="N16" s="38"/>
      <c r="O16" s="47">
        <f>ROUND((ROUND((_11_A重度研修増１．５*_11・２人),0)*(1+_11・A夜間)),0)</f>
        <v>323</v>
      </c>
      <c r="P16" s="48"/>
    </row>
    <row r="17" spans="1:16" ht="16.5" customHeight="1" x14ac:dyDescent="0.15">
      <c r="A17" s="41">
        <v>11</v>
      </c>
      <c r="B17" s="41" t="s">
        <v>4266</v>
      </c>
      <c r="C17" s="74" t="s">
        <v>4267</v>
      </c>
      <c r="D17" s="709"/>
      <c r="E17" s="718"/>
      <c r="F17" s="44"/>
      <c r="G17" s="45"/>
      <c r="H17" s="46"/>
      <c r="I17" s="35"/>
      <c r="K17" s="57"/>
      <c r="L17" s="734" t="s">
        <v>404</v>
      </c>
      <c r="M17" s="49" t="s">
        <v>398</v>
      </c>
      <c r="N17" s="50">
        <f>_11・初任</f>
        <v>0.7</v>
      </c>
      <c r="O17" s="47">
        <f>ROUND((ROUND((_11_A重度研修増１．５*(1+_11・A夜間)),0)*_11・初任),0)</f>
        <v>226</v>
      </c>
      <c r="P17" s="48"/>
    </row>
    <row r="18" spans="1:16" ht="16.5" customHeight="1" x14ac:dyDescent="0.15">
      <c r="A18" s="41">
        <v>11</v>
      </c>
      <c r="B18" s="41" t="s">
        <v>4268</v>
      </c>
      <c r="C18" s="74" t="s">
        <v>4269</v>
      </c>
      <c r="D18" s="100">
        <f>_11_A重度研修増１．５</f>
        <v>258</v>
      </c>
      <c r="E18" s="12" t="s">
        <v>392</v>
      </c>
      <c r="F18" s="44" t="s">
        <v>397</v>
      </c>
      <c r="G18" s="45" t="s">
        <v>398</v>
      </c>
      <c r="H18" s="46">
        <v>1</v>
      </c>
      <c r="I18" s="35"/>
      <c r="K18" s="57"/>
      <c r="L18" s="706"/>
      <c r="M18" s="37"/>
      <c r="N18" s="38"/>
      <c r="O18" s="47">
        <f>ROUND((ROUND((ROUND((_11_A重度研修増１．５*_11・２人),0)*(1+_11・A夜間)),0)*_11・初任),0)</f>
        <v>226</v>
      </c>
      <c r="P18" s="48"/>
    </row>
    <row r="19" spans="1:16" ht="16.5" customHeight="1" x14ac:dyDescent="0.15">
      <c r="A19" s="41">
        <v>11</v>
      </c>
      <c r="B19" s="41">
        <v>2191</v>
      </c>
      <c r="C19" s="74" t="s">
        <v>4270</v>
      </c>
      <c r="D19" s="707" t="s">
        <v>782</v>
      </c>
      <c r="E19" s="717"/>
      <c r="F19" s="44"/>
      <c r="G19" s="45"/>
      <c r="H19" s="46"/>
      <c r="I19" s="35"/>
      <c r="K19" s="57"/>
      <c r="L19" s="53"/>
      <c r="M19" s="49"/>
      <c r="N19" s="50"/>
      <c r="O19" s="47">
        <f>ROUND((_11_A重度研修増２．０*(1+_11・A夜間)),0)</f>
        <v>430</v>
      </c>
      <c r="P19" s="48"/>
    </row>
    <row r="20" spans="1:16" ht="16.5" customHeight="1" x14ac:dyDescent="0.15">
      <c r="A20" s="41">
        <v>11</v>
      </c>
      <c r="B20" s="41">
        <v>2192</v>
      </c>
      <c r="C20" s="74" t="s">
        <v>4271</v>
      </c>
      <c r="D20" s="709"/>
      <c r="E20" s="718"/>
      <c r="F20" s="44" t="s">
        <v>397</v>
      </c>
      <c r="G20" s="45" t="s">
        <v>398</v>
      </c>
      <c r="H20" s="46">
        <v>1</v>
      </c>
      <c r="I20" s="35"/>
      <c r="K20" s="57"/>
      <c r="L20" s="43"/>
      <c r="M20" s="37"/>
      <c r="N20" s="38"/>
      <c r="O20" s="47">
        <f>ROUND((ROUND((_11_A重度研修増２．０*_11・２人),0)*(1+_11・A夜間)),0)</f>
        <v>430</v>
      </c>
      <c r="P20" s="48"/>
    </row>
    <row r="21" spans="1:16" ht="16.5" customHeight="1" x14ac:dyDescent="0.15">
      <c r="A21" s="41">
        <v>11</v>
      </c>
      <c r="B21" s="41" t="s">
        <v>4272</v>
      </c>
      <c r="C21" s="74" t="s">
        <v>4273</v>
      </c>
      <c r="D21" s="709"/>
      <c r="E21" s="718"/>
      <c r="F21" s="44"/>
      <c r="G21" s="45"/>
      <c r="H21" s="46"/>
      <c r="I21" s="35"/>
      <c r="K21" s="57"/>
      <c r="L21" s="734" t="s">
        <v>404</v>
      </c>
      <c r="M21" s="49" t="s">
        <v>398</v>
      </c>
      <c r="N21" s="50">
        <f>_11・初任</f>
        <v>0.7</v>
      </c>
      <c r="O21" s="47">
        <f>ROUND((ROUND((_11_A重度研修増２．０*(1+_11・A夜間)),0)*_11・初任),0)</f>
        <v>301</v>
      </c>
      <c r="P21" s="48"/>
    </row>
    <row r="22" spans="1:16" ht="16.5" customHeight="1" x14ac:dyDescent="0.15">
      <c r="A22" s="41">
        <v>11</v>
      </c>
      <c r="B22" s="41" t="s">
        <v>4274</v>
      </c>
      <c r="C22" s="74" t="s">
        <v>4275</v>
      </c>
      <c r="D22" s="100">
        <f>_11_A重度研修増２．０</f>
        <v>344</v>
      </c>
      <c r="E22" s="12" t="s">
        <v>392</v>
      </c>
      <c r="F22" s="44" t="s">
        <v>397</v>
      </c>
      <c r="G22" s="45" t="s">
        <v>398</v>
      </c>
      <c r="H22" s="46">
        <v>1</v>
      </c>
      <c r="I22" s="35"/>
      <c r="K22" s="57"/>
      <c r="L22" s="706"/>
      <c r="M22" s="37"/>
      <c r="N22" s="38"/>
      <c r="O22" s="47">
        <f>ROUND((ROUND((ROUND((_11_A重度研修増２．０*_11・２人),0)*(1+_11・A夜間)),0)*_11・初任),0)</f>
        <v>301</v>
      </c>
      <c r="P22" s="48"/>
    </row>
    <row r="23" spans="1:16" ht="16.5" customHeight="1" x14ac:dyDescent="0.15">
      <c r="A23" s="41">
        <v>11</v>
      </c>
      <c r="B23" s="41">
        <v>2193</v>
      </c>
      <c r="C23" s="74" t="s">
        <v>4276</v>
      </c>
      <c r="D23" s="707" t="s">
        <v>795</v>
      </c>
      <c r="E23" s="717"/>
      <c r="F23" s="44"/>
      <c r="G23" s="45"/>
      <c r="H23" s="46"/>
      <c r="I23" s="35"/>
      <c r="K23" s="57"/>
      <c r="L23" s="53"/>
      <c r="M23" s="49"/>
      <c r="N23" s="50"/>
      <c r="O23" s="47">
        <f>ROUND((_11_A重度研修増２．５*(1+_11・A夜間)),0)</f>
        <v>538</v>
      </c>
      <c r="P23" s="48"/>
    </row>
    <row r="24" spans="1:16" ht="16.5" customHeight="1" x14ac:dyDescent="0.15">
      <c r="A24" s="41">
        <v>11</v>
      </c>
      <c r="B24" s="41">
        <v>2194</v>
      </c>
      <c r="C24" s="74" t="s">
        <v>4277</v>
      </c>
      <c r="D24" s="709"/>
      <c r="E24" s="718"/>
      <c r="F24" s="44" t="s">
        <v>397</v>
      </c>
      <c r="G24" s="45" t="s">
        <v>398</v>
      </c>
      <c r="H24" s="46">
        <v>1</v>
      </c>
      <c r="I24" s="35"/>
      <c r="K24" s="57"/>
      <c r="L24" s="43"/>
      <c r="M24" s="37"/>
      <c r="N24" s="38"/>
      <c r="O24" s="47">
        <f>ROUND((ROUND((_11_A重度研修増２．５*_11・２人),0)*(1+_11・A夜間)),0)</f>
        <v>538</v>
      </c>
      <c r="P24" s="48"/>
    </row>
    <row r="25" spans="1:16" ht="16.5" customHeight="1" x14ac:dyDescent="0.15">
      <c r="A25" s="41">
        <v>11</v>
      </c>
      <c r="B25" s="41" t="s">
        <v>4278</v>
      </c>
      <c r="C25" s="74" t="s">
        <v>4279</v>
      </c>
      <c r="D25" s="709"/>
      <c r="E25" s="718"/>
      <c r="F25" s="44"/>
      <c r="G25" s="45"/>
      <c r="H25" s="46"/>
      <c r="I25" s="35"/>
      <c r="K25" s="57"/>
      <c r="L25" s="734" t="s">
        <v>404</v>
      </c>
      <c r="M25" s="49" t="s">
        <v>398</v>
      </c>
      <c r="N25" s="50">
        <f>_11・初任</f>
        <v>0.7</v>
      </c>
      <c r="O25" s="47">
        <f>ROUND((ROUND((_11_A重度研修増２．５*(1+_11・A夜間)),0)*_11・初任),0)</f>
        <v>377</v>
      </c>
      <c r="P25" s="48"/>
    </row>
    <row r="26" spans="1:16" ht="16.5" customHeight="1" x14ac:dyDescent="0.15">
      <c r="A26" s="41">
        <v>11</v>
      </c>
      <c r="B26" s="41" t="s">
        <v>4280</v>
      </c>
      <c r="C26" s="74" t="s">
        <v>4281</v>
      </c>
      <c r="D26" s="100">
        <f>_11_A重度研修増２．５</f>
        <v>430</v>
      </c>
      <c r="E26" s="12" t="s">
        <v>392</v>
      </c>
      <c r="F26" s="44" t="s">
        <v>397</v>
      </c>
      <c r="G26" s="45" t="s">
        <v>398</v>
      </c>
      <c r="H26" s="46">
        <v>1</v>
      </c>
      <c r="I26" s="35"/>
      <c r="K26" s="57"/>
      <c r="L26" s="706"/>
      <c r="M26" s="37"/>
      <c r="N26" s="38"/>
      <c r="O26" s="47">
        <f>ROUND((ROUND((ROUND((_11_A重度研修増２．５*_11・２人),0)*(1+_11・A夜間)),0)*_11・初任),0)</f>
        <v>377</v>
      </c>
      <c r="P26" s="48"/>
    </row>
    <row r="27" spans="1:16" ht="16.5" customHeight="1" x14ac:dyDescent="0.15">
      <c r="A27" s="41">
        <v>11</v>
      </c>
      <c r="B27" s="41">
        <v>2195</v>
      </c>
      <c r="C27" s="74" t="s">
        <v>4282</v>
      </c>
      <c r="D27" s="707" t="s">
        <v>808</v>
      </c>
      <c r="E27" s="717"/>
      <c r="F27" s="44"/>
      <c r="G27" s="45"/>
      <c r="H27" s="46"/>
      <c r="I27" s="35"/>
      <c r="K27" s="57"/>
      <c r="L27" s="53"/>
      <c r="M27" s="49"/>
      <c r="N27" s="50"/>
      <c r="O27" s="47">
        <f>ROUND((_11_A重度研修増３．０*(1+_11・A夜間)),0)</f>
        <v>645</v>
      </c>
      <c r="P27" s="48"/>
    </row>
    <row r="28" spans="1:16" ht="16.5" customHeight="1" x14ac:dyDescent="0.15">
      <c r="A28" s="41">
        <v>11</v>
      </c>
      <c r="B28" s="41">
        <v>2196</v>
      </c>
      <c r="C28" s="74" t="s">
        <v>4283</v>
      </c>
      <c r="D28" s="709"/>
      <c r="E28" s="718"/>
      <c r="F28" s="44" t="s">
        <v>397</v>
      </c>
      <c r="G28" s="45" t="s">
        <v>398</v>
      </c>
      <c r="H28" s="46">
        <v>1</v>
      </c>
      <c r="I28" s="35"/>
      <c r="K28" s="57"/>
      <c r="L28" s="43"/>
      <c r="M28" s="37"/>
      <c r="N28" s="38"/>
      <c r="O28" s="47">
        <f>ROUND((ROUND((_11_A重度研修増３．０*_11・２人),0)*(1+_11・A夜間)),0)</f>
        <v>645</v>
      </c>
      <c r="P28" s="48"/>
    </row>
    <row r="29" spans="1:16" ht="16.5" customHeight="1" x14ac:dyDescent="0.15">
      <c r="A29" s="41">
        <v>11</v>
      </c>
      <c r="B29" s="41" t="s">
        <v>4284</v>
      </c>
      <c r="C29" s="74" t="s">
        <v>4285</v>
      </c>
      <c r="D29" s="709"/>
      <c r="E29" s="718"/>
      <c r="F29" s="44"/>
      <c r="G29" s="45"/>
      <c r="H29" s="46"/>
      <c r="I29" s="35"/>
      <c r="K29" s="57"/>
      <c r="L29" s="734" t="s">
        <v>404</v>
      </c>
      <c r="M29" s="49" t="s">
        <v>398</v>
      </c>
      <c r="N29" s="50">
        <f>_11・初任</f>
        <v>0.7</v>
      </c>
      <c r="O29" s="47">
        <f>ROUND((ROUND((_11_A重度研修増３．０*(1+_11・A夜間)),0)*_11・初任),0)</f>
        <v>452</v>
      </c>
      <c r="P29" s="48"/>
    </row>
    <row r="30" spans="1:16" ht="16.5" customHeight="1" x14ac:dyDescent="0.15">
      <c r="A30" s="41">
        <v>11</v>
      </c>
      <c r="B30" s="41" t="s">
        <v>4286</v>
      </c>
      <c r="C30" s="74" t="s">
        <v>4287</v>
      </c>
      <c r="D30" s="100">
        <f>_11_A重度研修増３．０</f>
        <v>516</v>
      </c>
      <c r="E30" s="12" t="s">
        <v>392</v>
      </c>
      <c r="F30" s="44" t="s">
        <v>397</v>
      </c>
      <c r="G30" s="45" t="s">
        <v>398</v>
      </c>
      <c r="H30" s="46">
        <v>1</v>
      </c>
      <c r="I30" s="35"/>
      <c r="K30" s="57"/>
      <c r="L30" s="706"/>
      <c r="M30" s="37"/>
      <c r="N30" s="38"/>
      <c r="O30" s="47">
        <f>ROUND((ROUND((ROUND((_11_A重度研修増３．０*_11・２人),0)*(1+_11・A夜間)),0)*_11・初任),0)</f>
        <v>452</v>
      </c>
      <c r="P30" s="48"/>
    </row>
    <row r="31" spans="1:16" ht="16.5" customHeight="1" x14ac:dyDescent="0.15">
      <c r="A31" s="41">
        <v>11</v>
      </c>
      <c r="B31" s="41">
        <v>2197</v>
      </c>
      <c r="C31" s="74" t="s">
        <v>4288</v>
      </c>
      <c r="D31" s="707" t="s">
        <v>821</v>
      </c>
      <c r="E31" s="717"/>
      <c r="F31" s="44"/>
      <c r="G31" s="45"/>
      <c r="H31" s="46"/>
      <c r="I31" s="72"/>
      <c r="K31" s="57"/>
      <c r="L31" s="53"/>
      <c r="M31" s="49"/>
      <c r="N31" s="50"/>
      <c r="O31" s="47">
        <f>ROUND((_11_A重度研修増３．５*(1+_11・A夜間)),0)</f>
        <v>753</v>
      </c>
      <c r="P31" s="48"/>
    </row>
    <row r="32" spans="1:16" ht="16.5" customHeight="1" x14ac:dyDescent="0.15">
      <c r="A32" s="41">
        <v>11</v>
      </c>
      <c r="B32" s="41">
        <v>2198</v>
      </c>
      <c r="C32" s="74" t="s">
        <v>4289</v>
      </c>
      <c r="D32" s="709"/>
      <c r="E32" s="718"/>
      <c r="F32" s="44" t="s">
        <v>397</v>
      </c>
      <c r="G32" s="45" t="s">
        <v>398</v>
      </c>
      <c r="H32" s="46">
        <v>1</v>
      </c>
      <c r="I32" s="35"/>
      <c r="K32" s="145"/>
      <c r="L32" s="43"/>
      <c r="M32" s="37"/>
      <c r="N32" s="38"/>
      <c r="O32" s="47">
        <f>ROUND((ROUND((_11_A重度研修増３．５*_11・２人),0)*(1+_11・A夜間)),0)</f>
        <v>753</v>
      </c>
      <c r="P32" s="48"/>
    </row>
    <row r="33" spans="1:16" ht="16.5" customHeight="1" x14ac:dyDescent="0.15">
      <c r="A33" s="41">
        <v>11</v>
      </c>
      <c r="B33" s="41" t="s">
        <v>4290</v>
      </c>
      <c r="C33" s="74" t="s">
        <v>4291</v>
      </c>
      <c r="D33" s="709"/>
      <c r="E33" s="718"/>
      <c r="F33" s="44"/>
      <c r="G33" s="45"/>
      <c r="H33" s="46"/>
      <c r="I33" s="35"/>
      <c r="K33" s="145"/>
      <c r="L33" s="734" t="s">
        <v>404</v>
      </c>
      <c r="M33" s="49" t="s">
        <v>398</v>
      </c>
      <c r="N33" s="50">
        <f>_11・初任</f>
        <v>0.7</v>
      </c>
      <c r="O33" s="47">
        <f>ROUND((ROUND((_11_A重度研修増３．５*(1+_11・A夜間)),0)*_11・初任),0)</f>
        <v>527</v>
      </c>
      <c r="P33" s="48"/>
    </row>
    <row r="34" spans="1:16" ht="16.5" customHeight="1" x14ac:dyDescent="0.15">
      <c r="A34" s="41">
        <v>11</v>
      </c>
      <c r="B34" s="41" t="s">
        <v>4292</v>
      </c>
      <c r="C34" s="74" t="s">
        <v>4293</v>
      </c>
      <c r="D34" s="100">
        <f>_11_A重度研修増３．５</f>
        <v>602</v>
      </c>
      <c r="E34" s="12" t="s">
        <v>392</v>
      </c>
      <c r="F34" s="44" t="s">
        <v>397</v>
      </c>
      <c r="G34" s="45" t="s">
        <v>398</v>
      </c>
      <c r="H34" s="46">
        <v>1</v>
      </c>
      <c r="I34" s="35"/>
      <c r="K34" s="57"/>
      <c r="L34" s="706"/>
      <c r="M34" s="37"/>
      <c r="N34" s="38"/>
      <c r="O34" s="47">
        <f>ROUND((ROUND((ROUND((_11_A重度研修増３．５*_11・２人),0)*(1+_11・A夜間)),0)*_11・初任),0)</f>
        <v>527</v>
      </c>
      <c r="P34" s="48"/>
    </row>
    <row r="35" spans="1:16" ht="16.5" customHeight="1" x14ac:dyDescent="0.15">
      <c r="A35" s="41">
        <v>11</v>
      </c>
      <c r="B35" s="41">
        <v>2199</v>
      </c>
      <c r="C35" s="74" t="s">
        <v>4294</v>
      </c>
      <c r="D35" s="707" t="s">
        <v>834</v>
      </c>
      <c r="E35" s="717"/>
      <c r="F35" s="44"/>
      <c r="G35" s="45"/>
      <c r="H35" s="46"/>
      <c r="I35" s="35"/>
      <c r="K35" s="57"/>
      <c r="L35" s="53"/>
      <c r="M35" s="49"/>
      <c r="N35" s="50"/>
      <c r="O35" s="47">
        <f>ROUND((_11_A重度研修増４．０*(1+_11・A夜間)),0)</f>
        <v>860</v>
      </c>
      <c r="P35" s="48"/>
    </row>
    <row r="36" spans="1:16" ht="16.5" customHeight="1" x14ac:dyDescent="0.15">
      <c r="A36" s="41">
        <v>11</v>
      </c>
      <c r="B36" s="41">
        <v>2200</v>
      </c>
      <c r="C36" s="74" t="s">
        <v>4295</v>
      </c>
      <c r="D36" s="709"/>
      <c r="E36" s="718"/>
      <c r="F36" s="44" t="s">
        <v>397</v>
      </c>
      <c r="G36" s="45" t="s">
        <v>398</v>
      </c>
      <c r="H36" s="46">
        <v>1</v>
      </c>
      <c r="I36" s="35"/>
      <c r="K36" s="57"/>
      <c r="L36" s="43"/>
      <c r="M36" s="37"/>
      <c r="N36" s="38"/>
      <c r="O36" s="47">
        <f>ROUND((ROUND((_11_A重度研修増４．０*_11・２人),0)*(1+_11・A夜間)),0)</f>
        <v>860</v>
      </c>
      <c r="P36" s="48"/>
    </row>
    <row r="37" spans="1:16" ht="16.5" customHeight="1" x14ac:dyDescent="0.15">
      <c r="A37" s="41">
        <v>11</v>
      </c>
      <c r="B37" s="41" t="s">
        <v>4296</v>
      </c>
      <c r="C37" s="74" t="s">
        <v>4297</v>
      </c>
      <c r="D37" s="709"/>
      <c r="E37" s="718"/>
      <c r="F37" s="44"/>
      <c r="G37" s="45"/>
      <c r="H37" s="46"/>
      <c r="I37" s="35"/>
      <c r="K37" s="57"/>
      <c r="L37" s="734" t="s">
        <v>404</v>
      </c>
      <c r="M37" s="49" t="s">
        <v>398</v>
      </c>
      <c r="N37" s="50">
        <f>_11・初任</f>
        <v>0.7</v>
      </c>
      <c r="O37" s="47">
        <f>ROUND((ROUND((_11_A重度研修増４．０*(1+_11・A夜間)),0)*_11・初任),0)</f>
        <v>602</v>
      </c>
      <c r="P37" s="48"/>
    </row>
    <row r="38" spans="1:16" ht="16.5" customHeight="1" x14ac:dyDescent="0.15">
      <c r="A38" s="41">
        <v>11</v>
      </c>
      <c r="B38" s="41" t="s">
        <v>4298</v>
      </c>
      <c r="C38" s="74" t="s">
        <v>4299</v>
      </c>
      <c r="D38" s="100">
        <f>_11_A重度研修増４．０</f>
        <v>688</v>
      </c>
      <c r="E38" s="12" t="s">
        <v>392</v>
      </c>
      <c r="F38" s="44" t="s">
        <v>397</v>
      </c>
      <c r="G38" s="45" t="s">
        <v>398</v>
      </c>
      <c r="H38" s="46">
        <v>1</v>
      </c>
      <c r="I38" s="35"/>
      <c r="K38" s="57"/>
      <c r="L38" s="706"/>
      <c r="M38" s="37"/>
      <c r="N38" s="38"/>
      <c r="O38" s="47">
        <f>ROUND((ROUND((ROUND((_11_A重度研修増４．０*_11・２人),0)*(1+_11・A夜間)),0)*_11・初任),0)</f>
        <v>602</v>
      </c>
      <c r="P38" s="48"/>
    </row>
    <row r="39" spans="1:16" ht="16.5" customHeight="1" x14ac:dyDescent="0.15">
      <c r="A39" s="41">
        <v>11</v>
      </c>
      <c r="B39" s="41">
        <v>2201</v>
      </c>
      <c r="C39" s="74" t="s">
        <v>4300</v>
      </c>
      <c r="D39" s="707" t="s">
        <v>847</v>
      </c>
      <c r="E39" s="717"/>
      <c r="F39" s="44"/>
      <c r="G39" s="45"/>
      <c r="H39" s="46"/>
      <c r="I39" s="35"/>
      <c r="K39" s="57"/>
      <c r="L39" s="53"/>
      <c r="M39" s="49"/>
      <c r="N39" s="50"/>
      <c r="O39" s="47">
        <f>ROUND((_11_A重度研修増４．５*(1+_11・A夜間)),0)</f>
        <v>968</v>
      </c>
      <c r="P39" s="48"/>
    </row>
    <row r="40" spans="1:16" ht="16.5" customHeight="1" x14ac:dyDescent="0.15">
      <c r="A40" s="41">
        <v>11</v>
      </c>
      <c r="B40" s="41">
        <v>2202</v>
      </c>
      <c r="C40" s="74" t="s">
        <v>4301</v>
      </c>
      <c r="D40" s="709"/>
      <c r="E40" s="718"/>
      <c r="F40" s="44" t="s">
        <v>397</v>
      </c>
      <c r="G40" s="45" t="s">
        <v>398</v>
      </c>
      <c r="H40" s="46">
        <v>1</v>
      </c>
      <c r="I40" s="35"/>
      <c r="K40" s="57"/>
      <c r="L40" s="43"/>
      <c r="M40" s="37"/>
      <c r="N40" s="38"/>
      <c r="O40" s="47">
        <f>ROUND((ROUND((_11_A重度研修増４．５*_11・２人),0)*(1+_11・A夜間)),0)</f>
        <v>968</v>
      </c>
      <c r="P40" s="48"/>
    </row>
    <row r="41" spans="1:16" ht="16.5" customHeight="1" x14ac:dyDescent="0.15">
      <c r="A41" s="41">
        <v>11</v>
      </c>
      <c r="B41" s="41" t="s">
        <v>4302</v>
      </c>
      <c r="C41" s="74" t="s">
        <v>4303</v>
      </c>
      <c r="D41" s="709"/>
      <c r="E41" s="718"/>
      <c r="F41" s="44"/>
      <c r="G41" s="45"/>
      <c r="H41" s="46"/>
      <c r="I41" s="35"/>
      <c r="K41" s="57"/>
      <c r="L41" s="734" t="s">
        <v>404</v>
      </c>
      <c r="M41" s="49" t="s">
        <v>398</v>
      </c>
      <c r="N41" s="50">
        <f>_11・初任</f>
        <v>0.7</v>
      </c>
      <c r="O41" s="47">
        <f>ROUND((ROUND((_11_A重度研修増４．５*(1+_11・A夜間)),0)*_11・初任),0)</f>
        <v>678</v>
      </c>
      <c r="P41" s="48"/>
    </row>
    <row r="42" spans="1:16" ht="16.5" customHeight="1" x14ac:dyDescent="0.15">
      <c r="A42" s="41">
        <v>11</v>
      </c>
      <c r="B42" s="41" t="s">
        <v>4304</v>
      </c>
      <c r="C42" s="74" t="s">
        <v>4305</v>
      </c>
      <c r="D42" s="165">
        <f>_11_A重度研修増４．５</f>
        <v>774</v>
      </c>
      <c r="E42" s="37" t="s">
        <v>392</v>
      </c>
      <c r="F42" s="44" t="s">
        <v>397</v>
      </c>
      <c r="G42" s="45" t="s">
        <v>398</v>
      </c>
      <c r="H42" s="46">
        <v>1</v>
      </c>
      <c r="I42" s="43"/>
      <c r="J42" s="38"/>
      <c r="K42" s="79"/>
      <c r="L42" s="706"/>
      <c r="M42" s="37"/>
      <c r="N42" s="38"/>
      <c r="O42" s="47">
        <f>ROUND((ROUND((ROUND((_11_A重度研修増４．５*_11・２人),0)*(1+_11・A夜間)),0)*_11・初任),0)</f>
        <v>678</v>
      </c>
      <c r="P42" s="63"/>
    </row>
    <row r="43" spans="1:16" ht="16.5" customHeight="1" x14ac:dyDescent="0.15">
      <c r="A43" s="80"/>
      <c r="B43" s="80"/>
      <c r="C43" s="81"/>
      <c r="O43" s="84"/>
      <c r="P43" s="85"/>
    </row>
    <row r="44" spans="1:16" ht="16.5" customHeight="1" x14ac:dyDescent="0.15">
      <c r="A44" s="80"/>
      <c r="B44" s="80"/>
      <c r="C44" s="81"/>
      <c r="O44" s="84"/>
      <c r="P44" s="85"/>
    </row>
    <row r="45" spans="1:16" ht="16.5" customHeight="1" x14ac:dyDescent="0.15">
      <c r="A45" s="80"/>
      <c r="B45" s="86" t="s">
        <v>4306</v>
      </c>
      <c r="C45" s="81"/>
      <c r="D45" s="71"/>
      <c r="O45" s="84"/>
      <c r="P45" s="85"/>
    </row>
    <row r="46" spans="1:16" ht="16.5" customHeight="1" x14ac:dyDescent="0.15">
      <c r="A46" s="87" t="s">
        <v>384</v>
      </c>
      <c r="B46" s="20"/>
      <c r="C46" s="88" t="s">
        <v>385</v>
      </c>
      <c r="D46" s="23" t="s">
        <v>386</v>
      </c>
      <c r="E46" s="118"/>
      <c r="F46" s="23"/>
      <c r="G46" s="23"/>
      <c r="H46" s="24"/>
      <c r="I46" s="23"/>
      <c r="J46" s="24"/>
      <c r="K46" s="23"/>
      <c r="L46" s="23"/>
      <c r="M46" s="23"/>
      <c r="N46" s="24"/>
      <c r="O46" s="25" t="s">
        <v>387</v>
      </c>
      <c r="P46" s="21" t="s">
        <v>388</v>
      </c>
    </row>
    <row r="47" spans="1:16" ht="16.5" customHeight="1" x14ac:dyDescent="0.15">
      <c r="A47" s="26" t="s">
        <v>389</v>
      </c>
      <c r="B47" s="26" t="s">
        <v>390</v>
      </c>
      <c r="C47" s="89"/>
      <c r="D47" s="29"/>
      <c r="E47" s="120"/>
      <c r="F47" s="29"/>
      <c r="G47" s="29"/>
      <c r="H47" s="30"/>
      <c r="I47" s="29"/>
      <c r="J47" s="30"/>
      <c r="K47" s="29"/>
      <c r="L47" s="29"/>
      <c r="M47" s="29"/>
      <c r="N47" s="30"/>
      <c r="O47" s="31" t="s">
        <v>391</v>
      </c>
      <c r="P47" s="32" t="s">
        <v>392</v>
      </c>
    </row>
    <row r="48" spans="1:16" ht="16.5" customHeight="1" x14ac:dyDescent="0.15">
      <c r="A48" s="33">
        <v>11</v>
      </c>
      <c r="B48" s="33">
        <v>2203</v>
      </c>
      <c r="C48" s="34" t="s">
        <v>4307</v>
      </c>
      <c r="D48" s="709" t="s">
        <v>861</v>
      </c>
      <c r="E48" s="718"/>
      <c r="F48" s="36"/>
      <c r="G48" s="37"/>
      <c r="H48" s="38"/>
      <c r="I48" s="72" t="s">
        <v>862</v>
      </c>
      <c r="K48" s="57"/>
      <c r="L48" s="35"/>
      <c r="O48" s="39">
        <f>ROUND((_11_A重度研修増０．５*(1+_11・A深夜)),0)</f>
        <v>129</v>
      </c>
      <c r="P48" s="40" t="s">
        <v>395</v>
      </c>
    </row>
    <row r="49" spans="1:16" ht="16.5" customHeight="1" x14ac:dyDescent="0.15">
      <c r="A49" s="41">
        <v>11</v>
      </c>
      <c r="B49" s="41">
        <v>2204</v>
      </c>
      <c r="C49" s="74" t="s">
        <v>4308</v>
      </c>
      <c r="D49" s="709"/>
      <c r="E49" s="718"/>
      <c r="F49" s="44" t="s">
        <v>397</v>
      </c>
      <c r="G49" s="45" t="s">
        <v>398</v>
      </c>
      <c r="H49" s="46">
        <v>1</v>
      </c>
      <c r="I49" s="35" t="s">
        <v>398</v>
      </c>
      <c r="J49" s="13">
        <v>0.5</v>
      </c>
      <c r="K49" s="728" t="s">
        <v>676</v>
      </c>
      <c r="L49" s="43"/>
      <c r="M49" s="37"/>
      <c r="N49" s="38"/>
      <c r="O49" s="47">
        <f>ROUND((ROUND((_11_A重度研修増０．５*_11・２人),0)*(1+_11・A深夜)),0)</f>
        <v>129</v>
      </c>
      <c r="P49" s="48"/>
    </row>
    <row r="50" spans="1:16" ht="16.5" customHeight="1" x14ac:dyDescent="0.15">
      <c r="A50" s="41">
        <v>11</v>
      </c>
      <c r="B50" s="41" t="s">
        <v>4309</v>
      </c>
      <c r="C50" s="74" t="s">
        <v>4310</v>
      </c>
      <c r="D50" s="709"/>
      <c r="E50" s="718"/>
      <c r="F50" s="44"/>
      <c r="G50" s="45"/>
      <c r="H50" s="46"/>
      <c r="I50" s="35"/>
      <c r="K50" s="728"/>
      <c r="L50" s="734" t="s">
        <v>404</v>
      </c>
      <c r="M50" s="49" t="s">
        <v>398</v>
      </c>
      <c r="N50" s="50">
        <f>_11・初任</f>
        <v>0.7</v>
      </c>
      <c r="O50" s="47">
        <f>ROUND((ROUND((_11_A重度研修増０．５*(1+_11・A深夜)),0)*_11・初任),0)</f>
        <v>90</v>
      </c>
      <c r="P50" s="48"/>
    </row>
    <row r="51" spans="1:16" ht="16.5" customHeight="1" x14ac:dyDescent="0.15">
      <c r="A51" s="41">
        <v>11</v>
      </c>
      <c r="B51" s="41" t="s">
        <v>4311</v>
      </c>
      <c r="C51" s="74" t="s">
        <v>4312</v>
      </c>
      <c r="D51" s="100">
        <f>_11_A重度研修増０．５</f>
        <v>86</v>
      </c>
      <c r="E51" s="12" t="s">
        <v>392</v>
      </c>
      <c r="F51" s="44" t="s">
        <v>397</v>
      </c>
      <c r="G51" s="45" t="s">
        <v>398</v>
      </c>
      <c r="H51" s="46">
        <v>1</v>
      </c>
      <c r="I51" s="35"/>
      <c r="K51" s="57"/>
      <c r="L51" s="706"/>
      <c r="M51" s="37"/>
      <c r="N51" s="38"/>
      <c r="O51" s="47">
        <f>ROUND((ROUND((ROUND((_11_A重度研修増０．５*_11・２人),0)*(1+_11・A深夜)),0)*_11・初任),0)</f>
        <v>90</v>
      </c>
      <c r="P51" s="48"/>
    </row>
    <row r="52" spans="1:16" ht="16.5" customHeight="1" x14ac:dyDescent="0.15">
      <c r="A52" s="41">
        <v>11</v>
      </c>
      <c r="B52" s="41">
        <v>2205</v>
      </c>
      <c r="C52" s="74" t="s">
        <v>4313</v>
      </c>
      <c r="D52" s="707" t="s">
        <v>876</v>
      </c>
      <c r="E52" s="717"/>
      <c r="F52" s="44"/>
      <c r="G52" s="45"/>
      <c r="H52" s="46"/>
      <c r="I52" s="35"/>
      <c r="K52" s="57"/>
      <c r="L52" s="53"/>
      <c r="M52" s="49"/>
      <c r="N52" s="50"/>
      <c r="O52" s="47">
        <f>ROUND((_11_A重度研修増１．０*(1+_11・A深夜)),0)</f>
        <v>258</v>
      </c>
      <c r="P52" s="48"/>
    </row>
    <row r="53" spans="1:16" ht="16.5" customHeight="1" x14ac:dyDescent="0.15">
      <c r="A53" s="41">
        <v>11</v>
      </c>
      <c r="B53" s="41">
        <v>2206</v>
      </c>
      <c r="C53" s="74" t="s">
        <v>4314</v>
      </c>
      <c r="D53" s="709"/>
      <c r="E53" s="718"/>
      <c r="F53" s="44" t="s">
        <v>397</v>
      </c>
      <c r="G53" s="45" t="s">
        <v>398</v>
      </c>
      <c r="H53" s="46">
        <v>1</v>
      </c>
      <c r="I53" s="35"/>
      <c r="K53" s="57"/>
      <c r="L53" s="43"/>
      <c r="M53" s="37"/>
      <c r="N53" s="38"/>
      <c r="O53" s="47">
        <f>ROUND((ROUND((_11_A重度研修増１．０*_11・２人),0)*(1+_11・A深夜)),0)</f>
        <v>258</v>
      </c>
      <c r="P53" s="48"/>
    </row>
    <row r="54" spans="1:16" ht="16.5" customHeight="1" x14ac:dyDescent="0.15">
      <c r="A54" s="41">
        <v>11</v>
      </c>
      <c r="B54" s="41" t="s">
        <v>4315</v>
      </c>
      <c r="C54" s="74" t="s">
        <v>4316</v>
      </c>
      <c r="D54" s="709"/>
      <c r="E54" s="718"/>
      <c r="F54" s="44"/>
      <c r="G54" s="45"/>
      <c r="H54" s="46"/>
      <c r="I54" s="35"/>
      <c r="K54" s="57"/>
      <c r="L54" s="734" t="s">
        <v>404</v>
      </c>
      <c r="M54" s="49" t="s">
        <v>398</v>
      </c>
      <c r="N54" s="50">
        <f>_11・初任</f>
        <v>0.7</v>
      </c>
      <c r="O54" s="47">
        <f>ROUND((ROUND((_11_A重度研修増１．０*(1+_11・A深夜)),0)*_11・初任),0)</f>
        <v>181</v>
      </c>
      <c r="P54" s="48"/>
    </row>
    <row r="55" spans="1:16" ht="16.5" customHeight="1" x14ac:dyDescent="0.15">
      <c r="A55" s="41">
        <v>11</v>
      </c>
      <c r="B55" s="41" t="s">
        <v>4317</v>
      </c>
      <c r="C55" s="74" t="s">
        <v>4318</v>
      </c>
      <c r="D55" s="100">
        <f>_11_A重度研修増１．０</f>
        <v>172</v>
      </c>
      <c r="E55" s="12" t="s">
        <v>392</v>
      </c>
      <c r="F55" s="44" t="s">
        <v>397</v>
      </c>
      <c r="G55" s="45" t="s">
        <v>398</v>
      </c>
      <c r="H55" s="46">
        <v>1</v>
      </c>
      <c r="I55" s="35"/>
      <c r="K55" s="57"/>
      <c r="L55" s="706"/>
      <c r="M55" s="37"/>
      <c r="N55" s="38"/>
      <c r="O55" s="47">
        <f>ROUND((ROUND((ROUND((_11_A重度研修増１．０*_11・２人),0)*(1+_11・A深夜)),0)*_11・初任),0)</f>
        <v>181</v>
      </c>
      <c r="P55" s="48"/>
    </row>
    <row r="56" spans="1:16" ht="16.5" customHeight="1" x14ac:dyDescent="0.15">
      <c r="A56" s="41">
        <v>11</v>
      </c>
      <c r="B56" s="41">
        <v>2207</v>
      </c>
      <c r="C56" s="74" t="s">
        <v>4319</v>
      </c>
      <c r="D56" s="707" t="s">
        <v>889</v>
      </c>
      <c r="E56" s="717"/>
      <c r="F56" s="44"/>
      <c r="G56" s="45"/>
      <c r="H56" s="46"/>
      <c r="I56" s="35"/>
      <c r="K56" s="57"/>
      <c r="L56" s="53"/>
      <c r="M56" s="49"/>
      <c r="N56" s="50"/>
      <c r="O56" s="47">
        <f>ROUND((_11_A重度研修増１．５*(1+_11・A深夜)),0)</f>
        <v>387</v>
      </c>
      <c r="P56" s="48"/>
    </row>
    <row r="57" spans="1:16" ht="16.5" customHeight="1" x14ac:dyDescent="0.15">
      <c r="A57" s="41">
        <v>11</v>
      </c>
      <c r="B57" s="41">
        <v>2208</v>
      </c>
      <c r="C57" s="74" t="s">
        <v>4320</v>
      </c>
      <c r="D57" s="709"/>
      <c r="E57" s="718"/>
      <c r="F57" s="44" t="s">
        <v>397</v>
      </c>
      <c r="G57" s="45" t="s">
        <v>398</v>
      </c>
      <c r="H57" s="46">
        <v>1</v>
      </c>
      <c r="I57" s="35"/>
      <c r="K57" s="57"/>
      <c r="L57" s="43"/>
      <c r="M57" s="37"/>
      <c r="N57" s="38"/>
      <c r="O57" s="47">
        <f>ROUND((ROUND((_11_A重度研修増１．５*_11・２人),0)*(1+_11・A深夜)),0)</f>
        <v>387</v>
      </c>
      <c r="P57" s="48"/>
    </row>
    <row r="58" spans="1:16" ht="16.5" customHeight="1" x14ac:dyDescent="0.15">
      <c r="A58" s="41">
        <v>11</v>
      </c>
      <c r="B58" s="41" t="s">
        <v>4321</v>
      </c>
      <c r="C58" s="74" t="s">
        <v>4322</v>
      </c>
      <c r="D58" s="709"/>
      <c r="E58" s="718"/>
      <c r="F58" s="44"/>
      <c r="G58" s="45"/>
      <c r="H58" s="46"/>
      <c r="I58" s="35"/>
      <c r="K58" s="57"/>
      <c r="L58" s="734" t="s">
        <v>404</v>
      </c>
      <c r="M58" s="49" t="s">
        <v>398</v>
      </c>
      <c r="N58" s="50">
        <f>_11・初任</f>
        <v>0.7</v>
      </c>
      <c r="O58" s="47">
        <f>ROUND((ROUND((_11_A重度研修増１．５*(1+_11・A深夜)),0)*_11・初任),0)</f>
        <v>271</v>
      </c>
      <c r="P58" s="48"/>
    </row>
    <row r="59" spans="1:16" ht="16.5" customHeight="1" x14ac:dyDescent="0.15">
      <c r="A59" s="41">
        <v>11</v>
      </c>
      <c r="B59" s="41" t="s">
        <v>4323</v>
      </c>
      <c r="C59" s="74" t="s">
        <v>4324</v>
      </c>
      <c r="D59" s="100">
        <f>_11_A重度研修増１．５</f>
        <v>258</v>
      </c>
      <c r="E59" s="12" t="s">
        <v>392</v>
      </c>
      <c r="F59" s="44" t="s">
        <v>397</v>
      </c>
      <c r="G59" s="45" t="s">
        <v>398</v>
      </c>
      <c r="H59" s="46">
        <v>1</v>
      </c>
      <c r="I59" s="35"/>
      <c r="K59" s="57"/>
      <c r="L59" s="706"/>
      <c r="M59" s="37"/>
      <c r="N59" s="38"/>
      <c r="O59" s="47">
        <f>ROUND((ROUND((ROUND((_11_A重度研修増１．５*_11・２人),0)*(1+_11・A深夜)),0)*_11・初任),0)</f>
        <v>271</v>
      </c>
      <c r="P59" s="48"/>
    </row>
    <row r="60" spans="1:16" ht="16.5" customHeight="1" x14ac:dyDescent="0.15">
      <c r="A60" s="41">
        <v>11</v>
      </c>
      <c r="B60" s="41">
        <v>2209</v>
      </c>
      <c r="C60" s="74" t="s">
        <v>4325</v>
      </c>
      <c r="D60" s="707" t="s">
        <v>1188</v>
      </c>
      <c r="E60" s="717"/>
      <c r="F60" s="44"/>
      <c r="G60" s="45"/>
      <c r="H60" s="46"/>
      <c r="I60" s="72"/>
      <c r="K60" s="57"/>
      <c r="L60" s="53"/>
      <c r="M60" s="49"/>
      <c r="N60" s="50"/>
      <c r="O60" s="47">
        <f>ROUND((_11_A重度研修増２．０*(1+_11・A深夜)),0)</f>
        <v>516</v>
      </c>
      <c r="P60" s="48"/>
    </row>
    <row r="61" spans="1:16" ht="16.5" customHeight="1" x14ac:dyDescent="0.15">
      <c r="A61" s="41">
        <v>11</v>
      </c>
      <c r="B61" s="41">
        <v>2210</v>
      </c>
      <c r="C61" s="74" t="s">
        <v>4326</v>
      </c>
      <c r="D61" s="709"/>
      <c r="E61" s="718"/>
      <c r="F61" s="44" t="s">
        <v>397</v>
      </c>
      <c r="G61" s="45" t="s">
        <v>398</v>
      </c>
      <c r="H61" s="46">
        <v>1</v>
      </c>
      <c r="I61" s="35"/>
      <c r="K61" s="145"/>
      <c r="L61" s="43"/>
      <c r="M61" s="37"/>
      <c r="N61" s="38"/>
      <c r="O61" s="47">
        <f>ROUND((ROUND((_11_A重度研修増２．０*_11・２人),0)*(1+_11・A深夜)),0)</f>
        <v>516</v>
      </c>
      <c r="P61" s="48"/>
    </row>
    <row r="62" spans="1:16" ht="16.5" customHeight="1" x14ac:dyDescent="0.15">
      <c r="A62" s="41">
        <v>11</v>
      </c>
      <c r="B62" s="41" t="s">
        <v>4327</v>
      </c>
      <c r="C62" s="74" t="s">
        <v>4328</v>
      </c>
      <c r="D62" s="709"/>
      <c r="E62" s="718"/>
      <c r="F62" s="44"/>
      <c r="G62" s="45"/>
      <c r="H62" s="46"/>
      <c r="I62" s="35"/>
      <c r="K62" s="145"/>
      <c r="L62" s="734" t="s">
        <v>404</v>
      </c>
      <c r="M62" s="49" t="s">
        <v>398</v>
      </c>
      <c r="N62" s="50">
        <f>_11・初任</f>
        <v>0.7</v>
      </c>
      <c r="O62" s="47">
        <f>ROUND((ROUND((_11_A重度研修増２．０*(1+_11・A深夜)),0)*_11・初任),0)</f>
        <v>361</v>
      </c>
      <c r="P62" s="48"/>
    </row>
    <row r="63" spans="1:16" ht="16.5" customHeight="1" x14ac:dyDescent="0.15">
      <c r="A63" s="41">
        <v>11</v>
      </c>
      <c r="B63" s="41" t="s">
        <v>4329</v>
      </c>
      <c r="C63" s="74" t="s">
        <v>4330</v>
      </c>
      <c r="D63" s="100">
        <f>_11_A重度研修増２．０</f>
        <v>344</v>
      </c>
      <c r="E63" s="12" t="s">
        <v>392</v>
      </c>
      <c r="F63" s="44" t="s">
        <v>397</v>
      </c>
      <c r="G63" s="45" t="s">
        <v>398</v>
      </c>
      <c r="H63" s="46">
        <v>1</v>
      </c>
      <c r="I63" s="35"/>
      <c r="K63" s="57"/>
      <c r="L63" s="706"/>
      <c r="M63" s="37"/>
      <c r="N63" s="38"/>
      <c r="O63" s="47">
        <f>ROUND((ROUND((ROUND((_11_A重度研修増２．０*_11・２人),0)*(1+_11・A深夜)),0)*_11・初任),0)</f>
        <v>361</v>
      </c>
      <c r="P63" s="48"/>
    </row>
    <row r="64" spans="1:16" ht="16.5" customHeight="1" x14ac:dyDescent="0.15">
      <c r="A64" s="41">
        <v>11</v>
      </c>
      <c r="B64" s="41">
        <v>2211</v>
      </c>
      <c r="C64" s="74" t="s">
        <v>4331</v>
      </c>
      <c r="D64" s="707" t="s">
        <v>915</v>
      </c>
      <c r="E64" s="717"/>
      <c r="F64" s="44"/>
      <c r="G64" s="45"/>
      <c r="H64" s="46"/>
      <c r="I64" s="35"/>
      <c r="K64" s="57"/>
      <c r="L64" s="53"/>
      <c r="M64" s="49"/>
      <c r="N64" s="50"/>
      <c r="O64" s="47">
        <f>ROUND((_11_A重度研修増２．５*(1+_11・A深夜)),0)</f>
        <v>645</v>
      </c>
      <c r="P64" s="48"/>
    </row>
    <row r="65" spans="1:16" ht="16.5" customHeight="1" x14ac:dyDescent="0.15">
      <c r="A65" s="41">
        <v>11</v>
      </c>
      <c r="B65" s="41">
        <v>2212</v>
      </c>
      <c r="C65" s="74" t="s">
        <v>4332</v>
      </c>
      <c r="D65" s="709"/>
      <c r="E65" s="718"/>
      <c r="F65" s="44" t="s">
        <v>397</v>
      </c>
      <c r="G65" s="45" t="s">
        <v>398</v>
      </c>
      <c r="H65" s="46">
        <v>1</v>
      </c>
      <c r="I65" s="35"/>
      <c r="K65" s="57"/>
      <c r="L65" s="43"/>
      <c r="M65" s="37"/>
      <c r="N65" s="38"/>
      <c r="O65" s="47">
        <f>ROUND((ROUND((_11_A重度研修増２．５*_11・２人),0)*(1+_11・A深夜)),0)</f>
        <v>645</v>
      </c>
      <c r="P65" s="48"/>
    </row>
    <row r="66" spans="1:16" ht="16.5" customHeight="1" x14ac:dyDescent="0.15">
      <c r="A66" s="41">
        <v>11</v>
      </c>
      <c r="B66" s="41" t="s">
        <v>4333</v>
      </c>
      <c r="C66" s="74" t="s">
        <v>4334</v>
      </c>
      <c r="D66" s="709"/>
      <c r="E66" s="718"/>
      <c r="F66" s="44"/>
      <c r="G66" s="45"/>
      <c r="H66" s="46"/>
      <c r="I66" s="35"/>
      <c r="K66" s="57"/>
      <c r="L66" s="734" t="s">
        <v>404</v>
      </c>
      <c r="M66" s="49" t="s">
        <v>398</v>
      </c>
      <c r="N66" s="50">
        <f>_11・初任</f>
        <v>0.7</v>
      </c>
      <c r="O66" s="47">
        <f>ROUND((ROUND((_11_A重度研修増２．５*(1+_11・A深夜)),0)*_11・初任),0)</f>
        <v>452</v>
      </c>
      <c r="P66" s="48"/>
    </row>
    <row r="67" spans="1:16" ht="16.5" customHeight="1" x14ac:dyDescent="0.15">
      <c r="A67" s="41">
        <v>11</v>
      </c>
      <c r="B67" s="41" t="s">
        <v>4335</v>
      </c>
      <c r="C67" s="74" t="s">
        <v>4336</v>
      </c>
      <c r="D67" s="100">
        <f>_11_A重度研修増２．５</f>
        <v>430</v>
      </c>
      <c r="E67" s="12" t="s">
        <v>392</v>
      </c>
      <c r="F67" s="44" t="s">
        <v>397</v>
      </c>
      <c r="G67" s="45" t="s">
        <v>398</v>
      </c>
      <c r="H67" s="46">
        <v>1</v>
      </c>
      <c r="I67" s="35"/>
      <c r="K67" s="57"/>
      <c r="L67" s="706"/>
      <c r="M67" s="37"/>
      <c r="N67" s="38"/>
      <c r="O67" s="47">
        <f>ROUND((ROUND((ROUND((_11_A重度研修増２．５*_11・２人),0)*(1+_11・A深夜)),0)*_11・初任),0)</f>
        <v>452</v>
      </c>
      <c r="P67" s="48"/>
    </row>
    <row r="68" spans="1:16" ht="16.5" customHeight="1" x14ac:dyDescent="0.15">
      <c r="A68" s="41">
        <v>11</v>
      </c>
      <c r="B68" s="41">
        <v>2213</v>
      </c>
      <c r="C68" s="74" t="s">
        <v>4337</v>
      </c>
      <c r="D68" s="707" t="s">
        <v>928</v>
      </c>
      <c r="E68" s="717"/>
      <c r="F68" s="44"/>
      <c r="G68" s="45"/>
      <c r="H68" s="46"/>
      <c r="I68" s="35"/>
      <c r="K68" s="57"/>
      <c r="L68" s="53"/>
      <c r="M68" s="49"/>
      <c r="N68" s="50"/>
      <c r="O68" s="47">
        <f>ROUND((_11_A重度研修増３．０*(1+_11・A深夜)),0)</f>
        <v>774</v>
      </c>
      <c r="P68" s="48"/>
    </row>
    <row r="69" spans="1:16" ht="16.5" customHeight="1" x14ac:dyDescent="0.15">
      <c r="A69" s="41">
        <v>11</v>
      </c>
      <c r="B69" s="41">
        <v>2214</v>
      </c>
      <c r="C69" s="74" t="s">
        <v>4338</v>
      </c>
      <c r="D69" s="709"/>
      <c r="E69" s="718"/>
      <c r="F69" s="44" t="s">
        <v>397</v>
      </c>
      <c r="G69" s="45" t="s">
        <v>398</v>
      </c>
      <c r="H69" s="46">
        <v>1</v>
      </c>
      <c r="I69" s="35"/>
      <c r="K69" s="57"/>
      <c r="L69" s="43"/>
      <c r="M69" s="37"/>
      <c r="N69" s="38"/>
      <c r="O69" s="47">
        <f>ROUND((ROUND((_11_A重度研修増３．０*_11・２人),0)*(1+_11・A深夜)),0)</f>
        <v>774</v>
      </c>
      <c r="P69" s="48"/>
    </row>
    <row r="70" spans="1:16" ht="16.5" customHeight="1" x14ac:dyDescent="0.15">
      <c r="A70" s="41">
        <v>11</v>
      </c>
      <c r="B70" s="41" t="s">
        <v>4339</v>
      </c>
      <c r="C70" s="74" t="s">
        <v>4340</v>
      </c>
      <c r="D70" s="709"/>
      <c r="E70" s="718"/>
      <c r="F70" s="44"/>
      <c r="G70" s="45"/>
      <c r="H70" s="46"/>
      <c r="I70" s="35"/>
      <c r="K70" s="57"/>
      <c r="L70" s="734" t="s">
        <v>404</v>
      </c>
      <c r="M70" s="49" t="s">
        <v>398</v>
      </c>
      <c r="N70" s="50">
        <f>_11・初任</f>
        <v>0.7</v>
      </c>
      <c r="O70" s="47">
        <f>ROUND((ROUND((_11_A重度研修増３．０*(1+_11・A深夜)),0)*_11・初任),0)</f>
        <v>542</v>
      </c>
      <c r="P70" s="48"/>
    </row>
    <row r="71" spans="1:16" ht="16.5" customHeight="1" x14ac:dyDescent="0.15">
      <c r="A71" s="41">
        <v>11</v>
      </c>
      <c r="B71" s="41" t="s">
        <v>4341</v>
      </c>
      <c r="C71" s="74" t="s">
        <v>4342</v>
      </c>
      <c r="D71" s="100">
        <f>_11_A重度研修増３．０</f>
        <v>516</v>
      </c>
      <c r="E71" s="12" t="s">
        <v>392</v>
      </c>
      <c r="F71" s="44" t="s">
        <v>397</v>
      </c>
      <c r="G71" s="45" t="s">
        <v>398</v>
      </c>
      <c r="H71" s="46">
        <v>1</v>
      </c>
      <c r="I71" s="35"/>
      <c r="K71" s="57"/>
      <c r="L71" s="706"/>
      <c r="M71" s="37"/>
      <c r="N71" s="38"/>
      <c r="O71" s="47">
        <f>ROUND((ROUND((ROUND((_11_A重度研修増３．０*_11・２人),0)*(1+_11・A深夜)),0)*_11・初任),0)</f>
        <v>542</v>
      </c>
      <c r="P71" s="48"/>
    </row>
    <row r="72" spans="1:16" ht="16.5" customHeight="1" x14ac:dyDescent="0.15">
      <c r="A72" s="41">
        <v>11</v>
      </c>
      <c r="B72" s="41">
        <v>2215</v>
      </c>
      <c r="C72" s="74" t="s">
        <v>4343</v>
      </c>
      <c r="D72" s="707" t="s">
        <v>941</v>
      </c>
      <c r="E72" s="717"/>
      <c r="F72" s="44"/>
      <c r="G72" s="45"/>
      <c r="H72" s="46"/>
      <c r="I72" s="35"/>
      <c r="K72" s="57"/>
      <c r="L72" s="53"/>
      <c r="M72" s="49"/>
      <c r="N72" s="50"/>
      <c r="O72" s="47">
        <f>ROUND((_11_A重度研修増３．５*(1+_11・A深夜)),0)</f>
        <v>903</v>
      </c>
      <c r="P72" s="48"/>
    </row>
    <row r="73" spans="1:16" ht="16.5" customHeight="1" x14ac:dyDescent="0.15">
      <c r="A73" s="41">
        <v>11</v>
      </c>
      <c r="B73" s="41">
        <v>2216</v>
      </c>
      <c r="C73" s="74" t="s">
        <v>4344</v>
      </c>
      <c r="D73" s="709"/>
      <c r="E73" s="718"/>
      <c r="F73" s="44" t="s">
        <v>397</v>
      </c>
      <c r="G73" s="45" t="s">
        <v>398</v>
      </c>
      <c r="H73" s="46">
        <v>1</v>
      </c>
      <c r="I73" s="35"/>
      <c r="K73" s="57"/>
      <c r="L73" s="43"/>
      <c r="M73" s="37"/>
      <c r="N73" s="38"/>
      <c r="O73" s="47">
        <f>ROUND((ROUND((_11_A重度研修増３．５*_11・２人),0)*(1+_11・A深夜)),0)</f>
        <v>903</v>
      </c>
      <c r="P73" s="48"/>
    </row>
    <row r="74" spans="1:16" ht="16.5" customHeight="1" x14ac:dyDescent="0.15">
      <c r="A74" s="41">
        <v>11</v>
      </c>
      <c r="B74" s="41" t="s">
        <v>4345</v>
      </c>
      <c r="C74" s="74" t="s">
        <v>4346</v>
      </c>
      <c r="D74" s="709"/>
      <c r="E74" s="718"/>
      <c r="F74" s="44"/>
      <c r="G74" s="45"/>
      <c r="H74" s="46"/>
      <c r="I74" s="35"/>
      <c r="K74" s="57"/>
      <c r="L74" s="734" t="s">
        <v>404</v>
      </c>
      <c r="M74" s="49" t="s">
        <v>398</v>
      </c>
      <c r="N74" s="50">
        <f>_11・初任</f>
        <v>0.7</v>
      </c>
      <c r="O74" s="47">
        <f>ROUND((ROUND((_11_A重度研修増３．５*(1+_11・A深夜)),0)*_11・初任),0)</f>
        <v>632</v>
      </c>
      <c r="P74" s="48"/>
    </row>
    <row r="75" spans="1:16" ht="16.5" customHeight="1" x14ac:dyDescent="0.15">
      <c r="A75" s="41">
        <v>11</v>
      </c>
      <c r="B75" s="41" t="s">
        <v>4347</v>
      </c>
      <c r="C75" s="74" t="s">
        <v>4348</v>
      </c>
      <c r="D75" s="100">
        <f>_11_A重度研修増３．５</f>
        <v>602</v>
      </c>
      <c r="E75" s="12" t="s">
        <v>392</v>
      </c>
      <c r="F75" s="44" t="s">
        <v>397</v>
      </c>
      <c r="G75" s="45" t="s">
        <v>398</v>
      </c>
      <c r="H75" s="46">
        <v>1</v>
      </c>
      <c r="I75" s="35"/>
      <c r="K75" s="57"/>
      <c r="L75" s="706"/>
      <c r="M75" s="37"/>
      <c r="N75" s="38"/>
      <c r="O75" s="47">
        <f>ROUND((ROUND((ROUND((_11_A重度研修増３．５*_11・２人),0)*(1+_11・A深夜)),0)*_11・初任),0)</f>
        <v>632</v>
      </c>
      <c r="P75" s="48"/>
    </row>
    <row r="76" spans="1:16" ht="16.5" customHeight="1" x14ac:dyDescent="0.15">
      <c r="A76" s="41">
        <v>11</v>
      </c>
      <c r="B76" s="41">
        <v>2217</v>
      </c>
      <c r="C76" s="74" t="s">
        <v>4349</v>
      </c>
      <c r="D76" s="707" t="s">
        <v>954</v>
      </c>
      <c r="E76" s="717"/>
      <c r="F76" s="44"/>
      <c r="G76" s="45"/>
      <c r="H76" s="46"/>
      <c r="I76" s="35"/>
      <c r="K76" s="57"/>
      <c r="L76" s="53"/>
      <c r="M76" s="49"/>
      <c r="N76" s="50"/>
      <c r="O76" s="47">
        <f>ROUND((_11_A重度研修増４．０*(1+_11・A深夜)),0)</f>
        <v>1032</v>
      </c>
      <c r="P76" s="48"/>
    </row>
    <row r="77" spans="1:16" ht="16.5" customHeight="1" x14ac:dyDescent="0.15">
      <c r="A77" s="41">
        <v>11</v>
      </c>
      <c r="B77" s="41">
        <v>2218</v>
      </c>
      <c r="C77" s="74" t="s">
        <v>4350</v>
      </c>
      <c r="D77" s="709"/>
      <c r="E77" s="718"/>
      <c r="F77" s="44" t="s">
        <v>397</v>
      </c>
      <c r="G77" s="45" t="s">
        <v>398</v>
      </c>
      <c r="H77" s="46">
        <v>1</v>
      </c>
      <c r="I77" s="35"/>
      <c r="K77" s="57"/>
      <c r="L77" s="43"/>
      <c r="M77" s="37"/>
      <c r="N77" s="38"/>
      <c r="O77" s="47">
        <f>ROUND((ROUND((_11_A重度研修増４．０*_11・２人),0)*(1+_11・A深夜)),0)</f>
        <v>1032</v>
      </c>
      <c r="P77" s="48"/>
    </row>
    <row r="78" spans="1:16" ht="16.5" customHeight="1" x14ac:dyDescent="0.15">
      <c r="A78" s="41">
        <v>11</v>
      </c>
      <c r="B78" s="41" t="s">
        <v>4351</v>
      </c>
      <c r="C78" s="74" t="s">
        <v>4352</v>
      </c>
      <c r="D78" s="709"/>
      <c r="E78" s="718"/>
      <c r="F78" s="44"/>
      <c r="G78" s="45"/>
      <c r="H78" s="46"/>
      <c r="I78" s="35"/>
      <c r="K78" s="57"/>
      <c r="L78" s="734" t="s">
        <v>404</v>
      </c>
      <c r="M78" s="49" t="s">
        <v>398</v>
      </c>
      <c r="N78" s="50">
        <f>_11・初任</f>
        <v>0.7</v>
      </c>
      <c r="O78" s="47">
        <f>ROUND((ROUND((_11_A重度研修増４．０*(1+_11・A深夜)),0)*_11・初任),0)</f>
        <v>722</v>
      </c>
      <c r="P78" s="48"/>
    </row>
    <row r="79" spans="1:16" ht="16.5" customHeight="1" x14ac:dyDescent="0.15">
      <c r="A79" s="41">
        <v>11</v>
      </c>
      <c r="B79" s="41" t="s">
        <v>4353</v>
      </c>
      <c r="C79" s="74" t="s">
        <v>4354</v>
      </c>
      <c r="D79" s="165">
        <f>_11_A重度研修増４．０</f>
        <v>688</v>
      </c>
      <c r="E79" s="37" t="s">
        <v>392</v>
      </c>
      <c r="F79" s="44" t="s">
        <v>397</v>
      </c>
      <c r="G79" s="45" t="s">
        <v>398</v>
      </c>
      <c r="H79" s="46">
        <v>1</v>
      </c>
      <c r="I79" s="35"/>
      <c r="K79" s="57"/>
      <c r="L79" s="706"/>
      <c r="M79" s="37"/>
      <c r="N79" s="38"/>
      <c r="O79" s="47">
        <f>ROUND((ROUND((ROUND((_11_A重度研修増４．０*_11・２人),0)*(1+_11・A深夜)),0)*_11・初任),0)</f>
        <v>722</v>
      </c>
      <c r="P79" s="48"/>
    </row>
    <row r="80" spans="1:16" ht="16.5" customHeight="1" x14ac:dyDescent="0.15">
      <c r="A80" s="33">
        <v>11</v>
      </c>
      <c r="B80" s="33">
        <v>2219</v>
      </c>
      <c r="C80" s="34" t="s">
        <v>4355</v>
      </c>
      <c r="D80" s="709" t="s">
        <v>3197</v>
      </c>
      <c r="E80" s="718"/>
      <c r="F80" s="36"/>
      <c r="G80" s="37"/>
      <c r="H80" s="38"/>
      <c r="I80" s="35"/>
      <c r="K80" s="57"/>
      <c r="L80" s="35"/>
      <c r="O80" s="39">
        <f>ROUND((_11_A重度研修増４．５*(1+_11・A深夜)),0)</f>
        <v>1161</v>
      </c>
      <c r="P80" s="48"/>
    </row>
    <row r="81" spans="1:16" ht="16.5" customHeight="1" x14ac:dyDescent="0.15">
      <c r="A81" s="41">
        <v>11</v>
      </c>
      <c r="B81" s="41">
        <v>2220</v>
      </c>
      <c r="C81" s="74" t="s">
        <v>4356</v>
      </c>
      <c r="D81" s="709"/>
      <c r="E81" s="718"/>
      <c r="F81" s="44" t="s">
        <v>397</v>
      </c>
      <c r="G81" s="45" t="s">
        <v>398</v>
      </c>
      <c r="H81" s="46">
        <v>1</v>
      </c>
      <c r="I81" s="35"/>
      <c r="K81" s="57"/>
      <c r="L81" s="43"/>
      <c r="M81" s="37"/>
      <c r="N81" s="38"/>
      <c r="O81" s="47">
        <f>ROUND((ROUND((_11_A重度研修増４．５*_11・２人),0)*(1+_11・A深夜)),0)</f>
        <v>1161</v>
      </c>
      <c r="P81" s="48"/>
    </row>
    <row r="82" spans="1:16" ht="16.5" customHeight="1" x14ac:dyDescent="0.15">
      <c r="A82" s="41">
        <v>11</v>
      </c>
      <c r="B82" s="41" t="s">
        <v>4357</v>
      </c>
      <c r="C82" s="74" t="s">
        <v>4358</v>
      </c>
      <c r="D82" s="709"/>
      <c r="E82" s="718"/>
      <c r="F82" s="44"/>
      <c r="G82" s="45"/>
      <c r="H82" s="46"/>
      <c r="I82" s="35"/>
      <c r="K82" s="57"/>
      <c r="L82" s="734" t="s">
        <v>404</v>
      </c>
      <c r="M82" s="49" t="s">
        <v>398</v>
      </c>
      <c r="N82" s="50">
        <f>_11・初任</f>
        <v>0.7</v>
      </c>
      <c r="O82" s="47">
        <f>ROUND((ROUND((_11_A重度研修増４．５*(1+_11・A深夜)),0)*_11・初任),0)</f>
        <v>813</v>
      </c>
      <c r="P82" s="48"/>
    </row>
    <row r="83" spans="1:16" ht="16.5" customHeight="1" x14ac:dyDescent="0.15">
      <c r="A83" s="41">
        <v>11</v>
      </c>
      <c r="B83" s="41" t="s">
        <v>4359</v>
      </c>
      <c r="C83" s="74" t="s">
        <v>4360</v>
      </c>
      <c r="D83" s="100">
        <f>_11_A重度研修増４．５</f>
        <v>774</v>
      </c>
      <c r="E83" s="12" t="s">
        <v>392</v>
      </c>
      <c r="F83" s="44" t="s">
        <v>397</v>
      </c>
      <c r="G83" s="45" t="s">
        <v>398</v>
      </c>
      <c r="H83" s="46">
        <v>1</v>
      </c>
      <c r="I83" s="35"/>
      <c r="K83" s="57"/>
      <c r="L83" s="706"/>
      <c r="M83" s="37"/>
      <c r="N83" s="38"/>
      <c r="O83" s="47">
        <f>ROUND((ROUND((ROUND((_11_A重度研修増４．５*_11・２人),0)*(1+_11・A深夜)),0)*_11・初任),0)</f>
        <v>813</v>
      </c>
      <c r="P83" s="48"/>
    </row>
    <row r="84" spans="1:16" ht="16.5" customHeight="1" x14ac:dyDescent="0.15">
      <c r="A84" s="41">
        <v>11</v>
      </c>
      <c r="B84" s="41">
        <v>2221</v>
      </c>
      <c r="C84" s="74" t="s">
        <v>4361</v>
      </c>
      <c r="D84" s="707" t="s">
        <v>980</v>
      </c>
      <c r="E84" s="717"/>
      <c r="F84" s="44"/>
      <c r="G84" s="45"/>
      <c r="H84" s="46"/>
      <c r="I84" s="35"/>
      <c r="K84" s="57"/>
      <c r="L84" s="53"/>
      <c r="M84" s="49"/>
      <c r="N84" s="50"/>
      <c r="O84" s="47">
        <f>ROUND((_11_A重度研修増５．０*(1+_11・A深夜)),0)</f>
        <v>1290</v>
      </c>
      <c r="P84" s="48"/>
    </row>
    <row r="85" spans="1:16" ht="16.5" customHeight="1" x14ac:dyDescent="0.15">
      <c r="A85" s="41">
        <v>11</v>
      </c>
      <c r="B85" s="41">
        <v>2222</v>
      </c>
      <c r="C85" s="74" t="s">
        <v>4362</v>
      </c>
      <c r="D85" s="709"/>
      <c r="E85" s="718"/>
      <c r="F85" s="44" t="s">
        <v>397</v>
      </c>
      <c r="G85" s="45" t="s">
        <v>398</v>
      </c>
      <c r="H85" s="46">
        <v>1</v>
      </c>
      <c r="I85" s="35"/>
      <c r="K85" s="57"/>
      <c r="L85" s="43"/>
      <c r="M85" s="37"/>
      <c r="N85" s="38"/>
      <c r="O85" s="47">
        <f>ROUND((ROUND((_11_A重度研修増５．０*_11・２人),0)*(1+_11・A深夜)),0)</f>
        <v>1290</v>
      </c>
      <c r="P85" s="48"/>
    </row>
    <row r="86" spans="1:16" ht="16.5" customHeight="1" x14ac:dyDescent="0.15">
      <c r="A86" s="41">
        <v>11</v>
      </c>
      <c r="B86" s="41" t="s">
        <v>4363</v>
      </c>
      <c r="C86" s="74" t="s">
        <v>4364</v>
      </c>
      <c r="D86" s="709"/>
      <c r="E86" s="718"/>
      <c r="F86" s="44"/>
      <c r="G86" s="45"/>
      <c r="H86" s="46"/>
      <c r="I86" s="35"/>
      <c r="K86" s="57"/>
      <c r="L86" s="734" t="s">
        <v>404</v>
      </c>
      <c r="M86" s="49" t="s">
        <v>398</v>
      </c>
      <c r="N86" s="50">
        <f>_11・初任</f>
        <v>0.7</v>
      </c>
      <c r="O86" s="47">
        <f>ROUND((ROUND((_11_A重度研修増５．０*(1+_11・A深夜)),0)*_11・初任),0)</f>
        <v>903</v>
      </c>
      <c r="P86" s="48"/>
    </row>
    <row r="87" spans="1:16" ht="16.5" customHeight="1" x14ac:dyDescent="0.15">
      <c r="A87" s="41">
        <v>11</v>
      </c>
      <c r="B87" s="41" t="s">
        <v>4365</v>
      </c>
      <c r="C87" s="74" t="s">
        <v>4366</v>
      </c>
      <c r="D87" s="100">
        <f>_11_A重度研修増５．０</f>
        <v>860</v>
      </c>
      <c r="E87" s="12" t="s">
        <v>392</v>
      </c>
      <c r="F87" s="44" t="s">
        <v>397</v>
      </c>
      <c r="G87" s="45" t="s">
        <v>398</v>
      </c>
      <c r="H87" s="46">
        <v>1</v>
      </c>
      <c r="I87" s="35"/>
      <c r="K87" s="57"/>
      <c r="L87" s="706"/>
      <c r="M87" s="37"/>
      <c r="N87" s="38"/>
      <c r="O87" s="47">
        <f>ROUND((ROUND((ROUND((_11_A重度研修増５．０*_11・２人),0)*(1+_11・A深夜)),0)*_11・初任),0)</f>
        <v>903</v>
      </c>
      <c r="P87" s="48"/>
    </row>
    <row r="88" spans="1:16" ht="16.5" customHeight="1" x14ac:dyDescent="0.15">
      <c r="A88" s="41">
        <v>11</v>
      </c>
      <c r="B88" s="41">
        <v>2223</v>
      </c>
      <c r="C88" s="74" t="s">
        <v>4367</v>
      </c>
      <c r="D88" s="707" t="s">
        <v>993</v>
      </c>
      <c r="E88" s="717"/>
      <c r="F88" s="44"/>
      <c r="G88" s="45"/>
      <c r="H88" s="46"/>
      <c r="I88" s="72"/>
      <c r="K88" s="57"/>
      <c r="L88" s="53"/>
      <c r="M88" s="49"/>
      <c r="N88" s="50"/>
      <c r="O88" s="47">
        <f>ROUND((_11_A重度研修増５．５*(1+_11・A深夜)),0)</f>
        <v>1419</v>
      </c>
      <c r="P88" s="48"/>
    </row>
    <row r="89" spans="1:16" ht="16.5" customHeight="1" x14ac:dyDescent="0.15">
      <c r="A89" s="41">
        <v>11</v>
      </c>
      <c r="B89" s="41">
        <v>2224</v>
      </c>
      <c r="C89" s="74" t="s">
        <v>4368</v>
      </c>
      <c r="D89" s="709"/>
      <c r="E89" s="718"/>
      <c r="F89" s="44" t="s">
        <v>397</v>
      </c>
      <c r="G89" s="45" t="s">
        <v>398</v>
      </c>
      <c r="H89" s="46">
        <v>1</v>
      </c>
      <c r="I89" s="35"/>
      <c r="K89" s="145"/>
      <c r="L89" s="43"/>
      <c r="M89" s="37"/>
      <c r="N89" s="38"/>
      <c r="O89" s="47">
        <f>ROUND((ROUND((_11_A重度研修増５．５*_11・２人),0)*(1+_11・A深夜)),0)</f>
        <v>1419</v>
      </c>
      <c r="P89" s="48"/>
    </row>
    <row r="90" spans="1:16" ht="16.5" customHeight="1" x14ac:dyDescent="0.15">
      <c r="A90" s="41">
        <v>11</v>
      </c>
      <c r="B90" s="41" t="s">
        <v>4369</v>
      </c>
      <c r="C90" s="74" t="s">
        <v>4370</v>
      </c>
      <c r="D90" s="709"/>
      <c r="E90" s="718"/>
      <c r="F90" s="44"/>
      <c r="G90" s="45"/>
      <c r="H90" s="46"/>
      <c r="I90" s="35"/>
      <c r="K90" s="145"/>
      <c r="L90" s="734" t="s">
        <v>404</v>
      </c>
      <c r="M90" s="49" t="s">
        <v>398</v>
      </c>
      <c r="N90" s="50">
        <f>_11・初任</f>
        <v>0.7</v>
      </c>
      <c r="O90" s="47">
        <f>ROUND((ROUND((_11_A重度研修増５．５*(1+_11・A深夜)),0)*_11・初任),0)</f>
        <v>993</v>
      </c>
      <c r="P90" s="48"/>
    </row>
    <row r="91" spans="1:16" ht="16.5" customHeight="1" x14ac:dyDescent="0.15">
      <c r="A91" s="41">
        <v>11</v>
      </c>
      <c r="B91" s="41" t="s">
        <v>4371</v>
      </c>
      <c r="C91" s="74" t="s">
        <v>4372</v>
      </c>
      <c r="D91" s="100">
        <f>_11_A重度研修増５．５</f>
        <v>946</v>
      </c>
      <c r="E91" s="12" t="s">
        <v>392</v>
      </c>
      <c r="F91" s="44" t="s">
        <v>397</v>
      </c>
      <c r="G91" s="45" t="s">
        <v>398</v>
      </c>
      <c r="H91" s="46">
        <v>1</v>
      </c>
      <c r="I91" s="35"/>
      <c r="K91" s="57"/>
      <c r="L91" s="706"/>
      <c r="M91" s="37"/>
      <c r="N91" s="38"/>
      <c r="O91" s="47">
        <f>ROUND((ROUND((ROUND((_11_A重度研修増５．５*_11・２人),0)*(1+_11・A深夜)),0)*_11・初任),0)</f>
        <v>993</v>
      </c>
      <c r="P91" s="48"/>
    </row>
    <row r="92" spans="1:16" ht="16.5" customHeight="1" x14ac:dyDescent="0.15">
      <c r="A92" s="41">
        <v>11</v>
      </c>
      <c r="B92" s="41">
        <v>2225</v>
      </c>
      <c r="C92" s="74" t="s">
        <v>4373</v>
      </c>
      <c r="D92" s="707" t="s">
        <v>1006</v>
      </c>
      <c r="E92" s="717"/>
      <c r="F92" s="44"/>
      <c r="G92" s="45"/>
      <c r="H92" s="46"/>
      <c r="I92" s="35"/>
      <c r="K92" s="57"/>
      <c r="L92" s="53"/>
      <c r="M92" s="49"/>
      <c r="N92" s="50"/>
      <c r="O92" s="47">
        <f>ROUND((_11_A重度研修増６．０*(1+_11・A深夜)),0)</f>
        <v>1548</v>
      </c>
      <c r="P92" s="48"/>
    </row>
    <row r="93" spans="1:16" ht="16.5" customHeight="1" x14ac:dyDescent="0.15">
      <c r="A93" s="41">
        <v>11</v>
      </c>
      <c r="B93" s="41">
        <v>2226</v>
      </c>
      <c r="C93" s="74" t="s">
        <v>4374</v>
      </c>
      <c r="D93" s="709"/>
      <c r="E93" s="718"/>
      <c r="F93" s="44" t="s">
        <v>397</v>
      </c>
      <c r="G93" s="45" t="s">
        <v>398</v>
      </c>
      <c r="H93" s="46">
        <v>1</v>
      </c>
      <c r="I93" s="35"/>
      <c r="K93" s="57"/>
      <c r="L93" s="43"/>
      <c r="M93" s="37"/>
      <c r="N93" s="38"/>
      <c r="O93" s="47">
        <f>ROUND((ROUND((_11_A重度研修増６．０*_11・２人),0)*(1+_11・A深夜)),0)</f>
        <v>1548</v>
      </c>
      <c r="P93" s="48"/>
    </row>
    <row r="94" spans="1:16" ht="16.5" customHeight="1" x14ac:dyDescent="0.15">
      <c r="A94" s="41">
        <v>11</v>
      </c>
      <c r="B94" s="41" t="s">
        <v>4375</v>
      </c>
      <c r="C94" s="74" t="s">
        <v>4376</v>
      </c>
      <c r="D94" s="709"/>
      <c r="E94" s="718"/>
      <c r="F94" s="44"/>
      <c r="G94" s="45"/>
      <c r="H94" s="46"/>
      <c r="I94" s="35"/>
      <c r="K94" s="57"/>
      <c r="L94" s="734" t="s">
        <v>404</v>
      </c>
      <c r="M94" s="49" t="s">
        <v>398</v>
      </c>
      <c r="N94" s="50">
        <f>_11・初任</f>
        <v>0.7</v>
      </c>
      <c r="O94" s="47">
        <f>ROUND((ROUND((_11_A重度研修増６．０*(1+_11・A深夜)),0)*_11・初任),0)</f>
        <v>1084</v>
      </c>
      <c r="P94" s="48"/>
    </row>
    <row r="95" spans="1:16" ht="16.5" customHeight="1" x14ac:dyDescent="0.15">
      <c r="A95" s="41">
        <v>11</v>
      </c>
      <c r="B95" s="41" t="s">
        <v>4377</v>
      </c>
      <c r="C95" s="74" t="s">
        <v>4378</v>
      </c>
      <c r="D95" s="100">
        <f>_11_A重度研修増６．０</f>
        <v>1032</v>
      </c>
      <c r="E95" s="12" t="s">
        <v>392</v>
      </c>
      <c r="F95" s="44" t="s">
        <v>397</v>
      </c>
      <c r="G95" s="45" t="s">
        <v>398</v>
      </c>
      <c r="H95" s="46">
        <v>1</v>
      </c>
      <c r="I95" s="35"/>
      <c r="K95" s="57"/>
      <c r="L95" s="706"/>
      <c r="M95" s="37"/>
      <c r="N95" s="38"/>
      <c r="O95" s="47">
        <f>ROUND((ROUND((ROUND((_11_A重度研修増６．０*_11・２人),0)*(1+_11・A深夜)),0)*_11・初任),0)</f>
        <v>1084</v>
      </c>
      <c r="P95" s="48"/>
    </row>
    <row r="96" spans="1:16" ht="16.5" customHeight="1" x14ac:dyDescent="0.15">
      <c r="A96" s="41">
        <v>11</v>
      </c>
      <c r="B96" s="41">
        <v>2227</v>
      </c>
      <c r="C96" s="74" t="s">
        <v>4379</v>
      </c>
      <c r="D96" s="707" t="s">
        <v>1019</v>
      </c>
      <c r="E96" s="717"/>
      <c r="F96" s="44"/>
      <c r="G96" s="45"/>
      <c r="H96" s="46"/>
      <c r="I96" s="35"/>
      <c r="K96" s="57"/>
      <c r="L96" s="53"/>
      <c r="M96" s="49"/>
      <c r="N96" s="50"/>
      <c r="O96" s="47">
        <f>ROUND((_11_A重度研修増６．５*(1+_11・A深夜)),0)</f>
        <v>1677</v>
      </c>
      <c r="P96" s="48"/>
    </row>
    <row r="97" spans="1:16" ht="16.5" customHeight="1" x14ac:dyDescent="0.15">
      <c r="A97" s="41">
        <v>11</v>
      </c>
      <c r="B97" s="41">
        <v>2228</v>
      </c>
      <c r="C97" s="74" t="s">
        <v>4380</v>
      </c>
      <c r="D97" s="709"/>
      <c r="E97" s="718"/>
      <c r="F97" s="44" t="s">
        <v>397</v>
      </c>
      <c r="G97" s="45" t="s">
        <v>398</v>
      </c>
      <c r="H97" s="46">
        <v>1</v>
      </c>
      <c r="I97" s="35"/>
      <c r="K97" s="57"/>
      <c r="L97" s="43"/>
      <c r="M97" s="37"/>
      <c r="N97" s="38"/>
      <c r="O97" s="47">
        <f>ROUND((ROUND((_11_A重度研修増６．５*_11・２人),0)*(1+_11・A深夜)),0)</f>
        <v>1677</v>
      </c>
      <c r="P97" s="48"/>
    </row>
    <row r="98" spans="1:16" ht="16.5" customHeight="1" x14ac:dyDescent="0.15">
      <c r="A98" s="41">
        <v>11</v>
      </c>
      <c r="B98" s="41" t="s">
        <v>4381</v>
      </c>
      <c r="C98" s="74" t="s">
        <v>4382</v>
      </c>
      <c r="D98" s="709"/>
      <c r="E98" s="718"/>
      <c r="F98" s="44"/>
      <c r="G98" s="45"/>
      <c r="H98" s="46"/>
      <c r="I98" s="35"/>
      <c r="K98" s="57"/>
      <c r="L98" s="734" t="s">
        <v>404</v>
      </c>
      <c r="M98" s="49" t="s">
        <v>398</v>
      </c>
      <c r="N98" s="50">
        <f>_11・初任</f>
        <v>0.7</v>
      </c>
      <c r="O98" s="47">
        <f>ROUND((ROUND((_11_A重度研修増６．５*(1+_11・A深夜)),0)*_11・初任),0)</f>
        <v>1174</v>
      </c>
      <c r="P98" s="48"/>
    </row>
    <row r="99" spans="1:16" ht="16.5" customHeight="1" x14ac:dyDescent="0.15">
      <c r="A99" s="41">
        <v>11</v>
      </c>
      <c r="B99" s="41" t="s">
        <v>4383</v>
      </c>
      <c r="C99" s="74" t="s">
        <v>4384</v>
      </c>
      <c r="D99" s="165">
        <f>_11_A重度研修増６．５</f>
        <v>1118</v>
      </c>
      <c r="E99" s="37" t="s">
        <v>392</v>
      </c>
      <c r="F99" s="44" t="s">
        <v>397</v>
      </c>
      <c r="G99" s="45" t="s">
        <v>398</v>
      </c>
      <c r="H99" s="46">
        <v>1</v>
      </c>
      <c r="I99" s="43"/>
      <c r="J99" s="38"/>
      <c r="K99" s="79"/>
      <c r="L99" s="706"/>
      <c r="M99" s="37"/>
      <c r="N99" s="38"/>
      <c r="O99" s="47">
        <f>ROUND((ROUND((ROUND((_11_A重度研修増６．５*_11・２人),0)*(1+_11・A深夜)),0)*_11・初任),0)</f>
        <v>1174</v>
      </c>
      <c r="P99" s="63"/>
    </row>
    <row r="100" spans="1:16" ht="16.5" customHeight="1" x14ac:dyDescent="0.15"/>
    <row r="101" spans="1:16" ht="16.5" customHeight="1" x14ac:dyDescent="0.15"/>
  </sheetData>
  <mergeCells count="46">
    <mergeCell ref="D96:E98"/>
    <mergeCell ref="L98:L99"/>
    <mergeCell ref="D84:E86"/>
    <mergeCell ref="L86:L87"/>
    <mergeCell ref="D88:E90"/>
    <mergeCell ref="L90:L91"/>
    <mergeCell ref="D92:E94"/>
    <mergeCell ref="L94:L95"/>
    <mergeCell ref="D72:E74"/>
    <mergeCell ref="L74:L75"/>
    <mergeCell ref="D76:E78"/>
    <mergeCell ref="L78:L79"/>
    <mergeCell ref="D80:E82"/>
    <mergeCell ref="L82:L83"/>
    <mergeCell ref="D60:E62"/>
    <mergeCell ref="L62:L63"/>
    <mergeCell ref="D64:E66"/>
    <mergeCell ref="L66:L67"/>
    <mergeCell ref="D68:E70"/>
    <mergeCell ref="L70:L71"/>
    <mergeCell ref="D56:E58"/>
    <mergeCell ref="L58:L59"/>
    <mergeCell ref="D31:E33"/>
    <mergeCell ref="L33:L34"/>
    <mergeCell ref="D35:E37"/>
    <mergeCell ref="L37:L38"/>
    <mergeCell ref="D39:E41"/>
    <mergeCell ref="L41:L42"/>
    <mergeCell ref="D48:E50"/>
    <mergeCell ref="K49:K50"/>
    <mergeCell ref="L50:L51"/>
    <mergeCell ref="D52:E54"/>
    <mergeCell ref="L54:L55"/>
    <mergeCell ref="D19:E21"/>
    <mergeCell ref="L21:L22"/>
    <mergeCell ref="D23:E25"/>
    <mergeCell ref="L25:L26"/>
    <mergeCell ref="D27:E29"/>
    <mergeCell ref="L29:L30"/>
    <mergeCell ref="D15:E17"/>
    <mergeCell ref="L17:L18"/>
    <mergeCell ref="D7:E9"/>
    <mergeCell ref="K8:K9"/>
    <mergeCell ref="L9:L10"/>
    <mergeCell ref="D11:E13"/>
    <mergeCell ref="L13:L14"/>
  </mergeCells>
  <phoneticPr fontId="1"/>
  <printOptions horizontalCentered="1"/>
  <pageMargins left="0.70866141732283472" right="0.70866141732283472" top="0.74803149606299213" bottom="0.74803149606299213" header="0.31496062992125984" footer="0.31496062992125984"/>
  <pageSetup paperSize="9" scale="60" fitToHeight="0" orientation="portrait" r:id="rId1"/>
  <headerFooter>
    <oddHeader>&amp;R&amp;"ＭＳ Ｐゴシック"&amp;9居宅介護</oddHeader>
    <oddFooter>&amp;C&amp;"ＭＳ Ｐゴシック"&amp;14&amp;P</oddFooter>
  </headerFooter>
  <rowBreaks count="1" manualBreakCount="1">
    <brk id="42" max="1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BA21C-5AC9-4E46-94C3-7AC775363D4D}">
  <sheetPr>
    <pageSetUpPr autoPageBreaks="0"/>
  </sheetPr>
  <dimension ref="A1:M55"/>
  <sheetViews>
    <sheetView view="pageBreakPreview" zoomScaleNormal="100" zoomScaleSheetLayoutView="100" workbookViewId="0"/>
  </sheetViews>
  <sheetFormatPr defaultColWidth="6.625" defaultRowHeight="13.5" x14ac:dyDescent="0.15"/>
  <cols>
    <col min="1" max="1" width="3.375" style="643" customWidth="1"/>
    <col min="2" max="16384" width="6.625" style="643"/>
  </cols>
  <sheetData>
    <row r="1" spans="2:13" ht="17.25" x14ac:dyDescent="0.2">
      <c r="B1" s="661" t="s">
        <v>31572</v>
      </c>
    </row>
    <row r="2" spans="2:13" ht="17.25" x14ac:dyDescent="0.2">
      <c r="B2" s="661"/>
    </row>
    <row r="3" spans="2:13" ht="14.25" x14ac:dyDescent="0.15">
      <c r="B3" s="645" t="s">
        <v>31573</v>
      </c>
    </row>
    <row r="4" spans="2:13" ht="7.5" customHeight="1" thickBot="1" x14ac:dyDescent="0.2"/>
    <row r="5" spans="2:13" ht="30" customHeight="1" thickTop="1" thickBot="1" x14ac:dyDescent="0.2">
      <c r="C5" s="662"/>
      <c r="D5" s="663"/>
      <c r="E5" s="664"/>
      <c r="F5" s="665"/>
      <c r="G5" s="665"/>
      <c r="H5" s="663"/>
    </row>
    <row r="6" spans="2:13" ht="14.25" thickTop="1" x14ac:dyDescent="0.15"/>
    <row r="8" spans="2:13" ht="15" customHeight="1" x14ac:dyDescent="0.15"/>
    <row r="9" spans="2:13" ht="15" customHeight="1" x14ac:dyDescent="0.15"/>
    <row r="10" spans="2:13" ht="14.25" x14ac:dyDescent="0.15">
      <c r="B10" s="645" t="s">
        <v>31574</v>
      </c>
    </row>
    <row r="11" spans="2:13" ht="7.5" customHeight="1" x14ac:dyDescent="0.15">
      <c r="B11" s="645"/>
    </row>
    <row r="12" spans="2:13" s="666" customFormat="1" ht="27" customHeight="1" x14ac:dyDescent="0.15">
      <c r="B12" s="689" t="s">
        <v>31575</v>
      </c>
      <c r="C12" s="690"/>
      <c r="D12" s="690"/>
      <c r="E12" s="690"/>
      <c r="F12" s="690"/>
      <c r="G12" s="691"/>
      <c r="H12" s="692" t="s">
        <v>31576</v>
      </c>
      <c r="I12" s="692"/>
      <c r="J12" s="692" t="s">
        <v>31577</v>
      </c>
      <c r="K12" s="692"/>
      <c r="L12" s="643"/>
      <c r="M12" s="643"/>
    </row>
    <row r="13" spans="2:13" s="653" customFormat="1" ht="16.5" customHeight="1" x14ac:dyDescent="0.15">
      <c r="B13" s="667" t="s">
        <v>31578</v>
      </c>
      <c r="C13" s="668"/>
      <c r="D13" s="669"/>
      <c r="E13" s="669"/>
      <c r="F13" s="669"/>
      <c r="G13" s="670"/>
      <c r="H13" s="693" t="s">
        <v>31579</v>
      </c>
      <c r="I13" s="693"/>
      <c r="J13" s="694" t="s">
        <v>31580</v>
      </c>
      <c r="K13" s="695"/>
    </row>
    <row r="14" spans="2:13" s="653" customFormat="1" ht="16.5" customHeight="1" x14ac:dyDescent="0.15">
      <c r="B14" s="667" t="s">
        <v>31581</v>
      </c>
      <c r="C14" s="668"/>
      <c r="D14" s="669"/>
      <c r="E14" s="669"/>
      <c r="F14" s="669"/>
      <c r="G14" s="670"/>
      <c r="H14" s="693" t="s">
        <v>31582</v>
      </c>
      <c r="I14" s="693"/>
      <c r="J14" s="696"/>
      <c r="K14" s="697"/>
    </row>
    <row r="15" spans="2:13" s="653" customFormat="1" ht="16.5" customHeight="1" x14ac:dyDescent="0.15">
      <c r="B15" s="667" t="s">
        <v>31583</v>
      </c>
      <c r="C15" s="668"/>
      <c r="D15" s="669"/>
      <c r="E15" s="669"/>
      <c r="F15" s="669"/>
      <c r="G15" s="670"/>
      <c r="H15" s="693" t="s">
        <v>31584</v>
      </c>
      <c r="I15" s="693"/>
      <c r="J15" s="696"/>
      <c r="K15" s="697"/>
    </row>
    <row r="16" spans="2:13" s="653" customFormat="1" ht="16.5" customHeight="1" x14ac:dyDescent="0.15">
      <c r="B16" s="671" t="s">
        <v>31585</v>
      </c>
      <c r="C16" s="672"/>
      <c r="D16" s="673"/>
      <c r="E16" s="673"/>
      <c r="F16" s="673"/>
      <c r="G16" s="674"/>
      <c r="H16" s="688" t="s">
        <v>31586</v>
      </c>
      <c r="I16" s="688"/>
      <c r="J16" s="696"/>
      <c r="K16" s="697"/>
    </row>
    <row r="17" spans="2:11" s="653" customFormat="1" ht="16.5" customHeight="1" x14ac:dyDescent="0.15">
      <c r="B17" s="671" t="s">
        <v>31587</v>
      </c>
      <c r="C17" s="668"/>
      <c r="D17" s="669"/>
      <c r="E17" s="669"/>
      <c r="F17" s="669"/>
      <c r="G17" s="670"/>
      <c r="H17" s="700" t="s">
        <v>31588</v>
      </c>
      <c r="I17" s="701"/>
      <c r="J17" s="696"/>
      <c r="K17" s="697"/>
    </row>
    <row r="18" spans="2:11" s="653" customFormat="1" ht="16.5" customHeight="1" x14ac:dyDescent="0.15">
      <c r="B18" s="667" t="s">
        <v>31589</v>
      </c>
      <c r="C18" s="668"/>
      <c r="D18" s="669"/>
      <c r="E18" s="669"/>
      <c r="F18" s="669"/>
      <c r="G18" s="670"/>
      <c r="H18" s="693" t="s">
        <v>31590</v>
      </c>
      <c r="I18" s="693"/>
      <c r="J18" s="696"/>
      <c r="K18" s="697"/>
    </row>
    <row r="19" spans="2:11" s="653" customFormat="1" ht="16.5" customHeight="1" x14ac:dyDescent="0.15">
      <c r="B19" s="667" t="s">
        <v>31591</v>
      </c>
      <c r="C19" s="668"/>
      <c r="D19" s="669"/>
      <c r="E19" s="669"/>
      <c r="F19" s="669"/>
      <c r="G19" s="670"/>
      <c r="H19" s="693" t="s">
        <v>31592</v>
      </c>
      <c r="I19" s="693"/>
      <c r="J19" s="696"/>
      <c r="K19" s="697"/>
    </row>
    <row r="20" spans="2:11" s="653" customFormat="1" ht="16.5" customHeight="1" x14ac:dyDescent="0.15">
      <c r="B20" s="671" t="s">
        <v>31593</v>
      </c>
      <c r="C20" s="672"/>
      <c r="D20" s="673"/>
      <c r="E20" s="673"/>
      <c r="F20" s="673"/>
      <c r="G20" s="674"/>
      <c r="H20" s="688" t="s">
        <v>31594</v>
      </c>
      <c r="I20" s="688"/>
      <c r="J20" s="696"/>
      <c r="K20" s="697"/>
    </row>
    <row r="21" spans="2:11" s="653" customFormat="1" ht="16.5" customHeight="1" x14ac:dyDescent="0.15">
      <c r="B21" s="671" t="s">
        <v>31595</v>
      </c>
      <c r="C21" s="672"/>
      <c r="D21" s="673"/>
      <c r="E21" s="673"/>
      <c r="F21" s="673"/>
      <c r="G21" s="674"/>
      <c r="H21" s="688" t="s">
        <v>31596</v>
      </c>
      <c r="I21" s="688"/>
      <c r="J21" s="696"/>
      <c r="K21" s="697"/>
    </row>
    <row r="22" spans="2:11" s="653" customFormat="1" ht="16.5" customHeight="1" x14ac:dyDescent="0.15">
      <c r="B22" s="671" t="s">
        <v>31597</v>
      </c>
      <c r="C22" s="672"/>
      <c r="D22" s="673"/>
      <c r="E22" s="673"/>
      <c r="F22" s="673"/>
      <c r="G22" s="674"/>
      <c r="H22" s="688" t="s">
        <v>31598</v>
      </c>
      <c r="I22" s="688"/>
      <c r="J22" s="696"/>
      <c r="K22" s="697"/>
    </row>
    <row r="23" spans="2:11" s="653" customFormat="1" ht="16.5" customHeight="1" x14ac:dyDescent="0.15">
      <c r="B23" s="671" t="s">
        <v>31599</v>
      </c>
      <c r="C23" s="672"/>
      <c r="D23" s="673"/>
      <c r="E23" s="673"/>
      <c r="F23" s="673"/>
      <c r="G23" s="674"/>
      <c r="H23" s="688" t="s">
        <v>31600</v>
      </c>
      <c r="I23" s="688"/>
      <c r="J23" s="696"/>
      <c r="K23" s="697"/>
    </row>
    <row r="24" spans="2:11" s="653" customFormat="1" ht="16.5" customHeight="1" x14ac:dyDescent="0.15">
      <c r="B24" s="671" t="s">
        <v>31601</v>
      </c>
      <c r="C24" s="672"/>
      <c r="D24" s="673"/>
      <c r="E24" s="673"/>
      <c r="F24" s="673"/>
      <c r="G24" s="674"/>
      <c r="H24" s="688" t="s">
        <v>31602</v>
      </c>
      <c r="I24" s="688"/>
      <c r="J24" s="696"/>
      <c r="K24" s="697"/>
    </row>
    <row r="25" spans="2:11" s="653" customFormat="1" ht="16.5" customHeight="1" x14ac:dyDescent="0.15">
      <c r="B25" s="671" t="s">
        <v>31603</v>
      </c>
      <c r="C25" s="672"/>
      <c r="D25" s="673"/>
      <c r="E25" s="673"/>
      <c r="F25" s="673"/>
      <c r="G25" s="674"/>
      <c r="H25" s="688" t="s">
        <v>31604</v>
      </c>
      <c r="I25" s="688"/>
      <c r="J25" s="696"/>
      <c r="K25" s="697"/>
    </row>
    <row r="26" spans="2:11" s="653" customFormat="1" ht="16.5" customHeight="1" x14ac:dyDescent="0.15">
      <c r="B26" s="671" t="s">
        <v>31605</v>
      </c>
      <c r="C26" s="672"/>
      <c r="D26" s="673"/>
      <c r="E26" s="673"/>
      <c r="F26" s="673"/>
      <c r="G26" s="674"/>
      <c r="H26" s="688" t="s">
        <v>31606</v>
      </c>
      <c r="I26" s="688"/>
      <c r="J26" s="696"/>
      <c r="K26" s="697"/>
    </row>
    <row r="27" spans="2:11" s="653" customFormat="1" ht="16.5" customHeight="1" x14ac:dyDescent="0.15">
      <c r="B27" s="671" t="s">
        <v>31607</v>
      </c>
      <c r="C27" s="672"/>
      <c r="D27" s="673"/>
      <c r="E27" s="673"/>
      <c r="F27" s="673"/>
      <c r="G27" s="674"/>
      <c r="H27" s="688" t="s">
        <v>31608</v>
      </c>
      <c r="I27" s="688"/>
      <c r="J27" s="696"/>
      <c r="K27" s="697"/>
    </row>
    <row r="28" spans="2:11" s="653" customFormat="1" ht="16.5" customHeight="1" x14ac:dyDescent="0.15">
      <c r="B28" s="671" t="s">
        <v>31609</v>
      </c>
      <c r="C28" s="672"/>
      <c r="D28" s="673"/>
      <c r="E28" s="673"/>
      <c r="F28" s="673"/>
      <c r="G28" s="674"/>
      <c r="H28" s="688" t="s">
        <v>31610</v>
      </c>
      <c r="I28" s="688"/>
      <c r="J28" s="696"/>
      <c r="K28" s="697"/>
    </row>
    <row r="29" spans="2:11" s="653" customFormat="1" ht="16.5" customHeight="1" x14ac:dyDescent="0.15">
      <c r="B29" s="671" t="s">
        <v>31611</v>
      </c>
      <c r="C29" s="672"/>
      <c r="D29" s="673"/>
      <c r="E29" s="673"/>
      <c r="F29" s="673"/>
      <c r="G29" s="674"/>
      <c r="H29" s="688" t="s">
        <v>31612</v>
      </c>
      <c r="I29" s="688"/>
      <c r="J29" s="696"/>
      <c r="K29" s="697"/>
    </row>
    <row r="30" spans="2:11" s="653" customFormat="1" ht="16.5" customHeight="1" x14ac:dyDescent="0.15">
      <c r="B30" s="671" t="s">
        <v>31613</v>
      </c>
      <c r="C30" s="672"/>
      <c r="D30" s="673"/>
      <c r="E30" s="673"/>
      <c r="F30" s="673"/>
      <c r="G30" s="674"/>
      <c r="H30" s="688" t="s">
        <v>31614</v>
      </c>
      <c r="I30" s="688"/>
      <c r="J30" s="696"/>
      <c r="K30" s="697"/>
    </row>
    <row r="31" spans="2:11" s="653" customFormat="1" ht="16.5" customHeight="1" x14ac:dyDescent="0.15">
      <c r="B31" s="671" t="s">
        <v>31615</v>
      </c>
      <c r="C31" s="672"/>
      <c r="D31" s="673"/>
      <c r="E31" s="673"/>
      <c r="F31" s="673"/>
      <c r="G31" s="674"/>
      <c r="H31" s="688" t="s">
        <v>31616</v>
      </c>
      <c r="I31" s="688"/>
      <c r="J31" s="696"/>
      <c r="K31" s="697"/>
    </row>
    <row r="32" spans="2:11" s="653" customFormat="1" ht="16.5" customHeight="1" x14ac:dyDescent="0.15">
      <c r="B32" s="671" t="s">
        <v>31617</v>
      </c>
      <c r="C32" s="672"/>
      <c r="D32" s="673"/>
      <c r="E32" s="673"/>
      <c r="F32" s="673"/>
      <c r="G32" s="674"/>
      <c r="H32" s="688" t="s">
        <v>31618</v>
      </c>
      <c r="I32" s="688"/>
      <c r="J32" s="696"/>
      <c r="K32" s="697"/>
    </row>
    <row r="33" spans="2:11" s="653" customFormat="1" ht="16.5" customHeight="1" x14ac:dyDescent="0.15">
      <c r="B33" s="671" t="s">
        <v>31619</v>
      </c>
      <c r="C33" s="672"/>
      <c r="D33" s="673"/>
      <c r="E33" s="673"/>
      <c r="F33" s="673"/>
      <c r="G33" s="674"/>
      <c r="H33" s="688" t="s">
        <v>31620</v>
      </c>
      <c r="I33" s="688"/>
      <c r="J33" s="696"/>
      <c r="K33" s="697"/>
    </row>
    <row r="34" spans="2:11" s="653" customFormat="1" ht="16.5" customHeight="1" x14ac:dyDescent="0.15">
      <c r="B34" s="675" t="s">
        <v>31621</v>
      </c>
      <c r="C34" s="672"/>
      <c r="D34" s="673"/>
      <c r="E34" s="673"/>
      <c r="F34" s="673"/>
      <c r="G34" s="674"/>
      <c r="H34" s="688" t="s">
        <v>31622</v>
      </c>
      <c r="I34" s="688"/>
      <c r="J34" s="696"/>
      <c r="K34" s="697"/>
    </row>
    <row r="35" spans="2:11" s="653" customFormat="1" ht="16.5" customHeight="1" x14ac:dyDescent="0.15">
      <c r="B35" s="675" t="s">
        <v>31623</v>
      </c>
      <c r="C35" s="672"/>
      <c r="D35" s="673"/>
      <c r="E35" s="673"/>
      <c r="F35" s="673"/>
      <c r="G35" s="674"/>
      <c r="H35" s="688" t="s">
        <v>31624</v>
      </c>
      <c r="I35" s="688"/>
      <c r="J35" s="696"/>
      <c r="K35" s="697"/>
    </row>
    <row r="36" spans="2:11" s="653" customFormat="1" ht="16.5" customHeight="1" x14ac:dyDescent="0.15">
      <c r="B36" s="675" t="s">
        <v>31625</v>
      </c>
      <c r="C36" s="672"/>
      <c r="D36" s="673"/>
      <c r="E36" s="673"/>
      <c r="F36" s="673"/>
      <c r="G36" s="674"/>
      <c r="H36" s="700" t="s">
        <v>31626</v>
      </c>
      <c r="I36" s="702"/>
      <c r="J36" s="696"/>
      <c r="K36" s="697"/>
    </row>
    <row r="37" spans="2:11" s="653" customFormat="1" ht="16.5" customHeight="1" x14ac:dyDescent="0.15">
      <c r="B37" s="675" t="s">
        <v>31627</v>
      </c>
      <c r="C37" s="672"/>
      <c r="D37" s="673"/>
      <c r="E37" s="673"/>
      <c r="F37" s="673"/>
      <c r="G37" s="674"/>
      <c r="H37" s="688" t="s">
        <v>31628</v>
      </c>
      <c r="I37" s="688"/>
      <c r="J37" s="696"/>
      <c r="K37" s="697"/>
    </row>
    <row r="38" spans="2:11" s="653" customFormat="1" ht="16.5" customHeight="1" x14ac:dyDescent="0.15">
      <c r="B38" s="675" t="s">
        <v>31629</v>
      </c>
      <c r="C38" s="672"/>
      <c r="D38" s="673"/>
      <c r="E38" s="673"/>
      <c r="F38" s="673"/>
      <c r="G38" s="674"/>
      <c r="H38" s="688" t="s">
        <v>31630</v>
      </c>
      <c r="I38" s="688"/>
      <c r="J38" s="696"/>
      <c r="K38" s="697"/>
    </row>
    <row r="39" spans="2:11" s="653" customFormat="1" ht="16.5" customHeight="1" x14ac:dyDescent="0.15">
      <c r="B39" s="675" t="s">
        <v>31631</v>
      </c>
      <c r="C39" s="672"/>
      <c r="D39" s="673"/>
      <c r="E39" s="673"/>
      <c r="F39" s="673"/>
      <c r="G39" s="674"/>
      <c r="H39" s="688" t="s">
        <v>31632</v>
      </c>
      <c r="I39" s="688"/>
      <c r="J39" s="696"/>
      <c r="K39" s="697"/>
    </row>
    <row r="40" spans="2:11" s="653" customFormat="1" ht="16.5" customHeight="1" x14ac:dyDescent="0.15">
      <c r="B40" s="675" t="s">
        <v>31633</v>
      </c>
      <c r="C40" s="672"/>
      <c r="D40" s="673"/>
      <c r="E40" s="673"/>
      <c r="F40" s="673"/>
      <c r="G40" s="674"/>
      <c r="H40" s="688" t="s">
        <v>31634</v>
      </c>
      <c r="I40" s="688"/>
      <c r="J40" s="696"/>
      <c r="K40" s="697"/>
    </row>
    <row r="41" spans="2:11" s="653" customFormat="1" ht="16.5" customHeight="1" x14ac:dyDescent="0.15">
      <c r="B41" s="675" t="s">
        <v>31635</v>
      </c>
      <c r="C41" s="672"/>
      <c r="D41" s="673"/>
      <c r="E41" s="673"/>
      <c r="F41" s="673"/>
      <c r="G41" s="674"/>
      <c r="H41" s="688" t="s">
        <v>31636</v>
      </c>
      <c r="I41" s="688"/>
      <c r="J41" s="696"/>
      <c r="K41" s="697"/>
    </row>
    <row r="42" spans="2:11" s="653" customFormat="1" ht="16.5" customHeight="1" x14ac:dyDescent="0.15">
      <c r="B42" s="675" t="s">
        <v>31637</v>
      </c>
      <c r="C42" s="672"/>
      <c r="D42" s="673"/>
      <c r="E42" s="673"/>
      <c r="F42" s="673"/>
      <c r="G42" s="674"/>
      <c r="H42" s="688" t="s">
        <v>31638</v>
      </c>
      <c r="I42" s="688"/>
      <c r="J42" s="696"/>
      <c r="K42" s="697"/>
    </row>
    <row r="43" spans="2:11" s="653" customFormat="1" ht="16.5" customHeight="1" x14ac:dyDescent="0.15">
      <c r="B43" s="675" t="s">
        <v>31639</v>
      </c>
      <c r="C43" s="672"/>
      <c r="D43" s="673"/>
      <c r="E43" s="673"/>
      <c r="F43" s="673"/>
      <c r="G43" s="674"/>
      <c r="H43" s="688" t="s">
        <v>31640</v>
      </c>
      <c r="I43" s="688"/>
      <c r="J43" s="696"/>
      <c r="K43" s="697"/>
    </row>
    <row r="44" spans="2:11" s="653" customFormat="1" ht="16.5" customHeight="1" x14ac:dyDescent="0.15">
      <c r="B44" s="675" t="s">
        <v>31641</v>
      </c>
      <c r="C44" s="672"/>
      <c r="D44" s="673"/>
      <c r="E44" s="673"/>
      <c r="F44" s="673"/>
      <c r="G44" s="674"/>
      <c r="H44" s="688" t="s">
        <v>31642</v>
      </c>
      <c r="I44" s="688"/>
      <c r="J44" s="698"/>
      <c r="K44" s="699"/>
    </row>
    <row r="45" spans="2:11" s="653" customFormat="1" ht="16.5" customHeight="1" x14ac:dyDescent="0.15">
      <c r="B45" s="643"/>
      <c r="C45" s="643"/>
      <c r="D45" s="643"/>
      <c r="E45" s="643"/>
      <c r="F45" s="650"/>
      <c r="G45" s="643"/>
      <c r="H45" s="643"/>
      <c r="I45" s="643"/>
      <c r="J45" s="643"/>
      <c r="K45" s="643"/>
    </row>
    <row r="46" spans="2:11" ht="14.25" x14ac:dyDescent="0.15">
      <c r="B46" s="645" t="s">
        <v>31643</v>
      </c>
      <c r="F46" s="650"/>
    </row>
    <row r="47" spans="2:11" ht="14.25" x14ac:dyDescent="0.15">
      <c r="B47" s="645"/>
    </row>
    <row r="48" spans="2:11" x14ac:dyDescent="0.15">
      <c r="B48" s="643" t="s">
        <v>31644</v>
      </c>
    </row>
    <row r="49" spans="1:6" x14ac:dyDescent="0.15">
      <c r="B49" s="643" t="s">
        <v>31645</v>
      </c>
      <c r="F49" s="650"/>
    </row>
    <row r="50" spans="1:6" x14ac:dyDescent="0.15">
      <c r="F50" s="650"/>
    </row>
    <row r="51" spans="1:6" x14ac:dyDescent="0.15">
      <c r="F51" s="650"/>
    </row>
    <row r="52" spans="1:6" ht="14.25" x14ac:dyDescent="0.15">
      <c r="B52" s="645" t="s">
        <v>31646</v>
      </c>
    </row>
    <row r="54" spans="1:6" x14ac:dyDescent="0.15">
      <c r="A54" s="676" t="s">
        <v>31647</v>
      </c>
      <c r="B54" s="677" t="s">
        <v>31648</v>
      </c>
      <c r="C54" s="643" t="s">
        <v>31649</v>
      </c>
    </row>
    <row r="55" spans="1:6" x14ac:dyDescent="0.15">
      <c r="A55" s="676" t="s">
        <v>31647</v>
      </c>
      <c r="B55" s="678" t="s">
        <v>31650</v>
      </c>
      <c r="C55" s="643" t="s">
        <v>31651</v>
      </c>
    </row>
  </sheetData>
  <mergeCells count="36">
    <mergeCell ref="H43:I43"/>
    <mergeCell ref="H44:I44"/>
    <mergeCell ref="H37:I37"/>
    <mergeCell ref="H38:I38"/>
    <mergeCell ref="H39:I39"/>
    <mergeCell ref="H40:I40"/>
    <mergeCell ref="H41:I41"/>
    <mergeCell ref="H42:I42"/>
    <mergeCell ref="H36:I36"/>
    <mergeCell ref="H25:I25"/>
    <mergeCell ref="H26:I26"/>
    <mergeCell ref="H27:I27"/>
    <mergeCell ref="H28:I28"/>
    <mergeCell ref="H29:I29"/>
    <mergeCell ref="H30:I30"/>
    <mergeCell ref="H31:I31"/>
    <mergeCell ref="H32:I32"/>
    <mergeCell ref="H33:I33"/>
    <mergeCell ref="H34:I34"/>
    <mergeCell ref="H35:I35"/>
    <mergeCell ref="H24:I24"/>
    <mergeCell ref="B12:G12"/>
    <mergeCell ref="H12:I12"/>
    <mergeCell ref="J12:K12"/>
    <mergeCell ref="H13:I13"/>
    <mergeCell ref="J13:K44"/>
    <mergeCell ref="H14:I14"/>
    <mergeCell ref="H15:I15"/>
    <mergeCell ref="H16:I16"/>
    <mergeCell ref="H17:I17"/>
    <mergeCell ref="H18:I18"/>
    <mergeCell ref="H19:I19"/>
    <mergeCell ref="H20:I20"/>
    <mergeCell ref="H21:I21"/>
    <mergeCell ref="H22:I22"/>
    <mergeCell ref="H23:I23"/>
  </mergeCells>
  <phoneticPr fontId="1"/>
  <pageMargins left="1.17" right="0.78700000000000003" top="0.98399999999999999" bottom="0.59" header="0.51200000000000001" footer="0.4"/>
  <pageSetup paperSize="9" scale="8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O176"/>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3" style="10" bestFit="1" customWidth="1"/>
    <col min="4" max="4" width="6" style="10" bestFit="1" customWidth="1"/>
    <col min="5" max="5" width="5.5" style="117" bestFit="1" customWidth="1"/>
    <col min="6" max="6" width="11.875" style="12" customWidth="1"/>
    <col min="7" max="7" width="3.5" style="12" bestFit="1" customWidth="1"/>
    <col min="8" max="8" width="4.5" style="13" bestFit="1" customWidth="1"/>
    <col min="9" max="9" width="24.875" style="14" bestFit="1" customWidth="1"/>
    <col min="10" max="10" width="3.5" style="12" bestFit="1" customWidth="1"/>
    <col min="11" max="11" width="5.5" style="13" bestFit="1" customWidth="1"/>
    <col min="12" max="12" width="9.875" style="12" customWidth="1"/>
    <col min="13" max="13" width="4.5" style="12" bestFit="1" customWidth="1"/>
    <col min="14" max="14" width="7.125" style="15" customWidth="1"/>
    <col min="15" max="15" width="8.5" style="16" customWidth="1"/>
    <col min="16" max="16384" width="8.875" style="12"/>
  </cols>
  <sheetData>
    <row r="1" spans="1:15" ht="17.100000000000001" customHeight="1" x14ac:dyDescent="0.15"/>
    <row r="2" spans="1:15" ht="17.100000000000001" customHeight="1" x14ac:dyDescent="0.15"/>
    <row r="3" spans="1:15" ht="17.100000000000001" customHeight="1" x14ac:dyDescent="0.15"/>
    <row r="4" spans="1:15" ht="17.100000000000001" customHeight="1" x14ac:dyDescent="0.15">
      <c r="B4" s="17" t="s">
        <v>4385</v>
      </c>
      <c r="D4" s="71"/>
    </row>
    <row r="5" spans="1:15" ht="16.5" customHeight="1" x14ac:dyDescent="0.15">
      <c r="A5" s="19" t="s">
        <v>384</v>
      </c>
      <c r="B5" s="20"/>
      <c r="C5" s="21" t="s">
        <v>385</v>
      </c>
      <c r="D5" s="23" t="s">
        <v>386</v>
      </c>
      <c r="E5" s="118"/>
      <c r="F5" s="23"/>
      <c r="G5" s="23"/>
      <c r="H5" s="24"/>
      <c r="I5" s="23"/>
      <c r="J5" s="23"/>
      <c r="K5" s="24"/>
      <c r="L5" s="23"/>
      <c r="M5" s="23"/>
      <c r="N5" s="25" t="s">
        <v>387</v>
      </c>
      <c r="O5" s="21" t="s">
        <v>388</v>
      </c>
    </row>
    <row r="6" spans="1:15" ht="16.5" customHeight="1" x14ac:dyDescent="0.15">
      <c r="A6" s="26" t="s">
        <v>389</v>
      </c>
      <c r="B6" s="26" t="s">
        <v>390</v>
      </c>
      <c r="C6" s="27"/>
      <c r="D6" s="29"/>
      <c r="E6" s="120"/>
      <c r="F6" s="29"/>
      <c r="G6" s="29"/>
      <c r="H6" s="30"/>
      <c r="I6" s="29"/>
      <c r="J6" s="29"/>
      <c r="K6" s="30"/>
      <c r="L6" s="29"/>
      <c r="M6" s="29"/>
      <c r="N6" s="31" t="s">
        <v>391</v>
      </c>
      <c r="O6" s="32" t="s">
        <v>392</v>
      </c>
    </row>
    <row r="7" spans="1:15" ht="16.5" customHeight="1" x14ac:dyDescent="0.15">
      <c r="A7" s="33">
        <v>11</v>
      </c>
      <c r="B7" s="33">
        <v>3111</v>
      </c>
      <c r="C7" s="34" t="s">
        <v>4386</v>
      </c>
      <c r="D7" s="709" t="s">
        <v>394</v>
      </c>
      <c r="E7" s="718"/>
      <c r="F7" s="35"/>
      <c r="I7" s="36"/>
      <c r="J7" s="37"/>
      <c r="K7" s="38"/>
      <c r="L7" s="35"/>
      <c r="N7" s="39">
        <f>_11_A通院１０．５</f>
        <v>255</v>
      </c>
      <c r="O7" s="40" t="s">
        <v>395</v>
      </c>
    </row>
    <row r="8" spans="1:15" ht="16.5" customHeight="1" x14ac:dyDescent="0.15">
      <c r="A8" s="41">
        <v>11</v>
      </c>
      <c r="B8" s="41">
        <v>3112</v>
      </c>
      <c r="C8" s="74" t="s">
        <v>4387</v>
      </c>
      <c r="D8" s="709"/>
      <c r="E8" s="718"/>
      <c r="F8" s="43"/>
      <c r="G8" s="37"/>
      <c r="H8" s="38"/>
      <c r="I8" s="44" t="s">
        <v>397</v>
      </c>
      <c r="J8" s="45" t="s">
        <v>398</v>
      </c>
      <c r="K8" s="46">
        <v>1</v>
      </c>
      <c r="L8" s="35"/>
      <c r="N8" s="47">
        <f>ROUND((_11_A通院１０．５*_11・２人),0)</f>
        <v>255</v>
      </c>
      <c r="O8" s="48"/>
    </row>
    <row r="9" spans="1:15" ht="16.5" customHeight="1" x14ac:dyDescent="0.15">
      <c r="A9" s="41">
        <v>11</v>
      </c>
      <c r="B9" s="41">
        <v>3113</v>
      </c>
      <c r="C9" s="74" t="s">
        <v>4388</v>
      </c>
      <c r="D9" s="709"/>
      <c r="E9" s="718"/>
      <c r="F9" s="752" t="s">
        <v>400</v>
      </c>
      <c r="G9" s="49" t="s">
        <v>398</v>
      </c>
      <c r="H9" s="50">
        <v>0.7</v>
      </c>
      <c r="I9" s="44"/>
      <c r="J9" s="45"/>
      <c r="K9" s="46"/>
      <c r="L9" s="35"/>
      <c r="N9" s="47">
        <f>ROUND((_11_A通院１０．５*_11・基礎１),0)</f>
        <v>179</v>
      </c>
      <c r="O9" s="48"/>
    </row>
    <row r="10" spans="1:15" ht="16.5" customHeight="1" x14ac:dyDescent="0.15">
      <c r="A10" s="41">
        <v>11</v>
      </c>
      <c r="B10" s="41">
        <v>3114</v>
      </c>
      <c r="C10" s="74" t="s">
        <v>4389</v>
      </c>
      <c r="D10" s="100">
        <f>_11_A通院１０．５</f>
        <v>255</v>
      </c>
      <c r="E10" s="12" t="s">
        <v>392</v>
      </c>
      <c r="F10" s="711"/>
      <c r="G10" s="37"/>
      <c r="H10" s="38"/>
      <c r="I10" s="44" t="s">
        <v>397</v>
      </c>
      <c r="J10" s="45" t="s">
        <v>398</v>
      </c>
      <c r="K10" s="46">
        <v>1</v>
      </c>
      <c r="L10" s="43"/>
      <c r="M10" s="37"/>
      <c r="N10" s="47">
        <f>ROUND((ROUND((_11_A通院１０．５*_11・基礎１),0)*_11・２人),0)</f>
        <v>179</v>
      </c>
      <c r="O10" s="48"/>
    </row>
    <row r="11" spans="1:15" ht="16.5" customHeight="1" x14ac:dyDescent="0.15">
      <c r="A11" s="41">
        <v>11</v>
      </c>
      <c r="B11" s="41" t="s">
        <v>4390</v>
      </c>
      <c r="C11" s="74" t="s">
        <v>4391</v>
      </c>
      <c r="D11" s="121"/>
      <c r="E11" s="99"/>
      <c r="F11" s="53"/>
      <c r="G11" s="49"/>
      <c r="H11" s="50"/>
      <c r="I11" s="44"/>
      <c r="J11" s="45"/>
      <c r="K11" s="46"/>
      <c r="L11" s="707" t="s">
        <v>404</v>
      </c>
      <c r="M11" s="708"/>
      <c r="N11" s="47">
        <f>ROUND((_11_A通院１０．５*_11・初任),0)</f>
        <v>179</v>
      </c>
      <c r="O11" s="48"/>
    </row>
    <row r="12" spans="1:15" ht="16.5" customHeight="1" x14ac:dyDescent="0.15">
      <c r="A12" s="41">
        <v>11</v>
      </c>
      <c r="B12" s="41" t="s">
        <v>4392</v>
      </c>
      <c r="C12" s="74" t="s">
        <v>4393</v>
      </c>
      <c r="D12" s="121"/>
      <c r="E12" s="99"/>
      <c r="F12" s="43"/>
      <c r="G12" s="37"/>
      <c r="H12" s="38"/>
      <c r="I12" s="44" t="s">
        <v>397</v>
      </c>
      <c r="J12" s="45" t="s">
        <v>398</v>
      </c>
      <c r="K12" s="46">
        <v>1</v>
      </c>
      <c r="L12" s="709"/>
      <c r="M12" s="704"/>
      <c r="N12" s="47">
        <f>ROUND((ROUND((_11_A通院１０．５*_11・２人),0)*_11・初任),0)</f>
        <v>179</v>
      </c>
      <c r="O12" s="48"/>
    </row>
    <row r="13" spans="1:15" ht="16.5" customHeight="1" x14ac:dyDescent="0.15">
      <c r="A13" s="41">
        <v>11</v>
      </c>
      <c r="B13" s="41" t="s">
        <v>4394</v>
      </c>
      <c r="C13" s="74" t="s">
        <v>4395</v>
      </c>
      <c r="D13" s="72"/>
      <c r="E13" s="99"/>
      <c r="F13" s="752" t="s">
        <v>400</v>
      </c>
      <c r="G13" s="49" t="s">
        <v>398</v>
      </c>
      <c r="H13" s="50">
        <v>0.7</v>
      </c>
      <c r="I13" s="44"/>
      <c r="J13" s="45"/>
      <c r="K13" s="46"/>
      <c r="L13" s="709"/>
      <c r="M13" s="704"/>
      <c r="N13" s="47">
        <f>ROUND((ROUND((_11_A通院１０．５*_11・基礎１),0)*_11・初任),0)</f>
        <v>125</v>
      </c>
      <c r="O13" s="48"/>
    </row>
    <row r="14" spans="1:15" ht="16.5" customHeight="1" x14ac:dyDescent="0.15">
      <c r="A14" s="41">
        <v>11</v>
      </c>
      <c r="B14" s="41" t="s">
        <v>4396</v>
      </c>
      <c r="C14" s="74" t="s">
        <v>4397</v>
      </c>
      <c r="D14" s="72"/>
      <c r="E14" s="99"/>
      <c r="F14" s="711"/>
      <c r="G14" s="37"/>
      <c r="H14" s="38"/>
      <c r="I14" s="44" t="s">
        <v>397</v>
      </c>
      <c r="J14" s="45" t="s">
        <v>398</v>
      </c>
      <c r="K14" s="46">
        <v>1</v>
      </c>
      <c r="L14" s="55" t="s">
        <v>398</v>
      </c>
      <c r="M14" s="38">
        <f>_11・初任</f>
        <v>0.7</v>
      </c>
      <c r="N14" s="47">
        <f>ROUND((ROUND((ROUND((_11_A通院１０．５*_11・基礎１),0)*_11・２人),0)*_11・初任),0)</f>
        <v>125</v>
      </c>
      <c r="O14" s="48"/>
    </row>
    <row r="15" spans="1:15" ht="16.5" customHeight="1" x14ac:dyDescent="0.15">
      <c r="A15" s="41">
        <v>11</v>
      </c>
      <c r="B15" s="41">
        <v>3115</v>
      </c>
      <c r="C15" s="74" t="s">
        <v>4398</v>
      </c>
      <c r="D15" s="707" t="s">
        <v>412</v>
      </c>
      <c r="E15" s="717"/>
      <c r="F15" s="53"/>
      <c r="G15" s="49"/>
      <c r="H15" s="50"/>
      <c r="I15" s="44"/>
      <c r="J15" s="45"/>
      <c r="K15" s="46"/>
      <c r="L15" s="53"/>
      <c r="M15" s="49"/>
      <c r="N15" s="47">
        <f>_11_A通院１１．０</f>
        <v>402</v>
      </c>
      <c r="O15" s="48"/>
    </row>
    <row r="16" spans="1:15" ht="16.5" customHeight="1" x14ac:dyDescent="0.15">
      <c r="A16" s="41">
        <v>11</v>
      </c>
      <c r="B16" s="41">
        <v>3116</v>
      </c>
      <c r="C16" s="74" t="s">
        <v>4399</v>
      </c>
      <c r="D16" s="709"/>
      <c r="E16" s="718"/>
      <c r="F16" s="43"/>
      <c r="G16" s="37"/>
      <c r="H16" s="38"/>
      <c r="I16" s="44" t="s">
        <v>397</v>
      </c>
      <c r="J16" s="45" t="s">
        <v>398</v>
      </c>
      <c r="K16" s="46">
        <v>1</v>
      </c>
      <c r="L16" s="35"/>
      <c r="N16" s="47">
        <f>ROUND((_11_A通院１１．０*_11・２人),0)</f>
        <v>402</v>
      </c>
      <c r="O16" s="48"/>
    </row>
    <row r="17" spans="1:15" ht="16.5" customHeight="1" x14ac:dyDescent="0.15">
      <c r="A17" s="41">
        <v>11</v>
      </c>
      <c r="B17" s="41">
        <v>3117</v>
      </c>
      <c r="C17" s="74" t="s">
        <v>4400</v>
      </c>
      <c r="D17" s="709"/>
      <c r="E17" s="718"/>
      <c r="F17" s="752" t="s">
        <v>400</v>
      </c>
      <c r="G17" s="49" t="s">
        <v>398</v>
      </c>
      <c r="H17" s="50">
        <v>0.7</v>
      </c>
      <c r="I17" s="44"/>
      <c r="J17" s="45"/>
      <c r="K17" s="46"/>
      <c r="L17" s="35"/>
      <c r="N17" s="47">
        <f>ROUND((_11_A通院１１．０*_11・基礎１),0)</f>
        <v>281</v>
      </c>
      <c r="O17" s="48"/>
    </row>
    <row r="18" spans="1:15" ht="16.5" customHeight="1" x14ac:dyDescent="0.15">
      <c r="A18" s="41">
        <v>11</v>
      </c>
      <c r="B18" s="41">
        <v>3118</v>
      </c>
      <c r="C18" s="74" t="s">
        <v>4401</v>
      </c>
      <c r="D18" s="100">
        <f>_11_A通院１１．０</f>
        <v>402</v>
      </c>
      <c r="E18" s="99" t="s">
        <v>3279</v>
      </c>
      <c r="F18" s="722"/>
      <c r="G18" s="37"/>
      <c r="H18" s="38"/>
      <c r="I18" s="44" t="s">
        <v>397</v>
      </c>
      <c r="J18" s="45" t="s">
        <v>398</v>
      </c>
      <c r="K18" s="46">
        <v>1</v>
      </c>
      <c r="L18" s="43"/>
      <c r="M18" s="37"/>
      <c r="N18" s="47">
        <f>ROUND((ROUND((_11_A通院１１．０*_11・基礎１),0)*_11・２人),0)</f>
        <v>281</v>
      </c>
      <c r="O18" s="48"/>
    </row>
    <row r="19" spans="1:15" ht="16.5" customHeight="1" x14ac:dyDescent="0.15">
      <c r="A19" s="41">
        <v>11</v>
      </c>
      <c r="B19" s="41" t="s">
        <v>4402</v>
      </c>
      <c r="C19" s="74" t="s">
        <v>4403</v>
      </c>
      <c r="D19" s="72"/>
      <c r="E19" s="99"/>
      <c r="F19" s="53"/>
      <c r="G19" s="49"/>
      <c r="H19" s="50"/>
      <c r="I19" s="44"/>
      <c r="J19" s="45"/>
      <c r="K19" s="46"/>
      <c r="L19" s="707" t="s">
        <v>404</v>
      </c>
      <c r="M19" s="708"/>
      <c r="N19" s="47">
        <f>ROUND((_11_A通院１１．０*_11・初任),0)</f>
        <v>281</v>
      </c>
      <c r="O19" s="48"/>
    </row>
    <row r="20" spans="1:15" ht="16.5" customHeight="1" x14ac:dyDescent="0.15">
      <c r="A20" s="41">
        <v>11</v>
      </c>
      <c r="B20" s="41" t="s">
        <v>4404</v>
      </c>
      <c r="C20" s="74" t="s">
        <v>4405</v>
      </c>
      <c r="D20" s="72"/>
      <c r="E20" s="99"/>
      <c r="F20" s="43"/>
      <c r="G20" s="37"/>
      <c r="H20" s="38"/>
      <c r="I20" s="44" t="s">
        <v>397</v>
      </c>
      <c r="J20" s="45" t="s">
        <v>398</v>
      </c>
      <c r="K20" s="46">
        <v>1</v>
      </c>
      <c r="L20" s="709"/>
      <c r="M20" s="704"/>
      <c r="N20" s="47">
        <f>ROUND((ROUND((_11_A通院１１．０*_11・２人),0)*_11・初任),0)</f>
        <v>281</v>
      </c>
      <c r="O20" s="48"/>
    </row>
    <row r="21" spans="1:15" ht="16.5" customHeight="1" x14ac:dyDescent="0.15">
      <c r="A21" s="41">
        <v>11</v>
      </c>
      <c r="B21" s="41" t="s">
        <v>4406</v>
      </c>
      <c r="C21" s="74" t="s">
        <v>4407</v>
      </c>
      <c r="D21" s="72"/>
      <c r="E21" s="99"/>
      <c r="F21" s="752" t="s">
        <v>400</v>
      </c>
      <c r="G21" s="49" t="s">
        <v>398</v>
      </c>
      <c r="H21" s="50">
        <v>0.7</v>
      </c>
      <c r="I21" s="44"/>
      <c r="J21" s="45"/>
      <c r="K21" s="46"/>
      <c r="L21" s="709"/>
      <c r="M21" s="704"/>
      <c r="N21" s="47">
        <f>ROUND((ROUND((_11_A通院１１．０*_11・基礎１),0)*_11・初任),0)</f>
        <v>197</v>
      </c>
      <c r="O21" s="48"/>
    </row>
    <row r="22" spans="1:15" ht="16.5" customHeight="1" x14ac:dyDescent="0.15">
      <c r="A22" s="41">
        <v>11</v>
      </c>
      <c r="B22" s="41" t="s">
        <v>4408</v>
      </c>
      <c r="C22" s="74" t="s">
        <v>4409</v>
      </c>
      <c r="D22" s="72"/>
      <c r="E22" s="99"/>
      <c r="F22" s="711"/>
      <c r="G22" s="37"/>
      <c r="H22" s="38"/>
      <c r="I22" s="44" t="s">
        <v>397</v>
      </c>
      <c r="J22" s="45" t="s">
        <v>398</v>
      </c>
      <c r="K22" s="46">
        <v>1</v>
      </c>
      <c r="L22" s="55" t="s">
        <v>398</v>
      </c>
      <c r="M22" s="38">
        <f>_11・初任</f>
        <v>0.7</v>
      </c>
      <c r="N22" s="47">
        <f>ROUND((ROUND((ROUND((_11_A通院１１．０*_11・基礎１),0)*_11・２人),0)*_11・初任),0)</f>
        <v>197</v>
      </c>
      <c r="O22" s="48"/>
    </row>
    <row r="23" spans="1:15" ht="16.5" customHeight="1" x14ac:dyDescent="0.15">
      <c r="A23" s="41">
        <v>11</v>
      </c>
      <c r="B23" s="41">
        <v>3119</v>
      </c>
      <c r="C23" s="74" t="s">
        <v>4410</v>
      </c>
      <c r="D23" s="707" t="s">
        <v>425</v>
      </c>
      <c r="E23" s="717"/>
      <c r="F23" s="53"/>
      <c r="G23" s="49"/>
      <c r="H23" s="50"/>
      <c r="I23" s="44"/>
      <c r="J23" s="45"/>
      <c r="K23" s="46"/>
      <c r="L23" s="53"/>
      <c r="M23" s="49"/>
      <c r="N23" s="47">
        <f>_11_A通院１１．５</f>
        <v>584</v>
      </c>
      <c r="O23" s="48"/>
    </row>
    <row r="24" spans="1:15" ht="16.5" customHeight="1" x14ac:dyDescent="0.15">
      <c r="A24" s="41">
        <v>11</v>
      </c>
      <c r="B24" s="41">
        <v>3120</v>
      </c>
      <c r="C24" s="74" t="s">
        <v>4411</v>
      </c>
      <c r="D24" s="709"/>
      <c r="E24" s="718"/>
      <c r="F24" s="43"/>
      <c r="G24" s="37"/>
      <c r="H24" s="38"/>
      <c r="I24" s="44" t="s">
        <v>397</v>
      </c>
      <c r="J24" s="45" t="s">
        <v>398</v>
      </c>
      <c r="K24" s="46">
        <v>1</v>
      </c>
      <c r="L24" s="35"/>
      <c r="N24" s="47">
        <f>ROUND((_11_A通院１１．５*_11・２人),0)</f>
        <v>584</v>
      </c>
      <c r="O24" s="48"/>
    </row>
    <row r="25" spans="1:15" ht="16.5" customHeight="1" x14ac:dyDescent="0.15">
      <c r="A25" s="41">
        <v>11</v>
      </c>
      <c r="B25" s="41">
        <v>3121</v>
      </c>
      <c r="C25" s="74" t="s">
        <v>4412</v>
      </c>
      <c r="D25" s="709"/>
      <c r="E25" s="718"/>
      <c r="F25" s="752" t="s">
        <v>400</v>
      </c>
      <c r="G25" s="49" t="s">
        <v>398</v>
      </c>
      <c r="H25" s="50">
        <v>0.7</v>
      </c>
      <c r="I25" s="44"/>
      <c r="J25" s="45"/>
      <c r="K25" s="46"/>
      <c r="L25" s="35"/>
      <c r="N25" s="47">
        <f>ROUND((_11_A通院１１．５*_11・基礎１),0)</f>
        <v>409</v>
      </c>
      <c r="O25" s="48"/>
    </row>
    <row r="26" spans="1:15" ht="16.5" customHeight="1" x14ac:dyDescent="0.15">
      <c r="A26" s="41">
        <v>11</v>
      </c>
      <c r="B26" s="41">
        <v>3122</v>
      </c>
      <c r="C26" s="74" t="s">
        <v>4413</v>
      </c>
      <c r="D26" s="100">
        <f>_11_A通院１１．５</f>
        <v>584</v>
      </c>
      <c r="E26" s="12" t="s">
        <v>392</v>
      </c>
      <c r="F26" s="711"/>
      <c r="G26" s="37"/>
      <c r="H26" s="38"/>
      <c r="I26" s="44" t="s">
        <v>397</v>
      </c>
      <c r="J26" s="45" t="s">
        <v>398</v>
      </c>
      <c r="K26" s="46">
        <v>1</v>
      </c>
      <c r="L26" s="43"/>
      <c r="M26" s="37"/>
      <c r="N26" s="47">
        <f>ROUND((ROUND((_11_A通院１１．５*_11・基礎１),0)*_11・２人),0)</f>
        <v>409</v>
      </c>
      <c r="O26" s="48"/>
    </row>
    <row r="27" spans="1:15" ht="16.5" customHeight="1" x14ac:dyDescent="0.15">
      <c r="A27" s="41">
        <v>11</v>
      </c>
      <c r="B27" s="41" t="s">
        <v>4414</v>
      </c>
      <c r="C27" s="74" t="s">
        <v>4415</v>
      </c>
      <c r="D27" s="72"/>
      <c r="E27" s="99"/>
      <c r="F27" s="53"/>
      <c r="G27" s="49"/>
      <c r="H27" s="50"/>
      <c r="I27" s="44"/>
      <c r="J27" s="45"/>
      <c r="K27" s="46"/>
      <c r="L27" s="707" t="s">
        <v>404</v>
      </c>
      <c r="M27" s="708"/>
      <c r="N27" s="47">
        <f>ROUND((_11_A通院１１．５*_11・初任),0)</f>
        <v>409</v>
      </c>
      <c r="O27" s="48"/>
    </row>
    <row r="28" spans="1:15" ht="16.5" customHeight="1" x14ac:dyDescent="0.15">
      <c r="A28" s="41">
        <v>11</v>
      </c>
      <c r="B28" s="41" t="s">
        <v>4416</v>
      </c>
      <c r="C28" s="74" t="s">
        <v>4417</v>
      </c>
      <c r="D28" s="72"/>
      <c r="E28" s="99"/>
      <c r="F28" s="43"/>
      <c r="G28" s="37"/>
      <c r="H28" s="38"/>
      <c r="I28" s="44" t="s">
        <v>397</v>
      </c>
      <c r="J28" s="45" t="s">
        <v>398</v>
      </c>
      <c r="K28" s="46">
        <v>1</v>
      </c>
      <c r="L28" s="709"/>
      <c r="M28" s="704"/>
      <c r="N28" s="47">
        <f>ROUND((ROUND((_11_A通院１１．５*_11・２人),0)*_11・初任),0)</f>
        <v>409</v>
      </c>
      <c r="O28" s="48"/>
    </row>
    <row r="29" spans="1:15" ht="16.5" customHeight="1" x14ac:dyDescent="0.15">
      <c r="A29" s="41">
        <v>11</v>
      </c>
      <c r="B29" s="41" t="s">
        <v>4418</v>
      </c>
      <c r="C29" s="74" t="s">
        <v>4419</v>
      </c>
      <c r="D29" s="72"/>
      <c r="E29" s="99"/>
      <c r="F29" s="752" t="s">
        <v>400</v>
      </c>
      <c r="G29" s="49" t="s">
        <v>398</v>
      </c>
      <c r="H29" s="50">
        <v>0.7</v>
      </c>
      <c r="I29" s="44"/>
      <c r="J29" s="45"/>
      <c r="K29" s="46"/>
      <c r="L29" s="709"/>
      <c r="M29" s="704"/>
      <c r="N29" s="47">
        <f>ROUND((ROUND((_11_A通院１１．５*_11・基礎１),0)*_11・初任),0)</f>
        <v>286</v>
      </c>
      <c r="O29" s="48"/>
    </row>
    <row r="30" spans="1:15" ht="16.5" customHeight="1" x14ac:dyDescent="0.15">
      <c r="A30" s="41">
        <v>11</v>
      </c>
      <c r="B30" s="41" t="s">
        <v>4420</v>
      </c>
      <c r="C30" s="74" t="s">
        <v>4421</v>
      </c>
      <c r="D30" s="72"/>
      <c r="E30" s="99"/>
      <c r="F30" s="711"/>
      <c r="G30" s="37"/>
      <c r="H30" s="38"/>
      <c r="I30" s="44" t="s">
        <v>397</v>
      </c>
      <c r="J30" s="45" t="s">
        <v>398</v>
      </c>
      <c r="K30" s="46">
        <v>1</v>
      </c>
      <c r="L30" s="55" t="s">
        <v>398</v>
      </c>
      <c r="M30" s="38">
        <f>_11・初任</f>
        <v>0.7</v>
      </c>
      <c r="N30" s="47">
        <f>ROUND((ROUND((ROUND((_11_A通院１１．５*_11・基礎１),0)*_11・２人),0)*_11・初任),0)</f>
        <v>286</v>
      </c>
      <c r="O30" s="48"/>
    </row>
    <row r="31" spans="1:15" ht="16.5" customHeight="1" x14ac:dyDescent="0.15">
      <c r="A31" s="41">
        <v>11</v>
      </c>
      <c r="B31" s="41">
        <v>3123</v>
      </c>
      <c r="C31" s="74" t="s">
        <v>4422</v>
      </c>
      <c r="D31" s="707" t="s">
        <v>438</v>
      </c>
      <c r="E31" s="717"/>
      <c r="F31" s="53"/>
      <c r="G31" s="49"/>
      <c r="H31" s="50"/>
      <c r="I31" s="44"/>
      <c r="J31" s="45"/>
      <c r="K31" s="46"/>
      <c r="L31" s="53"/>
      <c r="M31" s="49"/>
      <c r="N31" s="47">
        <f>_11_A通院１２．０</f>
        <v>666</v>
      </c>
      <c r="O31" s="48"/>
    </row>
    <row r="32" spans="1:15" ht="16.5" customHeight="1" x14ac:dyDescent="0.15">
      <c r="A32" s="41">
        <v>11</v>
      </c>
      <c r="B32" s="41">
        <v>3124</v>
      </c>
      <c r="C32" s="74" t="s">
        <v>4423</v>
      </c>
      <c r="D32" s="709"/>
      <c r="E32" s="718"/>
      <c r="F32" s="43"/>
      <c r="G32" s="37"/>
      <c r="H32" s="38"/>
      <c r="I32" s="44" t="s">
        <v>397</v>
      </c>
      <c r="J32" s="45" t="s">
        <v>398</v>
      </c>
      <c r="K32" s="46">
        <v>1</v>
      </c>
      <c r="L32" s="35"/>
      <c r="N32" s="47">
        <f>ROUND((_11_A通院１２．０*_11・２人),0)</f>
        <v>666</v>
      </c>
      <c r="O32" s="48"/>
    </row>
    <row r="33" spans="1:15" ht="16.5" customHeight="1" x14ac:dyDescent="0.15">
      <c r="A33" s="41">
        <v>11</v>
      </c>
      <c r="B33" s="41">
        <v>3125</v>
      </c>
      <c r="C33" s="74" t="s">
        <v>4424</v>
      </c>
      <c r="D33" s="709"/>
      <c r="E33" s="718"/>
      <c r="F33" s="752" t="s">
        <v>400</v>
      </c>
      <c r="G33" s="49" t="s">
        <v>398</v>
      </c>
      <c r="H33" s="50">
        <v>0.7</v>
      </c>
      <c r="I33" s="44"/>
      <c r="J33" s="45"/>
      <c r="K33" s="46"/>
      <c r="L33" s="35"/>
      <c r="N33" s="47">
        <f>ROUND((_11_A通院１２．０*_11・基礎１),0)</f>
        <v>466</v>
      </c>
      <c r="O33" s="48"/>
    </row>
    <row r="34" spans="1:15" ht="16.5" customHeight="1" x14ac:dyDescent="0.15">
      <c r="A34" s="41">
        <v>11</v>
      </c>
      <c r="B34" s="41">
        <v>3126</v>
      </c>
      <c r="C34" s="74" t="s">
        <v>4425</v>
      </c>
      <c r="D34" s="100">
        <f>_11_A通院１２．０</f>
        <v>666</v>
      </c>
      <c r="E34" s="12" t="s">
        <v>392</v>
      </c>
      <c r="F34" s="711"/>
      <c r="G34" s="37"/>
      <c r="H34" s="38"/>
      <c r="I34" s="44" t="s">
        <v>397</v>
      </c>
      <c r="J34" s="45" t="s">
        <v>398</v>
      </c>
      <c r="K34" s="46">
        <v>1</v>
      </c>
      <c r="L34" s="43"/>
      <c r="M34" s="37"/>
      <c r="N34" s="47">
        <f>ROUND((ROUND((_11_A通院１２．０*_11・基礎１),0)*_11・２人),0)</f>
        <v>466</v>
      </c>
      <c r="O34" s="48"/>
    </row>
    <row r="35" spans="1:15" ht="16.5" customHeight="1" x14ac:dyDescent="0.15">
      <c r="A35" s="41">
        <v>11</v>
      </c>
      <c r="B35" s="41" t="s">
        <v>4426</v>
      </c>
      <c r="C35" s="74" t="s">
        <v>4427</v>
      </c>
      <c r="D35" s="72"/>
      <c r="E35" s="99"/>
      <c r="F35" s="53"/>
      <c r="G35" s="49"/>
      <c r="H35" s="50"/>
      <c r="I35" s="44"/>
      <c r="J35" s="45"/>
      <c r="K35" s="46"/>
      <c r="L35" s="707" t="s">
        <v>404</v>
      </c>
      <c r="M35" s="708"/>
      <c r="N35" s="47">
        <f>ROUND((_11_A通院１２．０*_11・初任),0)</f>
        <v>466</v>
      </c>
      <c r="O35" s="48"/>
    </row>
    <row r="36" spans="1:15" ht="16.5" customHeight="1" x14ac:dyDescent="0.15">
      <c r="A36" s="41">
        <v>11</v>
      </c>
      <c r="B36" s="41" t="s">
        <v>4428</v>
      </c>
      <c r="C36" s="74" t="s">
        <v>4429</v>
      </c>
      <c r="D36" s="72"/>
      <c r="E36" s="99"/>
      <c r="F36" s="43"/>
      <c r="G36" s="37"/>
      <c r="H36" s="38"/>
      <c r="I36" s="44" t="s">
        <v>397</v>
      </c>
      <c r="J36" s="45" t="s">
        <v>398</v>
      </c>
      <c r="K36" s="46">
        <v>1</v>
      </c>
      <c r="L36" s="709"/>
      <c r="M36" s="704"/>
      <c r="N36" s="47">
        <f>ROUND((ROUND((_11_A通院１２．０*_11・２人),0)*_11・初任),0)</f>
        <v>466</v>
      </c>
      <c r="O36" s="48"/>
    </row>
    <row r="37" spans="1:15" ht="16.5" customHeight="1" x14ac:dyDescent="0.15">
      <c r="A37" s="41">
        <v>11</v>
      </c>
      <c r="B37" s="41" t="s">
        <v>4430</v>
      </c>
      <c r="C37" s="74" t="s">
        <v>4431</v>
      </c>
      <c r="D37" s="72"/>
      <c r="E37" s="99"/>
      <c r="F37" s="752" t="s">
        <v>400</v>
      </c>
      <c r="G37" s="49" t="s">
        <v>398</v>
      </c>
      <c r="H37" s="50">
        <v>0.7</v>
      </c>
      <c r="I37" s="44"/>
      <c r="J37" s="45"/>
      <c r="K37" s="46"/>
      <c r="L37" s="709"/>
      <c r="M37" s="704"/>
      <c r="N37" s="47">
        <f>ROUND((ROUND((_11_A通院１２．０*_11・基礎１),0)*_11・初任),0)</f>
        <v>326</v>
      </c>
      <c r="O37" s="48"/>
    </row>
    <row r="38" spans="1:15" ht="16.5" customHeight="1" x14ac:dyDescent="0.15">
      <c r="A38" s="41">
        <v>11</v>
      </c>
      <c r="B38" s="41" t="s">
        <v>4432</v>
      </c>
      <c r="C38" s="74" t="s">
        <v>4433</v>
      </c>
      <c r="D38" s="72"/>
      <c r="E38" s="99"/>
      <c r="F38" s="711"/>
      <c r="G38" s="37"/>
      <c r="H38" s="38"/>
      <c r="I38" s="44" t="s">
        <v>397</v>
      </c>
      <c r="J38" s="45" t="s">
        <v>398</v>
      </c>
      <c r="K38" s="46">
        <v>1</v>
      </c>
      <c r="L38" s="55" t="s">
        <v>398</v>
      </c>
      <c r="M38" s="38">
        <f>_11・初任</f>
        <v>0.7</v>
      </c>
      <c r="N38" s="47">
        <f>ROUND((ROUND((ROUND((_11_A通院１２．０*_11・基礎１),0)*_11・２人),0)*_11・初任),0)</f>
        <v>326</v>
      </c>
      <c r="O38" s="48"/>
    </row>
    <row r="39" spans="1:15" ht="16.5" customHeight="1" x14ac:dyDescent="0.15">
      <c r="A39" s="41">
        <v>11</v>
      </c>
      <c r="B39" s="41">
        <v>3127</v>
      </c>
      <c r="C39" s="74" t="s">
        <v>4434</v>
      </c>
      <c r="D39" s="707" t="s">
        <v>451</v>
      </c>
      <c r="E39" s="717"/>
      <c r="F39" s="53"/>
      <c r="G39" s="49"/>
      <c r="H39" s="50"/>
      <c r="I39" s="44"/>
      <c r="J39" s="45"/>
      <c r="K39" s="46"/>
      <c r="L39" s="53"/>
      <c r="M39" s="49"/>
      <c r="N39" s="47">
        <f>_11_A通院１２．５</f>
        <v>750</v>
      </c>
      <c r="O39" s="48"/>
    </row>
    <row r="40" spans="1:15" ht="16.5" customHeight="1" x14ac:dyDescent="0.15">
      <c r="A40" s="41">
        <v>11</v>
      </c>
      <c r="B40" s="41">
        <v>3128</v>
      </c>
      <c r="C40" s="74" t="s">
        <v>4435</v>
      </c>
      <c r="D40" s="709"/>
      <c r="E40" s="718"/>
      <c r="F40" s="43"/>
      <c r="G40" s="37"/>
      <c r="H40" s="38"/>
      <c r="I40" s="44" t="s">
        <v>397</v>
      </c>
      <c r="J40" s="45" t="s">
        <v>398</v>
      </c>
      <c r="K40" s="46">
        <v>1</v>
      </c>
      <c r="L40" s="35"/>
      <c r="N40" s="47">
        <f>ROUND((_11_A通院１２．５*_11・２人),0)</f>
        <v>750</v>
      </c>
      <c r="O40" s="48"/>
    </row>
    <row r="41" spans="1:15" ht="16.5" customHeight="1" x14ac:dyDescent="0.15">
      <c r="A41" s="41">
        <v>11</v>
      </c>
      <c r="B41" s="41">
        <v>3129</v>
      </c>
      <c r="C41" s="74" t="s">
        <v>4436</v>
      </c>
      <c r="D41" s="709"/>
      <c r="E41" s="718"/>
      <c r="F41" s="752" t="s">
        <v>400</v>
      </c>
      <c r="G41" s="49" t="s">
        <v>398</v>
      </c>
      <c r="H41" s="50">
        <v>0.7</v>
      </c>
      <c r="I41" s="44"/>
      <c r="J41" s="45"/>
      <c r="K41" s="46"/>
      <c r="L41" s="35"/>
      <c r="N41" s="47">
        <f>ROUND((_11_A通院１２．５*_11・基礎１),0)</f>
        <v>525</v>
      </c>
      <c r="O41" s="48"/>
    </row>
    <row r="42" spans="1:15" ht="16.5" customHeight="1" x14ac:dyDescent="0.15">
      <c r="A42" s="41">
        <v>11</v>
      </c>
      <c r="B42" s="41">
        <v>3130</v>
      </c>
      <c r="C42" s="74" t="s">
        <v>4437</v>
      </c>
      <c r="D42" s="100">
        <f>_11_A通院１２．５</f>
        <v>750</v>
      </c>
      <c r="E42" s="12" t="s">
        <v>392</v>
      </c>
      <c r="F42" s="711"/>
      <c r="G42" s="37"/>
      <c r="H42" s="38"/>
      <c r="I42" s="44" t="s">
        <v>397</v>
      </c>
      <c r="J42" s="45" t="s">
        <v>398</v>
      </c>
      <c r="K42" s="46">
        <v>1</v>
      </c>
      <c r="L42" s="43"/>
      <c r="M42" s="37"/>
      <c r="N42" s="47">
        <f>ROUND((ROUND((_11_A通院１２．５*_11・基礎１),0)*_11・２人),0)</f>
        <v>525</v>
      </c>
      <c r="O42" s="48"/>
    </row>
    <row r="43" spans="1:15" ht="16.5" customHeight="1" x14ac:dyDescent="0.15">
      <c r="A43" s="41">
        <v>11</v>
      </c>
      <c r="B43" s="41" t="s">
        <v>4438</v>
      </c>
      <c r="C43" s="74" t="s">
        <v>4439</v>
      </c>
      <c r="D43" s="72"/>
      <c r="E43" s="99"/>
      <c r="F43" s="53"/>
      <c r="G43" s="49"/>
      <c r="H43" s="50"/>
      <c r="I43" s="44"/>
      <c r="J43" s="45"/>
      <c r="K43" s="46"/>
      <c r="L43" s="707" t="s">
        <v>404</v>
      </c>
      <c r="M43" s="708"/>
      <c r="N43" s="47">
        <f>ROUND((_11_A通院１２．５*_11・初任),0)</f>
        <v>525</v>
      </c>
      <c r="O43" s="48"/>
    </row>
    <row r="44" spans="1:15" ht="16.5" customHeight="1" x14ac:dyDescent="0.15">
      <c r="A44" s="41">
        <v>11</v>
      </c>
      <c r="B44" s="41" t="s">
        <v>4440</v>
      </c>
      <c r="C44" s="74" t="s">
        <v>4441</v>
      </c>
      <c r="D44" s="72"/>
      <c r="E44" s="99"/>
      <c r="F44" s="43"/>
      <c r="G44" s="37"/>
      <c r="H44" s="38"/>
      <c r="I44" s="44" t="s">
        <v>397</v>
      </c>
      <c r="J44" s="45" t="s">
        <v>398</v>
      </c>
      <c r="K44" s="46">
        <v>1</v>
      </c>
      <c r="L44" s="709"/>
      <c r="M44" s="704"/>
      <c r="N44" s="47">
        <f>ROUND((ROUND((_11_A通院１２．５*_11・２人),0)*_11・初任),0)</f>
        <v>525</v>
      </c>
      <c r="O44" s="48"/>
    </row>
    <row r="45" spans="1:15" ht="16.5" customHeight="1" x14ac:dyDescent="0.15">
      <c r="A45" s="41">
        <v>11</v>
      </c>
      <c r="B45" s="41" t="s">
        <v>4442</v>
      </c>
      <c r="C45" s="74" t="s">
        <v>4443</v>
      </c>
      <c r="D45" s="72"/>
      <c r="E45" s="99"/>
      <c r="F45" s="752" t="s">
        <v>400</v>
      </c>
      <c r="G45" s="49" t="s">
        <v>398</v>
      </c>
      <c r="H45" s="50">
        <v>0.7</v>
      </c>
      <c r="I45" s="44"/>
      <c r="J45" s="45"/>
      <c r="K45" s="46"/>
      <c r="L45" s="709"/>
      <c r="M45" s="704"/>
      <c r="N45" s="47">
        <f>ROUND((ROUND((_11_A通院１２．５*_11・基礎１),0)*_11・初任),0)</f>
        <v>368</v>
      </c>
      <c r="O45" s="48"/>
    </row>
    <row r="46" spans="1:15" ht="16.5" customHeight="1" x14ac:dyDescent="0.15">
      <c r="A46" s="41">
        <v>11</v>
      </c>
      <c r="B46" s="41" t="s">
        <v>4444</v>
      </c>
      <c r="C46" s="74" t="s">
        <v>4445</v>
      </c>
      <c r="D46" s="72"/>
      <c r="E46" s="99"/>
      <c r="F46" s="711"/>
      <c r="G46" s="37"/>
      <c r="H46" s="38"/>
      <c r="I46" s="44" t="s">
        <v>397</v>
      </c>
      <c r="J46" s="45" t="s">
        <v>398</v>
      </c>
      <c r="K46" s="46">
        <v>1</v>
      </c>
      <c r="L46" s="55" t="s">
        <v>398</v>
      </c>
      <c r="M46" s="38">
        <f>_11・初任</f>
        <v>0.7</v>
      </c>
      <c r="N46" s="47">
        <f>ROUND((ROUND((ROUND((_11_A通院１２．５*_11・基礎１),0)*_11・２人),0)*_11・初任),0)</f>
        <v>368</v>
      </c>
      <c r="O46" s="48"/>
    </row>
    <row r="47" spans="1:15" ht="16.5" customHeight="1" x14ac:dyDescent="0.15">
      <c r="A47" s="41">
        <v>11</v>
      </c>
      <c r="B47" s="41">
        <v>3131</v>
      </c>
      <c r="C47" s="74" t="s">
        <v>4446</v>
      </c>
      <c r="D47" s="707" t="s">
        <v>464</v>
      </c>
      <c r="E47" s="717"/>
      <c r="F47" s="53"/>
      <c r="G47" s="49"/>
      <c r="H47" s="50"/>
      <c r="I47" s="44"/>
      <c r="J47" s="45"/>
      <c r="K47" s="46"/>
      <c r="L47" s="53"/>
      <c r="M47" s="49"/>
      <c r="N47" s="47">
        <f>_11_A通院１３．０</f>
        <v>833</v>
      </c>
      <c r="O47" s="48"/>
    </row>
    <row r="48" spans="1:15" ht="16.5" customHeight="1" x14ac:dyDescent="0.15">
      <c r="A48" s="41">
        <v>11</v>
      </c>
      <c r="B48" s="41">
        <v>3132</v>
      </c>
      <c r="C48" s="74" t="s">
        <v>4447</v>
      </c>
      <c r="D48" s="709"/>
      <c r="E48" s="718"/>
      <c r="F48" s="43"/>
      <c r="G48" s="37"/>
      <c r="H48" s="38"/>
      <c r="I48" s="44" t="s">
        <v>397</v>
      </c>
      <c r="J48" s="45" t="s">
        <v>398</v>
      </c>
      <c r="K48" s="46">
        <v>1</v>
      </c>
      <c r="L48" s="35"/>
      <c r="N48" s="47">
        <f>ROUND((_11_A通院１３．０*_11・２人),0)</f>
        <v>833</v>
      </c>
      <c r="O48" s="48"/>
    </row>
    <row r="49" spans="1:15" ht="16.5" customHeight="1" x14ac:dyDescent="0.15">
      <c r="A49" s="41">
        <v>11</v>
      </c>
      <c r="B49" s="41">
        <v>3133</v>
      </c>
      <c r="C49" s="74" t="s">
        <v>4448</v>
      </c>
      <c r="D49" s="709"/>
      <c r="E49" s="718"/>
      <c r="F49" s="752" t="s">
        <v>400</v>
      </c>
      <c r="G49" s="49" t="s">
        <v>398</v>
      </c>
      <c r="H49" s="50">
        <v>0.7</v>
      </c>
      <c r="I49" s="44"/>
      <c r="J49" s="45"/>
      <c r="K49" s="46"/>
      <c r="L49" s="35"/>
      <c r="N49" s="47">
        <f>ROUND((_11_A通院１３．０*_11・基礎１),0)</f>
        <v>583</v>
      </c>
      <c r="O49" s="48"/>
    </row>
    <row r="50" spans="1:15" ht="16.5" customHeight="1" x14ac:dyDescent="0.15">
      <c r="A50" s="41">
        <v>11</v>
      </c>
      <c r="B50" s="41">
        <v>3134</v>
      </c>
      <c r="C50" s="74" t="s">
        <v>4449</v>
      </c>
      <c r="D50" s="100">
        <f>_11_A通院１３．０</f>
        <v>833</v>
      </c>
      <c r="E50" s="12" t="s">
        <v>392</v>
      </c>
      <c r="F50" s="711"/>
      <c r="G50" s="37"/>
      <c r="H50" s="38"/>
      <c r="I50" s="44" t="s">
        <v>397</v>
      </c>
      <c r="J50" s="45" t="s">
        <v>398</v>
      </c>
      <c r="K50" s="46">
        <v>1</v>
      </c>
      <c r="L50" s="43"/>
      <c r="M50" s="37"/>
      <c r="N50" s="47">
        <f>ROUND((ROUND((_11_A通院１３．０*_11・基礎１),0)*_11・２人),0)</f>
        <v>583</v>
      </c>
      <c r="O50" s="48"/>
    </row>
    <row r="51" spans="1:15" ht="16.5" customHeight="1" x14ac:dyDescent="0.15">
      <c r="A51" s="41">
        <v>11</v>
      </c>
      <c r="B51" s="41" t="s">
        <v>4450</v>
      </c>
      <c r="C51" s="74" t="s">
        <v>4451</v>
      </c>
      <c r="D51" s="72"/>
      <c r="E51" s="99"/>
      <c r="F51" s="53"/>
      <c r="G51" s="49"/>
      <c r="H51" s="50"/>
      <c r="I51" s="44"/>
      <c r="J51" s="45"/>
      <c r="K51" s="46"/>
      <c r="L51" s="707" t="s">
        <v>404</v>
      </c>
      <c r="M51" s="708"/>
      <c r="N51" s="47">
        <f>ROUND((_11_A通院１３．０*_11・初任),0)</f>
        <v>583</v>
      </c>
      <c r="O51" s="48"/>
    </row>
    <row r="52" spans="1:15" ht="16.5" customHeight="1" x14ac:dyDescent="0.15">
      <c r="A52" s="41">
        <v>11</v>
      </c>
      <c r="B52" s="41" t="s">
        <v>4452</v>
      </c>
      <c r="C52" s="74" t="s">
        <v>4453</v>
      </c>
      <c r="D52" s="72"/>
      <c r="E52" s="99"/>
      <c r="F52" s="43"/>
      <c r="G52" s="37"/>
      <c r="H52" s="38"/>
      <c r="I52" s="44" t="s">
        <v>397</v>
      </c>
      <c r="J52" s="45" t="s">
        <v>398</v>
      </c>
      <c r="K52" s="46">
        <v>1</v>
      </c>
      <c r="L52" s="709"/>
      <c r="M52" s="704"/>
      <c r="N52" s="47">
        <f>ROUND((ROUND((_11_A通院１３．０*_11・２人),0)*_11・初任),0)</f>
        <v>583</v>
      </c>
      <c r="O52" s="48"/>
    </row>
    <row r="53" spans="1:15" ht="16.5" customHeight="1" x14ac:dyDescent="0.15">
      <c r="A53" s="41">
        <v>11</v>
      </c>
      <c r="B53" s="41" t="s">
        <v>4454</v>
      </c>
      <c r="C53" s="74" t="s">
        <v>4455</v>
      </c>
      <c r="D53" s="72"/>
      <c r="E53" s="99"/>
      <c r="F53" s="752" t="s">
        <v>400</v>
      </c>
      <c r="G53" s="49" t="s">
        <v>398</v>
      </c>
      <c r="H53" s="50">
        <v>0.7</v>
      </c>
      <c r="I53" s="44"/>
      <c r="J53" s="45"/>
      <c r="K53" s="46"/>
      <c r="L53" s="709"/>
      <c r="M53" s="704"/>
      <c r="N53" s="47">
        <f>ROUND((ROUND((_11_A通院１３．０*_11・基礎１),0)*_11・初任),0)</f>
        <v>408</v>
      </c>
      <c r="O53" s="48"/>
    </row>
    <row r="54" spans="1:15" ht="16.5" customHeight="1" x14ac:dyDescent="0.15">
      <c r="A54" s="41">
        <v>11</v>
      </c>
      <c r="B54" s="41" t="s">
        <v>4456</v>
      </c>
      <c r="C54" s="74" t="s">
        <v>4457</v>
      </c>
      <c r="D54" s="72"/>
      <c r="E54" s="99"/>
      <c r="F54" s="711"/>
      <c r="G54" s="37"/>
      <c r="H54" s="38"/>
      <c r="I54" s="44" t="s">
        <v>397</v>
      </c>
      <c r="J54" s="45" t="s">
        <v>398</v>
      </c>
      <c r="K54" s="46">
        <v>1</v>
      </c>
      <c r="L54" s="55" t="s">
        <v>398</v>
      </c>
      <c r="M54" s="38">
        <f>_11・初任</f>
        <v>0.7</v>
      </c>
      <c r="N54" s="47">
        <f>ROUND((ROUND((ROUND((_11_A通院１３．０*_11・基礎１),0)*_11・２人),0)*_11・初任),0)</f>
        <v>408</v>
      </c>
      <c r="O54" s="48"/>
    </row>
    <row r="55" spans="1:15" ht="16.5" customHeight="1" x14ac:dyDescent="0.15">
      <c r="A55" s="41">
        <v>11</v>
      </c>
      <c r="B55" s="41">
        <v>3135</v>
      </c>
      <c r="C55" s="74" t="s">
        <v>4458</v>
      </c>
      <c r="D55" s="707" t="s">
        <v>477</v>
      </c>
      <c r="E55" s="717"/>
      <c r="F55" s="53"/>
      <c r="G55" s="49"/>
      <c r="H55" s="50"/>
      <c r="I55" s="44"/>
      <c r="J55" s="45"/>
      <c r="K55" s="46"/>
      <c r="L55" s="53"/>
      <c r="M55" s="49"/>
      <c r="N55" s="47">
        <f>_11_A通院１３．５</f>
        <v>916</v>
      </c>
      <c r="O55" s="48"/>
    </row>
    <row r="56" spans="1:15" ht="16.5" customHeight="1" x14ac:dyDescent="0.15">
      <c r="A56" s="41">
        <v>11</v>
      </c>
      <c r="B56" s="41">
        <v>3136</v>
      </c>
      <c r="C56" s="74" t="s">
        <v>4459</v>
      </c>
      <c r="D56" s="709"/>
      <c r="E56" s="718"/>
      <c r="F56" s="43"/>
      <c r="G56" s="37"/>
      <c r="H56" s="38"/>
      <c r="I56" s="44" t="s">
        <v>397</v>
      </c>
      <c r="J56" s="45" t="s">
        <v>398</v>
      </c>
      <c r="K56" s="46">
        <v>1</v>
      </c>
      <c r="L56" s="35"/>
      <c r="N56" s="47">
        <f>ROUND((_11_A通院１３．５*_11・２人),0)</f>
        <v>916</v>
      </c>
      <c r="O56" s="48"/>
    </row>
    <row r="57" spans="1:15" ht="16.5" customHeight="1" x14ac:dyDescent="0.15">
      <c r="A57" s="41">
        <v>11</v>
      </c>
      <c r="B57" s="41">
        <v>3137</v>
      </c>
      <c r="C57" s="74" t="s">
        <v>4460</v>
      </c>
      <c r="D57" s="709"/>
      <c r="E57" s="718"/>
      <c r="F57" s="752" t="s">
        <v>400</v>
      </c>
      <c r="G57" s="49" t="s">
        <v>398</v>
      </c>
      <c r="H57" s="50">
        <v>0.7</v>
      </c>
      <c r="I57" s="44"/>
      <c r="J57" s="45"/>
      <c r="K57" s="46"/>
      <c r="L57" s="35"/>
      <c r="N57" s="47">
        <f>ROUND((_11_A通院１３．５*_11・基礎１),0)</f>
        <v>641</v>
      </c>
      <c r="O57" s="48"/>
    </row>
    <row r="58" spans="1:15" ht="16.5" customHeight="1" x14ac:dyDescent="0.15">
      <c r="A58" s="41">
        <v>11</v>
      </c>
      <c r="B58" s="41">
        <v>3138</v>
      </c>
      <c r="C58" s="74" t="s">
        <v>4461</v>
      </c>
      <c r="D58" s="100">
        <f>_11_A通院１３．５</f>
        <v>916</v>
      </c>
      <c r="E58" s="12" t="s">
        <v>392</v>
      </c>
      <c r="F58" s="711"/>
      <c r="G58" s="37"/>
      <c r="H58" s="38"/>
      <c r="I58" s="44" t="s">
        <v>397</v>
      </c>
      <c r="J58" s="45" t="s">
        <v>398</v>
      </c>
      <c r="K58" s="46">
        <v>1</v>
      </c>
      <c r="L58" s="43"/>
      <c r="M58" s="37"/>
      <c r="N58" s="47">
        <f>ROUND((ROUND((_11_A通院１３．５*_11・基礎１),0)*_11・２人),0)</f>
        <v>641</v>
      </c>
      <c r="O58" s="48"/>
    </row>
    <row r="59" spans="1:15" ht="16.5" customHeight="1" x14ac:dyDescent="0.15">
      <c r="A59" s="41">
        <v>11</v>
      </c>
      <c r="B59" s="41" t="s">
        <v>4462</v>
      </c>
      <c r="C59" s="74" t="s">
        <v>4463</v>
      </c>
      <c r="D59" s="72"/>
      <c r="E59" s="99"/>
      <c r="F59" s="53"/>
      <c r="G59" s="49"/>
      <c r="H59" s="50"/>
      <c r="I59" s="44"/>
      <c r="J59" s="45"/>
      <c r="K59" s="46"/>
      <c r="L59" s="707" t="s">
        <v>404</v>
      </c>
      <c r="M59" s="708"/>
      <c r="N59" s="47">
        <f>ROUND((_11_A通院１３．５*_11・初任),0)</f>
        <v>641</v>
      </c>
      <c r="O59" s="48"/>
    </row>
    <row r="60" spans="1:15" ht="16.5" customHeight="1" x14ac:dyDescent="0.15">
      <c r="A60" s="41">
        <v>11</v>
      </c>
      <c r="B60" s="41" t="s">
        <v>4464</v>
      </c>
      <c r="C60" s="74" t="s">
        <v>4465</v>
      </c>
      <c r="D60" s="72"/>
      <c r="E60" s="99"/>
      <c r="F60" s="43"/>
      <c r="G60" s="37"/>
      <c r="H60" s="38"/>
      <c r="I60" s="44" t="s">
        <v>397</v>
      </c>
      <c r="J60" s="45" t="s">
        <v>398</v>
      </c>
      <c r="K60" s="46">
        <v>1</v>
      </c>
      <c r="L60" s="709"/>
      <c r="M60" s="704"/>
      <c r="N60" s="47">
        <f>ROUND((ROUND((_11_A通院１３．５*_11・２人),0)*_11・初任),0)</f>
        <v>641</v>
      </c>
      <c r="O60" s="48"/>
    </row>
    <row r="61" spans="1:15" ht="16.5" customHeight="1" x14ac:dyDescent="0.15">
      <c r="A61" s="41">
        <v>11</v>
      </c>
      <c r="B61" s="41" t="s">
        <v>4466</v>
      </c>
      <c r="C61" s="74" t="s">
        <v>4467</v>
      </c>
      <c r="D61" s="72"/>
      <c r="E61" s="99"/>
      <c r="F61" s="752" t="s">
        <v>400</v>
      </c>
      <c r="G61" s="49" t="s">
        <v>398</v>
      </c>
      <c r="H61" s="50">
        <v>0.7</v>
      </c>
      <c r="I61" s="44"/>
      <c r="J61" s="45"/>
      <c r="K61" s="46"/>
      <c r="L61" s="709"/>
      <c r="M61" s="704"/>
      <c r="N61" s="47">
        <f>ROUND((ROUND((_11_A通院１３．５*_11・基礎１),0)*_11・初任),0)</f>
        <v>449</v>
      </c>
      <c r="O61" s="48"/>
    </row>
    <row r="62" spans="1:15" ht="16.5" customHeight="1" x14ac:dyDescent="0.15">
      <c r="A62" s="41">
        <v>11</v>
      </c>
      <c r="B62" s="41" t="s">
        <v>4468</v>
      </c>
      <c r="C62" s="74" t="s">
        <v>4469</v>
      </c>
      <c r="D62" s="72"/>
      <c r="E62" s="99"/>
      <c r="F62" s="711"/>
      <c r="G62" s="37"/>
      <c r="H62" s="38"/>
      <c r="I62" s="44" t="s">
        <v>397</v>
      </c>
      <c r="J62" s="45" t="s">
        <v>398</v>
      </c>
      <c r="K62" s="46">
        <v>1</v>
      </c>
      <c r="L62" s="55" t="s">
        <v>398</v>
      </c>
      <c r="M62" s="38">
        <f>_11・初任</f>
        <v>0.7</v>
      </c>
      <c r="N62" s="47">
        <f>ROUND((ROUND((ROUND((_11_A通院１３．５*_11・基礎１),0)*_11・２人),0)*_11・初任),0)</f>
        <v>449</v>
      </c>
      <c r="O62" s="48"/>
    </row>
    <row r="63" spans="1:15" ht="16.5" customHeight="1" x14ac:dyDescent="0.15">
      <c r="A63" s="41">
        <v>11</v>
      </c>
      <c r="B63" s="41">
        <v>3139</v>
      </c>
      <c r="C63" s="74" t="s">
        <v>4470</v>
      </c>
      <c r="D63" s="707" t="s">
        <v>2761</v>
      </c>
      <c r="E63" s="717"/>
      <c r="F63" s="53"/>
      <c r="G63" s="49"/>
      <c r="H63" s="50"/>
      <c r="I63" s="44"/>
      <c r="J63" s="45"/>
      <c r="K63" s="46"/>
      <c r="L63" s="53"/>
      <c r="M63" s="49"/>
      <c r="N63" s="47">
        <f>_11_A通院１４．０</f>
        <v>999</v>
      </c>
      <c r="O63" s="48"/>
    </row>
    <row r="64" spans="1:15" ht="16.5" customHeight="1" x14ac:dyDescent="0.15">
      <c r="A64" s="41">
        <v>11</v>
      </c>
      <c r="B64" s="41">
        <v>3140</v>
      </c>
      <c r="C64" s="74" t="s">
        <v>4471</v>
      </c>
      <c r="D64" s="709"/>
      <c r="E64" s="718"/>
      <c r="F64" s="43"/>
      <c r="G64" s="37"/>
      <c r="H64" s="38"/>
      <c r="I64" s="44" t="s">
        <v>397</v>
      </c>
      <c r="J64" s="45" t="s">
        <v>398</v>
      </c>
      <c r="K64" s="46">
        <v>1</v>
      </c>
      <c r="L64" s="35"/>
      <c r="N64" s="47">
        <f>ROUND((_11_A通院１４．０*_11・２人),0)</f>
        <v>999</v>
      </c>
      <c r="O64" s="48"/>
    </row>
    <row r="65" spans="1:15" ht="16.5" customHeight="1" x14ac:dyDescent="0.15">
      <c r="A65" s="41">
        <v>11</v>
      </c>
      <c r="B65" s="41">
        <v>3141</v>
      </c>
      <c r="C65" s="74" t="s">
        <v>4472</v>
      </c>
      <c r="D65" s="709"/>
      <c r="E65" s="718"/>
      <c r="F65" s="752" t="s">
        <v>400</v>
      </c>
      <c r="G65" s="49" t="s">
        <v>398</v>
      </c>
      <c r="H65" s="50">
        <v>0.7</v>
      </c>
      <c r="I65" s="44"/>
      <c r="J65" s="45"/>
      <c r="K65" s="46"/>
      <c r="L65" s="35"/>
      <c r="N65" s="47">
        <f>ROUND((_11_A通院１４．０*_11・基礎１),0)</f>
        <v>699</v>
      </c>
      <c r="O65" s="48"/>
    </row>
    <row r="66" spans="1:15" ht="16.5" customHeight="1" x14ac:dyDescent="0.15">
      <c r="A66" s="41">
        <v>11</v>
      </c>
      <c r="B66" s="41">
        <v>3142</v>
      </c>
      <c r="C66" s="74" t="s">
        <v>4473</v>
      </c>
      <c r="D66" s="100">
        <f>_11_A通院１４．０</f>
        <v>999</v>
      </c>
      <c r="E66" s="12" t="s">
        <v>392</v>
      </c>
      <c r="F66" s="711"/>
      <c r="G66" s="37"/>
      <c r="H66" s="38"/>
      <c r="I66" s="44" t="s">
        <v>397</v>
      </c>
      <c r="J66" s="45" t="s">
        <v>398</v>
      </c>
      <c r="K66" s="46">
        <v>1</v>
      </c>
      <c r="L66" s="43"/>
      <c r="M66" s="37"/>
      <c r="N66" s="47">
        <f>ROUND((ROUND((_11_A通院１４．０*_11・基礎１),0)*_11・２人),0)</f>
        <v>699</v>
      </c>
      <c r="O66" s="48"/>
    </row>
    <row r="67" spans="1:15" ht="16.5" customHeight="1" x14ac:dyDescent="0.15">
      <c r="A67" s="41">
        <v>11</v>
      </c>
      <c r="B67" s="41" t="s">
        <v>4474</v>
      </c>
      <c r="C67" s="74" t="s">
        <v>4475</v>
      </c>
      <c r="D67" s="72"/>
      <c r="E67" s="99"/>
      <c r="F67" s="53"/>
      <c r="G67" s="49"/>
      <c r="H67" s="50"/>
      <c r="I67" s="44"/>
      <c r="J67" s="45"/>
      <c r="K67" s="46"/>
      <c r="L67" s="707" t="s">
        <v>404</v>
      </c>
      <c r="M67" s="708"/>
      <c r="N67" s="47">
        <f>ROUND((_11_A通院１４．０*_11・初任),0)</f>
        <v>699</v>
      </c>
      <c r="O67" s="48"/>
    </row>
    <row r="68" spans="1:15" ht="16.5" customHeight="1" x14ac:dyDescent="0.15">
      <c r="A68" s="41">
        <v>11</v>
      </c>
      <c r="B68" s="41" t="s">
        <v>4476</v>
      </c>
      <c r="C68" s="74" t="s">
        <v>4477</v>
      </c>
      <c r="D68" s="72"/>
      <c r="E68" s="99"/>
      <c r="F68" s="43"/>
      <c r="G68" s="37"/>
      <c r="H68" s="38"/>
      <c r="I68" s="44" t="s">
        <v>397</v>
      </c>
      <c r="J68" s="45" t="s">
        <v>398</v>
      </c>
      <c r="K68" s="46">
        <v>1</v>
      </c>
      <c r="L68" s="709"/>
      <c r="M68" s="704"/>
      <c r="N68" s="47">
        <f>ROUND((ROUND((_11_A通院１４．０*_11・２人),0)*_11・初任),0)</f>
        <v>699</v>
      </c>
      <c r="O68" s="48"/>
    </row>
    <row r="69" spans="1:15" ht="16.5" customHeight="1" x14ac:dyDescent="0.15">
      <c r="A69" s="41">
        <v>11</v>
      </c>
      <c r="B69" s="41" t="s">
        <v>4478</v>
      </c>
      <c r="C69" s="74" t="s">
        <v>4479</v>
      </c>
      <c r="D69" s="72"/>
      <c r="E69" s="99"/>
      <c r="F69" s="752" t="s">
        <v>400</v>
      </c>
      <c r="G69" s="49" t="s">
        <v>398</v>
      </c>
      <c r="H69" s="50">
        <v>0.7</v>
      </c>
      <c r="I69" s="44"/>
      <c r="J69" s="45"/>
      <c r="K69" s="46"/>
      <c r="L69" s="709"/>
      <c r="M69" s="704"/>
      <c r="N69" s="47">
        <f>ROUND((ROUND((_11_A通院１４．０*_11・基礎１),0)*_11・初任),0)</f>
        <v>489</v>
      </c>
      <c r="O69" s="48"/>
    </row>
    <row r="70" spans="1:15" ht="16.5" customHeight="1" x14ac:dyDescent="0.15">
      <c r="A70" s="41">
        <v>11</v>
      </c>
      <c r="B70" s="41" t="s">
        <v>4480</v>
      </c>
      <c r="C70" s="74" t="s">
        <v>4481</v>
      </c>
      <c r="D70" s="122"/>
      <c r="E70" s="111"/>
      <c r="F70" s="711"/>
      <c r="G70" s="37"/>
      <c r="H70" s="38"/>
      <c r="I70" s="44" t="s">
        <v>397</v>
      </c>
      <c r="J70" s="45" t="s">
        <v>398</v>
      </c>
      <c r="K70" s="46">
        <v>1</v>
      </c>
      <c r="L70" s="55" t="s">
        <v>398</v>
      </c>
      <c r="M70" s="38">
        <f>_11・初任</f>
        <v>0.7</v>
      </c>
      <c r="N70" s="47">
        <f>ROUND((ROUND((ROUND((_11_A通院１４．０*_11・基礎１),0)*_11・２人),0)*_11・初任),0)</f>
        <v>489</v>
      </c>
      <c r="O70" s="63"/>
    </row>
    <row r="71" spans="1:15" ht="16.5" customHeight="1" x14ac:dyDescent="0.15">
      <c r="A71" s="33">
        <v>11</v>
      </c>
      <c r="B71" s="33">
        <v>3143</v>
      </c>
      <c r="C71" s="34" t="s">
        <v>4482</v>
      </c>
      <c r="D71" s="709" t="s">
        <v>503</v>
      </c>
      <c r="E71" s="718"/>
      <c r="F71" s="35"/>
      <c r="I71" s="36"/>
      <c r="J71" s="37"/>
      <c r="K71" s="38"/>
      <c r="L71" s="35"/>
      <c r="N71" s="39">
        <f>_11_A通院１４．５</f>
        <v>1082</v>
      </c>
      <c r="O71" s="48"/>
    </row>
    <row r="72" spans="1:15" ht="16.5" customHeight="1" x14ac:dyDescent="0.15">
      <c r="A72" s="41">
        <v>11</v>
      </c>
      <c r="B72" s="41">
        <v>3144</v>
      </c>
      <c r="C72" s="74" t="s">
        <v>4483</v>
      </c>
      <c r="D72" s="709"/>
      <c r="E72" s="718"/>
      <c r="F72" s="43"/>
      <c r="G72" s="37"/>
      <c r="H72" s="38"/>
      <c r="I72" s="44" t="s">
        <v>397</v>
      </c>
      <c r="J72" s="45" t="s">
        <v>398</v>
      </c>
      <c r="K72" s="46">
        <v>1</v>
      </c>
      <c r="L72" s="35"/>
      <c r="N72" s="47">
        <f>ROUND((_11_A通院１４．５*_11・２人),0)</f>
        <v>1082</v>
      </c>
      <c r="O72" s="48"/>
    </row>
    <row r="73" spans="1:15" ht="16.5" customHeight="1" x14ac:dyDescent="0.15">
      <c r="A73" s="41">
        <v>11</v>
      </c>
      <c r="B73" s="41">
        <v>3145</v>
      </c>
      <c r="C73" s="74" t="s">
        <v>4484</v>
      </c>
      <c r="D73" s="709"/>
      <c r="E73" s="718"/>
      <c r="F73" s="752" t="s">
        <v>400</v>
      </c>
      <c r="G73" s="49" t="s">
        <v>398</v>
      </c>
      <c r="H73" s="50">
        <v>0.7</v>
      </c>
      <c r="I73" s="44"/>
      <c r="J73" s="45"/>
      <c r="K73" s="46"/>
      <c r="L73" s="35"/>
      <c r="N73" s="47">
        <f>ROUND((_11_A通院１４．５*_11・基礎１),0)</f>
        <v>757</v>
      </c>
      <c r="O73" s="48"/>
    </row>
    <row r="74" spans="1:15" ht="16.5" customHeight="1" x14ac:dyDescent="0.15">
      <c r="A74" s="41">
        <v>11</v>
      </c>
      <c r="B74" s="41">
        <v>3146</v>
      </c>
      <c r="C74" s="74" t="s">
        <v>4485</v>
      </c>
      <c r="D74" s="100">
        <f>_11_A通院１４．５</f>
        <v>1082</v>
      </c>
      <c r="E74" s="12" t="s">
        <v>392</v>
      </c>
      <c r="F74" s="711"/>
      <c r="G74" s="37"/>
      <c r="H74" s="38"/>
      <c r="I74" s="44" t="s">
        <v>397</v>
      </c>
      <c r="J74" s="45" t="s">
        <v>398</v>
      </c>
      <c r="K74" s="46">
        <v>1</v>
      </c>
      <c r="L74" s="43"/>
      <c r="M74" s="37"/>
      <c r="N74" s="47">
        <f>ROUND((ROUND((_11_A通院１４．５*_11・基礎１),0)*_11・２人),0)</f>
        <v>757</v>
      </c>
      <c r="O74" s="48"/>
    </row>
    <row r="75" spans="1:15" ht="16.5" customHeight="1" x14ac:dyDescent="0.15">
      <c r="A75" s="41">
        <v>11</v>
      </c>
      <c r="B75" s="41" t="s">
        <v>4486</v>
      </c>
      <c r="C75" s="74" t="s">
        <v>4487</v>
      </c>
      <c r="D75" s="72"/>
      <c r="E75" s="99"/>
      <c r="F75" s="53"/>
      <c r="G75" s="49"/>
      <c r="H75" s="50"/>
      <c r="I75" s="44"/>
      <c r="J75" s="45"/>
      <c r="K75" s="46"/>
      <c r="L75" s="707" t="s">
        <v>404</v>
      </c>
      <c r="M75" s="708"/>
      <c r="N75" s="47">
        <f>ROUND((_11_A通院１４．５*_11・初任),0)</f>
        <v>757</v>
      </c>
      <c r="O75" s="48"/>
    </row>
    <row r="76" spans="1:15" ht="16.5" customHeight="1" x14ac:dyDescent="0.15">
      <c r="A76" s="41">
        <v>11</v>
      </c>
      <c r="B76" s="41" t="s">
        <v>4488</v>
      </c>
      <c r="C76" s="74" t="s">
        <v>4489</v>
      </c>
      <c r="D76" s="72"/>
      <c r="E76" s="99"/>
      <c r="F76" s="43"/>
      <c r="G76" s="37"/>
      <c r="H76" s="38"/>
      <c r="I76" s="44" t="s">
        <v>397</v>
      </c>
      <c r="J76" s="45" t="s">
        <v>398</v>
      </c>
      <c r="K76" s="46">
        <v>1</v>
      </c>
      <c r="L76" s="709"/>
      <c r="M76" s="704"/>
      <c r="N76" s="47">
        <f>ROUND((ROUND((_11_A通院１４．５*_11・２人),0)*_11・初任),0)</f>
        <v>757</v>
      </c>
      <c r="O76" s="48"/>
    </row>
    <row r="77" spans="1:15" ht="16.5" customHeight="1" x14ac:dyDescent="0.15">
      <c r="A77" s="41">
        <v>11</v>
      </c>
      <c r="B77" s="41" t="s">
        <v>4490</v>
      </c>
      <c r="C77" s="74" t="s">
        <v>4491</v>
      </c>
      <c r="D77" s="72"/>
      <c r="E77" s="99"/>
      <c r="F77" s="752" t="s">
        <v>400</v>
      </c>
      <c r="G77" s="49" t="s">
        <v>398</v>
      </c>
      <c r="H77" s="50">
        <v>0.7</v>
      </c>
      <c r="I77" s="44"/>
      <c r="J77" s="45"/>
      <c r="K77" s="46"/>
      <c r="L77" s="709"/>
      <c r="M77" s="704"/>
      <c r="N77" s="47">
        <f>ROUND((ROUND((_11_A通院１４．５*_11・基礎１),0)*_11・初任),0)</f>
        <v>530</v>
      </c>
      <c r="O77" s="48"/>
    </row>
    <row r="78" spans="1:15" ht="16.5" customHeight="1" x14ac:dyDescent="0.15">
      <c r="A78" s="41">
        <v>11</v>
      </c>
      <c r="B78" s="41" t="s">
        <v>4492</v>
      </c>
      <c r="C78" s="74" t="s">
        <v>4493</v>
      </c>
      <c r="D78" s="72"/>
      <c r="E78" s="99"/>
      <c r="F78" s="711"/>
      <c r="G78" s="37"/>
      <c r="H78" s="38"/>
      <c r="I78" s="44" t="s">
        <v>397</v>
      </c>
      <c r="J78" s="45" t="s">
        <v>398</v>
      </c>
      <c r="K78" s="46">
        <v>1</v>
      </c>
      <c r="L78" s="55" t="s">
        <v>398</v>
      </c>
      <c r="M78" s="38">
        <f>_11・初任</f>
        <v>0.7</v>
      </c>
      <c r="N78" s="47">
        <f>ROUND((ROUND((ROUND((_11_A通院１４．５*_11・基礎１),0)*_11・２人),0)*_11・初任),0)</f>
        <v>530</v>
      </c>
      <c r="O78" s="48"/>
    </row>
    <row r="79" spans="1:15" ht="16.5" customHeight="1" x14ac:dyDescent="0.15">
      <c r="A79" s="41">
        <v>11</v>
      </c>
      <c r="B79" s="41">
        <v>3147</v>
      </c>
      <c r="C79" s="74" t="s">
        <v>4494</v>
      </c>
      <c r="D79" s="707" t="s">
        <v>516</v>
      </c>
      <c r="E79" s="717"/>
      <c r="F79" s="53"/>
      <c r="G79" s="49"/>
      <c r="H79" s="50"/>
      <c r="I79" s="44"/>
      <c r="J79" s="45"/>
      <c r="K79" s="46"/>
      <c r="L79" s="53"/>
      <c r="M79" s="49"/>
      <c r="N79" s="47">
        <f>_11_A通院１５．０</f>
        <v>1165</v>
      </c>
      <c r="O79" s="48"/>
    </row>
    <row r="80" spans="1:15" ht="16.5" customHeight="1" x14ac:dyDescent="0.15">
      <c r="A80" s="41">
        <v>11</v>
      </c>
      <c r="B80" s="41">
        <v>3148</v>
      </c>
      <c r="C80" s="74" t="s">
        <v>4495</v>
      </c>
      <c r="D80" s="709"/>
      <c r="E80" s="718"/>
      <c r="F80" s="43"/>
      <c r="G80" s="37"/>
      <c r="H80" s="38"/>
      <c r="I80" s="44" t="s">
        <v>397</v>
      </c>
      <c r="J80" s="45" t="s">
        <v>398</v>
      </c>
      <c r="K80" s="46">
        <v>1</v>
      </c>
      <c r="L80" s="35"/>
      <c r="N80" s="47">
        <f>ROUND((_11_A通院１５．０*_11・２人),0)</f>
        <v>1165</v>
      </c>
      <c r="O80" s="48"/>
    </row>
    <row r="81" spans="1:15" ht="16.5" customHeight="1" x14ac:dyDescent="0.15">
      <c r="A81" s="41">
        <v>11</v>
      </c>
      <c r="B81" s="41">
        <v>3149</v>
      </c>
      <c r="C81" s="74" t="s">
        <v>4496</v>
      </c>
      <c r="D81" s="709"/>
      <c r="E81" s="718"/>
      <c r="F81" s="752" t="s">
        <v>400</v>
      </c>
      <c r="G81" s="49" t="s">
        <v>398</v>
      </c>
      <c r="H81" s="50">
        <v>0.7</v>
      </c>
      <c r="I81" s="44"/>
      <c r="J81" s="45"/>
      <c r="K81" s="46"/>
      <c r="L81" s="35"/>
      <c r="N81" s="47">
        <f>ROUND((_11_A通院１５．０*_11・基礎１),0)</f>
        <v>816</v>
      </c>
      <c r="O81" s="48"/>
    </row>
    <row r="82" spans="1:15" ht="16.5" customHeight="1" x14ac:dyDescent="0.15">
      <c r="A82" s="41">
        <v>11</v>
      </c>
      <c r="B82" s="41">
        <v>3150</v>
      </c>
      <c r="C82" s="74" t="s">
        <v>4497</v>
      </c>
      <c r="D82" s="100">
        <f>_11_A通院１５．０</f>
        <v>1165</v>
      </c>
      <c r="E82" s="12" t="s">
        <v>392</v>
      </c>
      <c r="F82" s="711"/>
      <c r="G82" s="37"/>
      <c r="H82" s="38"/>
      <c r="I82" s="44" t="s">
        <v>397</v>
      </c>
      <c r="J82" s="45" t="s">
        <v>398</v>
      </c>
      <c r="K82" s="46">
        <v>1</v>
      </c>
      <c r="L82" s="43"/>
      <c r="M82" s="37"/>
      <c r="N82" s="47">
        <f>ROUND((ROUND((_11_A通院１５．０*_11・基礎１),0)*_11・２人),0)</f>
        <v>816</v>
      </c>
      <c r="O82" s="48"/>
    </row>
    <row r="83" spans="1:15" ht="16.5" customHeight="1" x14ac:dyDescent="0.15">
      <c r="A83" s="41">
        <v>11</v>
      </c>
      <c r="B83" s="41" t="s">
        <v>4498</v>
      </c>
      <c r="C83" s="74" t="s">
        <v>4499</v>
      </c>
      <c r="D83" s="72"/>
      <c r="E83" s="99"/>
      <c r="F83" s="53"/>
      <c r="G83" s="49"/>
      <c r="H83" s="50"/>
      <c r="I83" s="44"/>
      <c r="J83" s="45"/>
      <c r="K83" s="46"/>
      <c r="L83" s="707" t="s">
        <v>404</v>
      </c>
      <c r="M83" s="708"/>
      <c r="N83" s="47">
        <f>ROUND((_11_A通院１５．０*_11・初任),0)</f>
        <v>816</v>
      </c>
      <c r="O83" s="48"/>
    </row>
    <row r="84" spans="1:15" ht="16.5" customHeight="1" x14ac:dyDescent="0.15">
      <c r="A84" s="41">
        <v>11</v>
      </c>
      <c r="B84" s="41" t="s">
        <v>4500</v>
      </c>
      <c r="C84" s="74" t="s">
        <v>4501</v>
      </c>
      <c r="D84" s="72"/>
      <c r="E84" s="99"/>
      <c r="F84" s="43"/>
      <c r="G84" s="37"/>
      <c r="H84" s="38"/>
      <c r="I84" s="44" t="s">
        <v>397</v>
      </c>
      <c r="J84" s="45" t="s">
        <v>398</v>
      </c>
      <c r="K84" s="46">
        <v>1</v>
      </c>
      <c r="L84" s="709"/>
      <c r="M84" s="704"/>
      <c r="N84" s="47">
        <f>ROUND((ROUND((_11_A通院１５．０*_11・２人),0)*_11・初任),0)</f>
        <v>816</v>
      </c>
      <c r="O84" s="48"/>
    </row>
    <row r="85" spans="1:15" ht="16.5" customHeight="1" x14ac:dyDescent="0.15">
      <c r="A85" s="41">
        <v>11</v>
      </c>
      <c r="B85" s="41" t="s">
        <v>4502</v>
      </c>
      <c r="C85" s="74" t="s">
        <v>4503</v>
      </c>
      <c r="D85" s="72"/>
      <c r="E85" s="99"/>
      <c r="F85" s="752" t="s">
        <v>400</v>
      </c>
      <c r="G85" s="49" t="s">
        <v>398</v>
      </c>
      <c r="H85" s="50">
        <v>0.7</v>
      </c>
      <c r="I85" s="44"/>
      <c r="J85" s="45"/>
      <c r="K85" s="46"/>
      <c r="L85" s="709"/>
      <c r="M85" s="704"/>
      <c r="N85" s="47">
        <f>ROUND((ROUND((_11_A通院１５．０*_11・基礎１),0)*_11・初任),0)</f>
        <v>571</v>
      </c>
      <c r="O85" s="48"/>
    </row>
    <row r="86" spans="1:15" ht="16.5" customHeight="1" x14ac:dyDescent="0.15">
      <c r="A86" s="41">
        <v>11</v>
      </c>
      <c r="B86" s="41" t="s">
        <v>4504</v>
      </c>
      <c r="C86" s="74" t="s">
        <v>4505</v>
      </c>
      <c r="D86" s="72"/>
      <c r="E86" s="99"/>
      <c r="F86" s="711"/>
      <c r="G86" s="37"/>
      <c r="H86" s="38"/>
      <c r="I86" s="44" t="s">
        <v>397</v>
      </c>
      <c r="J86" s="45" t="s">
        <v>398</v>
      </c>
      <c r="K86" s="46">
        <v>1</v>
      </c>
      <c r="L86" s="55" t="s">
        <v>398</v>
      </c>
      <c r="M86" s="38">
        <f>_11・初任</f>
        <v>0.7</v>
      </c>
      <c r="N86" s="47">
        <f>ROUND((ROUND((ROUND((_11_A通院１５．０*_11・基礎１),0)*_11・２人),0)*_11・初任),0)</f>
        <v>571</v>
      </c>
      <c r="O86" s="48"/>
    </row>
    <row r="87" spans="1:15" ht="16.5" customHeight="1" x14ac:dyDescent="0.15">
      <c r="A87" s="41">
        <v>11</v>
      </c>
      <c r="B87" s="41">
        <v>3151</v>
      </c>
      <c r="C87" s="74" t="s">
        <v>4506</v>
      </c>
      <c r="D87" s="707" t="s">
        <v>529</v>
      </c>
      <c r="E87" s="717"/>
      <c r="F87" s="53"/>
      <c r="G87" s="49"/>
      <c r="H87" s="50"/>
      <c r="I87" s="44"/>
      <c r="J87" s="45"/>
      <c r="K87" s="46"/>
      <c r="L87" s="53"/>
      <c r="M87" s="49"/>
      <c r="N87" s="47">
        <f>_11_A通院１５．５</f>
        <v>1248</v>
      </c>
      <c r="O87" s="48"/>
    </row>
    <row r="88" spans="1:15" ht="16.5" customHeight="1" x14ac:dyDescent="0.15">
      <c r="A88" s="41">
        <v>11</v>
      </c>
      <c r="B88" s="41">
        <v>3152</v>
      </c>
      <c r="C88" s="74" t="s">
        <v>4507</v>
      </c>
      <c r="D88" s="709"/>
      <c r="E88" s="718"/>
      <c r="F88" s="43"/>
      <c r="G88" s="37"/>
      <c r="H88" s="38"/>
      <c r="I88" s="44" t="s">
        <v>397</v>
      </c>
      <c r="J88" s="45" t="s">
        <v>398</v>
      </c>
      <c r="K88" s="46">
        <v>1</v>
      </c>
      <c r="L88" s="35"/>
      <c r="N88" s="47">
        <f>ROUND((_11_A通院１５．５*_11・２人),0)</f>
        <v>1248</v>
      </c>
      <c r="O88" s="48"/>
    </row>
    <row r="89" spans="1:15" ht="16.5" customHeight="1" x14ac:dyDescent="0.15">
      <c r="A89" s="41">
        <v>11</v>
      </c>
      <c r="B89" s="41">
        <v>3153</v>
      </c>
      <c r="C89" s="74" t="s">
        <v>4508</v>
      </c>
      <c r="D89" s="709"/>
      <c r="E89" s="718"/>
      <c r="F89" s="752" t="s">
        <v>400</v>
      </c>
      <c r="G89" s="49" t="s">
        <v>398</v>
      </c>
      <c r="H89" s="50">
        <v>0.7</v>
      </c>
      <c r="I89" s="44"/>
      <c r="J89" s="45"/>
      <c r="K89" s="46"/>
      <c r="L89" s="35"/>
      <c r="N89" s="47">
        <f>ROUND((_11_A通院１５．５*_11・基礎１),0)</f>
        <v>874</v>
      </c>
      <c r="O89" s="48"/>
    </row>
    <row r="90" spans="1:15" ht="16.5" customHeight="1" x14ac:dyDescent="0.15">
      <c r="A90" s="41">
        <v>11</v>
      </c>
      <c r="B90" s="41">
        <v>3154</v>
      </c>
      <c r="C90" s="74" t="s">
        <v>4509</v>
      </c>
      <c r="D90" s="100">
        <f>_11_A通院１５．５</f>
        <v>1248</v>
      </c>
      <c r="E90" s="12" t="s">
        <v>392</v>
      </c>
      <c r="F90" s="711"/>
      <c r="G90" s="37"/>
      <c r="H90" s="38"/>
      <c r="I90" s="44" t="s">
        <v>397</v>
      </c>
      <c r="J90" s="45" t="s">
        <v>398</v>
      </c>
      <c r="K90" s="46">
        <v>1</v>
      </c>
      <c r="L90" s="43"/>
      <c r="M90" s="37"/>
      <c r="N90" s="47">
        <f>ROUND((ROUND((_11_A通院１５．５*_11・基礎１),0)*_11・２人),0)</f>
        <v>874</v>
      </c>
      <c r="O90" s="48"/>
    </row>
    <row r="91" spans="1:15" ht="16.5" customHeight="1" x14ac:dyDescent="0.15">
      <c r="A91" s="41">
        <v>11</v>
      </c>
      <c r="B91" s="41" t="s">
        <v>4510</v>
      </c>
      <c r="C91" s="74" t="s">
        <v>4511</v>
      </c>
      <c r="D91" s="72"/>
      <c r="E91" s="99"/>
      <c r="F91" s="53"/>
      <c r="G91" s="49"/>
      <c r="H91" s="50"/>
      <c r="I91" s="44"/>
      <c r="J91" s="45"/>
      <c r="K91" s="46"/>
      <c r="L91" s="707" t="s">
        <v>404</v>
      </c>
      <c r="M91" s="708"/>
      <c r="N91" s="47">
        <f>ROUND((_11_A通院１５．５*_11・初任),0)</f>
        <v>874</v>
      </c>
      <c r="O91" s="48"/>
    </row>
    <row r="92" spans="1:15" ht="16.5" customHeight="1" x14ac:dyDescent="0.15">
      <c r="A92" s="41">
        <v>11</v>
      </c>
      <c r="B92" s="41" t="s">
        <v>4512</v>
      </c>
      <c r="C92" s="74" t="s">
        <v>4513</v>
      </c>
      <c r="D92" s="72"/>
      <c r="E92" s="99"/>
      <c r="F92" s="43"/>
      <c r="G92" s="37"/>
      <c r="H92" s="38"/>
      <c r="I92" s="44" t="s">
        <v>397</v>
      </c>
      <c r="J92" s="45" t="s">
        <v>398</v>
      </c>
      <c r="K92" s="46">
        <v>1</v>
      </c>
      <c r="L92" s="709"/>
      <c r="M92" s="704"/>
      <c r="N92" s="47">
        <f>ROUND((ROUND((_11_A通院１５．５*_11・２人),0)*_11・初任),0)</f>
        <v>874</v>
      </c>
      <c r="O92" s="48"/>
    </row>
    <row r="93" spans="1:15" ht="16.5" customHeight="1" x14ac:dyDescent="0.15">
      <c r="A93" s="41">
        <v>11</v>
      </c>
      <c r="B93" s="41" t="s">
        <v>4514</v>
      </c>
      <c r="C93" s="74" t="s">
        <v>4515</v>
      </c>
      <c r="D93" s="72"/>
      <c r="E93" s="99"/>
      <c r="F93" s="752" t="s">
        <v>400</v>
      </c>
      <c r="G93" s="49" t="s">
        <v>398</v>
      </c>
      <c r="H93" s="50">
        <v>0.7</v>
      </c>
      <c r="I93" s="44"/>
      <c r="J93" s="45"/>
      <c r="K93" s="46"/>
      <c r="L93" s="709"/>
      <c r="M93" s="704"/>
      <c r="N93" s="47">
        <f>ROUND((ROUND((_11_A通院１５．５*_11・基礎１),0)*_11・初任),0)</f>
        <v>612</v>
      </c>
      <c r="O93" s="48"/>
    </row>
    <row r="94" spans="1:15" ht="16.5" customHeight="1" x14ac:dyDescent="0.15">
      <c r="A94" s="41">
        <v>11</v>
      </c>
      <c r="B94" s="41" t="s">
        <v>4516</v>
      </c>
      <c r="C94" s="74" t="s">
        <v>4517</v>
      </c>
      <c r="D94" s="72"/>
      <c r="E94" s="99"/>
      <c r="F94" s="711"/>
      <c r="G94" s="37"/>
      <c r="H94" s="38"/>
      <c r="I94" s="44" t="s">
        <v>397</v>
      </c>
      <c r="J94" s="45" t="s">
        <v>398</v>
      </c>
      <c r="K94" s="46">
        <v>1</v>
      </c>
      <c r="L94" s="55" t="s">
        <v>398</v>
      </c>
      <c r="M94" s="38">
        <f>_11・初任</f>
        <v>0.7</v>
      </c>
      <c r="N94" s="47">
        <f>ROUND((ROUND((ROUND((_11_A通院１５．５*_11・基礎１),0)*_11・２人),0)*_11・初任),0)</f>
        <v>612</v>
      </c>
      <c r="O94" s="48"/>
    </row>
    <row r="95" spans="1:15" ht="16.5" customHeight="1" x14ac:dyDescent="0.15">
      <c r="A95" s="41">
        <v>11</v>
      </c>
      <c r="B95" s="41">
        <v>3155</v>
      </c>
      <c r="C95" s="74" t="s">
        <v>4518</v>
      </c>
      <c r="D95" s="707" t="s">
        <v>542</v>
      </c>
      <c r="E95" s="717"/>
      <c r="F95" s="53"/>
      <c r="G95" s="49"/>
      <c r="H95" s="50"/>
      <c r="I95" s="44"/>
      <c r="J95" s="45"/>
      <c r="K95" s="46"/>
      <c r="L95" s="53"/>
      <c r="M95" s="49"/>
      <c r="N95" s="47">
        <f>_11_A通院１６．０</f>
        <v>1331</v>
      </c>
      <c r="O95" s="48"/>
    </row>
    <row r="96" spans="1:15" ht="16.5" customHeight="1" x14ac:dyDescent="0.15">
      <c r="A96" s="41">
        <v>11</v>
      </c>
      <c r="B96" s="41">
        <v>3156</v>
      </c>
      <c r="C96" s="74" t="s">
        <v>4519</v>
      </c>
      <c r="D96" s="709"/>
      <c r="E96" s="718"/>
      <c r="F96" s="43"/>
      <c r="G96" s="37"/>
      <c r="H96" s="38"/>
      <c r="I96" s="44" t="s">
        <v>397</v>
      </c>
      <c r="J96" s="45" t="s">
        <v>398</v>
      </c>
      <c r="K96" s="46">
        <v>1</v>
      </c>
      <c r="L96" s="35"/>
      <c r="N96" s="47">
        <f>ROUND((_11_A通院１６．０*_11・２人),0)</f>
        <v>1331</v>
      </c>
      <c r="O96" s="48"/>
    </row>
    <row r="97" spans="1:15" ht="16.5" customHeight="1" x14ac:dyDescent="0.15">
      <c r="A97" s="41">
        <v>11</v>
      </c>
      <c r="B97" s="41">
        <v>3157</v>
      </c>
      <c r="C97" s="74" t="s">
        <v>4520</v>
      </c>
      <c r="D97" s="709"/>
      <c r="E97" s="718"/>
      <c r="F97" s="752" t="s">
        <v>400</v>
      </c>
      <c r="G97" s="49" t="s">
        <v>398</v>
      </c>
      <c r="H97" s="50">
        <v>0.7</v>
      </c>
      <c r="I97" s="44"/>
      <c r="J97" s="45"/>
      <c r="K97" s="46"/>
      <c r="L97" s="35"/>
      <c r="N97" s="47">
        <f>ROUND((_11_A通院１６．０*_11・基礎１),0)</f>
        <v>932</v>
      </c>
      <c r="O97" s="48"/>
    </row>
    <row r="98" spans="1:15" ht="16.5" customHeight="1" x14ac:dyDescent="0.15">
      <c r="A98" s="41">
        <v>11</v>
      </c>
      <c r="B98" s="41">
        <v>3158</v>
      </c>
      <c r="C98" s="74" t="s">
        <v>4521</v>
      </c>
      <c r="D98" s="100">
        <f>_11_A通院１６．０</f>
        <v>1331</v>
      </c>
      <c r="E98" s="12" t="s">
        <v>392</v>
      </c>
      <c r="F98" s="711"/>
      <c r="G98" s="37"/>
      <c r="H98" s="38"/>
      <c r="I98" s="44" t="s">
        <v>397</v>
      </c>
      <c r="J98" s="45" t="s">
        <v>398</v>
      </c>
      <c r="K98" s="46">
        <v>1</v>
      </c>
      <c r="L98" s="43"/>
      <c r="M98" s="37"/>
      <c r="N98" s="47">
        <f>ROUND((ROUND((_11_A通院１６．０*_11・基礎１),0)*_11・２人),0)</f>
        <v>932</v>
      </c>
      <c r="O98" s="48"/>
    </row>
    <row r="99" spans="1:15" ht="16.5" customHeight="1" x14ac:dyDescent="0.15">
      <c r="A99" s="41">
        <v>11</v>
      </c>
      <c r="B99" s="41" t="s">
        <v>4522</v>
      </c>
      <c r="C99" s="74" t="s">
        <v>4523</v>
      </c>
      <c r="D99" s="72"/>
      <c r="E99" s="99"/>
      <c r="F99" s="53"/>
      <c r="G99" s="49"/>
      <c r="H99" s="50"/>
      <c r="I99" s="44"/>
      <c r="J99" s="45"/>
      <c r="K99" s="46"/>
      <c r="L99" s="707" t="s">
        <v>404</v>
      </c>
      <c r="M99" s="708"/>
      <c r="N99" s="47">
        <f>ROUND((_11_A通院１６．０*_11・初任),0)</f>
        <v>932</v>
      </c>
      <c r="O99" s="48"/>
    </row>
    <row r="100" spans="1:15" ht="16.5" customHeight="1" x14ac:dyDescent="0.15">
      <c r="A100" s="41">
        <v>11</v>
      </c>
      <c r="B100" s="41" t="s">
        <v>4524</v>
      </c>
      <c r="C100" s="74" t="s">
        <v>4525</v>
      </c>
      <c r="D100" s="72"/>
      <c r="E100" s="99"/>
      <c r="F100" s="43"/>
      <c r="G100" s="37"/>
      <c r="H100" s="38"/>
      <c r="I100" s="44" t="s">
        <v>397</v>
      </c>
      <c r="J100" s="45" t="s">
        <v>398</v>
      </c>
      <c r="K100" s="46">
        <v>1</v>
      </c>
      <c r="L100" s="709"/>
      <c r="M100" s="704"/>
      <c r="N100" s="47">
        <f>ROUND((ROUND((_11_A通院１６．０*_11・２人),0)*_11・初任),0)</f>
        <v>932</v>
      </c>
      <c r="O100" s="48"/>
    </row>
    <row r="101" spans="1:15" ht="16.5" customHeight="1" x14ac:dyDescent="0.15">
      <c r="A101" s="41">
        <v>11</v>
      </c>
      <c r="B101" s="41" t="s">
        <v>4526</v>
      </c>
      <c r="C101" s="74" t="s">
        <v>4527</v>
      </c>
      <c r="D101" s="72"/>
      <c r="E101" s="99"/>
      <c r="F101" s="752" t="s">
        <v>400</v>
      </c>
      <c r="G101" s="49" t="s">
        <v>398</v>
      </c>
      <c r="H101" s="50">
        <v>0.7</v>
      </c>
      <c r="I101" s="44"/>
      <c r="J101" s="45"/>
      <c r="K101" s="46"/>
      <c r="L101" s="709"/>
      <c r="M101" s="704"/>
      <c r="N101" s="47">
        <f>ROUND((ROUND((_11_A通院１６．０*_11・基礎１),0)*_11・初任),0)</f>
        <v>652</v>
      </c>
      <c r="O101" s="48"/>
    </row>
    <row r="102" spans="1:15" ht="16.5" customHeight="1" x14ac:dyDescent="0.15">
      <c r="A102" s="41">
        <v>11</v>
      </c>
      <c r="B102" s="41" t="s">
        <v>4528</v>
      </c>
      <c r="C102" s="74" t="s">
        <v>4529</v>
      </c>
      <c r="D102" s="72"/>
      <c r="E102" s="99"/>
      <c r="F102" s="711"/>
      <c r="G102" s="37"/>
      <c r="H102" s="38"/>
      <c r="I102" s="44" t="s">
        <v>397</v>
      </c>
      <c r="J102" s="45" t="s">
        <v>398</v>
      </c>
      <c r="K102" s="46">
        <v>1</v>
      </c>
      <c r="L102" s="55" t="s">
        <v>398</v>
      </c>
      <c r="M102" s="38">
        <f>_11・初任</f>
        <v>0.7</v>
      </c>
      <c r="N102" s="47">
        <f>ROUND((ROUND((ROUND((_11_A通院１６．０*_11・基礎１),0)*_11・２人),0)*_11・初任),0)</f>
        <v>652</v>
      </c>
      <c r="O102" s="48"/>
    </row>
    <row r="103" spans="1:15" ht="16.5" customHeight="1" x14ac:dyDescent="0.15">
      <c r="A103" s="41">
        <v>11</v>
      </c>
      <c r="B103" s="41">
        <v>3159</v>
      </c>
      <c r="C103" s="74" t="s">
        <v>4530</v>
      </c>
      <c r="D103" s="707" t="s">
        <v>555</v>
      </c>
      <c r="E103" s="717"/>
      <c r="F103" s="53"/>
      <c r="G103" s="49"/>
      <c r="H103" s="50"/>
      <c r="I103" s="44"/>
      <c r="J103" s="45"/>
      <c r="K103" s="46"/>
      <c r="L103" s="53"/>
      <c r="M103" s="49"/>
      <c r="N103" s="47">
        <f>_11_A通院１６．５</f>
        <v>1414</v>
      </c>
      <c r="O103" s="48"/>
    </row>
    <row r="104" spans="1:15" ht="16.5" customHeight="1" x14ac:dyDescent="0.15">
      <c r="A104" s="41">
        <v>11</v>
      </c>
      <c r="B104" s="41">
        <v>3160</v>
      </c>
      <c r="C104" s="74" t="s">
        <v>4531</v>
      </c>
      <c r="D104" s="709"/>
      <c r="E104" s="718"/>
      <c r="F104" s="43"/>
      <c r="G104" s="37"/>
      <c r="H104" s="38"/>
      <c r="I104" s="44" t="s">
        <v>397</v>
      </c>
      <c r="J104" s="45" t="s">
        <v>398</v>
      </c>
      <c r="K104" s="46">
        <v>1</v>
      </c>
      <c r="L104" s="35"/>
      <c r="N104" s="47">
        <f>ROUND((_11_A通院１６．５*_11・２人),0)</f>
        <v>1414</v>
      </c>
      <c r="O104" s="48"/>
    </row>
    <row r="105" spans="1:15" ht="16.5" customHeight="1" x14ac:dyDescent="0.15">
      <c r="A105" s="41">
        <v>11</v>
      </c>
      <c r="B105" s="41">
        <v>3161</v>
      </c>
      <c r="C105" s="74" t="s">
        <v>4532</v>
      </c>
      <c r="D105" s="709"/>
      <c r="E105" s="718"/>
      <c r="F105" s="752" t="s">
        <v>400</v>
      </c>
      <c r="G105" s="49" t="s">
        <v>398</v>
      </c>
      <c r="H105" s="50">
        <v>0.7</v>
      </c>
      <c r="I105" s="44"/>
      <c r="J105" s="45"/>
      <c r="K105" s="46"/>
      <c r="L105" s="35"/>
      <c r="N105" s="47">
        <f>ROUND((_11_A通院１６．５*_11・基礎１),0)</f>
        <v>990</v>
      </c>
      <c r="O105" s="48"/>
    </row>
    <row r="106" spans="1:15" ht="16.5" customHeight="1" x14ac:dyDescent="0.15">
      <c r="A106" s="41">
        <v>11</v>
      </c>
      <c r="B106" s="41">
        <v>3162</v>
      </c>
      <c r="C106" s="74" t="s">
        <v>4533</v>
      </c>
      <c r="D106" s="100">
        <f>_11_A通院１６．５</f>
        <v>1414</v>
      </c>
      <c r="E106" s="12" t="s">
        <v>392</v>
      </c>
      <c r="F106" s="711"/>
      <c r="G106" s="37"/>
      <c r="H106" s="38"/>
      <c r="I106" s="44" t="s">
        <v>397</v>
      </c>
      <c r="J106" s="45" t="s">
        <v>398</v>
      </c>
      <c r="K106" s="46">
        <v>1</v>
      </c>
      <c r="L106" s="43"/>
      <c r="M106" s="37"/>
      <c r="N106" s="47">
        <f>ROUND((ROUND((_11_A通院１６．５*_11・基礎１),0)*_11・２人),0)</f>
        <v>990</v>
      </c>
      <c r="O106" s="48"/>
    </row>
    <row r="107" spans="1:15" ht="16.5" customHeight="1" x14ac:dyDescent="0.15">
      <c r="A107" s="41">
        <v>11</v>
      </c>
      <c r="B107" s="41" t="s">
        <v>4534</v>
      </c>
      <c r="C107" s="74" t="s">
        <v>4535</v>
      </c>
      <c r="D107" s="72"/>
      <c r="E107" s="99"/>
      <c r="F107" s="53"/>
      <c r="G107" s="49"/>
      <c r="H107" s="50"/>
      <c r="I107" s="44"/>
      <c r="J107" s="45"/>
      <c r="K107" s="46"/>
      <c r="L107" s="707" t="s">
        <v>404</v>
      </c>
      <c r="M107" s="708"/>
      <c r="N107" s="47">
        <f>ROUND((_11_A通院１６．５*_11・初任),0)</f>
        <v>990</v>
      </c>
      <c r="O107" s="48"/>
    </row>
    <row r="108" spans="1:15" ht="16.5" customHeight="1" x14ac:dyDescent="0.15">
      <c r="A108" s="41">
        <v>11</v>
      </c>
      <c r="B108" s="41" t="s">
        <v>4536</v>
      </c>
      <c r="C108" s="74" t="s">
        <v>4537</v>
      </c>
      <c r="D108" s="72"/>
      <c r="E108" s="99"/>
      <c r="F108" s="43"/>
      <c r="G108" s="37"/>
      <c r="H108" s="38"/>
      <c r="I108" s="44" t="s">
        <v>397</v>
      </c>
      <c r="J108" s="45" t="s">
        <v>398</v>
      </c>
      <c r="K108" s="46">
        <v>1</v>
      </c>
      <c r="L108" s="709"/>
      <c r="M108" s="704"/>
      <c r="N108" s="47">
        <f>ROUND((ROUND((_11_A通院１６．５*_11・２人),0)*_11・初任),0)</f>
        <v>990</v>
      </c>
      <c r="O108" s="48"/>
    </row>
    <row r="109" spans="1:15" ht="16.5" customHeight="1" x14ac:dyDescent="0.15">
      <c r="A109" s="41">
        <v>11</v>
      </c>
      <c r="B109" s="41" t="s">
        <v>4538</v>
      </c>
      <c r="C109" s="74" t="s">
        <v>4539</v>
      </c>
      <c r="D109" s="72"/>
      <c r="E109" s="99"/>
      <c r="F109" s="752" t="s">
        <v>400</v>
      </c>
      <c r="G109" s="49" t="s">
        <v>398</v>
      </c>
      <c r="H109" s="50">
        <v>0.7</v>
      </c>
      <c r="I109" s="44"/>
      <c r="J109" s="45"/>
      <c r="K109" s="46"/>
      <c r="L109" s="709"/>
      <c r="M109" s="704"/>
      <c r="N109" s="47">
        <f>ROUND((ROUND((_11_A通院１６．５*_11・基礎１),0)*_11・初任),0)</f>
        <v>693</v>
      </c>
      <c r="O109" s="48"/>
    </row>
    <row r="110" spans="1:15" ht="16.5" customHeight="1" x14ac:dyDescent="0.15">
      <c r="A110" s="41">
        <v>11</v>
      </c>
      <c r="B110" s="41" t="s">
        <v>4540</v>
      </c>
      <c r="C110" s="74" t="s">
        <v>4541</v>
      </c>
      <c r="D110" s="72"/>
      <c r="E110" s="99"/>
      <c r="F110" s="711"/>
      <c r="G110" s="37"/>
      <c r="H110" s="38"/>
      <c r="I110" s="44" t="s">
        <v>397</v>
      </c>
      <c r="J110" s="45" t="s">
        <v>398</v>
      </c>
      <c r="K110" s="46">
        <v>1</v>
      </c>
      <c r="L110" s="55" t="s">
        <v>398</v>
      </c>
      <c r="M110" s="38">
        <f>_11・初任</f>
        <v>0.7</v>
      </c>
      <c r="N110" s="47">
        <f>ROUND((ROUND((ROUND((_11_A通院１６．５*_11・基礎１),0)*_11・２人),0)*_11・初任),0)</f>
        <v>693</v>
      </c>
      <c r="O110" s="48"/>
    </row>
    <row r="111" spans="1:15" ht="16.5" customHeight="1" x14ac:dyDescent="0.15">
      <c r="A111" s="41">
        <v>11</v>
      </c>
      <c r="B111" s="41">
        <v>3163</v>
      </c>
      <c r="C111" s="74" t="s">
        <v>4542</v>
      </c>
      <c r="D111" s="707" t="s">
        <v>568</v>
      </c>
      <c r="E111" s="717"/>
      <c r="F111" s="53"/>
      <c r="G111" s="49"/>
      <c r="H111" s="50"/>
      <c r="I111" s="44"/>
      <c r="J111" s="45"/>
      <c r="K111" s="46"/>
      <c r="L111" s="53"/>
      <c r="M111" s="49"/>
      <c r="N111" s="47">
        <f>_11_A通院１７．０</f>
        <v>1497</v>
      </c>
      <c r="O111" s="48"/>
    </row>
    <row r="112" spans="1:15" ht="16.5" customHeight="1" x14ac:dyDescent="0.15">
      <c r="A112" s="41">
        <v>11</v>
      </c>
      <c r="B112" s="41">
        <v>3164</v>
      </c>
      <c r="C112" s="74" t="s">
        <v>4543</v>
      </c>
      <c r="D112" s="709"/>
      <c r="E112" s="718"/>
      <c r="F112" s="43"/>
      <c r="G112" s="37"/>
      <c r="H112" s="38"/>
      <c r="I112" s="44" t="s">
        <v>397</v>
      </c>
      <c r="J112" s="45" t="s">
        <v>398</v>
      </c>
      <c r="K112" s="46">
        <v>1</v>
      </c>
      <c r="L112" s="35"/>
      <c r="N112" s="47">
        <f>ROUND((_11_A通院１７．０*_11・２人),0)</f>
        <v>1497</v>
      </c>
      <c r="O112" s="48"/>
    </row>
    <row r="113" spans="1:15" ht="16.5" customHeight="1" x14ac:dyDescent="0.15">
      <c r="A113" s="41">
        <v>11</v>
      </c>
      <c r="B113" s="41">
        <v>3165</v>
      </c>
      <c r="C113" s="74" t="s">
        <v>4544</v>
      </c>
      <c r="D113" s="709"/>
      <c r="E113" s="718"/>
      <c r="F113" s="752" t="s">
        <v>400</v>
      </c>
      <c r="G113" s="49" t="s">
        <v>398</v>
      </c>
      <c r="H113" s="50">
        <v>0.7</v>
      </c>
      <c r="I113" s="44"/>
      <c r="J113" s="45"/>
      <c r="K113" s="46"/>
      <c r="L113" s="35"/>
      <c r="N113" s="47">
        <f>ROUND((_11_A通院１７．０*_11・基礎１),0)</f>
        <v>1048</v>
      </c>
      <c r="O113" s="48"/>
    </row>
    <row r="114" spans="1:15" ht="16.5" customHeight="1" x14ac:dyDescent="0.15">
      <c r="A114" s="41">
        <v>11</v>
      </c>
      <c r="B114" s="41">
        <v>3166</v>
      </c>
      <c r="C114" s="74" t="s">
        <v>4545</v>
      </c>
      <c r="D114" s="100">
        <f>_11_A通院１７．０</f>
        <v>1497</v>
      </c>
      <c r="E114" s="12" t="s">
        <v>392</v>
      </c>
      <c r="F114" s="711"/>
      <c r="G114" s="37"/>
      <c r="H114" s="38"/>
      <c r="I114" s="44" t="s">
        <v>397</v>
      </c>
      <c r="J114" s="45" t="s">
        <v>398</v>
      </c>
      <c r="K114" s="46">
        <v>1</v>
      </c>
      <c r="L114" s="43"/>
      <c r="M114" s="37"/>
      <c r="N114" s="47">
        <f>ROUND((ROUND((_11_A通院１７．０*_11・基礎１),0)*_11・２人),0)</f>
        <v>1048</v>
      </c>
      <c r="O114" s="48"/>
    </row>
    <row r="115" spans="1:15" ht="16.5" customHeight="1" x14ac:dyDescent="0.15">
      <c r="A115" s="41">
        <v>11</v>
      </c>
      <c r="B115" s="41" t="s">
        <v>4546</v>
      </c>
      <c r="C115" s="74" t="s">
        <v>4547</v>
      </c>
      <c r="D115" s="72"/>
      <c r="E115" s="99"/>
      <c r="F115" s="53"/>
      <c r="G115" s="49"/>
      <c r="H115" s="50"/>
      <c r="I115" s="44"/>
      <c r="J115" s="45"/>
      <c r="K115" s="46"/>
      <c r="L115" s="707" t="s">
        <v>404</v>
      </c>
      <c r="M115" s="708"/>
      <c r="N115" s="47">
        <f>ROUND((_11_A通院１７．０*_11・初任),0)</f>
        <v>1048</v>
      </c>
      <c r="O115" s="48"/>
    </row>
    <row r="116" spans="1:15" ht="16.5" customHeight="1" x14ac:dyDescent="0.15">
      <c r="A116" s="41">
        <v>11</v>
      </c>
      <c r="B116" s="41" t="s">
        <v>4548</v>
      </c>
      <c r="C116" s="74" t="s">
        <v>4549</v>
      </c>
      <c r="D116" s="72"/>
      <c r="E116" s="99"/>
      <c r="F116" s="43"/>
      <c r="G116" s="37"/>
      <c r="H116" s="38"/>
      <c r="I116" s="44" t="s">
        <v>397</v>
      </c>
      <c r="J116" s="45" t="s">
        <v>398</v>
      </c>
      <c r="K116" s="46">
        <v>1</v>
      </c>
      <c r="L116" s="709"/>
      <c r="M116" s="704"/>
      <c r="N116" s="47">
        <f>ROUND((ROUND((_11_A通院１７．０*_11・２人),0)*_11・初任),0)</f>
        <v>1048</v>
      </c>
      <c r="O116" s="48"/>
    </row>
    <row r="117" spans="1:15" ht="16.5" customHeight="1" x14ac:dyDescent="0.15">
      <c r="A117" s="41">
        <v>11</v>
      </c>
      <c r="B117" s="41" t="s">
        <v>4550</v>
      </c>
      <c r="C117" s="74" t="s">
        <v>4551</v>
      </c>
      <c r="D117" s="72"/>
      <c r="E117" s="99"/>
      <c r="F117" s="752" t="s">
        <v>400</v>
      </c>
      <c r="G117" s="49" t="s">
        <v>398</v>
      </c>
      <c r="H117" s="50">
        <v>0.7</v>
      </c>
      <c r="I117" s="44"/>
      <c r="J117" s="45"/>
      <c r="K117" s="46"/>
      <c r="L117" s="709"/>
      <c r="M117" s="704"/>
      <c r="N117" s="47">
        <f>ROUND((ROUND((_11_A通院１７．０*_11・基礎１),0)*_11・初任),0)</f>
        <v>734</v>
      </c>
      <c r="O117" s="48"/>
    </row>
    <row r="118" spans="1:15" ht="16.5" customHeight="1" x14ac:dyDescent="0.15">
      <c r="A118" s="41">
        <v>11</v>
      </c>
      <c r="B118" s="41" t="s">
        <v>4552</v>
      </c>
      <c r="C118" s="74" t="s">
        <v>4553</v>
      </c>
      <c r="D118" s="72"/>
      <c r="E118" s="99"/>
      <c r="F118" s="711"/>
      <c r="G118" s="37"/>
      <c r="H118" s="38"/>
      <c r="I118" s="44" t="s">
        <v>397</v>
      </c>
      <c r="J118" s="45" t="s">
        <v>398</v>
      </c>
      <c r="K118" s="46">
        <v>1</v>
      </c>
      <c r="L118" s="55" t="s">
        <v>398</v>
      </c>
      <c r="M118" s="38">
        <f>_11・初任</f>
        <v>0.7</v>
      </c>
      <c r="N118" s="47">
        <f>ROUND((ROUND((ROUND((_11_A通院１７．０*_11・基礎１),0)*_11・２人),0)*_11・初任),0)</f>
        <v>734</v>
      </c>
      <c r="O118" s="48"/>
    </row>
    <row r="119" spans="1:15" ht="16.5" customHeight="1" x14ac:dyDescent="0.15">
      <c r="A119" s="41">
        <v>11</v>
      </c>
      <c r="B119" s="41">
        <v>3167</v>
      </c>
      <c r="C119" s="74" t="s">
        <v>4554</v>
      </c>
      <c r="D119" s="707" t="s">
        <v>581</v>
      </c>
      <c r="E119" s="717"/>
      <c r="F119" s="53"/>
      <c r="G119" s="49"/>
      <c r="H119" s="50"/>
      <c r="I119" s="44"/>
      <c r="J119" s="45"/>
      <c r="K119" s="46"/>
      <c r="L119" s="53"/>
      <c r="M119" s="49"/>
      <c r="N119" s="47">
        <f>_11_A通院１７．５</f>
        <v>1580</v>
      </c>
      <c r="O119" s="48"/>
    </row>
    <row r="120" spans="1:15" ht="16.5" customHeight="1" x14ac:dyDescent="0.15">
      <c r="A120" s="41">
        <v>11</v>
      </c>
      <c r="B120" s="41">
        <v>3168</v>
      </c>
      <c r="C120" s="74" t="s">
        <v>4555</v>
      </c>
      <c r="D120" s="709"/>
      <c r="E120" s="718"/>
      <c r="F120" s="43"/>
      <c r="G120" s="37"/>
      <c r="H120" s="38"/>
      <c r="I120" s="44" t="s">
        <v>397</v>
      </c>
      <c r="J120" s="45" t="s">
        <v>398</v>
      </c>
      <c r="K120" s="46">
        <v>1</v>
      </c>
      <c r="L120" s="35"/>
      <c r="N120" s="47">
        <f>ROUND((_11_A通院１７．５*_11・２人),0)</f>
        <v>1580</v>
      </c>
      <c r="O120" s="48"/>
    </row>
    <row r="121" spans="1:15" ht="16.5" customHeight="1" x14ac:dyDescent="0.15">
      <c r="A121" s="41">
        <v>11</v>
      </c>
      <c r="B121" s="41">
        <v>3169</v>
      </c>
      <c r="C121" s="74" t="s">
        <v>4556</v>
      </c>
      <c r="D121" s="709"/>
      <c r="E121" s="718"/>
      <c r="F121" s="752" t="s">
        <v>400</v>
      </c>
      <c r="G121" s="49" t="s">
        <v>398</v>
      </c>
      <c r="H121" s="50">
        <v>0.7</v>
      </c>
      <c r="I121" s="44"/>
      <c r="J121" s="45"/>
      <c r="K121" s="46"/>
      <c r="L121" s="35"/>
      <c r="N121" s="47">
        <f>ROUND((_11_A通院１７．５*_11・基礎１),0)</f>
        <v>1106</v>
      </c>
      <c r="O121" s="48"/>
    </row>
    <row r="122" spans="1:15" ht="16.5" customHeight="1" x14ac:dyDescent="0.15">
      <c r="A122" s="41">
        <v>11</v>
      </c>
      <c r="B122" s="41">
        <v>3170</v>
      </c>
      <c r="C122" s="74" t="s">
        <v>4557</v>
      </c>
      <c r="D122" s="100">
        <f>_11_A通院１７．５</f>
        <v>1580</v>
      </c>
      <c r="E122" s="12" t="s">
        <v>392</v>
      </c>
      <c r="F122" s="711"/>
      <c r="G122" s="37"/>
      <c r="H122" s="38"/>
      <c r="I122" s="44" t="s">
        <v>397</v>
      </c>
      <c r="J122" s="45" t="s">
        <v>398</v>
      </c>
      <c r="K122" s="46">
        <v>1</v>
      </c>
      <c r="L122" s="43"/>
      <c r="M122" s="37"/>
      <c r="N122" s="47">
        <f>ROUND((ROUND((_11_A通院１７．５*_11・基礎１),0)*_11・２人),0)</f>
        <v>1106</v>
      </c>
      <c r="O122" s="48"/>
    </row>
    <row r="123" spans="1:15" ht="16.5" customHeight="1" x14ac:dyDescent="0.15">
      <c r="A123" s="41">
        <v>11</v>
      </c>
      <c r="B123" s="41" t="s">
        <v>4558</v>
      </c>
      <c r="C123" s="74" t="s">
        <v>4559</v>
      </c>
      <c r="D123" s="72"/>
      <c r="E123" s="99"/>
      <c r="F123" s="53"/>
      <c r="G123" s="49"/>
      <c r="H123" s="50"/>
      <c r="I123" s="44"/>
      <c r="J123" s="45"/>
      <c r="K123" s="46"/>
      <c r="L123" s="707" t="s">
        <v>404</v>
      </c>
      <c r="M123" s="708"/>
      <c r="N123" s="47">
        <f>ROUND((_11_A通院１７．５*_11・初任),0)</f>
        <v>1106</v>
      </c>
      <c r="O123" s="48"/>
    </row>
    <row r="124" spans="1:15" ht="16.5" customHeight="1" x14ac:dyDescent="0.15">
      <c r="A124" s="41">
        <v>11</v>
      </c>
      <c r="B124" s="41" t="s">
        <v>4560</v>
      </c>
      <c r="C124" s="74" t="s">
        <v>4561</v>
      </c>
      <c r="D124" s="72"/>
      <c r="E124" s="99"/>
      <c r="F124" s="43"/>
      <c r="G124" s="37"/>
      <c r="H124" s="38"/>
      <c r="I124" s="44" t="s">
        <v>397</v>
      </c>
      <c r="J124" s="45" t="s">
        <v>398</v>
      </c>
      <c r="K124" s="46">
        <v>1</v>
      </c>
      <c r="L124" s="709"/>
      <c r="M124" s="704"/>
      <c r="N124" s="47">
        <f>ROUND((ROUND((_11_A通院１７．５*_11・２人),0)*_11・初任),0)</f>
        <v>1106</v>
      </c>
      <c r="O124" s="48"/>
    </row>
    <row r="125" spans="1:15" ht="16.5" customHeight="1" x14ac:dyDescent="0.15">
      <c r="A125" s="41">
        <v>11</v>
      </c>
      <c r="B125" s="41" t="s">
        <v>4562</v>
      </c>
      <c r="C125" s="74" t="s">
        <v>4563</v>
      </c>
      <c r="D125" s="72"/>
      <c r="E125" s="99"/>
      <c r="F125" s="752" t="s">
        <v>400</v>
      </c>
      <c r="G125" s="49" t="s">
        <v>398</v>
      </c>
      <c r="H125" s="50">
        <v>0.7</v>
      </c>
      <c r="I125" s="44"/>
      <c r="J125" s="45"/>
      <c r="K125" s="46"/>
      <c r="L125" s="709"/>
      <c r="M125" s="704"/>
      <c r="N125" s="47">
        <f>ROUND((ROUND((_11_A通院１７．５*_11・基礎１),0)*_11・初任),0)</f>
        <v>774</v>
      </c>
      <c r="O125" s="48"/>
    </row>
    <row r="126" spans="1:15" ht="16.5" customHeight="1" x14ac:dyDescent="0.15">
      <c r="A126" s="41">
        <v>11</v>
      </c>
      <c r="B126" s="41" t="s">
        <v>4564</v>
      </c>
      <c r="C126" s="74" t="s">
        <v>4565</v>
      </c>
      <c r="D126" s="72"/>
      <c r="E126" s="99"/>
      <c r="F126" s="711"/>
      <c r="G126" s="37"/>
      <c r="H126" s="38"/>
      <c r="I126" s="44" t="s">
        <v>397</v>
      </c>
      <c r="J126" s="45" t="s">
        <v>398</v>
      </c>
      <c r="K126" s="46">
        <v>1</v>
      </c>
      <c r="L126" s="55" t="s">
        <v>398</v>
      </c>
      <c r="M126" s="38">
        <f>_11・初任</f>
        <v>0.7</v>
      </c>
      <c r="N126" s="47">
        <f>ROUND((ROUND((ROUND((_11_A通院１７．５*_11・基礎１),0)*_11・２人),0)*_11・初任),0)</f>
        <v>774</v>
      </c>
      <c r="O126" s="48"/>
    </row>
    <row r="127" spans="1:15" ht="16.5" customHeight="1" x14ac:dyDescent="0.15">
      <c r="A127" s="41">
        <v>11</v>
      </c>
      <c r="B127" s="41">
        <v>3171</v>
      </c>
      <c r="C127" s="74" t="s">
        <v>4566</v>
      </c>
      <c r="D127" s="707" t="s">
        <v>594</v>
      </c>
      <c r="E127" s="717"/>
      <c r="F127" s="53"/>
      <c r="G127" s="49"/>
      <c r="H127" s="50"/>
      <c r="I127" s="44"/>
      <c r="J127" s="45"/>
      <c r="K127" s="46"/>
      <c r="L127" s="53"/>
      <c r="M127" s="49"/>
      <c r="N127" s="47">
        <f>_11_A通院１８．０</f>
        <v>1663</v>
      </c>
      <c r="O127" s="48"/>
    </row>
    <row r="128" spans="1:15" ht="16.5" customHeight="1" x14ac:dyDescent="0.15">
      <c r="A128" s="41">
        <v>11</v>
      </c>
      <c r="B128" s="41">
        <v>3172</v>
      </c>
      <c r="C128" s="74" t="s">
        <v>4567</v>
      </c>
      <c r="D128" s="709"/>
      <c r="E128" s="718"/>
      <c r="F128" s="43"/>
      <c r="G128" s="37"/>
      <c r="H128" s="38"/>
      <c r="I128" s="44" t="s">
        <v>397</v>
      </c>
      <c r="J128" s="45" t="s">
        <v>398</v>
      </c>
      <c r="K128" s="46">
        <v>1</v>
      </c>
      <c r="L128" s="35"/>
      <c r="N128" s="47">
        <f>ROUND((_11_A通院１８．０*_11・２人),0)</f>
        <v>1663</v>
      </c>
      <c r="O128" s="48"/>
    </row>
    <row r="129" spans="1:15" ht="16.5" customHeight="1" x14ac:dyDescent="0.15">
      <c r="A129" s="41">
        <v>11</v>
      </c>
      <c r="B129" s="41">
        <v>3173</v>
      </c>
      <c r="C129" s="74" t="s">
        <v>4568</v>
      </c>
      <c r="D129" s="709"/>
      <c r="E129" s="718"/>
      <c r="F129" s="752" t="s">
        <v>400</v>
      </c>
      <c r="G129" s="49" t="s">
        <v>398</v>
      </c>
      <c r="H129" s="50">
        <v>0.7</v>
      </c>
      <c r="I129" s="44"/>
      <c r="J129" s="45"/>
      <c r="K129" s="46"/>
      <c r="L129" s="35"/>
      <c r="N129" s="47">
        <f>ROUND((_11_A通院１８．０*_11・基礎１),0)</f>
        <v>1164</v>
      </c>
      <c r="O129" s="48"/>
    </row>
    <row r="130" spans="1:15" ht="16.5" customHeight="1" x14ac:dyDescent="0.15">
      <c r="A130" s="41">
        <v>11</v>
      </c>
      <c r="B130" s="41">
        <v>3174</v>
      </c>
      <c r="C130" s="74" t="s">
        <v>4569</v>
      </c>
      <c r="D130" s="100">
        <f>_11_A通院１８．０</f>
        <v>1663</v>
      </c>
      <c r="E130" s="12" t="s">
        <v>392</v>
      </c>
      <c r="F130" s="711"/>
      <c r="G130" s="37"/>
      <c r="H130" s="38"/>
      <c r="I130" s="44" t="s">
        <v>397</v>
      </c>
      <c r="J130" s="45" t="s">
        <v>398</v>
      </c>
      <c r="K130" s="46">
        <v>1</v>
      </c>
      <c r="L130" s="43"/>
      <c r="M130" s="37"/>
      <c r="N130" s="47">
        <f>ROUND((ROUND((_11_A通院１８．０*_11・基礎１),0)*_11・２人),0)</f>
        <v>1164</v>
      </c>
      <c r="O130" s="48"/>
    </row>
    <row r="131" spans="1:15" ht="16.5" customHeight="1" x14ac:dyDescent="0.15">
      <c r="A131" s="41">
        <v>11</v>
      </c>
      <c r="B131" s="41" t="s">
        <v>4570</v>
      </c>
      <c r="C131" s="74" t="s">
        <v>4571</v>
      </c>
      <c r="D131" s="72"/>
      <c r="E131" s="99"/>
      <c r="F131" s="53"/>
      <c r="G131" s="49"/>
      <c r="H131" s="50"/>
      <c r="I131" s="44"/>
      <c r="J131" s="45"/>
      <c r="K131" s="46"/>
      <c r="L131" s="707" t="s">
        <v>404</v>
      </c>
      <c r="M131" s="708"/>
      <c r="N131" s="47">
        <f>ROUND((_11_A通院１８．０*_11・初任),0)</f>
        <v>1164</v>
      </c>
      <c r="O131" s="48"/>
    </row>
    <row r="132" spans="1:15" ht="16.5" customHeight="1" x14ac:dyDescent="0.15">
      <c r="A132" s="41">
        <v>11</v>
      </c>
      <c r="B132" s="41" t="s">
        <v>4572</v>
      </c>
      <c r="C132" s="74" t="s">
        <v>4573</v>
      </c>
      <c r="D132" s="72"/>
      <c r="E132" s="99"/>
      <c r="F132" s="43"/>
      <c r="G132" s="37"/>
      <c r="H132" s="38"/>
      <c r="I132" s="44" t="s">
        <v>397</v>
      </c>
      <c r="J132" s="45" t="s">
        <v>398</v>
      </c>
      <c r="K132" s="46">
        <v>1</v>
      </c>
      <c r="L132" s="709"/>
      <c r="M132" s="704"/>
      <c r="N132" s="47">
        <f>ROUND((ROUND((_11_A通院１８．０*_11・２人),0)*_11・初任),0)</f>
        <v>1164</v>
      </c>
      <c r="O132" s="48"/>
    </row>
    <row r="133" spans="1:15" ht="16.5" customHeight="1" x14ac:dyDescent="0.15">
      <c r="A133" s="41">
        <v>11</v>
      </c>
      <c r="B133" s="41" t="s">
        <v>4574</v>
      </c>
      <c r="C133" s="74" t="s">
        <v>4575</v>
      </c>
      <c r="D133" s="72"/>
      <c r="E133" s="99"/>
      <c r="F133" s="752" t="s">
        <v>400</v>
      </c>
      <c r="G133" s="49" t="s">
        <v>398</v>
      </c>
      <c r="H133" s="50">
        <v>0.7</v>
      </c>
      <c r="I133" s="44"/>
      <c r="J133" s="45"/>
      <c r="K133" s="46"/>
      <c r="L133" s="709"/>
      <c r="M133" s="704"/>
      <c r="N133" s="47">
        <f>ROUND((ROUND((_11_A通院１８．０*_11・基礎１),0)*_11・初任),0)</f>
        <v>815</v>
      </c>
      <c r="O133" s="48"/>
    </row>
    <row r="134" spans="1:15" ht="16.5" customHeight="1" x14ac:dyDescent="0.15">
      <c r="A134" s="41">
        <v>11</v>
      </c>
      <c r="B134" s="41" t="s">
        <v>4576</v>
      </c>
      <c r="C134" s="74" t="s">
        <v>4577</v>
      </c>
      <c r="D134" s="72"/>
      <c r="E134" s="99"/>
      <c r="F134" s="711"/>
      <c r="G134" s="37"/>
      <c r="H134" s="38"/>
      <c r="I134" s="44" t="s">
        <v>397</v>
      </c>
      <c r="J134" s="45" t="s">
        <v>398</v>
      </c>
      <c r="K134" s="46">
        <v>1</v>
      </c>
      <c r="L134" s="55" t="s">
        <v>398</v>
      </c>
      <c r="M134" s="38">
        <f>_11・初任</f>
        <v>0.7</v>
      </c>
      <c r="N134" s="47">
        <f>ROUND((ROUND((ROUND((_11_A通院１８．０*_11・基礎１),0)*_11・２人),0)*_11・初任),0)</f>
        <v>815</v>
      </c>
      <c r="O134" s="48"/>
    </row>
    <row r="135" spans="1:15" ht="16.5" customHeight="1" x14ac:dyDescent="0.15">
      <c r="A135" s="41">
        <v>11</v>
      </c>
      <c r="B135" s="41">
        <v>3175</v>
      </c>
      <c r="C135" s="74" t="s">
        <v>4578</v>
      </c>
      <c r="D135" s="707" t="s">
        <v>607</v>
      </c>
      <c r="E135" s="717"/>
      <c r="F135" s="53"/>
      <c r="G135" s="49"/>
      <c r="H135" s="50"/>
      <c r="I135" s="44"/>
      <c r="J135" s="45"/>
      <c r="K135" s="46"/>
      <c r="L135" s="53"/>
      <c r="M135" s="49"/>
      <c r="N135" s="47">
        <f>_11_A通院１８．５</f>
        <v>1746</v>
      </c>
      <c r="O135" s="48"/>
    </row>
    <row r="136" spans="1:15" ht="16.5" customHeight="1" x14ac:dyDescent="0.15">
      <c r="A136" s="41">
        <v>11</v>
      </c>
      <c r="B136" s="41">
        <v>3176</v>
      </c>
      <c r="C136" s="74" t="s">
        <v>4579</v>
      </c>
      <c r="D136" s="709"/>
      <c r="E136" s="718"/>
      <c r="F136" s="43"/>
      <c r="G136" s="37"/>
      <c r="H136" s="38"/>
      <c r="I136" s="44" t="s">
        <v>397</v>
      </c>
      <c r="J136" s="45" t="s">
        <v>398</v>
      </c>
      <c r="K136" s="46">
        <v>1</v>
      </c>
      <c r="L136" s="35"/>
      <c r="N136" s="47">
        <f>ROUND((_11_A通院１８．５*_11・２人),0)</f>
        <v>1746</v>
      </c>
      <c r="O136" s="48"/>
    </row>
    <row r="137" spans="1:15" ht="16.5" customHeight="1" x14ac:dyDescent="0.15">
      <c r="A137" s="41">
        <v>11</v>
      </c>
      <c r="B137" s="41">
        <v>3177</v>
      </c>
      <c r="C137" s="74" t="s">
        <v>4580</v>
      </c>
      <c r="D137" s="709"/>
      <c r="E137" s="718"/>
      <c r="F137" s="752" t="s">
        <v>400</v>
      </c>
      <c r="G137" s="49" t="s">
        <v>398</v>
      </c>
      <c r="H137" s="50">
        <v>0.7</v>
      </c>
      <c r="I137" s="44"/>
      <c r="J137" s="45"/>
      <c r="K137" s="46"/>
      <c r="L137" s="35"/>
      <c r="N137" s="47">
        <f>ROUND((_11_A通院１８．５*_11・基礎１),0)</f>
        <v>1222</v>
      </c>
      <c r="O137" s="48"/>
    </row>
    <row r="138" spans="1:15" ht="16.5" customHeight="1" x14ac:dyDescent="0.15">
      <c r="A138" s="41">
        <v>11</v>
      </c>
      <c r="B138" s="41">
        <v>3178</v>
      </c>
      <c r="C138" s="74" t="s">
        <v>4581</v>
      </c>
      <c r="D138" s="100">
        <f>_11_A通院１８．５</f>
        <v>1746</v>
      </c>
      <c r="E138" s="12" t="s">
        <v>392</v>
      </c>
      <c r="F138" s="711"/>
      <c r="G138" s="37"/>
      <c r="H138" s="38"/>
      <c r="I138" s="44" t="s">
        <v>397</v>
      </c>
      <c r="J138" s="45" t="s">
        <v>398</v>
      </c>
      <c r="K138" s="46">
        <v>1</v>
      </c>
      <c r="L138" s="43"/>
      <c r="M138" s="37"/>
      <c r="N138" s="47">
        <f>ROUND((ROUND((_11_A通院１８．５*_11・基礎１),0)*_11・２人),0)</f>
        <v>1222</v>
      </c>
      <c r="O138" s="48"/>
    </row>
    <row r="139" spans="1:15" ht="16.5" customHeight="1" x14ac:dyDescent="0.15">
      <c r="A139" s="41">
        <v>11</v>
      </c>
      <c r="B139" s="41" t="s">
        <v>4582</v>
      </c>
      <c r="C139" s="74" t="s">
        <v>4583</v>
      </c>
      <c r="D139" s="72"/>
      <c r="E139" s="99"/>
      <c r="F139" s="53"/>
      <c r="G139" s="49"/>
      <c r="H139" s="50"/>
      <c r="I139" s="44"/>
      <c r="J139" s="45"/>
      <c r="K139" s="46"/>
      <c r="L139" s="707" t="s">
        <v>404</v>
      </c>
      <c r="M139" s="708"/>
      <c r="N139" s="47">
        <f>ROUND((_11_A通院１８．５*_11・初任),0)</f>
        <v>1222</v>
      </c>
      <c r="O139" s="48"/>
    </row>
    <row r="140" spans="1:15" ht="16.5" customHeight="1" x14ac:dyDescent="0.15">
      <c r="A140" s="41">
        <v>11</v>
      </c>
      <c r="B140" s="41" t="s">
        <v>4584</v>
      </c>
      <c r="C140" s="74" t="s">
        <v>4585</v>
      </c>
      <c r="D140" s="72"/>
      <c r="E140" s="99"/>
      <c r="F140" s="43"/>
      <c r="G140" s="37"/>
      <c r="H140" s="38"/>
      <c r="I140" s="44" t="s">
        <v>397</v>
      </c>
      <c r="J140" s="45" t="s">
        <v>398</v>
      </c>
      <c r="K140" s="46">
        <v>1</v>
      </c>
      <c r="L140" s="709"/>
      <c r="M140" s="704"/>
      <c r="N140" s="47">
        <f>ROUND((ROUND((_11_A通院１８．５*_11・２人),0)*_11・初任),0)</f>
        <v>1222</v>
      </c>
      <c r="O140" s="48"/>
    </row>
    <row r="141" spans="1:15" ht="16.5" customHeight="1" x14ac:dyDescent="0.15">
      <c r="A141" s="41">
        <v>11</v>
      </c>
      <c r="B141" s="41" t="s">
        <v>4586</v>
      </c>
      <c r="C141" s="74" t="s">
        <v>4587</v>
      </c>
      <c r="D141" s="72"/>
      <c r="E141" s="99"/>
      <c r="F141" s="752" t="s">
        <v>400</v>
      </c>
      <c r="G141" s="49" t="s">
        <v>398</v>
      </c>
      <c r="H141" s="50">
        <v>0.7</v>
      </c>
      <c r="I141" s="44"/>
      <c r="J141" s="45"/>
      <c r="K141" s="46"/>
      <c r="L141" s="709"/>
      <c r="M141" s="704"/>
      <c r="N141" s="47">
        <f>ROUND((ROUND((_11_A通院１８．５*_11・基礎１),0)*_11・初任),0)</f>
        <v>855</v>
      </c>
      <c r="O141" s="48"/>
    </row>
    <row r="142" spans="1:15" ht="16.5" customHeight="1" x14ac:dyDescent="0.15">
      <c r="A142" s="41">
        <v>11</v>
      </c>
      <c r="B142" s="41" t="s">
        <v>4588</v>
      </c>
      <c r="C142" s="74" t="s">
        <v>4589</v>
      </c>
      <c r="D142" s="122"/>
      <c r="E142" s="111"/>
      <c r="F142" s="711"/>
      <c r="G142" s="37"/>
      <c r="H142" s="38"/>
      <c r="I142" s="44" t="s">
        <v>397</v>
      </c>
      <c r="J142" s="45" t="s">
        <v>398</v>
      </c>
      <c r="K142" s="46">
        <v>1</v>
      </c>
      <c r="L142" s="55" t="s">
        <v>398</v>
      </c>
      <c r="M142" s="38">
        <f>_11・初任</f>
        <v>0.7</v>
      </c>
      <c r="N142" s="47">
        <f>ROUND((ROUND((ROUND((_11_A通院１８．５*_11・基礎１),0)*_11・２人),0)*_11・初任),0)</f>
        <v>855</v>
      </c>
      <c r="O142" s="63"/>
    </row>
    <row r="143" spans="1:15" ht="16.5" customHeight="1" x14ac:dyDescent="0.15">
      <c r="A143" s="33">
        <v>11</v>
      </c>
      <c r="B143" s="33">
        <v>3179</v>
      </c>
      <c r="C143" s="34" t="s">
        <v>4590</v>
      </c>
      <c r="D143" s="709" t="s">
        <v>620</v>
      </c>
      <c r="E143" s="718"/>
      <c r="F143" s="35"/>
      <c r="I143" s="36"/>
      <c r="J143" s="37"/>
      <c r="K143" s="38"/>
      <c r="L143" s="35"/>
      <c r="N143" s="39">
        <f>_11_A通院１９．０</f>
        <v>1829</v>
      </c>
      <c r="O143" s="48"/>
    </row>
    <row r="144" spans="1:15" ht="16.5" customHeight="1" x14ac:dyDescent="0.15">
      <c r="A144" s="41">
        <v>11</v>
      </c>
      <c r="B144" s="41">
        <v>3180</v>
      </c>
      <c r="C144" s="74" t="s">
        <v>4591</v>
      </c>
      <c r="D144" s="709"/>
      <c r="E144" s="718"/>
      <c r="F144" s="43"/>
      <c r="G144" s="37"/>
      <c r="H144" s="38"/>
      <c r="I144" s="44" t="s">
        <v>397</v>
      </c>
      <c r="J144" s="45" t="s">
        <v>398</v>
      </c>
      <c r="K144" s="46">
        <v>1</v>
      </c>
      <c r="L144" s="35"/>
      <c r="N144" s="47">
        <f>ROUND((_11_A通院１９．０*_11・２人),0)</f>
        <v>1829</v>
      </c>
      <c r="O144" s="48"/>
    </row>
    <row r="145" spans="1:15" ht="16.5" customHeight="1" x14ac:dyDescent="0.15">
      <c r="A145" s="41">
        <v>11</v>
      </c>
      <c r="B145" s="41">
        <v>3181</v>
      </c>
      <c r="C145" s="74" t="s">
        <v>4592</v>
      </c>
      <c r="D145" s="709"/>
      <c r="E145" s="718"/>
      <c r="F145" s="752" t="s">
        <v>400</v>
      </c>
      <c r="G145" s="49" t="s">
        <v>398</v>
      </c>
      <c r="H145" s="50">
        <v>0.7</v>
      </c>
      <c r="I145" s="44"/>
      <c r="J145" s="45"/>
      <c r="K145" s="46"/>
      <c r="L145" s="35"/>
      <c r="N145" s="47">
        <f>ROUND((_11_A通院１９．０*_11・基礎１),0)</f>
        <v>1280</v>
      </c>
      <c r="O145" s="48"/>
    </row>
    <row r="146" spans="1:15" ht="16.5" customHeight="1" x14ac:dyDescent="0.15">
      <c r="A146" s="41">
        <v>11</v>
      </c>
      <c r="B146" s="41">
        <v>3182</v>
      </c>
      <c r="C146" s="74" t="s">
        <v>4593</v>
      </c>
      <c r="D146" s="100">
        <f>_11_A通院１９．０</f>
        <v>1829</v>
      </c>
      <c r="E146" s="12" t="s">
        <v>392</v>
      </c>
      <c r="F146" s="711"/>
      <c r="G146" s="37"/>
      <c r="H146" s="38"/>
      <c r="I146" s="44" t="s">
        <v>397</v>
      </c>
      <c r="J146" s="45" t="s">
        <v>398</v>
      </c>
      <c r="K146" s="46">
        <v>1</v>
      </c>
      <c r="L146" s="43"/>
      <c r="M146" s="37"/>
      <c r="N146" s="47">
        <f>ROUND((ROUND((_11_A通院１９．０*_11・基礎１),0)*_11・２人),0)</f>
        <v>1280</v>
      </c>
      <c r="O146" s="48"/>
    </row>
    <row r="147" spans="1:15" ht="16.5" customHeight="1" x14ac:dyDescent="0.15">
      <c r="A147" s="41">
        <v>11</v>
      </c>
      <c r="B147" s="41" t="s">
        <v>4594</v>
      </c>
      <c r="C147" s="74" t="s">
        <v>4595</v>
      </c>
      <c r="D147" s="72"/>
      <c r="E147" s="99"/>
      <c r="F147" s="53"/>
      <c r="G147" s="49"/>
      <c r="H147" s="50"/>
      <c r="I147" s="44"/>
      <c r="J147" s="45"/>
      <c r="K147" s="46"/>
      <c r="L147" s="707" t="s">
        <v>404</v>
      </c>
      <c r="M147" s="708"/>
      <c r="N147" s="47">
        <f>ROUND((_11_A通院１９．０*_11・初任),0)</f>
        <v>1280</v>
      </c>
      <c r="O147" s="48"/>
    </row>
    <row r="148" spans="1:15" ht="16.5" customHeight="1" x14ac:dyDescent="0.15">
      <c r="A148" s="41">
        <v>11</v>
      </c>
      <c r="B148" s="41" t="s">
        <v>4596</v>
      </c>
      <c r="C148" s="74" t="s">
        <v>4597</v>
      </c>
      <c r="D148" s="72"/>
      <c r="E148" s="99"/>
      <c r="F148" s="43"/>
      <c r="G148" s="37"/>
      <c r="H148" s="38"/>
      <c r="I148" s="44" t="s">
        <v>397</v>
      </c>
      <c r="J148" s="45" t="s">
        <v>398</v>
      </c>
      <c r="K148" s="46">
        <v>1</v>
      </c>
      <c r="L148" s="709"/>
      <c r="M148" s="704"/>
      <c r="N148" s="47">
        <f>ROUND((ROUND((_11_A通院１９．０*_11・２人),0)*_11・初任),0)</f>
        <v>1280</v>
      </c>
      <c r="O148" s="48"/>
    </row>
    <row r="149" spans="1:15" ht="16.5" customHeight="1" x14ac:dyDescent="0.15">
      <c r="A149" s="41">
        <v>11</v>
      </c>
      <c r="B149" s="41" t="s">
        <v>4598</v>
      </c>
      <c r="C149" s="74" t="s">
        <v>4599</v>
      </c>
      <c r="D149" s="72"/>
      <c r="E149" s="99"/>
      <c r="F149" s="752" t="s">
        <v>400</v>
      </c>
      <c r="G149" s="49" t="s">
        <v>398</v>
      </c>
      <c r="H149" s="50">
        <v>0.7</v>
      </c>
      <c r="I149" s="44"/>
      <c r="J149" s="45"/>
      <c r="K149" s="46"/>
      <c r="L149" s="709"/>
      <c r="M149" s="704"/>
      <c r="N149" s="47">
        <f>ROUND((ROUND((_11_A通院１９．０*_11・基礎１),0)*_11・初任),0)</f>
        <v>896</v>
      </c>
      <c r="O149" s="48"/>
    </row>
    <row r="150" spans="1:15" ht="16.5" customHeight="1" x14ac:dyDescent="0.15">
      <c r="A150" s="41">
        <v>11</v>
      </c>
      <c r="B150" s="41" t="s">
        <v>4600</v>
      </c>
      <c r="C150" s="74" t="s">
        <v>4601</v>
      </c>
      <c r="D150" s="72"/>
      <c r="E150" s="99"/>
      <c r="F150" s="711"/>
      <c r="G150" s="37"/>
      <c r="H150" s="38"/>
      <c r="I150" s="44" t="s">
        <v>397</v>
      </c>
      <c r="J150" s="45" t="s">
        <v>398</v>
      </c>
      <c r="K150" s="46">
        <v>1</v>
      </c>
      <c r="L150" s="55" t="s">
        <v>398</v>
      </c>
      <c r="M150" s="38">
        <f>_11・初任</f>
        <v>0.7</v>
      </c>
      <c r="N150" s="47">
        <f>ROUND((ROUND((ROUND((_11_A通院１９．０*_11・基礎１),0)*_11・２人),0)*_11・初任),0)</f>
        <v>896</v>
      </c>
      <c r="O150" s="48"/>
    </row>
    <row r="151" spans="1:15" ht="16.5" customHeight="1" x14ac:dyDescent="0.15">
      <c r="A151" s="41">
        <v>11</v>
      </c>
      <c r="B151" s="41">
        <v>3183</v>
      </c>
      <c r="C151" s="74" t="s">
        <v>4602</v>
      </c>
      <c r="D151" s="707" t="s">
        <v>633</v>
      </c>
      <c r="E151" s="717"/>
      <c r="F151" s="53"/>
      <c r="G151" s="49"/>
      <c r="H151" s="50"/>
      <c r="I151" s="44"/>
      <c r="J151" s="45"/>
      <c r="K151" s="46"/>
      <c r="L151" s="53"/>
      <c r="M151" s="49"/>
      <c r="N151" s="47">
        <f>_11_A通院１９．５</f>
        <v>1912</v>
      </c>
      <c r="O151" s="48"/>
    </row>
    <row r="152" spans="1:15" ht="16.5" customHeight="1" x14ac:dyDescent="0.15">
      <c r="A152" s="41">
        <v>11</v>
      </c>
      <c r="B152" s="41">
        <v>3184</v>
      </c>
      <c r="C152" s="74" t="s">
        <v>4603</v>
      </c>
      <c r="D152" s="709"/>
      <c r="E152" s="718"/>
      <c r="F152" s="43"/>
      <c r="G152" s="37"/>
      <c r="H152" s="38"/>
      <c r="I152" s="44" t="s">
        <v>397</v>
      </c>
      <c r="J152" s="45" t="s">
        <v>398</v>
      </c>
      <c r="K152" s="46">
        <v>1</v>
      </c>
      <c r="L152" s="35"/>
      <c r="N152" s="47">
        <f>ROUND((_11_A通院１９．５*_11・２人),0)</f>
        <v>1912</v>
      </c>
      <c r="O152" s="48"/>
    </row>
    <row r="153" spans="1:15" ht="16.5" customHeight="1" x14ac:dyDescent="0.15">
      <c r="A153" s="41">
        <v>11</v>
      </c>
      <c r="B153" s="41">
        <v>3185</v>
      </c>
      <c r="C153" s="74" t="s">
        <v>4604</v>
      </c>
      <c r="D153" s="709"/>
      <c r="E153" s="718"/>
      <c r="F153" s="752" t="s">
        <v>400</v>
      </c>
      <c r="G153" s="49" t="s">
        <v>398</v>
      </c>
      <c r="H153" s="50">
        <v>0.7</v>
      </c>
      <c r="I153" s="44"/>
      <c r="J153" s="45"/>
      <c r="K153" s="46"/>
      <c r="L153" s="35"/>
      <c r="N153" s="47">
        <f>ROUND((_11_A通院１９．５*_11・基礎１),0)</f>
        <v>1338</v>
      </c>
      <c r="O153" s="48"/>
    </row>
    <row r="154" spans="1:15" ht="16.5" customHeight="1" x14ac:dyDescent="0.15">
      <c r="A154" s="41">
        <v>11</v>
      </c>
      <c r="B154" s="41">
        <v>3186</v>
      </c>
      <c r="C154" s="74" t="s">
        <v>4605</v>
      </c>
      <c r="D154" s="100">
        <f>_11_A通院１９．５</f>
        <v>1912</v>
      </c>
      <c r="E154" s="12" t="s">
        <v>392</v>
      </c>
      <c r="F154" s="711"/>
      <c r="G154" s="37"/>
      <c r="H154" s="38"/>
      <c r="I154" s="44" t="s">
        <v>397</v>
      </c>
      <c r="J154" s="45" t="s">
        <v>398</v>
      </c>
      <c r="K154" s="46">
        <v>1</v>
      </c>
      <c r="L154" s="43"/>
      <c r="M154" s="37"/>
      <c r="N154" s="47">
        <f>ROUND((ROUND((_11_A通院１９．５*_11・基礎１),0)*_11・２人),0)</f>
        <v>1338</v>
      </c>
      <c r="O154" s="48"/>
    </row>
    <row r="155" spans="1:15" ht="16.5" customHeight="1" x14ac:dyDescent="0.15">
      <c r="A155" s="41">
        <v>11</v>
      </c>
      <c r="B155" s="41" t="s">
        <v>4606</v>
      </c>
      <c r="C155" s="74" t="s">
        <v>4607</v>
      </c>
      <c r="D155" s="72"/>
      <c r="E155" s="99"/>
      <c r="F155" s="53"/>
      <c r="G155" s="49"/>
      <c r="H155" s="50"/>
      <c r="I155" s="44"/>
      <c r="J155" s="45"/>
      <c r="K155" s="46"/>
      <c r="L155" s="707" t="s">
        <v>404</v>
      </c>
      <c r="M155" s="708"/>
      <c r="N155" s="47">
        <f>ROUND((_11_A通院１９．５*_11・初任),0)</f>
        <v>1338</v>
      </c>
      <c r="O155" s="48"/>
    </row>
    <row r="156" spans="1:15" ht="16.5" customHeight="1" x14ac:dyDescent="0.15">
      <c r="A156" s="41">
        <v>11</v>
      </c>
      <c r="B156" s="41" t="s">
        <v>4608</v>
      </c>
      <c r="C156" s="74" t="s">
        <v>4609</v>
      </c>
      <c r="D156" s="72"/>
      <c r="E156" s="99"/>
      <c r="F156" s="43"/>
      <c r="G156" s="37"/>
      <c r="H156" s="38"/>
      <c r="I156" s="44" t="s">
        <v>397</v>
      </c>
      <c r="J156" s="45" t="s">
        <v>398</v>
      </c>
      <c r="K156" s="46">
        <v>1</v>
      </c>
      <c r="L156" s="709"/>
      <c r="M156" s="704"/>
      <c r="N156" s="47">
        <f>ROUND((ROUND((_11_A通院１９．５*_11・２人),0)*_11・初任),0)</f>
        <v>1338</v>
      </c>
      <c r="O156" s="48"/>
    </row>
    <row r="157" spans="1:15" ht="16.5" customHeight="1" x14ac:dyDescent="0.15">
      <c r="A157" s="41">
        <v>11</v>
      </c>
      <c r="B157" s="41" t="s">
        <v>4610</v>
      </c>
      <c r="C157" s="74" t="s">
        <v>4611</v>
      </c>
      <c r="D157" s="72"/>
      <c r="E157" s="99"/>
      <c r="F157" s="752" t="s">
        <v>400</v>
      </c>
      <c r="G157" s="49" t="s">
        <v>398</v>
      </c>
      <c r="H157" s="50">
        <v>0.7</v>
      </c>
      <c r="I157" s="44"/>
      <c r="J157" s="45"/>
      <c r="K157" s="46"/>
      <c r="L157" s="709"/>
      <c r="M157" s="704"/>
      <c r="N157" s="47">
        <f>ROUND((ROUND((_11_A通院１９．５*_11・基礎１),0)*_11・初任),0)</f>
        <v>937</v>
      </c>
      <c r="O157" s="48"/>
    </row>
    <row r="158" spans="1:15" ht="16.5" customHeight="1" x14ac:dyDescent="0.15">
      <c r="A158" s="41">
        <v>11</v>
      </c>
      <c r="B158" s="41" t="s">
        <v>4612</v>
      </c>
      <c r="C158" s="74" t="s">
        <v>4613</v>
      </c>
      <c r="D158" s="72"/>
      <c r="E158" s="99"/>
      <c r="F158" s="711"/>
      <c r="G158" s="37"/>
      <c r="H158" s="38"/>
      <c r="I158" s="44" t="s">
        <v>397</v>
      </c>
      <c r="J158" s="45" t="s">
        <v>398</v>
      </c>
      <c r="K158" s="46">
        <v>1</v>
      </c>
      <c r="L158" s="55" t="s">
        <v>398</v>
      </c>
      <c r="M158" s="38">
        <f>_11・初任</f>
        <v>0.7</v>
      </c>
      <c r="N158" s="47">
        <f>ROUND((ROUND((ROUND((_11_A通院１９．５*_11・基礎１),0)*_11・２人),0)*_11・初任),0)</f>
        <v>937</v>
      </c>
      <c r="O158" s="48"/>
    </row>
    <row r="159" spans="1:15" ht="16.5" customHeight="1" x14ac:dyDescent="0.15">
      <c r="A159" s="41">
        <v>11</v>
      </c>
      <c r="B159" s="41">
        <v>3187</v>
      </c>
      <c r="C159" s="74" t="s">
        <v>4614</v>
      </c>
      <c r="D159" s="707" t="s">
        <v>646</v>
      </c>
      <c r="E159" s="717"/>
      <c r="F159" s="53"/>
      <c r="G159" s="49"/>
      <c r="H159" s="50"/>
      <c r="I159" s="44"/>
      <c r="J159" s="45"/>
      <c r="K159" s="46"/>
      <c r="L159" s="53"/>
      <c r="M159" s="49"/>
      <c r="N159" s="47">
        <f>_11_A通院１１０．０</f>
        <v>1995</v>
      </c>
      <c r="O159" s="48"/>
    </row>
    <row r="160" spans="1:15" ht="16.5" customHeight="1" x14ac:dyDescent="0.15">
      <c r="A160" s="41">
        <v>11</v>
      </c>
      <c r="B160" s="41">
        <v>3188</v>
      </c>
      <c r="C160" s="74" t="s">
        <v>4615</v>
      </c>
      <c r="D160" s="709"/>
      <c r="E160" s="718"/>
      <c r="F160" s="43"/>
      <c r="G160" s="37"/>
      <c r="H160" s="38"/>
      <c r="I160" s="44" t="s">
        <v>397</v>
      </c>
      <c r="J160" s="45" t="s">
        <v>398</v>
      </c>
      <c r="K160" s="46">
        <v>1</v>
      </c>
      <c r="L160" s="35"/>
      <c r="N160" s="47">
        <f>ROUND((_11_A通院１１０．０*_11・２人),0)</f>
        <v>1995</v>
      </c>
      <c r="O160" s="48"/>
    </row>
    <row r="161" spans="1:15" ht="16.5" customHeight="1" x14ac:dyDescent="0.15">
      <c r="A161" s="41">
        <v>11</v>
      </c>
      <c r="B161" s="41">
        <v>3189</v>
      </c>
      <c r="C161" s="74" t="s">
        <v>4616</v>
      </c>
      <c r="D161" s="709"/>
      <c r="E161" s="718"/>
      <c r="F161" s="752" t="s">
        <v>400</v>
      </c>
      <c r="G161" s="49" t="s">
        <v>398</v>
      </c>
      <c r="H161" s="50">
        <v>0.7</v>
      </c>
      <c r="I161" s="44"/>
      <c r="J161" s="45"/>
      <c r="K161" s="46"/>
      <c r="L161" s="35"/>
      <c r="N161" s="47">
        <f>ROUND((_11_A通院１１０．０*_11・基礎１),0)</f>
        <v>1397</v>
      </c>
      <c r="O161" s="48"/>
    </row>
    <row r="162" spans="1:15" ht="16.5" customHeight="1" x14ac:dyDescent="0.15">
      <c r="A162" s="41">
        <v>11</v>
      </c>
      <c r="B162" s="41">
        <v>3190</v>
      </c>
      <c r="C162" s="74" t="s">
        <v>4617</v>
      </c>
      <c r="D162" s="100">
        <f>_11_A通院１１０．０</f>
        <v>1995</v>
      </c>
      <c r="E162" s="12" t="s">
        <v>392</v>
      </c>
      <c r="F162" s="711"/>
      <c r="G162" s="37"/>
      <c r="H162" s="38"/>
      <c r="I162" s="44" t="s">
        <v>397</v>
      </c>
      <c r="J162" s="45" t="s">
        <v>398</v>
      </c>
      <c r="K162" s="46">
        <v>1</v>
      </c>
      <c r="L162" s="43"/>
      <c r="M162" s="37"/>
      <c r="N162" s="47">
        <f>ROUND((ROUND((_11_A通院１１０．０*_11・基礎１),0)*_11・２人),0)</f>
        <v>1397</v>
      </c>
      <c r="O162" s="48"/>
    </row>
    <row r="163" spans="1:15" ht="16.5" customHeight="1" x14ac:dyDescent="0.15">
      <c r="A163" s="41">
        <v>11</v>
      </c>
      <c r="B163" s="41" t="s">
        <v>4618</v>
      </c>
      <c r="C163" s="74" t="s">
        <v>4619</v>
      </c>
      <c r="D163" s="72"/>
      <c r="E163" s="99"/>
      <c r="F163" s="53"/>
      <c r="G163" s="49"/>
      <c r="H163" s="50"/>
      <c r="I163" s="44"/>
      <c r="J163" s="45"/>
      <c r="K163" s="46"/>
      <c r="L163" s="707" t="s">
        <v>404</v>
      </c>
      <c r="M163" s="708"/>
      <c r="N163" s="47">
        <f>ROUND((_11_A通院１１０．０*_11・初任),0)</f>
        <v>1397</v>
      </c>
      <c r="O163" s="48"/>
    </row>
    <row r="164" spans="1:15" ht="16.5" customHeight="1" x14ac:dyDescent="0.15">
      <c r="A164" s="41">
        <v>11</v>
      </c>
      <c r="B164" s="41" t="s">
        <v>4620</v>
      </c>
      <c r="C164" s="74" t="s">
        <v>4621</v>
      </c>
      <c r="D164" s="72"/>
      <c r="E164" s="99"/>
      <c r="F164" s="43"/>
      <c r="G164" s="37"/>
      <c r="H164" s="38"/>
      <c r="I164" s="44" t="s">
        <v>397</v>
      </c>
      <c r="J164" s="45" t="s">
        <v>398</v>
      </c>
      <c r="K164" s="46">
        <v>1</v>
      </c>
      <c r="L164" s="709"/>
      <c r="M164" s="704"/>
      <c r="N164" s="47">
        <f>ROUND((ROUND((_11_A通院１１０．０*_11・２人),0)*_11・初任),0)</f>
        <v>1397</v>
      </c>
      <c r="O164" s="48"/>
    </row>
    <row r="165" spans="1:15" ht="16.5" customHeight="1" x14ac:dyDescent="0.15">
      <c r="A165" s="41">
        <v>11</v>
      </c>
      <c r="B165" s="41" t="s">
        <v>4622</v>
      </c>
      <c r="C165" s="74" t="s">
        <v>4623</v>
      </c>
      <c r="D165" s="72"/>
      <c r="E165" s="99"/>
      <c r="F165" s="752" t="s">
        <v>400</v>
      </c>
      <c r="G165" s="49" t="s">
        <v>398</v>
      </c>
      <c r="H165" s="50">
        <v>0.7</v>
      </c>
      <c r="I165" s="44"/>
      <c r="J165" s="45"/>
      <c r="K165" s="46"/>
      <c r="L165" s="709"/>
      <c r="M165" s="704"/>
      <c r="N165" s="47">
        <f>ROUND((ROUND((_11_A通院１１０．０*_11・基礎１),0)*_11・初任),0)</f>
        <v>978</v>
      </c>
      <c r="O165" s="48"/>
    </row>
    <row r="166" spans="1:15" ht="16.5" customHeight="1" x14ac:dyDescent="0.15">
      <c r="A166" s="41">
        <v>11</v>
      </c>
      <c r="B166" s="41" t="s">
        <v>4624</v>
      </c>
      <c r="C166" s="74" t="s">
        <v>4625</v>
      </c>
      <c r="D166" s="72"/>
      <c r="E166" s="99"/>
      <c r="F166" s="711"/>
      <c r="G166" s="37"/>
      <c r="H166" s="38"/>
      <c r="I166" s="44" t="s">
        <v>397</v>
      </c>
      <c r="J166" s="45" t="s">
        <v>398</v>
      </c>
      <c r="K166" s="46">
        <v>1</v>
      </c>
      <c r="L166" s="55" t="s">
        <v>398</v>
      </c>
      <c r="M166" s="38">
        <f>_11・初任</f>
        <v>0.7</v>
      </c>
      <c r="N166" s="47">
        <f>ROUND((ROUND((ROUND((_11_A通院１１０．０*_11・基礎１),0)*_11・２人),0)*_11・初任),0)</f>
        <v>978</v>
      </c>
      <c r="O166" s="48"/>
    </row>
    <row r="167" spans="1:15" ht="16.5" customHeight="1" x14ac:dyDescent="0.15">
      <c r="A167" s="41">
        <v>11</v>
      </c>
      <c r="B167" s="41">
        <v>3191</v>
      </c>
      <c r="C167" s="74" t="s">
        <v>4626</v>
      </c>
      <c r="D167" s="753" t="s">
        <v>659</v>
      </c>
      <c r="E167" s="714"/>
      <c r="F167" s="53"/>
      <c r="G167" s="49"/>
      <c r="H167" s="50"/>
      <c r="I167" s="44"/>
      <c r="J167" s="45"/>
      <c r="K167" s="46"/>
      <c r="L167" s="53"/>
      <c r="M167" s="49"/>
      <c r="N167" s="47">
        <f>_11_A通院１１０．５</f>
        <v>2078</v>
      </c>
      <c r="O167" s="48"/>
    </row>
    <row r="168" spans="1:15" ht="16.5" customHeight="1" x14ac:dyDescent="0.15">
      <c r="A168" s="41">
        <v>11</v>
      </c>
      <c r="B168" s="41">
        <v>3192</v>
      </c>
      <c r="C168" s="74" t="s">
        <v>4627</v>
      </c>
      <c r="D168" s="754"/>
      <c r="E168" s="716"/>
      <c r="F168" s="43"/>
      <c r="G168" s="37"/>
      <c r="H168" s="38"/>
      <c r="I168" s="44" t="s">
        <v>397</v>
      </c>
      <c r="J168" s="45" t="s">
        <v>398</v>
      </c>
      <c r="K168" s="46">
        <v>1</v>
      </c>
      <c r="L168" s="35"/>
      <c r="N168" s="47">
        <f>ROUND((_11_A通院１１０．５*_11・２人),0)</f>
        <v>2078</v>
      </c>
      <c r="O168" s="48"/>
    </row>
    <row r="169" spans="1:15" ht="16.5" customHeight="1" x14ac:dyDescent="0.15">
      <c r="A169" s="41">
        <v>11</v>
      </c>
      <c r="B169" s="41">
        <v>3193</v>
      </c>
      <c r="C169" s="74" t="s">
        <v>4628</v>
      </c>
      <c r="D169" s="754"/>
      <c r="E169" s="716"/>
      <c r="F169" s="752" t="s">
        <v>400</v>
      </c>
      <c r="G169" s="49" t="s">
        <v>398</v>
      </c>
      <c r="H169" s="50">
        <v>0.7</v>
      </c>
      <c r="I169" s="44"/>
      <c r="J169" s="45"/>
      <c r="K169" s="46"/>
      <c r="L169" s="35"/>
      <c r="N169" s="47">
        <f>ROUND((_11_A通院１１０．５*_11・基礎１),0)</f>
        <v>1455</v>
      </c>
      <c r="O169" s="48"/>
    </row>
    <row r="170" spans="1:15" ht="16.5" customHeight="1" x14ac:dyDescent="0.15">
      <c r="A170" s="41">
        <v>11</v>
      </c>
      <c r="B170" s="41">
        <v>3194</v>
      </c>
      <c r="C170" s="74" t="s">
        <v>4629</v>
      </c>
      <c r="D170" s="100">
        <f>_11_A通院１１０．５</f>
        <v>2078</v>
      </c>
      <c r="E170" s="12" t="s">
        <v>392</v>
      </c>
      <c r="F170" s="711"/>
      <c r="G170" s="37"/>
      <c r="H170" s="38"/>
      <c r="I170" s="44" t="s">
        <v>397</v>
      </c>
      <c r="J170" s="45" t="s">
        <v>398</v>
      </c>
      <c r="K170" s="46">
        <v>1</v>
      </c>
      <c r="L170" s="43"/>
      <c r="M170" s="37"/>
      <c r="N170" s="47">
        <f>ROUND((ROUND((_11_A通院１１０．５*_11・基礎１),0)*_11・２人),0)</f>
        <v>1455</v>
      </c>
      <c r="O170" s="48"/>
    </row>
    <row r="171" spans="1:15" ht="16.5" customHeight="1" x14ac:dyDescent="0.15">
      <c r="A171" s="41">
        <v>11</v>
      </c>
      <c r="B171" s="41" t="s">
        <v>4630</v>
      </c>
      <c r="C171" s="74" t="s">
        <v>4631</v>
      </c>
      <c r="D171" s="72"/>
      <c r="E171" s="99"/>
      <c r="F171" s="53"/>
      <c r="G171" s="49"/>
      <c r="H171" s="50"/>
      <c r="I171" s="44"/>
      <c r="J171" s="45"/>
      <c r="K171" s="46"/>
      <c r="L171" s="707" t="s">
        <v>404</v>
      </c>
      <c r="M171" s="708"/>
      <c r="N171" s="47">
        <f>ROUND((_11_A通院１１０．５*_11・初任),0)</f>
        <v>1455</v>
      </c>
      <c r="O171" s="48"/>
    </row>
    <row r="172" spans="1:15" ht="16.5" customHeight="1" x14ac:dyDescent="0.15">
      <c r="A172" s="41">
        <v>11</v>
      </c>
      <c r="B172" s="41" t="s">
        <v>4632</v>
      </c>
      <c r="C172" s="74" t="s">
        <v>4633</v>
      </c>
      <c r="D172" s="72"/>
      <c r="E172" s="99"/>
      <c r="F172" s="43"/>
      <c r="G172" s="37"/>
      <c r="H172" s="38"/>
      <c r="I172" s="44" t="s">
        <v>397</v>
      </c>
      <c r="J172" s="45" t="s">
        <v>398</v>
      </c>
      <c r="K172" s="46">
        <v>1</v>
      </c>
      <c r="L172" s="709"/>
      <c r="M172" s="704"/>
      <c r="N172" s="47">
        <f>ROUND((ROUND((_11_A通院１１０．５*_11・２人),0)*_11・初任),0)</f>
        <v>1455</v>
      </c>
      <c r="O172" s="48"/>
    </row>
    <row r="173" spans="1:15" ht="16.5" customHeight="1" x14ac:dyDescent="0.15">
      <c r="A173" s="41">
        <v>11</v>
      </c>
      <c r="B173" s="41" t="s">
        <v>4634</v>
      </c>
      <c r="C173" s="74" t="s">
        <v>4635</v>
      </c>
      <c r="D173" s="72"/>
      <c r="E173" s="99"/>
      <c r="F173" s="752" t="s">
        <v>400</v>
      </c>
      <c r="G173" s="49" t="s">
        <v>398</v>
      </c>
      <c r="H173" s="50">
        <v>0.7</v>
      </c>
      <c r="I173" s="44"/>
      <c r="J173" s="45"/>
      <c r="K173" s="46"/>
      <c r="L173" s="709"/>
      <c r="M173" s="704"/>
      <c r="N173" s="47">
        <f>ROUND((ROUND((_11_A通院１１０．５*_11・基礎１),0)*_11・初任),0)</f>
        <v>1019</v>
      </c>
      <c r="O173" s="48"/>
    </row>
    <row r="174" spans="1:15" ht="16.5" customHeight="1" x14ac:dyDescent="0.15">
      <c r="A174" s="41">
        <v>11</v>
      </c>
      <c r="B174" s="41" t="s">
        <v>4636</v>
      </c>
      <c r="C174" s="74" t="s">
        <v>4637</v>
      </c>
      <c r="D174" s="122"/>
      <c r="E174" s="111"/>
      <c r="F174" s="711"/>
      <c r="G174" s="37"/>
      <c r="H174" s="38"/>
      <c r="I174" s="44" t="s">
        <v>397</v>
      </c>
      <c r="J174" s="45" t="s">
        <v>398</v>
      </c>
      <c r="K174" s="46">
        <v>1</v>
      </c>
      <c r="L174" s="55" t="s">
        <v>398</v>
      </c>
      <c r="M174" s="38">
        <f>_11・初任</f>
        <v>0.7</v>
      </c>
      <c r="N174" s="47">
        <f>ROUND((ROUND((ROUND((_11_A通院１１０．５*_11・基礎１),0)*_11・２人),0)*_11・初任),0)</f>
        <v>1019</v>
      </c>
      <c r="O174" s="63"/>
    </row>
    <row r="175" spans="1:15" ht="16.5" customHeight="1" x14ac:dyDescent="0.15"/>
    <row r="176" spans="1:15" ht="16.5" customHeight="1" x14ac:dyDescent="0.15"/>
  </sheetData>
  <mergeCells count="84">
    <mergeCell ref="L163:M165"/>
    <mergeCell ref="F165:F166"/>
    <mergeCell ref="D167:E169"/>
    <mergeCell ref="F169:F170"/>
    <mergeCell ref="L171:M173"/>
    <mergeCell ref="F173:F174"/>
    <mergeCell ref="D151:E153"/>
    <mergeCell ref="F153:F154"/>
    <mergeCell ref="L155:M157"/>
    <mergeCell ref="F157:F158"/>
    <mergeCell ref="D159:E161"/>
    <mergeCell ref="F161:F162"/>
    <mergeCell ref="L139:M141"/>
    <mergeCell ref="F141:F142"/>
    <mergeCell ref="D143:E145"/>
    <mergeCell ref="F145:F146"/>
    <mergeCell ref="L147:M149"/>
    <mergeCell ref="F149:F150"/>
    <mergeCell ref="D127:E129"/>
    <mergeCell ref="F129:F130"/>
    <mergeCell ref="L131:M133"/>
    <mergeCell ref="F133:F134"/>
    <mergeCell ref="D135:E137"/>
    <mergeCell ref="F137:F138"/>
    <mergeCell ref="L115:M117"/>
    <mergeCell ref="F117:F118"/>
    <mergeCell ref="D119:E121"/>
    <mergeCell ref="F121:F122"/>
    <mergeCell ref="L123:M125"/>
    <mergeCell ref="F125:F126"/>
    <mergeCell ref="D103:E105"/>
    <mergeCell ref="F105:F106"/>
    <mergeCell ref="L107:M109"/>
    <mergeCell ref="F109:F110"/>
    <mergeCell ref="D111:E113"/>
    <mergeCell ref="F113:F114"/>
    <mergeCell ref="L91:M93"/>
    <mergeCell ref="F93:F94"/>
    <mergeCell ref="D95:E97"/>
    <mergeCell ref="F97:F98"/>
    <mergeCell ref="L99:M101"/>
    <mergeCell ref="F101:F102"/>
    <mergeCell ref="D79:E81"/>
    <mergeCell ref="F81:F82"/>
    <mergeCell ref="L83:M85"/>
    <mergeCell ref="F85:F86"/>
    <mergeCell ref="D87:E89"/>
    <mergeCell ref="F89:F90"/>
    <mergeCell ref="L67:M69"/>
    <mergeCell ref="F69:F70"/>
    <mergeCell ref="D71:E73"/>
    <mergeCell ref="F73:F74"/>
    <mergeCell ref="L75:M77"/>
    <mergeCell ref="F77:F78"/>
    <mergeCell ref="D55:E57"/>
    <mergeCell ref="F57:F58"/>
    <mergeCell ref="L59:M61"/>
    <mergeCell ref="F61:F62"/>
    <mergeCell ref="D63:E65"/>
    <mergeCell ref="F65:F66"/>
    <mergeCell ref="L43:M45"/>
    <mergeCell ref="F45:F46"/>
    <mergeCell ref="D47:E49"/>
    <mergeCell ref="F49:F50"/>
    <mergeCell ref="L51:M53"/>
    <mergeCell ref="F53:F54"/>
    <mergeCell ref="D31:E33"/>
    <mergeCell ref="F33:F34"/>
    <mergeCell ref="L35:M37"/>
    <mergeCell ref="F37:F38"/>
    <mergeCell ref="D39:E41"/>
    <mergeCell ref="F41:F42"/>
    <mergeCell ref="L19:M21"/>
    <mergeCell ref="F21:F22"/>
    <mergeCell ref="D23:E25"/>
    <mergeCell ref="F25:F26"/>
    <mergeCell ref="L27:M29"/>
    <mergeCell ref="F29:F30"/>
    <mergeCell ref="D7:E9"/>
    <mergeCell ref="F9:F10"/>
    <mergeCell ref="L11:M13"/>
    <mergeCell ref="F13:F14"/>
    <mergeCell ref="D15:E17"/>
    <mergeCell ref="F17:F18"/>
  </mergeCells>
  <phoneticPr fontId="1"/>
  <printOptions horizontalCentered="1"/>
  <pageMargins left="0.70866141732283472" right="0.70866141732283472" top="0.74803149606299213" bottom="0.74803149606299213" header="0.31496062992125984" footer="0.31496062992125984"/>
  <pageSetup paperSize="9" scale="62" fitToHeight="0" orientation="portrait" r:id="rId1"/>
  <headerFooter>
    <oddHeader>&amp;R&amp;"ＭＳ Ｐゴシック"&amp;9居宅介護</oddHeader>
    <oddFooter>&amp;C&amp;"ＭＳ Ｐゴシック"&amp;14&amp;P</oddFooter>
  </headerFooter>
  <rowBreaks count="2" manualBreakCount="2">
    <brk id="70" max="14" man="1"/>
    <brk id="142" max="1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A1:R125"/>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1.875" style="10" bestFit="1" customWidth="1"/>
    <col min="4" max="4" width="6" style="10" bestFit="1" customWidth="1"/>
    <col min="5" max="5" width="5.5" style="117" bestFit="1" customWidth="1"/>
    <col min="6" max="6" width="11.875" style="12" customWidth="1"/>
    <col min="7" max="7" width="3.5" style="12" bestFit="1" customWidth="1"/>
    <col min="8" max="8" width="4.5" style="13" bestFit="1" customWidth="1"/>
    <col min="9" max="9" width="25.5" style="14" bestFit="1" customWidth="1"/>
    <col min="10" max="10" width="3.5" style="12" bestFit="1" customWidth="1"/>
    <col min="11" max="11" width="5.5" style="13" bestFit="1" customWidth="1"/>
    <col min="12" max="12" width="3.5" style="12" bestFit="1" customWidth="1"/>
    <col min="13" max="13" width="4.5" style="13" bestFit="1" customWidth="1"/>
    <col min="14" max="14" width="5.5" style="12" bestFit="1" customWidth="1"/>
    <col min="15" max="15" width="9.875" style="12" customWidth="1"/>
    <col min="16" max="16" width="4.5" style="12" bestFit="1" customWidth="1"/>
    <col min="17" max="17" width="7.125" style="15" customWidth="1"/>
    <col min="18" max="18" width="8.5" style="16" customWidth="1"/>
    <col min="19" max="16384" width="8.875" style="12"/>
  </cols>
  <sheetData>
    <row r="1" spans="1:18" ht="17.100000000000001" customHeight="1" x14ac:dyDescent="0.15"/>
    <row r="2" spans="1:18" ht="17.100000000000001" customHeight="1" x14ac:dyDescent="0.15"/>
    <row r="3" spans="1:18" ht="17.100000000000001" customHeight="1" x14ac:dyDescent="0.15"/>
    <row r="4" spans="1:18" ht="17.100000000000001" customHeight="1" x14ac:dyDescent="0.15">
      <c r="B4" s="17" t="s">
        <v>4638</v>
      </c>
      <c r="D4" s="71"/>
    </row>
    <row r="5" spans="1:18" ht="16.350000000000001" customHeight="1" x14ac:dyDescent="0.15">
      <c r="A5" s="19" t="s">
        <v>384</v>
      </c>
      <c r="B5" s="20"/>
      <c r="C5" s="21" t="s">
        <v>385</v>
      </c>
      <c r="D5" s="23" t="s">
        <v>386</v>
      </c>
      <c r="E5" s="118"/>
      <c r="F5" s="23"/>
      <c r="G5" s="23"/>
      <c r="H5" s="24"/>
      <c r="I5" s="23"/>
      <c r="J5" s="23"/>
      <c r="K5" s="24"/>
      <c r="L5" s="23"/>
      <c r="M5" s="24"/>
      <c r="N5" s="23"/>
      <c r="O5" s="23"/>
      <c r="P5" s="23"/>
      <c r="Q5" s="25" t="s">
        <v>387</v>
      </c>
      <c r="R5" s="21" t="s">
        <v>388</v>
      </c>
    </row>
    <row r="6" spans="1:18" ht="16.5" customHeight="1" x14ac:dyDescent="0.15">
      <c r="A6" s="26" t="s">
        <v>389</v>
      </c>
      <c r="B6" s="26" t="s">
        <v>390</v>
      </c>
      <c r="C6" s="27"/>
      <c r="D6" s="29"/>
      <c r="E6" s="120"/>
      <c r="F6" s="29"/>
      <c r="G6" s="29"/>
      <c r="H6" s="30"/>
      <c r="I6" s="29"/>
      <c r="J6" s="29"/>
      <c r="K6" s="30"/>
      <c r="L6" s="29"/>
      <c r="M6" s="30"/>
      <c r="N6" s="29"/>
      <c r="O6" s="29"/>
      <c r="P6" s="29"/>
      <c r="Q6" s="31" t="s">
        <v>391</v>
      </c>
      <c r="R6" s="32" t="s">
        <v>392</v>
      </c>
    </row>
    <row r="7" spans="1:18" ht="16.5" customHeight="1" x14ac:dyDescent="0.15">
      <c r="A7" s="33">
        <v>11</v>
      </c>
      <c r="B7" s="33">
        <v>3195</v>
      </c>
      <c r="C7" s="34" t="s">
        <v>4639</v>
      </c>
      <c r="D7" s="709" t="s">
        <v>4640</v>
      </c>
      <c r="E7" s="718"/>
      <c r="F7" s="35"/>
      <c r="I7" s="36"/>
      <c r="J7" s="37"/>
      <c r="K7" s="38"/>
      <c r="L7" s="35" t="s">
        <v>674</v>
      </c>
      <c r="N7" s="57"/>
      <c r="O7" s="35"/>
      <c r="Q7" s="39">
        <f>ROUND((_11_A通院１０．５*(1+_11・A早朝)),0)</f>
        <v>319</v>
      </c>
      <c r="R7" s="40" t="s">
        <v>395</v>
      </c>
    </row>
    <row r="8" spans="1:18" ht="16.5" customHeight="1" x14ac:dyDescent="0.15">
      <c r="A8" s="41">
        <v>11</v>
      </c>
      <c r="B8" s="41">
        <v>3196</v>
      </c>
      <c r="C8" s="74" t="s">
        <v>4641</v>
      </c>
      <c r="D8" s="709"/>
      <c r="E8" s="718"/>
      <c r="F8" s="43"/>
      <c r="G8" s="37"/>
      <c r="H8" s="38"/>
      <c r="I8" s="44" t="s">
        <v>397</v>
      </c>
      <c r="J8" s="45" t="s">
        <v>398</v>
      </c>
      <c r="K8" s="46">
        <v>1</v>
      </c>
      <c r="L8" s="35" t="s">
        <v>398</v>
      </c>
      <c r="M8" s="13">
        <v>0.25</v>
      </c>
      <c r="N8" s="728" t="s">
        <v>676</v>
      </c>
      <c r="O8" s="35"/>
      <c r="Q8" s="47">
        <f>ROUND((ROUND((_11_A通院１０．５*_11・２人),0)*(1+_11・A早朝)),0)</f>
        <v>319</v>
      </c>
      <c r="R8" s="48"/>
    </row>
    <row r="9" spans="1:18" ht="16.5" customHeight="1" x14ac:dyDescent="0.15">
      <c r="A9" s="41">
        <v>11</v>
      </c>
      <c r="B9" s="41">
        <v>3197</v>
      </c>
      <c r="C9" s="74" t="s">
        <v>4642</v>
      </c>
      <c r="D9" s="709"/>
      <c r="E9" s="718"/>
      <c r="F9" s="752" t="s">
        <v>400</v>
      </c>
      <c r="G9" s="49" t="s">
        <v>398</v>
      </c>
      <c r="H9" s="50">
        <v>0.7</v>
      </c>
      <c r="I9" s="44"/>
      <c r="J9" s="45"/>
      <c r="K9" s="46"/>
      <c r="L9" s="35"/>
      <c r="N9" s="728"/>
      <c r="O9" s="35"/>
      <c r="Q9" s="47">
        <f>ROUND((ROUND((_11_A通院１０．５*_11・基礎１),0)*(1+_11・A早朝)),0)</f>
        <v>224</v>
      </c>
      <c r="R9" s="48"/>
    </row>
    <row r="10" spans="1:18" ht="16.5" customHeight="1" x14ac:dyDescent="0.15">
      <c r="A10" s="41">
        <v>11</v>
      </c>
      <c r="B10" s="41">
        <v>3198</v>
      </c>
      <c r="C10" s="74" t="s">
        <v>4643</v>
      </c>
      <c r="D10" s="100">
        <f>_11_A通院１０．５</f>
        <v>255</v>
      </c>
      <c r="E10" s="12" t="s">
        <v>392</v>
      </c>
      <c r="F10" s="711"/>
      <c r="G10" s="37"/>
      <c r="H10" s="38"/>
      <c r="I10" s="44" t="s">
        <v>397</v>
      </c>
      <c r="J10" s="45" t="s">
        <v>398</v>
      </c>
      <c r="K10" s="46">
        <v>1</v>
      </c>
      <c r="L10" s="35"/>
      <c r="N10" s="57"/>
      <c r="O10" s="43"/>
      <c r="P10" s="37"/>
      <c r="Q10" s="47">
        <f>ROUND((ROUND((ROUND((_11_A通院１０．５*_11・基礎１),0)*_11・２人),0)*(1+_11・A早朝)),0)</f>
        <v>224</v>
      </c>
      <c r="R10" s="48"/>
    </row>
    <row r="11" spans="1:18" ht="16.5" customHeight="1" x14ac:dyDescent="0.15">
      <c r="A11" s="41">
        <v>11</v>
      </c>
      <c r="B11" s="41" t="s">
        <v>4644</v>
      </c>
      <c r="C11" s="74" t="s">
        <v>4645</v>
      </c>
      <c r="D11" s="121"/>
      <c r="E11" s="99"/>
      <c r="F11" s="53"/>
      <c r="G11" s="49"/>
      <c r="H11" s="50"/>
      <c r="I11" s="44"/>
      <c r="J11" s="45"/>
      <c r="K11" s="46"/>
      <c r="L11" s="35"/>
      <c r="N11" s="57"/>
      <c r="O11" s="707" t="s">
        <v>404</v>
      </c>
      <c r="P11" s="708"/>
      <c r="Q11" s="47">
        <f>ROUND((ROUND((_11_A通院１０．５*(1+_11・A早朝)),0)*_11・初任),0)</f>
        <v>223</v>
      </c>
      <c r="R11" s="48"/>
    </row>
    <row r="12" spans="1:18" ht="16.5" customHeight="1" x14ac:dyDescent="0.15">
      <c r="A12" s="41">
        <v>11</v>
      </c>
      <c r="B12" s="41" t="s">
        <v>4646</v>
      </c>
      <c r="C12" s="74" t="s">
        <v>4647</v>
      </c>
      <c r="D12" s="121"/>
      <c r="E12" s="99"/>
      <c r="F12" s="43"/>
      <c r="G12" s="37"/>
      <c r="H12" s="38"/>
      <c r="I12" s="44" t="s">
        <v>397</v>
      </c>
      <c r="J12" s="45" t="s">
        <v>398</v>
      </c>
      <c r="K12" s="46">
        <v>1</v>
      </c>
      <c r="L12" s="35"/>
      <c r="N12" s="57"/>
      <c r="O12" s="709"/>
      <c r="P12" s="704"/>
      <c r="Q12" s="47">
        <f>ROUND((ROUND((ROUND((_11_A通院１０．５*_11・２人),0)*(1+_11・A早朝)),0)*_11・初任),0)</f>
        <v>223</v>
      </c>
      <c r="R12" s="48"/>
    </row>
    <row r="13" spans="1:18" ht="16.5" customHeight="1" x14ac:dyDescent="0.15">
      <c r="A13" s="41">
        <v>11</v>
      </c>
      <c r="B13" s="41" t="s">
        <v>4648</v>
      </c>
      <c r="C13" s="74" t="s">
        <v>4649</v>
      </c>
      <c r="D13" s="72"/>
      <c r="E13" s="99"/>
      <c r="F13" s="752" t="s">
        <v>400</v>
      </c>
      <c r="G13" s="49" t="s">
        <v>398</v>
      </c>
      <c r="H13" s="50">
        <v>0.7</v>
      </c>
      <c r="I13" s="44"/>
      <c r="J13" s="45"/>
      <c r="K13" s="46"/>
      <c r="L13" s="35"/>
      <c r="N13" s="57"/>
      <c r="O13" s="709"/>
      <c r="P13" s="704"/>
      <c r="Q13" s="47">
        <f>ROUND((ROUND((ROUND((_11_A通院１０．５*_11・基礎１),0)*(1+_11・A早朝)),0)*_11・初任),0)</f>
        <v>157</v>
      </c>
      <c r="R13" s="48"/>
    </row>
    <row r="14" spans="1:18" ht="16.5" customHeight="1" x14ac:dyDescent="0.15">
      <c r="A14" s="41">
        <v>11</v>
      </c>
      <c r="B14" s="41" t="s">
        <v>4650</v>
      </c>
      <c r="C14" s="74" t="s">
        <v>4651</v>
      </c>
      <c r="D14" s="72"/>
      <c r="E14" s="99"/>
      <c r="F14" s="711"/>
      <c r="G14" s="37"/>
      <c r="H14" s="38"/>
      <c r="I14" s="44" t="s">
        <v>397</v>
      </c>
      <c r="J14" s="45" t="s">
        <v>398</v>
      </c>
      <c r="K14" s="46">
        <v>1</v>
      </c>
      <c r="L14" s="35"/>
      <c r="N14" s="57"/>
      <c r="O14" s="55" t="s">
        <v>398</v>
      </c>
      <c r="P14" s="38">
        <f>_11・初任</f>
        <v>0.7</v>
      </c>
      <c r="Q14" s="47">
        <f>ROUND((ROUND((ROUND((ROUND((_11_A通院１０．５*_11・基礎１),0)*_11・２人),0)*(1+_11・A早朝)),0)*_11・初任),0)</f>
        <v>157</v>
      </c>
      <c r="R14" s="48"/>
    </row>
    <row r="15" spans="1:18" ht="16.5" customHeight="1" x14ac:dyDescent="0.15">
      <c r="A15" s="41">
        <v>11</v>
      </c>
      <c r="B15" s="41">
        <v>3199</v>
      </c>
      <c r="C15" s="74" t="s">
        <v>4652</v>
      </c>
      <c r="D15" s="707" t="s">
        <v>689</v>
      </c>
      <c r="E15" s="717"/>
      <c r="F15" s="53"/>
      <c r="G15" s="49"/>
      <c r="H15" s="50"/>
      <c r="I15" s="44"/>
      <c r="J15" s="45"/>
      <c r="K15" s="46"/>
      <c r="L15" s="35"/>
      <c r="N15" s="57"/>
      <c r="O15" s="53"/>
      <c r="P15" s="49"/>
      <c r="Q15" s="47">
        <f>ROUND((_11_A通院１１．０*(1+_11・A早朝)),0)</f>
        <v>503</v>
      </c>
      <c r="R15" s="48"/>
    </row>
    <row r="16" spans="1:18" ht="16.5" customHeight="1" x14ac:dyDescent="0.15">
      <c r="A16" s="41">
        <v>11</v>
      </c>
      <c r="B16" s="41">
        <v>3200</v>
      </c>
      <c r="C16" s="74" t="s">
        <v>4653</v>
      </c>
      <c r="D16" s="709"/>
      <c r="E16" s="718"/>
      <c r="F16" s="43"/>
      <c r="G16" s="37"/>
      <c r="H16" s="38"/>
      <c r="I16" s="44" t="s">
        <v>397</v>
      </c>
      <c r="J16" s="45" t="s">
        <v>398</v>
      </c>
      <c r="K16" s="46">
        <v>1</v>
      </c>
      <c r="L16" s="35"/>
      <c r="N16" s="57"/>
      <c r="O16" s="35"/>
      <c r="Q16" s="47">
        <f>ROUND((ROUND((_11_A通院１１．０*_11・２人),0)*(1+_11・A早朝)),0)</f>
        <v>503</v>
      </c>
      <c r="R16" s="48"/>
    </row>
    <row r="17" spans="1:18" ht="16.5" customHeight="1" x14ac:dyDescent="0.15">
      <c r="A17" s="41">
        <v>11</v>
      </c>
      <c r="B17" s="41">
        <v>3201</v>
      </c>
      <c r="C17" s="74" t="s">
        <v>4654</v>
      </c>
      <c r="D17" s="709"/>
      <c r="E17" s="718"/>
      <c r="F17" s="752" t="s">
        <v>400</v>
      </c>
      <c r="G17" s="49" t="s">
        <v>398</v>
      </c>
      <c r="H17" s="50">
        <v>0.7</v>
      </c>
      <c r="I17" s="44"/>
      <c r="J17" s="45"/>
      <c r="K17" s="46"/>
      <c r="L17" s="35"/>
      <c r="N17" s="57"/>
      <c r="O17" s="35"/>
      <c r="Q17" s="47">
        <f>ROUND((ROUND((_11_A通院１１．０*_11・基礎１),0)*(1+_11・A早朝)),0)</f>
        <v>351</v>
      </c>
      <c r="R17" s="48"/>
    </row>
    <row r="18" spans="1:18" ht="16.5" customHeight="1" x14ac:dyDescent="0.15">
      <c r="A18" s="41">
        <v>11</v>
      </c>
      <c r="B18" s="41">
        <v>3202</v>
      </c>
      <c r="C18" s="74" t="s">
        <v>4655</v>
      </c>
      <c r="D18" s="100">
        <f>_11_A通院１１．０</f>
        <v>402</v>
      </c>
      <c r="E18" s="99" t="s">
        <v>3279</v>
      </c>
      <c r="F18" s="722"/>
      <c r="G18" s="37"/>
      <c r="H18" s="38"/>
      <c r="I18" s="44" t="s">
        <v>397</v>
      </c>
      <c r="J18" s="45" t="s">
        <v>398</v>
      </c>
      <c r="K18" s="46">
        <v>1</v>
      </c>
      <c r="L18" s="35"/>
      <c r="N18" s="57"/>
      <c r="O18" s="43"/>
      <c r="P18" s="37"/>
      <c r="Q18" s="47">
        <f>ROUND((ROUND((ROUND((_11_A通院１１．０*_11・基礎１),0)*_11・２人),0)*(1+_11・A早朝)),0)</f>
        <v>351</v>
      </c>
      <c r="R18" s="48"/>
    </row>
    <row r="19" spans="1:18" ht="16.5" customHeight="1" x14ac:dyDescent="0.15">
      <c r="A19" s="41">
        <v>11</v>
      </c>
      <c r="B19" s="41" t="s">
        <v>4656</v>
      </c>
      <c r="C19" s="74" t="s">
        <v>4657</v>
      </c>
      <c r="D19" s="121"/>
      <c r="E19" s="99"/>
      <c r="F19" s="53"/>
      <c r="G19" s="49"/>
      <c r="H19" s="50"/>
      <c r="I19" s="44"/>
      <c r="J19" s="45"/>
      <c r="K19" s="46"/>
      <c r="L19" s="35"/>
      <c r="N19" s="57"/>
      <c r="O19" s="707" t="s">
        <v>404</v>
      </c>
      <c r="P19" s="708"/>
      <c r="Q19" s="47">
        <f>ROUND((ROUND((_11_A通院１１．０*(1+_11・A早朝)),0)*_11・初任),0)</f>
        <v>352</v>
      </c>
      <c r="R19" s="48"/>
    </row>
    <row r="20" spans="1:18" ht="16.5" customHeight="1" x14ac:dyDescent="0.15">
      <c r="A20" s="41">
        <v>11</v>
      </c>
      <c r="B20" s="41" t="s">
        <v>4658</v>
      </c>
      <c r="C20" s="74" t="s">
        <v>4659</v>
      </c>
      <c r="D20" s="121"/>
      <c r="E20" s="99"/>
      <c r="F20" s="43"/>
      <c r="G20" s="37"/>
      <c r="H20" s="38"/>
      <c r="I20" s="44" t="s">
        <v>397</v>
      </c>
      <c r="J20" s="45" t="s">
        <v>398</v>
      </c>
      <c r="K20" s="46">
        <v>1</v>
      </c>
      <c r="L20" s="35"/>
      <c r="N20" s="57"/>
      <c r="O20" s="709"/>
      <c r="P20" s="704"/>
      <c r="Q20" s="47">
        <f>ROUND((ROUND((ROUND((_11_A通院１１．０*_11・２人),0)*(1+_11・A早朝)),0)*_11・初任),0)</f>
        <v>352</v>
      </c>
      <c r="R20" s="48"/>
    </row>
    <row r="21" spans="1:18" ht="16.5" customHeight="1" x14ac:dyDescent="0.15">
      <c r="A21" s="41">
        <v>11</v>
      </c>
      <c r="B21" s="41" t="s">
        <v>4660</v>
      </c>
      <c r="C21" s="74" t="s">
        <v>4661</v>
      </c>
      <c r="D21" s="72"/>
      <c r="E21" s="99"/>
      <c r="F21" s="752" t="s">
        <v>400</v>
      </c>
      <c r="G21" s="49" t="s">
        <v>398</v>
      </c>
      <c r="H21" s="50">
        <v>0.7</v>
      </c>
      <c r="I21" s="44"/>
      <c r="J21" s="45"/>
      <c r="K21" s="46"/>
      <c r="L21" s="35"/>
      <c r="N21" s="57"/>
      <c r="O21" s="709"/>
      <c r="P21" s="704"/>
      <c r="Q21" s="47">
        <f>ROUND((ROUND((ROUND((_11_A通院１１．０*_11・基礎１),0)*(1+_11・A早朝)),0)*_11・初任),0)</f>
        <v>246</v>
      </c>
      <c r="R21" s="48"/>
    </row>
    <row r="22" spans="1:18" ht="16.5" customHeight="1" x14ac:dyDescent="0.15">
      <c r="A22" s="41">
        <v>11</v>
      </c>
      <c r="B22" s="41" t="s">
        <v>4662</v>
      </c>
      <c r="C22" s="74" t="s">
        <v>4663</v>
      </c>
      <c r="D22" s="72"/>
      <c r="E22" s="99"/>
      <c r="F22" s="711"/>
      <c r="G22" s="37"/>
      <c r="H22" s="38"/>
      <c r="I22" s="44" t="s">
        <v>397</v>
      </c>
      <c r="J22" s="45" t="s">
        <v>398</v>
      </c>
      <c r="K22" s="46">
        <v>1</v>
      </c>
      <c r="L22" s="35"/>
      <c r="N22" s="57"/>
      <c r="O22" s="55" t="s">
        <v>398</v>
      </c>
      <c r="P22" s="38">
        <f>_11・初任</f>
        <v>0.7</v>
      </c>
      <c r="Q22" s="47">
        <f>ROUND((ROUND((ROUND((ROUND((_11_A通院１１．０*_11・基礎１),0)*_11・２人),0)*(1+_11・A早朝)),0)*_11・初任),0)</f>
        <v>246</v>
      </c>
      <c r="R22" s="48"/>
    </row>
    <row r="23" spans="1:18" ht="16.5" customHeight="1" x14ac:dyDescent="0.15">
      <c r="A23" s="41">
        <v>11</v>
      </c>
      <c r="B23" s="41">
        <v>3203</v>
      </c>
      <c r="C23" s="74" t="s">
        <v>4664</v>
      </c>
      <c r="D23" s="707" t="s">
        <v>702</v>
      </c>
      <c r="E23" s="717"/>
      <c r="F23" s="53"/>
      <c r="G23" s="49"/>
      <c r="H23" s="50"/>
      <c r="I23" s="44"/>
      <c r="J23" s="45"/>
      <c r="K23" s="46"/>
      <c r="L23" s="35"/>
      <c r="N23" s="57"/>
      <c r="O23" s="53"/>
      <c r="P23" s="49"/>
      <c r="Q23" s="47">
        <f>ROUND((_11_A通院１１．５*(1+_11・A早朝)),0)</f>
        <v>730</v>
      </c>
      <c r="R23" s="48"/>
    </row>
    <row r="24" spans="1:18" ht="16.5" customHeight="1" x14ac:dyDescent="0.15">
      <c r="A24" s="41">
        <v>11</v>
      </c>
      <c r="B24" s="41">
        <v>3204</v>
      </c>
      <c r="C24" s="74" t="s">
        <v>4665</v>
      </c>
      <c r="D24" s="709"/>
      <c r="E24" s="718"/>
      <c r="F24" s="43"/>
      <c r="G24" s="37"/>
      <c r="H24" s="38"/>
      <c r="I24" s="44" t="s">
        <v>397</v>
      </c>
      <c r="J24" s="45" t="s">
        <v>398</v>
      </c>
      <c r="K24" s="46">
        <v>1</v>
      </c>
      <c r="L24" s="35"/>
      <c r="N24" s="57"/>
      <c r="O24" s="35"/>
      <c r="Q24" s="47">
        <f>ROUND((ROUND((_11_A通院１１．５*_11・２人),0)*(1+_11・A早朝)),0)</f>
        <v>730</v>
      </c>
      <c r="R24" s="48"/>
    </row>
    <row r="25" spans="1:18" ht="16.5" customHeight="1" x14ac:dyDescent="0.15">
      <c r="A25" s="41">
        <v>11</v>
      </c>
      <c r="B25" s="41">
        <v>3205</v>
      </c>
      <c r="C25" s="74" t="s">
        <v>4666</v>
      </c>
      <c r="D25" s="709"/>
      <c r="E25" s="718"/>
      <c r="F25" s="752" t="s">
        <v>400</v>
      </c>
      <c r="G25" s="49" t="s">
        <v>398</v>
      </c>
      <c r="H25" s="50">
        <v>0.7</v>
      </c>
      <c r="I25" s="44"/>
      <c r="J25" s="45"/>
      <c r="K25" s="46"/>
      <c r="L25" s="35"/>
      <c r="N25" s="57"/>
      <c r="O25" s="35"/>
      <c r="Q25" s="47">
        <f>ROUND((ROUND((_11_A通院１１．５*_11・基礎１),0)*(1+_11・A早朝)),0)</f>
        <v>511</v>
      </c>
      <c r="R25" s="48"/>
    </row>
    <row r="26" spans="1:18" ht="16.5" customHeight="1" x14ac:dyDescent="0.15">
      <c r="A26" s="41">
        <v>11</v>
      </c>
      <c r="B26" s="41">
        <v>3206</v>
      </c>
      <c r="C26" s="74" t="s">
        <v>4667</v>
      </c>
      <c r="D26" s="100">
        <f>_11_A通院１１．５</f>
        <v>584</v>
      </c>
      <c r="E26" s="12" t="s">
        <v>392</v>
      </c>
      <c r="F26" s="711"/>
      <c r="G26" s="37"/>
      <c r="H26" s="38"/>
      <c r="I26" s="44" t="s">
        <v>397</v>
      </c>
      <c r="J26" s="45" t="s">
        <v>398</v>
      </c>
      <c r="K26" s="46">
        <v>1</v>
      </c>
      <c r="L26" s="35"/>
      <c r="N26" s="57"/>
      <c r="O26" s="43"/>
      <c r="P26" s="37"/>
      <c r="Q26" s="47">
        <f>ROUND((ROUND((ROUND((_11_A通院１１．５*_11・基礎１),0)*_11・２人),0)*(1+_11・A早朝)),0)</f>
        <v>511</v>
      </c>
      <c r="R26" s="48"/>
    </row>
    <row r="27" spans="1:18" ht="16.5" customHeight="1" x14ac:dyDescent="0.15">
      <c r="A27" s="41">
        <v>11</v>
      </c>
      <c r="B27" s="41" t="s">
        <v>4668</v>
      </c>
      <c r="C27" s="74" t="s">
        <v>4669</v>
      </c>
      <c r="D27" s="121"/>
      <c r="E27" s="99"/>
      <c r="F27" s="53"/>
      <c r="G27" s="49"/>
      <c r="H27" s="50"/>
      <c r="I27" s="44"/>
      <c r="J27" s="45"/>
      <c r="K27" s="46"/>
      <c r="L27" s="35"/>
      <c r="N27" s="57"/>
      <c r="O27" s="707" t="s">
        <v>404</v>
      </c>
      <c r="P27" s="708"/>
      <c r="Q27" s="47">
        <f>ROUND((ROUND((_11_A通院１１．５*(1+_11・A早朝)),0)*_11・初任),0)</f>
        <v>511</v>
      </c>
      <c r="R27" s="48"/>
    </row>
    <row r="28" spans="1:18" ht="16.5" customHeight="1" x14ac:dyDescent="0.15">
      <c r="A28" s="41">
        <v>11</v>
      </c>
      <c r="B28" s="41" t="s">
        <v>4670</v>
      </c>
      <c r="C28" s="74" t="s">
        <v>4671</v>
      </c>
      <c r="D28" s="121"/>
      <c r="E28" s="99"/>
      <c r="F28" s="43"/>
      <c r="G28" s="37"/>
      <c r="H28" s="38"/>
      <c r="I28" s="44" t="s">
        <v>397</v>
      </c>
      <c r="J28" s="45" t="s">
        <v>398</v>
      </c>
      <c r="K28" s="46">
        <v>1</v>
      </c>
      <c r="L28" s="35"/>
      <c r="N28" s="57"/>
      <c r="O28" s="709"/>
      <c r="P28" s="704"/>
      <c r="Q28" s="47">
        <f>ROUND((ROUND((ROUND((_11_A通院１１．５*_11・２人),0)*(1+_11・A早朝)),0)*_11・初任),0)</f>
        <v>511</v>
      </c>
      <c r="R28" s="48"/>
    </row>
    <row r="29" spans="1:18" ht="16.5" customHeight="1" x14ac:dyDescent="0.15">
      <c r="A29" s="41">
        <v>11</v>
      </c>
      <c r="B29" s="41" t="s">
        <v>4672</v>
      </c>
      <c r="C29" s="74" t="s">
        <v>4673</v>
      </c>
      <c r="D29" s="72"/>
      <c r="E29" s="99"/>
      <c r="F29" s="752" t="s">
        <v>400</v>
      </c>
      <c r="G29" s="49" t="s">
        <v>398</v>
      </c>
      <c r="H29" s="50">
        <v>0.7</v>
      </c>
      <c r="I29" s="44"/>
      <c r="J29" s="45"/>
      <c r="K29" s="46"/>
      <c r="L29" s="35"/>
      <c r="N29" s="57"/>
      <c r="O29" s="709"/>
      <c r="P29" s="704"/>
      <c r="Q29" s="47">
        <f>ROUND((ROUND((ROUND((_11_A通院１１．５*_11・基礎１),0)*(1+_11・A早朝)),0)*_11・初任),0)</f>
        <v>358</v>
      </c>
      <c r="R29" s="48"/>
    </row>
    <row r="30" spans="1:18" ht="16.5" customHeight="1" x14ac:dyDescent="0.15">
      <c r="A30" s="41">
        <v>11</v>
      </c>
      <c r="B30" s="41" t="s">
        <v>4674</v>
      </c>
      <c r="C30" s="74" t="s">
        <v>4675</v>
      </c>
      <c r="D30" s="72"/>
      <c r="E30" s="99"/>
      <c r="F30" s="711"/>
      <c r="G30" s="37"/>
      <c r="H30" s="38"/>
      <c r="I30" s="44" t="s">
        <v>397</v>
      </c>
      <c r="J30" s="45" t="s">
        <v>398</v>
      </c>
      <c r="K30" s="46">
        <v>1</v>
      </c>
      <c r="L30" s="35"/>
      <c r="N30" s="57"/>
      <c r="O30" s="55" t="s">
        <v>398</v>
      </c>
      <c r="P30" s="38">
        <f>_11・初任</f>
        <v>0.7</v>
      </c>
      <c r="Q30" s="47">
        <f>ROUND((ROUND((ROUND((ROUND((_11_A通院１１．５*_11・基礎１),0)*_11・２人),0)*(1+_11・A早朝)),0)*_11・初任),0)</f>
        <v>358</v>
      </c>
      <c r="R30" s="48"/>
    </row>
    <row r="31" spans="1:18" ht="16.5" customHeight="1" x14ac:dyDescent="0.15">
      <c r="A31" s="41">
        <v>11</v>
      </c>
      <c r="B31" s="41">
        <v>3207</v>
      </c>
      <c r="C31" s="74" t="s">
        <v>4676</v>
      </c>
      <c r="D31" s="707" t="s">
        <v>715</v>
      </c>
      <c r="E31" s="717"/>
      <c r="F31" s="53"/>
      <c r="G31" s="49"/>
      <c r="H31" s="50"/>
      <c r="I31" s="44"/>
      <c r="J31" s="45"/>
      <c r="K31" s="46"/>
      <c r="L31" s="35"/>
      <c r="N31" s="57"/>
      <c r="O31" s="53"/>
      <c r="P31" s="49"/>
      <c r="Q31" s="47">
        <f>ROUND((_11_A通院１２．０*(1+_11・A早朝)),0)</f>
        <v>833</v>
      </c>
      <c r="R31" s="48"/>
    </row>
    <row r="32" spans="1:18" ht="16.5" customHeight="1" x14ac:dyDescent="0.15">
      <c r="A32" s="41">
        <v>11</v>
      </c>
      <c r="B32" s="41">
        <v>3208</v>
      </c>
      <c r="C32" s="74" t="s">
        <v>4677</v>
      </c>
      <c r="D32" s="709"/>
      <c r="E32" s="718"/>
      <c r="F32" s="43"/>
      <c r="G32" s="37"/>
      <c r="H32" s="38"/>
      <c r="I32" s="44" t="s">
        <v>397</v>
      </c>
      <c r="J32" s="45" t="s">
        <v>398</v>
      </c>
      <c r="K32" s="46">
        <v>1</v>
      </c>
      <c r="L32" s="35"/>
      <c r="N32" s="145"/>
      <c r="O32" s="35"/>
      <c r="Q32" s="47">
        <f>ROUND((ROUND((_11_A通院１２．０*_11・２人),0)*(1+_11・A早朝)),0)</f>
        <v>833</v>
      </c>
      <c r="R32" s="48"/>
    </row>
    <row r="33" spans="1:18" ht="16.5" customHeight="1" x14ac:dyDescent="0.15">
      <c r="A33" s="41">
        <v>11</v>
      </c>
      <c r="B33" s="41">
        <v>3209</v>
      </c>
      <c r="C33" s="74" t="s">
        <v>4678</v>
      </c>
      <c r="D33" s="709"/>
      <c r="E33" s="718"/>
      <c r="F33" s="752" t="s">
        <v>400</v>
      </c>
      <c r="G33" s="49" t="s">
        <v>398</v>
      </c>
      <c r="H33" s="50">
        <v>0.7</v>
      </c>
      <c r="I33" s="44"/>
      <c r="J33" s="45"/>
      <c r="K33" s="46"/>
      <c r="L33" s="35"/>
      <c r="N33" s="145"/>
      <c r="O33" s="35"/>
      <c r="Q33" s="47">
        <f>ROUND((ROUND((_11_A通院１２．０*_11・基礎１),0)*(1+_11・A早朝)),0)</f>
        <v>583</v>
      </c>
      <c r="R33" s="48"/>
    </row>
    <row r="34" spans="1:18" ht="16.5" customHeight="1" x14ac:dyDescent="0.15">
      <c r="A34" s="41">
        <v>11</v>
      </c>
      <c r="B34" s="41">
        <v>3210</v>
      </c>
      <c r="C34" s="74" t="s">
        <v>4679</v>
      </c>
      <c r="D34" s="100">
        <f>_11_A通院１２．０</f>
        <v>666</v>
      </c>
      <c r="E34" s="12" t="s">
        <v>392</v>
      </c>
      <c r="F34" s="711"/>
      <c r="G34" s="37"/>
      <c r="H34" s="38"/>
      <c r="I34" s="44" t="s">
        <v>397</v>
      </c>
      <c r="J34" s="45" t="s">
        <v>398</v>
      </c>
      <c r="K34" s="46">
        <v>1</v>
      </c>
      <c r="L34" s="35"/>
      <c r="N34" s="57"/>
      <c r="O34" s="43"/>
      <c r="P34" s="37"/>
      <c r="Q34" s="47">
        <f>ROUND((ROUND((ROUND((_11_A通院１２．０*_11・基礎１),0)*_11・２人),0)*(1+_11・A早朝)),0)</f>
        <v>583</v>
      </c>
      <c r="R34" s="48"/>
    </row>
    <row r="35" spans="1:18" ht="16.5" customHeight="1" x14ac:dyDescent="0.15">
      <c r="A35" s="41">
        <v>11</v>
      </c>
      <c r="B35" s="41" t="s">
        <v>4680</v>
      </c>
      <c r="C35" s="74" t="s">
        <v>4681</v>
      </c>
      <c r="D35" s="121"/>
      <c r="E35" s="99"/>
      <c r="F35" s="53"/>
      <c r="G35" s="49"/>
      <c r="H35" s="50"/>
      <c r="I35" s="44"/>
      <c r="J35" s="45"/>
      <c r="K35" s="46"/>
      <c r="L35" s="35"/>
      <c r="N35" s="57"/>
      <c r="O35" s="707" t="s">
        <v>404</v>
      </c>
      <c r="P35" s="708"/>
      <c r="Q35" s="47">
        <f>ROUND((ROUND((_11_A通院１２．０*(1+_11・A早朝)),0)*_11・初任),0)</f>
        <v>583</v>
      </c>
      <c r="R35" s="48"/>
    </row>
    <row r="36" spans="1:18" ht="16.5" customHeight="1" x14ac:dyDescent="0.15">
      <c r="A36" s="41">
        <v>11</v>
      </c>
      <c r="B36" s="41" t="s">
        <v>4682</v>
      </c>
      <c r="C36" s="74" t="s">
        <v>4683</v>
      </c>
      <c r="D36" s="121"/>
      <c r="E36" s="99"/>
      <c r="F36" s="43"/>
      <c r="G36" s="37"/>
      <c r="H36" s="38"/>
      <c r="I36" s="44" t="s">
        <v>397</v>
      </c>
      <c r="J36" s="45" t="s">
        <v>398</v>
      </c>
      <c r="K36" s="46">
        <v>1</v>
      </c>
      <c r="L36" s="35"/>
      <c r="N36" s="57"/>
      <c r="O36" s="709"/>
      <c r="P36" s="704"/>
      <c r="Q36" s="47">
        <f>ROUND((ROUND((ROUND((_11_A通院１２．０*_11・２人),0)*(1+_11・A早朝)),0)*_11・初任),0)</f>
        <v>583</v>
      </c>
      <c r="R36" s="48"/>
    </row>
    <row r="37" spans="1:18" ht="16.5" customHeight="1" x14ac:dyDescent="0.15">
      <c r="A37" s="41">
        <v>11</v>
      </c>
      <c r="B37" s="41" t="s">
        <v>4684</v>
      </c>
      <c r="C37" s="74" t="s">
        <v>4685</v>
      </c>
      <c r="D37" s="72"/>
      <c r="E37" s="99"/>
      <c r="F37" s="752" t="s">
        <v>400</v>
      </c>
      <c r="G37" s="49" t="s">
        <v>398</v>
      </c>
      <c r="H37" s="50">
        <v>0.7</v>
      </c>
      <c r="I37" s="44"/>
      <c r="J37" s="45"/>
      <c r="K37" s="46"/>
      <c r="L37" s="35"/>
      <c r="N37" s="57"/>
      <c r="O37" s="709"/>
      <c r="P37" s="704"/>
      <c r="Q37" s="47">
        <f>ROUND((ROUND((ROUND((_11_A通院１２．０*_11・基礎１),0)*(1+_11・A早朝)),0)*_11・初任),0)</f>
        <v>408</v>
      </c>
      <c r="R37" s="48"/>
    </row>
    <row r="38" spans="1:18" ht="16.5" customHeight="1" x14ac:dyDescent="0.15">
      <c r="A38" s="41">
        <v>11</v>
      </c>
      <c r="B38" s="41" t="s">
        <v>4686</v>
      </c>
      <c r="C38" s="74" t="s">
        <v>4687</v>
      </c>
      <c r="D38" s="72"/>
      <c r="E38" s="99"/>
      <c r="F38" s="711"/>
      <c r="G38" s="37"/>
      <c r="H38" s="38"/>
      <c r="I38" s="44" t="s">
        <v>397</v>
      </c>
      <c r="J38" s="45" t="s">
        <v>398</v>
      </c>
      <c r="K38" s="46">
        <v>1</v>
      </c>
      <c r="L38" s="35"/>
      <c r="N38" s="57"/>
      <c r="O38" s="55" t="s">
        <v>398</v>
      </c>
      <c r="P38" s="38">
        <f>_11・初任</f>
        <v>0.7</v>
      </c>
      <c r="Q38" s="47">
        <f>ROUND((ROUND((ROUND((ROUND((_11_A通院１２．０*_11・基礎１),0)*_11・２人),0)*(1+_11・A早朝)),0)*_11・初任),0)</f>
        <v>408</v>
      </c>
      <c r="R38" s="48"/>
    </row>
    <row r="39" spans="1:18" ht="16.5" customHeight="1" x14ac:dyDescent="0.15">
      <c r="A39" s="41">
        <v>11</v>
      </c>
      <c r="B39" s="41">
        <v>3211</v>
      </c>
      <c r="C39" s="74" t="s">
        <v>4688</v>
      </c>
      <c r="D39" s="707" t="s">
        <v>728</v>
      </c>
      <c r="E39" s="717"/>
      <c r="F39" s="53"/>
      <c r="G39" s="49"/>
      <c r="H39" s="50"/>
      <c r="I39" s="44"/>
      <c r="J39" s="45"/>
      <c r="K39" s="46"/>
      <c r="L39" s="35"/>
      <c r="N39" s="57"/>
      <c r="O39" s="53"/>
      <c r="P39" s="49"/>
      <c r="Q39" s="47">
        <f>ROUND((_11_A通院１２．５*(1+_11・A早朝)),0)</f>
        <v>938</v>
      </c>
      <c r="R39" s="48"/>
    </row>
    <row r="40" spans="1:18" ht="16.5" customHeight="1" x14ac:dyDescent="0.15">
      <c r="A40" s="41">
        <v>11</v>
      </c>
      <c r="B40" s="41">
        <v>3212</v>
      </c>
      <c r="C40" s="74" t="s">
        <v>4689</v>
      </c>
      <c r="D40" s="709"/>
      <c r="E40" s="718"/>
      <c r="F40" s="43"/>
      <c r="G40" s="37"/>
      <c r="H40" s="38"/>
      <c r="I40" s="44" t="s">
        <v>397</v>
      </c>
      <c r="J40" s="45" t="s">
        <v>398</v>
      </c>
      <c r="K40" s="46">
        <v>1</v>
      </c>
      <c r="L40" s="35"/>
      <c r="N40" s="57"/>
      <c r="O40" s="35"/>
      <c r="Q40" s="47">
        <f>ROUND((ROUND((_11_A通院１２．５*_11・２人),0)*(1+_11・A早朝)),0)</f>
        <v>938</v>
      </c>
      <c r="R40" s="48"/>
    </row>
    <row r="41" spans="1:18" ht="16.5" customHeight="1" x14ac:dyDescent="0.15">
      <c r="A41" s="41">
        <v>11</v>
      </c>
      <c r="B41" s="41">
        <v>3213</v>
      </c>
      <c r="C41" s="74" t="s">
        <v>4690</v>
      </c>
      <c r="D41" s="709"/>
      <c r="E41" s="718"/>
      <c r="F41" s="752" t="s">
        <v>400</v>
      </c>
      <c r="G41" s="49" t="s">
        <v>398</v>
      </c>
      <c r="H41" s="50">
        <v>0.7</v>
      </c>
      <c r="I41" s="44"/>
      <c r="J41" s="45"/>
      <c r="K41" s="46"/>
      <c r="L41" s="35"/>
      <c r="N41" s="57"/>
      <c r="O41" s="35"/>
      <c r="Q41" s="47">
        <f>ROUND((ROUND((_11_A通院１２．５*_11・基礎１),0)*(1+_11・A早朝)),0)</f>
        <v>656</v>
      </c>
      <c r="R41" s="48"/>
    </row>
    <row r="42" spans="1:18" ht="16.5" customHeight="1" x14ac:dyDescent="0.15">
      <c r="A42" s="41">
        <v>11</v>
      </c>
      <c r="B42" s="41">
        <v>3214</v>
      </c>
      <c r="C42" s="74" t="s">
        <v>4691</v>
      </c>
      <c r="D42" s="100">
        <f>_11_A通院１２．５</f>
        <v>750</v>
      </c>
      <c r="E42" s="12" t="s">
        <v>392</v>
      </c>
      <c r="F42" s="711"/>
      <c r="G42" s="37"/>
      <c r="H42" s="38"/>
      <c r="I42" s="44" t="s">
        <v>397</v>
      </c>
      <c r="J42" s="45" t="s">
        <v>398</v>
      </c>
      <c r="K42" s="46">
        <v>1</v>
      </c>
      <c r="L42" s="35"/>
      <c r="N42" s="57"/>
      <c r="O42" s="43"/>
      <c r="P42" s="37"/>
      <c r="Q42" s="47">
        <f>ROUND((ROUND((ROUND((_11_A通院１２．５*_11・基礎１),0)*_11・２人),0)*(1+_11・A早朝)),0)</f>
        <v>656</v>
      </c>
      <c r="R42" s="48"/>
    </row>
    <row r="43" spans="1:18" ht="16.5" customHeight="1" x14ac:dyDescent="0.15">
      <c r="A43" s="41">
        <v>11</v>
      </c>
      <c r="B43" s="41" t="s">
        <v>4692</v>
      </c>
      <c r="C43" s="74" t="s">
        <v>4693</v>
      </c>
      <c r="D43" s="121"/>
      <c r="E43" s="99"/>
      <c r="F43" s="53"/>
      <c r="G43" s="49"/>
      <c r="H43" s="50"/>
      <c r="I43" s="44"/>
      <c r="J43" s="45"/>
      <c r="K43" s="46"/>
      <c r="L43" s="35"/>
      <c r="N43" s="57"/>
      <c r="O43" s="707" t="s">
        <v>404</v>
      </c>
      <c r="P43" s="708"/>
      <c r="Q43" s="47">
        <f>ROUND((ROUND((_11_A通院１２．５*(1+_11・A早朝)),0)*_11・初任),0)</f>
        <v>657</v>
      </c>
      <c r="R43" s="48"/>
    </row>
    <row r="44" spans="1:18" ht="16.5" customHeight="1" x14ac:dyDescent="0.15">
      <c r="A44" s="41">
        <v>11</v>
      </c>
      <c r="B44" s="41" t="s">
        <v>4694</v>
      </c>
      <c r="C44" s="74" t="s">
        <v>4695</v>
      </c>
      <c r="D44" s="121"/>
      <c r="E44" s="99"/>
      <c r="F44" s="43"/>
      <c r="G44" s="37"/>
      <c r="H44" s="38"/>
      <c r="I44" s="44" t="s">
        <v>397</v>
      </c>
      <c r="J44" s="45" t="s">
        <v>398</v>
      </c>
      <c r="K44" s="46">
        <v>1</v>
      </c>
      <c r="L44" s="35"/>
      <c r="N44" s="57"/>
      <c r="O44" s="709"/>
      <c r="P44" s="704"/>
      <c r="Q44" s="47">
        <f>ROUND((ROUND((ROUND((_11_A通院１２．５*_11・２人),0)*(1+_11・A早朝)),0)*_11・初任),0)</f>
        <v>657</v>
      </c>
      <c r="R44" s="48"/>
    </row>
    <row r="45" spans="1:18" ht="16.5" customHeight="1" x14ac:dyDescent="0.15">
      <c r="A45" s="41">
        <v>11</v>
      </c>
      <c r="B45" s="41" t="s">
        <v>4696</v>
      </c>
      <c r="C45" s="74" t="s">
        <v>4697</v>
      </c>
      <c r="D45" s="72"/>
      <c r="E45" s="99"/>
      <c r="F45" s="752" t="s">
        <v>400</v>
      </c>
      <c r="G45" s="49" t="s">
        <v>398</v>
      </c>
      <c r="H45" s="50">
        <v>0.7</v>
      </c>
      <c r="I45" s="44"/>
      <c r="J45" s="45"/>
      <c r="K45" s="46"/>
      <c r="L45" s="35"/>
      <c r="N45" s="57"/>
      <c r="O45" s="709"/>
      <c r="P45" s="704"/>
      <c r="Q45" s="47">
        <f>ROUND((ROUND((ROUND((_11_A通院１２．５*_11・基礎１),0)*(1+_11・A早朝)),0)*_11・初任),0)</f>
        <v>459</v>
      </c>
      <c r="R45" s="48"/>
    </row>
    <row r="46" spans="1:18" ht="16.5" customHeight="1" x14ac:dyDescent="0.15">
      <c r="A46" s="41">
        <v>11</v>
      </c>
      <c r="B46" s="41" t="s">
        <v>4698</v>
      </c>
      <c r="C46" s="74" t="s">
        <v>4699</v>
      </c>
      <c r="D46" s="122"/>
      <c r="E46" s="111"/>
      <c r="F46" s="711"/>
      <c r="G46" s="37"/>
      <c r="H46" s="38"/>
      <c r="I46" s="44" t="s">
        <v>397</v>
      </c>
      <c r="J46" s="45" t="s">
        <v>398</v>
      </c>
      <c r="K46" s="46">
        <v>1</v>
      </c>
      <c r="L46" s="43"/>
      <c r="M46" s="38"/>
      <c r="N46" s="79"/>
      <c r="O46" s="55" t="s">
        <v>398</v>
      </c>
      <c r="P46" s="38">
        <f>_11・初任</f>
        <v>0.7</v>
      </c>
      <c r="Q46" s="47">
        <f>ROUND((ROUND((ROUND((ROUND((_11_A通院１２．５*_11・基礎１),0)*_11・２人),0)*(1+_11・A早朝)),0)*_11・初任),0)</f>
        <v>459</v>
      </c>
      <c r="R46" s="63"/>
    </row>
    <row r="47" spans="1:18" ht="16.5" customHeight="1" x14ac:dyDescent="0.15">
      <c r="A47" s="80"/>
      <c r="B47" s="80"/>
      <c r="C47" s="81"/>
      <c r="Q47" s="84"/>
      <c r="R47" s="85"/>
    </row>
    <row r="48" spans="1:18" ht="16.5" customHeight="1" x14ac:dyDescent="0.15">
      <c r="A48" s="80"/>
      <c r="B48" s="80"/>
      <c r="C48" s="81"/>
      <c r="Q48" s="84"/>
      <c r="R48" s="85"/>
    </row>
    <row r="49" spans="1:18" ht="16.5" customHeight="1" x14ac:dyDescent="0.15">
      <c r="A49" s="80"/>
      <c r="B49" s="86" t="s">
        <v>4700</v>
      </c>
      <c r="C49" s="81"/>
      <c r="D49" s="71"/>
      <c r="Q49" s="84"/>
      <c r="R49" s="85"/>
    </row>
    <row r="50" spans="1:18" ht="16.5" customHeight="1" x14ac:dyDescent="0.15">
      <c r="A50" s="87" t="s">
        <v>384</v>
      </c>
      <c r="B50" s="20"/>
      <c r="C50" s="88" t="s">
        <v>385</v>
      </c>
      <c r="D50" s="23" t="s">
        <v>386</v>
      </c>
      <c r="E50" s="118"/>
      <c r="F50" s="23"/>
      <c r="G50" s="23"/>
      <c r="H50" s="24"/>
      <c r="I50" s="23"/>
      <c r="J50" s="23"/>
      <c r="K50" s="24"/>
      <c r="L50" s="23"/>
      <c r="M50" s="24"/>
      <c r="N50" s="23"/>
      <c r="O50" s="23"/>
      <c r="P50" s="23"/>
      <c r="Q50" s="25" t="s">
        <v>387</v>
      </c>
      <c r="R50" s="21" t="s">
        <v>388</v>
      </c>
    </row>
    <row r="51" spans="1:18" ht="16.5" customHeight="1" x14ac:dyDescent="0.15">
      <c r="A51" s="26" t="s">
        <v>389</v>
      </c>
      <c r="B51" s="26" t="s">
        <v>390</v>
      </c>
      <c r="C51" s="89"/>
      <c r="D51" s="29"/>
      <c r="E51" s="120"/>
      <c r="F51" s="29"/>
      <c r="G51" s="29"/>
      <c r="H51" s="30"/>
      <c r="I51" s="29"/>
      <c r="J51" s="29"/>
      <c r="K51" s="30"/>
      <c r="L51" s="29"/>
      <c r="M51" s="30"/>
      <c r="N51" s="29"/>
      <c r="O51" s="29"/>
      <c r="P51" s="29"/>
      <c r="Q51" s="31" t="s">
        <v>391</v>
      </c>
      <c r="R51" s="32" t="s">
        <v>392</v>
      </c>
    </row>
    <row r="52" spans="1:18" ht="16.5" customHeight="1" x14ac:dyDescent="0.15">
      <c r="A52" s="33">
        <v>11</v>
      </c>
      <c r="B52" s="33">
        <v>3215</v>
      </c>
      <c r="C52" s="34" t="s">
        <v>4701</v>
      </c>
      <c r="D52" s="709" t="s">
        <v>742</v>
      </c>
      <c r="E52" s="718"/>
      <c r="F52" s="35"/>
      <c r="I52" s="36"/>
      <c r="J52" s="37"/>
      <c r="K52" s="38"/>
      <c r="L52" s="35" t="s">
        <v>743</v>
      </c>
      <c r="N52" s="57"/>
      <c r="O52" s="35"/>
      <c r="Q52" s="39">
        <f>ROUND((_11_A通院１０．５*(1+_11・A夜間)),0)</f>
        <v>319</v>
      </c>
      <c r="R52" s="40" t="s">
        <v>395</v>
      </c>
    </row>
    <row r="53" spans="1:18" ht="16.5" customHeight="1" x14ac:dyDescent="0.15">
      <c r="A53" s="41">
        <v>11</v>
      </c>
      <c r="B53" s="41">
        <v>3216</v>
      </c>
      <c r="C53" s="74" t="s">
        <v>4702</v>
      </c>
      <c r="D53" s="709"/>
      <c r="E53" s="718"/>
      <c r="F53" s="43"/>
      <c r="G53" s="37"/>
      <c r="H53" s="38"/>
      <c r="I53" s="44" t="s">
        <v>397</v>
      </c>
      <c r="J53" s="45" t="s">
        <v>398</v>
      </c>
      <c r="K53" s="46">
        <v>1</v>
      </c>
      <c r="L53" s="35" t="s">
        <v>398</v>
      </c>
      <c r="M53" s="13">
        <v>0.25</v>
      </c>
      <c r="N53" s="728" t="s">
        <v>676</v>
      </c>
      <c r="O53" s="35"/>
      <c r="Q53" s="47">
        <f>ROUND((ROUND((_11_A通院１０．５*_11・２人),0)*(1+_11・A夜間)),0)</f>
        <v>319</v>
      </c>
      <c r="R53" s="48"/>
    </row>
    <row r="54" spans="1:18" ht="16.5" customHeight="1" x14ac:dyDescent="0.15">
      <c r="A54" s="41">
        <v>11</v>
      </c>
      <c r="B54" s="41">
        <v>3217</v>
      </c>
      <c r="C54" s="74" t="s">
        <v>4703</v>
      </c>
      <c r="D54" s="709"/>
      <c r="E54" s="718"/>
      <c r="F54" s="752" t="s">
        <v>400</v>
      </c>
      <c r="G54" s="49" t="s">
        <v>398</v>
      </c>
      <c r="H54" s="50">
        <v>0.7</v>
      </c>
      <c r="I54" s="44"/>
      <c r="J54" s="45"/>
      <c r="K54" s="46"/>
      <c r="L54" s="35"/>
      <c r="N54" s="728"/>
      <c r="O54" s="35"/>
      <c r="Q54" s="47">
        <f>ROUND((ROUND((_11_A通院１０．５*_11・基礎１),0)*(1+_11・A夜間)),0)</f>
        <v>224</v>
      </c>
      <c r="R54" s="48"/>
    </row>
    <row r="55" spans="1:18" ht="16.5" customHeight="1" x14ac:dyDescent="0.15">
      <c r="A55" s="41">
        <v>11</v>
      </c>
      <c r="B55" s="41">
        <v>3218</v>
      </c>
      <c r="C55" s="74" t="s">
        <v>4704</v>
      </c>
      <c r="D55" s="100">
        <f>_11_A通院１０．５</f>
        <v>255</v>
      </c>
      <c r="E55" s="12" t="s">
        <v>392</v>
      </c>
      <c r="F55" s="711"/>
      <c r="G55" s="37"/>
      <c r="H55" s="38"/>
      <c r="I55" s="44" t="s">
        <v>397</v>
      </c>
      <c r="J55" s="45" t="s">
        <v>398</v>
      </c>
      <c r="K55" s="46">
        <v>1</v>
      </c>
      <c r="L55" s="35"/>
      <c r="N55" s="57"/>
      <c r="O55" s="43"/>
      <c r="P55" s="37"/>
      <c r="Q55" s="47">
        <f>ROUND((ROUND((ROUND((_11_A通院１０．５*_11・基礎１),0)*_11・２人),0)*(1+_11・A夜間)),0)</f>
        <v>224</v>
      </c>
      <c r="R55" s="48"/>
    </row>
    <row r="56" spans="1:18" ht="16.5" customHeight="1" x14ac:dyDescent="0.15">
      <c r="A56" s="41">
        <v>11</v>
      </c>
      <c r="B56" s="41" t="s">
        <v>4705</v>
      </c>
      <c r="C56" s="74" t="s">
        <v>4706</v>
      </c>
      <c r="D56" s="72"/>
      <c r="E56" s="99"/>
      <c r="F56" s="53"/>
      <c r="G56" s="49"/>
      <c r="H56" s="50"/>
      <c r="I56" s="44"/>
      <c r="J56" s="45"/>
      <c r="K56" s="46"/>
      <c r="L56" s="35"/>
      <c r="N56" s="57"/>
      <c r="O56" s="707" t="s">
        <v>404</v>
      </c>
      <c r="P56" s="708"/>
      <c r="Q56" s="47">
        <f>ROUND((ROUND((_11_A通院１０．５*(1+_11・A夜間)),0)*_11・初任),0)</f>
        <v>223</v>
      </c>
      <c r="R56" s="48"/>
    </row>
    <row r="57" spans="1:18" ht="16.5" customHeight="1" x14ac:dyDescent="0.15">
      <c r="A57" s="41">
        <v>11</v>
      </c>
      <c r="B57" s="41" t="s">
        <v>4707</v>
      </c>
      <c r="C57" s="74" t="s">
        <v>4708</v>
      </c>
      <c r="D57" s="72"/>
      <c r="E57" s="99"/>
      <c r="F57" s="43"/>
      <c r="G57" s="37"/>
      <c r="H57" s="38"/>
      <c r="I57" s="44" t="s">
        <v>397</v>
      </c>
      <c r="J57" s="45" t="s">
        <v>398</v>
      </c>
      <c r="K57" s="46">
        <v>1</v>
      </c>
      <c r="L57" s="35"/>
      <c r="N57" s="57"/>
      <c r="O57" s="709"/>
      <c r="P57" s="704"/>
      <c r="Q57" s="47">
        <f>ROUND((ROUND((ROUND((_11_A通院１０．５*_11・２人),0)*(1+_11・A夜間)),0)*_11・初任),0)</f>
        <v>223</v>
      </c>
      <c r="R57" s="48"/>
    </row>
    <row r="58" spans="1:18" ht="16.5" customHeight="1" x14ac:dyDescent="0.15">
      <c r="A58" s="41">
        <v>11</v>
      </c>
      <c r="B58" s="41" t="s">
        <v>4709</v>
      </c>
      <c r="C58" s="74" t="s">
        <v>4710</v>
      </c>
      <c r="D58" s="72"/>
      <c r="E58" s="99"/>
      <c r="F58" s="752" t="s">
        <v>400</v>
      </c>
      <c r="G58" s="49" t="s">
        <v>398</v>
      </c>
      <c r="H58" s="50">
        <v>0.7</v>
      </c>
      <c r="I58" s="44"/>
      <c r="J58" s="45"/>
      <c r="K58" s="46"/>
      <c r="L58" s="35"/>
      <c r="N58" s="57"/>
      <c r="O58" s="709"/>
      <c r="P58" s="704"/>
      <c r="Q58" s="47">
        <f>ROUND((ROUND((ROUND((_11_A通院１０．５*_11・基礎１),0)*(1+_11・A夜間)),0)*_11・初任),0)</f>
        <v>157</v>
      </c>
      <c r="R58" s="48"/>
    </row>
    <row r="59" spans="1:18" ht="16.5" customHeight="1" x14ac:dyDescent="0.15">
      <c r="A59" s="41">
        <v>11</v>
      </c>
      <c r="B59" s="41" t="s">
        <v>4711</v>
      </c>
      <c r="C59" s="74" t="s">
        <v>4712</v>
      </c>
      <c r="D59" s="72"/>
      <c r="E59" s="99"/>
      <c r="F59" s="711"/>
      <c r="G59" s="37"/>
      <c r="H59" s="38"/>
      <c r="I59" s="44" t="s">
        <v>397</v>
      </c>
      <c r="J59" s="45" t="s">
        <v>398</v>
      </c>
      <c r="K59" s="46">
        <v>1</v>
      </c>
      <c r="L59" s="35"/>
      <c r="N59" s="57"/>
      <c r="O59" s="55" t="s">
        <v>398</v>
      </c>
      <c r="P59" s="38">
        <f>_11・初任</f>
        <v>0.7</v>
      </c>
      <c r="Q59" s="47">
        <f>ROUND((ROUND((ROUND((ROUND((_11_A通院１０．５*_11・基礎１),0)*_11・２人),0)*(1+_11・A夜間)),0)*_11・初任),0)</f>
        <v>157</v>
      </c>
      <c r="R59" s="48"/>
    </row>
    <row r="60" spans="1:18" ht="16.5" customHeight="1" x14ac:dyDescent="0.15">
      <c r="A60" s="41">
        <v>11</v>
      </c>
      <c r="B60" s="41">
        <v>3219</v>
      </c>
      <c r="C60" s="74" t="s">
        <v>4713</v>
      </c>
      <c r="D60" s="707" t="s">
        <v>756</v>
      </c>
      <c r="E60" s="717"/>
      <c r="F60" s="53"/>
      <c r="G60" s="49"/>
      <c r="H60" s="50"/>
      <c r="I60" s="44"/>
      <c r="J60" s="45"/>
      <c r="K60" s="46"/>
      <c r="L60" s="35"/>
      <c r="N60" s="57"/>
      <c r="O60" s="53"/>
      <c r="P60" s="49"/>
      <c r="Q60" s="47">
        <f>ROUND((_11_A通院１１．０*(1+_11・A夜間)),0)</f>
        <v>503</v>
      </c>
      <c r="R60" s="48"/>
    </row>
    <row r="61" spans="1:18" ht="16.5" customHeight="1" x14ac:dyDescent="0.15">
      <c r="A61" s="41">
        <v>11</v>
      </c>
      <c r="B61" s="41">
        <v>3220</v>
      </c>
      <c r="C61" s="74" t="s">
        <v>4714</v>
      </c>
      <c r="D61" s="709"/>
      <c r="E61" s="718"/>
      <c r="F61" s="43"/>
      <c r="G61" s="37"/>
      <c r="H61" s="38"/>
      <c r="I61" s="44" t="s">
        <v>397</v>
      </c>
      <c r="J61" s="45" t="s">
        <v>398</v>
      </c>
      <c r="K61" s="46">
        <v>1</v>
      </c>
      <c r="L61" s="35"/>
      <c r="N61" s="57"/>
      <c r="O61" s="35"/>
      <c r="Q61" s="47">
        <f>ROUND((ROUND((_11_A通院１１．０*_11・２人),0)*(1+_11・A夜間)),0)</f>
        <v>503</v>
      </c>
      <c r="R61" s="48"/>
    </row>
    <row r="62" spans="1:18" ht="16.5" customHeight="1" x14ac:dyDescent="0.15">
      <c r="A62" s="41">
        <v>11</v>
      </c>
      <c r="B62" s="41">
        <v>3221</v>
      </c>
      <c r="C62" s="74" t="s">
        <v>4715</v>
      </c>
      <c r="D62" s="709"/>
      <c r="E62" s="718"/>
      <c r="F62" s="752" t="s">
        <v>400</v>
      </c>
      <c r="G62" s="49" t="s">
        <v>398</v>
      </c>
      <c r="H62" s="50">
        <v>0.7</v>
      </c>
      <c r="I62" s="44"/>
      <c r="J62" s="45"/>
      <c r="K62" s="46"/>
      <c r="L62" s="35"/>
      <c r="N62" s="57"/>
      <c r="O62" s="35"/>
      <c r="Q62" s="47">
        <f>ROUND((ROUND((_11_A通院１１．０*_11・基礎１),0)*(1+_11・A夜間)),0)</f>
        <v>351</v>
      </c>
      <c r="R62" s="48"/>
    </row>
    <row r="63" spans="1:18" ht="16.5" customHeight="1" x14ac:dyDescent="0.15">
      <c r="A63" s="41">
        <v>11</v>
      </c>
      <c r="B63" s="41">
        <v>3222</v>
      </c>
      <c r="C63" s="74" t="s">
        <v>4716</v>
      </c>
      <c r="D63" s="100">
        <f>_11_A通院１１．０</f>
        <v>402</v>
      </c>
      <c r="E63" s="12" t="s">
        <v>392</v>
      </c>
      <c r="F63" s="711"/>
      <c r="G63" s="37"/>
      <c r="H63" s="38"/>
      <c r="I63" s="44" t="s">
        <v>397</v>
      </c>
      <c r="J63" s="45" t="s">
        <v>398</v>
      </c>
      <c r="K63" s="46">
        <v>1</v>
      </c>
      <c r="L63" s="35"/>
      <c r="N63" s="57"/>
      <c r="O63" s="43"/>
      <c r="P63" s="37"/>
      <c r="Q63" s="47">
        <f>ROUND((ROUND((ROUND((_11_A通院１１．０*_11・基礎１),0)*_11・２人),0)*(1+_11・A夜間)),0)</f>
        <v>351</v>
      </c>
      <c r="R63" s="48"/>
    </row>
    <row r="64" spans="1:18" ht="16.5" customHeight="1" x14ac:dyDescent="0.15">
      <c r="A64" s="41">
        <v>11</v>
      </c>
      <c r="B64" s="41" t="s">
        <v>4717</v>
      </c>
      <c r="C64" s="74" t="s">
        <v>4718</v>
      </c>
      <c r="D64" s="72"/>
      <c r="E64" s="99"/>
      <c r="F64" s="53"/>
      <c r="G64" s="49"/>
      <c r="H64" s="50"/>
      <c r="I64" s="44"/>
      <c r="J64" s="45"/>
      <c r="K64" s="46"/>
      <c r="L64" s="35"/>
      <c r="N64" s="57"/>
      <c r="O64" s="707" t="s">
        <v>404</v>
      </c>
      <c r="P64" s="708"/>
      <c r="Q64" s="47">
        <f>ROUND((ROUND((_11_A通院１１．０*(1+_11・A夜間)),0)*_11・初任),0)</f>
        <v>352</v>
      </c>
      <c r="R64" s="48"/>
    </row>
    <row r="65" spans="1:18" ht="16.5" customHeight="1" x14ac:dyDescent="0.15">
      <c r="A65" s="41">
        <v>11</v>
      </c>
      <c r="B65" s="41" t="s">
        <v>4719</v>
      </c>
      <c r="C65" s="74" t="s">
        <v>4720</v>
      </c>
      <c r="D65" s="72"/>
      <c r="E65" s="99"/>
      <c r="F65" s="43"/>
      <c r="G65" s="37"/>
      <c r="H65" s="38"/>
      <c r="I65" s="44" t="s">
        <v>397</v>
      </c>
      <c r="J65" s="45" t="s">
        <v>398</v>
      </c>
      <c r="K65" s="46">
        <v>1</v>
      </c>
      <c r="L65" s="35"/>
      <c r="N65" s="57"/>
      <c r="O65" s="709"/>
      <c r="P65" s="704"/>
      <c r="Q65" s="47">
        <f>ROUND((ROUND((ROUND((_11_A通院１１．０*_11・２人),0)*(1+_11・A夜間)),0)*_11・初任),0)</f>
        <v>352</v>
      </c>
      <c r="R65" s="48"/>
    </row>
    <row r="66" spans="1:18" ht="16.5" customHeight="1" x14ac:dyDescent="0.15">
      <c r="A66" s="41">
        <v>11</v>
      </c>
      <c r="B66" s="41" t="s">
        <v>4721</v>
      </c>
      <c r="C66" s="74" t="s">
        <v>4722</v>
      </c>
      <c r="D66" s="72"/>
      <c r="E66" s="99"/>
      <c r="F66" s="752" t="s">
        <v>400</v>
      </c>
      <c r="G66" s="49" t="s">
        <v>398</v>
      </c>
      <c r="H66" s="50">
        <v>0.7</v>
      </c>
      <c r="I66" s="44"/>
      <c r="J66" s="45"/>
      <c r="K66" s="46"/>
      <c r="L66" s="35"/>
      <c r="N66" s="57"/>
      <c r="O66" s="709"/>
      <c r="P66" s="704"/>
      <c r="Q66" s="47">
        <f>ROUND((ROUND((ROUND((_11_A通院１１．０*_11・基礎１),0)*(1+_11・A夜間)),0)*_11・初任),0)</f>
        <v>246</v>
      </c>
      <c r="R66" s="48"/>
    </row>
    <row r="67" spans="1:18" ht="16.5" customHeight="1" x14ac:dyDescent="0.15">
      <c r="A67" s="41">
        <v>11</v>
      </c>
      <c r="B67" s="41" t="s">
        <v>4723</v>
      </c>
      <c r="C67" s="74" t="s">
        <v>4724</v>
      </c>
      <c r="D67" s="72"/>
      <c r="E67" s="99"/>
      <c r="F67" s="711"/>
      <c r="G67" s="37"/>
      <c r="H67" s="38"/>
      <c r="I67" s="44" t="s">
        <v>397</v>
      </c>
      <c r="J67" s="45" t="s">
        <v>398</v>
      </c>
      <c r="K67" s="46">
        <v>1</v>
      </c>
      <c r="L67" s="35"/>
      <c r="N67" s="57"/>
      <c r="O67" s="55" t="s">
        <v>398</v>
      </c>
      <c r="P67" s="38">
        <f>_11・初任</f>
        <v>0.7</v>
      </c>
      <c r="Q67" s="47">
        <f>ROUND((ROUND((ROUND((ROUND((_11_A通院１１．０*_11・基礎１),0)*_11・２人),0)*(1+_11・A夜間)),0)*_11・初任),0)</f>
        <v>246</v>
      </c>
      <c r="R67" s="48"/>
    </row>
    <row r="68" spans="1:18" ht="16.5" customHeight="1" x14ac:dyDescent="0.15">
      <c r="A68" s="41">
        <v>11</v>
      </c>
      <c r="B68" s="41">
        <v>3223</v>
      </c>
      <c r="C68" s="74" t="s">
        <v>4725</v>
      </c>
      <c r="D68" s="707" t="s">
        <v>1732</v>
      </c>
      <c r="E68" s="717"/>
      <c r="F68" s="53"/>
      <c r="G68" s="49"/>
      <c r="H68" s="50"/>
      <c r="I68" s="44"/>
      <c r="J68" s="45"/>
      <c r="K68" s="46"/>
      <c r="L68" s="35"/>
      <c r="N68" s="57"/>
      <c r="O68" s="53"/>
      <c r="P68" s="49"/>
      <c r="Q68" s="47">
        <f>ROUND((_11_A通院１１．５*(1+_11・A夜間)),0)</f>
        <v>730</v>
      </c>
      <c r="R68" s="48"/>
    </row>
    <row r="69" spans="1:18" ht="16.5" customHeight="1" x14ac:dyDescent="0.15">
      <c r="A69" s="41">
        <v>11</v>
      </c>
      <c r="B69" s="41">
        <v>3224</v>
      </c>
      <c r="C69" s="74" t="s">
        <v>4726</v>
      </c>
      <c r="D69" s="709"/>
      <c r="E69" s="718"/>
      <c r="F69" s="43"/>
      <c r="G69" s="37"/>
      <c r="H69" s="38"/>
      <c r="I69" s="44" t="s">
        <v>397</v>
      </c>
      <c r="J69" s="45" t="s">
        <v>398</v>
      </c>
      <c r="K69" s="46">
        <v>1</v>
      </c>
      <c r="L69" s="35"/>
      <c r="N69" s="57"/>
      <c r="O69" s="35"/>
      <c r="Q69" s="47">
        <f>ROUND((ROUND((_11_A通院１１．５*_11・２人),0)*(1+_11・A夜間)),0)</f>
        <v>730</v>
      </c>
      <c r="R69" s="48"/>
    </row>
    <row r="70" spans="1:18" ht="16.5" customHeight="1" x14ac:dyDescent="0.15">
      <c r="A70" s="41">
        <v>11</v>
      </c>
      <c r="B70" s="41">
        <v>3225</v>
      </c>
      <c r="C70" s="74" t="s">
        <v>4727</v>
      </c>
      <c r="D70" s="709"/>
      <c r="E70" s="718"/>
      <c r="F70" s="752" t="s">
        <v>400</v>
      </c>
      <c r="G70" s="49" t="s">
        <v>398</v>
      </c>
      <c r="H70" s="50">
        <v>0.7</v>
      </c>
      <c r="I70" s="44"/>
      <c r="J70" s="45"/>
      <c r="K70" s="46"/>
      <c r="L70" s="35"/>
      <c r="N70" s="57"/>
      <c r="O70" s="35"/>
      <c r="Q70" s="47">
        <f>ROUND((ROUND((_11_A通院１１．５*_11・基礎１),0)*(1+_11・A夜間)),0)</f>
        <v>511</v>
      </c>
      <c r="R70" s="48"/>
    </row>
    <row r="71" spans="1:18" ht="16.5" customHeight="1" x14ac:dyDescent="0.15">
      <c r="A71" s="41">
        <v>11</v>
      </c>
      <c r="B71" s="41">
        <v>3226</v>
      </c>
      <c r="C71" s="74" t="s">
        <v>4728</v>
      </c>
      <c r="D71" s="100">
        <f>_11_A通院１１．５</f>
        <v>584</v>
      </c>
      <c r="E71" s="12" t="s">
        <v>392</v>
      </c>
      <c r="F71" s="711"/>
      <c r="G71" s="37"/>
      <c r="H71" s="38"/>
      <c r="I71" s="44" t="s">
        <v>397</v>
      </c>
      <c r="J71" s="45" t="s">
        <v>398</v>
      </c>
      <c r="K71" s="46">
        <v>1</v>
      </c>
      <c r="L71" s="35"/>
      <c r="N71" s="57"/>
      <c r="O71" s="43"/>
      <c r="P71" s="37"/>
      <c r="Q71" s="47">
        <f>ROUND((ROUND((ROUND((_11_A通院１１．５*_11・基礎１),0)*_11・２人),0)*(1+_11・A夜間)),0)</f>
        <v>511</v>
      </c>
      <c r="R71" s="48"/>
    </row>
    <row r="72" spans="1:18" ht="16.5" customHeight="1" x14ac:dyDescent="0.15">
      <c r="A72" s="41">
        <v>11</v>
      </c>
      <c r="B72" s="41" t="s">
        <v>4729</v>
      </c>
      <c r="C72" s="74" t="s">
        <v>4730</v>
      </c>
      <c r="D72" s="72"/>
      <c r="E72" s="99"/>
      <c r="F72" s="53"/>
      <c r="G72" s="49"/>
      <c r="H72" s="50"/>
      <c r="I72" s="44"/>
      <c r="J72" s="45"/>
      <c r="K72" s="46"/>
      <c r="L72" s="35"/>
      <c r="N72" s="57"/>
      <c r="O72" s="707" t="s">
        <v>404</v>
      </c>
      <c r="P72" s="708"/>
      <c r="Q72" s="47">
        <f>ROUND((ROUND((_11_A通院１１．５*(1+_11・A夜間)),0)*_11・初任),0)</f>
        <v>511</v>
      </c>
      <c r="R72" s="48"/>
    </row>
    <row r="73" spans="1:18" ht="16.5" customHeight="1" x14ac:dyDescent="0.15">
      <c r="A73" s="41">
        <v>11</v>
      </c>
      <c r="B73" s="41" t="s">
        <v>4731</v>
      </c>
      <c r="C73" s="74" t="s">
        <v>4732</v>
      </c>
      <c r="D73" s="72"/>
      <c r="E73" s="99"/>
      <c r="F73" s="43"/>
      <c r="G73" s="37"/>
      <c r="H73" s="38"/>
      <c r="I73" s="44" t="s">
        <v>397</v>
      </c>
      <c r="J73" s="45" t="s">
        <v>398</v>
      </c>
      <c r="K73" s="46">
        <v>1</v>
      </c>
      <c r="L73" s="35"/>
      <c r="N73" s="57"/>
      <c r="O73" s="709"/>
      <c r="P73" s="704"/>
      <c r="Q73" s="47">
        <f>ROUND((ROUND((ROUND((_11_A通院１１．５*_11・２人),0)*(1+_11・A夜間)),0)*_11・初任),0)</f>
        <v>511</v>
      </c>
      <c r="R73" s="48"/>
    </row>
    <row r="74" spans="1:18" ht="16.5" customHeight="1" x14ac:dyDescent="0.15">
      <c r="A74" s="41">
        <v>11</v>
      </c>
      <c r="B74" s="41" t="s">
        <v>4733</v>
      </c>
      <c r="C74" s="74" t="s">
        <v>4734</v>
      </c>
      <c r="D74" s="72"/>
      <c r="E74" s="99"/>
      <c r="F74" s="752" t="s">
        <v>400</v>
      </c>
      <c r="G74" s="49" t="s">
        <v>398</v>
      </c>
      <c r="H74" s="50">
        <v>0.7</v>
      </c>
      <c r="I74" s="44"/>
      <c r="J74" s="45"/>
      <c r="K74" s="46"/>
      <c r="L74" s="35"/>
      <c r="N74" s="57"/>
      <c r="O74" s="709"/>
      <c r="P74" s="704"/>
      <c r="Q74" s="47">
        <f>ROUND((ROUND((ROUND((_11_A通院１１．５*_11・基礎１),0)*(1+_11・A夜間)),0)*_11・初任),0)</f>
        <v>358</v>
      </c>
      <c r="R74" s="48"/>
    </row>
    <row r="75" spans="1:18" ht="16.5" customHeight="1" x14ac:dyDescent="0.15">
      <c r="A75" s="41">
        <v>11</v>
      </c>
      <c r="B75" s="41" t="s">
        <v>4735</v>
      </c>
      <c r="C75" s="74" t="s">
        <v>4736</v>
      </c>
      <c r="D75" s="72"/>
      <c r="E75" s="99"/>
      <c r="F75" s="711"/>
      <c r="G75" s="37"/>
      <c r="H75" s="38"/>
      <c r="I75" s="44" t="s">
        <v>397</v>
      </c>
      <c r="J75" s="45" t="s">
        <v>398</v>
      </c>
      <c r="K75" s="46">
        <v>1</v>
      </c>
      <c r="L75" s="35"/>
      <c r="N75" s="57"/>
      <c r="O75" s="55" t="s">
        <v>398</v>
      </c>
      <c r="P75" s="38">
        <f>_11・初任</f>
        <v>0.7</v>
      </c>
      <c r="Q75" s="47">
        <f>ROUND((ROUND((ROUND((ROUND((_11_A通院１１．５*_11・基礎１),0)*_11・２人),0)*(1+_11・A夜間)),0)*_11・初任),0)</f>
        <v>358</v>
      </c>
      <c r="R75" s="48"/>
    </row>
    <row r="76" spans="1:18" ht="16.5" customHeight="1" x14ac:dyDescent="0.15">
      <c r="A76" s="41">
        <v>11</v>
      </c>
      <c r="B76" s="41">
        <v>3227</v>
      </c>
      <c r="C76" s="74" t="s">
        <v>4737</v>
      </c>
      <c r="D76" s="707" t="s">
        <v>782</v>
      </c>
      <c r="E76" s="717"/>
      <c r="F76" s="53"/>
      <c r="G76" s="49"/>
      <c r="H76" s="50"/>
      <c r="I76" s="44"/>
      <c r="J76" s="45"/>
      <c r="K76" s="46"/>
      <c r="L76" s="35"/>
      <c r="N76" s="57"/>
      <c r="O76" s="53"/>
      <c r="P76" s="49"/>
      <c r="Q76" s="47">
        <f>ROUND((_11_A通院１２．０*(1+_11・A夜間)),0)</f>
        <v>833</v>
      </c>
      <c r="R76" s="48"/>
    </row>
    <row r="77" spans="1:18" ht="16.5" customHeight="1" x14ac:dyDescent="0.15">
      <c r="A77" s="41">
        <v>11</v>
      </c>
      <c r="B77" s="41">
        <v>3228</v>
      </c>
      <c r="C77" s="74" t="s">
        <v>4738</v>
      </c>
      <c r="D77" s="709"/>
      <c r="E77" s="718"/>
      <c r="F77" s="43"/>
      <c r="G77" s="37"/>
      <c r="H77" s="38"/>
      <c r="I77" s="44" t="s">
        <v>397</v>
      </c>
      <c r="J77" s="45" t="s">
        <v>398</v>
      </c>
      <c r="K77" s="46">
        <v>1</v>
      </c>
      <c r="L77" s="35"/>
      <c r="N77" s="57"/>
      <c r="O77" s="35"/>
      <c r="Q77" s="47">
        <f>ROUND((ROUND((_11_A通院１２．０*_11・２人),0)*(1+_11・A夜間)),0)</f>
        <v>833</v>
      </c>
      <c r="R77" s="48"/>
    </row>
    <row r="78" spans="1:18" ht="16.5" customHeight="1" x14ac:dyDescent="0.15">
      <c r="A78" s="41">
        <v>11</v>
      </c>
      <c r="B78" s="41">
        <v>3229</v>
      </c>
      <c r="C78" s="74" t="s">
        <v>4739</v>
      </c>
      <c r="D78" s="709"/>
      <c r="E78" s="718"/>
      <c r="F78" s="752" t="s">
        <v>400</v>
      </c>
      <c r="G78" s="49" t="s">
        <v>398</v>
      </c>
      <c r="H78" s="50">
        <v>0.7</v>
      </c>
      <c r="I78" s="44"/>
      <c r="J78" s="45"/>
      <c r="K78" s="46"/>
      <c r="L78" s="35"/>
      <c r="N78" s="57"/>
      <c r="O78" s="35"/>
      <c r="Q78" s="47">
        <f>ROUND((ROUND((_11_A通院１２．０*_11・基礎１),0)*(1+_11・A夜間)),0)</f>
        <v>583</v>
      </c>
      <c r="R78" s="48"/>
    </row>
    <row r="79" spans="1:18" ht="16.5" customHeight="1" x14ac:dyDescent="0.15">
      <c r="A79" s="41">
        <v>11</v>
      </c>
      <c r="B79" s="41">
        <v>3230</v>
      </c>
      <c r="C79" s="74" t="s">
        <v>4740</v>
      </c>
      <c r="D79" s="100">
        <f>_11_A通院１２．０</f>
        <v>666</v>
      </c>
      <c r="E79" s="12" t="s">
        <v>392</v>
      </c>
      <c r="F79" s="711"/>
      <c r="G79" s="37"/>
      <c r="H79" s="38"/>
      <c r="I79" s="44" t="s">
        <v>397</v>
      </c>
      <c r="J79" s="45" t="s">
        <v>398</v>
      </c>
      <c r="K79" s="46">
        <v>1</v>
      </c>
      <c r="L79" s="35"/>
      <c r="N79" s="57"/>
      <c r="O79" s="43"/>
      <c r="P79" s="37"/>
      <c r="Q79" s="47">
        <f>ROUND((ROUND((ROUND((_11_A通院１２．０*_11・基礎１),0)*_11・２人),0)*(1+_11・A夜間)),0)</f>
        <v>583</v>
      </c>
      <c r="R79" s="48"/>
    </row>
    <row r="80" spans="1:18" ht="16.5" customHeight="1" x14ac:dyDescent="0.15">
      <c r="A80" s="41">
        <v>11</v>
      </c>
      <c r="B80" s="41" t="s">
        <v>4741</v>
      </c>
      <c r="C80" s="74" t="s">
        <v>4742</v>
      </c>
      <c r="D80" s="72"/>
      <c r="E80" s="99"/>
      <c r="F80" s="53"/>
      <c r="G80" s="49"/>
      <c r="H80" s="50"/>
      <c r="I80" s="44"/>
      <c r="J80" s="45"/>
      <c r="K80" s="46"/>
      <c r="L80" s="35"/>
      <c r="N80" s="57"/>
      <c r="O80" s="707" t="s">
        <v>404</v>
      </c>
      <c r="P80" s="708"/>
      <c r="Q80" s="47">
        <f>ROUND((ROUND((_11_A通院１２．０*(1+_11・A夜間)),0)*_11・初任),0)</f>
        <v>583</v>
      </c>
      <c r="R80" s="48"/>
    </row>
    <row r="81" spans="1:18" ht="16.5" customHeight="1" x14ac:dyDescent="0.15">
      <c r="A81" s="41">
        <v>11</v>
      </c>
      <c r="B81" s="41" t="s">
        <v>4743</v>
      </c>
      <c r="C81" s="74" t="s">
        <v>4744</v>
      </c>
      <c r="D81" s="72"/>
      <c r="E81" s="99"/>
      <c r="F81" s="43"/>
      <c r="G81" s="37"/>
      <c r="H81" s="38"/>
      <c r="I81" s="44" t="s">
        <v>397</v>
      </c>
      <c r="J81" s="45" t="s">
        <v>398</v>
      </c>
      <c r="K81" s="46">
        <v>1</v>
      </c>
      <c r="L81" s="35"/>
      <c r="N81" s="57"/>
      <c r="O81" s="709"/>
      <c r="P81" s="704"/>
      <c r="Q81" s="47">
        <f>ROUND((ROUND((ROUND((_11_A通院１２．０*_11・２人),0)*(1+_11・A夜間)),0)*_11・初任),0)</f>
        <v>583</v>
      </c>
      <c r="R81" s="48"/>
    </row>
    <row r="82" spans="1:18" ht="16.5" customHeight="1" x14ac:dyDescent="0.15">
      <c r="A82" s="41">
        <v>11</v>
      </c>
      <c r="B82" s="41" t="s">
        <v>4745</v>
      </c>
      <c r="C82" s="74" t="s">
        <v>4746</v>
      </c>
      <c r="D82" s="72"/>
      <c r="E82" s="99"/>
      <c r="F82" s="752" t="s">
        <v>400</v>
      </c>
      <c r="G82" s="49" t="s">
        <v>398</v>
      </c>
      <c r="H82" s="50">
        <v>0.7</v>
      </c>
      <c r="I82" s="44"/>
      <c r="J82" s="45"/>
      <c r="K82" s="46"/>
      <c r="L82" s="35"/>
      <c r="N82" s="57"/>
      <c r="O82" s="709"/>
      <c r="P82" s="704"/>
      <c r="Q82" s="47">
        <f>ROUND((ROUND((ROUND((_11_A通院１２．０*_11・基礎１),0)*(1+_11・A夜間)),0)*_11・初任),0)</f>
        <v>408</v>
      </c>
      <c r="R82" s="48"/>
    </row>
    <row r="83" spans="1:18" ht="16.5" customHeight="1" x14ac:dyDescent="0.15">
      <c r="A83" s="41">
        <v>11</v>
      </c>
      <c r="B83" s="41" t="s">
        <v>4747</v>
      </c>
      <c r="C83" s="74" t="s">
        <v>4748</v>
      </c>
      <c r="D83" s="122"/>
      <c r="E83" s="111"/>
      <c r="F83" s="711"/>
      <c r="G83" s="37"/>
      <c r="H83" s="38"/>
      <c r="I83" s="44" t="s">
        <v>397</v>
      </c>
      <c r="J83" s="45" t="s">
        <v>398</v>
      </c>
      <c r="K83" s="46">
        <v>1</v>
      </c>
      <c r="L83" s="35"/>
      <c r="N83" s="57"/>
      <c r="O83" s="55" t="s">
        <v>398</v>
      </c>
      <c r="P83" s="38">
        <f>_11・初任</f>
        <v>0.7</v>
      </c>
      <c r="Q83" s="47">
        <f>ROUND((ROUND((ROUND((ROUND((_11_A通院１２．０*_11・基礎１),0)*_11・２人),0)*(1+_11・A夜間)),0)*_11・初任),0)</f>
        <v>408</v>
      </c>
      <c r="R83" s="48"/>
    </row>
    <row r="84" spans="1:18" ht="16.5" customHeight="1" x14ac:dyDescent="0.15">
      <c r="A84" s="33">
        <v>11</v>
      </c>
      <c r="B84" s="33">
        <v>3231</v>
      </c>
      <c r="C84" s="34" t="s">
        <v>4749</v>
      </c>
      <c r="D84" s="709" t="s">
        <v>795</v>
      </c>
      <c r="E84" s="718"/>
      <c r="F84" s="35"/>
      <c r="I84" s="36"/>
      <c r="J84" s="37"/>
      <c r="K84" s="38"/>
      <c r="L84" s="35"/>
      <c r="N84" s="57"/>
      <c r="O84" s="35"/>
      <c r="Q84" s="39">
        <f>ROUND((_11_A通院１２．５*(1+_11・A夜間)),0)</f>
        <v>938</v>
      </c>
      <c r="R84" s="48"/>
    </row>
    <row r="85" spans="1:18" ht="16.5" customHeight="1" x14ac:dyDescent="0.15">
      <c r="A85" s="41">
        <v>11</v>
      </c>
      <c r="B85" s="41">
        <v>3232</v>
      </c>
      <c r="C85" s="74" t="s">
        <v>4750</v>
      </c>
      <c r="D85" s="709"/>
      <c r="E85" s="718"/>
      <c r="F85" s="43"/>
      <c r="G85" s="37"/>
      <c r="H85" s="38"/>
      <c r="I85" s="44" t="s">
        <v>397</v>
      </c>
      <c r="J85" s="45" t="s">
        <v>398</v>
      </c>
      <c r="K85" s="46">
        <v>1</v>
      </c>
      <c r="L85" s="35"/>
      <c r="N85" s="57"/>
      <c r="O85" s="35"/>
      <c r="Q85" s="47">
        <f>ROUND((ROUND((_11_A通院１２．５*_11・２人),0)*(1+_11・A夜間)),0)</f>
        <v>938</v>
      </c>
      <c r="R85" s="48"/>
    </row>
    <row r="86" spans="1:18" ht="16.5" customHeight="1" x14ac:dyDescent="0.15">
      <c r="A86" s="41">
        <v>11</v>
      </c>
      <c r="B86" s="41">
        <v>3233</v>
      </c>
      <c r="C86" s="74" t="s">
        <v>4751</v>
      </c>
      <c r="D86" s="709"/>
      <c r="E86" s="718"/>
      <c r="F86" s="752" t="s">
        <v>400</v>
      </c>
      <c r="G86" s="49" t="s">
        <v>398</v>
      </c>
      <c r="H86" s="50">
        <v>0.7</v>
      </c>
      <c r="I86" s="44"/>
      <c r="J86" s="45"/>
      <c r="K86" s="46"/>
      <c r="L86" s="35"/>
      <c r="N86" s="57"/>
      <c r="O86" s="35"/>
      <c r="Q86" s="47">
        <f>ROUND((ROUND((_11_A通院１２．５*_11・基礎１),0)*(1+_11・A夜間)),0)</f>
        <v>656</v>
      </c>
      <c r="R86" s="48"/>
    </row>
    <row r="87" spans="1:18" ht="16.5" customHeight="1" x14ac:dyDescent="0.15">
      <c r="A87" s="41">
        <v>11</v>
      </c>
      <c r="B87" s="41">
        <v>3234</v>
      </c>
      <c r="C87" s="74" t="s">
        <v>4752</v>
      </c>
      <c r="D87" s="100">
        <f>_11_A通院１２．５</f>
        <v>750</v>
      </c>
      <c r="E87" s="12" t="s">
        <v>392</v>
      </c>
      <c r="F87" s="711"/>
      <c r="G87" s="37"/>
      <c r="H87" s="38"/>
      <c r="I87" s="44" t="s">
        <v>397</v>
      </c>
      <c r="J87" s="45" t="s">
        <v>398</v>
      </c>
      <c r="K87" s="46">
        <v>1</v>
      </c>
      <c r="L87" s="35"/>
      <c r="N87" s="57"/>
      <c r="O87" s="43"/>
      <c r="P87" s="37"/>
      <c r="Q87" s="47">
        <f>ROUND((ROUND((ROUND((_11_A通院１２．５*_11・基礎１),0)*_11・２人),0)*(1+_11・A夜間)),0)</f>
        <v>656</v>
      </c>
      <c r="R87" s="48"/>
    </row>
    <row r="88" spans="1:18" ht="16.5" customHeight="1" x14ac:dyDescent="0.15">
      <c r="A88" s="41">
        <v>11</v>
      </c>
      <c r="B88" s="41" t="s">
        <v>4753</v>
      </c>
      <c r="C88" s="74" t="s">
        <v>4754</v>
      </c>
      <c r="D88" s="72"/>
      <c r="E88" s="99"/>
      <c r="F88" s="53"/>
      <c r="G88" s="49"/>
      <c r="H88" s="50"/>
      <c r="I88" s="44"/>
      <c r="J88" s="45"/>
      <c r="K88" s="46"/>
      <c r="L88" s="35"/>
      <c r="N88" s="57"/>
      <c r="O88" s="707" t="s">
        <v>404</v>
      </c>
      <c r="P88" s="708"/>
      <c r="Q88" s="47">
        <f>ROUND((ROUND((_11_A通院１２．５*(1+_11・A夜間)),0)*_11・初任),0)</f>
        <v>657</v>
      </c>
      <c r="R88" s="48"/>
    </row>
    <row r="89" spans="1:18" ht="16.5" customHeight="1" x14ac:dyDescent="0.15">
      <c r="A89" s="41">
        <v>11</v>
      </c>
      <c r="B89" s="41" t="s">
        <v>4755</v>
      </c>
      <c r="C89" s="74" t="s">
        <v>4756</v>
      </c>
      <c r="D89" s="72"/>
      <c r="E89" s="99"/>
      <c r="F89" s="43"/>
      <c r="G89" s="37"/>
      <c r="H89" s="38"/>
      <c r="I89" s="44" t="s">
        <v>397</v>
      </c>
      <c r="J89" s="45" t="s">
        <v>398</v>
      </c>
      <c r="K89" s="46">
        <v>1</v>
      </c>
      <c r="L89" s="35"/>
      <c r="N89" s="57"/>
      <c r="O89" s="709"/>
      <c r="P89" s="704"/>
      <c r="Q89" s="47">
        <f>ROUND((ROUND((ROUND((_11_A通院１２．５*_11・２人),0)*(1+_11・A夜間)),0)*_11・初任),0)</f>
        <v>657</v>
      </c>
      <c r="R89" s="48"/>
    </row>
    <row r="90" spans="1:18" ht="16.5" customHeight="1" x14ac:dyDescent="0.15">
      <c r="A90" s="41">
        <v>11</v>
      </c>
      <c r="B90" s="41" t="s">
        <v>4757</v>
      </c>
      <c r="C90" s="74" t="s">
        <v>4758</v>
      </c>
      <c r="D90" s="72"/>
      <c r="E90" s="99"/>
      <c r="F90" s="752" t="s">
        <v>400</v>
      </c>
      <c r="G90" s="49" t="s">
        <v>398</v>
      </c>
      <c r="H90" s="50">
        <v>0.7</v>
      </c>
      <c r="I90" s="44"/>
      <c r="J90" s="45"/>
      <c r="K90" s="46"/>
      <c r="L90" s="35"/>
      <c r="N90" s="57"/>
      <c r="O90" s="709"/>
      <c r="P90" s="704"/>
      <c r="Q90" s="47">
        <f>ROUND((ROUND((ROUND((_11_A通院１２．５*_11・基礎１),0)*(1+_11・A夜間)),0)*_11・初任),0)</f>
        <v>459</v>
      </c>
      <c r="R90" s="48"/>
    </row>
    <row r="91" spans="1:18" ht="16.5" customHeight="1" x14ac:dyDescent="0.15">
      <c r="A91" s="41">
        <v>11</v>
      </c>
      <c r="B91" s="41" t="s">
        <v>4759</v>
      </c>
      <c r="C91" s="74" t="s">
        <v>4760</v>
      </c>
      <c r="D91" s="72"/>
      <c r="E91" s="99"/>
      <c r="F91" s="711"/>
      <c r="G91" s="37"/>
      <c r="H91" s="38"/>
      <c r="I91" s="44" t="s">
        <v>397</v>
      </c>
      <c r="J91" s="45" t="s">
        <v>398</v>
      </c>
      <c r="K91" s="46">
        <v>1</v>
      </c>
      <c r="L91" s="35"/>
      <c r="N91" s="57"/>
      <c r="O91" s="55" t="s">
        <v>398</v>
      </c>
      <c r="P91" s="38">
        <f>_11・初任</f>
        <v>0.7</v>
      </c>
      <c r="Q91" s="47">
        <f>ROUND((ROUND((ROUND((ROUND((_11_A通院１２．５*_11・基礎１),0)*_11・２人),0)*(1+_11・A夜間)),0)*_11・初任),0)</f>
        <v>459</v>
      </c>
      <c r="R91" s="48"/>
    </row>
    <row r="92" spans="1:18" ht="16.5" customHeight="1" x14ac:dyDescent="0.15">
      <c r="A92" s="41">
        <v>11</v>
      </c>
      <c r="B92" s="41">
        <v>3235</v>
      </c>
      <c r="C92" s="74" t="s">
        <v>4761</v>
      </c>
      <c r="D92" s="707" t="s">
        <v>808</v>
      </c>
      <c r="E92" s="717"/>
      <c r="F92" s="53"/>
      <c r="G92" s="49"/>
      <c r="H92" s="50"/>
      <c r="I92" s="44"/>
      <c r="J92" s="45"/>
      <c r="K92" s="46"/>
      <c r="L92" s="35"/>
      <c r="N92" s="57"/>
      <c r="O92" s="53"/>
      <c r="P92" s="49"/>
      <c r="Q92" s="47">
        <f>ROUND((_11_A通院１３．０*(1+_11・A夜間)),0)</f>
        <v>1041</v>
      </c>
      <c r="R92" s="48"/>
    </row>
    <row r="93" spans="1:18" ht="16.5" customHeight="1" x14ac:dyDescent="0.15">
      <c r="A93" s="41">
        <v>11</v>
      </c>
      <c r="B93" s="41">
        <v>3236</v>
      </c>
      <c r="C93" s="74" t="s">
        <v>4762</v>
      </c>
      <c r="D93" s="709"/>
      <c r="E93" s="718"/>
      <c r="F93" s="43"/>
      <c r="G93" s="37"/>
      <c r="H93" s="38"/>
      <c r="I93" s="44" t="s">
        <v>397</v>
      </c>
      <c r="J93" s="45" t="s">
        <v>398</v>
      </c>
      <c r="K93" s="46">
        <v>1</v>
      </c>
      <c r="L93" s="35"/>
      <c r="N93" s="57"/>
      <c r="O93" s="35"/>
      <c r="Q93" s="47">
        <f>ROUND((ROUND((_11_A通院１３．０*_11・２人),0)*(1+_11・A夜間)),0)</f>
        <v>1041</v>
      </c>
      <c r="R93" s="48"/>
    </row>
    <row r="94" spans="1:18" ht="16.5" customHeight="1" x14ac:dyDescent="0.15">
      <c r="A94" s="41">
        <v>11</v>
      </c>
      <c r="B94" s="41">
        <v>3237</v>
      </c>
      <c r="C94" s="74" t="s">
        <v>4763</v>
      </c>
      <c r="D94" s="709"/>
      <c r="E94" s="718"/>
      <c r="F94" s="752" t="s">
        <v>400</v>
      </c>
      <c r="G94" s="49" t="s">
        <v>398</v>
      </c>
      <c r="H94" s="50">
        <v>0.7</v>
      </c>
      <c r="I94" s="44"/>
      <c r="J94" s="45"/>
      <c r="K94" s="46"/>
      <c r="L94" s="35"/>
      <c r="N94" s="57"/>
      <c r="O94" s="35"/>
      <c r="Q94" s="47">
        <f>ROUND((ROUND((_11_A通院１３．０*_11・基礎１),0)*(1+_11・A夜間)),0)</f>
        <v>729</v>
      </c>
      <c r="R94" s="48"/>
    </row>
    <row r="95" spans="1:18" ht="16.5" customHeight="1" x14ac:dyDescent="0.15">
      <c r="A95" s="41">
        <v>11</v>
      </c>
      <c r="B95" s="41">
        <v>3238</v>
      </c>
      <c r="C95" s="74" t="s">
        <v>4764</v>
      </c>
      <c r="D95" s="100">
        <f>_11_A通院１３．０</f>
        <v>833</v>
      </c>
      <c r="E95" s="12" t="s">
        <v>392</v>
      </c>
      <c r="F95" s="711"/>
      <c r="G95" s="37"/>
      <c r="H95" s="38"/>
      <c r="I95" s="44" t="s">
        <v>397</v>
      </c>
      <c r="J95" s="45" t="s">
        <v>398</v>
      </c>
      <c r="K95" s="46">
        <v>1</v>
      </c>
      <c r="L95" s="35"/>
      <c r="N95" s="57"/>
      <c r="O95" s="43"/>
      <c r="P95" s="37"/>
      <c r="Q95" s="47">
        <f>ROUND((ROUND((ROUND((_11_A通院１３．０*_11・基礎１),0)*_11・２人),0)*(1+_11・A夜間)),0)</f>
        <v>729</v>
      </c>
      <c r="R95" s="48"/>
    </row>
    <row r="96" spans="1:18" ht="16.5" customHeight="1" x14ac:dyDescent="0.15">
      <c r="A96" s="41">
        <v>11</v>
      </c>
      <c r="B96" s="41" t="s">
        <v>4765</v>
      </c>
      <c r="C96" s="74" t="s">
        <v>4766</v>
      </c>
      <c r="D96" s="72"/>
      <c r="E96" s="99"/>
      <c r="F96" s="53"/>
      <c r="G96" s="49"/>
      <c r="H96" s="50"/>
      <c r="I96" s="44"/>
      <c r="J96" s="45"/>
      <c r="K96" s="46"/>
      <c r="L96" s="35"/>
      <c r="N96" s="57"/>
      <c r="O96" s="707" t="s">
        <v>404</v>
      </c>
      <c r="P96" s="708"/>
      <c r="Q96" s="47">
        <f>ROUND((ROUND((_11_A通院１３．０*(1+_11・A夜間)),0)*_11・初任),0)</f>
        <v>729</v>
      </c>
      <c r="R96" s="48"/>
    </row>
    <row r="97" spans="1:18" ht="16.5" customHeight="1" x14ac:dyDescent="0.15">
      <c r="A97" s="41">
        <v>11</v>
      </c>
      <c r="B97" s="41" t="s">
        <v>4767</v>
      </c>
      <c r="C97" s="74" t="s">
        <v>4768</v>
      </c>
      <c r="D97" s="72"/>
      <c r="E97" s="99"/>
      <c r="F97" s="43"/>
      <c r="G97" s="37"/>
      <c r="H97" s="38"/>
      <c r="I97" s="44" t="s">
        <v>397</v>
      </c>
      <c r="J97" s="45" t="s">
        <v>398</v>
      </c>
      <c r="K97" s="46">
        <v>1</v>
      </c>
      <c r="L97" s="35"/>
      <c r="N97" s="57"/>
      <c r="O97" s="709"/>
      <c r="P97" s="704"/>
      <c r="Q97" s="47">
        <f>ROUND((ROUND((ROUND((_11_A通院１３．０*_11・２人),0)*(1+_11・A夜間)),0)*_11・初任),0)</f>
        <v>729</v>
      </c>
      <c r="R97" s="48"/>
    </row>
    <row r="98" spans="1:18" ht="16.5" customHeight="1" x14ac:dyDescent="0.15">
      <c r="A98" s="41">
        <v>11</v>
      </c>
      <c r="B98" s="41" t="s">
        <v>4769</v>
      </c>
      <c r="C98" s="74" t="s">
        <v>4770</v>
      </c>
      <c r="D98" s="72"/>
      <c r="E98" s="99"/>
      <c r="F98" s="752" t="s">
        <v>400</v>
      </c>
      <c r="G98" s="49" t="s">
        <v>398</v>
      </c>
      <c r="H98" s="50">
        <v>0.7</v>
      </c>
      <c r="I98" s="44"/>
      <c r="J98" s="45"/>
      <c r="K98" s="46"/>
      <c r="L98" s="35"/>
      <c r="N98" s="57"/>
      <c r="O98" s="709"/>
      <c r="P98" s="704"/>
      <c r="Q98" s="47">
        <f>ROUND((ROUND((ROUND((_11_A通院１３．０*_11・基礎１),0)*(1+_11・A夜間)),0)*_11・初任),0)</f>
        <v>510</v>
      </c>
      <c r="R98" s="48"/>
    </row>
    <row r="99" spans="1:18" ht="16.5" customHeight="1" x14ac:dyDescent="0.15">
      <c r="A99" s="41">
        <v>11</v>
      </c>
      <c r="B99" s="41" t="s">
        <v>4771</v>
      </c>
      <c r="C99" s="74" t="s">
        <v>4772</v>
      </c>
      <c r="D99" s="72"/>
      <c r="E99" s="99"/>
      <c r="F99" s="711"/>
      <c r="G99" s="37"/>
      <c r="H99" s="38"/>
      <c r="I99" s="44" t="s">
        <v>397</v>
      </c>
      <c r="J99" s="45" t="s">
        <v>398</v>
      </c>
      <c r="K99" s="46">
        <v>1</v>
      </c>
      <c r="L99" s="35"/>
      <c r="N99" s="57"/>
      <c r="O99" s="55" t="s">
        <v>398</v>
      </c>
      <c r="P99" s="38">
        <f>_11・初任</f>
        <v>0.7</v>
      </c>
      <c r="Q99" s="47">
        <f>ROUND((ROUND((ROUND((ROUND((_11_A通院１３．０*_11・基礎１),0)*_11・２人),0)*(1+_11・A夜間)),0)*_11・初任),0)</f>
        <v>510</v>
      </c>
      <c r="R99" s="48"/>
    </row>
    <row r="100" spans="1:18" ht="16.5" customHeight="1" x14ac:dyDescent="0.15">
      <c r="A100" s="41">
        <v>11</v>
      </c>
      <c r="B100" s="41">
        <v>3239</v>
      </c>
      <c r="C100" s="74" t="s">
        <v>4773</v>
      </c>
      <c r="D100" s="707" t="s">
        <v>821</v>
      </c>
      <c r="E100" s="717"/>
      <c r="F100" s="53"/>
      <c r="G100" s="49"/>
      <c r="H100" s="50"/>
      <c r="I100" s="44"/>
      <c r="J100" s="45"/>
      <c r="K100" s="46"/>
      <c r="L100" s="35"/>
      <c r="N100" s="57"/>
      <c r="O100" s="53"/>
      <c r="P100" s="49"/>
      <c r="Q100" s="47">
        <f>ROUND((_11_A通院１３．５*(1+_11・A夜間)),0)</f>
        <v>1145</v>
      </c>
      <c r="R100" s="48"/>
    </row>
    <row r="101" spans="1:18" ht="16.5" customHeight="1" x14ac:dyDescent="0.15">
      <c r="A101" s="41">
        <v>11</v>
      </c>
      <c r="B101" s="41">
        <v>3240</v>
      </c>
      <c r="C101" s="74" t="s">
        <v>4774</v>
      </c>
      <c r="D101" s="709"/>
      <c r="E101" s="718"/>
      <c r="F101" s="43"/>
      <c r="G101" s="37"/>
      <c r="H101" s="38"/>
      <c r="I101" s="44" t="s">
        <v>397</v>
      </c>
      <c r="J101" s="45" t="s">
        <v>398</v>
      </c>
      <c r="K101" s="46">
        <v>1</v>
      </c>
      <c r="L101" s="35"/>
      <c r="N101" s="57"/>
      <c r="O101" s="35"/>
      <c r="Q101" s="47">
        <f>ROUND((ROUND((_11_A通院１３．５*_11・２人),0)*(1+_11・A夜間)),0)</f>
        <v>1145</v>
      </c>
      <c r="R101" s="48"/>
    </row>
    <row r="102" spans="1:18" ht="16.5" customHeight="1" x14ac:dyDescent="0.15">
      <c r="A102" s="41">
        <v>11</v>
      </c>
      <c r="B102" s="41">
        <v>3241</v>
      </c>
      <c r="C102" s="74" t="s">
        <v>4775</v>
      </c>
      <c r="D102" s="709"/>
      <c r="E102" s="718"/>
      <c r="F102" s="752" t="s">
        <v>400</v>
      </c>
      <c r="G102" s="49" t="s">
        <v>398</v>
      </c>
      <c r="H102" s="50">
        <v>0.7</v>
      </c>
      <c r="I102" s="44"/>
      <c r="J102" s="45"/>
      <c r="K102" s="46"/>
      <c r="L102" s="35"/>
      <c r="N102" s="57"/>
      <c r="O102" s="35"/>
      <c r="Q102" s="47">
        <f>ROUND((ROUND((_11_A通院１３．５*_11・基礎１),0)*(1+_11・A夜間)),0)</f>
        <v>801</v>
      </c>
      <c r="R102" s="48"/>
    </row>
    <row r="103" spans="1:18" ht="16.5" customHeight="1" x14ac:dyDescent="0.15">
      <c r="A103" s="41">
        <v>11</v>
      </c>
      <c r="B103" s="41">
        <v>3242</v>
      </c>
      <c r="C103" s="74" t="s">
        <v>4776</v>
      </c>
      <c r="D103" s="100">
        <f>_11_A通院１３．５</f>
        <v>916</v>
      </c>
      <c r="E103" s="12" t="s">
        <v>392</v>
      </c>
      <c r="F103" s="711"/>
      <c r="G103" s="37"/>
      <c r="H103" s="38"/>
      <c r="I103" s="44" t="s">
        <v>397</v>
      </c>
      <c r="J103" s="45" t="s">
        <v>398</v>
      </c>
      <c r="K103" s="46">
        <v>1</v>
      </c>
      <c r="L103" s="35"/>
      <c r="N103" s="57"/>
      <c r="O103" s="43"/>
      <c r="P103" s="37"/>
      <c r="Q103" s="47">
        <f>ROUND((ROUND((ROUND((_11_A通院１３．５*_11・基礎１),0)*_11・２人),0)*(1+_11・A夜間)),0)</f>
        <v>801</v>
      </c>
      <c r="R103" s="48"/>
    </row>
    <row r="104" spans="1:18" ht="16.5" customHeight="1" x14ac:dyDescent="0.15">
      <c r="A104" s="41">
        <v>11</v>
      </c>
      <c r="B104" s="41" t="s">
        <v>4777</v>
      </c>
      <c r="C104" s="74" t="s">
        <v>4778</v>
      </c>
      <c r="D104" s="72"/>
      <c r="E104" s="99"/>
      <c r="F104" s="53"/>
      <c r="G104" s="49"/>
      <c r="H104" s="50"/>
      <c r="I104" s="44"/>
      <c r="J104" s="45"/>
      <c r="K104" s="46"/>
      <c r="L104" s="35"/>
      <c r="N104" s="57"/>
      <c r="O104" s="707" t="s">
        <v>404</v>
      </c>
      <c r="P104" s="708"/>
      <c r="Q104" s="47">
        <f>ROUND((ROUND((_11_A通院１３．５*(1+_11・A夜間)),0)*_11・初任),0)</f>
        <v>802</v>
      </c>
      <c r="R104" s="48"/>
    </row>
    <row r="105" spans="1:18" ht="16.5" customHeight="1" x14ac:dyDescent="0.15">
      <c r="A105" s="41">
        <v>11</v>
      </c>
      <c r="B105" s="41" t="s">
        <v>4779</v>
      </c>
      <c r="C105" s="74" t="s">
        <v>4780</v>
      </c>
      <c r="D105" s="72"/>
      <c r="E105" s="99"/>
      <c r="F105" s="43"/>
      <c r="G105" s="37"/>
      <c r="H105" s="38"/>
      <c r="I105" s="44" t="s">
        <v>397</v>
      </c>
      <c r="J105" s="45" t="s">
        <v>398</v>
      </c>
      <c r="K105" s="46">
        <v>1</v>
      </c>
      <c r="L105" s="35"/>
      <c r="N105" s="57"/>
      <c r="O105" s="709"/>
      <c r="P105" s="704"/>
      <c r="Q105" s="47">
        <f>ROUND((ROUND((ROUND((_11_A通院１３．５*_11・２人),0)*(1+_11・A夜間)),0)*_11・初任),0)</f>
        <v>802</v>
      </c>
      <c r="R105" s="48"/>
    </row>
    <row r="106" spans="1:18" ht="16.5" customHeight="1" x14ac:dyDescent="0.15">
      <c r="A106" s="41">
        <v>11</v>
      </c>
      <c r="B106" s="41" t="s">
        <v>4781</v>
      </c>
      <c r="C106" s="74" t="s">
        <v>4782</v>
      </c>
      <c r="D106" s="72"/>
      <c r="E106" s="99"/>
      <c r="F106" s="752" t="s">
        <v>400</v>
      </c>
      <c r="G106" s="49" t="s">
        <v>398</v>
      </c>
      <c r="H106" s="50">
        <v>0.7</v>
      </c>
      <c r="I106" s="44"/>
      <c r="J106" s="45"/>
      <c r="K106" s="46"/>
      <c r="L106" s="35"/>
      <c r="N106" s="57"/>
      <c r="O106" s="709"/>
      <c r="P106" s="704"/>
      <c r="Q106" s="47">
        <f>ROUND((ROUND((ROUND((_11_A通院１３．５*_11・基礎１),0)*(1+_11・A夜間)),0)*_11・初任),0)</f>
        <v>561</v>
      </c>
      <c r="R106" s="48"/>
    </row>
    <row r="107" spans="1:18" ht="16.5" customHeight="1" x14ac:dyDescent="0.15">
      <c r="A107" s="41">
        <v>11</v>
      </c>
      <c r="B107" s="41" t="s">
        <v>4783</v>
      </c>
      <c r="C107" s="74" t="s">
        <v>4784</v>
      </c>
      <c r="D107" s="72"/>
      <c r="E107" s="99"/>
      <c r="F107" s="711"/>
      <c r="G107" s="37"/>
      <c r="H107" s="38"/>
      <c r="I107" s="44" t="s">
        <v>397</v>
      </c>
      <c r="J107" s="45" t="s">
        <v>398</v>
      </c>
      <c r="K107" s="46">
        <v>1</v>
      </c>
      <c r="L107" s="35"/>
      <c r="N107" s="57"/>
      <c r="O107" s="55" t="s">
        <v>398</v>
      </c>
      <c r="P107" s="38">
        <f>_11・初任</f>
        <v>0.7</v>
      </c>
      <c r="Q107" s="47">
        <f>ROUND((ROUND((ROUND((ROUND((_11_A通院１３．５*_11・基礎１),0)*_11・２人),0)*(1+_11・A夜間)),0)*_11・初任),0)</f>
        <v>561</v>
      </c>
      <c r="R107" s="48"/>
    </row>
    <row r="108" spans="1:18" ht="16.5" customHeight="1" x14ac:dyDescent="0.15">
      <c r="A108" s="41">
        <v>11</v>
      </c>
      <c r="B108" s="41">
        <v>3243</v>
      </c>
      <c r="C108" s="74" t="s">
        <v>4785</v>
      </c>
      <c r="D108" s="707" t="s">
        <v>834</v>
      </c>
      <c r="E108" s="717"/>
      <c r="F108" s="53"/>
      <c r="G108" s="49"/>
      <c r="H108" s="50"/>
      <c r="I108" s="44"/>
      <c r="J108" s="45"/>
      <c r="K108" s="46"/>
      <c r="L108" s="35"/>
      <c r="N108" s="57"/>
      <c r="O108" s="53"/>
      <c r="P108" s="49"/>
      <c r="Q108" s="47">
        <f>ROUND((_11_A通院１４．０*(1+_11・A夜間)),0)</f>
        <v>1249</v>
      </c>
      <c r="R108" s="48"/>
    </row>
    <row r="109" spans="1:18" ht="16.5" customHeight="1" x14ac:dyDescent="0.15">
      <c r="A109" s="41">
        <v>11</v>
      </c>
      <c r="B109" s="41">
        <v>3244</v>
      </c>
      <c r="C109" s="74" t="s">
        <v>4786</v>
      </c>
      <c r="D109" s="709"/>
      <c r="E109" s="718"/>
      <c r="F109" s="43"/>
      <c r="G109" s="37"/>
      <c r="H109" s="38"/>
      <c r="I109" s="44" t="s">
        <v>397</v>
      </c>
      <c r="J109" s="45" t="s">
        <v>398</v>
      </c>
      <c r="K109" s="46">
        <v>1</v>
      </c>
      <c r="L109" s="35"/>
      <c r="N109" s="57"/>
      <c r="O109" s="35"/>
      <c r="Q109" s="47">
        <f>ROUND((ROUND((_11_A通院１４．０*_11・２人),0)*(1+_11・A夜間)),0)</f>
        <v>1249</v>
      </c>
      <c r="R109" s="48"/>
    </row>
    <row r="110" spans="1:18" ht="16.5" customHeight="1" x14ac:dyDescent="0.15">
      <c r="A110" s="41">
        <v>11</v>
      </c>
      <c r="B110" s="41">
        <v>3245</v>
      </c>
      <c r="C110" s="74" t="s">
        <v>4787</v>
      </c>
      <c r="D110" s="709"/>
      <c r="E110" s="718"/>
      <c r="F110" s="752" t="s">
        <v>400</v>
      </c>
      <c r="G110" s="49" t="s">
        <v>398</v>
      </c>
      <c r="H110" s="50">
        <v>0.7</v>
      </c>
      <c r="I110" s="44"/>
      <c r="J110" s="45"/>
      <c r="K110" s="46"/>
      <c r="L110" s="35"/>
      <c r="N110" s="57"/>
      <c r="O110" s="35"/>
      <c r="Q110" s="47">
        <f>ROUND((ROUND((_11_A通院１４．０*_11・基礎１),0)*(1+_11・A夜間)),0)</f>
        <v>874</v>
      </c>
      <c r="R110" s="48"/>
    </row>
    <row r="111" spans="1:18" ht="16.5" customHeight="1" x14ac:dyDescent="0.15">
      <c r="A111" s="41">
        <v>11</v>
      </c>
      <c r="B111" s="41">
        <v>3246</v>
      </c>
      <c r="C111" s="74" t="s">
        <v>4788</v>
      </c>
      <c r="D111" s="100">
        <f>_11_A通院１４．０</f>
        <v>999</v>
      </c>
      <c r="E111" s="12" t="s">
        <v>392</v>
      </c>
      <c r="F111" s="711"/>
      <c r="G111" s="37"/>
      <c r="H111" s="38"/>
      <c r="I111" s="44" t="s">
        <v>397</v>
      </c>
      <c r="J111" s="45" t="s">
        <v>398</v>
      </c>
      <c r="K111" s="46">
        <v>1</v>
      </c>
      <c r="L111" s="35"/>
      <c r="N111" s="57"/>
      <c r="O111" s="43"/>
      <c r="P111" s="37"/>
      <c r="Q111" s="47">
        <f>ROUND((ROUND((ROUND((_11_A通院１４．０*_11・基礎１),0)*_11・２人),0)*(1+_11・A夜間)),0)</f>
        <v>874</v>
      </c>
      <c r="R111" s="48"/>
    </row>
    <row r="112" spans="1:18" ht="16.5" customHeight="1" x14ac:dyDescent="0.15">
      <c r="A112" s="41">
        <v>11</v>
      </c>
      <c r="B112" s="41" t="s">
        <v>4789</v>
      </c>
      <c r="C112" s="74" t="s">
        <v>4790</v>
      </c>
      <c r="D112" s="72"/>
      <c r="E112" s="99"/>
      <c r="F112" s="53"/>
      <c r="G112" s="49"/>
      <c r="H112" s="50"/>
      <c r="I112" s="44"/>
      <c r="J112" s="45"/>
      <c r="K112" s="46"/>
      <c r="L112" s="35"/>
      <c r="N112" s="57"/>
      <c r="O112" s="707" t="s">
        <v>404</v>
      </c>
      <c r="P112" s="708"/>
      <c r="Q112" s="47">
        <f>ROUND((ROUND((_11_A通院１４．０*(1+_11・A夜間)),0)*_11・初任),0)</f>
        <v>874</v>
      </c>
      <c r="R112" s="48"/>
    </row>
    <row r="113" spans="1:18" ht="16.5" customHeight="1" x14ac:dyDescent="0.15">
      <c r="A113" s="41">
        <v>11</v>
      </c>
      <c r="B113" s="41" t="s">
        <v>4791</v>
      </c>
      <c r="C113" s="74" t="s">
        <v>4792</v>
      </c>
      <c r="D113" s="72"/>
      <c r="E113" s="99"/>
      <c r="F113" s="43"/>
      <c r="G113" s="37"/>
      <c r="H113" s="38"/>
      <c r="I113" s="44" t="s">
        <v>397</v>
      </c>
      <c r="J113" s="45" t="s">
        <v>398</v>
      </c>
      <c r="K113" s="46">
        <v>1</v>
      </c>
      <c r="L113" s="35"/>
      <c r="N113" s="57"/>
      <c r="O113" s="709"/>
      <c r="P113" s="704"/>
      <c r="Q113" s="47">
        <f>ROUND((ROUND((ROUND((_11_A通院１４．０*_11・２人),0)*(1+_11・A夜間)),0)*_11・初任),0)</f>
        <v>874</v>
      </c>
      <c r="R113" s="48"/>
    </row>
    <row r="114" spans="1:18" ht="16.5" customHeight="1" x14ac:dyDescent="0.15">
      <c r="A114" s="41">
        <v>11</v>
      </c>
      <c r="B114" s="41" t="s">
        <v>4793</v>
      </c>
      <c r="C114" s="74" t="s">
        <v>4794</v>
      </c>
      <c r="D114" s="72"/>
      <c r="E114" s="99"/>
      <c r="F114" s="752" t="s">
        <v>400</v>
      </c>
      <c r="G114" s="49" t="s">
        <v>398</v>
      </c>
      <c r="H114" s="50">
        <v>0.7</v>
      </c>
      <c r="I114" s="44"/>
      <c r="J114" s="45"/>
      <c r="K114" s="46"/>
      <c r="L114" s="35"/>
      <c r="N114" s="57"/>
      <c r="O114" s="709"/>
      <c r="P114" s="704"/>
      <c r="Q114" s="47">
        <f>ROUND((ROUND((ROUND((_11_A通院１４．０*_11・基礎１),0)*(1+_11・A夜間)),0)*_11・初任),0)</f>
        <v>612</v>
      </c>
      <c r="R114" s="48"/>
    </row>
    <row r="115" spans="1:18" ht="16.5" customHeight="1" x14ac:dyDescent="0.15">
      <c r="A115" s="41">
        <v>11</v>
      </c>
      <c r="B115" s="41" t="s">
        <v>4795</v>
      </c>
      <c r="C115" s="74" t="s">
        <v>4796</v>
      </c>
      <c r="D115" s="72"/>
      <c r="E115" s="99"/>
      <c r="F115" s="711"/>
      <c r="G115" s="37"/>
      <c r="H115" s="38"/>
      <c r="I115" s="44" t="s">
        <v>397</v>
      </c>
      <c r="J115" s="45" t="s">
        <v>398</v>
      </c>
      <c r="K115" s="46">
        <v>1</v>
      </c>
      <c r="L115" s="35"/>
      <c r="N115" s="57"/>
      <c r="O115" s="55" t="s">
        <v>398</v>
      </c>
      <c r="P115" s="38">
        <f>_11・初任</f>
        <v>0.7</v>
      </c>
      <c r="Q115" s="47">
        <f>ROUND((ROUND((ROUND((ROUND((_11_A通院１４．０*_11・基礎１),0)*_11・２人),0)*(1+_11・A夜間)),0)*_11・初任),0)</f>
        <v>612</v>
      </c>
      <c r="R115" s="48"/>
    </row>
    <row r="116" spans="1:18" ht="16.5" customHeight="1" x14ac:dyDescent="0.15">
      <c r="A116" s="41">
        <v>11</v>
      </c>
      <c r="B116" s="41">
        <v>3247</v>
      </c>
      <c r="C116" s="74" t="s">
        <v>4797</v>
      </c>
      <c r="D116" s="707" t="s">
        <v>847</v>
      </c>
      <c r="E116" s="717"/>
      <c r="F116" s="53"/>
      <c r="G116" s="49"/>
      <c r="H116" s="50"/>
      <c r="I116" s="44"/>
      <c r="J116" s="45"/>
      <c r="K116" s="46"/>
      <c r="L116" s="35"/>
      <c r="N116" s="57"/>
      <c r="O116" s="53"/>
      <c r="P116" s="49"/>
      <c r="Q116" s="47">
        <f>ROUND((_11_A通院１４．５*(1+_11・A夜間)),0)</f>
        <v>1353</v>
      </c>
      <c r="R116" s="48"/>
    </row>
    <row r="117" spans="1:18" ht="16.5" customHeight="1" x14ac:dyDescent="0.15">
      <c r="A117" s="41">
        <v>11</v>
      </c>
      <c r="B117" s="41">
        <v>3248</v>
      </c>
      <c r="C117" s="74" t="s">
        <v>4798</v>
      </c>
      <c r="D117" s="709"/>
      <c r="E117" s="718"/>
      <c r="F117" s="43"/>
      <c r="G117" s="37"/>
      <c r="H117" s="38"/>
      <c r="I117" s="44" t="s">
        <v>397</v>
      </c>
      <c r="J117" s="45" t="s">
        <v>398</v>
      </c>
      <c r="K117" s="46">
        <v>1</v>
      </c>
      <c r="L117" s="35"/>
      <c r="N117" s="57"/>
      <c r="O117" s="35"/>
      <c r="Q117" s="47">
        <f>ROUND((ROUND((_11_A通院１４．５*_11・２人),0)*(1+_11・A夜間)),0)</f>
        <v>1353</v>
      </c>
      <c r="R117" s="48"/>
    </row>
    <row r="118" spans="1:18" ht="16.5" customHeight="1" x14ac:dyDescent="0.15">
      <c r="A118" s="41">
        <v>11</v>
      </c>
      <c r="B118" s="41">
        <v>3249</v>
      </c>
      <c r="C118" s="74" t="s">
        <v>4799</v>
      </c>
      <c r="D118" s="709"/>
      <c r="E118" s="718"/>
      <c r="F118" s="752" t="s">
        <v>400</v>
      </c>
      <c r="G118" s="49" t="s">
        <v>398</v>
      </c>
      <c r="H118" s="50">
        <v>0.7</v>
      </c>
      <c r="I118" s="44"/>
      <c r="J118" s="45"/>
      <c r="K118" s="46"/>
      <c r="L118" s="35"/>
      <c r="N118" s="57"/>
      <c r="O118" s="35"/>
      <c r="Q118" s="47">
        <f>ROUND((ROUND((_11_A通院１４．５*_11・基礎１),0)*(1+_11・A夜間)),0)</f>
        <v>946</v>
      </c>
      <c r="R118" s="48"/>
    </row>
    <row r="119" spans="1:18" ht="16.5" customHeight="1" x14ac:dyDescent="0.15">
      <c r="A119" s="41">
        <v>11</v>
      </c>
      <c r="B119" s="41">
        <v>3250</v>
      </c>
      <c r="C119" s="74" t="s">
        <v>4800</v>
      </c>
      <c r="D119" s="100">
        <f>_11_A通院１４．５</f>
        <v>1082</v>
      </c>
      <c r="E119" s="12" t="s">
        <v>392</v>
      </c>
      <c r="F119" s="711"/>
      <c r="G119" s="37"/>
      <c r="H119" s="38"/>
      <c r="I119" s="44" t="s">
        <v>397</v>
      </c>
      <c r="J119" s="45" t="s">
        <v>398</v>
      </c>
      <c r="K119" s="46">
        <v>1</v>
      </c>
      <c r="L119" s="35"/>
      <c r="N119" s="57"/>
      <c r="O119" s="43"/>
      <c r="P119" s="37"/>
      <c r="Q119" s="47">
        <f>ROUND((ROUND((ROUND((_11_A通院１４．５*_11・基礎１),0)*_11・２人),0)*(1+_11・A夜間)),0)</f>
        <v>946</v>
      </c>
      <c r="R119" s="48"/>
    </row>
    <row r="120" spans="1:18" ht="16.5" customHeight="1" x14ac:dyDescent="0.15">
      <c r="A120" s="41">
        <v>11</v>
      </c>
      <c r="B120" s="41" t="s">
        <v>4801</v>
      </c>
      <c r="C120" s="74" t="s">
        <v>4802</v>
      </c>
      <c r="D120" s="72"/>
      <c r="E120" s="99"/>
      <c r="F120" s="53"/>
      <c r="G120" s="49"/>
      <c r="H120" s="50"/>
      <c r="I120" s="44"/>
      <c r="J120" s="45"/>
      <c r="K120" s="46"/>
      <c r="L120" s="35"/>
      <c r="N120" s="57"/>
      <c r="O120" s="707" t="s">
        <v>404</v>
      </c>
      <c r="P120" s="708"/>
      <c r="Q120" s="47">
        <f>ROUND((ROUND((_11_A通院１４．５*(1+_11・A夜間)),0)*_11・初任),0)</f>
        <v>947</v>
      </c>
      <c r="R120" s="48"/>
    </row>
    <row r="121" spans="1:18" ht="16.5" customHeight="1" x14ac:dyDescent="0.15">
      <c r="A121" s="41">
        <v>11</v>
      </c>
      <c r="B121" s="41" t="s">
        <v>4803</v>
      </c>
      <c r="C121" s="74" t="s">
        <v>4804</v>
      </c>
      <c r="D121" s="72"/>
      <c r="E121" s="99"/>
      <c r="F121" s="43"/>
      <c r="G121" s="37"/>
      <c r="H121" s="38"/>
      <c r="I121" s="44" t="s">
        <v>397</v>
      </c>
      <c r="J121" s="45" t="s">
        <v>398</v>
      </c>
      <c r="K121" s="46">
        <v>1</v>
      </c>
      <c r="L121" s="35"/>
      <c r="N121" s="57"/>
      <c r="O121" s="709"/>
      <c r="P121" s="704"/>
      <c r="Q121" s="47">
        <f>ROUND((ROUND((ROUND((_11_A通院１４．５*_11・２人),0)*(1+_11・A夜間)),0)*_11・初任),0)</f>
        <v>947</v>
      </c>
      <c r="R121" s="48"/>
    </row>
    <row r="122" spans="1:18" ht="16.5" customHeight="1" x14ac:dyDescent="0.15">
      <c r="A122" s="41">
        <v>11</v>
      </c>
      <c r="B122" s="41" t="s">
        <v>4805</v>
      </c>
      <c r="C122" s="74" t="s">
        <v>4806</v>
      </c>
      <c r="D122" s="72"/>
      <c r="E122" s="99"/>
      <c r="F122" s="752" t="s">
        <v>400</v>
      </c>
      <c r="G122" s="49" t="s">
        <v>398</v>
      </c>
      <c r="H122" s="50">
        <v>0.7</v>
      </c>
      <c r="I122" s="44"/>
      <c r="J122" s="45"/>
      <c r="K122" s="46"/>
      <c r="L122" s="35"/>
      <c r="N122" s="57"/>
      <c r="O122" s="709"/>
      <c r="P122" s="704"/>
      <c r="Q122" s="47">
        <f>ROUND((ROUND((ROUND((_11_A通院１４．５*_11・基礎１),0)*(1+_11・A夜間)),0)*_11・初任),0)</f>
        <v>662</v>
      </c>
      <c r="R122" s="48"/>
    </row>
    <row r="123" spans="1:18" ht="16.5" customHeight="1" x14ac:dyDescent="0.15">
      <c r="A123" s="41">
        <v>11</v>
      </c>
      <c r="B123" s="41" t="s">
        <v>4807</v>
      </c>
      <c r="C123" s="74" t="s">
        <v>4808</v>
      </c>
      <c r="D123" s="122"/>
      <c r="E123" s="111"/>
      <c r="F123" s="711"/>
      <c r="G123" s="37"/>
      <c r="H123" s="38"/>
      <c r="I123" s="44" t="s">
        <v>397</v>
      </c>
      <c r="J123" s="45" t="s">
        <v>398</v>
      </c>
      <c r="K123" s="46">
        <v>1</v>
      </c>
      <c r="L123" s="43"/>
      <c r="M123" s="38"/>
      <c r="N123" s="79"/>
      <c r="O123" s="55" t="s">
        <v>398</v>
      </c>
      <c r="P123" s="38">
        <f>_11・初任</f>
        <v>0.7</v>
      </c>
      <c r="Q123" s="47">
        <f>ROUND((ROUND((ROUND((ROUND((_11_A通院１４．５*_11・基礎１),0)*_11・２人),0)*(1+_11・A夜間)),0)*_11・初任),0)</f>
        <v>662</v>
      </c>
      <c r="R123" s="63"/>
    </row>
    <row r="124" spans="1:18" ht="16.5" customHeight="1" x14ac:dyDescent="0.15"/>
    <row r="125" spans="1:18" ht="16.5" customHeight="1" x14ac:dyDescent="0.15"/>
  </sheetData>
  <mergeCells count="58">
    <mergeCell ref="O120:P122"/>
    <mergeCell ref="F122:F123"/>
    <mergeCell ref="D108:E110"/>
    <mergeCell ref="F110:F111"/>
    <mergeCell ref="O112:P114"/>
    <mergeCell ref="F114:F115"/>
    <mergeCell ref="D116:E118"/>
    <mergeCell ref="F118:F119"/>
    <mergeCell ref="O96:P98"/>
    <mergeCell ref="F98:F99"/>
    <mergeCell ref="D100:E102"/>
    <mergeCell ref="F102:F103"/>
    <mergeCell ref="O104:P106"/>
    <mergeCell ref="F106:F107"/>
    <mergeCell ref="D84:E86"/>
    <mergeCell ref="F86:F87"/>
    <mergeCell ref="O88:P90"/>
    <mergeCell ref="F90:F91"/>
    <mergeCell ref="D92:E94"/>
    <mergeCell ref="F94:F95"/>
    <mergeCell ref="O72:P74"/>
    <mergeCell ref="F74:F75"/>
    <mergeCell ref="D76:E78"/>
    <mergeCell ref="F78:F79"/>
    <mergeCell ref="O80:P82"/>
    <mergeCell ref="F82:F83"/>
    <mergeCell ref="D60:E62"/>
    <mergeCell ref="F62:F63"/>
    <mergeCell ref="O64:P66"/>
    <mergeCell ref="F66:F67"/>
    <mergeCell ref="D68:E70"/>
    <mergeCell ref="F70:F71"/>
    <mergeCell ref="O27:P29"/>
    <mergeCell ref="F29:F30"/>
    <mergeCell ref="O56:P58"/>
    <mergeCell ref="F58:F59"/>
    <mergeCell ref="D31:E33"/>
    <mergeCell ref="F33:F34"/>
    <mergeCell ref="O35:P37"/>
    <mergeCell ref="F37:F38"/>
    <mergeCell ref="D39:E41"/>
    <mergeCell ref="F41:F42"/>
    <mergeCell ref="O43:P45"/>
    <mergeCell ref="F45:F46"/>
    <mergeCell ref="D52:E54"/>
    <mergeCell ref="N53:N54"/>
    <mergeCell ref="F54:F55"/>
    <mergeCell ref="O19:P21"/>
    <mergeCell ref="F21:F22"/>
    <mergeCell ref="D23:E25"/>
    <mergeCell ref="F25:F26"/>
    <mergeCell ref="D15:E17"/>
    <mergeCell ref="F17:F18"/>
    <mergeCell ref="D7:E9"/>
    <mergeCell ref="N8:N9"/>
    <mergeCell ref="F9:F10"/>
    <mergeCell ref="O11:P13"/>
    <mergeCell ref="F13:F14"/>
  </mergeCells>
  <phoneticPr fontId="1"/>
  <printOptions horizontalCentered="1"/>
  <pageMargins left="0.70866141732283472" right="0.70866141732283472" top="0.74803149606299213" bottom="0.74803149606299213" header="0.31496062992125984" footer="0.31496062992125984"/>
  <pageSetup paperSize="9" scale="58" fitToHeight="0" orientation="portrait" r:id="rId1"/>
  <headerFooter>
    <oddHeader>&amp;R&amp;"ＭＳ Ｐゴシック"&amp;9居宅介護</oddHeader>
    <oddFooter>&amp;C&amp;"ＭＳ Ｐゴシック"&amp;14&amp;P</oddFooter>
  </headerFooter>
  <rowBreaks count="1" manualBreakCount="1">
    <brk id="46" max="1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fitToPage="1"/>
  </sheetPr>
  <dimension ref="A1:R112"/>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1.875" style="10" bestFit="1" customWidth="1"/>
    <col min="4" max="4" width="6" style="10" bestFit="1" customWidth="1"/>
    <col min="5" max="5" width="5.5" style="117" bestFit="1" customWidth="1"/>
    <col min="6" max="6" width="11.875" style="12" customWidth="1"/>
    <col min="7" max="7" width="3.5" style="12" bestFit="1" customWidth="1"/>
    <col min="8" max="8" width="4.5" style="13" bestFit="1" customWidth="1"/>
    <col min="9" max="9" width="24.875" style="14" bestFit="1" customWidth="1"/>
    <col min="10" max="10" width="3.5" style="12" bestFit="1" customWidth="1"/>
    <col min="11" max="11" width="5.5" style="13" bestFit="1" customWidth="1"/>
    <col min="12" max="12" width="3.5" style="12" bestFit="1" customWidth="1"/>
    <col min="13" max="13" width="4.5" style="13" bestFit="1" customWidth="1"/>
    <col min="14" max="14" width="5.5" style="12" bestFit="1" customWidth="1"/>
    <col min="15" max="15" width="9.875" style="12" customWidth="1"/>
    <col min="16" max="16" width="4.5" style="12" bestFit="1" customWidth="1"/>
    <col min="17" max="17" width="7.125" style="15" customWidth="1"/>
    <col min="18" max="18" width="8.5" style="16" customWidth="1"/>
    <col min="19" max="16384" width="8.875" style="12"/>
  </cols>
  <sheetData>
    <row r="1" spans="1:18" ht="17.100000000000001" customHeight="1" x14ac:dyDescent="0.15"/>
    <row r="2" spans="1:18" ht="17.100000000000001" customHeight="1" x14ac:dyDescent="0.15"/>
    <row r="3" spans="1:18" ht="17.100000000000001" customHeight="1" x14ac:dyDescent="0.15"/>
    <row r="4" spans="1:18" ht="17.100000000000001" customHeight="1" x14ac:dyDescent="0.15">
      <c r="B4" s="17" t="s">
        <v>4809</v>
      </c>
      <c r="D4" s="71"/>
    </row>
    <row r="5" spans="1:18" ht="16.5" customHeight="1" x14ac:dyDescent="0.15">
      <c r="A5" s="19" t="s">
        <v>384</v>
      </c>
      <c r="B5" s="20"/>
      <c r="C5" s="21" t="s">
        <v>385</v>
      </c>
      <c r="D5" s="23" t="s">
        <v>386</v>
      </c>
      <c r="E5" s="118"/>
      <c r="F5" s="23"/>
      <c r="G5" s="23"/>
      <c r="H5" s="24"/>
      <c r="I5" s="23"/>
      <c r="J5" s="23"/>
      <c r="K5" s="24"/>
      <c r="L5" s="23"/>
      <c r="M5" s="24"/>
      <c r="N5" s="23"/>
      <c r="O5" s="23"/>
      <c r="P5" s="23"/>
      <c r="Q5" s="25" t="s">
        <v>387</v>
      </c>
      <c r="R5" s="21" t="s">
        <v>388</v>
      </c>
    </row>
    <row r="6" spans="1:18" ht="16.5" customHeight="1" x14ac:dyDescent="0.15">
      <c r="A6" s="26" t="s">
        <v>389</v>
      </c>
      <c r="B6" s="26" t="s">
        <v>390</v>
      </c>
      <c r="C6" s="27"/>
      <c r="D6" s="29"/>
      <c r="E6" s="120"/>
      <c r="F6" s="29"/>
      <c r="G6" s="29"/>
      <c r="H6" s="30"/>
      <c r="I6" s="29"/>
      <c r="J6" s="29"/>
      <c r="K6" s="30"/>
      <c r="L6" s="29"/>
      <c r="M6" s="30"/>
      <c r="N6" s="29"/>
      <c r="O6" s="29"/>
      <c r="P6" s="29"/>
      <c r="Q6" s="31" t="s">
        <v>391</v>
      </c>
      <c r="R6" s="32" t="s">
        <v>392</v>
      </c>
    </row>
    <row r="7" spans="1:18" ht="16.5" customHeight="1" x14ac:dyDescent="0.15">
      <c r="A7" s="33">
        <v>11</v>
      </c>
      <c r="B7" s="33">
        <v>3251</v>
      </c>
      <c r="C7" s="34" t="s">
        <v>4810</v>
      </c>
      <c r="D7" s="709" t="s">
        <v>4811</v>
      </c>
      <c r="E7" s="718"/>
      <c r="F7" s="35"/>
      <c r="I7" s="36"/>
      <c r="J7" s="37"/>
      <c r="K7" s="38"/>
      <c r="L7" s="72" t="s">
        <v>862</v>
      </c>
      <c r="N7" s="57"/>
      <c r="O7" s="35"/>
      <c r="Q7" s="39">
        <f>ROUND((_11_A通院１０．５*(1+_11・A深夜)),0)</f>
        <v>383</v>
      </c>
      <c r="R7" s="40" t="s">
        <v>395</v>
      </c>
    </row>
    <row r="8" spans="1:18" ht="16.5" customHeight="1" x14ac:dyDescent="0.15">
      <c r="A8" s="41">
        <v>11</v>
      </c>
      <c r="B8" s="41">
        <v>3252</v>
      </c>
      <c r="C8" s="74" t="s">
        <v>4812</v>
      </c>
      <c r="D8" s="709"/>
      <c r="E8" s="718"/>
      <c r="F8" s="43"/>
      <c r="G8" s="37"/>
      <c r="H8" s="38"/>
      <c r="I8" s="44" t="s">
        <v>397</v>
      </c>
      <c r="J8" s="45" t="s">
        <v>398</v>
      </c>
      <c r="K8" s="46">
        <v>1</v>
      </c>
      <c r="L8" s="35" t="s">
        <v>398</v>
      </c>
      <c r="M8" s="13">
        <v>0.5</v>
      </c>
      <c r="N8" s="728" t="s">
        <v>676</v>
      </c>
      <c r="O8" s="35"/>
      <c r="Q8" s="47">
        <f>ROUND((ROUND((_11_A通院１０．５*_11・２人),0)*(1+_11・A深夜)),0)</f>
        <v>383</v>
      </c>
      <c r="R8" s="48"/>
    </row>
    <row r="9" spans="1:18" ht="16.5" customHeight="1" x14ac:dyDescent="0.15">
      <c r="A9" s="41">
        <v>11</v>
      </c>
      <c r="B9" s="41">
        <v>3253</v>
      </c>
      <c r="C9" s="74" t="s">
        <v>4813</v>
      </c>
      <c r="D9" s="709"/>
      <c r="E9" s="718"/>
      <c r="F9" s="752" t="s">
        <v>400</v>
      </c>
      <c r="G9" s="49" t="s">
        <v>398</v>
      </c>
      <c r="H9" s="50">
        <v>0.7</v>
      </c>
      <c r="I9" s="44"/>
      <c r="J9" s="45"/>
      <c r="K9" s="46"/>
      <c r="L9" s="35"/>
      <c r="N9" s="728"/>
      <c r="O9" s="35"/>
      <c r="Q9" s="47">
        <f>ROUND((ROUND((_11_A通院１０．５*_11・基礎１),0)*(1+_11・A深夜)),0)</f>
        <v>269</v>
      </c>
      <c r="R9" s="48"/>
    </row>
    <row r="10" spans="1:18" ht="16.5" customHeight="1" x14ac:dyDescent="0.15">
      <c r="A10" s="41">
        <v>11</v>
      </c>
      <c r="B10" s="41">
        <v>3254</v>
      </c>
      <c r="C10" s="74" t="s">
        <v>4814</v>
      </c>
      <c r="D10" s="100">
        <f>_11_A通院１０．５</f>
        <v>255</v>
      </c>
      <c r="E10" s="12" t="s">
        <v>392</v>
      </c>
      <c r="F10" s="711"/>
      <c r="G10" s="37"/>
      <c r="H10" s="38"/>
      <c r="I10" s="44" t="s">
        <v>397</v>
      </c>
      <c r="J10" s="45" t="s">
        <v>398</v>
      </c>
      <c r="K10" s="46">
        <v>1</v>
      </c>
      <c r="L10" s="35"/>
      <c r="N10" s="57"/>
      <c r="O10" s="43"/>
      <c r="P10" s="37"/>
      <c r="Q10" s="47">
        <f>ROUND((ROUND((ROUND((_11_A通院１０．５*_11・基礎１),0)*_11・２人),0)*(1+_11・A深夜)),0)</f>
        <v>269</v>
      </c>
      <c r="R10" s="48"/>
    </row>
    <row r="11" spans="1:18" ht="16.5" customHeight="1" x14ac:dyDescent="0.15">
      <c r="A11" s="41">
        <v>11</v>
      </c>
      <c r="B11" s="41" t="s">
        <v>4815</v>
      </c>
      <c r="C11" s="42" t="s">
        <v>4816</v>
      </c>
      <c r="D11" s="121"/>
      <c r="E11" s="99"/>
      <c r="F11" s="53"/>
      <c r="G11" s="49"/>
      <c r="H11" s="50"/>
      <c r="I11" s="44"/>
      <c r="J11" s="45"/>
      <c r="K11" s="46"/>
      <c r="L11" s="35"/>
      <c r="N11" s="57"/>
      <c r="O11" s="707" t="s">
        <v>404</v>
      </c>
      <c r="P11" s="708"/>
      <c r="Q11" s="47">
        <f>ROUND((ROUND((_11_A通院１０．５*(1+_11・A深夜)),0)*_11・初任),0)</f>
        <v>268</v>
      </c>
      <c r="R11" s="48"/>
    </row>
    <row r="12" spans="1:18" ht="16.5" customHeight="1" x14ac:dyDescent="0.15">
      <c r="A12" s="41">
        <v>11</v>
      </c>
      <c r="B12" s="41" t="s">
        <v>4817</v>
      </c>
      <c r="C12" s="42" t="s">
        <v>4818</v>
      </c>
      <c r="D12" s="121"/>
      <c r="E12" s="99"/>
      <c r="F12" s="43"/>
      <c r="G12" s="37"/>
      <c r="H12" s="38"/>
      <c r="I12" s="44" t="s">
        <v>397</v>
      </c>
      <c r="J12" s="45" t="s">
        <v>398</v>
      </c>
      <c r="K12" s="46">
        <v>1</v>
      </c>
      <c r="L12" s="35"/>
      <c r="N12" s="57"/>
      <c r="O12" s="709"/>
      <c r="P12" s="704"/>
      <c r="Q12" s="47">
        <f>ROUND((ROUND((ROUND((_11_A通院１０．５*_11・２人),0)*(1+_11・A深夜)),0)*_11・初任),0)</f>
        <v>268</v>
      </c>
      <c r="R12" s="48"/>
    </row>
    <row r="13" spans="1:18" ht="16.5" customHeight="1" x14ac:dyDescent="0.15">
      <c r="A13" s="41">
        <v>11</v>
      </c>
      <c r="B13" s="41" t="s">
        <v>4819</v>
      </c>
      <c r="C13" s="42" t="s">
        <v>4820</v>
      </c>
      <c r="D13" s="72"/>
      <c r="E13" s="99"/>
      <c r="F13" s="752" t="s">
        <v>400</v>
      </c>
      <c r="G13" s="49" t="s">
        <v>398</v>
      </c>
      <c r="H13" s="50">
        <v>0.7</v>
      </c>
      <c r="I13" s="44"/>
      <c r="J13" s="45"/>
      <c r="K13" s="46"/>
      <c r="L13" s="35"/>
      <c r="N13" s="57"/>
      <c r="O13" s="709"/>
      <c r="P13" s="704"/>
      <c r="Q13" s="47">
        <f>ROUND((ROUND((ROUND((_11_A通院１０．５*_11・基礎１),0)*(1+_11・A深夜)),0)*_11・初任),0)</f>
        <v>188</v>
      </c>
      <c r="R13" s="48"/>
    </row>
    <row r="14" spans="1:18" ht="16.5" customHeight="1" x14ac:dyDescent="0.15">
      <c r="A14" s="41">
        <v>11</v>
      </c>
      <c r="B14" s="41" t="s">
        <v>4821</v>
      </c>
      <c r="C14" s="42" t="s">
        <v>4822</v>
      </c>
      <c r="D14" s="72"/>
      <c r="E14" s="99"/>
      <c r="F14" s="711"/>
      <c r="G14" s="37"/>
      <c r="H14" s="38"/>
      <c r="I14" s="44" t="s">
        <v>397</v>
      </c>
      <c r="J14" s="45" t="s">
        <v>398</v>
      </c>
      <c r="K14" s="46">
        <v>1</v>
      </c>
      <c r="L14" s="35"/>
      <c r="N14" s="57"/>
      <c r="O14" s="55" t="s">
        <v>398</v>
      </c>
      <c r="P14" s="38">
        <f>_11・初任</f>
        <v>0.7</v>
      </c>
      <c r="Q14" s="47">
        <f>ROUND((ROUND((ROUND((ROUND((_11_A通院１０．５*_11・基礎１),0)*_11・２人),0)*(1+_11・A深夜)),0)*_11・初任),0)</f>
        <v>188</v>
      </c>
      <c r="R14" s="48"/>
    </row>
    <row r="15" spans="1:18" ht="16.5" customHeight="1" x14ac:dyDescent="0.15">
      <c r="A15" s="41">
        <v>11</v>
      </c>
      <c r="B15" s="41">
        <v>3255</v>
      </c>
      <c r="C15" s="74" t="s">
        <v>4823</v>
      </c>
      <c r="D15" s="707" t="s">
        <v>876</v>
      </c>
      <c r="E15" s="717"/>
      <c r="F15" s="53"/>
      <c r="G15" s="49"/>
      <c r="H15" s="50"/>
      <c r="I15" s="44"/>
      <c r="J15" s="45"/>
      <c r="K15" s="46"/>
      <c r="L15" s="35"/>
      <c r="N15" s="57"/>
      <c r="O15" s="53"/>
      <c r="P15" s="49"/>
      <c r="Q15" s="47">
        <f>ROUND((_11_A通院１１．０*(1+_11・A深夜)),0)</f>
        <v>603</v>
      </c>
      <c r="R15" s="48"/>
    </row>
    <row r="16" spans="1:18" ht="16.5" customHeight="1" x14ac:dyDescent="0.15">
      <c r="A16" s="41">
        <v>11</v>
      </c>
      <c r="B16" s="41">
        <v>3256</v>
      </c>
      <c r="C16" s="74" t="s">
        <v>4824</v>
      </c>
      <c r="D16" s="709"/>
      <c r="E16" s="718"/>
      <c r="F16" s="43"/>
      <c r="G16" s="37"/>
      <c r="H16" s="38"/>
      <c r="I16" s="44" t="s">
        <v>397</v>
      </c>
      <c r="J16" s="45" t="s">
        <v>398</v>
      </c>
      <c r="K16" s="46">
        <v>1</v>
      </c>
      <c r="L16" s="35"/>
      <c r="N16" s="57"/>
      <c r="O16" s="35"/>
      <c r="Q16" s="47">
        <f>ROUND((ROUND((_11_A通院１１．０*_11・２人),0)*(1+_11・A深夜)),0)</f>
        <v>603</v>
      </c>
      <c r="R16" s="48"/>
    </row>
    <row r="17" spans="1:18" ht="16.5" customHeight="1" x14ac:dyDescent="0.15">
      <c r="A17" s="41">
        <v>11</v>
      </c>
      <c r="B17" s="41">
        <v>3257</v>
      </c>
      <c r="C17" s="74" t="s">
        <v>4825</v>
      </c>
      <c r="D17" s="709"/>
      <c r="E17" s="718"/>
      <c r="F17" s="752" t="s">
        <v>400</v>
      </c>
      <c r="G17" s="49" t="s">
        <v>398</v>
      </c>
      <c r="H17" s="50">
        <v>0.7</v>
      </c>
      <c r="I17" s="44"/>
      <c r="J17" s="45"/>
      <c r="K17" s="46"/>
      <c r="L17" s="35"/>
      <c r="N17" s="57"/>
      <c r="O17" s="35"/>
      <c r="Q17" s="47">
        <f>ROUND((ROUND((_11_A通院１１．０*_11・基礎１),0)*(1+_11・A深夜)),0)</f>
        <v>422</v>
      </c>
      <c r="R17" s="48"/>
    </row>
    <row r="18" spans="1:18" ht="16.5" customHeight="1" x14ac:dyDescent="0.15">
      <c r="A18" s="41">
        <v>11</v>
      </c>
      <c r="B18" s="41">
        <v>3258</v>
      </c>
      <c r="C18" s="74" t="s">
        <v>4826</v>
      </c>
      <c r="D18" s="100">
        <f>_11_A通院１１．０</f>
        <v>402</v>
      </c>
      <c r="E18" s="12" t="s">
        <v>3279</v>
      </c>
      <c r="F18" s="722"/>
      <c r="G18" s="37"/>
      <c r="H18" s="38"/>
      <c r="I18" s="44" t="s">
        <v>397</v>
      </c>
      <c r="J18" s="45" t="s">
        <v>398</v>
      </c>
      <c r="K18" s="46">
        <v>1</v>
      </c>
      <c r="L18" s="35"/>
      <c r="N18" s="57"/>
      <c r="O18" s="43"/>
      <c r="P18" s="37"/>
      <c r="Q18" s="47">
        <f>ROUND((ROUND((ROUND((_11_A通院１１．０*_11・基礎１),0)*_11・２人),0)*(1+_11・A深夜)),0)</f>
        <v>422</v>
      </c>
      <c r="R18" s="48"/>
    </row>
    <row r="19" spans="1:18" ht="16.5" customHeight="1" x14ac:dyDescent="0.15">
      <c r="A19" s="41">
        <v>11</v>
      </c>
      <c r="B19" s="41" t="s">
        <v>4827</v>
      </c>
      <c r="C19" s="42" t="s">
        <v>4828</v>
      </c>
      <c r="D19" s="121"/>
      <c r="E19" s="99"/>
      <c r="F19" s="53"/>
      <c r="G19" s="49"/>
      <c r="H19" s="50"/>
      <c r="I19" s="44"/>
      <c r="J19" s="45"/>
      <c r="K19" s="46"/>
      <c r="L19" s="35"/>
      <c r="N19" s="57"/>
      <c r="O19" s="707" t="s">
        <v>404</v>
      </c>
      <c r="P19" s="708"/>
      <c r="Q19" s="47">
        <f>ROUND((ROUND((_11_A通院１１．０*(1+_11・A深夜)),0)*_11・初任),0)</f>
        <v>422</v>
      </c>
      <c r="R19" s="48"/>
    </row>
    <row r="20" spans="1:18" ht="16.5" customHeight="1" x14ac:dyDescent="0.15">
      <c r="A20" s="41">
        <v>11</v>
      </c>
      <c r="B20" s="41" t="s">
        <v>4829</v>
      </c>
      <c r="C20" s="42" t="s">
        <v>4830</v>
      </c>
      <c r="D20" s="121"/>
      <c r="E20" s="99"/>
      <c r="F20" s="43"/>
      <c r="G20" s="37"/>
      <c r="H20" s="38"/>
      <c r="I20" s="44" t="s">
        <v>397</v>
      </c>
      <c r="J20" s="45" t="s">
        <v>398</v>
      </c>
      <c r="K20" s="46">
        <v>1</v>
      </c>
      <c r="L20" s="35"/>
      <c r="N20" s="57"/>
      <c r="O20" s="709"/>
      <c r="P20" s="704"/>
      <c r="Q20" s="47">
        <f>ROUND((ROUND((ROUND((_11_A通院１１．０*_11・２人),0)*(1+_11・A深夜)),0)*_11・初任),0)</f>
        <v>422</v>
      </c>
      <c r="R20" s="48"/>
    </row>
    <row r="21" spans="1:18" ht="16.5" customHeight="1" x14ac:dyDescent="0.15">
      <c r="A21" s="41">
        <v>11</v>
      </c>
      <c r="B21" s="41" t="s">
        <v>4831</v>
      </c>
      <c r="C21" s="42" t="s">
        <v>4832</v>
      </c>
      <c r="D21" s="72"/>
      <c r="E21" s="99"/>
      <c r="F21" s="752" t="s">
        <v>400</v>
      </c>
      <c r="G21" s="49" t="s">
        <v>398</v>
      </c>
      <c r="H21" s="50">
        <v>0.7</v>
      </c>
      <c r="I21" s="44"/>
      <c r="J21" s="45"/>
      <c r="K21" s="46"/>
      <c r="L21" s="35"/>
      <c r="N21" s="57"/>
      <c r="O21" s="709"/>
      <c r="P21" s="704"/>
      <c r="Q21" s="47">
        <f>ROUND((ROUND((ROUND((_11_A通院１１．０*_11・基礎１),0)*(1+_11・A深夜)),0)*_11・初任),0)</f>
        <v>295</v>
      </c>
      <c r="R21" s="48"/>
    </row>
    <row r="22" spans="1:18" ht="16.5" customHeight="1" x14ac:dyDescent="0.15">
      <c r="A22" s="41">
        <v>11</v>
      </c>
      <c r="B22" s="41" t="s">
        <v>4833</v>
      </c>
      <c r="C22" s="42" t="s">
        <v>4834</v>
      </c>
      <c r="D22" s="72"/>
      <c r="E22" s="99"/>
      <c r="F22" s="711"/>
      <c r="G22" s="37"/>
      <c r="H22" s="38"/>
      <c r="I22" s="44" t="s">
        <v>397</v>
      </c>
      <c r="J22" s="45" t="s">
        <v>398</v>
      </c>
      <c r="K22" s="46">
        <v>1</v>
      </c>
      <c r="L22" s="35"/>
      <c r="N22" s="57"/>
      <c r="O22" s="55" t="s">
        <v>398</v>
      </c>
      <c r="P22" s="38">
        <f>_11・初任</f>
        <v>0.7</v>
      </c>
      <c r="Q22" s="47">
        <f>ROUND((ROUND((ROUND((ROUND((_11_A通院１１．０*_11・基礎１),0)*_11・２人),0)*(1+_11・A深夜)),0)*_11・初任),0)</f>
        <v>295</v>
      </c>
      <c r="R22" s="48"/>
    </row>
    <row r="23" spans="1:18" ht="16.5" customHeight="1" x14ac:dyDescent="0.15">
      <c r="A23" s="41">
        <v>11</v>
      </c>
      <c r="B23" s="41">
        <v>3259</v>
      </c>
      <c r="C23" s="74" t="s">
        <v>4835</v>
      </c>
      <c r="D23" s="707" t="s">
        <v>889</v>
      </c>
      <c r="E23" s="717"/>
      <c r="F23" s="53"/>
      <c r="G23" s="49"/>
      <c r="H23" s="50"/>
      <c r="I23" s="44"/>
      <c r="J23" s="45"/>
      <c r="K23" s="46"/>
      <c r="L23" s="35"/>
      <c r="N23" s="57"/>
      <c r="O23" s="53"/>
      <c r="P23" s="49"/>
      <c r="Q23" s="47">
        <f>ROUND((_11_A通院１１．５*(1+_11・A深夜)),0)</f>
        <v>876</v>
      </c>
      <c r="R23" s="48"/>
    </row>
    <row r="24" spans="1:18" ht="16.5" customHeight="1" x14ac:dyDescent="0.15">
      <c r="A24" s="41">
        <v>11</v>
      </c>
      <c r="B24" s="41">
        <v>3260</v>
      </c>
      <c r="C24" s="74" t="s">
        <v>4836</v>
      </c>
      <c r="D24" s="709"/>
      <c r="E24" s="718"/>
      <c r="F24" s="43"/>
      <c r="G24" s="37"/>
      <c r="H24" s="38"/>
      <c r="I24" s="44" t="s">
        <v>397</v>
      </c>
      <c r="J24" s="45" t="s">
        <v>398</v>
      </c>
      <c r="K24" s="46">
        <v>1</v>
      </c>
      <c r="L24" s="35"/>
      <c r="N24" s="57"/>
      <c r="O24" s="35"/>
      <c r="Q24" s="47">
        <f>ROUND((ROUND((_11_A通院１１．５*_11・２人),0)*(1+_11・A深夜)),0)</f>
        <v>876</v>
      </c>
      <c r="R24" s="48"/>
    </row>
    <row r="25" spans="1:18" ht="16.5" customHeight="1" x14ac:dyDescent="0.15">
      <c r="A25" s="41">
        <v>11</v>
      </c>
      <c r="B25" s="41">
        <v>3261</v>
      </c>
      <c r="C25" s="74" t="s">
        <v>4837</v>
      </c>
      <c r="D25" s="709"/>
      <c r="E25" s="718"/>
      <c r="F25" s="752" t="s">
        <v>400</v>
      </c>
      <c r="G25" s="49" t="s">
        <v>398</v>
      </c>
      <c r="H25" s="50">
        <v>0.7</v>
      </c>
      <c r="I25" s="44"/>
      <c r="J25" s="45"/>
      <c r="K25" s="46"/>
      <c r="L25" s="35"/>
      <c r="N25" s="57"/>
      <c r="O25" s="35"/>
      <c r="Q25" s="47">
        <f>ROUND((ROUND((_11_A通院１１．５*_11・基礎１),0)*(1+_11・A深夜)),0)</f>
        <v>614</v>
      </c>
      <c r="R25" s="48"/>
    </row>
    <row r="26" spans="1:18" ht="16.5" customHeight="1" x14ac:dyDescent="0.15">
      <c r="A26" s="41">
        <v>11</v>
      </c>
      <c r="B26" s="41">
        <v>3262</v>
      </c>
      <c r="C26" s="74" t="s">
        <v>4838</v>
      </c>
      <c r="D26" s="100">
        <f>_11_A通院１１．５</f>
        <v>584</v>
      </c>
      <c r="E26" s="12" t="s">
        <v>392</v>
      </c>
      <c r="F26" s="711"/>
      <c r="G26" s="37"/>
      <c r="H26" s="38"/>
      <c r="I26" s="44" t="s">
        <v>397</v>
      </c>
      <c r="J26" s="45" t="s">
        <v>398</v>
      </c>
      <c r="K26" s="46">
        <v>1</v>
      </c>
      <c r="L26" s="35"/>
      <c r="N26" s="57"/>
      <c r="O26" s="43"/>
      <c r="P26" s="37"/>
      <c r="Q26" s="47">
        <f>ROUND((ROUND((ROUND((_11_A通院１１．５*_11・基礎１),0)*_11・２人),0)*(1+_11・A深夜)),0)</f>
        <v>614</v>
      </c>
      <c r="R26" s="48"/>
    </row>
    <row r="27" spans="1:18" ht="16.5" customHeight="1" x14ac:dyDescent="0.15">
      <c r="A27" s="41">
        <v>11</v>
      </c>
      <c r="B27" s="41" t="s">
        <v>4839</v>
      </c>
      <c r="C27" s="42" t="s">
        <v>4840</v>
      </c>
      <c r="D27" s="121"/>
      <c r="E27" s="99"/>
      <c r="F27" s="53"/>
      <c r="G27" s="49"/>
      <c r="H27" s="50"/>
      <c r="I27" s="44"/>
      <c r="J27" s="45"/>
      <c r="K27" s="46"/>
      <c r="L27" s="35"/>
      <c r="N27" s="57"/>
      <c r="O27" s="707" t="s">
        <v>404</v>
      </c>
      <c r="P27" s="708"/>
      <c r="Q27" s="47">
        <f>ROUND((ROUND((_11_A通院１１．５*(1+_11・A深夜)),0)*_11・初任),0)</f>
        <v>613</v>
      </c>
      <c r="R27" s="48"/>
    </row>
    <row r="28" spans="1:18" ht="16.5" customHeight="1" x14ac:dyDescent="0.15">
      <c r="A28" s="41">
        <v>11</v>
      </c>
      <c r="B28" s="41" t="s">
        <v>4841</v>
      </c>
      <c r="C28" s="42" t="s">
        <v>4842</v>
      </c>
      <c r="D28" s="121"/>
      <c r="E28" s="99"/>
      <c r="F28" s="43"/>
      <c r="G28" s="37"/>
      <c r="H28" s="38"/>
      <c r="I28" s="44" t="s">
        <v>397</v>
      </c>
      <c r="J28" s="45" t="s">
        <v>398</v>
      </c>
      <c r="K28" s="46">
        <v>1</v>
      </c>
      <c r="L28" s="35"/>
      <c r="N28" s="57"/>
      <c r="O28" s="709"/>
      <c r="P28" s="704"/>
      <c r="Q28" s="47">
        <f>ROUND((ROUND((ROUND((_11_A通院１１．５*_11・２人),0)*(1+_11・A深夜)),0)*_11・初任),0)</f>
        <v>613</v>
      </c>
      <c r="R28" s="48"/>
    </row>
    <row r="29" spans="1:18" ht="16.5" customHeight="1" x14ac:dyDescent="0.15">
      <c r="A29" s="41">
        <v>11</v>
      </c>
      <c r="B29" s="41" t="s">
        <v>4843</v>
      </c>
      <c r="C29" s="42" t="s">
        <v>4844</v>
      </c>
      <c r="D29" s="72"/>
      <c r="E29" s="99"/>
      <c r="F29" s="752" t="s">
        <v>400</v>
      </c>
      <c r="G29" s="49" t="s">
        <v>398</v>
      </c>
      <c r="H29" s="50">
        <v>0.7</v>
      </c>
      <c r="I29" s="44"/>
      <c r="J29" s="45"/>
      <c r="K29" s="46"/>
      <c r="L29" s="35"/>
      <c r="N29" s="57"/>
      <c r="O29" s="709"/>
      <c r="P29" s="704"/>
      <c r="Q29" s="47">
        <f>ROUND((ROUND((ROUND((_11_A通院１１．５*_11・基礎１),0)*(1+_11・A深夜)),0)*_11・初任),0)</f>
        <v>430</v>
      </c>
      <c r="R29" s="48"/>
    </row>
    <row r="30" spans="1:18" ht="16.5" customHeight="1" x14ac:dyDescent="0.15">
      <c r="A30" s="41">
        <v>11</v>
      </c>
      <c r="B30" s="41" t="s">
        <v>4845</v>
      </c>
      <c r="C30" s="42" t="s">
        <v>4846</v>
      </c>
      <c r="D30" s="72"/>
      <c r="E30" s="99"/>
      <c r="F30" s="711"/>
      <c r="G30" s="37"/>
      <c r="H30" s="38"/>
      <c r="I30" s="44" t="s">
        <v>397</v>
      </c>
      <c r="J30" s="45" t="s">
        <v>398</v>
      </c>
      <c r="K30" s="46">
        <v>1</v>
      </c>
      <c r="L30" s="35"/>
      <c r="N30" s="57"/>
      <c r="O30" s="55" t="s">
        <v>398</v>
      </c>
      <c r="P30" s="38">
        <f>_11・初任</f>
        <v>0.7</v>
      </c>
      <c r="Q30" s="47">
        <f>ROUND((ROUND((ROUND((ROUND((_11_A通院１１．５*_11・基礎１),0)*_11・２人),0)*(1+_11・A深夜)),0)*_11・初任),0)</f>
        <v>430</v>
      </c>
      <c r="R30" s="48"/>
    </row>
    <row r="31" spans="1:18" ht="16.5" customHeight="1" x14ac:dyDescent="0.15">
      <c r="A31" s="41">
        <v>11</v>
      </c>
      <c r="B31" s="41">
        <v>3263</v>
      </c>
      <c r="C31" s="74" t="s">
        <v>4847</v>
      </c>
      <c r="D31" s="707" t="s">
        <v>1188</v>
      </c>
      <c r="E31" s="717"/>
      <c r="F31" s="53"/>
      <c r="G31" s="49"/>
      <c r="H31" s="50"/>
      <c r="I31" s="44"/>
      <c r="J31" s="45"/>
      <c r="K31" s="46"/>
      <c r="L31" s="35"/>
      <c r="N31" s="57"/>
      <c r="O31" s="53"/>
      <c r="P31" s="49"/>
      <c r="Q31" s="47">
        <f>ROUND((_11_A通院１２．０*(1+_11・A深夜)),0)</f>
        <v>999</v>
      </c>
      <c r="R31" s="48"/>
    </row>
    <row r="32" spans="1:18" ht="16.5" customHeight="1" x14ac:dyDescent="0.15">
      <c r="A32" s="41">
        <v>11</v>
      </c>
      <c r="B32" s="41">
        <v>3264</v>
      </c>
      <c r="C32" s="74" t="s">
        <v>4848</v>
      </c>
      <c r="D32" s="709"/>
      <c r="E32" s="718"/>
      <c r="F32" s="43"/>
      <c r="G32" s="37"/>
      <c r="H32" s="38"/>
      <c r="I32" s="44" t="s">
        <v>397</v>
      </c>
      <c r="J32" s="45" t="s">
        <v>398</v>
      </c>
      <c r="K32" s="46">
        <v>1</v>
      </c>
      <c r="L32" s="35"/>
      <c r="N32" s="57"/>
      <c r="O32" s="35"/>
      <c r="Q32" s="47">
        <f>ROUND((ROUND((_11_A通院１２．０*_11・２人),0)*(1+_11・A深夜)),0)</f>
        <v>999</v>
      </c>
      <c r="R32" s="48"/>
    </row>
    <row r="33" spans="1:18" ht="16.5" customHeight="1" x14ac:dyDescent="0.15">
      <c r="A33" s="41">
        <v>11</v>
      </c>
      <c r="B33" s="41">
        <v>3265</v>
      </c>
      <c r="C33" s="74" t="s">
        <v>4849</v>
      </c>
      <c r="D33" s="709"/>
      <c r="E33" s="718"/>
      <c r="F33" s="752" t="s">
        <v>400</v>
      </c>
      <c r="G33" s="49" t="s">
        <v>398</v>
      </c>
      <c r="H33" s="50">
        <v>0.7</v>
      </c>
      <c r="I33" s="44"/>
      <c r="J33" s="45"/>
      <c r="K33" s="46"/>
      <c r="L33" s="35"/>
      <c r="N33" s="57"/>
      <c r="O33" s="35"/>
      <c r="Q33" s="47">
        <f>ROUND((ROUND((_11_A通院１２．０*_11・基礎１),0)*(1+_11・A深夜)),0)</f>
        <v>699</v>
      </c>
      <c r="R33" s="48"/>
    </row>
    <row r="34" spans="1:18" ht="16.5" customHeight="1" x14ac:dyDescent="0.15">
      <c r="A34" s="41">
        <v>11</v>
      </c>
      <c r="B34" s="41">
        <v>3266</v>
      </c>
      <c r="C34" s="74" t="s">
        <v>4850</v>
      </c>
      <c r="D34" s="100">
        <f>_11_A通院１２．０</f>
        <v>666</v>
      </c>
      <c r="E34" s="12" t="s">
        <v>392</v>
      </c>
      <c r="F34" s="711"/>
      <c r="G34" s="37"/>
      <c r="H34" s="38"/>
      <c r="I34" s="44" t="s">
        <v>397</v>
      </c>
      <c r="J34" s="45" t="s">
        <v>398</v>
      </c>
      <c r="K34" s="46">
        <v>1</v>
      </c>
      <c r="L34" s="35"/>
      <c r="N34" s="57"/>
      <c r="O34" s="43"/>
      <c r="P34" s="37"/>
      <c r="Q34" s="47">
        <f>ROUND((ROUND((ROUND((_11_A通院１２．０*_11・基礎１),0)*_11・２人),0)*(1+_11・A深夜)),0)</f>
        <v>699</v>
      </c>
      <c r="R34" s="48"/>
    </row>
    <row r="35" spans="1:18" ht="16.5" customHeight="1" x14ac:dyDescent="0.15">
      <c r="A35" s="41">
        <v>11</v>
      </c>
      <c r="B35" s="41" t="s">
        <v>4851</v>
      </c>
      <c r="C35" s="42" t="s">
        <v>4852</v>
      </c>
      <c r="D35" s="121"/>
      <c r="E35" s="99"/>
      <c r="F35" s="53"/>
      <c r="G35" s="49"/>
      <c r="H35" s="50"/>
      <c r="I35" s="44"/>
      <c r="J35" s="45"/>
      <c r="K35" s="46"/>
      <c r="L35" s="35"/>
      <c r="N35" s="57"/>
      <c r="O35" s="707" t="s">
        <v>404</v>
      </c>
      <c r="P35" s="708"/>
      <c r="Q35" s="47">
        <f>ROUND((ROUND((_11_A通院１２．０*(1+_11・A深夜)),0)*_11・初任),0)</f>
        <v>699</v>
      </c>
      <c r="R35" s="48"/>
    </row>
    <row r="36" spans="1:18" ht="16.5" customHeight="1" x14ac:dyDescent="0.15">
      <c r="A36" s="41">
        <v>11</v>
      </c>
      <c r="B36" s="41" t="s">
        <v>4853</v>
      </c>
      <c r="C36" s="42" t="s">
        <v>4854</v>
      </c>
      <c r="D36" s="121"/>
      <c r="E36" s="99"/>
      <c r="F36" s="43"/>
      <c r="G36" s="37"/>
      <c r="H36" s="38"/>
      <c r="I36" s="44" t="s">
        <v>397</v>
      </c>
      <c r="J36" s="45" t="s">
        <v>398</v>
      </c>
      <c r="K36" s="46">
        <v>1</v>
      </c>
      <c r="L36" s="35"/>
      <c r="N36" s="57"/>
      <c r="O36" s="709"/>
      <c r="P36" s="704"/>
      <c r="Q36" s="47">
        <f>ROUND((ROUND((ROUND((_11_A通院１２．０*_11・２人),0)*(1+_11・A深夜)),0)*_11・初任),0)</f>
        <v>699</v>
      </c>
      <c r="R36" s="48"/>
    </row>
    <row r="37" spans="1:18" ht="16.5" customHeight="1" x14ac:dyDescent="0.15">
      <c r="A37" s="41">
        <v>11</v>
      </c>
      <c r="B37" s="41" t="s">
        <v>4855</v>
      </c>
      <c r="C37" s="42" t="s">
        <v>4856</v>
      </c>
      <c r="D37" s="72"/>
      <c r="E37" s="99"/>
      <c r="F37" s="752" t="s">
        <v>400</v>
      </c>
      <c r="G37" s="49" t="s">
        <v>398</v>
      </c>
      <c r="H37" s="50">
        <v>0.7</v>
      </c>
      <c r="I37" s="44"/>
      <c r="J37" s="45"/>
      <c r="K37" s="46"/>
      <c r="L37" s="35"/>
      <c r="N37" s="57"/>
      <c r="O37" s="709"/>
      <c r="P37" s="704"/>
      <c r="Q37" s="47">
        <f>ROUND((ROUND((ROUND((_11_A通院１２．０*_11・基礎１),0)*(1+_11・A深夜)),0)*_11・初任),0)</f>
        <v>489</v>
      </c>
      <c r="R37" s="48"/>
    </row>
    <row r="38" spans="1:18" ht="16.5" customHeight="1" x14ac:dyDescent="0.15">
      <c r="A38" s="41">
        <v>11</v>
      </c>
      <c r="B38" s="41" t="s">
        <v>4857</v>
      </c>
      <c r="C38" s="42" t="s">
        <v>4858</v>
      </c>
      <c r="D38" s="72"/>
      <c r="E38" s="99"/>
      <c r="F38" s="711"/>
      <c r="G38" s="37"/>
      <c r="H38" s="38"/>
      <c r="I38" s="44" t="s">
        <v>397</v>
      </c>
      <c r="J38" s="45" t="s">
        <v>398</v>
      </c>
      <c r="K38" s="46">
        <v>1</v>
      </c>
      <c r="L38" s="35"/>
      <c r="N38" s="57"/>
      <c r="O38" s="55" t="s">
        <v>398</v>
      </c>
      <c r="P38" s="38">
        <f>_11・初任</f>
        <v>0.7</v>
      </c>
      <c r="Q38" s="47">
        <f>ROUND((ROUND((ROUND((ROUND((_11_A通院１２．０*_11・基礎１),0)*_11・２人),0)*(1+_11・A深夜)),0)*_11・初任),0)</f>
        <v>489</v>
      </c>
      <c r="R38" s="48"/>
    </row>
    <row r="39" spans="1:18" ht="16.5" customHeight="1" x14ac:dyDescent="0.15">
      <c r="A39" s="41">
        <v>11</v>
      </c>
      <c r="B39" s="41">
        <v>3267</v>
      </c>
      <c r="C39" s="74" t="s">
        <v>4859</v>
      </c>
      <c r="D39" s="707" t="s">
        <v>915</v>
      </c>
      <c r="E39" s="717"/>
      <c r="F39" s="53"/>
      <c r="G39" s="49"/>
      <c r="H39" s="50"/>
      <c r="I39" s="44"/>
      <c r="J39" s="45"/>
      <c r="K39" s="46"/>
      <c r="L39" s="35"/>
      <c r="N39" s="57"/>
      <c r="O39" s="53"/>
      <c r="P39" s="49"/>
      <c r="Q39" s="47">
        <f>ROUND((_11_A通院１２．５*(1+_11・A深夜)),0)</f>
        <v>1125</v>
      </c>
      <c r="R39" s="48"/>
    </row>
    <row r="40" spans="1:18" ht="16.5" customHeight="1" x14ac:dyDescent="0.15">
      <c r="A40" s="41">
        <v>11</v>
      </c>
      <c r="B40" s="41">
        <v>3268</v>
      </c>
      <c r="C40" s="74" t="s">
        <v>4860</v>
      </c>
      <c r="D40" s="709"/>
      <c r="E40" s="718"/>
      <c r="F40" s="43"/>
      <c r="G40" s="37"/>
      <c r="H40" s="38"/>
      <c r="I40" s="44" t="s">
        <v>397</v>
      </c>
      <c r="J40" s="45" t="s">
        <v>398</v>
      </c>
      <c r="K40" s="46">
        <v>1</v>
      </c>
      <c r="L40" s="35"/>
      <c r="N40" s="57"/>
      <c r="O40" s="35"/>
      <c r="Q40" s="47">
        <f>ROUND((ROUND((_11_A通院１２．５*_11・２人),0)*(1+_11・A深夜)),0)</f>
        <v>1125</v>
      </c>
      <c r="R40" s="48"/>
    </row>
    <row r="41" spans="1:18" ht="16.5" customHeight="1" x14ac:dyDescent="0.15">
      <c r="A41" s="41">
        <v>11</v>
      </c>
      <c r="B41" s="41">
        <v>3269</v>
      </c>
      <c r="C41" s="74" t="s">
        <v>4861</v>
      </c>
      <c r="D41" s="709"/>
      <c r="E41" s="718"/>
      <c r="F41" s="752" t="s">
        <v>400</v>
      </c>
      <c r="G41" s="49" t="s">
        <v>398</v>
      </c>
      <c r="H41" s="50">
        <v>0.7</v>
      </c>
      <c r="I41" s="44"/>
      <c r="J41" s="45"/>
      <c r="K41" s="46"/>
      <c r="L41" s="35"/>
      <c r="N41" s="57"/>
      <c r="O41" s="35"/>
      <c r="Q41" s="47">
        <f>ROUND((ROUND((_11_A通院１２．５*_11・基礎１),0)*(1+_11・A深夜)),0)</f>
        <v>788</v>
      </c>
      <c r="R41" s="48"/>
    </row>
    <row r="42" spans="1:18" ht="16.5" customHeight="1" x14ac:dyDescent="0.15">
      <c r="A42" s="41">
        <v>11</v>
      </c>
      <c r="B42" s="41">
        <v>3270</v>
      </c>
      <c r="C42" s="74" t="s">
        <v>4862</v>
      </c>
      <c r="D42" s="100">
        <f>_11_A通院１２．５</f>
        <v>750</v>
      </c>
      <c r="E42" s="12" t="s">
        <v>392</v>
      </c>
      <c r="F42" s="711"/>
      <c r="G42" s="37"/>
      <c r="H42" s="38"/>
      <c r="I42" s="44" t="s">
        <v>397</v>
      </c>
      <c r="J42" s="45" t="s">
        <v>398</v>
      </c>
      <c r="K42" s="46">
        <v>1</v>
      </c>
      <c r="L42" s="35"/>
      <c r="N42" s="57"/>
      <c r="O42" s="43"/>
      <c r="P42" s="37"/>
      <c r="Q42" s="47">
        <f>ROUND((ROUND((ROUND((_11_A通院１２．５*_11・基礎１),0)*_11・２人),0)*(1+_11・A深夜)),0)</f>
        <v>788</v>
      </c>
      <c r="R42" s="48"/>
    </row>
    <row r="43" spans="1:18" ht="16.5" customHeight="1" x14ac:dyDescent="0.15">
      <c r="A43" s="41">
        <v>11</v>
      </c>
      <c r="B43" s="41" t="s">
        <v>4863</v>
      </c>
      <c r="C43" s="42" t="s">
        <v>4864</v>
      </c>
      <c r="D43" s="121"/>
      <c r="E43" s="99"/>
      <c r="F43" s="53"/>
      <c r="G43" s="49"/>
      <c r="H43" s="50"/>
      <c r="I43" s="44"/>
      <c r="J43" s="45"/>
      <c r="K43" s="46"/>
      <c r="L43" s="35"/>
      <c r="N43" s="57"/>
      <c r="O43" s="707" t="s">
        <v>404</v>
      </c>
      <c r="P43" s="708"/>
      <c r="Q43" s="47">
        <f>ROUND((ROUND((_11_A通院１２．５*(1+_11・A深夜)),0)*_11・初任),0)</f>
        <v>788</v>
      </c>
      <c r="R43" s="48"/>
    </row>
    <row r="44" spans="1:18" ht="16.5" customHeight="1" x14ac:dyDescent="0.15">
      <c r="A44" s="41">
        <v>11</v>
      </c>
      <c r="B44" s="41" t="s">
        <v>4865</v>
      </c>
      <c r="C44" s="42" t="s">
        <v>4866</v>
      </c>
      <c r="D44" s="121"/>
      <c r="E44" s="99"/>
      <c r="F44" s="43"/>
      <c r="G44" s="37"/>
      <c r="H44" s="38"/>
      <c r="I44" s="44" t="s">
        <v>397</v>
      </c>
      <c r="J44" s="45" t="s">
        <v>398</v>
      </c>
      <c r="K44" s="46">
        <v>1</v>
      </c>
      <c r="L44" s="35"/>
      <c r="N44" s="57"/>
      <c r="O44" s="709"/>
      <c r="P44" s="704"/>
      <c r="Q44" s="47">
        <f>ROUND((ROUND((ROUND((_11_A通院１２．５*_11・２人),0)*(1+_11・A深夜)),0)*_11・初任),0)</f>
        <v>788</v>
      </c>
      <c r="R44" s="48"/>
    </row>
    <row r="45" spans="1:18" ht="16.5" customHeight="1" x14ac:dyDescent="0.15">
      <c r="A45" s="41">
        <v>11</v>
      </c>
      <c r="B45" s="41" t="s">
        <v>4867</v>
      </c>
      <c r="C45" s="42" t="s">
        <v>4868</v>
      </c>
      <c r="D45" s="72"/>
      <c r="E45" s="99"/>
      <c r="F45" s="752" t="s">
        <v>400</v>
      </c>
      <c r="G45" s="49" t="s">
        <v>398</v>
      </c>
      <c r="H45" s="50">
        <v>0.7</v>
      </c>
      <c r="I45" s="44"/>
      <c r="J45" s="45"/>
      <c r="K45" s="46"/>
      <c r="L45" s="35"/>
      <c r="N45" s="57"/>
      <c r="O45" s="709"/>
      <c r="P45" s="704"/>
      <c r="Q45" s="47">
        <f>ROUND((ROUND((ROUND((_11_A通院１２．５*_11・基礎１),0)*(1+_11・A深夜)),0)*_11・初任),0)</f>
        <v>552</v>
      </c>
      <c r="R45" s="48"/>
    </row>
    <row r="46" spans="1:18" ht="16.5" customHeight="1" x14ac:dyDescent="0.15">
      <c r="A46" s="41">
        <v>11</v>
      </c>
      <c r="B46" s="41" t="s">
        <v>4869</v>
      </c>
      <c r="C46" s="42" t="s">
        <v>4870</v>
      </c>
      <c r="D46" s="72"/>
      <c r="E46" s="99"/>
      <c r="F46" s="711"/>
      <c r="G46" s="37"/>
      <c r="H46" s="38"/>
      <c r="I46" s="44" t="s">
        <v>397</v>
      </c>
      <c r="J46" s="45" t="s">
        <v>398</v>
      </c>
      <c r="K46" s="46">
        <v>1</v>
      </c>
      <c r="L46" s="35"/>
      <c r="N46" s="57"/>
      <c r="O46" s="55" t="s">
        <v>398</v>
      </c>
      <c r="P46" s="38">
        <f>_11・初任</f>
        <v>0.7</v>
      </c>
      <c r="Q46" s="47">
        <f>ROUND((ROUND((ROUND((ROUND((_11_A通院１２．５*_11・基礎１),0)*_11・２人),0)*(1+_11・A深夜)),0)*_11・初任),0)</f>
        <v>552</v>
      </c>
      <c r="R46" s="48"/>
    </row>
    <row r="47" spans="1:18" ht="16.5" customHeight="1" x14ac:dyDescent="0.15">
      <c r="A47" s="41">
        <v>11</v>
      </c>
      <c r="B47" s="41">
        <v>3271</v>
      </c>
      <c r="C47" s="74" t="s">
        <v>4871</v>
      </c>
      <c r="D47" s="707" t="s">
        <v>928</v>
      </c>
      <c r="E47" s="717"/>
      <c r="F47" s="53"/>
      <c r="G47" s="49"/>
      <c r="H47" s="50"/>
      <c r="I47" s="44"/>
      <c r="J47" s="45"/>
      <c r="K47" s="46"/>
      <c r="L47" s="35"/>
      <c r="N47" s="57"/>
      <c r="O47" s="53"/>
      <c r="P47" s="49"/>
      <c r="Q47" s="47">
        <f>ROUND((_11_A通院１３．０*(1+_11・A深夜)),0)</f>
        <v>1250</v>
      </c>
      <c r="R47" s="48"/>
    </row>
    <row r="48" spans="1:18" ht="16.5" customHeight="1" x14ac:dyDescent="0.15">
      <c r="A48" s="41">
        <v>11</v>
      </c>
      <c r="B48" s="41">
        <v>3272</v>
      </c>
      <c r="C48" s="74" t="s">
        <v>4872</v>
      </c>
      <c r="D48" s="709"/>
      <c r="E48" s="718"/>
      <c r="F48" s="43"/>
      <c r="G48" s="37"/>
      <c r="H48" s="38"/>
      <c r="I48" s="44" t="s">
        <v>397</v>
      </c>
      <c r="J48" s="45" t="s">
        <v>398</v>
      </c>
      <c r="K48" s="46">
        <v>1</v>
      </c>
      <c r="L48" s="35"/>
      <c r="N48" s="57"/>
      <c r="O48" s="35"/>
      <c r="Q48" s="47">
        <f>ROUND((ROUND((_11_A通院１３．０*_11・２人),0)*(1+_11・A深夜)),0)</f>
        <v>1250</v>
      </c>
      <c r="R48" s="48"/>
    </row>
    <row r="49" spans="1:18" ht="16.5" customHeight="1" x14ac:dyDescent="0.15">
      <c r="A49" s="41">
        <v>11</v>
      </c>
      <c r="B49" s="41">
        <v>3273</v>
      </c>
      <c r="C49" s="74" t="s">
        <v>4873</v>
      </c>
      <c r="D49" s="709"/>
      <c r="E49" s="718"/>
      <c r="F49" s="752" t="s">
        <v>400</v>
      </c>
      <c r="G49" s="49" t="s">
        <v>398</v>
      </c>
      <c r="H49" s="50">
        <v>0.7</v>
      </c>
      <c r="I49" s="44"/>
      <c r="J49" s="45"/>
      <c r="K49" s="46"/>
      <c r="L49" s="35"/>
      <c r="N49" s="57"/>
      <c r="O49" s="35"/>
      <c r="Q49" s="47">
        <f>ROUND((ROUND((_11_A通院１３．０*_11・基礎１),0)*(1+_11・A深夜)),0)</f>
        <v>875</v>
      </c>
      <c r="R49" s="48"/>
    </row>
    <row r="50" spans="1:18" ht="16.5" customHeight="1" x14ac:dyDescent="0.15">
      <c r="A50" s="41">
        <v>11</v>
      </c>
      <c r="B50" s="41">
        <v>3274</v>
      </c>
      <c r="C50" s="74" t="s">
        <v>4874</v>
      </c>
      <c r="D50" s="100">
        <f>_11_A通院１３．０</f>
        <v>833</v>
      </c>
      <c r="E50" s="12" t="s">
        <v>392</v>
      </c>
      <c r="F50" s="711"/>
      <c r="G50" s="37"/>
      <c r="H50" s="38"/>
      <c r="I50" s="44" t="s">
        <v>397</v>
      </c>
      <c r="J50" s="45" t="s">
        <v>398</v>
      </c>
      <c r="K50" s="46">
        <v>1</v>
      </c>
      <c r="L50" s="35"/>
      <c r="N50" s="57"/>
      <c r="O50" s="43"/>
      <c r="P50" s="37"/>
      <c r="Q50" s="47">
        <f>ROUND((ROUND((ROUND((_11_A通院１３．０*_11・基礎１),0)*_11・２人),0)*(1+_11・A深夜)),0)</f>
        <v>875</v>
      </c>
      <c r="R50" s="48"/>
    </row>
    <row r="51" spans="1:18" ht="16.5" customHeight="1" x14ac:dyDescent="0.15">
      <c r="A51" s="41">
        <v>11</v>
      </c>
      <c r="B51" s="41" t="s">
        <v>4875</v>
      </c>
      <c r="C51" s="42" t="s">
        <v>4876</v>
      </c>
      <c r="D51" s="121"/>
      <c r="E51" s="99"/>
      <c r="F51" s="53"/>
      <c r="G51" s="49"/>
      <c r="H51" s="50"/>
      <c r="I51" s="44"/>
      <c r="J51" s="45"/>
      <c r="K51" s="46"/>
      <c r="L51" s="35"/>
      <c r="N51" s="57"/>
      <c r="O51" s="707" t="s">
        <v>404</v>
      </c>
      <c r="P51" s="708"/>
      <c r="Q51" s="47">
        <f>ROUND((ROUND((_11_A通院１３．０*(1+_11・A深夜)),0)*_11・初任),0)</f>
        <v>875</v>
      </c>
      <c r="R51" s="48"/>
    </row>
    <row r="52" spans="1:18" ht="16.5" customHeight="1" x14ac:dyDescent="0.15">
      <c r="A52" s="41">
        <v>11</v>
      </c>
      <c r="B52" s="41" t="s">
        <v>4877</v>
      </c>
      <c r="C52" s="42" t="s">
        <v>4878</v>
      </c>
      <c r="D52" s="121"/>
      <c r="E52" s="99"/>
      <c r="F52" s="43"/>
      <c r="G52" s="37"/>
      <c r="H52" s="38"/>
      <c r="I52" s="44" t="s">
        <v>397</v>
      </c>
      <c r="J52" s="45" t="s">
        <v>398</v>
      </c>
      <c r="K52" s="46">
        <v>1</v>
      </c>
      <c r="L52" s="35"/>
      <c r="N52" s="57"/>
      <c r="O52" s="709"/>
      <c r="P52" s="704"/>
      <c r="Q52" s="47">
        <f>ROUND((ROUND((ROUND((_11_A通院１３．０*_11・２人),0)*(1+_11・A深夜)),0)*_11・初任),0)</f>
        <v>875</v>
      </c>
      <c r="R52" s="48"/>
    </row>
    <row r="53" spans="1:18" ht="16.5" customHeight="1" x14ac:dyDescent="0.15">
      <c r="A53" s="41">
        <v>11</v>
      </c>
      <c r="B53" s="41" t="s">
        <v>4879</v>
      </c>
      <c r="C53" s="42" t="s">
        <v>4880</v>
      </c>
      <c r="D53" s="72"/>
      <c r="E53" s="99"/>
      <c r="F53" s="752" t="s">
        <v>400</v>
      </c>
      <c r="G53" s="49" t="s">
        <v>398</v>
      </c>
      <c r="H53" s="50">
        <v>0.7</v>
      </c>
      <c r="I53" s="44"/>
      <c r="J53" s="45"/>
      <c r="K53" s="46"/>
      <c r="L53" s="35"/>
      <c r="N53" s="57"/>
      <c r="O53" s="709"/>
      <c r="P53" s="704"/>
      <c r="Q53" s="47">
        <f>ROUND((ROUND((ROUND((_11_A通院１３．０*_11・基礎１),0)*(1+_11・A深夜)),0)*_11・初任),0)</f>
        <v>613</v>
      </c>
      <c r="R53" s="48"/>
    </row>
    <row r="54" spans="1:18" ht="16.5" customHeight="1" x14ac:dyDescent="0.15">
      <c r="A54" s="41">
        <v>11</v>
      </c>
      <c r="B54" s="41" t="s">
        <v>4881</v>
      </c>
      <c r="C54" s="42" t="s">
        <v>4882</v>
      </c>
      <c r="D54" s="72"/>
      <c r="E54" s="99"/>
      <c r="F54" s="711"/>
      <c r="G54" s="37"/>
      <c r="H54" s="38"/>
      <c r="I54" s="44" t="s">
        <v>397</v>
      </c>
      <c r="J54" s="45" t="s">
        <v>398</v>
      </c>
      <c r="K54" s="46">
        <v>1</v>
      </c>
      <c r="L54" s="35"/>
      <c r="N54" s="57"/>
      <c r="O54" s="55" t="s">
        <v>398</v>
      </c>
      <c r="P54" s="38">
        <f>_11・初任</f>
        <v>0.7</v>
      </c>
      <c r="Q54" s="47">
        <f>ROUND((ROUND((ROUND((ROUND((_11_A通院１３．０*_11・基礎１),0)*_11・２人),0)*(1+_11・A深夜)),0)*_11・初任),0)</f>
        <v>613</v>
      </c>
      <c r="R54" s="48"/>
    </row>
    <row r="55" spans="1:18" ht="16.5" customHeight="1" x14ac:dyDescent="0.15">
      <c r="A55" s="41">
        <v>11</v>
      </c>
      <c r="B55" s="41">
        <v>3275</v>
      </c>
      <c r="C55" s="74" t="s">
        <v>4883</v>
      </c>
      <c r="D55" s="707" t="s">
        <v>941</v>
      </c>
      <c r="E55" s="717"/>
      <c r="F55" s="53"/>
      <c r="G55" s="49"/>
      <c r="H55" s="50"/>
      <c r="I55" s="44"/>
      <c r="J55" s="45"/>
      <c r="K55" s="46"/>
      <c r="L55" s="35"/>
      <c r="N55" s="57"/>
      <c r="O55" s="53"/>
      <c r="P55" s="49"/>
      <c r="Q55" s="47">
        <f>ROUND((_11_A通院１３．５*(1+_11・A深夜)),0)</f>
        <v>1374</v>
      </c>
      <c r="R55" s="48"/>
    </row>
    <row r="56" spans="1:18" ht="16.5" customHeight="1" x14ac:dyDescent="0.15">
      <c r="A56" s="41">
        <v>11</v>
      </c>
      <c r="B56" s="41">
        <v>3276</v>
      </c>
      <c r="C56" s="74" t="s">
        <v>4884</v>
      </c>
      <c r="D56" s="709"/>
      <c r="E56" s="718"/>
      <c r="F56" s="43"/>
      <c r="G56" s="37"/>
      <c r="H56" s="38"/>
      <c r="I56" s="44" t="s">
        <v>397</v>
      </c>
      <c r="J56" s="45" t="s">
        <v>398</v>
      </c>
      <c r="K56" s="46">
        <v>1</v>
      </c>
      <c r="L56" s="35"/>
      <c r="N56" s="57"/>
      <c r="O56" s="35"/>
      <c r="Q56" s="47">
        <f>ROUND((ROUND((_11_A通院１３．５*_11・２人),0)*(1+_11・A深夜)),0)</f>
        <v>1374</v>
      </c>
      <c r="R56" s="48"/>
    </row>
    <row r="57" spans="1:18" ht="16.5" customHeight="1" x14ac:dyDescent="0.15">
      <c r="A57" s="41">
        <v>11</v>
      </c>
      <c r="B57" s="41">
        <v>3277</v>
      </c>
      <c r="C57" s="74" t="s">
        <v>4885</v>
      </c>
      <c r="D57" s="709"/>
      <c r="E57" s="718"/>
      <c r="F57" s="752" t="s">
        <v>400</v>
      </c>
      <c r="G57" s="49" t="s">
        <v>398</v>
      </c>
      <c r="H57" s="50">
        <v>0.7</v>
      </c>
      <c r="I57" s="44"/>
      <c r="J57" s="45"/>
      <c r="K57" s="46"/>
      <c r="L57" s="35"/>
      <c r="N57" s="57"/>
      <c r="O57" s="35"/>
      <c r="Q57" s="47">
        <f>ROUND((ROUND((_11_A通院１３．５*_11・基礎１),0)*(1+_11・A深夜)),0)</f>
        <v>962</v>
      </c>
      <c r="R57" s="48"/>
    </row>
    <row r="58" spans="1:18" ht="16.5" customHeight="1" x14ac:dyDescent="0.15">
      <c r="A58" s="41">
        <v>11</v>
      </c>
      <c r="B58" s="41">
        <v>3278</v>
      </c>
      <c r="C58" s="74" t="s">
        <v>4886</v>
      </c>
      <c r="D58" s="100">
        <f>_11_A通院１３．５</f>
        <v>916</v>
      </c>
      <c r="E58" s="12" t="s">
        <v>392</v>
      </c>
      <c r="F58" s="711"/>
      <c r="G58" s="37"/>
      <c r="H58" s="38"/>
      <c r="I58" s="44" t="s">
        <v>397</v>
      </c>
      <c r="J58" s="45" t="s">
        <v>398</v>
      </c>
      <c r="K58" s="46">
        <v>1</v>
      </c>
      <c r="L58" s="35"/>
      <c r="N58" s="57"/>
      <c r="O58" s="43"/>
      <c r="P58" s="37"/>
      <c r="Q58" s="47">
        <f>ROUND((ROUND((ROUND((_11_A通院１３．５*_11・基礎１),0)*_11・２人),0)*(1+_11・A深夜)),0)</f>
        <v>962</v>
      </c>
      <c r="R58" s="48"/>
    </row>
    <row r="59" spans="1:18" ht="16.5" customHeight="1" x14ac:dyDescent="0.15">
      <c r="A59" s="41">
        <v>11</v>
      </c>
      <c r="B59" s="41" t="s">
        <v>4887</v>
      </c>
      <c r="C59" s="42" t="s">
        <v>4888</v>
      </c>
      <c r="D59" s="121"/>
      <c r="E59" s="99"/>
      <c r="F59" s="53"/>
      <c r="G59" s="49"/>
      <c r="H59" s="50"/>
      <c r="I59" s="44"/>
      <c r="J59" s="45"/>
      <c r="K59" s="46"/>
      <c r="L59" s="35"/>
      <c r="N59" s="57"/>
      <c r="O59" s="707" t="s">
        <v>404</v>
      </c>
      <c r="P59" s="708"/>
      <c r="Q59" s="47">
        <f>ROUND((ROUND((_11_A通院１３．５*(1+_11・A深夜)),0)*_11・初任),0)</f>
        <v>962</v>
      </c>
      <c r="R59" s="48"/>
    </row>
    <row r="60" spans="1:18" ht="16.5" customHeight="1" x14ac:dyDescent="0.15">
      <c r="A60" s="41">
        <v>11</v>
      </c>
      <c r="B60" s="41" t="s">
        <v>4889</v>
      </c>
      <c r="C60" s="42" t="s">
        <v>4890</v>
      </c>
      <c r="D60" s="121"/>
      <c r="E60" s="99"/>
      <c r="F60" s="43"/>
      <c r="G60" s="37"/>
      <c r="H60" s="38"/>
      <c r="I60" s="44" t="s">
        <v>397</v>
      </c>
      <c r="J60" s="45" t="s">
        <v>398</v>
      </c>
      <c r="K60" s="46">
        <v>1</v>
      </c>
      <c r="L60" s="35"/>
      <c r="N60" s="57"/>
      <c r="O60" s="709"/>
      <c r="P60" s="704"/>
      <c r="Q60" s="47">
        <f>ROUND((ROUND((ROUND((_11_A通院１３．５*_11・２人),0)*(1+_11・A深夜)),0)*_11・初任),0)</f>
        <v>962</v>
      </c>
      <c r="R60" s="48"/>
    </row>
    <row r="61" spans="1:18" ht="16.5" customHeight="1" x14ac:dyDescent="0.15">
      <c r="A61" s="41">
        <v>11</v>
      </c>
      <c r="B61" s="41" t="s">
        <v>4891</v>
      </c>
      <c r="C61" s="42" t="s">
        <v>4892</v>
      </c>
      <c r="D61" s="72"/>
      <c r="E61" s="99"/>
      <c r="F61" s="752" t="s">
        <v>400</v>
      </c>
      <c r="G61" s="49" t="s">
        <v>398</v>
      </c>
      <c r="H61" s="50">
        <v>0.7</v>
      </c>
      <c r="I61" s="44"/>
      <c r="J61" s="45"/>
      <c r="K61" s="46"/>
      <c r="L61" s="35"/>
      <c r="N61" s="57"/>
      <c r="O61" s="709"/>
      <c r="P61" s="704"/>
      <c r="Q61" s="47">
        <f>ROUND((ROUND((ROUND((_11_A通院１３．５*_11・基礎１),0)*(1+_11・A深夜)),0)*_11・初任),0)</f>
        <v>673</v>
      </c>
      <c r="R61" s="48"/>
    </row>
    <row r="62" spans="1:18" ht="16.5" customHeight="1" x14ac:dyDescent="0.15">
      <c r="A62" s="41">
        <v>11</v>
      </c>
      <c r="B62" s="41" t="s">
        <v>4893</v>
      </c>
      <c r="C62" s="42" t="s">
        <v>4894</v>
      </c>
      <c r="D62" s="72"/>
      <c r="E62" s="99"/>
      <c r="F62" s="711"/>
      <c r="G62" s="37"/>
      <c r="H62" s="38"/>
      <c r="I62" s="44" t="s">
        <v>397</v>
      </c>
      <c r="J62" s="45" t="s">
        <v>398</v>
      </c>
      <c r="K62" s="46">
        <v>1</v>
      </c>
      <c r="L62" s="35"/>
      <c r="N62" s="57"/>
      <c r="O62" s="55" t="s">
        <v>398</v>
      </c>
      <c r="P62" s="38">
        <f>_11・初任</f>
        <v>0.7</v>
      </c>
      <c r="Q62" s="47">
        <f>ROUND((ROUND((ROUND((ROUND((_11_A通院１３．５*_11・基礎１),0)*_11・２人),0)*(1+_11・A深夜)),0)*_11・初任),0)</f>
        <v>673</v>
      </c>
      <c r="R62" s="48"/>
    </row>
    <row r="63" spans="1:18" ht="16.5" customHeight="1" x14ac:dyDescent="0.15">
      <c r="A63" s="41">
        <v>11</v>
      </c>
      <c r="B63" s="41">
        <v>3279</v>
      </c>
      <c r="C63" s="74" t="s">
        <v>4895</v>
      </c>
      <c r="D63" s="707" t="s">
        <v>954</v>
      </c>
      <c r="E63" s="717"/>
      <c r="F63" s="53"/>
      <c r="G63" s="49"/>
      <c r="H63" s="50"/>
      <c r="I63" s="44"/>
      <c r="J63" s="45"/>
      <c r="K63" s="46"/>
      <c r="L63" s="35"/>
      <c r="N63" s="57"/>
      <c r="O63" s="53"/>
      <c r="P63" s="49"/>
      <c r="Q63" s="47">
        <f>ROUND((_11_A通院１４．０*(1+_11・A深夜)),0)</f>
        <v>1499</v>
      </c>
      <c r="R63" s="48"/>
    </row>
    <row r="64" spans="1:18" ht="16.5" customHeight="1" x14ac:dyDescent="0.15">
      <c r="A64" s="41">
        <v>11</v>
      </c>
      <c r="B64" s="41">
        <v>3280</v>
      </c>
      <c r="C64" s="74" t="s">
        <v>4896</v>
      </c>
      <c r="D64" s="709"/>
      <c r="E64" s="718"/>
      <c r="F64" s="43"/>
      <c r="G64" s="37"/>
      <c r="H64" s="38"/>
      <c r="I64" s="44" t="s">
        <v>397</v>
      </c>
      <c r="J64" s="45" t="s">
        <v>398</v>
      </c>
      <c r="K64" s="46">
        <v>1</v>
      </c>
      <c r="L64" s="35"/>
      <c r="N64" s="57"/>
      <c r="O64" s="35"/>
      <c r="Q64" s="47">
        <f>ROUND((ROUND((_11_A通院１４．０*_11・２人),0)*(1+_11・A深夜)),0)</f>
        <v>1499</v>
      </c>
      <c r="R64" s="48"/>
    </row>
    <row r="65" spans="1:18" ht="16.5" customHeight="1" x14ac:dyDescent="0.15">
      <c r="A65" s="41">
        <v>11</v>
      </c>
      <c r="B65" s="41">
        <v>3281</v>
      </c>
      <c r="C65" s="74" t="s">
        <v>4897</v>
      </c>
      <c r="D65" s="709"/>
      <c r="E65" s="718"/>
      <c r="F65" s="752" t="s">
        <v>400</v>
      </c>
      <c r="G65" s="49" t="s">
        <v>398</v>
      </c>
      <c r="H65" s="50">
        <v>0.7</v>
      </c>
      <c r="I65" s="44"/>
      <c r="J65" s="45"/>
      <c r="K65" s="46"/>
      <c r="L65" s="35"/>
      <c r="N65" s="57"/>
      <c r="O65" s="35"/>
      <c r="Q65" s="47">
        <f>ROUND((ROUND((_11_A通院１４．０*_11・基礎１),0)*(1+_11・A深夜)),0)</f>
        <v>1049</v>
      </c>
      <c r="R65" s="48"/>
    </row>
    <row r="66" spans="1:18" ht="16.5" customHeight="1" x14ac:dyDescent="0.15">
      <c r="A66" s="41">
        <v>11</v>
      </c>
      <c r="B66" s="41">
        <v>3282</v>
      </c>
      <c r="C66" s="74" t="s">
        <v>4898</v>
      </c>
      <c r="D66" s="100">
        <f>_11_A通院１４．０</f>
        <v>999</v>
      </c>
      <c r="E66" s="12" t="s">
        <v>392</v>
      </c>
      <c r="F66" s="711"/>
      <c r="G66" s="37"/>
      <c r="H66" s="38"/>
      <c r="I66" s="44" t="s">
        <v>397</v>
      </c>
      <c r="J66" s="45" t="s">
        <v>398</v>
      </c>
      <c r="K66" s="46">
        <v>1</v>
      </c>
      <c r="L66" s="35"/>
      <c r="N66" s="57"/>
      <c r="O66" s="43"/>
      <c r="P66" s="37"/>
      <c r="Q66" s="47">
        <f>ROUND((ROUND((ROUND((_11_A通院１４．０*_11・基礎１),0)*_11・２人),0)*(1+_11・A深夜)),0)</f>
        <v>1049</v>
      </c>
      <c r="R66" s="48"/>
    </row>
    <row r="67" spans="1:18" ht="16.5" customHeight="1" x14ac:dyDescent="0.15">
      <c r="A67" s="41">
        <v>11</v>
      </c>
      <c r="B67" s="41" t="s">
        <v>4899</v>
      </c>
      <c r="C67" s="42" t="s">
        <v>4900</v>
      </c>
      <c r="D67" s="121"/>
      <c r="E67" s="99"/>
      <c r="F67" s="53"/>
      <c r="G67" s="49"/>
      <c r="H67" s="50"/>
      <c r="I67" s="44"/>
      <c r="J67" s="45"/>
      <c r="K67" s="46"/>
      <c r="L67" s="35"/>
      <c r="N67" s="57"/>
      <c r="O67" s="707" t="s">
        <v>404</v>
      </c>
      <c r="P67" s="708"/>
      <c r="Q67" s="47">
        <f>ROUND((ROUND((_11_A通院１４．０*(1+_11・A深夜)),0)*_11・初任),0)</f>
        <v>1049</v>
      </c>
      <c r="R67" s="48"/>
    </row>
    <row r="68" spans="1:18" ht="16.5" customHeight="1" x14ac:dyDescent="0.15">
      <c r="A68" s="41">
        <v>11</v>
      </c>
      <c r="B68" s="41" t="s">
        <v>4901</v>
      </c>
      <c r="C68" s="42" t="s">
        <v>4902</v>
      </c>
      <c r="D68" s="121"/>
      <c r="E68" s="99"/>
      <c r="F68" s="43"/>
      <c r="G68" s="37"/>
      <c r="H68" s="38"/>
      <c r="I68" s="44" t="s">
        <v>397</v>
      </c>
      <c r="J68" s="45" t="s">
        <v>398</v>
      </c>
      <c r="K68" s="46">
        <v>1</v>
      </c>
      <c r="L68" s="35"/>
      <c r="N68" s="57"/>
      <c r="O68" s="709"/>
      <c r="P68" s="704"/>
      <c r="Q68" s="47">
        <f>ROUND((ROUND((ROUND((_11_A通院１４．０*_11・２人),0)*(1+_11・A深夜)),0)*_11・初任),0)</f>
        <v>1049</v>
      </c>
      <c r="R68" s="48"/>
    </row>
    <row r="69" spans="1:18" ht="16.5" customHeight="1" x14ac:dyDescent="0.15">
      <c r="A69" s="41">
        <v>11</v>
      </c>
      <c r="B69" s="41" t="s">
        <v>4903</v>
      </c>
      <c r="C69" s="42" t="s">
        <v>4904</v>
      </c>
      <c r="D69" s="72"/>
      <c r="E69" s="99"/>
      <c r="F69" s="752" t="s">
        <v>400</v>
      </c>
      <c r="G69" s="49" t="s">
        <v>398</v>
      </c>
      <c r="H69" s="50">
        <v>0.7</v>
      </c>
      <c r="I69" s="44"/>
      <c r="J69" s="45"/>
      <c r="K69" s="46"/>
      <c r="L69" s="35"/>
      <c r="N69" s="57"/>
      <c r="O69" s="709"/>
      <c r="P69" s="704"/>
      <c r="Q69" s="47">
        <f>ROUND((ROUND((ROUND((_11_A通院１４．０*_11・基礎１),0)*(1+_11・A深夜)),0)*_11・初任),0)</f>
        <v>734</v>
      </c>
      <c r="R69" s="48"/>
    </row>
    <row r="70" spans="1:18" ht="16.5" customHeight="1" x14ac:dyDescent="0.15">
      <c r="A70" s="41">
        <v>11</v>
      </c>
      <c r="B70" s="41" t="s">
        <v>4905</v>
      </c>
      <c r="C70" s="42" t="s">
        <v>4906</v>
      </c>
      <c r="D70" s="72"/>
      <c r="E70" s="99"/>
      <c r="F70" s="711"/>
      <c r="G70" s="37"/>
      <c r="H70" s="38"/>
      <c r="I70" s="44" t="s">
        <v>397</v>
      </c>
      <c r="J70" s="45" t="s">
        <v>398</v>
      </c>
      <c r="K70" s="46">
        <v>1</v>
      </c>
      <c r="L70" s="35"/>
      <c r="N70" s="57"/>
      <c r="O70" s="55" t="s">
        <v>398</v>
      </c>
      <c r="P70" s="38">
        <f>_11・初任</f>
        <v>0.7</v>
      </c>
      <c r="Q70" s="47">
        <f>ROUND((ROUND((ROUND((ROUND((_11_A通院１４．０*_11・基礎１),0)*_11・２人),0)*(1+_11・A深夜)),0)*_11・初任),0)</f>
        <v>734</v>
      </c>
      <c r="R70" s="48"/>
    </row>
    <row r="71" spans="1:18" ht="16.5" customHeight="1" x14ac:dyDescent="0.15">
      <c r="A71" s="41">
        <v>11</v>
      </c>
      <c r="B71" s="41">
        <v>3283</v>
      </c>
      <c r="C71" s="74" t="s">
        <v>4907</v>
      </c>
      <c r="D71" s="707" t="s">
        <v>3197</v>
      </c>
      <c r="E71" s="717"/>
      <c r="F71" s="53"/>
      <c r="G71" s="49"/>
      <c r="H71" s="50"/>
      <c r="I71" s="44"/>
      <c r="J71" s="45"/>
      <c r="K71" s="46"/>
      <c r="L71" s="35"/>
      <c r="N71" s="57"/>
      <c r="O71" s="53"/>
      <c r="P71" s="49"/>
      <c r="Q71" s="47">
        <f>ROUND((_11_A通院１４．５*(1+_11・A深夜)),0)</f>
        <v>1623</v>
      </c>
      <c r="R71" s="48"/>
    </row>
    <row r="72" spans="1:18" ht="16.5" customHeight="1" x14ac:dyDescent="0.15">
      <c r="A72" s="41">
        <v>11</v>
      </c>
      <c r="B72" s="41">
        <v>3284</v>
      </c>
      <c r="C72" s="74" t="s">
        <v>4908</v>
      </c>
      <c r="D72" s="709"/>
      <c r="E72" s="718"/>
      <c r="F72" s="43"/>
      <c r="G72" s="37"/>
      <c r="H72" s="38"/>
      <c r="I72" s="44" t="s">
        <v>397</v>
      </c>
      <c r="J72" s="45" t="s">
        <v>398</v>
      </c>
      <c r="K72" s="46">
        <v>1</v>
      </c>
      <c r="L72" s="35"/>
      <c r="N72" s="57"/>
      <c r="O72" s="35"/>
      <c r="Q72" s="47">
        <f>ROUND((ROUND((_11_A通院１４．５*_11・２人),0)*(1+_11・A深夜)),0)</f>
        <v>1623</v>
      </c>
      <c r="R72" s="48"/>
    </row>
    <row r="73" spans="1:18" ht="16.5" customHeight="1" x14ac:dyDescent="0.15">
      <c r="A73" s="41">
        <v>11</v>
      </c>
      <c r="B73" s="41">
        <v>3285</v>
      </c>
      <c r="C73" s="74" t="s">
        <v>4909</v>
      </c>
      <c r="D73" s="709"/>
      <c r="E73" s="718"/>
      <c r="F73" s="752" t="s">
        <v>400</v>
      </c>
      <c r="G73" s="49" t="s">
        <v>398</v>
      </c>
      <c r="H73" s="50">
        <v>0.7</v>
      </c>
      <c r="I73" s="44"/>
      <c r="J73" s="45"/>
      <c r="K73" s="46"/>
      <c r="L73" s="35"/>
      <c r="N73" s="57"/>
      <c r="O73" s="35"/>
      <c r="Q73" s="47">
        <f>ROUND((ROUND((_11_A通院１４．５*_11・基礎１),0)*(1+_11・A深夜)),0)</f>
        <v>1136</v>
      </c>
      <c r="R73" s="48"/>
    </row>
    <row r="74" spans="1:18" ht="16.5" customHeight="1" x14ac:dyDescent="0.15">
      <c r="A74" s="41">
        <v>11</v>
      </c>
      <c r="B74" s="41">
        <v>3286</v>
      </c>
      <c r="C74" s="74" t="s">
        <v>4910</v>
      </c>
      <c r="D74" s="100">
        <f>_11_A通院１４．５</f>
        <v>1082</v>
      </c>
      <c r="E74" s="12" t="s">
        <v>392</v>
      </c>
      <c r="F74" s="711"/>
      <c r="G74" s="37"/>
      <c r="H74" s="38"/>
      <c r="I74" s="44" t="s">
        <v>397</v>
      </c>
      <c r="J74" s="45" t="s">
        <v>398</v>
      </c>
      <c r="K74" s="46">
        <v>1</v>
      </c>
      <c r="L74" s="35"/>
      <c r="N74" s="57"/>
      <c r="O74" s="43"/>
      <c r="P74" s="37"/>
      <c r="Q74" s="47">
        <f>ROUND((ROUND((ROUND((_11_A通院１４．５*_11・基礎１),0)*_11・２人),0)*(1+_11・A深夜)),0)</f>
        <v>1136</v>
      </c>
      <c r="R74" s="48"/>
    </row>
    <row r="75" spans="1:18" ht="16.5" customHeight="1" x14ac:dyDescent="0.15">
      <c r="A75" s="41">
        <v>11</v>
      </c>
      <c r="B75" s="41" t="s">
        <v>4911</v>
      </c>
      <c r="C75" s="42" t="s">
        <v>4912</v>
      </c>
      <c r="D75" s="121"/>
      <c r="E75" s="99"/>
      <c r="F75" s="53"/>
      <c r="G75" s="49"/>
      <c r="H75" s="50"/>
      <c r="I75" s="44"/>
      <c r="J75" s="45"/>
      <c r="K75" s="46"/>
      <c r="L75" s="35"/>
      <c r="N75" s="57"/>
      <c r="O75" s="707" t="s">
        <v>404</v>
      </c>
      <c r="P75" s="708"/>
      <c r="Q75" s="47">
        <f>ROUND((ROUND((_11_A通院１４．５*(1+_11・A深夜)),0)*_11・初任),0)</f>
        <v>1136</v>
      </c>
      <c r="R75" s="48"/>
    </row>
    <row r="76" spans="1:18" ht="16.5" customHeight="1" x14ac:dyDescent="0.15">
      <c r="A76" s="41">
        <v>11</v>
      </c>
      <c r="B76" s="41" t="s">
        <v>4913</v>
      </c>
      <c r="C76" s="42" t="s">
        <v>4914</v>
      </c>
      <c r="D76" s="121"/>
      <c r="E76" s="99"/>
      <c r="F76" s="43"/>
      <c r="G76" s="37"/>
      <c r="H76" s="38"/>
      <c r="I76" s="44" t="s">
        <v>397</v>
      </c>
      <c r="J76" s="45" t="s">
        <v>398</v>
      </c>
      <c r="K76" s="46">
        <v>1</v>
      </c>
      <c r="L76" s="35"/>
      <c r="N76" s="57"/>
      <c r="O76" s="709"/>
      <c r="P76" s="704"/>
      <c r="Q76" s="47">
        <f>ROUND((ROUND((ROUND((_11_A通院１４．５*_11・２人),0)*(1+_11・A深夜)),0)*_11・初任),0)</f>
        <v>1136</v>
      </c>
      <c r="R76" s="48"/>
    </row>
    <row r="77" spans="1:18" ht="16.5" customHeight="1" x14ac:dyDescent="0.15">
      <c r="A77" s="41">
        <v>11</v>
      </c>
      <c r="B77" s="41" t="s">
        <v>4915</v>
      </c>
      <c r="C77" s="42" t="s">
        <v>4916</v>
      </c>
      <c r="D77" s="72"/>
      <c r="E77" s="99"/>
      <c r="F77" s="752" t="s">
        <v>400</v>
      </c>
      <c r="G77" s="49" t="s">
        <v>398</v>
      </c>
      <c r="H77" s="50">
        <v>0.7</v>
      </c>
      <c r="I77" s="44"/>
      <c r="J77" s="45"/>
      <c r="K77" s="46"/>
      <c r="L77" s="35"/>
      <c r="N77" s="57"/>
      <c r="O77" s="709"/>
      <c r="P77" s="704"/>
      <c r="Q77" s="47">
        <f>ROUND((ROUND((ROUND((_11_A通院１４．５*_11・基礎１),0)*(1+_11・A深夜)),0)*_11・初任),0)</f>
        <v>795</v>
      </c>
      <c r="R77" s="48"/>
    </row>
    <row r="78" spans="1:18" ht="16.5" customHeight="1" x14ac:dyDescent="0.15">
      <c r="A78" s="41">
        <v>11</v>
      </c>
      <c r="B78" s="41" t="s">
        <v>4917</v>
      </c>
      <c r="C78" s="42" t="s">
        <v>4918</v>
      </c>
      <c r="D78" s="122"/>
      <c r="E78" s="111"/>
      <c r="F78" s="711"/>
      <c r="G78" s="37"/>
      <c r="H78" s="38"/>
      <c r="I78" s="44" t="s">
        <v>397</v>
      </c>
      <c r="J78" s="45" t="s">
        <v>398</v>
      </c>
      <c r="K78" s="46">
        <v>1</v>
      </c>
      <c r="L78" s="43"/>
      <c r="M78" s="38"/>
      <c r="N78" s="79"/>
      <c r="O78" s="55" t="s">
        <v>398</v>
      </c>
      <c r="P78" s="38">
        <f>_11・初任</f>
        <v>0.7</v>
      </c>
      <c r="Q78" s="47">
        <f>ROUND((ROUND((ROUND((ROUND((_11_A通院１４．５*_11・基礎１),0)*_11・２人),0)*(1+_11・A深夜)),0)*_11・初任),0)</f>
        <v>795</v>
      </c>
      <c r="R78" s="63"/>
    </row>
    <row r="79" spans="1:18" ht="16.5" customHeight="1" x14ac:dyDescent="0.15">
      <c r="A79" s="33">
        <v>11</v>
      </c>
      <c r="B79" s="33">
        <v>3287</v>
      </c>
      <c r="C79" s="34" t="s">
        <v>4919</v>
      </c>
      <c r="D79" s="709" t="s">
        <v>980</v>
      </c>
      <c r="E79" s="718"/>
      <c r="F79" s="35"/>
      <c r="I79" s="36"/>
      <c r="J79" s="37"/>
      <c r="K79" s="38"/>
      <c r="L79" s="72" t="s">
        <v>862</v>
      </c>
      <c r="N79" s="57"/>
      <c r="O79" s="35"/>
      <c r="Q79" s="39">
        <f>ROUND((_11_A通院１５．０*(1+_11・A深夜)),0)</f>
        <v>1748</v>
      </c>
      <c r="R79" s="48"/>
    </row>
    <row r="80" spans="1:18" ht="16.5" customHeight="1" x14ac:dyDescent="0.15">
      <c r="A80" s="41">
        <v>11</v>
      </c>
      <c r="B80" s="41">
        <v>3288</v>
      </c>
      <c r="C80" s="74" t="s">
        <v>4920</v>
      </c>
      <c r="D80" s="709"/>
      <c r="E80" s="718"/>
      <c r="F80" s="43"/>
      <c r="G80" s="37"/>
      <c r="H80" s="38"/>
      <c r="I80" s="44" t="s">
        <v>397</v>
      </c>
      <c r="J80" s="45" t="s">
        <v>398</v>
      </c>
      <c r="K80" s="46">
        <v>1</v>
      </c>
      <c r="L80" s="35" t="s">
        <v>398</v>
      </c>
      <c r="M80" s="13">
        <v>0.5</v>
      </c>
      <c r="N80" s="728" t="s">
        <v>676</v>
      </c>
      <c r="O80" s="35"/>
      <c r="Q80" s="47">
        <f>ROUND((ROUND((_11_A通院１５．０*_11・２人),0)*(1+_11・A深夜)),0)</f>
        <v>1748</v>
      </c>
      <c r="R80" s="48"/>
    </row>
    <row r="81" spans="1:18" ht="16.5" customHeight="1" x14ac:dyDescent="0.15">
      <c r="A81" s="41">
        <v>11</v>
      </c>
      <c r="B81" s="41">
        <v>3289</v>
      </c>
      <c r="C81" s="74" t="s">
        <v>4921</v>
      </c>
      <c r="D81" s="709"/>
      <c r="E81" s="718"/>
      <c r="F81" s="752" t="s">
        <v>400</v>
      </c>
      <c r="G81" s="49" t="s">
        <v>398</v>
      </c>
      <c r="H81" s="50">
        <v>0.7</v>
      </c>
      <c r="I81" s="44"/>
      <c r="J81" s="45"/>
      <c r="K81" s="46"/>
      <c r="L81" s="35"/>
      <c r="N81" s="728"/>
      <c r="O81" s="35"/>
      <c r="Q81" s="47">
        <f>ROUND((ROUND((_11_A通院１５．０*_11・基礎１),0)*(1+_11・A深夜)),0)</f>
        <v>1224</v>
      </c>
      <c r="R81" s="48"/>
    </row>
    <row r="82" spans="1:18" ht="16.5" customHeight="1" x14ac:dyDescent="0.15">
      <c r="A82" s="41">
        <v>11</v>
      </c>
      <c r="B82" s="41">
        <v>3290</v>
      </c>
      <c r="C82" s="74" t="s">
        <v>4922</v>
      </c>
      <c r="D82" s="100">
        <f>_11_A通院１５．０</f>
        <v>1165</v>
      </c>
      <c r="E82" s="12" t="s">
        <v>392</v>
      </c>
      <c r="F82" s="711"/>
      <c r="G82" s="37"/>
      <c r="H82" s="38"/>
      <c r="I82" s="44" t="s">
        <v>397</v>
      </c>
      <c r="J82" s="45" t="s">
        <v>398</v>
      </c>
      <c r="K82" s="46">
        <v>1</v>
      </c>
      <c r="L82" s="35"/>
      <c r="N82" s="57"/>
      <c r="O82" s="43"/>
      <c r="P82" s="37"/>
      <c r="Q82" s="47">
        <f>ROUND((ROUND((ROUND((_11_A通院１５．０*_11・基礎１),0)*_11・２人),0)*(1+_11・A深夜)),0)</f>
        <v>1224</v>
      </c>
      <c r="R82" s="48"/>
    </row>
    <row r="83" spans="1:18" ht="16.5" customHeight="1" x14ac:dyDescent="0.15">
      <c r="A83" s="41">
        <v>11</v>
      </c>
      <c r="B83" s="41" t="s">
        <v>4923</v>
      </c>
      <c r="C83" s="42" t="s">
        <v>4924</v>
      </c>
      <c r="D83" s="121"/>
      <c r="E83" s="99"/>
      <c r="F83" s="53"/>
      <c r="G83" s="49"/>
      <c r="H83" s="50"/>
      <c r="I83" s="44"/>
      <c r="J83" s="45"/>
      <c r="K83" s="46"/>
      <c r="L83" s="35"/>
      <c r="N83" s="57"/>
      <c r="O83" s="707" t="s">
        <v>404</v>
      </c>
      <c r="P83" s="708"/>
      <c r="Q83" s="47">
        <f>ROUND((ROUND((_11_A通院１５．０*(1+_11・A深夜)),0)*_11・初任),0)</f>
        <v>1224</v>
      </c>
      <c r="R83" s="48"/>
    </row>
    <row r="84" spans="1:18" ht="16.5" customHeight="1" x14ac:dyDescent="0.15">
      <c r="A84" s="41">
        <v>11</v>
      </c>
      <c r="B84" s="41" t="s">
        <v>4925</v>
      </c>
      <c r="C84" s="42" t="s">
        <v>4926</v>
      </c>
      <c r="D84" s="121"/>
      <c r="E84" s="99"/>
      <c r="F84" s="43"/>
      <c r="G84" s="37"/>
      <c r="H84" s="38"/>
      <c r="I84" s="44" t="s">
        <v>397</v>
      </c>
      <c r="J84" s="45" t="s">
        <v>398</v>
      </c>
      <c r="K84" s="46">
        <v>1</v>
      </c>
      <c r="L84" s="35"/>
      <c r="N84" s="57"/>
      <c r="O84" s="709"/>
      <c r="P84" s="704"/>
      <c r="Q84" s="47">
        <f>ROUND((ROUND((ROUND((_11_A通院１５．０*_11・２人),0)*(1+_11・A深夜)),0)*_11・初任),0)</f>
        <v>1224</v>
      </c>
      <c r="R84" s="48"/>
    </row>
    <row r="85" spans="1:18" ht="16.5" customHeight="1" x14ac:dyDescent="0.15">
      <c r="A85" s="41">
        <v>11</v>
      </c>
      <c r="B85" s="41" t="s">
        <v>4927</v>
      </c>
      <c r="C85" s="42" t="s">
        <v>4928</v>
      </c>
      <c r="D85" s="72"/>
      <c r="E85" s="99"/>
      <c r="F85" s="752" t="s">
        <v>400</v>
      </c>
      <c r="G85" s="49" t="s">
        <v>398</v>
      </c>
      <c r="H85" s="50">
        <v>0.7</v>
      </c>
      <c r="I85" s="44"/>
      <c r="J85" s="45"/>
      <c r="K85" s="46"/>
      <c r="L85" s="35"/>
      <c r="N85" s="57"/>
      <c r="O85" s="709"/>
      <c r="P85" s="704"/>
      <c r="Q85" s="47">
        <f>ROUND((ROUND((ROUND((_11_A通院１５．０*_11・基礎１),0)*(1+_11・A深夜)),0)*_11・初任),0)</f>
        <v>857</v>
      </c>
      <c r="R85" s="48"/>
    </row>
    <row r="86" spans="1:18" ht="16.5" customHeight="1" x14ac:dyDescent="0.15">
      <c r="A86" s="41">
        <v>11</v>
      </c>
      <c r="B86" s="41" t="s">
        <v>4929</v>
      </c>
      <c r="C86" s="42" t="s">
        <v>4930</v>
      </c>
      <c r="D86" s="72"/>
      <c r="E86" s="99"/>
      <c r="F86" s="711"/>
      <c r="G86" s="37"/>
      <c r="H86" s="38"/>
      <c r="I86" s="44" t="s">
        <v>397</v>
      </c>
      <c r="J86" s="45" t="s">
        <v>398</v>
      </c>
      <c r="K86" s="46">
        <v>1</v>
      </c>
      <c r="L86" s="35"/>
      <c r="N86" s="57"/>
      <c r="O86" s="55" t="s">
        <v>398</v>
      </c>
      <c r="P86" s="38">
        <f>_11・初任</f>
        <v>0.7</v>
      </c>
      <c r="Q86" s="47">
        <f>ROUND((ROUND((ROUND((ROUND((_11_A通院１５．０*_11・基礎１),0)*_11・２人),0)*(1+_11・A深夜)),0)*_11・初任),0)</f>
        <v>857</v>
      </c>
      <c r="R86" s="48"/>
    </row>
    <row r="87" spans="1:18" ht="16.5" customHeight="1" x14ac:dyDescent="0.15">
      <c r="A87" s="41">
        <v>11</v>
      </c>
      <c r="B87" s="41">
        <v>3291</v>
      </c>
      <c r="C87" s="74" t="s">
        <v>4931</v>
      </c>
      <c r="D87" s="707" t="s">
        <v>993</v>
      </c>
      <c r="E87" s="717"/>
      <c r="F87" s="53"/>
      <c r="G87" s="49"/>
      <c r="H87" s="50"/>
      <c r="I87" s="44"/>
      <c r="J87" s="45"/>
      <c r="K87" s="46"/>
      <c r="L87" s="35"/>
      <c r="N87" s="57"/>
      <c r="O87" s="53"/>
      <c r="P87" s="49"/>
      <c r="Q87" s="47">
        <f>ROUND((_11_A通院１５．５*(1+_11・A深夜)),0)</f>
        <v>1872</v>
      </c>
      <c r="R87" s="48"/>
    </row>
    <row r="88" spans="1:18" ht="16.5" customHeight="1" x14ac:dyDescent="0.15">
      <c r="A88" s="41">
        <v>11</v>
      </c>
      <c r="B88" s="41">
        <v>3292</v>
      </c>
      <c r="C88" s="74" t="s">
        <v>4932</v>
      </c>
      <c r="D88" s="709"/>
      <c r="E88" s="718"/>
      <c r="F88" s="43"/>
      <c r="G88" s="37"/>
      <c r="H88" s="38"/>
      <c r="I88" s="44" t="s">
        <v>397</v>
      </c>
      <c r="J88" s="45" t="s">
        <v>398</v>
      </c>
      <c r="K88" s="46">
        <v>1</v>
      </c>
      <c r="L88" s="35"/>
      <c r="N88" s="57"/>
      <c r="O88" s="35"/>
      <c r="Q88" s="47">
        <f>ROUND((ROUND((_11_A通院１５．５*_11・２人),0)*(1+_11・A深夜)),0)</f>
        <v>1872</v>
      </c>
      <c r="R88" s="48"/>
    </row>
    <row r="89" spans="1:18" ht="16.5" customHeight="1" x14ac:dyDescent="0.15">
      <c r="A89" s="41">
        <v>11</v>
      </c>
      <c r="B89" s="41">
        <v>3293</v>
      </c>
      <c r="C89" s="74" t="s">
        <v>4933</v>
      </c>
      <c r="D89" s="709"/>
      <c r="E89" s="718"/>
      <c r="F89" s="752" t="s">
        <v>400</v>
      </c>
      <c r="G89" s="49" t="s">
        <v>398</v>
      </c>
      <c r="H89" s="50">
        <v>0.7</v>
      </c>
      <c r="I89" s="44"/>
      <c r="J89" s="45"/>
      <c r="K89" s="46"/>
      <c r="L89" s="35"/>
      <c r="N89" s="57"/>
      <c r="O89" s="35"/>
      <c r="Q89" s="47">
        <f>ROUND((ROUND((_11_A通院１５．５*_11・基礎１),0)*(1+_11・A深夜)),0)</f>
        <v>1311</v>
      </c>
      <c r="R89" s="48"/>
    </row>
    <row r="90" spans="1:18" ht="16.5" customHeight="1" x14ac:dyDescent="0.15">
      <c r="A90" s="41">
        <v>11</v>
      </c>
      <c r="B90" s="41">
        <v>3294</v>
      </c>
      <c r="C90" s="74" t="s">
        <v>4934</v>
      </c>
      <c r="D90" s="100">
        <f>_11_A通院１５．５</f>
        <v>1248</v>
      </c>
      <c r="E90" s="12" t="s">
        <v>392</v>
      </c>
      <c r="F90" s="711"/>
      <c r="G90" s="37"/>
      <c r="H90" s="38"/>
      <c r="I90" s="44" t="s">
        <v>397</v>
      </c>
      <c r="J90" s="45" t="s">
        <v>398</v>
      </c>
      <c r="K90" s="46">
        <v>1</v>
      </c>
      <c r="L90" s="35"/>
      <c r="N90" s="57"/>
      <c r="O90" s="43"/>
      <c r="P90" s="37"/>
      <c r="Q90" s="47">
        <f>ROUND((ROUND((ROUND((_11_A通院１５．５*_11・基礎１),0)*_11・２人),0)*(1+_11・A深夜)),0)</f>
        <v>1311</v>
      </c>
      <c r="R90" s="48"/>
    </row>
    <row r="91" spans="1:18" ht="16.5" customHeight="1" x14ac:dyDescent="0.15">
      <c r="A91" s="41">
        <v>11</v>
      </c>
      <c r="B91" s="41" t="s">
        <v>4935</v>
      </c>
      <c r="C91" s="42" t="s">
        <v>4936</v>
      </c>
      <c r="D91" s="121"/>
      <c r="E91" s="99"/>
      <c r="F91" s="53"/>
      <c r="G91" s="49"/>
      <c r="H91" s="50"/>
      <c r="I91" s="44"/>
      <c r="J91" s="45"/>
      <c r="K91" s="46"/>
      <c r="L91" s="35"/>
      <c r="N91" s="57"/>
      <c r="O91" s="707" t="s">
        <v>404</v>
      </c>
      <c r="P91" s="708"/>
      <c r="Q91" s="47">
        <f>ROUND((ROUND((_11_A通院１５．５*(1+_11・A深夜)),0)*_11・初任),0)</f>
        <v>1310</v>
      </c>
      <c r="R91" s="48"/>
    </row>
    <row r="92" spans="1:18" ht="16.5" customHeight="1" x14ac:dyDescent="0.15">
      <c r="A92" s="41">
        <v>11</v>
      </c>
      <c r="B92" s="41" t="s">
        <v>4937</v>
      </c>
      <c r="C92" s="42" t="s">
        <v>4938</v>
      </c>
      <c r="D92" s="121"/>
      <c r="E92" s="99"/>
      <c r="F92" s="43"/>
      <c r="G92" s="37"/>
      <c r="H92" s="38"/>
      <c r="I92" s="44" t="s">
        <v>397</v>
      </c>
      <c r="J92" s="45" t="s">
        <v>398</v>
      </c>
      <c r="K92" s="46">
        <v>1</v>
      </c>
      <c r="L92" s="35"/>
      <c r="N92" s="57"/>
      <c r="O92" s="709"/>
      <c r="P92" s="704"/>
      <c r="Q92" s="47">
        <f>ROUND((ROUND((ROUND((_11_A通院１５．５*_11・２人),0)*(1+_11・A深夜)),0)*_11・初任),0)</f>
        <v>1310</v>
      </c>
      <c r="R92" s="48"/>
    </row>
    <row r="93" spans="1:18" ht="16.5" customHeight="1" x14ac:dyDescent="0.15">
      <c r="A93" s="41">
        <v>11</v>
      </c>
      <c r="B93" s="41" t="s">
        <v>4939</v>
      </c>
      <c r="C93" s="42" t="s">
        <v>4940</v>
      </c>
      <c r="D93" s="72"/>
      <c r="E93" s="99"/>
      <c r="F93" s="752" t="s">
        <v>400</v>
      </c>
      <c r="G93" s="49" t="s">
        <v>398</v>
      </c>
      <c r="H93" s="50">
        <v>0.7</v>
      </c>
      <c r="I93" s="44"/>
      <c r="J93" s="45"/>
      <c r="K93" s="46"/>
      <c r="L93" s="35"/>
      <c r="N93" s="57"/>
      <c r="O93" s="709"/>
      <c r="P93" s="704"/>
      <c r="Q93" s="47">
        <f>ROUND((ROUND((ROUND((_11_A通院１５．５*_11・基礎１),0)*(1+_11・A深夜)),0)*_11・初任),0)</f>
        <v>918</v>
      </c>
      <c r="R93" s="48"/>
    </row>
    <row r="94" spans="1:18" ht="16.5" customHeight="1" x14ac:dyDescent="0.15">
      <c r="A94" s="41">
        <v>11</v>
      </c>
      <c r="B94" s="41" t="s">
        <v>4941</v>
      </c>
      <c r="C94" s="42" t="s">
        <v>4942</v>
      </c>
      <c r="D94" s="72"/>
      <c r="E94" s="99"/>
      <c r="F94" s="711"/>
      <c r="G94" s="37"/>
      <c r="H94" s="38"/>
      <c r="I94" s="44" t="s">
        <v>397</v>
      </c>
      <c r="J94" s="45" t="s">
        <v>398</v>
      </c>
      <c r="K94" s="46">
        <v>1</v>
      </c>
      <c r="L94" s="35"/>
      <c r="N94" s="57"/>
      <c r="O94" s="55" t="s">
        <v>398</v>
      </c>
      <c r="P94" s="38">
        <f>_11・初任</f>
        <v>0.7</v>
      </c>
      <c r="Q94" s="47">
        <f>ROUND((ROUND((ROUND((ROUND((_11_A通院１５．５*_11・基礎１),0)*_11・２人),0)*(1+_11・A深夜)),0)*_11・初任),0)</f>
        <v>918</v>
      </c>
      <c r="R94" s="48"/>
    </row>
    <row r="95" spans="1:18" ht="16.5" customHeight="1" x14ac:dyDescent="0.15">
      <c r="A95" s="41">
        <v>11</v>
      </c>
      <c r="B95" s="41">
        <v>3295</v>
      </c>
      <c r="C95" s="74" t="s">
        <v>4943</v>
      </c>
      <c r="D95" s="707" t="s">
        <v>1006</v>
      </c>
      <c r="E95" s="717"/>
      <c r="F95" s="53"/>
      <c r="G95" s="49"/>
      <c r="H95" s="50"/>
      <c r="I95" s="44"/>
      <c r="J95" s="45"/>
      <c r="K95" s="46"/>
      <c r="L95" s="35"/>
      <c r="N95" s="57"/>
      <c r="O95" s="53"/>
      <c r="P95" s="49"/>
      <c r="Q95" s="47">
        <f>ROUND((_11_A通院１６．０*(1+_11・A深夜)),0)</f>
        <v>1997</v>
      </c>
      <c r="R95" s="48"/>
    </row>
    <row r="96" spans="1:18" ht="16.5" customHeight="1" x14ac:dyDescent="0.15">
      <c r="A96" s="41">
        <v>11</v>
      </c>
      <c r="B96" s="41">
        <v>3296</v>
      </c>
      <c r="C96" s="74" t="s">
        <v>4944</v>
      </c>
      <c r="D96" s="709"/>
      <c r="E96" s="718"/>
      <c r="F96" s="43"/>
      <c r="G96" s="37"/>
      <c r="H96" s="38"/>
      <c r="I96" s="44" t="s">
        <v>397</v>
      </c>
      <c r="J96" s="45" t="s">
        <v>398</v>
      </c>
      <c r="K96" s="46">
        <v>1</v>
      </c>
      <c r="L96" s="35"/>
      <c r="N96" s="57"/>
      <c r="O96" s="35"/>
      <c r="Q96" s="47">
        <f>ROUND((ROUND((_11_A通院１６．０*_11・２人),0)*(1+_11・A深夜)),0)</f>
        <v>1997</v>
      </c>
      <c r="R96" s="48"/>
    </row>
    <row r="97" spans="1:18" ht="16.5" customHeight="1" x14ac:dyDescent="0.15">
      <c r="A97" s="41">
        <v>11</v>
      </c>
      <c r="B97" s="41">
        <v>3297</v>
      </c>
      <c r="C97" s="74" t="s">
        <v>4945</v>
      </c>
      <c r="D97" s="709"/>
      <c r="E97" s="718"/>
      <c r="F97" s="752" t="s">
        <v>400</v>
      </c>
      <c r="G97" s="49" t="s">
        <v>398</v>
      </c>
      <c r="H97" s="50">
        <v>0.7</v>
      </c>
      <c r="I97" s="44"/>
      <c r="J97" s="45"/>
      <c r="K97" s="46"/>
      <c r="L97" s="35"/>
      <c r="N97" s="57"/>
      <c r="O97" s="35"/>
      <c r="Q97" s="47">
        <f>ROUND((ROUND((_11_A通院１６．０*_11・基礎１),0)*(1+_11・A深夜)),0)</f>
        <v>1398</v>
      </c>
      <c r="R97" s="48"/>
    </row>
    <row r="98" spans="1:18" ht="16.5" customHeight="1" x14ac:dyDescent="0.15">
      <c r="A98" s="41">
        <v>11</v>
      </c>
      <c r="B98" s="41">
        <v>3298</v>
      </c>
      <c r="C98" s="74" t="s">
        <v>4946</v>
      </c>
      <c r="D98" s="100">
        <f>_11_A通院１６．０</f>
        <v>1331</v>
      </c>
      <c r="E98" s="12" t="s">
        <v>392</v>
      </c>
      <c r="F98" s="711"/>
      <c r="G98" s="37"/>
      <c r="H98" s="38"/>
      <c r="I98" s="44" t="s">
        <v>397</v>
      </c>
      <c r="J98" s="45" t="s">
        <v>398</v>
      </c>
      <c r="K98" s="46">
        <v>1</v>
      </c>
      <c r="L98" s="35"/>
      <c r="N98" s="57"/>
      <c r="O98" s="43"/>
      <c r="P98" s="37"/>
      <c r="Q98" s="47">
        <f>ROUND((ROUND((ROUND((_11_A通院１６．０*_11・基礎１),0)*_11・２人),0)*(1+_11・A深夜)),0)</f>
        <v>1398</v>
      </c>
      <c r="R98" s="48"/>
    </row>
    <row r="99" spans="1:18" ht="16.5" customHeight="1" x14ac:dyDescent="0.15">
      <c r="A99" s="41">
        <v>11</v>
      </c>
      <c r="B99" s="41" t="s">
        <v>4947</v>
      </c>
      <c r="C99" s="42" t="s">
        <v>4948</v>
      </c>
      <c r="D99" s="121"/>
      <c r="E99" s="99"/>
      <c r="F99" s="53"/>
      <c r="G99" s="49"/>
      <c r="H99" s="50"/>
      <c r="I99" s="44"/>
      <c r="J99" s="45"/>
      <c r="K99" s="46"/>
      <c r="L99" s="35"/>
      <c r="N99" s="57"/>
      <c r="O99" s="707" t="s">
        <v>404</v>
      </c>
      <c r="P99" s="708"/>
      <c r="Q99" s="47">
        <f>ROUND((ROUND((_11_A通院１６．０*(1+_11・A深夜)),0)*_11・初任),0)</f>
        <v>1398</v>
      </c>
      <c r="R99" s="48"/>
    </row>
    <row r="100" spans="1:18" ht="16.5" customHeight="1" x14ac:dyDescent="0.15">
      <c r="A100" s="41">
        <v>11</v>
      </c>
      <c r="B100" s="41" t="s">
        <v>4949</v>
      </c>
      <c r="C100" s="42" t="s">
        <v>4950</v>
      </c>
      <c r="D100" s="121"/>
      <c r="E100" s="99"/>
      <c r="F100" s="43"/>
      <c r="G100" s="37"/>
      <c r="H100" s="38"/>
      <c r="I100" s="44" t="s">
        <v>397</v>
      </c>
      <c r="J100" s="45" t="s">
        <v>398</v>
      </c>
      <c r="K100" s="46">
        <v>1</v>
      </c>
      <c r="L100" s="35"/>
      <c r="N100" s="57"/>
      <c r="O100" s="709"/>
      <c r="P100" s="704"/>
      <c r="Q100" s="47">
        <f>ROUND((ROUND((ROUND((_11_A通院１６．０*_11・２人),0)*(1+_11・A深夜)),0)*_11・初任),0)</f>
        <v>1398</v>
      </c>
      <c r="R100" s="48"/>
    </row>
    <row r="101" spans="1:18" ht="16.5" customHeight="1" x14ac:dyDescent="0.15">
      <c r="A101" s="41">
        <v>11</v>
      </c>
      <c r="B101" s="41" t="s">
        <v>4951</v>
      </c>
      <c r="C101" s="42" t="s">
        <v>4952</v>
      </c>
      <c r="D101" s="72"/>
      <c r="E101" s="99"/>
      <c r="F101" s="752" t="s">
        <v>400</v>
      </c>
      <c r="G101" s="49" t="s">
        <v>398</v>
      </c>
      <c r="H101" s="50">
        <v>0.7</v>
      </c>
      <c r="I101" s="44"/>
      <c r="J101" s="45"/>
      <c r="K101" s="46"/>
      <c r="L101" s="35"/>
      <c r="N101" s="57"/>
      <c r="O101" s="709"/>
      <c r="P101" s="704"/>
      <c r="Q101" s="47">
        <f>ROUND((ROUND((ROUND((_11_A通院１６．０*_11・基礎１),0)*(1+_11・A深夜)),0)*_11・初任),0)</f>
        <v>979</v>
      </c>
      <c r="R101" s="48"/>
    </row>
    <row r="102" spans="1:18" ht="16.5" customHeight="1" x14ac:dyDescent="0.15">
      <c r="A102" s="41">
        <v>11</v>
      </c>
      <c r="B102" s="41" t="s">
        <v>4953</v>
      </c>
      <c r="C102" s="42" t="s">
        <v>4954</v>
      </c>
      <c r="D102" s="72"/>
      <c r="E102" s="99"/>
      <c r="F102" s="711"/>
      <c r="G102" s="37"/>
      <c r="H102" s="38"/>
      <c r="I102" s="44" t="s">
        <v>397</v>
      </c>
      <c r="J102" s="45" t="s">
        <v>398</v>
      </c>
      <c r="K102" s="46">
        <v>1</v>
      </c>
      <c r="L102" s="35"/>
      <c r="N102" s="57"/>
      <c r="O102" s="55" t="s">
        <v>398</v>
      </c>
      <c r="P102" s="38">
        <f>_11・初任</f>
        <v>0.7</v>
      </c>
      <c r="Q102" s="47">
        <f>ROUND((ROUND((ROUND((ROUND((_11_A通院１６．０*_11・基礎１),0)*_11・２人),0)*(1+_11・A深夜)),0)*_11・初任),0)</f>
        <v>979</v>
      </c>
      <c r="R102" s="48"/>
    </row>
    <row r="103" spans="1:18" ht="16.5" customHeight="1" x14ac:dyDescent="0.15">
      <c r="A103" s="41">
        <v>11</v>
      </c>
      <c r="B103" s="41">
        <v>3299</v>
      </c>
      <c r="C103" s="74" t="s">
        <v>4955</v>
      </c>
      <c r="D103" s="707" t="s">
        <v>1019</v>
      </c>
      <c r="E103" s="717"/>
      <c r="F103" s="53"/>
      <c r="G103" s="49"/>
      <c r="H103" s="50"/>
      <c r="I103" s="44"/>
      <c r="J103" s="45"/>
      <c r="K103" s="46"/>
      <c r="L103" s="35"/>
      <c r="N103" s="57"/>
      <c r="O103" s="53"/>
      <c r="P103" s="49"/>
      <c r="Q103" s="47">
        <f>ROUND((_11_A通院１６．５*(1+_11・A深夜)),0)</f>
        <v>2121</v>
      </c>
      <c r="R103" s="48"/>
    </row>
    <row r="104" spans="1:18" ht="16.5" customHeight="1" x14ac:dyDescent="0.15">
      <c r="A104" s="41">
        <v>11</v>
      </c>
      <c r="B104" s="41">
        <v>3300</v>
      </c>
      <c r="C104" s="74" t="s">
        <v>4956</v>
      </c>
      <c r="D104" s="709"/>
      <c r="E104" s="718"/>
      <c r="F104" s="43"/>
      <c r="G104" s="37"/>
      <c r="H104" s="38"/>
      <c r="I104" s="44" t="s">
        <v>397</v>
      </c>
      <c r="J104" s="45" t="s">
        <v>398</v>
      </c>
      <c r="K104" s="46">
        <v>1</v>
      </c>
      <c r="L104" s="35"/>
      <c r="N104" s="57"/>
      <c r="O104" s="35"/>
      <c r="Q104" s="47">
        <f>ROUND((ROUND((_11_A通院１６．５*_11・２人),0)*(1+_11・A深夜)),0)</f>
        <v>2121</v>
      </c>
      <c r="R104" s="48"/>
    </row>
    <row r="105" spans="1:18" ht="16.5" customHeight="1" x14ac:dyDescent="0.15">
      <c r="A105" s="41">
        <v>11</v>
      </c>
      <c r="B105" s="41">
        <v>3301</v>
      </c>
      <c r="C105" s="74" t="s">
        <v>4957</v>
      </c>
      <c r="D105" s="709"/>
      <c r="E105" s="718"/>
      <c r="F105" s="752" t="s">
        <v>400</v>
      </c>
      <c r="G105" s="49" t="s">
        <v>398</v>
      </c>
      <c r="H105" s="50">
        <v>0.7</v>
      </c>
      <c r="I105" s="44"/>
      <c r="J105" s="45"/>
      <c r="K105" s="46"/>
      <c r="L105" s="35"/>
      <c r="N105" s="57"/>
      <c r="O105" s="35"/>
      <c r="Q105" s="47">
        <f>ROUND((ROUND((_11_A通院１６．５*_11・基礎１),0)*(1+_11・A深夜)),0)</f>
        <v>1485</v>
      </c>
      <c r="R105" s="48"/>
    </row>
    <row r="106" spans="1:18" ht="16.5" customHeight="1" x14ac:dyDescent="0.15">
      <c r="A106" s="41">
        <v>11</v>
      </c>
      <c r="B106" s="41">
        <v>3302</v>
      </c>
      <c r="C106" s="74" t="s">
        <v>4958</v>
      </c>
      <c r="D106" s="100">
        <f>_11_A通院１６．５</f>
        <v>1414</v>
      </c>
      <c r="E106" s="12" t="s">
        <v>392</v>
      </c>
      <c r="F106" s="711"/>
      <c r="G106" s="37"/>
      <c r="H106" s="38"/>
      <c r="I106" s="44" t="s">
        <v>397</v>
      </c>
      <c r="J106" s="45" t="s">
        <v>398</v>
      </c>
      <c r="K106" s="46">
        <v>1</v>
      </c>
      <c r="L106" s="35"/>
      <c r="N106" s="57"/>
      <c r="O106" s="43"/>
      <c r="P106" s="37"/>
      <c r="Q106" s="47">
        <f>ROUND((ROUND((ROUND((_11_A通院１６．５*_11・基礎１),0)*_11・２人),0)*(1+_11・A深夜)),0)</f>
        <v>1485</v>
      </c>
      <c r="R106" s="48"/>
    </row>
    <row r="107" spans="1:18" ht="16.5" customHeight="1" x14ac:dyDescent="0.15">
      <c r="A107" s="41">
        <v>11</v>
      </c>
      <c r="B107" s="41" t="s">
        <v>4959</v>
      </c>
      <c r="C107" s="42" t="s">
        <v>4960</v>
      </c>
      <c r="D107" s="121"/>
      <c r="E107" s="99"/>
      <c r="F107" s="53"/>
      <c r="G107" s="49"/>
      <c r="H107" s="50"/>
      <c r="I107" s="44"/>
      <c r="J107" s="45"/>
      <c r="K107" s="46"/>
      <c r="L107" s="35"/>
      <c r="N107" s="57"/>
      <c r="O107" s="707" t="s">
        <v>404</v>
      </c>
      <c r="P107" s="708"/>
      <c r="Q107" s="47">
        <f>ROUND((ROUND((_11_A通院１６．５*(1+_11・A深夜)),0)*_11・初任),0)</f>
        <v>1485</v>
      </c>
      <c r="R107" s="48"/>
    </row>
    <row r="108" spans="1:18" ht="16.5" customHeight="1" x14ac:dyDescent="0.15">
      <c r="A108" s="41">
        <v>11</v>
      </c>
      <c r="B108" s="41" t="s">
        <v>4961</v>
      </c>
      <c r="C108" s="42" t="s">
        <v>4962</v>
      </c>
      <c r="D108" s="121"/>
      <c r="E108" s="99"/>
      <c r="F108" s="43"/>
      <c r="G108" s="37"/>
      <c r="H108" s="38"/>
      <c r="I108" s="44" t="s">
        <v>397</v>
      </c>
      <c r="J108" s="45" t="s">
        <v>398</v>
      </c>
      <c r="K108" s="46">
        <v>1</v>
      </c>
      <c r="L108" s="35"/>
      <c r="N108" s="57"/>
      <c r="O108" s="709"/>
      <c r="P108" s="704"/>
      <c r="Q108" s="47">
        <f>ROUND((ROUND((ROUND((_11_A通院１６．５*_11・２人),0)*(1+_11・A深夜)),0)*_11・初任),0)</f>
        <v>1485</v>
      </c>
      <c r="R108" s="48"/>
    </row>
    <row r="109" spans="1:18" ht="16.5" customHeight="1" x14ac:dyDescent="0.15">
      <c r="A109" s="41">
        <v>11</v>
      </c>
      <c r="B109" s="41" t="s">
        <v>4963</v>
      </c>
      <c r="C109" s="42" t="s">
        <v>4964</v>
      </c>
      <c r="D109" s="72"/>
      <c r="E109" s="99"/>
      <c r="F109" s="752" t="s">
        <v>400</v>
      </c>
      <c r="G109" s="49" t="s">
        <v>398</v>
      </c>
      <c r="H109" s="50">
        <v>0.7</v>
      </c>
      <c r="I109" s="44"/>
      <c r="J109" s="45"/>
      <c r="K109" s="46"/>
      <c r="L109" s="35"/>
      <c r="N109" s="57"/>
      <c r="O109" s="709"/>
      <c r="P109" s="704"/>
      <c r="Q109" s="47">
        <f>ROUND((ROUND((ROUND((_11_A通院１６．５*_11・基礎１),0)*(1+_11・A深夜)),0)*_11・初任),0)</f>
        <v>1040</v>
      </c>
      <c r="R109" s="48"/>
    </row>
    <row r="110" spans="1:18" ht="16.5" customHeight="1" x14ac:dyDescent="0.15">
      <c r="A110" s="41">
        <v>11</v>
      </c>
      <c r="B110" s="41" t="s">
        <v>4965</v>
      </c>
      <c r="C110" s="42" t="s">
        <v>4966</v>
      </c>
      <c r="D110" s="122"/>
      <c r="E110" s="111"/>
      <c r="F110" s="711"/>
      <c r="G110" s="37"/>
      <c r="H110" s="38"/>
      <c r="I110" s="44" t="s">
        <v>397</v>
      </c>
      <c r="J110" s="45" t="s">
        <v>398</v>
      </c>
      <c r="K110" s="46">
        <v>1</v>
      </c>
      <c r="L110" s="43"/>
      <c r="M110" s="38"/>
      <c r="N110" s="79"/>
      <c r="O110" s="55" t="s">
        <v>398</v>
      </c>
      <c r="P110" s="38">
        <f>_11・初任</f>
        <v>0.7</v>
      </c>
      <c r="Q110" s="47">
        <f>ROUND((ROUND((ROUND((ROUND((_11_A通院１６．５*_11・基礎１),0)*_11・２人),0)*(1+_11・A深夜)),0)*_11・初任),0)</f>
        <v>1040</v>
      </c>
      <c r="R110" s="63"/>
    </row>
    <row r="111" spans="1:18" ht="16.5" customHeight="1" x14ac:dyDescent="0.15"/>
    <row r="112" spans="1:18" ht="16.5" customHeight="1" x14ac:dyDescent="0.15"/>
  </sheetData>
  <mergeCells count="54">
    <mergeCell ref="D103:E105"/>
    <mergeCell ref="F105:F106"/>
    <mergeCell ref="O107:P109"/>
    <mergeCell ref="F109:F110"/>
    <mergeCell ref="O91:P93"/>
    <mergeCell ref="F93:F94"/>
    <mergeCell ref="D95:E97"/>
    <mergeCell ref="F97:F98"/>
    <mergeCell ref="O99:P101"/>
    <mergeCell ref="F101:F102"/>
    <mergeCell ref="D63:E65"/>
    <mergeCell ref="F65:F66"/>
    <mergeCell ref="D87:E89"/>
    <mergeCell ref="F89:F90"/>
    <mergeCell ref="O67:P69"/>
    <mergeCell ref="F69:F70"/>
    <mergeCell ref="D71:E73"/>
    <mergeCell ref="F73:F74"/>
    <mergeCell ref="O75:P77"/>
    <mergeCell ref="F77:F78"/>
    <mergeCell ref="D79:E81"/>
    <mergeCell ref="N80:N81"/>
    <mergeCell ref="F81:F82"/>
    <mergeCell ref="O83:P85"/>
    <mergeCell ref="F85:F86"/>
    <mergeCell ref="O51:P53"/>
    <mergeCell ref="F53:F54"/>
    <mergeCell ref="D55:E57"/>
    <mergeCell ref="F57:F58"/>
    <mergeCell ref="O59:P61"/>
    <mergeCell ref="F61:F62"/>
    <mergeCell ref="D39:E41"/>
    <mergeCell ref="F41:F42"/>
    <mergeCell ref="O43:P45"/>
    <mergeCell ref="F45:F46"/>
    <mergeCell ref="D47:E49"/>
    <mergeCell ref="F49:F50"/>
    <mergeCell ref="O27:P29"/>
    <mergeCell ref="F29:F30"/>
    <mergeCell ref="D31:E33"/>
    <mergeCell ref="F33:F34"/>
    <mergeCell ref="O35:P37"/>
    <mergeCell ref="F37:F38"/>
    <mergeCell ref="O19:P21"/>
    <mergeCell ref="F21:F22"/>
    <mergeCell ref="D23:E25"/>
    <mergeCell ref="F25:F26"/>
    <mergeCell ref="D15:E17"/>
    <mergeCell ref="F17:F18"/>
    <mergeCell ref="D7:E9"/>
    <mergeCell ref="N8:N9"/>
    <mergeCell ref="F9:F10"/>
    <mergeCell ref="O11:P13"/>
    <mergeCell ref="F13:F14"/>
  </mergeCells>
  <phoneticPr fontId="1"/>
  <printOptions horizontalCentered="1"/>
  <pageMargins left="0.70866141732283472" right="0.70866141732283472" top="0.74803149606299213" bottom="0.74803149606299213" header="0.31496062992125984" footer="0.31496062992125984"/>
  <pageSetup paperSize="9" scale="58" fitToHeight="0" orientation="portrait" r:id="rId1"/>
  <headerFooter>
    <oddHeader>&amp;R&amp;"ＭＳ Ｐゴシック"&amp;9居宅介護</oddHeader>
    <oddFooter>&amp;C&amp;"ＭＳ Ｐゴシック"&amp;14&amp;P</oddFooter>
  </headerFooter>
  <rowBreaks count="1" manualBreakCount="1">
    <brk id="78" max="17"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pageSetUpPr fitToPage="1"/>
  </sheetPr>
  <dimension ref="A1:W12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3.875" style="10" bestFit="1" customWidth="1"/>
    <col min="4" max="4" width="4.875" style="10" customWidth="1"/>
    <col min="5" max="5" width="4.5" style="12" bestFit="1" customWidth="1"/>
    <col min="6" max="6" width="4.875" style="10" customWidth="1"/>
    <col min="7" max="7" width="4.5" style="12" bestFit="1" customWidth="1"/>
    <col min="8" max="8" width="11.875" style="12" customWidth="1"/>
    <col min="9" max="9" width="3.5" style="12" bestFit="1" customWidth="1"/>
    <col min="10" max="10" width="4.5" style="13" bestFit="1" customWidth="1"/>
    <col min="11" max="11" width="25.5" style="14" bestFit="1" customWidth="1"/>
    <col min="12" max="12" width="3.5" style="12" bestFit="1" customWidth="1"/>
    <col min="13" max="13" width="5.5" style="13" bestFit="1" customWidth="1"/>
    <col min="14" max="14" width="3.5" style="12" bestFit="1" customWidth="1"/>
    <col min="15" max="15" width="4.5" style="13" bestFit="1" customWidth="1"/>
    <col min="16" max="16" width="5.5" style="12" bestFit="1" customWidth="1"/>
    <col min="17" max="17" width="3.5" style="12" bestFit="1" customWidth="1"/>
    <col min="18" max="18" width="4.5" style="13" bestFit="1" customWidth="1"/>
    <col min="19" max="19" width="5.5" style="12" bestFit="1" customWidth="1"/>
    <col min="20" max="20" width="9.875" style="12" customWidth="1"/>
    <col min="21" max="21" width="4.5" style="12" bestFit="1" customWidth="1"/>
    <col min="22" max="22" width="7.125" style="15" customWidth="1"/>
    <col min="23" max="23" width="8.5" style="16" customWidth="1"/>
    <col min="24" max="16384" width="8.875" style="12"/>
  </cols>
  <sheetData>
    <row r="1" spans="1:23" ht="17.100000000000001" customHeight="1" x14ac:dyDescent="0.15"/>
    <row r="2" spans="1:23" ht="17.100000000000001" customHeight="1" x14ac:dyDescent="0.15"/>
    <row r="3" spans="1:23" ht="17.100000000000001" customHeight="1" x14ac:dyDescent="0.15"/>
    <row r="4" spans="1:23" ht="17.100000000000001" customHeight="1" x14ac:dyDescent="0.15">
      <c r="B4" s="17" t="s">
        <v>4967</v>
      </c>
      <c r="D4" s="71"/>
    </row>
    <row r="5" spans="1:23" ht="16.5" customHeight="1" x14ac:dyDescent="0.15">
      <c r="A5" s="19" t="s">
        <v>384</v>
      </c>
      <c r="B5" s="20"/>
      <c r="C5" s="21" t="s">
        <v>385</v>
      </c>
      <c r="D5" s="23" t="s">
        <v>386</v>
      </c>
      <c r="E5" s="23"/>
      <c r="F5" s="23"/>
      <c r="G5" s="23"/>
      <c r="H5" s="23"/>
      <c r="I5" s="23"/>
      <c r="J5" s="24"/>
      <c r="K5" s="23"/>
      <c r="L5" s="23"/>
      <c r="M5" s="24"/>
      <c r="N5" s="23"/>
      <c r="O5" s="24"/>
      <c r="P5" s="23"/>
      <c r="Q5" s="23"/>
      <c r="R5" s="24"/>
      <c r="S5" s="23"/>
      <c r="T5" s="23"/>
      <c r="U5" s="23"/>
      <c r="V5" s="25" t="s">
        <v>387</v>
      </c>
      <c r="W5" s="21" t="s">
        <v>388</v>
      </c>
    </row>
    <row r="6" spans="1:23" ht="16.5" customHeight="1" x14ac:dyDescent="0.15">
      <c r="A6" s="26" t="s">
        <v>389</v>
      </c>
      <c r="B6" s="26" t="s">
        <v>390</v>
      </c>
      <c r="C6" s="27"/>
      <c r="D6" s="87" t="s">
        <v>1032</v>
      </c>
      <c r="E6" s="187"/>
      <c r="F6" s="87" t="s">
        <v>1033</v>
      </c>
      <c r="G6" s="20"/>
      <c r="H6" s="29"/>
      <c r="I6" s="29"/>
      <c r="J6" s="30"/>
      <c r="K6" s="29"/>
      <c r="L6" s="29"/>
      <c r="M6" s="30"/>
      <c r="N6" s="29"/>
      <c r="O6" s="30"/>
      <c r="P6" s="29"/>
      <c r="Q6" s="29"/>
      <c r="R6" s="30"/>
      <c r="S6" s="29"/>
      <c r="T6" s="29"/>
      <c r="U6" s="29"/>
      <c r="V6" s="31" t="s">
        <v>391</v>
      </c>
      <c r="W6" s="32" t="s">
        <v>392</v>
      </c>
    </row>
    <row r="7" spans="1:23" ht="16.5" customHeight="1" x14ac:dyDescent="0.15">
      <c r="A7" s="33">
        <v>11</v>
      </c>
      <c r="B7" s="33">
        <v>3303</v>
      </c>
      <c r="C7" s="34" t="s">
        <v>4968</v>
      </c>
      <c r="D7" s="709" t="s">
        <v>4811</v>
      </c>
      <c r="E7" s="718"/>
      <c r="F7" s="709" t="s">
        <v>3602</v>
      </c>
      <c r="G7" s="718"/>
      <c r="H7" s="35"/>
      <c r="K7" s="36"/>
      <c r="L7" s="37"/>
      <c r="M7" s="38"/>
      <c r="N7" s="72" t="s">
        <v>1036</v>
      </c>
      <c r="P7" s="57"/>
      <c r="Q7" s="92" t="s">
        <v>1037</v>
      </c>
      <c r="S7" s="57"/>
      <c r="T7" s="35"/>
      <c r="V7" s="39">
        <f>ROUND((_11_A通院１０．５*(1+_11・A深夜)),0)+ROUND((_11_B通院１０．５＿０．５*(1+_11・B早朝)),0)</f>
        <v>567</v>
      </c>
      <c r="W7" s="40" t="s">
        <v>395</v>
      </c>
    </row>
    <row r="8" spans="1:23" ht="16.5" customHeight="1" x14ac:dyDescent="0.15">
      <c r="A8" s="41">
        <v>11</v>
      </c>
      <c r="B8" s="41">
        <v>3304</v>
      </c>
      <c r="C8" s="74" t="s">
        <v>4969</v>
      </c>
      <c r="D8" s="709"/>
      <c r="E8" s="718"/>
      <c r="F8" s="709"/>
      <c r="G8" s="718"/>
      <c r="H8" s="43"/>
      <c r="I8" s="37"/>
      <c r="J8" s="38"/>
      <c r="K8" s="44" t="s">
        <v>397</v>
      </c>
      <c r="L8" s="45" t="s">
        <v>398</v>
      </c>
      <c r="M8" s="46">
        <v>1</v>
      </c>
      <c r="N8" s="35" t="s">
        <v>398</v>
      </c>
      <c r="O8" s="13">
        <v>0.5</v>
      </c>
      <c r="P8" s="728" t="s">
        <v>676</v>
      </c>
      <c r="Q8" s="12" t="s">
        <v>398</v>
      </c>
      <c r="R8" s="13">
        <v>0.25</v>
      </c>
      <c r="S8" s="728" t="s">
        <v>676</v>
      </c>
      <c r="T8" s="35"/>
      <c r="V8" s="47">
        <f>ROUND((ROUND((_11_A通院１０．５*_11・２人),0)*(1+_11・A深夜)),0)+ROUND((ROUND((_11_B通院１０．５＿０．５*_11・２人),0)*(1+_11・B早朝)),0)</f>
        <v>567</v>
      </c>
      <c r="W8" s="48"/>
    </row>
    <row r="9" spans="1:23" ht="16.5" customHeight="1" x14ac:dyDescent="0.15">
      <c r="A9" s="41">
        <v>11</v>
      </c>
      <c r="B9" s="41">
        <v>3305</v>
      </c>
      <c r="C9" s="74" t="s">
        <v>4970</v>
      </c>
      <c r="D9" s="709"/>
      <c r="E9" s="718"/>
      <c r="F9" s="709"/>
      <c r="G9" s="718"/>
      <c r="H9" s="752" t="s">
        <v>400</v>
      </c>
      <c r="I9" s="49" t="s">
        <v>398</v>
      </c>
      <c r="J9" s="50">
        <v>0.7</v>
      </c>
      <c r="K9" s="44"/>
      <c r="L9" s="45"/>
      <c r="M9" s="46"/>
      <c r="N9" s="35"/>
      <c r="P9" s="728"/>
      <c r="S9" s="728"/>
      <c r="T9" s="35"/>
      <c r="V9" s="47">
        <f>ROUND((ROUND((_11_A通院１０．５*_11・基礎１),0)*(1+_11・A深夜)),0)+ROUND((ROUND((_11_B通院１０．５＿０．５*_11・基礎１),0)*(1+_11・B早朝)),0)</f>
        <v>398</v>
      </c>
      <c r="W9" s="48"/>
    </row>
    <row r="10" spans="1:23" ht="16.5" customHeight="1" x14ac:dyDescent="0.15">
      <c r="A10" s="41">
        <v>11</v>
      </c>
      <c r="B10" s="41">
        <v>3306</v>
      </c>
      <c r="C10" s="74" t="s">
        <v>4971</v>
      </c>
      <c r="D10" s="125">
        <f>_11_A通院１０．５</f>
        <v>255</v>
      </c>
      <c r="E10" s="12" t="s">
        <v>392</v>
      </c>
      <c r="F10" s="125">
        <f>_11_B通院１０．５＿０．５</f>
        <v>147</v>
      </c>
      <c r="G10" s="12" t="s">
        <v>392</v>
      </c>
      <c r="H10" s="711"/>
      <c r="I10" s="37"/>
      <c r="J10" s="38"/>
      <c r="K10" s="44" t="s">
        <v>397</v>
      </c>
      <c r="L10" s="45" t="s">
        <v>398</v>
      </c>
      <c r="M10" s="46">
        <v>1</v>
      </c>
      <c r="N10" s="35"/>
      <c r="P10" s="57"/>
      <c r="S10" s="57"/>
      <c r="T10" s="43"/>
      <c r="U10" s="37"/>
      <c r="V10" s="47">
        <f>ROUND((ROUND((ROUND((_11_A通院１０．５*_11・基礎１),0)*_11・２人),0)*(1+_11・A深夜)),0)+ROUND((ROUND((ROUND((_11_B通院１０．５＿０．５*_11・基礎１),0)*_11・２人),0)*(1+_11・B早朝)),0)</f>
        <v>398</v>
      </c>
      <c r="W10" s="48"/>
    </row>
    <row r="11" spans="1:23" ht="16.5" customHeight="1" x14ac:dyDescent="0.15">
      <c r="A11" s="41">
        <v>11</v>
      </c>
      <c r="B11" s="41" t="s">
        <v>4972</v>
      </c>
      <c r="C11" s="74" t="s">
        <v>4973</v>
      </c>
      <c r="D11" s="121"/>
      <c r="F11" s="121"/>
      <c r="H11" s="53"/>
      <c r="I11" s="49"/>
      <c r="J11" s="50"/>
      <c r="K11" s="44"/>
      <c r="L11" s="45"/>
      <c r="M11" s="46"/>
      <c r="N11" s="35"/>
      <c r="P11" s="57"/>
      <c r="S11" s="57"/>
      <c r="T11" s="707" t="s">
        <v>404</v>
      </c>
      <c r="U11" s="708"/>
      <c r="V11" s="47">
        <f>ROUND((ROUND((_11_A通院１０．５*(1+_11・A深夜)),0)*_11・初任),0)+ROUND((ROUND((_11_B通院１０．５＿０．５*(1+_11・B早朝)),0)*_11・初任),0)</f>
        <v>397</v>
      </c>
      <c r="W11" s="48"/>
    </row>
    <row r="12" spans="1:23" ht="16.5" customHeight="1" x14ac:dyDescent="0.15">
      <c r="A12" s="41">
        <v>11</v>
      </c>
      <c r="B12" s="41" t="s">
        <v>4974</v>
      </c>
      <c r="C12" s="74" t="s">
        <v>4975</v>
      </c>
      <c r="D12" s="121"/>
      <c r="F12" s="121"/>
      <c r="H12" s="43"/>
      <c r="I12" s="37"/>
      <c r="J12" s="38"/>
      <c r="K12" s="44" t="s">
        <v>397</v>
      </c>
      <c r="L12" s="45" t="s">
        <v>398</v>
      </c>
      <c r="M12" s="46">
        <v>1</v>
      </c>
      <c r="N12" s="35"/>
      <c r="P12" s="57"/>
      <c r="S12" s="57"/>
      <c r="T12" s="709"/>
      <c r="U12" s="704"/>
      <c r="V12" s="47">
        <f>ROUND((ROUND((ROUND((_11_A通院１０．５*_11・２人),0)*(1+_11・A深夜)),0)*_11・初任),0)+ROUND((ROUND((ROUND((_11_B通院１０．５＿０．５*_11・２人),0)*(1+_11・B早朝)),0)*_11・初任),0)</f>
        <v>397</v>
      </c>
      <c r="W12" s="48"/>
    </row>
    <row r="13" spans="1:23" ht="16.5" customHeight="1" x14ac:dyDescent="0.15">
      <c r="A13" s="41">
        <v>11</v>
      </c>
      <c r="B13" s="41" t="s">
        <v>4976</v>
      </c>
      <c r="C13" s="74" t="s">
        <v>4977</v>
      </c>
      <c r="D13" s="72"/>
      <c r="F13" s="72"/>
      <c r="H13" s="752" t="s">
        <v>400</v>
      </c>
      <c r="I13" s="49" t="s">
        <v>398</v>
      </c>
      <c r="J13" s="50">
        <v>0.7</v>
      </c>
      <c r="K13" s="44"/>
      <c r="L13" s="45"/>
      <c r="M13" s="46"/>
      <c r="N13" s="35"/>
      <c r="P13" s="57"/>
      <c r="S13" s="57"/>
      <c r="T13" s="709"/>
      <c r="U13" s="704"/>
      <c r="V13" s="47">
        <f>ROUND((ROUND((ROUND((_11_A通院１０．５*_11・基礎１),0)*(1+_11・A深夜)),0)*_11・初任),0)+ROUND((ROUND((ROUND((_11_B通院１０．５＿０．５*_11・基礎１),0)*(1+_11・B早朝)),0)*_11・初任),0)</f>
        <v>278</v>
      </c>
      <c r="W13" s="48"/>
    </row>
    <row r="14" spans="1:23" ht="16.5" customHeight="1" x14ac:dyDescent="0.15">
      <c r="A14" s="41">
        <v>11</v>
      </c>
      <c r="B14" s="41" t="s">
        <v>4978</v>
      </c>
      <c r="C14" s="74" t="s">
        <v>4979</v>
      </c>
      <c r="D14" s="72"/>
      <c r="F14" s="72"/>
      <c r="H14" s="711"/>
      <c r="I14" s="37"/>
      <c r="J14" s="38"/>
      <c r="K14" s="44" t="s">
        <v>397</v>
      </c>
      <c r="L14" s="45" t="s">
        <v>398</v>
      </c>
      <c r="M14" s="46">
        <v>1</v>
      </c>
      <c r="N14" s="35"/>
      <c r="P14" s="57"/>
      <c r="S14" s="57"/>
      <c r="T14" s="55" t="s">
        <v>398</v>
      </c>
      <c r="U14" s="38">
        <f>_11・初任</f>
        <v>0.7</v>
      </c>
      <c r="V14" s="47">
        <f>ROUND((ROUND((ROUND((ROUND((_11_A通院１０．５*_11・基礎１),0)*_11・２人),0)*(1+_11・A深夜)),0)*_11・初任),0)+ROUND((ROUND((ROUND((ROUND((_11_B通院１０．５＿０．５*_11・基礎１),0)*_11・２人),0)*(1+_11・B早朝)),0)*_11・初任),0)</f>
        <v>278</v>
      </c>
      <c r="W14" s="48"/>
    </row>
    <row r="15" spans="1:23" ht="16.5" customHeight="1" x14ac:dyDescent="0.15">
      <c r="A15" s="41">
        <v>11</v>
      </c>
      <c r="B15" s="41">
        <v>3307</v>
      </c>
      <c r="C15" s="74" t="s">
        <v>4980</v>
      </c>
      <c r="D15" s="72"/>
      <c r="F15" s="707" t="s">
        <v>3581</v>
      </c>
      <c r="G15" s="717"/>
      <c r="H15" s="53"/>
      <c r="I15" s="49"/>
      <c r="J15" s="50"/>
      <c r="K15" s="44"/>
      <c r="L15" s="45"/>
      <c r="M15" s="46"/>
      <c r="N15" s="35"/>
      <c r="P15" s="57"/>
      <c r="S15" s="57"/>
      <c r="T15" s="53"/>
      <c r="U15" s="49"/>
      <c r="V15" s="47">
        <f>ROUND((_11_A通院１０．５*(1+_11・A深夜)),0)+ROUND((_11_B通院１０．５＿１．０*(1+_11・B早朝)),0)</f>
        <v>794</v>
      </c>
      <c r="W15" s="48"/>
    </row>
    <row r="16" spans="1:23" ht="16.5" customHeight="1" x14ac:dyDescent="0.15">
      <c r="A16" s="41">
        <v>11</v>
      </c>
      <c r="B16" s="41">
        <v>3308</v>
      </c>
      <c r="C16" s="74" t="s">
        <v>4981</v>
      </c>
      <c r="D16" s="72"/>
      <c r="F16" s="709"/>
      <c r="G16" s="718"/>
      <c r="H16" s="43"/>
      <c r="I16" s="37"/>
      <c r="J16" s="38"/>
      <c r="K16" s="44" t="s">
        <v>397</v>
      </c>
      <c r="L16" s="45" t="s">
        <v>398</v>
      </c>
      <c r="M16" s="46">
        <v>1</v>
      </c>
      <c r="N16" s="35"/>
      <c r="P16" s="57"/>
      <c r="S16" s="57"/>
      <c r="T16" s="35"/>
      <c r="V16" s="47">
        <f>ROUND((ROUND((_11_A通院１０．５*_11・２人),0)*(1+_11・A深夜)),0)+ROUND((ROUND((_11_B通院１０．５＿１．０*_11・２人),0)*(1+_11・B早朝)),0)</f>
        <v>794</v>
      </c>
      <c r="W16" s="48"/>
    </row>
    <row r="17" spans="1:23" ht="16.5" customHeight="1" x14ac:dyDescent="0.15">
      <c r="A17" s="41">
        <v>11</v>
      </c>
      <c r="B17" s="41">
        <v>3309</v>
      </c>
      <c r="C17" s="74" t="s">
        <v>4982</v>
      </c>
      <c r="D17" s="72"/>
      <c r="F17" s="709"/>
      <c r="G17" s="718"/>
      <c r="H17" s="752" t="s">
        <v>400</v>
      </c>
      <c r="I17" s="49" t="s">
        <v>398</v>
      </c>
      <c r="J17" s="50">
        <v>0.7</v>
      </c>
      <c r="K17" s="44"/>
      <c r="L17" s="45"/>
      <c r="M17" s="46"/>
      <c r="N17" s="35"/>
      <c r="P17" s="57"/>
      <c r="S17" s="57"/>
      <c r="T17" s="35"/>
      <c r="V17" s="47">
        <f>ROUND((ROUND((_11_A通院１０．５*_11・基礎１),0)*(1+_11・A深夜)),0)+ROUND((ROUND((_11_B通院１０．５＿１．０*_11・基礎１),0)*(1+_11・B早朝)),0)</f>
        <v>557</v>
      </c>
      <c r="W17" s="48"/>
    </row>
    <row r="18" spans="1:23" ht="16.5" customHeight="1" x14ac:dyDescent="0.15">
      <c r="A18" s="41">
        <v>11</v>
      </c>
      <c r="B18" s="41">
        <v>3310</v>
      </c>
      <c r="C18" s="74" t="s">
        <v>4983</v>
      </c>
      <c r="D18" s="72"/>
      <c r="F18" s="125">
        <f>_11_B通院１０．５＿１．０</f>
        <v>329</v>
      </c>
      <c r="G18" s="12" t="s">
        <v>392</v>
      </c>
      <c r="H18" s="711"/>
      <c r="I18" s="37"/>
      <c r="J18" s="38"/>
      <c r="K18" s="44" t="s">
        <v>397</v>
      </c>
      <c r="L18" s="45" t="s">
        <v>398</v>
      </c>
      <c r="M18" s="46">
        <v>1</v>
      </c>
      <c r="N18" s="35"/>
      <c r="P18" s="57"/>
      <c r="S18" s="57"/>
      <c r="T18" s="43"/>
      <c r="U18" s="37"/>
      <c r="V18" s="47">
        <f>ROUND((ROUND((ROUND((_11_A通院１０．５*_11・基礎１),0)*_11・２人),0)*(1+_11・A深夜)),0)+ROUND((ROUND((ROUND((_11_B通院１０．５＿１．０*_11・基礎１),0)*_11・２人),0)*(1+_11・B早朝)),0)</f>
        <v>557</v>
      </c>
      <c r="W18" s="48"/>
    </row>
    <row r="19" spans="1:23" ht="16.5" customHeight="1" x14ac:dyDescent="0.15">
      <c r="A19" s="41">
        <v>11</v>
      </c>
      <c r="B19" s="41" t="s">
        <v>4984</v>
      </c>
      <c r="C19" s="74" t="s">
        <v>4985</v>
      </c>
      <c r="D19" s="72"/>
      <c r="F19" s="143"/>
      <c r="H19" s="53"/>
      <c r="I19" s="49"/>
      <c r="J19" s="50"/>
      <c r="K19" s="44"/>
      <c r="L19" s="45"/>
      <c r="M19" s="46"/>
      <c r="N19" s="35"/>
      <c r="P19" s="57"/>
      <c r="S19" s="57"/>
      <c r="T19" s="707" t="s">
        <v>404</v>
      </c>
      <c r="U19" s="708"/>
      <c r="V19" s="47">
        <f>ROUND((ROUND((_11_A通院１０．５*(1+_11・A深夜)),0)*_11・初任),0)+ROUND((ROUND((_11_B通院１０．５＿１．０*(1+_11・B早朝)),0)*_11・初任),0)</f>
        <v>556</v>
      </c>
      <c r="W19" s="48"/>
    </row>
    <row r="20" spans="1:23" ht="16.5" customHeight="1" x14ac:dyDescent="0.15">
      <c r="A20" s="41">
        <v>11</v>
      </c>
      <c r="B20" s="41" t="s">
        <v>4986</v>
      </c>
      <c r="C20" s="74" t="s">
        <v>4987</v>
      </c>
      <c r="D20" s="72"/>
      <c r="F20" s="143"/>
      <c r="H20" s="43"/>
      <c r="I20" s="37"/>
      <c r="J20" s="38"/>
      <c r="K20" s="44" t="s">
        <v>397</v>
      </c>
      <c r="L20" s="45" t="s">
        <v>398</v>
      </c>
      <c r="M20" s="46">
        <v>1</v>
      </c>
      <c r="N20" s="35"/>
      <c r="P20" s="57"/>
      <c r="S20" s="57"/>
      <c r="T20" s="709"/>
      <c r="U20" s="704"/>
      <c r="V20" s="47">
        <f>ROUND((ROUND((ROUND((_11_A通院１０．５*_11・２人),0)*(1+_11・A深夜)),0)*_11・初任),0)+ROUND((ROUND((ROUND((_11_B通院１０．５＿１．０*_11・２人),0)*(1+_11・B早朝)),0)*_11・初任),0)</f>
        <v>556</v>
      </c>
      <c r="W20" s="48"/>
    </row>
    <row r="21" spans="1:23" ht="16.5" customHeight="1" x14ac:dyDescent="0.15">
      <c r="A21" s="41">
        <v>11</v>
      </c>
      <c r="B21" s="41" t="s">
        <v>4988</v>
      </c>
      <c r="C21" s="74" t="s">
        <v>4989</v>
      </c>
      <c r="D21" s="72"/>
      <c r="F21" s="72"/>
      <c r="H21" s="752" t="s">
        <v>400</v>
      </c>
      <c r="I21" s="49" t="s">
        <v>398</v>
      </c>
      <c r="J21" s="50">
        <v>0.7</v>
      </c>
      <c r="K21" s="44"/>
      <c r="L21" s="45"/>
      <c r="M21" s="46"/>
      <c r="N21" s="35"/>
      <c r="P21" s="57"/>
      <c r="S21" s="57"/>
      <c r="T21" s="709"/>
      <c r="U21" s="704"/>
      <c r="V21" s="47">
        <f>ROUND((ROUND((ROUND((_11_A通院１０．５*_11・基礎１),0)*(1+_11・A深夜)),0)*_11・初任),0)+ROUND((ROUND((ROUND((_11_B通院１０．５＿１．０*_11・基礎１),0)*(1+_11・B早朝)),0)*_11・初任),0)</f>
        <v>390</v>
      </c>
      <c r="W21" s="48"/>
    </row>
    <row r="22" spans="1:23" ht="16.5" customHeight="1" x14ac:dyDescent="0.15">
      <c r="A22" s="41">
        <v>11</v>
      </c>
      <c r="B22" s="41" t="s">
        <v>4990</v>
      </c>
      <c r="C22" s="74" t="s">
        <v>4991</v>
      </c>
      <c r="D22" s="72"/>
      <c r="F22" s="72"/>
      <c r="H22" s="711"/>
      <c r="I22" s="37"/>
      <c r="J22" s="38"/>
      <c r="K22" s="44" t="s">
        <v>397</v>
      </c>
      <c r="L22" s="45" t="s">
        <v>398</v>
      </c>
      <c r="M22" s="46">
        <v>1</v>
      </c>
      <c r="N22" s="35"/>
      <c r="P22" s="57"/>
      <c r="S22" s="57"/>
      <c r="T22" s="55" t="s">
        <v>398</v>
      </c>
      <c r="U22" s="38">
        <f>_11・初任</f>
        <v>0.7</v>
      </c>
      <c r="V22" s="47">
        <f>ROUND((ROUND((ROUND((ROUND((_11_A通院１０．５*_11・基礎１),0)*_11・２人),0)*(1+_11・A深夜)),0)*_11・初任),0)+ROUND((ROUND((ROUND((ROUND((_11_B通院１０．５＿１．０*_11・基礎１),0)*_11・２人),0)*(1+_11・B早朝)),0)*_11・初任),0)</f>
        <v>390</v>
      </c>
      <c r="W22" s="48"/>
    </row>
    <row r="23" spans="1:23" ht="16.5" customHeight="1" x14ac:dyDescent="0.15">
      <c r="A23" s="41">
        <v>11</v>
      </c>
      <c r="B23" s="41">
        <v>3311</v>
      </c>
      <c r="C23" s="74" t="s">
        <v>4992</v>
      </c>
      <c r="D23" s="72"/>
      <c r="F23" s="707" t="s">
        <v>3588</v>
      </c>
      <c r="G23" s="717"/>
      <c r="H23" s="53"/>
      <c r="I23" s="49"/>
      <c r="J23" s="50"/>
      <c r="K23" s="44"/>
      <c r="L23" s="45"/>
      <c r="M23" s="46"/>
      <c r="N23" s="35"/>
      <c r="P23" s="57"/>
      <c r="S23" s="57"/>
      <c r="T23" s="53"/>
      <c r="U23" s="49"/>
      <c r="V23" s="47">
        <f>ROUND((_11_A通院１０．５*(1+_11・A深夜)),0)+ROUND((_11_B通院１０．５＿１．５*(1+_11・B早朝)),0)</f>
        <v>897</v>
      </c>
      <c r="W23" s="48"/>
    </row>
    <row r="24" spans="1:23" ht="16.5" customHeight="1" x14ac:dyDescent="0.15">
      <c r="A24" s="41">
        <v>11</v>
      </c>
      <c r="B24" s="41">
        <v>3312</v>
      </c>
      <c r="C24" s="74" t="s">
        <v>4993</v>
      </c>
      <c r="D24" s="72"/>
      <c r="F24" s="709"/>
      <c r="G24" s="718"/>
      <c r="H24" s="43"/>
      <c r="I24" s="37"/>
      <c r="J24" s="38"/>
      <c r="K24" s="44" t="s">
        <v>397</v>
      </c>
      <c r="L24" s="45" t="s">
        <v>398</v>
      </c>
      <c r="M24" s="46">
        <v>1</v>
      </c>
      <c r="N24" s="35"/>
      <c r="P24" s="57"/>
      <c r="S24" s="57"/>
      <c r="T24" s="35"/>
      <c r="V24" s="47">
        <f>ROUND((ROUND((_11_A通院１０．５*_11・２人),0)*(1+_11・A深夜)),0)+ROUND((ROUND((_11_B通院１０．５＿１．５*_11・２人),0)*(1+_11・B早朝)),0)</f>
        <v>897</v>
      </c>
      <c r="W24" s="48"/>
    </row>
    <row r="25" spans="1:23" ht="16.5" customHeight="1" x14ac:dyDescent="0.15">
      <c r="A25" s="41">
        <v>11</v>
      </c>
      <c r="B25" s="41">
        <v>3313</v>
      </c>
      <c r="C25" s="74" t="s">
        <v>4994</v>
      </c>
      <c r="D25" s="72"/>
      <c r="F25" s="709"/>
      <c r="G25" s="718"/>
      <c r="H25" s="752" t="s">
        <v>400</v>
      </c>
      <c r="I25" s="49" t="s">
        <v>398</v>
      </c>
      <c r="J25" s="50">
        <v>0.7</v>
      </c>
      <c r="K25" s="44"/>
      <c r="L25" s="45"/>
      <c r="M25" s="46"/>
      <c r="N25" s="35"/>
      <c r="P25" s="57"/>
      <c r="S25" s="57"/>
      <c r="T25" s="35"/>
      <c r="V25" s="47">
        <f>ROUND((ROUND((_11_A通院１０．５*_11・基礎１),0)*(1+_11・A深夜)),0)+ROUND((ROUND((_11_B通院１０．５＿１．５*_11・基礎１),0)*(1+_11・B早朝)),0)</f>
        <v>629</v>
      </c>
      <c r="W25" s="48"/>
    </row>
    <row r="26" spans="1:23" ht="16.5" customHeight="1" x14ac:dyDescent="0.15">
      <c r="A26" s="41">
        <v>11</v>
      </c>
      <c r="B26" s="41">
        <v>3314</v>
      </c>
      <c r="C26" s="74" t="s">
        <v>4995</v>
      </c>
      <c r="D26" s="72"/>
      <c r="F26" s="125">
        <f>_11_B通院１０．５＿１．５</f>
        <v>411</v>
      </c>
      <c r="G26" s="12" t="s">
        <v>392</v>
      </c>
      <c r="H26" s="711"/>
      <c r="I26" s="37"/>
      <c r="J26" s="38"/>
      <c r="K26" s="44" t="s">
        <v>397</v>
      </c>
      <c r="L26" s="45" t="s">
        <v>398</v>
      </c>
      <c r="M26" s="46">
        <v>1</v>
      </c>
      <c r="N26" s="35"/>
      <c r="P26" s="57"/>
      <c r="S26" s="57"/>
      <c r="T26" s="43"/>
      <c r="U26" s="37"/>
      <c r="V26" s="47">
        <f>ROUND((ROUND((ROUND((_11_A通院１０．５*_11・基礎１),0)*_11・２人),0)*(1+_11・A深夜)),0)+ROUND((ROUND((ROUND((_11_B通院１０．５＿１．５*_11・基礎１),0)*_11・２人),0)*(1+_11・B早朝)),0)</f>
        <v>629</v>
      </c>
      <c r="W26" s="48"/>
    </row>
    <row r="27" spans="1:23" ht="16.5" customHeight="1" x14ac:dyDescent="0.15">
      <c r="A27" s="41">
        <v>11</v>
      </c>
      <c r="B27" s="41" t="s">
        <v>4996</v>
      </c>
      <c r="C27" s="74" t="s">
        <v>4997</v>
      </c>
      <c r="D27" s="72"/>
      <c r="F27" s="121"/>
      <c r="H27" s="53"/>
      <c r="I27" s="49"/>
      <c r="J27" s="50"/>
      <c r="K27" s="44"/>
      <c r="L27" s="45"/>
      <c r="M27" s="46"/>
      <c r="N27" s="35"/>
      <c r="P27" s="57"/>
      <c r="S27" s="57"/>
      <c r="T27" s="707" t="s">
        <v>404</v>
      </c>
      <c r="U27" s="708"/>
      <c r="V27" s="47">
        <f>ROUND((ROUND((_11_A通院１０．５*(1+_11・A深夜)),0)*_11・初任),0)+ROUND((ROUND((_11_B通院１０．５＿１．５*(1+_11・B早朝)),0)*_11・初任),0)</f>
        <v>628</v>
      </c>
      <c r="W27" s="48"/>
    </row>
    <row r="28" spans="1:23" ht="16.5" customHeight="1" x14ac:dyDescent="0.15">
      <c r="A28" s="41">
        <v>11</v>
      </c>
      <c r="B28" s="41" t="s">
        <v>4998</v>
      </c>
      <c r="C28" s="74" t="s">
        <v>4999</v>
      </c>
      <c r="D28" s="72"/>
      <c r="F28" s="121"/>
      <c r="H28" s="43"/>
      <c r="I28" s="37"/>
      <c r="J28" s="38"/>
      <c r="K28" s="44" t="s">
        <v>397</v>
      </c>
      <c r="L28" s="45" t="s">
        <v>398</v>
      </c>
      <c r="M28" s="46">
        <v>1</v>
      </c>
      <c r="N28" s="35"/>
      <c r="P28" s="57"/>
      <c r="S28" s="57"/>
      <c r="T28" s="709"/>
      <c r="U28" s="704"/>
      <c r="V28" s="47">
        <f>ROUND((ROUND((ROUND((_11_A通院１０．５*_11・２人),0)*(1+_11・A深夜)),0)*_11・初任),0)+ROUND((ROUND((ROUND((_11_B通院１０．５＿１．５*_11・２人),0)*(1+_11・B早朝)),0)*_11・初任),0)</f>
        <v>628</v>
      </c>
      <c r="W28" s="48"/>
    </row>
    <row r="29" spans="1:23" ht="16.5" customHeight="1" x14ac:dyDescent="0.15">
      <c r="A29" s="41">
        <v>11</v>
      </c>
      <c r="B29" s="41" t="s">
        <v>5000</v>
      </c>
      <c r="C29" s="74" t="s">
        <v>5001</v>
      </c>
      <c r="D29" s="72"/>
      <c r="F29" s="72"/>
      <c r="H29" s="752" t="s">
        <v>400</v>
      </c>
      <c r="I29" s="49" t="s">
        <v>398</v>
      </c>
      <c r="J29" s="50">
        <v>0.7</v>
      </c>
      <c r="K29" s="44"/>
      <c r="L29" s="45"/>
      <c r="M29" s="46"/>
      <c r="N29" s="35"/>
      <c r="P29" s="57"/>
      <c r="S29" s="57"/>
      <c r="T29" s="709"/>
      <c r="U29" s="704"/>
      <c r="V29" s="47">
        <f>ROUND((ROUND((ROUND((_11_A通院１０．５*_11・基礎１),0)*(1+_11・A深夜)),0)*_11・初任),0)+ROUND((ROUND((ROUND((_11_B通院１０．５＿１．５*_11・基礎１),0)*(1+_11・B早朝)),0)*_11・初任),0)</f>
        <v>440</v>
      </c>
      <c r="W29" s="48"/>
    </row>
    <row r="30" spans="1:23" ht="16.5" customHeight="1" x14ac:dyDescent="0.15">
      <c r="A30" s="41">
        <v>11</v>
      </c>
      <c r="B30" s="41" t="s">
        <v>5002</v>
      </c>
      <c r="C30" s="74" t="s">
        <v>5003</v>
      </c>
      <c r="D30" s="72"/>
      <c r="F30" s="72"/>
      <c r="H30" s="711"/>
      <c r="I30" s="37"/>
      <c r="J30" s="38"/>
      <c r="K30" s="44" t="s">
        <v>397</v>
      </c>
      <c r="L30" s="45" t="s">
        <v>398</v>
      </c>
      <c r="M30" s="46">
        <v>1</v>
      </c>
      <c r="N30" s="35"/>
      <c r="P30" s="57"/>
      <c r="S30" s="57"/>
      <c r="T30" s="55" t="s">
        <v>398</v>
      </c>
      <c r="U30" s="38">
        <f>_11・初任</f>
        <v>0.7</v>
      </c>
      <c r="V30" s="47">
        <f>ROUND((ROUND((ROUND((ROUND((_11_A通院１０．５*_11・基礎１),0)*_11・２人),0)*(1+_11・A深夜)),0)*_11・初任),0)+ROUND((ROUND((ROUND((ROUND((_11_B通院１０．５＿１．５*_11・基礎１),0)*_11・２人),0)*(1+_11・B早朝)),0)*_11・初任),0)</f>
        <v>440</v>
      </c>
      <c r="W30" s="48"/>
    </row>
    <row r="31" spans="1:23" ht="16.5" customHeight="1" x14ac:dyDescent="0.15">
      <c r="A31" s="41">
        <v>11</v>
      </c>
      <c r="B31" s="41">
        <v>3315</v>
      </c>
      <c r="C31" s="74" t="s">
        <v>5004</v>
      </c>
      <c r="D31" s="132"/>
      <c r="E31" s="106"/>
      <c r="F31" s="707" t="s">
        <v>1139</v>
      </c>
      <c r="G31" s="717"/>
      <c r="H31" s="53"/>
      <c r="I31" s="49"/>
      <c r="J31" s="50"/>
      <c r="K31" s="44"/>
      <c r="L31" s="45"/>
      <c r="M31" s="46"/>
      <c r="N31" s="35"/>
      <c r="P31" s="57"/>
      <c r="S31" s="57"/>
      <c r="T31" s="53"/>
      <c r="U31" s="49"/>
      <c r="V31" s="47">
        <f>ROUND((_11_A通院１０．５*(1+_11・A深夜)),0)+ROUND((_11_B通院１０．５＿２．０*(1+_11・B早朝)),0)</f>
        <v>1002</v>
      </c>
      <c r="W31" s="48"/>
    </row>
    <row r="32" spans="1:23" ht="16.5" customHeight="1" x14ac:dyDescent="0.15">
      <c r="A32" s="41">
        <v>11</v>
      </c>
      <c r="B32" s="41">
        <v>3316</v>
      </c>
      <c r="C32" s="74" t="s">
        <v>5005</v>
      </c>
      <c r="D32" s="132"/>
      <c r="E32" s="106"/>
      <c r="F32" s="709"/>
      <c r="G32" s="718"/>
      <c r="H32" s="43"/>
      <c r="I32" s="37"/>
      <c r="J32" s="38"/>
      <c r="K32" s="44" t="s">
        <v>397</v>
      </c>
      <c r="L32" s="45" t="s">
        <v>398</v>
      </c>
      <c r="M32" s="46">
        <v>1</v>
      </c>
      <c r="N32" s="35"/>
      <c r="P32" s="57"/>
      <c r="S32" s="57"/>
      <c r="T32" s="35"/>
      <c r="V32" s="47">
        <f>ROUND((ROUND((_11_A通院１０．５*_11・２人),0)*(1+_11・A深夜)),0)+ROUND((ROUND((_11_B通院１０．５＿２．０*_11・２人),0)*(1+_11・B早朝)),0)</f>
        <v>1002</v>
      </c>
      <c r="W32" s="48"/>
    </row>
    <row r="33" spans="1:23" ht="16.5" customHeight="1" x14ac:dyDescent="0.15">
      <c r="A33" s="41">
        <v>11</v>
      </c>
      <c r="B33" s="41">
        <v>3317</v>
      </c>
      <c r="C33" s="74" t="s">
        <v>5006</v>
      </c>
      <c r="D33" s="132"/>
      <c r="E33" s="106"/>
      <c r="F33" s="709"/>
      <c r="G33" s="718"/>
      <c r="H33" s="752" t="s">
        <v>400</v>
      </c>
      <c r="I33" s="49" t="s">
        <v>398</v>
      </c>
      <c r="J33" s="50">
        <v>0.7</v>
      </c>
      <c r="K33" s="44"/>
      <c r="L33" s="45"/>
      <c r="M33" s="46"/>
      <c r="N33" s="35"/>
      <c r="P33" s="57"/>
      <c r="S33" s="57"/>
      <c r="T33" s="35"/>
      <c r="V33" s="47">
        <f>ROUND((ROUND((_11_A通院１０．５*_11・基礎１),0)*(1+_11・A深夜)),0)+ROUND((ROUND((_11_B通院１０．５＿２．０*_11・基礎１),0)*(1+_11・B早朝)),0)</f>
        <v>703</v>
      </c>
      <c r="W33" s="48"/>
    </row>
    <row r="34" spans="1:23" ht="16.5" customHeight="1" x14ac:dyDescent="0.15">
      <c r="A34" s="41">
        <v>11</v>
      </c>
      <c r="B34" s="41">
        <v>3318</v>
      </c>
      <c r="C34" s="74" t="s">
        <v>5007</v>
      </c>
      <c r="D34" s="125"/>
      <c r="E34" s="57"/>
      <c r="F34" s="125">
        <f>_11_B通院１０．５＿２．０</f>
        <v>495</v>
      </c>
      <c r="G34" s="12" t="s">
        <v>392</v>
      </c>
      <c r="H34" s="711"/>
      <c r="I34" s="37"/>
      <c r="J34" s="38"/>
      <c r="K34" s="44" t="s">
        <v>397</v>
      </c>
      <c r="L34" s="45" t="s">
        <v>398</v>
      </c>
      <c r="M34" s="46">
        <v>1</v>
      </c>
      <c r="N34" s="35"/>
      <c r="P34" s="57"/>
      <c r="S34" s="57"/>
      <c r="T34" s="43"/>
      <c r="U34" s="37"/>
      <c r="V34" s="47">
        <f>ROUND((ROUND((ROUND((_11_A通院１０．５*_11・基礎１),0)*_11・２人),0)*(1+_11・A深夜)),0)+ROUND((ROUND((ROUND((_11_B通院１０．５＿２．０*_11・基礎１),0)*_11・２人),0)*(1+_11・B早朝)),0)</f>
        <v>703</v>
      </c>
      <c r="W34" s="48"/>
    </row>
    <row r="35" spans="1:23" ht="16.5" customHeight="1" x14ac:dyDescent="0.15">
      <c r="A35" s="41">
        <v>11</v>
      </c>
      <c r="B35" s="41" t="s">
        <v>5008</v>
      </c>
      <c r="C35" s="74" t="s">
        <v>5009</v>
      </c>
      <c r="D35" s="72"/>
      <c r="E35" s="57"/>
      <c r="F35" s="121"/>
      <c r="H35" s="53"/>
      <c r="I35" s="49"/>
      <c r="J35" s="50"/>
      <c r="K35" s="44"/>
      <c r="L35" s="45"/>
      <c r="M35" s="46"/>
      <c r="N35" s="35"/>
      <c r="P35" s="57"/>
      <c r="S35" s="57"/>
      <c r="T35" s="707" t="s">
        <v>404</v>
      </c>
      <c r="U35" s="708"/>
      <c r="V35" s="47">
        <f>ROUND((ROUND((_11_A通院１０．５*(1+_11・A深夜)),0)*_11・初任),0)+ROUND((ROUND((_11_B通院１０．５＿２．０*(1+_11・B早朝)),0)*_11・初任),0)</f>
        <v>701</v>
      </c>
      <c r="W35" s="48"/>
    </row>
    <row r="36" spans="1:23" ht="16.5" customHeight="1" x14ac:dyDescent="0.15">
      <c r="A36" s="41">
        <v>11</v>
      </c>
      <c r="B36" s="41" t="s">
        <v>5010</v>
      </c>
      <c r="C36" s="74" t="s">
        <v>5011</v>
      </c>
      <c r="D36" s="72"/>
      <c r="F36" s="121"/>
      <c r="H36" s="43"/>
      <c r="I36" s="37"/>
      <c r="J36" s="38"/>
      <c r="K36" s="44" t="s">
        <v>397</v>
      </c>
      <c r="L36" s="45" t="s">
        <v>398</v>
      </c>
      <c r="M36" s="46">
        <v>1</v>
      </c>
      <c r="N36" s="35"/>
      <c r="P36" s="57"/>
      <c r="S36" s="57"/>
      <c r="T36" s="709"/>
      <c r="U36" s="704"/>
      <c r="V36" s="47">
        <f>ROUND((ROUND((ROUND((_11_A通院１０．５*_11・２人),0)*(1+_11・A深夜)),0)*_11・初任),0)+ROUND((ROUND((ROUND((_11_B通院１０．５＿２．０*_11・２人),0)*(1+_11・B早朝)),0)*_11・初任),0)</f>
        <v>701</v>
      </c>
      <c r="W36" s="48"/>
    </row>
    <row r="37" spans="1:23" ht="16.5" customHeight="1" x14ac:dyDescent="0.15">
      <c r="A37" s="41">
        <v>11</v>
      </c>
      <c r="B37" s="41" t="s">
        <v>5012</v>
      </c>
      <c r="C37" s="74" t="s">
        <v>5013</v>
      </c>
      <c r="D37" s="72"/>
      <c r="F37" s="72"/>
      <c r="H37" s="752" t="s">
        <v>400</v>
      </c>
      <c r="I37" s="49" t="s">
        <v>398</v>
      </c>
      <c r="J37" s="50">
        <v>0.7</v>
      </c>
      <c r="K37" s="44"/>
      <c r="L37" s="45"/>
      <c r="M37" s="46"/>
      <c r="N37" s="35"/>
      <c r="P37" s="57"/>
      <c r="S37" s="57"/>
      <c r="T37" s="709"/>
      <c r="U37" s="704"/>
      <c r="V37" s="47">
        <f>ROUND((ROUND((ROUND((_11_A通院１０．５*_11・基礎１),0)*(1+_11・A深夜)),0)*_11・初任),0)+ROUND((ROUND((ROUND((_11_B通院１０．５＿２．０*_11・基礎１),0)*(1+_11・B早朝)),0)*_11・初任),0)</f>
        <v>492</v>
      </c>
      <c r="W37" s="48"/>
    </row>
    <row r="38" spans="1:23" ht="16.5" customHeight="1" x14ac:dyDescent="0.15">
      <c r="A38" s="41">
        <v>11</v>
      </c>
      <c r="B38" s="41" t="s">
        <v>5014</v>
      </c>
      <c r="C38" s="74" t="s">
        <v>5015</v>
      </c>
      <c r="D38" s="72"/>
      <c r="F38" s="72"/>
      <c r="H38" s="711"/>
      <c r="I38" s="37"/>
      <c r="J38" s="38"/>
      <c r="K38" s="44" t="s">
        <v>397</v>
      </c>
      <c r="L38" s="45" t="s">
        <v>398</v>
      </c>
      <c r="M38" s="46">
        <v>1</v>
      </c>
      <c r="N38" s="35"/>
      <c r="P38" s="57"/>
      <c r="S38" s="57"/>
      <c r="T38" s="55" t="s">
        <v>398</v>
      </c>
      <c r="U38" s="38">
        <f>_11・初任</f>
        <v>0.7</v>
      </c>
      <c r="V38" s="47">
        <f>ROUND((ROUND((ROUND((ROUND((_11_A通院１０．５*_11・基礎１),0)*_11・２人),0)*(1+_11・A深夜)),0)*_11・初任),0)+ROUND((ROUND((ROUND((ROUND((_11_B通院１０．５＿２．０*_11・基礎１),0)*_11・２人),0)*(1+_11・B早朝)),0)*_11・初任),0)</f>
        <v>492</v>
      </c>
      <c r="W38" s="48"/>
    </row>
    <row r="39" spans="1:23" ht="16.5" customHeight="1" x14ac:dyDescent="0.15">
      <c r="A39" s="41">
        <v>11</v>
      </c>
      <c r="B39" s="41">
        <v>3319</v>
      </c>
      <c r="C39" s="74" t="s">
        <v>5016</v>
      </c>
      <c r="D39" s="72"/>
      <c r="F39" s="707" t="s">
        <v>5017</v>
      </c>
      <c r="G39" s="717"/>
      <c r="H39" s="53"/>
      <c r="I39" s="49"/>
      <c r="J39" s="50"/>
      <c r="K39" s="44"/>
      <c r="L39" s="45"/>
      <c r="M39" s="46"/>
      <c r="N39" s="35"/>
      <c r="P39" s="57"/>
      <c r="S39" s="57"/>
      <c r="T39" s="53"/>
      <c r="U39" s="49"/>
      <c r="V39" s="47">
        <f>ROUND((_11_A通院１０．５*(1+_11・A深夜)),0)+ROUND((_11_B通院１０．５＿２．５*(1+_11・B早朝)),0)</f>
        <v>1106</v>
      </c>
      <c r="W39" s="48"/>
    </row>
    <row r="40" spans="1:23" ht="16.5" customHeight="1" x14ac:dyDescent="0.15">
      <c r="A40" s="41">
        <v>11</v>
      </c>
      <c r="B40" s="41">
        <v>3320</v>
      </c>
      <c r="C40" s="74" t="s">
        <v>5018</v>
      </c>
      <c r="D40" s="72"/>
      <c r="F40" s="709"/>
      <c r="G40" s="718"/>
      <c r="H40" s="43"/>
      <c r="I40" s="37"/>
      <c r="J40" s="38"/>
      <c r="K40" s="44" t="s">
        <v>397</v>
      </c>
      <c r="L40" s="45" t="s">
        <v>398</v>
      </c>
      <c r="M40" s="46">
        <v>1</v>
      </c>
      <c r="N40" s="35"/>
      <c r="P40" s="57"/>
      <c r="S40" s="57"/>
      <c r="T40" s="35"/>
      <c r="V40" s="47">
        <f>ROUND((ROUND((_11_A通院１０．５*_11・２人),0)*(1+_11・A深夜)),0)+ROUND((ROUND((_11_B通院１０．５＿２．５*_11・２人),0)*(1+_11・B早朝)),0)</f>
        <v>1106</v>
      </c>
      <c r="W40" s="48"/>
    </row>
    <row r="41" spans="1:23" ht="16.5" customHeight="1" x14ac:dyDescent="0.15">
      <c r="A41" s="41">
        <v>11</v>
      </c>
      <c r="B41" s="41">
        <v>3321</v>
      </c>
      <c r="C41" s="74" t="s">
        <v>5019</v>
      </c>
      <c r="D41" s="72"/>
      <c r="F41" s="709"/>
      <c r="G41" s="718"/>
      <c r="H41" s="752" t="s">
        <v>400</v>
      </c>
      <c r="I41" s="49" t="s">
        <v>398</v>
      </c>
      <c r="J41" s="50">
        <v>0.7</v>
      </c>
      <c r="K41" s="44"/>
      <c r="L41" s="45"/>
      <c r="M41" s="46"/>
      <c r="N41" s="35"/>
      <c r="P41" s="57"/>
      <c r="S41" s="57"/>
      <c r="T41" s="35"/>
      <c r="V41" s="47">
        <f>ROUND((ROUND((_11_A通院１０．５*_11・基礎１),0)*(1+_11・A深夜)),0)+ROUND((ROUND((_11_B通院１０．５＿２．５*_11・基礎１),0)*(1+_11・B早朝)),0)</f>
        <v>775</v>
      </c>
      <c r="W41" s="48"/>
    </row>
    <row r="42" spans="1:23" ht="16.5" customHeight="1" x14ac:dyDescent="0.15">
      <c r="A42" s="41">
        <v>11</v>
      </c>
      <c r="B42" s="41">
        <v>3322</v>
      </c>
      <c r="C42" s="74" t="s">
        <v>5020</v>
      </c>
      <c r="D42" s="72"/>
      <c r="F42" s="125">
        <f>_11_B通院１０．５＿２．５</f>
        <v>578</v>
      </c>
      <c r="G42" s="12" t="s">
        <v>392</v>
      </c>
      <c r="H42" s="711"/>
      <c r="I42" s="37"/>
      <c r="J42" s="38"/>
      <c r="K42" s="44" t="s">
        <v>397</v>
      </c>
      <c r="L42" s="45" t="s">
        <v>398</v>
      </c>
      <c r="M42" s="46">
        <v>1</v>
      </c>
      <c r="N42" s="35"/>
      <c r="P42" s="57"/>
      <c r="S42" s="57"/>
      <c r="T42" s="43"/>
      <c r="U42" s="37"/>
      <c r="V42" s="47">
        <f>ROUND((ROUND((ROUND((_11_A通院１０．５*_11・基礎１),0)*_11・２人),0)*(1+_11・A深夜)),0)+ROUND((ROUND((ROUND((_11_B通院１０．５＿２．５*_11・基礎１),0)*_11・２人),0)*(1+_11・B早朝)),0)</f>
        <v>775</v>
      </c>
      <c r="W42" s="48"/>
    </row>
    <row r="43" spans="1:23" ht="16.5" customHeight="1" x14ac:dyDescent="0.15">
      <c r="A43" s="41">
        <v>11</v>
      </c>
      <c r="B43" s="41" t="s">
        <v>5021</v>
      </c>
      <c r="C43" s="74" t="s">
        <v>5022</v>
      </c>
      <c r="D43" s="72"/>
      <c r="F43" s="121"/>
      <c r="H43" s="53"/>
      <c r="I43" s="49"/>
      <c r="J43" s="50"/>
      <c r="K43" s="44"/>
      <c r="L43" s="45"/>
      <c r="M43" s="46"/>
      <c r="N43" s="35"/>
      <c r="P43" s="57"/>
      <c r="S43" s="57"/>
      <c r="T43" s="707" t="s">
        <v>404</v>
      </c>
      <c r="U43" s="708"/>
      <c r="V43" s="47">
        <f>ROUND((ROUND((_11_A通院１０．５*(1+_11・A深夜)),0)*_11・初任),0)+ROUND((ROUND((_11_B通院１０．５＿２．５*(1+_11・B早朝)),0)*_11・初任),0)</f>
        <v>774</v>
      </c>
      <c r="W43" s="48"/>
    </row>
    <row r="44" spans="1:23" ht="16.5" customHeight="1" x14ac:dyDescent="0.15">
      <c r="A44" s="41">
        <v>11</v>
      </c>
      <c r="B44" s="41" t="s">
        <v>5023</v>
      </c>
      <c r="C44" s="74" t="s">
        <v>5024</v>
      </c>
      <c r="D44" s="72"/>
      <c r="F44" s="121"/>
      <c r="H44" s="43"/>
      <c r="I44" s="37"/>
      <c r="J44" s="38"/>
      <c r="K44" s="44" t="s">
        <v>397</v>
      </c>
      <c r="L44" s="45" t="s">
        <v>398</v>
      </c>
      <c r="M44" s="46">
        <v>1</v>
      </c>
      <c r="N44" s="35"/>
      <c r="P44" s="57"/>
      <c r="S44" s="57"/>
      <c r="T44" s="709"/>
      <c r="U44" s="704"/>
      <c r="V44" s="47">
        <f>ROUND((ROUND((ROUND((_11_A通院１０．５*_11・２人),0)*(1+_11・A深夜)),0)*_11・初任),0)+ROUND((ROUND((ROUND((_11_B通院１０．５＿２．５*_11・２人),0)*(1+_11・B早朝)),0)*_11・初任),0)</f>
        <v>774</v>
      </c>
      <c r="W44" s="48"/>
    </row>
    <row r="45" spans="1:23" ht="16.5" customHeight="1" x14ac:dyDescent="0.15">
      <c r="A45" s="41">
        <v>11</v>
      </c>
      <c r="B45" s="41" t="s">
        <v>5025</v>
      </c>
      <c r="C45" s="74" t="s">
        <v>5026</v>
      </c>
      <c r="D45" s="72"/>
      <c r="F45" s="72"/>
      <c r="H45" s="752" t="s">
        <v>400</v>
      </c>
      <c r="I45" s="49" t="s">
        <v>398</v>
      </c>
      <c r="J45" s="50">
        <v>0.7</v>
      </c>
      <c r="K45" s="44"/>
      <c r="L45" s="45"/>
      <c r="M45" s="46"/>
      <c r="N45" s="35"/>
      <c r="P45" s="57"/>
      <c r="S45" s="57"/>
      <c r="T45" s="709"/>
      <c r="U45" s="704"/>
      <c r="V45" s="47">
        <f>ROUND((ROUND((ROUND((_11_A通院１０．５*_11・基礎１),0)*(1+_11・A深夜)),0)*_11・初任),0)+ROUND((ROUND((ROUND((_11_B通院１０．５＿２．５*_11・基礎１),0)*(1+_11・B早朝)),0)*_11・初任),0)</f>
        <v>542</v>
      </c>
      <c r="W45" s="48"/>
    </row>
    <row r="46" spans="1:23" ht="16.5" customHeight="1" x14ac:dyDescent="0.15">
      <c r="A46" s="41">
        <v>11</v>
      </c>
      <c r="B46" s="41" t="s">
        <v>5027</v>
      </c>
      <c r="C46" s="74" t="s">
        <v>5028</v>
      </c>
      <c r="D46" s="72"/>
      <c r="F46" s="72"/>
      <c r="H46" s="711"/>
      <c r="I46" s="37"/>
      <c r="J46" s="38"/>
      <c r="K46" s="44" t="s">
        <v>397</v>
      </c>
      <c r="L46" s="45" t="s">
        <v>398</v>
      </c>
      <c r="M46" s="46">
        <v>1</v>
      </c>
      <c r="N46" s="35"/>
      <c r="P46" s="57"/>
      <c r="S46" s="57"/>
      <c r="T46" s="55" t="s">
        <v>398</v>
      </c>
      <c r="U46" s="38">
        <f>_11・初任</f>
        <v>0.7</v>
      </c>
      <c r="V46" s="47">
        <f>ROUND((ROUND((ROUND((ROUND((_11_A通院１０．５*_11・基礎１),0)*_11・２人),0)*(1+_11・A深夜)),0)*_11・初任),0)+ROUND((ROUND((ROUND((ROUND((_11_B通院１０．５＿２．５*_11・基礎１),0)*_11・２人),0)*(1+_11・B早朝)),0)*_11・初任),0)</f>
        <v>542</v>
      </c>
      <c r="W46" s="48"/>
    </row>
    <row r="47" spans="1:23" ht="16.5" customHeight="1" x14ac:dyDescent="0.15">
      <c r="A47" s="41">
        <v>11</v>
      </c>
      <c r="B47" s="41">
        <v>3323</v>
      </c>
      <c r="C47" s="74" t="s">
        <v>5029</v>
      </c>
      <c r="D47" s="707" t="s">
        <v>5030</v>
      </c>
      <c r="E47" s="717"/>
      <c r="F47" s="707" t="s">
        <v>3602</v>
      </c>
      <c r="G47" s="717"/>
      <c r="H47" s="53"/>
      <c r="I47" s="49"/>
      <c r="J47" s="50"/>
      <c r="K47" s="44"/>
      <c r="L47" s="45"/>
      <c r="M47" s="46"/>
      <c r="N47" s="35"/>
      <c r="P47" s="57"/>
      <c r="S47" s="57"/>
      <c r="T47" s="53"/>
      <c r="U47" s="49"/>
      <c r="V47" s="47">
        <f>ROUND((_11_A通院１１．０*(1+_11・A深夜)),0)+ROUND((_11_B通院１１．０＿０．５*(1+_11・B早朝)),0)</f>
        <v>831</v>
      </c>
      <c r="W47" s="48"/>
    </row>
    <row r="48" spans="1:23" ht="16.5" customHeight="1" x14ac:dyDescent="0.15">
      <c r="A48" s="41">
        <v>11</v>
      </c>
      <c r="B48" s="41">
        <v>3324</v>
      </c>
      <c r="C48" s="74" t="s">
        <v>5031</v>
      </c>
      <c r="D48" s="709"/>
      <c r="E48" s="718"/>
      <c r="F48" s="709"/>
      <c r="G48" s="718"/>
      <c r="H48" s="43"/>
      <c r="I48" s="37"/>
      <c r="J48" s="38"/>
      <c r="K48" s="44" t="s">
        <v>397</v>
      </c>
      <c r="L48" s="45" t="s">
        <v>398</v>
      </c>
      <c r="M48" s="46">
        <v>1</v>
      </c>
      <c r="N48" s="35"/>
      <c r="P48" s="57"/>
      <c r="S48" s="57"/>
      <c r="T48" s="35"/>
      <c r="V48" s="47">
        <f>ROUND((ROUND((_11_A通院１１．０*_11・２人),0)*(1+_11・A深夜)),0)+ROUND((ROUND((_11_B通院１１．０＿０．５*_11・２人),0)*(1+_11・B早朝)),0)</f>
        <v>831</v>
      </c>
      <c r="W48" s="48"/>
    </row>
    <row r="49" spans="1:23" ht="16.5" customHeight="1" x14ac:dyDescent="0.15">
      <c r="A49" s="41">
        <v>11</v>
      </c>
      <c r="B49" s="41">
        <v>3325</v>
      </c>
      <c r="C49" s="74" t="s">
        <v>5032</v>
      </c>
      <c r="D49" s="709"/>
      <c r="E49" s="718"/>
      <c r="F49" s="709"/>
      <c r="G49" s="718"/>
      <c r="H49" s="752" t="s">
        <v>400</v>
      </c>
      <c r="I49" s="49" t="s">
        <v>398</v>
      </c>
      <c r="J49" s="50">
        <v>0.7</v>
      </c>
      <c r="K49" s="44"/>
      <c r="L49" s="45"/>
      <c r="M49" s="46"/>
      <c r="N49" s="35"/>
      <c r="P49" s="57"/>
      <c r="S49" s="57"/>
      <c r="T49" s="35"/>
      <c r="V49" s="47">
        <f>ROUND((ROUND((_11_A通院１１．０*_11・基礎１),0)*(1+_11・A深夜)),0)+ROUND((ROUND((_11_B通院１１．０＿０．５*_11・基礎１),0)*(1+_11・B早朝)),0)</f>
        <v>581</v>
      </c>
      <c r="W49" s="48"/>
    </row>
    <row r="50" spans="1:23" ht="16.5" customHeight="1" x14ac:dyDescent="0.15">
      <c r="A50" s="41">
        <v>11</v>
      </c>
      <c r="B50" s="41">
        <v>3326</v>
      </c>
      <c r="C50" s="74" t="s">
        <v>5033</v>
      </c>
      <c r="D50" s="125">
        <f>_11_A通院１１．０</f>
        <v>402</v>
      </c>
      <c r="E50" s="12" t="s">
        <v>392</v>
      </c>
      <c r="F50" s="125">
        <f>_11_B通院１１．０＿０．５</f>
        <v>182</v>
      </c>
      <c r="G50" s="12" t="s">
        <v>392</v>
      </c>
      <c r="H50" s="711"/>
      <c r="I50" s="37"/>
      <c r="J50" s="38"/>
      <c r="K50" s="44" t="s">
        <v>397</v>
      </c>
      <c r="L50" s="45" t="s">
        <v>398</v>
      </c>
      <c r="M50" s="46">
        <v>1</v>
      </c>
      <c r="N50" s="35"/>
      <c r="P50" s="57"/>
      <c r="S50" s="57"/>
      <c r="T50" s="43"/>
      <c r="U50" s="37"/>
      <c r="V50" s="47">
        <f>ROUND((ROUND((ROUND((_11_A通院１１．０*_11・基礎１),0)*_11・２人),0)*(1+_11・A深夜)),0)+ROUND((ROUND((ROUND((_11_B通院１１．０＿０．５*_11・基礎１),0)*_11・２人),0)*(1+_11・B早朝)),0)</f>
        <v>581</v>
      </c>
      <c r="W50" s="48"/>
    </row>
    <row r="51" spans="1:23" ht="16.5" customHeight="1" x14ac:dyDescent="0.15">
      <c r="A51" s="41">
        <v>11</v>
      </c>
      <c r="B51" s="41" t="s">
        <v>5034</v>
      </c>
      <c r="C51" s="74" t="s">
        <v>5035</v>
      </c>
      <c r="D51" s="121"/>
      <c r="F51" s="121"/>
      <c r="H51" s="53"/>
      <c r="I51" s="49"/>
      <c r="J51" s="50"/>
      <c r="K51" s="44"/>
      <c r="L51" s="45"/>
      <c r="M51" s="46"/>
      <c r="N51" s="35"/>
      <c r="P51" s="57"/>
      <c r="S51" s="57"/>
      <c r="T51" s="707" t="s">
        <v>404</v>
      </c>
      <c r="U51" s="708"/>
      <c r="V51" s="47">
        <f>ROUND((ROUND((_11_A通院１１．０*(1+_11・A深夜)),0)*_11・初任),0)+ROUND((ROUND((_11_B通院１１．０＿０．５*(1+_11・B早朝)),0)*_11・初任),0)</f>
        <v>582</v>
      </c>
      <c r="W51" s="48"/>
    </row>
    <row r="52" spans="1:23" ht="16.5" customHeight="1" x14ac:dyDescent="0.15">
      <c r="A52" s="41">
        <v>11</v>
      </c>
      <c r="B52" s="41" t="s">
        <v>5036</v>
      </c>
      <c r="C52" s="74" t="s">
        <v>5037</v>
      </c>
      <c r="D52" s="121"/>
      <c r="F52" s="121"/>
      <c r="H52" s="43"/>
      <c r="I52" s="37"/>
      <c r="J52" s="38"/>
      <c r="K52" s="44" t="s">
        <v>397</v>
      </c>
      <c r="L52" s="45" t="s">
        <v>398</v>
      </c>
      <c r="M52" s="46">
        <v>1</v>
      </c>
      <c r="N52" s="35"/>
      <c r="P52" s="57"/>
      <c r="S52" s="57"/>
      <c r="T52" s="709"/>
      <c r="U52" s="704"/>
      <c r="V52" s="47">
        <f>ROUND((ROUND((ROUND((_11_A通院１１．０*_11・２人),0)*(1+_11・A深夜)),0)*_11・初任),0)+ROUND((ROUND((ROUND((_11_B通院１１．０＿０．５*_11・２人),0)*(1+_11・B早朝)),0)*_11・初任),0)</f>
        <v>582</v>
      </c>
      <c r="W52" s="48"/>
    </row>
    <row r="53" spans="1:23" ht="16.5" customHeight="1" x14ac:dyDescent="0.15">
      <c r="A53" s="41">
        <v>11</v>
      </c>
      <c r="B53" s="41" t="s">
        <v>5038</v>
      </c>
      <c r="C53" s="74" t="s">
        <v>5039</v>
      </c>
      <c r="D53" s="72"/>
      <c r="F53" s="72"/>
      <c r="H53" s="752" t="s">
        <v>400</v>
      </c>
      <c r="I53" s="49" t="s">
        <v>398</v>
      </c>
      <c r="J53" s="50">
        <v>0.7</v>
      </c>
      <c r="K53" s="44"/>
      <c r="L53" s="45"/>
      <c r="M53" s="46"/>
      <c r="N53" s="35"/>
      <c r="P53" s="57"/>
      <c r="S53" s="57"/>
      <c r="T53" s="709"/>
      <c r="U53" s="704"/>
      <c r="V53" s="47">
        <f>ROUND((ROUND((ROUND((_11_A通院１１．０*_11・基礎１),0)*(1+_11・A深夜)),0)*_11・初任),0)+ROUND((ROUND((ROUND((_11_B通院１１．０＿０．５*_11・基礎１),0)*(1+_11・B早朝)),0)*_11・初任),0)</f>
        <v>406</v>
      </c>
      <c r="W53" s="48"/>
    </row>
    <row r="54" spans="1:23" ht="16.5" customHeight="1" x14ac:dyDescent="0.15">
      <c r="A54" s="41">
        <v>11</v>
      </c>
      <c r="B54" s="41" t="s">
        <v>5040</v>
      </c>
      <c r="C54" s="74" t="s">
        <v>5041</v>
      </c>
      <c r="D54" s="72"/>
      <c r="F54" s="72"/>
      <c r="H54" s="711"/>
      <c r="I54" s="37"/>
      <c r="J54" s="38"/>
      <c r="K54" s="44" t="s">
        <v>397</v>
      </c>
      <c r="L54" s="45" t="s">
        <v>398</v>
      </c>
      <c r="M54" s="46">
        <v>1</v>
      </c>
      <c r="N54" s="35"/>
      <c r="P54" s="57"/>
      <c r="S54" s="57"/>
      <c r="T54" s="55" t="s">
        <v>398</v>
      </c>
      <c r="U54" s="38">
        <f>_11・初任</f>
        <v>0.7</v>
      </c>
      <c r="V54" s="47">
        <f>ROUND((ROUND((ROUND((ROUND((_11_A通院１１．０*_11・基礎１),0)*_11・２人),0)*(1+_11・A深夜)),0)*_11・初任),0)+ROUND((ROUND((ROUND((ROUND((_11_B通院１１．０＿０．５*_11・基礎１),0)*_11・２人),0)*(1+_11・B早朝)),0)*_11・初任),0)</f>
        <v>406</v>
      </c>
      <c r="W54" s="48"/>
    </row>
    <row r="55" spans="1:23" ht="16.5" customHeight="1" x14ac:dyDescent="0.15">
      <c r="A55" s="41">
        <v>11</v>
      </c>
      <c r="B55" s="41">
        <v>3327</v>
      </c>
      <c r="C55" s="74" t="s">
        <v>5042</v>
      </c>
      <c r="D55" s="72"/>
      <c r="F55" s="707" t="s">
        <v>3581</v>
      </c>
      <c r="G55" s="717"/>
      <c r="H55" s="53"/>
      <c r="I55" s="49"/>
      <c r="J55" s="50"/>
      <c r="K55" s="44"/>
      <c r="L55" s="45"/>
      <c r="M55" s="46"/>
      <c r="N55" s="35"/>
      <c r="P55" s="57"/>
      <c r="S55" s="57"/>
      <c r="T55" s="53"/>
      <c r="U55" s="49"/>
      <c r="V55" s="47">
        <f>ROUND((_11_A通院１１．０*(1+_11・A深夜)),0)+ROUND((_11_B通院１１．０＿１．０*(1+_11・B早朝)),0)</f>
        <v>933</v>
      </c>
      <c r="W55" s="48"/>
    </row>
    <row r="56" spans="1:23" ht="16.5" customHeight="1" x14ac:dyDescent="0.15">
      <c r="A56" s="41">
        <v>11</v>
      </c>
      <c r="B56" s="41">
        <v>3328</v>
      </c>
      <c r="C56" s="74" t="s">
        <v>5043</v>
      </c>
      <c r="D56" s="72"/>
      <c r="F56" s="709"/>
      <c r="G56" s="718"/>
      <c r="H56" s="43"/>
      <c r="I56" s="37"/>
      <c r="J56" s="38"/>
      <c r="K56" s="44" t="s">
        <v>397</v>
      </c>
      <c r="L56" s="45" t="s">
        <v>398</v>
      </c>
      <c r="M56" s="46">
        <v>1</v>
      </c>
      <c r="N56" s="35"/>
      <c r="P56" s="57"/>
      <c r="S56" s="57"/>
      <c r="T56" s="35"/>
      <c r="V56" s="47">
        <f>ROUND((ROUND((_11_A通院１１．０*_11・２人),0)*(1+_11・A深夜)),0)+ROUND((ROUND((_11_B通院１１．０＿１．０*_11・２人),0)*(1+_11・B早朝)),0)</f>
        <v>933</v>
      </c>
      <c r="W56" s="48"/>
    </row>
    <row r="57" spans="1:23" ht="16.5" customHeight="1" x14ac:dyDescent="0.15">
      <c r="A57" s="41">
        <v>11</v>
      </c>
      <c r="B57" s="41">
        <v>3329</v>
      </c>
      <c r="C57" s="74" t="s">
        <v>5044</v>
      </c>
      <c r="D57" s="72"/>
      <c r="F57" s="709"/>
      <c r="G57" s="718"/>
      <c r="H57" s="752" t="s">
        <v>400</v>
      </c>
      <c r="I57" s="49" t="s">
        <v>398</v>
      </c>
      <c r="J57" s="50">
        <v>0.7</v>
      </c>
      <c r="K57" s="44"/>
      <c r="L57" s="45"/>
      <c r="M57" s="46"/>
      <c r="N57" s="35"/>
      <c r="P57" s="57"/>
      <c r="S57" s="57"/>
      <c r="T57" s="35"/>
      <c r="V57" s="47">
        <f>ROUND((ROUND((_11_A通院１１．０*_11・基礎１),0)*(1+_11・A深夜)),0)+ROUND((ROUND((_11_B通院１１．０＿１．０*_11・基礎１),0)*(1+_11・B早朝)),0)</f>
        <v>653</v>
      </c>
      <c r="W57" s="48"/>
    </row>
    <row r="58" spans="1:23" ht="16.5" customHeight="1" x14ac:dyDescent="0.15">
      <c r="A58" s="41">
        <v>11</v>
      </c>
      <c r="B58" s="41">
        <v>3330</v>
      </c>
      <c r="C58" s="74" t="s">
        <v>5045</v>
      </c>
      <c r="D58" s="72"/>
      <c r="F58" s="125">
        <f>_11_B通院１１．０＿１．０</f>
        <v>264</v>
      </c>
      <c r="G58" s="12" t="s">
        <v>392</v>
      </c>
      <c r="H58" s="711"/>
      <c r="I58" s="37"/>
      <c r="J58" s="38"/>
      <c r="K58" s="44" t="s">
        <v>397</v>
      </c>
      <c r="L58" s="45" t="s">
        <v>398</v>
      </c>
      <c r="M58" s="46">
        <v>1</v>
      </c>
      <c r="N58" s="35"/>
      <c r="P58" s="57"/>
      <c r="S58" s="57"/>
      <c r="T58" s="43"/>
      <c r="U58" s="37"/>
      <c r="V58" s="47">
        <f>ROUND((ROUND((ROUND((_11_A通院１１．０*_11・基礎１),0)*_11・２人),0)*(1+_11・A深夜)),0)+ROUND((ROUND((ROUND((_11_B通院１１．０＿１．０*_11・基礎１),0)*_11・２人),0)*(1+_11・B早朝)),0)</f>
        <v>653</v>
      </c>
      <c r="W58" s="48"/>
    </row>
    <row r="59" spans="1:23" ht="16.5" customHeight="1" x14ac:dyDescent="0.15">
      <c r="A59" s="41">
        <v>11</v>
      </c>
      <c r="B59" s="41" t="s">
        <v>5046</v>
      </c>
      <c r="C59" s="74" t="s">
        <v>5047</v>
      </c>
      <c r="D59" s="72"/>
      <c r="F59" s="121"/>
      <c r="H59" s="53"/>
      <c r="I59" s="49"/>
      <c r="J59" s="50"/>
      <c r="K59" s="44"/>
      <c r="L59" s="45"/>
      <c r="M59" s="46"/>
      <c r="N59" s="35"/>
      <c r="P59" s="57"/>
      <c r="S59" s="57"/>
      <c r="T59" s="707" t="s">
        <v>404</v>
      </c>
      <c r="U59" s="708"/>
      <c r="V59" s="47">
        <f>ROUND((ROUND((_11_A通院１１．０*(1+_11・A深夜)),0)*_11・初任),0)+ROUND((ROUND((_11_B通院１１．０＿１．０*(1+_11・B早朝)),0)*_11・初任),0)</f>
        <v>653</v>
      </c>
      <c r="W59" s="48"/>
    </row>
    <row r="60" spans="1:23" ht="16.5" customHeight="1" x14ac:dyDescent="0.15">
      <c r="A60" s="41">
        <v>11</v>
      </c>
      <c r="B60" s="41" t="s">
        <v>5048</v>
      </c>
      <c r="C60" s="74" t="s">
        <v>5049</v>
      </c>
      <c r="D60" s="72"/>
      <c r="F60" s="121"/>
      <c r="H60" s="43"/>
      <c r="I60" s="37"/>
      <c r="J60" s="38"/>
      <c r="K60" s="44" t="s">
        <v>397</v>
      </c>
      <c r="L60" s="45" t="s">
        <v>398</v>
      </c>
      <c r="M60" s="46">
        <v>1</v>
      </c>
      <c r="N60" s="35"/>
      <c r="P60" s="57"/>
      <c r="S60" s="57"/>
      <c r="T60" s="709"/>
      <c r="U60" s="704"/>
      <c r="V60" s="47">
        <f>ROUND((ROUND((ROUND((_11_A通院１１．０*_11・２人),0)*(1+_11・A深夜)),0)*_11・初任),0)+ROUND((ROUND((ROUND((_11_B通院１１．０＿１．０*_11・２人),0)*(1+_11・B早朝)),0)*_11・初任),0)</f>
        <v>653</v>
      </c>
      <c r="W60" s="48"/>
    </row>
    <row r="61" spans="1:23" ht="16.5" customHeight="1" x14ac:dyDescent="0.15">
      <c r="A61" s="41">
        <v>11</v>
      </c>
      <c r="B61" s="41" t="s">
        <v>5050</v>
      </c>
      <c r="C61" s="74" t="s">
        <v>5051</v>
      </c>
      <c r="D61" s="72"/>
      <c r="F61" s="72"/>
      <c r="H61" s="752" t="s">
        <v>400</v>
      </c>
      <c r="I61" s="49" t="s">
        <v>398</v>
      </c>
      <c r="J61" s="50">
        <v>0.7</v>
      </c>
      <c r="K61" s="44"/>
      <c r="L61" s="45"/>
      <c r="M61" s="46"/>
      <c r="N61" s="35"/>
      <c r="P61" s="57"/>
      <c r="S61" s="57"/>
      <c r="T61" s="709"/>
      <c r="U61" s="704"/>
      <c r="V61" s="47">
        <f>ROUND((ROUND((ROUND((_11_A通院１１．０*_11・基礎１),0)*(1+_11・A深夜)),0)*_11・初任),0)+ROUND((ROUND((ROUND((_11_B通院１１．０＿１．０*_11・基礎１),0)*(1+_11・B早朝)),0)*_11・初任),0)</f>
        <v>457</v>
      </c>
      <c r="W61" s="48"/>
    </row>
    <row r="62" spans="1:23" ht="16.5" customHeight="1" x14ac:dyDescent="0.15">
      <c r="A62" s="41">
        <v>11</v>
      </c>
      <c r="B62" s="41" t="s">
        <v>5052</v>
      </c>
      <c r="C62" s="74" t="s">
        <v>5053</v>
      </c>
      <c r="D62" s="72"/>
      <c r="F62" s="72"/>
      <c r="H62" s="711"/>
      <c r="I62" s="37"/>
      <c r="J62" s="38"/>
      <c r="K62" s="44" t="s">
        <v>397</v>
      </c>
      <c r="L62" s="45" t="s">
        <v>398</v>
      </c>
      <c r="M62" s="46">
        <v>1</v>
      </c>
      <c r="N62" s="35"/>
      <c r="P62" s="57"/>
      <c r="S62" s="57"/>
      <c r="T62" s="55" t="s">
        <v>398</v>
      </c>
      <c r="U62" s="38">
        <f>_11・初任</f>
        <v>0.7</v>
      </c>
      <c r="V62" s="47">
        <f>ROUND((ROUND((ROUND((ROUND((_11_A通院１１．０*_11・基礎１),0)*_11・２人),0)*(1+_11・A深夜)),0)*_11・初任),0)+ROUND((ROUND((ROUND((ROUND((_11_B通院１１．０＿１．０*_11・基礎１),0)*_11・２人),0)*(1+_11・B早朝)),0)*_11・初任),0)</f>
        <v>457</v>
      </c>
      <c r="W62" s="48"/>
    </row>
    <row r="63" spans="1:23" ht="16.5" customHeight="1" x14ac:dyDescent="0.15">
      <c r="A63" s="41">
        <v>11</v>
      </c>
      <c r="B63" s="41">
        <v>3331</v>
      </c>
      <c r="C63" s="74" t="s">
        <v>5054</v>
      </c>
      <c r="D63" s="132"/>
      <c r="E63" s="106"/>
      <c r="F63" s="707" t="s">
        <v>3588</v>
      </c>
      <c r="G63" s="717"/>
      <c r="H63" s="53"/>
      <c r="I63" s="49"/>
      <c r="J63" s="50"/>
      <c r="K63" s="44"/>
      <c r="L63" s="45"/>
      <c r="M63" s="46"/>
      <c r="N63" s="35"/>
      <c r="P63" s="57"/>
      <c r="S63" s="57"/>
      <c r="T63" s="53"/>
      <c r="U63" s="49"/>
      <c r="V63" s="47">
        <f>ROUND((_11_A通院１１．０*(1+_11・A深夜)),0)+ROUND((_11_B通院１１．０＿１．５*(1+_11・B早朝)),0)</f>
        <v>1038</v>
      </c>
      <c r="W63" s="48"/>
    </row>
    <row r="64" spans="1:23" ht="16.5" customHeight="1" x14ac:dyDescent="0.15">
      <c r="A64" s="41">
        <v>11</v>
      </c>
      <c r="B64" s="41">
        <v>3332</v>
      </c>
      <c r="C64" s="74" t="s">
        <v>5055</v>
      </c>
      <c r="D64" s="132"/>
      <c r="E64" s="106"/>
      <c r="F64" s="709"/>
      <c r="G64" s="718"/>
      <c r="H64" s="43"/>
      <c r="I64" s="37"/>
      <c r="J64" s="38"/>
      <c r="K64" s="44" t="s">
        <v>397</v>
      </c>
      <c r="L64" s="45" t="s">
        <v>398</v>
      </c>
      <c r="M64" s="46">
        <v>1</v>
      </c>
      <c r="N64" s="35"/>
      <c r="P64" s="57"/>
      <c r="S64" s="57"/>
      <c r="T64" s="35"/>
      <c r="V64" s="47">
        <f>ROUND((ROUND((_11_A通院１１．０*_11・２人),0)*(1+_11・A深夜)),0)+ROUND((ROUND((_11_B通院１１．０＿１．５*_11・２人),0)*(1+_11・B早朝)),0)</f>
        <v>1038</v>
      </c>
      <c r="W64" s="48"/>
    </row>
    <row r="65" spans="1:23" ht="16.5" customHeight="1" x14ac:dyDescent="0.15">
      <c r="A65" s="41">
        <v>11</v>
      </c>
      <c r="B65" s="41">
        <v>3333</v>
      </c>
      <c r="C65" s="74" t="s">
        <v>5056</v>
      </c>
      <c r="D65" s="132"/>
      <c r="E65" s="106"/>
      <c r="F65" s="709"/>
      <c r="G65" s="718"/>
      <c r="H65" s="752" t="s">
        <v>400</v>
      </c>
      <c r="I65" s="49" t="s">
        <v>398</v>
      </c>
      <c r="J65" s="50">
        <v>0.7</v>
      </c>
      <c r="K65" s="44"/>
      <c r="L65" s="45"/>
      <c r="M65" s="46"/>
      <c r="N65" s="35"/>
      <c r="P65" s="57"/>
      <c r="S65" s="57"/>
      <c r="T65" s="35"/>
      <c r="V65" s="47">
        <f>ROUND((ROUND((_11_A通院１１．０*_11・基礎１),0)*(1+_11・A深夜)),0)+ROUND((ROUND((_11_B通院１１．０＿１．５*_11・基礎１),0)*(1+_11・B早朝)),0)</f>
        <v>727</v>
      </c>
      <c r="W65" s="48"/>
    </row>
    <row r="66" spans="1:23" ht="16.5" customHeight="1" x14ac:dyDescent="0.15">
      <c r="A66" s="41">
        <v>11</v>
      </c>
      <c r="B66" s="41">
        <v>3334</v>
      </c>
      <c r="C66" s="74" t="s">
        <v>5057</v>
      </c>
      <c r="D66" s="125"/>
      <c r="E66" s="57"/>
      <c r="F66" s="125">
        <f>_11_B通院１１．０＿１．５</f>
        <v>348</v>
      </c>
      <c r="G66" s="12" t="s">
        <v>392</v>
      </c>
      <c r="H66" s="711"/>
      <c r="I66" s="37"/>
      <c r="J66" s="38"/>
      <c r="K66" s="44" t="s">
        <v>397</v>
      </c>
      <c r="L66" s="45" t="s">
        <v>398</v>
      </c>
      <c r="M66" s="46">
        <v>1</v>
      </c>
      <c r="N66" s="35"/>
      <c r="P66" s="57"/>
      <c r="S66" s="57"/>
      <c r="T66" s="43"/>
      <c r="U66" s="37"/>
      <c r="V66" s="47">
        <f>ROUND((ROUND((ROUND((_11_A通院１１．０*_11・基礎１),0)*_11・２人),0)*(1+_11・A深夜)),0)+ROUND((ROUND((ROUND((_11_B通院１１．０＿１．５*_11・基礎１),0)*_11・２人),0)*(1+_11・B早朝)),0)</f>
        <v>727</v>
      </c>
      <c r="W66" s="48"/>
    </row>
    <row r="67" spans="1:23" ht="16.5" customHeight="1" x14ac:dyDescent="0.15">
      <c r="A67" s="41">
        <v>11</v>
      </c>
      <c r="B67" s="41" t="s">
        <v>5058</v>
      </c>
      <c r="C67" s="74" t="s">
        <v>5059</v>
      </c>
      <c r="D67" s="72"/>
      <c r="E67" s="57"/>
      <c r="F67" s="121"/>
      <c r="H67" s="53"/>
      <c r="I67" s="49"/>
      <c r="J67" s="50"/>
      <c r="K67" s="44"/>
      <c r="L67" s="45"/>
      <c r="M67" s="46"/>
      <c r="N67" s="35"/>
      <c r="P67" s="57"/>
      <c r="S67" s="57"/>
      <c r="T67" s="707" t="s">
        <v>404</v>
      </c>
      <c r="U67" s="708"/>
      <c r="V67" s="47">
        <f>ROUND((ROUND((_11_A通院１１．０*(1+_11・A深夜)),0)*_11・初任),0)+ROUND((ROUND((_11_B通院１１．０＿１．５*(1+_11・B早朝)),0)*_11・初任),0)</f>
        <v>727</v>
      </c>
      <c r="W67" s="48"/>
    </row>
    <row r="68" spans="1:23" ht="16.5" customHeight="1" x14ac:dyDescent="0.15">
      <c r="A68" s="41">
        <v>11</v>
      </c>
      <c r="B68" s="41" t="s">
        <v>5060</v>
      </c>
      <c r="C68" s="74" t="s">
        <v>5061</v>
      </c>
      <c r="D68" s="72"/>
      <c r="F68" s="121"/>
      <c r="H68" s="43"/>
      <c r="I68" s="37"/>
      <c r="J68" s="38"/>
      <c r="K68" s="44" t="s">
        <v>397</v>
      </c>
      <c r="L68" s="45" t="s">
        <v>398</v>
      </c>
      <c r="M68" s="46">
        <v>1</v>
      </c>
      <c r="N68" s="35"/>
      <c r="P68" s="57"/>
      <c r="S68" s="57"/>
      <c r="T68" s="709"/>
      <c r="U68" s="704"/>
      <c r="V68" s="47">
        <f>ROUND((ROUND((ROUND((_11_A通院１１．０*_11・２人),0)*(1+_11・A深夜)),0)*_11・初任),0)+ROUND((ROUND((ROUND((_11_B通院１１．０＿１．５*_11・２人),0)*(1+_11・B早朝)),0)*_11・初任),0)</f>
        <v>727</v>
      </c>
      <c r="W68" s="48"/>
    </row>
    <row r="69" spans="1:23" ht="16.5" customHeight="1" x14ac:dyDescent="0.15">
      <c r="A69" s="41">
        <v>11</v>
      </c>
      <c r="B69" s="41" t="s">
        <v>5062</v>
      </c>
      <c r="C69" s="74" t="s">
        <v>5063</v>
      </c>
      <c r="D69" s="72"/>
      <c r="F69" s="72"/>
      <c r="H69" s="752" t="s">
        <v>400</v>
      </c>
      <c r="I69" s="49" t="s">
        <v>398</v>
      </c>
      <c r="J69" s="50">
        <v>0.7</v>
      </c>
      <c r="K69" s="44"/>
      <c r="L69" s="45"/>
      <c r="M69" s="46"/>
      <c r="N69" s="35"/>
      <c r="P69" s="57"/>
      <c r="S69" s="57"/>
      <c r="T69" s="709"/>
      <c r="U69" s="704"/>
      <c r="V69" s="47">
        <f>ROUND((ROUND((ROUND((_11_A通院１１．０*_11・基礎１),0)*(1+_11・A深夜)),0)*_11・初任),0)+ROUND((ROUND((ROUND((_11_B通院１１．０＿１．５*_11・基礎１),0)*(1+_11・B早朝)),0)*_11・初任),0)</f>
        <v>509</v>
      </c>
      <c r="W69" s="48"/>
    </row>
    <row r="70" spans="1:23" ht="16.5" customHeight="1" x14ac:dyDescent="0.15">
      <c r="A70" s="41">
        <v>11</v>
      </c>
      <c r="B70" s="41" t="s">
        <v>5064</v>
      </c>
      <c r="C70" s="74" t="s">
        <v>5065</v>
      </c>
      <c r="D70" s="72"/>
      <c r="F70" s="72"/>
      <c r="H70" s="711"/>
      <c r="I70" s="37"/>
      <c r="J70" s="38"/>
      <c r="K70" s="44" t="s">
        <v>397</v>
      </c>
      <c r="L70" s="45" t="s">
        <v>398</v>
      </c>
      <c r="M70" s="46">
        <v>1</v>
      </c>
      <c r="N70" s="35"/>
      <c r="P70" s="57"/>
      <c r="S70" s="57"/>
      <c r="T70" s="55" t="s">
        <v>398</v>
      </c>
      <c r="U70" s="38">
        <f>_11・初任</f>
        <v>0.7</v>
      </c>
      <c r="V70" s="47">
        <f>ROUND((ROUND((ROUND((ROUND((_11_A通院１１．０*_11・基礎１),0)*_11・２人),0)*(1+_11・A深夜)),0)*_11・初任),0)+ROUND((ROUND((ROUND((ROUND((_11_B通院１１．０＿１．５*_11・基礎１),0)*_11・２人),0)*(1+_11・B早朝)),0)*_11・初任),0)</f>
        <v>509</v>
      </c>
      <c r="W70" s="48"/>
    </row>
    <row r="71" spans="1:23" ht="16.5" customHeight="1" x14ac:dyDescent="0.15">
      <c r="A71" s="41">
        <v>11</v>
      </c>
      <c r="B71" s="41">
        <v>3335</v>
      </c>
      <c r="C71" s="74" t="s">
        <v>5066</v>
      </c>
      <c r="D71" s="72"/>
      <c r="F71" s="707" t="s">
        <v>1139</v>
      </c>
      <c r="G71" s="717"/>
      <c r="H71" s="53"/>
      <c r="I71" s="49"/>
      <c r="J71" s="50"/>
      <c r="K71" s="44"/>
      <c r="L71" s="45"/>
      <c r="M71" s="46"/>
      <c r="N71" s="35"/>
      <c r="P71" s="57"/>
      <c r="S71" s="57"/>
      <c r="T71" s="53"/>
      <c r="U71" s="49"/>
      <c r="V71" s="47">
        <f>ROUND((_11_A通院１１．０*(1+_11・A深夜)),0)+ROUND((_11_B通院１１．０＿２．０*(1+_11・B早朝)),0)</f>
        <v>1142</v>
      </c>
      <c r="W71" s="48"/>
    </row>
    <row r="72" spans="1:23" ht="16.5" customHeight="1" x14ac:dyDescent="0.15">
      <c r="A72" s="41">
        <v>11</v>
      </c>
      <c r="B72" s="41">
        <v>3336</v>
      </c>
      <c r="C72" s="74" t="s">
        <v>5067</v>
      </c>
      <c r="D72" s="72"/>
      <c r="F72" s="709"/>
      <c r="G72" s="718"/>
      <c r="H72" s="43"/>
      <c r="I72" s="37"/>
      <c r="J72" s="38"/>
      <c r="K72" s="44" t="s">
        <v>397</v>
      </c>
      <c r="L72" s="45" t="s">
        <v>398</v>
      </c>
      <c r="M72" s="46">
        <v>1</v>
      </c>
      <c r="N72" s="35"/>
      <c r="P72" s="57"/>
      <c r="S72" s="57"/>
      <c r="T72" s="35"/>
      <c r="V72" s="47">
        <f>ROUND((ROUND((_11_A通院１１．０*_11・２人),0)*(1+_11・A深夜)),0)+ROUND((ROUND((_11_B通院１１．０＿２．０*_11・２人),0)*(1+_11・B早朝)),0)</f>
        <v>1142</v>
      </c>
      <c r="W72" s="48"/>
    </row>
    <row r="73" spans="1:23" ht="16.5" customHeight="1" x14ac:dyDescent="0.15">
      <c r="A73" s="41">
        <v>11</v>
      </c>
      <c r="B73" s="41">
        <v>3337</v>
      </c>
      <c r="C73" s="74" t="s">
        <v>5068</v>
      </c>
      <c r="D73" s="72"/>
      <c r="F73" s="709"/>
      <c r="G73" s="718"/>
      <c r="H73" s="752" t="s">
        <v>400</v>
      </c>
      <c r="I73" s="49" t="s">
        <v>398</v>
      </c>
      <c r="J73" s="50">
        <v>0.7</v>
      </c>
      <c r="K73" s="44"/>
      <c r="L73" s="45"/>
      <c r="M73" s="46"/>
      <c r="N73" s="35"/>
      <c r="P73" s="57"/>
      <c r="S73" s="57"/>
      <c r="T73" s="35"/>
      <c r="V73" s="47">
        <f>ROUND((ROUND((_11_A通院１１．０*_11・基礎１),0)*(1+_11・A深夜)),0)+ROUND((ROUND((_11_B通院１１．０＿２．０*_11・基礎１),0)*(1+_11・B早朝)),0)</f>
        <v>800</v>
      </c>
      <c r="W73" s="48"/>
    </row>
    <row r="74" spans="1:23" ht="16.5" customHeight="1" x14ac:dyDescent="0.15">
      <c r="A74" s="41">
        <v>11</v>
      </c>
      <c r="B74" s="41">
        <v>3338</v>
      </c>
      <c r="C74" s="74" t="s">
        <v>5069</v>
      </c>
      <c r="D74" s="72"/>
      <c r="F74" s="125">
        <f>_11_B通院１１．０＿２．０</f>
        <v>431</v>
      </c>
      <c r="G74" s="12" t="s">
        <v>392</v>
      </c>
      <c r="H74" s="711"/>
      <c r="I74" s="37"/>
      <c r="J74" s="38"/>
      <c r="K74" s="44" t="s">
        <v>397</v>
      </c>
      <c r="L74" s="45" t="s">
        <v>398</v>
      </c>
      <c r="M74" s="46">
        <v>1</v>
      </c>
      <c r="N74" s="35"/>
      <c r="P74" s="57"/>
      <c r="S74" s="57"/>
      <c r="T74" s="43"/>
      <c r="U74" s="37"/>
      <c r="V74" s="47">
        <f>ROUND((ROUND((ROUND((_11_A通院１１．０*_11・基礎１),0)*_11・２人),0)*(1+_11・A深夜)),0)+ROUND((ROUND((ROUND((_11_B通院１１．０＿２．０*_11・基礎１),0)*_11・２人),0)*(1+_11・B早朝)),0)</f>
        <v>800</v>
      </c>
      <c r="W74" s="48"/>
    </row>
    <row r="75" spans="1:23" ht="16.5" customHeight="1" x14ac:dyDescent="0.15">
      <c r="A75" s="41">
        <v>11</v>
      </c>
      <c r="B75" s="41" t="s">
        <v>5070</v>
      </c>
      <c r="C75" s="74" t="s">
        <v>5071</v>
      </c>
      <c r="D75" s="72"/>
      <c r="F75" s="121"/>
      <c r="H75" s="53"/>
      <c r="I75" s="49"/>
      <c r="J75" s="50"/>
      <c r="K75" s="44"/>
      <c r="L75" s="45"/>
      <c r="M75" s="46"/>
      <c r="N75" s="35"/>
      <c r="P75" s="57"/>
      <c r="S75" s="57"/>
      <c r="T75" s="707" t="s">
        <v>404</v>
      </c>
      <c r="U75" s="708"/>
      <c r="V75" s="47">
        <f>ROUND((ROUND((_11_A通院１１．０*(1+_11・A深夜)),0)*_11・初任),0)+ROUND((ROUND((_11_B通院１１．０＿２．０*(1+_11・B早朝)),0)*_11・初任),0)</f>
        <v>799</v>
      </c>
      <c r="W75" s="48"/>
    </row>
    <row r="76" spans="1:23" ht="16.5" customHeight="1" x14ac:dyDescent="0.15">
      <c r="A76" s="41">
        <v>11</v>
      </c>
      <c r="B76" s="41" t="s">
        <v>5072</v>
      </c>
      <c r="C76" s="74" t="s">
        <v>5073</v>
      </c>
      <c r="D76" s="72"/>
      <c r="F76" s="121"/>
      <c r="H76" s="43"/>
      <c r="I76" s="37"/>
      <c r="J76" s="38"/>
      <c r="K76" s="44" t="s">
        <v>397</v>
      </c>
      <c r="L76" s="45" t="s">
        <v>398</v>
      </c>
      <c r="M76" s="46">
        <v>1</v>
      </c>
      <c r="N76" s="35"/>
      <c r="P76" s="57"/>
      <c r="S76" s="57"/>
      <c r="T76" s="709"/>
      <c r="U76" s="704"/>
      <c r="V76" s="47">
        <f>ROUND((ROUND((ROUND((_11_A通院１１．０*_11・２人),0)*(1+_11・A深夜)),0)*_11・初任),0)+ROUND((ROUND((ROUND((_11_B通院１１．０＿２．０*_11・２人),0)*(1+_11・B早朝)),0)*_11・初任),0)</f>
        <v>799</v>
      </c>
      <c r="W76" s="48"/>
    </row>
    <row r="77" spans="1:23" ht="16.5" customHeight="1" x14ac:dyDescent="0.15">
      <c r="A77" s="41">
        <v>11</v>
      </c>
      <c r="B77" s="41" t="s">
        <v>5074</v>
      </c>
      <c r="C77" s="74" t="s">
        <v>5075</v>
      </c>
      <c r="D77" s="72"/>
      <c r="F77" s="72"/>
      <c r="H77" s="752" t="s">
        <v>400</v>
      </c>
      <c r="I77" s="49" t="s">
        <v>398</v>
      </c>
      <c r="J77" s="50">
        <v>0.7</v>
      </c>
      <c r="K77" s="44"/>
      <c r="L77" s="45"/>
      <c r="M77" s="46"/>
      <c r="N77" s="35"/>
      <c r="P77" s="57"/>
      <c r="S77" s="57"/>
      <c r="T77" s="709"/>
      <c r="U77" s="704"/>
      <c r="V77" s="47">
        <f>ROUND((ROUND((ROUND((_11_A通院１１．０*_11・基礎１),0)*(1+_11・A深夜)),0)*_11・初任),0)+ROUND((ROUND((ROUND((_11_B通院１１．０＿２．０*_11・基礎１),0)*(1+_11・B早朝)),0)*_11・初任),0)</f>
        <v>560</v>
      </c>
      <c r="W77" s="48"/>
    </row>
    <row r="78" spans="1:23" ht="16.5" customHeight="1" x14ac:dyDescent="0.15">
      <c r="A78" s="41">
        <v>11</v>
      </c>
      <c r="B78" s="41" t="s">
        <v>5076</v>
      </c>
      <c r="C78" s="74" t="s">
        <v>5077</v>
      </c>
      <c r="D78" s="122"/>
      <c r="E78" s="37"/>
      <c r="F78" s="122"/>
      <c r="G78" s="79"/>
      <c r="H78" s="711"/>
      <c r="I78" s="37"/>
      <c r="J78" s="38"/>
      <c r="K78" s="44" t="s">
        <v>397</v>
      </c>
      <c r="L78" s="45" t="s">
        <v>398</v>
      </c>
      <c r="M78" s="46">
        <v>1</v>
      </c>
      <c r="N78" s="43"/>
      <c r="O78" s="38"/>
      <c r="P78" s="79"/>
      <c r="Q78" s="37"/>
      <c r="R78" s="38"/>
      <c r="S78" s="79"/>
      <c r="T78" s="55" t="s">
        <v>398</v>
      </c>
      <c r="U78" s="38">
        <f>_11・初任</f>
        <v>0.7</v>
      </c>
      <c r="V78" s="47">
        <f>ROUND((ROUND((ROUND((ROUND((_11_A通院１１．０*_11・基礎１),0)*_11・２人),0)*(1+_11・A深夜)),0)*_11・初任),0)+ROUND((ROUND((ROUND((ROUND((_11_B通院１１．０＿２．０*_11・基礎１),0)*_11・２人),0)*(1+_11・B早朝)),0)*_11・初任),0)</f>
        <v>560</v>
      </c>
      <c r="W78" s="63"/>
    </row>
    <row r="79" spans="1:23" ht="16.5" customHeight="1" x14ac:dyDescent="0.15">
      <c r="A79" s="41">
        <v>11</v>
      </c>
      <c r="B79" s="41">
        <v>3339</v>
      </c>
      <c r="C79" s="74" t="s">
        <v>5078</v>
      </c>
      <c r="D79" s="707" t="s">
        <v>5079</v>
      </c>
      <c r="E79" s="717"/>
      <c r="F79" s="707" t="s">
        <v>3602</v>
      </c>
      <c r="G79" s="717"/>
      <c r="H79" s="53"/>
      <c r="I79" s="49"/>
      <c r="J79" s="50"/>
      <c r="K79" s="44"/>
      <c r="L79" s="45"/>
      <c r="M79" s="46"/>
      <c r="N79" s="114" t="s">
        <v>1036</v>
      </c>
      <c r="O79" s="50"/>
      <c r="P79" s="115"/>
      <c r="Q79" s="116" t="s">
        <v>1037</v>
      </c>
      <c r="R79" s="50"/>
      <c r="S79" s="115"/>
      <c r="T79" s="53"/>
      <c r="U79" s="49"/>
      <c r="V79" s="47">
        <f>ROUND((_11_A通院１１．５*(1+_11・A深夜)),0)+ROUND((_11_B通院１１．５＿０．５*(1+_11・B早朝)),0)</f>
        <v>979</v>
      </c>
      <c r="W79" s="48"/>
    </row>
    <row r="80" spans="1:23" ht="16.5" customHeight="1" x14ac:dyDescent="0.15">
      <c r="A80" s="41">
        <v>11</v>
      </c>
      <c r="B80" s="41">
        <v>3340</v>
      </c>
      <c r="C80" s="74" t="s">
        <v>5080</v>
      </c>
      <c r="D80" s="709"/>
      <c r="E80" s="718"/>
      <c r="F80" s="709"/>
      <c r="G80" s="718"/>
      <c r="H80" s="43"/>
      <c r="I80" s="37"/>
      <c r="J80" s="38"/>
      <c r="K80" s="44" t="s">
        <v>397</v>
      </c>
      <c r="L80" s="45" t="s">
        <v>398</v>
      </c>
      <c r="M80" s="46">
        <v>1</v>
      </c>
      <c r="N80" s="35" t="s">
        <v>398</v>
      </c>
      <c r="O80" s="13">
        <v>0.5</v>
      </c>
      <c r="P80" s="728" t="s">
        <v>676</v>
      </c>
      <c r="Q80" s="12" t="s">
        <v>398</v>
      </c>
      <c r="R80" s="13">
        <v>0.25</v>
      </c>
      <c r="S80" s="728" t="s">
        <v>676</v>
      </c>
      <c r="T80" s="35"/>
      <c r="V80" s="47">
        <f>ROUND((ROUND((_11_A通院１１．５*_11・２人),0)*(1+_11・A深夜)),0)+ROUND((ROUND((_11_B通院１１．５＿０．５*_11・２人),0)*(1+_11・B早朝)),0)</f>
        <v>979</v>
      </c>
      <c r="W80" s="48"/>
    </row>
    <row r="81" spans="1:23" ht="16.5" customHeight="1" x14ac:dyDescent="0.15">
      <c r="A81" s="41">
        <v>11</v>
      </c>
      <c r="B81" s="41">
        <v>3341</v>
      </c>
      <c r="C81" s="74" t="s">
        <v>5081</v>
      </c>
      <c r="D81" s="709"/>
      <c r="E81" s="718"/>
      <c r="F81" s="709"/>
      <c r="G81" s="718"/>
      <c r="H81" s="752" t="s">
        <v>400</v>
      </c>
      <c r="I81" s="49" t="s">
        <v>398</v>
      </c>
      <c r="J81" s="50">
        <v>0.7</v>
      </c>
      <c r="K81" s="44"/>
      <c r="L81" s="45"/>
      <c r="M81" s="46"/>
      <c r="N81" s="35"/>
      <c r="P81" s="728"/>
      <c r="S81" s="728"/>
      <c r="T81" s="35"/>
      <c r="V81" s="47">
        <f>ROUND((ROUND((_11_A通院１１．５*_11・基礎１),0)*(1+_11・A深夜)),0)+ROUND((ROUND((_11_B通院１１．５＿０．５*_11・基礎１),0)*(1+_11・B早朝)),0)</f>
        <v>685</v>
      </c>
      <c r="W81" s="48"/>
    </row>
    <row r="82" spans="1:23" ht="16.5" customHeight="1" x14ac:dyDescent="0.15">
      <c r="A82" s="41">
        <v>11</v>
      </c>
      <c r="B82" s="41">
        <v>3342</v>
      </c>
      <c r="C82" s="74" t="s">
        <v>5082</v>
      </c>
      <c r="D82" s="125">
        <f>_11_A通院１１．５</f>
        <v>584</v>
      </c>
      <c r="E82" s="12" t="s">
        <v>392</v>
      </c>
      <c r="F82" s="125">
        <f>_11_B通院１１．５＿０．５</f>
        <v>82</v>
      </c>
      <c r="G82" s="12" t="s">
        <v>392</v>
      </c>
      <c r="H82" s="711"/>
      <c r="I82" s="37"/>
      <c r="J82" s="38"/>
      <c r="K82" s="44" t="s">
        <v>397</v>
      </c>
      <c r="L82" s="45" t="s">
        <v>398</v>
      </c>
      <c r="M82" s="46">
        <v>1</v>
      </c>
      <c r="N82" s="35"/>
      <c r="P82" s="57"/>
      <c r="S82" s="57"/>
      <c r="T82" s="43"/>
      <c r="U82" s="37"/>
      <c r="V82" s="47">
        <f>ROUND((ROUND((ROUND((_11_A通院１１．５*_11・基礎１),0)*_11・２人),0)*(1+_11・A深夜)),0)+ROUND((ROUND((ROUND((_11_B通院１１．５＿０．５*_11・基礎１),0)*_11・２人),0)*(1+_11・B早朝)),0)</f>
        <v>685</v>
      </c>
      <c r="W82" s="48"/>
    </row>
    <row r="83" spans="1:23" ht="16.5" customHeight="1" x14ac:dyDescent="0.15">
      <c r="A83" s="41">
        <v>11</v>
      </c>
      <c r="B83" s="41" t="s">
        <v>5083</v>
      </c>
      <c r="C83" s="74" t="s">
        <v>5084</v>
      </c>
      <c r="D83" s="121"/>
      <c r="F83" s="121"/>
      <c r="H83" s="53"/>
      <c r="I83" s="49"/>
      <c r="J83" s="50"/>
      <c r="K83" s="44"/>
      <c r="L83" s="45"/>
      <c r="M83" s="46"/>
      <c r="N83" s="35"/>
      <c r="P83" s="57"/>
      <c r="S83" s="57"/>
      <c r="T83" s="707" t="s">
        <v>404</v>
      </c>
      <c r="U83" s="708"/>
      <c r="V83" s="47">
        <f>ROUND((ROUND((_11_A通院１１．５*(1+_11・A深夜)),0)*_11・初任),0)+ROUND((ROUND((_11_B通院１１．５＿０．５*(1+_11・B早朝)),0)*_11・初任),0)</f>
        <v>685</v>
      </c>
      <c r="W83" s="48"/>
    </row>
    <row r="84" spans="1:23" ht="16.5" customHeight="1" x14ac:dyDescent="0.15">
      <c r="A84" s="41">
        <v>11</v>
      </c>
      <c r="B84" s="41" t="s">
        <v>5085</v>
      </c>
      <c r="C84" s="74" t="s">
        <v>5086</v>
      </c>
      <c r="D84" s="121"/>
      <c r="F84" s="121"/>
      <c r="H84" s="43"/>
      <c r="I84" s="37"/>
      <c r="J84" s="38"/>
      <c r="K84" s="44" t="s">
        <v>397</v>
      </c>
      <c r="L84" s="45" t="s">
        <v>398</v>
      </c>
      <c r="M84" s="46">
        <v>1</v>
      </c>
      <c r="N84" s="35"/>
      <c r="P84" s="57"/>
      <c r="S84" s="57"/>
      <c r="T84" s="709"/>
      <c r="U84" s="704"/>
      <c r="V84" s="47">
        <f>ROUND((ROUND((ROUND((_11_A通院１１．５*_11・２人),0)*(1+_11・A深夜)),0)*_11・初任),0)+ROUND((ROUND((ROUND((_11_B通院１１．５＿０．５*_11・２人),0)*(1+_11・B早朝)),0)*_11・初任),0)</f>
        <v>685</v>
      </c>
      <c r="W84" s="48"/>
    </row>
    <row r="85" spans="1:23" ht="16.5" customHeight="1" x14ac:dyDescent="0.15">
      <c r="A85" s="41">
        <v>11</v>
      </c>
      <c r="B85" s="41" t="s">
        <v>5087</v>
      </c>
      <c r="C85" s="74" t="s">
        <v>5088</v>
      </c>
      <c r="D85" s="72"/>
      <c r="F85" s="72"/>
      <c r="H85" s="752" t="s">
        <v>400</v>
      </c>
      <c r="I85" s="49" t="s">
        <v>398</v>
      </c>
      <c r="J85" s="50">
        <v>0.7</v>
      </c>
      <c r="K85" s="44"/>
      <c r="L85" s="45"/>
      <c r="M85" s="46"/>
      <c r="N85" s="35"/>
      <c r="P85" s="57"/>
      <c r="S85" s="57"/>
      <c r="T85" s="709"/>
      <c r="U85" s="704"/>
      <c r="V85" s="47">
        <f>ROUND((ROUND((ROUND((_11_A通院１１．５*_11・基礎１),0)*(1+_11・A深夜)),0)*_11・初任),0)+ROUND((ROUND((ROUND((_11_B通院１１．５＿０．５*_11・基礎１),0)*(1+_11・B早朝)),0)*_11・初任),0)</f>
        <v>480</v>
      </c>
      <c r="W85" s="48"/>
    </row>
    <row r="86" spans="1:23" ht="16.5" customHeight="1" x14ac:dyDescent="0.15">
      <c r="A86" s="41">
        <v>11</v>
      </c>
      <c r="B86" s="41" t="s">
        <v>5089</v>
      </c>
      <c r="C86" s="74" t="s">
        <v>5090</v>
      </c>
      <c r="D86" s="72"/>
      <c r="E86" s="57"/>
      <c r="F86" s="122"/>
      <c r="G86" s="37"/>
      <c r="H86" s="711"/>
      <c r="I86" s="37"/>
      <c r="J86" s="38"/>
      <c r="K86" s="44" t="s">
        <v>397</v>
      </c>
      <c r="L86" s="45" t="s">
        <v>398</v>
      </c>
      <c r="M86" s="46">
        <v>1</v>
      </c>
      <c r="N86" s="35"/>
      <c r="P86" s="57"/>
      <c r="S86" s="57"/>
      <c r="T86" s="55" t="s">
        <v>398</v>
      </c>
      <c r="U86" s="38">
        <f>_11・初任</f>
        <v>0.7</v>
      </c>
      <c r="V86" s="47">
        <f>ROUND((ROUND((ROUND((ROUND((_11_A通院１１．５*_11・基礎１),0)*_11・２人),0)*(1+_11・A深夜)),0)*_11・初任),0)+ROUND((ROUND((ROUND((ROUND((_11_B通院１１．５＿０．５*_11・基礎１),0)*_11・２人),0)*(1+_11・B早朝)),0)*_11・初任),0)</f>
        <v>480</v>
      </c>
      <c r="W86" s="48"/>
    </row>
    <row r="87" spans="1:23" ht="16.5" customHeight="1" x14ac:dyDescent="0.15">
      <c r="A87" s="33">
        <v>11</v>
      </c>
      <c r="B87" s="33">
        <v>3343</v>
      </c>
      <c r="C87" s="34" t="s">
        <v>5091</v>
      </c>
      <c r="D87" s="72"/>
      <c r="E87" s="57"/>
      <c r="F87" s="709" t="s">
        <v>3581</v>
      </c>
      <c r="G87" s="718"/>
      <c r="H87" s="35"/>
      <c r="K87" s="36"/>
      <c r="L87" s="37"/>
      <c r="M87" s="38"/>
      <c r="N87" s="35"/>
      <c r="P87" s="57"/>
      <c r="S87" s="57"/>
      <c r="T87" s="35"/>
      <c r="V87" s="39">
        <f>ROUND((_11_A通院１１．５*(1+_11・A深夜)),0)+ROUND((_11_B通院１１．５＿１．０*(1+_11・B早朝)),0)</f>
        <v>1084</v>
      </c>
      <c r="W87" s="48"/>
    </row>
    <row r="88" spans="1:23" ht="16.5" customHeight="1" x14ac:dyDescent="0.15">
      <c r="A88" s="41">
        <v>11</v>
      </c>
      <c r="B88" s="41">
        <v>3344</v>
      </c>
      <c r="C88" s="74" t="s">
        <v>5092</v>
      </c>
      <c r="D88" s="72"/>
      <c r="E88" s="57"/>
      <c r="F88" s="709"/>
      <c r="G88" s="718"/>
      <c r="H88" s="43"/>
      <c r="I88" s="37"/>
      <c r="J88" s="38"/>
      <c r="K88" s="44" t="s">
        <v>397</v>
      </c>
      <c r="L88" s="45" t="s">
        <v>398</v>
      </c>
      <c r="M88" s="46">
        <v>1</v>
      </c>
      <c r="N88" s="35"/>
      <c r="P88" s="57"/>
      <c r="S88" s="57"/>
      <c r="T88" s="35"/>
      <c r="V88" s="47">
        <f>ROUND((ROUND((_11_A通院１１．５*_11・２人),0)*(1+_11・A深夜)),0)+ROUND((ROUND((_11_B通院１１．５＿１．０*_11・２人),0)*(1+_11・B早朝)),0)</f>
        <v>1084</v>
      </c>
      <c r="W88" s="48"/>
    </row>
    <row r="89" spans="1:23" ht="16.5" customHeight="1" x14ac:dyDescent="0.15">
      <c r="A89" s="41">
        <v>11</v>
      </c>
      <c r="B89" s="41">
        <v>3345</v>
      </c>
      <c r="C89" s="74" t="s">
        <v>5093</v>
      </c>
      <c r="D89" s="72"/>
      <c r="E89" s="57"/>
      <c r="F89" s="709"/>
      <c r="G89" s="718"/>
      <c r="H89" s="752" t="s">
        <v>400</v>
      </c>
      <c r="I89" s="49" t="s">
        <v>398</v>
      </c>
      <c r="J89" s="50">
        <v>0.7</v>
      </c>
      <c r="K89" s="44"/>
      <c r="L89" s="45"/>
      <c r="M89" s="46"/>
      <c r="N89" s="35"/>
      <c r="P89" s="57"/>
      <c r="S89" s="57"/>
      <c r="T89" s="35"/>
      <c r="V89" s="47">
        <f>ROUND((ROUND((_11_A通院１１．５*_11・基礎１),0)*(1+_11・A深夜)),0)+ROUND((ROUND((_11_B通院１１．５＿１．０*_11・基礎１),0)*(1+_11・B早朝)),0)</f>
        <v>759</v>
      </c>
      <c r="W89" s="48"/>
    </row>
    <row r="90" spans="1:23" ht="16.5" customHeight="1" x14ac:dyDescent="0.15">
      <c r="A90" s="41">
        <v>11</v>
      </c>
      <c r="B90" s="41">
        <v>3346</v>
      </c>
      <c r="C90" s="74" t="s">
        <v>5094</v>
      </c>
      <c r="D90" s="72"/>
      <c r="E90" s="57"/>
      <c r="F90" s="125">
        <f>_11_B通院１１．５＿１．０</f>
        <v>166</v>
      </c>
      <c r="G90" s="12" t="s">
        <v>392</v>
      </c>
      <c r="H90" s="711"/>
      <c r="I90" s="37"/>
      <c r="J90" s="38"/>
      <c r="K90" s="44" t="s">
        <v>397</v>
      </c>
      <c r="L90" s="45" t="s">
        <v>398</v>
      </c>
      <c r="M90" s="46">
        <v>1</v>
      </c>
      <c r="N90" s="35"/>
      <c r="P90" s="57"/>
      <c r="S90" s="57"/>
      <c r="T90" s="43"/>
      <c r="U90" s="37"/>
      <c r="V90" s="47">
        <f>ROUND((ROUND((ROUND((_11_A通院１１．５*_11・基礎１),0)*_11・２人),0)*(1+_11・A深夜)),0)+ROUND((ROUND((ROUND((_11_B通院１１．５＿１．０*_11・基礎１),0)*_11・２人),0)*(1+_11・B早朝)),0)</f>
        <v>759</v>
      </c>
      <c r="W90" s="48"/>
    </row>
    <row r="91" spans="1:23" ht="16.5" customHeight="1" x14ac:dyDescent="0.15">
      <c r="A91" s="41">
        <v>11</v>
      </c>
      <c r="B91" s="41" t="s">
        <v>5095</v>
      </c>
      <c r="C91" s="74" t="s">
        <v>5096</v>
      </c>
      <c r="D91" s="72"/>
      <c r="E91" s="57"/>
      <c r="F91" s="121"/>
      <c r="H91" s="53"/>
      <c r="I91" s="49"/>
      <c r="J91" s="50"/>
      <c r="K91" s="44"/>
      <c r="L91" s="45"/>
      <c r="M91" s="46"/>
      <c r="N91" s="35"/>
      <c r="P91" s="57"/>
      <c r="S91" s="57"/>
      <c r="T91" s="707" t="s">
        <v>404</v>
      </c>
      <c r="U91" s="708"/>
      <c r="V91" s="47">
        <f>ROUND((ROUND((_11_A通院１１．５*(1+_11・A深夜)),0)*_11・初任),0)+ROUND((ROUND((_11_B通院１１．５＿１．０*(1+_11・B早朝)),0)*_11・初任),0)</f>
        <v>759</v>
      </c>
      <c r="W91" s="48"/>
    </row>
    <row r="92" spans="1:23" ht="16.5" customHeight="1" x14ac:dyDescent="0.15">
      <c r="A92" s="41">
        <v>11</v>
      </c>
      <c r="B92" s="41" t="s">
        <v>5097</v>
      </c>
      <c r="C92" s="74" t="s">
        <v>5098</v>
      </c>
      <c r="D92" s="72"/>
      <c r="E92" s="57"/>
      <c r="F92" s="121"/>
      <c r="H92" s="43"/>
      <c r="I92" s="37"/>
      <c r="J92" s="38"/>
      <c r="K92" s="44" t="s">
        <v>397</v>
      </c>
      <c r="L92" s="45" t="s">
        <v>398</v>
      </c>
      <c r="M92" s="46">
        <v>1</v>
      </c>
      <c r="N92" s="35"/>
      <c r="P92" s="57"/>
      <c r="S92" s="57"/>
      <c r="T92" s="709"/>
      <c r="U92" s="704"/>
      <c r="V92" s="47">
        <f>ROUND((ROUND((ROUND((_11_A通院１１．５*_11・２人),0)*(1+_11・A深夜)),0)*_11・初任),0)+ROUND((ROUND((ROUND((_11_B通院１１．５＿１．０*_11・２人),0)*(1+_11・B早朝)),0)*_11・初任),0)</f>
        <v>759</v>
      </c>
      <c r="W92" s="48"/>
    </row>
    <row r="93" spans="1:23" ht="16.5" customHeight="1" x14ac:dyDescent="0.15">
      <c r="A93" s="41">
        <v>11</v>
      </c>
      <c r="B93" s="41" t="s">
        <v>5099</v>
      </c>
      <c r="C93" s="74" t="s">
        <v>5100</v>
      </c>
      <c r="D93" s="72"/>
      <c r="E93" s="57"/>
      <c r="F93" s="72"/>
      <c r="H93" s="752" t="s">
        <v>400</v>
      </c>
      <c r="I93" s="49" t="s">
        <v>398</v>
      </c>
      <c r="J93" s="50">
        <v>0.7</v>
      </c>
      <c r="K93" s="44"/>
      <c r="L93" s="45"/>
      <c r="M93" s="46"/>
      <c r="N93" s="35"/>
      <c r="P93" s="57"/>
      <c r="S93" s="57"/>
      <c r="T93" s="709"/>
      <c r="U93" s="704"/>
      <c r="V93" s="47">
        <f>ROUND((ROUND((ROUND((_11_A通院１１．５*_11・基礎１),0)*(1+_11・A深夜)),0)*_11・初任),0)+ROUND((ROUND((ROUND((_11_B通院１１．５＿１．０*_11・基礎１),0)*(1+_11・B早朝)),0)*_11・初任),0)</f>
        <v>532</v>
      </c>
      <c r="W93" s="48"/>
    </row>
    <row r="94" spans="1:23" ht="16.5" customHeight="1" x14ac:dyDescent="0.15">
      <c r="A94" s="41">
        <v>11</v>
      </c>
      <c r="B94" s="41" t="s">
        <v>5101</v>
      </c>
      <c r="C94" s="74" t="s">
        <v>5102</v>
      </c>
      <c r="D94" s="72"/>
      <c r="E94" s="57"/>
      <c r="F94" s="72"/>
      <c r="H94" s="711"/>
      <c r="I94" s="37"/>
      <c r="J94" s="38"/>
      <c r="K94" s="44" t="s">
        <v>397</v>
      </c>
      <c r="L94" s="45" t="s">
        <v>398</v>
      </c>
      <c r="M94" s="46">
        <v>1</v>
      </c>
      <c r="N94" s="35"/>
      <c r="P94" s="57"/>
      <c r="S94" s="57"/>
      <c r="T94" s="55" t="s">
        <v>398</v>
      </c>
      <c r="U94" s="38">
        <f>_11・初任</f>
        <v>0.7</v>
      </c>
      <c r="V94" s="47">
        <f>ROUND((ROUND((ROUND((ROUND((_11_A通院１１．５*_11・基礎１),0)*_11・２人),0)*(1+_11・A深夜)),0)*_11・初任),0)+ROUND((ROUND((ROUND((ROUND((_11_B通院１１．５＿１．０*_11・基礎１),0)*_11・２人),0)*(1+_11・B早朝)),0)*_11・初任),0)</f>
        <v>532</v>
      </c>
      <c r="W94" s="48"/>
    </row>
    <row r="95" spans="1:23" ht="16.5" customHeight="1" x14ac:dyDescent="0.15">
      <c r="A95" s="41">
        <v>11</v>
      </c>
      <c r="B95" s="41">
        <v>3347</v>
      </c>
      <c r="C95" s="74" t="s">
        <v>5103</v>
      </c>
      <c r="D95" s="132"/>
      <c r="E95" s="106"/>
      <c r="F95" s="707" t="s">
        <v>3588</v>
      </c>
      <c r="G95" s="717"/>
      <c r="H95" s="53"/>
      <c r="I95" s="49"/>
      <c r="J95" s="50"/>
      <c r="K95" s="44"/>
      <c r="L95" s="45"/>
      <c r="M95" s="46"/>
      <c r="N95" s="35"/>
      <c r="P95" s="57"/>
      <c r="S95" s="57"/>
      <c r="T95" s="53"/>
      <c r="U95" s="49"/>
      <c r="V95" s="47">
        <f>ROUND((_11_A通院１１．５*(1+_11・A深夜)),0)+ROUND((_11_B通院１１．５＿１．５*(1+_11・B早朝)),0)</f>
        <v>1187</v>
      </c>
      <c r="W95" s="48"/>
    </row>
    <row r="96" spans="1:23" ht="16.5" customHeight="1" x14ac:dyDescent="0.15">
      <c r="A96" s="41">
        <v>11</v>
      </c>
      <c r="B96" s="41">
        <v>3348</v>
      </c>
      <c r="C96" s="74" t="s">
        <v>5104</v>
      </c>
      <c r="D96" s="132"/>
      <c r="E96" s="106"/>
      <c r="F96" s="709"/>
      <c r="G96" s="718"/>
      <c r="H96" s="43"/>
      <c r="I96" s="37"/>
      <c r="J96" s="38"/>
      <c r="K96" s="44" t="s">
        <v>397</v>
      </c>
      <c r="L96" s="45" t="s">
        <v>398</v>
      </c>
      <c r="M96" s="46">
        <v>1</v>
      </c>
      <c r="N96" s="35"/>
      <c r="P96" s="57"/>
      <c r="S96" s="57"/>
      <c r="T96" s="35"/>
      <c r="V96" s="47">
        <f>ROUND((ROUND((_11_A通院１１．５*_11・２人),0)*(1+_11・A深夜)),0)+ROUND((ROUND((_11_B通院１１．５＿１．５*_11・２人),0)*(1+_11・B早朝)),0)</f>
        <v>1187</v>
      </c>
      <c r="W96" s="48"/>
    </row>
    <row r="97" spans="1:23" ht="16.5" customHeight="1" x14ac:dyDescent="0.15">
      <c r="A97" s="41">
        <v>11</v>
      </c>
      <c r="B97" s="41">
        <v>3349</v>
      </c>
      <c r="C97" s="74" t="s">
        <v>5105</v>
      </c>
      <c r="D97" s="132"/>
      <c r="E97" s="106"/>
      <c r="F97" s="709"/>
      <c r="G97" s="718"/>
      <c r="H97" s="752" t="s">
        <v>400</v>
      </c>
      <c r="I97" s="49" t="s">
        <v>398</v>
      </c>
      <c r="J97" s="50">
        <v>0.7</v>
      </c>
      <c r="K97" s="44"/>
      <c r="L97" s="45"/>
      <c r="M97" s="46"/>
      <c r="N97" s="35"/>
      <c r="P97" s="57"/>
      <c r="S97" s="57"/>
      <c r="T97" s="35"/>
      <c r="V97" s="47">
        <f>ROUND((ROUND((_11_A通院１１．５*_11・基礎１),0)*(1+_11・A深夜)),0)+ROUND((ROUND((_11_B通院１１．５＿１．５*_11・基礎１),0)*(1+_11・B早朝)),0)</f>
        <v>832</v>
      </c>
      <c r="W97" s="48"/>
    </row>
    <row r="98" spans="1:23" ht="16.5" customHeight="1" x14ac:dyDescent="0.15">
      <c r="A98" s="41">
        <v>11</v>
      </c>
      <c r="B98" s="41">
        <v>3350</v>
      </c>
      <c r="C98" s="74" t="s">
        <v>5106</v>
      </c>
      <c r="D98" s="125"/>
      <c r="E98" s="57"/>
      <c r="F98" s="125">
        <f>_11_B通院１１．５＿１．５</f>
        <v>249</v>
      </c>
      <c r="G98" s="12" t="s">
        <v>392</v>
      </c>
      <c r="H98" s="711"/>
      <c r="I98" s="37"/>
      <c r="J98" s="38"/>
      <c r="K98" s="44" t="s">
        <v>397</v>
      </c>
      <c r="L98" s="45" t="s">
        <v>398</v>
      </c>
      <c r="M98" s="46">
        <v>1</v>
      </c>
      <c r="N98" s="35"/>
      <c r="P98" s="57"/>
      <c r="S98" s="57"/>
      <c r="T98" s="43"/>
      <c r="U98" s="37"/>
      <c r="V98" s="47">
        <f>ROUND((ROUND((ROUND((_11_A通院１１．５*_11・基礎１),0)*_11・２人),0)*(1+_11・A深夜)),0)+ROUND((ROUND((ROUND((_11_B通院１１．５＿１．５*_11・基礎１),0)*_11・２人),0)*(1+_11・B早朝)),0)</f>
        <v>832</v>
      </c>
      <c r="W98" s="48"/>
    </row>
    <row r="99" spans="1:23" ht="16.5" customHeight="1" x14ac:dyDescent="0.15">
      <c r="A99" s="41">
        <v>11</v>
      </c>
      <c r="B99" s="41" t="s">
        <v>5107</v>
      </c>
      <c r="C99" s="74" t="s">
        <v>5108</v>
      </c>
      <c r="D99" s="72"/>
      <c r="F99" s="121"/>
      <c r="H99" s="53"/>
      <c r="I99" s="49"/>
      <c r="J99" s="50"/>
      <c r="K99" s="44"/>
      <c r="L99" s="45"/>
      <c r="M99" s="46"/>
      <c r="N99" s="35"/>
      <c r="P99" s="57"/>
      <c r="S99" s="57"/>
      <c r="T99" s="707" t="s">
        <v>404</v>
      </c>
      <c r="U99" s="708"/>
      <c r="V99" s="47">
        <f>ROUND((ROUND((_11_A通院１１．５*(1+_11・A深夜)),0)*_11・初任),0)+ROUND((ROUND((_11_B通院１１．５＿１．５*(1+_11・B早朝)),0)*_11・初任),0)</f>
        <v>831</v>
      </c>
      <c r="W99" s="48"/>
    </row>
    <row r="100" spans="1:23" ht="16.5" customHeight="1" x14ac:dyDescent="0.15">
      <c r="A100" s="41">
        <v>11</v>
      </c>
      <c r="B100" s="41" t="s">
        <v>5109</v>
      </c>
      <c r="C100" s="74" t="s">
        <v>5110</v>
      </c>
      <c r="D100" s="72"/>
      <c r="F100" s="121"/>
      <c r="H100" s="43"/>
      <c r="I100" s="37"/>
      <c r="J100" s="38"/>
      <c r="K100" s="44" t="s">
        <v>397</v>
      </c>
      <c r="L100" s="45" t="s">
        <v>398</v>
      </c>
      <c r="M100" s="46">
        <v>1</v>
      </c>
      <c r="N100" s="35"/>
      <c r="P100" s="57"/>
      <c r="S100" s="57"/>
      <c r="T100" s="709"/>
      <c r="U100" s="704"/>
      <c r="V100" s="47">
        <f>ROUND((ROUND((ROUND((_11_A通院１１．５*_11・２人),0)*(1+_11・A深夜)),0)*_11・初任),0)+ROUND((ROUND((ROUND((_11_B通院１１．５＿１．５*_11・２人),0)*(1+_11・B早朝)),0)*_11・初任),0)</f>
        <v>831</v>
      </c>
      <c r="W100" s="48"/>
    </row>
    <row r="101" spans="1:23" ht="16.5" customHeight="1" x14ac:dyDescent="0.15">
      <c r="A101" s="41">
        <v>11</v>
      </c>
      <c r="B101" s="41" t="s">
        <v>5111</v>
      </c>
      <c r="C101" s="74" t="s">
        <v>5112</v>
      </c>
      <c r="D101" s="72"/>
      <c r="F101" s="72"/>
      <c r="H101" s="752" t="s">
        <v>400</v>
      </c>
      <c r="I101" s="49" t="s">
        <v>398</v>
      </c>
      <c r="J101" s="50">
        <v>0.7</v>
      </c>
      <c r="K101" s="44"/>
      <c r="L101" s="45"/>
      <c r="M101" s="46"/>
      <c r="N101" s="35"/>
      <c r="P101" s="57"/>
      <c r="S101" s="57"/>
      <c r="T101" s="709"/>
      <c r="U101" s="704"/>
      <c r="V101" s="47">
        <f>ROUND((ROUND((ROUND((_11_A通院１１．５*_11・基礎１),0)*(1+_11・A深夜)),0)*_11・初任),0)+ROUND((ROUND((ROUND((_11_B通院１１．５＿１．５*_11・基礎１),0)*(1+_11・B早朝)),0)*_11・初任),0)</f>
        <v>583</v>
      </c>
      <c r="W101" s="48"/>
    </row>
    <row r="102" spans="1:23" ht="16.5" customHeight="1" x14ac:dyDescent="0.15">
      <c r="A102" s="41">
        <v>11</v>
      </c>
      <c r="B102" s="41" t="s">
        <v>5113</v>
      </c>
      <c r="C102" s="74" t="s">
        <v>5114</v>
      </c>
      <c r="D102" s="72"/>
      <c r="F102" s="72"/>
      <c r="H102" s="711"/>
      <c r="I102" s="37"/>
      <c r="J102" s="38"/>
      <c r="K102" s="44" t="s">
        <v>397</v>
      </c>
      <c r="L102" s="45" t="s">
        <v>398</v>
      </c>
      <c r="M102" s="46">
        <v>1</v>
      </c>
      <c r="N102" s="35"/>
      <c r="P102" s="57"/>
      <c r="S102" s="57"/>
      <c r="T102" s="55" t="s">
        <v>398</v>
      </c>
      <c r="U102" s="38">
        <f>_11・初任</f>
        <v>0.7</v>
      </c>
      <c r="V102" s="47">
        <f>ROUND((ROUND((ROUND((ROUND((_11_A通院１１．５*_11・基礎１),0)*_11・２人),0)*(1+_11・A深夜)),0)*_11・初任),0)+ROUND((ROUND((ROUND((ROUND((_11_B通院１１．５＿１．５*_11・基礎１),0)*_11・２人),0)*(1+_11・B早朝)),0)*_11・初任),0)</f>
        <v>583</v>
      </c>
      <c r="W102" s="48"/>
    </row>
    <row r="103" spans="1:23" ht="16.5" customHeight="1" x14ac:dyDescent="0.15">
      <c r="A103" s="41">
        <v>11</v>
      </c>
      <c r="B103" s="41">
        <v>3351</v>
      </c>
      <c r="C103" s="74" t="s">
        <v>5115</v>
      </c>
      <c r="D103" s="707" t="s">
        <v>902</v>
      </c>
      <c r="E103" s="717"/>
      <c r="F103" s="707" t="s">
        <v>3602</v>
      </c>
      <c r="G103" s="717"/>
      <c r="H103" s="53"/>
      <c r="I103" s="49"/>
      <c r="J103" s="50"/>
      <c r="K103" s="44"/>
      <c r="L103" s="45"/>
      <c r="M103" s="46"/>
      <c r="N103" s="35"/>
      <c r="P103" s="57"/>
      <c r="S103" s="57"/>
      <c r="T103" s="53"/>
      <c r="U103" s="49"/>
      <c r="V103" s="47">
        <f>ROUND((_11_A通院１２．０*(1+_11・A深夜)),0)+ROUND((_11_B通院１２．０＿０．５*(1+_11・B早朝)),0)</f>
        <v>1104</v>
      </c>
      <c r="W103" s="48"/>
    </row>
    <row r="104" spans="1:23" ht="16.5" customHeight="1" x14ac:dyDescent="0.15">
      <c r="A104" s="41">
        <v>11</v>
      </c>
      <c r="B104" s="41">
        <v>3352</v>
      </c>
      <c r="C104" s="74" t="s">
        <v>5116</v>
      </c>
      <c r="D104" s="709"/>
      <c r="E104" s="718"/>
      <c r="F104" s="709"/>
      <c r="G104" s="718"/>
      <c r="H104" s="43"/>
      <c r="I104" s="37"/>
      <c r="J104" s="38"/>
      <c r="K104" s="44" t="s">
        <v>397</v>
      </c>
      <c r="L104" s="45" t="s">
        <v>398</v>
      </c>
      <c r="M104" s="46">
        <v>1</v>
      </c>
      <c r="N104" s="35"/>
      <c r="P104" s="57"/>
      <c r="S104" s="57"/>
      <c r="T104" s="35"/>
      <c r="V104" s="47">
        <f>ROUND((ROUND((_11_A通院１２．０*_11・２人),0)*(1+_11・A深夜)),0)+ROUND((ROUND((_11_B通院１２．０＿０．５*_11・２人),0)*(1+_11・B早朝)),0)</f>
        <v>1104</v>
      </c>
      <c r="W104" s="48"/>
    </row>
    <row r="105" spans="1:23" ht="16.5" customHeight="1" x14ac:dyDescent="0.15">
      <c r="A105" s="41">
        <v>11</v>
      </c>
      <c r="B105" s="41">
        <v>3353</v>
      </c>
      <c r="C105" s="74" t="s">
        <v>5117</v>
      </c>
      <c r="D105" s="709"/>
      <c r="E105" s="718"/>
      <c r="F105" s="709"/>
      <c r="G105" s="718"/>
      <c r="H105" s="752" t="s">
        <v>400</v>
      </c>
      <c r="I105" s="49" t="s">
        <v>398</v>
      </c>
      <c r="J105" s="50">
        <v>0.7</v>
      </c>
      <c r="K105" s="44"/>
      <c r="L105" s="45"/>
      <c r="M105" s="46"/>
      <c r="N105" s="35"/>
      <c r="P105" s="57"/>
      <c r="S105" s="57"/>
      <c r="T105" s="35"/>
      <c r="V105" s="47">
        <f>ROUND((ROUND((_11_A通院１２．０*_11・基礎１),0)*(1+_11・A深夜)),0)+ROUND((ROUND((_11_B通院１２．０＿０．５*_11・基礎１),0)*(1+_11・B早朝)),0)</f>
        <v>773</v>
      </c>
      <c r="W105" s="48"/>
    </row>
    <row r="106" spans="1:23" ht="16.5" customHeight="1" x14ac:dyDescent="0.15">
      <c r="A106" s="41">
        <v>11</v>
      </c>
      <c r="B106" s="41">
        <v>3354</v>
      </c>
      <c r="C106" s="74" t="s">
        <v>5118</v>
      </c>
      <c r="D106" s="125">
        <f>_11_A通院１２．０</f>
        <v>666</v>
      </c>
      <c r="E106" s="12" t="s">
        <v>392</v>
      </c>
      <c r="F106" s="125">
        <f>_11_B通院１２．０＿０．５</f>
        <v>84</v>
      </c>
      <c r="G106" s="12" t="s">
        <v>392</v>
      </c>
      <c r="H106" s="711"/>
      <c r="I106" s="37"/>
      <c r="J106" s="38"/>
      <c r="K106" s="44" t="s">
        <v>397</v>
      </c>
      <c r="L106" s="45" t="s">
        <v>398</v>
      </c>
      <c r="M106" s="46">
        <v>1</v>
      </c>
      <c r="N106" s="35"/>
      <c r="P106" s="57"/>
      <c r="S106" s="57"/>
      <c r="T106" s="43"/>
      <c r="U106" s="37"/>
      <c r="V106" s="47">
        <f>ROUND((ROUND((ROUND((_11_A通院１２．０*_11・基礎１),0)*_11・２人),0)*(1+_11・A深夜)),0)+ROUND((ROUND((ROUND((_11_B通院１２．０＿０．５*_11・基礎１),0)*_11・２人),0)*(1+_11・B早朝)),0)</f>
        <v>773</v>
      </c>
      <c r="W106" s="48"/>
    </row>
    <row r="107" spans="1:23" ht="16.5" customHeight="1" x14ac:dyDescent="0.15">
      <c r="A107" s="41">
        <v>11</v>
      </c>
      <c r="B107" s="41" t="s">
        <v>5119</v>
      </c>
      <c r="C107" s="74" t="s">
        <v>5120</v>
      </c>
      <c r="D107" s="121"/>
      <c r="F107" s="121"/>
      <c r="H107" s="53"/>
      <c r="I107" s="49"/>
      <c r="J107" s="50"/>
      <c r="K107" s="44"/>
      <c r="L107" s="45"/>
      <c r="M107" s="46"/>
      <c r="N107" s="35"/>
      <c r="P107" s="57"/>
      <c r="S107" s="57"/>
      <c r="T107" s="707" t="s">
        <v>404</v>
      </c>
      <c r="U107" s="708"/>
      <c r="V107" s="47">
        <f>ROUND((ROUND((_11_A通院１２．０*(1+_11・A深夜)),0)*_11・初任),0)+ROUND((ROUND((_11_B通院１２．０＿０．５*(1+_11・B早朝)),0)*_11・初任),0)</f>
        <v>773</v>
      </c>
      <c r="W107" s="48"/>
    </row>
    <row r="108" spans="1:23" ht="16.5" customHeight="1" x14ac:dyDescent="0.15">
      <c r="A108" s="41">
        <v>11</v>
      </c>
      <c r="B108" s="41" t="s">
        <v>5121</v>
      </c>
      <c r="C108" s="74" t="s">
        <v>5122</v>
      </c>
      <c r="D108" s="121"/>
      <c r="F108" s="121"/>
      <c r="H108" s="43"/>
      <c r="I108" s="37"/>
      <c r="J108" s="38"/>
      <c r="K108" s="44" t="s">
        <v>397</v>
      </c>
      <c r="L108" s="45" t="s">
        <v>398</v>
      </c>
      <c r="M108" s="46">
        <v>1</v>
      </c>
      <c r="N108" s="35"/>
      <c r="P108" s="57"/>
      <c r="S108" s="57"/>
      <c r="T108" s="709"/>
      <c r="U108" s="704"/>
      <c r="V108" s="47">
        <f>ROUND((ROUND((ROUND((_11_A通院１２．０*_11・２人),0)*(1+_11・A深夜)),0)*_11・初任),0)+ROUND((ROUND((ROUND((_11_B通院１２．０＿０．５*_11・２人),0)*(1+_11・B早朝)),0)*_11・初任),0)</f>
        <v>773</v>
      </c>
      <c r="W108" s="48"/>
    </row>
    <row r="109" spans="1:23" ht="16.5" customHeight="1" x14ac:dyDescent="0.15">
      <c r="A109" s="41">
        <v>11</v>
      </c>
      <c r="B109" s="41" t="s">
        <v>5123</v>
      </c>
      <c r="C109" s="74" t="s">
        <v>5124</v>
      </c>
      <c r="D109" s="72"/>
      <c r="F109" s="72"/>
      <c r="H109" s="752" t="s">
        <v>400</v>
      </c>
      <c r="I109" s="49" t="s">
        <v>398</v>
      </c>
      <c r="J109" s="50">
        <v>0.7</v>
      </c>
      <c r="K109" s="44"/>
      <c r="L109" s="45"/>
      <c r="M109" s="46"/>
      <c r="N109" s="35"/>
      <c r="P109" s="57"/>
      <c r="S109" s="57"/>
      <c r="T109" s="709"/>
      <c r="U109" s="704"/>
      <c r="V109" s="47">
        <f>ROUND((ROUND((ROUND((_11_A通院１２．０*_11・基礎１),0)*(1+_11・A深夜)),0)*_11・初任),0)+ROUND((ROUND((ROUND((_11_B通院１２．０＿０．５*_11・基礎１),0)*(1+_11・B早朝)),0)*_11・初任),0)</f>
        <v>541</v>
      </c>
      <c r="W109" s="48"/>
    </row>
    <row r="110" spans="1:23" ht="16.5" customHeight="1" x14ac:dyDescent="0.15">
      <c r="A110" s="41">
        <v>11</v>
      </c>
      <c r="B110" s="41" t="s">
        <v>5125</v>
      </c>
      <c r="C110" s="74" t="s">
        <v>5126</v>
      </c>
      <c r="D110" s="72"/>
      <c r="F110" s="72"/>
      <c r="H110" s="711"/>
      <c r="I110" s="37"/>
      <c r="J110" s="38"/>
      <c r="K110" s="44" t="s">
        <v>397</v>
      </c>
      <c r="L110" s="45" t="s">
        <v>398</v>
      </c>
      <c r="M110" s="46">
        <v>1</v>
      </c>
      <c r="N110" s="35"/>
      <c r="P110" s="57"/>
      <c r="S110" s="57"/>
      <c r="T110" s="55" t="s">
        <v>398</v>
      </c>
      <c r="U110" s="38">
        <f>_11・初任</f>
        <v>0.7</v>
      </c>
      <c r="V110" s="47">
        <f>ROUND((ROUND((ROUND((ROUND((_11_A通院１２．０*_11・基礎１),0)*_11・２人),0)*(1+_11・A深夜)),0)*_11・初任),0)+ROUND((ROUND((ROUND((ROUND((_11_B通院１２．０＿０．５*_11・基礎１),0)*_11・２人),0)*(1+_11・B早朝)),0)*_11・初任),0)</f>
        <v>541</v>
      </c>
      <c r="W110" s="48"/>
    </row>
    <row r="111" spans="1:23" ht="16.5" customHeight="1" x14ac:dyDescent="0.15">
      <c r="A111" s="41">
        <v>11</v>
      </c>
      <c r="B111" s="41">
        <v>3355</v>
      </c>
      <c r="C111" s="74" t="s">
        <v>5127</v>
      </c>
      <c r="D111" s="72"/>
      <c r="F111" s="707" t="s">
        <v>3581</v>
      </c>
      <c r="G111" s="717"/>
      <c r="H111" s="53"/>
      <c r="I111" s="49"/>
      <c r="J111" s="50"/>
      <c r="K111" s="44"/>
      <c r="L111" s="45"/>
      <c r="M111" s="46"/>
      <c r="N111" s="35"/>
      <c r="P111" s="57"/>
      <c r="S111" s="57"/>
      <c r="T111" s="53"/>
      <c r="U111" s="49"/>
      <c r="V111" s="47">
        <f>ROUND((_11_A通院１２．０*(1+_11・A深夜)),0)+ROUND((_11_B通院１２．０＿１．０*(1+_11・B早朝)),0)</f>
        <v>1208</v>
      </c>
      <c r="W111" s="48"/>
    </row>
    <row r="112" spans="1:23" ht="16.5" customHeight="1" x14ac:dyDescent="0.15">
      <c r="A112" s="41">
        <v>11</v>
      </c>
      <c r="B112" s="41">
        <v>3356</v>
      </c>
      <c r="C112" s="74" t="s">
        <v>5128</v>
      </c>
      <c r="D112" s="72"/>
      <c r="F112" s="709"/>
      <c r="G112" s="718"/>
      <c r="H112" s="43"/>
      <c r="I112" s="37"/>
      <c r="J112" s="38"/>
      <c r="K112" s="44" t="s">
        <v>397</v>
      </c>
      <c r="L112" s="45" t="s">
        <v>398</v>
      </c>
      <c r="M112" s="46">
        <v>1</v>
      </c>
      <c r="N112" s="35"/>
      <c r="P112" s="57"/>
      <c r="S112" s="57"/>
      <c r="T112" s="35"/>
      <c r="V112" s="47">
        <f>ROUND((ROUND((_11_A通院１２．０*_11・２人),0)*(1+_11・A深夜)),0)+ROUND((ROUND((_11_B通院１２．０＿１．０*_11・２人),0)*(1+_11・B早朝)),0)</f>
        <v>1208</v>
      </c>
      <c r="W112" s="48"/>
    </row>
    <row r="113" spans="1:23" ht="16.5" customHeight="1" x14ac:dyDescent="0.15">
      <c r="A113" s="41">
        <v>11</v>
      </c>
      <c r="B113" s="41">
        <v>3357</v>
      </c>
      <c r="C113" s="74" t="s">
        <v>5129</v>
      </c>
      <c r="D113" s="72"/>
      <c r="F113" s="709"/>
      <c r="G113" s="718"/>
      <c r="H113" s="752" t="s">
        <v>400</v>
      </c>
      <c r="I113" s="49" t="s">
        <v>398</v>
      </c>
      <c r="J113" s="50">
        <v>0.7</v>
      </c>
      <c r="K113" s="44"/>
      <c r="L113" s="45"/>
      <c r="M113" s="46"/>
      <c r="N113" s="35"/>
      <c r="P113" s="57"/>
      <c r="S113" s="57"/>
      <c r="T113" s="35"/>
      <c r="V113" s="47">
        <f>ROUND((ROUND((_11_A通院１２．０*_11・基礎１),0)*(1+_11・A深夜)),0)+ROUND((ROUND((_11_B通院１２．０＿１．０*_11・基礎１),0)*(1+_11・B早朝)),0)</f>
        <v>845</v>
      </c>
      <c r="W113" s="48"/>
    </row>
    <row r="114" spans="1:23" ht="16.5" customHeight="1" x14ac:dyDescent="0.15">
      <c r="A114" s="41">
        <v>11</v>
      </c>
      <c r="B114" s="41">
        <v>3358</v>
      </c>
      <c r="C114" s="74" t="s">
        <v>5130</v>
      </c>
      <c r="D114" s="72"/>
      <c r="F114" s="125">
        <f>_11_B通院１２．０＿１．０</f>
        <v>167</v>
      </c>
      <c r="G114" s="12" t="s">
        <v>392</v>
      </c>
      <c r="H114" s="711"/>
      <c r="I114" s="37"/>
      <c r="J114" s="38"/>
      <c r="K114" s="44" t="s">
        <v>397</v>
      </c>
      <c r="L114" s="45" t="s">
        <v>398</v>
      </c>
      <c r="M114" s="46">
        <v>1</v>
      </c>
      <c r="N114" s="35"/>
      <c r="P114" s="57"/>
      <c r="S114" s="57"/>
      <c r="T114" s="43"/>
      <c r="U114" s="37"/>
      <c r="V114" s="47">
        <f>ROUND((ROUND((ROUND((_11_A通院１２．０*_11・基礎１),0)*_11・２人),0)*(1+_11・A深夜)),0)+ROUND((ROUND((ROUND((_11_B通院１２．０＿１．０*_11・基礎１),0)*_11・２人),0)*(1+_11・B早朝)),0)</f>
        <v>845</v>
      </c>
      <c r="W114" s="48"/>
    </row>
    <row r="115" spans="1:23" ht="16.5" customHeight="1" x14ac:dyDescent="0.15">
      <c r="A115" s="41">
        <v>11</v>
      </c>
      <c r="B115" s="41" t="s">
        <v>5131</v>
      </c>
      <c r="C115" s="74" t="s">
        <v>5132</v>
      </c>
      <c r="D115" s="72"/>
      <c r="F115" s="121"/>
      <c r="H115" s="53"/>
      <c r="I115" s="49"/>
      <c r="J115" s="50"/>
      <c r="K115" s="44"/>
      <c r="L115" s="45"/>
      <c r="M115" s="46"/>
      <c r="N115" s="35"/>
      <c r="P115" s="57"/>
      <c r="S115" s="57"/>
      <c r="T115" s="707" t="s">
        <v>404</v>
      </c>
      <c r="U115" s="708"/>
      <c r="V115" s="47">
        <f>ROUND((ROUND((_11_A通院１２．０*(1+_11・A深夜)),0)*_11・初任),0)+ROUND((ROUND((_11_B通院１２．０＿１．０*(1+_11・B早朝)),0)*_11・初任),0)</f>
        <v>845</v>
      </c>
      <c r="W115" s="48"/>
    </row>
    <row r="116" spans="1:23" ht="16.5" customHeight="1" x14ac:dyDescent="0.15">
      <c r="A116" s="41">
        <v>11</v>
      </c>
      <c r="B116" s="41" t="s">
        <v>5133</v>
      </c>
      <c r="C116" s="74" t="s">
        <v>5134</v>
      </c>
      <c r="D116" s="72"/>
      <c r="F116" s="121"/>
      <c r="H116" s="43"/>
      <c r="I116" s="37"/>
      <c r="J116" s="38"/>
      <c r="K116" s="44" t="s">
        <v>397</v>
      </c>
      <c r="L116" s="45" t="s">
        <v>398</v>
      </c>
      <c r="M116" s="46">
        <v>1</v>
      </c>
      <c r="N116" s="35"/>
      <c r="P116" s="57"/>
      <c r="S116" s="57"/>
      <c r="T116" s="709"/>
      <c r="U116" s="704"/>
      <c r="V116" s="47">
        <f>ROUND((ROUND((ROUND((_11_A通院１２．０*_11・２人),0)*(1+_11・A深夜)),0)*_11・初任),0)+ROUND((ROUND((ROUND((_11_B通院１２．０＿１．０*_11・２人),0)*(1+_11・B早朝)),0)*_11・初任),0)</f>
        <v>845</v>
      </c>
      <c r="W116" s="48"/>
    </row>
    <row r="117" spans="1:23" ht="16.5" customHeight="1" x14ac:dyDescent="0.15">
      <c r="A117" s="41">
        <v>11</v>
      </c>
      <c r="B117" s="41" t="s">
        <v>5135</v>
      </c>
      <c r="C117" s="74" t="s">
        <v>5136</v>
      </c>
      <c r="D117" s="72"/>
      <c r="F117" s="72"/>
      <c r="H117" s="752" t="s">
        <v>400</v>
      </c>
      <c r="I117" s="49" t="s">
        <v>398</v>
      </c>
      <c r="J117" s="50">
        <v>0.7</v>
      </c>
      <c r="K117" s="44"/>
      <c r="L117" s="45"/>
      <c r="M117" s="46"/>
      <c r="N117" s="35"/>
      <c r="P117" s="57"/>
      <c r="S117" s="57"/>
      <c r="T117" s="709"/>
      <c r="U117" s="704"/>
      <c r="V117" s="47">
        <f>ROUND((ROUND((ROUND((_11_A通院１２．０*_11・基礎１),0)*(1+_11・A深夜)),0)*_11・初任),0)+ROUND((ROUND((ROUND((_11_B通院１２．０＿１．０*_11・基礎１),0)*(1+_11・B早朝)),0)*_11・初任),0)</f>
        <v>591</v>
      </c>
      <c r="W117" s="48"/>
    </row>
    <row r="118" spans="1:23" ht="16.5" customHeight="1" x14ac:dyDescent="0.15">
      <c r="A118" s="41">
        <v>11</v>
      </c>
      <c r="B118" s="41" t="s">
        <v>5137</v>
      </c>
      <c r="C118" s="74" t="s">
        <v>5138</v>
      </c>
      <c r="D118" s="72"/>
      <c r="F118" s="72"/>
      <c r="H118" s="711"/>
      <c r="I118" s="37"/>
      <c r="J118" s="38"/>
      <c r="K118" s="44" t="s">
        <v>397</v>
      </c>
      <c r="L118" s="45" t="s">
        <v>398</v>
      </c>
      <c r="M118" s="46">
        <v>1</v>
      </c>
      <c r="N118" s="35"/>
      <c r="P118" s="57"/>
      <c r="S118" s="57"/>
      <c r="T118" s="55" t="s">
        <v>398</v>
      </c>
      <c r="U118" s="38">
        <f>_11・初任</f>
        <v>0.7</v>
      </c>
      <c r="V118" s="47">
        <f>ROUND((ROUND((ROUND((ROUND((_11_A通院１２．０*_11・基礎１),0)*_11・２人),0)*(1+_11・A深夜)),0)*_11・初任),0)+ROUND((ROUND((ROUND((ROUND((_11_B通院１２．０＿１．０*_11・基礎１),0)*_11・２人),0)*(1+_11・B早朝)),0)*_11・初任),0)</f>
        <v>591</v>
      </c>
      <c r="W118" s="48"/>
    </row>
    <row r="119" spans="1:23" ht="16.5" customHeight="1" x14ac:dyDescent="0.15">
      <c r="A119" s="41">
        <v>11</v>
      </c>
      <c r="B119" s="41">
        <v>3359</v>
      </c>
      <c r="C119" s="74" t="s">
        <v>5139</v>
      </c>
      <c r="D119" s="707" t="s">
        <v>5140</v>
      </c>
      <c r="E119" s="717"/>
      <c r="F119" s="707" t="s">
        <v>3602</v>
      </c>
      <c r="G119" s="717"/>
      <c r="H119" s="53"/>
      <c r="I119" s="49"/>
      <c r="J119" s="50"/>
      <c r="K119" s="44"/>
      <c r="L119" s="45"/>
      <c r="M119" s="46"/>
      <c r="N119" s="35"/>
      <c r="P119" s="57"/>
      <c r="S119" s="57"/>
      <c r="T119" s="53"/>
      <c r="U119" s="49"/>
      <c r="V119" s="47">
        <f>ROUND((_11_A通院１２．５*(1+_11・A深夜)),0)+ROUND((_11_B通院１２．５＿０．５*(1+_11・B早朝)),0)</f>
        <v>1229</v>
      </c>
      <c r="W119" s="48"/>
    </row>
    <row r="120" spans="1:23" ht="16.5" customHeight="1" x14ac:dyDescent="0.15">
      <c r="A120" s="41">
        <v>11</v>
      </c>
      <c r="B120" s="41">
        <v>3360</v>
      </c>
      <c r="C120" s="74" t="s">
        <v>5141</v>
      </c>
      <c r="D120" s="709"/>
      <c r="E120" s="718"/>
      <c r="F120" s="709"/>
      <c r="G120" s="718"/>
      <c r="H120" s="43"/>
      <c r="I120" s="37"/>
      <c r="J120" s="38"/>
      <c r="K120" s="44" t="s">
        <v>397</v>
      </c>
      <c r="L120" s="45" t="s">
        <v>398</v>
      </c>
      <c r="M120" s="46">
        <v>1</v>
      </c>
      <c r="N120" s="35"/>
      <c r="P120" s="57"/>
      <c r="S120" s="57"/>
      <c r="T120" s="35"/>
      <c r="V120" s="47">
        <f>ROUND((ROUND((_11_A通院１２．５*_11・２人),0)*(1+_11・A深夜)),0)+ROUND((ROUND((_11_B通院１２．５＿０．５*_11・２人),0)*(1+_11・B早朝)),0)</f>
        <v>1229</v>
      </c>
      <c r="W120" s="48"/>
    </row>
    <row r="121" spans="1:23" ht="16.5" customHeight="1" x14ac:dyDescent="0.15">
      <c r="A121" s="41">
        <v>11</v>
      </c>
      <c r="B121" s="41">
        <v>3361</v>
      </c>
      <c r="C121" s="74" t="s">
        <v>5142</v>
      </c>
      <c r="D121" s="709"/>
      <c r="E121" s="718"/>
      <c r="F121" s="709"/>
      <c r="G121" s="718"/>
      <c r="H121" s="752" t="s">
        <v>400</v>
      </c>
      <c r="I121" s="49" t="s">
        <v>398</v>
      </c>
      <c r="J121" s="50">
        <v>0.7</v>
      </c>
      <c r="K121" s="44"/>
      <c r="L121" s="45"/>
      <c r="M121" s="46"/>
      <c r="N121" s="35"/>
      <c r="P121" s="57"/>
      <c r="S121" s="57"/>
      <c r="T121" s="35"/>
      <c r="V121" s="47">
        <f>ROUND((ROUND((_11_A通院１２．５*_11・基礎１),0)*(1+_11・A深夜)),0)+ROUND((ROUND((_11_B通院１２．５＿０．５*_11・基礎１),0)*(1+_11・B早朝)),0)</f>
        <v>861</v>
      </c>
      <c r="W121" s="48"/>
    </row>
    <row r="122" spans="1:23" ht="16.5" customHeight="1" x14ac:dyDescent="0.15">
      <c r="A122" s="41">
        <v>11</v>
      </c>
      <c r="B122" s="41">
        <v>3362</v>
      </c>
      <c r="C122" s="74" t="s">
        <v>5143</v>
      </c>
      <c r="D122" s="125">
        <f>_11_A通院１２．５</f>
        <v>750</v>
      </c>
      <c r="E122" s="12" t="s">
        <v>392</v>
      </c>
      <c r="F122" s="125">
        <f>_11_B通院１２．５＿０．５</f>
        <v>83</v>
      </c>
      <c r="G122" s="12" t="s">
        <v>392</v>
      </c>
      <c r="H122" s="711"/>
      <c r="I122" s="37"/>
      <c r="J122" s="38"/>
      <c r="K122" s="44" t="s">
        <v>397</v>
      </c>
      <c r="L122" s="45" t="s">
        <v>398</v>
      </c>
      <c r="M122" s="46">
        <v>1</v>
      </c>
      <c r="N122" s="35"/>
      <c r="P122" s="57"/>
      <c r="S122" s="57"/>
      <c r="T122" s="43"/>
      <c r="U122" s="37"/>
      <c r="V122" s="47">
        <f>ROUND((ROUND((ROUND((_11_A通院１２．５*_11・基礎１),0)*_11・２人),0)*(1+_11・A深夜)),0)+ROUND((ROUND((ROUND((_11_B通院１２．５＿０．５*_11・基礎１),0)*_11・２人),0)*(1+_11・B早朝)),0)</f>
        <v>861</v>
      </c>
      <c r="W122" s="48"/>
    </row>
    <row r="123" spans="1:23" ht="16.5" customHeight="1" x14ac:dyDescent="0.15">
      <c r="A123" s="41">
        <v>11</v>
      </c>
      <c r="B123" s="41" t="s">
        <v>5144</v>
      </c>
      <c r="C123" s="74" t="s">
        <v>5145</v>
      </c>
      <c r="D123" s="121"/>
      <c r="F123" s="121"/>
      <c r="H123" s="53"/>
      <c r="I123" s="49"/>
      <c r="J123" s="50"/>
      <c r="K123" s="44"/>
      <c r="L123" s="45"/>
      <c r="M123" s="46"/>
      <c r="N123" s="35"/>
      <c r="P123" s="57"/>
      <c r="S123" s="57"/>
      <c r="T123" s="707" t="s">
        <v>404</v>
      </c>
      <c r="U123" s="708"/>
      <c r="V123" s="47">
        <f>ROUND((ROUND((_11_A通院１２．５*(1+_11・A深夜)),0)*_11・初任),0)+ROUND((ROUND((_11_B通院１２．５＿０．５*(1+_11・B早朝)),0)*_11・初任),0)</f>
        <v>861</v>
      </c>
      <c r="W123" s="48"/>
    </row>
    <row r="124" spans="1:23" ht="16.5" customHeight="1" x14ac:dyDescent="0.15">
      <c r="A124" s="41">
        <v>11</v>
      </c>
      <c r="B124" s="41" t="s">
        <v>5146</v>
      </c>
      <c r="C124" s="74" t="s">
        <v>5147</v>
      </c>
      <c r="D124" s="121"/>
      <c r="F124" s="121"/>
      <c r="H124" s="43"/>
      <c r="I124" s="37"/>
      <c r="J124" s="38"/>
      <c r="K124" s="44" t="s">
        <v>397</v>
      </c>
      <c r="L124" s="45" t="s">
        <v>398</v>
      </c>
      <c r="M124" s="46">
        <v>1</v>
      </c>
      <c r="N124" s="35"/>
      <c r="P124" s="57"/>
      <c r="S124" s="57"/>
      <c r="T124" s="709"/>
      <c r="U124" s="704"/>
      <c r="V124" s="47">
        <f>ROUND((ROUND((ROUND((_11_A通院１２．５*_11・２人),0)*(1+_11・A深夜)),0)*_11・初任),0)+ROUND((ROUND((ROUND((_11_B通院１２．５＿０．５*_11・２人),0)*(1+_11・B早朝)),0)*_11・初任),0)</f>
        <v>861</v>
      </c>
      <c r="W124" s="48"/>
    </row>
    <row r="125" spans="1:23" ht="16.5" customHeight="1" x14ac:dyDescent="0.15">
      <c r="A125" s="41">
        <v>11</v>
      </c>
      <c r="B125" s="41" t="s">
        <v>5148</v>
      </c>
      <c r="C125" s="74" t="s">
        <v>5149</v>
      </c>
      <c r="D125" s="72"/>
      <c r="F125" s="72"/>
      <c r="H125" s="752" t="s">
        <v>400</v>
      </c>
      <c r="I125" s="49" t="s">
        <v>398</v>
      </c>
      <c r="J125" s="50">
        <v>0.7</v>
      </c>
      <c r="K125" s="44"/>
      <c r="L125" s="45"/>
      <c r="M125" s="46"/>
      <c r="N125" s="35"/>
      <c r="P125" s="57"/>
      <c r="S125" s="57"/>
      <c r="T125" s="709"/>
      <c r="U125" s="704"/>
      <c r="V125" s="47">
        <f>ROUND((ROUND((ROUND((_11_A通院１２．５*_11・基礎１),0)*(1+_11・A深夜)),0)*_11・初任),0)+ROUND((ROUND((ROUND((_11_B通院１２．５＿０．５*_11・基礎１),0)*(1+_11・B早朝)),0)*_11・初任),0)</f>
        <v>603</v>
      </c>
      <c r="W125" s="48"/>
    </row>
    <row r="126" spans="1:23" ht="16.5" customHeight="1" x14ac:dyDescent="0.15">
      <c r="A126" s="41">
        <v>11</v>
      </c>
      <c r="B126" s="41" t="s">
        <v>5150</v>
      </c>
      <c r="C126" s="74" t="s">
        <v>5151</v>
      </c>
      <c r="D126" s="122"/>
      <c r="E126" s="37"/>
      <c r="F126" s="122"/>
      <c r="G126" s="37"/>
      <c r="H126" s="711"/>
      <c r="I126" s="37"/>
      <c r="J126" s="38"/>
      <c r="K126" s="44" t="s">
        <v>397</v>
      </c>
      <c r="L126" s="45" t="s">
        <v>398</v>
      </c>
      <c r="M126" s="46">
        <v>1</v>
      </c>
      <c r="N126" s="43"/>
      <c r="O126" s="38"/>
      <c r="P126" s="79"/>
      <c r="Q126" s="37"/>
      <c r="R126" s="38"/>
      <c r="S126" s="79"/>
      <c r="T126" s="55" t="s">
        <v>398</v>
      </c>
      <c r="U126" s="38">
        <f>_11・初任</f>
        <v>0.7</v>
      </c>
      <c r="V126" s="47">
        <f>ROUND((ROUND((ROUND((ROUND((_11_A通院１２．５*_11・基礎１),0)*_11・２人),0)*(1+_11・A深夜)),0)*_11・初任),0)+ROUND((ROUND((ROUND((ROUND((_11_B通院１２．５＿０．５*_11・基礎１),0)*_11・２人),0)*(1+_11・B早朝)),0)*_11・初任),0)</f>
        <v>603</v>
      </c>
      <c r="W126" s="63"/>
    </row>
    <row r="127" spans="1:23" ht="16.5" customHeight="1" x14ac:dyDescent="0.15"/>
    <row r="128" spans="1:23" ht="16.5" customHeight="1" x14ac:dyDescent="0.15"/>
  </sheetData>
  <mergeCells count="69">
    <mergeCell ref="D119:E121"/>
    <mergeCell ref="F119:G121"/>
    <mergeCell ref="H121:H122"/>
    <mergeCell ref="T123:U125"/>
    <mergeCell ref="H125:H126"/>
    <mergeCell ref="T107:U109"/>
    <mergeCell ref="H109:H110"/>
    <mergeCell ref="F111:G113"/>
    <mergeCell ref="H113:H114"/>
    <mergeCell ref="T115:U117"/>
    <mergeCell ref="H117:H118"/>
    <mergeCell ref="F95:G97"/>
    <mergeCell ref="H97:H98"/>
    <mergeCell ref="T99:U101"/>
    <mergeCell ref="H101:H102"/>
    <mergeCell ref="D103:E105"/>
    <mergeCell ref="F103:G105"/>
    <mergeCell ref="H105:H106"/>
    <mergeCell ref="T83:U85"/>
    <mergeCell ref="H85:H86"/>
    <mergeCell ref="F87:G89"/>
    <mergeCell ref="H89:H90"/>
    <mergeCell ref="T91:U93"/>
    <mergeCell ref="H93:H94"/>
    <mergeCell ref="T75:U77"/>
    <mergeCell ref="H77:H78"/>
    <mergeCell ref="D79:E81"/>
    <mergeCell ref="F79:G81"/>
    <mergeCell ref="P80:P81"/>
    <mergeCell ref="S80:S81"/>
    <mergeCell ref="H81:H82"/>
    <mergeCell ref="F63:G65"/>
    <mergeCell ref="H65:H66"/>
    <mergeCell ref="T67:U69"/>
    <mergeCell ref="H69:H70"/>
    <mergeCell ref="F71:G73"/>
    <mergeCell ref="H73:H74"/>
    <mergeCell ref="T51:U53"/>
    <mergeCell ref="H53:H54"/>
    <mergeCell ref="F55:G57"/>
    <mergeCell ref="H57:H58"/>
    <mergeCell ref="T59:U61"/>
    <mergeCell ref="H61:H62"/>
    <mergeCell ref="F39:G41"/>
    <mergeCell ref="H41:H42"/>
    <mergeCell ref="T43:U45"/>
    <mergeCell ref="H45:H46"/>
    <mergeCell ref="D47:E49"/>
    <mergeCell ref="F47:G49"/>
    <mergeCell ref="H49:H50"/>
    <mergeCell ref="T27:U29"/>
    <mergeCell ref="H29:H30"/>
    <mergeCell ref="F31:G33"/>
    <mergeCell ref="H33:H34"/>
    <mergeCell ref="T35:U37"/>
    <mergeCell ref="H37:H38"/>
    <mergeCell ref="F15:G17"/>
    <mergeCell ref="H17:H18"/>
    <mergeCell ref="T19:U21"/>
    <mergeCell ref="H21:H22"/>
    <mergeCell ref="F23:G25"/>
    <mergeCell ref="H25:H26"/>
    <mergeCell ref="T11:U13"/>
    <mergeCell ref="H13:H14"/>
    <mergeCell ref="D7:E9"/>
    <mergeCell ref="F7:G9"/>
    <mergeCell ref="P8:P9"/>
    <mergeCell ref="S8:S9"/>
    <mergeCell ref="H9:H10"/>
  </mergeCells>
  <phoneticPr fontId="1"/>
  <printOptions horizontalCentered="1"/>
  <pageMargins left="0.70866141732283472" right="0.70866141732283472" top="0.74803149606299213" bottom="0.74803149606299213" header="0.31496062992125984" footer="0.31496062992125984"/>
  <pageSetup paperSize="9" scale="50" fitToHeight="0" orientation="portrait" r:id="rId1"/>
  <headerFooter>
    <oddHeader>&amp;R&amp;"ＭＳ Ｐゴシック"&amp;9居宅介護</oddHeader>
    <oddFooter>&amp;C&amp;"ＭＳ Ｐゴシック"&amp;14&amp;P</oddFooter>
  </headerFooter>
  <rowBreaks count="1" manualBreakCount="1">
    <brk id="78" max="2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pageSetUpPr fitToPage="1"/>
  </sheetPr>
  <dimension ref="A1:T12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0.125" style="10" bestFit="1" customWidth="1"/>
    <col min="4" max="4" width="4.5" style="10" bestFit="1" customWidth="1"/>
    <col min="5" max="5" width="5.5" style="117" bestFit="1" customWidth="1"/>
    <col min="6" max="6" width="5.5" style="10" bestFit="1" customWidth="1"/>
    <col min="7" max="7" width="5.5" style="117" bestFit="1" customWidth="1"/>
    <col min="8" max="8" width="11.875" style="12" customWidth="1"/>
    <col min="9" max="9" width="3.5" style="12" bestFit="1" customWidth="1"/>
    <col min="10" max="10" width="4.5" style="13" bestFit="1" customWidth="1"/>
    <col min="11" max="11" width="25.5" style="14" bestFit="1" customWidth="1"/>
    <col min="12" max="12" width="3.5" style="12" bestFit="1" customWidth="1"/>
    <col min="13" max="13" width="5.5" style="13" bestFit="1" customWidth="1"/>
    <col min="14" max="14" width="3.5" style="12" bestFit="1" customWidth="1"/>
    <col min="15" max="15" width="4.5" style="13" bestFit="1" customWidth="1"/>
    <col min="16" max="16" width="5.5" style="12" bestFit="1" customWidth="1"/>
    <col min="17" max="17" width="9.875" style="12" customWidth="1"/>
    <col min="18" max="18" width="4.5" style="12" bestFit="1" customWidth="1"/>
    <col min="19" max="19" width="7.125" style="15" customWidth="1"/>
    <col min="20" max="20" width="8.5" style="16" customWidth="1"/>
    <col min="21" max="16384" width="8.875" style="12"/>
  </cols>
  <sheetData>
    <row r="1" spans="1:20" ht="17.100000000000001" customHeight="1" x14ac:dyDescent="0.15"/>
    <row r="2" spans="1:20" ht="17.100000000000001" customHeight="1" x14ac:dyDescent="0.15"/>
    <row r="3" spans="1:20" ht="17.100000000000001" customHeight="1" x14ac:dyDescent="0.15"/>
    <row r="4" spans="1:20" ht="17.100000000000001" customHeight="1" x14ac:dyDescent="0.15">
      <c r="B4" s="17" t="s">
        <v>5152</v>
      </c>
      <c r="D4" s="71"/>
    </row>
    <row r="5" spans="1:20" ht="16.5" customHeight="1" x14ac:dyDescent="0.15">
      <c r="A5" s="19" t="s">
        <v>384</v>
      </c>
      <c r="B5" s="20"/>
      <c r="C5" s="21" t="s">
        <v>385</v>
      </c>
      <c r="D5" s="23" t="s">
        <v>386</v>
      </c>
      <c r="E5" s="118"/>
      <c r="F5" s="23"/>
      <c r="G5" s="118"/>
      <c r="H5" s="23"/>
      <c r="I5" s="23"/>
      <c r="J5" s="24"/>
      <c r="K5" s="23"/>
      <c r="L5" s="23"/>
      <c r="M5" s="24"/>
      <c r="N5" s="23"/>
      <c r="O5" s="24"/>
      <c r="P5" s="23"/>
      <c r="Q5" s="23"/>
      <c r="R5" s="23"/>
      <c r="S5" s="25" t="s">
        <v>387</v>
      </c>
      <c r="T5" s="21" t="s">
        <v>388</v>
      </c>
    </row>
    <row r="6" spans="1:20" ht="16.5" customHeight="1" x14ac:dyDescent="0.15">
      <c r="A6" s="26" t="s">
        <v>389</v>
      </c>
      <c r="B6" s="26" t="s">
        <v>390</v>
      </c>
      <c r="C6" s="27"/>
      <c r="D6" s="87" t="s">
        <v>1032</v>
      </c>
      <c r="E6" s="119"/>
      <c r="F6" s="29"/>
      <c r="G6" s="120"/>
      <c r="H6" s="29"/>
      <c r="I6" s="29"/>
      <c r="J6" s="30"/>
      <c r="K6" s="29"/>
      <c r="L6" s="29"/>
      <c r="M6" s="30"/>
      <c r="N6" s="29"/>
      <c r="O6" s="30"/>
      <c r="P6" s="29"/>
      <c r="Q6" s="29"/>
      <c r="R6" s="29"/>
      <c r="S6" s="31" t="s">
        <v>391</v>
      </c>
      <c r="T6" s="32" t="s">
        <v>392</v>
      </c>
    </row>
    <row r="7" spans="1:20" ht="16.5" customHeight="1" x14ac:dyDescent="0.15">
      <c r="A7" s="33">
        <v>11</v>
      </c>
      <c r="B7" s="33">
        <v>3363</v>
      </c>
      <c r="C7" s="34" t="s">
        <v>5153</v>
      </c>
      <c r="D7" s="709" t="s">
        <v>4640</v>
      </c>
      <c r="E7" s="718"/>
      <c r="F7" s="709" t="s">
        <v>3643</v>
      </c>
      <c r="G7" s="718"/>
      <c r="H7" s="35"/>
      <c r="K7" s="36"/>
      <c r="L7" s="37"/>
      <c r="M7" s="38"/>
      <c r="N7" s="72" t="s">
        <v>1227</v>
      </c>
      <c r="P7" s="57"/>
      <c r="Q7" s="35"/>
      <c r="S7" s="39">
        <f>ROUND((_11_A通院１０．５*(1+_11・A早朝)),0)+_11_B通院１０．５＿０．５</f>
        <v>466</v>
      </c>
      <c r="T7" s="40" t="s">
        <v>395</v>
      </c>
    </row>
    <row r="8" spans="1:20" ht="16.5" customHeight="1" x14ac:dyDescent="0.15">
      <c r="A8" s="41">
        <v>11</v>
      </c>
      <c r="B8" s="41">
        <v>3364</v>
      </c>
      <c r="C8" s="74" t="s">
        <v>5154</v>
      </c>
      <c r="D8" s="709"/>
      <c r="E8" s="718"/>
      <c r="F8" s="709"/>
      <c r="G8" s="718"/>
      <c r="H8" s="43"/>
      <c r="I8" s="37"/>
      <c r="J8" s="38"/>
      <c r="K8" s="44" t="s">
        <v>397</v>
      </c>
      <c r="L8" s="45" t="s">
        <v>398</v>
      </c>
      <c r="M8" s="46">
        <v>1</v>
      </c>
      <c r="N8" s="35" t="s">
        <v>398</v>
      </c>
      <c r="O8" s="13">
        <v>0.25</v>
      </c>
      <c r="P8" s="728" t="s">
        <v>676</v>
      </c>
      <c r="Q8" s="35"/>
      <c r="S8" s="47">
        <f>ROUND((ROUND((_11_A通院１０．５*_11・２人),0)*(1+_11・A早朝)),0)+ROUND((_11_B通院１０．５＿０．５*_11・２人),0)</f>
        <v>466</v>
      </c>
      <c r="T8" s="48"/>
    </row>
    <row r="9" spans="1:20" ht="16.5" customHeight="1" x14ac:dyDescent="0.15">
      <c r="A9" s="41">
        <v>11</v>
      </c>
      <c r="B9" s="41">
        <v>3365</v>
      </c>
      <c r="C9" s="74" t="s">
        <v>5155</v>
      </c>
      <c r="D9" s="709"/>
      <c r="E9" s="718"/>
      <c r="F9" s="709"/>
      <c r="G9" s="718"/>
      <c r="H9" s="752" t="s">
        <v>400</v>
      </c>
      <c r="I9" s="49" t="s">
        <v>398</v>
      </c>
      <c r="J9" s="50">
        <v>0.7</v>
      </c>
      <c r="K9" s="44"/>
      <c r="L9" s="45"/>
      <c r="M9" s="46"/>
      <c r="N9" s="35"/>
      <c r="P9" s="728"/>
      <c r="Q9" s="35"/>
      <c r="S9" s="47">
        <f>ROUND((ROUND((_11_A通院１０．５*_11・基礎１),0)*(1+_11・A早朝)),0)+ROUND((_11_B通院１０．５＿０．５*_11・基礎１),0)</f>
        <v>327</v>
      </c>
      <c r="T9" s="48"/>
    </row>
    <row r="10" spans="1:20" ht="16.5" customHeight="1" x14ac:dyDescent="0.15">
      <c r="A10" s="41">
        <v>11</v>
      </c>
      <c r="B10" s="41">
        <v>3366</v>
      </c>
      <c r="C10" s="74" t="s">
        <v>5156</v>
      </c>
      <c r="D10" s="100">
        <f>_11_A通院１０．５</f>
        <v>255</v>
      </c>
      <c r="E10" s="12" t="s">
        <v>392</v>
      </c>
      <c r="F10" s="100">
        <f>_11_B通院１０．５＿０．５</f>
        <v>147</v>
      </c>
      <c r="G10" s="12" t="s">
        <v>392</v>
      </c>
      <c r="H10" s="711"/>
      <c r="I10" s="37"/>
      <c r="J10" s="38"/>
      <c r="K10" s="44" t="s">
        <v>397</v>
      </c>
      <c r="L10" s="45" t="s">
        <v>398</v>
      </c>
      <c r="M10" s="46">
        <v>1</v>
      </c>
      <c r="N10" s="35"/>
      <c r="P10" s="57"/>
      <c r="Q10" s="43"/>
      <c r="R10" s="37"/>
      <c r="S10" s="47">
        <f>ROUND((ROUND((ROUND((_11_A通院１０．５*_11・基礎１),0)*_11・２人),0)*(1+_11・A早朝)),0)+ROUND((ROUND((_11_B通院１０．５＿０．５*_11・基礎１),0)*_11・２人),0)</f>
        <v>327</v>
      </c>
      <c r="T10" s="48"/>
    </row>
    <row r="11" spans="1:20" ht="16.5" customHeight="1" x14ac:dyDescent="0.15">
      <c r="A11" s="41">
        <v>11</v>
      </c>
      <c r="B11" s="41" t="s">
        <v>5157</v>
      </c>
      <c r="C11" s="74" t="s">
        <v>5158</v>
      </c>
      <c r="D11" s="121"/>
      <c r="E11" s="99"/>
      <c r="F11" s="121"/>
      <c r="G11" s="99"/>
      <c r="H11" s="53"/>
      <c r="I11" s="49"/>
      <c r="J11" s="50"/>
      <c r="K11" s="44"/>
      <c r="L11" s="45"/>
      <c r="M11" s="46"/>
      <c r="N11" s="35"/>
      <c r="P11" s="57"/>
      <c r="Q11" s="707" t="s">
        <v>404</v>
      </c>
      <c r="R11" s="708"/>
      <c r="S11" s="47">
        <f>ROUND((ROUND((_11_A通院１０．５*(1+_11・A早朝)),0)*_11・初任),0)+ROUND((_11_B通院１０．５＿０．５*_11・初任),0)</f>
        <v>326</v>
      </c>
      <c r="T11" s="48"/>
    </row>
    <row r="12" spans="1:20" ht="16.5" customHeight="1" x14ac:dyDescent="0.15">
      <c r="A12" s="41">
        <v>11</v>
      </c>
      <c r="B12" s="41" t="s">
        <v>5159</v>
      </c>
      <c r="C12" s="74" t="s">
        <v>5160</v>
      </c>
      <c r="D12" s="121"/>
      <c r="E12" s="99"/>
      <c r="F12" s="121"/>
      <c r="G12" s="99"/>
      <c r="H12" s="43"/>
      <c r="I12" s="37"/>
      <c r="J12" s="38"/>
      <c r="K12" s="44" t="s">
        <v>397</v>
      </c>
      <c r="L12" s="45" t="s">
        <v>398</v>
      </c>
      <c r="M12" s="46">
        <v>1</v>
      </c>
      <c r="N12" s="35"/>
      <c r="P12" s="57"/>
      <c r="Q12" s="709"/>
      <c r="R12" s="704"/>
      <c r="S12" s="47">
        <f>ROUND((ROUND((ROUND((_11_A通院１０．５*_11・２人),0)*(1+_11・A早朝)),0)*_11・初任),0)+ROUND((ROUND((_11_B通院１０．５＿０．５*_11・２人),0)*_11・初任),0)</f>
        <v>326</v>
      </c>
      <c r="T12" s="48"/>
    </row>
    <row r="13" spans="1:20" ht="16.5" customHeight="1" x14ac:dyDescent="0.15">
      <c r="A13" s="41">
        <v>11</v>
      </c>
      <c r="B13" s="41" t="s">
        <v>5161</v>
      </c>
      <c r="C13" s="74" t="s">
        <v>5162</v>
      </c>
      <c r="D13" s="72"/>
      <c r="E13" s="99"/>
      <c r="F13" s="72"/>
      <c r="G13" s="99"/>
      <c r="H13" s="752" t="s">
        <v>400</v>
      </c>
      <c r="I13" s="49" t="s">
        <v>398</v>
      </c>
      <c r="J13" s="50">
        <v>0.7</v>
      </c>
      <c r="K13" s="44"/>
      <c r="L13" s="45"/>
      <c r="M13" s="46"/>
      <c r="N13" s="35"/>
      <c r="P13" s="57"/>
      <c r="Q13" s="709"/>
      <c r="R13" s="704"/>
      <c r="S13" s="47">
        <f>ROUND((ROUND((ROUND((_11_A通院１０．５*_11・基礎１),0)*(1+_11・A早朝)),0)*_11・初任),0)+ROUND((ROUND((_11_B通院１０．５＿０．５*_11・基礎１),0)*_11・初任),0)</f>
        <v>229</v>
      </c>
      <c r="T13" s="48"/>
    </row>
    <row r="14" spans="1:20" ht="16.5" customHeight="1" x14ac:dyDescent="0.15">
      <c r="A14" s="41">
        <v>11</v>
      </c>
      <c r="B14" s="41" t="s">
        <v>5163</v>
      </c>
      <c r="C14" s="74" t="s">
        <v>5164</v>
      </c>
      <c r="D14" s="72"/>
      <c r="E14" s="99"/>
      <c r="F14" s="72"/>
      <c r="G14" s="99"/>
      <c r="H14" s="711"/>
      <c r="I14" s="37"/>
      <c r="J14" s="38"/>
      <c r="K14" s="44" t="s">
        <v>397</v>
      </c>
      <c r="L14" s="45" t="s">
        <v>398</v>
      </c>
      <c r="M14" s="46">
        <v>1</v>
      </c>
      <c r="N14" s="35"/>
      <c r="P14" s="57"/>
      <c r="Q14" s="55" t="s">
        <v>398</v>
      </c>
      <c r="R14" s="38">
        <f>_11・初任</f>
        <v>0.7</v>
      </c>
      <c r="S14" s="47">
        <f>ROUND((ROUND((ROUND((ROUND((_11_A通院１０．５*_11・基礎１),0)*_11・２人),0)*(1+_11・A早朝)),0)*_11・初任),0)+ROUND((ROUND((ROUND((_11_B通院１０．５＿０．５*_11・基礎１),0)*_11・２人),0)*_11・初任),0)</f>
        <v>229</v>
      </c>
      <c r="T14" s="48"/>
    </row>
    <row r="15" spans="1:20" ht="16.5" customHeight="1" x14ac:dyDescent="0.15">
      <c r="A15" s="41">
        <v>11</v>
      </c>
      <c r="B15" s="41">
        <v>3367</v>
      </c>
      <c r="C15" s="74" t="s">
        <v>5165</v>
      </c>
      <c r="D15" s="72"/>
      <c r="E15" s="99"/>
      <c r="F15" s="707" t="s">
        <v>3650</v>
      </c>
      <c r="G15" s="717"/>
      <c r="H15" s="53"/>
      <c r="I15" s="49"/>
      <c r="J15" s="50"/>
      <c r="K15" s="44"/>
      <c r="L15" s="45"/>
      <c r="M15" s="46"/>
      <c r="N15" s="35"/>
      <c r="P15" s="57"/>
      <c r="Q15" s="53"/>
      <c r="R15" s="49"/>
      <c r="S15" s="47">
        <f>ROUND((_11_A通院１０．５*(1+_11・A早朝)),0)+_11_B通院１０．５＿１．０</f>
        <v>648</v>
      </c>
      <c r="T15" s="48"/>
    </row>
    <row r="16" spans="1:20" ht="16.5" customHeight="1" x14ac:dyDescent="0.15">
      <c r="A16" s="41">
        <v>11</v>
      </c>
      <c r="B16" s="41">
        <v>3368</v>
      </c>
      <c r="C16" s="74" t="s">
        <v>5166</v>
      </c>
      <c r="D16" s="72"/>
      <c r="E16" s="99"/>
      <c r="F16" s="709"/>
      <c r="G16" s="718"/>
      <c r="H16" s="43"/>
      <c r="I16" s="37"/>
      <c r="J16" s="38"/>
      <c r="K16" s="44" t="s">
        <v>397</v>
      </c>
      <c r="L16" s="45" t="s">
        <v>398</v>
      </c>
      <c r="M16" s="46">
        <v>1</v>
      </c>
      <c r="N16" s="35"/>
      <c r="P16" s="57"/>
      <c r="Q16" s="35"/>
      <c r="S16" s="47">
        <f>ROUND((ROUND((_11_A通院１０．５*_11・２人),0)*(1+_11・A早朝)),0)+ROUND((_11_B通院１０．５＿１．０*_11・２人),0)</f>
        <v>648</v>
      </c>
      <c r="T16" s="48"/>
    </row>
    <row r="17" spans="1:20" ht="16.5" customHeight="1" x14ac:dyDescent="0.15">
      <c r="A17" s="41">
        <v>11</v>
      </c>
      <c r="B17" s="41">
        <v>3369</v>
      </c>
      <c r="C17" s="74" t="s">
        <v>5167</v>
      </c>
      <c r="D17" s="72"/>
      <c r="E17" s="99"/>
      <c r="F17" s="709"/>
      <c r="G17" s="718"/>
      <c r="H17" s="752" t="s">
        <v>400</v>
      </c>
      <c r="I17" s="49" t="s">
        <v>398</v>
      </c>
      <c r="J17" s="50">
        <v>0.7</v>
      </c>
      <c r="K17" s="44"/>
      <c r="L17" s="45"/>
      <c r="M17" s="46"/>
      <c r="N17" s="35"/>
      <c r="P17" s="57"/>
      <c r="Q17" s="35"/>
      <c r="S17" s="47">
        <f>ROUND((ROUND((_11_A通院１０．５*_11・基礎１),0)*(1+_11・A早朝)),0)+ROUND((_11_B通院１０．５＿１．０*_11・基礎１),0)</f>
        <v>454</v>
      </c>
      <c r="T17" s="48"/>
    </row>
    <row r="18" spans="1:20" ht="16.5" customHeight="1" x14ac:dyDescent="0.15">
      <c r="A18" s="41">
        <v>11</v>
      </c>
      <c r="B18" s="41">
        <v>3370</v>
      </c>
      <c r="C18" s="74" t="s">
        <v>5168</v>
      </c>
      <c r="D18" s="72"/>
      <c r="E18" s="99"/>
      <c r="F18" s="100">
        <f>_11_B通院１０．５＿１．０</f>
        <v>329</v>
      </c>
      <c r="G18" s="12" t="s">
        <v>392</v>
      </c>
      <c r="H18" s="711"/>
      <c r="I18" s="37"/>
      <c r="J18" s="38"/>
      <c r="K18" s="44" t="s">
        <v>397</v>
      </c>
      <c r="L18" s="45" t="s">
        <v>398</v>
      </c>
      <c r="M18" s="46">
        <v>1</v>
      </c>
      <c r="N18" s="35"/>
      <c r="P18" s="57"/>
      <c r="Q18" s="43"/>
      <c r="R18" s="37"/>
      <c r="S18" s="47">
        <f>ROUND((ROUND((ROUND((_11_A通院１０．５*_11・基礎１),0)*_11・２人),0)*(1+_11・A早朝)),0)+ROUND((ROUND((_11_B通院１０．５＿１．０*_11・基礎１),0)*_11・２人),0)</f>
        <v>454</v>
      </c>
      <c r="T18" s="48"/>
    </row>
    <row r="19" spans="1:20" ht="16.5" customHeight="1" x14ac:dyDescent="0.15">
      <c r="A19" s="41">
        <v>11</v>
      </c>
      <c r="B19" s="41" t="s">
        <v>5169</v>
      </c>
      <c r="C19" s="74" t="s">
        <v>5170</v>
      </c>
      <c r="D19" s="72"/>
      <c r="E19" s="99"/>
      <c r="F19" s="143"/>
      <c r="G19" s="99"/>
      <c r="H19" s="53"/>
      <c r="I19" s="49"/>
      <c r="J19" s="50"/>
      <c r="K19" s="44"/>
      <c r="L19" s="45"/>
      <c r="M19" s="46"/>
      <c r="N19" s="35"/>
      <c r="P19" s="57"/>
      <c r="Q19" s="707" t="s">
        <v>404</v>
      </c>
      <c r="R19" s="708"/>
      <c r="S19" s="47">
        <f>ROUND((ROUND((_11_A通院１０．５*(1+_11・A早朝)),0)*_11・初任),0)+ROUND((_11_B通院１０．５＿１．０*_11・初任),0)</f>
        <v>453</v>
      </c>
      <c r="T19" s="48"/>
    </row>
    <row r="20" spans="1:20" ht="16.5" customHeight="1" x14ac:dyDescent="0.15">
      <c r="A20" s="41">
        <v>11</v>
      </c>
      <c r="B20" s="41" t="s">
        <v>5171</v>
      </c>
      <c r="C20" s="74" t="s">
        <v>5172</v>
      </c>
      <c r="D20" s="72"/>
      <c r="E20" s="99"/>
      <c r="F20" s="143"/>
      <c r="G20" s="99"/>
      <c r="H20" s="43"/>
      <c r="I20" s="37"/>
      <c r="J20" s="38"/>
      <c r="K20" s="44" t="s">
        <v>397</v>
      </c>
      <c r="L20" s="45" t="s">
        <v>398</v>
      </c>
      <c r="M20" s="46">
        <v>1</v>
      </c>
      <c r="N20" s="35"/>
      <c r="P20" s="57"/>
      <c r="Q20" s="709"/>
      <c r="R20" s="704"/>
      <c r="S20" s="47">
        <f>ROUND((ROUND((ROUND((_11_A通院１０．５*_11・２人),0)*(1+_11・A早朝)),0)*_11・初任),0)+ROUND((ROUND((_11_B通院１０．５＿１．０*_11・２人),0)*_11・初任),0)</f>
        <v>453</v>
      </c>
      <c r="T20" s="48"/>
    </row>
    <row r="21" spans="1:20" ht="16.5" customHeight="1" x14ac:dyDescent="0.15">
      <c r="A21" s="41">
        <v>11</v>
      </c>
      <c r="B21" s="41" t="s">
        <v>5173</v>
      </c>
      <c r="C21" s="74" t="s">
        <v>5174</v>
      </c>
      <c r="D21" s="72"/>
      <c r="E21" s="99"/>
      <c r="F21" s="72"/>
      <c r="G21" s="99"/>
      <c r="H21" s="752" t="s">
        <v>400</v>
      </c>
      <c r="I21" s="49" t="s">
        <v>398</v>
      </c>
      <c r="J21" s="50">
        <v>0.7</v>
      </c>
      <c r="K21" s="44"/>
      <c r="L21" s="45"/>
      <c r="M21" s="46"/>
      <c r="N21" s="35"/>
      <c r="P21" s="57"/>
      <c r="Q21" s="709"/>
      <c r="R21" s="704"/>
      <c r="S21" s="47">
        <f>ROUND((ROUND((ROUND((_11_A通院１０．５*_11・基礎１),0)*(1+_11・A早朝)),0)*_11・初任),0)+ROUND((ROUND((_11_B通院１０．５＿１．０*_11・基礎１),0)*_11・初任),0)</f>
        <v>318</v>
      </c>
      <c r="T21" s="48"/>
    </row>
    <row r="22" spans="1:20" ht="16.5" customHeight="1" x14ac:dyDescent="0.15">
      <c r="A22" s="41">
        <v>11</v>
      </c>
      <c r="B22" s="41" t="s">
        <v>5175</v>
      </c>
      <c r="C22" s="74" t="s">
        <v>5176</v>
      </c>
      <c r="D22" s="72"/>
      <c r="E22" s="99"/>
      <c r="F22" s="72"/>
      <c r="G22" s="99"/>
      <c r="H22" s="711"/>
      <c r="I22" s="37"/>
      <c r="J22" s="38"/>
      <c r="K22" s="44" t="s">
        <v>397</v>
      </c>
      <c r="L22" s="45" t="s">
        <v>398</v>
      </c>
      <c r="M22" s="46">
        <v>1</v>
      </c>
      <c r="N22" s="35"/>
      <c r="P22" s="57"/>
      <c r="Q22" s="55" t="s">
        <v>398</v>
      </c>
      <c r="R22" s="38">
        <f>_11・初任</f>
        <v>0.7</v>
      </c>
      <c r="S22" s="47">
        <f>ROUND((ROUND((ROUND((ROUND((_11_A通院１０．５*_11・基礎１),0)*_11・２人),0)*(1+_11・A早朝)),0)*_11・初任),0)+ROUND((ROUND((ROUND((_11_B通院１０．５＿１．０*_11・基礎１),0)*_11・２人),0)*_11・初任),0)</f>
        <v>318</v>
      </c>
      <c r="T22" s="48"/>
    </row>
    <row r="23" spans="1:20" ht="16.5" customHeight="1" x14ac:dyDescent="0.15">
      <c r="A23" s="41">
        <v>11</v>
      </c>
      <c r="B23" s="41">
        <v>3371</v>
      </c>
      <c r="C23" s="74" t="s">
        <v>5177</v>
      </c>
      <c r="D23" s="72"/>
      <c r="E23" s="99"/>
      <c r="F23" s="707" t="s">
        <v>1253</v>
      </c>
      <c r="G23" s="717"/>
      <c r="H23" s="53"/>
      <c r="I23" s="49"/>
      <c r="J23" s="50"/>
      <c r="K23" s="44"/>
      <c r="L23" s="45"/>
      <c r="M23" s="46"/>
      <c r="N23" s="35"/>
      <c r="P23" s="57"/>
      <c r="Q23" s="53"/>
      <c r="R23" s="49"/>
      <c r="S23" s="47">
        <f>ROUND((_11_A通院１０．５*(1+_11・A早朝)),0)+_11_B通院１０．５＿１．５</f>
        <v>730</v>
      </c>
      <c r="T23" s="48"/>
    </row>
    <row r="24" spans="1:20" ht="16.5" customHeight="1" x14ac:dyDescent="0.15">
      <c r="A24" s="41">
        <v>11</v>
      </c>
      <c r="B24" s="41">
        <v>3372</v>
      </c>
      <c r="C24" s="74" t="s">
        <v>5178</v>
      </c>
      <c r="D24" s="72"/>
      <c r="E24" s="99"/>
      <c r="F24" s="709"/>
      <c r="G24" s="718"/>
      <c r="H24" s="43"/>
      <c r="I24" s="37"/>
      <c r="J24" s="38"/>
      <c r="K24" s="44" t="s">
        <v>397</v>
      </c>
      <c r="L24" s="45" t="s">
        <v>398</v>
      </c>
      <c r="M24" s="46">
        <v>1</v>
      </c>
      <c r="N24" s="35"/>
      <c r="P24" s="57"/>
      <c r="Q24" s="35"/>
      <c r="S24" s="47">
        <f>ROUND((ROUND((_11_A通院１０．５*_11・２人),0)*(1+_11・A早朝)),0)+ROUND((_11_B通院１０．５＿１．５*_11・２人),0)</f>
        <v>730</v>
      </c>
      <c r="T24" s="48"/>
    </row>
    <row r="25" spans="1:20" ht="16.5" customHeight="1" x14ac:dyDescent="0.15">
      <c r="A25" s="41">
        <v>11</v>
      </c>
      <c r="B25" s="41">
        <v>3373</v>
      </c>
      <c r="C25" s="74" t="s">
        <v>5179</v>
      </c>
      <c r="D25" s="72"/>
      <c r="E25" s="99"/>
      <c r="F25" s="709"/>
      <c r="G25" s="718"/>
      <c r="H25" s="752" t="s">
        <v>400</v>
      </c>
      <c r="I25" s="49" t="s">
        <v>398</v>
      </c>
      <c r="J25" s="50">
        <v>0.7</v>
      </c>
      <c r="K25" s="44"/>
      <c r="L25" s="45"/>
      <c r="M25" s="46"/>
      <c r="N25" s="35"/>
      <c r="P25" s="57"/>
      <c r="Q25" s="35"/>
      <c r="S25" s="47">
        <f>ROUND((ROUND((_11_A通院１０．５*_11・基礎１),0)*(1+_11・A早朝)),0)+ROUND((_11_B通院１０．５＿１．５*_11・基礎１),0)</f>
        <v>512</v>
      </c>
      <c r="T25" s="48"/>
    </row>
    <row r="26" spans="1:20" ht="16.5" customHeight="1" x14ac:dyDescent="0.15">
      <c r="A26" s="41">
        <v>11</v>
      </c>
      <c r="B26" s="41">
        <v>3374</v>
      </c>
      <c r="C26" s="74" t="s">
        <v>5180</v>
      </c>
      <c r="D26" s="72"/>
      <c r="E26" s="99"/>
      <c r="F26" s="100">
        <f>_11_B通院１０．５＿１．５</f>
        <v>411</v>
      </c>
      <c r="G26" s="12" t="s">
        <v>392</v>
      </c>
      <c r="H26" s="711"/>
      <c r="I26" s="37"/>
      <c r="J26" s="38"/>
      <c r="K26" s="44" t="s">
        <v>397</v>
      </c>
      <c r="L26" s="45" t="s">
        <v>398</v>
      </c>
      <c r="M26" s="46">
        <v>1</v>
      </c>
      <c r="N26" s="35"/>
      <c r="P26" s="57"/>
      <c r="Q26" s="43"/>
      <c r="R26" s="37"/>
      <c r="S26" s="47">
        <f>ROUND((ROUND((ROUND((_11_A通院１０．５*_11・基礎１),0)*_11・２人),0)*(1+_11・A早朝)),0)+ROUND((ROUND((_11_B通院１０．５＿１．５*_11・基礎１),0)*_11・２人),0)</f>
        <v>512</v>
      </c>
      <c r="T26" s="48"/>
    </row>
    <row r="27" spans="1:20" ht="16.5" customHeight="1" x14ac:dyDescent="0.15">
      <c r="A27" s="41">
        <v>11</v>
      </c>
      <c r="B27" s="41" t="s">
        <v>5181</v>
      </c>
      <c r="C27" s="74" t="s">
        <v>5182</v>
      </c>
      <c r="D27" s="72"/>
      <c r="E27" s="99"/>
      <c r="F27" s="121"/>
      <c r="G27" s="99"/>
      <c r="H27" s="53"/>
      <c r="I27" s="49"/>
      <c r="J27" s="50"/>
      <c r="K27" s="44"/>
      <c r="L27" s="45"/>
      <c r="M27" s="46"/>
      <c r="N27" s="35"/>
      <c r="P27" s="57"/>
      <c r="Q27" s="707" t="s">
        <v>404</v>
      </c>
      <c r="R27" s="708"/>
      <c r="S27" s="47">
        <f>ROUND((ROUND((_11_A通院１０．５*(1+_11・A早朝)),0)*_11・初任),0)+ROUND((_11_B通院１０．５＿１．５*_11・初任),0)</f>
        <v>511</v>
      </c>
      <c r="T27" s="48"/>
    </row>
    <row r="28" spans="1:20" ht="16.5" customHeight="1" x14ac:dyDescent="0.15">
      <c r="A28" s="41">
        <v>11</v>
      </c>
      <c r="B28" s="41" t="s">
        <v>5183</v>
      </c>
      <c r="C28" s="74" t="s">
        <v>5184</v>
      </c>
      <c r="D28" s="72"/>
      <c r="E28" s="99"/>
      <c r="F28" s="121"/>
      <c r="G28" s="99"/>
      <c r="H28" s="43"/>
      <c r="I28" s="37"/>
      <c r="J28" s="38"/>
      <c r="K28" s="44" t="s">
        <v>397</v>
      </c>
      <c r="L28" s="45" t="s">
        <v>398</v>
      </c>
      <c r="M28" s="46">
        <v>1</v>
      </c>
      <c r="N28" s="35"/>
      <c r="P28" s="57"/>
      <c r="Q28" s="709"/>
      <c r="R28" s="704"/>
      <c r="S28" s="47">
        <f>ROUND((ROUND((ROUND((_11_A通院１０．５*_11・２人),0)*(1+_11・A早朝)),0)*_11・初任),0)+ROUND((ROUND((_11_B通院１０．５＿１．５*_11・２人),0)*_11・初任),0)</f>
        <v>511</v>
      </c>
      <c r="T28" s="48"/>
    </row>
    <row r="29" spans="1:20" ht="16.5" customHeight="1" x14ac:dyDescent="0.15">
      <c r="A29" s="41">
        <v>11</v>
      </c>
      <c r="B29" s="41" t="s">
        <v>5185</v>
      </c>
      <c r="C29" s="74" t="s">
        <v>5186</v>
      </c>
      <c r="D29" s="72"/>
      <c r="E29" s="99"/>
      <c r="F29" s="72"/>
      <c r="G29" s="99"/>
      <c r="H29" s="752" t="s">
        <v>400</v>
      </c>
      <c r="I29" s="49" t="s">
        <v>398</v>
      </c>
      <c r="J29" s="50">
        <v>0.7</v>
      </c>
      <c r="K29" s="44"/>
      <c r="L29" s="45"/>
      <c r="M29" s="46"/>
      <c r="N29" s="35"/>
      <c r="P29" s="57"/>
      <c r="Q29" s="709"/>
      <c r="R29" s="704"/>
      <c r="S29" s="47">
        <f>ROUND((ROUND((ROUND((_11_A通院１０．５*_11・基礎１),0)*(1+_11・A早朝)),0)*_11・初任),0)+ROUND((ROUND((_11_B通院１０．５＿１．５*_11・基礎１),0)*_11・初任),0)</f>
        <v>359</v>
      </c>
      <c r="T29" s="48"/>
    </row>
    <row r="30" spans="1:20" ht="16.5" customHeight="1" x14ac:dyDescent="0.15">
      <c r="A30" s="41">
        <v>11</v>
      </c>
      <c r="B30" s="41" t="s">
        <v>5187</v>
      </c>
      <c r="C30" s="74" t="s">
        <v>5188</v>
      </c>
      <c r="D30" s="72"/>
      <c r="E30" s="99"/>
      <c r="F30" s="72"/>
      <c r="G30" s="99"/>
      <c r="H30" s="711"/>
      <c r="I30" s="37"/>
      <c r="J30" s="38"/>
      <c r="K30" s="44" t="s">
        <v>397</v>
      </c>
      <c r="L30" s="45" t="s">
        <v>398</v>
      </c>
      <c r="M30" s="46">
        <v>1</v>
      </c>
      <c r="N30" s="35"/>
      <c r="P30" s="57"/>
      <c r="Q30" s="55" t="s">
        <v>398</v>
      </c>
      <c r="R30" s="38">
        <f>_11・初任</f>
        <v>0.7</v>
      </c>
      <c r="S30" s="47">
        <f>ROUND((ROUND((ROUND((ROUND((_11_A通院１０．５*_11・基礎１),0)*_11・２人),0)*(1+_11・A早朝)),0)*_11・初任),0)+ROUND((ROUND((ROUND((_11_B通院１０．５＿１．５*_11・基礎１),0)*_11・２人),0)*_11・初任),0)</f>
        <v>359</v>
      </c>
      <c r="T30" s="48"/>
    </row>
    <row r="31" spans="1:20" ht="16.5" customHeight="1" x14ac:dyDescent="0.15">
      <c r="A31" s="41">
        <v>11</v>
      </c>
      <c r="B31" s="41">
        <v>3375</v>
      </c>
      <c r="C31" s="74" t="s">
        <v>5189</v>
      </c>
      <c r="D31" s="72"/>
      <c r="E31" s="99"/>
      <c r="F31" s="707" t="s">
        <v>3663</v>
      </c>
      <c r="G31" s="717"/>
      <c r="H31" s="53"/>
      <c r="I31" s="49"/>
      <c r="J31" s="50"/>
      <c r="K31" s="44"/>
      <c r="L31" s="45"/>
      <c r="M31" s="46"/>
      <c r="N31" s="35"/>
      <c r="P31" s="57"/>
      <c r="Q31" s="53"/>
      <c r="R31" s="49"/>
      <c r="S31" s="47">
        <f>ROUND((_11_A通院１０．５*(1+_11・A早朝)),0)+_11_B通院１０．５＿２．０</f>
        <v>814</v>
      </c>
      <c r="T31" s="48"/>
    </row>
    <row r="32" spans="1:20" ht="16.5" customHeight="1" x14ac:dyDescent="0.15">
      <c r="A32" s="41">
        <v>11</v>
      </c>
      <c r="B32" s="41">
        <v>3376</v>
      </c>
      <c r="C32" s="74" t="s">
        <v>5190</v>
      </c>
      <c r="D32" s="72"/>
      <c r="E32" s="99"/>
      <c r="F32" s="709"/>
      <c r="G32" s="718"/>
      <c r="H32" s="43"/>
      <c r="I32" s="37"/>
      <c r="J32" s="38"/>
      <c r="K32" s="44" t="s">
        <v>397</v>
      </c>
      <c r="L32" s="45" t="s">
        <v>398</v>
      </c>
      <c r="M32" s="46">
        <v>1</v>
      </c>
      <c r="N32" s="35"/>
      <c r="P32" s="57"/>
      <c r="Q32" s="35"/>
      <c r="S32" s="47">
        <f>ROUND((ROUND((_11_A通院１０．５*_11・２人),0)*(1+_11・A早朝)),0)+ROUND((_11_B通院１０．５＿２．０*_11・２人),0)</f>
        <v>814</v>
      </c>
      <c r="T32" s="48"/>
    </row>
    <row r="33" spans="1:20" ht="16.5" customHeight="1" x14ac:dyDescent="0.15">
      <c r="A33" s="41">
        <v>11</v>
      </c>
      <c r="B33" s="41">
        <v>3377</v>
      </c>
      <c r="C33" s="74" t="s">
        <v>5191</v>
      </c>
      <c r="D33" s="72"/>
      <c r="E33" s="99"/>
      <c r="F33" s="709"/>
      <c r="G33" s="718"/>
      <c r="H33" s="752" t="s">
        <v>400</v>
      </c>
      <c r="I33" s="49" t="s">
        <v>398</v>
      </c>
      <c r="J33" s="50">
        <v>0.7</v>
      </c>
      <c r="K33" s="44"/>
      <c r="L33" s="45"/>
      <c r="M33" s="46"/>
      <c r="N33" s="35"/>
      <c r="P33" s="57"/>
      <c r="Q33" s="35"/>
      <c r="S33" s="47">
        <f>ROUND((ROUND((_11_A通院１０．５*_11・基礎１),0)*(1+_11・A早朝)),0)+ROUND((_11_B通院１０．５＿２．０*_11・基礎１),0)</f>
        <v>571</v>
      </c>
      <c r="T33" s="48"/>
    </row>
    <row r="34" spans="1:20" ht="16.5" customHeight="1" x14ac:dyDescent="0.15">
      <c r="A34" s="41">
        <v>11</v>
      </c>
      <c r="B34" s="41">
        <v>3378</v>
      </c>
      <c r="C34" s="74" t="s">
        <v>5192</v>
      </c>
      <c r="D34" s="72"/>
      <c r="E34" s="99"/>
      <c r="F34" s="100">
        <f>_11_B通院１０．５＿２．０</f>
        <v>495</v>
      </c>
      <c r="G34" s="12" t="s">
        <v>392</v>
      </c>
      <c r="H34" s="711"/>
      <c r="I34" s="37"/>
      <c r="J34" s="38"/>
      <c r="K34" s="44" t="s">
        <v>397</v>
      </c>
      <c r="L34" s="45" t="s">
        <v>398</v>
      </c>
      <c r="M34" s="46">
        <v>1</v>
      </c>
      <c r="N34" s="35"/>
      <c r="P34" s="57"/>
      <c r="Q34" s="43"/>
      <c r="R34" s="37"/>
      <c r="S34" s="47">
        <f>ROUND((ROUND((ROUND((_11_A通院１０．５*_11・基礎１),0)*_11・２人),0)*(1+_11・A早朝)),0)+ROUND((ROUND((_11_B通院１０．５＿２．０*_11・基礎１),0)*_11・２人),0)</f>
        <v>571</v>
      </c>
      <c r="T34" s="48"/>
    </row>
    <row r="35" spans="1:20" ht="16.5" customHeight="1" x14ac:dyDescent="0.15">
      <c r="A35" s="41">
        <v>11</v>
      </c>
      <c r="B35" s="41" t="s">
        <v>5193</v>
      </c>
      <c r="C35" s="74" t="s">
        <v>5194</v>
      </c>
      <c r="D35" s="72"/>
      <c r="E35" s="99"/>
      <c r="F35" s="121"/>
      <c r="G35" s="99"/>
      <c r="H35" s="53"/>
      <c r="I35" s="49"/>
      <c r="J35" s="50"/>
      <c r="K35" s="44"/>
      <c r="L35" s="45"/>
      <c r="M35" s="46"/>
      <c r="N35" s="35"/>
      <c r="P35" s="57"/>
      <c r="Q35" s="707" t="s">
        <v>404</v>
      </c>
      <c r="R35" s="708"/>
      <c r="S35" s="47">
        <f>ROUND((ROUND((_11_A通院１０．５*(1+_11・A早朝)),0)*_11・初任),0)+ROUND((_11_B通院１０．５＿２．０*_11・初任),0)</f>
        <v>570</v>
      </c>
      <c r="T35" s="48"/>
    </row>
    <row r="36" spans="1:20" ht="16.5" customHeight="1" x14ac:dyDescent="0.15">
      <c r="A36" s="41">
        <v>11</v>
      </c>
      <c r="B36" s="41" t="s">
        <v>5195</v>
      </c>
      <c r="C36" s="74" t="s">
        <v>5196</v>
      </c>
      <c r="D36" s="72"/>
      <c r="E36" s="99"/>
      <c r="F36" s="121"/>
      <c r="G36" s="99"/>
      <c r="H36" s="43"/>
      <c r="I36" s="37"/>
      <c r="J36" s="38"/>
      <c r="K36" s="44" t="s">
        <v>397</v>
      </c>
      <c r="L36" s="45" t="s">
        <v>398</v>
      </c>
      <c r="M36" s="46">
        <v>1</v>
      </c>
      <c r="N36" s="35"/>
      <c r="P36" s="57"/>
      <c r="Q36" s="709"/>
      <c r="R36" s="704"/>
      <c r="S36" s="47">
        <f>ROUND((ROUND((ROUND((_11_A通院１０．５*_11・２人),0)*(1+_11・A早朝)),0)*_11・初任),0)+ROUND((ROUND((_11_B通院１０．５＿２．０*_11・２人),0)*_11・初任),0)</f>
        <v>570</v>
      </c>
      <c r="T36" s="48"/>
    </row>
    <row r="37" spans="1:20" ht="16.5" customHeight="1" x14ac:dyDescent="0.15">
      <c r="A37" s="41">
        <v>11</v>
      </c>
      <c r="B37" s="41" t="s">
        <v>5197</v>
      </c>
      <c r="C37" s="74" t="s">
        <v>5198</v>
      </c>
      <c r="D37" s="72"/>
      <c r="E37" s="99"/>
      <c r="F37" s="72"/>
      <c r="G37" s="99"/>
      <c r="H37" s="752" t="s">
        <v>400</v>
      </c>
      <c r="I37" s="49" t="s">
        <v>398</v>
      </c>
      <c r="J37" s="50">
        <v>0.7</v>
      </c>
      <c r="K37" s="44"/>
      <c r="L37" s="45"/>
      <c r="M37" s="46"/>
      <c r="N37" s="35"/>
      <c r="P37" s="57"/>
      <c r="Q37" s="709"/>
      <c r="R37" s="704"/>
      <c r="S37" s="47">
        <f>ROUND((ROUND((ROUND((_11_A通院１０．５*_11・基礎１),0)*(1+_11・A早朝)),0)*_11・初任),0)+ROUND((ROUND((_11_B通院１０．５＿２．０*_11・基礎１),0)*_11・初任),0)</f>
        <v>400</v>
      </c>
      <c r="T37" s="48"/>
    </row>
    <row r="38" spans="1:20" ht="16.5" customHeight="1" x14ac:dyDescent="0.15">
      <c r="A38" s="41">
        <v>11</v>
      </c>
      <c r="B38" s="41" t="s">
        <v>5199</v>
      </c>
      <c r="C38" s="74" t="s">
        <v>5200</v>
      </c>
      <c r="D38" s="72"/>
      <c r="E38" s="99"/>
      <c r="F38" s="72"/>
      <c r="G38" s="99"/>
      <c r="H38" s="711"/>
      <c r="I38" s="37"/>
      <c r="J38" s="38"/>
      <c r="K38" s="44" t="s">
        <v>397</v>
      </c>
      <c r="L38" s="45" t="s">
        <v>398</v>
      </c>
      <c r="M38" s="46">
        <v>1</v>
      </c>
      <c r="N38" s="35"/>
      <c r="P38" s="57"/>
      <c r="Q38" s="55" t="s">
        <v>398</v>
      </c>
      <c r="R38" s="38">
        <f>_11・初任</f>
        <v>0.7</v>
      </c>
      <c r="S38" s="47">
        <f>ROUND((ROUND((ROUND((ROUND((_11_A通院１０．５*_11・基礎１),0)*_11・２人),0)*(1+_11・A早朝)),0)*_11・初任),0)+ROUND((ROUND((ROUND((_11_B通院１０．５＿２．０*_11・基礎１),0)*_11・２人),0)*_11・初任),0)</f>
        <v>400</v>
      </c>
      <c r="T38" s="48"/>
    </row>
    <row r="39" spans="1:20" ht="16.5" customHeight="1" x14ac:dyDescent="0.15">
      <c r="A39" s="41">
        <v>11</v>
      </c>
      <c r="B39" s="41">
        <v>3379</v>
      </c>
      <c r="C39" s="74" t="s">
        <v>5201</v>
      </c>
      <c r="D39" s="72"/>
      <c r="E39" s="99"/>
      <c r="F39" s="707" t="s">
        <v>5202</v>
      </c>
      <c r="G39" s="717"/>
      <c r="H39" s="53"/>
      <c r="I39" s="49"/>
      <c r="J39" s="50"/>
      <c r="K39" s="44"/>
      <c r="L39" s="45"/>
      <c r="M39" s="46"/>
      <c r="N39" s="35"/>
      <c r="P39" s="57"/>
      <c r="Q39" s="53"/>
      <c r="R39" s="49"/>
      <c r="S39" s="47">
        <f>ROUND((_11_A通院１０．５*(1+_11・A早朝)),0)+_11_B通院１０．５＿２．５</f>
        <v>897</v>
      </c>
      <c r="T39" s="48"/>
    </row>
    <row r="40" spans="1:20" ht="16.5" customHeight="1" x14ac:dyDescent="0.15">
      <c r="A40" s="41">
        <v>11</v>
      </c>
      <c r="B40" s="41">
        <v>3380</v>
      </c>
      <c r="C40" s="74" t="s">
        <v>5203</v>
      </c>
      <c r="D40" s="72"/>
      <c r="E40" s="99"/>
      <c r="F40" s="709"/>
      <c r="G40" s="718"/>
      <c r="H40" s="43"/>
      <c r="I40" s="37"/>
      <c r="J40" s="38"/>
      <c r="K40" s="44" t="s">
        <v>397</v>
      </c>
      <c r="L40" s="45" t="s">
        <v>398</v>
      </c>
      <c r="M40" s="46">
        <v>1</v>
      </c>
      <c r="N40" s="35"/>
      <c r="P40" s="57"/>
      <c r="Q40" s="35"/>
      <c r="S40" s="47">
        <f>ROUND((ROUND((_11_A通院１０．５*_11・２人),0)*(1+_11・A早朝)),0)+ROUND((_11_B通院１０．５＿２．５*_11・２人),0)</f>
        <v>897</v>
      </c>
      <c r="T40" s="48"/>
    </row>
    <row r="41" spans="1:20" ht="16.5" customHeight="1" x14ac:dyDescent="0.15">
      <c r="A41" s="41">
        <v>11</v>
      </c>
      <c r="B41" s="41">
        <v>3381</v>
      </c>
      <c r="C41" s="74" t="s">
        <v>5204</v>
      </c>
      <c r="D41" s="72"/>
      <c r="E41" s="99"/>
      <c r="F41" s="709"/>
      <c r="G41" s="718"/>
      <c r="H41" s="752" t="s">
        <v>400</v>
      </c>
      <c r="I41" s="49" t="s">
        <v>398</v>
      </c>
      <c r="J41" s="50">
        <v>0.7</v>
      </c>
      <c r="K41" s="44"/>
      <c r="L41" s="45"/>
      <c r="M41" s="46"/>
      <c r="N41" s="35"/>
      <c r="P41" s="57"/>
      <c r="Q41" s="35"/>
      <c r="S41" s="47">
        <f>ROUND((ROUND((_11_A通院１０．５*_11・基礎１),0)*(1+_11・A早朝)),0)+ROUND((_11_B通院１０．５＿２．５*_11・基礎１),0)</f>
        <v>629</v>
      </c>
      <c r="T41" s="48"/>
    </row>
    <row r="42" spans="1:20" ht="16.5" customHeight="1" x14ac:dyDescent="0.15">
      <c r="A42" s="41">
        <v>11</v>
      </c>
      <c r="B42" s="41">
        <v>3382</v>
      </c>
      <c r="C42" s="74" t="s">
        <v>5205</v>
      </c>
      <c r="D42" s="72"/>
      <c r="E42" s="99"/>
      <c r="F42" s="100">
        <f>_11_B通院１０．５＿２．５</f>
        <v>578</v>
      </c>
      <c r="G42" s="12" t="s">
        <v>392</v>
      </c>
      <c r="H42" s="711"/>
      <c r="I42" s="37"/>
      <c r="J42" s="38"/>
      <c r="K42" s="44" t="s">
        <v>397</v>
      </c>
      <c r="L42" s="45" t="s">
        <v>398</v>
      </c>
      <c r="M42" s="46">
        <v>1</v>
      </c>
      <c r="N42" s="35"/>
      <c r="P42" s="57"/>
      <c r="Q42" s="43"/>
      <c r="R42" s="37"/>
      <c r="S42" s="47">
        <f>ROUND((ROUND((ROUND((_11_A通院１０．５*_11・基礎１),0)*_11・２人),0)*(1+_11・A早朝)),0)+ROUND((ROUND((_11_B通院１０．５＿２．５*_11・基礎１),0)*_11・２人),0)</f>
        <v>629</v>
      </c>
      <c r="T42" s="48"/>
    </row>
    <row r="43" spans="1:20" ht="16.5" customHeight="1" x14ac:dyDescent="0.15">
      <c r="A43" s="41">
        <v>11</v>
      </c>
      <c r="B43" s="41" t="s">
        <v>5206</v>
      </c>
      <c r="C43" s="74" t="s">
        <v>5207</v>
      </c>
      <c r="D43" s="72"/>
      <c r="E43" s="99"/>
      <c r="F43" s="121"/>
      <c r="G43" s="99"/>
      <c r="H43" s="53"/>
      <c r="I43" s="49"/>
      <c r="J43" s="50"/>
      <c r="K43" s="44"/>
      <c r="L43" s="45"/>
      <c r="M43" s="46"/>
      <c r="N43" s="35"/>
      <c r="P43" s="57"/>
      <c r="Q43" s="707" t="s">
        <v>404</v>
      </c>
      <c r="R43" s="708"/>
      <c r="S43" s="47">
        <f>ROUND((ROUND((_11_A通院１０．５*(1+_11・A早朝)),0)*_11・初任),0)+ROUND((_11_B通院１０．５＿２．５*_11・初任),0)</f>
        <v>628</v>
      </c>
      <c r="T43" s="48"/>
    </row>
    <row r="44" spans="1:20" ht="16.5" customHeight="1" x14ac:dyDescent="0.15">
      <c r="A44" s="41">
        <v>11</v>
      </c>
      <c r="B44" s="41" t="s">
        <v>5208</v>
      </c>
      <c r="C44" s="74" t="s">
        <v>5209</v>
      </c>
      <c r="D44" s="72"/>
      <c r="E44" s="99"/>
      <c r="F44" s="121"/>
      <c r="G44" s="99"/>
      <c r="H44" s="43"/>
      <c r="I44" s="37"/>
      <c r="J44" s="38"/>
      <c r="K44" s="44" t="s">
        <v>397</v>
      </c>
      <c r="L44" s="45" t="s">
        <v>398</v>
      </c>
      <c r="M44" s="46">
        <v>1</v>
      </c>
      <c r="N44" s="35"/>
      <c r="P44" s="57"/>
      <c r="Q44" s="709"/>
      <c r="R44" s="704"/>
      <c r="S44" s="47">
        <f>ROUND((ROUND((ROUND((_11_A通院１０．５*_11・２人),0)*(1+_11・A早朝)),0)*_11・初任),0)+ROUND((ROUND((_11_B通院１０．５＿２．５*_11・２人),0)*_11・初任),0)</f>
        <v>628</v>
      </c>
      <c r="T44" s="48"/>
    </row>
    <row r="45" spans="1:20" ht="16.5" customHeight="1" x14ac:dyDescent="0.15">
      <c r="A45" s="41">
        <v>11</v>
      </c>
      <c r="B45" s="41" t="s">
        <v>5210</v>
      </c>
      <c r="C45" s="74" t="s">
        <v>5211</v>
      </c>
      <c r="D45" s="72"/>
      <c r="E45" s="99"/>
      <c r="F45" s="72"/>
      <c r="G45" s="99"/>
      <c r="H45" s="752" t="s">
        <v>400</v>
      </c>
      <c r="I45" s="49" t="s">
        <v>398</v>
      </c>
      <c r="J45" s="50">
        <v>0.7</v>
      </c>
      <c r="K45" s="44"/>
      <c r="L45" s="45"/>
      <c r="M45" s="46"/>
      <c r="N45" s="35"/>
      <c r="P45" s="57"/>
      <c r="Q45" s="709"/>
      <c r="R45" s="704"/>
      <c r="S45" s="47">
        <f>ROUND((ROUND((ROUND((_11_A通院１０．５*_11・基礎１),0)*(1+_11・A早朝)),0)*_11・初任),0)+ROUND((ROUND((_11_B通院１０．５＿２．５*_11・基礎１),0)*_11・初任),0)</f>
        <v>441</v>
      </c>
      <c r="T45" s="48"/>
    </row>
    <row r="46" spans="1:20" ht="16.5" customHeight="1" x14ac:dyDescent="0.15">
      <c r="A46" s="41">
        <v>11</v>
      </c>
      <c r="B46" s="41" t="s">
        <v>5212</v>
      </c>
      <c r="C46" s="74" t="s">
        <v>5213</v>
      </c>
      <c r="D46" s="72"/>
      <c r="E46" s="99"/>
      <c r="F46" s="72"/>
      <c r="G46" s="99"/>
      <c r="H46" s="711"/>
      <c r="I46" s="37"/>
      <c r="J46" s="38"/>
      <c r="K46" s="44" t="s">
        <v>397</v>
      </c>
      <c r="L46" s="45" t="s">
        <v>398</v>
      </c>
      <c r="M46" s="46">
        <v>1</v>
      </c>
      <c r="N46" s="35"/>
      <c r="P46" s="57"/>
      <c r="Q46" s="55" t="s">
        <v>398</v>
      </c>
      <c r="R46" s="38">
        <f>_11・初任</f>
        <v>0.7</v>
      </c>
      <c r="S46" s="47">
        <f>ROUND((ROUND((ROUND((ROUND((_11_A通院１０．５*_11・基礎１),0)*_11・２人),0)*(1+_11・A早朝)),0)*_11・初任),0)+ROUND((ROUND((ROUND((_11_B通院１０．５＿２．５*_11・基礎１),0)*_11・２人),0)*_11・初任),0)</f>
        <v>441</v>
      </c>
      <c r="T46" s="48"/>
    </row>
    <row r="47" spans="1:20" ht="16.5" customHeight="1" x14ac:dyDescent="0.15">
      <c r="A47" s="41">
        <v>11</v>
      </c>
      <c r="B47" s="41">
        <v>3383</v>
      </c>
      <c r="C47" s="74" t="s">
        <v>5214</v>
      </c>
      <c r="D47" s="707" t="s">
        <v>5215</v>
      </c>
      <c r="E47" s="717"/>
      <c r="F47" s="707" t="s">
        <v>3643</v>
      </c>
      <c r="G47" s="717"/>
      <c r="H47" s="53"/>
      <c r="I47" s="49"/>
      <c r="J47" s="50"/>
      <c r="K47" s="44"/>
      <c r="L47" s="45"/>
      <c r="M47" s="46"/>
      <c r="N47" s="35"/>
      <c r="P47" s="57"/>
      <c r="Q47" s="53"/>
      <c r="R47" s="49"/>
      <c r="S47" s="47">
        <f>ROUND((_11_A通院１１．０*(1+_11・A早朝)),0)+_11_B通院１１．０＿０．５</f>
        <v>685</v>
      </c>
      <c r="T47" s="48"/>
    </row>
    <row r="48" spans="1:20" ht="16.5" customHeight="1" x14ac:dyDescent="0.15">
      <c r="A48" s="41">
        <v>11</v>
      </c>
      <c r="B48" s="41">
        <v>3384</v>
      </c>
      <c r="C48" s="74" t="s">
        <v>5216</v>
      </c>
      <c r="D48" s="709"/>
      <c r="E48" s="718"/>
      <c r="F48" s="709"/>
      <c r="G48" s="718"/>
      <c r="H48" s="43"/>
      <c r="I48" s="37"/>
      <c r="J48" s="38"/>
      <c r="K48" s="44" t="s">
        <v>397</v>
      </c>
      <c r="L48" s="45" t="s">
        <v>398</v>
      </c>
      <c r="M48" s="46">
        <v>1</v>
      </c>
      <c r="N48" s="35"/>
      <c r="P48" s="57"/>
      <c r="Q48" s="35"/>
      <c r="S48" s="47">
        <f>ROUND((ROUND((_11_A通院１１．０*_11・２人),0)*(1+_11・A早朝)),0)+ROUND((_11_B通院１１．０＿０．５*_11・２人),0)</f>
        <v>685</v>
      </c>
      <c r="T48" s="48"/>
    </row>
    <row r="49" spans="1:20" ht="16.5" customHeight="1" x14ac:dyDescent="0.15">
      <c r="A49" s="41">
        <v>11</v>
      </c>
      <c r="B49" s="41">
        <v>3385</v>
      </c>
      <c r="C49" s="74" t="s">
        <v>5217</v>
      </c>
      <c r="D49" s="709"/>
      <c r="E49" s="718"/>
      <c r="F49" s="709"/>
      <c r="G49" s="718"/>
      <c r="H49" s="752" t="s">
        <v>400</v>
      </c>
      <c r="I49" s="49" t="s">
        <v>398</v>
      </c>
      <c r="J49" s="50">
        <v>0.7</v>
      </c>
      <c r="K49" s="44"/>
      <c r="L49" s="45"/>
      <c r="M49" s="46"/>
      <c r="N49" s="35"/>
      <c r="P49" s="57"/>
      <c r="Q49" s="35"/>
      <c r="S49" s="47">
        <f>ROUND((ROUND((_11_A通院１１．０*_11・基礎１),0)*(1+_11・A早朝)),0)+ROUND((_11_B通院１１．０＿０．５*_11・基礎１),0)</f>
        <v>478</v>
      </c>
      <c r="T49" s="48"/>
    </row>
    <row r="50" spans="1:20" ht="16.5" customHeight="1" x14ac:dyDescent="0.15">
      <c r="A50" s="41">
        <v>11</v>
      </c>
      <c r="B50" s="41">
        <v>3386</v>
      </c>
      <c r="C50" s="74" t="s">
        <v>5218</v>
      </c>
      <c r="D50" s="100">
        <f>_11_A通院１１．０</f>
        <v>402</v>
      </c>
      <c r="E50" s="12" t="s">
        <v>392</v>
      </c>
      <c r="F50" s="100">
        <f>_11_B通院１１．０＿０．５</f>
        <v>182</v>
      </c>
      <c r="G50" s="12" t="s">
        <v>392</v>
      </c>
      <c r="H50" s="711"/>
      <c r="I50" s="37"/>
      <c r="J50" s="38"/>
      <c r="K50" s="44" t="s">
        <v>397</v>
      </c>
      <c r="L50" s="45" t="s">
        <v>398</v>
      </c>
      <c r="M50" s="46">
        <v>1</v>
      </c>
      <c r="N50" s="35"/>
      <c r="P50" s="57"/>
      <c r="Q50" s="43"/>
      <c r="R50" s="37"/>
      <c r="S50" s="47">
        <f>ROUND((ROUND((ROUND((_11_A通院１１．０*_11・基礎１),0)*_11・２人),0)*(1+_11・A早朝)),0)+ROUND((ROUND((_11_B通院１１．０＿０．５*_11・基礎１),0)*_11・２人),0)</f>
        <v>478</v>
      </c>
      <c r="T50" s="48"/>
    </row>
    <row r="51" spans="1:20" ht="16.5" customHeight="1" x14ac:dyDescent="0.15">
      <c r="A51" s="41">
        <v>11</v>
      </c>
      <c r="B51" s="41" t="s">
        <v>5219</v>
      </c>
      <c r="C51" s="74" t="s">
        <v>5220</v>
      </c>
      <c r="D51" s="121"/>
      <c r="E51" s="99"/>
      <c r="F51" s="121"/>
      <c r="G51" s="99"/>
      <c r="H51" s="53"/>
      <c r="I51" s="49"/>
      <c r="J51" s="50"/>
      <c r="K51" s="44"/>
      <c r="L51" s="45"/>
      <c r="M51" s="46"/>
      <c r="N51" s="35"/>
      <c r="P51" s="57"/>
      <c r="Q51" s="707" t="s">
        <v>404</v>
      </c>
      <c r="R51" s="708"/>
      <c r="S51" s="47">
        <f>ROUND((ROUND((_11_A通院１１．０*(1+_11・A早朝)),0)*_11・初任),0)+ROUND((_11_B通院１１．０＿０．５*_11・初任),0)</f>
        <v>479</v>
      </c>
      <c r="T51" s="48"/>
    </row>
    <row r="52" spans="1:20" ht="16.5" customHeight="1" x14ac:dyDescent="0.15">
      <c r="A52" s="41">
        <v>11</v>
      </c>
      <c r="B52" s="41" t="s">
        <v>5221</v>
      </c>
      <c r="C52" s="74" t="s">
        <v>5222</v>
      </c>
      <c r="D52" s="121"/>
      <c r="E52" s="99"/>
      <c r="F52" s="121"/>
      <c r="G52" s="99"/>
      <c r="H52" s="43"/>
      <c r="I52" s="37"/>
      <c r="J52" s="38"/>
      <c r="K52" s="44" t="s">
        <v>397</v>
      </c>
      <c r="L52" s="45" t="s">
        <v>398</v>
      </c>
      <c r="M52" s="46">
        <v>1</v>
      </c>
      <c r="N52" s="35"/>
      <c r="P52" s="57"/>
      <c r="Q52" s="709"/>
      <c r="R52" s="704"/>
      <c r="S52" s="47">
        <f>ROUND((ROUND((ROUND((_11_A通院１１．０*_11・２人),0)*(1+_11・A早朝)),0)*_11・初任),0)+ROUND((ROUND((_11_B通院１１．０＿０．５*_11・２人),0)*_11・初任),0)</f>
        <v>479</v>
      </c>
      <c r="T52" s="48"/>
    </row>
    <row r="53" spans="1:20" ht="16.5" customHeight="1" x14ac:dyDescent="0.15">
      <c r="A53" s="41">
        <v>11</v>
      </c>
      <c r="B53" s="41" t="s">
        <v>5223</v>
      </c>
      <c r="C53" s="74" t="s">
        <v>5224</v>
      </c>
      <c r="D53" s="72"/>
      <c r="E53" s="99"/>
      <c r="F53" s="72"/>
      <c r="G53" s="99"/>
      <c r="H53" s="752" t="s">
        <v>400</v>
      </c>
      <c r="I53" s="49" t="s">
        <v>398</v>
      </c>
      <c r="J53" s="50">
        <v>0.7</v>
      </c>
      <c r="K53" s="44"/>
      <c r="L53" s="45"/>
      <c r="M53" s="46"/>
      <c r="N53" s="35"/>
      <c r="P53" s="57"/>
      <c r="Q53" s="709"/>
      <c r="R53" s="704"/>
      <c r="S53" s="47">
        <f>ROUND((ROUND((ROUND((_11_A通院１１．０*_11・基礎１),0)*(1+_11・A早朝)),0)*_11・初任),0)+ROUND((ROUND((_11_B通院１１．０＿０．５*_11・基礎１),0)*_11・初任),0)</f>
        <v>335</v>
      </c>
      <c r="T53" s="48"/>
    </row>
    <row r="54" spans="1:20" ht="16.5" customHeight="1" x14ac:dyDescent="0.15">
      <c r="A54" s="41">
        <v>11</v>
      </c>
      <c r="B54" s="41" t="s">
        <v>5225</v>
      </c>
      <c r="C54" s="74" t="s">
        <v>5226</v>
      </c>
      <c r="D54" s="72"/>
      <c r="E54" s="99"/>
      <c r="F54" s="72"/>
      <c r="G54" s="99"/>
      <c r="H54" s="711"/>
      <c r="I54" s="37"/>
      <c r="J54" s="38"/>
      <c r="K54" s="44" t="s">
        <v>397</v>
      </c>
      <c r="L54" s="45" t="s">
        <v>398</v>
      </c>
      <c r="M54" s="46">
        <v>1</v>
      </c>
      <c r="N54" s="35"/>
      <c r="P54" s="57"/>
      <c r="Q54" s="55" t="s">
        <v>398</v>
      </c>
      <c r="R54" s="38">
        <f>_11・初任</f>
        <v>0.7</v>
      </c>
      <c r="S54" s="47">
        <f>ROUND((ROUND((ROUND((ROUND((_11_A通院１１．０*_11・基礎１),0)*_11・２人),0)*(1+_11・A早朝)),0)*_11・初任),0)+ROUND((ROUND((ROUND((_11_B通院１１．０＿０．５*_11・基礎１),0)*_11・２人),0)*_11・初任),0)</f>
        <v>335</v>
      </c>
      <c r="T54" s="48"/>
    </row>
    <row r="55" spans="1:20" ht="16.5" customHeight="1" x14ac:dyDescent="0.15">
      <c r="A55" s="41">
        <v>11</v>
      </c>
      <c r="B55" s="41">
        <v>3387</v>
      </c>
      <c r="C55" s="74" t="s">
        <v>5227</v>
      </c>
      <c r="D55" s="72"/>
      <c r="E55" s="99"/>
      <c r="F55" s="707" t="s">
        <v>3650</v>
      </c>
      <c r="G55" s="717"/>
      <c r="H55" s="53"/>
      <c r="I55" s="49"/>
      <c r="J55" s="50"/>
      <c r="K55" s="44"/>
      <c r="L55" s="45"/>
      <c r="M55" s="46"/>
      <c r="N55" s="35"/>
      <c r="P55" s="57"/>
      <c r="Q55" s="53"/>
      <c r="R55" s="49"/>
      <c r="S55" s="47">
        <f>ROUND((_11_A通院１１．０*(1+_11・A早朝)),0)+_11_B通院１１．０＿１．０</f>
        <v>767</v>
      </c>
      <c r="T55" s="48"/>
    </row>
    <row r="56" spans="1:20" ht="16.5" customHeight="1" x14ac:dyDescent="0.15">
      <c r="A56" s="41">
        <v>11</v>
      </c>
      <c r="B56" s="41">
        <v>3388</v>
      </c>
      <c r="C56" s="74" t="s">
        <v>5228</v>
      </c>
      <c r="D56" s="72"/>
      <c r="E56" s="99"/>
      <c r="F56" s="709"/>
      <c r="G56" s="718"/>
      <c r="H56" s="43"/>
      <c r="I56" s="37"/>
      <c r="J56" s="38"/>
      <c r="K56" s="44" t="s">
        <v>397</v>
      </c>
      <c r="L56" s="45" t="s">
        <v>398</v>
      </c>
      <c r="M56" s="46">
        <v>1</v>
      </c>
      <c r="N56" s="35"/>
      <c r="P56" s="57"/>
      <c r="Q56" s="35"/>
      <c r="S56" s="47">
        <f>ROUND((ROUND((_11_A通院１１．０*_11・２人),0)*(1+_11・A早朝)),0)+ROUND((_11_B通院１１．０＿１．０*_11・２人),0)</f>
        <v>767</v>
      </c>
      <c r="T56" s="48"/>
    </row>
    <row r="57" spans="1:20" ht="16.5" customHeight="1" x14ac:dyDescent="0.15">
      <c r="A57" s="41">
        <v>11</v>
      </c>
      <c r="B57" s="41">
        <v>3389</v>
      </c>
      <c r="C57" s="74" t="s">
        <v>5229</v>
      </c>
      <c r="D57" s="72"/>
      <c r="E57" s="99"/>
      <c r="F57" s="709"/>
      <c r="G57" s="718"/>
      <c r="H57" s="752" t="s">
        <v>400</v>
      </c>
      <c r="I57" s="49" t="s">
        <v>398</v>
      </c>
      <c r="J57" s="50">
        <v>0.7</v>
      </c>
      <c r="K57" s="44"/>
      <c r="L57" s="45"/>
      <c r="M57" s="46"/>
      <c r="N57" s="35"/>
      <c r="P57" s="57"/>
      <c r="Q57" s="35"/>
      <c r="S57" s="47">
        <f>ROUND((ROUND((_11_A通院１１．０*_11・基礎１),0)*(1+_11・A早朝)),0)+ROUND((_11_B通院１１．０＿１．０*_11・基礎１),0)</f>
        <v>536</v>
      </c>
      <c r="T57" s="48"/>
    </row>
    <row r="58" spans="1:20" ht="16.5" customHeight="1" x14ac:dyDescent="0.15">
      <c r="A58" s="41">
        <v>11</v>
      </c>
      <c r="B58" s="41">
        <v>3390</v>
      </c>
      <c r="C58" s="74" t="s">
        <v>5230</v>
      </c>
      <c r="D58" s="72"/>
      <c r="E58" s="99"/>
      <c r="F58" s="100">
        <f>_11_B通院１１．０＿１．０</f>
        <v>264</v>
      </c>
      <c r="G58" s="12" t="s">
        <v>392</v>
      </c>
      <c r="H58" s="711"/>
      <c r="I58" s="37"/>
      <c r="J58" s="38"/>
      <c r="K58" s="44" t="s">
        <v>397</v>
      </c>
      <c r="L58" s="45" t="s">
        <v>398</v>
      </c>
      <c r="M58" s="46">
        <v>1</v>
      </c>
      <c r="N58" s="35"/>
      <c r="P58" s="57"/>
      <c r="Q58" s="43"/>
      <c r="R58" s="37"/>
      <c r="S58" s="47">
        <f>ROUND((ROUND((ROUND((_11_A通院１１．０*_11・基礎１),0)*_11・２人),0)*(1+_11・A早朝)),0)+ROUND((ROUND((_11_B通院１１．０＿１．０*_11・基礎１),0)*_11・２人),0)</f>
        <v>536</v>
      </c>
      <c r="T58" s="48"/>
    </row>
    <row r="59" spans="1:20" ht="16.5" customHeight="1" x14ac:dyDescent="0.15">
      <c r="A59" s="41">
        <v>11</v>
      </c>
      <c r="B59" s="41" t="s">
        <v>5231</v>
      </c>
      <c r="C59" s="74" t="s">
        <v>5232</v>
      </c>
      <c r="D59" s="72"/>
      <c r="E59" s="99"/>
      <c r="F59" s="121"/>
      <c r="G59" s="99"/>
      <c r="H59" s="53"/>
      <c r="I59" s="49"/>
      <c r="J59" s="50"/>
      <c r="K59" s="44"/>
      <c r="L59" s="45"/>
      <c r="M59" s="46"/>
      <c r="N59" s="35"/>
      <c r="P59" s="57"/>
      <c r="Q59" s="707" t="s">
        <v>404</v>
      </c>
      <c r="R59" s="708"/>
      <c r="S59" s="47">
        <f>ROUND((ROUND((_11_A通院１１．０*(1+_11・A早朝)),0)*_11・初任),0)+ROUND((_11_B通院１１．０＿１．０*_11・初任),0)</f>
        <v>537</v>
      </c>
      <c r="T59" s="48"/>
    </row>
    <row r="60" spans="1:20" ht="16.5" customHeight="1" x14ac:dyDescent="0.15">
      <c r="A60" s="41">
        <v>11</v>
      </c>
      <c r="B60" s="41" t="s">
        <v>5233</v>
      </c>
      <c r="C60" s="74" t="s">
        <v>5234</v>
      </c>
      <c r="D60" s="72"/>
      <c r="E60" s="99"/>
      <c r="F60" s="121"/>
      <c r="G60" s="99"/>
      <c r="H60" s="43"/>
      <c r="I60" s="37"/>
      <c r="J60" s="38"/>
      <c r="K60" s="44" t="s">
        <v>397</v>
      </c>
      <c r="L60" s="45" t="s">
        <v>398</v>
      </c>
      <c r="M60" s="46">
        <v>1</v>
      </c>
      <c r="N60" s="35"/>
      <c r="P60" s="57"/>
      <c r="Q60" s="709"/>
      <c r="R60" s="704"/>
      <c r="S60" s="47">
        <f>ROUND((ROUND((ROUND((_11_A通院１１．０*_11・２人),0)*(1+_11・A早朝)),0)*_11・初任),0)+ROUND((ROUND((_11_B通院１１．０＿１．０*_11・２人),0)*_11・初任),0)</f>
        <v>537</v>
      </c>
      <c r="T60" s="48"/>
    </row>
    <row r="61" spans="1:20" ht="16.5" customHeight="1" x14ac:dyDescent="0.15">
      <c r="A61" s="41">
        <v>11</v>
      </c>
      <c r="B61" s="41" t="s">
        <v>5235</v>
      </c>
      <c r="C61" s="74" t="s">
        <v>5236</v>
      </c>
      <c r="D61" s="72"/>
      <c r="E61" s="99"/>
      <c r="F61" s="72"/>
      <c r="G61" s="99"/>
      <c r="H61" s="752" t="s">
        <v>400</v>
      </c>
      <c r="I61" s="49" t="s">
        <v>398</v>
      </c>
      <c r="J61" s="50">
        <v>0.7</v>
      </c>
      <c r="K61" s="44"/>
      <c r="L61" s="45"/>
      <c r="M61" s="46"/>
      <c r="N61" s="35"/>
      <c r="P61" s="57"/>
      <c r="Q61" s="709"/>
      <c r="R61" s="704"/>
      <c r="S61" s="47">
        <f>ROUND((ROUND((ROUND((_11_A通院１１．０*_11・基礎１),0)*(1+_11・A早朝)),0)*_11・初任),0)+ROUND((ROUND((_11_B通院１１．０＿１．０*_11・基礎１),0)*_11・初任),0)</f>
        <v>376</v>
      </c>
      <c r="T61" s="48"/>
    </row>
    <row r="62" spans="1:20" ht="16.5" customHeight="1" x14ac:dyDescent="0.15">
      <c r="A62" s="41">
        <v>11</v>
      </c>
      <c r="B62" s="41" t="s">
        <v>5237</v>
      </c>
      <c r="C62" s="74" t="s">
        <v>5238</v>
      </c>
      <c r="D62" s="72"/>
      <c r="E62" s="99"/>
      <c r="F62" s="72"/>
      <c r="G62" s="99"/>
      <c r="H62" s="711"/>
      <c r="I62" s="37"/>
      <c r="J62" s="38"/>
      <c r="K62" s="44" t="s">
        <v>397</v>
      </c>
      <c r="L62" s="45" t="s">
        <v>398</v>
      </c>
      <c r="M62" s="46">
        <v>1</v>
      </c>
      <c r="N62" s="35"/>
      <c r="P62" s="57"/>
      <c r="Q62" s="55" t="s">
        <v>398</v>
      </c>
      <c r="R62" s="38">
        <f>_11・初任</f>
        <v>0.7</v>
      </c>
      <c r="S62" s="47">
        <f>ROUND((ROUND((ROUND((ROUND((_11_A通院１１．０*_11・基礎１),0)*_11・２人),0)*(1+_11・A早朝)),0)*_11・初任),0)+ROUND((ROUND((ROUND((_11_B通院１１．０＿１．０*_11・基礎１),0)*_11・２人),0)*_11・初任),0)</f>
        <v>376</v>
      </c>
      <c r="T62" s="48"/>
    </row>
    <row r="63" spans="1:20" ht="16.5" customHeight="1" x14ac:dyDescent="0.15">
      <c r="A63" s="41">
        <v>11</v>
      </c>
      <c r="B63" s="41">
        <v>3391</v>
      </c>
      <c r="C63" s="74" t="s">
        <v>5239</v>
      </c>
      <c r="D63" s="72"/>
      <c r="E63" s="99"/>
      <c r="F63" s="707" t="s">
        <v>1253</v>
      </c>
      <c r="G63" s="717"/>
      <c r="H63" s="53"/>
      <c r="I63" s="49"/>
      <c r="J63" s="50"/>
      <c r="K63" s="44"/>
      <c r="L63" s="45"/>
      <c r="M63" s="46"/>
      <c r="N63" s="35"/>
      <c r="P63" s="57"/>
      <c r="Q63" s="53"/>
      <c r="R63" s="49"/>
      <c r="S63" s="47">
        <f>ROUND((_11_A通院１１．０*(1+_11・A早朝)),0)+_11_B通院１１．０＿１．５</f>
        <v>851</v>
      </c>
      <c r="T63" s="48"/>
    </row>
    <row r="64" spans="1:20" ht="16.5" customHeight="1" x14ac:dyDescent="0.15">
      <c r="A64" s="41">
        <v>11</v>
      </c>
      <c r="B64" s="41">
        <v>3392</v>
      </c>
      <c r="C64" s="74" t="s">
        <v>5240</v>
      </c>
      <c r="D64" s="72"/>
      <c r="E64" s="99"/>
      <c r="F64" s="709"/>
      <c r="G64" s="718"/>
      <c r="H64" s="43"/>
      <c r="I64" s="37"/>
      <c r="J64" s="38"/>
      <c r="K64" s="44" t="s">
        <v>397</v>
      </c>
      <c r="L64" s="45" t="s">
        <v>398</v>
      </c>
      <c r="M64" s="46">
        <v>1</v>
      </c>
      <c r="N64" s="35"/>
      <c r="P64" s="57"/>
      <c r="Q64" s="35"/>
      <c r="S64" s="47">
        <f>ROUND((ROUND((_11_A通院１１．０*_11・２人),0)*(1+_11・A早朝)),0)+ROUND((_11_B通院１１．０＿１．５*_11・２人),0)</f>
        <v>851</v>
      </c>
      <c r="T64" s="48"/>
    </row>
    <row r="65" spans="1:20" ht="16.5" customHeight="1" x14ac:dyDescent="0.15">
      <c r="A65" s="41">
        <v>11</v>
      </c>
      <c r="B65" s="41">
        <v>3393</v>
      </c>
      <c r="C65" s="74" t="s">
        <v>5241</v>
      </c>
      <c r="D65" s="72"/>
      <c r="E65" s="99"/>
      <c r="F65" s="709"/>
      <c r="G65" s="718"/>
      <c r="H65" s="752" t="s">
        <v>400</v>
      </c>
      <c r="I65" s="49" t="s">
        <v>398</v>
      </c>
      <c r="J65" s="50">
        <v>0.7</v>
      </c>
      <c r="K65" s="44"/>
      <c r="L65" s="45"/>
      <c r="M65" s="46"/>
      <c r="N65" s="35"/>
      <c r="P65" s="57"/>
      <c r="Q65" s="35"/>
      <c r="S65" s="47">
        <f>ROUND((ROUND((_11_A通院１１．０*_11・基礎１),0)*(1+_11・A早朝)),0)+ROUND((_11_B通院１１．０＿１．５*_11・基礎１),0)</f>
        <v>595</v>
      </c>
      <c r="T65" s="48"/>
    </row>
    <row r="66" spans="1:20" ht="16.5" customHeight="1" x14ac:dyDescent="0.15">
      <c r="A66" s="41">
        <v>11</v>
      </c>
      <c r="B66" s="41">
        <v>3394</v>
      </c>
      <c r="C66" s="74" t="s">
        <v>5242</v>
      </c>
      <c r="D66" s="72"/>
      <c r="E66" s="99"/>
      <c r="F66" s="100">
        <f>_11_B通院１１．０＿１．５</f>
        <v>348</v>
      </c>
      <c r="G66" s="12" t="s">
        <v>392</v>
      </c>
      <c r="H66" s="711"/>
      <c r="I66" s="37"/>
      <c r="J66" s="38"/>
      <c r="K66" s="44" t="s">
        <v>397</v>
      </c>
      <c r="L66" s="45" t="s">
        <v>398</v>
      </c>
      <c r="M66" s="46">
        <v>1</v>
      </c>
      <c r="N66" s="35"/>
      <c r="P66" s="57"/>
      <c r="Q66" s="43"/>
      <c r="R66" s="37"/>
      <c r="S66" s="47">
        <f>ROUND((ROUND((ROUND((_11_A通院１１．０*_11・基礎１),0)*_11・２人),0)*(1+_11・A早朝)),0)+ROUND((ROUND((_11_B通院１１．０＿１．５*_11・基礎１),0)*_11・２人),0)</f>
        <v>595</v>
      </c>
      <c r="T66" s="48"/>
    </row>
    <row r="67" spans="1:20" ht="16.5" customHeight="1" x14ac:dyDescent="0.15">
      <c r="A67" s="41">
        <v>11</v>
      </c>
      <c r="B67" s="41" t="s">
        <v>5243</v>
      </c>
      <c r="C67" s="74" t="s">
        <v>5244</v>
      </c>
      <c r="D67" s="72"/>
      <c r="E67" s="99"/>
      <c r="F67" s="121"/>
      <c r="G67" s="99"/>
      <c r="H67" s="53"/>
      <c r="I67" s="49"/>
      <c r="J67" s="50"/>
      <c r="K67" s="44"/>
      <c r="L67" s="45"/>
      <c r="M67" s="46"/>
      <c r="N67" s="35"/>
      <c r="P67" s="57"/>
      <c r="Q67" s="707" t="s">
        <v>404</v>
      </c>
      <c r="R67" s="708"/>
      <c r="S67" s="47">
        <f>ROUND((ROUND((_11_A通院１１．０*(1+_11・A早朝)),0)*_11・初任),0)+ROUND((_11_B通院１１．０＿１．５*_11・初任),0)</f>
        <v>596</v>
      </c>
      <c r="T67" s="48"/>
    </row>
    <row r="68" spans="1:20" ht="16.5" customHeight="1" x14ac:dyDescent="0.15">
      <c r="A68" s="41">
        <v>11</v>
      </c>
      <c r="B68" s="41" t="s">
        <v>5245</v>
      </c>
      <c r="C68" s="74" t="s">
        <v>5246</v>
      </c>
      <c r="D68" s="72"/>
      <c r="E68" s="99"/>
      <c r="F68" s="121"/>
      <c r="G68" s="99"/>
      <c r="H68" s="43"/>
      <c r="I68" s="37"/>
      <c r="J68" s="38"/>
      <c r="K68" s="44" t="s">
        <v>397</v>
      </c>
      <c r="L68" s="45" t="s">
        <v>398</v>
      </c>
      <c r="M68" s="46">
        <v>1</v>
      </c>
      <c r="N68" s="35"/>
      <c r="P68" s="57"/>
      <c r="Q68" s="709"/>
      <c r="R68" s="704"/>
      <c r="S68" s="47">
        <f>ROUND((ROUND((ROUND((_11_A通院１１．０*_11・２人),0)*(1+_11・A早朝)),0)*_11・初任),0)+ROUND((ROUND((_11_B通院１１．０＿１．５*_11・２人),0)*_11・初任),0)</f>
        <v>596</v>
      </c>
      <c r="T68" s="48"/>
    </row>
    <row r="69" spans="1:20" ht="16.5" customHeight="1" x14ac:dyDescent="0.15">
      <c r="A69" s="41">
        <v>11</v>
      </c>
      <c r="B69" s="41" t="s">
        <v>5247</v>
      </c>
      <c r="C69" s="74" t="s">
        <v>5248</v>
      </c>
      <c r="D69" s="72"/>
      <c r="E69" s="99"/>
      <c r="F69" s="72"/>
      <c r="G69" s="99"/>
      <c r="H69" s="752" t="s">
        <v>400</v>
      </c>
      <c r="I69" s="49" t="s">
        <v>398</v>
      </c>
      <c r="J69" s="50">
        <v>0.7</v>
      </c>
      <c r="K69" s="44"/>
      <c r="L69" s="45"/>
      <c r="M69" s="46"/>
      <c r="N69" s="35"/>
      <c r="P69" s="57"/>
      <c r="Q69" s="709"/>
      <c r="R69" s="704"/>
      <c r="S69" s="47">
        <f>ROUND((ROUND((ROUND((_11_A通院１１．０*_11・基礎１),0)*(1+_11・A早朝)),0)*_11・初任),0)+ROUND((ROUND((_11_B通院１１．０＿１．５*_11・基礎１),0)*_11・初任),0)</f>
        <v>417</v>
      </c>
      <c r="T69" s="48"/>
    </row>
    <row r="70" spans="1:20" ht="16.5" customHeight="1" x14ac:dyDescent="0.15">
      <c r="A70" s="41">
        <v>11</v>
      </c>
      <c r="B70" s="41" t="s">
        <v>5249</v>
      </c>
      <c r="C70" s="74" t="s">
        <v>5250</v>
      </c>
      <c r="D70" s="72"/>
      <c r="E70" s="99"/>
      <c r="F70" s="72"/>
      <c r="G70" s="99"/>
      <c r="H70" s="711"/>
      <c r="I70" s="37"/>
      <c r="J70" s="38"/>
      <c r="K70" s="44" t="s">
        <v>397</v>
      </c>
      <c r="L70" s="45" t="s">
        <v>398</v>
      </c>
      <c r="M70" s="46">
        <v>1</v>
      </c>
      <c r="N70" s="35"/>
      <c r="P70" s="57"/>
      <c r="Q70" s="55" t="s">
        <v>398</v>
      </c>
      <c r="R70" s="38">
        <f>_11・初任</f>
        <v>0.7</v>
      </c>
      <c r="S70" s="47">
        <f>ROUND((ROUND((ROUND((ROUND((_11_A通院１１．０*_11・基礎１),0)*_11・２人),0)*(1+_11・A早朝)),0)*_11・初任),0)+ROUND((ROUND((ROUND((_11_B通院１１．０＿１．５*_11・基礎１),0)*_11・２人),0)*_11・初任),0)</f>
        <v>417</v>
      </c>
      <c r="T70" s="48"/>
    </row>
    <row r="71" spans="1:20" ht="16.5" customHeight="1" x14ac:dyDescent="0.15">
      <c r="A71" s="41">
        <v>11</v>
      </c>
      <c r="B71" s="41">
        <v>3395</v>
      </c>
      <c r="C71" s="74" t="s">
        <v>5251</v>
      </c>
      <c r="D71" s="72"/>
      <c r="E71" s="99"/>
      <c r="F71" s="707" t="s">
        <v>3663</v>
      </c>
      <c r="G71" s="717"/>
      <c r="H71" s="53"/>
      <c r="I71" s="49"/>
      <c r="J71" s="50"/>
      <c r="K71" s="44"/>
      <c r="L71" s="45"/>
      <c r="M71" s="46"/>
      <c r="N71" s="35"/>
      <c r="P71" s="57"/>
      <c r="Q71" s="53"/>
      <c r="R71" s="49"/>
      <c r="S71" s="47">
        <f>ROUND((_11_A通院１１．０*(1+_11・A早朝)),0)+_11_B通院１１．０＿２．０</f>
        <v>934</v>
      </c>
      <c r="T71" s="48"/>
    </row>
    <row r="72" spans="1:20" ht="16.5" customHeight="1" x14ac:dyDescent="0.15">
      <c r="A72" s="41">
        <v>11</v>
      </c>
      <c r="B72" s="41">
        <v>3396</v>
      </c>
      <c r="C72" s="74" t="s">
        <v>5252</v>
      </c>
      <c r="D72" s="72"/>
      <c r="E72" s="99"/>
      <c r="F72" s="709"/>
      <c r="G72" s="718"/>
      <c r="H72" s="43"/>
      <c r="I72" s="37"/>
      <c r="J72" s="38"/>
      <c r="K72" s="44" t="s">
        <v>397</v>
      </c>
      <c r="L72" s="45" t="s">
        <v>398</v>
      </c>
      <c r="M72" s="46">
        <v>1</v>
      </c>
      <c r="N72" s="35"/>
      <c r="P72" s="57"/>
      <c r="Q72" s="35"/>
      <c r="S72" s="47">
        <f>ROUND((ROUND((_11_A通院１１．０*_11・２人),0)*(1+_11・A早朝)),0)+ROUND((_11_B通院１１．０＿２．０*_11・２人),0)</f>
        <v>934</v>
      </c>
      <c r="T72" s="48"/>
    </row>
    <row r="73" spans="1:20" ht="16.5" customHeight="1" x14ac:dyDescent="0.15">
      <c r="A73" s="41">
        <v>11</v>
      </c>
      <c r="B73" s="41">
        <v>3397</v>
      </c>
      <c r="C73" s="74" t="s">
        <v>5253</v>
      </c>
      <c r="D73" s="72"/>
      <c r="E73" s="99"/>
      <c r="F73" s="709"/>
      <c r="G73" s="718"/>
      <c r="H73" s="752" t="s">
        <v>400</v>
      </c>
      <c r="I73" s="49" t="s">
        <v>398</v>
      </c>
      <c r="J73" s="50">
        <v>0.7</v>
      </c>
      <c r="K73" s="44"/>
      <c r="L73" s="45"/>
      <c r="M73" s="46"/>
      <c r="N73" s="35"/>
      <c r="P73" s="57"/>
      <c r="Q73" s="35"/>
      <c r="S73" s="47">
        <f>ROUND((ROUND((_11_A通院１１．０*_11・基礎１),0)*(1+_11・A早朝)),0)+ROUND((_11_B通院１１．０＿２．０*_11・基礎１),0)</f>
        <v>653</v>
      </c>
      <c r="T73" s="48"/>
    </row>
    <row r="74" spans="1:20" ht="16.5" customHeight="1" x14ac:dyDescent="0.15">
      <c r="A74" s="41">
        <v>11</v>
      </c>
      <c r="B74" s="41">
        <v>3398</v>
      </c>
      <c r="C74" s="74" t="s">
        <v>5254</v>
      </c>
      <c r="D74" s="72"/>
      <c r="E74" s="99"/>
      <c r="F74" s="100">
        <f>_11_B通院１１．０＿２．０</f>
        <v>431</v>
      </c>
      <c r="G74" s="12" t="s">
        <v>392</v>
      </c>
      <c r="H74" s="711"/>
      <c r="I74" s="37"/>
      <c r="J74" s="38"/>
      <c r="K74" s="44" t="s">
        <v>397</v>
      </c>
      <c r="L74" s="45" t="s">
        <v>398</v>
      </c>
      <c r="M74" s="46">
        <v>1</v>
      </c>
      <c r="N74" s="35"/>
      <c r="P74" s="57"/>
      <c r="Q74" s="43"/>
      <c r="R74" s="37"/>
      <c r="S74" s="47">
        <f>ROUND((ROUND((ROUND((_11_A通院１１．０*_11・基礎１),0)*_11・２人),0)*(1+_11・A早朝)),0)+ROUND((ROUND((_11_B通院１１．０＿２．０*_11・基礎１),0)*_11・２人),0)</f>
        <v>653</v>
      </c>
      <c r="T74" s="48"/>
    </row>
    <row r="75" spans="1:20" ht="16.5" customHeight="1" x14ac:dyDescent="0.15">
      <c r="A75" s="41">
        <v>11</v>
      </c>
      <c r="B75" s="41" t="s">
        <v>5255</v>
      </c>
      <c r="C75" s="74" t="s">
        <v>5256</v>
      </c>
      <c r="D75" s="72"/>
      <c r="E75" s="99"/>
      <c r="F75" s="121"/>
      <c r="G75" s="99"/>
      <c r="H75" s="53"/>
      <c r="I75" s="49"/>
      <c r="J75" s="50"/>
      <c r="K75" s="44"/>
      <c r="L75" s="45"/>
      <c r="M75" s="46"/>
      <c r="N75" s="35"/>
      <c r="P75" s="57"/>
      <c r="Q75" s="707" t="s">
        <v>404</v>
      </c>
      <c r="R75" s="708"/>
      <c r="S75" s="47">
        <f>ROUND((ROUND((_11_A通院１１．０*(1+_11・A早朝)),0)*_11・初任),0)+ROUND((_11_B通院１１．０＿２．０*_11・初任),0)</f>
        <v>654</v>
      </c>
      <c r="T75" s="48"/>
    </row>
    <row r="76" spans="1:20" ht="16.5" customHeight="1" x14ac:dyDescent="0.15">
      <c r="A76" s="41">
        <v>11</v>
      </c>
      <c r="B76" s="41" t="s">
        <v>5257</v>
      </c>
      <c r="C76" s="74" t="s">
        <v>5258</v>
      </c>
      <c r="D76" s="72"/>
      <c r="E76" s="99"/>
      <c r="F76" s="121"/>
      <c r="G76" s="99"/>
      <c r="H76" s="43"/>
      <c r="I76" s="37"/>
      <c r="J76" s="38"/>
      <c r="K76" s="44" t="s">
        <v>397</v>
      </c>
      <c r="L76" s="45" t="s">
        <v>398</v>
      </c>
      <c r="M76" s="46">
        <v>1</v>
      </c>
      <c r="N76" s="35"/>
      <c r="P76" s="57"/>
      <c r="Q76" s="709"/>
      <c r="R76" s="704"/>
      <c r="S76" s="47">
        <f>ROUND((ROUND((ROUND((_11_A通院１１．０*_11・２人),0)*(1+_11・A早朝)),0)*_11・初任),0)+ROUND((ROUND((_11_B通院１１．０＿２．０*_11・２人),0)*_11・初任),0)</f>
        <v>654</v>
      </c>
      <c r="T76" s="48"/>
    </row>
    <row r="77" spans="1:20" ht="16.5" customHeight="1" x14ac:dyDescent="0.15">
      <c r="A77" s="41">
        <v>11</v>
      </c>
      <c r="B77" s="41" t="s">
        <v>5259</v>
      </c>
      <c r="C77" s="74" t="s">
        <v>5260</v>
      </c>
      <c r="D77" s="72"/>
      <c r="E77" s="99"/>
      <c r="F77" s="72"/>
      <c r="G77" s="105"/>
      <c r="H77" s="752" t="s">
        <v>400</v>
      </c>
      <c r="I77" s="49" t="s">
        <v>398</v>
      </c>
      <c r="J77" s="50">
        <v>0.7</v>
      </c>
      <c r="K77" s="44"/>
      <c r="L77" s="45"/>
      <c r="M77" s="46"/>
      <c r="N77" s="35"/>
      <c r="P77" s="57"/>
      <c r="Q77" s="709"/>
      <c r="R77" s="704"/>
      <c r="S77" s="47">
        <f>ROUND((ROUND((ROUND((_11_A通院１１．０*_11・基礎１),0)*(1+_11・A早朝)),0)*_11・初任),0)+ROUND((ROUND((_11_B通院１１．０＿２．０*_11・基礎１),0)*_11・初任),0)</f>
        <v>457</v>
      </c>
      <c r="T77" s="48"/>
    </row>
    <row r="78" spans="1:20" ht="16.5" customHeight="1" x14ac:dyDescent="0.15">
      <c r="A78" s="41">
        <v>11</v>
      </c>
      <c r="B78" s="41" t="s">
        <v>5261</v>
      </c>
      <c r="C78" s="74" t="s">
        <v>5262</v>
      </c>
      <c r="D78" s="122"/>
      <c r="E78" s="111"/>
      <c r="F78" s="122"/>
      <c r="G78" s="113"/>
      <c r="H78" s="711"/>
      <c r="I78" s="37"/>
      <c r="J78" s="38"/>
      <c r="K78" s="44" t="s">
        <v>397</v>
      </c>
      <c r="L78" s="45" t="s">
        <v>398</v>
      </c>
      <c r="M78" s="46">
        <v>1</v>
      </c>
      <c r="N78" s="43"/>
      <c r="O78" s="38"/>
      <c r="P78" s="79"/>
      <c r="Q78" s="55" t="s">
        <v>398</v>
      </c>
      <c r="R78" s="38">
        <f>_11・初任</f>
        <v>0.7</v>
      </c>
      <c r="S78" s="47">
        <f>ROUND((ROUND((ROUND((ROUND((_11_A通院１１．０*_11・基礎１),0)*_11・２人),0)*(1+_11・A早朝)),0)*_11・初任),0)+ROUND((ROUND((ROUND((_11_B通院１１．０＿２．０*_11・基礎１),0)*_11・２人),0)*_11・初任),0)</f>
        <v>457</v>
      </c>
      <c r="T78" s="63"/>
    </row>
    <row r="79" spans="1:20" ht="16.5" customHeight="1" x14ac:dyDescent="0.15">
      <c r="A79" s="41">
        <v>11</v>
      </c>
      <c r="B79" s="41">
        <v>3399</v>
      </c>
      <c r="C79" s="74" t="s">
        <v>5263</v>
      </c>
      <c r="D79" s="707" t="s">
        <v>5264</v>
      </c>
      <c r="E79" s="717"/>
      <c r="F79" s="707" t="s">
        <v>3643</v>
      </c>
      <c r="G79" s="717"/>
      <c r="H79" s="53"/>
      <c r="I79" s="49"/>
      <c r="J79" s="50"/>
      <c r="K79" s="44"/>
      <c r="L79" s="45"/>
      <c r="M79" s="46"/>
      <c r="N79" s="72" t="s">
        <v>1227</v>
      </c>
      <c r="P79" s="57"/>
      <c r="Q79" s="53"/>
      <c r="R79" s="49"/>
      <c r="S79" s="47">
        <f>ROUND((_11_A通院１１．５*(1+_11・A早朝)),0)+_11_B通院１１．５＿０．５</f>
        <v>812</v>
      </c>
      <c r="T79" s="48"/>
    </row>
    <row r="80" spans="1:20" ht="16.5" customHeight="1" x14ac:dyDescent="0.15">
      <c r="A80" s="41">
        <v>11</v>
      </c>
      <c r="B80" s="41">
        <v>3400</v>
      </c>
      <c r="C80" s="74" t="s">
        <v>5265</v>
      </c>
      <c r="D80" s="709"/>
      <c r="E80" s="718"/>
      <c r="F80" s="709"/>
      <c r="G80" s="718"/>
      <c r="H80" s="43"/>
      <c r="I80" s="37"/>
      <c r="J80" s="38"/>
      <c r="K80" s="44" t="s">
        <v>397</v>
      </c>
      <c r="L80" s="45" t="s">
        <v>398</v>
      </c>
      <c r="M80" s="46">
        <v>1</v>
      </c>
      <c r="N80" s="35" t="s">
        <v>398</v>
      </c>
      <c r="O80" s="13">
        <v>0.25</v>
      </c>
      <c r="P80" s="728" t="s">
        <v>676</v>
      </c>
      <c r="Q80" s="35"/>
      <c r="S80" s="47">
        <f>ROUND((ROUND((_11_A通院１１．５*_11・２人),0)*(1+_11・A早朝)),0)+ROUND((_11_B通院１１．５＿０．５*_11・２人),0)</f>
        <v>812</v>
      </c>
      <c r="T80" s="48"/>
    </row>
    <row r="81" spans="1:20" ht="16.5" customHeight="1" x14ac:dyDescent="0.15">
      <c r="A81" s="41">
        <v>11</v>
      </c>
      <c r="B81" s="41">
        <v>3401</v>
      </c>
      <c r="C81" s="74" t="s">
        <v>5266</v>
      </c>
      <c r="D81" s="709"/>
      <c r="E81" s="718"/>
      <c r="F81" s="709"/>
      <c r="G81" s="718"/>
      <c r="H81" s="752" t="s">
        <v>400</v>
      </c>
      <c r="I81" s="49" t="s">
        <v>398</v>
      </c>
      <c r="J81" s="50">
        <v>0.7</v>
      </c>
      <c r="K81" s="44"/>
      <c r="L81" s="45"/>
      <c r="M81" s="46"/>
      <c r="N81" s="35"/>
      <c r="P81" s="728"/>
      <c r="Q81" s="35"/>
      <c r="S81" s="47">
        <f>ROUND((ROUND((_11_A通院１１．５*_11・基礎１),0)*(1+_11・A早朝)),0)+ROUND((_11_B通院１１．５＿０．５*_11・基礎１),0)</f>
        <v>568</v>
      </c>
      <c r="T81" s="48"/>
    </row>
    <row r="82" spans="1:20" ht="16.5" customHeight="1" x14ac:dyDescent="0.15">
      <c r="A82" s="41">
        <v>11</v>
      </c>
      <c r="B82" s="41">
        <v>3402</v>
      </c>
      <c r="C82" s="74" t="s">
        <v>5267</v>
      </c>
      <c r="D82" s="100">
        <f>_11_A通院１１．５</f>
        <v>584</v>
      </c>
      <c r="E82" s="12" t="s">
        <v>392</v>
      </c>
      <c r="F82" s="100">
        <f>_11_B通院１１．５＿０．５</f>
        <v>82</v>
      </c>
      <c r="G82" s="12" t="s">
        <v>392</v>
      </c>
      <c r="H82" s="711"/>
      <c r="I82" s="37"/>
      <c r="J82" s="38"/>
      <c r="K82" s="44" t="s">
        <v>397</v>
      </c>
      <c r="L82" s="45" t="s">
        <v>398</v>
      </c>
      <c r="M82" s="46">
        <v>1</v>
      </c>
      <c r="N82" s="35"/>
      <c r="P82" s="57"/>
      <c r="Q82" s="43"/>
      <c r="R82" s="37"/>
      <c r="S82" s="47">
        <f>ROUND((ROUND((ROUND((_11_A通院１１．５*_11・基礎１),0)*_11・２人),0)*(1+_11・A早朝)),0)+ROUND((ROUND((_11_B通院１１．５＿０．５*_11・基礎１),0)*_11・２人),0)</f>
        <v>568</v>
      </c>
      <c r="T82" s="48"/>
    </row>
    <row r="83" spans="1:20" ht="16.5" customHeight="1" x14ac:dyDescent="0.15">
      <c r="A83" s="41">
        <v>11</v>
      </c>
      <c r="B83" s="41" t="s">
        <v>5268</v>
      </c>
      <c r="C83" s="74" t="s">
        <v>5269</v>
      </c>
      <c r="D83" s="121"/>
      <c r="E83" s="99"/>
      <c r="F83" s="121"/>
      <c r="G83" s="99"/>
      <c r="H83" s="53"/>
      <c r="I83" s="49"/>
      <c r="J83" s="50"/>
      <c r="K83" s="44"/>
      <c r="L83" s="45"/>
      <c r="M83" s="46"/>
      <c r="N83" s="35"/>
      <c r="P83" s="57"/>
      <c r="Q83" s="707" t="s">
        <v>404</v>
      </c>
      <c r="R83" s="708"/>
      <c r="S83" s="47">
        <f>ROUND((ROUND((_11_A通院１１．５*(1+_11・A早朝)),0)*_11・初任),0)+ROUND((_11_B通院１１．５＿０．５*_11・初任),0)</f>
        <v>568</v>
      </c>
      <c r="T83" s="48"/>
    </row>
    <row r="84" spans="1:20" ht="16.5" customHeight="1" x14ac:dyDescent="0.15">
      <c r="A84" s="41">
        <v>11</v>
      </c>
      <c r="B84" s="41" t="s">
        <v>5270</v>
      </c>
      <c r="C84" s="74" t="s">
        <v>5271</v>
      </c>
      <c r="D84" s="121"/>
      <c r="E84" s="99"/>
      <c r="F84" s="121"/>
      <c r="G84" s="99"/>
      <c r="H84" s="43"/>
      <c r="I84" s="37"/>
      <c r="J84" s="38"/>
      <c r="K84" s="44" t="s">
        <v>397</v>
      </c>
      <c r="L84" s="45" t="s">
        <v>398</v>
      </c>
      <c r="M84" s="46">
        <v>1</v>
      </c>
      <c r="N84" s="35"/>
      <c r="P84" s="57"/>
      <c r="Q84" s="709"/>
      <c r="R84" s="704"/>
      <c r="S84" s="47">
        <f>ROUND((ROUND((ROUND((_11_A通院１１．５*_11・２人),0)*(1+_11・A早朝)),0)*_11・初任),0)+ROUND((ROUND((_11_B通院１１．５＿０．５*_11・２人),0)*_11・初任),0)</f>
        <v>568</v>
      </c>
      <c r="T84" s="48"/>
    </row>
    <row r="85" spans="1:20" ht="16.5" customHeight="1" x14ac:dyDescent="0.15">
      <c r="A85" s="41">
        <v>11</v>
      </c>
      <c r="B85" s="41" t="s">
        <v>5272</v>
      </c>
      <c r="C85" s="74" t="s">
        <v>5273</v>
      </c>
      <c r="D85" s="72"/>
      <c r="E85" s="99"/>
      <c r="F85" s="72"/>
      <c r="G85" s="99"/>
      <c r="H85" s="752" t="s">
        <v>400</v>
      </c>
      <c r="I85" s="49" t="s">
        <v>398</v>
      </c>
      <c r="J85" s="50">
        <v>0.7</v>
      </c>
      <c r="K85" s="44"/>
      <c r="L85" s="45"/>
      <c r="M85" s="46"/>
      <c r="N85" s="35"/>
      <c r="P85" s="57"/>
      <c r="Q85" s="709"/>
      <c r="R85" s="704"/>
      <c r="S85" s="47">
        <f>ROUND((ROUND((ROUND((_11_A通院１１．５*_11・基礎１),0)*(1+_11・A早朝)),0)*_11・初任),0)+ROUND((ROUND((_11_B通院１１．５＿０．５*_11・基礎１),0)*_11・初任),0)</f>
        <v>398</v>
      </c>
      <c r="T85" s="48"/>
    </row>
    <row r="86" spans="1:20" ht="16.5" customHeight="1" x14ac:dyDescent="0.15">
      <c r="A86" s="41">
        <v>11</v>
      </c>
      <c r="B86" s="41" t="s">
        <v>5274</v>
      </c>
      <c r="C86" s="74" t="s">
        <v>5275</v>
      </c>
      <c r="D86" s="72"/>
      <c r="E86" s="105"/>
      <c r="F86" s="122"/>
      <c r="G86" s="111"/>
      <c r="H86" s="711"/>
      <c r="I86" s="37"/>
      <c r="J86" s="38"/>
      <c r="K86" s="44" t="s">
        <v>397</v>
      </c>
      <c r="L86" s="45" t="s">
        <v>398</v>
      </c>
      <c r="M86" s="46">
        <v>1</v>
      </c>
      <c r="N86" s="35"/>
      <c r="P86" s="57"/>
      <c r="Q86" s="55" t="s">
        <v>398</v>
      </c>
      <c r="R86" s="38">
        <f>_11・初任</f>
        <v>0.7</v>
      </c>
      <c r="S86" s="47">
        <f>ROUND((ROUND((ROUND((ROUND((_11_A通院１１．５*_11・基礎１),0)*_11・２人),0)*(1+_11・A早朝)),0)*_11・初任),0)+ROUND((ROUND((ROUND((_11_B通院１１．５＿０．５*_11・基礎１),0)*_11・２人),0)*_11・初任),0)</f>
        <v>398</v>
      </c>
      <c r="T86" s="48"/>
    </row>
    <row r="87" spans="1:20" ht="16.5" customHeight="1" x14ac:dyDescent="0.15">
      <c r="A87" s="33">
        <v>11</v>
      </c>
      <c r="B87" s="33">
        <v>3403</v>
      </c>
      <c r="C87" s="34" t="s">
        <v>5276</v>
      </c>
      <c r="D87" s="72"/>
      <c r="E87" s="105"/>
      <c r="F87" s="754" t="s">
        <v>3650</v>
      </c>
      <c r="G87" s="716"/>
      <c r="H87" s="35"/>
      <c r="K87" s="36"/>
      <c r="L87" s="37"/>
      <c r="M87" s="38"/>
      <c r="N87" s="35"/>
      <c r="P87" s="57"/>
      <c r="Q87" s="35"/>
      <c r="S87" s="39">
        <f>ROUND((_11_A通院１１．５*(1+_11・A早朝)),0)+_11_B通院１１．５＿１．０</f>
        <v>896</v>
      </c>
      <c r="T87" s="48"/>
    </row>
    <row r="88" spans="1:20" ht="16.5" customHeight="1" x14ac:dyDescent="0.15">
      <c r="A88" s="41">
        <v>11</v>
      </c>
      <c r="B88" s="41">
        <v>3404</v>
      </c>
      <c r="C88" s="74" t="s">
        <v>5277</v>
      </c>
      <c r="D88" s="72"/>
      <c r="E88" s="99"/>
      <c r="F88" s="754"/>
      <c r="G88" s="716"/>
      <c r="H88" s="43"/>
      <c r="I88" s="37"/>
      <c r="J88" s="38"/>
      <c r="K88" s="44" t="s">
        <v>397</v>
      </c>
      <c r="L88" s="45" t="s">
        <v>398</v>
      </c>
      <c r="M88" s="46">
        <v>1</v>
      </c>
      <c r="N88" s="35"/>
      <c r="P88" s="57"/>
      <c r="Q88" s="35"/>
      <c r="S88" s="47">
        <f>ROUND((ROUND((_11_A通院１１．５*_11・２人),0)*(1+_11・A早朝)),0)+ROUND((_11_B通院１１．５＿１．０*_11・２人),0)</f>
        <v>896</v>
      </c>
      <c r="T88" s="48"/>
    </row>
    <row r="89" spans="1:20" ht="16.5" customHeight="1" x14ac:dyDescent="0.15">
      <c r="A89" s="41">
        <v>11</v>
      </c>
      <c r="B89" s="41">
        <v>3405</v>
      </c>
      <c r="C89" s="74" t="s">
        <v>5278</v>
      </c>
      <c r="D89" s="72"/>
      <c r="E89" s="99"/>
      <c r="F89" s="754"/>
      <c r="G89" s="716"/>
      <c r="H89" s="752" t="s">
        <v>400</v>
      </c>
      <c r="I89" s="49" t="s">
        <v>398</v>
      </c>
      <c r="J89" s="50">
        <v>0.7</v>
      </c>
      <c r="K89" s="44"/>
      <c r="L89" s="45"/>
      <c r="M89" s="46"/>
      <c r="N89" s="35"/>
      <c r="P89" s="57"/>
      <c r="Q89" s="35"/>
      <c r="S89" s="47">
        <f>ROUND((ROUND((_11_A通院１１．５*_11・基礎１),0)*(1+_11・A早朝)),0)+ROUND((_11_B通院１１．５＿１．０*_11・基礎１),0)</f>
        <v>627</v>
      </c>
      <c r="T89" s="48"/>
    </row>
    <row r="90" spans="1:20" ht="16.5" customHeight="1" x14ac:dyDescent="0.15">
      <c r="A90" s="41">
        <v>11</v>
      </c>
      <c r="B90" s="41">
        <v>3406</v>
      </c>
      <c r="C90" s="74" t="s">
        <v>5279</v>
      </c>
      <c r="D90" s="72"/>
      <c r="E90" s="99"/>
      <c r="F90" s="100">
        <f>_11_B通院１１．５＿１．０</f>
        <v>166</v>
      </c>
      <c r="G90" s="12" t="s">
        <v>392</v>
      </c>
      <c r="H90" s="711"/>
      <c r="I90" s="37"/>
      <c r="J90" s="38"/>
      <c r="K90" s="44" t="s">
        <v>397</v>
      </c>
      <c r="L90" s="45" t="s">
        <v>398</v>
      </c>
      <c r="M90" s="46">
        <v>1</v>
      </c>
      <c r="N90" s="35"/>
      <c r="P90" s="57"/>
      <c r="Q90" s="43"/>
      <c r="R90" s="37"/>
      <c r="S90" s="47">
        <f>ROUND((ROUND((ROUND((_11_A通院１１．５*_11・基礎１),0)*_11・２人),0)*(1+_11・A早朝)),0)+ROUND((ROUND((_11_B通院１１．５＿１．０*_11・基礎１),0)*_11・２人),0)</f>
        <v>627</v>
      </c>
      <c r="T90" s="48"/>
    </row>
    <row r="91" spans="1:20" ht="16.5" customHeight="1" x14ac:dyDescent="0.15">
      <c r="A91" s="41">
        <v>11</v>
      </c>
      <c r="B91" s="41" t="s">
        <v>5280</v>
      </c>
      <c r="C91" s="74" t="s">
        <v>5281</v>
      </c>
      <c r="D91" s="72"/>
      <c r="E91" s="99"/>
      <c r="F91" s="121"/>
      <c r="G91" s="99"/>
      <c r="H91" s="53"/>
      <c r="I91" s="49"/>
      <c r="J91" s="50"/>
      <c r="K91" s="44"/>
      <c r="L91" s="45"/>
      <c r="M91" s="46"/>
      <c r="N91" s="35"/>
      <c r="P91" s="57"/>
      <c r="Q91" s="707" t="s">
        <v>404</v>
      </c>
      <c r="R91" s="708"/>
      <c r="S91" s="47">
        <f>ROUND((ROUND((_11_A通院１１．５*(1+_11・A早朝)),0)*_11・初任),0)+ROUND((_11_B通院１１．５＿１．０*_11・初任),0)</f>
        <v>627</v>
      </c>
      <c r="T91" s="48"/>
    </row>
    <row r="92" spans="1:20" ht="16.5" customHeight="1" x14ac:dyDescent="0.15">
      <c r="A92" s="41">
        <v>11</v>
      </c>
      <c r="B92" s="41" t="s">
        <v>5282</v>
      </c>
      <c r="C92" s="74" t="s">
        <v>5283</v>
      </c>
      <c r="D92" s="72"/>
      <c r="E92" s="99"/>
      <c r="F92" s="121"/>
      <c r="G92" s="99"/>
      <c r="H92" s="43"/>
      <c r="I92" s="37"/>
      <c r="J92" s="38"/>
      <c r="K92" s="44" t="s">
        <v>397</v>
      </c>
      <c r="L92" s="45" t="s">
        <v>398</v>
      </c>
      <c r="M92" s="46">
        <v>1</v>
      </c>
      <c r="N92" s="35"/>
      <c r="P92" s="57"/>
      <c r="Q92" s="709"/>
      <c r="R92" s="704"/>
      <c r="S92" s="47">
        <f>ROUND((ROUND((ROUND((_11_A通院１１．５*_11・２人),0)*(1+_11・A早朝)),0)*_11・初任),0)+ROUND((ROUND((_11_B通院１１．５＿１．０*_11・２人),0)*_11・初任),0)</f>
        <v>627</v>
      </c>
      <c r="T92" s="48"/>
    </row>
    <row r="93" spans="1:20" ht="16.5" customHeight="1" x14ac:dyDescent="0.15">
      <c r="A93" s="41">
        <v>11</v>
      </c>
      <c r="B93" s="41" t="s">
        <v>5284</v>
      </c>
      <c r="C93" s="74" t="s">
        <v>5285</v>
      </c>
      <c r="D93" s="72"/>
      <c r="E93" s="99"/>
      <c r="F93" s="72"/>
      <c r="G93" s="99"/>
      <c r="H93" s="752" t="s">
        <v>400</v>
      </c>
      <c r="I93" s="49" t="s">
        <v>398</v>
      </c>
      <c r="J93" s="50">
        <v>0.7</v>
      </c>
      <c r="K93" s="44"/>
      <c r="L93" s="45"/>
      <c r="M93" s="46"/>
      <c r="N93" s="35"/>
      <c r="P93" s="57"/>
      <c r="Q93" s="709"/>
      <c r="R93" s="704"/>
      <c r="S93" s="47">
        <f>ROUND((ROUND((ROUND((_11_A通院１１．５*_11・基礎１),0)*(1+_11・A早朝)),0)*_11・初任),0)+ROUND((ROUND((_11_B通院１１．５＿１．０*_11・基礎１),0)*_11・初任),0)</f>
        <v>439</v>
      </c>
      <c r="T93" s="48"/>
    </row>
    <row r="94" spans="1:20" ht="16.5" customHeight="1" x14ac:dyDescent="0.15">
      <c r="A94" s="41">
        <v>11</v>
      </c>
      <c r="B94" s="41" t="s">
        <v>5286</v>
      </c>
      <c r="C94" s="74" t="s">
        <v>5287</v>
      </c>
      <c r="D94" s="72"/>
      <c r="E94" s="99"/>
      <c r="F94" s="72"/>
      <c r="G94" s="99"/>
      <c r="H94" s="711"/>
      <c r="I94" s="37"/>
      <c r="J94" s="38"/>
      <c r="K94" s="44" t="s">
        <v>397</v>
      </c>
      <c r="L94" s="45" t="s">
        <v>398</v>
      </c>
      <c r="M94" s="46">
        <v>1</v>
      </c>
      <c r="N94" s="35"/>
      <c r="P94" s="57"/>
      <c r="Q94" s="55" t="s">
        <v>398</v>
      </c>
      <c r="R94" s="38">
        <f>_11・初任</f>
        <v>0.7</v>
      </c>
      <c r="S94" s="47">
        <f>ROUND((ROUND((ROUND((ROUND((_11_A通院１１．５*_11・基礎１),0)*_11・２人),0)*(1+_11・A早朝)),0)*_11・初任),0)+ROUND((ROUND((ROUND((_11_B通院１１．５＿１．０*_11・基礎１),0)*_11・２人),0)*_11・初任),0)</f>
        <v>439</v>
      </c>
      <c r="T94" s="48"/>
    </row>
    <row r="95" spans="1:20" ht="16.5" customHeight="1" x14ac:dyDescent="0.15">
      <c r="A95" s="41">
        <v>11</v>
      </c>
      <c r="B95" s="41">
        <v>3407</v>
      </c>
      <c r="C95" s="74" t="s">
        <v>5288</v>
      </c>
      <c r="D95" s="72"/>
      <c r="E95" s="105"/>
      <c r="F95" s="707" t="s">
        <v>1253</v>
      </c>
      <c r="G95" s="717"/>
      <c r="H95" s="53"/>
      <c r="I95" s="49"/>
      <c r="J95" s="50"/>
      <c r="K95" s="44"/>
      <c r="L95" s="45"/>
      <c r="M95" s="46"/>
      <c r="N95" s="35"/>
      <c r="P95" s="57"/>
      <c r="Q95" s="53"/>
      <c r="R95" s="49"/>
      <c r="S95" s="47">
        <f>ROUND((_11_A通院１１．５*(1+_11・A早朝)),0)+_11_B通院１１．５＿１．５</f>
        <v>979</v>
      </c>
      <c r="T95" s="48"/>
    </row>
    <row r="96" spans="1:20" ht="16.5" customHeight="1" x14ac:dyDescent="0.15">
      <c r="A96" s="41">
        <v>11</v>
      </c>
      <c r="B96" s="41">
        <v>3408</v>
      </c>
      <c r="C96" s="74" t="s">
        <v>5289</v>
      </c>
      <c r="D96" s="72"/>
      <c r="E96" s="99"/>
      <c r="F96" s="709"/>
      <c r="G96" s="718"/>
      <c r="H96" s="43"/>
      <c r="I96" s="37"/>
      <c r="J96" s="38"/>
      <c r="K96" s="44" t="s">
        <v>397</v>
      </c>
      <c r="L96" s="45" t="s">
        <v>398</v>
      </c>
      <c r="M96" s="46">
        <v>1</v>
      </c>
      <c r="N96" s="35"/>
      <c r="P96" s="57"/>
      <c r="Q96" s="35"/>
      <c r="S96" s="47">
        <f>ROUND((ROUND((_11_A通院１１．５*_11・２人),0)*(1+_11・A早朝)),0)+ROUND((_11_B通院１１．５＿１．５*_11・２人),0)</f>
        <v>979</v>
      </c>
      <c r="T96" s="48"/>
    </row>
    <row r="97" spans="1:20" ht="16.5" customHeight="1" x14ac:dyDescent="0.15">
      <c r="A97" s="41">
        <v>11</v>
      </c>
      <c r="B97" s="41">
        <v>3409</v>
      </c>
      <c r="C97" s="74" t="s">
        <v>5290</v>
      </c>
      <c r="D97" s="72"/>
      <c r="E97" s="99"/>
      <c r="F97" s="709"/>
      <c r="G97" s="718"/>
      <c r="H97" s="752" t="s">
        <v>400</v>
      </c>
      <c r="I97" s="49" t="s">
        <v>398</v>
      </c>
      <c r="J97" s="50">
        <v>0.7</v>
      </c>
      <c r="K97" s="44"/>
      <c r="L97" s="45"/>
      <c r="M97" s="46"/>
      <c r="N97" s="35"/>
      <c r="P97" s="57"/>
      <c r="Q97" s="35"/>
      <c r="S97" s="47">
        <f>ROUND((ROUND((_11_A通院１１．５*_11・基礎１),0)*(1+_11・A早朝)),0)+ROUND((_11_B通院１１．５＿１．５*_11・基礎１),0)</f>
        <v>685</v>
      </c>
      <c r="T97" s="48"/>
    </row>
    <row r="98" spans="1:20" ht="16.5" customHeight="1" x14ac:dyDescent="0.15">
      <c r="A98" s="41">
        <v>11</v>
      </c>
      <c r="B98" s="41">
        <v>3410</v>
      </c>
      <c r="C98" s="74" t="s">
        <v>5291</v>
      </c>
      <c r="D98" s="72"/>
      <c r="E98" s="99"/>
      <c r="F98" s="100">
        <f>_11_B通院１１．５＿１．５</f>
        <v>249</v>
      </c>
      <c r="G98" s="12" t="s">
        <v>392</v>
      </c>
      <c r="H98" s="711"/>
      <c r="I98" s="37"/>
      <c r="J98" s="38"/>
      <c r="K98" s="44" t="s">
        <v>397</v>
      </c>
      <c r="L98" s="45" t="s">
        <v>398</v>
      </c>
      <c r="M98" s="46">
        <v>1</v>
      </c>
      <c r="N98" s="35"/>
      <c r="P98" s="57"/>
      <c r="Q98" s="43"/>
      <c r="R98" s="37"/>
      <c r="S98" s="47">
        <f>ROUND((ROUND((ROUND((_11_A通院１１．５*_11・基礎１),0)*_11・２人),0)*(1+_11・A早朝)),0)+ROUND((ROUND((_11_B通院１１．５＿１．５*_11・基礎１),0)*_11・２人),0)</f>
        <v>685</v>
      </c>
      <c r="T98" s="48"/>
    </row>
    <row r="99" spans="1:20" ht="16.5" customHeight="1" x14ac:dyDescent="0.15">
      <c r="A99" s="41">
        <v>11</v>
      </c>
      <c r="B99" s="41" t="s">
        <v>5292</v>
      </c>
      <c r="C99" s="74" t="s">
        <v>5293</v>
      </c>
      <c r="D99" s="72"/>
      <c r="E99" s="99"/>
      <c r="F99" s="121"/>
      <c r="G99" s="99"/>
      <c r="H99" s="53"/>
      <c r="I99" s="49"/>
      <c r="J99" s="50"/>
      <c r="K99" s="44"/>
      <c r="L99" s="45"/>
      <c r="M99" s="46"/>
      <c r="N99" s="35"/>
      <c r="P99" s="57"/>
      <c r="Q99" s="707" t="s">
        <v>404</v>
      </c>
      <c r="R99" s="708"/>
      <c r="S99" s="47">
        <f>ROUND((ROUND((_11_A通院１１．５*(1+_11・A早朝)),0)*_11・初任),0)+ROUND((_11_B通院１１．５＿１．５*_11・初任),0)</f>
        <v>685</v>
      </c>
      <c r="T99" s="48"/>
    </row>
    <row r="100" spans="1:20" ht="16.5" customHeight="1" x14ac:dyDescent="0.15">
      <c r="A100" s="41">
        <v>11</v>
      </c>
      <c r="B100" s="41" t="s">
        <v>5294</v>
      </c>
      <c r="C100" s="74" t="s">
        <v>5295</v>
      </c>
      <c r="D100" s="72"/>
      <c r="E100" s="99"/>
      <c r="F100" s="121"/>
      <c r="G100" s="99"/>
      <c r="H100" s="43"/>
      <c r="I100" s="37"/>
      <c r="J100" s="38"/>
      <c r="K100" s="44" t="s">
        <v>397</v>
      </c>
      <c r="L100" s="45" t="s">
        <v>398</v>
      </c>
      <c r="M100" s="46">
        <v>1</v>
      </c>
      <c r="N100" s="35"/>
      <c r="P100" s="57"/>
      <c r="Q100" s="709"/>
      <c r="R100" s="704"/>
      <c r="S100" s="47">
        <f>ROUND((ROUND((ROUND((_11_A通院１１．５*_11・２人),0)*(1+_11・A早朝)),0)*_11・初任),0)+ROUND((ROUND((_11_B通院１１．５＿１．５*_11・２人),0)*_11・初任),0)</f>
        <v>685</v>
      </c>
      <c r="T100" s="48"/>
    </row>
    <row r="101" spans="1:20" ht="16.5" customHeight="1" x14ac:dyDescent="0.15">
      <c r="A101" s="41">
        <v>11</v>
      </c>
      <c r="B101" s="41" t="s">
        <v>5296</v>
      </c>
      <c r="C101" s="74" t="s">
        <v>5297</v>
      </c>
      <c r="D101" s="72"/>
      <c r="E101" s="99"/>
      <c r="F101" s="72"/>
      <c r="G101" s="99"/>
      <c r="H101" s="752" t="s">
        <v>400</v>
      </c>
      <c r="I101" s="49" t="s">
        <v>398</v>
      </c>
      <c r="J101" s="50">
        <v>0.7</v>
      </c>
      <c r="K101" s="44"/>
      <c r="L101" s="45"/>
      <c r="M101" s="46"/>
      <c r="N101" s="35"/>
      <c r="P101" s="57"/>
      <c r="Q101" s="709"/>
      <c r="R101" s="704"/>
      <c r="S101" s="47">
        <f>ROUND((ROUND((ROUND((_11_A通院１１．５*_11・基礎１),0)*(1+_11・A早朝)),0)*_11・初任),0)+ROUND((ROUND((_11_B通院１１．５＿１．５*_11・基礎１),0)*_11・初任),0)</f>
        <v>480</v>
      </c>
      <c r="T101" s="48"/>
    </row>
    <row r="102" spans="1:20" ht="16.5" customHeight="1" x14ac:dyDescent="0.15">
      <c r="A102" s="41">
        <v>11</v>
      </c>
      <c r="B102" s="41" t="s">
        <v>5298</v>
      </c>
      <c r="C102" s="74" t="s">
        <v>5299</v>
      </c>
      <c r="D102" s="72"/>
      <c r="E102" s="99"/>
      <c r="F102" s="72"/>
      <c r="G102" s="99"/>
      <c r="H102" s="711"/>
      <c r="I102" s="37"/>
      <c r="J102" s="38"/>
      <c r="K102" s="44" t="s">
        <v>397</v>
      </c>
      <c r="L102" s="45" t="s">
        <v>398</v>
      </c>
      <c r="M102" s="46">
        <v>1</v>
      </c>
      <c r="N102" s="35"/>
      <c r="P102" s="57"/>
      <c r="Q102" s="55" t="s">
        <v>398</v>
      </c>
      <c r="R102" s="38">
        <f>_11・初任</f>
        <v>0.7</v>
      </c>
      <c r="S102" s="47">
        <f>ROUND((ROUND((ROUND((ROUND((_11_A通院１１．５*_11・基礎１),0)*_11・２人),0)*(1+_11・A早朝)),0)*_11・初任),0)+ROUND((ROUND((ROUND((_11_B通院１１．５＿１．５*_11・基礎１),0)*_11・２人),0)*_11・初任),0)</f>
        <v>480</v>
      </c>
      <c r="T102" s="48"/>
    </row>
    <row r="103" spans="1:20" ht="16.5" customHeight="1" x14ac:dyDescent="0.15">
      <c r="A103" s="41">
        <v>11</v>
      </c>
      <c r="B103" s="41">
        <v>3411</v>
      </c>
      <c r="C103" s="74" t="s">
        <v>5300</v>
      </c>
      <c r="D103" s="707" t="s">
        <v>5301</v>
      </c>
      <c r="E103" s="717"/>
      <c r="F103" s="707" t="s">
        <v>3643</v>
      </c>
      <c r="G103" s="717"/>
      <c r="H103" s="53"/>
      <c r="I103" s="49"/>
      <c r="J103" s="50"/>
      <c r="K103" s="44"/>
      <c r="L103" s="45"/>
      <c r="M103" s="46"/>
      <c r="N103" s="35"/>
      <c r="P103" s="57"/>
      <c r="Q103" s="53"/>
      <c r="R103" s="49"/>
      <c r="S103" s="47">
        <f>ROUND((_11_A通院１２．０*(1+_11・A早朝)),0)+_11_B通院１２．０＿０．５</f>
        <v>917</v>
      </c>
      <c r="T103" s="48"/>
    </row>
    <row r="104" spans="1:20" ht="16.5" customHeight="1" x14ac:dyDescent="0.15">
      <c r="A104" s="41">
        <v>11</v>
      </c>
      <c r="B104" s="41">
        <v>3412</v>
      </c>
      <c r="C104" s="74" t="s">
        <v>5302</v>
      </c>
      <c r="D104" s="709"/>
      <c r="E104" s="718"/>
      <c r="F104" s="709"/>
      <c r="G104" s="718"/>
      <c r="H104" s="43"/>
      <c r="I104" s="37"/>
      <c r="J104" s="38"/>
      <c r="K104" s="44" t="s">
        <v>397</v>
      </c>
      <c r="L104" s="45" t="s">
        <v>398</v>
      </c>
      <c r="M104" s="46">
        <v>1</v>
      </c>
      <c r="N104" s="35"/>
      <c r="P104" s="57"/>
      <c r="Q104" s="35"/>
      <c r="S104" s="47">
        <f>ROUND((ROUND((_11_A通院１２．０*_11・２人),0)*(1+_11・A早朝)),0)+ROUND((_11_B通院１２．０＿０．５*_11・２人),0)</f>
        <v>917</v>
      </c>
      <c r="T104" s="48"/>
    </row>
    <row r="105" spans="1:20" ht="16.5" customHeight="1" x14ac:dyDescent="0.15">
      <c r="A105" s="41">
        <v>11</v>
      </c>
      <c r="B105" s="41">
        <v>3413</v>
      </c>
      <c r="C105" s="74" t="s">
        <v>5303</v>
      </c>
      <c r="D105" s="709"/>
      <c r="E105" s="718"/>
      <c r="F105" s="709"/>
      <c r="G105" s="718"/>
      <c r="H105" s="752" t="s">
        <v>400</v>
      </c>
      <c r="I105" s="49" t="s">
        <v>398</v>
      </c>
      <c r="J105" s="50">
        <v>0.7</v>
      </c>
      <c r="K105" s="44"/>
      <c r="L105" s="45"/>
      <c r="M105" s="46"/>
      <c r="N105" s="35"/>
      <c r="P105" s="57"/>
      <c r="Q105" s="35"/>
      <c r="S105" s="47">
        <f>ROUND((ROUND((_11_A通院１２．０*_11・基礎１),0)*(1+_11・A早朝)),0)+ROUND((_11_B通院１２．０＿０．５*_11・基礎１),0)</f>
        <v>642</v>
      </c>
      <c r="T105" s="48"/>
    </row>
    <row r="106" spans="1:20" ht="16.5" customHeight="1" x14ac:dyDescent="0.15">
      <c r="A106" s="41">
        <v>11</v>
      </c>
      <c r="B106" s="41">
        <v>3414</v>
      </c>
      <c r="C106" s="74" t="s">
        <v>5304</v>
      </c>
      <c r="D106" s="100">
        <f>_11_A通院１２．０</f>
        <v>666</v>
      </c>
      <c r="E106" s="12" t="s">
        <v>392</v>
      </c>
      <c r="F106" s="100">
        <f>_11_B通院１２．０＿０．５</f>
        <v>84</v>
      </c>
      <c r="G106" s="12" t="s">
        <v>392</v>
      </c>
      <c r="H106" s="711"/>
      <c r="I106" s="37"/>
      <c r="J106" s="38"/>
      <c r="K106" s="44" t="s">
        <v>397</v>
      </c>
      <c r="L106" s="45" t="s">
        <v>398</v>
      </c>
      <c r="M106" s="46">
        <v>1</v>
      </c>
      <c r="N106" s="35"/>
      <c r="P106" s="57"/>
      <c r="Q106" s="43"/>
      <c r="R106" s="37"/>
      <c r="S106" s="47">
        <f>ROUND((ROUND((ROUND((_11_A通院１２．０*_11・基礎１),0)*_11・２人),0)*(1+_11・A早朝)),0)+ROUND((ROUND((_11_B通院１２．０＿０．５*_11・基礎１),0)*_11・２人),0)</f>
        <v>642</v>
      </c>
      <c r="T106" s="48"/>
    </row>
    <row r="107" spans="1:20" ht="16.5" customHeight="1" x14ac:dyDescent="0.15">
      <c r="A107" s="41">
        <v>11</v>
      </c>
      <c r="B107" s="41" t="s">
        <v>5305</v>
      </c>
      <c r="C107" s="74" t="s">
        <v>5306</v>
      </c>
      <c r="D107" s="121"/>
      <c r="E107" s="99"/>
      <c r="F107" s="121"/>
      <c r="G107" s="99"/>
      <c r="H107" s="53"/>
      <c r="I107" s="49"/>
      <c r="J107" s="50"/>
      <c r="K107" s="44"/>
      <c r="L107" s="45"/>
      <c r="M107" s="46"/>
      <c r="N107" s="35"/>
      <c r="P107" s="57"/>
      <c r="Q107" s="707" t="s">
        <v>404</v>
      </c>
      <c r="R107" s="708"/>
      <c r="S107" s="47">
        <f>ROUND((ROUND((_11_A通院１２．０*(1+_11・A早朝)),0)*_11・初任),0)+ROUND((_11_B通院１２．０＿０．５*_11・初任),0)</f>
        <v>642</v>
      </c>
      <c r="T107" s="48"/>
    </row>
    <row r="108" spans="1:20" ht="16.5" customHeight="1" x14ac:dyDescent="0.15">
      <c r="A108" s="41">
        <v>11</v>
      </c>
      <c r="B108" s="41" t="s">
        <v>5307</v>
      </c>
      <c r="C108" s="74" t="s">
        <v>5308</v>
      </c>
      <c r="D108" s="121"/>
      <c r="E108" s="99"/>
      <c r="F108" s="121"/>
      <c r="G108" s="99"/>
      <c r="H108" s="43"/>
      <c r="I108" s="37"/>
      <c r="J108" s="38"/>
      <c r="K108" s="44" t="s">
        <v>397</v>
      </c>
      <c r="L108" s="45" t="s">
        <v>398</v>
      </c>
      <c r="M108" s="46">
        <v>1</v>
      </c>
      <c r="N108" s="35"/>
      <c r="P108" s="57"/>
      <c r="Q108" s="709"/>
      <c r="R108" s="704"/>
      <c r="S108" s="47">
        <f>ROUND((ROUND((ROUND((_11_A通院１２．０*_11・２人),0)*(1+_11・A早朝)),0)*_11・初任),0)+ROUND((ROUND((_11_B通院１２．０＿０．５*_11・２人),0)*_11・初任),0)</f>
        <v>642</v>
      </c>
      <c r="T108" s="48"/>
    </row>
    <row r="109" spans="1:20" ht="16.5" customHeight="1" x14ac:dyDescent="0.15">
      <c r="A109" s="41">
        <v>11</v>
      </c>
      <c r="B109" s="41" t="s">
        <v>5309</v>
      </c>
      <c r="C109" s="74" t="s">
        <v>5310</v>
      </c>
      <c r="D109" s="72"/>
      <c r="E109" s="99"/>
      <c r="F109" s="72"/>
      <c r="G109" s="99"/>
      <c r="H109" s="752" t="s">
        <v>400</v>
      </c>
      <c r="I109" s="49" t="s">
        <v>398</v>
      </c>
      <c r="J109" s="50">
        <v>0.7</v>
      </c>
      <c r="K109" s="44"/>
      <c r="L109" s="45"/>
      <c r="M109" s="46"/>
      <c r="N109" s="35"/>
      <c r="P109" s="57"/>
      <c r="Q109" s="709"/>
      <c r="R109" s="704"/>
      <c r="S109" s="47">
        <f>ROUND((ROUND((ROUND((_11_A通院１２．０*_11・基礎１),0)*(1+_11・A早朝)),0)*_11・初任),0)+ROUND((ROUND((_11_B通院１２．０＿０．５*_11・基礎１),0)*_11・初任),0)</f>
        <v>449</v>
      </c>
      <c r="T109" s="48"/>
    </row>
    <row r="110" spans="1:20" ht="16.5" customHeight="1" x14ac:dyDescent="0.15">
      <c r="A110" s="41">
        <v>11</v>
      </c>
      <c r="B110" s="41" t="s">
        <v>5311</v>
      </c>
      <c r="C110" s="74" t="s">
        <v>5312</v>
      </c>
      <c r="D110" s="72"/>
      <c r="E110" s="99"/>
      <c r="F110" s="72"/>
      <c r="G110" s="99"/>
      <c r="H110" s="711"/>
      <c r="I110" s="37"/>
      <c r="J110" s="38"/>
      <c r="K110" s="44" t="s">
        <v>397</v>
      </c>
      <c r="L110" s="45" t="s">
        <v>398</v>
      </c>
      <c r="M110" s="46">
        <v>1</v>
      </c>
      <c r="N110" s="35"/>
      <c r="P110" s="57"/>
      <c r="Q110" s="55" t="s">
        <v>398</v>
      </c>
      <c r="R110" s="38">
        <f>_11・初任</f>
        <v>0.7</v>
      </c>
      <c r="S110" s="47">
        <f>ROUND((ROUND((ROUND((ROUND((_11_A通院１２．０*_11・基礎１),0)*_11・２人),0)*(1+_11・A早朝)),0)*_11・初任),0)+ROUND((ROUND((ROUND((_11_B通院１２．０＿０．５*_11・基礎１),0)*_11・２人),0)*_11・初任),0)</f>
        <v>449</v>
      </c>
      <c r="T110" s="48"/>
    </row>
    <row r="111" spans="1:20" ht="16.5" customHeight="1" x14ac:dyDescent="0.15">
      <c r="A111" s="41">
        <v>11</v>
      </c>
      <c r="B111" s="41">
        <v>3415</v>
      </c>
      <c r="C111" s="74" t="s">
        <v>5313</v>
      </c>
      <c r="D111" s="72"/>
      <c r="E111" s="99"/>
      <c r="F111" s="707" t="s">
        <v>3650</v>
      </c>
      <c r="G111" s="717"/>
      <c r="H111" s="53"/>
      <c r="I111" s="49"/>
      <c r="J111" s="50"/>
      <c r="K111" s="44"/>
      <c r="L111" s="45"/>
      <c r="M111" s="46"/>
      <c r="N111" s="35"/>
      <c r="P111" s="57"/>
      <c r="Q111" s="53"/>
      <c r="R111" s="49"/>
      <c r="S111" s="47">
        <f>ROUND((_11_A通院１２．０*(1+_11・A早朝)),0)+_11_B通院１２．０＿１．０</f>
        <v>1000</v>
      </c>
      <c r="T111" s="48"/>
    </row>
    <row r="112" spans="1:20" ht="16.5" customHeight="1" x14ac:dyDescent="0.15">
      <c r="A112" s="41">
        <v>11</v>
      </c>
      <c r="B112" s="41">
        <v>3416</v>
      </c>
      <c r="C112" s="74" t="s">
        <v>5314</v>
      </c>
      <c r="D112" s="72"/>
      <c r="E112" s="99"/>
      <c r="F112" s="709"/>
      <c r="G112" s="718"/>
      <c r="H112" s="43"/>
      <c r="I112" s="37"/>
      <c r="J112" s="38"/>
      <c r="K112" s="44" t="s">
        <v>397</v>
      </c>
      <c r="L112" s="45" t="s">
        <v>398</v>
      </c>
      <c r="M112" s="46">
        <v>1</v>
      </c>
      <c r="N112" s="35"/>
      <c r="P112" s="57"/>
      <c r="Q112" s="35"/>
      <c r="S112" s="47">
        <f>ROUND((ROUND((_11_A通院１２．０*_11・２人),0)*(1+_11・A早朝)),0)+ROUND((_11_B通院１２．０＿１．０*_11・２人),0)</f>
        <v>1000</v>
      </c>
      <c r="T112" s="48"/>
    </row>
    <row r="113" spans="1:20" ht="16.5" customHeight="1" x14ac:dyDescent="0.15">
      <c r="A113" s="41">
        <v>11</v>
      </c>
      <c r="B113" s="41">
        <v>3417</v>
      </c>
      <c r="C113" s="74" t="s">
        <v>5315</v>
      </c>
      <c r="D113" s="72"/>
      <c r="E113" s="99"/>
      <c r="F113" s="709"/>
      <c r="G113" s="718"/>
      <c r="H113" s="752" t="s">
        <v>400</v>
      </c>
      <c r="I113" s="49" t="s">
        <v>398</v>
      </c>
      <c r="J113" s="50">
        <v>0.7</v>
      </c>
      <c r="K113" s="44"/>
      <c r="L113" s="45"/>
      <c r="M113" s="46"/>
      <c r="N113" s="35"/>
      <c r="P113" s="57"/>
      <c r="Q113" s="35"/>
      <c r="S113" s="47">
        <f>ROUND((ROUND((_11_A通院１２．０*_11・基礎１),0)*(1+_11・A早朝)),0)+ROUND((_11_B通院１２．０＿１．０*_11・基礎１),0)</f>
        <v>700</v>
      </c>
      <c r="T113" s="48"/>
    </row>
    <row r="114" spans="1:20" ht="16.5" customHeight="1" x14ac:dyDescent="0.15">
      <c r="A114" s="41">
        <v>11</v>
      </c>
      <c r="B114" s="41">
        <v>3418</v>
      </c>
      <c r="C114" s="74" t="s">
        <v>5316</v>
      </c>
      <c r="D114" s="72"/>
      <c r="E114" s="99"/>
      <c r="F114" s="100">
        <f>_11_B通院１２．０＿１．０</f>
        <v>167</v>
      </c>
      <c r="G114" s="12" t="s">
        <v>392</v>
      </c>
      <c r="H114" s="711"/>
      <c r="I114" s="37"/>
      <c r="J114" s="38"/>
      <c r="K114" s="44" t="s">
        <v>397</v>
      </c>
      <c r="L114" s="45" t="s">
        <v>398</v>
      </c>
      <c r="M114" s="46">
        <v>1</v>
      </c>
      <c r="N114" s="35"/>
      <c r="P114" s="57"/>
      <c r="Q114" s="43"/>
      <c r="R114" s="37"/>
      <c r="S114" s="47">
        <f>ROUND((ROUND((ROUND((_11_A通院１２．０*_11・基礎１),0)*_11・２人),0)*(1+_11・A早朝)),0)+ROUND((ROUND((_11_B通院１２．０＿１．０*_11・基礎１),0)*_11・２人),0)</f>
        <v>700</v>
      </c>
      <c r="T114" s="48"/>
    </row>
    <row r="115" spans="1:20" ht="16.5" customHeight="1" x14ac:dyDescent="0.15">
      <c r="A115" s="41">
        <v>11</v>
      </c>
      <c r="B115" s="41" t="s">
        <v>5317</v>
      </c>
      <c r="C115" s="74" t="s">
        <v>5318</v>
      </c>
      <c r="D115" s="72"/>
      <c r="E115" s="99"/>
      <c r="F115" s="121"/>
      <c r="G115" s="99"/>
      <c r="H115" s="53"/>
      <c r="I115" s="49"/>
      <c r="J115" s="50"/>
      <c r="K115" s="44"/>
      <c r="L115" s="45"/>
      <c r="M115" s="46"/>
      <c r="N115" s="35"/>
      <c r="P115" s="57"/>
      <c r="Q115" s="707" t="s">
        <v>404</v>
      </c>
      <c r="R115" s="708"/>
      <c r="S115" s="47">
        <f>ROUND((ROUND((_11_A通院１２．０*(1+_11・A早朝)),0)*_11・初任),0)+ROUND((_11_B通院１２．０＿１．０*_11・初任),0)</f>
        <v>700</v>
      </c>
      <c r="T115" s="48"/>
    </row>
    <row r="116" spans="1:20" ht="16.5" customHeight="1" x14ac:dyDescent="0.15">
      <c r="A116" s="41">
        <v>11</v>
      </c>
      <c r="B116" s="41" t="s">
        <v>5319</v>
      </c>
      <c r="C116" s="74" t="s">
        <v>5320</v>
      </c>
      <c r="D116" s="72"/>
      <c r="E116" s="99"/>
      <c r="F116" s="121"/>
      <c r="G116" s="99"/>
      <c r="H116" s="43"/>
      <c r="I116" s="37"/>
      <c r="J116" s="38"/>
      <c r="K116" s="44" t="s">
        <v>397</v>
      </c>
      <c r="L116" s="45" t="s">
        <v>398</v>
      </c>
      <c r="M116" s="46">
        <v>1</v>
      </c>
      <c r="N116" s="35"/>
      <c r="P116" s="57"/>
      <c r="Q116" s="709"/>
      <c r="R116" s="704"/>
      <c r="S116" s="47">
        <f>ROUND((ROUND((ROUND((_11_A通院１２．０*_11・２人),0)*(1+_11・A早朝)),0)*_11・初任),0)+ROUND((ROUND((_11_B通院１２．０＿１．０*_11・２人),0)*_11・初任),0)</f>
        <v>700</v>
      </c>
      <c r="T116" s="48"/>
    </row>
    <row r="117" spans="1:20" ht="16.5" customHeight="1" x14ac:dyDescent="0.15">
      <c r="A117" s="41">
        <v>11</v>
      </c>
      <c r="B117" s="41" t="s">
        <v>5321</v>
      </c>
      <c r="C117" s="74" t="s">
        <v>5322</v>
      </c>
      <c r="D117" s="72"/>
      <c r="E117" s="99"/>
      <c r="F117" s="72"/>
      <c r="G117" s="99"/>
      <c r="H117" s="752" t="s">
        <v>400</v>
      </c>
      <c r="I117" s="49" t="s">
        <v>398</v>
      </c>
      <c r="J117" s="50">
        <v>0.7</v>
      </c>
      <c r="K117" s="44"/>
      <c r="L117" s="45"/>
      <c r="M117" s="46"/>
      <c r="N117" s="35"/>
      <c r="P117" s="57"/>
      <c r="Q117" s="709"/>
      <c r="R117" s="704"/>
      <c r="S117" s="47">
        <f>ROUND((ROUND((ROUND((_11_A通院１２．０*_11・基礎１),0)*(1+_11・A早朝)),0)*_11・初任),0)+ROUND((ROUND((_11_B通院１２．０＿１．０*_11・基礎１),0)*_11・初任),0)</f>
        <v>490</v>
      </c>
      <c r="T117" s="48"/>
    </row>
    <row r="118" spans="1:20" ht="16.5" customHeight="1" x14ac:dyDescent="0.15">
      <c r="A118" s="41">
        <v>11</v>
      </c>
      <c r="B118" s="41" t="s">
        <v>5323</v>
      </c>
      <c r="C118" s="74" t="s">
        <v>5324</v>
      </c>
      <c r="D118" s="72"/>
      <c r="E118" s="99"/>
      <c r="F118" s="72"/>
      <c r="G118" s="99"/>
      <c r="H118" s="711"/>
      <c r="I118" s="37"/>
      <c r="J118" s="38"/>
      <c r="K118" s="44" t="s">
        <v>397</v>
      </c>
      <c r="L118" s="45" t="s">
        <v>398</v>
      </c>
      <c r="M118" s="46">
        <v>1</v>
      </c>
      <c r="N118" s="35"/>
      <c r="P118" s="57"/>
      <c r="Q118" s="55" t="s">
        <v>398</v>
      </c>
      <c r="R118" s="38">
        <f>_11・初任</f>
        <v>0.7</v>
      </c>
      <c r="S118" s="47">
        <f>ROUND((ROUND((ROUND((ROUND((_11_A通院１２．０*_11・基礎１),0)*_11・２人),0)*(1+_11・A早朝)),0)*_11・初任),0)+ROUND((ROUND((ROUND((_11_B通院１２．０＿１．０*_11・基礎１),0)*_11・２人),0)*_11・初任),0)</f>
        <v>490</v>
      </c>
      <c r="T118" s="48"/>
    </row>
    <row r="119" spans="1:20" ht="16.5" customHeight="1" x14ac:dyDescent="0.15">
      <c r="A119" s="41">
        <v>11</v>
      </c>
      <c r="B119" s="41">
        <v>3419</v>
      </c>
      <c r="C119" s="74" t="s">
        <v>5325</v>
      </c>
      <c r="D119" s="707" t="s">
        <v>5326</v>
      </c>
      <c r="E119" s="717"/>
      <c r="F119" s="707" t="s">
        <v>3643</v>
      </c>
      <c r="G119" s="717"/>
      <c r="H119" s="53"/>
      <c r="I119" s="49"/>
      <c r="J119" s="50"/>
      <c r="K119" s="44"/>
      <c r="L119" s="45"/>
      <c r="M119" s="46"/>
      <c r="N119" s="35"/>
      <c r="P119" s="57"/>
      <c r="Q119" s="53"/>
      <c r="R119" s="49"/>
      <c r="S119" s="47">
        <f>ROUND((_11_A通院１２．５*(1+_11・A早朝)),0)+_11_B通院１２．５＿０．５</f>
        <v>1021</v>
      </c>
      <c r="T119" s="48"/>
    </row>
    <row r="120" spans="1:20" ht="16.5" customHeight="1" x14ac:dyDescent="0.15">
      <c r="A120" s="41">
        <v>11</v>
      </c>
      <c r="B120" s="41">
        <v>3420</v>
      </c>
      <c r="C120" s="74" t="s">
        <v>5327</v>
      </c>
      <c r="D120" s="709"/>
      <c r="E120" s="718"/>
      <c r="F120" s="709"/>
      <c r="G120" s="718"/>
      <c r="H120" s="43"/>
      <c r="I120" s="37"/>
      <c r="J120" s="38"/>
      <c r="K120" s="44" t="s">
        <v>397</v>
      </c>
      <c r="L120" s="45" t="s">
        <v>398</v>
      </c>
      <c r="M120" s="46">
        <v>1</v>
      </c>
      <c r="N120" s="35"/>
      <c r="P120" s="57"/>
      <c r="Q120" s="35"/>
      <c r="S120" s="47">
        <f>ROUND((ROUND((_11_A通院１２．５*_11・２人),0)*(1+_11・A早朝)),0)+ROUND((_11_B通院１２．５＿０．５*_11・２人),0)</f>
        <v>1021</v>
      </c>
      <c r="T120" s="48"/>
    </row>
    <row r="121" spans="1:20" ht="16.5" customHeight="1" x14ac:dyDescent="0.15">
      <c r="A121" s="41">
        <v>11</v>
      </c>
      <c r="B121" s="41">
        <v>3421</v>
      </c>
      <c r="C121" s="74" t="s">
        <v>5328</v>
      </c>
      <c r="D121" s="709"/>
      <c r="E121" s="718"/>
      <c r="F121" s="709"/>
      <c r="G121" s="718"/>
      <c r="H121" s="752" t="s">
        <v>400</v>
      </c>
      <c r="I121" s="49" t="s">
        <v>398</v>
      </c>
      <c r="J121" s="50">
        <v>0.7</v>
      </c>
      <c r="K121" s="44"/>
      <c r="L121" s="45"/>
      <c r="M121" s="46"/>
      <c r="N121" s="35"/>
      <c r="P121" s="57"/>
      <c r="Q121" s="35"/>
      <c r="S121" s="47">
        <f>ROUND((ROUND((_11_A通院１２．５*_11・基礎１),0)*(1+_11・A早朝)),0)+ROUND((_11_B通院１２．５＿０．５*_11・基礎１),0)</f>
        <v>714</v>
      </c>
      <c r="T121" s="48"/>
    </row>
    <row r="122" spans="1:20" ht="16.5" customHeight="1" x14ac:dyDescent="0.15">
      <c r="A122" s="41">
        <v>11</v>
      </c>
      <c r="B122" s="41">
        <v>3422</v>
      </c>
      <c r="C122" s="74" t="s">
        <v>5329</v>
      </c>
      <c r="D122" s="100">
        <f>_11_A通院１２．５</f>
        <v>750</v>
      </c>
      <c r="E122" s="12" t="s">
        <v>392</v>
      </c>
      <c r="F122" s="100">
        <f>_11_B通院１２．５＿０．５</f>
        <v>83</v>
      </c>
      <c r="G122" s="12" t="s">
        <v>392</v>
      </c>
      <c r="H122" s="711"/>
      <c r="I122" s="37"/>
      <c r="J122" s="38"/>
      <c r="K122" s="44" t="s">
        <v>397</v>
      </c>
      <c r="L122" s="45" t="s">
        <v>398</v>
      </c>
      <c r="M122" s="46">
        <v>1</v>
      </c>
      <c r="N122" s="35"/>
      <c r="P122" s="57"/>
      <c r="Q122" s="43"/>
      <c r="R122" s="37"/>
      <c r="S122" s="47">
        <f>ROUND((ROUND((ROUND((_11_A通院１２．５*_11・基礎１),0)*_11・２人),0)*(1+_11・A早朝)),0)+ROUND((ROUND((_11_B通院１２．５＿０．５*_11・基礎１),0)*_11・２人),0)</f>
        <v>714</v>
      </c>
      <c r="T122" s="48"/>
    </row>
    <row r="123" spans="1:20" ht="16.5" customHeight="1" x14ac:dyDescent="0.15">
      <c r="A123" s="41">
        <v>11</v>
      </c>
      <c r="B123" s="41" t="s">
        <v>5330</v>
      </c>
      <c r="C123" s="74" t="s">
        <v>5331</v>
      </c>
      <c r="D123" s="121"/>
      <c r="E123" s="99"/>
      <c r="F123" s="121"/>
      <c r="G123" s="99"/>
      <c r="H123" s="53"/>
      <c r="I123" s="49"/>
      <c r="J123" s="50"/>
      <c r="K123" s="44"/>
      <c r="L123" s="45"/>
      <c r="M123" s="46"/>
      <c r="N123" s="35"/>
      <c r="P123" s="57"/>
      <c r="Q123" s="707" t="s">
        <v>404</v>
      </c>
      <c r="R123" s="708"/>
      <c r="S123" s="47">
        <f>ROUND((ROUND((_11_A通院１２．５*(1+_11・A早朝)),0)*_11・初任),0)+ROUND((_11_B通院１２．５＿０．５*_11・初任),0)</f>
        <v>715</v>
      </c>
      <c r="T123" s="48"/>
    </row>
    <row r="124" spans="1:20" ht="16.5" customHeight="1" x14ac:dyDescent="0.15">
      <c r="A124" s="41">
        <v>11</v>
      </c>
      <c r="B124" s="41" t="s">
        <v>5332</v>
      </c>
      <c r="C124" s="74" t="s">
        <v>5333</v>
      </c>
      <c r="D124" s="121"/>
      <c r="E124" s="99"/>
      <c r="F124" s="121"/>
      <c r="G124" s="99"/>
      <c r="H124" s="43"/>
      <c r="I124" s="37"/>
      <c r="J124" s="38"/>
      <c r="K124" s="44" t="s">
        <v>397</v>
      </c>
      <c r="L124" s="45" t="s">
        <v>398</v>
      </c>
      <c r="M124" s="46">
        <v>1</v>
      </c>
      <c r="N124" s="35"/>
      <c r="P124" s="57"/>
      <c r="Q124" s="709"/>
      <c r="R124" s="704"/>
      <c r="S124" s="47">
        <f>ROUND((ROUND((ROUND((_11_A通院１２．５*_11・２人),0)*(1+_11・A早朝)),0)*_11・初任),0)+ROUND((ROUND((_11_B通院１２．５＿０．５*_11・２人),0)*_11・初任),0)</f>
        <v>715</v>
      </c>
      <c r="T124" s="48"/>
    </row>
    <row r="125" spans="1:20" ht="16.5" customHeight="1" x14ac:dyDescent="0.15">
      <c r="A125" s="41">
        <v>11</v>
      </c>
      <c r="B125" s="41" t="s">
        <v>5334</v>
      </c>
      <c r="C125" s="74" t="s">
        <v>5335</v>
      </c>
      <c r="D125" s="72"/>
      <c r="E125" s="99"/>
      <c r="F125" s="72"/>
      <c r="G125" s="99"/>
      <c r="H125" s="752" t="s">
        <v>400</v>
      </c>
      <c r="I125" s="49" t="s">
        <v>398</v>
      </c>
      <c r="J125" s="50">
        <v>0.7</v>
      </c>
      <c r="K125" s="44"/>
      <c r="L125" s="45"/>
      <c r="M125" s="46"/>
      <c r="N125" s="35"/>
      <c r="P125" s="57"/>
      <c r="Q125" s="709"/>
      <c r="R125" s="704"/>
      <c r="S125" s="47">
        <f>ROUND((ROUND((ROUND((_11_A通院１２．５*_11・基礎１),0)*(1+_11・A早朝)),0)*_11・初任),0)+ROUND((ROUND((_11_B通院１２．５＿０．５*_11・基礎１),0)*_11・初任),0)</f>
        <v>500</v>
      </c>
      <c r="T125" s="48"/>
    </row>
    <row r="126" spans="1:20" ht="16.5" customHeight="1" x14ac:dyDescent="0.15">
      <c r="A126" s="41">
        <v>11</v>
      </c>
      <c r="B126" s="41" t="s">
        <v>5336</v>
      </c>
      <c r="C126" s="74" t="s">
        <v>5337</v>
      </c>
      <c r="D126" s="122"/>
      <c r="E126" s="111"/>
      <c r="F126" s="122"/>
      <c r="G126" s="111"/>
      <c r="H126" s="711"/>
      <c r="I126" s="37"/>
      <c r="J126" s="38"/>
      <c r="K126" s="44" t="s">
        <v>397</v>
      </c>
      <c r="L126" s="45" t="s">
        <v>398</v>
      </c>
      <c r="M126" s="46">
        <v>1</v>
      </c>
      <c r="N126" s="43"/>
      <c r="O126" s="38"/>
      <c r="P126" s="79"/>
      <c r="Q126" s="55" t="s">
        <v>398</v>
      </c>
      <c r="R126" s="38">
        <f>_11・初任</f>
        <v>0.7</v>
      </c>
      <c r="S126" s="47">
        <f>ROUND((ROUND((ROUND((ROUND((_11_A通院１２．５*_11・基礎１),0)*_11・２人),0)*(1+_11・A早朝)),0)*_11・初任),0)+ROUND((ROUND((ROUND((_11_B通院１２．５＿０．５*_11・基礎１),0)*_11・２人),0)*_11・初任),0)</f>
        <v>500</v>
      </c>
      <c r="T126" s="63"/>
    </row>
    <row r="127" spans="1:20" ht="16.5" customHeight="1" x14ac:dyDescent="0.15"/>
    <row r="128" spans="1:20" ht="16.5" customHeight="1" x14ac:dyDescent="0.15"/>
  </sheetData>
  <mergeCells count="67">
    <mergeCell ref="D119:E121"/>
    <mergeCell ref="F119:G121"/>
    <mergeCell ref="H121:H122"/>
    <mergeCell ref="Q123:R125"/>
    <mergeCell ref="H125:H126"/>
    <mergeCell ref="Q107:R109"/>
    <mergeCell ref="H109:H110"/>
    <mergeCell ref="F111:G113"/>
    <mergeCell ref="H113:H114"/>
    <mergeCell ref="Q115:R117"/>
    <mergeCell ref="H117:H118"/>
    <mergeCell ref="F95:G97"/>
    <mergeCell ref="H97:H98"/>
    <mergeCell ref="Q99:R101"/>
    <mergeCell ref="H101:H102"/>
    <mergeCell ref="D103:E105"/>
    <mergeCell ref="F103:G105"/>
    <mergeCell ref="H105:H106"/>
    <mergeCell ref="Q83:R85"/>
    <mergeCell ref="H85:H86"/>
    <mergeCell ref="F87:G89"/>
    <mergeCell ref="H89:H90"/>
    <mergeCell ref="Q91:R93"/>
    <mergeCell ref="H93:H94"/>
    <mergeCell ref="Q75:R77"/>
    <mergeCell ref="H77:H78"/>
    <mergeCell ref="D79:E81"/>
    <mergeCell ref="F79:G81"/>
    <mergeCell ref="P80:P81"/>
    <mergeCell ref="H81:H82"/>
    <mergeCell ref="F63:G65"/>
    <mergeCell ref="H65:H66"/>
    <mergeCell ref="Q67:R69"/>
    <mergeCell ref="H69:H70"/>
    <mergeCell ref="F71:G73"/>
    <mergeCell ref="H73:H74"/>
    <mergeCell ref="Q51:R53"/>
    <mergeCell ref="H53:H54"/>
    <mergeCell ref="F55:G57"/>
    <mergeCell ref="H57:H58"/>
    <mergeCell ref="Q59:R61"/>
    <mergeCell ref="H61:H62"/>
    <mergeCell ref="F39:G41"/>
    <mergeCell ref="H41:H42"/>
    <mergeCell ref="Q43:R45"/>
    <mergeCell ref="H45:H46"/>
    <mergeCell ref="D47:E49"/>
    <mergeCell ref="F47:G49"/>
    <mergeCell ref="H49:H50"/>
    <mergeCell ref="Q27:R29"/>
    <mergeCell ref="H29:H30"/>
    <mergeCell ref="F31:G33"/>
    <mergeCell ref="H33:H34"/>
    <mergeCell ref="Q35:R37"/>
    <mergeCell ref="H37:H38"/>
    <mergeCell ref="F15:G17"/>
    <mergeCell ref="H17:H18"/>
    <mergeCell ref="Q19:R21"/>
    <mergeCell ref="H21:H22"/>
    <mergeCell ref="F23:G25"/>
    <mergeCell ref="H25:H26"/>
    <mergeCell ref="D7:E9"/>
    <mergeCell ref="F7:G9"/>
    <mergeCell ref="P8:P9"/>
    <mergeCell ref="H9:H10"/>
    <mergeCell ref="Q11:R13"/>
    <mergeCell ref="H13:H14"/>
  </mergeCells>
  <phoneticPr fontId="1"/>
  <printOptions horizontalCentered="1"/>
  <pageMargins left="0.70866141732283472" right="0.70866141732283472" top="0.74803149606299213" bottom="0.74803149606299213" header="0.31496062992125984" footer="0.31496062992125984"/>
  <pageSetup paperSize="9" scale="52" fitToHeight="0" orientation="portrait" r:id="rId1"/>
  <headerFooter>
    <oddHeader>&amp;R&amp;"ＭＳ Ｐゴシック"&amp;9居宅介護</oddHeader>
    <oddFooter>&amp;C&amp;"ＭＳ Ｐゴシック"&amp;14&amp;P</oddFooter>
  </headerFooter>
  <rowBreaks count="1" manualBreakCount="1">
    <brk id="78" max="1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pageSetUpPr fitToPage="1"/>
  </sheetPr>
  <dimension ref="A1:Y141"/>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8.5" style="10" bestFit="1" customWidth="1"/>
    <col min="4" max="4" width="5.5" style="10" bestFit="1" customWidth="1"/>
    <col min="5" max="5" width="5.5" style="117" bestFit="1" customWidth="1"/>
    <col min="6" max="6" width="5.5" style="10" bestFit="1" customWidth="1"/>
    <col min="7" max="7" width="5.5" style="117" bestFit="1" customWidth="1"/>
    <col min="8" max="8" width="4.875" style="10" customWidth="1"/>
    <col min="9" max="9" width="4.5" style="12" bestFit="1" customWidth="1"/>
    <col min="10" max="10" width="11.875" style="12" customWidth="1"/>
    <col min="11" max="11" width="3.5" style="12" bestFit="1" customWidth="1"/>
    <col min="12" max="12" width="4.5" style="13" bestFit="1" customWidth="1"/>
    <col min="13" max="13" width="25.5" style="14" bestFit="1" customWidth="1"/>
    <col min="14" max="14" width="3.5" style="12" bestFit="1" customWidth="1"/>
    <col min="15" max="15" width="5.5" style="13" bestFit="1" customWidth="1"/>
    <col min="16" max="16" width="3.5" style="12" bestFit="1" customWidth="1"/>
    <col min="17" max="17" width="4.5" style="13" bestFit="1" customWidth="1"/>
    <col min="18" max="18" width="5.5" style="12" bestFit="1" customWidth="1"/>
    <col min="19" max="19" width="3.5" style="12" bestFit="1" customWidth="1"/>
    <col min="20" max="20" width="4.5" style="13" bestFit="1" customWidth="1"/>
    <col min="21" max="21" width="5.5" style="12" bestFit="1" customWidth="1"/>
    <col min="22" max="22" width="9.875" style="12" customWidth="1"/>
    <col min="23" max="23" width="4.5" style="12" bestFit="1" customWidth="1"/>
    <col min="24" max="24" width="7.125" style="15" customWidth="1"/>
    <col min="25" max="25" width="8.5" style="16" customWidth="1"/>
    <col min="26" max="16384" width="8.875" style="12"/>
  </cols>
  <sheetData>
    <row r="1" spans="1:25" ht="17.100000000000001" customHeight="1" x14ac:dyDescent="0.15"/>
    <row r="2" spans="1:25" ht="17.100000000000001" customHeight="1" x14ac:dyDescent="0.15"/>
    <row r="3" spans="1:25" ht="17.100000000000001" customHeight="1" x14ac:dyDescent="0.15"/>
    <row r="4" spans="1:25" ht="17.100000000000001" customHeight="1" x14ac:dyDescent="0.15">
      <c r="B4" s="17" t="s">
        <v>5338</v>
      </c>
      <c r="D4" s="71"/>
    </row>
    <row r="5" spans="1:25" ht="16.5" customHeight="1" x14ac:dyDescent="0.15">
      <c r="A5" s="19" t="s">
        <v>384</v>
      </c>
      <c r="B5" s="20"/>
      <c r="C5" s="21" t="s">
        <v>385</v>
      </c>
      <c r="D5" s="23" t="s">
        <v>386</v>
      </c>
      <c r="E5" s="118"/>
      <c r="F5" s="23"/>
      <c r="G5" s="118"/>
      <c r="H5" s="23"/>
      <c r="I5" s="23"/>
      <c r="J5" s="23"/>
      <c r="K5" s="23"/>
      <c r="L5" s="24"/>
      <c r="M5" s="23"/>
      <c r="N5" s="23"/>
      <c r="O5" s="24"/>
      <c r="P5" s="23"/>
      <c r="Q5" s="24"/>
      <c r="R5" s="23"/>
      <c r="S5" s="23"/>
      <c r="T5" s="24"/>
      <c r="U5" s="23"/>
      <c r="V5" s="23"/>
      <c r="W5" s="23"/>
      <c r="X5" s="25" t="s">
        <v>387</v>
      </c>
      <c r="Y5" s="21" t="s">
        <v>388</v>
      </c>
    </row>
    <row r="6" spans="1:25" ht="16.5" customHeight="1" x14ac:dyDescent="0.15">
      <c r="A6" s="26" t="s">
        <v>389</v>
      </c>
      <c r="B6" s="26" t="s">
        <v>390</v>
      </c>
      <c r="C6" s="27"/>
      <c r="D6" s="29"/>
      <c r="E6" s="120"/>
      <c r="F6" s="87" t="s">
        <v>1032</v>
      </c>
      <c r="G6" s="119"/>
      <c r="H6" s="29"/>
      <c r="I6" s="29"/>
      <c r="J6" s="29"/>
      <c r="K6" s="29"/>
      <c r="L6" s="30"/>
      <c r="M6" s="29"/>
      <c r="N6" s="29"/>
      <c r="O6" s="30"/>
      <c r="P6" s="29"/>
      <c r="Q6" s="30"/>
      <c r="R6" s="29"/>
      <c r="S6" s="29"/>
      <c r="T6" s="30"/>
      <c r="U6" s="29"/>
      <c r="V6" s="29"/>
      <c r="W6" s="29"/>
      <c r="X6" s="31" t="s">
        <v>391</v>
      </c>
      <c r="Y6" s="32" t="s">
        <v>392</v>
      </c>
    </row>
    <row r="7" spans="1:25" ht="16.5" customHeight="1" x14ac:dyDescent="0.15">
      <c r="A7" s="33">
        <v>11</v>
      </c>
      <c r="B7" s="33">
        <v>3423</v>
      </c>
      <c r="C7" s="34" t="s">
        <v>5339</v>
      </c>
      <c r="D7" s="709" t="s">
        <v>5340</v>
      </c>
      <c r="E7" s="718"/>
      <c r="F7" s="709" t="s">
        <v>3711</v>
      </c>
      <c r="G7" s="718"/>
      <c r="H7" s="72"/>
      <c r="I7" s="57"/>
      <c r="J7" s="35"/>
      <c r="M7" s="36"/>
      <c r="N7" s="37"/>
      <c r="O7" s="38"/>
      <c r="P7" s="35"/>
      <c r="R7" s="57"/>
      <c r="S7" s="72" t="s">
        <v>1416</v>
      </c>
      <c r="U7" s="57"/>
      <c r="V7" s="35"/>
      <c r="X7" s="39">
        <f>_11_A通院１０．５+ROUND((_11_B通院１０．５＿０．５*(1+_11・B夜間)),0)</f>
        <v>439</v>
      </c>
      <c r="Y7" s="40" t="s">
        <v>395</v>
      </c>
    </row>
    <row r="8" spans="1:25" ht="16.5" customHeight="1" x14ac:dyDescent="0.15">
      <c r="A8" s="41">
        <v>11</v>
      </c>
      <c r="B8" s="41">
        <v>3424</v>
      </c>
      <c r="C8" s="74" t="s">
        <v>5341</v>
      </c>
      <c r="D8" s="709"/>
      <c r="E8" s="718"/>
      <c r="F8" s="709"/>
      <c r="G8" s="718"/>
      <c r="H8" s="72"/>
      <c r="I8" s="57"/>
      <c r="J8" s="43"/>
      <c r="K8" s="37"/>
      <c r="L8" s="38"/>
      <c r="M8" s="44" t="s">
        <v>397</v>
      </c>
      <c r="N8" s="45" t="s">
        <v>398</v>
      </c>
      <c r="O8" s="46">
        <v>1</v>
      </c>
      <c r="P8" s="35"/>
      <c r="R8" s="57"/>
      <c r="S8" s="35" t="s">
        <v>398</v>
      </c>
      <c r="T8" s="13">
        <v>0.25</v>
      </c>
      <c r="U8" s="728" t="s">
        <v>676</v>
      </c>
      <c r="V8" s="35"/>
      <c r="X8" s="47">
        <f>ROUND((_11_A通院１０．５*_11・２人),0)+ROUND((ROUND((_11_B通院１０．５＿０．５*_11・２人),0)*(1+_11・B夜間)),0)</f>
        <v>439</v>
      </c>
      <c r="Y8" s="48"/>
    </row>
    <row r="9" spans="1:25" ht="16.5" customHeight="1" x14ac:dyDescent="0.15">
      <c r="A9" s="41">
        <v>11</v>
      </c>
      <c r="B9" s="41">
        <v>3425</v>
      </c>
      <c r="C9" s="74" t="s">
        <v>5342</v>
      </c>
      <c r="D9" s="709"/>
      <c r="E9" s="718"/>
      <c r="F9" s="709"/>
      <c r="G9" s="718"/>
      <c r="H9" s="72"/>
      <c r="I9" s="57"/>
      <c r="J9" s="752" t="s">
        <v>400</v>
      </c>
      <c r="K9" s="49" t="s">
        <v>398</v>
      </c>
      <c r="L9" s="50">
        <v>0.7</v>
      </c>
      <c r="M9" s="44"/>
      <c r="N9" s="45"/>
      <c r="O9" s="46"/>
      <c r="P9" s="35"/>
      <c r="R9" s="57"/>
      <c r="S9" s="35"/>
      <c r="U9" s="728"/>
      <c r="V9" s="35"/>
      <c r="X9" s="47">
        <f>ROUND((_11_A通院１０．５*_11・基礎１),0)+ROUND((ROUND((_11_B通院１０．５＿０．５*_11・基礎１),0)*(1+_11・B夜間)),0)</f>
        <v>308</v>
      </c>
      <c r="Y9" s="48"/>
    </row>
    <row r="10" spans="1:25" ht="16.5" customHeight="1" x14ac:dyDescent="0.15">
      <c r="A10" s="41">
        <v>11</v>
      </c>
      <c r="B10" s="41">
        <v>3426</v>
      </c>
      <c r="C10" s="74" t="s">
        <v>5343</v>
      </c>
      <c r="D10" s="100">
        <f>_11_A通院１０．５</f>
        <v>255</v>
      </c>
      <c r="E10" s="12" t="s">
        <v>392</v>
      </c>
      <c r="F10" s="100">
        <f>_11_B通院１０．５＿０．５</f>
        <v>147</v>
      </c>
      <c r="G10" s="12" t="s">
        <v>392</v>
      </c>
      <c r="H10" s="72"/>
      <c r="I10" s="57"/>
      <c r="J10" s="711"/>
      <c r="K10" s="37"/>
      <c r="L10" s="38"/>
      <c r="M10" s="44" t="s">
        <v>397</v>
      </c>
      <c r="N10" s="45" t="s">
        <v>398</v>
      </c>
      <c r="O10" s="46">
        <v>1</v>
      </c>
      <c r="P10" s="35"/>
      <c r="R10" s="57"/>
      <c r="S10" s="35"/>
      <c r="U10" s="57"/>
      <c r="V10" s="43"/>
      <c r="W10" s="37"/>
      <c r="X10" s="47">
        <f>ROUND((ROUND((_11_A通院１０．５*_11・基礎１),0)*_11・２人),0)+ROUND((ROUND((ROUND((_11_B通院１０．５＿０．５*_11・基礎１),0)*_11・２人),0)*(1+_11・B夜間)),0)</f>
        <v>308</v>
      </c>
      <c r="Y10" s="48"/>
    </row>
    <row r="11" spans="1:25" ht="16.5" customHeight="1" x14ac:dyDescent="0.15">
      <c r="A11" s="41">
        <v>11</v>
      </c>
      <c r="B11" s="41" t="s">
        <v>5344</v>
      </c>
      <c r="C11" s="74" t="s">
        <v>5345</v>
      </c>
      <c r="D11" s="121"/>
      <c r="E11" s="99"/>
      <c r="F11" s="121"/>
      <c r="G11" s="99"/>
      <c r="H11" s="72"/>
      <c r="I11" s="57"/>
      <c r="J11" s="53"/>
      <c r="K11" s="49"/>
      <c r="L11" s="50"/>
      <c r="M11" s="44"/>
      <c r="N11" s="45"/>
      <c r="O11" s="46"/>
      <c r="P11" s="35"/>
      <c r="R11" s="57"/>
      <c r="S11" s="35"/>
      <c r="U11" s="57"/>
      <c r="V11" s="707" t="s">
        <v>404</v>
      </c>
      <c r="W11" s="708"/>
      <c r="X11" s="47">
        <f>ROUND((_11_A通院１０．５*_11・初任),0)+ROUND((ROUND((_11_B通院１０．５＿０．５*(1+_11・B夜間)),0)*_11・初任),0)</f>
        <v>308</v>
      </c>
      <c r="Y11" s="48"/>
    </row>
    <row r="12" spans="1:25" ht="16.5" customHeight="1" x14ac:dyDescent="0.15">
      <c r="A12" s="41">
        <v>11</v>
      </c>
      <c r="B12" s="41" t="s">
        <v>5346</v>
      </c>
      <c r="C12" s="74" t="s">
        <v>5347</v>
      </c>
      <c r="D12" s="121"/>
      <c r="E12" s="99"/>
      <c r="F12" s="121"/>
      <c r="G12" s="99"/>
      <c r="H12" s="72"/>
      <c r="I12" s="57"/>
      <c r="J12" s="43"/>
      <c r="K12" s="37"/>
      <c r="L12" s="38"/>
      <c r="M12" s="44" t="s">
        <v>397</v>
      </c>
      <c r="N12" s="45" t="s">
        <v>398</v>
      </c>
      <c r="O12" s="46">
        <v>1</v>
      </c>
      <c r="P12" s="35"/>
      <c r="R12" s="57"/>
      <c r="S12" s="35"/>
      <c r="U12" s="57"/>
      <c r="V12" s="709"/>
      <c r="W12" s="704"/>
      <c r="X12" s="47">
        <f>ROUND((ROUND((_11_A通院１０．５*_11・２人),0)*_11・初任),0)+ROUND((ROUND((ROUND((_11_B通院１０．５＿０．５*_11・２人),0)*(1+_11・B夜間)),0)*_11・初任),0)</f>
        <v>308</v>
      </c>
      <c r="Y12" s="48"/>
    </row>
    <row r="13" spans="1:25" ht="16.5" customHeight="1" x14ac:dyDescent="0.15">
      <c r="A13" s="41">
        <v>11</v>
      </c>
      <c r="B13" s="41" t="s">
        <v>5348</v>
      </c>
      <c r="C13" s="74" t="s">
        <v>5349</v>
      </c>
      <c r="D13" s="72"/>
      <c r="E13" s="99"/>
      <c r="F13" s="72"/>
      <c r="G13" s="99"/>
      <c r="H13" s="72"/>
      <c r="I13" s="57"/>
      <c r="J13" s="752" t="s">
        <v>400</v>
      </c>
      <c r="K13" s="49" t="s">
        <v>398</v>
      </c>
      <c r="L13" s="50">
        <v>0.7</v>
      </c>
      <c r="M13" s="44"/>
      <c r="N13" s="45"/>
      <c r="O13" s="46"/>
      <c r="P13" s="35"/>
      <c r="R13" s="57"/>
      <c r="S13" s="35"/>
      <c r="U13" s="57"/>
      <c r="V13" s="709"/>
      <c r="W13" s="704"/>
      <c r="X13" s="47">
        <f>ROUND((ROUND((_11_A通院１０．５*_11・基礎１),0)*_11・初任),0)+ROUND((ROUND((ROUND((_11_B通院１０．５＿０．５*_11・基礎１),0)*(1+_11・B夜間)),0)*_11・初任),0)</f>
        <v>215</v>
      </c>
      <c r="Y13" s="48"/>
    </row>
    <row r="14" spans="1:25" ht="16.5" customHeight="1" x14ac:dyDescent="0.15">
      <c r="A14" s="41">
        <v>11</v>
      </c>
      <c r="B14" s="41" t="s">
        <v>5350</v>
      </c>
      <c r="C14" s="74" t="s">
        <v>5351</v>
      </c>
      <c r="D14" s="72"/>
      <c r="E14" s="99"/>
      <c r="F14" s="72"/>
      <c r="G14" s="99"/>
      <c r="H14" s="72"/>
      <c r="I14" s="57"/>
      <c r="J14" s="711"/>
      <c r="K14" s="37"/>
      <c r="L14" s="38"/>
      <c r="M14" s="44" t="s">
        <v>397</v>
      </c>
      <c r="N14" s="45" t="s">
        <v>398</v>
      </c>
      <c r="O14" s="46">
        <v>1</v>
      </c>
      <c r="P14" s="35"/>
      <c r="R14" s="57"/>
      <c r="S14" s="35"/>
      <c r="U14" s="57"/>
      <c r="V14" s="55" t="s">
        <v>398</v>
      </c>
      <c r="W14" s="38">
        <f>_11・初任</f>
        <v>0.7</v>
      </c>
      <c r="X14" s="47">
        <f>ROUND((ROUND((ROUND((_11_A通院１０．５*_11・基礎１),0)*_11・２人),0)*_11・初任),0)+ROUND((ROUND((ROUND((ROUND((_11_B通院１０．５＿０．５*_11・基礎１),0)*_11・２人),0)*(1+_11・B夜間)),0)*_11・初任),0)</f>
        <v>215</v>
      </c>
      <c r="Y14" s="48"/>
    </row>
    <row r="15" spans="1:25" ht="16.5" customHeight="1" x14ac:dyDescent="0.15">
      <c r="A15" s="41">
        <v>11</v>
      </c>
      <c r="B15" s="41">
        <v>3427</v>
      </c>
      <c r="C15" s="74" t="s">
        <v>5352</v>
      </c>
      <c r="D15" s="72"/>
      <c r="E15" s="99"/>
      <c r="F15" s="707" t="s">
        <v>3718</v>
      </c>
      <c r="G15" s="717"/>
      <c r="H15" s="72"/>
      <c r="I15" s="57"/>
      <c r="J15" s="53"/>
      <c r="K15" s="49"/>
      <c r="L15" s="50"/>
      <c r="M15" s="44"/>
      <c r="N15" s="45"/>
      <c r="O15" s="46"/>
      <c r="P15" s="35"/>
      <c r="R15" s="57"/>
      <c r="S15" s="35"/>
      <c r="U15" s="57"/>
      <c r="V15" s="53"/>
      <c r="W15" s="49"/>
      <c r="X15" s="47">
        <f>_11_A通院１０．５+ROUND((_11_B通院１０．５＿１．０*(1+_11・B夜間)),0)</f>
        <v>666</v>
      </c>
      <c r="Y15" s="48"/>
    </row>
    <row r="16" spans="1:25" ht="16.5" customHeight="1" x14ac:dyDescent="0.15">
      <c r="A16" s="41">
        <v>11</v>
      </c>
      <c r="B16" s="41">
        <v>3428</v>
      </c>
      <c r="C16" s="74" t="s">
        <v>5353</v>
      </c>
      <c r="D16" s="72"/>
      <c r="E16" s="99"/>
      <c r="F16" s="709"/>
      <c r="G16" s="718"/>
      <c r="H16" s="72"/>
      <c r="I16" s="57"/>
      <c r="J16" s="43"/>
      <c r="K16" s="37"/>
      <c r="L16" s="38"/>
      <c r="M16" s="44" t="s">
        <v>397</v>
      </c>
      <c r="N16" s="45" t="s">
        <v>398</v>
      </c>
      <c r="O16" s="46">
        <v>1</v>
      </c>
      <c r="P16" s="35"/>
      <c r="R16" s="57"/>
      <c r="S16" s="35"/>
      <c r="U16" s="57"/>
      <c r="V16" s="35"/>
      <c r="X16" s="47">
        <f>ROUND((_11_A通院１０．５*_11・２人),0)+ROUND((ROUND((_11_B通院１０．５＿１．０*_11・２人),0)*(1+_11・B夜間)),0)</f>
        <v>666</v>
      </c>
      <c r="Y16" s="48"/>
    </row>
    <row r="17" spans="1:25" ht="16.5" customHeight="1" x14ac:dyDescent="0.15">
      <c r="A17" s="41">
        <v>11</v>
      </c>
      <c r="B17" s="41">
        <v>3429</v>
      </c>
      <c r="C17" s="74" t="s">
        <v>5354</v>
      </c>
      <c r="D17" s="72"/>
      <c r="E17" s="99"/>
      <c r="F17" s="709"/>
      <c r="G17" s="718"/>
      <c r="H17" s="72"/>
      <c r="I17" s="57"/>
      <c r="J17" s="752" t="s">
        <v>400</v>
      </c>
      <c r="K17" s="49" t="s">
        <v>398</v>
      </c>
      <c r="L17" s="50">
        <v>0.7</v>
      </c>
      <c r="M17" s="44"/>
      <c r="N17" s="45"/>
      <c r="O17" s="46"/>
      <c r="P17" s="35"/>
      <c r="R17" s="57"/>
      <c r="S17" s="35"/>
      <c r="U17" s="57"/>
      <c r="V17" s="35"/>
      <c r="X17" s="47">
        <f>ROUND((_11_A通院１０．５*_11・基礎１),0)+ROUND((ROUND((_11_B通院１０．５＿１．０*_11・基礎１),0)*(1+_11・B夜間)),0)</f>
        <v>467</v>
      </c>
      <c r="Y17" s="48"/>
    </row>
    <row r="18" spans="1:25" ht="16.5" customHeight="1" x14ac:dyDescent="0.15">
      <c r="A18" s="41">
        <v>11</v>
      </c>
      <c r="B18" s="41">
        <v>3430</v>
      </c>
      <c r="C18" s="74" t="s">
        <v>5355</v>
      </c>
      <c r="D18" s="72"/>
      <c r="E18" s="99"/>
      <c r="F18" s="100">
        <f>_11_B通院１０．５＿１．０</f>
        <v>329</v>
      </c>
      <c r="G18" s="12" t="s">
        <v>392</v>
      </c>
      <c r="H18" s="72"/>
      <c r="I18" s="57"/>
      <c r="J18" s="711"/>
      <c r="K18" s="37"/>
      <c r="L18" s="38"/>
      <c r="M18" s="44" t="s">
        <v>397</v>
      </c>
      <c r="N18" s="45" t="s">
        <v>398</v>
      </c>
      <c r="O18" s="46">
        <v>1</v>
      </c>
      <c r="P18" s="35"/>
      <c r="R18" s="57"/>
      <c r="S18" s="35"/>
      <c r="U18" s="57"/>
      <c r="V18" s="43"/>
      <c r="W18" s="37"/>
      <c r="X18" s="47">
        <f>ROUND((ROUND((_11_A通院１０．５*_11・基礎１),0)*_11・２人),0)+ROUND((ROUND((ROUND((_11_B通院１０．５＿１．０*_11・基礎１),0)*_11・２人),0)*(1+_11・B夜間)),0)</f>
        <v>467</v>
      </c>
      <c r="Y18" s="48"/>
    </row>
    <row r="19" spans="1:25" ht="16.5" customHeight="1" x14ac:dyDescent="0.15">
      <c r="A19" s="41">
        <v>11</v>
      </c>
      <c r="B19" s="41" t="s">
        <v>5356</v>
      </c>
      <c r="C19" s="74" t="s">
        <v>5357</v>
      </c>
      <c r="D19" s="72"/>
      <c r="E19" s="99"/>
      <c r="F19" s="143"/>
      <c r="G19" s="99"/>
      <c r="H19" s="72"/>
      <c r="I19" s="57"/>
      <c r="J19" s="53"/>
      <c r="K19" s="49"/>
      <c r="L19" s="50"/>
      <c r="M19" s="44"/>
      <c r="N19" s="45"/>
      <c r="O19" s="46"/>
      <c r="P19" s="35"/>
      <c r="R19" s="57"/>
      <c r="S19" s="35"/>
      <c r="U19" s="57"/>
      <c r="V19" s="707" t="s">
        <v>404</v>
      </c>
      <c r="W19" s="708"/>
      <c r="X19" s="47">
        <f>ROUND((_11_A通院１０．５*_11・初任),0)+ROUND((ROUND((_11_B通院１０．５＿１．０*(1+_11・B夜間)),0)*_11・初任),0)</f>
        <v>467</v>
      </c>
      <c r="Y19" s="48"/>
    </row>
    <row r="20" spans="1:25" ht="16.5" customHeight="1" x14ac:dyDescent="0.15">
      <c r="A20" s="41">
        <v>11</v>
      </c>
      <c r="B20" s="41" t="s">
        <v>5358</v>
      </c>
      <c r="C20" s="74" t="s">
        <v>5359</v>
      </c>
      <c r="D20" s="72"/>
      <c r="E20" s="99"/>
      <c r="F20" s="143"/>
      <c r="G20" s="99"/>
      <c r="H20" s="72"/>
      <c r="I20" s="57"/>
      <c r="J20" s="43"/>
      <c r="K20" s="37"/>
      <c r="L20" s="38"/>
      <c r="M20" s="44" t="s">
        <v>397</v>
      </c>
      <c r="N20" s="45" t="s">
        <v>398</v>
      </c>
      <c r="O20" s="46">
        <v>1</v>
      </c>
      <c r="P20" s="35"/>
      <c r="R20" s="57"/>
      <c r="S20" s="35"/>
      <c r="U20" s="57"/>
      <c r="V20" s="709"/>
      <c r="W20" s="704"/>
      <c r="X20" s="47">
        <f>ROUND((ROUND((_11_A通院１０．５*_11・２人),0)*_11・初任),0)+ROUND((ROUND((ROUND((_11_B通院１０．５＿１．０*_11・２人),0)*(1+_11・B夜間)),0)*_11・初任),0)</f>
        <v>467</v>
      </c>
      <c r="Y20" s="48"/>
    </row>
    <row r="21" spans="1:25" ht="16.5" customHeight="1" x14ac:dyDescent="0.15">
      <c r="A21" s="41">
        <v>11</v>
      </c>
      <c r="B21" s="41" t="s">
        <v>5360</v>
      </c>
      <c r="C21" s="74" t="s">
        <v>5361</v>
      </c>
      <c r="D21" s="72"/>
      <c r="E21" s="99"/>
      <c r="F21" s="72"/>
      <c r="G21" s="99"/>
      <c r="H21" s="72"/>
      <c r="I21" s="57"/>
      <c r="J21" s="752" t="s">
        <v>400</v>
      </c>
      <c r="K21" s="49" t="s">
        <v>398</v>
      </c>
      <c r="L21" s="50">
        <v>0.7</v>
      </c>
      <c r="M21" s="44"/>
      <c r="N21" s="45"/>
      <c r="O21" s="46"/>
      <c r="P21" s="35"/>
      <c r="R21" s="57"/>
      <c r="S21" s="35"/>
      <c r="U21" s="57"/>
      <c r="V21" s="709"/>
      <c r="W21" s="704"/>
      <c r="X21" s="47">
        <f>ROUND((ROUND((_11_A通院１０．５*_11・基礎１),0)*_11・初任),0)+ROUND((ROUND((ROUND((_11_B通院１０．５＿１．０*_11・基礎１),0)*(1+_11・B夜間)),0)*_11・初任),0)</f>
        <v>327</v>
      </c>
      <c r="Y21" s="48"/>
    </row>
    <row r="22" spans="1:25" ht="16.5" customHeight="1" x14ac:dyDescent="0.15">
      <c r="A22" s="41">
        <v>11</v>
      </c>
      <c r="B22" s="41" t="s">
        <v>5362</v>
      </c>
      <c r="C22" s="74" t="s">
        <v>5363</v>
      </c>
      <c r="D22" s="72"/>
      <c r="E22" s="99"/>
      <c r="F22" s="72"/>
      <c r="G22" s="99"/>
      <c r="H22" s="72"/>
      <c r="I22" s="57"/>
      <c r="J22" s="711"/>
      <c r="K22" s="37"/>
      <c r="L22" s="38"/>
      <c r="M22" s="44" t="s">
        <v>397</v>
      </c>
      <c r="N22" s="45" t="s">
        <v>398</v>
      </c>
      <c r="O22" s="46">
        <v>1</v>
      </c>
      <c r="P22" s="35"/>
      <c r="R22" s="57"/>
      <c r="S22" s="35"/>
      <c r="U22" s="57"/>
      <c r="V22" s="55" t="s">
        <v>398</v>
      </c>
      <c r="W22" s="38">
        <f>_11・初任</f>
        <v>0.7</v>
      </c>
      <c r="X22" s="47">
        <f>ROUND((ROUND((ROUND((_11_A通院１０．５*_11・基礎１),0)*_11・２人),0)*_11・初任),0)+ROUND((ROUND((ROUND((ROUND((_11_B通院１０．５＿１．０*_11・基礎１),0)*_11・２人),0)*(1+_11・B夜間)),0)*_11・初任),0)</f>
        <v>327</v>
      </c>
      <c r="Y22" s="48"/>
    </row>
    <row r="23" spans="1:25" ht="16.5" customHeight="1" x14ac:dyDescent="0.15">
      <c r="A23" s="41">
        <v>11</v>
      </c>
      <c r="B23" s="41">
        <v>3431</v>
      </c>
      <c r="C23" s="74" t="s">
        <v>5364</v>
      </c>
      <c r="D23" s="72"/>
      <c r="E23" s="99"/>
      <c r="F23" s="707" t="s">
        <v>3725</v>
      </c>
      <c r="G23" s="717"/>
      <c r="H23" s="72"/>
      <c r="I23" s="57"/>
      <c r="J23" s="53"/>
      <c r="K23" s="49"/>
      <c r="L23" s="50"/>
      <c r="M23" s="44"/>
      <c r="N23" s="45"/>
      <c r="O23" s="46"/>
      <c r="P23" s="35"/>
      <c r="R23" s="57"/>
      <c r="S23" s="35"/>
      <c r="U23" s="57"/>
      <c r="V23" s="53"/>
      <c r="W23" s="49"/>
      <c r="X23" s="47">
        <f>_11_A通院１０．５+ROUND((_11_B通院１０．５＿１．５*(1+_11・B夜間)),0)</f>
        <v>769</v>
      </c>
      <c r="Y23" s="48"/>
    </row>
    <row r="24" spans="1:25" ht="16.5" customHeight="1" x14ac:dyDescent="0.15">
      <c r="A24" s="41">
        <v>11</v>
      </c>
      <c r="B24" s="41">
        <v>3432</v>
      </c>
      <c r="C24" s="74" t="s">
        <v>5365</v>
      </c>
      <c r="D24" s="72"/>
      <c r="E24" s="99"/>
      <c r="F24" s="709"/>
      <c r="G24" s="718"/>
      <c r="H24" s="72"/>
      <c r="I24" s="57"/>
      <c r="J24" s="43"/>
      <c r="K24" s="37"/>
      <c r="L24" s="38"/>
      <c r="M24" s="44" t="s">
        <v>397</v>
      </c>
      <c r="N24" s="45" t="s">
        <v>398</v>
      </c>
      <c r="O24" s="46">
        <v>1</v>
      </c>
      <c r="P24" s="35"/>
      <c r="R24" s="57"/>
      <c r="S24" s="35"/>
      <c r="U24" s="57"/>
      <c r="V24" s="35"/>
      <c r="X24" s="47">
        <f>ROUND((_11_A通院１０．５*_11・２人),0)+ROUND((ROUND((_11_B通院１０．５＿１．５*_11・２人),0)*(1+_11・B夜間)),0)</f>
        <v>769</v>
      </c>
      <c r="Y24" s="48"/>
    </row>
    <row r="25" spans="1:25" ht="16.5" customHeight="1" x14ac:dyDescent="0.15">
      <c r="A25" s="41">
        <v>11</v>
      </c>
      <c r="B25" s="41">
        <v>3433</v>
      </c>
      <c r="C25" s="74" t="s">
        <v>5366</v>
      </c>
      <c r="D25" s="72"/>
      <c r="E25" s="99"/>
      <c r="F25" s="709"/>
      <c r="G25" s="718"/>
      <c r="H25" s="72"/>
      <c r="I25" s="57"/>
      <c r="J25" s="752" t="s">
        <v>400</v>
      </c>
      <c r="K25" s="49" t="s">
        <v>398</v>
      </c>
      <c r="L25" s="50">
        <v>0.7</v>
      </c>
      <c r="M25" s="44"/>
      <c r="N25" s="45"/>
      <c r="O25" s="46"/>
      <c r="P25" s="35"/>
      <c r="R25" s="57"/>
      <c r="S25" s="35"/>
      <c r="U25" s="57"/>
      <c r="V25" s="35"/>
      <c r="X25" s="47">
        <f>ROUND((_11_A通院１０．５*_11・基礎１),0)+ROUND((ROUND((_11_B通院１０．５＿１．５*_11・基礎１),0)*(1+_11・B夜間)),0)</f>
        <v>539</v>
      </c>
      <c r="Y25" s="48"/>
    </row>
    <row r="26" spans="1:25" ht="16.5" customHeight="1" x14ac:dyDescent="0.15">
      <c r="A26" s="41">
        <v>11</v>
      </c>
      <c r="B26" s="41">
        <v>3434</v>
      </c>
      <c r="C26" s="74" t="s">
        <v>5367</v>
      </c>
      <c r="D26" s="72"/>
      <c r="E26" s="99"/>
      <c r="F26" s="100">
        <f>_11_B通院１０．５＿１．５</f>
        <v>411</v>
      </c>
      <c r="G26" s="12" t="s">
        <v>392</v>
      </c>
      <c r="H26" s="72"/>
      <c r="I26" s="57"/>
      <c r="J26" s="711"/>
      <c r="K26" s="37"/>
      <c r="L26" s="38"/>
      <c r="M26" s="44" t="s">
        <v>397</v>
      </c>
      <c r="N26" s="45" t="s">
        <v>398</v>
      </c>
      <c r="O26" s="46">
        <v>1</v>
      </c>
      <c r="P26" s="35"/>
      <c r="R26" s="57"/>
      <c r="S26" s="35"/>
      <c r="U26" s="57"/>
      <c r="V26" s="43"/>
      <c r="W26" s="37"/>
      <c r="X26" s="47">
        <f>ROUND((ROUND((_11_A通院１０．５*_11・基礎１),0)*_11・２人),0)+ROUND((ROUND((ROUND((_11_B通院１０．５＿１．５*_11・基礎１),0)*_11・２人),0)*(1+_11・B夜間)),0)</f>
        <v>539</v>
      </c>
      <c r="Y26" s="48"/>
    </row>
    <row r="27" spans="1:25" ht="16.5" customHeight="1" x14ac:dyDescent="0.15">
      <c r="A27" s="41">
        <v>11</v>
      </c>
      <c r="B27" s="41" t="s">
        <v>5368</v>
      </c>
      <c r="C27" s="74" t="s">
        <v>5369</v>
      </c>
      <c r="D27" s="72"/>
      <c r="E27" s="99"/>
      <c r="F27" s="121"/>
      <c r="G27" s="99"/>
      <c r="H27" s="72"/>
      <c r="I27" s="57"/>
      <c r="J27" s="53"/>
      <c r="K27" s="49"/>
      <c r="L27" s="50"/>
      <c r="M27" s="44"/>
      <c r="N27" s="45"/>
      <c r="O27" s="46"/>
      <c r="P27" s="35"/>
      <c r="R27" s="57"/>
      <c r="S27" s="35"/>
      <c r="U27" s="57"/>
      <c r="V27" s="707" t="s">
        <v>404</v>
      </c>
      <c r="W27" s="708"/>
      <c r="X27" s="47">
        <f>ROUND((_11_A通院１０．５*_11・初任),0)+ROUND((ROUND((_11_B通院１０．５＿１．５*(1+_11・B夜間)),0)*_11・初任),0)</f>
        <v>539</v>
      </c>
      <c r="Y27" s="48"/>
    </row>
    <row r="28" spans="1:25" ht="16.5" customHeight="1" x14ac:dyDescent="0.15">
      <c r="A28" s="41">
        <v>11</v>
      </c>
      <c r="B28" s="41" t="s">
        <v>5370</v>
      </c>
      <c r="C28" s="74" t="s">
        <v>5371</v>
      </c>
      <c r="D28" s="72"/>
      <c r="E28" s="99"/>
      <c r="F28" s="121"/>
      <c r="G28" s="99"/>
      <c r="H28" s="72"/>
      <c r="I28" s="57"/>
      <c r="J28" s="43"/>
      <c r="K28" s="37"/>
      <c r="L28" s="38"/>
      <c r="M28" s="44" t="s">
        <v>397</v>
      </c>
      <c r="N28" s="45" t="s">
        <v>398</v>
      </c>
      <c r="O28" s="46">
        <v>1</v>
      </c>
      <c r="P28" s="35"/>
      <c r="R28" s="57"/>
      <c r="S28" s="35"/>
      <c r="U28" s="57"/>
      <c r="V28" s="709"/>
      <c r="W28" s="704"/>
      <c r="X28" s="47">
        <f>ROUND((ROUND((_11_A通院１０．５*_11・２人),0)*_11・初任),0)+ROUND((ROUND((ROUND((_11_B通院１０．５＿１．５*_11・２人),0)*(1+_11・B夜間)),0)*_11・初任),0)</f>
        <v>539</v>
      </c>
      <c r="Y28" s="48"/>
    </row>
    <row r="29" spans="1:25" ht="16.5" customHeight="1" x14ac:dyDescent="0.15">
      <c r="A29" s="41">
        <v>11</v>
      </c>
      <c r="B29" s="41" t="s">
        <v>5372</v>
      </c>
      <c r="C29" s="74" t="s">
        <v>5373</v>
      </c>
      <c r="D29" s="72"/>
      <c r="E29" s="99"/>
      <c r="F29" s="72"/>
      <c r="G29" s="99"/>
      <c r="H29" s="72"/>
      <c r="I29" s="57"/>
      <c r="J29" s="752" t="s">
        <v>400</v>
      </c>
      <c r="K29" s="49" t="s">
        <v>398</v>
      </c>
      <c r="L29" s="50">
        <v>0.7</v>
      </c>
      <c r="M29" s="44"/>
      <c r="N29" s="45"/>
      <c r="O29" s="46"/>
      <c r="P29" s="35"/>
      <c r="R29" s="57"/>
      <c r="S29" s="35"/>
      <c r="U29" s="57"/>
      <c r="V29" s="709"/>
      <c r="W29" s="704"/>
      <c r="X29" s="47">
        <f>ROUND((ROUND((_11_A通院１０．５*_11・基礎１),0)*_11・初任),0)+ROUND((ROUND((ROUND((_11_B通院１０．５＿１．５*_11・基礎１),0)*(1+_11・B夜間)),0)*_11・初任),0)</f>
        <v>377</v>
      </c>
      <c r="Y29" s="48"/>
    </row>
    <row r="30" spans="1:25" ht="16.5" customHeight="1" x14ac:dyDescent="0.15">
      <c r="A30" s="41">
        <v>11</v>
      </c>
      <c r="B30" s="41" t="s">
        <v>5374</v>
      </c>
      <c r="C30" s="74" t="s">
        <v>5375</v>
      </c>
      <c r="D30" s="72"/>
      <c r="E30" s="99"/>
      <c r="F30" s="72"/>
      <c r="G30" s="99"/>
      <c r="H30" s="72"/>
      <c r="I30" s="57"/>
      <c r="J30" s="711"/>
      <c r="K30" s="37"/>
      <c r="L30" s="38"/>
      <c r="M30" s="44" t="s">
        <v>397</v>
      </c>
      <c r="N30" s="45" t="s">
        <v>398</v>
      </c>
      <c r="O30" s="46">
        <v>1</v>
      </c>
      <c r="P30" s="35"/>
      <c r="R30" s="57"/>
      <c r="S30" s="35"/>
      <c r="U30" s="57"/>
      <c r="V30" s="55" t="s">
        <v>398</v>
      </c>
      <c r="W30" s="38">
        <f>_11・初任</f>
        <v>0.7</v>
      </c>
      <c r="X30" s="47">
        <f>ROUND((ROUND((ROUND((_11_A通院１０．５*_11・基礎１),0)*_11・２人),0)*_11・初任),0)+ROUND((ROUND((ROUND((ROUND((_11_B通院１０．５＿１．５*_11・基礎１),0)*_11・２人),0)*(1+_11・B夜間)),0)*_11・初任),0)</f>
        <v>377</v>
      </c>
      <c r="Y30" s="48"/>
    </row>
    <row r="31" spans="1:25" ht="16.5" customHeight="1" x14ac:dyDescent="0.15">
      <c r="A31" s="41">
        <v>11</v>
      </c>
      <c r="B31" s="41">
        <v>3435</v>
      </c>
      <c r="C31" s="74" t="s">
        <v>5376</v>
      </c>
      <c r="D31" s="72"/>
      <c r="E31" s="99"/>
      <c r="F31" s="707" t="s">
        <v>3732</v>
      </c>
      <c r="G31" s="717"/>
      <c r="H31" s="72"/>
      <c r="I31" s="57"/>
      <c r="J31" s="53"/>
      <c r="K31" s="49"/>
      <c r="L31" s="50"/>
      <c r="M31" s="44"/>
      <c r="N31" s="45"/>
      <c r="O31" s="46"/>
      <c r="P31" s="35"/>
      <c r="R31" s="57"/>
      <c r="S31" s="35"/>
      <c r="U31" s="57"/>
      <c r="V31" s="53"/>
      <c r="W31" s="49"/>
      <c r="X31" s="47">
        <f>_11_A通院１０．５+ROUND((_11_B通院１０．５＿２．０*(1+_11・B夜間)),0)</f>
        <v>874</v>
      </c>
      <c r="Y31" s="48"/>
    </row>
    <row r="32" spans="1:25" ht="16.5" customHeight="1" x14ac:dyDescent="0.15">
      <c r="A32" s="41">
        <v>11</v>
      </c>
      <c r="B32" s="41">
        <v>3436</v>
      </c>
      <c r="C32" s="74" t="s">
        <v>5377</v>
      </c>
      <c r="D32" s="72"/>
      <c r="E32" s="99"/>
      <c r="F32" s="709"/>
      <c r="G32" s="718"/>
      <c r="H32" s="72"/>
      <c r="I32" s="57"/>
      <c r="J32" s="43"/>
      <c r="K32" s="37"/>
      <c r="L32" s="38"/>
      <c r="M32" s="44" t="s">
        <v>397</v>
      </c>
      <c r="N32" s="45" t="s">
        <v>398</v>
      </c>
      <c r="O32" s="46">
        <v>1</v>
      </c>
      <c r="P32" s="35"/>
      <c r="R32" s="57"/>
      <c r="S32" s="35"/>
      <c r="U32" s="57"/>
      <c r="V32" s="35"/>
      <c r="X32" s="47">
        <f>ROUND((_11_A通院１０．５*_11・２人),0)+ROUND((ROUND((_11_B通院１０．５＿２．０*_11・２人),0)*(1+_11・B夜間)),0)</f>
        <v>874</v>
      </c>
      <c r="Y32" s="48"/>
    </row>
    <row r="33" spans="1:25" ht="16.5" customHeight="1" x14ac:dyDescent="0.15">
      <c r="A33" s="41">
        <v>11</v>
      </c>
      <c r="B33" s="41">
        <v>3437</v>
      </c>
      <c r="C33" s="74" t="s">
        <v>5378</v>
      </c>
      <c r="D33" s="72"/>
      <c r="E33" s="99"/>
      <c r="F33" s="709"/>
      <c r="G33" s="718"/>
      <c r="H33" s="72"/>
      <c r="I33" s="57"/>
      <c r="J33" s="752" t="s">
        <v>400</v>
      </c>
      <c r="K33" s="49" t="s">
        <v>398</v>
      </c>
      <c r="L33" s="50">
        <v>0.7</v>
      </c>
      <c r="M33" s="44"/>
      <c r="N33" s="45"/>
      <c r="O33" s="46"/>
      <c r="P33" s="35"/>
      <c r="R33" s="57"/>
      <c r="S33" s="35"/>
      <c r="U33" s="57"/>
      <c r="V33" s="35"/>
      <c r="X33" s="47">
        <f>ROUND((_11_A通院１０．５*_11・基礎１),0)+ROUND((ROUND((_11_B通院１０．５＿２．０*_11・基礎１),0)*(1+_11・B夜間)),0)</f>
        <v>613</v>
      </c>
      <c r="Y33" s="48"/>
    </row>
    <row r="34" spans="1:25" ht="16.5" customHeight="1" x14ac:dyDescent="0.15">
      <c r="A34" s="41">
        <v>11</v>
      </c>
      <c r="B34" s="41">
        <v>3438</v>
      </c>
      <c r="C34" s="74" t="s">
        <v>5379</v>
      </c>
      <c r="D34" s="72"/>
      <c r="E34" s="99"/>
      <c r="F34" s="100">
        <f>_11_B通院１０．５＿２．０</f>
        <v>495</v>
      </c>
      <c r="G34" s="12" t="s">
        <v>392</v>
      </c>
      <c r="H34" s="72"/>
      <c r="I34" s="57"/>
      <c r="J34" s="711"/>
      <c r="K34" s="37"/>
      <c r="L34" s="38"/>
      <c r="M34" s="44" t="s">
        <v>397</v>
      </c>
      <c r="N34" s="45" t="s">
        <v>398</v>
      </c>
      <c r="O34" s="46">
        <v>1</v>
      </c>
      <c r="P34" s="35"/>
      <c r="R34" s="57"/>
      <c r="S34" s="35"/>
      <c r="U34" s="57"/>
      <c r="V34" s="43"/>
      <c r="W34" s="37"/>
      <c r="X34" s="47">
        <f>ROUND((ROUND((_11_A通院１０．５*_11・基礎１),0)*_11・２人),0)+ROUND((ROUND((ROUND((_11_B通院１０．５＿２．０*_11・基礎１),0)*_11・２人),0)*(1+_11・B夜間)),0)</f>
        <v>613</v>
      </c>
      <c r="Y34" s="48"/>
    </row>
    <row r="35" spans="1:25" ht="16.5" customHeight="1" x14ac:dyDescent="0.15">
      <c r="A35" s="41">
        <v>11</v>
      </c>
      <c r="B35" s="41" t="s">
        <v>5380</v>
      </c>
      <c r="C35" s="74" t="s">
        <v>5381</v>
      </c>
      <c r="D35" s="72"/>
      <c r="E35" s="99"/>
      <c r="F35" s="121"/>
      <c r="G35" s="99"/>
      <c r="H35" s="72"/>
      <c r="I35" s="57"/>
      <c r="J35" s="53"/>
      <c r="K35" s="49"/>
      <c r="L35" s="50"/>
      <c r="M35" s="44"/>
      <c r="N35" s="45"/>
      <c r="O35" s="46"/>
      <c r="P35" s="35"/>
      <c r="R35" s="57"/>
      <c r="S35" s="35"/>
      <c r="U35" s="57"/>
      <c r="V35" s="707" t="s">
        <v>404</v>
      </c>
      <c r="W35" s="708"/>
      <c r="X35" s="47">
        <f>ROUND((_11_A通院１０．５*_11・初任),0)+ROUND((ROUND((_11_B通院１０．５＿２．０*(1+_11・B夜間)),0)*_11・初任),0)</f>
        <v>612</v>
      </c>
      <c r="Y35" s="48"/>
    </row>
    <row r="36" spans="1:25" ht="16.5" customHeight="1" x14ac:dyDescent="0.15">
      <c r="A36" s="41">
        <v>11</v>
      </c>
      <c r="B36" s="41" t="s">
        <v>5382</v>
      </c>
      <c r="C36" s="74" t="s">
        <v>5383</v>
      </c>
      <c r="D36" s="72"/>
      <c r="E36" s="99"/>
      <c r="F36" s="121"/>
      <c r="G36" s="99"/>
      <c r="H36" s="72"/>
      <c r="I36" s="57"/>
      <c r="J36" s="43"/>
      <c r="K36" s="37"/>
      <c r="L36" s="38"/>
      <c r="M36" s="44" t="s">
        <v>397</v>
      </c>
      <c r="N36" s="45" t="s">
        <v>398</v>
      </c>
      <c r="O36" s="46">
        <v>1</v>
      </c>
      <c r="P36" s="35"/>
      <c r="R36" s="57"/>
      <c r="S36" s="35"/>
      <c r="U36" s="57"/>
      <c r="V36" s="709"/>
      <c r="W36" s="704"/>
      <c r="X36" s="47">
        <f>ROUND((ROUND((_11_A通院１０．５*_11・２人),0)*_11・初任),0)+ROUND((ROUND((ROUND((_11_B通院１０．５＿２．０*_11・２人),0)*(1+_11・B夜間)),0)*_11・初任),0)</f>
        <v>612</v>
      </c>
      <c r="Y36" s="48"/>
    </row>
    <row r="37" spans="1:25" ht="16.5" customHeight="1" x14ac:dyDescent="0.15">
      <c r="A37" s="41">
        <v>11</v>
      </c>
      <c r="B37" s="41" t="s">
        <v>5384</v>
      </c>
      <c r="C37" s="74" t="s">
        <v>5385</v>
      </c>
      <c r="D37" s="72"/>
      <c r="E37" s="99"/>
      <c r="F37" s="72"/>
      <c r="G37" s="99"/>
      <c r="H37" s="72"/>
      <c r="I37" s="57"/>
      <c r="J37" s="752" t="s">
        <v>400</v>
      </c>
      <c r="K37" s="49" t="s">
        <v>398</v>
      </c>
      <c r="L37" s="50">
        <v>0.7</v>
      </c>
      <c r="M37" s="44"/>
      <c r="N37" s="45"/>
      <c r="O37" s="46"/>
      <c r="P37" s="35"/>
      <c r="R37" s="57"/>
      <c r="S37" s="35"/>
      <c r="U37" s="57"/>
      <c r="V37" s="709"/>
      <c r="W37" s="704"/>
      <c r="X37" s="47">
        <f>ROUND((ROUND((_11_A通院１０．５*_11・基礎１),0)*_11・初任),0)+ROUND((ROUND((ROUND((_11_B通院１０．５＿２．０*_11・基礎１),0)*(1+_11・B夜間)),0)*_11・初任),0)</f>
        <v>429</v>
      </c>
      <c r="Y37" s="48"/>
    </row>
    <row r="38" spans="1:25" ht="16.5" customHeight="1" x14ac:dyDescent="0.15">
      <c r="A38" s="41">
        <v>11</v>
      </c>
      <c r="B38" s="41" t="s">
        <v>5386</v>
      </c>
      <c r="C38" s="74" t="s">
        <v>5387</v>
      </c>
      <c r="D38" s="72"/>
      <c r="E38" s="108"/>
      <c r="F38" s="72"/>
      <c r="G38" s="99"/>
      <c r="H38" s="72"/>
      <c r="I38" s="57"/>
      <c r="J38" s="711"/>
      <c r="K38" s="37"/>
      <c r="L38" s="38"/>
      <c r="M38" s="44" t="s">
        <v>397</v>
      </c>
      <c r="N38" s="45" t="s">
        <v>398</v>
      </c>
      <c r="O38" s="46">
        <v>1</v>
      </c>
      <c r="P38" s="35"/>
      <c r="R38" s="57"/>
      <c r="S38" s="35"/>
      <c r="U38" s="57"/>
      <c r="V38" s="55" t="s">
        <v>398</v>
      </c>
      <c r="W38" s="38">
        <f>_11・初任</f>
        <v>0.7</v>
      </c>
      <c r="X38" s="47">
        <f>ROUND((ROUND((ROUND((_11_A通院１０．５*_11・基礎１),0)*_11・２人),0)*_11・初任),0)+ROUND((ROUND((ROUND((ROUND((_11_B通院１０．５＿２．０*_11・基礎１),0)*_11・２人),0)*(1+_11・B夜間)),0)*_11・初任),0)</f>
        <v>429</v>
      </c>
      <c r="Y38" s="48"/>
    </row>
    <row r="39" spans="1:25" ht="16.5" customHeight="1" x14ac:dyDescent="0.15">
      <c r="A39" s="41">
        <v>11</v>
      </c>
      <c r="B39" s="41">
        <v>3439</v>
      </c>
      <c r="C39" s="74" t="s">
        <v>5388</v>
      </c>
      <c r="D39" s="132"/>
      <c r="E39" s="106"/>
      <c r="F39" s="707" t="s">
        <v>5389</v>
      </c>
      <c r="G39" s="717"/>
      <c r="H39" s="72"/>
      <c r="I39" s="57"/>
      <c r="J39" s="53"/>
      <c r="K39" s="49"/>
      <c r="L39" s="50"/>
      <c r="M39" s="44"/>
      <c r="N39" s="45"/>
      <c r="O39" s="46"/>
      <c r="P39" s="35"/>
      <c r="R39" s="57"/>
      <c r="S39" s="35"/>
      <c r="U39" s="57"/>
      <c r="V39" s="53"/>
      <c r="W39" s="49"/>
      <c r="X39" s="47">
        <f>_11_A通院１０．５+ROUND((_11_B通院１０．５＿２．５*(1+_11・B夜間)),0)</f>
        <v>978</v>
      </c>
      <c r="Y39" s="48"/>
    </row>
    <row r="40" spans="1:25" ht="16.5" customHeight="1" x14ac:dyDescent="0.15">
      <c r="A40" s="41">
        <v>11</v>
      </c>
      <c r="B40" s="41">
        <v>3440</v>
      </c>
      <c r="C40" s="74" t="s">
        <v>5390</v>
      </c>
      <c r="D40" s="132"/>
      <c r="E40" s="106"/>
      <c r="F40" s="709"/>
      <c r="G40" s="718"/>
      <c r="H40" s="72"/>
      <c r="I40" s="57"/>
      <c r="J40" s="43"/>
      <c r="K40" s="37"/>
      <c r="L40" s="38"/>
      <c r="M40" s="44" t="s">
        <v>397</v>
      </c>
      <c r="N40" s="45" t="s">
        <v>398</v>
      </c>
      <c r="O40" s="46">
        <v>1</v>
      </c>
      <c r="P40" s="35"/>
      <c r="R40" s="57"/>
      <c r="S40" s="35"/>
      <c r="U40" s="57"/>
      <c r="V40" s="35"/>
      <c r="X40" s="47">
        <f>ROUND((_11_A通院１０．５*_11・２人),0)+ROUND((ROUND((_11_B通院１０．５＿２．５*_11・２人),0)*(1+_11・B夜間)),0)</f>
        <v>978</v>
      </c>
      <c r="Y40" s="48"/>
    </row>
    <row r="41" spans="1:25" ht="16.5" customHeight="1" x14ac:dyDescent="0.15">
      <c r="A41" s="41">
        <v>11</v>
      </c>
      <c r="B41" s="41">
        <v>3441</v>
      </c>
      <c r="C41" s="74" t="s">
        <v>5391</v>
      </c>
      <c r="D41" s="132"/>
      <c r="E41" s="106"/>
      <c r="F41" s="709"/>
      <c r="G41" s="718"/>
      <c r="H41" s="72"/>
      <c r="I41" s="57"/>
      <c r="J41" s="752" t="s">
        <v>400</v>
      </c>
      <c r="K41" s="49" t="s">
        <v>398</v>
      </c>
      <c r="L41" s="50">
        <v>0.7</v>
      </c>
      <c r="M41" s="44"/>
      <c r="N41" s="45"/>
      <c r="O41" s="46"/>
      <c r="P41" s="35"/>
      <c r="R41" s="57"/>
      <c r="S41" s="35"/>
      <c r="U41" s="57"/>
      <c r="V41" s="35"/>
      <c r="X41" s="47">
        <f>ROUND((_11_A通院１０．５*_11・基礎１),0)+ROUND((ROUND((_11_B通院１０．５＿２．５*_11・基礎１),0)*(1+_11・B夜間)),0)</f>
        <v>685</v>
      </c>
      <c r="Y41" s="48"/>
    </row>
    <row r="42" spans="1:25" ht="16.5" customHeight="1" x14ac:dyDescent="0.15">
      <c r="A42" s="41">
        <v>11</v>
      </c>
      <c r="B42" s="41">
        <v>3442</v>
      </c>
      <c r="C42" s="74" t="s">
        <v>5392</v>
      </c>
      <c r="D42" s="141"/>
      <c r="E42" s="57"/>
      <c r="F42" s="100">
        <f>_11_B通院１０．５＿２．５</f>
        <v>578</v>
      </c>
      <c r="G42" s="12" t="s">
        <v>392</v>
      </c>
      <c r="H42" s="72"/>
      <c r="I42" s="57"/>
      <c r="J42" s="711"/>
      <c r="K42" s="37"/>
      <c r="L42" s="38"/>
      <c r="M42" s="44" t="s">
        <v>397</v>
      </c>
      <c r="N42" s="45" t="s">
        <v>398</v>
      </c>
      <c r="O42" s="46">
        <v>1</v>
      </c>
      <c r="P42" s="35"/>
      <c r="R42" s="57"/>
      <c r="S42" s="35"/>
      <c r="U42" s="57"/>
      <c r="V42" s="43"/>
      <c r="W42" s="37"/>
      <c r="X42" s="47">
        <f>ROUND((ROUND((_11_A通院１０．５*_11・基礎１),0)*_11・２人),0)+ROUND((ROUND((ROUND((_11_B通院１０．５＿２．５*_11・基礎１),0)*_11・２人),0)*(1+_11・B夜間)),0)</f>
        <v>685</v>
      </c>
      <c r="Y42" s="48"/>
    </row>
    <row r="43" spans="1:25" ht="16.5" customHeight="1" x14ac:dyDescent="0.15">
      <c r="A43" s="41">
        <v>11</v>
      </c>
      <c r="B43" s="41" t="s">
        <v>5393</v>
      </c>
      <c r="C43" s="74" t="s">
        <v>5394</v>
      </c>
      <c r="D43" s="72"/>
      <c r="E43" s="99"/>
      <c r="F43" s="121"/>
      <c r="G43" s="99"/>
      <c r="H43" s="72"/>
      <c r="I43" s="57"/>
      <c r="J43" s="53"/>
      <c r="K43" s="49"/>
      <c r="L43" s="50"/>
      <c r="M43" s="44"/>
      <c r="N43" s="45"/>
      <c r="O43" s="46"/>
      <c r="P43" s="35"/>
      <c r="R43" s="57"/>
      <c r="S43" s="35"/>
      <c r="U43" s="57"/>
      <c r="V43" s="707" t="s">
        <v>404</v>
      </c>
      <c r="W43" s="708"/>
      <c r="X43" s="47">
        <f>ROUND((_11_A通院１０．５*_11・初任),0)+ROUND((ROUND((_11_B通院１０．５＿２．５*(1+_11・B夜間)),0)*_11・初任),0)</f>
        <v>685</v>
      </c>
      <c r="Y43" s="48"/>
    </row>
    <row r="44" spans="1:25" ht="16.5" customHeight="1" x14ac:dyDescent="0.15">
      <c r="A44" s="41">
        <v>11</v>
      </c>
      <c r="B44" s="41" t="s">
        <v>5395</v>
      </c>
      <c r="C44" s="74" t="s">
        <v>5396</v>
      </c>
      <c r="D44" s="72"/>
      <c r="E44" s="99"/>
      <c r="F44" s="121"/>
      <c r="G44" s="99"/>
      <c r="H44" s="72"/>
      <c r="I44" s="57"/>
      <c r="J44" s="43"/>
      <c r="K44" s="37"/>
      <c r="L44" s="38"/>
      <c r="M44" s="44" t="s">
        <v>397</v>
      </c>
      <c r="N44" s="45" t="s">
        <v>398</v>
      </c>
      <c r="O44" s="46">
        <v>1</v>
      </c>
      <c r="P44" s="35"/>
      <c r="R44" s="57"/>
      <c r="S44" s="35"/>
      <c r="U44" s="57"/>
      <c r="V44" s="709"/>
      <c r="W44" s="704"/>
      <c r="X44" s="47">
        <f>ROUND((ROUND((_11_A通院１０．５*_11・２人),0)*_11・初任),0)+ROUND((ROUND((ROUND((_11_B通院１０．５＿２．５*_11・２人),0)*(1+_11・B夜間)),0)*_11・初任),0)</f>
        <v>685</v>
      </c>
      <c r="Y44" s="48"/>
    </row>
    <row r="45" spans="1:25" ht="16.5" customHeight="1" x14ac:dyDescent="0.15">
      <c r="A45" s="41">
        <v>11</v>
      </c>
      <c r="B45" s="41" t="s">
        <v>5397</v>
      </c>
      <c r="C45" s="74" t="s">
        <v>5398</v>
      </c>
      <c r="D45" s="72"/>
      <c r="E45" s="99"/>
      <c r="F45" s="72"/>
      <c r="G45" s="99"/>
      <c r="H45" s="72"/>
      <c r="I45" s="57"/>
      <c r="J45" s="752" t="s">
        <v>400</v>
      </c>
      <c r="K45" s="49" t="s">
        <v>398</v>
      </c>
      <c r="L45" s="50">
        <v>0.7</v>
      </c>
      <c r="M45" s="44"/>
      <c r="N45" s="45"/>
      <c r="O45" s="46"/>
      <c r="P45" s="35"/>
      <c r="R45" s="57"/>
      <c r="S45" s="35"/>
      <c r="U45" s="57"/>
      <c r="V45" s="709"/>
      <c r="W45" s="704"/>
      <c r="X45" s="47">
        <f>ROUND((ROUND((_11_A通院１０．５*_11・基礎１),0)*_11・初任),0)+ROUND((ROUND((ROUND((_11_B通院１０．５＿２．５*_11・基礎１),0)*(1+_11・B夜間)),0)*_11・初任),0)</f>
        <v>479</v>
      </c>
      <c r="Y45" s="48"/>
    </row>
    <row r="46" spans="1:25" ht="16.5" customHeight="1" x14ac:dyDescent="0.15">
      <c r="A46" s="41">
        <v>11</v>
      </c>
      <c r="B46" s="41" t="s">
        <v>5399</v>
      </c>
      <c r="C46" s="74" t="s">
        <v>5400</v>
      </c>
      <c r="D46" s="72"/>
      <c r="E46" s="99"/>
      <c r="F46" s="72"/>
      <c r="G46" s="99"/>
      <c r="H46" s="72"/>
      <c r="I46" s="57"/>
      <c r="J46" s="711"/>
      <c r="K46" s="37"/>
      <c r="L46" s="38"/>
      <c r="M46" s="44" t="s">
        <v>397</v>
      </c>
      <c r="N46" s="45" t="s">
        <v>398</v>
      </c>
      <c r="O46" s="46">
        <v>1</v>
      </c>
      <c r="P46" s="35"/>
      <c r="R46" s="57"/>
      <c r="S46" s="35"/>
      <c r="U46" s="57"/>
      <c r="V46" s="55" t="s">
        <v>398</v>
      </c>
      <c r="W46" s="38">
        <f>_11・初任</f>
        <v>0.7</v>
      </c>
      <c r="X46" s="47">
        <f>ROUND((ROUND((ROUND((_11_A通院１０．５*_11・基礎１),0)*_11・２人),0)*_11・初任),0)+ROUND((ROUND((ROUND((ROUND((_11_B通院１０．５＿２．５*_11・基礎１),0)*_11・２人),0)*(1+_11・B夜間)),0)*_11・初任),0)</f>
        <v>479</v>
      </c>
      <c r="Y46" s="48"/>
    </row>
    <row r="47" spans="1:25" ht="16.5" customHeight="1" x14ac:dyDescent="0.15">
      <c r="A47" s="41">
        <v>11</v>
      </c>
      <c r="B47" s="41">
        <v>3443</v>
      </c>
      <c r="C47" s="74" t="s">
        <v>5401</v>
      </c>
      <c r="D47" s="707" t="s">
        <v>5402</v>
      </c>
      <c r="E47" s="717"/>
      <c r="F47" s="707" t="s">
        <v>3711</v>
      </c>
      <c r="G47" s="717"/>
      <c r="H47" s="72"/>
      <c r="I47" s="57"/>
      <c r="J47" s="53"/>
      <c r="K47" s="49"/>
      <c r="L47" s="50"/>
      <c r="M47" s="44"/>
      <c r="N47" s="45"/>
      <c r="O47" s="46"/>
      <c r="P47" s="35"/>
      <c r="R47" s="57"/>
      <c r="S47" s="35"/>
      <c r="U47" s="57"/>
      <c r="V47" s="53"/>
      <c r="W47" s="49"/>
      <c r="X47" s="47">
        <f>_11_A通院１１．０+ROUND((_11_B通院１１．０＿０．５*(1+_11・B夜間)),0)</f>
        <v>630</v>
      </c>
      <c r="Y47" s="48"/>
    </row>
    <row r="48" spans="1:25" ht="16.5" customHeight="1" x14ac:dyDescent="0.15">
      <c r="A48" s="41">
        <v>11</v>
      </c>
      <c r="B48" s="41">
        <v>3444</v>
      </c>
      <c r="C48" s="74" t="s">
        <v>5403</v>
      </c>
      <c r="D48" s="709"/>
      <c r="E48" s="718"/>
      <c r="F48" s="709"/>
      <c r="G48" s="718"/>
      <c r="H48" s="72"/>
      <c r="I48" s="57"/>
      <c r="J48" s="43"/>
      <c r="K48" s="37"/>
      <c r="L48" s="38"/>
      <c r="M48" s="44" t="s">
        <v>397</v>
      </c>
      <c r="N48" s="45" t="s">
        <v>398</v>
      </c>
      <c r="O48" s="46">
        <v>1</v>
      </c>
      <c r="P48" s="35"/>
      <c r="R48" s="57"/>
      <c r="S48" s="35"/>
      <c r="U48" s="57"/>
      <c r="V48" s="35"/>
      <c r="X48" s="47">
        <f>ROUND((_11_A通院１１．０*_11・２人),0)+ROUND((ROUND((_11_B通院１１．０＿０．５*_11・２人),0)*(1+_11・B夜間)),0)</f>
        <v>630</v>
      </c>
      <c r="Y48" s="48"/>
    </row>
    <row r="49" spans="1:25" ht="16.5" customHeight="1" x14ac:dyDescent="0.15">
      <c r="A49" s="41">
        <v>11</v>
      </c>
      <c r="B49" s="41">
        <v>3445</v>
      </c>
      <c r="C49" s="74" t="s">
        <v>5404</v>
      </c>
      <c r="D49" s="709"/>
      <c r="E49" s="718"/>
      <c r="F49" s="709"/>
      <c r="G49" s="718"/>
      <c r="H49" s="72"/>
      <c r="I49" s="57"/>
      <c r="J49" s="752" t="s">
        <v>400</v>
      </c>
      <c r="K49" s="49" t="s">
        <v>398</v>
      </c>
      <c r="L49" s="50">
        <v>0.7</v>
      </c>
      <c r="M49" s="44"/>
      <c r="N49" s="45"/>
      <c r="O49" s="46"/>
      <c r="P49" s="35"/>
      <c r="R49" s="57"/>
      <c r="S49" s="35"/>
      <c r="U49" s="57"/>
      <c r="V49" s="35"/>
      <c r="X49" s="47">
        <f>ROUND((_11_A通院１１．０*_11・基礎１),0)+ROUND((ROUND((_11_B通院１１．０＿０．５*_11・基礎１),0)*(1+_11・B夜間)),0)</f>
        <v>440</v>
      </c>
      <c r="Y49" s="48"/>
    </row>
    <row r="50" spans="1:25" ht="16.5" customHeight="1" x14ac:dyDescent="0.15">
      <c r="A50" s="41">
        <v>11</v>
      </c>
      <c r="B50" s="41">
        <v>3446</v>
      </c>
      <c r="C50" s="74" t="s">
        <v>5405</v>
      </c>
      <c r="D50" s="100">
        <f>_11_A通院１１．０</f>
        <v>402</v>
      </c>
      <c r="E50" s="12" t="s">
        <v>392</v>
      </c>
      <c r="F50" s="100">
        <f>_11_B通院１１．０＿０．５</f>
        <v>182</v>
      </c>
      <c r="G50" s="12" t="s">
        <v>392</v>
      </c>
      <c r="H50" s="72"/>
      <c r="I50" s="57"/>
      <c r="J50" s="711"/>
      <c r="K50" s="37"/>
      <c r="L50" s="38"/>
      <c r="M50" s="44" t="s">
        <v>397</v>
      </c>
      <c r="N50" s="45" t="s">
        <v>398</v>
      </c>
      <c r="O50" s="46">
        <v>1</v>
      </c>
      <c r="P50" s="35"/>
      <c r="R50" s="57"/>
      <c r="S50" s="35"/>
      <c r="U50" s="57"/>
      <c r="V50" s="43"/>
      <c r="W50" s="37"/>
      <c r="X50" s="47">
        <f>ROUND((ROUND((_11_A通院１１．０*_11・基礎１),0)*_11・２人),0)+ROUND((ROUND((ROUND((_11_B通院１１．０＿０．５*_11・基礎１),0)*_11・２人),0)*(1+_11・B夜間)),0)</f>
        <v>440</v>
      </c>
      <c r="Y50" s="48"/>
    </row>
    <row r="51" spans="1:25" ht="16.5" customHeight="1" x14ac:dyDescent="0.15">
      <c r="A51" s="41">
        <v>11</v>
      </c>
      <c r="B51" s="41" t="s">
        <v>5406</v>
      </c>
      <c r="C51" s="74" t="s">
        <v>5407</v>
      </c>
      <c r="D51" s="121"/>
      <c r="E51" s="99"/>
      <c r="F51" s="121"/>
      <c r="G51" s="99"/>
      <c r="H51" s="72"/>
      <c r="I51" s="57"/>
      <c r="J51" s="53"/>
      <c r="K51" s="49"/>
      <c r="L51" s="50"/>
      <c r="M51" s="44"/>
      <c r="N51" s="45"/>
      <c r="O51" s="46"/>
      <c r="P51" s="35"/>
      <c r="R51" s="57"/>
      <c r="S51" s="35"/>
      <c r="U51" s="57"/>
      <c r="V51" s="707" t="s">
        <v>404</v>
      </c>
      <c r="W51" s="708"/>
      <c r="X51" s="47">
        <f>ROUND((_11_A通院１１．０*_11・初任),0)+ROUND((ROUND((_11_B通院１１．０＿０．５*(1+_11・B夜間)),0)*_11・初任),0)</f>
        <v>441</v>
      </c>
      <c r="Y51" s="48"/>
    </row>
    <row r="52" spans="1:25" ht="16.5" customHeight="1" x14ac:dyDescent="0.15">
      <c r="A52" s="41">
        <v>11</v>
      </c>
      <c r="B52" s="41" t="s">
        <v>5408</v>
      </c>
      <c r="C52" s="74" t="s">
        <v>5409</v>
      </c>
      <c r="D52" s="121"/>
      <c r="E52" s="99"/>
      <c r="F52" s="121"/>
      <c r="G52" s="99"/>
      <c r="H52" s="72"/>
      <c r="I52" s="57"/>
      <c r="J52" s="43"/>
      <c r="K52" s="37"/>
      <c r="L52" s="38"/>
      <c r="M52" s="44" t="s">
        <v>397</v>
      </c>
      <c r="N52" s="45" t="s">
        <v>398</v>
      </c>
      <c r="O52" s="46">
        <v>1</v>
      </c>
      <c r="P52" s="35"/>
      <c r="R52" s="57"/>
      <c r="S52" s="35"/>
      <c r="U52" s="57"/>
      <c r="V52" s="709"/>
      <c r="W52" s="704"/>
      <c r="X52" s="47">
        <f>ROUND((ROUND((_11_A通院１１．０*_11・２人),0)*_11・初任),0)+ROUND((ROUND((ROUND((_11_B通院１１．０＿０．５*_11・２人),0)*(1+_11・B夜間)),0)*_11・初任),0)</f>
        <v>441</v>
      </c>
      <c r="Y52" s="48"/>
    </row>
    <row r="53" spans="1:25" ht="16.5" customHeight="1" x14ac:dyDescent="0.15">
      <c r="A53" s="41">
        <v>11</v>
      </c>
      <c r="B53" s="41" t="s">
        <v>5410</v>
      </c>
      <c r="C53" s="74" t="s">
        <v>5411</v>
      </c>
      <c r="D53" s="72"/>
      <c r="E53" s="99"/>
      <c r="F53" s="72"/>
      <c r="G53" s="99"/>
      <c r="H53" s="72"/>
      <c r="I53" s="57"/>
      <c r="J53" s="752" t="s">
        <v>400</v>
      </c>
      <c r="K53" s="49" t="s">
        <v>398</v>
      </c>
      <c r="L53" s="50">
        <v>0.7</v>
      </c>
      <c r="M53" s="44"/>
      <c r="N53" s="45"/>
      <c r="O53" s="46"/>
      <c r="P53" s="35"/>
      <c r="R53" s="57"/>
      <c r="S53" s="35"/>
      <c r="U53" s="57"/>
      <c r="V53" s="709"/>
      <c r="W53" s="704"/>
      <c r="X53" s="47">
        <f>ROUND((ROUND((_11_A通院１１．０*_11・基礎１),0)*_11・初任),0)+ROUND((ROUND((ROUND((_11_B通院１１．０＿０．５*_11・基礎１),0)*(1+_11・B夜間)),0)*_11・初任),0)</f>
        <v>308</v>
      </c>
      <c r="Y53" s="48"/>
    </row>
    <row r="54" spans="1:25" ht="16.5" customHeight="1" x14ac:dyDescent="0.15">
      <c r="A54" s="41">
        <v>11</v>
      </c>
      <c r="B54" s="41" t="s">
        <v>5412</v>
      </c>
      <c r="C54" s="74" t="s">
        <v>5413</v>
      </c>
      <c r="D54" s="72"/>
      <c r="E54" s="99"/>
      <c r="F54" s="72"/>
      <c r="G54" s="99"/>
      <c r="H54" s="72"/>
      <c r="I54" s="57"/>
      <c r="J54" s="711"/>
      <c r="K54" s="37"/>
      <c r="L54" s="38"/>
      <c r="M54" s="44" t="s">
        <v>397</v>
      </c>
      <c r="N54" s="45" t="s">
        <v>398</v>
      </c>
      <c r="O54" s="46">
        <v>1</v>
      </c>
      <c r="P54" s="35"/>
      <c r="R54" s="57"/>
      <c r="S54" s="35"/>
      <c r="U54" s="57"/>
      <c r="V54" s="55" t="s">
        <v>398</v>
      </c>
      <c r="W54" s="38">
        <f>_11・初任</f>
        <v>0.7</v>
      </c>
      <c r="X54" s="47">
        <f>ROUND((ROUND((ROUND((_11_A通院１１．０*_11・基礎１),0)*_11・２人),0)*_11・初任),0)+ROUND((ROUND((ROUND((ROUND((_11_B通院１１．０＿０．５*_11・基礎１),0)*_11・２人),0)*(1+_11・B夜間)),0)*_11・初任),0)</f>
        <v>308</v>
      </c>
      <c r="Y54" s="48"/>
    </row>
    <row r="55" spans="1:25" ht="16.5" customHeight="1" x14ac:dyDescent="0.15">
      <c r="A55" s="41">
        <v>11</v>
      </c>
      <c r="B55" s="41">
        <v>3447</v>
      </c>
      <c r="C55" s="74" t="s">
        <v>5414</v>
      </c>
      <c r="D55" s="72"/>
      <c r="E55" s="99"/>
      <c r="F55" s="707" t="s">
        <v>3718</v>
      </c>
      <c r="G55" s="717"/>
      <c r="H55" s="72"/>
      <c r="I55" s="57"/>
      <c r="J55" s="53"/>
      <c r="K55" s="49"/>
      <c r="L55" s="50"/>
      <c r="M55" s="44"/>
      <c r="N55" s="45"/>
      <c r="O55" s="46"/>
      <c r="P55" s="35"/>
      <c r="R55" s="57"/>
      <c r="S55" s="35"/>
      <c r="U55" s="57"/>
      <c r="V55" s="53"/>
      <c r="W55" s="49"/>
      <c r="X55" s="47">
        <f>_11_A通院１１．０+ROUND((_11_B通院１１．０＿１．０*(1+_11・B夜間)),0)</f>
        <v>732</v>
      </c>
      <c r="Y55" s="48"/>
    </row>
    <row r="56" spans="1:25" ht="16.5" customHeight="1" x14ac:dyDescent="0.15">
      <c r="A56" s="41">
        <v>11</v>
      </c>
      <c r="B56" s="41">
        <v>3448</v>
      </c>
      <c r="C56" s="74" t="s">
        <v>5415</v>
      </c>
      <c r="D56" s="72"/>
      <c r="E56" s="99"/>
      <c r="F56" s="709"/>
      <c r="G56" s="718"/>
      <c r="H56" s="72"/>
      <c r="I56" s="57"/>
      <c r="J56" s="43"/>
      <c r="K56" s="37"/>
      <c r="L56" s="38"/>
      <c r="M56" s="44" t="s">
        <v>397</v>
      </c>
      <c r="N56" s="45" t="s">
        <v>398</v>
      </c>
      <c r="O56" s="46">
        <v>1</v>
      </c>
      <c r="P56" s="35"/>
      <c r="R56" s="57"/>
      <c r="S56" s="35"/>
      <c r="U56" s="57"/>
      <c r="V56" s="35"/>
      <c r="X56" s="47">
        <f>ROUND((_11_A通院１１．０*_11・２人),0)+ROUND((ROUND((_11_B通院１１．０＿１．０*_11・２人),0)*(1+_11・B夜間)),0)</f>
        <v>732</v>
      </c>
      <c r="Y56" s="48"/>
    </row>
    <row r="57" spans="1:25" ht="16.5" customHeight="1" x14ac:dyDescent="0.15">
      <c r="A57" s="41">
        <v>11</v>
      </c>
      <c r="B57" s="41">
        <v>3449</v>
      </c>
      <c r="C57" s="74" t="s">
        <v>5416</v>
      </c>
      <c r="D57" s="72"/>
      <c r="E57" s="99"/>
      <c r="F57" s="709"/>
      <c r="G57" s="718"/>
      <c r="H57" s="72"/>
      <c r="I57" s="57"/>
      <c r="J57" s="752" t="s">
        <v>400</v>
      </c>
      <c r="K57" s="49" t="s">
        <v>398</v>
      </c>
      <c r="L57" s="50">
        <v>0.7</v>
      </c>
      <c r="M57" s="44"/>
      <c r="N57" s="45"/>
      <c r="O57" s="46"/>
      <c r="P57" s="35"/>
      <c r="R57" s="57"/>
      <c r="S57" s="35"/>
      <c r="U57" s="57"/>
      <c r="V57" s="35"/>
      <c r="X57" s="47">
        <f>ROUND((_11_A通院１１．０*_11・基礎１),0)+ROUND((ROUND((_11_B通院１１．０＿１．０*_11・基礎１),0)*(1+_11・B夜間)),0)</f>
        <v>512</v>
      </c>
      <c r="Y57" s="48"/>
    </row>
    <row r="58" spans="1:25" ht="16.5" customHeight="1" x14ac:dyDescent="0.15">
      <c r="A58" s="41">
        <v>11</v>
      </c>
      <c r="B58" s="41">
        <v>3450</v>
      </c>
      <c r="C58" s="74" t="s">
        <v>5417</v>
      </c>
      <c r="D58" s="72"/>
      <c r="E58" s="99"/>
      <c r="F58" s="100">
        <f>_11_B通院１１．０＿１．０</f>
        <v>264</v>
      </c>
      <c r="G58" s="12" t="s">
        <v>392</v>
      </c>
      <c r="H58" s="72"/>
      <c r="I58" s="57"/>
      <c r="J58" s="711"/>
      <c r="K58" s="37"/>
      <c r="L58" s="38"/>
      <c r="M58" s="44" t="s">
        <v>397</v>
      </c>
      <c r="N58" s="45" t="s">
        <v>398</v>
      </c>
      <c r="O58" s="46">
        <v>1</v>
      </c>
      <c r="P58" s="35"/>
      <c r="R58" s="57"/>
      <c r="S58" s="35"/>
      <c r="U58" s="57"/>
      <c r="V58" s="43"/>
      <c r="W58" s="37"/>
      <c r="X58" s="47">
        <f>ROUND((ROUND((_11_A通院１１．０*_11・基礎１),0)*_11・２人),0)+ROUND((ROUND((ROUND((_11_B通院１１．０＿１．０*_11・基礎１),0)*_11・２人),0)*(1+_11・B夜間)),0)</f>
        <v>512</v>
      </c>
      <c r="Y58" s="48"/>
    </row>
    <row r="59" spans="1:25" ht="16.5" customHeight="1" x14ac:dyDescent="0.15">
      <c r="A59" s="41">
        <v>11</v>
      </c>
      <c r="B59" s="41" t="s">
        <v>5418</v>
      </c>
      <c r="C59" s="74" t="s">
        <v>5419</v>
      </c>
      <c r="D59" s="72"/>
      <c r="E59" s="99"/>
      <c r="F59" s="121"/>
      <c r="G59" s="99"/>
      <c r="H59" s="72"/>
      <c r="I59" s="57"/>
      <c r="J59" s="53"/>
      <c r="K59" s="49"/>
      <c r="L59" s="50"/>
      <c r="M59" s="44"/>
      <c r="N59" s="45"/>
      <c r="O59" s="46"/>
      <c r="P59" s="35"/>
      <c r="R59" s="57"/>
      <c r="S59" s="35"/>
      <c r="U59" s="57"/>
      <c r="V59" s="707" t="s">
        <v>404</v>
      </c>
      <c r="W59" s="708"/>
      <c r="X59" s="47">
        <f>ROUND((_11_A通院１１．０*_11・初任),0)+ROUND((ROUND((_11_B通院１１．０＿１．０*(1+_11・B夜間)),0)*_11・初任),0)</f>
        <v>512</v>
      </c>
      <c r="Y59" s="48"/>
    </row>
    <row r="60" spans="1:25" ht="16.5" customHeight="1" x14ac:dyDescent="0.15">
      <c r="A60" s="41">
        <v>11</v>
      </c>
      <c r="B60" s="41" t="s">
        <v>5420</v>
      </c>
      <c r="C60" s="74" t="s">
        <v>5421</v>
      </c>
      <c r="D60" s="72"/>
      <c r="E60" s="99"/>
      <c r="F60" s="121"/>
      <c r="G60" s="99"/>
      <c r="H60" s="72"/>
      <c r="I60" s="57"/>
      <c r="J60" s="43"/>
      <c r="K60" s="37"/>
      <c r="L60" s="38"/>
      <c r="M60" s="44" t="s">
        <v>397</v>
      </c>
      <c r="N60" s="45" t="s">
        <v>398</v>
      </c>
      <c r="O60" s="46">
        <v>1</v>
      </c>
      <c r="P60" s="35"/>
      <c r="R60" s="57"/>
      <c r="S60" s="35"/>
      <c r="U60" s="57"/>
      <c r="V60" s="709"/>
      <c r="W60" s="704"/>
      <c r="X60" s="47">
        <f>ROUND((ROUND((_11_A通院１１．０*_11・２人),0)*_11・初任),0)+ROUND((ROUND((ROUND((_11_B通院１１．０＿１．０*_11・２人),0)*(1+_11・B夜間)),0)*_11・初任),0)</f>
        <v>512</v>
      </c>
      <c r="Y60" s="48"/>
    </row>
    <row r="61" spans="1:25" ht="16.5" customHeight="1" x14ac:dyDescent="0.15">
      <c r="A61" s="41">
        <v>11</v>
      </c>
      <c r="B61" s="41" t="s">
        <v>5422</v>
      </c>
      <c r="C61" s="74" t="s">
        <v>5423</v>
      </c>
      <c r="D61" s="72"/>
      <c r="E61" s="99"/>
      <c r="F61" s="72"/>
      <c r="G61" s="99"/>
      <c r="H61" s="72"/>
      <c r="I61" s="57"/>
      <c r="J61" s="752" t="s">
        <v>400</v>
      </c>
      <c r="K61" s="49" t="s">
        <v>398</v>
      </c>
      <c r="L61" s="50">
        <v>0.7</v>
      </c>
      <c r="M61" s="44"/>
      <c r="N61" s="45"/>
      <c r="O61" s="46"/>
      <c r="P61" s="35"/>
      <c r="R61" s="57"/>
      <c r="S61" s="35"/>
      <c r="U61" s="57"/>
      <c r="V61" s="709"/>
      <c r="W61" s="704"/>
      <c r="X61" s="47">
        <f>ROUND((ROUND((_11_A通院１１．０*_11・基礎１),0)*_11・初任),0)+ROUND((ROUND((ROUND((_11_B通院１１．０＿１．０*_11・基礎１),0)*(1+_11・B夜間)),0)*_11・初任),0)</f>
        <v>359</v>
      </c>
      <c r="Y61" s="48"/>
    </row>
    <row r="62" spans="1:25" ht="16.5" customHeight="1" x14ac:dyDescent="0.15">
      <c r="A62" s="41">
        <v>11</v>
      </c>
      <c r="B62" s="41" t="s">
        <v>5424</v>
      </c>
      <c r="C62" s="74" t="s">
        <v>5425</v>
      </c>
      <c r="D62" s="72"/>
      <c r="E62" s="99"/>
      <c r="F62" s="72"/>
      <c r="G62" s="99"/>
      <c r="H62" s="72"/>
      <c r="I62" s="57"/>
      <c r="J62" s="711"/>
      <c r="K62" s="37"/>
      <c r="L62" s="38"/>
      <c r="M62" s="44" t="s">
        <v>397</v>
      </c>
      <c r="N62" s="45" t="s">
        <v>398</v>
      </c>
      <c r="O62" s="46">
        <v>1</v>
      </c>
      <c r="P62" s="35"/>
      <c r="R62" s="57"/>
      <c r="S62" s="35"/>
      <c r="U62" s="57"/>
      <c r="V62" s="55" t="s">
        <v>398</v>
      </c>
      <c r="W62" s="38">
        <f>_11・初任</f>
        <v>0.7</v>
      </c>
      <c r="X62" s="47">
        <f>ROUND((ROUND((ROUND((_11_A通院１１．０*_11・基礎１),0)*_11・２人),0)*_11・初任),0)+ROUND((ROUND((ROUND((ROUND((_11_B通院１１．０＿１．０*_11・基礎１),0)*_11・２人),0)*(1+_11・B夜間)),0)*_11・初任),0)</f>
        <v>359</v>
      </c>
      <c r="Y62" s="48"/>
    </row>
    <row r="63" spans="1:25" ht="16.5" customHeight="1" x14ac:dyDescent="0.15">
      <c r="A63" s="41">
        <v>11</v>
      </c>
      <c r="B63" s="41">
        <v>3451</v>
      </c>
      <c r="C63" s="74" t="s">
        <v>5426</v>
      </c>
      <c r="D63" s="72"/>
      <c r="E63" s="99"/>
      <c r="F63" s="707" t="s">
        <v>3725</v>
      </c>
      <c r="G63" s="717"/>
      <c r="H63" s="72"/>
      <c r="I63" s="57"/>
      <c r="J63" s="53"/>
      <c r="K63" s="49"/>
      <c r="L63" s="50"/>
      <c r="M63" s="44"/>
      <c r="N63" s="45"/>
      <c r="O63" s="46"/>
      <c r="P63" s="35"/>
      <c r="R63" s="57"/>
      <c r="S63" s="35"/>
      <c r="U63" s="57"/>
      <c r="V63" s="53"/>
      <c r="W63" s="49"/>
      <c r="X63" s="47">
        <f>_11_A通院１１．０+ROUND((_11_B通院１１．０＿１．５*(1+_11・B夜間)),0)</f>
        <v>837</v>
      </c>
      <c r="Y63" s="48"/>
    </row>
    <row r="64" spans="1:25" ht="16.5" customHeight="1" x14ac:dyDescent="0.15">
      <c r="A64" s="41">
        <v>11</v>
      </c>
      <c r="B64" s="41">
        <v>3452</v>
      </c>
      <c r="C64" s="74" t="s">
        <v>5427</v>
      </c>
      <c r="D64" s="72"/>
      <c r="E64" s="99"/>
      <c r="F64" s="709"/>
      <c r="G64" s="718"/>
      <c r="H64" s="72"/>
      <c r="I64" s="57"/>
      <c r="J64" s="43"/>
      <c r="K64" s="37"/>
      <c r="L64" s="38"/>
      <c r="M64" s="44" t="s">
        <v>397</v>
      </c>
      <c r="N64" s="45" t="s">
        <v>398</v>
      </c>
      <c r="O64" s="46">
        <v>1</v>
      </c>
      <c r="P64" s="35"/>
      <c r="R64" s="57"/>
      <c r="S64" s="35"/>
      <c r="U64" s="57"/>
      <c r="V64" s="35"/>
      <c r="X64" s="47">
        <f>ROUND((_11_A通院１１．０*_11・２人),0)+ROUND((ROUND((_11_B通院１１．０＿１．５*_11・２人),0)*(1+_11・B夜間)),0)</f>
        <v>837</v>
      </c>
      <c r="Y64" s="48"/>
    </row>
    <row r="65" spans="1:25" ht="16.5" customHeight="1" x14ac:dyDescent="0.15">
      <c r="A65" s="41">
        <v>11</v>
      </c>
      <c r="B65" s="41">
        <v>3453</v>
      </c>
      <c r="C65" s="74" t="s">
        <v>5428</v>
      </c>
      <c r="D65" s="72"/>
      <c r="E65" s="99"/>
      <c r="F65" s="709"/>
      <c r="G65" s="718"/>
      <c r="H65" s="72"/>
      <c r="I65" s="57"/>
      <c r="J65" s="752" t="s">
        <v>400</v>
      </c>
      <c r="K65" s="49" t="s">
        <v>398</v>
      </c>
      <c r="L65" s="50">
        <v>0.7</v>
      </c>
      <c r="M65" s="44"/>
      <c r="N65" s="45"/>
      <c r="O65" s="46"/>
      <c r="P65" s="35"/>
      <c r="R65" s="57"/>
      <c r="S65" s="35"/>
      <c r="U65" s="57"/>
      <c r="V65" s="35"/>
      <c r="X65" s="47">
        <f>ROUND((_11_A通院１１．０*_11・基礎１),0)+ROUND((ROUND((_11_B通院１１．０＿１．５*_11・基礎１),0)*(1+_11・B夜間)),0)</f>
        <v>586</v>
      </c>
      <c r="Y65" s="48"/>
    </row>
    <row r="66" spans="1:25" ht="16.5" customHeight="1" x14ac:dyDescent="0.15">
      <c r="A66" s="41">
        <v>11</v>
      </c>
      <c r="B66" s="41">
        <v>3454</v>
      </c>
      <c r="C66" s="74" t="s">
        <v>5429</v>
      </c>
      <c r="D66" s="72"/>
      <c r="E66" s="99"/>
      <c r="F66" s="100">
        <f>_11_B通院１１．０＿１．５</f>
        <v>348</v>
      </c>
      <c r="G66" s="12" t="s">
        <v>392</v>
      </c>
      <c r="H66" s="72"/>
      <c r="I66" s="57"/>
      <c r="J66" s="711"/>
      <c r="K66" s="37"/>
      <c r="L66" s="38"/>
      <c r="M66" s="44" t="s">
        <v>397</v>
      </c>
      <c r="N66" s="45" t="s">
        <v>398</v>
      </c>
      <c r="O66" s="46">
        <v>1</v>
      </c>
      <c r="P66" s="35"/>
      <c r="R66" s="57"/>
      <c r="S66" s="35"/>
      <c r="U66" s="57"/>
      <c r="V66" s="43"/>
      <c r="W66" s="37"/>
      <c r="X66" s="47">
        <f>ROUND((ROUND((_11_A通院１１．０*_11・基礎１),0)*_11・２人),0)+ROUND((ROUND((ROUND((_11_B通院１１．０＿１．５*_11・基礎１),0)*_11・２人),0)*(1+_11・B夜間)),0)</f>
        <v>586</v>
      </c>
      <c r="Y66" s="48"/>
    </row>
    <row r="67" spans="1:25" ht="16.5" customHeight="1" x14ac:dyDescent="0.15">
      <c r="A67" s="41">
        <v>11</v>
      </c>
      <c r="B67" s="41" t="s">
        <v>5430</v>
      </c>
      <c r="C67" s="74" t="s">
        <v>5431</v>
      </c>
      <c r="D67" s="72"/>
      <c r="E67" s="99"/>
      <c r="F67" s="121"/>
      <c r="G67" s="99"/>
      <c r="H67" s="72"/>
      <c r="I67" s="57"/>
      <c r="J67" s="53"/>
      <c r="K67" s="49"/>
      <c r="L67" s="50"/>
      <c r="M67" s="44"/>
      <c r="N67" s="45"/>
      <c r="O67" s="46"/>
      <c r="P67" s="35"/>
      <c r="R67" s="57"/>
      <c r="S67" s="35"/>
      <c r="U67" s="57"/>
      <c r="V67" s="707" t="s">
        <v>404</v>
      </c>
      <c r="W67" s="708"/>
      <c r="X67" s="47">
        <f>ROUND((_11_A通院１１．０*_11・初任),0)+ROUND((ROUND((_11_B通院１１．０＿１．５*(1+_11・B夜間)),0)*_11・初任),0)</f>
        <v>586</v>
      </c>
      <c r="Y67" s="48"/>
    </row>
    <row r="68" spans="1:25" ht="16.5" customHeight="1" x14ac:dyDescent="0.15">
      <c r="A68" s="41">
        <v>11</v>
      </c>
      <c r="B68" s="41" t="s">
        <v>5432</v>
      </c>
      <c r="C68" s="74" t="s">
        <v>5433</v>
      </c>
      <c r="D68" s="72"/>
      <c r="E68" s="99"/>
      <c r="F68" s="121"/>
      <c r="G68" s="99"/>
      <c r="H68" s="72"/>
      <c r="I68" s="57"/>
      <c r="J68" s="43"/>
      <c r="K68" s="37"/>
      <c r="L68" s="38"/>
      <c r="M68" s="44" t="s">
        <v>397</v>
      </c>
      <c r="N68" s="45" t="s">
        <v>398</v>
      </c>
      <c r="O68" s="46">
        <v>1</v>
      </c>
      <c r="P68" s="35"/>
      <c r="R68" s="57"/>
      <c r="S68" s="35"/>
      <c r="U68" s="57"/>
      <c r="V68" s="709"/>
      <c r="W68" s="704"/>
      <c r="X68" s="47">
        <f>ROUND((ROUND((_11_A通院１１．０*_11・２人),0)*_11・初任),0)+ROUND((ROUND((ROUND((_11_B通院１１．０＿１．５*_11・２人),0)*(1+_11・B夜間)),0)*_11・初任),0)</f>
        <v>586</v>
      </c>
      <c r="Y68" s="48"/>
    </row>
    <row r="69" spans="1:25" ht="16.5" customHeight="1" x14ac:dyDescent="0.15">
      <c r="A69" s="41">
        <v>11</v>
      </c>
      <c r="B69" s="41" t="s">
        <v>5434</v>
      </c>
      <c r="C69" s="74" t="s">
        <v>5435</v>
      </c>
      <c r="D69" s="72"/>
      <c r="E69" s="99"/>
      <c r="F69" s="72"/>
      <c r="G69" s="99"/>
      <c r="H69" s="72"/>
      <c r="I69" s="57"/>
      <c r="J69" s="752" t="s">
        <v>400</v>
      </c>
      <c r="K69" s="49" t="s">
        <v>398</v>
      </c>
      <c r="L69" s="50">
        <v>0.7</v>
      </c>
      <c r="M69" s="44"/>
      <c r="N69" s="45"/>
      <c r="O69" s="46"/>
      <c r="P69" s="35"/>
      <c r="R69" s="57"/>
      <c r="S69" s="35"/>
      <c r="U69" s="57"/>
      <c r="V69" s="709"/>
      <c r="W69" s="704"/>
      <c r="X69" s="47">
        <f>ROUND((ROUND((_11_A通院１１．０*_11・基礎１),0)*_11・初任),0)+ROUND((ROUND((ROUND((_11_B通院１１．０＿１．５*_11・基礎１),0)*(1+_11・B夜間)),0)*_11・初任),0)</f>
        <v>411</v>
      </c>
      <c r="Y69" s="48"/>
    </row>
    <row r="70" spans="1:25" ht="16.5" customHeight="1" x14ac:dyDescent="0.15">
      <c r="A70" s="41">
        <v>11</v>
      </c>
      <c r="B70" s="41" t="s">
        <v>5436</v>
      </c>
      <c r="C70" s="74" t="s">
        <v>5437</v>
      </c>
      <c r="D70" s="72"/>
      <c r="E70" s="99"/>
      <c r="F70" s="72"/>
      <c r="G70" s="99"/>
      <c r="H70" s="72"/>
      <c r="I70" s="57"/>
      <c r="J70" s="711"/>
      <c r="K70" s="37"/>
      <c r="L70" s="38"/>
      <c r="M70" s="44" t="s">
        <v>397</v>
      </c>
      <c r="N70" s="45" t="s">
        <v>398</v>
      </c>
      <c r="O70" s="46">
        <v>1</v>
      </c>
      <c r="P70" s="35"/>
      <c r="R70" s="57"/>
      <c r="S70" s="35"/>
      <c r="U70" s="57"/>
      <c r="V70" s="55" t="s">
        <v>398</v>
      </c>
      <c r="W70" s="38">
        <f>_11・初任</f>
        <v>0.7</v>
      </c>
      <c r="X70" s="47">
        <f>ROUND((ROUND((ROUND((_11_A通院１１．０*_11・基礎１),0)*_11・２人),0)*_11・初任),0)+ROUND((ROUND((ROUND((ROUND((_11_B通院１１．０＿１．５*_11・基礎１),0)*_11・２人),0)*(1+_11・B夜間)),0)*_11・初任),0)</f>
        <v>411</v>
      </c>
      <c r="Y70" s="48"/>
    </row>
    <row r="71" spans="1:25" ht="16.5" customHeight="1" x14ac:dyDescent="0.15">
      <c r="A71" s="41">
        <v>11</v>
      </c>
      <c r="B71" s="41">
        <v>3455</v>
      </c>
      <c r="C71" s="74" t="s">
        <v>5438</v>
      </c>
      <c r="D71" s="132"/>
      <c r="E71" s="106"/>
      <c r="F71" s="707" t="s">
        <v>3732</v>
      </c>
      <c r="G71" s="717"/>
      <c r="H71" s="72"/>
      <c r="I71" s="57"/>
      <c r="J71" s="53"/>
      <c r="K71" s="49"/>
      <c r="L71" s="50"/>
      <c r="M71" s="44"/>
      <c r="N71" s="45"/>
      <c r="O71" s="46"/>
      <c r="P71" s="35"/>
      <c r="R71" s="57"/>
      <c r="S71" s="35"/>
      <c r="U71" s="57"/>
      <c r="V71" s="53"/>
      <c r="W71" s="49"/>
      <c r="X71" s="47">
        <f>_11_A通院１１．０+ROUND((_11_B通院１１．０＿２．０*(1+_11・B夜間)),0)</f>
        <v>941</v>
      </c>
      <c r="Y71" s="48"/>
    </row>
    <row r="72" spans="1:25" ht="16.5" customHeight="1" x14ac:dyDescent="0.15">
      <c r="A72" s="41">
        <v>11</v>
      </c>
      <c r="B72" s="41">
        <v>3456</v>
      </c>
      <c r="C72" s="74" t="s">
        <v>5439</v>
      </c>
      <c r="D72" s="132"/>
      <c r="E72" s="106"/>
      <c r="F72" s="709"/>
      <c r="G72" s="718"/>
      <c r="H72" s="72"/>
      <c r="I72" s="57"/>
      <c r="J72" s="43"/>
      <c r="K72" s="37"/>
      <c r="L72" s="38"/>
      <c r="M72" s="44" t="s">
        <v>397</v>
      </c>
      <c r="N72" s="45" t="s">
        <v>398</v>
      </c>
      <c r="O72" s="46">
        <v>1</v>
      </c>
      <c r="P72" s="35"/>
      <c r="R72" s="57"/>
      <c r="S72" s="35"/>
      <c r="U72" s="57"/>
      <c r="V72" s="35"/>
      <c r="X72" s="47">
        <f>ROUND((_11_A通院１１．０*_11・２人),0)+ROUND((ROUND((_11_B通院１１．０＿２．０*_11・２人),0)*(1+_11・B夜間)),0)</f>
        <v>941</v>
      </c>
      <c r="Y72" s="48"/>
    </row>
    <row r="73" spans="1:25" ht="16.5" customHeight="1" x14ac:dyDescent="0.15">
      <c r="A73" s="41">
        <v>11</v>
      </c>
      <c r="B73" s="41">
        <v>3457</v>
      </c>
      <c r="C73" s="74" t="s">
        <v>5440</v>
      </c>
      <c r="D73" s="132"/>
      <c r="E73" s="106"/>
      <c r="F73" s="709"/>
      <c r="G73" s="718"/>
      <c r="H73" s="72"/>
      <c r="I73" s="57"/>
      <c r="J73" s="752" t="s">
        <v>400</v>
      </c>
      <c r="K73" s="49" t="s">
        <v>398</v>
      </c>
      <c r="L73" s="50">
        <v>0.7</v>
      </c>
      <c r="M73" s="44"/>
      <c r="N73" s="45"/>
      <c r="O73" s="46"/>
      <c r="P73" s="35"/>
      <c r="R73" s="57"/>
      <c r="S73" s="35"/>
      <c r="U73" s="57"/>
      <c r="V73" s="35"/>
      <c r="X73" s="47">
        <f>ROUND((_11_A通院１１．０*_11・基礎１),0)+ROUND((ROUND((_11_B通院１１．０＿２．０*_11・基礎１),0)*(1+_11・B夜間)),0)</f>
        <v>659</v>
      </c>
      <c r="Y73" s="48"/>
    </row>
    <row r="74" spans="1:25" ht="16.5" customHeight="1" x14ac:dyDescent="0.15">
      <c r="A74" s="41">
        <v>11</v>
      </c>
      <c r="B74" s="41">
        <v>3458</v>
      </c>
      <c r="C74" s="74" t="s">
        <v>5441</v>
      </c>
      <c r="D74" s="141"/>
      <c r="E74" s="57"/>
      <c r="F74" s="100">
        <f>_11_B通院１１．０＿２．０</f>
        <v>431</v>
      </c>
      <c r="G74" s="12" t="s">
        <v>392</v>
      </c>
      <c r="H74" s="72"/>
      <c r="I74" s="57"/>
      <c r="J74" s="711"/>
      <c r="K74" s="37"/>
      <c r="L74" s="38"/>
      <c r="M74" s="44" t="s">
        <v>397</v>
      </c>
      <c r="N74" s="45" t="s">
        <v>398</v>
      </c>
      <c r="O74" s="46">
        <v>1</v>
      </c>
      <c r="P74" s="35"/>
      <c r="R74" s="57"/>
      <c r="S74" s="35"/>
      <c r="U74" s="57"/>
      <c r="V74" s="43"/>
      <c r="W74" s="37"/>
      <c r="X74" s="47">
        <f>ROUND((ROUND((_11_A通院１１．０*_11・基礎１),0)*_11・２人),0)+ROUND((ROUND((ROUND((_11_B通院１１．０＿２．０*_11・基礎１),0)*_11・２人),0)*(1+_11・B夜間)),0)</f>
        <v>659</v>
      </c>
      <c r="Y74" s="48"/>
    </row>
    <row r="75" spans="1:25" ht="16.5" customHeight="1" x14ac:dyDescent="0.15">
      <c r="A75" s="41">
        <v>11</v>
      </c>
      <c r="B75" s="41" t="s">
        <v>5442</v>
      </c>
      <c r="C75" s="74" t="s">
        <v>5443</v>
      </c>
      <c r="D75" s="72"/>
      <c r="E75" s="99"/>
      <c r="F75" s="121"/>
      <c r="G75" s="99"/>
      <c r="H75" s="72"/>
      <c r="I75" s="57"/>
      <c r="J75" s="53"/>
      <c r="K75" s="49"/>
      <c r="L75" s="50"/>
      <c r="M75" s="44"/>
      <c r="N75" s="45"/>
      <c r="O75" s="46"/>
      <c r="P75" s="35"/>
      <c r="R75" s="57"/>
      <c r="S75" s="35"/>
      <c r="U75" s="57"/>
      <c r="V75" s="707" t="s">
        <v>404</v>
      </c>
      <c r="W75" s="708"/>
      <c r="X75" s="47">
        <f>ROUND((_11_A通院１１．０*_11・初任),0)+ROUND((ROUND((_11_B通院１１．０＿２．０*(1+_11・B夜間)),0)*_11・初任),0)</f>
        <v>658</v>
      </c>
      <c r="Y75" s="48"/>
    </row>
    <row r="76" spans="1:25" ht="16.5" customHeight="1" x14ac:dyDescent="0.15">
      <c r="A76" s="41">
        <v>11</v>
      </c>
      <c r="B76" s="41" t="s">
        <v>5444</v>
      </c>
      <c r="C76" s="74" t="s">
        <v>5445</v>
      </c>
      <c r="D76" s="72"/>
      <c r="E76" s="99"/>
      <c r="F76" s="121"/>
      <c r="G76" s="99"/>
      <c r="H76" s="72"/>
      <c r="I76" s="57"/>
      <c r="J76" s="43"/>
      <c r="K76" s="37"/>
      <c r="L76" s="38"/>
      <c r="M76" s="44" t="s">
        <v>397</v>
      </c>
      <c r="N76" s="45" t="s">
        <v>398</v>
      </c>
      <c r="O76" s="46">
        <v>1</v>
      </c>
      <c r="P76" s="35"/>
      <c r="R76" s="57"/>
      <c r="S76" s="35"/>
      <c r="U76" s="57"/>
      <c r="V76" s="709"/>
      <c r="W76" s="704"/>
      <c r="X76" s="47">
        <f>ROUND((ROUND((_11_A通院１１．０*_11・２人),0)*_11・初任),0)+ROUND((ROUND((ROUND((_11_B通院１１．０＿２．０*_11・２人),0)*(1+_11・B夜間)),0)*_11・初任),0)</f>
        <v>658</v>
      </c>
      <c r="Y76" s="48"/>
    </row>
    <row r="77" spans="1:25" ht="16.5" customHeight="1" x14ac:dyDescent="0.15">
      <c r="A77" s="41">
        <v>11</v>
      </c>
      <c r="B77" s="41" t="s">
        <v>5446</v>
      </c>
      <c r="C77" s="74" t="s">
        <v>5447</v>
      </c>
      <c r="D77" s="72"/>
      <c r="E77" s="99"/>
      <c r="F77" s="72"/>
      <c r="G77" s="99"/>
      <c r="H77" s="72"/>
      <c r="I77" s="57"/>
      <c r="J77" s="752" t="s">
        <v>400</v>
      </c>
      <c r="K77" s="49" t="s">
        <v>398</v>
      </c>
      <c r="L77" s="50">
        <v>0.7</v>
      </c>
      <c r="M77" s="44"/>
      <c r="N77" s="45"/>
      <c r="O77" s="46"/>
      <c r="P77" s="35"/>
      <c r="R77" s="57"/>
      <c r="S77" s="35"/>
      <c r="U77" s="57"/>
      <c r="V77" s="709"/>
      <c r="W77" s="704"/>
      <c r="X77" s="47">
        <f>ROUND((ROUND((_11_A通院１１．０*_11・基礎１),0)*_11・初任),0)+ROUND((ROUND((ROUND((_11_B通院１１．０＿２．０*_11・基礎１),0)*(1+_11・B夜間)),0)*_11・初任),0)</f>
        <v>462</v>
      </c>
      <c r="Y77" s="48"/>
    </row>
    <row r="78" spans="1:25" ht="16.5" customHeight="1" x14ac:dyDescent="0.15">
      <c r="A78" s="41">
        <v>11</v>
      </c>
      <c r="B78" s="41" t="s">
        <v>5448</v>
      </c>
      <c r="C78" s="74" t="s">
        <v>5449</v>
      </c>
      <c r="D78" s="72"/>
      <c r="E78" s="99"/>
      <c r="F78" s="72"/>
      <c r="G78" s="99"/>
      <c r="H78" s="72"/>
      <c r="I78" s="57"/>
      <c r="J78" s="711"/>
      <c r="K78" s="37"/>
      <c r="L78" s="38"/>
      <c r="M78" s="44" t="s">
        <v>397</v>
      </c>
      <c r="N78" s="45" t="s">
        <v>398</v>
      </c>
      <c r="O78" s="46">
        <v>1</v>
      </c>
      <c r="P78" s="35"/>
      <c r="R78" s="57"/>
      <c r="S78" s="35"/>
      <c r="U78" s="57"/>
      <c r="V78" s="55" t="s">
        <v>398</v>
      </c>
      <c r="W78" s="38">
        <f>_11・初任</f>
        <v>0.7</v>
      </c>
      <c r="X78" s="47">
        <f>ROUND((ROUND((ROUND((_11_A通院１１．０*_11・基礎１),0)*_11・２人),0)*_11・初任),0)+ROUND((ROUND((ROUND((ROUND((_11_B通院１１．０＿２．０*_11・基礎１),0)*_11・２人),0)*(1+_11・B夜間)),0)*_11・初任),0)</f>
        <v>462</v>
      </c>
      <c r="Y78" s="48"/>
    </row>
    <row r="79" spans="1:25" ht="16.5" customHeight="1" x14ac:dyDescent="0.15">
      <c r="A79" s="41">
        <v>11</v>
      </c>
      <c r="B79" s="41">
        <v>3459</v>
      </c>
      <c r="C79" s="74" t="s">
        <v>5450</v>
      </c>
      <c r="D79" s="707" t="s">
        <v>5451</v>
      </c>
      <c r="E79" s="717"/>
      <c r="F79" s="707" t="s">
        <v>3711</v>
      </c>
      <c r="G79" s="717"/>
      <c r="H79" s="72"/>
      <c r="I79" s="57"/>
      <c r="J79" s="53"/>
      <c r="K79" s="49"/>
      <c r="L79" s="50"/>
      <c r="M79" s="44"/>
      <c r="N79" s="45"/>
      <c r="O79" s="46"/>
      <c r="P79" s="35"/>
      <c r="R79" s="57"/>
      <c r="S79" s="35"/>
      <c r="U79" s="57"/>
      <c r="V79" s="53"/>
      <c r="W79" s="49"/>
      <c r="X79" s="47">
        <f>_11_A通院１１．５+ROUND((_11_B通院１１．５＿０．５*(1+_11・B夜間)),0)</f>
        <v>687</v>
      </c>
      <c r="Y79" s="48"/>
    </row>
    <row r="80" spans="1:25" ht="16.5" customHeight="1" x14ac:dyDescent="0.15">
      <c r="A80" s="41">
        <v>11</v>
      </c>
      <c r="B80" s="41">
        <v>3460</v>
      </c>
      <c r="C80" s="74" t="s">
        <v>5452</v>
      </c>
      <c r="D80" s="709"/>
      <c r="E80" s="718"/>
      <c r="F80" s="709"/>
      <c r="G80" s="718"/>
      <c r="H80" s="72"/>
      <c r="I80" s="57"/>
      <c r="J80" s="43"/>
      <c r="K80" s="37"/>
      <c r="L80" s="38"/>
      <c r="M80" s="44" t="s">
        <v>397</v>
      </c>
      <c r="N80" s="45" t="s">
        <v>398</v>
      </c>
      <c r="O80" s="46">
        <v>1</v>
      </c>
      <c r="P80" s="35"/>
      <c r="R80" s="57"/>
      <c r="S80" s="35"/>
      <c r="U80" s="57"/>
      <c r="V80" s="35"/>
      <c r="X80" s="47">
        <f>ROUND((_11_A通院１１．５*_11・２人),0)+ROUND((ROUND((_11_B通院１１．５＿０．５*_11・２人),0)*(1+_11・B夜間)),0)</f>
        <v>687</v>
      </c>
      <c r="Y80" s="48"/>
    </row>
    <row r="81" spans="1:25" ht="16.5" customHeight="1" x14ac:dyDescent="0.15">
      <c r="A81" s="41">
        <v>11</v>
      </c>
      <c r="B81" s="41">
        <v>3461</v>
      </c>
      <c r="C81" s="74" t="s">
        <v>5453</v>
      </c>
      <c r="D81" s="709"/>
      <c r="E81" s="718"/>
      <c r="F81" s="709"/>
      <c r="G81" s="718"/>
      <c r="H81" s="72"/>
      <c r="I81" s="57"/>
      <c r="J81" s="752" t="s">
        <v>400</v>
      </c>
      <c r="K81" s="49" t="s">
        <v>398</v>
      </c>
      <c r="L81" s="50">
        <v>0.7</v>
      </c>
      <c r="M81" s="44"/>
      <c r="N81" s="45"/>
      <c r="O81" s="46"/>
      <c r="P81" s="35"/>
      <c r="R81" s="57"/>
      <c r="S81" s="35"/>
      <c r="U81" s="57"/>
      <c r="V81" s="35"/>
      <c r="X81" s="47">
        <f>ROUND((_11_A通院１１．５*_11・基礎１),0)+ROUND((ROUND((_11_B通院１１．５＿０．５*_11・基礎１),0)*(1+_11・B夜間)),0)</f>
        <v>480</v>
      </c>
      <c r="Y81" s="48"/>
    </row>
    <row r="82" spans="1:25" ht="16.5" customHeight="1" x14ac:dyDescent="0.15">
      <c r="A82" s="41">
        <v>11</v>
      </c>
      <c r="B82" s="41">
        <v>3462</v>
      </c>
      <c r="C82" s="74" t="s">
        <v>5454</v>
      </c>
      <c r="D82" s="100">
        <f>_11_A通院１１．５</f>
        <v>584</v>
      </c>
      <c r="E82" s="12" t="s">
        <v>392</v>
      </c>
      <c r="F82" s="100">
        <f>_11_B通院１１．５＿０．５</f>
        <v>82</v>
      </c>
      <c r="G82" s="12" t="s">
        <v>392</v>
      </c>
      <c r="H82" s="72"/>
      <c r="I82" s="57"/>
      <c r="J82" s="711"/>
      <c r="K82" s="37"/>
      <c r="L82" s="38"/>
      <c r="M82" s="44" t="s">
        <v>397</v>
      </c>
      <c r="N82" s="45" t="s">
        <v>398</v>
      </c>
      <c r="O82" s="46">
        <v>1</v>
      </c>
      <c r="P82" s="35"/>
      <c r="R82" s="57"/>
      <c r="S82" s="35"/>
      <c r="U82" s="57"/>
      <c r="V82" s="43"/>
      <c r="W82" s="37"/>
      <c r="X82" s="47">
        <f>ROUND((ROUND((_11_A通院１１．５*_11・基礎１),0)*_11・２人),0)+ROUND((ROUND((ROUND((_11_B通院１１．５＿０．５*_11・基礎１),0)*_11・２人),0)*(1+_11・B夜間)),0)</f>
        <v>480</v>
      </c>
      <c r="Y82" s="48"/>
    </row>
    <row r="83" spans="1:25" ht="16.5" customHeight="1" x14ac:dyDescent="0.15">
      <c r="A83" s="41">
        <v>11</v>
      </c>
      <c r="B83" s="41" t="s">
        <v>5455</v>
      </c>
      <c r="C83" s="74" t="s">
        <v>5456</v>
      </c>
      <c r="D83" s="121"/>
      <c r="E83" s="99"/>
      <c r="F83" s="121"/>
      <c r="G83" s="99"/>
      <c r="H83" s="72"/>
      <c r="I83" s="57"/>
      <c r="J83" s="53"/>
      <c r="K83" s="49"/>
      <c r="L83" s="50"/>
      <c r="M83" s="44"/>
      <c r="N83" s="45"/>
      <c r="O83" s="46"/>
      <c r="P83" s="35"/>
      <c r="R83" s="57"/>
      <c r="S83" s="35"/>
      <c r="U83" s="57"/>
      <c r="V83" s="707" t="s">
        <v>404</v>
      </c>
      <c r="W83" s="708"/>
      <c r="X83" s="47">
        <f>ROUND((_11_A通院１１．５*_11・初任),0)+ROUND((ROUND((_11_B通院１１．５＿０．５*(1+_11・B夜間)),0)*_11・初任),0)</f>
        <v>481</v>
      </c>
      <c r="Y83" s="48"/>
    </row>
    <row r="84" spans="1:25" ht="16.5" customHeight="1" x14ac:dyDescent="0.15">
      <c r="A84" s="41">
        <v>11</v>
      </c>
      <c r="B84" s="41" t="s">
        <v>5457</v>
      </c>
      <c r="C84" s="74" t="s">
        <v>5458</v>
      </c>
      <c r="D84" s="121"/>
      <c r="E84" s="99"/>
      <c r="F84" s="121"/>
      <c r="G84" s="99"/>
      <c r="H84" s="72"/>
      <c r="I84" s="57"/>
      <c r="J84" s="43"/>
      <c r="K84" s="37"/>
      <c r="L84" s="38"/>
      <c r="M84" s="44" t="s">
        <v>397</v>
      </c>
      <c r="N84" s="45" t="s">
        <v>398</v>
      </c>
      <c r="O84" s="46">
        <v>1</v>
      </c>
      <c r="P84" s="35"/>
      <c r="R84" s="57"/>
      <c r="S84" s="35"/>
      <c r="U84" s="57"/>
      <c r="V84" s="709"/>
      <c r="W84" s="704"/>
      <c r="X84" s="47">
        <f>ROUND((ROUND((_11_A通院１１．５*_11・２人),0)*_11・初任),0)+ROUND((ROUND((ROUND((_11_B通院１１．５＿０．５*_11・２人),0)*(1+_11・B夜間)),0)*_11・初任),0)</f>
        <v>481</v>
      </c>
      <c r="Y84" s="48"/>
    </row>
    <row r="85" spans="1:25" ht="16.5" customHeight="1" x14ac:dyDescent="0.15">
      <c r="A85" s="41">
        <v>11</v>
      </c>
      <c r="B85" s="41" t="s">
        <v>5459</v>
      </c>
      <c r="C85" s="74" t="s">
        <v>5460</v>
      </c>
      <c r="D85" s="72"/>
      <c r="E85" s="99"/>
      <c r="F85" s="72"/>
      <c r="G85" s="99"/>
      <c r="H85" s="72"/>
      <c r="I85" s="57"/>
      <c r="J85" s="752" t="s">
        <v>400</v>
      </c>
      <c r="K85" s="49" t="s">
        <v>398</v>
      </c>
      <c r="L85" s="50">
        <v>0.7</v>
      </c>
      <c r="M85" s="44"/>
      <c r="N85" s="45"/>
      <c r="O85" s="46"/>
      <c r="P85" s="35"/>
      <c r="R85" s="57"/>
      <c r="S85" s="35"/>
      <c r="U85" s="57"/>
      <c r="V85" s="709"/>
      <c r="W85" s="704"/>
      <c r="X85" s="47">
        <f>ROUND((ROUND((_11_A通院１１．５*_11・基礎１),0)*_11・初任),0)+ROUND((ROUND((ROUND((_11_B通院１１．５＿０．５*_11・基礎１),0)*(1+_11・B夜間)),0)*_11・初任),0)</f>
        <v>336</v>
      </c>
      <c r="Y85" s="48"/>
    </row>
    <row r="86" spans="1:25" ht="16.5" customHeight="1" x14ac:dyDescent="0.15">
      <c r="A86" s="41">
        <v>11</v>
      </c>
      <c r="B86" s="41" t="s">
        <v>5461</v>
      </c>
      <c r="C86" s="74" t="s">
        <v>5462</v>
      </c>
      <c r="D86" s="72"/>
      <c r="E86" s="99"/>
      <c r="F86" s="72"/>
      <c r="G86" s="99"/>
      <c r="H86" s="72"/>
      <c r="I86" s="57"/>
      <c r="J86" s="711"/>
      <c r="K86" s="37"/>
      <c r="L86" s="38"/>
      <c r="M86" s="44" t="s">
        <v>397</v>
      </c>
      <c r="N86" s="45" t="s">
        <v>398</v>
      </c>
      <c r="O86" s="46">
        <v>1</v>
      </c>
      <c r="P86" s="35"/>
      <c r="R86" s="57"/>
      <c r="S86" s="35"/>
      <c r="U86" s="57"/>
      <c r="V86" s="55" t="s">
        <v>398</v>
      </c>
      <c r="W86" s="38">
        <f>_11・初任</f>
        <v>0.7</v>
      </c>
      <c r="X86" s="47">
        <f>ROUND((ROUND((ROUND((_11_A通院１１．５*_11・基礎１),0)*_11・２人),0)*_11・初任),0)+ROUND((ROUND((ROUND((ROUND((_11_B通院１１．５＿０．５*_11・基礎１),0)*_11・２人),0)*(1+_11・B夜間)),0)*_11・初任),0)</f>
        <v>336</v>
      </c>
      <c r="Y86" s="48"/>
    </row>
    <row r="87" spans="1:25" ht="16.5" customHeight="1" x14ac:dyDescent="0.15">
      <c r="A87" s="41">
        <v>11</v>
      </c>
      <c r="B87" s="41">
        <v>3463</v>
      </c>
      <c r="C87" s="74" t="s">
        <v>5463</v>
      </c>
      <c r="D87" s="72"/>
      <c r="E87" s="99"/>
      <c r="F87" s="707" t="s">
        <v>3718</v>
      </c>
      <c r="G87" s="717"/>
      <c r="H87" s="72"/>
      <c r="I87" s="57"/>
      <c r="J87" s="53"/>
      <c r="K87" s="49"/>
      <c r="L87" s="50"/>
      <c r="M87" s="44"/>
      <c r="N87" s="45"/>
      <c r="O87" s="46"/>
      <c r="P87" s="35"/>
      <c r="R87" s="57"/>
      <c r="S87" s="35"/>
      <c r="U87" s="57"/>
      <c r="V87" s="53"/>
      <c r="W87" s="49"/>
      <c r="X87" s="47">
        <f>_11_A通院１１．５+ROUND((_11_B通院１１．５＿１．０*(1+_11・B夜間)),0)</f>
        <v>792</v>
      </c>
      <c r="Y87" s="48"/>
    </row>
    <row r="88" spans="1:25" ht="16.5" customHeight="1" x14ac:dyDescent="0.15">
      <c r="A88" s="41">
        <v>11</v>
      </c>
      <c r="B88" s="41">
        <v>3464</v>
      </c>
      <c r="C88" s="74" t="s">
        <v>5464</v>
      </c>
      <c r="D88" s="72"/>
      <c r="E88" s="99"/>
      <c r="F88" s="709"/>
      <c r="G88" s="718"/>
      <c r="H88" s="72"/>
      <c r="I88" s="57"/>
      <c r="J88" s="43"/>
      <c r="K88" s="37"/>
      <c r="L88" s="38"/>
      <c r="M88" s="44" t="s">
        <v>397</v>
      </c>
      <c r="N88" s="45" t="s">
        <v>398</v>
      </c>
      <c r="O88" s="46">
        <v>1</v>
      </c>
      <c r="P88" s="35"/>
      <c r="R88" s="57"/>
      <c r="S88" s="35"/>
      <c r="U88" s="57"/>
      <c r="V88" s="35"/>
      <c r="X88" s="47">
        <f>ROUND((_11_A通院１１．５*_11・２人),0)+ROUND((ROUND((_11_B通院１１．５＿１．０*_11・２人),0)*(1+_11・B夜間)),0)</f>
        <v>792</v>
      </c>
      <c r="Y88" s="48"/>
    </row>
    <row r="89" spans="1:25" ht="16.5" customHeight="1" x14ac:dyDescent="0.15">
      <c r="A89" s="41">
        <v>11</v>
      </c>
      <c r="B89" s="41">
        <v>3465</v>
      </c>
      <c r="C89" s="74" t="s">
        <v>5465</v>
      </c>
      <c r="D89" s="72"/>
      <c r="E89" s="99"/>
      <c r="F89" s="709"/>
      <c r="G89" s="718"/>
      <c r="H89" s="72"/>
      <c r="I89" s="57"/>
      <c r="J89" s="752" t="s">
        <v>400</v>
      </c>
      <c r="K89" s="49" t="s">
        <v>398</v>
      </c>
      <c r="L89" s="50">
        <v>0.7</v>
      </c>
      <c r="M89" s="44"/>
      <c r="N89" s="45"/>
      <c r="O89" s="46"/>
      <c r="P89" s="35"/>
      <c r="R89" s="57"/>
      <c r="S89" s="35"/>
      <c r="U89" s="57"/>
      <c r="V89" s="35"/>
      <c r="X89" s="47">
        <f>ROUND((_11_A通院１１．５*_11・基礎１),0)+ROUND((ROUND((_11_B通院１１．５＿１．０*_11・基礎１),0)*(1+_11・B夜間)),0)</f>
        <v>554</v>
      </c>
      <c r="Y89" s="48"/>
    </row>
    <row r="90" spans="1:25" ht="16.5" customHeight="1" x14ac:dyDescent="0.15">
      <c r="A90" s="41">
        <v>11</v>
      </c>
      <c r="B90" s="41">
        <v>3466</v>
      </c>
      <c r="C90" s="74" t="s">
        <v>5466</v>
      </c>
      <c r="D90" s="72"/>
      <c r="E90" s="99"/>
      <c r="F90" s="100">
        <f>_11_B通院１１．５＿１．０</f>
        <v>166</v>
      </c>
      <c r="G90" s="12" t="s">
        <v>392</v>
      </c>
      <c r="H90" s="72"/>
      <c r="I90" s="57"/>
      <c r="J90" s="711"/>
      <c r="K90" s="37"/>
      <c r="L90" s="38"/>
      <c r="M90" s="44" t="s">
        <v>397</v>
      </c>
      <c r="N90" s="45" t="s">
        <v>398</v>
      </c>
      <c r="O90" s="46">
        <v>1</v>
      </c>
      <c r="P90" s="35"/>
      <c r="R90" s="57"/>
      <c r="S90" s="35"/>
      <c r="U90" s="57"/>
      <c r="V90" s="43"/>
      <c r="W90" s="37"/>
      <c r="X90" s="47">
        <f>ROUND((ROUND((_11_A通院１１．５*_11・基礎１),0)*_11・２人),0)+ROUND((ROUND((ROUND((_11_B通院１１．５＿１．０*_11・基礎１),0)*_11・２人),0)*(1+_11・B夜間)),0)</f>
        <v>554</v>
      </c>
      <c r="Y90" s="48"/>
    </row>
    <row r="91" spans="1:25" ht="16.5" customHeight="1" x14ac:dyDescent="0.15">
      <c r="A91" s="41">
        <v>11</v>
      </c>
      <c r="B91" s="41" t="s">
        <v>5467</v>
      </c>
      <c r="C91" s="74" t="s">
        <v>5468</v>
      </c>
      <c r="D91" s="72"/>
      <c r="E91" s="99"/>
      <c r="F91" s="121"/>
      <c r="G91" s="99"/>
      <c r="H91" s="72"/>
      <c r="I91" s="57"/>
      <c r="J91" s="53"/>
      <c r="K91" s="49"/>
      <c r="L91" s="50"/>
      <c r="M91" s="44"/>
      <c r="N91" s="45"/>
      <c r="O91" s="46"/>
      <c r="P91" s="35"/>
      <c r="R91" s="57"/>
      <c r="S91" s="35"/>
      <c r="U91" s="57"/>
      <c r="V91" s="707" t="s">
        <v>404</v>
      </c>
      <c r="W91" s="708"/>
      <c r="X91" s="47">
        <f>ROUND((_11_A通院１１．５*_11・初任),0)+ROUND((ROUND((_11_B通院１１．５＿１．０*(1+_11・B夜間)),0)*_11・初任),0)</f>
        <v>555</v>
      </c>
      <c r="Y91" s="48"/>
    </row>
    <row r="92" spans="1:25" ht="16.5" customHeight="1" x14ac:dyDescent="0.15">
      <c r="A92" s="41">
        <v>11</v>
      </c>
      <c r="B92" s="41" t="s">
        <v>5469</v>
      </c>
      <c r="C92" s="74" t="s">
        <v>5470</v>
      </c>
      <c r="D92" s="72"/>
      <c r="E92" s="99"/>
      <c r="F92" s="121"/>
      <c r="G92" s="99"/>
      <c r="H92" s="72"/>
      <c r="I92" s="57"/>
      <c r="J92" s="43"/>
      <c r="K92" s="37"/>
      <c r="L92" s="38"/>
      <c r="M92" s="44" t="s">
        <v>397</v>
      </c>
      <c r="N92" s="45" t="s">
        <v>398</v>
      </c>
      <c r="O92" s="46">
        <v>1</v>
      </c>
      <c r="P92" s="35"/>
      <c r="R92" s="57"/>
      <c r="S92" s="35"/>
      <c r="U92" s="57"/>
      <c r="V92" s="709"/>
      <c r="W92" s="704"/>
      <c r="X92" s="47">
        <f>ROUND((ROUND((_11_A通院１１．５*_11・２人),0)*_11・初任),0)+ROUND((ROUND((ROUND((_11_B通院１１．５＿１．０*_11・２人),0)*(1+_11・B夜間)),0)*_11・初任),0)</f>
        <v>555</v>
      </c>
      <c r="Y92" s="48"/>
    </row>
    <row r="93" spans="1:25" ht="16.5" customHeight="1" x14ac:dyDescent="0.15">
      <c r="A93" s="41">
        <v>11</v>
      </c>
      <c r="B93" s="41" t="s">
        <v>5471</v>
      </c>
      <c r="C93" s="74" t="s">
        <v>5472</v>
      </c>
      <c r="D93" s="72"/>
      <c r="E93" s="99"/>
      <c r="F93" s="72"/>
      <c r="G93" s="99"/>
      <c r="H93" s="72"/>
      <c r="I93" s="57"/>
      <c r="J93" s="752" t="s">
        <v>400</v>
      </c>
      <c r="K93" s="49" t="s">
        <v>398</v>
      </c>
      <c r="L93" s="50">
        <v>0.7</v>
      </c>
      <c r="M93" s="44"/>
      <c r="N93" s="45"/>
      <c r="O93" s="46"/>
      <c r="P93" s="35"/>
      <c r="R93" s="57"/>
      <c r="S93" s="35"/>
      <c r="U93" s="57"/>
      <c r="V93" s="709"/>
      <c r="W93" s="704"/>
      <c r="X93" s="47">
        <f>ROUND((ROUND((_11_A通院１１．５*_11・基礎１),0)*_11・初任),0)+ROUND((ROUND((ROUND((_11_B通院１１．５＿１．０*_11・基礎１),0)*(1+_11・B夜間)),0)*_11・初任),0)</f>
        <v>388</v>
      </c>
      <c r="Y93" s="48"/>
    </row>
    <row r="94" spans="1:25" ht="16.5" customHeight="1" x14ac:dyDescent="0.15">
      <c r="A94" s="41">
        <v>11</v>
      </c>
      <c r="B94" s="41" t="s">
        <v>5473</v>
      </c>
      <c r="C94" s="74" t="s">
        <v>5474</v>
      </c>
      <c r="D94" s="72"/>
      <c r="E94" s="99"/>
      <c r="F94" s="72"/>
      <c r="G94" s="99"/>
      <c r="H94" s="72"/>
      <c r="I94" s="57"/>
      <c r="J94" s="711"/>
      <c r="K94" s="37"/>
      <c r="L94" s="38"/>
      <c r="M94" s="44" t="s">
        <v>397</v>
      </c>
      <c r="N94" s="45" t="s">
        <v>398</v>
      </c>
      <c r="O94" s="46">
        <v>1</v>
      </c>
      <c r="P94" s="35"/>
      <c r="R94" s="57"/>
      <c r="S94" s="35"/>
      <c r="U94" s="57"/>
      <c r="V94" s="55" t="s">
        <v>398</v>
      </c>
      <c r="W94" s="38">
        <f>_11・初任</f>
        <v>0.7</v>
      </c>
      <c r="X94" s="47">
        <f>ROUND((ROUND((ROUND((_11_A通院１１．５*_11・基礎１),0)*_11・２人),0)*_11・初任),0)+ROUND((ROUND((ROUND((ROUND((_11_B通院１１．５＿１．０*_11・基礎１),0)*_11・２人),0)*(1+_11・B夜間)),0)*_11・初任),0)</f>
        <v>388</v>
      </c>
      <c r="Y94" s="48"/>
    </row>
    <row r="95" spans="1:25" ht="16.5" customHeight="1" x14ac:dyDescent="0.15">
      <c r="A95" s="41">
        <v>11</v>
      </c>
      <c r="B95" s="41">
        <v>3467</v>
      </c>
      <c r="C95" s="74" t="s">
        <v>5475</v>
      </c>
      <c r="D95" s="72"/>
      <c r="E95" s="99"/>
      <c r="F95" s="707" t="s">
        <v>3725</v>
      </c>
      <c r="G95" s="717"/>
      <c r="H95" s="72"/>
      <c r="I95" s="57"/>
      <c r="J95" s="53"/>
      <c r="K95" s="49"/>
      <c r="L95" s="50"/>
      <c r="M95" s="44"/>
      <c r="N95" s="45"/>
      <c r="O95" s="46"/>
      <c r="P95" s="35"/>
      <c r="R95" s="57"/>
      <c r="S95" s="35"/>
      <c r="U95" s="57"/>
      <c r="V95" s="53"/>
      <c r="W95" s="49"/>
      <c r="X95" s="47">
        <f>_11_A通院１１．５+ROUND((_11_B通院１１．５＿１．５*(1+_11・B夜間)),0)</f>
        <v>895</v>
      </c>
      <c r="Y95" s="48"/>
    </row>
    <row r="96" spans="1:25" ht="16.5" customHeight="1" x14ac:dyDescent="0.15">
      <c r="A96" s="41">
        <v>11</v>
      </c>
      <c r="B96" s="41">
        <v>3468</v>
      </c>
      <c r="C96" s="74" t="s">
        <v>5476</v>
      </c>
      <c r="D96" s="72"/>
      <c r="E96" s="99"/>
      <c r="F96" s="709"/>
      <c r="G96" s="718"/>
      <c r="H96" s="72"/>
      <c r="I96" s="57"/>
      <c r="J96" s="43"/>
      <c r="K96" s="37"/>
      <c r="L96" s="38"/>
      <c r="M96" s="44" t="s">
        <v>397</v>
      </c>
      <c r="N96" s="45" t="s">
        <v>398</v>
      </c>
      <c r="O96" s="46">
        <v>1</v>
      </c>
      <c r="P96" s="35"/>
      <c r="R96" s="57"/>
      <c r="S96" s="35"/>
      <c r="U96" s="57"/>
      <c r="V96" s="35"/>
      <c r="X96" s="47">
        <f>ROUND((_11_A通院１１．５*_11・２人),0)+ROUND((ROUND((_11_B通院１１．５＿１．５*_11・２人),0)*(1+_11・B夜間)),0)</f>
        <v>895</v>
      </c>
      <c r="Y96" s="48"/>
    </row>
    <row r="97" spans="1:25" ht="16.5" customHeight="1" x14ac:dyDescent="0.15">
      <c r="A97" s="41">
        <v>11</v>
      </c>
      <c r="B97" s="41">
        <v>3469</v>
      </c>
      <c r="C97" s="74" t="s">
        <v>5477</v>
      </c>
      <c r="D97" s="72"/>
      <c r="E97" s="99"/>
      <c r="F97" s="709"/>
      <c r="G97" s="718"/>
      <c r="H97" s="72"/>
      <c r="I97" s="57"/>
      <c r="J97" s="752" t="s">
        <v>400</v>
      </c>
      <c r="K97" s="49" t="s">
        <v>398</v>
      </c>
      <c r="L97" s="50">
        <v>0.7</v>
      </c>
      <c r="M97" s="44"/>
      <c r="N97" s="45"/>
      <c r="O97" s="46"/>
      <c r="P97" s="35"/>
      <c r="R97" s="57"/>
      <c r="S97" s="35"/>
      <c r="U97" s="57"/>
      <c r="V97" s="35"/>
      <c r="X97" s="47">
        <f>ROUND((_11_A通院１１．５*_11・基礎１),0)+ROUND((ROUND((_11_B通院１１．５＿１．５*_11・基礎１),0)*(1+_11・B夜間)),0)</f>
        <v>627</v>
      </c>
      <c r="Y97" s="48"/>
    </row>
    <row r="98" spans="1:25" ht="16.5" customHeight="1" x14ac:dyDescent="0.15">
      <c r="A98" s="41">
        <v>11</v>
      </c>
      <c r="B98" s="41">
        <v>3470</v>
      </c>
      <c r="C98" s="74" t="s">
        <v>5478</v>
      </c>
      <c r="D98" s="72"/>
      <c r="E98" s="99"/>
      <c r="F98" s="100">
        <f>_11_B通院１１．５＿１．５</f>
        <v>249</v>
      </c>
      <c r="G98" s="12" t="s">
        <v>392</v>
      </c>
      <c r="H98" s="72"/>
      <c r="I98" s="57"/>
      <c r="J98" s="711"/>
      <c r="K98" s="37"/>
      <c r="L98" s="38"/>
      <c r="M98" s="44" t="s">
        <v>397</v>
      </c>
      <c r="N98" s="45" t="s">
        <v>398</v>
      </c>
      <c r="O98" s="46">
        <v>1</v>
      </c>
      <c r="P98" s="35"/>
      <c r="R98" s="57"/>
      <c r="S98" s="35"/>
      <c r="U98" s="57"/>
      <c r="V98" s="43"/>
      <c r="W98" s="37"/>
      <c r="X98" s="47">
        <f>ROUND((ROUND((_11_A通院１１．５*_11・基礎１),0)*_11・２人),0)+ROUND((ROUND((ROUND((_11_B通院１１．５＿１．５*_11・基礎１),0)*_11・２人),0)*(1+_11・B夜間)),0)</f>
        <v>627</v>
      </c>
      <c r="Y98" s="48"/>
    </row>
    <row r="99" spans="1:25" ht="16.5" customHeight="1" x14ac:dyDescent="0.15">
      <c r="A99" s="41">
        <v>11</v>
      </c>
      <c r="B99" s="41" t="s">
        <v>5479</v>
      </c>
      <c r="C99" s="74" t="s">
        <v>5480</v>
      </c>
      <c r="D99" s="72"/>
      <c r="E99" s="99"/>
      <c r="F99" s="121"/>
      <c r="G99" s="99"/>
      <c r="H99" s="72"/>
      <c r="I99" s="57"/>
      <c r="J99" s="53"/>
      <c r="K99" s="49"/>
      <c r="L99" s="50"/>
      <c r="M99" s="44"/>
      <c r="N99" s="45"/>
      <c r="O99" s="46"/>
      <c r="P99" s="35"/>
      <c r="R99" s="57"/>
      <c r="S99" s="35"/>
      <c r="U99" s="57"/>
      <c r="V99" s="707" t="s">
        <v>404</v>
      </c>
      <c r="W99" s="708"/>
      <c r="X99" s="47">
        <f>ROUND((_11_A通院１１．５*_11・初任),0)+ROUND((ROUND((_11_B通院１１．５＿１．５*(1+_11・B夜間)),0)*_11・初任),0)</f>
        <v>627</v>
      </c>
      <c r="Y99" s="48"/>
    </row>
    <row r="100" spans="1:25" ht="16.5" customHeight="1" x14ac:dyDescent="0.15">
      <c r="A100" s="41">
        <v>11</v>
      </c>
      <c r="B100" s="41" t="s">
        <v>5481</v>
      </c>
      <c r="C100" s="74" t="s">
        <v>5482</v>
      </c>
      <c r="D100" s="72"/>
      <c r="E100" s="99"/>
      <c r="F100" s="121"/>
      <c r="G100" s="99"/>
      <c r="H100" s="72"/>
      <c r="I100" s="57"/>
      <c r="J100" s="43"/>
      <c r="K100" s="37"/>
      <c r="L100" s="38"/>
      <c r="M100" s="44" t="s">
        <v>397</v>
      </c>
      <c r="N100" s="45" t="s">
        <v>398</v>
      </c>
      <c r="O100" s="46">
        <v>1</v>
      </c>
      <c r="P100" s="35"/>
      <c r="R100" s="57"/>
      <c r="S100" s="35"/>
      <c r="U100" s="57"/>
      <c r="V100" s="709"/>
      <c r="W100" s="704"/>
      <c r="X100" s="47">
        <f>ROUND((ROUND((_11_A通院１１．５*_11・２人),0)*_11・初任),0)+ROUND((ROUND((ROUND((_11_B通院１１．５＿１．５*_11・２人),0)*(1+_11・B夜間)),0)*_11・初任),0)</f>
        <v>627</v>
      </c>
      <c r="Y100" s="48"/>
    </row>
    <row r="101" spans="1:25" ht="16.5" customHeight="1" x14ac:dyDescent="0.15">
      <c r="A101" s="41">
        <v>11</v>
      </c>
      <c r="B101" s="41" t="s">
        <v>5483</v>
      </c>
      <c r="C101" s="74" t="s">
        <v>5484</v>
      </c>
      <c r="D101" s="72"/>
      <c r="E101" s="99"/>
      <c r="F101" s="72"/>
      <c r="G101" s="99"/>
      <c r="H101" s="72"/>
      <c r="I101" s="57"/>
      <c r="J101" s="752" t="s">
        <v>400</v>
      </c>
      <c r="K101" s="49" t="s">
        <v>398</v>
      </c>
      <c r="L101" s="50">
        <v>0.7</v>
      </c>
      <c r="M101" s="44"/>
      <c r="N101" s="45"/>
      <c r="O101" s="46"/>
      <c r="P101" s="35"/>
      <c r="R101" s="57"/>
      <c r="S101" s="35"/>
      <c r="U101" s="57"/>
      <c r="V101" s="709"/>
      <c r="W101" s="704"/>
      <c r="X101" s="47">
        <f>ROUND((ROUND((_11_A通院１１．５*_11・基礎１),0)*_11・初任),0)+ROUND((ROUND((ROUND((_11_B通院１１．５＿１．５*_11・基礎１),0)*(1+_11・B夜間)),0)*_11・初任),0)</f>
        <v>439</v>
      </c>
      <c r="Y101" s="48"/>
    </row>
    <row r="102" spans="1:25" ht="16.5" customHeight="1" x14ac:dyDescent="0.15">
      <c r="A102" s="41">
        <v>11</v>
      </c>
      <c r="B102" s="41" t="s">
        <v>5485</v>
      </c>
      <c r="C102" s="74" t="s">
        <v>5486</v>
      </c>
      <c r="D102" s="122"/>
      <c r="E102" s="111"/>
      <c r="F102" s="122"/>
      <c r="G102" s="111"/>
      <c r="H102" s="122"/>
      <c r="I102" s="79"/>
      <c r="J102" s="711"/>
      <c r="K102" s="37"/>
      <c r="L102" s="38"/>
      <c r="M102" s="44" t="s">
        <v>397</v>
      </c>
      <c r="N102" s="45" t="s">
        <v>398</v>
      </c>
      <c r="O102" s="46">
        <v>1</v>
      </c>
      <c r="P102" s="43"/>
      <c r="Q102" s="38"/>
      <c r="R102" s="79"/>
      <c r="S102" s="43"/>
      <c r="T102" s="38"/>
      <c r="U102" s="79"/>
      <c r="V102" s="55" t="s">
        <v>398</v>
      </c>
      <c r="W102" s="38">
        <f>_11・初任</f>
        <v>0.7</v>
      </c>
      <c r="X102" s="47">
        <f>ROUND((ROUND((ROUND((_11_A通院１１．５*_11・基礎１),0)*_11・２人),0)*_11・初任),0)+ROUND((ROUND((ROUND((ROUND((_11_B通院１１．５＿１．５*_11・基礎１),0)*_11・２人),0)*(1+_11・B夜間)),0)*_11・初任),0)</f>
        <v>439</v>
      </c>
      <c r="Y102" s="63"/>
    </row>
    <row r="103" spans="1:25" ht="16.5" customHeight="1" x14ac:dyDescent="0.15">
      <c r="A103" s="33">
        <v>11</v>
      </c>
      <c r="B103" s="33">
        <v>3471</v>
      </c>
      <c r="C103" s="34" t="s">
        <v>5487</v>
      </c>
      <c r="D103" s="709" t="s">
        <v>5488</v>
      </c>
      <c r="E103" s="718"/>
      <c r="F103" s="709" t="s">
        <v>3711</v>
      </c>
      <c r="G103" s="718"/>
      <c r="H103" s="72"/>
      <c r="I103" s="57"/>
      <c r="J103" s="35"/>
      <c r="M103" s="36"/>
      <c r="N103" s="37"/>
      <c r="O103" s="38"/>
      <c r="P103" s="35"/>
      <c r="R103" s="57"/>
      <c r="S103" s="72" t="s">
        <v>1416</v>
      </c>
      <c r="U103" s="57"/>
      <c r="V103" s="35"/>
      <c r="X103" s="39">
        <f>_11_A通院１２．０+ROUND((_11_B通院１２．０＿０．５*(1+_11・B夜間)),0)</f>
        <v>771</v>
      </c>
      <c r="Y103" s="48"/>
    </row>
    <row r="104" spans="1:25" ht="16.5" customHeight="1" x14ac:dyDescent="0.15">
      <c r="A104" s="41">
        <v>11</v>
      </c>
      <c r="B104" s="41">
        <v>3472</v>
      </c>
      <c r="C104" s="74" t="s">
        <v>5489</v>
      </c>
      <c r="D104" s="709"/>
      <c r="E104" s="718"/>
      <c r="F104" s="709"/>
      <c r="G104" s="718"/>
      <c r="H104" s="72"/>
      <c r="I104" s="57"/>
      <c r="J104" s="43"/>
      <c r="K104" s="37"/>
      <c r="L104" s="38"/>
      <c r="M104" s="44" t="s">
        <v>397</v>
      </c>
      <c r="N104" s="45" t="s">
        <v>398</v>
      </c>
      <c r="O104" s="46">
        <v>1</v>
      </c>
      <c r="P104" s="35"/>
      <c r="R104" s="57"/>
      <c r="S104" s="35" t="s">
        <v>398</v>
      </c>
      <c r="T104" s="13">
        <v>0.25</v>
      </c>
      <c r="U104" s="728" t="s">
        <v>676</v>
      </c>
      <c r="V104" s="35"/>
      <c r="X104" s="47">
        <f>ROUND((_11_A通院１２．０*_11・２人),0)+ROUND((ROUND((_11_B通院１２．０＿０．５*_11・２人),0)*(1+_11・B夜間)),0)</f>
        <v>771</v>
      </c>
      <c r="Y104" s="48"/>
    </row>
    <row r="105" spans="1:25" ht="16.5" customHeight="1" x14ac:dyDescent="0.15">
      <c r="A105" s="41">
        <v>11</v>
      </c>
      <c r="B105" s="41">
        <v>3473</v>
      </c>
      <c r="C105" s="74" t="s">
        <v>5490</v>
      </c>
      <c r="D105" s="709"/>
      <c r="E105" s="718"/>
      <c r="F105" s="709"/>
      <c r="G105" s="718"/>
      <c r="H105" s="72"/>
      <c r="I105" s="57"/>
      <c r="J105" s="752" t="s">
        <v>400</v>
      </c>
      <c r="K105" s="49" t="s">
        <v>398</v>
      </c>
      <c r="L105" s="50">
        <v>0.7</v>
      </c>
      <c r="M105" s="44"/>
      <c r="N105" s="45"/>
      <c r="O105" s="46"/>
      <c r="P105" s="35"/>
      <c r="R105" s="57"/>
      <c r="S105" s="35"/>
      <c r="U105" s="728"/>
      <c r="V105" s="35"/>
      <c r="X105" s="47">
        <f>ROUND((_11_A通院１２．０*_11・基礎１),0)+ROUND((ROUND((_11_B通院１２．０＿０．５*_11・基礎１),0)*(1+_11・B夜間)),0)</f>
        <v>540</v>
      </c>
      <c r="Y105" s="48"/>
    </row>
    <row r="106" spans="1:25" ht="16.5" customHeight="1" x14ac:dyDescent="0.15">
      <c r="A106" s="41">
        <v>11</v>
      </c>
      <c r="B106" s="41">
        <v>3474</v>
      </c>
      <c r="C106" s="74" t="s">
        <v>5491</v>
      </c>
      <c r="D106" s="100">
        <f>_11_A通院１２．０</f>
        <v>666</v>
      </c>
      <c r="E106" s="12" t="s">
        <v>392</v>
      </c>
      <c r="F106" s="100">
        <f>_11_B通院１２．０＿０．５</f>
        <v>84</v>
      </c>
      <c r="G106" s="12" t="s">
        <v>392</v>
      </c>
      <c r="H106" s="72"/>
      <c r="I106" s="57"/>
      <c r="J106" s="711"/>
      <c r="K106" s="37"/>
      <c r="L106" s="38"/>
      <c r="M106" s="44" t="s">
        <v>397</v>
      </c>
      <c r="N106" s="45" t="s">
        <v>398</v>
      </c>
      <c r="O106" s="46">
        <v>1</v>
      </c>
      <c r="P106" s="35"/>
      <c r="R106" s="57"/>
      <c r="S106" s="35"/>
      <c r="U106" s="57"/>
      <c r="V106" s="43"/>
      <c r="W106" s="37"/>
      <c r="X106" s="47">
        <f>ROUND((ROUND((_11_A通院１２．０*_11・基礎１),0)*_11・２人),0)+ROUND((ROUND((ROUND((_11_B通院１２．０＿０．５*_11・基礎１),0)*_11・２人),0)*(1+_11・B夜間)),0)</f>
        <v>540</v>
      </c>
      <c r="Y106" s="48"/>
    </row>
    <row r="107" spans="1:25" ht="16.5" customHeight="1" x14ac:dyDescent="0.15">
      <c r="A107" s="41">
        <v>11</v>
      </c>
      <c r="B107" s="41" t="s">
        <v>5492</v>
      </c>
      <c r="C107" s="74" t="s">
        <v>5493</v>
      </c>
      <c r="D107" s="121"/>
      <c r="E107" s="99"/>
      <c r="F107" s="121"/>
      <c r="G107" s="99"/>
      <c r="H107" s="72"/>
      <c r="I107" s="57"/>
      <c r="J107" s="53"/>
      <c r="K107" s="49"/>
      <c r="L107" s="50"/>
      <c r="M107" s="44"/>
      <c r="N107" s="45"/>
      <c r="O107" s="46"/>
      <c r="P107" s="35"/>
      <c r="R107" s="57"/>
      <c r="S107" s="35"/>
      <c r="U107" s="57"/>
      <c r="V107" s="707" t="s">
        <v>404</v>
      </c>
      <c r="W107" s="708"/>
      <c r="X107" s="47">
        <f>ROUND((_11_A通院１２．０*_11・初任),0)+ROUND((ROUND((_11_B通院１２．０＿０．５*(1+_11・B夜間)),0)*_11・初任),0)</f>
        <v>540</v>
      </c>
      <c r="Y107" s="48"/>
    </row>
    <row r="108" spans="1:25" ht="16.5" customHeight="1" x14ac:dyDescent="0.15">
      <c r="A108" s="41">
        <v>11</v>
      </c>
      <c r="B108" s="41" t="s">
        <v>5494</v>
      </c>
      <c r="C108" s="74" t="s">
        <v>5495</v>
      </c>
      <c r="D108" s="121"/>
      <c r="E108" s="99"/>
      <c r="F108" s="121"/>
      <c r="G108" s="99"/>
      <c r="H108" s="72"/>
      <c r="I108" s="57"/>
      <c r="J108" s="43"/>
      <c r="K108" s="37"/>
      <c r="L108" s="38"/>
      <c r="M108" s="44" t="s">
        <v>397</v>
      </c>
      <c r="N108" s="45" t="s">
        <v>398</v>
      </c>
      <c r="O108" s="46">
        <v>1</v>
      </c>
      <c r="P108" s="35"/>
      <c r="R108" s="57"/>
      <c r="S108" s="35"/>
      <c r="U108" s="57"/>
      <c r="V108" s="709"/>
      <c r="W108" s="704"/>
      <c r="X108" s="47">
        <f>ROUND((ROUND((_11_A通院１２．０*_11・２人),0)*_11・初任),0)+ROUND((ROUND((ROUND((_11_B通院１２．０＿０．５*_11・２人),0)*(1+_11・B夜間)),0)*_11・初任),0)</f>
        <v>540</v>
      </c>
      <c r="Y108" s="48"/>
    </row>
    <row r="109" spans="1:25" ht="16.5" customHeight="1" x14ac:dyDescent="0.15">
      <c r="A109" s="41">
        <v>11</v>
      </c>
      <c r="B109" s="41" t="s">
        <v>5496</v>
      </c>
      <c r="C109" s="74" t="s">
        <v>5497</v>
      </c>
      <c r="D109" s="72"/>
      <c r="E109" s="99"/>
      <c r="F109" s="72"/>
      <c r="G109" s="99"/>
      <c r="H109" s="72"/>
      <c r="I109" s="57"/>
      <c r="J109" s="752" t="s">
        <v>400</v>
      </c>
      <c r="K109" s="49" t="s">
        <v>398</v>
      </c>
      <c r="L109" s="50">
        <v>0.7</v>
      </c>
      <c r="M109" s="44"/>
      <c r="N109" s="45"/>
      <c r="O109" s="46"/>
      <c r="P109" s="35"/>
      <c r="R109" s="57"/>
      <c r="S109" s="35"/>
      <c r="U109" s="57"/>
      <c r="V109" s="709"/>
      <c r="W109" s="704"/>
      <c r="X109" s="47">
        <f>ROUND((ROUND((_11_A通院１２．０*_11・基礎１),0)*_11・初任),0)+ROUND((ROUND((ROUND((_11_B通院１２．０＿０．５*_11・基礎１),0)*(1+_11・B夜間)),0)*_11・初任),0)</f>
        <v>378</v>
      </c>
      <c r="Y109" s="48"/>
    </row>
    <row r="110" spans="1:25" ht="16.5" customHeight="1" x14ac:dyDescent="0.15">
      <c r="A110" s="41">
        <v>11</v>
      </c>
      <c r="B110" s="41" t="s">
        <v>5498</v>
      </c>
      <c r="C110" s="74" t="s">
        <v>5499</v>
      </c>
      <c r="D110" s="72"/>
      <c r="E110" s="99"/>
      <c r="F110" s="72"/>
      <c r="G110" s="99"/>
      <c r="H110" s="72"/>
      <c r="I110" s="57"/>
      <c r="J110" s="711"/>
      <c r="K110" s="37"/>
      <c r="L110" s="38"/>
      <c r="M110" s="44" t="s">
        <v>397</v>
      </c>
      <c r="N110" s="45" t="s">
        <v>398</v>
      </c>
      <c r="O110" s="46">
        <v>1</v>
      </c>
      <c r="P110" s="35"/>
      <c r="R110" s="57"/>
      <c r="S110" s="35"/>
      <c r="U110" s="57"/>
      <c r="V110" s="55" t="s">
        <v>398</v>
      </c>
      <c r="W110" s="38">
        <f>_11・初任</f>
        <v>0.7</v>
      </c>
      <c r="X110" s="47">
        <f>ROUND((ROUND((ROUND((_11_A通院１２．０*_11・基礎１),0)*_11・２人),0)*_11・初任),0)+ROUND((ROUND((ROUND((ROUND((_11_B通院１２．０＿０．５*_11・基礎１),0)*_11・２人),0)*(1+_11・B夜間)),0)*_11・初任),0)</f>
        <v>378</v>
      </c>
      <c r="Y110" s="48"/>
    </row>
    <row r="111" spans="1:25" ht="16.5" customHeight="1" x14ac:dyDescent="0.15">
      <c r="A111" s="41">
        <v>11</v>
      </c>
      <c r="B111" s="41">
        <v>3475</v>
      </c>
      <c r="C111" s="74" t="s">
        <v>5500</v>
      </c>
      <c r="D111" s="72"/>
      <c r="E111" s="99"/>
      <c r="F111" s="707" t="s">
        <v>3718</v>
      </c>
      <c r="G111" s="717"/>
      <c r="H111" s="72"/>
      <c r="I111" s="57"/>
      <c r="J111" s="53"/>
      <c r="K111" s="49"/>
      <c r="L111" s="50"/>
      <c r="M111" s="44"/>
      <c r="N111" s="45"/>
      <c r="O111" s="46"/>
      <c r="P111" s="35"/>
      <c r="R111" s="57"/>
      <c r="S111" s="35"/>
      <c r="U111" s="57"/>
      <c r="V111" s="53"/>
      <c r="W111" s="49"/>
      <c r="X111" s="47">
        <f>_11_A通院１２．０+ROUND((_11_B通院１２．０＿１．０*(1+_11・B夜間)),0)</f>
        <v>875</v>
      </c>
      <c r="Y111" s="48"/>
    </row>
    <row r="112" spans="1:25" ht="16.5" customHeight="1" x14ac:dyDescent="0.15">
      <c r="A112" s="41">
        <v>11</v>
      </c>
      <c r="B112" s="41">
        <v>3476</v>
      </c>
      <c r="C112" s="74" t="s">
        <v>5501</v>
      </c>
      <c r="D112" s="72"/>
      <c r="E112" s="99"/>
      <c r="F112" s="709"/>
      <c r="G112" s="718"/>
      <c r="H112" s="72"/>
      <c r="I112" s="57"/>
      <c r="J112" s="43"/>
      <c r="K112" s="37"/>
      <c r="L112" s="38"/>
      <c r="M112" s="44" t="s">
        <v>397</v>
      </c>
      <c r="N112" s="45" t="s">
        <v>398</v>
      </c>
      <c r="O112" s="46">
        <v>1</v>
      </c>
      <c r="P112" s="35"/>
      <c r="R112" s="57"/>
      <c r="S112" s="35"/>
      <c r="U112" s="57"/>
      <c r="V112" s="35"/>
      <c r="X112" s="47">
        <f>ROUND((_11_A通院１２．０*_11・２人),0)+ROUND((ROUND((_11_B通院１２．０＿１．０*_11・２人),0)*(1+_11・B夜間)),0)</f>
        <v>875</v>
      </c>
      <c r="Y112" s="48"/>
    </row>
    <row r="113" spans="1:25" ht="16.5" customHeight="1" x14ac:dyDescent="0.15">
      <c r="A113" s="41">
        <v>11</v>
      </c>
      <c r="B113" s="41">
        <v>3477</v>
      </c>
      <c r="C113" s="74" t="s">
        <v>5502</v>
      </c>
      <c r="D113" s="72"/>
      <c r="E113" s="99"/>
      <c r="F113" s="709"/>
      <c r="G113" s="718"/>
      <c r="H113" s="72"/>
      <c r="I113" s="57"/>
      <c r="J113" s="752" t="s">
        <v>400</v>
      </c>
      <c r="K113" s="49" t="s">
        <v>398</v>
      </c>
      <c r="L113" s="50">
        <v>0.7</v>
      </c>
      <c r="M113" s="44"/>
      <c r="N113" s="45"/>
      <c r="O113" s="46"/>
      <c r="P113" s="35"/>
      <c r="R113" s="57"/>
      <c r="S113" s="35"/>
      <c r="U113" s="57"/>
      <c r="V113" s="35"/>
      <c r="X113" s="47">
        <f>ROUND((_11_A通院１２．０*_11・基礎１),0)+ROUND((ROUND((_11_B通院１２．０＿１．０*_11・基礎１),0)*(1+_11・B夜間)),0)</f>
        <v>612</v>
      </c>
      <c r="Y113" s="48"/>
    </row>
    <row r="114" spans="1:25" ht="16.5" customHeight="1" x14ac:dyDescent="0.15">
      <c r="A114" s="41">
        <v>11</v>
      </c>
      <c r="B114" s="41">
        <v>3478</v>
      </c>
      <c r="C114" s="74" t="s">
        <v>5503</v>
      </c>
      <c r="D114" s="72"/>
      <c r="E114" s="99"/>
      <c r="F114" s="100">
        <f>_11_B通院１２．０＿１．０</f>
        <v>167</v>
      </c>
      <c r="G114" s="12" t="s">
        <v>392</v>
      </c>
      <c r="H114" s="72"/>
      <c r="I114" s="57"/>
      <c r="J114" s="711"/>
      <c r="K114" s="37"/>
      <c r="L114" s="38"/>
      <c r="M114" s="44" t="s">
        <v>397</v>
      </c>
      <c r="N114" s="45" t="s">
        <v>398</v>
      </c>
      <c r="O114" s="46">
        <v>1</v>
      </c>
      <c r="P114" s="35"/>
      <c r="R114" s="57"/>
      <c r="S114" s="35"/>
      <c r="U114" s="57"/>
      <c r="V114" s="43"/>
      <c r="W114" s="37"/>
      <c r="X114" s="47">
        <f>ROUND((ROUND((_11_A通院１２．０*_11・基礎１),0)*_11・２人),0)+ROUND((ROUND((ROUND((_11_B通院１２．０＿１．０*_11・基礎１),0)*_11・２人),0)*(1+_11・B夜間)),0)</f>
        <v>612</v>
      </c>
      <c r="Y114" s="48"/>
    </row>
    <row r="115" spans="1:25" ht="16.5" customHeight="1" x14ac:dyDescent="0.15">
      <c r="A115" s="41">
        <v>11</v>
      </c>
      <c r="B115" s="41" t="s">
        <v>5504</v>
      </c>
      <c r="C115" s="74" t="s">
        <v>5505</v>
      </c>
      <c r="D115" s="72"/>
      <c r="E115" s="99"/>
      <c r="F115" s="121"/>
      <c r="G115" s="99"/>
      <c r="H115" s="72"/>
      <c r="I115" s="57"/>
      <c r="J115" s="53"/>
      <c r="K115" s="49"/>
      <c r="L115" s="50"/>
      <c r="M115" s="44"/>
      <c r="N115" s="45"/>
      <c r="O115" s="46"/>
      <c r="P115" s="35"/>
      <c r="R115" s="57"/>
      <c r="S115" s="35"/>
      <c r="U115" s="57"/>
      <c r="V115" s="707" t="s">
        <v>404</v>
      </c>
      <c r="W115" s="708"/>
      <c r="X115" s="47">
        <f>ROUND((_11_A通院１２．０*_11・初任),0)+ROUND((ROUND((_11_B通院１２．０＿１．０*(1+_11・B夜間)),0)*_11・初任),0)</f>
        <v>612</v>
      </c>
      <c r="Y115" s="48"/>
    </row>
    <row r="116" spans="1:25" ht="16.5" customHeight="1" x14ac:dyDescent="0.15">
      <c r="A116" s="41">
        <v>11</v>
      </c>
      <c r="B116" s="41" t="s">
        <v>5506</v>
      </c>
      <c r="C116" s="74" t="s">
        <v>5507</v>
      </c>
      <c r="D116" s="72"/>
      <c r="E116" s="99"/>
      <c r="F116" s="121"/>
      <c r="G116" s="99"/>
      <c r="H116" s="72"/>
      <c r="I116" s="57"/>
      <c r="J116" s="43"/>
      <c r="K116" s="37"/>
      <c r="L116" s="38"/>
      <c r="M116" s="44" t="s">
        <v>397</v>
      </c>
      <c r="N116" s="45" t="s">
        <v>398</v>
      </c>
      <c r="O116" s="46">
        <v>1</v>
      </c>
      <c r="P116" s="35"/>
      <c r="R116" s="57"/>
      <c r="S116" s="35"/>
      <c r="U116" s="57"/>
      <c r="V116" s="709"/>
      <c r="W116" s="704"/>
      <c r="X116" s="47">
        <f>ROUND((ROUND((_11_A通院１２．０*_11・２人),0)*_11・初任),0)+ROUND((ROUND((ROUND((_11_B通院１２．０＿１．０*_11・２人),0)*(1+_11・B夜間)),0)*_11・初任),0)</f>
        <v>612</v>
      </c>
      <c r="Y116" s="48"/>
    </row>
    <row r="117" spans="1:25" ht="16.5" customHeight="1" x14ac:dyDescent="0.15">
      <c r="A117" s="41">
        <v>11</v>
      </c>
      <c r="B117" s="41" t="s">
        <v>5508</v>
      </c>
      <c r="C117" s="74" t="s">
        <v>5509</v>
      </c>
      <c r="D117" s="72"/>
      <c r="E117" s="99"/>
      <c r="F117" s="72"/>
      <c r="G117" s="99"/>
      <c r="H117" s="72"/>
      <c r="I117" s="57"/>
      <c r="J117" s="752" t="s">
        <v>400</v>
      </c>
      <c r="K117" s="49" t="s">
        <v>398</v>
      </c>
      <c r="L117" s="50">
        <v>0.7</v>
      </c>
      <c r="M117" s="44"/>
      <c r="N117" s="45"/>
      <c r="O117" s="46"/>
      <c r="P117" s="35"/>
      <c r="R117" s="57"/>
      <c r="S117" s="35"/>
      <c r="U117" s="57"/>
      <c r="V117" s="709"/>
      <c r="W117" s="704"/>
      <c r="X117" s="47">
        <f>ROUND((ROUND((_11_A通院１２．０*_11・基礎１),0)*_11・初任),0)+ROUND((ROUND((ROUND((_11_B通院１２．０＿１．０*_11・基礎１),0)*(1+_11・B夜間)),0)*_11・初任),0)</f>
        <v>428</v>
      </c>
      <c r="Y117" s="48"/>
    </row>
    <row r="118" spans="1:25" ht="16.5" customHeight="1" x14ac:dyDescent="0.15">
      <c r="A118" s="41">
        <v>11</v>
      </c>
      <c r="B118" s="41" t="s">
        <v>5510</v>
      </c>
      <c r="C118" s="74" t="s">
        <v>5511</v>
      </c>
      <c r="D118" s="72"/>
      <c r="E118" s="99"/>
      <c r="F118" s="72"/>
      <c r="G118" s="99"/>
      <c r="H118" s="72"/>
      <c r="I118" s="57"/>
      <c r="J118" s="711"/>
      <c r="K118" s="37"/>
      <c r="L118" s="38"/>
      <c r="M118" s="44" t="s">
        <v>397</v>
      </c>
      <c r="N118" s="45" t="s">
        <v>398</v>
      </c>
      <c r="O118" s="46">
        <v>1</v>
      </c>
      <c r="P118" s="35"/>
      <c r="R118" s="57"/>
      <c r="S118" s="35"/>
      <c r="U118" s="57"/>
      <c r="V118" s="55" t="s">
        <v>398</v>
      </c>
      <c r="W118" s="38">
        <f>_11・初任</f>
        <v>0.7</v>
      </c>
      <c r="X118" s="47">
        <f>ROUND((ROUND((ROUND((_11_A通院１２．０*_11・基礎１),0)*_11・２人),0)*_11・初任),0)+ROUND((ROUND((ROUND((ROUND((_11_B通院１２．０＿１．０*_11・基礎１),0)*_11・２人),0)*(1+_11・B夜間)),0)*_11・初任),0)</f>
        <v>428</v>
      </c>
      <c r="Y118" s="48"/>
    </row>
    <row r="119" spans="1:25" ht="16.5" customHeight="1" x14ac:dyDescent="0.15">
      <c r="A119" s="41">
        <v>11</v>
      </c>
      <c r="B119" s="41">
        <v>3479</v>
      </c>
      <c r="C119" s="74" t="s">
        <v>5512</v>
      </c>
      <c r="D119" s="707" t="s">
        <v>5513</v>
      </c>
      <c r="E119" s="717"/>
      <c r="F119" s="707" t="s">
        <v>3711</v>
      </c>
      <c r="G119" s="717"/>
      <c r="H119" s="72"/>
      <c r="I119" s="57"/>
      <c r="J119" s="53"/>
      <c r="K119" s="49"/>
      <c r="L119" s="50"/>
      <c r="M119" s="44"/>
      <c r="N119" s="45"/>
      <c r="O119" s="46"/>
      <c r="P119" s="35"/>
      <c r="R119" s="57"/>
      <c r="S119" s="35"/>
      <c r="U119" s="57"/>
      <c r="V119" s="53"/>
      <c r="W119" s="49"/>
      <c r="X119" s="47">
        <f>_11_A通院１２．５+ROUND((_11_B通院１２．５＿０．５*(1+_11・B夜間)),0)</f>
        <v>854</v>
      </c>
      <c r="Y119" s="48"/>
    </row>
    <row r="120" spans="1:25" ht="16.5" customHeight="1" x14ac:dyDescent="0.15">
      <c r="A120" s="41">
        <v>11</v>
      </c>
      <c r="B120" s="41">
        <v>3480</v>
      </c>
      <c r="C120" s="74" t="s">
        <v>5514</v>
      </c>
      <c r="D120" s="709"/>
      <c r="E120" s="718"/>
      <c r="F120" s="709"/>
      <c r="G120" s="718"/>
      <c r="H120" s="72"/>
      <c r="I120" s="57"/>
      <c r="J120" s="43"/>
      <c r="K120" s="37"/>
      <c r="L120" s="38"/>
      <c r="M120" s="44" t="s">
        <v>397</v>
      </c>
      <c r="N120" s="45" t="s">
        <v>398</v>
      </c>
      <c r="O120" s="46">
        <v>1</v>
      </c>
      <c r="P120" s="35"/>
      <c r="R120" s="57"/>
      <c r="S120" s="35"/>
      <c r="U120" s="57"/>
      <c r="V120" s="35"/>
      <c r="X120" s="47">
        <f>ROUND((_11_A通院１２．５*_11・２人),0)+ROUND((ROUND((_11_B通院１２．５＿０．５*_11・２人),0)*(1+_11・B夜間)),0)</f>
        <v>854</v>
      </c>
      <c r="Y120" s="48"/>
    </row>
    <row r="121" spans="1:25" ht="16.5" customHeight="1" x14ac:dyDescent="0.15">
      <c r="A121" s="41">
        <v>11</v>
      </c>
      <c r="B121" s="41">
        <v>3481</v>
      </c>
      <c r="C121" s="74" t="s">
        <v>5515</v>
      </c>
      <c r="D121" s="709"/>
      <c r="E121" s="718"/>
      <c r="F121" s="709"/>
      <c r="G121" s="718"/>
      <c r="H121" s="72"/>
      <c r="I121" s="57"/>
      <c r="J121" s="752" t="s">
        <v>400</v>
      </c>
      <c r="K121" s="49" t="s">
        <v>398</v>
      </c>
      <c r="L121" s="50">
        <v>0.7</v>
      </c>
      <c r="M121" s="44"/>
      <c r="N121" s="45"/>
      <c r="O121" s="46"/>
      <c r="P121" s="35"/>
      <c r="R121" s="57"/>
      <c r="S121" s="35"/>
      <c r="U121" s="57"/>
      <c r="V121" s="35"/>
      <c r="X121" s="47">
        <f>ROUND((_11_A通院１２．５*_11・基礎１),0)+ROUND((ROUND((_11_B通院１２．５＿０．５*_11・基礎１),0)*(1+_11・B夜間)),0)</f>
        <v>598</v>
      </c>
      <c r="Y121" s="48"/>
    </row>
    <row r="122" spans="1:25" ht="16.5" customHeight="1" x14ac:dyDescent="0.15">
      <c r="A122" s="41">
        <v>11</v>
      </c>
      <c r="B122" s="41">
        <v>3482</v>
      </c>
      <c r="C122" s="74" t="s">
        <v>5516</v>
      </c>
      <c r="D122" s="100">
        <f>_11_A通院１２．５</f>
        <v>750</v>
      </c>
      <c r="E122" s="12" t="s">
        <v>392</v>
      </c>
      <c r="F122" s="100">
        <f>_11_B通院１２．５＿０．５</f>
        <v>83</v>
      </c>
      <c r="G122" s="12" t="s">
        <v>392</v>
      </c>
      <c r="H122" s="72"/>
      <c r="I122" s="57"/>
      <c r="J122" s="711"/>
      <c r="K122" s="37"/>
      <c r="L122" s="38"/>
      <c r="M122" s="44" t="s">
        <v>397</v>
      </c>
      <c r="N122" s="45" t="s">
        <v>398</v>
      </c>
      <c r="O122" s="46">
        <v>1</v>
      </c>
      <c r="P122" s="35"/>
      <c r="R122" s="57"/>
      <c r="S122" s="35"/>
      <c r="U122" s="57"/>
      <c r="V122" s="43"/>
      <c r="W122" s="37"/>
      <c r="X122" s="47">
        <f>ROUND((ROUND((_11_A通院１２．５*_11・基礎１),0)*_11・２人),0)+ROUND((ROUND((ROUND((_11_B通院１２．５＿０．５*_11・基礎１),0)*_11・２人),0)*(1+_11・B夜間)),0)</f>
        <v>598</v>
      </c>
      <c r="Y122" s="48"/>
    </row>
    <row r="123" spans="1:25" ht="16.5" customHeight="1" x14ac:dyDescent="0.15">
      <c r="A123" s="41">
        <v>11</v>
      </c>
      <c r="B123" s="41" t="s">
        <v>5517</v>
      </c>
      <c r="C123" s="74" t="s">
        <v>5518</v>
      </c>
      <c r="D123" s="121"/>
      <c r="E123" s="99"/>
      <c r="F123" s="121"/>
      <c r="G123" s="99"/>
      <c r="H123" s="72"/>
      <c r="I123" s="57"/>
      <c r="J123" s="53"/>
      <c r="K123" s="49"/>
      <c r="L123" s="50"/>
      <c r="M123" s="44"/>
      <c r="N123" s="45"/>
      <c r="O123" s="46"/>
      <c r="P123" s="35"/>
      <c r="R123" s="57"/>
      <c r="S123" s="35"/>
      <c r="U123" s="57"/>
      <c r="V123" s="707" t="s">
        <v>404</v>
      </c>
      <c r="W123" s="708"/>
      <c r="X123" s="47">
        <f>ROUND((_11_A通院１２．５*_11・初任),0)+ROUND((ROUND((_11_B通院１２．５＿０．５*(1+_11・B夜間)),0)*_11・初任),0)</f>
        <v>598</v>
      </c>
      <c r="Y123" s="48"/>
    </row>
    <row r="124" spans="1:25" ht="16.5" customHeight="1" x14ac:dyDescent="0.15">
      <c r="A124" s="41">
        <v>11</v>
      </c>
      <c r="B124" s="41" t="s">
        <v>5519</v>
      </c>
      <c r="C124" s="74" t="s">
        <v>5520</v>
      </c>
      <c r="D124" s="121"/>
      <c r="E124" s="99"/>
      <c r="F124" s="121"/>
      <c r="G124" s="99"/>
      <c r="H124" s="72"/>
      <c r="I124" s="57"/>
      <c r="J124" s="43"/>
      <c r="K124" s="37"/>
      <c r="L124" s="38"/>
      <c r="M124" s="44" t="s">
        <v>397</v>
      </c>
      <c r="N124" s="45" t="s">
        <v>398</v>
      </c>
      <c r="O124" s="46">
        <v>1</v>
      </c>
      <c r="P124" s="35"/>
      <c r="R124" s="57"/>
      <c r="S124" s="35"/>
      <c r="U124" s="57"/>
      <c r="V124" s="709"/>
      <c r="W124" s="704"/>
      <c r="X124" s="47">
        <f>ROUND((ROUND((_11_A通院１２．５*_11・２人),0)*_11・初任),0)+ROUND((ROUND((ROUND((_11_B通院１２．５＿０．５*_11・２人),0)*(1+_11・B夜間)),0)*_11・初任),0)</f>
        <v>598</v>
      </c>
      <c r="Y124" s="48"/>
    </row>
    <row r="125" spans="1:25" ht="16.5" customHeight="1" x14ac:dyDescent="0.15">
      <c r="A125" s="41">
        <v>11</v>
      </c>
      <c r="B125" s="41" t="s">
        <v>5521</v>
      </c>
      <c r="C125" s="74" t="s">
        <v>5522</v>
      </c>
      <c r="D125" s="72"/>
      <c r="E125" s="99"/>
      <c r="F125" s="72"/>
      <c r="G125" s="99"/>
      <c r="H125" s="72"/>
      <c r="I125" s="57"/>
      <c r="J125" s="752" t="s">
        <v>400</v>
      </c>
      <c r="K125" s="49" t="s">
        <v>398</v>
      </c>
      <c r="L125" s="50">
        <v>0.7</v>
      </c>
      <c r="M125" s="44"/>
      <c r="N125" s="45"/>
      <c r="O125" s="46"/>
      <c r="P125" s="35"/>
      <c r="R125" s="57"/>
      <c r="S125" s="35"/>
      <c r="U125" s="57"/>
      <c r="V125" s="709"/>
      <c r="W125" s="704"/>
      <c r="X125" s="47">
        <f>ROUND((ROUND((_11_A通院１２．５*_11・基礎１),0)*_11・初任),0)+ROUND((ROUND((ROUND((_11_B通院１２．５＿０．５*_11・基礎１),0)*(1+_11・B夜間)),0)*_11・初任),0)</f>
        <v>419</v>
      </c>
      <c r="Y125" s="48"/>
    </row>
    <row r="126" spans="1:25" ht="16.5" customHeight="1" x14ac:dyDescent="0.15">
      <c r="A126" s="41">
        <v>11</v>
      </c>
      <c r="B126" s="41" t="s">
        <v>5523</v>
      </c>
      <c r="C126" s="74" t="s">
        <v>5524</v>
      </c>
      <c r="D126" s="122"/>
      <c r="E126" s="111"/>
      <c r="F126" s="122"/>
      <c r="G126" s="111"/>
      <c r="H126" s="122"/>
      <c r="I126" s="79"/>
      <c r="J126" s="711"/>
      <c r="K126" s="37"/>
      <c r="L126" s="38"/>
      <c r="M126" s="44" t="s">
        <v>397</v>
      </c>
      <c r="N126" s="45" t="s">
        <v>398</v>
      </c>
      <c r="O126" s="46">
        <v>1</v>
      </c>
      <c r="P126" s="43"/>
      <c r="Q126" s="38"/>
      <c r="R126" s="79"/>
      <c r="S126" s="43"/>
      <c r="T126" s="38"/>
      <c r="U126" s="79"/>
      <c r="V126" s="55" t="s">
        <v>398</v>
      </c>
      <c r="W126" s="38">
        <f>_11・初任</f>
        <v>0.7</v>
      </c>
      <c r="X126" s="47">
        <f>ROUND((ROUND((ROUND((_11_A通院１２．５*_11・基礎１),0)*_11・２人),0)*_11・初任),0)+ROUND((ROUND((ROUND((ROUND((_11_B通院１２．５＿０．５*_11・基礎１),0)*_11・２人),0)*(1+_11・B夜間)),0)*_11・初任),0)</f>
        <v>419</v>
      </c>
      <c r="Y126" s="63"/>
    </row>
    <row r="127" spans="1:25" ht="16.5" customHeight="1" x14ac:dyDescent="0.15">
      <c r="A127" s="80"/>
      <c r="B127" s="80"/>
      <c r="C127" s="81"/>
      <c r="X127" s="84"/>
      <c r="Y127" s="85"/>
    </row>
    <row r="128" spans="1:25" ht="16.5" customHeight="1" x14ac:dyDescent="0.15">
      <c r="A128" s="80"/>
      <c r="B128" s="80"/>
      <c r="C128" s="81"/>
      <c r="X128" s="84"/>
      <c r="Y128" s="85"/>
    </row>
    <row r="129" spans="1:25" ht="16.5" customHeight="1" x14ac:dyDescent="0.15">
      <c r="A129" s="80"/>
      <c r="B129" s="86" t="s">
        <v>5525</v>
      </c>
      <c r="C129" s="81"/>
      <c r="D129" s="71"/>
      <c r="X129" s="84"/>
      <c r="Y129" s="85"/>
    </row>
    <row r="130" spans="1:25" ht="16.5" customHeight="1" x14ac:dyDescent="0.15">
      <c r="A130" s="87" t="s">
        <v>384</v>
      </c>
      <c r="B130" s="20"/>
      <c r="C130" s="88" t="s">
        <v>385</v>
      </c>
      <c r="D130" s="23" t="s">
        <v>386</v>
      </c>
      <c r="E130" s="118"/>
      <c r="F130" s="23"/>
      <c r="G130" s="118"/>
      <c r="H130" s="23"/>
      <c r="I130" s="23"/>
      <c r="J130" s="23"/>
      <c r="K130" s="23"/>
      <c r="L130" s="24"/>
      <c r="M130" s="23"/>
      <c r="N130" s="23"/>
      <c r="O130" s="24"/>
      <c r="P130" s="23"/>
      <c r="Q130" s="24"/>
      <c r="R130" s="23"/>
      <c r="S130" s="23"/>
      <c r="T130" s="24"/>
      <c r="U130" s="23"/>
      <c r="V130" s="23"/>
      <c r="W130" s="23"/>
      <c r="X130" s="25" t="s">
        <v>387</v>
      </c>
      <c r="Y130" s="21" t="s">
        <v>388</v>
      </c>
    </row>
    <row r="131" spans="1:25" ht="16.5" customHeight="1" x14ac:dyDescent="0.15">
      <c r="A131" s="26" t="s">
        <v>389</v>
      </c>
      <c r="B131" s="26" t="s">
        <v>390</v>
      </c>
      <c r="C131" s="89"/>
      <c r="D131" s="87" t="s">
        <v>1032</v>
      </c>
      <c r="E131" s="124"/>
      <c r="F131" s="87" t="s">
        <v>1033</v>
      </c>
      <c r="G131" s="119"/>
      <c r="H131" s="29"/>
      <c r="I131" s="29"/>
      <c r="J131" s="29"/>
      <c r="K131" s="29"/>
      <c r="L131" s="30"/>
      <c r="M131" s="29"/>
      <c r="N131" s="29"/>
      <c r="O131" s="30"/>
      <c r="P131" s="29"/>
      <c r="Q131" s="30"/>
      <c r="R131" s="29"/>
      <c r="S131" s="29"/>
      <c r="T131" s="30"/>
      <c r="U131" s="29"/>
      <c r="V131" s="29"/>
      <c r="W131" s="29"/>
      <c r="X131" s="31" t="s">
        <v>391</v>
      </c>
      <c r="Y131" s="32" t="s">
        <v>392</v>
      </c>
    </row>
    <row r="132" spans="1:25" ht="16.5" customHeight="1" x14ac:dyDescent="0.15">
      <c r="A132" s="33">
        <v>11</v>
      </c>
      <c r="B132" s="33">
        <v>3483</v>
      </c>
      <c r="C132" s="34" t="s">
        <v>5526</v>
      </c>
      <c r="D132" s="709" t="s">
        <v>4811</v>
      </c>
      <c r="E132" s="718"/>
      <c r="F132" s="709" t="s">
        <v>5527</v>
      </c>
      <c r="G132" s="718"/>
      <c r="H132" s="709" t="s">
        <v>3643</v>
      </c>
      <c r="I132" s="718"/>
      <c r="J132" s="35"/>
      <c r="M132" s="36"/>
      <c r="N132" s="37"/>
      <c r="O132" s="38"/>
      <c r="P132" s="72" t="s">
        <v>1036</v>
      </c>
      <c r="R132" s="57"/>
      <c r="S132" s="92" t="s">
        <v>1037</v>
      </c>
      <c r="U132" s="57"/>
      <c r="V132" s="35"/>
      <c r="X132" s="39">
        <f>ROUND((_11_A通院１０．５*(1+_11・A深夜)),0)+ROUND((_11_B通院１０．５＿２．０*(1+_11・B早朝)),0)+_11_C通院１０．５＿２．０＿０．５</f>
        <v>1085</v>
      </c>
      <c r="Y132" s="40" t="s">
        <v>395</v>
      </c>
    </row>
    <row r="133" spans="1:25" ht="16.5" customHeight="1" x14ac:dyDescent="0.15">
      <c r="A133" s="41">
        <v>11</v>
      </c>
      <c r="B133" s="41">
        <v>3484</v>
      </c>
      <c r="C133" s="74" t="s">
        <v>5528</v>
      </c>
      <c r="D133" s="709"/>
      <c r="E133" s="718"/>
      <c r="F133" s="709"/>
      <c r="G133" s="718"/>
      <c r="H133" s="709"/>
      <c r="I133" s="718"/>
      <c r="J133" s="43"/>
      <c r="K133" s="37"/>
      <c r="L133" s="38"/>
      <c r="M133" s="44" t="s">
        <v>397</v>
      </c>
      <c r="N133" s="45" t="s">
        <v>398</v>
      </c>
      <c r="O133" s="46">
        <v>1</v>
      </c>
      <c r="P133" s="35" t="s">
        <v>398</v>
      </c>
      <c r="Q133" s="13">
        <v>0.5</v>
      </c>
      <c r="R133" s="728" t="s">
        <v>676</v>
      </c>
      <c r="S133" s="35" t="s">
        <v>398</v>
      </c>
      <c r="T133" s="13">
        <v>0.25</v>
      </c>
      <c r="U133" s="728" t="s">
        <v>676</v>
      </c>
      <c r="V133" s="35"/>
      <c r="X133" s="47">
        <f>ROUND((ROUND((_11_A通院１０．５*_11・２人),0)*(1+_11・A深夜)),0)+ROUND((ROUND((_11_B通院１０．５＿２．０*_11・２人),0)*(1+_11・B早朝)),0)+ROUND((_11_C通院１０．５＿２．０＿０．５*_11・２人),0)</f>
        <v>1085</v>
      </c>
      <c r="Y133" s="48"/>
    </row>
    <row r="134" spans="1:25" ht="16.5" customHeight="1" x14ac:dyDescent="0.15">
      <c r="A134" s="41">
        <v>11</v>
      </c>
      <c r="B134" s="41">
        <v>3485</v>
      </c>
      <c r="C134" s="74" t="s">
        <v>5529</v>
      </c>
      <c r="D134" s="709"/>
      <c r="E134" s="718"/>
      <c r="F134" s="709"/>
      <c r="G134" s="718"/>
      <c r="H134" s="709"/>
      <c r="I134" s="718"/>
      <c r="J134" s="752" t="s">
        <v>400</v>
      </c>
      <c r="K134" s="49" t="s">
        <v>398</v>
      </c>
      <c r="L134" s="50">
        <v>0.7</v>
      </c>
      <c r="M134" s="44"/>
      <c r="N134" s="45"/>
      <c r="O134" s="46"/>
      <c r="P134" s="35"/>
      <c r="R134" s="728"/>
      <c r="S134" s="35"/>
      <c r="U134" s="728"/>
      <c r="V134" s="35"/>
      <c r="X134" s="47">
        <f>ROUND((ROUND((_11_A通院１０．５*_11・基礎１),0)*(1+_11・A深夜)),0)+ROUND((ROUND((_11_B通院１０．５＿２．０*_11・基礎１),0)*(1+_11・B早朝)),0)+ROUND((_11_C通院１０．５＿２．０＿０．５*_11・基礎１),0)</f>
        <v>761</v>
      </c>
      <c r="Y134" s="48"/>
    </row>
    <row r="135" spans="1:25" ht="16.5" customHeight="1" x14ac:dyDescent="0.15">
      <c r="A135" s="41">
        <v>11</v>
      </c>
      <c r="B135" s="41">
        <v>3486</v>
      </c>
      <c r="C135" s="74" t="s">
        <v>5530</v>
      </c>
      <c r="D135" s="100">
        <f>_11_A通院１０．５</f>
        <v>255</v>
      </c>
      <c r="E135" s="12" t="s">
        <v>392</v>
      </c>
      <c r="F135" s="100">
        <f>_11_B通院１０．５＿２．０</f>
        <v>495</v>
      </c>
      <c r="G135" s="12" t="s">
        <v>392</v>
      </c>
      <c r="H135" s="125">
        <f>_11_C通院１０．５＿２．０＿０．５</f>
        <v>83</v>
      </c>
      <c r="I135" s="12" t="s">
        <v>392</v>
      </c>
      <c r="J135" s="711"/>
      <c r="K135" s="37"/>
      <c r="L135" s="38"/>
      <c r="M135" s="44" t="s">
        <v>397</v>
      </c>
      <c r="N135" s="45" t="s">
        <v>398</v>
      </c>
      <c r="O135" s="46">
        <v>1</v>
      </c>
      <c r="P135" s="35"/>
      <c r="R135" s="57"/>
      <c r="S135" s="35"/>
      <c r="U135" s="57"/>
      <c r="V135" s="43"/>
      <c r="W135" s="37"/>
      <c r="X135" s="47">
        <f>ROUND((ROUND((ROUND((_11_A通院１０．５*_11・基礎１),0)*_11・２人),0)*(1+_11・A深夜)),0)+ROUND((ROUND((ROUND((_11_B通院１０．５＿２．０*_11・基礎１),0)*_11・２人),0)*(1+_11・B早朝)),0)+ROUND((ROUND((_11_C通院１０．５＿２．０＿０．５*_11・基礎１),0)*_11・２人),0)</f>
        <v>761</v>
      </c>
      <c r="Y135" s="48"/>
    </row>
    <row r="136" spans="1:25" ht="16.5" customHeight="1" x14ac:dyDescent="0.15">
      <c r="A136" s="41">
        <v>11</v>
      </c>
      <c r="B136" s="41" t="s">
        <v>5531</v>
      </c>
      <c r="C136" s="74" t="s">
        <v>5532</v>
      </c>
      <c r="D136" s="121"/>
      <c r="E136" s="99"/>
      <c r="F136" s="121"/>
      <c r="G136" s="99"/>
      <c r="H136" s="121"/>
      <c r="J136" s="53"/>
      <c r="K136" s="49"/>
      <c r="L136" s="50"/>
      <c r="M136" s="44"/>
      <c r="N136" s="45"/>
      <c r="O136" s="46"/>
      <c r="P136" s="35"/>
      <c r="R136" s="57"/>
      <c r="S136" s="35"/>
      <c r="U136" s="57"/>
      <c r="V136" s="707" t="s">
        <v>404</v>
      </c>
      <c r="W136" s="708"/>
      <c r="X136" s="47">
        <f>ROUND((ROUND((_11_A通院１０．５*(1+_11・A深夜)),0)*_11・初任),0)+ROUND((ROUND((_11_B通院１０．５＿２．０*(1+_11・B早朝)),0)*_11・初任),0)+ROUND((_11_C通院１０．５＿２．０＿０．５*_11・初任),0)</f>
        <v>759</v>
      </c>
      <c r="Y136" s="48"/>
    </row>
    <row r="137" spans="1:25" ht="16.5" customHeight="1" x14ac:dyDescent="0.15">
      <c r="A137" s="41">
        <v>11</v>
      </c>
      <c r="B137" s="41" t="s">
        <v>5533</v>
      </c>
      <c r="C137" s="74" t="s">
        <v>5534</v>
      </c>
      <c r="D137" s="121"/>
      <c r="E137" s="99"/>
      <c r="F137" s="121"/>
      <c r="G137" s="99"/>
      <c r="H137" s="121"/>
      <c r="J137" s="43"/>
      <c r="K137" s="37"/>
      <c r="L137" s="38"/>
      <c r="M137" s="44" t="s">
        <v>397</v>
      </c>
      <c r="N137" s="45" t="s">
        <v>398</v>
      </c>
      <c r="O137" s="46">
        <v>1</v>
      </c>
      <c r="P137" s="35"/>
      <c r="R137" s="57"/>
      <c r="S137" s="35"/>
      <c r="U137" s="57"/>
      <c r="V137" s="709"/>
      <c r="W137" s="704"/>
      <c r="X137" s="47">
        <f>ROUND((ROUND((ROUND((_11_A通院１０．５*_11・２人),0)*(1+_11・A深夜)),0)*_11・初任),0)+ROUND((ROUND((ROUND((_11_B通院１０．５＿２．０*_11・２人),0)*(1+_11・B早朝)),0)*_11・初任),0)+ROUND((ROUND((_11_C通院１０．５＿２．０＿０．５*_11・２人),0)*_11・初任),0)</f>
        <v>759</v>
      </c>
      <c r="Y137" s="48"/>
    </row>
    <row r="138" spans="1:25" ht="16.5" customHeight="1" x14ac:dyDescent="0.15">
      <c r="A138" s="41">
        <v>11</v>
      </c>
      <c r="B138" s="41" t="s">
        <v>5535</v>
      </c>
      <c r="C138" s="74" t="s">
        <v>5536</v>
      </c>
      <c r="D138" s="72"/>
      <c r="E138" s="99"/>
      <c r="F138" s="72"/>
      <c r="G138" s="99"/>
      <c r="H138" s="72"/>
      <c r="J138" s="755" t="s">
        <v>400</v>
      </c>
      <c r="K138" s="49" t="s">
        <v>398</v>
      </c>
      <c r="L138" s="50">
        <v>0.7</v>
      </c>
      <c r="M138" s="44"/>
      <c r="N138" s="45"/>
      <c r="O138" s="46"/>
      <c r="P138" s="35"/>
      <c r="R138" s="57"/>
      <c r="S138" s="35"/>
      <c r="U138" s="57"/>
      <c r="V138" s="709"/>
      <c r="W138" s="704"/>
      <c r="X138" s="47">
        <f>ROUND((ROUND((ROUND((_11_A通院１０．５*_11・基礎１),0)*(1+_11・A深夜)),0)*_11・初任),0)+ROUND((ROUND((ROUND((_11_B通院１０．５＿２．０*_11・基礎１),0)*(1+_11・B早朝)),0)*_11・初任),0)+ROUND((ROUND((_11_C通院１０．５＿２．０＿０．５*_11・基礎１),0)*_11・初任),0)</f>
        <v>533</v>
      </c>
      <c r="Y138" s="48"/>
    </row>
    <row r="139" spans="1:25" ht="16.5" customHeight="1" x14ac:dyDescent="0.15">
      <c r="A139" s="41">
        <v>11</v>
      </c>
      <c r="B139" s="41" t="s">
        <v>5537</v>
      </c>
      <c r="C139" s="74" t="s">
        <v>5538</v>
      </c>
      <c r="D139" s="122"/>
      <c r="E139" s="111"/>
      <c r="F139" s="122"/>
      <c r="G139" s="111"/>
      <c r="H139" s="122"/>
      <c r="I139" s="37"/>
      <c r="J139" s="711"/>
      <c r="K139" s="37"/>
      <c r="L139" s="38"/>
      <c r="M139" s="44" t="s">
        <v>397</v>
      </c>
      <c r="N139" s="45" t="s">
        <v>398</v>
      </c>
      <c r="O139" s="46">
        <v>1</v>
      </c>
      <c r="P139" s="43"/>
      <c r="Q139" s="38"/>
      <c r="R139" s="79"/>
      <c r="S139" s="43"/>
      <c r="T139" s="38"/>
      <c r="U139" s="79"/>
      <c r="V139" s="55" t="s">
        <v>398</v>
      </c>
      <c r="W139" s="38">
        <f>_11・初任</f>
        <v>0.7</v>
      </c>
      <c r="X139" s="47">
        <f>ROUND((ROUND((ROUND((ROUND((_11_A通院１０．５*_11・基礎１),0)*_11・２人),0)*(1+_11・A深夜)),0)*_11・初任),0)+ROUND((ROUND((ROUND((ROUND((_11_B通院１０．５＿２．０*_11・基礎１),0)*_11・２人),0)*(1+_11・B早朝)),0)*_11・初任),0)+ROUND((ROUND((ROUND((_11_C通院１０．５＿２．０＿０．５*_11・基礎１),0)*_11・２人),0)*_11・初任),0)</f>
        <v>533</v>
      </c>
      <c r="Y139" s="63"/>
    </row>
    <row r="140" spans="1:25" ht="16.5" customHeight="1" x14ac:dyDescent="0.15"/>
    <row r="141" spans="1:25" ht="16.5" customHeight="1" x14ac:dyDescent="0.15"/>
  </sheetData>
  <mergeCells count="75">
    <mergeCell ref="V136:W138"/>
    <mergeCell ref="J138:J139"/>
    <mergeCell ref="D119:E121"/>
    <mergeCell ref="F119:G121"/>
    <mergeCell ref="J121:J122"/>
    <mergeCell ref="V123:W125"/>
    <mergeCell ref="J125:J126"/>
    <mergeCell ref="D132:E134"/>
    <mergeCell ref="F132:G134"/>
    <mergeCell ref="H132:I134"/>
    <mergeCell ref="R133:R134"/>
    <mergeCell ref="U133:U134"/>
    <mergeCell ref="F111:G113"/>
    <mergeCell ref="J113:J114"/>
    <mergeCell ref="V115:W117"/>
    <mergeCell ref="J117:J118"/>
    <mergeCell ref="J134:J135"/>
    <mergeCell ref="D103:E105"/>
    <mergeCell ref="F103:G105"/>
    <mergeCell ref="U104:U105"/>
    <mergeCell ref="J105:J106"/>
    <mergeCell ref="V107:W109"/>
    <mergeCell ref="J109:J110"/>
    <mergeCell ref="V91:W93"/>
    <mergeCell ref="J93:J94"/>
    <mergeCell ref="F95:G97"/>
    <mergeCell ref="J97:J98"/>
    <mergeCell ref="V99:W101"/>
    <mergeCell ref="J101:J102"/>
    <mergeCell ref="D79:E81"/>
    <mergeCell ref="F79:G81"/>
    <mergeCell ref="J81:J82"/>
    <mergeCell ref="F87:G89"/>
    <mergeCell ref="J89:J90"/>
    <mergeCell ref="V83:W85"/>
    <mergeCell ref="J85:J86"/>
    <mergeCell ref="F63:G65"/>
    <mergeCell ref="J65:J66"/>
    <mergeCell ref="V67:W69"/>
    <mergeCell ref="J69:J70"/>
    <mergeCell ref="F71:G73"/>
    <mergeCell ref="J73:J74"/>
    <mergeCell ref="V75:W77"/>
    <mergeCell ref="J77:J78"/>
    <mergeCell ref="V51:W53"/>
    <mergeCell ref="J53:J54"/>
    <mergeCell ref="F55:G57"/>
    <mergeCell ref="J57:J58"/>
    <mergeCell ref="V59:W61"/>
    <mergeCell ref="J61:J62"/>
    <mergeCell ref="F39:G41"/>
    <mergeCell ref="J41:J42"/>
    <mergeCell ref="V43:W45"/>
    <mergeCell ref="J45:J46"/>
    <mergeCell ref="D47:E49"/>
    <mergeCell ref="F47:G49"/>
    <mergeCell ref="J49:J50"/>
    <mergeCell ref="V27:W29"/>
    <mergeCell ref="J29:J30"/>
    <mergeCell ref="F31:G33"/>
    <mergeCell ref="J33:J34"/>
    <mergeCell ref="V35:W37"/>
    <mergeCell ref="J37:J38"/>
    <mergeCell ref="F15:G17"/>
    <mergeCell ref="J17:J18"/>
    <mergeCell ref="V19:W21"/>
    <mergeCell ref="J21:J22"/>
    <mergeCell ref="F23:G25"/>
    <mergeCell ref="J25:J26"/>
    <mergeCell ref="D7:E9"/>
    <mergeCell ref="F7:G9"/>
    <mergeCell ref="U8:U9"/>
    <mergeCell ref="J9:J10"/>
    <mergeCell ref="V11:W13"/>
    <mergeCell ref="J13:J14"/>
  </mergeCells>
  <phoneticPr fontId="1"/>
  <printOptions horizontalCentered="1"/>
  <pageMargins left="0.70866141732283472" right="0.70866141732283472" top="0.74803149606299213" bottom="0.74803149606299213" header="0.31496062992125984" footer="0.31496062992125984"/>
  <pageSetup paperSize="9" scale="43" fitToHeight="0" orientation="portrait" r:id="rId1"/>
  <headerFooter>
    <oddHeader>&amp;R&amp;"ＭＳ Ｐゴシック"&amp;9居宅介護</oddHeader>
    <oddFooter>&amp;C&amp;"ＭＳ Ｐゴシック"&amp;14&amp;P</oddFooter>
  </headerFooter>
  <rowBreaks count="1" manualBreakCount="1">
    <brk id="102" max="24"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fitToPage="1"/>
  </sheetPr>
  <dimension ref="A1:W12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0.125" style="10" bestFit="1" customWidth="1"/>
    <col min="4" max="4" width="4.875" style="10" customWidth="1"/>
    <col min="5" max="5" width="4.5" style="12" bestFit="1" customWidth="1"/>
    <col min="6" max="6" width="4.875" style="10" customWidth="1"/>
    <col min="7" max="7" width="4.5" style="12" bestFit="1" customWidth="1"/>
    <col min="8" max="8" width="11.875" style="12" customWidth="1"/>
    <col min="9" max="9" width="3.5" style="12" bestFit="1" customWidth="1"/>
    <col min="10" max="10" width="4.5" style="13" bestFit="1" customWidth="1"/>
    <col min="11" max="11" width="24.875" style="14" bestFit="1" customWidth="1"/>
    <col min="12" max="12" width="3.5" style="12" bestFit="1" customWidth="1"/>
    <col min="13" max="13" width="5.5" style="13" bestFit="1" customWidth="1"/>
    <col min="14" max="14" width="3.5" style="12" bestFit="1" customWidth="1"/>
    <col min="15" max="15" width="4.5" style="13" bestFit="1" customWidth="1"/>
    <col min="16" max="16" width="5.5" style="12" bestFit="1" customWidth="1"/>
    <col min="17" max="17" width="3.5" style="12" bestFit="1" customWidth="1"/>
    <col min="18" max="18" width="4.5" style="13" bestFit="1" customWidth="1"/>
    <col min="19" max="19" width="5.5" style="12" bestFit="1" customWidth="1"/>
    <col min="20" max="20" width="9.875" style="12" customWidth="1"/>
    <col min="21" max="21" width="4.5" style="12" bestFit="1" customWidth="1"/>
    <col min="22" max="22" width="7.125" style="15" customWidth="1"/>
    <col min="23" max="23" width="8.5" style="16" customWidth="1"/>
    <col min="24" max="16384" width="8.875" style="12"/>
  </cols>
  <sheetData>
    <row r="1" spans="1:23" ht="17.100000000000001" customHeight="1" x14ac:dyDescent="0.15"/>
    <row r="2" spans="1:23" ht="17.100000000000001" customHeight="1" x14ac:dyDescent="0.15"/>
    <row r="3" spans="1:23" ht="17.100000000000001" customHeight="1" x14ac:dyDescent="0.15"/>
    <row r="4" spans="1:23" ht="17.100000000000001" customHeight="1" x14ac:dyDescent="0.15">
      <c r="B4" s="17" t="s">
        <v>5539</v>
      </c>
      <c r="D4" s="71"/>
    </row>
    <row r="5" spans="1:23" ht="16.5" customHeight="1" x14ac:dyDescent="0.15">
      <c r="A5" s="19" t="s">
        <v>384</v>
      </c>
      <c r="B5" s="20"/>
      <c r="C5" s="21" t="s">
        <v>385</v>
      </c>
      <c r="D5" s="23" t="s">
        <v>386</v>
      </c>
      <c r="E5" s="23"/>
      <c r="F5" s="23"/>
      <c r="G5" s="23"/>
      <c r="H5" s="23"/>
      <c r="I5" s="23"/>
      <c r="J5" s="24"/>
      <c r="K5" s="23"/>
      <c r="L5" s="23"/>
      <c r="M5" s="24"/>
      <c r="N5" s="23"/>
      <c r="O5" s="24"/>
      <c r="P5" s="23"/>
      <c r="Q5" s="23"/>
      <c r="R5" s="24"/>
      <c r="S5" s="23"/>
      <c r="T5" s="23"/>
      <c r="U5" s="23"/>
      <c r="V5" s="25" t="s">
        <v>387</v>
      </c>
      <c r="W5" s="21" t="s">
        <v>388</v>
      </c>
    </row>
    <row r="6" spans="1:23" ht="16.5" customHeight="1" x14ac:dyDescent="0.15">
      <c r="A6" s="26" t="s">
        <v>389</v>
      </c>
      <c r="B6" s="26" t="s">
        <v>390</v>
      </c>
      <c r="C6" s="27"/>
      <c r="D6" s="87" t="s">
        <v>1032</v>
      </c>
      <c r="E6" s="187"/>
      <c r="F6" s="87" t="s">
        <v>1033</v>
      </c>
      <c r="G6" s="20"/>
      <c r="H6" s="29"/>
      <c r="I6" s="29"/>
      <c r="J6" s="30"/>
      <c r="K6" s="29"/>
      <c r="L6" s="29"/>
      <c r="M6" s="30"/>
      <c r="N6" s="29"/>
      <c r="O6" s="30"/>
      <c r="P6" s="29"/>
      <c r="Q6" s="29"/>
      <c r="R6" s="30"/>
      <c r="S6" s="29"/>
      <c r="T6" s="29"/>
      <c r="U6" s="29"/>
      <c r="V6" s="31" t="s">
        <v>391</v>
      </c>
      <c r="W6" s="32" t="s">
        <v>392</v>
      </c>
    </row>
    <row r="7" spans="1:23" ht="16.5" customHeight="1" x14ac:dyDescent="0.15">
      <c r="A7" s="33">
        <v>11</v>
      </c>
      <c r="B7" s="33">
        <v>3487</v>
      </c>
      <c r="C7" s="34" t="s">
        <v>5540</v>
      </c>
      <c r="D7" s="709" t="s">
        <v>5541</v>
      </c>
      <c r="E7" s="718"/>
      <c r="F7" s="709" t="s">
        <v>3780</v>
      </c>
      <c r="G7" s="718"/>
      <c r="H7" s="35"/>
      <c r="K7" s="36"/>
      <c r="L7" s="37"/>
      <c r="M7" s="38"/>
      <c r="N7" s="72" t="s">
        <v>1416</v>
      </c>
      <c r="P7" s="57"/>
      <c r="Q7" s="92" t="s">
        <v>1618</v>
      </c>
      <c r="S7" s="57"/>
      <c r="T7" s="35"/>
      <c r="V7" s="39">
        <f>ROUND((_11_A通院１０．５*(1+_11・A夜間)),0)+ROUND((_11_B通院１０．５＿０．５*(1+_11・B深夜)),0)</f>
        <v>540</v>
      </c>
      <c r="W7" s="40" t="s">
        <v>395</v>
      </c>
    </row>
    <row r="8" spans="1:23" ht="16.5" customHeight="1" x14ac:dyDescent="0.15">
      <c r="A8" s="41">
        <v>11</v>
      </c>
      <c r="B8" s="41">
        <v>3488</v>
      </c>
      <c r="C8" s="74" t="s">
        <v>5542</v>
      </c>
      <c r="D8" s="709"/>
      <c r="E8" s="718"/>
      <c r="F8" s="709"/>
      <c r="G8" s="718"/>
      <c r="H8" s="43"/>
      <c r="I8" s="37"/>
      <c r="J8" s="38"/>
      <c r="K8" s="44" t="s">
        <v>397</v>
      </c>
      <c r="L8" s="45" t="s">
        <v>398</v>
      </c>
      <c r="M8" s="46">
        <v>1</v>
      </c>
      <c r="N8" s="35" t="s">
        <v>398</v>
      </c>
      <c r="O8" s="13">
        <v>0.25</v>
      </c>
      <c r="P8" s="728" t="s">
        <v>676</v>
      </c>
      <c r="Q8" s="35" t="s">
        <v>398</v>
      </c>
      <c r="R8" s="13">
        <v>0.5</v>
      </c>
      <c r="S8" s="728" t="s">
        <v>676</v>
      </c>
      <c r="T8" s="35"/>
      <c r="V8" s="47">
        <f>ROUND((ROUND((_11_A通院１０．５*_11・２人),0)*(1+_11・A夜間)),0)+ROUND((ROUND((_11_B通院１０．５＿０．５*_11・２人),0)*(1+_11・B深夜)),0)</f>
        <v>540</v>
      </c>
      <c r="W8" s="48"/>
    </row>
    <row r="9" spans="1:23" ht="16.5" customHeight="1" x14ac:dyDescent="0.15">
      <c r="A9" s="41">
        <v>11</v>
      </c>
      <c r="B9" s="41">
        <v>3489</v>
      </c>
      <c r="C9" s="74" t="s">
        <v>5543</v>
      </c>
      <c r="D9" s="709"/>
      <c r="E9" s="718"/>
      <c r="F9" s="709"/>
      <c r="G9" s="718"/>
      <c r="H9" s="752" t="s">
        <v>400</v>
      </c>
      <c r="I9" s="49" t="s">
        <v>398</v>
      </c>
      <c r="J9" s="50">
        <v>0.7</v>
      </c>
      <c r="K9" s="44"/>
      <c r="L9" s="45"/>
      <c r="M9" s="46"/>
      <c r="N9" s="35"/>
      <c r="P9" s="728"/>
      <c r="Q9" s="35"/>
      <c r="S9" s="728"/>
      <c r="T9" s="35"/>
      <c r="V9" s="47">
        <f>ROUND((ROUND((_11_A通院１０．５*_11・基礎１),0)*(1+_11・A夜間)),0)+ROUND((ROUND((_11_B通院１０．５＿０．５*_11・基礎１),0)*(1+_11・B深夜)),0)</f>
        <v>379</v>
      </c>
      <c r="W9" s="48"/>
    </row>
    <row r="10" spans="1:23" ht="16.5" customHeight="1" x14ac:dyDescent="0.15">
      <c r="A10" s="41">
        <v>11</v>
      </c>
      <c r="B10" s="41">
        <v>3490</v>
      </c>
      <c r="C10" s="74" t="s">
        <v>5544</v>
      </c>
      <c r="D10" s="125">
        <f>_11_A通院１０．５</f>
        <v>255</v>
      </c>
      <c r="E10" s="12" t="s">
        <v>392</v>
      </c>
      <c r="F10" s="125">
        <f>_11_B通院１０．５＿０．５</f>
        <v>147</v>
      </c>
      <c r="G10" s="12" t="s">
        <v>392</v>
      </c>
      <c r="H10" s="711"/>
      <c r="I10" s="37"/>
      <c r="J10" s="38"/>
      <c r="K10" s="44" t="s">
        <v>397</v>
      </c>
      <c r="L10" s="45" t="s">
        <v>398</v>
      </c>
      <c r="M10" s="46">
        <v>1</v>
      </c>
      <c r="N10" s="35"/>
      <c r="P10" s="57"/>
      <c r="Q10" s="35"/>
      <c r="S10" s="57"/>
      <c r="T10" s="43"/>
      <c r="U10" s="37"/>
      <c r="V10" s="47">
        <f>ROUND((ROUND((ROUND((_11_A通院１０．５*_11・基礎１),0)*_11・２人),0)*(1+_11・A夜間)),0)+ROUND((ROUND((ROUND((_11_B通院１０．５＿０．５*_11・基礎１),0)*_11・２人),0)*(1+_11・B深夜)),0)</f>
        <v>379</v>
      </c>
      <c r="W10" s="48"/>
    </row>
    <row r="11" spans="1:23" ht="16.5" customHeight="1" x14ac:dyDescent="0.15">
      <c r="A11" s="41">
        <v>11</v>
      </c>
      <c r="B11" s="41" t="s">
        <v>5545</v>
      </c>
      <c r="C11" s="74" t="s">
        <v>5546</v>
      </c>
      <c r="D11" s="121"/>
      <c r="F11" s="121"/>
      <c r="H11" s="53"/>
      <c r="I11" s="49"/>
      <c r="J11" s="50"/>
      <c r="K11" s="44"/>
      <c r="L11" s="45"/>
      <c r="M11" s="46"/>
      <c r="N11" s="35"/>
      <c r="P11" s="57"/>
      <c r="Q11" s="35"/>
      <c r="S11" s="57"/>
      <c r="T11" s="707" t="s">
        <v>404</v>
      </c>
      <c r="U11" s="708"/>
      <c r="V11" s="47">
        <f>ROUND((ROUND((_11_A通院１０．５*(1+_11・A夜間)),0)*_11・初任),0)+ROUND((ROUND((_11_B通院１０．５＿０．５*(1+_11・B深夜)),0)*_11・初任),0)</f>
        <v>378</v>
      </c>
      <c r="W11" s="48"/>
    </row>
    <row r="12" spans="1:23" ht="16.5" customHeight="1" x14ac:dyDescent="0.15">
      <c r="A12" s="41">
        <v>11</v>
      </c>
      <c r="B12" s="41" t="s">
        <v>5547</v>
      </c>
      <c r="C12" s="74" t="s">
        <v>5548</v>
      </c>
      <c r="D12" s="121"/>
      <c r="F12" s="121"/>
      <c r="H12" s="43"/>
      <c r="I12" s="37"/>
      <c r="J12" s="38"/>
      <c r="K12" s="44" t="s">
        <v>397</v>
      </c>
      <c r="L12" s="45" t="s">
        <v>398</v>
      </c>
      <c r="M12" s="46">
        <v>1</v>
      </c>
      <c r="N12" s="35"/>
      <c r="P12" s="57"/>
      <c r="Q12" s="35"/>
      <c r="S12" s="57"/>
      <c r="T12" s="709"/>
      <c r="U12" s="704"/>
      <c r="V12" s="47">
        <f>ROUND((ROUND((ROUND((_11_A通院１０．５*_11・２人),0)*(1+_11・A夜間)),0)*_11・初任),0)+ROUND((ROUND((ROUND((_11_B通院１０．５＿０．５*_11・２人),0)*(1+_11・B深夜)),0)*_11・初任),0)</f>
        <v>378</v>
      </c>
      <c r="W12" s="48"/>
    </row>
    <row r="13" spans="1:23" ht="16.5" customHeight="1" x14ac:dyDescent="0.15">
      <c r="A13" s="41">
        <v>11</v>
      </c>
      <c r="B13" s="41" t="s">
        <v>5549</v>
      </c>
      <c r="C13" s="74" t="s">
        <v>5550</v>
      </c>
      <c r="D13" s="72"/>
      <c r="F13" s="72"/>
      <c r="H13" s="752" t="s">
        <v>400</v>
      </c>
      <c r="I13" s="49" t="s">
        <v>398</v>
      </c>
      <c r="J13" s="50">
        <v>0.7</v>
      </c>
      <c r="K13" s="44"/>
      <c r="L13" s="45"/>
      <c r="M13" s="46"/>
      <c r="N13" s="35"/>
      <c r="P13" s="57"/>
      <c r="Q13" s="35"/>
      <c r="S13" s="57"/>
      <c r="T13" s="709"/>
      <c r="U13" s="704"/>
      <c r="V13" s="47">
        <f>ROUND((ROUND((ROUND((_11_A通院１０．５*_11・基礎１),0)*(1+_11・A夜間)),0)*_11・初任),0)+ROUND((ROUND((ROUND((_11_B通院１０．５＿０．５*_11・基礎１),0)*(1+_11・B深夜)),0)*_11・初任),0)</f>
        <v>266</v>
      </c>
      <c r="W13" s="48"/>
    </row>
    <row r="14" spans="1:23" ht="16.5" customHeight="1" x14ac:dyDescent="0.15">
      <c r="A14" s="41">
        <v>11</v>
      </c>
      <c r="B14" s="41" t="s">
        <v>5551</v>
      </c>
      <c r="C14" s="74" t="s">
        <v>5552</v>
      </c>
      <c r="D14" s="72"/>
      <c r="F14" s="72"/>
      <c r="H14" s="711"/>
      <c r="I14" s="37"/>
      <c r="J14" s="38"/>
      <c r="K14" s="44" t="s">
        <v>397</v>
      </c>
      <c r="L14" s="45" t="s">
        <v>398</v>
      </c>
      <c r="M14" s="46">
        <v>1</v>
      </c>
      <c r="N14" s="35"/>
      <c r="P14" s="57"/>
      <c r="Q14" s="35"/>
      <c r="S14" s="57"/>
      <c r="T14" s="55" t="s">
        <v>398</v>
      </c>
      <c r="U14" s="38">
        <f>_11・初任</f>
        <v>0.7</v>
      </c>
      <c r="V14" s="47">
        <f>ROUND((ROUND((ROUND((ROUND((_11_A通院１０．５*_11・基礎１),0)*_11・２人),0)*(1+_11・A夜間)),0)*_11・初任),0)+ROUND((ROUND((ROUND((ROUND((_11_B通院１０．５＿０．５*_11・基礎１),0)*_11・２人),0)*(1+_11・B深夜)),0)*_11・初任),0)</f>
        <v>266</v>
      </c>
      <c r="W14" s="48"/>
    </row>
    <row r="15" spans="1:23" ht="16.5" customHeight="1" x14ac:dyDescent="0.15">
      <c r="A15" s="41">
        <v>11</v>
      </c>
      <c r="B15" s="41">
        <v>3491</v>
      </c>
      <c r="C15" s="74" t="s">
        <v>5553</v>
      </c>
      <c r="D15" s="72"/>
      <c r="F15" s="707" t="s">
        <v>3787</v>
      </c>
      <c r="G15" s="717"/>
      <c r="H15" s="53"/>
      <c r="I15" s="49"/>
      <c r="J15" s="50"/>
      <c r="K15" s="44"/>
      <c r="L15" s="45"/>
      <c r="M15" s="46"/>
      <c r="N15" s="35"/>
      <c r="P15" s="57"/>
      <c r="Q15" s="35"/>
      <c r="S15" s="57"/>
      <c r="T15" s="53"/>
      <c r="U15" s="49"/>
      <c r="V15" s="47">
        <f>ROUND((_11_A通院１０．５*(1+_11・A夜間)),0)+ROUND((_11_B通院１０．５＿１．０*(1+_11・B深夜)),0)</f>
        <v>813</v>
      </c>
      <c r="W15" s="48"/>
    </row>
    <row r="16" spans="1:23" ht="16.5" customHeight="1" x14ac:dyDescent="0.15">
      <c r="A16" s="41">
        <v>11</v>
      </c>
      <c r="B16" s="41">
        <v>3492</v>
      </c>
      <c r="C16" s="74" t="s">
        <v>5554</v>
      </c>
      <c r="D16" s="72"/>
      <c r="F16" s="709"/>
      <c r="G16" s="718"/>
      <c r="H16" s="43"/>
      <c r="I16" s="37"/>
      <c r="J16" s="38"/>
      <c r="K16" s="44" t="s">
        <v>397</v>
      </c>
      <c r="L16" s="45" t="s">
        <v>398</v>
      </c>
      <c r="M16" s="46">
        <v>1</v>
      </c>
      <c r="N16" s="35"/>
      <c r="P16" s="57"/>
      <c r="Q16" s="35"/>
      <c r="S16" s="57"/>
      <c r="T16" s="35"/>
      <c r="V16" s="47">
        <f>ROUND((ROUND((_11_A通院１０．５*_11・２人),0)*(1+_11・A夜間)),0)+ROUND((ROUND((_11_B通院１０．５＿１．０*_11・２人),0)*(1+_11・B深夜)),0)</f>
        <v>813</v>
      </c>
      <c r="W16" s="48"/>
    </row>
    <row r="17" spans="1:23" ht="16.5" customHeight="1" x14ac:dyDescent="0.15">
      <c r="A17" s="41">
        <v>11</v>
      </c>
      <c r="B17" s="41">
        <v>3493</v>
      </c>
      <c r="C17" s="74" t="s">
        <v>5555</v>
      </c>
      <c r="D17" s="72"/>
      <c r="F17" s="709"/>
      <c r="G17" s="718"/>
      <c r="H17" s="752" t="s">
        <v>400</v>
      </c>
      <c r="I17" s="49" t="s">
        <v>398</v>
      </c>
      <c r="J17" s="50">
        <v>0.7</v>
      </c>
      <c r="K17" s="44"/>
      <c r="L17" s="45"/>
      <c r="M17" s="46"/>
      <c r="N17" s="35"/>
      <c r="P17" s="57"/>
      <c r="Q17" s="35"/>
      <c r="S17" s="57"/>
      <c r="T17" s="35"/>
      <c r="V17" s="47">
        <f>ROUND((ROUND((_11_A通院１０．５*_11・基礎１),0)*(1+_11・A夜間)),0)+ROUND((ROUND((_11_B通院１０．５＿１．０*_11・基礎１),0)*(1+_11・B深夜)),0)</f>
        <v>569</v>
      </c>
      <c r="W17" s="48"/>
    </row>
    <row r="18" spans="1:23" ht="16.5" customHeight="1" x14ac:dyDescent="0.15">
      <c r="A18" s="41">
        <v>11</v>
      </c>
      <c r="B18" s="41">
        <v>3494</v>
      </c>
      <c r="C18" s="74" t="s">
        <v>5556</v>
      </c>
      <c r="D18" s="72"/>
      <c r="F18" s="125">
        <f>_11_B通院１０．５＿１．０</f>
        <v>329</v>
      </c>
      <c r="G18" s="12" t="s">
        <v>392</v>
      </c>
      <c r="H18" s="711"/>
      <c r="I18" s="37"/>
      <c r="J18" s="38"/>
      <c r="K18" s="44" t="s">
        <v>397</v>
      </c>
      <c r="L18" s="45" t="s">
        <v>398</v>
      </c>
      <c r="M18" s="46">
        <v>1</v>
      </c>
      <c r="N18" s="35"/>
      <c r="P18" s="57"/>
      <c r="Q18" s="35"/>
      <c r="S18" s="57"/>
      <c r="T18" s="43"/>
      <c r="U18" s="37"/>
      <c r="V18" s="47">
        <f>ROUND((ROUND((ROUND((_11_A通院１０．５*_11・基礎１),0)*_11・２人),0)*(1+_11・A夜間)),0)+ROUND((ROUND((ROUND((_11_B通院１０．５＿１．０*_11・基礎１),0)*_11・２人),0)*(1+_11・B深夜)),0)</f>
        <v>569</v>
      </c>
      <c r="W18" s="48"/>
    </row>
    <row r="19" spans="1:23" ht="16.5" customHeight="1" x14ac:dyDescent="0.15">
      <c r="A19" s="41">
        <v>11</v>
      </c>
      <c r="B19" s="41" t="s">
        <v>5557</v>
      </c>
      <c r="C19" s="74" t="s">
        <v>5558</v>
      </c>
      <c r="D19" s="72"/>
      <c r="F19" s="143"/>
      <c r="H19" s="53"/>
      <c r="I19" s="49"/>
      <c r="J19" s="50"/>
      <c r="K19" s="44"/>
      <c r="L19" s="45"/>
      <c r="M19" s="46"/>
      <c r="N19" s="35"/>
      <c r="P19" s="57"/>
      <c r="Q19" s="35"/>
      <c r="S19" s="57"/>
      <c r="T19" s="707" t="s">
        <v>404</v>
      </c>
      <c r="U19" s="708"/>
      <c r="V19" s="47">
        <f>ROUND((ROUND((_11_A通院１０．５*(1+_11・A夜間)),0)*_11・初任),0)+ROUND((ROUND((_11_B通院１０．５＿１．０*(1+_11・B深夜)),0)*_11・初任),0)</f>
        <v>569</v>
      </c>
      <c r="W19" s="48"/>
    </row>
    <row r="20" spans="1:23" ht="16.5" customHeight="1" x14ac:dyDescent="0.15">
      <c r="A20" s="41">
        <v>11</v>
      </c>
      <c r="B20" s="41" t="s">
        <v>5559</v>
      </c>
      <c r="C20" s="74" t="s">
        <v>5560</v>
      </c>
      <c r="D20" s="72"/>
      <c r="F20" s="143"/>
      <c r="H20" s="43"/>
      <c r="I20" s="37"/>
      <c r="J20" s="38"/>
      <c r="K20" s="44" t="s">
        <v>397</v>
      </c>
      <c r="L20" s="45" t="s">
        <v>398</v>
      </c>
      <c r="M20" s="46">
        <v>1</v>
      </c>
      <c r="N20" s="35"/>
      <c r="P20" s="57"/>
      <c r="Q20" s="35"/>
      <c r="S20" s="57"/>
      <c r="T20" s="709"/>
      <c r="U20" s="704"/>
      <c r="V20" s="47">
        <f>ROUND((ROUND((ROUND((_11_A通院１０．５*_11・２人),0)*(1+_11・A夜間)),0)*_11・初任),0)+ROUND((ROUND((ROUND((_11_B通院１０．５＿１．０*_11・２人),0)*(1+_11・B深夜)),0)*_11・初任),0)</f>
        <v>569</v>
      </c>
      <c r="W20" s="48"/>
    </row>
    <row r="21" spans="1:23" ht="16.5" customHeight="1" x14ac:dyDescent="0.15">
      <c r="A21" s="41">
        <v>11</v>
      </c>
      <c r="B21" s="41" t="s">
        <v>5561</v>
      </c>
      <c r="C21" s="74" t="s">
        <v>5562</v>
      </c>
      <c r="D21" s="72"/>
      <c r="F21" s="72"/>
      <c r="H21" s="752" t="s">
        <v>400</v>
      </c>
      <c r="I21" s="49" t="s">
        <v>398</v>
      </c>
      <c r="J21" s="50">
        <v>0.7</v>
      </c>
      <c r="K21" s="44"/>
      <c r="L21" s="45"/>
      <c r="M21" s="46"/>
      <c r="N21" s="35"/>
      <c r="P21" s="57"/>
      <c r="Q21" s="35"/>
      <c r="S21" s="57"/>
      <c r="T21" s="709"/>
      <c r="U21" s="704"/>
      <c r="V21" s="47">
        <f>ROUND((ROUND((ROUND((_11_A通院１０．５*_11・基礎１),0)*(1+_11・A夜間)),0)*_11・初任),0)+ROUND((ROUND((ROUND((_11_B通院１０．５＿１．０*_11・基礎１),0)*(1+_11・B深夜)),0)*_11・初任),0)</f>
        <v>399</v>
      </c>
      <c r="W21" s="48"/>
    </row>
    <row r="22" spans="1:23" ht="16.5" customHeight="1" x14ac:dyDescent="0.15">
      <c r="A22" s="41">
        <v>11</v>
      </c>
      <c r="B22" s="41" t="s">
        <v>5563</v>
      </c>
      <c r="C22" s="74" t="s">
        <v>5564</v>
      </c>
      <c r="D22" s="72"/>
      <c r="F22" s="72"/>
      <c r="H22" s="711"/>
      <c r="I22" s="37"/>
      <c r="J22" s="38"/>
      <c r="K22" s="44" t="s">
        <v>397</v>
      </c>
      <c r="L22" s="45" t="s">
        <v>398</v>
      </c>
      <c r="M22" s="46">
        <v>1</v>
      </c>
      <c r="N22" s="35"/>
      <c r="P22" s="57"/>
      <c r="Q22" s="35"/>
      <c r="S22" s="57"/>
      <c r="T22" s="55" t="s">
        <v>398</v>
      </c>
      <c r="U22" s="38">
        <f>_11・初任</f>
        <v>0.7</v>
      </c>
      <c r="V22" s="47">
        <f>ROUND((ROUND((ROUND((ROUND((_11_A通院１０．５*_11・基礎１),0)*_11・２人),0)*(1+_11・A夜間)),0)*_11・初任),0)+ROUND((ROUND((ROUND((ROUND((_11_B通院１０．５＿１．０*_11・基礎１),0)*_11・２人),0)*(1+_11・B深夜)),0)*_11・初任),0)</f>
        <v>399</v>
      </c>
      <c r="W22" s="48"/>
    </row>
    <row r="23" spans="1:23" ht="16.5" customHeight="1" x14ac:dyDescent="0.15">
      <c r="A23" s="41">
        <v>11</v>
      </c>
      <c r="B23" s="41">
        <v>3495</v>
      </c>
      <c r="C23" s="74" t="s">
        <v>5565</v>
      </c>
      <c r="D23" s="72"/>
      <c r="F23" s="707" t="s">
        <v>3794</v>
      </c>
      <c r="G23" s="717"/>
      <c r="H23" s="53"/>
      <c r="I23" s="49"/>
      <c r="J23" s="50"/>
      <c r="K23" s="44"/>
      <c r="L23" s="45"/>
      <c r="M23" s="46"/>
      <c r="N23" s="35"/>
      <c r="P23" s="57"/>
      <c r="Q23" s="35"/>
      <c r="S23" s="57"/>
      <c r="T23" s="53"/>
      <c r="U23" s="49"/>
      <c r="V23" s="47">
        <f>ROUND((_11_A通院１０．５*(1+_11・A夜間)),0)+ROUND((_11_B通院１０．５＿１．５*(1+_11・B深夜)),0)</f>
        <v>936</v>
      </c>
      <c r="W23" s="48"/>
    </row>
    <row r="24" spans="1:23" ht="16.5" customHeight="1" x14ac:dyDescent="0.15">
      <c r="A24" s="41">
        <v>11</v>
      </c>
      <c r="B24" s="41">
        <v>3496</v>
      </c>
      <c r="C24" s="74" t="s">
        <v>5566</v>
      </c>
      <c r="D24" s="72"/>
      <c r="F24" s="709"/>
      <c r="G24" s="718"/>
      <c r="H24" s="43"/>
      <c r="I24" s="37"/>
      <c r="J24" s="38"/>
      <c r="K24" s="44" t="s">
        <v>397</v>
      </c>
      <c r="L24" s="45" t="s">
        <v>398</v>
      </c>
      <c r="M24" s="46">
        <v>1</v>
      </c>
      <c r="N24" s="35"/>
      <c r="P24" s="57"/>
      <c r="Q24" s="35"/>
      <c r="S24" s="57"/>
      <c r="T24" s="35"/>
      <c r="V24" s="47">
        <f>ROUND((ROUND((_11_A通院１０．５*_11・２人),0)*(1+_11・A夜間)),0)+ROUND((ROUND((_11_B通院１０．５＿１．５*_11・２人),0)*(1+_11・B深夜)),0)</f>
        <v>936</v>
      </c>
      <c r="W24" s="48"/>
    </row>
    <row r="25" spans="1:23" ht="16.5" customHeight="1" x14ac:dyDescent="0.15">
      <c r="A25" s="41">
        <v>11</v>
      </c>
      <c r="B25" s="41">
        <v>3497</v>
      </c>
      <c r="C25" s="74" t="s">
        <v>5567</v>
      </c>
      <c r="D25" s="72"/>
      <c r="F25" s="709"/>
      <c r="G25" s="718"/>
      <c r="H25" s="752" t="s">
        <v>400</v>
      </c>
      <c r="I25" s="49" t="s">
        <v>398</v>
      </c>
      <c r="J25" s="50">
        <v>0.7</v>
      </c>
      <c r="K25" s="44"/>
      <c r="L25" s="45"/>
      <c r="M25" s="46"/>
      <c r="N25" s="35"/>
      <c r="P25" s="57"/>
      <c r="Q25" s="35"/>
      <c r="S25" s="57"/>
      <c r="T25" s="35"/>
      <c r="V25" s="47">
        <f>ROUND((ROUND((_11_A通院１０．５*_11・基礎１),0)*(1+_11・A夜間)),0)+ROUND((ROUND((_11_B通院１０．５＿１．５*_11・基礎１),0)*(1+_11・B深夜)),0)</f>
        <v>656</v>
      </c>
      <c r="W25" s="48"/>
    </row>
    <row r="26" spans="1:23" ht="16.5" customHeight="1" x14ac:dyDescent="0.15">
      <c r="A26" s="41">
        <v>11</v>
      </c>
      <c r="B26" s="41">
        <v>3498</v>
      </c>
      <c r="C26" s="74" t="s">
        <v>5568</v>
      </c>
      <c r="D26" s="72"/>
      <c r="F26" s="125">
        <f>_11_B通院１０．５＿１．５</f>
        <v>411</v>
      </c>
      <c r="G26" s="12" t="s">
        <v>392</v>
      </c>
      <c r="H26" s="711"/>
      <c r="I26" s="37"/>
      <c r="J26" s="38"/>
      <c r="K26" s="44" t="s">
        <v>397</v>
      </c>
      <c r="L26" s="45" t="s">
        <v>398</v>
      </c>
      <c r="M26" s="46">
        <v>1</v>
      </c>
      <c r="N26" s="35"/>
      <c r="P26" s="57"/>
      <c r="Q26" s="35"/>
      <c r="S26" s="57"/>
      <c r="T26" s="43"/>
      <c r="U26" s="37"/>
      <c r="V26" s="47">
        <f>ROUND((ROUND((ROUND((_11_A通院１０．５*_11・基礎１),0)*_11・２人),0)*(1+_11・A夜間)),0)+ROUND((ROUND((ROUND((_11_B通院１０．５＿１．５*_11・基礎１),0)*_11・２人),0)*(1+_11・B深夜)),0)</f>
        <v>656</v>
      </c>
      <c r="W26" s="48"/>
    </row>
    <row r="27" spans="1:23" ht="16.5" customHeight="1" x14ac:dyDescent="0.15">
      <c r="A27" s="41">
        <v>11</v>
      </c>
      <c r="B27" s="41" t="s">
        <v>5569</v>
      </c>
      <c r="C27" s="74" t="s">
        <v>5570</v>
      </c>
      <c r="D27" s="72"/>
      <c r="F27" s="121"/>
      <c r="H27" s="53"/>
      <c r="I27" s="49"/>
      <c r="J27" s="50"/>
      <c r="K27" s="44"/>
      <c r="L27" s="45"/>
      <c r="M27" s="46"/>
      <c r="N27" s="35"/>
      <c r="P27" s="57"/>
      <c r="Q27" s="35"/>
      <c r="S27" s="57"/>
      <c r="T27" s="707" t="s">
        <v>404</v>
      </c>
      <c r="U27" s="708"/>
      <c r="V27" s="47">
        <f>ROUND((ROUND((_11_A通院１０．５*(1+_11・A夜間)),0)*_11・初任),0)+ROUND((ROUND((_11_B通院１０．５＿１．５*(1+_11・B深夜)),0)*_11・初任),0)</f>
        <v>655</v>
      </c>
      <c r="W27" s="48"/>
    </row>
    <row r="28" spans="1:23" ht="16.5" customHeight="1" x14ac:dyDescent="0.15">
      <c r="A28" s="41">
        <v>11</v>
      </c>
      <c r="B28" s="41" t="s">
        <v>5571</v>
      </c>
      <c r="C28" s="74" t="s">
        <v>5572</v>
      </c>
      <c r="D28" s="72"/>
      <c r="F28" s="121"/>
      <c r="H28" s="43"/>
      <c r="I28" s="37"/>
      <c r="J28" s="38"/>
      <c r="K28" s="44" t="s">
        <v>397</v>
      </c>
      <c r="L28" s="45" t="s">
        <v>398</v>
      </c>
      <c r="M28" s="46">
        <v>1</v>
      </c>
      <c r="N28" s="35"/>
      <c r="P28" s="57"/>
      <c r="Q28" s="35"/>
      <c r="S28" s="57"/>
      <c r="T28" s="709"/>
      <c r="U28" s="704"/>
      <c r="V28" s="47">
        <f>ROUND((ROUND((ROUND((_11_A通院１０．５*_11・２人),0)*(1+_11・A夜間)),0)*_11・初任),0)+ROUND((ROUND((ROUND((_11_B通院１０．５＿１．５*_11・２人),0)*(1+_11・B深夜)),0)*_11・初任),0)</f>
        <v>655</v>
      </c>
      <c r="W28" s="48"/>
    </row>
    <row r="29" spans="1:23" ht="16.5" customHeight="1" x14ac:dyDescent="0.15">
      <c r="A29" s="41">
        <v>11</v>
      </c>
      <c r="B29" s="41" t="s">
        <v>5573</v>
      </c>
      <c r="C29" s="74" t="s">
        <v>5574</v>
      </c>
      <c r="D29" s="72"/>
      <c r="F29" s="72"/>
      <c r="H29" s="752" t="s">
        <v>400</v>
      </c>
      <c r="I29" s="49" t="s">
        <v>398</v>
      </c>
      <c r="J29" s="50">
        <v>0.7</v>
      </c>
      <c r="K29" s="44"/>
      <c r="L29" s="45"/>
      <c r="M29" s="46"/>
      <c r="N29" s="35"/>
      <c r="P29" s="57"/>
      <c r="Q29" s="35"/>
      <c r="S29" s="57"/>
      <c r="T29" s="709"/>
      <c r="U29" s="704"/>
      <c r="V29" s="47">
        <f>ROUND((ROUND((ROUND((_11_A通院１０．５*_11・基礎１),0)*(1+_11・A夜間)),0)*_11・初任),0)+ROUND((ROUND((ROUND((_11_B通院１０．５＿１．５*_11・基礎１),0)*(1+_11・B深夜)),0)*_11・初任),0)</f>
        <v>459</v>
      </c>
      <c r="W29" s="48"/>
    </row>
    <row r="30" spans="1:23" ht="16.5" customHeight="1" x14ac:dyDescent="0.15">
      <c r="A30" s="41">
        <v>11</v>
      </c>
      <c r="B30" s="41" t="s">
        <v>5575</v>
      </c>
      <c r="C30" s="74" t="s">
        <v>5576</v>
      </c>
      <c r="D30" s="72"/>
      <c r="F30" s="72"/>
      <c r="H30" s="711"/>
      <c r="I30" s="37"/>
      <c r="J30" s="38"/>
      <c r="K30" s="44" t="s">
        <v>397</v>
      </c>
      <c r="L30" s="45" t="s">
        <v>398</v>
      </c>
      <c r="M30" s="46">
        <v>1</v>
      </c>
      <c r="N30" s="35"/>
      <c r="P30" s="57"/>
      <c r="Q30" s="35"/>
      <c r="S30" s="57"/>
      <c r="T30" s="55" t="s">
        <v>398</v>
      </c>
      <c r="U30" s="38">
        <f>_11・初任</f>
        <v>0.7</v>
      </c>
      <c r="V30" s="47">
        <f>ROUND((ROUND((ROUND((ROUND((_11_A通院１０．５*_11・基礎１),0)*_11・２人),0)*(1+_11・A夜間)),0)*_11・初任),0)+ROUND((ROUND((ROUND((ROUND((_11_B通院１０．５＿１．５*_11・基礎１),0)*_11・２人),0)*(1+_11・B深夜)),0)*_11・初任),0)</f>
        <v>459</v>
      </c>
      <c r="W30" s="48"/>
    </row>
    <row r="31" spans="1:23" ht="16.5" customHeight="1" x14ac:dyDescent="0.15">
      <c r="A31" s="41">
        <v>11</v>
      </c>
      <c r="B31" s="41">
        <v>3499</v>
      </c>
      <c r="C31" s="74" t="s">
        <v>5577</v>
      </c>
      <c r="D31" s="72"/>
      <c r="F31" s="707" t="s">
        <v>3801</v>
      </c>
      <c r="G31" s="717"/>
      <c r="H31" s="53"/>
      <c r="I31" s="49"/>
      <c r="J31" s="50"/>
      <c r="K31" s="44"/>
      <c r="L31" s="45"/>
      <c r="M31" s="46"/>
      <c r="N31" s="35"/>
      <c r="P31" s="57"/>
      <c r="Q31" s="35"/>
      <c r="S31" s="57"/>
      <c r="T31" s="53"/>
      <c r="U31" s="49"/>
      <c r="V31" s="47">
        <f>ROUND((_11_A通院１０．５*(1+_11・A夜間)),0)+ROUND((_11_B通院１０．５＿２．０*(1+_11・B深夜)),0)</f>
        <v>1062</v>
      </c>
      <c r="W31" s="48"/>
    </row>
    <row r="32" spans="1:23" ht="16.5" customHeight="1" x14ac:dyDescent="0.15">
      <c r="A32" s="41">
        <v>11</v>
      </c>
      <c r="B32" s="41">
        <v>3500</v>
      </c>
      <c r="C32" s="74" t="s">
        <v>5578</v>
      </c>
      <c r="D32" s="72"/>
      <c r="F32" s="709"/>
      <c r="G32" s="718"/>
      <c r="H32" s="43"/>
      <c r="I32" s="37"/>
      <c r="J32" s="38"/>
      <c r="K32" s="44" t="s">
        <v>397</v>
      </c>
      <c r="L32" s="45" t="s">
        <v>398</v>
      </c>
      <c r="M32" s="46">
        <v>1</v>
      </c>
      <c r="N32" s="35"/>
      <c r="P32" s="57"/>
      <c r="Q32" s="35"/>
      <c r="S32" s="57"/>
      <c r="T32" s="35"/>
      <c r="V32" s="47">
        <f>ROUND((ROUND((_11_A通院１０．５*_11・２人),0)*(1+_11・A夜間)),0)+ROUND((ROUND((_11_B通院１０．５＿２．０*_11・２人),0)*(1+_11・B深夜)),0)</f>
        <v>1062</v>
      </c>
      <c r="W32" s="48"/>
    </row>
    <row r="33" spans="1:23" ht="16.5" customHeight="1" x14ac:dyDescent="0.15">
      <c r="A33" s="41">
        <v>11</v>
      </c>
      <c r="B33" s="41">
        <v>3501</v>
      </c>
      <c r="C33" s="74" t="s">
        <v>5579</v>
      </c>
      <c r="D33" s="72"/>
      <c r="F33" s="709"/>
      <c r="G33" s="718"/>
      <c r="H33" s="752" t="s">
        <v>400</v>
      </c>
      <c r="I33" s="49" t="s">
        <v>398</v>
      </c>
      <c r="J33" s="50">
        <v>0.7</v>
      </c>
      <c r="K33" s="44"/>
      <c r="L33" s="45"/>
      <c r="M33" s="46"/>
      <c r="N33" s="35"/>
      <c r="P33" s="57"/>
      <c r="Q33" s="35"/>
      <c r="S33" s="57"/>
      <c r="T33" s="35"/>
      <c r="V33" s="47">
        <f>ROUND((ROUND((_11_A通院１０．５*_11・基礎１),0)*(1+_11・A夜間)),0)+ROUND((ROUND((_11_B通院１０．５＿２．０*_11・基礎１),0)*(1+_11・B深夜)),0)</f>
        <v>745</v>
      </c>
      <c r="W33" s="48"/>
    </row>
    <row r="34" spans="1:23" ht="16.5" customHeight="1" x14ac:dyDescent="0.15">
      <c r="A34" s="41">
        <v>11</v>
      </c>
      <c r="B34" s="41">
        <v>3502</v>
      </c>
      <c r="C34" s="74" t="s">
        <v>5580</v>
      </c>
      <c r="D34" s="72"/>
      <c r="F34" s="125">
        <f>_11_B通院１０．５＿２．０</f>
        <v>495</v>
      </c>
      <c r="G34" s="12" t="s">
        <v>392</v>
      </c>
      <c r="H34" s="711"/>
      <c r="I34" s="37"/>
      <c r="J34" s="38"/>
      <c r="K34" s="44" t="s">
        <v>397</v>
      </c>
      <c r="L34" s="45" t="s">
        <v>398</v>
      </c>
      <c r="M34" s="46">
        <v>1</v>
      </c>
      <c r="N34" s="35"/>
      <c r="P34" s="57"/>
      <c r="Q34" s="35"/>
      <c r="S34" s="57"/>
      <c r="T34" s="43"/>
      <c r="U34" s="37"/>
      <c r="V34" s="47">
        <f>ROUND((ROUND((ROUND((_11_A通院１０．５*_11・基礎１),0)*_11・２人),0)*(1+_11・A夜間)),0)+ROUND((ROUND((ROUND((_11_B通院１０．５＿２．０*_11・基礎１),0)*_11・２人),0)*(1+_11・B深夜)),0)</f>
        <v>745</v>
      </c>
      <c r="W34" s="48"/>
    </row>
    <row r="35" spans="1:23" ht="16.5" customHeight="1" x14ac:dyDescent="0.15">
      <c r="A35" s="41">
        <v>11</v>
      </c>
      <c r="B35" s="41" t="s">
        <v>5581</v>
      </c>
      <c r="C35" s="74" t="s">
        <v>5582</v>
      </c>
      <c r="D35" s="72"/>
      <c r="F35" s="121"/>
      <c r="H35" s="53"/>
      <c r="I35" s="49"/>
      <c r="J35" s="50"/>
      <c r="K35" s="44"/>
      <c r="L35" s="45"/>
      <c r="M35" s="46"/>
      <c r="N35" s="35"/>
      <c r="P35" s="57"/>
      <c r="Q35" s="35"/>
      <c r="S35" s="57"/>
      <c r="T35" s="707" t="s">
        <v>404</v>
      </c>
      <c r="U35" s="708"/>
      <c r="V35" s="47">
        <f>ROUND((ROUND((_11_A通院１０．５*(1+_11・A夜間)),0)*_11・初任),0)+ROUND((ROUND((_11_B通院１０．５＿２．０*(1+_11・B深夜)),0)*_11・初任),0)</f>
        <v>743</v>
      </c>
      <c r="W35" s="48"/>
    </row>
    <row r="36" spans="1:23" ht="16.5" customHeight="1" x14ac:dyDescent="0.15">
      <c r="A36" s="41">
        <v>11</v>
      </c>
      <c r="B36" s="41" t="s">
        <v>5583</v>
      </c>
      <c r="C36" s="74" t="s">
        <v>5584</v>
      </c>
      <c r="D36" s="72"/>
      <c r="F36" s="121"/>
      <c r="H36" s="43"/>
      <c r="I36" s="37"/>
      <c r="J36" s="38"/>
      <c r="K36" s="44" t="s">
        <v>397</v>
      </c>
      <c r="L36" s="45" t="s">
        <v>398</v>
      </c>
      <c r="M36" s="46">
        <v>1</v>
      </c>
      <c r="N36" s="35"/>
      <c r="P36" s="57"/>
      <c r="Q36" s="35"/>
      <c r="S36" s="57"/>
      <c r="T36" s="709"/>
      <c r="U36" s="704"/>
      <c r="V36" s="47">
        <f>ROUND((ROUND((ROUND((_11_A通院１０．５*_11・２人),0)*(1+_11・A夜間)),0)*_11・初任),0)+ROUND((ROUND((ROUND((_11_B通院１０．５＿２．０*_11・２人),0)*(1+_11・B深夜)),0)*_11・初任),0)</f>
        <v>743</v>
      </c>
      <c r="W36" s="48"/>
    </row>
    <row r="37" spans="1:23" ht="16.5" customHeight="1" x14ac:dyDescent="0.15">
      <c r="A37" s="41">
        <v>11</v>
      </c>
      <c r="B37" s="41" t="s">
        <v>5585</v>
      </c>
      <c r="C37" s="74" t="s">
        <v>5586</v>
      </c>
      <c r="D37" s="72"/>
      <c r="F37" s="72"/>
      <c r="H37" s="752" t="s">
        <v>400</v>
      </c>
      <c r="I37" s="49" t="s">
        <v>398</v>
      </c>
      <c r="J37" s="50">
        <v>0.7</v>
      </c>
      <c r="K37" s="44"/>
      <c r="L37" s="45"/>
      <c r="M37" s="46"/>
      <c r="N37" s="35"/>
      <c r="P37" s="57"/>
      <c r="Q37" s="35"/>
      <c r="S37" s="57"/>
      <c r="T37" s="709"/>
      <c r="U37" s="704"/>
      <c r="V37" s="47">
        <f>ROUND((ROUND((ROUND((_11_A通院１０．５*_11・基礎１),0)*(1+_11・A夜間)),0)*_11・初任),0)+ROUND((ROUND((ROUND((_11_B通院１０．５＿２．０*_11・基礎１),0)*(1+_11・B深夜)),0)*_11・初任),0)</f>
        <v>522</v>
      </c>
      <c r="W37" s="48"/>
    </row>
    <row r="38" spans="1:23" ht="16.5" customHeight="1" x14ac:dyDescent="0.15">
      <c r="A38" s="41">
        <v>11</v>
      </c>
      <c r="B38" s="41" t="s">
        <v>5587</v>
      </c>
      <c r="C38" s="74" t="s">
        <v>5588</v>
      </c>
      <c r="D38" s="72"/>
      <c r="F38" s="72"/>
      <c r="H38" s="711"/>
      <c r="I38" s="37"/>
      <c r="J38" s="38"/>
      <c r="K38" s="44" t="s">
        <v>397</v>
      </c>
      <c r="L38" s="45" t="s">
        <v>398</v>
      </c>
      <c r="M38" s="46">
        <v>1</v>
      </c>
      <c r="N38" s="35"/>
      <c r="P38" s="57"/>
      <c r="Q38" s="35"/>
      <c r="S38" s="57"/>
      <c r="T38" s="55" t="s">
        <v>398</v>
      </c>
      <c r="U38" s="38">
        <f>_11・初任</f>
        <v>0.7</v>
      </c>
      <c r="V38" s="47">
        <f>ROUND((ROUND((ROUND((ROUND((_11_A通院１０．５*_11・基礎１),0)*_11・２人),0)*(1+_11・A夜間)),0)*_11・初任),0)+ROUND((ROUND((ROUND((ROUND((_11_B通院１０．５＿２．０*_11・基礎１),0)*_11・２人),0)*(1+_11・B深夜)),0)*_11・初任),0)</f>
        <v>522</v>
      </c>
      <c r="W38" s="48"/>
    </row>
    <row r="39" spans="1:23" ht="16.5" customHeight="1" x14ac:dyDescent="0.15">
      <c r="A39" s="41">
        <v>11</v>
      </c>
      <c r="B39" s="41">
        <v>3503</v>
      </c>
      <c r="C39" s="74" t="s">
        <v>5589</v>
      </c>
      <c r="D39" s="72"/>
      <c r="F39" s="707" t="s">
        <v>5590</v>
      </c>
      <c r="G39" s="717"/>
      <c r="H39" s="53"/>
      <c r="I39" s="49"/>
      <c r="J39" s="50"/>
      <c r="K39" s="44"/>
      <c r="L39" s="45"/>
      <c r="M39" s="46"/>
      <c r="N39" s="35"/>
      <c r="P39" s="57"/>
      <c r="Q39" s="35"/>
      <c r="S39" s="57"/>
      <c r="T39" s="53"/>
      <c r="U39" s="49"/>
      <c r="V39" s="47">
        <f>ROUND((_11_A通院１０．５*(1+_11・A夜間)),0)+ROUND((_11_B通院１０．５＿２．５*(1+_11・B深夜)),0)</f>
        <v>1186</v>
      </c>
      <c r="W39" s="48"/>
    </row>
    <row r="40" spans="1:23" ht="16.5" customHeight="1" x14ac:dyDescent="0.15">
      <c r="A40" s="41">
        <v>11</v>
      </c>
      <c r="B40" s="41">
        <v>3504</v>
      </c>
      <c r="C40" s="74" t="s">
        <v>5591</v>
      </c>
      <c r="D40" s="72"/>
      <c r="F40" s="709"/>
      <c r="G40" s="718"/>
      <c r="H40" s="43"/>
      <c r="I40" s="37"/>
      <c r="J40" s="38"/>
      <c r="K40" s="44" t="s">
        <v>397</v>
      </c>
      <c r="L40" s="45" t="s">
        <v>398</v>
      </c>
      <c r="M40" s="46">
        <v>1</v>
      </c>
      <c r="N40" s="35"/>
      <c r="P40" s="57"/>
      <c r="Q40" s="35"/>
      <c r="S40" s="57"/>
      <c r="T40" s="35"/>
      <c r="V40" s="47">
        <f>ROUND((ROUND((_11_A通院１０．５*_11・２人),0)*(1+_11・A夜間)),0)+ROUND((ROUND((_11_B通院１０．５＿２．５*_11・２人),0)*(1+_11・B深夜)),0)</f>
        <v>1186</v>
      </c>
      <c r="W40" s="48"/>
    </row>
    <row r="41" spans="1:23" ht="16.5" customHeight="1" x14ac:dyDescent="0.15">
      <c r="A41" s="41">
        <v>11</v>
      </c>
      <c r="B41" s="41">
        <v>3505</v>
      </c>
      <c r="C41" s="74" t="s">
        <v>5592</v>
      </c>
      <c r="D41" s="72"/>
      <c r="F41" s="709"/>
      <c r="G41" s="718"/>
      <c r="H41" s="752" t="s">
        <v>400</v>
      </c>
      <c r="I41" s="49" t="s">
        <v>398</v>
      </c>
      <c r="J41" s="50">
        <v>0.7</v>
      </c>
      <c r="K41" s="44"/>
      <c r="L41" s="45"/>
      <c r="M41" s="46"/>
      <c r="N41" s="35"/>
      <c r="P41" s="57"/>
      <c r="Q41" s="35"/>
      <c r="S41" s="57"/>
      <c r="T41" s="35"/>
      <c r="V41" s="47">
        <f>ROUND((ROUND((_11_A通院１０．５*_11・基礎１),0)*(1+_11・A夜間)),0)+ROUND((ROUND((_11_B通院１０．５＿２．５*_11・基礎１),0)*(1+_11・B深夜)),0)</f>
        <v>832</v>
      </c>
      <c r="W41" s="48"/>
    </row>
    <row r="42" spans="1:23" ht="16.5" customHeight="1" x14ac:dyDescent="0.15">
      <c r="A42" s="41">
        <v>11</v>
      </c>
      <c r="B42" s="41">
        <v>3506</v>
      </c>
      <c r="C42" s="74" t="s">
        <v>5593</v>
      </c>
      <c r="D42" s="72"/>
      <c r="F42" s="125">
        <f>_11_B通院１０．５＿２．５</f>
        <v>578</v>
      </c>
      <c r="G42" s="12" t="s">
        <v>392</v>
      </c>
      <c r="H42" s="711"/>
      <c r="I42" s="37"/>
      <c r="J42" s="38"/>
      <c r="K42" s="44" t="s">
        <v>397</v>
      </c>
      <c r="L42" s="45" t="s">
        <v>398</v>
      </c>
      <c r="M42" s="46">
        <v>1</v>
      </c>
      <c r="N42" s="35"/>
      <c r="P42" s="57"/>
      <c r="Q42" s="35"/>
      <c r="S42" s="57"/>
      <c r="T42" s="43"/>
      <c r="U42" s="37"/>
      <c r="V42" s="47">
        <f>ROUND((ROUND((ROUND((_11_A通院１０．５*_11・基礎１),0)*_11・２人),0)*(1+_11・A夜間)),0)+ROUND((ROUND((ROUND((_11_B通院１０．５＿２．５*_11・基礎１),0)*_11・２人),0)*(1+_11・B深夜)),0)</f>
        <v>832</v>
      </c>
      <c r="W42" s="48"/>
    </row>
    <row r="43" spans="1:23" ht="16.5" customHeight="1" x14ac:dyDescent="0.15">
      <c r="A43" s="41">
        <v>11</v>
      </c>
      <c r="B43" s="41" t="s">
        <v>5594</v>
      </c>
      <c r="C43" s="74" t="s">
        <v>5595</v>
      </c>
      <c r="D43" s="72"/>
      <c r="F43" s="121"/>
      <c r="H43" s="53"/>
      <c r="I43" s="49"/>
      <c r="J43" s="50"/>
      <c r="K43" s="44"/>
      <c r="L43" s="45"/>
      <c r="M43" s="46"/>
      <c r="N43" s="35"/>
      <c r="P43" s="57"/>
      <c r="Q43" s="35"/>
      <c r="S43" s="57"/>
      <c r="T43" s="707" t="s">
        <v>404</v>
      </c>
      <c r="U43" s="708"/>
      <c r="V43" s="47">
        <f>ROUND((ROUND((_11_A通院１０．５*(1+_11・A夜間)),0)*_11・初任),0)+ROUND((ROUND((_11_B通院１０．５＿２．５*(1+_11・B深夜)),0)*_11・初任),0)</f>
        <v>830</v>
      </c>
      <c r="W43" s="48"/>
    </row>
    <row r="44" spans="1:23" ht="16.5" customHeight="1" x14ac:dyDescent="0.15">
      <c r="A44" s="41">
        <v>11</v>
      </c>
      <c r="B44" s="41" t="s">
        <v>5596</v>
      </c>
      <c r="C44" s="74" t="s">
        <v>5597</v>
      </c>
      <c r="D44" s="72"/>
      <c r="F44" s="121"/>
      <c r="H44" s="43"/>
      <c r="I44" s="37"/>
      <c r="J44" s="38"/>
      <c r="K44" s="44" t="s">
        <v>397</v>
      </c>
      <c r="L44" s="45" t="s">
        <v>398</v>
      </c>
      <c r="M44" s="46">
        <v>1</v>
      </c>
      <c r="N44" s="35"/>
      <c r="P44" s="57"/>
      <c r="Q44" s="35"/>
      <c r="S44" s="57"/>
      <c r="T44" s="709"/>
      <c r="U44" s="704"/>
      <c r="V44" s="47">
        <f>ROUND((ROUND((ROUND((_11_A通院１０．５*_11・２人),0)*(1+_11・A夜間)),0)*_11・初任),0)+ROUND((ROUND((ROUND((_11_B通院１０．５＿２．５*_11・２人),0)*(1+_11・B深夜)),0)*_11・初任),0)</f>
        <v>830</v>
      </c>
      <c r="W44" s="48"/>
    </row>
    <row r="45" spans="1:23" ht="16.5" customHeight="1" x14ac:dyDescent="0.15">
      <c r="A45" s="41">
        <v>11</v>
      </c>
      <c r="B45" s="41" t="s">
        <v>5598</v>
      </c>
      <c r="C45" s="74" t="s">
        <v>5599</v>
      </c>
      <c r="D45" s="72"/>
      <c r="F45" s="72"/>
      <c r="H45" s="752" t="s">
        <v>400</v>
      </c>
      <c r="I45" s="49" t="s">
        <v>398</v>
      </c>
      <c r="J45" s="50">
        <v>0.7</v>
      </c>
      <c r="K45" s="44"/>
      <c r="L45" s="45"/>
      <c r="M45" s="46"/>
      <c r="N45" s="35"/>
      <c r="P45" s="57"/>
      <c r="Q45" s="35"/>
      <c r="S45" s="57"/>
      <c r="T45" s="709"/>
      <c r="U45" s="704"/>
      <c r="V45" s="47">
        <f>ROUND((ROUND((ROUND((_11_A通院１０．５*_11・基礎１),0)*(1+_11・A夜間)),0)*_11・初任),0)+ROUND((ROUND((ROUND((_11_B通院１０．５＿２．５*_11・基礎１),0)*(1+_11・B深夜)),0)*_11・初任),0)</f>
        <v>583</v>
      </c>
      <c r="W45" s="48"/>
    </row>
    <row r="46" spans="1:23" ht="16.5" customHeight="1" x14ac:dyDescent="0.15">
      <c r="A46" s="41">
        <v>11</v>
      </c>
      <c r="B46" s="41" t="s">
        <v>5600</v>
      </c>
      <c r="C46" s="74" t="s">
        <v>5601</v>
      </c>
      <c r="D46" s="72"/>
      <c r="F46" s="72"/>
      <c r="H46" s="711"/>
      <c r="I46" s="37"/>
      <c r="J46" s="38"/>
      <c r="K46" s="44" t="s">
        <v>397</v>
      </c>
      <c r="L46" s="45" t="s">
        <v>398</v>
      </c>
      <c r="M46" s="46">
        <v>1</v>
      </c>
      <c r="N46" s="35"/>
      <c r="P46" s="57"/>
      <c r="Q46" s="35"/>
      <c r="S46" s="57"/>
      <c r="T46" s="55" t="s">
        <v>398</v>
      </c>
      <c r="U46" s="38">
        <f>_11・初任</f>
        <v>0.7</v>
      </c>
      <c r="V46" s="47">
        <f>ROUND((ROUND((ROUND((ROUND((_11_A通院１０．５*_11・基礎１),0)*_11・２人),0)*(1+_11・A夜間)),0)*_11・初任),0)+ROUND((ROUND((ROUND((ROUND((_11_B通院１０．５＿２．５*_11・基礎１),0)*_11・２人),0)*(1+_11・B深夜)),0)*_11・初任),0)</f>
        <v>583</v>
      </c>
      <c r="W46" s="48"/>
    </row>
    <row r="47" spans="1:23" ht="16.5" customHeight="1" x14ac:dyDescent="0.15">
      <c r="A47" s="41">
        <v>11</v>
      </c>
      <c r="B47" s="41">
        <v>3507</v>
      </c>
      <c r="C47" s="74" t="s">
        <v>5602</v>
      </c>
      <c r="D47" s="707" t="s">
        <v>5603</v>
      </c>
      <c r="E47" s="717"/>
      <c r="F47" s="707" t="s">
        <v>3780</v>
      </c>
      <c r="G47" s="717"/>
      <c r="H47" s="53"/>
      <c r="I47" s="49"/>
      <c r="J47" s="50"/>
      <c r="K47" s="44"/>
      <c r="L47" s="45"/>
      <c r="M47" s="46"/>
      <c r="N47" s="35"/>
      <c r="P47" s="57"/>
      <c r="Q47" s="35"/>
      <c r="S47" s="57"/>
      <c r="T47" s="53"/>
      <c r="U47" s="49"/>
      <c r="V47" s="47">
        <f>ROUND((_11_A通院１１．０*(1+_11・A夜間)),0)+ROUND((_11_B通院１１．０＿０．５*(1+_11・B深夜)),0)</f>
        <v>776</v>
      </c>
      <c r="W47" s="48"/>
    </row>
    <row r="48" spans="1:23" ht="16.5" customHeight="1" x14ac:dyDescent="0.15">
      <c r="A48" s="41">
        <v>11</v>
      </c>
      <c r="B48" s="41">
        <v>3508</v>
      </c>
      <c r="C48" s="74" t="s">
        <v>5604</v>
      </c>
      <c r="D48" s="709"/>
      <c r="E48" s="718"/>
      <c r="F48" s="709"/>
      <c r="G48" s="718"/>
      <c r="H48" s="43"/>
      <c r="I48" s="37"/>
      <c r="J48" s="38"/>
      <c r="K48" s="44" t="s">
        <v>397</v>
      </c>
      <c r="L48" s="45" t="s">
        <v>398</v>
      </c>
      <c r="M48" s="46">
        <v>1</v>
      </c>
      <c r="N48" s="35"/>
      <c r="P48" s="57"/>
      <c r="Q48" s="35"/>
      <c r="S48" s="57"/>
      <c r="T48" s="35"/>
      <c r="V48" s="47">
        <f>ROUND((ROUND((_11_A通院１１．０*_11・２人),0)*(1+_11・A夜間)),0)+ROUND((ROUND((_11_B通院１１．０＿０．５*_11・２人),0)*(1+_11・B深夜)),0)</f>
        <v>776</v>
      </c>
      <c r="W48" s="48"/>
    </row>
    <row r="49" spans="1:23" ht="16.5" customHeight="1" x14ac:dyDescent="0.15">
      <c r="A49" s="41">
        <v>11</v>
      </c>
      <c r="B49" s="41">
        <v>3509</v>
      </c>
      <c r="C49" s="74" t="s">
        <v>5605</v>
      </c>
      <c r="D49" s="709"/>
      <c r="E49" s="718"/>
      <c r="F49" s="709"/>
      <c r="G49" s="718"/>
      <c r="H49" s="752" t="s">
        <v>400</v>
      </c>
      <c r="I49" s="49" t="s">
        <v>398</v>
      </c>
      <c r="J49" s="50">
        <v>0.7</v>
      </c>
      <c r="K49" s="44"/>
      <c r="L49" s="45"/>
      <c r="M49" s="46"/>
      <c r="N49" s="35"/>
      <c r="P49" s="57"/>
      <c r="Q49" s="35"/>
      <c r="S49" s="57"/>
      <c r="T49" s="35"/>
      <c r="V49" s="47">
        <f>ROUND((ROUND((_11_A通院１１．０*_11・基礎１),0)*(1+_11・A夜間)),0)+ROUND((ROUND((_11_B通院１１．０＿０．５*_11・基礎１),0)*(1+_11・B深夜)),0)</f>
        <v>542</v>
      </c>
      <c r="W49" s="48"/>
    </row>
    <row r="50" spans="1:23" ht="16.5" customHeight="1" x14ac:dyDescent="0.15">
      <c r="A50" s="41">
        <v>11</v>
      </c>
      <c r="B50" s="41">
        <v>3510</v>
      </c>
      <c r="C50" s="74" t="s">
        <v>5606</v>
      </c>
      <c r="D50" s="125">
        <f>_11_A通院１１．０</f>
        <v>402</v>
      </c>
      <c r="E50" s="12" t="s">
        <v>392</v>
      </c>
      <c r="F50" s="125">
        <f>_11_B通院１１．０＿０．５</f>
        <v>182</v>
      </c>
      <c r="G50" s="12" t="s">
        <v>392</v>
      </c>
      <c r="H50" s="711"/>
      <c r="I50" s="37"/>
      <c r="J50" s="38"/>
      <c r="K50" s="44" t="s">
        <v>397</v>
      </c>
      <c r="L50" s="45" t="s">
        <v>398</v>
      </c>
      <c r="M50" s="46">
        <v>1</v>
      </c>
      <c r="N50" s="35"/>
      <c r="P50" s="57"/>
      <c r="Q50" s="35"/>
      <c r="S50" s="57"/>
      <c r="T50" s="43"/>
      <c r="U50" s="37"/>
      <c r="V50" s="47">
        <f>ROUND((ROUND((ROUND((_11_A通院１１．０*_11・基礎１),0)*_11・２人),0)*(1+_11・A夜間)),0)+ROUND((ROUND((ROUND((_11_B通院１１．０＿０．５*_11・基礎１),0)*_11・２人),0)*(1+_11・B深夜)),0)</f>
        <v>542</v>
      </c>
      <c r="W50" s="48"/>
    </row>
    <row r="51" spans="1:23" ht="16.5" customHeight="1" x14ac:dyDescent="0.15">
      <c r="A51" s="41">
        <v>11</v>
      </c>
      <c r="B51" s="41" t="s">
        <v>5607</v>
      </c>
      <c r="C51" s="74" t="s">
        <v>5608</v>
      </c>
      <c r="D51" s="121"/>
      <c r="F51" s="121"/>
      <c r="H51" s="53"/>
      <c r="I51" s="49"/>
      <c r="J51" s="50"/>
      <c r="K51" s="44"/>
      <c r="L51" s="45"/>
      <c r="M51" s="46"/>
      <c r="N51" s="35"/>
      <c r="P51" s="57"/>
      <c r="Q51" s="35"/>
      <c r="S51" s="57"/>
      <c r="T51" s="707" t="s">
        <v>404</v>
      </c>
      <c r="U51" s="708"/>
      <c r="V51" s="47">
        <f>ROUND((ROUND((_11_A通院１１．０*(1+_11・A夜間)),0)*_11・初任),0)+ROUND((ROUND((_11_B通院１１．０＿０．５*(1+_11・B深夜)),0)*_11・初任),0)</f>
        <v>543</v>
      </c>
      <c r="W51" s="48"/>
    </row>
    <row r="52" spans="1:23" ht="16.5" customHeight="1" x14ac:dyDescent="0.15">
      <c r="A52" s="41">
        <v>11</v>
      </c>
      <c r="B52" s="41" t="s">
        <v>5609</v>
      </c>
      <c r="C52" s="74" t="s">
        <v>5610</v>
      </c>
      <c r="D52" s="121"/>
      <c r="F52" s="121"/>
      <c r="H52" s="43"/>
      <c r="I52" s="37"/>
      <c r="J52" s="38"/>
      <c r="K52" s="44" t="s">
        <v>397</v>
      </c>
      <c r="L52" s="45" t="s">
        <v>398</v>
      </c>
      <c r="M52" s="46">
        <v>1</v>
      </c>
      <c r="N52" s="35"/>
      <c r="P52" s="57"/>
      <c r="Q52" s="35"/>
      <c r="S52" s="57"/>
      <c r="T52" s="709"/>
      <c r="U52" s="704"/>
      <c r="V52" s="47">
        <f>ROUND((ROUND((ROUND((_11_A通院１１．０*_11・２人),0)*(1+_11・A夜間)),0)*_11・初任),0)+ROUND((ROUND((ROUND((_11_B通院１１．０＿０．５*_11・２人),0)*(1+_11・B深夜)),0)*_11・初任),0)</f>
        <v>543</v>
      </c>
      <c r="W52" s="48"/>
    </row>
    <row r="53" spans="1:23" ht="16.5" customHeight="1" x14ac:dyDescent="0.15">
      <c r="A53" s="41">
        <v>11</v>
      </c>
      <c r="B53" s="41" t="s">
        <v>5611</v>
      </c>
      <c r="C53" s="74" t="s">
        <v>5612</v>
      </c>
      <c r="D53" s="72"/>
      <c r="F53" s="72"/>
      <c r="H53" s="752" t="s">
        <v>400</v>
      </c>
      <c r="I53" s="49" t="s">
        <v>398</v>
      </c>
      <c r="J53" s="50">
        <v>0.7</v>
      </c>
      <c r="K53" s="44"/>
      <c r="L53" s="45"/>
      <c r="M53" s="46"/>
      <c r="N53" s="35"/>
      <c r="P53" s="57"/>
      <c r="Q53" s="35"/>
      <c r="S53" s="57"/>
      <c r="T53" s="709"/>
      <c r="U53" s="704"/>
      <c r="V53" s="47">
        <f>ROUND((ROUND((ROUND((_11_A通院１１．０*_11・基礎１),0)*(1+_11・A夜間)),0)*_11・初任),0)+ROUND((ROUND((ROUND((_11_B通院１１．０＿０．５*_11・基礎１),0)*(1+_11・B深夜)),0)*_11・初任),0)</f>
        <v>380</v>
      </c>
      <c r="W53" s="48"/>
    </row>
    <row r="54" spans="1:23" ht="16.5" customHeight="1" x14ac:dyDescent="0.15">
      <c r="A54" s="41">
        <v>11</v>
      </c>
      <c r="B54" s="41" t="s">
        <v>5613</v>
      </c>
      <c r="C54" s="74" t="s">
        <v>5614</v>
      </c>
      <c r="D54" s="72"/>
      <c r="F54" s="72"/>
      <c r="H54" s="711"/>
      <c r="I54" s="37"/>
      <c r="J54" s="38"/>
      <c r="K54" s="44" t="s">
        <v>397</v>
      </c>
      <c r="L54" s="45" t="s">
        <v>398</v>
      </c>
      <c r="M54" s="46">
        <v>1</v>
      </c>
      <c r="N54" s="35"/>
      <c r="P54" s="57"/>
      <c r="Q54" s="35"/>
      <c r="S54" s="57"/>
      <c r="T54" s="55" t="s">
        <v>398</v>
      </c>
      <c r="U54" s="38">
        <f>_11・初任</f>
        <v>0.7</v>
      </c>
      <c r="V54" s="47">
        <f>ROUND((ROUND((ROUND((ROUND((_11_A通院１１．０*_11・基礎１),0)*_11・２人),0)*(1+_11・A夜間)),0)*_11・初任),0)+ROUND((ROUND((ROUND((ROUND((_11_B通院１１．０＿０．５*_11・基礎１),0)*_11・２人),0)*(1+_11・B深夜)),0)*_11・初任),0)</f>
        <v>380</v>
      </c>
      <c r="W54" s="48"/>
    </row>
    <row r="55" spans="1:23" ht="16.5" customHeight="1" x14ac:dyDescent="0.15">
      <c r="A55" s="41">
        <v>11</v>
      </c>
      <c r="B55" s="41">
        <v>3511</v>
      </c>
      <c r="C55" s="74" t="s">
        <v>5615</v>
      </c>
      <c r="D55" s="72"/>
      <c r="F55" s="707" t="s">
        <v>3787</v>
      </c>
      <c r="G55" s="717"/>
      <c r="H55" s="53"/>
      <c r="I55" s="49"/>
      <c r="J55" s="50"/>
      <c r="K55" s="44"/>
      <c r="L55" s="45"/>
      <c r="M55" s="46"/>
      <c r="N55" s="35"/>
      <c r="P55" s="57"/>
      <c r="Q55" s="35"/>
      <c r="S55" s="57"/>
      <c r="T55" s="53"/>
      <c r="U55" s="49"/>
      <c r="V55" s="47">
        <f>ROUND((_11_A通院１１．０*(1+_11・A夜間)),0)+ROUND((_11_B通院１１．０＿１．０*(1+_11・B深夜)),0)</f>
        <v>899</v>
      </c>
      <c r="W55" s="48"/>
    </row>
    <row r="56" spans="1:23" ht="16.5" customHeight="1" x14ac:dyDescent="0.15">
      <c r="A56" s="41">
        <v>11</v>
      </c>
      <c r="B56" s="41">
        <v>3512</v>
      </c>
      <c r="C56" s="74" t="s">
        <v>5616</v>
      </c>
      <c r="D56" s="72"/>
      <c r="F56" s="709"/>
      <c r="G56" s="718"/>
      <c r="H56" s="43"/>
      <c r="I56" s="37"/>
      <c r="J56" s="38"/>
      <c r="K56" s="44" t="s">
        <v>397</v>
      </c>
      <c r="L56" s="45" t="s">
        <v>398</v>
      </c>
      <c r="M56" s="46">
        <v>1</v>
      </c>
      <c r="N56" s="35"/>
      <c r="P56" s="57"/>
      <c r="Q56" s="35"/>
      <c r="S56" s="57"/>
      <c r="T56" s="35"/>
      <c r="V56" s="47">
        <f>ROUND((ROUND((_11_A通院１１．０*_11・２人),0)*(1+_11・A夜間)),0)+ROUND((ROUND((_11_B通院１１．０＿１．０*_11・２人),0)*(1+_11・B深夜)),0)</f>
        <v>899</v>
      </c>
      <c r="W56" s="48"/>
    </row>
    <row r="57" spans="1:23" ht="16.5" customHeight="1" x14ac:dyDescent="0.15">
      <c r="A57" s="41">
        <v>11</v>
      </c>
      <c r="B57" s="41">
        <v>3513</v>
      </c>
      <c r="C57" s="74" t="s">
        <v>5617</v>
      </c>
      <c r="D57" s="72"/>
      <c r="F57" s="709"/>
      <c r="G57" s="718"/>
      <c r="H57" s="752" t="s">
        <v>400</v>
      </c>
      <c r="I57" s="49" t="s">
        <v>398</v>
      </c>
      <c r="J57" s="50">
        <v>0.7</v>
      </c>
      <c r="K57" s="44"/>
      <c r="L57" s="45"/>
      <c r="M57" s="46"/>
      <c r="N57" s="35"/>
      <c r="P57" s="57"/>
      <c r="Q57" s="35"/>
      <c r="S57" s="57"/>
      <c r="T57" s="35"/>
      <c r="V57" s="47">
        <f>ROUND((ROUND((_11_A通院１１．０*_11・基礎１),0)*(1+_11・A夜間)),0)+ROUND((ROUND((_11_B通院１１．０＿１．０*_11・基礎１),0)*(1+_11・B深夜)),0)</f>
        <v>629</v>
      </c>
      <c r="W57" s="48"/>
    </row>
    <row r="58" spans="1:23" ht="16.5" customHeight="1" x14ac:dyDescent="0.15">
      <c r="A58" s="41">
        <v>11</v>
      </c>
      <c r="B58" s="41">
        <v>3514</v>
      </c>
      <c r="C58" s="74" t="s">
        <v>5618</v>
      </c>
      <c r="D58" s="72"/>
      <c r="F58" s="125">
        <f>_11_B通院１１．０＿１．０</f>
        <v>264</v>
      </c>
      <c r="G58" s="12" t="s">
        <v>392</v>
      </c>
      <c r="H58" s="711"/>
      <c r="I58" s="37"/>
      <c r="J58" s="38"/>
      <c r="K58" s="44" t="s">
        <v>397</v>
      </c>
      <c r="L58" s="45" t="s">
        <v>398</v>
      </c>
      <c r="M58" s="46">
        <v>1</v>
      </c>
      <c r="N58" s="35"/>
      <c r="P58" s="57"/>
      <c r="Q58" s="35"/>
      <c r="S58" s="57"/>
      <c r="T58" s="43"/>
      <c r="U58" s="37"/>
      <c r="V58" s="47">
        <f>ROUND((ROUND((ROUND((_11_A通院１１．０*_11・基礎１),0)*_11・２人),0)*(1+_11・A夜間)),0)+ROUND((ROUND((ROUND((_11_B通院１１．０＿１．０*_11・基礎１),0)*_11・２人),0)*(1+_11・B深夜)),0)</f>
        <v>629</v>
      </c>
      <c r="W58" s="48"/>
    </row>
    <row r="59" spans="1:23" ht="16.5" customHeight="1" x14ac:dyDescent="0.15">
      <c r="A59" s="41">
        <v>11</v>
      </c>
      <c r="B59" s="41" t="s">
        <v>5619</v>
      </c>
      <c r="C59" s="74" t="s">
        <v>5620</v>
      </c>
      <c r="D59" s="72"/>
      <c r="F59" s="121"/>
      <c r="H59" s="53"/>
      <c r="I59" s="49"/>
      <c r="J59" s="50"/>
      <c r="K59" s="44"/>
      <c r="L59" s="45"/>
      <c r="M59" s="46"/>
      <c r="N59" s="35"/>
      <c r="P59" s="57"/>
      <c r="Q59" s="35"/>
      <c r="S59" s="57"/>
      <c r="T59" s="707" t="s">
        <v>404</v>
      </c>
      <c r="U59" s="708"/>
      <c r="V59" s="47">
        <f>ROUND((ROUND((_11_A通院１１．０*(1+_11・A夜間)),0)*_11・初任),0)+ROUND((ROUND((_11_B通院１１．０＿１．０*(1+_11・B深夜)),0)*_11・初任),0)</f>
        <v>629</v>
      </c>
      <c r="W59" s="48"/>
    </row>
    <row r="60" spans="1:23" ht="16.5" customHeight="1" x14ac:dyDescent="0.15">
      <c r="A60" s="41">
        <v>11</v>
      </c>
      <c r="B60" s="41" t="s">
        <v>5621</v>
      </c>
      <c r="C60" s="74" t="s">
        <v>5622</v>
      </c>
      <c r="D60" s="72"/>
      <c r="F60" s="121"/>
      <c r="H60" s="43"/>
      <c r="I60" s="37"/>
      <c r="J60" s="38"/>
      <c r="K60" s="44" t="s">
        <v>397</v>
      </c>
      <c r="L60" s="45" t="s">
        <v>398</v>
      </c>
      <c r="M60" s="46">
        <v>1</v>
      </c>
      <c r="N60" s="35"/>
      <c r="P60" s="57"/>
      <c r="Q60" s="35"/>
      <c r="S60" s="57"/>
      <c r="T60" s="709"/>
      <c r="U60" s="704"/>
      <c r="V60" s="47">
        <f>ROUND((ROUND((ROUND((_11_A通院１１．０*_11・２人),0)*(1+_11・A夜間)),0)*_11・初任),0)+ROUND((ROUND((ROUND((_11_B通院１１．０＿１．０*_11・２人),0)*(1+_11・B深夜)),0)*_11・初任),0)</f>
        <v>629</v>
      </c>
      <c r="W60" s="48"/>
    </row>
    <row r="61" spans="1:23" ht="16.5" customHeight="1" x14ac:dyDescent="0.15">
      <c r="A61" s="41">
        <v>11</v>
      </c>
      <c r="B61" s="41" t="s">
        <v>5623</v>
      </c>
      <c r="C61" s="74" t="s">
        <v>5624</v>
      </c>
      <c r="D61" s="72"/>
      <c r="F61" s="72"/>
      <c r="H61" s="752" t="s">
        <v>400</v>
      </c>
      <c r="I61" s="49" t="s">
        <v>398</v>
      </c>
      <c r="J61" s="50">
        <v>0.7</v>
      </c>
      <c r="K61" s="44"/>
      <c r="L61" s="45"/>
      <c r="M61" s="46"/>
      <c r="N61" s="35"/>
      <c r="P61" s="57"/>
      <c r="Q61" s="35"/>
      <c r="S61" s="57"/>
      <c r="T61" s="709"/>
      <c r="U61" s="704"/>
      <c r="V61" s="47">
        <f>ROUND((ROUND((ROUND((_11_A通院１１．０*_11・基礎１),0)*(1+_11・A夜間)),0)*_11・初任),0)+ROUND((ROUND((ROUND((_11_B通院１１．０＿１．０*_11・基礎１),0)*(1+_11・B深夜)),0)*_11・初任),0)</f>
        <v>441</v>
      </c>
      <c r="W61" s="48"/>
    </row>
    <row r="62" spans="1:23" ht="16.5" customHeight="1" x14ac:dyDescent="0.15">
      <c r="A62" s="41">
        <v>11</v>
      </c>
      <c r="B62" s="41" t="s">
        <v>5625</v>
      </c>
      <c r="C62" s="74" t="s">
        <v>5626</v>
      </c>
      <c r="D62" s="72"/>
      <c r="F62" s="72"/>
      <c r="H62" s="711"/>
      <c r="I62" s="37"/>
      <c r="J62" s="38"/>
      <c r="K62" s="44" t="s">
        <v>397</v>
      </c>
      <c r="L62" s="45" t="s">
        <v>398</v>
      </c>
      <c r="M62" s="46">
        <v>1</v>
      </c>
      <c r="N62" s="35"/>
      <c r="P62" s="57"/>
      <c r="Q62" s="35"/>
      <c r="S62" s="57"/>
      <c r="T62" s="55" t="s">
        <v>398</v>
      </c>
      <c r="U62" s="38">
        <f>_11・初任</f>
        <v>0.7</v>
      </c>
      <c r="V62" s="47">
        <f>ROUND((ROUND((ROUND((ROUND((_11_A通院１１．０*_11・基礎１),0)*_11・２人),0)*(1+_11・A夜間)),0)*_11・初任),0)+ROUND((ROUND((ROUND((ROUND((_11_B通院１１．０＿１．０*_11・基礎１),0)*_11・２人),0)*(1+_11・B深夜)),0)*_11・初任),0)</f>
        <v>441</v>
      </c>
      <c r="W62" s="48"/>
    </row>
    <row r="63" spans="1:23" ht="16.5" customHeight="1" x14ac:dyDescent="0.15">
      <c r="A63" s="41">
        <v>11</v>
      </c>
      <c r="B63" s="41">
        <v>3515</v>
      </c>
      <c r="C63" s="74" t="s">
        <v>5627</v>
      </c>
      <c r="D63" s="72"/>
      <c r="F63" s="707" t="s">
        <v>3794</v>
      </c>
      <c r="G63" s="717"/>
      <c r="H63" s="53"/>
      <c r="I63" s="49"/>
      <c r="J63" s="50"/>
      <c r="K63" s="44"/>
      <c r="L63" s="45"/>
      <c r="M63" s="46"/>
      <c r="N63" s="35"/>
      <c r="P63" s="57"/>
      <c r="Q63" s="35"/>
      <c r="S63" s="57"/>
      <c r="T63" s="53"/>
      <c r="U63" s="49"/>
      <c r="V63" s="47">
        <f>ROUND((_11_A通院１１．０*(1+_11・A夜間)),0)+ROUND((_11_B通院１１．０＿１．５*(1+_11・B深夜)),0)</f>
        <v>1025</v>
      </c>
      <c r="W63" s="48"/>
    </row>
    <row r="64" spans="1:23" ht="16.5" customHeight="1" x14ac:dyDescent="0.15">
      <c r="A64" s="41">
        <v>11</v>
      </c>
      <c r="B64" s="41">
        <v>3516</v>
      </c>
      <c r="C64" s="74" t="s">
        <v>5628</v>
      </c>
      <c r="D64" s="72"/>
      <c r="F64" s="709"/>
      <c r="G64" s="718"/>
      <c r="H64" s="43"/>
      <c r="I64" s="37"/>
      <c r="J64" s="38"/>
      <c r="K64" s="44" t="s">
        <v>397</v>
      </c>
      <c r="L64" s="45" t="s">
        <v>398</v>
      </c>
      <c r="M64" s="46">
        <v>1</v>
      </c>
      <c r="N64" s="35"/>
      <c r="P64" s="57"/>
      <c r="Q64" s="35"/>
      <c r="S64" s="57"/>
      <c r="T64" s="35"/>
      <c r="V64" s="47">
        <f>ROUND((ROUND((_11_A通院１１．０*_11・２人),0)*(1+_11・A夜間)),0)+ROUND((ROUND((_11_B通院１１．０＿１．５*_11・２人),0)*(1+_11・B深夜)),0)</f>
        <v>1025</v>
      </c>
      <c r="W64" s="48"/>
    </row>
    <row r="65" spans="1:23" ht="16.5" customHeight="1" x14ac:dyDescent="0.15">
      <c r="A65" s="41">
        <v>11</v>
      </c>
      <c r="B65" s="41">
        <v>3517</v>
      </c>
      <c r="C65" s="74" t="s">
        <v>5629</v>
      </c>
      <c r="D65" s="72"/>
      <c r="F65" s="709"/>
      <c r="G65" s="718"/>
      <c r="H65" s="752" t="s">
        <v>400</v>
      </c>
      <c r="I65" s="49" t="s">
        <v>398</v>
      </c>
      <c r="J65" s="50">
        <v>0.7</v>
      </c>
      <c r="K65" s="44"/>
      <c r="L65" s="45"/>
      <c r="M65" s="46"/>
      <c r="N65" s="35"/>
      <c r="P65" s="57"/>
      <c r="Q65" s="35"/>
      <c r="S65" s="57"/>
      <c r="T65" s="35"/>
      <c r="V65" s="47">
        <f>ROUND((ROUND((_11_A通院１１．０*_11・基礎１),0)*(1+_11・A夜間)),0)+ROUND((ROUND((_11_B通院１１．０＿１．５*_11・基礎１),0)*(1+_11・B深夜)),0)</f>
        <v>717</v>
      </c>
      <c r="W65" s="48"/>
    </row>
    <row r="66" spans="1:23" ht="16.5" customHeight="1" x14ac:dyDescent="0.15">
      <c r="A66" s="41">
        <v>11</v>
      </c>
      <c r="B66" s="41">
        <v>3518</v>
      </c>
      <c r="C66" s="74" t="s">
        <v>5630</v>
      </c>
      <c r="D66" s="72"/>
      <c r="F66" s="125">
        <f>_11_B通院１１．０＿１．５</f>
        <v>348</v>
      </c>
      <c r="G66" s="12" t="s">
        <v>392</v>
      </c>
      <c r="H66" s="711"/>
      <c r="I66" s="37"/>
      <c r="J66" s="38"/>
      <c r="K66" s="44" t="s">
        <v>397</v>
      </c>
      <c r="L66" s="45" t="s">
        <v>398</v>
      </c>
      <c r="M66" s="46">
        <v>1</v>
      </c>
      <c r="N66" s="35"/>
      <c r="P66" s="57"/>
      <c r="Q66" s="35"/>
      <c r="S66" s="57"/>
      <c r="T66" s="43"/>
      <c r="U66" s="37"/>
      <c r="V66" s="47">
        <f>ROUND((ROUND((ROUND((_11_A通院１１．０*_11・基礎１),0)*_11・２人),0)*(1+_11・A夜間)),0)+ROUND((ROUND((ROUND((_11_B通院１１．０＿１．５*_11・基礎１),0)*_11・２人),0)*(1+_11・B深夜)),0)</f>
        <v>717</v>
      </c>
      <c r="W66" s="48"/>
    </row>
    <row r="67" spans="1:23" ht="16.5" customHeight="1" x14ac:dyDescent="0.15">
      <c r="A67" s="41">
        <v>11</v>
      </c>
      <c r="B67" s="41" t="s">
        <v>5631</v>
      </c>
      <c r="C67" s="74" t="s">
        <v>5632</v>
      </c>
      <c r="D67" s="72"/>
      <c r="F67" s="121"/>
      <c r="H67" s="53"/>
      <c r="I67" s="49"/>
      <c r="J67" s="50"/>
      <c r="K67" s="44"/>
      <c r="L67" s="45"/>
      <c r="M67" s="46"/>
      <c r="N67" s="35"/>
      <c r="P67" s="57"/>
      <c r="Q67" s="35"/>
      <c r="S67" s="57"/>
      <c r="T67" s="707" t="s">
        <v>404</v>
      </c>
      <c r="U67" s="708"/>
      <c r="V67" s="47">
        <f>ROUND((ROUND((_11_A通院１１．０*(1+_11・A夜間)),0)*_11・初任),0)+ROUND((ROUND((_11_B通院１１．０＿１．５*(1+_11・B深夜)),0)*_11・初任),0)</f>
        <v>717</v>
      </c>
      <c r="W67" s="48"/>
    </row>
    <row r="68" spans="1:23" ht="16.5" customHeight="1" x14ac:dyDescent="0.15">
      <c r="A68" s="41">
        <v>11</v>
      </c>
      <c r="B68" s="41" t="s">
        <v>5633</v>
      </c>
      <c r="C68" s="74" t="s">
        <v>5634</v>
      </c>
      <c r="D68" s="72"/>
      <c r="F68" s="121"/>
      <c r="H68" s="43"/>
      <c r="I68" s="37"/>
      <c r="J68" s="38"/>
      <c r="K68" s="44" t="s">
        <v>397</v>
      </c>
      <c r="L68" s="45" t="s">
        <v>398</v>
      </c>
      <c r="M68" s="46">
        <v>1</v>
      </c>
      <c r="N68" s="35"/>
      <c r="P68" s="57"/>
      <c r="Q68" s="35"/>
      <c r="S68" s="57"/>
      <c r="T68" s="709"/>
      <c r="U68" s="704"/>
      <c r="V68" s="47">
        <f>ROUND((ROUND((ROUND((_11_A通院１１．０*_11・２人),0)*(1+_11・A夜間)),0)*_11・初任),0)+ROUND((ROUND((ROUND((_11_B通院１１．０＿１．５*_11・２人),0)*(1+_11・B深夜)),0)*_11・初任),0)</f>
        <v>717</v>
      </c>
      <c r="W68" s="48"/>
    </row>
    <row r="69" spans="1:23" ht="16.5" customHeight="1" x14ac:dyDescent="0.15">
      <c r="A69" s="41">
        <v>11</v>
      </c>
      <c r="B69" s="41" t="s">
        <v>5635</v>
      </c>
      <c r="C69" s="74" t="s">
        <v>5636</v>
      </c>
      <c r="D69" s="72"/>
      <c r="F69" s="72"/>
      <c r="H69" s="752" t="s">
        <v>400</v>
      </c>
      <c r="I69" s="49" t="s">
        <v>398</v>
      </c>
      <c r="J69" s="50">
        <v>0.7</v>
      </c>
      <c r="K69" s="44"/>
      <c r="L69" s="45"/>
      <c r="M69" s="46"/>
      <c r="N69" s="35"/>
      <c r="P69" s="57"/>
      <c r="Q69" s="35"/>
      <c r="S69" s="57"/>
      <c r="T69" s="709"/>
      <c r="U69" s="704"/>
      <c r="V69" s="47">
        <f>ROUND((ROUND((ROUND((_11_A通院１１．０*_11・基礎１),0)*(1+_11・A夜間)),0)*_11・初任),0)+ROUND((ROUND((ROUND((_11_B通院１１．０＿１．５*_11・基礎１),0)*(1+_11・B深夜)),0)*_11・初任),0)</f>
        <v>502</v>
      </c>
      <c r="W69" s="48"/>
    </row>
    <row r="70" spans="1:23" ht="16.5" customHeight="1" x14ac:dyDescent="0.15">
      <c r="A70" s="41">
        <v>11</v>
      </c>
      <c r="B70" s="41" t="s">
        <v>5637</v>
      </c>
      <c r="C70" s="74" t="s">
        <v>5638</v>
      </c>
      <c r="D70" s="72"/>
      <c r="F70" s="72"/>
      <c r="H70" s="711"/>
      <c r="I70" s="37"/>
      <c r="J70" s="38"/>
      <c r="K70" s="44" t="s">
        <v>397</v>
      </c>
      <c r="L70" s="45" t="s">
        <v>398</v>
      </c>
      <c r="M70" s="46">
        <v>1</v>
      </c>
      <c r="N70" s="35"/>
      <c r="P70" s="57"/>
      <c r="Q70" s="35"/>
      <c r="S70" s="57"/>
      <c r="T70" s="55" t="s">
        <v>398</v>
      </c>
      <c r="U70" s="38">
        <f>_11・初任</f>
        <v>0.7</v>
      </c>
      <c r="V70" s="47">
        <f>ROUND((ROUND((ROUND((ROUND((_11_A通院１１．０*_11・基礎１),0)*_11・２人),0)*(1+_11・A夜間)),0)*_11・初任),0)+ROUND((ROUND((ROUND((ROUND((_11_B通院１１．０＿１．５*_11・基礎１),0)*_11・２人),0)*(1+_11・B深夜)),0)*_11・初任),0)</f>
        <v>502</v>
      </c>
      <c r="W70" s="48"/>
    </row>
    <row r="71" spans="1:23" ht="16.5" customHeight="1" x14ac:dyDescent="0.15">
      <c r="A71" s="41">
        <v>11</v>
      </c>
      <c r="B71" s="41">
        <v>3519</v>
      </c>
      <c r="C71" s="74" t="s">
        <v>5639</v>
      </c>
      <c r="D71" s="72"/>
      <c r="F71" s="707" t="s">
        <v>3801</v>
      </c>
      <c r="G71" s="717"/>
      <c r="H71" s="53"/>
      <c r="I71" s="49"/>
      <c r="J71" s="50"/>
      <c r="K71" s="44"/>
      <c r="L71" s="45"/>
      <c r="M71" s="46"/>
      <c r="N71" s="35"/>
      <c r="P71" s="57"/>
      <c r="Q71" s="35"/>
      <c r="S71" s="57"/>
      <c r="T71" s="53"/>
      <c r="U71" s="49"/>
      <c r="V71" s="47">
        <f>ROUND((_11_A通院１１．０*(1+_11・A夜間)),0)+ROUND((_11_B通院１１．０＿２．０*(1+_11・B深夜)),0)</f>
        <v>1150</v>
      </c>
      <c r="W71" s="48"/>
    </row>
    <row r="72" spans="1:23" ht="16.5" customHeight="1" x14ac:dyDescent="0.15">
      <c r="A72" s="41">
        <v>11</v>
      </c>
      <c r="B72" s="41">
        <v>3520</v>
      </c>
      <c r="C72" s="74" t="s">
        <v>5640</v>
      </c>
      <c r="D72" s="72"/>
      <c r="F72" s="709"/>
      <c r="G72" s="718"/>
      <c r="H72" s="43"/>
      <c r="I72" s="37"/>
      <c r="J72" s="38"/>
      <c r="K72" s="44" t="s">
        <v>397</v>
      </c>
      <c r="L72" s="45" t="s">
        <v>398</v>
      </c>
      <c r="M72" s="46">
        <v>1</v>
      </c>
      <c r="N72" s="35"/>
      <c r="P72" s="57"/>
      <c r="Q72" s="35"/>
      <c r="S72" s="57"/>
      <c r="T72" s="35"/>
      <c r="V72" s="47">
        <f>ROUND((ROUND((_11_A通院１１．０*_11・２人),0)*(1+_11・A夜間)),0)+ROUND((ROUND((_11_B通院１１．０＿２．０*_11・２人),0)*(1+_11・B深夜)),0)</f>
        <v>1150</v>
      </c>
      <c r="W72" s="48"/>
    </row>
    <row r="73" spans="1:23" ht="16.5" customHeight="1" x14ac:dyDescent="0.15">
      <c r="A73" s="41">
        <v>11</v>
      </c>
      <c r="B73" s="41">
        <v>3521</v>
      </c>
      <c r="C73" s="74" t="s">
        <v>5641</v>
      </c>
      <c r="D73" s="72"/>
      <c r="F73" s="709"/>
      <c r="G73" s="718"/>
      <c r="H73" s="752" t="s">
        <v>400</v>
      </c>
      <c r="I73" s="49" t="s">
        <v>398</v>
      </c>
      <c r="J73" s="50">
        <v>0.7</v>
      </c>
      <c r="K73" s="44"/>
      <c r="L73" s="45"/>
      <c r="M73" s="46"/>
      <c r="N73" s="35"/>
      <c r="P73" s="57"/>
      <c r="Q73" s="35"/>
      <c r="S73" s="57"/>
      <c r="T73" s="35"/>
      <c r="V73" s="47">
        <f>ROUND((ROUND((_11_A通院１１．０*_11・基礎１),0)*(1+_11・A夜間)),0)+ROUND((ROUND((_11_B通院１１．０＿２．０*_11・基礎１),0)*(1+_11・B深夜)),0)</f>
        <v>804</v>
      </c>
      <c r="W73" s="48"/>
    </row>
    <row r="74" spans="1:23" ht="16.5" customHeight="1" x14ac:dyDescent="0.15">
      <c r="A74" s="41">
        <v>11</v>
      </c>
      <c r="B74" s="41">
        <v>3522</v>
      </c>
      <c r="C74" s="74" t="s">
        <v>5642</v>
      </c>
      <c r="D74" s="72"/>
      <c r="F74" s="125">
        <f>_11_B通院１１．０＿２．０</f>
        <v>431</v>
      </c>
      <c r="G74" s="12" t="s">
        <v>392</v>
      </c>
      <c r="H74" s="711"/>
      <c r="I74" s="37"/>
      <c r="J74" s="38"/>
      <c r="K74" s="44" t="s">
        <v>397</v>
      </c>
      <c r="L74" s="45" t="s">
        <v>398</v>
      </c>
      <c r="M74" s="46">
        <v>1</v>
      </c>
      <c r="N74" s="35"/>
      <c r="P74" s="57"/>
      <c r="Q74" s="35"/>
      <c r="S74" s="57"/>
      <c r="T74" s="43"/>
      <c r="U74" s="37"/>
      <c r="V74" s="47">
        <f>ROUND((ROUND((ROUND((_11_A通院１１．０*_11・基礎１),0)*_11・２人),0)*(1+_11・A夜間)),0)+ROUND((ROUND((ROUND((_11_B通院１１．０＿２．０*_11・基礎１),0)*_11・２人),0)*(1+_11・B深夜)),0)</f>
        <v>804</v>
      </c>
      <c r="W74" s="48"/>
    </row>
    <row r="75" spans="1:23" ht="16.5" customHeight="1" x14ac:dyDescent="0.15">
      <c r="A75" s="41">
        <v>11</v>
      </c>
      <c r="B75" s="41" t="s">
        <v>5643</v>
      </c>
      <c r="C75" s="74" t="s">
        <v>5644</v>
      </c>
      <c r="D75" s="72"/>
      <c r="F75" s="121"/>
      <c r="H75" s="53"/>
      <c r="I75" s="49"/>
      <c r="J75" s="50"/>
      <c r="K75" s="44"/>
      <c r="L75" s="45"/>
      <c r="M75" s="46"/>
      <c r="N75" s="35"/>
      <c r="P75" s="57"/>
      <c r="Q75" s="35"/>
      <c r="S75" s="57"/>
      <c r="T75" s="707" t="s">
        <v>404</v>
      </c>
      <c r="U75" s="708"/>
      <c r="V75" s="47">
        <f>ROUND((ROUND((_11_A通院１１．０*(1+_11・A夜間)),0)*_11・初任),0)+ROUND((ROUND((_11_B通院１１．０＿２．０*(1+_11・B深夜)),0)*_11・初任),0)</f>
        <v>805</v>
      </c>
      <c r="W75" s="48"/>
    </row>
    <row r="76" spans="1:23" ht="16.5" customHeight="1" x14ac:dyDescent="0.15">
      <c r="A76" s="41">
        <v>11</v>
      </c>
      <c r="B76" s="41" t="s">
        <v>5645</v>
      </c>
      <c r="C76" s="74" t="s">
        <v>5646</v>
      </c>
      <c r="D76" s="72"/>
      <c r="F76" s="121"/>
      <c r="H76" s="43"/>
      <c r="I76" s="37"/>
      <c r="J76" s="38"/>
      <c r="K76" s="44" t="s">
        <v>397</v>
      </c>
      <c r="L76" s="45" t="s">
        <v>398</v>
      </c>
      <c r="M76" s="46">
        <v>1</v>
      </c>
      <c r="N76" s="35"/>
      <c r="P76" s="57"/>
      <c r="Q76" s="35"/>
      <c r="S76" s="57"/>
      <c r="T76" s="709"/>
      <c r="U76" s="704"/>
      <c r="V76" s="47">
        <f>ROUND((ROUND((ROUND((_11_A通院１１．０*_11・２人),0)*(1+_11・A夜間)),0)*_11・初任),0)+ROUND((ROUND((ROUND((_11_B通院１１．０＿２．０*_11・２人),0)*(1+_11・B深夜)),0)*_11・初任),0)</f>
        <v>805</v>
      </c>
      <c r="W76" s="48"/>
    </row>
    <row r="77" spans="1:23" ht="16.5" customHeight="1" x14ac:dyDescent="0.15">
      <c r="A77" s="41">
        <v>11</v>
      </c>
      <c r="B77" s="41" t="s">
        <v>5647</v>
      </c>
      <c r="C77" s="74" t="s">
        <v>5648</v>
      </c>
      <c r="D77" s="72"/>
      <c r="F77" s="72"/>
      <c r="H77" s="752" t="s">
        <v>400</v>
      </c>
      <c r="I77" s="49" t="s">
        <v>398</v>
      </c>
      <c r="J77" s="50">
        <v>0.7</v>
      </c>
      <c r="K77" s="44"/>
      <c r="L77" s="45"/>
      <c r="M77" s="46"/>
      <c r="N77" s="35"/>
      <c r="P77" s="57"/>
      <c r="Q77" s="35"/>
      <c r="S77" s="57"/>
      <c r="T77" s="709"/>
      <c r="U77" s="704"/>
      <c r="V77" s="47">
        <f>ROUND((ROUND((ROUND((_11_A通院１１．０*_11・基礎１),0)*(1+_11・A夜間)),0)*_11・初任),0)+ROUND((ROUND((ROUND((_11_B通院１１．０＿２．０*_11・基礎１),0)*(1+_11・B深夜)),0)*_11・初任),0)</f>
        <v>563</v>
      </c>
      <c r="W77" s="48"/>
    </row>
    <row r="78" spans="1:23" ht="16.5" customHeight="1" x14ac:dyDescent="0.15">
      <c r="A78" s="41">
        <v>11</v>
      </c>
      <c r="B78" s="41" t="s">
        <v>5649</v>
      </c>
      <c r="C78" s="74" t="s">
        <v>5650</v>
      </c>
      <c r="D78" s="122"/>
      <c r="E78" s="37"/>
      <c r="F78" s="122"/>
      <c r="G78" s="37"/>
      <c r="H78" s="711"/>
      <c r="I78" s="37"/>
      <c r="J78" s="38"/>
      <c r="K78" s="44" t="s">
        <v>397</v>
      </c>
      <c r="L78" s="45" t="s">
        <v>398</v>
      </c>
      <c r="M78" s="46">
        <v>1</v>
      </c>
      <c r="N78" s="43"/>
      <c r="O78" s="38"/>
      <c r="P78" s="79"/>
      <c r="Q78" s="43"/>
      <c r="R78" s="38"/>
      <c r="S78" s="79"/>
      <c r="T78" s="55" t="s">
        <v>398</v>
      </c>
      <c r="U78" s="38">
        <f>_11・初任</f>
        <v>0.7</v>
      </c>
      <c r="V78" s="47">
        <f>ROUND((ROUND((ROUND((ROUND((_11_A通院１１．０*_11・基礎１),0)*_11・２人),0)*(1+_11・A夜間)),0)*_11・初任),0)+ROUND((ROUND((ROUND((ROUND((_11_B通院１１．０＿２．０*_11・基礎１),0)*_11・２人),0)*(1+_11・B深夜)),0)*_11・初任),0)</f>
        <v>563</v>
      </c>
      <c r="W78" s="63"/>
    </row>
    <row r="79" spans="1:23" ht="16.5" customHeight="1" x14ac:dyDescent="0.15">
      <c r="A79" s="33">
        <v>11</v>
      </c>
      <c r="B79" s="33">
        <v>3523</v>
      </c>
      <c r="C79" s="34" t="s">
        <v>5651</v>
      </c>
      <c r="D79" s="709" t="s">
        <v>769</v>
      </c>
      <c r="E79" s="718"/>
      <c r="F79" s="709" t="s">
        <v>3780</v>
      </c>
      <c r="G79" s="718"/>
      <c r="H79" s="35"/>
      <c r="K79" s="36"/>
      <c r="L79" s="37"/>
      <c r="M79" s="38"/>
      <c r="N79" s="114" t="s">
        <v>1416</v>
      </c>
      <c r="O79" s="50"/>
      <c r="P79" s="115"/>
      <c r="Q79" s="116" t="s">
        <v>1618</v>
      </c>
      <c r="R79" s="50"/>
      <c r="S79" s="115"/>
      <c r="T79" s="35"/>
      <c r="V79" s="39">
        <f>ROUND((_11_A通院１１．５*(1+_11・A夜間)),0)+ROUND((_11_B通院１１．５＿０．５*(1+_11・B深夜)),0)</f>
        <v>853</v>
      </c>
      <c r="W79" s="48"/>
    </row>
    <row r="80" spans="1:23" ht="16.5" customHeight="1" x14ac:dyDescent="0.15">
      <c r="A80" s="41">
        <v>11</v>
      </c>
      <c r="B80" s="41">
        <v>3524</v>
      </c>
      <c r="C80" s="74" t="s">
        <v>5652</v>
      </c>
      <c r="D80" s="709"/>
      <c r="E80" s="718"/>
      <c r="F80" s="709"/>
      <c r="G80" s="718"/>
      <c r="H80" s="43"/>
      <c r="I80" s="37"/>
      <c r="J80" s="38"/>
      <c r="K80" s="44" t="s">
        <v>397</v>
      </c>
      <c r="L80" s="45" t="s">
        <v>398</v>
      </c>
      <c r="M80" s="46">
        <v>1</v>
      </c>
      <c r="N80" s="35" t="s">
        <v>398</v>
      </c>
      <c r="O80" s="13">
        <v>0.25</v>
      </c>
      <c r="P80" s="728" t="s">
        <v>676</v>
      </c>
      <c r="Q80" s="35" t="s">
        <v>398</v>
      </c>
      <c r="R80" s="13">
        <v>0.5</v>
      </c>
      <c r="S80" s="728" t="s">
        <v>676</v>
      </c>
      <c r="T80" s="35"/>
      <c r="V80" s="47">
        <f>ROUND((ROUND((_11_A通院１１．５*_11・２人),0)*(1+_11・A夜間)),0)+ROUND((ROUND((_11_B通院１１．５＿０．５*_11・２人),0)*(1+_11・B深夜)),0)</f>
        <v>853</v>
      </c>
      <c r="W80" s="48"/>
    </row>
    <row r="81" spans="1:23" ht="16.5" customHeight="1" x14ac:dyDescent="0.15">
      <c r="A81" s="41">
        <v>11</v>
      </c>
      <c r="B81" s="41">
        <v>3525</v>
      </c>
      <c r="C81" s="74" t="s">
        <v>5653</v>
      </c>
      <c r="D81" s="709"/>
      <c r="E81" s="718"/>
      <c r="F81" s="709"/>
      <c r="G81" s="718"/>
      <c r="H81" s="752" t="s">
        <v>400</v>
      </c>
      <c r="I81" s="49" t="s">
        <v>398</v>
      </c>
      <c r="J81" s="50">
        <v>0.7</v>
      </c>
      <c r="K81" s="44"/>
      <c r="L81" s="45"/>
      <c r="M81" s="46"/>
      <c r="N81" s="35"/>
      <c r="P81" s="728"/>
      <c r="Q81" s="35"/>
      <c r="S81" s="728"/>
      <c r="T81" s="35"/>
      <c r="V81" s="47">
        <f>ROUND((ROUND((_11_A通院１１．５*_11・基礎１),0)*(1+_11・A夜間)),0)+ROUND((ROUND((_11_B通院１１．５＿０．５*_11・基礎１),0)*(1+_11・B深夜)),0)</f>
        <v>597</v>
      </c>
      <c r="W81" s="48"/>
    </row>
    <row r="82" spans="1:23" ht="16.5" customHeight="1" x14ac:dyDescent="0.15">
      <c r="A82" s="41">
        <v>11</v>
      </c>
      <c r="B82" s="41">
        <v>3526</v>
      </c>
      <c r="C82" s="74" t="s">
        <v>5654</v>
      </c>
      <c r="D82" s="125">
        <f>_11_A通院１１．５</f>
        <v>584</v>
      </c>
      <c r="E82" s="12" t="s">
        <v>392</v>
      </c>
      <c r="F82" s="125">
        <f>_11_B通院１１．５＿０．５</f>
        <v>82</v>
      </c>
      <c r="G82" s="12" t="s">
        <v>392</v>
      </c>
      <c r="H82" s="711"/>
      <c r="I82" s="37"/>
      <c r="J82" s="38"/>
      <c r="K82" s="44" t="s">
        <v>397</v>
      </c>
      <c r="L82" s="45" t="s">
        <v>398</v>
      </c>
      <c r="M82" s="46">
        <v>1</v>
      </c>
      <c r="N82" s="35"/>
      <c r="P82" s="57"/>
      <c r="Q82" s="35"/>
      <c r="S82" s="57"/>
      <c r="T82" s="43"/>
      <c r="U82" s="37"/>
      <c r="V82" s="47">
        <f>ROUND((ROUND((ROUND((_11_A通院１１．５*_11・基礎１),0)*_11・２人),0)*(1+_11・A夜間)),0)+ROUND((ROUND((ROUND((_11_B通院１１．５＿０．５*_11・基礎１),0)*_11・２人),0)*(1+_11・B深夜)),0)</f>
        <v>597</v>
      </c>
      <c r="W82" s="48"/>
    </row>
    <row r="83" spans="1:23" ht="16.5" customHeight="1" x14ac:dyDescent="0.15">
      <c r="A83" s="41">
        <v>11</v>
      </c>
      <c r="B83" s="41" t="s">
        <v>5655</v>
      </c>
      <c r="C83" s="74" t="s">
        <v>5656</v>
      </c>
      <c r="D83" s="121"/>
      <c r="F83" s="121"/>
      <c r="H83" s="53"/>
      <c r="I83" s="49"/>
      <c r="J83" s="50"/>
      <c r="K83" s="44"/>
      <c r="L83" s="45"/>
      <c r="M83" s="46"/>
      <c r="N83" s="35"/>
      <c r="P83" s="57"/>
      <c r="Q83" s="35"/>
      <c r="S83" s="57"/>
      <c r="T83" s="707" t="s">
        <v>404</v>
      </c>
      <c r="U83" s="708"/>
      <c r="V83" s="47">
        <f>ROUND((ROUND((_11_A通院１１．５*(1+_11・A夜間)),0)*_11・初任),0)+ROUND((ROUND((_11_B通院１１．５＿０．５*(1+_11・B深夜)),0)*_11・初任),0)</f>
        <v>597</v>
      </c>
      <c r="W83" s="48"/>
    </row>
    <row r="84" spans="1:23" ht="16.5" customHeight="1" x14ac:dyDescent="0.15">
      <c r="A84" s="41">
        <v>11</v>
      </c>
      <c r="B84" s="41" t="s">
        <v>5657</v>
      </c>
      <c r="C84" s="74" t="s">
        <v>5658</v>
      </c>
      <c r="D84" s="121"/>
      <c r="F84" s="121"/>
      <c r="H84" s="43"/>
      <c r="I84" s="37"/>
      <c r="J84" s="38"/>
      <c r="K84" s="44" t="s">
        <v>397</v>
      </c>
      <c r="L84" s="45" t="s">
        <v>398</v>
      </c>
      <c r="M84" s="46">
        <v>1</v>
      </c>
      <c r="N84" s="35"/>
      <c r="P84" s="57"/>
      <c r="Q84" s="35"/>
      <c r="S84" s="57"/>
      <c r="T84" s="709"/>
      <c r="U84" s="704"/>
      <c r="V84" s="47">
        <f>ROUND((ROUND((ROUND((_11_A通院１１．５*_11・２人),0)*(1+_11・A夜間)),0)*_11・初任),0)+ROUND((ROUND((ROUND((_11_B通院１１．５＿０．５*_11・２人),0)*(1+_11・B深夜)),0)*_11・初任),0)</f>
        <v>597</v>
      </c>
      <c r="W84" s="48"/>
    </row>
    <row r="85" spans="1:23" ht="16.5" customHeight="1" x14ac:dyDescent="0.15">
      <c r="A85" s="41">
        <v>11</v>
      </c>
      <c r="B85" s="41" t="s">
        <v>5659</v>
      </c>
      <c r="C85" s="74" t="s">
        <v>5660</v>
      </c>
      <c r="D85" s="72"/>
      <c r="F85" s="72"/>
      <c r="H85" s="752" t="s">
        <v>400</v>
      </c>
      <c r="I85" s="49" t="s">
        <v>398</v>
      </c>
      <c r="J85" s="50">
        <v>0.7</v>
      </c>
      <c r="K85" s="44"/>
      <c r="L85" s="45"/>
      <c r="M85" s="46"/>
      <c r="N85" s="35"/>
      <c r="P85" s="57"/>
      <c r="Q85" s="35"/>
      <c r="S85" s="57"/>
      <c r="T85" s="709"/>
      <c r="U85" s="704"/>
      <c r="V85" s="47">
        <f>ROUND((ROUND((ROUND((_11_A通院１１．５*_11・基礎１),0)*(1+_11・A夜間)),0)*_11・初任),0)+ROUND((ROUND((ROUND((_11_B通院１１．５＿０．５*_11・基礎１),0)*(1+_11・B深夜)),0)*_11・初任),0)</f>
        <v>418</v>
      </c>
      <c r="W85" s="48"/>
    </row>
    <row r="86" spans="1:23" ht="16.5" customHeight="1" x14ac:dyDescent="0.15">
      <c r="A86" s="41">
        <v>11</v>
      </c>
      <c r="B86" s="41" t="s">
        <v>5661</v>
      </c>
      <c r="C86" s="74" t="s">
        <v>5662</v>
      </c>
      <c r="D86" s="72"/>
      <c r="F86" s="72"/>
      <c r="H86" s="711"/>
      <c r="I86" s="37"/>
      <c r="J86" s="38"/>
      <c r="K86" s="44" t="s">
        <v>397</v>
      </c>
      <c r="L86" s="45" t="s">
        <v>398</v>
      </c>
      <c r="M86" s="46">
        <v>1</v>
      </c>
      <c r="N86" s="35"/>
      <c r="P86" s="57"/>
      <c r="Q86" s="35"/>
      <c r="S86" s="57"/>
      <c r="T86" s="55" t="s">
        <v>398</v>
      </c>
      <c r="U86" s="38">
        <f>_11・初任</f>
        <v>0.7</v>
      </c>
      <c r="V86" s="47">
        <f>ROUND((ROUND((ROUND((ROUND((_11_A通院１１．５*_11・基礎１),0)*_11・２人),0)*(1+_11・A夜間)),0)*_11・初任),0)+ROUND((ROUND((ROUND((ROUND((_11_B通院１１．５＿０．５*_11・基礎１),0)*_11・２人),0)*(1+_11・B深夜)),0)*_11・初任),0)</f>
        <v>418</v>
      </c>
      <c r="W86" s="48"/>
    </row>
    <row r="87" spans="1:23" ht="16.5" customHeight="1" x14ac:dyDescent="0.15">
      <c r="A87" s="41">
        <v>11</v>
      </c>
      <c r="B87" s="41">
        <v>3527</v>
      </c>
      <c r="C87" s="74" t="s">
        <v>5663</v>
      </c>
      <c r="D87" s="72"/>
      <c r="F87" s="707" t="s">
        <v>3787</v>
      </c>
      <c r="G87" s="717"/>
      <c r="H87" s="53"/>
      <c r="I87" s="49"/>
      <c r="J87" s="50"/>
      <c r="K87" s="44"/>
      <c r="L87" s="45"/>
      <c r="M87" s="46"/>
      <c r="N87" s="35"/>
      <c r="P87" s="57"/>
      <c r="Q87" s="35"/>
      <c r="S87" s="57"/>
      <c r="T87" s="53"/>
      <c r="U87" s="49"/>
      <c r="V87" s="47">
        <f>ROUND((_11_A通院１１．５*(1+_11・A夜間)),0)+ROUND((_11_B通院１１．５＿１．０*(1+_11・B深夜)),0)</f>
        <v>979</v>
      </c>
      <c r="W87" s="48"/>
    </row>
    <row r="88" spans="1:23" ht="16.5" customHeight="1" x14ac:dyDescent="0.15">
      <c r="A88" s="41">
        <v>11</v>
      </c>
      <c r="B88" s="41">
        <v>3528</v>
      </c>
      <c r="C88" s="74" t="s">
        <v>5664</v>
      </c>
      <c r="D88" s="72"/>
      <c r="F88" s="709"/>
      <c r="G88" s="718"/>
      <c r="H88" s="43"/>
      <c r="I88" s="37"/>
      <c r="J88" s="38"/>
      <c r="K88" s="44" t="s">
        <v>397</v>
      </c>
      <c r="L88" s="45" t="s">
        <v>398</v>
      </c>
      <c r="M88" s="46">
        <v>1</v>
      </c>
      <c r="N88" s="35"/>
      <c r="P88" s="57"/>
      <c r="Q88" s="35"/>
      <c r="S88" s="57"/>
      <c r="T88" s="35"/>
      <c r="V88" s="47">
        <f>ROUND((ROUND((_11_A通院１１．５*_11・２人),0)*(1+_11・A夜間)),0)+ROUND((ROUND((_11_B通院１１．５＿１．０*_11・２人),0)*(1+_11・B深夜)),0)</f>
        <v>979</v>
      </c>
      <c r="W88" s="48"/>
    </row>
    <row r="89" spans="1:23" ht="16.5" customHeight="1" x14ac:dyDescent="0.15">
      <c r="A89" s="41">
        <v>11</v>
      </c>
      <c r="B89" s="41">
        <v>3529</v>
      </c>
      <c r="C89" s="74" t="s">
        <v>5665</v>
      </c>
      <c r="D89" s="72"/>
      <c r="F89" s="709"/>
      <c r="G89" s="718"/>
      <c r="H89" s="752" t="s">
        <v>400</v>
      </c>
      <c r="I89" s="49" t="s">
        <v>398</v>
      </c>
      <c r="J89" s="50">
        <v>0.7</v>
      </c>
      <c r="K89" s="44"/>
      <c r="L89" s="45"/>
      <c r="M89" s="46"/>
      <c r="N89" s="35"/>
      <c r="P89" s="57"/>
      <c r="Q89" s="35"/>
      <c r="S89" s="57"/>
      <c r="T89" s="35"/>
      <c r="V89" s="47">
        <f>ROUND((ROUND((_11_A通院１１．５*_11・基礎１),0)*(1+_11・A夜間)),0)+ROUND((ROUND((_11_B通院１１．５＿１．０*_11・基礎１),0)*(1+_11・B深夜)),0)</f>
        <v>685</v>
      </c>
      <c r="W89" s="48"/>
    </row>
    <row r="90" spans="1:23" ht="16.5" customHeight="1" x14ac:dyDescent="0.15">
      <c r="A90" s="41">
        <v>11</v>
      </c>
      <c r="B90" s="41">
        <v>3530</v>
      </c>
      <c r="C90" s="74" t="s">
        <v>5666</v>
      </c>
      <c r="D90" s="72"/>
      <c r="F90" s="125">
        <f>_11_B通院１１．５＿１．０</f>
        <v>166</v>
      </c>
      <c r="G90" s="12" t="s">
        <v>392</v>
      </c>
      <c r="H90" s="711"/>
      <c r="I90" s="37"/>
      <c r="J90" s="38"/>
      <c r="K90" s="44" t="s">
        <v>397</v>
      </c>
      <c r="L90" s="45" t="s">
        <v>398</v>
      </c>
      <c r="M90" s="46">
        <v>1</v>
      </c>
      <c r="N90" s="35"/>
      <c r="P90" s="57"/>
      <c r="Q90" s="35"/>
      <c r="S90" s="57"/>
      <c r="T90" s="43"/>
      <c r="U90" s="37"/>
      <c r="V90" s="47">
        <f>ROUND((ROUND((ROUND((_11_A通院１１．５*_11・基礎１),0)*_11・２人),0)*(1+_11・A夜間)),0)+ROUND((ROUND((ROUND((_11_B通院１１．５＿１．０*_11・基礎１),0)*_11・２人),0)*(1+_11・B深夜)),0)</f>
        <v>685</v>
      </c>
      <c r="W90" s="48"/>
    </row>
    <row r="91" spans="1:23" ht="16.5" customHeight="1" x14ac:dyDescent="0.15">
      <c r="A91" s="41">
        <v>11</v>
      </c>
      <c r="B91" s="41" t="s">
        <v>5667</v>
      </c>
      <c r="C91" s="74" t="s">
        <v>5668</v>
      </c>
      <c r="D91" s="72"/>
      <c r="F91" s="121"/>
      <c r="H91" s="53"/>
      <c r="I91" s="49"/>
      <c r="J91" s="50"/>
      <c r="K91" s="44"/>
      <c r="L91" s="45"/>
      <c r="M91" s="46"/>
      <c r="N91" s="35"/>
      <c r="P91" s="57"/>
      <c r="Q91" s="35"/>
      <c r="S91" s="57"/>
      <c r="T91" s="707" t="s">
        <v>404</v>
      </c>
      <c r="U91" s="708"/>
      <c r="V91" s="47">
        <f>ROUND((ROUND((_11_A通院１１．５*(1+_11・A夜間)),0)*_11・初任),0)+ROUND((ROUND((_11_B通院１１．５＿１．０*(1+_11・B深夜)),0)*_11・初任),0)</f>
        <v>685</v>
      </c>
      <c r="W91" s="48"/>
    </row>
    <row r="92" spans="1:23" ht="16.5" customHeight="1" x14ac:dyDescent="0.15">
      <c r="A92" s="41">
        <v>11</v>
      </c>
      <c r="B92" s="41" t="s">
        <v>5669</v>
      </c>
      <c r="C92" s="74" t="s">
        <v>5670</v>
      </c>
      <c r="D92" s="72"/>
      <c r="F92" s="121"/>
      <c r="H92" s="43"/>
      <c r="I92" s="37"/>
      <c r="J92" s="38"/>
      <c r="K92" s="44" t="s">
        <v>397</v>
      </c>
      <c r="L92" s="45" t="s">
        <v>398</v>
      </c>
      <c r="M92" s="46">
        <v>1</v>
      </c>
      <c r="N92" s="35"/>
      <c r="P92" s="57"/>
      <c r="Q92" s="35"/>
      <c r="S92" s="57"/>
      <c r="T92" s="709"/>
      <c r="U92" s="704"/>
      <c r="V92" s="47">
        <f>ROUND((ROUND((ROUND((_11_A通院１１．５*_11・２人),0)*(1+_11・A夜間)),0)*_11・初任),0)+ROUND((ROUND((ROUND((_11_B通院１１．５＿１．０*_11・２人),0)*(1+_11・B深夜)),0)*_11・初任),0)</f>
        <v>685</v>
      </c>
      <c r="W92" s="48"/>
    </row>
    <row r="93" spans="1:23" ht="16.5" customHeight="1" x14ac:dyDescent="0.15">
      <c r="A93" s="41">
        <v>11</v>
      </c>
      <c r="B93" s="41" t="s">
        <v>5671</v>
      </c>
      <c r="C93" s="74" t="s">
        <v>5672</v>
      </c>
      <c r="D93" s="72"/>
      <c r="F93" s="72"/>
      <c r="H93" s="752" t="s">
        <v>400</v>
      </c>
      <c r="I93" s="49" t="s">
        <v>398</v>
      </c>
      <c r="J93" s="50">
        <v>0.7</v>
      </c>
      <c r="K93" s="44"/>
      <c r="L93" s="45"/>
      <c r="M93" s="46"/>
      <c r="N93" s="35"/>
      <c r="P93" s="57"/>
      <c r="Q93" s="35"/>
      <c r="S93" s="57"/>
      <c r="T93" s="709"/>
      <c r="U93" s="704"/>
      <c r="V93" s="47">
        <f>ROUND((ROUND((ROUND((_11_A通院１１．５*_11・基礎１),0)*(1+_11・A夜間)),0)*_11・初任),0)+ROUND((ROUND((ROUND((_11_B通院１１．５＿１．０*_11・基礎１),0)*(1+_11・B深夜)),0)*_11・初任),0)</f>
        <v>480</v>
      </c>
      <c r="W93" s="48"/>
    </row>
    <row r="94" spans="1:23" ht="16.5" customHeight="1" x14ac:dyDescent="0.15">
      <c r="A94" s="41">
        <v>11</v>
      </c>
      <c r="B94" s="41" t="s">
        <v>5673</v>
      </c>
      <c r="C94" s="74" t="s">
        <v>5674</v>
      </c>
      <c r="D94" s="72"/>
      <c r="F94" s="72"/>
      <c r="H94" s="711"/>
      <c r="I94" s="37"/>
      <c r="J94" s="38"/>
      <c r="K94" s="44" t="s">
        <v>397</v>
      </c>
      <c r="L94" s="45" t="s">
        <v>398</v>
      </c>
      <c r="M94" s="46">
        <v>1</v>
      </c>
      <c r="N94" s="35"/>
      <c r="P94" s="57"/>
      <c r="Q94" s="35"/>
      <c r="S94" s="57"/>
      <c r="T94" s="55" t="s">
        <v>398</v>
      </c>
      <c r="U94" s="38">
        <f>_11・初任</f>
        <v>0.7</v>
      </c>
      <c r="V94" s="47">
        <f>ROUND((ROUND((ROUND((ROUND((_11_A通院１１．５*_11・基礎１),0)*_11・２人),0)*(1+_11・A夜間)),0)*_11・初任),0)+ROUND((ROUND((ROUND((ROUND((_11_B通院１１．５＿１．０*_11・基礎１),0)*_11・２人),0)*(1+_11・B深夜)),0)*_11・初任),0)</f>
        <v>480</v>
      </c>
      <c r="W94" s="48"/>
    </row>
    <row r="95" spans="1:23" ht="16.5" customHeight="1" x14ac:dyDescent="0.15">
      <c r="A95" s="41">
        <v>11</v>
      </c>
      <c r="B95" s="41">
        <v>3531</v>
      </c>
      <c r="C95" s="74" t="s">
        <v>5675</v>
      </c>
      <c r="D95" s="72"/>
      <c r="F95" s="707" t="s">
        <v>3794</v>
      </c>
      <c r="G95" s="717"/>
      <c r="H95" s="53"/>
      <c r="I95" s="49"/>
      <c r="J95" s="50"/>
      <c r="K95" s="44"/>
      <c r="L95" s="45"/>
      <c r="M95" s="46"/>
      <c r="N95" s="35"/>
      <c r="P95" s="57"/>
      <c r="Q95" s="35"/>
      <c r="S95" s="57"/>
      <c r="T95" s="53"/>
      <c r="U95" s="49"/>
      <c r="V95" s="47">
        <f>ROUND((_11_A通院１１．５*(1+_11・A夜間)),0)+ROUND((_11_B通院１１．５＿１．５*(1+_11・B深夜)),0)</f>
        <v>1104</v>
      </c>
      <c r="W95" s="48"/>
    </row>
    <row r="96" spans="1:23" ht="16.5" customHeight="1" x14ac:dyDescent="0.15">
      <c r="A96" s="41">
        <v>11</v>
      </c>
      <c r="B96" s="41">
        <v>3532</v>
      </c>
      <c r="C96" s="74" t="s">
        <v>5676</v>
      </c>
      <c r="D96" s="72"/>
      <c r="F96" s="709"/>
      <c r="G96" s="718"/>
      <c r="H96" s="43"/>
      <c r="I96" s="37"/>
      <c r="J96" s="38"/>
      <c r="K96" s="44" t="s">
        <v>397</v>
      </c>
      <c r="L96" s="45" t="s">
        <v>398</v>
      </c>
      <c r="M96" s="46">
        <v>1</v>
      </c>
      <c r="N96" s="35"/>
      <c r="P96" s="57"/>
      <c r="Q96" s="35"/>
      <c r="S96" s="57"/>
      <c r="T96" s="35"/>
      <c r="V96" s="47">
        <f>ROUND((ROUND((_11_A通院１１．５*_11・２人),0)*(1+_11・A夜間)),0)+ROUND((ROUND((_11_B通院１１．５＿１．５*_11・２人),0)*(1+_11・B深夜)),0)</f>
        <v>1104</v>
      </c>
      <c r="W96" s="48"/>
    </row>
    <row r="97" spans="1:23" ht="16.5" customHeight="1" x14ac:dyDescent="0.15">
      <c r="A97" s="41">
        <v>11</v>
      </c>
      <c r="B97" s="41">
        <v>3533</v>
      </c>
      <c r="C97" s="74" t="s">
        <v>5677</v>
      </c>
      <c r="D97" s="72"/>
      <c r="F97" s="709"/>
      <c r="G97" s="718"/>
      <c r="H97" s="752" t="s">
        <v>400</v>
      </c>
      <c r="I97" s="49" t="s">
        <v>398</v>
      </c>
      <c r="J97" s="50">
        <v>0.7</v>
      </c>
      <c r="K97" s="44"/>
      <c r="L97" s="45"/>
      <c r="M97" s="46"/>
      <c r="N97" s="35"/>
      <c r="P97" s="57"/>
      <c r="Q97" s="35"/>
      <c r="S97" s="57"/>
      <c r="T97" s="35"/>
      <c r="V97" s="47">
        <f>ROUND((ROUND((_11_A通院１１．５*_11・基礎１),0)*(1+_11・A夜間)),0)+ROUND((ROUND((_11_B通院１１．５＿１．５*_11・基礎１),0)*(1+_11・B深夜)),0)</f>
        <v>772</v>
      </c>
      <c r="W97" s="48"/>
    </row>
    <row r="98" spans="1:23" ht="16.5" customHeight="1" x14ac:dyDescent="0.15">
      <c r="A98" s="41">
        <v>11</v>
      </c>
      <c r="B98" s="41">
        <v>3534</v>
      </c>
      <c r="C98" s="74" t="s">
        <v>5678</v>
      </c>
      <c r="D98" s="72"/>
      <c r="F98" s="125">
        <f>_11_B通院１１．５＿１．５</f>
        <v>249</v>
      </c>
      <c r="G98" s="12" t="s">
        <v>392</v>
      </c>
      <c r="H98" s="711"/>
      <c r="I98" s="37"/>
      <c r="J98" s="38"/>
      <c r="K98" s="44" t="s">
        <v>397</v>
      </c>
      <c r="L98" s="45" t="s">
        <v>398</v>
      </c>
      <c r="M98" s="46">
        <v>1</v>
      </c>
      <c r="N98" s="35"/>
      <c r="P98" s="57"/>
      <c r="Q98" s="35"/>
      <c r="S98" s="57"/>
      <c r="T98" s="43"/>
      <c r="U98" s="37"/>
      <c r="V98" s="47">
        <f>ROUND((ROUND((ROUND((_11_A通院１１．５*_11・基礎１),0)*_11・２人),0)*(1+_11・A夜間)),0)+ROUND((ROUND((ROUND((_11_B通院１１．５＿１．５*_11・基礎１),0)*_11・２人),0)*(1+_11・B深夜)),0)</f>
        <v>772</v>
      </c>
      <c r="W98" s="48"/>
    </row>
    <row r="99" spans="1:23" ht="16.5" customHeight="1" x14ac:dyDescent="0.15">
      <c r="A99" s="41">
        <v>11</v>
      </c>
      <c r="B99" s="41" t="s">
        <v>5679</v>
      </c>
      <c r="C99" s="74" t="s">
        <v>5680</v>
      </c>
      <c r="D99" s="72"/>
      <c r="F99" s="121"/>
      <c r="H99" s="53"/>
      <c r="I99" s="49"/>
      <c r="J99" s="50"/>
      <c r="K99" s="44"/>
      <c r="L99" s="45"/>
      <c r="M99" s="46"/>
      <c r="N99" s="35"/>
      <c r="P99" s="57"/>
      <c r="Q99" s="35"/>
      <c r="S99" s="57"/>
      <c r="T99" s="707" t="s">
        <v>404</v>
      </c>
      <c r="U99" s="708"/>
      <c r="V99" s="47">
        <f>ROUND((ROUND((_11_A通院１１．５*(1+_11・A夜間)),0)*_11・初任),0)+ROUND((ROUND((_11_B通院１１．５＿１．５*(1+_11・B深夜)),0)*_11・初任),0)</f>
        <v>773</v>
      </c>
      <c r="W99" s="48"/>
    </row>
    <row r="100" spans="1:23" ht="16.5" customHeight="1" x14ac:dyDescent="0.15">
      <c r="A100" s="41">
        <v>11</v>
      </c>
      <c r="B100" s="41" t="s">
        <v>5681</v>
      </c>
      <c r="C100" s="74" t="s">
        <v>5682</v>
      </c>
      <c r="D100" s="72"/>
      <c r="F100" s="121"/>
      <c r="H100" s="43"/>
      <c r="I100" s="37"/>
      <c r="J100" s="38"/>
      <c r="K100" s="44" t="s">
        <v>397</v>
      </c>
      <c r="L100" s="45" t="s">
        <v>398</v>
      </c>
      <c r="M100" s="46">
        <v>1</v>
      </c>
      <c r="N100" s="35"/>
      <c r="P100" s="57"/>
      <c r="Q100" s="35"/>
      <c r="S100" s="57"/>
      <c r="T100" s="709"/>
      <c r="U100" s="704"/>
      <c r="V100" s="47">
        <f>ROUND((ROUND((ROUND((_11_A通院１１．５*_11・２人),0)*(1+_11・A夜間)),0)*_11・初任),0)+ROUND((ROUND((ROUND((_11_B通院１１．５＿１．５*_11・２人),0)*(1+_11・B深夜)),0)*_11・初任),0)</f>
        <v>773</v>
      </c>
      <c r="W100" s="48"/>
    </row>
    <row r="101" spans="1:23" ht="16.5" customHeight="1" x14ac:dyDescent="0.15">
      <c r="A101" s="41">
        <v>11</v>
      </c>
      <c r="B101" s="41" t="s">
        <v>5683</v>
      </c>
      <c r="C101" s="74" t="s">
        <v>5684</v>
      </c>
      <c r="D101" s="72"/>
      <c r="F101" s="72"/>
      <c r="H101" s="752" t="s">
        <v>400</v>
      </c>
      <c r="I101" s="49" t="s">
        <v>398</v>
      </c>
      <c r="J101" s="50">
        <v>0.7</v>
      </c>
      <c r="K101" s="44"/>
      <c r="L101" s="45"/>
      <c r="M101" s="46"/>
      <c r="N101" s="35"/>
      <c r="P101" s="57"/>
      <c r="Q101" s="35"/>
      <c r="S101" s="57"/>
      <c r="T101" s="709"/>
      <c r="U101" s="704"/>
      <c r="V101" s="47">
        <f>ROUND((ROUND((ROUND((_11_A通院１１．５*_11・基礎１),0)*(1+_11・A夜間)),0)*_11・初任),0)+ROUND((ROUND((ROUND((_11_B通院１１．５＿１．５*_11・基礎１),0)*(1+_11・B深夜)),0)*_11・初任),0)</f>
        <v>541</v>
      </c>
      <c r="W101" s="48"/>
    </row>
    <row r="102" spans="1:23" ht="16.5" customHeight="1" x14ac:dyDescent="0.15">
      <c r="A102" s="41">
        <v>11</v>
      </c>
      <c r="B102" s="41" t="s">
        <v>5685</v>
      </c>
      <c r="C102" s="74" t="s">
        <v>5686</v>
      </c>
      <c r="D102" s="72"/>
      <c r="F102" s="72"/>
      <c r="H102" s="711"/>
      <c r="I102" s="37"/>
      <c r="J102" s="38"/>
      <c r="K102" s="44" t="s">
        <v>397</v>
      </c>
      <c r="L102" s="45" t="s">
        <v>398</v>
      </c>
      <c r="M102" s="46">
        <v>1</v>
      </c>
      <c r="N102" s="35"/>
      <c r="P102" s="57"/>
      <c r="Q102" s="35"/>
      <c r="S102" s="57"/>
      <c r="T102" s="55" t="s">
        <v>398</v>
      </c>
      <c r="U102" s="38">
        <f>_11・初任</f>
        <v>0.7</v>
      </c>
      <c r="V102" s="47">
        <f>ROUND((ROUND((ROUND((ROUND((_11_A通院１１．５*_11・基礎１),0)*_11・２人),0)*(1+_11・A夜間)),0)*_11・初任),0)+ROUND((ROUND((ROUND((ROUND((_11_B通院１１．５＿１．５*_11・基礎１),0)*_11・２人),0)*(1+_11・B深夜)),0)*_11・初任),0)</f>
        <v>541</v>
      </c>
      <c r="W102" s="48"/>
    </row>
    <row r="103" spans="1:23" ht="16.5" customHeight="1" x14ac:dyDescent="0.15">
      <c r="A103" s="41">
        <v>11</v>
      </c>
      <c r="B103" s="41">
        <v>3535</v>
      </c>
      <c r="C103" s="74" t="s">
        <v>5687</v>
      </c>
      <c r="D103" s="707" t="s">
        <v>5688</v>
      </c>
      <c r="E103" s="717"/>
      <c r="F103" s="707" t="s">
        <v>3780</v>
      </c>
      <c r="G103" s="717"/>
      <c r="H103" s="53"/>
      <c r="I103" s="49"/>
      <c r="J103" s="50"/>
      <c r="K103" s="44"/>
      <c r="L103" s="45"/>
      <c r="M103" s="46"/>
      <c r="N103" s="35"/>
      <c r="P103" s="57"/>
      <c r="Q103" s="35"/>
      <c r="S103" s="57"/>
      <c r="T103" s="53"/>
      <c r="U103" s="49"/>
      <c r="V103" s="47">
        <f>ROUND((_11_A通院１２．０*(1+_11・A夜間)),0)+ROUND((_11_B通院１２．０＿０．５*(1+_11・B深夜)),0)</f>
        <v>959</v>
      </c>
      <c r="W103" s="48"/>
    </row>
    <row r="104" spans="1:23" ht="16.5" customHeight="1" x14ac:dyDescent="0.15">
      <c r="A104" s="41">
        <v>11</v>
      </c>
      <c r="B104" s="41">
        <v>3536</v>
      </c>
      <c r="C104" s="74" t="s">
        <v>5689</v>
      </c>
      <c r="D104" s="709"/>
      <c r="E104" s="718"/>
      <c r="F104" s="709"/>
      <c r="G104" s="718"/>
      <c r="H104" s="43"/>
      <c r="I104" s="37"/>
      <c r="J104" s="38"/>
      <c r="K104" s="44" t="s">
        <v>397</v>
      </c>
      <c r="L104" s="45" t="s">
        <v>398</v>
      </c>
      <c r="M104" s="46">
        <v>1</v>
      </c>
      <c r="N104" s="35"/>
      <c r="P104" s="57"/>
      <c r="Q104" s="35"/>
      <c r="S104" s="57"/>
      <c r="T104" s="35"/>
      <c r="V104" s="47">
        <f>ROUND((ROUND((_11_A通院１２．０*_11・２人),0)*(1+_11・A夜間)),0)+ROUND((ROUND((_11_B通院１２．０＿０．５*_11・２人),0)*(1+_11・B深夜)),0)</f>
        <v>959</v>
      </c>
      <c r="W104" s="48"/>
    </row>
    <row r="105" spans="1:23" ht="16.5" customHeight="1" x14ac:dyDescent="0.15">
      <c r="A105" s="41">
        <v>11</v>
      </c>
      <c r="B105" s="41">
        <v>3537</v>
      </c>
      <c r="C105" s="74" t="s">
        <v>5690</v>
      </c>
      <c r="D105" s="709"/>
      <c r="E105" s="718"/>
      <c r="F105" s="709"/>
      <c r="G105" s="718"/>
      <c r="H105" s="752" t="s">
        <v>400</v>
      </c>
      <c r="I105" s="49" t="s">
        <v>398</v>
      </c>
      <c r="J105" s="50">
        <v>0.7</v>
      </c>
      <c r="K105" s="44"/>
      <c r="L105" s="45"/>
      <c r="M105" s="46"/>
      <c r="N105" s="35"/>
      <c r="P105" s="57"/>
      <c r="Q105" s="35"/>
      <c r="S105" s="57"/>
      <c r="T105" s="35"/>
      <c r="V105" s="47">
        <f>ROUND((ROUND((_11_A通院１２．０*_11・基礎１),0)*(1+_11・A夜間)),0)+ROUND((ROUND((_11_B通院１２．０＿０．５*_11・基礎１),0)*(1+_11・B深夜)),0)</f>
        <v>672</v>
      </c>
      <c r="W105" s="48"/>
    </row>
    <row r="106" spans="1:23" ht="16.5" customHeight="1" x14ac:dyDescent="0.15">
      <c r="A106" s="41">
        <v>11</v>
      </c>
      <c r="B106" s="41">
        <v>3538</v>
      </c>
      <c r="C106" s="74" t="s">
        <v>5691</v>
      </c>
      <c r="D106" s="125">
        <f>_11_A通院１２．０</f>
        <v>666</v>
      </c>
      <c r="E106" s="12" t="s">
        <v>392</v>
      </c>
      <c r="F106" s="125">
        <f>_11_B通院１２．０＿０．５</f>
        <v>84</v>
      </c>
      <c r="G106" s="12" t="s">
        <v>392</v>
      </c>
      <c r="H106" s="711"/>
      <c r="I106" s="37"/>
      <c r="J106" s="38"/>
      <c r="K106" s="44" t="s">
        <v>397</v>
      </c>
      <c r="L106" s="45" t="s">
        <v>398</v>
      </c>
      <c r="M106" s="46">
        <v>1</v>
      </c>
      <c r="N106" s="35"/>
      <c r="P106" s="57"/>
      <c r="Q106" s="35"/>
      <c r="S106" s="57"/>
      <c r="T106" s="43"/>
      <c r="U106" s="37"/>
      <c r="V106" s="47">
        <f>ROUND((ROUND((ROUND((_11_A通院１２．０*_11・基礎１),0)*_11・２人),0)*(1+_11・A夜間)),0)+ROUND((ROUND((ROUND((_11_B通院１２．０＿０．５*_11・基礎１),0)*_11・２人),0)*(1+_11・B深夜)),0)</f>
        <v>672</v>
      </c>
      <c r="W106" s="48"/>
    </row>
    <row r="107" spans="1:23" ht="16.5" customHeight="1" x14ac:dyDescent="0.15">
      <c r="A107" s="41">
        <v>11</v>
      </c>
      <c r="B107" s="41" t="s">
        <v>5692</v>
      </c>
      <c r="C107" s="74" t="s">
        <v>5693</v>
      </c>
      <c r="D107" s="121"/>
      <c r="F107" s="121"/>
      <c r="H107" s="53"/>
      <c r="I107" s="49"/>
      <c r="J107" s="50"/>
      <c r="K107" s="44"/>
      <c r="L107" s="45"/>
      <c r="M107" s="46"/>
      <c r="N107" s="35"/>
      <c r="P107" s="57"/>
      <c r="Q107" s="35"/>
      <c r="S107" s="57"/>
      <c r="T107" s="707" t="s">
        <v>404</v>
      </c>
      <c r="U107" s="708"/>
      <c r="V107" s="47">
        <f>ROUND((ROUND((_11_A通院１２．０*(1+_11・A夜間)),0)*_11・初任),0)+ROUND((ROUND((_11_B通院１２．０＿０．５*(1+_11・B深夜)),0)*_11・初任),0)</f>
        <v>671</v>
      </c>
      <c r="W107" s="48"/>
    </row>
    <row r="108" spans="1:23" ht="16.5" customHeight="1" x14ac:dyDescent="0.15">
      <c r="A108" s="41">
        <v>11</v>
      </c>
      <c r="B108" s="41" t="s">
        <v>5694</v>
      </c>
      <c r="C108" s="74" t="s">
        <v>5695</v>
      </c>
      <c r="D108" s="121"/>
      <c r="F108" s="121"/>
      <c r="H108" s="43"/>
      <c r="I108" s="37"/>
      <c r="J108" s="38"/>
      <c r="K108" s="44" t="s">
        <v>397</v>
      </c>
      <c r="L108" s="45" t="s">
        <v>398</v>
      </c>
      <c r="M108" s="46">
        <v>1</v>
      </c>
      <c r="N108" s="35"/>
      <c r="P108" s="57"/>
      <c r="Q108" s="35"/>
      <c r="S108" s="57"/>
      <c r="T108" s="709"/>
      <c r="U108" s="704"/>
      <c r="V108" s="47">
        <f>ROUND((ROUND((ROUND((_11_A通院１２．０*_11・２人),0)*(1+_11・A夜間)),0)*_11・初任),0)+ROUND((ROUND((ROUND((_11_B通院１２．０＿０．５*_11・２人),0)*(1+_11・B深夜)),0)*_11・初任),0)</f>
        <v>671</v>
      </c>
      <c r="W108" s="48"/>
    </row>
    <row r="109" spans="1:23" ht="16.5" customHeight="1" x14ac:dyDescent="0.15">
      <c r="A109" s="41">
        <v>11</v>
      </c>
      <c r="B109" s="41" t="s">
        <v>5696</v>
      </c>
      <c r="C109" s="74" t="s">
        <v>5697</v>
      </c>
      <c r="D109" s="72"/>
      <c r="F109" s="72"/>
      <c r="H109" s="752" t="s">
        <v>400</v>
      </c>
      <c r="I109" s="49" t="s">
        <v>398</v>
      </c>
      <c r="J109" s="50">
        <v>0.7</v>
      </c>
      <c r="K109" s="44"/>
      <c r="L109" s="45"/>
      <c r="M109" s="46"/>
      <c r="N109" s="35"/>
      <c r="P109" s="57"/>
      <c r="Q109" s="35"/>
      <c r="S109" s="57"/>
      <c r="T109" s="709"/>
      <c r="U109" s="704"/>
      <c r="V109" s="47">
        <f>ROUND((ROUND((ROUND((_11_A通院１２．０*_11・基礎１),0)*(1+_11・A夜間)),0)*_11・初任),0)+ROUND((ROUND((ROUND((_11_B通院１２．０＿０．５*_11・基礎１),0)*(1+_11・B深夜)),0)*_11・初任),0)</f>
        <v>470</v>
      </c>
      <c r="W109" s="48"/>
    </row>
    <row r="110" spans="1:23" ht="16.5" customHeight="1" x14ac:dyDescent="0.15">
      <c r="A110" s="41">
        <v>11</v>
      </c>
      <c r="B110" s="41" t="s">
        <v>5698</v>
      </c>
      <c r="C110" s="74" t="s">
        <v>5699</v>
      </c>
      <c r="D110" s="72"/>
      <c r="F110" s="72"/>
      <c r="H110" s="711"/>
      <c r="I110" s="37"/>
      <c r="J110" s="38"/>
      <c r="K110" s="44" t="s">
        <v>397</v>
      </c>
      <c r="L110" s="45" t="s">
        <v>398</v>
      </c>
      <c r="M110" s="46">
        <v>1</v>
      </c>
      <c r="N110" s="35"/>
      <c r="P110" s="57"/>
      <c r="Q110" s="35"/>
      <c r="S110" s="57"/>
      <c r="T110" s="55" t="s">
        <v>398</v>
      </c>
      <c r="U110" s="38">
        <f>_11・初任</f>
        <v>0.7</v>
      </c>
      <c r="V110" s="47">
        <f>ROUND((ROUND((ROUND((ROUND((_11_A通院１２．０*_11・基礎１),0)*_11・２人),0)*(1+_11・A夜間)),0)*_11・初任),0)+ROUND((ROUND((ROUND((ROUND((_11_B通院１２．０＿０．５*_11・基礎１),0)*_11・２人),0)*(1+_11・B深夜)),0)*_11・初任),0)</f>
        <v>470</v>
      </c>
      <c r="W110" s="48"/>
    </row>
    <row r="111" spans="1:23" ht="16.5" customHeight="1" x14ac:dyDescent="0.15">
      <c r="A111" s="41">
        <v>11</v>
      </c>
      <c r="B111" s="41">
        <v>3539</v>
      </c>
      <c r="C111" s="74" t="s">
        <v>5700</v>
      </c>
      <c r="D111" s="72"/>
      <c r="F111" s="707" t="s">
        <v>3787</v>
      </c>
      <c r="G111" s="717"/>
      <c r="H111" s="53"/>
      <c r="I111" s="49"/>
      <c r="J111" s="50"/>
      <c r="K111" s="44"/>
      <c r="L111" s="45"/>
      <c r="M111" s="46"/>
      <c r="N111" s="35"/>
      <c r="P111" s="57"/>
      <c r="Q111" s="35"/>
      <c r="S111" s="57"/>
      <c r="T111" s="53"/>
      <c r="U111" s="49"/>
      <c r="V111" s="47">
        <f>ROUND((_11_A通院１２．０*(1+_11・A夜間)),0)+ROUND((_11_B通院１２．０＿１．０*(1+_11・B深夜)),0)</f>
        <v>1084</v>
      </c>
      <c r="W111" s="48"/>
    </row>
    <row r="112" spans="1:23" ht="16.5" customHeight="1" x14ac:dyDescent="0.15">
      <c r="A112" s="41">
        <v>11</v>
      </c>
      <c r="B112" s="41">
        <v>3540</v>
      </c>
      <c r="C112" s="74" t="s">
        <v>5701</v>
      </c>
      <c r="D112" s="72"/>
      <c r="F112" s="709"/>
      <c r="G112" s="718"/>
      <c r="H112" s="43"/>
      <c r="I112" s="37"/>
      <c r="J112" s="38"/>
      <c r="K112" s="44" t="s">
        <v>397</v>
      </c>
      <c r="L112" s="45" t="s">
        <v>398</v>
      </c>
      <c r="M112" s="46">
        <v>1</v>
      </c>
      <c r="N112" s="35"/>
      <c r="P112" s="57"/>
      <c r="Q112" s="35"/>
      <c r="S112" s="57"/>
      <c r="T112" s="35"/>
      <c r="V112" s="47">
        <f>ROUND((ROUND((_11_A通院１２．０*_11・２人),0)*(1+_11・A夜間)),0)+ROUND((ROUND((_11_B通院１２．０＿１．０*_11・２人),0)*(1+_11・B深夜)),0)</f>
        <v>1084</v>
      </c>
      <c r="W112" s="48"/>
    </row>
    <row r="113" spans="1:23" ht="16.5" customHeight="1" x14ac:dyDescent="0.15">
      <c r="A113" s="41">
        <v>11</v>
      </c>
      <c r="B113" s="41">
        <v>3541</v>
      </c>
      <c r="C113" s="74" t="s">
        <v>5702</v>
      </c>
      <c r="D113" s="72"/>
      <c r="F113" s="709"/>
      <c r="G113" s="718"/>
      <c r="H113" s="752" t="s">
        <v>400</v>
      </c>
      <c r="I113" s="49" t="s">
        <v>398</v>
      </c>
      <c r="J113" s="50">
        <v>0.7</v>
      </c>
      <c r="K113" s="44"/>
      <c r="L113" s="45"/>
      <c r="M113" s="46"/>
      <c r="N113" s="35"/>
      <c r="P113" s="57"/>
      <c r="Q113" s="35"/>
      <c r="S113" s="57"/>
      <c r="T113" s="35"/>
      <c r="V113" s="47">
        <f>ROUND((ROUND((_11_A通院１２．０*_11・基礎１),0)*(1+_11・A夜間)),0)+ROUND((ROUND((_11_B通院１２．０＿１．０*_11・基礎１),0)*(1+_11・B深夜)),0)</f>
        <v>759</v>
      </c>
      <c r="W113" s="48"/>
    </row>
    <row r="114" spans="1:23" ht="16.5" customHeight="1" x14ac:dyDescent="0.15">
      <c r="A114" s="41">
        <v>11</v>
      </c>
      <c r="B114" s="41">
        <v>3542</v>
      </c>
      <c r="C114" s="74" t="s">
        <v>5703</v>
      </c>
      <c r="D114" s="72"/>
      <c r="F114" s="125">
        <f>_11_B通院１２．０＿１．０</f>
        <v>167</v>
      </c>
      <c r="G114" s="12" t="s">
        <v>392</v>
      </c>
      <c r="H114" s="711"/>
      <c r="I114" s="37"/>
      <c r="J114" s="38"/>
      <c r="K114" s="44" t="s">
        <v>397</v>
      </c>
      <c r="L114" s="45" t="s">
        <v>398</v>
      </c>
      <c r="M114" s="46">
        <v>1</v>
      </c>
      <c r="N114" s="35"/>
      <c r="P114" s="57"/>
      <c r="Q114" s="35"/>
      <c r="S114" s="57"/>
      <c r="T114" s="43"/>
      <c r="U114" s="37"/>
      <c r="V114" s="47">
        <f>ROUND((ROUND((ROUND((_11_A通院１２．０*_11・基礎１),0)*_11・２人),0)*(1+_11・A夜間)),0)+ROUND((ROUND((ROUND((_11_B通院１２．０＿１．０*_11・基礎１),0)*_11・２人),0)*(1+_11・B深夜)),0)</f>
        <v>759</v>
      </c>
      <c r="W114" s="48"/>
    </row>
    <row r="115" spans="1:23" ht="16.5" customHeight="1" x14ac:dyDescent="0.15">
      <c r="A115" s="41">
        <v>11</v>
      </c>
      <c r="B115" s="41" t="s">
        <v>5704</v>
      </c>
      <c r="C115" s="74" t="s">
        <v>5705</v>
      </c>
      <c r="D115" s="72"/>
      <c r="F115" s="121"/>
      <c r="H115" s="53"/>
      <c r="I115" s="49"/>
      <c r="J115" s="50"/>
      <c r="K115" s="44"/>
      <c r="L115" s="45"/>
      <c r="M115" s="46"/>
      <c r="N115" s="35"/>
      <c r="P115" s="57"/>
      <c r="Q115" s="35"/>
      <c r="S115" s="57"/>
      <c r="T115" s="707" t="s">
        <v>404</v>
      </c>
      <c r="U115" s="708"/>
      <c r="V115" s="47">
        <f>ROUND((ROUND((_11_A通院１２．０*(1+_11・A夜間)),0)*_11・初任),0)+ROUND((ROUND((_11_B通院１２．０＿１．０*(1+_11・B深夜)),0)*_11・初任),0)</f>
        <v>759</v>
      </c>
      <c r="W115" s="48"/>
    </row>
    <row r="116" spans="1:23" ht="16.5" customHeight="1" x14ac:dyDescent="0.15">
      <c r="A116" s="41">
        <v>11</v>
      </c>
      <c r="B116" s="41" t="s">
        <v>5706</v>
      </c>
      <c r="C116" s="74" t="s">
        <v>5707</v>
      </c>
      <c r="D116" s="72"/>
      <c r="F116" s="121"/>
      <c r="H116" s="43"/>
      <c r="I116" s="37"/>
      <c r="J116" s="38"/>
      <c r="K116" s="44" t="s">
        <v>397</v>
      </c>
      <c r="L116" s="45" t="s">
        <v>398</v>
      </c>
      <c r="M116" s="46">
        <v>1</v>
      </c>
      <c r="N116" s="35"/>
      <c r="P116" s="57"/>
      <c r="Q116" s="35"/>
      <c r="S116" s="57"/>
      <c r="T116" s="709"/>
      <c r="U116" s="704"/>
      <c r="V116" s="47">
        <f>ROUND((ROUND((ROUND((_11_A通院１２．０*_11・２人),0)*(1+_11・A夜間)),0)*_11・初任),0)+ROUND((ROUND((ROUND((_11_B通院１２．０＿１．０*_11・２人),0)*(1+_11・B深夜)),0)*_11・初任),0)</f>
        <v>759</v>
      </c>
      <c r="W116" s="48"/>
    </row>
    <row r="117" spans="1:23" ht="16.5" customHeight="1" x14ac:dyDescent="0.15">
      <c r="A117" s="41">
        <v>11</v>
      </c>
      <c r="B117" s="41" t="s">
        <v>5708</v>
      </c>
      <c r="C117" s="74" t="s">
        <v>5709</v>
      </c>
      <c r="D117" s="72"/>
      <c r="F117" s="72"/>
      <c r="H117" s="752" t="s">
        <v>400</v>
      </c>
      <c r="I117" s="49" t="s">
        <v>398</v>
      </c>
      <c r="J117" s="50">
        <v>0.7</v>
      </c>
      <c r="K117" s="44"/>
      <c r="L117" s="45"/>
      <c r="M117" s="46"/>
      <c r="N117" s="35"/>
      <c r="P117" s="57"/>
      <c r="Q117" s="35"/>
      <c r="S117" s="57"/>
      <c r="T117" s="709"/>
      <c r="U117" s="704"/>
      <c r="V117" s="47">
        <f>ROUND((ROUND((ROUND((_11_A通院１２．０*_11・基礎１),0)*(1+_11・A夜間)),0)*_11・初任),0)+ROUND((ROUND((ROUND((_11_B通院１２．０＿１．０*_11・基礎１),0)*(1+_11・B深夜)),0)*_11・初任),0)</f>
        <v>531</v>
      </c>
      <c r="W117" s="48"/>
    </row>
    <row r="118" spans="1:23" ht="16.5" customHeight="1" x14ac:dyDescent="0.15">
      <c r="A118" s="41">
        <v>11</v>
      </c>
      <c r="B118" s="41" t="s">
        <v>5710</v>
      </c>
      <c r="C118" s="74" t="s">
        <v>5711</v>
      </c>
      <c r="D118" s="72"/>
      <c r="F118" s="72"/>
      <c r="H118" s="711"/>
      <c r="I118" s="37"/>
      <c r="J118" s="38"/>
      <c r="K118" s="44" t="s">
        <v>397</v>
      </c>
      <c r="L118" s="45" t="s">
        <v>398</v>
      </c>
      <c r="M118" s="46">
        <v>1</v>
      </c>
      <c r="N118" s="35"/>
      <c r="P118" s="57"/>
      <c r="Q118" s="35"/>
      <c r="S118" s="57"/>
      <c r="T118" s="55" t="s">
        <v>398</v>
      </c>
      <c r="U118" s="38">
        <f>_11・初任</f>
        <v>0.7</v>
      </c>
      <c r="V118" s="47">
        <f>ROUND((ROUND((ROUND((ROUND((_11_A通院１２．０*_11・基礎１),0)*_11・２人),0)*(1+_11・A夜間)),0)*_11・初任),0)+ROUND((ROUND((ROUND((ROUND((_11_B通院１２．０＿１．０*_11・基礎１),0)*_11・２人),0)*(1+_11・B深夜)),0)*_11・初任),0)</f>
        <v>531</v>
      </c>
      <c r="W118" s="48"/>
    </row>
    <row r="119" spans="1:23" ht="16.5" customHeight="1" x14ac:dyDescent="0.15">
      <c r="A119" s="41">
        <v>11</v>
      </c>
      <c r="B119" s="41">
        <v>3543</v>
      </c>
      <c r="C119" s="74" t="s">
        <v>5712</v>
      </c>
      <c r="D119" s="707" t="s">
        <v>5713</v>
      </c>
      <c r="E119" s="717"/>
      <c r="F119" s="707" t="s">
        <v>3780</v>
      </c>
      <c r="G119" s="717"/>
      <c r="H119" s="53"/>
      <c r="I119" s="49"/>
      <c r="J119" s="50"/>
      <c r="K119" s="44"/>
      <c r="L119" s="45"/>
      <c r="M119" s="46"/>
      <c r="N119" s="35"/>
      <c r="P119" s="57"/>
      <c r="Q119" s="35"/>
      <c r="S119" s="57"/>
      <c r="T119" s="53"/>
      <c r="U119" s="49"/>
      <c r="V119" s="47">
        <f>ROUND((_11_A通院１２．５*(1+_11・A夜間)),0)+ROUND((_11_B通院１２．５＿０．５*(1+_11・B深夜)),0)</f>
        <v>1063</v>
      </c>
      <c r="W119" s="48"/>
    </row>
    <row r="120" spans="1:23" ht="16.5" customHeight="1" x14ac:dyDescent="0.15">
      <c r="A120" s="41">
        <v>11</v>
      </c>
      <c r="B120" s="41">
        <v>3544</v>
      </c>
      <c r="C120" s="74" t="s">
        <v>5714</v>
      </c>
      <c r="D120" s="709"/>
      <c r="E120" s="718"/>
      <c r="F120" s="709"/>
      <c r="G120" s="718"/>
      <c r="H120" s="43"/>
      <c r="I120" s="37"/>
      <c r="J120" s="38"/>
      <c r="K120" s="44" t="s">
        <v>397</v>
      </c>
      <c r="L120" s="45" t="s">
        <v>398</v>
      </c>
      <c r="M120" s="46">
        <v>1</v>
      </c>
      <c r="N120" s="35"/>
      <c r="P120" s="57"/>
      <c r="Q120" s="35"/>
      <c r="S120" s="57"/>
      <c r="T120" s="35"/>
      <c r="V120" s="47">
        <f>ROUND((ROUND((_11_A通院１２．５*_11・２人),0)*(1+_11・A夜間)),0)+ROUND((ROUND((_11_B通院１２．５＿０．５*_11・２人),0)*(1+_11・B深夜)),0)</f>
        <v>1063</v>
      </c>
      <c r="W120" s="48"/>
    </row>
    <row r="121" spans="1:23" ht="16.5" customHeight="1" x14ac:dyDescent="0.15">
      <c r="A121" s="41">
        <v>11</v>
      </c>
      <c r="B121" s="41">
        <v>3545</v>
      </c>
      <c r="C121" s="74" t="s">
        <v>5715</v>
      </c>
      <c r="D121" s="709"/>
      <c r="E121" s="718"/>
      <c r="F121" s="709"/>
      <c r="G121" s="718"/>
      <c r="H121" s="752" t="s">
        <v>400</v>
      </c>
      <c r="I121" s="49" t="s">
        <v>398</v>
      </c>
      <c r="J121" s="50">
        <v>0.7</v>
      </c>
      <c r="K121" s="44"/>
      <c r="L121" s="45"/>
      <c r="M121" s="46"/>
      <c r="N121" s="35"/>
      <c r="P121" s="57"/>
      <c r="Q121" s="35"/>
      <c r="S121" s="57"/>
      <c r="T121" s="35"/>
      <c r="V121" s="47">
        <f>ROUND((ROUND((_11_A通院１２．５*_11・基礎１),0)*(1+_11・A夜間)),0)+ROUND((ROUND((_11_B通院１２．５＿０．５*_11・基礎１),0)*(1+_11・B深夜)),0)</f>
        <v>743</v>
      </c>
      <c r="W121" s="48"/>
    </row>
    <row r="122" spans="1:23" ht="16.5" customHeight="1" x14ac:dyDescent="0.15">
      <c r="A122" s="41">
        <v>11</v>
      </c>
      <c r="B122" s="41">
        <v>3546</v>
      </c>
      <c r="C122" s="74" t="s">
        <v>5716</v>
      </c>
      <c r="D122" s="125">
        <f>_11_A通院１２．５</f>
        <v>750</v>
      </c>
      <c r="E122" s="12" t="s">
        <v>392</v>
      </c>
      <c r="F122" s="125">
        <f>_11_B通院１２．５＿０．５</f>
        <v>83</v>
      </c>
      <c r="G122" s="12" t="s">
        <v>392</v>
      </c>
      <c r="H122" s="711"/>
      <c r="I122" s="37"/>
      <c r="J122" s="38"/>
      <c r="K122" s="44" t="s">
        <v>397</v>
      </c>
      <c r="L122" s="45" t="s">
        <v>398</v>
      </c>
      <c r="M122" s="46">
        <v>1</v>
      </c>
      <c r="N122" s="35"/>
      <c r="P122" s="57"/>
      <c r="Q122" s="35"/>
      <c r="S122" s="57"/>
      <c r="T122" s="43"/>
      <c r="U122" s="37"/>
      <c r="V122" s="47">
        <f>ROUND((ROUND((ROUND((_11_A通院１２．５*_11・基礎１),0)*_11・２人),0)*(1+_11・A夜間)),0)+ROUND((ROUND((ROUND((_11_B通院１２．５＿０．５*_11・基礎１),0)*_11・２人),0)*(1+_11・B深夜)),0)</f>
        <v>743</v>
      </c>
      <c r="W122" s="48"/>
    </row>
    <row r="123" spans="1:23" ht="16.5" customHeight="1" x14ac:dyDescent="0.15">
      <c r="A123" s="41">
        <v>11</v>
      </c>
      <c r="B123" s="41" t="s">
        <v>5717</v>
      </c>
      <c r="C123" s="74" t="s">
        <v>5718</v>
      </c>
      <c r="D123" s="121"/>
      <c r="F123" s="121"/>
      <c r="H123" s="53"/>
      <c r="I123" s="49"/>
      <c r="J123" s="50"/>
      <c r="K123" s="44"/>
      <c r="L123" s="45"/>
      <c r="M123" s="46"/>
      <c r="N123" s="35"/>
      <c r="P123" s="57"/>
      <c r="Q123" s="35"/>
      <c r="S123" s="57"/>
      <c r="T123" s="707" t="s">
        <v>404</v>
      </c>
      <c r="U123" s="708"/>
      <c r="V123" s="47">
        <f>ROUND((ROUND((_11_A通院１２．５*(1+_11・A夜間)),0)*_11・初任),0)+ROUND((ROUND((_11_B通院１２．５＿０．５*(1+_11・B深夜)),0)*_11・初任),0)</f>
        <v>745</v>
      </c>
      <c r="W123" s="48"/>
    </row>
    <row r="124" spans="1:23" ht="16.5" customHeight="1" x14ac:dyDescent="0.15">
      <c r="A124" s="41">
        <v>11</v>
      </c>
      <c r="B124" s="41" t="s">
        <v>5719</v>
      </c>
      <c r="C124" s="74" t="s">
        <v>5720</v>
      </c>
      <c r="D124" s="121"/>
      <c r="F124" s="121"/>
      <c r="H124" s="43"/>
      <c r="I124" s="37"/>
      <c r="J124" s="38"/>
      <c r="K124" s="44" t="s">
        <v>397</v>
      </c>
      <c r="L124" s="45" t="s">
        <v>398</v>
      </c>
      <c r="M124" s="46">
        <v>1</v>
      </c>
      <c r="N124" s="35"/>
      <c r="P124" s="57"/>
      <c r="Q124" s="35"/>
      <c r="S124" s="57"/>
      <c r="T124" s="709"/>
      <c r="U124" s="704"/>
      <c r="V124" s="47">
        <f>ROUND((ROUND((ROUND((_11_A通院１２．５*_11・２人),0)*(1+_11・A夜間)),0)*_11・初任),0)+ROUND((ROUND((ROUND((_11_B通院１２．５＿０．５*_11・２人),0)*(1+_11・B深夜)),0)*_11・初任),0)</f>
        <v>745</v>
      </c>
      <c r="W124" s="48"/>
    </row>
    <row r="125" spans="1:23" ht="16.5" customHeight="1" x14ac:dyDescent="0.15">
      <c r="A125" s="41">
        <v>11</v>
      </c>
      <c r="B125" s="41" t="s">
        <v>5721</v>
      </c>
      <c r="C125" s="74" t="s">
        <v>5722</v>
      </c>
      <c r="D125" s="72"/>
      <c r="F125" s="72"/>
      <c r="H125" s="752" t="s">
        <v>400</v>
      </c>
      <c r="I125" s="49" t="s">
        <v>398</v>
      </c>
      <c r="J125" s="50">
        <v>0.7</v>
      </c>
      <c r="K125" s="44"/>
      <c r="L125" s="45"/>
      <c r="M125" s="46"/>
      <c r="N125" s="35"/>
      <c r="P125" s="57"/>
      <c r="Q125" s="35"/>
      <c r="S125" s="57"/>
      <c r="T125" s="709"/>
      <c r="U125" s="704"/>
      <c r="V125" s="47">
        <f>ROUND((ROUND((ROUND((_11_A通院１２．５*_11・基礎１),0)*(1+_11・A夜間)),0)*_11・初任),0)+ROUND((ROUND((ROUND((_11_B通院１２．５＿０．５*_11・基礎１),0)*(1+_11・B深夜)),0)*_11・初任),0)</f>
        <v>520</v>
      </c>
      <c r="W125" s="48"/>
    </row>
    <row r="126" spans="1:23" ht="16.5" customHeight="1" x14ac:dyDescent="0.15">
      <c r="A126" s="41">
        <v>11</v>
      </c>
      <c r="B126" s="41" t="s">
        <v>5723</v>
      </c>
      <c r="C126" s="74" t="s">
        <v>5724</v>
      </c>
      <c r="D126" s="122"/>
      <c r="E126" s="37"/>
      <c r="F126" s="122"/>
      <c r="G126" s="37"/>
      <c r="H126" s="711"/>
      <c r="I126" s="37"/>
      <c r="J126" s="38"/>
      <c r="K126" s="44" t="s">
        <v>397</v>
      </c>
      <c r="L126" s="45" t="s">
        <v>398</v>
      </c>
      <c r="M126" s="46">
        <v>1</v>
      </c>
      <c r="N126" s="43"/>
      <c r="O126" s="38"/>
      <c r="P126" s="79"/>
      <c r="Q126" s="43"/>
      <c r="R126" s="38"/>
      <c r="S126" s="79"/>
      <c r="T126" s="55" t="s">
        <v>398</v>
      </c>
      <c r="U126" s="38">
        <f>_11・初任</f>
        <v>0.7</v>
      </c>
      <c r="V126" s="47">
        <f>ROUND((ROUND((ROUND((ROUND((_11_A通院１２．５*_11・基礎１),0)*_11・２人),0)*(1+_11・A夜間)),0)*_11・初任),0)+ROUND((ROUND((ROUND((ROUND((_11_B通院１２．５＿０．５*_11・基礎１),0)*_11・２人),0)*(1+_11・B深夜)),0)*_11・初任),0)</f>
        <v>520</v>
      </c>
      <c r="W126" s="63"/>
    </row>
    <row r="127" spans="1:23" ht="16.5" customHeight="1" x14ac:dyDescent="0.15"/>
    <row r="128" spans="1:23" ht="16.5" customHeight="1" x14ac:dyDescent="0.15"/>
  </sheetData>
  <mergeCells count="69">
    <mergeCell ref="D119:E121"/>
    <mergeCell ref="F119:G121"/>
    <mergeCell ref="H121:H122"/>
    <mergeCell ref="T123:U125"/>
    <mergeCell ref="H125:H126"/>
    <mergeCell ref="T107:U109"/>
    <mergeCell ref="H109:H110"/>
    <mergeCell ref="F111:G113"/>
    <mergeCell ref="H113:H114"/>
    <mergeCell ref="T115:U117"/>
    <mergeCell ref="H117:H118"/>
    <mergeCell ref="F95:G97"/>
    <mergeCell ref="H97:H98"/>
    <mergeCell ref="T99:U101"/>
    <mergeCell ref="H101:H102"/>
    <mergeCell ref="D103:E105"/>
    <mergeCell ref="F103:G105"/>
    <mergeCell ref="H105:H106"/>
    <mergeCell ref="T83:U85"/>
    <mergeCell ref="H85:H86"/>
    <mergeCell ref="F87:G89"/>
    <mergeCell ref="H89:H90"/>
    <mergeCell ref="T91:U93"/>
    <mergeCell ref="H93:H94"/>
    <mergeCell ref="T75:U77"/>
    <mergeCell ref="H77:H78"/>
    <mergeCell ref="D79:E81"/>
    <mergeCell ref="F79:G81"/>
    <mergeCell ref="P80:P81"/>
    <mergeCell ref="S80:S81"/>
    <mergeCell ref="H81:H82"/>
    <mergeCell ref="F63:G65"/>
    <mergeCell ref="H65:H66"/>
    <mergeCell ref="T67:U69"/>
    <mergeCell ref="H69:H70"/>
    <mergeCell ref="F71:G73"/>
    <mergeCell ref="H73:H74"/>
    <mergeCell ref="T51:U53"/>
    <mergeCell ref="H53:H54"/>
    <mergeCell ref="F55:G57"/>
    <mergeCell ref="H57:H58"/>
    <mergeCell ref="T59:U61"/>
    <mergeCell ref="H61:H62"/>
    <mergeCell ref="F39:G41"/>
    <mergeCell ref="H41:H42"/>
    <mergeCell ref="T43:U45"/>
    <mergeCell ref="H45:H46"/>
    <mergeCell ref="D47:E49"/>
    <mergeCell ref="F47:G49"/>
    <mergeCell ref="H49:H50"/>
    <mergeCell ref="T27:U29"/>
    <mergeCell ref="H29:H30"/>
    <mergeCell ref="F31:G33"/>
    <mergeCell ref="H33:H34"/>
    <mergeCell ref="T35:U37"/>
    <mergeCell ref="H37:H38"/>
    <mergeCell ref="F15:G17"/>
    <mergeCell ref="H17:H18"/>
    <mergeCell ref="T19:U21"/>
    <mergeCell ref="H21:H22"/>
    <mergeCell ref="F23:G25"/>
    <mergeCell ref="H25:H26"/>
    <mergeCell ref="T11:U13"/>
    <mergeCell ref="H13:H14"/>
    <mergeCell ref="D7:E9"/>
    <mergeCell ref="F7:G9"/>
    <mergeCell ref="P8:P9"/>
    <mergeCell ref="S8:S9"/>
    <mergeCell ref="H9:H10"/>
  </mergeCells>
  <phoneticPr fontId="1"/>
  <printOptions horizontalCentered="1"/>
  <pageMargins left="0.70866141732283472" right="0.70866141732283472" top="0.74803149606299213" bottom="0.74803149606299213" header="0.31496062992125984" footer="0.31496062992125984"/>
  <pageSetup paperSize="9" scale="49" fitToHeight="0" orientation="portrait" r:id="rId1"/>
  <headerFooter>
    <oddHeader>&amp;R&amp;"ＭＳ Ｐゴシック"&amp;9居宅介護</oddHeader>
    <oddFooter>&amp;C&amp;"ＭＳ Ｐゴシック"&amp;14&amp;P</oddFooter>
  </headerFooter>
  <rowBreaks count="1" manualBreakCount="1">
    <brk id="78" max="2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dimension ref="A1:V12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9.5" style="10" bestFit="1" customWidth="1"/>
    <col min="4" max="4" width="2.5" style="11" customWidth="1"/>
    <col min="5" max="6" width="4.875" style="10" customWidth="1"/>
    <col min="7" max="7" width="2.5" style="10" customWidth="1"/>
    <col min="8" max="8" width="4.875" style="10" customWidth="1"/>
    <col min="9" max="9" width="4.5" style="117" bestFit="1" customWidth="1"/>
    <col min="10" max="10" width="11.875" style="12" customWidth="1"/>
    <col min="11" max="11" width="3.5" style="12" bestFit="1" customWidth="1"/>
    <col min="12" max="12" width="4.5" style="13" bestFit="1" customWidth="1"/>
    <col min="13" max="13" width="24.875" style="14" bestFit="1" customWidth="1"/>
    <col min="14" max="14" width="3.5" style="12" bestFit="1" customWidth="1"/>
    <col min="15" max="15" width="5.5" style="13" bestFit="1" customWidth="1"/>
    <col min="16" max="16" width="3.5" style="12" bestFit="1" customWidth="1"/>
    <col min="17" max="17" width="4.5" style="13" bestFit="1" customWidth="1"/>
    <col min="18" max="18" width="5.5" style="12" bestFit="1" customWidth="1"/>
    <col min="19" max="19" width="9.875" style="12" customWidth="1"/>
    <col min="20" max="20" width="4.5" style="12" bestFit="1" customWidth="1"/>
    <col min="21" max="21" width="7.125" style="15" customWidth="1"/>
    <col min="22" max="22" width="8.5" style="16" customWidth="1"/>
    <col min="23" max="16384" width="8.875" style="12"/>
  </cols>
  <sheetData>
    <row r="1" spans="1:22" ht="17.100000000000001" customHeight="1" x14ac:dyDescent="0.15">
      <c r="G1" s="12"/>
    </row>
    <row r="2" spans="1:22" ht="17.100000000000001" customHeight="1" x14ac:dyDescent="0.15"/>
    <row r="3" spans="1:22" ht="17.100000000000001" customHeight="1" x14ac:dyDescent="0.15"/>
    <row r="4" spans="1:22" ht="17.100000000000001" customHeight="1" x14ac:dyDescent="0.15">
      <c r="B4" s="17" t="s">
        <v>5725</v>
      </c>
      <c r="E4" s="71"/>
      <c r="F4" s="71"/>
      <c r="G4" s="71"/>
    </row>
    <row r="5" spans="1:22" ht="16.5" customHeight="1" x14ac:dyDescent="0.15">
      <c r="A5" s="19" t="s">
        <v>384</v>
      </c>
      <c r="B5" s="20"/>
      <c r="C5" s="21" t="s">
        <v>385</v>
      </c>
      <c r="D5" s="126"/>
      <c r="E5" s="23" t="s">
        <v>386</v>
      </c>
      <c r="F5" s="23"/>
      <c r="G5" s="23"/>
      <c r="H5" s="23"/>
      <c r="I5" s="118"/>
      <c r="J5" s="23"/>
      <c r="K5" s="23"/>
      <c r="L5" s="24"/>
      <c r="M5" s="23"/>
      <c r="N5" s="23"/>
      <c r="O5" s="24"/>
      <c r="P5" s="23"/>
      <c r="Q5" s="24"/>
      <c r="R5" s="23"/>
      <c r="S5" s="23"/>
      <c r="T5" s="23"/>
      <c r="U5" s="25" t="s">
        <v>387</v>
      </c>
      <c r="V5" s="21" t="s">
        <v>388</v>
      </c>
    </row>
    <row r="6" spans="1:22" ht="16.5" customHeight="1" x14ac:dyDescent="0.15">
      <c r="A6" s="26" t="s">
        <v>389</v>
      </c>
      <c r="B6" s="26" t="s">
        <v>390</v>
      </c>
      <c r="C6" s="27"/>
      <c r="D6" s="28"/>
      <c r="E6" s="29"/>
      <c r="F6" s="29"/>
      <c r="G6" s="726" t="s">
        <v>1032</v>
      </c>
      <c r="H6" s="731"/>
      <c r="I6" s="727"/>
      <c r="J6" s="29"/>
      <c r="K6" s="29"/>
      <c r="L6" s="30"/>
      <c r="M6" s="29"/>
      <c r="N6" s="29"/>
      <c r="O6" s="30"/>
      <c r="P6" s="29"/>
      <c r="Q6" s="30"/>
      <c r="R6" s="29"/>
      <c r="S6" s="29"/>
      <c r="T6" s="29"/>
      <c r="U6" s="31" t="s">
        <v>391</v>
      </c>
      <c r="V6" s="32" t="s">
        <v>392</v>
      </c>
    </row>
    <row r="7" spans="1:22" ht="16.5" customHeight="1" x14ac:dyDescent="0.15">
      <c r="A7" s="41">
        <v>11</v>
      </c>
      <c r="B7" s="41">
        <v>3547</v>
      </c>
      <c r="C7" s="74" t="s">
        <v>5726</v>
      </c>
      <c r="D7" s="732" t="s">
        <v>1806</v>
      </c>
      <c r="E7" s="707" t="s">
        <v>4811</v>
      </c>
      <c r="F7" s="708"/>
      <c r="G7" s="732" t="s">
        <v>1807</v>
      </c>
      <c r="H7" s="707" t="s">
        <v>3780</v>
      </c>
      <c r="I7" s="717"/>
      <c r="J7" s="53"/>
      <c r="K7" s="49"/>
      <c r="L7" s="50"/>
      <c r="M7" s="44"/>
      <c r="N7" s="45"/>
      <c r="O7" s="46"/>
      <c r="P7" s="114" t="s">
        <v>1036</v>
      </c>
      <c r="Q7" s="50"/>
      <c r="R7" s="115"/>
      <c r="S7" s="53"/>
      <c r="T7" s="49"/>
      <c r="U7" s="47">
        <f>+ROUND((_11_B通院１０．５＿０．５*(1+_11・B深夜)),0)</f>
        <v>221</v>
      </c>
      <c r="V7" s="128" t="s">
        <v>395</v>
      </c>
    </row>
    <row r="8" spans="1:22" ht="16.5" customHeight="1" x14ac:dyDescent="0.15">
      <c r="A8" s="41">
        <v>11</v>
      </c>
      <c r="B8" s="41">
        <v>3548</v>
      </c>
      <c r="C8" s="74" t="s">
        <v>5727</v>
      </c>
      <c r="D8" s="733"/>
      <c r="E8" s="709"/>
      <c r="F8" s="704"/>
      <c r="G8" s="733"/>
      <c r="H8" s="709"/>
      <c r="I8" s="718"/>
      <c r="J8" s="43"/>
      <c r="K8" s="37"/>
      <c r="L8" s="38"/>
      <c r="M8" s="44" t="s">
        <v>397</v>
      </c>
      <c r="N8" s="45" t="s">
        <v>398</v>
      </c>
      <c r="O8" s="46">
        <v>1</v>
      </c>
      <c r="P8" s="35" t="s">
        <v>398</v>
      </c>
      <c r="Q8" s="13">
        <v>0.5</v>
      </c>
      <c r="R8" s="728" t="s">
        <v>676</v>
      </c>
      <c r="S8" s="35"/>
      <c r="U8" s="47">
        <f>+ROUND((ROUND((_11_B通院１０．５＿０．５*_11・２人),0)*(1+_11・B深夜)),0)</f>
        <v>221</v>
      </c>
      <c r="V8" s="48"/>
    </row>
    <row r="9" spans="1:22" ht="16.5" customHeight="1" x14ac:dyDescent="0.15">
      <c r="A9" s="41">
        <v>11</v>
      </c>
      <c r="B9" s="41">
        <v>3549</v>
      </c>
      <c r="C9" s="74" t="s">
        <v>5728</v>
      </c>
      <c r="D9" s="733"/>
      <c r="E9" s="709"/>
      <c r="F9" s="704"/>
      <c r="G9" s="733"/>
      <c r="H9" s="709"/>
      <c r="I9" s="718"/>
      <c r="J9" s="752" t="s">
        <v>400</v>
      </c>
      <c r="K9" s="49" t="s">
        <v>398</v>
      </c>
      <c r="L9" s="50">
        <v>0.7</v>
      </c>
      <c r="M9" s="44"/>
      <c r="N9" s="45"/>
      <c r="O9" s="46"/>
      <c r="P9" s="35"/>
      <c r="R9" s="728"/>
      <c r="S9" s="35"/>
      <c r="U9" s="47">
        <f>+ROUND((ROUND((_11_B通院１０．５＿０．５*_11・基礎１),0)*(1+_11・B深夜)),0)</f>
        <v>155</v>
      </c>
      <c r="V9" s="48"/>
    </row>
    <row r="10" spans="1:22" ht="16.5" customHeight="1" x14ac:dyDescent="0.15">
      <c r="A10" s="41">
        <v>11</v>
      </c>
      <c r="B10" s="41">
        <v>3550</v>
      </c>
      <c r="C10" s="74" t="s">
        <v>5729</v>
      </c>
      <c r="D10" s="733"/>
      <c r="E10" s="121"/>
      <c r="F10" s="188"/>
      <c r="G10" s="733"/>
      <c r="H10" s="125">
        <f>_11_B通院１０．５＿０．５</f>
        <v>147</v>
      </c>
      <c r="I10" s="99" t="s">
        <v>392</v>
      </c>
      <c r="J10" s="711"/>
      <c r="K10" s="37"/>
      <c r="L10" s="38"/>
      <c r="M10" s="44" t="s">
        <v>397</v>
      </c>
      <c r="N10" s="45" t="s">
        <v>398</v>
      </c>
      <c r="O10" s="46">
        <v>1</v>
      </c>
      <c r="P10" s="35"/>
      <c r="R10" s="57"/>
      <c r="S10" s="43"/>
      <c r="T10" s="37"/>
      <c r="U10" s="47">
        <f>+ROUND((ROUND((ROUND((_11_B通院１０．５＿０．５*_11・基礎１),0)*_11・２人),0)*(1+_11・B深夜)),0)</f>
        <v>155</v>
      </c>
      <c r="V10" s="48"/>
    </row>
    <row r="11" spans="1:22" ht="16.5" customHeight="1" x14ac:dyDescent="0.15">
      <c r="A11" s="41">
        <v>11</v>
      </c>
      <c r="B11" s="41" t="s">
        <v>5730</v>
      </c>
      <c r="C11" s="74" t="s">
        <v>5731</v>
      </c>
      <c r="D11" s="733"/>
      <c r="E11" s="121"/>
      <c r="F11" s="188"/>
      <c r="G11" s="733"/>
      <c r="H11" s="121"/>
      <c r="I11" s="99"/>
      <c r="J11" s="53"/>
      <c r="K11" s="49"/>
      <c r="L11" s="50"/>
      <c r="M11" s="44"/>
      <c r="N11" s="45"/>
      <c r="O11" s="46"/>
      <c r="P11" s="35"/>
      <c r="R11" s="57"/>
      <c r="S11" s="707" t="s">
        <v>404</v>
      </c>
      <c r="T11" s="708"/>
      <c r="U11" s="47">
        <f>+ROUND((ROUND((_11_B通院１０．５＿０．５*(1+_11・B深夜)),0)*_11・初任),0)</f>
        <v>155</v>
      </c>
      <c r="V11" s="48"/>
    </row>
    <row r="12" spans="1:22" ht="16.5" customHeight="1" x14ac:dyDescent="0.15">
      <c r="A12" s="41">
        <v>11</v>
      </c>
      <c r="B12" s="41" t="s">
        <v>5732</v>
      </c>
      <c r="C12" s="74" t="s">
        <v>5733</v>
      </c>
      <c r="D12" s="733"/>
      <c r="E12" s="121"/>
      <c r="F12" s="188"/>
      <c r="G12" s="733"/>
      <c r="H12" s="121"/>
      <c r="I12" s="99"/>
      <c r="J12" s="43"/>
      <c r="K12" s="37"/>
      <c r="L12" s="38"/>
      <c r="M12" s="44" t="s">
        <v>397</v>
      </c>
      <c r="N12" s="45" t="s">
        <v>398</v>
      </c>
      <c r="O12" s="46">
        <v>1</v>
      </c>
      <c r="P12" s="35"/>
      <c r="R12" s="57"/>
      <c r="S12" s="709"/>
      <c r="T12" s="704"/>
      <c r="U12" s="47">
        <f>+ROUND((ROUND((ROUND((_11_B通院１０．５＿０．５*_11・２人),0)*(1+_11・B深夜)),0)*_11・初任),0)</f>
        <v>155</v>
      </c>
      <c r="V12" s="48"/>
    </row>
    <row r="13" spans="1:22" ht="16.5" customHeight="1" x14ac:dyDescent="0.15">
      <c r="A13" s="41">
        <v>11</v>
      </c>
      <c r="B13" s="41" t="s">
        <v>5734</v>
      </c>
      <c r="C13" s="74" t="s">
        <v>5735</v>
      </c>
      <c r="D13" s="733"/>
      <c r="E13" s="72"/>
      <c r="G13" s="733"/>
      <c r="H13" s="72"/>
      <c r="I13" s="99"/>
      <c r="J13" s="752" t="s">
        <v>400</v>
      </c>
      <c r="K13" s="49" t="s">
        <v>398</v>
      </c>
      <c r="L13" s="50">
        <v>0.7</v>
      </c>
      <c r="M13" s="44"/>
      <c r="N13" s="45"/>
      <c r="O13" s="46"/>
      <c r="P13" s="35"/>
      <c r="R13" s="57"/>
      <c r="S13" s="709"/>
      <c r="T13" s="704"/>
      <c r="U13" s="47">
        <f>+ROUND((ROUND((ROUND((_11_B通院１０．５＿０．５*_11・基礎１),0)*(1+_11・B深夜)),0)*_11・初任),0)</f>
        <v>109</v>
      </c>
      <c r="V13" s="48"/>
    </row>
    <row r="14" spans="1:22" ht="16.5" customHeight="1" x14ac:dyDescent="0.15">
      <c r="A14" s="41">
        <v>11</v>
      </c>
      <c r="B14" s="41" t="s">
        <v>5736</v>
      </c>
      <c r="C14" s="74" t="s">
        <v>5737</v>
      </c>
      <c r="D14" s="733"/>
      <c r="E14" s="72"/>
      <c r="G14" s="733"/>
      <c r="H14" s="72"/>
      <c r="I14" s="99"/>
      <c r="J14" s="711"/>
      <c r="K14" s="37"/>
      <c r="L14" s="38"/>
      <c r="M14" s="44" t="s">
        <v>397</v>
      </c>
      <c r="N14" s="45" t="s">
        <v>398</v>
      </c>
      <c r="O14" s="46">
        <v>1</v>
      </c>
      <c r="P14" s="35"/>
      <c r="R14" s="57"/>
      <c r="S14" s="55" t="s">
        <v>398</v>
      </c>
      <c r="T14" s="38">
        <f>_11・初任</f>
        <v>0.7</v>
      </c>
      <c r="U14" s="47">
        <f>+ROUND((ROUND((ROUND((ROUND((_11_B通院１０．５＿０．５*_11・基礎１),0)*_11・２人),0)*(1+_11・B深夜)),0)*_11・初任),0)</f>
        <v>109</v>
      </c>
      <c r="V14" s="48"/>
    </row>
    <row r="15" spans="1:22" ht="16.5" customHeight="1" x14ac:dyDescent="0.15">
      <c r="A15" s="41">
        <v>11</v>
      </c>
      <c r="B15" s="41">
        <v>3551</v>
      </c>
      <c r="C15" s="74" t="s">
        <v>5738</v>
      </c>
      <c r="D15" s="131"/>
      <c r="E15" s="72"/>
      <c r="G15" s="131"/>
      <c r="H15" s="707" t="s">
        <v>3787</v>
      </c>
      <c r="I15" s="717"/>
      <c r="J15" s="49"/>
      <c r="K15" s="49"/>
      <c r="L15" s="50"/>
      <c r="M15" s="44"/>
      <c r="N15" s="45"/>
      <c r="O15" s="46"/>
      <c r="P15" s="35"/>
      <c r="R15" s="57"/>
      <c r="S15" s="53"/>
      <c r="T15" s="49"/>
      <c r="U15" s="47">
        <f>+ROUND((_11_B通院１０．５＿１．０*(1+_11・B深夜)),0)</f>
        <v>494</v>
      </c>
      <c r="V15" s="48"/>
    </row>
    <row r="16" spans="1:22" ht="16.5" customHeight="1" x14ac:dyDescent="0.15">
      <c r="A16" s="41">
        <v>11</v>
      </c>
      <c r="B16" s="41">
        <v>3552</v>
      </c>
      <c r="C16" s="74" t="s">
        <v>5739</v>
      </c>
      <c r="D16" s="131"/>
      <c r="E16" s="72"/>
      <c r="G16" s="131"/>
      <c r="H16" s="709"/>
      <c r="I16" s="718"/>
      <c r="J16" s="37"/>
      <c r="K16" s="37"/>
      <c r="L16" s="38"/>
      <c r="M16" s="44" t="s">
        <v>397</v>
      </c>
      <c r="N16" s="45" t="s">
        <v>398</v>
      </c>
      <c r="O16" s="46">
        <v>1</v>
      </c>
      <c r="P16" s="35"/>
      <c r="R16" s="57"/>
      <c r="S16" s="35"/>
      <c r="U16" s="47">
        <f>+ROUND((ROUND((_11_B通院１０．５＿１．０*_11・２人),0)*(1+_11・B深夜)),0)</f>
        <v>494</v>
      </c>
      <c r="V16" s="48"/>
    </row>
    <row r="17" spans="1:22" ht="16.5" customHeight="1" x14ac:dyDescent="0.15">
      <c r="A17" s="41">
        <v>11</v>
      </c>
      <c r="B17" s="41">
        <v>3553</v>
      </c>
      <c r="C17" s="74" t="s">
        <v>5740</v>
      </c>
      <c r="D17" s="131"/>
      <c r="E17" s="72"/>
      <c r="G17" s="131"/>
      <c r="H17" s="709"/>
      <c r="I17" s="718"/>
      <c r="J17" s="756" t="s">
        <v>400</v>
      </c>
      <c r="K17" s="49" t="s">
        <v>398</v>
      </c>
      <c r="L17" s="50">
        <v>0.7</v>
      </c>
      <c r="M17" s="44"/>
      <c r="N17" s="45"/>
      <c r="O17" s="46"/>
      <c r="P17" s="35"/>
      <c r="R17" s="57"/>
      <c r="S17" s="35"/>
      <c r="U17" s="47">
        <f>+ROUND((ROUND((_11_B通院１０．５＿１．０*_11・基礎１),0)*(1+_11・B深夜)),0)</f>
        <v>345</v>
      </c>
      <c r="V17" s="48"/>
    </row>
    <row r="18" spans="1:22" ht="16.5" customHeight="1" x14ac:dyDescent="0.15">
      <c r="A18" s="41">
        <v>11</v>
      </c>
      <c r="B18" s="41">
        <v>3554</v>
      </c>
      <c r="C18" s="74" t="s">
        <v>5741</v>
      </c>
      <c r="D18" s="131"/>
      <c r="E18" s="72"/>
      <c r="G18" s="131"/>
      <c r="H18" s="100">
        <f>_11_B通院１０．５＿１．０</f>
        <v>329</v>
      </c>
      <c r="I18" s="12" t="s">
        <v>392</v>
      </c>
      <c r="J18" s="711"/>
      <c r="K18" s="37"/>
      <c r="L18" s="38"/>
      <c r="M18" s="44" t="s">
        <v>397</v>
      </c>
      <c r="N18" s="45" t="s">
        <v>398</v>
      </c>
      <c r="O18" s="46">
        <v>1</v>
      </c>
      <c r="P18" s="35"/>
      <c r="R18" s="57"/>
      <c r="S18" s="43"/>
      <c r="T18" s="37"/>
      <c r="U18" s="47">
        <f>+ROUND((ROUND((ROUND((_11_B通院１０．５＿１．０*_11・基礎１),0)*_11・２人),0)*(1+_11・B深夜)),0)</f>
        <v>345</v>
      </c>
      <c r="V18" s="48"/>
    </row>
    <row r="19" spans="1:22" ht="16.5" customHeight="1" x14ac:dyDescent="0.15">
      <c r="A19" s="41">
        <v>11</v>
      </c>
      <c r="B19" s="41" t="s">
        <v>5742</v>
      </c>
      <c r="C19" s="74" t="s">
        <v>5743</v>
      </c>
      <c r="D19" s="131"/>
      <c r="E19" s="72"/>
      <c r="G19" s="131"/>
      <c r="H19" s="121"/>
      <c r="I19" s="99"/>
      <c r="J19" s="53"/>
      <c r="K19" s="49"/>
      <c r="L19" s="50"/>
      <c r="M19" s="44"/>
      <c r="N19" s="45"/>
      <c r="O19" s="46"/>
      <c r="P19" s="35"/>
      <c r="R19" s="57"/>
      <c r="S19" s="707" t="s">
        <v>404</v>
      </c>
      <c r="T19" s="708"/>
      <c r="U19" s="47">
        <f>+ROUND((ROUND((_11_B通院１０．５＿１．０*(1+_11・B深夜)),0)*_11・初任),0)</f>
        <v>346</v>
      </c>
      <c r="V19" s="48"/>
    </row>
    <row r="20" spans="1:22" ht="16.5" customHeight="1" x14ac:dyDescent="0.15">
      <c r="A20" s="41">
        <v>11</v>
      </c>
      <c r="B20" s="41" t="s">
        <v>5744</v>
      </c>
      <c r="C20" s="74" t="s">
        <v>5745</v>
      </c>
      <c r="D20" s="131"/>
      <c r="E20" s="72"/>
      <c r="G20" s="131"/>
      <c r="H20" s="121"/>
      <c r="I20" s="99"/>
      <c r="J20" s="43"/>
      <c r="K20" s="37"/>
      <c r="L20" s="38"/>
      <c r="M20" s="44" t="s">
        <v>397</v>
      </c>
      <c r="N20" s="45" t="s">
        <v>398</v>
      </c>
      <c r="O20" s="46">
        <v>1</v>
      </c>
      <c r="P20" s="35"/>
      <c r="R20" s="57"/>
      <c r="S20" s="709"/>
      <c r="T20" s="704"/>
      <c r="U20" s="47">
        <f>+ROUND((ROUND((ROUND((_11_B通院１０．５＿１．０*_11・２人),0)*(1+_11・B深夜)),0)*_11・初任),0)</f>
        <v>346</v>
      </c>
      <c r="V20" s="48"/>
    </row>
    <row r="21" spans="1:22" ht="16.5" customHeight="1" x14ac:dyDescent="0.15">
      <c r="A21" s="41">
        <v>11</v>
      </c>
      <c r="B21" s="41" t="s">
        <v>5746</v>
      </c>
      <c r="C21" s="74" t="s">
        <v>5747</v>
      </c>
      <c r="D21" s="131"/>
      <c r="E21" s="72"/>
      <c r="G21" s="131"/>
      <c r="H21" s="72"/>
      <c r="I21" s="99"/>
      <c r="J21" s="752" t="s">
        <v>400</v>
      </c>
      <c r="K21" s="49" t="s">
        <v>398</v>
      </c>
      <c r="L21" s="50">
        <v>0.7</v>
      </c>
      <c r="M21" s="44"/>
      <c r="N21" s="45"/>
      <c r="O21" s="46"/>
      <c r="P21" s="35"/>
      <c r="R21" s="57"/>
      <c r="S21" s="709"/>
      <c r="T21" s="704"/>
      <c r="U21" s="47">
        <f>+ROUND((ROUND((ROUND((_11_B通院１０．５＿１．０*_11・基礎１),0)*(1+_11・B深夜)),0)*_11・初任),0)</f>
        <v>242</v>
      </c>
      <c r="V21" s="48"/>
    </row>
    <row r="22" spans="1:22" ht="16.5" customHeight="1" x14ac:dyDescent="0.15">
      <c r="A22" s="41">
        <v>11</v>
      </c>
      <c r="B22" s="41" t="s">
        <v>5748</v>
      </c>
      <c r="C22" s="74" t="s">
        <v>5749</v>
      </c>
      <c r="D22" s="131"/>
      <c r="E22" s="72"/>
      <c r="G22" s="131"/>
      <c r="H22" s="72"/>
      <c r="I22" s="99"/>
      <c r="J22" s="711"/>
      <c r="K22" s="37"/>
      <c r="L22" s="38"/>
      <c r="M22" s="44" t="s">
        <v>397</v>
      </c>
      <c r="N22" s="45" t="s">
        <v>398</v>
      </c>
      <c r="O22" s="46">
        <v>1</v>
      </c>
      <c r="P22" s="35"/>
      <c r="R22" s="57"/>
      <c r="S22" s="55" t="s">
        <v>398</v>
      </c>
      <c r="T22" s="38">
        <f>_11・初任</f>
        <v>0.7</v>
      </c>
      <c r="U22" s="47">
        <f>+ROUND((ROUND((ROUND((ROUND((_11_B通院１０．５＿１．０*_11・基礎１),0)*_11・２人),0)*(1+_11・B深夜)),0)*_11・初任),0)</f>
        <v>242</v>
      </c>
      <c r="V22" s="48"/>
    </row>
    <row r="23" spans="1:22" ht="16.5" customHeight="1" x14ac:dyDescent="0.15">
      <c r="A23" s="41">
        <v>11</v>
      </c>
      <c r="B23" s="41">
        <v>3555</v>
      </c>
      <c r="C23" s="74" t="s">
        <v>5750</v>
      </c>
      <c r="D23" s="131"/>
      <c r="E23" s="72"/>
      <c r="G23" s="131"/>
      <c r="H23" s="707" t="s">
        <v>3794</v>
      </c>
      <c r="I23" s="717"/>
      <c r="J23" s="53"/>
      <c r="K23" s="49"/>
      <c r="L23" s="50"/>
      <c r="M23" s="44"/>
      <c r="N23" s="45"/>
      <c r="O23" s="46"/>
      <c r="P23" s="35"/>
      <c r="R23" s="57"/>
      <c r="S23" s="53"/>
      <c r="T23" s="49"/>
      <c r="U23" s="47">
        <f>+ROUND((_11_B通院１０．５＿１．５*(1+_11・B深夜)),0)</f>
        <v>617</v>
      </c>
      <c r="V23" s="48"/>
    </row>
    <row r="24" spans="1:22" ht="16.5" customHeight="1" x14ac:dyDescent="0.15">
      <c r="A24" s="41">
        <v>11</v>
      </c>
      <c r="B24" s="41">
        <v>3556</v>
      </c>
      <c r="C24" s="74" t="s">
        <v>5751</v>
      </c>
      <c r="D24" s="131"/>
      <c r="E24" s="72"/>
      <c r="G24" s="131"/>
      <c r="H24" s="709"/>
      <c r="I24" s="718"/>
      <c r="J24" s="43"/>
      <c r="K24" s="37"/>
      <c r="L24" s="38"/>
      <c r="M24" s="44" t="s">
        <v>397</v>
      </c>
      <c r="N24" s="45" t="s">
        <v>398</v>
      </c>
      <c r="O24" s="46">
        <v>1</v>
      </c>
      <c r="P24" s="35"/>
      <c r="R24" s="57"/>
      <c r="S24" s="35"/>
      <c r="U24" s="47">
        <f>+ROUND((ROUND((_11_B通院１０．５＿１．５*_11・２人),0)*(1+_11・B深夜)),0)</f>
        <v>617</v>
      </c>
      <c r="V24" s="48"/>
    </row>
    <row r="25" spans="1:22" ht="16.5" customHeight="1" x14ac:dyDescent="0.15">
      <c r="A25" s="41">
        <v>11</v>
      </c>
      <c r="B25" s="41">
        <v>3557</v>
      </c>
      <c r="C25" s="74" t="s">
        <v>5752</v>
      </c>
      <c r="D25" s="131"/>
      <c r="E25" s="72"/>
      <c r="G25" s="131"/>
      <c r="H25" s="709"/>
      <c r="I25" s="718"/>
      <c r="J25" s="752" t="s">
        <v>400</v>
      </c>
      <c r="K25" s="49" t="s">
        <v>398</v>
      </c>
      <c r="L25" s="50">
        <v>0.7</v>
      </c>
      <c r="M25" s="44"/>
      <c r="N25" s="45"/>
      <c r="O25" s="46"/>
      <c r="P25" s="35"/>
      <c r="R25" s="57"/>
      <c r="S25" s="35"/>
      <c r="U25" s="47">
        <f>+ROUND((ROUND((_11_B通院１０．５＿１．５*_11・基礎１),0)*(1+_11・B深夜)),0)</f>
        <v>432</v>
      </c>
      <c r="V25" s="48"/>
    </row>
    <row r="26" spans="1:22" ht="16.5" customHeight="1" x14ac:dyDescent="0.15">
      <c r="A26" s="41">
        <v>11</v>
      </c>
      <c r="B26" s="41">
        <v>3558</v>
      </c>
      <c r="C26" s="74" t="s">
        <v>5753</v>
      </c>
      <c r="D26" s="131"/>
      <c r="E26" s="72"/>
      <c r="G26" s="131"/>
      <c r="H26" s="100">
        <f>_11_B通院１０．５＿１．５</f>
        <v>411</v>
      </c>
      <c r="I26" s="12" t="s">
        <v>392</v>
      </c>
      <c r="J26" s="711"/>
      <c r="K26" s="37"/>
      <c r="L26" s="38"/>
      <c r="M26" s="44" t="s">
        <v>397</v>
      </c>
      <c r="N26" s="45" t="s">
        <v>398</v>
      </c>
      <c r="O26" s="46">
        <v>1</v>
      </c>
      <c r="P26" s="35"/>
      <c r="R26" s="57"/>
      <c r="S26" s="43"/>
      <c r="T26" s="37"/>
      <c r="U26" s="47">
        <f>+ROUND((ROUND((ROUND((_11_B通院１０．５＿１．５*_11・基礎１),0)*_11・２人),0)*(1+_11・B深夜)),0)</f>
        <v>432</v>
      </c>
      <c r="V26" s="48"/>
    </row>
    <row r="27" spans="1:22" ht="16.5" customHeight="1" x14ac:dyDescent="0.15">
      <c r="A27" s="41">
        <v>11</v>
      </c>
      <c r="B27" s="41" t="s">
        <v>5754</v>
      </c>
      <c r="C27" s="74" t="s">
        <v>5755</v>
      </c>
      <c r="D27" s="131"/>
      <c r="E27" s="72"/>
      <c r="G27" s="131"/>
      <c r="H27" s="121"/>
      <c r="I27" s="99"/>
      <c r="J27" s="53"/>
      <c r="K27" s="49"/>
      <c r="L27" s="50"/>
      <c r="M27" s="44"/>
      <c r="N27" s="45"/>
      <c r="O27" s="46"/>
      <c r="P27" s="35"/>
      <c r="R27" s="57"/>
      <c r="S27" s="707" t="s">
        <v>404</v>
      </c>
      <c r="T27" s="708"/>
      <c r="U27" s="47">
        <f>+ROUND((ROUND((_11_B通院１０．５＿１．５*(1+_11・B深夜)),0)*_11・初任),0)</f>
        <v>432</v>
      </c>
      <c r="V27" s="48"/>
    </row>
    <row r="28" spans="1:22" ht="16.5" customHeight="1" x14ac:dyDescent="0.15">
      <c r="A28" s="41">
        <v>11</v>
      </c>
      <c r="B28" s="41" t="s">
        <v>5756</v>
      </c>
      <c r="C28" s="74" t="s">
        <v>5757</v>
      </c>
      <c r="D28" s="131"/>
      <c r="E28" s="72"/>
      <c r="G28" s="131"/>
      <c r="H28" s="121"/>
      <c r="I28" s="99"/>
      <c r="J28" s="43"/>
      <c r="K28" s="37"/>
      <c r="L28" s="38"/>
      <c r="M28" s="44" t="s">
        <v>397</v>
      </c>
      <c r="N28" s="45" t="s">
        <v>398</v>
      </c>
      <c r="O28" s="46">
        <v>1</v>
      </c>
      <c r="P28" s="35"/>
      <c r="R28" s="57"/>
      <c r="S28" s="709"/>
      <c r="T28" s="704"/>
      <c r="U28" s="47">
        <f>+ROUND((ROUND((ROUND((_11_B通院１０．５＿１．５*_11・２人),0)*(1+_11・B深夜)),0)*_11・初任),0)</f>
        <v>432</v>
      </c>
      <c r="V28" s="48"/>
    </row>
    <row r="29" spans="1:22" ht="16.5" customHeight="1" x14ac:dyDescent="0.15">
      <c r="A29" s="41">
        <v>11</v>
      </c>
      <c r="B29" s="41" t="s">
        <v>5758</v>
      </c>
      <c r="C29" s="74" t="s">
        <v>5759</v>
      </c>
      <c r="D29" s="131"/>
      <c r="E29" s="72"/>
      <c r="G29" s="131"/>
      <c r="H29" s="72"/>
      <c r="I29" s="99"/>
      <c r="J29" s="752" t="s">
        <v>400</v>
      </c>
      <c r="K29" s="49" t="s">
        <v>398</v>
      </c>
      <c r="L29" s="50">
        <v>0.7</v>
      </c>
      <c r="M29" s="44"/>
      <c r="N29" s="45"/>
      <c r="O29" s="46"/>
      <c r="P29" s="35"/>
      <c r="R29" s="57"/>
      <c r="S29" s="709"/>
      <c r="T29" s="704"/>
      <c r="U29" s="47">
        <f>+ROUND((ROUND((ROUND((_11_B通院１０．５＿１．５*_11・基礎１),0)*(1+_11・B深夜)),0)*_11・初任),0)</f>
        <v>302</v>
      </c>
      <c r="V29" s="48"/>
    </row>
    <row r="30" spans="1:22" ht="16.5" customHeight="1" x14ac:dyDescent="0.15">
      <c r="A30" s="41">
        <v>11</v>
      </c>
      <c r="B30" s="41" t="s">
        <v>5760</v>
      </c>
      <c r="C30" s="74" t="s">
        <v>5761</v>
      </c>
      <c r="D30" s="131"/>
      <c r="E30" s="72"/>
      <c r="G30" s="131"/>
      <c r="H30" s="72"/>
      <c r="I30" s="99"/>
      <c r="J30" s="711"/>
      <c r="K30" s="37"/>
      <c r="L30" s="38"/>
      <c r="M30" s="44" t="s">
        <v>397</v>
      </c>
      <c r="N30" s="45" t="s">
        <v>398</v>
      </c>
      <c r="O30" s="46">
        <v>1</v>
      </c>
      <c r="P30" s="35"/>
      <c r="R30" s="57"/>
      <c r="S30" s="55" t="s">
        <v>398</v>
      </c>
      <c r="T30" s="38">
        <f>_11・初任</f>
        <v>0.7</v>
      </c>
      <c r="U30" s="47">
        <f>+ROUND((ROUND((ROUND((ROUND((_11_B通院１０．５＿１．５*_11・基礎１),0)*_11・２人),0)*(1+_11・B深夜)),0)*_11・初任),0)</f>
        <v>302</v>
      </c>
      <c r="V30" s="48"/>
    </row>
    <row r="31" spans="1:22" ht="16.5" customHeight="1" x14ac:dyDescent="0.15">
      <c r="A31" s="41">
        <v>11</v>
      </c>
      <c r="B31" s="41">
        <v>3559</v>
      </c>
      <c r="C31" s="74" t="s">
        <v>5762</v>
      </c>
      <c r="D31" s="131"/>
      <c r="E31" s="72"/>
      <c r="G31" s="131"/>
      <c r="H31" s="707" t="s">
        <v>3801</v>
      </c>
      <c r="I31" s="717"/>
      <c r="J31" s="53"/>
      <c r="K31" s="49"/>
      <c r="L31" s="50"/>
      <c r="M31" s="44"/>
      <c r="N31" s="45"/>
      <c r="O31" s="46"/>
      <c r="P31" s="35"/>
      <c r="R31" s="57"/>
      <c r="S31" s="53"/>
      <c r="T31" s="49"/>
      <c r="U31" s="47">
        <f>+ROUND((_11_B通院１０．５＿２．０*(1+_11・B深夜)),0)</f>
        <v>743</v>
      </c>
      <c r="V31" s="48"/>
    </row>
    <row r="32" spans="1:22" ht="16.5" customHeight="1" x14ac:dyDescent="0.15">
      <c r="A32" s="41">
        <v>11</v>
      </c>
      <c r="B32" s="41">
        <v>3560</v>
      </c>
      <c r="C32" s="74" t="s">
        <v>5763</v>
      </c>
      <c r="D32" s="131"/>
      <c r="E32" s="72"/>
      <c r="G32" s="131"/>
      <c r="H32" s="709"/>
      <c r="I32" s="718"/>
      <c r="J32" s="43"/>
      <c r="K32" s="37"/>
      <c r="L32" s="38"/>
      <c r="M32" s="44" t="s">
        <v>397</v>
      </c>
      <c r="N32" s="45" t="s">
        <v>398</v>
      </c>
      <c r="O32" s="46">
        <v>1</v>
      </c>
      <c r="P32" s="35"/>
      <c r="R32" s="57"/>
      <c r="S32" s="35"/>
      <c r="U32" s="47">
        <f>+ROUND((ROUND((_11_B通院１０．５＿２．０*_11・２人),0)*(1+_11・B深夜)),0)</f>
        <v>743</v>
      </c>
      <c r="V32" s="48"/>
    </row>
    <row r="33" spans="1:22" ht="16.5" customHeight="1" x14ac:dyDescent="0.15">
      <c r="A33" s="41">
        <v>11</v>
      </c>
      <c r="B33" s="41">
        <v>3561</v>
      </c>
      <c r="C33" s="74" t="s">
        <v>5764</v>
      </c>
      <c r="D33" s="131"/>
      <c r="E33" s="72"/>
      <c r="G33" s="131"/>
      <c r="H33" s="709"/>
      <c r="I33" s="718"/>
      <c r="J33" s="752" t="s">
        <v>400</v>
      </c>
      <c r="K33" s="49" t="s">
        <v>398</v>
      </c>
      <c r="L33" s="50">
        <v>0.7</v>
      </c>
      <c r="M33" s="44"/>
      <c r="N33" s="45"/>
      <c r="O33" s="46"/>
      <c r="P33" s="35"/>
      <c r="R33" s="57"/>
      <c r="S33" s="35"/>
      <c r="U33" s="47">
        <f>+ROUND((ROUND((_11_B通院１０．５＿２．０*_11・基礎１),0)*(1+_11・B深夜)),0)</f>
        <v>521</v>
      </c>
      <c r="V33" s="48"/>
    </row>
    <row r="34" spans="1:22" ht="16.5" customHeight="1" x14ac:dyDescent="0.15">
      <c r="A34" s="41">
        <v>11</v>
      </c>
      <c r="B34" s="41">
        <v>3562</v>
      </c>
      <c r="C34" s="74" t="s">
        <v>5765</v>
      </c>
      <c r="D34" s="131"/>
      <c r="E34" s="72"/>
      <c r="G34" s="131"/>
      <c r="H34" s="100">
        <f>_11_B通院１０．５＿２．０</f>
        <v>495</v>
      </c>
      <c r="I34" s="12" t="s">
        <v>392</v>
      </c>
      <c r="J34" s="711"/>
      <c r="K34" s="37"/>
      <c r="L34" s="38"/>
      <c r="M34" s="44" t="s">
        <v>397</v>
      </c>
      <c r="N34" s="45" t="s">
        <v>398</v>
      </c>
      <c r="O34" s="46">
        <v>1</v>
      </c>
      <c r="P34" s="35"/>
      <c r="R34" s="57"/>
      <c r="S34" s="43"/>
      <c r="T34" s="37"/>
      <c r="U34" s="47">
        <f>+ROUND((ROUND((ROUND((_11_B通院１０．５＿２．０*_11・基礎１),0)*_11・２人),0)*(1+_11・B深夜)),0)</f>
        <v>521</v>
      </c>
      <c r="V34" s="48"/>
    </row>
    <row r="35" spans="1:22" ht="16.5" customHeight="1" x14ac:dyDescent="0.15">
      <c r="A35" s="41">
        <v>11</v>
      </c>
      <c r="B35" s="41" t="s">
        <v>5766</v>
      </c>
      <c r="C35" s="74" t="s">
        <v>5767</v>
      </c>
      <c r="D35" s="131"/>
      <c r="E35" s="72"/>
      <c r="G35" s="131"/>
      <c r="H35" s="121"/>
      <c r="I35" s="99"/>
      <c r="J35" s="53"/>
      <c r="K35" s="49"/>
      <c r="L35" s="50"/>
      <c r="M35" s="44"/>
      <c r="N35" s="45"/>
      <c r="O35" s="46"/>
      <c r="P35" s="35"/>
      <c r="R35" s="57"/>
      <c r="S35" s="707" t="s">
        <v>404</v>
      </c>
      <c r="T35" s="708"/>
      <c r="U35" s="47">
        <f>+ROUND((ROUND((_11_B通院１０．５＿２．０*(1+_11・B深夜)),0)*_11・初任),0)</f>
        <v>520</v>
      </c>
      <c r="V35" s="48"/>
    </row>
    <row r="36" spans="1:22" ht="16.5" customHeight="1" x14ac:dyDescent="0.15">
      <c r="A36" s="41">
        <v>11</v>
      </c>
      <c r="B36" s="41" t="s">
        <v>5768</v>
      </c>
      <c r="C36" s="74" t="s">
        <v>5769</v>
      </c>
      <c r="D36" s="131"/>
      <c r="E36" s="72"/>
      <c r="G36" s="131"/>
      <c r="H36" s="121"/>
      <c r="I36" s="99"/>
      <c r="J36" s="43"/>
      <c r="K36" s="37"/>
      <c r="L36" s="38"/>
      <c r="M36" s="44" t="s">
        <v>397</v>
      </c>
      <c r="N36" s="45" t="s">
        <v>398</v>
      </c>
      <c r="O36" s="46">
        <v>1</v>
      </c>
      <c r="P36" s="35"/>
      <c r="R36" s="57"/>
      <c r="S36" s="709"/>
      <c r="T36" s="704"/>
      <c r="U36" s="47">
        <f>+ROUND((ROUND((ROUND((_11_B通院１０．５＿２．０*_11・２人),0)*(1+_11・B深夜)),0)*_11・初任),0)</f>
        <v>520</v>
      </c>
      <c r="V36" s="48"/>
    </row>
    <row r="37" spans="1:22" ht="16.5" customHeight="1" x14ac:dyDescent="0.15">
      <c r="A37" s="41">
        <v>11</v>
      </c>
      <c r="B37" s="41" t="s">
        <v>5770</v>
      </c>
      <c r="C37" s="74" t="s">
        <v>5771</v>
      </c>
      <c r="D37" s="131"/>
      <c r="E37" s="72"/>
      <c r="G37" s="131"/>
      <c r="H37" s="72"/>
      <c r="I37" s="99"/>
      <c r="J37" s="752" t="s">
        <v>400</v>
      </c>
      <c r="K37" s="49" t="s">
        <v>398</v>
      </c>
      <c r="L37" s="50">
        <v>0.7</v>
      </c>
      <c r="M37" s="44"/>
      <c r="N37" s="45"/>
      <c r="O37" s="46"/>
      <c r="P37" s="35"/>
      <c r="R37" s="57"/>
      <c r="S37" s="709"/>
      <c r="T37" s="704"/>
      <c r="U37" s="47">
        <f>+ROUND((ROUND((ROUND((_11_B通院１０．５＿２．０*_11・基礎１),0)*(1+_11・B深夜)),0)*_11・初任),0)</f>
        <v>365</v>
      </c>
      <c r="V37" s="48"/>
    </row>
    <row r="38" spans="1:22" ht="16.5" customHeight="1" x14ac:dyDescent="0.15">
      <c r="A38" s="41">
        <v>11</v>
      </c>
      <c r="B38" s="41" t="s">
        <v>5772</v>
      </c>
      <c r="C38" s="74" t="s">
        <v>5773</v>
      </c>
      <c r="D38" s="131"/>
      <c r="E38" s="72"/>
      <c r="G38" s="131"/>
      <c r="H38" s="72"/>
      <c r="I38" s="99"/>
      <c r="J38" s="711"/>
      <c r="K38" s="37"/>
      <c r="L38" s="38"/>
      <c r="M38" s="44" t="s">
        <v>397</v>
      </c>
      <c r="N38" s="45" t="s">
        <v>398</v>
      </c>
      <c r="O38" s="46">
        <v>1</v>
      </c>
      <c r="P38" s="35"/>
      <c r="R38" s="57"/>
      <c r="S38" s="55" t="s">
        <v>398</v>
      </c>
      <c r="T38" s="38">
        <f>_11・初任</f>
        <v>0.7</v>
      </c>
      <c r="U38" s="47">
        <f>+ROUND((ROUND((ROUND((ROUND((_11_B通院１０．５＿２．０*_11・基礎１),0)*_11・２人),0)*(1+_11・B深夜)),0)*_11・初任),0)</f>
        <v>365</v>
      </c>
      <c r="V38" s="48"/>
    </row>
    <row r="39" spans="1:22" ht="16.5" customHeight="1" x14ac:dyDescent="0.15">
      <c r="A39" s="41">
        <v>11</v>
      </c>
      <c r="B39" s="41">
        <v>3563</v>
      </c>
      <c r="C39" s="74" t="s">
        <v>5774</v>
      </c>
      <c r="D39" s="131"/>
      <c r="E39" s="72"/>
      <c r="G39" s="131"/>
      <c r="H39" s="707" t="s">
        <v>5590</v>
      </c>
      <c r="I39" s="717"/>
      <c r="J39" s="53"/>
      <c r="K39" s="49"/>
      <c r="L39" s="50"/>
      <c r="M39" s="44"/>
      <c r="N39" s="45"/>
      <c r="O39" s="46"/>
      <c r="P39" s="35"/>
      <c r="R39" s="57"/>
      <c r="S39" s="53"/>
      <c r="T39" s="49"/>
      <c r="U39" s="47">
        <f>+ROUND((_11_B通院１０．５＿２．５*(1+_11・B深夜)),0)</f>
        <v>867</v>
      </c>
      <c r="V39" s="48"/>
    </row>
    <row r="40" spans="1:22" ht="16.5" customHeight="1" x14ac:dyDescent="0.15">
      <c r="A40" s="41">
        <v>11</v>
      </c>
      <c r="B40" s="41">
        <v>3564</v>
      </c>
      <c r="C40" s="74" t="s">
        <v>5775</v>
      </c>
      <c r="D40" s="131"/>
      <c r="E40" s="72"/>
      <c r="G40" s="131"/>
      <c r="H40" s="709"/>
      <c r="I40" s="718"/>
      <c r="J40" s="43"/>
      <c r="K40" s="37"/>
      <c r="L40" s="38"/>
      <c r="M40" s="44" t="s">
        <v>397</v>
      </c>
      <c r="N40" s="45" t="s">
        <v>398</v>
      </c>
      <c r="O40" s="46">
        <v>1</v>
      </c>
      <c r="P40" s="35"/>
      <c r="R40" s="57"/>
      <c r="S40" s="35"/>
      <c r="U40" s="47">
        <f>+ROUND((ROUND((_11_B通院１０．５＿２．５*_11・２人),0)*(1+_11・B深夜)),0)</f>
        <v>867</v>
      </c>
      <c r="V40" s="48"/>
    </row>
    <row r="41" spans="1:22" ht="16.5" customHeight="1" x14ac:dyDescent="0.15">
      <c r="A41" s="41">
        <v>11</v>
      </c>
      <c r="B41" s="41">
        <v>3565</v>
      </c>
      <c r="C41" s="74" t="s">
        <v>5776</v>
      </c>
      <c r="D41" s="131"/>
      <c r="E41" s="72"/>
      <c r="G41" s="131"/>
      <c r="H41" s="709"/>
      <c r="I41" s="718"/>
      <c r="J41" s="752" t="s">
        <v>400</v>
      </c>
      <c r="K41" s="49" t="s">
        <v>398</v>
      </c>
      <c r="L41" s="50">
        <v>0.7</v>
      </c>
      <c r="M41" s="44"/>
      <c r="N41" s="45"/>
      <c r="O41" s="46"/>
      <c r="P41" s="35"/>
      <c r="R41" s="57"/>
      <c r="S41" s="35"/>
      <c r="U41" s="47">
        <f>+ROUND((ROUND((_11_B通院１０．５＿２．５*_11・基礎１),0)*(1+_11・B深夜)),0)</f>
        <v>608</v>
      </c>
      <c r="V41" s="48"/>
    </row>
    <row r="42" spans="1:22" ht="16.5" customHeight="1" x14ac:dyDescent="0.15">
      <c r="A42" s="41">
        <v>11</v>
      </c>
      <c r="B42" s="41">
        <v>3566</v>
      </c>
      <c r="C42" s="74" t="s">
        <v>5777</v>
      </c>
      <c r="D42" s="131"/>
      <c r="E42" s="72"/>
      <c r="G42" s="131"/>
      <c r="H42" s="100">
        <f>_11_B通院１０．５＿２．５</f>
        <v>578</v>
      </c>
      <c r="I42" s="12" t="s">
        <v>392</v>
      </c>
      <c r="J42" s="711"/>
      <c r="K42" s="37"/>
      <c r="L42" s="38"/>
      <c r="M42" s="44" t="s">
        <v>397</v>
      </c>
      <c r="N42" s="45" t="s">
        <v>398</v>
      </c>
      <c r="O42" s="46">
        <v>1</v>
      </c>
      <c r="P42" s="35"/>
      <c r="R42" s="57"/>
      <c r="S42" s="43"/>
      <c r="T42" s="37"/>
      <c r="U42" s="47">
        <f>+ROUND((ROUND((ROUND((_11_B通院１０．５＿２．５*_11・基礎１),0)*_11・２人),0)*(1+_11・B深夜)),0)</f>
        <v>608</v>
      </c>
      <c r="V42" s="48"/>
    </row>
    <row r="43" spans="1:22" ht="16.5" customHeight="1" x14ac:dyDescent="0.15">
      <c r="A43" s="41">
        <v>11</v>
      </c>
      <c r="B43" s="41" t="s">
        <v>5778</v>
      </c>
      <c r="C43" s="74" t="s">
        <v>5779</v>
      </c>
      <c r="D43" s="131"/>
      <c r="E43" s="72"/>
      <c r="G43" s="131"/>
      <c r="H43" s="121"/>
      <c r="I43" s="99"/>
      <c r="J43" s="53"/>
      <c r="K43" s="49"/>
      <c r="L43" s="50"/>
      <c r="M43" s="44"/>
      <c r="N43" s="45"/>
      <c r="O43" s="46"/>
      <c r="P43" s="35"/>
      <c r="R43" s="57"/>
      <c r="S43" s="707" t="s">
        <v>404</v>
      </c>
      <c r="T43" s="708"/>
      <c r="U43" s="47">
        <f>+ROUND((ROUND((_11_B通院１０．５＿２．５*(1+_11・B深夜)),0)*_11・初任),0)</f>
        <v>607</v>
      </c>
      <c r="V43" s="48"/>
    </row>
    <row r="44" spans="1:22" ht="16.5" customHeight="1" x14ac:dyDescent="0.15">
      <c r="A44" s="41">
        <v>11</v>
      </c>
      <c r="B44" s="41" t="s">
        <v>5780</v>
      </c>
      <c r="C44" s="74" t="s">
        <v>5781</v>
      </c>
      <c r="D44" s="131"/>
      <c r="E44" s="72"/>
      <c r="G44" s="131"/>
      <c r="H44" s="121"/>
      <c r="I44" s="99"/>
      <c r="J44" s="43"/>
      <c r="K44" s="37"/>
      <c r="L44" s="38"/>
      <c r="M44" s="44" t="s">
        <v>397</v>
      </c>
      <c r="N44" s="45" t="s">
        <v>398</v>
      </c>
      <c r="O44" s="46">
        <v>1</v>
      </c>
      <c r="P44" s="35"/>
      <c r="R44" s="57"/>
      <c r="S44" s="709"/>
      <c r="T44" s="704"/>
      <c r="U44" s="47">
        <f>+ROUND((ROUND((ROUND((_11_B通院１０．５＿２．５*_11・２人),0)*(1+_11・B深夜)),0)*_11・初任),0)</f>
        <v>607</v>
      </c>
      <c r="V44" s="48"/>
    </row>
    <row r="45" spans="1:22" ht="16.5" customHeight="1" x14ac:dyDescent="0.15">
      <c r="A45" s="41">
        <v>11</v>
      </c>
      <c r="B45" s="41" t="s">
        <v>5782</v>
      </c>
      <c r="C45" s="74" t="s">
        <v>5783</v>
      </c>
      <c r="D45" s="131"/>
      <c r="E45" s="72"/>
      <c r="G45" s="131"/>
      <c r="H45" s="72"/>
      <c r="I45" s="99"/>
      <c r="J45" s="752" t="s">
        <v>400</v>
      </c>
      <c r="K45" s="49" t="s">
        <v>398</v>
      </c>
      <c r="L45" s="50">
        <v>0.7</v>
      </c>
      <c r="M45" s="44"/>
      <c r="N45" s="45"/>
      <c r="O45" s="46"/>
      <c r="P45" s="35"/>
      <c r="R45" s="57"/>
      <c r="S45" s="709"/>
      <c r="T45" s="704"/>
      <c r="U45" s="47">
        <f>+ROUND((ROUND((ROUND((_11_B通院１０．５＿２．５*_11・基礎１),0)*(1+_11・B深夜)),0)*_11・初任),0)</f>
        <v>426</v>
      </c>
      <c r="V45" s="48"/>
    </row>
    <row r="46" spans="1:22" ht="16.5" customHeight="1" x14ac:dyDescent="0.15">
      <c r="A46" s="41">
        <v>11</v>
      </c>
      <c r="B46" s="41" t="s">
        <v>5784</v>
      </c>
      <c r="C46" s="74" t="s">
        <v>5785</v>
      </c>
      <c r="D46" s="131"/>
      <c r="E46" s="72"/>
      <c r="G46" s="131"/>
      <c r="H46" s="72"/>
      <c r="I46" s="99"/>
      <c r="J46" s="711"/>
      <c r="K46" s="37"/>
      <c r="L46" s="38"/>
      <c r="M46" s="44" t="s">
        <v>397</v>
      </c>
      <c r="N46" s="45" t="s">
        <v>398</v>
      </c>
      <c r="O46" s="46">
        <v>1</v>
      </c>
      <c r="P46" s="35"/>
      <c r="R46" s="57"/>
      <c r="S46" s="55" t="s">
        <v>398</v>
      </c>
      <c r="T46" s="38">
        <f>_11・初任</f>
        <v>0.7</v>
      </c>
      <c r="U46" s="47">
        <f>+ROUND((ROUND((ROUND((ROUND((_11_B通院１０．５＿２．５*_11・基礎１),0)*_11・２人),0)*(1+_11・B深夜)),0)*_11・初任),0)</f>
        <v>426</v>
      </c>
      <c r="V46" s="48"/>
    </row>
    <row r="47" spans="1:22" ht="16.5" customHeight="1" x14ac:dyDescent="0.15">
      <c r="A47" s="41">
        <v>11</v>
      </c>
      <c r="B47" s="41">
        <v>3567</v>
      </c>
      <c r="C47" s="74" t="s">
        <v>5786</v>
      </c>
      <c r="D47" s="131"/>
      <c r="E47" s="707" t="s">
        <v>5030</v>
      </c>
      <c r="F47" s="717"/>
      <c r="G47" s="131"/>
      <c r="H47" s="707" t="s">
        <v>3780</v>
      </c>
      <c r="I47" s="717"/>
      <c r="J47" s="53"/>
      <c r="K47" s="49"/>
      <c r="L47" s="50"/>
      <c r="M47" s="44"/>
      <c r="N47" s="45"/>
      <c r="O47" s="46"/>
      <c r="P47" s="35"/>
      <c r="R47" s="57"/>
      <c r="S47" s="53"/>
      <c r="T47" s="49"/>
      <c r="U47" s="47">
        <f>+ROUND((_11_B通院１１．０＿０．５*(1+_11・B深夜)),0)</f>
        <v>273</v>
      </c>
      <c r="V47" s="48"/>
    </row>
    <row r="48" spans="1:22" ht="16.5" customHeight="1" x14ac:dyDescent="0.15">
      <c r="A48" s="41">
        <v>11</v>
      </c>
      <c r="B48" s="41">
        <v>3568</v>
      </c>
      <c r="C48" s="74" t="s">
        <v>5787</v>
      </c>
      <c r="D48" s="131"/>
      <c r="E48" s="709"/>
      <c r="F48" s="718"/>
      <c r="G48" s="131"/>
      <c r="H48" s="709"/>
      <c r="I48" s="718"/>
      <c r="J48" s="43"/>
      <c r="K48" s="37"/>
      <c r="L48" s="38"/>
      <c r="M48" s="44" t="s">
        <v>397</v>
      </c>
      <c r="N48" s="45" t="s">
        <v>398</v>
      </c>
      <c r="O48" s="46">
        <v>1</v>
      </c>
      <c r="P48" s="35"/>
      <c r="R48" s="57"/>
      <c r="S48" s="35"/>
      <c r="U48" s="47">
        <f>+ROUND((ROUND((_11_B通院１１．０＿０．５*_11・２人),0)*(1+_11・B深夜)),0)</f>
        <v>273</v>
      </c>
      <c r="V48" s="48"/>
    </row>
    <row r="49" spans="1:22" ht="16.5" customHeight="1" x14ac:dyDescent="0.15">
      <c r="A49" s="41">
        <v>11</v>
      </c>
      <c r="B49" s="41">
        <v>3569</v>
      </c>
      <c r="C49" s="74" t="s">
        <v>5788</v>
      </c>
      <c r="D49" s="131"/>
      <c r="E49" s="709"/>
      <c r="F49" s="718"/>
      <c r="G49" s="131"/>
      <c r="H49" s="709"/>
      <c r="I49" s="718"/>
      <c r="J49" s="752" t="s">
        <v>400</v>
      </c>
      <c r="K49" s="49" t="s">
        <v>398</v>
      </c>
      <c r="L49" s="50">
        <v>0.7</v>
      </c>
      <c r="M49" s="44"/>
      <c r="N49" s="45"/>
      <c r="O49" s="46"/>
      <c r="P49" s="35"/>
      <c r="R49" s="57"/>
      <c r="S49" s="35"/>
      <c r="U49" s="47">
        <f>+ROUND((ROUND((_11_B通院１１．０＿０．５*_11・基礎１),0)*(1+_11・B深夜)),0)</f>
        <v>191</v>
      </c>
      <c r="V49" s="48"/>
    </row>
    <row r="50" spans="1:22" ht="16.5" customHeight="1" x14ac:dyDescent="0.15">
      <c r="A50" s="41">
        <v>11</v>
      </c>
      <c r="B50" s="41">
        <v>3570</v>
      </c>
      <c r="C50" s="74" t="s">
        <v>5789</v>
      </c>
      <c r="D50" s="131"/>
      <c r="E50" s="121"/>
      <c r="F50" s="188"/>
      <c r="G50" s="131"/>
      <c r="H50" s="100">
        <f>_11_B通院１１．０＿０．５</f>
        <v>182</v>
      </c>
      <c r="I50" s="12" t="s">
        <v>392</v>
      </c>
      <c r="J50" s="711"/>
      <c r="K50" s="37"/>
      <c r="L50" s="38"/>
      <c r="M50" s="44" t="s">
        <v>397</v>
      </c>
      <c r="N50" s="45" t="s">
        <v>398</v>
      </c>
      <c r="O50" s="46">
        <v>1</v>
      </c>
      <c r="P50" s="35"/>
      <c r="R50" s="57"/>
      <c r="S50" s="43"/>
      <c r="T50" s="37"/>
      <c r="U50" s="47">
        <f>+ROUND((ROUND((ROUND((_11_B通院１１．０＿０．５*_11・基礎１),0)*_11・２人),0)*(1+_11・B深夜)),0)</f>
        <v>191</v>
      </c>
      <c r="V50" s="48"/>
    </row>
    <row r="51" spans="1:22" ht="16.5" customHeight="1" x14ac:dyDescent="0.15">
      <c r="A51" s="41">
        <v>11</v>
      </c>
      <c r="B51" s="41" t="s">
        <v>5790</v>
      </c>
      <c r="C51" s="74" t="s">
        <v>5791</v>
      </c>
      <c r="D51" s="131"/>
      <c r="E51" s="121"/>
      <c r="F51" s="188"/>
      <c r="G51" s="131"/>
      <c r="H51" s="121"/>
      <c r="I51" s="99"/>
      <c r="J51" s="53"/>
      <c r="K51" s="49"/>
      <c r="L51" s="50"/>
      <c r="M51" s="44"/>
      <c r="N51" s="45"/>
      <c r="O51" s="46"/>
      <c r="P51" s="35"/>
      <c r="R51" s="57"/>
      <c r="S51" s="707" t="s">
        <v>404</v>
      </c>
      <c r="T51" s="708"/>
      <c r="U51" s="47">
        <f>+ROUND((ROUND((_11_B通院１１．０＿０．５*(1+_11・B深夜)),0)*_11・初任),0)</f>
        <v>191</v>
      </c>
      <c r="V51" s="48"/>
    </row>
    <row r="52" spans="1:22" ht="16.5" customHeight="1" x14ac:dyDescent="0.15">
      <c r="A52" s="41">
        <v>11</v>
      </c>
      <c r="B52" s="41" t="s">
        <v>5792</v>
      </c>
      <c r="C52" s="74" t="s">
        <v>5793</v>
      </c>
      <c r="D52" s="131"/>
      <c r="E52" s="121"/>
      <c r="F52" s="188"/>
      <c r="G52" s="131"/>
      <c r="H52" s="121"/>
      <c r="I52" s="99"/>
      <c r="J52" s="43"/>
      <c r="K52" s="37"/>
      <c r="L52" s="38"/>
      <c r="M52" s="44" t="s">
        <v>397</v>
      </c>
      <c r="N52" s="45" t="s">
        <v>398</v>
      </c>
      <c r="O52" s="46">
        <v>1</v>
      </c>
      <c r="P52" s="35"/>
      <c r="R52" s="57"/>
      <c r="S52" s="709"/>
      <c r="T52" s="704"/>
      <c r="U52" s="47">
        <f>+ROUND((ROUND((ROUND((_11_B通院１１．０＿０．５*_11・２人),0)*(1+_11・B深夜)),0)*_11・初任),0)</f>
        <v>191</v>
      </c>
      <c r="V52" s="48"/>
    </row>
    <row r="53" spans="1:22" ht="16.5" customHeight="1" x14ac:dyDescent="0.15">
      <c r="A53" s="41">
        <v>11</v>
      </c>
      <c r="B53" s="41" t="s">
        <v>5794</v>
      </c>
      <c r="C53" s="74" t="s">
        <v>5795</v>
      </c>
      <c r="D53" s="131"/>
      <c r="E53" s="72"/>
      <c r="G53" s="131"/>
      <c r="H53" s="72"/>
      <c r="I53" s="99"/>
      <c r="J53" s="752" t="s">
        <v>400</v>
      </c>
      <c r="K53" s="49" t="s">
        <v>398</v>
      </c>
      <c r="L53" s="50">
        <v>0.7</v>
      </c>
      <c r="M53" s="44"/>
      <c r="N53" s="45"/>
      <c r="O53" s="46"/>
      <c r="P53" s="35"/>
      <c r="R53" s="57"/>
      <c r="S53" s="709"/>
      <c r="T53" s="704"/>
      <c r="U53" s="47">
        <f>+ROUND((ROUND((ROUND((_11_B通院１１．０＿０．５*_11・基礎１),0)*(1+_11・B深夜)),0)*_11・初任),0)</f>
        <v>134</v>
      </c>
      <c r="V53" s="48"/>
    </row>
    <row r="54" spans="1:22" ht="16.5" customHeight="1" x14ac:dyDescent="0.15">
      <c r="A54" s="41">
        <v>11</v>
      </c>
      <c r="B54" s="41" t="s">
        <v>5796</v>
      </c>
      <c r="C54" s="74" t="s">
        <v>5797</v>
      </c>
      <c r="D54" s="131"/>
      <c r="E54" s="72"/>
      <c r="G54" s="131"/>
      <c r="H54" s="72"/>
      <c r="I54" s="99"/>
      <c r="J54" s="711"/>
      <c r="K54" s="37"/>
      <c r="L54" s="38"/>
      <c r="M54" s="44" t="s">
        <v>397</v>
      </c>
      <c r="N54" s="45" t="s">
        <v>398</v>
      </c>
      <c r="O54" s="46">
        <v>1</v>
      </c>
      <c r="P54" s="35"/>
      <c r="R54" s="57"/>
      <c r="S54" s="55" t="s">
        <v>398</v>
      </c>
      <c r="T54" s="38">
        <f>_11・初任</f>
        <v>0.7</v>
      </c>
      <c r="U54" s="47">
        <f>+ROUND((ROUND((ROUND((ROUND((_11_B通院１１．０＿０．５*_11・基礎１),0)*_11・２人),0)*(1+_11・B深夜)),0)*_11・初任),0)</f>
        <v>134</v>
      </c>
      <c r="V54" s="48"/>
    </row>
    <row r="55" spans="1:22" ht="16.5" customHeight="1" x14ac:dyDescent="0.15">
      <c r="A55" s="41">
        <v>11</v>
      </c>
      <c r="B55" s="41">
        <v>3571</v>
      </c>
      <c r="C55" s="74" t="s">
        <v>5798</v>
      </c>
      <c r="D55" s="131"/>
      <c r="E55" s="72"/>
      <c r="G55" s="131"/>
      <c r="H55" s="707" t="s">
        <v>3787</v>
      </c>
      <c r="I55" s="717"/>
      <c r="J55" s="53"/>
      <c r="K55" s="49"/>
      <c r="L55" s="50"/>
      <c r="M55" s="44"/>
      <c r="N55" s="45"/>
      <c r="O55" s="46"/>
      <c r="P55" s="35"/>
      <c r="R55" s="57"/>
      <c r="S55" s="53"/>
      <c r="T55" s="49"/>
      <c r="U55" s="47">
        <f>+ROUND((_11_B通院１１．０＿１．０*(1+_11・B深夜)),0)</f>
        <v>396</v>
      </c>
      <c r="V55" s="48"/>
    </row>
    <row r="56" spans="1:22" ht="16.5" customHeight="1" x14ac:dyDescent="0.15">
      <c r="A56" s="41">
        <v>11</v>
      </c>
      <c r="B56" s="41">
        <v>3572</v>
      </c>
      <c r="C56" s="74" t="s">
        <v>5799</v>
      </c>
      <c r="D56" s="131"/>
      <c r="E56" s="72"/>
      <c r="G56" s="131"/>
      <c r="H56" s="709"/>
      <c r="I56" s="718"/>
      <c r="J56" s="43"/>
      <c r="K56" s="37"/>
      <c r="L56" s="38"/>
      <c r="M56" s="44" t="s">
        <v>397</v>
      </c>
      <c r="N56" s="45" t="s">
        <v>398</v>
      </c>
      <c r="O56" s="46">
        <v>1</v>
      </c>
      <c r="P56" s="35"/>
      <c r="R56" s="57"/>
      <c r="S56" s="35"/>
      <c r="U56" s="47">
        <f>+ROUND((ROUND((_11_B通院１１．０＿１．０*_11・２人),0)*(1+_11・B深夜)),0)</f>
        <v>396</v>
      </c>
      <c r="V56" s="48"/>
    </row>
    <row r="57" spans="1:22" ht="16.5" customHeight="1" x14ac:dyDescent="0.15">
      <c r="A57" s="41">
        <v>11</v>
      </c>
      <c r="B57" s="41">
        <v>3573</v>
      </c>
      <c r="C57" s="74" t="s">
        <v>5800</v>
      </c>
      <c r="D57" s="131"/>
      <c r="E57" s="72"/>
      <c r="G57" s="131"/>
      <c r="H57" s="709"/>
      <c r="I57" s="718"/>
      <c r="J57" s="752" t="s">
        <v>400</v>
      </c>
      <c r="K57" s="49" t="s">
        <v>398</v>
      </c>
      <c r="L57" s="50">
        <v>0.7</v>
      </c>
      <c r="M57" s="44"/>
      <c r="N57" s="45"/>
      <c r="O57" s="46"/>
      <c r="P57" s="35"/>
      <c r="R57" s="57"/>
      <c r="S57" s="35"/>
      <c r="U57" s="47">
        <f>+ROUND((ROUND((_11_B通院１１．０＿１．０*_11・基礎１),0)*(1+_11・B深夜)),0)</f>
        <v>278</v>
      </c>
      <c r="V57" s="48"/>
    </row>
    <row r="58" spans="1:22" ht="16.5" customHeight="1" x14ac:dyDescent="0.15">
      <c r="A58" s="41">
        <v>11</v>
      </c>
      <c r="B58" s="41">
        <v>3574</v>
      </c>
      <c r="C58" s="74" t="s">
        <v>5801</v>
      </c>
      <c r="D58" s="131"/>
      <c r="E58" s="72"/>
      <c r="G58" s="131"/>
      <c r="H58" s="100">
        <f>_11_B通院１１．０＿１．０</f>
        <v>264</v>
      </c>
      <c r="I58" s="12" t="s">
        <v>392</v>
      </c>
      <c r="J58" s="711"/>
      <c r="K58" s="37"/>
      <c r="L58" s="38"/>
      <c r="M58" s="44" t="s">
        <v>397</v>
      </c>
      <c r="N58" s="45" t="s">
        <v>398</v>
      </c>
      <c r="O58" s="46">
        <v>1</v>
      </c>
      <c r="P58" s="35"/>
      <c r="R58" s="57"/>
      <c r="S58" s="43"/>
      <c r="T58" s="37"/>
      <c r="U58" s="47">
        <f>+ROUND((ROUND((ROUND((_11_B通院１１．０＿１．０*_11・基礎１),0)*_11・２人),0)*(1+_11・B深夜)),0)</f>
        <v>278</v>
      </c>
      <c r="V58" s="48"/>
    </row>
    <row r="59" spans="1:22" ht="16.5" customHeight="1" x14ac:dyDescent="0.15">
      <c r="A59" s="41">
        <v>11</v>
      </c>
      <c r="B59" s="41" t="s">
        <v>5802</v>
      </c>
      <c r="C59" s="74" t="s">
        <v>5803</v>
      </c>
      <c r="D59" s="131"/>
      <c r="E59" s="72"/>
      <c r="G59" s="131"/>
      <c r="H59" s="121"/>
      <c r="I59" s="99"/>
      <c r="J59" s="53"/>
      <c r="K59" s="49"/>
      <c r="L59" s="50"/>
      <c r="M59" s="44"/>
      <c r="N59" s="45"/>
      <c r="O59" s="46"/>
      <c r="P59" s="35"/>
      <c r="R59" s="57"/>
      <c r="S59" s="707" t="s">
        <v>404</v>
      </c>
      <c r="T59" s="708"/>
      <c r="U59" s="47">
        <f>+ROUND((ROUND((_11_B通院１１．０＿１．０*(1+_11・B深夜)),0)*_11・初任),0)</f>
        <v>277</v>
      </c>
      <c r="V59" s="48"/>
    </row>
    <row r="60" spans="1:22" ht="16.5" customHeight="1" x14ac:dyDescent="0.15">
      <c r="A60" s="41">
        <v>11</v>
      </c>
      <c r="B60" s="41" t="s">
        <v>5804</v>
      </c>
      <c r="C60" s="74" t="s">
        <v>5805</v>
      </c>
      <c r="D60" s="131"/>
      <c r="E60" s="72"/>
      <c r="G60" s="131"/>
      <c r="H60" s="121"/>
      <c r="I60" s="99"/>
      <c r="J60" s="43"/>
      <c r="K60" s="37"/>
      <c r="L60" s="38"/>
      <c r="M60" s="44" t="s">
        <v>397</v>
      </c>
      <c r="N60" s="45" t="s">
        <v>398</v>
      </c>
      <c r="O60" s="46">
        <v>1</v>
      </c>
      <c r="P60" s="35"/>
      <c r="R60" s="57"/>
      <c r="S60" s="709"/>
      <c r="T60" s="704"/>
      <c r="U60" s="47">
        <f>+ROUND((ROUND((ROUND((_11_B通院１１．０＿１．０*_11・２人),0)*(1+_11・B深夜)),0)*_11・初任),0)</f>
        <v>277</v>
      </c>
      <c r="V60" s="48"/>
    </row>
    <row r="61" spans="1:22" ht="16.5" customHeight="1" x14ac:dyDescent="0.15">
      <c r="A61" s="41">
        <v>11</v>
      </c>
      <c r="B61" s="41" t="s">
        <v>5806</v>
      </c>
      <c r="C61" s="74" t="s">
        <v>5807</v>
      </c>
      <c r="D61" s="131"/>
      <c r="E61" s="72"/>
      <c r="G61" s="131"/>
      <c r="H61" s="72"/>
      <c r="I61" s="99"/>
      <c r="J61" s="752" t="s">
        <v>400</v>
      </c>
      <c r="K61" s="49" t="s">
        <v>398</v>
      </c>
      <c r="L61" s="50">
        <v>0.7</v>
      </c>
      <c r="M61" s="44"/>
      <c r="N61" s="45"/>
      <c r="O61" s="46"/>
      <c r="P61" s="35"/>
      <c r="R61" s="57"/>
      <c r="S61" s="709"/>
      <c r="T61" s="704"/>
      <c r="U61" s="47">
        <f>+ROUND((ROUND((ROUND((_11_B通院１１．０＿１．０*_11・基礎１),0)*(1+_11・B深夜)),0)*_11・初任),0)</f>
        <v>195</v>
      </c>
      <c r="V61" s="48"/>
    </row>
    <row r="62" spans="1:22" ht="16.5" customHeight="1" x14ac:dyDescent="0.15">
      <c r="A62" s="41">
        <v>11</v>
      </c>
      <c r="B62" s="41" t="s">
        <v>5808</v>
      </c>
      <c r="C62" s="74" t="s">
        <v>5809</v>
      </c>
      <c r="D62" s="131"/>
      <c r="E62" s="72"/>
      <c r="G62" s="131"/>
      <c r="H62" s="72"/>
      <c r="I62" s="99"/>
      <c r="J62" s="711"/>
      <c r="K62" s="37"/>
      <c r="L62" s="38"/>
      <c r="M62" s="44" t="s">
        <v>397</v>
      </c>
      <c r="N62" s="45" t="s">
        <v>398</v>
      </c>
      <c r="O62" s="46">
        <v>1</v>
      </c>
      <c r="P62" s="35"/>
      <c r="R62" s="57"/>
      <c r="S62" s="55" t="s">
        <v>398</v>
      </c>
      <c r="T62" s="38">
        <f>_11・初任</f>
        <v>0.7</v>
      </c>
      <c r="U62" s="47">
        <f>+ROUND((ROUND((ROUND((ROUND((_11_B通院１１．０＿１．０*_11・基礎１),0)*_11・２人),0)*(1+_11・B深夜)),0)*_11・初任),0)</f>
        <v>195</v>
      </c>
      <c r="V62" s="48"/>
    </row>
    <row r="63" spans="1:22" ht="16.5" customHeight="1" x14ac:dyDescent="0.15">
      <c r="A63" s="41">
        <v>11</v>
      </c>
      <c r="B63" s="41">
        <v>3575</v>
      </c>
      <c r="C63" s="74" t="s">
        <v>5810</v>
      </c>
      <c r="D63" s="131"/>
      <c r="E63" s="72"/>
      <c r="G63" s="131"/>
      <c r="H63" s="707" t="s">
        <v>3794</v>
      </c>
      <c r="I63" s="717"/>
      <c r="J63" s="53"/>
      <c r="K63" s="49"/>
      <c r="L63" s="50"/>
      <c r="M63" s="44"/>
      <c r="N63" s="45"/>
      <c r="O63" s="46"/>
      <c r="P63" s="35"/>
      <c r="R63" s="57"/>
      <c r="S63" s="53"/>
      <c r="T63" s="49"/>
      <c r="U63" s="47">
        <f>+ROUND((_11_B通院１１．０＿１．５*(1+_11・B深夜)),0)</f>
        <v>522</v>
      </c>
      <c r="V63" s="48"/>
    </row>
    <row r="64" spans="1:22" ht="16.5" customHeight="1" x14ac:dyDescent="0.15">
      <c r="A64" s="41">
        <v>11</v>
      </c>
      <c r="B64" s="41">
        <v>3576</v>
      </c>
      <c r="C64" s="74" t="s">
        <v>5811</v>
      </c>
      <c r="D64" s="131"/>
      <c r="E64" s="72"/>
      <c r="G64" s="131"/>
      <c r="H64" s="709"/>
      <c r="I64" s="718"/>
      <c r="J64" s="43"/>
      <c r="K64" s="37"/>
      <c r="L64" s="38"/>
      <c r="M64" s="44" t="s">
        <v>397</v>
      </c>
      <c r="N64" s="45" t="s">
        <v>398</v>
      </c>
      <c r="O64" s="46">
        <v>1</v>
      </c>
      <c r="P64" s="35"/>
      <c r="R64" s="57"/>
      <c r="S64" s="35"/>
      <c r="U64" s="47">
        <f>+ROUND((ROUND((_11_B通院１１．０＿１．５*_11・２人),0)*(1+_11・B深夜)),0)</f>
        <v>522</v>
      </c>
      <c r="V64" s="48"/>
    </row>
    <row r="65" spans="1:22" ht="16.5" customHeight="1" x14ac:dyDescent="0.15">
      <c r="A65" s="41">
        <v>11</v>
      </c>
      <c r="B65" s="41">
        <v>3577</v>
      </c>
      <c r="C65" s="74" t="s">
        <v>5812</v>
      </c>
      <c r="D65" s="131"/>
      <c r="E65" s="72"/>
      <c r="G65" s="131"/>
      <c r="H65" s="709"/>
      <c r="I65" s="718"/>
      <c r="J65" s="752" t="s">
        <v>400</v>
      </c>
      <c r="K65" s="49" t="s">
        <v>398</v>
      </c>
      <c r="L65" s="50">
        <v>0.7</v>
      </c>
      <c r="M65" s="44"/>
      <c r="N65" s="45"/>
      <c r="O65" s="46"/>
      <c r="P65" s="35"/>
      <c r="R65" s="57"/>
      <c r="S65" s="35"/>
      <c r="U65" s="47">
        <f>+ROUND((ROUND((_11_B通院１１．０＿１．５*_11・基礎１),0)*(1+_11・B深夜)),0)</f>
        <v>366</v>
      </c>
      <c r="V65" s="48"/>
    </row>
    <row r="66" spans="1:22" ht="16.5" customHeight="1" x14ac:dyDescent="0.15">
      <c r="A66" s="41">
        <v>11</v>
      </c>
      <c r="B66" s="41">
        <v>3578</v>
      </c>
      <c r="C66" s="74" t="s">
        <v>5813</v>
      </c>
      <c r="D66" s="131"/>
      <c r="E66" s="72"/>
      <c r="G66" s="131"/>
      <c r="H66" s="100">
        <f>_11_B通院１１．０＿１．５</f>
        <v>348</v>
      </c>
      <c r="I66" s="12" t="s">
        <v>392</v>
      </c>
      <c r="J66" s="711"/>
      <c r="K66" s="37"/>
      <c r="L66" s="38"/>
      <c r="M66" s="44" t="s">
        <v>397</v>
      </c>
      <c r="N66" s="45" t="s">
        <v>398</v>
      </c>
      <c r="O66" s="46">
        <v>1</v>
      </c>
      <c r="P66" s="35"/>
      <c r="R66" s="57"/>
      <c r="S66" s="43"/>
      <c r="T66" s="37"/>
      <c r="U66" s="47">
        <f>+ROUND((ROUND((ROUND((_11_B通院１１．０＿１．５*_11・基礎１),0)*_11・２人),0)*(1+_11・B深夜)),0)</f>
        <v>366</v>
      </c>
      <c r="V66" s="48"/>
    </row>
    <row r="67" spans="1:22" ht="16.5" customHeight="1" x14ac:dyDescent="0.15">
      <c r="A67" s="41">
        <v>11</v>
      </c>
      <c r="B67" s="41" t="s">
        <v>5814</v>
      </c>
      <c r="C67" s="74" t="s">
        <v>5815</v>
      </c>
      <c r="D67" s="131"/>
      <c r="E67" s="72"/>
      <c r="G67" s="131"/>
      <c r="H67" s="121"/>
      <c r="I67" s="99"/>
      <c r="J67" s="53"/>
      <c r="K67" s="49"/>
      <c r="L67" s="50"/>
      <c r="M67" s="44"/>
      <c r="N67" s="45"/>
      <c r="O67" s="46"/>
      <c r="P67" s="35"/>
      <c r="R67" s="57"/>
      <c r="S67" s="707" t="s">
        <v>404</v>
      </c>
      <c r="T67" s="708"/>
      <c r="U67" s="47">
        <f>+ROUND((ROUND((_11_B通院１１．０＿１．５*(1+_11・B深夜)),0)*_11・初任),0)</f>
        <v>365</v>
      </c>
      <c r="V67" s="48"/>
    </row>
    <row r="68" spans="1:22" ht="16.5" customHeight="1" x14ac:dyDescent="0.15">
      <c r="A68" s="41">
        <v>11</v>
      </c>
      <c r="B68" s="41" t="s">
        <v>5816</v>
      </c>
      <c r="C68" s="74" t="s">
        <v>5817</v>
      </c>
      <c r="D68" s="131"/>
      <c r="E68" s="72"/>
      <c r="G68" s="131"/>
      <c r="H68" s="121"/>
      <c r="I68" s="99"/>
      <c r="J68" s="43"/>
      <c r="K68" s="37"/>
      <c r="L68" s="38"/>
      <c r="M68" s="44" t="s">
        <v>397</v>
      </c>
      <c r="N68" s="45" t="s">
        <v>398</v>
      </c>
      <c r="O68" s="46">
        <v>1</v>
      </c>
      <c r="P68" s="35"/>
      <c r="R68" s="57"/>
      <c r="S68" s="709"/>
      <c r="T68" s="704"/>
      <c r="U68" s="47">
        <f>+ROUND((ROUND((ROUND((_11_B通院１１．０＿１．５*_11・２人),0)*(1+_11・B深夜)),0)*_11・初任),0)</f>
        <v>365</v>
      </c>
      <c r="V68" s="48"/>
    </row>
    <row r="69" spans="1:22" ht="16.5" customHeight="1" x14ac:dyDescent="0.15">
      <c r="A69" s="41">
        <v>11</v>
      </c>
      <c r="B69" s="41" t="s">
        <v>5818</v>
      </c>
      <c r="C69" s="74" t="s">
        <v>5819</v>
      </c>
      <c r="D69" s="131"/>
      <c r="E69" s="72"/>
      <c r="G69" s="131"/>
      <c r="H69" s="72"/>
      <c r="I69" s="99"/>
      <c r="J69" s="752" t="s">
        <v>400</v>
      </c>
      <c r="K69" s="49" t="s">
        <v>398</v>
      </c>
      <c r="L69" s="50">
        <v>0.7</v>
      </c>
      <c r="M69" s="44"/>
      <c r="N69" s="45"/>
      <c r="O69" s="46"/>
      <c r="P69" s="35"/>
      <c r="R69" s="57"/>
      <c r="S69" s="709"/>
      <c r="T69" s="704"/>
      <c r="U69" s="47">
        <f>+ROUND((ROUND((ROUND((_11_B通院１１．０＿１．５*_11・基礎１),0)*(1+_11・B深夜)),0)*_11・初任),0)</f>
        <v>256</v>
      </c>
      <c r="V69" s="48"/>
    </row>
    <row r="70" spans="1:22" ht="16.5" customHeight="1" x14ac:dyDescent="0.15">
      <c r="A70" s="41">
        <v>11</v>
      </c>
      <c r="B70" s="41" t="s">
        <v>5820</v>
      </c>
      <c r="C70" s="74" t="s">
        <v>5821</v>
      </c>
      <c r="D70" s="131"/>
      <c r="E70" s="72"/>
      <c r="G70" s="131"/>
      <c r="H70" s="72"/>
      <c r="I70" s="99"/>
      <c r="J70" s="711"/>
      <c r="K70" s="37"/>
      <c r="L70" s="38"/>
      <c r="M70" s="44" t="s">
        <v>397</v>
      </c>
      <c r="N70" s="45" t="s">
        <v>398</v>
      </c>
      <c r="O70" s="46">
        <v>1</v>
      </c>
      <c r="P70" s="35"/>
      <c r="R70" s="57"/>
      <c r="S70" s="55" t="s">
        <v>398</v>
      </c>
      <c r="T70" s="38">
        <f>_11・初任</f>
        <v>0.7</v>
      </c>
      <c r="U70" s="47">
        <f>+ROUND((ROUND((ROUND((ROUND((_11_B通院１１．０＿１．５*_11・基礎１),0)*_11・２人),0)*(1+_11・B深夜)),0)*_11・初任),0)</f>
        <v>256</v>
      </c>
      <c r="V70" s="48"/>
    </row>
    <row r="71" spans="1:22" ht="16.5" customHeight="1" x14ac:dyDescent="0.15">
      <c r="A71" s="41">
        <v>11</v>
      </c>
      <c r="B71" s="41">
        <v>3579</v>
      </c>
      <c r="C71" s="74" t="s">
        <v>5822</v>
      </c>
      <c r="D71" s="131"/>
      <c r="E71" s="72"/>
      <c r="G71" s="131"/>
      <c r="H71" s="707" t="s">
        <v>3801</v>
      </c>
      <c r="I71" s="717"/>
      <c r="J71" s="53"/>
      <c r="K71" s="49"/>
      <c r="L71" s="50"/>
      <c r="M71" s="44"/>
      <c r="N71" s="45"/>
      <c r="O71" s="46"/>
      <c r="P71" s="35"/>
      <c r="R71" s="57"/>
      <c r="S71" s="53"/>
      <c r="T71" s="49"/>
      <c r="U71" s="47">
        <f>+ROUND((_11_B通院１１．０＿２．０*(1+_11・B深夜)),0)</f>
        <v>647</v>
      </c>
      <c r="V71" s="48"/>
    </row>
    <row r="72" spans="1:22" ht="16.5" customHeight="1" x14ac:dyDescent="0.15">
      <c r="A72" s="41">
        <v>11</v>
      </c>
      <c r="B72" s="41">
        <v>3580</v>
      </c>
      <c r="C72" s="74" t="s">
        <v>5823</v>
      </c>
      <c r="D72" s="131"/>
      <c r="E72" s="72"/>
      <c r="G72" s="131"/>
      <c r="H72" s="709"/>
      <c r="I72" s="718"/>
      <c r="J72" s="43"/>
      <c r="K72" s="37"/>
      <c r="L72" s="38"/>
      <c r="M72" s="44" t="s">
        <v>397</v>
      </c>
      <c r="N72" s="45" t="s">
        <v>398</v>
      </c>
      <c r="O72" s="46">
        <v>1</v>
      </c>
      <c r="P72" s="35"/>
      <c r="R72" s="57"/>
      <c r="S72" s="35"/>
      <c r="U72" s="47">
        <f>+ROUND((ROUND((_11_B通院１１．０＿２．０*_11・２人),0)*(1+_11・B深夜)),0)</f>
        <v>647</v>
      </c>
      <c r="V72" s="48"/>
    </row>
    <row r="73" spans="1:22" ht="16.5" customHeight="1" x14ac:dyDescent="0.15">
      <c r="A73" s="41">
        <v>11</v>
      </c>
      <c r="B73" s="41">
        <v>3581</v>
      </c>
      <c r="C73" s="74" t="s">
        <v>5824</v>
      </c>
      <c r="D73" s="131"/>
      <c r="E73" s="72"/>
      <c r="G73" s="131"/>
      <c r="H73" s="709"/>
      <c r="I73" s="718"/>
      <c r="J73" s="752" t="s">
        <v>400</v>
      </c>
      <c r="K73" s="49" t="s">
        <v>398</v>
      </c>
      <c r="L73" s="50">
        <v>0.7</v>
      </c>
      <c r="M73" s="44"/>
      <c r="N73" s="45"/>
      <c r="O73" s="46"/>
      <c r="P73" s="35"/>
      <c r="R73" s="57"/>
      <c r="S73" s="35"/>
      <c r="U73" s="47">
        <f>+ROUND((ROUND((_11_B通院１１．０＿２．０*_11・基礎１),0)*(1+_11・B深夜)),0)</f>
        <v>453</v>
      </c>
      <c r="V73" s="48"/>
    </row>
    <row r="74" spans="1:22" ht="16.5" customHeight="1" x14ac:dyDescent="0.15">
      <c r="A74" s="41">
        <v>11</v>
      </c>
      <c r="B74" s="41">
        <v>3582</v>
      </c>
      <c r="C74" s="74" t="s">
        <v>5825</v>
      </c>
      <c r="D74" s="131"/>
      <c r="E74" s="72"/>
      <c r="G74" s="131"/>
      <c r="H74" s="100">
        <f>_11_B通院１１．０＿２．０</f>
        <v>431</v>
      </c>
      <c r="I74" s="12" t="s">
        <v>392</v>
      </c>
      <c r="J74" s="711"/>
      <c r="K74" s="37"/>
      <c r="L74" s="38"/>
      <c r="M74" s="44" t="s">
        <v>397</v>
      </c>
      <c r="N74" s="45" t="s">
        <v>398</v>
      </c>
      <c r="O74" s="46">
        <v>1</v>
      </c>
      <c r="P74" s="35"/>
      <c r="R74" s="57"/>
      <c r="S74" s="43"/>
      <c r="T74" s="37"/>
      <c r="U74" s="47">
        <f>+ROUND((ROUND((ROUND((_11_B通院１１．０＿２．０*_11・基礎１),0)*_11・２人),0)*(1+_11・B深夜)),0)</f>
        <v>453</v>
      </c>
      <c r="V74" s="48"/>
    </row>
    <row r="75" spans="1:22" ht="16.5" customHeight="1" x14ac:dyDescent="0.15">
      <c r="A75" s="41">
        <v>11</v>
      </c>
      <c r="B75" s="41" t="s">
        <v>5826</v>
      </c>
      <c r="C75" s="74" t="s">
        <v>5827</v>
      </c>
      <c r="D75" s="131"/>
      <c r="E75" s="72"/>
      <c r="G75" s="131"/>
      <c r="H75" s="121"/>
      <c r="I75" s="99"/>
      <c r="J75" s="53"/>
      <c r="K75" s="49"/>
      <c r="L75" s="50"/>
      <c r="M75" s="44"/>
      <c r="N75" s="45"/>
      <c r="O75" s="46"/>
      <c r="P75" s="35"/>
      <c r="R75" s="57"/>
      <c r="S75" s="707" t="s">
        <v>404</v>
      </c>
      <c r="T75" s="708"/>
      <c r="U75" s="47">
        <f>+ROUND((ROUND((_11_B通院１１．０＿２．０*(1+_11・B深夜)),0)*_11・初任),0)</f>
        <v>453</v>
      </c>
      <c r="V75" s="48"/>
    </row>
    <row r="76" spans="1:22" ht="16.5" customHeight="1" x14ac:dyDescent="0.15">
      <c r="A76" s="41">
        <v>11</v>
      </c>
      <c r="B76" s="41" t="s">
        <v>5828</v>
      </c>
      <c r="C76" s="74" t="s">
        <v>5829</v>
      </c>
      <c r="D76" s="131"/>
      <c r="E76" s="72"/>
      <c r="G76" s="131"/>
      <c r="H76" s="121"/>
      <c r="I76" s="99"/>
      <c r="J76" s="43"/>
      <c r="K76" s="37"/>
      <c r="L76" s="38"/>
      <c r="M76" s="44" t="s">
        <v>397</v>
      </c>
      <c r="N76" s="45" t="s">
        <v>398</v>
      </c>
      <c r="O76" s="46">
        <v>1</v>
      </c>
      <c r="P76" s="35"/>
      <c r="R76" s="57"/>
      <c r="S76" s="709"/>
      <c r="T76" s="704"/>
      <c r="U76" s="47">
        <f>+ROUND((ROUND((ROUND((_11_B通院１１．０＿２．０*_11・２人),0)*(1+_11・B深夜)),0)*_11・初任),0)</f>
        <v>453</v>
      </c>
      <c r="V76" s="48"/>
    </row>
    <row r="77" spans="1:22" ht="16.5" customHeight="1" x14ac:dyDescent="0.15">
      <c r="A77" s="41">
        <v>11</v>
      </c>
      <c r="B77" s="41" t="s">
        <v>5830</v>
      </c>
      <c r="C77" s="74" t="s">
        <v>5831</v>
      </c>
      <c r="D77" s="131"/>
      <c r="E77" s="72"/>
      <c r="G77" s="131"/>
      <c r="H77" s="72"/>
      <c r="I77" s="99"/>
      <c r="J77" s="752" t="s">
        <v>400</v>
      </c>
      <c r="K77" s="49" t="s">
        <v>398</v>
      </c>
      <c r="L77" s="50">
        <v>0.7</v>
      </c>
      <c r="M77" s="44"/>
      <c r="N77" s="45"/>
      <c r="O77" s="189"/>
      <c r="P77" s="35"/>
      <c r="R77" s="57"/>
      <c r="S77" s="709"/>
      <c r="T77" s="704"/>
      <c r="U77" s="47">
        <f>+ROUND((ROUND((ROUND((_11_B通院１１．０＿２．０*_11・基礎１),0)*(1+_11・B深夜)),0)*_11・初任),0)</f>
        <v>317</v>
      </c>
      <c r="V77" s="48"/>
    </row>
    <row r="78" spans="1:22" ht="16.5" customHeight="1" x14ac:dyDescent="0.15">
      <c r="A78" s="41">
        <v>11</v>
      </c>
      <c r="B78" s="41" t="s">
        <v>5832</v>
      </c>
      <c r="C78" s="74" t="s">
        <v>5833</v>
      </c>
      <c r="D78" s="133"/>
      <c r="E78" s="122"/>
      <c r="F78" s="134"/>
      <c r="G78" s="133"/>
      <c r="H78" s="122"/>
      <c r="I78" s="111"/>
      <c r="J78" s="711"/>
      <c r="K78" s="37"/>
      <c r="L78" s="38"/>
      <c r="M78" s="44" t="s">
        <v>397</v>
      </c>
      <c r="N78" s="45" t="s">
        <v>398</v>
      </c>
      <c r="O78" s="189">
        <v>1</v>
      </c>
      <c r="P78" s="43"/>
      <c r="Q78" s="38"/>
      <c r="R78" s="79"/>
      <c r="S78" s="55" t="s">
        <v>398</v>
      </c>
      <c r="T78" s="38">
        <f>_11・初任</f>
        <v>0.7</v>
      </c>
      <c r="U78" s="47">
        <f>+ROUND((ROUND((ROUND((ROUND((_11_B通院１１．０＿２．０*_11・基礎１),0)*_11・２人),0)*(1+_11・B深夜)),0)*_11・初任),0)</f>
        <v>317</v>
      </c>
      <c r="V78" s="63"/>
    </row>
    <row r="79" spans="1:22" ht="16.5" customHeight="1" x14ac:dyDescent="0.15">
      <c r="A79" s="41">
        <v>11</v>
      </c>
      <c r="B79" s="41">
        <v>3583</v>
      </c>
      <c r="C79" s="74" t="s">
        <v>5834</v>
      </c>
      <c r="D79" s="732" t="s">
        <v>1806</v>
      </c>
      <c r="E79" s="707" t="s">
        <v>5079</v>
      </c>
      <c r="F79" s="717"/>
      <c r="G79" s="732" t="s">
        <v>1807</v>
      </c>
      <c r="H79" s="707" t="s">
        <v>3780</v>
      </c>
      <c r="I79" s="717"/>
      <c r="J79" s="53"/>
      <c r="K79" s="49"/>
      <c r="L79" s="50"/>
      <c r="M79" s="44"/>
      <c r="N79" s="45"/>
      <c r="O79" s="46"/>
      <c r="P79" s="114" t="s">
        <v>1036</v>
      </c>
      <c r="Q79" s="50"/>
      <c r="R79" s="115"/>
      <c r="S79" s="53"/>
      <c r="T79" s="49"/>
      <c r="U79" s="47">
        <f>+ROUND((_11_B通院１１．５＿０．５*(1+_11・B深夜)),0)</f>
        <v>123</v>
      </c>
      <c r="V79" s="48"/>
    </row>
    <row r="80" spans="1:22" ht="16.5" customHeight="1" x14ac:dyDescent="0.15">
      <c r="A80" s="41">
        <v>11</v>
      </c>
      <c r="B80" s="41">
        <v>3584</v>
      </c>
      <c r="C80" s="74" t="s">
        <v>5835</v>
      </c>
      <c r="D80" s="733"/>
      <c r="E80" s="709"/>
      <c r="F80" s="718"/>
      <c r="G80" s="733"/>
      <c r="H80" s="709"/>
      <c r="I80" s="718"/>
      <c r="J80" s="43"/>
      <c r="K80" s="37"/>
      <c r="L80" s="38"/>
      <c r="M80" s="44" t="s">
        <v>397</v>
      </c>
      <c r="N80" s="45" t="s">
        <v>398</v>
      </c>
      <c r="O80" s="46">
        <v>1</v>
      </c>
      <c r="P80" s="35" t="s">
        <v>398</v>
      </c>
      <c r="Q80" s="13">
        <v>0.5</v>
      </c>
      <c r="R80" s="728" t="s">
        <v>676</v>
      </c>
      <c r="S80" s="35"/>
      <c r="U80" s="47">
        <f>+ROUND((ROUND((_11_B通院１１．５＿０．５*_11・２人),0)*(1+_11・B深夜)),0)</f>
        <v>123</v>
      </c>
      <c r="V80" s="48"/>
    </row>
    <row r="81" spans="1:22" ht="16.5" customHeight="1" x14ac:dyDescent="0.15">
      <c r="A81" s="41">
        <v>11</v>
      </c>
      <c r="B81" s="41">
        <v>3585</v>
      </c>
      <c r="C81" s="74" t="s">
        <v>5836</v>
      </c>
      <c r="D81" s="733"/>
      <c r="E81" s="709"/>
      <c r="F81" s="718"/>
      <c r="G81" s="733"/>
      <c r="H81" s="709"/>
      <c r="I81" s="718"/>
      <c r="J81" s="752" t="s">
        <v>400</v>
      </c>
      <c r="K81" s="49" t="s">
        <v>398</v>
      </c>
      <c r="L81" s="50">
        <v>0.7</v>
      </c>
      <c r="M81" s="44"/>
      <c r="N81" s="45"/>
      <c r="O81" s="46"/>
      <c r="P81" s="35"/>
      <c r="R81" s="728"/>
      <c r="S81" s="35"/>
      <c r="U81" s="47">
        <f>+ROUND((ROUND((_11_B通院１１．５＿０．５*_11・基礎１),0)*(1+_11・B深夜)),0)</f>
        <v>86</v>
      </c>
      <c r="V81" s="48"/>
    </row>
    <row r="82" spans="1:22" ht="16.5" customHeight="1" x14ac:dyDescent="0.15">
      <c r="A82" s="41">
        <v>11</v>
      </c>
      <c r="B82" s="41">
        <v>3586</v>
      </c>
      <c r="C82" s="74" t="s">
        <v>5837</v>
      </c>
      <c r="D82" s="733"/>
      <c r="E82" s="121"/>
      <c r="F82" s="188"/>
      <c r="G82" s="733"/>
      <c r="H82" s="100">
        <f>_11_B通院１１．５＿０．５</f>
        <v>82</v>
      </c>
      <c r="I82" s="12" t="s">
        <v>392</v>
      </c>
      <c r="J82" s="711"/>
      <c r="K82" s="37"/>
      <c r="L82" s="38"/>
      <c r="M82" s="44" t="s">
        <v>397</v>
      </c>
      <c r="N82" s="45" t="s">
        <v>398</v>
      </c>
      <c r="O82" s="46">
        <v>1</v>
      </c>
      <c r="P82" s="35"/>
      <c r="R82" s="57"/>
      <c r="S82" s="43"/>
      <c r="T82" s="37"/>
      <c r="U82" s="47">
        <f>+ROUND((ROUND((ROUND((_11_B通院１１．５＿０．５*_11・基礎１),0)*_11・２人),0)*(1+_11・B深夜)),0)</f>
        <v>86</v>
      </c>
      <c r="V82" s="48"/>
    </row>
    <row r="83" spans="1:22" ht="16.5" customHeight="1" x14ac:dyDescent="0.15">
      <c r="A83" s="41">
        <v>11</v>
      </c>
      <c r="B83" s="41" t="s">
        <v>5838</v>
      </c>
      <c r="C83" s="74" t="s">
        <v>5839</v>
      </c>
      <c r="D83" s="733"/>
      <c r="E83" s="121"/>
      <c r="F83" s="188"/>
      <c r="G83" s="733"/>
      <c r="H83" s="121"/>
      <c r="I83" s="99"/>
      <c r="J83" s="53"/>
      <c r="K83" s="49"/>
      <c r="L83" s="50"/>
      <c r="M83" s="44"/>
      <c r="N83" s="45"/>
      <c r="O83" s="46"/>
      <c r="P83" s="35"/>
      <c r="R83" s="57"/>
      <c r="S83" s="707" t="s">
        <v>404</v>
      </c>
      <c r="T83" s="708"/>
      <c r="U83" s="47">
        <f>+ROUND((ROUND((_11_B通院１１．５＿０．５*(1+_11・B深夜)),0)*_11・初任),0)</f>
        <v>86</v>
      </c>
      <c r="V83" s="48"/>
    </row>
    <row r="84" spans="1:22" ht="16.5" customHeight="1" x14ac:dyDescent="0.15">
      <c r="A84" s="41">
        <v>11</v>
      </c>
      <c r="B84" s="41" t="s">
        <v>5840</v>
      </c>
      <c r="C84" s="74" t="s">
        <v>5841</v>
      </c>
      <c r="D84" s="733"/>
      <c r="E84" s="121"/>
      <c r="F84" s="188"/>
      <c r="G84" s="733"/>
      <c r="H84" s="121"/>
      <c r="I84" s="99"/>
      <c r="J84" s="43"/>
      <c r="K84" s="37"/>
      <c r="L84" s="38"/>
      <c r="M84" s="44" t="s">
        <v>397</v>
      </c>
      <c r="N84" s="45" t="s">
        <v>398</v>
      </c>
      <c r="O84" s="46">
        <v>1</v>
      </c>
      <c r="P84" s="35"/>
      <c r="R84" s="57"/>
      <c r="S84" s="709"/>
      <c r="T84" s="704"/>
      <c r="U84" s="47">
        <f>+ROUND((ROUND((ROUND((_11_B通院１１．５＿０．５*_11・２人),0)*(1+_11・B深夜)),0)*_11・初任),0)</f>
        <v>86</v>
      </c>
      <c r="V84" s="48"/>
    </row>
    <row r="85" spans="1:22" ht="16.5" customHeight="1" x14ac:dyDescent="0.15">
      <c r="A85" s="41">
        <v>11</v>
      </c>
      <c r="B85" s="41" t="s">
        <v>5842</v>
      </c>
      <c r="C85" s="74" t="s">
        <v>5843</v>
      </c>
      <c r="D85" s="733"/>
      <c r="E85" s="72"/>
      <c r="G85" s="733"/>
      <c r="H85" s="72"/>
      <c r="I85" s="99"/>
      <c r="J85" s="752" t="s">
        <v>400</v>
      </c>
      <c r="K85" s="49" t="s">
        <v>398</v>
      </c>
      <c r="L85" s="50">
        <v>0.7</v>
      </c>
      <c r="M85" s="44"/>
      <c r="N85" s="45"/>
      <c r="O85" s="46"/>
      <c r="P85" s="35"/>
      <c r="R85" s="57"/>
      <c r="S85" s="709"/>
      <c r="T85" s="704"/>
      <c r="U85" s="47">
        <f>+ROUND((ROUND((ROUND((_11_B通院１１．５＿０．５*_11・基礎１),0)*(1+_11・B深夜)),0)*_11・初任),0)</f>
        <v>60</v>
      </c>
      <c r="V85" s="48"/>
    </row>
    <row r="86" spans="1:22" ht="16.5" customHeight="1" x14ac:dyDescent="0.15">
      <c r="A86" s="41">
        <v>11</v>
      </c>
      <c r="B86" s="41" t="s">
        <v>5844</v>
      </c>
      <c r="C86" s="74" t="s">
        <v>5845</v>
      </c>
      <c r="D86" s="733"/>
      <c r="E86" s="72"/>
      <c r="G86" s="733"/>
      <c r="H86" s="72"/>
      <c r="I86" s="99"/>
      <c r="J86" s="711"/>
      <c r="K86" s="37"/>
      <c r="L86" s="38"/>
      <c r="M86" s="44" t="s">
        <v>397</v>
      </c>
      <c r="N86" s="45" t="s">
        <v>398</v>
      </c>
      <c r="O86" s="46">
        <v>1</v>
      </c>
      <c r="P86" s="35"/>
      <c r="R86" s="57"/>
      <c r="S86" s="55" t="s">
        <v>398</v>
      </c>
      <c r="T86" s="38">
        <f>_11・初任</f>
        <v>0.7</v>
      </c>
      <c r="U86" s="47">
        <f>+ROUND((ROUND((ROUND((ROUND((_11_B通院１１．５＿０．５*_11・基礎１),0)*_11・２人),0)*(1+_11・B深夜)),0)*_11・初任),0)</f>
        <v>60</v>
      </c>
      <c r="V86" s="48"/>
    </row>
    <row r="87" spans="1:22" ht="16.5" customHeight="1" x14ac:dyDescent="0.15">
      <c r="A87" s="41">
        <v>11</v>
      </c>
      <c r="B87" s="41">
        <v>3587</v>
      </c>
      <c r="C87" s="74" t="s">
        <v>5846</v>
      </c>
      <c r="D87" s="131"/>
      <c r="E87" s="72"/>
      <c r="G87" s="131"/>
      <c r="H87" s="707" t="s">
        <v>3787</v>
      </c>
      <c r="I87" s="717"/>
      <c r="J87" s="53"/>
      <c r="K87" s="49"/>
      <c r="L87" s="50"/>
      <c r="M87" s="44"/>
      <c r="N87" s="45"/>
      <c r="O87" s="46"/>
      <c r="P87" s="35"/>
      <c r="R87" s="57"/>
      <c r="S87" s="53"/>
      <c r="T87" s="49"/>
      <c r="U87" s="47">
        <f>+ROUND((_11_B通院１１．５＿１．０*(1+_11・B深夜)),0)</f>
        <v>249</v>
      </c>
      <c r="V87" s="48"/>
    </row>
    <row r="88" spans="1:22" ht="16.5" customHeight="1" x14ac:dyDescent="0.15">
      <c r="A88" s="41">
        <v>11</v>
      </c>
      <c r="B88" s="41">
        <v>3588</v>
      </c>
      <c r="C88" s="74" t="s">
        <v>5847</v>
      </c>
      <c r="D88" s="131"/>
      <c r="E88" s="72"/>
      <c r="G88" s="131"/>
      <c r="H88" s="709"/>
      <c r="I88" s="718"/>
      <c r="J88" s="43"/>
      <c r="K88" s="37"/>
      <c r="L88" s="38"/>
      <c r="M88" s="44" t="s">
        <v>397</v>
      </c>
      <c r="N88" s="45" t="s">
        <v>398</v>
      </c>
      <c r="O88" s="46">
        <v>1</v>
      </c>
      <c r="P88" s="35"/>
      <c r="R88" s="57"/>
      <c r="S88" s="35"/>
      <c r="U88" s="47">
        <f>+ROUND((ROUND((_11_B通院１１．５＿１．０*_11・２人),0)*(1+_11・B深夜)),0)</f>
        <v>249</v>
      </c>
      <c r="V88" s="48"/>
    </row>
    <row r="89" spans="1:22" ht="16.5" customHeight="1" x14ac:dyDescent="0.15">
      <c r="A89" s="41">
        <v>11</v>
      </c>
      <c r="B89" s="41">
        <v>3589</v>
      </c>
      <c r="C89" s="74" t="s">
        <v>5848</v>
      </c>
      <c r="D89" s="131"/>
      <c r="E89" s="72"/>
      <c r="G89" s="131"/>
      <c r="H89" s="709"/>
      <c r="I89" s="718"/>
      <c r="J89" s="752" t="s">
        <v>400</v>
      </c>
      <c r="K89" s="49" t="s">
        <v>398</v>
      </c>
      <c r="L89" s="50">
        <v>0.7</v>
      </c>
      <c r="M89" s="44"/>
      <c r="N89" s="45"/>
      <c r="O89" s="46"/>
      <c r="P89" s="35"/>
      <c r="R89" s="57"/>
      <c r="S89" s="35"/>
      <c r="U89" s="47">
        <f>+ROUND((ROUND((_11_B通院１１．５＿１．０*_11・基礎１),0)*(1+_11・B深夜)),0)</f>
        <v>174</v>
      </c>
      <c r="V89" s="48"/>
    </row>
    <row r="90" spans="1:22" ht="16.5" customHeight="1" x14ac:dyDescent="0.15">
      <c r="A90" s="41">
        <v>11</v>
      </c>
      <c r="B90" s="41">
        <v>3590</v>
      </c>
      <c r="C90" s="74" t="s">
        <v>5849</v>
      </c>
      <c r="D90" s="131"/>
      <c r="E90" s="72"/>
      <c r="G90" s="131"/>
      <c r="H90" s="100">
        <f>_11_B通院１１．５＿１．０</f>
        <v>166</v>
      </c>
      <c r="I90" s="12" t="s">
        <v>392</v>
      </c>
      <c r="J90" s="711"/>
      <c r="K90" s="37"/>
      <c r="L90" s="38"/>
      <c r="M90" s="44" t="s">
        <v>397</v>
      </c>
      <c r="N90" s="45" t="s">
        <v>398</v>
      </c>
      <c r="O90" s="46">
        <v>1</v>
      </c>
      <c r="P90" s="35"/>
      <c r="R90" s="57"/>
      <c r="S90" s="43"/>
      <c r="T90" s="37"/>
      <c r="U90" s="47">
        <f>+ROUND((ROUND((ROUND((_11_B通院１１．５＿１．０*_11・基礎１),0)*_11・２人),0)*(1+_11・B深夜)),0)</f>
        <v>174</v>
      </c>
      <c r="V90" s="48"/>
    </row>
    <row r="91" spans="1:22" ht="16.5" customHeight="1" x14ac:dyDescent="0.15">
      <c r="A91" s="41">
        <v>11</v>
      </c>
      <c r="B91" s="41" t="s">
        <v>5850</v>
      </c>
      <c r="C91" s="74" t="s">
        <v>5851</v>
      </c>
      <c r="D91" s="131"/>
      <c r="E91" s="72"/>
      <c r="G91" s="131"/>
      <c r="H91" s="121"/>
      <c r="I91" s="99"/>
      <c r="J91" s="53"/>
      <c r="K91" s="49"/>
      <c r="L91" s="50"/>
      <c r="M91" s="44"/>
      <c r="N91" s="45"/>
      <c r="O91" s="46"/>
      <c r="P91" s="35"/>
      <c r="R91" s="57"/>
      <c r="S91" s="707" t="s">
        <v>404</v>
      </c>
      <c r="T91" s="708"/>
      <c r="U91" s="47">
        <f>+ROUND((ROUND((_11_B通院１１．５＿１．０*(1+_11・B深夜)),0)*_11・初任),0)</f>
        <v>174</v>
      </c>
      <c r="V91" s="48"/>
    </row>
    <row r="92" spans="1:22" ht="16.5" customHeight="1" x14ac:dyDescent="0.15">
      <c r="A92" s="41">
        <v>11</v>
      </c>
      <c r="B92" s="41" t="s">
        <v>5852</v>
      </c>
      <c r="C92" s="74" t="s">
        <v>5853</v>
      </c>
      <c r="D92" s="131"/>
      <c r="E92" s="72"/>
      <c r="G92" s="131"/>
      <c r="H92" s="121"/>
      <c r="I92" s="99"/>
      <c r="J92" s="43"/>
      <c r="K92" s="37"/>
      <c r="L92" s="38"/>
      <c r="M92" s="44" t="s">
        <v>397</v>
      </c>
      <c r="N92" s="45" t="s">
        <v>398</v>
      </c>
      <c r="O92" s="46">
        <v>1</v>
      </c>
      <c r="P92" s="35"/>
      <c r="R92" s="57"/>
      <c r="S92" s="709"/>
      <c r="T92" s="704"/>
      <c r="U92" s="47">
        <f>+ROUND((ROUND((ROUND((_11_B通院１１．５＿１．０*_11・２人),0)*(1+_11・B深夜)),0)*_11・初任),0)</f>
        <v>174</v>
      </c>
      <c r="V92" s="48"/>
    </row>
    <row r="93" spans="1:22" ht="16.5" customHeight="1" x14ac:dyDescent="0.15">
      <c r="A93" s="41">
        <v>11</v>
      </c>
      <c r="B93" s="41" t="s">
        <v>5854</v>
      </c>
      <c r="C93" s="74" t="s">
        <v>5855</v>
      </c>
      <c r="D93" s="131"/>
      <c r="E93" s="72"/>
      <c r="G93" s="131"/>
      <c r="H93" s="72"/>
      <c r="I93" s="99"/>
      <c r="J93" s="752" t="s">
        <v>400</v>
      </c>
      <c r="K93" s="49" t="s">
        <v>398</v>
      </c>
      <c r="L93" s="50">
        <v>0.7</v>
      </c>
      <c r="M93" s="44"/>
      <c r="N93" s="45"/>
      <c r="O93" s="46"/>
      <c r="P93" s="35"/>
      <c r="R93" s="57"/>
      <c r="S93" s="709"/>
      <c r="T93" s="704"/>
      <c r="U93" s="47">
        <f>+ROUND((ROUND((ROUND((_11_B通院１１．５＿１．０*_11・基礎１),0)*(1+_11・B深夜)),0)*_11・初任),0)</f>
        <v>122</v>
      </c>
      <c r="V93" s="48"/>
    </row>
    <row r="94" spans="1:22" ht="16.5" customHeight="1" x14ac:dyDescent="0.15">
      <c r="A94" s="41">
        <v>11</v>
      </c>
      <c r="B94" s="41" t="s">
        <v>5856</v>
      </c>
      <c r="C94" s="74" t="s">
        <v>5857</v>
      </c>
      <c r="D94" s="131"/>
      <c r="E94" s="72"/>
      <c r="G94" s="131"/>
      <c r="H94" s="122"/>
      <c r="I94" s="111"/>
      <c r="J94" s="711"/>
      <c r="K94" s="37"/>
      <c r="L94" s="38"/>
      <c r="M94" s="44" t="s">
        <v>397</v>
      </c>
      <c r="N94" s="45" t="s">
        <v>398</v>
      </c>
      <c r="O94" s="46">
        <v>1</v>
      </c>
      <c r="P94" s="35"/>
      <c r="R94" s="57"/>
      <c r="S94" s="55" t="s">
        <v>398</v>
      </c>
      <c r="T94" s="38">
        <f>_11・初任</f>
        <v>0.7</v>
      </c>
      <c r="U94" s="47">
        <f>+ROUND((ROUND((ROUND((ROUND((_11_B通院１１．５＿１．０*_11・基礎１),0)*_11・２人),0)*(1+_11・B深夜)),0)*_11・初任),0)</f>
        <v>122</v>
      </c>
      <c r="V94" s="48"/>
    </row>
    <row r="95" spans="1:22" ht="16.5" customHeight="1" x14ac:dyDescent="0.15">
      <c r="A95" s="33">
        <v>11</v>
      </c>
      <c r="B95" s="33">
        <v>3591</v>
      </c>
      <c r="C95" s="34" t="s">
        <v>5858</v>
      </c>
      <c r="D95" s="137"/>
      <c r="E95" s="72"/>
      <c r="G95" s="137"/>
      <c r="H95" s="709" t="s">
        <v>3794</v>
      </c>
      <c r="I95" s="718"/>
      <c r="J95" s="35"/>
      <c r="M95" s="36"/>
      <c r="N95" s="37"/>
      <c r="O95" s="38"/>
      <c r="P95" s="35"/>
      <c r="R95" s="57"/>
      <c r="S95" s="35"/>
      <c r="U95" s="39">
        <f>+ROUND((_11_B通院１１．５＿１．５*(1+_11・B深夜)),0)</f>
        <v>374</v>
      </c>
      <c r="V95" s="48"/>
    </row>
    <row r="96" spans="1:22" ht="16.5" customHeight="1" x14ac:dyDescent="0.15">
      <c r="A96" s="41">
        <v>11</v>
      </c>
      <c r="B96" s="41">
        <v>3592</v>
      </c>
      <c r="C96" s="74" t="s">
        <v>5859</v>
      </c>
      <c r="D96" s="137"/>
      <c r="E96" s="72"/>
      <c r="G96" s="137"/>
      <c r="H96" s="709"/>
      <c r="I96" s="718"/>
      <c r="J96" s="43"/>
      <c r="K96" s="37"/>
      <c r="L96" s="38"/>
      <c r="M96" s="44" t="s">
        <v>397</v>
      </c>
      <c r="N96" s="45" t="s">
        <v>398</v>
      </c>
      <c r="O96" s="46">
        <v>1</v>
      </c>
      <c r="P96" s="35"/>
      <c r="R96" s="57"/>
      <c r="S96" s="35"/>
      <c r="U96" s="47">
        <f>+ROUND((ROUND((_11_B通院１１．５＿１．５*_11・２人),0)*(1+_11・B深夜)),0)</f>
        <v>374</v>
      </c>
      <c r="V96" s="48"/>
    </row>
    <row r="97" spans="1:22" ht="16.5" customHeight="1" x14ac:dyDescent="0.15">
      <c r="A97" s="41">
        <v>11</v>
      </c>
      <c r="B97" s="41">
        <v>3593</v>
      </c>
      <c r="C97" s="74" t="s">
        <v>5860</v>
      </c>
      <c r="D97" s="137"/>
      <c r="E97" s="72"/>
      <c r="G97" s="137"/>
      <c r="H97" s="709"/>
      <c r="I97" s="718"/>
      <c r="J97" s="752" t="s">
        <v>400</v>
      </c>
      <c r="K97" s="49" t="s">
        <v>398</v>
      </c>
      <c r="L97" s="50">
        <v>0.7</v>
      </c>
      <c r="M97" s="44"/>
      <c r="N97" s="45"/>
      <c r="O97" s="46"/>
      <c r="P97" s="35"/>
      <c r="R97" s="57"/>
      <c r="S97" s="35"/>
      <c r="U97" s="47">
        <f>+ROUND((ROUND((_11_B通院１１．５＿１．５*_11・基礎１),0)*(1+_11・B深夜)),0)</f>
        <v>261</v>
      </c>
      <c r="V97" s="48"/>
    </row>
    <row r="98" spans="1:22" ht="16.5" customHeight="1" x14ac:dyDescent="0.15">
      <c r="A98" s="41">
        <v>11</v>
      </c>
      <c r="B98" s="41">
        <v>3594</v>
      </c>
      <c r="C98" s="74" t="s">
        <v>5861</v>
      </c>
      <c r="D98" s="137"/>
      <c r="E98" s="72"/>
      <c r="G98" s="137"/>
      <c r="H98" s="100">
        <f>_11_B通院１１．５＿１．５</f>
        <v>249</v>
      </c>
      <c r="I98" s="12" t="s">
        <v>392</v>
      </c>
      <c r="J98" s="711"/>
      <c r="K98" s="37"/>
      <c r="L98" s="38"/>
      <c r="M98" s="44" t="s">
        <v>397</v>
      </c>
      <c r="N98" s="45" t="s">
        <v>398</v>
      </c>
      <c r="O98" s="46">
        <v>1</v>
      </c>
      <c r="P98" s="35"/>
      <c r="R98" s="57"/>
      <c r="S98" s="43"/>
      <c r="T98" s="37"/>
      <c r="U98" s="47">
        <f>+ROUND((ROUND((ROUND((_11_B通院１１．５＿１．５*_11・基礎１),0)*_11・２人),0)*(1+_11・B深夜)),0)</f>
        <v>261</v>
      </c>
      <c r="V98" s="48"/>
    </row>
    <row r="99" spans="1:22" ht="16.5" customHeight="1" x14ac:dyDescent="0.15">
      <c r="A99" s="41">
        <v>11</v>
      </c>
      <c r="B99" s="41" t="s">
        <v>5862</v>
      </c>
      <c r="C99" s="74" t="s">
        <v>5863</v>
      </c>
      <c r="D99" s="137"/>
      <c r="E99" s="72"/>
      <c r="G99" s="137"/>
      <c r="H99" s="121"/>
      <c r="I99" s="99"/>
      <c r="J99" s="53"/>
      <c r="K99" s="49"/>
      <c r="L99" s="50"/>
      <c r="M99" s="44"/>
      <c r="N99" s="45"/>
      <c r="O99" s="46"/>
      <c r="P99" s="35"/>
      <c r="R99" s="57"/>
      <c r="S99" s="707" t="s">
        <v>404</v>
      </c>
      <c r="T99" s="708"/>
      <c r="U99" s="47">
        <f>+ROUND((ROUND((_11_B通院１１．５＿１．５*(1+_11・B深夜)),0)*_11・初任),0)</f>
        <v>262</v>
      </c>
      <c r="V99" s="48"/>
    </row>
    <row r="100" spans="1:22" ht="16.5" customHeight="1" x14ac:dyDescent="0.15">
      <c r="A100" s="41">
        <v>11</v>
      </c>
      <c r="B100" s="41" t="s">
        <v>5864</v>
      </c>
      <c r="C100" s="74" t="s">
        <v>5865</v>
      </c>
      <c r="D100" s="137"/>
      <c r="E100" s="72"/>
      <c r="G100" s="137"/>
      <c r="H100" s="121"/>
      <c r="I100" s="99"/>
      <c r="J100" s="43"/>
      <c r="K100" s="37"/>
      <c r="L100" s="38"/>
      <c r="M100" s="44" t="s">
        <v>397</v>
      </c>
      <c r="N100" s="45" t="s">
        <v>398</v>
      </c>
      <c r="O100" s="46">
        <v>1</v>
      </c>
      <c r="P100" s="35"/>
      <c r="R100" s="57"/>
      <c r="S100" s="709"/>
      <c r="T100" s="704"/>
      <c r="U100" s="47">
        <f>+ROUND((ROUND((ROUND((_11_B通院１１．５＿１．５*_11・２人),0)*(1+_11・B深夜)),0)*_11・初任),0)</f>
        <v>262</v>
      </c>
      <c r="V100" s="48"/>
    </row>
    <row r="101" spans="1:22" ht="16.5" customHeight="1" x14ac:dyDescent="0.15">
      <c r="A101" s="41">
        <v>11</v>
      </c>
      <c r="B101" s="41" t="s">
        <v>5866</v>
      </c>
      <c r="C101" s="74" t="s">
        <v>5867</v>
      </c>
      <c r="D101" s="137"/>
      <c r="E101" s="72"/>
      <c r="G101" s="137"/>
      <c r="H101" s="72"/>
      <c r="I101" s="99"/>
      <c r="J101" s="752" t="s">
        <v>400</v>
      </c>
      <c r="K101" s="49" t="s">
        <v>398</v>
      </c>
      <c r="L101" s="50">
        <v>0.7</v>
      </c>
      <c r="M101" s="44"/>
      <c r="N101" s="45"/>
      <c r="O101" s="46"/>
      <c r="P101" s="35"/>
      <c r="R101" s="57"/>
      <c r="S101" s="709"/>
      <c r="T101" s="704"/>
      <c r="U101" s="47">
        <f>+ROUND((ROUND((ROUND((_11_B通院１１．５＿１．５*_11・基礎１),0)*(1+_11・B深夜)),0)*_11・初任),0)</f>
        <v>183</v>
      </c>
      <c r="V101" s="48"/>
    </row>
    <row r="102" spans="1:22" ht="16.5" customHeight="1" x14ac:dyDescent="0.15">
      <c r="A102" s="41">
        <v>11</v>
      </c>
      <c r="B102" s="41" t="s">
        <v>5868</v>
      </c>
      <c r="C102" s="74" t="s">
        <v>5869</v>
      </c>
      <c r="D102" s="137"/>
      <c r="E102" s="72"/>
      <c r="G102" s="137"/>
      <c r="H102" s="72"/>
      <c r="I102" s="99"/>
      <c r="J102" s="711"/>
      <c r="K102" s="37"/>
      <c r="L102" s="38"/>
      <c r="M102" s="44" t="s">
        <v>397</v>
      </c>
      <c r="N102" s="45" t="s">
        <v>398</v>
      </c>
      <c r="O102" s="46">
        <v>1</v>
      </c>
      <c r="P102" s="35"/>
      <c r="R102" s="57"/>
      <c r="S102" s="55" t="s">
        <v>398</v>
      </c>
      <c r="T102" s="38">
        <f>_11・初任</f>
        <v>0.7</v>
      </c>
      <c r="U102" s="47">
        <f>+ROUND((ROUND((ROUND((ROUND((_11_B通院１１．５＿１．５*_11・基礎１),0)*_11・２人),0)*(1+_11・B深夜)),0)*_11・初任),0)</f>
        <v>183</v>
      </c>
      <c r="V102" s="48"/>
    </row>
    <row r="103" spans="1:22" ht="16.5" customHeight="1" x14ac:dyDescent="0.15">
      <c r="A103" s="41">
        <v>11</v>
      </c>
      <c r="B103" s="41">
        <v>3595</v>
      </c>
      <c r="C103" s="74" t="s">
        <v>5870</v>
      </c>
      <c r="D103" s="137"/>
      <c r="E103" s="707" t="s">
        <v>902</v>
      </c>
      <c r="F103" s="717"/>
      <c r="G103" s="137"/>
      <c r="H103" s="707" t="s">
        <v>3780</v>
      </c>
      <c r="I103" s="717"/>
      <c r="J103" s="53"/>
      <c r="K103" s="49"/>
      <c r="L103" s="50"/>
      <c r="M103" s="44"/>
      <c r="N103" s="45"/>
      <c r="O103" s="46"/>
      <c r="P103" s="35"/>
      <c r="R103" s="57"/>
      <c r="S103" s="53"/>
      <c r="T103" s="49"/>
      <c r="U103" s="47">
        <f>+ROUND((_11_B通院１２．０＿０．５*(1+_11・B深夜)),0)</f>
        <v>126</v>
      </c>
      <c r="V103" s="48"/>
    </row>
    <row r="104" spans="1:22" ht="16.5" customHeight="1" x14ac:dyDescent="0.15">
      <c r="A104" s="41">
        <v>11</v>
      </c>
      <c r="B104" s="41">
        <v>3596</v>
      </c>
      <c r="C104" s="74" t="s">
        <v>5871</v>
      </c>
      <c r="D104" s="137"/>
      <c r="E104" s="709"/>
      <c r="F104" s="718"/>
      <c r="G104" s="137"/>
      <c r="H104" s="709"/>
      <c r="I104" s="718"/>
      <c r="J104" s="43"/>
      <c r="K104" s="37"/>
      <c r="L104" s="38"/>
      <c r="M104" s="44" t="s">
        <v>397</v>
      </c>
      <c r="N104" s="45" t="s">
        <v>398</v>
      </c>
      <c r="O104" s="46">
        <v>1</v>
      </c>
      <c r="P104" s="35"/>
      <c r="R104" s="57"/>
      <c r="S104" s="35"/>
      <c r="U104" s="47">
        <f>+ROUND((ROUND((_11_B通院１２．０＿０．５*_11・２人),0)*(1+_11・B深夜)),0)</f>
        <v>126</v>
      </c>
      <c r="V104" s="48"/>
    </row>
    <row r="105" spans="1:22" ht="16.5" customHeight="1" x14ac:dyDescent="0.15">
      <c r="A105" s="41">
        <v>11</v>
      </c>
      <c r="B105" s="41">
        <v>3597</v>
      </c>
      <c r="C105" s="74" t="s">
        <v>5872</v>
      </c>
      <c r="D105" s="137"/>
      <c r="E105" s="709"/>
      <c r="F105" s="718"/>
      <c r="G105" s="137"/>
      <c r="H105" s="709"/>
      <c r="I105" s="718"/>
      <c r="J105" s="752" t="s">
        <v>400</v>
      </c>
      <c r="K105" s="49" t="s">
        <v>398</v>
      </c>
      <c r="L105" s="50">
        <v>0.7</v>
      </c>
      <c r="M105" s="44"/>
      <c r="N105" s="45"/>
      <c r="O105" s="46"/>
      <c r="P105" s="35"/>
      <c r="R105" s="57"/>
      <c r="S105" s="35"/>
      <c r="U105" s="47">
        <f>+ROUND((ROUND((_11_B通院１２．０＿０．５*_11・基礎１),0)*(1+_11・B深夜)),0)</f>
        <v>89</v>
      </c>
      <c r="V105" s="48"/>
    </row>
    <row r="106" spans="1:22" ht="16.5" customHeight="1" x14ac:dyDescent="0.15">
      <c r="A106" s="41">
        <v>11</v>
      </c>
      <c r="B106" s="41">
        <v>3598</v>
      </c>
      <c r="C106" s="74" t="s">
        <v>5873</v>
      </c>
      <c r="D106" s="137"/>
      <c r="E106" s="121"/>
      <c r="F106" s="188"/>
      <c r="G106" s="137"/>
      <c r="H106" s="100">
        <f>_11_B通院１２．０＿０．５</f>
        <v>84</v>
      </c>
      <c r="I106" s="12" t="s">
        <v>392</v>
      </c>
      <c r="J106" s="711"/>
      <c r="K106" s="37"/>
      <c r="L106" s="38"/>
      <c r="M106" s="44" t="s">
        <v>397</v>
      </c>
      <c r="N106" s="45" t="s">
        <v>398</v>
      </c>
      <c r="O106" s="46">
        <v>1</v>
      </c>
      <c r="P106" s="35"/>
      <c r="R106" s="57"/>
      <c r="S106" s="43"/>
      <c r="T106" s="37"/>
      <c r="U106" s="47">
        <f>+ROUND((ROUND((ROUND((_11_B通院１２．０＿０．５*_11・基礎１),0)*_11・２人),0)*(1+_11・B深夜)),0)</f>
        <v>89</v>
      </c>
      <c r="V106" s="48"/>
    </row>
    <row r="107" spans="1:22" ht="16.5" customHeight="1" x14ac:dyDescent="0.15">
      <c r="A107" s="41">
        <v>11</v>
      </c>
      <c r="B107" s="41" t="s">
        <v>5874</v>
      </c>
      <c r="C107" s="74" t="s">
        <v>5875</v>
      </c>
      <c r="D107" s="137"/>
      <c r="E107" s="121"/>
      <c r="F107" s="188"/>
      <c r="G107" s="137"/>
      <c r="H107" s="121"/>
      <c r="I107" s="99"/>
      <c r="J107" s="53"/>
      <c r="K107" s="49"/>
      <c r="L107" s="50"/>
      <c r="M107" s="44"/>
      <c r="N107" s="45"/>
      <c r="O107" s="46"/>
      <c r="P107" s="35"/>
      <c r="R107" s="57"/>
      <c r="S107" s="707" t="s">
        <v>404</v>
      </c>
      <c r="T107" s="708"/>
      <c r="U107" s="47">
        <f>+ROUND((ROUND((_11_B通院１２．０＿０．５*(1+_11・B深夜)),0)*_11・初任),0)</f>
        <v>88</v>
      </c>
      <c r="V107" s="48"/>
    </row>
    <row r="108" spans="1:22" ht="16.5" customHeight="1" x14ac:dyDescent="0.15">
      <c r="A108" s="41">
        <v>11</v>
      </c>
      <c r="B108" s="41" t="s">
        <v>5876</v>
      </c>
      <c r="C108" s="74" t="s">
        <v>5877</v>
      </c>
      <c r="D108" s="137"/>
      <c r="E108" s="121"/>
      <c r="F108" s="188"/>
      <c r="G108" s="137"/>
      <c r="H108" s="121"/>
      <c r="I108" s="99"/>
      <c r="J108" s="43"/>
      <c r="K108" s="37"/>
      <c r="L108" s="38"/>
      <c r="M108" s="44" t="s">
        <v>397</v>
      </c>
      <c r="N108" s="45" t="s">
        <v>398</v>
      </c>
      <c r="O108" s="46">
        <v>1</v>
      </c>
      <c r="P108" s="35"/>
      <c r="R108" s="57"/>
      <c r="S108" s="709"/>
      <c r="T108" s="704"/>
      <c r="U108" s="47">
        <f>+ROUND((ROUND((ROUND((_11_B通院１２．０＿０．５*_11・２人),0)*(1+_11・B深夜)),0)*_11・初任),0)</f>
        <v>88</v>
      </c>
      <c r="V108" s="48"/>
    </row>
    <row r="109" spans="1:22" ht="16.5" customHeight="1" x14ac:dyDescent="0.15">
      <c r="A109" s="41">
        <v>11</v>
      </c>
      <c r="B109" s="41" t="s">
        <v>5878</v>
      </c>
      <c r="C109" s="74" t="s">
        <v>5879</v>
      </c>
      <c r="D109" s="137"/>
      <c r="E109" s="72"/>
      <c r="G109" s="137"/>
      <c r="H109" s="72"/>
      <c r="I109" s="99"/>
      <c r="J109" s="752" t="s">
        <v>400</v>
      </c>
      <c r="K109" s="49" t="s">
        <v>398</v>
      </c>
      <c r="L109" s="50">
        <v>0.7</v>
      </c>
      <c r="M109" s="44"/>
      <c r="N109" s="45"/>
      <c r="O109" s="46"/>
      <c r="P109" s="35"/>
      <c r="R109" s="57"/>
      <c r="S109" s="709"/>
      <c r="T109" s="704"/>
      <c r="U109" s="47">
        <f>+ROUND((ROUND((ROUND((_11_B通院１２．０＿０．５*_11・基礎１),0)*(1+_11・B深夜)),0)*_11・初任),0)</f>
        <v>62</v>
      </c>
      <c r="V109" s="48"/>
    </row>
    <row r="110" spans="1:22" ht="16.5" customHeight="1" x14ac:dyDescent="0.15">
      <c r="A110" s="41">
        <v>11</v>
      </c>
      <c r="B110" s="41" t="s">
        <v>5880</v>
      </c>
      <c r="C110" s="74" t="s">
        <v>5881</v>
      </c>
      <c r="D110" s="137"/>
      <c r="E110" s="72"/>
      <c r="G110" s="137"/>
      <c r="H110" s="72"/>
      <c r="I110" s="99"/>
      <c r="J110" s="711"/>
      <c r="K110" s="37"/>
      <c r="L110" s="38"/>
      <c r="M110" s="44" t="s">
        <v>397</v>
      </c>
      <c r="N110" s="45" t="s">
        <v>398</v>
      </c>
      <c r="O110" s="46">
        <v>1</v>
      </c>
      <c r="P110" s="35"/>
      <c r="R110" s="57"/>
      <c r="S110" s="55" t="s">
        <v>398</v>
      </c>
      <c r="T110" s="38">
        <f>_11・初任</f>
        <v>0.7</v>
      </c>
      <c r="U110" s="47">
        <f>+ROUND((ROUND((ROUND((ROUND((_11_B通院１２．０＿０．５*_11・基礎１),0)*_11・２人),0)*(1+_11・B深夜)),0)*_11・初任),0)</f>
        <v>62</v>
      </c>
      <c r="V110" s="48"/>
    </row>
    <row r="111" spans="1:22" ht="16.5" customHeight="1" x14ac:dyDescent="0.15">
      <c r="A111" s="41">
        <v>11</v>
      </c>
      <c r="B111" s="41">
        <v>3599</v>
      </c>
      <c r="C111" s="74" t="s">
        <v>5882</v>
      </c>
      <c r="D111" s="137"/>
      <c r="E111" s="72"/>
      <c r="G111" s="137"/>
      <c r="H111" s="707" t="s">
        <v>3787</v>
      </c>
      <c r="I111" s="717"/>
      <c r="J111" s="53"/>
      <c r="K111" s="49"/>
      <c r="L111" s="50"/>
      <c r="M111" s="44"/>
      <c r="N111" s="45"/>
      <c r="O111" s="46"/>
      <c r="P111" s="35"/>
      <c r="R111" s="57"/>
      <c r="S111" s="53"/>
      <c r="T111" s="49"/>
      <c r="U111" s="47">
        <f>+ROUND((_11_B通院１２．０＿１．０*(1+_11・B深夜)),0)</f>
        <v>251</v>
      </c>
      <c r="V111" s="48"/>
    </row>
    <row r="112" spans="1:22" ht="16.5" customHeight="1" x14ac:dyDescent="0.15">
      <c r="A112" s="41">
        <v>11</v>
      </c>
      <c r="B112" s="41">
        <v>3600</v>
      </c>
      <c r="C112" s="74" t="s">
        <v>5883</v>
      </c>
      <c r="D112" s="137"/>
      <c r="E112" s="72"/>
      <c r="G112" s="137"/>
      <c r="H112" s="709"/>
      <c r="I112" s="718"/>
      <c r="J112" s="43"/>
      <c r="K112" s="37"/>
      <c r="L112" s="38"/>
      <c r="M112" s="44" t="s">
        <v>397</v>
      </c>
      <c r="N112" s="45" t="s">
        <v>398</v>
      </c>
      <c r="O112" s="46">
        <v>1</v>
      </c>
      <c r="P112" s="35"/>
      <c r="R112" s="57"/>
      <c r="S112" s="35"/>
      <c r="U112" s="47">
        <f>+ROUND((ROUND((_11_B通院１２．０＿１．０*_11・２人),0)*(1+_11・B深夜)),0)</f>
        <v>251</v>
      </c>
      <c r="V112" s="48"/>
    </row>
    <row r="113" spans="1:22" ht="16.5" customHeight="1" x14ac:dyDescent="0.15">
      <c r="A113" s="41">
        <v>11</v>
      </c>
      <c r="B113" s="41">
        <v>3601</v>
      </c>
      <c r="C113" s="74" t="s">
        <v>5884</v>
      </c>
      <c r="D113" s="137"/>
      <c r="E113" s="72"/>
      <c r="G113" s="137"/>
      <c r="H113" s="709"/>
      <c r="I113" s="718"/>
      <c r="J113" s="752" t="s">
        <v>400</v>
      </c>
      <c r="K113" s="49" t="s">
        <v>398</v>
      </c>
      <c r="L113" s="50">
        <v>0.7</v>
      </c>
      <c r="M113" s="44"/>
      <c r="N113" s="45"/>
      <c r="O113" s="46"/>
      <c r="P113" s="35"/>
      <c r="R113" s="57"/>
      <c r="S113" s="35"/>
      <c r="U113" s="47">
        <f>+ROUND((ROUND((_11_B通院１２．０＿１．０*_11・基礎１),0)*(1+_11・B深夜)),0)</f>
        <v>176</v>
      </c>
      <c r="V113" s="48"/>
    </row>
    <row r="114" spans="1:22" ht="16.5" customHeight="1" x14ac:dyDescent="0.15">
      <c r="A114" s="41">
        <v>11</v>
      </c>
      <c r="B114" s="41">
        <v>3602</v>
      </c>
      <c r="C114" s="74" t="s">
        <v>5885</v>
      </c>
      <c r="D114" s="137"/>
      <c r="E114" s="72"/>
      <c r="G114" s="137"/>
      <c r="H114" s="100">
        <f>_11_B通院１２．０＿１．０</f>
        <v>167</v>
      </c>
      <c r="I114" s="12" t="s">
        <v>392</v>
      </c>
      <c r="J114" s="711"/>
      <c r="K114" s="37"/>
      <c r="L114" s="38"/>
      <c r="M114" s="44" t="s">
        <v>397</v>
      </c>
      <c r="N114" s="45" t="s">
        <v>398</v>
      </c>
      <c r="O114" s="46">
        <v>1</v>
      </c>
      <c r="P114" s="35"/>
      <c r="R114" s="57"/>
      <c r="S114" s="43"/>
      <c r="T114" s="37"/>
      <c r="U114" s="47">
        <f>+ROUND((ROUND((ROUND((_11_B通院１２．０＿１．０*_11・基礎１),0)*_11・２人),0)*(1+_11・B深夜)),0)</f>
        <v>176</v>
      </c>
      <c r="V114" s="48"/>
    </row>
    <row r="115" spans="1:22" ht="16.5" customHeight="1" x14ac:dyDescent="0.15">
      <c r="A115" s="41">
        <v>11</v>
      </c>
      <c r="B115" s="41" t="s">
        <v>5886</v>
      </c>
      <c r="C115" s="74" t="s">
        <v>5887</v>
      </c>
      <c r="D115" s="137"/>
      <c r="E115" s="72"/>
      <c r="G115" s="137"/>
      <c r="H115" s="121"/>
      <c r="I115" s="99"/>
      <c r="J115" s="53"/>
      <c r="K115" s="49"/>
      <c r="L115" s="50"/>
      <c r="M115" s="44"/>
      <c r="N115" s="45"/>
      <c r="O115" s="46"/>
      <c r="P115" s="35"/>
      <c r="R115" s="57"/>
      <c r="S115" s="707" t="s">
        <v>404</v>
      </c>
      <c r="T115" s="708"/>
      <c r="U115" s="47">
        <f>+ROUND((ROUND((_11_B通院１２．０＿１．０*(1+_11・B深夜)),0)*_11・初任),0)</f>
        <v>176</v>
      </c>
      <c r="V115" s="48"/>
    </row>
    <row r="116" spans="1:22" ht="16.5" customHeight="1" x14ac:dyDescent="0.15">
      <c r="A116" s="41">
        <v>11</v>
      </c>
      <c r="B116" s="41" t="s">
        <v>5888</v>
      </c>
      <c r="C116" s="74" t="s">
        <v>5889</v>
      </c>
      <c r="D116" s="137"/>
      <c r="E116" s="72"/>
      <c r="G116" s="137"/>
      <c r="H116" s="121"/>
      <c r="I116" s="99"/>
      <c r="J116" s="43"/>
      <c r="K116" s="37"/>
      <c r="L116" s="38"/>
      <c r="M116" s="44" t="s">
        <v>397</v>
      </c>
      <c r="N116" s="45" t="s">
        <v>398</v>
      </c>
      <c r="O116" s="46">
        <v>1</v>
      </c>
      <c r="P116" s="35"/>
      <c r="R116" s="57"/>
      <c r="S116" s="709"/>
      <c r="T116" s="704"/>
      <c r="U116" s="47">
        <f>+ROUND((ROUND((ROUND((_11_B通院１２．０＿１．０*_11・２人),0)*(1+_11・B深夜)),0)*_11・初任),0)</f>
        <v>176</v>
      </c>
      <c r="V116" s="48"/>
    </row>
    <row r="117" spans="1:22" ht="16.5" customHeight="1" x14ac:dyDescent="0.15">
      <c r="A117" s="41">
        <v>11</v>
      </c>
      <c r="B117" s="41" t="s">
        <v>5890</v>
      </c>
      <c r="C117" s="74" t="s">
        <v>5891</v>
      </c>
      <c r="D117" s="137"/>
      <c r="E117" s="72"/>
      <c r="G117" s="137"/>
      <c r="H117" s="72"/>
      <c r="I117" s="99"/>
      <c r="J117" s="752" t="s">
        <v>400</v>
      </c>
      <c r="K117" s="49" t="s">
        <v>398</v>
      </c>
      <c r="L117" s="50">
        <v>0.7</v>
      </c>
      <c r="M117" s="44"/>
      <c r="N117" s="45"/>
      <c r="O117" s="46"/>
      <c r="P117" s="35"/>
      <c r="R117" s="57"/>
      <c r="S117" s="709"/>
      <c r="T117" s="704"/>
      <c r="U117" s="47">
        <f>+ROUND((ROUND((ROUND((_11_B通院１２．０＿１．０*_11・基礎１),0)*(1+_11・B深夜)),0)*_11・初任),0)</f>
        <v>123</v>
      </c>
      <c r="V117" s="48"/>
    </row>
    <row r="118" spans="1:22" ht="16.5" customHeight="1" x14ac:dyDescent="0.15">
      <c r="A118" s="41">
        <v>11</v>
      </c>
      <c r="B118" s="41" t="s">
        <v>5892</v>
      </c>
      <c r="C118" s="74" t="s">
        <v>5893</v>
      </c>
      <c r="D118" s="137"/>
      <c r="E118" s="72"/>
      <c r="G118" s="137"/>
      <c r="H118" s="72"/>
      <c r="I118" s="99"/>
      <c r="J118" s="711"/>
      <c r="K118" s="37"/>
      <c r="L118" s="38"/>
      <c r="M118" s="44" t="s">
        <v>397</v>
      </c>
      <c r="N118" s="45" t="s">
        <v>398</v>
      </c>
      <c r="O118" s="46">
        <v>1</v>
      </c>
      <c r="P118" s="35"/>
      <c r="R118" s="57"/>
      <c r="S118" s="55" t="s">
        <v>398</v>
      </c>
      <c r="T118" s="38">
        <f>_11・初任</f>
        <v>0.7</v>
      </c>
      <c r="U118" s="47">
        <f>+ROUND((ROUND((ROUND((ROUND((_11_B通院１２．０＿１．０*_11・基礎１),0)*_11・２人),0)*(1+_11・B深夜)),0)*_11・初任),0)</f>
        <v>123</v>
      </c>
      <c r="V118" s="48"/>
    </row>
    <row r="119" spans="1:22" ht="16.5" customHeight="1" x14ac:dyDescent="0.15">
      <c r="A119" s="41">
        <v>11</v>
      </c>
      <c r="B119" s="41">
        <v>3603</v>
      </c>
      <c r="C119" s="74" t="s">
        <v>5894</v>
      </c>
      <c r="D119" s="137"/>
      <c r="E119" s="707" t="s">
        <v>5140</v>
      </c>
      <c r="F119" s="717"/>
      <c r="G119" s="137"/>
      <c r="H119" s="707" t="s">
        <v>3780</v>
      </c>
      <c r="I119" s="717"/>
      <c r="J119" s="53"/>
      <c r="K119" s="49"/>
      <c r="L119" s="50"/>
      <c r="M119" s="44"/>
      <c r="N119" s="45"/>
      <c r="O119" s="46"/>
      <c r="P119" s="35"/>
      <c r="R119" s="57"/>
      <c r="S119" s="53"/>
      <c r="T119" s="49"/>
      <c r="U119" s="47">
        <f>+ROUND((_11_B通院１２．５＿０．５*(1+_11・B深夜)),0)</f>
        <v>125</v>
      </c>
      <c r="V119" s="48"/>
    </row>
    <row r="120" spans="1:22" ht="16.5" customHeight="1" x14ac:dyDescent="0.15">
      <c r="A120" s="41">
        <v>11</v>
      </c>
      <c r="B120" s="41">
        <v>3604</v>
      </c>
      <c r="C120" s="74" t="s">
        <v>5895</v>
      </c>
      <c r="D120" s="137"/>
      <c r="E120" s="709"/>
      <c r="F120" s="718"/>
      <c r="G120" s="137"/>
      <c r="H120" s="709"/>
      <c r="I120" s="718"/>
      <c r="J120" s="43"/>
      <c r="K120" s="37"/>
      <c r="L120" s="38"/>
      <c r="M120" s="44" t="s">
        <v>397</v>
      </c>
      <c r="N120" s="45" t="s">
        <v>398</v>
      </c>
      <c r="O120" s="46">
        <v>1</v>
      </c>
      <c r="P120" s="35"/>
      <c r="R120" s="57"/>
      <c r="S120" s="35"/>
      <c r="U120" s="47">
        <f>+ROUND((ROUND((_11_B通院１２．５＿０．５*_11・２人),0)*(1+_11・B深夜)),0)</f>
        <v>125</v>
      </c>
      <c r="V120" s="48"/>
    </row>
    <row r="121" spans="1:22" ht="16.5" customHeight="1" x14ac:dyDescent="0.15">
      <c r="A121" s="41">
        <v>11</v>
      </c>
      <c r="B121" s="41">
        <v>3605</v>
      </c>
      <c r="C121" s="74" t="s">
        <v>5896</v>
      </c>
      <c r="D121" s="137"/>
      <c r="E121" s="709"/>
      <c r="F121" s="718"/>
      <c r="G121" s="137"/>
      <c r="H121" s="709"/>
      <c r="I121" s="718"/>
      <c r="J121" s="752" t="s">
        <v>400</v>
      </c>
      <c r="K121" s="49" t="s">
        <v>398</v>
      </c>
      <c r="L121" s="50">
        <v>0.7</v>
      </c>
      <c r="M121" s="44"/>
      <c r="N121" s="45"/>
      <c r="O121" s="46"/>
      <c r="P121" s="35"/>
      <c r="R121" s="57"/>
      <c r="S121" s="35"/>
      <c r="U121" s="47">
        <f>+ROUND((ROUND((_11_B通院１２．５＿０．５*_11・基礎１),0)*(1+_11・B深夜)),0)</f>
        <v>87</v>
      </c>
      <c r="V121" s="48"/>
    </row>
    <row r="122" spans="1:22" ht="16.5" customHeight="1" x14ac:dyDescent="0.15">
      <c r="A122" s="41">
        <v>11</v>
      </c>
      <c r="B122" s="41">
        <v>3606</v>
      </c>
      <c r="C122" s="74" t="s">
        <v>5897</v>
      </c>
      <c r="D122" s="137"/>
      <c r="E122" s="121"/>
      <c r="F122" s="188"/>
      <c r="G122" s="137"/>
      <c r="H122" s="100">
        <f>_11_B通院１２．５＿０．５</f>
        <v>83</v>
      </c>
      <c r="I122" s="12" t="s">
        <v>392</v>
      </c>
      <c r="J122" s="711"/>
      <c r="K122" s="37"/>
      <c r="L122" s="38"/>
      <c r="M122" s="44" t="s">
        <v>397</v>
      </c>
      <c r="N122" s="45" t="s">
        <v>398</v>
      </c>
      <c r="O122" s="46">
        <v>1</v>
      </c>
      <c r="P122" s="35"/>
      <c r="R122" s="57"/>
      <c r="S122" s="43"/>
      <c r="T122" s="37"/>
      <c r="U122" s="47">
        <f>+ROUND((ROUND((ROUND((_11_B通院１２．５＿０．５*_11・基礎１),0)*_11・２人),0)*(1+_11・B深夜)),0)</f>
        <v>87</v>
      </c>
      <c r="V122" s="48"/>
    </row>
    <row r="123" spans="1:22" ht="16.5" customHeight="1" x14ac:dyDescent="0.15">
      <c r="A123" s="41">
        <v>11</v>
      </c>
      <c r="B123" s="41" t="s">
        <v>5898</v>
      </c>
      <c r="C123" s="74" t="s">
        <v>5899</v>
      </c>
      <c r="D123" s="137"/>
      <c r="E123" s="121"/>
      <c r="F123" s="188"/>
      <c r="G123" s="137"/>
      <c r="H123" s="121"/>
      <c r="I123" s="99"/>
      <c r="J123" s="53"/>
      <c r="K123" s="49"/>
      <c r="L123" s="50"/>
      <c r="M123" s="44"/>
      <c r="N123" s="45"/>
      <c r="O123" s="46"/>
      <c r="P123" s="35"/>
      <c r="R123" s="57"/>
      <c r="S123" s="707" t="s">
        <v>404</v>
      </c>
      <c r="T123" s="708"/>
      <c r="U123" s="47">
        <f>+ROUND((ROUND((_11_B通院１２．５＿０．５*(1+_11・B深夜)),0)*_11・初任),0)</f>
        <v>88</v>
      </c>
      <c r="V123" s="48"/>
    </row>
    <row r="124" spans="1:22" ht="16.5" customHeight="1" x14ac:dyDescent="0.15">
      <c r="A124" s="41">
        <v>11</v>
      </c>
      <c r="B124" s="41" t="s">
        <v>5900</v>
      </c>
      <c r="C124" s="74" t="s">
        <v>5901</v>
      </c>
      <c r="D124" s="137"/>
      <c r="E124" s="121"/>
      <c r="F124" s="188"/>
      <c r="G124" s="137"/>
      <c r="H124" s="121"/>
      <c r="I124" s="99"/>
      <c r="J124" s="43"/>
      <c r="K124" s="37"/>
      <c r="L124" s="38"/>
      <c r="M124" s="44" t="s">
        <v>397</v>
      </c>
      <c r="N124" s="45" t="s">
        <v>398</v>
      </c>
      <c r="O124" s="46">
        <v>1</v>
      </c>
      <c r="P124" s="35"/>
      <c r="R124" s="57"/>
      <c r="S124" s="709"/>
      <c r="T124" s="704"/>
      <c r="U124" s="47">
        <f>+ROUND((ROUND((ROUND((_11_B通院１２．５＿０．５*_11・２人),0)*(1+_11・B深夜)),0)*_11・初任),0)</f>
        <v>88</v>
      </c>
      <c r="V124" s="48"/>
    </row>
    <row r="125" spans="1:22" ht="16.5" customHeight="1" x14ac:dyDescent="0.15">
      <c r="A125" s="41">
        <v>11</v>
      </c>
      <c r="B125" s="41" t="s">
        <v>5902</v>
      </c>
      <c r="C125" s="74" t="s">
        <v>5903</v>
      </c>
      <c r="D125" s="137"/>
      <c r="E125" s="72"/>
      <c r="G125" s="137"/>
      <c r="H125" s="72"/>
      <c r="I125" s="99"/>
      <c r="J125" s="752" t="s">
        <v>400</v>
      </c>
      <c r="K125" s="49" t="s">
        <v>398</v>
      </c>
      <c r="L125" s="50">
        <v>0.7</v>
      </c>
      <c r="M125" s="44"/>
      <c r="N125" s="45"/>
      <c r="O125" s="46"/>
      <c r="P125" s="35"/>
      <c r="R125" s="57"/>
      <c r="S125" s="709"/>
      <c r="T125" s="704"/>
      <c r="U125" s="47">
        <f>+ROUND((ROUND((ROUND((_11_B通院１２．５＿０．５*_11・基礎１),0)*(1+_11・B深夜)),0)*_11・初任),0)</f>
        <v>61</v>
      </c>
      <c r="V125" s="48"/>
    </row>
    <row r="126" spans="1:22" ht="16.5" customHeight="1" x14ac:dyDescent="0.15">
      <c r="A126" s="41">
        <v>11</v>
      </c>
      <c r="B126" s="41" t="s">
        <v>5904</v>
      </c>
      <c r="C126" s="74" t="s">
        <v>5905</v>
      </c>
      <c r="D126" s="139"/>
      <c r="E126" s="122"/>
      <c r="F126" s="190"/>
      <c r="G126" s="139"/>
      <c r="H126" s="122"/>
      <c r="I126" s="111"/>
      <c r="J126" s="711"/>
      <c r="K126" s="37"/>
      <c r="L126" s="38"/>
      <c r="M126" s="44" t="s">
        <v>397</v>
      </c>
      <c r="N126" s="45" t="s">
        <v>398</v>
      </c>
      <c r="O126" s="46">
        <v>1</v>
      </c>
      <c r="P126" s="43"/>
      <c r="Q126" s="38"/>
      <c r="R126" s="79"/>
      <c r="S126" s="55" t="s">
        <v>398</v>
      </c>
      <c r="T126" s="38">
        <f>_11・初任</f>
        <v>0.7</v>
      </c>
      <c r="U126" s="47">
        <f>+ROUND((ROUND((ROUND((ROUND((_11_B通院１２．５＿０．５*_11・基礎１),0)*_11・２人),0)*(1+_11・B深夜)),0)*_11・初任),0)</f>
        <v>61</v>
      </c>
      <c r="V126" s="63"/>
    </row>
    <row r="127" spans="1:22" ht="16.5" customHeight="1" x14ac:dyDescent="0.15"/>
    <row r="128" spans="1:22" ht="16.5" customHeight="1" x14ac:dyDescent="0.15"/>
  </sheetData>
  <mergeCells count="72">
    <mergeCell ref="E119:F121"/>
    <mergeCell ref="H119:I121"/>
    <mergeCell ref="J121:J122"/>
    <mergeCell ref="S123:T125"/>
    <mergeCell ref="J125:J126"/>
    <mergeCell ref="S107:T109"/>
    <mergeCell ref="J109:J110"/>
    <mergeCell ref="H111:I113"/>
    <mergeCell ref="J113:J114"/>
    <mergeCell ref="S115:T117"/>
    <mergeCell ref="J117:J118"/>
    <mergeCell ref="S99:T101"/>
    <mergeCell ref="J101:J102"/>
    <mergeCell ref="E103:F105"/>
    <mergeCell ref="H103:I105"/>
    <mergeCell ref="J105:J106"/>
    <mergeCell ref="H87:I89"/>
    <mergeCell ref="J89:J90"/>
    <mergeCell ref="S91:T93"/>
    <mergeCell ref="J93:J94"/>
    <mergeCell ref="H95:I97"/>
    <mergeCell ref="J97:J98"/>
    <mergeCell ref="H71:I73"/>
    <mergeCell ref="J73:J74"/>
    <mergeCell ref="S75:T77"/>
    <mergeCell ref="J77:J78"/>
    <mergeCell ref="D79:D86"/>
    <mergeCell ref="E79:F81"/>
    <mergeCell ref="G79:G86"/>
    <mergeCell ref="H79:I81"/>
    <mergeCell ref="R80:R81"/>
    <mergeCell ref="J81:J82"/>
    <mergeCell ref="S83:T85"/>
    <mergeCell ref="J85:J86"/>
    <mergeCell ref="S59:T61"/>
    <mergeCell ref="J61:J62"/>
    <mergeCell ref="H63:I65"/>
    <mergeCell ref="J65:J66"/>
    <mergeCell ref="S67:T69"/>
    <mergeCell ref="J69:J70"/>
    <mergeCell ref="E47:F49"/>
    <mergeCell ref="H47:I49"/>
    <mergeCell ref="J49:J50"/>
    <mergeCell ref="S51:T53"/>
    <mergeCell ref="J53:J54"/>
    <mergeCell ref="H55:I57"/>
    <mergeCell ref="J57:J58"/>
    <mergeCell ref="S35:T37"/>
    <mergeCell ref="J37:J38"/>
    <mergeCell ref="H39:I41"/>
    <mergeCell ref="J41:J42"/>
    <mergeCell ref="S43:T45"/>
    <mergeCell ref="J45:J46"/>
    <mergeCell ref="H23:I25"/>
    <mergeCell ref="J25:J26"/>
    <mergeCell ref="S27:T29"/>
    <mergeCell ref="J29:J30"/>
    <mergeCell ref="H31:I33"/>
    <mergeCell ref="J33:J34"/>
    <mergeCell ref="S11:T13"/>
    <mergeCell ref="J13:J14"/>
    <mergeCell ref="H15:I17"/>
    <mergeCell ref="J17:J18"/>
    <mergeCell ref="S19:T21"/>
    <mergeCell ref="J21:J22"/>
    <mergeCell ref="R8:R9"/>
    <mergeCell ref="J9:J10"/>
    <mergeCell ref="G6:I6"/>
    <mergeCell ref="D7:D14"/>
    <mergeCell ref="E7:F9"/>
    <mergeCell ref="G7:G14"/>
    <mergeCell ref="H7:I9"/>
  </mergeCells>
  <phoneticPr fontId="1"/>
  <printOptions horizontalCentered="1"/>
  <pageMargins left="0.70866141732283472" right="0.70866141732283472" top="0.74803149606299213" bottom="0.74803149606299213" header="0.31496062992125984" footer="0.31496062992125984"/>
  <pageSetup paperSize="9" scale="47" fitToHeight="0" orientation="portrait" r:id="rId1"/>
  <headerFooter>
    <oddHeader>&amp;R&amp;"ＭＳ Ｐゴシック"&amp;9居宅介護</oddHeader>
    <oddFooter>&amp;C&amp;"ＭＳ Ｐゴシック"&amp;14&amp;P</oddFooter>
  </headerFooter>
  <rowBreaks count="1" manualBreakCount="1">
    <brk id="78" max="21"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pageSetUpPr fitToPage="1"/>
  </sheetPr>
  <dimension ref="A1:Y160"/>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8.5" style="10" bestFit="1" customWidth="1"/>
    <col min="4" max="4" width="4.875" style="10" customWidth="1"/>
    <col min="5" max="5" width="4.5" style="12" bestFit="1" customWidth="1"/>
    <col min="6" max="6" width="4.875" style="10" customWidth="1"/>
    <col min="7" max="7" width="4.5" style="12" bestFit="1" customWidth="1"/>
    <col min="8" max="8" width="4.875" style="10" customWidth="1"/>
    <col min="9" max="9" width="4.5" style="12" bestFit="1" customWidth="1"/>
    <col min="10" max="10" width="11.875" style="12" customWidth="1"/>
    <col min="11" max="11" width="3.5" style="12" bestFit="1" customWidth="1"/>
    <col min="12" max="12" width="4.5" style="13" bestFit="1" customWidth="1"/>
    <col min="13" max="13" width="24.875" style="14" bestFit="1" customWidth="1"/>
    <col min="14" max="14" width="3.5" style="12" bestFit="1" customWidth="1"/>
    <col min="15" max="15" width="5.5" style="13" bestFit="1" customWidth="1"/>
    <col min="16" max="16" width="3.5" style="12" bestFit="1" customWidth="1"/>
    <col min="17" max="17" width="4.5" style="13" bestFit="1" customWidth="1"/>
    <col min="18" max="18" width="5.5" style="12" bestFit="1" customWidth="1"/>
    <col min="19" max="19" width="3.5" style="12" bestFit="1" customWidth="1"/>
    <col min="20" max="20" width="4.5" style="13" bestFit="1" customWidth="1"/>
    <col min="21" max="21" width="5.5" style="12" bestFit="1" customWidth="1"/>
    <col min="22" max="22" width="9.875" style="12" customWidth="1"/>
    <col min="23" max="23" width="4.5" style="12" bestFit="1" customWidth="1"/>
    <col min="24" max="24" width="7.125" style="15" customWidth="1"/>
    <col min="25" max="25" width="8.5" style="16" customWidth="1"/>
    <col min="26" max="16384" width="8.875" style="12"/>
  </cols>
  <sheetData>
    <row r="1" spans="1:25" ht="17.100000000000001" customHeight="1" x14ac:dyDescent="0.15"/>
    <row r="2" spans="1:25" ht="17.100000000000001" customHeight="1" x14ac:dyDescent="0.15"/>
    <row r="3" spans="1:25" ht="17.100000000000001" customHeight="1" x14ac:dyDescent="0.15"/>
    <row r="4" spans="1:25" ht="17.100000000000001" customHeight="1" x14ac:dyDescent="0.15">
      <c r="B4" s="17" t="s">
        <v>5906</v>
      </c>
      <c r="D4" s="71"/>
    </row>
    <row r="5" spans="1:25" ht="16.5" customHeight="1" x14ac:dyDescent="0.15">
      <c r="A5" s="19" t="s">
        <v>384</v>
      </c>
      <c r="B5" s="20"/>
      <c r="C5" s="21" t="s">
        <v>385</v>
      </c>
      <c r="D5" s="23" t="s">
        <v>386</v>
      </c>
      <c r="E5" s="23"/>
      <c r="F5" s="23"/>
      <c r="G5" s="23"/>
      <c r="H5" s="23"/>
      <c r="I5" s="23"/>
      <c r="J5" s="23"/>
      <c r="K5" s="23"/>
      <c r="L5" s="24"/>
      <c r="M5" s="23"/>
      <c r="N5" s="23"/>
      <c r="O5" s="24"/>
      <c r="P5" s="23"/>
      <c r="Q5" s="24"/>
      <c r="R5" s="23"/>
      <c r="S5" s="23"/>
      <c r="T5" s="24"/>
      <c r="U5" s="23"/>
      <c r="V5" s="23"/>
      <c r="W5" s="23"/>
      <c r="X5" s="25" t="s">
        <v>387</v>
      </c>
      <c r="Y5" s="21" t="s">
        <v>388</v>
      </c>
    </row>
    <row r="6" spans="1:25" ht="16.5" customHeight="1" x14ac:dyDescent="0.15">
      <c r="A6" s="26" t="s">
        <v>389</v>
      </c>
      <c r="B6" s="26" t="s">
        <v>390</v>
      </c>
      <c r="C6" s="27"/>
      <c r="D6" s="87" t="s">
        <v>1032</v>
      </c>
      <c r="E6" s="187"/>
      <c r="F6" s="87" t="s">
        <v>1033</v>
      </c>
      <c r="G6" s="20"/>
      <c r="H6" s="29"/>
      <c r="I6" s="29"/>
      <c r="J6" s="29"/>
      <c r="K6" s="29"/>
      <c r="L6" s="30"/>
      <c r="M6" s="29"/>
      <c r="N6" s="29"/>
      <c r="O6" s="30"/>
      <c r="P6" s="29"/>
      <c r="Q6" s="30"/>
      <c r="R6" s="29"/>
      <c r="S6" s="29"/>
      <c r="T6" s="30"/>
      <c r="U6" s="29"/>
      <c r="V6" s="29"/>
      <c r="W6" s="29"/>
      <c r="X6" s="31" t="s">
        <v>391</v>
      </c>
      <c r="Y6" s="32" t="s">
        <v>392</v>
      </c>
    </row>
    <row r="7" spans="1:25" ht="16.5" customHeight="1" x14ac:dyDescent="0.15">
      <c r="A7" s="33">
        <v>11</v>
      </c>
      <c r="B7" s="33">
        <v>3607</v>
      </c>
      <c r="C7" s="34" t="s">
        <v>5907</v>
      </c>
      <c r="D7" s="709" t="s">
        <v>4811</v>
      </c>
      <c r="E7" s="718"/>
      <c r="F7" s="709" t="s">
        <v>1990</v>
      </c>
      <c r="G7" s="718"/>
      <c r="H7" s="709" t="s">
        <v>3643</v>
      </c>
      <c r="I7" s="718"/>
      <c r="J7" s="35"/>
      <c r="M7" s="36"/>
      <c r="N7" s="37"/>
      <c r="O7" s="38"/>
      <c r="P7" s="72" t="s">
        <v>1036</v>
      </c>
      <c r="R7" s="57"/>
      <c r="S7" s="92" t="s">
        <v>1037</v>
      </c>
      <c r="U7" s="57"/>
      <c r="V7" s="35"/>
      <c r="X7" s="39">
        <f>ROUND((_11_A通院１０．５*(1+_11・A深夜)),0)+ROUND((_11_B通院１０．５＿１．５*(1+_11・B早朝)),0)+_11_C通院１０．５＿１．５＿０．５</f>
        <v>981</v>
      </c>
      <c r="Y7" s="40" t="s">
        <v>395</v>
      </c>
    </row>
    <row r="8" spans="1:25" ht="16.5" customHeight="1" x14ac:dyDescent="0.15">
      <c r="A8" s="41">
        <v>11</v>
      </c>
      <c r="B8" s="41">
        <v>3608</v>
      </c>
      <c r="C8" s="74" t="s">
        <v>5908</v>
      </c>
      <c r="D8" s="709"/>
      <c r="E8" s="718"/>
      <c r="F8" s="709"/>
      <c r="G8" s="718"/>
      <c r="H8" s="709"/>
      <c r="I8" s="718"/>
      <c r="J8" s="43"/>
      <c r="K8" s="37"/>
      <c r="L8" s="38"/>
      <c r="M8" s="44" t="s">
        <v>397</v>
      </c>
      <c r="N8" s="45" t="s">
        <v>398</v>
      </c>
      <c r="O8" s="46">
        <v>1</v>
      </c>
      <c r="P8" s="35" t="s">
        <v>398</v>
      </c>
      <c r="Q8" s="13">
        <v>0.5</v>
      </c>
      <c r="R8" s="728" t="s">
        <v>676</v>
      </c>
      <c r="S8" s="35" t="s">
        <v>398</v>
      </c>
      <c r="T8" s="13">
        <v>0.25</v>
      </c>
      <c r="U8" s="728" t="s">
        <v>676</v>
      </c>
      <c r="V8" s="35"/>
      <c r="X8" s="47">
        <f>ROUND((ROUND((_11_A通院１０．５*_11・２人),0)*(1+_11・A深夜)),0)+ROUND((ROUND((_11_B通院１０．５＿１．５*_11・２人),0)*(1+_11・B早朝)),0)+ROUND((_11_C通院１０．５＿１．５＿０．５*_11・２人),0)</f>
        <v>981</v>
      </c>
      <c r="Y8" s="48"/>
    </row>
    <row r="9" spans="1:25" ht="16.5" customHeight="1" x14ac:dyDescent="0.15">
      <c r="A9" s="41">
        <v>11</v>
      </c>
      <c r="B9" s="41">
        <v>3609</v>
      </c>
      <c r="C9" s="74" t="s">
        <v>5909</v>
      </c>
      <c r="D9" s="709"/>
      <c r="E9" s="718"/>
      <c r="F9" s="709"/>
      <c r="G9" s="718"/>
      <c r="H9" s="709"/>
      <c r="I9" s="718"/>
      <c r="J9" s="752" t="s">
        <v>400</v>
      </c>
      <c r="K9" s="49" t="s">
        <v>398</v>
      </c>
      <c r="L9" s="50">
        <v>0.7</v>
      </c>
      <c r="M9" s="44"/>
      <c r="N9" s="45"/>
      <c r="O9" s="46"/>
      <c r="P9" s="35"/>
      <c r="R9" s="728"/>
      <c r="S9" s="35"/>
      <c r="U9" s="728"/>
      <c r="V9" s="35"/>
      <c r="X9" s="47">
        <f>ROUND((ROUND((_11_A通院１０．５*_11・基礎１),0)*(1+_11・A深夜)),0)+ROUND((ROUND((_11_B通院１０．５＿１．５*_11・基礎１),0)*(1+_11・B早朝)),0)+ROUND((_11_C通院１０．５＿１．５＿０．５*_11・基礎１),0)</f>
        <v>688</v>
      </c>
      <c r="Y9" s="48"/>
    </row>
    <row r="10" spans="1:25" ht="16.5" customHeight="1" x14ac:dyDescent="0.15">
      <c r="A10" s="41">
        <v>11</v>
      </c>
      <c r="B10" s="41">
        <v>3610</v>
      </c>
      <c r="C10" s="74" t="s">
        <v>5910</v>
      </c>
      <c r="D10" s="125">
        <f>_11_A通院１０．５</f>
        <v>255</v>
      </c>
      <c r="E10" s="12" t="s">
        <v>392</v>
      </c>
      <c r="F10" s="125">
        <f>_11_B通院１０．５＿１．５</f>
        <v>411</v>
      </c>
      <c r="G10" s="12" t="s">
        <v>392</v>
      </c>
      <c r="H10" s="125">
        <f>_11_C通院１０．５＿１．５＿０．５</f>
        <v>84</v>
      </c>
      <c r="I10" s="12" t="s">
        <v>392</v>
      </c>
      <c r="J10" s="757"/>
      <c r="K10" s="37"/>
      <c r="L10" s="38"/>
      <c r="M10" s="44" t="s">
        <v>397</v>
      </c>
      <c r="N10" s="45" t="s">
        <v>398</v>
      </c>
      <c r="O10" s="46">
        <v>1</v>
      </c>
      <c r="P10" s="35"/>
      <c r="R10" s="57"/>
      <c r="S10" s="35"/>
      <c r="U10" s="57"/>
      <c r="V10" s="43"/>
      <c r="W10" s="37"/>
      <c r="X10" s="47">
        <f>ROUND((ROUND((ROUND((_11_A通院１０．５*_11・基礎１),0)*_11・２人),0)*(1+_11・A深夜)),0)+ROUND((ROUND((ROUND((_11_B通院１０．５＿１．５*_11・基礎１),0)*_11・２人),0)*(1+_11・B早朝)),0)+ROUND((ROUND((_11_C通院１０．５＿１．５＿０．５*_11・基礎１),0)*_11・２人),0)</f>
        <v>688</v>
      </c>
      <c r="Y10" s="48"/>
    </row>
    <row r="11" spans="1:25" ht="16.5" customHeight="1" x14ac:dyDescent="0.15">
      <c r="A11" s="41">
        <v>11</v>
      </c>
      <c r="B11" s="41" t="s">
        <v>5911</v>
      </c>
      <c r="C11" s="74" t="s">
        <v>5912</v>
      </c>
      <c r="D11" s="121"/>
      <c r="F11" s="121"/>
      <c r="H11" s="121"/>
      <c r="J11" s="53"/>
      <c r="K11" s="49"/>
      <c r="L11" s="50"/>
      <c r="M11" s="44"/>
      <c r="N11" s="45"/>
      <c r="O11" s="46"/>
      <c r="P11" s="35"/>
      <c r="R11" s="57"/>
      <c r="S11" s="35"/>
      <c r="U11" s="57"/>
      <c r="V11" s="707" t="s">
        <v>404</v>
      </c>
      <c r="W11" s="708"/>
      <c r="X11" s="47">
        <f>ROUND((ROUND((_11_A通院１０．５*(1+_11・A深夜)),0)*_11・初任),0)+ROUND((ROUND((_11_B通院１０．５＿１．５*(1+_11・B早朝)),0)*_11・初任),0)+ROUND((_11_C通院１０．５＿１．５＿０．５*_11・初任),0)</f>
        <v>687</v>
      </c>
      <c r="Y11" s="48"/>
    </row>
    <row r="12" spans="1:25" ht="16.5" customHeight="1" x14ac:dyDescent="0.15">
      <c r="A12" s="41">
        <v>11</v>
      </c>
      <c r="B12" s="41" t="s">
        <v>5913</v>
      </c>
      <c r="C12" s="74" t="s">
        <v>5914</v>
      </c>
      <c r="D12" s="121"/>
      <c r="F12" s="121"/>
      <c r="H12" s="121"/>
      <c r="J12" s="43"/>
      <c r="K12" s="37"/>
      <c r="L12" s="38"/>
      <c r="M12" s="44" t="s">
        <v>397</v>
      </c>
      <c r="N12" s="45" t="s">
        <v>398</v>
      </c>
      <c r="O12" s="46">
        <v>1</v>
      </c>
      <c r="P12" s="35"/>
      <c r="R12" s="57"/>
      <c r="S12" s="35"/>
      <c r="U12" s="57"/>
      <c r="V12" s="709"/>
      <c r="W12" s="704"/>
      <c r="X12" s="47">
        <f>ROUND((ROUND((ROUND((_11_A通院１０．５*_11・２人),0)*(1+_11・A深夜)),0)*_11・初任),0)+ROUND((ROUND((ROUND((_11_B通院１０．５＿１．５*_11・２人),0)*(1+_11・B早朝)),0)*_11・初任),0)+ROUND((ROUND((_11_C通院１０．５＿１．５＿０．５*_11・２人),0)*_11・初任),0)</f>
        <v>687</v>
      </c>
      <c r="Y12" s="48"/>
    </row>
    <row r="13" spans="1:25" ht="16.5" customHeight="1" x14ac:dyDescent="0.15">
      <c r="A13" s="41">
        <v>11</v>
      </c>
      <c r="B13" s="41" t="s">
        <v>5915</v>
      </c>
      <c r="C13" s="74" t="s">
        <v>5916</v>
      </c>
      <c r="D13" s="72"/>
      <c r="F13" s="72"/>
      <c r="H13" s="72"/>
      <c r="J13" s="752" t="s">
        <v>400</v>
      </c>
      <c r="K13" s="49" t="s">
        <v>398</v>
      </c>
      <c r="L13" s="50">
        <v>0.7</v>
      </c>
      <c r="M13" s="44"/>
      <c r="N13" s="45"/>
      <c r="O13" s="46"/>
      <c r="P13" s="35"/>
      <c r="R13" s="57"/>
      <c r="S13" s="35"/>
      <c r="U13" s="57"/>
      <c r="V13" s="709"/>
      <c r="W13" s="704"/>
      <c r="X13" s="47">
        <f>ROUND((ROUND((ROUND((_11_A通院１０．５*_11・基礎１),0)*(1+_11・A深夜)),0)*_11・初任),0)+ROUND((ROUND((ROUND((_11_B通院１０．５＿１．５*_11・基礎１),0)*(1+_11・B早朝)),0)*_11・初任),0)+ROUND((ROUND((_11_C通院１０．５＿１．５＿０．５*_11・基礎１),0)*_11・初任),0)</f>
        <v>481</v>
      </c>
      <c r="Y13" s="48"/>
    </row>
    <row r="14" spans="1:25" ht="16.5" customHeight="1" x14ac:dyDescent="0.15">
      <c r="A14" s="41">
        <v>11</v>
      </c>
      <c r="B14" s="41" t="s">
        <v>5917</v>
      </c>
      <c r="C14" s="74" t="s">
        <v>5918</v>
      </c>
      <c r="D14" s="72"/>
      <c r="F14" s="72"/>
      <c r="H14" s="72"/>
      <c r="J14" s="757"/>
      <c r="K14" s="37"/>
      <c r="L14" s="38"/>
      <c r="M14" s="44" t="s">
        <v>397</v>
      </c>
      <c r="N14" s="45" t="s">
        <v>398</v>
      </c>
      <c r="O14" s="46">
        <v>1</v>
      </c>
      <c r="P14" s="35"/>
      <c r="R14" s="57"/>
      <c r="S14" s="35"/>
      <c r="U14" s="57"/>
      <c r="V14" s="55" t="s">
        <v>398</v>
      </c>
      <c r="W14" s="38">
        <f>_11・初任</f>
        <v>0.7</v>
      </c>
      <c r="X14" s="47">
        <f>ROUND((ROUND((ROUND((ROUND((_11_A通院１０．５*_11・基礎１),0)*_11・２人),0)*(1+_11・A深夜)),0)*_11・初任),0)+ROUND((ROUND((ROUND((ROUND((_11_B通院１０．５＿１．５*_11・基礎１),0)*_11・２人),0)*(1+_11・B早朝)),0)*_11・初任),0)+ROUND((ROUND((ROUND((_11_C通院１０．５＿１．５＿０．５*_11・基礎１),0)*_11・２人),0)*_11・初任),0)</f>
        <v>481</v>
      </c>
      <c r="Y14" s="48"/>
    </row>
    <row r="15" spans="1:25" ht="16.5" customHeight="1" x14ac:dyDescent="0.15">
      <c r="A15" s="41">
        <v>11</v>
      </c>
      <c r="B15" s="41">
        <v>3611</v>
      </c>
      <c r="C15" s="74" t="s">
        <v>5919</v>
      </c>
      <c r="D15" s="72"/>
      <c r="F15" s="72"/>
      <c r="H15" s="707" t="s">
        <v>3650</v>
      </c>
      <c r="I15" s="717"/>
      <c r="J15" s="53"/>
      <c r="K15" s="49"/>
      <c r="L15" s="50"/>
      <c r="M15" s="44"/>
      <c r="N15" s="45"/>
      <c r="O15" s="46"/>
      <c r="P15" s="35"/>
      <c r="R15" s="57"/>
      <c r="S15" s="35"/>
      <c r="U15" s="57"/>
      <c r="V15" s="53"/>
      <c r="W15" s="49"/>
      <c r="X15" s="47">
        <f>ROUND((_11_A通院１０．５*(1+_11・A深夜)),0)+ROUND((_11_B通院１０．５＿１．５*(1+_11・B早朝)),0)+_11_C通院１０．５＿１．５＿１．０</f>
        <v>1064</v>
      </c>
      <c r="Y15" s="48"/>
    </row>
    <row r="16" spans="1:25" ht="16.5" customHeight="1" x14ac:dyDescent="0.15">
      <c r="A16" s="41">
        <v>11</v>
      </c>
      <c r="B16" s="41">
        <v>3612</v>
      </c>
      <c r="C16" s="74" t="s">
        <v>5920</v>
      </c>
      <c r="D16" s="72"/>
      <c r="F16" s="72"/>
      <c r="H16" s="709"/>
      <c r="I16" s="718"/>
      <c r="J16" s="43"/>
      <c r="K16" s="37"/>
      <c r="L16" s="38"/>
      <c r="M16" s="44" t="s">
        <v>397</v>
      </c>
      <c r="N16" s="45" t="s">
        <v>398</v>
      </c>
      <c r="O16" s="46">
        <v>1</v>
      </c>
      <c r="P16" s="35"/>
      <c r="R16" s="57"/>
      <c r="S16" s="35"/>
      <c r="U16" s="57"/>
      <c r="V16" s="35"/>
      <c r="X16" s="47">
        <f>ROUND((ROUND((_11_A通院１０．５*_11・２人),0)*(1+_11・A深夜)),0)+ROUND((ROUND((_11_B通院１０．５＿１．５*_11・２人),0)*(1+_11・B早朝)),0)+ROUND((_11_C通院１０．５＿１．５＿１．０*_11・２人),0)</f>
        <v>1064</v>
      </c>
      <c r="Y16" s="48"/>
    </row>
    <row r="17" spans="1:25" ht="16.5" customHeight="1" x14ac:dyDescent="0.15">
      <c r="A17" s="41">
        <v>11</v>
      </c>
      <c r="B17" s="41">
        <v>3613</v>
      </c>
      <c r="C17" s="74" t="s">
        <v>5921</v>
      </c>
      <c r="D17" s="72"/>
      <c r="F17" s="72"/>
      <c r="H17" s="709"/>
      <c r="I17" s="718"/>
      <c r="J17" s="752" t="s">
        <v>400</v>
      </c>
      <c r="K17" s="49" t="s">
        <v>398</v>
      </c>
      <c r="L17" s="50">
        <v>0.7</v>
      </c>
      <c r="M17" s="44"/>
      <c r="N17" s="45"/>
      <c r="O17" s="46"/>
      <c r="P17" s="35"/>
      <c r="R17" s="57"/>
      <c r="S17" s="35"/>
      <c r="U17" s="57"/>
      <c r="V17" s="35"/>
      <c r="X17" s="47">
        <f>ROUND((ROUND((_11_A通院１０．５*_11・基礎１),0)*(1+_11・A深夜)),0)+ROUND((ROUND((_11_B通院１０．５＿１．５*_11・基礎１),0)*(1+_11・B早朝)),0)+ROUND((_11_C通院１０．５＿１．５＿１．０*_11・基礎１),0)</f>
        <v>746</v>
      </c>
      <c r="Y17" s="48"/>
    </row>
    <row r="18" spans="1:25" ht="16.5" customHeight="1" x14ac:dyDescent="0.15">
      <c r="A18" s="41">
        <v>11</v>
      </c>
      <c r="B18" s="41">
        <v>3614</v>
      </c>
      <c r="C18" s="74" t="s">
        <v>5922</v>
      </c>
      <c r="D18" s="72"/>
      <c r="F18" s="72"/>
      <c r="H18" s="125">
        <f>_11_C通院１０．５＿１．５＿１．０</f>
        <v>167</v>
      </c>
      <c r="I18" s="12" t="s">
        <v>392</v>
      </c>
      <c r="J18" s="711"/>
      <c r="K18" s="37"/>
      <c r="L18" s="38"/>
      <c r="M18" s="44" t="s">
        <v>397</v>
      </c>
      <c r="N18" s="45" t="s">
        <v>398</v>
      </c>
      <c r="O18" s="46">
        <v>1</v>
      </c>
      <c r="P18" s="35"/>
      <c r="R18" s="57"/>
      <c r="S18" s="35"/>
      <c r="U18" s="57"/>
      <c r="V18" s="43"/>
      <c r="W18" s="37"/>
      <c r="X18" s="47">
        <f>ROUND((ROUND((ROUND((_11_A通院１０．５*_11・基礎１),0)*_11・２人),0)*(1+_11・A深夜)),0)+ROUND((ROUND((ROUND((_11_B通院１０．５＿１．５*_11・基礎１),0)*_11・２人),0)*(1+_11・B早朝)),0)+ROUND((ROUND((_11_C通院１０．５＿１．５＿１．０*_11・基礎１),0)*_11・２人),0)</f>
        <v>746</v>
      </c>
      <c r="Y18" s="48"/>
    </row>
    <row r="19" spans="1:25" ht="16.5" customHeight="1" x14ac:dyDescent="0.15">
      <c r="A19" s="41">
        <v>11</v>
      </c>
      <c r="B19" s="41" t="s">
        <v>5923</v>
      </c>
      <c r="C19" s="74" t="s">
        <v>5924</v>
      </c>
      <c r="D19" s="72"/>
      <c r="F19" s="72"/>
      <c r="H19" s="191"/>
      <c r="J19" s="53"/>
      <c r="K19" s="49"/>
      <c r="L19" s="50"/>
      <c r="M19" s="44"/>
      <c r="N19" s="45"/>
      <c r="O19" s="46"/>
      <c r="P19" s="35"/>
      <c r="R19" s="57"/>
      <c r="S19" s="35"/>
      <c r="U19" s="57"/>
      <c r="V19" s="707" t="s">
        <v>404</v>
      </c>
      <c r="W19" s="708"/>
      <c r="X19" s="47">
        <f>ROUND((ROUND((_11_A通院１０．５*(1+_11・A深夜)),0)*_11・初任),0)+ROUND((ROUND((_11_B通院１０．５＿１．５*(1+_11・B早朝)),0)*_11・初任),0)+ROUND((_11_C通院１０．５＿１．５＿１．０*_11・初任),0)</f>
        <v>745</v>
      </c>
      <c r="Y19" s="48"/>
    </row>
    <row r="20" spans="1:25" ht="16.5" customHeight="1" x14ac:dyDescent="0.15">
      <c r="A20" s="41">
        <v>11</v>
      </c>
      <c r="B20" s="41" t="s">
        <v>5925</v>
      </c>
      <c r="C20" s="74" t="s">
        <v>5926</v>
      </c>
      <c r="D20" s="72"/>
      <c r="F20" s="72"/>
      <c r="H20" s="192"/>
      <c r="J20" s="43"/>
      <c r="K20" s="37"/>
      <c r="L20" s="38"/>
      <c r="M20" s="44" t="s">
        <v>397</v>
      </c>
      <c r="N20" s="45" t="s">
        <v>398</v>
      </c>
      <c r="O20" s="46">
        <v>1</v>
      </c>
      <c r="P20" s="35"/>
      <c r="R20" s="57"/>
      <c r="S20" s="35"/>
      <c r="U20" s="57"/>
      <c r="V20" s="709"/>
      <c r="W20" s="704"/>
      <c r="X20" s="47">
        <f>ROUND((ROUND((ROUND((_11_A通院１０．５*_11・２人),0)*(1+_11・A深夜)),0)*_11・初任),0)+ROUND((ROUND((ROUND((_11_B通院１０．５＿１．５*_11・２人),0)*(1+_11・B早朝)),0)*_11・初任),0)+ROUND((ROUND((_11_C通院１０．５＿１．５＿１．０*_11・２人),0)*_11・初任),0)</f>
        <v>745</v>
      </c>
      <c r="Y20" s="48"/>
    </row>
    <row r="21" spans="1:25" ht="16.5" customHeight="1" x14ac:dyDescent="0.15">
      <c r="A21" s="41">
        <v>11</v>
      </c>
      <c r="B21" s="41" t="s">
        <v>5927</v>
      </c>
      <c r="C21" s="74" t="s">
        <v>5928</v>
      </c>
      <c r="D21" s="72"/>
      <c r="F21" s="72"/>
      <c r="H21" s="72"/>
      <c r="J21" s="752" t="s">
        <v>400</v>
      </c>
      <c r="K21" s="49" t="s">
        <v>398</v>
      </c>
      <c r="L21" s="50">
        <v>0.7</v>
      </c>
      <c r="M21" s="44"/>
      <c r="N21" s="45"/>
      <c r="O21" s="46"/>
      <c r="P21" s="35"/>
      <c r="R21" s="57"/>
      <c r="S21" s="35"/>
      <c r="U21" s="57"/>
      <c r="V21" s="709"/>
      <c r="W21" s="704"/>
      <c r="X21" s="47">
        <f>ROUND((ROUND((ROUND((_11_A通院１０．５*_11・基礎１),0)*(1+_11・A深夜)),0)*_11・初任),0)+ROUND((ROUND((ROUND((_11_B通院１０．５＿１．５*_11・基礎１),0)*(1+_11・B早朝)),0)*_11・初任),0)+ROUND((ROUND((_11_C通院１０．５＿１．５＿１．０*_11・基礎１),0)*_11・初任),0)</f>
        <v>522</v>
      </c>
      <c r="Y21" s="48"/>
    </row>
    <row r="22" spans="1:25" ht="16.5" customHeight="1" x14ac:dyDescent="0.15">
      <c r="A22" s="41">
        <v>11</v>
      </c>
      <c r="B22" s="41" t="s">
        <v>5929</v>
      </c>
      <c r="C22" s="74" t="s">
        <v>5930</v>
      </c>
      <c r="D22" s="72"/>
      <c r="F22" s="72"/>
      <c r="H22" s="72"/>
      <c r="J22" s="711"/>
      <c r="K22" s="37"/>
      <c r="L22" s="38"/>
      <c r="M22" s="44" t="s">
        <v>397</v>
      </c>
      <c r="N22" s="45" t="s">
        <v>398</v>
      </c>
      <c r="O22" s="46">
        <v>1</v>
      </c>
      <c r="P22" s="35"/>
      <c r="R22" s="57"/>
      <c r="S22" s="35"/>
      <c r="U22" s="57"/>
      <c r="V22" s="55" t="s">
        <v>398</v>
      </c>
      <c r="W22" s="38">
        <f>_11・初任</f>
        <v>0.7</v>
      </c>
      <c r="X22" s="47">
        <f>ROUND((ROUND((ROUND((ROUND((_11_A通院１０．５*_11・基礎１),0)*_11・２人),0)*(1+_11・A深夜)),0)*_11・初任),0)+ROUND((ROUND((ROUND((ROUND((_11_B通院１０．５＿１．５*_11・基礎１),0)*_11・２人),0)*(1+_11・B早朝)),0)*_11・初任),0)+ROUND((ROUND((ROUND((_11_C通院１０．５＿１．５＿１．０*_11・基礎１),0)*_11・２人),0)*_11・初任),0)</f>
        <v>522</v>
      </c>
      <c r="Y22" s="48"/>
    </row>
    <row r="23" spans="1:25" ht="16.5" customHeight="1" x14ac:dyDescent="0.15">
      <c r="A23" s="41">
        <v>11</v>
      </c>
      <c r="B23" s="41">
        <v>3615</v>
      </c>
      <c r="C23" s="74" t="s">
        <v>5931</v>
      </c>
      <c r="D23" s="707" t="s">
        <v>5030</v>
      </c>
      <c r="E23" s="717"/>
      <c r="F23" s="707" t="s">
        <v>1990</v>
      </c>
      <c r="G23" s="717"/>
      <c r="H23" s="707" t="s">
        <v>3643</v>
      </c>
      <c r="I23" s="717"/>
      <c r="J23" s="53"/>
      <c r="K23" s="49"/>
      <c r="L23" s="50"/>
      <c r="M23" s="44"/>
      <c r="N23" s="45"/>
      <c r="O23" s="46"/>
      <c r="P23" s="35"/>
      <c r="R23" s="57"/>
      <c r="S23" s="35"/>
      <c r="U23" s="57"/>
      <c r="V23" s="53"/>
      <c r="W23" s="49"/>
      <c r="X23" s="47">
        <f>ROUND((_11_A通院１１．０*(1+_11・A深夜)),0)+ROUND((_11_B通院１１．０＿１．５*(1+_11・B早朝)),0)+_11_C通院１１．０＿１．５＿０．５</f>
        <v>1121</v>
      </c>
      <c r="Y23" s="48"/>
    </row>
    <row r="24" spans="1:25" ht="16.5" customHeight="1" x14ac:dyDescent="0.15">
      <c r="A24" s="41">
        <v>11</v>
      </c>
      <c r="B24" s="41">
        <v>3616</v>
      </c>
      <c r="C24" s="74" t="s">
        <v>5932</v>
      </c>
      <c r="D24" s="709"/>
      <c r="E24" s="718"/>
      <c r="F24" s="709"/>
      <c r="G24" s="718"/>
      <c r="H24" s="709"/>
      <c r="I24" s="718"/>
      <c r="J24" s="43"/>
      <c r="K24" s="37"/>
      <c r="L24" s="38"/>
      <c r="M24" s="44" t="s">
        <v>397</v>
      </c>
      <c r="N24" s="45" t="s">
        <v>398</v>
      </c>
      <c r="O24" s="46">
        <v>1</v>
      </c>
      <c r="P24" s="35"/>
      <c r="R24" s="57"/>
      <c r="S24" s="35"/>
      <c r="U24" s="57"/>
      <c r="V24" s="35"/>
      <c r="X24" s="47">
        <f>ROUND((ROUND((_11_A通院１１．０*_11・２人),0)*(1+_11・A深夜)),0)+ROUND((ROUND((_11_B通院１１．０＿１．５*_11・２人),0)*(1+_11・B早朝)),0)+ROUND((_11_C通院１１．０＿１．５＿０．５*_11・２人),0)</f>
        <v>1121</v>
      </c>
      <c r="Y24" s="48"/>
    </row>
    <row r="25" spans="1:25" ht="16.5" customHeight="1" x14ac:dyDescent="0.15">
      <c r="A25" s="41">
        <v>11</v>
      </c>
      <c r="B25" s="41">
        <v>3617</v>
      </c>
      <c r="C25" s="74" t="s">
        <v>5933</v>
      </c>
      <c r="D25" s="709"/>
      <c r="E25" s="718"/>
      <c r="F25" s="709"/>
      <c r="G25" s="718"/>
      <c r="H25" s="709"/>
      <c r="I25" s="718"/>
      <c r="J25" s="752" t="s">
        <v>400</v>
      </c>
      <c r="K25" s="49" t="s">
        <v>398</v>
      </c>
      <c r="L25" s="50">
        <v>0.7</v>
      </c>
      <c r="M25" s="44"/>
      <c r="N25" s="45"/>
      <c r="O25" s="46"/>
      <c r="P25" s="35"/>
      <c r="R25" s="57"/>
      <c r="S25" s="35"/>
      <c r="U25" s="57"/>
      <c r="V25" s="35"/>
      <c r="X25" s="47">
        <f>ROUND((ROUND((_11_A通院１１．０*_11・基礎１),0)*(1+_11・A深夜)),0)+ROUND((ROUND((_11_B通院１１．０＿１．５*_11・基礎１),0)*(1+_11・B早朝)),0)+ROUND((_11_C通院１１．０＿１．５＿０．５*_11・基礎１),0)</f>
        <v>785</v>
      </c>
      <c r="Y25" s="48"/>
    </row>
    <row r="26" spans="1:25" ht="16.5" customHeight="1" x14ac:dyDescent="0.15">
      <c r="A26" s="41">
        <v>11</v>
      </c>
      <c r="B26" s="41">
        <v>3618</v>
      </c>
      <c r="C26" s="74" t="s">
        <v>5934</v>
      </c>
      <c r="D26" s="125">
        <f>_11_A通院１１．０</f>
        <v>402</v>
      </c>
      <c r="E26" s="12" t="s">
        <v>392</v>
      </c>
      <c r="F26" s="125">
        <f>_11_B通院１１．０＿１．５</f>
        <v>348</v>
      </c>
      <c r="G26" s="12" t="s">
        <v>392</v>
      </c>
      <c r="H26" s="125">
        <f>_11_C通院１１．０＿１．５＿０．５</f>
        <v>83</v>
      </c>
      <c r="I26" s="12" t="s">
        <v>392</v>
      </c>
      <c r="J26" s="711"/>
      <c r="K26" s="37"/>
      <c r="L26" s="38"/>
      <c r="M26" s="44" t="s">
        <v>397</v>
      </c>
      <c r="N26" s="45" t="s">
        <v>398</v>
      </c>
      <c r="O26" s="46">
        <v>1</v>
      </c>
      <c r="P26" s="35"/>
      <c r="R26" s="57"/>
      <c r="S26" s="35"/>
      <c r="U26" s="57"/>
      <c r="V26" s="43"/>
      <c r="W26" s="37"/>
      <c r="X26" s="47">
        <f>ROUND((ROUND((ROUND((_11_A通院１１．０*_11・基礎１),0)*_11・２人),0)*(1+_11・A深夜)),0)+ROUND((ROUND((ROUND((_11_B通院１１．０＿１．５*_11・基礎１),0)*_11・２人),0)*(1+_11・B早朝)),0)+ROUND((ROUND((_11_C通院１１．０＿１．５＿０．５*_11・基礎１),0)*_11・２人),0)</f>
        <v>785</v>
      </c>
      <c r="Y26" s="48"/>
    </row>
    <row r="27" spans="1:25" ht="16.5" customHeight="1" x14ac:dyDescent="0.15">
      <c r="A27" s="41">
        <v>11</v>
      </c>
      <c r="B27" s="41" t="s">
        <v>5935</v>
      </c>
      <c r="C27" s="74" t="s">
        <v>5936</v>
      </c>
      <c r="D27" s="121"/>
      <c r="F27" s="121"/>
      <c r="H27" s="121"/>
      <c r="J27" s="53"/>
      <c r="K27" s="49"/>
      <c r="L27" s="50"/>
      <c r="M27" s="44"/>
      <c r="N27" s="45"/>
      <c r="O27" s="46"/>
      <c r="P27" s="35"/>
      <c r="R27" s="57"/>
      <c r="S27" s="35"/>
      <c r="U27" s="57"/>
      <c r="V27" s="707" t="s">
        <v>404</v>
      </c>
      <c r="W27" s="708"/>
      <c r="X27" s="47">
        <f>ROUND((ROUND((_11_A通院１１．０*(1+_11・A深夜)),0)*_11・初任),0)+ROUND((ROUND((_11_B通院１１．０＿１．５*(1+_11・B早朝)),0)*_11・初任),0)+ROUND((_11_C通院１１．０＿１．５＿０．５*_11・初任),0)</f>
        <v>785</v>
      </c>
      <c r="Y27" s="48"/>
    </row>
    <row r="28" spans="1:25" ht="16.5" customHeight="1" x14ac:dyDescent="0.15">
      <c r="A28" s="41">
        <v>11</v>
      </c>
      <c r="B28" s="41" t="s">
        <v>5937</v>
      </c>
      <c r="C28" s="74" t="s">
        <v>5938</v>
      </c>
      <c r="D28" s="121"/>
      <c r="F28" s="121"/>
      <c r="H28" s="121"/>
      <c r="J28" s="43"/>
      <c r="K28" s="37"/>
      <c r="L28" s="38"/>
      <c r="M28" s="44" t="s">
        <v>397</v>
      </c>
      <c r="N28" s="45" t="s">
        <v>398</v>
      </c>
      <c r="O28" s="46">
        <v>1</v>
      </c>
      <c r="P28" s="35"/>
      <c r="R28" s="57"/>
      <c r="S28" s="35"/>
      <c r="U28" s="57"/>
      <c r="V28" s="709"/>
      <c r="W28" s="704"/>
      <c r="X28" s="47">
        <f>ROUND((ROUND((ROUND((_11_A通院１１．０*_11・２人),0)*(1+_11・A深夜)),0)*_11・初任),0)+ROUND((ROUND((ROUND((_11_B通院１１．０＿１．５*_11・２人),0)*(1+_11・B早朝)),0)*_11・初任),0)+ROUND((ROUND((_11_C通院１１．０＿１．５＿０．５*_11・２人),0)*_11・初任),0)</f>
        <v>785</v>
      </c>
      <c r="Y28" s="48"/>
    </row>
    <row r="29" spans="1:25" ht="16.5" customHeight="1" x14ac:dyDescent="0.15">
      <c r="A29" s="41">
        <v>11</v>
      </c>
      <c r="B29" s="41" t="s">
        <v>5939</v>
      </c>
      <c r="C29" s="74" t="s">
        <v>5940</v>
      </c>
      <c r="D29" s="72"/>
      <c r="F29" s="72"/>
      <c r="H29" s="72"/>
      <c r="J29" s="752" t="s">
        <v>400</v>
      </c>
      <c r="K29" s="49" t="s">
        <v>398</v>
      </c>
      <c r="L29" s="50">
        <v>0.7</v>
      </c>
      <c r="M29" s="44"/>
      <c r="N29" s="45"/>
      <c r="O29" s="46"/>
      <c r="P29" s="35"/>
      <c r="R29" s="57"/>
      <c r="S29" s="35"/>
      <c r="U29" s="57"/>
      <c r="V29" s="709"/>
      <c r="W29" s="704"/>
      <c r="X29" s="47">
        <f>ROUND((ROUND((ROUND((_11_A通院１１．０*_11・基礎１),0)*(1+_11・A深夜)),0)*_11・初任),0)+ROUND((ROUND((ROUND((_11_B通院１１．０＿１．５*_11・基礎１),0)*(1+_11・B早朝)),0)*_11・初任),0)+ROUND((ROUND((_11_C通院１１．０＿１．５＿０．５*_11・基礎１),0)*_11・初任),0)</f>
        <v>550</v>
      </c>
      <c r="Y29" s="48"/>
    </row>
    <row r="30" spans="1:25" ht="16.5" customHeight="1" x14ac:dyDescent="0.15">
      <c r="A30" s="41">
        <v>11</v>
      </c>
      <c r="B30" s="41" t="s">
        <v>5941</v>
      </c>
      <c r="C30" s="74" t="s">
        <v>5942</v>
      </c>
      <c r="D30" s="72"/>
      <c r="F30" s="72"/>
      <c r="H30" s="72"/>
      <c r="J30" s="711"/>
      <c r="K30" s="37"/>
      <c r="L30" s="38"/>
      <c r="M30" s="44" t="s">
        <v>397</v>
      </c>
      <c r="N30" s="45" t="s">
        <v>398</v>
      </c>
      <c r="O30" s="46">
        <v>1</v>
      </c>
      <c r="P30" s="35"/>
      <c r="R30" s="57"/>
      <c r="S30" s="35"/>
      <c r="U30" s="57"/>
      <c r="V30" s="55" t="s">
        <v>398</v>
      </c>
      <c r="W30" s="38">
        <f>_11・初任</f>
        <v>0.7</v>
      </c>
      <c r="X30" s="47">
        <f>ROUND((ROUND((ROUND((ROUND((_11_A通院１１．０*_11・基礎１),0)*_11・２人),0)*(1+_11・A深夜)),0)*_11・初任),0)+ROUND((ROUND((ROUND((ROUND((_11_B通院１１．０＿１．５*_11・基礎１),0)*_11・２人),0)*(1+_11・B早朝)),0)*_11・初任),0)+ROUND((ROUND((ROUND((_11_C通院１１．０＿１．５＿０．５*_11・基礎１),0)*_11・２人),0)*_11・初任),0)</f>
        <v>550</v>
      </c>
      <c r="Y30" s="48"/>
    </row>
    <row r="31" spans="1:25" ht="16.5" customHeight="1" x14ac:dyDescent="0.15">
      <c r="A31" s="41">
        <v>11</v>
      </c>
      <c r="B31" s="41">
        <v>3619</v>
      </c>
      <c r="C31" s="74" t="s">
        <v>5943</v>
      </c>
      <c r="D31" s="707" t="s">
        <v>2027</v>
      </c>
      <c r="E31" s="717"/>
      <c r="F31" s="707" t="s">
        <v>2028</v>
      </c>
      <c r="G31" s="717"/>
      <c r="H31" s="707" t="s">
        <v>3643</v>
      </c>
      <c r="I31" s="717"/>
      <c r="J31" s="53"/>
      <c r="K31" s="49"/>
      <c r="L31" s="50"/>
      <c r="M31" s="44"/>
      <c r="N31" s="45"/>
      <c r="O31" s="46"/>
      <c r="P31" s="35"/>
      <c r="R31" s="57"/>
      <c r="S31" s="35"/>
      <c r="U31" s="57"/>
      <c r="V31" s="53"/>
      <c r="W31" s="49"/>
      <c r="X31" s="47">
        <f>ROUND((_11_A通院１０．５*(1+_11・A深夜)),0)+ROUND((_11_B通院１０．５＿１．０*(1+_11・B早朝)),0)+_11_C通院１０．５＿１．０＿０．５</f>
        <v>876</v>
      </c>
      <c r="Y31" s="48"/>
    </row>
    <row r="32" spans="1:25" ht="16.5" customHeight="1" x14ac:dyDescent="0.15">
      <c r="A32" s="41">
        <v>11</v>
      </c>
      <c r="B32" s="41">
        <v>3620</v>
      </c>
      <c r="C32" s="74" t="s">
        <v>5944</v>
      </c>
      <c r="D32" s="709"/>
      <c r="E32" s="718"/>
      <c r="F32" s="709"/>
      <c r="G32" s="718"/>
      <c r="H32" s="709"/>
      <c r="I32" s="718"/>
      <c r="J32" s="43"/>
      <c r="K32" s="37"/>
      <c r="L32" s="38"/>
      <c r="M32" s="44" t="s">
        <v>397</v>
      </c>
      <c r="N32" s="45" t="s">
        <v>398</v>
      </c>
      <c r="O32" s="46">
        <v>1</v>
      </c>
      <c r="P32" s="35"/>
      <c r="R32" s="57"/>
      <c r="S32" s="35"/>
      <c r="U32" s="57"/>
      <c r="V32" s="35"/>
      <c r="X32" s="47">
        <f>ROUND((ROUND((_11_A通院１０．５*_11・２人),0)*(1+_11・A深夜)),0)+ROUND((ROUND((_11_B通院１０．５＿１．０*_11・２人),0)*(1+_11・B早朝)),0)+ROUND((_11_C通院１０．５＿１．０＿０．５*_11・２人),0)</f>
        <v>876</v>
      </c>
      <c r="Y32" s="48"/>
    </row>
    <row r="33" spans="1:25" ht="16.5" customHeight="1" x14ac:dyDescent="0.15">
      <c r="A33" s="41">
        <v>11</v>
      </c>
      <c r="B33" s="41">
        <v>3621</v>
      </c>
      <c r="C33" s="74" t="s">
        <v>5945</v>
      </c>
      <c r="D33" s="709"/>
      <c r="E33" s="718"/>
      <c r="F33" s="709"/>
      <c r="G33" s="718"/>
      <c r="H33" s="709"/>
      <c r="I33" s="718"/>
      <c r="J33" s="752" t="s">
        <v>400</v>
      </c>
      <c r="K33" s="49" t="s">
        <v>398</v>
      </c>
      <c r="L33" s="50">
        <v>0.7</v>
      </c>
      <c r="M33" s="44"/>
      <c r="N33" s="45"/>
      <c r="O33" s="46"/>
      <c r="P33" s="35"/>
      <c r="R33" s="57"/>
      <c r="S33" s="35"/>
      <c r="U33" s="57"/>
      <c r="V33" s="35"/>
      <c r="X33" s="47">
        <f>ROUND((ROUND((_11_A通院１０．５*_11・基礎１),0)*(1+_11・A深夜)),0)+ROUND((ROUND((_11_B通院１０．５＿１．０*_11・基礎１),0)*(1+_11・B早朝)),0)+ROUND((_11_C通院１０．５＿１．０＿０．５*_11・基礎１),0)</f>
        <v>614</v>
      </c>
      <c r="Y33" s="48"/>
    </row>
    <row r="34" spans="1:25" ht="16.5" customHeight="1" x14ac:dyDescent="0.15">
      <c r="A34" s="41">
        <v>11</v>
      </c>
      <c r="B34" s="41">
        <v>3622</v>
      </c>
      <c r="C34" s="74" t="s">
        <v>5946</v>
      </c>
      <c r="D34" s="125">
        <f>_11_A通院１０．５</f>
        <v>255</v>
      </c>
      <c r="E34" s="12" t="s">
        <v>392</v>
      </c>
      <c r="F34" s="125">
        <f>_11_B通院１０．５＿１．０</f>
        <v>329</v>
      </c>
      <c r="G34" s="12" t="s">
        <v>392</v>
      </c>
      <c r="H34" s="125">
        <f>_11_C通院１０．５＿１．０＿０．５</f>
        <v>82</v>
      </c>
      <c r="I34" s="12" t="s">
        <v>392</v>
      </c>
      <c r="J34" s="711"/>
      <c r="K34" s="37"/>
      <c r="L34" s="38"/>
      <c r="M34" s="44" t="s">
        <v>397</v>
      </c>
      <c r="N34" s="45" t="s">
        <v>398</v>
      </c>
      <c r="O34" s="46">
        <v>1</v>
      </c>
      <c r="P34" s="35"/>
      <c r="R34" s="57"/>
      <c r="S34" s="35"/>
      <c r="U34" s="57"/>
      <c r="V34" s="43"/>
      <c r="W34" s="37"/>
      <c r="X34" s="47">
        <f>ROUND((ROUND((ROUND((_11_A通院１０．５*_11・基礎１),0)*_11・２人),0)*(1+_11・A深夜)),0)+ROUND((ROUND((ROUND((_11_B通院１０．５＿１．０*_11・基礎１),0)*_11・２人),0)*(1+_11・B早朝)),0)+ROUND((ROUND((_11_C通院１０．５＿１．０＿０．５*_11・基礎１),0)*_11・２人),0)</f>
        <v>614</v>
      </c>
      <c r="Y34" s="48"/>
    </row>
    <row r="35" spans="1:25" ht="16.5" customHeight="1" x14ac:dyDescent="0.15">
      <c r="A35" s="41">
        <v>11</v>
      </c>
      <c r="B35" s="41" t="s">
        <v>5947</v>
      </c>
      <c r="C35" s="74" t="s">
        <v>5948</v>
      </c>
      <c r="D35" s="121"/>
      <c r="F35" s="121"/>
      <c r="H35" s="72"/>
      <c r="J35" s="53"/>
      <c r="K35" s="49"/>
      <c r="L35" s="50"/>
      <c r="M35" s="44"/>
      <c r="N35" s="45"/>
      <c r="O35" s="46"/>
      <c r="P35" s="35"/>
      <c r="R35" s="57"/>
      <c r="S35" s="35"/>
      <c r="U35" s="57"/>
      <c r="V35" s="707" t="s">
        <v>404</v>
      </c>
      <c r="W35" s="708"/>
      <c r="X35" s="47">
        <f>ROUND((ROUND((_11_A通院１０．５*(1+_11・A深夜)),0)*_11・初任),0)+ROUND((ROUND((_11_B通院１０．５＿１．０*(1+_11・B早朝)),0)*_11・初任),0)+ROUND((_11_C通院１０．５＿１．０＿０．５*_11・初任),0)</f>
        <v>613</v>
      </c>
      <c r="Y35" s="48"/>
    </row>
    <row r="36" spans="1:25" ht="16.5" customHeight="1" x14ac:dyDescent="0.15">
      <c r="A36" s="41">
        <v>11</v>
      </c>
      <c r="B36" s="41" t="s">
        <v>5949</v>
      </c>
      <c r="C36" s="74" t="s">
        <v>5950</v>
      </c>
      <c r="D36" s="121"/>
      <c r="F36" s="121"/>
      <c r="H36" s="72"/>
      <c r="J36" s="43"/>
      <c r="K36" s="37"/>
      <c r="L36" s="38"/>
      <c r="M36" s="44" t="s">
        <v>397</v>
      </c>
      <c r="N36" s="45" t="s">
        <v>398</v>
      </c>
      <c r="O36" s="46">
        <v>1</v>
      </c>
      <c r="P36" s="35"/>
      <c r="R36" s="57"/>
      <c r="S36" s="35"/>
      <c r="U36" s="57"/>
      <c r="V36" s="709"/>
      <c r="W36" s="704"/>
      <c r="X36" s="47">
        <f>ROUND((ROUND((ROUND((_11_A通院１０．５*_11・２人),0)*(1+_11・A深夜)),0)*_11・初任),0)+ROUND((ROUND((ROUND((_11_B通院１０．５＿１．０*_11・２人),0)*(1+_11・B早朝)),0)*_11・初任),0)+ROUND((ROUND((_11_C通院１０．５＿１．０＿０．５*_11・２人),0)*_11・初任),0)</f>
        <v>613</v>
      </c>
      <c r="Y36" s="48"/>
    </row>
    <row r="37" spans="1:25" ht="16.5" customHeight="1" x14ac:dyDescent="0.15">
      <c r="A37" s="41">
        <v>11</v>
      </c>
      <c r="B37" s="41" t="s">
        <v>5951</v>
      </c>
      <c r="C37" s="74" t="s">
        <v>5952</v>
      </c>
      <c r="D37" s="72"/>
      <c r="F37" s="72"/>
      <c r="H37" s="72"/>
      <c r="J37" s="752" t="s">
        <v>400</v>
      </c>
      <c r="K37" s="49" t="s">
        <v>398</v>
      </c>
      <c r="L37" s="50">
        <v>0.7</v>
      </c>
      <c r="M37" s="44"/>
      <c r="N37" s="45"/>
      <c r="O37" s="46"/>
      <c r="P37" s="35"/>
      <c r="R37" s="57"/>
      <c r="S37" s="35"/>
      <c r="U37" s="57"/>
      <c r="V37" s="709"/>
      <c r="W37" s="704"/>
      <c r="X37" s="47">
        <f>ROUND((ROUND((ROUND((_11_A通院１０．５*_11・基礎１),0)*(1+_11・A深夜)),0)*_11・初任),0)+ROUND((ROUND((ROUND((_11_B通院１０．５＿１．０*_11・基礎１),0)*(1+_11・B早朝)),0)*_11・初任),0)+ROUND((ROUND((_11_C通院１０．５＿１．０＿０．５*_11・基礎１),0)*_11・初任),0)</f>
        <v>430</v>
      </c>
      <c r="Y37" s="48"/>
    </row>
    <row r="38" spans="1:25" ht="16.5" customHeight="1" x14ac:dyDescent="0.15">
      <c r="A38" s="41">
        <v>11</v>
      </c>
      <c r="B38" s="41" t="s">
        <v>5953</v>
      </c>
      <c r="C38" s="74" t="s">
        <v>5954</v>
      </c>
      <c r="D38" s="72"/>
      <c r="F38" s="72"/>
      <c r="H38" s="72"/>
      <c r="J38" s="711"/>
      <c r="K38" s="37"/>
      <c r="L38" s="38"/>
      <c r="M38" s="44" t="s">
        <v>397</v>
      </c>
      <c r="N38" s="45" t="s">
        <v>398</v>
      </c>
      <c r="O38" s="46">
        <v>1</v>
      </c>
      <c r="P38" s="35"/>
      <c r="R38" s="57"/>
      <c r="S38" s="35"/>
      <c r="U38" s="57"/>
      <c r="V38" s="55" t="s">
        <v>398</v>
      </c>
      <c r="W38" s="38">
        <f>_11・初任</f>
        <v>0.7</v>
      </c>
      <c r="X38" s="47">
        <f>ROUND((ROUND((ROUND((ROUND((_11_A通院１０．５*_11・基礎１),0)*_11・２人),0)*(1+_11・A深夜)),0)*_11・初任),0)+ROUND((ROUND((ROUND((ROUND((_11_B通院１０．５＿１．０*_11・基礎１),0)*_11・２人),0)*(1+_11・B早朝)),0)*_11・初任),0)+ROUND((ROUND((ROUND((_11_C通院１０．５＿１．０＿０．５*_11・基礎１),0)*_11・２人),0)*_11・初任),0)</f>
        <v>430</v>
      </c>
      <c r="Y38" s="48"/>
    </row>
    <row r="39" spans="1:25" ht="16.5" customHeight="1" x14ac:dyDescent="0.15">
      <c r="A39" s="41">
        <v>11</v>
      </c>
      <c r="B39" s="41">
        <v>3623</v>
      </c>
      <c r="C39" s="74" t="s">
        <v>5955</v>
      </c>
      <c r="D39" s="132"/>
      <c r="E39" s="106"/>
      <c r="F39" s="193"/>
      <c r="G39" s="194"/>
      <c r="H39" s="707" t="s">
        <v>3650</v>
      </c>
      <c r="I39" s="717"/>
      <c r="J39" s="53"/>
      <c r="K39" s="49"/>
      <c r="L39" s="50"/>
      <c r="M39" s="44"/>
      <c r="N39" s="45"/>
      <c r="O39" s="46"/>
      <c r="P39" s="35"/>
      <c r="R39" s="57"/>
      <c r="S39" s="35"/>
      <c r="U39" s="57"/>
      <c r="V39" s="53"/>
      <c r="W39" s="49"/>
      <c r="X39" s="47">
        <f>ROUND((_11_A通院１０．５*(1+_11・A深夜)),0)+ROUND((_11_B通院１０．５＿１．０*(1+_11・B早朝)),0)+_11_C通院１０．５＿１．０＿１．０</f>
        <v>960</v>
      </c>
      <c r="Y39" s="48"/>
    </row>
    <row r="40" spans="1:25" ht="16.5" customHeight="1" x14ac:dyDescent="0.15">
      <c r="A40" s="41">
        <v>11</v>
      </c>
      <c r="B40" s="41">
        <v>3624</v>
      </c>
      <c r="C40" s="74" t="s">
        <v>5956</v>
      </c>
      <c r="D40" s="132"/>
      <c r="E40" s="106"/>
      <c r="F40" s="195"/>
      <c r="G40" s="194"/>
      <c r="H40" s="709"/>
      <c r="I40" s="718"/>
      <c r="J40" s="43"/>
      <c r="K40" s="37"/>
      <c r="L40" s="38"/>
      <c r="M40" s="44" t="s">
        <v>397</v>
      </c>
      <c r="N40" s="45" t="s">
        <v>398</v>
      </c>
      <c r="O40" s="46">
        <v>1</v>
      </c>
      <c r="P40" s="35"/>
      <c r="R40" s="57"/>
      <c r="S40" s="35"/>
      <c r="U40" s="57"/>
      <c r="V40" s="35"/>
      <c r="X40" s="47">
        <f>ROUND((ROUND((_11_A通院１０．５*_11・２人),0)*(1+_11・A深夜)),0)+ROUND((ROUND((_11_B通院１０．５＿１．０*_11・２人),0)*(1+_11・B早朝)),0)+ROUND((_11_C通院１０．５＿１．０＿１．０*_11・２人),0)</f>
        <v>960</v>
      </c>
      <c r="Y40" s="48"/>
    </row>
    <row r="41" spans="1:25" ht="16.5" customHeight="1" x14ac:dyDescent="0.15">
      <c r="A41" s="41">
        <v>11</v>
      </c>
      <c r="B41" s="41">
        <v>3625</v>
      </c>
      <c r="C41" s="74" t="s">
        <v>5957</v>
      </c>
      <c r="D41" s="132"/>
      <c r="E41" s="106"/>
      <c r="F41" s="195"/>
      <c r="G41" s="194"/>
      <c r="H41" s="709"/>
      <c r="I41" s="718"/>
      <c r="J41" s="752" t="s">
        <v>400</v>
      </c>
      <c r="K41" s="49" t="s">
        <v>398</v>
      </c>
      <c r="L41" s="50">
        <v>0.7</v>
      </c>
      <c r="M41" s="44"/>
      <c r="N41" s="45"/>
      <c r="O41" s="46"/>
      <c r="P41" s="35"/>
      <c r="R41" s="57"/>
      <c r="S41" s="35"/>
      <c r="U41" s="57"/>
      <c r="V41" s="35"/>
      <c r="X41" s="47">
        <f>ROUND((ROUND((_11_A通院１０．５*_11・基礎１),0)*(1+_11・A深夜)),0)+ROUND((ROUND((_11_B通院１０．５＿１．０*_11・基礎１),0)*(1+_11・B早朝)),0)+ROUND((_11_C通院１０．５＿１．０＿１．０*_11・基礎１),0)</f>
        <v>673</v>
      </c>
      <c r="Y41" s="48"/>
    </row>
    <row r="42" spans="1:25" ht="16.5" customHeight="1" x14ac:dyDescent="0.15">
      <c r="A42" s="41">
        <v>11</v>
      </c>
      <c r="B42" s="41">
        <v>3626</v>
      </c>
      <c r="C42" s="74" t="s">
        <v>5958</v>
      </c>
      <c r="D42" s="125"/>
      <c r="E42" s="57"/>
      <c r="F42" s="196"/>
      <c r="G42" s="197"/>
      <c r="H42" s="125">
        <f>_11_C通院１０．５＿１．０＿１．０</f>
        <v>166</v>
      </c>
      <c r="I42" s="12" t="s">
        <v>392</v>
      </c>
      <c r="J42" s="711"/>
      <c r="K42" s="37"/>
      <c r="L42" s="38"/>
      <c r="M42" s="44" t="s">
        <v>397</v>
      </c>
      <c r="N42" s="45" t="s">
        <v>398</v>
      </c>
      <c r="O42" s="46">
        <v>1</v>
      </c>
      <c r="P42" s="35"/>
      <c r="R42" s="57"/>
      <c r="S42" s="35"/>
      <c r="U42" s="57"/>
      <c r="V42" s="43"/>
      <c r="W42" s="37"/>
      <c r="X42" s="47">
        <f>ROUND((ROUND((ROUND((_11_A通院１０．５*_11・基礎１),0)*_11・２人),0)*(1+_11・A深夜)),0)+ROUND((ROUND((ROUND((_11_B通院１０．５＿１．０*_11・基礎１),0)*_11・２人),0)*(1+_11・B早朝)),0)+ROUND((ROUND((_11_C通院１０．５＿１．０＿１．０*_11・基礎１),0)*_11・２人),0)</f>
        <v>673</v>
      </c>
      <c r="Y42" s="48"/>
    </row>
    <row r="43" spans="1:25" ht="16.5" customHeight="1" x14ac:dyDescent="0.15">
      <c r="A43" s="41">
        <v>11</v>
      </c>
      <c r="B43" s="41" t="s">
        <v>5959</v>
      </c>
      <c r="C43" s="74" t="s">
        <v>5960</v>
      </c>
      <c r="D43" s="72"/>
      <c r="E43" s="57"/>
      <c r="F43" s="198"/>
      <c r="G43" s="197"/>
      <c r="H43" s="121"/>
      <c r="J43" s="53"/>
      <c r="K43" s="49"/>
      <c r="L43" s="50"/>
      <c r="M43" s="44"/>
      <c r="N43" s="45"/>
      <c r="O43" s="46"/>
      <c r="P43" s="35"/>
      <c r="R43" s="57"/>
      <c r="S43" s="35"/>
      <c r="U43" s="57"/>
      <c r="V43" s="707" t="s">
        <v>404</v>
      </c>
      <c r="W43" s="708"/>
      <c r="X43" s="47">
        <f>ROUND((ROUND((_11_A通院１０．５*(1+_11・A深夜)),0)*_11・初任),0)+ROUND((ROUND((_11_B通院１０．５＿１．０*(1+_11・B早朝)),0)*_11・初任),0)+ROUND((_11_C通院１０．５＿１．０＿１．０*_11・初任),0)</f>
        <v>672</v>
      </c>
      <c r="Y43" s="48"/>
    </row>
    <row r="44" spans="1:25" ht="16.5" customHeight="1" x14ac:dyDescent="0.15">
      <c r="A44" s="41">
        <v>11</v>
      </c>
      <c r="B44" s="41" t="s">
        <v>5961</v>
      </c>
      <c r="C44" s="74" t="s">
        <v>5962</v>
      </c>
      <c r="D44" s="72"/>
      <c r="F44" s="72"/>
      <c r="H44" s="121"/>
      <c r="J44" s="43"/>
      <c r="K44" s="37"/>
      <c r="L44" s="38"/>
      <c r="M44" s="44" t="s">
        <v>397</v>
      </c>
      <c r="N44" s="45" t="s">
        <v>398</v>
      </c>
      <c r="O44" s="46">
        <v>1</v>
      </c>
      <c r="P44" s="35"/>
      <c r="R44" s="57"/>
      <c r="S44" s="35"/>
      <c r="U44" s="57"/>
      <c r="V44" s="709"/>
      <c r="W44" s="704"/>
      <c r="X44" s="47">
        <f>ROUND((ROUND((ROUND((_11_A通院１０．５*_11・２人),0)*(1+_11・A深夜)),0)*_11・初任),0)+ROUND((ROUND((ROUND((_11_B通院１０．５＿１．０*_11・２人),0)*(1+_11・B早朝)),0)*_11・初任),0)+ROUND((ROUND((_11_C通院１０．５＿１．０＿１．０*_11・２人),0)*_11・初任),0)</f>
        <v>672</v>
      </c>
      <c r="Y44" s="48"/>
    </row>
    <row r="45" spans="1:25" ht="16.5" customHeight="1" x14ac:dyDescent="0.15">
      <c r="A45" s="41">
        <v>11</v>
      </c>
      <c r="B45" s="41" t="s">
        <v>5963</v>
      </c>
      <c r="C45" s="74" t="s">
        <v>5964</v>
      </c>
      <c r="D45" s="72"/>
      <c r="F45" s="72"/>
      <c r="H45" s="72"/>
      <c r="J45" s="752" t="s">
        <v>400</v>
      </c>
      <c r="K45" s="49" t="s">
        <v>398</v>
      </c>
      <c r="L45" s="50">
        <v>0.7</v>
      </c>
      <c r="M45" s="44"/>
      <c r="N45" s="45"/>
      <c r="O45" s="46"/>
      <c r="P45" s="35"/>
      <c r="R45" s="57"/>
      <c r="S45" s="35"/>
      <c r="U45" s="57"/>
      <c r="V45" s="709"/>
      <c r="W45" s="704"/>
      <c r="X45" s="47">
        <f>ROUND((ROUND((ROUND((_11_A通院１０．５*_11・基礎１),0)*(1+_11・A深夜)),0)*_11・初任),0)+ROUND((ROUND((ROUND((_11_B通院１０．５＿１．０*_11・基礎１),0)*(1+_11・B早朝)),0)*_11・初任),0)+ROUND((ROUND((_11_C通院１０．５＿１．０＿１．０*_11・基礎１),0)*_11・初任),0)</f>
        <v>471</v>
      </c>
      <c r="Y45" s="48"/>
    </row>
    <row r="46" spans="1:25" ht="16.5" customHeight="1" x14ac:dyDescent="0.15">
      <c r="A46" s="41">
        <v>11</v>
      </c>
      <c r="B46" s="41" t="s">
        <v>5965</v>
      </c>
      <c r="C46" s="74" t="s">
        <v>5966</v>
      </c>
      <c r="D46" s="72"/>
      <c r="F46" s="72"/>
      <c r="H46" s="72"/>
      <c r="J46" s="711"/>
      <c r="K46" s="37"/>
      <c r="L46" s="38"/>
      <c r="M46" s="44" t="s">
        <v>397</v>
      </c>
      <c r="N46" s="45" t="s">
        <v>398</v>
      </c>
      <c r="O46" s="46">
        <v>1</v>
      </c>
      <c r="P46" s="35"/>
      <c r="R46" s="57"/>
      <c r="S46" s="35"/>
      <c r="U46" s="57"/>
      <c r="V46" s="55" t="s">
        <v>398</v>
      </c>
      <c r="W46" s="38">
        <f>_11・初任</f>
        <v>0.7</v>
      </c>
      <c r="X46" s="47">
        <f>ROUND((ROUND((ROUND((ROUND((_11_A通院１０．５*_11・基礎１),0)*_11・２人),0)*(1+_11・A深夜)),0)*_11・初任),0)+ROUND((ROUND((ROUND((ROUND((_11_B通院１０．５＿１．０*_11・基礎１),0)*_11・２人),0)*(1+_11・B早朝)),0)*_11・初任),0)+ROUND((ROUND((ROUND((_11_C通院１０．５＿１．０＿１．０*_11・基礎１),0)*_11・２人),0)*_11・初任),0)</f>
        <v>471</v>
      </c>
      <c r="Y46" s="48"/>
    </row>
    <row r="47" spans="1:25" ht="16.5" customHeight="1" x14ac:dyDescent="0.15">
      <c r="A47" s="41">
        <v>11</v>
      </c>
      <c r="B47" s="41">
        <v>3627</v>
      </c>
      <c r="C47" s="74" t="s">
        <v>5967</v>
      </c>
      <c r="D47" s="72"/>
      <c r="F47" s="72"/>
      <c r="H47" s="707" t="s">
        <v>1253</v>
      </c>
      <c r="I47" s="717"/>
      <c r="J47" s="53"/>
      <c r="K47" s="49"/>
      <c r="L47" s="50"/>
      <c r="M47" s="44"/>
      <c r="N47" s="45"/>
      <c r="O47" s="46"/>
      <c r="P47" s="35"/>
      <c r="R47" s="57"/>
      <c r="S47" s="35"/>
      <c r="U47" s="57"/>
      <c r="V47" s="53"/>
      <c r="W47" s="49"/>
      <c r="X47" s="47">
        <f>ROUND((_11_A通院１０．５*(1+_11・A深夜)),0)+ROUND((_11_B通院１０．５＿１．０*(1+_11・B早朝)),0)+_11_C通院１０．５＿１．０＿１．５</f>
        <v>1043</v>
      </c>
      <c r="Y47" s="48"/>
    </row>
    <row r="48" spans="1:25" ht="16.5" customHeight="1" x14ac:dyDescent="0.15">
      <c r="A48" s="41">
        <v>11</v>
      </c>
      <c r="B48" s="41">
        <v>3628</v>
      </c>
      <c r="C48" s="74" t="s">
        <v>5968</v>
      </c>
      <c r="D48" s="72"/>
      <c r="F48" s="72"/>
      <c r="H48" s="709"/>
      <c r="I48" s="718"/>
      <c r="J48" s="43"/>
      <c r="K48" s="37"/>
      <c r="L48" s="38"/>
      <c r="M48" s="44" t="s">
        <v>397</v>
      </c>
      <c r="N48" s="45" t="s">
        <v>398</v>
      </c>
      <c r="O48" s="46">
        <v>1</v>
      </c>
      <c r="P48" s="35"/>
      <c r="R48" s="57"/>
      <c r="S48" s="35"/>
      <c r="U48" s="57"/>
      <c r="V48" s="35"/>
      <c r="X48" s="47">
        <f>ROUND((ROUND((_11_A通院１０．５*_11・２人),0)*(1+_11・A深夜)),0)+ROUND((ROUND((_11_B通院１０．５＿１．０*_11・２人),0)*(1+_11・B早朝)),0)+ROUND((_11_C通院１０．５＿１．０＿１．５*_11・２人),0)</f>
        <v>1043</v>
      </c>
      <c r="Y48" s="48"/>
    </row>
    <row r="49" spans="1:25" ht="16.5" customHeight="1" x14ac:dyDescent="0.15">
      <c r="A49" s="41">
        <v>11</v>
      </c>
      <c r="B49" s="41">
        <v>3629</v>
      </c>
      <c r="C49" s="74" t="s">
        <v>5969</v>
      </c>
      <c r="D49" s="72"/>
      <c r="F49" s="72"/>
      <c r="H49" s="709"/>
      <c r="I49" s="718"/>
      <c r="J49" s="752" t="s">
        <v>400</v>
      </c>
      <c r="K49" s="49" t="s">
        <v>398</v>
      </c>
      <c r="L49" s="50">
        <v>0.7</v>
      </c>
      <c r="M49" s="44"/>
      <c r="N49" s="45"/>
      <c r="O49" s="46"/>
      <c r="P49" s="35"/>
      <c r="R49" s="57"/>
      <c r="S49" s="35"/>
      <c r="U49" s="57"/>
      <c r="V49" s="35"/>
      <c r="X49" s="47">
        <f>ROUND((ROUND((_11_A通院１０．５*_11・基礎１),0)*(1+_11・A深夜)),0)+ROUND((ROUND((_11_B通院１０．５＿１．０*_11・基礎１),0)*(1+_11・B早朝)),0)+ROUND((_11_C通院１０．５＿１．０＿１．５*_11・基礎１),0)</f>
        <v>731</v>
      </c>
      <c r="Y49" s="48"/>
    </row>
    <row r="50" spans="1:25" ht="16.5" customHeight="1" x14ac:dyDescent="0.15">
      <c r="A50" s="41">
        <v>11</v>
      </c>
      <c r="B50" s="41">
        <v>3630</v>
      </c>
      <c r="C50" s="74" t="s">
        <v>5970</v>
      </c>
      <c r="D50" s="72"/>
      <c r="F50" s="72"/>
      <c r="H50" s="125">
        <f>_11_C通院１０．５＿１．０＿１．５</f>
        <v>249</v>
      </c>
      <c r="I50" s="12" t="s">
        <v>392</v>
      </c>
      <c r="J50" s="711"/>
      <c r="K50" s="37"/>
      <c r="L50" s="38"/>
      <c r="M50" s="44" t="s">
        <v>397</v>
      </c>
      <c r="N50" s="45" t="s">
        <v>398</v>
      </c>
      <c r="O50" s="46">
        <v>1</v>
      </c>
      <c r="P50" s="35"/>
      <c r="R50" s="57"/>
      <c r="S50" s="35"/>
      <c r="U50" s="57"/>
      <c r="V50" s="43"/>
      <c r="W50" s="37"/>
      <c r="X50" s="47">
        <f>ROUND((ROUND((ROUND((_11_A通院１０．５*_11・基礎１),0)*_11・２人),0)*(1+_11・A深夜)),0)+ROUND((ROUND((ROUND((_11_B通院１０．５＿１．０*_11・基礎１),0)*_11・２人),0)*(1+_11・B早朝)),0)+ROUND((ROUND((_11_C通院１０．５＿１．０＿１．５*_11・基礎１),0)*_11・２人),0)</f>
        <v>731</v>
      </c>
      <c r="Y50" s="48"/>
    </row>
    <row r="51" spans="1:25" ht="16.5" customHeight="1" x14ac:dyDescent="0.15">
      <c r="A51" s="41">
        <v>11</v>
      </c>
      <c r="B51" s="41" t="s">
        <v>5971</v>
      </c>
      <c r="C51" s="74" t="s">
        <v>5972</v>
      </c>
      <c r="D51" s="72"/>
      <c r="F51" s="72"/>
      <c r="H51" s="121"/>
      <c r="J51" s="53"/>
      <c r="K51" s="49"/>
      <c r="L51" s="50"/>
      <c r="M51" s="44"/>
      <c r="N51" s="45"/>
      <c r="O51" s="46"/>
      <c r="P51" s="35"/>
      <c r="R51" s="57"/>
      <c r="S51" s="35"/>
      <c r="U51" s="57"/>
      <c r="V51" s="707" t="s">
        <v>404</v>
      </c>
      <c r="W51" s="708"/>
      <c r="X51" s="47">
        <f>ROUND((ROUND((_11_A通院１０．５*(1+_11・A深夜)),0)*_11・初任),0)+ROUND((ROUND((_11_B通院１０．５＿１．０*(1+_11・B早朝)),0)*_11・初任),0)+ROUND((_11_C通院１０．５＿１．０＿１．５*_11・初任),0)</f>
        <v>730</v>
      </c>
      <c r="Y51" s="48"/>
    </row>
    <row r="52" spans="1:25" ht="16.5" customHeight="1" x14ac:dyDescent="0.15">
      <c r="A52" s="41">
        <v>11</v>
      </c>
      <c r="B52" s="41" t="s">
        <v>5973</v>
      </c>
      <c r="C52" s="74" t="s">
        <v>5974</v>
      </c>
      <c r="D52" s="72"/>
      <c r="F52" s="72"/>
      <c r="H52" s="121"/>
      <c r="J52" s="43"/>
      <c r="K52" s="37"/>
      <c r="L52" s="38"/>
      <c r="M52" s="44" t="s">
        <v>397</v>
      </c>
      <c r="N52" s="45" t="s">
        <v>398</v>
      </c>
      <c r="O52" s="46">
        <v>1</v>
      </c>
      <c r="P52" s="35"/>
      <c r="R52" s="57"/>
      <c r="S52" s="35"/>
      <c r="U52" s="57"/>
      <c r="V52" s="709"/>
      <c r="W52" s="704"/>
      <c r="X52" s="47">
        <f>ROUND((ROUND((ROUND((_11_A通院１０．５*_11・２人),0)*(1+_11・A深夜)),0)*_11・初任),0)+ROUND((ROUND((ROUND((_11_B通院１０．５＿１．０*_11・２人),0)*(1+_11・B早朝)),0)*_11・初任),0)+ROUND((ROUND((_11_C通院１０．５＿１．０＿１．５*_11・２人),0)*_11・初任),0)</f>
        <v>730</v>
      </c>
      <c r="Y52" s="48"/>
    </row>
    <row r="53" spans="1:25" ht="16.5" customHeight="1" x14ac:dyDescent="0.15">
      <c r="A53" s="41">
        <v>11</v>
      </c>
      <c r="B53" s="41" t="s">
        <v>5975</v>
      </c>
      <c r="C53" s="74" t="s">
        <v>5976</v>
      </c>
      <c r="D53" s="72"/>
      <c r="F53" s="72"/>
      <c r="H53" s="72"/>
      <c r="J53" s="752" t="s">
        <v>400</v>
      </c>
      <c r="K53" s="49" t="s">
        <v>398</v>
      </c>
      <c r="L53" s="50">
        <v>0.7</v>
      </c>
      <c r="M53" s="44"/>
      <c r="N53" s="45"/>
      <c r="O53" s="46"/>
      <c r="P53" s="35"/>
      <c r="R53" s="57"/>
      <c r="S53" s="35"/>
      <c r="U53" s="57"/>
      <c r="V53" s="709"/>
      <c r="W53" s="704"/>
      <c r="X53" s="47">
        <f>ROUND((ROUND((ROUND((_11_A通院１０．５*_11・基礎１),0)*(1+_11・A深夜)),0)*_11・初任),0)+ROUND((ROUND((ROUND((_11_B通院１０．５＿１．０*_11・基礎１),0)*(1+_11・B早朝)),0)*_11・初任),0)+ROUND((ROUND((_11_C通院１０．５＿１．０＿１．５*_11・基礎１),0)*_11・初任),0)</f>
        <v>512</v>
      </c>
      <c r="Y53" s="48"/>
    </row>
    <row r="54" spans="1:25" ht="16.5" customHeight="1" x14ac:dyDescent="0.15">
      <c r="A54" s="41">
        <v>11</v>
      </c>
      <c r="B54" s="41" t="s">
        <v>5977</v>
      </c>
      <c r="C54" s="74" t="s">
        <v>5978</v>
      </c>
      <c r="D54" s="72"/>
      <c r="F54" s="72"/>
      <c r="H54" s="72"/>
      <c r="J54" s="711"/>
      <c r="K54" s="37"/>
      <c r="L54" s="38"/>
      <c r="M54" s="44" t="s">
        <v>397</v>
      </c>
      <c r="N54" s="45" t="s">
        <v>398</v>
      </c>
      <c r="O54" s="46">
        <v>1</v>
      </c>
      <c r="P54" s="35"/>
      <c r="R54" s="57"/>
      <c r="S54" s="35"/>
      <c r="U54" s="57"/>
      <c r="V54" s="55" t="s">
        <v>398</v>
      </c>
      <c r="W54" s="38">
        <f>_11・初任</f>
        <v>0.7</v>
      </c>
      <c r="X54" s="47">
        <f>ROUND((ROUND((ROUND((ROUND((_11_A通院１０．５*_11・基礎１),0)*_11・２人),0)*(1+_11・A深夜)),0)*_11・初任),0)+ROUND((ROUND((ROUND((ROUND((_11_B通院１０．５＿１．０*_11・基礎１),0)*_11・２人),0)*(1+_11・B早朝)),0)*_11・初任),0)+ROUND((ROUND((ROUND((_11_C通院１０．５＿１．０＿１．５*_11・基礎１),0)*_11・２人),0)*_11・初任),0)</f>
        <v>512</v>
      </c>
      <c r="Y54" s="48"/>
    </row>
    <row r="55" spans="1:25" ht="16.5" customHeight="1" x14ac:dyDescent="0.15">
      <c r="A55" s="41">
        <v>11</v>
      </c>
      <c r="B55" s="41">
        <v>3631</v>
      </c>
      <c r="C55" s="74" t="s">
        <v>5979</v>
      </c>
      <c r="D55" s="707" t="s">
        <v>5980</v>
      </c>
      <c r="E55" s="717"/>
      <c r="F55" s="707" t="s">
        <v>2028</v>
      </c>
      <c r="G55" s="717"/>
      <c r="H55" s="707" t="s">
        <v>3643</v>
      </c>
      <c r="I55" s="717"/>
      <c r="J55" s="53"/>
      <c r="K55" s="49"/>
      <c r="L55" s="50"/>
      <c r="M55" s="44"/>
      <c r="N55" s="45"/>
      <c r="O55" s="46"/>
      <c r="P55" s="35"/>
      <c r="R55" s="57"/>
      <c r="S55" s="35"/>
      <c r="U55" s="57"/>
      <c r="V55" s="53"/>
      <c r="W55" s="49"/>
      <c r="X55" s="47">
        <f>ROUND((_11_A通院１１．０*(1+_11・A深夜)),0)+ROUND((_11_B通院１１．０＿１．０*(1+_11・B早朝)),0)+_11_C通院１１．０＿１．０＿０．５</f>
        <v>1017</v>
      </c>
      <c r="Y55" s="48"/>
    </row>
    <row r="56" spans="1:25" ht="16.5" customHeight="1" x14ac:dyDescent="0.15">
      <c r="A56" s="41">
        <v>11</v>
      </c>
      <c r="B56" s="41">
        <v>3632</v>
      </c>
      <c r="C56" s="74" t="s">
        <v>5981</v>
      </c>
      <c r="D56" s="709"/>
      <c r="E56" s="718"/>
      <c r="F56" s="709"/>
      <c r="G56" s="718"/>
      <c r="H56" s="709"/>
      <c r="I56" s="718"/>
      <c r="J56" s="43"/>
      <c r="K56" s="37"/>
      <c r="L56" s="38"/>
      <c r="M56" s="44" t="s">
        <v>397</v>
      </c>
      <c r="N56" s="45" t="s">
        <v>398</v>
      </c>
      <c r="O56" s="46">
        <v>1</v>
      </c>
      <c r="P56" s="35"/>
      <c r="R56" s="57"/>
      <c r="S56" s="35"/>
      <c r="U56" s="57"/>
      <c r="V56" s="35"/>
      <c r="X56" s="47">
        <f>ROUND((ROUND((_11_A通院１１．０*_11・２人),0)*(1+_11・A深夜)),0)+ROUND((ROUND((_11_B通院１１．０＿１．０*_11・２人),0)*(1+_11・B早朝)),0)+ROUND((_11_C通院１１．０＿１．０＿０．５*_11・２人),0)</f>
        <v>1017</v>
      </c>
      <c r="Y56" s="48"/>
    </row>
    <row r="57" spans="1:25" ht="16.5" customHeight="1" x14ac:dyDescent="0.15">
      <c r="A57" s="41">
        <v>11</v>
      </c>
      <c r="B57" s="41">
        <v>3633</v>
      </c>
      <c r="C57" s="74" t="s">
        <v>5982</v>
      </c>
      <c r="D57" s="709"/>
      <c r="E57" s="718"/>
      <c r="F57" s="709"/>
      <c r="G57" s="718"/>
      <c r="H57" s="709"/>
      <c r="I57" s="718"/>
      <c r="J57" s="752" t="s">
        <v>400</v>
      </c>
      <c r="K57" s="49" t="s">
        <v>398</v>
      </c>
      <c r="L57" s="50">
        <v>0.7</v>
      </c>
      <c r="M57" s="44"/>
      <c r="N57" s="45"/>
      <c r="O57" s="46"/>
      <c r="P57" s="35"/>
      <c r="R57" s="57"/>
      <c r="S57" s="35"/>
      <c r="U57" s="57"/>
      <c r="V57" s="35"/>
      <c r="X57" s="47">
        <f>ROUND((ROUND((_11_A通院１１．０*_11・基礎１),0)*(1+_11・A深夜)),0)+ROUND((ROUND((_11_B通院１１．０＿１．０*_11・基礎１),0)*(1+_11・B早朝)),0)+ROUND((_11_C通院１１．０＿１．０＿０．５*_11・基礎１),0)</f>
        <v>712</v>
      </c>
      <c r="Y57" s="48"/>
    </row>
    <row r="58" spans="1:25" ht="16.5" customHeight="1" x14ac:dyDescent="0.15">
      <c r="A58" s="41">
        <v>11</v>
      </c>
      <c r="B58" s="41">
        <v>3634</v>
      </c>
      <c r="C58" s="74" t="s">
        <v>5983</v>
      </c>
      <c r="D58" s="125">
        <f>_11_A通院１１．０</f>
        <v>402</v>
      </c>
      <c r="E58" s="12" t="s">
        <v>392</v>
      </c>
      <c r="F58" s="125">
        <f>_11_B通院１１．０＿１．０</f>
        <v>264</v>
      </c>
      <c r="G58" s="12" t="s">
        <v>392</v>
      </c>
      <c r="H58" s="125">
        <f>_11_C通院１１．０＿１．０＿０．５</f>
        <v>84</v>
      </c>
      <c r="I58" s="12" t="s">
        <v>392</v>
      </c>
      <c r="J58" s="711"/>
      <c r="K58" s="37"/>
      <c r="L58" s="38"/>
      <c r="M58" s="44" t="s">
        <v>397</v>
      </c>
      <c r="N58" s="45" t="s">
        <v>398</v>
      </c>
      <c r="O58" s="46">
        <v>1</v>
      </c>
      <c r="P58" s="35"/>
      <c r="R58" s="57"/>
      <c r="S58" s="35"/>
      <c r="U58" s="57"/>
      <c r="V58" s="43"/>
      <c r="W58" s="37"/>
      <c r="X58" s="47">
        <f>ROUND((ROUND((ROUND((_11_A通院１１．０*_11・基礎１),0)*_11・２人),0)*(1+_11・A深夜)),0)+ROUND((ROUND((ROUND((_11_B通院１１．０＿１．０*_11・基礎１),0)*_11・２人),0)*(1+_11・B早朝)),0)+ROUND((ROUND((_11_C通院１１．０＿１．０＿０．５*_11・基礎１),0)*_11・２人),0)</f>
        <v>712</v>
      </c>
      <c r="Y58" s="48"/>
    </row>
    <row r="59" spans="1:25" ht="16.5" customHeight="1" x14ac:dyDescent="0.15">
      <c r="A59" s="41">
        <v>11</v>
      </c>
      <c r="B59" s="41" t="s">
        <v>5984</v>
      </c>
      <c r="C59" s="74" t="s">
        <v>5985</v>
      </c>
      <c r="D59" s="121"/>
      <c r="F59" s="121"/>
      <c r="H59" s="121"/>
      <c r="J59" s="53"/>
      <c r="K59" s="49"/>
      <c r="L59" s="50"/>
      <c r="M59" s="44"/>
      <c r="N59" s="45"/>
      <c r="O59" s="46"/>
      <c r="P59" s="35"/>
      <c r="R59" s="57"/>
      <c r="S59" s="35"/>
      <c r="U59" s="57"/>
      <c r="V59" s="707" t="s">
        <v>404</v>
      </c>
      <c r="W59" s="708"/>
      <c r="X59" s="47">
        <f>ROUND((ROUND((_11_A通院１１．０*(1+_11・A深夜)),0)*_11・初任),0)+ROUND((ROUND((_11_B通院１１．０＿１．０*(1+_11・B早朝)),0)*_11・初任),0)+ROUND((_11_C通院１１．０＿１．０＿０．５*_11・初任),0)</f>
        <v>712</v>
      </c>
      <c r="Y59" s="48"/>
    </row>
    <row r="60" spans="1:25" ht="16.5" customHeight="1" x14ac:dyDescent="0.15">
      <c r="A60" s="41">
        <v>11</v>
      </c>
      <c r="B60" s="41" t="s">
        <v>5986</v>
      </c>
      <c r="C60" s="74" t="s">
        <v>5987</v>
      </c>
      <c r="D60" s="121"/>
      <c r="F60" s="121"/>
      <c r="H60" s="121"/>
      <c r="J60" s="43"/>
      <c r="K60" s="37"/>
      <c r="L60" s="38"/>
      <c r="M60" s="44" t="s">
        <v>397</v>
      </c>
      <c r="N60" s="45" t="s">
        <v>398</v>
      </c>
      <c r="O60" s="46">
        <v>1</v>
      </c>
      <c r="P60" s="35"/>
      <c r="R60" s="57"/>
      <c r="S60" s="35"/>
      <c r="U60" s="57"/>
      <c r="V60" s="709"/>
      <c r="W60" s="704"/>
      <c r="X60" s="47">
        <f>ROUND((ROUND((ROUND((_11_A通院１１．０*_11・２人),0)*(1+_11・A深夜)),0)*_11・初任),0)+ROUND((ROUND((ROUND((_11_B通院１１．０＿１．０*_11・２人),0)*(1+_11・B早朝)),0)*_11・初任),0)+ROUND((ROUND((_11_C通院１１．０＿１．０＿０．５*_11・２人),0)*_11・初任),0)</f>
        <v>712</v>
      </c>
      <c r="Y60" s="48"/>
    </row>
    <row r="61" spans="1:25" ht="16.5" customHeight="1" x14ac:dyDescent="0.15">
      <c r="A61" s="41">
        <v>11</v>
      </c>
      <c r="B61" s="41" t="s">
        <v>5988</v>
      </c>
      <c r="C61" s="74" t="s">
        <v>5989</v>
      </c>
      <c r="D61" s="72"/>
      <c r="F61" s="72"/>
      <c r="H61" s="72"/>
      <c r="J61" s="752" t="s">
        <v>400</v>
      </c>
      <c r="K61" s="49" t="s">
        <v>398</v>
      </c>
      <c r="L61" s="50">
        <v>0.7</v>
      </c>
      <c r="M61" s="44"/>
      <c r="N61" s="45"/>
      <c r="O61" s="46"/>
      <c r="P61" s="35"/>
      <c r="R61" s="57"/>
      <c r="S61" s="35"/>
      <c r="U61" s="57"/>
      <c r="V61" s="709"/>
      <c r="W61" s="704"/>
      <c r="X61" s="47">
        <f>ROUND((ROUND((ROUND((_11_A通院１１．０*_11・基礎１),0)*(1+_11・A深夜)),0)*_11・初任),0)+ROUND((ROUND((ROUND((_11_B通院１１．０＿１．０*_11・基礎１),0)*(1+_11・B早朝)),0)*_11・初任),0)+ROUND((ROUND((_11_C通院１１．０＿１．０＿０．５*_11・基礎１),0)*_11・初任),0)</f>
        <v>498</v>
      </c>
      <c r="Y61" s="48"/>
    </row>
    <row r="62" spans="1:25" ht="16.5" customHeight="1" x14ac:dyDescent="0.15">
      <c r="A62" s="41">
        <v>11</v>
      </c>
      <c r="B62" s="41" t="s">
        <v>5990</v>
      </c>
      <c r="C62" s="74" t="s">
        <v>5991</v>
      </c>
      <c r="D62" s="72"/>
      <c r="F62" s="72"/>
      <c r="H62" s="72"/>
      <c r="J62" s="711"/>
      <c r="K62" s="37"/>
      <c r="L62" s="38"/>
      <c r="M62" s="44" t="s">
        <v>397</v>
      </c>
      <c r="N62" s="45" t="s">
        <v>398</v>
      </c>
      <c r="O62" s="46">
        <v>1</v>
      </c>
      <c r="P62" s="35"/>
      <c r="R62" s="57"/>
      <c r="S62" s="35"/>
      <c r="U62" s="57"/>
      <c r="V62" s="55" t="s">
        <v>398</v>
      </c>
      <c r="W62" s="38">
        <f>_11・初任</f>
        <v>0.7</v>
      </c>
      <c r="X62" s="47">
        <f>ROUND((ROUND((ROUND((ROUND((_11_A通院１１．０*_11・基礎１),0)*_11・２人),0)*(1+_11・A深夜)),0)*_11・初任),0)+ROUND((ROUND((ROUND((ROUND((_11_B通院１１．０＿１．０*_11・基礎１),0)*_11・２人),0)*(1+_11・B早朝)),0)*_11・初任),0)+ROUND((ROUND((ROUND((_11_C通院１１．０＿１．０＿０．５*_11・基礎１),0)*_11・２人),0)*_11・初任),0)</f>
        <v>498</v>
      </c>
      <c r="Y62" s="48"/>
    </row>
    <row r="63" spans="1:25" ht="16.5" customHeight="1" x14ac:dyDescent="0.15">
      <c r="A63" s="41">
        <v>11</v>
      </c>
      <c r="B63" s="41">
        <v>3635</v>
      </c>
      <c r="C63" s="74" t="s">
        <v>5992</v>
      </c>
      <c r="D63" s="72"/>
      <c r="F63" s="72"/>
      <c r="H63" s="707" t="s">
        <v>3650</v>
      </c>
      <c r="I63" s="717"/>
      <c r="J63" s="53"/>
      <c r="K63" s="49"/>
      <c r="L63" s="50"/>
      <c r="M63" s="44"/>
      <c r="N63" s="45"/>
      <c r="O63" s="46"/>
      <c r="P63" s="35"/>
      <c r="R63" s="57"/>
      <c r="S63" s="35"/>
      <c r="U63" s="57"/>
      <c r="V63" s="53"/>
      <c r="W63" s="49"/>
      <c r="X63" s="47">
        <f>ROUND((_11_A通院１１．０*(1+_11・A深夜)),0)+ROUND((_11_B通院１１．０＿１．０*(1+_11・B早朝)),0)+_11_C通院１１．０＿１．０＿１．０</f>
        <v>1100</v>
      </c>
      <c r="Y63" s="48"/>
    </row>
    <row r="64" spans="1:25" ht="16.5" customHeight="1" x14ac:dyDescent="0.15">
      <c r="A64" s="41">
        <v>11</v>
      </c>
      <c r="B64" s="41">
        <v>3636</v>
      </c>
      <c r="C64" s="74" t="s">
        <v>5993</v>
      </c>
      <c r="D64" s="72"/>
      <c r="F64" s="72"/>
      <c r="H64" s="709"/>
      <c r="I64" s="718"/>
      <c r="J64" s="43"/>
      <c r="K64" s="37"/>
      <c r="L64" s="38"/>
      <c r="M64" s="44" t="s">
        <v>397</v>
      </c>
      <c r="N64" s="45" t="s">
        <v>398</v>
      </c>
      <c r="O64" s="46">
        <v>1</v>
      </c>
      <c r="P64" s="35"/>
      <c r="R64" s="57"/>
      <c r="S64" s="35"/>
      <c r="U64" s="57"/>
      <c r="V64" s="35"/>
      <c r="X64" s="47">
        <f>ROUND((ROUND((_11_A通院１１．０*_11・２人),0)*(1+_11・A深夜)),0)+ROUND((ROUND((_11_B通院１１．０＿１．０*_11・２人),0)*(1+_11・B早朝)),0)+ROUND((_11_C通院１１．０＿１．０＿１．０*_11・２人),0)</f>
        <v>1100</v>
      </c>
      <c r="Y64" s="48"/>
    </row>
    <row r="65" spans="1:25" ht="16.5" customHeight="1" x14ac:dyDescent="0.15">
      <c r="A65" s="41">
        <v>11</v>
      </c>
      <c r="B65" s="41">
        <v>3637</v>
      </c>
      <c r="C65" s="74" t="s">
        <v>5994</v>
      </c>
      <c r="D65" s="72"/>
      <c r="F65" s="72"/>
      <c r="H65" s="709"/>
      <c r="I65" s="718"/>
      <c r="J65" s="752" t="s">
        <v>400</v>
      </c>
      <c r="K65" s="49" t="s">
        <v>398</v>
      </c>
      <c r="L65" s="50">
        <v>0.7</v>
      </c>
      <c r="M65" s="44"/>
      <c r="N65" s="45"/>
      <c r="O65" s="46"/>
      <c r="P65" s="35"/>
      <c r="R65" s="57"/>
      <c r="S65" s="35"/>
      <c r="U65" s="57"/>
      <c r="V65" s="35"/>
      <c r="X65" s="47">
        <f>ROUND((ROUND((_11_A通院１１．０*_11・基礎１),0)*(1+_11・A深夜)),0)+ROUND((ROUND((_11_B通院１１．０＿１．０*_11・基礎１),0)*(1+_11・B早朝)),0)+ROUND((_11_C通院１１．０＿１．０＿１．０*_11・基礎１),0)</f>
        <v>770</v>
      </c>
      <c r="Y65" s="48"/>
    </row>
    <row r="66" spans="1:25" ht="16.5" customHeight="1" x14ac:dyDescent="0.15">
      <c r="A66" s="41">
        <v>11</v>
      </c>
      <c r="B66" s="41">
        <v>3638</v>
      </c>
      <c r="C66" s="74" t="s">
        <v>5995</v>
      </c>
      <c r="D66" s="72"/>
      <c r="F66" s="72"/>
      <c r="H66" s="125">
        <f>_11_C通院１１．０＿１．０＿１．０</f>
        <v>167</v>
      </c>
      <c r="I66" s="12" t="s">
        <v>392</v>
      </c>
      <c r="J66" s="711"/>
      <c r="K66" s="37"/>
      <c r="L66" s="38"/>
      <c r="M66" s="44" t="s">
        <v>397</v>
      </c>
      <c r="N66" s="45" t="s">
        <v>398</v>
      </c>
      <c r="O66" s="46">
        <v>1</v>
      </c>
      <c r="P66" s="35"/>
      <c r="R66" s="57"/>
      <c r="S66" s="35"/>
      <c r="U66" s="57"/>
      <c r="V66" s="43"/>
      <c r="W66" s="37"/>
      <c r="X66" s="47">
        <f>ROUND((ROUND((ROUND((_11_A通院１１．０*_11・基礎１),0)*_11・２人),0)*(1+_11・A深夜)),0)+ROUND((ROUND((ROUND((_11_B通院１１．０＿１．０*_11・基礎１),0)*_11・２人),0)*(1+_11・B早朝)),0)+ROUND((ROUND((_11_C通院１１．０＿１．０＿１．０*_11・基礎１),0)*_11・２人),0)</f>
        <v>770</v>
      </c>
      <c r="Y66" s="48"/>
    </row>
    <row r="67" spans="1:25" ht="16.5" customHeight="1" x14ac:dyDescent="0.15">
      <c r="A67" s="41">
        <v>11</v>
      </c>
      <c r="B67" s="41" t="s">
        <v>5996</v>
      </c>
      <c r="C67" s="74" t="s">
        <v>5997</v>
      </c>
      <c r="D67" s="72"/>
      <c r="F67" s="72"/>
      <c r="H67" s="121"/>
      <c r="J67" s="53"/>
      <c r="K67" s="49"/>
      <c r="L67" s="50"/>
      <c r="M67" s="44"/>
      <c r="N67" s="45"/>
      <c r="O67" s="46"/>
      <c r="P67" s="35"/>
      <c r="R67" s="57"/>
      <c r="S67" s="35"/>
      <c r="U67" s="57"/>
      <c r="V67" s="707" t="s">
        <v>404</v>
      </c>
      <c r="W67" s="708"/>
      <c r="X67" s="47">
        <f>ROUND((ROUND((_11_A通院１１．０*(1+_11・A深夜)),0)*_11・初任),0)+ROUND((ROUND((_11_B通院１１．０＿１．０*(1+_11・B早朝)),0)*_11・初任),0)+ROUND((_11_C通院１１．０＿１．０＿１．０*_11・初任),0)</f>
        <v>770</v>
      </c>
      <c r="Y67" s="48"/>
    </row>
    <row r="68" spans="1:25" ht="16.5" customHeight="1" x14ac:dyDescent="0.15">
      <c r="A68" s="41">
        <v>11</v>
      </c>
      <c r="B68" s="41" t="s">
        <v>5998</v>
      </c>
      <c r="C68" s="74" t="s">
        <v>5999</v>
      </c>
      <c r="D68" s="72"/>
      <c r="F68" s="72"/>
      <c r="H68" s="121"/>
      <c r="J68" s="43"/>
      <c r="K68" s="37"/>
      <c r="L68" s="38"/>
      <c r="M68" s="44" t="s">
        <v>397</v>
      </c>
      <c r="N68" s="45" t="s">
        <v>398</v>
      </c>
      <c r="O68" s="46">
        <v>1</v>
      </c>
      <c r="P68" s="35"/>
      <c r="R68" s="57"/>
      <c r="S68" s="35"/>
      <c r="U68" s="57"/>
      <c r="V68" s="709"/>
      <c r="W68" s="704"/>
      <c r="X68" s="47">
        <f>ROUND((ROUND((ROUND((_11_A通院１１．０*_11・２人),0)*(1+_11・A深夜)),0)*_11・初任),0)+ROUND((ROUND((ROUND((_11_B通院１１．０＿１．０*_11・２人),0)*(1+_11・B早朝)),0)*_11・初任),0)+ROUND((ROUND((_11_C通院１１．０＿１．０＿１．０*_11・２人),0)*_11・初任),0)</f>
        <v>770</v>
      </c>
      <c r="Y68" s="48"/>
    </row>
    <row r="69" spans="1:25" ht="16.5" customHeight="1" x14ac:dyDescent="0.15">
      <c r="A69" s="41">
        <v>11</v>
      </c>
      <c r="B69" s="41" t="s">
        <v>6000</v>
      </c>
      <c r="C69" s="74" t="s">
        <v>6001</v>
      </c>
      <c r="D69" s="72"/>
      <c r="F69" s="72"/>
      <c r="H69" s="72"/>
      <c r="J69" s="752" t="s">
        <v>400</v>
      </c>
      <c r="K69" s="49" t="s">
        <v>398</v>
      </c>
      <c r="L69" s="50">
        <v>0.7</v>
      </c>
      <c r="M69" s="44"/>
      <c r="N69" s="45"/>
      <c r="O69" s="46"/>
      <c r="P69" s="35"/>
      <c r="R69" s="57"/>
      <c r="S69" s="35"/>
      <c r="U69" s="57"/>
      <c r="V69" s="709"/>
      <c r="W69" s="704"/>
      <c r="X69" s="47">
        <f>ROUND((ROUND((ROUND((_11_A通院１１．０*_11・基礎１),0)*(1+_11・A深夜)),0)*_11・初任),0)+ROUND((ROUND((ROUND((_11_B通院１１．０＿１．０*_11・基礎１),0)*(1+_11・B早朝)),0)*_11・初任),0)+ROUND((ROUND((_11_C通院１１．０＿１．０＿１．０*_11・基礎１),0)*_11・初任),0)</f>
        <v>539</v>
      </c>
      <c r="Y69" s="48"/>
    </row>
    <row r="70" spans="1:25" ht="16.5" customHeight="1" x14ac:dyDescent="0.15">
      <c r="A70" s="41">
        <v>11</v>
      </c>
      <c r="B70" s="41" t="s">
        <v>6002</v>
      </c>
      <c r="C70" s="74" t="s">
        <v>6003</v>
      </c>
      <c r="D70" s="72"/>
      <c r="F70" s="72"/>
      <c r="H70" s="72"/>
      <c r="J70" s="711"/>
      <c r="K70" s="37"/>
      <c r="L70" s="38"/>
      <c r="M70" s="44" t="s">
        <v>397</v>
      </c>
      <c r="N70" s="45" t="s">
        <v>398</v>
      </c>
      <c r="O70" s="46">
        <v>1</v>
      </c>
      <c r="P70" s="35"/>
      <c r="R70" s="57"/>
      <c r="S70" s="35"/>
      <c r="U70" s="57"/>
      <c r="V70" s="55" t="s">
        <v>398</v>
      </c>
      <c r="W70" s="38">
        <f>_11・初任</f>
        <v>0.7</v>
      </c>
      <c r="X70" s="47">
        <f>ROUND((ROUND((ROUND((ROUND((_11_A通院１１．０*_11・基礎１),0)*_11・２人),0)*(1+_11・A深夜)),0)*_11・初任),0)+ROUND((ROUND((ROUND((ROUND((_11_B通院１１．０＿１．０*_11・基礎１),0)*_11・２人),0)*(1+_11・B早朝)),0)*_11・初任),0)+ROUND((ROUND((ROUND((_11_C通院１１．０＿１．０＿１．０*_11・基礎１),0)*_11・２人),0)*_11・初任),0)</f>
        <v>539</v>
      </c>
      <c r="Y70" s="48"/>
    </row>
    <row r="71" spans="1:25" ht="16.5" customHeight="1" x14ac:dyDescent="0.15">
      <c r="A71" s="41">
        <v>11</v>
      </c>
      <c r="B71" s="41">
        <v>3639</v>
      </c>
      <c r="C71" s="74" t="s">
        <v>6004</v>
      </c>
      <c r="D71" s="707" t="s">
        <v>6005</v>
      </c>
      <c r="E71" s="717"/>
      <c r="F71" s="707" t="s">
        <v>2028</v>
      </c>
      <c r="G71" s="717"/>
      <c r="H71" s="707" t="s">
        <v>3643</v>
      </c>
      <c r="I71" s="717"/>
      <c r="J71" s="53"/>
      <c r="K71" s="49"/>
      <c r="L71" s="50"/>
      <c r="M71" s="44"/>
      <c r="N71" s="45"/>
      <c r="O71" s="46"/>
      <c r="P71" s="35"/>
      <c r="R71" s="57"/>
      <c r="S71" s="35"/>
      <c r="U71" s="57"/>
      <c r="V71" s="53"/>
      <c r="W71" s="49"/>
      <c r="X71" s="47">
        <f>ROUND((_11_A通院１１．５*(1+_11・A深夜)),0)+ROUND((_11_B通院１１．５＿１．０*(1+_11・B早朝)),0)+_11_C通院１１．５＿１．０＿０．５</f>
        <v>1167</v>
      </c>
      <c r="Y71" s="48"/>
    </row>
    <row r="72" spans="1:25" ht="16.5" customHeight="1" x14ac:dyDescent="0.15">
      <c r="A72" s="41">
        <v>11</v>
      </c>
      <c r="B72" s="41">
        <v>3640</v>
      </c>
      <c r="C72" s="74" t="s">
        <v>6006</v>
      </c>
      <c r="D72" s="709"/>
      <c r="E72" s="718"/>
      <c r="F72" s="709"/>
      <c r="G72" s="718"/>
      <c r="H72" s="709"/>
      <c r="I72" s="718"/>
      <c r="J72" s="43"/>
      <c r="K72" s="37"/>
      <c r="L72" s="38"/>
      <c r="M72" s="44" t="s">
        <v>397</v>
      </c>
      <c r="N72" s="45" t="s">
        <v>398</v>
      </c>
      <c r="O72" s="46">
        <v>1</v>
      </c>
      <c r="P72" s="35"/>
      <c r="R72" s="57"/>
      <c r="S72" s="35"/>
      <c r="U72" s="57"/>
      <c r="V72" s="35"/>
      <c r="X72" s="47">
        <f>ROUND((ROUND((_11_A通院１１．５*_11・２人),0)*(1+_11・A深夜)),0)+ROUND((ROUND((_11_B通院１１．５＿１．０*_11・２人),0)*(1+_11・B早朝)),0)+ROUND((_11_C通院１１．５＿１．０＿０．５*_11・２人),0)</f>
        <v>1167</v>
      </c>
      <c r="Y72" s="48"/>
    </row>
    <row r="73" spans="1:25" ht="16.5" customHeight="1" x14ac:dyDescent="0.15">
      <c r="A73" s="41">
        <v>11</v>
      </c>
      <c r="B73" s="41">
        <v>3641</v>
      </c>
      <c r="C73" s="74" t="s">
        <v>6007</v>
      </c>
      <c r="D73" s="709"/>
      <c r="E73" s="718"/>
      <c r="F73" s="709"/>
      <c r="G73" s="718"/>
      <c r="H73" s="709"/>
      <c r="I73" s="718"/>
      <c r="J73" s="752" t="s">
        <v>400</v>
      </c>
      <c r="K73" s="49" t="s">
        <v>398</v>
      </c>
      <c r="L73" s="50">
        <v>0.7</v>
      </c>
      <c r="M73" s="44"/>
      <c r="N73" s="45"/>
      <c r="O73" s="46"/>
      <c r="P73" s="35"/>
      <c r="R73" s="57"/>
      <c r="S73" s="35"/>
      <c r="U73" s="57"/>
      <c r="V73" s="35"/>
      <c r="X73" s="47">
        <f>ROUND((ROUND((_11_A通院１１．５*_11・基礎１),0)*(1+_11・A深夜)),0)+ROUND((ROUND((_11_B通院１１．５＿１．０*_11・基礎１),0)*(1+_11・B早朝)),0)+ROUND((_11_C通院１１．５＿１．０＿０．５*_11・基礎１),0)</f>
        <v>817</v>
      </c>
      <c r="Y73" s="48"/>
    </row>
    <row r="74" spans="1:25" ht="16.5" customHeight="1" x14ac:dyDescent="0.15">
      <c r="A74" s="41">
        <v>11</v>
      </c>
      <c r="B74" s="41">
        <v>3642</v>
      </c>
      <c r="C74" s="74" t="s">
        <v>6008</v>
      </c>
      <c r="D74" s="125">
        <f>_11_A通院１１．５</f>
        <v>584</v>
      </c>
      <c r="E74" s="12" t="s">
        <v>392</v>
      </c>
      <c r="F74" s="125">
        <f>_11_B通院１１．５＿１．０</f>
        <v>166</v>
      </c>
      <c r="G74" s="12" t="s">
        <v>392</v>
      </c>
      <c r="H74" s="125">
        <f>_11_C通院１１．５＿１．０＿０．５</f>
        <v>83</v>
      </c>
      <c r="I74" s="12" t="s">
        <v>392</v>
      </c>
      <c r="J74" s="711"/>
      <c r="K74" s="37"/>
      <c r="L74" s="38"/>
      <c r="M74" s="44" t="s">
        <v>397</v>
      </c>
      <c r="N74" s="45" t="s">
        <v>398</v>
      </c>
      <c r="O74" s="46">
        <v>1</v>
      </c>
      <c r="P74" s="35"/>
      <c r="R74" s="57"/>
      <c r="S74" s="35"/>
      <c r="U74" s="57"/>
      <c r="V74" s="43"/>
      <c r="W74" s="37"/>
      <c r="X74" s="47">
        <f>ROUND((ROUND((ROUND((_11_A通院１１．５*_11・基礎１),0)*_11・２人),0)*(1+_11・A深夜)),0)+ROUND((ROUND((ROUND((_11_B通院１１．５＿１．０*_11・基礎１),0)*_11・２人),0)*(1+_11・B早朝)),0)+ROUND((ROUND((_11_C通院１１．５＿１．０＿０．５*_11・基礎１),0)*_11・２人),0)</f>
        <v>817</v>
      </c>
      <c r="Y74" s="48"/>
    </row>
    <row r="75" spans="1:25" ht="16.5" customHeight="1" x14ac:dyDescent="0.15">
      <c r="A75" s="41">
        <v>11</v>
      </c>
      <c r="B75" s="41" t="s">
        <v>6009</v>
      </c>
      <c r="C75" s="74" t="s">
        <v>6010</v>
      </c>
      <c r="D75" s="121"/>
      <c r="F75" s="121"/>
      <c r="H75" s="121"/>
      <c r="J75" s="53"/>
      <c r="K75" s="49"/>
      <c r="L75" s="50"/>
      <c r="M75" s="44"/>
      <c r="N75" s="45"/>
      <c r="O75" s="46"/>
      <c r="P75" s="35"/>
      <c r="R75" s="57"/>
      <c r="S75" s="35"/>
      <c r="U75" s="57"/>
      <c r="V75" s="707" t="s">
        <v>404</v>
      </c>
      <c r="W75" s="708"/>
      <c r="X75" s="47">
        <f>ROUND((ROUND((_11_A通院１１．５*(1+_11・A深夜)),0)*_11・初任),0)+ROUND((ROUND((_11_B通院１１．５＿１．０*(1+_11・B早朝)),0)*_11・初任),0)+ROUND((_11_C通院１１．５＿１．０＿０．５*_11・初任),0)</f>
        <v>817</v>
      </c>
      <c r="Y75" s="48"/>
    </row>
    <row r="76" spans="1:25" ht="16.5" customHeight="1" x14ac:dyDescent="0.15">
      <c r="A76" s="41">
        <v>11</v>
      </c>
      <c r="B76" s="41" t="s">
        <v>6011</v>
      </c>
      <c r="C76" s="74" t="s">
        <v>6012</v>
      </c>
      <c r="D76" s="121"/>
      <c r="F76" s="121"/>
      <c r="H76" s="121"/>
      <c r="J76" s="43"/>
      <c r="K76" s="37"/>
      <c r="L76" s="38"/>
      <c r="M76" s="44" t="s">
        <v>397</v>
      </c>
      <c r="N76" s="45" t="s">
        <v>398</v>
      </c>
      <c r="O76" s="46">
        <v>1</v>
      </c>
      <c r="P76" s="35"/>
      <c r="R76" s="57"/>
      <c r="S76" s="35"/>
      <c r="U76" s="57"/>
      <c r="V76" s="709"/>
      <c r="W76" s="704"/>
      <c r="X76" s="47">
        <f>ROUND((ROUND((ROUND((_11_A通院１１．５*_11・２人),0)*(1+_11・A深夜)),0)*_11・初任),0)+ROUND((ROUND((ROUND((_11_B通院１１．５＿１．０*_11・２人),0)*(1+_11・B早朝)),0)*_11・初任),0)+ROUND((ROUND((_11_C通院１１．５＿１．０＿０．５*_11・２人),0)*_11・初任),0)</f>
        <v>817</v>
      </c>
      <c r="Y76" s="48"/>
    </row>
    <row r="77" spans="1:25" ht="16.5" customHeight="1" x14ac:dyDescent="0.15">
      <c r="A77" s="41">
        <v>11</v>
      </c>
      <c r="B77" s="41" t="s">
        <v>6013</v>
      </c>
      <c r="C77" s="74" t="s">
        <v>6014</v>
      </c>
      <c r="D77" s="72"/>
      <c r="F77" s="72"/>
      <c r="H77" s="72"/>
      <c r="J77" s="752" t="s">
        <v>400</v>
      </c>
      <c r="K77" s="49" t="s">
        <v>398</v>
      </c>
      <c r="L77" s="50">
        <v>0.7</v>
      </c>
      <c r="M77" s="44"/>
      <c r="N77" s="45"/>
      <c r="O77" s="46"/>
      <c r="P77" s="35"/>
      <c r="R77" s="57"/>
      <c r="S77" s="35"/>
      <c r="U77" s="57"/>
      <c r="V77" s="709"/>
      <c r="W77" s="704"/>
      <c r="X77" s="47">
        <f>ROUND((ROUND((ROUND((_11_A通院１１．５*_11・基礎１),0)*(1+_11・A深夜)),0)*_11・初任),0)+ROUND((ROUND((ROUND((_11_B通院１１．５＿１．０*_11・基礎１),0)*(1+_11・B早朝)),0)*_11・初任),0)+ROUND((ROUND((_11_C通院１１．５＿１．０＿０．５*_11・基礎１),0)*_11・初任),0)</f>
        <v>573</v>
      </c>
      <c r="Y77" s="48"/>
    </row>
    <row r="78" spans="1:25" ht="16.5" customHeight="1" x14ac:dyDescent="0.15">
      <c r="A78" s="41">
        <v>11</v>
      </c>
      <c r="B78" s="41" t="s">
        <v>6015</v>
      </c>
      <c r="C78" s="74" t="s">
        <v>6016</v>
      </c>
      <c r="D78" s="122"/>
      <c r="E78" s="37"/>
      <c r="F78" s="122"/>
      <c r="G78" s="37"/>
      <c r="H78" s="122"/>
      <c r="I78" s="37"/>
      <c r="J78" s="711"/>
      <c r="K78" s="37"/>
      <c r="L78" s="38"/>
      <c r="M78" s="44" t="s">
        <v>397</v>
      </c>
      <c r="N78" s="45" t="s">
        <v>398</v>
      </c>
      <c r="O78" s="46">
        <v>1</v>
      </c>
      <c r="P78" s="43"/>
      <c r="Q78" s="38"/>
      <c r="R78" s="79"/>
      <c r="S78" s="43"/>
      <c r="T78" s="38"/>
      <c r="U78" s="79"/>
      <c r="V78" s="55" t="s">
        <v>398</v>
      </c>
      <c r="W78" s="38">
        <f>_11・初任</f>
        <v>0.7</v>
      </c>
      <c r="X78" s="47">
        <f>ROUND((ROUND((ROUND((ROUND((_11_A通院１１．５*_11・基礎１),0)*_11・２人),0)*(1+_11・A深夜)),0)*_11・初任),0)+ROUND((ROUND((ROUND((ROUND((_11_B通院１１．５＿１．０*_11・基礎１),0)*_11・２人),0)*(1+_11・B早朝)),0)*_11・初任),0)+ROUND((ROUND((ROUND((_11_C通院１１．５＿１．０＿０．５*_11・基礎１),0)*_11・２人),0)*_11・初任),0)</f>
        <v>573</v>
      </c>
      <c r="Y78" s="63"/>
    </row>
    <row r="79" spans="1:25" ht="16.5" customHeight="1" x14ac:dyDescent="0.15">
      <c r="A79" s="41">
        <v>11</v>
      </c>
      <c r="B79" s="41">
        <v>3643</v>
      </c>
      <c r="C79" s="74" t="s">
        <v>6017</v>
      </c>
      <c r="D79" s="707" t="s">
        <v>2103</v>
      </c>
      <c r="E79" s="717"/>
      <c r="F79" s="707" t="s">
        <v>3602</v>
      </c>
      <c r="G79" s="717"/>
      <c r="H79" s="707" t="s">
        <v>3643</v>
      </c>
      <c r="I79" s="717"/>
      <c r="J79" s="53"/>
      <c r="K79" s="49"/>
      <c r="L79" s="50"/>
      <c r="M79" s="44"/>
      <c r="N79" s="45"/>
      <c r="O79" s="46"/>
      <c r="P79" s="114" t="s">
        <v>1036</v>
      </c>
      <c r="Q79" s="50"/>
      <c r="R79" s="115"/>
      <c r="S79" s="116" t="s">
        <v>1037</v>
      </c>
      <c r="T79" s="50"/>
      <c r="U79" s="115"/>
      <c r="V79" s="53"/>
      <c r="W79" s="49"/>
      <c r="X79" s="47">
        <f>ROUND((_11_A通院１０．５*(1+_11・A深夜)),0)+ROUND((_11_B通院１０．５＿０．５*(1+_11・B早朝)),0)+_11_C通院１０．５＿０．５＿０．５</f>
        <v>749</v>
      </c>
      <c r="Y79" s="48"/>
    </row>
    <row r="80" spans="1:25" ht="16.5" customHeight="1" x14ac:dyDescent="0.15">
      <c r="A80" s="41">
        <v>11</v>
      </c>
      <c r="B80" s="41">
        <v>3644</v>
      </c>
      <c r="C80" s="74" t="s">
        <v>6018</v>
      </c>
      <c r="D80" s="709"/>
      <c r="E80" s="718"/>
      <c r="F80" s="709"/>
      <c r="G80" s="718"/>
      <c r="H80" s="709"/>
      <c r="I80" s="718"/>
      <c r="J80" s="43"/>
      <c r="K80" s="37"/>
      <c r="L80" s="38"/>
      <c r="M80" s="44" t="s">
        <v>397</v>
      </c>
      <c r="N80" s="45" t="s">
        <v>398</v>
      </c>
      <c r="O80" s="46">
        <v>1</v>
      </c>
      <c r="P80" s="35" t="s">
        <v>398</v>
      </c>
      <c r="Q80" s="13">
        <v>0.5</v>
      </c>
      <c r="R80" s="728" t="s">
        <v>676</v>
      </c>
      <c r="S80" s="35" t="s">
        <v>398</v>
      </c>
      <c r="T80" s="13">
        <v>0.25</v>
      </c>
      <c r="U80" s="728" t="s">
        <v>676</v>
      </c>
      <c r="V80" s="35"/>
      <c r="X80" s="47">
        <f>ROUND((ROUND((_11_A通院１０．５*_11・２人),0)*(1+_11・A深夜)),0)+ROUND((ROUND((_11_B通院１０．５＿０．５*_11・２人),0)*(1+_11・B早朝)),0)+ROUND((_11_C通院１０．５＿０．５＿０．５*_11・２人),0)</f>
        <v>749</v>
      </c>
      <c r="Y80" s="48"/>
    </row>
    <row r="81" spans="1:25" ht="16.5" customHeight="1" x14ac:dyDescent="0.15">
      <c r="A81" s="41">
        <v>11</v>
      </c>
      <c r="B81" s="41">
        <v>3645</v>
      </c>
      <c r="C81" s="74" t="s">
        <v>6019</v>
      </c>
      <c r="D81" s="709"/>
      <c r="E81" s="718"/>
      <c r="F81" s="709"/>
      <c r="G81" s="718"/>
      <c r="H81" s="709"/>
      <c r="I81" s="718"/>
      <c r="J81" s="752" t="s">
        <v>400</v>
      </c>
      <c r="K81" s="49" t="s">
        <v>398</v>
      </c>
      <c r="L81" s="50">
        <v>0.7</v>
      </c>
      <c r="M81" s="44"/>
      <c r="N81" s="45"/>
      <c r="O81" s="46"/>
      <c r="P81" s="35"/>
      <c r="R81" s="728"/>
      <c r="S81" s="35"/>
      <c r="U81" s="728"/>
      <c r="V81" s="35"/>
      <c r="X81" s="47">
        <f>ROUND((ROUND((_11_A通院１０．５*_11・基礎１),0)*(1+_11・A深夜)),0)+ROUND((ROUND((_11_B通院１０．５＿０．５*_11・基礎１),0)*(1+_11・B早朝)),0)+ROUND((_11_C通院１０．５＿０．５＿０．５*_11・基礎１),0)</f>
        <v>525</v>
      </c>
      <c r="Y81" s="48"/>
    </row>
    <row r="82" spans="1:25" ht="16.5" customHeight="1" x14ac:dyDescent="0.15">
      <c r="A82" s="41">
        <v>11</v>
      </c>
      <c r="B82" s="41">
        <v>3646</v>
      </c>
      <c r="C82" s="74" t="s">
        <v>6020</v>
      </c>
      <c r="D82" s="125">
        <f>_11_A通院１０．５</f>
        <v>255</v>
      </c>
      <c r="E82" s="12" t="s">
        <v>392</v>
      </c>
      <c r="F82" s="125">
        <f>_11_B通院１０．５＿０．５</f>
        <v>147</v>
      </c>
      <c r="G82" s="12" t="s">
        <v>392</v>
      </c>
      <c r="H82" s="125">
        <f>_11_C通院１０．５＿０．５＿０．５</f>
        <v>182</v>
      </c>
      <c r="I82" s="12" t="s">
        <v>392</v>
      </c>
      <c r="J82" s="711"/>
      <c r="K82" s="37"/>
      <c r="L82" s="38"/>
      <c r="M82" s="44" t="s">
        <v>397</v>
      </c>
      <c r="N82" s="45" t="s">
        <v>398</v>
      </c>
      <c r="O82" s="46">
        <v>1</v>
      </c>
      <c r="P82" s="35"/>
      <c r="R82" s="57"/>
      <c r="S82" s="35"/>
      <c r="U82" s="57"/>
      <c r="V82" s="43"/>
      <c r="W82" s="37"/>
      <c r="X82" s="47">
        <f>ROUND((ROUND((ROUND((_11_A通院１０．５*_11・基礎１),0)*_11・２人),0)*(1+_11・A深夜)),0)+ROUND((ROUND((ROUND((_11_B通院１０．５＿０．５*_11・基礎１),0)*_11・２人),0)*(1+_11・B早朝)),0)+ROUND((ROUND((_11_C通院１０．５＿０．５＿０．５*_11・基礎１),0)*_11・２人),0)</f>
        <v>525</v>
      </c>
      <c r="Y82" s="48"/>
    </row>
    <row r="83" spans="1:25" ht="16.5" customHeight="1" x14ac:dyDescent="0.15">
      <c r="A83" s="41">
        <v>11</v>
      </c>
      <c r="B83" s="41" t="s">
        <v>6021</v>
      </c>
      <c r="C83" s="74" t="s">
        <v>6022</v>
      </c>
      <c r="D83" s="121"/>
      <c r="F83" s="121"/>
      <c r="H83" s="121"/>
      <c r="J83" s="53"/>
      <c r="K83" s="49"/>
      <c r="L83" s="50"/>
      <c r="M83" s="44"/>
      <c r="N83" s="45"/>
      <c r="O83" s="46"/>
      <c r="P83" s="35"/>
      <c r="R83" s="57"/>
      <c r="S83" s="35"/>
      <c r="U83" s="57"/>
      <c r="V83" s="707" t="s">
        <v>404</v>
      </c>
      <c r="W83" s="708"/>
      <c r="X83" s="47">
        <f>ROUND((ROUND((_11_A通院１０．５*(1+_11・A深夜)),0)*_11・初任),0)+ROUND((ROUND((_11_B通院１０．５＿０．５*(1+_11・B早朝)),0)*_11・初任),0)+ROUND((_11_C通院１０．５＿０．５＿０．５*_11・初任),0)</f>
        <v>524</v>
      </c>
      <c r="Y83" s="48"/>
    </row>
    <row r="84" spans="1:25" ht="16.5" customHeight="1" x14ac:dyDescent="0.15">
      <c r="A84" s="41">
        <v>11</v>
      </c>
      <c r="B84" s="41" t="s">
        <v>6023</v>
      </c>
      <c r="C84" s="74" t="s">
        <v>6024</v>
      </c>
      <c r="D84" s="121"/>
      <c r="F84" s="121"/>
      <c r="H84" s="121"/>
      <c r="J84" s="43"/>
      <c r="K84" s="37"/>
      <c r="L84" s="38"/>
      <c r="M84" s="44" t="s">
        <v>397</v>
      </c>
      <c r="N84" s="45" t="s">
        <v>398</v>
      </c>
      <c r="O84" s="46">
        <v>1</v>
      </c>
      <c r="P84" s="35"/>
      <c r="R84" s="57"/>
      <c r="S84" s="35"/>
      <c r="U84" s="57"/>
      <c r="V84" s="709"/>
      <c r="W84" s="704"/>
      <c r="X84" s="47">
        <f>ROUND((ROUND((ROUND((_11_A通院１０．５*_11・２人),0)*(1+_11・A深夜)),0)*_11・初任),0)+ROUND((ROUND((ROUND((_11_B通院１０．５＿０．５*_11・２人),0)*(1+_11・B早朝)),0)*_11・初任),0)+ROUND((ROUND((_11_C通院１０．５＿０．５＿０．５*_11・２人),0)*_11・初任),0)</f>
        <v>524</v>
      </c>
      <c r="Y84" s="48"/>
    </row>
    <row r="85" spans="1:25" ht="16.5" customHeight="1" x14ac:dyDescent="0.15">
      <c r="A85" s="41">
        <v>11</v>
      </c>
      <c r="B85" s="41" t="s">
        <v>6025</v>
      </c>
      <c r="C85" s="74" t="s">
        <v>6026</v>
      </c>
      <c r="D85" s="72"/>
      <c r="F85" s="72"/>
      <c r="H85" s="72"/>
      <c r="J85" s="752" t="s">
        <v>400</v>
      </c>
      <c r="K85" s="49" t="s">
        <v>398</v>
      </c>
      <c r="L85" s="50">
        <v>0.7</v>
      </c>
      <c r="M85" s="44"/>
      <c r="N85" s="45"/>
      <c r="O85" s="46"/>
      <c r="P85" s="35"/>
      <c r="R85" s="57"/>
      <c r="S85" s="35"/>
      <c r="U85" s="57"/>
      <c r="V85" s="709"/>
      <c r="W85" s="704"/>
      <c r="X85" s="47">
        <f>ROUND((ROUND((ROUND((_11_A通院１０．５*_11・基礎１),0)*(1+_11・A深夜)),0)*_11・初任),0)+ROUND((ROUND((ROUND((_11_B通院１０．５＿０．５*_11・基礎１),0)*(1+_11・B早朝)),0)*_11・初任),0)+ROUND((ROUND((_11_C通院１０．５＿０．５＿０．５*_11・基礎１),0)*_11・初任),0)</f>
        <v>367</v>
      </c>
      <c r="Y85" s="48"/>
    </row>
    <row r="86" spans="1:25" ht="16.5" customHeight="1" x14ac:dyDescent="0.15">
      <c r="A86" s="41">
        <v>11</v>
      </c>
      <c r="B86" s="41" t="s">
        <v>6027</v>
      </c>
      <c r="C86" s="74" t="s">
        <v>6028</v>
      </c>
      <c r="D86" s="72"/>
      <c r="F86" s="72"/>
      <c r="H86" s="72"/>
      <c r="J86" s="711"/>
      <c r="K86" s="37"/>
      <c r="L86" s="38"/>
      <c r="M86" s="44" t="s">
        <v>397</v>
      </c>
      <c r="N86" s="45" t="s">
        <v>398</v>
      </c>
      <c r="O86" s="46">
        <v>1</v>
      </c>
      <c r="P86" s="35"/>
      <c r="R86" s="57"/>
      <c r="S86" s="35"/>
      <c r="U86" s="57"/>
      <c r="V86" s="55" t="s">
        <v>398</v>
      </c>
      <c r="W86" s="38">
        <f>_11・初任</f>
        <v>0.7</v>
      </c>
      <c r="X86" s="47">
        <f>ROUND((ROUND((ROUND((ROUND((_11_A通院１０．５*_11・基礎１),0)*_11・２人),0)*(1+_11・A深夜)),0)*_11・初任),0)+ROUND((ROUND((ROUND((ROUND((_11_B通院１０．５＿０．５*_11・基礎１),0)*_11・２人),0)*(1+_11・B早朝)),0)*_11・初任),0)+ROUND((ROUND((ROUND((_11_C通院１０．５＿０．５＿０．５*_11・基礎１),0)*_11・２人),0)*_11・初任),0)</f>
        <v>367</v>
      </c>
      <c r="Y86" s="48"/>
    </row>
    <row r="87" spans="1:25" ht="16.5" customHeight="1" x14ac:dyDescent="0.15">
      <c r="A87" s="41">
        <v>11</v>
      </c>
      <c r="B87" s="41">
        <v>3647</v>
      </c>
      <c r="C87" s="74" t="s">
        <v>6029</v>
      </c>
      <c r="D87" s="72"/>
      <c r="F87" s="72"/>
      <c r="H87" s="707" t="s">
        <v>3650</v>
      </c>
      <c r="I87" s="717"/>
      <c r="J87" s="53"/>
      <c r="K87" s="49"/>
      <c r="L87" s="50"/>
      <c r="M87" s="44"/>
      <c r="N87" s="45"/>
      <c r="O87" s="46"/>
      <c r="P87" s="35"/>
      <c r="R87" s="57"/>
      <c r="S87" s="35"/>
      <c r="U87" s="57"/>
      <c r="V87" s="53"/>
      <c r="W87" s="49"/>
      <c r="X87" s="47">
        <f>ROUND((_11_A通院１０．５*(1+_11・A深夜)),0)+ROUND((_11_B通院１０．５＿０．５*(1+_11・B早朝)),0)+_11_C通院１０．５＿０．５＿１．０</f>
        <v>831</v>
      </c>
      <c r="Y87" s="48"/>
    </row>
    <row r="88" spans="1:25" ht="16.5" customHeight="1" x14ac:dyDescent="0.15">
      <c r="A88" s="41">
        <v>11</v>
      </c>
      <c r="B88" s="41">
        <v>3648</v>
      </c>
      <c r="C88" s="74" t="s">
        <v>6030</v>
      </c>
      <c r="D88" s="72"/>
      <c r="F88" s="72"/>
      <c r="H88" s="709"/>
      <c r="I88" s="718"/>
      <c r="J88" s="43"/>
      <c r="K88" s="37"/>
      <c r="L88" s="38"/>
      <c r="M88" s="44" t="s">
        <v>397</v>
      </c>
      <c r="N88" s="45" t="s">
        <v>398</v>
      </c>
      <c r="O88" s="46">
        <v>1</v>
      </c>
      <c r="P88" s="35"/>
      <c r="R88" s="57"/>
      <c r="S88" s="35"/>
      <c r="U88" s="57"/>
      <c r="V88" s="35"/>
      <c r="X88" s="47">
        <f>ROUND((ROUND((_11_A通院１０．５*_11・２人),0)*(1+_11・A深夜)),0)+ROUND((ROUND((_11_B通院１０．５＿０．５*_11・２人),0)*(1+_11・B早朝)),0)+ROUND((_11_C通院１０．５＿０．５＿１．０*_11・２人),0)</f>
        <v>831</v>
      </c>
      <c r="Y88" s="48"/>
    </row>
    <row r="89" spans="1:25" ht="16.5" customHeight="1" x14ac:dyDescent="0.15">
      <c r="A89" s="41">
        <v>11</v>
      </c>
      <c r="B89" s="41">
        <v>3649</v>
      </c>
      <c r="C89" s="74" t="s">
        <v>6031</v>
      </c>
      <c r="D89" s="72"/>
      <c r="F89" s="72"/>
      <c r="H89" s="709"/>
      <c r="I89" s="718"/>
      <c r="J89" s="752" t="s">
        <v>400</v>
      </c>
      <c r="K89" s="49" t="s">
        <v>398</v>
      </c>
      <c r="L89" s="50">
        <v>0.7</v>
      </c>
      <c r="M89" s="44"/>
      <c r="N89" s="45"/>
      <c r="O89" s="46"/>
      <c r="P89" s="35"/>
      <c r="R89" s="57"/>
      <c r="S89" s="35"/>
      <c r="U89" s="57"/>
      <c r="V89" s="35"/>
      <c r="X89" s="47">
        <f>ROUND((ROUND((_11_A通院１０．５*_11・基礎１),0)*(1+_11・A深夜)),0)+ROUND((ROUND((_11_B通院１０．５＿０．５*_11・基礎１),0)*(1+_11・B早朝)),0)+ROUND((_11_C通院１０．５＿０．５＿１．０*_11・基礎１),0)</f>
        <v>583</v>
      </c>
      <c r="Y89" s="48"/>
    </row>
    <row r="90" spans="1:25" ht="16.5" customHeight="1" x14ac:dyDescent="0.15">
      <c r="A90" s="41">
        <v>11</v>
      </c>
      <c r="B90" s="41">
        <v>3650</v>
      </c>
      <c r="C90" s="74" t="s">
        <v>6032</v>
      </c>
      <c r="D90" s="72"/>
      <c r="F90" s="72"/>
      <c r="H90" s="125">
        <f>_11_C通院１０．５＿０．５＿１．０</f>
        <v>264</v>
      </c>
      <c r="I90" s="12" t="s">
        <v>392</v>
      </c>
      <c r="J90" s="711"/>
      <c r="K90" s="37"/>
      <c r="L90" s="38"/>
      <c r="M90" s="44" t="s">
        <v>397</v>
      </c>
      <c r="N90" s="45" t="s">
        <v>398</v>
      </c>
      <c r="O90" s="46">
        <v>1</v>
      </c>
      <c r="P90" s="35"/>
      <c r="R90" s="57"/>
      <c r="S90" s="35"/>
      <c r="U90" s="57"/>
      <c r="V90" s="43"/>
      <c r="W90" s="37"/>
      <c r="X90" s="47">
        <f>ROUND((ROUND((ROUND((_11_A通院１０．５*_11・基礎１),0)*_11・２人),0)*(1+_11・A深夜)),0)+ROUND((ROUND((ROUND((_11_B通院１０．５＿０．５*_11・基礎１),0)*_11・２人),0)*(1+_11・B早朝)),0)+ROUND((ROUND((_11_C通院１０．５＿０．５＿１．０*_11・基礎１),0)*_11・２人),0)</f>
        <v>583</v>
      </c>
      <c r="Y90" s="48"/>
    </row>
    <row r="91" spans="1:25" ht="16.5" customHeight="1" x14ac:dyDescent="0.15">
      <c r="A91" s="41">
        <v>11</v>
      </c>
      <c r="B91" s="41" t="s">
        <v>6033</v>
      </c>
      <c r="C91" s="74" t="s">
        <v>6034</v>
      </c>
      <c r="D91" s="72"/>
      <c r="F91" s="72"/>
      <c r="H91" s="121"/>
      <c r="J91" s="53"/>
      <c r="K91" s="49"/>
      <c r="L91" s="50"/>
      <c r="M91" s="44"/>
      <c r="N91" s="45"/>
      <c r="O91" s="46"/>
      <c r="P91" s="35"/>
      <c r="R91" s="57"/>
      <c r="S91" s="35"/>
      <c r="U91" s="57"/>
      <c r="V91" s="707" t="s">
        <v>404</v>
      </c>
      <c r="W91" s="708"/>
      <c r="X91" s="47">
        <f>ROUND((ROUND((_11_A通院１０．５*(1+_11・A深夜)),0)*_11・初任),0)+ROUND((ROUND((_11_B通院１０．５＿０．５*(1+_11・B早朝)),0)*_11・初任),0)+ROUND((_11_C通院１０．５＿０．５＿１．０*_11・初任),0)</f>
        <v>582</v>
      </c>
      <c r="Y91" s="48"/>
    </row>
    <row r="92" spans="1:25" ht="16.5" customHeight="1" x14ac:dyDescent="0.15">
      <c r="A92" s="41">
        <v>11</v>
      </c>
      <c r="B92" s="41" t="s">
        <v>6035</v>
      </c>
      <c r="C92" s="74" t="s">
        <v>6036</v>
      </c>
      <c r="D92" s="72"/>
      <c r="F92" s="72"/>
      <c r="H92" s="121"/>
      <c r="J92" s="43"/>
      <c r="K92" s="37"/>
      <c r="L92" s="38"/>
      <c r="M92" s="44" t="s">
        <v>397</v>
      </c>
      <c r="N92" s="45" t="s">
        <v>398</v>
      </c>
      <c r="O92" s="46">
        <v>1</v>
      </c>
      <c r="P92" s="35"/>
      <c r="R92" s="57"/>
      <c r="S92" s="35"/>
      <c r="U92" s="57"/>
      <c r="V92" s="709"/>
      <c r="W92" s="704"/>
      <c r="X92" s="47">
        <f>ROUND((ROUND((ROUND((_11_A通院１０．５*_11・２人),0)*(1+_11・A深夜)),0)*_11・初任),0)+ROUND((ROUND((ROUND((_11_B通院１０．５＿０．５*_11・２人),0)*(1+_11・B早朝)),0)*_11・初任),0)+ROUND((ROUND((_11_C通院１０．５＿０．５＿１．０*_11・２人),0)*_11・初任),0)</f>
        <v>582</v>
      </c>
      <c r="Y92" s="48"/>
    </row>
    <row r="93" spans="1:25" ht="16.5" customHeight="1" x14ac:dyDescent="0.15">
      <c r="A93" s="41">
        <v>11</v>
      </c>
      <c r="B93" s="41" t="s">
        <v>6037</v>
      </c>
      <c r="C93" s="74" t="s">
        <v>6038</v>
      </c>
      <c r="D93" s="72"/>
      <c r="F93" s="72"/>
      <c r="H93" s="72"/>
      <c r="J93" s="752" t="s">
        <v>400</v>
      </c>
      <c r="K93" s="49" t="s">
        <v>398</v>
      </c>
      <c r="L93" s="50">
        <v>0.7</v>
      </c>
      <c r="M93" s="44"/>
      <c r="N93" s="45"/>
      <c r="O93" s="46"/>
      <c r="P93" s="35"/>
      <c r="R93" s="57"/>
      <c r="S93" s="35"/>
      <c r="U93" s="57"/>
      <c r="V93" s="709"/>
      <c r="W93" s="704"/>
      <c r="X93" s="47">
        <f>ROUND((ROUND((ROUND((_11_A通院１０．５*_11・基礎１),0)*(1+_11・A深夜)),0)*_11・初任),0)+ROUND((ROUND((ROUND((_11_B通院１０．５＿０．５*_11・基礎１),0)*(1+_11・B早朝)),0)*_11・初任),0)+ROUND((ROUND((_11_C通院１０．５＿０．５＿１．０*_11・基礎１),0)*_11・初任),0)</f>
        <v>408</v>
      </c>
      <c r="Y93" s="48"/>
    </row>
    <row r="94" spans="1:25" ht="16.5" customHeight="1" x14ac:dyDescent="0.15">
      <c r="A94" s="41">
        <v>11</v>
      </c>
      <c r="B94" s="41" t="s">
        <v>6039</v>
      </c>
      <c r="C94" s="74" t="s">
        <v>6040</v>
      </c>
      <c r="D94" s="72"/>
      <c r="F94" s="72"/>
      <c r="H94" s="72"/>
      <c r="J94" s="711"/>
      <c r="K94" s="37"/>
      <c r="L94" s="38"/>
      <c r="M94" s="44" t="s">
        <v>397</v>
      </c>
      <c r="N94" s="45" t="s">
        <v>398</v>
      </c>
      <c r="O94" s="46">
        <v>1</v>
      </c>
      <c r="P94" s="35"/>
      <c r="R94" s="57"/>
      <c r="S94" s="35"/>
      <c r="U94" s="57"/>
      <c r="V94" s="55" t="s">
        <v>398</v>
      </c>
      <c r="W94" s="38">
        <f>_11・初任</f>
        <v>0.7</v>
      </c>
      <c r="X94" s="47">
        <f>ROUND((ROUND((ROUND((ROUND((_11_A通院１０．５*_11・基礎１),0)*_11・２人),0)*(1+_11・A深夜)),0)*_11・初任),0)+ROUND((ROUND((ROUND((ROUND((_11_B通院１０．５＿０．５*_11・基礎１),0)*_11・２人),0)*(1+_11・B早朝)),0)*_11・初任),0)+ROUND((ROUND((ROUND((_11_C通院１０．５＿０．５＿１．０*_11・基礎１),0)*_11・２人),0)*_11・初任),0)</f>
        <v>408</v>
      </c>
      <c r="Y94" s="48"/>
    </row>
    <row r="95" spans="1:25" ht="16.5" customHeight="1" x14ac:dyDescent="0.15">
      <c r="A95" s="41">
        <v>11</v>
      </c>
      <c r="B95" s="41">
        <v>3651</v>
      </c>
      <c r="C95" s="74" t="s">
        <v>6041</v>
      </c>
      <c r="D95" s="72"/>
      <c r="F95" s="72"/>
      <c r="H95" s="707" t="s">
        <v>1253</v>
      </c>
      <c r="I95" s="717"/>
      <c r="J95" s="53"/>
      <c r="K95" s="49"/>
      <c r="L95" s="50"/>
      <c r="M95" s="44"/>
      <c r="N95" s="45"/>
      <c r="O95" s="46"/>
      <c r="P95" s="35"/>
      <c r="R95" s="57"/>
      <c r="S95" s="35"/>
      <c r="U95" s="57"/>
      <c r="V95" s="53"/>
      <c r="W95" s="49"/>
      <c r="X95" s="47">
        <f>ROUND((_11_A通院１０．５*(1+_11・A深夜)),0)+ROUND((_11_B通院１０．５＿０．５*(1+_11・B早朝)),0)+_11_C通院１０．５＿０．５＿１．５</f>
        <v>915</v>
      </c>
      <c r="Y95" s="48"/>
    </row>
    <row r="96" spans="1:25" ht="16.5" customHeight="1" x14ac:dyDescent="0.15">
      <c r="A96" s="41">
        <v>11</v>
      </c>
      <c r="B96" s="41">
        <v>3652</v>
      </c>
      <c r="C96" s="74" t="s">
        <v>6042</v>
      </c>
      <c r="D96" s="72"/>
      <c r="F96" s="72"/>
      <c r="H96" s="709"/>
      <c r="I96" s="718"/>
      <c r="J96" s="43"/>
      <c r="K96" s="37"/>
      <c r="L96" s="38"/>
      <c r="M96" s="44" t="s">
        <v>397</v>
      </c>
      <c r="N96" s="45" t="s">
        <v>398</v>
      </c>
      <c r="O96" s="46">
        <v>1</v>
      </c>
      <c r="P96" s="35"/>
      <c r="R96" s="57"/>
      <c r="S96" s="35"/>
      <c r="U96" s="57"/>
      <c r="V96" s="35"/>
      <c r="X96" s="47">
        <f>ROUND((ROUND((_11_A通院１０．５*_11・２人),0)*(1+_11・A深夜)),0)+ROUND((ROUND((_11_B通院１０．５＿０．５*_11・２人),0)*(1+_11・B早朝)),0)+ROUND((_11_C通院１０．５＿０．５＿１．５*_11・２人),0)</f>
        <v>915</v>
      </c>
      <c r="Y96" s="48"/>
    </row>
    <row r="97" spans="1:25" ht="16.5" customHeight="1" x14ac:dyDescent="0.15">
      <c r="A97" s="41">
        <v>11</v>
      </c>
      <c r="B97" s="41">
        <v>3653</v>
      </c>
      <c r="C97" s="74" t="s">
        <v>6043</v>
      </c>
      <c r="D97" s="72"/>
      <c r="F97" s="72"/>
      <c r="H97" s="709"/>
      <c r="I97" s="718"/>
      <c r="J97" s="752" t="s">
        <v>400</v>
      </c>
      <c r="K97" s="49" t="s">
        <v>398</v>
      </c>
      <c r="L97" s="50">
        <v>0.7</v>
      </c>
      <c r="M97" s="44"/>
      <c r="N97" s="45"/>
      <c r="O97" s="46"/>
      <c r="P97" s="35"/>
      <c r="R97" s="57"/>
      <c r="S97" s="35"/>
      <c r="U97" s="57"/>
      <c r="V97" s="35"/>
      <c r="X97" s="47">
        <f>ROUND((ROUND((_11_A通院１０．５*_11・基礎１),0)*(1+_11・A深夜)),0)+ROUND((ROUND((_11_B通院１０．５＿０．５*_11・基礎１),0)*(1+_11・B早朝)),0)+ROUND((_11_C通院１０．５＿０．５＿１．５*_11・基礎１),0)</f>
        <v>642</v>
      </c>
      <c r="Y97" s="48"/>
    </row>
    <row r="98" spans="1:25" ht="16.5" customHeight="1" x14ac:dyDescent="0.15">
      <c r="A98" s="41">
        <v>11</v>
      </c>
      <c r="B98" s="41">
        <v>3654</v>
      </c>
      <c r="C98" s="74" t="s">
        <v>6044</v>
      </c>
      <c r="D98" s="72"/>
      <c r="F98" s="72"/>
      <c r="H98" s="125">
        <f>_11_C通院１０．５＿０．５＿１．５</f>
        <v>348</v>
      </c>
      <c r="I98" s="12" t="s">
        <v>392</v>
      </c>
      <c r="J98" s="711"/>
      <c r="K98" s="37"/>
      <c r="L98" s="38"/>
      <c r="M98" s="44" t="s">
        <v>397</v>
      </c>
      <c r="N98" s="45" t="s">
        <v>398</v>
      </c>
      <c r="O98" s="46">
        <v>1</v>
      </c>
      <c r="P98" s="35"/>
      <c r="R98" s="57"/>
      <c r="S98" s="35"/>
      <c r="U98" s="57"/>
      <c r="V98" s="43"/>
      <c r="W98" s="37"/>
      <c r="X98" s="47">
        <f>ROUND((ROUND((ROUND((_11_A通院１０．５*_11・基礎１),0)*_11・２人),0)*(1+_11・A深夜)),0)+ROUND((ROUND((ROUND((_11_B通院１０．５＿０．５*_11・基礎１),0)*_11・２人),0)*(1+_11・B早朝)),0)+ROUND((ROUND((_11_C通院１０．５＿０．５＿１．５*_11・基礎１),0)*_11・２人),0)</f>
        <v>642</v>
      </c>
      <c r="Y98" s="48"/>
    </row>
    <row r="99" spans="1:25" ht="16.5" customHeight="1" x14ac:dyDescent="0.15">
      <c r="A99" s="41">
        <v>11</v>
      </c>
      <c r="B99" s="41" t="s">
        <v>6045</v>
      </c>
      <c r="C99" s="74" t="s">
        <v>6046</v>
      </c>
      <c r="D99" s="72"/>
      <c r="F99" s="72"/>
      <c r="H99" s="121"/>
      <c r="J99" s="53"/>
      <c r="K99" s="49"/>
      <c r="L99" s="50"/>
      <c r="M99" s="44"/>
      <c r="N99" s="45"/>
      <c r="O99" s="46"/>
      <c r="P99" s="35"/>
      <c r="R99" s="57"/>
      <c r="S99" s="35"/>
      <c r="U99" s="57"/>
      <c r="V99" s="707" t="s">
        <v>404</v>
      </c>
      <c r="W99" s="708"/>
      <c r="X99" s="47">
        <f>ROUND((ROUND((_11_A通院１０．５*(1+_11・A深夜)),0)*_11・初任),0)+ROUND((ROUND((_11_B通院１０．５＿０．５*(1+_11・B早朝)),0)*_11・初任),0)+ROUND((_11_C通院１０．５＿０．５＿１．５*_11・初任),0)</f>
        <v>641</v>
      </c>
      <c r="Y99" s="48"/>
    </row>
    <row r="100" spans="1:25" ht="16.5" customHeight="1" x14ac:dyDescent="0.15">
      <c r="A100" s="41">
        <v>11</v>
      </c>
      <c r="B100" s="41" t="s">
        <v>6047</v>
      </c>
      <c r="C100" s="74" t="s">
        <v>6048</v>
      </c>
      <c r="D100" s="72"/>
      <c r="F100" s="72"/>
      <c r="H100" s="121"/>
      <c r="J100" s="43"/>
      <c r="K100" s="37"/>
      <c r="L100" s="38"/>
      <c r="M100" s="44" t="s">
        <v>397</v>
      </c>
      <c r="N100" s="45" t="s">
        <v>398</v>
      </c>
      <c r="O100" s="46">
        <v>1</v>
      </c>
      <c r="P100" s="35"/>
      <c r="R100" s="57"/>
      <c r="S100" s="35"/>
      <c r="U100" s="57"/>
      <c r="V100" s="709"/>
      <c r="W100" s="704"/>
      <c r="X100" s="47">
        <f>ROUND((ROUND((ROUND((_11_A通院１０．５*_11・２人),0)*(1+_11・A深夜)),0)*_11・初任),0)+ROUND((ROUND((ROUND((_11_B通院１０．５＿０．５*_11・２人),0)*(1+_11・B早朝)),0)*_11・初任),0)+ROUND((ROUND((_11_C通院１０．５＿０．５＿１．５*_11・２人),0)*_11・初任),0)</f>
        <v>641</v>
      </c>
      <c r="Y100" s="48"/>
    </row>
    <row r="101" spans="1:25" ht="16.5" customHeight="1" x14ac:dyDescent="0.15">
      <c r="A101" s="41">
        <v>11</v>
      </c>
      <c r="B101" s="41" t="s">
        <v>6049</v>
      </c>
      <c r="C101" s="74" t="s">
        <v>6050</v>
      </c>
      <c r="D101" s="72"/>
      <c r="F101" s="72"/>
      <c r="H101" s="72"/>
      <c r="J101" s="752" t="s">
        <v>400</v>
      </c>
      <c r="K101" s="49" t="s">
        <v>398</v>
      </c>
      <c r="L101" s="50">
        <v>0.7</v>
      </c>
      <c r="M101" s="44"/>
      <c r="N101" s="45"/>
      <c r="O101" s="189"/>
      <c r="P101" s="35"/>
      <c r="R101" s="57"/>
      <c r="S101" s="35"/>
      <c r="U101" s="57"/>
      <c r="V101" s="709"/>
      <c r="W101" s="704"/>
      <c r="X101" s="47">
        <f>ROUND((ROUND((ROUND((_11_A通院１０．５*_11・基礎１),0)*(1+_11・A深夜)),0)*_11・初任),0)+ROUND((ROUND((ROUND((_11_B通院１０．５＿０．５*_11・基礎１),0)*(1+_11・B早朝)),0)*_11・初任),0)+ROUND((ROUND((_11_C通院１０．５＿０．５＿１．５*_11・基礎１),0)*_11・初任),0)</f>
        <v>449</v>
      </c>
      <c r="Y101" s="48"/>
    </row>
    <row r="102" spans="1:25" ht="16.5" customHeight="1" x14ac:dyDescent="0.15">
      <c r="A102" s="41">
        <v>11</v>
      </c>
      <c r="B102" s="41" t="s">
        <v>6051</v>
      </c>
      <c r="C102" s="74" t="s">
        <v>6052</v>
      </c>
      <c r="D102" s="72"/>
      <c r="E102" s="57"/>
      <c r="F102" s="72"/>
      <c r="H102" s="122"/>
      <c r="I102" s="37"/>
      <c r="J102" s="711"/>
      <c r="K102" s="37"/>
      <c r="L102" s="38"/>
      <c r="M102" s="44" t="s">
        <v>397</v>
      </c>
      <c r="N102" s="45" t="s">
        <v>398</v>
      </c>
      <c r="O102" s="189">
        <v>1</v>
      </c>
      <c r="P102" s="35"/>
      <c r="R102" s="57"/>
      <c r="S102" s="35"/>
      <c r="U102" s="57"/>
      <c r="V102" s="55" t="s">
        <v>398</v>
      </c>
      <c r="W102" s="38">
        <f>_11・初任</f>
        <v>0.7</v>
      </c>
      <c r="X102" s="47">
        <f>ROUND((ROUND((ROUND((ROUND((_11_A通院１０．５*_11・基礎１),0)*_11・２人),0)*(1+_11・A深夜)),0)*_11・初任),0)+ROUND((ROUND((ROUND((ROUND((_11_B通院１０．５＿０．５*_11・基礎１),0)*_11・２人),0)*(1+_11・B早朝)),0)*_11・初任),0)+ROUND((ROUND((ROUND((_11_C通院１０．５＿０．５＿１．５*_11・基礎１),0)*_11・２人),0)*_11・初任),0)</f>
        <v>449</v>
      </c>
      <c r="Y102" s="48"/>
    </row>
    <row r="103" spans="1:25" ht="16.5" customHeight="1" x14ac:dyDescent="0.15">
      <c r="A103" s="41">
        <v>11</v>
      </c>
      <c r="B103" s="41">
        <v>3655</v>
      </c>
      <c r="C103" s="74" t="s">
        <v>6053</v>
      </c>
      <c r="D103" s="132"/>
      <c r="E103" s="106"/>
      <c r="F103" s="72"/>
      <c r="H103" s="707" t="s">
        <v>3663</v>
      </c>
      <c r="I103" s="717"/>
      <c r="J103" s="53"/>
      <c r="K103" s="49"/>
      <c r="L103" s="50"/>
      <c r="M103" s="44"/>
      <c r="N103" s="45"/>
      <c r="O103" s="46"/>
      <c r="P103" s="35"/>
      <c r="R103" s="57"/>
      <c r="S103" s="35"/>
      <c r="U103" s="57"/>
      <c r="V103" s="53"/>
      <c r="W103" s="49"/>
      <c r="X103" s="47">
        <f>ROUND((_11_A通院１０．５*(1+_11・A深夜)),0)+ROUND((_11_B通院１０．５＿０．５*(1+_11・B早朝)),0)+_11_C通院１０．５＿０．５＿２．０</f>
        <v>998</v>
      </c>
      <c r="Y103" s="48"/>
    </row>
    <row r="104" spans="1:25" ht="16.5" customHeight="1" x14ac:dyDescent="0.15">
      <c r="A104" s="41">
        <v>11</v>
      </c>
      <c r="B104" s="41">
        <v>3656</v>
      </c>
      <c r="C104" s="74" t="s">
        <v>6054</v>
      </c>
      <c r="D104" s="132"/>
      <c r="E104" s="106"/>
      <c r="F104" s="72"/>
      <c r="H104" s="709"/>
      <c r="I104" s="718"/>
      <c r="J104" s="43"/>
      <c r="K104" s="37"/>
      <c r="L104" s="38"/>
      <c r="M104" s="44" t="s">
        <v>397</v>
      </c>
      <c r="N104" s="45" t="s">
        <v>398</v>
      </c>
      <c r="O104" s="46">
        <v>1</v>
      </c>
      <c r="P104" s="35"/>
      <c r="R104" s="57"/>
      <c r="S104" s="35"/>
      <c r="U104" s="57"/>
      <c r="V104" s="35"/>
      <c r="X104" s="47">
        <f>ROUND((ROUND((_11_A通院１０．５*_11・２人),0)*(1+_11・A深夜)),0)+ROUND((ROUND((_11_B通院１０．５＿０．５*_11・２人),0)*(1+_11・B早朝)),0)+ROUND((_11_C通院１０．５＿０．５＿２．０*_11・２人),0)</f>
        <v>998</v>
      </c>
      <c r="Y104" s="48"/>
    </row>
    <row r="105" spans="1:25" ht="16.5" customHeight="1" x14ac:dyDescent="0.15">
      <c r="A105" s="41">
        <v>11</v>
      </c>
      <c r="B105" s="41">
        <v>3657</v>
      </c>
      <c r="C105" s="74" t="s">
        <v>6055</v>
      </c>
      <c r="D105" s="132"/>
      <c r="E105" s="106"/>
      <c r="F105" s="72"/>
      <c r="H105" s="709"/>
      <c r="I105" s="718"/>
      <c r="J105" s="752" t="s">
        <v>400</v>
      </c>
      <c r="K105" s="49" t="s">
        <v>398</v>
      </c>
      <c r="L105" s="50">
        <v>0.7</v>
      </c>
      <c r="M105" s="44"/>
      <c r="N105" s="45"/>
      <c r="O105" s="46"/>
      <c r="P105" s="35"/>
      <c r="R105" s="57"/>
      <c r="S105" s="35"/>
      <c r="U105" s="57"/>
      <c r="V105" s="35"/>
      <c r="X105" s="47">
        <f>ROUND((ROUND((_11_A通院１０．５*_11・基礎１),0)*(1+_11・A深夜)),0)+ROUND((ROUND((_11_B通院１０．５＿０．５*_11・基礎１),0)*(1+_11・B早朝)),0)+ROUND((_11_C通院１０．５＿０．５＿２．０*_11・基礎１),0)</f>
        <v>700</v>
      </c>
      <c r="Y105" s="48"/>
    </row>
    <row r="106" spans="1:25" ht="16.5" customHeight="1" x14ac:dyDescent="0.15">
      <c r="A106" s="41">
        <v>11</v>
      </c>
      <c r="B106" s="41">
        <v>3658</v>
      </c>
      <c r="C106" s="74" t="s">
        <v>6056</v>
      </c>
      <c r="D106" s="125"/>
      <c r="E106" s="57"/>
      <c r="F106" s="72"/>
      <c r="H106" s="125">
        <f>_11_C通院１０．５＿０．５＿２．０</f>
        <v>431</v>
      </c>
      <c r="I106" s="12" t="s">
        <v>392</v>
      </c>
      <c r="J106" s="711"/>
      <c r="K106" s="37"/>
      <c r="L106" s="38"/>
      <c r="M106" s="44" t="s">
        <v>397</v>
      </c>
      <c r="N106" s="45" t="s">
        <v>398</v>
      </c>
      <c r="O106" s="46">
        <v>1</v>
      </c>
      <c r="P106" s="35"/>
      <c r="R106" s="57"/>
      <c r="S106" s="35"/>
      <c r="U106" s="57"/>
      <c r="V106" s="43"/>
      <c r="W106" s="37"/>
      <c r="X106" s="47">
        <f>ROUND((ROUND((ROUND((_11_A通院１０．５*_11・基礎１),0)*_11・２人),0)*(1+_11・A深夜)),0)+ROUND((ROUND((ROUND((_11_B通院１０．５＿０．５*_11・基礎１),0)*_11・２人),0)*(1+_11・B早朝)),0)+ROUND((ROUND((_11_C通院１０．５＿０．５＿２．０*_11・基礎１),0)*_11・２人),0)</f>
        <v>700</v>
      </c>
      <c r="Y106" s="48"/>
    </row>
    <row r="107" spans="1:25" ht="16.5" customHeight="1" x14ac:dyDescent="0.15">
      <c r="A107" s="41">
        <v>11</v>
      </c>
      <c r="B107" s="41" t="s">
        <v>6057</v>
      </c>
      <c r="C107" s="74" t="s">
        <v>6058</v>
      </c>
      <c r="D107" s="72"/>
      <c r="F107" s="72"/>
      <c r="H107" s="121"/>
      <c r="J107" s="53"/>
      <c r="K107" s="49"/>
      <c r="L107" s="50"/>
      <c r="M107" s="44"/>
      <c r="N107" s="45"/>
      <c r="O107" s="46"/>
      <c r="P107" s="35"/>
      <c r="R107" s="57"/>
      <c r="S107" s="35"/>
      <c r="U107" s="57"/>
      <c r="V107" s="707" t="s">
        <v>404</v>
      </c>
      <c r="W107" s="708"/>
      <c r="X107" s="47">
        <f>ROUND((ROUND((_11_A通院１０．５*(1+_11・A深夜)),0)*_11・初任),0)+ROUND((ROUND((_11_B通院１０．５＿０．５*(1+_11・B早朝)),0)*_11・初任),0)+ROUND((_11_C通院１０．５＿０．５＿２．０*_11・初任),0)</f>
        <v>699</v>
      </c>
      <c r="Y107" s="48"/>
    </row>
    <row r="108" spans="1:25" ht="16.5" customHeight="1" x14ac:dyDescent="0.15">
      <c r="A108" s="41">
        <v>11</v>
      </c>
      <c r="B108" s="41" t="s">
        <v>6059</v>
      </c>
      <c r="C108" s="74" t="s">
        <v>6060</v>
      </c>
      <c r="D108" s="72"/>
      <c r="F108" s="72"/>
      <c r="H108" s="121"/>
      <c r="J108" s="43"/>
      <c r="K108" s="37"/>
      <c r="L108" s="38"/>
      <c r="M108" s="44" t="s">
        <v>397</v>
      </c>
      <c r="N108" s="45" t="s">
        <v>398</v>
      </c>
      <c r="O108" s="46">
        <v>1</v>
      </c>
      <c r="P108" s="35"/>
      <c r="R108" s="57"/>
      <c r="S108" s="35"/>
      <c r="U108" s="57"/>
      <c r="V108" s="709"/>
      <c r="W108" s="704"/>
      <c r="X108" s="47">
        <f>ROUND((ROUND((ROUND((_11_A通院１０．５*_11・２人),0)*(1+_11・A深夜)),0)*_11・初任),0)+ROUND((ROUND((ROUND((_11_B通院１０．５＿０．５*_11・２人),0)*(1+_11・B早朝)),0)*_11・初任),0)+ROUND((ROUND((_11_C通院１０．５＿０．５＿２．０*_11・２人),0)*_11・初任),0)</f>
        <v>699</v>
      </c>
      <c r="Y108" s="48"/>
    </row>
    <row r="109" spans="1:25" ht="16.5" customHeight="1" x14ac:dyDescent="0.15">
      <c r="A109" s="41">
        <v>11</v>
      </c>
      <c r="B109" s="41" t="s">
        <v>6061</v>
      </c>
      <c r="C109" s="74" t="s">
        <v>6062</v>
      </c>
      <c r="D109" s="72"/>
      <c r="F109" s="72"/>
      <c r="H109" s="72"/>
      <c r="J109" s="752" t="s">
        <v>400</v>
      </c>
      <c r="K109" s="49" t="s">
        <v>398</v>
      </c>
      <c r="L109" s="50">
        <v>0.7</v>
      </c>
      <c r="M109" s="44"/>
      <c r="N109" s="45"/>
      <c r="O109" s="46"/>
      <c r="P109" s="35"/>
      <c r="R109" s="57"/>
      <c r="S109" s="35"/>
      <c r="U109" s="57"/>
      <c r="V109" s="709"/>
      <c r="W109" s="704"/>
      <c r="X109" s="47">
        <f>ROUND((ROUND((ROUND((_11_A通院１０．５*_11・基礎１),0)*(1+_11・A深夜)),0)*_11・初任),0)+ROUND((ROUND((ROUND((_11_B通院１０．５＿０．５*_11・基礎１),0)*(1+_11・B早朝)),0)*_11・初任),0)+ROUND((ROUND((_11_C通院１０．５＿０．５＿２．０*_11・基礎１),0)*_11・初任),0)</f>
        <v>489</v>
      </c>
      <c r="Y109" s="48"/>
    </row>
    <row r="110" spans="1:25" ht="16.5" customHeight="1" x14ac:dyDescent="0.15">
      <c r="A110" s="41">
        <v>11</v>
      </c>
      <c r="B110" s="41" t="s">
        <v>6063</v>
      </c>
      <c r="C110" s="74" t="s">
        <v>6064</v>
      </c>
      <c r="D110" s="122"/>
      <c r="E110" s="37"/>
      <c r="F110" s="122"/>
      <c r="G110" s="37"/>
      <c r="H110" s="122"/>
      <c r="I110" s="79"/>
      <c r="J110" s="711"/>
      <c r="K110" s="37"/>
      <c r="L110" s="38"/>
      <c r="M110" s="44" t="s">
        <v>397</v>
      </c>
      <c r="N110" s="45" t="s">
        <v>398</v>
      </c>
      <c r="O110" s="46">
        <v>1</v>
      </c>
      <c r="P110" s="35"/>
      <c r="R110" s="57"/>
      <c r="S110" s="35"/>
      <c r="U110" s="57"/>
      <c r="V110" s="55" t="s">
        <v>398</v>
      </c>
      <c r="W110" s="38">
        <f>_11・初任</f>
        <v>0.7</v>
      </c>
      <c r="X110" s="47">
        <f>ROUND((ROUND((ROUND((ROUND((_11_A通院１０．５*_11・基礎１),0)*_11・２人),0)*(1+_11・A深夜)),0)*_11・初任),0)+ROUND((ROUND((ROUND((ROUND((_11_B通院１０．５＿０．５*_11・基礎１),0)*_11・２人),0)*(1+_11・B早朝)),0)*_11・初任),0)+ROUND((ROUND((ROUND((_11_C通院１０．５＿０．５＿２．０*_11・基礎１),0)*_11・２人),0)*_11・初任),0)</f>
        <v>489</v>
      </c>
      <c r="Y110" s="48"/>
    </row>
    <row r="111" spans="1:25" ht="16.5" customHeight="1" x14ac:dyDescent="0.15">
      <c r="A111" s="33">
        <v>11</v>
      </c>
      <c r="B111" s="33">
        <v>3659</v>
      </c>
      <c r="C111" s="34" t="s">
        <v>6065</v>
      </c>
      <c r="D111" s="709" t="s">
        <v>6066</v>
      </c>
      <c r="E111" s="718"/>
      <c r="F111" s="709" t="s">
        <v>3602</v>
      </c>
      <c r="G111" s="718"/>
      <c r="H111" s="709" t="s">
        <v>3643</v>
      </c>
      <c r="I111" s="718"/>
      <c r="J111" s="35"/>
      <c r="M111" s="36"/>
      <c r="N111" s="37"/>
      <c r="O111" s="38"/>
      <c r="P111" s="35"/>
      <c r="R111" s="57"/>
      <c r="S111" s="35"/>
      <c r="U111" s="57"/>
      <c r="V111" s="35"/>
      <c r="X111" s="39">
        <f>ROUND((_11_A通院１１．０*(1+_11・A深夜)),0)+ROUND((_11_B通院１１．０＿０．５*(1+_11・B早朝)),0)+_11_C通院１１．０＿０．５＿０．５</f>
        <v>913</v>
      </c>
      <c r="Y111" s="48"/>
    </row>
    <row r="112" spans="1:25" ht="16.5" customHeight="1" x14ac:dyDescent="0.15">
      <c r="A112" s="41">
        <v>11</v>
      </c>
      <c r="B112" s="41">
        <v>3660</v>
      </c>
      <c r="C112" s="74" t="s">
        <v>6067</v>
      </c>
      <c r="D112" s="709"/>
      <c r="E112" s="718"/>
      <c r="F112" s="709"/>
      <c r="G112" s="718"/>
      <c r="H112" s="709"/>
      <c r="I112" s="718"/>
      <c r="J112" s="43"/>
      <c r="K112" s="37"/>
      <c r="L112" s="38"/>
      <c r="M112" s="44" t="s">
        <v>397</v>
      </c>
      <c r="N112" s="45" t="s">
        <v>398</v>
      </c>
      <c r="O112" s="46">
        <v>1</v>
      </c>
      <c r="P112" s="35"/>
      <c r="R112" s="57"/>
      <c r="S112" s="35"/>
      <c r="U112" s="57"/>
      <c r="V112" s="35"/>
      <c r="X112" s="47">
        <f>ROUND((ROUND((_11_A通院１１．０*_11・２人),0)*(1+_11・A深夜)),0)+ROUND((ROUND((_11_B通院１１．０＿０．５*_11・２人),0)*(1+_11・B早朝)),0)+ROUND((_11_C通院１１．０＿０．５＿０．５*_11・２人),0)</f>
        <v>913</v>
      </c>
      <c r="Y112" s="48"/>
    </row>
    <row r="113" spans="1:25" ht="16.5" customHeight="1" x14ac:dyDescent="0.15">
      <c r="A113" s="41">
        <v>11</v>
      </c>
      <c r="B113" s="41">
        <v>3661</v>
      </c>
      <c r="C113" s="74" t="s">
        <v>6068</v>
      </c>
      <c r="D113" s="709"/>
      <c r="E113" s="718"/>
      <c r="F113" s="709"/>
      <c r="G113" s="718"/>
      <c r="H113" s="709"/>
      <c r="I113" s="718"/>
      <c r="J113" s="752" t="s">
        <v>400</v>
      </c>
      <c r="K113" s="49" t="s">
        <v>398</v>
      </c>
      <c r="L113" s="50">
        <v>0.7</v>
      </c>
      <c r="M113" s="44"/>
      <c r="N113" s="45"/>
      <c r="O113" s="46"/>
      <c r="P113" s="35"/>
      <c r="R113" s="57"/>
      <c r="S113" s="35"/>
      <c r="U113" s="57"/>
      <c r="V113" s="35"/>
      <c r="X113" s="47">
        <f>ROUND((ROUND((_11_A通院１１．０*_11・基礎１),0)*(1+_11・A深夜)),0)+ROUND((ROUND((_11_B通院１１．０＿０．５*_11・基礎１),0)*(1+_11・B早朝)),0)+ROUND((_11_C通院１１．０＿０．５＿０．５*_11・基礎１),0)</f>
        <v>638</v>
      </c>
      <c r="Y113" s="48"/>
    </row>
    <row r="114" spans="1:25" ht="16.5" customHeight="1" x14ac:dyDescent="0.15">
      <c r="A114" s="41">
        <v>11</v>
      </c>
      <c r="B114" s="41">
        <v>3662</v>
      </c>
      <c r="C114" s="74" t="s">
        <v>6069</v>
      </c>
      <c r="D114" s="125">
        <f>_11_A通院１１．０</f>
        <v>402</v>
      </c>
      <c r="E114" s="12" t="s">
        <v>392</v>
      </c>
      <c r="F114" s="125">
        <f>_11_B通院１１．０＿０．５</f>
        <v>182</v>
      </c>
      <c r="G114" s="12" t="s">
        <v>392</v>
      </c>
      <c r="H114" s="125">
        <f>_11_C通院１１．０＿０．５＿０．５</f>
        <v>82</v>
      </c>
      <c r="I114" s="12" t="s">
        <v>392</v>
      </c>
      <c r="J114" s="711"/>
      <c r="K114" s="37"/>
      <c r="L114" s="38"/>
      <c r="M114" s="44" t="s">
        <v>397</v>
      </c>
      <c r="N114" s="45" t="s">
        <v>398</v>
      </c>
      <c r="O114" s="46">
        <v>1</v>
      </c>
      <c r="P114" s="35"/>
      <c r="R114" s="57"/>
      <c r="S114" s="35"/>
      <c r="U114" s="57"/>
      <c r="V114" s="43"/>
      <c r="W114" s="37"/>
      <c r="X114" s="47">
        <f>ROUND((ROUND((ROUND((_11_A通院１１．０*_11・基礎１),0)*_11・２人),0)*(1+_11・A深夜)),0)+ROUND((ROUND((ROUND((_11_B通院１１．０＿０．５*_11・基礎１),0)*_11・２人),0)*(1+_11・B早朝)),0)+ROUND((ROUND((_11_C通院１１．０＿０．５＿０．５*_11・基礎１),0)*_11・２人),0)</f>
        <v>638</v>
      </c>
      <c r="Y114" s="48"/>
    </row>
    <row r="115" spans="1:25" ht="16.5" customHeight="1" x14ac:dyDescent="0.15">
      <c r="A115" s="41">
        <v>11</v>
      </c>
      <c r="B115" s="41" t="s">
        <v>6070</v>
      </c>
      <c r="C115" s="74" t="s">
        <v>6071</v>
      </c>
      <c r="D115" s="121"/>
      <c r="F115" s="121"/>
      <c r="H115" s="121"/>
      <c r="J115" s="53"/>
      <c r="K115" s="49"/>
      <c r="L115" s="50"/>
      <c r="M115" s="44"/>
      <c r="N115" s="45"/>
      <c r="O115" s="46"/>
      <c r="P115" s="35"/>
      <c r="R115" s="57"/>
      <c r="S115" s="35"/>
      <c r="U115" s="57"/>
      <c r="V115" s="707" t="s">
        <v>404</v>
      </c>
      <c r="W115" s="708"/>
      <c r="X115" s="47">
        <f>ROUND((ROUND((_11_A通院１１．０*(1+_11・A深夜)),0)*_11・初任),0)+ROUND((ROUND((_11_B通院１１．０＿０．５*(1+_11・B早朝)),0)*_11・初任),0)+ROUND((_11_C通院１１．０＿０．５＿０．５*_11・初任),0)</f>
        <v>639</v>
      </c>
      <c r="Y115" s="48"/>
    </row>
    <row r="116" spans="1:25" ht="16.5" customHeight="1" x14ac:dyDescent="0.15">
      <c r="A116" s="41">
        <v>11</v>
      </c>
      <c r="B116" s="41" t="s">
        <v>6072</v>
      </c>
      <c r="C116" s="74" t="s">
        <v>6073</v>
      </c>
      <c r="D116" s="121"/>
      <c r="F116" s="121"/>
      <c r="H116" s="121"/>
      <c r="J116" s="43"/>
      <c r="K116" s="37"/>
      <c r="L116" s="38"/>
      <c r="M116" s="44" t="s">
        <v>397</v>
      </c>
      <c r="N116" s="45" t="s">
        <v>398</v>
      </c>
      <c r="O116" s="46">
        <v>1</v>
      </c>
      <c r="P116" s="35"/>
      <c r="R116" s="57"/>
      <c r="S116" s="35"/>
      <c r="U116" s="57"/>
      <c r="V116" s="709"/>
      <c r="W116" s="704"/>
      <c r="X116" s="47">
        <f>ROUND((ROUND((ROUND((_11_A通院１１．０*_11・２人),0)*(1+_11・A深夜)),0)*_11・初任),0)+ROUND((ROUND((ROUND((_11_B通院１１．０＿０．５*_11・２人),0)*(1+_11・B早朝)),0)*_11・初任),0)+ROUND((ROUND((_11_C通院１１．０＿０．５＿０．５*_11・２人),0)*_11・初任),0)</f>
        <v>639</v>
      </c>
      <c r="Y116" s="48"/>
    </row>
    <row r="117" spans="1:25" ht="16.5" customHeight="1" x14ac:dyDescent="0.15">
      <c r="A117" s="41">
        <v>11</v>
      </c>
      <c r="B117" s="41" t="s">
        <v>6074</v>
      </c>
      <c r="C117" s="74" t="s">
        <v>6075</v>
      </c>
      <c r="D117" s="72"/>
      <c r="F117" s="72"/>
      <c r="H117" s="72"/>
      <c r="J117" s="752" t="s">
        <v>400</v>
      </c>
      <c r="K117" s="49" t="s">
        <v>398</v>
      </c>
      <c r="L117" s="50">
        <v>0.7</v>
      </c>
      <c r="M117" s="44"/>
      <c r="N117" s="45"/>
      <c r="O117" s="46"/>
      <c r="P117" s="35"/>
      <c r="R117" s="57"/>
      <c r="S117" s="35"/>
      <c r="U117" s="57"/>
      <c r="V117" s="709"/>
      <c r="W117" s="704"/>
      <c r="X117" s="47">
        <f>ROUND((ROUND((ROUND((_11_A通院１１．０*_11・基礎１),0)*(1+_11・A深夜)),0)*_11・初任),0)+ROUND((ROUND((ROUND((_11_B通院１１．０＿０．５*_11・基礎１),0)*(1+_11・B早朝)),0)*_11・初任),0)+ROUND((ROUND((_11_C通院１１．０＿０．５＿０．５*_11・基礎１),0)*_11・初任),0)</f>
        <v>446</v>
      </c>
      <c r="Y117" s="48"/>
    </row>
    <row r="118" spans="1:25" ht="16.5" customHeight="1" x14ac:dyDescent="0.15">
      <c r="A118" s="41">
        <v>11</v>
      </c>
      <c r="B118" s="41" t="s">
        <v>6076</v>
      </c>
      <c r="C118" s="74" t="s">
        <v>6077</v>
      </c>
      <c r="D118" s="72"/>
      <c r="F118" s="72"/>
      <c r="H118" s="72"/>
      <c r="J118" s="711"/>
      <c r="K118" s="37"/>
      <c r="L118" s="38"/>
      <c r="M118" s="44" t="s">
        <v>397</v>
      </c>
      <c r="N118" s="45" t="s">
        <v>398</v>
      </c>
      <c r="O118" s="46">
        <v>1</v>
      </c>
      <c r="P118" s="35"/>
      <c r="R118" s="57"/>
      <c r="S118" s="35"/>
      <c r="U118" s="57"/>
      <c r="V118" s="55" t="s">
        <v>398</v>
      </c>
      <c r="W118" s="38">
        <f>_11・初任</f>
        <v>0.7</v>
      </c>
      <c r="X118" s="47">
        <f>ROUND((ROUND((ROUND((ROUND((_11_A通院１１．０*_11・基礎１),0)*_11・２人),0)*(1+_11・A深夜)),0)*_11・初任),0)+ROUND((ROUND((ROUND((ROUND((_11_B通院１１．０＿０．５*_11・基礎１),0)*_11・２人),0)*(1+_11・B早朝)),0)*_11・初任),0)+ROUND((ROUND((ROUND((_11_C通院１１．０＿０．５＿０．５*_11・基礎１),0)*_11・２人),0)*_11・初任),0)</f>
        <v>446</v>
      </c>
      <c r="Y118" s="48"/>
    </row>
    <row r="119" spans="1:25" ht="16.5" customHeight="1" x14ac:dyDescent="0.15">
      <c r="A119" s="41">
        <v>11</v>
      </c>
      <c r="B119" s="41">
        <v>3663</v>
      </c>
      <c r="C119" s="74" t="s">
        <v>6078</v>
      </c>
      <c r="D119" s="72"/>
      <c r="F119" s="72"/>
      <c r="H119" s="707" t="s">
        <v>3650</v>
      </c>
      <c r="I119" s="717"/>
      <c r="J119" s="53"/>
      <c r="K119" s="49"/>
      <c r="L119" s="50"/>
      <c r="M119" s="44"/>
      <c r="N119" s="45"/>
      <c r="O119" s="46"/>
      <c r="P119" s="35"/>
      <c r="R119" s="57"/>
      <c r="S119" s="35"/>
      <c r="U119" s="57"/>
      <c r="V119" s="53"/>
      <c r="W119" s="49"/>
      <c r="X119" s="47">
        <f>ROUND((_11_A通院１１．０*(1+_11・A深夜)),0)+ROUND((_11_B通院１１．０＿０．５*(1+_11・B早朝)),0)+_11_C通院１１．０＿０．５＿１．０</f>
        <v>997</v>
      </c>
      <c r="Y119" s="48"/>
    </row>
    <row r="120" spans="1:25" ht="16.5" customHeight="1" x14ac:dyDescent="0.15">
      <c r="A120" s="41">
        <v>11</v>
      </c>
      <c r="B120" s="41">
        <v>3664</v>
      </c>
      <c r="C120" s="74" t="s">
        <v>6079</v>
      </c>
      <c r="D120" s="72"/>
      <c r="F120" s="72"/>
      <c r="H120" s="709"/>
      <c r="I120" s="718"/>
      <c r="J120" s="43"/>
      <c r="K120" s="37"/>
      <c r="L120" s="38"/>
      <c r="M120" s="44" t="s">
        <v>397</v>
      </c>
      <c r="N120" s="45" t="s">
        <v>398</v>
      </c>
      <c r="O120" s="46">
        <v>1</v>
      </c>
      <c r="P120" s="35"/>
      <c r="R120" s="57"/>
      <c r="S120" s="35"/>
      <c r="U120" s="57"/>
      <c r="V120" s="35"/>
      <c r="X120" s="47">
        <f>ROUND((ROUND((_11_A通院１１．０*_11・２人),0)*(1+_11・A深夜)),0)+ROUND((ROUND((_11_B通院１１．０＿０．５*_11・２人),0)*(1+_11・B早朝)),0)+ROUND((_11_C通院１１．０＿０．５＿１．０*_11・２人),0)</f>
        <v>997</v>
      </c>
      <c r="Y120" s="48"/>
    </row>
    <row r="121" spans="1:25" ht="16.5" customHeight="1" x14ac:dyDescent="0.15">
      <c r="A121" s="41">
        <v>11</v>
      </c>
      <c r="B121" s="41">
        <v>3665</v>
      </c>
      <c r="C121" s="74" t="s">
        <v>6080</v>
      </c>
      <c r="D121" s="72"/>
      <c r="F121" s="72"/>
      <c r="H121" s="709"/>
      <c r="I121" s="718"/>
      <c r="J121" s="752" t="s">
        <v>400</v>
      </c>
      <c r="K121" s="49" t="s">
        <v>398</v>
      </c>
      <c r="L121" s="50">
        <v>0.7</v>
      </c>
      <c r="M121" s="44"/>
      <c r="N121" s="45"/>
      <c r="O121" s="46"/>
      <c r="P121" s="35"/>
      <c r="R121" s="57"/>
      <c r="S121" s="35"/>
      <c r="U121" s="57"/>
      <c r="V121" s="35"/>
      <c r="X121" s="47">
        <f>ROUND((ROUND((_11_A通院１１．０*_11・基礎１),0)*(1+_11・A深夜)),0)+ROUND((ROUND((_11_B通院１１．０＿０．５*_11・基礎１),0)*(1+_11・B早朝)),0)+ROUND((_11_C通院１１．０＿０．５＿１．０*_11・基礎１),0)</f>
        <v>697</v>
      </c>
      <c r="Y121" s="48"/>
    </row>
    <row r="122" spans="1:25" ht="16.5" customHeight="1" x14ac:dyDescent="0.15">
      <c r="A122" s="41">
        <v>11</v>
      </c>
      <c r="B122" s="41">
        <v>3666</v>
      </c>
      <c r="C122" s="74" t="s">
        <v>6081</v>
      </c>
      <c r="D122" s="72"/>
      <c r="F122" s="72"/>
      <c r="H122" s="125">
        <f>_11_C通院１１．０＿０．５＿１．０</f>
        <v>166</v>
      </c>
      <c r="I122" s="12" t="s">
        <v>392</v>
      </c>
      <c r="J122" s="711"/>
      <c r="K122" s="37"/>
      <c r="L122" s="38"/>
      <c r="M122" s="44" t="s">
        <v>397</v>
      </c>
      <c r="N122" s="45" t="s">
        <v>398</v>
      </c>
      <c r="O122" s="46">
        <v>1</v>
      </c>
      <c r="P122" s="35"/>
      <c r="R122" s="57"/>
      <c r="S122" s="35"/>
      <c r="U122" s="57"/>
      <c r="V122" s="43"/>
      <c r="W122" s="37"/>
      <c r="X122" s="47">
        <f>ROUND((ROUND((ROUND((_11_A通院１１．０*_11・基礎１),0)*_11・２人),0)*(1+_11・A深夜)),0)+ROUND((ROUND((ROUND((_11_B通院１１．０＿０．５*_11・基礎１),0)*_11・２人),0)*(1+_11・B早朝)),0)+ROUND((ROUND((_11_C通院１１．０＿０．５＿１．０*_11・基礎１),0)*_11・２人),0)</f>
        <v>697</v>
      </c>
      <c r="Y122" s="48"/>
    </row>
    <row r="123" spans="1:25" ht="16.5" customHeight="1" x14ac:dyDescent="0.15">
      <c r="A123" s="41">
        <v>11</v>
      </c>
      <c r="B123" s="41" t="s">
        <v>6082</v>
      </c>
      <c r="C123" s="74" t="s">
        <v>6083</v>
      </c>
      <c r="D123" s="72"/>
      <c r="F123" s="72"/>
      <c r="H123" s="121"/>
      <c r="J123" s="53"/>
      <c r="K123" s="49"/>
      <c r="L123" s="50"/>
      <c r="M123" s="44"/>
      <c r="N123" s="45"/>
      <c r="O123" s="46"/>
      <c r="P123" s="35"/>
      <c r="R123" s="57"/>
      <c r="S123" s="35"/>
      <c r="U123" s="57"/>
      <c r="V123" s="707" t="s">
        <v>404</v>
      </c>
      <c r="W123" s="708"/>
      <c r="X123" s="47">
        <f>ROUND((ROUND((_11_A通院１１．０*(1+_11・A深夜)),0)*_11・初任),0)+ROUND((ROUND((_11_B通院１１．０＿０．５*(1+_11・B早朝)),0)*_11・初任),0)+ROUND((_11_C通院１１．０＿０．５＿１．０*_11・初任),0)</f>
        <v>698</v>
      </c>
      <c r="Y123" s="48"/>
    </row>
    <row r="124" spans="1:25" ht="16.5" customHeight="1" x14ac:dyDescent="0.15">
      <c r="A124" s="41">
        <v>11</v>
      </c>
      <c r="B124" s="41" t="s">
        <v>6084</v>
      </c>
      <c r="C124" s="74" t="s">
        <v>6085</v>
      </c>
      <c r="D124" s="72"/>
      <c r="F124" s="72"/>
      <c r="H124" s="121"/>
      <c r="J124" s="43"/>
      <c r="K124" s="37"/>
      <c r="L124" s="38"/>
      <c r="M124" s="44" t="s">
        <v>397</v>
      </c>
      <c r="N124" s="45" t="s">
        <v>398</v>
      </c>
      <c r="O124" s="46">
        <v>1</v>
      </c>
      <c r="P124" s="35"/>
      <c r="R124" s="57"/>
      <c r="S124" s="35"/>
      <c r="U124" s="57"/>
      <c r="V124" s="709"/>
      <c r="W124" s="704"/>
      <c r="X124" s="47">
        <f>ROUND((ROUND((ROUND((_11_A通院１１．０*_11・２人),0)*(1+_11・A深夜)),0)*_11・初任),0)+ROUND((ROUND((ROUND((_11_B通院１１．０＿０．５*_11・２人),0)*(1+_11・B早朝)),0)*_11・初任),0)+ROUND((ROUND((_11_C通院１１．０＿０．５＿１．０*_11・２人),0)*_11・初任),0)</f>
        <v>698</v>
      </c>
      <c r="Y124" s="48"/>
    </row>
    <row r="125" spans="1:25" ht="16.5" customHeight="1" x14ac:dyDescent="0.15">
      <c r="A125" s="41">
        <v>11</v>
      </c>
      <c r="B125" s="41" t="s">
        <v>6086</v>
      </c>
      <c r="C125" s="74" t="s">
        <v>6087</v>
      </c>
      <c r="D125" s="72"/>
      <c r="F125" s="72"/>
      <c r="H125" s="72"/>
      <c r="J125" s="752" t="s">
        <v>400</v>
      </c>
      <c r="K125" s="49" t="s">
        <v>398</v>
      </c>
      <c r="L125" s="50">
        <v>0.7</v>
      </c>
      <c r="M125" s="44"/>
      <c r="N125" s="45"/>
      <c r="O125" s="46"/>
      <c r="P125" s="35"/>
      <c r="R125" s="57"/>
      <c r="S125" s="35"/>
      <c r="U125" s="57"/>
      <c r="V125" s="709"/>
      <c r="W125" s="704"/>
      <c r="X125" s="47">
        <f>ROUND((ROUND((ROUND((_11_A通院１１．０*_11・基礎１),0)*(1+_11・A深夜)),0)*_11・初任),0)+ROUND((ROUND((ROUND((_11_B通院１１．０＿０．５*_11・基礎１),0)*(1+_11・B早朝)),0)*_11・初任),0)+ROUND((ROUND((_11_C通院１１．０＿０．５＿１．０*_11・基礎１),0)*_11・初任),0)</f>
        <v>487</v>
      </c>
      <c r="Y125" s="48"/>
    </row>
    <row r="126" spans="1:25" ht="16.5" customHeight="1" x14ac:dyDescent="0.15">
      <c r="A126" s="41">
        <v>11</v>
      </c>
      <c r="B126" s="41" t="s">
        <v>6088</v>
      </c>
      <c r="C126" s="74" t="s">
        <v>6089</v>
      </c>
      <c r="D126" s="72"/>
      <c r="F126" s="72"/>
      <c r="H126" s="72"/>
      <c r="J126" s="711"/>
      <c r="K126" s="37"/>
      <c r="L126" s="38"/>
      <c r="M126" s="44" t="s">
        <v>397</v>
      </c>
      <c r="N126" s="45" t="s">
        <v>398</v>
      </c>
      <c r="O126" s="46">
        <v>1</v>
      </c>
      <c r="P126" s="35"/>
      <c r="R126" s="57"/>
      <c r="S126" s="35"/>
      <c r="U126" s="57"/>
      <c r="V126" s="55" t="s">
        <v>398</v>
      </c>
      <c r="W126" s="38">
        <f>_11・初任</f>
        <v>0.7</v>
      </c>
      <c r="X126" s="47">
        <f>ROUND((ROUND((ROUND((ROUND((_11_A通院１１．０*_11・基礎１),0)*_11・２人),0)*(1+_11・A深夜)),0)*_11・初任),0)+ROUND((ROUND((ROUND((ROUND((_11_B通院１１．０＿０．５*_11・基礎１),0)*_11・２人),0)*(1+_11・B早朝)),0)*_11・初任),0)+ROUND((ROUND((ROUND((_11_C通院１１．０＿０．５＿１．０*_11・基礎１),0)*_11・２人),0)*_11・初任),0)</f>
        <v>487</v>
      </c>
      <c r="Y126" s="48"/>
    </row>
    <row r="127" spans="1:25" ht="16.5" customHeight="1" x14ac:dyDescent="0.15">
      <c r="A127" s="41">
        <v>11</v>
      </c>
      <c r="B127" s="41">
        <v>3667</v>
      </c>
      <c r="C127" s="74" t="s">
        <v>6090</v>
      </c>
      <c r="D127" s="72"/>
      <c r="F127" s="72"/>
      <c r="H127" s="707" t="s">
        <v>1253</v>
      </c>
      <c r="I127" s="717"/>
      <c r="J127" s="53"/>
      <c r="K127" s="49"/>
      <c r="L127" s="50"/>
      <c r="M127" s="44"/>
      <c r="N127" s="45"/>
      <c r="O127" s="46"/>
      <c r="P127" s="35"/>
      <c r="R127" s="57"/>
      <c r="S127" s="35"/>
      <c r="U127" s="57"/>
      <c r="V127" s="53"/>
      <c r="W127" s="49"/>
      <c r="X127" s="47">
        <f>ROUND((_11_A通院１１．０*(1+_11・A深夜)),0)+ROUND((_11_B通院１１．０＿０．５*(1+_11・B早朝)),0)+_11_C通院１１．０＿０．５＿１．５</f>
        <v>1080</v>
      </c>
      <c r="Y127" s="48"/>
    </row>
    <row r="128" spans="1:25" ht="16.5" customHeight="1" x14ac:dyDescent="0.15">
      <c r="A128" s="41">
        <v>11</v>
      </c>
      <c r="B128" s="41">
        <v>3668</v>
      </c>
      <c r="C128" s="74" t="s">
        <v>6091</v>
      </c>
      <c r="D128" s="72"/>
      <c r="F128" s="72"/>
      <c r="H128" s="709"/>
      <c r="I128" s="718"/>
      <c r="J128" s="43"/>
      <c r="K128" s="37"/>
      <c r="L128" s="38"/>
      <c r="M128" s="44" t="s">
        <v>397</v>
      </c>
      <c r="N128" s="45" t="s">
        <v>398</v>
      </c>
      <c r="O128" s="46">
        <v>1</v>
      </c>
      <c r="P128" s="35"/>
      <c r="R128" s="57"/>
      <c r="S128" s="35"/>
      <c r="U128" s="57"/>
      <c r="V128" s="35"/>
      <c r="X128" s="47">
        <f>ROUND((ROUND((_11_A通院１１．０*_11・２人),0)*(1+_11・A深夜)),0)+ROUND((ROUND((_11_B通院１１．０＿０．５*_11・２人),0)*(1+_11・B早朝)),0)+ROUND((_11_C通院１１．０＿０．５＿１．５*_11・２人),0)</f>
        <v>1080</v>
      </c>
      <c r="Y128" s="48"/>
    </row>
    <row r="129" spans="1:25" ht="16.5" customHeight="1" x14ac:dyDescent="0.15">
      <c r="A129" s="41">
        <v>11</v>
      </c>
      <c r="B129" s="41">
        <v>3669</v>
      </c>
      <c r="C129" s="74" t="s">
        <v>6092</v>
      </c>
      <c r="D129" s="72"/>
      <c r="F129" s="72"/>
      <c r="H129" s="709"/>
      <c r="I129" s="718"/>
      <c r="J129" s="752" t="s">
        <v>400</v>
      </c>
      <c r="K129" s="49" t="s">
        <v>398</v>
      </c>
      <c r="L129" s="50">
        <v>0.7</v>
      </c>
      <c r="M129" s="44"/>
      <c r="N129" s="45"/>
      <c r="O129" s="46"/>
      <c r="P129" s="35"/>
      <c r="R129" s="57"/>
      <c r="S129" s="35"/>
      <c r="U129" s="57"/>
      <c r="V129" s="35"/>
      <c r="X129" s="47">
        <f>ROUND((ROUND((_11_A通院１１．０*_11・基礎１),0)*(1+_11・A深夜)),0)+ROUND((ROUND((_11_B通院１１．０＿０．５*_11・基礎１),0)*(1+_11・B早朝)),0)+ROUND((_11_C通院１１．０＿０．５＿１．５*_11・基礎１),0)</f>
        <v>755</v>
      </c>
      <c r="Y129" s="48"/>
    </row>
    <row r="130" spans="1:25" ht="16.5" customHeight="1" x14ac:dyDescent="0.15">
      <c r="A130" s="41">
        <v>11</v>
      </c>
      <c r="B130" s="41">
        <v>3670</v>
      </c>
      <c r="C130" s="74" t="s">
        <v>6093</v>
      </c>
      <c r="D130" s="72"/>
      <c r="F130" s="72"/>
      <c r="H130" s="125">
        <f>_11_C通院１１．０＿０．５＿１．５</f>
        <v>249</v>
      </c>
      <c r="I130" s="12" t="s">
        <v>392</v>
      </c>
      <c r="J130" s="711"/>
      <c r="K130" s="37"/>
      <c r="L130" s="38"/>
      <c r="M130" s="44" t="s">
        <v>397</v>
      </c>
      <c r="N130" s="45" t="s">
        <v>398</v>
      </c>
      <c r="O130" s="46">
        <v>1</v>
      </c>
      <c r="P130" s="35"/>
      <c r="R130" s="57"/>
      <c r="S130" s="35"/>
      <c r="U130" s="57"/>
      <c r="V130" s="43"/>
      <c r="W130" s="37"/>
      <c r="X130" s="47">
        <f>ROUND((ROUND((ROUND((_11_A通院１１．０*_11・基礎１),0)*_11・２人),0)*(1+_11・A深夜)),0)+ROUND((ROUND((ROUND((_11_B通院１１．０＿０．５*_11・基礎１),0)*_11・２人),0)*(1+_11・B早朝)),0)+ROUND((ROUND((_11_C通院１１．０＿０．５＿１．５*_11・基礎１),0)*_11・２人),0)</f>
        <v>755</v>
      </c>
      <c r="Y130" s="48"/>
    </row>
    <row r="131" spans="1:25" ht="16.5" customHeight="1" x14ac:dyDescent="0.15">
      <c r="A131" s="41">
        <v>11</v>
      </c>
      <c r="B131" s="41" t="s">
        <v>6094</v>
      </c>
      <c r="C131" s="74" t="s">
        <v>6095</v>
      </c>
      <c r="D131" s="72"/>
      <c r="F131" s="72"/>
      <c r="H131" s="121"/>
      <c r="J131" s="53"/>
      <c r="K131" s="49"/>
      <c r="L131" s="50"/>
      <c r="M131" s="44"/>
      <c r="N131" s="45"/>
      <c r="O131" s="46"/>
      <c r="P131" s="35"/>
      <c r="R131" s="57"/>
      <c r="S131" s="35"/>
      <c r="U131" s="57"/>
      <c r="V131" s="707" t="s">
        <v>404</v>
      </c>
      <c r="W131" s="708"/>
      <c r="X131" s="47">
        <f>ROUND((ROUND((_11_A通院１１．０*(1+_11・A深夜)),0)*_11・初任),0)+ROUND((ROUND((_11_B通院１１．０＿０．５*(1+_11・B早朝)),0)*_11・初任),0)+ROUND((_11_C通院１１．０＿０．５＿１．５*_11・初任),0)</f>
        <v>756</v>
      </c>
      <c r="Y131" s="48"/>
    </row>
    <row r="132" spans="1:25" ht="16.5" customHeight="1" x14ac:dyDescent="0.15">
      <c r="A132" s="41">
        <v>11</v>
      </c>
      <c r="B132" s="41" t="s">
        <v>6096</v>
      </c>
      <c r="C132" s="74" t="s">
        <v>6097</v>
      </c>
      <c r="D132" s="72"/>
      <c r="F132" s="72"/>
      <c r="H132" s="121"/>
      <c r="J132" s="43"/>
      <c r="K132" s="37"/>
      <c r="L132" s="38"/>
      <c r="M132" s="44" t="s">
        <v>397</v>
      </c>
      <c r="N132" s="45" t="s">
        <v>398</v>
      </c>
      <c r="O132" s="46">
        <v>1</v>
      </c>
      <c r="P132" s="35"/>
      <c r="R132" s="57"/>
      <c r="S132" s="35"/>
      <c r="U132" s="57"/>
      <c r="V132" s="709"/>
      <c r="W132" s="704"/>
      <c r="X132" s="47">
        <f>ROUND((ROUND((ROUND((_11_A通院１１．０*_11・２人),0)*(1+_11・A深夜)),0)*_11・初任),0)+ROUND((ROUND((ROUND((_11_B通院１１．０＿０．５*_11・２人),0)*(1+_11・B早朝)),0)*_11・初任),0)+ROUND((ROUND((_11_C通院１１．０＿０．５＿１．５*_11・２人),0)*_11・初任),0)</f>
        <v>756</v>
      </c>
      <c r="Y132" s="48"/>
    </row>
    <row r="133" spans="1:25" ht="16.5" customHeight="1" x14ac:dyDescent="0.15">
      <c r="A133" s="41">
        <v>11</v>
      </c>
      <c r="B133" s="41" t="s">
        <v>6098</v>
      </c>
      <c r="C133" s="74" t="s">
        <v>6099</v>
      </c>
      <c r="D133" s="72"/>
      <c r="F133" s="72"/>
      <c r="H133" s="72"/>
      <c r="J133" s="752" t="s">
        <v>400</v>
      </c>
      <c r="K133" s="49" t="s">
        <v>398</v>
      </c>
      <c r="L133" s="50">
        <v>0.7</v>
      </c>
      <c r="M133" s="44"/>
      <c r="N133" s="45"/>
      <c r="O133" s="46"/>
      <c r="P133" s="35"/>
      <c r="R133" s="57"/>
      <c r="S133" s="35"/>
      <c r="U133" s="57"/>
      <c r="V133" s="709"/>
      <c r="W133" s="704"/>
      <c r="X133" s="47">
        <f>ROUND((ROUND((ROUND((_11_A通院１１．０*_11・基礎１),0)*(1+_11・A深夜)),0)*_11・初任),0)+ROUND((ROUND((ROUND((_11_B通院１１．０＿０．５*_11・基礎１),0)*(1+_11・B早朝)),0)*_11・初任),0)+ROUND((ROUND((_11_C通院１１．０＿０．５＿１．５*_11・基礎１),0)*_11・初任),0)</f>
        <v>528</v>
      </c>
      <c r="Y133" s="48"/>
    </row>
    <row r="134" spans="1:25" ht="16.5" customHeight="1" x14ac:dyDescent="0.15">
      <c r="A134" s="41">
        <v>11</v>
      </c>
      <c r="B134" s="41" t="s">
        <v>6100</v>
      </c>
      <c r="C134" s="74" t="s">
        <v>6101</v>
      </c>
      <c r="D134" s="72"/>
      <c r="F134" s="72"/>
      <c r="H134" s="72"/>
      <c r="J134" s="711"/>
      <c r="K134" s="37"/>
      <c r="L134" s="38"/>
      <c r="M134" s="44" t="s">
        <v>397</v>
      </c>
      <c r="N134" s="45" t="s">
        <v>398</v>
      </c>
      <c r="O134" s="46">
        <v>1</v>
      </c>
      <c r="P134" s="35"/>
      <c r="R134" s="57"/>
      <c r="S134" s="35"/>
      <c r="U134" s="57"/>
      <c r="V134" s="55" t="s">
        <v>398</v>
      </c>
      <c r="W134" s="38">
        <f>_11・初任</f>
        <v>0.7</v>
      </c>
      <c r="X134" s="47">
        <f>ROUND((ROUND((ROUND((ROUND((_11_A通院１１．０*_11・基礎１),0)*_11・２人),0)*(1+_11・A深夜)),0)*_11・初任),0)+ROUND((ROUND((ROUND((ROUND((_11_B通院１１．０＿０．５*_11・基礎１),0)*_11・２人),0)*(1+_11・B早朝)),0)*_11・初任),0)+ROUND((ROUND((ROUND((_11_C通院１１．０＿０．５＿１．５*_11・基礎１),0)*_11・２人),0)*_11・初任),0)</f>
        <v>528</v>
      </c>
      <c r="Y134" s="48"/>
    </row>
    <row r="135" spans="1:25" ht="16.5" customHeight="1" x14ac:dyDescent="0.15">
      <c r="A135" s="41">
        <v>11</v>
      </c>
      <c r="B135" s="41">
        <v>3671</v>
      </c>
      <c r="C135" s="74" t="s">
        <v>6102</v>
      </c>
      <c r="D135" s="707" t="s">
        <v>6103</v>
      </c>
      <c r="E135" s="717"/>
      <c r="F135" s="707" t="s">
        <v>3602</v>
      </c>
      <c r="G135" s="717"/>
      <c r="H135" s="707" t="s">
        <v>3643</v>
      </c>
      <c r="I135" s="717"/>
      <c r="J135" s="53"/>
      <c r="K135" s="49"/>
      <c r="L135" s="50"/>
      <c r="M135" s="44"/>
      <c r="N135" s="45"/>
      <c r="O135" s="46"/>
      <c r="P135" s="35"/>
      <c r="R135" s="57"/>
      <c r="S135" s="35"/>
      <c r="U135" s="57"/>
      <c r="V135" s="53"/>
      <c r="W135" s="49"/>
      <c r="X135" s="47">
        <f>ROUND((_11_A通院１１．５*(1+_11・A深夜)),0)+ROUND((_11_B通院１１．５＿０．５*(1+_11・B早朝)),0)+_11_C通院１１．５＿０．５＿０．５</f>
        <v>1063</v>
      </c>
      <c r="Y135" s="48"/>
    </row>
    <row r="136" spans="1:25" ht="16.5" customHeight="1" x14ac:dyDescent="0.15">
      <c r="A136" s="41">
        <v>11</v>
      </c>
      <c r="B136" s="41">
        <v>3672</v>
      </c>
      <c r="C136" s="74" t="s">
        <v>6104</v>
      </c>
      <c r="D136" s="709"/>
      <c r="E136" s="718"/>
      <c r="F136" s="709"/>
      <c r="G136" s="718"/>
      <c r="H136" s="709"/>
      <c r="I136" s="718"/>
      <c r="J136" s="43"/>
      <c r="K136" s="37"/>
      <c r="L136" s="38"/>
      <c r="M136" s="44" t="s">
        <v>397</v>
      </c>
      <c r="N136" s="45" t="s">
        <v>398</v>
      </c>
      <c r="O136" s="46">
        <v>1</v>
      </c>
      <c r="P136" s="35"/>
      <c r="R136" s="57"/>
      <c r="S136" s="35"/>
      <c r="U136" s="57"/>
      <c r="V136" s="35"/>
      <c r="X136" s="47">
        <f>ROUND((ROUND((_11_A通院１１．５*_11・２人),0)*(1+_11・A深夜)),0)+ROUND((ROUND((_11_B通院１１．５＿０．５*_11・２人),0)*(1+_11・B早朝)),0)+ROUND((_11_C通院１１．５＿０．５＿０．５*_11・２人),0)</f>
        <v>1063</v>
      </c>
      <c r="Y136" s="48"/>
    </row>
    <row r="137" spans="1:25" ht="16.5" customHeight="1" x14ac:dyDescent="0.15">
      <c r="A137" s="41">
        <v>11</v>
      </c>
      <c r="B137" s="41">
        <v>3673</v>
      </c>
      <c r="C137" s="74" t="s">
        <v>6105</v>
      </c>
      <c r="D137" s="709"/>
      <c r="E137" s="718"/>
      <c r="F137" s="709"/>
      <c r="G137" s="718"/>
      <c r="H137" s="709"/>
      <c r="I137" s="718"/>
      <c r="J137" s="752" t="s">
        <v>400</v>
      </c>
      <c r="K137" s="49" t="s">
        <v>398</v>
      </c>
      <c r="L137" s="50">
        <v>0.7</v>
      </c>
      <c r="M137" s="44"/>
      <c r="N137" s="45"/>
      <c r="O137" s="46"/>
      <c r="P137" s="35"/>
      <c r="R137" s="57"/>
      <c r="S137" s="35"/>
      <c r="U137" s="57"/>
      <c r="V137" s="35"/>
      <c r="X137" s="47">
        <f>ROUND((ROUND((_11_A通院１１．５*_11・基礎１),0)*(1+_11・A深夜)),0)+ROUND((ROUND((_11_B通院１１．５＿０．５*_11・基礎１),0)*(1+_11・B早朝)),0)+ROUND((_11_C通院１１．５＿０．５＿０．５*_11・基礎１),0)</f>
        <v>744</v>
      </c>
      <c r="Y137" s="48"/>
    </row>
    <row r="138" spans="1:25" ht="16.5" customHeight="1" x14ac:dyDescent="0.15">
      <c r="A138" s="41">
        <v>11</v>
      </c>
      <c r="B138" s="41">
        <v>3674</v>
      </c>
      <c r="C138" s="74" t="s">
        <v>6106</v>
      </c>
      <c r="D138" s="125">
        <f>_11_A通院１１．５</f>
        <v>584</v>
      </c>
      <c r="E138" s="12" t="s">
        <v>392</v>
      </c>
      <c r="F138" s="125">
        <f>_11_B通院１１．５＿０．５</f>
        <v>82</v>
      </c>
      <c r="G138" s="12" t="s">
        <v>392</v>
      </c>
      <c r="H138" s="125">
        <f>_11_C通院１１．５＿０．５＿０．５</f>
        <v>84</v>
      </c>
      <c r="I138" s="12" t="s">
        <v>392</v>
      </c>
      <c r="J138" s="711"/>
      <c r="K138" s="37"/>
      <c r="L138" s="38"/>
      <c r="M138" s="44" t="s">
        <v>397</v>
      </c>
      <c r="N138" s="45" t="s">
        <v>398</v>
      </c>
      <c r="O138" s="46">
        <v>1</v>
      </c>
      <c r="P138" s="35"/>
      <c r="R138" s="57"/>
      <c r="S138" s="35"/>
      <c r="U138" s="57"/>
      <c r="V138" s="43"/>
      <c r="W138" s="37"/>
      <c r="X138" s="47">
        <f>ROUND((ROUND((ROUND((_11_A通院１１．５*_11・基礎１),0)*_11・２人),0)*(1+_11・A深夜)),0)+ROUND((ROUND((ROUND((_11_B通院１１．５＿０．５*_11・基礎１),0)*_11・２人),0)*(1+_11・B早朝)),0)+ROUND((ROUND((_11_C通院１１．５＿０．５＿０．５*_11・基礎１),0)*_11・２人),0)</f>
        <v>744</v>
      </c>
      <c r="Y138" s="48"/>
    </row>
    <row r="139" spans="1:25" ht="16.5" customHeight="1" x14ac:dyDescent="0.15">
      <c r="A139" s="41">
        <v>11</v>
      </c>
      <c r="B139" s="41" t="s">
        <v>6107</v>
      </c>
      <c r="C139" s="74" t="s">
        <v>6108</v>
      </c>
      <c r="D139" s="121"/>
      <c r="F139" s="121"/>
      <c r="H139" s="121"/>
      <c r="J139" s="53"/>
      <c r="K139" s="49"/>
      <c r="L139" s="50"/>
      <c r="M139" s="44"/>
      <c r="N139" s="45"/>
      <c r="O139" s="46"/>
      <c r="P139" s="35"/>
      <c r="R139" s="57"/>
      <c r="S139" s="35"/>
      <c r="U139" s="57"/>
      <c r="V139" s="707" t="s">
        <v>404</v>
      </c>
      <c r="W139" s="708"/>
      <c r="X139" s="47">
        <f>ROUND((ROUND((_11_A通院１１．５*(1+_11・A深夜)),0)*_11・初任),0)+ROUND((ROUND((_11_B通院１１．５＿０．５*(1+_11・B早朝)),0)*_11・初任),0)+ROUND((_11_C通院１１．５＿０．５＿０．５*_11・初任),0)</f>
        <v>744</v>
      </c>
      <c r="Y139" s="48"/>
    </row>
    <row r="140" spans="1:25" ht="16.5" customHeight="1" x14ac:dyDescent="0.15">
      <c r="A140" s="41">
        <v>11</v>
      </c>
      <c r="B140" s="41" t="s">
        <v>6109</v>
      </c>
      <c r="C140" s="74" t="s">
        <v>6110</v>
      </c>
      <c r="D140" s="121"/>
      <c r="F140" s="121"/>
      <c r="H140" s="121"/>
      <c r="J140" s="43"/>
      <c r="K140" s="37"/>
      <c r="L140" s="38"/>
      <c r="M140" s="44" t="s">
        <v>397</v>
      </c>
      <c r="N140" s="45" t="s">
        <v>398</v>
      </c>
      <c r="O140" s="46">
        <v>1</v>
      </c>
      <c r="P140" s="35"/>
      <c r="R140" s="57"/>
      <c r="S140" s="35"/>
      <c r="U140" s="57"/>
      <c r="V140" s="709"/>
      <c r="W140" s="704"/>
      <c r="X140" s="47">
        <f>ROUND((ROUND((ROUND((_11_A通院１１．５*_11・２人),0)*(1+_11・A深夜)),0)*_11・初任),0)+ROUND((ROUND((ROUND((_11_B通院１１．５＿０．５*_11・２人),0)*(1+_11・B早朝)),0)*_11・初任),0)+ROUND((ROUND((_11_C通院１１．５＿０．５＿０．５*_11・２人),0)*_11・初任),0)</f>
        <v>744</v>
      </c>
      <c r="Y140" s="48"/>
    </row>
    <row r="141" spans="1:25" ht="16.5" customHeight="1" x14ac:dyDescent="0.15">
      <c r="A141" s="41">
        <v>11</v>
      </c>
      <c r="B141" s="41" t="s">
        <v>6111</v>
      </c>
      <c r="C141" s="74" t="s">
        <v>6112</v>
      </c>
      <c r="D141" s="72"/>
      <c r="F141" s="72"/>
      <c r="H141" s="72"/>
      <c r="J141" s="752" t="s">
        <v>400</v>
      </c>
      <c r="K141" s="49" t="s">
        <v>398</v>
      </c>
      <c r="L141" s="50">
        <v>0.7</v>
      </c>
      <c r="M141" s="44"/>
      <c r="N141" s="45"/>
      <c r="O141" s="46"/>
      <c r="P141" s="35"/>
      <c r="R141" s="57"/>
      <c r="S141" s="35"/>
      <c r="U141" s="57"/>
      <c r="V141" s="709"/>
      <c r="W141" s="704"/>
      <c r="X141" s="47">
        <f>ROUND((ROUND((ROUND((_11_A通院１１．５*_11・基礎１),0)*(1+_11・A深夜)),0)*_11・初任),0)+ROUND((ROUND((ROUND((_11_B通院１１．５＿０．５*_11・基礎１),0)*(1+_11・B早朝)),0)*_11・初任),0)+ROUND((ROUND((_11_C通院１１．５＿０．５＿０．５*_11・基礎１),0)*_11・初任),0)</f>
        <v>521</v>
      </c>
      <c r="Y141" s="48"/>
    </row>
    <row r="142" spans="1:25" ht="16.5" customHeight="1" x14ac:dyDescent="0.15">
      <c r="A142" s="41">
        <v>11</v>
      </c>
      <c r="B142" s="41" t="s">
        <v>6113</v>
      </c>
      <c r="C142" s="74" t="s">
        <v>6114</v>
      </c>
      <c r="D142" s="72"/>
      <c r="F142" s="72"/>
      <c r="H142" s="72"/>
      <c r="J142" s="711"/>
      <c r="K142" s="37"/>
      <c r="L142" s="38"/>
      <c r="M142" s="44" t="s">
        <v>397</v>
      </c>
      <c r="N142" s="45" t="s">
        <v>398</v>
      </c>
      <c r="O142" s="46">
        <v>1</v>
      </c>
      <c r="P142" s="35"/>
      <c r="R142" s="57"/>
      <c r="S142" s="35"/>
      <c r="U142" s="57"/>
      <c r="V142" s="55" t="s">
        <v>398</v>
      </c>
      <c r="W142" s="38">
        <f>_11・初任</f>
        <v>0.7</v>
      </c>
      <c r="X142" s="47">
        <f>ROUND((ROUND((ROUND((ROUND((_11_A通院１１．５*_11・基礎１),0)*_11・２人),0)*(1+_11・A深夜)),0)*_11・初任),0)+ROUND((ROUND((ROUND((ROUND((_11_B通院１１．５＿０．５*_11・基礎１),0)*_11・２人),0)*(1+_11・B早朝)),0)*_11・初任),0)+ROUND((ROUND((ROUND((_11_C通院１１．５＿０．５＿０．５*_11・基礎１),0)*_11・２人),0)*_11・初任),0)</f>
        <v>521</v>
      </c>
      <c r="Y142" s="48"/>
    </row>
    <row r="143" spans="1:25" ht="16.5" customHeight="1" x14ac:dyDescent="0.15">
      <c r="A143" s="41">
        <v>11</v>
      </c>
      <c r="B143" s="41">
        <v>3675</v>
      </c>
      <c r="C143" s="74" t="s">
        <v>6115</v>
      </c>
      <c r="D143" s="72"/>
      <c r="F143" s="72"/>
      <c r="H143" s="707" t="s">
        <v>3650</v>
      </c>
      <c r="I143" s="717"/>
      <c r="J143" s="53"/>
      <c r="K143" s="49"/>
      <c r="L143" s="50"/>
      <c r="M143" s="44"/>
      <c r="N143" s="45"/>
      <c r="O143" s="46"/>
      <c r="P143" s="35"/>
      <c r="R143" s="57"/>
      <c r="S143" s="35"/>
      <c r="U143" s="57"/>
      <c r="V143" s="53"/>
      <c r="W143" s="49"/>
      <c r="X143" s="47">
        <f>ROUND((_11_A通院１１．５*(1+_11・A深夜)),0)+ROUND((_11_B通院１１．５＿０．５*(1+_11・B早朝)),0)+_11_C通院１１．５＿０．５＿１．０</f>
        <v>1146</v>
      </c>
      <c r="Y143" s="48"/>
    </row>
    <row r="144" spans="1:25" ht="16.5" customHeight="1" x14ac:dyDescent="0.15">
      <c r="A144" s="41">
        <v>11</v>
      </c>
      <c r="B144" s="41">
        <v>3676</v>
      </c>
      <c r="C144" s="74" t="s">
        <v>6116</v>
      </c>
      <c r="D144" s="72"/>
      <c r="F144" s="72"/>
      <c r="H144" s="709"/>
      <c r="I144" s="718"/>
      <c r="J144" s="43"/>
      <c r="K144" s="37"/>
      <c r="L144" s="38"/>
      <c r="M144" s="44" t="s">
        <v>397</v>
      </c>
      <c r="N144" s="45" t="s">
        <v>398</v>
      </c>
      <c r="O144" s="46">
        <v>1</v>
      </c>
      <c r="P144" s="35"/>
      <c r="R144" s="57"/>
      <c r="S144" s="35"/>
      <c r="U144" s="57"/>
      <c r="V144" s="35"/>
      <c r="X144" s="47">
        <f>ROUND((ROUND((_11_A通院１１．５*_11・２人),0)*(1+_11・A深夜)),0)+ROUND((ROUND((_11_B通院１１．５＿０．５*_11・２人),0)*(1+_11・B早朝)),0)+ROUND((_11_C通院１１．５＿０．５＿１．０*_11・２人),0)</f>
        <v>1146</v>
      </c>
      <c r="Y144" s="48"/>
    </row>
    <row r="145" spans="1:25" ht="16.5" customHeight="1" x14ac:dyDescent="0.15">
      <c r="A145" s="41">
        <v>11</v>
      </c>
      <c r="B145" s="41">
        <v>3677</v>
      </c>
      <c r="C145" s="74" t="s">
        <v>6117</v>
      </c>
      <c r="D145" s="72"/>
      <c r="F145" s="72"/>
      <c r="H145" s="709"/>
      <c r="I145" s="718"/>
      <c r="J145" s="752" t="s">
        <v>400</v>
      </c>
      <c r="K145" s="49" t="s">
        <v>398</v>
      </c>
      <c r="L145" s="50">
        <v>0.7</v>
      </c>
      <c r="M145" s="44"/>
      <c r="N145" s="45"/>
      <c r="O145" s="46"/>
      <c r="P145" s="35"/>
      <c r="R145" s="57"/>
      <c r="S145" s="35"/>
      <c r="U145" s="57"/>
      <c r="V145" s="35"/>
      <c r="X145" s="47">
        <f>ROUND((ROUND((_11_A通院１１．５*_11・基礎１),0)*(1+_11・A深夜)),0)+ROUND((ROUND((_11_B通院１１．５＿０．５*_11・基礎１),0)*(1+_11・B早朝)),0)+ROUND((_11_C通院１１．５＿０．５＿１．０*_11・基礎１),0)</f>
        <v>802</v>
      </c>
      <c r="Y145" s="48"/>
    </row>
    <row r="146" spans="1:25" ht="16.5" customHeight="1" x14ac:dyDescent="0.15">
      <c r="A146" s="41">
        <v>11</v>
      </c>
      <c r="B146" s="41">
        <v>3678</v>
      </c>
      <c r="C146" s="74" t="s">
        <v>6118</v>
      </c>
      <c r="D146" s="72"/>
      <c r="F146" s="72"/>
      <c r="H146" s="125">
        <f>_11_C通院１１．５＿０．５＿１．０</f>
        <v>167</v>
      </c>
      <c r="I146" s="12" t="s">
        <v>392</v>
      </c>
      <c r="J146" s="711"/>
      <c r="K146" s="37"/>
      <c r="L146" s="38"/>
      <c r="M146" s="44" t="s">
        <v>397</v>
      </c>
      <c r="N146" s="45" t="s">
        <v>398</v>
      </c>
      <c r="O146" s="46">
        <v>1</v>
      </c>
      <c r="P146" s="35"/>
      <c r="R146" s="57"/>
      <c r="S146" s="35"/>
      <c r="U146" s="57"/>
      <c r="V146" s="43"/>
      <c r="W146" s="37"/>
      <c r="X146" s="47">
        <f>ROUND((ROUND((ROUND((_11_A通院１１．５*_11・基礎１),0)*_11・２人),0)*(1+_11・A深夜)),0)+ROUND((ROUND((ROUND((_11_B通院１１．５＿０．５*_11・基礎１),0)*_11・２人),0)*(1+_11・B早朝)),0)+ROUND((ROUND((_11_C通院１１．５＿０．５＿１．０*_11・基礎１),0)*_11・２人),0)</f>
        <v>802</v>
      </c>
      <c r="Y146" s="48"/>
    </row>
    <row r="147" spans="1:25" ht="16.5" customHeight="1" x14ac:dyDescent="0.15">
      <c r="A147" s="41">
        <v>11</v>
      </c>
      <c r="B147" s="41" t="s">
        <v>6119</v>
      </c>
      <c r="C147" s="74" t="s">
        <v>6120</v>
      </c>
      <c r="D147" s="72"/>
      <c r="F147" s="72"/>
      <c r="H147" s="121"/>
      <c r="J147" s="53"/>
      <c r="K147" s="49"/>
      <c r="L147" s="50"/>
      <c r="M147" s="44"/>
      <c r="N147" s="45"/>
      <c r="O147" s="46"/>
      <c r="P147" s="35"/>
      <c r="R147" s="57"/>
      <c r="S147" s="35"/>
      <c r="U147" s="57"/>
      <c r="V147" s="707" t="s">
        <v>404</v>
      </c>
      <c r="W147" s="708"/>
      <c r="X147" s="47">
        <f>ROUND((ROUND((_11_A通院１１．５*(1+_11・A深夜)),0)*_11・初任),0)+ROUND((ROUND((_11_B通院１１．５＿０．５*(1+_11・B早朝)),0)*_11・初任),0)+ROUND((_11_C通院１１．５＿０．５＿１．０*_11・初任),0)</f>
        <v>802</v>
      </c>
      <c r="Y147" s="48"/>
    </row>
    <row r="148" spans="1:25" ht="16.5" customHeight="1" x14ac:dyDescent="0.15">
      <c r="A148" s="41">
        <v>11</v>
      </c>
      <c r="B148" s="41" t="s">
        <v>6121</v>
      </c>
      <c r="C148" s="74" t="s">
        <v>6122</v>
      </c>
      <c r="D148" s="72"/>
      <c r="F148" s="72"/>
      <c r="H148" s="121"/>
      <c r="J148" s="43"/>
      <c r="K148" s="37"/>
      <c r="L148" s="38"/>
      <c r="M148" s="44" t="s">
        <v>397</v>
      </c>
      <c r="N148" s="45" t="s">
        <v>398</v>
      </c>
      <c r="O148" s="46">
        <v>1</v>
      </c>
      <c r="P148" s="35"/>
      <c r="R148" s="57"/>
      <c r="S148" s="35"/>
      <c r="U148" s="57"/>
      <c r="V148" s="709"/>
      <c r="W148" s="704"/>
      <c r="X148" s="47">
        <f>ROUND((ROUND((ROUND((_11_A通院１１．５*_11・２人),0)*(1+_11・A深夜)),0)*_11・初任),0)+ROUND((ROUND((ROUND((_11_B通院１１．５＿０．５*_11・２人),0)*(1+_11・B早朝)),0)*_11・初任),0)+ROUND((ROUND((_11_C通院１１．５＿０．５＿１．０*_11・２人),0)*_11・初任),0)</f>
        <v>802</v>
      </c>
      <c r="Y148" s="48"/>
    </row>
    <row r="149" spans="1:25" ht="16.5" customHeight="1" x14ac:dyDescent="0.15">
      <c r="A149" s="41">
        <v>11</v>
      </c>
      <c r="B149" s="41" t="s">
        <v>6123</v>
      </c>
      <c r="C149" s="74" t="s">
        <v>6124</v>
      </c>
      <c r="D149" s="72"/>
      <c r="F149" s="72"/>
      <c r="H149" s="72"/>
      <c r="J149" s="752" t="s">
        <v>400</v>
      </c>
      <c r="K149" s="49" t="s">
        <v>398</v>
      </c>
      <c r="L149" s="50">
        <v>0.7</v>
      </c>
      <c r="M149" s="44"/>
      <c r="N149" s="45"/>
      <c r="O149" s="46"/>
      <c r="P149" s="35"/>
      <c r="R149" s="57"/>
      <c r="S149" s="35"/>
      <c r="U149" s="57"/>
      <c r="V149" s="709"/>
      <c r="W149" s="704"/>
      <c r="X149" s="47">
        <f>ROUND((ROUND((ROUND((_11_A通院１１．５*_11・基礎１),0)*(1+_11・A深夜)),0)*_11・初任),0)+ROUND((ROUND((ROUND((_11_B通院１１．５＿０．５*_11・基礎１),0)*(1+_11・B早朝)),0)*_11・初任),0)+ROUND((ROUND((_11_C通院１１．５＿０．５＿１．０*_11・基礎１),0)*_11・初任),0)</f>
        <v>562</v>
      </c>
      <c r="Y149" s="48"/>
    </row>
    <row r="150" spans="1:25" ht="16.5" customHeight="1" x14ac:dyDescent="0.15">
      <c r="A150" s="41">
        <v>11</v>
      </c>
      <c r="B150" s="41" t="s">
        <v>6125</v>
      </c>
      <c r="C150" s="74" t="s">
        <v>6126</v>
      </c>
      <c r="D150" s="72"/>
      <c r="F150" s="72"/>
      <c r="H150" s="72"/>
      <c r="J150" s="711"/>
      <c r="K150" s="37"/>
      <c r="L150" s="38"/>
      <c r="M150" s="44" t="s">
        <v>397</v>
      </c>
      <c r="N150" s="45" t="s">
        <v>398</v>
      </c>
      <c r="O150" s="46">
        <v>1</v>
      </c>
      <c r="P150" s="35"/>
      <c r="R150" s="57"/>
      <c r="S150" s="35"/>
      <c r="U150" s="57"/>
      <c r="V150" s="55" t="s">
        <v>398</v>
      </c>
      <c r="W150" s="38">
        <f>_11・初任</f>
        <v>0.7</v>
      </c>
      <c r="X150" s="47">
        <f>ROUND((ROUND((ROUND((ROUND((_11_A通院１１．５*_11・基礎１),0)*_11・２人),0)*(1+_11・A深夜)),0)*_11・初任),0)+ROUND((ROUND((ROUND((ROUND((_11_B通院１１．５＿０．５*_11・基礎１),0)*_11・２人),0)*(1+_11・B早朝)),0)*_11・初任),0)+ROUND((ROUND((ROUND((_11_C通院１１．５＿０．５＿１．０*_11・基礎１),0)*_11・２人),0)*_11・初任),0)</f>
        <v>562</v>
      </c>
      <c r="Y150" s="48"/>
    </row>
    <row r="151" spans="1:25" ht="16.5" customHeight="1" x14ac:dyDescent="0.15">
      <c r="A151" s="41">
        <v>11</v>
      </c>
      <c r="B151" s="41">
        <v>3679</v>
      </c>
      <c r="C151" s="74" t="s">
        <v>6127</v>
      </c>
      <c r="D151" s="707" t="s">
        <v>6128</v>
      </c>
      <c r="E151" s="717"/>
      <c r="F151" s="707" t="s">
        <v>3602</v>
      </c>
      <c r="G151" s="717"/>
      <c r="H151" s="707" t="s">
        <v>3643</v>
      </c>
      <c r="I151" s="717"/>
      <c r="J151" s="53"/>
      <c r="K151" s="49"/>
      <c r="L151" s="50"/>
      <c r="M151" s="44"/>
      <c r="N151" s="45"/>
      <c r="O151" s="46"/>
      <c r="P151" s="35"/>
      <c r="R151" s="57"/>
      <c r="S151" s="35"/>
      <c r="U151" s="57"/>
      <c r="V151" s="53"/>
      <c r="W151" s="49"/>
      <c r="X151" s="47">
        <f>ROUND((_11_A通院１２．０*(1+_11・A深夜)),0)+ROUND((_11_B通院１２．０＿０．５*(1+_11・B早朝)),0)+_11_C通院１２．０＿０．５＿０．５</f>
        <v>1187</v>
      </c>
      <c r="Y151" s="48"/>
    </row>
    <row r="152" spans="1:25" ht="16.5" customHeight="1" x14ac:dyDescent="0.15">
      <c r="A152" s="41">
        <v>11</v>
      </c>
      <c r="B152" s="41">
        <v>3680</v>
      </c>
      <c r="C152" s="74" t="s">
        <v>6129</v>
      </c>
      <c r="D152" s="709"/>
      <c r="E152" s="718"/>
      <c r="F152" s="709"/>
      <c r="G152" s="718"/>
      <c r="H152" s="709"/>
      <c r="I152" s="718"/>
      <c r="J152" s="43"/>
      <c r="K152" s="37"/>
      <c r="L152" s="38"/>
      <c r="M152" s="44" t="s">
        <v>397</v>
      </c>
      <c r="N152" s="45" t="s">
        <v>398</v>
      </c>
      <c r="O152" s="46">
        <v>1</v>
      </c>
      <c r="P152" s="35"/>
      <c r="R152" s="57"/>
      <c r="S152" s="35"/>
      <c r="U152" s="57"/>
      <c r="V152" s="35"/>
      <c r="X152" s="47">
        <f>ROUND((ROUND((_11_A通院１２．０*_11・２人),0)*(1+_11・A深夜)),0)+ROUND((ROUND((_11_B通院１２．０＿０．５*_11・２人),0)*(1+_11・B早朝)),0)+ROUND((_11_C通院１２．０＿０．５＿０．５*_11・２人),0)</f>
        <v>1187</v>
      </c>
      <c r="Y152" s="48"/>
    </row>
    <row r="153" spans="1:25" ht="16.5" customHeight="1" x14ac:dyDescent="0.15">
      <c r="A153" s="41">
        <v>11</v>
      </c>
      <c r="B153" s="41">
        <v>3681</v>
      </c>
      <c r="C153" s="74" t="s">
        <v>6130</v>
      </c>
      <c r="D153" s="709"/>
      <c r="E153" s="718"/>
      <c r="F153" s="709"/>
      <c r="G153" s="718"/>
      <c r="H153" s="709"/>
      <c r="I153" s="718"/>
      <c r="J153" s="752" t="s">
        <v>400</v>
      </c>
      <c r="K153" s="49" t="s">
        <v>398</v>
      </c>
      <c r="L153" s="50">
        <v>0.7</v>
      </c>
      <c r="M153" s="44"/>
      <c r="N153" s="45"/>
      <c r="O153" s="46"/>
      <c r="P153" s="35"/>
      <c r="R153" s="57"/>
      <c r="S153" s="35"/>
      <c r="U153" s="57"/>
      <c r="V153" s="35"/>
      <c r="X153" s="47">
        <f>ROUND((ROUND((_11_A通院１２．０*_11・基礎１),0)*(1+_11・A深夜)),0)+ROUND((ROUND((_11_B通院１２．０＿０．５*_11・基礎１),0)*(1+_11・B早朝)),0)+ROUND((_11_C通院１２．０＿０．５＿０．５*_11・基礎１),0)</f>
        <v>831</v>
      </c>
      <c r="Y153" s="48"/>
    </row>
    <row r="154" spans="1:25" ht="16.5" customHeight="1" x14ac:dyDescent="0.15">
      <c r="A154" s="41">
        <v>11</v>
      </c>
      <c r="B154" s="41">
        <v>3682</v>
      </c>
      <c r="C154" s="74" t="s">
        <v>6131</v>
      </c>
      <c r="D154" s="125">
        <f>_11_A通院１２．０</f>
        <v>666</v>
      </c>
      <c r="E154" s="12" t="s">
        <v>392</v>
      </c>
      <c r="F154" s="125">
        <f>_11_B通院１２．０＿０．５</f>
        <v>84</v>
      </c>
      <c r="G154" s="12" t="s">
        <v>392</v>
      </c>
      <c r="H154" s="125">
        <f>_11_C通院１２．０＿０．５＿０．５</f>
        <v>83</v>
      </c>
      <c r="I154" s="12" t="s">
        <v>392</v>
      </c>
      <c r="J154" s="711"/>
      <c r="K154" s="37"/>
      <c r="L154" s="38"/>
      <c r="M154" s="44" t="s">
        <v>397</v>
      </c>
      <c r="N154" s="45" t="s">
        <v>398</v>
      </c>
      <c r="O154" s="46">
        <v>1</v>
      </c>
      <c r="P154" s="35"/>
      <c r="R154" s="57"/>
      <c r="S154" s="35"/>
      <c r="U154" s="57"/>
      <c r="V154" s="43"/>
      <c r="W154" s="37"/>
      <c r="X154" s="47">
        <f>ROUND((ROUND((ROUND((_11_A通院１２．０*_11・基礎１),0)*_11・２人),0)*(1+_11・A深夜)),0)+ROUND((ROUND((ROUND((_11_B通院１２．０＿０．５*_11・基礎１),0)*_11・２人),0)*(1+_11・B早朝)),0)+ROUND((ROUND((_11_C通院１２．０＿０．５＿０．５*_11・基礎１),0)*_11・２人),0)</f>
        <v>831</v>
      </c>
      <c r="Y154" s="48"/>
    </row>
    <row r="155" spans="1:25" ht="16.5" customHeight="1" x14ac:dyDescent="0.15">
      <c r="A155" s="41">
        <v>11</v>
      </c>
      <c r="B155" s="41" t="s">
        <v>6132</v>
      </c>
      <c r="C155" s="74" t="s">
        <v>6133</v>
      </c>
      <c r="D155" s="121"/>
      <c r="F155" s="72"/>
      <c r="H155" s="121"/>
      <c r="J155" s="53"/>
      <c r="K155" s="49"/>
      <c r="L155" s="50"/>
      <c r="M155" s="44"/>
      <c r="N155" s="45"/>
      <c r="O155" s="46"/>
      <c r="P155" s="35"/>
      <c r="R155" s="57"/>
      <c r="S155" s="35"/>
      <c r="U155" s="57"/>
      <c r="V155" s="707" t="s">
        <v>404</v>
      </c>
      <c r="W155" s="708"/>
      <c r="X155" s="47">
        <f>ROUND((ROUND((_11_A通院１２．０*(1+_11・A深夜)),0)*_11・初任),0)+ROUND((ROUND((_11_B通院１２．０＿０．５*(1+_11・B早朝)),0)*_11・初任),0)+ROUND((_11_C通院１２．０＿０．５＿０．５*_11・初任),0)</f>
        <v>831</v>
      </c>
      <c r="Y155" s="48"/>
    </row>
    <row r="156" spans="1:25" ht="16.5" customHeight="1" x14ac:dyDescent="0.15">
      <c r="A156" s="41">
        <v>11</v>
      </c>
      <c r="B156" s="41" t="s">
        <v>6134</v>
      </c>
      <c r="C156" s="74" t="s">
        <v>6135</v>
      </c>
      <c r="D156" s="121"/>
      <c r="F156" s="72"/>
      <c r="H156" s="121"/>
      <c r="J156" s="43"/>
      <c r="K156" s="37"/>
      <c r="L156" s="38"/>
      <c r="M156" s="44" t="s">
        <v>397</v>
      </c>
      <c r="N156" s="45" t="s">
        <v>398</v>
      </c>
      <c r="O156" s="46">
        <v>1</v>
      </c>
      <c r="P156" s="35"/>
      <c r="R156" s="57"/>
      <c r="S156" s="35"/>
      <c r="U156" s="57"/>
      <c r="V156" s="709"/>
      <c r="W156" s="704"/>
      <c r="X156" s="47">
        <f>ROUND((ROUND((ROUND((_11_A通院１２．０*_11・２人),0)*(1+_11・A深夜)),0)*_11・初任),0)+ROUND((ROUND((ROUND((_11_B通院１２．０＿０．５*_11・２人),0)*(1+_11・B早朝)),0)*_11・初任),0)+ROUND((ROUND((_11_C通院１２．０＿０．５＿０．５*_11・２人),0)*_11・初任),0)</f>
        <v>831</v>
      </c>
      <c r="Y156" s="48"/>
    </row>
    <row r="157" spans="1:25" ht="16.5" customHeight="1" x14ac:dyDescent="0.15">
      <c r="A157" s="41">
        <v>11</v>
      </c>
      <c r="B157" s="41" t="s">
        <v>6136</v>
      </c>
      <c r="C157" s="74" t="s">
        <v>6137</v>
      </c>
      <c r="D157" s="72"/>
      <c r="F157" s="72"/>
      <c r="H157" s="72"/>
      <c r="J157" s="752" t="s">
        <v>400</v>
      </c>
      <c r="K157" s="49" t="s">
        <v>398</v>
      </c>
      <c r="L157" s="50">
        <v>0.7</v>
      </c>
      <c r="M157" s="44"/>
      <c r="N157" s="45"/>
      <c r="O157" s="46"/>
      <c r="P157" s="35"/>
      <c r="R157" s="57"/>
      <c r="S157" s="35"/>
      <c r="U157" s="57"/>
      <c r="V157" s="709"/>
      <c r="W157" s="704"/>
      <c r="X157" s="47">
        <f>ROUND((ROUND((ROUND((_11_A通院１２．０*_11・基礎１),0)*(1+_11・A深夜)),0)*_11・初任),0)+ROUND((ROUND((ROUND((_11_B通院１２．０＿０．５*_11・基礎１),0)*(1+_11・B早朝)),0)*_11・初任),0)+ROUND((ROUND((_11_C通院１２．０＿０．５＿０．５*_11・基礎１),0)*_11・初任),0)</f>
        <v>582</v>
      </c>
      <c r="Y157" s="48"/>
    </row>
    <row r="158" spans="1:25" ht="16.5" customHeight="1" x14ac:dyDescent="0.15">
      <c r="A158" s="41">
        <v>11</v>
      </c>
      <c r="B158" s="41" t="s">
        <v>6138</v>
      </c>
      <c r="C158" s="74" t="s">
        <v>6139</v>
      </c>
      <c r="D158" s="122"/>
      <c r="E158" s="37"/>
      <c r="F158" s="122"/>
      <c r="G158" s="37"/>
      <c r="H158" s="122"/>
      <c r="I158" s="37"/>
      <c r="J158" s="711"/>
      <c r="K158" s="37"/>
      <c r="L158" s="38"/>
      <c r="M158" s="44" t="s">
        <v>397</v>
      </c>
      <c r="N158" s="45" t="s">
        <v>398</v>
      </c>
      <c r="O158" s="46">
        <v>1</v>
      </c>
      <c r="P158" s="43"/>
      <c r="Q158" s="38"/>
      <c r="R158" s="79"/>
      <c r="S158" s="43"/>
      <c r="T158" s="38"/>
      <c r="U158" s="79"/>
      <c r="V158" s="55" t="s">
        <v>398</v>
      </c>
      <c r="W158" s="38">
        <f>_11・初任</f>
        <v>0.7</v>
      </c>
      <c r="X158" s="47">
        <f>ROUND((ROUND((ROUND((ROUND((_11_A通院１２．０*_11・基礎１),0)*_11・２人),0)*(1+_11・A深夜)),0)*_11・初任),0)+ROUND((ROUND((ROUND((ROUND((_11_B通院１２．０＿０．５*_11・基礎１),0)*_11・２人),0)*(1+_11・B早朝)),0)*_11・初任),0)+ROUND((ROUND((ROUND((_11_C通院１２．０＿０．５＿０．５*_11・基礎１),0)*_11・２人),0)*_11・初任),0)</f>
        <v>582</v>
      </c>
      <c r="Y158" s="63"/>
    </row>
    <row r="159" spans="1:25" ht="16.5" customHeight="1" x14ac:dyDescent="0.15"/>
    <row r="160" spans="1:25" ht="16.5" customHeight="1" x14ac:dyDescent="0.15"/>
  </sheetData>
  <mergeCells count="98">
    <mergeCell ref="D151:E153"/>
    <mergeCell ref="F151:G153"/>
    <mergeCell ref="H151:I153"/>
    <mergeCell ref="J153:J154"/>
    <mergeCell ref="V155:W157"/>
    <mergeCell ref="J157:J158"/>
    <mergeCell ref="V139:W141"/>
    <mergeCell ref="J141:J142"/>
    <mergeCell ref="H143:I145"/>
    <mergeCell ref="J145:J146"/>
    <mergeCell ref="V147:W149"/>
    <mergeCell ref="J149:J150"/>
    <mergeCell ref="H127:I129"/>
    <mergeCell ref="J129:J130"/>
    <mergeCell ref="V131:W133"/>
    <mergeCell ref="J133:J134"/>
    <mergeCell ref="D135:E137"/>
    <mergeCell ref="F135:G137"/>
    <mergeCell ref="H135:I137"/>
    <mergeCell ref="J137:J138"/>
    <mergeCell ref="V115:W117"/>
    <mergeCell ref="J117:J118"/>
    <mergeCell ref="H119:I121"/>
    <mergeCell ref="J121:J122"/>
    <mergeCell ref="V123:W125"/>
    <mergeCell ref="J125:J126"/>
    <mergeCell ref="V107:W109"/>
    <mergeCell ref="J109:J110"/>
    <mergeCell ref="D111:E113"/>
    <mergeCell ref="F111:G113"/>
    <mergeCell ref="H111:I113"/>
    <mergeCell ref="J113:J114"/>
    <mergeCell ref="H95:I97"/>
    <mergeCell ref="J97:J98"/>
    <mergeCell ref="V99:W101"/>
    <mergeCell ref="J101:J102"/>
    <mergeCell ref="H103:I105"/>
    <mergeCell ref="J105:J106"/>
    <mergeCell ref="V83:W85"/>
    <mergeCell ref="J85:J86"/>
    <mergeCell ref="H87:I89"/>
    <mergeCell ref="J89:J90"/>
    <mergeCell ref="V91:W93"/>
    <mergeCell ref="J93:J94"/>
    <mergeCell ref="D79:E81"/>
    <mergeCell ref="F79:G81"/>
    <mergeCell ref="H79:I81"/>
    <mergeCell ref="R80:R81"/>
    <mergeCell ref="U80:U81"/>
    <mergeCell ref="J81:J82"/>
    <mergeCell ref="D71:E73"/>
    <mergeCell ref="F71:G73"/>
    <mergeCell ref="H71:I73"/>
    <mergeCell ref="J73:J74"/>
    <mergeCell ref="V75:W77"/>
    <mergeCell ref="J77:J78"/>
    <mergeCell ref="V59:W61"/>
    <mergeCell ref="J61:J62"/>
    <mergeCell ref="H63:I65"/>
    <mergeCell ref="J65:J66"/>
    <mergeCell ref="V67:W69"/>
    <mergeCell ref="J69:J70"/>
    <mergeCell ref="V51:W53"/>
    <mergeCell ref="J53:J54"/>
    <mergeCell ref="D55:E57"/>
    <mergeCell ref="F55:G57"/>
    <mergeCell ref="H55:I57"/>
    <mergeCell ref="J57:J58"/>
    <mergeCell ref="H39:I41"/>
    <mergeCell ref="J41:J42"/>
    <mergeCell ref="V43:W45"/>
    <mergeCell ref="J45:J46"/>
    <mergeCell ref="H47:I49"/>
    <mergeCell ref="J49:J50"/>
    <mergeCell ref="D31:E33"/>
    <mergeCell ref="F31:G33"/>
    <mergeCell ref="H31:I33"/>
    <mergeCell ref="J33:J34"/>
    <mergeCell ref="V35:W37"/>
    <mergeCell ref="J37:J38"/>
    <mergeCell ref="D23:E25"/>
    <mergeCell ref="F23:G25"/>
    <mergeCell ref="H23:I25"/>
    <mergeCell ref="J25:J26"/>
    <mergeCell ref="V27:W29"/>
    <mergeCell ref="J29:J30"/>
    <mergeCell ref="V11:W13"/>
    <mergeCell ref="J13:J14"/>
    <mergeCell ref="H15:I17"/>
    <mergeCell ref="J17:J18"/>
    <mergeCell ref="V19:W21"/>
    <mergeCell ref="J21:J22"/>
    <mergeCell ref="D7:E9"/>
    <mergeCell ref="F7:G9"/>
    <mergeCell ref="H7:I9"/>
    <mergeCell ref="R8:R9"/>
    <mergeCell ref="U8:U9"/>
    <mergeCell ref="J9:J10"/>
  </mergeCells>
  <phoneticPr fontId="1"/>
  <printOptions horizontalCentered="1"/>
  <pageMargins left="0.70866141732283472" right="0.70866141732283472" top="0.74803149606299213" bottom="0.74803149606299213" header="0.31496062992125984" footer="0.31496062992125984"/>
  <pageSetup paperSize="9" scale="44" fitToHeight="0" orientation="portrait" r:id="rId1"/>
  <headerFooter>
    <oddHeader>&amp;R&amp;"ＭＳ Ｐゴシック"&amp;9居宅介護</oddHeader>
    <oddFooter>&amp;C&amp;"ＭＳ Ｐゴシック"&amp;14&amp;P</oddFooter>
  </headerFooter>
  <rowBreaks count="1" manualBreakCount="1">
    <brk id="78" max="24"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pageSetUpPr fitToPage="1"/>
  </sheetPr>
  <dimension ref="A1:T12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0.125" style="10" bestFit="1" customWidth="1"/>
    <col min="4" max="4" width="4.875" style="199" customWidth="1"/>
    <col min="5" max="5" width="4.5" style="12" bestFit="1" customWidth="1"/>
    <col min="6" max="6" width="4.875" style="199" customWidth="1"/>
    <col min="7" max="7" width="4.5" style="12" bestFit="1" customWidth="1"/>
    <col min="8" max="8" width="11.875" style="12" customWidth="1"/>
    <col min="9" max="9" width="3.5" style="12" bestFit="1" customWidth="1"/>
    <col min="10" max="10" width="4.5" style="13" bestFit="1" customWidth="1"/>
    <col min="11" max="11" width="24.875" style="14" bestFit="1" customWidth="1"/>
    <col min="12" max="12" width="3.5" style="12" bestFit="1" customWidth="1"/>
    <col min="13" max="13" width="5.5" style="13" bestFit="1" customWidth="1"/>
    <col min="14" max="14" width="3.5" style="12" bestFit="1" customWidth="1"/>
    <col min="15" max="15" width="4.5" style="13" bestFit="1" customWidth="1"/>
    <col min="16" max="16" width="5.5" style="12" bestFit="1" customWidth="1"/>
    <col min="17" max="17" width="9.875" style="12" customWidth="1"/>
    <col min="18" max="18" width="4.5" style="12" bestFit="1" customWidth="1"/>
    <col min="19" max="19" width="7.125" style="15" customWidth="1"/>
    <col min="20" max="20" width="8.5" style="16" customWidth="1"/>
    <col min="21" max="16384" width="8.875" style="12"/>
  </cols>
  <sheetData>
    <row r="1" spans="1:20" ht="17.100000000000001" customHeight="1" x14ac:dyDescent="0.15"/>
    <row r="2" spans="1:20" ht="17.100000000000001" customHeight="1" x14ac:dyDescent="0.15"/>
    <row r="3" spans="1:20" ht="17.100000000000001" customHeight="1" x14ac:dyDescent="0.15"/>
    <row r="4" spans="1:20" ht="17.100000000000001" customHeight="1" x14ac:dyDescent="0.15">
      <c r="B4" s="17" t="s">
        <v>6140</v>
      </c>
      <c r="D4" s="200"/>
    </row>
    <row r="5" spans="1:20" ht="16.5" customHeight="1" x14ac:dyDescent="0.15">
      <c r="A5" s="19" t="s">
        <v>384</v>
      </c>
      <c r="B5" s="20"/>
      <c r="C5" s="21" t="s">
        <v>385</v>
      </c>
      <c r="D5" s="118" t="s">
        <v>386</v>
      </c>
      <c r="E5" s="23"/>
      <c r="F5" s="118"/>
      <c r="G5" s="23"/>
      <c r="H5" s="23"/>
      <c r="I5" s="23"/>
      <c r="J5" s="24"/>
      <c r="K5" s="23"/>
      <c r="L5" s="23"/>
      <c r="M5" s="24"/>
      <c r="N5" s="23"/>
      <c r="O5" s="24"/>
      <c r="P5" s="23"/>
      <c r="Q5" s="23"/>
      <c r="R5" s="23"/>
      <c r="S5" s="25" t="s">
        <v>387</v>
      </c>
      <c r="T5" s="21" t="s">
        <v>388</v>
      </c>
    </row>
    <row r="6" spans="1:20" ht="16.5" customHeight="1" x14ac:dyDescent="0.15">
      <c r="A6" s="26" t="s">
        <v>389</v>
      </c>
      <c r="B6" s="26" t="s">
        <v>390</v>
      </c>
      <c r="C6" s="27"/>
      <c r="D6" s="201" t="s">
        <v>1032</v>
      </c>
      <c r="E6" s="20"/>
      <c r="F6" s="120"/>
      <c r="G6" s="29"/>
      <c r="H6" s="29"/>
      <c r="I6" s="29"/>
      <c r="J6" s="30"/>
      <c r="K6" s="29"/>
      <c r="L6" s="29"/>
      <c r="M6" s="30"/>
      <c r="N6" s="29"/>
      <c r="O6" s="30"/>
      <c r="P6" s="29"/>
      <c r="Q6" s="29"/>
      <c r="R6" s="29"/>
      <c r="S6" s="31" t="s">
        <v>391</v>
      </c>
      <c r="T6" s="32" t="s">
        <v>392</v>
      </c>
    </row>
    <row r="7" spans="1:20" ht="16.5" customHeight="1" x14ac:dyDescent="0.15">
      <c r="A7" s="33">
        <v>11</v>
      </c>
      <c r="B7" s="33">
        <v>3683</v>
      </c>
      <c r="C7" s="34" t="s">
        <v>6141</v>
      </c>
      <c r="D7" s="709" t="s">
        <v>4811</v>
      </c>
      <c r="E7" s="718"/>
      <c r="F7" s="709" t="s">
        <v>3643</v>
      </c>
      <c r="G7" s="718"/>
      <c r="H7" s="35"/>
      <c r="K7" s="36"/>
      <c r="L7" s="37"/>
      <c r="M7" s="38"/>
      <c r="N7" s="72" t="s">
        <v>1036</v>
      </c>
      <c r="P7" s="57"/>
      <c r="Q7" s="35"/>
      <c r="S7" s="39">
        <f>ROUND((_11_A通院１０．５*(1+_11・A深夜)),0)+_11_B通院１０．５＿０．５</f>
        <v>530</v>
      </c>
      <c r="T7" s="40" t="s">
        <v>395</v>
      </c>
    </row>
    <row r="8" spans="1:20" ht="16.5" customHeight="1" x14ac:dyDescent="0.15">
      <c r="A8" s="41">
        <v>11</v>
      </c>
      <c r="B8" s="41">
        <v>3684</v>
      </c>
      <c r="C8" s="74" t="s">
        <v>6142</v>
      </c>
      <c r="D8" s="709"/>
      <c r="E8" s="718"/>
      <c r="F8" s="709"/>
      <c r="G8" s="718"/>
      <c r="H8" s="43"/>
      <c r="I8" s="37"/>
      <c r="J8" s="38"/>
      <c r="K8" s="44" t="s">
        <v>397</v>
      </c>
      <c r="L8" s="45" t="s">
        <v>398</v>
      </c>
      <c r="M8" s="46">
        <v>1</v>
      </c>
      <c r="N8" s="35" t="s">
        <v>398</v>
      </c>
      <c r="O8" s="13">
        <v>0.5</v>
      </c>
      <c r="P8" s="728" t="s">
        <v>676</v>
      </c>
      <c r="Q8" s="35"/>
      <c r="S8" s="47">
        <f>ROUND((ROUND((_11_A通院１０．５*_11・２人),0)*(1+_11・A深夜)),0)+ROUND((_11_B通院１０．５＿０．５*_11・２人),0)</f>
        <v>530</v>
      </c>
      <c r="T8" s="48"/>
    </row>
    <row r="9" spans="1:20" ht="16.5" customHeight="1" x14ac:dyDescent="0.15">
      <c r="A9" s="41">
        <v>11</v>
      </c>
      <c r="B9" s="41">
        <v>3685</v>
      </c>
      <c r="C9" s="74" t="s">
        <v>6143</v>
      </c>
      <c r="D9" s="709"/>
      <c r="E9" s="718"/>
      <c r="F9" s="709"/>
      <c r="G9" s="718"/>
      <c r="H9" s="752" t="s">
        <v>400</v>
      </c>
      <c r="I9" s="49" t="s">
        <v>398</v>
      </c>
      <c r="J9" s="50">
        <v>0.7</v>
      </c>
      <c r="K9" s="44"/>
      <c r="L9" s="45"/>
      <c r="M9" s="46"/>
      <c r="N9" s="35"/>
      <c r="P9" s="728"/>
      <c r="Q9" s="35"/>
      <c r="S9" s="47">
        <f>ROUND((ROUND((_11_A通院１０．５*_11・基礎１),0)*(1+_11・A深夜)),0)+ROUND((_11_B通院１０．５＿０．５*_11・基礎１),0)</f>
        <v>372</v>
      </c>
      <c r="T9" s="48"/>
    </row>
    <row r="10" spans="1:20" ht="16.5" customHeight="1" x14ac:dyDescent="0.15">
      <c r="A10" s="41">
        <v>11</v>
      </c>
      <c r="B10" s="41">
        <v>3686</v>
      </c>
      <c r="C10" s="74" t="s">
        <v>6144</v>
      </c>
      <c r="D10" s="100">
        <f>_11_A通院１０．５</f>
        <v>255</v>
      </c>
      <c r="E10" s="12" t="s">
        <v>392</v>
      </c>
      <c r="F10" s="100">
        <f>_11_B通院１０．５＿０．５</f>
        <v>147</v>
      </c>
      <c r="G10" s="12" t="s">
        <v>392</v>
      </c>
      <c r="H10" s="757"/>
      <c r="I10" s="37"/>
      <c r="J10" s="38"/>
      <c r="K10" s="44" t="s">
        <v>397</v>
      </c>
      <c r="L10" s="45" t="s">
        <v>398</v>
      </c>
      <c r="M10" s="46">
        <v>1</v>
      </c>
      <c r="N10" s="35"/>
      <c r="P10" s="57"/>
      <c r="Q10" s="43"/>
      <c r="R10" s="37"/>
      <c r="S10" s="47">
        <f>ROUND((ROUND((ROUND((_11_A通院１０．５*_11・基礎１),0)*_11・２人),0)*(1+_11・A深夜)),0)+ROUND((ROUND((_11_B通院１０．５＿０．５*_11・基礎１),0)*_11・２人),0)</f>
        <v>372</v>
      </c>
      <c r="T10" s="48"/>
    </row>
    <row r="11" spans="1:20" ht="16.5" customHeight="1" x14ac:dyDescent="0.15">
      <c r="A11" s="41">
        <v>11</v>
      </c>
      <c r="B11" s="41" t="s">
        <v>6145</v>
      </c>
      <c r="C11" s="74" t="s">
        <v>6146</v>
      </c>
      <c r="D11" s="202"/>
      <c r="F11" s="202"/>
      <c r="H11" s="53"/>
      <c r="I11" s="49"/>
      <c r="J11" s="50"/>
      <c r="K11" s="44"/>
      <c r="L11" s="45"/>
      <c r="M11" s="46"/>
      <c r="N11" s="35"/>
      <c r="P11" s="57"/>
      <c r="Q11" s="707" t="s">
        <v>404</v>
      </c>
      <c r="R11" s="708"/>
      <c r="S11" s="47">
        <f>ROUND((ROUND((_11_A通院１０．５*(1+_11・A深夜)),0)*_11・初任),0)+ROUND((_11_B通院１０．５＿０．５*_11・初任),0)</f>
        <v>371</v>
      </c>
      <c r="T11" s="48"/>
    </row>
    <row r="12" spans="1:20" ht="16.5" customHeight="1" x14ac:dyDescent="0.15">
      <c r="A12" s="41">
        <v>11</v>
      </c>
      <c r="B12" s="41" t="s">
        <v>6147</v>
      </c>
      <c r="C12" s="74" t="s">
        <v>6148</v>
      </c>
      <c r="D12" s="202"/>
      <c r="F12" s="202"/>
      <c r="H12" s="43"/>
      <c r="I12" s="37"/>
      <c r="J12" s="38"/>
      <c r="K12" s="44" t="s">
        <v>397</v>
      </c>
      <c r="L12" s="45" t="s">
        <v>398</v>
      </c>
      <c r="M12" s="46">
        <v>1</v>
      </c>
      <c r="N12" s="35"/>
      <c r="P12" s="57"/>
      <c r="Q12" s="709"/>
      <c r="R12" s="704"/>
      <c r="S12" s="47">
        <f>ROUND((ROUND((ROUND((_11_A通院１０．５*_11・２人),0)*(1+_11・A深夜)),0)*_11・初任),0)+ROUND((ROUND((_11_B通院１０．５＿０．５*_11・２人),0)*_11・初任),0)</f>
        <v>371</v>
      </c>
      <c r="T12" s="48"/>
    </row>
    <row r="13" spans="1:20" ht="16.5" customHeight="1" x14ac:dyDescent="0.15">
      <c r="A13" s="41">
        <v>11</v>
      </c>
      <c r="B13" s="41" t="s">
        <v>6149</v>
      </c>
      <c r="C13" s="74" t="s">
        <v>6150</v>
      </c>
      <c r="D13" s="203"/>
      <c r="F13" s="203"/>
      <c r="H13" s="752" t="s">
        <v>400</v>
      </c>
      <c r="I13" s="49" t="s">
        <v>398</v>
      </c>
      <c r="J13" s="50">
        <v>0.7</v>
      </c>
      <c r="K13" s="44"/>
      <c r="L13" s="45"/>
      <c r="M13" s="46"/>
      <c r="N13" s="35"/>
      <c r="P13" s="57"/>
      <c r="Q13" s="709"/>
      <c r="R13" s="704"/>
      <c r="S13" s="47">
        <f>ROUND((ROUND((ROUND((_11_A通院１０．５*_11・基礎１),0)*(1+_11・A深夜)),0)*_11・初任),0)+ROUND((ROUND((_11_B通院１０．５＿０．５*_11・基礎１),0)*_11・初任),0)</f>
        <v>260</v>
      </c>
      <c r="T13" s="48"/>
    </row>
    <row r="14" spans="1:20" ht="16.5" customHeight="1" x14ac:dyDescent="0.15">
      <c r="A14" s="41">
        <v>11</v>
      </c>
      <c r="B14" s="41" t="s">
        <v>6151</v>
      </c>
      <c r="C14" s="74" t="s">
        <v>6152</v>
      </c>
      <c r="D14" s="203"/>
      <c r="F14" s="203"/>
      <c r="H14" s="757"/>
      <c r="I14" s="37"/>
      <c r="J14" s="38"/>
      <c r="K14" s="44" t="s">
        <v>397</v>
      </c>
      <c r="L14" s="45" t="s">
        <v>398</v>
      </c>
      <c r="M14" s="46">
        <v>1</v>
      </c>
      <c r="N14" s="35"/>
      <c r="P14" s="57"/>
      <c r="Q14" s="55" t="s">
        <v>398</v>
      </c>
      <c r="R14" s="38">
        <f>_11・初任</f>
        <v>0.7</v>
      </c>
      <c r="S14" s="47">
        <f>ROUND((ROUND((ROUND((ROUND((_11_A通院１０．５*_11・基礎１),0)*_11・２人),0)*(1+_11・A深夜)),0)*_11・初任),0)+ROUND((ROUND((ROUND((_11_B通院１０．５＿０．５*_11・基礎１),0)*_11・２人),0)*_11・初任),0)</f>
        <v>260</v>
      </c>
      <c r="T14" s="48"/>
    </row>
    <row r="15" spans="1:20" ht="16.5" customHeight="1" x14ac:dyDescent="0.15">
      <c r="A15" s="41">
        <v>11</v>
      </c>
      <c r="B15" s="41">
        <v>3687</v>
      </c>
      <c r="C15" s="74" t="s">
        <v>6153</v>
      </c>
      <c r="D15" s="203"/>
      <c r="F15" s="707" t="s">
        <v>3650</v>
      </c>
      <c r="G15" s="717"/>
      <c r="H15" s="53"/>
      <c r="I15" s="49"/>
      <c r="J15" s="50"/>
      <c r="K15" s="44"/>
      <c r="L15" s="45"/>
      <c r="M15" s="46"/>
      <c r="N15" s="35"/>
      <c r="P15" s="57"/>
      <c r="Q15" s="53"/>
      <c r="R15" s="49"/>
      <c r="S15" s="47">
        <f>ROUND((_11_A通院１０．５*(1+_11・A深夜)),0)+_11_B通院１０．５＿１．０</f>
        <v>712</v>
      </c>
      <c r="T15" s="48"/>
    </row>
    <row r="16" spans="1:20" ht="16.5" customHeight="1" x14ac:dyDescent="0.15">
      <c r="A16" s="41">
        <v>11</v>
      </c>
      <c r="B16" s="41">
        <v>3688</v>
      </c>
      <c r="C16" s="74" t="s">
        <v>6154</v>
      </c>
      <c r="D16" s="203"/>
      <c r="F16" s="709"/>
      <c r="G16" s="718"/>
      <c r="H16" s="43"/>
      <c r="I16" s="37"/>
      <c r="J16" s="38"/>
      <c r="K16" s="44" t="s">
        <v>397</v>
      </c>
      <c r="L16" s="45" t="s">
        <v>398</v>
      </c>
      <c r="M16" s="46">
        <v>1</v>
      </c>
      <c r="N16" s="35"/>
      <c r="P16" s="57"/>
      <c r="Q16" s="35"/>
      <c r="S16" s="47">
        <f>ROUND((ROUND((_11_A通院１０．５*_11・２人),0)*(1+_11・A深夜)),0)+ROUND((_11_B通院１０．５＿１．０*_11・２人),0)</f>
        <v>712</v>
      </c>
      <c r="T16" s="48"/>
    </row>
    <row r="17" spans="1:20" ht="16.5" customHeight="1" x14ac:dyDescent="0.15">
      <c r="A17" s="41">
        <v>11</v>
      </c>
      <c r="B17" s="41">
        <v>3689</v>
      </c>
      <c r="C17" s="74" t="s">
        <v>6155</v>
      </c>
      <c r="D17" s="203"/>
      <c r="F17" s="709"/>
      <c r="G17" s="718"/>
      <c r="H17" s="752" t="s">
        <v>400</v>
      </c>
      <c r="I17" s="49" t="s">
        <v>398</v>
      </c>
      <c r="J17" s="50">
        <v>0.7</v>
      </c>
      <c r="K17" s="44"/>
      <c r="L17" s="45"/>
      <c r="M17" s="46"/>
      <c r="N17" s="35"/>
      <c r="P17" s="57"/>
      <c r="Q17" s="35"/>
      <c r="S17" s="47">
        <f>ROUND((ROUND((_11_A通院１０．５*_11・基礎１),0)*(1+_11・A深夜)),0)+ROUND((_11_B通院１０．５＿１．０*_11・基礎１),0)</f>
        <v>499</v>
      </c>
      <c r="T17" s="48"/>
    </row>
    <row r="18" spans="1:20" ht="16.5" customHeight="1" x14ac:dyDescent="0.15">
      <c r="A18" s="41">
        <v>11</v>
      </c>
      <c r="B18" s="41">
        <v>3690</v>
      </c>
      <c r="C18" s="74" t="s">
        <v>6156</v>
      </c>
      <c r="D18" s="203"/>
      <c r="F18" s="100">
        <f>_11_B通院１０．５＿１．０</f>
        <v>329</v>
      </c>
      <c r="G18" s="12" t="s">
        <v>392</v>
      </c>
      <c r="H18" s="757"/>
      <c r="I18" s="37"/>
      <c r="J18" s="38"/>
      <c r="K18" s="44" t="s">
        <v>397</v>
      </c>
      <c r="L18" s="45" t="s">
        <v>398</v>
      </c>
      <c r="M18" s="46">
        <v>1</v>
      </c>
      <c r="N18" s="35"/>
      <c r="P18" s="57"/>
      <c r="Q18" s="43"/>
      <c r="R18" s="37"/>
      <c r="S18" s="47">
        <f>ROUND((ROUND((ROUND((_11_A通院１０．５*_11・基礎１),0)*_11・２人),0)*(1+_11・A深夜)),0)+ROUND((ROUND((_11_B通院１０．５＿１．０*_11・基礎１),0)*_11・２人),0)</f>
        <v>499</v>
      </c>
      <c r="T18" s="48"/>
    </row>
    <row r="19" spans="1:20" ht="16.5" customHeight="1" x14ac:dyDescent="0.15">
      <c r="A19" s="41">
        <v>11</v>
      </c>
      <c r="B19" s="41" t="s">
        <v>6157</v>
      </c>
      <c r="C19" s="74" t="s">
        <v>6158</v>
      </c>
      <c r="D19" s="203"/>
      <c r="F19" s="204"/>
      <c r="H19" s="53"/>
      <c r="I19" s="49"/>
      <c r="J19" s="50"/>
      <c r="K19" s="44"/>
      <c r="L19" s="45"/>
      <c r="M19" s="46"/>
      <c r="N19" s="35"/>
      <c r="P19" s="57"/>
      <c r="Q19" s="707" t="s">
        <v>404</v>
      </c>
      <c r="R19" s="708"/>
      <c r="S19" s="47">
        <f>ROUND((ROUND((_11_A通院１０．５*(1+_11・A深夜)),0)*_11・初任),0)+ROUND((_11_B通院１０．５＿１．０*_11・初任),0)</f>
        <v>498</v>
      </c>
      <c r="T19" s="48"/>
    </row>
    <row r="20" spans="1:20" ht="16.5" customHeight="1" x14ac:dyDescent="0.15">
      <c r="A20" s="41">
        <v>11</v>
      </c>
      <c r="B20" s="41" t="s">
        <v>6159</v>
      </c>
      <c r="C20" s="74" t="s">
        <v>6160</v>
      </c>
      <c r="D20" s="203"/>
      <c r="F20" s="204"/>
      <c r="H20" s="43"/>
      <c r="I20" s="37"/>
      <c r="J20" s="38"/>
      <c r="K20" s="44" t="s">
        <v>397</v>
      </c>
      <c r="L20" s="45" t="s">
        <v>398</v>
      </c>
      <c r="M20" s="46">
        <v>1</v>
      </c>
      <c r="N20" s="35"/>
      <c r="P20" s="57"/>
      <c r="Q20" s="709"/>
      <c r="R20" s="704"/>
      <c r="S20" s="47">
        <f>ROUND((ROUND((ROUND((_11_A通院１０．５*_11・２人),0)*(1+_11・A深夜)),0)*_11・初任),0)+ROUND((ROUND((_11_B通院１０．５＿１．０*_11・２人),0)*_11・初任),0)</f>
        <v>498</v>
      </c>
      <c r="T20" s="48"/>
    </row>
    <row r="21" spans="1:20" ht="16.5" customHeight="1" x14ac:dyDescent="0.15">
      <c r="A21" s="41">
        <v>11</v>
      </c>
      <c r="B21" s="41" t="s">
        <v>6161</v>
      </c>
      <c r="C21" s="74" t="s">
        <v>6162</v>
      </c>
      <c r="D21" s="203"/>
      <c r="F21" s="203"/>
      <c r="H21" s="752" t="s">
        <v>400</v>
      </c>
      <c r="I21" s="49" t="s">
        <v>398</v>
      </c>
      <c r="J21" s="50">
        <v>0.7</v>
      </c>
      <c r="K21" s="44"/>
      <c r="L21" s="45"/>
      <c r="M21" s="46"/>
      <c r="N21" s="35"/>
      <c r="P21" s="57"/>
      <c r="Q21" s="709"/>
      <c r="R21" s="704"/>
      <c r="S21" s="47">
        <f>ROUND((ROUND((ROUND((_11_A通院１０．５*_11・基礎１),0)*(1+_11・A深夜)),0)*_11・初任),0)+ROUND((ROUND((_11_B通院１０．５＿１．０*_11・基礎１),0)*_11・初任),0)</f>
        <v>349</v>
      </c>
      <c r="T21" s="48"/>
    </row>
    <row r="22" spans="1:20" ht="16.5" customHeight="1" x14ac:dyDescent="0.15">
      <c r="A22" s="41">
        <v>11</v>
      </c>
      <c r="B22" s="41" t="s">
        <v>6163</v>
      </c>
      <c r="C22" s="74" t="s">
        <v>6164</v>
      </c>
      <c r="D22" s="203"/>
      <c r="F22" s="203"/>
      <c r="H22" s="757"/>
      <c r="I22" s="37"/>
      <c r="J22" s="38"/>
      <c r="K22" s="44" t="s">
        <v>397</v>
      </c>
      <c r="L22" s="45" t="s">
        <v>398</v>
      </c>
      <c r="M22" s="46">
        <v>1</v>
      </c>
      <c r="N22" s="35"/>
      <c r="P22" s="57"/>
      <c r="Q22" s="55" t="s">
        <v>398</v>
      </c>
      <c r="R22" s="38">
        <f>_11・初任</f>
        <v>0.7</v>
      </c>
      <c r="S22" s="47">
        <f>ROUND((ROUND((ROUND((ROUND((_11_A通院１０．５*_11・基礎１),0)*_11・２人),0)*(1+_11・A深夜)),0)*_11・初任),0)+ROUND((ROUND((ROUND((_11_B通院１０．５＿１．０*_11・基礎１),0)*_11・２人),0)*_11・初任),0)</f>
        <v>349</v>
      </c>
      <c r="T22" s="48"/>
    </row>
    <row r="23" spans="1:20" ht="16.5" customHeight="1" x14ac:dyDescent="0.15">
      <c r="A23" s="41">
        <v>11</v>
      </c>
      <c r="B23" s="41">
        <v>3691</v>
      </c>
      <c r="C23" s="74" t="s">
        <v>6165</v>
      </c>
      <c r="D23" s="203"/>
      <c r="F23" s="707" t="s">
        <v>1253</v>
      </c>
      <c r="G23" s="717"/>
      <c r="H23" s="53"/>
      <c r="I23" s="49"/>
      <c r="J23" s="50"/>
      <c r="K23" s="44"/>
      <c r="L23" s="45"/>
      <c r="M23" s="46"/>
      <c r="N23" s="35"/>
      <c r="P23" s="57"/>
      <c r="Q23" s="53"/>
      <c r="R23" s="49"/>
      <c r="S23" s="47">
        <f>ROUND((_11_A通院１０．５*(1+_11・A深夜)),0)+_11_B通院１０．５＿１．５</f>
        <v>794</v>
      </c>
      <c r="T23" s="48"/>
    </row>
    <row r="24" spans="1:20" ht="16.5" customHeight="1" x14ac:dyDescent="0.15">
      <c r="A24" s="41">
        <v>11</v>
      </c>
      <c r="B24" s="41">
        <v>3692</v>
      </c>
      <c r="C24" s="74" t="s">
        <v>6166</v>
      </c>
      <c r="D24" s="203"/>
      <c r="F24" s="709"/>
      <c r="G24" s="718"/>
      <c r="H24" s="43"/>
      <c r="I24" s="37"/>
      <c r="J24" s="38"/>
      <c r="K24" s="44" t="s">
        <v>397</v>
      </c>
      <c r="L24" s="45" t="s">
        <v>398</v>
      </c>
      <c r="M24" s="46">
        <v>1</v>
      </c>
      <c r="N24" s="35"/>
      <c r="P24" s="57"/>
      <c r="Q24" s="35"/>
      <c r="S24" s="47">
        <f>ROUND((ROUND((_11_A通院１０．５*_11・２人),0)*(1+_11・A深夜)),0)+ROUND((_11_B通院１０．５＿１．５*_11・２人),0)</f>
        <v>794</v>
      </c>
      <c r="T24" s="48"/>
    </row>
    <row r="25" spans="1:20" ht="16.5" customHeight="1" x14ac:dyDescent="0.15">
      <c r="A25" s="41">
        <v>11</v>
      </c>
      <c r="B25" s="41">
        <v>3693</v>
      </c>
      <c r="C25" s="74" t="s">
        <v>6167</v>
      </c>
      <c r="D25" s="203"/>
      <c r="F25" s="709"/>
      <c r="G25" s="718"/>
      <c r="H25" s="752" t="s">
        <v>400</v>
      </c>
      <c r="I25" s="49" t="s">
        <v>398</v>
      </c>
      <c r="J25" s="50">
        <v>0.7</v>
      </c>
      <c r="K25" s="44"/>
      <c r="L25" s="45"/>
      <c r="M25" s="46"/>
      <c r="N25" s="35"/>
      <c r="P25" s="57"/>
      <c r="Q25" s="35"/>
      <c r="S25" s="47">
        <f>ROUND((ROUND((_11_A通院１０．５*_11・基礎１),0)*(1+_11・A深夜)),0)+ROUND((_11_B通院１０．５＿１．５*_11・基礎１),0)</f>
        <v>557</v>
      </c>
      <c r="T25" s="48"/>
    </row>
    <row r="26" spans="1:20" ht="16.5" customHeight="1" x14ac:dyDescent="0.15">
      <c r="A26" s="41">
        <v>11</v>
      </c>
      <c r="B26" s="41">
        <v>3694</v>
      </c>
      <c r="C26" s="74" t="s">
        <v>6168</v>
      </c>
      <c r="D26" s="203"/>
      <c r="F26" s="100">
        <f>_11_B通院１０．５＿１．５</f>
        <v>411</v>
      </c>
      <c r="G26" s="12" t="s">
        <v>392</v>
      </c>
      <c r="H26" s="757"/>
      <c r="I26" s="37"/>
      <c r="J26" s="38"/>
      <c r="K26" s="44" t="s">
        <v>397</v>
      </c>
      <c r="L26" s="45" t="s">
        <v>398</v>
      </c>
      <c r="M26" s="46">
        <v>1</v>
      </c>
      <c r="N26" s="35"/>
      <c r="P26" s="57"/>
      <c r="Q26" s="43"/>
      <c r="R26" s="37"/>
      <c r="S26" s="47">
        <f>ROUND((ROUND((ROUND((_11_A通院１０．５*_11・基礎１),0)*_11・２人),0)*(1+_11・A深夜)),0)+ROUND((ROUND((_11_B通院１０．５＿１．５*_11・基礎１),0)*_11・２人),0)</f>
        <v>557</v>
      </c>
      <c r="T26" s="48"/>
    </row>
    <row r="27" spans="1:20" ht="16.5" customHeight="1" x14ac:dyDescent="0.15">
      <c r="A27" s="41">
        <v>11</v>
      </c>
      <c r="B27" s="41" t="s">
        <v>6169</v>
      </c>
      <c r="C27" s="74" t="s">
        <v>6170</v>
      </c>
      <c r="D27" s="203"/>
      <c r="F27" s="202"/>
      <c r="H27" s="53"/>
      <c r="I27" s="49"/>
      <c r="J27" s="50"/>
      <c r="K27" s="44"/>
      <c r="L27" s="45"/>
      <c r="M27" s="46"/>
      <c r="N27" s="35"/>
      <c r="P27" s="57"/>
      <c r="Q27" s="707" t="s">
        <v>404</v>
      </c>
      <c r="R27" s="708"/>
      <c r="S27" s="47">
        <f>ROUND((ROUND((_11_A通院１０．５*(1+_11・A深夜)),0)*_11・初任),0)+ROUND((_11_B通院１０．５＿１．５*_11・初任),0)</f>
        <v>556</v>
      </c>
      <c r="T27" s="48"/>
    </row>
    <row r="28" spans="1:20" ht="16.5" customHeight="1" x14ac:dyDescent="0.15">
      <c r="A28" s="41">
        <v>11</v>
      </c>
      <c r="B28" s="41" t="s">
        <v>6171</v>
      </c>
      <c r="C28" s="74" t="s">
        <v>6172</v>
      </c>
      <c r="D28" s="203"/>
      <c r="F28" s="202"/>
      <c r="H28" s="43"/>
      <c r="I28" s="37"/>
      <c r="J28" s="38"/>
      <c r="K28" s="44" t="s">
        <v>397</v>
      </c>
      <c r="L28" s="45" t="s">
        <v>398</v>
      </c>
      <c r="M28" s="46">
        <v>1</v>
      </c>
      <c r="N28" s="35"/>
      <c r="P28" s="57"/>
      <c r="Q28" s="709"/>
      <c r="R28" s="704"/>
      <c r="S28" s="47">
        <f>ROUND((ROUND((ROUND((_11_A通院１０．５*_11・２人),0)*(1+_11・A深夜)),0)*_11・初任),0)+ROUND((ROUND((_11_B通院１０．５＿１．５*_11・２人),0)*_11・初任),0)</f>
        <v>556</v>
      </c>
      <c r="T28" s="48"/>
    </row>
    <row r="29" spans="1:20" ht="16.5" customHeight="1" x14ac:dyDescent="0.15">
      <c r="A29" s="41">
        <v>11</v>
      </c>
      <c r="B29" s="41" t="s">
        <v>6173</v>
      </c>
      <c r="C29" s="74" t="s">
        <v>6174</v>
      </c>
      <c r="D29" s="203"/>
      <c r="F29" s="203"/>
      <c r="H29" s="752" t="s">
        <v>400</v>
      </c>
      <c r="I29" s="49" t="s">
        <v>398</v>
      </c>
      <c r="J29" s="50">
        <v>0.7</v>
      </c>
      <c r="K29" s="44"/>
      <c r="L29" s="45"/>
      <c r="M29" s="46"/>
      <c r="N29" s="35"/>
      <c r="P29" s="57"/>
      <c r="Q29" s="709"/>
      <c r="R29" s="704"/>
      <c r="S29" s="47">
        <f>ROUND((ROUND((ROUND((_11_A通院１０．５*_11・基礎１),0)*(1+_11・A深夜)),0)*_11・初任),0)+ROUND((ROUND((_11_B通院１０．５＿１．５*_11・基礎１),0)*_11・初任),0)</f>
        <v>390</v>
      </c>
      <c r="T29" s="48"/>
    </row>
    <row r="30" spans="1:20" ht="16.5" customHeight="1" x14ac:dyDescent="0.15">
      <c r="A30" s="41">
        <v>11</v>
      </c>
      <c r="B30" s="41" t="s">
        <v>6175</v>
      </c>
      <c r="C30" s="74" t="s">
        <v>6176</v>
      </c>
      <c r="D30" s="203"/>
      <c r="F30" s="203"/>
      <c r="H30" s="757"/>
      <c r="I30" s="37"/>
      <c r="J30" s="38"/>
      <c r="K30" s="44" t="s">
        <v>397</v>
      </c>
      <c r="L30" s="45" t="s">
        <v>398</v>
      </c>
      <c r="M30" s="46">
        <v>1</v>
      </c>
      <c r="N30" s="35"/>
      <c r="P30" s="57"/>
      <c r="Q30" s="55" t="s">
        <v>398</v>
      </c>
      <c r="R30" s="38">
        <f>_11・初任</f>
        <v>0.7</v>
      </c>
      <c r="S30" s="47">
        <f>ROUND((ROUND((ROUND((ROUND((_11_A通院１０．５*_11・基礎１),0)*_11・２人),0)*(1+_11・A深夜)),0)*_11・初任),0)+ROUND((ROUND((ROUND((_11_B通院１０．５＿１．５*_11・基礎１),0)*_11・２人),0)*_11・初任),0)</f>
        <v>390</v>
      </c>
      <c r="T30" s="48"/>
    </row>
    <row r="31" spans="1:20" ht="16.5" customHeight="1" x14ac:dyDescent="0.15">
      <c r="A31" s="41">
        <v>11</v>
      </c>
      <c r="B31" s="41">
        <v>3695</v>
      </c>
      <c r="C31" s="74" t="s">
        <v>6177</v>
      </c>
      <c r="D31" s="132"/>
      <c r="E31" s="106"/>
      <c r="F31" s="707" t="s">
        <v>3663</v>
      </c>
      <c r="G31" s="717"/>
      <c r="H31" s="53"/>
      <c r="I31" s="49"/>
      <c r="J31" s="50"/>
      <c r="K31" s="44"/>
      <c r="L31" s="45"/>
      <c r="M31" s="46"/>
      <c r="N31" s="35"/>
      <c r="P31" s="57"/>
      <c r="Q31" s="53"/>
      <c r="R31" s="49"/>
      <c r="S31" s="47">
        <f>ROUND((_11_A通院１０．５*(1+_11・A深夜)),0)+_11_B通院１０．５＿２．０</f>
        <v>878</v>
      </c>
      <c r="T31" s="48"/>
    </row>
    <row r="32" spans="1:20" ht="16.5" customHeight="1" x14ac:dyDescent="0.15">
      <c r="A32" s="41">
        <v>11</v>
      </c>
      <c r="B32" s="41">
        <v>3696</v>
      </c>
      <c r="C32" s="74" t="s">
        <v>6178</v>
      </c>
      <c r="D32" s="132"/>
      <c r="E32" s="106"/>
      <c r="F32" s="709"/>
      <c r="G32" s="718"/>
      <c r="H32" s="43"/>
      <c r="I32" s="37"/>
      <c r="J32" s="38"/>
      <c r="K32" s="44" t="s">
        <v>397</v>
      </c>
      <c r="L32" s="45" t="s">
        <v>398</v>
      </c>
      <c r="M32" s="46">
        <v>1</v>
      </c>
      <c r="N32" s="35"/>
      <c r="P32" s="57"/>
      <c r="Q32" s="35"/>
      <c r="S32" s="47">
        <f>ROUND((ROUND((_11_A通院１０．５*_11・２人),0)*(1+_11・A深夜)),0)+ROUND((_11_B通院１０．５＿２．０*_11・２人),0)</f>
        <v>878</v>
      </c>
      <c r="T32" s="48"/>
    </row>
    <row r="33" spans="1:20" ht="16.5" customHeight="1" x14ac:dyDescent="0.15">
      <c r="A33" s="41">
        <v>11</v>
      </c>
      <c r="B33" s="41">
        <v>3697</v>
      </c>
      <c r="C33" s="74" t="s">
        <v>6179</v>
      </c>
      <c r="D33" s="132"/>
      <c r="E33" s="106"/>
      <c r="F33" s="709"/>
      <c r="G33" s="718"/>
      <c r="H33" s="752" t="s">
        <v>400</v>
      </c>
      <c r="I33" s="49" t="s">
        <v>398</v>
      </c>
      <c r="J33" s="50">
        <v>0.7</v>
      </c>
      <c r="K33" s="44"/>
      <c r="L33" s="45"/>
      <c r="M33" s="46"/>
      <c r="N33" s="35"/>
      <c r="P33" s="57"/>
      <c r="Q33" s="35"/>
      <c r="S33" s="47">
        <f>ROUND((ROUND((_11_A通院１０．５*_11・基礎１),0)*(1+_11・A深夜)),0)+ROUND((_11_B通院１０．５＿２．０*_11・基礎１),0)</f>
        <v>616</v>
      </c>
      <c r="T33" s="48"/>
    </row>
    <row r="34" spans="1:20" ht="16.5" customHeight="1" x14ac:dyDescent="0.15">
      <c r="A34" s="41">
        <v>11</v>
      </c>
      <c r="B34" s="41">
        <v>3698</v>
      </c>
      <c r="C34" s="74" t="s">
        <v>6180</v>
      </c>
      <c r="D34" s="141"/>
      <c r="E34" s="57"/>
      <c r="F34" s="100">
        <f>_11_B通院１０．５＿２．０</f>
        <v>495</v>
      </c>
      <c r="G34" s="12" t="s">
        <v>392</v>
      </c>
      <c r="H34" s="757"/>
      <c r="I34" s="37"/>
      <c r="J34" s="38"/>
      <c r="K34" s="44" t="s">
        <v>397</v>
      </c>
      <c r="L34" s="45" t="s">
        <v>398</v>
      </c>
      <c r="M34" s="46">
        <v>1</v>
      </c>
      <c r="N34" s="35"/>
      <c r="P34" s="57"/>
      <c r="Q34" s="43"/>
      <c r="R34" s="37"/>
      <c r="S34" s="47">
        <f>ROUND((ROUND((ROUND((_11_A通院１０．５*_11・基礎１),0)*_11・２人),0)*(1+_11・A深夜)),0)+ROUND((ROUND((_11_B通院１０．５＿２．０*_11・基礎１),0)*_11・２人),0)</f>
        <v>616</v>
      </c>
      <c r="T34" s="48"/>
    </row>
    <row r="35" spans="1:20" ht="16.5" customHeight="1" x14ac:dyDescent="0.15">
      <c r="A35" s="41">
        <v>11</v>
      </c>
      <c r="B35" s="41" t="s">
        <v>6181</v>
      </c>
      <c r="C35" s="74" t="s">
        <v>6182</v>
      </c>
      <c r="D35" s="203"/>
      <c r="F35" s="202"/>
      <c r="H35" s="53"/>
      <c r="I35" s="49"/>
      <c r="J35" s="50"/>
      <c r="K35" s="44"/>
      <c r="L35" s="45"/>
      <c r="M35" s="46"/>
      <c r="N35" s="35"/>
      <c r="P35" s="57"/>
      <c r="Q35" s="707" t="s">
        <v>404</v>
      </c>
      <c r="R35" s="708"/>
      <c r="S35" s="47">
        <f>ROUND((ROUND((_11_A通院１０．５*(1+_11・A深夜)),0)*_11・初任),0)+ROUND((_11_B通院１０．５＿２．０*_11・初任),0)</f>
        <v>615</v>
      </c>
      <c r="T35" s="48"/>
    </row>
    <row r="36" spans="1:20" ht="16.5" customHeight="1" x14ac:dyDescent="0.15">
      <c r="A36" s="41">
        <v>11</v>
      </c>
      <c r="B36" s="41" t="s">
        <v>6183</v>
      </c>
      <c r="C36" s="74" t="s">
        <v>6184</v>
      </c>
      <c r="D36" s="203"/>
      <c r="F36" s="202"/>
      <c r="H36" s="43"/>
      <c r="I36" s="37"/>
      <c r="J36" s="38"/>
      <c r="K36" s="44" t="s">
        <v>397</v>
      </c>
      <c r="L36" s="45" t="s">
        <v>398</v>
      </c>
      <c r="M36" s="46">
        <v>1</v>
      </c>
      <c r="N36" s="35"/>
      <c r="P36" s="57"/>
      <c r="Q36" s="709"/>
      <c r="R36" s="704"/>
      <c r="S36" s="47">
        <f>ROUND((ROUND((ROUND((_11_A通院１０．５*_11・２人),0)*(1+_11・A深夜)),0)*_11・初任),0)+ROUND((ROUND((_11_B通院１０．５＿２．０*_11・２人),0)*_11・初任),0)</f>
        <v>615</v>
      </c>
      <c r="T36" s="48"/>
    </row>
    <row r="37" spans="1:20" ht="16.5" customHeight="1" x14ac:dyDescent="0.15">
      <c r="A37" s="41">
        <v>11</v>
      </c>
      <c r="B37" s="41" t="s">
        <v>6185</v>
      </c>
      <c r="C37" s="74" t="s">
        <v>6186</v>
      </c>
      <c r="D37" s="203"/>
      <c r="F37" s="203"/>
      <c r="H37" s="752" t="s">
        <v>400</v>
      </c>
      <c r="I37" s="49" t="s">
        <v>398</v>
      </c>
      <c r="J37" s="50">
        <v>0.7</v>
      </c>
      <c r="K37" s="44"/>
      <c r="L37" s="45"/>
      <c r="M37" s="46"/>
      <c r="N37" s="35"/>
      <c r="P37" s="57"/>
      <c r="Q37" s="709"/>
      <c r="R37" s="704"/>
      <c r="S37" s="47">
        <f>ROUND((ROUND((ROUND((_11_A通院１０．５*_11・基礎１),0)*(1+_11・A深夜)),0)*_11・初任),0)+ROUND((ROUND((_11_B通院１０．５＿２．０*_11・基礎１),0)*_11・初任),0)</f>
        <v>431</v>
      </c>
      <c r="T37" s="48"/>
    </row>
    <row r="38" spans="1:20" ht="16.5" customHeight="1" x14ac:dyDescent="0.15">
      <c r="A38" s="41">
        <v>11</v>
      </c>
      <c r="B38" s="41" t="s">
        <v>6187</v>
      </c>
      <c r="C38" s="74" t="s">
        <v>6188</v>
      </c>
      <c r="D38" s="203"/>
      <c r="F38" s="203"/>
      <c r="H38" s="757"/>
      <c r="I38" s="37"/>
      <c r="J38" s="38"/>
      <c r="K38" s="44" t="s">
        <v>397</v>
      </c>
      <c r="L38" s="45" t="s">
        <v>398</v>
      </c>
      <c r="M38" s="46">
        <v>1</v>
      </c>
      <c r="N38" s="35"/>
      <c r="P38" s="57"/>
      <c r="Q38" s="55" t="s">
        <v>398</v>
      </c>
      <c r="R38" s="38">
        <f>_11・初任</f>
        <v>0.7</v>
      </c>
      <c r="S38" s="47">
        <f>ROUND((ROUND((ROUND((ROUND((_11_A通院１０．５*_11・基礎１),0)*_11・２人),0)*(1+_11・A深夜)),0)*_11・初任),0)+ROUND((ROUND((ROUND((_11_B通院１０．５＿２．０*_11・基礎１),0)*_11・２人),0)*_11・初任),0)</f>
        <v>431</v>
      </c>
      <c r="T38" s="48"/>
    </row>
    <row r="39" spans="1:20" ht="16.5" customHeight="1" x14ac:dyDescent="0.15">
      <c r="A39" s="41">
        <v>11</v>
      </c>
      <c r="B39" s="41">
        <v>3699</v>
      </c>
      <c r="C39" s="74" t="s">
        <v>6189</v>
      </c>
      <c r="D39" s="203"/>
      <c r="F39" s="707" t="s">
        <v>5202</v>
      </c>
      <c r="G39" s="717"/>
      <c r="H39" s="53"/>
      <c r="I39" s="49"/>
      <c r="J39" s="50"/>
      <c r="K39" s="44"/>
      <c r="L39" s="45"/>
      <c r="M39" s="46"/>
      <c r="N39" s="35"/>
      <c r="P39" s="57"/>
      <c r="Q39" s="53"/>
      <c r="R39" s="49"/>
      <c r="S39" s="47">
        <f>ROUND((_11_A通院１０．５*(1+_11・A深夜)),0)+_11_B通院１０．５＿２．５</f>
        <v>961</v>
      </c>
      <c r="T39" s="48"/>
    </row>
    <row r="40" spans="1:20" ht="16.5" customHeight="1" x14ac:dyDescent="0.15">
      <c r="A40" s="41">
        <v>11</v>
      </c>
      <c r="B40" s="41">
        <v>3700</v>
      </c>
      <c r="C40" s="74" t="s">
        <v>6190</v>
      </c>
      <c r="D40" s="203"/>
      <c r="F40" s="709"/>
      <c r="G40" s="718"/>
      <c r="H40" s="43"/>
      <c r="I40" s="37"/>
      <c r="J40" s="38"/>
      <c r="K40" s="44" t="s">
        <v>397</v>
      </c>
      <c r="L40" s="45" t="s">
        <v>398</v>
      </c>
      <c r="M40" s="46">
        <v>1</v>
      </c>
      <c r="N40" s="35"/>
      <c r="P40" s="57"/>
      <c r="Q40" s="35"/>
      <c r="S40" s="47">
        <f>ROUND((ROUND((_11_A通院１０．５*_11・２人),0)*(1+_11・A深夜)),0)+ROUND((_11_B通院１０．５＿２．５*_11・２人),0)</f>
        <v>961</v>
      </c>
      <c r="T40" s="48"/>
    </row>
    <row r="41" spans="1:20" ht="16.5" customHeight="1" x14ac:dyDescent="0.15">
      <c r="A41" s="41">
        <v>11</v>
      </c>
      <c r="B41" s="41">
        <v>3701</v>
      </c>
      <c r="C41" s="74" t="s">
        <v>6191</v>
      </c>
      <c r="D41" s="203"/>
      <c r="F41" s="709"/>
      <c r="G41" s="718"/>
      <c r="H41" s="752" t="s">
        <v>400</v>
      </c>
      <c r="I41" s="49" t="s">
        <v>398</v>
      </c>
      <c r="J41" s="50">
        <v>0.7</v>
      </c>
      <c r="K41" s="44"/>
      <c r="L41" s="45"/>
      <c r="M41" s="46"/>
      <c r="N41" s="35"/>
      <c r="P41" s="57"/>
      <c r="Q41" s="35"/>
      <c r="S41" s="47">
        <f>ROUND((ROUND((_11_A通院１０．５*_11・基礎１),0)*(1+_11・A深夜)),0)+ROUND((_11_B通院１０．５＿２．５*_11・基礎１),0)</f>
        <v>674</v>
      </c>
      <c r="T41" s="48"/>
    </row>
    <row r="42" spans="1:20" ht="16.5" customHeight="1" x14ac:dyDescent="0.15">
      <c r="A42" s="41">
        <v>11</v>
      </c>
      <c r="B42" s="41">
        <v>3702</v>
      </c>
      <c r="C42" s="74" t="s">
        <v>6192</v>
      </c>
      <c r="D42" s="203"/>
      <c r="F42" s="100">
        <f>_11_B通院１０．５＿２．５</f>
        <v>578</v>
      </c>
      <c r="G42" s="12" t="s">
        <v>392</v>
      </c>
      <c r="H42" s="757"/>
      <c r="I42" s="37"/>
      <c r="J42" s="38"/>
      <c r="K42" s="44" t="s">
        <v>397</v>
      </c>
      <c r="L42" s="45" t="s">
        <v>398</v>
      </c>
      <c r="M42" s="46">
        <v>1</v>
      </c>
      <c r="N42" s="35"/>
      <c r="P42" s="57"/>
      <c r="Q42" s="43"/>
      <c r="R42" s="37"/>
      <c r="S42" s="47">
        <f>ROUND((ROUND((ROUND((_11_A通院１０．５*_11・基礎１),0)*_11・２人),0)*(1+_11・A深夜)),0)+ROUND((ROUND((_11_B通院１０．５＿２．５*_11・基礎１),0)*_11・２人),0)</f>
        <v>674</v>
      </c>
      <c r="T42" s="48"/>
    </row>
    <row r="43" spans="1:20" ht="16.5" customHeight="1" x14ac:dyDescent="0.15">
      <c r="A43" s="41">
        <v>11</v>
      </c>
      <c r="B43" s="41" t="s">
        <v>6193</v>
      </c>
      <c r="C43" s="74" t="s">
        <v>6194</v>
      </c>
      <c r="D43" s="203"/>
      <c r="F43" s="202"/>
      <c r="H43" s="53"/>
      <c r="I43" s="49"/>
      <c r="J43" s="50"/>
      <c r="K43" s="44"/>
      <c r="L43" s="45"/>
      <c r="M43" s="46"/>
      <c r="N43" s="35"/>
      <c r="P43" s="57"/>
      <c r="Q43" s="707" t="s">
        <v>404</v>
      </c>
      <c r="R43" s="708"/>
      <c r="S43" s="47">
        <f>ROUND((ROUND((_11_A通院１０．５*(1+_11・A深夜)),0)*_11・初任),0)+ROUND((_11_B通院１０．５＿２．５*_11・初任),0)</f>
        <v>673</v>
      </c>
      <c r="T43" s="48"/>
    </row>
    <row r="44" spans="1:20" ht="16.5" customHeight="1" x14ac:dyDescent="0.15">
      <c r="A44" s="41">
        <v>11</v>
      </c>
      <c r="B44" s="41" t="s">
        <v>6195</v>
      </c>
      <c r="C44" s="74" t="s">
        <v>6196</v>
      </c>
      <c r="D44" s="203"/>
      <c r="F44" s="202"/>
      <c r="H44" s="43"/>
      <c r="I44" s="37"/>
      <c r="J44" s="38"/>
      <c r="K44" s="44" t="s">
        <v>397</v>
      </c>
      <c r="L44" s="45" t="s">
        <v>398</v>
      </c>
      <c r="M44" s="46">
        <v>1</v>
      </c>
      <c r="N44" s="35"/>
      <c r="P44" s="57"/>
      <c r="Q44" s="709"/>
      <c r="R44" s="704"/>
      <c r="S44" s="47">
        <f>ROUND((ROUND((ROUND((_11_A通院１０．５*_11・２人),0)*(1+_11・A深夜)),0)*_11・初任),0)+ROUND((ROUND((_11_B通院１０．５＿２．５*_11・２人),0)*_11・初任),0)</f>
        <v>673</v>
      </c>
      <c r="T44" s="48"/>
    </row>
    <row r="45" spans="1:20" ht="16.5" customHeight="1" x14ac:dyDescent="0.15">
      <c r="A45" s="41">
        <v>11</v>
      </c>
      <c r="B45" s="41" t="s">
        <v>6197</v>
      </c>
      <c r="C45" s="74" t="s">
        <v>6198</v>
      </c>
      <c r="D45" s="203"/>
      <c r="F45" s="203"/>
      <c r="H45" s="752" t="s">
        <v>400</v>
      </c>
      <c r="I45" s="49" t="s">
        <v>398</v>
      </c>
      <c r="J45" s="50">
        <v>0.7</v>
      </c>
      <c r="K45" s="44"/>
      <c r="L45" s="45"/>
      <c r="M45" s="46"/>
      <c r="N45" s="35"/>
      <c r="P45" s="57"/>
      <c r="Q45" s="709"/>
      <c r="R45" s="704"/>
      <c r="S45" s="47">
        <f>ROUND((ROUND((ROUND((_11_A通院１０．５*_11・基礎１),0)*(1+_11・A深夜)),0)*_11・初任),0)+ROUND((ROUND((_11_B通院１０．５＿２．５*_11・基礎１),0)*_11・初任),0)</f>
        <v>472</v>
      </c>
      <c r="T45" s="48"/>
    </row>
    <row r="46" spans="1:20" ht="16.5" customHeight="1" x14ac:dyDescent="0.15">
      <c r="A46" s="41">
        <v>11</v>
      </c>
      <c r="B46" s="41" t="s">
        <v>6199</v>
      </c>
      <c r="C46" s="74" t="s">
        <v>6200</v>
      </c>
      <c r="D46" s="203"/>
      <c r="F46" s="203"/>
      <c r="H46" s="757"/>
      <c r="I46" s="37"/>
      <c r="J46" s="38"/>
      <c r="K46" s="44" t="s">
        <v>397</v>
      </c>
      <c r="L46" s="45" t="s">
        <v>398</v>
      </c>
      <c r="M46" s="46">
        <v>1</v>
      </c>
      <c r="N46" s="35"/>
      <c r="P46" s="57"/>
      <c r="Q46" s="55" t="s">
        <v>398</v>
      </c>
      <c r="R46" s="38">
        <f>_11・初任</f>
        <v>0.7</v>
      </c>
      <c r="S46" s="47">
        <f>ROUND((ROUND((ROUND((ROUND((_11_A通院１０．５*_11・基礎１),0)*_11・２人),0)*(1+_11・A深夜)),0)*_11・初任),0)+ROUND((ROUND((ROUND((_11_B通院１０．５＿２．５*_11・基礎１),0)*_11・２人),0)*_11・初任),0)</f>
        <v>472</v>
      </c>
      <c r="T46" s="48"/>
    </row>
    <row r="47" spans="1:20" ht="16.5" customHeight="1" x14ac:dyDescent="0.15">
      <c r="A47" s="41">
        <v>11</v>
      </c>
      <c r="B47" s="41">
        <v>3703</v>
      </c>
      <c r="C47" s="74" t="s">
        <v>6201</v>
      </c>
      <c r="D47" s="707" t="s">
        <v>5030</v>
      </c>
      <c r="E47" s="717"/>
      <c r="F47" s="707" t="s">
        <v>3643</v>
      </c>
      <c r="G47" s="717"/>
      <c r="H47" s="53"/>
      <c r="I47" s="49"/>
      <c r="J47" s="50"/>
      <c r="K47" s="44"/>
      <c r="L47" s="45"/>
      <c r="M47" s="46"/>
      <c r="N47" s="35"/>
      <c r="P47" s="57"/>
      <c r="Q47" s="53"/>
      <c r="R47" s="49"/>
      <c r="S47" s="47">
        <f>ROUND((_11_A通院１１．０*(1+_11・A深夜)),0)+_11_B通院１１．０＿０．５</f>
        <v>785</v>
      </c>
      <c r="T47" s="48"/>
    </row>
    <row r="48" spans="1:20" ht="16.5" customHeight="1" x14ac:dyDescent="0.15">
      <c r="A48" s="41">
        <v>11</v>
      </c>
      <c r="B48" s="41">
        <v>3704</v>
      </c>
      <c r="C48" s="74" t="s">
        <v>6202</v>
      </c>
      <c r="D48" s="709"/>
      <c r="E48" s="718"/>
      <c r="F48" s="709"/>
      <c r="G48" s="718"/>
      <c r="H48" s="43"/>
      <c r="I48" s="37"/>
      <c r="J48" s="38"/>
      <c r="K48" s="44" t="s">
        <v>397</v>
      </c>
      <c r="L48" s="45" t="s">
        <v>398</v>
      </c>
      <c r="M48" s="46">
        <v>1</v>
      </c>
      <c r="N48" s="35"/>
      <c r="P48" s="57"/>
      <c r="Q48" s="35"/>
      <c r="S48" s="47">
        <f>ROUND((ROUND((_11_A通院１１．０*_11・２人),0)*(1+_11・A深夜)),0)+ROUND((_11_B通院１１．０＿０．５*_11・２人),0)</f>
        <v>785</v>
      </c>
      <c r="T48" s="48"/>
    </row>
    <row r="49" spans="1:20" ht="16.5" customHeight="1" x14ac:dyDescent="0.15">
      <c r="A49" s="41">
        <v>11</v>
      </c>
      <c r="B49" s="41">
        <v>3705</v>
      </c>
      <c r="C49" s="74" t="s">
        <v>6203</v>
      </c>
      <c r="D49" s="709"/>
      <c r="E49" s="718"/>
      <c r="F49" s="709"/>
      <c r="G49" s="718"/>
      <c r="H49" s="752" t="s">
        <v>400</v>
      </c>
      <c r="I49" s="49" t="s">
        <v>398</v>
      </c>
      <c r="J49" s="50">
        <v>0.7</v>
      </c>
      <c r="K49" s="44"/>
      <c r="L49" s="45"/>
      <c r="M49" s="46"/>
      <c r="N49" s="35"/>
      <c r="P49" s="57"/>
      <c r="Q49" s="35"/>
      <c r="S49" s="47">
        <f>ROUND((ROUND((_11_A通院１１．０*_11・基礎１),0)*(1+_11・A深夜)),0)+ROUND((_11_B通院１１．０＿０．５*_11・基礎１),0)</f>
        <v>549</v>
      </c>
      <c r="T49" s="48"/>
    </row>
    <row r="50" spans="1:20" ht="16.5" customHeight="1" x14ac:dyDescent="0.15">
      <c r="A50" s="41">
        <v>11</v>
      </c>
      <c r="B50" s="41">
        <v>3706</v>
      </c>
      <c r="C50" s="74" t="s">
        <v>6204</v>
      </c>
      <c r="D50" s="100">
        <f>_11_A通院１１．０</f>
        <v>402</v>
      </c>
      <c r="E50" s="12" t="s">
        <v>392</v>
      </c>
      <c r="F50" s="100">
        <f>_11_B通院１１．０＿０．５</f>
        <v>182</v>
      </c>
      <c r="G50" s="12" t="s">
        <v>392</v>
      </c>
      <c r="H50" s="757"/>
      <c r="I50" s="37"/>
      <c r="J50" s="38"/>
      <c r="K50" s="44" t="s">
        <v>397</v>
      </c>
      <c r="L50" s="45" t="s">
        <v>398</v>
      </c>
      <c r="M50" s="46">
        <v>1</v>
      </c>
      <c r="N50" s="35"/>
      <c r="P50" s="57"/>
      <c r="Q50" s="43"/>
      <c r="R50" s="37"/>
      <c r="S50" s="47">
        <f>ROUND((ROUND((ROUND((_11_A通院１１．０*_11・基礎１),0)*_11・２人),0)*(1+_11・A深夜)),0)+ROUND((ROUND((_11_B通院１１．０＿０．５*_11・基礎１),0)*_11・２人),0)</f>
        <v>549</v>
      </c>
      <c r="T50" s="48"/>
    </row>
    <row r="51" spans="1:20" ht="16.5" customHeight="1" x14ac:dyDescent="0.15">
      <c r="A51" s="41">
        <v>11</v>
      </c>
      <c r="B51" s="41" t="s">
        <v>6205</v>
      </c>
      <c r="C51" s="74" t="s">
        <v>6206</v>
      </c>
      <c r="D51" s="202"/>
      <c r="F51" s="202"/>
      <c r="H51" s="53"/>
      <c r="I51" s="49"/>
      <c r="J51" s="50"/>
      <c r="K51" s="44"/>
      <c r="L51" s="45"/>
      <c r="M51" s="46"/>
      <c r="N51" s="35"/>
      <c r="P51" s="57"/>
      <c r="Q51" s="707" t="s">
        <v>404</v>
      </c>
      <c r="R51" s="708"/>
      <c r="S51" s="47">
        <f>ROUND((ROUND((_11_A通院１１．０*(1+_11・A深夜)),0)*_11・初任),0)+ROUND((_11_B通院１１．０＿０．５*_11・初任),0)</f>
        <v>549</v>
      </c>
      <c r="T51" s="48"/>
    </row>
    <row r="52" spans="1:20" ht="16.5" customHeight="1" x14ac:dyDescent="0.15">
      <c r="A52" s="41">
        <v>11</v>
      </c>
      <c r="B52" s="41" t="s">
        <v>6207</v>
      </c>
      <c r="C52" s="74" t="s">
        <v>6208</v>
      </c>
      <c r="D52" s="202"/>
      <c r="F52" s="202"/>
      <c r="H52" s="43"/>
      <c r="I52" s="37"/>
      <c r="J52" s="38"/>
      <c r="K52" s="44" t="s">
        <v>397</v>
      </c>
      <c r="L52" s="45" t="s">
        <v>398</v>
      </c>
      <c r="M52" s="46">
        <v>1</v>
      </c>
      <c r="N52" s="35"/>
      <c r="P52" s="57"/>
      <c r="Q52" s="709"/>
      <c r="R52" s="704"/>
      <c r="S52" s="47">
        <f>ROUND((ROUND((ROUND((_11_A通院１１．０*_11・２人),0)*(1+_11・A深夜)),0)*_11・初任),0)+ROUND((ROUND((_11_B通院１１．０＿０．５*_11・２人),0)*_11・初任),0)</f>
        <v>549</v>
      </c>
      <c r="T52" s="48"/>
    </row>
    <row r="53" spans="1:20" ht="16.5" customHeight="1" x14ac:dyDescent="0.15">
      <c r="A53" s="41">
        <v>11</v>
      </c>
      <c r="B53" s="41" t="s">
        <v>6209</v>
      </c>
      <c r="C53" s="74" t="s">
        <v>6210</v>
      </c>
      <c r="D53" s="203"/>
      <c r="F53" s="203"/>
      <c r="H53" s="752" t="s">
        <v>400</v>
      </c>
      <c r="I53" s="49" t="s">
        <v>398</v>
      </c>
      <c r="J53" s="50">
        <v>0.7</v>
      </c>
      <c r="K53" s="44"/>
      <c r="L53" s="45"/>
      <c r="M53" s="46"/>
      <c r="N53" s="35"/>
      <c r="P53" s="57"/>
      <c r="Q53" s="709"/>
      <c r="R53" s="704"/>
      <c r="S53" s="47">
        <f>ROUND((ROUND((ROUND((_11_A通院１１．０*_11・基礎１),0)*(1+_11・A深夜)),0)*_11・初任),0)+ROUND((ROUND((_11_B通院１１．０＿０．５*_11・基礎１),0)*_11・初任),0)</f>
        <v>384</v>
      </c>
      <c r="T53" s="48"/>
    </row>
    <row r="54" spans="1:20" ht="16.5" customHeight="1" x14ac:dyDescent="0.15">
      <c r="A54" s="41">
        <v>11</v>
      </c>
      <c r="B54" s="41" t="s">
        <v>6211</v>
      </c>
      <c r="C54" s="74" t="s">
        <v>6212</v>
      </c>
      <c r="D54" s="203"/>
      <c r="F54" s="203"/>
      <c r="H54" s="757"/>
      <c r="I54" s="37"/>
      <c r="J54" s="38"/>
      <c r="K54" s="44" t="s">
        <v>397</v>
      </c>
      <c r="L54" s="45" t="s">
        <v>398</v>
      </c>
      <c r="M54" s="46">
        <v>1</v>
      </c>
      <c r="N54" s="35"/>
      <c r="P54" s="57"/>
      <c r="Q54" s="55" t="s">
        <v>398</v>
      </c>
      <c r="R54" s="38">
        <f>_11・初任</f>
        <v>0.7</v>
      </c>
      <c r="S54" s="47">
        <f>ROUND((ROUND((ROUND((ROUND((_11_A通院１１．０*_11・基礎１),0)*_11・２人),0)*(1+_11・A深夜)),0)*_11・初任),0)+ROUND((ROUND((ROUND((_11_B通院１１．０＿０．５*_11・基礎１),0)*_11・２人),0)*_11・初任),0)</f>
        <v>384</v>
      </c>
      <c r="T54" s="48"/>
    </row>
    <row r="55" spans="1:20" ht="16.5" customHeight="1" x14ac:dyDescent="0.15">
      <c r="A55" s="41">
        <v>11</v>
      </c>
      <c r="B55" s="41">
        <v>3707</v>
      </c>
      <c r="C55" s="74" t="s">
        <v>6213</v>
      </c>
      <c r="D55" s="132"/>
      <c r="E55" s="106"/>
      <c r="F55" s="707" t="s">
        <v>3650</v>
      </c>
      <c r="G55" s="717"/>
      <c r="H55" s="53"/>
      <c r="I55" s="49"/>
      <c r="J55" s="50"/>
      <c r="K55" s="44"/>
      <c r="L55" s="45"/>
      <c r="M55" s="46"/>
      <c r="N55" s="35"/>
      <c r="P55" s="57"/>
      <c r="Q55" s="53"/>
      <c r="R55" s="49"/>
      <c r="S55" s="47">
        <f>ROUND((_11_A通院１１．０*(1+_11・A深夜)),0)+_11_B通院１１．０＿１．０</f>
        <v>867</v>
      </c>
      <c r="T55" s="48"/>
    </row>
    <row r="56" spans="1:20" ht="16.5" customHeight="1" x14ac:dyDescent="0.15">
      <c r="A56" s="41">
        <v>11</v>
      </c>
      <c r="B56" s="41">
        <v>3708</v>
      </c>
      <c r="C56" s="74" t="s">
        <v>6214</v>
      </c>
      <c r="D56" s="132"/>
      <c r="E56" s="106"/>
      <c r="F56" s="709"/>
      <c r="G56" s="718"/>
      <c r="H56" s="43"/>
      <c r="I56" s="37"/>
      <c r="J56" s="38"/>
      <c r="K56" s="44" t="s">
        <v>397</v>
      </c>
      <c r="L56" s="45" t="s">
        <v>398</v>
      </c>
      <c r="M56" s="46">
        <v>1</v>
      </c>
      <c r="N56" s="35"/>
      <c r="P56" s="57"/>
      <c r="Q56" s="35"/>
      <c r="S56" s="47">
        <f>ROUND((ROUND((_11_A通院１１．０*_11・２人),0)*(1+_11・A深夜)),0)+ROUND((_11_B通院１１．０＿１．０*_11・２人),0)</f>
        <v>867</v>
      </c>
      <c r="T56" s="48"/>
    </row>
    <row r="57" spans="1:20" ht="16.5" customHeight="1" x14ac:dyDescent="0.15">
      <c r="A57" s="41">
        <v>11</v>
      </c>
      <c r="B57" s="41">
        <v>3709</v>
      </c>
      <c r="C57" s="74" t="s">
        <v>6215</v>
      </c>
      <c r="D57" s="132"/>
      <c r="E57" s="106"/>
      <c r="F57" s="709"/>
      <c r="G57" s="718"/>
      <c r="H57" s="752" t="s">
        <v>400</v>
      </c>
      <c r="I57" s="49" t="s">
        <v>398</v>
      </c>
      <c r="J57" s="50">
        <v>0.7</v>
      </c>
      <c r="K57" s="44"/>
      <c r="L57" s="45"/>
      <c r="M57" s="46"/>
      <c r="N57" s="35"/>
      <c r="P57" s="57"/>
      <c r="Q57" s="35"/>
      <c r="S57" s="47">
        <f>ROUND((ROUND((_11_A通院１１．０*_11・基礎１),0)*(1+_11・A深夜)),0)+ROUND((_11_B通院１１．０＿１．０*_11・基礎１),0)</f>
        <v>607</v>
      </c>
      <c r="T57" s="48"/>
    </row>
    <row r="58" spans="1:20" ht="16.5" customHeight="1" x14ac:dyDescent="0.15">
      <c r="A58" s="41">
        <v>11</v>
      </c>
      <c r="B58" s="41">
        <v>3710</v>
      </c>
      <c r="C58" s="74" t="s">
        <v>6216</v>
      </c>
      <c r="D58" s="141"/>
      <c r="E58" s="57"/>
      <c r="F58" s="100">
        <f>_11_B通院１１．０＿１．０</f>
        <v>264</v>
      </c>
      <c r="G58" s="12" t="s">
        <v>392</v>
      </c>
      <c r="H58" s="757"/>
      <c r="I58" s="37"/>
      <c r="J58" s="38"/>
      <c r="K58" s="44" t="s">
        <v>397</v>
      </c>
      <c r="L58" s="45" t="s">
        <v>398</v>
      </c>
      <c r="M58" s="46">
        <v>1</v>
      </c>
      <c r="N58" s="35"/>
      <c r="P58" s="57"/>
      <c r="Q58" s="43"/>
      <c r="R58" s="37"/>
      <c r="S58" s="47">
        <f>ROUND((ROUND((ROUND((_11_A通院１１．０*_11・基礎１),0)*_11・２人),0)*(1+_11・A深夜)),0)+ROUND((ROUND((_11_B通院１１．０＿１．０*_11・基礎１),0)*_11・２人),0)</f>
        <v>607</v>
      </c>
      <c r="T58" s="48"/>
    </row>
    <row r="59" spans="1:20" ht="16.5" customHeight="1" x14ac:dyDescent="0.15">
      <c r="A59" s="41">
        <v>11</v>
      </c>
      <c r="B59" s="41" t="s">
        <v>6217</v>
      </c>
      <c r="C59" s="74" t="s">
        <v>6218</v>
      </c>
      <c r="D59" s="203"/>
      <c r="F59" s="202"/>
      <c r="H59" s="53"/>
      <c r="I59" s="49"/>
      <c r="J59" s="50"/>
      <c r="K59" s="44"/>
      <c r="L59" s="45"/>
      <c r="M59" s="46"/>
      <c r="N59" s="35"/>
      <c r="P59" s="57"/>
      <c r="Q59" s="707" t="s">
        <v>404</v>
      </c>
      <c r="R59" s="708"/>
      <c r="S59" s="47">
        <f>ROUND((ROUND((_11_A通院１１．０*(1+_11・A深夜)),0)*_11・初任),0)+ROUND((_11_B通院１１．０＿１．０*_11・初任),0)</f>
        <v>607</v>
      </c>
      <c r="T59" s="48"/>
    </row>
    <row r="60" spans="1:20" ht="16.5" customHeight="1" x14ac:dyDescent="0.15">
      <c r="A60" s="41">
        <v>11</v>
      </c>
      <c r="B60" s="41" t="s">
        <v>6219</v>
      </c>
      <c r="C60" s="74" t="s">
        <v>6220</v>
      </c>
      <c r="D60" s="203"/>
      <c r="F60" s="202"/>
      <c r="H60" s="43"/>
      <c r="I60" s="37"/>
      <c r="J60" s="38"/>
      <c r="K60" s="44" t="s">
        <v>397</v>
      </c>
      <c r="L60" s="45" t="s">
        <v>398</v>
      </c>
      <c r="M60" s="46">
        <v>1</v>
      </c>
      <c r="N60" s="35"/>
      <c r="P60" s="57"/>
      <c r="Q60" s="709"/>
      <c r="R60" s="704"/>
      <c r="S60" s="47">
        <f>ROUND((ROUND((ROUND((_11_A通院１１．０*_11・２人),0)*(1+_11・A深夜)),0)*_11・初任),0)+ROUND((ROUND((_11_B通院１１．０＿１．０*_11・２人),0)*_11・初任),0)</f>
        <v>607</v>
      </c>
      <c r="T60" s="48"/>
    </row>
    <row r="61" spans="1:20" ht="16.5" customHeight="1" x14ac:dyDescent="0.15">
      <c r="A61" s="41">
        <v>11</v>
      </c>
      <c r="B61" s="41" t="s">
        <v>6221</v>
      </c>
      <c r="C61" s="74" t="s">
        <v>6222</v>
      </c>
      <c r="D61" s="203"/>
      <c r="F61" s="203"/>
      <c r="H61" s="752" t="s">
        <v>400</v>
      </c>
      <c r="I61" s="49" t="s">
        <v>398</v>
      </c>
      <c r="J61" s="50">
        <v>0.7</v>
      </c>
      <c r="K61" s="44"/>
      <c r="L61" s="45"/>
      <c r="M61" s="46"/>
      <c r="N61" s="35"/>
      <c r="P61" s="57"/>
      <c r="Q61" s="709"/>
      <c r="R61" s="704"/>
      <c r="S61" s="47">
        <f>ROUND((ROUND((ROUND((_11_A通院１１．０*_11・基礎１),0)*(1+_11・A深夜)),0)*_11・初任),0)+ROUND((ROUND((_11_B通院１１．０＿１．０*_11・基礎１),0)*_11・初任),0)</f>
        <v>425</v>
      </c>
      <c r="T61" s="48"/>
    </row>
    <row r="62" spans="1:20" ht="16.5" customHeight="1" x14ac:dyDescent="0.15">
      <c r="A62" s="41">
        <v>11</v>
      </c>
      <c r="B62" s="41" t="s">
        <v>6223</v>
      </c>
      <c r="C62" s="74" t="s">
        <v>6224</v>
      </c>
      <c r="D62" s="203"/>
      <c r="F62" s="203"/>
      <c r="H62" s="757"/>
      <c r="I62" s="37"/>
      <c r="J62" s="38"/>
      <c r="K62" s="44" t="s">
        <v>397</v>
      </c>
      <c r="L62" s="45" t="s">
        <v>398</v>
      </c>
      <c r="M62" s="46">
        <v>1</v>
      </c>
      <c r="N62" s="35"/>
      <c r="P62" s="57"/>
      <c r="Q62" s="55" t="s">
        <v>398</v>
      </c>
      <c r="R62" s="38">
        <f>_11・初任</f>
        <v>0.7</v>
      </c>
      <c r="S62" s="47">
        <f>ROUND((ROUND((ROUND((ROUND((_11_A通院１１．０*_11・基礎１),0)*_11・２人),0)*(1+_11・A深夜)),0)*_11・初任),0)+ROUND((ROUND((ROUND((_11_B通院１１．０＿１．０*_11・基礎１),0)*_11・２人),0)*_11・初任),0)</f>
        <v>425</v>
      </c>
      <c r="T62" s="48"/>
    </row>
    <row r="63" spans="1:20" ht="16.5" customHeight="1" x14ac:dyDescent="0.15">
      <c r="A63" s="41">
        <v>11</v>
      </c>
      <c r="B63" s="41">
        <v>3711</v>
      </c>
      <c r="C63" s="74" t="s">
        <v>6225</v>
      </c>
      <c r="D63" s="203"/>
      <c r="F63" s="707" t="s">
        <v>1253</v>
      </c>
      <c r="G63" s="717"/>
      <c r="H63" s="53"/>
      <c r="I63" s="49"/>
      <c r="J63" s="50"/>
      <c r="K63" s="44"/>
      <c r="L63" s="45"/>
      <c r="M63" s="46"/>
      <c r="N63" s="35"/>
      <c r="P63" s="57"/>
      <c r="Q63" s="53"/>
      <c r="R63" s="49"/>
      <c r="S63" s="47">
        <f>ROUND((_11_A通院１１．０*(1+_11・A深夜)),0)+_11_B通院１１．０＿１．５</f>
        <v>951</v>
      </c>
      <c r="T63" s="48"/>
    </row>
    <row r="64" spans="1:20" ht="16.5" customHeight="1" x14ac:dyDescent="0.15">
      <c r="A64" s="41">
        <v>11</v>
      </c>
      <c r="B64" s="41">
        <v>3712</v>
      </c>
      <c r="C64" s="74" t="s">
        <v>6226</v>
      </c>
      <c r="D64" s="203"/>
      <c r="F64" s="709"/>
      <c r="G64" s="718"/>
      <c r="H64" s="43"/>
      <c r="I64" s="37"/>
      <c r="J64" s="38"/>
      <c r="K64" s="44" t="s">
        <v>397</v>
      </c>
      <c r="L64" s="45" t="s">
        <v>398</v>
      </c>
      <c r="M64" s="46">
        <v>1</v>
      </c>
      <c r="N64" s="35"/>
      <c r="P64" s="57"/>
      <c r="Q64" s="35"/>
      <c r="S64" s="47">
        <f>ROUND((ROUND((_11_A通院１１．０*_11・２人),0)*(1+_11・A深夜)),0)+ROUND((_11_B通院１１．０＿１．５*_11・２人),0)</f>
        <v>951</v>
      </c>
      <c r="T64" s="48"/>
    </row>
    <row r="65" spans="1:20" ht="16.5" customHeight="1" x14ac:dyDescent="0.15">
      <c r="A65" s="41">
        <v>11</v>
      </c>
      <c r="B65" s="41">
        <v>3713</v>
      </c>
      <c r="C65" s="74" t="s">
        <v>6227</v>
      </c>
      <c r="D65" s="203"/>
      <c r="F65" s="709"/>
      <c r="G65" s="718"/>
      <c r="H65" s="752" t="s">
        <v>400</v>
      </c>
      <c r="I65" s="49" t="s">
        <v>398</v>
      </c>
      <c r="J65" s="50">
        <v>0.7</v>
      </c>
      <c r="K65" s="44"/>
      <c r="L65" s="45"/>
      <c r="M65" s="46"/>
      <c r="N65" s="35"/>
      <c r="P65" s="57"/>
      <c r="Q65" s="35"/>
      <c r="S65" s="47">
        <f>ROUND((ROUND((_11_A通院１１．０*_11・基礎１),0)*(1+_11・A深夜)),0)+ROUND((_11_B通院１１．０＿１．５*_11・基礎１),0)</f>
        <v>666</v>
      </c>
      <c r="T65" s="48"/>
    </row>
    <row r="66" spans="1:20" ht="16.5" customHeight="1" x14ac:dyDescent="0.15">
      <c r="A66" s="41">
        <v>11</v>
      </c>
      <c r="B66" s="41">
        <v>3714</v>
      </c>
      <c r="C66" s="74" t="s">
        <v>6228</v>
      </c>
      <c r="D66" s="203"/>
      <c r="F66" s="100">
        <f>_11_B通院１１．０＿１．５</f>
        <v>348</v>
      </c>
      <c r="G66" s="12" t="s">
        <v>392</v>
      </c>
      <c r="H66" s="757"/>
      <c r="I66" s="37"/>
      <c r="J66" s="38"/>
      <c r="K66" s="44" t="s">
        <v>397</v>
      </c>
      <c r="L66" s="45" t="s">
        <v>398</v>
      </c>
      <c r="M66" s="46">
        <v>1</v>
      </c>
      <c r="N66" s="35"/>
      <c r="P66" s="57"/>
      <c r="Q66" s="43"/>
      <c r="R66" s="37"/>
      <c r="S66" s="47">
        <f>ROUND((ROUND((ROUND((_11_A通院１１．０*_11・基礎１),0)*_11・２人),0)*(1+_11・A深夜)),0)+ROUND((ROUND((_11_B通院１１．０＿１．５*_11・基礎１),0)*_11・２人),0)</f>
        <v>666</v>
      </c>
      <c r="T66" s="48"/>
    </row>
    <row r="67" spans="1:20" ht="16.5" customHeight="1" x14ac:dyDescent="0.15">
      <c r="A67" s="41">
        <v>11</v>
      </c>
      <c r="B67" s="41" t="s">
        <v>6229</v>
      </c>
      <c r="C67" s="74" t="s">
        <v>6230</v>
      </c>
      <c r="D67" s="203"/>
      <c r="F67" s="202"/>
      <c r="H67" s="53"/>
      <c r="I67" s="49"/>
      <c r="J67" s="50"/>
      <c r="K67" s="44"/>
      <c r="L67" s="45"/>
      <c r="M67" s="46"/>
      <c r="N67" s="35"/>
      <c r="P67" s="57"/>
      <c r="Q67" s="707" t="s">
        <v>404</v>
      </c>
      <c r="R67" s="708"/>
      <c r="S67" s="47">
        <f>ROUND((ROUND((_11_A通院１１．０*(1+_11・A深夜)),0)*_11・初任),0)+ROUND((_11_B通院１１．０＿１．５*_11・初任),0)</f>
        <v>666</v>
      </c>
      <c r="T67" s="48"/>
    </row>
    <row r="68" spans="1:20" ht="16.5" customHeight="1" x14ac:dyDescent="0.15">
      <c r="A68" s="41">
        <v>11</v>
      </c>
      <c r="B68" s="41" t="s">
        <v>6231</v>
      </c>
      <c r="C68" s="74" t="s">
        <v>6232</v>
      </c>
      <c r="D68" s="203"/>
      <c r="F68" s="202"/>
      <c r="H68" s="43"/>
      <c r="I68" s="37"/>
      <c r="J68" s="38"/>
      <c r="K68" s="44" t="s">
        <v>397</v>
      </c>
      <c r="L68" s="45" t="s">
        <v>398</v>
      </c>
      <c r="M68" s="46">
        <v>1</v>
      </c>
      <c r="N68" s="35"/>
      <c r="P68" s="57"/>
      <c r="Q68" s="709"/>
      <c r="R68" s="704"/>
      <c r="S68" s="47">
        <f>ROUND((ROUND((ROUND((_11_A通院１１．０*_11・２人),0)*(1+_11・A深夜)),0)*_11・初任),0)+ROUND((ROUND((_11_B通院１１．０＿１．５*_11・２人),0)*_11・初任),0)</f>
        <v>666</v>
      </c>
      <c r="T68" s="48"/>
    </row>
    <row r="69" spans="1:20" ht="16.5" customHeight="1" x14ac:dyDescent="0.15">
      <c r="A69" s="41">
        <v>11</v>
      </c>
      <c r="B69" s="41" t="s">
        <v>6233</v>
      </c>
      <c r="C69" s="74" t="s">
        <v>6234</v>
      </c>
      <c r="D69" s="203"/>
      <c r="F69" s="203"/>
      <c r="H69" s="752" t="s">
        <v>400</v>
      </c>
      <c r="I69" s="49" t="s">
        <v>398</v>
      </c>
      <c r="J69" s="50">
        <v>0.7</v>
      </c>
      <c r="K69" s="44"/>
      <c r="L69" s="45"/>
      <c r="M69" s="46"/>
      <c r="N69" s="35"/>
      <c r="P69" s="57"/>
      <c r="Q69" s="709"/>
      <c r="R69" s="704"/>
      <c r="S69" s="47">
        <f>ROUND((ROUND((ROUND((_11_A通院１１．０*_11・基礎１),0)*(1+_11・A深夜)),0)*_11・初任),0)+ROUND((ROUND((_11_B通院１１．０＿１．５*_11・基礎１),0)*_11・初任),0)</f>
        <v>466</v>
      </c>
      <c r="T69" s="48"/>
    </row>
    <row r="70" spans="1:20" ht="16.5" customHeight="1" x14ac:dyDescent="0.15">
      <c r="A70" s="41">
        <v>11</v>
      </c>
      <c r="B70" s="41" t="s">
        <v>6235</v>
      </c>
      <c r="C70" s="74" t="s">
        <v>6236</v>
      </c>
      <c r="D70" s="203"/>
      <c r="F70" s="203"/>
      <c r="H70" s="757"/>
      <c r="I70" s="37"/>
      <c r="J70" s="38"/>
      <c r="K70" s="44" t="s">
        <v>397</v>
      </c>
      <c r="L70" s="45" t="s">
        <v>398</v>
      </c>
      <c r="M70" s="46">
        <v>1</v>
      </c>
      <c r="N70" s="35"/>
      <c r="P70" s="57"/>
      <c r="Q70" s="55" t="s">
        <v>398</v>
      </c>
      <c r="R70" s="38">
        <f>_11・初任</f>
        <v>0.7</v>
      </c>
      <c r="S70" s="47">
        <f>ROUND((ROUND((ROUND((ROUND((_11_A通院１１．０*_11・基礎１),0)*_11・２人),0)*(1+_11・A深夜)),0)*_11・初任),0)+ROUND((ROUND((ROUND((_11_B通院１１．０＿１．５*_11・基礎１),0)*_11・２人),0)*_11・初任),0)</f>
        <v>466</v>
      </c>
      <c r="T70" s="48"/>
    </row>
    <row r="71" spans="1:20" ht="16.5" customHeight="1" x14ac:dyDescent="0.15">
      <c r="A71" s="41">
        <v>11</v>
      </c>
      <c r="B71" s="41">
        <v>3715</v>
      </c>
      <c r="C71" s="74" t="s">
        <v>6237</v>
      </c>
      <c r="D71" s="203"/>
      <c r="F71" s="707" t="s">
        <v>3663</v>
      </c>
      <c r="G71" s="717"/>
      <c r="H71" s="53"/>
      <c r="I71" s="49"/>
      <c r="J71" s="50"/>
      <c r="K71" s="44"/>
      <c r="L71" s="45"/>
      <c r="M71" s="46"/>
      <c r="N71" s="35"/>
      <c r="P71" s="57"/>
      <c r="Q71" s="53"/>
      <c r="R71" s="49"/>
      <c r="S71" s="47">
        <f>ROUND((_11_A通院１１．０*(1+_11・A深夜)),0)+_11_B通院１１．０＿２．０</f>
        <v>1034</v>
      </c>
      <c r="T71" s="48"/>
    </row>
    <row r="72" spans="1:20" ht="16.5" customHeight="1" x14ac:dyDescent="0.15">
      <c r="A72" s="41">
        <v>11</v>
      </c>
      <c r="B72" s="41">
        <v>3716</v>
      </c>
      <c r="C72" s="74" t="s">
        <v>6238</v>
      </c>
      <c r="D72" s="203"/>
      <c r="F72" s="709"/>
      <c r="G72" s="718"/>
      <c r="H72" s="43"/>
      <c r="I72" s="37"/>
      <c r="J72" s="38"/>
      <c r="K72" s="44" t="s">
        <v>397</v>
      </c>
      <c r="L72" s="45" t="s">
        <v>398</v>
      </c>
      <c r="M72" s="46">
        <v>1</v>
      </c>
      <c r="N72" s="35"/>
      <c r="P72" s="57"/>
      <c r="Q72" s="35"/>
      <c r="S72" s="47">
        <f>ROUND((ROUND((_11_A通院１１．０*_11・２人),0)*(1+_11・A深夜)),0)+ROUND((_11_B通院１１．０＿２．０*_11・２人),0)</f>
        <v>1034</v>
      </c>
      <c r="T72" s="48"/>
    </row>
    <row r="73" spans="1:20" ht="16.5" customHeight="1" x14ac:dyDescent="0.15">
      <c r="A73" s="41">
        <v>11</v>
      </c>
      <c r="B73" s="41">
        <v>3717</v>
      </c>
      <c r="C73" s="74" t="s">
        <v>6239</v>
      </c>
      <c r="D73" s="203"/>
      <c r="F73" s="709"/>
      <c r="G73" s="718"/>
      <c r="H73" s="752" t="s">
        <v>400</v>
      </c>
      <c r="I73" s="49" t="s">
        <v>398</v>
      </c>
      <c r="J73" s="50">
        <v>0.7</v>
      </c>
      <c r="K73" s="44"/>
      <c r="L73" s="45"/>
      <c r="M73" s="46"/>
      <c r="N73" s="35"/>
      <c r="P73" s="57"/>
      <c r="Q73" s="35"/>
      <c r="S73" s="47">
        <f>ROUND((ROUND((_11_A通院１１．０*_11・基礎１),0)*(1+_11・A深夜)),0)+ROUND((_11_B通院１１．０＿２．０*_11・基礎１),0)</f>
        <v>724</v>
      </c>
      <c r="T73" s="48"/>
    </row>
    <row r="74" spans="1:20" ht="16.5" customHeight="1" x14ac:dyDescent="0.15">
      <c r="A74" s="41">
        <v>11</v>
      </c>
      <c r="B74" s="41">
        <v>3718</v>
      </c>
      <c r="C74" s="74" t="s">
        <v>6240</v>
      </c>
      <c r="D74" s="203"/>
      <c r="F74" s="100">
        <f>_11_B通院１１．０＿２．０</f>
        <v>431</v>
      </c>
      <c r="G74" s="12" t="s">
        <v>392</v>
      </c>
      <c r="H74" s="757"/>
      <c r="I74" s="37"/>
      <c r="J74" s="38"/>
      <c r="K74" s="44" t="s">
        <v>397</v>
      </c>
      <c r="L74" s="45" t="s">
        <v>398</v>
      </c>
      <c r="M74" s="46">
        <v>1</v>
      </c>
      <c r="N74" s="35"/>
      <c r="P74" s="57"/>
      <c r="Q74" s="43"/>
      <c r="R74" s="37"/>
      <c r="S74" s="47">
        <f>ROUND((ROUND((ROUND((_11_A通院１１．０*_11・基礎１),0)*_11・２人),0)*(1+_11・A深夜)),0)+ROUND((ROUND((_11_B通院１１．０＿２．０*_11・基礎１),0)*_11・２人),0)</f>
        <v>724</v>
      </c>
      <c r="T74" s="48"/>
    </row>
    <row r="75" spans="1:20" ht="16.5" customHeight="1" x14ac:dyDescent="0.15">
      <c r="A75" s="41">
        <v>11</v>
      </c>
      <c r="B75" s="41" t="s">
        <v>6241</v>
      </c>
      <c r="C75" s="74" t="s">
        <v>6242</v>
      </c>
      <c r="D75" s="203"/>
      <c r="F75" s="202"/>
      <c r="H75" s="53"/>
      <c r="I75" s="49"/>
      <c r="J75" s="50"/>
      <c r="K75" s="44"/>
      <c r="L75" s="45"/>
      <c r="M75" s="46"/>
      <c r="N75" s="35"/>
      <c r="P75" s="57"/>
      <c r="Q75" s="707" t="s">
        <v>404</v>
      </c>
      <c r="R75" s="708"/>
      <c r="S75" s="47">
        <f>ROUND((ROUND((_11_A通院１１．０*(1+_11・A深夜)),0)*_11・初任),0)+ROUND((_11_B通院１１．０＿２．０*_11・初任),0)</f>
        <v>724</v>
      </c>
      <c r="T75" s="48"/>
    </row>
    <row r="76" spans="1:20" ht="16.5" customHeight="1" x14ac:dyDescent="0.15">
      <c r="A76" s="41">
        <v>11</v>
      </c>
      <c r="B76" s="41" t="s">
        <v>6243</v>
      </c>
      <c r="C76" s="74" t="s">
        <v>6244</v>
      </c>
      <c r="D76" s="203"/>
      <c r="F76" s="202"/>
      <c r="H76" s="43"/>
      <c r="I76" s="37"/>
      <c r="J76" s="38"/>
      <c r="K76" s="44" t="s">
        <v>397</v>
      </c>
      <c r="L76" s="45" t="s">
        <v>398</v>
      </c>
      <c r="M76" s="46">
        <v>1</v>
      </c>
      <c r="N76" s="35"/>
      <c r="P76" s="57"/>
      <c r="Q76" s="709"/>
      <c r="R76" s="704"/>
      <c r="S76" s="47">
        <f>ROUND((ROUND((ROUND((_11_A通院１１．０*_11・２人),0)*(1+_11・A深夜)),0)*_11・初任),0)+ROUND((ROUND((_11_B通院１１．０＿２．０*_11・２人),0)*_11・初任),0)</f>
        <v>724</v>
      </c>
      <c r="T76" s="48"/>
    </row>
    <row r="77" spans="1:20" ht="16.5" customHeight="1" x14ac:dyDescent="0.15">
      <c r="A77" s="41">
        <v>11</v>
      </c>
      <c r="B77" s="41" t="s">
        <v>6245</v>
      </c>
      <c r="C77" s="74" t="s">
        <v>6246</v>
      </c>
      <c r="D77" s="203"/>
      <c r="F77" s="203"/>
      <c r="H77" s="752" t="s">
        <v>400</v>
      </c>
      <c r="I77" s="49" t="s">
        <v>398</v>
      </c>
      <c r="J77" s="50">
        <v>0.7</v>
      </c>
      <c r="K77" s="44"/>
      <c r="L77" s="45"/>
      <c r="M77" s="46"/>
      <c r="N77" s="35"/>
      <c r="P77" s="57"/>
      <c r="Q77" s="709"/>
      <c r="R77" s="704"/>
      <c r="S77" s="47">
        <f>ROUND((ROUND((ROUND((_11_A通院１１．０*_11・基礎１),0)*(1+_11・A深夜)),0)*_11・初任),0)+ROUND((ROUND((_11_B通院１１．０＿２．０*_11・基礎１),0)*_11・初任),0)</f>
        <v>506</v>
      </c>
      <c r="T77" s="48"/>
    </row>
    <row r="78" spans="1:20" ht="16.5" customHeight="1" x14ac:dyDescent="0.15">
      <c r="A78" s="41">
        <v>11</v>
      </c>
      <c r="B78" s="41" t="s">
        <v>6247</v>
      </c>
      <c r="C78" s="74" t="s">
        <v>6248</v>
      </c>
      <c r="D78" s="205"/>
      <c r="E78" s="37"/>
      <c r="F78" s="205"/>
      <c r="G78" s="37"/>
      <c r="H78" s="757"/>
      <c r="I78" s="37"/>
      <c r="J78" s="38"/>
      <c r="K78" s="44" t="s">
        <v>397</v>
      </c>
      <c r="L78" s="45" t="s">
        <v>398</v>
      </c>
      <c r="M78" s="46">
        <v>1</v>
      </c>
      <c r="N78" s="43"/>
      <c r="O78" s="38"/>
      <c r="P78" s="79"/>
      <c r="Q78" s="55" t="s">
        <v>398</v>
      </c>
      <c r="R78" s="38">
        <f>_11・初任</f>
        <v>0.7</v>
      </c>
      <c r="S78" s="47">
        <f>ROUND((ROUND((ROUND((ROUND((_11_A通院１１．０*_11・基礎１),0)*_11・２人),0)*(1+_11・A深夜)),0)*_11・初任),0)+ROUND((ROUND((ROUND((_11_B通院１１．０＿２．０*_11・基礎１),0)*_11・２人),0)*_11・初任),0)</f>
        <v>506</v>
      </c>
      <c r="T78" s="63"/>
    </row>
    <row r="79" spans="1:20" ht="16.5" customHeight="1" x14ac:dyDescent="0.15">
      <c r="A79" s="33">
        <v>11</v>
      </c>
      <c r="B79" s="33">
        <v>3719</v>
      </c>
      <c r="C79" s="34" t="s">
        <v>6249</v>
      </c>
      <c r="D79" s="709" t="s">
        <v>5079</v>
      </c>
      <c r="E79" s="718"/>
      <c r="F79" s="709" t="s">
        <v>3643</v>
      </c>
      <c r="G79" s="718"/>
      <c r="H79" s="35"/>
      <c r="K79" s="36"/>
      <c r="L79" s="37"/>
      <c r="M79" s="38"/>
      <c r="N79" s="72" t="s">
        <v>1036</v>
      </c>
      <c r="P79" s="57"/>
      <c r="Q79" s="35"/>
      <c r="S79" s="39">
        <f>ROUND((_11_A通院１１．５*(1+_11・A深夜)),0)+_11_B通院１１．５＿０．５</f>
        <v>958</v>
      </c>
      <c r="T79" s="48"/>
    </row>
    <row r="80" spans="1:20" ht="16.5" customHeight="1" x14ac:dyDescent="0.15">
      <c r="A80" s="41">
        <v>11</v>
      </c>
      <c r="B80" s="41">
        <v>3720</v>
      </c>
      <c r="C80" s="74" t="s">
        <v>6250</v>
      </c>
      <c r="D80" s="709"/>
      <c r="E80" s="718"/>
      <c r="F80" s="709"/>
      <c r="G80" s="718"/>
      <c r="H80" s="43"/>
      <c r="I80" s="37"/>
      <c r="J80" s="38"/>
      <c r="K80" s="44" t="s">
        <v>397</v>
      </c>
      <c r="L80" s="45" t="s">
        <v>398</v>
      </c>
      <c r="M80" s="46">
        <v>1</v>
      </c>
      <c r="N80" s="35" t="s">
        <v>398</v>
      </c>
      <c r="O80" s="13">
        <v>0.5</v>
      </c>
      <c r="P80" s="728" t="s">
        <v>676</v>
      </c>
      <c r="Q80" s="35"/>
      <c r="S80" s="47">
        <f>ROUND((ROUND((_11_A通院１１．５*_11・２人),0)*(1+_11・A深夜)),0)+ROUND((_11_B通院１１．５＿０．５*_11・２人),0)</f>
        <v>958</v>
      </c>
      <c r="T80" s="48"/>
    </row>
    <row r="81" spans="1:20" ht="16.5" customHeight="1" x14ac:dyDescent="0.15">
      <c r="A81" s="41">
        <v>11</v>
      </c>
      <c r="B81" s="41">
        <v>3721</v>
      </c>
      <c r="C81" s="74" t="s">
        <v>6251</v>
      </c>
      <c r="D81" s="709"/>
      <c r="E81" s="718"/>
      <c r="F81" s="709"/>
      <c r="G81" s="718"/>
      <c r="H81" s="752" t="s">
        <v>400</v>
      </c>
      <c r="I81" s="49" t="s">
        <v>398</v>
      </c>
      <c r="J81" s="50">
        <v>0.7</v>
      </c>
      <c r="K81" s="44"/>
      <c r="L81" s="45"/>
      <c r="M81" s="46"/>
      <c r="N81" s="35"/>
      <c r="P81" s="728"/>
      <c r="Q81" s="35"/>
      <c r="S81" s="47">
        <f>ROUND((ROUND((_11_A通院１１．５*_11・基礎１),0)*(1+_11・A深夜)),0)+ROUND((_11_B通院１１．５＿０．５*_11・基礎１),0)</f>
        <v>671</v>
      </c>
      <c r="T81" s="48"/>
    </row>
    <row r="82" spans="1:20" ht="16.5" customHeight="1" x14ac:dyDescent="0.15">
      <c r="A82" s="41">
        <v>11</v>
      </c>
      <c r="B82" s="41">
        <v>3722</v>
      </c>
      <c r="C82" s="74" t="s">
        <v>6252</v>
      </c>
      <c r="D82" s="100">
        <f>_11_A通院１１．５</f>
        <v>584</v>
      </c>
      <c r="E82" s="12" t="s">
        <v>392</v>
      </c>
      <c r="F82" s="100">
        <f>_11_B通院１１．５＿０．５</f>
        <v>82</v>
      </c>
      <c r="G82" s="12" t="s">
        <v>392</v>
      </c>
      <c r="H82" s="757"/>
      <c r="I82" s="37"/>
      <c r="J82" s="38"/>
      <c r="K82" s="44" t="s">
        <v>397</v>
      </c>
      <c r="L82" s="45" t="s">
        <v>398</v>
      </c>
      <c r="M82" s="46">
        <v>1</v>
      </c>
      <c r="N82" s="35"/>
      <c r="P82" s="57"/>
      <c r="Q82" s="43"/>
      <c r="R82" s="37"/>
      <c r="S82" s="47">
        <f>ROUND((ROUND((ROUND((_11_A通院１１．５*_11・基礎１),0)*_11・２人),0)*(1+_11・A深夜)),0)+ROUND((ROUND((_11_B通院１１．５＿０．５*_11・基礎１),0)*_11・２人),0)</f>
        <v>671</v>
      </c>
      <c r="T82" s="48"/>
    </row>
    <row r="83" spans="1:20" ht="16.5" customHeight="1" x14ac:dyDescent="0.15">
      <c r="A83" s="41">
        <v>11</v>
      </c>
      <c r="B83" s="41" t="s">
        <v>6253</v>
      </c>
      <c r="C83" s="74" t="s">
        <v>6254</v>
      </c>
      <c r="D83" s="202"/>
      <c r="F83" s="202"/>
      <c r="H83" s="53"/>
      <c r="I83" s="49"/>
      <c r="J83" s="50"/>
      <c r="K83" s="44"/>
      <c r="L83" s="45"/>
      <c r="M83" s="46"/>
      <c r="N83" s="35"/>
      <c r="P83" s="57"/>
      <c r="Q83" s="707" t="s">
        <v>404</v>
      </c>
      <c r="R83" s="708"/>
      <c r="S83" s="47">
        <f>ROUND((ROUND((_11_A通院１１．５*(1+_11・A深夜)),0)*_11・初任),0)+ROUND((_11_B通院１１．５＿０．５*_11・初任),0)</f>
        <v>670</v>
      </c>
      <c r="T83" s="48"/>
    </row>
    <row r="84" spans="1:20" ht="16.5" customHeight="1" x14ac:dyDescent="0.15">
      <c r="A84" s="41">
        <v>11</v>
      </c>
      <c r="B84" s="41" t="s">
        <v>6255</v>
      </c>
      <c r="C84" s="74" t="s">
        <v>6256</v>
      </c>
      <c r="D84" s="202"/>
      <c r="F84" s="202"/>
      <c r="H84" s="43"/>
      <c r="I84" s="37"/>
      <c r="J84" s="38"/>
      <c r="K84" s="44" t="s">
        <v>397</v>
      </c>
      <c r="L84" s="45" t="s">
        <v>398</v>
      </c>
      <c r="M84" s="46">
        <v>1</v>
      </c>
      <c r="N84" s="35"/>
      <c r="P84" s="57"/>
      <c r="Q84" s="709"/>
      <c r="R84" s="704"/>
      <c r="S84" s="47">
        <f>ROUND((ROUND((ROUND((_11_A通院１１．５*_11・２人),0)*(1+_11・A深夜)),0)*_11・初任),0)+ROUND((ROUND((_11_B通院１１．５＿０．５*_11・２人),0)*_11・初任),0)</f>
        <v>670</v>
      </c>
      <c r="T84" s="48"/>
    </row>
    <row r="85" spans="1:20" ht="16.5" customHeight="1" x14ac:dyDescent="0.15">
      <c r="A85" s="41">
        <v>11</v>
      </c>
      <c r="B85" s="41" t="s">
        <v>6257</v>
      </c>
      <c r="C85" s="74" t="s">
        <v>6258</v>
      </c>
      <c r="D85" s="203"/>
      <c r="F85" s="203"/>
      <c r="H85" s="752" t="s">
        <v>400</v>
      </c>
      <c r="I85" s="49" t="s">
        <v>398</v>
      </c>
      <c r="J85" s="50">
        <v>0.7</v>
      </c>
      <c r="K85" s="44"/>
      <c r="L85" s="45"/>
      <c r="M85" s="46"/>
      <c r="N85" s="35"/>
      <c r="P85" s="57"/>
      <c r="Q85" s="709"/>
      <c r="R85" s="704"/>
      <c r="S85" s="47">
        <f>ROUND((ROUND((ROUND((_11_A通院１１．５*_11・基礎１),0)*(1+_11・A深夜)),0)*_11・初任),0)+ROUND((ROUND((_11_B通院１１．５＿０．５*_11・基礎１),0)*_11・初任),0)</f>
        <v>470</v>
      </c>
      <c r="T85" s="48"/>
    </row>
    <row r="86" spans="1:20" ht="16.5" customHeight="1" x14ac:dyDescent="0.15">
      <c r="A86" s="41">
        <v>11</v>
      </c>
      <c r="B86" s="41" t="s">
        <v>6259</v>
      </c>
      <c r="C86" s="74" t="s">
        <v>6260</v>
      </c>
      <c r="D86" s="203"/>
      <c r="F86" s="203"/>
      <c r="H86" s="757"/>
      <c r="I86" s="37"/>
      <c r="J86" s="38"/>
      <c r="K86" s="44" t="s">
        <v>397</v>
      </c>
      <c r="L86" s="45" t="s">
        <v>398</v>
      </c>
      <c r="M86" s="46">
        <v>1</v>
      </c>
      <c r="N86" s="35"/>
      <c r="P86" s="57"/>
      <c r="Q86" s="55" t="s">
        <v>398</v>
      </c>
      <c r="R86" s="38">
        <f>_11・初任</f>
        <v>0.7</v>
      </c>
      <c r="S86" s="47">
        <f>ROUND((ROUND((ROUND((ROUND((_11_A通院１１．５*_11・基礎１),0)*_11・２人),0)*(1+_11・A深夜)),0)*_11・初任),0)+ROUND((ROUND((ROUND((_11_B通院１１．５＿０．５*_11・基礎１),0)*_11・２人),0)*_11・初任),0)</f>
        <v>470</v>
      </c>
      <c r="T86" s="48"/>
    </row>
    <row r="87" spans="1:20" ht="16.5" customHeight="1" x14ac:dyDescent="0.15">
      <c r="A87" s="41">
        <v>11</v>
      </c>
      <c r="B87" s="41">
        <v>3723</v>
      </c>
      <c r="C87" s="74" t="s">
        <v>6261</v>
      </c>
      <c r="D87" s="203"/>
      <c r="F87" s="707" t="s">
        <v>3650</v>
      </c>
      <c r="G87" s="717"/>
      <c r="H87" s="53"/>
      <c r="I87" s="49"/>
      <c r="J87" s="50"/>
      <c r="K87" s="44"/>
      <c r="L87" s="45"/>
      <c r="M87" s="46"/>
      <c r="N87" s="35"/>
      <c r="P87" s="57"/>
      <c r="Q87" s="53"/>
      <c r="R87" s="49"/>
      <c r="S87" s="47">
        <f>ROUND((_11_A通院１１．５*(1+_11・A深夜)),0)+_11_B通院１１．５＿１．０</f>
        <v>1042</v>
      </c>
      <c r="T87" s="48"/>
    </row>
    <row r="88" spans="1:20" ht="16.5" customHeight="1" x14ac:dyDescent="0.15">
      <c r="A88" s="41">
        <v>11</v>
      </c>
      <c r="B88" s="41">
        <v>3724</v>
      </c>
      <c r="C88" s="74" t="s">
        <v>6262</v>
      </c>
      <c r="D88" s="203"/>
      <c r="F88" s="709"/>
      <c r="G88" s="718"/>
      <c r="H88" s="43"/>
      <c r="I88" s="37"/>
      <c r="J88" s="38"/>
      <c r="K88" s="44" t="s">
        <v>397</v>
      </c>
      <c r="L88" s="45" t="s">
        <v>398</v>
      </c>
      <c r="M88" s="46">
        <v>1</v>
      </c>
      <c r="N88" s="35"/>
      <c r="P88" s="57"/>
      <c r="Q88" s="35"/>
      <c r="S88" s="47">
        <f>ROUND((ROUND((_11_A通院１１．５*_11・２人),0)*(1+_11・A深夜)),0)+ROUND((_11_B通院１１．５＿１．０*_11・２人),0)</f>
        <v>1042</v>
      </c>
      <c r="T88" s="48"/>
    </row>
    <row r="89" spans="1:20" ht="16.5" customHeight="1" x14ac:dyDescent="0.15">
      <c r="A89" s="41">
        <v>11</v>
      </c>
      <c r="B89" s="41">
        <v>3725</v>
      </c>
      <c r="C89" s="74" t="s">
        <v>6263</v>
      </c>
      <c r="D89" s="203"/>
      <c r="F89" s="709"/>
      <c r="G89" s="718"/>
      <c r="H89" s="752" t="s">
        <v>400</v>
      </c>
      <c r="I89" s="49" t="s">
        <v>398</v>
      </c>
      <c r="J89" s="50">
        <v>0.7</v>
      </c>
      <c r="K89" s="44"/>
      <c r="L89" s="45"/>
      <c r="M89" s="46"/>
      <c r="N89" s="35"/>
      <c r="P89" s="57"/>
      <c r="Q89" s="35"/>
      <c r="S89" s="47">
        <f>ROUND((ROUND((_11_A通院１１．５*_11・基礎１),0)*(1+_11・A深夜)),0)+ROUND((_11_B通院１１．５＿１．０*_11・基礎１),0)</f>
        <v>730</v>
      </c>
      <c r="T89" s="48"/>
    </row>
    <row r="90" spans="1:20" ht="16.5" customHeight="1" x14ac:dyDescent="0.15">
      <c r="A90" s="41">
        <v>11</v>
      </c>
      <c r="B90" s="41">
        <v>3726</v>
      </c>
      <c r="C90" s="74" t="s">
        <v>6264</v>
      </c>
      <c r="D90" s="203"/>
      <c r="F90" s="100">
        <f>_11_B通院１１．５＿１．０</f>
        <v>166</v>
      </c>
      <c r="G90" s="12" t="s">
        <v>392</v>
      </c>
      <c r="H90" s="757"/>
      <c r="I90" s="37"/>
      <c r="J90" s="38"/>
      <c r="K90" s="44" t="s">
        <v>397</v>
      </c>
      <c r="L90" s="45" t="s">
        <v>398</v>
      </c>
      <c r="M90" s="46">
        <v>1</v>
      </c>
      <c r="N90" s="35"/>
      <c r="P90" s="57"/>
      <c r="Q90" s="43"/>
      <c r="R90" s="37"/>
      <c r="S90" s="47">
        <f>ROUND((ROUND((ROUND((_11_A通院１１．５*_11・基礎１),0)*_11・２人),0)*(1+_11・A深夜)),0)+ROUND((ROUND((_11_B通院１１．５＿１．０*_11・基礎１),0)*_11・２人),0)</f>
        <v>730</v>
      </c>
      <c r="T90" s="48"/>
    </row>
    <row r="91" spans="1:20" ht="16.5" customHeight="1" x14ac:dyDescent="0.15">
      <c r="A91" s="41">
        <v>11</v>
      </c>
      <c r="B91" s="41" t="s">
        <v>6265</v>
      </c>
      <c r="C91" s="74" t="s">
        <v>6266</v>
      </c>
      <c r="D91" s="203"/>
      <c r="F91" s="202"/>
      <c r="H91" s="53"/>
      <c r="I91" s="49"/>
      <c r="J91" s="50"/>
      <c r="K91" s="44"/>
      <c r="L91" s="45"/>
      <c r="M91" s="46"/>
      <c r="N91" s="35"/>
      <c r="P91" s="57"/>
      <c r="Q91" s="707" t="s">
        <v>404</v>
      </c>
      <c r="R91" s="708"/>
      <c r="S91" s="47">
        <f>ROUND((ROUND((_11_A通院１１．５*(1+_11・A深夜)),0)*_11・初任),0)+ROUND((_11_B通院１１．５＿１．０*_11・初任),0)</f>
        <v>729</v>
      </c>
      <c r="T91" s="48"/>
    </row>
    <row r="92" spans="1:20" ht="16.5" customHeight="1" x14ac:dyDescent="0.15">
      <c r="A92" s="41">
        <v>11</v>
      </c>
      <c r="B92" s="41" t="s">
        <v>6267</v>
      </c>
      <c r="C92" s="74" t="s">
        <v>6268</v>
      </c>
      <c r="D92" s="203"/>
      <c r="F92" s="202"/>
      <c r="H92" s="43"/>
      <c r="I92" s="37"/>
      <c r="J92" s="38"/>
      <c r="K92" s="44" t="s">
        <v>397</v>
      </c>
      <c r="L92" s="45" t="s">
        <v>398</v>
      </c>
      <c r="M92" s="46">
        <v>1</v>
      </c>
      <c r="N92" s="35"/>
      <c r="P92" s="57"/>
      <c r="Q92" s="709"/>
      <c r="R92" s="704"/>
      <c r="S92" s="47">
        <f>ROUND((ROUND((ROUND((_11_A通院１１．５*_11・２人),0)*(1+_11・A深夜)),0)*_11・初任),0)+ROUND((ROUND((_11_B通院１１．５＿１．０*_11・２人),0)*_11・初任),0)</f>
        <v>729</v>
      </c>
      <c r="T92" s="48"/>
    </row>
    <row r="93" spans="1:20" ht="16.5" customHeight="1" x14ac:dyDescent="0.15">
      <c r="A93" s="41">
        <v>11</v>
      </c>
      <c r="B93" s="41" t="s">
        <v>6269</v>
      </c>
      <c r="C93" s="74" t="s">
        <v>6270</v>
      </c>
      <c r="D93" s="203"/>
      <c r="F93" s="203"/>
      <c r="H93" s="752" t="s">
        <v>400</v>
      </c>
      <c r="I93" s="49" t="s">
        <v>398</v>
      </c>
      <c r="J93" s="50">
        <v>0.7</v>
      </c>
      <c r="K93" s="44"/>
      <c r="L93" s="45"/>
      <c r="M93" s="46"/>
      <c r="N93" s="35"/>
      <c r="P93" s="57"/>
      <c r="Q93" s="709"/>
      <c r="R93" s="704"/>
      <c r="S93" s="47">
        <f>ROUND((ROUND((ROUND((_11_A通院１１．５*_11・基礎１),0)*(1+_11・A深夜)),0)*_11・初任),0)+ROUND((ROUND((_11_B通院１１．５＿１．０*_11・基礎１),0)*_11・初任),0)</f>
        <v>511</v>
      </c>
      <c r="T93" s="48"/>
    </row>
    <row r="94" spans="1:20" ht="16.5" customHeight="1" x14ac:dyDescent="0.15">
      <c r="A94" s="41">
        <v>11</v>
      </c>
      <c r="B94" s="41" t="s">
        <v>6271</v>
      </c>
      <c r="C94" s="74" t="s">
        <v>6272</v>
      </c>
      <c r="D94" s="203"/>
      <c r="F94" s="203"/>
      <c r="H94" s="757"/>
      <c r="I94" s="37"/>
      <c r="J94" s="38"/>
      <c r="K94" s="44" t="s">
        <v>397</v>
      </c>
      <c r="L94" s="45" t="s">
        <v>398</v>
      </c>
      <c r="M94" s="46">
        <v>1</v>
      </c>
      <c r="N94" s="35"/>
      <c r="P94" s="57"/>
      <c r="Q94" s="55" t="s">
        <v>398</v>
      </c>
      <c r="R94" s="38">
        <f>_11・初任</f>
        <v>0.7</v>
      </c>
      <c r="S94" s="47">
        <f>ROUND((ROUND((ROUND((ROUND((_11_A通院１１．５*_11・基礎１),0)*_11・２人),0)*(1+_11・A深夜)),0)*_11・初任),0)+ROUND((ROUND((ROUND((_11_B通院１１．５＿１．０*_11・基礎１),0)*_11・２人),0)*_11・初任),0)</f>
        <v>511</v>
      </c>
      <c r="T94" s="48"/>
    </row>
    <row r="95" spans="1:20" ht="16.5" customHeight="1" x14ac:dyDescent="0.15">
      <c r="A95" s="41">
        <v>11</v>
      </c>
      <c r="B95" s="41">
        <v>3727</v>
      </c>
      <c r="C95" s="74" t="s">
        <v>6273</v>
      </c>
      <c r="D95" s="203"/>
      <c r="F95" s="707" t="s">
        <v>1253</v>
      </c>
      <c r="G95" s="717"/>
      <c r="H95" s="53"/>
      <c r="I95" s="49"/>
      <c r="J95" s="50"/>
      <c r="K95" s="44"/>
      <c r="L95" s="45"/>
      <c r="M95" s="46"/>
      <c r="N95" s="35"/>
      <c r="P95" s="57"/>
      <c r="Q95" s="53"/>
      <c r="R95" s="49"/>
      <c r="S95" s="47">
        <f>ROUND((_11_A通院１１．５*(1+_11・A深夜)),0)+_11_B通院１１．５＿１．５</f>
        <v>1125</v>
      </c>
      <c r="T95" s="48"/>
    </row>
    <row r="96" spans="1:20" ht="16.5" customHeight="1" x14ac:dyDescent="0.15">
      <c r="A96" s="41">
        <v>11</v>
      </c>
      <c r="B96" s="41">
        <v>3728</v>
      </c>
      <c r="C96" s="74" t="s">
        <v>6274</v>
      </c>
      <c r="D96" s="203"/>
      <c r="F96" s="709"/>
      <c r="G96" s="718"/>
      <c r="H96" s="43"/>
      <c r="I96" s="37"/>
      <c r="J96" s="38"/>
      <c r="K96" s="44" t="s">
        <v>397</v>
      </c>
      <c r="L96" s="45" t="s">
        <v>398</v>
      </c>
      <c r="M96" s="46">
        <v>1</v>
      </c>
      <c r="N96" s="35"/>
      <c r="P96" s="57"/>
      <c r="Q96" s="35"/>
      <c r="S96" s="47">
        <f>ROUND((ROUND((_11_A通院１１．５*_11・２人),0)*(1+_11・A深夜)),0)+ROUND((_11_B通院１１．５＿１．５*_11・２人),0)</f>
        <v>1125</v>
      </c>
      <c r="T96" s="48"/>
    </row>
    <row r="97" spans="1:20" ht="16.5" customHeight="1" x14ac:dyDescent="0.15">
      <c r="A97" s="41">
        <v>11</v>
      </c>
      <c r="B97" s="41">
        <v>3729</v>
      </c>
      <c r="C97" s="74" t="s">
        <v>6275</v>
      </c>
      <c r="D97" s="203"/>
      <c r="F97" s="709"/>
      <c r="G97" s="718"/>
      <c r="H97" s="752" t="s">
        <v>400</v>
      </c>
      <c r="I97" s="49" t="s">
        <v>398</v>
      </c>
      <c r="J97" s="50">
        <v>0.7</v>
      </c>
      <c r="K97" s="44"/>
      <c r="L97" s="45"/>
      <c r="M97" s="46"/>
      <c r="N97" s="35"/>
      <c r="P97" s="57"/>
      <c r="Q97" s="35"/>
      <c r="S97" s="47">
        <f>ROUND((ROUND((_11_A通院１１．５*_11・基礎１),0)*(1+_11・A深夜)),0)+ROUND((_11_B通院１１．５＿１．５*_11・基礎１),0)</f>
        <v>788</v>
      </c>
      <c r="T97" s="48"/>
    </row>
    <row r="98" spans="1:20" ht="16.5" customHeight="1" x14ac:dyDescent="0.15">
      <c r="A98" s="41">
        <v>11</v>
      </c>
      <c r="B98" s="41">
        <v>3730</v>
      </c>
      <c r="C98" s="74" t="s">
        <v>6276</v>
      </c>
      <c r="D98" s="203"/>
      <c r="F98" s="100">
        <f>_11_B通院１１．５＿１．５</f>
        <v>249</v>
      </c>
      <c r="G98" s="12" t="s">
        <v>392</v>
      </c>
      <c r="H98" s="757"/>
      <c r="I98" s="37"/>
      <c r="J98" s="38"/>
      <c r="K98" s="44" t="s">
        <v>397</v>
      </c>
      <c r="L98" s="45" t="s">
        <v>398</v>
      </c>
      <c r="M98" s="46">
        <v>1</v>
      </c>
      <c r="N98" s="35"/>
      <c r="P98" s="57"/>
      <c r="Q98" s="43"/>
      <c r="R98" s="37"/>
      <c r="S98" s="47">
        <f>ROUND((ROUND((ROUND((_11_A通院１１．５*_11・基礎１),0)*_11・２人),0)*(1+_11・A深夜)),0)+ROUND((ROUND((_11_B通院１１．５＿１．５*_11・基礎１),0)*_11・２人),0)</f>
        <v>788</v>
      </c>
      <c r="T98" s="48"/>
    </row>
    <row r="99" spans="1:20" ht="16.5" customHeight="1" x14ac:dyDescent="0.15">
      <c r="A99" s="41">
        <v>11</v>
      </c>
      <c r="B99" s="41" t="s">
        <v>6277</v>
      </c>
      <c r="C99" s="74" t="s">
        <v>6278</v>
      </c>
      <c r="D99" s="203"/>
      <c r="F99" s="202"/>
      <c r="H99" s="53"/>
      <c r="I99" s="49"/>
      <c r="J99" s="50"/>
      <c r="K99" s="44"/>
      <c r="L99" s="45"/>
      <c r="M99" s="46"/>
      <c r="N99" s="35"/>
      <c r="P99" s="57"/>
      <c r="Q99" s="707" t="s">
        <v>404</v>
      </c>
      <c r="R99" s="708"/>
      <c r="S99" s="47">
        <f>ROUND((ROUND((_11_A通院１１．５*(1+_11・A深夜)),0)*_11・初任),0)+ROUND((_11_B通院１１．５＿１．５*_11・初任),0)</f>
        <v>787</v>
      </c>
      <c r="T99" s="48"/>
    </row>
    <row r="100" spans="1:20" ht="16.5" customHeight="1" x14ac:dyDescent="0.15">
      <c r="A100" s="41">
        <v>11</v>
      </c>
      <c r="B100" s="41" t="s">
        <v>6279</v>
      </c>
      <c r="C100" s="74" t="s">
        <v>6280</v>
      </c>
      <c r="D100" s="203"/>
      <c r="F100" s="202"/>
      <c r="H100" s="43"/>
      <c r="I100" s="37"/>
      <c r="J100" s="38"/>
      <c r="K100" s="44" t="s">
        <v>397</v>
      </c>
      <c r="L100" s="45" t="s">
        <v>398</v>
      </c>
      <c r="M100" s="46">
        <v>1</v>
      </c>
      <c r="N100" s="35"/>
      <c r="P100" s="57"/>
      <c r="Q100" s="709"/>
      <c r="R100" s="704"/>
      <c r="S100" s="47">
        <f>ROUND((ROUND((ROUND((_11_A通院１１．５*_11・２人),0)*(1+_11・A深夜)),0)*_11・初任),0)+ROUND((ROUND((_11_B通院１１．５＿１．５*_11・２人),0)*_11・初任),0)</f>
        <v>787</v>
      </c>
      <c r="T100" s="48"/>
    </row>
    <row r="101" spans="1:20" ht="16.5" customHeight="1" x14ac:dyDescent="0.15">
      <c r="A101" s="41">
        <v>11</v>
      </c>
      <c r="B101" s="41" t="s">
        <v>6281</v>
      </c>
      <c r="C101" s="74" t="s">
        <v>6282</v>
      </c>
      <c r="D101" s="203"/>
      <c r="F101" s="203"/>
      <c r="H101" s="752" t="s">
        <v>400</v>
      </c>
      <c r="I101" s="49" t="s">
        <v>398</v>
      </c>
      <c r="J101" s="50">
        <v>0.7</v>
      </c>
      <c r="K101" s="44"/>
      <c r="L101" s="45"/>
      <c r="M101" s="46"/>
      <c r="N101" s="35"/>
      <c r="P101" s="57"/>
      <c r="Q101" s="709"/>
      <c r="R101" s="704"/>
      <c r="S101" s="47">
        <f>ROUND((ROUND((ROUND((_11_A通院１１．５*_11・基礎１),0)*(1+_11・A深夜)),0)*_11・初任),0)+ROUND((ROUND((_11_B通院１１．５＿１．５*_11・基礎１),0)*_11・初任),0)</f>
        <v>552</v>
      </c>
      <c r="T101" s="48"/>
    </row>
    <row r="102" spans="1:20" ht="16.5" customHeight="1" x14ac:dyDescent="0.15">
      <c r="A102" s="41">
        <v>11</v>
      </c>
      <c r="B102" s="41" t="s">
        <v>6283</v>
      </c>
      <c r="C102" s="74" t="s">
        <v>6284</v>
      </c>
      <c r="D102" s="203"/>
      <c r="F102" s="203"/>
      <c r="H102" s="757"/>
      <c r="I102" s="37"/>
      <c r="J102" s="38"/>
      <c r="K102" s="44" t="s">
        <v>397</v>
      </c>
      <c r="L102" s="45" t="s">
        <v>398</v>
      </c>
      <c r="M102" s="46">
        <v>1</v>
      </c>
      <c r="N102" s="35"/>
      <c r="P102" s="57"/>
      <c r="Q102" s="55" t="s">
        <v>398</v>
      </c>
      <c r="R102" s="38">
        <f>_11・初任</f>
        <v>0.7</v>
      </c>
      <c r="S102" s="47">
        <f>ROUND((ROUND((ROUND((ROUND((_11_A通院１１．５*_11・基礎１),0)*_11・２人),0)*(1+_11・A深夜)),0)*_11・初任),0)+ROUND((ROUND((ROUND((_11_B通院１１．５＿１．５*_11・基礎１),0)*_11・２人),0)*_11・初任),0)</f>
        <v>552</v>
      </c>
      <c r="T102" s="48"/>
    </row>
    <row r="103" spans="1:20" ht="16.5" customHeight="1" x14ac:dyDescent="0.15">
      <c r="A103" s="41">
        <v>11</v>
      </c>
      <c r="B103" s="41">
        <v>3731</v>
      </c>
      <c r="C103" s="74" t="s">
        <v>6285</v>
      </c>
      <c r="D103" s="707" t="s">
        <v>902</v>
      </c>
      <c r="E103" s="717"/>
      <c r="F103" s="707" t="s">
        <v>3643</v>
      </c>
      <c r="G103" s="717"/>
      <c r="H103" s="53"/>
      <c r="I103" s="49"/>
      <c r="J103" s="50"/>
      <c r="K103" s="44"/>
      <c r="L103" s="45"/>
      <c r="M103" s="46"/>
      <c r="N103" s="35"/>
      <c r="P103" s="57"/>
      <c r="Q103" s="53"/>
      <c r="R103" s="49"/>
      <c r="S103" s="47">
        <f>ROUND((_11_A通院１２．０*(1+_11・A深夜)),0)+_11_B通院１２．０＿０．５</f>
        <v>1083</v>
      </c>
      <c r="T103" s="48"/>
    </row>
    <row r="104" spans="1:20" ht="16.5" customHeight="1" x14ac:dyDescent="0.15">
      <c r="A104" s="41">
        <v>11</v>
      </c>
      <c r="B104" s="41">
        <v>3732</v>
      </c>
      <c r="C104" s="74" t="s">
        <v>6286</v>
      </c>
      <c r="D104" s="709"/>
      <c r="E104" s="718"/>
      <c r="F104" s="709"/>
      <c r="G104" s="718"/>
      <c r="H104" s="43"/>
      <c r="I104" s="37"/>
      <c r="J104" s="38"/>
      <c r="K104" s="44" t="s">
        <v>397</v>
      </c>
      <c r="L104" s="45" t="s">
        <v>398</v>
      </c>
      <c r="M104" s="46">
        <v>1</v>
      </c>
      <c r="N104" s="35"/>
      <c r="P104" s="57"/>
      <c r="Q104" s="35"/>
      <c r="S104" s="47">
        <f>ROUND((ROUND((_11_A通院１２．０*_11・２人),0)*(1+_11・A深夜)),0)+ROUND((_11_B通院１２．０＿０．５*_11・２人),0)</f>
        <v>1083</v>
      </c>
      <c r="T104" s="48"/>
    </row>
    <row r="105" spans="1:20" ht="16.5" customHeight="1" x14ac:dyDescent="0.15">
      <c r="A105" s="41">
        <v>11</v>
      </c>
      <c r="B105" s="41">
        <v>3733</v>
      </c>
      <c r="C105" s="74" t="s">
        <v>6287</v>
      </c>
      <c r="D105" s="709"/>
      <c r="E105" s="718"/>
      <c r="F105" s="709"/>
      <c r="G105" s="718"/>
      <c r="H105" s="752" t="s">
        <v>400</v>
      </c>
      <c r="I105" s="49" t="s">
        <v>398</v>
      </c>
      <c r="J105" s="50">
        <v>0.7</v>
      </c>
      <c r="K105" s="44"/>
      <c r="L105" s="45"/>
      <c r="M105" s="46"/>
      <c r="N105" s="35"/>
      <c r="P105" s="57"/>
      <c r="Q105" s="35"/>
      <c r="S105" s="47">
        <f>ROUND((ROUND((_11_A通院１２．０*_11・基礎１),0)*(1+_11・A深夜)),0)+ROUND((_11_B通院１２．０＿０．５*_11・基礎１),0)</f>
        <v>758</v>
      </c>
      <c r="T105" s="48"/>
    </row>
    <row r="106" spans="1:20" ht="16.5" customHeight="1" x14ac:dyDescent="0.15">
      <c r="A106" s="41">
        <v>11</v>
      </c>
      <c r="B106" s="41">
        <v>3734</v>
      </c>
      <c r="C106" s="74" t="s">
        <v>6288</v>
      </c>
      <c r="D106" s="100">
        <f>_11_A通院１２．０</f>
        <v>666</v>
      </c>
      <c r="E106" s="12" t="s">
        <v>392</v>
      </c>
      <c r="F106" s="100">
        <f>_11_B通院１２．０＿０．５</f>
        <v>84</v>
      </c>
      <c r="G106" s="12" t="s">
        <v>392</v>
      </c>
      <c r="H106" s="757"/>
      <c r="I106" s="37"/>
      <c r="J106" s="38"/>
      <c r="K106" s="44" t="s">
        <v>397</v>
      </c>
      <c r="L106" s="45" t="s">
        <v>398</v>
      </c>
      <c r="M106" s="46">
        <v>1</v>
      </c>
      <c r="N106" s="35"/>
      <c r="P106" s="57"/>
      <c r="Q106" s="43"/>
      <c r="R106" s="37"/>
      <c r="S106" s="47">
        <f>ROUND((ROUND((ROUND((_11_A通院１２．０*_11・基礎１),0)*_11・２人),0)*(1+_11・A深夜)),0)+ROUND((ROUND((_11_B通院１２．０＿０．５*_11・基礎１),0)*_11・２人),0)</f>
        <v>758</v>
      </c>
      <c r="T106" s="48"/>
    </row>
    <row r="107" spans="1:20" ht="16.5" customHeight="1" x14ac:dyDescent="0.15">
      <c r="A107" s="41">
        <v>11</v>
      </c>
      <c r="B107" s="41" t="s">
        <v>6289</v>
      </c>
      <c r="C107" s="74" t="s">
        <v>6290</v>
      </c>
      <c r="D107" s="202"/>
      <c r="F107" s="202"/>
      <c r="H107" s="53"/>
      <c r="I107" s="49"/>
      <c r="J107" s="50"/>
      <c r="K107" s="44"/>
      <c r="L107" s="45"/>
      <c r="M107" s="46"/>
      <c r="N107" s="35"/>
      <c r="P107" s="57"/>
      <c r="Q107" s="707" t="s">
        <v>404</v>
      </c>
      <c r="R107" s="708"/>
      <c r="S107" s="47">
        <f>ROUND((ROUND((_11_A通院１２．０*(1+_11・A深夜)),0)*_11・初任),0)+ROUND((_11_B通院１２．０＿０．５*_11・初任),0)</f>
        <v>758</v>
      </c>
      <c r="T107" s="48"/>
    </row>
    <row r="108" spans="1:20" ht="16.5" customHeight="1" x14ac:dyDescent="0.15">
      <c r="A108" s="41">
        <v>11</v>
      </c>
      <c r="B108" s="41" t="s">
        <v>6291</v>
      </c>
      <c r="C108" s="74" t="s">
        <v>6292</v>
      </c>
      <c r="D108" s="202"/>
      <c r="F108" s="202"/>
      <c r="H108" s="43"/>
      <c r="I108" s="37"/>
      <c r="J108" s="38"/>
      <c r="K108" s="44" t="s">
        <v>397</v>
      </c>
      <c r="L108" s="45" t="s">
        <v>398</v>
      </c>
      <c r="M108" s="46">
        <v>1</v>
      </c>
      <c r="N108" s="35"/>
      <c r="P108" s="57"/>
      <c r="Q108" s="709"/>
      <c r="R108" s="704"/>
      <c r="S108" s="47">
        <f>ROUND((ROUND((ROUND((_11_A通院１２．０*_11・２人),0)*(1+_11・A深夜)),0)*_11・初任),0)+ROUND((ROUND((_11_B通院１２．０＿０．５*_11・２人),0)*_11・初任),0)</f>
        <v>758</v>
      </c>
      <c r="T108" s="48"/>
    </row>
    <row r="109" spans="1:20" ht="16.5" customHeight="1" x14ac:dyDescent="0.15">
      <c r="A109" s="41">
        <v>11</v>
      </c>
      <c r="B109" s="41" t="s">
        <v>6293</v>
      </c>
      <c r="C109" s="74" t="s">
        <v>6294</v>
      </c>
      <c r="D109" s="203"/>
      <c r="F109" s="203"/>
      <c r="H109" s="752" t="s">
        <v>400</v>
      </c>
      <c r="I109" s="49" t="s">
        <v>398</v>
      </c>
      <c r="J109" s="50">
        <v>0.7</v>
      </c>
      <c r="K109" s="44"/>
      <c r="L109" s="45"/>
      <c r="M109" s="46"/>
      <c r="N109" s="35"/>
      <c r="P109" s="57"/>
      <c r="Q109" s="709"/>
      <c r="R109" s="704"/>
      <c r="S109" s="47">
        <f>ROUND((ROUND((ROUND((_11_A通院１２．０*_11・基礎１),0)*(1+_11・A深夜)),0)*_11・初任),0)+ROUND((ROUND((_11_B通院１２．０＿０．５*_11・基礎１),0)*_11・初任),0)</f>
        <v>530</v>
      </c>
      <c r="T109" s="48"/>
    </row>
    <row r="110" spans="1:20" ht="16.5" customHeight="1" x14ac:dyDescent="0.15">
      <c r="A110" s="41">
        <v>11</v>
      </c>
      <c r="B110" s="41" t="s">
        <v>6295</v>
      </c>
      <c r="C110" s="74" t="s">
        <v>6296</v>
      </c>
      <c r="D110" s="203"/>
      <c r="F110" s="203"/>
      <c r="H110" s="757"/>
      <c r="I110" s="37"/>
      <c r="J110" s="38"/>
      <c r="K110" s="44" t="s">
        <v>397</v>
      </c>
      <c r="L110" s="45" t="s">
        <v>398</v>
      </c>
      <c r="M110" s="46">
        <v>1</v>
      </c>
      <c r="N110" s="35"/>
      <c r="P110" s="57"/>
      <c r="Q110" s="55" t="s">
        <v>398</v>
      </c>
      <c r="R110" s="38">
        <f>_11・初任</f>
        <v>0.7</v>
      </c>
      <c r="S110" s="47">
        <f>ROUND((ROUND((ROUND((ROUND((_11_A通院１２．０*_11・基礎１),0)*_11・２人),0)*(1+_11・A深夜)),0)*_11・初任),0)+ROUND((ROUND((ROUND((_11_B通院１２．０＿０．５*_11・基礎１),0)*_11・２人),0)*_11・初任),0)</f>
        <v>530</v>
      </c>
      <c r="T110" s="48"/>
    </row>
    <row r="111" spans="1:20" ht="16.5" customHeight="1" x14ac:dyDescent="0.15">
      <c r="A111" s="41">
        <v>11</v>
      </c>
      <c r="B111" s="41">
        <v>3735</v>
      </c>
      <c r="C111" s="74" t="s">
        <v>6297</v>
      </c>
      <c r="D111" s="203"/>
      <c r="F111" s="707" t="s">
        <v>3650</v>
      </c>
      <c r="G111" s="717"/>
      <c r="H111" s="53"/>
      <c r="I111" s="49"/>
      <c r="J111" s="50"/>
      <c r="K111" s="44"/>
      <c r="L111" s="45"/>
      <c r="M111" s="46"/>
      <c r="N111" s="35"/>
      <c r="P111" s="57"/>
      <c r="Q111" s="53"/>
      <c r="R111" s="49"/>
      <c r="S111" s="47">
        <f>ROUND((_11_A通院１２．０*(1+_11・A深夜)),0)+_11_B通院１２．０＿１．０</f>
        <v>1166</v>
      </c>
      <c r="T111" s="48"/>
    </row>
    <row r="112" spans="1:20" ht="16.5" customHeight="1" x14ac:dyDescent="0.15">
      <c r="A112" s="41">
        <v>11</v>
      </c>
      <c r="B112" s="41">
        <v>3736</v>
      </c>
      <c r="C112" s="74" t="s">
        <v>6298</v>
      </c>
      <c r="D112" s="203"/>
      <c r="F112" s="709"/>
      <c r="G112" s="718"/>
      <c r="H112" s="43"/>
      <c r="I112" s="37"/>
      <c r="J112" s="38"/>
      <c r="K112" s="44" t="s">
        <v>397</v>
      </c>
      <c r="L112" s="45" t="s">
        <v>398</v>
      </c>
      <c r="M112" s="46">
        <v>1</v>
      </c>
      <c r="N112" s="35"/>
      <c r="P112" s="57"/>
      <c r="Q112" s="35"/>
      <c r="S112" s="47">
        <f>ROUND((ROUND((_11_A通院１２．０*_11・２人),0)*(1+_11・A深夜)),0)+ROUND((_11_B通院１２．０＿１．０*_11・２人),0)</f>
        <v>1166</v>
      </c>
      <c r="T112" s="48"/>
    </row>
    <row r="113" spans="1:20" ht="16.5" customHeight="1" x14ac:dyDescent="0.15">
      <c r="A113" s="41">
        <v>11</v>
      </c>
      <c r="B113" s="41">
        <v>3737</v>
      </c>
      <c r="C113" s="74" t="s">
        <v>6299</v>
      </c>
      <c r="D113" s="203"/>
      <c r="F113" s="709"/>
      <c r="G113" s="718"/>
      <c r="H113" s="752" t="s">
        <v>400</v>
      </c>
      <c r="I113" s="49" t="s">
        <v>398</v>
      </c>
      <c r="J113" s="50">
        <v>0.7</v>
      </c>
      <c r="K113" s="44"/>
      <c r="L113" s="45"/>
      <c r="M113" s="46"/>
      <c r="N113" s="35"/>
      <c r="P113" s="57"/>
      <c r="Q113" s="35"/>
      <c r="S113" s="47">
        <f>ROUND((ROUND((_11_A通院１２．０*_11・基礎１),0)*(1+_11・A深夜)),0)+ROUND((_11_B通院１２．０＿１．０*_11・基礎１),0)</f>
        <v>816</v>
      </c>
      <c r="T113" s="48"/>
    </row>
    <row r="114" spans="1:20" ht="16.5" customHeight="1" x14ac:dyDescent="0.15">
      <c r="A114" s="41">
        <v>11</v>
      </c>
      <c r="B114" s="41">
        <v>3738</v>
      </c>
      <c r="C114" s="74" t="s">
        <v>6300</v>
      </c>
      <c r="D114" s="203"/>
      <c r="F114" s="100">
        <f>_11_B通院１２．０＿１．０</f>
        <v>167</v>
      </c>
      <c r="G114" s="12" t="s">
        <v>392</v>
      </c>
      <c r="H114" s="757"/>
      <c r="I114" s="37"/>
      <c r="J114" s="38"/>
      <c r="K114" s="44" t="s">
        <v>397</v>
      </c>
      <c r="L114" s="45" t="s">
        <v>398</v>
      </c>
      <c r="M114" s="46">
        <v>1</v>
      </c>
      <c r="N114" s="35"/>
      <c r="P114" s="57"/>
      <c r="Q114" s="43"/>
      <c r="R114" s="37"/>
      <c r="S114" s="47">
        <f>ROUND((ROUND((ROUND((_11_A通院１２．０*_11・基礎１),0)*_11・２人),0)*(1+_11・A深夜)),0)+ROUND((ROUND((_11_B通院１２．０＿１．０*_11・基礎１),0)*_11・２人),0)</f>
        <v>816</v>
      </c>
      <c r="T114" s="48"/>
    </row>
    <row r="115" spans="1:20" ht="16.5" customHeight="1" x14ac:dyDescent="0.15">
      <c r="A115" s="41">
        <v>11</v>
      </c>
      <c r="B115" s="41" t="s">
        <v>6301</v>
      </c>
      <c r="C115" s="74" t="s">
        <v>6302</v>
      </c>
      <c r="D115" s="203"/>
      <c r="F115" s="202"/>
      <c r="H115" s="53"/>
      <c r="I115" s="49"/>
      <c r="J115" s="50"/>
      <c r="K115" s="44"/>
      <c r="L115" s="45"/>
      <c r="M115" s="46"/>
      <c r="N115" s="35"/>
      <c r="P115" s="57"/>
      <c r="Q115" s="707" t="s">
        <v>404</v>
      </c>
      <c r="R115" s="708"/>
      <c r="S115" s="47">
        <f>ROUND((ROUND((_11_A通院１２．０*(1+_11・A深夜)),0)*_11・初任),0)+ROUND((_11_B通院１２．０＿１．０*_11・初任),0)</f>
        <v>816</v>
      </c>
      <c r="T115" s="48"/>
    </row>
    <row r="116" spans="1:20" ht="16.5" customHeight="1" x14ac:dyDescent="0.15">
      <c r="A116" s="41">
        <v>11</v>
      </c>
      <c r="B116" s="41" t="s">
        <v>6303</v>
      </c>
      <c r="C116" s="74" t="s">
        <v>6304</v>
      </c>
      <c r="D116" s="203"/>
      <c r="F116" s="202"/>
      <c r="H116" s="43"/>
      <c r="I116" s="37"/>
      <c r="J116" s="38"/>
      <c r="K116" s="44" t="s">
        <v>397</v>
      </c>
      <c r="L116" s="45" t="s">
        <v>398</v>
      </c>
      <c r="M116" s="46">
        <v>1</v>
      </c>
      <c r="N116" s="35"/>
      <c r="P116" s="57"/>
      <c r="Q116" s="709"/>
      <c r="R116" s="704"/>
      <c r="S116" s="47">
        <f>ROUND((ROUND((ROUND((_11_A通院１２．０*_11・２人),0)*(1+_11・A深夜)),0)*_11・初任),0)+ROUND((ROUND((_11_B通院１２．０＿１．０*_11・２人),0)*_11・初任),0)</f>
        <v>816</v>
      </c>
      <c r="T116" s="48"/>
    </row>
    <row r="117" spans="1:20" ht="16.5" customHeight="1" x14ac:dyDescent="0.15">
      <c r="A117" s="41">
        <v>11</v>
      </c>
      <c r="B117" s="41" t="s">
        <v>6305</v>
      </c>
      <c r="C117" s="74" t="s">
        <v>6306</v>
      </c>
      <c r="D117" s="203"/>
      <c r="F117" s="203"/>
      <c r="H117" s="752" t="s">
        <v>400</v>
      </c>
      <c r="I117" s="49" t="s">
        <v>398</v>
      </c>
      <c r="J117" s="50">
        <v>0.7</v>
      </c>
      <c r="K117" s="44"/>
      <c r="L117" s="45"/>
      <c r="M117" s="46"/>
      <c r="N117" s="35"/>
      <c r="P117" s="57"/>
      <c r="Q117" s="709"/>
      <c r="R117" s="704"/>
      <c r="S117" s="47">
        <f>ROUND((ROUND((ROUND((_11_A通院１２．０*_11・基礎１),0)*(1+_11・A深夜)),0)*_11・初任),0)+ROUND((ROUND((_11_B通院１２．０＿１．０*_11・基礎１),0)*_11・初任),0)</f>
        <v>571</v>
      </c>
      <c r="T117" s="48"/>
    </row>
    <row r="118" spans="1:20" ht="16.5" customHeight="1" x14ac:dyDescent="0.15">
      <c r="A118" s="41">
        <v>11</v>
      </c>
      <c r="B118" s="41" t="s">
        <v>6307</v>
      </c>
      <c r="C118" s="74" t="s">
        <v>6308</v>
      </c>
      <c r="D118" s="203"/>
      <c r="F118" s="203"/>
      <c r="H118" s="757"/>
      <c r="I118" s="37"/>
      <c r="J118" s="38"/>
      <c r="K118" s="44" t="s">
        <v>397</v>
      </c>
      <c r="L118" s="45" t="s">
        <v>398</v>
      </c>
      <c r="M118" s="46">
        <v>1</v>
      </c>
      <c r="N118" s="35"/>
      <c r="P118" s="57"/>
      <c r="Q118" s="55" t="s">
        <v>398</v>
      </c>
      <c r="R118" s="38">
        <f>_11・初任</f>
        <v>0.7</v>
      </c>
      <c r="S118" s="47">
        <f>ROUND((ROUND((ROUND((ROUND((_11_A通院１２．０*_11・基礎１),0)*_11・２人),0)*(1+_11・A深夜)),0)*_11・初任),0)+ROUND((ROUND((ROUND((_11_B通院１２．０＿１．０*_11・基礎１),0)*_11・２人),0)*_11・初任),0)</f>
        <v>571</v>
      </c>
      <c r="T118" s="48"/>
    </row>
    <row r="119" spans="1:20" ht="16.5" customHeight="1" x14ac:dyDescent="0.15">
      <c r="A119" s="41">
        <v>11</v>
      </c>
      <c r="B119" s="41">
        <v>3739</v>
      </c>
      <c r="C119" s="74" t="s">
        <v>6309</v>
      </c>
      <c r="D119" s="707" t="s">
        <v>5140</v>
      </c>
      <c r="E119" s="717"/>
      <c r="F119" s="707" t="s">
        <v>3643</v>
      </c>
      <c r="G119" s="717"/>
      <c r="H119" s="53"/>
      <c r="I119" s="49"/>
      <c r="J119" s="50"/>
      <c r="K119" s="44"/>
      <c r="L119" s="45"/>
      <c r="M119" s="46"/>
      <c r="N119" s="35"/>
      <c r="P119" s="57"/>
      <c r="Q119" s="53"/>
      <c r="R119" s="49"/>
      <c r="S119" s="47">
        <f>ROUND((_11_A通院１２．５*(1+_11・A深夜)),0)+_11_B通院１２．５＿０．５</f>
        <v>1208</v>
      </c>
      <c r="T119" s="48"/>
    </row>
    <row r="120" spans="1:20" ht="16.5" customHeight="1" x14ac:dyDescent="0.15">
      <c r="A120" s="41">
        <v>11</v>
      </c>
      <c r="B120" s="41">
        <v>3740</v>
      </c>
      <c r="C120" s="74" t="s">
        <v>6310</v>
      </c>
      <c r="D120" s="709"/>
      <c r="E120" s="718"/>
      <c r="F120" s="709"/>
      <c r="G120" s="718"/>
      <c r="H120" s="43"/>
      <c r="I120" s="37"/>
      <c r="J120" s="38"/>
      <c r="K120" s="44" t="s">
        <v>397</v>
      </c>
      <c r="L120" s="45" t="s">
        <v>398</v>
      </c>
      <c r="M120" s="46">
        <v>1</v>
      </c>
      <c r="N120" s="35"/>
      <c r="P120" s="57"/>
      <c r="Q120" s="35"/>
      <c r="S120" s="47">
        <f>ROUND((ROUND((_11_A通院１２．５*_11・２人),0)*(1+_11・A深夜)),0)+ROUND((_11_B通院１２．５＿０．５*_11・２人),0)</f>
        <v>1208</v>
      </c>
      <c r="T120" s="48"/>
    </row>
    <row r="121" spans="1:20" ht="16.5" customHeight="1" x14ac:dyDescent="0.15">
      <c r="A121" s="41">
        <v>11</v>
      </c>
      <c r="B121" s="41">
        <v>3741</v>
      </c>
      <c r="C121" s="74" t="s">
        <v>6311</v>
      </c>
      <c r="D121" s="709"/>
      <c r="E121" s="718"/>
      <c r="F121" s="709"/>
      <c r="G121" s="718"/>
      <c r="H121" s="752" t="s">
        <v>400</v>
      </c>
      <c r="I121" s="49" t="s">
        <v>398</v>
      </c>
      <c r="J121" s="50">
        <v>0.7</v>
      </c>
      <c r="K121" s="44"/>
      <c r="L121" s="45"/>
      <c r="M121" s="46"/>
      <c r="N121" s="35"/>
      <c r="P121" s="57"/>
      <c r="Q121" s="35"/>
      <c r="S121" s="47">
        <f>ROUND((ROUND((_11_A通院１２．５*_11・基礎１),0)*(1+_11・A深夜)),0)+ROUND((_11_B通院１２．５＿０．５*_11・基礎１),0)</f>
        <v>846</v>
      </c>
      <c r="T121" s="48"/>
    </row>
    <row r="122" spans="1:20" ht="16.5" customHeight="1" x14ac:dyDescent="0.15">
      <c r="A122" s="41">
        <v>11</v>
      </c>
      <c r="B122" s="41">
        <v>3742</v>
      </c>
      <c r="C122" s="74" t="s">
        <v>6312</v>
      </c>
      <c r="D122" s="100">
        <f>_11_A通院１２．５</f>
        <v>750</v>
      </c>
      <c r="E122" s="12" t="s">
        <v>392</v>
      </c>
      <c r="F122" s="100">
        <f>_11_B通院１２．５＿０．５</f>
        <v>83</v>
      </c>
      <c r="G122" s="12" t="s">
        <v>392</v>
      </c>
      <c r="H122" s="757"/>
      <c r="I122" s="37"/>
      <c r="J122" s="38"/>
      <c r="K122" s="44" t="s">
        <v>397</v>
      </c>
      <c r="L122" s="45" t="s">
        <v>398</v>
      </c>
      <c r="M122" s="46">
        <v>1</v>
      </c>
      <c r="N122" s="35"/>
      <c r="P122" s="57"/>
      <c r="Q122" s="43"/>
      <c r="R122" s="37"/>
      <c r="S122" s="47">
        <f>ROUND((ROUND((ROUND((_11_A通院１２．５*_11・基礎１),0)*_11・２人),0)*(1+_11・A深夜)),0)+ROUND((ROUND((_11_B通院１２．５＿０．５*_11・基礎１),0)*_11・２人),0)</f>
        <v>846</v>
      </c>
      <c r="T122" s="48"/>
    </row>
    <row r="123" spans="1:20" ht="16.5" customHeight="1" x14ac:dyDescent="0.15">
      <c r="A123" s="41">
        <v>11</v>
      </c>
      <c r="B123" s="41" t="s">
        <v>6313</v>
      </c>
      <c r="C123" s="74" t="s">
        <v>6314</v>
      </c>
      <c r="D123" s="202"/>
      <c r="F123" s="202"/>
      <c r="H123" s="53"/>
      <c r="I123" s="49"/>
      <c r="J123" s="50"/>
      <c r="K123" s="44"/>
      <c r="L123" s="45"/>
      <c r="M123" s="46"/>
      <c r="N123" s="35"/>
      <c r="P123" s="57"/>
      <c r="Q123" s="707" t="s">
        <v>404</v>
      </c>
      <c r="R123" s="708"/>
      <c r="S123" s="47">
        <f>ROUND((ROUND((_11_A通院１２．５*(1+_11・A深夜)),0)*_11・初任),0)+ROUND((_11_B通院１２．５＿０．５*_11・初任),0)</f>
        <v>846</v>
      </c>
      <c r="T123" s="48"/>
    </row>
    <row r="124" spans="1:20" ht="16.5" customHeight="1" x14ac:dyDescent="0.15">
      <c r="A124" s="41">
        <v>11</v>
      </c>
      <c r="B124" s="41" t="s">
        <v>6315</v>
      </c>
      <c r="C124" s="74" t="s">
        <v>6316</v>
      </c>
      <c r="D124" s="202"/>
      <c r="F124" s="202"/>
      <c r="H124" s="43"/>
      <c r="I124" s="37"/>
      <c r="J124" s="38"/>
      <c r="K124" s="44" t="s">
        <v>397</v>
      </c>
      <c r="L124" s="45" t="s">
        <v>398</v>
      </c>
      <c r="M124" s="46">
        <v>1</v>
      </c>
      <c r="N124" s="35"/>
      <c r="P124" s="57"/>
      <c r="Q124" s="709"/>
      <c r="R124" s="704"/>
      <c r="S124" s="47">
        <f>ROUND((ROUND((ROUND((_11_A通院１２．５*_11・２人),0)*(1+_11・A深夜)),0)*_11・初任),0)+ROUND((ROUND((_11_B通院１２．５＿０．５*_11・２人),0)*_11・初任),0)</f>
        <v>846</v>
      </c>
      <c r="T124" s="48"/>
    </row>
    <row r="125" spans="1:20" ht="16.5" customHeight="1" x14ac:dyDescent="0.15">
      <c r="A125" s="41">
        <v>11</v>
      </c>
      <c r="B125" s="41" t="s">
        <v>6317</v>
      </c>
      <c r="C125" s="74" t="s">
        <v>6318</v>
      </c>
      <c r="D125" s="203"/>
      <c r="F125" s="203"/>
      <c r="H125" s="752" t="s">
        <v>400</v>
      </c>
      <c r="I125" s="49" t="s">
        <v>398</v>
      </c>
      <c r="J125" s="50">
        <v>0.7</v>
      </c>
      <c r="K125" s="44"/>
      <c r="L125" s="45"/>
      <c r="M125" s="46"/>
      <c r="N125" s="35"/>
      <c r="P125" s="57"/>
      <c r="Q125" s="709"/>
      <c r="R125" s="704"/>
      <c r="S125" s="47">
        <f>ROUND((ROUND((ROUND((_11_A通院１２．５*_11・基礎１),0)*(1+_11・A深夜)),0)*_11・初任),0)+ROUND((ROUND((_11_B通院１２．５＿０．５*_11・基礎１),0)*_11・初任),0)</f>
        <v>593</v>
      </c>
      <c r="T125" s="48"/>
    </row>
    <row r="126" spans="1:20" ht="16.5" customHeight="1" x14ac:dyDescent="0.15">
      <c r="A126" s="41">
        <v>11</v>
      </c>
      <c r="B126" s="41" t="s">
        <v>6319</v>
      </c>
      <c r="C126" s="74" t="s">
        <v>6320</v>
      </c>
      <c r="D126" s="205"/>
      <c r="E126" s="37"/>
      <c r="F126" s="205"/>
      <c r="G126" s="37"/>
      <c r="H126" s="757"/>
      <c r="I126" s="37"/>
      <c r="J126" s="38"/>
      <c r="K126" s="44" t="s">
        <v>397</v>
      </c>
      <c r="L126" s="45" t="s">
        <v>398</v>
      </c>
      <c r="M126" s="46">
        <v>1</v>
      </c>
      <c r="N126" s="43"/>
      <c r="O126" s="38"/>
      <c r="P126" s="79"/>
      <c r="Q126" s="55" t="s">
        <v>398</v>
      </c>
      <c r="R126" s="38">
        <f>_11・初任</f>
        <v>0.7</v>
      </c>
      <c r="S126" s="47">
        <f>ROUND((ROUND((ROUND((ROUND((_11_A通院１２．５*_11・基礎１),0)*_11・２人),0)*(1+_11・A深夜)),0)*_11・初任),0)+ROUND((ROUND((ROUND((_11_B通院１２．５＿０．５*_11・基礎１),0)*_11・２人),0)*_11・初任),0)</f>
        <v>593</v>
      </c>
      <c r="T126" s="63"/>
    </row>
    <row r="127" spans="1:20" ht="16.5" customHeight="1" x14ac:dyDescent="0.15"/>
    <row r="128" spans="1:20" ht="16.5" customHeight="1" x14ac:dyDescent="0.15"/>
  </sheetData>
  <mergeCells count="67">
    <mergeCell ref="D119:E121"/>
    <mergeCell ref="F119:G121"/>
    <mergeCell ref="H121:H122"/>
    <mergeCell ref="Q123:R125"/>
    <mergeCell ref="H125:H126"/>
    <mergeCell ref="Q107:R109"/>
    <mergeCell ref="H109:H110"/>
    <mergeCell ref="F111:G113"/>
    <mergeCell ref="H113:H114"/>
    <mergeCell ref="Q115:R117"/>
    <mergeCell ref="H117:H118"/>
    <mergeCell ref="F95:G97"/>
    <mergeCell ref="H97:H98"/>
    <mergeCell ref="Q99:R101"/>
    <mergeCell ref="H101:H102"/>
    <mergeCell ref="D103:E105"/>
    <mergeCell ref="F103:G105"/>
    <mergeCell ref="H105:H106"/>
    <mergeCell ref="Q83:R85"/>
    <mergeCell ref="H85:H86"/>
    <mergeCell ref="F87:G89"/>
    <mergeCell ref="H89:H90"/>
    <mergeCell ref="Q91:R93"/>
    <mergeCell ref="H93:H94"/>
    <mergeCell ref="Q75:R77"/>
    <mergeCell ref="H77:H78"/>
    <mergeCell ref="D79:E81"/>
    <mergeCell ref="F79:G81"/>
    <mergeCell ref="P80:P81"/>
    <mergeCell ref="H81:H82"/>
    <mergeCell ref="F63:G65"/>
    <mergeCell ref="H65:H66"/>
    <mergeCell ref="Q67:R69"/>
    <mergeCell ref="H69:H70"/>
    <mergeCell ref="F71:G73"/>
    <mergeCell ref="H73:H74"/>
    <mergeCell ref="Q51:R53"/>
    <mergeCell ref="H53:H54"/>
    <mergeCell ref="F55:G57"/>
    <mergeCell ref="H57:H58"/>
    <mergeCell ref="Q59:R61"/>
    <mergeCell ref="H61:H62"/>
    <mergeCell ref="F39:G41"/>
    <mergeCell ref="H41:H42"/>
    <mergeCell ref="Q43:R45"/>
    <mergeCell ref="H45:H46"/>
    <mergeCell ref="D47:E49"/>
    <mergeCell ref="F47:G49"/>
    <mergeCell ref="H49:H50"/>
    <mergeCell ref="Q27:R29"/>
    <mergeCell ref="H29:H30"/>
    <mergeCell ref="F31:G33"/>
    <mergeCell ref="H33:H34"/>
    <mergeCell ref="Q35:R37"/>
    <mergeCell ref="H37:H38"/>
    <mergeCell ref="F15:G17"/>
    <mergeCell ref="H17:H18"/>
    <mergeCell ref="Q19:R21"/>
    <mergeCell ref="H21:H22"/>
    <mergeCell ref="F23:G25"/>
    <mergeCell ref="H25:H26"/>
    <mergeCell ref="D7:E9"/>
    <mergeCell ref="F7:G9"/>
    <mergeCell ref="P8:P9"/>
    <mergeCell ref="H9:H10"/>
    <mergeCell ref="Q11:R13"/>
    <mergeCell ref="H13:H14"/>
  </mergeCells>
  <phoneticPr fontId="1"/>
  <printOptions horizontalCentered="1"/>
  <pageMargins left="0.70866141732283472" right="0.70866141732283472" top="0.74803149606299213" bottom="0.74803149606299213" header="0.31496062992125984" footer="0.31496062992125984"/>
  <pageSetup paperSize="9" scale="53" fitToHeight="0" orientation="portrait" r:id="rId1"/>
  <headerFooter>
    <oddHeader>&amp;R&amp;"ＭＳ Ｐゴシック"&amp;9居宅介護</oddHeader>
    <oddFooter>&amp;C&amp;"ＭＳ Ｐゴシック"&amp;14&amp;P</oddFooter>
  </headerFooter>
  <rowBreaks count="1" manualBreakCount="1">
    <brk id="78"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O176"/>
  <sheetViews>
    <sheetView view="pageBreakPreview" zoomScale="80" zoomScaleNormal="100" zoomScaleSheetLayoutView="80" workbookViewId="0"/>
  </sheetViews>
  <sheetFormatPr defaultColWidth="8.875" defaultRowHeight="14.25" x14ac:dyDescent="0.15"/>
  <cols>
    <col min="1" max="1" width="4.5" style="9" customWidth="1"/>
    <col min="2" max="2" width="7.5" style="9" customWidth="1"/>
    <col min="3" max="3" width="29" style="10" bestFit="1" customWidth="1"/>
    <col min="4" max="4" width="5.5" style="11" bestFit="1" customWidth="1"/>
    <col min="5" max="5" width="5.5" style="12" bestFit="1" customWidth="1"/>
    <col min="6" max="6" width="11.875" style="12" customWidth="1"/>
    <col min="7" max="7" width="3.5" style="12" bestFit="1" customWidth="1"/>
    <col min="8" max="8" width="4.5" style="13" bestFit="1" customWidth="1"/>
    <col min="9" max="9" width="24.875" style="14" bestFit="1" customWidth="1"/>
    <col min="10" max="10" width="3.5" style="12" bestFit="1" customWidth="1"/>
    <col min="11" max="11" width="5.5" style="13" bestFit="1" customWidth="1"/>
    <col min="12" max="12" width="9.5" style="12" customWidth="1"/>
    <col min="13" max="13" width="4.5" style="12" bestFit="1" customWidth="1"/>
    <col min="14" max="14" width="7.125" style="15" customWidth="1"/>
    <col min="15" max="15" width="8.5" style="16" customWidth="1"/>
    <col min="16" max="16384" width="8.875" style="12"/>
  </cols>
  <sheetData>
    <row r="1" spans="1:15" ht="17.100000000000001" customHeight="1" x14ac:dyDescent="0.15"/>
    <row r="2" spans="1:15" ht="17.100000000000001" customHeight="1" x14ac:dyDescent="0.15">
      <c r="A2" s="17" t="s">
        <v>382</v>
      </c>
    </row>
    <row r="3" spans="1:15" ht="17.100000000000001" customHeight="1" x14ac:dyDescent="0.15"/>
    <row r="4" spans="1:15" ht="17.100000000000001" customHeight="1" x14ac:dyDescent="0.15">
      <c r="B4" s="17" t="s">
        <v>383</v>
      </c>
      <c r="D4" s="18"/>
    </row>
    <row r="5" spans="1:15" ht="16.5" customHeight="1" x14ac:dyDescent="0.15">
      <c r="A5" s="19" t="s">
        <v>384</v>
      </c>
      <c r="B5" s="20"/>
      <c r="C5" s="21" t="s">
        <v>385</v>
      </c>
      <c r="D5" s="22" t="s">
        <v>386</v>
      </c>
      <c r="E5" s="23"/>
      <c r="F5" s="23"/>
      <c r="G5" s="23"/>
      <c r="H5" s="24"/>
      <c r="I5" s="23"/>
      <c r="J5" s="23"/>
      <c r="K5" s="24"/>
      <c r="L5" s="23"/>
      <c r="M5" s="23"/>
      <c r="N5" s="25" t="s">
        <v>387</v>
      </c>
      <c r="O5" s="21" t="s">
        <v>388</v>
      </c>
    </row>
    <row r="6" spans="1:15" ht="16.5" customHeight="1" x14ac:dyDescent="0.15">
      <c r="A6" s="26" t="s">
        <v>389</v>
      </c>
      <c r="B6" s="26" t="s">
        <v>390</v>
      </c>
      <c r="C6" s="27"/>
      <c r="D6" s="28"/>
      <c r="E6" s="29"/>
      <c r="F6" s="29"/>
      <c r="G6" s="29"/>
      <c r="H6" s="30"/>
      <c r="I6" s="29"/>
      <c r="J6" s="29"/>
      <c r="K6" s="30"/>
      <c r="L6" s="29"/>
      <c r="M6" s="29"/>
      <c r="N6" s="31" t="s">
        <v>391</v>
      </c>
      <c r="O6" s="32" t="s">
        <v>392</v>
      </c>
    </row>
    <row r="7" spans="1:15" ht="16.5" customHeight="1" x14ac:dyDescent="0.15">
      <c r="A7" s="33">
        <v>11</v>
      </c>
      <c r="B7" s="33">
        <v>1111</v>
      </c>
      <c r="C7" s="34" t="s">
        <v>393</v>
      </c>
      <c r="D7" s="703" t="s">
        <v>394</v>
      </c>
      <c r="E7" s="704"/>
      <c r="F7" s="35"/>
      <c r="I7" s="36"/>
      <c r="J7" s="37"/>
      <c r="K7" s="38"/>
      <c r="L7" s="35"/>
      <c r="N7" s="39">
        <f>_11_A身体０．５</f>
        <v>255</v>
      </c>
      <c r="O7" s="40" t="s">
        <v>395</v>
      </c>
    </row>
    <row r="8" spans="1:15" ht="16.5" customHeight="1" x14ac:dyDescent="0.15">
      <c r="A8" s="41">
        <v>11</v>
      </c>
      <c r="B8" s="41">
        <v>1112</v>
      </c>
      <c r="C8" s="42" t="s">
        <v>396</v>
      </c>
      <c r="D8" s="703"/>
      <c r="E8" s="704"/>
      <c r="F8" s="43"/>
      <c r="G8" s="37"/>
      <c r="H8" s="38"/>
      <c r="I8" s="44" t="s">
        <v>397</v>
      </c>
      <c r="J8" s="45" t="s">
        <v>398</v>
      </c>
      <c r="K8" s="46">
        <v>1</v>
      </c>
      <c r="L8" s="35"/>
      <c r="N8" s="47">
        <f>ROUND((_11_A身体０．５*_11・２人),0)</f>
        <v>255</v>
      </c>
      <c r="O8" s="48"/>
    </row>
    <row r="9" spans="1:15" ht="16.5" customHeight="1" x14ac:dyDescent="0.15">
      <c r="A9" s="41">
        <v>11</v>
      </c>
      <c r="B9" s="41">
        <v>1113</v>
      </c>
      <c r="C9" s="42" t="s">
        <v>399</v>
      </c>
      <c r="D9" s="703"/>
      <c r="E9" s="704"/>
      <c r="F9" s="705" t="s">
        <v>400</v>
      </c>
      <c r="G9" s="49" t="s">
        <v>398</v>
      </c>
      <c r="H9" s="50">
        <v>0.7</v>
      </c>
      <c r="I9" s="44"/>
      <c r="J9" s="45"/>
      <c r="K9" s="46"/>
      <c r="L9" s="35"/>
      <c r="N9" s="47">
        <f>ROUND((_11_A身体０．５*_11・基礎１),0)</f>
        <v>179</v>
      </c>
      <c r="O9" s="48"/>
    </row>
    <row r="10" spans="1:15" ht="16.5" customHeight="1" x14ac:dyDescent="0.15">
      <c r="A10" s="41">
        <v>11</v>
      </c>
      <c r="B10" s="41">
        <v>1114</v>
      </c>
      <c r="C10" s="42" t="s">
        <v>401</v>
      </c>
      <c r="D10" s="51">
        <f>_11_A身体０．５</f>
        <v>255</v>
      </c>
      <c r="E10" s="12" t="s">
        <v>392</v>
      </c>
      <c r="F10" s="706"/>
      <c r="G10" s="37"/>
      <c r="H10" s="38"/>
      <c r="I10" s="44" t="s">
        <v>397</v>
      </c>
      <c r="J10" s="45" t="s">
        <v>398</v>
      </c>
      <c r="K10" s="46">
        <v>1</v>
      </c>
      <c r="L10" s="43"/>
      <c r="M10" s="37"/>
      <c r="N10" s="47">
        <f>ROUND((ROUND((_11_A身体０．５*_11・基礎１),0)*_11・２人),0)</f>
        <v>179</v>
      </c>
      <c r="O10" s="48"/>
    </row>
    <row r="11" spans="1:15" ht="16.5" customHeight="1" x14ac:dyDescent="0.15">
      <c r="A11" s="41">
        <v>11</v>
      </c>
      <c r="B11" s="41" t="s">
        <v>402</v>
      </c>
      <c r="C11" s="42" t="s">
        <v>403</v>
      </c>
      <c r="D11" s="52"/>
      <c r="F11" s="53"/>
      <c r="G11" s="49"/>
      <c r="H11" s="50"/>
      <c r="I11" s="44"/>
      <c r="J11" s="45"/>
      <c r="K11" s="46"/>
      <c r="L11" s="707" t="s">
        <v>404</v>
      </c>
      <c r="M11" s="708"/>
      <c r="N11" s="47">
        <f>ROUND((_11_A身体０．５*_11・初任),0)</f>
        <v>179</v>
      </c>
      <c r="O11" s="48"/>
    </row>
    <row r="12" spans="1:15" ht="16.5" customHeight="1" x14ac:dyDescent="0.15">
      <c r="A12" s="41">
        <v>11</v>
      </c>
      <c r="B12" s="41" t="s">
        <v>405</v>
      </c>
      <c r="C12" s="42" t="s">
        <v>406</v>
      </c>
      <c r="D12" s="52"/>
      <c r="F12" s="43"/>
      <c r="G12" s="37"/>
      <c r="H12" s="38"/>
      <c r="I12" s="44" t="s">
        <v>397</v>
      </c>
      <c r="J12" s="45" t="s">
        <v>398</v>
      </c>
      <c r="K12" s="46">
        <v>1</v>
      </c>
      <c r="L12" s="709"/>
      <c r="M12" s="704"/>
      <c r="N12" s="47">
        <f>ROUND((ROUND((_11_A身体０．５*_11・２人),0)*_11・初任),0)</f>
        <v>179</v>
      </c>
      <c r="O12" s="48"/>
    </row>
    <row r="13" spans="1:15" ht="16.5" customHeight="1" x14ac:dyDescent="0.15">
      <c r="A13" s="41">
        <v>11</v>
      </c>
      <c r="B13" s="41" t="s">
        <v>407</v>
      </c>
      <c r="C13" s="42" t="s">
        <v>408</v>
      </c>
      <c r="D13" s="54"/>
      <c r="F13" s="710" t="s">
        <v>400</v>
      </c>
      <c r="G13" s="49" t="s">
        <v>398</v>
      </c>
      <c r="H13" s="50">
        <v>0.7</v>
      </c>
      <c r="I13" s="44"/>
      <c r="J13" s="45"/>
      <c r="K13" s="46"/>
      <c r="L13" s="709"/>
      <c r="M13" s="704"/>
      <c r="N13" s="47">
        <f>ROUND((ROUND((_11_A身体０．５*_11・基礎１),0)*_11・初任),0)</f>
        <v>125</v>
      </c>
      <c r="O13" s="48"/>
    </row>
    <row r="14" spans="1:15" ht="16.5" customHeight="1" x14ac:dyDescent="0.15">
      <c r="A14" s="41">
        <v>11</v>
      </c>
      <c r="B14" s="41" t="s">
        <v>409</v>
      </c>
      <c r="C14" s="42" t="s">
        <v>410</v>
      </c>
      <c r="D14" s="54"/>
      <c r="F14" s="711"/>
      <c r="G14" s="37"/>
      <c r="H14" s="38"/>
      <c r="I14" s="44" t="s">
        <v>397</v>
      </c>
      <c r="J14" s="45" t="s">
        <v>398</v>
      </c>
      <c r="K14" s="46">
        <v>1</v>
      </c>
      <c r="L14" s="55" t="s">
        <v>398</v>
      </c>
      <c r="M14" s="38">
        <f>_11・初任</f>
        <v>0.7</v>
      </c>
      <c r="N14" s="47">
        <f>ROUND((ROUND((ROUND((_11_A身体０．５*_11・基礎１),0)*_11・２人),0)*_11・初任),0)</f>
        <v>125</v>
      </c>
      <c r="O14" s="48"/>
    </row>
    <row r="15" spans="1:15" ht="16.5" customHeight="1" x14ac:dyDescent="0.15">
      <c r="A15" s="41">
        <v>11</v>
      </c>
      <c r="B15" s="41">
        <v>1115</v>
      </c>
      <c r="C15" s="42" t="s">
        <v>411</v>
      </c>
      <c r="D15" s="712" t="s">
        <v>412</v>
      </c>
      <c r="E15" s="708"/>
      <c r="F15" s="53"/>
      <c r="G15" s="49"/>
      <c r="H15" s="50"/>
      <c r="I15" s="44"/>
      <c r="J15" s="45"/>
      <c r="K15" s="46"/>
      <c r="L15" s="53"/>
      <c r="M15" s="49"/>
      <c r="N15" s="47">
        <f>_11_A身体１．０</f>
        <v>402</v>
      </c>
      <c r="O15" s="48"/>
    </row>
    <row r="16" spans="1:15" ht="16.5" customHeight="1" x14ac:dyDescent="0.15">
      <c r="A16" s="41">
        <v>11</v>
      </c>
      <c r="B16" s="41">
        <v>1116</v>
      </c>
      <c r="C16" s="42" t="s">
        <v>413</v>
      </c>
      <c r="D16" s="703"/>
      <c r="E16" s="704"/>
      <c r="F16" s="43"/>
      <c r="G16" s="37"/>
      <c r="H16" s="38"/>
      <c r="I16" s="44" t="s">
        <v>397</v>
      </c>
      <c r="J16" s="45" t="s">
        <v>398</v>
      </c>
      <c r="K16" s="46">
        <v>1</v>
      </c>
      <c r="L16" s="35"/>
      <c r="N16" s="47">
        <f>ROUND((_11_A身体１．０*_11・２人),0)</f>
        <v>402</v>
      </c>
      <c r="O16" s="48"/>
    </row>
    <row r="17" spans="1:15" ht="16.5" customHeight="1" x14ac:dyDescent="0.15">
      <c r="A17" s="41">
        <v>11</v>
      </c>
      <c r="B17" s="41">
        <v>1117</v>
      </c>
      <c r="C17" s="42" t="s">
        <v>414</v>
      </c>
      <c r="D17" s="703"/>
      <c r="E17" s="704"/>
      <c r="F17" s="710" t="s">
        <v>400</v>
      </c>
      <c r="G17" s="49" t="s">
        <v>398</v>
      </c>
      <c r="H17" s="50">
        <v>0.7</v>
      </c>
      <c r="I17" s="44"/>
      <c r="J17" s="45"/>
      <c r="K17" s="46"/>
      <c r="L17" s="35"/>
      <c r="N17" s="47">
        <f>ROUND((_11_A身体１．０*_11・基礎１),0)</f>
        <v>281</v>
      </c>
      <c r="O17" s="48"/>
    </row>
    <row r="18" spans="1:15" ht="16.5" customHeight="1" x14ac:dyDescent="0.15">
      <c r="A18" s="41">
        <v>11</v>
      </c>
      <c r="B18" s="41">
        <v>1118</v>
      </c>
      <c r="C18" s="42" t="s">
        <v>415</v>
      </c>
      <c r="D18" s="56">
        <f>_11_A身体１．０</f>
        <v>402</v>
      </c>
      <c r="E18" s="57" t="s">
        <v>392</v>
      </c>
      <c r="F18" s="711"/>
      <c r="G18" s="37"/>
      <c r="H18" s="38"/>
      <c r="I18" s="44" t="s">
        <v>397</v>
      </c>
      <c r="J18" s="45" t="s">
        <v>398</v>
      </c>
      <c r="K18" s="46">
        <v>1</v>
      </c>
      <c r="L18" s="43"/>
      <c r="M18" s="37"/>
      <c r="N18" s="47">
        <f>ROUND((ROUND((_11_A身体１．０*_11・基礎１),0)*_11・２人),0)</f>
        <v>281</v>
      </c>
      <c r="O18" s="48"/>
    </row>
    <row r="19" spans="1:15" ht="16.5" customHeight="1" x14ac:dyDescent="0.15">
      <c r="A19" s="41">
        <v>11</v>
      </c>
      <c r="B19" s="41" t="s">
        <v>416</v>
      </c>
      <c r="C19" s="42" t="s">
        <v>417</v>
      </c>
      <c r="D19" s="52"/>
      <c r="F19" s="53"/>
      <c r="G19" s="49"/>
      <c r="H19" s="50"/>
      <c r="I19" s="44"/>
      <c r="J19" s="45"/>
      <c r="K19" s="46"/>
      <c r="L19" s="707" t="s">
        <v>404</v>
      </c>
      <c r="M19" s="708"/>
      <c r="N19" s="47">
        <f>ROUND((_11_A身体１．０*_11・初任),0)</f>
        <v>281</v>
      </c>
      <c r="O19" s="48"/>
    </row>
    <row r="20" spans="1:15" ht="16.5" customHeight="1" x14ac:dyDescent="0.15">
      <c r="A20" s="41">
        <v>11</v>
      </c>
      <c r="B20" s="41" t="s">
        <v>418</v>
      </c>
      <c r="C20" s="42" t="s">
        <v>419</v>
      </c>
      <c r="D20" s="52"/>
      <c r="F20" s="43"/>
      <c r="G20" s="37"/>
      <c r="H20" s="38"/>
      <c r="I20" s="44" t="s">
        <v>397</v>
      </c>
      <c r="J20" s="45" t="s">
        <v>398</v>
      </c>
      <c r="K20" s="46">
        <v>1</v>
      </c>
      <c r="L20" s="709"/>
      <c r="M20" s="704"/>
      <c r="N20" s="47">
        <f>ROUND((ROUND((_11_A身体１．０*_11・２人),0)*_11・初任),0)</f>
        <v>281</v>
      </c>
      <c r="O20" s="48"/>
    </row>
    <row r="21" spans="1:15" ht="16.5" customHeight="1" x14ac:dyDescent="0.15">
      <c r="A21" s="41">
        <v>11</v>
      </c>
      <c r="B21" s="41" t="s">
        <v>420</v>
      </c>
      <c r="C21" s="42" t="s">
        <v>421</v>
      </c>
      <c r="D21" s="54"/>
      <c r="F21" s="710" t="s">
        <v>400</v>
      </c>
      <c r="G21" s="49" t="s">
        <v>398</v>
      </c>
      <c r="H21" s="50">
        <v>0.7</v>
      </c>
      <c r="I21" s="44"/>
      <c r="J21" s="45"/>
      <c r="K21" s="46"/>
      <c r="L21" s="709"/>
      <c r="M21" s="704"/>
      <c r="N21" s="47">
        <f>ROUND((ROUND((_11_A身体１．０*_11・基礎１),0)*_11・初任),0)</f>
        <v>197</v>
      </c>
      <c r="O21" s="48"/>
    </row>
    <row r="22" spans="1:15" ht="16.5" customHeight="1" x14ac:dyDescent="0.15">
      <c r="A22" s="41">
        <v>11</v>
      </c>
      <c r="B22" s="41" t="s">
        <v>422</v>
      </c>
      <c r="C22" s="42" t="s">
        <v>423</v>
      </c>
      <c r="D22" s="54"/>
      <c r="F22" s="711"/>
      <c r="G22" s="37"/>
      <c r="H22" s="38"/>
      <c r="I22" s="44" t="s">
        <v>397</v>
      </c>
      <c r="J22" s="45" t="s">
        <v>398</v>
      </c>
      <c r="K22" s="46">
        <v>1</v>
      </c>
      <c r="L22" s="55" t="s">
        <v>398</v>
      </c>
      <c r="M22" s="38">
        <f>_11・初任</f>
        <v>0.7</v>
      </c>
      <c r="N22" s="47">
        <f>ROUND((ROUND((ROUND((_11_A身体１．０*_11・基礎１),0)*_11・２人),0)*_11・初任),0)</f>
        <v>197</v>
      </c>
      <c r="O22" s="48"/>
    </row>
    <row r="23" spans="1:15" ht="16.5" customHeight="1" x14ac:dyDescent="0.15">
      <c r="A23" s="41">
        <v>11</v>
      </c>
      <c r="B23" s="41">
        <v>1119</v>
      </c>
      <c r="C23" s="42" t="s">
        <v>424</v>
      </c>
      <c r="D23" s="712" t="s">
        <v>425</v>
      </c>
      <c r="E23" s="708"/>
      <c r="F23" s="53"/>
      <c r="G23" s="49"/>
      <c r="H23" s="50"/>
      <c r="I23" s="44"/>
      <c r="J23" s="45"/>
      <c r="K23" s="46"/>
      <c r="L23" s="53"/>
      <c r="M23" s="49"/>
      <c r="N23" s="47">
        <f>_11_A身体１．５</f>
        <v>584</v>
      </c>
      <c r="O23" s="48"/>
    </row>
    <row r="24" spans="1:15" ht="16.5" customHeight="1" x14ac:dyDescent="0.15">
      <c r="A24" s="41">
        <v>11</v>
      </c>
      <c r="B24" s="41">
        <v>1120</v>
      </c>
      <c r="C24" s="42" t="s">
        <v>426</v>
      </c>
      <c r="D24" s="703"/>
      <c r="E24" s="704"/>
      <c r="F24" s="43"/>
      <c r="G24" s="37"/>
      <c r="H24" s="38"/>
      <c r="I24" s="44" t="s">
        <v>397</v>
      </c>
      <c r="J24" s="45" t="s">
        <v>398</v>
      </c>
      <c r="K24" s="46">
        <v>1</v>
      </c>
      <c r="L24" s="35"/>
      <c r="N24" s="47">
        <f>ROUND((_11_A身体１．５*_11・２人),0)</f>
        <v>584</v>
      </c>
      <c r="O24" s="48"/>
    </row>
    <row r="25" spans="1:15" ht="16.5" customHeight="1" x14ac:dyDescent="0.15">
      <c r="A25" s="41">
        <v>11</v>
      </c>
      <c r="B25" s="41">
        <v>1121</v>
      </c>
      <c r="C25" s="42" t="s">
        <v>427</v>
      </c>
      <c r="D25" s="703"/>
      <c r="E25" s="704"/>
      <c r="F25" s="710" t="s">
        <v>400</v>
      </c>
      <c r="G25" s="49" t="s">
        <v>398</v>
      </c>
      <c r="H25" s="50">
        <v>0.7</v>
      </c>
      <c r="I25" s="44"/>
      <c r="J25" s="45"/>
      <c r="K25" s="46"/>
      <c r="L25" s="35"/>
      <c r="N25" s="47">
        <f>ROUND((_11_A身体１．５*_11・基礎１),0)</f>
        <v>409</v>
      </c>
      <c r="O25" s="48"/>
    </row>
    <row r="26" spans="1:15" ht="16.5" customHeight="1" x14ac:dyDescent="0.15">
      <c r="A26" s="41">
        <v>11</v>
      </c>
      <c r="B26" s="41">
        <v>1122</v>
      </c>
      <c r="C26" s="42" t="s">
        <v>428</v>
      </c>
      <c r="D26" s="51">
        <f>_11_A身体１．５</f>
        <v>584</v>
      </c>
      <c r="E26" s="12" t="s">
        <v>392</v>
      </c>
      <c r="F26" s="711"/>
      <c r="G26" s="37"/>
      <c r="H26" s="38"/>
      <c r="I26" s="44" t="s">
        <v>397</v>
      </c>
      <c r="J26" s="45" t="s">
        <v>398</v>
      </c>
      <c r="K26" s="46">
        <v>1</v>
      </c>
      <c r="L26" s="43"/>
      <c r="M26" s="37"/>
      <c r="N26" s="47">
        <f>ROUND((ROUND((_11_A身体１．５*_11・基礎１),0)*_11・２人),0)</f>
        <v>409</v>
      </c>
      <c r="O26" s="48"/>
    </row>
    <row r="27" spans="1:15" ht="16.5" customHeight="1" x14ac:dyDescent="0.15">
      <c r="A27" s="41">
        <v>11</v>
      </c>
      <c r="B27" s="41" t="s">
        <v>429</v>
      </c>
      <c r="C27" s="42" t="s">
        <v>430</v>
      </c>
      <c r="D27" s="52"/>
      <c r="F27" s="53"/>
      <c r="G27" s="49"/>
      <c r="H27" s="50"/>
      <c r="I27" s="44"/>
      <c r="J27" s="45"/>
      <c r="K27" s="46"/>
      <c r="L27" s="707" t="s">
        <v>404</v>
      </c>
      <c r="M27" s="708"/>
      <c r="N27" s="47">
        <f>ROUND((_11_A身体１．５*_11・初任),0)</f>
        <v>409</v>
      </c>
      <c r="O27" s="48"/>
    </row>
    <row r="28" spans="1:15" ht="16.5" customHeight="1" x14ac:dyDescent="0.15">
      <c r="A28" s="41">
        <v>11</v>
      </c>
      <c r="B28" s="41" t="s">
        <v>431</v>
      </c>
      <c r="C28" s="42" t="s">
        <v>432</v>
      </c>
      <c r="D28" s="52"/>
      <c r="F28" s="43"/>
      <c r="G28" s="37"/>
      <c r="H28" s="38"/>
      <c r="I28" s="44" t="s">
        <v>397</v>
      </c>
      <c r="J28" s="45" t="s">
        <v>398</v>
      </c>
      <c r="K28" s="46">
        <v>1</v>
      </c>
      <c r="L28" s="709"/>
      <c r="M28" s="704"/>
      <c r="N28" s="47">
        <f>ROUND((ROUND((_11_A身体１．５*_11・２人),0)*_11・初任),0)</f>
        <v>409</v>
      </c>
      <c r="O28" s="48"/>
    </row>
    <row r="29" spans="1:15" ht="16.5" customHeight="1" x14ac:dyDescent="0.15">
      <c r="A29" s="41">
        <v>11</v>
      </c>
      <c r="B29" s="41" t="s">
        <v>433</v>
      </c>
      <c r="C29" s="42" t="s">
        <v>434</v>
      </c>
      <c r="D29" s="54"/>
      <c r="F29" s="710" t="s">
        <v>400</v>
      </c>
      <c r="G29" s="49" t="s">
        <v>398</v>
      </c>
      <c r="H29" s="50">
        <v>0.7</v>
      </c>
      <c r="I29" s="44"/>
      <c r="J29" s="45"/>
      <c r="K29" s="46"/>
      <c r="L29" s="709"/>
      <c r="M29" s="704"/>
      <c r="N29" s="47">
        <f>ROUND((ROUND((_11_A身体１．５*_11・基礎１),0)*_11・初任),0)</f>
        <v>286</v>
      </c>
      <c r="O29" s="48"/>
    </row>
    <row r="30" spans="1:15" ht="16.5" customHeight="1" x14ac:dyDescent="0.15">
      <c r="A30" s="41">
        <v>11</v>
      </c>
      <c r="B30" s="41" t="s">
        <v>435</v>
      </c>
      <c r="C30" s="42" t="s">
        <v>436</v>
      </c>
      <c r="D30" s="54"/>
      <c r="F30" s="711"/>
      <c r="G30" s="37"/>
      <c r="H30" s="38"/>
      <c r="I30" s="44" t="s">
        <v>397</v>
      </c>
      <c r="J30" s="45" t="s">
        <v>398</v>
      </c>
      <c r="K30" s="46">
        <v>1</v>
      </c>
      <c r="L30" s="55" t="s">
        <v>398</v>
      </c>
      <c r="M30" s="38">
        <f>_11・初任</f>
        <v>0.7</v>
      </c>
      <c r="N30" s="47">
        <f>ROUND((ROUND((ROUND((_11_A身体１．５*_11・基礎１),0)*_11・２人),0)*_11・初任),0)</f>
        <v>286</v>
      </c>
      <c r="O30" s="48"/>
    </row>
    <row r="31" spans="1:15" ht="16.5" customHeight="1" x14ac:dyDescent="0.15">
      <c r="A31" s="41">
        <v>11</v>
      </c>
      <c r="B31" s="41">
        <v>1123</v>
      </c>
      <c r="C31" s="42" t="s">
        <v>437</v>
      </c>
      <c r="D31" s="712" t="s">
        <v>438</v>
      </c>
      <c r="E31" s="708"/>
      <c r="F31" s="53"/>
      <c r="G31" s="49"/>
      <c r="H31" s="50"/>
      <c r="I31" s="44"/>
      <c r="J31" s="45"/>
      <c r="K31" s="46"/>
      <c r="L31" s="53"/>
      <c r="M31" s="49"/>
      <c r="N31" s="47">
        <f>_11_A身体２．０</f>
        <v>666</v>
      </c>
      <c r="O31" s="48"/>
    </row>
    <row r="32" spans="1:15" ht="16.5" customHeight="1" x14ac:dyDescent="0.15">
      <c r="A32" s="41">
        <v>11</v>
      </c>
      <c r="B32" s="41">
        <v>1124</v>
      </c>
      <c r="C32" s="42" t="s">
        <v>439</v>
      </c>
      <c r="D32" s="703"/>
      <c r="E32" s="704"/>
      <c r="F32" s="43"/>
      <c r="G32" s="37"/>
      <c r="H32" s="38"/>
      <c r="I32" s="44" t="s">
        <v>397</v>
      </c>
      <c r="J32" s="45" t="s">
        <v>398</v>
      </c>
      <c r="K32" s="46">
        <v>1</v>
      </c>
      <c r="L32" s="35"/>
      <c r="N32" s="47">
        <f>ROUND((_11_A身体２．０*_11・２人),0)</f>
        <v>666</v>
      </c>
      <c r="O32" s="48"/>
    </row>
    <row r="33" spans="1:15" ht="16.5" customHeight="1" x14ac:dyDescent="0.15">
      <c r="A33" s="41">
        <v>11</v>
      </c>
      <c r="B33" s="41">
        <v>1125</v>
      </c>
      <c r="C33" s="42" t="s">
        <v>440</v>
      </c>
      <c r="D33" s="703"/>
      <c r="E33" s="704"/>
      <c r="F33" s="710" t="s">
        <v>400</v>
      </c>
      <c r="G33" s="49" t="s">
        <v>398</v>
      </c>
      <c r="H33" s="50">
        <v>0.7</v>
      </c>
      <c r="I33" s="44"/>
      <c r="J33" s="45"/>
      <c r="K33" s="46"/>
      <c r="L33" s="35"/>
      <c r="N33" s="47">
        <f>ROUND((_11_A身体２．０*_11・基礎１),0)</f>
        <v>466</v>
      </c>
      <c r="O33" s="48"/>
    </row>
    <row r="34" spans="1:15" ht="16.5" customHeight="1" x14ac:dyDescent="0.15">
      <c r="A34" s="41">
        <v>11</v>
      </c>
      <c r="B34" s="41">
        <v>1126</v>
      </c>
      <c r="C34" s="42" t="s">
        <v>441</v>
      </c>
      <c r="D34" s="58">
        <f>_11_A身体２．０</f>
        <v>666</v>
      </c>
      <c r="E34" s="59" t="s">
        <v>392</v>
      </c>
      <c r="F34" s="711"/>
      <c r="G34" s="37"/>
      <c r="H34" s="38"/>
      <c r="I34" s="44" t="s">
        <v>397</v>
      </c>
      <c r="J34" s="45" t="s">
        <v>398</v>
      </c>
      <c r="K34" s="46">
        <v>1</v>
      </c>
      <c r="L34" s="43"/>
      <c r="M34" s="37"/>
      <c r="N34" s="47">
        <f>ROUND((ROUND((_11_A身体２．０*_11・基礎１),0)*_11・２人),0)</f>
        <v>466</v>
      </c>
      <c r="O34" s="48"/>
    </row>
    <row r="35" spans="1:15" ht="16.5" customHeight="1" x14ac:dyDescent="0.15">
      <c r="A35" s="41">
        <v>11</v>
      </c>
      <c r="B35" s="41" t="s">
        <v>442</v>
      </c>
      <c r="C35" s="42" t="s">
        <v>443</v>
      </c>
      <c r="D35" s="52"/>
      <c r="F35" s="53"/>
      <c r="G35" s="49"/>
      <c r="H35" s="50"/>
      <c r="I35" s="44"/>
      <c r="J35" s="45"/>
      <c r="K35" s="46"/>
      <c r="L35" s="707" t="s">
        <v>404</v>
      </c>
      <c r="M35" s="708"/>
      <c r="N35" s="47">
        <f>ROUND((_11_A身体２．０*_11・初任),0)</f>
        <v>466</v>
      </c>
      <c r="O35" s="48"/>
    </row>
    <row r="36" spans="1:15" ht="16.5" customHeight="1" x14ac:dyDescent="0.15">
      <c r="A36" s="41">
        <v>11</v>
      </c>
      <c r="B36" s="41" t="s">
        <v>444</v>
      </c>
      <c r="C36" s="42" t="s">
        <v>445</v>
      </c>
      <c r="D36" s="52"/>
      <c r="F36" s="43"/>
      <c r="G36" s="37"/>
      <c r="H36" s="38"/>
      <c r="I36" s="44" t="s">
        <v>397</v>
      </c>
      <c r="J36" s="45" t="s">
        <v>398</v>
      </c>
      <c r="K36" s="46">
        <v>1</v>
      </c>
      <c r="L36" s="709"/>
      <c r="M36" s="704"/>
      <c r="N36" s="47">
        <f>ROUND((ROUND((_11_A身体２．０*_11・２人),0)*_11・初任),0)</f>
        <v>466</v>
      </c>
      <c r="O36" s="48"/>
    </row>
    <row r="37" spans="1:15" ht="16.5" customHeight="1" x14ac:dyDescent="0.15">
      <c r="A37" s="41">
        <v>11</v>
      </c>
      <c r="B37" s="41" t="s">
        <v>446</v>
      </c>
      <c r="C37" s="42" t="s">
        <v>447</v>
      </c>
      <c r="D37" s="54"/>
      <c r="F37" s="710" t="s">
        <v>400</v>
      </c>
      <c r="G37" s="49" t="s">
        <v>398</v>
      </c>
      <c r="H37" s="50">
        <v>0.7</v>
      </c>
      <c r="I37" s="44"/>
      <c r="J37" s="45"/>
      <c r="K37" s="46"/>
      <c r="L37" s="709"/>
      <c r="M37" s="704"/>
      <c r="N37" s="47">
        <f>ROUND((ROUND((_11_A身体２．０*_11・基礎１),0)*_11・初任),0)</f>
        <v>326</v>
      </c>
      <c r="O37" s="48"/>
    </row>
    <row r="38" spans="1:15" ht="16.5" customHeight="1" x14ac:dyDescent="0.15">
      <c r="A38" s="41">
        <v>11</v>
      </c>
      <c r="B38" s="41" t="s">
        <v>448</v>
      </c>
      <c r="C38" s="42" t="s">
        <v>449</v>
      </c>
      <c r="D38" s="54"/>
      <c r="F38" s="711"/>
      <c r="G38" s="37"/>
      <c r="H38" s="38"/>
      <c r="I38" s="44" t="s">
        <v>397</v>
      </c>
      <c r="J38" s="45" t="s">
        <v>398</v>
      </c>
      <c r="K38" s="46">
        <v>1</v>
      </c>
      <c r="L38" s="55" t="s">
        <v>398</v>
      </c>
      <c r="M38" s="38">
        <f>_11・初任</f>
        <v>0.7</v>
      </c>
      <c r="N38" s="47">
        <f>ROUND((ROUND((ROUND((_11_A身体２．０*_11・基礎１),0)*_11・２人),0)*_11・初任),0)</f>
        <v>326</v>
      </c>
      <c r="O38" s="48"/>
    </row>
    <row r="39" spans="1:15" ht="16.5" customHeight="1" x14ac:dyDescent="0.15">
      <c r="A39" s="41">
        <v>11</v>
      </c>
      <c r="B39" s="41">
        <v>1127</v>
      </c>
      <c r="C39" s="42" t="s">
        <v>450</v>
      </c>
      <c r="D39" s="712" t="s">
        <v>451</v>
      </c>
      <c r="E39" s="708"/>
      <c r="F39" s="53"/>
      <c r="G39" s="49"/>
      <c r="H39" s="50"/>
      <c r="I39" s="44"/>
      <c r="J39" s="45"/>
      <c r="K39" s="46"/>
      <c r="L39" s="53"/>
      <c r="M39" s="49"/>
      <c r="N39" s="47">
        <f>_11_A身体２．５</f>
        <v>750</v>
      </c>
      <c r="O39" s="48"/>
    </row>
    <row r="40" spans="1:15" ht="16.5" customHeight="1" x14ac:dyDescent="0.15">
      <c r="A40" s="41">
        <v>11</v>
      </c>
      <c r="B40" s="41">
        <v>1128</v>
      </c>
      <c r="C40" s="42" t="s">
        <v>452</v>
      </c>
      <c r="D40" s="703"/>
      <c r="E40" s="704"/>
      <c r="F40" s="43"/>
      <c r="G40" s="37"/>
      <c r="H40" s="38"/>
      <c r="I40" s="44" t="s">
        <v>397</v>
      </c>
      <c r="J40" s="45" t="s">
        <v>398</v>
      </c>
      <c r="K40" s="46">
        <v>1</v>
      </c>
      <c r="L40" s="35"/>
      <c r="N40" s="47">
        <f>ROUND((_11_A身体２．５*_11・２人),0)</f>
        <v>750</v>
      </c>
      <c r="O40" s="48"/>
    </row>
    <row r="41" spans="1:15" ht="16.5" customHeight="1" x14ac:dyDescent="0.15">
      <c r="A41" s="41">
        <v>11</v>
      </c>
      <c r="B41" s="41">
        <v>1129</v>
      </c>
      <c r="C41" s="42" t="s">
        <v>453</v>
      </c>
      <c r="D41" s="703"/>
      <c r="E41" s="704"/>
      <c r="F41" s="710" t="s">
        <v>400</v>
      </c>
      <c r="G41" s="49" t="s">
        <v>398</v>
      </c>
      <c r="H41" s="50">
        <v>0.7</v>
      </c>
      <c r="I41" s="44"/>
      <c r="J41" s="45"/>
      <c r="K41" s="46"/>
      <c r="L41" s="35"/>
      <c r="N41" s="47">
        <f>ROUND((_11_A身体２．５*_11・基礎１),0)</f>
        <v>525</v>
      </c>
      <c r="O41" s="48"/>
    </row>
    <row r="42" spans="1:15" ht="16.5" customHeight="1" x14ac:dyDescent="0.15">
      <c r="A42" s="41">
        <v>11</v>
      </c>
      <c r="B42" s="41">
        <v>1130</v>
      </c>
      <c r="C42" s="42" t="s">
        <v>454</v>
      </c>
      <c r="D42" s="51">
        <f>_11_A身体２．５</f>
        <v>750</v>
      </c>
      <c r="E42" s="12" t="s">
        <v>392</v>
      </c>
      <c r="F42" s="711"/>
      <c r="G42" s="37"/>
      <c r="H42" s="38"/>
      <c r="I42" s="44" t="s">
        <v>397</v>
      </c>
      <c r="J42" s="45" t="s">
        <v>398</v>
      </c>
      <c r="K42" s="46">
        <v>1</v>
      </c>
      <c r="L42" s="43"/>
      <c r="M42" s="37"/>
      <c r="N42" s="47">
        <f>ROUND((ROUND((_11_A身体２．５*_11・基礎１),0)*_11・２人),0)</f>
        <v>525</v>
      </c>
      <c r="O42" s="48"/>
    </row>
    <row r="43" spans="1:15" ht="16.5" customHeight="1" x14ac:dyDescent="0.15">
      <c r="A43" s="41">
        <v>11</v>
      </c>
      <c r="B43" s="41" t="s">
        <v>455</v>
      </c>
      <c r="C43" s="42" t="s">
        <v>456</v>
      </c>
      <c r="D43" s="52"/>
      <c r="F43" s="53"/>
      <c r="G43" s="49"/>
      <c r="H43" s="50"/>
      <c r="I43" s="44"/>
      <c r="J43" s="45"/>
      <c r="K43" s="46"/>
      <c r="L43" s="707" t="s">
        <v>404</v>
      </c>
      <c r="M43" s="708"/>
      <c r="N43" s="47">
        <f>ROUND((_11_A身体２．５*_11・初任),0)</f>
        <v>525</v>
      </c>
      <c r="O43" s="48"/>
    </row>
    <row r="44" spans="1:15" ht="16.5" customHeight="1" x14ac:dyDescent="0.15">
      <c r="A44" s="41">
        <v>11</v>
      </c>
      <c r="B44" s="41" t="s">
        <v>457</v>
      </c>
      <c r="C44" s="42" t="s">
        <v>458</v>
      </c>
      <c r="D44" s="52"/>
      <c r="F44" s="43"/>
      <c r="G44" s="37"/>
      <c r="H44" s="38"/>
      <c r="I44" s="44" t="s">
        <v>397</v>
      </c>
      <c r="J44" s="45" t="s">
        <v>398</v>
      </c>
      <c r="K44" s="46">
        <v>1</v>
      </c>
      <c r="L44" s="709"/>
      <c r="M44" s="704"/>
      <c r="N44" s="47">
        <f>ROUND((ROUND((_11_A身体２．５*_11・２人),0)*_11・初任),0)</f>
        <v>525</v>
      </c>
      <c r="O44" s="48"/>
    </row>
    <row r="45" spans="1:15" ht="16.5" customHeight="1" x14ac:dyDescent="0.15">
      <c r="A45" s="41">
        <v>11</v>
      </c>
      <c r="B45" s="41" t="s">
        <v>459</v>
      </c>
      <c r="C45" s="42" t="s">
        <v>460</v>
      </c>
      <c r="D45" s="54"/>
      <c r="F45" s="710" t="s">
        <v>400</v>
      </c>
      <c r="G45" s="49" t="s">
        <v>398</v>
      </c>
      <c r="H45" s="50">
        <v>0.7</v>
      </c>
      <c r="I45" s="44"/>
      <c r="J45" s="45"/>
      <c r="K45" s="46"/>
      <c r="L45" s="709"/>
      <c r="M45" s="704"/>
      <c r="N45" s="47">
        <f>ROUND((ROUND((_11_A身体２．５*_11・基礎１),0)*_11・初任),0)</f>
        <v>368</v>
      </c>
      <c r="O45" s="48"/>
    </row>
    <row r="46" spans="1:15" ht="16.5" customHeight="1" x14ac:dyDescent="0.15">
      <c r="A46" s="41">
        <v>11</v>
      </c>
      <c r="B46" s="41" t="s">
        <v>461</v>
      </c>
      <c r="C46" s="42" t="s">
        <v>462</v>
      </c>
      <c r="D46" s="54"/>
      <c r="F46" s="711"/>
      <c r="G46" s="37"/>
      <c r="H46" s="38"/>
      <c r="I46" s="44" t="s">
        <v>397</v>
      </c>
      <c r="J46" s="45" t="s">
        <v>398</v>
      </c>
      <c r="K46" s="46">
        <v>1</v>
      </c>
      <c r="L46" s="55" t="s">
        <v>398</v>
      </c>
      <c r="M46" s="38">
        <f>_11・初任</f>
        <v>0.7</v>
      </c>
      <c r="N46" s="47">
        <f>ROUND((ROUND((ROUND((_11_A身体２．５*_11・基礎１),0)*_11・２人),0)*_11・初任),0)</f>
        <v>368</v>
      </c>
      <c r="O46" s="48"/>
    </row>
    <row r="47" spans="1:15" ht="16.5" customHeight="1" x14ac:dyDescent="0.15">
      <c r="A47" s="41">
        <v>11</v>
      </c>
      <c r="B47" s="41">
        <v>1131</v>
      </c>
      <c r="C47" s="42" t="s">
        <v>463</v>
      </c>
      <c r="D47" s="712" t="s">
        <v>464</v>
      </c>
      <c r="E47" s="708"/>
      <c r="F47" s="53"/>
      <c r="G47" s="49"/>
      <c r="H47" s="50"/>
      <c r="I47" s="44"/>
      <c r="J47" s="45"/>
      <c r="K47" s="46"/>
      <c r="L47" s="53"/>
      <c r="M47" s="49"/>
      <c r="N47" s="47">
        <f>_11_A身体３．０</f>
        <v>833</v>
      </c>
      <c r="O47" s="48"/>
    </row>
    <row r="48" spans="1:15" ht="16.5" customHeight="1" x14ac:dyDescent="0.15">
      <c r="A48" s="41">
        <v>11</v>
      </c>
      <c r="B48" s="41">
        <v>1132</v>
      </c>
      <c r="C48" s="42" t="s">
        <v>465</v>
      </c>
      <c r="D48" s="703"/>
      <c r="E48" s="704"/>
      <c r="F48" s="43"/>
      <c r="G48" s="37"/>
      <c r="H48" s="38"/>
      <c r="I48" s="44" t="s">
        <v>397</v>
      </c>
      <c r="J48" s="45" t="s">
        <v>398</v>
      </c>
      <c r="K48" s="46">
        <v>1</v>
      </c>
      <c r="L48" s="35"/>
      <c r="N48" s="47">
        <f>ROUND((_11_A身体３．０*_11・２人),0)</f>
        <v>833</v>
      </c>
      <c r="O48" s="48"/>
    </row>
    <row r="49" spans="1:15" ht="16.5" customHeight="1" x14ac:dyDescent="0.15">
      <c r="A49" s="41">
        <v>11</v>
      </c>
      <c r="B49" s="41">
        <v>1133</v>
      </c>
      <c r="C49" s="42" t="s">
        <v>466</v>
      </c>
      <c r="D49" s="703"/>
      <c r="E49" s="704"/>
      <c r="F49" s="710" t="s">
        <v>400</v>
      </c>
      <c r="G49" s="49" t="s">
        <v>398</v>
      </c>
      <c r="H49" s="50">
        <v>0.7</v>
      </c>
      <c r="I49" s="44"/>
      <c r="J49" s="45"/>
      <c r="K49" s="46"/>
      <c r="L49" s="35"/>
      <c r="N49" s="47">
        <f>ROUND((_11_A身体３．０*_11・基礎１),0)</f>
        <v>583</v>
      </c>
      <c r="O49" s="48"/>
    </row>
    <row r="50" spans="1:15" ht="16.5" customHeight="1" x14ac:dyDescent="0.15">
      <c r="A50" s="41">
        <v>11</v>
      </c>
      <c r="B50" s="41">
        <v>1134</v>
      </c>
      <c r="C50" s="42" t="s">
        <v>467</v>
      </c>
      <c r="D50" s="51">
        <f>_11_A身体３．０</f>
        <v>833</v>
      </c>
      <c r="E50" s="12" t="s">
        <v>392</v>
      </c>
      <c r="F50" s="711"/>
      <c r="G50" s="37"/>
      <c r="H50" s="38"/>
      <c r="I50" s="44" t="s">
        <v>397</v>
      </c>
      <c r="J50" s="45" t="s">
        <v>398</v>
      </c>
      <c r="K50" s="46">
        <v>1</v>
      </c>
      <c r="L50" s="43"/>
      <c r="M50" s="37"/>
      <c r="N50" s="47">
        <f>ROUND((ROUND((_11_A身体３．０*_11・基礎１),0)*_11・２人),0)</f>
        <v>583</v>
      </c>
      <c r="O50" s="48"/>
    </row>
    <row r="51" spans="1:15" ht="16.5" customHeight="1" x14ac:dyDescent="0.15">
      <c r="A51" s="41">
        <v>11</v>
      </c>
      <c r="B51" s="41" t="s">
        <v>468</v>
      </c>
      <c r="C51" s="42" t="s">
        <v>469</v>
      </c>
      <c r="D51" s="52"/>
      <c r="F51" s="53"/>
      <c r="G51" s="49"/>
      <c r="H51" s="50"/>
      <c r="I51" s="44"/>
      <c r="J51" s="45"/>
      <c r="K51" s="46"/>
      <c r="L51" s="707" t="s">
        <v>404</v>
      </c>
      <c r="M51" s="708"/>
      <c r="N51" s="47">
        <f>ROUND((_11_A身体３．０*_11・初任),0)</f>
        <v>583</v>
      </c>
      <c r="O51" s="48"/>
    </row>
    <row r="52" spans="1:15" ht="16.5" customHeight="1" x14ac:dyDescent="0.15">
      <c r="A52" s="41">
        <v>11</v>
      </c>
      <c r="B52" s="41" t="s">
        <v>470</v>
      </c>
      <c r="C52" s="42" t="s">
        <v>471</v>
      </c>
      <c r="D52" s="52"/>
      <c r="F52" s="43"/>
      <c r="G52" s="37"/>
      <c r="H52" s="38"/>
      <c r="I52" s="44" t="s">
        <v>397</v>
      </c>
      <c r="J52" s="45" t="s">
        <v>398</v>
      </c>
      <c r="K52" s="46">
        <v>1</v>
      </c>
      <c r="L52" s="709"/>
      <c r="M52" s="704"/>
      <c r="N52" s="47">
        <f>ROUND((ROUND((_11_A身体３．０*_11・２人),0)*_11・初任),0)</f>
        <v>583</v>
      </c>
      <c r="O52" s="48"/>
    </row>
    <row r="53" spans="1:15" ht="16.5" customHeight="1" x14ac:dyDescent="0.15">
      <c r="A53" s="41">
        <v>11</v>
      </c>
      <c r="B53" s="41" t="s">
        <v>472</v>
      </c>
      <c r="C53" s="42" t="s">
        <v>473</v>
      </c>
      <c r="D53" s="54"/>
      <c r="F53" s="710" t="s">
        <v>400</v>
      </c>
      <c r="G53" s="49" t="s">
        <v>398</v>
      </c>
      <c r="H53" s="50">
        <v>0.7</v>
      </c>
      <c r="I53" s="44"/>
      <c r="J53" s="45"/>
      <c r="K53" s="46"/>
      <c r="L53" s="709"/>
      <c r="M53" s="704"/>
      <c r="N53" s="47">
        <f>ROUND((ROUND((_11_A身体３．０*_11・基礎１),0)*_11・初任),0)</f>
        <v>408</v>
      </c>
      <c r="O53" s="48"/>
    </row>
    <row r="54" spans="1:15" ht="16.5" customHeight="1" x14ac:dyDescent="0.15">
      <c r="A54" s="41">
        <v>11</v>
      </c>
      <c r="B54" s="41" t="s">
        <v>474</v>
      </c>
      <c r="C54" s="42" t="s">
        <v>475</v>
      </c>
      <c r="D54" s="54"/>
      <c r="F54" s="711"/>
      <c r="G54" s="37"/>
      <c r="H54" s="38"/>
      <c r="I54" s="44" t="s">
        <v>397</v>
      </c>
      <c r="J54" s="45" t="s">
        <v>398</v>
      </c>
      <c r="K54" s="46">
        <v>1</v>
      </c>
      <c r="L54" s="55" t="s">
        <v>398</v>
      </c>
      <c r="M54" s="38">
        <f>_11・初任</f>
        <v>0.7</v>
      </c>
      <c r="N54" s="47">
        <f>ROUND((ROUND((ROUND((_11_A身体３．０*_11・基礎１),0)*_11・２人),0)*_11・初任),0)</f>
        <v>408</v>
      </c>
      <c r="O54" s="48"/>
    </row>
    <row r="55" spans="1:15" ht="16.5" customHeight="1" x14ac:dyDescent="0.15">
      <c r="A55" s="41">
        <v>11</v>
      </c>
      <c r="B55" s="41">
        <v>1135</v>
      </c>
      <c r="C55" s="42" t="s">
        <v>476</v>
      </c>
      <c r="D55" s="712" t="s">
        <v>477</v>
      </c>
      <c r="E55" s="708"/>
      <c r="F55" s="53"/>
      <c r="G55" s="49"/>
      <c r="H55" s="50"/>
      <c r="I55" s="44"/>
      <c r="J55" s="45"/>
      <c r="K55" s="46"/>
      <c r="L55" s="53"/>
      <c r="M55" s="49"/>
      <c r="N55" s="47">
        <f>_11_A身体３．５</f>
        <v>916</v>
      </c>
      <c r="O55" s="48"/>
    </row>
    <row r="56" spans="1:15" ht="16.5" customHeight="1" x14ac:dyDescent="0.15">
      <c r="A56" s="41">
        <v>11</v>
      </c>
      <c r="B56" s="41">
        <v>1136</v>
      </c>
      <c r="C56" s="42" t="s">
        <v>478</v>
      </c>
      <c r="D56" s="703"/>
      <c r="E56" s="704"/>
      <c r="F56" s="43"/>
      <c r="G56" s="37"/>
      <c r="H56" s="38"/>
      <c r="I56" s="44" t="s">
        <v>397</v>
      </c>
      <c r="J56" s="45" t="s">
        <v>398</v>
      </c>
      <c r="K56" s="46">
        <v>1</v>
      </c>
      <c r="L56" s="35"/>
      <c r="N56" s="47">
        <f>ROUND((_11_A身体３．５*_11・２人),0)</f>
        <v>916</v>
      </c>
      <c r="O56" s="48"/>
    </row>
    <row r="57" spans="1:15" ht="16.5" customHeight="1" x14ac:dyDescent="0.15">
      <c r="A57" s="41">
        <v>11</v>
      </c>
      <c r="B57" s="41">
        <v>1137</v>
      </c>
      <c r="C57" s="42" t="s">
        <v>479</v>
      </c>
      <c r="D57" s="703"/>
      <c r="E57" s="704"/>
      <c r="F57" s="710" t="s">
        <v>400</v>
      </c>
      <c r="G57" s="49" t="s">
        <v>398</v>
      </c>
      <c r="H57" s="50">
        <v>0.7</v>
      </c>
      <c r="I57" s="44"/>
      <c r="J57" s="45"/>
      <c r="K57" s="46"/>
      <c r="L57" s="35"/>
      <c r="N57" s="47">
        <f>ROUND((_11_A身体３．５*_11・基礎１),0)</f>
        <v>641</v>
      </c>
      <c r="O57" s="48"/>
    </row>
    <row r="58" spans="1:15" ht="16.5" customHeight="1" x14ac:dyDescent="0.15">
      <c r="A58" s="41">
        <v>11</v>
      </c>
      <c r="B58" s="41">
        <v>1138</v>
      </c>
      <c r="C58" s="42" t="s">
        <v>480</v>
      </c>
      <c r="D58" s="60">
        <f>_11_A身体３．５</f>
        <v>916</v>
      </c>
      <c r="E58" s="12" t="s">
        <v>392</v>
      </c>
      <c r="F58" s="711"/>
      <c r="G58" s="37"/>
      <c r="H58" s="38"/>
      <c r="I58" s="44" t="s">
        <v>397</v>
      </c>
      <c r="J58" s="45" t="s">
        <v>398</v>
      </c>
      <c r="K58" s="46">
        <v>1</v>
      </c>
      <c r="L58" s="43"/>
      <c r="M58" s="37"/>
      <c r="N58" s="47">
        <f>ROUND((ROUND((_11_A身体３．５*_11・基礎１),0)*_11・２人),0)</f>
        <v>641</v>
      </c>
      <c r="O58" s="48"/>
    </row>
    <row r="59" spans="1:15" ht="16.5" customHeight="1" x14ac:dyDescent="0.15">
      <c r="A59" s="41">
        <v>11</v>
      </c>
      <c r="B59" s="41" t="s">
        <v>481</v>
      </c>
      <c r="C59" s="42" t="s">
        <v>482</v>
      </c>
      <c r="D59" s="52"/>
      <c r="F59" s="53"/>
      <c r="G59" s="49"/>
      <c r="H59" s="50"/>
      <c r="I59" s="44"/>
      <c r="J59" s="45"/>
      <c r="K59" s="46"/>
      <c r="L59" s="707" t="s">
        <v>404</v>
      </c>
      <c r="M59" s="708"/>
      <c r="N59" s="47">
        <f>ROUND((_11_A身体３．５*_11・初任),0)</f>
        <v>641</v>
      </c>
      <c r="O59" s="48"/>
    </row>
    <row r="60" spans="1:15" ht="16.5" customHeight="1" x14ac:dyDescent="0.15">
      <c r="A60" s="41">
        <v>11</v>
      </c>
      <c r="B60" s="41" t="s">
        <v>483</v>
      </c>
      <c r="C60" s="42" t="s">
        <v>484</v>
      </c>
      <c r="D60" s="52"/>
      <c r="F60" s="43"/>
      <c r="G60" s="37"/>
      <c r="H60" s="38"/>
      <c r="I60" s="44" t="s">
        <v>397</v>
      </c>
      <c r="J60" s="45" t="s">
        <v>398</v>
      </c>
      <c r="K60" s="46">
        <v>1</v>
      </c>
      <c r="L60" s="709"/>
      <c r="M60" s="704"/>
      <c r="N60" s="47">
        <f>ROUND((ROUND((_11_A身体３．５*_11・２人),0)*_11・初任),0)</f>
        <v>641</v>
      </c>
      <c r="O60" s="48"/>
    </row>
    <row r="61" spans="1:15" ht="16.5" customHeight="1" x14ac:dyDescent="0.15">
      <c r="A61" s="41">
        <v>11</v>
      </c>
      <c r="B61" s="41" t="s">
        <v>485</v>
      </c>
      <c r="C61" s="42" t="s">
        <v>486</v>
      </c>
      <c r="D61" s="54"/>
      <c r="F61" s="710" t="s">
        <v>400</v>
      </c>
      <c r="G61" s="49" t="s">
        <v>398</v>
      </c>
      <c r="H61" s="50">
        <v>0.7</v>
      </c>
      <c r="I61" s="44"/>
      <c r="J61" s="45"/>
      <c r="K61" s="46"/>
      <c r="L61" s="709"/>
      <c r="M61" s="704"/>
      <c r="N61" s="47">
        <f>ROUND((ROUND((_11_A身体３．５*_11・基礎１),0)*_11・初任),0)</f>
        <v>449</v>
      </c>
      <c r="O61" s="48"/>
    </row>
    <row r="62" spans="1:15" ht="16.5" customHeight="1" x14ac:dyDescent="0.15">
      <c r="A62" s="41">
        <v>11</v>
      </c>
      <c r="B62" s="41" t="s">
        <v>487</v>
      </c>
      <c r="C62" s="42" t="s">
        <v>488</v>
      </c>
      <c r="D62" s="54"/>
      <c r="F62" s="711"/>
      <c r="G62" s="37"/>
      <c r="H62" s="38"/>
      <c r="I62" s="44" t="s">
        <v>397</v>
      </c>
      <c r="J62" s="45" t="s">
        <v>398</v>
      </c>
      <c r="K62" s="46">
        <v>1</v>
      </c>
      <c r="L62" s="55" t="s">
        <v>398</v>
      </c>
      <c r="M62" s="38">
        <f>_11・初任</f>
        <v>0.7</v>
      </c>
      <c r="N62" s="47">
        <f>ROUND((ROUND((ROUND((_11_A身体３．５*_11・基礎１),0)*_11・２人),0)*_11・初任),0)</f>
        <v>449</v>
      </c>
      <c r="O62" s="48"/>
    </row>
    <row r="63" spans="1:15" ht="16.5" customHeight="1" x14ac:dyDescent="0.15">
      <c r="A63" s="41">
        <v>11</v>
      </c>
      <c r="B63" s="41">
        <v>1139</v>
      </c>
      <c r="C63" s="42" t="s">
        <v>489</v>
      </c>
      <c r="D63" s="712" t="s">
        <v>490</v>
      </c>
      <c r="E63" s="708"/>
      <c r="F63" s="53"/>
      <c r="G63" s="49"/>
      <c r="H63" s="50"/>
      <c r="I63" s="44"/>
      <c r="J63" s="45"/>
      <c r="K63" s="46"/>
      <c r="L63" s="53"/>
      <c r="M63" s="49"/>
      <c r="N63" s="47">
        <f>_11_A身体４．０</f>
        <v>999</v>
      </c>
      <c r="O63" s="48"/>
    </row>
    <row r="64" spans="1:15" ht="16.5" customHeight="1" x14ac:dyDescent="0.15">
      <c r="A64" s="41">
        <v>11</v>
      </c>
      <c r="B64" s="41">
        <v>1140</v>
      </c>
      <c r="C64" s="42" t="s">
        <v>491</v>
      </c>
      <c r="D64" s="703"/>
      <c r="E64" s="704"/>
      <c r="F64" s="43"/>
      <c r="G64" s="37"/>
      <c r="H64" s="38"/>
      <c r="I64" s="44" t="s">
        <v>397</v>
      </c>
      <c r="J64" s="45" t="s">
        <v>398</v>
      </c>
      <c r="K64" s="46">
        <v>1</v>
      </c>
      <c r="L64" s="35"/>
      <c r="N64" s="47">
        <f>ROUND((_11_A身体４．０*_11・２人),0)</f>
        <v>999</v>
      </c>
      <c r="O64" s="48"/>
    </row>
    <row r="65" spans="1:15" ht="16.5" customHeight="1" x14ac:dyDescent="0.15">
      <c r="A65" s="41">
        <v>11</v>
      </c>
      <c r="B65" s="41">
        <v>1141</v>
      </c>
      <c r="C65" s="42" t="s">
        <v>492</v>
      </c>
      <c r="D65" s="703"/>
      <c r="E65" s="704"/>
      <c r="F65" s="710" t="s">
        <v>400</v>
      </c>
      <c r="G65" s="49" t="s">
        <v>398</v>
      </c>
      <c r="H65" s="50">
        <v>0.7</v>
      </c>
      <c r="I65" s="44"/>
      <c r="J65" s="45"/>
      <c r="K65" s="46"/>
      <c r="L65" s="35"/>
      <c r="N65" s="47">
        <f>ROUND((_11_A身体４．０*_11・基礎１),0)</f>
        <v>699</v>
      </c>
      <c r="O65" s="48"/>
    </row>
    <row r="66" spans="1:15" ht="16.5" customHeight="1" x14ac:dyDescent="0.15">
      <c r="A66" s="41">
        <v>11</v>
      </c>
      <c r="B66" s="41">
        <v>1142</v>
      </c>
      <c r="C66" s="42" t="s">
        <v>493</v>
      </c>
      <c r="D66" s="51">
        <f>_11_A身体４．０</f>
        <v>999</v>
      </c>
      <c r="E66" s="12" t="s">
        <v>392</v>
      </c>
      <c r="F66" s="711"/>
      <c r="G66" s="37"/>
      <c r="H66" s="38"/>
      <c r="I66" s="44" t="s">
        <v>397</v>
      </c>
      <c r="J66" s="45" t="s">
        <v>398</v>
      </c>
      <c r="K66" s="46">
        <v>1</v>
      </c>
      <c r="L66" s="43"/>
      <c r="M66" s="37"/>
      <c r="N66" s="47">
        <f>ROUND((ROUND((_11_A身体４．０*_11・基礎１),0)*_11・２人),0)</f>
        <v>699</v>
      </c>
      <c r="O66" s="48"/>
    </row>
    <row r="67" spans="1:15" ht="16.5" customHeight="1" x14ac:dyDescent="0.15">
      <c r="A67" s="41">
        <v>11</v>
      </c>
      <c r="B67" s="41" t="s">
        <v>494</v>
      </c>
      <c r="C67" s="42" t="s">
        <v>495</v>
      </c>
      <c r="D67" s="61"/>
      <c r="F67" s="53"/>
      <c r="G67" s="49"/>
      <c r="H67" s="50"/>
      <c r="I67" s="44"/>
      <c r="J67" s="45"/>
      <c r="K67" s="46"/>
      <c r="L67" s="707" t="s">
        <v>404</v>
      </c>
      <c r="M67" s="708"/>
      <c r="N67" s="47">
        <f>ROUND((_11_A身体４．０*_11・初任),0)</f>
        <v>699</v>
      </c>
      <c r="O67" s="48"/>
    </row>
    <row r="68" spans="1:15" ht="16.5" customHeight="1" x14ac:dyDescent="0.15">
      <c r="A68" s="41">
        <v>11</v>
      </c>
      <c r="B68" s="41" t="s">
        <v>496</v>
      </c>
      <c r="C68" s="42" t="s">
        <v>497</v>
      </c>
      <c r="D68" s="52"/>
      <c r="F68" s="43"/>
      <c r="G68" s="37"/>
      <c r="H68" s="38"/>
      <c r="I68" s="44" t="s">
        <v>397</v>
      </c>
      <c r="J68" s="45" t="s">
        <v>398</v>
      </c>
      <c r="K68" s="46">
        <v>1</v>
      </c>
      <c r="L68" s="709"/>
      <c r="M68" s="704"/>
      <c r="N68" s="47">
        <f>ROUND((ROUND((_11_A身体４．０*_11・２人),0)*_11・初任),0)</f>
        <v>699</v>
      </c>
      <c r="O68" s="48"/>
    </row>
    <row r="69" spans="1:15" ht="16.5" customHeight="1" x14ac:dyDescent="0.15">
      <c r="A69" s="41">
        <v>11</v>
      </c>
      <c r="B69" s="41" t="s">
        <v>498</v>
      </c>
      <c r="C69" s="42" t="s">
        <v>499</v>
      </c>
      <c r="D69" s="54"/>
      <c r="F69" s="710" t="s">
        <v>400</v>
      </c>
      <c r="G69" s="49" t="s">
        <v>398</v>
      </c>
      <c r="H69" s="50">
        <v>0.7</v>
      </c>
      <c r="I69" s="44"/>
      <c r="J69" s="45"/>
      <c r="K69" s="46"/>
      <c r="L69" s="709"/>
      <c r="M69" s="704"/>
      <c r="N69" s="47">
        <f>ROUND((ROUND((_11_A身体４．０*_11・基礎１),0)*_11・初任),0)</f>
        <v>489</v>
      </c>
      <c r="O69" s="48"/>
    </row>
    <row r="70" spans="1:15" ht="16.5" customHeight="1" x14ac:dyDescent="0.15">
      <c r="A70" s="41">
        <v>11</v>
      </c>
      <c r="B70" s="41" t="s">
        <v>500</v>
      </c>
      <c r="C70" s="42" t="s">
        <v>501</v>
      </c>
      <c r="D70" s="62"/>
      <c r="E70" s="37"/>
      <c r="F70" s="711"/>
      <c r="G70" s="37"/>
      <c r="H70" s="38"/>
      <c r="I70" s="44" t="s">
        <v>397</v>
      </c>
      <c r="J70" s="45" t="s">
        <v>398</v>
      </c>
      <c r="K70" s="46">
        <v>1</v>
      </c>
      <c r="L70" s="55" t="s">
        <v>398</v>
      </c>
      <c r="M70" s="38">
        <f>_11・初任</f>
        <v>0.7</v>
      </c>
      <c r="N70" s="47">
        <f>ROUND((ROUND((ROUND((_11_A身体４．０*_11・基礎１),0)*_11・２人),0)*_11・初任),0)</f>
        <v>489</v>
      </c>
      <c r="O70" s="63"/>
    </row>
    <row r="71" spans="1:15" ht="16.5" customHeight="1" x14ac:dyDescent="0.15">
      <c r="A71" s="41">
        <v>11</v>
      </c>
      <c r="B71" s="41">
        <v>1143</v>
      </c>
      <c r="C71" s="42" t="s">
        <v>502</v>
      </c>
      <c r="D71" s="712" t="s">
        <v>503</v>
      </c>
      <c r="E71" s="708"/>
      <c r="F71" s="53"/>
      <c r="G71" s="49"/>
      <c r="H71" s="50"/>
      <c r="I71" s="44"/>
      <c r="J71" s="45"/>
      <c r="K71" s="46"/>
      <c r="L71" s="53"/>
      <c r="M71" s="49"/>
      <c r="N71" s="47">
        <f>_11_A身体４．５</f>
        <v>1082</v>
      </c>
      <c r="O71" s="64"/>
    </row>
    <row r="72" spans="1:15" ht="16.5" customHeight="1" x14ac:dyDescent="0.15">
      <c r="A72" s="41">
        <v>11</v>
      </c>
      <c r="B72" s="41">
        <v>1144</v>
      </c>
      <c r="C72" s="42" t="s">
        <v>504</v>
      </c>
      <c r="D72" s="703"/>
      <c r="E72" s="704"/>
      <c r="F72" s="43"/>
      <c r="G72" s="37"/>
      <c r="H72" s="38"/>
      <c r="I72" s="44" t="s">
        <v>397</v>
      </c>
      <c r="J72" s="45" t="s">
        <v>398</v>
      </c>
      <c r="K72" s="46">
        <v>1</v>
      </c>
      <c r="L72" s="35"/>
      <c r="N72" s="47">
        <f>ROUND((_11_A身体４．５*_11・２人),0)</f>
        <v>1082</v>
      </c>
      <c r="O72" s="48"/>
    </row>
    <row r="73" spans="1:15" ht="16.5" customHeight="1" x14ac:dyDescent="0.15">
      <c r="A73" s="41">
        <v>11</v>
      </c>
      <c r="B73" s="41">
        <v>1145</v>
      </c>
      <c r="C73" s="42" t="s">
        <v>505</v>
      </c>
      <c r="D73" s="703"/>
      <c r="E73" s="704"/>
      <c r="F73" s="710" t="s">
        <v>400</v>
      </c>
      <c r="G73" s="49" t="s">
        <v>398</v>
      </c>
      <c r="H73" s="50">
        <v>0.7</v>
      </c>
      <c r="I73" s="44"/>
      <c r="J73" s="45"/>
      <c r="K73" s="46"/>
      <c r="L73" s="35"/>
      <c r="N73" s="47">
        <f>ROUND((_11_A身体４．５*_11・基礎１),0)</f>
        <v>757</v>
      </c>
      <c r="O73" s="48"/>
    </row>
    <row r="74" spans="1:15" ht="16.5" customHeight="1" x14ac:dyDescent="0.15">
      <c r="A74" s="41">
        <v>11</v>
      </c>
      <c r="B74" s="41">
        <v>1146</v>
      </c>
      <c r="C74" s="42" t="s">
        <v>506</v>
      </c>
      <c r="D74" s="51">
        <f>_11_A身体４．５</f>
        <v>1082</v>
      </c>
      <c r="E74" s="12" t="s">
        <v>392</v>
      </c>
      <c r="F74" s="711"/>
      <c r="G74" s="37"/>
      <c r="H74" s="38"/>
      <c r="I74" s="44" t="s">
        <v>397</v>
      </c>
      <c r="J74" s="45" t="s">
        <v>398</v>
      </c>
      <c r="K74" s="46">
        <v>1</v>
      </c>
      <c r="L74" s="43"/>
      <c r="M74" s="37"/>
      <c r="N74" s="47">
        <f>ROUND((ROUND((_11_A身体４．５*_11・基礎１),0)*_11・２人),0)</f>
        <v>757</v>
      </c>
      <c r="O74" s="48"/>
    </row>
    <row r="75" spans="1:15" ht="16.5" customHeight="1" x14ac:dyDescent="0.15">
      <c r="A75" s="41">
        <v>11</v>
      </c>
      <c r="B75" s="41" t="s">
        <v>507</v>
      </c>
      <c r="C75" s="42" t="s">
        <v>508</v>
      </c>
      <c r="D75" s="52"/>
      <c r="F75" s="53"/>
      <c r="G75" s="49"/>
      <c r="H75" s="50"/>
      <c r="I75" s="44"/>
      <c r="J75" s="45"/>
      <c r="K75" s="46"/>
      <c r="L75" s="707" t="s">
        <v>404</v>
      </c>
      <c r="M75" s="708"/>
      <c r="N75" s="47">
        <f>ROUND((_11_A身体４．５*_11・初任),0)</f>
        <v>757</v>
      </c>
      <c r="O75" s="48"/>
    </row>
    <row r="76" spans="1:15" ht="16.5" customHeight="1" x14ac:dyDescent="0.15">
      <c r="A76" s="41">
        <v>11</v>
      </c>
      <c r="B76" s="41" t="s">
        <v>509</v>
      </c>
      <c r="C76" s="42" t="s">
        <v>510</v>
      </c>
      <c r="D76" s="52"/>
      <c r="F76" s="43"/>
      <c r="G76" s="37"/>
      <c r="H76" s="38"/>
      <c r="I76" s="44" t="s">
        <v>397</v>
      </c>
      <c r="J76" s="45" t="s">
        <v>398</v>
      </c>
      <c r="K76" s="46">
        <v>1</v>
      </c>
      <c r="L76" s="709"/>
      <c r="M76" s="704"/>
      <c r="N76" s="47">
        <f>ROUND((ROUND((_11_A身体４．５*_11・２人),0)*_11・初任),0)</f>
        <v>757</v>
      </c>
      <c r="O76" s="48"/>
    </row>
    <row r="77" spans="1:15" ht="16.5" customHeight="1" x14ac:dyDescent="0.15">
      <c r="A77" s="41">
        <v>11</v>
      </c>
      <c r="B77" s="41" t="s">
        <v>511</v>
      </c>
      <c r="C77" s="42" t="s">
        <v>512</v>
      </c>
      <c r="D77" s="54"/>
      <c r="F77" s="710" t="s">
        <v>400</v>
      </c>
      <c r="G77" s="49" t="s">
        <v>398</v>
      </c>
      <c r="H77" s="50">
        <v>0.7</v>
      </c>
      <c r="I77" s="44"/>
      <c r="J77" s="45"/>
      <c r="K77" s="46"/>
      <c r="L77" s="709"/>
      <c r="M77" s="704"/>
      <c r="N77" s="47">
        <f>ROUND((ROUND((_11_A身体４．５*_11・基礎１),0)*_11・初任),0)</f>
        <v>530</v>
      </c>
      <c r="O77" s="48"/>
    </row>
    <row r="78" spans="1:15" ht="16.5" customHeight="1" x14ac:dyDescent="0.15">
      <c r="A78" s="41">
        <v>11</v>
      </c>
      <c r="B78" s="41" t="s">
        <v>513</v>
      </c>
      <c r="C78" s="42" t="s">
        <v>514</v>
      </c>
      <c r="D78" s="54"/>
      <c r="F78" s="711"/>
      <c r="G78" s="37"/>
      <c r="H78" s="38"/>
      <c r="I78" s="44" t="s">
        <v>397</v>
      </c>
      <c r="J78" s="45" t="s">
        <v>398</v>
      </c>
      <c r="K78" s="46">
        <v>1</v>
      </c>
      <c r="L78" s="55" t="s">
        <v>398</v>
      </c>
      <c r="M78" s="38">
        <f>_11・初任</f>
        <v>0.7</v>
      </c>
      <c r="N78" s="47">
        <f>ROUND((ROUND((ROUND((_11_A身体４．５*_11・基礎１),0)*_11・２人),0)*_11・初任),0)</f>
        <v>530</v>
      </c>
      <c r="O78" s="48"/>
    </row>
    <row r="79" spans="1:15" ht="16.5" customHeight="1" x14ac:dyDescent="0.15">
      <c r="A79" s="41">
        <v>11</v>
      </c>
      <c r="B79" s="41">
        <v>1147</v>
      </c>
      <c r="C79" s="42" t="s">
        <v>515</v>
      </c>
      <c r="D79" s="712" t="s">
        <v>516</v>
      </c>
      <c r="E79" s="708"/>
      <c r="F79" s="53"/>
      <c r="G79" s="49"/>
      <c r="H79" s="50"/>
      <c r="I79" s="44"/>
      <c r="J79" s="45"/>
      <c r="K79" s="46"/>
      <c r="L79" s="53"/>
      <c r="M79" s="49"/>
      <c r="N79" s="47">
        <f>_11_A身体５．０</f>
        <v>1165</v>
      </c>
      <c r="O79" s="48"/>
    </row>
    <row r="80" spans="1:15" ht="16.5" customHeight="1" x14ac:dyDescent="0.15">
      <c r="A80" s="41">
        <v>11</v>
      </c>
      <c r="B80" s="41">
        <v>1148</v>
      </c>
      <c r="C80" s="42" t="s">
        <v>517</v>
      </c>
      <c r="D80" s="703"/>
      <c r="E80" s="704"/>
      <c r="F80" s="43"/>
      <c r="G80" s="37"/>
      <c r="H80" s="38"/>
      <c r="I80" s="44" t="s">
        <v>397</v>
      </c>
      <c r="J80" s="45" t="s">
        <v>398</v>
      </c>
      <c r="K80" s="46">
        <v>1</v>
      </c>
      <c r="L80" s="35"/>
      <c r="N80" s="47">
        <f>ROUND((_11_A身体５．０*_11・２人),0)</f>
        <v>1165</v>
      </c>
      <c r="O80" s="48"/>
    </row>
    <row r="81" spans="1:15" ht="16.5" customHeight="1" x14ac:dyDescent="0.15">
      <c r="A81" s="41">
        <v>11</v>
      </c>
      <c r="B81" s="41">
        <v>1149</v>
      </c>
      <c r="C81" s="42" t="s">
        <v>518</v>
      </c>
      <c r="D81" s="703"/>
      <c r="E81" s="704"/>
      <c r="F81" s="710" t="s">
        <v>400</v>
      </c>
      <c r="G81" s="49" t="s">
        <v>398</v>
      </c>
      <c r="H81" s="50">
        <v>0.7</v>
      </c>
      <c r="I81" s="44"/>
      <c r="J81" s="45"/>
      <c r="K81" s="46"/>
      <c r="L81" s="35"/>
      <c r="N81" s="47">
        <f>ROUND((_11_A身体５．０*_11・基礎１),0)</f>
        <v>816</v>
      </c>
      <c r="O81" s="48"/>
    </row>
    <row r="82" spans="1:15" ht="16.5" customHeight="1" x14ac:dyDescent="0.15">
      <c r="A82" s="41">
        <v>11</v>
      </c>
      <c r="B82" s="41">
        <v>1150</v>
      </c>
      <c r="C82" s="42" t="s">
        <v>519</v>
      </c>
      <c r="D82" s="51">
        <f>_11_A身体５．０</f>
        <v>1165</v>
      </c>
      <c r="E82" s="12" t="s">
        <v>392</v>
      </c>
      <c r="F82" s="711"/>
      <c r="G82" s="37"/>
      <c r="H82" s="38"/>
      <c r="I82" s="44" t="s">
        <v>397</v>
      </c>
      <c r="J82" s="45" t="s">
        <v>398</v>
      </c>
      <c r="K82" s="46">
        <v>1</v>
      </c>
      <c r="L82" s="43"/>
      <c r="M82" s="37"/>
      <c r="N82" s="47">
        <f>ROUND((ROUND((_11_A身体５．０*_11・基礎１),0)*_11・２人),0)</f>
        <v>816</v>
      </c>
      <c r="O82" s="48"/>
    </row>
    <row r="83" spans="1:15" ht="16.5" customHeight="1" x14ac:dyDescent="0.15">
      <c r="A83" s="41">
        <v>11</v>
      </c>
      <c r="B83" s="41" t="s">
        <v>520</v>
      </c>
      <c r="C83" s="42" t="s">
        <v>521</v>
      </c>
      <c r="D83" s="52"/>
      <c r="F83" s="53"/>
      <c r="G83" s="49"/>
      <c r="H83" s="50"/>
      <c r="I83" s="44"/>
      <c r="J83" s="45"/>
      <c r="K83" s="46"/>
      <c r="L83" s="707" t="s">
        <v>404</v>
      </c>
      <c r="M83" s="708"/>
      <c r="N83" s="47">
        <f>ROUND((_11_A身体５．０*_11・初任),0)</f>
        <v>816</v>
      </c>
      <c r="O83" s="48"/>
    </row>
    <row r="84" spans="1:15" ht="16.5" customHeight="1" x14ac:dyDescent="0.15">
      <c r="A84" s="41">
        <v>11</v>
      </c>
      <c r="B84" s="41" t="s">
        <v>522</v>
      </c>
      <c r="C84" s="42" t="s">
        <v>523</v>
      </c>
      <c r="D84" s="52"/>
      <c r="F84" s="43"/>
      <c r="G84" s="37"/>
      <c r="H84" s="38"/>
      <c r="I84" s="44" t="s">
        <v>397</v>
      </c>
      <c r="J84" s="45" t="s">
        <v>398</v>
      </c>
      <c r="K84" s="46">
        <v>1</v>
      </c>
      <c r="L84" s="709"/>
      <c r="M84" s="704"/>
      <c r="N84" s="47">
        <f>ROUND((ROUND((_11_A身体５．０*_11・２人),0)*_11・初任),0)</f>
        <v>816</v>
      </c>
      <c r="O84" s="48"/>
    </row>
    <row r="85" spans="1:15" ht="16.5" customHeight="1" x14ac:dyDescent="0.15">
      <c r="A85" s="41">
        <v>11</v>
      </c>
      <c r="B85" s="41" t="s">
        <v>524</v>
      </c>
      <c r="C85" s="42" t="s">
        <v>525</v>
      </c>
      <c r="D85" s="54"/>
      <c r="F85" s="710" t="s">
        <v>400</v>
      </c>
      <c r="G85" s="49" t="s">
        <v>398</v>
      </c>
      <c r="H85" s="50">
        <v>0.7</v>
      </c>
      <c r="I85" s="44"/>
      <c r="J85" s="45"/>
      <c r="K85" s="46"/>
      <c r="L85" s="709"/>
      <c r="M85" s="704"/>
      <c r="N85" s="47">
        <f>ROUND((ROUND((_11_A身体５．０*_11・基礎１),0)*_11・初任),0)</f>
        <v>571</v>
      </c>
      <c r="O85" s="48"/>
    </row>
    <row r="86" spans="1:15" ht="16.5" customHeight="1" x14ac:dyDescent="0.15">
      <c r="A86" s="41">
        <v>11</v>
      </c>
      <c r="B86" s="41" t="s">
        <v>526</v>
      </c>
      <c r="C86" s="42" t="s">
        <v>527</v>
      </c>
      <c r="D86" s="54"/>
      <c r="F86" s="711"/>
      <c r="G86" s="37"/>
      <c r="H86" s="38"/>
      <c r="I86" s="44" t="s">
        <v>397</v>
      </c>
      <c r="J86" s="45" t="s">
        <v>398</v>
      </c>
      <c r="K86" s="46">
        <v>1</v>
      </c>
      <c r="L86" s="55" t="s">
        <v>398</v>
      </c>
      <c r="M86" s="38">
        <f>_11・初任</f>
        <v>0.7</v>
      </c>
      <c r="N86" s="47">
        <f>ROUND((ROUND((ROUND((_11_A身体５．０*_11・基礎１),0)*_11・２人),0)*_11・初任),0)</f>
        <v>571</v>
      </c>
      <c r="O86" s="48"/>
    </row>
    <row r="87" spans="1:15" ht="16.5" customHeight="1" x14ac:dyDescent="0.15">
      <c r="A87" s="41">
        <v>11</v>
      </c>
      <c r="B87" s="41">
        <v>1151</v>
      </c>
      <c r="C87" s="42" t="s">
        <v>528</v>
      </c>
      <c r="D87" s="712" t="s">
        <v>529</v>
      </c>
      <c r="E87" s="708"/>
      <c r="F87" s="53"/>
      <c r="G87" s="49"/>
      <c r="H87" s="50"/>
      <c r="I87" s="44"/>
      <c r="J87" s="45"/>
      <c r="K87" s="46"/>
      <c r="L87" s="53"/>
      <c r="M87" s="49"/>
      <c r="N87" s="47">
        <f>_11_A身体５．５</f>
        <v>1248</v>
      </c>
      <c r="O87" s="48"/>
    </row>
    <row r="88" spans="1:15" ht="16.5" customHeight="1" x14ac:dyDescent="0.15">
      <c r="A88" s="41">
        <v>11</v>
      </c>
      <c r="B88" s="41">
        <v>1152</v>
      </c>
      <c r="C88" s="42" t="s">
        <v>530</v>
      </c>
      <c r="D88" s="703"/>
      <c r="E88" s="704"/>
      <c r="F88" s="43"/>
      <c r="G88" s="37"/>
      <c r="H88" s="38"/>
      <c r="I88" s="44" t="s">
        <v>397</v>
      </c>
      <c r="J88" s="45" t="s">
        <v>398</v>
      </c>
      <c r="K88" s="46">
        <v>1</v>
      </c>
      <c r="L88" s="35"/>
      <c r="N88" s="47">
        <f>ROUND((_11_A身体５．５*_11・２人),0)</f>
        <v>1248</v>
      </c>
      <c r="O88" s="48"/>
    </row>
    <row r="89" spans="1:15" ht="16.5" customHeight="1" x14ac:dyDescent="0.15">
      <c r="A89" s="41">
        <v>11</v>
      </c>
      <c r="B89" s="41">
        <v>1153</v>
      </c>
      <c r="C89" s="42" t="s">
        <v>531</v>
      </c>
      <c r="D89" s="703"/>
      <c r="E89" s="704"/>
      <c r="F89" s="710" t="s">
        <v>400</v>
      </c>
      <c r="G89" s="49" t="s">
        <v>398</v>
      </c>
      <c r="H89" s="50">
        <v>0.7</v>
      </c>
      <c r="I89" s="44"/>
      <c r="J89" s="45"/>
      <c r="K89" s="46"/>
      <c r="L89" s="35"/>
      <c r="N89" s="47">
        <f>ROUND((_11_A身体５．５*_11・基礎１),0)</f>
        <v>874</v>
      </c>
      <c r="O89" s="48"/>
    </row>
    <row r="90" spans="1:15" ht="16.5" customHeight="1" x14ac:dyDescent="0.15">
      <c r="A90" s="41">
        <v>11</v>
      </c>
      <c r="B90" s="41">
        <v>1154</v>
      </c>
      <c r="C90" s="42" t="s">
        <v>532</v>
      </c>
      <c r="D90" s="51">
        <f>_11_A身体５．５</f>
        <v>1248</v>
      </c>
      <c r="E90" s="12" t="s">
        <v>392</v>
      </c>
      <c r="F90" s="711"/>
      <c r="G90" s="37"/>
      <c r="H90" s="38"/>
      <c r="I90" s="44" t="s">
        <v>397</v>
      </c>
      <c r="J90" s="45" t="s">
        <v>398</v>
      </c>
      <c r="K90" s="46">
        <v>1</v>
      </c>
      <c r="L90" s="43"/>
      <c r="M90" s="37"/>
      <c r="N90" s="47">
        <f>ROUND((ROUND((_11_A身体５．５*_11・基礎１),0)*_11・２人),0)</f>
        <v>874</v>
      </c>
      <c r="O90" s="48"/>
    </row>
    <row r="91" spans="1:15" ht="16.5" customHeight="1" x14ac:dyDescent="0.15">
      <c r="A91" s="41">
        <v>11</v>
      </c>
      <c r="B91" s="41" t="s">
        <v>533</v>
      </c>
      <c r="C91" s="42" t="s">
        <v>534</v>
      </c>
      <c r="D91" s="52"/>
      <c r="F91" s="53"/>
      <c r="G91" s="49"/>
      <c r="H91" s="50"/>
      <c r="I91" s="44"/>
      <c r="J91" s="45"/>
      <c r="K91" s="46"/>
      <c r="L91" s="707" t="s">
        <v>404</v>
      </c>
      <c r="M91" s="708"/>
      <c r="N91" s="47">
        <f>ROUND((_11_A身体５．５*_11・初任),0)</f>
        <v>874</v>
      </c>
      <c r="O91" s="48"/>
    </row>
    <row r="92" spans="1:15" ht="16.5" customHeight="1" x14ac:dyDescent="0.15">
      <c r="A92" s="41">
        <v>11</v>
      </c>
      <c r="B92" s="41" t="s">
        <v>535</v>
      </c>
      <c r="C92" s="42" t="s">
        <v>536</v>
      </c>
      <c r="D92" s="52"/>
      <c r="F92" s="43"/>
      <c r="G92" s="37"/>
      <c r="H92" s="38"/>
      <c r="I92" s="44" t="s">
        <v>397</v>
      </c>
      <c r="J92" s="45" t="s">
        <v>398</v>
      </c>
      <c r="K92" s="46">
        <v>1</v>
      </c>
      <c r="L92" s="709"/>
      <c r="M92" s="704"/>
      <c r="N92" s="47">
        <f>ROUND((ROUND((_11_A身体５．５*_11・２人),0)*_11・初任),0)</f>
        <v>874</v>
      </c>
      <c r="O92" s="48"/>
    </row>
    <row r="93" spans="1:15" ht="16.5" customHeight="1" x14ac:dyDescent="0.15">
      <c r="A93" s="41">
        <v>11</v>
      </c>
      <c r="B93" s="41" t="s">
        <v>537</v>
      </c>
      <c r="C93" s="42" t="s">
        <v>538</v>
      </c>
      <c r="D93" s="54"/>
      <c r="F93" s="710" t="s">
        <v>400</v>
      </c>
      <c r="G93" s="49" t="s">
        <v>398</v>
      </c>
      <c r="H93" s="50">
        <v>0.7</v>
      </c>
      <c r="I93" s="44"/>
      <c r="J93" s="45"/>
      <c r="K93" s="46"/>
      <c r="L93" s="709"/>
      <c r="M93" s="704"/>
      <c r="N93" s="47">
        <f>ROUND((ROUND((_11_A身体５．５*_11・基礎１),0)*_11・初任),0)</f>
        <v>612</v>
      </c>
      <c r="O93" s="48"/>
    </row>
    <row r="94" spans="1:15" ht="16.5" customHeight="1" x14ac:dyDescent="0.15">
      <c r="A94" s="41">
        <v>11</v>
      </c>
      <c r="B94" s="41" t="s">
        <v>539</v>
      </c>
      <c r="C94" s="42" t="s">
        <v>540</v>
      </c>
      <c r="D94" s="54"/>
      <c r="F94" s="711"/>
      <c r="G94" s="37"/>
      <c r="H94" s="38"/>
      <c r="I94" s="44" t="s">
        <v>397</v>
      </c>
      <c r="J94" s="45" t="s">
        <v>398</v>
      </c>
      <c r="K94" s="46">
        <v>1</v>
      </c>
      <c r="L94" s="55" t="s">
        <v>398</v>
      </c>
      <c r="M94" s="38">
        <f>_11・初任</f>
        <v>0.7</v>
      </c>
      <c r="N94" s="47">
        <f>ROUND((ROUND((ROUND((_11_A身体５．５*_11・基礎１),0)*_11・２人),0)*_11・初任),0)</f>
        <v>612</v>
      </c>
      <c r="O94" s="48"/>
    </row>
    <row r="95" spans="1:15" ht="16.5" customHeight="1" x14ac:dyDescent="0.15">
      <c r="A95" s="41">
        <v>11</v>
      </c>
      <c r="B95" s="41">
        <v>1155</v>
      </c>
      <c r="C95" s="42" t="s">
        <v>541</v>
      </c>
      <c r="D95" s="712" t="s">
        <v>542</v>
      </c>
      <c r="E95" s="708"/>
      <c r="F95" s="53"/>
      <c r="G95" s="49"/>
      <c r="H95" s="50"/>
      <c r="I95" s="44"/>
      <c r="J95" s="45"/>
      <c r="K95" s="46"/>
      <c r="L95" s="53"/>
      <c r="M95" s="49"/>
      <c r="N95" s="47">
        <f>_11_A身体６．０</f>
        <v>1331</v>
      </c>
      <c r="O95" s="48"/>
    </row>
    <row r="96" spans="1:15" ht="16.5" customHeight="1" x14ac:dyDescent="0.15">
      <c r="A96" s="41">
        <v>11</v>
      </c>
      <c r="B96" s="41">
        <v>1156</v>
      </c>
      <c r="C96" s="42" t="s">
        <v>543</v>
      </c>
      <c r="D96" s="703"/>
      <c r="E96" s="704"/>
      <c r="F96" s="43"/>
      <c r="G96" s="37"/>
      <c r="H96" s="38"/>
      <c r="I96" s="44" t="s">
        <v>397</v>
      </c>
      <c r="J96" s="45" t="s">
        <v>398</v>
      </c>
      <c r="K96" s="46">
        <v>1</v>
      </c>
      <c r="L96" s="35"/>
      <c r="N96" s="47">
        <f>ROUND((_11_A身体６．０*_11・２人),0)</f>
        <v>1331</v>
      </c>
      <c r="O96" s="48"/>
    </row>
    <row r="97" spans="1:15" ht="16.5" customHeight="1" x14ac:dyDescent="0.15">
      <c r="A97" s="41">
        <v>11</v>
      </c>
      <c r="B97" s="41">
        <v>1157</v>
      </c>
      <c r="C97" s="42" t="s">
        <v>544</v>
      </c>
      <c r="D97" s="703"/>
      <c r="E97" s="704"/>
      <c r="F97" s="710" t="s">
        <v>400</v>
      </c>
      <c r="G97" s="49" t="s">
        <v>398</v>
      </c>
      <c r="H97" s="50">
        <v>0.7</v>
      </c>
      <c r="I97" s="44"/>
      <c r="J97" s="45"/>
      <c r="K97" s="46"/>
      <c r="L97" s="35"/>
      <c r="N97" s="47">
        <f>ROUND((_11_A身体６．０*_11・基礎１),0)</f>
        <v>932</v>
      </c>
      <c r="O97" s="48"/>
    </row>
    <row r="98" spans="1:15" ht="16.5" customHeight="1" x14ac:dyDescent="0.15">
      <c r="A98" s="41">
        <v>11</v>
      </c>
      <c r="B98" s="41">
        <v>1158</v>
      </c>
      <c r="C98" s="42" t="s">
        <v>545</v>
      </c>
      <c r="D98" s="51">
        <f>_11_A身体６．０</f>
        <v>1331</v>
      </c>
      <c r="E98" s="12" t="s">
        <v>392</v>
      </c>
      <c r="F98" s="711"/>
      <c r="G98" s="37"/>
      <c r="H98" s="38"/>
      <c r="I98" s="44" t="s">
        <v>397</v>
      </c>
      <c r="J98" s="45" t="s">
        <v>398</v>
      </c>
      <c r="K98" s="46">
        <v>1</v>
      </c>
      <c r="L98" s="43"/>
      <c r="M98" s="37"/>
      <c r="N98" s="47">
        <f>ROUND((ROUND((_11_A身体６．０*_11・基礎１),0)*_11・２人),0)</f>
        <v>932</v>
      </c>
      <c r="O98" s="48"/>
    </row>
    <row r="99" spans="1:15" ht="16.5" customHeight="1" x14ac:dyDescent="0.15">
      <c r="A99" s="41">
        <v>11</v>
      </c>
      <c r="B99" s="41" t="s">
        <v>546</v>
      </c>
      <c r="C99" s="42" t="s">
        <v>547</v>
      </c>
      <c r="D99" s="52"/>
      <c r="F99" s="53"/>
      <c r="G99" s="49"/>
      <c r="H99" s="50"/>
      <c r="I99" s="44"/>
      <c r="J99" s="45"/>
      <c r="K99" s="46"/>
      <c r="L99" s="707" t="s">
        <v>404</v>
      </c>
      <c r="M99" s="708"/>
      <c r="N99" s="47">
        <f>ROUND((_11_A身体６．０*_11・初任),0)</f>
        <v>932</v>
      </c>
      <c r="O99" s="48"/>
    </row>
    <row r="100" spans="1:15" ht="16.5" customHeight="1" x14ac:dyDescent="0.15">
      <c r="A100" s="41">
        <v>11</v>
      </c>
      <c r="B100" s="41" t="s">
        <v>548</v>
      </c>
      <c r="C100" s="42" t="s">
        <v>549</v>
      </c>
      <c r="D100" s="52"/>
      <c r="F100" s="43"/>
      <c r="G100" s="37"/>
      <c r="H100" s="38"/>
      <c r="I100" s="44" t="s">
        <v>397</v>
      </c>
      <c r="J100" s="45" t="s">
        <v>398</v>
      </c>
      <c r="K100" s="46">
        <v>1</v>
      </c>
      <c r="L100" s="709"/>
      <c r="M100" s="704"/>
      <c r="N100" s="47">
        <f>ROUND((ROUND((_11_A身体６．０*_11・２人),0)*_11・初任),0)</f>
        <v>932</v>
      </c>
      <c r="O100" s="48"/>
    </row>
    <row r="101" spans="1:15" ht="16.5" customHeight="1" x14ac:dyDescent="0.15">
      <c r="A101" s="41">
        <v>11</v>
      </c>
      <c r="B101" s="41" t="s">
        <v>550</v>
      </c>
      <c r="C101" s="42" t="s">
        <v>551</v>
      </c>
      <c r="D101" s="54"/>
      <c r="F101" s="710" t="s">
        <v>400</v>
      </c>
      <c r="G101" s="49" t="s">
        <v>398</v>
      </c>
      <c r="H101" s="50">
        <v>0.7</v>
      </c>
      <c r="I101" s="44"/>
      <c r="J101" s="45"/>
      <c r="K101" s="46"/>
      <c r="L101" s="709"/>
      <c r="M101" s="704"/>
      <c r="N101" s="47">
        <f>ROUND((ROUND((_11_A身体６．０*_11・基礎１),0)*_11・初任),0)</f>
        <v>652</v>
      </c>
      <c r="O101" s="48"/>
    </row>
    <row r="102" spans="1:15" ht="16.5" customHeight="1" x14ac:dyDescent="0.15">
      <c r="A102" s="41">
        <v>11</v>
      </c>
      <c r="B102" s="41" t="s">
        <v>552</v>
      </c>
      <c r="C102" s="42" t="s">
        <v>553</v>
      </c>
      <c r="D102" s="54"/>
      <c r="F102" s="711"/>
      <c r="G102" s="37"/>
      <c r="H102" s="38"/>
      <c r="I102" s="44" t="s">
        <v>397</v>
      </c>
      <c r="J102" s="45" t="s">
        <v>398</v>
      </c>
      <c r="K102" s="46">
        <v>1</v>
      </c>
      <c r="L102" s="55" t="s">
        <v>398</v>
      </c>
      <c r="M102" s="38">
        <f>_11・初任</f>
        <v>0.7</v>
      </c>
      <c r="N102" s="47">
        <f>ROUND((ROUND((ROUND((_11_A身体６．０*_11・基礎１),0)*_11・２人),0)*_11・初任),0)</f>
        <v>652</v>
      </c>
      <c r="O102" s="48"/>
    </row>
    <row r="103" spans="1:15" ht="16.5" customHeight="1" x14ac:dyDescent="0.15">
      <c r="A103" s="41">
        <v>11</v>
      </c>
      <c r="B103" s="41">
        <v>1159</v>
      </c>
      <c r="C103" s="42" t="s">
        <v>554</v>
      </c>
      <c r="D103" s="712" t="s">
        <v>555</v>
      </c>
      <c r="E103" s="708"/>
      <c r="F103" s="53"/>
      <c r="G103" s="49"/>
      <c r="H103" s="50"/>
      <c r="I103" s="44"/>
      <c r="J103" s="45"/>
      <c r="K103" s="46"/>
      <c r="L103" s="53"/>
      <c r="M103" s="49"/>
      <c r="N103" s="47">
        <f>_11_A身体６．５</f>
        <v>1414</v>
      </c>
      <c r="O103" s="48"/>
    </row>
    <row r="104" spans="1:15" ht="16.5" customHeight="1" x14ac:dyDescent="0.15">
      <c r="A104" s="41">
        <v>11</v>
      </c>
      <c r="B104" s="41">
        <v>1160</v>
      </c>
      <c r="C104" s="42" t="s">
        <v>556</v>
      </c>
      <c r="D104" s="703"/>
      <c r="E104" s="704"/>
      <c r="F104" s="43"/>
      <c r="G104" s="37"/>
      <c r="H104" s="38"/>
      <c r="I104" s="44" t="s">
        <v>397</v>
      </c>
      <c r="J104" s="45" t="s">
        <v>398</v>
      </c>
      <c r="K104" s="46">
        <v>1</v>
      </c>
      <c r="L104" s="35"/>
      <c r="N104" s="47">
        <f>ROUND((_11_A身体６．５*_11・２人),0)</f>
        <v>1414</v>
      </c>
      <c r="O104" s="48"/>
    </row>
    <row r="105" spans="1:15" ht="16.5" customHeight="1" x14ac:dyDescent="0.15">
      <c r="A105" s="41">
        <v>11</v>
      </c>
      <c r="B105" s="41">
        <v>1161</v>
      </c>
      <c r="C105" s="42" t="s">
        <v>557</v>
      </c>
      <c r="D105" s="703"/>
      <c r="E105" s="704"/>
      <c r="F105" s="710" t="s">
        <v>400</v>
      </c>
      <c r="G105" s="49" t="s">
        <v>398</v>
      </c>
      <c r="H105" s="50">
        <v>0.7</v>
      </c>
      <c r="I105" s="44"/>
      <c r="J105" s="45"/>
      <c r="K105" s="46"/>
      <c r="L105" s="35"/>
      <c r="N105" s="47">
        <f>ROUND((_11_A身体６．５*_11・基礎１),0)</f>
        <v>990</v>
      </c>
      <c r="O105" s="48"/>
    </row>
    <row r="106" spans="1:15" ht="16.5" customHeight="1" x14ac:dyDescent="0.15">
      <c r="A106" s="41">
        <v>11</v>
      </c>
      <c r="B106" s="41">
        <v>1162</v>
      </c>
      <c r="C106" s="42" t="s">
        <v>558</v>
      </c>
      <c r="D106" s="65">
        <f>_11_A身体６．５</f>
        <v>1414</v>
      </c>
      <c r="E106" s="59" t="s">
        <v>392</v>
      </c>
      <c r="F106" s="711"/>
      <c r="G106" s="37"/>
      <c r="H106" s="38"/>
      <c r="I106" s="44" t="s">
        <v>397</v>
      </c>
      <c r="J106" s="45" t="s">
        <v>398</v>
      </c>
      <c r="K106" s="46">
        <v>1</v>
      </c>
      <c r="L106" s="43"/>
      <c r="M106" s="37"/>
      <c r="N106" s="47">
        <f>ROUND((ROUND((_11_A身体６．５*_11・基礎１),0)*_11・２人),0)</f>
        <v>990</v>
      </c>
      <c r="O106" s="48"/>
    </row>
    <row r="107" spans="1:15" ht="16.5" customHeight="1" x14ac:dyDescent="0.15">
      <c r="A107" s="41">
        <v>11</v>
      </c>
      <c r="B107" s="41" t="s">
        <v>559</v>
      </c>
      <c r="C107" s="42" t="s">
        <v>560</v>
      </c>
      <c r="D107" s="52"/>
      <c r="F107" s="53"/>
      <c r="G107" s="49"/>
      <c r="H107" s="50"/>
      <c r="I107" s="44"/>
      <c r="J107" s="45"/>
      <c r="K107" s="46"/>
      <c r="L107" s="707" t="s">
        <v>404</v>
      </c>
      <c r="M107" s="708"/>
      <c r="N107" s="47">
        <f>ROUND((_11_A身体６．５*_11・初任),0)</f>
        <v>990</v>
      </c>
      <c r="O107" s="48"/>
    </row>
    <row r="108" spans="1:15" ht="16.5" customHeight="1" x14ac:dyDescent="0.15">
      <c r="A108" s="41">
        <v>11</v>
      </c>
      <c r="B108" s="41" t="s">
        <v>561</v>
      </c>
      <c r="C108" s="42" t="s">
        <v>562</v>
      </c>
      <c r="D108" s="52"/>
      <c r="F108" s="43"/>
      <c r="G108" s="37"/>
      <c r="H108" s="38"/>
      <c r="I108" s="44" t="s">
        <v>397</v>
      </c>
      <c r="J108" s="45" t="s">
        <v>398</v>
      </c>
      <c r="K108" s="46">
        <v>1</v>
      </c>
      <c r="L108" s="709"/>
      <c r="M108" s="704"/>
      <c r="N108" s="47">
        <f>ROUND((ROUND((_11_A身体６．５*_11・２人),0)*_11・初任),0)</f>
        <v>990</v>
      </c>
      <c r="O108" s="48"/>
    </row>
    <row r="109" spans="1:15" ht="16.5" customHeight="1" x14ac:dyDescent="0.15">
      <c r="A109" s="41">
        <v>11</v>
      </c>
      <c r="B109" s="41" t="s">
        <v>563</v>
      </c>
      <c r="C109" s="42" t="s">
        <v>564</v>
      </c>
      <c r="D109" s="54"/>
      <c r="F109" s="710" t="s">
        <v>400</v>
      </c>
      <c r="G109" s="49" t="s">
        <v>398</v>
      </c>
      <c r="H109" s="50">
        <v>0.7</v>
      </c>
      <c r="I109" s="44"/>
      <c r="J109" s="45"/>
      <c r="K109" s="46"/>
      <c r="L109" s="709"/>
      <c r="M109" s="704"/>
      <c r="N109" s="47">
        <f>ROUND((ROUND((_11_A身体６．５*_11・基礎１),0)*_11・初任),0)</f>
        <v>693</v>
      </c>
      <c r="O109" s="48"/>
    </row>
    <row r="110" spans="1:15" ht="16.5" customHeight="1" x14ac:dyDescent="0.15">
      <c r="A110" s="41">
        <v>11</v>
      </c>
      <c r="B110" s="41" t="s">
        <v>565</v>
      </c>
      <c r="C110" s="42" t="s">
        <v>566</v>
      </c>
      <c r="D110" s="54"/>
      <c r="F110" s="711"/>
      <c r="G110" s="37"/>
      <c r="H110" s="38"/>
      <c r="I110" s="44" t="s">
        <v>397</v>
      </c>
      <c r="J110" s="45" t="s">
        <v>398</v>
      </c>
      <c r="K110" s="46">
        <v>1</v>
      </c>
      <c r="L110" s="55" t="s">
        <v>398</v>
      </c>
      <c r="M110" s="38">
        <f>_11・初任</f>
        <v>0.7</v>
      </c>
      <c r="N110" s="47">
        <f>ROUND((ROUND((ROUND((_11_A身体６．５*_11・基礎１),0)*_11・２人),0)*_11・初任),0)</f>
        <v>693</v>
      </c>
      <c r="O110" s="48"/>
    </row>
    <row r="111" spans="1:15" ht="16.5" customHeight="1" x14ac:dyDescent="0.15">
      <c r="A111" s="41">
        <v>11</v>
      </c>
      <c r="B111" s="41">
        <v>1163</v>
      </c>
      <c r="C111" s="42" t="s">
        <v>567</v>
      </c>
      <c r="D111" s="713" t="s">
        <v>568</v>
      </c>
      <c r="E111" s="714"/>
      <c r="F111" s="53"/>
      <c r="G111" s="49"/>
      <c r="H111" s="50"/>
      <c r="I111" s="44"/>
      <c r="J111" s="45"/>
      <c r="K111" s="46"/>
      <c r="L111" s="53"/>
      <c r="M111" s="49"/>
      <c r="N111" s="47">
        <f>_11_A身体７．０</f>
        <v>1497</v>
      </c>
      <c r="O111" s="48"/>
    </row>
    <row r="112" spans="1:15" ht="16.5" customHeight="1" x14ac:dyDescent="0.15">
      <c r="A112" s="41">
        <v>11</v>
      </c>
      <c r="B112" s="41">
        <v>1164</v>
      </c>
      <c r="C112" s="42" t="s">
        <v>569</v>
      </c>
      <c r="D112" s="715"/>
      <c r="E112" s="716"/>
      <c r="F112" s="43"/>
      <c r="G112" s="37"/>
      <c r="H112" s="38"/>
      <c r="I112" s="44" t="s">
        <v>397</v>
      </c>
      <c r="J112" s="45" t="s">
        <v>398</v>
      </c>
      <c r="K112" s="46">
        <v>1</v>
      </c>
      <c r="L112" s="35"/>
      <c r="N112" s="47">
        <f>ROUND((_11_A身体７．０*_11・２人),0)</f>
        <v>1497</v>
      </c>
      <c r="O112" s="48"/>
    </row>
    <row r="113" spans="1:15" ht="16.5" customHeight="1" x14ac:dyDescent="0.15">
      <c r="A113" s="41">
        <v>11</v>
      </c>
      <c r="B113" s="41">
        <v>1165</v>
      </c>
      <c r="C113" s="42" t="s">
        <v>570</v>
      </c>
      <c r="D113" s="715"/>
      <c r="E113" s="716"/>
      <c r="F113" s="710" t="s">
        <v>400</v>
      </c>
      <c r="G113" s="49" t="s">
        <v>398</v>
      </c>
      <c r="H113" s="50">
        <v>0.7</v>
      </c>
      <c r="I113" s="44"/>
      <c r="J113" s="45"/>
      <c r="K113" s="46"/>
      <c r="L113" s="35"/>
      <c r="N113" s="47">
        <f>ROUND((_11_A身体７．０*_11・基礎１),0)</f>
        <v>1048</v>
      </c>
      <c r="O113" s="48"/>
    </row>
    <row r="114" spans="1:15" ht="16.5" customHeight="1" x14ac:dyDescent="0.15">
      <c r="A114" s="41">
        <v>11</v>
      </c>
      <c r="B114" s="41">
        <v>1166</v>
      </c>
      <c r="C114" s="42" t="s">
        <v>571</v>
      </c>
      <c r="D114" s="51">
        <f>_11_A身体７．０</f>
        <v>1497</v>
      </c>
      <c r="E114" s="12" t="s">
        <v>392</v>
      </c>
      <c r="F114" s="711"/>
      <c r="G114" s="37"/>
      <c r="H114" s="38"/>
      <c r="I114" s="44" t="s">
        <v>397</v>
      </c>
      <c r="J114" s="45" t="s">
        <v>398</v>
      </c>
      <c r="K114" s="46">
        <v>1</v>
      </c>
      <c r="L114" s="43"/>
      <c r="M114" s="37"/>
      <c r="N114" s="47">
        <f>ROUND((ROUND((_11_A身体７．０*_11・基礎１),0)*_11・２人),0)</f>
        <v>1048</v>
      </c>
      <c r="O114" s="48"/>
    </row>
    <row r="115" spans="1:15" ht="16.5" customHeight="1" x14ac:dyDescent="0.15">
      <c r="A115" s="41">
        <v>11</v>
      </c>
      <c r="B115" s="41" t="s">
        <v>572</v>
      </c>
      <c r="C115" s="42" t="s">
        <v>573</v>
      </c>
      <c r="D115" s="52"/>
      <c r="F115" s="53"/>
      <c r="G115" s="49"/>
      <c r="H115" s="50"/>
      <c r="I115" s="44"/>
      <c r="J115" s="45"/>
      <c r="K115" s="46"/>
      <c r="L115" s="707" t="s">
        <v>404</v>
      </c>
      <c r="M115" s="708"/>
      <c r="N115" s="47">
        <f>ROUND((_11_A身体７．０*_11・初任),0)</f>
        <v>1048</v>
      </c>
      <c r="O115" s="48"/>
    </row>
    <row r="116" spans="1:15" ht="16.5" customHeight="1" x14ac:dyDescent="0.15">
      <c r="A116" s="41">
        <v>11</v>
      </c>
      <c r="B116" s="41" t="s">
        <v>574</v>
      </c>
      <c r="C116" s="42" t="s">
        <v>575</v>
      </c>
      <c r="D116" s="52"/>
      <c r="F116" s="43"/>
      <c r="G116" s="37"/>
      <c r="H116" s="38"/>
      <c r="I116" s="44" t="s">
        <v>397</v>
      </c>
      <c r="J116" s="45" t="s">
        <v>398</v>
      </c>
      <c r="K116" s="46">
        <v>1</v>
      </c>
      <c r="L116" s="709"/>
      <c r="M116" s="704"/>
      <c r="N116" s="47">
        <f>ROUND((ROUND((_11_A身体７．０*_11・２人),0)*_11・初任),0)</f>
        <v>1048</v>
      </c>
      <c r="O116" s="48"/>
    </row>
    <row r="117" spans="1:15" ht="16.5" customHeight="1" x14ac:dyDescent="0.15">
      <c r="A117" s="41">
        <v>11</v>
      </c>
      <c r="B117" s="41" t="s">
        <v>576</v>
      </c>
      <c r="C117" s="42" t="s">
        <v>577</v>
      </c>
      <c r="D117" s="54"/>
      <c r="F117" s="710" t="s">
        <v>400</v>
      </c>
      <c r="G117" s="49" t="s">
        <v>398</v>
      </c>
      <c r="H117" s="50">
        <v>0.7</v>
      </c>
      <c r="I117" s="44"/>
      <c r="J117" s="45"/>
      <c r="K117" s="46"/>
      <c r="L117" s="709"/>
      <c r="M117" s="704"/>
      <c r="N117" s="47">
        <f>ROUND((ROUND((_11_A身体７．０*_11・基礎１),0)*_11・初任),0)</f>
        <v>734</v>
      </c>
      <c r="O117" s="48"/>
    </row>
    <row r="118" spans="1:15" ht="16.5" customHeight="1" x14ac:dyDescent="0.15">
      <c r="A118" s="41">
        <v>11</v>
      </c>
      <c r="B118" s="41" t="s">
        <v>578</v>
      </c>
      <c r="C118" s="42" t="s">
        <v>579</v>
      </c>
      <c r="D118" s="54"/>
      <c r="F118" s="711"/>
      <c r="G118" s="37"/>
      <c r="H118" s="38"/>
      <c r="I118" s="44" t="s">
        <v>397</v>
      </c>
      <c r="J118" s="45" t="s">
        <v>398</v>
      </c>
      <c r="K118" s="46">
        <v>1</v>
      </c>
      <c r="L118" s="55" t="s">
        <v>398</v>
      </c>
      <c r="M118" s="38">
        <f>_11・初任</f>
        <v>0.7</v>
      </c>
      <c r="N118" s="47">
        <f>ROUND((ROUND((ROUND((_11_A身体７．０*_11・基礎１),0)*_11・２人),0)*_11・初任),0)</f>
        <v>734</v>
      </c>
      <c r="O118" s="48"/>
    </row>
    <row r="119" spans="1:15" ht="16.5" customHeight="1" x14ac:dyDescent="0.15">
      <c r="A119" s="41">
        <v>11</v>
      </c>
      <c r="B119" s="41">
        <v>1167</v>
      </c>
      <c r="C119" s="42" t="s">
        <v>580</v>
      </c>
      <c r="D119" s="712" t="s">
        <v>581</v>
      </c>
      <c r="E119" s="717"/>
      <c r="F119" s="53"/>
      <c r="G119" s="49"/>
      <c r="H119" s="50"/>
      <c r="I119" s="44"/>
      <c r="J119" s="45"/>
      <c r="K119" s="46"/>
      <c r="L119" s="53"/>
      <c r="M119" s="49"/>
      <c r="N119" s="47">
        <f>_11_A身体７．５</f>
        <v>1580</v>
      </c>
      <c r="O119" s="48"/>
    </row>
    <row r="120" spans="1:15" ht="16.5" customHeight="1" x14ac:dyDescent="0.15">
      <c r="A120" s="41">
        <v>11</v>
      </c>
      <c r="B120" s="41">
        <v>1168</v>
      </c>
      <c r="C120" s="42" t="s">
        <v>582</v>
      </c>
      <c r="D120" s="703"/>
      <c r="E120" s="718"/>
      <c r="F120" s="43"/>
      <c r="G120" s="37"/>
      <c r="H120" s="38"/>
      <c r="I120" s="44" t="s">
        <v>397</v>
      </c>
      <c r="J120" s="45" t="s">
        <v>398</v>
      </c>
      <c r="K120" s="46">
        <v>1</v>
      </c>
      <c r="L120" s="35"/>
      <c r="N120" s="47">
        <f>ROUND((_11_A身体７．５*_11・２人),0)</f>
        <v>1580</v>
      </c>
      <c r="O120" s="48"/>
    </row>
    <row r="121" spans="1:15" ht="16.5" customHeight="1" x14ac:dyDescent="0.15">
      <c r="A121" s="41">
        <v>11</v>
      </c>
      <c r="B121" s="41">
        <v>1169</v>
      </c>
      <c r="C121" s="42" t="s">
        <v>583</v>
      </c>
      <c r="D121" s="703"/>
      <c r="E121" s="718"/>
      <c r="F121" s="710" t="s">
        <v>400</v>
      </c>
      <c r="G121" s="49" t="s">
        <v>398</v>
      </c>
      <c r="H121" s="50">
        <v>0.7</v>
      </c>
      <c r="I121" s="44"/>
      <c r="J121" s="45"/>
      <c r="K121" s="46"/>
      <c r="L121" s="35"/>
      <c r="N121" s="47">
        <f>ROUND((_11_A身体７．５*_11・基礎１),0)</f>
        <v>1106</v>
      </c>
      <c r="O121" s="48"/>
    </row>
    <row r="122" spans="1:15" ht="16.5" customHeight="1" x14ac:dyDescent="0.15">
      <c r="A122" s="41">
        <v>11</v>
      </c>
      <c r="B122" s="41">
        <v>1170</v>
      </c>
      <c r="C122" s="42" t="s">
        <v>584</v>
      </c>
      <c r="D122" s="51">
        <f>_11_A身体７．５</f>
        <v>1580</v>
      </c>
      <c r="E122" s="12" t="s">
        <v>392</v>
      </c>
      <c r="F122" s="711"/>
      <c r="G122" s="37"/>
      <c r="H122" s="38"/>
      <c r="I122" s="44" t="s">
        <v>397</v>
      </c>
      <c r="J122" s="45" t="s">
        <v>398</v>
      </c>
      <c r="K122" s="46">
        <v>1</v>
      </c>
      <c r="L122" s="43"/>
      <c r="M122" s="37"/>
      <c r="N122" s="47">
        <f>ROUND((ROUND((_11_A身体７．５*_11・基礎１),0)*_11・２人),0)</f>
        <v>1106</v>
      </c>
      <c r="O122" s="48"/>
    </row>
    <row r="123" spans="1:15" ht="16.5" customHeight="1" x14ac:dyDescent="0.15">
      <c r="A123" s="41">
        <v>11</v>
      </c>
      <c r="B123" s="41" t="s">
        <v>585</v>
      </c>
      <c r="C123" s="42" t="s">
        <v>586</v>
      </c>
      <c r="D123" s="52"/>
      <c r="F123" s="53"/>
      <c r="G123" s="49"/>
      <c r="H123" s="50"/>
      <c r="I123" s="44"/>
      <c r="J123" s="45"/>
      <c r="K123" s="46"/>
      <c r="L123" s="707" t="s">
        <v>404</v>
      </c>
      <c r="M123" s="708"/>
      <c r="N123" s="47">
        <f>ROUND((_11_A身体７．５*_11・初任),0)</f>
        <v>1106</v>
      </c>
      <c r="O123" s="48"/>
    </row>
    <row r="124" spans="1:15" ht="16.5" customHeight="1" x14ac:dyDescent="0.15">
      <c r="A124" s="41">
        <v>11</v>
      </c>
      <c r="B124" s="41" t="s">
        <v>587</v>
      </c>
      <c r="C124" s="42" t="s">
        <v>588</v>
      </c>
      <c r="D124" s="52"/>
      <c r="F124" s="43"/>
      <c r="G124" s="37"/>
      <c r="H124" s="38"/>
      <c r="I124" s="44" t="s">
        <v>397</v>
      </c>
      <c r="J124" s="45" t="s">
        <v>398</v>
      </c>
      <c r="K124" s="46">
        <v>1</v>
      </c>
      <c r="L124" s="709"/>
      <c r="M124" s="704"/>
      <c r="N124" s="47">
        <f>ROUND((ROUND((_11_A身体７．５*_11・２人),0)*_11・初任),0)</f>
        <v>1106</v>
      </c>
      <c r="O124" s="48"/>
    </row>
    <row r="125" spans="1:15" ht="16.5" customHeight="1" x14ac:dyDescent="0.15">
      <c r="A125" s="41">
        <v>11</v>
      </c>
      <c r="B125" s="41" t="s">
        <v>589</v>
      </c>
      <c r="C125" s="42" t="s">
        <v>590</v>
      </c>
      <c r="D125" s="54"/>
      <c r="F125" s="710" t="s">
        <v>400</v>
      </c>
      <c r="G125" s="49" t="s">
        <v>398</v>
      </c>
      <c r="H125" s="50">
        <v>0.7</v>
      </c>
      <c r="I125" s="44"/>
      <c r="J125" s="45"/>
      <c r="K125" s="46"/>
      <c r="L125" s="709"/>
      <c r="M125" s="704"/>
      <c r="N125" s="47">
        <f>ROUND((ROUND((_11_A身体７．５*_11・基礎１),0)*_11・初任),0)</f>
        <v>774</v>
      </c>
      <c r="O125" s="48"/>
    </row>
    <row r="126" spans="1:15" ht="16.5" customHeight="1" x14ac:dyDescent="0.15">
      <c r="A126" s="41">
        <v>11</v>
      </c>
      <c r="B126" s="41" t="s">
        <v>591</v>
      </c>
      <c r="C126" s="42" t="s">
        <v>592</v>
      </c>
      <c r="D126" s="54"/>
      <c r="F126" s="711"/>
      <c r="G126" s="37"/>
      <c r="H126" s="38"/>
      <c r="I126" s="44" t="s">
        <v>397</v>
      </c>
      <c r="J126" s="45" t="s">
        <v>398</v>
      </c>
      <c r="K126" s="46">
        <v>1</v>
      </c>
      <c r="L126" s="55" t="s">
        <v>398</v>
      </c>
      <c r="M126" s="38">
        <f>_11・初任</f>
        <v>0.7</v>
      </c>
      <c r="N126" s="47">
        <f>ROUND((ROUND((ROUND((_11_A身体７．５*_11・基礎１),0)*_11・２人),0)*_11・初任),0)</f>
        <v>774</v>
      </c>
      <c r="O126" s="48"/>
    </row>
    <row r="127" spans="1:15" ht="16.5" customHeight="1" x14ac:dyDescent="0.15">
      <c r="A127" s="41">
        <v>11</v>
      </c>
      <c r="B127" s="41">
        <v>1171</v>
      </c>
      <c r="C127" s="42" t="s">
        <v>593</v>
      </c>
      <c r="D127" s="712" t="s">
        <v>594</v>
      </c>
      <c r="E127" s="717"/>
      <c r="F127" s="53"/>
      <c r="G127" s="49"/>
      <c r="H127" s="50"/>
      <c r="I127" s="44"/>
      <c r="J127" s="45"/>
      <c r="K127" s="46"/>
      <c r="L127" s="53"/>
      <c r="M127" s="49"/>
      <c r="N127" s="47">
        <f>_11_A身体８．０</f>
        <v>1663</v>
      </c>
      <c r="O127" s="48"/>
    </row>
    <row r="128" spans="1:15" ht="16.5" customHeight="1" x14ac:dyDescent="0.15">
      <c r="A128" s="41">
        <v>11</v>
      </c>
      <c r="B128" s="41">
        <v>1172</v>
      </c>
      <c r="C128" s="42" t="s">
        <v>595</v>
      </c>
      <c r="D128" s="703"/>
      <c r="E128" s="718"/>
      <c r="F128" s="43"/>
      <c r="G128" s="37"/>
      <c r="H128" s="38"/>
      <c r="I128" s="44" t="s">
        <v>397</v>
      </c>
      <c r="J128" s="45" t="s">
        <v>398</v>
      </c>
      <c r="K128" s="46">
        <v>1</v>
      </c>
      <c r="L128" s="35"/>
      <c r="N128" s="47">
        <f>ROUND((_11_A身体８．０*_11・２人),0)</f>
        <v>1663</v>
      </c>
      <c r="O128" s="48"/>
    </row>
    <row r="129" spans="1:15" ht="16.5" customHeight="1" x14ac:dyDescent="0.15">
      <c r="A129" s="41">
        <v>11</v>
      </c>
      <c r="B129" s="41">
        <v>1173</v>
      </c>
      <c r="C129" s="42" t="s">
        <v>596</v>
      </c>
      <c r="D129" s="703"/>
      <c r="E129" s="718"/>
      <c r="F129" s="710" t="s">
        <v>400</v>
      </c>
      <c r="G129" s="49" t="s">
        <v>398</v>
      </c>
      <c r="H129" s="50">
        <v>0.7</v>
      </c>
      <c r="I129" s="44"/>
      <c r="J129" s="45"/>
      <c r="K129" s="46"/>
      <c r="L129" s="35"/>
      <c r="N129" s="47">
        <f>ROUND((_11_A身体８．０*_11・基礎１),0)</f>
        <v>1164</v>
      </c>
      <c r="O129" s="48"/>
    </row>
    <row r="130" spans="1:15" ht="16.5" customHeight="1" x14ac:dyDescent="0.15">
      <c r="A130" s="41">
        <v>11</v>
      </c>
      <c r="B130" s="41">
        <v>1174</v>
      </c>
      <c r="C130" s="42" t="s">
        <v>597</v>
      </c>
      <c r="D130" s="51">
        <f>_11_A身体８．０</f>
        <v>1663</v>
      </c>
      <c r="E130" s="12" t="s">
        <v>392</v>
      </c>
      <c r="F130" s="711"/>
      <c r="G130" s="37"/>
      <c r="H130" s="38"/>
      <c r="I130" s="44" t="s">
        <v>397</v>
      </c>
      <c r="J130" s="45" t="s">
        <v>398</v>
      </c>
      <c r="K130" s="46">
        <v>1</v>
      </c>
      <c r="L130" s="43"/>
      <c r="M130" s="37"/>
      <c r="N130" s="47">
        <f>ROUND((ROUND((_11_A身体８．０*_11・基礎１),0)*_11・２人),0)</f>
        <v>1164</v>
      </c>
      <c r="O130" s="48"/>
    </row>
    <row r="131" spans="1:15" ht="16.5" customHeight="1" x14ac:dyDescent="0.15">
      <c r="A131" s="41">
        <v>11</v>
      </c>
      <c r="B131" s="41" t="s">
        <v>598</v>
      </c>
      <c r="C131" s="42" t="s">
        <v>599</v>
      </c>
      <c r="D131" s="66"/>
      <c r="F131" s="53"/>
      <c r="G131" s="49"/>
      <c r="H131" s="50"/>
      <c r="I131" s="44"/>
      <c r="J131" s="45"/>
      <c r="K131" s="46"/>
      <c r="L131" s="707" t="s">
        <v>404</v>
      </c>
      <c r="M131" s="708"/>
      <c r="N131" s="47">
        <f>ROUND((_11_A身体８．０*_11・初任),0)</f>
        <v>1164</v>
      </c>
      <c r="O131" s="48"/>
    </row>
    <row r="132" spans="1:15" ht="16.5" customHeight="1" x14ac:dyDescent="0.15">
      <c r="A132" s="41">
        <v>11</v>
      </c>
      <c r="B132" s="41" t="s">
        <v>600</v>
      </c>
      <c r="C132" s="42" t="s">
        <v>601</v>
      </c>
      <c r="D132" s="66"/>
      <c r="F132" s="43"/>
      <c r="G132" s="37"/>
      <c r="H132" s="38"/>
      <c r="I132" s="44" t="s">
        <v>397</v>
      </c>
      <c r="J132" s="45" t="s">
        <v>398</v>
      </c>
      <c r="K132" s="46">
        <v>1</v>
      </c>
      <c r="L132" s="709"/>
      <c r="M132" s="704"/>
      <c r="N132" s="47">
        <f>ROUND((ROUND((_11_A身体８．０*_11・２人),0)*_11・初任),0)</f>
        <v>1164</v>
      </c>
      <c r="O132" s="48"/>
    </row>
    <row r="133" spans="1:15" ht="16.5" customHeight="1" x14ac:dyDescent="0.15">
      <c r="A133" s="41">
        <v>11</v>
      </c>
      <c r="B133" s="41" t="s">
        <v>602</v>
      </c>
      <c r="C133" s="42" t="s">
        <v>603</v>
      </c>
      <c r="D133" s="67"/>
      <c r="F133" s="710" t="s">
        <v>400</v>
      </c>
      <c r="G133" s="49" t="s">
        <v>398</v>
      </c>
      <c r="H133" s="50">
        <v>0.7</v>
      </c>
      <c r="I133" s="44"/>
      <c r="J133" s="45"/>
      <c r="K133" s="46"/>
      <c r="L133" s="709"/>
      <c r="M133" s="704"/>
      <c r="N133" s="47">
        <f>ROUND((ROUND((_11_A身体８．０*_11・基礎１),0)*_11・初任),0)</f>
        <v>815</v>
      </c>
      <c r="O133" s="48"/>
    </row>
    <row r="134" spans="1:15" ht="16.5" customHeight="1" x14ac:dyDescent="0.15">
      <c r="A134" s="41">
        <v>11</v>
      </c>
      <c r="B134" s="41" t="s">
        <v>604</v>
      </c>
      <c r="C134" s="42" t="s">
        <v>605</v>
      </c>
      <c r="D134" s="68"/>
      <c r="E134" s="37"/>
      <c r="F134" s="711"/>
      <c r="G134" s="37"/>
      <c r="H134" s="38"/>
      <c r="I134" s="44" t="s">
        <v>397</v>
      </c>
      <c r="J134" s="45" t="s">
        <v>398</v>
      </c>
      <c r="K134" s="46">
        <v>1</v>
      </c>
      <c r="L134" s="55" t="s">
        <v>398</v>
      </c>
      <c r="M134" s="38">
        <f>_11・初任</f>
        <v>0.7</v>
      </c>
      <c r="N134" s="47">
        <f>ROUND((ROUND((ROUND((_11_A身体８．０*_11・基礎１),0)*_11・２人),0)*_11・初任),0)</f>
        <v>815</v>
      </c>
      <c r="O134" s="63"/>
    </row>
    <row r="135" spans="1:15" ht="16.5" customHeight="1" x14ac:dyDescent="0.15">
      <c r="A135" s="41">
        <v>11</v>
      </c>
      <c r="B135" s="41">
        <v>1175</v>
      </c>
      <c r="C135" s="42" t="s">
        <v>606</v>
      </c>
      <c r="D135" s="712" t="s">
        <v>607</v>
      </c>
      <c r="E135" s="717"/>
      <c r="F135" s="53"/>
      <c r="G135" s="49"/>
      <c r="H135" s="50"/>
      <c r="I135" s="44"/>
      <c r="J135" s="45"/>
      <c r="K135" s="46"/>
      <c r="L135" s="53"/>
      <c r="M135" s="49"/>
      <c r="N135" s="47">
        <f>_11_A身体８．５</f>
        <v>1746</v>
      </c>
      <c r="O135" s="64"/>
    </row>
    <row r="136" spans="1:15" ht="16.5" customHeight="1" x14ac:dyDescent="0.15">
      <c r="A136" s="41">
        <v>11</v>
      </c>
      <c r="B136" s="41">
        <v>1176</v>
      </c>
      <c r="C136" s="42" t="s">
        <v>608</v>
      </c>
      <c r="D136" s="703"/>
      <c r="E136" s="718"/>
      <c r="F136" s="43"/>
      <c r="G136" s="37"/>
      <c r="H136" s="38"/>
      <c r="I136" s="44" t="s">
        <v>397</v>
      </c>
      <c r="J136" s="45" t="s">
        <v>398</v>
      </c>
      <c r="K136" s="46">
        <v>1</v>
      </c>
      <c r="L136" s="35"/>
      <c r="N136" s="47">
        <f>ROUND((_11_A身体８．５*_11・２人),0)</f>
        <v>1746</v>
      </c>
      <c r="O136" s="48"/>
    </row>
    <row r="137" spans="1:15" ht="16.5" customHeight="1" x14ac:dyDescent="0.15">
      <c r="A137" s="41">
        <v>11</v>
      </c>
      <c r="B137" s="41">
        <v>1177</v>
      </c>
      <c r="C137" s="42" t="s">
        <v>609</v>
      </c>
      <c r="D137" s="703"/>
      <c r="E137" s="718"/>
      <c r="F137" s="710" t="s">
        <v>400</v>
      </c>
      <c r="G137" s="49" t="s">
        <v>398</v>
      </c>
      <c r="H137" s="50">
        <v>0.7</v>
      </c>
      <c r="I137" s="44"/>
      <c r="J137" s="45"/>
      <c r="K137" s="46"/>
      <c r="L137" s="35"/>
      <c r="N137" s="47">
        <f>ROUND((_11_A身体８．５*_11・基礎１),0)</f>
        <v>1222</v>
      </c>
      <c r="O137" s="48"/>
    </row>
    <row r="138" spans="1:15" ht="16.5" customHeight="1" x14ac:dyDescent="0.15">
      <c r="A138" s="41">
        <v>11</v>
      </c>
      <c r="B138" s="41">
        <v>1178</v>
      </c>
      <c r="C138" s="42" t="s">
        <v>610</v>
      </c>
      <c r="D138" s="51">
        <f>_11_A身体８．５</f>
        <v>1746</v>
      </c>
      <c r="E138" s="12" t="s">
        <v>392</v>
      </c>
      <c r="F138" s="711"/>
      <c r="G138" s="37"/>
      <c r="H138" s="38"/>
      <c r="I138" s="44" t="s">
        <v>397</v>
      </c>
      <c r="J138" s="45" t="s">
        <v>398</v>
      </c>
      <c r="K138" s="46">
        <v>1</v>
      </c>
      <c r="L138" s="43"/>
      <c r="M138" s="37"/>
      <c r="N138" s="47">
        <f>ROUND((ROUND((_11_A身体８．５*_11・基礎１),0)*_11・２人),0)</f>
        <v>1222</v>
      </c>
      <c r="O138" s="48"/>
    </row>
    <row r="139" spans="1:15" ht="16.5" customHeight="1" x14ac:dyDescent="0.15">
      <c r="A139" s="41">
        <v>11</v>
      </c>
      <c r="B139" s="41" t="s">
        <v>611</v>
      </c>
      <c r="C139" s="42" t="s">
        <v>612</v>
      </c>
      <c r="D139" s="66"/>
      <c r="F139" s="53"/>
      <c r="G139" s="49"/>
      <c r="H139" s="50"/>
      <c r="I139" s="44"/>
      <c r="J139" s="45"/>
      <c r="K139" s="46"/>
      <c r="L139" s="707" t="s">
        <v>404</v>
      </c>
      <c r="M139" s="708"/>
      <c r="N139" s="47">
        <f>ROUND((_11_A身体８．５*_11・初任),0)</f>
        <v>1222</v>
      </c>
      <c r="O139" s="48"/>
    </row>
    <row r="140" spans="1:15" ht="16.5" customHeight="1" x14ac:dyDescent="0.15">
      <c r="A140" s="41">
        <v>11</v>
      </c>
      <c r="B140" s="41" t="s">
        <v>613</v>
      </c>
      <c r="C140" s="42" t="s">
        <v>614</v>
      </c>
      <c r="D140" s="66"/>
      <c r="F140" s="43"/>
      <c r="G140" s="37"/>
      <c r="H140" s="38"/>
      <c r="I140" s="44" t="s">
        <v>397</v>
      </c>
      <c r="J140" s="45" t="s">
        <v>398</v>
      </c>
      <c r="K140" s="46">
        <v>1</v>
      </c>
      <c r="L140" s="709"/>
      <c r="M140" s="704"/>
      <c r="N140" s="47">
        <f>ROUND((ROUND((_11_A身体８．５*_11・２人),0)*_11・初任),0)</f>
        <v>1222</v>
      </c>
      <c r="O140" s="48"/>
    </row>
    <row r="141" spans="1:15" ht="16.5" customHeight="1" x14ac:dyDescent="0.15">
      <c r="A141" s="41">
        <v>11</v>
      </c>
      <c r="B141" s="41" t="s">
        <v>615</v>
      </c>
      <c r="C141" s="42" t="s">
        <v>616</v>
      </c>
      <c r="D141" s="67"/>
      <c r="F141" s="710" t="s">
        <v>400</v>
      </c>
      <c r="G141" s="49" t="s">
        <v>398</v>
      </c>
      <c r="H141" s="50">
        <v>0.7</v>
      </c>
      <c r="I141" s="44"/>
      <c r="J141" s="45"/>
      <c r="K141" s="46"/>
      <c r="L141" s="709"/>
      <c r="M141" s="704"/>
      <c r="N141" s="47">
        <f>ROUND((ROUND((_11_A身体８．５*_11・基礎１),0)*_11・初任),0)</f>
        <v>855</v>
      </c>
      <c r="O141" s="48"/>
    </row>
    <row r="142" spans="1:15" ht="16.5" customHeight="1" x14ac:dyDescent="0.15">
      <c r="A142" s="41">
        <v>11</v>
      </c>
      <c r="B142" s="41" t="s">
        <v>617</v>
      </c>
      <c r="C142" s="42" t="s">
        <v>618</v>
      </c>
      <c r="D142" s="67"/>
      <c r="F142" s="711"/>
      <c r="G142" s="37"/>
      <c r="H142" s="38"/>
      <c r="I142" s="44" t="s">
        <v>397</v>
      </c>
      <c r="J142" s="45" t="s">
        <v>398</v>
      </c>
      <c r="K142" s="46">
        <v>1</v>
      </c>
      <c r="L142" s="55" t="s">
        <v>398</v>
      </c>
      <c r="M142" s="38">
        <f>_11・初任</f>
        <v>0.7</v>
      </c>
      <c r="N142" s="47">
        <f>ROUND((ROUND((ROUND((_11_A身体８．５*_11・基礎１),0)*_11・２人),0)*_11・初任),0)</f>
        <v>855</v>
      </c>
      <c r="O142" s="48"/>
    </row>
    <row r="143" spans="1:15" ht="16.5" customHeight="1" x14ac:dyDescent="0.15">
      <c r="A143" s="41">
        <v>11</v>
      </c>
      <c r="B143" s="41">
        <v>1179</v>
      </c>
      <c r="C143" s="42" t="s">
        <v>619</v>
      </c>
      <c r="D143" s="712" t="s">
        <v>620</v>
      </c>
      <c r="E143" s="717"/>
      <c r="F143" s="53"/>
      <c r="G143" s="49"/>
      <c r="H143" s="50"/>
      <c r="I143" s="44"/>
      <c r="J143" s="45"/>
      <c r="K143" s="46"/>
      <c r="L143" s="53"/>
      <c r="M143" s="49"/>
      <c r="N143" s="47">
        <f>_11_A身体９．０</f>
        <v>1829</v>
      </c>
      <c r="O143" s="48"/>
    </row>
    <row r="144" spans="1:15" ht="16.5" customHeight="1" x14ac:dyDescent="0.15">
      <c r="A144" s="41">
        <v>11</v>
      </c>
      <c r="B144" s="41">
        <v>1180</v>
      </c>
      <c r="C144" s="42" t="s">
        <v>621</v>
      </c>
      <c r="D144" s="703"/>
      <c r="E144" s="718"/>
      <c r="F144" s="43"/>
      <c r="G144" s="37"/>
      <c r="H144" s="38"/>
      <c r="I144" s="44" t="s">
        <v>397</v>
      </c>
      <c r="J144" s="45" t="s">
        <v>398</v>
      </c>
      <c r="K144" s="46">
        <v>1</v>
      </c>
      <c r="L144" s="35"/>
      <c r="N144" s="47">
        <f>ROUND((_11_A身体９．０*_11・２人),0)</f>
        <v>1829</v>
      </c>
      <c r="O144" s="48"/>
    </row>
    <row r="145" spans="1:15" ht="16.5" customHeight="1" x14ac:dyDescent="0.15">
      <c r="A145" s="41">
        <v>11</v>
      </c>
      <c r="B145" s="41">
        <v>1181</v>
      </c>
      <c r="C145" s="42" t="s">
        <v>622</v>
      </c>
      <c r="D145" s="703"/>
      <c r="E145" s="718"/>
      <c r="F145" s="710" t="s">
        <v>400</v>
      </c>
      <c r="G145" s="49" t="s">
        <v>398</v>
      </c>
      <c r="H145" s="50">
        <v>0.7</v>
      </c>
      <c r="I145" s="44"/>
      <c r="J145" s="45"/>
      <c r="K145" s="46"/>
      <c r="L145" s="35"/>
      <c r="N145" s="47">
        <f>ROUND((_11_A身体９．０*_11・基礎１),0)</f>
        <v>1280</v>
      </c>
      <c r="O145" s="48"/>
    </row>
    <row r="146" spans="1:15" ht="16.5" customHeight="1" x14ac:dyDescent="0.15">
      <c r="A146" s="41">
        <v>11</v>
      </c>
      <c r="B146" s="41">
        <v>1182</v>
      </c>
      <c r="C146" s="42" t="s">
        <v>623</v>
      </c>
      <c r="D146" s="51">
        <f>_11_A身体９．０</f>
        <v>1829</v>
      </c>
      <c r="E146" s="12" t="s">
        <v>392</v>
      </c>
      <c r="F146" s="711"/>
      <c r="G146" s="37"/>
      <c r="H146" s="38"/>
      <c r="I146" s="44" t="s">
        <v>397</v>
      </c>
      <c r="J146" s="45" t="s">
        <v>398</v>
      </c>
      <c r="K146" s="46">
        <v>1</v>
      </c>
      <c r="L146" s="43"/>
      <c r="M146" s="37"/>
      <c r="N146" s="47">
        <f>ROUND((ROUND((_11_A身体９．０*_11・基礎１),0)*_11・２人),0)</f>
        <v>1280</v>
      </c>
      <c r="O146" s="48"/>
    </row>
    <row r="147" spans="1:15" ht="16.5" customHeight="1" x14ac:dyDescent="0.15">
      <c r="A147" s="41">
        <v>11</v>
      </c>
      <c r="B147" s="41" t="s">
        <v>624</v>
      </c>
      <c r="C147" s="42" t="s">
        <v>625</v>
      </c>
      <c r="D147" s="66"/>
      <c r="F147" s="53"/>
      <c r="G147" s="49"/>
      <c r="H147" s="50"/>
      <c r="I147" s="44"/>
      <c r="J147" s="45"/>
      <c r="K147" s="46"/>
      <c r="L147" s="707" t="s">
        <v>404</v>
      </c>
      <c r="M147" s="708"/>
      <c r="N147" s="47">
        <f>ROUND((_11_A身体９．０*_11・初任),0)</f>
        <v>1280</v>
      </c>
      <c r="O147" s="48"/>
    </row>
    <row r="148" spans="1:15" ht="16.5" customHeight="1" x14ac:dyDescent="0.15">
      <c r="A148" s="41">
        <v>11</v>
      </c>
      <c r="B148" s="41" t="s">
        <v>626</v>
      </c>
      <c r="C148" s="42" t="s">
        <v>627</v>
      </c>
      <c r="D148" s="66"/>
      <c r="F148" s="43"/>
      <c r="G148" s="37"/>
      <c r="H148" s="38"/>
      <c r="I148" s="44" t="s">
        <v>397</v>
      </c>
      <c r="J148" s="45" t="s">
        <v>398</v>
      </c>
      <c r="K148" s="46">
        <v>1</v>
      </c>
      <c r="L148" s="709"/>
      <c r="M148" s="704"/>
      <c r="N148" s="47">
        <f>ROUND((ROUND((_11_A身体９．０*_11・２人),0)*_11・初任),0)</f>
        <v>1280</v>
      </c>
      <c r="O148" s="48"/>
    </row>
    <row r="149" spans="1:15" ht="16.5" customHeight="1" x14ac:dyDescent="0.15">
      <c r="A149" s="41">
        <v>11</v>
      </c>
      <c r="B149" s="41" t="s">
        <v>628</v>
      </c>
      <c r="C149" s="42" t="s">
        <v>629</v>
      </c>
      <c r="D149" s="67"/>
      <c r="F149" s="710" t="s">
        <v>400</v>
      </c>
      <c r="G149" s="49" t="s">
        <v>398</v>
      </c>
      <c r="H149" s="50">
        <v>0.7</v>
      </c>
      <c r="I149" s="44"/>
      <c r="J149" s="45"/>
      <c r="K149" s="46"/>
      <c r="L149" s="709"/>
      <c r="M149" s="704"/>
      <c r="N149" s="47">
        <f>ROUND((ROUND((_11_A身体９．０*_11・基礎１),0)*_11・初任),0)</f>
        <v>896</v>
      </c>
      <c r="O149" s="48"/>
    </row>
    <row r="150" spans="1:15" ht="16.5" customHeight="1" x14ac:dyDescent="0.15">
      <c r="A150" s="41">
        <v>11</v>
      </c>
      <c r="B150" s="41" t="s">
        <v>630</v>
      </c>
      <c r="C150" s="42" t="s">
        <v>631</v>
      </c>
      <c r="D150" s="67"/>
      <c r="F150" s="711"/>
      <c r="G150" s="37"/>
      <c r="H150" s="38"/>
      <c r="I150" s="44" t="s">
        <v>397</v>
      </c>
      <c r="J150" s="45" t="s">
        <v>398</v>
      </c>
      <c r="K150" s="46">
        <v>1</v>
      </c>
      <c r="L150" s="55" t="s">
        <v>398</v>
      </c>
      <c r="M150" s="38">
        <f>_11・初任</f>
        <v>0.7</v>
      </c>
      <c r="N150" s="47">
        <f>ROUND((ROUND((ROUND((_11_A身体９．０*_11・基礎１),0)*_11・２人),0)*_11・初任),0)</f>
        <v>896</v>
      </c>
      <c r="O150" s="48"/>
    </row>
    <row r="151" spans="1:15" ht="16.5" customHeight="1" x14ac:dyDescent="0.15">
      <c r="A151" s="41">
        <v>11</v>
      </c>
      <c r="B151" s="41">
        <v>1183</v>
      </c>
      <c r="C151" s="42" t="s">
        <v>632</v>
      </c>
      <c r="D151" s="712" t="s">
        <v>633</v>
      </c>
      <c r="E151" s="717"/>
      <c r="F151" s="53"/>
      <c r="G151" s="49"/>
      <c r="H151" s="50"/>
      <c r="I151" s="44"/>
      <c r="J151" s="45"/>
      <c r="K151" s="46"/>
      <c r="L151" s="53"/>
      <c r="M151" s="49"/>
      <c r="N151" s="47">
        <f>_11_A身体９．５</f>
        <v>1912</v>
      </c>
      <c r="O151" s="48"/>
    </row>
    <row r="152" spans="1:15" ht="16.5" customHeight="1" x14ac:dyDescent="0.15">
      <c r="A152" s="41">
        <v>11</v>
      </c>
      <c r="B152" s="41">
        <v>1184</v>
      </c>
      <c r="C152" s="42" t="s">
        <v>634</v>
      </c>
      <c r="D152" s="703"/>
      <c r="E152" s="718"/>
      <c r="F152" s="43"/>
      <c r="G152" s="37"/>
      <c r="H152" s="38"/>
      <c r="I152" s="44" t="s">
        <v>397</v>
      </c>
      <c r="J152" s="45" t="s">
        <v>398</v>
      </c>
      <c r="K152" s="46">
        <v>1</v>
      </c>
      <c r="L152" s="35"/>
      <c r="N152" s="47">
        <f>ROUND((_11_A身体９．５*_11・２人),0)</f>
        <v>1912</v>
      </c>
      <c r="O152" s="48"/>
    </row>
    <row r="153" spans="1:15" ht="16.5" customHeight="1" x14ac:dyDescent="0.15">
      <c r="A153" s="41">
        <v>11</v>
      </c>
      <c r="B153" s="41">
        <v>1185</v>
      </c>
      <c r="C153" s="42" t="s">
        <v>635</v>
      </c>
      <c r="D153" s="703"/>
      <c r="E153" s="718"/>
      <c r="F153" s="710" t="s">
        <v>400</v>
      </c>
      <c r="G153" s="49" t="s">
        <v>398</v>
      </c>
      <c r="H153" s="50">
        <v>0.7</v>
      </c>
      <c r="I153" s="44"/>
      <c r="J153" s="45"/>
      <c r="K153" s="46"/>
      <c r="L153" s="35"/>
      <c r="N153" s="47">
        <f>ROUND((_11_A身体９．５*_11・基礎１),0)</f>
        <v>1338</v>
      </c>
      <c r="O153" s="48"/>
    </row>
    <row r="154" spans="1:15" ht="16.5" customHeight="1" x14ac:dyDescent="0.15">
      <c r="A154" s="41">
        <v>11</v>
      </c>
      <c r="B154" s="41">
        <v>1186</v>
      </c>
      <c r="C154" s="42" t="s">
        <v>636</v>
      </c>
      <c r="D154" s="51">
        <f>_11_A身体９．５</f>
        <v>1912</v>
      </c>
      <c r="E154" s="12" t="s">
        <v>392</v>
      </c>
      <c r="F154" s="711"/>
      <c r="G154" s="37"/>
      <c r="H154" s="38"/>
      <c r="I154" s="44" t="s">
        <v>397</v>
      </c>
      <c r="J154" s="45" t="s">
        <v>398</v>
      </c>
      <c r="K154" s="46">
        <v>1</v>
      </c>
      <c r="L154" s="43"/>
      <c r="M154" s="37"/>
      <c r="N154" s="47">
        <f>ROUND((ROUND((_11_A身体９．５*_11・基礎１),0)*_11・２人),0)</f>
        <v>1338</v>
      </c>
      <c r="O154" s="48"/>
    </row>
    <row r="155" spans="1:15" ht="16.5" customHeight="1" x14ac:dyDescent="0.15">
      <c r="A155" s="41">
        <v>11</v>
      </c>
      <c r="B155" s="41" t="s">
        <v>637</v>
      </c>
      <c r="C155" s="42" t="s">
        <v>638</v>
      </c>
      <c r="D155" s="66"/>
      <c r="F155" s="53"/>
      <c r="G155" s="49"/>
      <c r="H155" s="50"/>
      <c r="I155" s="44"/>
      <c r="J155" s="45"/>
      <c r="K155" s="46"/>
      <c r="L155" s="707" t="s">
        <v>404</v>
      </c>
      <c r="M155" s="708"/>
      <c r="N155" s="47">
        <f>ROUND((_11_A身体９．５*_11・初任),0)</f>
        <v>1338</v>
      </c>
      <c r="O155" s="48"/>
    </row>
    <row r="156" spans="1:15" ht="16.5" customHeight="1" x14ac:dyDescent="0.15">
      <c r="A156" s="41">
        <v>11</v>
      </c>
      <c r="B156" s="41" t="s">
        <v>639</v>
      </c>
      <c r="C156" s="42" t="s">
        <v>640</v>
      </c>
      <c r="D156" s="66"/>
      <c r="F156" s="43"/>
      <c r="G156" s="37"/>
      <c r="H156" s="38"/>
      <c r="I156" s="44" t="s">
        <v>397</v>
      </c>
      <c r="J156" s="45" t="s">
        <v>398</v>
      </c>
      <c r="K156" s="46">
        <v>1</v>
      </c>
      <c r="L156" s="709"/>
      <c r="M156" s="704"/>
      <c r="N156" s="47">
        <f>ROUND((ROUND((_11_A身体９．５*_11・２人),0)*_11・初任),0)</f>
        <v>1338</v>
      </c>
      <c r="O156" s="48"/>
    </row>
    <row r="157" spans="1:15" ht="16.5" customHeight="1" x14ac:dyDescent="0.15">
      <c r="A157" s="41">
        <v>11</v>
      </c>
      <c r="B157" s="41" t="s">
        <v>641</v>
      </c>
      <c r="C157" s="42" t="s">
        <v>642</v>
      </c>
      <c r="D157" s="67"/>
      <c r="F157" s="710" t="s">
        <v>400</v>
      </c>
      <c r="G157" s="49" t="s">
        <v>398</v>
      </c>
      <c r="H157" s="50">
        <v>0.7</v>
      </c>
      <c r="I157" s="44"/>
      <c r="J157" s="45"/>
      <c r="K157" s="46"/>
      <c r="L157" s="709"/>
      <c r="M157" s="704"/>
      <c r="N157" s="47">
        <f>ROUND((ROUND((_11_A身体９．５*_11・基礎１),0)*_11・初任),0)</f>
        <v>937</v>
      </c>
      <c r="O157" s="48"/>
    </row>
    <row r="158" spans="1:15" ht="16.5" customHeight="1" x14ac:dyDescent="0.15">
      <c r="A158" s="41">
        <v>11</v>
      </c>
      <c r="B158" s="41" t="s">
        <v>643</v>
      </c>
      <c r="C158" s="42" t="s">
        <v>644</v>
      </c>
      <c r="D158" s="67"/>
      <c r="F158" s="711"/>
      <c r="G158" s="37"/>
      <c r="H158" s="38"/>
      <c r="I158" s="44" t="s">
        <v>397</v>
      </c>
      <c r="J158" s="45" t="s">
        <v>398</v>
      </c>
      <c r="K158" s="46">
        <v>1</v>
      </c>
      <c r="L158" s="55" t="s">
        <v>398</v>
      </c>
      <c r="M158" s="38">
        <f>_11・初任</f>
        <v>0.7</v>
      </c>
      <c r="N158" s="47">
        <f>ROUND((ROUND((ROUND((_11_A身体９．５*_11・基礎１),0)*_11・２人),0)*_11・初任),0)</f>
        <v>937</v>
      </c>
      <c r="O158" s="48"/>
    </row>
    <row r="159" spans="1:15" ht="16.5" customHeight="1" x14ac:dyDescent="0.15">
      <c r="A159" s="41">
        <v>11</v>
      </c>
      <c r="B159" s="41">
        <v>1187</v>
      </c>
      <c r="C159" s="42" t="s">
        <v>645</v>
      </c>
      <c r="D159" s="712" t="s">
        <v>646</v>
      </c>
      <c r="E159" s="717"/>
      <c r="F159" s="53"/>
      <c r="G159" s="49"/>
      <c r="H159" s="50"/>
      <c r="I159" s="44"/>
      <c r="J159" s="45"/>
      <c r="K159" s="46"/>
      <c r="L159" s="53"/>
      <c r="M159" s="49"/>
      <c r="N159" s="47">
        <f>_11_A身体１０．０</f>
        <v>1995</v>
      </c>
      <c r="O159" s="48"/>
    </row>
    <row r="160" spans="1:15" ht="16.5" customHeight="1" x14ac:dyDescent="0.15">
      <c r="A160" s="41">
        <v>11</v>
      </c>
      <c r="B160" s="41">
        <v>1188</v>
      </c>
      <c r="C160" s="42" t="s">
        <v>647</v>
      </c>
      <c r="D160" s="703"/>
      <c r="E160" s="718"/>
      <c r="F160" s="43"/>
      <c r="G160" s="37"/>
      <c r="H160" s="38"/>
      <c r="I160" s="44" t="s">
        <v>397</v>
      </c>
      <c r="J160" s="45" t="s">
        <v>398</v>
      </c>
      <c r="K160" s="46">
        <v>1</v>
      </c>
      <c r="L160" s="35"/>
      <c r="N160" s="47">
        <f>ROUND((_11_A身体１０．０*_11・２人),0)</f>
        <v>1995</v>
      </c>
      <c r="O160" s="48"/>
    </row>
    <row r="161" spans="1:15" ht="16.5" customHeight="1" x14ac:dyDescent="0.15">
      <c r="A161" s="41">
        <v>11</v>
      </c>
      <c r="B161" s="41">
        <v>1189</v>
      </c>
      <c r="C161" s="42" t="s">
        <v>648</v>
      </c>
      <c r="D161" s="703"/>
      <c r="E161" s="718"/>
      <c r="F161" s="710" t="s">
        <v>400</v>
      </c>
      <c r="G161" s="49" t="s">
        <v>398</v>
      </c>
      <c r="H161" s="50">
        <v>0.7</v>
      </c>
      <c r="I161" s="44"/>
      <c r="J161" s="45"/>
      <c r="K161" s="46"/>
      <c r="L161" s="35"/>
      <c r="N161" s="47">
        <f>ROUND((_11_A身体１０．０*_11・基礎１),0)</f>
        <v>1397</v>
      </c>
      <c r="O161" s="48"/>
    </row>
    <row r="162" spans="1:15" ht="16.5" customHeight="1" x14ac:dyDescent="0.15">
      <c r="A162" s="41">
        <v>11</v>
      </c>
      <c r="B162" s="41">
        <v>1190</v>
      </c>
      <c r="C162" s="42" t="s">
        <v>649</v>
      </c>
      <c r="D162" s="51">
        <f>_11_A身体１０．０</f>
        <v>1995</v>
      </c>
      <c r="E162" s="12" t="s">
        <v>392</v>
      </c>
      <c r="F162" s="711"/>
      <c r="G162" s="37"/>
      <c r="H162" s="38"/>
      <c r="I162" s="44" t="s">
        <v>397</v>
      </c>
      <c r="J162" s="45" t="s">
        <v>398</v>
      </c>
      <c r="K162" s="46">
        <v>1</v>
      </c>
      <c r="L162" s="43"/>
      <c r="M162" s="37"/>
      <c r="N162" s="47">
        <f>ROUND((ROUND((_11_A身体１０．０*_11・基礎１),0)*_11・２人),0)</f>
        <v>1397</v>
      </c>
      <c r="O162" s="48"/>
    </row>
    <row r="163" spans="1:15" ht="16.5" customHeight="1" x14ac:dyDescent="0.15">
      <c r="A163" s="41">
        <v>11</v>
      </c>
      <c r="B163" s="41" t="s">
        <v>650</v>
      </c>
      <c r="C163" s="42" t="s">
        <v>651</v>
      </c>
      <c r="D163" s="66"/>
      <c r="F163" s="53"/>
      <c r="G163" s="49"/>
      <c r="H163" s="50"/>
      <c r="I163" s="44"/>
      <c r="J163" s="45"/>
      <c r="K163" s="46"/>
      <c r="L163" s="707" t="s">
        <v>404</v>
      </c>
      <c r="M163" s="708"/>
      <c r="N163" s="47">
        <f>ROUND((_11_A身体１０．０*_11・初任),0)</f>
        <v>1397</v>
      </c>
      <c r="O163" s="48"/>
    </row>
    <row r="164" spans="1:15" ht="16.5" customHeight="1" x14ac:dyDescent="0.15">
      <c r="A164" s="41">
        <v>11</v>
      </c>
      <c r="B164" s="41" t="s">
        <v>652</v>
      </c>
      <c r="C164" s="42" t="s">
        <v>653</v>
      </c>
      <c r="D164" s="66"/>
      <c r="F164" s="43"/>
      <c r="G164" s="37"/>
      <c r="H164" s="38"/>
      <c r="I164" s="44" t="s">
        <v>397</v>
      </c>
      <c r="J164" s="45" t="s">
        <v>398</v>
      </c>
      <c r="K164" s="46">
        <v>1</v>
      </c>
      <c r="L164" s="709"/>
      <c r="M164" s="704"/>
      <c r="N164" s="47">
        <f>ROUND((ROUND((_11_A身体１０．０*_11・２人),0)*_11・初任),0)</f>
        <v>1397</v>
      </c>
      <c r="O164" s="48"/>
    </row>
    <row r="165" spans="1:15" ht="16.5" customHeight="1" x14ac:dyDescent="0.15">
      <c r="A165" s="41">
        <v>11</v>
      </c>
      <c r="B165" s="41" t="s">
        <v>654</v>
      </c>
      <c r="C165" s="42" t="s">
        <v>655</v>
      </c>
      <c r="D165" s="67"/>
      <c r="F165" s="710" t="s">
        <v>400</v>
      </c>
      <c r="G165" s="49" t="s">
        <v>398</v>
      </c>
      <c r="H165" s="50">
        <v>0.7</v>
      </c>
      <c r="I165" s="44"/>
      <c r="J165" s="45"/>
      <c r="K165" s="46"/>
      <c r="L165" s="709"/>
      <c r="M165" s="704"/>
      <c r="N165" s="47">
        <f>ROUND((ROUND((_11_A身体１０．０*_11・基礎１),0)*_11・初任),0)</f>
        <v>978</v>
      </c>
      <c r="O165" s="48"/>
    </row>
    <row r="166" spans="1:15" ht="16.5" customHeight="1" x14ac:dyDescent="0.15">
      <c r="A166" s="41">
        <v>11</v>
      </c>
      <c r="B166" s="41" t="s">
        <v>656</v>
      </c>
      <c r="C166" s="42" t="s">
        <v>657</v>
      </c>
      <c r="D166" s="67"/>
      <c r="F166" s="711"/>
      <c r="G166" s="37"/>
      <c r="H166" s="38"/>
      <c r="I166" s="44" t="s">
        <v>397</v>
      </c>
      <c r="J166" s="45" t="s">
        <v>398</v>
      </c>
      <c r="K166" s="46">
        <v>1</v>
      </c>
      <c r="L166" s="55" t="s">
        <v>398</v>
      </c>
      <c r="M166" s="38">
        <f>_11・初任</f>
        <v>0.7</v>
      </c>
      <c r="N166" s="47">
        <f>ROUND((ROUND((ROUND((_11_A身体１０．０*_11・基礎１),0)*_11・２人),0)*_11・初任),0)</f>
        <v>978</v>
      </c>
      <c r="O166" s="48"/>
    </row>
    <row r="167" spans="1:15" ht="16.5" customHeight="1" x14ac:dyDescent="0.15">
      <c r="A167" s="41">
        <v>11</v>
      </c>
      <c r="B167" s="41">
        <v>1191</v>
      </c>
      <c r="C167" s="42" t="s">
        <v>658</v>
      </c>
      <c r="D167" s="712" t="s">
        <v>659</v>
      </c>
      <c r="E167" s="717"/>
      <c r="F167" s="53"/>
      <c r="G167" s="49"/>
      <c r="H167" s="50"/>
      <c r="I167" s="44"/>
      <c r="J167" s="45"/>
      <c r="K167" s="46"/>
      <c r="L167" s="53"/>
      <c r="M167" s="49"/>
      <c r="N167" s="47">
        <f>_11_A身体１０．５</f>
        <v>2078</v>
      </c>
      <c r="O167" s="48"/>
    </row>
    <row r="168" spans="1:15" ht="16.5" customHeight="1" x14ac:dyDescent="0.15">
      <c r="A168" s="41">
        <v>11</v>
      </c>
      <c r="B168" s="41">
        <v>1192</v>
      </c>
      <c r="C168" s="42" t="s">
        <v>660</v>
      </c>
      <c r="D168" s="703"/>
      <c r="E168" s="718"/>
      <c r="F168" s="43"/>
      <c r="G168" s="37"/>
      <c r="H168" s="38"/>
      <c r="I168" s="44" t="s">
        <v>397</v>
      </c>
      <c r="J168" s="45" t="s">
        <v>398</v>
      </c>
      <c r="K168" s="46">
        <v>1</v>
      </c>
      <c r="L168" s="35"/>
      <c r="N168" s="47">
        <f>ROUND((_11_A身体１０．５*_11・２人),0)</f>
        <v>2078</v>
      </c>
      <c r="O168" s="48"/>
    </row>
    <row r="169" spans="1:15" ht="16.5" customHeight="1" x14ac:dyDescent="0.15">
      <c r="A169" s="41">
        <v>11</v>
      </c>
      <c r="B169" s="41">
        <v>1193</v>
      </c>
      <c r="C169" s="42" t="s">
        <v>661</v>
      </c>
      <c r="D169" s="703"/>
      <c r="E169" s="718"/>
      <c r="F169" s="710" t="s">
        <v>400</v>
      </c>
      <c r="G169" s="49" t="s">
        <v>398</v>
      </c>
      <c r="H169" s="50">
        <v>0.7</v>
      </c>
      <c r="I169" s="44"/>
      <c r="J169" s="45"/>
      <c r="K169" s="46"/>
      <c r="L169" s="35"/>
      <c r="N169" s="47">
        <f>ROUND((_11_A身体１０．５*_11・基礎１),0)</f>
        <v>1455</v>
      </c>
      <c r="O169" s="48"/>
    </row>
    <row r="170" spans="1:15" ht="16.5" customHeight="1" x14ac:dyDescent="0.15">
      <c r="A170" s="41">
        <v>11</v>
      </c>
      <c r="B170" s="41">
        <v>1194</v>
      </c>
      <c r="C170" s="42" t="s">
        <v>662</v>
      </c>
      <c r="D170" s="51">
        <f>_11_A身体１０．５</f>
        <v>2078</v>
      </c>
      <c r="E170" s="12" t="s">
        <v>392</v>
      </c>
      <c r="F170" s="711"/>
      <c r="G170" s="37"/>
      <c r="H170" s="38"/>
      <c r="I170" s="44" t="s">
        <v>397</v>
      </c>
      <c r="J170" s="45" t="s">
        <v>398</v>
      </c>
      <c r="K170" s="46">
        <v>1</v>
      </c>
      <c r="L170" s="43"/>
      <c r="M170" s="37"/>
      <c r="N170" s="47">
        <f>ROUND((ROUND((_11_A身体１０．５*_11・基礎１),0)*_11・２人),0)</f>
        <v>1455</v>
      </c>
      <c r="O170" s="48"/>
    </row>
    <row r="171" spans="1:15" ht="16.5" customHeight="1" x14ac:dyDescent="0.15">
      <c r="A171" s="41">
        <v>11</v>
      </c>
      <c r="B171" s="41" t="s">
        <v>663</v>
      </c>
      <c r="C171" s="42" t="s">
        <v>664</v>
      </c>
      <c r="D171" s="66"/>
      <c r="F171" s="53"/>
      <c r="G171" s="49"/>
      <c r="H171" s="50"/>
      <c r="I171" s="44"/>
      <c r="J171" s="45"/>
      <c r="K171" s="46"/>
      <c r="L171" s="707" t="s">
        <v>404</v>
      </c>
      <c r="M171" s="717"/>
      <c r="N171" s="47">
        <f>ROUND((_11_A身体１０．５*_11・初任),0)</f>
        <v>1455</v>
      </c>
      <c r="O171" s="48"/>
    </row>
    <row r="172" spans="1:15" ht="16.5" customHeight="1" x14ac:dyDescent="0.15">
      <c r="A172" s="41">
        <v>11</v>
      </c>
      <c r="B172" s="41" t="s">
        <v>665</v>
      </c>
      <c r="C172" s="42" t="s">
        <v>666</v>
      </c>
      <c r="D172" s="66"/>
      <c r="F172" s="43"/>
      <c r="G172" s="37"/>
      <c r="H172" s="38"/>
      <c r="I172" s="44" t="s">
        <v>397</v>
      </c>
      <c r="J172" s="45" t="s">
        <v>398</v>
      </c>
      <c r="K172" s="46">
        <v>1</v>
      </c>
      <c r="L172" s="709"/>
      <c r="M172" s="718"/>
      <c r="N172" s="47">
        <f>ROUND((ROUND((_11_A身体１０．５*_11・２人),0)*_11・初任),0)</f>
        <v>1455</v>
      </c>
      <c r="O172" s="48"/>
    </row>
    <row r="173" spans="1:15" ht="16.5" customHeight="1" x14ac:dyDescent="0.15">
      <c r="A173" s="41">
        <v>11</v>
      </c>
      <c r="B173" s="41" t="s">
        <v>667</v>
      </c>
      <c r="C173" s="42" t="s">
        <v>668</v>
      </c>
      <c r="D173" s="69"/>
      <c r="F173" s="710" t="s">
        <v>400</v>
      </c>
      <c r="G173" s="49" t="s">
        <v>398</v>
      </c>
      <c r="H173" s="50">
        <v>0.7</v>
      </c>
      <c r="I173" s="44"/>
      <c r="J173" s="45"/>
      <c r="K173" s="46"/>
      <c r="L173" s="709"/>
      <c r="M173" s="718"/>
      <c r="N173" s="47">
        <f>ROUND((ROUND((_11_A身体１０．５*_11・基礎１),0)*_11・初任),0)</f>
        <v>1019</v>
      </c>
      <c r="O173" s="48"/>
    </row>
    <row r="174" spans="1:15" ht="16.5" customHeight="1" x14ac:dyDescent="0.15">
      <c r="A174" s="41">
        <v>11</v>
      </c>
      <c r="B174" s="41" t="s">
        <v>669</v>
      </c>
      <c r="C174" s="42" t="s">
        <v>670</v>
      </c>
      <c r="D174" s="70"/>
      <c r="E174" s="37"/>
      <c r="F174" s="711"/>
      <c r="G174" s="37"/>
      <c r="H174" s="38"/>
      <c r="I174" s="44" t="s">
        <v>397</v>
      </c>
      <c r="J174" s="45" t="s">
        <v>398</v>
      </c>
      <c r="K174" s="46">
        <v>1</v>
      </c>
      <c r="L174" s="55" t="s">
        <v>398</v>
      </c>
      <c r="M174" s="38">
        <f>_11・初任</f>
        <v>0.7</v>
      </c>
      <c r="N174" s="47">
        <f>ROUND((ROUND((ROUND((_11_A身体１０．５*_11・基礎１),0)*_11・２人),0)*_11・初任),0)</f>
        <v>1019</v>
      </c>
      <c r="O174" s="63"/>
    </row>
    <row r="175" spans="1:15" ht="16.5" customHeight="1" x14ac:dyDescent="0.15"/>
    <row r="176" spans="1:15" ht="16.5" customHeight="1" x14ac:dyDescent="0.15"/>
  </sheetData>
  <mergeCells count="84">
    <mergeCell ref="L163:M165"/>
    <mergeCell ref="F165:F166"/>
    <mergeCell ref="D167:E169"/>
    <mergeCell ref="F169:F170"/>
    <mergeCell ref="L171:M173"/>
    <mergeCell ref="F173:F174"/>
    <mergeCell ref="D151:E153"/>
    <mergeCell ref="F153:F154"/>
    <mergeCell ref="L155:M157"/>
    <mergeCell ref="F157:F158"/>
    <mergeCell ref="D159:E161"/>
    <mergeCell ref="F161:F162"/>
    <mergeCell ref="L139:M141"/>
    <mergeCell ref="F141:F142"/>
    <mergeCell ref="D143:E145"/>
    <mergeCell ref="F145:F146"/>
    <mergeCell ref="L147:M149"/>
    <mergeCell ref="F149:F150"/>
    <mergeCell ref="D127:E129"/>
    <mergeCell ref="F129:F130"/>
    <mergeCell ref="L131:M133"/>
    <mergeCell ref="F133:F134"/>
    <mergeCell ref="D135:E137"/>
    <mergeCell ref="F137:F138"/>
    <mergeCell ref="L115:M117"/>
    <mergeCell ref="F117:F118"/>
    <mergeCell ref="D119:E121"/>
    <mergeCell ref="F121:F122"/>
    <mergeCell ref="L123:M125"/>
    <mergeCell ref="F125:F126"/>
    <mergeCell ref="D103:E105"/>
    <mergeCell ref="F105:F106"/>
    <mergeCell ref="L107:M109"/>
    <mergeCell ref="F109:F110"/>
    <mergeCell ref="D111:E113"/>
    <mergeCell ref="F113:F114"/>
    <mergeCell ref="L91:M93"/>
    <mergeCell ref="F93:F94"/>
    <mergeCell ref="D95:E97"/>
    <mergeCell ref="F97:F98"/>
    <mergeCell ref="L99:M101"/>
    <mergeCell ref="F101:F102"/>
    <mergeCell ref="D79:E81"/>
    <mergeCell ref="F81:F82"/>
    <mergeCell ref="L83:M85"/>
    <mergeCell ref="F85:F86"/>
    <mergeCell ref="D87:E89"/>
    <mergeCell ref="F89:F90"/>
    <mergeCell ref="L67:M69"/>
    <mergeCell ref="F69:F70"/>
    <mergeCell ref="D71:E73"/>
    <mergeCell ref="F73:F74"/>
    <mergeCell ref="L75:M77"/>
    <mergeCell ref="F77:F78"/>
    <mergeCell ref="D55:E57"/>
    <mergeCell ref="F57:F58"/>
    <mergeCell ref="L59:M61"/>
    <mergeCell ref="F61:F62"/>
    <mergeCell ref="D63:E65"/>
    <mergeCell ref="F65:F66"/>
    <mergeCell ref="L43:M45"/>
    <mergeCell ref="F45:F46"/>
    <mergeCell ref="D47:E49"/>
    <mergeCell ref="F49:F50"/>
    <mergeCell ref="L51:M53"/>
    <mergeCell ref="F53:F54"/>
    <mergeCell ref="D31:E33"/>
    <mergeCell ref="F33:F34"/>
    <mergeCell ref="L35:M37"/>
    <mergeCell ref="F37:F38"/>
    <mergeCell ref="D39:E41"/>
    <mergeCell ref="F41:F42"/>
    <mergeCell ref="L19:M21"/>
    <mergeCell ref="F21:F22"/>
    <mergeCell ref="D23:E25"/>
    <mergeCell ref="F25:F26"/>
    <mergeCell ref="L27:M29"/>
    <mergeCell ref="F29:F30"/>
    <mergeCell ref="D7:E9"/>
    <mergeCell ref="F9:F10"/>
    <mergeCell ref="L11:M13"/>
    <mergeCell ref="F13:F14"/>
    <mergeCell ref="D15:E17"/>
    <mergeCell ref="F17:F18"/>
  </mergeCells>
  <phoneticPr fontId="1"/>
  <printOptions horizontalCentered="1"/>
  <pageMargins left="0.70866141732283472" right="0.70866141732283472" top="0.74803149606299213" bottom="0.74803149606299213" header="0.31496062992125984" footer="0.31496062992125984"/>
  <pageSetup paperSize="9" scale="65" fitToHeight="0" orientation="portrait" r:id="rId1"/>
  <headerFooter>
    <oddHeader>&amp;R&amp;"ＭＳ Ｐゴシック"&amp;9居宅介護</oddHeader>
    <oddFooter>&amp;C&amp;"ＭＳ Ｐゴシック"&amp;14&amp;P</oddFooter>
  </headerFooter>
  <rowBreaks count="2" manualBreakCount="2">
    <brk id="70" max="14" man="1"/>
    <brk id="134" max="1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pageSetUpPr fitToPage="1"/>
  </sheetPr>
  <dimension ref="A1:Y167"/>
  <sheetViews>
    <sheetView view="pageBreakPreview" zoomScale="80" zoomScaleNormal="100" zoomScaleSheetLayoutView="80" workbookViewId="0"/>
  </sheetViews>
  <sheetFormatPr defaultColWidth="8.875" defaultRowHeight="14.25" x14ac:dyDescent="0.15"/>
  <cols>
    <col min="1" max="1" width="4.5" style="9" customWidth="1"/>
    <col min="2" max="2" width="7.5" style="9" customWidth="1"/>
    <col min="3" max="3" width="48.5" style="10" bestFit="1" customWidth="1"/>
    <col min="4" max="4" width="4.875" style="10" customWidth="1"/>
    <col min="5" max="5" width="4.5" style="117" bestFit="1" customWidth="1"/>
    <col min="6" max="6" width="4.875" style="10" customWidth="1"/>
    <col min="7" max="7" width="4.5" style="117" bestFit="1" customWidth="1"/>
    <col min="8" max="8" width="4.875" style="10" customWidth="1"/>
    <col min="9" max="9" width="4.5" style="117" bestFit="1" customWidth="1"/>
    <col min="10" max="10" width="11.875" style="12" customWidth="1"/>
    <col min="11" max="11" width="3.5" style="12" bestFit="1" customWidth="1"/>
    <col min="12" max="12" width="4.5" style="13" bestFit="1" customWidth="1"/>
    <col min="13" max="13" width="24.875" style="14" bestFit="1" customWidth="1"/>
    <col min="14" max="14" width="3.5" style="12" bestFit="1" customWidth="1"/>
    <col min="15" max="15" width="5.5" style="13" bestFit="1" customWidth="1"/>
    <col min="16" max="16" width="3.5" style="12" bestFit="1" customWidth="1"/>
    <col min="17" max="17" width="4.5" style="13" bestFit="1" customWidth="1"/>
    <col min="18" max="18" width="5.5" style="12" bestFit="1" customWidth="1"/>
    <col min="19" max="19" width="3.5" style="12" bestFit="1" customWidth="1"/>
    <col min="20" max="20" width="4.5" style="13" bestFit="1" customWidth="1"/>
    <col min="21" max="21" width="5.5" style="12" bestFit="1" customWidth="1"/>
    <col min="22" max="22" width="9.875" style="12" customWidth="1"/>
    <col min="23" max="23" width="4.5" style="12" bestFit="1" customWidth="1"/>
    <col min="24" max="24" width="7.125" style="15" customWidth="1"/>
    <col min="25" max="25" width="8.5" style="16" customWidth="1"/>
    <col min="26" max="16384" width="8.875" style="12"/>
  </cols>
  <sheetData>
    <row r="1" spans="1:25" ht="17.100000000000001" customHeight="1" x14ac:dyDescent="0.15"/>
    <row r="2" spans="1:25" ht="17.100000000000001" customHeight="1" x14ac:dyDescent="0.15"/>
    <row r="3" spans="1:25" ht="17.100000000000001" customHeight="1" x14ac:dyDescent="0.15"/>
    <row r="4" spans="1:25" ht="17.100000000000001" customHeight="1" x14ac:dyDescent="0.15">
      <c r="B4" s="17" t="s">
        <v>6321</v>
      </c>
      <c r="D4" s="71"/>
    </row>
    <row r="5" spans="1:25" ht="16.5" customHeight="1" x14ac:dyDescent="0.15">
      <c r="A5" s="19" t="s">
        <v>384</v>
      </c>
      <c r="B5" s="20"/>
      <c r="C5" s="21" t="s">
        <v>385</v>
      </c>
      <c r="D5" s="23" t="s">
        <v>386</v>
      </c>
      <c r="E5" s="118"/>
      <c r="F5" s="23"/>
      <c r="G5" s="118"/>
      <c r="H5" s="23"/>
      <c r="I5" s="118"/>
      <c r="J5" s="23"/>
      <c r="K5" s="23"/>
      <c r="L5" s="24"/>
      <c r="M5" s="23"/>
      <c r="N5" s="23"/>
      <c r="O5" s="24"/>
      <c r="P5" s="23"/>
      <c r="Q5" s="24"/>
      <c r="R5" s="23"/>
      <c r="S5" s="23"/>
      <c r="T5" s="24"/>
      <c r="U5" s="23"/>
      <c r="V5" s="23"/>
      <c r="W5" s="23"/>
      <c r="X5" s="25" t="s">
        <v>387</v>
      </c>
      <c r="Y5" s="21" t="s">
        <v>388</v>
      </c>
    </row>
    <row r="6" spans="1:25" ht="16.5" customHeight="1" x14ac:dyDescent="0.15">
      <c r="A6" s="26" t="s">
        <v>389</v>
      </c>
      <c r="B6" s="26" t="s">
        <v>390</v>
      </c>
      <c r="C6" s="27"/>
      <c r="D6" s="29"/>
      <c r="E6" s="120"/>
      <c r="F6" s="87" t="s">
        <v>1032</v>
      </c>
      <c r="G6" s="124"/>
      <c r="H6" s="87" t="s">
        <v>1033</v>
      </c>
      <c r="I6" s="119"/>
      <c r="J6" s="29"/>
      <c r="K6" s="29"/>
      <c r="L6" s="30"/>
      <c r="M6" s="29"/>
      <c r="N6" s="29"/>
      <c r="O6" s="30"/>
      <c r="P6" s="29"/>
      <c r="Q6" s="30"/>
      <c r="R6" s="29"/>
      <c r="S6" s="29"/>
      <c r="T6" s="30"/>
      <c r="U6" s="29"/>
      <c r="V6" s="29"/>
      <c r="W6" s="29"/>
      <c r="X6" s="31" t="s">
        <v>391</v>
      </c>
      <c r="Y6" s="32" t="s">
        <v>392</v>
      </c>
    </row>
    <row r="7" spans="1:25" ht="16.5" customHeight="1" x14ac:dyDescent="0.15">
      <c r="A7" s="33">
        <v>11</v>
      </c>
      <c r="B7" s="33">
        <v>3743</v>
      </c>
      <c r="C7" s="34" t="s">
        <v>6322</v>
      </c>
      <c r="D7" s="709" t="s">
        <v>5340</v>
      </c>
      <c r="E7" s="718"/>
      <c r="F7" s="709" t="s">
        <v>2409</v>
      </c>
      <c r="G7" s="718"/>
      <c r="H7" s="709" t="s">
        <v>3780</v>
      </c>
      <c r="I7" s="718"/>
      <c r="J7" s="35"/>
      <c r="M7" s="36"/>
      <c r="N7" s="37"/>
      <c r="O7" s="38"/>
      <c r="P7" s="35" t="s">
        <v>1416</v>
      </c>
      <c r="R7" s="57"/>
      <c r="S7" s="35" t="s">
        <v>1618</v>
      </c>
      <c r="U7" s="57"/>
      <c r="V7" s="35"/>
      <c r="X7" s="39">
        <f>_11_A通院１０．５+ROUND((_11_B通院１０．５＿２．０*(1+_11・B夜間)),0)+ROUND((_11_C通院１０．５＿２．０＿０．５*(1+_11・C深夜)),0)</f>
        <v>999</v>
      </c>
      <c r="Y7" s="40" t="s">
        <v>395</v>
      </c>
    </row>
    <row r="8" spans="1:25" ht="16.5" customHeight="1" x14ac:dyDescent="0.15">
      <c r="A8" s="41">
        <v>11</v>
      </c>
      <c r="B8" s="41">
        <v>3744</v>
      </c>
      <c r="C8" s="74" t="s">
        <v>6323</v>
      </c>
      <c r="D8" s="709"/>
      <c r="E8" s="718"/>
      <c r="F8" s="709"/>
      <c r="G8" s="718"/>
      <c r="H8" s="709"/>
      <c r="I8" s="718"/>
      <c r="J8" s="43"/>
      <c r="K8" s="37"/>
      <c r="L8" s="38"/>
      <c r="M8" s="44" t="s">
        <v>397</v>
      </c>
      <c r="N8" s="45" t="s">
        <v>398</v>
      </c>
      <c r="O8" s="46">
        <v>1</v>
      </c>
      <c r="P8" s="35" t="s">
        <v>398</v>
      </c>
      <c r="Q8" s="13">
        <v>0.25</v>
      </c>
      <c r="R8" s="728" t="s">
        <v>676</v>
      </c>
      <c r="S8" s="35" t="s">
        <v>398</v>
      </c>
      <c r="T8" s="13">
        <v>0.5</v>
      </c>
      <c r="U8" s="728" t="s">
        <v>676</v>
      </c>
      <c r="V8" s="35"/>
      <c r="X8" s="47">
        <f>ROUND((_11_A通院１０．５*_11・２人),0)+ROUND((ROUND((_11_B通院１０．５＿２．０*_11・２人),0)*(1+_11・B夜間)),0)+ROUND((ROUND((_11_C通院１０．５＿２．０＿０．５*_11・２人),0)*(1+_11・C深夜)),0)</f>
        <v>999</v>
      </c>
      <c r="Y8" s="48"/>
    </row>
    <row r="9" spans="1:25" ht="16.5" customHeight="1" x14ac:dyDescent="0.15">
      <c r="A9" s="41">
        <v>11</v>
      </c>
      <c r="B9" s="41">
        <v>3745</v>
      </c>
      <c r="C9" s="74" t="s">
        <v>6324</v>
      </c>
      <c r="D9" s="709"/>
      <c r="E9" s="718"/>
      <c r="F9" s="709"/>
      <c r="G9" s="718"/>
      <c r="H9" s="709"/>
      <c r="I9" s="718"/>
      <c r="J9" s="705" t="s">
        <v>400</v>
      </c>
      <c r="K9" s="49" t="s">
        <v>398</v>
      </c>
      <c r="L9" s="50">
        <v>0.7</v>
      </c>
      <c r="M9" s="44"/>
      <c r="N9" s="45"/>
      <c r="O9" s="46"/>
      <c r="P9" s="35"/>
      <c r="R9" s="728"/>
      <c r="S9" s="35"/>
      <c r="U9" s="728"/>
      <c r="V9" s="35"/>
      <c r="X9" s="47">
        <f>ROUND((_11_A通院１０．５*_11・基礎１),0)+ROUND((ROUND((_11_B通院１０．５＿２．０*_11・基礎１),0)*(1+_11・B夜間)),0)+ROUND((ROUND((_11_C通院１０．５＿２．０＿０．５*_11・基礎１),0)*(1+_11・C深夜)),0)</f>
        <v>700</v>
      </c>
      <c r="Y9" s="48"/>
    </row>
    <row r="10" spans="1:25" ht="16.5" customHeight="1" x14ac:dyDescent="0.15">
      <c r="A10" s="41">
        <v>11</v>
      </c>
      <c r="B10" s="41">
        <v>3746</v>
      </c>
      <c r="C10" s="74" t="s">
        <v>6325</v>
      </c>
      <c r="D10" s="100">
        <f>_11_A通院１０．５</f>
        <v>255</v>
      </c>
      <c r="E10" s="99" t="s">
        <v>392</v>
      </c>
      <c r="F10" s="100">
        <f>_11_B通院１０．５＿２．０</f>
        <v>495</v>
      </c>
      <c r="G10" s="99" t="s">
        <v>392</v>
      </c>
      <c r="H10" s="100">
        <f>_11_C通院１０．５＿２．０＿０．５</f>
        <v>83</v>
      </c>
      <c r="I10" s="99" t="s">
        <v>392</v>
      </c>
      <c r="J10" s="757"/>
      <c r="K10" s="37"/>
      <c r="L10" s="38"/>
      <c r="M10" s="44" t="s">
        <v>397</v>
      </c>
      <c r="N10" s="45" t="s">
        <v>398</v>
      </c>
      <c r="O10" s="46">
        <v>1</v>
      </c>
      <c r="P10" s="35"/>
      <c r="R10" s="57"/>
      <c r="S10" s="35"/>
      <c r="U10" s="57"/>
      <c r="V10" s="43"/>
      <c r="W10" s="37"/>
      <c r="X10" s="47">
        <f>ROUND((ROUND((_11_A通院１０．５*_11・基礎１),0)*_11・２人),0)+ROUND((ROUND((ROUND((_11_B通院１０．５＿２．０*_11・基礎１),0)*_11・２人),0)*(1+_11・B夜間)),0)+ROUND((ROUND((ROUND((_11_C通院１０．５＿２．０＿０．５*_11・基礎１),0)*_11・２人),0)*(1+_11・C深夜)),0)</f>
        <v>700</v>
      </c>
      <c r="Y10" s="48"/>
    </row>
    <row r="11" spans="1:25" ht="16.5" customHeight="1" x14ac:dyDescent="0.15">
      <c r="A11" s="41">
        <v>11</v>
      </c>
      <c r="B11" s="41" t="s">
        <v>6326</v>
      </c>
      <c r="C11" s="74" t="s">
        <v>6327</v>
      </c>
      <c r="D11" s="121"/>
      <c r="E11" s="99"/>
      <c r="F11" s="121"/>
      <c r="G11" s="99"/>
      <c r="H11" s="121"/>
      <c r="I11" s="99"/>
      <c r="J11" s="53"/>
      <c r="K11" s="49"/>
      <c r="L11" s="50"/>
      <c r="M11" s="44"/>
      <c r="N11" s="45"/>
      <c r="O11" s="46"/>
      <c r="P11" s="35"/>
      <c r="R11" s="57"/>
      <c r="S11" s="35"/>
      <c r="U11" s="57"/>
      <c r="V11" s="707" t="s">
        <v>404</v>
      </c>
      <c r="W11" s="708"/>
      <c r="X11" s="47">
        <f>ROUND((_11_A通院１０．５*_11・初任),0)+ROUND((ROUND((_11_B通院１０．５＿２．０*(1+_11・B夜間)),0)*_11・初任),0)+ROUND((ROUND((_11_C通院１０．５＿２．０＿０．５*(1+_11・C深夜)),0)*_11・初任),0)</f>
        <v>700</v>
      </c>
      <c r="Y11" s="48"/>
    </row>
    <row r="12" spans="1:25" ht="16.5" customHeight="1" x14ac:dyDescent="0.15">
      <c r="A12" s="41">
        <v>11</v>
      </c>
      <c r="B12" s="41" t="s">
        <v>6328</v>
      </c>
      <c r="C12" s="74" t="s">
        <v>6329</v>
      </c>
      <c r="D12" s="121"/>
      <c r="E12" s="99"/>
      <c r="F12" s="121"/>
      <c r="G12" s="99"/>
      <c r="H12" s="121"/>
      <c r="I12" s="99"/>
      <c r="J12" s="43"/>
      <c r="K12" s="37"/>
      <c r="L12" s="38"/>
      <c r="M12" s="44" t="s">
        <v>397</v>
      </c>
      <c r="N12" s="45" t="s">
        <v>398</v>
      </c>
      <c r="O12" s="46">
        <v>1</v>
      </c>
      <c r="P12" s="35"/>
      <c r="R12" s="57"/>
      <c r="S12" s="35"/>
      <c r="U12" s="57"/>
      <c r="V12" s="709"/>
      <c r="W12" s="704"/>
      <c r="X12" s="47">
        <f>ROUND((ROUND((_11_A通院１０．５*_11・２人),0)*_11・初任),0)+ROUND((ROUND((ROUND((_11_B通院１０．５＿２．０*_11・２人),0)*(1+_11・B夜間)),0)*_11・初任),0)+ROUND((ROUND((ROUND((_11_C通院１０．５＿２．０＿０．５*_11・２人),0)*(1+_11・C深夜)),0)*_11・初任),0)</f>
        <v>700</v>
      </c>
      <c r="Y12" s="48"/>
    </row>
    <row r="13" spans="1:25" ht="16.5" customHeight="1" x14ac:dyDescent="0.15">
      <c r="A13" s="41">
        <v>11</v>
      </c>
      <c r="B13" s="41" t="s">
        <v>6330</v>
      </c>
      <c r="C13" s="74" t="s">
        <v>6331</v>
      </c>
      <c r="D13" s="72"/>
      <c r="E13" s="99"/>
      <c r="F13" s="72"/>
      <c r="G13" s="99"/>
      <c r="H13" s="72"/>
      <c r="I13" s="99"/>
      <c r="J13" s="705" t="s">
        <v>400</v>
      </c>
      <c r="K13" s="49" t="s">
        <v>398</v>
      </c>
      <c r="L13" s="50">
        <v>0.7</v>
      </c>
      <c r="M13" s="44"/>
      <c r="N13" s="45"/>
      <c r="O13" s="46"/>
      <c r="P13" s="35"/>
      <c r="R13" s="57"/>
      <c r="S13" s="35"/>
      <c r="U13" s="57"/>
      <c r="V13" s="709"/>
      <c r="W13" s="704"/>
      <c r="X13" s="47">
        <f>ROUND((ROUND((_11_A通院１０．５*_11・基礎１),0)*_11・初任),0)+ROUND((ROUND((ROUND((_11_B通院１０．５＿２．０*_11・基礎１),0)*(1+_11・B夜間)),0)*_11・初任),0)+ROUND((ROUND((ROUND((_11_C通院１０．５＿２．０＿０．５*_11・基礎１),0)*(1+_11・C深夜)),0)*_11・初任),0)</f>
        <v>490</v>
      </c>
      <c r="Y13" s="48"/>
    </row>
    <row r="14" spans="1:25" ht="16.5" customHeight="1" x14ac:dyDescent="0.15">
      <c r="A14" s="41">
        <v>11</v>
      </c>
      <c r="B14" s="41" t="s">
        <v>6332</v>
      </c>
      <c r="C14" s="74" t="s">
        <v>6333</v>
      </c>
      <c r="D14" s="72"/>
      <c r="E14" s="99"/>
      <c r="F14" s="72"/>
      <c r="G14" s="99"/>
      <c r="H14" s="72"/>
      <c r="I14" s="99"/>
      <c r="J14" s="757"/>
      <c r="K14" s="37"/>
      <c r="L14" s="38"/>
      <c r="M14" s="44" t="s">
        <v>397</v>
      </c>
      <c r="N14" s="45" t="s">
        <v>398</v>
      </c>
      <c r="O14" s="46">
        <v>1</v>
      </c>
      <c r="P14" s="35"/>
      <c r="R14" s="57"/>
      <c r="S14" s="35"/>
      <c r="U14" s="57"/>
      <c r="V14" s="55" t="s">
        <v>398</v>
      </c>
      <c r="W14" s="38">
        <f>_11・初任</f>
        <v>0.7</v>
      </c>
      <c r="X14" s="47">
        <f>ROUND((ROUND((ROUND((_11_A通院１０．５*_11・基礎１),0)*_11・２人),0)*_11・初任),0)+ROUND((ROUND((ROUND((ROUND((_11_B通院１０．５＿２．０*_11・基礎１),0)*_11・２人),0)*(1+_11・B夜間)),0)*_11・初任),0)+ROUND((ROUND((ROUND((ROUND((_11_C通院１０．５＿２．０＿０．５*_11・基礎１),0)*_11・２人),0)*(1+_11・C深夜)),0)*_11・初任),0)</f>
        <v>490</v>
      </c>
      <c r="Y14" s="48"/>
    </row>
    <row r="15" spans="1:25" ht="16.5" customHeight="1" x14ac:dyDescent="0.15">
      <c r="A15" s="41">
        <v>11</v>
      </c>
      <c r="B15" s="41">
        <v>3747</v>
      </c>
      <c r="C15" s="74" t="s">
        <v>6334</v>
      </c>
      <c r="D15" s="72"/>
      <c r="E15" s="99"/>
      <c r="F15" s="707" t="s">
        <v>2422</v>
      </c>
      <c r="G15" s="717"/>
      <c r="H15" s="707" t="s">
        <v>3780</v>
      </c>
      <c r="I15" s="717"/>
      <c r="J15" s="53"/>
      <c r="K15" s="49"/>
      <c r="L15" s="50"/>
      <c r="M15" s="44"/>
      <c r="N15" s="45"/>
      <c r="O15" s="46"/>
      <c r="P15" s="35"/>
      <c r="R15" s="57"/>
      <c r="S15" s="35"/>
      <c r="U15" s="57"/>
      <c r="V15" s="53"/>
      <c r="W15" s="49"/>
      <c r="X15" s="47">
        <f>_11_A通院１０．５+ROUND((_11_B通院１０．５＿１．５*(1+_11・B夜間)),0)+ROUND((_11_C通院１０．５＿１．５＿０．５*(1+_11・C深夜)),0)</f>
        <v>895</v>
      </c>
      <c r="Y15" s="48"/>
    </row>
    <row r="16" spans="1:25" ht="16.5" customHeight="1" x14ac:dyDescent="0.15">
      <c r="A16" s="41">
        <v>11</v>
      </c>
      <c r="B16" s="41">
        <v>3748</v>
      </c>
      <c r="C16" s="74" t="s">
        <v>6335</v>
      </c>
      <c r="D16" s="72"/>
      <c r="E16" s="99"/>
      <c r="F16" s="709"/>
      <c r="G16" s="718"/>
      <c r="H16" s="709"/>
      <c r="I16" s="718"/>
      <c r="J16" s="43"/>
      <c r="K16" s="37"/>
      <c r="L16" s="38"/>
      <c r="M16" s="44" t="s">
        <v>397</v>
      </c>
      <c r="N16" s="45" t="s">
        <v>398</v>
      </c>
      <c r="O16" s="46">
        <v>1</v>
      </c>
      <c r="P16" s="35"/>
      <c r="R16" s="57"/>
      <c r="S16" s="35"/>
      <c r="U16" s="57"/>
      <c r="V16" s="35"/>
      <c r="X16" s="47">
        <f>ROUND((_11_A通院１０．５*_11・２人),0)+ROUND((ROUND((_11_B通院１０．５＿１．５*_11・２人),0)*(1+_11・B夜間)),0)+ROUND((ROUND((_11_C通院１０．５＿１．５＿０．５*_11・２人),0)*(1+_11・C深夜)),0)</f>
        <v>895</v>
      </c>
      <c r="Y16" s="48"/>
    </row>
    <row r="17" spans="1:25" ht="16.5" customHeight="1" x14ac:dyDescent="0.15">
      <c r="A17" s="41">
        <v>11</v>
      </c>
      <c r="B17" s="41">
        <v>3749</v>
      </c>
      <c r="C17" s="74" t="s">
        <v>6336</v>
      </c>
      <c r="D17" s="72"/>
      <c r="E17" s="99"/>
      <c r="F17" s="709"/>
      <c r="G17" s="718"/>
      <c r="H17" s="709"/>
      <c r="I17" s="718"/>
      <c r="J17" s="705" t="s">
        <v>400</v>
      </c>
      <c r="K17" s="49" t="s">
        <v>398</v>
      </c>
      <c r="L17" s="50">
        <v>0.7</v>
      </c>
      <c r="M17" s="44"/>
      <c r="N17" s="45"/>
      <c r="O17" s="46"/>
      <c r="P17" s="35"/>
      <c r="R17" s="57"/>
      <c r="S17" s="35"/>
      <c r="U17" s="57"/>
      <c r="V17" s="35"/>
      <c r="X17" s="47">
        <f>ROUND((_11_A通院１０．５*_11・基礎１),0)+ROUND((ROUND((_11_B通院１０．５＿１．５*_11・基礎１),0)*(1+_11・B夜間)),0)+ROUND((ROUND((_11_C通院１０．５＿１．５＿０．５*_11・基礎１),0)*(1+_11・C深夜)),0)</f>
        <v>628</v>
      </c>
      <c r="Y17" s="48"/>
    </row>
    <row r="18" spans="1:25" ht="16.5" customHeight="1" x14ac:dyDescent="0.15">
      <c r="A18" s="41">
        <v>11</v>
      </c>
      <c r="B18" s="41">
        <v>3750</v>
      </c>
      <c r="C18" s="74" t="s">
        <v>6337</v>
      </c>
      <c r="D18" s="72"/>
      <c r="E18" s="99"/>
      <c r="F18" s="100">
        <f>_11_B通院１０．５＿１．５</f>
        <v>411</v>
      </c>
      <c r="G18" s="99" t="s">
        <v>392</v>
      </c>
      <c r="H18" s="100">
        <f>_11_C通院１０．５＿１．５＿０．５</f>
        <v>84</v>
      </c>
      <c r="I18" s="99" t="s">
        <v>392</v>
      </c>
      <c r="J18" s="757"/>
      <c r="K18" s="37"/>
      <c r="L18" s="38"/>
      <c r="M18" s="44" t="s">
        <v>397</v>
      </c>
      <c r="N18" s="45" t="s">
        <v>398</v>
      </c>
      <c r="O18" s="46">
        <v>1</v>
      </c>
      <c r="P18" s="35"/>
      <c r="R18" s="57"/>
      <c r="S18" s="35"/>
      <c r="U18" s="57"/>
      <c r="V18" s="43"/>
      <c r="W18" s="37"/>
      <c r="X18" s="47">
        <f>ROUND((ROUND((_11_A通院１０．５*_11・基礎１),0)*_11・２人),0)+ROUND((ROUND((ROUND((_11_B通院１０．５＿１．５*_11・基礎１),0)*_11・２人),0)*(1+_11・B夜間)),0)+ROUND((ROUND((ROUND((_11_C通院１０．５＿１．５＿０．５*_11・基礎１),0)*_11・２人),0)*(1+_11・C深夜)),0)</f>
        <v>628</v>
      </c>
      <c r="Y18" s="48"/>
    </row>
    <row r="19" spans="1:25" ht="16.5" customHeight="1" x14ac:dyDescent="0.15">
      <c r="A19" s="41">
        <v>11</v>
      </c>
      <c r="B19" s="41" t="s">
        <v>6338</v>
      </c>
      <c r="C19" s="74" t="s">
        <v>6339</v>
      </c>
      <c r="D19" s="72"/>
      <c r="E19" s="99"/>
      <c r="F19" s="143"/>
      <c r="G19" s="99"/>
      <c r="H19" s="72"/>
      <c r="I19" s="99"/>
      <c r="J19" s="53"/>
      <c r="K19" s="49"/>
      <c r="L19" s="50"/>
      <c r="M19" s="44"/>
      <c r="N19" s="45"/>
      <c r="O19" s="46"/>
      <c r="P19" s="35"/>
      <c r="R19" s="57"/>
      <c r="S19" s="35"/>
      <c r="U19" s="57"/>
      <c r="V19" s="707" t="s">
        <v>404</v>
      </c>
      <c r="W19" s="708"/>
      <c r="X19" s="47">
        <f>ROUND((_11_A通院１０．５*_11・初任),0)+ROUND((ROUND((_11_B通院１０．５＿１．５*(1+_11・B夜間)),0)*_11・初任),0)+ROUND((ROUND((_11_C通院１０．５＿１．５＿０．５*(1+_11・C深夜)),0)*_11・初任),0)</f>
        <v>627</v>
      </c>
      <c r="Y19" s="48"/>
    </row>
    <row r="20" spans="1:25" ht="16.5" customHeight="1" x14ac:dyDescent="0.15">
      <c r="A20" s="41">
        <v>11</v>
      </c>
      <c r="B20" s="41" t="s">
        <v>6340</v>
      </c>
      <c r="C20" s="74" t="s">
        <v>6341</v>
      </c>
      <c r="D20" s="72"/>
      <c r="E20" s="99"/>
      <c r="F20" s="143"/>
      <c r="G20" s="99"/>
      <c r="H20" s="72"/>
      <c r="I20" s="99"/>
      <c r="J20" s="43"/>
      <c r="K20" s="37"/>
      <c r="L20" s="38"/>
      <c r="M20" s="44" t="s">
        <v>397</v>
      </c>
      <c r="N20" s="45" t="s">
        <v>398</v>
      </c>
      <c r="O20" s="46">
        <v>1</v>
      </c>
      <c r="P20" s="35"/>
      <c r="R20" s="57"/>
      <c r="S20" s="35"/>
      <c r="U20" s="57"/>
      <c r="V20" s="709"/>
      <c r="W20" s="704"/>
      <c r="X20" s="47">
        <f>ROUND((ROUND((_11_A通院１０．５*_11・２人),0)*_11・初任),0)+ROUND((ROUND((ROUND((_11_B通院１０．５＿１．５*_11・２人),0)*(1+_11・B夜間)),0)*_11・初任),0)+ROUND((ROUND((ROUND((_11_C通院１０．５＿１．５＿０．５*_11・２人),0)*(1+_11・C深夜)),0)*_11・初任),0)</f>
        <v>627</v>
      </c>
      <c r="Y20" s="48"/>
    </row>
    <row r="21" spans="1:25" ht="16.5" customHeight="1" x14ac:dyDescent="0.15">
      <c r="A21" s="41">
        <v>11</v>
      </c>
      <c r="B21" s="41" t="s">
        <v>6342</v>
      </c>
      <c r="C21" s="74" t="s">
        <v>6343</v>
      </c>
      <c r="D21" s="72"/>
      <c r="E21" s="99"/>
      <c r="F21" s="72"/>
      <c r="G21" s="99"/>
      <c r="H21" s="72"/>
      <c r="I21" s="99"/>
      <c r="J21" s="705" t="s">
        <v>400</v>
      </c>
      <c r="K21" s="49" t="s">
        <v>398</v>
      </c>
      <c r="L21" s="50">
        <v>0.7</v>
      </c>
      <c r="M21" s="44"/>
      <c r="N21" s="45"/>
      <c r="O21" s="46"/>
      <c r="P21" s="35"/>
      <c r="R21" s="57"/>
      <c r="S21" s="35"/>
      <c r="U21" s="57"/>
      <c r="V21" s="709"/>
      <c r="W21" s="704"/>
      <c r="X21" s="47">
        <f>ROUND((ROUND((_11_A通院１０．５*_11・基礎１),0)*_11・初任),0)+ROUND((ROUND((ROUND((_11_B通院１０．５＿１．５*_11・基礎１),0)*(1+_11・B夜間)),0)*_11・初任),0)+ROUND((ROUND((ROUND((_11_C通院１０．５＿１．５＿０．５*_11・基礎１),0)*(1+_11・C深夜)),0)*_11・初任),0)</f>
        <v>439</v>
      </c>
      <c r="Y21" s="48"/>
    </row>
    <row r="22" spans="1:25" ht="16.5" customHeight="1" x14ac:dyDescent="0.15">
      <c r="A22" s="41">
        <v>11</v>
      </c>
      <c r="B22" s="41" t="s">
        <v>6344</v>
      </c>
      <c r="C22" s="74" t="s">
        <v>6345</v>
      </c>
      <c r="D22" s="72"/>
      <c r="E22" s="99"/>
      <c r="F22" s="72"/>
      <c r="G22" s="99"/>
      <c r="H22" s="72"/>
      <c r="I22" s="99"/>
      <c r="J22" s="757"/>
      <c r="K22" s="37"/>
      <c r="L22" s="38"/>
      <c r="M22" s="44" t="s">
        <v>397</v>
      </c>
      <c r="N22" s="45" t="s">
        <v>398</v>
      </c>
      <c r="O22" s="46">
        <v>1</v>
      </c>
      <c r="P22" s="35"/>
      <c r="R22" s="57"/>
      <c r="S22" s="35"/>
      <c r="U22" s="57"/>
      <c r="V22" s="55" t="s">
        <v>398</v>
      </c>
      <c r="W22" s="38">
        <f>_11・初任</f>
        <v>0.7</v>
      </c>
      <c r="X22" s="47">
        <f>ROUND((ROUND((ROUND((_11_A通院１０．５*_11・基礎１),0)*_11・２人),0)*_11・初任),0)+ROUND((ROUND((ROUND((ROUND((_11_B通院１０．５＿１．５*_11・基礎１),0)*_11・２人),0)*(1+_11・B夜間)),0)*_11・初任),0)+ROUND((ROUND((ROUND((ROUND((_11_C通院１０．５＿１．５＿０．５*_11・基礎１),0)*_11・２人),0)*(1+_11・C深夜)),0)*_11・初任),0)</f>
        <v>439</v>
      </c>
      <c r="Y22" s="48"/>
    </row>
    <row r="23" spans="1:25" ht="16.5" customHeight="1" x14ac:dyDescent="0.15">
      <c r="A23" s="41">
        <v>11</v>
      </c>
      <c r="B23" s="41">
        <v>3751</v>
      </c>
      <c r="C23" s="74" t="s">
        <v>6346</v>
      </c>
      <c r="D23" s="72"/>
      <c r="E23" s="99"/>
      <c r="F23" s="72"/>
      <c r="G23" s="99"/>
      <c r="H23" s="707" t="s">
        <v>3787</v>
      </c>
      <c r="I23" s="717"/>
      <c r="J23" s="53"/>
      <c r="K23" s="49"/>
      <c r="L23" s="50"/>
      <c r="M23" s="44"/>
      <c r="N23" s="45"/>
      <c r="O23" s="46"/>
      <c r="P23" s="35"/>
      <c r="R23" s="57"/>
      <c r="S23" s="35"/>
      <c r="U23" s="57"/>
      <c r="V23" s="53"/>
      <c r="W23" s="49"/>
      <c r="X23" s="47">
        <f>_11_A通院１０．５+ROUND((_11_B通院１０．５＿１．５*(1+_11・B夜間)),0)+ROUND((_11_C通院１０．５＿１．５＿１．０*(1+_11・C深夜)),0)</f>
        <v>1020</v>
      </c>
      <c r="Y23" s="48"/>
    </row>
    <row r="24" spans="1:25" ht="16.5" customHeight="1" x14ac:dyDescent="0.15">
      <c r="A24" s="41">
        <v>11</v>
      </c>
      <c r="B24" s="41">
        <v>3752</v>
      </c>
      <c r="C24" s="74" t="s">
        <v>6347</v>
      </c>
      <c r="D24" s="72"/>
      <c r="E24" s="99"/>
      <c r="F24" s="72"/>
      <c r="G24" s="99"/>
      <c r="H24" s="709"/>
      <c r="I24" s="718"/>
      <c r="J24" s="43"/>
      <c r="K24" s="37"/>
      <c r="L24" s="38"/>
      <c r="M24" s="44" t="s">
        <v>397</v>
      </c>
      <c r="N24" s="45" t="s">
        <v>398</v>
      </c>
      <c r="O24" s="46">
        <v>1</v>
      </c>
      <c r="P24" s="35"/>
      <c r="R24" s="57"/>
      <c r="S24" s="35"/>
      <c r="U24" s="57"/>
      <c r="V24" s="35"/>
      <c r="X24" s="47">
        <f>ROUND((_11_A通院１０．５*_11・２人),0)+ROUND((ROUND((_11_B通院１０．５＿１．５*_11・２人),0)*(1+_11・B夜間)),0)+ROUND((ROUND((_11_C通院１０．５＿１．５＿１．０*_11・２人),0)*(1+_11・C深夜)),0)</f>
        <v>1020</v>
      </c>
      <c r="Y24" s="48"/>
    </row>
    <row r="25" spans="1:25" ht="16.5" customHeight="1" x14ac:dyDescent="0.15">
      <c r="A25" s="41">
        <v>11</v>
      </c>
      <c r="B25" s="41">
        <v>3753</v>
      </c>
      <c r="C25" s="74" t="s">
        <v>6348</v>
      </c>
      <c r="D25" s="72"/>
      <c r="E25" s="99"/>
      <c r="F25" s="72"/>
      <c r="G25" s="99"/>
      <c r="H25" s="709"/>
      <c r="I25" s="718"/>
      <c r="J25" s="705" t="s">
        <v>400</v>
      </c>
      <c r="K25" s="49" t="s">
        <v>398</v>
      </c>
      <c r="L25" s="50">
        <v>0.7</v>
      </c>
      <c r="M25" s="44"/>
      <c r="N25" s="45"/>
      <c r="O25" s="46"/>
      <c r="P25" s="35"/>
      <c r="R25" s="57"/>
      <c r="S25" s="35"/>
      <c r="U25" s="57"/>
      <c r="V25" s="35"/>
      <c r="X25" s="47">
        <f>ROUND((_11_A通院１０．５*_11・基礎１),0)+ROUND((ROUND((_11_B通院１０．５＿１．５*_11・基礎１),0)*(1+_11・B夜間)),0)+ROUND((ROUND((_11_C通院１０．５＿１．５＿１．０*_11・基礎１),0)*(1+_11・C深夜)),0)</f>
        <v>715</v>
      </c>
      <c r="Y25" s="48"/>
    </row>
    <row r="26" spans="1:25" ht="16.5" customHeight="1" x14ac:dyDescent="0.15">
      <c r="A26" s="41">
        <v>11</v>
      </c>
      <c r="B26" s="41">
        <v>3754</v>
      </c>
      <c r="C26" s="74" t="s">
        <v>6349</v>
      </c>
      <c r="D26" s="72"/>
      <c r="E26" s="99"/>
      <c r="F26" s="72"/>
      <c r="G26" s="99"/>
      <c r="H26" s="100">
        <f>_11_C通院１０．５＿１．５＿１．０</f>
        <v>167</v>
      </c>
      <c r="I26" s="99" t="s">
        <v>392</v>
      </c>
      <c r="J26" s="757"/>
      <c r="K26" s="37"/>
      <c r="L26" s="38"/>
      <c r="M26" s="44" t="s">
        <v>397</v>
      </c>
      <c r="N26" s="45" t="s">
        <v>398</v>
      </c>
      <c r="O26" s="46">
        <v>1</v>
      </c>
      <c r="P26" s="35"/>
      <c r="R26" s="57"/>
      <c r="S26" s="35"/>
      <c r="U26" s="57"/>
      <c r="V26" s="43"/>
      <c r="W26" s="37"/>
      <c r="X26" s="47">
        <f>ROUND((ROUND((_11_A通院１０．５*_11・基礎１),0)*_11・２人),0)+ROUND((ROUND((ROUND((_11_B通院１０．５＿１．５*_11・基礎１),0)*_11・２人),0)*(1+_11・B夜間)),0)+ROUND((ROUND((ROUND((_11_C通院１０．５＿１．５＿１．０*_11・基礎１),0)*_11・２人),0)*(1+_11・C深夜)),0)</f>
        <v>715</v>
      </c>
      <c r="Y26" s="48"/>
    </row>
    <row r="27" spans="1:25" ht="16.5" customHeight="1" x14ac:dyDescent="0.15">
      <c r="A27" s="41">
        <v>11</v>
      </c>
      <c r="B27" s="41" t="s">
        <v>6350</v>
      </c>
      <c r="C27" s="74" t="s">
        <v>6351</v>
      </c>
      <c r="D27" s="72"/>
      <c r="E27" s="99"/>
      <c r="F27" s="72"/>
      <c r="G27" s="99"/>
      <c r="H27" s="121"/>
      <c r="I27" s="99"/>
      <c r="J27" s="53"/>
      <c r="K27" s="49"/>
      <c r="L27" s="50"/>
      <c r="M27" s="44"/>
      <c r="N27" s="45"/>
      <c r="O27" s="46"/>
      <c r="P27" s="35"/>
      <c r="R27" s="57"/>
      <c r="S27" s="35"/>
      <c r="U27" s="57"/>
      <c r="V27" s="707" t="s">
        <v>404</v>
      </c>
      <c r="W27" s="708"/>
      <c r="X27" s="47">
        <f>ROUND((_11_A通院１０．５*_11・初任),0)+ROUND((ROUND((_11_B通院１０．５＿１．５*(1+_11・B夜間)),0)*_11・初任),0)+ROUND((ROUND((_11_C通院１０．５＿１．５＿１．０*(1+_11・C深夜)),0)*_11・初任),0)</f>
        <v>715</v>
      </c>
      <c r="Y27" s="48"/>
    </row>
    <row r="28" spans="1:25" ht="16.5" customHeight="1" x14ac:dyDescent="0.15">
      <c r="A28" s="41">
        <v>11</v>
      </c>
      <c r="B28" s="41" t="s">
        <v>6352</v>
      </c>
      <c r="C28" s="74" t="s">
        <v>6353</v>
      </c>
      <c r="D28" s="72"/>
      <c r="E28" s="99"/>
      <c r="F28" s="72"/>
      <c r="G28" s="99"/>
      <c r="H28" s="121"/>
      <c r="I28" s="99"/>
      <c r="J28" s="43"/>
      <c r="K28" s="37"/>
      <c r="L28" s="38"/>
      <c r="M28" s="44" t="s">
        <v>397</v>
      </c>
      <c r="N28" s="45" t="s">
        <v>398</v>
      </c>
      <c r="O28" s="46">
        <v>1</v>
      </c>
      <c r="P28" s="35"/>
      <c r="R28" s="57"/>
      <c r="S28" s="35"/>
      <c r="U28" s="57"/>
      <c r="V28" s="709"/>
      <c r="W28" s="704"/>
      <c r="X28" s="47">
        <f>ROUND((ROUND((_11_A通院１０．５*_11・２人),0)*_11・初任),0)+ROUND((ROUND((ROUND((_11_B通院１０．５＿１．５*_11・２人),0)*(1+_11・B夜間)),0)*_11・初任),0)+ROUND((ROUND((ROUND((_11_C通院１０．５＿１．５＿１．０*_11・２人),0)*(1+_11・C深夜)),0)*_11・初任),0)</f>
        <v>715</v>
      </c>
      <c r="Y28" s="48"/>
    </row>
    <row r="29" spans="1:25" ht="16.5" customHeight="1" x14ac:dyDescent="0.15">
      <c r="A29" s="41">
        <v>11</v>
      </c>
      <c r="B29" s="41" t="s">
        <v>6354</v>
      </c>
      <c r="C29" s="74" t="s">
        <v>6355</v>
      </c>
      <c r="D29" s="72"/>
      <c r="E29" s="99"/>
      <c r="F29" s="72"/>
      <c r="G29" s="99"/>
      <c r="H29" s="72"/>
      <c r="I29" s="99"/>
      <c r="J29" s="705" t="s">
        <v>400</v>
      </c>
      <c r="K29" s="49" t="s">
        <v>398</v>
      </c>
      <c r="L29" s="50">
        <v>0.7</v>
      </c>
      <c r="M29" s="44"/>
      <c r="N29" s="45"/>
      <c r="O29" s="46"/>
      <c r="P29" s="35"/>
      <c r="R29" s="57"/>
      <c r="S29" s="35"/>
      <c r="U29" s="57"/>
      <c r="V29" s="709"/>
      <c r="W29" s="704"/>
      <c r="X29" s="47">
        <f>ROUND((ROUND((_11_A通院１０．５*_11・基礎１),0)*_11・初任),0)+ROUND((ROUND((ROUND((_11_B通院１０．５＿１．５*_11・基礎１),0)*(1+_11・B夜間)),0)*_11・初任),0)+ROUND((ROUND((ROUND((_11_C通院１０．５＿１．５＿１．０*_11・基礎１),0)*(1+_11・C深夜)),0)*_11・初任),0)</f>
        <v>500</v>
      </c>
      <c r="Y29" s="48"/>
    </row>
    <row r="30" spans="1:25" ht="16.5" customHeight="1" x14ac:dyDescent="0.15">
      <c r="A30" s="41">
        <v>11</v>
      </c>
      <c r="B30" s="41" t="s">
        <v>6356</v>
      </c>
      <c r="C30" s="74" t="s">
        <v>6357</v>
      </c>
      <c r="D30" s="72"/>
      <c r="E30" s="99"/>
      <c r="F30" s="72"/>
      <c r="G30" s="99"/>
      <c r="H30" s="72"/>
      <c r="I30" s="99"/>
      <c r="J30" s="757"/>
      <c r="K30" s="37"/>
      <c r="L30" s="38"/>
      <c r="M30" s="44" t="s">
        <v>397</v>
      </c>
      <c r="N30" s="45" t="s">
        <v>398</v>
      </c>
      <c r="O30" s="46">
        <v>1</v>
      </c>
      <c r="P30" s="35"/>
      <c r="R30" s="57"/>
      <c r="S30" s="35"/>
      <c r="U30" s="57"/>
      <c r="V30" s="55" t="s">
        <v>398</v>
      </c>
      <c r="W30" s="38">
        <f>_11・初任</f>
        <v>0.7</v>
      </c>
      <c r="X30" s="47">
        <f>ROUND((ROUND((ROUND((_11_A通院１０．５*_11・基礎１),0)*_11・２人),0)*_11・初任),0)+ROUND((ROUND((ROUND((ROUND((_11_B通院１０．５＿１．５*_11・基礎１),0)*_11・２人),0)*(1+_11・B夜間)),0)*_11・初任),0)+ROUND((ROUND((ROUND((ROUND((_11_C通院１０．５＿１．５＿１．０*_11・基礎１),0)*_11・２人),0)*(1+_11・C深夜)),0)*_11・初任),0)</f>
        <v>500</v>
      </c>
      <c r="Y30" s="48"/>
    </row>
    <row r="31" spans="1:25" ht="16.5" customHeight="1" x14ac:dyDescent="0.15">
      <c r="A31" s="41">
        <v>11</v>
      </c>
      <c r="B31" s="41">
        <v>3755</v>
      </c>
      <c r="C31" s="74" t="s">
        <v>6358</v>
      </c>
      <c r="D31" s="707" t="s">
        <v>5402</v>
      </c>
      <c r="E31" s="717"/>
      <c r="F31" s="707" t="s">
        <v>2447</v>
      </c>
      <c r="G31" s="717"/>
      <c r="H31" s="707" t="s">
        <v>3780</v>
      </c>
      <c r="I31" s="717"/>
      <c r="J31" s="53"/>
      <c r="K31" s="49"/>
      <c r="L31" s="50"/>
      <c r="M31" s="44"/>
      <c r="N31" s="45"/>
      <c r="O31" s="46"/>
      <c r="P31" s="35"/>
      <c r="R31" s="57"/>
      <c r="S31" s="35"/>
      <c r="U31" s="57"/>
      <c r="V31" s="53"/>
      <c r="W31" s="49"/>
      <c r="X31" s="47">
        <f>_11_A通院１１．０+ROUND((_11_B通院１１．０＿１．５*(1+_11・B夜間)),0)+ROUND((_11_C通院１１．０＿１．５＿０．５*(1+_11・C深夜)),0)</f>
        <v>962</v>
      </c>
      <c r="Y31" s="48"/>
    </row>
    <row r="32" spans="1:25" ht="16.5" customHeight="1" x14ac:dyDescent="0.15">
      <c r="A32" s="41">
        <v>11</v>
      </c>
      <c r="B32" s="41">
        <v>3756</v>
      </c>
      <c r="C32" s="74" t="s">
        <v>6359</v>
      </c>
      <c r="D32" s="709"/>
      <c r="E32" s="718"/>
      <c r="F32" s="709"/>
      <c r="G32" s="718"/>
      <c r="H32" s="709"/>
      <c r="I32" s="718"/>
      <c r="J32" s="43"/>
      <c r="K32" s="37"/>
      <c r="L32" s="38"/>
      <c r="M32" s="44" t="s">
        <v>397</v>
      </c>
      <c r="N32" s="45" t="s">
        <v>398</v>
      </c>
      <c r="O32" s="46">
        <v>1</v>
      </c>
      <c r="P32" s="35"/>
      <c r="R32" s="57"/>
      <c r="S32" s="35"/>
      <c r="U32" s="57"/>
      <c r="V32" s="35"/>
      <c r="X32" s="47">
        <f>ROUND((_11_A通院１１．０*_11・２人),0)+ROUND((ROUND((_11_B通院１１．０＿１．５*_11・２人),0)*(1+_11・B夜間)),0)+ROUND((ROUND((_11_C通院１１．０＿１．５＿０．５*_11・２人),0)*(1+_11・C深夜)),0)</f>
        <v>962</v>
      </c>
      <c r="Y32" s="48"/>
    </row>
    <row r="33" spans="1:25" ht="16.5" customHeight="1" x14ac:dyDescent="0.15">
      <c r="A33" s="41">
        <v>11</v>
      </c>
      <c r="B33" s="41">
        <v>3757</v>
      </c>
      <c r="C33" s="74" t="s">
        <v>6360</v>
      </c>
      <c r="D33" s="709"/>
      <c r="E33" s="718"/>
      <c r="F33" s="709"/>
      <c r="G33" s="718"/>
      <c r="H33" s="709"/>
      <c r="I33" s="718"/>
      <c r="J33" s="705" t="s">
        <v>400</v>
      </c>
      <c r="K33" s="49" t="s">
        <v>398</v>
      </c>
      <c r="L33" s="50">
        <v>0.7</v>
      </c>
      <c r="M33" s="44"/>
      <c r="N33" s="45"/>
      <c r="O33" s="46"/>
      <c r="P33" s="35"/>
      <c r="R33" s="57"/>
      <c r="S33" s="35"/>
      <c r="U33" s="57"/>
      <c r="V33" s="35"/>
      <c r="X33" s="47">
        <f>ROUND((_11_A通院１１．０*_11・基礎１),0)+ROUND((ROUND((_11_B通院１１．０＿１．５*_11・基礎１),0)*(1+_11・B夜間)),0)+ROUND((ROUND((_11_C通院１１．０＿１．５＿０．５*_11・基礎１),0)*(1+_11・C深夜)),0)</f>
        <v>673</v>
      </c>
      <c r="Y33" s="48"/>
    </row>
    <row r="34" spans="1:25" ht="16.5" customHeight="1" x14ac:dyDescent="0.15">
      <c r="A34" s="41">
        <v>11</v>
      </c>
      <c r="B34" s="41">
        <v>3758</v>
      </c>
      <c r="C34" s="74" t="s">
        <v>6361</v>
      </c>
      <c r="D34" s="100">
        <f>_11_A通院１１．０</f>
        <v>402</v>
      </c>
      <c r="E34" s="99" t="s">
        <v>392</v>
      </c>
      <c r="F34" s="100">
        <f>_11_B通院１１．０＿１．５</f>
        <v>348</v>
      </c>
      <c r="G34" s="99" t="s">
        <v>392</v>
      </c>
      <c r="H34" s="100">
        <f>_11_C通院１１．０＿１．５＿０．５</f>
        <v>83</v>
      </c>
      <c r="I34" s="99" t="s">
        <v>392</v>
      </c>
      <c r="J34" s="757"/>
      <c r="K34" s="37"/>
      <c r="L34" s="38"/>
      <c r="M34" s="44" t="s">
        <v>397</v>
      </c>
      <c r="N34" s="45" t="s">
        <v>398</v>
      </c>
      <c r="O34" s="46">
        <v>1</v>
      </c>
      <c r="P34" s="35"/>
      <c r="R34" s="57"/>
      <c r="S34" s="35"/>
      <c r="U34" s="57"/>
      <c r="V34" s="43"/>
      <c r="W34" s="37"/>
      <c r="X34" s="47">
        <f>ROUND((ROUND((_11_A通院１１．０*_11・基礎１),0)*_11・２人),0)+ROUND((ROUND((ROUND((_11_B通院１１．０＿１．５*_11・基礎１),0)*_11・２人),0)*(1+_11・B夜間)),0)+ROUND((ROUND((ROUND((_11_C通院１１．０＿１．５＿０．５*_11・基礎１),0)*_11・２人),0)*(1+_11・C深夜)),0)</f>
        <v>673</v>
      </c>
      <c r="Y34" s="48"/>
    </row>
    <row r="35" spans="1:25" ht="16.5" customHeight="1" x14ac:dyDescent="0.15">
      <c r="A35" s="41">
        <v>11</v>
      </c>
      <c r="B35" s="41" t="s">
        <v>6362</v>
      </c>
      <c r="C35" s="74" t="s">
        <v>6363</v>
      </c>
      <c r="D35" s="121"/>
      <c r="E35" s="99"/>
      <c r="F35" s="121"/>
      <c r="G35" s="99"/>
      <c r="H35" s="121"/>
      <c r="I35" s="99"/>
      <c r="J35" s="53"/>
      <c r="K35" s="49"/>
      <c r="L35" s="50"/>
      <c r="M35" s="44"/>
      <c r="N35" s="45"/>
      <c r="O35" s="46"/>
      <c r="P35" s="35"/>
      <c r="R35" s="57"/>
      <c r="S35" s="35"/>
      <c r="U35" s="57"/>
      <c r="V35" s="707" t="s">
        <v>404</v>
      </c>
      <c r="W35" s="708"/>
      <c r="X35" s="47">
        <f>ROUND((_11_A通院１１．０*_11・初任),0)+ROUND((ROUND((_11_B通院１１．０＿１．５*(1+_11・B夜間)),0)*_11・初任),0)+ROUND((ROUND((_11_C通院１１．０＿１．５＿０．５*(1+_11・C深夜)),0)*_11・初任),0)</f>
        <v>674</v>
      </c>
      <c r="Y35" s="48"/>
    </row>
    <row r="36" spans="1:25" ht="16.5" customHeight="1" x14ac:dyDescent="0.15">
      <c r="A36" s="41">
        <v>11</v>
      </c>
      <c r="B36" s="41" t="s">
        <v>6364</v>
      </c>
      <c r="C36" s="74" t="s">
        <v>6365</v>
      </c>
      <c r="D36" s="121"/>
      <c r="E36" s="99"/>
      <c r="F36" s="121"/>
      <c r="G36" s="99"/>
      <c r="H36" s="121"/>
      <c r="I36" s="99"/>
      <c r="J36" s="43"/>
      <c r="K36" s="37"/>
      <c r="L36" s="38"/>
      <c r="M36" s="44" t="s">
        <v>397</v>
      </c>
      <c r="N36" s="45" t="s">
        <v>398</v>
      </c>
      <c r="O36" s="46">
        <v>1</v>
      </c>
      <c r="P36" s="35"/>
      <c r="R36" s="57"/>
      <c r="S36" s="35"/>
      <c r="U36" s="57"/>
      <c r="V36" s="709"/>
      <c r="W36" s="704"/>
      <c r="X36" s="47">
        <f>ROUND((ROUND((_11_A通院１１．０*_11・２人),0)*_11・初任),0)+ROUND((ROUND((ROUND((_11_B通院１１．０＿１．５*_11・２人),0)*(1+_11・B夜間)),0)*_11・初任),0)+ROUND((ROUND((ROUND((_11_C通院１１．０＿１．５＿０．５*_11・２人),0)*(1+_11・C深夜)),0)*_11・初任),0)</f>
        <v>674</v>
      </c>
      <c r="Y36" s="48"/>
    </row>
    <row r="37" spans="1:25" ht="16.5" customHeight="1" x14ac:dyDescent="0.15">
      <c r="A37" s="41">
        <v>11</v>
      </c>
      <c r="B37" s="41" t="s">
        <v>6366</v>
      </c>
      <c r="C37" s="74" t="s">
        <v>6367</v>
      </c>
      <c r="D37" s="72"/>
      <c r="E37" s="99"/>
      <c r="F37" s="72"/>
      <c r="G37" s="99"/>
      <c r="H37" s="72"/>
      <c r="I37" s="99"/>
      <c r="J37" s="705" t="s">
        <v>400</v>
      </c>
      <c r="K37" s="49" t="s">
        <v>398</v>
      </c>
      <c r="L37" s="50">
        <v>0.7</v>
      </c>
      <c r="M37" s="44"/>
      <c r="N37" s="45"/>
      <c r="O37" s="46"/>
      <c r="P37" s="35"/>
      <c r="R37" s="57"/>
      <c r="S37" s="35"/>
      <c r="U37" s="57"/>
      <c r="V37" s="709"/>
      <c r="W37" s="704"/>
      <c r="X37" s="47">
        <f>ROUND((ROUND((_11_A通院１１．０*_11・基礎１),0)*_11・初任),0)+ROUND((ROUND((ROUND((_11_B通院１１．０＿１．５*_11・基礎１),0)*(1+_11・B夜間)),0)*_11・初任),0)+ROUND((ROUND((ROUND((_11_C通院１１．０＿１．５＿０．５*_11・基礎１),0)*(1+_11・C深夜)),0)*_11・初任),0)</f>
        <v>472</v>
      </c>
      <c r="Y37" s="48"/>
    </row>
    <row r="38" spans="1:25" ht="16.5" customHeight="1" x14ac:dyDescent="0.15">
      <c r="A38" s="41">
        <v>11</v>
      </c>
      <c r="B38" s="41" t="s">
        <v>6368</v>
      </c>
      <c r="C38" s="74" t="s">
        <v>6369</v>
      </c>
      <c r="D38" s="72"/>
      <c r="E38" s="99"/>
      <c r="F38" s="72"/>
      <c r="G38" s="99"/>
      <c r="H38" s="72"/>
      <c r="I38" s="99"/>
      <c r="J38" s="757"/>
      <c r="K38" s="37"/>
      <c r="L38" s="38"/>
      <c r="M38" s="44" t="s">
        <v>397</v>
      </c>
      <c r="N38" s="45" t="s">
        <v>398</v>
      </c>
      <c r="O38" s="46">
        <v>1</v>
      </c>
      <c r="P38" s="35"/>
      <c r="R38" s="57"/>
      <c r="S38" s="35"/>
      <c r="U38" s="57"/>
      <c r="V38" s="55" t="s">
        <v>398</v>
      </c>
      <c r="W38" s="38">
        <f>_11・初任</f>
        <v>0.7</v>
      </c>
      <c r="X38" s="47">
        <f>ROUND((ROUND((ROUND((_11_A通院１１．０*_11・基礎１),0)*_11・２人),0)*_11・初任),0)+ROUND((ROUND((ROUND((ROUND((_11_B通院１１．０＿１．５*_11・基礎１),0)*_11・２人),0)*(1+_11・B夜間)),0)*_11・初任),0)+ROUND((ROUND((ROUND((ROUND((_11_C通院１１．０＿１．５＿０．５*_11・基礎１),0)*_11・２人),0)*(1+_11・C深夜)),0)*_11・初任),0)</f>
        <v>472</v>
      </c>
      <c r="Y38" s="48"/>
    </row>
    <row r="39" spans="1:25" ht="16.5" customHeight="1" x14ac:dyDescent="0.15">
      <c r="A39" s="41">
        <v>11</v>
      </c>
      <c r="B39" s="41">
        <v>3759</v>
      </c>
      <c r="C39" s="74" t="s">
        <v>6370</v>
      </c>
      <c r="D39" s="707" t="s">
        <v>2460</v>
      </c>
      <c r="E39" s="717"/>
      <c r="F39" s="707" t="s">
        <v>6371</v>
      </c>
      <c r="G39" s="717"/>
      <c r="H39" s="707" t="s">
        <v>3780</v>
      </c>
      <c r="I39" s="717"/>
      <c r="J39" s="53"/>
      <c r="K39" s="49"/>
      <c r="L39" s="50"/>
      <c r="M39" s="44"/>
      <c r="N39" s="45"/>
      <c r="O39" s="46"/>
      <c r="P39" s="35"/>
      <c r="R39" s="57"/>
      <c r="S39" s="35"/>
      <c r="U39" s="57"/>
      <c r="V39" s="53"/>
      <c r="W39" s="49"/>
      <c r="X39" s="47">
        <f>_11_A通院１０．５+ROUND((_11_B通院１０．５＿１．０*(1+_11・B夜間)),0)+ROUND((_11_C通院１０．５＿１．０＿０．５*(1+_11・C深夜)),0)</f>
        <v>789</v>
      </c>
      <c r="Y39" s="48"/>
    </row>
    <row r="40" spans="1:25" ht="16.5" customHeight="1" x14ac:dyDescent="0.15">
      <c r="A40" s="41">
        <v>11</v>
      </c>
      <c r="B40" s="41">
        <v>3760</v>
      </c>
      <c r="C40" s="74" t="s">
        <v>6372</v>
      </c>
      <c r="D40" s="709"/>
      <c r="E40" s="718"/>
      <c r="F40" s="709"/>
      <c r="G40" s="718"/>
      <c r="H40" s="709"/>
      <c r="I40" s="718"/>
      <c r="J40" s="43"/>
      <c r="K40" s="37"/>
      <c r="L40" s="38"/>
      <c r="M40" s="44" t="s">
        <v>397</v>
      </c>
      <c r="N40" s="45" t="s">
        <v>398</v>
      </c>
      <c r="O40" s="46">
        <v>1</v>
      </c>
      <c r="P40" s="35"/>
      <c r="R40" s="57"/>
      <c r="S40" s="35"/>
      <c r="U40" s="57"/>
      <c r="V40" s="35"/>
      <c r="X40" s="47">
        <f>ROUND((_11_A通院１０．５*_11・２人),0)+ROUND((ROUND((_11_B通院１０．５＿１．０*_11・２人),0)*(1+_11・B夜間)),0)+ROUND((ROUND((_11_C通院１０．５＿１．０＿０．５*_11・２人),0)*(1+_11・C深夜)),0)</f>
        <v>789</v>
      </c>
      <c r="Y40" s="48"/>
    </row>
    <row r="41" spans="1:25" ht="16.5" customHeight="1" x14ac:dyDescent="0.15">
      <c r="A41" s="41">
        <v>11</v>
      </c>
      <c r="B41" s="41">
        <v>3761</v>
      </c>
      <c r="C41" s="74" t="s">
        <v>6373</v>
      </c>
      <c r="D41" s="709"/>
      <c r="E41" s="718"/>
      <c r="F41" s="709"/>
      <c r="G41" s="718"/>
      <c r="H41" s="709"/>
      <c r="I41" s="718"/>
      <c r="J41" s="705" t="s">
        <v>400</v>
      </c>
      <c r="K41" s="49" t="s">
        <v>398</v>
      </c>
      <c r="L41" s="50">
        <v>0.7</v>
      </c>
      <c r="M41" s="44"/>
      <c r="N41" s="45"/>
      <c r="O41" s="46"/>
      <c r="P41" s="35"/>
      <c r="R41" s="57"/>
      <c r="S41" s="35"/>
      <c r="U41" s="57"/>
      <c r="V41" s="35"/>
      <c r="X41" s="47">
        <f>ROUND((_11_A通院１０．５*_11・基礎１),0)+ROUND((ROUND((_11_B通院１０．５＿１．０*_11・基礎１),0)*(1+_11・B夜間)),0)+ROUND((ROUND((_11_C通院１０．５＿１．０＿０．５*_11・基礎１),0)*(1+_11・C深夜)),0)</f>
        <v>553</v>
      </c>
      <c r="Y41" s="48"/>
    </row>
    <row r="42" spans="1:25" ht="16.5" customHeight="1" x14ac:dyDescent="0.15">
      <c r="A42" s="41">
        <v>11</v>
      </c>
      <c r="B42" s="41">
        <v>3762</v>
      </c>
      <c r="C42" s="74" t="s">
        <v>6374</v>
      </c>
      <c r="D42" s="100">
        <f>_11_A通院１０．５</f>
        <v>255</v>
      </c>
      <c r="E42" s="99" t="s">
        <v>392</v>
      </c>
      <c r="F42" s="100">
        <f>_11_B通院１０．５＿１．０</f>
        <v>329</v>
      </c>
      <c r="G42" s="99" t="s">
        <v>392</v>
      </c>
      <c r="H42" s="100">
        <f>_11_C通院１０．５＿１．０＿０．５</f>
        <v>82</v>
      </c>
      <c r="I42" s="99" t="s">
        <v>392</v>
      </c>
      <c r="J42" s="757"/>
      <c r="K42" s="37"/>
      <c r="L42" s="38"/>
      <c r="M42" s="44" t="s">
        <v>397</v>
      </c>
      <c r="N42" s="45" t="s">
        <v>398</v>
      </c>
      <c r="O42" s="46">
        <v>1</v>
      </c>
      <c r="P42" s="35"/>
      <c r="R42" s="57"/>
      <c r="S42" s="35"/>
      <c r="U42" s="57"/>
      <c r="V42" s="43"/>
      <c r="W42" s="37"/>
      <c r="X42" s="47">
        <f>ROUND((ROUND((_11_A通院１０．５*_11・基礎１),0)*_11・２人),0)+ROUND((ROUND((ROUND((_11_B通院１０．５＿１．０*_11・基礎１),0)*_11・２人),0)*(1+_11・B夜間)),0)+ROUND((ROUND((ROUND((_11_C通院１０．５＿１．０＿０．５*_11・基礎１),0)*_11・２人),0)*(1+_11・C深夜)),0)</f>
        <v>553</v>
      </c>
      <c r="Y42" s="48"/>
    </row>
    <row r="43" spans="1:25" ht="16.5" customHeight="1" x14ac:dyDescent="0.15">
      <c r="A43" s="41">
        <v>11</v>
      </c>
      <c r="B43" s="41" t="s">
        <v>6375</v>
      </c>
      <c r="C43" s="74" t="s">
        <v>6376</v>
      </c>
      <c r="D43" s="121"/>
      <c r="E43" s="99"/>
      <c r="F43" s="72"/>
      <c r="G43" s="99"/>
      <c r="H43" s="72"/>
      <c r="I43" s="99"/>
      <c r="J43" s="53"/>
      <c r="K43" s="49"/>
      <c r="L43" s="50"/>
      <c r="M43" s="44"/>
      <c r="N43" s="45"/>
      <c r="O43" s="46"/>
      <c r="P43" s="35"/>
      <c r="R43" s="57"/>
      <c r="S43" s="35"/>
      <c r="U43" s="57"/>
      <c r="V43" s="707" t="s">
        <v>404</v>
      </c>
      <c r="W43" s="708"/>
      <c r="X43" s="47">
        <f>ROUND((_11_A通院１０．５*_11・初任),0)+ROUND((ROUND((_11_B通院１０．５＿１．０*(1+_11・B夜間)),0)*_11・初任),0)+ROUND((ROUND((_11_C通院１０．５＿１．０＿０．５*(1+_11・C深夜)),0)*_11・初任),0)</f>
        <v>553</v>
      </c>
      <c r="Y43" s="48"/>
    </row>
    <row r="44" spans="1:25" ht="16.5" customHeight="1" x14ac:dyDescent="0.15">
      <c r="A44" s="41">
        <v>11</v>
      </c>
      <c r="B44" s="41" t="s">
        <v>6377</v>
      </c>
      <c r="C44" s="74" t="s">
        <v>6378</v>
      </c>
      <c r="D44" s="121"/>
      <c r="E44" s="99"/>
      <c r="F44" s="72"/>
      <c r="G44" s="99"/>
      <c r="H44" s="72"/>
      <c r="I44" s="99"/>
      <c r="J44" s="43"/>
      <c r="K44" s="37"/>
      <c r="L44" s="38"/>
      <c r="M44" s="44" t="s">
        <v>397</v>
      </c>
      <c r="N44" s="45" t="s">
        <v>398</v>
      </c>
      <c r="O44" s="46">
        <v>1</v>
      </c>
      <c r="P44" s="35"/>
      <c r="R44" s="57"/>
      <c r="S44" s="35"/>
      <c r="U44" s="57"/>
      <c r="V44" s="709"/>
      <c r="W44" s="704"/>
      <c r="X44" s="47">
        <f>ROUND((ROUND((_11_A通院１０．５*_11・２人),0)*_11・初任),0)+ROUND((ROUND((ROUND((_11_B通院１０．５＿１．０*_11・２人),0)*(1+_11・B夜間)),0)*_11・初任),0)+ROUND((ROUND((ROUND((_11_C通院１０．５＿１．０＿０．５*_11・２人),0)*(1+_11・C深夜)),0)*_11・初任),0)</f>
        <v>553</v>
      </c>
      <c r="Y44" s="48"/>
    </row>
    <row r="45" spans="1:25" ht="16.5" customHeight="1" x14ac:dyDescent="0.15">
      <c r="A45" s="41">
        <v>11</v>
      </c>
      <c r="B45" s="41" t="s">
        <v>6379</v>
      </c>
      <c r="C45" s="74" t="s">
        <v>6380</v>
      </c>
      <c r="D45" s="72"/>
      <c r="E45" s="99"/>
      <c r="F45" s="72"/>
      <c r="G45" s="99"/>
      <c r="H45" s="72"/>
      <c r="I45" s="99"/>
      <c r="J45" s="705" t="s">
        <v>400</v>
      </c>
      <c r="K45" s="49" t="s">
        <v>398</v>
      </c>
      <c r="L45" s="50">
        <v>0.7</v>
      </c>
      <c r="M45" s="44"/>
      <c r="N45" s="45"/>
      <c r="O45" s="46"/>
      <c r="P45" s="35"/>
      <c r="R45" s="57"/>
      <c r="S45" s="35"/>
      <c r="U45" s="57"/>
      <c r="V45" s="709"/>
      <c r="W45" s="704"/>
      <c r="X45" s="47">
        <f>ROUND((ROUND((_11_A通院１０．５*_11・基礎１),0)*_11・初任),0)+ROUND((ROUND((ROUND((_11_B通院１０．５＿１．０*_11・基礎１),0)*(1+_11・B夜間)),0)*_11・初任),0)+ROUND((ROUND((ROUND((_11_C通院１０．５＿１．０＿０．５*_11・基礎１),0)*(1+_11・C深夜)),0)*_11・初任),0)</f>
        <v>387</v>
      </c>
      <c r="Y45" s="48"/>
    </row>
    <row r="46" spans="1:25" ht="16.5" customHeight="1" x14ac:dyDescent="0.15">
      <c r="A46" s="41">
        <v>11</v>
      </c>
      <c r="B46" s="41" t="s">
        <v>6381</v>
      </c>
      <c r="C46" s="74" t="s">
        <v>6382</v>
      </c>
      <c r="D46" s="72"/>
      <c r="E46" s="99"/>
      <c r="F46" s="72"/>
      <c r="G46" s="99"/>
      <c r="H46" s="72"/>
      <c r="I46" s="99"/>
      <c r="J46" s="757"/>
      <c r="K46" s="37"/>
      <c r="L46" s="38"/>
      <c r="M46" s="44" t="s">
        <v>397</v>
      </c>
      <c r="N46" s="45" t="s">
        <v>398</v>
      </c>
      <c r="O46" s="46">
        <v>1</v>
      </c>
      <c r="P46" s="35"/>
      <c r="R46" s="57"/>
      <c r="S46" s="35"/>
      <c r="U46" s="57"/>
      <c r="V46" s="55" t="s">
        <v>398</v>
      </c>
      <c r="W46" s="38">
        <f>_11・初任</f>
        <v>0.7</v>
      </c>
      <c r="X46" s="47">
        <f>ROUND((ROUND((ROUND((_11_A通院１０．５*_11・基礎１),0)*_11・２人),0)*_11・初任),0)+ROUND((ROUND((ROUND((ROUND((_11_B通院１０．５＿１．０*_11・基礎１),0)*_11・２人),0)*(1+_11・B夜間)),0)*_11・初任),0)+ROUND((ROUND((ROUND((ROUND((_11_C通院１０．５＿１．０＿０．５*_11・基礎１),0)*_11・２人),0)*(1+_11・C深夜)),0)*_11・初任),0)</f>
        <v>387</v>
      </c>
      <c r="Y46" s="48"/>
    </row>
    <row r="47" spans="1:25" ht="16.5" customHeight="1" x14ac:dyDescent="0.15">
      <c r="A47" s="41">
        <v>11</v>
      </c>
      <c r="B47" s="41">
        <v>3763</v>
      </c>
      <c r="C47" s="74" t="s">
        <v>6383</v>
      </c>
      <c r="D47" s="72"/>
      <c r="E47" s="99"/>
      <c r="F47" s="72"/>
      <c r="G47" s="99"/>
      <c r="H47" s="707" t="s">
        <v>3787</v>
      </c>
      <c r="I47" s="717"/>
      <c r="J47" s="53"/>
      <c r="K47" s="49"/>
      <c r="L47" s="50"/>
      <c r="M47" s="44"/>
      <c r="N47" s="45"/>
      <c r="O47" s="46"/>
      <c r="P47" s="35"/>
      <c r="R47" s="57"/>
      <c r="S47" s="35"/>
      <c r="U47" s="57"/>
      <c r="V47" s="53"/>
      <c r="W47" s="49"/>
      <c r="X47" s="47">
        <f>_11_A通院１０．５+ROUND((_11_B通院１０．５＿１．０*(1+_11・B夜間)),0)+ROUND((_11_C通院１０．５＿１．０＿１．０*(1+_11・C深夜)),0)</f>
        <v>915</v>
      </c>
      <c r="Y47" s="48"/>
    </row>
    <row r="48" spans="1:25" ht="16.5" customHeight="1" x14ac:dyDescent="0.15">
      <c r="A48" s="41">
        <v>11</v>
      </c>
      <c r="B48" s="41">
        <v>3764</v>
      </c>
      <c r="C48" s="74" t="s">
        <v>6384</v>
      </c>
      <c r="D48" s="72"/>
      <c r="E48" s="99"/>
      <c r="F48" s="72"/>
      <c r="G48" s="99"/>
      <c r="H48" s="709"/>
      <c r="I48" s="718"/>
      <c r="J48" s="43"/>
      <c r="K48" s="37"/>
      <c r="L48" s="38"/>
      <c r="M48" s="44" t="s">
        <v>397</v>
      </c>
      <c r="N48" s="45" t="s">
        <v>398</v>
      </c>
      <c r="O48" s="46">
        <v>1</v>
      </c>
      <c r="P48" s="35"/>
      <c r="R48" s="57"/>
      <c r="S48" s="35"/>
      <c r="U48" s="57"/>
      <c r="V48" s="35"/>
      <c r="X48" s="47">
        <f>ROUND((_11_A通院１０．５*_11・２人),0)+ROUND((ROUND((_11_B通院１０．５＿１．０*_11・２人),0)*(1+_11・B夜間)),0)+ROUND((ROUND((_11_C通院１０．５＿１．０＿１．０*_11・２人),0)*(1+_11・C深夜)),0)</f>
        <v>915</v>
      </c>
      <c r="Y48" s="48"/>
    </row>
    <row r="49" spans="1:25" ht="16.5" customHeight="1" x14ac:dyDescent="0.15">
      <c r="A49" s="41">
        <v>11</v>
      </c>
      <c r="B49" s="41">
        <v>3765</v>
      </c>
      <c r="C49" s="74" t="s">
        <v>6385</v>
      </c>
      <c r="D49" s="72"/>
      <c r="E49" s="99"/>
      <c r="F49" s="72"/>
      <c r="G49" s="99"/>
      <c r="H49" s="709"/>
      <c r="I49" s="718"/>
      <c r="J49" s="705" t="s">
        <v>400</v>
      </c>
      <c r="K49" s="49" t="s">
        <v>398</v>
      </c>
      <c r="L49" s="50">
        <v>0.7</v>
      </c>
      <c r="M49" s="44"/>
      <c r="N49" s="45"/>
      <c r="O49" s="46"/>
      <c r="P49" s="35"/>
      <c r="R49" s="57"/>
      <c r="S49" s="35"/>
      <c r="U49" s="57"/>
      <c r="V49" s="35"/>
      <c r="X49" s="47">
        <f>ROUND((_11_A通院１０．５*_11・基礎１),0)+ROUND((ROUND((_11_B通院１０．５＿１．０*_11・基礎１),0)*(1+_11・B夜間)),0)+ROUND((ROUND((_11_C通院１０．５＿１．０＿１．０*_11・基礎１),0)*(1+_11・C深夜)),0)</f>
        <v>641</v>
      </c>
      <c r="Y49" s="48"/>
    </row>
    <row r="50" spans="1:25" ht="16.5" customHeight="1" x14ac:dyDescent="0.15">
      <c r="A50" s="41">
        <v>11</v>
      </c>
      <c r="B50" s="41">
        <v>3766</v>
      </c>
      <c r="C50" s="74" t="s">
        <v>6386</v>
      </c>
      <c r="D50" s="72"/>
      <c r="E50" s="99"/>
      <c r="F50" s="72"/>
      <c r="G50" s="99"/>
      <c r="H50" s="100">
        <f>_11_C通院１０．５＿１．０＿１．０</f>
        <v>166</v>
      </c>
      <c r="I50" s="99" t="s">
        <v>392</v>
      </c>
      <c r="J50" s="757"/>
      <c r="K50" s="37"/>
      <c r="L50" s="38"/>
      <c r="M50" s="44" t="s">
        <v>397</v>
      </c>
      <c r="N50" s="45" t="s">
        <v>398</v>
      </c>
      <c r="O50" s="46">
        <v>1</v>
      </c>
      <c r="P50" s="35"/>
      <c r="R50" s="57"/>
      <c r="S50" s="35"/>
      <c r="U50" s="57"/>
      <c r="V50" s="43"/>
      <c r="W50" s="37"/>
      <c r="X50" s="47">
        <f>ROUND((ROUND((_11_A通院１０．５*_11・基礎１),0)*_11・２人),0)+ROUND((ROUND((ROUND((_11_B通院１０．５＿１．０*_11・基礎１),0)*_11・２人),0)*(1+_11・B夜間)),0)+ROUND((ROUND((ROUND((_11_C通院１０．５＿１．０＿１．０*_11・基礎１),0)*_11・２人),0)*(1+_11・C深夜)),0)</f>
        <v>641</v>
      </c>
      <c r="Y50" s="48"/>
    </row>
    <row r="51" spans="1:25" ht="16.5" customHeight="1" x14ac:dyDescent="0.15">
      <c r="A51" s="41">
        <v>11</v>
      </c>
      <c r="B51" s="41" t="s">
        <v>6387</v>
      </c>
      <c r="C51" s="74" t="s">
        <v>6388</v>
      </c>
      <c r="D51" s="72"/>
      <c r="E51" s="99"/>
      <c r="F51" s="72"/>
      <c r="G51" s="99"/>
      <c r="H51" s="121"/>
      <c r="I51" s="99"/>
      <c r="J51" s="53"/>
      <c r="K51" s="49"/>
      <c r="L51" s="50"/>
      <c r="M51" s="44"/>
      <c r="N51" s="45"/>
      <c r="O51" s="46"/>
      <c r="P51" s="35"/>
      <c r="R51" s="57"/>
      <c r="S51" s="35"/>
      <c r="U51" s="57"/>
      <c r="V51" s="707" t="s">
        <v>404</v>
      </c>
      <c r="W51" s="708"/>
      <c r="X51" s="47">
        <f>ROUND((_11_A通院１０．５*_11・初任),0)+ROUND((ROUND((_11_B通院１０．５＿１．０*(1+_11・B夜間)),0)*_11・初任),0)+ROUND((ROUND((_11_C通院１０．５＿１．０＿１．０*(1+_11・C深夜)),0)*_11・初任),0)</f>
        <v>641</v>
      </c>
      <c r="Y51" s="48"/>
    </row>
    <row r="52" spans="1:25" ht="16.5" customHeight="1" x14ac:dyDescent="0.15">
      <c r="A52" s="41">
        <v>11</v>
      </c>
      <c r="B52" s="41" t="s">
        <v>6389</v>
      </c>
      <c r="C52" s="74" t="s">
        <v>6390</v>
      </c>
      <c r="D52" s="72"/>
      <c r="E52" s="99"/>
      <c r="F52" s="72"/>
      <c r="G52" s="99"/>
      <c r="H52" s="121"/>
      <c r="I52" s="99"/>
      <c r="J52" s="43"/>
      <c r="K52" s="37"/>
      <c r="L52" s="38"/>
      <c r="M52" s="44" t="s">
        <v>397</v>
      </c>
      <c r="N52" s="45" t="s">
        <v>398</v>
      </c>
      <c r="O52" s="46">
        <v>1</v>
      </c>
      <c r="P52" s="35"/>
      <c r="R52" s="57"/>
      <c r="S52" s="35"/>
      <c r="U52" s="57"/>
      <c r="V52" s="709"/>
      <c r="W52" s="704"/>
      <c r="X52" s="47">
        <f>ROUND((ROUND((_11_A通院１０．５*_11・２人),0)*_11・初任),0)+ROUND((ROUND((ROUND((_11_B通院１０．５＿１．０*_11・２人),0)*(1+_11・B夜間)),0)*_11・初任),0)+ROUND((ROUND((ROUND((_11_C通院１０．５＿１．０＿１．０*_11・２人),0)*(1+_11・C深夜)),0)*_11・初任),0)</f>
        <v>641</v>
      </c>
      <c r="Y52" s="48"/>
    </row>
    <row r="53" spans="1:25" ht="16.5" customHeight="1" x14ac:dyDescent="0.15">
      <c r="A53" s="41">
        <v>11</v>
      </c>
      <c r="B53" s="41" t="s">
        <v>6391</v>
      </c>
      <c r="C53" s="74" t="s">
        <v>6392</v>
      </c>
      <c r="D53" s="72"/>
      <c r="E53" s="99"/>
      <c r="F53" s="72"/>
      <c r="G53" s="99"/>
      <c r="H53" s="72"/>
      <c r="I53" s="99"/>
      <c r="J53" s="705" t="s">
        <v>400</v>
      </c>
      <c r="K53" s="49" t="s">
        <v>398</v>
      </c>
      <c r="L53" s="50">
        <v>0.7</v>
      </c>
      <c r="M53" s="44"/>
      <c r="N53" s="45"/>
      <c r="O53" s="46"/>
      <c r="P53" s="35"/>
      <c r="R53" s="57"/>
      <c r="S53" s="35"/>
      <c r="U53" s="57"/>
      <c r="V53" s="709"/>
      <c r="W53" s="704"/>
      <c r="X53" s="47">
        <f>ROUND((ROUND((_11_A通院１０．５*_11・基礎１),0)*_11・初任),0)+ROUND((ROUND((ROUND((_11_B通院１０．５＿１．０*_11・基礎１),0)*(1+_11・B夜間)),0)*_11・初任),0)+ROUND((ROUND((ROUND((_11_C通院１０．５＿１．０＿１．０*_11・基礎１),0)*(1+_11・C深夜)),0)*_11・初任),0)</f>
        <v>449</v>
      </c>
      <c r="Y53" s="48"/>
    </row>
    <row r="54" spans="1:25" ht="16.5" customHeight="1" x14ac:dyDescent="0.15">
      <c r="A54" s="41">
        <v>11</v>
      </c>
      <c r="B54" s="41" t="s">
        <v>6393</v>
      </c>
      <c r="C54" s="74" t="s">
        <v>6394</v>
      </c>
      <c r="D54" s="72"/>
      <c r="E54" s="99"/>
      <c r="F54" s="72"/>
      <c r="G54" s="99"/>
      <c r="H54" s="72"/>
      <c r="I54" s="99"/>
      <c r="J54" s="757"/>
      <c r="K54" s="37"/>
      <c r="L54" s="38"/>
      <c r="M54" s="44" t="s">
        <v>397</v>
      </c>
      <c r="N54" s="45" t="s">
        <v>398</v>
      </c>
      <c r="O54" s="46">
        <v>1</v>
      </c>
      <c r="P54" s="35"/>
      <c r="R54" s="57"/>
      <c r="S54" s="35"/>
      <c r="U54" s="57"/>
      <c r="V54" s="55" t="s">
        <v>398</v>
      </c>
      <c r="W54" s="38">
        <f>_11・初任</f>
        <v>0.7</v>
      </c>
      <c r="X54" s="47">
        <f>ROUND((ROUND((ROUND((_11_A通院１０．５*_11・基礎１),0)*_11・２人),0)*_11・初任),0)+ROUND((ROUND((ROUND((ROUND((_11_B通院１０．５＿１．０*_11・基礎１),0)*_11・２人),0)*(1+_11・B夜間)),0)*_11・初任),0)+ROUND((ROUND((ROUND((ROUND((_11_C通院１０．５＿１．０＿１．０*_11・基礎１),0)*_11・２人),0)*(1+_11・C深夜)),0)*_11・初任),0)</f>
        <v>449</v>
      </c>
      <c r="Y54" s="48"/>
    </row>
    <row r="55" spans="1:25" ht="16.5" customHeight="1" x14ac:dyDescent="0.15">
      <c r="A55" s="41">
        <v>11</v>
      </c>
      <c r="B55" s="41">
        <v>3767</v>
      </c>
      <c r="C55" s="74" t="s">
        <v>6395</v>
      </c>
      <c r="D55" s="72"/>
      <c r="E55" s="99"/>
      <c r="F55" s="72"/>
      <c r="G55" s="99"/>
      <c r="H55" s="707" t="s">
        <v>3794</v>
      </c>
      <c r="I55" s="717"/>
      <c r="J55" s="53"/>
      <c r="K55" s="49"/>
      <c r="L55" s="50"/>
      <c r="M55" s="44"/>
      <c r="N55" s="45"/>
      <c r="O55" s="46"/>
      <c r="P55" s="35"/>
      <c r="R55" s="57"/>
      <c r="S55" s="35"/>
      <c r="U55" s="57"/>
      <c r="V55" s="53"/>
      <c r="W55" s="49"/>
      <c r="X55" s="47">
        <f>_11_A通院１０．５+ROUND((_11_B通院１０．５＿１．０*(1+_11・B夜間)),0)+ROUND((_11_C通院１０．５＿１．０＿１．５*(1+_11・C深夜)),0)</f>
        <v>1040</v>
      </c>
      <c r="Y55" s="48"/>
    </row>
    <row r="56" spans="1:25" ht="16.5" customHeight="1" x14ac:dyDescent="0.15">
      <c r="A56" s="41">
        <v>11</v>
      </c>
      <c r="B56" s="41">
        <v>3768</v>
      </c>
      <c r="C56" s="74" t="s">
        <v>6396</v>
      </c>
      <c r="D56" s="72"/>
      <c r="E56" s="99"/>
      <c r="F56" s="72"/>
      <c r="G56" s="99"/>
      <c r="H56" s="709"/>
      <c r="I56" s="718"/>
      <c r="J56" s="43"/>
      <c r="K56" s="37"/>
      <c r="L56" s="38"/>
      <c r="M56" s="44" t="s">
        <v>397</v>
      </c>
      <c r="N56" s="45" t="s">
        <v>398</v>
      </c>
      <c r="O56" s="46">
        <v>1</v>
      </c>
      <c r="P56" s="35"/>
      <c r="R56" s="57"/>
      <c r="S56" s="35"/>
      <c r="U56" s="57"/>
      <c r="V56" s="35"/>
      <c r="X56" s="47">
        <f>ROUND((_11_A通院１０．５*_11・２人),0)+ROUND((ROUND((_11_B通院１０．５＿１．０*_11・２人),0)*(1+_11・B夜間)),0)+ROUND((ROUND((_11_C通院１０．５＿１．０＿１．５*_11・２人),0)*(1+_11・C深夜)),0)</f>
        <v>1040</v>
      </c>
      <c r="Y56" s="48"/>
    </row>
    <row r="57" spans="1:25" ht="16.5" customHeight="1" x14ac:dyDescent="0.15">
      <c r="A57" s="41">
        <v>11</v>
      </c>
      <c r="B57" s="41">
        <v>3769</v>
      </c>
      <c r="C57" s="74" t="s">
        <v>6397</v>
      </c>
      <c r="D57" s="72"/>
      <c r="E57" s="99"/>
      <c r="F57" s="72"/>
      <c r="G57" s="99"/>
      <c r="H57" s="709"/>
      <c r="I57" s="718"/>
      <c r="J57" s="705" t="s">
        <v>400</v>
      </c>
      <c r="K57" s="49" t="s">
        <v>398</v>
      </c>
      <c r="L57" s="50">
        <v>0.7</v>
      </c>
      <c r="M57" s="44"/>
      <c r="N57" s="45"/>
      <c r="O57" s="46"/>
      <c r="P57" s="35"/>
      <c r="R57" s="57"/>
      <c r="S57" s="35"/>
      <c r="U57" s="57"/>
      <c r="V57" s="35"/>
      <c r="X57" s="47">
        <f>ROUND((_11_A通院１０．５*_11・基礎１),0)+ROUND((ROUND((_11_B通院１０．５＿１．０*_11・基礎１),0)*(1+_11・B夜間)),0)+ROUND((ROUND((_11_C通院１０．５＿１．０＿１．５*_11・基礎１),0)*(1+_11・C深夜)),0)</f>
        <v>728</v>
      </c>
      <c r="Y57" s="48"/>
    </row>
    <row r="58" spans="1:25" ht="16.5" customHeight="1" x14ac:dyDescent="0.15">
      <c r="A58" s="41">
        <v>11</v>
      </c>
      <c r="B58" s="41">
        <v>3770</v>
      </c>
      <c r="C58" s="74" t="s">
        <v>6398</v>
      </c>
      <c r="D58" s="72"/>
      <c r="E58" s="99"/>
      <c r="F58" s="72"/>
      <c r="G58" s="99"/>
      <c r="H58" s="100">
        <f>_11_C通院１０．５＿１．０＿１．５</f>
        <v>249</v>
      </c>
      <c r="I58" s="99" t="s">
        <v>392</v>
      </c>
      <c r="J58" s="757"/>
      <c r="K58" s="37"/>
      <c r="L58" s="38"/>
      <c r="M58" s="44" t="s">
        <v>397</v>
      </c>
      <c r="N58" s="45" t="s">
        <v>398</v>
      </c>
      <c r="O58" s="46">
        <v>1</v>
      </c>
      <c r="P58" s="35"/>
      <c r="R58" s="57"/>
      <c r="S58" s="35"/>
      <c r="U58" s="57"/>
      <c r="V58" s="43"/>
      <c r="W58" s="37"/>
      <c r="X58" s="47">
        <f>ROUND((ROUND((_11_A通院１０．５*_11・基礎１),0)*_11・２人),0)+ROUND((ROUND((ROUND((_11_B通院１０．５＿１．０*_11・基礎１),0)*_11・２人),0)*(1+_11・B夜間)),0)+ROUND((ROUND((ROUND((_11_C通院１０．５＿１．０＿１．５*_11・基礎１),0)*_11・２人),0)*(1+_11・C深夜)),0)</f>
        <v>728</v>
      </c>
      <c r="Y58" s="48"/>
    </row>
    <row r="59" spans="1:25" ht="16.5" customHeight="1" x14ac:dyDescent="0.15">
      <c r="A59" s="41">
        <v>11</v>
      </c>
      <c r="B59" s="41" t="s">
        <v>6399</v>
      </c>
      <c r="C59" s="74" t="s">
        <v>6400</v>
      </c>
      <c r="D59" s="72"/>
      <c r="E59" s="99"/>
      <c r="F59" s="72"/>
      <c r="G59" s="99"/>
      <c r="H59" s="121"/>
      <c r="I59" s="99"/>
      <c r="J59" s="53"/>
      <c r="K59" s="49"/>
      <c r="L59" s="50"/>
      <c r="M59" s="44"/>
      <c r="N59" s="45"/>
      <c r="O59" s="46"/>
      <c r="P59" s="35"/>
      <c r="R59" s="57"/>
      <c r="S59" s="35"/>
      <c r="U59" s="57"/>
      <c r="V59" s="707" t="s">
        <v>404</v>
      </c>
      <c r="W59" s="708"/>
      <c r="X59" s="47">
        <f>ROUND((_11_A通院１０．５*_11・初任),0)+ROUND((ROUND((_11_B通院１０．５＿１．０*(1+_11・B夜間)),0)*_11・初任),0)+ROUND((ROUND((_11_C通院１０．５＿１．０＿１．５*(1+_11・C深夜)),0)*_11・初任),0)</f>
        <v>729</v>
      </c>
      <c r="Y59" s="48"/>
    </row>
    <row r="60" spans="1:25" ht="16.5" customHeight="1" x14ac:dyDescent="0.15">
      <c r="A60" s="41">
        <v>11</v>
      </c>
      <c r="B60" s="41" t="s">
        <v>6401</v>
      </c>
      <c r="C60" s="74" t="s">
        <v>6402</v>
      </c>
      <c r="D60" s="72"/>
      <c r="E60" s="99"/>
      <c r="F60" s="72"/>
      <c r="G60" s="99"/>
      <c r="H60" s="121"/>
      <c r="I60" s="99"/>
      <c r="J60" s="43"/>
      <c r="K60" s="37"/>
      <c r="L60" s="38"/>
      <c r="M60" s="44" t="s">
        <v>397</v>
      </c>
      <c r="N60" s="45" t="s">
        <v>398</v>
      </c>
      <c r="O60" s="46">
        <v>1</v>
      </c>
      <c r="P60" s="35"/>
      <c r="R60" s="57"/>
      <c r="S60" s="35"/>
      <c r="U60" s="57"/>
      <c r="V60" s="709"/>
      <c r="W60" s="704"/>
      <c r="X60" s="47">
        <f>ROUND((ROUND((_11_A通院１０．５*_11・２人),0)*_11・初任),0)+ROUND((ROUND((ROUND((_11_B通院１０．５＿１．０*_11・２人),0)*(1+_11・B夜間)),0)*_11・初任),0)+ROUND((ROUND((ROUND((_11_C通院１０．５＿１．０＿１．５*_11・２人),0)*(1+_11・C深夜)),0)*_11・初任),0)</f>
        <v>729</v>
      </c>
      <c r="Y60" s="48"/>
    </row>
    <row r="61" spans="1:25" ht="16.5" customHeight="1" x14ac:dyDescent="0.15">
      <c r="A61" s="41">
        <v>11</v>
      </c>
      <c r="B61" s="41" t="s">
        <v>6403</v>
      </c>
      <c r="C61" s="74" t="s">
        <v>6404</v>
      </c>
      <c r="D61" s="72"/>
      <c r="E61" s="99"/>
      <c r="F61" s="72"/>
      <c r="G61" s="99"/>
      <c r="H61" s="72"/>
      <c r="I61" s="99"/>
      <c r="J61" s="705" t="s">
        <v>400</v>
      </c>
      <c r="K61" s="49" t="s">
        <v>398</v>
      </c>
      <c r="L61" s="50">
        <v>0.7</v>
      </c>
      <c r="M61" s="44"/>
      <c r="N61" s="45"/>
      <c r="O61" s="46"/>
      <c r="P61" s="35"/>
      <c r="R61" s="57"/>
      <c r="S61" s="35"/>
      <c r="U61" s="57"/>
      <c r="V61" s="709"/>
      <c r="W61" s="704"/>
      <c r="X61" s="47">
        <f>ROUND((ROUND((_11_A通院１０．５*_11・基礎１),0)*_11・初任),0)+ROUND((ROUND((ROUND((_11_B通院１０．５＿１．０*_11・基礎１),0)*(1+_11・B夜間)),0)*_11・初任),0)+ROUND((ROUND((ROUND((_11_C通院１０．５＿１．０＿１．５*_11・基礎１),0)*(1+_11・C深夜)),0)*_11・初任),0)</f>
        <v>510</v>
      </c>
      <c r="Y61" s="48"/>
    </row>
    <row r="62" spans="1:25" ht="16.5" customHeight="1" x14ac:dyDescent="0.15">
      <c r="A62" s="41">
        <v>11</v>
      </c>
      <c r="B62" s="41" t="s">
        <v>6405</v>
      </c>
      <c r="C62" s="74" t="s">
        <v>6406</v>
      </c>
      <c r="D62" s="72"/>
      <c r="E62" s="99"/>
      <c r="F62" s="72"/>
      <c r="G62" s="99"/>
      <c r="H62" s="72"/>
      <c r="I62" s="99"/>
      <c r="J62" s="757"/>
      <c r="K62" s="37"/>
      <c r="L62" s="38"/>
      <c r="M62" s="44" t="s">
        <v>397</v>
      </c>
      <c r="N62" s="45" t="s">
        <v>398</v>
      </c>
      <c r="O62" s="46">
        <v>1</v>
      </c>
      <c r="P62" s="35"/>
      <c r="R62" s="57"/>
      <c r="S62" s="35"/>
      <c r="U62" s="57"/>
      <c r="V62" s="55" t="s">
        <v>398</v>
      </c>
      <c r="W62" s="38">
        <f>_11・初任</f>
        <v>0.7</v>
      </c>
      <c r="X62" s="47">
        <f>ROUND((ROUND((ROUND((_11_A通院１０．５*_11・基礎１),0)*_11・２人),0)*_11・初任),0)+ROUND((ROUND((ROUND((ROUND((_11_B通院１０．５＿１．０*_11・基礎１),0)*_11・２人),0)*(1+_11・B夜間)),0)*_11・初任),0)+ROUND((ROUND((ROUND((ROUND((_11_C通院１０．５＿１．０＿１．５*_11・基礎１),0)*_11・２人),0)*(1+_11・C深夜)),0)*_11・初任),0)</f>
        <v>510</v>
      </c>
      <c r="Y62" s="48"/>
    </row>
    <row r="63" spans="1:25" ht="16.5" customHeight="1" x14ac:dyDescent="0.15">
      <c r="A63" s="41">
        <v>11</v>
      </c>
      <c r="B63" s="41">
        <v>3771</v>
      </c>
      <c r="C63" s="74" t="s">
        <v>6407</v>
      </c>
      <c r="D63" s="707" t="s">
        <v>6408</v>
      </c>
      <c r="E63" s="717"/>
      <c r="F63" s="707" t="s">
        <v>2461</v>
      </c>
      <c r="G63" s="717"/>
      <c r="H63" s="707" t="s">
        <v>3780</v>
      </c>
      <c r="I63" s="717"/>
      <c r="J63" s="53"/>
      <c r="K63" s="49"/>
      <c r="L63" s="50"/>
      <c r="M63" s="44"/>
      <c r="N63" s="45"/>
      <c r="O63" s="46"/>
      <c r="P63" s="35"/>
      <c r="R63" s="57"/>
      <c r="S63" s="35"/>
      <c r="U63" s="57"/>
      <c r="V63" s="53"/>
      <c r="W63" s="49"/>
      <c r="X63" s="47">
        <f>_11_A通院１１．０+ROUND((_11_B通院１１．０＿１．０*(1+_11・B夜間)),0)+ROUND((_11_C通院１１．０＿１．０＿０．５*(1+_11・C深夜)),0)</f>
        <v>858</v>
      </c>
      <c r="Y63" s="48"/>
    </row>
    <row r="64" spans="1:25" ht="16.5" customHeight="1" x14ac:dyDescent="0.15">
      <c r="A64" s="41">
        <v>11</v>
      </c>
      <c r="B64" s="41">
        <v>3772</v>
      </c>
      <c r="C64" s="74" t="s">
        <v>6409</v>
      </c>
      <c r="D64" s="709"/>
      <c r="E64" s="718"/>
      <c r="F64" s="709"/>
      <c r="G64" s="718"/>
      <c r="H64" s="709"/>
      <c r="I64" s="718"/>
      <c r="J64" s="43"/>
      <c r="K64" s="37"/>
      <c r="L64" s="38"/>
      <c r="M64" s="44" t="s">
        <v>397</v>
      </c>
      <c r="N64" s="45" t="s">
        <v>398</v>
      </c>
      <c r="O64" s="46">
        <v>1</v>
      </c>
      <c r="P64" s="35"/>
      <c r="R64" s="57"/>
      <c r="S64" s="35"/>
      <c r="U64" s="57"/>
      <c r="V64" s="35"/>
      <c r="X64" s="47">
        <f>ROUND((_11_A通院１１．０*_11・２人),0)+ROUND((ROUND((_11_B通院１１．０＿１．０*_11・２人),0)*(1+_11・B夜間)),0)+ROUND((ROUND((_11_C通院１１．０＿１．０＿０．５*_11・２人),0)*(1+_11・C深夜)),0)</f>
        <v>858</v>
      </c>
      <c r="Y64" s="48"/>
    </row>
    <row r="65" spans="1:25" ht="16.5" customHeight="1" x14ac:dyDescent="0.15">
      <c r="A65" s="41">
        <v>11</v>
      </c>
      <c r="B65" s="41">
        <v>3773</v>
      </c>
      <c r="C65" s="74" t="s">
        <v>6410</v>
      </c>
      <c r="D65" s="709"/>
      <c r="E65" s="718"/>
      <c r="F65" s="709"/>
      <c r="G65" s="718"/>
      <c r="H65" s="709"/>
      <c r="I65" s="718"/>
      <c r="J65" s="705" t="s">
        <v>400</v>
      </c>
      <c r="K65" s="49" t="s">
        <v>398</v>
      </c>
      <c r="L65" s="50">
        <v>0.7</v>
      </c>
      <c r="M65" s="44"/>
      <c r="N65" s="45"/>
      <c r="O65" s="46"/>
      <c r="P65" s="35"/>
      <c r="R65" s="57"/>
      <c r="S65" s="35"/>
      <c r="U65" s="57"/>
      <c r="V65" s="35"/>
      <c r="X65" s="47">
        <f>ROUND((_11_A通院１１．０*_11・基礎１),0)+ROUND((ROUND((_11_B通院１１．０＿１．０*_11・基礎１),0)*(1+_11・B夜間)),0)+ROUND((ROUND((_11_C通院１１．０＿１．０＿０．５*_11・基礎１),0)*(1+_11・C深夜)),0)</f>
        <v>601</v>
      </c>
      <c r="Y65" s="48"/>
    </row>
    <row r="66" spans="1:25" ht="16.5" customHeight="1" x14ac:dyDescent="0.15">
      <c r="A66" s="41">
        <v>11</v>
      </c>
      <c r="B66" s="41">
        <v>3774</v>
      </c>
      <c r="C66" s="74" t="s">
        <v>6411</v>
      </c>
      <c r="D66" s="100">
        <f>_11_A通院１１．０</f>
        <v>402</v>
      </c>
      <c r="E66" s="99" t="s">
        <v>392</v>
      </c>
      <c r="F66" s="100">
        <f>_11_B通院１１．０＿１．０</f>
        <v>264</v>
      </c>
      <c r="G66" s="99" t="s">
        <v>392</v>
      </c>
      <c r="H66" s="100">
        <f>_11_C通院１１．０＿１．０＿０．５</f>
        <v>84</v>
      </c>
      <c r="I66" s="99" t="s">
        <v>392</v>
      </c>
      <c r="J66" s="757"/>
      <c r="K66" s="37"/>
      <c r="L66" s="38"/>
      <c r="M66" s="44" t="s">
        <v>397</v>
      </c>
      <c r="N66" s="45" t="s">
        <v>398</v>
      </c>
      <c r="O66" s="46">
        <v>1</v>
      </c>
      <c r="P66" s="35"/>
      <c r="R66" s="57"/>
      <c r="S66" s="35"/>
      <c r="U66" s="57"/>
      <c r="V66" s="43"/>
      <c r="W66" s="37"/>
      <c r="X66" s="47">
        <f>ROUND((ROUND((_11_A通院１１．０*_11・基礎１),0)*_11・２人),0)+ROUND((ROUND((ROUND((_11_B通院１１．０＿１．０*_11・基礎１),0)*_11・２人),0)*(1+_11・B夜間)),0)+ROUND((ROUND((ROUND((_11_C通院１１．０＿１．０＿０．５*_11・基礎１),0)*_11・２人),0)*(1+_11・C深夜)),0)</f>
        <v>601</v>
      </c>
      <c r="Y66" s="48"/>
    </row>
    <row r="67" spans="1:25" ht="16.5" customHeight="1" x14ac:dyDescent="0.15">
      <c r="A67" s="41">
        <v>11</v>
      </c>
      <c r="B67" s="41" t="s">
        <v>6412</v>
      </c>
      <c r="C67" s="74" t="s">
        <v>6413</v>
      </c>
      <c r="D67" s="121"/>
      <c r="E67" s="99"/>
      <c r="F67" s="121"/>
      <c r="G67" s="99"/>
      <c r="H67" s="121"/>
      <c r="I67" s="99"/>
      <c r="J67" s="53"/>
      <c r="K67" s="49"/>
      <c r="L67" s="50"/>
      <c r="M67" s="44"/>
      <c r="N67" s="45"/>
      <c r="O67" s="46"/>
      <c r="P67" s="35"/>
      <c r="R67" s="57"/>
      <c r="S67" s="35"/>
      <c r="U67" s="57"/>
      <c r="V67" s="707" t="s">
        <v>404</v>
      </c>
      <c r="W67" s="708"/>
      <c r="X67" s="47">
        <f>ROUND((_11_A通院１１．０*_11・初任),0)+ROUND((ROUND((_11_B通院１１．０＿１．０*(1+_11・B夜間)),0)*_11・初任),0)+ROUND((ROUND((_11_C通院１１．０＿１．０＿０．５*(1+_11・C深夜)),0)*_11・初任),0)</f>
        <v>600</v>
      </c>
      <c r="Y67" s="48"/>
    </row>
    <row r="68" spans="1:25" ht="16.5" customHeight="1" x14ac:dyDescent="0.15">
      <c r="A68" s="41">
        <v>11</v>
      </c>
      <c r="B68" s="41" t="s">
        <v>6414</v>
      </c>
      <c r="C68" s="74" t="s">
        <v>6415</v>
      </c>
      <c r="D68" s="121"/>
      <c r="E68" s="99"/>
      <c r="F68" s="121"/>
      <c r="G68" s="99"/>
      <c r="H68" s="121"/>
      <c r="I68" s="99"/>
      <c r="J68" s="43"/>
      <c r="K68" s="37"/>
      <c r="L68" s="38"/>
      <c r="M68" s="44" t="s">
        <v>397</v>
      </c>
      <c r="N68" s="45" t="s">
        <v>398</v>
      </c>
      <c r="O68" s="46">
        <v>1</v>
      </c>
      <c r="P68" s="35"/>
      <c r="R68" s="57"/>
      <c r="S68" s="35"/>
      <c r="U68" s="57"/>
      <c r="V68" s="709"/>
      <c r="W68" s="704"/>
      <c r="X68" s="47">
        <f>ROUND((ROUND((_11_A通院１１．０*_11・２人),0)*_11・初任),0)+ROUND((ROUND((ROUND((_11_B通院１１．０＿１．０*_11・２人),0)*(1+_11・B夜間)),0)*_11・初任),0)+ROUND((ROUND((ROUND((_11_C通院１１．０＿１．０＿０．５*_11・２人),0)*(1+_11・C深夜)),0)*_11・初任),0)</f>
        <v>600</v>
      </c>
      <c r="Y68" s="48"/>
    </row>
    <row r="69" spans="1:25" ht="16.5" customHeight="1" x14ac:dyDescent="0.15">
      <c r="A69" s="41">
        <v>11</v>
      </c>
      <c r="B69" s="41" t="s">
        <v>6416</v>
      </c>
      <c r="C69" s="74" t="s">
        <v>6417</v>
      </c>
      <c r="D69" s="72"/>
      <c r="E69" s="99"/>
      <c r="F69" s="72"/>
      <c r="G69" s="99"/>
      <c r="H69" s="72"/>
      <c r="I69" s="99"/>
      <c r="J69" s="705" t="s">
        <v>400</v>
      </c>
      <c r="K69" s="49" t="s">
        <v>398</v>
      </c>
      <c r="L69" s="50">
        <v>0.7</v>
      </c>
      <c r="M69" s="44"/>
      <c r="N69" s="45"/>
      <c r="O69" s="46"/>
      <c r="P69" s="35"/>
      <c r="R69" s="57"/>
      <c r="S69" s="35"/>
      <c r="U69" s="57"/>
      <c r="V69" s="709"/>
      <c r="W69" s="704"/>
      <c r="X69" s="47">
        <f>ROUND((ROUND((_11_A通院１１．０*_11・基礎１),0)*_11・初任),0)+ROUND((ROUND((ROUND((_11_B通院１１．０＿１．０*_11・基礎１),0)*(1+_11・B夜間)),0)*_11・初任),0)+ROUND((ROUND((ROUND((_11_C通院１１．０＿１．０＿０．５*_11・基礎１),0)*(1+_11・C深夜)),0)*_11・初任),0)</f>
        <v>421</v>
      </c>
      <c r="Y69" s="48"/>
    </row>
    <row r="70" spans="1:25" ht="16.5" customHeight="1" x14ac:dyDescent="0.15">
      <c r="A70" s="41">
        <v>11</v>
      </c>
      <c r="B70" s="41" t="s">
        <v>6418</v>
      </c>
      <c r="C70" s="74" t="s">
        <v>6419</v>
      </c>
      <c r="D70" s="72"/>
      <c r="E70" s="99"/>
      <c r="F70" s="72"/>
      <c r="G70" s="99"/>
      <c r="H70" s="72"/>
      <c r="I70" s="99"/>
      <c r="J70" s="757"/>
      <c r="K70" s="37"/>
      <c r="L70" s="38"/>
      <c r="M70" s="44" t="s">
        <v>397</v>
      </c>
      <c r="N70" s="45" t="s">
        <v>398</v>
      </c>
      <c r="O70" s="46">
        <v>1</v>
      </c>
      <c r="P70" s="35"/>
      <c r="R70" s="57"/>
      <c r="S70" s="35"/>
      <c r="U70" s="57"/>
      <c r="V70" s="55" t="s">
        <v>398</v>
      </c>
      <c r="W70" s="38">
        <f>_11・初任</f>
        <v>0.7</v>
      </c>
      <c r="X70" s="47">
        <f>ROUND((ROUND((ROUND((_11_A通院１１．０*_11・基礎１),0)*_11・２人),0)*_11・初任),0)+ROUND((ROUND((ROUND((ROUND((_11_B通院１１．０＿１．０*_11・基礎１),0)*_11・２人),0)*(1+_11・B夜間)),0)*_11・初任),0)+ROUND((ROUND((ROUND((ROUND((_11_C通院１１．０＿１．０＿０．５*_11・基礎１),0)*_11・２人),0)*(1+_11・C深夜)),0)*_11・初任),0)</f>
        <v>421</v>
      </c>
      <c r="Y70" s="48"/>
    </row>
    <row r="71" spans="1:25" ht="16.5" customHeight="1" x14ac:dyDescent="0.15">
      <c r="A71" s="41">
        <v>11</v>
      </c>
      <c r="B71" s="41">
        <v>3775</v>
      </c>
      <c r="C71" s="74" t="s">
        <v>6420</v>
      </c>
      <c r="D71" s="121"/>
      <c r="E71" s="99"/>
      <c r="F71" s="121"/>
      <c r="G71" s="99"/>
      <c r="H71" s="707" t="s">
        <v>3787</v>
      </c>
      <c r="I71" s="717"/>
      <c r="J71" s="53"/>
      <c r="K71" s="49"/>
      <c r="L71" s="50"/>
      <c r="M71" s="44"/>
      <c r="N71" s="45"/>
      <c r="O71" s="46"/>
      <c r="P71" s="35"/>
      <c r="R71" s="57"/>
      <c r="S71" s="35"/>
      <c r="U71" s="57"/>
      <c r="V71" s="53"/>
      <c r="W71" s="49"/>
      <c r="X71" s="47">
        <f>_11_A通院１１．０+ROUND((_11_B通院１１．０＿１．０*(1+_11・B夜間)),0)+ROUND((_11_C通院１１．０＿１．０＿１．０*(1+_11・C深夜)),0)</f>
        <v>983</v>
      </c>
      <c r="Y71" s="48"/>
    </row>
    <row r="72" spans="1:25" ht="16.5" customHeight="1" x14ac:dyDescent="0.15">
      <c r="A72" s="41">
        <v>11</v>
      </c>
      <c r="B72" s="41">
        <v>3776</v>
      </c>
      <c r="C72" s="74" t="s">
        <v>6421</v>
      </c>
      <c r="D72" s="72"/>
      <c r="E72" s="99"/>
      <c r="F72" s="72"/>
      <c r="G72" s="99"/>
      <c r="H72" s="709"/>
      <c r="I72" s="718"/>
      <c r="J72" s="43"/>
      <c r="K72" s="37"/>
      <c r="L72" s="38"/>
      <c r="M72" s="44" t="s">
        <v>397</v>
      </c>
      <c r="N72" s="45" t="s">
        <v>398</v>
      </c>
      <c r="O72" s="46">
        <v>1</v>
      </c>
      <c r="P72" s="35"/>
      <c r="R72" s="57"/>
      <c r="S72" s="35"/>
      <c r="U72" s="57"/>
      <c r="V72" s="35"/>
      <c r="X72" s="47">
        <f>ROUND((_11_A通院１１．０*_11・２人),0)+ROUND((ROUND((_11_B通院１１．０＿１．０*_11・２人),0)*(1+_11・B夜間)),0)+ROUND((ROUND((_11_C通院１１．０＿１．０＿１．０*_11・２人),0)*(1+_11・C深夜)),0)</f>
        <v>983</v>
      </c>
      <c r="Y72" s="48"/>
    </row>
    <row r="73" spans="1:25" ht="16.5" customHeight="1" x14ac:dyDescent="0.15">
      <c r="A73" s="41">
        <v>11</v>
      </c>
      <c r="B73" s="41">
        <v>3777</v>
      </c>
      <c r="C73" s="74" t="s">
        <v>6422</v>
      </c>
      <c r="D73" s="72"/>
      <c r="E73" s="99"/>
      <c r="F73" s="72"/>
      <c r="G73" s="99"/>
      <c r="H73" s="709"/>
      <c r="I73" s="718"/>
      <c r="J73" s="705" t="s">
        <v>400</v>
      </c>
      <c r="K73" s="49" t="s">
        <v>398</v>
      </c>
      <c r="L73" s="50">
        <v>0.7</v>
      </c>
      <c r="M73" s="44"/>
      <c r="N73" s="45"/>
      <c r="O73" s="46"/>
      <c r="P73" s="35"/>
      <c r="R73" s="57"/>
      <c r="S73" s="35"/>
      <c r="U73" s="57"/>
      <c r="V73" s="35"/>
      <c r="X73" s="47">
        <f>ROUND((_11_A通院１１．０*_11・基礎１),0)+ROUND((ROUND((_11_B通院１１．０＿１．０*_11・基礎１),0)*(1+_11・B夜間)),0)+ROUND((ROUND((_11_C通院１１．０＿１．０＿１．０*_11・基礎１),0)*(1+_11・C深夜)),0)</f>
        <v>688</v>
      </c>
      <c r="Y73" s="48"/>
    </row>
    <row r="74" spans="1:25" ht="16.5" customHeight="1" x14ac:dyDescent="0.15">
      <c r="A74" s="41">
        <v>11</v>
      </c>
      <c r="B74" s="41">
        <v>3778</v>
      </c>
      <c r="C74" s="74" t="s">
        <v>6423</v>
      </c>
      <c r="D74" s="100"/>
      <c r="E74" s="99"/>
      <c r="F74" s="100"/>
      <c r="G74" s="99"/>
      <c r="H74" s="100">
        <f>_11_C通院１１．０＿１．０＿１．０</f>
        <v>167</v>
      </c>
      <c r="I74" s="12" t="s">
        <v>392</v>
      </c>
      <c r="J74" s="757"/>
      <c r="K74" s="37"/>
      <c r="L74" s="38"/>
      <c r="M74" s="44" t="s">
        <v>397</v>
      </c>
      <c r="N74" s="45" t="s">
        <v>398</v>
      </c>
      <c r="O74" s="46">
        <v>1</v>
      </c>
      <c r="P74" s="35"/>
      <c r="R74" s="57"/>
      <c r="S74" s="35"/>
      <c r="U74" s="57"/>
      <c r="V74" s="43"/>
      <c r="W74" s="37"/>
      <c r="X74" s="47">
        <f>ROUND((ROUND((_11_A通院１１．０*_11・基礎１),0)*_11・２人),0)+ROUND((ROUND((ROUND((_11_B通院１１．０＿１．０*_11・基礎１),0)*_11・２人),0)*(1+_11・B夜間)),0)+ROUND((ROUND((ROUND((_11_C通院１１．０＿１．０＿１．０*_11・基礎１),0)*_11・２人),0)*(1+_11・C深夜)),0)</f>
        <v>688</v>
      </c>
      <c r="Y74" s="48"/>
    </row>
    <row r="75" spans="1:25" ht="16.5" customHeight="1" x14ac:dyDescent="0.15">
      <c r="A75" s="41">
        <v>11</v>
      </c>
      <c r="B75" s="41" t="s">
        <v>6424</v>
      </c>
      <c r="C75" s="74" t="s">
        <v>6425</v>
      </c>
      <c r="D75" s="72"/>
      <c r="E75" s="99"/>
      <c r="F75" s="72"/>
      <c r="G75" s="99"/>
      <c r="H75" s="121"/>
      <c r="I75" s="99"/>
      <c r="J75" s="53"/>
      <c r="K75" s="49"/>
      <c r="L75" s="50"/>
      <c r="M75" s="44"/>
      <c r="N75" s="45"/>
      <c r="O75" s="46"/>
      <c r="P75" s="35"/>
      <c r="R75" s="57"/>
      <c r="S75" s="35"/>
      <c r="U75" s="57"/>
      <c r="V75" s="707" t="s">
        <v>404</v>
      </c>
      <c r="W75" s="708"/>
      <c r="X75" s="47">
        <f>ROUND((_11_A通院１１．０*_11・初任),0)+ROUND((ROUND((_11_B通院１１．０＿１．０*(1+_11・B夜間)),0)*_11・初任),0)+ROUND((ROUND((_11_C通院１１．０＿１．０＿１．０*(1+_11・C深夜)),0)*_11・初任),0)</f>
        <v>688</v>
      </c>
      <c r="Y75" s="48"/>
    </row>
    <row r="76" spans="1:25" ht="16.5" customHeight="1" x14ac:dyDescent="0.15">
      <c r="A76" s="41">
        <v>11</v>
      </c>
      <c r="B76" s="41" t="s">
        <v>6426</v>
      </c>
      <c r="C76" s="74" t="s">
        <v>6427</v>
      </c>
      <c r="D76" s="72"/>
      <c r="E76" s="99"/>
      <c r="F76" s="72"/>
      <c r="G76" s="99"/>
      <c r="H76" s="121"/>
      <c r="I76" s="99"/>
      <c r="J76" s="43"/>
      <c r="K76" s="37"/>
      <c r="L76" s="38"/>
      <c r="M76" s="44" t="s">
        <v>397</v>
      </c>
      <c r="N76" s="45" t="s">
        <v>398</v>
      </c>
      <c r="O76" s="46">
        <v>1</v>
      </c>
      <c r="P76" s="35"/>
      <c r="R76" s="57"/>
      <c r="S76" s="35"/>
      <c r="U76" s="57"/>
      <c r="V76" s="709"/>
      <c r="W76" s="704"/>
      <c r="X76" s="47">
        <f>ROUND((ROUND((_11_A通院１１．０*_11・２人),0)*_11・初任),0)+ROUND((ROUND((ROUND((_11_B通院１１．０＿１．０*_11・２人),0)*(1+_11・B夜間)),0)*_11・初任),0)+ROUND((ROUND((ROUND((_11_C通院１１．０＿１．０＿１．０*_11・２人),0)*(1+_11・C深夜)),0)*_11・初任),0)</f>
        <v>688</v>
      </c>
      <c r="Y76" s="48"/>
    </row>
    <row r="77" spans="1:25" ht="16.5" customHeight="1" x14ac:dyDescent="0.15">
      <c r="A77" s="41">
        <v>11</v>
      </c>
      <c r="B77" s="41" t="s">
        <v>6428</v>
      </c>
      <c r="C77" s="74" t="s">
        <v>6429</v>
      </c>
      <c r="D77" s="72"/>
      <c r="E77" s="99"/>
      <c r="F77" s="72"/>
      <c r="G77" s="99"/>
      <c r="H77" s="72"/>
      <c r="I77" s="99"/>
      <c r="J77" s="705" t="s">
        <v>400</v>
      </c>
      <c r="K77" s="49" t="s">
        <v>398</v>
      </c>
      <c r="L77" s="50">
        <v>0.7</v>
      </c>
      <c r="M77" s="44"/>
      <c r="N77" s="45"/>
      <c r="O77" s="46"/>
      <c r="P77" s="35"/>
      <c r="R77" s="57"/>
      <c r="S77" s="35"/>
      <c r="U77" s="57"/>
      <c r="V77" s="709"/>
      <c r="W77" s="704"/>
      <c r="X77" s="47">
        <f>ROUND((ROUND((_11_A通院１１．０*_11・基礎１),0)*_11・初任),0)+ROUND((ROUND((ROUND((_11_B通院１１．０＿１．０*_11・基礎１),0)*(1+_11・B夜間)),0)*_11・初任),0)+ROUND((ROUND((ROUND((_11_C通院１１．０＿１．０＿１．０*_11・基礎１),0)*(1+_11・C深夜)),0)*_11・初任),0)</f>
        <v>482</v>
      </c>
      <c r="Y77" s="48"/>
    </row>
    <row r="78" spans="1:25" ht="16.5" customHeight="1" x14ac:dyDescent="0.15">
      <c r="A78" s="41">
        <v>11</v>
      </c>
      <c r="B78" s="41" t="s">
        <v>6430</v>
      </c>
      <c r="C78" s="74" t="s">
        <v>6431</v>
      </c>
      <c r="D78" s="72"/>
      <c r="E78" s="99"/>
      <c r="F78" s="72"/>
      <c r="G78" s="99"/>
      <c r="H78" s="72"/>
      <c r="I78" s="99"/>
      <c r="J78" s="757"/>
      <c r="K78" s="37"/>
      <c r="L78" s="38"/>
      <c r="M78" s="44" t="s">
        <v>397</v>
      </c>
      <c r="N78" s="45" t="s">
        <v>398</v>
      </c>
      <c r="O78" s="46">
        <v>1</v>
      </c>
      <c r="P78" s="35"/>
      <c r="R78" s="57"/>
      <c r="S78" s="35"/>
      <c r="U78" s="57"/>
      <c r="V78" s="55" t="s">
        <v>398</v>
      </c>
      <c r="W78" s="38">
        <f>_11・初任</f>
        <v>0.7</v>
      </c>
      <c r="X78" s="47">
        <f>ROUND((ROUND((ROUND((_11_A通院１１．０*_11・基礎１),0)*_11・２人),0)*_11・初任),0)+ROUND((ROUND((ROUND((ROUND((_11_B通院１１．０＿１．０*_11・基礎１),0)*_11・２人),0)*(1+_11・B夜間)),0)*_11・初任),0)+ROUND((ROUND((ROUND((ROUND((_11_C通院１１．０＿１．０＿１．０*_11・基礎１),0)*_11・２人),0)*(1+_11・C深夜)),0)*_11・初任),0)</f>
        <v>482</v>
      </c>
      <c r="Y78" s="48"/>
    </row>
    <row r="79" spans="1:25" ht="16.5" customHeight="1" x14ac:dyDescent="0.15">
      <c r="A79" s="41">
        <v>11</v>
      </c>
      <c r="B79" s="41">
        <v>3779</v>
      </c>
      <c r="C79" s="74" t="s">
        <v>6432</v>
      </c>
      <c r="D79" s="707" t="s">
        <v>6433</v>
      </c>
      <c r="E79" s="717"/>
      <c r="F79" s="707" t="s">
        <v>2461</v>
      </c>
      <c r="G79" s="717"/>
      <c r="H79" s="707" t="s">
        <v>3780</v>
      </c>
      <c r="I79" s="717"/>
      <c r="J79" s="53"/>
      <c r="K79" s="49"/>
      <c r="L79" s="50"/>
      <c r="M79" s="44"/>
      <c r="N79" s="45"/>
      <c r="O79" s="46"/>
      <c r="P79" s="35"/>
      <c r="R79" s="57"/>
      <c r="S79" s="35"/>
      <c r="U79" s="57"/>
      <c r="V79" s="53"/>
      <c r="W79" s="49"/>
      <c r="X79" s="47">
        <f>_11_A通院１１．５+ROUND((_11_B通院１１．５＿１．０*(1+_11・B夜間)),0)+ROUND((_11_C通院１１．５＿１．０＿０．５*(1+_11・C深夜)),0)</f>
        <v>917</v>
      </c>
      <c r="Y79" s="48"/>
    </row>
    <row r="80" spans="1:25" ht="16.5" customHeight="1" x14ac:dyDescent="0.15">
      <c r="A80" s="41">
        <v>11</v>
      </c>
      <c r="B80" s="41">
        <v>3780</v>
      </c>
      <c r="C80" s="74" t="s">
        <v>6434</v>
      </c>
      <c r="D80" s="709"/>
      <c r="E80" s="718"/>
      <c r="F80" s="709"/>
      <c r="G80" s="718"/>
      <c r="H80" s="709"/>
      <c r="I80" s="718"/>
      <c r="J80" s="43"/>
      <c r="K80" s="37"/>
      <c r="L80" s="38"/>
      <c r="M80" s="44" t="s">
        <v>397</v>
      </c>
      <c r="N80" s="45" t="s">
        <v>398</v>
      </c>
      <c r="O80" s="46">
        <v>1</v>
      </c>
      <c r="P80" s="35"/>
      <c r="R80" s="57"/>
      <c r="S80" s="35"/>
      <c r="U80" s="57"/>
      <c r="V80" s="35"/>
      <c r="X80" s="47">
        <f>ROUND((_11_A通院１１．５*_11・２人),0)+ROUND((ROUND((_11_B通院１１．５＿１．０*_11・２人),0)*(1+_11・B夜間)),0)+ROUND((ROUND((_11_C通院１１．５＿１．０＿０．５*_11・２人),0)*(1+_11・C深夜)),0)</f>
        <v>917</v>
      </c>
      <c r="Y80" s="48"/>
    </row>
    <row r="81" spans="1:25" ht="16.5" customHeight="1" x14ac:dyDescent="0.15">
      <c r="A81" s="41">
        <v>11</v>
      </c>
      <c r="B81" s="41">
        <v>3781</v>
      </c>
      <c r="C81" s="74" t="s">
        <v>6435</v>
      </c>
      <c r="D81" s="709"/>
      <c r="E81" s="718"/>
      <c r="F81" s="709"/>
      <c r="G81" s="718"/>
      <c r="H81" s="709"/>
      <c r="I81" s="718"/>
      <c r="J81" s="705" t="s">
        <v>400</v>
      </c>
      <c r="K81" s="49" t="s">
        <v>398</v>
      </c>
      <c r="L81" s="50">
        <v>0.7</v>
      </c>
      <c r="M81" s="44"/>
      <c r="N81" s="45"/>
      <c r="O81" s="46"/>
      <c r="P81" s="35"/>
      <c r="R81" s="57"/>
      <c r="S81" s="35"/>
      <c r="U81" s="57"/>
      <c r="V81" s="35"/>
      <c r="X81" s="47">
        <f>ROUND((_11_A通院１１．５*_11・基礎１),0)+ROUND((ROUND((_11_B通院１１．５＿１．０*_11・基礎１),0)*(1+_11・B夜間)),0)+ROUND((ROUND((_11_C通院１１．５＿１．０＿０．５*_11・基礎１),0)*(1+_11・C深夜)),0)</f>
        <v>641</v>
      </c>
      <c r="Y81" s="48"/>
    </row>
    <row r="82" spans="1:25" ht="16.5" customHeight="1" x14ac:dyDescent="0.15">
      <c r="A82" s="41">
        <v>11</v>
      </c>
      <c r="B82" s="41">
        <v>3782</v>
      </c>
      <c r="C82" s="74" t="s">
        <v>6436</v>
      </c>
      <c r="D82" s="100">
        <f>_11_A通院１１．５</f>
        <v>584</v>
      </c>
      <c r="E82" s="12" t="s">
        <v>392</v>
      </c>
      <c r="F82" s="100">
        <f>_11_B通院１１．５＿１．０</f>
        <v>166</v>
      </c>
      <c r="G82" s="12" t="s">
        <v>392</v>
      </c>
      <c r="H82" s="100">
        <f>_11_C通院１１．５＿１．０＿０．５</f>
        <v>83</v>
      </c>
      <c r="I82" s="12" t="s">
        <v>392</v>
      </c>
      <c r="J82" s="757"/>
      <c r="K82" s="37"/>
      <c r="L82" s="38"/>
      <c r="M82" s="44" t="s">
        <v>397</v>
      </c>
      <c r="N82" s="45" t="s">
        <v>398</v>
      </c>
      <c r="O82" s="46">
        <v>1</v>
      </c>
      <c r="P82" s="35"/>
      <c r="R82" s="57"/>
      <c r="S82" s="35"/>
      <c r="U82" s="57"/>
      <c r="V82" s="43"/>
      <c r="W82" s="37"/>
      <c r="X82" s="47">
        <f>ROUND((ROUND((_11_A通院１１．５*_11・基礎１),0)*_11・２人),0)+ROUND((ROUND((ROUND((_11_B通院１１．５＿１．０*_11・基礎１),0)*_11・２人),0)*(1+_11・B夜間)),0)+ROUND((ROUND((ROUND((_11_C通院１１．５＿１．０＿０．５*_11・基礎１),0)*_11・２人),0)*(1+_11・C深夜)),0)</f>
        <v>641</v>
      </c>
      <c r="Y82" s="48"/>
    </row>
    <row r="83" spans="1:25" ht="16.5" customHeight="1" x14ac:dyDescent="0.15">
      <c r="A83" s="41">
        <v>11</v>
      </c>
      <c r="B83" s="41" t="s">
        <v>6437</v>
      </c>
      <c r="C83" s="74" t="s">
        <v>6438</v>
      </c>
      <c r="D83" s="121"/>
      <c r="E83" s="99"/>
      <c r="F83" s="121"/>
      <c r="G83" s="99"/>
      <c r="H83" s="121"/>
      <c r="I83" s="99"/>
      <c r="J83" s="53"/>
      <c r="K83" s="49"/>
      <c r="L83" s="50"/>
      <c r="M83" s="44"/>
      <c r="N83" s="45"/>
      <c r="O83" s="46"/>
      <c r="P83" s="35"/>
      <c r="R83" s="57"/>
      <c r="S83" s="35"/>
      <c r="U83" s="57"/>
      <c r="V83" s="707" t="s">
        <v>404</v>
      </c>
      <c r="W83" s="708"/>
      <c r="X83" s="47">
        <f>ROUND((_11_A通院１１．５*_11・初任),0)+ROUND((ROUND((_11_B通院１１．５＿１．０*(1+_11・B夜間)),0)*_11・初任),0)+ROUND((ROUND((_11_C通院１１．５＿１．０＿０．５*(1+_11・C深夜)),0)*_11・初任),0)</f>
        <v>643</v>
      </c>
      <c r="Y83" s="48"/>
    </row>
    <row r="84" spans="1:25" ht="16.5" customHeight="1" x14ac:dyDescent="0.15">
      <c r="A84" s="41">
        <v>11</v>
      </c>
      <c r="B84" s="41" t="s">
        <v>6439</v>
      </c>
      <c r="C84" s="74" t="s">
        <v>6440</v>
      </c>
      <c r="D84" s="121"/>
      <c r="E84" s="99"/>
      <c r="F84" s="121"/>
      <c r="G84" s="99"/>
      <c r="H84" s="121"/>
      <c r="I84" s="99"/>
      <c r="J84" s="43"/>
      <c r="K84" s="37"/>
      <c r="L84" s="38"/>
      <c r="M84" s="44" t="s">
        <v>397</v>
      </c>
      <c r="N84" s="45" t="s">
        <v>398</v>
      </c>
      <c r="O84" s="46">
        <v>1</v>
      </c>
      <c r="P84" s="35"/>
      <c r="R84" s="57"/>
      <c r="S84" s="35"/>
      <c r="U84" s="57"/>
      <c r="V84" s="709"/>
      <c r="W84" s="704"/>
      <c r="X84" s="47">
        <f>ROUND((ROUND((_11_A通院１１．５*_11・２人),0)*_11・初任),0)+ROUND((ROUND((ROUND((_11_B通院１１．５＿１．０*_11・２人),0)*(1+_11・B夜間)),0)*_11・初任),0)+ROUND((ROUND((ROUND((_11_C通院１１．５＿１．０＿０．５*_11・２人),0)*(1+_11・C深夜)),0)*_11・初任),0)</f>
        <v>643</v>
      </c>
      <c r="Y84" s="48"/>
    </row>
    <row r="85" spans="1:25" ht="16.5" customHeight="1" x14ac:dyDescent="0.15">
      <c r="A85" s="41">
        <v>11</v>
      </c>
      <c r="B85" s="41" t="s">
        <v>6441</v>
      </c>
      <c r="C85" s="74" t="s">
        <v>6442</v>
      </c>
      <c r="D85" s="72"/>
      <c r="E85" s="99"/>
      <c r="F85" s="72"/>
      <c r="G85" s="99"/>
      <c r="H85" s="72"/>
      <c r="I85" s="99"/>
      <c r="J85" s="705" t="s">
        <v>400</v>
      </c>
      <c r="K85" s="49" t="s">
        <v>398</v>
      </c>
      <c r="L85" s="50">
        <v>0.7</v>
      </c>
      <c r="M85" s="44"/>
      <c r="N85" s="45"/>
      <c r="O85" s="46"/>
      <c r="P85" s="35"/>
      <c r="R85" s="57"/>
      <c r="S85" s="35"/>
      <c r="U85" s="57"/>
      <c r="V85" s="709"/>
      <c r="W85" s="704"/>
      <c r="X85" s="47">
        <f>ROUND((ROUND((_11_A通院１１．５*_11・基礎１),0)*_11・初任),0)+ROUND((ROUND((ROUND((_11_B通院１１．５＿１．０*_11・基礎１),0)*(1+_11・B夜間)),0)*_11・初任),0)+ROUND((ROUND((ROUND((_11_C通院１１．５＿１．０＿０．５*_11・基礎１),0)*(1+_11・C深夜)),0)*_11・初任),0)</f>
        <v>449</v>
      </c>
      <c r="Y85" s="48"/>
    </row>
    <row r="86" spans="1:25" ht="16.5" customHeight="1" x14ac:dyDescent="0.15">
      <c r="A86" s="41">
        <v>11</v>
      </c>
      <c r="B86" s="41" t="s">
        <v>6443</v>
      </c>
      <c r="C86" s="74" t="s">
        <v>6444</v>
      </c>
      <c r="D86" s="122"/>
      <c r="E86" s="111"/>
      <c r="F86" s="122"/>
      <c r="G86" s="111"/>
      <c r="H86" s="122"/>
      <c r="I86" s="113"/>
      <c r="J86" s="757"/>
      <c r="K86" s="37"/>
      <c r="L86" s="38"/>
      <c r="M86" s="44" t="s">
        <v>397</v>
      </c>
      <c r="N86" s="45" t="s">
        <v>398</v>
      </c>
      <c r="O86" s="46">
        <v>1</v>
      </c>
      <c r="P86" s="43"/>
      <c r="Q86" s="38"/>
      <c r="R86" s="79"/>
      <c r="S86" s="43"/>
      <c r="T86" s="38"/>
      <c r="U86" s="79"/>
      <c r="V86" s="55" t="s">
        <v>398</v>
      </c>
      <c r="W86" s="38">
        <f>_11・初任</f>
        <v>0.7</v>
      </c>
      <c r="X86" s="47">
        <f>ROUND((ROUND((ROUND((_11_A通院１１．５*_11・基礎１),0)*_11・２人),0)*_11・初任),0)+ROUND((ROUND((ROUND((ROUND((_11_B通院１１．５＿１．０*_11・基礎１),0)*_11・２人),0)*(1+_11・B夜間)),0)*_11・初任),0)+ROUND((ROUND((ROUND((ROUND((_11_C通院１１．５＿１．０＿０．５*_11・基礎１),0)*_11・２人),0)*(1+_11・C深夜)),0)*_11・初任),0)</f>
        <v>449</v>
      </c>
      <c r="Y86" s="63"/>
    </row>
    <row r="87" spans="1:25" ht="16.5" customHeight="1" x14ac:dyDescent="0.15">
      <c r="A87" s="41">
        <v>11</v>
      </c>
      <c r="B87" s="41">
        <v>3783</v>
      </c>
      <c r="C87" s="74" t="s">
        <v>6445</v>
      </c>
      <c r="D87" s="707" t="s">
        <v>2536</v>
      </c>
      <c r="E87" s="717"/>
      <c r="F87" s="707" t="s">
        <v>3711</v>
      </c>
      <c r="G87" s="717"/>
      <c r="H87" s="707" t="s">
        <v>3780</v>
      </c>
      <c r="I87" s="717"/>
      <c r="J87" s="53"/>
      <c r="K87" s="49"/>
      <c r="L87" s="50"/>
      <c r="M87" s="44"/>
      <c r="N87" s="45"/>
      <c r="O87" s="46"/>
      <c r="P87" s="35" t="s">
        <v>1416</v>
      </c>
      <c r="R87" s="57"/>
      <c r="S87" s="35" t="s">
        <v>1618</v>
      </c>
      <c r="U87" s="57"/>
      <c r="V87" s="53"/>
      <c r="W87" s="49"/>
      <c r="X87" s="47">
        <f>_11_A通院１０．５+ROUND((_11_B通院１０．５＿０．５*(1+_11・B夜間)),0)+ROUND((_11_C通院１０．５＿０．５＿０．５*(1+_11・C深夜)),0)</f>
        <v>712</v>
      </c>
      <c r="Y87" s="48"/>
    </row>
    <row r="88" spans="1:25" ht="16.5" customHeight="1" x14ac:dyDescent="0.15">
      <c r="A88" s="41">
        <v>11</v>
      </c>
      <c r="B88" s="41">
        <v>3784</v>
      </c>
      <c r="C88" s="74" t="s">
        <v>6446</v>
      </c>
      <c r="D88" s="709"/>
      <c r="E88" s="718"/>
      <c r="F88" s="709"/>
      <c r="G88" s="718"/>
      <c r="H88" s="709"/>
      <c r="I88" s="718"/>
      <c r="J88" s="43"/>
      <c r="K88" s="37"/>
      <c r="L88" s="38"/>
      <c r="M88" s="44" t="s">
        <v>397</v>
      </c>
      <c r="N88" s="45" t="s">
        <v>398</v>
      </c>
      <c r="O88" s="46">
        <v>1</v>
      </c>
      <c r="P88" s="35" t="s">
        <v>398</v>
      </c>
      <c r="Q88" s="13">
        <v>0.25</v>
      </c>
      <c r="R88" s="728" t="s">
        <v>676</v>
      </c>
      <c r="S88" s="35" t="s">
        <v>398</v>
      </c>
      <c r="T88" s="13">
        <v>0.5</v>
      </c>
      <c r="U88" s="728" t="s">
        <v>676</v>
      </c>
      <c r="V88" s="35"/>
      <c r="X88" s="47">
        <f>ROUND((_11_A通院１０．５*_11・２人),0)+ROUND((ROUND((_11_B通院１０．５＿０．５*_11・２人),0)*(1+_11・B夜間)),0)+ROUND((ROUND((_11_C通院１０．５＿０．５＿０．５*_11・２人),0)*(1+_11・C深夜)),0)</f>
        <v>712</v>
      </c>
      <c r="Y88" s="48"/>
    </row>
    <row r="89" spans="1:25" ht="16.5" customHeight="1" x14ac:dyDescent="0.15">
      <c r="A89" s="41">
        <v>11</v>
      </c>
      <c r="B89" s="41">
        <v>3785</v>
      </c>
      <c r="C89" s="74" t="s">
        <v>6447</v>
      </c>
      <c r="D89" s="709"/>
      <c r="E89" s="718"/>
      <c r="F89" s="709"/>
      <c r="G89" s="718"/>
      <c r="H89" s="709"/>
      <c r="I89" s="718"/>
      <c r="J89" s="705" t="s">
        <v>400</v>
      </c>
      <c r="K89" s="49" t="s">
        <v>398</v>
      </c>
      <c r="L89" s="50">
        <v>0.7</v>
      </c>
      <c r="M89" s="44"/>
      <c r="N89" s="45"/>
      <c r="O89" s="46"/>
      <c r="P89" s="35"/>
      <c r="R89" s="728"/>
      <c r="S89" s="35"/>
      <c r="U89" s="728"/>
      <c r="V89" s="35"/>
      <c r="X89" s="47">
        <f>ROUND((_11_A通院１０．５*_11・基礎１),0)+ROUND((ROUND((_11_B通院１０．５＿０．５*_11・基礎１),0)*(1+_11・B夜間)),0)+ROUND((ROUND((_11_C通院１０．５＿０．５＿０．５*_11・基礎１),0)*(1+_11・C深夜)),0)</f>
        <v>499</v>
      </c>
      <c r="Y89" s="48"/>
    </row>
    <row r="90" spans="1:25" ht="16.5" customHeight="1" x14ac:dyDescent="0.15">
      <c r="A90" s="41">
        <v>11</v>
      </c>
      <c r="B90" s="41">
        <v>3786</v>
      </c>
      <c r="C90" s="74" t="s">
        <v>6448</v>
      </c>
      <c r="D90" s="100">
        <f>_11_A通院１０．５</f>
        <v>255</v>
      </c>
      <c r="E90" s="12" t="s">
        <v>392</v>
      </c>
      <c r="F90" s="100">
        <f>_11_B通院１０．５＿０．５</f>
        <v>147</v>
      </c>
      <c r="G90" s="12" t="s">
        <v>392</v>
      </c>
      <c r="H90" s="100">
        <f>_11_C通院１０．５＿０．５＿０．５</f>
        <v>182</v>
      </c>
      <c r="I90" s="12" t="s">
        <v>392</v>
      </c>
      <c r="J90" s="757"/>
      <c r="K90" s="37"/>
      <c r="L90" s="38"/>
      <c r="M90" s="44" t="s">
        <v>397</v>
      </c>
      <c r="N90" s="45" t="s">
        <v>398</v>
      </c>
      <c r="O90" s="46">
        <v>1</v>
      </c>
      <c r="P90" s="35"/>
      <c r="R90" s="57"/>
      <c r="S90" s="35"/>
      <c r="U90" s="57"/>
      <c r="V90" s="43"/>
      <c r="W90" s="37"/>
      <c r="X90" s="47">
        <f>ROUND((ROUND((_11_A通院１０．５*_11・基礎１),0)*_11・２人),0)+ROUND((ROUND((ROUND((_11_B通院１０．５＿０．５*_11・基礎１),0)*_11・２人),0)*(1+_11・B夜間)),0)+ROUND((ROUND((ROUND((_11_C通院１０．５＿０．５＿０．５*_11・基礎１),0)*_11・２人),0)*(1+_11・C深夜)),0)</f>
        <v>499</v>
      </c>
      <c r="Y90" s="48"/>
    </row>
    <row r="91" spans="1:25" ht="16.5" customHeight="1" x14ac:dyDescent="0.15">
      <c r="A91" s="41">
        <v>11</v>
      </c>
      <c r="B91" s="41" t="s">
        <v>6449</v>
      </c>
      <c r="C91" s="74" t="s">
        <v>6450</v>
      </c>
      <c r="D91" s="121"/>
      <c r="E91" s="99"/>
      <c r="F91" s="121"/>
      <c r="G91" s="99"/>
      <c r="H91" s="121"/>
      <c r="I91" s="99"/>
      <c r="J91" s="53"/>
      <c r="K91" s="49"/>
      <c r="L91" s="50"/>
      <c r="M91" s="44"/>
      <c r="N91" s="45"/>
      <c r="O91" s="46"/>
      <c r="P91" s="35"/>
      <c r="R91" s="57"/>
      <c r="S91" s="35"/>
      <c r="U91" s="57"/>
      <c r="V91" s="707" t="s">
        <v>404</v>
      </c>
      <c r="W91" s="708"/>
      <c r="X91" s="47">
        <f>ROUND((_11_A通院１０．５*_11・初任),0)+ROUND((ROUND((_11_B通院１０．５＿０．５*(1+_11・B夜間)),0)*_11・初任),0)+ROUND((ROUND((_11_C通院１０．５＿０．５＿０．５*(1+_11・C深夜)),0)*_11・初任),0)</f>
        <v>499</v>
      </c>
      <c r="Y91" s="48"/>
    </row>
    <row r="92" spans="1:25" ht="16.5" customHeight="1" x14ac:dyDescent="0.15">
      <c r="A92" s="41">
        <v>11</v>
      </c>
      <c r="B92" s="41" t="s">
        <v>6451</v>
      </c>
      <c r="C92" s="74" t="s">
        <v>6452</v>
      </c>
      <c r="D92" s="121"/>
      <c r="E92" s="99"/>
      <c r="F92" s="121"/>
      <c r="G92" s="99"/>
      <c r="H92" s="121"/>
      <c r="I92" s="99"/>
      <c r="J92" s="43"/>
      <c r="K92" s="37"/>
      <c r="L92" s="38"/>
      <c r="M92" s="44" t="s">
        <v>397</v>
      </c>
      <c r="N92" s="45" t="s">
        <v>398</v>
      </c>
      <c r="O92" s="46">
        <v>1</v>
      </c>
      <c r="P92" s="35"/>
      <c r="R92" s="57"/>
      <c r="S92" s="35"/>
      <c r="U92" s="57"/>
      <c r="V92" s="709"/>
      <c r="W92" s="704"/>
      <c r="X92" s="47">
        <f>ROUND((ROUND((_11_A通院１０．５*_11・２人),0)*_11・初任),0)+ROUND((ROUND((ROUND((_11_B通院１０．５＿０．５*_11・２人),0)*(1+_11・B夜間)),0)*_11・初任),0)+ROUND((ROUND((ROUND((_11_C通院１０．５＿０．５＿０．５*_11・２人),0)*(1+_11・C深夜)),0)*_11・初任),0)</f>
        <v>499</v>
      </c>
      <c r="Y92" s="48"/>
    </row>
    <row r="93" spans="1:25" ht="16.5" customHeight="1" x14ac:dyDescent="0.15">
      <c r="A93" s="41">
        <v>11</v>
      </c>
      <c r="B93" s="41" t="s">
        <v>6453</v>
      </c>
      <c r="C93" s="74" t="s">
        <v>6454</v>
      </c>
      <c r="D93" s="72"/>
      <c r="E93" s="99"/>
      <c r="F93" s="72"/>
      <c r="G93" s="99"/>
      <c r="H93" s="72"/>
      <c r="I93" s="99"/>
      <c r="J93" s="705" t="s">
        <v>400</v>
      </c>
      <c r="K93" s="49" t="s">
        <v>398</v>
      </c>
      <c r="L93" s="50">
        <v>0.7</v>
      </c>
      <c r="M93" s="44"/>
      <c r="N93" s="45"/>
      <c r="O93" s="46"/>
      <c r="P93" s="35"/>
      <c r="R93" s="57"/>
      <c r="S93" s="35"/>
      <c r="U93" s="57"/>
      <c r="V93" s="709"/>
      <c r="W93" s="704"/>
      <c r="X93" s="47">
        <f>ROUND((ROUND((_11_A通院１０．５*_11・基礎１),0)*_11・初任),0)+ROUND((ROUND((ROUND((_11_B通院１０．５＿０．５*_11・基礎１),0)*(1+_11・B夜間)),0)*_11・初任),0)+ROUND((ROUND((ROUND((_11_C通院１０．５＿０．５＿０．５*_11・基礎１),0)*(1+_11・C深夜)),0)*_11・初任),0)</f>
        <v>349</v>
      </c>
      <c r="Y93" s="48"/>
    </row>
    <row r="94" spans="1:25" ht="16.5" customHeight="1" x14ac:dyDescent="0.15">
      <c r="A94" s="41">
        <v>11</v>
      </c>
      <c r="B94" s="41" t="s">
        <v>6455</v>
      </c>
      <c r="C94" s="74" t="s">
        <v>6456</v>
      </c>
      <c r="D94" s="72"/>
      <c r="E94" s="99"/>
      <c r="F94" s="72"/>
      <c r="G94" s="99"/>
      <c r="H94" s="72"/>
      <c r="I94" s="99"/>
      <c r="J94" s="757"/>
      <c r="K94" s="37"/>
      <c r="L94" s="38"/>
      <c r="M94" s="44" t="s">
        <v>397</v>
      </c>
      <c r="N94" s="45" t="s">
        <v>398</v>
      </c>
      <c r="O94" s="46">
        <v>1</v>
      </c>
      <c r="P94" s="35"/>
      <c r="R94" s="57"/>
      <c r="S94" s="35"/>
      <c r="U94" s="57"/>
      <c r="V94" s="55" t="s">
        <v>398</v>
      </c>
      <c r="W94" s="38">
        <f>_11・初任</f>
        <v>0.7</v>
      </c>
      <c r="X94" s="47">
        <f>ROUND((ROUND((ROUND((_11_A通院１０．５*_11・基礎１),0)*_11・２人),0)*_11・初任),0)+ROUND((ROUND((ROUND((ROUND((_11_B通院１０．５＿０．５*_11・基礎１),0)*_11・２人),0)*(1+_11・B夜間)),0)*_11・初任),0)+ROUND((ROUND((ROUND((ROUND((_11_C通院１０．５＿０．５＿０．５*_11・基礎１),0)*_11・２人),0)*(1+_11・C深夜)),0)*_11・初任),0)</f>
        <v>349</v>
      </c>
      <c r="Y94" s="48"/>
    </row>
    <row r="95" spans="1:25" ht="16.5" customHeight="1" x14ac:dyDescent="0.15">
      <c r="A95" s="41">
        <v>11</v>
      </c>
      <c r="B95" s="41">
        <v>3787</v>
      </c>
      <c r="C95" s="74" t="s">
        <v>6457</v>
      </c>
      <c r="D95" s="72"/>
      <c r="E95" s="99"/>
      <c r="F95" s="72"/>
      <c r="G95" s="99"/>
      <c r="H95" s="707" t="s">
        <v>3787</v>
      </c>
      <c r="I95" s="717"/>
      <c r="J95" s="53"/>
      <c r="K95" s="49"/>
      <c r="L95" s="50"/>
      <c r="M95" s="44"/>
      <c r="N95" s="45"/>
      <c r="O95" s="46"/>
      <c r="P95" s="35"/>
      <c r="R95" s="57"/>
      <c r="S95" s="35"/>
      <c r="U95" s="57"/>
      <c r="V95" s="53"/>
      <c r="W95" s="49"/>
      <c r="X95" s="47">
        <f>_11_A通院１０．５+ROUND((_11_B通院１０．５＿０．５*(1+_11・B夜間)),0)+ROUND((_11_C通院１０．５＿０．５＿１．０*(1+_11・C深夜)),0)</f>
        <v>835</v>
      </c>
      <c r="Y95" s="48"/>
    </row>
    <row r="96" spans="1:25" ht="16.5" customHeight="1" x14ac:dyDescent="0.15">
      <c r="A96" s="41">
        <v>11</v>
      </c>
      <c r="B96" s="41">
        <v>3788</v>
      </c>
      <c r="C96" s="74" t="s">
        <v>6458</v>
      </c>
      <c r="D96" s="72"/>
      <c r="E96" s="99"/>
      <c r="F96" s="72"/>
      <c r="G96" s="99"/>
      <c r="H96" s="709"/>
      <c r="I96" s="718"/>
      <c r="J96" s="43"/>
      <c r="K96" s="37"/>
      <c r="L96" s="38"/>
      <c r="M96" s="44" t="s">
        <v>397</v>
      </c>
      <c r="N96" s="45" t="s">
        <v>398</v>
      </c>
      <c r="O96" s="46">
        <v>1</v>
      </c>
      <c r="P96" s="35"/>
      <c r="R96" s="57"/>
      <c r="S96" s="35"/>
      <c r="U96" s="57"/>
      <c r="V96" s="35"/>
      <c r="X96" s="47">
        <f>ROUND((_11_A通院１０．５*_11・２人),0)+ROUND((ROUND((_11_B通院１０．５＿０．５*_11・２人),0)*(1+_11・B夜間)),0)+ROUND((ROUND((_11_C通院１０．５＿０．５＿１．０*_11・２人),0)*(1+_11・C深夜)),0)</f>
        <v>835</v>
      </c>
      <c r="Y96" s="48"/>
    </row>
    <row r="97" spans="1:25" ht="16.5" customHeight="1" x14ac:dyDescent="0.15">
      <c r="A97" s="41">
        <v>11</v>
      </c>
      <c r="B97" s="41">
        <v>3789</v>
      </c>
      <c r="C97" s="74" t="s">
        <v>6459</v>
      </c>
      <c r="D97" s="72"/>
      <c r="E97" s="99"/>
      <c r="F97" s="72"/>
      <c r="G97" s="99"/>
      <c r="H97" s="709"/>
      <c r="I97" s="718"/>
      <c r="J97" s="705" t="s">
        <v>400</v>
      </c>
      <c r="K97" s="49" t="s">
        <v>398</v>
      </c>
      <c r="L97" s="50">
        <v>0.7</v>
      </c>
      <c r="M97" s="44"/>
      <c r="N97" s="45"/>
      <c r="O97" s="46"/>
      <c r="P97" s="35"/>
      <c r="R97" s="57"/>
      <c r="S97" s="35"/>
      <c r="U97" s="57"/>
      <c r="V97" s="35"/>
      <c r="X97" s="47">
        <f>ROUND((_11_A通院１０．５*_11・基礎１),0)+ROUND((ROUND((_11_B通院１０．５＿０．５*_11・基礎１),0)*(1+_11・B夜間)),0)+ROUND((ROUND((_11_C通院１０．５＿０．５＿１．０*_11・基礎１),0)*(1+_11・C深夜)),0)</f>
        <v>586</v>
      </c>
      <c r="Y97" s="48"/>
    </row>
    <row r="98" spans="1:25" ht="16.5" customHeight="1" x14ac:dyDescent="0.15">
      <c r="A98" s="41">
        <v>11</v>
      </c>
      <c r="B98" s="41">
        <v>3790</v>
      </c>
      <c r="C98" s="74" t="s">
        <v>6460</v>
      </c>
      <c r="D98" s="72"/>
      <c r="E98" s="99"/>
      <c r="F98" s="72"/>
      <c r="G98" s="99"/>
      <c r="H98" s="100">
        <f>_11_C通院１０．５＿０．５＿１．０</f>
        <v>264</v>
      </c>
      <c r="I98" s="12" t="s">
        <v>392</v>
      </c>
      <c r="J98" s="757"/>
      <c r="K98" s="37"/>
      <c r="L98" s="38"/>
      <c r="M98" s="44" t="s">
        <v>397</v>
      </c>
      <c r="N98" s="45" t="s">
        <v>398</v>
      </c>
      <c r="O98" s="46">
        <v>1</v>
      </c>
      <c r="P98" s="35"/>
      <c r="R98" s="57"/>
      <c r="S98" s="35"/>
      <c r="U98" s="57"/>
      <c r="V98" s="43"/>
      <c r="W98" s="37"/>
      <c r="X98" s="47">
        <f>ROUND((ROUND((_11_A通院１０．５*_11・基礎１),0)*_11・２人),0)+ROUND((ROUND((ROUND((_11_B通院１０．５＿０．５*_11・基礎１),0)*_11・２人),0)*(1+_11・B夜間)),0)+ROUND((ROUND((ROUND((_11_C通院１０．５＿０．５＿１．０*_11・基礎１),0)*_11・２人),0)*(1+_11・C深夜)),0)</f>
        <v>586</v>
      </c>
      <c r="Y98" s="48"/>
    </row>
    <row r="99" spans="1:25" ht="16.5" customHeight="1" x14ac:dyDescent="0.15">
      <c r="A99" s="41">
        <v>11</v>
      </c>
      <c r="B99" s="41" t="s">
        <v>6461</v>
      </c>
      <c r="C99" s="74" t="s">
        <v>6462</v>
      </c>
      <c r="D99" s="72"/>
      <c r="E99" s="99"/>
      <c r="F99" s="72"/>
      <c r="G99" s="99"/>
      <c r="H99" s="121"/>
      <c r="I99" s="99"/>
      <c r="J99" s="53"/>
      <c r="K99" s="49"/>
      <c r="L99" s="50"/>
      <c r="M99" s="44"/>
      <c r="N99" s="45"/>
      <c r="O99" s="46"/>
      <c r="P99" s="35"/>
      <c r="R99" s="57"/>
      <c r="S99" s="35"/>
      <c r="U99" s="57"/>
      <c r="V99" s="707" t="s">
        <v>404</v>
      </c>
      <c r="W99" s="708"/>
      <c r="X99" s="47">
        <f>ROUND((_11_A通院１０．５*_11・初任),0)+ROUND((ROUND((_11_B通院１０．５＿０．５*(1+_11・B夜間)),0)*_11・初任),0)+ROUND((ROUND((_11_C通院１０．５＿０．５＿１．０*(1+_11・C深夜)),0)*_11・初任),0)</f>
        <v>585</v>
      </c>
      <c r="Y99" s="48"/>
    </row>
    <row r="100" spans="1:25" ht="16.5" customHeight="1" x14ac:dyDescent="0.15">
      <c r="A100" s="41">
        <v>11</v>
      </c>
      <c r="B100" s="41" t="s">
        <v>6463</v>
      </c>
      <c r="C100" s="74" t="s">
        <v>6464</v>
      </c>
      <c r="D100" s="72"/>
      <c r="E100" s="99"/>
      <c r="F100" s="72"/>
      <c r="G100" s="99"/>
      <c r="H100" s="121"/>
      <c r="I100" s="99"/>
      <c r="J100" s="43"/>
      <c r="K100" s="37"/>
      <c r="L100" s="38"/>
      <c r="M100" s="44" t="s">
        <v>397</v>
      </c>
      <c r="N100" s="45" t="s">
        <v>398</v>
      </c>
      <c r="O100" s="46">
        <v>1</v>
      </c>
      <c r="P100" s="35"/>
      <c r="R100" s="57"/>
      <c r="S100" s="35"/>
      <c r="U100" s="57"/>
      <c r="V100" s="709"/>
      <c r="W100" s="704"/>
      <c r="X100" s="47">
        <f>ROUND((ROUND((_11_A通院１０．５*_11・２人),0)*_11・初任),0)+ROUND((ROUND((ROUND((_11_B通院１０．５＿０．５*_11・２人),0)*(1+_11・B夜間)),0)*_11・初任),0)+ROUND((ROUND((ROUND((_11_C通院１０．５＿０．５＿１．０*_11・２人),0)*(1+_11・C深夜)),0)*_11・初任),0)</f>
        <v>585</v>
      </c>
      <c r="Y100" s="48"/>
    </row>
    <row r="101" spans="1:25" ht="16.5" customHeight="1" x14ac:dyDescent="0.15">
      <c r="A101" s="41">
        <v>11</v>
      </c>
      <c r="B101" s="41" t="s">
        <v>6465</v>
      </c>
      <c r="C101" s="74" t="s">
        <v>6466</v>
      </c>
      <c r="D101" s="72"/>
      <c r="E101" s="99"/>
      <c r="F101" s="72"/>
      <c r="G101" s="99"/>
      <c r="H101" s="72"/>
      <c r="I101" s="99"/>
      <c r="J101" s="705" t="s">
        <v>400</v>
      </c>
      <c r="K101" s="49" t="s">
        <v>398</v>
      </c>
      <c r="L101" s="50">
        <v>0.7</v>
      </c>
      <c r="M101" s="44"/>
      <c r="N101" s="45"/>
      <c r="O101" s="46"/>
      <c r="P101" s="35"/>
      <c r="R101" s="57"/>
      <c r="S101" s="35"/>
      <c r="U101" s="57"/>
      <c r="V101" s="709"/>
      <c r="W101" s="704"/>
      <c r="X101" s="47">
        <f>ROUND((ROUND((_11_A通院１０．５*_11・基礎１),0)*_11・初任),0)+ROUND((ROUND((ROUND((_11_B通院１０．５＿０．５*_11・基礎１),0)*(1+_11・B夜間)),0)*_11・初任),0)+ROUND((ROUND((ROUND((_11_C通院１０．５＿０．５＿１．０*_11・基礎１),0)*(1+_11・C深夜)),0)*_11・初任),0)</f>
        <v>410</v>
      </c>
      <c r="Y101" s="48"/>
    </row>
    <row r="102" spans="1:25" ht="16.5" customHeight="1" x14ac:dyDescent="0.15">
      <c r="A102" s="41">
        <v>11</v>
      </c>
      <c r="B102" s="41" t="s">
        <v>6467</v>
      </c>
      <c r="C102" s="74" t="s">
        <v>6468</v>
      </c>
      <c r="D102" s="72"/>
      <c r="E102" s="99"/>
      <c r="F102" s="72"/>
      <c r="G102" s="105"/>
      <c r="H102" s="122"/>
      <c r="I102" s="111"/>
      <c r="J102" s="757"/>
      <c r="K102" s="37"/>
      <c r="L102" s="38"/>
      <c r="M102" s="44" t="s">
        <v>397</v>
      </c>
      <c r="N102" s="45" t="s">
        <v>398</v>
      </c>
      <c r="O102" s="46">
        <v>1</v>
      </c>
      <c r="P102" s="35"/>
      <c r="R102" s="57"/>
      <c r="S102" s="35"/>
      <c r="U102" s="57"/>
      <c r="V102" s="55" t="s">
        <v>398</v>
      </c>
      <c r="W102" s="38">
        <f>_11・初任</f>
        <v>0.7</v>
      </c>
      <c r="X102" s="47">
        <f>ROUND((ROUND((ROUND((_11_A通院１０．５*_11・基礎１),0)*_11・２人),0)*_11・初任),0)+ROUND((ROUND((ROUND((ROUND((_11_B通院１０．５＿０．５*_11・基礎１),0)*_11・２人),0)*(1+_11・B夜間)),0)*_11・初任),0)+ROUND((ROUND((ROUND((ROUND((_11_C通院１０．５＿０．５＿１．０*_11・基礎１),0)*_11・２人),0)*(1+_11・C深夜)),0)*_11・初任),0)</f>
        <v>410</v>
      </c>
      <c r="Y102" s="48"/>
    </row>
    <row r="103" spans="1:25" ht="16.5" customHeight="1" x14ac:dyDescent="0.15">
      <c r="A103" s="33">
        <v>11</v>
      </c>
      <c r="B103" s="33">
        <v>3791</v>
      </c>
      <c r="C103" s="34" t="s">
        <v>6469</v>
      </c>
      <c r="D103" s="72"/>
      <c r="E103" s="99"/>
      <c r="F103" s="72"/>
      <c r="G103" s="105"/>
      <c r="H103" s="709" t="s">
        <v>3794</v>
      </c>
      <c r="I103" s="718"/>
      <c r="J103" s="35"/>
      <c r="M103" s="36"/>
      <c r="N103" s="37"/>
      <c r="O103" s="38"/>
      <c r="P103" s="35"/>
      <c r="R103" s="57"/>
      <c r="S103" s="35"/>
      <c r="U103" s="57"/>
      <c r="V103" s="35"/>
      <c r="X103" s="39">
        <f>_11_A通院１０．５+ROUND((_11_B通院１０．５＿０．５*(1+_11・B夜間)),0)+ROUND((_11_C通院１０．５＿０．５＿１．５*(1+_11・C深夜)),0)</f>
        <v>961</v>
      </c>
      <c r="Y103" s="48"/>
    </row>
    <row r="104" spans="1:25" ht="16.5" customHeight="1" x14ac:dyDescent="0.15">
      <c r="A104" s="41">
        <v>11</v>
      </c>
      <c r="B104" s="41">
        <v>3792</v>
      </c>
      <c r="C104" s="74" t="s">
        <v>6470</v>
      </c>
      <c r="D104" s="72"/>
      <c r="E104" s="99"/>
      <c r="F104" s="72"/>
      <c r="G104" s="99"/>
      <c r="H104" s="709"/>
      <c r="I104" s="718"/>
      <c r="J104" s="43"/>
      <c r="K104" s="37"/>
      <c r="L104" s="38"/>
      <c r="M104" s="44" t="s">
        <v>397</v>
      </c>
      <c r="N104" s="45" t="s">
        <v>398</v>
      </c>
      <c r="O104" s="46">
        <v>1</v>
      </c>
      <c r="P104" s="35"/>
      <c r="R104" s="57"/>
      <c r="S104" s="35"/>
      <c r="U104" s="57"/>
      <c r="V104" s="35"/>
      <c r="X104" s="47">
        <f>ROUND((_11_A通院１０．５*_11・２人),0)+ROUND((ROUND((_11_B通院１０．５＿０．５*_11・２人),0)*(1+_11・B夜間)),0)+ROUND((ROUND((_11_C通院１０．５＿０．５＿１．５*_11・２人),0)*(1+_11・C深夜)),0)</f>
        <v>961</v>
      </c>
      <c r="Y104" s="48"/>
    </row>
    <row r="105" spans="1:25" ht="16.5" customHeight="1" x14ac:dyDescent="0.15">
      <c r="A105" s="41">
        <v>11</v>
      </c>
      <c r="B105" s="41">
        <v>3793</v>
      </c>
      <c r="C105" s="74" t="s">
        <v>6471</v>
      </c>
      <c r="D105" s="72"/>
      <c r="E105" s="99"/>
      <c r="F105" s="72"/>
      <c r="G105" s="99"/>
      <c r="H105" s="709"/>
      <c r="I105" s="718"/>
      <c r="J105" s="705" t="s">
        <v>400</v>
      </c>
      <c r="K105" s="49" t="s">
        <v>398</v>
      </c>
      <c r="L105" s="50">
        <v>0.7</v>
      </c>
      <c r="M105" s="44"/>
      <c r="N105" s="45"/>
      <c r="O105" s="46"/>
      <c r="P105" s="35"/>
      <c r="R105" s="57"/>
      <c r="S105" s="35"/>
      <c r="U105" s="57"/>
      <c r="V105" s="35"/>
      <c r="X105" s="47">
        <f>ROUND((_11_A通院１０．５*_11・基礎１),0)+ROUND((ROUND((_11_B通院１０．５＿０．５*_11・基礎１),0)*(1+_11・B夜間)),0)+ROUND((ROUND((_11_C通院１０．５＿０．５＿１．５*_11・基礎１),0)*(1+_11・C深夜)),0)</f>
        <v>674</v>
      </c>
      <c r="Y105" s="48"/>
    </row>
    <row r="106" spans="1:25" ht="16.5" customHeight="1" x14ac:dyDescent="0.15">
      <c r="A106" s="41">
        <v>11</v>
      </c>
      <c r="B106" s="41">
        <v>3794</v>
      </c>
      <c r="C106" s="74" t="s">
        <v>6472</v>
      </c>
      <c r="D106" s="100"/>
      <c r="E106" s="12"/>
      <c r="F106" s="100"/>
      <c r="G106" s="12"/>
      <c r="H106" s="100">
        <f>_11_C通院１０．５＿０．５＿１．５</f>
        <v>348</v>
      </c>
      <c r="I106" s="12" t="s">
        <v>392</v>
      </c>
      <c r="J106" s="757"/>
      <c r="K106" s="37"/>
      <c r="L106" s="38"/>
      <c r="M106" s="44" t="s">
        <v>397</v>
      </c>
      <c r="N106" s="45" t="s">
        <v>398</v>
      </c>
      <c r="O106" s="46">
        <v>1</v>
      </c>
      <c r="P106" s="35"/>
      <c r="R106" s="57"/>
      <c r="S106" s="35"/>
      <c r="U106" s="57"/>
      <c r="V106" s="43"/>
      <c r="W106" s="37"/>
      <c r="X106" s="47">
        <f>ROUND((ROUND((_11_A通院１０．５*_11・基礎１),0)*_11・２人),0)+ROUND((ROUND((ROUND((_11_B通院１０．５＿０．５*_11・基礎１),0)*_11・２人),0)*(1+_11・B夜間)),0)+ROUND((ROUND((ROUND((_11_C通院１０．５＿０．５＿１．５*_11・基礎１),0)*_11・２人),0)*(1+_11・C深夜)),0)</f>
        <v>674</v>
      </c>
      <c r="Y106" s="48"/>
    </row>
    <row r="107" spans="1:25" ht="16.5" customHeight="1" x14ac:dyDescent="0.15">
      <c r="A107" s="41">
        <v>11</v>
      </c>
      <c r="B107" s="41" t="s">
        <v>6473</v>
      </c>
      <c r="C107" s="74" t="s">
        <v>6474</v>
      </c>
      <c r="D107" s="72"/>
      <c r="E107" s="99"/>
      <c r="F107" s="72"/>
      <c r="G107" s="99"/>
      <c r="H107" s="121"/>
      <c r="I107" s="99"/>
      <c r="J107" s="53"/>
      <c r="K107" s="49"/>
      <c r="L107" s="50"/>
      <c r="M107" s="44"/>
      <c r="N107" s="45"/>
      <c r="O107" s="46"/>
      <c r="P107" s="35"/>
      <c r="R107" s="57"/>
      <c r="S107" s="35"/>
      <c r="U107" s="57"/>
      <c r="V107" s="707" t="s">
        <v>404</v>
      </c>
      <c r="W107" s="708"/>
      <c r="X107" s="47">
        <f>ROUND((_11_A通院１０．５*_11・初任),0)+ROUND((ROUND((_11_B通院１０．５＿０．５*(1+_11・B夜間)),0)*_11・初任),0)+ROUND((ROUND((_11_C通院１０．５＿０．５＿１．５*(1+_11・C深夜)),0)*_11・初任),0)</f>
        <v>673</v>
      </c>
      <c r="Y107" s="48"/>
    </row>
    <row r="108" spans="1:25" ht="16.5" customHeight="1" x14ac:dyDescent="0.15">
      <c r="A108" s="41">
        <v>11</v>
      </c>
      <c r="B108" s="41" t="s">
        <v>6475</v>
      </c>
      <c r="C108" s="74" t="s">
        <v>6476</v>
      </c>
      <c r="D108" s="72"/>
      <c r="E108" s="99"/>
      <c r="F108" s="72"/>
      <c r="G108" s="99"/>
      <c r="H108" s="121"/>
      <c r="I108" s="99"/>
      <c r="J108" s="43"/>
      <c r="K108" s="37"/>
      <c r="L108" s="38"/>
      <c r="M108" s="44" t="s">
        <v>397</v>
      </c>
      <c r="N108" s="45" t="s">
        <v>398</v>
      </c>
      <c r="O108" s="46">
        <v>1</v>
      </c>
      <c r="P108" s="35"/>
      <c r="R108" s="57"/>
      <c r="S108" s="35"/>
      <c r="U108" s="57"/>
      <c r="V108" s="709"/>
      <c r="W108" s="704"/>
      <c r="X108" s="47">
        <f>ROUND((ROUND((_11_A通院１０．５*_11・２人),0)*_11・初任),0)+ROUND((ROUND((ROUND((_11_B通院１０．５＿０．５*_11・２人),0)*(1+_11・B夜間)),0)*_11・初任),0)+ROUND((ROUND((ROUND((_11_C通院１０．５＿０．５＿１．５*_11・２人),0)*(1+_11・C深夜)),0)*_11・初任),0)</f>
        <v>673</v>
      </c>
      <c r="Y108" s="48"/>
    </row>
    <row r="109" spans="1:25" ht="16.5" customHeight="1" x14ac:dyDescent="0.15">
      <c r="A109" s="41">
        <v>11</v>
      </c>
      <c r="B109" s="41" t="s">
        <v>6477</v>
      </c>
      <c r="C109" s="74" t="s">
        <v>6478</v>
      </c>
      <c r="D109" s="72"/>
      <c r="E109" s="99"/>
      <c r="F109" s="72"/>
      <c r="G109" s="99"/>
      <c r="H109" s="72"/>
      <c r="I109" s="99"/>
      <c r="J109" s="705" t="s">
        <v>400</v>
      </c>
      <c r="K109" s="49" t="s">
        <v>398</v>
      </c>
      <c r="L109" s="50">
        <v>0.7</v>
      </c>
      <c r="M109" s="44"/>
      <c r="N109" s="45"/>
      <c r="O109" s="46"/>
      <c r="P109" s="35"/>
      <c r="R109" s="57"/>
      <c r="S109" s="35"/>
      <c r="U109" s="57"/>
      <c r="V109" s="709"/>
      <c r="W109" s="704"/>
      <c r="X109" s="47">
        <f>ROUND((ROUND((_11_A通院１０．５*_11・基礎１),0)*_11・初任),0)+ROUND((ROUND((ROUND((_11_B通院１０．５＿０．５*_11・基礎１),0)*(1+_11・B夜間)),0)*_11・初任),0)+ROUND((ROUND((ROUND((_11_C通院１０．５＿０．５＿１．５*_11・基礎１),0)*(1+_11・C深夜)),0)*_11・初任),0)</f>
        <v>471</v>
      </c>
      <c r="Y109" s="48"/>
    </row>
    <row r="110" spans="1:25" ht="16.5" customHeight="1" x14ac:dyDescent="0.15">
      <c r="A110" s="41">
        <v>11</v>
      </c>
      <c r="B110" s="41" t="s">
        <v>6479</v>
      </c>
      <c r="C110" s="74" t="s">
        <v>6480</v>
      </c>
      <c r="D110" s="72"/>
      <c r="E110" s="99"/>
      <c r="F110" s="72"/>
      <c r="G110" s="99"/>
      <c r="H110" s="72"/>
      <c r="I110" s="99"/>
      <c r="J110" s="757"/>
      <c r="K110" s="37"/>
      <c r="L110" s="38"/>
      <c r="M110" s="44" t="s">
        <v>397</v>
      </c>
      <c r="N110" s="45" t="s">
        <v>398</v>
      </c>
      <c r="O110" s="46">
        <v>1</v>
      </c>
      <c r="P110" s="35"/>
      <c r="R110" s="57"/>
      <c r="S110" s="35"/>
      <c r="U110" s="57"/>
      <c r="V110" s="55" t="s">
        <v>398</v>
      </c>
      <c r="W110" s="38">
        <f>_11・初任</f>
        <v>0.7</v>
      </c>
      <c r="X110" s="47">
        <f>ROUND((ROUND((ROUND((_11_A通院１０．５*_11・基礎１),0)*_11・２人),0)*_11・初任),0)+ROUND((ROUND((ROUND((ROUND((_11_B通院１０．５＿０．５*_11・基礎１),0)*_11・２人),0)*(1+_11・B夜間)),0)*_11・初任),0)+ROUND((ROUND((ROUND((ROUND((_11_C通院１０．５＿０．５＿１．５*_11・基礎１),0)*_11・２人),0)*(1+_11・C深夜)),0)*_11・初任),0)</f>
        <v>471</v>
      </c>
      <c r="Y110" s="48"/>
    </row>
    <row r="111" spans="1:25" ht="16.5" customHeight="1" x14ac:dyDescent="0.15">
      <c r="A111" s="41">
        <v>11</v>
      </c>
      <c r="B111" s="41">
        <v>3795</v>
      </c>
      <c r="C111" s="74" t="s">
        <v>6481</v>
      </c>
      <c r="D111" s="72"/>
      <c r="E111" s="99"/>
      <c r="F111" s="72"/>
      <c r="G111" s="99"/>
      <c r="H111" s="707" t="s">
        <v>3801</v>
      </c>
      <c r="I111" s="717"/>
      <c r="J111" s="53"/>
      <c r="K111" s="49"/>
      <c r="L111" s="50"/>
      <c r="M111" s="44"/>
      <c r="N111" s="45"/>
      <c r="O111" s="46"/>
      <c r="P111" s="35"/>
      <c r="R111" s="57"/>
      <c r="S111" s="35"/>
      <c r="U111" s="57"/>
      <c r="V111" s="53"/>
      <c r="W111" s="49"/>
      <c r="X111" s="47">
        <f>_11_A通院１０．５+ROUND((_11_B通院１０．５＿０．５*(1+_11・B夜間)),0)+ROUND((_11_C通院１０．５＿０．５＿２．０*(1+_11・C深夜)),0)</f>
        <v>1086</v>
      </c>
      <c r="Y111" s="48"/>
    </row>
    <row r="112" spans="1:25" ht="16.5" customHeight="1" x14ac:dyDescent="0.15">
      <c r="A112" s="41">
        <v>11</v>
      </c>
      <c r="B112" s="41">
        <v>3796</v>
      </c>
      <c r="C112" s="74" t="s">
        <v>6482</v>
      </c>
      <c r="D112" s="72"/>
      <c r="E112" s="99"/>
      <c r="F112" s="72"/>
      <c r="G112" s="99"/>
      <c r="H112" s="709"/>
      <c r="I112" s="718"/>
      <c r="J112" s="43"/>
      <c r="K112" s="37"/>
      <c r="L112" s="38"/>
      <c r="M112" s="44" t="s">
        <v>397</v>
      </c>
      <c r="N112" s="45" t="s">
        <v>398</v>
      </c>
      <c r="O112" s="46">
        <v>1</v>
      </c>
      <c r="P112" s="35"/>
      <c r="R112" s="57"/>
      <c r="S112" s="35"/>
      <c r="U112" s="57"/>
      <c r="V112" s="35"/>
      <c r="X112" s="47">
        <f>ROUND((_11_A通院１０．５*_11・２人),0)+ROUND((ROUND((_11_B通院１０．５＿０．５*_11・２人),0)*(1+_11・B夜間)),0)+ROUND((ROUND((_11_C通院１０．５＿０．５＿２．０*_11・２人),0)*(1+_11・C深夜)),0)</f>
        <v>1086</v>
      </c>
      <c r="Y112" s="48"/>
    </row>
    <row r="113" spans="1:25" ht="16.5" customHeight="1" x14ac:dyDescent="0.15">
      <c r="A113" s="41">
        <v>11</v>
      </c>
      <c r="B113" s="41">
        <v>3797</v>
      </c>
      <c r="C113" s="74" t="s">
        <v>6483</v>
      </c>
      <c r="D113" s="72"/>
      <c r="E113" s="99"/>
      <c r="F113" s="72"/>
      <c r="G113" s="99"/>
      <c r="H113" s="709"/>
      <c r="I113" s="718"/>
      <c r="J113" s="705" t="s">
        <v>400</v>
      </c>
      <c r="K113" s="49" t="s">
        <v>398</v>
      </c>
      <c r="L113" s="50">
        <v>0.7</v>
      </c>
      <c r="M113" s="44"/>
      <c r="N113" s="45"/>
      <c r="O113" s="46"/>
      <c r="P113" s="35"/>
      <c r="R113" s="57"/>
      <c r="S113" s="35"/>
      <c r="U113" s="57"/>
      <c r="V113" s="35"/>
      <c r="X113" s="47">
        <f>ROUND((_11_A通院１０．５*_11・基礎１),0)+ROUND((ROUND((_11_B通院１０．５＿０．５*_11・基礎１),0)*(1+_11・B夜間)),0)+ROUND((ROUND((_11_C通院１０．５＿０．５＿２．０*_11・基礎１),0)*(1+_11・C深夜)),0)</f>
        <v>761</v>
      </c>
      <c r="Y113" s="48"/>
    </row>
    <row r="114" spans="1:25" ht="16.5" customHeight="1" x14ac:dyDescent="0.15">
      <c r="A114" s="41">
        <v>11</v>
      </c>
      <c r="B114" s="41">
        <v>3798</v>
      </c>
      <c r="C114" s="74" t="s">
        <v>6484</v>
      </c>
      <c r="D114" s="72"/>
      <c r="E114" s="99"/>
      <c r="F114" s="72"/>
      <c r="G114" s="99"/>
      <c r="H114" s="100">
        <f>_11_C通院１０．５＿０．５＿２．０</f>
        <v>431</v>
      </c>
      <c r="I114" s="12" t="s">
        <v>392</v>
      </c>
      <c r="J114" s="757"/>
      <c r="K114" s="37"/>
      <c r="L114" s="38"/>
      <c r="M114" s="44" t="s">
        <v>397</v>
      </c>
      <c r="N114" s="45" t="s">
        <v>398</v>
      </c>
      <c r="O114" s="46">
        <v>1</v>
      </c>
      <c r="P114" s="35"/>
      <c r="R114" s="57"/>
      <c r="S114" s="35"/>
      <c r="U114" s="57"/>
      <c r="V114" s="43"/>
      <c r="W114" s="37"/>
      <c r="X114" s="47">
        <f>ROUND((ROUND((_11_A通院１０．５*_11・基礎１),0)*_11・２人),0)+ROUND((ROUND((ROUND((_11_B通院１０．５＿０．５*_11・基礎１),0)*_11・２人),0)*(1+_11・B夜間)),0)+ROUND((ROUND((ROUND((_11_C通院１０．５＿０．５＿２．０*_11・基礎１),0)*_11・２人),0)*(1+_11・C深夜)),0)</f>
        <v>761</v>
      </c>
      <c r="Y114" s="48"/>
    </row>
    <row r="115" spans="1:25" ht="16.5" customHeight="1" x14ac:dyDescent="0.15">
      <c r="A115" s="41">
        <v>11</v>
      </c>
      <c r="B115" s="41" t="s">
        <v>6485</v>
      </c>
      <c r="C115" s="74" t="s">
        <v>6486</v>
      </c>
      <c r="D115" s="72"/>
      <c r="E115" s="99"/>
      <c r="F115" s="72"/>
      <c r="G115" s="99"/>
      <c r="H115" s="121"/>
      <c r="I115" s="99"/>
      <c r="J115" s="53"/>
      <c r="K115" s="49"/>
      <c r="L115" s="50"/>
      <c r="M115" s="44"/>
      <c r="N115" s="45"/>
      <c r="O115" s="46"/>
      <c r="P115" s="35"/>
      <c r="R115" s="57"/>
      <c r="S115" s="35"/>
      <c r="U115" s="57"/>
      <c r="V115" s="707" t="s">
        <v>404</v>
      </c>
      <c r="W115" s="708"/>
      <c r="X115" s="47">
        <f>ROUND((_11_A通院１０．５*_11・初任),0)+ROUND((ROUND((_11_B通院１０．５＿０．５*(1+_11・B夜間)),0)*_11・初任),0)+ROUND((ROUND((_11_C通院１０．５＿０．５＿２．０*(1+_11・C深夜)),0)*_11・初任),0)</f>
        <v>761</v>
      </c>
      <c r="Y115" s="48"/>
    </row>
    <row r="116" spans="1:25" ht="16.5" customHeight="1" x14ac:dyDescent="0.15">
      <c r="A116" s="41">
        <v>11</v>
      </c>
      <c r="B116" s="41" t="s">
        <v>6487</v>
      </c>
      <c r="C116" s="74" t="s">
        <v>6488</v>
      </c>
      <c r="D116" s="72"/>
      <c r="E116" s="99"/>
      <c r="F116" s="72"/>
      <c r="G116" s="99"/>
      <c r="H116" s="121"/>
      <c r="I116" s="99"/>
      <c r="J116" s="43"/>
      <c r="K116" s="37"/>
      <c r="L116" s="38"/>
      <c r="M116" s="44" t="s">
        <v>397</v>
      </c>
      <c r="N116" s="45" t="s">
        <v>398</v>
      </c>
      <c r="O116" s="46">
        <v>1</v>
      </c>
      <c r="P116" s="35"/>
      <c r="R116" s="57"/>
      <c r="S116" s="35"/>
      <c r="U116" s="57"/>
      <c r="V116" s="709"/>
      <c r="W116" s="704"/>
      <c r="X116" s="47">
        <f>ROUND((ROUND((_11_A通院１０．５*_11・２人),0)*_11・初任),0)+ROUND((ROUND((ROUND((_11_B通院１０．５＿０．５*_11・２人),0)*(1+_11・B夜間)),0)*_11・初任),0)+ROUND((ROUND((ROUND((_11_C通院１０．５＿０．５＿２．０*_11・２人),0)*(1+_11・C深夜)),0)*_11・初任),0)</f>
        <v>761</v>
      </c>
      <c r="Y116" s="48"/>
    </row>
    <row r="117" spans="1:25" ht="16.5" customHeight="1" x14ac:dyDescent="0.15">
      <c r="A117" s="41">
        <v>11</v>
      </c>
      <c r="B117" s="41" t="s">
        <v>6489</v>
      </c>
      <c r="C117" s="74" t="s">
        <v>6490</v>
      </c>
      <c r="D117" s="72"/>
      <c r="E117" s="99"/>
      <c r="F117" s="72"/>
      <c r="G117" s="99"/>
      <c r="H117" s="72"/>
      <c r="I117" s="99"/>
      <c r="J117" s="705" t="s">
        <v>400</v>
      </c>
      <c r="K117" s="49" t="s">
        <v>398</v>
      </c>
      <c r="L117" s="50">
        <v>0.7</v>
      </c>
      <c r="M117" s="44"/>
      <c r="N117" s="45"/>
      <c r="O117" s="46"/>
      <c r="P117" s="35"/>
      <c r="R117" s="57"/>
      <c r="S117" s="35"/>
      <c r="U117" s="57"/>
      <c r="V117" s="709"/>
      <c r="W117" s="704"/>
      <c r="X117" s="47">
        <f>ROUND((ROUND((_11_A通院１０．５*_11・基礎１),0)*_11・初任),0)+ROUND((ROUND((ROUND((_11_B通院１０．５＿０．５*_11・基礎１),0)*(1+_11・B夜間)),0)*_11・初任),0)+ROUND((ROUND((ROUND((_11_C通院１０．５＿０．５＿２．０*_11・基礎１),0)*(1+_11・C深夜)),0)*_11・初任),0)</f>
        <v>532</v>
      </c>
      <c r="Y117" s="48"/>
    </row>
    <row r="118" spans="1:25" ht="16.5" customHeight="1" x14ac:dyDescent="0.15">
      <c r="A118" s="41">
        <v>11</v>
      </c>
      <c r="B118" s="41" t="s">
        <v>6491</v>
      </c>
      <c r="C118" s="74" t="s">
        <v>6492</v>
      </c>
      <c r="D118" s="72"/>
      <c r="E118" s="99"/>
      <c r="F118" s="72"/>
      <c r="G118" s="99"/>
      <c r="H118" s="72"/>
      <c r="I118" s="99"/>
      <c r="J118" s="757"/>
      <c r="K118" s="37"/>
      <c r="L118" s="38"/>
      <c r="M118" s="44" t="s">
        <v>397</v>
      </c>
      <c r="N118" s="45" t="s">
        <v>398</v>
      </c>
      <c r="O118" s="46">
        <v>1</v>
      </c>
      <c r="P118" s="35"/>
      <c r="R118" s="57"/>
      <c r="S118" s="35"/>
      <c r="U118" s="57"/>
      <c r="V118" s="55" t="s">
        <v>398</v>
      </c>
      <c r="W118" s="38">
        <f>_11・初任</f>
        <v>0.7</v>
      </c>
      <c r="X118" s="47">
        <f>ROUND((ROUND((ROUND((_11_A通院１０．５*_11・基礎１),0)*_11・２人),0)*_11・初任),0)+ROUND((ROUND((ROUND((ROUND((_11_B通院１０．５＿０．５*_11・基礎１),0)*_11・２人),0)*(1+_11・B夜間)),0)*_11・初任),0)+ROUND((ROUND((ROUND((ROUND((_11_C通院１０．５＿０．５＿２．０*_11・基礎１),0)*_11・２人),0)*(1+_11・C深夜)),0)*_11・初任),0)</f>
        <v>532</v>
      </c>
      <c r="Y118" s="48"/>
    </row>
    <row r="119" spans="1:25" ht="16.5" customHeight="1" x14ac:dyDescent="0.15">
      <c r="A119" s="41">
        <v>11</v>
      </c>
      <c r="B119" s="41">
        <v>3799</v>
      </c>
      <c r="C119" s="74" t="s">
        <v>6493</v>
      </c>
      <c r="D119" s="707" t="s">
        <v>6494</v>
      </c>
      <c r="E119" s="717"/>
      <c r="F119" s="707" t="s">
        <v>3711</v>
      </c>
      <c r="G119" s="717"/>
      <c r="H119" s="707" t="s">
        <v>3780</v>
      </c>
      <c r="I119" s="717"/>
      <c r="J119" s="53"/>
      <c r="K119" s="49"/>
      <c r="L119" s="50"/>
      <c r="M119" s="44"/>
      <c r="N119" s="45"/>
      <c r="O119" s="46"/>
      <c r="P119" s="35"/>
      <c r="R119" s="57"/>
      <c r="S119" s="35"/>
      <c r="U119" s="57"/>
      <c r="V119" s="53"/>
      <c r="W119" s="49"/>
      <c r="X119" s="47">
        <f>_11_A通院１１．０+ROUND((_11_B通院１１．０＿０．５*(1+_11・B夜間)),0)+ROUND((_11_C通院１１．０＿０．５＿０．５*(1+_11・C深夜)),0)</f>
        <v>753</v>
      </c>
      <c r="Y119" s="48"/>
    </row>
    <row r="120" spans="1:25" ht="16.5" customHeight="1" x14ac:dyDescent="0.15">
      <c r="A120" s="41">
        <v>11</v>
      </c>
      <c r="B120" s="41">
        <v>3800</v>
      </c>
      <c r="C120" s="74" t="s">
        <v>6495</v>
      </c>
      <c r="D120" s="709"/>
      <c r="E120" s="718"/>
      <c r="F120" s="709"/>
      <c r="G120" s="718"/>
      <c r="H120" s="709"/>
      <c r="I120" s="718"/>
      <c r="J120" s="43"/>
      <c r="K120" s="37"/>
      <c r="L120" s="38"/>
      <c r="M120" s="44" t="s">
        <v>397</v>
      </c>
      <c r="N120" s="45" t="s">
        <v>398</v>
      </c>
      <c r="O120" s="46">
        <v>1</v>
      </c>
      <c r="P120" s="35"/>
      <c r="R120" s="57"/>
      <c r="S120" s="35"/>
      <c r="U120" s="57"/>
      <c r="V120" s="35"/>
      <c r="X120" s="47">
        <f>ROUND((_11_A通院１１．０*_11・２人),0)+ROUND((ROUND((_11_B通院１１．０＿０．５*_11・２人),0)*(1+_11・B夜間)),0)+ROUND((ROUND((_11_C通院１１．０＿０．５＿０．５*_11・２人),0)*(1+_11・C深夜)),0)</f>
        <v>753</v>
      </c>
      <c r="Y120" s="48"/>
    </row>
    <row r="121" spans="1:25" ht="16.5" customHeight="1" x14ac:dyDescent="0.15">
      <c r="A121" s="41">
        <v>11</v>
      </c>
      <c r="B121" s="41">
        <v>3801</v>
      </c>
      <c r="C121" s="74" t="s">
        <v>6496</v>
      </c>
      <c r="D121" s="709"/>
      <c r="E121" s="718"/>
      <c r="F121" s="709"/>
      <c r="G121" s="718"/>
      <c r="H121" s="709"/>
      <c r="I121" s="718"/>
      <c r="J121" s="705" t="s">
        <v>400</v>
      </c>
      <c r="K121" s="49" t="s">
        <v>398</v>
      </c>
      <c r="L121" s="50">
        <v>0.7</v>
      </c>
      <c r="M121" s="44"/>
      <c r="N121" s="45"/>
      <c r="O121" s="46"/>
      <c r="P121" s="35"/>
      <c r="R121" s="57"/>
      <c r="S121" s="35"/>
      <c r="U121" s="57"/>
      <c r="V121" s="35"/>
      <c r="X121" s="47">
        <f>ROUND((_11_A通院１１．０*_11・基礎１),0)+ROUND((ROUND((_11_B通院１１．０＿０．５*_11・基礎１),0)*(1+_11・B夜間)),0)+ROUND((ROUND((_11_C通院１１．０＿０．５＿０．５*_11・基礎１),0)*(1+_11・C深夜)),0)</f>
        <v>526</v>
      </c>
      <c r="Y121" s="48"/>
    </row>
    <row r="122" spans="1:25" ht="16.5" customHeight="1" x14ac:dyDescent="0.15">
      <c r="A122" s="41">
        <v>11</v>
      </c>
      <c r="B122" s="41">
        <v>3802</v>
      </c>
      <c r="C122" s="74" t="s">
        <v>6497</v>
      </c>
      <c r="D122" s="100">
        <f>_11_A通院１１．０</f>
        <v>402</v>
      </c>
      <c r="E122" s="12" t="s">
        <v>392</v>
      </c>
      <c r="F122" s="100">
        <f>_11_B通院１１．０＿０．５</f>
        <v>182</v>
      </c>
      <c r="G122" s="12" t="s">
        <v>392</v>
      </c>
      <c r="H122" s="100">
        <f>_11_C通院１１．０＿０．５＿０．５</f>
        <v>82</v>
      </c>
      <c r="I122" s="12" t="s">
        <v>392</v>
      </c>
      <c r="J122" s="757"/>
      <c r="K122" s="37"/>
      <c r="L122" s="38"/>
      <c r="M122" s="44" t="s">
        <v>397</v>
      </c>
      <c r="N122" s="45" t="s">
        <v>398</v>
      </c>
      <c r="O122" s="46">
        <v>1</v>
      </c>
      <c r="P122" s="35"/>
      <c r="R122" s="57"/>
      <c r="S122" s="35"/>
      <c r="U122" s="57"/>
      <c r="V122" s="43"/>
      <c r="W122" s="37"/>
      <c r="X122" s="47">
        <f>ROUND((ROUND((_11_A通院１１．０*_11・基礎１),0)*_11・２人),0)+ROUND((ROUND((ROUND((_11_B通院１１．０＿０．５*_11・基礎１),0)*_11・２人),0)*(1+_11・B夜間)),0)+ROUND((ROUND((ROUND((_11_C通院１１．０＿０．５＿０．５*_11・基礎１),0)*_11・２人),0)*(1+_11・C深夜)),0)</f>
        <v>526</v>
      </c>
      <c r="Y122" s="48"/>
    </row>
    <row r="123" spans="1:25" ht="16.5" customHeight="1" x14ac:dyDescent="0.15">
      <c r="A123" s="41">
        <v>11</v>
      </c>
      <c r="B123" s="41" t="s">
        <v>6498</v>
      </c>
      <c r="C123" s="74" t="s">
        <v>6499</v>
      </c>
      <c r="D123" s="121"/>
      <c r="E123" s="99"/>
      <c r="F123" s="121"/>
      <c r="G123" s="99"/>
      <c r="H123" s="121"/>
      <c r="I123" s="99"/>
      <c r="J123" s="53"/>
      <c r="K123" s="49"/>
      <c r="L123" s="50"/>
      <c r="M123" s="44"/>
      <c r="N123" s="45"/>
      <c r="O123" s="46"/>
      <c r="P123" s="35"/>
      <c r="R123" s="57"/>
      <c r="S123" s="35"/>
      <c r="U123" s="57"/>
      <c r="V123" s="707" t="s">
        <v>404</v>
      </c>
      <c r="W123" s="708"/>
      <c r="X123" s="47">
        <f>ROUND((_11_A通院１１．０*_11・初任),0)+ROUND((ROUND((_11_B通院１１．０＿０．５*(1+_11・B夜間)),0)*_11・初任),0)+ROUND((ROUND((_11_C通院１１．０＿０．５＿０．５*(1+_11・C深夜)),0)*_11・初任),0)</f>
        <v>527</v>
      </c>
      <c r="Y123" s="48"/>
    </row>
    <row r="124" spans="1:25" ht="16.5" customHeight="1" x14ac:dyDescent="0.15">
      <c r="A124" s="41">
        <v>11</v>
      </c>
      <c r="B124" s="41" t="s">
        <v>6500</v>
      </c>
      <c r="C124" s="74" t="s">
        <v>6501</v>
      </c>
      <c r="D124" s="121"/>
      <c r="E124" s="99"/>
      <c r="F124" s="121"/>
      <c r="G124" s="99"/>
      <c r="H124" s="121"/>
      <c r="I124" s="99"/>
      <c r="J124" s="43"/>
      <c r="K124" s="37"/>
      <c r="L124" s="38"/>
      <c r="M124" s="44" t="s">
        <v>397</v>
      </c>
      <c r="N124" s="45" t="s">
        <v>398</v>
      </c>
      <c r="O124" s="46">
        <v>1</v>
      </c>
      <c r="P124" s="35"/>
      <c r="R124" s="57"/>
      <c r="S124" s="35"/>
      <c r="U124" s="57"/>
      <c r="V124" s="709"/>
      <c r="W124" s="704"/>
      <c r="X124" s="47">
        <f>ROUND((ROUND((_11_A通院１１．０*_11・２人),0)*_11・初任),0)+ROUND((ROUND((ROUND((_11_B通院１１．０＿０．５*_11・２人),0)*(1+_11・B夜間)),0)*_11・初任),0)+ROUND((ROUND((ROUND((_11_C通院１１．０＿０．５＿０．５*_11・２人),0)*(1+_11・C深夜)),0)*_11・初任),0)</f>
        <v>527</v>
      </c>
      <c r="Y124" s="48"/>
    </row>
    <row r="125" spans="1:25" ht="16.5" customHeight="1" x14ac:dyDescent="0.15">
      <c r="A125" s="41">
        <v>11</v>
      </c>
      <c r="B125" s="41" t="s">
        <v>6502</v>
      </c>
      <c r="C125" s="74" t="s">
        <v>6503</v>
      </c>
      <c r="D125" s="72"/>
      <c r="E125" s="99"/>
      <c r="F125" s="72"/>
      <c r="G125" s="99"/>
      <c r="H125" s="72"/>
      <c r="I125" s="99"/>
      <c r="J125" s="705" t="s">
        <v>400</v>
      </c>
      <c r="K125" s="49" t="s">
        <v>398</v>
      </c>
      <c r="L125" s="50">
        <v>0.7</v>
      </c>
      <c r="M125" s="44"/>
      <c r="N125" s="45"/>
      <c r="O125" s="46"/>
      <c r="P125" s="35"/>
      <c r="R125" s="57"/>
      <c r="S125" s="35"/>
      <c r="U125" s="57"/>
      <c r="V125" s="709"/>
      <c r="W125" s="704"/>
      <c r="X125" s="47">
        <f>ROUND((ROUND((_11_A通院１１．０*_11・基礎１),0)*_11・初任),0)+ROUND((ROUND((ROUND((_11_B通院１１．０＿０．５*_11・基礎１),0)*(1+_11・B夜間)),0)*_11・初任),0)+ROUND((ROUND((ROUND((_11_C通院１１．０＿０．５＿０．５*_11・基礎１),0)*(1+_11・C深夜)),0)*_11・初任),0)</f>
        <v>368</v>
      </c>
      <c r="Y125" s="48"/>
    </row>
    <row r="126" spans="1:25" ht="16.5" customHeight="1" x14ac:dyDescent="0.15">
      <c r="A126" s="41">
        <v>11</v>
      </c>
      <c r="B126" s="41" t="s">
        <v>6504</v>
      </c>
      <c r="C126" s="74" t="s">
        <v>6505</v>
      </c>
      <c r="D126" s="72"/>
      <c r="E126" s="99"/>
      <c r="F126" s="72"/>
      <c r="G126" s="99"/>
      <c r="H126" s="72"/>
      <c r="I126" s="99"/>
      <c r="J126" s="757"/>
      <c r="K126" s="37"/>
      <c r="L126" s="38"/>
      <c r="M126" s="44" t="s">
        <v>397</v>
      </c>
      <c r="N126" s="45" t="s">
        <v>398</v>
      </c>
      <c r="O126" s="46">
        <v>1</v>
      </c>
      <c r="P126" s="35"/>
      <c r="R126" s="57"/>
      <c r="S126" s="35"/>
      <c r="U126" s="57"/>
      <c r="V126" s="55" t="s">
        <v>398</v>
      </c>
      <c r="W126" s="38">
        <f>_11・初任</f>
        <v>0.7</v>
      </c>
      <c r="X126" s="47">
        <f>ROUND((ROUND((ROUND((_11_A通院１１．０*_11・基礎１),0)*_11・２人),0)*_11・初任),0)+ROUND((ROUND((ROUND((ROUND((_11_B通院１１．０＿０．５*_11・基礎１),0)*_11・２人),0)*(1+_11・B夜間)),0)*_11・初任),0)+ROUND((ROUND((ROUND((ROUND((_11_C通院１１．０＿０．５＿０．５*_11・基礎１),0)*_11・２人),0)*(1+_11・C深夜)),0)*_11・初任),0)</f>
        <v>368</v>
      </c>
      <c r="Y126" s="48"/>
    </row>
    <row r="127" spans="1:25" ht="16.5" customHeight="1" x14ac:dyDescent="0.15">
      <c r="A127" s="41">
        <v>11</v>
      </c>
      <c r="B127" s="41">
        <v>3803</v>
      </c>
      <c r="C127" s="74" t="s">
        <v>6506</v>
      </c>
      <c r="D127" s="72"/>
      <c r="E127" s="99"/>
      <c r="F127" s="72"/>
      <c r="G127" s="99"/>
      <c r="H127" s="707" t="s">
        <v>3787</v>
      </c>
      <c r="I127" s="717"/>
      <c r="J127" s="53"/>
      <c r="K127" s="49"/>
      <c r="L127" s="50"/>
      <c r="M127" s="44"/>
      <c r="N127" s="45"/>
      <c r="O127" s="46"/>
      <c r="P127" s="35"/>
      <c r="R127" s="57"/>
      <c r="S127" s="35"/>
      <c r="U127" s="57"/>
      <c r="V127" s="53"/>
      <c r="W127" s="49"/>
      <c r="X127" s="47">
        <f>_11_A通院１１．０+ROUND((_11_B通院１１．０＿０．５*(1+_11・B夜間)),0)+ROUND((_11_C通院１１．０＿０．５＿１．０*(1+_11・C深夜)),0)</f>
        <v>879</v>
      </c>
      <c r="Y127" s="48"/>
    </row>
    <row r="128" spans="1:25" ht="16.5" customHeight="1" x14ac:dyDescent="0.15">
      <c r="A128" s="41">
        <v>11</v>
      </c>
      <c r="B128" s="41">
        <v>3804</v>
      </c>
      <c r="C128" s="74" t="s">
        <v>6507</v>
      </c>
      <c r="D128" s="72"/>
      <c r="E128" s="99"/>
      <c r="F128" s="72"/>
      <c r="G128" s="99"/>
      <c r="H128" s="709"/>
      <c r="I128" s="718"/>
      <c r="J128" s="43"/>
      <c r="K128" s="37"/>
      <c r="L128" s="38"/>
      <c r="M128" s="44" t="s">
        <v>397</v>
      </c>
      <c r="N128" s="45" t="s">
        <v>398</v>
      </c>
      <c r="O128" s="46">
        <v>1</v>
      </c>
      <c r="P128" s="35"/>
      <c r="R128" s="57"/>
      <c r="S128" s="35"/>
      <c r="U128" s="57"/>
      <c r="V128" s="35"/>
      <c r="X128" s="47">
        <f>ROUND((_11_A通院１１．０*_11・２人),0)+ROUND((ROUND((_11_B通院１１．０＿０．５*_11・２人),0)*(1+_11・B夜間)),0)+ROUND((ROUND((_11_C通院１１．０＿０．５＿１．０*_11・２人),0)*(1+_11・C深夜)),0)</f>
        <v>879</v>
      </c>
      <c r="Y128" s="48"/>
    </row>
    <row r="129" spans="1:25" ht="16.5" customHeight="1" x14ac:dyDescent="0.15">
      <c r="A129" s="41">
        <v>11</v>
      </c>
      <c r="B129" s="41">
        <v>3805</v>
      </c>
      <c r="C129" s="74" t="s">
        <v>6508</v>
      </c>
      <c r="D129" s="72"/>
      <c r="E129" s="99"/>
      <c r="F129" s="72"/>
      <c r="G129" s="99"/>
      <c r="H129" s="709"/>
      <c r="I129" s="718"/>
      <c r="J129" s="705" t="s">
        <v>400</v>
      </c>
      <c r="K129" s="49" t="s">
        <v>398</v>
      </c>
      <c r="L129" s="50">
        <v>0.7</v>
      </c>
      <c r="M129" s="44"/>
      <c r="N129" s="45"/>
      <c r="O129" s="46"/>
      <c r="P129" s="35"/>
      <c r="R129" s="57"/>
      <c r="S129" s="35"/>
      <c r="U129" s="57"/>
      <c r="V129" s="35"/>
      <c r="X129" s="47">
        <f>ROUND((_11_A通院１１．０*_11・基礎１),0)+ROUND((ROUND((_11_B通院１１．０＿０．５*_11・基礎１),0)*(1+_11・B夜間)),0)+ROUND((ROUND((_11_C通院１１．０＿０．５＿１．０*_11・基礎１),0)*(1+_11・C深夜)),0)</f>
        <v>614</v>
      </c>
      <c r="Y129" s="48"/>
    </row>
    <row r="130" spans="1:25" ht="16.5" customHeight="1" x14ac:dyDescent="0.15">
      <c r="A130" s="41">
        <v>11</v>
      </c>
      <c r="B130" s="41">
        <v>3806</v>
      </c>
      <c r="C130" s="74" t="s">
        <v>6509</v>
      </c>
      <c r="D130" s="72"/>
      <c r="E130" s="99"/>
      <c r="F130" s="72"/>
      <c r="G130" s="99"/>
      <c r="H130" s="100">
        <f>_11_C通院１１．０＿０．５＿１．０</f>
        <v>166</v>
      </c>
      <c r="I130" s="12" t="s">
        <v>392</v>
      </c>
      <c r="J130" s="757"/>
      <c r="K130" s="37"/>
      <c r="L130" s="38"/>
      <c r="M130" s="44" t="s">
        <v>397</v>
      </c>
      <c r="N130" s="45" t="s">
        <v>398</v>
      </c>
      <c r="O130" s="46">
        <v>1</v>
      </c>
      <c r="P130" s="35"/>
      <c r="R130" s="57"/>
      <c r="S130" s="35"/>
      <c r="U130" s="57"/>
      <c r="V130" s="43"/>
      <c r="W130" s="37"/>
      <c r="X130" s="47">
        <f>ROUND((ROUND((_11_A通院１１．０*_11・基礎１),0)*_11・２人),0)+ROUND((ROUND((ROUND((_11_B通院１１．０＿０．５*_11・基礎１),0)*_11・２人),0)*(1+_11・B夜間)),0)+ROUND((ROUND((ROUND((_11_C通院１１．０＿０．５＿１．０*_11・基礎１),0)*_11・２人),0)*(1+_11・C深夜)),0)</f>
        <v>614</v>
      </c>
      <c r="Y130" s="48"/>
    </row>
    <row r="131" spans="1:25" ht="16.5" customHeight="1" x14ac:dyDescent="0.15">
      <c r="A131" s="41">
        <v>11</v>
      </c>
      <c r="B131" s="41" t="s">
        <v>6510</v>
      </c>
      <c r="C131" s="74" t="s">
        <v>6511</v>
      </c>
      <c r="D131" s="72"/>
      <c r="E131" s="99"/>
      <c r="F131" s="72"/>
      <c r="G131" s="99"/>
      <c r="H131" s="121"/>
      <c r="I131" s="99"/>
      <c r="J131" s="53"/>
      <c r="K131" s="49"/>
      <c r="L131" s="50"/>
      <c r="M131" s="44"/>
      <c r="N131" s="45"/>
      <c r="O131" s="46"/>
      <c r="P131" s="35"/>
      <c r="R131" s="57"/>
      <c r="S131" s="35"/>
      <c r="U131" s="57"/>
      <c r="V131" s="707" t="s">
        <v>404</v>
      </c>
      <c r="W131" s="708"/>
      <c r="X131" s="47">
        <f>ROUND((_11_A通院１１．０*_11・初任),0)+ROUND((ROUND((_11_B通院１１．０＿０．５*(1+_11・B夜間)),0)*_11・初任),0)+ROUND((ROUND((_11_C通院１１．０＿０．５＿１．０*(1+_11・C深夜)),0)*_11・初任),0)</f>
        <v>615</v>
      </c>
      <c r="Y131" s="48"/>
    </row>
    <row r="132" spans="1:25" ht="16.5" customHeight="1" x14ac:dyDescent="0.15">
      <c r="A132" s="41">
        <v>11</v>
      </c>
      <c r="B132" s="41" t="s">
        <v>6512</v>
      </c>
      <c r="C132" s="74" t="s">
        <v>6513</v>
      </c>
      <c r="D132" s="72"/>
      <c r="E132" s="99"/>
      <c r="F132" s="72"/>
      <c r="G132" s="99"/>
      <c r="H132" s="121"/>
      <c r="I132" s="99"/>
      <c r="J132" s="43"/>
      <c r="K132" s="37"/>
      <c r="L132" s="38"/>
      <c r="M132" s="44" t="s">
        <v>397</v>
      </c>
      <c r="N132" s="45" t="s">
        <v>398</v>
      </c>
      <c r="O132" s="46">
        <v>1</v>
      </c>
      <c r="P132" s="35"/>
      <c r="R132" s="57"/>
      <c r="S132" s="35"/>
      <c r="U132" s="57"/>
      <c r="V132" s="709"/>
      <c r="W132" s="704"/>
      <c r="X132" s="47">
        <f>ROUND((ROUND((_11_A通院１１．０*_11・２人),0)*_11・初任),0)+ROUND((ROUND((ROUND((_11_B通院１１．０＿０．５*_11・２人),0)*(1+_11・B夜間)),0)*_11・初任),0)+ROUND((ROUND((ROUND((_11_C通院１１．０＿０．５＿１．０*_11・２人),0)*(1+_11・C深夜)),0)*_11・初任),0)</f>
        <v>615</v>
      </c>
      <c r="Y132" s="48"/>
    </row>
    <row r="133" spans="1:25" ht="16.5" customHeight="1" x14ac:dyDescent="0.15">
      <c r="A133" s="41">
        <v>11</v>
      </c>
      <c r="B133" s="41" t="s">
        <v>6514</v>
      </c>
      <c r="C133" s="74" t="s">
        <v>6515</v>
      </c>
      <c r="D133" s="72"/>
      <c r="E133" s="99"/>
      <c r="F133" s="72"/>
      <c r="G133" s="99"/>
      <c r="H133" s="72"/>
      <c r="I133" s="99"/>
      <c r="J133" s="705" t="s">
        <v>400</v>
      </c>
      <c r="K133" s="49" t="s">
        <v>398</v>
      </c>
      <c r="L133" s="50">
        <v>0.7</v>
      </c>
      <c r="M133" s="44"/>
      <c r="N133" s="45"/>
      <c r="O133" s="46"/>
      <c r="P133" s="35"/>
      <c r="R133" s="57"/>
      <c r="S133" s="35"/>
      <c r="U133" s="57"/>
      <c r="V133" s="709"/>
      <c r="W133" s="704"/>
      <c r="X133" s="47">
        <f>ROUND((ROUND((_11_A通院１１．０*_11・基礎１),0)*_11・初任),0)+ROUND((ROUND((ROUND((_11_B通院１１．０＿０．５*_11・基礎１),0)*(1+_11・B夜間)),0)*_11・初任),0)+ROUND((ROUND((ROUND((_11_C通院１１．０＿０．５＿１．０*_11・基礎１),0)*(1+_11・C深夜)),0)*_11・初任),0)</f>
        <v>430</v>
      </c>
      <c r="Y133" s="48"/>
    </row>
    <row r="134" spans="1:25" ht="16.5" customHeight="1" x14ac:dyDescent="0.15">
      <c r="A134" s="41">
        <v>11</v>
      </c>
      <c r="B134" s="41" t="s">
        <v>6516</v>
      </c>
      <c r="C134" s="74" t="s">
        <v>6517</v>
      </c>
      <c r="D134" s="72"/>
      <c r="E134" s="99"/>
      <c r="F134" s="72"/>
      <c r="G134" s="99"/>
      <c r="H134" s="72"/>
      <c r="I134" s="99"/>
      <c r="J134" s="757"/>
      <c r="K134" s="37"/>
      <c r="L134" s="38"/>
      <c r="M134" s="44" t="s">
        <v>397</v>
      </c>
      <c r="N134" s="45" t="s">
        <v>398</v>
      </c>
      <c r="O134" s="46">
        <v>1</v>
      </c>
      <c r="P134" s="35"/>
      <c r="R134" s="57"/>
      <c r="S134" s="35"/>
      <c r="U134" s="57"/>
      <c r="V134" s="55" t="s">
        <v>398</v>
      </c>
      <c r="W134" s="38">
        <f>_11・初任</f>
        <v>0.7</v>
      </c>
      <c r="X134" s="47">
        <f>ROUND((ROUND((ROUND((_11_A通院１１．０*_11・基礎１),0)*_11・２人),0)*_11・初任),0)+ROUND((ROUND((ROUND((ROUND((_11_B通院１１．０＿０．５*_11・基礎１),0)*_11・２人),0)*(1+_11・B夜間)),0)*_11・初任),0)+ROUND((ROUND((ROUND((ROUND((_11_C通院１１．０＿０．５＿１．０*_11・基礎１),0)*_11・２人),0)*(1+_11・C深夜)),0)*_11・初任),0)</f>
        <v>430</v>
      </c>
      <c r="Y134" s="48"/>
    </row>
    <row r="135" spans="1:25" ht="16.5" customHeight="1" x14ac:dyDescent="0.15">
      <c r="A135" s="41">
        <v>11</v>
      </c>
      <c r="B135" s="41">
        <v>3807</v>
      </c>
      <c r="C135" s="74" t="s">
        <v>6518</v>
      </c>
      <c r="D135" s="72"/>
      <c r="E135" s="99"/>
      <c r="F135" s="72"/>
      <c r="G135" s="99"/>
      <c r="H135" s="707" t="s">
        <v>3794</v>
      </c>
      <c r="I135" s="717"/>
      <c r="J135" s="53"/>
      <c r="K135" s="49"/>
      <c r="L135" s="50"/>
      <c r="M135" s="44"/>
      <c r="N135" s="45"/>
      <c r="O135" s="46"/>
      <c r="P135" s="35"/>
      <c r="R135" s="57"/>
      <c r="S135" s="35"/>
      <c r="U135" s="57"/>
      <c r="V135" s="53"/>
      <c r="W135" s="49"/>
      <c r="X135" s="47">
        <f>_11_A通院１１．０+ROUND((_11_B通院１１．０＿０．５*(1+_11・B夜間)),0)+ROUND((_11_C通院１１．０＿０．５＿１．５*(1+_11・C深夜)),0)</f>
        <v>1004</v>
      </c>
      <c r="Y135" s="48"/>
    </row>
    <row r="136" spans="1:25" ht="16.5" customHeight="1" x14ac:dyDescent="0.15">
      <c r="A136" s="41">
        <v>11</v>
      </c>
      <c r="B136" s="41">
        <v>3808</v>
      </c>
      <c r="C136" s="74" t="s">
        <v>6519</v>
      </c>
      <c r="D136" s="72"/>
      <c r="E136" s="99"/>
      <c r="F136" s="72"/>
      <c r="G136" s="99"/>
      <c r="H136" s="709"/>
      <c r="I136" s="718"/>
      <c r="J136" s="43"/>
      <c r="K136" s="37"/>
      <c r="L136" s="38"/>
      <c r="M136" s="44" t="s">
        <v>397</v>
      </c>
      <c r="N136" s="45" t="s">
        <v>398</v>
      </c>
      <c r="O136" s="46">
        <v>1</v>
      </c>
      <c r="P136" s="35"/>
      <c r="R136" s="57"/>
      <c r="S136" s="35"/>
      <c r="U136" s="57"/>
      <c r="V136" s="35"/>
      <c r="X136" s="47">
        <f>ROUND((_11_A通院１１．０*_11・２人),0)+ROUND((ROUND((_11_B通院１１．０＿０．５*_11・２人),0)*(1+_11・B夜間)),0)+ROUND((ROUND((_11_C通院１１．０＿０．５＿１．５*_11・２人),0)*(1+_11・C深夜)),0)</f>
        <v>1004</v>
      </c>
      <c r="Y136" s="48"/>
    </row>
    <row r="137" spans="1:25" ht="16.5" customHeight="1" x14ac:dyDescent="0.15">
      <c r="A137" s="41">
        <v>11</v>
      </c>
      <c r="B137" s="41">
        <v>3809</v>
      </c>
      <c r="C137" s="74" t="s">
        <v>6520</v>
      </c>
      <c r="D137" s="72"/>
      <c r="E137" s="99"/>
      <c r="F137" s="72"/>
      <c r="G137" s="99"/>
      <c r="H137" s="709"/>
      <c r="I137" s="718"/>
      <c r="J137" s="705" t="s">
        <v>400</v>
      </c>
      <c r="K137" s="49" t="s">
        <v>398</v>
      </c>
      <c r="L137" s="50">
        <v>0.7</v>
      </c>
      <c r="M137" s="44"/>
      <c r="N137" s="45"/>
      <c r="O137" s="46"/>
      <c r="P137" s="35"/>
      <c r="R137" s="57"/>
      <c r="S137" s="35"/>
      <c r="U137" s="57"/>
      <c r="V137" s="35"/>
      <c r="X137" s="47">
        <f>ROUND((_11_A通院１１．０*_11・基礎１),0)+ROUND((ROUND((_11_B通院１１．０＿０．５*_11・基礎１),0)*(1+_11・B夜間)),0)+ROUND((ROUND((_11_C通院１１．０＿０．５＿１．５*_11・基礎１),0)*(1+_11・C深夜)),0)</f>
        <v>701</v>
      </c>
      <c r="Y137" s="48"/>
    </row>
    <row r="138" spans="1:25" ht="16.5" customHeight="1" x14ac:dyDescent="0.15">
      <c r="A138" s="41">
        <v>11</v>
      </c>
      <c r="B138" s="41">
        <v>3810</v>
      </c>
      <c r="C138" s="74" t="s">
        <v>6521</v>
      </c>
      <c r="D138" s="100"/>
      <c r="E138" s="12"/>
      <c r="F138" s="100"/>
      <c r="G138" s="12"/>
      <c r="H138" s="100">
        <f>_11_C通院１１．０＿０．５＿１．５</f>
        <v>249</v>
      </c>
      <c r="I138" s="12" t="s">
        <v>392</v>
      </c>
      <c r="J138" s="757"/>
      <c r="K138" s="37"/>
      <c r="L138" s="38"/>
      <c r="M138" s="44" t="s">
        <v>397</v>
      </c>
      <c r="N138" s="45" t="s">
        <v>398</v>
      </c>
      <c r="O138" s="46">
        <v>1</v>
      </c>
      <c r="P138" s="35"/>
      <c r="R138" s="57"/>
      <c r="S138" s="35"/>
      <c r="U138" s="57"/>
      <c r="V138" s="43"/>
      <c r="W138" s="37"/>
      <c r="X138" s="47">
        <f>ROUND((ROUND((_11_A通院１１．０*_11・基礎１),0)*_11・２人),0)+ROUND((ROUND((ROUND((_11_B通院１１．０＿０．５*_11・基礎１),0)*_11・２人),0)*(1+_11・B夜間)),0)+ROUND((ROUND((ROUND((_11_C通院１１．０＿０．５＿１．５*_11・基礎１),0)*_11・２人),0)*(1+_11・C深夜)),0)</f>
        <v>701</v>
      </c>
      <c r="Y138" s="48"/>
    </row>
    <row r="139" spans="1:25" ht="16.5" customHeight="1" x14ac:dyDescent="0.15">
      <c r="A139" s="41">
        <v>11</v>
      </c>
      <c r="B139" s="41" t="s">
        <v>6522</v>
      </c>
      <c r="C139" s="74" t="s">
        <v>6523</v>
      </c>
      <c r="D139" s="72"/>
      <c r="E139" s="99"/>
      <c r="F139" s="72"/>
      <c r="G139" s="99"/>
      <c r="H139" s="121"/>
      <c r="I139" s="99"/>
      <c r="J139" s="53"/>
      <c r="K139" s="49"/>
      <c r="L139" s="50"/>
      <c r="M139" s="44"/>
      <c r="N139" s="45"/>
      <c r="O139" s="46"/>
      <c r="P139" s="35"/>
      <c r="R139" s="57"/>
      <c r="S139" s="35"/>
      <c r="U139" s="57"/>
      <c r="V139" s="707" t="s">
        <v>404</v>
      </c>
      <c r="W139" s="708"/>
      <c r="X139" s="47">
        <f>ROUND((_11_A通院１１．０*_11・初任),0)+ROUND((ROUND((_11_B通院１１．０＿０．５*(1+_11・B夜間)),0)*_11・初任),0)+ROUND((ROUND((_11_C通院１１．０＿０．５＿１．５*(1+_11・C深夜)),0)*_11・初任),0)</f>
        <v>703</v>
      </c>
      <c r="Y139" s="48"/>
    </row>
    <row r="140" spans="1:25" ht="16.5" customHeight="1" x14ac:dyDescent="0.15">
      <c r="A140" s="41">
        <v>11</v>
      </c>
      <c r="B140" s="41" t="s">
        <v>6524</v>
      </c>
      <c r="C140" s="74" t="s">
        <v>6525</v>
      </c>
      <c r="D140" s="72"/>
      <c r="E140" s="99"/>
      <c r="F140" s="72"/>
      <c r="G140" s="99"/>
      <c r="H140" s="121"/>
      <c r="I140" s="99"/>
      <c r="J140" s="43"/>
      <c r="K140" s="37"/>
      <c r="L140" s="38"/>
      <c r="M140" s="44" t="s">
        <v>397</v>
      </c>
      <c r="N140" s="45" t="s">
        <v>398</v>
      </c>
      <c r="O140" s="46">
        <v>1</v>
      </c>
      <c r="P140" s="35"/>
      <c r="R140" s="57"/>
      <c r="S140" s="35"/>
      <c r="U140" s="57"/>
      <c r="V140" s="709"/>
      <c r="W140" s="704"/>
      <c r="X140" s="47">
        <f>ROUND((ROUND((_11_A通院１１．０*_11・２人),0)*_11・初任),0)+ROUND((ROUND((ROUND((_11_B通院１１．０＿０．５*_11・２人),0)*(1+_11・B夜間)),0)*_11・初任),0)+ROUND((ROUND((ROUND((_11_C通院１１．０＿０．５＿１．５*_11・２人),0)*(1+_11・C深夜)),0)*_11・初任),0)</f>
        <v>703</v>
      </c>
      <c r="Y140" s="48"/>
    </row>
    <row r="141" spans="1:25" ht="16.5" customHeight="1" x14ac:dyDescent="0.15">
      <c r="A141" s="41">
        <v>11</v>
      </c>
      <c r="B141" s="41" t="s">
        <v>6526</v>
      </c>
      <c r="C141" s="74" t="s">
        <v>6527</v>
      </c>
      <c r="D141" s="72"/>
      <c r="E141" s="99"/>
      <c r="F141" s="72"/>
      <c r="G141" s="99"/>
      <c r="H141" s="72"/>
      <c r="I141" s="99"/>
      <c r="J141" s="705" t="s">
        <v>400</v>
      </c>
      <c r="K141" s="49" t="s">
        <v>398</v>
      </c>
      <c r="L141" s="50">
        <v>0.7</v>
      </c>
      <c r="M141" s="44"/>
      <c r="N141" s="45"/>
      <c r="O141" s="46"/>
      <c r="P141" s="35"/>
      <c r="R141" s="57"/>
      <c r="S141" s="35"/>
      <c r="U141" s="57"/>
      <c r="V141" s="709"/>
      <c r="W141" s="704"/>
      <c r="X141" s="47">
        <f>ROUND((ROUND((_11_A通院１１．０*_11・基礎１),0)*_11・初任),0)+ROUND((ROUND((ROUND((_11_B通院１１．０＿０．５*_11・基礎１),0)*(1+_11・B夜間)),0)*_11・初任),0)+ROUND((ROUND((ROUND((_11_C通院１１．０＿０．５＿１．５*_11・基礎１),0)*(1+_11・C深夜)),0)*_11・初任),0)</f>
        <v>491</v>
      </c>
      <c r="Y141" s="48"/>
    </row>
    <row r="142" spans="1:25" ht="16.5" customHeight="1" x14ac:dyDescent="0.15">
      <c r="A142" s="41">
        <v>11</v>
      </c>
      <c r="B142" s="41" t="s">
        <v>6528</v>
      </c>
      <c r="C142" s="74" t="s">
        <v>6529</v>
      </c>
      <c r="D142" s="72"/>
      <c r="E142" s="99"/>
      <c r="F142" s="72"/>
      <c r="G142" s="99"/>
      <c r="H142" s="72"/>
      <c r="I142" s="99"/>
      <c r="J142" s="757"/>
      <c r="K142" s="37"/>
      <c r="L142" s="38"/>
      <c r="M142" s="44" t="s">
        <v>397</v>
      </c>
      <c r="N142" s="45" t="s">
        <v>398</v>
      </c>
      <c r="O142" s="46">
        <v>1</v>
      </c>
      <c r="P142" s="35"/>
      <c r="R142" s="57"/>
      <c r="S142" s="35"/>
      <c r="U142" s="57"/>
      <c r="V142" s="55" t="s">
        <v>398</v>
      </c>
      <c r="W142" s="38">
        <f>_11・初任</f>
        <v>0.7</v>
      </c>
      <c r="X142" s="47">
        <f>ROUND((ROUND((ROUND((_11_A通院１１．０*_11・基礎１),0)*_11・２人),0)*_11・初任),0)+ROUND((ROUND((ROUND((ROUND((_11_B通院１１．０＿０．５*_11・基礎１),0)*_11・２人),0)*(1+_11・B夜間)),0)*_11・初任),0)+ROUND((ROUND((ROUND((ROUND((_11_C通院１１．０＿０．５＿１．５*_11・基礎１),0)*_11・２人),0)*(1+_11・C深夜)),0)*_11・初任),0)</f>
        <v>491</v>
      </c>
      <c r="Y142" s="48"/>
    </row>
    <row r="143" spans="1:25" ht="16.5" customHeight="1" x14ac:dyDescent="0.15">
      <c r="A143" s="41">
        <v>11</v>
      </c>
      <c r="B143" s="41">
        <v>3811</v>
      </c>
      <c r="C143" s="74" t="s">
        <v>6530</v>
      </c>
      <c r="D143" s="707" t="s">
        <v>6531</v>
      </c>
      <c r="E143" s="717"/>
      <c r="F143" s="707" t="s">
        <v>3711</v>
      </c>
      <c r="G143" s="717"/>
      <c r="H143" s="707" t="s">
        <v>3780</v>
      </c>
      <c r="I143" s="717"/>
      <c r="J143" s="53"/>
      <c r="K143" s="49"/>
      <c r="L143" s="50"/>
      <c r="M143" s="44"/>
      <c r="N143" s="45"/>
      <c r="O143" s="46"/>
      <c r="P143" s="35"/>
      <c r="R143" s="57"/>
      <c r="S143" s="35"/>
      <c r="U143" s="57"/>
      <c r="V143" s="53"/>
      <c r="W143" s="49"/>
      <c r="X143" s="47">
        <f>_11_A通院１１．５+ROUND((_11_B通院１１．５＿０．５*(1+_11・B夜間)),0)+ROUND((_11_C通院１１．５＿０．５＿０．５*(1+_11・C深夜)),0)</f>
        <v>813</v>
      </c>
      <c r="Y143" s="48"/>
    </row>
    <row r="144" spans="1:25" ht="16.5" customHeight="1" x14ac:dyDescent="0.15">
      <c r="A144" s="41">
        <v>11</v>
      </c>
      <c r="B144" s="41">
        <v>3812</v>
      </c>
      <c r="C144" s="74" t="s">
        <v>6532</v>
      </c>
      <c r="D144" s="709"/>
      <c r="E144" s="718"/>
      <c r="F144" s="709"/>
      <c r="G144" s="718"/>
      <c r="H144" s="709"/>
      <c r="I144" s="718"/>
      <c r="J144" s="43"/>
      <c r="K144" s="37"/>
      <c r="L144" s="38"/>
      <c r="M144" s="44" t="s">
        <v>397</v>
      </c>
      <c r="N144" s="45" t="s">
        <v>398</v>
      </c>
      <c r="O144" s="46">
        <v>1</v>
      </c>
      <c r="P144" s="35"/>
      <c r="R144" s="57"/>
      <c r="S144" s="35"/>
      <c r="U144" s="57"/>
      <c r="V144" s="35"/>
      <c r="X144" s="47">
        <f>ROUND((_11_A通院１１．５*_11・２人),0)+ROUND((ROUND((_11_B通院１１．５＿０．５*_11・２人),0)*(1+_11・B夜間)),0)+ROUND((ROUND((_11_C通院１１．５＿０．５＿０．５*_11・２人),0)*(1+_11・C深夜)),0)</f>
        <v>813</v>
      </c>
      <c r="Y144" s="48"/>
    </row>
    <row r="145" spans="1:25" ht="16.5" customHeight="1" x14ac:dyDescent="0.15">
      <c r="A145" s="41">
        <v>11</v>
      </c>
      <c r="B145" s="41">
        <v>3813</v>
      </c>
      <c r="C145" s="74" t="s">
        <v>6533</v>
      </c>
      <c r="D145" s="709"/>
      <c r="E145" s="718"/>
      <c r="F145" s="709"/>
      <c r="G145" s="718"/>
      <c r="H145" s="709"/>
      <c r="I145" s="718"/>
      <c r="J145" s="705" t="s">
        <v>400</v>
      </c>
      <c r="K145" s="49" t="s">
        <v>398</v>
      </c>
      <c r="L145" s="50">
        <v>0.7</v>
      </c>
      <c r="M145" s="44"/>
      <c r="N145" s="45"/>
      <c r="O145" s="46"/>
      <c r="P145" s="35"/>
      <c r="R145" s="57"/>
      <c r="S145" s="35"/>
      <c r="U145" s="57"/>
      <c r="V145" s="35"/>
      <c r="X145" s="47">
        <f>ROUND((_11_A通院１１．５*_11・基礎１),0)+ROUND((ROUND((_11_B通院１１．５＿０．５*_11・基礎１),0)*(1+_11・B夜間)),0)+ROUND((ROUND((_11_C通院１１．５＿０．５＿０．５*_11・基礎１),0)*(1+_11・C深夜)),0)</f>
        <v>569</v>
      </c>
      <c r="Y145" s="48"/>
    </row>
    <row r="146" spans="1:25" ht="16.5" customHeight="1" x14ac:dyDescent="0.15">
      <c r="A146" s="41">
        <v>11</v>
      </c>
      <c r="B146" s="41">
        <v>3814</v>
      </c>
      <c r="C146" s="74" t="s">
        <v>6534</v>
      </c>
      <c r="D146" s="100">
        <f>_11_A通院１１．５</f>
        <v>584</v>
      </c>
      <c r="E146" s="12" t="s">
        <v>392</v>
      </c>
      <c r="F146" s="100">
        <f>_11_B通院１１．５＿０．５</f>
        <v>82</v>
      </c>
      <c r="G146" s="12" t="s">
        <v>392</v>
      </c>
      <c r="H146" s="100">
        <f>_11_C通院１１．５＿０．５＿０．５</f>
        <v>84</v>
      </c>
      <c r="I146" s="12" t="s">
        <v>392</v>
      </c>
      <c r="J146" s="757"/>
      <c r="K146" s="37"/>
      <c r="L146" s="38"/>
      <c r="M146" s="44" t="s">
        <v>397</v>
      </c>
      <c r="N146" s="45" t="s">
        <v>398</v>
      </c>
      <c r="O146" s="46">
        <v>1</v>
      </c>
      <c r="P146" s="35"/>
      <c r="R146" s="57"/>
      <c r="S146" s="35"/>
      <c r="U146" s="57"/>
      <c r="V146" s="43"/>
      <c r="W146" s="37"/>
      <c r="X146" s="47">
        <f>ROUND((ROUND((_11_A通院１１．５*_11・基礎１),0)*_11・２人),0)+ROUND((ROUND((ROUND((_11_B通院１１．５＿０．５*_11・基礎１),0)*_11・２人),0)*(1+_11・B夜間)),0)+ROUND((ROUND((ROUND((_11_C通院１１．５＿０．５＿０．５*_11・基礎１),0)*_11・２人),0)*(1+_11・C深夜)),0)</f>
        <v>569</v>
      </c>
      <c r="Y146" s="48"/>
    </row>
    <row r="147" spans="1:25" ht="16.5" customHeight="1" x14ac:dyDescent="0.15">
      <c r="A147" s="41">
        <v>11</v>
      </c>
      <c r="B147" s="41" t="s">
        <v>6535</v>
      </c>
      <c r="C147" s="74" t="s">
        <v>6536</v>
      </c>
      <c r="D147" s="121"/>
      <c r="E147" s="99"/>
      <c r="F147" s="121"/>
      <c r="G147" s="99"/>
      <c r="H147" s="121"/>
      <c r="I147" s="99"/>
      <c r="J147" s="53"/>
      <c r="K147" s="49"/>
      <c r="L147" s="50"/>
      <c r="M147" s="44"/>
      <c r="N147" s="45"/>
      <c r="O147" s="46"/>
      <c r="P147" s="35"/>
      <c r="R147" s="57"/>
      <c r="S147" s="35"/>
      <c r="U147" s="57"/>
      <c r="V147" s="707" t="s">
        <v>404</v>
      </c>
      <c r="W147" s="708"/>
      <c r="X147" s="47">
        <f>ROUND((_11_A通院１１．５*_11・初任),0)+ROUND((ROUND((_11_B通院１１．５＿０．５*(1+_11・B夜間)),0)*_11・初任),0)+ROUND((ROUND((_11_C通院１１．５＿０．５＿０．５*(1+_11・C深夜)),0)*_11・初任),0)</f>
        <v>569</v>
      </c>
      <c r="Y147" s="48"/>
    </row>
    <row r="148" spans="1:25" ht="16.5" customHeight="1" x14ac:dyDescent="0.15">
      <c r="A148" s="41">
        <v>11</v>
      </c>
      <c r="B148" s="41" t="s">
        <v>6537</v>
      </c>
      <c r="C148" s="74" t="s">
        <v>6538</v>
      </c>
      <c r="D148" s="121"/>
      <c r="E148" s="99"/>
      <c r="F148" s="121"/>
      <c r="G148" s="99"/>
      <c r="H148" s="121"/>
      <c r="I148" s="99"/>
      <c r="J148" s="43"/>
      <c r="K148" s="37"/>
      <c r="L148" s="38"/>
      <c r="M148" s="44" t="s">
        <v>397</v>
      </c>
      <c r="N148" s="45" t="s">
        <v>398</v>
      </c>
      <c r="O148" s="46">
        <v>1</v>
      </c>
      <c r="P148" s="35"/>
      <c r="R148" s="57"/>
      <c r="S148" s="35"/>
      <c r="U148" s="57"/>
      <c r="V148" s="709"/>
      <c r="W148" s="704"/>
      <c r="X148" s="47">
        <f>ROUND((ROUND((_11_A通院１１．５*_11・２人),0)*_11・初任),0)+ROUND((ROUND((ROUND((_11_B通院１１．５＿０．５*_11・２人),0)*(1+_11・B夜間)),0)*_11・初任),0)+ROUND((ROUND((ROUND((_11_C通院１１．５＿０．５＿０．５*_11・２人),0)*(1+_11・C深夜)),0)*_11・初任),0)</f>
        <v>569</v>
      </c>
      <c r="Y148" s="48"/>
    </row>
    <row r="149" spans="1:25" ht="16.5" customHeight="1" x14ac:dyDescent="0.15">
      <c r="A149" s="41">
        <v>11</v>
      </c>
      <c r="B149" s="41" t="s">
        <v>6539</v>
      </c>
      <c r="C149" s="74" t="s">
        <v>6540</v>
      </c>
      <c r="D149" s="72"/>
      <c r="E149" s="99"/>
      <c r="F149" s="72"/>
      <c r="G149" s="99"/>
      <c r="H149" s="72"/>
      <c r="I149" s="99"/>
      <c r="J149" s="705" t="s">
        <v>400</v>
      </c>
      <c r="K149" s="49" t="s">
        <v>398</v>
      </c>
      <c r="L149" s="50">
        <v>0.7</v>
      </c>
      <c r="M149" s="44"/>
      <c r="N149" s="45"/>
      <c r="O149" s="46"/>
      <c r="P149" s="35"/>
      <c r="R149" s="57"/>
      <c r="S149" s="35"/>
      <c r="U149" s="57"/>
      <c r="V149" s="709"/>
      <c r="W149" s="704"/>
      <c r="X149" s="47">
        <f>ROUND((ROUND((_11_A通院１１．５*_11・基礎１),0)*_11・初任),0)+ROUND((ROUND((ROUND((_11_B通院１１．５＿０．５*_11・基礎１),0)*(1+_11・B夜間)),0)*_11・初任),0)+ROUND((ROUND((ROUND((_11_C通院１１．５＿０．５＿０．５*_11・基礎１),0)*(1+_11・C深夜)),0)*_11・初任),0)</f>
        <v>398</v>
      </c>
      <c r="Y149" s="48"/>
    </row>
    <row r="150" spans="1:25" ht="16.5" customHeight="1" x14ac:dyDescent="0.15">
      <c r="A150" s="41">
        <v>11</v>
      </c>
      <c r="B150" s="41" t="s">
        <v>6541</v>
      </c>
      <c r="C150" s="74" t="s">
        <v>6542</v>
      </c>
      <c r="D150" s="72"/>
      <c r="E150" s="99"/>
      <c r="F150" s="72"/>
      <c r="G150" s="99"/>
      <c r="H150" s="72"/>
      <c r="I150" s="99"/>
      <c r="J150" s="757"/>
      <c r="K150" s="37"/>
      <c r="L150" s="38"/>
      <c r="M150" s="44" t="s">
        <v>397</v>
      </c>
      <c r="N150" s="45" t="s">
        <v>398</v>
      </c>
      <c r="O150" s="46">
        <v>1</v>
      </c>
      <c r="P150" s="35"/>
      <c r="R150" s="57"/>
      <c r="S150" s="35"/>
      <c r="U150" s="57"/>
      <c r="V150" s="55" t="s">
        <v>398</v>
      </c>
      <c r="W150" s="38">
        <f>_11・初任</f>
        <v>0.7</v>
      </c>
      <c r="X150" s="47">
        <f>ROUND((ROUND((ROUND((_11_A通院１１．５*_11・基礎１),0)*_11・２人),0)*_11・初任),0)+ROUND((ROUND((ROUND((ROUND((_11_B通院１１．５＿０．５*_11・基礎１),0)*_11・２人),0)*(1+_11・B夜間)),0)*_11・初任),0)+ROUND((ROUND((ROUND((ROUND((_11_C通院１１．５＿０．５＿０．５*_11・基礎１),0)*_11・２人),0)*(1+_11・C深夜)),0)*_11・初任),0)</f>
        <v>398</v>
      </c>
      <c r="Y150" s="48"/>
    </row>
    <row r="151" spans="1:25" ht="16.5" customHeight="1" x14ac:dyDescent="0.15">
      <c r="A151" s="41">
        <v>11</v>
      </c>
      <c r="B151" s="41">
        <v>3815</v>
      </c>
      <c r="C151" s="74" t="s">
        <v>6543</v>
      </c>
      <c r="D151" s="72"/>
      <c r="E151" s="99"/>
      <c r="F151" s="72"/>
      <c r="G151" s="99"/>
      <c r="H151" s="707" t="s">
        <v>3787</v>
      </c>
      <c r="I151" s="717"/>
      <c r="J151" s="53"/>
      <c r="K151" s="49"/>
      <c r="L151" s="50"/>
      <c r="M151" s="44"/>
      <c r="N151" s="45"/>
      <c r="O151" s="46"/>
      <c r="P151" s="35"/>
      <c r="R151" s="57"/>
      <c r="S151" s="35"/>
      <c r="U151" s="57"/>
      <c r="V151" s="53"/>
      <c r="W151" s="49"/>
      <c r="X151" s="47">
        <f>_11_A通院１１．５+ROUND((_11_B通院１１．５＿０．５*(1+_11・B夜間)),0)+ROUND((_11_C通院１１．５＿０．５＿１．０*(1+_11・C深夜)),0)</f>
        <v>938</v>
      </c>
      <c r="Y151" s="48"/>
    </row>
    <row r="152" spans="1:25" ht="16.5" customHeight="1" x14ac:dyDescent="0.15">
      <c r="A152" s="41">
        <v>11</v>
      </c>
      <c r="B152" s="41">
        <v>3816</v>
      </c>
      <c r="C152" s="74" t="s">
        <v>6544</v>
      </c>
      <c r="D152" s="72"/>
      <c r="E152" s="99"/>
      <c r="F152" s="72"/>
      <c r="G152" s="99"/>
      <c r="H152" s="709"/>
      <c r="I152" s="718"/>
      <c r="J152" s="43"/>
      <c r="K152" s="37"/>
      <c r="L152" s="38"/>
      <c r="M152" s="44" t="s">
        <v>397</v>
      </c>
      <c r="N152" s="45" t="s">
        <v>398</v>
      </c>
      <c r="O152" s="46">
        <v>1</v>
      </c>
      <c r="P152" s="35"/>
      <c r="R152" s="57"/>
      <c r="S152" s="35"/>
      <c r="U152" s="57"/>
      <c r="V152" s="35"/>
      <c r="X152" s="47">
        <f>ROUND((_11_A通院１１．５*_11・２人),0)+ROUND((ROUND((_11_B通院１１．５＿０．５*_11・２人),0)*(1+_11・B夜間)),0)+ROUND((ROUND((_11_C通院１１．５＿０．５＿１．０*_11・２人),0)*(1+_11・C深夜)),0)</f>
        <v>938</v>
      </c>
      <c r="Y152" s="48"/>
    </row>
    <row r="153" spans="1:25" ht="16.5" customHeight="1" x14ac:dyDescent="0.15">
      <c r="A153" s="41">
        <v>11</v>
      </c>
      <c r="B153" s="41">
        <v>3817</v>
      </c>
      <c r="C153" s="74" t="s">
        <v>6545</v>
      </c>
      <c r="D153" s="72"/>
      <c r="E153" s="99"/>
      <c r="F153" s="72"/>
      <c r="G153" s="99"/>
      <c r="H153" s="709"/>
      <c r="I153" s="718"/>
      <c r="J153" s="705" t="s">
        <v>400</v>
      </c>
      <c r="K153" s="49" t="s">
        <v>398</v>
      </c>
      <c r="L153" s="50">
        <v>0.7</v>
      </c>
      <c r="M153" s="44"/>
      <c r="N153" s="45"/>
      <c r="O153" s="46"/>
      <c r="P153" s="35"/>
      <c r="R153" s="57"/>
      <c r="S153" s="35"/>
      <c r="U153" s="57"/>
      <c r="V153" s="35"/>
      <c r="X153" s="47">
        <f>ROUND((_11_A通院１１．５*_11・基礎１),0)+ROUND((ROUND((_11_B通院１１．５＿０．５*_11・基礎１),0)*(1+_11・B夜間)),0)+ROUND((ROUND((_11_C通院１１．５＿０．５＿１．０*_11・基礎１),0)*(1+_11・C深夜)),0)</f>
        <v>656</v>
      </c>
      <c r="Y153" s="48"/>
    </row>
    <row r="154" spans="1:25" ht="16.5" customHeight="1" x14ac:dyDescent="0.15">
      <c r="A154" s="41">
        <v>11</v>
      </c>
      <c r="B154" s="41">
        <v>3818</v>
      </c>
      <c r="C154" s="74" t="s">
        <v>6546</v>
      </c>
      <c r="D154" s="72"/>
      <c r="E154" s="99"/>
      <c r="F154" s="72"/>
      <c r="G154" s="99"/>
      <c r="H154" s="100">
        <f>_11_C通院１１．５＿０．５＿１．０</f>
        <v>167</v>
      </c>
      <c r="I154" s="12" t="s">
        <v>392</v>
      </c>
      <c r="J154" s="757"/>
      <c r="K154" s="37"/>
      <c r="L154" s="38"/>
      <c r="M154" s="44" t="s">
        <v>397</v>
      </c>
      <c r="N154" s="45" t="s">
        <v>398</v>
      </c>
      <c r="O154" s="46">
        <v>1</v>
      </c>
      <c r="P154" s="35"/>
      <c r="R154" s="57"/>
      <c r="S154" s="35"/>
      <c r="U154" s="57"/>
      <c r="V154" s="43"/>
      <c r="W154" s="37"/>
      <c r="X154" s="47">
        <f>ROUND((ROUND((_11_A通院１１．５*_11・基礎１),0)*_11・２人),0)+ROUND((ROUND((ROUND((_11_B通院１１．５＿０．５*_11・基礎１),0)*_11・２人),0)*(1+_11・B夜間)),0)+ROUND((ROUND((ROUND((_11_C通院１１．５＿０．５＿１．０*_11・基礎１),0)*_11・２人),0)*(1+_11・C深夜)),0)</f>
        <v>656</v>
      </c>
      <c r="Y154" s="48"/>
    </row>
    <row r="155" spans="1:25" ht="16.5" customHeight="1" x14ac:dyDescent="0.15">
      <c r="A155" s="41">
        <v>11</v>
      </c>
      <c r="B155" s="41" t="s">
        <v>6547</v>
      </c>
      <c r="C155" s="74" t="s">
        <v>6548</v>
      </c>
      <c r="D155" s="72"/>
      <c r="E155" s="99"/>
      <c r="F155" s="72"/>
      <c r="G155" s="99"/>
      <c r="H155" s="121"/>
      <c r="I155" s="99"/>
      <c r="J155" s="53"/>
      <c r="K155" s="49"/>
      <c r="L155" s="50"/>
      <c r="M155" s="44"/>
      <c r="N155" s="45"/>
      <c r="O155" s="46"/>
      <c r="P155" s="35"/>
      <c r="R155" s="57"/>
      <c r="S155" s="35"/>
      <c r="U155" s="57"/>
      <c r="V155" s="707" t="s">
        <v>404</v>
      </c>
      <c r="W155" s="708"/>
      <c r="X155" s="47">
        <f>ROUND((_11_A通院１１．５*_11・初任),0)+ROUND((ROUND((_11_B通院１１．５＿０．５*(1+_11・B夜間)),0)*_11・初任),0)+ROUND((ROUND((_11_C通院１１．５＿０．５＿１．０*(1+_11・C深夜)),0)*_11・初任),0)</f>
        <v>657</v>
      </c>
      <c r="Y155" s="48"/>
    </row>
    <row r="156" spans="1:25" ht="16.5" customHeight="1" x14ac:dyDescent="0.15">
      <c r="A156" s="41">
        <v>11</v>
      </c>
      <c r="B156" s="41" t="s">
        <v>6549</v>
      </c>
      <c r="C156" s="74" t="s">
        <v>6550</v>
      </c>
      <c r="D156" s="72"/>
      <c r="E156" s="99"/>
      <c r="F156" s="72"/>
      <c r="G156" s="99"/>
      <c r="H156" s="121"/>
      <c r="I156" s="99"/>
      <c r="J156" s="43"/>
      <c r="K156" s="37"/>
      <c r="L156" s="38"/>
      <c r="M156" s="44" t="s">
        <v>397</v>
      </c>
      <c r="N156" s="45" t="s">
        <v>398</v>
      </c>
      <c r="O156" s="46">
        <v>1</v>
      </c>
      <c r="P156" s="35"/>
      <c r="R156" s="57"/>
      <c r="S156" s="35"/>
      <c r="U156" s="57"/>
      <c r="V156" s="709"/>
      <c r="W156" s="704"/>
      <c r="X156" s="47">
        <f>ROUND((ROUND((_11_A通院１１．５*_11・２人),0)*_11・初任),0)+ROUND((ROUND((ROUND((_11_B通院１１．５＿０．５*_11・２人),0)*(1+_11・B夜間)),0)*_11・初任),0)+ROUND((ROUND((ROUND((_11_C通院１１．５＿０．５＿１．０*_11・２人),0)*(1+_11・C深夜)),0)*_11・初任),0)</f>
        <v>657</v>
      </c>
      <c r="Y156" s="48"/>
    </row>
    <row r="157" spans="1:25" ht="16.5" customHeight="1" x14ac:dyDescent="0.15">
      <c r="A157" s="41">
        <v>11</v>
      </c>
      <c r="B157" s="41" t="s">
        <v>6551</v>
      </c>
      <c r="C157" s="74" t="s">
        <v>6552</v>
      </c>
      <c r="D157" s="72"/>
      <c r="E157" s="99"/>
      <c r="F157" s="72"/>
      <c r="G157" s="99"/>
      <c r="H157" s="72"/>
      <c r="I157" s="99"/>
      <c r="J157" s="705" t="s">
        <v>400</v>
      </c>
      <c r="K157" s="49" t="s">
        <v>398</v>
      </c>
      <c r="L157" s="50">
        <v>0.7</v>
      </c>
      <c r="M157" s="44"/>
      <c r="N157" s="45"/>
      <c r="O157" s="46"/>
      <c r="P157" s="35"/>
      <c r="R157" s="57"/>
      <c r="S157" s="35"/>
      <c r="U157" s="57"/>
      <c r="V157" s="709"/>
      <c r="W157" s="704"/>
      <c r="X157" s="47">
        <f>ROUND((ROUND((_11_A通院１１．５*_11・基礎１),0)*_11・初任),0)+ROUND((ROUND((ROUND((_11_B通院１１．５＿０．５*_11・基礎１),0)*(1+_11・B夜間)),0)*_11・初任),0)+ROUND((ROUND((ROUND((_11_C通院１１．５＿０．５＿１．０*_11・基礎１),0)*(1+_11・C深夜)),0)*_11・初任),0)</f>
        <v>459</v>
      </c>
      <c r="Y157" s="48"/>
    </row>
    <row r="158" spans="1:25" ht="16.5" customHeight="1" x14ac:dyDescent="0.15">
      <c r="A158" s="41">
        <v>11</v>
      </c>
      <c r="B158" s="41" t="s">
        <v>6553</v>
      </c>
      <c r="C158" s="74" t="s">
        <v>6554</v>
      </c>
      <c r="D158" s="72"/>
      <c r="E158" s="99"/>
      <c r="F158" s="72"/>
      <c r="G158" s="99"/>
      <c r="H158" s="72"/>
      <c r="I158" s="99"/>
      <c r="J158" s="757"/>
      <c r="K158" s="37"/>
      <c r="L158" s="38"/>
      <c r="M158" s="44" t="s">
        <v>397</v>
      </c>
      <c r="N158" s="45" t="s">
        <v>398</v>
      </c>
      <c r="O158" s="46">
        <v>1</v>
      </c>
      <c r="P158" s="35"/>
      <c r="R158" s="57"/>
      <c r="S158" s="35"/>
      <c r="U158" s="57"/>
      <c r="V158" s="55" t="s">
        <v>398</v>
      </c>
      <c r="W158" s="38">
        <f>_11・初任</f>
        <v>0.7</v>
      </c>
      <c r="X158" s="47">
        <f>ROUND((ROUND((ROUND((_11_A通院１１．５*_11・基礎１),0)*_11・２人),0)*_11・初任),0)+ROUND((ROUND((ROUND((ROUND((_11_B通院１１．５＿０．５*_11・基礎１),0)*_11・２人),0)*(1+_11・B夜間)),0)*_11・初任),0)+ROUND((ROUND((ROUND((ROUND((_11_C通院１１．５＿０．５＿１．０*_11・基礎１),0)*_11・２人),0)*(1+_11・C深夜)),0)*_11・初任),0)</f>
        <v>459</v>
      </c>
      <c r="Y158" s="48"/>
    </row>
    <row r="159" spans="1:25" ht="16.5" customHeight="1" x14ac:dyDescent="0.15">
      <c r="A159" s="41">
        <v>11</v>
      </c>
      <c r="B159" s="41">
        <v>3819</v>
      </c>
      <c r="C159" s="74" t="s">
        <v>6555</v>
      </c>
      <c r="D159" s="707" t="s">
        <v>6556</v>
      </c>
      <c r="E159" s="717"/>
      <c r="F159" s="707" t="s">
        <v>3711</v>
      </c>
      <c r="G159" s="717"/>
      <c r="H159" s="707" t="s">
        <v>3780</v>
      </c>
      <c r="I159" s="717"/>
      <c r="J159" s="53"/>
      <c r="K159" s="49"/>
      <c r="L159" s="50"/>
      <c r="M159" s="44"/>
      <c r="N159" s="45"/>
      <c r="O159" s="46"/>
      <c r="P159" s="35"/>
      <c r="R159" s="57"/>
      <c r="S159" s="35"/>
      <c r="U159" s="57"/>
      <c r="V159" s="53"/>
      <c r="W159" s="49"/>
      <c r="X159" s="47">
        <f>_11_A通院１２．０+ROUND((_11_B通院１２．０＿０．５*(1+_11・B夜間)),0)+ROUND((_11_C通院１２．０＿０．５＿０．５*(1+_11・C深夜)),0)</f>
        <v>896</v>
      </c>
      <c r="Y159" s="48"/>
    </row>
    <row r="160" spans="1:25" ht="16.5" customHeight="1" x14ac:dyDescent="0.15">
      <c r="A160" s="41">
        <v>11</v>
      </c>
      <c r="B160" s="41">
        <v>3820</v>
      </c>
      <c r="C160" s="74" t="s">
        <v>6557</v>
      </c>
      <c r="D160" s="709"/>
      <c r="E160" s="718"/>
      <c r="F160" s="709"/>
      <c r="G160" s="718"/>
      <c r="H160" s="709"/>
      <c r="I160" s="718"/>
      <c r="J160" s="43"/>
      <c r="K160" s="37"/>
      <c r="L160" s="38"/>
      <c r="M160" s="44" t="s">
        <v>397</v>
      </c>
      <c r="N160" s="45" t="s">
        <v>398</v>
      </c>
      <c r="O160" s="46">
        <v>1</v>
      </c>
      <c r="P160" s="35"/>
      <c r="R160" s="57"/>
      <c r="S160" s="35"/>
      <c r="U160" s="57"/>
      <c r="V160" s="35"/>
      <c r="X160" s="47">
        <f>ROUND((_11_A通院１２．０*_11・２人),0)+ROUND((ROUND((_11_B通院１２．０＿０．５*_11・２人),0)*(1+_11・B夜間)),0)+ROUND((ROUND((_11_C通院１２．０＿０．５＿０．５*_11・２人),0)*(1+_11・C深夜)),0)</f>
        <v>896</v>
      </c>
      <c r="Y160" s="48"/>
    </row>
    <row r="161" spans="1:25" ht="16.5" customHeight="1" x14ac:dyDescent="0.15">
      <c r="A161" s="41">
        <v>11</v>
      </c>
      <c r="B161" s="41">
        <v>3821</v>
      </c>
      <c r="C161" s="74" t="s">
        <v>6558</v>
      </c>
      <c r="D161" s="709"/>
      <c r="E161" s="718"/>
      <c r="F161" s="709"/>
      <c r="G161" s="718"/>
      <c r="H161" s="709"/>
      <c r="I161" s="718"/>
      <c r="J161" s="705" t="s">
        <v>400</v>
      </c>
      <c r="K161" s="49" t="s">
        <v>398</v>
      </c>
      <c r="L161" s="50">
        <v>0.7</v>
      </c>
      <c r="M161" s="44"/>
      <c r="N161" s="45"/>
      <c r="O161" s="46"/>
      <c r="P161" s="35"/>
      <c r="R161" s="57"/>
      <c r="S161" s="35"/>
      <c r="U161" s="57"/>
      <c r="V161" s="35"/>
      <c r="X161" s="47">
        <f>ROUND((_11_A通院１２．０*_11・基礎１),0)+ROUND((ROUND((_11_B通院１２．０＿０．５*_11・基礎１),0)*(1+_11・B夜間)),0)+ROUND((ROUND((_11_C通院１２．０＿０．５＿０．５*_11・基礎１),0)*(1+_11・C深夜)),0)</f>
        <v>627</v>
      </c>
      <c r="Y161" s="48"/>
    </row>
    <row r="162" spans="1:25" ht="16.5" customHeight="1" x14ac:dyDescent="0.15">
      <c r="A162" s="41">
        <v>11</v>
      </c>
      <c r="B162" s="41">
        <v>3822</v>
      </c>
      <c r="C162" s="74" t="s">
        <v>6559</v>
      </c>
      <c r="D162" s="100">
        <f>_11_A通院１２．０</f>
        <v>666</v>
      </c>
      <c r="E162" s="12" t="s">
        <v>392</v>
      </c>
      <c r="F162" s="100">
        <f>_11_B通院１２．０＿０．５</f>
        <v>84</v>
      </c>
      <c r="G162" s="12" t="s">
        <v>392</v>
      </c>
      <c r="H162" s="100">
        <f>_11_C通院１２．０＿０．５＿０．５</f>
        <v>83</v>
      </c>
      <c r="I162" s="12" t="s">
        <v>392</v>
      </c>
      <c r="J162" s="757"/>
      <c r="K162" s="37"/>
      <c r="L162" s="38"/>
      <c r="M162" s="44" t="s">
        <v>397</v>
      </c>
      <c r="N162" s="45" t="s">
        <v>398</v>
      </c>
      <c r="O162" s="46">
        <v>1</v>
      </c>
      <c r="P162" s="35"/>
      <c r="R162" s="57"/>
      <c r="S162" s="35"/>
      <c r="U162" s="57"/>
      <c r="V162" s="43"/>
      <c r="W162" s="37"/>
      <c r="X162" s="47">
        <f>ROUND((ROUND((_11_A通院１２．０*_11・基礎１),0)*_11・２人),0)+ROUND((ROUND((ROUND((_11_B通院１２．０＿０．５*_11・基礎１),0)*_11・２人),0)*(1+_11・B夜間)),0)+ROUND((ROUND((ROUND((_11_C通院１２．０＿０．５＿０．５*_11・基礎１),0)*_11・２人),0)*(1+_11・C深夜)),0)</f>
        <v>627</v>
      </c>
      <c r="Y162" s="48"/>
    </row>
    <row r="163" spans="1:25" ht="16.5" customHeight="1" x14ac:dyDescent="0.15">
      <c r="A163" s="41">
        <v>11</v>
      </c>
      <c r="B163" s="41" t="s">
        <v>6560</v>
      </c>
      <c r="C163" s="74" t="s">
        <v>6561</v>
      </c>
      <c r="D163" s="121"/>
      <c r="E163" s="99"/>
      <c r="F163" s="72"/>
      <c r="G163" s="99"/>
      <c r="H163" s="121"/>
      <c r="I163" s="99"/>
      <c r="J163" s="53"/>
      <c r="K163" s="49"/>
      <c r="L163" s="50"/>
      <c r="M163" s="44"/>
      <c r="N163" s="45"/>
      <c r="O163" s="46"/>
      <c r="P163" s="35"/>
      <c r="R163" s="57"/>
      <c r="S163" s="35"/>
      <c r="U163" s="57"/>
      <c r="V163" s="707" t="s">
        <v>404</v>
      </c>
      <c r="W163" s="708"/>
      <c r="X163" s="47">
        <f>ROUND((_11_A通院１２．０*_11・初任),0)+ROUND((ROUND((_11_B通院１２．０＿０．５*(1+_11・B夜間)),0)*_11・初任),0)+ROUND((ROUND((_11_C通院１２．０＿０．５＿０．５*(1+_11・C深夜)),0)*_11・初任),0)</f>
        <v>628</v>
      </c>
      <c r="Y163" s="48"/>
    </row>
    <row r="164" spans="1:25" ht="16.5" customHeight="1" x14ac:dyDescent="0.15">
      <c r="A164" s="41">
        <v>11</v>
      </c>
      <c r="B164" s="41" t="s">
        <v>6562</v>
      </c>
      <c r="C164" s="74" t="s">
        <v>6563</v>
      </c>
      <c r="D164" s="121"/>
      <c r="E164" s="99"/>
      <c r="F164" s="72"/>
      <c r="G164" s="99"/>
      <c r="H164" s="121"/>
      <c r="I164" s="99"/>
      <c r="J164" s="43"/>
      <c r="K164" s="37"/>
      <c r="L164" s="38"/>
      <c r="M164" s="44" t="s">
        <v>397</v>
      </c>
      <c r="N164" s="45" t="s">
        <v>398</v>
      </c>
      <c r="O164" s="46">
        <v>1</v>
      </c>
      <c r="P164" s="35"/>
      <c r="R164" s="57"/>
      <c r="S164" s="35"/>
      <c r="U164" s="57"/>
      <c r="V164" s="709"/>
      <c r="W164" s="704"/>
      <c r="X164" s="47">
        <f>ROUND((ROUND((_11_A通院１２．０*_11・２人),0)*_11・初任),0)+ROUND((ROUND((ROUND((_11_B通院１２．０＿０．５*_11・２人),0)*(1+_11・B夜間)),0)*_11・初任),0)+ROUND((ROUND((ROUND((_11_C通院１２．０＿０．５＿０．５*_11・２人),0)*(1+_11・C深夜)),0)*_11・初任),0)</f>
        <v>628</v>
      </c>
      <c r="Y164" s="48"/>
    </row>
    <row r="165" spans="1:25" ht="16.5" customHeight="1" x14ac:dyDescent="0.15">
      <c r="A165" s="41">
        <v>11</v>
      </c>
      <c r="B165" s="41" t="s">
        <v>6564</v>
      </c>
      <c r="C165" s="74" t="s">
        <v>6565</v>
      </c>
      <c r="D165" s="72"/>
      <c r="E165" s="99"/>
      <c r="F165" s="72"/>
      <c r="G165" s="99"/>
      <c r="H165" s="72"/>
      <c r="I165" s="99"/>
      <c r="J165" s="705" t="s">
        <v>400</v>
      </c>
      <c r="K165" s="49" t="s">
        <v>398</v>
      </c>
      <c r="L165" s="50">
        <v>0.7</v>
      </c>
      <c r="M165" s="44"/>
      <c r="N165" s="45"/>
      <c r="O165" s="46"/>
      <c r="P165" s="35"/>
      <c r="R165" s="57"/>
      <c r="S165" s="35"/>
      <c r="U165" s="57"/>
      <c r="V165" s="709"/>
      <c r="W165" s="704"/>
      <c r="X165" s="47">
        <f>ROUND((ROUND((_11_A通院１２．０*_11・基礎１),0)*_11・初任),0)+ROUND((ROUND((ROUND((_11_B通院１２．０＿０．５*_11・基礎１),0)*(1+_11・B夜間)),0)*_11・初任),0)+ROUND((ROUND((ROUND((_11_C通院１２．０＿０．５＿０．５*_11・基礎１),0)*(1+_11・C深夜)),0)*_11・初任),0)</f>
        <v>439</v>
      </c>
      <c r="Y165" s="48"/>
    </row>
    <row r="166" spans="1:25" ht="16.5" customHeight="1" x14ac:dyDescent="0.15">
      <c r="A166" s="41">
        <v>11</v>
      </c>
      <c r="B166" s="41" t="s">
        <v>6566</v>
      </c>
      <c r="C166" s="74" t="s">
        <v>6567</v>
      </c>
      <c r="D166" s="122"/>
      <c r="E166" s="111"/>
      <c r="F166" s="122"/>
      <c r="G166" s="111"/>
      <c r="H166" s="122"/>
      <c r="I166" s="111"/>
      <c r="J166" s="757"/>
      <c r="K166" s="37"/>
      <c r="L166" s="38"/>
      <c r="M166" s="44" t="s">
        <v>397</v>
      </c>
      <c r="N166" s="45" t="s">
        <v>398</v>
      </c>
      <c r="O166" s="46">
        <v>1</v>
      </c>
      <c r="P166" s="43"/>
      <c r="Q166" s="38"/>
      <c r="R166" s="79"/>
      <c r="S166" s="43"/>
      <c r="T166" s="38"/>
      <c r="U166" s="79"/>
      <c r="V166" s="55" t="s">
        <v>398</v>
      </c>
      <c r="W166" s="38">
        <f>_11・初任</f>
        <v>0.7</v>
      </c>
      <c r="X166" s="47">
        <f>ROUND((ROUND((ROUND((_11_A通院１２．０*_11・基礎１),0)*_11・２人),0)*_11・初任),0)+ROUND((ROUND((ROUND((ROUND((_11_B通院１２．０＿０．５*_11・基礎１),0)*_11・２人),0)*(1+_11・B夜間)),0)*_11・初任),0)+ROUND((ROUND((ROUND((ROUND((_11_C通院１２．０＿０．５＿０．５*_11・基礎１),0)*_11・２人),0)*(1+_11・C深夜)),0)*_11・初任),0)</f>
        <v>439</v>
      </c>
      <c r="Y166" s="63"/>
    </row>
    <row r="167" spans="1:25" ht="16.5" customHeight="1" x14ac:dyDescent="0.15"/>
  </sheetData>
  <mergeCells count="103">
    <mergeCell ref="D159:E161"/>
    <mergeCell ref="F159:G161"/>
    <mergeCell ref="H159:I161"/>
    <mergeCell ref="J161:J162"/>
    <mergeCell ref="V163:W165"/>
    <mergeCell ref="J165:J166"/>
    <mergeCell ref="V147:W149"/>
    <mergeCell ref="J149:J150"/>
    <mergeCell ref="H151:I153"/>
    <mergeCell ref="J153:J154"/>
    <mergeCell ref="V155:W157"/>
    <mergeCell ref="J157:J158"/>
    <mergeCell ref="H135:I137"/>
    <mergeCell ref="J137:J138"/>
    <mergeCell ref="V139:W141"/>
    <mergeCell ref="J141:J142"/>
    <mergeCell ref="D143:E145"/>
    <mergeCell ref="F143:G145"/>
    <mergeCell ref="H143:I145"/>
    <mergeCell ref="J145:J146"/>
    <mergeCell ref="V123:W125"/>
    <mergeCell ref="J125:J126"/>
    <mergeCell ref="H127:I129"/>
    <mergeCell ref="J129:J130"/>
    <mergeCell ref="V131:W133"/>
    <mergeCell ref="J133:J134"/>
    <mergeCell ref="V115:W117"/>
    <mergeCell ref="J117:J118"/>
    <mergeCell ref="D119:E121"/>
    <mergeCell ref="F119:G121"/>
    <mergeCell ref="H119:I121"/>
    <mergeCell ref="J121:J122"/>
    <mergeCell ref="H103:I105"/>
    <mergeCell ref="J105:J106"/>
    <mergeCell ref="V107:W109"/>
    <mergeCell ref="J109:J110"/>
    <mergeCell ref="H111:I113"/>
    <mergeCell ref="J113:J114"/>
    <mergeCell ref="V91:W93"/>
    <mergeCell ref="J93:J94"/>
    <mergeCell ref="H95:I97"/>
    <mergeCell ref="J97:J98"/>
    <mergeCell ref="V99:W101"/>
    <mergeCell ref="J101:J102"/>
    <mergeCell ref="D87:E89"/>
    <mergeCell ref="F87:G89"/>
    <mergeCell ref="H87:I89"/>
    <mergeCell ref="R88:R89"/>
    <mergeCell ref="U88:U89"/>
    <mergeCell ref="J89:J90"/>
    <mergeCell ref="D79:E81"/>
    <mergeCell ref="F79:G81"/>
    <mergeCell ref="H79:I81"/>
    <mergeCell ref="J81:J82"/>
    <mergeCell ref="V83:W85"/>
    <mergeCell ref="J85:J86"/>
    <mergeCell ref="V67:W69"/>
    <mergeCell ref="J69:J70"/>
    <mergeCell ref="H71:I73"/>
    <mergeCell ref="J73:J74"/>
    <mergeCell ref="V75:W77"/>
    <mergeCell ref="J77:J78"/>
    <mergeCell ref="H55:I57"/>
    <mergeCell ref="J57:J58"/>
    <mergeCell ref="V59:W61"/>
    <mergeCell ref="J61:J62"/>
    <mergeCell ref="D63:E65"/>
    <mergeCell ref="F63:G65"/>
    <mergeCell ref="H63:I65"/>
    <mergeCell ref="J65:J66"/>
    <mergeCell ref="V43:W45"/>
    <mergeCell ref="J45:J46"/>
    <mergeCell ref="H47:I49"/>
    <mergeCell ref="J49:J50"/>
    <mergeCell ref="V51:W53"/>
    <mergeCell ref="J53:J54"/>
    <mergeCell ref="V35:W37"/>
    <mergeCell ref="J37:J38"/>
    <mergeCell ref="D39:E41"/>
    <mergeCell ref="F39:G41"/>
    <mergeCell ref="H39:I41"/>
    <mergeCell ref="J41:J42"/>
    <mergeCell ref="H23:I25"/>
    <mergeCell ref="J25:J26"/>
    <mergeCell ref="V27:W29"/>
    <mergeCell ref="J29:J30"/>
    <mergeCell ref="D31:E33"/>
    <mergeCell ref="F31:G33"/>
    <mergeCell ref="H31:I33"/>
    <mergeCell ref="J33:J34"/>
    <mergeCell ref="V11:W13"/>
    <mergeCell ref="J13:J14"/>
    <mergeCell ref="F15:G17"/>
    <mergeCell ref="H15:I17"/>
    <mergeCell ref="J17:J18"/>
    <mergeCell ref="V19:W21"/>
    <mergeCell ref="J21:J22"/>
    <mergeCell ref="D7:E9"/>
    <mergeCell ref="F7:G9"/>
    <mergeCell ref="H7:I9"/>
    <mergeCell ref="R8:R9"/>
    <mergeCell ref="U8:U9"/>
    <mergeCell ref="J9:J10"/>
  </mergeCells>
  <phoneticPr fontId="1"/>
  <printOptions horizontalCentered="1"/>
  <pageMargins left="0.70866141732283472" right="0.70866141732283472" top="0.74803149606299213" bottom="0.74803149606299213" header="0.31496062992125984" footer="0.31496062992125984"/>
  <pageSetup paperSize="9" scale="44" fitToHeight="0" orientation="portrait" r:id="rId1"/>
  <headerFooter>
    <oddHeader>&amp;R&amp;"ＭＳ Ｐゴシック"&amp;9居宅介護</oddHeader>
    <oddFooter>&amp;C&amp;"ＭＳ Ｐゴシック"&amp;14&amp;P</oddFooter>
  </headerFooter>
  <rowBreaks count="1" manualBreakCount="1">
    <brk id="86" max="24"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pageSetUpPr fitToPage="1"/>
  </sheetPr>
  <dimension ref="A1:Y16"/>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8.5" style="10" bestFit="1" customWidth="1"/>
    <col min="4" max="4" width="4.875" style="10" customWidth="1"/>
    <col min="5" max="5" width="4.5" style="117" bestFit="1" customWidth="1"/>
    <col min="6" max="6" width="4.875" style="10" customWidth="1"/>
    <col min="7" max="7" width="4.5" style="117" bestFit="1" customWidth="1"/>
    <col min="8" max="8" width="4.875" style="10" customWidth="1"/>
    <col min="9" max="9" width="4.5" style="117" bestFit="1" customWidth="1"/>
    <col min="10" max="10" width="11.875" style="12" customWidth="1"/>
    <col min="11" max="11" width="3.5" style="12" bestFit="1" customWidth="1"/>
    <col min="12" max="12" width="4.5" style="13" bestFit="1" customWidth="1"/>
    <col min="13" max="13" width="24.875" style="14" bestFit="1" customWidth="1"/>
    <col min="14" max="14" width="3.5" style="12" bestFit="1" customWidth="1"/>
    <col min="15" max="15" width="5.5" style="13" bestFit="1" customWidth="1"/>
    <col min="16" max="16" width="3.5" style="12" bestFit="1" customWidth="1"/>
    <col min="17" max="17" width="4.5" style="13" bestFit="1" customWidth="1"/>
    <col min="18" max="18" width="5.5" style="12" bestFit="1" customWidth="1"/>
    <col min="19" max="19" width="3.5" style="12" bestFit="1" customWidth="1"/>
    <col min="20" max="20" width="4.5" style="13" bestFit="1" customWidth="1"/>
    <col min="21" max="21" width="5.5" style="12" bestFit="1" customWidth="1"/>
    <col min="22" max="22" width="9.875" style="12" customWidth="1"/>
    <col min="23" max="23" width="4.5" style="12" bestFit="1" customWidth="1"/>
    <col min="24" max="24" width="7.125" style="15" customWidth="1"/>
    <col min="25" max="25" width="8.5" style="16" customWidth="1"/>
    <col min="26" max="16384" width="8.875" style="12"/>
  </cols>
  <sheetData>
    <row r="1" spans="1:25" ht="17.100000000000001" customHeight="1" x14ac:dyDescent="0.15"/>
    <row r="2" spans="1:25" ht="17.100000000000001" customHeight="1" x14ac:dyDescent="0.15"/>
    <row r="3" spans="1:25" ht="17.100000000000001" customHeight="1" x14ac:dyDescent="0.15"/>
    <row r="4" spans="1:25" ht="17.100000000000001" customHeight="1" x14ac:dyDescent="0.15">
      <c r="B4" s="17" t="s">
        <v>6568</v>
      </c>
      <c r="D4" s="71"/>
    </row>
    <row r="5" spans="1:25" ht="16.5" customHeight="1" x14ac:dyDescent="0.15">
      <c r="A5" s="19" t="s">
        <v>384</v>
      </c>
      <c r="B5" s="20"/>
      <c r="C5" s="21" t="s">
        <v>385</v>
      </c>
      <c r="D5" s="23" t="s">
        <v>386</v>
      </c>
      <c r="E5" s="118"/>
      <c r="F5" s="23"/>
      <c r="G5" s="118"/>
      <c r="H5" s="23"/>
      <c r="I5" s="118"/>
      <c r="J5" s="23"/>
      <c r="K5" s="23"/>
      <c r="L5" s="24"/>
      <c r="M5" s="23"/>
      <c r="N5" s="23"/>
      <c r="O5" s="24"/>
      <c r="P5" s="23"/>
      <c r="Q5" s="24"/>
      <c r="R5" s="23"/>
      <c r="S5" s="23"/>
      <c r="T5" s="24"/>
      <c r="U5" s="23"/>
      <c r="V5" s="23"/>
      <c r="W5" s="23"/>
      <c r="X5" s="25" t="s">
        <v>387</v>
      </c>
      <c r="Y5" s="21" t="s">
        <v>388</v>
      </c>
    </row>
    <row r="6" spans="1:25" ht="16.5" customHeight="1" x14ac:dyDescent="0.15">
      <c r="A6" s="26" t="s">
        <v>389</v>
      </c>
      <c r="B6" s="26" t="s">
        <v>390</v>
      </c>
      <c r="C6" s="27"/>
      <c r="D6" s="726" t="s">
        <v>1032</v>
      </c>
      <c r="E6" s="727"/>
      <c r="F6" s="29"/>
      <c r="G6" s="120"/>
      <c r="H6" s="726" t="s">
        <v>1033</v>
      </c>
      <c r="I6" s="727"/>
      <c r="J6" s="29"/>
      <c r="K6" s="29"/>
      <c r="L6" s="30"/>
      <c r="M6" s="29"/>
      <c r="N6" s="29"/>
      <c r="O6" s="30"/>
      <c r="P6" s="29"/>
      <c r="Q6" s="30"/>
      <c r="R6" s="29"/>
      <c r="S6" s="29"/>
      <c r="T6" s="30"/>
      <c r="U6" s="29"/>
      <c r="V6" s="29"/>
      <c r="W6" s="29"/>
      <c r="X6" s="31" t="s">
        <v>391</v>
      </c>
      <c r="Y6" s="32" t="s">
        <v>392</v>
      </c>
    </row>
    <row r="7" spans="1:25" ht="16.5" customHeight="1" x14ac:dyDescent="0.15">
      <c r="A7" s="33">
        <v>11</v>
      </c>
      <c r="B7" s="33">
        <v>3823</v>
      </c>
      <c r="C7" s="34" t="s">
        <v>6569</v>
      </c>
      <c r="D7" s="709" t="s">
        <v>4640</v>
      </c>
      <c r="E7" s="718"/>
      <c r="F7" s="709" t="s">
        <v>2661</v>
      </c>
      <c r="G7" s="718"/>
      <c r="H7" s="709" t="s">
        <v>3711</v>
      </c>
      <c r="I7" s="718"/>
      <c r="J7" s="35"/>
      <c r="M7" s="36"/>
      <c r="N7" s="37"/>
      <c r="O7" s="38"/>
      <c r="P7" s="35" t="s">
        <v>1227</v>
      </c>
      <c r="R7" s="57"/>
      <c r="S7" s="35" t="s">
        <v>6570</v>
      </c>
      <c r="U7" s="57"/>
      <c r="V7" s="35"/>
      <c r="X7" s="39">
        <f>ROUND((_11_A通院１０．５*(1+_11・A早朝)),0)+_11_B通院１０．５＿２．０+ROUND((_11_C通院１０．５＿２．０＿０．５*(1+_11・C夜間)),0)</f>
        <v>918</v>
      </c>
      <c r="Y7" s="40" t="s">
        <v>395</v>
      </c>
    </row>
    <row r="8" spans="1:25" ht="16.5" customHeight="1" x14ac:dyDescent="0.15">
      <c r="A8" s="41">
        <v>11</v>
      </c>
      <c r="B8" s="41">
        <v>3824</v>
      </c>
      <c r="C8" s="74" t="s">
        <v>6571</v>
      </c>
      <c r="D8" s="709"/>
      <c r="E8" s="718"/>
      <c r="F8" s="709"/>
      <c r="G8" s="718"/>
      <c r="H8" s="709"/>
      <c r="I8" s="718"/>
      <c r="J8" s="43"/>
      <c r="K8" s="37"/>
      <c r="L8" s="38"/>
      <c r="M8" s="44" t="s">
        <v>397</v>
      </c>
      <c r="N8" s="45" t="s">
        <v>398</v>
      </c>
      <c r="O8" s="46">
        <v>1</v>
      </c>
      <c r="P8" s="35" t="s">
        <v>398</v>
      </c>
      <c r="Q8" s="13">
        <v>0.25</v>
      </c>
      <c r="R8" s="728" t="s">
        <v>676</v>
      </c>
      <c r="S8" s="35" t="s">
        <v>398</v>
      </c>
      <c r="T8" s="13">
        <v>0.25</v>
      </c>
      <c r="U8" s="728" t="s">
        <v>676</v>
      </c>
      <c r="V8" s="35"/>
      <c r="X8" s="47">
        <f>ROUND((ROUND((_11_A通院１０．５*_11・２人),0)*(1+_11・A早朝)),0)+ROUND((_11_B通院１０．５＿２．０*_11・２人),0)+ROUND((ROUND((_11_C通院１０．５＿２．０＿０．５*_11・２人),0)*(1+_11・C夜間)),0)</f>
        <v>918</v>
      </c>
      <c r="Y8" s="48"/>
    </row>
    <row r="9" spans="1:25" ht="16.5" customHeight="1" x14ac:dyDescent="0.15">
      <c r="A9" s="41">
        <v>11</v>
      </c>
      <c r="B9" s="41">
        <v>3825</v>
      </c>
      <c r="C9" s="74" t="s">
        <v>6572</v>
      </c>
      <c r="D9" s="709"/>
      <c r="E9" s="718"/>
      <c r="F9" s="709"/>
      <c r="G9" s="718"/>
      <c r="H9" s="709"/>
      <c r="I9" s="718"/>
      <c r="J9" s="752" t="s">
        <v>400</v>
      </c>
      <c r="K9" s="49" t="s">
        <v>398</v>
      </c>
      <c r="L9" s="50">
        <v>0.7</v>
      </c>
      <c r="M9" s="44"/>
      <c r="N9" s="45"/>
      <c r="O9" s="46"/>
      <c r="P9" s="35"/>
      <c r="R9" s="728"/>
      <c r="S9" s="35"/>
      <c r="U9" s="728"/>
      <c r="V9" s="35"/>
      <c r="X9" s="47">
        <f>ROUND((ROUND((_11_A通院１０．５*_11・基礎１),0)*(1+_11・A早朝)),0)+ROUND((_11_B通院１０．５＿２．０*_11・基礎１),0)+ROUND((ROUND((_11_C通院１０．５＿２．０＿０．５*_11・基礎１),0)*(1+_11・C夜間)),0)</f>
        <v>644</v>
      </c>
      <c r="Y9" s="48"/>
    </row>
    <row r="10" spans="1:25" ht="16.5" customHeight="1" x14ac:dyDescent="0.15">
      <c r="A10" s="41">
        <v>11</v>
      </c>
      <c r="B10" s="41">
        <v>3826</v>
      </c>
      <c r="C10" s="74" t="s">
        <v>6573</v>
      </c>
      <c r="D10" s="100">
        <f>_11_A通院１０．５</f>
        <v>255</v>
      </c>
      <c r="E10" s="12" t="s">
        <v>392</v>
      </c>
      <c r="F10" s="100">
        <f>_11_B通院１０．５＿２．０</f>
        <v>495</v>
      </c>
      <c r="G10" s="12" t="s">
        <v>392</v>
      </c>
      <c r="H10" s="100">
        <f>_11_C通院１０．５＿２．０＿０．５</f>
        <v>83</v>
      </c>
      <c r="I10" s="12" t="s">
        <v>392</v>
      </c>
      <c r="J10" s="757"/>
      <c r="K10" s="37"/>
      <c r="L10" s="38"/>
      <c r="M10" s="44" t="s">
        <v>397</v>
      </c>
      <c r="N10" s="45" t="s">
        <v>398</v>
      </c>
      <c r="O10" s="46">
        <v>1</v>
      </c>
      <c r="P10" s="35"/>
      <c r="R10" s="57"/>
      <c r="S10" s="35"/>
      <c r="U10" s="57"/>
      <c r="V10" s="43"/>
      <c r="W10" s="37"/>
      <c r="X10" s="47">
        <f>ROUND((ROUND((ROUND((_11_A通院１０．５*_11・基礎１),0)*_11・２人),0)*(1+_11・A早朝)),0)+ROUND((ROUND((_11_B通院１０．５＿２．０*_11・基礎１),0)*_11・２人),0)+ROUND((ROUND((ROUND((_11_C通院１０．５＿２．０＿０．５*_11・基礎１),0)*_11・２人),0)*(1+_11・C夜間)),0)</f>
        <v>644</v>
      </c>
      <c r="Y10" s="48"/>
    </row>
    <row r="11" spans="1:25" ht="16.5" customHeight="1" x14ac:dyDescent="0.15">
      <c r="A11" s="41">
        <v>11</v>
      </c>
      <c r="B11" s="41" t="s">
        <v>6574</v>
      </c>
      <c r="C11" s="74" t="s">
        <v>6575</v>
      </c>
      <c r="D11" s="121"/>
      <c r="E11" s="99"/>
      <c r="F11" s="121"/>
      <c r="G11" s="99"/>
      <c r="H11" s="121"/>
      <c r="I11" s="99"/>
      <c r="J11" s="53"/>
      <c r="K11" s="49"/>
      <c r="L11" s="50"/>
      <c r="M11" s="44"/>
      <c r="N11" s="45"/>
      <c r="O11" s="46"/>
      <c r="P11" s="35"/>
      <c r="R11" s="57"/>
      <c r="S11" s="35"/>
      <c r="U11" s="57"/>
      <c r="V11" s="707" t="s">
        <v>404</v>
      </c>
      <c r="W11" s="717"/>
      <c r="X11" s="47">
        <f>ROUND((ROUND((_11_A通院１０．５*(1+_11・A早朝)),0)*_11・初任),0)+ROUND((_11_B通院１０．５＿２．０*_11・初任),0)+ROUND((ROUND((_11_C通院１０．５＿２．０＿０．５*(1+_11・C夜間)),0)*_11・初任),0)</f>
        <v>643</v>
      </c>
      <c r="Y11" s="48"/>
    </row>
    <row r="12" spans="1:25" ht="16.5" customHeight="1" x14ac:dyDescent="0.15">
      <c r="A12" s="41">
        <v>11</v>
      </c>
      <c r="B12" s="41" t="s">
        <v>6576</v>
      </c>
      <c r="C12" s="74" t="s">
        <v>6577</v>
      </c>
      <c r="D12" s="121"/>
      <c r="E12" s="99"/>
      <c r="F12" s="121"/>
      <c r="G12" s="99"/>
      <c r="H12" s="121"/>
      <c r="I12" s="99"/>
      <c r="J12" s="43"/>
      <c r="K12" s="37"/>
      <c r="L12" s="38"/>
      <c r="M12" s="44" t="s">
        <v>397</v>
      </c>
      <c r="N12" s="45" t="s">
        <v>398</v>
      </c>
      <c r="O12" s="46">
        <v>1</v>
      </c>
      <c r="P12" s="35"/>
      <c r="R12" s="57"/>
      <c r="S12" s="35"/>
      <c r="U12" s="57"/>
      <c r="V12" s="709"/>
      <c r="W12" s="718"/>
      <c r="X12" s="47">
        <f>ROUND((ROUND((ROUND((_11_A通院１０．５*_11・２人),0)*(1+_11・A早朝)),0)*_11・初任),0)+ROUND((ROUND((_11_B通院１０．５＿２．０*_11・２人),0)*_11・初任),0)+ROUND((ROUND((ROUND((_11_C通院１０．５＿２．０＿０．５*_11・２人),0)*(1+_11・C夜間)),0)*_11・初任),0)</f>
        <v>643</v>
      </c>
      <c r="Y12" s="48"/>
    </row>
    <row r="13" spans="1:25" ht="16.5" customHeight="1" x14ac:dyDescent="0.15">
      <c r="A13" s="41">
        <v>11</v>
      </c>
      <c r="B13" s="41" t="s">
        <v>6578</v>
      </c>
      <c r="C13" s="74" t="s">
        <v>6579</v>
      </c>
      <c r="D13" s="72"/>
      <c r="E13" s="99"/>
      <c r="F13" s="72"/>
      <c r="G13" s="99"/>
      <c r="H13" s="72"/>
      <c r="I13" s="99"/>
      <c r="J13" s="755" t="s">
        <v>400</v>
      </c>
      <c r="K13" s="49" t="s">
        <v>398</v>
      </c>
      <c r="L13" s="50">
        <v>0.7</v>
      </c>
      <c r="M13" s="44"/>
      <c r="N13" s="45"/>
      <c r="O13" s="46"/>
      <c r="P13" s="35"/>
      <c r="R13" s="57"/>
      <c r="S13" s="35"/>
      <c r="U13" s="57"/>
      <c r="V13" s="709"/>
      <c r="W13" s="718"/>
      <c r="X13" s="47">
        <f>ROUND((ROUND((ROUND((_11_A通院１０．５*_11・基礎１),0)*(1+_11・A早朝)),0)*_11・初任),0)+ROUND((ROUND((_11_B通院１０．５＿２．０*_11・基礎１),0)*_11・初任),0)+ROUND((ROUND((ROUND((_11_C通院１０．５＿２．０＿０．５*_11・基礎１),0)*(1+_11・C夜間)),0)*_11・初任),0)</f>
        <v>451</v>
      </c>
      <c r="Y13" s="48"/>
    </row>
    <row r="14" spans="1:25" ht="16.5" customHeight="1" x14ac:dyDescent="0.15">
      <c r="A14" s="41">
        <v>11</v>
      </c>
      <c r="B14" s="41" t="s">
        <v>6580</v>
      </c>
      <c r="C14" s="74" t="s">
        <v>6581</v>
      </c>
      <c r="D14" s="122"/>
      <c r="E14" s="111"/>
      <c r="F14" s="122"/>
      <c r="G14" s="111"/>
      <c r="H14" s="122"/>
      <c r="I14" s="111"/>
      <c r="J14" s="757"/>
      <c r="K14" s="37"/>
      <c r="L14" s="38"/>
      <c r="M14" s="44" t="s">
        <v>397</v>
      </c>
      <c r="N14" s="45" t="s">
        <v>398</v>
      </c>
      <c r="O14" s="46">
        <v>1</v>
      </c>
      <c r="P14" s="43"/>
      <c r="Q14" s="38"/>
      <c r="R14" s="79"/>
      <c r="S14" s="43"/>
      <c r="T14" s="38"/>
      <c r="U14" s="79"/>
      <c r="V14" s="55" t="s">
        <v>398</v>
      </c>
      <c r="W14" s="38">
        <f>_11・初任</f>
        <v>0.7</v>
      </c>
      <c r="X14" s="47">
        <f>ROUND((ROUND((ROUND((ROUND((_11_A通院１０．５*_11・基礎１),0)*_11・２人),0)*(1+_11・A早朝)),0)*_11・初任),0)+ROUND((ROUND((ROUND((_11_B通院１０．５＿２．０*_11・基礎１),0)*_11・２人),0)*_11・初任),0)+ROUND((ROUND((ROUND((ROUND((_11_C通院１０．５＿２．０＿０．５*_11・基礎１),0)*_11・２人),0)*(1+_11・C夜間)),0)*_11・初任),0)</f>
        <v>451</v>
      </c>
      <c r="Y14" s="63"/>
    </row>
    <row r="15" spans="1:25" ht="16.5" customHeight="1" x14ac:dyDescent="0.15"/>
    <row r="16" spans="1:25" ht="16.5" customHeight="1" x14ac:dyDescent="0.15"/>
  </sheetData>
  <mergeCells count="10">
    <mergeCell ref="U8:U9"/>
    <mergeCell ref="J9:J10"/>
    <mergeCell ref="V11:W13"/>
    <mergeCell ref="J13:J14"/>
    <mergeCell ref="D6:E6"/>
    <mergeCell ref="H6:I6"/>
    <mergeCell ref="D7:E9"/>
    <mergeCell ref="F7:G9"/>
    <mergeCell ref="H7:I9"/>
    <mergeCell ref="R8:R9"/>
  </mergeCells>
  <phoneticPr fontId="1"/>
  <printOptions horizontalCentered="1"/>
  <pageMargins left="0.70866141732283472" right="0.70866141732283472" top="0.74803149606299213" bottom="0.74803149606299213" header="0.31496062992125984" footer="0.31496062992125984"/>
  <pageSetup paperSize="9" scale="44" fitToHeight="0" orientation="portrait" r:id="rId1"/>
  <headerFooter>
    <oddHeader>&amp;R&amp;"ＭＳ Ｐゴシック"&amp;9居宅介護</oddHeader>
    <oddFooter>&amp;C&amp;"ＭＳ Ｐゴシック"&amp;14&amp;P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dimension ref="A1:O176"/>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4.875" style="10" bestFit="1" customWidth="1"/>
    <col min="4" max="4" width="6" style="10" bestFit="1" customWidth="1"/>
    <col min="5" max="5" width="5.5" style="117" bestFit="1" customWidth="1"/>
    <col min="6" max="6" width="11.875" style="12" customWidth="1"/>
    <col min="7" max="7" width="3.5" style="12" bestFit="1" customWidth="1"/>
    <col min="8" max="8" width="4.5" style="13" bestFit="1" customWidth="1"/>
    <col min="9" max="9" width="25.5" style="14" bestFit="1" customWidth="1"/>
    <col min="10" max="10" width="3.5" style="12" bestFit="1" customWidth="1"/>
    <col min="11" max="11" width="5.5" style="13" bestFit="1" customWidth="1"/>
    <col min="12" max="12" width="9.875" style="12" customWidth="1"/>
    <col min="13" max="13" width="4.5" style="12" bestFit="1" customWidth="1"/>
    <col min="14" max="14" width="7.125" style="15" customWidth="1"/>
    <col min="15" max="15" width="8.5" style="16" customWidth="1"/>
    <col min="16" max="16384" width="8.875" style="12"/>
  </cols>
  <sheetData>
    <row r="1" spans="1:15" ht="17.100000000000001" customHeight="1" x14ac:dyDescent="0.15"/>
    <row r="2" spans="1:15" ht="17.100000000000001" customHeight="1" x14ac:dyDescent="0.15"/>
    <row r="3" spans="1:15" ht="17.100000000000001" customHeight="1" x14ac:dyDescent="0.15"/>
    <row r="4" spans="1:15" ht="17.100000000000001" customHeight="1" x14ac:dyDescent="0.15">
      <c r="B4" s="17" t="s">
        <v>6582</v>
      </c>
      <c r="D4" s="71"/>
    </row>
    <row r="5" spans="1:15" ht="16.5" customHeight="1" x14ac:dyDescent="0.15">
      <c r="A5" s="19" t="s">
        <v>384</v>
      </c>
      <c r="B5" s="20"/>
      <c r="C5" s="21" t="s">
        <v>385</v>
      </c>
      <c r="D5" s="23" t="s">
        <v>386</v>
      </c>
      <c r="E5" s="118"/>
      <c r="F5" s="23"/>
      <c r="G5" s="23"/>
      <c r="H5" s="24"/>
      <c r="I5" s="23"/>
      <c r="J5" s="23"/>
      <c r="K5" s="24"/>
      <c r="L5" s="23"/>
      <c r="M5" s="23"/>
      <c r="N5" s="25" t="s">
        <v>387</v>
      </c>
      <c r="O5" s="21" t="s">
        <v>388</v>
      </c>
    </row>
    <row r="6" spans="1:15" ht="16.5" customHeight="1" x14ac:dyDescent="0.15">
      <c r="A6" s="26" t="s">
        <v>389</v>
      </c>
      <c r="B6" s="26" t="s">
        <v>390</v>
      </c>
      <c r="C6" s="27"/>
      <c r="D6" s="29"/>
      <c r="E6" s="120"/>
      <c r="F6" s="29"/>
      <c r="G6" s="29"/>
      <c r="H6" s="30"/>
      <c r="I6" s="29"/>
      <c r="J6" s="29"/>
      <c r="K6" s="30"/>
      <c r="L6" s="29"/>
      <c r="M6" s="29"/>
      <c r="N6" s="31" t="s">
        <v>391</v>
      </c>
      <c r="O6" s="32" t="s">
        <v>392</v>
      </c>
    </row>
    <row r="7" spans="1:15" ht="16.5" customHeight="1" x14ac:dyDescent="0.15">
      <c r="A7" s="33">
        <v>11</v>
      </c>
      <c r="B7" s="33">
        <v>3827</v>
      </c>
      <c r="C7" s="34" t="s">
        <v>6583</v>
      </c>
      <c r="D7" s="709" t="s">
        <v>5340</v>
      </c>
      <c r="E7" s="718"/>
      <c r="F7" s="35"/>
      <c r="I7" s="36"/>
      <c r="J7" s="37"/>
      <c r="K7" s="38"/>
      <c r="L7" s="35"/>
      <c r="N7" s="39">
        <f>_11_A通院１増０．５</f>
        <v>83</v>
      </c>
      <c r="O7" s="40" t="s">
        <v>395</v>
      </c>
    </row>
    <row r="8" spans="1:15" ht="16.5" customHeight="1" x14ac:dyDescent="0.15">
      <c r="A8" s="41">
        <v>11</v>
      </c>
      <c r="B8" s="41">
        <v>3828</v>
      </c>
      <c r="C8" s="74" t="s">
        <v>6584</v>
      </c>
      <c r="D8" s="709"/>
      <c r="E8" s="718"/>
      <c r="F8" s="43"/>
      <c r="G8" s="37"/>
      <c r="H8" s="38"/>
      <c r="I8" s="44" t="s">
        <v>397</v>
      </c>
      <c r="J8" s="45" t="s">
        <v>398</v>
      </c>
      <c r="K8" s="46">
        <v>1</v>
      </c>
      <c r="L8" s="35"/>
      <c r="N8" s="47">
        <f>ROUND((_11_A通院１増０．５*_11・２人),0)</f>
        <v>83</v>
      </c>
      <c r="O8" s="48"/>
    </row>
    <row r="9" spans="1:15" ht="16.5" customHeight="1" x14ac:dyDescent="0.15">
      <c r="A9" s="41">
        <v>11</v>
      </c>
      <c r="B9" s="41">
        <v>3829</v>
      </c>
      <c r="C9" s="74" t="s">
        <v>6585</v>
      </c>
      <c r="D9" s="709"/>
      <c r="E9" s="718"/>
      <c r="F9" s="752" t="s">
        <v>400</v>
      </c>
      <c r="G9" s="49" t="s">
        <v>398</v>
      </c>
      <c r="H9" s="50">
        <v>0.7</v>
      </c>
      <c r="I9" s="44"/>
      <c r="J9" s="45"/>
      <c r="K9" s="46"/>
      <c r="L9" s="35"/>
      <c r="N9" s="47">
        <f>ROUND((_11_A通院１増０．５*_11・基礎１),0)</f>
        <v>58</v>
      </c>
      <c r="O9" s="48"/>
    </row>
    <row r="10" spans="1:15" ht="16.5" customHeight="1" x14ac:dyDescent="0.15">
      <c r="A10" s="41">
        <v>11</v>
      </c>
      <c r="B10" s="41">
        <v>3830</v>
      </c>
      <c r="C10" s="74" t="s">
        <v>6586</v>
      </c>
      <c r="D10" s="100">
        <f>_11_A通院１増０．５</f>
        <v>83</v>
      </c>
      <c r="E10" s="12" t="s">
        <v>392</v>
      </c>
      <c r="F10" s="757"/>
      <c r="G10" s="37"/>
      <c r="H10" s="38"/>
      <c r="I10" s="44" t="s">
        <v>397</v>
      </c>
      <c r="J10" s="45" t="s">
        <v>398</v>
      </c>
      <c r="K10" s="46">
        <v>1</v>
      </c>
      <c r="L10" s="43"/>
      <c r="M10" s="37"/>
      <c r="N10" s="47">
        <f>ROUND((ROUND((_11_A通院１増０．５*_11・基礎１),0)*_11・２人),0)</f>
        <v>58</v>
      </c>
      <c r="O10" s="48"/>
    </row>
    <row r="11" spans="1:15" ht="16.5" customHeight="1" x14ac:dyDescent="0.15">
      <c r="A11" s="41">
        <v>11</v>
      </c>
      <c r="B11" s="41" t="s">
        <v>6587</v>
      </c>
      <c r="C11" s="74" t="s">
        <v>6588</v>
      </c>
      <c r="D11" s="121"/>
      <c r="E11" s="99"/>
      <c r="F11" s="53"/>
      <c r="G11" s="49"/>
      <c r="H11" s="50"/>
      <c r="I11" s="44"/>
      <c r="J11" s="45"/>
      <c r="K11" s="46"/>
      <c r="L11" s="707" t="s">
        <v>404</v>
      </c>
      <c r="M11" s="708"/>
      <c r="N11" s="47">
        <f>ROUND((_11_A通院１増０．５*_11・初任),0)</f>
        <v>58</v>
      </c>
      <c r="O11" s="48"/>
    </row>
    <row r="12" spans="1:15" ht="16.5" customHeight="1" x14ac:dyDescent="0.15">
      <c r="A12" s="41">
        <v>11</v>
      </c>
      <c r="B12" s="41" t="s">
        <v>6589</v>
      </c>
      <c r="C12" s="74" t="s">
        <v>6590</v>
      </c>
      <c r="D12" s="121"/>
      <c r="E12" s="99"/>
      <c r="F12" s="43"/>
      <c r="G12" s="37"/>
      <c r="H12" s="38"/>
      <c r="I12" s="44" t="s">
        <v>397</v>
      </c>
      <c r="J12" s="45" t="s">
        <v>398</v>
      </c>
      <c r="K12" s="46">
        <v>1</v>
      </c>
      <c r="L12" s="709"/>
      <c r="M12" s="704"/>
      <c r="N12" s="47">
        <f>ROUND((ROUND((_11_A通院１増０．５*_11・２人),0)*_11・初任),0)</f>
        <v>58</v>
      </c>
      <c r="O12" s="48"/>
    </row>
    <row r="13" spans="1:15" ht="16.5" customHeight="1" x14ac:dyDescent="0.15">
      <c r="A13" s="41">
        <v>11</v>
      </c>
      <c r="B13" s="41" t="s">
        <v>6591</v>
      </c>
      <c r="C13" s="74" t="s">
        <v>6592</v>
      </c>
      <c r="D13" s="72"/>
      <c r="E13" s="99"/>
      <c r="F13" s="752" t="s">
        <v>400</v>
      </c>
      <c r="G13" s="49" t="s">
        <v>398</v>
      </c>
      <c r="H13" s="50">
        <v>0.7</v>
      </c>
      <c r="I13" s="44"/>
      <c r="J13" s="45"/>
      <c r="K13" s="46"/>
      <c r="L13" s="709"/>
      <c r="M13" s="704"/>
      <c r="N13" s="47">
        <f>ROUND((ROUND((_11_A通院１増０．５*_11・基礎１),0)*_11・初任),0)</f>
        <v>41</v>
      </c>
      <c r="O13" s="48"/>
    </row>
    <row r="14" spans="1:15" ht="16.5" customHeight="1" x14ac:dyDescent="0.15">
      <c r="A14" s="41">
        <v>11</v>
      </c>
      <c r="B14" s="41" t="s">
        <v>6593</v>
      </c>
      <c r="C14" s="74" t="s">
        <v>6594</v>
      </c>
      <c r="D14" s="72"/>
      <c r="E14" s="99"/>
      <c r="F14" s="757"/>
      <c r="G14" s="37"/>
      <c r="H14" s="38"/>
      <c r="I14" s="44" t="s">
        <v>397</v>
      </c>
      <c r="J14" s="45" t="s">
        <v>398</v>
      </c>
      <c r="K14" s="46">
        <v>1</v>
      </c>
      <c r="L14" s="55" t="s">
        <v>398</v>
      </c>
      <c r="M14" s="38">
        <f>_11・初任</f>
        <v>0.7</v>
      </c>
      <c r="N14" s="47">
        <f>ROUND((ROUND((ROUND((_11_A通院１増０．５*_11・基礎１),0)*_11・２人),0)*_11・初任),0)</f>
        <v>41</v>
      </c>
      <c r="O14" s="48"/>
    </row>
    <row r="15" spans="1:15" ht="16.5" customHeight="1" x14ac:dyDescent="0.15">
      <c r="A15" s="41">
        <v>11</v>
      </c>
      <c r="B15" s="41">
        <v>3831</v>
      </c>
      <c r="C15" s="74" t="s">
        <v>6595</v>
      </c>
      <c r="D15" s="707" t="s">
        <v>5402</v>
      </c>
      <c r="E15" s="717"/>
      <c r="F15" s="53"/>
      <c r="G15" s="49"/>
      <c r="H15" s="50"/>
      <c r="I15" s="44"/>
      <c r="J15" s="45"/>
      <c r="K15" s="46"/>
      <c r="L15" s="53"/>
      <c r="M15" s="49"/>
      <c r="N15" s="47">
        <f>_11_A通院１増１．０</f>
        <v>166</v>
      </c>
      <c r="O15" s="48"/>
    </row>
    <row r="16" spans="1:15" ht="16.5" customHeight="1" x14ac:dyDescent="0.15">
      <c r="A16" s="41">
        <v>11</v>
      </c>
      <c r="B16" s="41">
        <v>3832</v>
      </c>
      <c r="C16" s="74" t="s">
        <v>6596</v>
      </c>
      <c r="D16" s="709"/>
      <c r="E16" s="718"/>
      <c r="F16" s="43"/>
      <c r="G16" s="37"/>
      <c r="H16" s="38"/>
      <c r="I16" s="44" t="s">
        <v>397</v>
      </c>
      <c r="J16" s="45" t="s">
        <v>398</v>
      </c>
      <c r="K16" s="46">
        <v>1</v>
      </c>
      <c r="L16" s="35"/>
      <c r="N16" s="47">
        <f>ROUND((_11_A通院１増１．０*_11・２人),0)</f>
        <v>166</v>
      </c>
      <c r="O16" s="48"/>
    </row>
    <row r="17" spans="1:15" ht="16.5" customHeight="1" x14ac:dyDescent="0.15">
      <c r="A17" s="41">
        <v>11</v>
      </c>
      <c r="B17" s="41">
        <v>3833</v>
      </c>
      <c r="C17" s="74" t="s">
        <v>6597</v>
      </c>
      <c r="D17" s="709"/>
      <c r="E17" s="718"/>
      <c r="F17" s="752" t="s">
        <v>400</v>
      </c>
      <c r="G17" s="49" t="s">
        <v>398</v>
      </c>
      <c r="H17" s="50">
        <v>0.7</v>
      </c>
      <c r="I17" s="44"/>
      <c r="J17" s="45"/>
      <c r="K17" s="46"/>
      <c r="L17" s="35"/>
      <c r="N17" s="47">
        <f>ROUND((_11_A通院１増１．０*_11・基礎１),0)</f>
        <v>116</v>
      </c>
      <c r="O17" s="48"/>
    </row>
    <row r="18" spans="1:15" ht="16.5" customHeight="1" x14ac:dyDescent="0.15">
      <c r="A18" s="41">
        <v>11</v>
      </c>
      <c r="B18" s="41">
        <v>3834</v>
      </c>
      <c r="C18" s="74" t="s">
        <v>6598</v>
      </c>
      <c r="D18" s="100">
        <f>_11_A通院１増１．０</f>
        <v>166</v>
      </c>
      <c r="E18" s="12" t="s">
        <v>392</v>
      </c>
      <c r="F18" s="709"/>
      <c r="G18" s="37"/>
      <c r="H18" s="38"/>
      <c r="I18" s="44" t="s">
        <v>397</v>
      </c>
      <c r="J18" s="45" t="s">
        <v>398</v>
      </c>
      <c r="K18" s="46">
        <v>1</v>
      </c>
      <c r="L18" s="43"/>
      <c r="M18" s="37"/>
      <c r="N18" s="47">
        <f>ROUND((ROUND((_11_A通院１増１．０*_11・基礎１),0)*_11・２人),0)</f>
        <v>116</v>
      </c>
      <c r="O18" s="48"/>
    </row>
    <row r="19" spans="1:15" ht="16.5" customHeight="1" x14ac:dyDescent="0.15">
      <c r="A19" s="41">
        <v>11</v>
      </c>
      <c r="B19" s="41" t="s">
        <v>6599</v>
      </c>
      <c r="C19" s="74" t="s">
        <v>6600</v>
      </c>
      <c r="D19" s="72"/>
      <c r="E19" s="99"/>
      <c r="F19" s="53"/>
      <c r="G19" s="49"/>
      <c r="H19" s="50"/>
      <c r="I19" s="44"/>
      <c r="J19" s="45"/>
      <c r="K19" s="46"/>
      <c r="L19" s="707" t="s">
        <v>404</v>
      </c>
      <c r="M19" s="708"/>
      <c r="N19" s="47">
        <f>ROUND((_11_A通院１増１．０*_11・初任),0)</f>
        <v>116</v>
      </c>
      <c r="O19" s="48"/>
    </row>
    <row r="20" spans="1:15" ht="16.5" customHeight="1" x14ac:dyDescent="0.15">
      <c r="A20" s="41">
        <v>11</v>
      </c>
      <c r="B20" s="41" t="s">
        <v>6601</v>
      </c>
      <c r="C20" s="74" t="s">
        <v>6602</v>
      </c>
      <c r="D20" s="72"/>
      <c r="E20" s="99"/>
      <c r="F20" s="43"/>
      <c r="G20" s="37"/>
      <c r="H20" s="38"/>
      <c r="I20" s="44" t="s">
        <v>397</v>
      </c>
      <c r="J20" s="45" t="s">
        <v>398</v>
      </c>
      <c r="K20" s="46">
        <v>1</v>
      </c>
      <c r="L20" s="709"/>
      <c r="M20" s="704"/>
      <c r="N20" s="47">
        <f>ROUND((ROUND((_11_A通院１増１．０*_11・２人),0)*_11・初任),0)</f>
        <v>116</v>
      </c>
      <c r="O20" s="48"/>
    </row>
    <row r="21" spans="1:15" ht="16.5" customHeight="1" x14ac:dyDescent="0.15">
      <c r="A21" s="41">
        <v>11</v>
      </c>
      <c r="B21" s="41" t="s">
        <v>6603</v>
      </c>
      <c r="C21" s="74" t="s">
        <v>6604</v>
      </c>
      <c r="D21" s="72"/>
      <c r="E21" s="99"/>
      <c r="F21" s="752" t="s">
        <v>400</v>
      </c>
      <c r="G21" s="49" t="s">
        <v>398</v>
      </c>
      <c r="H21" s="50">
        <v>0.7</v>
      </c>
      <c r="I21" s="44"/>
      <c r="J21" s="45"/>
      <c r="K21" s="46"/>
      <c r="L21" s="709"/>
      <c r="M21" s="704"/>
      <c r="N21" s="47">
        <f>ROUND((ROUND((_11_A通院１増１．０*_11・基礎１),0)*_11・初任),0)</f>
        <v>81</v>
      </c>
      <c r="O21" s="48"/>
    </row>
    <row r="22" spans="1:15" ht="16.5" customHeight="1" x14ac:dyDescent="0.15">
      <c r="A22" s="41">
        <v>11</v>
      </c>
      <c r="B22" s="41" t="s">
        <v>6605</v>
      </c>
      <c r="C22" s="74" t="s">
        <v>6606</v>
      </c>
      <c r="D22" s="72"/>
      <c r="E22" s="99"/>
      <c r="F22" s="709"/>
      <c r="G22" s="37"/>
      <c r="H22" s="38"/>
      <c r="I22" s="44" t="s">
        <v>397</v>
      </c>
      <c r="J22" s="45" t="s">
        <v>398</v>
      </c>
      <c r="K22" s="46">
        <v>1</v>
      </c>
      <c r="L22" s="55" t="s">
        <v>398</v>
      </c>
      <c r="M22" s="38">
        <f>_11・初任</f>
        <v>0.7</v>
      </c>
      <c r="N22" s="47">
        <f>ROUND((ROUND((ROUND((_11_A通院１増１．０*_11・基礎１),0)*_11・２人),0)*_11・初任),0)</f>
        <v>81</v>
      </c>
      <c r="O22" s="48"/>
    </row>
    <row r="23" spans="1:15" ht="16.5" customHeight="1" x14ac:dyDescent="0.15">
      <c r="A23" s="41">
        <v>11</v>
      </c>
      <c r="B23" s="41">
        <v>3835</v>
      </c>
      <c r="C23" s="74" t="s">
        <v>6607</v>
      </c>
      <c r="D23" s="707" t="s">
        <v>5451</v>
      </c>
      <c r="E23" s="717"/>
      <c r="F23" s="53"/>
      <c r="G23" s="49"/>
      <c r="H23" s="50"/>
      <c r="I23" s="44"/>
      <c r="J23" s="45"/>
      <c r="K23" s="46"/>
      <c r="L23" s="53"/>
      <c r="M23" s="49"/>
      <c r="N23" s="47">
        <f>_11_A通院１増１．５</f>
        <v>249</v>
      </c>
      <c r="O23" s="48"/>
    </row>
    <row r="24" spans="1:15" ht="16.5" customHeight="1" x14ac:dyDescent="0.15">
      <c r="A24" s="41">
        <v>11</v>
      </c>
      <c r="B24" s="41">
        <v>3836</v>
      </c>
      <c r="C24" s="74" t="s">
        <v>6608</v>
      </c>
      <c r="D24" s="709"/>
      <c r="E24" s="718"/>
      <c r="F24" s="43"/>
      <c r="G24" s="37"/>
      <c r="H24" s="38"/>
      <c r="I24" s="44" t="s">
        <v>397</v>
      </c>
      <c r="J24" s="45" t="s">
        <v>398</v>
      </c>
      <c r="K24" s="46">
        <v>1</v>
      </c>
      <c r="L24" s="35"/>
      <c r="N24" s="47">
        <f>ROUND((_11_A通院１増１．５*_11・２人),0)</f>
        <v>249</v>
      </c>
      <c r="O24" s="48"/>
    </row>
    <row r="25" spans="1:15" ht="16.5" customHeight="1" x14ac:dyDescent="0.15">
      <c r="A25" s="41">
        <v>11</v>
      </c>
      <c r="B25" s="41">
        <v>3837</v>
      </c>
      <c r="C25" s="74" t="s">
        <v>6609</v>
      </c>
      <c r="D25" s="709"/>
      <c r="E25" s="718"/>
      <c r="F25" s="752" t="s">
        <v>400</v>
      </c>
      <c r="G25" s="49" t="s">
        <v>398</v>
      </c>
      <c r="H25" s="50">
        <v>0.7</v>
      </c>
      <c r="I25" s="44"/>
      <c r="J25" s="45"/>
      <c r="K25" s="46"/>
      <c r="L25" s="35"/>
      <c r="N25" s="47">
        <f>ROUND((_11_A通院１増１．５*_11・基礎１),0)</f>
        <v>174</v>
      </c>
      <c r="O25" s="48"/>
    </row>
    <row r="26" spans="1:15" ht="16.5" customHeight="1" x14ac:dyDescent="0.15">
      <c r="A26" s="41">
        <v>11</v>
      </c>
      <c r="B26" s="41">
        <v>3838</v>
      </c>
      <c r="C26" s="74" t="s">
        <v>6610</v>
      </c>
      <c r="D26" s="100">
        <f>_11_A通院１増１．５</f>
        <v>249</v>
      </c>
      <c r="E26" s="12" t="s">
        <v>392</v>
      </c>
      <c r="F26" s="757"/>
      <c r="G26" s="37"/>
      <c r="H26" s="38"/>
      <c r="I26" s="44" t="s">
        <v>397</v>
      </c>
      <c r="J26" s="45" t="s">
        <v>398</v>
      </c>
      <c r="K26" s="46">
        <v>1</v>
      </c>
      <c r="L26" s="43"/>
      <c r="M26" s="37"/>
      <c r="N26" s="47">
        <f>ROUND((ROUND((_11_A通院１増１．５*_11・基礎１),0)*_11・２人),0)</f>
        <v>174</v>
      </c>
      <c r="O26" s="48"/>
    </row>
    <row r="27" spans="1:15" ht="16.5" customHeight="1" x14ac:dyDescent="0.15">
      <c r="A27" s="41">
        <v>11</v>
      </c>
      <c r="B27" s="41" t="s">
        <v>6611</v>
      </c>
      <c r="C27" s="74" t="s">
        <v>6612</v>
      </c>
      <c r="D27" s="121"/>
      <c r="E27" s="99"/>
      <c r="F27" s="53"/>
      <c r="G27" s="49"/>
      <c r="H27" s="50"/>
      <c r="I27" s="44"/>
      <c r="J27" s="45"/>
      <c r="K27" s="46"/>
      <c r="L27" s="707" t="s">
        <v>404</v>
      </c>
      <c r="M27" s="708"/>
      <c r="N27" s="47">
        <f>ROUND((_11_A通院１増１．５*_11・初任),0)</f>
        <v>174</v>
      </c>
      <c r="O27" s="48"/>
    </row>
    <row r="28" spans="1:15" ht="16.5" customHeight="1" x14ac:dyDescent="0.15">
      <c r="A28" s="41">
        <v>11</v>
      </c>
      <c r="B28" s="41" t="s">
        <v>6613</v>
      </c>
      <c r="C28" s="74" t="s">
        <v>6614</v>
      </c>
      <c r="D28" s="121"/>
      <c r="E28" s="99"/>
      <c r="F28" s="43"/>
      <c r="G28" s="37"/>
      <c r="H28" s="38"/>
      <c r="I28" s="44" t="s">
        <v>397</v>
      </c>
      <c r="J28" s="45" t="s">
        <v>398</v>
      </c>
      <c r="K28" s="46">
        <v>1</v>
      </c>
      <c r="L28" s="709"/>
      <c r="M28" s="704"/>
      <c r="N28" s="47">
        <f>ROUND((ROUND((_11_A通院１増１．５*_11・２人),0)*_11・初任),0)</f>
        <v>174</v>
      </c>
      <c r="O28" s="48"/>
    </row>
    <row r="29" spans="1:15" ht="16.5" customHeight="1" x14ac:dyDescent="0.15">
      <c r="A29" s="41">
        <v>11</v>
      </c>
      <c r="B29" s="41" t="s">
        <v>6615</v>
      </c>
      <c r="C29" s="74" t="s">
        <v>6616</v>
      </c>
      <c r="D29" s="72"/>
      <c r="E29" s="99"/>
      <c r="F29" s="752" t="s">
        <v>400</v>
      </c>
      <c r="G29" s="49" t="s">
        <v>398</v>
      </c>
      <c r="H29" s="50">
        <v>0.7</v>
      </c>
      <c r="I29" s="44"/>
      <c r="J29" s="45"/>
      <c r="K29" s="46"/>
      <c r="L29" s="709"/>
      <c r="M29" s="704"/>
      <c r="N29" s="47">
        <f>ROUND((ROUND((_11_A通院１増１．５*_11・基礎１),0)*_11・初任),0)</f>
        <v>122</v>
      </c>
      <c r="O29" s="48"/>
    </row>
    <row r="30" spans="1:15" ht="16.5" customHeight="1" x14ac:dyDescent="0.15">
      <c r="A30" s="41">
        <v>11</v>
      </c>
      <c r="B30" s="41" t="s">
        <v>6617</v>
      </c>
      <c r="C30" s="74" t="s">
        <v>6618</v>
      </c>
      <c r="D30" s="72"/>
      <c r="E30" s="99"/>
      <c r="F30" s="757"/>
      <c r="G30" s="37"/>
      <c r="H30" s="38"/>
      <c r="I30" s="44" t="s">
        <v>397</v>
      </c>
      <c r="J30" s="45" t="s">
        <v>398</v>
      </c>
      <c r="K30" s="46">
        <v>1</v>
      </c>
      <c r="L30" s="55" t="s">
        <v>398</v>
      </c>
      <c r="M30" s="38">
        <f>_11・初任</f>
        <v>0.7</v>
      </c>
      <c r="N30" s="47">
        <f>ROUND((ROUND((ROUND((_11_A通院１増１．５*_11・基礎１),0)*_11・２人),0)*_11・初任),0)</f>
        <v>122</v>
      </c>
      <c r="O30" s="48"/>
    </row>
    <row r="31" spans="1:15" ht="16.5" customHeight="1" x14ac:dyDescent="0.15">
      <c r="A31" s="41">
        <v>11</v>
      </c>
      <c r="B31" s="41">
        <v>3839</v>
      </c>
      <c r="C31" s="74" t="s">
        <v>6619</v>
      </c>
      <c r="D31" s="707" t="s">
        <v>5488</v>
      </c>
      <c r="E31" s="717"/>
      <c r="F31" s="53"/>
      <c r="G31" s="49"/>
      <c r="H31" s="50"/>
      <c r="I31" s="44"/>
      <c r="J31" s="45"/>
      <c r="K31" s="46"/>
      <c r="L31" s="53"/>
      <c r="M31" s="49"/>
      <c r="N31" s="47">
        <f>_11_A通院１増２．０</f>
        <v>332</v>
      </c>
      <c r="O31" s="48"/>
    </row>
    <row r="32" spans="1:15" ht="16.5" customHeight="1" x14ac:dyDescent="0.15">
      <c r="A32" s="41">
        <v>11</v>
      </c>
      <c r="B32" s="41">
        <v>3840</v>
      </c>
      <c r="C32" s="74" t="s">
        <v>6620</v>
      </c>
      <c r="D32" s="709"/>
      <c r="E32" s="718"/>
      <c r="F32" s="43"/>
      <c r="G32" s="37"/>
      <c r="H32" s="38"/>
      <c r="I32" s="44" t="s">
        <v>397</v>
      </c>
      <c r="J32" s="45" t="s">
        <v>398</v>
      </c>
      <c r="K32" s="46">
        <v>1</v>
      </c>
      <c r="L32" s="35"/>
      <c r="N32" s="47">
        <f>ROUND((_11_A通院１増２．０*_11・２人),0)</f>
        <v>332</v>
      </c>
      <c r="O32" s="48"/>
    </row>
    <row r="33" spans="1:15" ht="16.5" customHeight="1" x14ac:dyDescent="0.15">
      <c r="A33" s="41">
        <v>11</v>
      </c>
      <c r="B33" s="41">
        <v>3841</v>
      </c>
      <c r="C33" s="74" t="s">
        <v>6621</v>
      </c>
      <c r="D33" s="709"/>
      <c r="E33" s="718"/>
      <c r="F33" s="752" t="s">
        <v>400</v>
      </c>
      <c r="G33" s="49" t="s">
        <v>398</v>
      </c>
      <c r="H33" s="50">
        <v>0.7</v>
      </c>
      <c r="I33" s="44"/>
      <c r="J33" s="45"/>
      <c r="K33" s="46"/>
      <c r="L33" s="35"/>
      <c r="N33" s="47">
        <f>ROUND((_11_A通院１増２．０*_11・基礎１),0)</f>
        <v>232</v>
      </c>
      <c r="O33" s="48"/>
    </row>
    <row r="34" spans="1:15" ht="16.5" customHeight="1" x14ac:dyDescent="0.15">
      <c r="A34" s="41">
        <v>11</v>
      </c>
      <c r="B34" s="41">
        <v>3842</v>
      </c>
      <c r="C34" s="74" t="s">
        <v>6622</v>
      </c>
      <c r="D34" s="100">
        <f>_11_A通院１増２．０</f>
        <v>332</v>
      </c>
      <c r="E34" s="12" t="s">
        <v>392</v>
      </c>
      <c r="F34" s="757"/>
      <c r="G34" s="37"/>
      <c r="H34" s="38"/>
      <c r="I34" s="44" t="s">
        <v>397</v>
      </c>
      <c r="J34" s="45" t="s">
        <v>398</v>
      </c>
      <c r="K34" s="46">
        <v>1</v>
      </c>
      <c r="L34" s="43"/>
      <c r="M34" s="37"/>
      <c r="N34" s="47">
        <f>ROUND((ROUND((_11_A通院１増２．０*_11・基礎１),0)*_11・２人),0)</f>
        <v>232</v>
      </c>
      <c r="O34" s="48"/>
    </row>
    <row r="35" spans="1:15" ht="16.5" customHeight="1" x14ac:dyDescent="0.15">
      <c r="A35" s="41">
        <v>11</v>
      </c>
      <c r="B35" s="41" t="s">
        <v>6623</v>
      </c>
      <c r="C35" s="74" t="s">
        <v>6624</v>
      </c>
      <c r="D35" s="121"/>
      <c r="E35" s="99"/>
      <c r="F35" s="53"/>
      <c r="G35" s="49"/>
      <c r="H35" s="50"/>
      <c r="I35" s="44"/>
      <c r="J35" s="45"/>
      <c r="K35" s="46"/>
      <c r="L35" s="707" t="s">
        <v>404</v>
      </c>
      <c r="M35" s="708"/>
      <c r="N35" s="47">
        <f>ROUND((_11_A通院１増２．０*_11・初任),0)</f>
        <v>232</v>
      </c>
      <c r="O35" s="48"/>
    </row>
    <row r="36" spans="1:15" ht="16.5" customHeight="1" x14ac:dyDescent="0.15">
      <c r="A36" s="41">
        <v>11</v>
      </c>
      <c r="B36" s="41" t="s">
        <v>6625</v>
      </c>
      <c r="C36" s="74" t="s">
        <v>6626</v>
      </c>
      <c r="D36" s="121"/>
      <c r="E36" s="99"/>
      <c r="F36" s="43"/>
      <c r="G36" s="37"/>
      <c r="H36" s="38"/>
      <c r="I36" s="44" t="s">
        <v>397</v>
      </c>
      <c r="J36" s="45" t="s">
        <v>398</v>
      </c>
      <c r="K36" s="46">
        <v>1</v>
      </c>
      <c r="L36" s="709"/>
      <c r="M36" s="704"/>
      <c r="N36" s="47">
        <f>ROUND((ROUND((_11_A通院１増２．０*_11・２人),0)*_11・初任),0)</f>
        <v>232</v>
      </c>
      <c r="O36" s="48"/>
    </row>
    <row r="37" spans="1:15" ht="16.5" customHeight="1" x14ac:dyDescent="0.15">
      <c r="A37" s="41">
        <v>11</v>
      </c>
      <c r="B37" s="41" t="s">
        <v>6627</v>
      </c>
      <c r="C37" s="74" t="s">
        <v>6628</v>
      </c>
      <c r="D37" s="72"/>
      <c r="E37" s="99"/>
      <c r="F37" s="752" t="s">
        <v>400</v>
      </c>
      <c r="G37" s="49" t="s">
        <v>398</v>
      </c>
      <c r="H37" s="50">
        <v>0.7</v>
      </c>
      <c r="I37" s="44"/>
      <c r="J37" s="45"/>
      <c r="K37" s="46"/>
      <c r="L37" s="709"/>
      <c r="M37" s="704"/>
      <c r="N37" s="47">
        <f>ROUND((ROUND((_11_A通院１増２．０*_11・基礎１),0)*_11・初任),0)</f>
        <v>162</v>
      </c>
      <c r="O37" s="48"/>
    </row>
    <row r="38" spans="1:15" ht="16.5" customHeight="1" x14ac:dyDescent="0.15">
      <c r="A38" s="41">
        <v>11</v>
      </c>
      <c r="B38" s="41" t="s">
        <v>6629</v>
      </c>
      <c r="C38" s="74" t="s">
        <v>6630</v>
      </c>
      <c r="D38" s="72"/>
      <c r="E38" s="99"/>
      <c r="F38" s="757"/>
      <c r="G38" s="37"/>
      <c r="H38" s="38"/>
      <c r="I38" s="44" t="s">
        <v>397</v>
      </c>
      <c r="J38" s="45" t="s">
        <v>398</v>
      </c>
      <c r="K38" s="46">
        <v>1</v>
      </c>
      <c r="L38" s="55" t="s">
        <v>398</v>
      </c>
      <c r="M38" s="38">
        <f>_11・初任</f>
        <v>0.7</v>
      </c>
      <c r="N38" s="47">
        <f>ROUND((ROUND((ROUND((_11_A通院１増２．０*_11・基礎１),0)*_11・２人),0)*_11・初任),0)</f>
        <v>162</v>
      </c>
      <c r="O38" s="48"/>
    </row>
    <row r="39" spans="1:15" ht="16.5" customHeight="1" x14ac:dyDescent="0.15">
      <c r="A39" s="41">
        <v>11</v>
      </c>
      <c r="B39" s="41">
        <v>3843</v>
      </c>
      <c r="C39" s="74" t="s">
        <v>6631</v>
      </c>
      <c r="D39" s="707" t="s">
        <v>5513</v>
      </c>
      <c r="E39" s="717"/>
      <c r="F39" s="53"/>
      <c r="G39" s="49"/>
      <c r="H39" s="50"/>
      <c r="I39" s="44"/>
      <c r="J39" s="45"/>
      <c r="K39" s="46"/>
      <c r="L39" s="53"/>
      <c r="M39" s="49"/>
      <c r="N39" s="47">
        <f>_11_A通院１増２．５</f>
        <v>415</v>
      </c>
      <c r="O39" s="48"/>
    </row>
    <row r="40" spans="1:15" ht="16.5" customHeight="1" x14ac:dyDescent="0.15">
      <c r="A40" s="41">
        <v>11</v>
      </c>
      <c r="B40" s="41">
        <v>3844</v>
      </c>
      <c r="C40" s="74" t="s">
        <v>6632</v>
      </c>
      <c r="D40" s="709"/>
      <c r="E40" s="718"/>
      <c r="F40" s="43"/>
      <c r="G40" s="37"/>
      <c r="H40" s="38"/>
      <c r="I40" s="44" t="s">
        <v>397</v>
      </c>
      <c r="J40" s="45" t="s">
        <v>398</v>
      </c>
      <c r="K40" s="46">
        <v>1</v>
      </c>
      <c r="L40" s="35"/>
      <c r="N40" s="47">
        <f>ROUND((_11_A通院１増２．５*_11・２人),0)</f>
        <v>415</v>
      </c>
      <c r="O40" s="48"/>
    </row>
    <row r="41" spans="1:15" ht="16.5" customHeight="1" x14ac:dyDescent="0.15">
      <c r="A41" s="41">
        <v>11</v>
      </c>
      <c r="B41" s="41">
        <v>3845</v>
      </c>
      <c r="C41" s="74" t="s">
        <v>6633</v>
      </c>
      <c r="D41" s="709"/>
      <c r="E41" s="718"/>
      <c r="F41" s="752" t="s">
        <v>400</v>
      </c>
      <c r="G41" s="49" t="s">
        <v>398</v>
      </c>
      <c r="H41" s="50">
        <v>0.7</v>
      </c>
      <c r="I41" s="44"/>
      <c r="J41" s="45"/>
      <c r="K41" s="46"/>
      <c r="L41" s="35"/>
      <c r="N41" s="47">
        <f>ROUND((_11_A通院１増２．５*_11・基礎１),0)</f>
        <v>291</v>
      </c>
      <c r="O41" s="48"/>
    </row>
    <row r="42" spans="1:15" ht="16.5" customHeight="1" x14ac:dyDescent="0.15">
      <c r="A42" s="41">
        <v>11</v>
      </c>
      <c r="B42" s="41">
        <v>3846</v>
      </c>
      <c r="C42" s="74" t="s">
        <v>6634</v>
      </c>
      <c r="D42" s="100">
        <f>_11_A通院１増２．５</f>
        <v>415</v>
      </c>
      <c r="E42" s="12" t="s">
        <v>392</v>
      </c>
      <c r="F42" s="757"/>
      <c r="G42" s="37"/>
      <c r="H42" s="38"/>
      <c r="I42" s="44" t="s">
        <v>397</v>
      </c>
      <c r="J42" s="45" t="s">
        <v>398</v>
      </c>
      <c r="K42" s="46">
        <v>1</v>
      </c>
      <c r="L42" s="43"/>
      <c r="M42" s="37"/>
      <c r="N42" s="47">
        <f>ROUND((ROUND((_11_A通院１増２．５*_11・基礎１),0)*_11・２人),0)</f>
        <v>291</v>
      </c>
      <c r="O42" s="48"/>
    </row>
    <row r="43" spans="1:15" ht="16.5" customHeight="1" x14ac:dyDescent="0.15">
      <c r="A43" s="41">
        <v>11</v>
      </c>
      <c r="B43" s="41" t="s">
        <v>6635</v>
      </c>
      <c r="C43" s="74" t="s">
        <v>6636</v>
      </c>
      <c r="D43" s="121"/>
      <c r="E43" s="99"/>
      <c r="F43" s="53"/>
      <c r="G43" s="49"/>
      <c r="H43" s="50"/>
      <c r="I43" s="44"/>
      <c r="J43" s="45"/>
      <c r="K43" s="46"/>
      <c r="L43" s="707" t="s">
        <v>404</v>
      </c>
      <c r="M43" s="708"/>
      <c r="N43" s="47">
        <f>ROUND((_11_A通院１増２．５*_11・初任),0)</f>
        <v>291</v>
      </c>
      <c r="O43" s="48"/>
    </row>
    <row r="44" spans="1:15" ht="16.5" customHeight="1" x14ac:dyDescent="0.15">
      <c r="A44" s="41">
        <v>11</v>
      </c>
      <c r="B44" s="41" t="s">
        <v>6637</v>
      </c>
      <c r="C44" s="74" t="s">
        <v>6638</v>
      </c>
      <c r="D44" s="121"/>
      <c r="E44" s="99"/>
      <c r="F44" s="43"/>
      <c r="G44" s="37"/>
      <c r="H44" s="38"/>
      <c r="I44" s="44" t="s">
        <v>397</v>
      </c>
      <c r="J44" s="45" t="s">
        <v>398</v>
      </c>
      <c r="K44" s="46">
        <v>1</v>
      </c>
      <c r="L44" s="709"/>
      <c r="M44" s="704"/>
      <c r="N44" s="47">
        <f>ROUND((ROUND((_11_A通院１増２．５*_11・２人),0)*_11・初任),0)</f>
        <v>291</v>
      </c>
      <c r="O44" s="48"/>
    </row>
    <row r="45" spans="1:15" ht="16.5" customHeight="1" x14ac:dyDescent="0.15">
      <c r="A45" s="41">
        <v>11</v>
      </c>
      <c r="B45" s="41" t="s">
        <v>6639</v>
      </c>
      <c r="C45" s="74" t="s">
        <v>6640</v>
      </c>
      <c r="D45" s="72"/>
      <c r="E45" s="99"/>
      <c r="F45" s="752" t="s">
        <v>400</v>
      </c>
      <c r="G45" s="49" t="s">
        <v>398</v>
      </c>
      <c r="H45" s="50">
        <v>0.7</v>
      </c>
      <c r="I45" s="44"/>
      <c r="J45" s="45"/>
      <c r="K45" s="46"/>
      <c r="L45" s="709"/>
      <c r="M45" s="704"/>
      <c r="N45" s="47">
        <f>ROUND((ROUND((_11_A通院１増２．５*_11・基礎１),0)*_11・初任),0)</f>
        <v>204</v>
      </c>
      <c r="O45" s="48"/>
    </row>
    <row r="46" spans="1:15" ht="16.5" customHeight="1" x14ac:dyDescent="0.15">
      <c r="A46" s="41">
        <v>11</v>
      </c>
      <c r="B46" s="41" t="s">
        <v>6641</v>
      </c>
      <c r="C46" s="74" t="s">
        <v>6642</v>
      </c>
      <c r="D46" s="72"/>
      <c r="E46" s="99"/>
      <c r="F46" s="757"/>
      <c r="G46" s="37"/>
      <c r="H46" s="38"/>
      <c r="I46" s="44" t="s">
        <v>397</v>
      </c>
      <c r="J46" s="45" t="s">
        <v>398</v>
      </c>
      <c r="K46" s="46">
        <v>1</v>
      </c>
      <c r="L46" s="55" t="s">
        <v>398</v>
      </c>
      <c r="M46" s="38">
        <f>_11・初任</f>
        <v>0.7</v>
      </c>
      <c r="N46" s="47">
        <f>ROUND((ROUND((ROUND((_11_A通院１増２．５*_11・基礎１),0)*_11・２人),0)*_11・初任),0)</f>
        <v>204</v>
      </c>
      <c r="O46" s="48"/>
    </row>
    <row r="47" spans="1:15" ht="16.5" customHeight="1" x14ac:dyDescent="0.15">
      <c r="A47" s="41">
        <v>11</v>
      </c>
      <c r="B47" s="41">
        <v>3847</v>
      </c>
      <c r="C47" s="74" t="s">
        <v>6643</v>
      </c>
      <c r="D47" s="707" t="s">
        <v>6644</v>
      </c>
      <c r="E47" s="717"/>
      <c r="F47" s="53"/>
      <c r="G47" s="49"/>
      <c r="H47" s="50"/>
      <c r="I47" s="44"/>
      <c r="J47" s="45"/>
      <c r="K47" s="46"/>
      <c r="L47" s="53"/>
      <c r="M47" s="49"/>
      <c r="N47" s="47">
        <f>_11_A通院１増３．０</f>
        <v>498</v>
      </c>
      <c r="O47" s="48"/>
    </row>
    <row r="48" spans="1:15" ht="16.5" customHeight="1" x14ac:dyDescent="0.15">
      <c r="A48" s="41">
        <v>11</v>
      </c>
      <c r="B48" s="41">
        <v>3848</v>
      </c>
      <c r="C48" s="74" t="s">
        <v>6645</v>
      </c>
      <c r="D48" s="709"/>
      <c r="E48" s="718"/>
      <c r="F48" s="43"/>
      <c r="G48" s="37"/>
      <c r="H48" s="38"/>
      <c r="I48" s="44" t="s">
        <v>397</v>
      </c>
      <c r="J48" s="45" t="s">
        <v>398</v>
      </c>
      <c r="K48" s="46">
        <v>1</v>
      </c>
      <c r="L48" s="35"/>
      <c r="N48" s="47">
        <f>ROUND((_11_A通院１増３．０*_11・２人),0)</f>
        <v>498</v>
      </c>
      <c r="O48" s="48"/>
    </row>
    <row r="49" spans="1:15" ht="16.5" customHeight="1" x14ac:dyDescent="0.15">
      <c r="A49" s="41">
        <v>11</v>
      </c>
      <c r="B49" s="41">
        <v>3849</v>
      </c>
      <c r="C49" s="74" t="s">
        <v>6646</v>
      </c>
      <c r="D49" s="709"/>
      <c r="E49" s="718"/>
      <c r="F49" s="752" t="s">
        <v>400</v>
      </c>
      <c r="G49" s="49" t="s">
        <v>398</v>
      </c>
      <c r="H49" s="50">
        <v>0.7</v>
      </c>
      <c r="I49" s="44"/>
      <c r="J49" s="45"/>
      <c r="K49" s="46"/>
      <c r="L49" s="35"/>
      <c r="N49" s="47">
        <f>ROUND((_11_A通院１増３．０*_11・基礎１),0)</f>
        <v>349</v>
      </c>
      <c r="O49" s="48"/>
    </row>
    <row r="50" spans="1:15" ht="16.5" customHeight="1" x14ac:dyDescent="0.15">
      <c r="A50" s="41">
        <v>11</v>
      </c>
      <c r="B50" s="41">
        <v>3850</v>
      </c>
      <c r="C50" s="74" t="s">
        <v>6647</v>
      </c>
      <c r="D50" s="100">
        <f>_11_A通院１増３．０</f>
        <v>498</v>
      </c>
      <c r="E50" s="12" t="s">
        <v>392</v>
      </c>
      <c r="F50" s="757"/>
      <c r="G50" s="37"/>
      <c r="H50" s="38"/>
      <c r="I50" s="44" t="s">
        <v>397</v>
      </c>
      <c r="J50" s="45" t="s">
        <v>398</v>
      </c>
      <c r="K50" s="46">
        <v>1</v>
      </c>
      <c r="L50" s="43"/>
      <c r="M50" s="37"/>
      <c r="N50" s="47">
        <f>ROUND((ROUND((_11_A通院１増３．０*_11・基礎１),0)*_11・２人),0)</f>
        <v>349</v>
      </c>
      <c r="O50" s="48"/>
    </row>
    <row r="51" spans="1:15" ht="16.5" customHeight="1" x14ac:dyDescent="0.15">
      <c r="A51" s="41">
        <v>11</v>
      </c>
      <c r="B51" s="41" t="s">
        <v>6648</v>
      </c>
      <c r="C51" s="74" t="s">
        <v>6649</v>
      </c>
      <c r="D51" s="121"/>
      <c r="E51" s="99"/>
      <c r="F51" s="53"/>
      <c r="G51" s="49"/>
      <c r="H51" s="50"/>
      <c r="I51" s="44"/>
      <c r="J51" s="45"/>
      <c r="K51" s="46"/>
      <c r="L51" s="707" t="s">
        <v>404</v>
      </c>
      <c r="M51" s="708"/>
      <c r="N51" s="47">
        <f>ROUND((_11_A通院１増３．０*_11・初任),0)</f>
        <v>349</v>
      </c>
      <c r="O51" s="48"/>
    </row>
    <row r="52" spans="1:15" ht="16.5" customHeight="1" x14ac:dyDescent="0.15">
      <c r="A52" s="41">
        <v>11</v>
      </c>
      <c r="B52" s="41" t="s">
        <v>6650</v>
      </c>
      <c r="C52" s="74" t="s">
        <v>6651</v>
      </c>
      <c r="D52" s="121"/>
      <c r="E52" s="99"/>
      <c r="F52" s="43"/>
      <c r="G52" s="37"/>
      <c r="H52" s="38"/>
      <c r="I52" s="44" t="s">
        <v>397</v>
      </c>
      <c r="J52" s="45" t="s">
        <v>398</v>
      </c>
      <c r="K52" s="46">
        <v>1</v>
      </c>
      <c r="L52" s="709"/>
      <c r="M52" s="704"/>
      <c r="N52" s="47">
        <f>ROUND((ROUND((_11_A通院１増３．０*_11・２人),0)*_11・初任),0)</f>
        <v>349</v>
      </c>
      <c r="O52" s="48"/>
    </row>
    <row r="53" spans="1:15" ht="16.5" customHeight="1" x14ac:dyDescent="0.15">
      <c r="A53" s="41">
        <v>11</v>
      </c>
      <c r="B53" s="41" t="s">
        <v>6652</v>
      </c>
      <c r="C53" s="74" t="s">
        <v>6653</v>
      </c>
      <c r="D53" s="72"/>
      <c r="E53" s="99"/>
      <c r="F53" s="752" t="s">
        <v>400</v>
      </c>
      <c r="G53" s="49" t="s">
        <v>398</v>
      </c>
      <c r="H53" s="50">
        <v>0.7</v>
      </c>
      <c r="I53" s="44"/>
      <c r="J53" s="45"/>
      <c r="K53" s="46"/>
      <c r="L53" s="709"/>
      <c r="M53" s="704"/>
      <c r="N53" s="47">
        <f>ROUND((ROUND((_11_A通院１増３．０*_11・基礎１),0)*_11・初任),0)</f>
        <v>244</v>
      </c>
      <c r="O53" s="48"/>
    </row>
    <row r="54" spans="1:15" ht="16.5" customHeight="1" x14ac:dyDescent="0.15">
      <c r="A54" s="41">
        <v>11</v>
      </c>
      <c r="B54" s="41" t="s">
        <v>6654</v>
      </c>
      <c r="C54" s="74" t="s">
        <v>6655</v>
      </c>
      <c r="D54" s="72"/>
      <c r="E54" s="99"/>
      <c r="F54" s="757"/>
      <c r="G54" s="37"/>
      <c r="H54" s="38"/>
      <c r="I54" s="44" t="s">
        <v>397</v>
      </c>
      <c r="J54" s="45" t="s">
        <v>398</v>
      </c>
      <c r="K54" s="46">
        <v>1</v>
      </c>
      <c r="L54" s="55" t="s">
        <v>398</v>
      </c>
      <c r="M54" s="38">
        <f>_11・初任</f>
        <v>0.7</v>
      </c>
      <c r="N54" s="47">
        <f>ROUND((ROUND((ROUND((_11_A通院１増３．０*_11・基礎１),0)*_11・２人),0)*_11・初任),0)</f>
        <v>244</v>
      </c>
      <c r="O54" s="48"/>
    </row>
    <row r="55" spans="1:15" ht="16.5" customHeight="1" x14ac:dyDescent="0.15">
      <c r="A55" s="41">
        <v>11</v>
      </c>
      <c r="B55" s="41">
        <v>3851</v>
      </c>
      <c r="C55" s="74" t="s">
        <v>6656</v>
      </c>
      <c r="D55" s="707" t="s">
        <v>6657</v>
      </c>
      <c r="E55" s="717"/>
      <c r="F55" s="53"/>
      <c r="G55" s="49"/>
      <c r="H55" s="50"/>
      <c r="I55" s="44"/>
      <c r="J55" s="45"/>
      <c r="K55" s="46"/>
      <c r="L55" s="53"/>
      <c r="M55" s="49"/>
      <c r="N55" s="47">
        <f>_11_A通院１増３．５</f>
        <v>581</v>
      </c>
      <c r="O55" s="48"/>
    </row>
    <row r="56" spans="1:15" ht="16.5" customHeight="1" x14ac:dyDescent="0.15">
      <c r="A56" s="41">
        <v>11</v>
      </c>
      <c r="B56" s="41">
        <v>3852</v>
      </c>
      <c r="C56" s="74" t="s">
        <v>6658</v>
      </c>
      <c r="D56" s="709"/>
      <c r="E56" s="718"/>
      <c r="F56" s="43"/>
      <c r="G56" s="37"/>
      <c r="H56" s="38"/>
      <c r="I56" s="44" t="s">
        <v>397</v>
      </c>
      <c r="J56" s="45" t="s">
        <v>398</v>
      </c>
      <c r="K56" s="46">
        <v>1</v>
      </c>
      <c r="L56" s="35"/>
      <c r="N56" s="47">
        <f>ROUND((_11_A通院１増３．５*_11・２人),0)</f>
        <v>581</v>
      </c>
      <c r="O56" s="48"/>
    </row>
    <row r="57" spans="1:15" ht="16.5" customHeight="1" x14ac:dyDescent="0.15">
      <c r="A57" s="41">
        <v>11</v>
      </c>
      <c r="B57" s="41">
        <v>3853</v>
      </c>
      <c r="C57" s="74" t="s">
        <v>6659</v>
      </c>
      <c r="D57" s="709"/>
      <c r="E57" s="718"/>
      <c r="F57" s="752" t="s">
        <v>400</v>
      </c>
      <c r="G57" s="49" t="s">
        <v>398</v>
      </c>
      <c r="H57" s="50">
        <v>0.7</v>
      </c>
      <c r="I57" s="44"/>
      <c r="J57" s="45"/>
      <c r="K57" s="46"/>
      <c r="L57" s="35"/>
      <c r="N57" s="47">
        <f>ROUND((_11_A通院１増３．５*_11・基礎１),0)</f>
        <v>407</v>
      </c>
      <c r="O57" s="48"/>
    </row>
    <row r="58" spans="1:15" ht="16.5" customHeight="1" x14ac:dyDescent="0.15">
      <c r="A58" s="41">
        <v>11</v>
      </c>
      <c r="B58" s="41">
        <v>3854</v>
      </c>
      <c r="C58" s="74" t="s">
        <v>6660</v>
      </c>
      <c r="D58" s="100">
        <f>_11_A通院１増３．５</f>
        <v>581</v>
      </c>
      <c r="E58" s="12" t="s">
        <v>392</v>
      </c>
      <c r="F58" s="757"/>
      <c r="G58" s="37"/>
      <c r="H58" s="38"/>
      <c r="I58" s="44" t="s">
        <v>397</v>
      </c>
      <c r="J58" s="45" t="s">
        <v>398</v>
      </c>
      <c r="K58" s="46">
        <v>1</v>
      </c>
      <c r="L58" s="43"/>
      <c r="M58" s="37"/>
      <c r="N58" s="47">
        <f>ROUND((ROUND((_11_A通院１増３．５*_11・基礎１),0)*_11・２人),0)</f>
        <v>407</v>
      </c>
      <c r="O58" s="48"/>
    </row>
    <row r="59" spans="1:15" ht="16.5" customHeight="1" x14ac:dyDescent="0.15">
      <c r="A59" s="41">
        <v>11</v>
      </c>
      <c r="B59" s="41" t="s">
        <v>6661</v>
      </c>
      <c r="C59" s="74" t="s">
        <v>6662</v>
      </c>
      <c r="D59" s="121"/>
      <c r="E59" s="99"/>
      <c r="F59" s="53"/>
      <c r="G59" s="49"/>
      <c r="H59" s="50"/>
      <c r="I59" s="44"/>
      <c r="J59" s="45"/>
      <c r="K59" s="46"/>
      <c r="L59" s="707" t="s">
        <v>404</v>
      </c>
      <c r="M59" s="708"/>
      <c r="N59" s="47">
        <f>ROUND((_11_A通院１増３．５*_11・初任),0)</f>
        <v>407</v>
      </c>
      <c r="O59" s="48"/>
    </row>
    <row r="60" spans="1:15" ht="16.5" customHeight="1" x14ac:dyDescent="0.15">
      <c r="A60" s="41">
        <v>11</v>
      </c>
      <c r="B60" s="41" t="s">
        <v>6663</v>
      </c>
      <c r="C60" s="74" t="s">
        <v>6664</v>
      </c>
      <c r="D60" s="121"/>
      <c r="E60" s="99"/>
      <c r="F60" s="43"/>
      <c r="G60" s="37"/>
      <c r="H60" s="38"/>
      <c r="I60" s="44" t="s">
        <v>397</v>
      </c>
      <c r="J60" s="45" t="s">
        <v>398</v>
      </c>
      <c r="K60" s="46">
        <v>1</v>
      </c>
      <c r="L60" s="709"/>
      <c r="M60" s="704"/>
      <c r="N60" s="47">
        <f>ROUND((ROUND((_11_A通院１増３．５*_11・２人),0)*_11・初任),0)</f>
        <v>407</v>
      </c>
      <c r="O60" s="48"/>
    </row>
    <row r="61" spans="1:15" ht="16.5" customHeight="1" x14ac:dyDescent="0.15">
      <c r="A61" s="41">
        <v>11</v>
      </c>
      <c r="B61" s="41" t="s">
        <v>6665</v>
      </c>
      <c r="C61" s="74" t="s">
        <v>6666</v>
      </c>
      <c r="D61" s="72"/>
      <c r="E61" s="99"/>
      <c r="F61" s="752" t="s">
        <v>400</v>
      </c>
      <c r="G61" s="49" t="s">
        <v>398</v>
      </c>
      <c r="H61" s="50">
        <v>0.7</v>
      </c>
      <c r="I61" s="44"/>
      <c r="J61" s="45"/>
      <c r="K61" s="46"/>
      <c r="L61" s="709"/>
      <c r="M61" s="704"/>
      <c r="N61" s="47">
        <f>ROUND((ROUND((_11_A通院１増３．５*_11・基礎１),0)*_11・初任),0)</f>
        <v>285</v>
      </c>
      <c r="O61" s="48"/>
    </row>
    <row r="62" spans="1:15" ht="16.5" customHeight="1" x14ac:dyDescent="0.15">
      <c r="A62" s="41">
        <v>11</v>
      </c>
      <c r="B62" s="41" t="s">
        <v>6667</v>
      </c>
      <c r="C62" s="74" t="s">
        <v>6668</v>
      </c>
      <c r="D62" s="72"/>
      <c r="E62" s="99"/>
      <c r="F62" s="757"/>
      <c r="G62" s="37"/>
      <c r="H62" s="38"/>
      <c r="I62" s="44" t="s">
        <v>397</v>
      </c>
      <c r="J62" s="45" t="s">
        <v>398</v>
      </c>
      <c r="K62" s="46">
        <v>1</v>
      </c>
      <c r="L62" s="55" t="s">
        <v>398</v>
      </c>
      <c r="M62" s="38">
        <f>_11・初任</f>
        <v>0.7</v>
      </c>
      <c r="N62" s="47">
        <f>ROUND((ROUND((ROUND((_11_A通院１増３．５*_11・基礎１),0)*_11・２人),0)*_11・初任),0)</f>
        <v>285</v>
      </c>
      <c r="O62" s="48"/>
    </row>
    <row r="63" spans="1:15" ht="16.5" customHeight="1" x14ac:dyDescent="0.15">
      <c r="A63" s="41">
        <v>11</v>
      </c>
      <c r="B63" s="41">
        <v>3855</v>
      </c>
      <c r="C63" s="74" t="s">
        <v>6669</v>
      </c>
      <c r="D63" s="707" t="s">
        <v>490</v>
      </c>
      <c r="E63" s="717"/>
      <c r="F63" s="53"/>
      <c r="G63" s="49"/>
      <c r="H63" s="50"/>
      <c r="I63" s="44"/>
      <c r="J63" s="45"/>
      <c r="K63" s="46"/>
      <c r="L63" s="53"/>
      <c r="M63" s="49"/>
      <c r="N63" s="47">
        <f>_11_A通院１増４．０</f>
        <v>664</v>
      </c>
      <c r="O63" s="48"/>
    </row>
    <row r="64" spans="1:15" ht="16.5" customHeight="1" x14ac:dyDescent="0.15">
      <c r="A64" s="41">
        <v>11</v>
      </c>
      <c r="B64" s="41">
        <v>3856</v>
      </c>
      <c r="C64" s="74" t="s">
        <v>6670</v>
      </c>
      <c r="D64" s="709"/>
      <c r="E64" s="718"/>
      <c r="F64" s="43"/>
      <c r="G64" s="37"/>
      <c r="H64" s="38"/>
      <c r="I64" s="44" t="s">
        <v>397</v>
      </c>
      <c r="J64" s="45" t="s">
        <v>398</v>
      </c>
      <c r="K64" s="46">
        <v>1</v>
      </c>
      <c r="L64" s="35"/>
      <c r="N64" s="47">
        <f>ROUND((_11_A通院１増４．０*_11・２人),0)</f>
        <v>664</v>
      </c>
      <c r="O64" s="48"/>
    </row>
    <row r="65" spans="1:15" ht="16.5" customHeight="1" x14ac:dyDescent="0.15">
      <c r="A65" s="41">
        <v>11</v>
      </c>
      <c r="B65" s="41">
        <v>3857</v>
      </c>
      <c r="C65" s="74" t="s">
        <v>6671</v>
      </c>
      <c r="D65" s="709"/>
      <c r="E65" s="718"/>
      <c r="F65" s="752" t="s">
        <v>400</v>
      </c>
      <c r="G65" s="49" t="s">
        <v>398</v>
      </c>
      <c r="H65" s="50">
        <v>0.7</v>
      </c>
      <c r="I65" s="44"/>
      <c r="J65" s="45"/>
      <c r="K65" s="46"/>
      <c r="L65" s="35"/>
      <c r="N65" s="47">
        <f>ROUND((_11_A通院１増４．０*_11・基礎１),0)</f>
        <v>465</v>
      </c>
      <c r="O65" s="48"/>
    </row>
    <row r="66" spans="1:15" ht="16.5" customHeight="1" x14ac:dyDescent="0.15">
      <c r="A66" s="41">
        <v>11</v>
      </c>
      <c r="B66" s="41">
        <v>3858</v>
      </c>
      <c r="C66" s="74" t="s">
        <v>6672</v>
      </c>
      <c r="D66" s="100">
        <f>_11_A通院１増４．０</f>
        <v>664</v>
      </c>
      <c r="E66" s="12" t="s">
        <v>392</v>
      </c>
      <c r="F66" s="757"/>
      <c r="G66" s="37"/>
      <c r="H66" s="38"/>
      <c r="I66" s="44" t="s">
        <v>397</v>
      </c>
      <c r="J66" s="45" t="s">
        <v>398</v>
      </c>
      <c r="K66" s="46">
        <v>1</v>
      </c>
      <c r="L66" s="43"/>
      <c r="M66" s="37"/>
      <c r="N66" s="47">
        <f>ROUND((ROUND((_11_A通院１増４．０*_11・基礎１),0)*_11・２人),0)</f>
        <v>465</v>
      </c>
      <c r="O66" s="48"/>
    </row>
    <row r="67" spans="1:15" ht="16.5" customHeight="1" x14ac:dyDescent="0.15">
      <c r="A67" s="41">
        <v>11</v>
      </c>
      <c r="B67" s="41" t="s">
        <v>6673</v>
      </c>
      <c r="C67" s="74" t="s">
        <v>6674</v>
      </c>
      <c r="D67" s="121"/>
      <c r="E67" s="99"/>
      <c r="F67" s="53"/>
      <c r="G67" s="49"/>
      <c r="H67" s="50"/>
      <c r="I67" s="44"/>
      <c r="J67" s="45"/>
      <c r="K67" s="46"/>
      <c r="L67" s="707" t="s">
        <v>404</v>
      </c>
      <c r="M67" s="708"/>
      <c r="N67" s="47">
        <f>ROUND((_11_A通院１増４．０*_11・初任),0)</f>
        <v>465</v>
      </c>
      <c r="O67" s="48"/>
    </row>
    <row r="68" spans="1:15" ht="16.5" customHeight="1" x14ac:dyDescent="0.15">
      <c r="A68" s="41">
        <v>11</v>
      </c>
      <c r="B68" s="41" t="s">
        <v>6675</v>
      </c>
      <c r="C68" s="74" t="s">
        <v>6676</v>
      </c>
      <c r="D68" s="121"/>
      <c r="E68" s="99"/>
      <c r="F68" s="43"/>
      <c r="G68" s="37"/>
      <c r="H68" s="38"/>
      <c r="I68" s="44" t="s">
        <v>397</v>
      </c>
      <c r="J68" s="45" t="s">
        <v>398</v>
      </c>
      <c r="K68" s="46">
        <v>1</v>
      </c>
      <c r="L68" s="709"/>
      <c r="M68" s="704"/>
      <c r="N68" s="47">
        <f>ROUND((ROUND((_11_A通院１増４．０*_11・２人),0)*_11・初任),0)</f>
        <v>465</v>
      </c>
      <c r="O68" s="48"/>
    </row>
    <row r="69" spans="1:15" ht="16.5" customHeight="1" x14ac:dyDescent="0.15">
      <c r="A69" s="41">
        <v>11</v>
      </c>
      <c r="B69" s="41" t="s">
        <v>6677</v>
      </c>
      <c r="C69" s="74" t="s">
        <v>6678</v>
      </c>
      <c r="D69" s="72"/>
      <c r="E69" s="99"/>
      <c r="F69" s="752" t="s">
        <v>400</v>
      </c>
      <c r="G69" s="49" t="s">
        <v>398</v>
      </c>
      <c r="H69" s="50">
        <v>0.7</v>
      </c>
      <c r="I69" s="44"/>
      <c r="J69" s="45"/>
      <c r="K69" s="46"/>
      <c r="L69" s="709"/>
      <c r="M69" s="704"/>
      <c r="N69" s="47">
        <f>ROUND((ROUND((_11_A通院１増４．０*_11・基礎１),0)*_11・初任),0)</f>
        <v>326</v>
      </c>
      <c r="O69" s="48"/>
    </row>
    <row r="70" spans="1:15" ht="16.5" customHeight="1" x14ac:dyDescent="0.15">
      <c r="A70" s="41">
        <v>11</v>
      </c>
      <c r="B70" s="41" t="s">
        <v>6679</v>
      </c>
      <c r="C70" s="74" t="s">
        <v>6680</v>
      </c>
      <c r="D70" s="72"/>
      <c r="E70" s="99"/>
      <c r="F70" s="757"/>
      <c r="G70" s="37"/>
      <c r="H70" s="38"/>
      <c r="I70" s="44" t="s">
        <v>397</v>
      </c>
      <c r="J70" s="45" t="s">
        <v>398</v>
      </c>
      <c r="K70" s="46">
        <v>1</v>
      </c>
      <c r="L70" s="55" t="s">
        <v>398</v>
      </c>
      <c r="M70" s="38">
        <f>_11・初任</f>
        <v>0.7</v>
      </c>
      <c r="N70" s="47">
        <f>ROUND((ROUND((ROUND((_11_A通院１増４．０*_11・基礎１),0)*_11・２人),0)*_11・初任),0)</f>
        <v>326</v>
      </c>
      <c r="O70" s="48"/>
    </row>
    <row r="71" spans="1:15" ht="16.5" customHeight="1" x14ac:dyDescent="0.15">
      <c r="A71" s="41">
        <v>11</v>
      </c>
      <c r="B71" s="41">
        <v>3859</v>
      </c>
      <c r="C71" s="74" t="s">
        <v>6681</v>
      </c>
      <c r="D71" s="707" t="s">
        <v>6682</v>
      </c>
      <c r="E71" s="717"/>
      <c r="F71" s="53"/>
      <c r="G71" s="49"/>
      <c r="H71" s="50"/>
      <c r="I71" s="44"/>
      <c r="J71" s="45"/>
      <c r="K71" s="46"/>
      <c r="L71" s="53"/>
      <c r="M71" s="49"/>
      <c r="N71" s="47">
        <f>_11_A通院１増４．５</f>
        <v>747</v>
      </c>
      <c r="O71" s="48"/>
    </row>
    <row r="72" spans="1:15" ht="16.5" customHeight="1" x14ac:dyDescent="0.15">
      <c r="A72" s="41">
        <v>11</v>
      </c>
      <c r="B72" s="41">
        <v>3860</v>
      </c>
      <c r="C72" s="74" t="s">
        <v>6683</v>
      </c>
      <c r="D72" s="709"/>
      <c r="E72" s="718"/>
      <c r="F72" s="43"/>
      <c r="G72" s="37"/>
      <c r="H72" s="38"/>
      <c r="I72" s="44" t="s">
        <v>397</v>
      </c>
      <c r="J72" s="45" t="s">
        <v>398</v>
      </c>
      <c r="K72" s="46">
        <v>1</v>
      </c>
      <c r="L72" s="35"/>
      <c r="N72" s="47">
        <f>ROUND((_11_A通院１増４．５*_11・２人),0)</f>
        <v>747</v>
      </c>
      <c r="O72" s="48"/>
    </row>
    <row r="73" spans="1:15" ht="16.5" customHeight="1" x14ac:dyDescent="0.15">
      <c r="A73" s="41">
        <v>11</v>
      </c>
      <c r="B73" s="41">
        <v>3861</v>
      </c>
      <c r="C73" s="74" t="s">
        <v>6684</v>
      </c>
      <c r="D73" s="709"/>
      <c r="E73" s="718"/>
      <c r="F73" s="752" t="s">
        <v>400</v>
      </c>
      <c r="G73" s="49" t="s">
        <v>398</v>
      </c>
      <c r="H73" s="50">
        <v>0.7</v>
      </c>
      <c r="I73" s="44"/>
      <c r="J73" s="45"/>
      <c r="K73" s="46"/>
      <c r="L73" s="35"/>
      <c r="N73" s="47">
        <f>ROUND((_11_A通院１増４．５*_11・基礎１),0)</f>
        <v>523</v>
      </c>
      <c r="O73" s="48"/>
    </row>
    <row r="74" spans="1:15" ht="16.5" customHeight="1" x14ac:dyDescent="0.15">
      <c r="A74" s="41">
        <v>11</v>
      </c>
      <c r="B74" s="41">
        <v>3862</v>
      </c>
      <c r="C74" s="74" t="s">
        <v>6685</v>
      </c>
      <c r="D74" s="100">
        <f>_11_A通院１増４．５</f>
        <v>747</v>
      </c>
      <c r="E74" s="12" t="s">
        <v>392</v>
      </c>
      <c r="F74" s="757"/>
      <c r="G74" s="37"/>
      <c r="H74" s="38"/>
      <c r="I74" s="44" t="s">
        <v>397</v>
      </c>
      <c r="J74" s="45" t="s">
        <v>398</v>
      </c>
      <c r="K74" s="46">
        <v>1</v>
      </c>
      <c r="L74" s="43"/>
      <c r="M74" s="37"/>
      <c r="N74" s="47">
        <f>ROUND((ROUND((_11_A通院１増４．５*_11・基礎１),0)*_11・２人),0)</f>
        <v>523</v>
      </c>
      <c r="O74" s="48"/>
    </row>
    <row r="75" spans="1:15" ht="16.5" customHeight="1" x14ac:dyDescent="0.15">
      <c r="A75" s="41">
        <v>11</v>
      </c>
      <c r="B75" s="41" t="s">
        <v>6686</v>
      </c>
      <c r="C75" s="74" t="s">
        <v>6687</v>
      </c>
      <c r="D75" s="121"/>
      <c r="E75" s="99"/>
      <c r="F75" s="53"/>
      <c r="G75" s="49"/>
      <c r="H75" s="50"/>
      <c r="I75" s="44"/>
      <c r="J75" s="45"/>
      <c r="K75" s="46"/>
      <c r="L75" s="707" t="s">
        <v>404</v>
      </c>
      <c r="M75" s="708"/>
      <c r="N75" s="47">
        <f>ROUND((_11_A通院１増４．５*_11・初任),0)</f>
        <v>523</v>
      </c>
      <c r="O75" s="48"/>
    </row>
    <row r="76" spans="1:15" ht="16.5" customHeight="1" x14ac:dyDescent="0.15">
      <c r="A76" s="41">
        <v>11</v>
      </c>
      <c r="B76" s="41" t="s">
        <v>6688</v>
      </c>
      <c r="C76" s="74" t="s">
        <v>6689</v>
      </c>
      <c r="D76" s="121"/>
      <c r="E76" s="99"/>
      <c r="F76" s="43"/>
      <c r="G76" s="37"/>
      <c r="H76" s="38"/>
      <c r="I76" s="44" t="s">
        <v>397</v>
      </c>
      <c r="J76" s="45" t="s">
        <v>398</v>
      </c>
      <c r="K76" s="46">
        <v>1</v>
      </c>
      <c r="L76" s="709"/>
      <c r="M76" s="704"/>
      <c r="N76" s="47">
        <f>ROUND((ROUND((_11_A通院１増４．５*_11・２人),0)*_11・初任),0)</f>
        <v>523</v>
      </c>
      <c r="O76" s="48"/>
    </row>
    <row r="77" spans="1:15" ht="16.5" customHeight="1" x14ac:dyDescent="0.15">
      <c r="A77" s="41">
        <v>11</v>
      </c>
      <c r="B77" s="41" t="s">
        <v>6690</v>
      </c>
      <c r="C77" s="74" t="s">
        <v>6691</v>
      </c>
      <c r="D77" s="72"/>
      <c r="E77" s="99"/>
      <c r="F77" s="752" t="s">
        <v>400</v>
      </c>
      <c r="G77" s="49" t="s">
        <v>398</v>
      </c>
      <c r="H77" s="50">
        <v>0.7</v>
      </c>
      <c r="I77" s="44"/>
      <c r="J77" s="45"/>
      <c r="K77" s="46"/>
      <c r="L77" s="709"/>
      <c r="M77" s="704"/>
      <c r="N77" s="47">
        <f>ROUND((ROUND((_11_A通院１増４．５*_11・基礎１),0)*_11・初任),0)</f>
        <v>366</v>
      </c>
      <c r="O77" s="48"/>
    </row>
    <row r="78" spans="1:15" ht="16.5" customHeight="1" x14ac:dyDescent="0.15">
      <c r="A78" s="41">
        <v>11</v>
      </c>
      <c r="B78" s="41" t="s">
        <v>6692</v>
      </c>
      <c r="C78" s="74" t="s">
        <v>6693</v>
      </c>
      <c r="D78" s="122"/>
      <c r="E78" s="111"/>
      <c r="F78" s="757"/>
      <c r="G78" s="37"/>
      <c r="H78" s="38"/>
      <c r="I78" s="44" t="s">
        <v>397</v>
      </c>
      <c r="J78" s="45" t="s">
        <v>398</v>
      </c>
      <c r="K78" s="46">
        <v>1</v>
      </c>
      <c r="L78" s="55" t="s">
        <v>398</v>
      </c>
      <c r="M78" s="38">
        <f>_11・初任</f>
        <v>0.7</v>
      </c>
      <c r="N78" s="47">
        <f>ROUND((ROUND((ROUND((_11_A通院１増４．５*_11・基礎１),0)*_11・２人),0)*_11・初任),0)</f>
        <v>366</v>
      </c>
      <c r="O78" s="63"/>
    </row>
    <row r="79" spans="1:15" ht="16.5" customHeight="1" x14ac:dyDescent="0.15">
      <c r="A79" s="33">
        <v>11</v>
      </c>
      <c r="B79" s="33">
        <v>3863</v>
      </c>
      <c r="C79" s="34" t="s">
        <v>6694</v>
      </c>
      <c r="D79" s="709" t="s">
        <v>6695</v>
      </c>
      <c r="E79" s="718"/>
      <c r="F79" s="35"/>
      <c r="I79" s="36"/>
      <c r="J79" s="37"/>
      <c r="K79" s="38"/>
      <c r="L79" s="35"/>
      <c r="N79" s="39">
        <f>_11_A通院１増５．０</f>
        <v>830</v>
      </c>
      <c r="O79" s="48"/>
    </row>
    <row r="80" spans="1:15" ht="16.5" customHeight="1" x14ac:dyDescent="0.15">
      <c r="A80" s="41">
        <v>11</v>
      </c>
      <c r="B80" s="41">
        <v>3864</v>
      </c>
      <c r="C80" s="74" t="s">
        <v>6696</v>
      </c>
      <c r="D80" s="709"/>
      <c r="E80" s="718"/>
      <c r="F80" s="43"/>
      <c r="G80" s="37"/>
      <c r="H80" s="38"/>
      <c r="I80" s="44" t="s">
        <v>397</v>
      </c>
      <c r="J80" s="45" t="s">
        <v>398</v>
      </c>
      <c r="K80" s="46">
        <v>1</v>
      </c>
      <c r="L80" s="35"/>
      <c r="N80" s="47">
        <f>ROUND((_11_A通院１増５．０*_11・２人),0)</f>
        <v>830</v>
      </c>
      <c r="O80" s="48"/>
    </row>
    <row r="81" spans="1:15" ht="16.5" customHeight="1" x14ac:dyDescent="0.15">
      <c r="A81" s="41">
        <v>11</v>
      </c>
      <c r="B81" s="41">
        <v>3865</v>
      </c>
      <c r="C81" s="74" t="s">
        <v>6697</v>
      </c>
      <c r="D81" s="709"/>
      <c r="E81" s="718"/>
      <c r="F81" s="752" t="s">
        <v>400</v>
      </c>
      <c r="G81" s="49" t="s">
        <v>398</v>
      </c>
      <c r="H81" s="50">
        <v>0.7</v>
      </c>
      <c r="I81" s="44"/>
      <c r="J81" s="45"/>
      <c r="K81" s="46"/>
      <c r="L81" s="35"/>
      <c r="N81" s="47">
        <f>ROUND((_11_A通院１増５．０*_11・基礎１),0)</f>
        <v>581</v>
      </c>
      <c r="O81" s="48"/>
    </row>
    <row r="82" spans="1:15" ht="16.5" customHeight="1" x14ac:dyDescent="0.15">
      <c r="A82" s="41">
        <v>11</v>
      </c>
      <c r="B82" s="41">
        <v>3866</v>
      </c>
      <c r="C82" s="74" t="s">
        <v>6698</v>
      </c>
      <c r="D82" s="100">
        <f>_11_A通院１増５．０</f>
        <v>830</v>
      </c>
      <c r="E82" s="12" t="s">
        <v>392</v>
      </c>
      <c r="F82" s="757"/>
      <c r="G82" s="37"/>
      <c r="H82" s="38"/>
      <c r="I82" s="44" t="s">
        <v>397</v>
      </c>
      <c r="J82" s="45" t="s">
        <v>398</v>
      </c>
      <c r="K82" s="46">
        <v>1</v>
      </c>
      <c r="L82" s="43"/>
      <c r="M82" s="37"/>
      <c r="N82" s="47">
        <f>ROUND((ROUND((_11_A通院１増５．０*_11・基礎１),0)*_11・２人),0)</f>
        <v>581</v>
      </c>
      <c r="O82" s="48"/>
    </row>
    <row r="83" spans="1:15" ht="16.5" customHeight="1" x14ac:dyDescent="0.15">
      <c r="A83" s="41">
        <v>11</v>
      </c>
      <c r="B83" s="41" t="s">
        <v>6699</v>
      </c>
      <c r="C83" s="74" t="s">
        <v>6700</v>
      </c>
      <c r="D83" s="121"/>
      <c r="E83" s="99"/>
      <c r="F83" s="53"/>
      <c r="G83" s="49"/>
      <c r="H83" s="50"/>
      <c r="I83" s="44"/>
      <c r="J83" s="45"/>
      <c r="K83" s="46"/>
      <c r="L83" s="707" t="s">
        <v>404</v>
      </c>
      <c r="M83" s="708"/>
      <c r="N83" s="47">
        <f>ROUND((_11_A通院１増５．０*_11・初任),0)</f>
        <v>581</v>
      </c>
      <c r="O83" s="48"/>
    </row>
    <row r="84" spans="1:15" ht="16.5" customHeight="1" x14ac:dyDescent="0.15">
      <c r="A84" s="41">
        <v>11</v>
      </c>
      <c r="B84" s="41" t="s">
        <v>6701</v>
      </c>
      <c r="C84" s="74" t="s">
        <v>6702</v>
      </c>
      <c r="D84" s="121"/>
      <c r="E84" s="99"/>
      <c r="F84" s="43"/>
      <c r="G84" s="37"/>
      <c r="H84" s="38"/>
      <c r="I84" s="44" t="s">
        <v>397</v>
      </c>
      <c r="J84" s="45" t="s">
        <v>398</v>
      </c>
      <c r="K84" s="46">
        <v>1</v>
      </c>
      <c r="L84" s="709"/>
      <c r="M84" s="704"/>
      <c r="N84" s="47">
        <f>ROUND((ROUND((_11_A通院１増５．０*_11・２人),0)*_11・初任),0)</f>
        <v>581</v>
      </c>
      <c r="O84" s="48"/>
    </row>
    <row r="85" spans="1:15" ht="16.5" customHeight="1" x14ac:dyDescent="0.15">
      <c r="A85" s="41">
        <v>11</v>
      </c>
      <c r="B85" s="41" t="s">
        <v>6703</v>
      </c>
      <c r="C85" s="74" t="s">
        <v>6704</v>
      </c>
      <c r="D85" s="72"/>
      <c r="E85" s="99"/>
      <c r="F85" s="752" t="s">
        <v>400</v>
      </c>
      <c r="G85" s="49" t="s">
        <v>398</v>
      </c>
      <c r="H85" s="50">
        <v>0.7</v>
      </c>
      <c r="I85" s="44"/>
      <c r="J85" s="45"/>
      <c r="K85" s="46"/>
      <c r="L85" s="709"/>
      <c r="M85" s="704"/>
      <c r="N85" s="47">
        <f>ROUND((ROUND((_11_A通院１増５．０*_11・基礎１),0)*_11・初任),0)</f>
        <v>407</v>
      </c>
      <c r="O85" s="48"/>
    </row>
    <row r="86" spans="1:15" ht="16.5" customHeight="1" x14ac:dyDescent="0.15">
      <c r="A86" s="41">
        <v>11</v>
      </c>
      <c r="B86" s="41" t="s">
        <v>6705</v>
      </c>
      <c r="C86" s="74" t="s">
        <v>6706</v>
      </c>
      <c r="D86" s="72"/>
      <c r="E86" s="99"/>
      <c r="F86" s="757"/>
      <c r="G86" s="37"/>
      <c r="H86" s="38"/>
      <c r="I86" s="44" t="s">
        <v>397</v>
      </c>
      <c r="J86" s="45" t="s">
        <v>398</v>
      </c>
      <c r="K86" s="46">
        <v>1</v>
      </c>
      <c r="L86" s="55" t="s">
        <v>398</v>
      </c>
      <c r="M86" s="38">
        <f>_11・初任</f>
        <v>0.7</v>
      </c>
      <c r="N86" s="47">
        <f>ROUND((ROUND((ROUND((_11_A通院１増５．０*_11・基礎１),0)*_11・２人),0)*_11・初任),0)</f>
        <v>407</v>
      </c>
      <c r="O86" s="48"/>
    </row>
    <row r="87" spans="1:15" ht="16.5" customHeight="1" x14ac:dyDescent="0.15">
      <c r="A87" s="41">
        <v>11</v>
      </c>
      <c r="B87" s="41">
        <v>3867</v>
      </c>
      <c r="C87" s="74" t="s">
        <v>6707</v>
      </c>
      <c r="D87" s="707" t="s">
        <v>6708</v>
      </c>
      <c r="E87" s="717"/>
      <c r="F87" s="53"/>
      <c r="G87" s="49"/>
      <c r="H87" s="50"/>
      <c r="I87" s="44"/>
      <c r="J87" s="45"/>
      <c r="K87" s="46"/>
      <c r="L87" s="53"/>
      <c r="M87" s="49"/>
      <c r="N87" s="47">
        <f>_11_A通院１増５．５</f>
        <v>913</v>
      </c>
      <c r="O87" s="48"/>
    </row>
    <row r="88" spans="1:15" ht="16.5" customHeight="1" x14ac:dyDescent="0.15">
      <c r="A88" s="41">
        <v>11</v>
      </c>
      <c r="B88" s="41">
        <v>3868</v>
      </c>
      <c r="C88" s="74" t="s">
        <v>6709</v>
      </c>
      <c r="D88" s="709"/>
      <c r="E88" s="718"/>
      <c r="F88" s="43"/>
      <c r="G88" s="37"/>
      <c r="H88" s="38"/>
      <c r="I88" s="44" t="s">
        <v>397</v>
      </c>
      <c r="J88" s="45" t="s">
        <v>398</v>
      </c>
      <c r="K88" s="46">
        <v>1</v>
      </c>
      <c r="L88" s="35"/>
      <c r="N88" s="47">
        <f>ROUND((_11_A通院１増５．５*_11・２人),0)</f>
        <v>913</v>
      </c>
      <c r="O88" s="48"/>
    </row>
    <row r="89" spans="1:15" ht="16.5" customHeight="1" x14ac:dyDescent="0.15">
      <c r="A89" s="41">
        <v>11</v>
      </c>
      <c r="B89" s="41">
        <v>3869</v>
      </c>
      <c r="C89" s="74" t="s">
        <v>6710</v>
      </c>
      <c r="D89" s="709"/>
      <c r="E89" s="718"/>
      <c r="F89" s="752" t="s">
        <v>400</v>
      </c>
      <c r="G89" s="49" t="s">
        <v>398</v>
      </c>
      <c r="H89" s="50">
        <v>0.7</v>
      </c>
      <c r="I89" s="44"/>
      <c r="J89" s="45"/>
      <c r="K89" s="46"/>
      <c r="L89" s="35"/>
      <c r="N89" s="47">
        <f>ROUND((_11_A通院１増５．５*_11・基礎１),0)</f>
        <v>639</v>
      </c>
      <c r="O89" s="48"/>
    </row>
    <row r="90" spans="1:15" ht="16.5" customHeight="1" x14ac:dyDescent="0.15">
      <c r="A90" s="41">
        <v>11</v>
      </c>
      <c r="B90" s="41">
        <v>3870</v>
      </c>
      <c r="C90" s="74" t="s">
        <v>6711</v>
      </c>
      <c r="D90" s="100">
        <f>_11_A通院１増５．５</f>
        <v>913</v>
      </c>
      <c r="E90" s="12" t="s">
        <v>392</v>
      </c>
      <c r="F90" s="757"/>
      <c r="G90" s="37"/>
      <c r="H90" s="38"/>
      <c r="I90" s="44" t="s">
        <v>397</v>
      </c>
      <c r="J90" s="45" t="s">
        <v>398</v>
      </c>
      <c r="K90" s="46">
        <v>1</v>
      </c>
      <c r="L90" s="43"/>
      <c r="M90" s="37"/>
      <c r="N90" s="47">
        <f>ROUND((ROUND((_11_A通院１増５．５*_11・基礎１),0)*_11・２人),0)</f>
        <v>639</v>
      </c>
      <c r="O90" s="48"/>
    </row>
    <row r="91" spans="1:15" ht="16.5" customHeight="1" x14ac:dyDescent="0.15">
      <c r="A91" s="41">
        <v>11</v>
      </c>
      <c r="B91" s="41" t="s">
        <v>6712</v>
      </c>
      <c r="C91" s="74" t="s">
        <v>6713</v>
      </c>
      <c r="D91" s="121"/>
      <c r="E91" s="99"/>
      <c r="F91" s="53"/>
      <c r="G91" s="49"/>
      <c r="H91" s="50"/>
      <c r="I91" s="44"/>
      <c r="J91" s="45"/>
      <c r="K91" s="46"/>
      <c r="L91" s="707" t="s">
        <v>404</v>
      </c>
      <c r="M91" s="708"/>
      <c r="N91" s="47">
        <f>ROUND((_11_A通院１増５．５*_11・初任),0)</f>
        <v>639</v>
      </c>
      <c r="O91" s="48"/>
    </row>
    <row r="92" spans="1:15" ht="16.5" customHeight="1" x14ac:dyDescent="0.15">
      <c r="A92" s="41">
        <v>11</v>
      </c>
      <c r="B92" s="41" t="s">
        <v>6714</v>
      </c>
      <c r="C92" s="74" t="s">
        <v>6715</v>
      </c>
      <c r="D92" s="121"/>
      <c r="E92" s="99"/>
      <c r="F92" s="43"/>
      <c r="G92" s="37"/>
      <c r="H92" s="38"/>
      <c r="I92" s="44" t="s">
        <v>397</v>
      </c>
      <c r="J92" s="45" t="s">
        <v>398</v>
      </c>
      <c r="K92" s="46">
        <v>1</v>
      </c>
      <c r="L92" s="709"/>
      <c r="M92" s="704"/>
      <c r="N92" s="47">
        <f>ROUND((ROUND((_11_A通院１増５．５*_11・２人),0)*_11・初任),0)</f>
        <v>639</v>
      </c>
      <c r="O92" s="48"/>
    </row>
    <row r="93" spans="1:15" ht="16.5" customHeight="1" x14ac:dyDescent="0.15">
      <c r="A93" s="41">
        <v>11</v>
      </c>
      <c r="B93" s="41" t="s">
        <v>6716</v>
      </c>
      <c r="C93" s="74" t="s">
        <v>6717</v>
      </c>
      <c r="D93" s="72"/>
      <c r="E93" s="99"/>
      <c r="F93" s="752" t="s">
        <v>400</v>
      </c>
      <c r="G93" s="49" t="s">
        <v>398</v>
      </c>
      <c r="H93" s="50">
        <v>0.7</v>
      </c>
      <c r="I93" s="44"/>
      <c r="J93" s="45"/>
      <c r="K93" s="46"/>
      <c r="L93" s="709"/>
      <c r="M93" s="704"/>
      <c r="N93" s="47">
        <f>ROUND((ROUND((_11_A通院１増５．５*_11・基礎１),0)*_11・初任),0)</f>
        <v>447</v>
      </c>
      <c r="O93" s="48"/>
    </row>
    <row r="94" spans="1:15" ht="16.5" customHeight="1" x14ac:dyDescent="0.15">
      <c r="A94" s="41">
        <v>11</v>
      </c>
      <c r="B94" s="41" t="s">
        <v>6718</v>
      </c>
      <c r="C94" s="74" t="s">
        <v>6719</v>
      </c>
      <c r="D94" s="72"/>
      <c r="E94" s="99"/>
      <c r="F94" s="757"/>
      <c r="G94" s="37"/>
      <c r="H94" s="38"/>
      <c r="I94" s="44" t="s">
        <v>397</v>
      </c>
      <c r="J94" s="45" t="s">
        <v>398</v>
      </c>
      <c r="K94" s="46">
        <v>1</v>
      </c>
      <c r="L94" s="55" t="s">
        <v>398</v>
      </c>
      <c r="M94" s="38">
        <f>_11・初任</f>
        <v>0.7</v>
      </c>
      <c r="N94" s="47">
        <f>ROUND((ROUND((ROUND((_11_A通院１増５．５*_11・基礎１),0)*_11・２人),0)*_11・初任),0)</f>
        <v>447</v>
      </c>
      <c r="O94" s="48"/>
    </row>
    <row r="95" spans="1:15" ht="16.5" customHeight="1" x14ac:dyDescent="0.15">
      <c r="A95" s="41">
        <v>11</v>
      </c>
      <c r="B95" s="41">
        <v>3871</v>
      </c>
      <c r="C95" s="74" t="s">
        <v>6720</v>
      </c>
      <c r="D95" s="707" t="s">
        <v>6721</v>
      </c>
      <c r="E95" s="717"/>
      <c r="F95" s="53"/>
      <c r="G95" s="49"/>
      <c r="H95" s="50"/>
      <c r="I95" s="44"/>
      <c r="J95" s="45"/>
      <c r="K95" s="46"/>
      <c r="L95" s="53"/>
      <c r="M95" s="49"/>
      <c r="N95" s="47">
        <f>_11_A通院１増６．０</f>
        <v>996</v>
      </c>
      <c r="O95" s="48"/>
    </row>
    <row r="96" spans="1:15" ht="16.5" customHeight="1" x14ac:dyDescent="0.15">
      <c r="A96" s="41">
        <v>11</v>
      </c>
      <c r="B96" s="41">
        <v>3872</v>
      </c>
      <c r="C96" s="74" t="s">
        <v>6722</v>
      </c>
      <c r="D96" s="709"/>
      <c r="E96" s="718"/>
      <c r="F96" s="43"/>
      <c r="G96" s="37"/>
      <c r="H96" s="38"/>
      <c r="I96" s="44" t="s">
        <v>397</v>
      </c>
      <c r="J96" s="45" t="s">
        <v>398</v>
      </c>
      <c r="K96" s="46">
        <v>1</v>
      </c>
      <c r="L96" s="35"/>
      <c r="N96" s="47">
        <f>ROUND((_11_A通院１増６．０*_11・２人),0)</f>
        <v>996</v>
      </c>
      <c r="O96" s="48"/>
    </row>
    <row r="97" spans="1:15" ht="16.5" customHeight="1" x14ac:dyDescent="0.15">
      <c r="A97" s="41">
        <v>11</v>
      </c>
      <c r="B97" s="41">
        <v>3873</v>
      </c>
      <c r="C97" s="74" t="s">
        <v>6723</v>
      </c>
      <c r="D97" s="709"/>
      <c r="E97" s="718"/>
      <c r="F97" s="752" t="s">
        <v>400</v>
      </c>
      <c r="G97" s="49" t="s">
        <v>398</v>
      </c>
      <c r="H97" s="50">
        <v>0.7</v>
      </c>
      <c r="I97" s="44"/>
      <c r="J97" s="45"/>
      <c r="K97" s="46"/>
      <c r="L97" s="35"/>
      <c r="N97" s="47">
        <f>ROUND((_11_A通院１増６．０*_11・基礎１),0)</f>
        <v>697</v>
      </c>
      <c r="O97" s="48"/>
    </row>
    <row r="98" spans="1:15" ht="16.5" customHeight="1" x14ac:dyDescent="0.15">
      <c r="A98" s="41">
        <v>11</v>
      </c>
      <c r="B98" s="41">
        <v>3874</v>
      </c>
      <c r="C98" s="74" t="s">
        <v>6724</v>
      </c>
      <c r="D98" s="100">
        <f>_11_A通院１増６．０</f>
        <v>996</v>
      </c>
      <c r="E98" s="12" t="s">
        <v>392</v>
      </c>
      <c r="F98" s="757"/>
      <c r="G98" s="37"/>
      <c r="H98" s="38"/>
      <c r="I98" s="44" t="s">
        <v>397</v>
      </c>
      <c r="J98" s="45" t="s">
        <v>398</v>
      </c>
      <c r="K98" s="46">
        <v>1</v>
      </c>
      <c r="L98" s="43"/>
      <c r="M98" s="37"/>
      <c r="N98" s="47">
        <f>ROUND((ROUND((_11_A通院１増６．０*_11・基礎１),0)*_11・２人),0)</f>
        <v>697</v>
      </c>
      <c r="O98" s="48"/>
    </row>
    <row r="99" spans="1:15" ht="16.5" customHeight="1" x14ac:dyDescent="0.15">
      <c r="A99" s="41">
        <v>11</v>
      </c>
      <c r="B99" s="41" t="s">
        <v>6725</v>
      </c>
      <c r="C99" s="74" t="s">
        <v>6726</v>
      </c>
      <c r="D99" s="121"/>
      <c r="E99" s="99"/>
      <c r="F99" s="53"/>
      <c r="G99" s="49"/>
      <c r="H99" s="50"/>
      <c r="I99" s="44"/>
      <c r="J99" s="45"/>
      <c r="K99" s="46"/>
      <c r="L99" s="707" t="s">
        <v>404</v>
      </c>
      <c r="M99" s="708"/>
      <c r="N99" s="47">
        <f>ROUND((_11_A通院１増６．０*_11・初任),0)</f>
        <v>697</v>
      </c>
      <c r="O99" s="48"/>
    </row>
    <row r="100" spans="1:15" ht="16.5" customHeight="1" x14ac:dyDescent="0.15">
      <c r="A100" s="41">
        <v>11</v>
      </c>
      <c r="B100" s="41" t="s">
        <v>6727</v>
      </c>
      <c r="C100" s="74" t="s">
        <v>6728</v>
      </c>
      <c r="D100" s="121"/>
      <c r="E100" s="99"/>
      <c r="F100" s="43"/>
      <c r="G100" s="37"/>
      <c r="H100" s="38"/>
      <c r="I100" s="44" t="s">
        <v>397</v>
      </c>
      <c r="J100" s="45" t="s">
        <v>398</v>
      </c>
      <c r="K100" s="46">
        <v>1</v>
      </c>
      <c r="L100" s="709"/>
      <c r="M100" s="704"/>
      <c r="N100" s="47">
        <f>ROUND((ROUND((_11_A通院１増６．０*_11・２人),0)*_11・初任),0)</f>
        <v>697</v>
      </c>
      <c r="O100" s="48"/>
    </row>
    <row r="101" spans="1:15" ht="16.5" customHeight="1" x14ac:dyDescent="0.15">
      <c r="A101" s="41">
        <v>11</v>
      </c>
      <c r="B101" s="41" t="s">
        <v>6729</v>
      </c>
      <c r="C101" s="74" t="s">
        <v>6730</v>
      </c>
      <c r="D101" s="72"/>
      <c r="E101" s="99"/>
      <c r="F101" s="752" t="s">
        <v>400</v>
      </c>
      <c r="G101" s="49" t="s">
        <v>398</v>
      </c>
      <c r="H101" s="50">
        <v>0.7</v>
      </c>
      <c r="I101" s="44"/>
      <c r="J101" s="45"/>
      <c r="K101" s="46"/>
      <c r="L101" s="709"/>
      <c r="M101" s="704"/>
      <c r="N101" s="47">
        <f>ROUND((ROUND((_11_A通院１増６．０*_11・基礎１),0)*_11・初任),0)</f>
        <v>488</v>
      </c>
      <c r="O101" s="48"/>
    </row>
    <row r="102" spans="1:15" ht="16.5" customHeight="1" x14ac:dyDescent="0.15">
      <c r="A102" s="41">
        <v>11</v>
      </c>
      <c r="B102" s="41" t="s">
        <v>6731</v>
      </c>
      <c r="C102" s="74" t="s">
        <v>6732</v>
      </c>
      <c r="D102" s="72"/>
      <c r="E102" s="99"/>
      <c r="F102" s="757"/>
      <c r="G102" s="37"/>
      <c r="H102" s="38"/>
      <c r="I102" s="44" t="s">
        <v>397</v>
      </c>
      <c r="J102" s="45" t="s">
        <v>398</v>
      </c>
      <c r="K102" s="46">
        <v>1</v>
      </c>
      <c r="L102" s="55" t="s">
        <v>398</v>
      </c>
      <c r="M102" s="38">
        <f>_11・初任</f>
        <v>0.7</v>
      </c>
      <c r="N102" s="47">
        <f>ROUND((ROUND((ROUND((_11_A通院１増６．０*_11・基礎１),0)*_11・２人),0)*_11・初任),0)</f>
        <v>488</v>
      </c>
      <c r="O102" s="48"/>
    </row>
    <row r="103" spans="1:15" ht="16.5" customHeight="1" x14ac:dyDescent="0.15">
      <c r="A103" s="41">
        <v>11</v>
      </c>
      <c r="B103" s="41">
        <v>3875</v>
      </c>
      <c r="C103" s="74" t="s">
        <v>6733</v>
      </c>
      <c r="D103" s="707" t="s">
        <v>6734</v>
      </c>
      <c r="E103" s="717"/>
      <c r="F103" s="53"/>
      <c r="G103" s="49"/>
      <c r="H103" s="50"/>
      <c r="I103" s="44"/>
      <c r="J103" s="45"/>
      <c r="K103" s="46"/>
      <c r="L103" s="53"/>
      <c r="M103" s="49"/>
      <c r="N103" s="47">
        <f>_11_A通院１増６．５</f>
        <v>1079</v>
      </c>
      <c r="O103" s="48"/>
    </row>
    <row r="104" spans="1:15" ht="16.5" customHeight="1" x14ac:dyDescent="0.15">
      <c r="A104" s="41">
        <v>11</v>
      </c>
      <c r="B104" s="41">
        <v>3876</v>
      </c>
      <c r="C104" s="74" t="s">
        <v>6735</v>
      </c>
      <c r="D104" s="709"/>
      <c r="E104" s="718"/>
      <c r="F104" s="43"/>
      <c r="G104" s="37"/>
      <c r="H104" s="38"/>
      <c r="I104" s="44" t="s">
        <v>397</v>
      </c>
      <c r="J104" s="45" t="s">
        <v>398</v>
      </c>
      <c r="K104" s="46">
        <v>1</v>
      </c>
      <c r="L104" s="35"/>
      <c r="N104" s="47">
        <f>ROUND((_11_A通院１増６．５*_11・２人),0)</f>
        <v>1079</v>
      </c>
      <c r="O104" s="48"/>
    </row>
    <row r="105" spans="1:15" ht="16.5" customHeight="1" x14ac:dyDescent="0.15">
      <c r="A105" s="41">
        <v>11</v>
      </c>
      <c r="B105" s="41">
        <v>3877</v>
      </c>
      <c r="C105" s="74" t="s">
        <v>6736</v>
      </c>
      <c r="D105" s="709"/>
      <c r="E105" s="718"/>
      <c r="F105" s="752" t="s">
        <v>400</v>
      </c>
      <c r="G105" s="49" t="s">
        <v>398</v>
      </c>
      <c r="H105" s="50">
        <v>0.7</v>
      </c>
      <c r="I105" s="44"/>
      <c r="J105" s="45"/>
      <c r="K105" s="46"/>
      <c r="L105" s="35"/>
      <c r="N105" s="47">
        <f>ROUND((_11_A通院１増６．５*_11・基礎１),0)</f>
        <v>755</v>
      </c>
      <c r="O105" s="48"/>
    </row>
    <row r="106" spans="1:15" ht="16.5" customHeight="1" x14ac:dyDescent="0.15">
      <c r="A106" s="41">
        <v>11</v>
      </c>
      <c r="B106" s="41">
        <v>3878</v>
      </c>
      <c r="C106" s="74" t="s">
        <v>6737</v>
      </c>
      <c r="D106" s="100">
        <f>_11_A通院１増６．５</f>
        <v>1079</v>
      </c>
      <c r="E106" s="12" t="s">
        <v>392</v>
      </c>
      <c r="F106" s="757"/>
      <c r="G106" s="37"/>
      <c r="H106" s="38"/>
      <c r="I106" s="44" t="s">
        <v>397</v>
      </c>
      <c r="J106" s="45" t="s">
        <v>398</v>
      </c>
      <c r="K106" s="46">
        <v>1</v>
      </c>
      <c r="L106" s="43"/>
      <c r="M106" s="37"/>
      <c r="N106" s="47">
        <f>ROUND((ROUND((_11_A通院１増６．５*_11・基礎１),0)*_11・２人),0)</f>
        <v>755</v>
      </c>
      <c r="O106" s="48"/>
    </row>
    <row r="107" spans="1:15" ht="16.5" customHeight="1" x14ac:dyDescent="0.15">
      <c r="A107" s="41">
        <v>11</v>
      </c>
      <c r="B107" s="41" t="s">
        <v>6738</v>
      </c>
      <c r="C107" s="74" t="s">
        <v>6739</v>
      </c>
      <c r="D107" s="121"/>
      <c r="E107" s="99"/>
      <c r="F107" s="53"/>
      <c r="G107" s="49"/>
      <c r="H107" s="50"/>
      <c r="I107" s="44"/>
      <c r="J107" s="45"/>
      <c r="K107" s="46"/>
      <c r="L107" s="707" t="s">
        <v>404</v>
      </c>
      <c r="M107" s="708"/>
      <c r="N107" s="47">
        <f>ROUND((_11_A通院１増６．５*_11・初任),0)</f>
        <v>755</v>
      </c>
      <c r="O107" s="48"/>
    </row>
    <row r="108" spans="1:15" ht="16.5" customHeight="1" x14ac:dyDescent="0.15">
      <c r="A108" s="41">
        <v>11</v>
      </c>
      <c r="B108" s="41" t="s">
        <v>6740</v>
      </c>
      <c r="C108" s="74" t="s">
        <v>6741</v>
      </c>
      <c r="D108" s="121"/>
      <c r="E108" s="99"/>
      <c r="F108" s="43"/>
      <c r="G108" s="37"/>
      <c r="H108" s="38"/>
      <c r="I108" s="44" t="s">
        <v>397</v>
      </c>
      <c r="J108" s="45" t="s">
        <v>398</v>
      </c>
      <c r="K108" s="46">
        <v>1</v>
      </c>
      <c r="L108" s="709"/>
      <c r="M108" s="704"/>
      <c r="N108" s="47">
        <f>ROUND((ROUND((_11_A通院１増６．５*_11・２人),0)*_11・初任),0)</f>
        <v>755</v>
      </c>
      <c r="O108" s="48"/>
    </row>
    <row r="109" spans="1:15" ht="16.5" customHeight="1" x14ac:dyDescent="0.15">
      <c r="A109" s="41">
        <v>11</v>
      </c>
      <c r="B109" s="41" t="s">
        <v>6742</v>
      </c>
      <c r="C109" s="74" t="s">
        <v>6743</v>
      </c>
      <c r="D109" s="72"/>
      <c r="E109" s="99"/>
      <c r="F109" s="752" t="s">
        <v>400</v>
      </c>
      <c r="G109" s="49" t="s">
        <v>398</v>
      </c>
      <c r="H109" s="50">
        <v>0.7</v>
      </c>
      <c r="I109" s="44"/>
      <c r="J109" s="45"/>
      <c r="K109" s="46"/>
      <c r="L109" s="709"/>
      <c r="M109" s="704"/>
      <c r="N109" s="47">
        <f>ROUND((ROUND((_11_A通院１増６．５*_11・基礎１),0)*_11・初任),0)</f>
        <v>529</v>
      </c>
      <c r="O109" s="48"/>
    </row>
    <row r="110" spans="1:15" ht="16.5" customHeight="1" x14ac:dyDescent="0.15">
      <c r="A110" s="41">
        <v>11</v>
      </c>
      <c r="B110" s="41" t="s">
        <v>6744</v>
      </c>
      <c r="C110" s="74" t="s">
        <v>6745</v>
      </c>
      <c r="D110" s="72"/>
      <c r="E110" s="99"/>
      <c r="F110" s="757"/>
      <c r="G110" s="37"/>
      <c r="H110" s="38"/>
      <c r="I110" s="44" t="s">
        <v>397</v>
      </c>
      <c r="J110" s="45" t="s">
        <v>398</v>
      </c>
      <c r="K110" s="46">
        <v>1</v>
      </c>
      <c r="L110" s="55" t="s">
        <v>398</v>
      </c>
      <c r="M110" s="38">
        <f>_11・初任</f>
        <v>0.7</v>
      </c>
      <c r="N110" s="47">
        <f>ROUND((ROUND((ROUND((_11_A通院１増６．５*_11・基礎１),0)*_11・２人),0)*_11・初任),0)</f>
        <v>529</v>
      </c>
      <c r="O110" s="48"/>
    </row>
    <row r="111" spans="1:15" ht="16.5" customHeight="1" x14ac:dyDescent="0.15">
      <c r="A111" s="41">
        <v>11</v>
      </c>
      <c r="B111" s="41">
        <v>3879</v>
      </c>
      <c r="C111" s="74" t="s">
        <v>6746</v>
      </c>
      <c r="D111" s="707" t="s">
        <v>6747</v>
      </c>
      <c r="E111" s="717"/>
      <c r="F111" s="53"/>
      <c r="G111" s="49"/>
      <c r="H111" s="50"/>
      <c r="I111" s="44"/>
      <c r="J111" s="45"/>
      <c r="K111" s="46"/>
      <c r="L111" s="53"/>
      <c r="M111" s="49"/>
      <c r="N111" s="47">
        <f>_11_A通院１増７．０</f>
        <v>1162</v>
      </c>
      <c r="O111" s="48"/>
    </row>
    <row r="112" spans="1:15" ht="16.5" customHeight="1" x14ac:dyDescent="0.15">
      <c r="A112" s="41">
        <v>11</v>
      </c>
      <c r="B112" s="41">
        <v>3880</v>
      </c>
      <c r="C112" s="74" t="s">
        <v>6748</v>
      </c>
      <c r="D112" s="709"/>
      <c r="E112" s="718"/>
      <c r="F112" s="43"/>
      <c r="G112" s="37"/>
      <c r="H112" s="38"/>
      <c r="I112" s="44" t="s">
        <v>397</v>
      </c>
      <c r="J112" s="45" t="s">
        <v>398</v>
      </c>
      <c r="K112" s="46">
        <v>1</v>
      </c>
      <c r="L112" s="35"/>
      <c r="N112" s="47">
        <f>ROUND((_11_A通院１増７．０*_11・２人),0)</f>
        <v>1162</v>
      </c>
      <c r="O112" s="48"/>
    </row>
    <row r="113" spans="1:15" ht="16.5" customHeight="1" x14ac:dyDescent="0.15">
      <c r="A113" s="41">
        <v>11</v>
      </c>
      <c r="B113" s="41">
        <v>3881</v>
      </c>
      <c r="C113" s="74" t="s">
        <v>6749</v>
      </c>
      <c r="D113" s="709"/>
      <c r="E113" s="718"/>
      <c r="F113" s="752" t="s">
        <v>400</v>
      </c>
      <c r="G113" s="49" t="s">
        <v>398</v>
      </c>
      <c r="H113" s="50">
        <v>0.7</v>
      </c>
      <c r="I113" s="44"/>
      <c r="J113" s="45"/>
      <c r="K113" s="46"/>
      <c r="L113" s="35"/>
      <c r="N113" s="47">
        <f>ROUND((_11_A通院１増７．０*_11・基礎１),0)</f>
        <v>813</v>
      </c>
      <c r="O113" s="48"/>
    </row>
    <row r="114" spans="1:15" ht="16.5" customHeight="1" x14ac:dyDescent="0.15">
      <c r="A114" s="41">
        <v>11</v>
      </c>
      <c r="B114" s="41">
        <v>3882</v>
      </c>
      <c r="C114" s="74" t="s">
        <v>6750</v>
      </c>
      <c r="D114" s="100">
        <f>_11_A通院１増７．０</f>
        <v>1162</v>
      </c>
      <c r="E114" s="12" t="s">
        <v>392</v>
      </c>
      <c r="F114" s="757"/>
      <c r="G114" s="37"/>
      <c r="H114" s="38"/>
      <c r="I114" s="44" t="s">
        <v>397</v>
      </c>
      <c r="J114" s="45" t="s">
        <v>398</v>
      </c>
      <c r="K114" s="46">
        <v>1</v>
      </c>
      <c r="L114" s="43"/>
      <c r="M114" s="37"/>
      <c r="N114" s="47">
        <f>ROUND((ROUND((_11_A通院１増７．０*_11・基礎１),0)*_11・２人),0)</f>
        <v>813</v>
      </c>
      <c r="O114" s="48"/>
    </row>
    <row r="115" spans="1:15" ht="16.5" customHeight="1" x14ac:dyDescent="0.15">
      <c r="A115" s="41">
        <v>11</v>
      </c>
      <c r="B115" s="41" t="s">
        <v>6751</v>
      </c>
      <c r="C115" s="74" t="s">
        <v>6752</v>
      </c>
      <c r="D115" s="121"/>
      <c r="E115" s="99"/>
      <c r="F115" s="53"/>
      <c r="G115" s="49"/>
      <c r="H115" s="50"/>
      <c r="I115" s="44"/>
      <c r="J115" s="45"/>
      <c r="K115" s="46"/>
      <c r="L115" s="707" t="s">
        <v>404</v>
      </c>
      <c r="M115" s="708"/>
      <c r="N115" s="47">
        <f>ROUND((_11_A通院１増７．０*_11・初任),0)</f>
        <v>813</v>
      </c>
      <c r="O115" s="48"/>
    </row>
    <row r="116" spans="1:15" ht="16.5" customHeight="1" x14ac:dyDescent="0.15">
      <c r="A116" s="41">
        <v>11</v>
      </c>
      <c r="B116" s="41" t="s">
        <v>6753</v>
      </c>
      <c r="C116" s="74" t="s">
        <v>6754</v>
      </c>
      <c r="D116" s="121"/>
      <c r="E116" s="99"/>
      <c r="F116" s="43"/>
      <c r="G116" s="37"/>
      <c r="H116" s="38"/>
      <c r="I116" s="44" t="s">
        <v>397</v>
      </c>
      <c r="J116" s="45" t="s">
        <v>398</v>
      </c>
      <c r="K116" s="46">
        <v>1</v>
      </c>
      <c r="L116" s="709"/>
      <c r="M116" s="704"/>
      <c r="N116" s="47">
        <f>ROUND((ROUND((_11_A通院１増７．０*_11・２人),0)*_11・初任),0)</f>
        <v>813</v>
      </c>
      <c r="O116" s="48"/>
    </row>
    <row r="117" spans="1:15" ht="16.5" customHeight="1" x14ac:dyDescent="0.15">
      <c r="A117" s="41">
        <v>11</v>
      </c>
      <c r="B117" s="41" t="s">
        <v>6755</v>
      </c>
      <c r="C117" s="74" t="s">
        <v>6756</v>
      </c>
      <c r="D117" s="72"/>
      <c r="E117" s="99"/>
      <c r="F117" s="752" t="s">
        <v>400</v>
      </c>
      <c r="G117" s="49" t="s">
        <v>398</v>
      </c>
      <c r="H117" s="50">
        <v>0.7</v>
      </c>
      <c r="I117" s="44"/>
      <c r="J117" s="45"/>
      <c r="K117" s="46"/>
      <c r="L117" s="709"/>
      <c r="M117" s="704"/>
      <c r="N117" s="47">
        <f>ROUND((ROUND((_11_A通院１増７．０*_11・基礎１),0)*_11・初任),0)</f>
        <v>569</v>
      </c>
      <c r="O117" s="48"/>
    </row>
    <row r="118" spans="1:15" ht="16.5" customHeight="1" x14ac:dyDescent="0.15">
      <c r="A118" s="41">
        <v>11</v>
      </c>
      <c r="B118" s="41" t="s">
        <v>6757</v>
      </c>
      <c r="C118" s="74" t="s">
        <v>6758</v>
      </c>
      <c r="D118" s="72"/>
      <c r="E118" s="99"/>
      <c r="F118" s="757"/>
      <c r="G118" s="37"/>
      <c r="H118" s="38"/>
      <c r="I118" s="44" t="s">
        <v>397</v>
      </c>
      <c r="J118" s="45" t="s">
        <v>398</v>
      </c>
      <c r="K118" s="46">
        <v>1</v>
      </c>
      <c r="L118" s="55" t="s">
        <v>398</v>
      </c>
      <c r="M118" s="38">
        <f>_11・初任</f>
        <v>0.7</v>
      </c>
      <c r="N118" s="47">
        <f>ROUND((ROUND((ROUND((_11_A通院１増７．０*_11・基礎１),0)*_11・２人),0)*_11・初任),0)</f>
        <v>569</v>
      </c>
      <c r="O118" s="48"/>
    </row>
    <row r="119" spans="1:15" ht="16.5" customHeight="1" x14ac:dyDescent="0.15">
      <c r="A119" s="41">
        <v>11</v>
      </c>
      <c r="B119" s="41">
        <v>3883</v>
      </c>
      <c r="C119" s="74" t="s">
        <v>6759</v>
      </c>
      <c r="D119" s="707" t="s">
        <v>6760</v>
      </c>
      <c r="E119" s="717"/>
      <c r="F119" s="53"/>
      <c r="G119" s="49"/>
      <c r="H119" s="50"/>
      <c r="I119" s="44"/>
      <c r="J119" s="45"/>
      <c r="K119" s="46"/>
      <c r="L119" s="53"/>
      <c r="M119" s="49"/>
      <c r="N119" s="47">
        <f>_11_A通院１増７．５</f>
        <v>1245</v>
      </c>
      <c r="O119" s="48"/>
    </row>
    <row r="120" spans="1:15" ht="16.5" customHeight="1" x14ac:dyDescent="0.15">
      <c r="A120" s="41">
        <v>11</v>
      </c>
      <c r="B120" s="41">
        <v>3884</v>
      </c>
      <c r="C120" s="74" t="s">
        <v>6761</v>
      </c>
      <c r="D120" s="709"/>
      <c r="E120" s="718"/>
      <c r="F120" s="43"/>
      <c r="G120" s="37"/>
      <c r="H120" s="38"/>
      <c r="I120" s="44" t="s">
        <v>397</v>
      </c>
      <c r="J120" s="45" t="s">
        <v>398</v>
      </c>
      <c r="K120" s="46">
        <v>1</v>
      </c>
      <c r="L120" s="35"/>
      <c r="N120" s="47">
        <f>ROUND((_11_A通院１増７．５*_11・２人),0)</f>
        <v>1245</v>
      </c>
      <c r="O120" s="48"/>
    </row>
    <row r="121" spans="1:15" ht="16.5" customHeight="1" x14ac:dyDescent="0.15">
      <c r="A121" s="41">
        <v>11</v>
      </c>
      <c r="B121" s="41">
        <v>3885</v>
      </c>
      <c r="C121" s="74" t="s">
        <v>6762</v>
      </c>
      <c r="D121" s="709"/>
      <c r="E121" s="718"/>
      <c r="F121" s="752" t="s">
        <v>400</v>
      </c>
      <c r="G121" s="49" t="s">
        <v>398</v>
      </c>
      <c r="H121" s="50">
        <v>0.7</v>
      </c>
      <c r="I121" s="44"/>
      <c r="J121" s="45"/>
      <c r="K121" s="46"/>
      <c r="L121" s="35"/>
      <c r="N121" s="47">
        <f>ROUND((_11_A通院１増７．５*_11・基礎１),0)</f>
        <v>872</v>
      </c>
      <c r="O121" s="48"/>
    </row>
    <row r="122" spans="1:15" ht="16.5" customHeight="1" x14ac:dyDescent="0.15">
      <c r="A122" s="41">
        <v>11</v>
      </c>
      <c r="B122" s="41">
        <v>3886</v>
      </c>
      <c r="C122" s="74" t="s">
        <v>6763</v>
      </c>
      <c r="D122" s="100">
        <f>_11_A通院１増７．５</f>
        <v>1245</v>
      </c>
      <c r="E122" s="12" t="s">
        <v>392</v>
      </c>
      <c r="F122" s="757"/>
      <c r="G122" s="37"/>
      <c r="H122" s="38"/>
      <c r="I122" s="44" t="s">
        <v>397</v>
      </c>
      <c r="J122" s="45" t="s">
        <v>398</v>
      </c>
      <c r="K122" s="46">
        <v>1</v>
      </c>
      <c r="L122" s="43"/>
      <c r="M122" s="37"/>
      <c r="N122" s="47">
        <f>ROUND((ROUND((_11_A通院１増７．５*_11・基礎１),0)*_11・２人),0)</f>
        <v>872</v>
      </c>
      <c r="O122" s="48"/>
    </row>
    <row r="123" spans="1:15" ht="16.5" customHeight="1" x14ac:dyDescent="0.15">
      <c r="A123" s="41">
        <v>11</v>
      </c>
      <c r="B123" s="41" t="s">
        <v>6764</v>
      </c>
      <c r="C123" s="74" t="s">
        <v>6765</v>
      </c>
      <c r="D123" s="121"/>
      <c r="E123" s="99"/>
      <c r="F123" s="53"/>
      <c r="G123" s="49"/>
      <c r="H123" s="50"/>
      <c r="I123" s="44"/>
      <c r="J123" s="45"/>
      <c r="K123" s="46"/>
      <c r="L123" s="707" t="s">
        <v>404</v>
      </c>
      <c r="M123" s="708"/>
      <c r="N123" s="47">
        <f>ROUND((_11_A通院１増７．５*_11・初任),0)</f>
        <v>872</v>
      </c>
      <c r="O123" s="48"/>
    </row>
    <row r="124" spans="1:15" ht="16.5" customHeight="1" x14ac:dyDescent="0.15">
      <c r="A124" s="41">
        <v>11</v>
      </c>
      <c r="B124" s="41" t="s">
        <v>6766</v>
      </c>
      <c r="C124" s="74" t="s">
        <v>6767</v>
      </c>
      <c r="D124" s="121"/>
      <c r="E124" s="99"/>
      <c r="F124" s="43"/>
      <c r="G124" s="37"/>
      <c r="H124" s="38"/>
      <c r="I124" s="44" t="s">
        <v>397</v>
      </c>
      <c r="J124" s="45" t="s">
        <v>398</v>
      </c>
      <c r="K124" s="46">
        <v>1</v>
      </c>
      <c r="L124" s="709"/>
      <c r="M124" s="704"/>
      <c r="N124" s="47">
        <f>ROUND((ROUND((_11_A通院１増７．５*_11・２人),0)*_11・初任),0)</f>
        <v>872</v>
      </c>
      <c r="O124" s="48"/>
    </row>
    <row r="125" spans="1:15" ht="16.5" customHeight="1" x14ac:dyDescent="0.15">
      <c r="A125" s="41">
        <v>11</v>
      </c>
      <c r="B125" s="41" t="s">
        <v>6768</v>
      </c>
      <c r="C125" s="74" t="s">
        <v>6769</v>
      </c>
      <c r="D125" s="72"/>
      <c r="E125" s="99"/>
      <c r="F125" s="752" t="s">
        <v>400</v>
      </c>
      <c r="G125" s="49" t="s">
        <v>398</v>
      </c>
      <c r="H125" s="50">
        <v>0.7</v>
      </c>
      <c r="I125" s="44"/>
      <c r="J125" s="45"/>
      <c r="K125" s="46"/>
      <c r="L125" s="709"/>
      <c r="M125" s="704"/>
      <c r="N125" s="47">
        <f>ROUND((ROUND((_11_A通院１増７．５*_11・基礎１),0)*_11・初任),0)</f>
        <v>610</v>
      </c>
      <c r="O125" s="48"/>
    </row>
    <row r="126" spans="1:15" ht="16.5" customHeight="1" x14ac:dyDescent="0.15">
      <c r="A126" s="41">
        <v>11</v>
      </c>
      <c r="B126" s="41" t="s">
        <v>6770</v>
      </c>
      <c r="C126" s="74" t="s">
        <v>6771</v>
      </c>
      <c r="D126" s="72"/>
      <c r="E126" s="99"/>
      <c r="F126" s="757"/>
      <c r="G126" s="37"/>
      <c r="H126" s="38"/>
      <c r="I126" s="44" t="s">
        <v>397</v>
      </c>
      <c r="J126" s="45" t="s">
        <v>398</v>
      </c>
      <c r="K126" s="46">
        <v>1</v>
      </c>
      <c r="L126" s="55" t="s">
        <v>398</v>
      </c>
      <c r="M126" s="38">
        <f>_11・初任</f>
        <v>0.7</v>
      </c>
      <c r="N126" s="47">
        <f>ROUND((ROUND((ROUND((_11_A通院１増７．５*_11・基礎１),0)*_11・２人),0)*_11・初任),0)</f>
        <v>610</v>
      </c>
      <c r="O126" s="48"/>
    </row>
    <row r="127" spans="1:15" ht="16.5" customHeight="1" x14ac:dyDescent="0.15">
      <c r="A127" s="41">
        <v>11</v>
      </c>
      <c r="B127" s="41">
        <v>3887</v>
      </c>
      <c r="C127" s="74" t="s">
        <v>6772</v>
      </c>
      <c r="D127" s="707" t="s">
        <v>6773</v>
      </c>
      <c r="E127" s="717"/>
      <c r="F127" s="53"/>
      <c r="G127" s="49"/>
      <c r="H127" s="50"/>
      <c r="I127" s="44"/>
      <c r="J127" s="45"/>
      <c r="K127" s="46"/>
      <c r="L127" s="53"/>
      <c r="M127" s="49"/>
      <c r="N127" s="47">
        <f>_11_A通院１増８．０</f>
        <v>1328</v>
      </c>
      <c r="O127" s="48"/>
    </row>
    <row r="128" spans="1:15" ht="16.5" customHeight="1" x14ac:dyDescent="0.15">
      <c r="A128" s="41">
        <v>11</v>
      </c>
      <c r="B128" s="41">
        <v>3888</v>
      </c>
      <c r="C128" s="74" t="s">
        <v>6774</v>
      </c>
      <c r="D128" s="709"/>
      <c r="E128" s="718"/>
      <c r="F128" s="43"/>
      <c r="G128" s="37"/>
      <c r="H128" s="38"/>
      <c r="I128" s="44" t="s">
        <v>397</v>
      </c>
      <c r="J128" s="45" t="s">
        <v>398</v>
      </c>
      <c r="K128" s="46">
        <v>1</v>
      </c>
      <c r="L128" s="35"/>
      <c r="N128" s="47">
        <f>ROUND((_11_A通院１増８．０*_11・２人),0)</f>
        <v>1328</v>
      </c>
      <c r="O128" s="48"/>
    </row>
    <row r="129" spans="1:15" ht="16.5" customHeight="1" x14ac:dyDescent="0.15">
      <c r="A129" s="41">
        <v>11</v>
      </c>
      <c r="B129" s="41">
        <v>3889</v>
      </c>
      <c r="C129" s="74" t="s">
        <v>6775</v>
      </c>
      <c r="D129" s="709"/>
      <c r="E129" s="718"/>
      <c r="F129" s="752" t="s">
        <v>400</v>
      </c>
      <c r="G129" s="49" t="s">
        <v>398</v>
      </c>
      <c r="H129" s="50">
        <v>0.7</v>
      </c>
      <c r="I129" s="44"/>
      <c r="J129" s="45"/>
      <c r="K129" s="46"/>
      <c r="L129" s="35"/>
      <c r="N129" s="47">
        <f>ROUND((_11_A通院１増８．０*_11・基礎１),0)</f>
        <v>930</v>
      </c>
      <c r="O129" s="48"/>
    </row>
    <row r="130" spans="1:15" ht="16.5" customHeight="1" x14ac:dyDescent="0.15">
      <c r="A130" s="41">
        <v>11</v>
      </c>
      <c r="B130" s="41">
        <v>3890</v>
      </c>
      <c r="C130" s="74" t="s">
        <v>6776</v>
      </c>
      <c r="D130" s="100">
        <f>_11_A通院１増８．０</f>
        <v>1328</v>
      </c>
      <c r="E130" s="12" t="s">
        <v>392</v>
      </c>
      <c r="F130" s="757"/>
      <c r="G130" s="37"/>
      <c r="H130" s="38"/>
      <c r="I130" s="44" t="s">
        <v>397</v>
      </c>
      <c r="J130" s="45" t="s">
        <v>398</v>
      </c>
      <c r="K130" s="46">
        <v>1</v>
      </c>
      <c r="L130" s="43"/>
      <c r="M130" s="37"/>
      <c r="N130" s="47">
        <f>ROUND((ROUND((_11_A通院１増８．０*_11・基礎１),0)*_11・２人),0)</f>
        <v>930</v>
      </c>
      <c r="O130" s="48"/>
    </row>
    <row r="131" spans="1:15" ht="16.5" customHeight="1" x14ac:dyDescent="0.15">
      <c r="A131" s="41">
        <v>11</v>
      </c>
      <c r="B131" s="41" t="s">
        <v>6777</v>
      </c>
      <c r="C131" s="74" t="s">
        <v>6778</v>
      </c>
      <c r="D131" s="121"/>
      <c r="E131" s="99"/>
      <c r="F131" s="53"/>
      <c r="G131" s="49"/>
      <c r="H131" s="50"/>
      <c r="I131" s="44"/>
      <c r="J131" s="45"/>
      <c r="K131" s="46"/>
      <c r="L131" s="707" t="s">
        <v>404</v>
      </c>
      <c r="M131" s="708"/>
      <c r="N131" s="47">
        <f>ROUND((_11_A通院１増８．０*_11・初任),0)</f>
        <v>930</v>
      </c>
      <c r="O131" s="48"/>
    </row>
    <row r="132" spans="1:15" ht="16.5" customHeight="1" x14ac:dyDescent="0.15">
      <c r="A132" s="41">
        <v>11</v>
      </c>
      <c r="B132" s="41" t="s">
        <v>6779</v>
      </c>
      <c r="C132" s="74" t="s">
        <v>6780</v>
      </c>
      <c r="D132" s="121"/>
      <c r="E132" s="99"/>
      <c r="F132" s="43"/>
      <c r="G132" s="37"/>
      <c r="H132" s="38"/>
      <c r="I132" s="44" t="s">
        <v>397</v>
      </c>
      <c r="J132" s="45" t="s">
        <v>398</v>
      </c>
      <c r="K132" s="46">
        <v>1</v>
      </c>
      <c r="L132" s="709"/>
      <c r="M132" s="704"/>
      <c r="N132" s="47">
        <f>ROUND((ROUND((_11_A通院１増８．０*_11・２人),0)*_11・初任),0)</f>
        <v>930</v>
      </c>
      <c r="O132" s="48"/>
    </row>
    <row r="133" spans="1:15" ht="16.5" customHeight="1" x14ac:dyDescent="0.15">
      <c r="A133" s="41">
        <v>11</v>
      </c>
      <c r="B133" s="41" t="s">
        <v>6781</v>
      </c>
      <c r="C133" s="74" t="s">
        <v>6782</v>
      </c>
      <c r="D133" s="72"/>
      <c r="E133" s="99"/>
      <c r="F133" s="752" t="s">
        <v>400</v>
      </c>
      <c r="G133" s="49" t="s">
        <v>398</v>
      </c>
      <c r="H133" s="50">
        <v>0.7</v>
      </c>
      <c r="I133" s="44"/>
      <c r="J133" s="45"/>
      <c r="K133" s="46"/>
      <c r="L133" s="709"/>
      <c r="M133" s="704"/>
      <c r="N133" s="47">
        <f>ROUND((ROUND((_11_A通院１増８．０*_11・基礎１),0)*_11・初任),0)</f>
        <v>651</v>
      </c>
      <c r="O133" s="48"/>
    </row>
    <row r="134" spans="1:15" ht="16.5" customHeight="1" x14ac:dyDescent="0.15">
      <c r="A134" s="41">
        <v>11</v>
      </c>
      <c r="B134" s="41" t="s">
        <v>6783</v>
      </c>
      <c r="C134" s="74" t="s">
        <v>6784</v>
      </c>
      <c r="D134" s="72"/>
      <c r="E134" s="99"/>
      <c r="F134" s="757"/>
      <c r="G134" s="37"/>
      <c r="H134" s="38"/>
      <c r="I134" s="44" t="s">
        <v>397</v>
      </c>
      <c r="J134" s="45" t="s">
        <v>398</v>
      </c>
      <c r="K134" s="46">
        <v>1</v>
      </c>
      <c r="L134" s="55" t="s">
        <v>398</v>
      </c>
      <c r="M134" s="38">
        <f>_11・初任</f>
        <v>0.7</v>
      </c>
      <c r="N134" s="47">
        <f>ROUND((ROUND((ROUND((_11_A通院１増８．０*_11・基礎１),0)*_11・２人),0)*_11・初任),0)</f>
        <v>651</v>
      </c>
      <c r="O134" s="48"/>
    </row>
    <row r="135" spans="1:15" ht="16.5" customHeight="1" x14ac:dyDescent="0.15">
      <c r="A135" s="41">
        <v>11</v>
      </c>
      <c r="B135" s="41">
        <v>3891</v>
      </c>
      <c r="C135" s="74" t="s">
        <v>6785</v>
      </c>
      <c r="D135" s="707" t="s">
        <v>6786</v>
      </c>
      <c r="E135" s="717"/>
      <c r="F135" s="53"/>
      <c r="G135" s="49"/>
      <c r="H135" s="50"/>
      <c r="I135" s="44"/>
      <c r="J135" s="45"/>
      <c r="K135" s="46"/>
      <c r="L135" s="53"/>
      <c r="M135" s="49"/>
      <c r="N135" s="47">
        <f>_11_A通院１増８．５</f>
        <v>1411</v>
      </c>
      <c r="O135" s="48"/>
    </row>
    <row r="136" spans="1:15" ht="16.5" customHeight="1" x14ac:dyDescent="0.15">
      <c r="A136" s="41">
        <v>11</v>
      </c>
      <c r="B136" s="41">
        <v>3892</v>
      </c>
      <c r="C136" s="74" t="s">
        <v>6787</v>
      </c>
      <c r="D136" s="709"/>
      <c r="E136" s="718"/>
      <c r="F136" s="43"/>
      <c r="G136" s="37"/>
      <c r="H136" s="38"/>
      <c r="I136" s="44" t="s">
        <v>397</v>
      </c>
      <c r="J136" s="45" t="s">
        <v>398</v>
      </c>
      <c r="K136" s="46">
        <v>1</v>
      </c>
      <c r="L136" s="35"/>
      <c r="N136" s="47">
        <f>ROUND((_11_A通院１増８．５*_11・２人),0)</f>
        <v>1411</v>
      </c>
      <c r="O136" s="48"/>
    </row>
    <row r="137" spans="1:15" ht="16.5" customHeight="1" x14ac:dyDescent="0.15">
      <c r="A137" s="41">
        <v>11</v>
      </c>
      <c r="B137" s="41">
        <v>3893</v>
      </c>
      <c r="C137" s="74" t="s">
        <v>6788</v>
      </c>
      <c r="D137" s="709"/>
      <c r="E137" s="718"/>
      <c r="F137" s="752" t="s">
        <v>400</v>
      </c>
      <c r="G137" s="49" t="s">
        <v>398</v>
      </c>
      <c r="H137" s="50">
        <v>0.7</v>
      </c>
      <c r="I137" s="44"/>
      <c r="J137" s="45"/>
      <c r="K137" s="46"/>
      <c r="L137" s="35"/>
      <c r="N137" s="47">
        <f>ROUND((_11_A通院１増８．５*_11・基礎１),0)</f>
        <v>988</v>
      </c>
      <c r="O137" s="48"/>
    </row>
    <row r="138" spans="1:15" ht="16.5" customHeight="1" x14ac:dyDescent="0.15">
      <c r="A138" s="41">
        <v>11</v>
      </c>
      <c r="B138" s="41">
        <v>3894</v>
      </c>
      <c r="C138" s="74" t="s">
        <v>6789</v>
      </c>
      <c r="D138" s="100">
        <f>_11_A通院１増８．５</f>
        <v>1411</v>
      </c>
      <c r="E138" s="12" t="s">
        <v>392</v>
      </c>
      <c r="F138" s="757"/>
      <c r="G138" s="37"/>
      <c r="H138" s="38"/>
      <c r="I138" s="44" t="s">
        <v>397</v>
      </c>
      <c r="J138" s="45" t="s">
        <v>398</v>
      </c>
      <c r="K138" s="46">
        <v>1</v>
      </c>
      <c r="L138" s="43"/>
      <c r="M138" s="37"/>
      <c r="N138" s="47">
        <f>ROUND((ROUND((_11_A通院１増８．５*_11・基礎１),0)*_11・２人),0)</f>
        <v>988</v>
      </c>
      <c r="O138" s="48"/>
    </row>
    <row r="139" spans="1:15" ht="16.5" customHeight="1" x14ac:dyDescent="0.15">
      <c r="A139" s="41">
        <v>11</v>
      </c>
      <c r="B139" s="41" t="s">
        <v>6790</v>
      </c>
      <c r="C139" s="74" t="s">
        <v>6791</v>
      </c>
      <c r="D139" s="121"/>
      <c r="E139" s="99"/>
      <c r="F139" s="53"/>
      <c r="G139" s="49"/>
      <c r="H139" s="50"/>
      <c r="I139" s="44"/>
      <c r="J139" s="45"/>
      <c r="K139" s="46"/>
      <c r="L139" s="707" t="s">
        <v>404</v>
      </c>
      <c r="M139" s="708"/>
      <c r="N139" s="47">
        <f>ROUND((_11_A通院１増８．５*_11・初任),0)</f>
        <v>988</v>
      </c>
      <c r="O139" s="48"/>
    </row>
    <row r="140" spans="1:15" ht="16.5" customHeight="1" x14ac:dyDescent="0.15">
      <c r="A140" s="41">
        <v>11</v>
      </c>
      <c r="B140" s="41" t="s">
        <v>6792</v>
      </c>
      <c r="C140" s="74" t="s">
        <v>6793</v>
      </c>
      <c r="D140" s="121"/>
      <c r="E140" s="99"/>
      <c r="F140" s="43"/>
      <c r="G140" s="37"/>
      <c r="H140" s="38"/>
      <c r="I140" s="44" t="s">
        <v>397</v>
      </c>
      <c r="J140" s="45" t="s">
        <v>398</v>
      </c>
      <c r="K140" s="46">
        <v>1</v>
      </c>
      <c r="L140" s="709"/>
      <c r="M140" s="704"/>
      <c r="N140" s="47">
        <f>ROUND((ROUND((_11_A通院１増８．５*_11・２人),0)*_11・初任),0)</f>
        <v>988</v>
      </c>
      <c r="O140" s="48"/>
    </row>
    <row r="141" spans="1:15" ht="16.5" customHeight="1" x14ac:dyDescent="0.15">
      <c r="A141" s="41">
        <v>11</v>
      </c>
      <c r="B141" s="41" t="s">
        <v>6794</v>
      </c>
      <c r="C141" s="74" t="s">
        <v>6795</v>
      </c>
      <c r="D141" s="72"/>
      <c r="E141" s="99"/>
      <c r="F141" s="752" t="s">
        <v>400</v>
      </c>
      <c r="G141" s="49" t="s">
        <v>398</v>
      </c>
      <c r="H141" s="50">
        <v>0.7</v>
      </c>
      <c r="I141" s="44"/>
      <c r="J141" s="45"/>
      <c r="K141" s="46"/>
      <c r="L141" s="709"/>
      <c r="M141" s="704"/>
      <c r="N141" s="47">
        <f>ROUND((ROUND((_11_A通院１増８．５*_11・基礎１),0)*_11・初任),0)</f>
        <v>692</v>
      </c>
      <c r="O141" s="48"/>
    </row>
    <row r="142" spans="1:15" ht="16.5" customHeight="1" x14ac:dyDescent="0.15">
      <c r="A142" s="41">
        <v>11</v>
      </c>
      <c r="B142" s="41" t="s">
        <v>6796</v>
      </c>
      <c r="C142" s="74" t="s">
        <v>6797</v>
      </c>
      <c r="D142" s="72"/>
      <c r="E142" s="99"/>
      <c r="F142" s="757"/>
      <c r="G142" s="37"/>
      <c r="H142" s="38"/>
      <c r="I142" s="44" t="s">
        <v>397</v>
      </c>
      <c r="J142" s="45" t="s">
        <v>398</v>
      </c>
      <c r="K142" s="46">
        <v>1</v>
      </c>
      <c r="L142" s="55" t="s">
        <v>398</v>
      </c>
      <c r="M142" s="38">
        <f>_11・初任</f>
        <v>0.7</v>
      </c>
      <c r="N142" s="47">
        <f>ROUND((ROUND((ROUND((_11_A通院１増８．５*_11・基礎１),0)*_11・２人),0)*_11・初任),0)</f>
        <v>692</v>
      </c>
      <c r="O142" s="48"/>
    </row>
    <row r="143" spans="1:15" ht="16.5" customHeight="1" x14ac:dyDescent="0.15">
      <c r="A143" s="41">
        <v>11</v>
      </c>
      <c r="B143" s="41">
        <v>3895</v>
      </c>
      <c r="C143" s="74" t="s">
        <v>6798</v>
      </c>
      <c r="D143" s="707" t="s">
        <v>6799</v>
      </c>
      <c r="E143" s="717"/>
      <c r="F143" s="53"/>
      <c r="G143" s="49"/>
      <c r="H143" s="50"/>
      <c r="I143" s="44"/>
      <c r="J143" s="45"/>
      <c r="K143" s="46"/>
      <c r="L143" s="53"/>
      <c r="M143" s="49"/>
      <c r="N143" s="47">
        <f>_11_A通院１増９．０</f>
        <v>1494</v>
      </c>
      <c r="O143" s="48"/>
    </row>
    <row r="144" spans="1:15" ht="16.5" customHeight="1" x14ac:dyDescent="0.15">
      <c r="A144" s="41">
        <v>11</v>
      </c>
      <c r="B144" s="41">
        <v>3896</v>
      </c>
      <c r="C144" s="74" t="s">
        <v>6800</v>
      </c>
      <c r="D144" s="709"/>
      <c r="E144" s="718"/>
      <c r="F144" s="43"/>
      <c r="G144" s="37"/>
      <c r="H144" s="38"/>
      <c r="I144" s="44" t="s">
        <v>397</v>
      </c>
      <c r="J144" s="45" t="s">
        <v>398</v>
      </c>
      <c r="K144" s="46">
        <v>1</v>
      </c>
      <c r="L144" s="35"/>
      <c r="N144" s="47">
        <f>ROUND((_11_A通院１増９．０*_11・２人),0)</f>
        <v>1494</v>
      </c>
      <c r="O144" s="48"/>
    </row>
    <row r="145" spans="1:15" ht="16.5" customHeight="1" x14ac:dyDescent="0.15">
      <c r="A145" s="41">
        <v>11</v>
      </c>
      <c r="B145" s="41">
        <v>3897</v>
      </c>
      <c r="C145" s="74" t="s">
        <v>6801</v>
      </c>
      <c r="D145" s="709"/>
      <c r="E145" s="718"/>
      <c r="F145" s="752" t="s">
        <v>400</v>
      </c>
      <c r="G145" s="49" t="s">
        <v>398</v>
      </c>
      <c r="H145" s="50">
        <v>0.7</v>
      </c>
      <c r="I145" s="44"/>
      <c r="J145" s="45"/>
      <c r="K145" s="46"/>
      <c r="L145" s="35"/>
      <c r="N145" s="47">
        <f>ROUND((_11_A通院１増９．０*_11・基礎１),0)</f>
        <v>1046</v>
      </c>
      <c r="O145" s="48"/>
    </row>
    <row r="146" spans="1:15" ht="16.5" customHeight="1" x14ac:dyDescent="0.15">
      <c r="A146" s="41">
        <v>11</v>
      </c>
      <c r="B146" s="41">
        <v>3898</v>
      </c>
      <c r="C146" s="74" t="s">
        <v>6802</v>
      </c>
      <c r="D146" s="100">
        <f>_11_A通院１増９．０</f>
        <v>1494</v>
      </c>
      <c r="E146" s="12" t="s">
        <v>392</v>
      </c>
      <c r="F146" s="757"/>
      <c r="G146" s="37"/>
      <c r="H146" s="38"/>
      <c r="I146" s="44" t="s">
        <v>397</v>
      </c>
      <c r="J146" s="45" t="s">
        <v>398</v>
      </c>
      <c r="K146" s="46">
        <v>1</v>
      </c>
      <c r="L146" s="43"/>
      <c r="M146" s="37"/>
      <c r="N146" s="47">
        <f>ROUND((ROUND((_11_A通院１増９．０*_11・基礎１),0)*_11・２人),0)</f>
        <v>1046</v>
      </c>
      <c r="O146" s="48"/>
    </row>
    <row r="147" spans="1:15" ht="16.5" customHeight="1" x14ac:dyDescent="0.15">
      <c r="A147" s="41">
        <v>11</v>
      </c>
      <c r="B147" s="41" t="s">
        <v>6803</v>
      </c>
      <c r="C147" s="74" t="s">
        <v>6804</v>
      </c>
      <c r="D147" s="121"/>
      <c r="E147" s="99"/>
      <c r="F147" s="53"/>
      <c r="G147" s="49"/>
      <c r="H147" s="50"/>
      <c r="I147" s="44"/>
      <c r="J147" s="45"/>
      <c r="K147" s="46"/>
      <c r="L147" s="707" t="s">
        <v>404</v>
      </c>
      <c r="M147" s="708"/>
      <c r="N147" s="47">
        <f>ROUND((_11_A通院１増９．０*_11・初任),0)</f>
        <v>1046</v>
      </c>
      <c r="O147" s="48"/>
    </row>
    <row r="148" spans="1:15" ht="16.5" customHeight="1" x14ac:dyDescent="0.15">
      <c r="A148" s="41">
        <v>11</v>
      </c>
      <c r="B148" s="41" t="s">
        <v>6805</v>
      </c>
      <c r="C148" s="74" t="s">
        <v>6806</v>
      </c>
      <c r="D148" s="121"/>
      <c r="E148" s="99"/>
      <c r="F148" s="43"/>
      <c r="G148" s="37"/>
      <c r="H148" s="38"/>
      <c r="I148" s="44" t="s">
        <v>397</v>
      </c>
      <c r="J148" s="45" t="s">
        <v>398</v>
      </c>
      <c r="K148" s="46">
        <v>1</v>
      </c>
      <c r="L148" s="709"/>
      <c r="M148" s="704"/>
      <c r="N148" s="47">
        <f>ROUND((ROUND((_11_A通院１増９．０*_11・２人),0)*_11・初任),0)</f>
        <v>1046</v>
      </c>
      <c r="O148" s="48"/>
    </row>
    <row r="149" spans="1:15" ht="16.5" customHeight="1" x14ac:dyDescent="0.15">
      <c r="A149" s="41">
        <v>11</v>
      </c>
      <c r="B149" s="41" t="s">
        <v>6807</v>
      </c>
      <c r="C149" s="74" t="s">
        <v>6808</v>
      </c>
      <c r="D149" s="72"/>
      <c r="E149" s="99"/>
      <c r="F149" s="752" t="s">
        <v>400</v>
      </c>
      <c r="G149" s="49" t="s">
        <v>398</v>
      </c>
      <c r="H149" s="50">
        <v>0.7</v>
      </c>
      <c r="I149" s="44"/>
      <c r="J149" s="45"/>
      <c r="K149" s="46"/>
      <c r="L149" s="709"/>
      <c r="M149" s="704"/>
      <c r="N149" s="47">
        <f>ROUND((ROUND((_11_A通院１増９．０*_11・基礎１),0)*_11・初任),0)</f>
        <v>732</v>
      </c>
      <c r="O149" s="48"/>
    </row>
    <row r="150" spans="1:15" ht="16.5" customHeight="1" x14ac:dyDescent="0.15">
      <c r="A150" s="41">
        <v>11</v>
      </c>
      <c r="B150" s="41" t="s">
        <v>6809</v>
      </c>
      <c r="C150" s="74" t="s">
        <v>6810</v>
      </c>
      <c r="D150" s="122"/>
      <c r="E150" s="111"/>
      <c r="F150" s="757"/>
      <c r="G150" s="37"/>
      <c r="H150" s="38"/>
      <c r="I150" s="44" t="s">
        <v>397</v>
      </c>
      <c r="J150" s="45" t="s">
        <v>398</v>
      </c>
      <c r="K150" s="46">
        <v>1</v>
      </c>
      <c r="L150" s="55" t="s">
        <v>398</v>
      </c>
      <c r="M150" s="38">
        <f>_11・初任</f>
        <v>0.7</v>
      </c>
      <c r="N150" s="47">
        <f>ROUND((ROUND((ROUND((_11_A通院１増９．０*_11・基礎１),0)*_11・２人),0)*_11・初任),0)</f>
        <v>732</v>
      </c>
      <c r="O150" s="63"/>
    </row>
    <row r="151" spans="1:15" ht="16.5" customHeight="1" x14ac:dyDescent="0.15">
      <c r="A151" s="33">
        <v>11</v>
      </c>
      <c r="B151" s="33">
        <v>3899</v>
      </c>
      <c r="C151" s="34" t="s">
        <v>6811</v>
      </c>
      <c r="D151" s="709" t="s">
        <v>6812</v>
      </c>
      <c r="E151" s="718"/>
      <c r="F151" s="35"/>
      <c r="I151" s="36"/>
      <c r="J151" s="37"/>
      <c r="K151" s="38"/>
      <c r="L151" s="35"/>
      <c r="N151" s="39">
        <f>_11_A通院１増９．５</f>
        <v>1577</v>
      </c>
      <c r="O151" s="48"/>
    </row>
    <row r="152" spans="1:15" ht="16.5" customHeight="1" x14ac:dyDescent="0.15">
      <c r="A152" s="41">
        <v>11</v>
      </c>
      <c r="B152" s="41">
        <v>3900</v>
      </c>
      <c r="C152" s="74" t="s">
        <v>6813</v>
      </c>
      <c r="D152" s="709"/>
      <c r="E152" s="718"/>
      <c r="F152" s="43"/>
      <c r="G152" s="37"/>
      <c r="H152" s="38"/>
      <c r="I152" s="44" t="s">
        <v>397</v>
      </c>
      <c r="J152" s="45" t="s">
        <v>398</v>
      </c>
      <c r="K152" s="46">
        <v>1</v>
      </c>
      <c r="L152" s="35"/>
      <c r="N152" s="47">
        <f>ROUND((_11_A通院１増９．５*_11・２人),0)</f>
        <v>1577</v>
      </c>
      <c r="O152" s="48"/>
    </row>
    <row r="153" spans="1:15" ht="16.5" customHeight="1" x14ac:dyDescent="0.15">
      <c r="A153" s="41">
        <v>11</v>
      </c>
      <c r="B153" s="41">
        <v>3901</v>
      </c>
      <c r="C153" s="74" t="s">
        <v>6814</v>
      </c>
      <c r="D153" s="709"/>
      <c r="E153" s="718"/>
      <c r="F153" s="752" t="s">
        <v>400</v>
      </c>
      <c r="G153" s="49" t="s">
        <v>398</v>
      </c>
      <c r="H153" s="50">
        <v>0.7</v>
      </c>
      <c r="I153" s="44"/>
      <c r="J153" s="45"/>
      <c r="K153" s="46"/>
      <c r="L153" s="35"/>
      <c r="N153" s="47">
        <f>ROUND((_11_A通院１増９．５*_11・基礎１),0)</f>
        <v>1104</v>
      </c>
      <c r="O153" s="48"/>
    </row>
    <row r="154" spans="1:15" ht="16.5" customHeight="1" x14ac:dyDescent="0.15">
      <c r="A154" s="41">
        <v>11</v>
      </c>
      <c r="B154" s="41">
        <v>3902</v>
      </c>
      <c r="C154" s="74" t="s">
        <v>6815</v>
      </c>
      <c r="D154" s="100">
        <f>_11_A通院１増９．５</f>
        <v>1577</v>
      </c>
      <c r="E154" s="12" t="s">
        <v>392</v>
      </c>
      <c r="F154" s="757"/>
      <c r="G154" s="37"/>
      <c r="H154" s="38"/>
      <c r="I154" s="44" t="s">
        <v>397</v>
      </c>
      <c r="J154" s="45" t="s">
        <v>398</v>
      </c>
      <c r="K154" s="46">
        <v>1</v>
      </c>
      <c r="L154" s="43"/>
      <c r="M154" s="37"/>
      <c r="N154" s="47">
        <f>ROUND((ROUND((_11_A通院１増９．５*_11・基礎１),0)*_11・２人),0)</f>
        <v>1104</v>
      </c>
      <c r="O154" s="48"/>
    </row>
    <row r="155" spans="1:15" ht="16.5" customHeight="1" x14ac:dyDescent="0.15">
      <c r="A155" s="41">
        <v>11</v>
      </c>
      <c r="B155" s="41" t="s">
        <v>6816</v>
      </c>
      <c r="C155" s="74" t="s">
        <v>6817</v>
      </c>
      <c r="D155" s="121"/>
      <c r="E155" s="99"/>
      <c r="F155" s="53"/>
      <c r="G155" s="49"/>
      <c r="H155" s="50"/>
      <c r="I155" s="44"/>
      <c r="J155" s="45"/>
      <c r="K155" s="46"/>
      <c r="L155" s="707" t="s">
        <v>404</v>
      </c>
      <c r="M155" s="708"/>
      <c r="N155" s="47">
        <f>ROUND((_11_A通院１増９．５*_11・初任),0)</f>
        <v>1104</v>
      </c>
      <c r="O155" s="48"/>
    </row>
    <row r="156" spans="1:15" ht="16.5" customHeight="1" x14ac:dyDescent="0.15">
      <c r="A156" s="41">
        <v>11</v>
      </c>
      <c r="B156" s="41" t="s">
        <v>6818</v>
      </c>
      <c r="C156" s="74" t="s">
        <v>6819</v>
      </c>
      <c r="D156" s="121"/>
      <c r="E156" s="99"/>
      <c r="F156" s="43"/>
      <c r="G156" s="37"/>
      <c r="H156" s="38"/>
      <c r="I156" s="44" t="s">
        <v>397</v>
      </c>
      <c r="J156" s="45" t="s">
        <v>398</v>
      </c>
      <c r="K156" s="46">
        <v>1</v>
      </c>
      <c r="L156" s="709"/>
      <c r="M156" s="704"/>
      <c r="N156" s="47">
        <f>ROUND((ROUND((_11_A通院１増９．５*_11・２人),0)*_11・初任),0)</f>
        <v>1104</v>
      </c>
      <c r="O156" s="48"/>
    </row>
    <row r="157" spans="1:15" ht="16.5" customHeight="1" x14ac:dyDescent="0.15">
      <c r="A157" s="41">
        <v>11</v>
      </c>
      <c r="B157" s="41" t="s">
        <v>6820</v>
      </c>
      <c r="C157" s="74" t="s">
        <v>6821</v>
      </c>
      <c r="D157" s="72"/>
      <c r="E157" s="99"/>
      <c r="F157" s="752" t="s">
        <v>400</v>
      </c>
      <c r="G157" s="49" t="s">
        <v>398</v>
      </c>
      <c r="H157" s="50">
        <v>0.7</v>
      </c>
      <c r="I157" s="44"/>
      <c r="J157" s="45"/>
      <c r="K157" s="46"/>
      <c r="L157" s="709"/>
      <c r="M157" s="704"/>
      <c r="N157" s="47">
        <f>ROUND((ROUND((_11_A通院１増９．５*_11・基礎１),0)*_11・初任),0)</f>
        <v>773</v>
      </c>
      <c r="O157" s="48"/>
    </row>
    <row r="158" spans="1:15" ht="16.5" customHeight="1" x14ac:dyDescent="0.15">
      <c r="A158" s="41">
        <v>11</v>
      </c>
      <c r="B158" s="41" t="s">
        <v>6822</v>
      </c>
      <c r="C158" s="74" t="s">
        <v>6823</v>
      </c>
      <c r="D158" s="72"/>
      <c r="E158" s="99"/>
      <c r="F158" s="757"/>
      <c r="G158" s="37"/>
      <c r="H158" s="38"/>
      <c r="I158" s="44" t="s">
        <v>397</v>
      </c>
      <c r="J158" s="45" t="s">
        <v>398</v>
      </c>
      <c r="K158" s="46">
        <v>1</v>
      </c>
      <c r="L158" s="55" t="s">
        <v>398</v>
      </c>
      <c r="M158" s="38">
        <f>_11・初任</f>
        <v>0.7</v>
      </c>
      <c r="N158" s="47">
        <f>ROUND((ROUND((ROUND((_11_A通院１増９．５*_11・基礎１),0)*_11・２人),0)*_11・初任),0)</f>
        <v>773</v>
      </c>
      <c r="O158" s="48"/>
    </row>
    <row r="159" spans="1:15" ht="16.5" customHeight="1" x14ac:dyDescent="0.15">
      <c r="A159" s="41">
        <v>11</v>
      </c>
      <c r="B159" s="41">
        <v>3903</v>
      </c>
      <c r="C159" s="74" t="s">
        <v>6824</v>
      </c>
      <c r="D159" s="707" t="s">
        <v>6825</v>
      </c>
      <c r="E159" s="717"/>
      <c r="F159" s="53"/>
      <c r="G159" s="49"/>
      <c r="H159" s="50"/>
      <c r="I159" s="44"/>
      <c r="J159" s="45"/>
      <c r="K159" s="46"/>
      <c r="L159" s="53"/>
      <c r="M159" s="49"/>
      <c r="N159" s="47">
        <f>_11_A通院１増１０．０</f>
        <v>1660</v>
      </c>
      <c r="O159" s="48"/>
    </row>
    <row r="160" spans="1:15" ht="16.5" customHeight="1" x14ac:dyDescent="0.15">
      <c r="A160" s="41">
        <v>11</v>
      </c>
      <c r="B160" s="41">
        <v>3904</v>
      </c>
      <c r="C160" s="74" t="s">
        <v>6826</v>
      </c>
      <c r="D160" s="709"/>
      <c r="E160" s="718"/>
      <c r="F160" s="43"/>
      <c r="G160" s="37"/>
      <c r="H160" s="38"/>
      <c r="I160" s="44" t="s">
        <v>397</v>
      </c>
      <c r="J160" s="45" t="s">
        <v>398</v>
      </c>
      <c r="K160" s="46">
        <v>1</v>
      </c>
      <c r="L160" s="35"/>
      <c r="N160" s="47">
        <f>ROUND((_11_A通院１増１０．０*_11・２人),0)</f>
        <v>1660</v>
      </c>
      <c r="O160" s="48"/>
    </row>
    <row r="161" spans="1:15" ht="16.5" customHeight="1" x14ac:dyDescent="0.15">
      <c r="A161" s="41">
        <v>11</v>
      </c>
      <c r="B161" s="41">
        <v>3905</v>
      </c>
      <c r="C161" s="74" t="s">
        <v>6827</v>
      </c>
      <c r="D161" s="709"/>
      <c r="E161" s="718"/>
      <c r="F161" s="752" t="s">
        <v>400</v>
      </c>
      <c r="G161" s="49" t="s">
        <v>398</v>
      </c>
      <c r="H161" s="50">
        <v>0.7</v>
      </c>
      <c r="I161" s="44"/>
      <c r="J161" s="45"/>
      <c r="K161" s="46"/>
      <c r="L161" s="35"/>
      <c r="N161" s="47">
        <f>ROUND((_11_A通院１増１０．０*_11・基礎１),0)</f>
        <v>1162</v>
      </c>
      <c r="O161" s="48"/>
    </row>
    <row r="162" spans="1:15" ht="16.5" customHeight="1" x14ac:dyDescent="0.15">
      <c r="A162" s="41">
        <v>11</v>
      </c>
      <c r="B162" s="41">
        <v>3906</v>
      </c>
      <c r="C162" s="74" t="s">
        <v>6828</v>
      </c>
      <c r="D162" s="100">
        <f>_11_A通院１増１０．０</f>
        <v>1660</v>
      </c>
      <c r="E162" s="12" t="s">
        <v>392</v>
      </c>
      <c r="F162" s="757"/>
      <c r="G162" s="37"/>
      <c r="H162" s="38"/>
      <c r="I162" s="44" t="s">
        <v>397</v>
      </c>
      <c r="J162" s="45" t="s">
        <v>398</v>
      </c>
      <c r="K162" s="46">
        <v>1</v>
      </c>
      <c r="L162" s="43"/>
      <c r="M162" s="37"/>
      <c r="N162" s="47">
        <f>ROUND((ROUND((_11_A通院１増１０．０*_11・基礎１),0)*_11・２人),0)</f>
        <v>1162</v>
      </c>
      <c r="O162" s="48"/>
    </row>
    <row r="163" spans="1:15" ht="16.5" customHeight="1" x14ac:dyDescent="0.15">
      <c r="A163" s="41">
        <v>11</v>
      </c>
      <c r="B163" s="41" t="s">
        <v>6829</v>
      </c>
      <c r="C163" s="74" t="s">
        <v>6830</v>
      </c>
      <c r="D163" s="121"/>
      <c r="E163" s="99"/>
      <c r="F163" s="53"/>
      <c r="G163" s="49"/>
      <c r="H163" s="50"/>
      <c r="I163" s="44"/>
      <c r="J163" s="45"/>
      <c r="K163" s="46"/>
      <c r="L163" s="707" t="s">
        <v>404</v>
      </c>
      <c r="M163" s="708"/>
      <c r="N163" s="47">
        <f>ROUND((_11_A通院１増１０．０*_11・初任),0)</f>
        <v>1162</v>
      </c>
      <c r="O163" s="48"/>
    </row>
    <row r="164" spans="1:15" ht="16.5" customHeight="1" x14ac:dyDescent="0.15">
      <c r="A164" s="41">
        <v>11</v>
      </c>
      <c r="B164" s="41" t="s">
        <v>6831</v>
      </c>
      <c r="C164" s="74" t="s">
        <v>6832</v>
      </c>
      <c r="D164" s="121"/>
      <c r="E164" s="99"/>
      <c r="F164" s="43"/>
      <c r="G164" s="37"/>
      <c r="H164" s="38"/>
      <c r="I164" s="44" t="s">
        <v>397</v>
      </c>
      <c r="J164" s="45" t="s">
        <v>398</v>
      </c>
      <c r="K164" s="46">
        <v>1</v>
      </c>
      <c r="L164" s="709"/>
      <c r="M164" s="704"/>
      <c r="N164" s="47">
        <f>ROUND((ROUND((_11_A通院１増１０．０*_11・２人),0)*_11・初任),0)</f>
        <v>1162</v>
      </c>
      <c r="O164" s="48"/>
    </row>
    <row r="165" spans="1:15" ht="16.5" customHeight="1" x14ac:dyDescent="0.15">
      <c r="A165" s="41">
        <v>11</v>
      </c>
      <c r="B165" s="41" t="s">
        <v>6833</v>
      </c>
      <c r="C165" s="74" t="s">
        <v>6834</v>
      </c>
      <c r="D165" s="72"/>
      <c r="E165" s="99"/>
      <c r="F165" s="752" t="s">
        <v>400</v>
      </c>
      <c r="G165" s="49" t="s">
        <v>398</v>
      </c>
      <c r="H165" s="50">
        <v>0.7</v>
      </c>
      <c r="I165" s="44"/>
      <c r="J165" s="45"/>
      <c r="K165" s="46"/>
      <c r="L165" s="709"/>
      <c r="M165" s="704"/>
      <c r="N165" s="47">
        <f>ROUND((ROUND((_11_A通院１増１０．０*_11・基礎１),0)*_11・初任),0)</f>
        <v>813</v>
      </c>
      <c r="O165" s="48"/>
    </row>
    <row r="166" spans="1:15" ht="16.5" customHeight="1" x14ac:dyDescent="0.15">
      <c r="A166" s="41">
        <v>11</v>
      </c>
      <c r="B166" s="41" t="s">
        <v>6835</v>
      </c>
      <c r="C166" s="74" t="s">
        <v>6836</v>
      </c>
      <c r="D166" s="72"/>
      <c r="E166" s="99"/>
      <c r="F166" s="757"/>
      <c r="G166" s="37"/>
      <c r="H166" s="38"/>
      <c r="I166" s="44" t="s">
        <v>397</v>
      </c>
      <c r="J166" s="45" t="s">
        <v>398</v>
      </c>
      <c r="K166" s="46">
        <v>1</v>
      </c>
      <c r="L166" s="55" t="s">
        <v>398</v>
      </c>
      <c r="M166" s="38">
        <f>_11・初任</f>
        <v>0.7</v>
      </c>
      <c r="N166" s="47">
        <f>ROUND((ROUND((ROUND((_11_A通院１増１０．０*_11・基礎１),0)*_11・２人),0)*_11・初任),0)</f>
        <v>813</v>
      </c>
      <c r="O166" s="48"/>
    </row>
    <row r="167" spans="1:15" ht="16.5" customHeight="1" x14ac:dyDescent="0.15">
      <c r="A167" s="41">
        <v>11</v>
      </c>
      <c r="B167" s="41">
        <v>3907</v>
      </c>
      <c r="C167" s="74" t="s">
        <v>6837</v>
      </c>
      <c r="D167" s="707" t="s">
        <v>6838</v>
      </c>
      <c r="E167" s="717"/>
      <c r="F167" s="53"/>
      <c r="G167" s="49"/>
      <c r="H167" s="50"/>
      <c r="I167" s="44"/>
      <c r="J167" s="45"/>
      <c r="K167" s="46"/>
      <c r="L167" s="53"/>
      <c r="M167" s="49"/>
      <c r="N167" s="47">
        <f>_11_A通院１増１０．５</f>
        <v>1743</v>
      </c>
      <c r="O167" s="48"/>
    </row>
    <row r="168" spans="1:15" ht="16.5" customHeight="1" x14ac:dyDescent="0.15">
      <c r="A168" s="41">
        <v>11</v>
      </c>
      <c r="B168" s="41">
        <v>3908</v>
      </c>
      <c r="C168" s="74" t="s">
        <v>6839</v>
      </c>
      <c r="D168" s="709"/>
      <c r="E168" s="718"/>
      <c r="F168" s="43"/>
      <c r="G168" s="37"/>
      <c r="H168" s="38"/>
      <c r="I168" s="44" t="s">
        <v>397</v>
      </c>
      <c r="J168" s="45" t="s">
        <v>398</v>
      </c>
      <c r="K168" s="46">
        <v>1</v>
      </c>
      <c r="L168" s="35"/>
      <c r="N168" s="47">
        <f>ROUND((_11_A通院１増１０．５*_11・２人),0)</f>
        <v>1743</v>
      </c>
      <c r="O168" s="48"/>
    </row>
    <row r="169" spans="1:15" ht="16.5" customHeight="1" x14ac:dyDescent="0.15">
      <c r="A169" s="41">
        <v>11</v>
      </c>
      <c r="B169" s="41">
        <v>3909</v>
      </c>
      <c r="C169" s="74" t="s">
        <v>6840</v>
      </c>
      <c r="D169" s="709"/>
      <c r="E169" s="718"/>
      <c r="F169" s="752" t="s">
        <v>400</v>
      </c>
      <c r="G169" s="49" t="s">
        <v>398</v>
      </c>
      <c r="H169" s="50">
        <v>0.7</v>
      </c>
      <c r="I169" s="44"/>
      <c r="J169" s="45"/>
      <c r="K169" s="46"/>
      <c r="L169" s="35"/>
      <c r="N169" s="47">
        <f>ROUND((_11_A通院１増１０．５*_11・基礎１),0)</f>
        <v>1220</v>
      </c>
      <c r="O169" s="48"/>
    </row>
    <row r="170" spans="1:15" ht="16.5" customHeight="1" x14ac:dyDescent="0.15">
      <c r="A170" s="41">
        <v>11</v>
      </c>
      <c r="B170" s="41">
        <v>3910</v>
      </c>
      <c r="C170" s="74" t="s">
        <v>6841</v>
      </c>
      <c r="D170" s="100">
        <f>_11_A通院１増１０．５</f>
        <v>1743</v>
      </c>
      <c r="E170" s="12" t="s">
        <v>392</v>
      </c>
      <c r="F170" s="757"/>
      <c r="G170" s="37"/>
      <c r="H170" s="38"/>
      <c r="I170" s="44" t="s">
        <v>397</v>
      </c>
      <c r="J170" s="45" t="s">
        <v>398</v>
      </c>
      <c r="K170" s="46">
        <v>1</v>
      </c>
      <c r="L170" s="43"/>
      <c r="M170" s="37"/>
      <c r="N170" s="47">
        <f>ROUND((ROUND((_11_A通院１増１０．５*_11・基礎１),0)*_11・２人),0)</f>
        <v>1220</v>
      </c>
      <c r="O170" s="48"/>
    </row>
    <row r="171" spans="1:15" ht="16.5" customHeight="1" x14ac:dyDescent="0.15">
      <c r="A171" s="41">
        <v>11</v>
      </c>
      <c r="B171" s="41" t="s">
        <v>6842</v>
      </c>
      <c r="C171" s="74" t="s">
        <v>6843</v>
      </c>
      <c r="D171" s="121"/>
      <c r="E171" s="99"/>
      <c r="F171" s="53"/>
      <c r="G171" s="49"/>
      <c r="H171" s="50"/>
      <c r="I171" s="44"/>
      <c r="J171" s="45"/>
      <c r="K171" s="46"/>
      <c r="L171" s="707" t="s">
        <v>404</v>
      </c>
      <c r="M171" s="708"/>
      <c r="N171" s="47">
        <f>ROUND((_11_A通院１増１０．５*_11・初任),0)</f>
        <v>1220</v>
      </c>
      <c r="O171" s="48"/>
    </row>
    <row r="172" spans="1:15" ht="16.5" customHeight="1" x14ac:dyDescent="0.15">
      <c r="A172" s="41">
        <v>11</v>
      </c>
      <c r="B172" s="41" t="s">
        <v>6844</v>
      </c>
      <c r="C172" s="74" t="s">
        <v>6845</v>
      </c>
      <c r="D172" s="121"/>
      <c r="E172" s="99"/>
      <c r="F172" s="43"/>
      <c r="G172" s="37"/>
      <c r="H172" s="38"/>
      <c r="I172" s="44" t="s">
        <v>397</v>
      </c>
      <c r="J172" s="45" t="s">
        <v>398</v>
      </c>
      <c r="K172" s="46">
        <v>1</v>
      </c>
      <c r="L172" s="709"/>
      <c r="M172" s="704"/>
      <c r="N172" s="47">
        <f>ROUND((ROUND((_11_A通院１増１０．５*_11・２人),0)*_11・初任),0)</f>
        <v>1220</v>
      </c>
      <c r="O172" s="48"/>
    </row>
    <row r="173" spans="1:15" ht="16.5" customHeight="1" x14ac:dyDescent="0.15">
      <c r="A173" s="41">
        <v>11</v>
      </c>
      <c r="B173" s="41" t="s">
        <v>6846</v>
      </c>
      <c r="C173" s="74" t="s">
        <v>6847</v>
      </c>
      <c r="D173" s="72"/>
      <c r="E173" s="99"/>
      <c r="F173" s="752" t="s">
        <v>400</v>
      </c>
      <c r="G173" s="49" t="s">
        <v>398</v>
      </c>
      <c r="H173" s="50">
        <v>0.7</v>
      </c>
      <c r="I173" s="44"/>
      <c r="J173" s="45"/>
      <c r="K173" s="46"/>
      <c r="L173" s="709"/>
      <c r="M173" s="704"/>
      <c r="N173" s="47">
        <f>ROUND((ROUND((_11_A通院１増１０．５*_11・基礎１),0)*_11・初任),0)</f>
        <v>854</v>
      </c>
      <c r="O173" s="48"/>
    </row>
    <row r="174" spans="1:15" ht="16.5" customHeight="1" x14ac:dyDescent="0.15">
      <c r="A174" s="41">
        <v>11</v>
      </c>
      <c r="B174" s="41" t="s">
        <v>6848</v>
      </c>
      <c r="C174" s="74" t="s">
        <v>6849</v>
      </c>
      <c r="D174" s="122"/>
      <c r="E174" s="111"/>
      <c r="F174" s="757"/>
      <c r="G174" s="37"/>
      <c r="H174" s="38"/>
      <c r="I174" s="44" t="s">
        <v>397</v>
      </c>
      <c r="J174" s="45" t="s">
        <v>398</v>
      </c>
      <c r="K174" s="46">
        <v>1</v>
      </c>
      <c r="L174" s="55" t="s">
        <v>398</v>
      </c>
      <c r="M174" s="38">
        <f>_11・初任</f>
        <v>0.7</v>
      </c>
      <c r="N174" s="47">
        <f>ROUND((ROUND((ROUND((_11_A通院１増１０．５*_11・基礎１),0)*_11・２人),0)*_11・初任),0)</f>
        <v>854</v>
      </c>
      <c r="O174" s="63"/>
    </row>
    <row r="175" spans="1:15" ht="16.5" customHeight="1" x14ac:dyDescent="0.15"/>
    <row r="176" spans="1:15" ht="16.5" customHeight="1" x14ac:dyDescent="0.15"/>
  </sheetData>
  <mergeCells count="84">
    <mergeCell ref="L163:M165"/>
    <mergeCell ref="F165:F166"/>
    <mergeCell ref="D167:E169"/>
    <mergeCell ref="F169:F170"/>
    <mergeCell ref="L171:M173"/>
    <mergeCell ref="F173:F174"/>
    <mergeCell ref="D151:E153"/>
    <mergeCell ref="F153:F154"/>
    <mergeCell ref="L155:M157"/>
    <mergeCell ref="F157:F158"/>
    <mergeCell ref="D159:E161"/>
    <mergeCell ref="F161:F162"/>
    <mergeCell ref="L139:M141"/>
    <mergeCell ref="F141:F142"/>
    <mergeCell ref="D143:E145"/>
    <mergeCell ref="F145:F146"/>
    <mergeCell ref="L147:M149"/>
    <mergeCell ref="F149:F150"/>
    <mergeCell ref="D127:E129"/>
    <mergeCell ref="F129:F130"/>
    <mergeCell ref="L131:M133"/>
    <mergeCell ref="F133:F134"/>
    <mergeCell ref="D135:E137"/>
    <mergeCell ref="F137:F138"/>
    <mergeCell ref="L115:M117"/>
    <mergeCell ref="F117:F118"/>
    <mergeCell ref="D119:E121"/>
    <mergeCell ref="F121:F122"/>
    <mergeCell ref="L123:M125"/>
    <mergeCell ref="F125:F126"/>
    <mergeCell ref="D103:E105"/>
    <mergeCell ref="F105:F106"/>
    <mergeCell ref="L107:M109"/>
    <mergeCell ref="F109:F110"/>
    <mergeCell ref="D111:E113"/>
    <mergeCell ref="F113:F114"/>
    <mergeCell ref="L91:M93"/>
    <mergeCell ref="F93:F94"/>
    <mergeCell ref="D95:E97"/>
    <mergeCell ref="F97:F98"/>
    <mergeCell ref="L99:M101"/>
    <mergeCell ref="F101:F102"/>
    <mergeCell ref="D79:E81"/>
    <mergeCell ref="F81:F82"/>
    <mergeCell ref="L83:M85"/>
    <mergeCell ref="F85:F86"/>
    <mergeCell ref="D87:E89"/>
    <mergeCell ref="F89:F90"/>
    <mergeCell ref="L67:M69"/>
    <mergeCell ref="F69:F70"/>
    <mergeCell ref="D71:E73"/>
    <mergeCell ref="F73:F74"/>
    <mergeCell ref="L75:M77"/>
    <mergeCell ref="F77:F78"/>
    <mergeCell ref="D55:E57"/>
    <mergeCell ref="F57:F58"/>
    <mergeCell ref="L59:M61"/>
    <mergeCell ref="F61:F62"/>
    <mergeCell ref="D63:E65"/>
    <mergeCell ref="F65:F66"/>
    <mergeCell ref="L43:M45"/>
    <mergeCell ref="F45:F46"/>
    <mergeCell ref="D47:E49"/>
    <mergeCell ref="F49:F50"/>
    <mergeCell ref="L51:M53"/>
    <mergeCell ref="F53:F54"/>
    <mergeCell ref="D31:E33"/>
    <mergeCell ref="F33:F34"/>
    <mergeCell ref="L35:M37"/>
    <mergeCell ref="F37:F38"/>
    <mergeCell ref="D39:E41"/>
    <mergeCell ref="F41:F42"/>
    <mergeCell ref="L19:M21"/>
    <mergeCell ref="F21:F22"/>
    <mergeCell ref="D23:E25"/>
    <mergeCell ref="F25:F26"/>
    <mergeCell ref="L27:M29"/>
    <mergeCell ref="F29:F30"/>
    <mergeCell ref="D7:E9"/>
    <mergeCell ref="F9:F10"/>
    <mergeCell ref="L11:M13"/>
    <mergeCell ref="F13:F14"/>
    <mergeCell ref="D15:E17"/>
    <mergeCell ref="F17:F18"/>
  </mergeCells>
  <phoneticPr fontId="1"/>
  <printOptions horizontalCentered="1"/>
  <pageMargins left="0.70866141732283472" right="0.70866141732283472" top="0.74803149606299213" bottom="0.74803149606299213" header="0.31496062992125984" footer="0.31496062992125984"/>
  <pageSetup paperSize="9" scale="57" fitToHeight="0" orientation="portrait" r:id="rId1"/>
  <headerFooter>
    <oddHeader>&amp;R&amp;"ＭＳ Ｐゴシック"&amp;9居宅介護</oddHeader>
    <oddFooter>&amp;C&amp;"ＭＳ Ｐゴシック"&amp;14&amp;P</oddFooter>
  </headerFooter>
  <rowBreaks count="2" manualBreakCount="2">
    <brk id="78" max="14" man="1"/>
    <brk id="150" max="14"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pageSetUpPr fitToPage="1"/>
  </sheetPr>
  <dimension ref="A1:R125"/>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3.5" style="10" bestFit="1" customWidth="1"/>
    <col min="4" max="4" width="4.875" style="10" customWidth="1"/>
    <col min="5" max="5" width="4.5" style="117" bestFit="1" customWidth="1"/>
    <col min="6" max="6" width="11.875" style="12" customWidth="1"/>
    <col min="7" max="7" width="3.5" style="12" bestFit="1" customWidth="1"/>
    <col min="8" max="8" width="4.5" style="13" bestFit="1" customWidth="1"/>
    <col min="9" max="9" width="25.5" style="14" bestFit="1" customWidth="1"/>
    <col min="10" max="10" width="3.5" style="12" bestFit="1" customWidth="1"/>
    <col min="11" max="11" width="5.5" style="13" bestFit="1" customWidth="1"/>
    <col min="12" max="12" width="3.5" style="12" bestFit="1" customWidth="1"/>
    <col min="13" max="13" width="4.5" style="13" bestFit="1" customWidth="1"/>
    <col min="14" max="14" width="5.5" style="12" bestFit="1" customWidth="1"/>
    <col min="15" max="15" width="9.875" style="12" customWidth="1"/>
    <col min="16" max="16" width="4.5" style="12" bestFit="1" customWidth="1"/>
    <col min="17" max="17" width="7.125" style="206" customWidth="1"/>
    <col min="18" max="18" width="8.5" style="16" customWidth="1"/>
    <col min="19" max="16384" width="8.875" style="12"/>
  </cols>
  <sheetData>
    <row r="1" spans="1:18" ht="17.100000000000001" customHeight="1" x14ac:dyDescent="0.15"/>
    <row r="2" spans="1:18" ht="17.100000000000001" customHeight="1" x14ac:dyDescent="0.15"/>
    <row r="3" spans="1:18" ht="17.100000000000001" customHeight="1" x14ac:dyDescent="0.15"/>
    <row r="4" spans="1:18" ht="17.100000000000001" customHeight="1" x14ac:dyDescent="0.15">
      <c r="B4" s="17" t="s">
        <v>6850</v>
      </c>
      <c r="D4" s="71"/>
    </row>
    <row r="5" spans="1:18" ht="16.5" customHeight="1" x14ac:dyDescent="0.15">
      <c r="A5" s="19" t="s">
        <v>384</v>
      </c>
      <c r="B5" s="20"/>
      <c r="C5" s="21" t="s">
        <v>385</v>
      </c>
      <c r="D5" s="23" t="s">
        <v>386</v>
      </c>
      <c r="E5" s="118"/>
      <c r="F5" s="23"/>
      <c r="G5" s="23"/>
      <c r="H5" s="24"/>
      <c r="I5" s="23"/>
      <c r="J5" s="23"/>
      <c r="K5" s="24"/>
      <c r="L5" s="23"/>
      <c r="M5" s="24"/>
      <c r="N5" s="23"/>
      <c r="O5" s="23"/>
      <c r="P5" s="23"/>
      <c r="Q5" s="21" t="s">
        <v>387</v>
      </c>
      <c r="R5" s="21" t="s">
        <v>388</v>
      </c>
    </row>
    <row r="6" spans="1:18" ht="16.5" customHeight="1" x14ac:dyDescent="0.15">
      <c r="A6" s="26" t="s">
        <v>389</v>
      </c>
      <c r="B6" s="26" t="s">
        <v>390</v>
      </c>
      <c r="C6" s="27"/>
      <c r="D6" s="29"/>
      <c r="E6" s="120"/>
      <c r="F6" s="29"/>
      <c r="G6" s="29"/>
      <c r="H6" s="30"/>
      <c r="I6" s="29"/>
      <c r="J6" s="29"/>
      <c r="K6" s="30"/>
      <c r="L6" s="29"/>
      <c r="M6" s="30"/>
      <c r="N6" s="29"/>
      <c r="O6" s="29"/>
      <c r="P6" s="29"/>
      <c r="Q6" s="32" t="s">
        <v>391</v>
      </c>
      <c r="R6" s="32" t="s">
        <v>392</v>
      </c>
    </row>
    <row r="7" spans="1:18" ht="16.5" customHeight="1" x14ac:dyDescent="0.15">
      <c r="A7" s="33">
        <v>11</v>
      </c>
      <c r="B7" s="33">
        <v>3911</v>
      </c>
      <c r="C7" s="34" t="s">
        <v>6851</v>
      </c>
      <c r="D7" s="709" t="s">
        <v>4640</v>
      </c>
      <c r="E7" s="718"/>
      <c r="F7" s="35"/>
      <c r="I7" s="36"/>
      <c r="J7" s="37"/>
      <c r="K7" s="38"/>
      <c r="L7" s="72" t="s">
        <v>674</v>
      </c>
      <c r="N7" s="57"/>
      <c r="O7" s="35"/>
      <c r="Q7" s="207">
        <f>ROUND((_11_A通院１増０．５*(1+_11・A早朝)),0)</f>
        <v>104</v>
      </c>
      <c r="R7" s="40" t="s">
        <v>395</v>
      </c>
    </row>
    <row r="8" spans="1:18" ht="16.5" customHeight="1" x14ac:dyDescent="0.15">
      <c r="A8" s="41">
        <v>11</v>
      </c>
      <c r="B8" s="41">
        <v>3912</v>
      </c>
      <c r="C8" s="74" t="s">
        <v>6852</v>
      </c>
      <c r="D8" s="709"/>
      <c r="E8" s="718"/>
      <c r="F8" s="43"/>
      <c r="G8" s="37"/>
      <c r="H8" s="38"/>
      <c r="I8" s="44" t="s">
        <v>397</v>
      </c>
      <c r="J8" s="45" t="s">
        <v>398</v>
      </c>
      <c r="K8" s="46">
        <v>1</v>
      </c>
      <c r="L8" s="35" t="s">
        <v>398</v>
      </c>
      <c r="M8" s="13">
        <v>0.25</v>
      </c>
      <c r="N8" s="728" t="s">
        <v>676</v>
      </c>
      <c r="O8" s="35"/>
      <c r="Q8" s="208">
        <f>ROUND((ROUND((_11_A通院１増０．５*_11・２人),0)*(1+_11・A早朝)),0)</f>
        <v>104</v>
      </c>
      <c r="R8" s="48"/>
    </row>
    <row r="9" spans="1:18" ht="16.5" customHeight="1" x14ac:dyDescent="0.15">
      <c r="A9" s="41">
        <v>11</v>
      </c>
      <c r="B9" s="41">
        <v>3913</v>
      </c>
      <c r="C9" s="74" t="s">
        <v>6853</v>
      </c>
      <c r="D9" s="709"/>
      <c r="E9" s="718"/>
      <c r="F9" s="752" t="s">
        <v>400</v>
      </c>
      <c r="G9" s="49" t="s">
        <v>398</v>
      </c>
      <c r="H9" s="50">
        <v>0.7</v>
      </c>
      <c r="I9" s="44"/>
      <c r="J9" s="45"/>
      <c r="K9" s="46"/>
      <c r="L9" s="35"/>
      <c r="N9" s="728"/>
      <c r="O9" s="35"/>
      <c r="Q9" s="208">
        <f>ROUND((ROUND((_11_A通院１増０．５*_11・基礎１),0)*(1+_11・A早朝)),0)</f>
        <v>73</v>
      </c>
      <c r="R9" s="48"/>
    </row>
    <row r="10" spans="1:18" ht="16.5" customHeight="1" x14ac:dyDescent="0.15">
      <c r="A10" s="41">
        <v>11</v>
      </c>
      <c r="B10" s="41">
        <v>3914</v>
      </c>
      <c r="C10" s="74" t="s">
        <v>6854</v>
      </c>
      <c r="D10" s="100">
        <f>_11_A通院１増０．５</f>
        <v>83</v>
      </c>
      <c r="E10" s="12" t="s">
        <v>392</v>
      </c>
      <c r="F10" s="757"/>
      <c r="G10" s="37"/>
      <c r="H10" s="38"/>
      <c r="I10" s="44" t="s">
        <v>397</v>
      </c>
      <c r="J10" s="45" t="s">
        <v>398</v>
      </c>
      <c r="K10" s="46">
        <v>1</v>
      </c>
      <c r="L10" s="35"/>
      <c r="N10" s="57"/>
      <c r="O10" s="43"/>
      <c r="P10" s="37"/>
      <c r="Q10" s="208">
        <f>ROUND((ROUND((ROUND((_11_A通院１増０．５*_11・基礎１),0)*_11・２人),0)*(1+_11・A早朝)),0)</f>
        <v>73</v>
      </c>
      <c r="R10" s="48"/>
    </row>
    <row r="11" spans="1:18" ht="16.5" customHeight="1" x14ac:dyDescent="0.15">
      <c r="A11" s="41">
        <v>11</v>
      </c>
      <c r="B11" s="41" t="s">
        <v>6855</v>
      </c>
      <c r="C11" s="74" t="s">
        <v>6856</v>
      </c>
      <c r="D11" s="121"/>
      <c r="E11" s="99"/>
      <c r="F11" s="53"/>
      <c r="G11" s="49"/>
      <c r="H11" s="50"/>
      <c r="I11" s="44"/>
      <c r="J11" s="45"/>
      <c r="K11" s="46"/>
      <c r="L11" s="35"/>
      <c r="N11" s="57"/>
      <c r="O11" s="707" t="s">
        <v>404</v>
      </c>
      <c r="P11" s="708"/>
      <c r="Q11" s="208">
        <f>ROUND((ROUND((_11_A通院１増０．５*(1+_11・A早朝)),0)*_11・初任),0)</f>
        <v>73</v>
      </c>
      <c r="R11" s="48"/>
    </row>
    <row r="12" spans="1:18" ht="16.5" customHeight="1" x14ac:dyDescent="0.15">
      <c r="A12" s="41">
        <v>11</v>
      </c>
      <c r="B12" s="41" t="s">
        <v>6857</v>
      </c>
      <c r="C12" s="74" t="s">
        <v>6858</v>
      </c>
      <c r="D12" s="121"/>
      <c r="E12" s="99"/>
      <c r="F12" s="43"/>
      <c r="G12" s="37"/>
      <c r="H12" s="38"/>
      <c r="I12" s="44" t="s">
        <v>397</v>
      </c>
      <c r="J12" s="45" t="s">
        <v>398</v>
      </c>
      <c r="K12" s="46">
        <v>1</v>
      </c>
      <c r="L12" s="35"/>
      <c r="N12" s="57"/>
      <c r="O12" s="709"/>
      <c r="P12" s="704"/>
      <c r="Q12" s="208">
        <f>ROUND((ROUND((ROUND((_11_A通院１増０．５*_11・２人),0)*(1+_11・A早朝)),0)*_11・初任),0)</f>
        <v>73</v>
      </c>
      <c r="R12" s="48"/>
    </row>
    <row r="13" spans="1:18" ht="16.5" customHeight="1" x14ac:dyDescent="0.15">
      <c r="A13" s="41">
        <v>11</v>
      </c>
      <c r="B13" s="41" t="s">
        <v>6859</v>
      </c>
      <c r="C13" s="74" t="s">
        <v>6860</v>
      </c>
      <c r="D13" s="72"/>
      <c r="E13" s="99"/>
      <c r="F13" s="752" t="s">
        <v>400</v>
      </c>
      <c r="G13" s="49" t="s">
        <v>398</v>
      </c>
      <c r="H13" s="50">
        <v>0.7</v>
      </c>
      <c r="I13" s="44"/>
      <c r="J13" s="45"/>
      <c r="K13" s="46"/>
      <c r="L13" s="35"/>
      <c r="N13" s="57"/>
      <c r="O13" s="709"/>
      <c r="P13" s="704"/>
      <c r="Q13" s="208">
        <f>ROUND((ROUND((ROUND((_11_A通院１増０．５*_11・基礎１),0)*(1+_11・A早朝)),0)*_11・初任),0)</f>
        <v>51</v>
      </c>
      <c r="R13" s="48"/>
    </row>
    <row r="14" spans="1:18" ht="16.5" customHeight="1" x14ac:dyDescent="0.15">
      <c r="A14" s="41">
        <v>11</v>
      </c>
      <c r="B14" s="41" t="s">
        <v>6861</v>
      </c>
      <c r="C14" s="74" t="s">
        <v>6862</v>
      </c>
      <c r="D14" s="72"/>
      <c r="E14" s="99"/>
      <c r="F14" s="757"/>
      <c r="G14" s="37"/>
      <c r="H14" s="38"/>
      <c r="I14" s="44" t="s">
        <v>397</v>
      </c>
      <c r="J14" s="45" t="s">
        <v>398</v>
      </c>
      <c r="K14" s="46">
        <v>1</v>
      </c>
      <c r="L14" s="35"/>
      <c r="N14" s="57"/>
      <c r="O14" s="55" t="s">
        <v>398</v>
      </c>
      <c r="P14" s="38">
        <f>_11・初任</f>
        <v>0.7</v>
      </c>
      <c r="Q14" s="208">
        <f>ROUND((ROUND((ROUND((ROUND((_11_A通院１増０．５*_11・基礎１),0)*_11・２人),0)*(1+_11・A早朝)),0)*_11・初任),0)</f>
        <v>51</v>
      </c>
      <c r="R14" s="48"/>
    </row>
    <row r="15" spans="1:18" ht="16.5" customHeight="1" x14ac:dyDescent="0.15">
      <c r="A15" s="41">
        <v>11</v>
      </c>
      <c r="B15" s="41">
        <v>3915</v>
      </c>
      <c r="C15" s="74" t="s">
        <v>6863</v>
      </c>
      <c r="D15" s="707" t="s">
        <v>5215</v>
      </c>
      <c r="E15" s="717"/>
      <c r="F15" s="53"/>
      <c r="G15" s="49"/>
      <c r="H15" s="50"/>
      <c r="I15" s="44"/>
      <c r="J15" s="45"/>
      <c r="K15" s="46"/>
      <c r="L15" s="35"/>
      <c r="N15" s="57"/>
      <c r="O15" s="53"/>
      <c r="P15" s="49"/>
      <c r="Q15" s="208">
        <f>ROUND((_11_A通院１増１．０*(1+_11・A早朝)),0)</f>
        <v>208</v>
      </c>
      <c r="R15" s="48"/>
    </row>
    <row r="16" spans="1:18" ht="16.5" customHeight="1" x14ac:dyDescent="0.15">
      <c r="A16" s="41">
        <v>11</v>
      </c>
      <c r="B16" s="41">
        <v>3916</v>
      </c>
      <c r="C16" s="74" t="s">
        <v>6864</v>
      </c>
      <c r="D16" s="709"/>
      <c r="E16" s="718"/>
      <c r="F16" s="43"/>
      <c r="G16" s="37"/>
      <c r="H16" s="38"/>
      <c r="I16" s="44" t="s">
        <v>397</v>
      </c>
      <c r="J16" s="45" t="s">
        <v>398</v>
      </c>
      <c r="K16" s="46">
        <v>1</v>
      </c>
      <c r="L16" s="35"/>
      <c r="N16" s="57"/>
      <c r="O16" s="35"/>
      <c r="Q16" s="208">
        <f>ROUND((ROUND((_11_A通院１増１．０*_11・２人),0)*(1+_11・A早朝)),0)</f>
        <v>208</v>
      </c>
      <c r="R16" s="48"/>
    </row>
    <row r="17" spans="1:18" ht="16.5" customHeight="1" x14ac:dyDescent="0.15">
      <c r="A17" s="41">
        <v>11</v>
      </c>
      <c r="B17" s="41">
        <v>3917</v>
      </c>
      <c r="C17" s="74" t="s">
        <v>6865</v>
      </c>
      <c r="D17" s="709"/>
      <c r="E17" s="718"/>
      <c r="F17" s="752" t="s">
        <v>400</v>
      </c>
      <c r="G17" s="49" t="s">
        <v>398</v>
      </c>
      <c r="H17" s="50">
        <v>0.7</v>
      </c>
      <c r="I17" s="44"/>
      <c r="J17" s="45"/>
      <c r="K17" s="46"/>
      <c r="L17" s="35"/>
      <c r="N17" s="57"/>
      <c r="O17" s="35"/>
      <c r="Q17" s="208">
        <f>ROUND((ROUND((_11_A通院１増１．０*_11・基礎１),0)*(1+_11・A早朝)),0)</f>
        <v>145</v>
      </c>
      <c r="R17" s="48"/>
    </row>
    <row r="18" spans="1:18" ht="16.5" customHeight="1" x14ac:dyDescent="0.15">
      <c r="A18" s="41">
        <v>11</v>
      </c>
      <c r="B18" s="41">
        <v>3918</v>
      </c>
      <c r="C18" s="74" t="s">
        <v>6866</v>
      </c>
      <c r="D18" s="100">
        <f>_11_A通院１増１．０</f>
        <v>166</v>
      </c>
      <c r="E18" s="12" t="s">
        <v>392</v>
      </c>
      <c r="F18" s="709"/>
      <c r="G18" s="37"/>
      <c r="H18" s="38"/>
      <c r="I18" s="44" t="s">
        <v>397</v>
      </c>
      <c r="J18" s="45" t="s">
        <v>398</v>
      </c>
      <c r="K18" s="46">
        <v>1</v>
      </c>
      <c r="L18" s="35"/>
      <c r="N18" s="57"/>
      <c r="O18" s="43"/>
      <c r="P18" s="37"/>
      <c r="Q18" s="208">
        <f>ROUND((ROUND((ROUND((_11_A通院１増１．０*_11・基礎１),0)*_11・２人),0)*(1+_11・A早朝)),0)</f>
        <v>145</v>
      </c>
      <c r="R18" s="48"/>
    </row>
    <row r="19" spans="1:18" ht="16.5" customHeight="1" x14ac:dyDescent="0.15">
      <c r="A19" s="41">
        <v>11</v>
      </c>
      <c r="B19" s="41" t="s">
        <v>6867</v>
      </c>
      <c r="C19" s="74" t="s">
        <v>6868</v>
      </c>
      <c r="D19" s="72"/>
      <c r="E19" s="99"/>
      <c r="F19" s="53"/>
      <c r="G19" s="49"/>
      <c r="H19" s="50"/>
      <c r="I19" s="44"/>
      <c r="J19" s="45"/>
      <c r="K19" s="46"/>
      <c r="L19" s="35"/>
      <c r="N19" s="57"/>
      <c r="O19" s="707" t="s">
        <v>404</v>
      </c>
      <c r="P19" s="708"/>
      <c r="Q19" s="208">
        <f>ROUND((ROUND((_11_A通院１増１．０*(1+_11・A早朝)),0)*_11・初任),0)</f>
        <v>146</v>
      </c>
      <c r="R19" s="48"/>
    </row>
    <row r="20" spans="1:18" ht="16.5" customHeight="1" x14ac:dyDescent="0.15">
      <c r="A20" s="41">
        <v>11</v>
      </c>
      <c r="B20" s="41" t="s">
        <v>6869</v>
      </c>
      <c r="C20" s="74" t="s">
        <v>6870</v>
      </c>
      <c r="D20" s="72"/>
      <c r="E20" s="99"/>
      <c r="F20" s="43"/>
      <c r="G20" s="37"/>
      <c r="H20" s="38"/>
      <c r="I20" s="44" t="s">
        <v>397</v>
      </c>
      <c r="J20" s="45" t="s">
        <v>398</v>
      </c>
      <c r="K20" s="46">
        <v>1</v>
      </c>
      <c r="L20" s="35"/>
      <c r="N20" s="57"/>
      <c r="O20" s="709"/>
      <c r="P20" s="704"/>
      <c r="Q20" s="208">
        <f>ROUND((ROUND((ROUND((_11_A通院１増１．０*_11・２人),0)*(1+_11・A早朝)),0)*_11・初任),0)</f>
        <v>146</v>
      </c>
      <c r="R20" s="48"/>
    </row>
    <row r="21" spans="1:18" ht="16.5" customHeight="1" x14ac:dyDescent="0.15">
      <c r="A21" s="41">
        <v>11</v>
      </c>
      <c r="B21" s="41" t="s">
        <v>6871</v>
      </c>
      <c r="C21" s="74" t="s">
        <v>6872</v>
      </c>
      <c r="D21" s="72"/>
      <c r="E21" s="99"/>
      <c r="F21" s="752" t="s">
        <v>400</v>
      </c>
      <c r="G21" s="49" t="s">
        <v>398</v>
      </c>
      <c r="H21" s="50">
        <v>0.7</v>
      </c>
      <c r="I21" s="44"/>
      <c r="J21" s="45"/>
      <c r="K21" s="46"/>
      <c r="L21" s="35"/>
      <c r="N21" s="57"/>
      <c r="O21" s="709"/>
      <c r="P21" s="704"/>
      <c r="Q21" s="208">
        <f>ROUND((ROUND((ROUND((_11_A通院１増１．０*_11・基礎１),0)*(1+_11・A早朝)),0)*_11・初任),0)</f>
        <v>102</v>
      </c>
      <c r="R21" s="48"/>
    </row>
    <row r="22" spans="1:18" ht="16.5" customHeight="1" x14ac:dyDescent="0.15">
      <c r="A22" s="41">
        <v>11</v>
      </c>
      <c r="B22" s="41" t="s">
        <v>6873</v>
      </c>
      <c r="C22" s="74" t="s">
        <v>6874</v>
      </c>
      <c r="D22" s="72"/>
      <c r="E22" s="99"/>
      <c r="F22" s="709"/>
      <c r="G22" s="37"/>
      <c r="H22" s="38"/>
      <c r="I22" s="44" t="s">
        <v>397</v>
      </c>
      <c r="J22" s="45" t="s">
        <v>398</v>
      </c>
      <c r="K22" s="46">
        <v>1</v>
      </c>
      <c r="L22" s="35"/>
      <c r="N22" s="57"/>
      <c r="O22" s="55" t="s">
        <v>398</v>
      </c>
      <c r="P22" s="38">
        <f>_11・初任</f>
        <v>0.7</v>
      </c>
      <c r="Q22" s="208">
        <f>ROUND((ROUND((ROUND((ROUND((_11_A通院１増１．０*_11・基礎１),0)*_11・２人),0)*(1+_11・A早朝)),0)*_11・初任),0)</f>
        <v>102</v>
      </c>
      <c r="R22" s="48"/>
    </row>
    <row r="23" spans="1:18" ht="16.5" customHeight="1" x14ac:dyDescent="0.15">
      <c r="A23" s="41">
        <v>11</v>
      </c>
      <c r="B23" s="41">
        <v>3919</v>
      </c>
      <c r="C23" s="74" t="s">
        <v>6875</v>
      </c>
      <c r="D23" s="707" t="s">
        <v>5264</v>
      </c>
      <c r="E23" s="717"/>
      <c r="F23" s="53"/>
      <c r="G23" s="49"/>
      <c r="H23" s="50"/>
      <c r="I23" s="44"/>
      <c r="J23" s="45"/>
      <c r="K23" s="46"/>
      <c r="L23" s="35"/>
      <c r="N23" s="57"/>
      <c r="O23" s="53"/>
      <c r="P23" s="49"/>
      <c r="Q23" s="208">
        <f>ROUND((_11_A通院１増１．５*(1+_11・A早朝)),0)</f>
        <v>311</v>
      </c>
      <c r="R23" s="48"/>
    </row>
    <row r="24" spans="1:18" ht="16.5" customHeight="1" x14ac:dyDescent="0.15">
      <c r="A24" s="41">
        <v>11</v>
      </c>
      <c r="B24" s="41">
        <v>3920</v>
      </c>
      <c r="C24" s="74" t="s">
        <v>6876</v>
      </c>
      <c r="D24" s="709"/>
      <c r="E24" s="718"/>
      <c r="F24" s="43"/>
      <c r="G24" s="37"/>
      <c r="H24" s="38"/>
      <c r="I24" s="44" t="s">
        <v>397</v>
      </c>
      <c r="J24" s="45" t="s">
        <v>398</v>
      </c>
      <c r="K24" s="46">
        <v>1</v>
      </c>
      <c r="L24" s="35"/>
      <c r="N24" s="57"/>
      <c r="O24" s="35"/>
      <c r="Q24" s="208">
        <f>ROUND((ROUND((_11_A通院１増１．５*_11・２人),0)*(1+_11・A早朝)),0)</f>
        <v>311</v>
      </c>
      <c r="R24" s="48"/>
    </row>
    <row r="25" spans="1:18" ht="16.5" customHeight="1" x14ac:dyDescent="0.15">
      <c r="A25" s="41">
        <v>11</v>
      </c>
      <c r="B25" s="41">
        <v>3921</v>
      </c>
      <c r="C25" s="74" t="s">
        <v>6877</v>
      </c>
      <c r="D25" s="709"/>
      <c r="E25" s="718"/>
      <c r="F25" s="752" t="s">
        <v>400</v>
      </c>
      <c r="G25" s="49" t="s">
        <v>398</v>
      </c>
      <c r="H25" s="50">
        <v>0.7</v>
      </c>
      <c r="I25" s="44"/>
      <c r="J25" s="45"/>
      <c r="K25" s="46"/>
      <c r="L25" s="35"/>
      <c r="N25" s="57"/>
      <c r="O25" s="35"/>
      <c r="Q25" s="208">
        <f>ROUND((ROUND((_11_A通院１増１．５*_11・基礎１),0)*(1+_11・A早朝)),0)</f>
        <v>218</v>
      </c>
      <c r="R25" s="48"/>
    </row>
    <row r="26" spans="1:18" ht="16.5" customHeight="1" x14ac:dyDescent="0.15">
      <c r="A26" s="41">
        <v>11</v>
      </c>
      <c r="B26" s="41">
        <v>3922</v>
      </c>
      <c r="C26" s="74" t="s">
        <v>6878</v>
      </c>
      <c r="D26" s="100">
        <f>_11_A通院１増１．５</f>
        <v>249</v>
      </c>
      <c r="E26" s="12" t="s">
        <v>392</v>
      </c>
      <c r="F26" s="757"/>
      <c r="G26" s="37"/>
      <c r="H26" s="38"/>
      <c r="I26" s="44" t="s">
        <v>397</v>
      </c>
      <c r="J26" s="45" t="s">
        <v>398</v>
      </c>
      <c r="K26" s="46">
        <v>1</v>
      </c>
      <c r="L26" s="35"/>
      <c r="N26" s="57"/>
      <c r="O26" s="43"/>
      <c r="P26" s="37"/>
      <c r="Q26" s="208">
        <f>ROUND((ROUND((ROUND((_11_A通院１増１．５*_11・基礎１),0)*_11・２人),0)*(1+_11・A早朝)),0)</f>
        <v>218</v>
      </c>
      <c r="R26" s="48"/>
    </row>
    <row r="27" spans="1:18" ht="16.5" customHeight="1" x14ac:dyDescent="0.15">
      <c r="A27" s="41">
        <v>11</v>
      </c>
      <c r="B27" s="41" t="s">
        <v>6879</v>
      </c>
      <c r="C27" s="74" t="s">
        <v>6880</v>
      </c>
      <c r="D27" s="121"/>
      <c r="E27" s="99"/>
      <c r="F27" s="53"/>
      <c r="G27" s="49"/>
      <c r="H27" s="50"/>
      <c r="I27" s="44"/>
      <c r="J27" s="45"/>
      <c r="K27" s="46"/>
      <c r="L27" s="35"/>
      <c r="N27" s="57"/>
      <c r="O27" s="707" t="s">
        <v>404</v>
      </c>
      <c r="P27" s="708"/>
      <c r="Q27" s="208">
        <f>ROUND((ROUND((_11_A通院１増１．５*(1+_11・A早朝)),0)*_11・初任),0)</f>
        <v>218</v>
      </c>
      <c r="R27" s="48"/>
    </row>
    <row r="28" spans="1:18" ht="16.5" customHeight="1" x14ac:dyDescent="0.15">
      <c r="A28" s="41">
        <v>11</v>
      </c>
      <c r="B28" s="41" t="s">
        <v>6881</v>
      </c>
      <c r="C28" s="74" t="s">
        <v>6882</v>
      </c>
      <c r="D28" s="121"/>
      <c r="E28" s="99"/>
      <c r="F28" s="43"/>
      <c r="G28" s="37"/>
      <c r="H28" s="38"/>
      <c r="I28" s="44" t="s">
        <v>397</v>
      </c>
      <c r="J28" s="45" t="s">
        <v>398</v>
      </c>
      <c r="K28" s="46">
        <v>1</v>
      </c>
      <c r="L28" s="35"/>
      <c r="N28" s="57"/>
      <c r="O28" s="709"/>
      <c r="P28" s="704"/>
      <c r="Q28" s="208">
        <f>ROUND((ROUND((ROUND((_11_A通院１増１．５*_11・２人),0)*(1+_11・A早朝)),0)*_11・初任),0)</f>
        <v>218</v>
      </c>
      <c r="R28" s="48"/>
    </row>
    <row r="29" spans="1:18" ht="16.5" customHeight="1" x14ac:dyDescent="0.15">
      <c r="A29" s="41">
        <v>11</v>
      </c>
      <c r="B29" s="41" t="s">
        <v>6883</v>
      </c>
      <c r="C29" s="74" t="s">
        <v>6884</v>
      </c>
      <c r="D29" s="72"/>
      <c r="E29" s="99"/>
      <c r="F29" s="752" t="s">
        <v>400</v>
      </c>
      <c r="G29" s="49" t="s">
        <v>398</v>
      </c>
      <c r="H29" s="50">
        <v>0.7</v>
      </c>
      <c r="I29" s="44"/>
      <c r="J29" s="45"/>
      <c r="K29" s="46"/>
      <c r="L29" s="35"/>
      <c r="N29" s="57"/>
      <c r="O29" s="709"/>
      <c r="P29" s="704"/>
      <c r="Q29" s="208">
        <f>ROUND((ROUND((ROUND((_11_A通院１増１．５*_11・基礎１),0)*(1+_11・A早朝)),0)*_11・初任),0)</f>
        <v>153</v>
      </c>
      <c r="R29" s="48"/>
    </row>
    <row r="30" spans="1:18" ht="16.5" customHeight="1" x14ac:dyDescent="0.15">
      <c r="A30" s="41">
        <v>11</v>
      </c>
      <c r="B30" s="41" t="s">
        <v>6885</v>
      </c>
      <c r="C30" s="74" t="s">
        <v>6886</v>
      </c>
      <c r="D30" s="72"/>
      <c r="E30" s="99"/>
      <c r="F30" s="757"/>
      <c r="G30" s="37"/>
      <c r="H30" s="38"/>
      <c r="I30" s="44" t="s">
        <v>397</v>
      </c>
      <c r="J30" s="45" t="s">
        <v>398</v>
      </c>
      <c r="K30" s="46">
        <v>1</v>
      </c>
      <c r="L30" s="35"/>
      <c r="N30" s="57"/>
      <c r="O30" s="55" t="s">
        <v>398</v>
      </c>
      <c r="P30" s="38">
        <f>_11・初任</f>
        <v>0.7</v>
      </c>
      <c r="Q30" s="208">
        <f>ROUND((ROUND((ROUND((ROUND((_11_A通院１増１．５*_11・基礎１),0)*_11・２人),0)*(1+_11・A早朝)),0)*_11・初任),0)</f>
        <v>153</v>
      </c>
      <c r="R30" s="48"/>
    </row>
    <row r="31" spans="1:18" ht="16.5" customHeight="1" x14ac:dyDescent="0.15">
      <c r="A31" s="41">
        <v>11</v>
      </c>
      <c r="B31" s="41">
        <v>3923</v>
      </c>
      <c r="C31" s="74" t="s">
        <v>6887</v>
      </c>
      <c r="D31" s="707" t="s">
        <v>5301</v>
      </c>
      <c r="E31" s="717"/>
      <c r="F31" s="53"/>
      <c r="G31" s="49"/>
      <c r="H31" s="50"/>
      <c r="I31" s="44"/>
      <c r="J31" s="45"/>
      <c r="K31" s="46"/>
      <c r="L31" s="35"/>
      <c r="N31" s="57"/>
      <c r="O31" s="53"/>
      <c r="P31" s="49"/>
      <c r="Q31" s="208">
        <f>ROUND((_11_A通院１増２．０*(1+_11・A早朝)),0)</f>
        <v>415</v>
      </c>
      <c r="R31" s="48"/>
    </row>
    <row r="32" spans="1:18" ht="16.5" customHeight="1" x14ac:dyDescent="0.15">
      <c r="A32" s="41">
        <v>11</v>
      </c>
      <c r="B32" s="41">
        <v>3924</v>
      </c>
      <c r="C32" s="74" t="s">
        <v>6888</v>
      </c>
      <c r="D32" s="709"/>
      <c r="E32" s="718"/>
      <c r="F32" s="43"/>
      <c r="G32" s="37"/>
      <c r="H32" s="38"/>
      <c r="I32" s="44" t="s">
        <v>397</v>
      </c>
      <c r="J32" s="45" t="s">
        <v>398</v>
      </c>
      <c r="K32" s="46">
        <v>1</v>
      </c>
      <c r="L32" s="35"/>
      <c r="N32" s="57"/>
      <c r="O32" s="35"/>
      <c r="Q32" s="208">
        <f>ROUND((ROUND((_11_A通院１増２．０*_11・２人),0)*(1+_11・A早朝)),0)</f>
        <v>415</v>
      </c>
      <c r="R32" s="48"/>
    </row>
    <row r="33" spans="1:18" ht="16.5" customHeight="1" x14ac:dyDescent="0.15">
      <c r="A33" s="41">
        <v>11</v>
      </c>
      <c r="B33" s="41">
        <v>3925</v>
      </c>
      <c r="C33" s="74" t="s">
        <v>6889</v>
      </c>
      <c r="D33" s="709"/>
      <c r="E33" s="718"/>
      <c r="F33" s="752" t="s">
        <v>400</v>
      </c>
      <c r="G33" s="49" t="s">
        <v>398</v>
      </c>
      <c r="H33" s="50">
        <v>0.7</v>
      </c>
      <c r="I33" s="44"/>
      <c r="J33" s="45"/>
      <c r="K33" s="46"/>
      <c r="L33" s="35"/>
      <c r="N33" s="57"/>
      <c r="O33" s="35"/>
      <c r="Q33" s="208">
        <f>ROUND((ROUND((_11_A通院１増２．０*_11・基礎１),0)*(1+_11・A早朝)),0)</f>
        <v>290</v>
      </c>
      <c r="R33" s="48"/>
    </row>
    <row r="34" spans="1:18" ht="16.5" customHeight="1" x14ac:dyDescent="0.15">
      <c r="A34" s="41">
        <v>11</v>
      </c>
      <c r="B34" s="41">
        <v>3926</v>
      </c>
      <c r="C34" s="74" t="s">
        <v>6890</v>
      </c>
      <c r="D34" s="100">
        <f>_11_A通院１増２．０</f>
        <v>332</v>
      </c>
      <c r="E34" s="12" t="s">
        <v>392</v>
      </c>
      <c r="F34" s="757"/>
      <c r="G34" s="37"/>
      <c r="H34" s="38"/>
      <c r="I34" s="44" t="s">
        <v>397</v>
      </c>
      <c r="J34" s="45" t="s">
        <v>398</v>
      </c>
      <c r="K34" s="46">
        <v>1</v>
      </c>
      <c r="L34" s="35"/>
      <c r="N34" s="57"/>
      <c r="O34" s="43"/>
      <c r="P34" s="37"/>
      <c r="Q34" s="208">
        <f>ROUND((ROUND((ROUND((_11_A通院１増２．０*_11・基礎１),0)*_11・２人),0)*(1+_11・A早朝)),0)</f>
        <v>290</v>
      </c>
      <c r="R34" s="48"/>
    </row>
    <row r="35" spans="1:18" ht="16.5" customHeight="1" x14ac:dyDescent="0.15">
      <c r="A35" s="41">
        <v>11</v>
      </c>
      <c r="B35" s="41" t="s">
        <v>6891</v>
      </c>
      <c r="C35" s="74" t="s">
        <v>6892</v>
      </c>
      <c r="D35" s="121"/>
      <c r="E35" s="99"/>
      <c r="F35" s="53"/>
      <c r="G35" s="49"/>
      <c r="H35" s="50"/>
      <c r="I35" s="44"/>
      <c r="J35" s="45"/>
      <c r="K35" s="46"/>
      <c r="L35" s="35"/>
      <c r="N35" s="57"/>
      <c r="O35" s="707" t="s">
        <v>404</v>
      </c>
      <c r="P35" s="708"/>
      <c r="Q35" s="208">
        <f>ROUND((ROUND((_11_A通院１増２．０*(1+_11・A早朝)),0)*_11・初任),0)</f>
        <v>291</v>
      </c>
      <c r="R35" s="48"/>
    </row>
    <row r="36" spans="1:18" ht="16.5" customHeight="1" x14ac:dyDescent="0.15">
      <c r="A36" s="41">
        <v>11</v>
      </c>
      <c r="B36" s="41" t="s">
        <v>6893</v>
      </c>
      <c r="C36" s="74" t="s">
        <v>6894</v>
      </c>
      <c r="D36" s="121"/>
      <c r="E36" s="99"/>
      <c r="F36" s="43"/>
      <c r="G36" s="37"/>
      <c r="H36" s="38"/>
      <c r="I36" s="44" t="s">
        <v>397</v>
      </c>
      <c r="J36" s="45" t="s">
        <v>398</v>
      </c>
      <c r="K36" s="46">
        <v>1</v>
      </c>
      <c r="L36" s="35"/>
      <c r="N36" s="57"/>
      <c r="O36" s="709"/>
      <c r="P36" s="704"/>
      <c r="Q36" s="208">
        <f>ROUND((ROUND((ROUND((_11_A通院１増２．０*_11・２人),0)*(1+_11・A早朝)),0)*_11・初任),0)</f>
        <v>291</v>
      </c>
      <c r="R36" s="48"/>
    </row>
    <row r="37" spans="1:18" ht="16.5" customHeight="1" x14ac:dyDescent="0.15">
      <c r="A37" s="41">
        <v>11</v>
      </c>
      <c r="B37" s="41" t="s">
        <v>6895</v>
      </c>
      <c r="C37" s="74" t="s">
        <v>6896</v>
      </c>
      <c r="D37" s="72"/>
      <c r="E37" s="99"/>
      <c r="F37" s="752" t="s">
        <v>400</v>
      </c>
      <c r="G37" s="49" t="s">
        <v>398</v>
      </c>
      <c r="H37" s="50">
        <v>0.7</v>
      </c>
      <c r="I37" s="44"/>
      <c r="J37" s="45"/>
      <c r="K37" s="46"/>
      <c r="L37" s="35"/>
      <c r="N37" s="57"/>
      <c r="O37" s="709"/>
      <c r="P37" s="704"/>
      <c r="Q37" s="208">
        <f>ROUND((ROUND((ROUND((_11_A通院１増２．０*_11・基礎１),0)*(1+_11・A早朝)),0)*_11・初任),0)</f>
        <v>203</v>
      </c>
      <c r="R37" s="48"/>
    </row>
    <row r="38" spans="1:18" ht="16.5" customHeight="1" x14ac:dyDescent="0.15">
      <c r="A38" s="41">
        <v>11</v>
      </c>
      <c r="B38" s="41" t="s">
        <v>6897</v>
      </c>
      <c r="C38" s="74" t="s">
        <v>6898</v>
      </c>
      <c r="D38" s="72"/>
      <c r="E38" s="99"/>
      <c r="F38" s="757"/>
      <c r="G38" s="37"/>
      <c r="H38" s="38"/>
      <c r="I38" s="44" t="s">
        <v>397</v>
      </c>
      <c r="J38" s="45" t="s">
        <v>398</v>
      </c>
      <c r="K38" s="46">
        <v>1</v>
      </c>
      <c r="L38" s="35"/>
      <c r="N38" s="57"/>
      <c r="O38" s="55" t="s">
        <v>398</v>
      </c>
      <c r="P38" s="38">
        <f>_11・初任</f>
        <v>0.7</v>
      </c>
      <c r="Q38" s="208">
        <f>ROUND((ROUND((ROUND((ROUND((_11_A通院１増２．０*_11・基礎１),0)*_11・２人),0)*(1+_11・A早朝)),0)*_11・初任),0)</f>
        <v>203</v>
      </c>
      <c r="R38" s="48"/>
    </row>
    <row r="39" spans="1:18" ht="16.5" customHeight="1" x14ac:dyDescent="0.15">
      <c r="A39" s="41">
        <v>11</v>
      </c>
      <c r="B39" s="41">
        <v>3927</v>
      </c>
      <c r="C39" s="74" t="s">
        <v>6899</v>
      </c>
      <c r="D39" s="707" t="s">
        <v>5326</v>
      </c>
      <c r="E39" s="717"/>
      <c r="F39" s="53"/>
      <c r="G39" s="49"/>
      <c r="H39" s="50"/>
      <c r="I39" s="44"/>
      <c r="J39" s="45"/>
      <c r="K39" s="46"/>
      <c r="L39" s="35"/>
      <c r="N39" s="57"/>
      <c r="O39" s="53"/>
      <c r="P39" s="49"/>
      <c r="Q39" s="208">
        <f>ROUND((_11_A通院１増２．５*(1+_11・A早朝)),0)</f>
        <v>519</v>
      </c>
      <c r="R39" s="48"/>
    </row>
    <row r="40" spans="1:18" ht="16.5" customHeight="1" x14ac:dyDescent="0.15">
      <c r="A40" s="41">
        <v>11</v>
      </c>
      <c r="B40" s="41">
        <v>3928</v>
      </c>
      <c r="C40" s="74" t="s">
        <v>6900</v>
      </c>
      <c r="D40" s="709"/>
      <c r="E40" s="718"/>
      <c r="F40" s="43"/>
      <c r="G40" s="37"/>
      <c r="H40" s="38"/>
      <c r="I40" s="44" t="s">
        <v>397</v>
      </c>
      <c r="J40" s="45" t="s">
        <v>398</v>
      </c>
      <c r="K40" s="46">
        <v>1</v>
      </c>
      <c r="L40" s="35"/>
      <c r="N40" s="57"/>
      <c r="O40" s="35"/>
      <c r="Q40" s="208">
        <f>ROUND((ROUND((_11_A通院１増２．５*_11・２人),0)*(1+_11・A早朝)),0)</f>
        <v>519</v>
      </c>
      <c r="R40" s="48"/>
    </row>
    <row r="41" spans="1:18" ht="16.5" customHeight="1" x14ac:dyDescent="0.15">
      <c r="A41" s="41">
        <v>11</v>
      </c>
      <c r="B41" s="41">
        <v>3929</v>
      </c>
      <c r="C41" s="74" t="s">
        <v>6901</v>
      </c>
      <c r="D41" s="709"/>
      <c r="E41" s="718"/>
      <c r="F41" s="752" t="s">
        <v>400</v>
      </c>
      <c r="G41" s="49" t="s">
        <v>398</v>
      </c>
      <c r="H41" s="50">
        <v>0.7</v>
      </c>
      <c r="I41" s="44"/>
      <c r="J41" s="45"/>
      <c r="K41" s="46"/>
      <c r="L41" s="35"/>
      <c r="N41" s="57"/>
      <c r="O41" s="35"/>
      <c r="Q41" s="208">
        <f>ROUND((ROUND((_11_A通院１増２．５*_11・基礎１),0)*(1+_11・A早朝)),0)</f>
        <v>364</v>
      </c>
      <c r="R41" s="48"/>
    </row>
    <row r="42" spans="1:18" ht="16.5" customHeight="1" x14ac:dyDescent="0.15">
      <c r="A42" s="41">
        <v>11</v>
      </c>
      <c r="B42" s="41">
        <v>3930</v>
      </c>
      <c r="C42" s="74" t="s">
        <v>6902</v>
      </c>
      <c r="D42" s="100">
        <f>_11_A通院１増２．５</f>
        <v>415</v>
      </c>
      <c r="E42" s="12" t="s">
        <v>392</v>
      </c>
      <c r="F42" s="757"/>
      <c r="G42" s="37"/>
      <c r="H42" s="38"/>
      <c r="I42" s="44" t="s">
        <v>397</v>
      </c>
      <c r="J42" s="45" t="s">
        <v>398</v>
      </c>
      <c r="K42" s="46">
        <v>1</v>
      </c>
      <c r="L42" s="35"/>
      <c r="N42" s="57"/>
      <c r="O42" s="43"/>
      <c r="P42" s="37"/>
      <c r="Q42" s="208">
        <f>ROUND((ROUND((ROUND((_11_A通院１増２．５*_11・基礎１),0)*_11・２人),0)*(1+_11・A早朝)),0)</f>
        <v>364</v>
      </c>
      <c r="R42" s="48"/>
    </row>
    <row r="43" spans="1:18" ht="16.5" customHeight="1" x14ac:dyDescent="0.15">
      <c r="A43" s="41">
        <v>11</v>
      </c>
      <c r="B43" s="41" t="s">
        <v>6903</v>
      </c>
      <c r="C43" s="74" t="s">
        <v>6904</v>
      </c>
      <c r="D43" s="121"/>
      <c r="E43" s="99"/>
      <c r="F43" s="53"/>
      <c r="G43" s="49"/>
      <c r="H43" s="50"/>
      <c r="I43" s="44"/>
      <c r="J43" s="45"/>
      <c r="K43" s="46"/>
      <c r="L43" s="35"/>
      <c r="N43" s="57"/>
      <c r="O43" s="707" t="s">
        <v>404</v>
      </c>
      <c r="P43" s="708"/>
      <c r="Q43" s="208">
        <f>ROUND((ROUND((_11_A通院１増２．５*(1+_11・A早朝)),0)*_11・初任),0)</f>
        <v>363</v>
      </c>
      <c r="R43" s="48"/>
    </row>
    <row r="44" spans="1:18" ht="16.5" customHeight="1" x14ac:dyDescent="0.15">
      <c r="A44" s="41">
        <v>11</v>
      </c>
      <c r="B44" s="41" t="s">
        <v>6905</v>
      </c>
      <c r="C44" s="74" t="s">
        <v>6906</v>
      </c>
      <c r="D44" s="121"/>
      <c r="E44" s="99"/>
      <c r="F44" s="43"/>
      <c r="G44" s="37"/>
      <c r="H44" s="38"/>
      <c r="I44" s="44" t="s">
        <v>397</v>
      </c>
      <c r="J44" s="45" t="s">
        <v>398</v>
      </c>
      <c r="K44" s="46">
        <v>1</v>
      </c>
      <c r="L44" s="35"/>
      <c r="N44" s="57"/>
      <c r="O44" s="709"/>
      <c r="P44" s="704"/>
      <c r="Q44" s="208">
        <f>ROUND((ROUND((ROUND((_11_A通院１増２．５*_11・２人),0)*(1+_11・A早朝)),0)*_11・初任),0)</f>
        <v>363</v>
      </c>
      <c r="R44" s="48"/>
    </row>
    <row r="45" spans="1:18" ht="16.5" customHeight="1" x14ac:dyDescent="0.15">
      <c r="A45" s="41">
        <v>11</v>
      </c>
      <c r="B45" s="41" t="s">
        <v>6907</v>
      </c>
      <c r="C45" s="74" t="s">
        <v>6908</v>
      </c>
      <c r="D45" s="72"/>
      <c r="E45" s="99"/>
      <c r="F45" s="752" t="s">
        <v>400</v>
      </c>
      <c r="G45" s="49" t="s">
        <v>398</v>
      </c>
      <c r="H45" s="50">
        <v>0.7</v>
      </c>
      <c r="I45" s="44"/>
      <c r="J45" s="45"/>
      <c r="K45" s="46"/>
      <c r="L45" s="35"/>
      <c r="N45" s="57"/>
      <c r="O45" s="709"/>
      <c r="P45" s="704"/>
      <c r="Q45" s="208">
        <f>ROUND((ROUND((ROUND((_11_A通院１増２．５*_11・基礎１),0)*(1+_11・A早朝)),0)*_11・初任),0)</f>
        <v>255</v>
      </c>
      <c r="R45" s="48"/>
    </row>
    <row r="46" spans="1:18" ht="16.5" customHeight="1" x14ac:dyDescent="0.15">
      <c r="A46" s="41">
        <v>11</v>
      </c>
      <c r="B46" s="41" t="s">
        <v>6909</v>
      </c>
      <c r="C46" s="74" t="s">
        <v>6910</v>
      </c>
      <c r="D46" s="122"/>
      <c r="E46" s="111"/>
      <c r="F46" s="757"/>
      <c r="G46" s="37"/>
      <c r="H46" s="38"/>
      <c r="I46" s="44" t="s">
        <v>397</v>
      </c>
      <c r="J46" s="45" t="s">
        <v>398</v>
      </c>
      <c r="K46" s="46">
        <v>1</v>
      </c>
      <c r="L46" s="43"/>
      <c r="M46" s="38"/>
      <c r="N46" s="79"/>
      <c r="O46" s="55" t="s">
        <v>398</v>
      </c>
      <c r="P46" s="38">
        <f>_11・初任</f>
        <v>0.7</v>
      </c>
      <c r="Q46" s="208">
        <f>ROUND((ROUND((ROUND((ROUND((_11_A通院１増２．５*_11・基礎１),0)*_11・２人),0)*(1+_11・A早朝)),0)*_11・初任),0)</f>
        <v>255</v>
      </c>
      <c r="R46" s="63"/>
    </row>
    <row r="47" spans="1:18" ht="16.5" customHeight="1" x14ac:dyDescent="0.15">
      <c r="A47" s="80"/>
      <c r="B47" s="80"/>
      <c r="C47" s="81"/>
      <c r="Q47" s="209"/>
      <c r="R47" s="85"/>
    </row>
    <row r="48" spans="1:18" ht="16.5" customHeight="1" x14ac:dyDescent="0.15">
      <c r="A48" s="80"/>
      <c r="B48" s="80"/>
      <c r="C48" s="81"/>
      <c r="Q48" s="209"/>
      <c r="R48" s="85"/>
    </row>
    <row r="49" spans="1:18" ht="16.5" customHeight="1" x14ac:dyDescent="0.15">
      <c r="A49" s="80"/>
      <c r="B49" s="86" t="s">
        <v>6911</v>
      </c>
      <c r="C49" s="81"/>
      <c r="D49" s="71"/>
      <c r="Q49" s="209"/>
      <c r="R49" s="85"/>
    </row>
    <row r="50" spans="1:18" ht="16.5" customHeight="1" x14ac:dyDescent="0.15">
      <c r="A50" s="87" t="s">
        <v>384</v>
      </c>
      <c r="B50" s="20"/>
      <c r="C50" s="88" t="s">
        <v>385</v>
      </c>
      <c r="D50" s="23" t="s">
        <v>386</v>
      </c>
      <c r="E50" s="118"/>
      <c r="F50" s="23"/>
      <c r="G50" s="23"/>
      <c r="H50" s="24"/>
      <c r="I50" s="23"/>
      <c r="J50" s="23"/>
      <c r="K50" s="24"/>
      <c r="L50" s="23"/>
      <c r="M50" s="24"/>
      <c r="N50" s="23"/>
      <c r="O50" s="23"/>
      <c r="P50" s="23"/>
      <c r="Q50" s="21" t="s">
        <v>387</v>
      </c>
      <c r="R50" s="21" t="s">
        <v>388</v>
      </c>
    </row>
    <row r="51" spans="1:18" ht="16.5" customHeight="1" x14ac:dyDescent="0.15">
      <c r="A51" s="26" t="s">
        <v>389</v>
      </c>
      <c r="B51" s="26" t="s">
        <v>390</v>
      </c>
      <c r="C51" s="89"/>
      <c r="D51" s="29"/>
      <c r="E51" s="120"/>
      <c r="F51" s="29"/>
      <c r="G51" s="29"/>
      <c r="H51" s="30"/>
      <c r="I51" s="29"/>
      <c r="J51" s="29"/>
      <c r="K51" s="30"/>
      <c r="L51" s="29"/>
      <c r="M51" s="30"/>
      <c r="N51" s="29"/>
      <c r="O51" s="29"/>
      <c r="P51" s="29"/>
      <c r="Q51" s="32" t="s">
        <v>391</v>
      </c>
      <c r="R51" s="32" t="s">
        <v>392</v>
      </c>
    </row>
    <row r="52" spans="1:18" ht="16.5" customHeight="1" x14ac:dyDescent="0.15">
      <c r="A52" s="33">
        <v>11</v>
      </c>
      <c r="B52" s="33">
        <v>3931</v>
      </c>
      <c r="C52" s="34" t="s">
        <v>6912</v>
      </c>
      <c r="D52" s="709" t="s">
        <v>5541</v>
      </c>
      <c r="E52" s="718"/>
      <c r="F52" s="35"/>
      <c r="I52" s="36"/>
      <c r="J52" s="37"/>
      <c r="K52" s="38"/>
      <c r="L52" s="72" t="s">
        <v>743</v>
      </c>
      <c r="N52" s="57"/>
      <c r="O52" s="35"/>
      <c r="Q52" s="207">
        <f>ROUND((_11_A通院１増０．５*(1+_11・A夜間)),0)</f>
        <v>104</v>
      </c>
      <c r="R52" s="40" t="s">
        <v>395</v>
      </c>
    </row>
    <row r="53" spans="1:18" ht="16.5" customHeight="1" x14ac:dyDescent="0.15">
      <c r="A53" s="41">
        <v>11</v>
      </c>
      <c r="B53" s="41">
        <v>3932</v>
      </c>
      <c r="C53" s="74" t="s">
        <v>6913</v>
      </c>
      <c r="D53" s="709"/>
      <c r="E53" s="718"/>
      <c r="F53" s="43"/>
      <c r="G53" s="37"/>
      <c r="H53" s="38"/>
      <c r="I53" s="44" t="s">
        <v>397</v>
      </c>
      <c r="J53" s="45" t="s">
        <v>398</v>
      </c>
      <c r="K53" s="46">
        <v>1</v>
      </c>
      <c r="L53" s="35" t="s">
        <v>398</v>
      </c>
      <c r="M53" s="13">
        <v>0.25</v>
      </c>
      <c r="N53" s="728" t="s">
        <v>676</v>
      </c>
      <c r="O53" s="35"/>
      <c r="Q53" s="208">
        <f>ROUND((ROUND((_11_A通院１増０．５*_11・２人),0)*(1+_11・A夜間)),0)</f>
        <v>104</v>
      </c>
      <c r="R53" s="48"/>
    </row>
    <row r="54" spans="1:18" ht="16.5" customHeight="1" x14ac:dyDescent="0.15">
      <c r="A54" s="41">
        <v>11</v>
      </c>
      <c r="B54" s="41">
        <v>3933</v>
      </c>
      <c r="C54" s="74" t="s">
        <v>6914</v>
      </c>
      <c r="D54" s="709"/>
      <c r="E54" s="718"/>
      <c r="F54" s="752" t="s">
        <v>400</v>
      </c>
      <c r="G54" s="49" t="s">
        <v>398</v>
      </c>
      <c r="H54" s="50">
        <v>0.7</v>
      </c>
      <c r="I54" s="44"/>
      <c r="J54" s="45"/>
      <c r="K54" s="46"/>
      <c r="L54" s="35"/>
      <c r="N54" s="728"/>
      <c r="O54" s="35"/>
      <c r="Q54" s="208">
        <f>ROUND((ROUND((_11_A通院１増０．５*_11・基礎１),0)*(1+_11・A夜間)),0)</f>
        <v>73</v>
      </c>
      <c r="R54" s="48"/>
    </row>
    <row r="55" spans="1:18" ht="16.5" customHeight="1" x14ac:dyDescent="0.15">
      <c r="A55" s="41">
        <v>11</v>
      </c>
      <c r="B55" s="41">
        <v>3934</v>
      </c>
      <c r="C55" s="74" t="s">
        <v>6915</v>
      </c>
      <c r="D55" s="100">
        <f>_11_A通院１増０．５</f>
        <v>83</v>
      </c>
      <c r="E55" s="12" t="s">
        <v>392</v>
      </c>
      <c r="F55" s="757"/>
      <c r="G55" s="37"/>
      <c r="H55" s="38"/>
      <c r="I55" s="44" t="s">
        <v>397</v>
      </c>
      <c r="J55" s="45" t="s">
        <v>398</v>
      </c>
      <c r="K55" s="46">
        <v>1</v>
      </c>
      <c r="L55" s="35"/>
      <c r="N55" s="57"/>
      <c r="O55" s="43"/>
      <c r="P55" s="37"/>
      <c r="Q55" s="208">
        <f>ROUND((ROUND((ROUND((_11_A通院１増０．５*_11・基礎１),0)*_11・２人),0)*(1+_11・A夜間)),0)</f>
        <v>73</v>
      </c>
      <c r="R55" s="48"/>
    </row>
    <row r="56" spans="1:18" ht="16.5" customHeight="1" x14ac:dyDescent="0.15">
      <c r="A56" s="41">
        <v>11</v>
      </c>
      <c r="B56" s="41" t="s">
        <v>6916</v>
      </c>
      <c r="C56" s="74" t="s">
        <v>6917</v>
      </c>
      <c r="D56" s="121"/>
      <c r="E56" s="99"/>
      <c r="F56" s="53"/>
      <c r="G56" s="49"/>
      <c r="H56" s="50"/>
      <c r="I56" s="44"/>
      <c r="J56" s="45"/>
      <c r="K56" s="46"/>
      <c r="L56" s="35"/>
      <c r="N56" s="57"/>
      <c r="O56" s="707" t="s">
        <v>404</v>
      </c>
      <c r="P56" s="708"/>
      <c r="Q56" s="208">
        <f>ROUND((ROUND((_11_A通院１増０．５*(1+_11・A夜間)),0)*_11・初任),0)</f>
        <v>73</v>
      </c>
      <c r="R56" s="48"/>
    </row>
    <row r="57" spans="1:18" ht="16.5" customHeight="1" x14ac:dyDescent="0.15">
      <c r="A57" s="41">
        <v>11</v>
      </c>
      <c r="B57" s="41" t="s">
        <v>6918</v>
      </c>
      <c r="C57" s="74" t="s">
        <v>6919</v>
      </c>
      <c r="D57" s="121"/>
      <c r="E57" s="99"/>
      <c r="F57" s="43"/>
      <c r="G57" s="37"/>
      <c r="H57" s="38"/>
      <c r="I57" s="44" t="s">
        <v>397</v>
      </c>
      <c r="J57" s="45" t="s">
        <v>398</v>
      </c>
      <c r="K57" s="46">
        <v>1</v>
      </c>
      <c r="L57" s="35"/>
      <c r="N57" s="57"/>
      <c r="O57" s="709"/>
      <c r="P57" s="704"/>
      <c r="Q57" s="208">
        <f>ROUND((ROUND((ROUND((_11_A通院１増０．５*_11・２人),0)*(1+_11・A夜間)),0)*_11・初任),0)</f>
        <v>73</v>
      </c>
      <c r="R57" s="48"/>
    </row>
    <row r="58" spans="1:18" ht="16.5" customHeight="1" x14ac:dyDescent="0.15">
      <c r="A58" s="41">
        <v>11</v>
      </c>
      <c r="B58" s="41" t="s">
        <v>6920</v>
      </c>
      <c r="C58" s="74" t="s">
        <v>6921</v>
      </c>
      <c r="D58" s="72"/>
      <c r="E58" s="99"/>
      <c r="F58" s="752" t="s">
        <v>400</v>
      </c>
      <c r="G58" s="49" t="s">
        <v>398</v>
      </c>
      <c r="H58" s="50">
        <v>0.7</v>
      </c>
      <c r="I58" s="44"/>
      <c r="J58" s="45"/>
      <c r="K58" s="46"/>
      <c r="L58" s="35"/>
      <c r="N58" s="57"/>
      <c r="O58" s="709"/>
      <c r="P58" s="704"/>
      <c r="Q58" s="208">
        <f>ROUND((ROUND((ROUND((_11_A通院１増０．５*_11・基礎１),0)*(1+_11・A夜間)),0)*_11・初任),0)</f>
        <v>51</v>
      </c>
      <c r="R58" s="48"/>
    </row>
    <row r="59" spans="1:18" ht="16.5" customHeight="1" x14ac:dyDescent="0.15">
      <c r="A59" s="41">
        <v>11</v>
      </c>
      <c r="B59" s="41" t="s">
        <v>6922</v>
      </c>
      <c r="C59" s="74" t="s">
        <v>6923</v>
      </c>
      <c r="D59" s="72"/>
      <c r="E59" s="99"/>
      <c r="F59" s="757"/>
      <c r="G59" s="37"/>
      <c r="H59" s="38"/>
      <c r="I59" s="44" t="s">
        <v>397</v>
      </c>
      <c r="J59" s="45" t="s">
        <v>398</v>
      </c>
      <c r="K59" s="46">
        <v>1</v>
      </c>
      <c r="L59" s="35"/>
      <c r="N59" s="57"/>
      <c r="O59" s="55" t="s">
        <v>398</v>
      </c>
      <c r="P59" s="38">
        <f>_11・初任</f>
        <v>0.7</v>
      </c>
      <c r="Q59" s="208">
        <f>ROUND((ROUND((ROUND((ROUND((_11_A通院１増０．５*_11・基礎１),0)*_11・２人),0)*(1+_11・A夜間)),0)*_11・初任),0)</f>
        <v>51</v>
      </c>
      <c r="R59" s="48"/>
    </row>
    <row r="60" spans="1:18" ht="16.5" customHeight="1" x14ac:dyDescent="0.15">
      <c r="A60" s="41">
        <v>11</v>
      </c>
      <c r="B60" s="41">
        <v>3935</v>
      </c>
      <c r="C60" s="74" t="s">
        <v>6924</v>
      </c>
      <c r="D60" s="707" t="s">
        <v>5603</v>
      </c>
      <c r="E60" s="717"/>
      <c r="F60" s="53"/>
      <c r="G60" s="49"/>
      <c r="H60" s="50"/>
      <c r="I60" s="44"/>
      <c r="J60" s="45"/>
      <c r="K60" s="46"/>
      <c r="L60" s="35"/>
      <c r="N60" s="57"/>
      <c r="O60" s="53"/>
      <c r="P60" s="49"/>
      <c r="Q60" s="208">
        <f>ROUND((_11_A通院１増１．０*(1+_11・A夜間)),0)</f>
        <v>208</v>
      </c>
      <c r="R60" s="48"/>
    </row>
    <row r="61" spans="1:18" ht="16.5" customHeight="1" x14ac:dyDescent="0.15">
      <c r="A61" s="41">
        <v>11</v>
      </c>
      <c r="B61" s="41">
        <v>3936</v>
      </c>
      <c r="C61" s="74" t="s">
        <v>6925</v>
      </c>
      <c r="D61" s="709"/>
      <c r="E61" s="718"/>
      <c r="F61" s="43"/>
      <c r="G61" s="37"/>
      <c r="H61" s="38"/>
      <c r="I61" s="44" t="s">
        <v>397</v>
      </c>
      <c r="J61" s="45" t="s">
        <v>398</v>
      </c>
      <c r="K61" s="46">
        <v>1</v>
      </c>
      <c r="L61" s="35"/>
      <c r="N61" s="57"/>
      <c r="O61" s="35"/>
      <c r="Q61" s="208">
        <f>ROUND((ROUND((_11_A通院１増１．０*_11・２人),0)*(1+_11・A夜間)),0)</f>
        <v>208</v>
      </c>
      <c r="R61" s="48"/>
    </row>
    <row r="62" spans="1:18" ht="16.5" customHeight="1" x14ac:dyDescent="0.15">
      <c r="A62" s="41">
        <v>11</v>
      </c>
      <c r="B62" s="41">
        <v>3937</v>
      </c>
      <c r="C62" s="74" t="s">
        <v>6926</v>
      </c>
      <c r="D62" s="709"/>
      <c r="E62" s="718"/>
      <c r="F62" s="752" t="s">
        <v>400</v>
      </c>
      <c r="G62" s="49" t="s">
        <v>398</v>
      </c>
      <c r="H62" s="50">
        <v>0.7</v>
      </c>
      <c r="I62" s="44"/>
      <c r="J62" s="45"/>
      <c r="K62" s="46"/>
      <c r="L62" s="35"/>
      <c r="N62" s="57"/>
      <c r="O62" s="35"/>
      <c r="Q62" s="208">
        <f>ROUND((ROUND((_11_A通院１増１．０*_11・基礎１),0)*(1+_11・A夜間)),0)</f>
        <v>145</v>
      </c>
      <c r="R62" s="48"/>
    </row>
    <row r="63" spans="1:18" ht="16.5" customHeight="1" x14ac:dyDescent="0.15">
      <c r="A63" s="41">
        <v>11</v>
      </c>
      <c r="B63" s="41">
        <v>3938</v>
      </c>
      <c r="C63" s="74" t="s">
        <v>6927</v>
      </c>
      <c r="D63" s="100">
        <f>_11_A通院１増１．０</f>
        <v>166</v>
      </c>
      <c r="E63" s="12" t="s">
        <v>392</v>
      </c>
      <c r="F63" s="757"/>
      <c r="G63" s="37"/>
      <c r="H63" s="38"/>
      <c r="I63" s="44" t="s">
        <v>397</v>
      </c>
      <c r="J63" s="45" t="s">
        <v>398</v>
      </c>
      <c r="K63" s="46">
        <v>1</v>
      </c>
      <c r="L63" s="35"/>
      <c r="N63" s="57"/>
      <c r="O63" s="43"/>
      <c r="P63" s="37"/>
      <c r="Q63" s="208">
        <f>ROUND((ROUND((ROUND((_11_A通院１増１．０*_11・基礎１),0)*_11・２人),0)*(1+_11・A夜間)),0)</f>
        <v>145</v>
      </c>
      <c r="R63" s="48"/>
    </row>
    <row r="64" spans="1:18" ht="16.5" customHeight="1" x14ac:dyDescent="0.15">
      <c r="A64" s="41">
        <v>11</v>
      </c>
      <c r="B64" s="41" t="s">
        <v>6928</v>
      </c>
      <c r="C64" s="74" t="s">
        <v>6929</v>
      </c>
      <c r="D64" s="121"/>
      <c r="E64" s="99"/>
      <c r="F64" s="53"/>
      <c r="G64" s="49"/>
      <c r="H64" s="50"/>
      <c r="I64" s="44"/>
      <c r="J64" s="45"/>
      <c r="K64" s="46"/>
      <c r="L64" s="35"/>
      <c r="N64" s="57"/>
      <c r="O64" s="707" t="s">
        <v>404</v>
      </c>
      <c r="P64" s="708"/>
      <c r="Q64" s="208">
        <f>ROUND((ROUND((_11_A通院１増１．０*(1+_11・A夜間)),0)*_11・初任),0)</f>
        <v>146</v>
      </c>
      <c r="R64" s="48"/>
    </row>
    <row r="65" spans="1:18" ht="16.5" customHeight="1" x14ac:dyDescent="0.15">
      <c r="A65" s="41">
        <v>11</v>
      </c>
      <c r="B65" s="41" t="s">
        <v>6930</v>
      </c>
      <c r="C65" s="74" t="s">
        <v>6931</v>
      </c>
      <c r="D65" s="121"/>
      <c r="E65" s="99"/>
      <c r="F65" s="43"/>
      <c r="G65" s="37"/>
      <c r="H65" s="38"/>
      <c r="I65" s="44" t="s">
        <v>397</v>
      </c>
      <c r="J65" s="45" t="s">
        <v>398</v>
      </c>
      <c r="K65" s="46">
        <v>1</v>
      </c>
      <c r="L65" s="35"/>
      <c r="N65" s="57"/>
      <c r="O65" s="709"/>
      <c r="P65" s="704"/>
      <c r="Q65" s="208">
        <f>ROUND((ROUND((ROUND((_11_A通院１増１．０*_11・２人),0)*(1+_11・A夜間)),0)*_11・初任),0)</f>
        <v>146</v>
      </c>
      <c r="R65" s="48"/>
    </row>
    <row r="66" spans="1:18" ht="16.5" customHeight="1" x14ac:dyDescent="0.15">
      <c r="A66" s="41">
        <v>11</v>
      </c>
      <c r="B66" s="41" t="s">
        <v>6932</v>
      </c>
      <c r="C66" s="74" t="s">
        <v>6933</v>
      </c>
      <c r="D66" s="72"/>
      <c r="E66" s="99"/>
      <c r="F66" s="752" t="s">
        <v>400</v>
      </c>
      <c r="G66" s="49" t="s">
        <v>398</v>
      </c>
      <c r="H66" s="50">
        <v>0.7</v>
      </c>
      <c r="I66" s="44"/>
      <c r="J66" s="45"/>
      <c r="K66" s="46"/>
      <c r="L66" s="35"/>
      <c r="N66" s="57"/>
      <c r="O66" s="709"/>
      <c r="P66" s="704"/>
      <c r="Q66" s="208">
        <f>ROUND((ROUND((ROUND((_11_A通院１増１．０*_11・基礎１),0)*(1+_11・A夜間)),0)*_11・初任),0)</f>
        <v>102</v>
      </c>
      <c r="R66" s="48"/>
    </row>
    <row r="67" spans="1:18" ht="16.5" customHeight="1" x14ac:dyDescent="0.15">
      <c r="A67" s="41">
        <v>11</v>
      </c>
      <c r="B67" s="41" t="s">
        <v>6934</v>
      </c>
      <c r="C67" s="74" t="s">
        <v>6935</v>
      </c>
      <c r="D67" s="72"/>
      <c r="E67" s="99"/>
      <c r="F67" s="757"/>
      <c r="G67" s="37"/>
      <c r="H67" s="38"/>
      <c r="I67" s="44" t="s">
        <v>397</v>
      </c>
      <c r="J67" s="45" t="s">
        <v>398</v>
      </c>
      <c r="K67" s="46">
        <v>1</v>
      </c>
      <c r="L67" s="35"/>
      <c r="N67" s="57"/>
      <c r="O67" s="55" t="s">
        <v>398</v>
      </c>
      <c r="P67" s="38">
        <f>_11・初任</f>
        <v>0.7</v>
      </c>
      <c r="Q67" s="208">
        <f>ROUND((ROUND((ROUND((ROUND((_11_A通院１増１．０*_11・基礎１),0)*_11・２人),0)*(1+_11・A夜間)),0)*_11・初任),0)</f>
        <v>102</v>
      </c>
      <c r="R67" s="48"/>
    </row>
    <row r="68" spans="1:18" ht="16.5" customHeight="1" x14ac:dyDescent="0.15">
      <c r="A68" s="41">
        <v>11</v>
      </c>
      <c r="B68" s="41">
        <v>3939</v>
      </c>
      <c r="C68" s="74" t="s">
        <v>6936</v>
      </c>
      <c r="D68" s="707" t="s">
        <v>769</v>
      </c>
      <c r="E68" s="717"/>
      <c r="F68" s="53"/>
      <c r="G68" s="49"/>
      <c r="H68" s="50"/>
      <c r="I68" s="44"/>
      <c r="J68" s="45"/>
      <c r="K68" s="46"/>
      <c r="L68" s="35"/>
      <c r="N68" s="57"/>
      <c r="O68" s="53"/>
      <c r="P68" s="49"/>
      <c r="Q68" s="208">
        <f>ROUND((_11_A通院１増１．５*(1+_11・A夜間)),0)</f>
        <v>311</v>
      </c>
      <c r="R68" s="48"/>
    </row>
    <row r="69" spans="1:18" ht="16.5" customHeight="1" x14ac:dyDescent="0.15">
      <c r="A69" s="41">
        <v>11</v>
      </c>
      <c r="B69" s="41">
        <v>3940</v>
      </c>
      <c r="C69" s="74" t="s">
        <v>6937</v>
      </c>
      <c r="D69" s="709"/>
      <c r="E69" s="718"/>
      <c r="F69" s="43"/>
      <c r="G69" s="37"/>
      <c r="H69" s="38"/>
      <c r="I69" s="44" t="s">
        <v>397</v>
      </c>
      <c r="J69" s="45" t="s">
        <v>398</v>
      </c>
      <c r="K69" s="46">
        <v>1</v>
      </c>
      <c r="L69" s="35"/>
      <c r="N69" s="57"/>
      <c r="O69" s="35"/>
      <c r="Q69" s="208">
        <f>ROUND((ROUND((_11_A通院１増１．５*_11・２人),0)*(1+_11・A夜間)),0)</f>
        <v>311</v>
      </c>
      <c r="R69" s="48"/>
    </row>
    <row r="70" spans="1:18" ht="16.5" customHeight="1" x14ac:dyDescent="0.15">
      <c r="A70" s="41">
        <v>11</v>
      </c>
      <c r="B70" s="41">
        <v>3941</v>
      </c>
      <c r="C70" s="74" t="s">
        <v>6938</v>
      </c>
      <c r="D70" s="709"/>
      <c r="E70" s="718"/>
      <c r="F70" s="752" t="s">
        <v>400</v>
      </c>
      <c r="G70" s="49" t="s">
        <v>398</v>
      </c>
      <c r="H70" s="50">
        <v>0.7</v>
      </c>
      <c r="I70" s="44"/>
      <c r="J70" s="45"/>
      <c r="K70" s="46"/>
      <c r="L70" s="35"/>
      <c r="N70" s="57"/>
      <c r="O70" s="35"/>
      <c r="Q70" s="208">
        <f>ROUND((ROUND((_11_A通院１増１．５*_11・基礎１),0)*(1+_11・A夜間)),0)</f>
        <v>218</v>
      </c>
      <c r="R70" s="48"/>
    </row>
    <row r="71" spans="1:18" ht="16.5" customHeight="1" x14ac:dyDescent="0.15">
      <c r="A71" s="41">
        <v>11</v>
      </c>
      <c r="B71" s="41">
        <v>3942</v>
      </c>
      <c r="C71" s="74" t="s">
        <v>6939</v>
      </c>
      <c r="D71" s="100">
        <f>_11_A通院１増１．５</f>
        <v>249</v>
      </c>
      <c r="E71" s="12" t="s">
        <v>392</v>
      </c>
      <c r="F71" s="757"/>
      <c r="G71" s="37"/>
      <c r="H71" s="38"/>
      <c r="I71" s="44" t="s">
        <v>397</v>
      </c>
      <c r="J71" s="45" t="s">
        <v>398</v>
      </c>
      <c r="K71" s="46">
        <v>1</v>
      </c>
      <c r="L71" s="35"/>
      <c r="N71" s="57"/>
      <c r="O71" s="43"/>
      <c r="P71" s="37"/>
      <c r="Q71" s="208">
        <f>ROUND((ROUND((ROUND((_11_A通院１増１．５*_11・基礎１),0)*_11・２人),0)*(1+_11・A夜間)),0)</f>
        <v>218</v>
      </c>
      <c r="R71" s="48"/>
    </row>
    <row r="72" spans="1:18" ht="16.5" customHeight="1" x14ac:dyDescent="0.15">
      <c r="A72" s="41">
        <v>11</v>
      </c>
      <c r="B72" s="41" t="s">
        <v>6940</v>
      </c>
      <c r="C72" s="74" t="s">
        <v>6941</v>
      </c>
      <c r="D72" s="121"/>
      <c r="E72" s="99"/>
      <c r="F72" s="53"/>
      <c r="G72" s="49"/>
      <c r="H72" s="50"/>
      <c r="I72" s="44"/>
      <c r="J72" s="45"/>
      <c r="K72" s="46"/>
      <c r="L72" s="35"/>
      <c r="N72" s="57"/>
      <c r="O72" s="707" t="s">
        <v>404</v>
      </c>
      <c r="P72" s="708"/>
      <c r="Q72" s="208">
        <f>ROUND((ROUND((_11_A通院１増１．５*(1+_11・A夜間)),0)*_11・初任),0)</f>
        <v>218</v>
      </c>
      <c r="R72" s="48"/>
    </row>
    <row r="73" spans="1:18" ht="16.5" customHeight="1" x14ac:dyDescent="0.15">
      <c r="A73" s="41">
        <v>11</v>
      </c>
      <c r="B73" s="41" t="s">
        <v>6942</v>
      </c>
      <c r="C73" s="74" t="s">
        <v>6943</v>
      </c>
      <c r="D73" s="121"/>
      <c r="E73" s="99"/>
      <c r="F73" s="43"/>
      <c r="G73" s="37"/>
      <c r="H73" s="38"/>
      <c r="I73" s="44" t="s">
        <v>397</v>
      </c>
      <c r="J73" s="45" t="s">
        <v>398</v>
      </c>
      <c r="K73" s="46">
        <v>1</v>
      </c>
      <c r="L73" s="35"/>
      <c r="N73" s="57"/>
      <c r="O73" s="709"/>
      <c r="P73" s="704"/>
      <c r="Q73" s="208">
        <f>ROUND((ROUND((ROUND((_11_A通院１増１．５*_11・２人),0)*(1+_11・A夜間)),0)*_11・初任),0)</f>
        <v>218</v>
      </c>
      <c r="R73" s="48"/>
    </row>
    <row r="74" spans="1:18" ht="16.5" customHeight="1" x14ac:dyDescent="0.15">
      <c r="A74" s="41">
        <v>11</v>
      </c>
      <c r="B74" s="41" t="s">
        <v>6944</v>
      </c>
      <c r="C74" s="74" t="s">
        <v>6945</v>
      </c>
      <c r="D74" s="72"/>
      <c r="E74" s="99"/>
      <c r="F74" s="752" t="s">
        <v>400</v>
      </c>
      <c r="G74" s="49" t="s">
        <v>398</v>
      </c>
      <c r="H74" s="50">
        <v>0.7</v>
      </c>
      <c r="I74" s="44"/>
      <c r="J74" s="45"/>
      <c r="K74" s="46"/>
      <c r="L74" s="35"/>
      <c r="N74" s="57"/>
      <c r="O74" s="709"/>
      <c r="P74" s="704"/>
      <c r="Q74" s="208">
        <f>ROUND((ROUND((ROUND((_11_A通院１増１．５*_11・基礎１),0)*(1+_11・A夜間)),0)*_11・初任),0)</f>
        <v>153</v>
      </c>
      <c r="R74" s="48"/>
    </row>
    <row r="75" spans="1:18" ht="16.5" customHeight="1" x14ac:dyDescent="0.15">
      <c r="A75" s="41">
        <v>11</v>
      </c>
      <c r="B75" s="41" t="s">
        <v>6946</v>
      </c>
      <c r="C75" s="74" t="s">
        <v>6947</v>
      </c>
      <c r="D75" s="72"/>
      <c r="E75" s="99"/>
      <c r="F75" s="757"/>
      <c r="G75" s="37"/>
      <c r="H75" s="38"/>
      <c r="I75" s="44" t="s">
        <v>397</v>
      </c>
      <c r="J75" s="45" t="s">
        <v>398</v>
      </c>
      <c r="K75" s="46">
        <v>1</v>
      </c>
      <c r="L75" s="35"/>
      <c r="N75" s="57"/>
      <c r="O75" s="55" t="s">
        <v>398</v>
      </c>
      <c r="P75" s="38">
        <f>_11・初任</f>
        <v>0.7</v>
      </c>
      <c r="Q75" s="208">
        <f>ROUND((ROUND((ROUND((ROUND((_11_A通院１増１．５*_11・基礎１),0)*_11・２人),0)*(1+_11・A夜間)),0)*_11・初任),0)</f>
        <v>153</v>
      </c>
      <c r="R75" s="48"/>
    </row>
    <row r="76" spans="1:18" ht="16.5" customHeight="1" x14ac:dyDescent="0.15">
      <c r="A76" s="41">
        <v>11</v>
      </c>
      <c r="B76" s="41">
        <v>3943</v>
      </c>
      <c r="C76" s="74" t="s">
        <v>6948</v>
      </c>
      <c r="D76" s="707" t="s">
        <v>5688</v>
      </c>
      <c r="E76" s="717"/>
      <c r="F76" s="53"/>
      <c r="G76" s="49"/>
      <c r="H76" s="50"/>
      <c r="I76" s="44"/>
      <c r="J76" s="45"/>
      <c r="K76" s="46"/>
      <c r="L76" s="35"/>
      <c r="N76" s="57"/>
      <c r="O76" s="53"/>
      <c r="P76" s="49"/>
      <c r="Q76" s="208">
        <f>ROUND((_11_A通院１増２．０*(1+_11・A夜間)),0)</f>
        <v>415</v>
      </c>
      <c r="R76" s="48"/>
    </row>
    <row r="77" spans="1:18" ht="16.5" customHeight="1" x14ac:dyDescent="0.15">
      <c r="A77" s="41">
        <v>11</v>
      </c>
      <c r="B77" s="41">
        <v>3944</v>
      </c>
      <c r="C77" s="74" t="s">
        <v>6949</v>
      </c>
      <c r="D77" s="709"/>
      <c r="E77" s="718"/>
      <c r="F77" s="43"/>
      <c r="G77" s="37"/>
      <c r="H77" s="38"/>
      <c r="I77" s="44" t="s">
        <v>397</v>
      </c>
      <c r="J77" s="45" t="s">
        <v>398</v>
      </c>
      <c r="K77" s="46">
        <v>1</v>
      </c>
      <c r="L77" s="35"/>
      <c r="N77" s="57"/>
      <c r="O77" s="35"/>
      <c r="Q77" s="208">
        <f>ROUND((ROUND((_11_A通院１増２．０*_11・２人),0)*(1+_11・A夜間)),0)</f>
        <v>415</v>
      </c>
      <c r="R77" s="48"/>
    </row>
    <row r="78" spans="1:18" ht="16.5" customHeight="1" x14ac:dyDescent="0.15">
      <c r="A78" s="41">
        <v>11</v>
      </c>
      <c r="B78" s="41">
        <v>3945</v>
      </c>
      <c r="C78" s="74" t="s">
        <v>6950</v>
      </c>
      <c r="D78" s="709"/>
      <c r="E78" s="718"/>
      <c r="F78" s="752" t="s">
        <v>400</v>
      </c>
      <c r="G78" s="49" t="s">
        <v>398</v>
      </c>
      <c r="H78" s="50">
        <v>0.7</v>
      </c>
      <c r="I78" s="44"/>
      <c r="J78" s="45"/>
      <c r="K78" s="46"/>
      <c r="L78" s="35"/>
      <c r="N78" s="57"/>
      <c r="O78" s="35"/>
      <c r="Q78" s="208">
        <f>ROUND((ROUND((_11_A通院１増２．０*_11・基礎１),0)*(1+_11・A夜間)),0)</f>
        <v>290</v>
      </c>
      <c r="R78" s="48"/>
    </row>
    <row r="79" spans="1:18" ht="16.5" customHeight="1" x14ac:dyDescent="0.15">
      <c r="A79" s="41">
        <v>11</v>
      </c>
      <c r="B79" s="41">
        <v>3946</v>
      </c>
      <c r="C79" s="74" t="s">
        <v>6951</v>
      </c>
      <c r="D79" s="100">
        <f>_11_A通院１増２．０</f>
        <v>332</v>
      </c>
      <c r="E79" s="12" t="s">
        <v>392</v>
      </c>
      <c r="F79" s="757"/>
      <c r="G79" s="37"/>
      <c r="H79" s="38"/>
      <c r="I79" s="44" t="s">
        <v>397</v>
      </c>
      <c r="J79" s="45" t="s">
        <v>398</v>
      </c>
      <c r="K79" s="46">
        <v>1</v>
      </c>
      <c r="L79" s="35"/>
      <c r="N79" s="57"/>
      <c r="O79" s="43"/>
      <c r="P79" s="37"/>
      <c r="Q79" s="208">
        <f>ROUND((ROUND((ROUND((_11_A通院１増２．０*_11・基礎１),0)*_11・２人),0)*(1+_11・A夜間)),0)</f>
        <v>290</v>
      </c>
      <c r="R79" s="48"/>
    </row>
    <row r="80" spans="1:18" ht="16.5" customHeight="1" x14ac:dyDescent="0.15">
      <c r="A80" s="41">
        <v>11</v>
      </c>
      <c r="B80" s="41" t="s">
        <v>6952</v>
      </c>
      <c r="C80" s="74" t="s">
        <v>6953</v>
      </c>
      <c r="D80" s="121"/>
      <c r="E80" s="99"/>
      <c r="F80" s="53"/>
      <c r="G80" s="49"/>
      <c r="H80" s="50"/>
      <c r="I80" s="44"/>
      <c r="J80" s="45"/>
      <c r="K80" s="46"/>
      <c r="L80" s="35"/>
      <c r="N80" s="57"/>
      <c r="O80" s="707" t="s">
        <v>404</v>
      </c>
      <c r="P80" s="708"/>
      <c r="Q80" s="208">
        <f>ROUND((ROUND((_11_A通院１増２．０*(1+_11・A夜間)),0)*_11・初任),0)</f>
        <v>291</v>
      </c>
      <c r="R80" s="48"/>
    </row>
    <row r="81" spans="1:18" ht="16.5" customHeight="1" x14ac:dyDescent="0.15">
      <c r="A81" s="41">
        <v>11</v>
      </c>
      <c r="B81" s="41" t="s">
        <v>6954</v>
      </c>
      <c r="C81" s="74" t="s">
        <v>6955</v>
      </c>
      <c r="D81" s="121"/>
      <c r="E81" s="99"/>
      <c r="F81" s="43"/>
      <c r="G81" s="37"/>
      <c r="H81" s="38"/>
      <c r="I81" s="44" t="s">
        <v>397</v>
      </c>
      <c r="J81" s="45" t="s">
        <v>398</v>
      </c>
      <c r="K81" s="46">
        <v>1</v>
      </c>
      <c r="L81" s="35"/>
      <c r="N81" s="57"/>
      <c r="O81" s="709"/>
      <c r="P81" s="704"/>
      <c r="Q81" s="208">
        <f>ROUND((ROUND((ROUND((_11_A通院１増２．０*_11・２人),0)*(1+_11・A夜間)),0)*_11・初任),0)</f>
        <v>291</v>
      </c>
      <c r="R81" s="48"/>
    </row>
    <row r="82" spans="1:18" ht="16.5" customHeight="1" x14ac:dyDescent="0.15">
      <c r="A82" s="41">
        <v>11</v>
      </c>
      <c r="B82" s="41" t="s">
        <v>6956</v>
      </c>
      <c r="C82" s="74" t="s">
        <v>6957</v>
      </c>
      <c r="D82" s="72"/>
      <c r="E82" s="99"/>
      <c r="F82" s="752" t="s">
        <v>400</v>
      </c>
      <c r="G82" s="49" t="s">
        <v>398</v>
      </c>
      <c r="H82" s="50">
        <v>0.7</v>
      </c>
      <c r="I82" s="44"/>
      <c r="J82" s="45"/>
      <c r="K82" s="46"/>
      <c r="L82" s="35"/>
      <c r="N82" s="57"/>
      <c r="O82" s="709"/>
      <c r="P82" s="704"/>
      <c r="Q82" s="208">
        <f>ROUND((ROUND((ROUND((_11_A通院１増２．０*_11・基礎１),0)*(1+_11・A夜間)),0)*_11・初任),0)</f>
        <v>203</v>
      </c>
      <c r="R82" s="48"/>
    </row>
    <row r="83" spans="1:18" ht="16.5" customHeight="1" x14ac:dyDescent="0.15">
      <c r="A83" s="41">
        <v>11</v>
      </c>
      <c r="B83" s="41" t="s">
        <v>6958</v>
      </c>
      <c r="C83" s="74" t="s">
        <v>6959</v>
      </c>
      <c r="D83" s="122"/>
      <c r="E83" s="111"/>
      <c r="F83" s="757"/>
      <c r="G83" s="37"/>
      <c r="H83" s="38"/>
      <c r="I83" s="44" t="s">
        <v>397</v>
      </c>
      <c r="J83" s="45" t="s">
        <v>398</v>
      </c>
      <c r="K83" s="46">
        <v>1</v>
      </c>
      <c r="L83" s="35"/>
      <c r="N83" s="57"/>
      <c r="O83" s="55" t="s">
        <v>398</v>
      </c>
      <c r="P83" s="38">
        <f>_11・初任</f>
        <v>0.7</v>
      </c>
      <c r="Q83" s="208">
        <f>ROUND((ROUND((ROUND((ROUND((_11_A通院１増２．０*_11・基礎１),0)*_11・２人),0)*(1+_11・A夜間)),0)*_11・初任),0)</f>
        <v>203</v>
      </c>
      <c r="R83" s="48"/>
    </row>
    <row r="84" spans="1:18" ht="16.5" customHeight="1" x14ac:dyDescent="0.15">
      <c r="A84" s="33">
        <v>11</v>
      </c>
      <c r="B84" s="33">
        <v>3947</v>
      </c>
      <c r="C84" s="34" t="s">
        <v>6960</v>
      </c>
      <c r="D84" s="709" t="s">
        <v>5713</v>
      </c>
      <c r="E84" s="718"/>
      <c r="F84" s="35"/>
      <c r="I84" s="36"/>
      <c r="J84" s="37"/>
      <c r="K84" s="38"/>
      <c r="L84" s="35"/>
      <c r="N84" s="57"/>
      <c r="O84" s="35"/>
      <c r="Q84" s="207">
        <f>ROUND((_11_A通院１増２．５*(1+_11・A夜間)),0)</f>
        <v>519</v>
      </c>
      <c r="R84" s="48"/>
    </row>
    <row r="85" spans="1:18" ht="16.5" customHeight="1" x14ac:dyDescent="0.15">
      <c r="A85" s="41">
        <v>11</v>
      </c>
      <c r="B85" s="41">
        <v>3948</v>
      </c>
      <c r="C85" s="74" t="s">
        <v>6961</v>
      </c>
      <c r="D85" s="709"/>
      <c r="E85" s="718"/>
      <c r="F85" s="43"/>
      <c r="G85" s="37"/>
      <c r="H85" s="38"/>
      <c r="I85" s="44" t="s">
        <v>397</v>
      </c>
      <c r="J85" s="45" t="s">
        <v>398</v>
      </c>
      <c r="K85" s="46">
        <v>1</v>
      </c>
      <c r="L85" s="35"/>
      <c r="N85" s="57"/>
      <c r="O85" s="35"/>
      <c r="Q85" s="208">
        <f>ROUND((ROUND((_11_A通院１増２．５*_11・２人),0)*(1+_11・A夜間)),0)</f>
        <v>519</v>
      </c>
      <c r="R85" s="48"/>
    </row>
    <row r="86" spans="1:18" ht="16.5" customHeight="1" x14ac:dyDescent="0.15">
      <c r="A86" s="41">
        <v>11</v>
      </c>
      <c r="B86" s="41">
        <v>3949</v>
      </c>
      <c r="C86" s="74" t="s">
        <v>6962</v>
      </c>
      <c r="D86" s="709"/>
      <c r="E86" s="718"/>
      <c r="F86" s="752" t="s">
        <v>400</v>
      </c>
      <c r="G86" s="49" t="s">
        <v>398</v>
      </c>
      <c r="H86" s="50">
        <v>0.7</v>
      </c>
      <c r="I86" s="44"/>
      <c r="J86" s="45"/>
      <c r="K86" s="46"/>
      <c r="L86" s="35"/>
      <c r="N86" s="57"/>
      <c r="O86" s="35"/>
      <c r="Q86" s="208">
        <f>ROUND((ROUND((_11_A通院１増２．５*_11・基礎１),0)*(1+_11・A夜間)),0)</f>
        <v>364</v>
      </c>
      <c r="R86" s="48"/>
    </row>
    <row r="87" spans="1:18" ht="16.5" customHeight="1" x14ac:dyDescent="0.15">
      <c r="A87" s="41">
        <v>11</v>
      </c>
      <c r="B87" s="41">
        <v>3950</v>
      </c>
      <c r="C87" s="74" t="s">
        <v>6963</v>
      </c>
      <c r="D87" s="100">
        <f>_11_A通院１増２．５</f>
        <v>415</v>
      </c>
      <c r="E87" s="12" t="s">
        <v>392</v>
      </c>
      <c r="F87" s="757"/>
      <c r="G87" s="37"/>
      <c r="H87" s="38"/>
      <c r="I87" s="44" t="s">
        <v>397</v>
      </c>
      <c r="J87" s="45" t="s">
        <v>398</v>
      </c>
      <c r="K87" s="46">
        <v>1</v>
      </c>
      <c r="L87" s="35"/>
      <c r="N87" s="57"/>
      <c r="O87" s="43"/>
      <c r="P87" s="37"/>
      <c r="Q87" s="208">
        <f>ROUND((ROUND((ROUND((_11_A通院１増２．５*_11・基礎１),0)*_11・２人),0)*(1+_11・A夜間)),0)</f>
        <v>364</v>
      </c>
      <c r="R87" s="48"/>
    </row>
    <row r="88" spans="1:18" ht="16.5" customHeight="1" x14ac:dyDescent="0.15">
      <c r="A88" s="41">
        <v>11</v>
      </c>
      <c r="B88" s="41" t="s">
        <v>6964</v>
      </c>
      <c r="C88" s="74" t="s">
        <v>6965</v>
      </c>
      <c r="D88" s="121"/>
      <c r="E88" s="99"/>
      <c r="F88" s="53"/>
      <c r="G88" s="49"/>
      <c r="H88" s="50"/>
      <c r="I88" s="44"/>
      <c r="J88" s="45"/>
      <c r="K88" s="46"/>
      <c r="L88" s="35"/>
      <c r="N88" s="57"/>
      <c r="O88" s="707" t="s">
        <v>404</v>
      </c>
      <c r="P88" s="708"/>
      <c r="Q88" s="208">
        <f>ROUND((ROUND((_11_A通院１増２．５*(1+_11・A夜間)),0)*_11・初任),0)</f>
        <v>363</v>
      </c>
      <c r="R88" s="48"/>
    </row>
    <row r="89" spans="1:18" ht="16.5" customHeight="1" x14ac:dyDescent="0.15">
      <c r="A89" s="41">
        <v>11</v>
      </c>
      <c r="B89" s="41" t="s">
        <v>6966</v>
      </c>
      <c r="C89" s="74" t="s">
        <v>6967</v>
      </c>
      <c r="D89" s="121"/>
      <c r="E89" s="99"/>
      <c r="F89" s="43"/>
      <c r="G89" s="37"/>
      <c r="H89" s="38"/>
      <c r="I89" s="44" t="s">
        <v>397</v>
      </c>
      <c r="J89" s="45" t="s">
        <v>398</v>
      </c>
      <c r="K89" s="46">
        <v>1</v>
      </c>
      <c r="L89" s="35"/>
      <c r="N89" s="57"/>
      <c r="O89" s="709"/>
      <c r="P89" s="704"/>
      <c r="Q89" s="208">
        <f>ROUND((ROUND((ROUND((_11_A通院１増２．５*_11・２人),0)*(1+_11・A夜間)),0)*_11・初任),0)</f>
        <v>363</v>
      </c>
      <c r="R89" s="48"/>
    </row>
    <row r="90" spans="1:18" ht="16.5" customHeight="1" x14ac:dyDescent="0.15">
      <c r="A90" s="41">
        <v>11</v>
      </c>
      <c r="B90" s="41" t="s">
        <v>6968</v>
      </c>
      <c r="C90" s="74" t="s">
        <v>6969</v>
      </c>
      <c r="D90" s="72"/>
      <c r="E90" s="99"/>
      <c r="F90" s="752" t="s">
        <v>400</v>
      </c>
      <c r="G90" s="49" t="s">
        <v>398</v>
      </c>
      <c r="H90" s="50">
        <v>0.7</v>
      </c>
      <c r="I90" s="44"/>
      <c r="J90" s="45"/>
      <c r="K90" s="46"/>
      <c r="L90" s="35"/>
      <c r="N90" s="57"/>
      <c r="O90" s="709"/>
      <c r="P90" s="704"/>
      <c r="Q90" s="208">
        <f>ROUND((ROUND((ROUND((_11_A通院１増２．５*_11・基礎１),0)*(1+_11・A夜間)),0)*_11・初任),0)</f>
        <v>255</v>
      </c>
      <c r="R90" s="48"/>
    </row>
    <row r="91" spans="1:18" ht="16.5" customHeight="1" x14ac:dyDescent="0.15">
      <c r="A91" s="41">
        <v>11</v>
      </c>
      <c r="B91" s="41" t="s">
        <v>6970</v>
      </c>
      <c r="C91" s="74" t="s">
        <v>6971</v>
      </c>
      <c r="D91" s="72"/>
      <c r="E91" s="99"/>
      <c r="F91" s="757"/>
      <c r="G91" s="37"/>
      <c r="H91" s="38"/>
      <c r="I91" s="44" t="s">
        <v>397</v>
      </c>
      <c r="J91" s="45" t="s">
        <v>398</v>
      </c>
      <c r="K91" s="46">
        <v>1</v>
      </c>
      <c r="L91" s="35"/>
      <c r="N91" s="57"/>
      <c r="O91" s="55" t="s">
        <v>398</v>
      </c>
      <c r="P91" s="38">
        <f>_11・初任</f>
        <v>0.7</v>
      </c>
      <c r="Q91" s="208">
        <f>ROUND((ROUND((ROUND((ROUND((_11_A通院１増２．５*_11・基礎１),0)*_11・２人),0)*(1+_11・A夜間)),0)*_11・初任),0)</f>
        <v>255</v>
      </c>
      <c r="R91" s="48"/>
    </row>
    <row r="92" spans="1:18" ht="16.5" customHeight="1" x14ac:dyDescent="0.15">
      <c r="A92" s="41">
        <v>11</v>
      </c>
      <c r="B92" s="41">
        <v>3951</v>
      </c>
      <c r="C92" s="74" t="s">
        <v>6972</v>
      </c>
      <c r="D92" s="707" t="s">
        <v>6973</v>
      </c>
      <c r="E92" s="717"/>
      <c r="F92" s="53"/>
      <c r="G92" s="49"/>
      <c r="H92" s="50"/>
      <c r="I92" s="44"/>
      <c r="J92" s="45"/>
      <c r="K92" s="46"/>
      <c r="L92" s="35"/>
      <c r="N92" s="57"/>
      <c r="O92" s="53"/>
      <c r="P92" s="49"/>
      <c r="Q92" s="208">
        <f>ROUND((_11_A通院１増３．０*(1+_11・A夜間)),0)</f>
        <v>623</v>
      </c>
      <c r="R92" s="48"/>
    </row>
    <row r="93" spans="1:18" ht="16.5" customHeight="1" x14ac:dyDescent="0.15">
      <c r="A93" s="41">
        <v>11</v>
      </c>
      <c r="B93" s="41">
        <v>3952</v>
      </c>
      <c r="C93" s="74" t="s">
        <v>6974</v>
      </c>
      <c r="D93" s="709"/>
      <c r="E93" s="718"/>
      <c r="F93" s="43"/>
      <c r="G93" s="37"/>
      <c r="H93" s="38"/>
      <c r="I93" s="44" t="s">
        <v>397</v>
      </c>
      <c r="J93" s="45" t="s">
        <v>398</v>
      </c>
      <c r="K93" s="46">
        <v>1</v>
      </c>
      <c r="L93" s="35"/>
      <c r="N93" s="57"/>
      <c r="O93" s="35"/>
      <c r="Q93" s="208">
        <f>ROUND((ROUND((_11_A通院１増３．０*_11・２人),0)*(1+_11・A夜間)),0)</f>
        <v>623</v>
      </c>
      <c r="R93" s="48"/>
    </row>
    <row r="94" spans="1:18" ht="16.5" customHeight="1" x14ac:dyDescent="0.15">
      <c r="A94" s="41">
        <v>11</v>
      </c>
      <c r="B94" s="41">
        <v>3953</v>
      </c>
      <c r="C94" s="74" t="s">
        <v>6975</v>
      </c>
      <c r="D94" s="709"/>
      <c r="E94" s="718"/>
      <c r="F94" s="752" t="s">
        <v>400</v>
      </c>
      <c r="G94" s="49" t="s">
        <v>398</v>
      </c>
      <c r="H94" s="50">
        <v>0.7</v>
      </c>
      <c r="I94" s="44"/>
      <c r="J94" s="45"/>
      <c r="K94" s="46"/>
      <c r="L94" s="35"/>
      <c r="N94" s="57"/>
      <c r="O94" s="35"/>
      <c r="Q94" s="208">
        <f>ROUND((ROUND((_11_A通院１増３．０*_11・基礎１),0)*(1+_11・A夜間)),0)</f>
        <v>436</v>
      </c>
      <c r="R94" s="48"/>
    </row>
    <row r="95" spans="1:18" ht="16.5" customHeight="1" x14ac:dyDescent="0.15">
      <c r="A95" s="41">
        <v>11</v>
      </c>
      <c r="B95" s="41">
        <v>3954</v>
      </c>
      <c r="C95" s="74" t="s">
        <v>6976</v>
      </c>
      <c r="D95" s="100">
        <f>_11_A通院１増３．０</f>
        <v>498</v>
      </c>
      <c r="E95" s="12" t="s">
        <v>392</v>
      </c>
      <c r="F95" s="757"/>
      <c r="G95" s="37"/>
      <c r="H95" s="38"/>
      <c r="I95" s="44" t="s">
        <v>397</v>
      </c>
      <c r="J95" s="45" t="s">
        <v>398</v>
      </c>
      <c r="K95" s="46">
        <v>1</v>
      </c>
      <c r="L95" s="35"/>
      <c r="N95" s="57"/>
      <c r="O95" s="43"/>
      <c r="P95" s="37"/>
      <c r="Q95" s="208">
        <f>ROUND((ROUND((ROUND((_11_A通院１増３．０*_11・基礎１),0)*_11・２人),0)*(1+_11・A夜間)),0)</f>
        <v>436</v>
      </c>
      <c r="R95" s="48"/>
    </row>
    <row r="96" spans="1:18" ht="16.5" customHeight="1" x14ac:dyDescent="0.15">
      <c r="A96" s="41">
        <v>11</v>
      </c>
      <c r="B96" s="41" t="s">
        <v>6977</v>
      </c>
      <c r="C96" s="74" t="s">
        <v>6978</v>
      </c>
      <c r="D96" s="121"/>
      <c r="E96" s="99"/>
      <c r="F96" s="53"/>
      <c r="G96" s="49"/>
      <c r="H96" s="50"/>
      <c r="I96" s="44"/>
      <c r="J96" s="45"/>
      <c r="K96" s="46"/>
      <c r="L96" s="35"/>
      <c r="N96" s="57"/>
      <c r="O96" s="707" t="s">
        <v>404</v>
      </c>
      <c r="P96" s="708"/>
      <c r="Q96" s="208">
        <f>ROUND((ROUND((_11_A通院１増３．０*(1+_11・A夜間)),0)*_11・初任),0)</f>
        <v>436</v>
      </c>
      <c r="R96" s="48"/>
    </row>
    <row r="97" spans="1:18" ht="16.5" customHeight="1" x14ac:dyDescent="0.15">
      <c r="A97" s="41">
        <v>11</v>
      </c>
      <c r="B97" s="41" t="s">
        <v>6979</v>
      </c>
      <c r="C97" s="74" t="s">
        <v>6980</v>
      </c>
      <c r="D97" s="121"/>
      <c r="E97" s="99"/>
      <c r="F97" s="43"/>
      <c r="G97" s="37"/>
      <c r="H97" s="38"/>
      <c r="I97" s="44" t="s">
        <v>397</v>
      </c>
      <c r="J97" s="45" t="s">
        <v>398</v>
      </c>
      <c r="K97" s="46">
        <v>1</v>
      </c>
      <c r="L97" s="35"/>
      <c r="N97" s="57"/>
      <c r="O97" s="709"/>
      <c r="P97" s="704"/>
      <c r="Q97" s="208">
        <f>ROUND((ROUND((ROUND((_11_A通院１増３．０*_11・２人),0)*(1+_11・A夜間)),0)*_11・初任),0)</f>
        <v>436</v>
      </c>
      <c r="R97" s="48"/>
    </row>
    <row r="98" spans="1:18" ht="16.5" customHeight="1" x14ac:dyDescent="0.15">
      <c r="A98" s="41">
        <v>11</v>
      </c>
      <c r="B98" s="41" t="s">
        <v>6981</v>
      </c>
      <c r="C98" s="74" t="s">
        <v>6982</v>
      </c>
      <c r="D98" s="72"/>
      <c r="E98" s="99"/>
      <c r="F98" s="752" t="s">
        <v>400</v>
      </c>
      <c r="G98" s="49" t="s">
        <v>398</v>
      </c>
      <c r="H98" s="50">
        <v>0.7</v>
      </c>
      <c r="I98" s="44"/>
      <c r="J98" s="45"/>
      <c r="K98" s="46"/>
      <c r="L98" s="35"/>
      <c r="N98" s="57"/>
      <c r="O98" s="709"/>
      <c r="P98" s="704"/>
      <c r="Q98" s="208">
        <f>ROUND((ROUND((ROUND((_11_A通院１増３．０*_11・基礎１),0)*(1+_11・A夜間)),0)*_11・初任),0)</f>
        <v>305</v>
      </c>
      <c r="R98" s="48"/>
    </row>
    <row r="99" spans="1:18" ht="16.5" customHeight="1" x14ac:dyDescent="0.15">
      <c r="A99" s="41">
        <v>11</v>
      </c>
      <c r="B99" s="41" t="s">
        <v>6983</v>
      </c>
      <c r="C99" s="74" t="s">
        <v>6984</v>
      </c>
      <c r="D99" s="72"/>
      <c r="E99" s="99"/>
      <c r="F99" s="757"/>
      <c r="G99" s="37"/>
      <c r="H99" s="38"/>
      <c r="I99" s="44" t="s">
        <v>397</v>
      </c>
      <c r="J99" s="45" t="s">
        <v>398</v>
      </c>
      <c r="K99" s="46">
        <v>1</v>
      </c>
      <c r="L99" s="35"/>
      <c r="N99" s="57"/>
      <c r="O99" s="55" t="s">
        <v>398</v>
      </c>
      <c r="P99" s="38">
        <f>_11・初任</f>
        <v>0.7</v>
      </c>
      <c r="Q99" s="208">
        <f>ROUND((ROUND((ROUND((ROUND((_11_A通院１増３．０*_11・基礎１),0)*_11・２人),0)*(1+_11・A夜間)),0)*_11・初任),0)</f>
        <v>305</v>
      </c>
      <c r="R99" s="48"/>
    </row>
    <row r="100" spans="1:18" ht="16.5" customHeight="1" x14ac:dyDescent="0.15">
      <c r="A100" s="41">
        <v>11</v>
      </c>
      <c r="B100" s="41">
        <v>3955</v>
      </c>
      <c r="C100" s="74" t="s">
        <v>6985</v>
      </c>
      <c r="D100" s="707" t="s">
        <v>6986</v>
      </c>
      <c r="E100" s="717"/>
      <c r="F100" s="53"/>
      <c r="G100" s="49"/>
      <c r="H100" s="50"/>
      <c r="I100" s="44"/>
      <c r="J100" s="45"/>
      <c r="K100" s="46"/>
      <c r="L100" s="35"/>
      <c r="N100" s="57"/>
      <c r="O100" s="53"/>
      <c r="P100" s="49"/>
      <c r="Q100" s="208">
        <f>ROUND((_11_A通院１増３．５*(1+_11・A夜間)),0)</f>
        <v>726</v>
      </c>
      <c r="R100" s="48"/>
    </row>
    <row r="101" spans="1:18" ht="16.5" customHeight="1" x14ac:dyDescent="0.15">
      <c r="A101" s="41">
        <v>11</v>
      </c>
      <c r="B101" s="41">
        <v>3956</v>
      </c>
      <c r="C101" s="74" t="s">
        <v>6987</v>
      </c>
      <c r="D101" s="709"/>
      <c r="E101" s="718"/>
      <c r="F101" s="43"/>
      <c r="G101" s="37"/>
      <c r="H101" s="38"/>
      <c r="I101" s="44" t="s">
        <v>397</v>
      </c>
      <c r="J101" s="45" t="s">
        <v>398</v>
      </c>
      <c r="K101" s="46">
        <v>1</v>
      </c>
      <c r="L101" s="35"/>
      <c r="N101" s="57"/>
      <c r="O101" s="35"/>
      <c r="Q101" s="208">
        <f>ROUND((ROUND((_11_A通院１増３．５*_11・２人),0)*(1+_11・A夜間)),0)</f>
        <v>726</v>
      </c>
      <c r="R101" s="48"/>
    </row>
    <row r="102" spans="1:18" ht="16.5" customHeight="1" x14ac:dyDescent="0.15">
      <c r="A102" s="41">
        <v>11</v>
      </c>
      <c r="B102" s="41">
        <v>3957</v>
      </c>
      <c r="C102" s="74" t="s">
        <v>6988</v>
      </c>
      <c r="D102" s="709"/>
      <c r="E102" s="718"/>
      <c r="F102" s="752" t="s">
        <v>400</v>
      </c>
      <c r="G102" s="49" t="s">
        <v>398</v>
      </c>
      <c r="H102" s="50">
        <v>0.7</v>
      </c>
      <c r="I102" s="44"/>
      <c r="J102" s="45"/>
      <c r="K102" s="46"/>
      <c r="L102" s="35"/>
      <c r="N102" s="57"/>
      <c r="O102" s="35"/>
      <c r="Q102" s="208">
        <f>ROUND((ROUND((_11_A通院１増３．５*_11・基礎１),0)*(1+_11・A夜間)),0)</f>
        <v>509</v>
      </c>
      <c r="R102" s="48"/>
    </row>
    <row r="103" spans="1:18" ht="16.5" customHeight="1" x14ac:dyDescent="0.15">
      <c r="A103" s="41">
        <v>11</v>
      </c>
      <c r="B103" s="41">
        <v>3958</v>
      </c>
      <c r="C103" s="74" t="s">
        <v>6989</v>
      </c>
      <c r="D103" s="100">
        <f>_11_A通院１増３．５</f>
        <v>581</v>
      </c>
      <c r="E103" s="12" t="s">
        <v>392</v>
      </c>
      <c r="F103" s="757"/>
      <c r="G103" s="37"/>
      <c r="H103" s="38"/>
      <c r="I103" s="44" t="s">
        <v>397</v>
      </c>
      <c r="J103" s="45" t="s">
        <v>398</v>
      </c>
      <c r="K103" s="46">
        <v>1</v>
      </c>
      <c r="L103" s="35"/>
      <c r="N103" s="57"/>
      <c r="O103" s="43"/>
      <c r="P103" s="37"/>
      <c r="Q103" s="208">
        <f>ROUND((ROUND((ROUND((_11_A通院１増３．５*_11・基礎１),0)*_11・２人),0)*(1+_11・A夜間)),0)</f>
        <v>509</v>
      </c>
      <c r="R103" s="48"/>
    </row>
    <row r="104" spans="1:18" ht="16.5" customHeight="1" x14ac:dyDescent="0.15">
      <c r="A104" s="41">
        <v>11</v>
      </c>
      <c r="B104" s="41" t="s">
        <v>6990</v>
      </c>
      <c r="C104" s="74" t="s">
        <v>6991</v>
      </c>
      <c r="D104" s="121"/>
      <c r="E104" s="99"/>
      <c r="F104" s="53"/>
      <c r="G104" s="49"/>
      <c r="H104" s="50"/>
      <c r="I104" s="44"/>
      <c r="J104" s="45"/>
      <c r="K104" s="46"/>
      <c r="L104" s="35"/>
      <c r="N104" s="57"/>
      <c r="O104" s="707" t="s">
        <v>404</v>
      </c>
      <c r="P104" s="708"/>
      <c r="Q104" s="208">
        <f>ROUND((ROUND((_11_A通院１増３．５*(1+_11・A夜間)),0)*_11・初任),0)</f>
        <v>508</v>
      </c>
      <c r="R104" s="48"/>
    </row>
    <row r="105" spans="1:18" ht="16.5" customHeight="1" x14ac:dyDescent="0.15">
      <c r="A105" s="41">
        <v>11</v>
      </c>
      <c r="B105" s="41" t="s">
        <v>6992</v>
      </c>
      <c r="C105" s="74" t="s">
        <v>6993</v>
      </c>
      <c r="D105" s="121"/>
      <c r="E105" s="99"/>
      <c r="F105" s="43"/>
      <c r="G105" s="37"/>
      <c r="H105" s="38"/>
      <c r="I105" s="44" t="s">
        <v>397</v>
      </c>
      <c r="J105" s="45" t="s">
        <v>398</v>
      </c>
      <c r="K105" s="46">
        <v>1</v>
      </c>
      <c r="L105" s="35"/>
      <c r="N105" s="57"/>
      <c r="O105" s="709"/>
      <c r="P105" s="704"/>
      <c r="Q105" s="208">
        <f>ROUND((ROUND((ROUND((_11_A通院１増３．５*_11・２人),0)*(1+_11・A夜間)),0)*_11・初任),0)</f>
        <v>508</v>
      </c>
      <c r="R105" s="48"/>
    </row>
    <row r="106" spans="1:18" ht="16.5" customHeight="1" x14ac:dyDescent="0.15">
      <c r="A106" s="41">
        <v>11</v>
      </c>
      <c r="B106" s="41" t="s">
        <v>6994</v>
      </c>
      <c r="C106" s="74" t="s">
        <v>6995</v>
      </c>
      <c r="D106" s="72"/>
      <c r="E106" s="99"/>
      <c r="F106" s="752" t="s">
        <v>400</v>
      </c>
      <c r="G106" s="49" t="s">
        <v>398</v>
      </c>
      <c r="H106" s="50">
        <v>0.7</v>
      </c>
      <c r="I106" s="44"/>
      <c r="J106" s="45"/>
      <c r="K106" s="46"/>
      <c r="L106" s="35"/>
      <c r="N106" s="57"/>
      <c r="O106" s="709"/>
      <c r="P106" s="704"/>
      <c r="Q106" s="208">
        <f>ROUND((ROUND((ROUND((_11_A通院１増３．５*_11・基礎１),0)*(1+_11・A夜間)),0)*_11・初任),0)</f>
        <v>356</v>
      </c>
      <c r="R106" s="48"/>
    </row>
    <row r="107" spans="1:18" ht="16.5" customHeight="1" x14ac:dyDescent="0.15">
      <c r="A107" s="41">
        <v>11</v>
      </c>
      <c r="B107" s="41" t="s">
        <v>6996</v>
      </c>
      <c r="C107" s="74" t="s">
        <v>6997</v>
      </c>
      <c r="D107" s="72"/>
      <c r="E107" s="99"/>
      <c r="F107" s="757"/>
      <c r="G107" s="37"/>
      <c r="H107" s="38"/>
      <c r="I107" s="44" t="s">
        <v>397</v>
      </c>
      <c r="J107" s="45" t="s">
        <v>398</v>
      </c>
      <c r="K107" s="46">
        <v>1</v>
      </c>
      <c r="L107" s="35"/>
      <c r="N107" s="57"/>
      <c r="O107" s="55" t="s">
        <v>398</v>
      </c>
      <c r="P107" s="38">
        <f>_11・初任</f>
        <v>0.7</v>
      </c>
      <c r="Q107" s="208">
        <f>ROUND((ROUND((ROUND((ROUND((_11_A通院１増３．５*_11・基礎１),0)*_11・２人),0)*(1+_11・A夜間)),0)*_11・初任),0)</f>
        <v>356</v>
      </c>
      <c r="R107" s="48"/>
    </row>
    <row r="108" spans="1:18" ht="16.5" customHeight="1" x14ac:dyDescent="0.15">
      <c r="A108" s="41">
        <v>11</v>
      </c>
      <c r="B108" s="41">
        <v>3959</v>
      </c>
      <c r="C108" s="74" t="s">
        <v>6998</v>
      </c>
      <c r="D108" s="707" t="s">
        <v>6999</v>
      </c>
      <c r="E108" s="717"/>
      <c r="F108" s="53"/>
      <c r="G108" s="49"/>
      <c r="H108" s="50"/>
      <c r="I108" s="44"/>
      <c r="J108" s="45"/>
      <c r="K108" s="46"/>
      <c r="L108" s="35"/>
      <c r="N108" s="57"/>
      <c r="O108" s="53"/>
      <c r="P108" s="49"/>
      <c r="Q108" s="208">
        <f>ROUND((_11_A通院１増４．０*(1+_11・A夜間)),0)</f>
        <v>830</v>
      </c>
      <c r="R108" s="48"/>
    </row>
    <row r="109" spans="1:18" ht="16.5" customHeight="1" x14ac:dyDescent="0.15">
      <c r="A109" s="41">
        <v>11</v>
      </c>
      <c r="B109" s="41">
        <v>3960</v>
      </c>
      <c r="C109" s="74" t="s">
        <v>7000</v>
      </c>
      <c r="D109" s="709"/>
      <c r="E109" s="718"/>
      <c r="F109" s="43"/>
      <c r="G109" s="37"/>
      <c r="H109" s="38"/>
      <c r="I109" s="44" t="s">
        <v>397</v>
      </c>
      <c r="J109" s="45" t="s">
        <v>398</v>
      </c>
      <c r="K109" s="46">
        <v>1</v>
      </c>
      <c r="L109" s="35"/>
      <c r="N109" s="57"/>
      <c r="O109" s="35"/>
      <c r="Q109" s="208">
        <f>ROUND((ROUND((_11_A通院１増４．０*_11・２人),0)*(1+_11・A夜間)),0)</f>
        <v>830</v>
      </c>
      <c r="R109" s="48"/>
    </row>
    <row r="110" spans="1:18" ht="16.5" customHeight="1" x14ac:dyDescent="0.15">
      <c r="A110" s="41">
        <v>11</v>
      </c>
      <c r="B110" s="41">
        <v>3961</v>
      </c>
      <c r="C110" s="74" t="s">
        <v>7001</v>
      </c>
      <c r="D110" s="709"/>
      <c r="E110" s="718"/>
      <c r="F110" s="752" t="s">
        <v>400</v>
      </c>
      <c r="G110" s="49" t="s">
        <v>398</v>
      </c>
      <c r="H110" s="50">
        <v>0.7</v>
      </c>
      <c r="I110" s="44"/>
      <c r="J110" s="45"/>
      <c r="K110" s="46"/>
      <c r="L110" s="35"/>
      <c r="N110" s="57"/>
      <c r="O110" s="35"/>
      <c r="Q110" s="208">
        <f>ROUND((ROUND((_11_A通院１増４．０*_11・基礎１),0)*(1+_11・A夜間)),0)</f>
        <v>581</v>
      </c>
      <c r="R110" s="48"/>
    </row>
    <row r="111" spans="1:18" ht="16.5" customHeight="1" x14ac:dyDescent="0.15">
      <c r="A111" s="41">
        <v>11</v>
      </c>
      <c r="B111" s="41">
        <v>3962</v>
      </c>
      <c r="C111" s="74" t="s">
        <v>7002</v>
      </c>
      <c r="D111" s="100">
        <f>_11_A通院１増４．０</f>
        <v>664</v>
      </c>
      <c r="E111" s="12" t="s">
        <v>392</v>
      </c>
      <c r="F111" s="757"/>
      <c r="G111" s="37"/>
      <c r="H111" s="38"/>
      <c r="I111" s="44" t="s">
        <v>397</v>
      </c>
      <c r="J111" s="45" t="s">
        <v>398</v>
      </c>
      <c r="K111" s="46">
        <v>1</v>
      </c>
      <c r="L111" s="35"/>
      <c r="N111" s="57"/>
      <c r="O111" s="43"/>
      <c r="P111" s="37"/>
      <c r="Q111" s="208">
        <f>ROUND((ROUND((ROUND((_11_A通院１増４．０*_11・基礎１),0)*_11・２人),0)*(1+_11・A夜間)),0)</f>
        <v>581</v>
      </c>
      <c r="R111" s="48"/>
    </row>
    <row r="112" spans="1:18" ht="16.5" customHeight="1" x14ac:dyDescent="0.15">
      <c r="A112" s="41">
        <v>11</v>
      </c>
      <c r="B112" s="41" t="s">
        <v>7003</v>
      </c>
      <c r="C112" s="74" t="s">
        <v>7004</v>
      </c>
      <c r="D112" s="121"/>
      <c r="E112" s="99"/>
      <c r="F112" s="53"/>
      <c r="G112" s="49"/>
      <c r="H112" s="50"/>
      <c r="I112" s="44"/>
      <c r="J112" s="45"/>
      <c r="K112" s="46"/>
      <c r="L112" s="35"/>
      <c r="N112" s="57"/>
      <c r="O112" s="707" t="s">
        <v>404</v>
      </c>
      <c r="P112" s="708"/>
      <c r="Q112" s="208">
        <f>ROUND((ROUND((_11_A通院１増４．０*(1+_11・A夜間)),0)*_11・初任),0)</f>
        <v>581</v>
      </c>
      <c r="R112" s="48"/>
    </row>
    <row r="113" spans="1:18" ht="16.5" customHeight="1" x14ac:dyDescent="0.15">
      <c r="A113" s="41">
        <v>11</v>
      </c>
      <c r="B113" s="41" t="s">
        <v>7005</v>
      </c>
      <c r="C113" s="74" t="s">
        <v>7006</v>
      </c>
      <c r="D113" s="121"/>
      <c r="E113" s="99"/>
      <c r="F113" s="43"/>
      <c r="G113" s="37"/>
      <c r="H113" s="38"/>
      <c r="I113" s="44" t="s">
        <v>397</v>
      </c>
      <c r="J113" s="45" t="s">
        <v>398</v>
      </c>
      <c r="K113" s="46">
        <v>1</v>
      </c>
      <c r="L113" s="35"/>
      <c r="N113" s="57"/>
      <c r="O113" s="709"/>
      <c r="P113" s="704"/>
      <c r="Q113" s="208">
        <f>ROUND((ROUND((ROUND((_11_A通院１増４．０*_11・２人),0)*(1+_11・A夜間)),0)*_11・初任),0)</f>
        <v>581</v>
      </c>
      <c r="R113" s="48"/>
    </row>
    <row r="114" spans="1:18" ht="16.5" customHeight="1" x14ac:dyDescent="0.15">
      <c r="A114" s="41">
        <v>11</v>
      </c>
      <c r="B114" s="41" t="s">
        <v>7007</v>
      </c>
      <c r="C114" s="74" t="s">
        <v>7008</v>
      </c>
      <c r="D114" s="72"/>
      <c r="E114" s="99"/>
      <c r="F114" s="752" t="s">
        <v>400</v>
      </c>
      <c r="G114" s="49" t="s">
        <v>398</v>
      </c>
      <c r="H114" s="50">
        <v>0.7</v>
      </c>
      <c r="I114" s="44"/>
      <c r="J114" s="45"/>
      <c r="K114" s="46"/>
      <c r="L114" s="35"/>
      <c r="N114" s="57"/>
      <c r="O114" s="709"/>
      <c r="P114" s="704"/>
      <c r="Q114" s="208">
        <f>ROUND((ROUND((ROUND((_11_A通院１増４．０*_11・基礎１),0)*(1+_11・A夜間)),0)*_11・初任),0)</f>
        <v>407</v>
      </c>
      <c r="R114" s="48"/>
    </row>
    <row r="115" spans="1:18" ht="16.5" customHeight="1" x14ac:dyDescent="0.15">
      <c r="A115" s="41">
        <v>11</v>
      </c>
      <c r="B115" s="41" t="s">
        <v>7009</v>
      </c>
      <c r="C115" s="74" t="s">
        <v>7010</v>
      </c>
      <c r="D115" s="72"/>
      <c r="E115" s="99"/>
      <c r="F115" s="757"/>
      <c r="G115" s="37"/>
      <c r="H115" s="38"/>
      <c r="I115" s="44" t="s">
        <v>397</v>
      </c>
      <c r="J115" s="45" t="s">
        <v>398</v>
      </c>
      <c r="K115" s="46">
        <v>1</v>
      </c>
      <c r="L115" s="35"/>
      <c r="N115" s="57"/>
      <c r="O115" s="55" t="s">
        <v>398</v>
      </c>
      <c r="P115" s="38">
        <f>_11・初任</f>
        <v>0.7</v>
      </c>
      <c r="Q115" s="208">
        <f>ROUND((ROUND((ROUND((ROUND((_11_A通院１増４．０*_11・基礎１),0)*_11・２人),0)*(1+_11・A夜間)),0)*_11・初任),0)</f>
        <v>407</v>
      </c>
      <c r="R115" s="48"/>
    </row>
    <row r="116" spans="1:18" ht="16.5" customHeight="1" x14ac:dyDescent="0.15">
      <c r="A116" s="41">
        <v>11</v>
      </c>
      <c r="B116" s="41">
        <v>3963</v>
      </c>
      <c r="C116" s="74" t="s">
        <v>7011</v>
      </c>
      <c r="D116" s="707" t="s">
        <v>7012</v>
      </c>
      <c r="E116" s="717"/>
      <c r="F116" s="53"/>
      <c r="G116" s="49"/>
      <c r="H116" s="50"/>
      <c r="I116" s="44"/>
      <c r="J116" s="45"/>
      <c r="K116" s="46"/>
      <c r="L116" s="35"/>
      <c r="N116" s="57"/>
      <c r="O116" s="53"/>
      <c r="P116" s="49"/>
      <c r="Q116" s="208">
        <f>ROUND((_11_A通院１増４．５*(1+_11・A夜間)),0)</f>
        <v>934</v>
      </c>
      <c r="R116" s="48"/>
    </row>
    <row r="117" spans="1:18" ht="16.5" customHeight="1" x14ac:dyDescent="0.15">
      <c r="A117" s="41">
        <v>11</v>
      </c>
      <c r="B117" s="41">
        <v>3964</v>
      </c>
      <c r="C117" s="74" t="s">
        <v>7013</v>
      </c>
      <c r="D117" s="709"/>
      <c r="E117" s="718"/>
      <c r="F117" s="43"/>
      <c r="G117" s="37"/>
      <c r="H117" s="38"/>
      <c r="I117" s="44" t="s">
        <v>397</v>
      </c>
      <c r="J117" s="45" t="s">
        <v>398</v>
      </c>
      <c r="K117" s="46">
        <v>1</v>
      </c>
      <c r="L117" s="35"/>
      <c r="N117" s="57"/>
      <c r="O117" s="35"/>
      <c r="Q117" s="208">
        <f>ROUND((ROUND((_11_A通院１増４．５*_11・２人),0)*(1+_11・A夜間)),0)</f>
        <v>934</v>
      </c>
      <c r="R117" s="48"/>
    </row>
    <row r="118" spans="1:18" ht="16.5" customHeight="1" x14ac:dyDescent="0.15">
      <c r="A118" s="41">
        <v>11</v>
      </c>
      <c r="B118" s="41">
        <v>3965</v>
      </c>
      <c r="C118" s="74" t="s">
        <v>7014</v>
      </c>
      <c r="D118" s="709"/>
      <c r="E118" s="718"/>
      <c r="F118" s="752" t="s">
        <v>400</v>
      </c>
      <c r="G118" s="49" t="s">
        <v>398</v>
      </c>
      <c r="H118" s="50">
        <v>0.7</v>
      </c>
      <c r="I118" s="44"/>
      <c r="J118" s="45"/>
      <c r="K118" s="46"/>
      <c r="L118" s="35"/>
      <c r="N118" s="57"/>
      <c r="O118" s="35"/>
      <c r="Q118" s="208">
        <f>ROUND((ROUND((_11_A通院１増４．５*_11・基礎１),0)*(1+_11・A夜間)),0)</f>
        <v>654</v>
      </c>
      <c r="R118" s="48"/>
    </row>
    <row r="119" spans="1:18" ht="16.5" customHeight="1" x14ac:dyDescent="0.15">
      <c r="A119" s="41">
        <v>11</v>
      </c>
      <c r="B119" s="41">
        <v>3966</v>
      </c>
      <c r="C119" s="74" t="s">
        <v>7015</v>
      </c>
      <c r="D119" s="100">
        <f>_11_A通院１増４．５</f>
        <v>747</v>
      </c>
      <c r="E119" s="12" t="s">
        <v>392</v>
      </c>
      <c r="F119" s="757"/>
      <c r="G119" s="37"/>
      <c r="H119" s="38"/>
      <c r="I119" s="44" t="s">
        <v>397</v>
      </c>
      <c r="J119" s="45" t="s">
        <v>398</v>
      </c>
      <c r="K119" s="46">
        <v>1</v>
      </c>
      <c r="L119" s="35"/>
      <c r="N119" s="57"/>
      <c r="O119" s="43"/>
      <c r="P119" s="37"/>
      <c r="Q119" s="208">
        <f>ROUND((ROUND((ROUND((_11_A通院１増４．５*_11・基礎１),0)*_11・２人),0)*(1+_11・A夜間)),0)</f>
        <v>654</v>
      </c>
      <c r="R119" s="48"/>
    </row>
    <row r="120" spans="1:18" ht="16.5" customHeight="1" x14ac:dyDescent="0.15">
      <c r="A120" s="41">
        <v>11</v>
      </c>
      <c r="B120" s="41" t="s">
        <v>7016</v>
      </c>
      <c r="C120" s="74" t="s">
        <v>7017</v>
      </c>
      <c r="D120" s="121"/>
      <c r="E120" s="99"/>
      <c r="F120" s="53"/>
      <c r="G120" s="49"/>
      <c r="H120" s="50"/>
      <c r="I120" s="44"/>
      <c r="J120" s="45"/>
      <c r="K120" s="46"/>
      <c r="L120" s="35"/>
      <c r="N120" s="57"/>
      <c r="O120" s="707" t="s">
        <v>404</v>
      </c>
      <c r="P120" s="708"/>
      <c r="Q120" s="208">
        <f>ROUND((ROUND((_11_A通院１増４．５*(1+_11・A夜間)),0)*_11・初任),0)</f>
        <v>654</v>
      </c>
      <c r="R120" s="48"/>
    </row>
    <row r="121" spans="1:18" ht="16.5" customHeight="1" x14ac:dyDescent="0.15">
      <c r="A121" s="41">
        <v>11</v>
      </c>
      <c r="B121" s="41" t="s">
        <v>7018</v>
      </c>
      <c r="C121" s="74" t="s">
        <v>7019</v>
      </c>
      <c r="D121" s="121"/>
      <c r="E121" s="99"/>
      <c r="F121" s="43"/>
      <c r="G121" s="37"/>
      <c r="H121" s="38"/>
      <c r="I121" s="44" t="s">
        <v>397</v>
      </c>
      <c r="J121" s="45" t="s">
        <v>398</v>
      </c>
      <c r="K121" s="46">
        <v>1</v>
      </c>
      <c r="L121" s="35"/>
      <c r="N121" s="57"/>
      <c r="O121" s="709"/>
      <c r="P121" s="704"/>
      <c r="Q121" s="208">
        <f>ROUND((ROUND((ROUND((_11_A通院１増４．５*_11・２人),0)*(1+_11・A夜間)),0)*_11・初任),0)</f>
        <v>654</v>
      </c>
      <c r="R121" s="48"/>
    </row>
    <row r="122" spans="1:18" ht="16.5" customHeight="1" x14ac:dyDescent="0.15">
      <c r="A122" s="41">
        <v>11</v>
      </c>
      <c r="B122" s="41" t="s">
        <v>7020</v>
      </c>
      <c r="C122" s="74" t="s">
        <v>7021</v>
      </c>
      <c r="D122" s="72"/>
      <c r="E122" s="99"/>
      <c r="F122" s="752" t="s">
        <v>400</v>
      </c>
      <c r="G122" s="49" t="s">
        <v>398</v>
      </c>
      <c r="H122" s="50">
        <v>0.7</v>
      </c>
      <c r="I122" s="44"/>
      <c r="J122" s="45"/>
      <c r="K122" s="46"/>
      <c r="L122" s="35"/>
      <c r="N122" s="57"/>
      <c r="O122" s="709"/>
      <c r="P122" s="704"/>
      <c r="Q122" s="208">
        <f>ROUND((ROUND((ROUND((_11_A通院１増４．５*_11・基礎１),0)*(1+_11・A夜間)),0)*_11・初任),0)</f>
        <v>458</v>
      </c>
      <c r="R122" s="48"/>
    </row>
    <row r="123" spans="1:18" ht="16.5" customHeight="1" x14ac:dyDescent="0.15">
      <c r="A123" s="41">
        <v>11</v>
      </c>
      <c r="B123" s="41" t="s">
        <v>7022</v>
      </c>
      <c r="C123" s="74" t="s">
        <v>7023</v>
      </c>
      <c r="D123" s="122"/>
      <c r="E123" s="111"/>
      <c r="F123" s="757"/>
      <c r="G123" s="37"/>
      <c r="H123" s="38"/>
      <c r="I123" s="44" t="s">
        <v>397</v>
      </c>
      <c r="J123" s="45" t="s">
        <v>398</v>
      </c>
      <c r="K123" s="46">
        <v>1</v>
      </c>
      <c r="L123" s="43"/>
      <c r="M123" s="38"/>
      <c r="N123" s="79"/>
      <c r="O123" s="55" t="s">
        <v>398</v>
      </c>
      <c r="P123" s="38">
        <f>_11・初任</f>
        <v>0.7</v>
      </c>
      <c r="Q123" s="208">
        <f>ROUND((ROUND((ROUND((ROUND((_11_A通院１増４．５*_11・基礎１),0)*_11・２人),0)*(1+_11・A夜間)),0)*_11・初任),0)</f>
        <v>458</v>
      </c>
      <c r="R123" s="63"/>
    </row>
    <row r="124" spans="1:18" ht="16.5" customHeight="1" x14ac:dyDescent="0.15"/>
    <row r="125" spans="1:18" ht="16.5" customHeight="1" x14ac:dyDescent="0.15"/>
  </sheetData>
  <mergeCells count="58">
    <mergeCell ref="O120:P122"/>
    <mergeCell ref="F122:F123"/>
    <mergeCell ref="D108:E110"/>
    <mergeCell ref="F110:F111"/>
    <mergeCell ref="O112:P114"/>
    <mergeCell ref="F114:F115"/>
    <mergeCell ref="D116:E118"/>
    <mergeCell ref="F118:F119"/>
    <mergeCell ref="O96:P98"/>
    <mergeCell ref="F98:F99"/>
    <mergeCell ref="D100:E102"/>
    <mergeCell ref="F102:F103"/>
    <mergeCell ref="O104:P106"/>
    <mergeCell ref="F106:F107"/>
    <mergeCell ref="D84:E86"/>
    <mergeCell ref="F86:F87"/>
    <mergeCell ref="O88:P90"/>
    <mergeCell ref="F90:F91"/>
    <mergeCell ref="D92:E94"/>
    <mergeCell ref="F94:F95"/>
    <mergeCell ref="O72:P74"/>
    <mergeCell ref="F74:F75"/>
    <mergeCell ref="D76:E78"/>
    <mergeCell ref="F78:F79"/>
    <mergeCell ref="O80:P82"/>
    <mergeCell ref="F82:F83"/>
    <mergeCell ref="D60:E62"/>
    <mergeCell ref="F62:F63"/>
    <mergeCell ref="O64:P66"/>
    <mergeCell ref="F66:F67"/>
    <mergeCell ref="D68:E70"/>
    <mergeCell ref="F70:F71"/>
    <mergeCell ref="O27:P29"/>
    <mergeCell ref="F29:F30"/>
    <mergeCell ref="O56:P58"/>
    <mergeCell ref="F58:F59"/>
    <mergeCell ref="D31:E33"/>
    <mergeCell ref="F33:F34"/>
    <mergeCell ref="O35:P37"/>
    <mergeCell ref="F37:F38"/>
    <mergeCell ref="D39:E41"/>
    <mergeCell ref="F41:F42"/>
    <mergeCell ref="O43:P45"/>
    <mergeCell ref="F45:F46"/>
    <mergeCell ref="D52:E54"/>
    <mergeCell ref="N53:N54"/>
    <mergeCell ref="F54:F55"/>
    <mergeCell ref="O19:P21"/>
    <mergeCell ref="F21:F22"/>
    <mergeCell ref="D23:E25"/>
    <mergeCell ref="F25:F26"/>
    <mergeCell ref="D15:E17"/>
    <mergeCell ref="F17:F18"/>
    <mergeCell ref="D7:E9"/>
    <mergeCell ref="N8:N9"/>
    <mergeCell ref="F9:F10"/>
    <mergeCell ref="O11:P13"/>
    <mergeCell ref="F13:F14"/>
  </mergeCells>
  <phoneticPr fontId="1"/>
  <printOptions horizontalCentered="1"/>
  <pageMargins left="0.70866141732283472" right="0.70866141732283472" top="0.74803149606299213" bottom="0.74803149606299213" header="0.31496062992125984" footer="0.31496062992125984"/>
  <pageSetup paperSize="9" scale="58" fitToHeight="0" orientation="portrait" r:id="rId1"/>
  <headerFooter>
    <oddHeader>&amp;R&amp;"ＭＳ Ｐゴシック"&amp;9居宅介護</oddHeader>
    <oddFooter>&amp;C&amp;"ＭＳ Ｐゴシック"&amp;14&amp;P</oddFooter>
  </headerFooter>
  <rowBreaks count="1" manualBreakCount="1">
    <brk id="46" max="17"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pageSetUpPr fitToPage="1"/>
  </sheetPr>
  <dimension ref="A1:R112"/>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3.5" style="10" bestFit="1" customWidth="1"/>
    <col min="4" max="4" width="6" style="10" bestFit="1" customWidth="1"/>
    <col min="5" max="5" width="5.5" style="117" bestFit="1" customWidth="1"/>
    <col min="6" max="6" width="11.875" style="12" customWidth="1"/>
    <col min="7" max="7" width="3.5" style="12" bestFit="1" customWidth="1"/>
    <col min="8" max="8" width="4.5" style="13" bestFit="1" customWidth="1"/>
    <col min="9" max="9" width="25.5" style="14" bestFit="1" customWidth="1"/>
    <col min="10" max="10" width="3.5" style="12" bestFit="1" customWidth="1"/>
    <col min="11" max="11" width="5.5" style="13" bestFit="1" customWidth="1"/>
    <col min="12" max="12" width="3.5" style="12" bestFit="1" customWidth="1"/>
    <col min="13" max="13" width="4.5" style="13" bestFit="1" customWidth="1"/>
    <col min="14" max="14" width="5.5" style="12" bestFit="1" customWidth="1"/>
    <col min="15" max="15" width="9.875" style="12" customWidth="1"/>
    <col min="16" max="16" width="4.5" style="12" bestFit="1" customWidth="1"/>
    <col min="17" max="17" width="7.125" style="15" customWidth="1"/>
    <col min="18" max="18" width="8.5" style="16" customWidth="1"/>
    <col min="19" max="16384" width="8.875" style="12"/>
  </cols>
  <sheetData>
    <row r="1" spans="1:18" ht="17.100000000000001" customHeight="1" x14ac:dyDescent="0.15"/>
    <row r="2" spans="1:18" ht="17.100000000000001" customHeight="1" x14ac:dyDescent="0.15"/>
    <row r="3" spans="1:18" ht="17.100000000000001" customHeight="1" x14ac:dyDescent="0.15"/>
    <row r="4" spans="1:18" ht="17.100000000000001" customHeight="1" x14ac:dyDescent="0.15">
      <c r="B4" s="17" t="s">
        <v>7024</v>
      </c>
      <c r="D4" s="71"/>
    </row>
    <row r="5" spans="1:18" ht="16.5" customHeight="1" x14ac:dyDescent="0.15">
      <c r="A5" s="19" t="s">
        <v>384</v>
      </c>
      <c r="B5" s="20"/>
      <c r="C5" s="21" t="s">
        <v>385</v>
      </c>
      <c r="D5" s="23" t="s">
        <v>386</v>
      </c>
      <c r="E5" s="118"/>
      <c r="F5" s="23"/>
      <c r="G5" s="23"/>
      <c r="H5" s="24"/>
      <c r="I5" s="23"/>
      <c r="J5" s="23"/>
      <c r="K5" s="24"/>
      <c r="L5" s="23"/>
      <c r="M5" s="24"/>
      <c r="N5" s="23"/>
      <c r="O5" s="23"/>
      <c r="P5" s="23"/>
      <c r="Q5" s="25" t="s">
        <v>387</v>
      </c>
      <c r="R5" s="21" t="s">
        <v>388</v>
      </c>
    </row>
    <row r="6" spans="1:18" ht="16.5" customHeight="1" x14ac:dyDescent="0.15">
      <c r="A6" s="26" t="s">
        <v>389</v>
      </c>
      <c r="B6" s="26" t="s">
        <v>390</v>
      </c>
      <c r="C6" s="27"/>
      <c r="D6" s="29"/>
      <c r="E6" s="120"/>
      <c r="F6" s="29"/>
      <c r="G6" s="29"/>
      <c r="H6" s="30"/>
      <c r="I6" s="29"/>
      <c r="J6" s="29"/>
      <c r="K6" s="30"/>
      <c r="L6" s="29"/>
      <c r="M6" s="30"/>
      <c r="N6" s="29"/>
      <c r="O6" s="29"/>
      <c r="P6" s="29"/>
      <c r="Q6" s="31" t="s">
        <v>391</v>
      </c>
      <c r="R6" s="32" t="s">
        <v>392</v>
      </c>
    </row>
    <row r="7" spans="1:18" ht="16.5" customHeight="1" x14ac:dyDescent="0.15">
      <c r="A7" s="33">
        <v>11</v>
      </c>
      <c r="B7" s="33">
        <v>3967</v>
      </c>
      <c r="C7" s="34" t="s">
        <v>7025</v>
      </c>
      <c r="D7" s="709" t="s">
        <v>3780</v>
      </c>
      <c r="E7" s="718"/>
      <c r="F7" s="35"/>
      <c r="I7" s="36"/>
      <c r="J7" s="37"/>
      <c r="K7" s="38"/>
      <c r="L7" s="72" t="s">
        <v>862</v>
      </c>
      <c r="N7" s="57"/>
      <c r="O7" s="35"/>
      <c r="Q7" s="39">
        <f>ROUND((_11_A通院１増０．５*(1+_11・A深夜)),0)</f>
        <v>125</v>
      </c>
      <c r="R7" s="40" t="s">
        <v>395</v>
      </c>
    </row>
    <row r="8" spans="1:18" ht="16.5" customHeight="1" x14ac:dyDescent="0.15">
      <c r="A8" s="41">
        <v>11</v>
      </c>
      <c r="B8" s="41">
        <v>3968</v>
      </c>
      <c r="C8" s="74" t="s">
        <v>7026</v>
      </c>
      <c r="D8" s="709"/>
      <c r="E8" s="718"/>
      <c r="F8" s="43"/>
      <c r="G8" s="37"/>
      <c r="H8" s="38"/>
      <c r="I8" s="44" t="s">
        <v>397</v>
      </c>
      <c r="J8" s="45" t="s">
        <v>398</v>
      </c>
      <c r="K8" s="46">
        <v>1</v>
      </c>
      <c r="L8" s="35" t="s">
        <v>398</v>
      </c>
      <c r="M8" s="13">
        <v>0.5</v>
      </c>
      <c r="N8" s="728" t="s">
        <v>676</v>
      </c>
      <c r="O8" s="35"/>
      <c r="Q8" s="47">
        <f>ROUND((ROUND((_11_A通院１増０．５*_11・２人),0)*(1+_11・A深夜)),0)</f>
        <v>125</v>
      </c>
      <c r="R8" s="48"/>
    </row>
    <row r="9" spans="1:18" ht="16.5" customHeight="1" x14ac:dyDescent="0.15">
      <c r="A9" s="41">
        <v>11</v>
      </c>
      <c r="B9" s="41">
        <v>3969</v>
      </c>
      <c r="C9" s="74" t="s">
        <v>7027</v>
      </c>
      <c r="D9" s="709"/>
      <c r="E9" s="718"/>
      <c r="F9" s="752" t="s">
        <v>400</v>
      </c>
      <c r="G9" s="49" t="s">
        <v>398</v>
      </c>
      <c r="H9" s="50">
        <v>0.7</v>
      </c>
      <c r="I9" s="44"/>
      <c r="J9" s="45"/>
      <c r="K9" s="46"/>
      <c r="L9" s="35"/>
      <c r="N9" s="728"/>
      <c r="O9" s="35"/>
      <c r="Q9" s="47">
        <f>ROUND((ROUND((_11_A通院１増０．５*_11・基礎１),0)*(1+_11・A深夜)),0)</f>
        <v>87</v>
      </c>
      <c r="R9" s="48"/>
    </row>
    <row r="10" spans="1:18" ht="16.5" customHeight="1" x14ac:dyDescent="0.15">
      <c r="A10" s="41">
        <v>11</v>
      </c>
      <c r="B10" s="41">
        <v>3970</v>
      </c>
      <c r="C10" s="74" t="s">
        <v>7028</v>
      </c>
      <c r="D10" s="100">
        <f>_11_A通院１増０．５</f>
        <v>83</v>
      </c>
      <c r="E10" s="12" t="s">
        <v>392</v>
      </c>
      <c r="F10" s="757"/>
      <c r="G10" s="37"/>
      <c r="H10" s="38"/>
      <c r="I10" s="44" t="s">
        <v>397</v>
      </c>
      <c r="J10" s="45" t="s">
        <v>398</v>
      </c>
      <c r="K10" s="46">
        <v>1</v>
      </c>
      <c r="L10" s="35"/>
      <c r="N10" s="57"/>
      <c r="O10" s="43"/>
      <c r="P10" s="37"/>
      <c r="Q10" s="47">
        <f>ROUND((ROUND((ROUND((_11_A通院１増０．５*_11・基礎１),0)*_11・２人),0)*(1+_11・A深夜)),0)</f>
        <v>87</v>
      </c>
      <c r="R10" s="48"/>
    </row>
    <row r="11" spans="1:18" ht="16.5" customHeight="1" x14ac:dyDescent="0.15">
      <c r="A11" s="41">
        <v>11</v>
      </c>
      <c r="B11" s="41" t="s">
        <v>7029</v>
      </c>
      <c r="C11" s="74" t="s">
        <v>7030</v>
      </c>
      <c r="D11" s="121"/>
      <c r="E11" s="99"/>
      <c r="F11" s="53"/>
      <c r="G11" s="49"/>
      <c r="H11" s="50"/>
      <c r="I11" s="44"/>
      <c r="J11" s="45"/>
      <c r="K11" s="46"/>
      <c r="L11" s="35"/>
      <c r="N11" s="57"/>
      <c r="O11" s="707" t="s">
        <v>404</v>
      </c>
      <c r="P11" s="708"/>
      <c r="Q11" s="47">
        <f>ROUND((ROUND((_11_A通院１増０．５*(1+_11・A深夜)),0)*_11・初任),0)</f>
        <v>88</v>
      </c>
      <c r="R11" s="48"/>
    </row>
    <row r="12" spans="1:18" ht="16.5" customHeight="1" x14ac:dyDescent="0.15">
      <c r="A12" s="41">
        <v>11</v>
      </c>
      <c r="B12" s="41" t="s">
        <v>7031</v>
      </c>
      <c r="C12" s="74" t="s">
        <v>7032</v>
      </c>
      <c r="D12" s="121"/>
      <c r="E12" s="99"/>
      <c r="F12" s="43"/>
      <c r="G12" s="37"/>
      <c r="H12" s="38"/>
      <c r="I12" s="44" t="s">
        <v>397</v>
      </c>
      <c r="J12" s="45" t="s">
        <v>398</v>
      </c>
      <c r="K12" s="46">
        <v>1</v>
      </c>
      <c r="L12" s="35"/>
      <c r="N12" s="57"/>
      <c r="O12" s="709"/>
      <c r="P12" s="704"/>
      <c r="Q12" s="47">
        <f>ROUND((ROUND((ROUND((_11_A通院１増０．５*_11・２人),0)*(1+_11・A深夜)),0)*_11・初任),0)</f>
        <v>88</v>
      </c>
      <c r="R12" s="48"/>
    </row>
    <row r="13" spans="1:18" ht="16.5" customHeight="1" x14ac:dyDescent="0.15">
      <c r="A13" s="41">
        <v>11</v>
      </c>
      <c r="B13" s="41" t="s">
        <v>7033</v>
      </c>
      <c r="C13" s="74" t="s">
        <v>7034</v>
      </c>
      <c r="D13" s="72"/>
      <c r="E13" s="99"/>
      <c r="F13" s="752" t="s">
        <v>400</v>
      </c>
      <c r="G13" s="49" t="s">
        <v>398</v>
      </c>
      <c r="H13" s="50">
        <v>0.7</v>
      </c>
      <c r="I13" s="44"/>
      <c r="J13" s="45"/>
      <c r="K13" s="46"/>
      <c r="L13" s="35"/>
      <c r="N13" s="57"/>
      <c r="O13" s="709"/>
      <c r="P13" s="704"/>
      <c r="Q13" s="47">
        <f>ROUND((ROUND((ROUND((_11_A通院１増０．５*_11・基礎１),0)*(1+_11・A深夜)),0)*_11・初任),0)</f>
        <v>61</v>
      </c>
      <c r="R13" s="48"/>
    </row>
    <row r="14" spans="1:18" ht="16.5" customHeight="1" x14ac:dyDescent="0.15">
      <c r="A14" s="41">
        <v>11</v>
      </c>
      <c r="B14" s="41" t="s">
        <v>7035</v>
      </c>
      <c r="C14" s="74" t="s">
        <v>7036</v>
      </c>
      <c r="D14" s="72"/>
      <c r="E14" s="99"/>
      <c r="F14" s="757"/>
      <c r="G14" s="37"/>
      <c r="H14" s="38"/>
      <c r="I14" s="44" t="s">
        <v>397</v>
      </c>
      <c r="J14" s="45" t="s">
        <v>398</v>
      </c>
      <c r="K14" s="46">
        <v>1</v>
      </c>
      <c r="L14" s="35"/>
      <c r="N14" s="57"/>
      <c r="O14" s="55" t="s">
        <v>398</v>
      </c>
      <c r="P14" s="38">
        <f>_11・初任</f>
        <v>0.7</v>
      </c>
      <c r="Q14" s="47">
        <f>ROUND((ROUND((ROUND((ROUND((_11_A通院１増０．５*_11・基礎１),0)*_11・２人),0)*(1+_11・A深夜)),0)*_11・初任),0)</f>
        <v>61</v>
      </c>
      <c r="R14" s="48"/>
    </row>
    <row r="15" spans="1:18" ht="16.5" customHeight="1" x14ac:dyDescent="0.15">
      <c r="A15" s="41">
        <v>11</v>
      </c>
      <c r="B15" s="41">
        <v>3971</v>
      </c>
      <c r="C15" s="74" t="s">
        <v>7037</v>
      </c>
      <c r="D15" s="707" t="s">
        <v>5030</v>
      </c>
      <c r="E15" s="717"/>
      <c r="F15" s="53"/>
      <c r="G15" s="49"/>
      <c r="H15" s="50"/>
      <c r="I15" s="44"/>
      <c r="J15" s="45"/>
      <c r="K15" s="46"/>
      <c r="L15" s="35"/>
      <c r="N15" s="57"/>
      <c r="O15" s="53"/>
      <c r="P15" s="49"/>
      <c r="Q15" s="47">
        <f>ROUND((_11_A通院１増１．０*(1+_11・A深夜)),0)</f>
        <v>249</v>
      </c>
      <c r="R15" s="48"/>
    </row>
    <row r="16" spans="1:18" ht="16.5" customHeight="1" x14ac:dyDescent="0.15">
      <c r="A16" s="41">
        <v>11</v>
      </c>
      <c r="B16" s="41">
        <v>3972</v>
      </c>
      <c r="C16" s="74" t="s">
        <v>7038</v>
      </c>
      <c r="D16" s="709"/>
      <c r="E16" s="718"/>
      <c r="F16" s="43"/>
      <c r="G16" s="37"/>
      <c r="H16" s="38"/>
      <c r="I16" s="44" t="s">
        <v>397</v>
      </c>
      <c r="J16" s="45" t="s">
        <v>398</v>
      </c>
      <c r="K16" s="46">
        <v>1</v>
      </c>
      <c r="L16" s="35"/>
      <c r="N16" s="57"/>
      <c r="O16" s="35"/>
      <c r="Q16" s="47">
        <f>ROUND((ROUND((_11_A通院１増１．０*_11・２人),0)*(1+_11・A深夜)),0)</f>
        <v>249</v>
      </c>
      <c r="R16" s="48"/>
    </row>
    <row r="17" spans="1:18" ht="16.5" customHeight="1" x14ac:dyDescent="0.15">
      <c r="A17" s="41">
        <v>11</v>
      </c>
      <c r="B17" s="41">
        <v>3973</v>
      </c>
      <c r="C17" s="74" t="s">
        <v>7039</v>
      </c>
      <c r="D17" s="709"/>
      <c r="E17" s="718"/>
      <c r="F17" s="752" t="s">
        <v>400</v>
      </c>
      <c r="G17" s="49" t="s">
        <v>398</v>
      </c>
      <c r="H17" s="50">
        <v>0.7</v>
      </c>
      <c r="I17" s="44"/>
      <c r="J17" s="45"/>
      <c r="K17" s="46"/>
      <c r="L17" s="35"/>
      <c r="N17" s="57"/>
      <c r="O17" s="35"/>
      <c r="Q17" s="47">
        <f>ROUND((ROUND((_11_A通院１増１．０*_11・基礎１),0)*(1+_11・A深夜)),0)</f>
        <v>174</v>
      </c>
      <c r="R17" s="48"/>
    </row>
    <row r="18" spans="1:18" ht="16.5" customHeight="1" x14ac:dyDescent="0.15">
      <c r="A18" s="41">
        <v>11</v>
      </c>
      <c r="B18" s="41">
        <v>3974</v>
      </c>
      <c r="C18" s="74" t="s">
        <v>7040</v>
      </c>
      <c r="D18" s="100">
        <f>_11_A通院１増１．０</f>
        <v>166</v>
      </c>
      <c r="E18" s="12" t="s">
        <v>392</v>
      </c>
      <c r="F18" s="709"/>
      <c r="G18" s="37"/>
      <c r="H18" s="38"/>
      <c r="I18" s="44" t="s">
        <v>397</v>
      </c>
      <c r="J18" s="45" t="s">
        <v>398</v>
      </c>
      <c r="K18" s="46">
        <v>1</v>
      </c>
      <c r="L18" s="35"/>
      <c r="N18" s="57"/>
      <c r="O18" s="43"/>
      <c r="P18" s="37"/>
      <c r="Q18" s="47">
        <f>ROUND((ROUND((ROUND((_11_A通院１増１．０*_11・基礎１),0)*_11・２人),0)*(1+_11・A深夜)),0)</f>
        <v>174</v>
      </c>
      <c r="R18" s="48"/>
    </row>
    <row r="19" spans="1:18" ht="16.5" customHeight="1" x14ac:dyDescent="0.15">
      <c r="A19" s="41">
        <v>11</v>
      </c>
      <c r="B19" s="41" t="s">
        <v>7041</v>
      </c>
      <c r="C19" s="74" t="s">
        <v>7042</v>
      </c>
      <c r="D19" s="72"/>
      <c r="E19" s="99"/>
      <c r="F19" s="53"/>
      <c r="G19" s="49"/>
      <c r="H19" s="50"/>
      <c r="I19" s="44"/>
      <c r="J19" s="45"/>
      <c r="K19" s="46"/>
      <c r="L19" s="35"/>
      <c r="N19" s="57"/>
      <c r="O19" s="707" t="s">
        <v>404</v>
      </c>
      <c r="P19" s="708"/>
      <c r="Q19" s="47">
        <f>ROUND((ROUND((_11_A通院１増１．０*(1+_11・A深夜)),0)*_11・初任),0)</f>
        <v>174</v>
      </c>
      <c r="R19" s="48"/>
    </row>
    <row r="20" spans="1:18" ht="16.5" customHeight="1" x14ac:dyDescent="0.15">
      <c r="A20" s="41">
        <v>11</v>
      </c>
      <c r="B20" s="41" t="s">
        <v>7043</v>
      </c>
      <c r="C20" s="74" t="s">
        <v>7044</v>
      </c>
      <c r="D20" s="72"/>
      <c r="E20" s="99"/>
      <c r="F20" s="43"/>
      <c r="G20" s="37"/>
      <c r="H20" s="38"/>
      <c r="I20" s="44" t="s">
        <v>397</v>
      </c>
      <c r="J20" s="45" t="s">
        <v>398</v>
      </c>
      <c r="K20" s="46">
        <v>1</v>
      </c>
      <c r="L20" s="35"/>
      <c r="N20" s="57"/>
      <c r="O20" s="709"/>
      <c r="P20" s="704"/>
      <c r="Q20" s="47">
        <f>ROUND((ROUND((ROUND((_11_A通院１増１．０*_11・２人),0)*(1+_11・A深夜)),0)*_11・初任),0)</f>
        <v>174</v>
      </c>
      <c r="R20" s="48"/>
    </row>
    <row r="21" spans="1:18" ht="16.5" customHeight="1" x14ac:dyDescent="0.15">
      <c r="A21" s="41">
        <v>11</v>
      </c>
      <c r="B21" s="41" t="s">
        <v>7045</v>
      </c>
      <c r="C21" s="74" t="s">
        <v>7046</v>
      </c>
      <c r="D21" s="72"/>
      <c r="E21" s="99"/>
      <c r="F21" s="752" t="s">
        <v>400</v>
      </c>
      <c r="G21" s="49" t="s">
        <v>398</v>
      </c>
      <c r="H21" s="50">
        <v>0.7</v>
      </c>
      <c r="I21" s="44"/>
      <c r="J21" s="45"/>
      <c r="K21" s="46"/>
      <c r="L21" s="35"/>
      <c r="N21" s="57"/>
      <c r="O21" s="709"/>
      <c r="P21" s="704"/>
      <c r="Q21" s="47">
        <f>ROUND((ROUND((ROUND((_11_A通院１増１．０*_11・基礎１),0)*(1+_11・A深夜)),0)*_11・初任),0)</f>
        <v>122</v>
      </c>
      <c r="R21" s="48"/>
    </row>
    <row r="22" spans="1:18" ht="16.5" customHeight="1" x14ac:dyDescent="0.15">
      <c r="A22" s="41">
        <v>11</v>
      </c>
      <c r="B22" s="41" t="s">
        <v>7047</v>
      </c>
      <c r="C22" s="74" t="s">
        <v>7048</v>
      </c>
      <c r="D22" s="72"/>
      <c r="E22" s="99"/>
      <c r="F22" s="709"/>
      <c r="G22" s="37"/>
      <c r="H22" s="38"/>
      <c r="I22" s="44" t="s">
        <v>397</v>
      </c>
      <c r="J22" s="45" t="s">
        <v>398</v>
      </c>
      <c r="K22" s="46">
        <v>1</v>
      </c>
      <c r="L22" s="35"/>
      <c r="N22" s="57"/>
      <c r="O22" s="55" t="s">
        <v>398</v>
      </c>
      <c r="P22" s="38">
        <f>_11・初任</f>
        <v>0.7</v>
      </c>
      <c r="Q22" s="47">
        <f>ROUND((ROUND((ROUND((ROUND((_11_A通院１増１．０*_11・基礎１),0)*_11・２人),0)*(1+_11・A深夜)),0)*_11・初任),0)</f>
        <v>122</v>
      </c>
      <c r="R22" s="48"/>
    </row>
    <row r="23" spans="1:18" ht="16.5" customHeight="1" x14ac:dyDescent="0.15">
      <c r="A23" s="41">
        <v>11</v>
      </c>
      <c r="B23" s="41">
        <v>3975</v>
      </c>
      <c r="C23" s="74" t="s">
        <v>7049</v>
      </c>
      <c r="D23" s="707" t="s">
        <v>5079</v>
      </c>
      <c r="E23" s="717"/>
      <c r="F23" s="53"/>
      <c r="G23" s="49"/>
      <c r="H23" s="50"/>
      <c r="I23" s="44"/>
      <c r="J23" s="45"/>
      <c r="K23" s="46"/>
      <c r="L23" s="35"/>
      <c r="N23" s="57"/>
      <c r="O23" s="53"/>
      <c r="P23" s="49"/>
      <c r="Q23" s="47">
        <f>ROUND((_11_A通院１増１．５*(1+_11・A深夜)),0)</f>
        <v>374</v>
      </c>
      <c r="R23" s="48"/>
    </row>
    <row r="24" spans="1:18" ht="16.5" customHeight="1" x14ac:dyDescent="0.15">
      <c r="A24" s="41">
        <v>11</v>
      </c>
      <c r="B24" s="41">
        <v>3976</v>
      </c>
      <c r="C24" s="74" t="s">
        <v>7050</v>
      </c>
      <c r="D24" s="709"/>
      <c r="E24" s="718"/>
      <c r="F24" s="43"/>
      <c r="G24" s="37"/>
      <c r="H24" s="38"/>
      <c r="I24" s="44" t="s">
        <v>397</v>
      </c>
      <c r="J24" s="45" t="s">
        <v>398</v>
      </c>
      <c r="K24" s="46">
        <v>1</v>
      </c>
      <c r="L24" s="35"/>
      <c r="N24" s="57"/>
      <c r="O24" s="35"/>
      <c r="Q24" s="47">
        <f>ROUND((ROUND((_11_A通院１増１．５*_11・２人),0)*(1+_11・A深夜)),0)</f>
        <v>374</v>
      </c>
      <c r="R24" s="48"/>
    </row>
    <row r="25" spans="1:18" ht="16.5" customHeight="1" x14ac:dyDescent="0.15">
      <c r="A25" s="41">
        <v>11</v>
      </c>
      <c r="B25" s="41">
        <v>3977</v>
      </c>
      <c r="C25" s="74" t="s">
        <v>7051</v>
      </c>
      <c r="D25" s="709"/>
      <c r="E25" s="718"/>
      <c r="F25" s="752" t="s">
        <v>400</v>
      </c>
      <c r="G25" s="49" t="s">
        <v>398</v>
      </c>
      <c r="H25" s="50">
        <v>0.7</v>
      </c>
      <c r="I25" s="44"/>
      <c r="J25" s="45"/>
      <c r="K25" s="46"/>
      <c r="L25" s="35"/>
      <c r="N25" s="57"/>
      <c r="O25" s="35"/>
      <c r="Q25" s="47">
        <f>ROUND((ROUND((_11_A通院１増１．５*_11・基礎１),0)*(1+_11・A深夜)),0)</f>
        <v>261</v>
      </c>
      <c r="R25" s="48"/>
    </row>
    <row r="26" spans="1:18" ht="16.5" customHeight="1" x14ac:dyDescent="0.15">
      <c r="A26" s="41">
        <v>11</v>
      </c>
      <c r="B26" s="41">
        <v>3978</v>
      </c>
      <c r="C26" s="74" t="s">
        <v>7052</v>
      </c>
      <c r="D26" s="100">
        <f>_11_A通院１増１．５</f>
        <v>249</v>
      </c>
      <c r="E26" s="12" t="s">
        <v>392</v>
      </c>
      <c r="F26" s="757"/>
      <c r="G26" s="37"/>
      <c r="H26" s="38"/>
      <c r="I26" s="44" t="s">
        <v>397</v>
      </c>
      <c r="J26" s="45" t="s">
        <v>398</v>
      </c>
      <c r="K26" s="46">
        <v>1</v>
      </c>
      <c r="L26" s="35"/>
      <c r="N26" s="57"/>
      <c r="O26" s="43"/>
      <c r="P26" s="37"/>
      <c r="Q26" s="47">
        <f>ROUND((ROUND((ROUND((_11_A通院１増１．５*_11・基礎１),0)*_11・２人),0)*(1+_11・A深夜)),0)</f>
        <v>261</v>
      </c>
      <c r="R26" s="48"/>
    </row>
    <row r="27" spans="1:18" ht="16.5" customHeight="1" x14ac:dyDescent="0.15">
      <c r="A27" s="41">
        <v>11</v>
      </c>
      <c r="B27" s="41" t="s">
        <v>7053</v>
      </c>
      <c r="C27" s="74" t="s">
        <v>7054</v>
      </c>
      <c r="D27" s="121"/>
      <c r="E27" s="99"/>
      <c r="F27" s="53"/>
      <c r="G27" s="49"/>
      <c r="H27" s="50"/>
      <c r="I27" s="44"/>
      <c r="J27" s="45"/>
      <c r="K27" s="46"/>
      <c r="L27" s="35"/>
      <c r="N27" s="57"/>
      <c r="O27" s="707" t="s">
        <v>404</v>
      </c>
      <c r="P27" s="708"/>
      <c r="Q27" s="47">
        <f>ROUND((ROUND((_11_A通院１増１．５*(1+_11・A深夜)),0)*_11・初任),0)</f>
        <v>262</v>
      </c>
      <c r="R27" s="48"/>
    </row>
    <row r="28" spans="1:18" ht="16.5" customHeight="1" x14ac:dyDescent="0.15">
      <c r="A28" s="41">
        <v>11</v>
      </c>
      <c r="B28" s="41" t="s">
        <v>7055</v>
      </c>
      <c r="C28" s="74" t="s">
        <v>7056</v>
      </c>
      <c r="D28" s="121"/>
      <c r="E28" s="99"/>
      <c r="F28" s="43"/>
      <c r="G28" s="37"/>
      <c r="H28" s="38"/>
      <c r="I28" s="44" t="s">
        <v>397</v>
      </c>
      <c r="J28" s="45" t="s">
        <v>398</v>
      </c>
      <c r="K28" s="46">
        <v>1</v>
      </c>
      <c r="L28" s="35"/>
      <c r="N28" s="57"/>
      <c r="O28" s="709"/>
      <c r="P28" s="704"/>
      <c r="Q28" s="47">
        <f>ROUND((ROUND((ROUND((_11_A通院１増１．５*_11・２人),0)*(1+_11・A深夜)),0)*_11・初任),0)</f>
        <v>262</v>
      </c>
      <c r="R28" s="48"/>
    </row>
    <row r="29" spans="1:18" ht="16.5" customHeight="1" x14ac:dyDescent="0.15">
      <c r="A29" s="41">
        <v>11</v>
      </c>
      <c r="B29" s="41" t="s">
        <v>7057</v>
      </c>
      <c r="C29" s="74" t="s">
        <v>7058</v>
      </c>
      <c r="D29" s="72"/>
      <c r="E29" s="99"/>
      <c r="F29" s="752" t="s">
        <v>400</v>
      </c>
      <c r="G29" s="49" t="s">
        <v>398</v>
      </c>
      <c r="H29" s="50">
        <v>0.7</v>
      </c>
      <c r="I29" s="44"/>
      <c r="J29" s="45"/>
      <c r="K29" s="46"/>
      <c r="L29" s="35"/>
      <c r="N29" s="57"/>
      <c r="O29" s="709"/>
      <c r="P29" s="704"/>
      <c r="Q29" s="47">
        <f>ROUND((ROUND((ROUND((_11_A通院１増１．５*_11・基礎１),0)*(1+_11・A深夜)),0)*_11・初任),0)</f>
        <v>183</v>
      </c>
      <c r="R29" s="48"/>
    </row>
    <row r="30" spans="1:18" ht="16.5" customHeight="1" x14ac:dyDescent="0.15">
      <c r="A30" s="41">
        <v>11</v>
      </c>
      <c r="B30" s="41" t="s">
        <v>7059</v>
      </c>
      <c r="C30" s="74" t="s">
        <v>7060</v>
      </c>
      <c r="D30" s="72"/>
      <c r="E30" s="99"/>
      <c r="F30" s="757"/>
      <c r="G30" s="37"/>
      <c r="H30" s="38"/>
      <c r="I30" s="44" t="s">
        <v>397</v>
      </c>
      <c r="J30" s="45" t="s">
        <v>398</v>
      </c>
      <c r="K30" s="46">
        <v>1</v>
      </c>
      <c r="L30" s="35"/>
      <c r="N30" s="57"/>
      <c r="O30" s="55" t="s">
        <v>398</v>
      </c>
      <c r="P30" s="38">
        <f>_11・初任</f>
        <v>0.7</v>
      </c>
      <c r="Q30" s="47">
        <f>ROUND((ROUND((ROUND((ROUND((_11_A通院１増１．５*_11・基礎１),0)*_11・２人),0)*(1+_11・A深夜)),0)*_11・初任),0)</f>
        <v>183</v>
      </c>
      <c r="R30" s="48"/>
    </row>
    <row r="31" spans="1:18" ht="16.5" customHeight="1" x14ac:dyDescent="0.15">
      <c r="A31" s="41">
        <v>11</v>
      </c>
      <c r="B31" s="41">
        <v>3979</v>
      </c>
      <c r="C31" s="74" t="s">
        <v>7061</v>
      </c>
      <c r="D31" s="707" t="s">
        <v>902</v>
      </c>
      <c r="E31" s="717"/>
      <c r="F31" s="53"/>
      <c r="G31" s="49"/>
      <c r="H31" s="50"/>
      <c r="I31" s="44"/>
      <c r="J31" s="45"/>
      <c r="K31" s="46"/>
      <c r="L31" s="35"/>
      <c r="N31" s="57"/>
      <c r="O31" s="53"/>
      <c r="P31" s="49"/>
      <c r="Q31" s="47">
        <f>ROUND((_11_A通院１増２．０*(1+_11・A深夜)),0)</f>
        <v>498</v>
      </c>
      <c r="R31" s="48"/>
    </row>
    <row r="32" spans="1:18" ht="16.5" customHeight="1" x14ac:dyDescent="0.15">
      <c r="A32" s="41">
        <v>11</v>
      </c>
      <c r="B32" s="41">
        <v>3980</v>
      </c>
      <c r="C32" s="74" t="s">
        <v>7062</v>
      </c>
      <c r="D32" s="709"/>
      <c r="E32" s="718"/>
      <c r="F32" s="43"/>
      <c r="G32" s="37"/>
      <c r="H32" s="38"/>
      <c r="I32" s="44" t="s">
        <v>397</v>
      </c>
      <c r="J32" s="45" t="s">
        <v>398</v>
      </c>
      <c r="K32" s="46">
        <v>1</v>
      </c>
      <c r="L32" s="35"/>
      <c r="N32" s="57"/>
      <c r="O32" s="35"/>
      <c r="Q32" s="47">
        <f>ROUND((ROUND((_11_A通院１増２．０*_11・２人),0)*(1+_11・A深夜)),0)</f>
        <v>498</v>
      </c>
      <c r="R32" s="48"/>
    </row>
    <row r="33" spans="1:18" ht="16.5" customHeight="1" x14ac:dyDescent="0.15">
      <c r="A33" s="41">
        <v>11</v>
      </c>
      <c r="B33" s="41">
        <v>3981</v>
      </c>
      <c r="C33" s="74" t="s">
        <v>7063</v>
      </c>
      <c r="D33" s="709"/>
      <c r="E33" s="718"/>
      <c r="F33" s="752" t="s">
        <v>400</v>
      </c>
      <c r="G33" s="49" t="s">
        <v>398</v>
      </c>
      <c r="H33" s="50">
        <v>0.7</v>
      </c>
      <c r="I33" s="44"/>
      <c r="J33" s="45"/>
      <c r="K33" s="46"/>
      <c r="L33" s="35"/>
      <c r="N33" s="57"/>
      <c r="O33" s="35"/>
      <c r="Q33" s="47">
        <f>ROUND((ROUND((_11_A通院１増２．０*_11・基礎１),0)*(1+_11・A深夜)),0)</f>
        <v>348</v>
      </c>
      <c r="R33" s="48"/>
    </row>
    <row r="34" spans="1:18" ht="16.5" customHeight="1" x14ac:dyDescent="0.15">
      <c r="A34" s="41">
        <v>11</v>
      </c>
      <c r="B34" s="41">
        <v>3982</v>
      </c>
      <c r="C34" s="74" t="s">
        <v>7064</v>
      </c>
      <c r="D34" s="100">
        <f>_11_A通院１増２．０</f>
        <v>332</v>
      </c>
      <c r="E34" s="12" t="s">
        <v>392</v>
      </c>
      <c r="F34" s="757"/>
      <c r="G34" s="37"/>
      <c r="H34" s="38"/>
      <c r="I34" s="44" t="s">
        <v>397</v>
      </c>
      <c r="J34" s="45" t="s">
        <v>398</v>
      </c>
      <c r="K34" s="46">
        <v>1</v>
      </c>
      <c r="L34" s="35"/>
      <c r="N34" s="57"/>
      <c r="O34" s="43"/>
      <c r="P34" s="37"/>
      <c r="Q34" s="47">
        <f>ROUND((ROUND((ROUND((_11_A通院１増２．０*_11・基礎１),0)*_11・２人),0)*(1+_11・A深夜)),0)</f>
        <v>348</v>
      </c>
      <c r="R34" s="48"/>
    </row>
    <row r="35" spans="1:18" ht="16.5" customHeight="1" x14ac:dyDescent="0.15">
      <c r="A35" s="41">
        <v>11</v>
      </c>
      <c r="B35" s="41" t="s">
        <v>7065</v>
      </c>
      <c r="C35" s="74" t="s">
        <v>7066</v>
      </c>
      <c r="D35" s="121"/>
      <c r="E35" s="99"/>
      <c r="F35" s="53"/>
      <c r="G35" s="49"/>
      <c r="H35" s="50"/>
      <c r="I35" s="44"/>
      <c r="J35" s="45"/>
      <c r="K35" s="46"/>
      <c r="L35" s="35"/>
      <c r="N35" s="57"/>
      <c r="O35" s="707" t="s">
        <v>404</v>
      </c>
      <c r="P35" s="708"/>
      <c r="Q35" s="47">
        <f>ROUND((ROUND((_11_A通院１増２．０*(1+_11・A深夜)),0)*_11・初任),0)</f>
        <v>349</v>
      </c>
      <c r="R35" s="48"/>
    </row>
    <row r="36" spans="1:18" ht="16.5" customHeight="1" x14ac:dyDescent="0.15">
      <c r="A36" s="41">
        <v>11</v>
      </c>
      <c r="B36" s="41" t="s">
        <v>7067</v>
      </c>
      <c r="C36" s="74" t="s">
        <v>7068</v>
      </c>
      <c r="D36" s="121"/>
      <c r="E36" s="99"/>
      <c r="F36" s="43"/>
      <c r="G36" s="37"/>
      <c r="H36" s="38"/>
      <c r="I36" s="44" t="s">
        <v>397</v>
      </c>
      <c r="J36" s="45" t="s">
        <v>398</v>
      </c>
      <c r="K36" s="46">
        <v>1</v>
      </c>
      <c r="L36" s="35"/>
      <c r="N36" s="57"/>
      <c r="O36" s="709"/>
      <c r="P36" s="704"/>
      <c r="Q36" s="47">
        <f>ROUND((ROUND((ROUND((_11_A通院１増２．０*_11・２人),0)*(1+_11・A深夜)),0)*_11・初任),0)</f>
        <v>349</v>
      </c>
      <c r="R36" s="48"/>
    </row>
    <row r="37" spans="1:18" ht="16.5" customHeight="1" x14ac:dyDescent="0.15">
      <c r="A37" s="41">
        <v>11</v>
      </c>
      <c r="B37" s="41" t="s">
        <v>7069</v>
      </c>
      <c r="C37" s="74" t="s">
        <v>7070</v>
      </c>
      <c r="D37" s="72"/>
      <c r="E37" s="99"/>
      <c r="F37" s="752" t="s">
        <v>400</v>
      </c>
      <c r="G37" s="49" t="s">
        <v>398</v>
      </c>
      <c r="H37" s="50">
        <v>0.7</v>
      </c>
      <c r="I37" s="44"/>
      <c r="J37" s="45"/>
      <c r="K37" s="46"/>
      <c r="L37" s="35"/>
      <c r="N37" s="57"/>
      <c r="O37" s="709"/>
      <c r="P37" s="704"/>
      <c r="Q37" s="47">
        <f>ROUND((ROUND((ROUND((_11_A通院１増２．０*_11・基礎１),0)*(1+_11・A深夜)),0)*_11・初任),0)</f>
        <v>244</v>
      </c>
      <c r="R37" s="48"/>
    </row>
    <row r="38" spans="1:18" ht="16.5" customHeight="1" x14ac:dyDescent="0.15">
      <c r="A38" s="41">
        <v>11</v>
      </c>
      <c r="B38" s="41" t="s">
        <v>7071</v>
      </c>
      <c r="C38" s="74" t="s">
        <v>7072</v>
      </c>
      <c r="D38" s="72"/>
      <c r="E38" s="99"/>
      <c r="F38" s="757"/>
      <c r="G38" s="37"/>
      <c r="H38" s="38"/>
      <c r="I38" s="44" t="s">
        <v>397</v>
      </c>
      <c r="J38" s="45" t="s">
        <v>398</v>
      </c>
      <c r="K38" s="46">
        <v>1</v>
      </c>
      <c r="L38" s="35"/>
      <c r="N38" s="57"/>
      <c r="O38" s="55" t="s">
        <v>398</v>
      </c>
      <c r="P38" s="38">
        <f>_11・初任</f>
        <v>0.7</v>
      </c>
      <c r="Q38" s="47">
        <f>ROUND((ROUND((ROUND((ROUND((_11_A通院１増２．０*_11・基礎１),0)*_11・２人),0)*(1+_11・A深夜)),0)*_11・初任),0)</f>
        <v>244</v>
      </c>
      <c r="R38" s="48"/>
    </row>
    <row r="39" spans="1:18" ht="16.5" customHeight="1" x14ac:dyDescent="0.15">
      <c r="A39" s="41">
        <v>11</v>
      </c>
      <c r="B39" s="41">
        <v>3983</v>
      </c>
      <c r="C39" s="74" t="s">
        <v>7073</v>
      </c>
      <c r="D39" s="707" t="s">
        <v>5140</v>
      </c>
      <c r="E39" s="717"/>
      <c r="F39" s="53"/>
      <c r="G39" s="49"/>
      <c r="H39" s="50"/>
      <c r="I39" s="44"/>
      <c r="J39" s="45"/>
      <c r="K39" s="46"/>
      <c r="L39" s="35"/>
      <c r="N39" s="57"/>
      <c r="O39" s="53"/>
      <c r="P39" s="49"/>
      <c r="Q39" s="47">
        <f>ROUND((_11_A通院１増２．５*(1+_11・A深夜)),0)</f>
        <v>623</v>
      </c>
      <c r="R39" s="48"/>
    </row>
    <row r="40" spans="1:18" ht="16.5" customHeight="1" x14ac:dyDescent="0.15">
      <c r="A40" s="41">
        <v>11</v>
      </c>
      <c r="B40" s="41">
        <v>3984</v>
      </c>
      <c r="C40" s="74" t="s">
        <v>7074</v>
      </c>
      <c r="D40" s="709"/>
      <c r="E40" s="718"/>
      <c r="F40" s="43"/>
      <c r="G40" s="37"/>
      <c r="H40" s="38"/>
      <c r="I40" s="44" t="s">
        <v>397</v>
      </c>
      <c r="J40" s="45" t="s">
        <v>398</v>
      </c>
      <c r="K40" s="46">
        <v>1</v>
      </c>
      <c r="L40" s="35"/>
      <c r="N40" s="57"/>
      <c r="O40" s="35"/>
      <c r="Q40" s="47">
        <f>ROUND((ROUND((_11_A通院１増２．５*_11・２人),0)*(1+_11・A深夜)),0)</f>
        <v>623</v>
      </c>
      <c r="R40" s="48"/>
    </row>
    <row r="41" spans="1:18" ht="16.5" customHeight="1" x14ac:dyDescent="0.15">
      <c r="A41" s="41">
        <v>11</v>
      </c>
      <c r="B41" s="41">
        <v>3985</v>
      </c>
      <c r="C41" s="74" t="s">
        <v>7075</v>
      </c>
      <c r="D41" s="709"/>
      <c r="E41" s="718"/>
      <c r="F41" s="752" t="s">
        <v>400</v>
      </c>
      <c r="G41" s="49" t="s">
        <v>398</v>
      </c>
      <c r="H41" s="50">
        <v>0.7</v>
      </c>
      <c r="I41" s="44"/>
      <c r="J41" s="45"/>
      <c r="K41" s="46"/>
      <c r="L41" s="35"/>
      <c r="N41" s="57"/>
      <c r="O41" s="35"/>
      <c r="Q41" s="47">
        <f>ROUND((ROUND((_11_A通院１増２．５*_11・基礎１),0)*(1+_11・A深夜)),0)</f>
        <v>437</v>
      </c>
      <c r="R41" s="48"/>
    </row>
    <row r="42" spans="1:18" ht="16.5" customHeight="1" x14ac:dyDescent="0.15">
      <c r="A42" s="41">
        <v>11</v>
      </c>
      <c r="B42" s="41">
        <v>3986</v>
      </c>
      <c r="C42" s="74" t="s">
        <v>7076</v>
      </c>
      <c r="D42" s="100">
        <f>_11_A通院１増２．５</f>
        <v>415</v>
      </c>
      <c r="E42" s="12" t="s">
        <v>392</v>
      </c>
      <c r="F42" s="757"/>
      <c r="G42" s="37"/>
      <c r="H42" s="38"/>
      <c r="I42" s="44" t="s">
        <v>397</v>
      </c>
      <c r="J42" s="45" t="s">
        <v>398</v>
      </c>
      <c r="K42" s="46">
        <v>1</v>
      </c>
      <c r="L42" s="35"/>
      <c r="N42" s="57"/>
      <c r="O42" s="43"/>
      <c r="P42" s="37"/>
      <c r="Q42" s="47">
        <f>ROUND((ROUND((ROUND((_11_A通院１増２．５*_11・基礎１),0)*_11・２人),0)*(1+_11・A深夜)),0)</f>
        <v>437</v>
      </c>
      <c r="R42" s="48"/>
    </row>
    <row r="43" spans="1:18" ht="16.5" customHeight="1" x14ac:dyDescent="0.15">
      <c r="A43" s="41">
        <v>11</v>
      </c>
      <c r="B43" s="41" t="s">
        <v>7077</v>
      </c>
      <c r="C43" s="74" t="s">
        <v>7078</v>
      </c>
      <c r="D43" s="121"/>
      <c r="E43" s="99"/>
      <c r="F43" s="53"/>
      <c r="G43" s="49"/>
      <c r="H43" s="50"/>
      <c r="I43" s="44"/>
      <c r="J43" s="45"/>
      <c r="K43" s="46"/>
      <c r="L43" s="35"/>
      <c r="N43" s="57"/>
      <c r="O43" s="707" t="s">
        <v>404</v>
      </c>
      <c r="P43" s="708"/>
      <c r="Q43" s="47">
        <f>ROUND((ROUND((_11_A通院１増２．５*(1+_11・A深夜)),0)*_11・初任),0)</f>
        <v>436</v>
      </c>
      <c r="R43" s="48"/>
    </row>
    <row r="44" spans="1:18" ht="16.5" customHeight="1" x14ac:dyDescent="0.15">
      <c r="A44" s="41">
        <v>11</v>
      </c>
      <c r="B44" s="41" t="s">
        <v>7079</v>
      </c>
      <c r="C44" s="74" t="s">
        <v>7080</v>
      </c>
      <c r="D44" s="121"/>
      <c r="E44" s="99"/>
      <c r="F44" s="43"/>
      <c r="G44" s="37"/>
      <c r="H44" s="38"/>
      <c r="I44" s="44" t="s">
        <v>397</v>
      </c>
      <c r="J44" s="45" t="s">
        <v>398</v>
      </c>
      <c r="K44" s="46">
        <v>1</v>
      </c>
      <c r="L44" s="35"/>
      <c r="N44" s="57"/>
      <c r="O44" s="709"/>
      <c r="P44" s="704"/>
      <c r="Q44" s="47">
        <f>ROUND((ROUND((ROUND((_11_A通院１増２．５*_11・２人),0)*(1+_11・A深夜)),0)*_11・初任),0)</f>
        <v>436</v>
      </c>
      <c r="R44" s="48"/>
    </row>
    <row r="45" spans="1:18" ht="16.5" customHeight="1" x14ac:dyDescent="0.15">
      <c r="A45" s="41">
        <v>11</v>
      </c>
      <c r="B45" s="41" t="s">
        <v>7081</v>
      </c>
      <c r="C45" s="74" t="s">
        <v>7082</v>
      </c>
      <c r="D45" s="72"/>
      <c r="E45" s="99"/>
      <c r="F45" s="752" t="s">
        <v>400</v>
      </c>
      <c r="G45" s="49" t="s">
        <v>398</v>
      </c>
      <c r="H45" s="50">
        <v>0.7</v>
      </c>
      <c r="I45" s="44"/>
      <c r="J45" s="45"/>
      <c r="K45" s="46"/>
      <c r="L45" s="35"/>
      <c r="N45" s="57"/>
      <c r="O45" s="709"/>
      <c r="P45" s="704"/>
      <c r="Q45" s="47">
        <f>ROUND((ROUND((ROUND((_11_A通院１増２．５*_11・基礎１),0)*(1+_11・A深夜)),0)*_11・初任),0)</f>
        <v>306</v>
      </c>
      <c r="R45" s="48"/>
    </row>
    <row r="46" spans="1:18" ht="16.5" customHeight="1" x14ac:dyDescent="0.15">
      <c r="A46" s="41">
        <v>11</v>
      </c>
      <c r="B46" s="41" t="s">
        <v>7083</v>
      </c>
      <c r="C46" s="74" t="s">
        <v>7084</v>
      </c>
      <c r="D46" s="72"/>
      <c r="E46" s="99"/>
      <c r="F46" s="757"/>
      <c r="G46" s="37"/>
      <c r="H46" s="38"/>
      <c r="I46" s="44" t="s">
        <v>397</v>
      </c>
      <c r="J46" s="45" t="s">
        <v>398</v>
      </c>
      <c r="K46" s="46">
        <v>1</v>
      </c>
      <c r="L46" s="35"/>
      <c r="N46" s="57"/>
      <c r="O46" s="55" t="s">
        <v>398</v>
      </c>
      <c r="P46" s="38">
        <f>_11・初任</f>
        <v>0.7</v>
      </c>
      <c r="Q46" s="47">
        <f>ROUND((ROUND((ROUND((ROUND((_11_A通院１増２．５*_11・基礎１),0)*_11・２人),0)*(1+_11・A深夜)),0)*_11・初任),0)</f>
        <v>306</v>
      </c>
      <c r="R46" s="48"/>
    </row>
    <row r="47" spans="1:18" ht="16.5" customHeight="1" x14ac:dyDescent="0.15">
      <c r="A47" s="41">
        <v>11</v>
      </c>
      <c r="B47" s="41">
        <v>3987</v>
      </c>
      <c r="C47" s="74" t="s">
        <v>7085</v>
      </c>
      <c r="D47" s="707" t="s">
        <v>7086</v>
      </c>
      <c r="E47" s="717"/>
      <c r="F47" s="53"/>
      <c r="G47" s="49"/>
      <c r="H47" s="50"/>
      <c r="I47" s="44"/>
      <c r="J47" s="45"/>
      <c r="K47" s="46"/>
      <c r="L47" s="35"/>
      <c r="N47" s="57"/>
      <c r="O47" s="53"/>
      <c r="P47" s="49"/>
      <c r="Q47" s="47">
        <f>ROUND((_11_A通院１増３．０*(1+_11・A深夜)),0)</f>
        <v>747</v>
      </c>
      <c r="R47" s="48"/>
    </row>
    <row r="48" spans="1:18" ht="16.5" customHeight="1" x14ac:dyDescent="0.15">
      <c r="A48" s="41">
        <v>11</v>
      </c>
      <c r="B48" s="41">
        <v>3988</v>
      </c>
      <c r="C48" s="74" t="s">
        <v>7087</v>
      </c>
      <c r="D48" s="709"/>
      <c r="E48" s="718"/>
      <c r="F48" s="43"/>
      <c r="G48" s="37"/>
      <c r="H48" s="38"/>
      <c r="I48" s="44" t="s">
        <v>397</v>
      </c>
      <c r="J48" s="45" t="s">
        <v>398</v>
      </c>
      <c r="K48" s="46">
        <v>1</v>
      </c>
      <c r="L48" s="35"/>
      <c r="N48" s="57"/>
      <c r="O48" s="35"/>
      <c r="Q48" s="47">
        <f>ROUND((ROUND((_11_A通院１増３．０*_11・２人),0)*(1+_11・A深夜)),0)</f>
        <v>747</v>
      </c>
      <c r="R48" s="48"/>
    </row>
    <row r="49" spans="1:18" ht="16.5" customHeight="1" x14ac:dyDescent="0.15">
      <c r="A49" s="41">
        <v>11</v>
      </c>
      <c r="B49" s="41">
        <v>3989</v>
      </c>
      <c r="C49" s="74" t="s">
        <v>7088</v>
      </c>
      <c r="D49" s="709"/>
      <c r="E49" s="718"/>
      <c r="F49" s="752" t="s">
        <v>400</v>
      </c>
      <c r="G49" s="49" t="s">
        <v>398</v>
      </c>
      <c r="H49" s="50">
        <v>0.7</v>
      </c>
      <c r="I49" s="44"/>
      <c r="J49" s="45"/>
      <c r="K49" s="46"/>
      <c r="L49" s="35"/>
      <c r="N49" s="57"/>
      <c r="O49" s="35"/>
      <c r="Q49" s="47">
        <f>ROUND((ROUND((_11_A通院１増３．０*_11・基礎１),0)*(1+_11・A深夜)),0)</f>
        <v>524</v>
      </c>
      <c r="R49" s="48"/>
    </row>
    <row r="50" spans="1:18" ht="16.5" customHeight="1" x14ac:dyDescent="0.15">
      <c r="A50" s="41">
        <v>11</v>
      </c>
      <c r="B50" s="41">
        <v>3990</v>
      </c>
      <c r="C50" s="74" t="s">
        <v>7089</v>
      </c>
      <c r="D50" s="100">
        <f>_11_A通院１増３．０</f>
        <v>498</v>
      </c>
      <c r="E50" s="12" t="s">
        <v>392</v>
      </c>
      <c r="F50" s="757"/>
      <c r="G50" s="37"/>
      <c r="H50" s="38"/>
      <c r="I50" s="44" t="s">
        <v>397</v>
      </c>
      <c r="J50" s="45" t="s">
        <v>398</v>
      </c>
      <c r="K50" s="46">
        <v>1</v>
      </c>
      <c r="L50" s="35"/>
      <c r="N50" s="57"/>
      <c r="O50" s="43"/>
      <c r="P50" s="37"/>
      <c r="Q50" s="47">
        <f>ROUND((ROUND((ROUND((_11_A通院１増３．０*_11・基礎１),0)*_11・２人),0)*(1+_11・A深夜)),0)</f>
        <v>524</v>
      </c>
      <c r="R50" s="48"/>
    </row>
    <row r="51" spans="1:18" ht="16.5" customHeight="1" x14ac:dyDescent="0.15">
      <c r="A51" s="41">
        <v>11</v>
      </c>
      <c r="B51" s="41" t="s">
        <v>7090</v>
      </c>
      <c r="C51" s="74" t="s">
        <v>7091</v>
      </c>
      <c r="D51" s="121"/>
      <c r="E51" s="99"/>
      <c r="F51" s="53"/>
      <c r="G51" s="49"/>
      <c r="H51" s="50"/>
      <c r="I51" s="44"/>
      <c r="J51" s="45"/>
      <c r="K51" s="46"/>
      <c r="L51" s="35"/>
      <c r="N51" s="57"/>
      <c r="O51" s="707" t="s">
        <v>404</v>
      </c>
      <c r="P51" s="708"/>
      <c r="Q51" s="47">
        <f>ROUND((ROUND((_11_A通院１増３．０*(1+_11・A深夜)),0)*_11・初任),0)</f>
        <v>523</v>
      </c>
      <c r="R51" s="48"/>
    </row>
    <row r="52" spans="1:18" ht="16.5" customHeight="1" x14ac:dyDescent="0.15">
      <c r="A52" s="41">
        <v>11</v>
      </c>
      <c r="B52" s="41" t="s">
        <v>7092</v>
      </c>
      <c r="C52" s="74" t="s">
        <v>7093</v>
      </c>
      <c r="D52" s="121"/>
      <c r="E52" s="99"/>
      <c r="F52" s="43"/>
      <c r="G52" s="37"/>
      <c r="H52" s="38"/>
      <c r="I52" s="44" t="s">
        <v>397</v>
      </c>
      <c r="J52" s="45" t="s">
        <v>398</v>
      </c>
      <c r="K52" s="46">
        <v>1</v>
      </c>
      <c r="L52" s="35"/>
      <c r="N52" s="57"/>
      <c r="O52" s="709"/>
      <c r="P52" s="704"/>
      <c r="Q52" s="47">
        <f>ROUND((ROUND((ROUND((_11_A通院１増３．０*_11・２人),0)*(1+_11・A深夜)),0)*_11・初任),0)</f>
        <v>523</v>
      </c>
      <c r="R52" s="48"/>
    </row>
    <row r="53" spans="1:18" ht="16.5" customHeight="1" x14ac:dyDescent="0.15">
      <c r="A53" s="41">
        <v>11</v>
      </c>
      <c r="B53" s="41" t="s">
        <v>7094</v>
      </c>
      <c r="C53" s="74" t="s">
        <v>7095</v>
      </c>
      <c r="D53" s="72"/>
      <c r="E53" s="99"/>
      <c r="F53" s="752" t="s">
        <v>400</v>
      </c>
      <c r="G53" s="49" t="s">
        <v>398</v>
      </c>
      <c r="H53" s="50">
        <v>0.7</v>
      </c>
      <c r="I53" s="44"/>
      <c r="J53" s="45"/>
      <c r="K53" s="46"/>
      <c r="L53" s="35"/>
      <c r="N53" s="57"/>
      <c r="O53" s="709"/>
      <c r="P53" s="704"/>
      <c r="Q53" s="47">
        <f>ROUND((ROUND((ROUND((_11_A通院１増３．０*_11・基礎１),0)*(1+_11・A深夜)),0)*_11・初任),0)</f>
        <v>367</v>
      </c>
      <c r="R53" s="48"/>
    </row>
    <row r="54" spans="1:18" ht="16.5" customHeight="1" x14ac:dyDescent="0.15">
      <c r="A54" s="41">
        <v>11</v>
      </c>
      <c r="B54" s="41" t="s">
        <v>7096</v>
      </c>
      <c r="C54" s="74" t="s">
        <v>7097</v>
      </c>
      <c r="D54" s="72"/>
      <c r="E54" s="99"/>
      <c r="F54" s="757"/>
      <c r="G54" s="37"/>
      <c r="H54" s="38"/>
      <c r="I54" s="44" t="s">
        <v>397</v>
      </c>
      <c r="J54" s="45" t="s">
        <v>398</v>
      </c>
      <c r="K54" s="46">
        <v>1</v>
      </c>
      <c r="L54" s="35"/>
      <c r="N54" s="57"/>
      <c r="O54" s="55" t="s">
        <v>398</v>
      </c>
      <c r="P54" s="38">
        <f>_11・初任</f>
        <v>0.7</v>
      </c>
      <c r="Q54" s="47">
        <f>ROUND((ROUND((ROUND((ROUND((_11_A通院１増３．０*_11・基礎１),0)*_11・２人),0)*(1+_11・A深夜)),0)*_11・初任),0)</f>
        <v>367</v>
      </c>
      <c r="R54" s="48"/>
    </row>
    <row r="55" spans="1:18" ht="16.5" customHeight="1" x14ac:dyDescent="0.15">
      <c r="A55" s="41">
        <v>11</v>
      </c>
      <c r="B55" s="41">
        <v>3991</v>
      </c>
      <c r="C55" s="74" t="s">
        <v>7098</v>
      </c>
      <c r="D55" s="707" t="s">
        <v>7099</v>
      </c>
      <c r="E55" s="717"/>
      <c r="F55" s="53"/>
      <c r="G55" s="49"/>
      <c r="H55" s="50"/>
      <c r="I55" s="44"/>
      <c r="J55" s="45"/>
      <c r="K55" s="46"/>
      <c r="L55" s="35"/>
      <c r="N55" s="57"/>
      <c r="O55" s="53"/>
      <c r="P55" s="49"/>
      <c r="Q55" s="47">
        <f>ROUND((_11_A通院１増３．５*(1+_11・A深夜)),0)</f>
        <v>872</v>
      </c>
      <c r="R55" s="48"/>
    </row>
    <row r="56" spans="1:18" ht="16.5" customHeight="1" x14ac:dyDescent="0.15">
      <c r="A56" s="41">
        <v>11</v>
      </c>
      <c r="B56" s="41">
        <v>3992</v>
      </c>
      <c r="C56" s="74" t="s">
        <v>7100</v>
      </c>
      <c r="D56" s="709"/>
      <c r="E56" s="718"/>
      <c r="F56" s="43"/>
      <c r="G56" s="37"/>
      <c r="H56" s="38"/>
      <c r="I56" s="44" t="s">
        <v>397</v>
      </c>
      <c r="J56" s="45" t="s">
        <v>398</v>
      </c>
      <c r="K56" s="46">
        <v>1</v>
      </c>
      <c r="L56" s="35"/>
      <c r="N56" s="57"/>
      <c r="O56" s="35"/>
      <c r="Q56" s="47">
        <f>ROUND((ROUND((_11_A通院１増３．５*_11・２人),0)*(1+_11・A深夜)),0)</f>
        <v>872</v>
      </c>
      <c r="R56" s="48"/>
    </row>
    <row r="57" spans="1:18" ht="16.5" customHeight="1" x14ac:dyDescent="0.15">
      <c r="A57" s="41">
        <v>11</v>
      </c>
      <c r="B57" s="41">
        <v>3993</v>
      </c>
      <c r="C57" s="74" t="s">
        <v>7101</v>
      </c>
      <c r="D57" s="709"/>
      <c r="E57" s="718"/>
      <c r="F57" s="752" t="s">
        <v>400</v>
      </c>
      <c r="G57" s="49" t="s">
        <v>398</v>
      </c>
      <c r="H57" s="50">
        <v>0.7</v>
      </c>
      <c r="I57" s="44"/>
      <c r="J57" s="45"/>
      <c r="K57" s="46"/>
      <c r="L57" s="35"/>
      <c r="N57" s="57"/>
      <c r="O57" s="35"/>
      <c r="Q57" s="47">
        <f>ROUND((ROUND((_11_A通院１増３．５*_11・基礎１),0)*(1+_11・A深夜)),0)</f>
        <v>611</v>
      </c>
      <c r="R57" s="48"/>
    </row>
    <row r="58" spans="1:18" ht="16.5" customHeight="1" x14ac:dyDescent="0.15">
      <c r="A58" s="41">
        <v>11</v>
      </c>
      <c r="B58" s="41">
        <v>3994</v>
      </c>
      <c r="C58" s="74" t="s">
        <v>7102</v>
      </c>
      <c r="D58" s="100">
        <f>_11_A通院１増３．５</f>
        <v>581</v>
      </c>
      <c r="E58" s="12" t="s">
        <v>392</v>
      </c>
      <c r="F58" s="757"/>
      <c r="G58" s="37"/>
      <c r="H58" s="38"/>
      <c r="I58" s="44" t="s">
        <v>397</v>
      </c>
      <c r="J58" s="45" t="s">
        <v>398</v>
      </c>
      <c r="K58" s="46">
        <v>1</v>
      </c>
      <c r="L58" s="35"/>
      <c r="N58" s="57"/>
      <c r="O58" s="43"/>
      <c r="P58" s="37"/>
      <c r="Q58" s="47">
        <f>ROUND((ROUND((ROUND((_11_A通院１増３．５*_11・基礎１),0)*_11・２人),0)*(1+_11・A深夜)),0)</f>
        <v>611</v>
      </c>
      <c r="R58" s="48"/>
    </row>
    <row r="59" spans="1:18" ht="16.5" customHeight="1" x14ac:dyDescent="0.15">
      <c r="A59" s="41">
        <v>11</v>
      </c>
      <c r="B59" s="41" t="s">
        <v>7103</v>
      </c>
      <c r="C59" s="74" t="s">
        <v>7104</v>
      </c>
      <c r="D59" s="121"/>
      <c r="E59" s="99"/>
      <c r="F59" s="53"/>
      <c r="G59" s="49"/>
      <c r="H59" s="50"/>
      <c r="I59" s="44"/>
      <c r="J59" s="45"/>
      <c r="K59" s="46"/>
      <c r="L59" s="35"/>
      <c r="N59" s="57"/>
      <c r="O59" s="707" t="s">
        <v>404</v>
      </c>
      <c r="P59" s="708"/>
      <c r="Q59" s="47">
        <f>ROUND((ROUND((_11_A通院１増３．５*(1+_11・A深夜)),0)*_11・初任),0)</f>
        <v>610</v>
      </c>
      <c r="R59" s="48"/>
    </row>
    <row r="60" spans="1:18" ht="16.5" customHeight="1" x14ac:dyDescent="0.15">
      <c r="A60" s="41">
        <v>11</v>
      </c>
      <c r="B60" s="41" t="s">
        <v>7105</v>
      </c>
      <c r="C60" s="74" t="s">
        <v>7106</v>
      </c>
      <c r="D60" s="121"/>
      <c r="E60" s="99"/>
      <c r="F60" s="43"/>
      <c r="G60" s="37"/>
      <c r="H60" s="38"/>
      <c r="I60" s="44" t="s">
        <v>397</v>
      </c>
      <c r="J60" s="45" t="s">
        <v>398</v>
      </c>
      <c r="K60" s="46">
        <v>1</v>
      </c>
      <c r="L60" s="35"/>
      <c r="N60" s="57"/>
      <c r="O60" s="709"/>
      <c r="P60" s="704"/>
      <c r="Q60" s="47">
        <f>ROUND((ROUND((ROUND((_11_A通院１増３．５*_11・２人),0)*(1+_11・A深夜)),0)*_11・初任),0)</f>
        <v>610</v>
      </c>
      <c r="R60" s="48"/>
    </row>
    <row r="61" spans="1:18" ht="16.5" customHeight="1" x14ac:dyDescent="0.15">
      <c r="A61" s="41">
        <v>11</v>
      </c>
      <c r="B61" s="41" t="s">
        <v>7107</v>
      </c>
      <c r="C61" s="74" t="s">
        <v>7108</v>
      </c>
      <c r="D61" s="72"/>
      <c r="E61" s="99"/>
      <c r="F61" s="752" t="s">
        <v>400</v>
      </c>
      <c r="G61" s="49" t="s">
        <v>398</v>
      </c>
      <c r="H61" s="50">
        <v>0.7</v>
      </c>
      <c r="I61" s="44"/>
      <c r="J61" s="45"/>
      <c r="K61" s="46"/>
      <c r="L61" s="35"/>
      <c r="N61" s="57"/>
      <c r="O61" s="709"/>
      <c r="P61" s="704"/>
      <c r="Q61" s="47">
        <f>ROUND((ROUND((ROUND((_11_A通院１増３．５*_11・基礎１),0)*(1+_11・A深夜)),0)*_11・初任),0)</f>
        <v>428</v>
      </c>
      <c r="R61" s="48"/>
    </row>
    <row r="62" spans="1:18" ht="16.5" customHeight="1" x14ac:dyDescent="0.15">
      <c r="A62" s="41">
        <v>11</v>
      </c>
      <c r="B62" s="41" t="s">
        <v>7109</v>
      </c>
      <c r="C62" s="74" t="s">
        <v>7110</v>
      </c>
      <c r="D62" s="72"/>
      <c r="E62" s="99"/>
      <c r="F62" s="757"/>
      <c r="G62" s="37"/>
      <c r="H62" s="38"/>
      <c r="I62" s="44" t="s">
        <v>397</v>
      </c>
      <c r="J62" s="45" t="s">
        <v>398</v>
      </c>
      <c r="K62" s="46">
        <v>1</v>
      </c>
      <c r="L62" s="35"/>
      <c r="N62" s="57"/>
      <c r="O62" s="55" t="s">
        <v>398</v>
      </c>
      <c r="P62" s="38">
        <f>_11・初任</f>
        <v>0.7</v>
      </c>
      <c r="Q62" s="47">
        <f>ROUND((ROUND((ROUND((ROUND((_11_A通院１増３．５*_11・基礎１),0)*_11・２人),0)*(1+_11・A深夜)),0)*_11・初任),0)</f>
        <v>428</v>
      </c>
      <c r="R62" s="48"/>
    </row>
    <row r="63" spans="1:18" ht="16.5" customHeight="1" x14ac:dyDescent="0.15">
      <c r="A63" s="41">
        <v>11</v>
      </c>
      <c r="B63" s="41">
        <v>3995</v>
      </c>
      <c r="C63" s="74" t="s">
        <v>7111</v>
      </c>
      <c r="D63" s="707" t="s">
        <v>7112</v>
      </c>
      <c r="E63" s="717"/>
      <c r="F63" s="53"/>
      <c r="G63" s="49"/>
      <c r="H63" s="50"/>
      <c r="I63" s="44"/>
      <c r="J63" s="45"/>
      <c r="K63" s="46"/>
      <c r="L63" s="35"/>
      <c r="N63" s="57"/>
      <c r="O63" s="53"/>
      <c r="P63" s="49"/>
      <c r="Q63" s="47">
        <f>ROUND((_11_A通院１増４．０*(1+_11・A深夜)),0)</f>
        <v>996</v>
      </c>
      <c r="R63" s="48"/>
    </row>
    <row r="64" spans="1:18" ht="16.5" customHeight="1" x14ac:dyDescent="0.15">
      <c r="A64" s="41">
        <v>11</v>
      </c>
      <c r="B64" s="41">
        <v>3996</v>
      </c>
      <c r="C64" s="74" t="s">
        <v>7113</v>
      </c>
      <c r="D64" s="709"/>
      <c r="E64" s="718"/>
      <c r="F64" s="43"/>
      <c r="G64" s="37"/>
      <c r="H64" s="38"/>
      <c r="I64" s="44" t="s">
        <v>397</v>
      </c>
      <c r="J64" s="45" t="s">
        <v>398</v>
      </c>
      <c r="K64" s="46">
        <v>1</v>
      </c>
      <c r="L64" s="35"/>
      <c r="N64" s="57"/>
      <c r="O64" s="35"/>
      <c r="Q64" s="47">
        <f>ROUND((ROUND((_11_A通院１増４．０*_11・２人),0)*(1+_11・A深夜)),0)</f>
        <v>996</v>
      </c>
      <c r="R64" s="48"/>
    </row>
    <row r="65" spans="1:18" ht="16.5" customHeight="1" x14ac:dyDescent="0.15">
      <c r="A65" s="41">
        <v>11</v>
      </c>
      <c r="B65" s="41">
        <v>3997</v>
      </c>
      <c r="C65" s="74" t="s">
        <v>7114</v>
      </c>
      <c r="D65" s="709"/>
      <c r="E65" s="718"/>
      <c r="F65" s="752" t="s">
        <v>400</v>
      </c>
      <c r="G65" s="49" t="s">
        <v>398</v>
      </c>
      <c r="H65" s="50">
        <v>0.7</v>
      </c>
      <c r="I65" s="44"/>
      <c r="J65" s="45"/>
      <c r="K65" s="46"/>
      <c r="L65" s="35"/>
      <c r="N65" s="57"/>
      <c r="O65" s="35"/>
      <c r="Q65" s="47">
        <f>ROUND((ROUND((_11_A通院１増４．０*_11・基礎１),0)*(1+_11・A深夜)),0)</f>
        <v>698</v>
      </c>
      <c r="R65" s="48"/>
    </row>
    <row r="66" spans="1:18" ht="16.5" customHeight="1" x14ac:dyDescent="0.15">
      <c r="A66" s="41">
        <v>11</v>
      </c>
      <c r="B66" s="41">
        <v>3998</v>
      </c>
      <c r="C66" s="74" t="s">
        <v>7115</v>
      </c>
      <c r="D66" s="100">
        <f>_11_A通院１増４．０</f>
        <v>664</v>
      </c>
      <c r="E66" s="12" t="s">
        <v>392</v>
      </c>
      <c r="F66" s="757"/>
      <c r="G66" s="37"/>
      <c r="H66" s="38"/>
      <c r="I66" s="44" t="s">
        <v>397</v>
      </c>
      <c r="J66" s="45" t="s">
        <v>398</v>
      </c>
      <c r="K66" s="46">
        <v>1</v>
      </c>
      <c r="L66" s="35"/>
      <c r="N66" s="57"/>
      <c r="O66" s="43"/>
      <c r="P66" s="37"/>
      <c r="Q66" s="47">
        <f>ROUND((ROUND((ROUND((_11_A通院１増４．０*_11・基礎１),0)*_11・２人),0)*(1+_11・A深夜)),0)</f>
        <v>698</v>
      </c>
      <c r="R66" s="48"/>
    </row>
    <row r="67" spans="1:18" ht="16.5" customHeight="1" x14ac:dyDescent="0.15">
      <c r="A67" s="41">
        <v>11</v>
      </c>
      <c r="B67" s="41" t="s">
        <v>7116</v>
      </c>
      <c r="C67" s="74" t="s">
        <v>7117</v>
      </c>
      <c r="D67" s="121"/>
      <c r="E67" s="99"/>
      <c r="F67" s="53"/>
      <c r="G67" s="49"/>
      <c r="H67" s="50"/>
      <c r="I67" s="44"/>
      <c r="J67" s="45"/>
      <c r="K67" s="46"/>
      <c r="L67" s="35"/>
      <c r="N67" s="57"/>
      <c r="O67" s="707" t="s">
        <v>404</v>
      </c>
      <c r="P67" s="708"/>
      <c r="Q67" s="47">
        <f>ROUND((ROUND((_11_A通院１増４．０*(1+_11・A深夜)),0)*_11・初任),0)</f>
        <v>697</v>
      </c>
      <c r="R67" s="48"/>
    </row>
    <row r="68" spans="1:18" ht="16.5" customHeight="1" x14ac:dyDescent="0.15">
      <c r="A68" s="41">
        <v>11</v>
      </c>
      <c r="B68" s="41" t="s">
        <v>7118</v>
      </c>
      <c r="C68" s="74" t="s">
        <v>7119</v>
      </c>
      <c r="D68" s="121"/>
      <c r="E68" s="99"/>
      <c r="F68" s="43"/>
      <c r="G68" s="37"/>
      <c r="H68" s="38"/>
      <c r="I68" s="44" t="s">
        <v>397</v>
      </c>
      <c r="J68" s="45" t="s">
        <v>398</v>
      </c>
      <c r="K68" s="46">
        <v>1</v>
      </c>
      <c r="L68" s="35"/>
      <c r="N68" s="57"/>
      <c r="O68" s="709"/>
      <c r="P68" s="704"/>
      <c r="Q68" s="47">
        <f>ROUND((ROUND((ROUND((_11_A通院１増４．０*_11・２人),0)*(1+_11・A深夜)),0)*_11・初任),0)</f>
        <v>697</v>
      </c>
      <c r="R68" s="48"/>
    </row>
    <row r="69" spans="1:18" ht="16.5" customHeight="1" x14ac:dyDescent="0.15">
      <c r="A69" s="41">
        <v>11</v>
      </c>
      <c r="B69" s="41" t="s">
        <v>7120</v>
      </c>
      <c r="C69" s="74" t="s">
        <v>7121</v>
      </c>
      <c r="D69" s="72"/>
      <c r="E69" s="99"/>
      <c r="F69" s="752" t="s">
        <v>400</v>
      </c>
      <c r="G69" s="49" t="s">
        <v>398</v>
      </c>
      <c r="H69" s="50">
        <v>0.7</v>
      </c>
      <c r="I69" s="44"/>
      <c r="J69" s="45"/>
      <c r="K69" s="46"/>
      <c r="L69" s="35"/>
      <c r="N69" s="57"/>
      <c r="O69" s="709"/>
      <c r="P69" s="704"/>
      <c r="Q69" s="47">
        <f>ROUND((ROUND((ROUND((_11_A通院１増４．０*_11・基礎１),0)*(1+_11・A深夜)),0)*_11・初任),0)</f>
        <v>489</v>
      </c>
      <c r="R69" s="48"/>
    </row>
    <row r="70" spans="1:18" ht="16.5" customHeight="1" x14ac:dyDescent="0.15">
      <c r="A70" s="41">
        <v>11</v>
      </c>
      <c r="B70" s="41" t="s">
        <v>7122</v>
      </c>
      <c r="C70" s="74" t="s">
        <v>7123</v>
      </c>
      <c r="D70" s="72"/>
      <c r="E70" s="99"/>
      <c r="F70" s="757"/>
      <c r="G70" s="37"/>
      <c r="H70" s="38"/>
      <c r="I70" s="44" t="s">
        <v>397</v>
      </c>
      <c r="J70" s="45" t="s">
        <v>398</v>
      </c>
      <c r="K70" s="46">
        <v>1</v>
      </c>
      <c r="L70" s="35"/>
      <c r="N70" s="57"/>
      <c r="O70" s="55" t="s">
        <v>398</v>
      </c>
      <c r="P70" s="38">
        <f>_11・初任</f>
        <v>0.7</v>
      </c>
      <c r="Q70" s="47">
        <f>ROUND((ROUND((ROUND((ROUND((_11_A通院１増４．０*_11・基礎１),0)*_11・２人),0)*(1+_11・A深夜)),0)*_11・初任),0)</f>
        <v>489</v>
      </c>
      <c r="R70" s="48"/>
    </row>
    <row r="71" spans="1:18" ht="16.5" customHeight="1" x14ac:dyDescent="0.15">
      <c r="A71" s="41">
        <v>11</v>
      </c>
      <c r="B71" s="41">
        <v>3999</v>
      </c>
      <c r="C71" s="74" t="s">
        <v>7124</v>
      </c>
      <c r="D71" s="707" t="s">
        <v>967</v>
      </c>
      <c r="E71" s="717"/>
      <c r="F71" s="53"/>
      <c r="G71" s="49"/>
      <c r="H71" s="50"/>
      <c r="I71" s="44"/>
      <c r="J71" s="45"/>
      <c r="K71" s="46"/>
      <c r="L71" s="35"/>
      <c r="N71" s="57"/>
      <c r="O71" s="53"/>
      <c r="P71" s="49"/>
      <c r="Q71" s="47">
        <f>ROUND((_11_A通院１増４．５*(1+_11・A深夜)),0)</f>
        <v>1121</v>
      </c>
      <c r="R71" s="48"/>
    </row>
    <row r="72" spans="1:18" ht="16.5" customHeight="1" x14ac:dyDescent="0.15">
      <c r="A72" s="41">
        <v>11</v>
      </c>
      <c r="B72" s="41">
        <v>4000</v>
      </c>
      <c r="C72" s="74" t="s">
        <v>7125</v>
      </c>
      <c r="D72" s="709"/>
      <c r="E72" s="718"/>
      <c r="F72" s="43"/>
      <c r="G72" s="37"/>
      <c r="H72" s="38"/>
      <c r="I72" s="44" t="s">
        <v>397</v>
      </c>
      <c r="J72" s="45" t="s">
        <v>398</v>
      </c>
      <c r="K72" s="46">
        <v>1</v>
      </c>
      <c r="L72" s="35"/>
      <c r="N72" s="57"/>
      <c r="O72" s="35"/>
      <c r="Q72" s="47">
        <f>ROUND((ROUND((_11_A通院１増４．５*_11・２人),0)*(1+_11・A深夜)),0)</f>
        <v>1121</v>
      </c>
      <c r="R72" s="48"/>
    </row>
    <row r="73" spans="1:18" ht="16.5" customHeight="1" x14ac:dyDescent="0.15">
      <c r="A73" s="41">
        <v>11</v>
      </c>
      <c r="B73" s="41">
        <v>4001</v>
      </c>
      <c r="C73" s="74" t="s">
        <v>7126</v>
      </c>
      <c r="D73" s="709"/>
      <c r="E73" s="718"/>
      <c r="F73" s="752" t="s">
        <v>400</v>
      </c>
      <c r="G73" s="49" t="s">
        <v>398</v>
      </c>
      <c r="H73" s="50">
        <v>0.7</v>
      </c>
      <c r="I73" s="44"/>
      <c r="J73" s="45"/>
      <c r="K73" s="46"/>
      <c r="L73" s="35"/>
      <c r="N73" s="57"/>
      <c r="O73" s="35"/>
      <c r="Q73" s="47">
        <f>ROUND((ROUND((_11_A通院１増４．５*_11・基礎１),0)*(1+_11・A深夜)),0)</f>
        <v>785</v>
      </c>
      <c r="R73" s="48"/>
    </row>
    <row r="74" spans="1:18" ht="16.5" customHeight="1" x14ac:dyDescent="0.15">
      <c r="A74" s="41">
        <v>11</v>
      </c>
      <c r="B74" s="41">
        <v>4002</v>
      </c>
      <c r="C74" s="74" t="s">
        <v>7127</v>
      </c>
      <c r="D74" s="100">
        <f>_11_A通院１増４．５</f>
        <v>747</v>
      </c>
      <c r="E74" s="12" t="s">
        <v>392</v>
      </c>
      <c r="F74" s="757"/>
      <c r="G74" s="37"/>
      <c r="H74" s="38"/>
      <c r="I74" s="44" t="s">
        <v>397</v>
      </c>
      <c r="J74" s="45" t="s">
        <v>398</v>
      </c>
      <c r="K74" s="46">
        <v>1</v>
      </c>
      <c r="L74" s="35"/>
      <c r="N74" s="57"/>
      <c r="O74" s="43"/>
      <c r="P74" s="37"/>
      <c r="Q74" s="47">
        <f>ROUND((ROUND((ROUND((_11_A通院１増４．５*_11・基礎１),0)*_11・２人),0)*(1+_11・A深夜)),0)</f>
        <v>785</v>
      </c>
      <c r="R74" s="48"/>
    </row>
    <row r="75" spans="1:18" ht="16.5" customHeight="1" x14ac:dyDescent="0.15">
      <c r="A75" s="41">
        <v>11</v>
      </c>
      <c r="B75" s="41" t="s">
        <v>7128</v>
      </c>
      <c r="C75" s="74" t="s">
        <v>7129</v>
      </c>
      <c r="D75" s="121"/>
      <c r="E75" s="99"/>
      <c r="F75" s="53"/>
      <c r="G75" s="49"/>
      <c r="H75" s="50"/>
      <c r="I75" s="44"/>
      <c r="J75" s="45"/>
      <c r="K75" s="46"/>
      <c r="L75" s="35"/>
      <c r="N75" s="57"/>
      <c r="O75" s="707" t="s">
        <v>404</v>
      </c>
      <c r="P75" s="708"/>
      <c r="Q75" s="47">
        <f>ROUND((ROUND((_11_A通院１増４．５*(1+_11・A深夜)),0)*_11・初任),0)</f>
        <v>785</v>
      </c>
      <c r="R75" s="48"/>
    </row>
    <row r="76" spans="1:18" ht="16.5" customHeight="1" x14ac:dyDescent="0.15">
      <c r="A76" s="41">
        <v>11</v>
      </c>
      <c r="B76" s="41" t="s">
        <v>7130</v>
      </c>
      <c r="C76" s="74" t="s">
        <v>7131</v>
      </c>
      <c r="D76" s="121"/>
      <c r="E76" s="99"/>
      <c r="F76" s="43"/>
      <c r="G76" s="37"/>
      <c r="H76" s="38"/>
      <c r="I76" s="44" t="s">
        <v>397</v>
      </c>
      <c r="J76" s="45" t="s">
        <v>398</v>
      </c>
      <c r="K76" s="46">
        <v>1</v>
      </c>
      <c r="L76" s="35"/>
      <c r="N76" s="57"/>
      <c r="O76" s="709"/>
      <c r="P76" s="704"/>
      <c r="Q76" s="47">
        <f>ROUND((ROUND((ROUND((_11_A通院１増４．５*_11・２人),0)*(1+_11・A深夜)),0)*_11・初任),0)</f>
        <v>785</v>
      </c>
      <c r="R76" s="48"/>
    </row>
    <row r="77" spans="1:18" ht="16.5" customHeight="1" x14ac:dyDescent="0.15">
      <c r="A77" s="41">
        <v>11</v>
      </c>
      <c r="B77" s="41" t="s">
        <v>7132</v>
      </c>
      <c r="C77" s="74" t="s">
        <v>7133</v>
      </c>
      <c r="D77" s="72"/>
      <c r="E77" s="99"/>
      <c r="F77" s="752" t="s">
        <v>400</v>
      </c>
      <c r="G77" s="49" t="s">
        <v>398</v>
      </c>
      <c r="H77" s="50">
        <v>0.7</v>
      </c>
      <c r="I77" s="44"/>
      <c r="J77" s="45"/>
      <c r="K77" s="46"/>
      <c r="L77" s="35"/>
      <c r="N77" s="57"/>
      <c r="O77" s="709"/>
      <c r="P77" s="704"/>
      <c r="Q77" s="47">
        <f>ROUND((ROUND((ROUND((_11_A通院１増４．５*_11・基礎１),0)*(1+_11・A深夜)),0)*_11・初任),0)</f>
        <v>550</v>
      </c>
      <c r="R77" s="48"/>
    </row>
    <row r="78" spans="1:18" ht="16.5" customHeight="1" x14ac:dyDescent="0.15">
      <c r="A78" s="41">
        <v>11</v>
      </c>
      <c r="B78" s="41" t="s">
        <v>7134</v>
      </c>
      <c r="C78" s="74" t="s">
        <v>7135</v>
      </c>
      <c r="D78" s="122"/>
      <c r="E78" s="111"/>
      <c r="F78" s="757"/>
      <c r="G78" s="37"/>
      <c r="H78" s="38"/>
      <c r="I78" s="44" t="s">
        <v>397</v>
      </c>
      <c r="J78" s="45" t="s">
        <v>398</v>
      </c>
      <c r="K78" s="46">
        <v>1</v>
      </c>
      <c r="L78" s="43"/>
      <c r="M78" s="38"/>
      <c r="N78" s="79"/>
      <c r="O78" s="55" t="s">
        <v>398</v>
      </c>
      <c r="P78" s="38">
        <f>_11・初任</f>
        <v>0.7</v>
      </c>
      <c r="Q78" s="47">
        <f>ROUND((ROUND((ROUND((ROUND((_11_A通院１増４．５*_11・基礎１),0)*_11・２人),0)*(1+_11・A深夜)),0)*_11・初任),0)</f>
        <v>550</v>
      </c>
      <c r="R78" s="63"/>
    </row>
    <row r="79" spans="1:18" ht="16.5" customHeight="1" x14ac:dyDescent="0.15">
      <c r="A79" s="33">
        <v>11</v>
      </c>
      <c r="B79" s="33">
        <v>4003</v>
      </c>
      <c r="C79" s="34" t="s">
        <v>7136</v>
      </c>
      <c r="D79" s="709" t="s">
        <v>7137</v>
      </c>
      <c r="E79" s="718"/>
      <c r="F79" s="35"/>
      <c r="I79" s="36"/>
      <c r="J79" s="37"/>
      <c r="K79" s="38"/>
      <c r="L79" s="72" t="s">
        <v>862</v>
      </c>
      <c r="N79" s="57"/>
      <c r="O79" s="35"/>
      <c r="Q79" s="39">
        <f>ROUND((_11_A通院１増５．０*(1+_11・A深夜)),0)</f>
        <v>1245</v>
      </c>
      <c r="R79" s="48"/>
    </row>
    <row r="80" spans="1:18" ht="16.5" customHeight="1" x14ac:dyDescent="0.15">
      <c r="A80" s="41">
        <v>11</v>
      </c>
      <c r="B80" s="41">
        <v>4004</v>
      </c>
      <c r="C80" s="74" t="s">
        <v>7138</v>
      </c>
      <c r="D80" s="709"/>
      <c r="E80" s="718"/>
      <c r="F80" s="43"/>
      <c r="G80" s="37"/>
      <c r="H80" s="38"/>
      <c r="I80" s="44" t="s">
        <v>397</v>
      </c>
      <c r="J80" s="45" t="s">
        <v>398</v>
      </c>
      <c r="K80" s="46">
        <v>1</v>
      </c>
      <c r="L80" s="35" t="s">
        <v>398</v>
      </c>
      <c r="M80" s="13">
        <v>0.5</v>
      </c>
      <c r="N80" s="728" t="s">
        <v>676</v>
      </c>
      <c r="O80" s="35"/>
      <c r="Q80" s="47">
        <f>ROUND((ROUND((_11_A通院１増５．０*_11・２人),0)*(1+_11・A深夜)),0)</f>
        <v>1245</v>
      </c>
      <c r="R80" s="48"/>
    </row>
    <row r="81" spans="1:18" ht="16.5" customHeight="1" x14ac:dyDescent="0.15">
      <c r="A81" s="41">
        <v>11</v>
      </c>
      <c r="B81" s="41">
        <v>4005</v>
      </c>
      <c r="C81" s="74" t="s">
        <v>7139</v>
      </c>
      <c r="D81" s="709"/>
      <c r="E81" s="718"/>
      <c r="F81" s="752" t="s">
        <v>400</v>
      </c>
      <c r="G81" s="49" t="s">
        <v>398</v>
      </c>
      <c r="H81" s="50">
        <v>0.7</v>
      </c>
      <c r="I81" s="44"/>
      <c r="J81" s="45"/>
      <c r="K81" s="46"/>
      <c r="L81" s="35"/>
      <c r="N81" s="728"/>
      <c r="O81" s="35"/>
      <c r="Q81" s="47">
        <f>ROUND((ROUND((_11_A通院１増５．０*_11・基礎１),0)*(1+_11・A深夜)),0)</f>
        <v>872</v>
      </c>
      <c r="R81" s="48"/>
    </row>
    <row r="82" spans="1:18" ht="16.5" customHeight="1" x14ac:dyDescent="0.15">
      <c r="A82" s="41">
        <v>11</v>
      </c>
      <c r="B82" s="41">
        <v>4006</v>
      </c>
      <c r="C82" s="74" t="s">
        <v>7140</v>
      </c>
      <c r="D82" s="100">
        <f>_11_A通院１増５．０</f>
        <v>830</v>
      </c>
      <c r="E82" s="12" t="s">
        <v>392</v>
      </c>
      <c r="F82" s="757"/>
      <c r="G82" s="37"/>
      <c r="H82" s="38"/>
      <c r="I82" s="44" t="s">
        <v>397</v>
      </c>
      <c r="J82" s="45" t="s">
        <v>398</v>
      </c>
      <c r="K82" s="46">
        <v>1</v>
      </c>
      <c r="L82" s="35"/>
      <c r="N82" s="57"/>
      <c r="O82" s="43"/>
      <c r="P82" s="37"/>
      <c r="Q82" s="47">
        <f>ROUND((ROUND((ROUND((_11_A通院１増５．０*_11・基礎１),0)*_11・２人),0)*(1+_11・A深夜)),0)</f>
        <v>872</v>
      </c>
      <c r="R82" s="48"/>
    </row>
    <row r="83" spans="1:18" ht="16.5" customHeight="1" x14ac:dyDescent="0.15">
      <c r="A83" s="41">
        <v>11</v>
      </c>
      <c r="B83" s="41" t="s">
        <v>7141</v>
      </c>
      <c r="C83" s="74" t="s">
        <v>7142</v>
      </c>
      <c r="D83" s="121"/>
      <c r="E83" s="99"/>
      <c r="F83" s="53"/>
      <c r="G83" s="49"/>
      <c r="H83" s="50"/>
      <c r="I83" s="44"/>
      <c r="J83" s="45"/>
      <c r="K83" s="46"/>
      <c r="L83" s="35"/>
      <c r="N83" s="57"/>
      <c r="O83" s="707" t="s">
        <v>404</v>
      </c>
      <c r="P83" s="708"/>
      <c r="Q83" s="47">
        <f>ROUND((ROUND((_11_A通院１増５．０*(1+_11・A深夜)),0)*_11・初任),0)</f>
        <v>872</v>
      </c>
      <c r="R83" s="48"/>
    </row>
    <row r="84" spans="1:18" ht="16.5" customHeight="1" x14ac:dyDescent="0.15">
      <c r="A84" s="41">
        <v>11</v>
      </c>
      <c r="B84" s="41" t="s">
        <v>7143</v>
      </c>
      <c r="C84" s="74" t="s">
        <v>7144</v>
      </c>
      <c r="D84" s="121"/>
      <c r="E84" s="99"/>
      <c r="F84" s="43"/>
      <c r="G84" s="37"/>
      <c r="H84" s="38"/>
      <c r="I84" s="44" t="s">
        <v>397</v>
      </c>
      <c r="J84" s="45" t="s">
        <v>398</v>
      </c>
      <c r="K84" s="46">
        <v>1</v>
      </c>
      <c r="L84" s="35"/>
      <c r="N84" s="57"/>
      <c r="O84" s="709"/>
      <c r="P84" s="704"/>
      <c r="Q84" s="47">
        <f>ROUND((ROUND((ROUND((_11_A通院１増５．０*_11・２人),0)*(1+_11・A深夜)),0)*_11・初任),0)</f>
        <v>872</v>
      </c>
      <c r="R84" s="48"/>
    </row>
    <row r="85" spans="1:18" ht="16.5" customHeight="1" x14ac:dyDescent="0.15">
      <c r="A85" s="41">
        <v>11</v>
      </c>
      <c r="B85" s="41" t="s">
        <v>7145</v>
      </c>
      <c r="C85" s="74" t="s">
        <v>7146</v>
      </c>
      <c r="D85" s="72"/>
      <c r="E85" s="99"/>
      <c r="F85" s="752" t="s">
        <v>400</v>
      </c>
      <c r="G85" s="49" t="s">
        <v>398</v>
      </c>
      <c r="H85" s="50">
        <v>0.7</v>
      </c>
      <c r="I85" s="44"/>
      <c r="J85" s="45"/>
      <c r="K85" s="46"/>
      <c r="L85" s="35"/>
      <c r="N85" s="57"/>
      <c r="O85" s="709"/>
      <c r="P85" s="704"/>
      <c r="Q85" s="47">
        <f>ROUND((ROUND((ROUND((_11_A通院１増５．０*_11・基礎１),0)*(1+_11・A深夜)),0)*_11・初任),0)</f>
        <v>610</v>
      </c>
      <c r="R85" s="48"/>
    </row>
    <row r="86" spans="1:18" ht="16.5" customHeight="1" x14ac:dyDescent="0.15">
      <c r="A86" s="41">
        <v>11</v>
      </c>
      <c r="B86" s="41" t="s">
        <v>7147</v>
      </c>
      <c r="C86" s="74" t="s">
        <v>7148</v>
      </c>
      <c r="D86" s="72"/>
      <c r="E86" s="99"/>
      <c r="F86" s="757"/>
      <c r="G86" s="37"/>
      <c r="H86" s="38"/>
      <c r="I86" s="44" t="s">
        <v>397</v>
      </c>
      <c r="J86" s="45" t="s">
        <v>398</v>
      </c>
      <c r="K86" s="46">
        <v>1</v>
      </c>
      <c r="L86" s="35"/>
      <c r="N86" s="57"/>
      <c r="O86" s="55" t="s">
        <v>398</v>
      </c>
      <c r="P86" s="38">
        <f>_11・初任</f>
        <v>0.7</v>
      </c>
      <c r="Q86" s="47">
        <f>ROUND((ROUND((ROUND((ROUND((_11_A通院１増５．０*_11・基礎１),0)*_11・２人),0)*(1+_11・A深夜)),0)*_11・初任),0)</f>
        <v>610</v>
      </c>
      <c r="R86" s="48"/>
    </row>
    <row r="87" spans="1:18" ht="16.5" customHeight="1" x14ac:dyDescent="0.15">
      <c r="A87" s="41">
        <v>11</v>
      </c>
      <c r="B87" s="41">
        <v>4007</v>
      </c>
      <c r="C87" s="74" t="s">
        <v>7149</v>
      </c>
      <c r="D87" s="707" t="s">
        <v>7150</v>
      </c>
      <c r="E87" s="717"/>
      <c r="F87" s="53"/>
      <c r="G87" s="49"/>
      <c r="H87" s="50"/>
      <c r="I87" s="44"/>
      <c r="J87" s="45"/>
      <c r="K87" s="46"/>
      <c r="L87" s="35"/>
      <c r="N87" s="57"/>
      <c r="O87" s="53"/>
      <c r="P87" s="49"/>
      <c r="Q87" s="47">
        <f>ROUND((_11_A通院１増５．５*(1+_11・A深夜)),0)</f>
        <v>1370</v>
      </c>
      <c r="R87" s="48"/>
    </row>
    <row r="88" spans="1:18" ht="16.5" customHeight="1" x14ac:dyDescent="0.15">
      <c r="A88" s="41">
        <v>11</v>
      </c>
      <c r="B88" s="41">
        <v>4008</v>
      </c>
      <c r="C88" s="74" t="s">
        <v>7151</v>
      </c>
      <c r="D88" s="709"/>
      <c r="E88" s="718"/>
      <c r="F88" s="43"/>
      <c r="G88" s="37"/>
      <c r="H88" s="38"/>
      <c r="I88" s="44" t="s">
        <v>397</v>
      </c>
      <c r="J88" s="45" t="s">
        <v>398</v>
      </c>
      <c r="K88" s="46">
        <v>1</v>
      </c>
      <c r="L88" s="35"/>
      <c r="N88" s="57"/>
      <c r="O88" s="35"/>
      <c r="Q88" s="47">
        <f>ROUND((ROUND((_11_A通院１増５．５*_11・２人),0)*(1+_11・A深夜)),0)</f>
        <v>1370</v>
      </c>
      <c r="R88" s="48"/>
    </row>
    <row r="89" spans="1:18" ht="16.5" customHeight="1" x14ac:dyDescent="0.15">
      <c r="A89" s="41">
        <v>11</v>
      </c>
      <c r="B89" s="41">
        <v>4009</v>
      </c>
      <c r="C89" s="74" t="s">
        <v>7152</v>
      </c>
      <c r="D89" s="709"/>
      <c r="E89" s="718"/>
      <c r="F89" s="752" t="s">
        <v>400</v>
      </c>
      <c r="G89" s="49" t="s">
        <v>398</v>
      </c>
      <c r="H89" s="50">
        <v>0.7</v>
      </c>
      <c r="I89" s="44"/>
      <c r="J89" s="45"/>
      <c r="K89" s="46"/>
      <c r="L89" s="35"/>
      <c r="N89" s="57"/>
      <c r="O89" s="35"/>
      <c r="Q89" s="47">
        <f>ROUND((ROUND((_11_A通院１増５．５*_11・基礎１),0)*(1+_11・A深夜)),0)</f>
        <v>959</v>
      </c>
      <c r="R89" s="48"/>
    </row>
    <row r="90" spans="1:18" ht="16.5" customHeight="1" x14ac:dyDescent="0.15">
      <c r="A90" s="41">
        <v>11</v>
      </c>
      <c r="B90" s="41">
        <v>4010</v>
      </c>
      <c r="C90" s="74" t="s">
        <v>7153</v>
      </c>
      <c r="D90" s="100">
        <f>_11_A通院１増５．５</f>
        <v>913</v>
      </c>
      <c r="E90" s="12" t="s">
        <v>392</v>
      </c>
      <c r="F90" s="757"/>
      <c r="G90" s="37"/>
      <c r="H90" s="38"/>
      <c r="I90" s="44" t="s">
        <v>397</v>
      </c>
      <c r="J90" s="45" t="s">
        <v>398</v>
      </c>
      <c r="K90" s="46">
        <v>1</v>
      </c>
      <c r="L90" s="35"/>
      <c r="N90" s="57"/>
      <c r="O90" s="43"/>
      <c r="P90" s="37"/>
      <c r="Q90" s="47">
        <f>ROUND((ROUND((ROUND((_11_A通院１増５．５*_11・基礎１),0)*_11・２人),0)*(1+_11・A深夜)),0)</f>
        <v>959</v>
      </c>
      <c r="R90" s="48"/>
    </row>
    <row r="91" spans="1:18" ht="16.5" customHeight="1" x14ac:dyDescent="0.15">
      <c r="A91" s="41">
        <v>11</v>
      </c>
      <c r="B91" s="41" t="s">
        <v>7154</v>
      </c>
      <c r="C91" s="74" t="s">
        <v>7155</v>
      </c>
      <c r="D91" s="121"/>
      <c r="E91" s="99"/>
      <c r="F91" s="53"/>
      <c r="G91" s="49"/>
      <c r="H91" s="50"/>
      <c r="I91" s="44"/>
      <c r="J91" s="45"/>
      <c r="K91" s="46"/>
      <c r="L91" s="35"/>
      <c r="N91" s="57"/>
      <c r="O91" s="707" t="s">
        <v>404</v>
      </c>
      <c r="P91" s="708"/>
      <c r="Q91" s="47">
        <f>ROUND((ROUND((_11_A通院１増５．５*(1+_11・A深夜)),0)*_11・初任),0)</f>
        <v>959</v>
      </c>
      <c r="R91" s="48"/>
    </row>
    <row r="92" spans="1:18" ht="16.5" customHeight="1" x14ac:dyDescent="0.15">
      <c r="A92" s="41">
        <v>11</v>
      </c>
      <c r="B92" s="41" t="s">
        <v>7156</v>
      </c>
      <c r="C92" s="74" t="s">
        <v>7157</v>
      </c>
      <c r="D92" s="121"/>
      <c r="E92" s="99"/>
      <c r="F92" s="43"/>
      <c r="G92" s="37"/>
      <c r="H92" s="38"/>
      <c r="I92" s="44" t="s">
        <v>397</v>
      </c>
      <c r="J92" s="45" t="s">
        <v>398</v>
      </c>
      <c r="K92" s="46">
        <v>1</v>
      </c>
      <c r="L92" s="35"/>
      <c r="N92" s="57"/>
      <c r="O92" s="709"/>
      <c r="P92" s="704"/>
      <c r="Q92" s="47">
        <f>ROUND((ROUND((ROUND((_11_A通院１増５．５*_11・２人),0)*(1+_11・A深夜)),0)*_11・初任),0)</f>
        <v>959</v>
      </c>
      <c r="R92" s="48"/>
    </row>
    <row r="93" spans="1:18" ht="16.5" customHeight="1" x14ac:dyDescent="0.15">
      <c r="A93" s="41">
        <v>11</v>
      </c>
      <c r="B93" s="41" t="s">
        <v>7158</v>
      </c>
      <c r="C93" s="74" t="s">
        <v>7159</v>
      </c>
      <c r="D93" s="72"/>
      <c r="E93" s="99"/>
      <c r="F93" s="752" t="s">
        <v>400</v>
      </c>
      <c r="G93" s="49" t="s">
        <v>398</v>
      </c>
      <c r="H93" s="50">
        <v>0.7</v>
      </c>
      <c r="I93" s="44"/>
      <c r="J93" s="45"/>
      <c r="K93" s="46"/>
      <c r="L93" s="35"/>
      <c r="N93" s="57"/>
      <c r="O93" s="709"/>
      <c r="P93" s="704"/>
      <c r="Q93" s="47">
        <f>ROUND((ROUND((ROUND((_11_A通院１増５．５*_11・基礎１),0)*(1+_11・A深夜)),0)*_11・初任),0)</f>
        <v>671</v>
      </c>
      <c r="R93" s="48"/>
    </row>
    <row r="94" spans="1:18" ht="16.5" customHeight="1" x14ac:dyDescent="0.15">
      <c r="A94" s="41">
        <v>11</v>
      </c>
      <c r="B94" s="41" t="s">
        <v>7160</v>
      </c>
      <c r="C94" s="74" t="s">
        <v>7161</v>
      </c>
      <c r="D94" s="72"/>
      <c r="E94" s="99"/>
      <c r="F94" s="757"/>
      <c r="G94" s="37"/>
      <c r="H94" s="38"/>
      <c r="I94" s="44" t="s">
        <v>397</v>
      </c>
      <c r="J94" s="45" t="s">
        <v>398</v>
      </c>
      <c r="K94" s="46">
        <v>1</v>
      </c>
      <c r="L94" s="35"/>
      <c r="N94" s="57"/>
      <c r="O94" s="55" t="s">
        <v>398</v>
      </c>
      <c r="P94" s="38">
        <f>_11・初任</f>
        <v>0.7</v>
      </c>
      <c r="Q94" s="47">
        <f>ROUND((ROUND((ROUND((ROUND((_11_A通院１増５．５*_11・基礎１),0)*_11・２人),0)*(1+_11・A深夜)),0)*_11・初任),0)</f>
        <v>671</v>
      </c>
      <c r="R94" s="48"/>
    </row>
    <row r="95" spans="1:18" ht="16.5" customHeight="1" x14ac:dyDescent="0.15">
      <c r="A95" s="41">
        <v>11</v>
      </c>
      <c r="B95" s="41">
        <v>4011</v>
      </c>
      <c r="C95" s="74" t="s">
        <v>7162</v>
      </c>
      <c r="D95" s="753" t="s">
        <v>7163</v>
      </c>
      <c r="E95" s="714"/>
      <c r="F95" s="53"/>
      <c r="G95" s="49"/>
      <c r="H95" s="50"/>
      <c r="I95" s="44"/>
      <c r="J95" s="45"/>
      <c r="K95" s="46"/>
      <c r="L95" s="35"/>
      <c r="N95" s="57"/>
      <c r="O95" s="53"/>
      <c r="P95" s="49"/>
      <c r="Q95" s="47">
        <f>ROUND((_11_A通院１増６．０*(1+_11・A深夜)),0)</f>
        <v>1494</v>
      </c>
      <c r="R95" s="48"/>
    </row>
    <row r="96" spans="1:18" ht="16.5" customHeight="1" x14ac:dyDescent="0.15">
      <c r="A96" s="41">
        <v>11</v>
      </c>
      <c r="B96" s="41">
        <v>4012</v>
      </c>
      <c r="C96" s="74" t="s">
        <v>7164</v>
      </c>
      <c r="D96" s="754"/>
      <c r="E96" s="716"/>
      <c r="F96" s="43"/>
      <c r="G96" s="37"/>
      <c r="H96" s="38"/>
      <c r="I96" s="44" t="s">
        <v>397</v>
      </c>
      <c r="J96" s="45" t="s">
        <v>398</v>
      </c>
      <c r="K96" s="46">
        <v>1</v>
      </c>
      <c r="L96" s="35"/>
      <c r="N96" s="57"/>
      <c r="O96" s="35"/>
      <c r="Q96" s="47">
        <f>ROUND((ROUND((_11_A通院１増６．０*_11・２人),0)*(1+_11・A深夜)),0)</f>
        <v>1494</v>
      </c>
      <c r="R96" s="48"/>
    </row>
    <row r="97" spans="1:18" ht="16.5" customHeight="1" x14ac:dyDescent="0.15">
      <c r="A97" s="41">
        <v>11</v>
      </c>
      <c r="B97" s="41">
        <v>4013</v>
      </c>
      <c r="C97" s="74" t="s">
        <v>7165</v>
      </c>
      <c r="D97" s="754"/>
      <c r="E97" s="716"/>
      <c r="F97" s="752" t="s">
        <v>400</v>
      </c>
      <c r="G97" s="49" t="s">
        <v>398</v>
      </c>
      <c r="H97" s="50">
        <v>0.7</v>
      </c>
      <c r="I97" s="44"/>
      <c r="J97" s="45"/>
      <c r="K97" s="46"/>
      <c r="L97" s="35"/>
      <c r="N97" s="57"/>
      <c r="O97" s="35"/>
      <c r="Q97" s="47">
        <f>ROUND((ROUND((_11_A通院１増６．０*_11・基礎１),0)*(1+_11・A深夜)),0)</f>
        <v>1046</v>
      </c>
      <c r="R97" s="48"/>
    </row>
    <row r="98" spans="1:18" ht="16.5" customHeight="1" x14ac:dyDescent="0.15">
      <c r="A98" s="41">
        <v>11</v>
      </c>
      <c r="B98" s="41">
        <v>4014</v>
      </c>
      <c r="C98" s="74" t="s">
        <v>7166</v>
      </c>
      <c r="D98" s="100">
        <f>_11_A通院１増６．０</f>
        <v>996</v>
      </c>
      <c r="E98" s="12" t="s">
        <v>392</v>
      </c>
      <c r="F98" s="757"/>
      <c r="G98" s="37"/>
      <c r="H98" s="38"/>
      <c r="I98" s="44" t="s">
        <v>397</v>
      </c>
      <c r="J98" s="45" t="s">
        <v>398</v>
      </c>
      <c r="K98" s="46">
        <v>1</v>
      </c>
      <c r="L98" s="35"/>
      <c r="N98" s="57"/>
      <c r="O98" s="43"/>
      <c r="P98" s="37"/>
      <c r="Q98" s="47">
        <f>ROUND((ROUND((ROUND((_11_A通院１増６．０*_11・基礎１),0)*_11・２人),0)*(1+_11・A深夜)),0)</f>
        <v>1046</v>
      </c>
      <c r="R98" s="48"/>
    </row>
    <row r="99" spans="1:18" ht="16.5" customHeight="1" x14ac:dyDescent="0.15">
      <c r="A99" s="41">
        <v>11</v>
      </c>
      <c r="B99" s="41" t="s">
        <v>7167</v>
      </c>
      <c r="C99" s="74" t="s">
        <v>7168</v>
      </c>
      <c r="D99" s="121"/>
      <c r="E99" s="99"/>
      <c r="F99" s="53"/>
      <c r="G99" s="49"/>
      <c r="H99" s="50"/>
      <c r="I99" s="44"/>
      <c r="J99" s="45"/>
      <c r="K99" s="46"/>
      <c r="L99" s="35"/>
      <c r="N99" s="57"/>
      <c r="O99" s="707" t="s">
        <v>404</v>
      </c>
      <c r="P99" s="708"/>
      <c r="Q99" s="47">
        <f>ROUND((ROUND((_11_A通院１増６．０*(1+_11・A深夜)),0)*_11・初任),0)</f>
        <v>1046</v>
      </c>
      <c r="R99" s="48"/>
    </row>
    <row r="100" spans="1:18" ht="16.5" customHeight="1" x14ac:dyDescent="0.15">
      <c r="A100" s="41">
        <v>11</v>
      </c>
      <c r="B100" s="41" t="s">
        <v>7169</v>
      </c>
      <c r="C100" s="74" t="s">
        <v>7170</v>
      </c>
      <c r="D100" s="121"/>
      <c r="E100" s="99"/>
      <c r="F100" s="43"/>
      <c r="G100" s="37"/>
      <c r="H100" s="38"/>
      <c r="I100" s="44" t="s">
        <v>397</v>
      </c>
      <c r="J100" s="45" t="s">
        <v>398</v>
      </c>
      <c r="K100" s="46">
        <v>1</v>
      </c>
      <c r="L100" s="35"/>
      <c r="N100" s="57"/>
      <c r="O100" s="709"/>
      <c r="P100" s="704"/>
      <c r="Q100" s="47">
        <f>ROUND((ROUND((ROUND((_11_A通院１増６．０*_11・２人),0)*(1+_11・A深夜)),0)*_11・初任),0)</f>
        <v>1046</v>
      </c>
      <c r="R100" s="48"/>
    </row>
    <row r="101" spans="1:18" ht="16.5" customHeight="1" x14ac:dyDescent="0.15">
      <c r="A101" s="41">
        <v>11</v>
      </c>
      <c r="B101" s="41" t="s">
        <v>7171</v>
      </c>
      <c r="C101" s="74" t="s">
        <v>7172</v>
      </c>
      <c r="D101" s="72"/>
      <c r="E101" s="99"/>
      <c r="F101" s="752" t="s">
        <v>400</v>
      </c>
      <c r="G101" s="49" t="s">
        <v>398</v>
      </c>
      <c r="H101" s="50">
        <v>0.7</v>
      </c>
      <c r="I101" s="44"/>
      <c r="J101" s="45"/>
      <c r="K101" s="46"/>
      <c r="L101" s="35"/>
      <c r="N101" s="57"/>
      <c r="O101" s="709"/>
      <c r="P101" s="704"/>
      <c r="Q101" s="47">
        <f>ROUND((ROUND((ROUND((_11_A通院１増６．０*_11・基礎１),0)*(1+_11・A深夜)),0)*_11・初任),0)</f>
        <v>732</v>
      </c>
      <c r="R101" s="48"/>
    </row>
    <row r="102" spans="1:18" ht="16.5" customHeight="1" x14ac:dyDescent="0.15">
      <c r="A102" s="41">
        <v>11</v>
      </c>
      <c r="B102" s="41" t="s">
        <v>7173</v>
      </c>
      <c r="C102" s="74" t="s">
        <v>7174</v>
      </c>
      <c r="D102" s="72"/>
      <c r="E102" s="99"/>
      <c r="F102" s="757"/>
      <c r="G102" s="37"/>
      <c r="H102" s="38"/>
      <c r="I102" s="44" t="s">
        <v>397</v>
      </c>
      <c r="J102" s="45" t="s">
        <v>398</v>
      </c>
      <c r="K102" s="46">
        <v>1</v>
      </c>
      <c r="L102" s="35"/>
      <c r="N102" s="57"/>
      <c r="O102" s="55" t="s">
        <v>398</v>
      </c>
      <c r="P102" s="38">
        <f>_11・初任</f>
        <v>0.7</v>
      </c>
      <c r="Q102" s="47">
        <f>ROUND((ROUND((ROUND((ROUND((_11_A通院１増６．０*_11・基礎１),0)*_11・２人),0)*(1+_11・A深夜)),0)*_11・初任),0)</f>
        <v>732</v>
      </c>
      <c r="R102" s="48"/>
    </row>
    <row r="103" spans="1:18" ht="16.5" customHeight="1" x14ac:dyDescent="0.15">
      <c r="A103" s="41">
        <v>11</v>
      </c>
      <c r="B103" s="41">
        <v>4015</v>
      </c>
      <c r="C103" s="74" t="s">
        <v>7175</v>
      </c>
      <c r="D103" s="707" t="s">
        <v>7176</v>
      </c>
      <c r="E103" s="717"/>
      <c r="F103" s="53"/>
      <c r="G103" s="49"/>
      <c r="H103" s="50"/>
      <c r="I103" s="44"/>
      <c r="J103" s="45"/>
      <c r="K103" s="46"/>
      <c r="L103" s="35"/>
      <c r="N103" s="57"/>
      <c r="O103" s="53"/>
      <c r="P103" s="49"/>
      <c r="Q103" s="47">
        <f>ROUND((_11_A通院１増６．５*(1+_11・A深夜)),0)</f>
        <v>1619</v>
      </c>
      <c r="R103" s="48"/>
    </row>
    <row r="104" spans="1:18" ht="16.5" customHeight="1" x14ac:dyDescent="0.15">
      <c r="A104" s="41">
        <v>11</v>
      </c>
      <c r="B104" s="41">
        <v>4016</v>
      </c>
      <c r="C104" s="74" t="s">
        <v>7177</v>
      </c>
      <c r="D104" s="709"/>
      <c r="E104" s="718"/>
      <c r="F104" s="43"/>
      <c r="G104" s="37"/>
      <c r="H104" s="38"/>
      <c r="I104" s="44" t="s">
        <v>397</v>
      </c>
      <c r="J104" s="45" t="s">
        <v>398</v>
      </c>
      <c r="K104" s="46">
        <v>1</v>
      </c>
      <c r="L104" s="35"/>
      <c r="N104" s="57"/>
      <c r="O104" s="35"/>
      <c r="Q104" s="47">
        <f>ROUND((ROUND((_11_A通院１増６．５*_11・２人),0)*(1+_11・A深夜)),0)</f>
        <v>1619</v>
      </c>
      <c r="R104" s="48"/>
    </row>
    <row r="105" spans="1:18" ht="16.5" customHeight="1" x14ac:dyDescent="0.15">
      <c r="A105" s="41">
        <v>11</v>
      </c>
      <c r="B105" s="41">
        <v>4017</v>
      </c>
      <c r="C105" s="74" t="s">
        <v>7178</v>
      </c>
      <c r="D105" s="709"/>
      <c r="E105" s="718"/>
      <c r="F105" s="752" t="s">
        <v>400</v>
      </c>
      <c r="G105" s="49" t="s">
        <v>398</v>
      </c>
      <c r="H105" s="50">
        <v>0.7</v>
      </c>
      <c r="I105" s="44"/>
      <c r="J105" s="45"/>
      <c r="K105" s="46"/>
      <c r="L105" s="35"/>
      <c r="N105" s="57"/>
      <c r="O105" s="35"/>
      <c r="Q105" s="47">
        <f>ROUND((ROUND((_11_A通院１増６．５*_11・基礎１),0)*(1+_11・A深夜)),0)</f>
        <v>1133</v>
      </c>
      <c r="R105" s="48"/>
    </row>
    <row r="106" spans="1:18" ht="16.5" customHeight="1" x14ac:dyDescent="0.15">
      <c r="A106" s="41">
        <v>11</v>
      </c>
      <c r="B106" s="41">
        <v>4018</v>
      </c>
      <c r="C106" s="74" t="s">
        <v>7179</v>
      </c>
      <c r="D106" s="100">
        <f>_11_A通院１増６．５</f>
        <v>1079</v>
      </c>
      <c r="E106" s="12" t="s">
        <v>392</v>
      </c>
      <c r="F106" s="757"/>
      <c r="G106" s="37"/>
      <c r="H106" s="38"/>
      <c r="I106" s="44" t="s">
        <v>397</v>
      </c>
      <c r="J106" s="45" t="s">
        <v>398</v>
      </c>
      <c r="K106" s="46">
        <v>1</v>
      </c>
      <c r="L106" s="35"/>
      <c r="N106" s="57"/>
      <c r="O106" s="43"/>
      <c r="P106" s="37"/>
      <c r="Q106" s="47">
        <f>ROUND((ROUND((ROUND((_11_A通院１増６．５*_11・基礎１),0)*_11・２人),0)*(1+_11・A深夜)),0)</f>
        <v>1133</v>
      </c>
      <c r="R106" s="48"/>
    </row>
    <row r="107" spans="1:18" ht="16.5" customHeight="1" x14ac:dyDescent="0.15">
      <c r="A107" s="41">
        <v>11</v>
      </c>
      <c r="B107" s="41" t="s">
        <v>7180</v>
      </c>
      <c r="C107" s="74" t="s">
        <v>7181</v>
      </c>
      <c r="D107" s="121"/>
      <c r="E107" s="99"/>
      <c r="F107" s="53"/>
      <c r="G107" s="49"/>
      <c r="H107" s="50"/>
      <c r="I107" s="44"/>
      <c r="J107" s="45"/>
      <c r="K107" s="46"/>
      <c r="L107" s="35"/>
      <c r="N107" s="57"/>
      <c r="O107" s="707" t="s">
        <v>404</v>
      </c>
      <c r="P107" s="708"/>
      <c r="Q107" s="47">
        <f>ROUND((ROUND((_11_A通院１増６．５*(1+_11・A深夜)),0)*_11・初任),0)</f>
        <v>1133</v>
      </c>
      <c r="R107" s="48"/>
    </row>
    <row r="108" spans="1:18" ht="16.5" customHeight="1" x14ac:dyDescent="0.15">
      <c r="A108" s="41">
        <v>11</v>
      </c>
      <c r="B108" s="41" t="s">
        <v>7182</v>
      </c>
      <c r="C108" s="74" t="s">
        <v>7183</v>
      </c>
      <c r="D108" s="121"/>
      <c r="E108" s="99"/>
      <c r="F108" s="43"/>
      <c r="G108" s="37"/>
      <c r="H108" s="38"/>
      <c r="I108" s="44" t="s">
        <v>397</v>
      </c>
      <c r="J108" s="45" t="s">
        <v>398</v>
      </c>
      <c r="K108" s="46">
        <v>1</v>
      </c>
      <c r="L108" s="35"/>
      <c r="N108" s="57"/>
      <c r="O108" s="709"/>
      <c r="P108" s="704"/>
      <c r="Q108" s="47">
        <f>ROUND((ROUND((ROUND((_11_A通院１増６．５*_11・２人),0)*(1+_11・A深夜)),0)*_11・初任),0)</f>
        <v>1133</v>
      </c>
      <c r="R108" s="48"/>
    </row>
    <row r="109" spans="1:18" ht="16.5" customHeight="1" x14ac:dyDescent="0.15">
      <c r="A109" s="41">
        <v>11</v>
      </c>
      <c r="B109" s="41" t="s">
        <v>7184</v>
      </c>
      <c r="C109" s="74" t="s">
        <v>7185</v>
      </c>
      <c r="D109" s="72"/>
      <c r="E109" s="99"/>
      <c r="F109" s="752" t="s">
        <v>400</v>
      </c>
      <c r="G109" s="49" t="s">
        <v>398</v>
      </c>
      <c r="H109" s="50">
        <v>0.7</v>
      </c>
      <c r="I109" s="44"/>
      <c r="J109" s="45"/>
      <c r="K109" s="46"/>
      <c r="L109" s="35"/>
      <c r="N109" s="57"/>
      <c r="O109" s="709"/>
      <c r="P109" s="704"/>
      <c r="Q109" s="47">
        <f>ROUND((ROUND((ROUND((_11_A通院１増６．５*_11・基礎１),0)*(1+_11・A深夜)),0)*_11・初任),0)</f>
        <v>793</v>
      </c>
      <c r="R109" s="48"/>
    </row>
    <row r="110" spans="1:18" ht="16.5" customHeight="1" x14ac:dyDescent="0.15">
      <c r="A110" s="41">
        <v>11</v>
      </c>
      <c r="B110" s="41" t="s">
        <v>7186</v>
      </c>
      <c r="C110" s="74" t="s">
        <v>7187</v>
      </c>
      <c r="D110" s="122"/>
      <c r="E110" s="111"/>
      <c r="F110" s="757"/>
      <c r="G110" s="37"/>
      <c r="H110" s="38"/>
      <c r="I110" s="44" t="s">
        <v>397</v>
      </c>
      <c r="J110" s="45" t="s">
        <v>398</v>
      </c>
      <c r="K110" s="46">
        <v>1</v>
      </c>
      <c r="L110" s="43"/>
      <c r="M110" s="38"/>
      <c r="N110" s="79"/>
      <c r="O110" s="55" t="s">
        <v>398</v>
      </c>
      <c r="P110" s="38">
        <f>_11・初任</f>
        <v>0.7</v>
      </c>
      <c r="Q110" s="47">
        <f>ROUND((ROUND((ROUND((ROUND((_11_A通院１増６．５*_11・基礎１),0)*_11・２人),0)*(1+_11・A深夜)),0)*_11・初任),0)</f>
        <v>793</v>
      </c>
      <c r="R110" s="63"/>
    </row>
    <row r="111" spans="1:18" ht="16.5" customHeight="1" x14ac:dyDescent="0.15"/>
    <row r="112" spans="1:18" ht="16.5" customHeight="1" x14ac:dyDescent="0.15"/>
  </sheetData>
  <mergeCells count="54">
    <mergeCell ref="D103:E105"/>
    <mergeCell ref="F105:F106"/>
    <mergeCell ref="O107:P109"/>
    <mergeCell ref="F109:F110"/>
    <mergeCell ref="O91:P93"/>
    <mergeCell ref="F93:F94"/>
    <mergeCell ref="D95:E97"/>
    <mergeCell ref="F97:F98"/>
    <mergeCell ref="O99:P101"/>
    <mergeCell ref="F101:F102"/>
    <mergeCell ref="D63:E65"/>
    <mergeCell ref="F65:F66"/>
    <mergeCell ref="D87:E89"/>
    <mergeCell ref="F89:F90"/>
    <mergeCell ref="O67:P69"/>
    <mergeCell ref="F69:F70"/>
    <mergeCell ref="D71:E73"/>
    <mergeCell ref="F73:F74"/>
    <mergeCell ref="O75:P77"/>
    <mergeCell ref="F77:F78"/>
    <mergeCell ref="D79:E81"/>
    <mergeCell ref="N80:N81"/>
    <mergeCell ref="F81:F82"/>
    <mergeCell ref="O83:P85"/>
    <mergeCell ref="F85:F86"/>
    <mergeCell ref="O51:P53"/>
    <mergeCell ref="F53:F54"/>
    <mergeCell ref="D55:E57"/>
    <mergeCell ref="F57:F58"/>
    <mergeCell ref="O59:P61"/>
    <mergeCell ref="F61:F62"/>
    <mergeCell ref="D39:E41"/>
    <mergeCell ref="F41:F42"/>
    <mergeCell ref="O43:P45"/>
    <mergeCell ref="F45:F46"/>
    <mergeCell ref="D47:E49"/>
    <mergeCell ref="F49:F50"/>
    <mergeCell ref="O27:P29"/>
    <mergeCell ref="F29:F30"/>
    <mergeCell ref="D31:E33"/>
    <mergeCell ref="F33:F34"/>
    <mergeCell ref="O35:P37"/>
    <mergeCell ref="F37:F38"/>
    <mergeCell ref="O19:P21"/>
    <mergeCell ref="F21:F22"/>
    <mergeCell ref="D23:E25"/>
    <mergeCell ref="F25:F26"/>
    <mergeCell ref="D15:E17"/>
    <mergeCell ref="F17:F18"/>
    <mergeCell ref="D7:E9"/>
    <mergeCell ref="N8:N9"/>
    <mergeCell ref="F9:F10"/>
    <mergeCell ref="O11:P13"/>
    <mergeCell ref="F13:F14"/>
  </mergeCells>
  <phoneticPr fontId="1"/>
  <printOptions horizontalCentered="1"/>
  <pageMargins left="0.70866141732283472" right="0.70866141732283472" top="0.74803149606299213" bottom="0.74803149606299213" header="0.31496062992125984" footer="0.31496062992125984"/>
  <pageSetup paperSize="9" scale="57" fitToHeight="0" orientation="portrait" r:id="rId1"/>
  <headerFooter>
    <oddHeader>&amp;R&amp;"ＭＳ Ｐゴシック"&amp;9居宅介護</oddHeader>
    <oddFooter>&amp;C&amp;"ＭＳ Ｐゴシック"&amp;14&amp;P</oddFooter>
  </headerFooter>
  <rowBreaks count="1" manualBreakCount="1">
    <brk id="78" max="17"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P146"/>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5.875" style="10" bestFit="1" customWidth="1"/>
    <col min="4" max="4" width="5.875" style="10" bestFit="1" customWidth="1"/>
    <col min="5" max="5" width="5.5" style="117" bestFit="1" customWidth="1"/>
    <col min="6" max="6" width="24.875" style="14" bestFit="1" customWidth="1"/>
    <col min="7" max="7" width="3.5" style="12" bestFit="1" customWidth="1"/>
    <col min="8" max="8" width="5.5" style="13" bestFit="1" customWidth="1"/>
    <col min="9" max="9" width="3.5" style="12" bestFit="1" customWidth="1"/>
    <col min="10" max="10" width="4.5" style="13" bestFit="1" customWidth="1"/>
    <col min="11" max="11" width="5.5" style="12" bestFit="1" customWidth="1"/>
    <col min="12" max="12" width="17.875" style="12" customWidth="1"/>
    <col min="13" max="13" width="3.5" style="12" bestFit="1" customWidth="1"/>
    <col min="14" max="14" width="4.5" style="12" bestFit="1" customWidth="1"/>
    <col min="15" max="15" width="7.125" style="15" customWidth="1"/>
    <col min="16" max="16" width="8.5" style="16" customWidth="1"/>
    <col min="17" max="16384" width="8.875" style="12"/>
  </cols>
  <sheetData>
    <row r="1" spans="1:16" ht="17.100000000000001" customHeight="1" x14ac:dyDescent="0.15"/>
    <row r="2" spans="1:16" ht="17.100000000000001" customHeight="1" x14ac:dyDescent="0.15"/>
    <row r="3" spans="1:16" ht="17.100000000000001" customHeight="1" x14ac:dyDescent="0.15"/>
    <row r="4" spans="1:16" ht="17.100000000000001" customHeight="1" x14ac:dyDescent="0.15">
      <c r="B4" s="17" t="s">
        <v>7188</v>
      </c>
      <c r="D4" s="71"/>
    </row>
    <row r="5" spans="1:16" ht="16.5" customHeight="1" x14ac:dyDescent="0.15">
      <c r="A5" s="19" t="s">
        <v>384</v>
      </c>
      <c r="B5" s="20"/>
      <c r="C5" s="21" t="s">
        <v>385</v>
      </c>
      <c r="D5" s="23" t="s">
        <v>386</v>
      </c>
      <c r="E5" s="118"/>
      <c r="F5" s="23"/>
      <c r="G5" s="23"/>
      <c r="H5" s="24"/>
      <c r="I5" s="23"/>
      <c r="J5" s="24"/>
      <c r="K5" s="23"/>
      <c r="L5" s="23"/>
      <c r="M5" s="23"/>
      <c r="N5" s="23"/>
      <c r="O5" s="25" t="s">
        <v>387</v>
      </c>
      <c r="P5" s="21" t="s">
        <v>388</v>
      </c>
    </row>
    <row r="6" spans="1:16" ht="16.5" customHeight="1" x14ac:dyDescent="0.15">
      <c r="A6" s="26" t="s">
        <v>389</v>
      </c>
      <c r="B6" s="26" t="s">
        <v>390</v>
      </c>
      <c r="C6" s="27"/>
      <c r="D6" s="29"/>
      <c r="E6" s="120"/>
      <c r="F6" s="29"/>
      <c r="G6" s="29"/>
      <c r="H6" s="30"/>
      <c r="I6" s="29"/>
      <c r="J6" s="30"/>
      <c r="K6" s="29"/>
      <c r="L6" s="29"/>
      <c r="M6" s="29"/>
      <c r="N6" s="29"/>
      <c r="O6" s="31" t="s">
        <v>391</v>
      </c>
      <c r="P6" s="32" t="s">
        <v>392</v>
      </c>
    </row>
    <row r="7" spans="1:16" ht="16.5" customHeight="1" x14ac:dyDescent="0.15">
      <c r="A7" s="33">
        <v>11</v>
      </c>
      <c r="B7" s="33">
        <v>4019</v>
      </c>
      <c r="C7" s="34" t="s">
        <v>7189</v>
      </c>
      <c r="D7" s="709" t="s">
        <v>3710</v>
      </c>
      <c r="E7" s="718"/>
      <c r="F7" s="36"/>
      <c r="G7" s="37"/>
      <c r="H7" s="38"/>
      <c r="I7" s="35"/>
      <c r="K7" s="57"/>
      <c r="L7" s="35"/>
      <c r="O7" s="39">
        <f>_11_A重度研修１．０</f>
        <v>185</v>
      </c>
      <c r="P7" s="40" t="s">
        <v>395</v>
      </c>
    </row>
    <row r="8" spans="1:16" ht="16.5" customHeight="1" x14ac:dyDescent="0.15">
      <c r="A8" s="41">
        <v>11</v>
      </c>
      <c r="B8" s="41">
        <v>4020</v>
      </c>
      <c r="C8" s="74" t="s">
        <v>7190</v>
      </c>
      <c r="D8" s="709"/>
      <c r="E8" s="718"/>
      <c r="F8" s="44" t="s">
        <v>397</v>
      </c>
      <c r="G8" s="45" t="s">
        <v>398</v>
      </c>
      <c r="H8" s="46">
        <v>1</v>
      </c>
      <c r="I8" s="35"/>
      <c r="K8" s="57"/>
      <c r="L8" s="43"/>
      <c r="M8" s="37"/>
      <c r="N8" s="37"/>
      <c r="O8" s="47">
        <f>ROUND((_11_A重度研修１．０*_11・２人),0)</f>
        <v>185</v>
      </c>
      <c r="P8" s="48"/>
    </row>
    <row r="9" spans="1:16" ht="16.5" customHeight="1" x14ac:dyDescent="0.15">
      <c r="A9" s="41">
        <v>11</v>
      </c>
      <c r="B9" s="41" t="s">
        <v>7191</v>
      </c>
      <c r="C9" s="74" t="s">
        <v>7192</v>
      </c>
      <c r="D9" s="709"/>
      <c r="E9" s="718"/>
      <c r="F9" s="44"/>
      <c r="G9" s="45"/>
      <c r="H9" s="46"/>
      <c r="I9" s="35"/>
      <c r="K9" s="57"/>
      <c r="L9" s="734" t="s">
        <v>404</v>
      </c>
      <c r="M9" s="49" t="s">
        <v>398</v>
      </c>
      <c r="N9" s="50">
        <f>_11・初任</f>
        <v>0.7</v>
      </c>
      <c r="O9" s="47">
        <f>ROUND((_11_A重度研修１．０*_11・初任),0)</f>
        <v>130</v>
      </c>
      <c r="P9" s="48"/>
    </row>
    <row r="10" spans="1:16" ht="16.5" customHeight="1" x14ac:dyDescent="0.15">
      <c r="A10" s="41">
        <v>11</v>
      </c>
      <c r="B10" s="41" t="s">
        <v>7193</v>
      </c>
      <c r="C10" s="74" t="s">
        <v>7194</v>
      </c>
      <c r="D10" s="100">
        <f>_11_A重度研修１．０</f>
        <v>185</v>
      </c>
      <c r="E10" s="12" t="s">
        <v>392</v>
      </c>
      <c r="F10" s="44" t="s">
        <v>397</v>
      </c>
      <c r="G10" s="45" t="s">
        <v>398</v>
      </c>
      <c r="H10" s="46">
        <v>1</v>
      </c>
      <c r="I10" s="35"/>
      <c r="K10" s="57"/>
      <c r="L10" s="706"/>
      <c r="M10" s="37"/>
      <c r="N10" s="38"/>
      <c r="O10" s="47">
        <f>ROUND((ROUND((_11_A重度研修１．０*_11・２人),0)*_11・初任),0)</f>
        <v>130</v>
      </c>
      <c r="P10" s="48"/>
    </row>
    <row r="11" spans="1:16" ht="16.5" customHeight="1" x14ac:dyDescent="0.15">
      <c r="A11" s="41">
        <v>11</v>
      </c>
      <c r="B11" s="41">
        <v>4229</v>
      </c>
      <c r="C11" s="74" t="s">
        <v>7195</v>
      </c>
      <c r="D11" s="707" t="s">
        <v>3739</v>
      </c>
      <c r="E11" s="717"/>
      <c r="F11" s="44"/>
      <c r="G11" s="45"/>
      <c r="H11" s="46"/>
      <c r="I11" s="35"/>
      <c r="K11" s="57"/>
      <c r="L11" s="53"/>
      <c r="M11" s="49"/>
      <c r="N11" s="49"/>
      <c r="O11" s="47">
        <f>_11_A重度研修１．５</f>
        <v>275</v>
      </c>
      <c r="P11" s="48"/>
    </row>
    <row r="12" spans="1:16" ht="16.5" customHeight="1" x14ac:dyDescent="0.15">
      <c r="A12" s="41">
        <v>11</v>
      </c>
      <c r="B12" s="41">
        <v>4230</v>
      </c>
      <c r="C12" s="74" t="s">
        <v>7196</v>
      </c>
      <c r="D12" s="709"/>
      <c r="E12" s="718"/>
      <c r="F12" s="44" t="s">
        <v>397</v>
      </c>
      <c r="G12" s="45" t="s">
        <v>398</v>
      </c>
      <c r="H12" s="46">
        <v>1</v>
      </c>
      <c r="I12" s="35"/>
      <c r="K12" s="57"/>
      <c r="L12" s="43"/>
      <c r="M12" s="37"/>
      <c r="N12" s="37"/>
      <c r="O12" s="47">
        <f>ROUND((_11_A重度研修１．５*_11・２人),0)</f>
        <v>275</v>
      </c>
      <c r="P12" s="48"/>
    </row>
    <row r="13" spans="1:16" ht="16.5" customHeight="1" x14ac:dyDescent="0.15">
      <c r="A13" s="41">
        <v>11</v>
      </c>
      <c r="B13" s="41" t="s">
        <v>7197</v>
      </c>
      <c r="C13" s="74" t="s">
        <v>7198</v>
      </c>
      <c r="D13" s="709"/>
      <c r="E13" s="718"/>
      <c r="F13" s="44"/>
      <c r="G13" s="45"/>
      <c r="H13" s="46"/>
      <c r="I13" s="35"/>
      <c r="K13" s="57"/>
      <c r="L13" s="734" t="s">
        <v>404</v>
      </c>
      <c r="M13" s="49" t="s">
        <v>398</v>
      </c>
      <c r="N13" s="50">
        <f>_11・初任</f>
        <v>0.7</v>
      </c>
      <c r="O13" s="47">
        <f>ROUND((_11_A重度研修１．５*_11・初任),0)</f>
        <v>193</v>
      </c>
      <c r="P13" s="48"/>
    </row>
    <row r="14" spans="1:16" ht="16.5" customHeight="1" x14ac:dyDescent="0.15">
      <c r="A14" s="41">
        <v>11</v>
      </c>
      <c r="B14" s="41" t="s">
        <v>7199</v>
      </c>
      <c r="C14" s="74" t="s">
        <v>7200</v>
      </c>
      <c r="D14" s="100">
        <f>_11_A重度研修１．５</f>
        <v>275</v>
      </c>
      <c r="E14" s="12" t="s">
        <v>392</v>
      </c>
      <c r="F14" s="44" t="s">
        <v>397</v>
      </c>
      <c r="G14" s="45" t="s">
        <v>398</v>
      </c>
      <c r="H14" s="46">
        <v>1</v>
      </c>
      <c r="I14" s="35"/>
      <c r="K14" s="57"/>
      <c r="L14" s="706"/>
      <c r="M14" s="37"/>
      <c r="N14" s="38"/>
      <c r="O14" s="47">
        <f>ROUND((ROUND((_11_A重度研修１．５*_11・２人),0)*_11・初任),0)</f>
        <v>193</v>
      </c>
      <c r="P14" s="48"/>
    </row>
    <row r="15" spans="1:16" ht="16.5" customHeight="1" x14ac:dyDescent="0.15">
      <c r="A15" s="41">
        <v>11</v>
      </c>
      <c r="B15" s="41">
        <v>4021</v>
      </c>
      <c r="C15" s="74" t="s">
        <v>7201</v>
      </c>
      <c r="D15" s="707" t="s">
        <v>3758</v>
      </c>
      <c r="E15" s="717"/>
      <c r="F15" s="44"/>
      <c r="G15" s="45"/>
      <c r="H15" s="46"/>
      <c r="I15" s="35"/>
      <c r="K15" s="57"/>
      <c r="L15" s="53"/>
      <c r="M15" s="49"/>
      <c r="N15" s="49"/>
      <c r="O15" s="47">
        <f>_11_A重度研修２．０</f>
        <v>367</v>
      </c>
      <c r="P15" s="48"/>
    </row>
    <row r="16" spans="1:16" ht="16.5" customHeight="1" x14ac:dyDescent="0.15">
      <c r="A16" s="41">
        <v>11</v>
      </c>
      <c r="B16" s="41">
        <v>4022</v>
      </c>
      <c r="C16" s="74" t="s">
        <v>7202</v>
      </c>
      <c r="D16" s="709"/>
      <c r="E16" s="718"/>
      <c r="F16" s="164" t="s">
        <v>397</v>
      </c>
      <c r="G16" s="45" t="s">
        <v>398</v>
      </c>
      <c r="H16" s="46">
        <v>1</v>
      </c>
      <c r="I16" s="35"/>
      <c r="K16" s="57"/>
      <c r="L16" s="43"/>
      <c r="M16" s="37"/>
      <c r="N16" s="37"/>
      <c r="O16" s="47">
        <f>ROUND((_11_A重度研修２．０*_11・２人),0)</f>
        <v>367</v>
      </c>
      <c r="P16" s="48"/>
    </row>
    <row r="17" spans="1:16" ht="16.5" customHeight="1" x14ac:dyDescent="0.15">
      <c r="A17" s="41">
        <v>11</v>
      </c>
      <c r="B17" s="41" t="s">
        <v>7203</v>
      </c>
      <c r="C17" s="74" t="s">
        <v>7204</v>
      </c>
      <c r="D17" s="709"/>
      <c r="E17" s="718"/>
      <c r="F17" s="44"/>
      <c r="G17" s="45"/>
      <c r="H17" s="46"/>
      <c r="I17" s="35"/>
      <c r="K17" s="57"/>
      <c r="L17" s="734" t="s">
        <v>404</v>
      </c>
      <c r="M17" s="49" t="s">
        <v>398</v>
      </c>
      <c r="N17" s="50">
        <f>_11・初任</f>
        <v>0.7</v>
      </c>
      <c r="O17" s="47">
        <f>ROUND((_11_A重度研修２．０*_11・初任),0)</f>
        <v>257</v>
      </c>
      <c r="P17" s="48"/>
    </row>
    <row r="18" spans="1:16" ht="16.5" customHeight="1" x14ac:dyDescent="0.15">
      <c r="A18" s="41">
        <v>11</v>
      </c>
      <c r="B18" s="41" t="s">
        <v>7205</v>
      </c>
      <c r="C18" s="74" t="s">
        <v>7206</v>
      </c>
      <c r="D18" s="100">
        <f>_11_A重度研修２．０</f>
        <v>367</v>
      </c>
      <c r="E18" s="12" t="s">
        <v>392</v>
      </c>
      <c r="F18" s="164" t="s">
        <v>397</v>
      </c>
      <c r="G18" s="45" t="s">
        <v>398</v>
      </c>
      <c r="H18" s="46">
        <v>1</v>
      </c>
      <c r="I18" s="35"/>
      <c r="K18" s="57"/>
      <c r="L18" s="706"/>
      <c r="M18" s="37"/>
      <c r="N18" s="38"/>
      <c r="O18" s="47">
        <f>ROUND((ROUND((_11_A重度研修２．０*_11・２人),0)*_11・初任),0)</f>
        <v>257</v>
      </c>
      <c r="P18" s="48"/>
    </row>
    <row r="19" spans="1:16" ht="16.5" customHeight="1" x14ac:dyDescent="0.15">
      <c r="A19" s="41">
        <v>11</v>
      </c>
      <c r="B19" s="41">
        <v>4231</v>
      </c>
      <c r="C19" s="74" t="s">
        <v>7207</v>
      </c>
      <c r="D19" s="707" t="s">
        <v>3771</v>
      </c>
      <c r="E19" s="717"/>
      <c r="F19" s="44"/>
      <c r="G19" s="45"/>
      <c r="H19" s="46"/>
      <c r="I19" s="35"/>
      <c r="K19" s="57"/>
      <c r="L19" s="53"/>
      <c r="M19" s="49"/>
      <c r="N19" s="49"/>
      <c r="O19" s="47">
        <f>_11_A重度研修２．５</f>
        <v>458</v>
      </c>
      <c r="P19" s="48"/>
    </row>
    <row r="20" spans="1:16" ht="16.5" customHeight="1" x14ac:dyDescent="0.15">
      <c r="A20" s="41">
        <v>11</v>
      </c>
      <c r="B20" s="41">
        <v>4232</v>
      </c>
      <c r="C20" s="74" t="s">
        <v>7208</v>
      </c>
      <c r="D20" s="709"/>
      <c r="E20" s="718"/>
      <c r="F20" s="44" t="s">
        <v>397</v>
      </c>
      <c r="G20" s="45" t="s">
        <v>398</v>
      </c>
      <c r="H20" s="46">
        <v>1</v>
      </c>
      <c r="I20" s="35"/>
      <c r="K20" s="57"/>
      <c r="L20" s="43"/>
      <c r="M20" s="37"/>
      <c r="N20" s="37"/>
      <c r="O20" s="47">
        <f>ROUND((_11_A重度研修２．５*_11・２人),0)</f>
        <v>458</v>
      </c>
      <c r="P20" s="48"/>
    </row>
    <row r="21" spans="1:16" ht="16.5" customHeight="1" x14ac:dyDescent="0.15">
      <c r="A21" s="41">
        <v>11</v>
      </c>
      <c r="B21" s="41" t="s">
        <v>7209</v>
      </c>
      <c r="C21" s="74" t="s">
        <v>7210</v>
      </c>
      <c r="D21" s="709"/>
      <c r="E21" s="718"/>
      <c r="F21" s="44"/>
      <c r="G21" s="45"/>
      <c r="H21" s="46"/>
      <c r="I21" s="35"/>
      <c r="K21" s="57"/>
      <c r="L21" s="734" t="s">
        <v>404</v>
      </c>
      <c r="M21" s="49" t="s">
        <v>398</v>
      </c>
      <c r="N21" s="50">
        <f>_11・初任</f>
        <v>0.7</v>
      </c>
      <c r="O21" s="47">
        <f>ROUND((_11_A重度研修２．５*_11・初任),0)</f>
        <v>321</v>
      </c>
      <c r="P21" s="48"/>
    </row>
    <row r="22" spans="1:16" ht="16.5" customHeight="1" x14ac:dyDescent="0.15">
      <c r="A22" s="41">
        <v>11</v>
      </c>
      <c r="B22" s="41" t="s">
        <v>7211</v>
      </c>
      <c r="C22" s="74" t="s">
        <v>7212</v>
      </c>
      <c r="D22" s="100">
        <f>_11_A重度研修２．５</f>
        <v>458</v>
      </c>
      <c r="E22" s="12" t="s">
        <v>392</v>
      </c>
      <c r="F22" s="44" t="s">
        <v>397</v>
      </c>
      <c r="G22" s="45" t="s">
        <v>398</v>
      </c>
      <c r="H22" s="46">
        <v>1</v>
      </c>
      <c r="I22" s="35"/>
      <c r="K22" s="57"/>
      <c r="L22" s="706"/>
      <c r="M22" s="37"/>
      <c r="N22" s="38"/>
      <c r="O22" s="47">
        <f>ROUND((ROUND((_11_A重度研修２．５*_11・２人),0)*_11・初任),0)</f>
        <v>321</v>
      </c>
      <c r="P22" s="48"/>
    </row>
    <row r="23" spans="1:16" ht="16.5" customHeight="1" x14ac:dyDescent="0.15">
      <c r="A23" s="41">
        <v>11</v>
      </c>
      <c r="B23" s="41">
        <v>4023</v>
      </c>
      <c r="C23" s="74" t="s">
        <v>7213</v>
      </c>
      <c r="D23" s="707" t="s">
        <v>7214</v>
      </c>
      <c r="E23" s="717"/>
      <c r="F23" s="44"/>
      <c r="G23" s="45"/>
      <c r="H23" s="46"/>
      <c r="I23" s="35"/>
      <c r="K23" s="57"/>
      <c r="L23" s="53"/>
      <c r="M23" s="49"/>
      <c r="N23" s="49"/>
      <c r="O23" s="47">
        <f>_11_A重度研修３．０</f>
        <v>550</v>
      </c>
      <c r="P23" s="48"/>
    </row>
    <row r="24" spans="1:16" ht="16.5" customHeight="1" x14ac:dyDescent="0.15">
      <c r="A24" s="41">
        <v>11</v>
      </c>
      <c r="B24" s="41">
        <v>4024</v>
      </c>
      <c r="C24" s="74" t="s">
        <v>7215</v>
      </c>
      <c r="D24" s="709"/>
      <c r="E24" s="718"/>
      <c r="F24" s="44" t="s">
        <v>397</v>
      </c>
      <c r="G24" s="45" t="s">
        <v>398</v>
      </c>
      <c r="H24" s="46">
        <v>1</v>
      </c>
      <c r="I24" s="35"/>
      <c r="K24" s="57"/>
      <c r="L24" s="43"/>
      <c r="M24" s="37"/>
      <c r="N24" s="37"/>
      <c r="O24" s="47">
        <f>ROUND((_11_A重度研修３．０*_11・２人),0)</f>
        <v>550</v>
      </c>
      <c r="P24" s="48"/>
    </row>
    <row r="25" spans="1:16" ht="16.5" customHeight="1" x14ac:dyDescent="0.15">
      <c r="A25" s="41">
        <v>11</v>
      </c>
      <c r="B25" s="41" t="s">
        <v>7216</v>
      </c>
      <c r="C25" s="74" t="s">
        <v>7217</v>
      </c>
      <c r="D25" s="709"/>
      <c r="E25" s="718"/>
      <c r="F25" s="44"/>
      <c r="G25" s="45"/>
      <c r="H25" s="46"/>
      <c r="I25" s="35"/>
      <c r="K25" s="57"/>
      <c r="L25" s="734" t="s">
        <v>404</v>
      </c>
      <c r="M25" s="49" t="s">
        <v>398</v>
      </c>
      <c r="N25" s="50">
        <f>_11・初任</f>
        <v>0.7</v>
      </c>
      <c r="O25" s="47">
        <f>ROUND((_11_A重度研修３．０*_11・初任),0)</f>
        <v>385</v>
      </c>
      <c r="P25" s="48"/>
    </row>
    <row r="26" spans="1:16" ht="16.5" customHeight="1" x14ac:dyDescent="0.15">
      <c r="A26" s="41">
        <v>11</v>
      </c>
      <c r="B26" s="41" t="s">
        <v>7218</v>
      </c>
      <c r="C26" s="74" t="s">
        <v>7219</v>
      </c>
      <c r="D26" s="100">
        <f>_11_A重度研修３．０</f>
        <v>550</v>
      </c>
      <c r="E26" s="12" t="s">
        <v>392</v>
      </c>
      <c r="F26" s="44" t="s">
        <v>397</v>
      </c>
      <c r="G26" s="45" t="s">
        <v>398</v>
      </c>
      <c r="H26" s="46">
        <v>1</v>
      </c>
      <c r="I26" s="35"/>
      <c r="K26" s="57"/>
      <c r="L26" s="706"/>
      <c r="M26" s="37"/>
      <c r="N26" s="38"/>
      <c r="O26" s="47">
        <f>ROUND((ROUND((_11_A重度研修３．０*_11・２人),0)*_11・初任),0)</f>
        <v>385</v>
      </c>
      <c r="P26" s="48"/>
    </row>
    <row r="27" spans="1:16" ht="16.5" customHeight="1" x14ac:dyDescent="0.15">
      <c r="A27" s="41">
        <v>11</v>
      </c>
      <c r="B27" s="41">
        <v>4025</v>
      </c>
      <c r="C27" s="74" t="s">
        <v>7220</v>
      </c>
      <c r="D27" s="707" t="s">
        <v>7221</v>
      </c>
      <c r="E27" s="717"/>
      <c r="F27" s="44"/>
      <c r="G27" s="45"/>
      <c r="H27" s="46"/>
      <c r="I27" s="35"/>
      <c r="K27" s="57"/>
      <c r="L27" s="53"/>
      <c r="M27" s="49"/>
      <c r="N27" s="49"/>
      <c r="O27" s="47">
        <f>_11_A重度研修３．５</f>
        <v>635</v>
      </c>
      <c r="P27" s="48"/>
    </row>
    <row r="28" spans="1:16" ht="16.5" customHeight="1" x14ac:dyDescent="0.15">
      <c r="A28" s="41">
        <v>11</v>
      </c>
      <c r="B28" s="41">
        <v>4026</v>
      </c>
      <c r="C28" s="74" t="s">
        <v>7222</v>
      </c>
      <c r="D28" s="709"/>
      <c r="E28" s="718"/>
      <c r="F28" s="44" t="s">
        <v>397</v>
      </c>
      <c r="G28" s="45" t="s">
        <v>398</v>
      </c>
      <c r="H28" s="46">
        <v>1</v>
      </c>
      <c r="I28" s="35"/>
      <c r="K28" s="57"/>
      <c r="L28" s="43"/>
      <c r="M28" s="37"/>
      <c r="N28" s="37"/>
      <c r="O28" s="47">
        <f>ROUND((_11_A重度研修３．５*_11・２人),0)</f>
        <v>635</v>
      </c>
      <c r="P28" s="48"/>
    </row>
    <row r="29" spans="1:16" ht="16.5" customHeight="1" x14ac:dyDescent="0.15">
      <c r="A29" s="41">
        <v>11</v>
      </c>
      <c r="B29" s="41" t="s">
        <v>7223</v>
      </c>
      <c r="C29" s="74" t="s">
        <v>7224</v>
      </c>
      <c r="D29" s="709"/>
      <c r="E29" s="718"/>
      <c r="F29" s="44"/>
      <c r="G29" s="45"/>
      <c r="H29" s="46"/>
      <c r="I29" s="35"/>
      <c r="K29" s="57"/>
      <c r="L29" s="734" t="s">
        <v>404</v>
      </c>
      <c r="M29" s="49" t="s">
        <v>398</v>
      </c>
      <c r="N29" s="50">
        <f>_11・初任</f>
        <v>0.7</v>
      </c>
      <c r="O29" s="47">
        <f>ROUND((_11_A重度研修３．５*_11・初任),0)</f>
        <v>445</v>
      </c>
      <c r="P29" s="48"/>
    </row>
    <row r="30" spans="1:16" ht="16.5" customHeight="1" x14ac:dyDescent="0.15">
      <c r="A30" s="41">
        <v>11</v>
      </c>
      <c r="B30" s="41" t="s">
        <v>7225</v>
      </c>
      <c r="C30" s="74" t="s">
        <v>7226</v>
      </c>
      <c r="D30" s="100">
        <f>_11_A重度研修３．５</f>
        <v>635</v>
      </c>
      <c r="E30" s="12" t="s">
        <v>392</v>
      </c>
      <c r="F30" s="44" t="s">
        <v>397</v>
      </c>
      <c r="G30" s="45" t="s">
        <v>398</v>
      </c>
      <c r="H30" s="46">
        <v>1</v>
      </c>
      <c r="I30" s="35"/>
      <c r="K30" s="57"/>
      <c r="L30" s="706"/>
      <c r="M30" s="37"/>
      <c r="N30" s="38"/>
      <c r="O30" s="47">
        <f>ROUND((ROUND((_11_A重度研修３．５*_11・２人),0)*_11・初任),0)</f>
        <v>445</v>
      </c>
      <c r="P30" s="48"/>
    </row>
    <row r="31" spans="1:16" ht="16.5" customHeight="1" x14ac:dyDescent="0.15">
      <c r="A31" s="41">
        <v>11</v>
      </c>
      <c r="B31" s="41">
        <v>4027</v>
      </c>
      <c r="C31" s="74" t="s">
        <v>7227</v>
      </c>
      <c r="D31" s="707" t="s">
        <v>7228</v>
      </c>
      <c r="E31" s="717"/>
      <c r="F31" s="44"/>
      <c r="G31" s="45"/>
      <c r="H31" s="46"/>
      <c r="I31" s="35"/>
      <c r="K31" s="57"/>
      <c r="L31" s="53"/>
      <c r="M31" s="49"/>
      <c r="N31" s="49"/>
      <c r="O31" s="47">
        <f>_11_A重度研修４．０</f>
        <v>721</v>
      </c>
      <c r="P31" s="48"/>
    </row>
    <row r="32" spans="1:16" ht="16.5" customHeight="1" x14ac:dyDescent="0.15">
      <c r="A32" s="41">
        <v>11</v>
      </c>
      <c r="B32" s="41">
        <v>4028</v>
      </c>
      <c r="C32" s="74" t="s">
        <v>7229</v>
      </c>
      <c r="D32" s="709"/>
      <c r="E32" s="718"/>
      <c r="F32" s="44" t="s">
        <v>397</v>
      </c>
      <c r="G32" s="45" t="s">
        <v>398</v>
      </c>
      <c r="H32" s="46">
        <v>1</v>
      </c>
      <c r="I32" s="35"/>
      <c r="K32" s="57"/>
      <c r="L32" s="43"/>
      <c r="M32" s="37"/>
      <c r="N32" s="37"/>
      <c r="O32" s="47">
        <f>ROUND((_11_A重度研修４．０*_11・２人),0)</f>
        <v>721</v>
      </c>
      <c r="P32" s="48"/>
    </row>
    <row r="33" spans="1:16" ht="16.5" customHeight="1" x14ac:dyDescent="0.15">
      <c r="A33" s="41">
        <v>11</v>
      </c>
      <c r="B33" s="41" t="s">
        <v>7230</v>
      </c>
      <c r="C33" s="74" t="s">
        <v>7231</v>
      </c>
      <c r="D33" s="709"/>
      <c r="E33" s="718"/>
      <c r="F33" s="44"/>
      <c r="G33" s="45"/>
      <c r="H33" s="46"/>
      <c r="I33" s="35"/>
      <c r="K33" s="57"/>
      <c r="L33" s="734" t="s">
        <v>404</v>
      </c>
      <c r="M33" s="49" t="s">
        <v>398</v>
      </c>
      <c r="N33" s="50">
        <f>_11・初任</f>
        <v>0.7</v>
      </c>
      <c r="O33" s="47">
        <f>ROUND((_11_A重度研修４．０*_11・初任),0)</f>
        <v>505</v>
      </c>
      <c r="P33" s="48"/>
    </row>
    <row r="34" spans="1:16" ht="16.5" customHeight="1" x14ac:dyDescent="0.15">
      <c r="A34" s="41">
        <v>11</v>
      </c>
      <c r="B34" s="41" t="s">
        <v>7232</v>
      </c>
      <c r="C34" s="74" t="s">
        <v>7233</v>
      </c>
      <c r="D34" s="100">
        <f>_11_A重度研修４．０</f>
        <v>721</v>
      </c>
      <c r="E34" s="12" t="s">
        <v>392</v>
      </c>
      <c r="F34" s="44" t="s">
        <v>397</v>
      </c>
      <c r="G34" s="45" t="s">
        <v>398</v>
      </c>
      <c r="H34" s="46">
        <v>1</v>
      </c>
      <c r="I34" s="35"/>
      <c r="K34" s="57"/>
      <c r="L34" s="706"/>
      <c r="M34" s="37"/>
      <c r="N34" s="38"/>
      <c r="O34" s="47">
        <f>ROUND((ROUND((_11_A重度研修４．０*_11・２人),0)*_11・初任),0)</f>
        <v>505</v>
      </c>
      <c r="P34" s="48"/>
    </row>
    <row r="35" spans="1:16" ht="16.5" customHeight="1" x14ac:dyDescent="0.15">
      <c r="A35" s="41">
        <v>11</v>
      </c>
      <c r="B35" s="41">
        <v>4029</v>
      </c>
      <c r="C35" s="74" t="s">
        <v>7234</v>
      </c>
      <c r="D35" s="707" t="s">
        <v>7235</v>
      </c>
      <c r="E35" s="717"/>
      <c r="F35" s="44"/>
      <c r="G35" s="45"/>
      <c r="H35" s="46"/>
      <c r="I35" s="35"/>
      <c r="K35" s="57"/>
      <c r="L35" s="53"/>
      <c r="M35" s="49"/>
      <c r="N35" s="49"/>
      <c r="O35" s="47">
        <f>_11_A重度研修４．５</f>
        <v>807</v>
      </c>
      <c r="P35" s="48"/>
    </row>
    <row r="36" spans="1:16" ht="16.5" customHeight="1" x14ac:dyDescent="0.15">
      <c r="A36" s="41">
        <v>11</v>
      </c>
      <c r="B36" s="41">
        <v>4030</v>
      </c>
      <c r="C36" s="74" t="s">
        <v>7236</v>
      </c>
      <c r="D36" s="709"/>
      <c r="E36" s="718"/>
      <c r="F36" s="44" t="s">
        <v>397</v>
      </c>
      <c r="G36" s="45" t="s">
        <v>398</v>
      </c>
      <c r="H36" s="46">
        <v>1</v>
      </c>
      <c r="I36" s="35"/>
      <c r="K36" s="57"/>
      <c r="L36" s="43"/>
      <c r="M36" s="37"/>
      <c r="N36" s="37"/>
      <c r="O36" s="47">
        <f>ROUND((_11_A重度研修４．５*_11・２人),0)</f>
        <v>807</v>
      </c>
      <c r="P36" s="48"/>
    </row>
    <row r="37" spans="1:16" ht="16.5" customHeight="1" x14ac:dyDescent="0.15">
      <c r="A37" s="41">
        <v>11</v>
      </c>
      <c r="B37" s="41" t="s">
        <v>7237</v>
      </c>
      <c r="C37" s="74" t="s">
        <v>7238</v>
      </c>
      <c r="D37" s="709"/>
      <c r="E37" s="718"/>
      <c r="F37" s="44"/>
      <c r="G37" s="45"/>
      <c r="H37" s="46"/>
      <c r="I37" s="35"/>
      <c r="K37" s="57"/>
      <c r="L37" s="734" t="s">
        <v>404</v>
      </c>
      <c r="M37" s="49" t="s">
        <v>398</v>
      </c>
      <c r="N37" s="50">
        <f>_11・初任</f>
        <v>0.7</v>
      </c>
      <c r="O37" s="47">
        <f>ROUND((_11_A重度研修４．５*_11・初任),0)</f>
        <v>565</v>
      </c>
      <c r="P37" s="48"/>
    </row>
    <row r="38" spans="1:16" ht="16.5" customHeight="1" x14ac:dyDescent="0.15">
      <c r="A38" s="41">
        <v>11</v>
      </c>
      <c r="B38" s="41" t="s">
        <v>7239</v>
      </c>
      <c r="C38" s="74" t="s">
        <v>7240</v>
      </c>
      <c r="D38" s="100">
        <f>_11_A重度研修４．５</f>
        <v>807</v>
      </c>
      <c r="E38" s="12" t="s">
        <v>392</v>
      </c>
      <c r="F38" s="44" t="s">
        <v>397</v>
      </c>
      <c r="G38" s="45" t="s">
        <v>398</v>
      </c>
      <c r="H38" s="46">
        <v>1</v>
      </c>
      <c r="I38" s="35"/>
      <c r="K38" s="57"/>
      <c r="L38" s="706"/>
      <c r="M38" s="37"/>
      <c r="N38" s="38"/>
      <c r="O38" s="47">
        <f>ROUND((ROUND((_11_A重度研修４．５*_11・２人),0)*_11・初任),0)</f>
        <v>565</v>
      </c>
      <c r="P38" s="48"/>
    </row>
    <row r="39" spans="1:16" ht="16.5" customHeight="1" x14ac:dyDescent="0.15">
      <c r="A39" s="41">
        <v>11</v>
      </c>
      <c r="B39" s="41">
        <v>4031</v>
      </c>
      <c r="C39" s="74" t="s">
        <v>7241</v>
      </c>
      <c r="D39" s="707" t="s">
        <v>7242</v>
      </c>
      <c r="E39" s="717"/>
      <c r="F39" s="44"/>
      <c r="G39" s="45"/>
      <c r="H39" s="46"/>
      <c r="I39" s="35"/>
      <c r="K39" s="57"/>
      <c r="L39" s="53"/>
      <c r="M39" s="49"/>
      <c r="N39" s="49"/>
      <c r="O39" s="47">
        <f>_11_A重度研修５．０</f>
        <v>893</v>
      </c>
      <c r="P39" s="48"/>
    </row>
    <row r="40" spans="1:16" ht="16.5" customHeight="1" x14ac:dyDescent="0.15">
      <c r="A40" s="41">
        <v>11</v>
      </c>
      <c r="B40" s="41">
        <v>4032</v>
      </c>
      <c r="C40" s="74" t="s">
        <v>7243</v>
      </c>
      <c r="D40" s="709"/>
      <c r="E40" s="718"/>
      <c r="F40" s="44" t="s">
        <v>397</v>
      </c>
      <c r="G40" s="45" t="s">
        <v>398</v>
      </c>
      <c r="H40" s="46">
        <v>1</v>
      </c>
      <c r="I40" s="35"/>
      <c r="K40" s="57"/>
      <c r="L40" s="43"/>
      <c r="M40" s="37"/>
      <c r="N40" s="37"/>
      <c r="O40" s="47">
        <f>ROUND((_11_A重度研修５．０*_11・２人),0)</f>
        <v>893</v>
      </c>
      <c r="P40" s="48"/>
    </row>
    <row r="41" spans="1:16" ht="16.5" customHeight="1" x14ac:dyDescent="0.15">
      <c r="A41" s="41">
        <v>11</v>
      </c>
      <c r="B41" s="41" t="s">
        <v>7244</v>
      </c>
      <c r="C41" s="74" t="s">
        <v>7245</v>
      </c>
      <c r="D41" s="709"/>
      <c r="E41" s="718"/>
      <c r="F41" s="44"/>
      <c r="G41" s="45"/>
      <c r="H41" s="46"/>
      <c r="I41" s="35"/>
      <c r="K41" s="57"/>
      <c r="L41" s="734" t="s">
        <v>404</v>
      </c>
      <c r="M41" s="49" t="s">
        <v>398</v>
      </c>
      <c r="N41" s="50">
        <f>_11・初任</f>
        <v>0.7</v>
      </c>
      <c r="O41" s="47">
        <f>ROUND((_11_A重度研修５．０*_11・初任),0)</f>
        <v>625</v>
      </c>
      <c r="P41" s="48"/>
    </row>
    <row r="42" spans="1:16" ht="16.5" customHeight="1" x14ac:dyDescent="0.15">
      <c r="A42" s="41">
        <v>11</v>
      </c>
      <c r="B42" s="41" t="s">
        <v>7246</v>
      </c>
      <c r="C42" s="74" t="s">
        <v>7247</v>
      </c>
      <c r="D42" s="100">
        <f>_11_A重度研修５．０</f>
        <v>893</v>
      </c>
      <c r="E42" s="12" t="s">
        <v>392</v>
      </c>
      <c r="F42" s="44" t="s">
        <v>397</v>
      </c>
      <c r="G42" s="45" t="s">
        <v>398</v>
      </c>
      <c r="H42" s="46">
        <v>1</v>
      </c>
      <c r="I42" s="35"/>
      <c r="K42" s="57"/>
      <c r="L42" s="706"/>
      <c r="M42" s="37"/>
      <c r="N42" s="38"/>
      <c r="O42" s="47">
        <f>ROUND((ROUND((_11_A重度研修５．０*_11・２人),0)*_11・初任),0)</f>
        <v>625</v>
      </c>
      <c r="P42" s="48"/>
    </row>
    <row r="43" spans="1:16" ht="16.5" customHeight="1" x14ac:dyDescent="0.15">
      <c r="A43" s="41">
        <v>11</v>
      </c>
      <c r="B43" s="41">
        <v>4033</v>
      </c>
      <c r="C43" s="74" t="s">
        <v>7248</v>
      </c>
      <c r="D43" s="707" t="s">
        <v>7249</v>
      </c>
      <c r="E43" s="717"/>
      <c r="F43" s="44"/>
      <c r="G43" s="45"/>
      <c r="H43" s="46"/>
      <c r="I43" s="35"/>
      <c r="K43" s="57"/>
      <c r="L43" s="53"/>
      <c r="M43" s="49"/>
      <c r="N43" s="49"/>
      <c r="O43" s="47">
        <f>_11_A重度研修５．５</f>
        <v>979</v>
      </c>
      <c r="P43" s="48"/>
    </row>
    <row r="44" spans="1:16" ht="16.5" customHeight="1" x14ac:dyDescent="0.15">
      <c r="A44" s="41">
        <v>11</v>
      </c>
      <c r="B44" s="41">
        <v>4034</v>
      </c>
      <c r="C44" s="74" t="s">
        <v>7250</v>
      </c>
      <c r="D44" s="709"/>
      <c r="E44" s="718"/>
      <c r="F44" s="44" t="s">
        <v>397</v>
      </c>
      <c r="G44" s="45" t="s">
        <v>398</v>
      </c>
      <c r="H44" s="46">
        <v>1</v>
      </c>
      <c r="I44" s="35"/>
      <c r="K44" s="57"/>
      <c r="L44" s="43"/>
      <c r="M44" s="37"/>
      <c r="N44" s="37"/>
      <c r="O44" s="47">
        <f>ROUND((_11_A重度研修５．５*_11・２人),0)</f>
        <v>979</v>
      </c>
      <c r="P44" s="48"/>
    </row>
    <row r="45" spans="1:16" ht="16.5" customHeight="1" x14ac:dyDescent="0.15">
      <c r="A45" s="41">
        <v>11</v>
      </c>
      <c r="B45" s="41" t="s">
        <v>7251</v>
      </c>
      <c r="C45" s="74" t="s">
        <v>7252</v>
      </c>
      <c r="D45" s="709"/>
      <c r="E45" s="718"/>
      <c r="F45" s="44"/>
      <c r="G45" s="45"/>
      <c r="H45" s="46"/>
      <c r="I45" s="35"/>
      <c r="K45" s="57"/>
      <c r="L45" s="734" t="s">
        <v>404</v>
      </c>
      <c r="M45" s="49" t="s">
        <v>398</v>
      </c>
      <c r="N45" s="50">
        <f>_11・初任</f>
        <v>0.7</v>
      </c>
      <c r="O45" s="47">
        <f>ROUND((_11_A重度研修５．５*_11・初任),0)</f>
        <v>685</v>
      </c>
      <c r="P45" s="48"/>
    </row>
    <row r="46" spans="1:16" ht="16.5" customHeight="1" x14ac:dyDescent="0.15">
      <c r="A46" s="41">
        <v>11</v>
      </c>
      <c r="B46" s="41" t="s">
        <v>7253</v>
      </c>
      <c r="C46" s="74" t="s">
        <v>7254</v>
      </c>
      <c r="D46" s="100">
        <f>_11_A重度研修５．５</f>
        <v>979</v>
      </c>
      <c r="E46" s="12" t="s">
        <v>392</v>
      </c>
      <c r="F46" s="44" t="s">
        <v>397</v>
      </c>
      <c r="G46" s="45" t="s">
        <v>398</v>
      </c>
      <c r="H46" s="46">
        <v>1</v>
      </c>
      <c r="I46" s="35"/>
      <c r="K46" s="57"/>
      <c r="L46" s="706"/>
      <c r="M46" s="37"/>
      <c r="N46" s="38"/>
      <c r="O46" s="47">
        <f>ROUND((ROUND((_11_A重度研修５．５*_11・２人),0)*_11・初任),0)</f>
        <v>685</v>
      </c>
      <c r="P46" s="48"/>
    </row>
    <row r="47" spans="1:16" ht="16.5" customHeight="1" x14ac:dyDescent="0.15">
      <c r="A47" s="41">
        <v>11</v>
      </c>
      <c r="B47" s="41">
        <v>4035</v>
      </c>
      <c r="C47" s="74" t="s">
        <v>7255</v>
      </c>
      <c r="D47" s="707" t="s">
        <v>7256</v>
      </c>
      <c r="E47" s="717"/>
      <c r="F47" s="44"/>
      <c r="G47" s="45"/>
      <c r="H47" s="46"/>
      <c r="I47" s="35"/>
      <c r="K47" s="57"/>
      <c r="L47" s="53"/>
      <c r="M47" s="49"/>
      <c r="N47" s="49"/>
      <c r="O47" s="47">
        <f>_11_A重度研修６．０</f>
        <v>1065</v>
      </c>
      <c r="P47" s="48"/>
    </row>
    <row r="48" spans="1:16" ht="16.5" customHeight="1" x14ac:dyDescent="0.15">
      <c r="A48" s="41">
        <v>11</v>
      </c>
      <c r="B48" s="41">
        <v>4036</v>
      </c>
      <c r="C48" s="74" t="s">
        <v>7257</v>
      </c>
      <c r="D48" s="709"/>
      <c r="E48" s="718"/>
      <c r="F48" s="44" t="s">
        <v>397</v>
      </c>
      <c r="G48" s="45" t="s">
        <v>398</v>
      </c>
      <c r="H48" s="46">
        <v>1</v>
      </c>
      <c r="I48" s="35"/>
      <c r="K48" s="57"/>
      <c r="L48" s="43"/>
      <c r="M48" s="37"/>
      <c r="N48" s="37"/>
      <c r="O48" s="47">
        <f>ROUND((_11_A重度研修６．０*_11・２人),0)</f>
        <v>1065</v>
      </c>
      <c r="P48" s="48"/>
    </row>
    <row r="49" spans="1:16" ht="16.5" customHeight="1" x14ac:dyDescent="0.15">
      <c r="A49" s="41">
        <v>11</v>
      </c>
      <c r="B49" s="41" t="s">
        <v>7258</v>
      </c>
      <c r="C49" s="74" t="s">
        <v>7259</v>
      </c>
      <c r="D49" s="709"/>
      <c r="E49" s="718"/>
      <c r="F49" s="44"/>
      <c r="G49" s="45"/>
      <c r="H49" s="46"/>
      <c r="I49" s="35"/>
      <c r="K49" s="57"/>
      <c r="L49" s="734" t="s">
        <v>404</v>
      </c>
      <c r="M49" s="49" t="s">
        <v>398</v>
      </c>
      <c r="N49" s="50">
        <f>_11・初任</f>
        <v>0.7</v>
      </c>
      <c r="O49" s="47">
        <f>ROUND((_11_A重度研修６．０*_11・初任),0)</f>
        <v>746</v>
      </c>
      <c r="P49" s="48"/>
    </row>
    <row r="50" spans="1:16" ht="16.5" customHeight="1" x14ac:dyDescent="0.15">
      <c r="A50" s="41">
        <v>11</v>
      </c>
      <c r="B50" s="41" t="s">
        <v>7260</v>
      </c>
      <c r="C50" s="74" t="s">
        <v>7261</v>
      </c>
      <c r="D50" s="100">
        <f>_11_A重度研修６．０</f>
        <v>1065</v>
      </c>
      <c r="E50" s="12" t="s">
        <v>392</v>
      </c>
      <c r="F50" s="44" t="s">
        <v>397</v>
      </c>
      <c r="G50" s="45" t="s">
        <v>398</v>
      </c>
      <c r="H50" s="46">
        <v>1</v>
      </c>
      <c r="I50" s="35"/>
      <c r="K50" s="57"/>
      <c r="L50" s="706"/>
      <c r="M50" s="37"/>
      <c r="N50" s="38"/>
      <c r="O50" s="47">
        <f>ROUND((ROUND((_11_A重度研修６．０*_11・２人),0)*_11・初任),0)</f>
        <v>746</v>
      </c>
      <c r="P50" s="48"/>
    </row>
    <row r="51" spans="1:16" ht="16.5" customHeight="1" x14ac:dyDescent="0.15">
      <c r="A51" s="41">
        <v>11</v>
      </c>
      <c r="B51" s="41">
        <v>4037</v>
      </c>
      <c r="C51" s="74" t="s">
        <v>7262</v>
      </c>
      <c r="D51" s="707" t="s">
        <v>7263</v>
      </c>
      <c r="E51" s="717"/>
      <c r="F51" s="44"/>
      <c r="G51" s="45"/>
      <c r="H51" s="46"/>
      <c r="I51" s="35"/>
      <c r="K51" s="57"/>
      <c r="L51" s="53"/>
      <c r="M51" s="49"/>
      <c r="N51" s="49"/>
      <c r="O51" s="47">
        <f>_11_A重度研修６．５</f>
        <v>1151</v>
      </c>
      <c r="P51" s="48"/>
    </row>
    <row r="52" spans="1:16" ht="16.5" customHeight="1" x14ac:dyDescent="0.15">
      <c r="A52" s="41">
        <v>11</v>
      </c>
      <c r="B52" s="41">
        <v>4038</v>
      </c>
      <c r="C52" s="74" t="s">
        <v>7264</v>
      </c>
      <c r="D52" s="709"/>
      <c r="E52" s="718"/>
      <c r="F52" s="44" t="s">
        <v>397</v>
      </c>
      <c r="G52" s="45" t="s">
        <v>398</v>
      </c>
      <c r="H52" s="46">
        <v>1</v>
      </c>
      <c r="I52" s="35"/>
      <c r="K52" s="57"/>
      <c r="L52" s="43"/>
      <c r="M52" s="37"/>
      <c r="N52" s="37"/>
      <c r="O52" s="47">
        <f>ROUND((_11_A重度研修６．５*_11・２人),0)</f>
        <v>1151</v>
      </c>
      <c r="P52" s="48"/>
    </row>
    <row r="53" spans="1:16" ht="16.5" customHeight="1" x14ac:dyDescent="0.15">
      <c r="A53" s="41">
        <v>11</v>
      </c>
      <c r="B53" s="41" t="s">
        <v>7265</v>
      </c>
      <c r="C53" s="74" t="s">
        <v>7266</v>
      </c>
      <c r="D53" s="709"/>
      <c r="E53" s="718"/>
      <c r="F53" s="44"/>
      <c r="G53" s="45"/>
      <c r="H53" s="46"/>
      <c r="I53" s="35"/>
      <c r="K53" s="57"/>
      <c r="L53" s="734" t="s">
        <v>404</v>
      </c>
      <c r="M53" s="49" t="s">
        <v>398</v>
      </c>
      <c r="N53" s="50">
        <f>_11・初任</f>
        <v>0.7</v>
      </c>
      <c r="O53" s="47">
        <f>ROUND((_11_A重度研修６．５*_11・初任),0)</f>
        <v>806</v>
      </c>
      <c r="P53" s="48"/>
    </row>
    <row r="54" spans="1:16" ht="16.5" customHeight="1" x14ac:dyDescent="0.15">
      <c r="A54" s="41">
        <v>11</v>
      </c>
      <c r="B54" s="41" t="s">
        <v>7267</v>
      </c>
      <c r="C54" s="74" t="s">
        <v>7268</v>
      </c>
      <c r="D54" s="100">
        <f>_11_A重度研修６．５</f>
        <v>1151</v>
      </c>
      <c r="E54" s="12" t="s">
        <v>392</v>
      </c>
      <c r="F54" s="44" t="s">
        <v>397</v>
      </c>
      <c r="G54" s="45" t="s">
        <v>398</v>
      </c>
      <c r="H54" s="46">
        <v>1</v>
      </c>
      <c r="I54" s="35"/>
      <c r="K54" s="57"/>
      <c r="L54" s="706"/>
      <c r="M54" s="37"/>
      <c r="N54" s="38"/>
      <c r="O54" s="47">
        <f>ROUND((ROUND((_11_A重度研修６．５*_11・２人),0)*_11・初任),0)</f>
        <v>806</v>
      </c>
      <c r="P54" s="48"/>
    </row>
    <row r="55" spans="1:16" ht="16.5" customHeight="1" x14ac:dyDescent="0.15">
      <c r="A55" s="41">
        <v>11</v>
      </c>
      <c r="B55" s="41">
        <v>4039</v>
      </c>
      <c r="C55" s="74" t="s">
        <v>7269</v>
      </c>
      <c r="D55" s="707" t="s">
        <v>7270</v>
      </c>
      <c r="E55" s="717"/>
      <c r="F55" s="44"/>
      <c r="G55" s="45"/>
      <c r="H55" s="46"/>
      <c r="I55" s="35"/>
      <c r="K55" s="57"/>
      <c r="L55" s="53"/>
      <c r="M55" s="49"/>
      <c r="N55" s="49"/>
      <c r="O55" s="47">
        <f>_11_A重度研修７．０</f>
        <v>1237</v>
      </c>
      <c r="P55" s="48"/>
    </row>
    <row r="56" spans="1:16" ht="16.5" customHeight="1" x14ac:dyDescent="0.15">
      <c r="A56" s="41">
        <v>11</v>
      </c>
      <c r="B56" s="41">
        <v>4040</v>
      </c>
      <c r="C56" s="74" t="s">
        <v>7271</v>
      </c>
      <c r="D56" s="709"/>
      <c r="E56" s="718"/>
      <c r="F56" s="44" t="s">
        <v>397</v>
      </c>
      <c r="G56" s="45" t="s">
        <v>398</v>
      </c>
      <c r="H56" s="46">
        <v>1</v>
      </c>
      <c r="I56" s="35"/>
      <c r="K56" s="57"/>
      <c r="L56" s="43"/>
      <c r="M56" s="37"/>
      <c r="N56" s="37"/>
      <c r="O56" s="47">
        <f>ROUND((_11_A重度研修７．０*_11・２人),0)</f>
        <v>1237</v>
      </c>
      <c r="P56" s="48"/>
    </row>
    <row r="57" spans="1:16" ht="16.5" customHeight="1" x14ac:dyDescent="0.15">
      <c r="A57" s="41">
        <v>11</v>
      </c>
      <c r="B57" s="41" t="s">
        <v>7272</v>
      </c>
      <c r="C57" s="74" t="s">
        <v>7273</v>
      </c>
      <c r="D57" s="709"/>
      <c r="E57" s="718"/>
      <c r="F57" s="44"/>
      <c r="G57" s="45"/>
      <c r="H57" s="46"/>
      <c r="I57" s="35"/>
      <c r="K57" s="57"/>
      <c r="L57" s="734" t="s">
        <v>404</v>
      </c>
      <c r="M57" s="49" t="s">
        <v>398</v>
      </c>
      <c r="N57" s="50">
        <f>_11・初任</f>
        <v>0.7</v>
      </c>
      <c r="O57" s="47">
        <f>ROUND((_11_A重度研修７．０*_11・初任),0)</f>
        <v>866</v>
      </c>
      <c r="P57" s="48"/>
    </row>
    <row r="58" spans="1:16" ht="16.5" customHeight="1" x14ac:dyDescent="0.15">
      <c r="A58" s="41">
        <v>11</v>
      </c>
      <c r="B58" s="41" t="s">
        <v>7274</v>
      </c>
      <c r="C58" s="74" t="s">
        <v>7275</v>
      </c>
      <c r="D58" s="100">
        <f>_11_A重度研修７．０</f>
        <v>1237</v>
      </c>
      <c r="E58" s="12" t="s">
        <v>392</v>
      </c>
      <c r="F58" s="44" t="s">
        <v>397</v>
      </c>
      <c r="G58" s="45" t="s">
        <v>398</v>
      </c>
      <c r="H58" s="46">
        <v>1</v>
      </c>
      <c r="I58" s="35"/>
      <c r="K58" s="57"/>
      <c r="L58" s="706"/>
      <c r="M58" s="37"/>
      <c r="N58" s="38"/>
      <c r="O58" s="47">
        <f>ROUND((ROUND((_11_A重度研修７．０*_11・２人),0)*_11・初任),0)</f>
        <v>866</v>
      </c>
      <c r="P58" s="48"/>
    </row>
    <row r="59" spans="1:16" ht="16.5" customHeight="1" x14ac:dyDescent="0.15">
      <c r="A59" s="41">
        <v>11</v>
      </c>
      <c r="B59" s="41">
        <v>4041</v>
      </c>
      <c r="C59" s="74" t="s">
        <v>7276</v>
      </c>
      <c r="D59" s="707" t="s">
        <v>7277</v>
      </c>
      <c r="E59" s="717"/>
      <c r="F59" s="44"/>
      <c r="G59" s="45"/>
      <c r="H59" s="46"/>
      <c r="I59" s="35"/>
      <c r="K59" s="57"/>
      <c r="L59" s="53"/>
      <c r="M59" s="49"/>
      <c r="N59" s="49"/>
      <c r="O59" s="47">
        <f>_11_A重度研修７．５</f>
        <v>1323</v>
      </c>
      <c r="P59" s="48"/>
    </row>
    <row r="60" spans="1:16" ht="16.5" customHeight="1" x14ac:dyDescent="0.15">
      <c r="A60" s="41">
        <v>11</v>
      </c>
      <c r="B60" s="41">
        <v>4042</v>
      </c>
      <c r="C60" s="74" t="s">
        <v>7278</v>
      </c>
      <c r="D60" s="709"/>
      <c r="E60" s="718"/>
      <c r="F60" s="44" t="s">
        <v>397</v>
      </c>
      <c r="G60" s="45" t="s">
        <v>398</v>
      </c>
      <c r="H60" s="46">
        <v>1</v>
      </c>
      <c r="I60" s="35"/>
      <c r="K60" s="57"/>
      <c r="L60" s="43"/>
      <c r="M60" s="37"/>
      <c r="N60" s="37"/>
      <c r="O60" s="47">
        <f>ROUND((_11_A重度研修７．５*_11・２人),0)</f>
        <v>1323</v>
      </c>
      <c r="P60" s="48"/>
    </row>
    <row r="61" spans="1:16" ht="16.5" customHeight="1" x14ac:dyDescent="0.15">
      <c r="A61" s="41">
        <v>11</v>
      </c>
      <c r="B61" s="41" t="s">
        <v>7279</v>
      </c>
      <c r="C61" s="74" t="s">
        <v>7280</v>
      </c>
      <c r="D61" s="709"/>
      <c r="E61" s="718"/>
      <c r="F61" s="44"/>
      <c r="G61" s="45"/>
      <c r="H61" s="46"/>
      <c r="I61" s="35"/>
      <c r="K61" s="57"/>
      <c r="L61" s="734" t="s">
        <v>404</v>
      </c>
      <c r="M61" s="49" t="s">
        <v>398</v>
      </c>
      <c r="N61" s="50">
        <f>_11・初任</f>
        <v>0.7</v>
      </c>
      <c r="O61" s="47">
        <f>ROUND((_11_A重度研修７．５*_11・初任),0)</f>
        <v>926</v>
      </c>
      <c r="P61" s="48"/>
    </row>
    <row r="62" spans="1:16" ht="16.5" customHeight="1" x14ac:dyDescent="0.15">
      <c r="A62" s="41">
        <v>11</v>
      </c>
      <c r="B62" s="41" t="s">
        <v>7281</v>
      </c>
      <c r="C62" s="74" t="s">
        <v>7282</v>
      </c>
      <c r="D62" s="100">
        <f>_11_A重度研修７．５</f>
        <v>1323</v>
      </c>
      <c r="E62" s="12" t="s">
        <v>392</v>
      </c>
      <c r="F62" s="44" t="s">
        <v>397</v>
      </c>
      <c r="G62" s="45" t="s">
        <v>398</v>
      </c>
      <c r="H62" s="46">
        <v>1</v>
      </c>
      <c r="I62" s="35"/>
      <c r="K62" s="57"/>
      <c r="L62" s="706"/>
      <c r="M62" s="37"/>
      <c r="N62" s="38"/>
      <c r="O62" s="47">
        <f>ROUND((ROUND((_11_A重度研修７．５*_11・２人),0)*_11・初任),0)</f>
        <v>926</v>
      </c>
      <c r="P62" s="48"/>
    </row>
    <row r="63" spans="1:16" ht="16.5" customHeight="1" x14ac:dyDescent="0.15">
      <c r="A63" s="41">
        <v>11</v>
      </c>
      <c r="B63" s="41">
        <v>4043</v>
      </c>
      <c r="C63" s="74" t="s">
        <v>7283</v>
      </c>
      <c r="D63" s="707" t="s">
        <v>7284</v>
      </c>
      <c r="E63" s="717"/>
      <c r="F63" s="44"/>
      <c r="G63" s="45"/>
      <c r="H63" s="46"/>
      <c r="I63" s="35"/>
      <c r="K63" s="57"/>
      <c r="L63" s="53"/>
      <c r="M63" s="49"/>
      <c r="N63" s="49"/>
      <c r="O63" s="47">
        <f>_11_A重度研修８．０</f>
        <v>1409</v>
      </c>
      <c r="P63" s="48"/>
    </row>
    <row r="64" spans="1:16" ht="16.5" customHeight="1" x14ac:dyDescent="0.15">
      <c r="A64" s="41">
        <v>11</v>
      </c>
      <c r="B64" s="41">
        <v>4044</v>
      </c>
      <c r="C64" s="74" t="s">
        <v>7285</v>
      </c>
      <c r="D64" s="709"/>
      <c r="E64" s="718"/>
      <c r="F64" s="44" t="s">
        <v>397</v>
      </c>
      <c r="G64" s="45" t="s">
        <v>398</v>
      </c>
      <c r="H64" s="46">
        <v>1</v>
      </c>
      <c r="I64" s="35"/>
      <c r="K64" s="57"/>
      <c r="L64" s="43"/>
      <c r="M64" s="37"/>
      <c r="N64" s="37"/>
      <c r="O64" s="47">
        <f>ROUND((_11_A重度研修８．０*_11・２人),0)</f>
        <v>1409</v>
      </c>
      <c r="P64" s="48"/>
    </row>
    <row r="65" spans="1:16" ht="16.5" customHeight="1" x14ac:dyDescent="0.15">
      <c r="A65" s="41">
        <v>11</v>
      </c>
      <c r="B65" s="41" t="s">
        <v>7286</v>
      </c>
      <c r="C65" s="74" t="s">
        <v>7287</v>
      </c>
      <c r="D65" s="709"/>
      <c r="E65" s="718"/>
      <c r="F65" s="44"/>
      <c r="G65" s="45"/>
      <c r="H65" s="46"/>
      <c r="I65" s="35"/>
      <c r="K65" s="57"/>
      <c r="L65" s="734" t="s">
        <v>404</v>
      </c>
      <c r="M65" s="49" t="s">
        <v>398</v>
      </c>
      <c r="N65" s="50">
        <f>_11・初任</f>
        <v>0.7</v>
      </c>
      <c r="O65" s="47">
        <f>ROUND((_11_A重度研修８．０*_11・初任),0)</f>
        <v>986</v>
      </c>
      <c r="P65" s="48"/>
    </row>
    <row r="66" spans="1:16" ht="16.5" customHeight="1" x14ac:dyDescent="0.15">
      <c r="A66" s="41">
        <v>11</v>
      </c>
      <c r="B66" s="41" t="s">
        <v>7288</v>
      </c>
      <c r="C66" s="74" t="s">
        <v>7289</v>
      </c>
      <c r="D66" s="100">
        <f>_11_A重度研修８．０</f>
        <v>1409</v>
      </c>
      <c r="E66" s="12" t="s">
        <v>392</v>
      </c>
      <c r="F66" s="44" t="s">
        <v>397</v>
      </c>
      <c r="G66" s="45" t="s">
        <v>398</v>
      </c>
      <c r="H66" s="46">
        <v>1</v>
      </c>
      <c r="I66" s="35"/>
      <c r="K66" s="57"/>
      <c r="L66" s="706"/>
      <c r="M66" s="37"/>
      <c r="N66" s="38"/>
      <c r="O66" s="47">
        <f>ROUND((ROUND((_11_A重度研修８．０*_11・２人),0)*_11・初任),0)</f>
        <v>986</v>
      </c>
      <c r="P66" s="48"/>
    </row>
    <row r="67" spans="1:16" ht="16.5" customHeight="1" x14ac:dyDescent="0.15">
      <c r="A67" s="41">
        <v>11</v>
      </c>
      <c r="B67" s="41">
        <v>4045</v>
      </c>
      <c r="C67" s="74" t="s">
        <v>7290</v>
      </c>
      <c r="D67" s="707" t="s">
        <v>7291</v>
      </c>
      <c r="E67" s="717"/>
      <c r="F67" s="44"/>
      <c r="G67" s="45"/>
      <c r="H67" s="46"/>
      <c r="I67" s="35"/>
      <c r="K67" s="57"/>
      <c r="L67" s="53"/>
      <c r="M67" s="49"/>
      <c r="N67" s="49"/>
      <c r="O67" s="47">
        <f>_11_A重度研修８．５</f>
        <v>1495</v>
      </c>
      <c r="P67" s="48"/>
    </row>
    <row r="68" spans="1:16" ht="16.5" customHeight="1" x14ac:dyDescent="0.15">
      <c r="A68" s="41">
        <v>11</v>
      </c>
      <c r="B68" s="41">
        <v>4046</v>
      </c>
      <c r="C68" s="74" t="s">
        <v>7292</v>
      </c>
      <c r="D68" s="709"/>
      <c r="E68" s="718"/>
      <c r="F68" s="44" t="s">
        <v>397</v>
      </c>
      <c r="G68" s="45" t="s">
        <v>398</v>
      </c>
      <c r="H68" s="46">
        <v>1</v>
      </c>
      <c r="I68" s="35"/>
      <c r="K68" s="57"/>
      <c r="L68" s="43"/>
      <c r="M68" s="37"/>
      <c r="N68" s="37"/>
      <c r="O68" s="47">
        <f>ROUND((_11_A重度研修８．５*_11・２人),0)</f>
        <v>1495</v>
      </c>
      <c r="P68" s="48"/>
    </row>
    <row r="69" spans="1:16" ht="16.5" customHeight="1" x14ac:dyDescent="0.15">
      <c r="A69" s="41">
        <v>11</v>
      </c>
      <c r="B69" s="41" t="s">
        <v>7293</v>
      </c>
      <c r="C69" s="74" t="s">
        <v>7294</v>
      </c>
      <c r="D69" s="709"/>
      <c r="E69" s="718"/>
      <c r="F69" s="44"/>
      <c r="G69" s="45"/>
      <c r="H69" s="46"/>
      <c r="I69" s="35"/>
      <c r="K69" s="57"/>
      <c r="L69" s="734" t="s">
        <v>404</v>
      </c>
      <c r="M69" s="49" t="s">
        <v>398</v>
      </c>
      <c r="N69" s="50">
        <f>_11・初任</f>
        <v>0.7</v>
      </c>
      <c r="O69" s="47">
        <f>ROUND((_11_A重度研修８．５*_11・初任),0)</f>
        <v>1047</v>
      </c>
      <c r="P69" s="48"/>
    </row>
    <row r="70" spans="1:16" ht="16.5" customHeight="1" x14ac:dyDescent="0.15">
      <c r="A70" s="41">
        <v>11</v>
      </c>
      <c r="B70" s="41" t="s">
        <v>7295</v>
      </c>
      <c r="C70" s="74" t="s">
        <v>7296</v>
      </c>
      <c r="D70" s="100">
        <f>_11_A重度研修８．５</f>
        <v>1495</v>
      </c>
      <c r="E70" s="12" t="s">
        <v>392</v>
      </c>
      <c r="F70" s="44" t="s">
        <v>397</v>
      </c>
      <c r="G70" s="45" t="s">
        <v>398</v>
      </c>
      <c r="H70" s="46">
        <v>1</v>
      </c>
      <c r="I70" s="35"/>
      <c r="K70" s="57"/>
      <c r="L70" s="706"/>
      <c r="M70" s="37"/>
      <c r="N70" s="38"/>
      <c r="O70" s="47">
        <f>ROUND((ROUND((_11_A重度研修８．５*_11・２人),0)*_11・初任),0)</f>
        <v>1047</v>
      </c>
      <c r="P70" s="48"/>
    </row>
    <row r="71" spans="1:16" ht="16.5" customHeight="1" x14ac:dyDescent="0.15">
      <c r="A71" s="41">
        <v>11</v>
      </c>
      <c r="B71" s="41">
        <v>4047</v>
      </c>
      <c r="C71" s="74" t="s">
        <v>7297</v>
      </c>
      <c r="D71" s="707" t="s">
        <v>7298</v>
      </c>
      <c r="E71" s="717"/>
      <c r="F71" s="44"/>
      <c r="G71" s="45"/>
      <c r="H71" s="46"/>
      <c r="I71" s="35"/>
      <c r="K71" s="57"/>
      <c r="L71" s="53"/>
      <c r="M71" s="49"/>
      <c r="N71" s="49"/>
      <c r="O71" s="47">
        <f>_11_A重度研修９．０</f>
        <v>1581</v>
      </c>
      <c r="P71" s="48"/>
    </row>
    <row r="72" spans="1:16" ht="16.5" customHeight="1" x14ac:dyDescent="0.15">
      <c r="A72" s="41">
        <v>11</v>
      </c>
      <c r="B72" s="41">
        <v>4048</v>
      </c>
      <c r="C72" s="74" t="s">
        <v>7299</v>
      </c>
      <c r="D72" s="709"/>
      <c r="E72" s="718"/>
      <c r="F72" s="44" t="s">
        <v>397</v>
      </c>
      <c r="G72" s="45" t="s">
        <v>398</v>
      </c>
      <c r="H72" s="46">
        <v>1</v>
      </c>
      <c r="I72" s="35"/>
      <c r="K72" s="57"/>
      <c r="L72" s="43"/>
      <c r="M72" s="37"/>
      <c r="N72" s="37"/>
      <c r="O72" s="47">
        <f>ROUND((_11_A重度研修９．０*_11・２人),0)</f>
        <v>1581</v>
      </c>
      <c r="P72" s="48"/>
    </row>
    <row r="73" spans="1:16" ht="16.5" customHeight="1" x14ac:dyDescent="0.15">
      <c r="A73" s="41">
        <v>11</v>
      </c>
      <c r="B73" s="41" t="s">
        <v>7300</v>
      </c>
      <c r="C73" s="74" t="s">
        <v>7301</v>
      </c>
      <c r="D73" s="709"/>
      <c r="E73" s="718"/>
      <c r="F73" s="44"/>
      <c r="G73" s="45"/>
      <c r="H73" s="46"/>
      <c r="I73" s="35"/>
      <c r="K73" s="57"/>
      <c r="L73" s="734" t="s">
        <v>404</v>
      </c>
      <c r="M73" s="49" t="s">
        <v>398</v>
      </c>
      <c r="N73" s="50">
        <f>_11・初任</f>
        <v>0.7</v>
      </c>
      <c r="O73" s="47">
        <f>ROUND((_11_A重度研修９．０*_11・初任),0)</f>
        <v>1107</v>
      </c>
      <c r="P73" s="48"/>
    </row>
    <row r="74" spans="1:16" ht="16.5" customHeight="1" x14ac:dyDescent="0.15">
      <c r="A74" s="41">
        <v>11</v>
      </c>
      <c r="B74" s="41" t="s">
        <v>7302</v>
      </c>
      <c r="C74" s="74" t="s">
        <v>7303</v>
      </c>
      <c r="D74" s="100">
        <f>_11_A重度研修９．０</f>
        <v>1581</v>
      </c>
      <c r="E74" s="12" t="s">
        <v>392</v>
      </c>
      <c r="F74" s="44" t="s">
        <v>397</v>
      </c>
      <c r="G74" s="45" t="s">
        <v>398</v>
      </c>
      <c r="H74" s="46">
        <v>1</v>
      </c>
      <c r="I74" s="35"/>
      <c r="K74" s="57"/>
      <c r="L74" s="706"/>
      <c r="M74" s="37"/>
      <c r="N74" s="38"/>
      <c r="O74" s="47">
        <f>ROUND((ROUND((_11_A重度研修９．０*_11・２人),0)*_11・初任),0)</f>
        <v>1107</v>
      </c>
      <c r="P74" s="48"/>
    </row>
    <row r="75" spans="1:16" ht="16.5" customHeight="1" x14ac:dyDescent="0.15">
      <c r="A75" s="41">
        <v>11</v>
      </c>
      <c r="B75" s="41">
        <v>4049</v>
      </c>
      <c r="C75" s="74" t="s">
        <v>7304</v>
      </c>
      <c r="D75" s="707" t="s">
        <v>7305</v>
      </c>
      <c r="E75" s="717"/>
      <c r="F75" s="44"/>
      <c r="G75" s="45"/>
      <c r="H75" s="46"/>
      <c r="I75" s="35"/>
      <c r="K75" s="57"/>
      <c r="L75" s="53"/>
      <c r="M75" s="49"/>
      <c r="N75" s="49"/>
      <c r="O75" s="47">
        <f>_11_A重度研修９．５</f>
        <v>1667</v>
      </c>
      <c r="P75" s="48"/>
    </row>
    <row r="76" spans="1:16" ht="16.5" customHeight="1" x14ac:dyDescent="0.15">
      <c r="A76" s="41">
        <v>11</v>
      </c>
      <c r="B76" s="41">
        <v>4050</v>
      </c>
      <c r="C76" s="74" t="s">
        <v>7306</v>
      </c>
      <c r="D76" s="709"/>
      <c r="E76" s="718"/>
      <c r="F76" s="44" t="s">
        <v>397</v>
      </c>
      <c r="G76" s="45" t="s">
        <v>398</v>
      </c>
      <c r="H76" s="46">
        <v>1</v>
      </c>
      <c r="I76" s="35"/>
      <c r="K76" s="57"/>
      <c r="L76" s="43"/>
      <c r="M76" s="37"/>
      <c r="N76" s="37"/>
      <c r="O76" s="47">
        <f>ROUND((_11_A重度研修９．５*_11・２人),0)</f>
        <v>1667</v>
      </c>
      <c r="P76" s="48"/>
    </row>
    <row r="77" spans="1:16" ht="16.5" customHeight="1" x14ac:dyDescent="0.15">
      <c r="A77" s="41">
        <v>11</v>
      </c>
      <c r="B77" s="41" t="s">
        <v>7307</v>
      </c>
      <c r="C77" s="74" t="s">
        <v>7308</v>
      </c>
      <c r="D77" s="709"/>
      <c r="E77" s="718"/>
      <c r="F77" s="44"/>
      <c r="G77" s="45"/>
      <c r="H77" s="46"/>
      <c r="I77" s="35"/>
      <c r="K77" s="57"/>
      <c r="L77" s="734" t="s">
        <v>404</v>
      </c>
      <c r="M77" s="49" t="s">
        <v>398</v>
      </c>
      <c r="N77" s="50">
        <f>_11・初任</f>
        <v>0.7</v>
      </c>
      <c r="O77" s="47">
        <f>ROUND((_11_A重度研修９．５*_11・初任),0)</f>
        <v>1167</v>
      </c>
      <c r="P77" s="48"/>
    </row>
    <row r="78" spans="1:16" ht="16.5" customHeight="1" x14ac:dyDescent="0.15">
      <c r="A78" s="41">
        <v>11</v>
      </c>
      <c r="B78" s="41" t="s">
        <v>7309</v>
      </c>
      <c r="C78" s="74" t="s">
        <v>7310</v>
      </c>
      <c r="D78" s="165">
        <f>_11_A重度研修９．５</f>
        <v>1667</v>
      </c>
      <c r="E78" s="37" t="s">
        <v>392</v>
      </c>
      <c r="F78" s="44" t="s">
        <v>397</v>
      </c>
      <c r="G78" s="45" t="s">
        <v>398</v>
      </c>
      <c r="H78" s="46">
        <v>1</v>
      </c>
      <c r="I78" s="43"/>
      <c r="J78" s="38"/>
      <c r="K78" s="79"/>
      <c r="L78" s="706"/>
      <c r="M78" s="37"/>
      <c r="N78" s="38"/>
      <c r="O78" s="47">
        <f>ROUND((ROUND((_11_A重度研修９．５*_11・２人),0)*_11・初任),0)</f>
        <v>1167</v>
      </c>
      <c r="P78" s="63"/>
    </row>
    <row r="79" spans="1:16" ht="16.5" customHeight="1" x14ac:dyDescent="0.15">
      <c r="A79" s="33">
        <v>11</v>
      </c>
      <c r="B79" s="33">
        <v>4051</v>
      </c>
      <c r="C79" s="34" t="s">
        <v>7311</v>
      </c>
      <c r="D79" s="709" t="s">
        <v>7312</v>
      </c>
      <c r="E79" s="718"/>
      <c r="F79" s="36"/>
      <c r="G79" s="37"/>
      <c r="H79" s="38"/>
      <c r="I79" s="35"/>
      <c r="K79" s="57"/>
      <c r="L79" s="35"/>
      <c r="O79" s="39">
        <f>_11_A重度研修１０．０</f>
        <v>1753</v>
      </c>
      <c r="P79" s="48"/>
    </row>
    <row r="80" spans="1:16" ht="16.5" customHeight="1" x14ac:dyDescent="0.15">
      <c r="A80" s="41">
        <v>11</v>
      </c>
      <c r="B80" s="41">
        <v>4052</v>
      </c>
      <c r="C80" s="74" t="s">
        <v>7313</v>
      </c>
      <c r="D80" s="709"/>
      <c r="E80" s="718"/>
      <c r="F80" s="44" t="s">
        <v>397</v>
      </c>
      <c r="G80" s="45" t="s">
        <v>398</v>
      </c>
      <c r="H80" s="46">
        <v>1</v>
      </c>
      <c r="I80" s="35"/>
      <c r="K80" s="57"/>
      <c r="L80" s="43"/>
      <c r="M80" s="37"/>
      <c r="N80" s="37"/>
      <c r="O80" s="47">
        <f>ROUND((_11_A重度研修１０．０*_11・２人),0)</f>
        <v>1753</v>
      </c>
      <c r="P80" s="48"/>
    </row>
    <row r="81" spans="1:16" ht="16.5" customHeight="1" x14ac:dyDescent="0.15">
      <c r="A81" s="41">
        <v>11</v>
      </c>
      <c r="B81" s="41" t="s">
        <v>7314</v>
      </c>
      <c r="C81" s="74" t="s">
        <v>7315</v>
      </c>
      <c r="D81" s="709"/>
      <c r="E81" s="718"/>
      <c r="F81" s="44"/>
      <c r="G81" s="45"/>
      <c r="H81" s="46"/>
      <c r="I81" s="35"/>
      <c r="K81" s="57"/>
      <c r="L81" s="734" t="s">
        <v>404</v>
      </c>
      <c r="M81" s="49" t="s">
        <v>398</v>
      </c>
      <c r="N81" s="50">
        <f>_11・初任</f>
        <v>0.7</v>
      </c>
      <c r="O81" s="47">
        <f>ROUND((_11_A重度研修１０．０*_11・初任),0)</f>
        <v>1227</v>
      </c>
      <c r="P81" s="48"/>
    </row>
    <row r="82" spans="1:16" ht="16.5" customHeight="1" x14ac:dyDescent="0.15">
      <c r="A82" s="41">
        <v>11</v>
      </c>
      <c r="B82" s="41" t="s">
        <v>7316</v>
      </c>
      <c r="C82" s="74" t="s">
        <v>7317</v>
      </c>
      <c r="D82" s="100">
        <f>_11_A重度研修１０．０</f>
        <v>1753</v>
      </c>
      <c r="E82" s="12" t="s">
        <v>392</v>
      </c>
      <c r="F82" s="44" t="s">
        <v>397</v>
      </c>
      <c r="G82" s="45" t="s">
        <v>398</v>
      </c>
      <c r="H82" s="46">
        <v>1</v>
      </c>
      <c r="I82" s="35"/>
      <c r="K82" s="57"/>
      <c r="L82" s="706"/>
      <c r="M82" s="37"/>
      <c r="N82" s="38"/>
      <c r="O82" s="47">
        <f>ROUND((ROUND((_11_A重度研修１０．０*_11・２人),0)*_11・初任),0)</f>
        <v>1227</v>
      </c>
      <c r="P82" s="48"/>
    </row>
    <row r="83" spans="1:16" ht="16.5" customHeight="1" x14ac:dyDescent="0.15">
      <c r="A83" s="41">
        <v>11</v>
      </c>
      <c r="B83" s="41">
        <v>4053</v>
      </c>
      <c r="C83" s="74" t="s">
        <v>7318</v>
      </c>
      <c r="D83" s="707" t="s">
        <v>7319</v>
      </c>
      <c r="E83" s="717"/>
      <c r="F83" s="44"/>
      <c r="G83" s="45"/>
      <c r="H83" s="46"/>
      <c r="I83" s="35"/>
      <c r="K83" s="57"/>
      <c r="L83" s="53"/>
      <c r="M83" s="49"/>
      <c r="N83" s="49"/>
      <c r="O83" s="47">
        <f>_11_A重度研修１０．５</f>
        <v>1839</v>
      </c>
      <c r="P83" s="48"/>
    </row>
    <row r="84" spans="1:16" ht="16.5" customHeight="1" x14ac:dyDescent="0.15">
      <c r="A84" s="41">
        <v>11</v>
      </c>
      <c r="B84" s="41">
        <v>4054</v>
      </c>
      <c r="C84" s="74" t="s">
        <v>7320</v>
      </c>
      <c r="D84" s="709"/>
      <c r="E84" s="718"/>
      <c r="F84" s="44" t="s">
        <v>397</v>
      </c>
      <c r="G84" s="45" t="s">
        <v>398</v>
      </c>
      <c r="H84" s="46">
        <v>1</v>
      </c>
      <c r="I84" s="35"/>
      <c r="K84" s="57"/>
      <c r="L84" s="43"/>
      <c r="M84" s="37"/>
      <c r="N84" s="37"/>
      <c r="O84" s="47">
        <f>ROUND((_11_A重度研修１０．５*_11・２人),0)</f>
        <v>1839</v>
      </c>
      <c r="P84" s="48"/>
    </row>
    <row r="85" spans="1:16" ht="16.5" customHeight="1" x14ac:dyDescent="0.15">
      <c r="A85" s="41">
        <v>11</v>
      </c>
      <c r="B85" s="41" t="s">
        <v>7321</v>
      </c>
      <c r="C85" s="74" t="s">
        <v>7322</v>
      </c>
      <c r="D85" s="709"/>
      <c r="E85" s="718"/>
      <c r="F85" s="44"/>
      <c r="G85" s="45"/>
      <c r="H85" s="46"/>
      <c r="I85" s="35"/>
      <c r="K85" s="57"/>
      <c r="L85" s="734" t="s">
        <v>404</v>
      </c>
      <c r="M85" s="49" t="s">
        <v>398</v>
      </c>
      <c r="N85" s="50">
        <f>_11・初任</f>
        <v>0.7</v>
      </c>
      <c r="O85" s="47">
        <f>ROUND((_11_A重度研修１０．５*_11・初任),0)</f>
        <v>1287</v>
      </c>
      <c r="P85" s="48"/>
    </row>
    <row r="86" spans="1:16" ht="16.5" customHeight="1" x14ac:dyDescent="0.15">
      <c r="A86" s="41">
        <v>11</v>
      </c>
      <c r="B86" s="41" t="s">
        <v>7323</v>
      </c>
      <c r="C86" s="74" t="s">
        <v>7324</v>
      </c>
      <c r="D86" s="165">
        <f>_11_A重度研修１０．５</f>
        <v>1839</v>
      </c>
      <c r="E86" s="37" t="s">
        <v>392</v>
      </c>
      <c r="F86" s="44" t="s">
        <v>397</v>
      </c>
      <c r="G86" s="45" t="s">
        <v>398</v>
      </c>
      <c r="H86" s="46">
        <v>1</v>
      </c>
      <c r="I86" s="43"/>
      <c r="J86" s="38"/>
      <c r="K86" s="79"/>
      <c r="L86" s="706"/>
      <c r="M86" s="37"/>
      <c r="N86" s="38"/>
      <c r="O86" s="47">
        <f>ROUND((ROUND((_11_A重度研修１０．５*_11・２人),0)*_11・初任),0)</f>
        <v>1287</v>
      </c>
      <c r="P86" s="63"/>
    </row>
    <row r="87" spans="1:16" ht="16.5" customHeight="1" x14ac:dyDescent="0.15">
      <c r="A87" s="80"/>
      <c r="B87" s="80"/>
      <c r="C87" s="81"/>
      <c r="O87" s="84"/>
      <c r="P87" s="85"/>
    </row>
    <row r="88" spans="1:16" ht="16.5" customHeight="1" x14ac:dyDescent="0.15">
      <c r="A88" s="80"/>
      <c r="B88" s="80"/>
      <c r="C88" s="81"/>
      <c r="O88" s="84"/>
      <c r="P88" s="85"/>
    </row>
    <row r="89" spans="1:16" ht="16.5" customHeight="1" x14ac:dyDescent="0.15">
      <c r="A89" s="80"/>
      <c r="B89" s="86" t="s">
        <v>7325</v>
      </c>
      <c r="C89" s="81"/>
      <c r="D89" s="71"/>
      <c r="O89" s="84"/>
      <c r="P89" s="85"/>
    </row>
    <row r="90" spans="1:16" ht="16.5" customHeight="1" x14ac:dyDescent="0.15">
      <c r="A90" s="87" t="s">
        <v>384</v>
      </c>
      <c r="B90" s="20"/>
      <c r="C90" s="88" t="s">
        <v>385</v>
      </c>
      <c r="D90" s="23" t="s">
        <v>386</v>
      </c>
      <c r="E90" s="118"/>
      <c r="F90" s="23"/>
      <c r="G90" s="23"/>
      <c r="H90" s="24"/>
      <c r="I90" s="23"/>
      <c r="J90" s="24"/>
      <c r="K90" s="23"/>
      <c r="L90" s="23"/>
      <c r="M90" s="23"/>
      <c r="N90" s="23"/>
      <c r="O90" s="25" t="s">
        <v>387</v>
      </c>
      <c r="P90" s="21" t="s">
        <v>388</v>
      </c>
    </row>
    <row r="91" spans="1:16" ht="16.5" customHeight="1" x14ac:dyDescent="0.15">
      <c r="A91" s="26" t="s">
        <v>389</v>
      </c>
      <c r="B91" s="26" t="s">
        <v>390</v>
      </c>
      <c r="C91" s="89"/>
      <c r="D91" s="29"/>
      <c r="E91" s="120"/>
      <c r="F91" s="29"/>
      <c r="G91" s="29"/>
      <c r="H91" s="30"/>
      <c r="I91" s="29"/>
      <c r="J91" s="30"/>
      <c r="K91" s="29"/>
      <c r="L91" s="29"/>
      <c r="M91" s="29"/>
      <c r="N91" s="29"/>
      <c r="O91" s="31" t="s">
        <v>391</v>
      </c>
      <c r="P91" s="32" t="s">
        <v>392</v>
      </c>
    </row>
    <row r="92" spans="1:16" ht="16.5" customHeight="1" x14ac:dyDescent="0.15">
      <c r="A92" s="33">
        <v>11</v>
      </c>
      <c r="B92" s="33">
        <v>4055</v>
      </c>
      <c r="C92" s="34" t="s">
        <v>7326</v>
      </c>
      <c r="D92" s="709" t="s">
        <v>3642</v>
      </c>
      <c r="E92" s="718"/>
      <c r="F92" s="36"/>
      <c r="G92" s="37"/>
      <c r="H92" s="38"/>
      <c r="I92" s="35" t="s">
        <v>674</v>
      </c>
      <c r="K92" s="57"/>
      <c r="L92" s="35"/>
      <c r="O92" s="39">
        <f>ROUND((_11_A重度研修１．０*(1+_11・A早朝)),0)</f>
        <v>231</v>
      </c>
      <c r="P92" s="40" t="s">
        <v>395</v>
      </c>
    </row>
    <row r="93" spans="1:16" ht="16.5" customHeight="1" x14ac:dyDescent="0.15">
      <c r="A93" s="41">
        <v>11</v>
      </c>
      <c r="B93" s="41">
        <v>4056</v>
      </c>
      <c r="C93" s="74" t="s">
        <v>7327</v>
      </c>
      <c r="D93" s="709"/>
      <c r="E93" s="718"/>
      <c r="F93" s="44" t="s">
        <v>397</v>
      </c>
      <c r="G93" s="45" t="s">
        <v>398</v>
      </c>
      <c r="H93" s="46">
        <v>1</v>
      </c>
      <c r="I93" s="35" t="s">
        <v>398</v>
      </c>
      <c r="J93" s="13">
        <v>0.25</v>
      </c>
      <c r="K93" s="728" t="s">
        <v>676</v>
      </c>
      <c r="L93" s="43"/>
      <c r="M93" s="37"/>
      <c r="N93" s="37"/>
      <c r="O93" s="47">
        <f>ROUND((ROUND((_11_A重度研修１．０*_11・２人),0)*(1+_11・A早朝)),0)</f>
        <v>231</v>
      </c>
      <c r="P93" s="48"/>
    </row>
    <row r="94" spans="1:16" ht="16.5" customHeight="1" x14ac:dyDescent="0.15">
      <c r="A94" s="41">
        <v>11</v>
      </c>
      <c r="B94" s="41" t="s">
        <v>7328</v>
      </c>
      <c r="C94" s="74" t="s">
        <v>7329</v>
      </c>
      <c r="D94" s="709"/>
      <c r="E94" s="718"/>
      <c r="F94" s="44"/>
      <c r="G94" s="45"/>
      <c r="H94" s="46"/>
      <c r="I94" s="35"/>
      <c r="K94" s="728"/>
      <c r="L94" s="734" t="s">
        <v>404</v>
      </c>
      <c r="M94" s="49" t="s">
        <v>398</v>
      </c>
      <c r="N94" s="50">
        <f>_11・初任</f>
        <v>0.7</v>
      </c>
      <c r="O94" s="47">
        <f>ROUND((ROUND((_11_A重度研修１．０*(1+_11・A早朝)),0)*_11・初任),0)</f>
        <v>162</v>
      </c>
      <c r="P94" s="48"/>
    </row>
    <row r="95" spans="1:16" ht="16.5" customHeight="1" x14ac:dyDescent="0.15">
      <c r="A95" s="41">
        <v>11</v>
      </c>
      <c r="B95" s="41" t="s">
        <v>7330</v>
      </c>
      <c r="C95" s="74" t="s">
        <v>7331</v>
      </c>
      <c r="D95" s="100">
        <f>_11_A重度研修１．０</f>
        <v>185</v>
      </c>
      <c r="E95" s="12" t="s">
        <v>392</v>
      </c>
      <c r="F95" s="44" t="s">
        <v>397</v>
      </c>
      <c r="G95" s="45" t="s">
        <v>398</v>
      </c>
      <c r="H95" s="46">
        <v>1</v>
      </c>
      <c r="I95" s="35"/>
      <c r="K95" s="57"/>
      <c r="L95" s="706"/>
      <c r="M95" s="37"/>
      <c r="N95" s="38"/>
      <c r="O95" s="47">
        <f>ROUND((ROUND((ROUND((_11_A重度研修１．０*_11・２人),0)*(1+_11・A早朝)),0)*_11・初任),0)</f>
        <v>162</v>
      </c>
      <c r="P95" s="48"/>
    </row>
    <row r="96" spans="1:16" ht="16.5" customHeight="1" x14ac:dyDescent="0.15">
      <c r="A96" s="41">
        <v>11</v>
      </c>
      <c r="B96" s="41">
        <v>4233</v>
      </c>
      <c r="C96" s="74" t="s">
        <v>7332</v>
      </c>
      <c r="D96" s="707" t="s">
        <v>3670</v>
      </c>
      <c r="E96" s="717"/>
      <c r="F96" s="44"/>
      <c r="G96" s="45"/>
      <c r="H96" s="46"/>
      <c r="I96" s="35"/>
      <c r="K96" s="57"/>
      <c r="L96" s="53"/>
      <c r="M96" s="49"/>
      <c r="N96" s="49"/>
      <c r="O96" s="47">
        <f>ROUND((_11_A重度研修１．５*(1+_11・A早朝)),0)</f>
        <v>344</v>
      </c>
      <c r="P96" s="48"/>
    </row>
    <row r="97" spans="1:16" ht="16.5" customHeight="1" x14ac:dyDescent="0.15">
      <c r="A97" s="41">
        <v>11</v>
      </c>
      <c r="B97" s="41">
        <v>4234</v>
      </c>
      <c r="C97" s="74" t="s">
        <v>7333</v>
      </c>
      <c r="D97" s="709"/>
      <c r="E97" s="718"/>
      <c r="F97" s="44" t="s">
        <v>397</v>
      </c>
      <c r="G97" s="45" t="s">
        <v>398</v>
      </c>
      <c r="H97" s="46">
        <v>1</v>
      </c>
      <c r="I97" s="35"/>
      <c r="K97" s="57"/>
      <c r="L97" s="43"/>
      <c r="M97" s="37"/>
      <c r="N97" s="37"/>
      <c r="O97" s="47">
        <f>ROUND((ROUND((_11_A重度研修１．５*_11・２人),0)*(1+_11・A早朝)),0)</f>
        <v>344</v>
      </c>
      <c r="P97" s="48"/>
    </row>
    <row r="98" spans="1:16" ht="16.5" customHeight="1" x14ac:dyDescent="0.15">
      <c r="A98" s="41">
        <v>11</v>
      </c>
      <c r="B98" s="41" t="s">
        <v>7334</v>
      </c>
      <c r="C98" s="74" t="s">
        <v>7335</v>
      </c>
      <c r="D98" s="709"/>
      <c r="E98" s="718"/>
      <c r="F98" s="44"/>
      <c r="G98" s="45"/>
      <c r="H98" s="46"/>
      <c r="I98" s="35"/>
      <c r="K98" s="57"/>
      <c r="L98" s="734" t="s">
        <v>404</v>
      </c>
      <c r="M98" s="49" t="s">
        <v>398</v>
      </c>
      <c r="N98" s="50">
        <f>_11・初任</f>
        <v>0.7</v>
      </c>
      <c r="O98" s="47">
        <f>ROUND((ROUND((_11_A重度研修１．５*(1+_11・A早朝)),0)*_11・初任),0)</f>
        <v>241</v>
      </c>
      <c r="P98" s="48"/>
    </row>
    <row r="99" spans="1:16" ht="16.5" customHeight="1" x14ac:dyDescent="0.15">
      <c r="A99" s="41">
        <v>11</v>
      </c>
      <c r="B99" s="41" t="s">
        <v>7336</v>
      </c>
      <c r="C99" s="74" t="s">
        <v>7337</v>
      </c>
      <c r="D99" s="100">
        <f>_11_A重度研修１．５</f>
        <v>275</v>
      </c>
      <c r="E99" s="12" t="s">
        <v>392</v>
      </c>
      <c r="F99" s="44" t="s">
        <v>397</v>
      </c>
      <c r="G99" s="45" t="s">
        <v>398</v>
      </c>
      <c r="H99" s="46">
        <v>1</v>
      </c>
      <c r="I99" s="35"/>
      <c r="K99" s="57"/>
      <c r="L99" s="706"/>
      <c r="M99" s="37"/>
      <c r="N99" s="38"/>
      <c r="O99" s="47">
        <f>ROUND((ROUND((ROUND((_11_A重度研修１．５*_11・２人),0)*(1+_11・A早朝)),0)*_11・初任),0)</f>
        <v>241</v>
      </c>
      <c r="P99" s="48"/>
    </row>
    <row r="100" spans="1:16" ht="16.5" customHeight="1" x14ac:dyDescent="0.15">
      <c r="A100" s="41">
        <v>11</v>
      </c>
      <c r="B100" s="41">
        <v>4057</v>
      </c>
      <c r="C100" s="74" t="s">
        <v>7338</v>
      </c>
      <c r="D100" s="707" t="s">
        <v>3689</v>
      </c>
      <c r="E100" s="717"/>
      <c r="F100" s="44"/>
      <c r="G100" s="45"/>
      <c r="H100" s="46"/>
      <c r="I100" s="35"/>
      <c r="K100" s="57"/>
      <c r="L100" s="53"/>
      <c r="M100" s="49"/>
      <c r="N100" s="49"/>
      <c r="O100" s="47">
        <f>ROUND((_11_A重度研修２．０*(1+_11・A早朝)),0)</f>
        <v>459</v>
      </c>
      <c r="P100" s="48"/>
    </row>
    <row r="101" spans="1:16" ht="16.5" customHeight="1" x14ac:dyDescent="0.15">
      <c r="A101" s="41">
        <v>11</v>
      </c>
      <c r="B101" s="41">
        <v>4058</v>
      </c>
      <c r="C101" s="74" t="s">
        <v>7339</v>
      </c>
      <c r="D101" s="709"/>
      <c r="E101" s="718"/>
      <c r="F101" s="44" t="s">
        <v>397</v>
      </c>
      <c r="G101" s="45" t="s">
        <v>398</v>
      </c>
      <c r="H101" s="46">
        <v>1</v>
      </c>
      <c r="I101" s="35"/>
      <c r="K101" s="57"/>
      <c r="L101" s="43"/>
      <c r="M101" s="37"/>
      <c r="N101" s="37"/>
      <c r="O101" s="47">
        <f>ROUND((ROUND((_11_A重度研修２．０*_11・２人),0)*(1+_11・A早朝)),0)</f>
        <v>459</v>
      </c>
      <c r="P101" s="48"/>
    </row>
    <row r="102" spans="1:16" ht="16.5" customHeight="1" x14ac:dyDescent="0.15">
      <c r="A102" s="41">
        <v>11</v>
      </c>
      <c r="B102" s="41" t="s">
        <v>7340</v>
      </c>
      <c r="C102" s="74" t="s">
        <v>7341</v>
      </c>
      <c r="D102" s="709"/>
      <c r="E102" s="718"/>
      <c r="F102" s="44"/>
      <c r="G102" s="45"/>
      <c r="H102" s="46"/>
      <c r="I102" s="35"/>
      <c r="K102" s="57"/>
      <c r="L102" s="734" t="s">
        <v>404</v>
      </c>
      <c r="M102" s="49" t="s">
        <v>398</v>
      </c>
      <c r="N102" s="50">
        <f>_11・初任</f>
        <v>0.7</v>
      </c>
      <c r="O102" s="47">
        <f>ROUND((ROUND((_11_A重度研修２．０*(1+_11・A早朝)),0)*_11・初任),0)</f>
        <v>321</v>
      </c>
      <c r="P102" s="48"/>
    </row>
    <row r="103" spans="1:16" ht="16.5" customHeight="1" x14ac:dyDescent="0.15">
      <c r="A103" s="41">
        <v>11</v>
      </c>
      <c r="B103" s="41" t="s">
        <v>7342</v>
      </c>
      <c r="C103" s="74" t="s">
        <v>7343</v>
      </c>
      <c r="D103" s="100">
        <f>_11_A重度研修２．０</f>
        <v>367</v>
      </c>
      <c r="E103" s="12" t="s">
        <v>392</v>
      </c>
      <c r="F103" s="44" t="s">
        <v>397</v>
      </c>
      <c r="G103" s="45" t="s">
        <v>398</v>
      </c>
      <c r="H103" s="46">
        <v>1</v>
      </c>
      <c r="I103" s="35"/>
      <c r="K103" s="57"/>
      <c r="L103" s="706"/>
      <c r="M103" s="37"/>
      <c r="N103" s="38"/>
      <c r="O103" s="47">
        <f>ROUND((ROUND((ROUND((_11_A重度研修２．０*_11・２人),0)*(1+_11・A早朝)),0)*_11・初任),0)</f>
        <v>321</v>
      </c>
      <c r="P103" s="48"/>
    </row>
    <row r="104" spans="1:16" ht="16.5" customHeight="1" x14ac:dyDescent="0.15">
      <c r="A104" s="41">
        <v>11</v>
      </c>
      <c r="B104" s="41">
        <v>4235</v>
      </c>
      <c r="C104" s="74" t="s">
        <v>7344</v>
      </c>
      <c r="D104" s="707" t="s">
        <v>3702</v>
      </c>
      <c r="E104" s="717"/>
      <c r="F104" s="44"/>
      <c r="G104" s="45"/>
      <c r="H104" s="46"/>
      <c r="I104" s="35"/>
      <c r="K104" s="57"/>
      <c r="L104" s="53"/>
      <c r="M104" s="49"/>
      <c r="N104" s="49"/>
      <c r="O104" s="47">
        <f>ROUND((_11_A重度研修２．５*(1+_11・A早朝)),0)</f>
        <v>573</v>
      </c>
      <c r="P104" s="48"/>
    </row>
    <row r="105" spans="1:16" ht="16.5" customHeight="1" x14ac:dyDescent="0.15">
      <c r="A105" s="41">
        <v>11</v>
      </c>
      <c r="B105" s="41">
        <v>4236</v>
      </c>
      <c r="C105" s="74" t="s">
        <v>7345</v>
      </c>
      <c r="D105" s="709"/>
      <c r="E105" s="718"/>
      <c r="F105" s="44" t="s">
        <v>397</v>
      </c>
      <c r="G105" s="45" t="s">
        <v>398</v>
      </c>
      <c r="H105" s="46">
        <v>1</v>
      </c>
      <c r="I105" s="35"/>
      <c r="K105" s="57"/>
      <c r="L105" s="43"/>
      <c r="M105" s="37"/>
      <c r="N105" s="37"/>
      <c r="O105" s="47">
        <f>ROUND((ROUND((_11_A重度研修２．５*_11・２人),0)*(1+_11・A早朝)),0)</f>
        <v>573</v>
      </c>
      <c r="P105" s="48"/>
    </row>
    <row r="106" spans="1:16" ht="16.5" customHeight="1" x14ac:dyDescent="0.15">
      <c r="A106" s="41">
        <v>11</v>
      </c>
      <c r="B106" s="41" t="s">
        <v>7346</v>
      </c>
      <c r="C106" s="74" t="s">
        <v>7347</v>
      </c>
      <c r="D106" s="709"/>
      <c r="E106" s="718"/>
      <c r="F106" s="44"/>
      <c r="G106" s="45"/>
      <c r="H106" s="46"/>
      <c r="I106" s="35"/>
      <c r="K106" s="57"/>
      <c r="L106" s="734" t="s">
        <v>404</v>
      </c>
      <c r="M106" s="49" t="s">
        <v>398</v>
      </c>
      <c r="N106" s="50">
        <f>_11・初任</f>
        <v>0.7</v>
      </c>
      <c r="O106" s="47">
        <f>ROUND((ROUND((_11_A重度研修２．５*(1+_11・A早朝)),0)*_11・初任),0)</f>
        <v>401</v>
      </c>
      <c r="P106" s="48"/>
    </row>
    <row r="107" spans="1:16" ht="16.5" customHeight="1" x14ac:dyDescent="0.15">
      <c r="A107" s="41">
        <v>11</v>
      </c>
      <c r="B107" s="41" t="s">
        <v>7348</v>
      </c>
      <c r="C107" s="74" t="s">
        <v>7349</v>
      </c>
      <c r="D107" s="165">
        <f>_11_A重度研修２．５</f>
        <v>458</v>
      </c>
      <c r="E107" s="37" t="s">
        <v>392</v>
      </c>
      <c r="F107" s="44" t="s">
        <v>397</v>
      </c>
      <c r="G107" s="45" t="s">
        <v>398</v>
      </c>
      <c r="H107" s="46">
        <v>1</v>
      </c>
      <c r="I107" s="43"/>
      <c r="J107" s="38"/>
      <c r="K107" s="79"/>
      <c r="L107" s="706"/>
      <c r="M107" s="37"/>
      <c r="N107" s="38"/>
      <c r="O107" s="47">
        <f>ROUND((ROUND((ROUND((_11_A重度研修２．５*_11・２人),0)*(1+_11・A早朝)),0)*_11・初任),0)</f>
        <v>401</v>
      </c>
      <c r="P107" s="63"/>
    </row>
    <row r="108" spans="1:16" ht="16.5" customHeight="1" x14ac:dyDescent="0.15">
      <c r="A108" s="80"/>
      <c r="B108" s="80"/>
      <c r="C108" s="81"/>
      <c r="O108" s="84"/>
      <c r="P108" s="85"/>
    </row>
    <row r="109" spans="1:16" ht="16.5" customHeight="1" x14ac:dyDescent="0.15">
      <c r="A109" s="80"/>
      <c r="B109" s="80"/>
      <c r="C109" s="81"/>
      <c r="O109" s="84"/>
      <c r="P109" s="85"/>
    </row>
    <row r="110" spans="1:16" ht="16.5" customHeight="1" x14ac:dyDescent="0.15">
      <c r="A110" s="80"/>
      <c r="B110" s="86" t="s">
        <v>7350</v>
      </c>
      <c r="C110" s="81"/>
      <c r="D110" s="71"/>
      <c r="O110" s="84"/>
      <c r="P110" s="85"/>
    </row>
    <row r="111" spans="1:16" ht="16.5" customHeight="1" x14ac:dyDescent="0.15">
      <c r="A111" s="87" t="s">
        <v>384</v>
      </c>
      <c r="B111" s="20"/>
      <c r="C111" s="88" t="s">
        <v>385</v>
      </c>
      <c r="D111" s="23" t="s">
        <v>386</v>
      </c>
      <c r="E111" s="118"/>
      <c r="F111" s="23"/>
      <c r="G111" s="23"/>
      <c r="H111" s="24"/>
      <c r="I111" s="23"/>
      <c r="J111" s="24"/>
      <c r="K111" s="23"/>
      <c r="L111" s="23"/>
      <c r="M111" s="23"/>
      <c r="N111" s="23"/>
      <c r="O111" s="25" t="s">
        <v>387</v>
      </c>
      <c r="P111" s="21" t="s">
        <v>388</v>
      </c>
    </row>
    <row r="112" spans="1:16" ht="16.5" customHeight="1" x14ac:dyDescent="0.15">
      <c r="A112" s="26" t="s">
        <v>389</v>
      </c>
      <c r="B112" s="26" t="s">
        <v>390</v>
      </c>
      <c r="C112" s="89"/>
      <c r="D112" s="29"/>
      <c r="E112" s="120"/>
      <c r="F112" s="29"/>
      <c r="G112" s="29"/>
      <c r="H112" s="30"/>
      <c r="I112" s="29"/>
      <c r="J112" s="30"/>
      <c r="K112" s="29"/>
      <c r="L112" s="29"/>
      <c r="M112" s="29"/>
      <c r="N112" s="29"/>
      <c r="O112" s="31" t="s">
        <v>391</v>
      </c>
      <c r="P112" s="32" t="s">
        <v>392</v>
      </c>
    </row>
    <row r="113" spans="1:16" ht="16.5" customHeight="1" x14ac:dyDescent="0.15">
      <c r="A113" s="33">
        <v>11</v>
      </c>
      <c r="B113" s="33">
        <v>4061</v>
      </c>
      <c r="C113" s="34" t="s">
        <v>7351</v>
      </c>
      <c r="D113" s="709" t="s">
        <v>3779</v>
      </c>
      <c r="E113" s="718"/>
      <c r="F113" s="36"/>
      <c r="G113" s="37"/>
      <c r="H113" s="38"/>
      <c r="I113" s="35" t="s">
        <v>743</v>
      </c>
      <c r="K113" s="57"/>
      <c r="L113" s="35"/>
      <c r="O113" s="39">
        <f>ROUND((_11_A重度研修１．０*(1+_11・A夜間)),0)</f>
        <v>231</v>
      </c>
      <c r="P113" s="40" t="s">
        <v>395</v>
      </c>
    </row>
    <row r="114" spans="1:16" ht="16.5" customHeight="1" x14ac:dyDescent="0.15">
      <c r="A114" s="41">
        <v>11</v>
      </c>
      <c r="B114" s="41">
        <v>4062</v>
      </c>
      <c r="C114" s="74" t="s">
        <v>7352</v>
      </c>
      <c r="D114" s="709"/>
      <c r="E114" s="718"/>
      <c r="F114" s="44" t="s">
        <v>397</v>
      </c>
      <c r="G114" s="45" t="s">
        <v>398</v>
      </c>
      <c r="H114" s="46">
        <v>1</v>
      </c>
      <c r="I114" s="35" t="s">
        <v>398</v>
      </c>
      <c r="J114" s="13">
        <v>0.25</v>
      </c>
      <c r="K114" s="728" t="s">
        <v>676</v>
      </c>
      <c r="L114" s="43"/>
      <c r="M114" s="37"/>
      <c r="N114" s="37"/>
      <c r="O114" s="47">
        <f>ROUND((ROUND((_11_A重度研修１．０*_11・２人),0)*(1+_11・A夜間)),0)</f>
        <v>231</v>
      </c>
      <c r="P114" s="48"/>
    </row>
    <row r="115" spans="1:16" ht="16.5" customHeight="1" x14ac:dyDescent="0.15">
      <c r="A115" s="41">
        <v>11</v>
      </c>
      <c r="B115" s="41" t="s">
        <v>7353</v>
      </c>
      <c r="C115" s="74" t="s">
        <v>7354</v>
      </c>
      <c r="D115" s="709"/>
      <c r="E115" s="718"/>
      <c r="F115" s="44"/>
      <c r="G115" s="45"/>
      <c r="H115" s="46"/>
      <c r="I115" s="35"/>
      <c r="K115" s="728"/>
      <c r="L115" s="734" t="s">
        <v>404</v>
      </c>
      <c r="M115" s="49" t="s">
        <v>398</v>
      </c>
      <c r="N115" s="50">
        <f>_11・初任</f>
        <v>0.7</v>
      </c>
      <c r="O115" s="47">
        <f>ROUND((ROUND((_11_A重度研修１．０*(1+_11・A夜間)),0)*_11・初任),0)</f>
        <v>162</v>
      </c>
      <c r="P115" s="48"/>
    </row>
    <row r="116" spans="1:16" ht="16.5" customHeight="1" x14ac:dyDescent="0.15">
      <c r="A116" s="41">
        <v>11</v>
      </c>
      <c r="B116" s="41" t="s">
        <v>7355</v>
      </c>
      <c r="C116" s="74" t="s">
        <v>7356</v>
      </c>
      <c r="D116" s="100">
        <f>_11_A重度研修１．０</f>
        <v>185</v>
      </c>
      <c r="E116" s="12" t="s">
        <v>392</v>
      </c>
      <c r="F116" s="44" t="s">
        <v>397</v>
      </c>
      <c r="G116" s="45" t="s">
        <v>398</v>
      </c>
      <c r="H116" s="46">
        <v>1</v>
      </c>
      <c r="I116" s="35"/>
      <c r="K116" s="57"/>
      <c r="L116" s="706"/>
      <c r="M116" s="37"/>
      <c r="N116" s="38"/>
      <c r="O116" s="47">
        <f>ROUND((ROUND((ROUND((_11_A重度研修１．０*_11・２人),0)*(1+_11・A夜間)),0)*_11・初任),0)</f>
        <v>162</v>
      </c>
      <c r="P116" s="48"/>
    </row>
    <row r="117" spans="1:16" ht="16.5" customHeight="1" x14ac:dyDescent="0.15">
      <c r="A117" s="41">
        <v>11</v>
      </c>
      <c r="B117" s="41">
        <v>4237</v>
      </c>
      <c r="C117" s="74" t="s">
        <v>7357</v>
      </c>
      <c r="D117" s="707" t="s">
        <v>3808</v>
      </c>
      <c r="E117" s="717"/>
      <c r="F117" s="44"/>
      <c r="G117" s="45"/>
      <c r="H117" s="46"/>
      <c r="I117" s="35"/>
      <c r="K117" s="57"/>
      <c r="L117" s="53"/>
      <c r="M117" s="49"/>
      <c r="N117" s="49"/>
      <c r="O117" s="47">
        <f>ROUND((_11_A重度研修１．５*(1+_11・A夜間)),0)</f>
        <v>344</v>
      </c>
      <c r="P117" s="48"/>
    </row>
    <row r="118" spans="1:16" ht="16.5" customHeight="1" x14ac:dyDescent="0.15">
      <c r="A118" s="41">
        <v>11</v>
      </c>
      <c r="B118" s="41">
        <v>4238</v>
      </c>
      <c r="C118" s="74" t="s">
        <v>7358</v>
      </c>
      <c r="D118" s="709"/>
      <c r="E118" s="718"/>
      <c r="F118" s="44" t="s">
        <v>397</v>
      </c>
      <c r="G118" s="45" t="s">
        <v>398</v>
      </c>
      <c r="H118" s="46">
        <v>1</v>
      </c>
      <c r="I118" s="35"/>
      <c r="K118" s="57"/>
      <c r="L118" s="43"/>
      <c r="M118" s="37"/>
      <c r="N118" s="37"/>
      <c r="O118" s="47">
        <f>ROUND((ROUND((_11_A重度研修１．５*_11・２人),0)*(1+_11・A夜間)),0)</f>
        <v>344</v>
      </c>
      <c r="P118" s="48"/>
    </row>
    <row r="119" spans="1:16" ht="16.5" customHeight="1" x14ac:dyDescent="0.15">
      <c r="A119" s="41">
        <v>11</v>
      </c>
      <c r="B119" s="41" t="s">
        <v>7359</v>
      </c>
      <c r="C119" s="74" t="s">
        <v>7360</v>
      </c>
      <c r="D119" s="709"/>
      <c r="E119" s="718"/>
      <c r="F119" s="44"/>
      <c r="G119" s="45"/>
      <c r="H119" s="46"/>
      <c r="I119" s="35"/>
      <c r="K119" s="57"/>
      <c r="L119" s="734" t="s">
        <v>404</v>
      </c>
      <c r="M119" s="49" t="s">
        <v>398</v>
      </c>
      <c r="N119" s="50">
        <f>_11・初任</f>
        <v>0.7</v>
      </c>
      <c r="O119" s="47">
        <f>ROUND((ROUND((_11_A重度研修１．５*(1+_11・A夜間)),0)*_11・初任),0)</f>
        <v>241</v>
      </c>
      <c r="P119" s="48"/>
    </row>
    <row r="120" spans="1:16" ht="16.5" customHeight="1" x14ac:dyDescent="0.15">
      <c r="A120" s="41">
        <v>11</v>
      </c>
      <c r="B120" s="41" t="s">
        <v>7361</v>
      </c>
      <c r="C120" s="74" t="s">
        <v>7362</v>
      </c>
      <c r="D120" s="100">
        <f>_11_A重度研修１．５</f>
        <v>275</v>
      </c>
      <c r="E120" s="12" t="s">
        <v>392</v>
      </c>
      <c r="F120" s="44" t="s">
        <v>397</v>
      </c>
      <c r="G120" s="45" t="s">
        <v>398</v>
      </c>
      <c r="H120" s="46">
        <v>1</v>
      </c>
      <c r="I120" s="35"/>
      <c r="K120" s="57"/>
      <c r="L120" s="706"/>
      <c r="M120" s="37"/>
      <c r="N120" s="38"/>
      <c r="O120" s="47">
        <f>ROUND((ROUND((ROUND((_11_A重度研修１．５*_11・２人),0)*(1+_11・A夜間)),0)*_11・初任),0)</f>
        <v>241</v>
      </c>
      <c r="P120" s="48"/>
    </row>
    <row r="121" spans="1:16" ht="16.5" customHeight="1" x14ac:dyDescent="0.15">
      <c r="A121" s="41">
        <v>11</v>
      </c>
      <c r="B121" s="41">
        <v>4063</v>
      </c>
      <c r="C121" s="74" t="s">
        <v>7363</v>
      </c>
      <c r="D121" s="707" t="s">
        <v>3827</v>
      </c>
      <c r="E121" s="717"/>
      <c r="F121" s="44"/>
      <c r="G121" s="45"/>
      <c r="H121" s="46"/>
      <c r="I121" s="35"/>
      <c r="K121" s="57"/>
      <c r="L121" s="53"/>
      <c r="M121" s="49"/>
      <c r="N121" s="49"/>
      <c r="O121" s="47">
        <f>ROUND((_11_A重度研修２．０*(1+_11・A夜間)),0)</f>
        <v>459</v>
      </c>
      <c r="P121" s="48"/>
    </row>
    <row r="122" spans="1:16" ht="16.5" customHeight="1" x14ac:dyDescent="0.15">
      <c r="A122" s="41">
        <v>11</v>
      </c>
      <c r="B122" s="41">
        <v>4064</v>
      </c>
      <c r="C122" s="74" t="s">
        <v>7364</v>
      </c>
      <c r="D122" s="709"/>
      <c r="E122" s="718"/>
      <c r="F122" s="44" t="s">
        <v>397</v>
      </c>
      <c r="G122" s="45" t="s">
        <v>398</v>
      </c>
      <c r="H122" s="46">
        <v>1</v>
      </c>
      <c r="I122" s="35"/>
      <c r="K122" s="57"/>
      <c r="L122" s="43"/>
      <c r="M122" s="37"/>
      <c r="N122" s="37"/>
      <c r="O122" s="47">
        <f>ROUND((ROUND((_11_A重度研修２．０*_11・２人),0)*(1+_11・A夜間)),0)</f>
        <v>459</v>
      </c>
      <c r="P122" s="48"/>
    </row>
    <row r="123" spans="1:16" ht="16.5" customHeight="1" x14ac:dyDescent="0.15">
      <c r="A123" s="41">
        <v>11</v>
      </c>
      <c r="B123" s="41" t="s">
        <v>7365</v>
      </c>
      <c r="C123" s="74" t="s">
        <v>7366</v>
      </c>
      <c r="D123" s="709"/>
      <c r="E123" s="718"/>
      <c r="F123" s="44"/>
      <c r="G123" s="45"/>
      <c r="H123" s="46"/>
      <c r="I123" s="35"/>
      <c r="K123" s="57"/>
      <c r="L123" s="734" t="s">
        <v>404</v>
      </c>
      <c r="M123" s="49" t="s">
        <v>398</v>
      </c>
      <c r="N123" s="50">
        <f>_11・初任</f>
        <v>0.7</v>
      </c>
      <c r="O123" s="47">
        <f>ROUND((ROUND((_11_A重度研修２．０*(1+_11・A夜間)),0)*_11・初任),0)</f>
        <v>321</v>
      </c>
      <c r="P123" s="48"/>
    </row>
    <row r="124" spans="1:16" ht="16.5" customHeight="1" x14ac:dyDescent="0.15">
      <c r="A124" s="41">
        <v>11</v>
      </c>
      <c r="B124" s="41" t="s">
        <v>7367</v>
      </c>
      <c r="C124" s="74" t="s">
        <v>7368</v>
      </c>
      <c r="D124" s="100">
        <f>_11_A重度研修２．０</f>
        <v>367</v>
      </c>
      <c r="E124" s="12" t="s">
        <v>392</v>
      </c>
      <c r="F124" s="44" t="s">
        <v>397</v>
      </c>
      <c r="G124" s="45" t="s">
        <v>398</v>
      </c>
      <c r="H124" s="46">
        <v>1</v>
      </c>
      <c r="I124" s="35"/>
      <c r="K124" s="57"/>
      <c r="L124" s="706"/>
      <c r="M124" s="37"/>
      <c r="N124" s="38"/>
      <c r="O124" s="47">
        <f>ROUND((ROUND((ROUND((_11_A重度研修２．０*_11・２人),0)*(1+_11・A夜間)),0)*_11・初任),0)</f>
        <v>321</v>
      </c>
      <c r="P124" s="48"/>
    </row>
    <row r="125" spans="1:16" ht="16.5" customHeight="1" x14ac:dyDescent="0.15">
      <c r="A125" s="41">
        <v>11</v>
      </c>
      <c r="B125" s="41">
        <v>4239</v>
      </c>
      <c r="C125" s="74" t="s">
        <v>7369</v>
      </c>
      <c r="D125" s="707" t="s">
        <v>3840</v>
      </c>
      <c r="E125" s="717"/>
      <c r="F125" s="44"/>
      <c r="G125" s="45"/>
      <c r="H125" s="46"/>
      <c r="I125" s="35"/>
      <c r="K125" s="57"/>
      <c r="L125" s="53"/>
      <c r="M125" s="49"/>
      <c r="N125" s="49"/>
      <c r="O125" s="47">
        <f>ROUND((_11_A重度研修２．５*(1+_11・A夜間)),0)</f>
        <v>573</v>
      </c>
      <c r="P125" s="48"/>
    </row>
    <row r="126" spans="1:16" ht="16.5" customHeight="1" x14ac:dyDescent="0.15">
      <c r="A126" s="41">
        <v>11</v>
      </c>
      <c r="B126" s="41">
        <v>4240</v>
      </c>
      <c r="C126" s="74" t="s">
        <v>7370</v>
      </c>
      <c r="D126" s="709"/>
      <c r="E126" s="718"/>
      <c r="F126" s="44" t="s">
        <v>397</v>
      </c>
      <c r="G126" s="45" t="s">
        <v>398</v>
      </c>
      <c r="H126" s="46">
        <v>1</v>
      </c>
      <c r="I126" s="35"/>
      <c r="K126" s="57"/>
      <c r="L126" s="43"/>
      <c r="M126" s="37"/>
      <c r="N126" s="37"/>
      <c r="O126" s="47">
        <f>ROUND((ROUND((_11_A重度研修２．５*_11・２人),0)*(1+_11・A夜間)),0)</f>
        <v>573</v>
      </c>
      <c r="P126" s="48"/>
    </row>
    <row r="127" spans="1:16" ht="16.5" customHeight="1" x14ac:dyDescent="0.15">
      <c r="A127" s="41">
        <v>11</v>
      </c>
      <c r="B127" s="41" t="s">
        <v>7371</v>
      </c>
      <c r="C127" s="74" t="s">
        <v>7372</v>
      </c>
      <c r="D127" s="709"/>
      <c r="E127" s="718"/>
      <c r="F127" s="44"/>
      <c r="G127" s="45"/>
      <c r="H127" s="46"/>
      <c r="I127" s="35"/>
      <c r="K127" s="57"/>
      <c r="L127" s="734" t="s">
        <v>404</v>
      </c>
      <c r="M127" s="49" t="s">
        <v>398</v>
      </c>
      <c r="N127" s="50">
        <f>_11・初任</f>
        <v>0.7</v>
      </c>
      <c r="O127" s="47">
        <f>ROUND((ROUND((_11_A重度研修２．５*(1+_11・A夜間)),0)*_11・初任),0)</f>
        <v>401</v>
      </c>
      <c r="P127" s="48"/>
    </row>
    <row r="128" spans="1:16" ht="16.5" customHeight="1" x14ac:dyDescent="0.15">
      <c r="A128" s="41">
        <v>11</v>
      </c>
      <c r="B128" s="41" t="s">
        <v>7373</v>
      </c>
      <c r="C128" s="74" t="s">
        <v>7374</v>
      </c>
      <c r="D128" s="100">
        <f>_11_A重度研修２．５</f>
        <v>458</v>
      </c>
      <c r="E128" s="12" t="s">
        <v>392</v>
      </c>
      <c r="F128" s="44" t="s">
        <v>397</v>
      </c>
      <c r="G128" s="45" t="s">
        <v>398</v>
      </c>
      <c r="H128" s="46">
        <v>1</v>
      </c>
      <c r="I128" s="35"/>
      <c r="K128" s="57"/>
      <c r="L128" s="706"/>
      <c r="M128" s="37"/>
      <c r="N128" s="38"/>
      <c r="O128" s="47">
        <f>ROUND((ROUND((ROUND((_11_A重度研修２．５*_11・２人),0)*(1+_11・A夜間)),0)*_11・初任),0)</f>
        <v>401</v>
      </c>
      <c r="P128" s="48"/>
    </row>
    <row r="129" spans="1:16" ht="16.5" customHeight="1" x14ac:dyDescent="0.15">
      <c r="A129" s="41">
        <v>11</v>
      </c>
      <c r="B129" s="41">
        <v>4065</v>
      </c>
      <c r="C129" s="74" t="s">
        <v>7375</v>
      </c>
      <c r="D129" s="707" t="s">
        <v>7376</v>
      </c>
      <c r="E129" s="717"/>
      <c r="F129" s="44"/>
      <c r="G129" s="45"/>
      <c r="H129" s="46"/>
      <c r="I129" s="35"/>
      <c r="K129" s="57"/>
      <c r="L129" s="53"/>
      <c r="M129" s="49"/>
      <c r="N129" s="49"/>
      <c r="O129" s="47">
        <f>ROUND((_11_A重度研修３．０*(1+_11・A夜間)),0)</f>
        <v>688</v>
      </c>
      <c r="P129" s="48"/>
    </row>
    <row r="130" spans="1:16" ht="16.5" customHeight="1" x14ac:dyDescent="0.15">
      <c r="A130" s="41">
        <v>11</v>
      </c>
      <c r="B130" s="41">
        <v>4066</v>
      </c>
      <c r="C130" s="74" t="s">
        <v>7377</v>
      </c>
      <c r="D130" s="709"/>
      <c r="E130" s="718"/>
      <c r="F130" s="44" t="s">
        <v>397</v>
      </c>
      <c r="G130" s="45" t="s">
        <v>398</v>
      </c>
      <c r="H130" s="46">
        <v>1</v>
      </c>
      <c r="I130" s="35"/>
      <c r="K130" s="57"/>
      <c r="L130" s="43"/>
      <c r="M130" s="37"/>
      <c r="N130" s="37"/>
      <c r="O130" s="47">
        <f>ROUND((ROUND((_11_A重度研修３．０*_11・２人),0)*(1+_11・A夜間)),0)</f>
        <v>688</v>
      </c>
      <c r="P130" s="48"/>
    </row>
    <row r="131" spans="1:16" ht="16.5" customHeight="1" x14ac:dyDescent="0.15">
      <c r="A131" s="41">
        <v>11</v>
      </c>
      <c r="B131" s="41" t="s">
        <v>7378</v>
      </c>
      <c r="C131" s="74" t="s">
        <v>7379</v>
      </c>
      <c r="D131" s="709"/>
      <c r="E131" s="718"/>
      <c r="F131" s="44"/>
      <c r="G131" s="45"/>
      <c r="H131" s="46"/>
      <c r="I131" s="35"/>
      <c r="K131" s="57"/>
      <c r="L131" s="734" t="s">
        <v>404</v>
      </c>
      <c r="M131" s="49" t="s">
        <v>398</v>
      </c>
      <c r="N131" s="50">
        <f>_11・初任</f>
        <v>0.7</v>
      </c>
      <c r="O131" s="47">
        <f>ROUND((ROUND((_11_A重度研修３．０*(1+_11・A夜間)),0)*_11・初任),0)</f>
        <v>482</v>
      </c>
      <c r="P131" s="48"/>
    </row>
    <row r="132" spans="1:16" ht="16.5" customHeight="1" x14ac:dyDescent="0.15">
      <c r="A132" s="41">
        <v>11</v>
      </c>
      <c r="B132" s="41" t="s">
        <v>7380</v>
      </c>
      <c r="C132" s="74" t="s">
        <v>7381</v>
      </c>
      <c r="D132" s="100">
        <f>_11_A重度研修３．０</f>
        <v>550</v>
      </c>
      <c r="E132" s="12" t="s">
        <v>392</v>
      </c>
      <c r="F132" s="44" t="s">
        <v>397</v>
      </c>
      <c r="G132" s="45" t="s">
        <v>398</v>
      </c>
      <c r="H132" s="46">
        <v>1</v>
      </c>
      <c r="I132" s="35"/>
      <c r="K132" s="57"/>
      <c r="L132" s="706"/>
      <c r="M132" s="37"/>
      <c r="N132" s="38"/>
      <c r="O132" s="47">
        <f>ROUND((ROUND((ROUND((_11_A重度研修３．０*_11・２人),0)*(1+_11・A夜間)),0)*_11・初任),0)</f>
        <v>482</v>
      </c>
      <c r="P132" s="48"/>
    </row>
    <row r="133" spans="1:16" ht="16.5" customHeight="1" x14ac:dyDescent="0.15">
      <c r="A133" s="41">
        <v>11</v>
      </c>
      <c r="B133" s="41">
        <v>4067</v>
      </c>
      <c r="C133" s="74" t="s">
        <v>7382</v>
      </c>
      <c r="D133" s="707" t="s">
        <v>7383</v>
      </c>
      <c r="E133" s="717"/>
      <c r="F133" s="44"/>
      <c r="G133" s="45"/>
      <c r="H133" s="46"/>
      <c r="I133" s="35"/>
      <c r="K133" s="57"/>
      <c r="L133" s="53"/>
      <c r="M133" s="49"/>
      <c r="N133" s="49"/>
      <c r="O133" s="47">
        <f>ROUND((_11_A重度研修３．５*(1+_11・A夜間)),0)</f>
        <v>794</v>
      </c>
      <c r="P133" s="48"/>
    </row>
    <row r="134" spans="1:16" ht="16.5" customHeight="1" x14ac:dyDescent="0.15">
      <c r="A134" s="41">
        <v>11</v>
      </c>
      <c r="B134" s="41">
        <v>4068</v>
      </c>
      <c r="C134" s="74" t="s">
        <v>7384</v>
      </c>
      <c r="D134" s="709"/>
      <c r="E134" s="718"/>
      <c r="F134" s="44" t="s">
        <v>397</v>
      </c>
      <c r="G134" s="45" t="s">
        <v>398</v>
      </c>
      <c r="H134" s="46">
        <v>1</v>
      </c>
      <c r="I134" s="35"/>
      <c r="K134" s="57"/>
      <c r="L134" s="43"/>
      <c r="M134" s="37"/>
      <c r="N134" s="37"/>
      <c r="O134" s="47">
        <f>ROUND((ROUND((_11_A重度研修３．５*_11・２人),0)*(1+_11・A夜間)),0)</f>
        <v>794</v>
      </c>
      <c r="P134" s="48"/>
    </row>
    <row r="135" spans="1:16" ht="16.5" customHeight="1" x14ac:dyDescent="0.15">
      <c r="A135" s="41">
        <v>11</v>
      </c>
      <c r="B135" s="41" t="s">
        <v>7385</v>
      </c>
      <c r="C135" s="74" t="s">
        <v>7386</v>
      </c>
      <c r="D135" s="709"/>
      <c r="E135" s="718"/>
      <c r="F135" s="44"/>
      <c r="G135" s="45"/>
      <c r="H135" s="46"/>
      <c r="I135" s="35"/>
      <c r="K135" s="57"/>
      <c r="L135" s="734" t="s">
        <v>404</v>
      </c>
      <c r="M135" s="49" t="s">
        <v>398</v>
      </c>
      <c r="N135" s="50">
        <f>_11・初任</f>
        <v>0.7</v>
      </c>
      <c r="O135" s="47">
        <f>ROUND((ROUND((_11_A重度研修３．５*(1+_11・A夜間)),0)*_11・初任),0)</f>
        <v>556</v>
      </c>
      <c r="P135" s="48"/>
    </row>
    <row r="136" spans="1:16" ht="16.5" customHeight="1" x14ac:dyDescent="0.15">
      <c r="A136" s="41">
        <v>11</v>
      </c>
      <c r="B136" s="41" t="s">
        <v>7387</v>
      </c>
      <c r="C136" s="74" t="s">
        <v>7388</v>
      </c>
      <c r="D136" s="100">
        <f>_11_A重度研修３．５</f>
        <v>635</v>
      </c>
      <c r="E136" s="12" t="s">
        <v>392</v>
      </c>
      <c r="F136" s="44" t="s">
        <v>397</v>
      </c>
      <c r="G136" s="45" t="s">
        <v>398</v>
      </c>
      <c r="H136" s="46">
        <v>1</v>
      </c>
      <c r="I136" s="35"/>
      <c r="K136" s="57"/>
      <c r="L136" s="706"/>
      <c r="M136" s="37"/>
      <c r="N136" s="38"/>
      <c r="O136" s="47">
        <f>ROUND((ROUND((ROUND((_11_A重度研修３．５*_11・２人),0)*(1+_11・A夜間)),0)*_11・初任),0)</f>
        <v>556</v>
      </c>
      <c r="P136" s="48"/>
    </row>
    <row r="137" spans="1:16" ht="16.5" customHeight="1" x14ac:dyDescent="0.15">
      <c r="A137" s="41">
        <v>11</v>
      </c>
      <c r="B137" s="41">
        <v>4069</v>
      </c>
      <c r="C137" s="74" t="s">
        <v>7389</v>
      </c>
      <c r="D137" s="707" t="s">
        <v>7390</v>
      </c>
      <c r="E137" s="717"/>
      <c r="F137" s="44"/>
      <c r="G137" s="45"/>
      <c r="H137" s="46"/>
      <c r="I137" s="35"/>
      <c r="K137" s="57"/>
      <c r="L137" s="53"/>
      <c r="M137" s="49"/>
      <c r="N137" s="49"/>
      <c r="O137" s="47">
        <f>ROUND((_11_A重度研修４．０*(1+_11・A夜間)),0)</f>
        <v>901</v>
      </c>
      <c r="P137" s="48"/>
    </row>
    <row r="138" spans="1:16" ht="16.5" customHeight="1" x14ac:dyDescent="0.15">
      <c r="A138" s="41">
        <v>11</v>
      </c>
      <c r="B138" s="41">
        <v>4070</v>
      </c>
      <c r="C138" s="74" t="s">
        <v>7391</v>
      </c>
      <c r="D138" s="709"/>
      <c r="E138" s="718"/>
      <c r="F138" s="44" t="s">
        <v>397</v>
      </c>
      <c r="G138" s="45" t="s">
        <v>398</v>
      </c>
      <c r="H138" s="46">
        <v>1</v>
      </c>
      <c r="I138" s="35"/>
      <c r="K138" s="57"/>
      <c r="L138" s="43"/>
      <c r="M138" s="37"/>
      <c r="N138" s="37"/>
      <c r="O138" s="47">
        <f>ROUND((ROUND((_11_A重度研修４．０*_11・２人),0)*(1+_11・A夜間)),0)</f>
        <v>901</v>
      </c>
      <c r="P138" s="48"/>
    </row>
    <row r="139" spans="1:16" ht="16.5" customHeight="1" x14ac:dyDescent="0.15">
      <c r="A139" s="41">
        <v>11</v>
      </c>
      <c r="B139" s="41" t="s">
        <v>7392</v>
      </c>
      <c r="C139" s="74" t="s">
        <v>7393</v>
      </c>
      <c r="D139" s="709"/>
      <c r="E139" s="718"/>
      <c r="F139" s="44"/>
      <c r="G139" s="45"/>
      <c r="H139" s="46"/>
      <c r="I139" s="35"/>
      <c r="K139" s="57"/>
      <c r="L139" s="734" t="s">
        <v>404</v>
      </c>
      <c r="M139" s="49" t="s">
        <v>398</v>
      </c>
      <c r="N139" s="50">
        <f>_11・初任</f>
        <v>0.7</v>
      </c>
      <c r="O139" s="47">
        <f>ROUND((ROUND((_11_A重度研修４．０*(1+_11・A夜間)),0)*_11・初任),0)</f>
        <v>631</v>
      </c>
      <c r="P139" s="48"/>
    </row>
    <row r="140" spans="1:16" ht="16.5" customHeight="1" x14ac:dyDescent="0.15">
      <c r="A140" s="41">
        <v>11</v>
      </c>
      <c r="B140" s="41" t="s">
        <v>7394</v>
      </c>
      <c r="C140" s="74" t="s">
        <v>7395</v>
      </c>
      <c r="D140" s="100">
        <f>_11_A重度研修４．０</f>
        <v>721</v>
      </c>
      <c r="E140" s="12" t="s">
        <v>392</v>
      </c>
      <c r="F140" s="44" t="s">
        <v>397</v>
      </c>
      <c r="G140" s="45" t="s">
        <v>398</v>
      </c>
      <c r="H140" s="46">
        <v>1</v>
      </c>
      <c r="I140" s="35"/>
      <c r="K140" s="57"/>
      <c r="L140" s="706"/>
      <c r="M140" s="37"/>
      <c r="N140" s="38"/>
      <c r="O140" s="47">
        <f>ROUND((ROUND((ROUND((_11_A重度研修４．０*_11・２人),0)*(1+_11・A夜間)),0)*_11・初任),0)</f>
        <v>631</v>
      </c>
      <c r="P140" s="48"/>
    </row>
    <row r="141" spans="1:16" ht="16.5" customHeight="1" x14ac:dyDescent="0.15">
      <c r="A141" s="41">
        <v>11</v>
      </c>
      <c r="B141" s="41">
        <v>4071</v>
      </c>
      <c r="C141" s="74" t="s">
        <v>7396</v>
      </c>
      <c r="D141" s="707" t="s">
        <v>7397</v>
      </c>
      <c r="E141" s="717"/>
      <c r="F141" s="44"/>
      <c r="G141" s="45"/>
      <c r="H141" s="46"/>
      <c r="I141" s="35"/>
      <c r="K141" s="57"/>
      <c r="L141" s="53"/>
      <c r="M141" s="49"/>
      <c r="N141" s="49"/>
      <c r="O141" s="47">
        <f>ROUND((_11_A重度研修４．５*(1+_11・A夜間)),0)</f>
        <v>1009</v>
      </c>
      <c r="P141" s="48"/>
    </row>
    <row r="142" spans="1:16" ht="16.5" customHeight="1" x14ac:dyDescent="0.15">
      <c r="A142" s="41">
        <v>11</v>
      </c>
      <c r="B142" s="41">
        <v>4072</v>
      </c>
      <c r="C142" s="74" t="s">
        <v>7398</v>
      </c>
      <c r="D142" s="709"/>
      <c r="E142" s="718"/>
      <c r="F142" s="44" t="s">
        <v>397</v>
      </c>
      <c r="G142" s="45" t="s">
        <v>398</v>
      </c>
      <c r="H142" s="46">
        <v>1</v>
      </c>
      <c r="I142" s="35"/>
      <c r="K142" s="57"/>
      <c r="L142" s="43"/>
      <c r="M142" s="37"/>
      <c r="N142" s="37"/>
      <c r="O142" s="47">
        <f>ROUND((ROUND((_11_A重度研修４．５*_11・２人),0)*(1+_11・A夜間)),0)</f>
        <v>1009</v>
      </c>
      <c r="P142" s="48"/>
    </row>
    <row r="143" spans="1:16" ht="16.5" customHeight="1" x14ac:dyDescent="0.15">
      <c r="A143" s="41">
        <v>11</v>
      </c>
      <c r="B143" s="41" t="s">
        <v>7399</v>
      </c>
      <c r="C143" s="74" t="s">
        <v>7400</v>
      </c>
      <c r="D143" s="709"/>
      <c r="E143" s="718"/>
      <c r="F143" s="44"/>
      <c r="G143" s="45"/>
      <c r="H143" s="46"/>
      <c r="I143" s="35"/>
      <c r="K143" s="57"/>
      <c r="L143" s="734" t="s">
        <v>404</v>
      </c>
      <c r="M143" s="49" t="s">
        <v>398</v>
      </c>
      <c r="N143" s="50">
        <f>_11・初任</f>
        <v>0.7</v>
      </c>
      <c r="O143" s="47">
        <f>ROUND((ROUND((_11_A重度研修４．５*(1+_11・A夜間)),0)*_11・初任),0)</f>
        <v>706</v>
      </c>
      <c r="P143" s="48"/>
    </row>
    <row r="144" spans="1:16" ht="16.5" customHeight="1" x14ac:dyDescent="0.15">
      <c r="A144" s="41">
        <v>11</v>
      </c>
      <c r="B144" s="41" t="s">
        <v>7401</v>
      </c>
      <c r="C144" s="74" t="s">
        <v>7402</v>
      </c>
      <c r="D144" s="165">
        <f>_11_A重度研修４．５</f>
        <v>807</v>
      </c>
      <c r="E144" s="37" t="s">
        <v>392</v>
      </c>
      <c r="F144" s="44" t="s">
        <v>397</v>
      </c>
      <c r="G144" s="45" t="s">
        <v>398</v>
      </c>
      <c r="H144" s="46">
        <v>1</v>
      </c>
      <c r="I144" s="43"/>
      <c r="J144" s="38"/>
      <c r="K144" s="79"/>
      <c r="L144" s="706"/>
      <c r="M144" s="37"/>
      <c r="N144" s="38"/>
      <c r="O144" s="47">
        <f>ROUND((ROUND((ROUND((_11_A重度研修４．５*_11・２人),0)*(1+_11・A夜間)),0)*_11・初任),0)</f>
        <v>706</v>
      </c>
      <c r="P144" s="63"/>
    </row>
    <row r="145" ht="16.5" customHeight="1" x14ac:dyDescent="0.15"/>
    <row r="146" ht="16.5" customHeight="1" x14ac:dyDescent="0.15"/>
  </sheetData>
  <mergeCells count="66">
    <mergeCell ref="D137:E139"/>
    <mergeCell ref="L139:L140"/>
    <mergeCell ref="D141:E143"/>
    <mergeCell ref="L143:L144"/>
    <mergeCell ref="D125:E127"/>
    <mergeCell ref="L127:L128"/>
    <mergeCell ref="D129:E131"/>
    <mergeCell ref="L131:L132"/>
    <mergeCell ref="D133:E135"/>
    <mergeCell ref="L135:L136"/>
    <mergeCell ref="D121:E123"/>
    <mergeCell ref="L123:L124"/>
    <mergeCell ref="D96:E98"/>
    <mergeCell ref="L98:L99"/>
    <mergeCell ref="D100:E102"/>
    <mergeCell ref="L102:L103"/>
    <mergeCell ref="D104:E106"/>
    <mergeCell ref="L106:L107"/>
    <mergeCell ref="D113:E115"/>
    <mergeCell ref="K114:K115"/>
    <mergeCell ref="L115:L116"/>
    <mergeCell ref="D117:E119"/>
    <mergeCell ref="L119:L120"/>
    <mergeCell ref="D79:E81"/>
    <mergeCell ref="L81:L82"/>
    <mergeCell ref="D83:E85"/>
    <mergeCell ref="L85:L86"/>
    <mergeCell ref="D92:E94"/>
    <mergeCell ref="K93:K94"/>
    <mergeCell ref="L94:L95"/>
    <mergeCell ref="D67:E69"/>
    <mergeCell ref="L69:L70"/>
    <mergeCell ref="D71:E73"/>
    <mergeCell ref="L73:L74"/>
    <mergeCell ref="D75:E77"/>
    <mergeCell ref="L77:L78"/>
    <mergeCell ref="D55:E57"/>
    <mergeCell ref="L57:L58"/>
    <mergeCell ref="D59:E61"/>
    <mergeCell ref="L61:L62"/>
    <mergeCell ref="D63:E65"/>
    <mergeCell ref="L65:L66"/>
    <mergeCell ref="D43:E45"/>
    <mergeCell ref="L45:L46"/>
    <mergeCell ref="D47:E49"/>
    <mergeCell ref="L49:L50"/>
    <mergeCell ref="D51:E53"/>
    <mergeCell ref="L53:L54"/>
    <mergeCell ref="D31:E33"/>
    <mergeCell ref="L33:L34"/>
    <mergeCell ref="D35:E37"/>
    <mergeCell ref="L37:L38"/>
    <mergeCell ref="D39:E41"/>
    <mergeCell ref="L41:L42"/>
    <mergeCell ref="D19:E21"/>
    <mergeCell ref="L21:L22"/>
    <mergeCell ref="D23:E25"/>
    <mergeCell ref="L25:L26"/>
    <mergeCell ref="D27:E29"/>
    <mergeCell ref="L29:L30"/>
    <mergeCell ref="D7:E9"/>
    <mergeCell ref="L9:L10"/>
    <mergeCell ref="D11:E13"/>
    <mergeCell ref="L13:L14"/>
    <mergeCell ref="D15:E17"/>
    <mergeCell ref="L17:L18"/>
  </mergeCells>
  <phoneticPr fontId="1"/>
  <printOptions horizontalCentered="1"/>
  <pageMargins left="0.70866141732283472" right="0.70866141732283472" top="0.74803149606299213" bottom="0.74803149606299213" header="0.31496062992125984" footer="0.31496062992125984"/>
  <pageSetup paperSize="9" scale="60" fitToHeight="0" orientation="portrait" r:id="rId1"/>
  <headerFooter>
    <oddHeader>&amp;R&amp;"ＭＳ Ｐゴシック"&amp;9居宅介護</oddHeader>
    <oddFooter>&amp;C&amp;"ＭＳ Ｐゴシック"&amp;14&amp;P</oddFooter>
  </headerFooter>
  <rowBreaks count="1" manualBreakCount="1">
    <brk id="78" max="15"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P56"/>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4.5" style="10" bestFit="1" customWidth="1"/>
    <col min="4" max="4" width="5.875" style="10" bestFit="1" customWidth="1"/>
    <col min="5" max="5" width="5.5" style="117" bestFit="1" customWidth="1"/>
    <col min="6" max="6" width="24.875" style="14" bestFit="1" customWidth="1"/>
    <col min="7" max="7" width="3.5" style="12" bestFit="1" customWidth="1"/>
    <col min="8" max="8" width="5.5" style="13" bestFit="1" customWidth="1"/>
    <col min="9" max="9" width="3.5" style="12" bestFit="1" customWidth="1"/>
    <col min="10" max="10" width="4.5" style="13" bestFit="1" customWidth="1"/>
    <col min="11" max="11" width="5.5" style="12" bestFit="1" customWidth="1"/>
    <col min="12" max="12" width="17.875" style="12" customWidth="1"/>
    <col min="13" max="13" width="3.5" style="12" bestFit="1" customWidth="1"/>
    <col min="14" max="14" width="4.5" style="13" bestFit="1" customWidth="1"/>
    <col min="15" max="15" width="7.125" style="15" customWidth="1"/>
    <col min="16" max="16" width="8.5" style="16" customWidth="1"/>
    <col min="17" max="16384" width="8.875" style="12"/>
  </cols>
  <sheetData>
    <row r="1" spans="1:16" ht="17.100000000000001" customHeight="1" x14ac:dyDescent="0.15"/>
    <row r="2" spans="1:16" ht="17.100000000000001" customHeight="1" x14ac:dyDescent="0.15"/>
    <row r="3" spans="1:16" ht="17.100000000000001" customHeight="1" x14ac:dyDescent="0.15"/>
    <row r="4" spans="1:16" ht="17.100000000000001" customHeight="1" x14ac:dyDescent="0.15">
      <c r="B4" s="17" t="s">
        <v>7403</v>
      </c>
      <c r="D4" s="71"/>
    </row>
    <row r="5" spans="1:16" ht="16.5" customHeight="1" x14ac:dyDescent="0.15">
      <c r="A5" s="19" t="s">
        <v>384</v>
      </c>
      <c r="B5" s="20"/>
      <c r="C5" s="21" t="s">
        <v>385</v>
      </c>
      <c r="D5" s="23" t="s">
        <v>386</v>
      </c>
      <c r="E5" s="118"/>
      <c r="F5" s="23"/>
      <c r="G5" s="23"/>
      <c r="H5" s="24"/>
      <c r="I5" s="23"/>
      <c r="J5" s="24"/>
      <c r="K5" s="23"/>
      <c r="L5" s="23"/>
      <c r="M5" s="23"/>
      <c r="N5" s="24"/>
      <c r="O5" s="25" t="s">
        <v>387</v>
      </c>
      <c r="P5" s="21" t="s">
        <v>388</v>
      </c>
    </row>
    <row r="6" spans="1:16" ht="16.5" customHeight="1" x14ac:dyDescent="0.15">
      <c r="A6" s="26" t="s">
        <v>389</v>
      </c>
      <c r="B6" s="26" t="s">
        <v>390</v>
      </c>
      <c r="C6" s="27"/>
      <c r="D6" s="29"/>
      <c r="E6" s="120"/>
      <c r="F6" s="29"/>
      <c r="G6" s="29"/>
      <c r="H6" s="30"/>
      <c r="I6" s="29"/>
      <c r="J6" s="30"/>
      <c r="K6" s="29"/>
      <c r="L6" s="29"/>
      <c r="M6" s="29"/>
      <c r="N6" s="30"/>
      <c r="O6" s="31" t="s">
        <v>391</v>
      </c>
      <c r="P6" s="32" t="s">
        <v>392</v>
      </c>
    </row>
    <row r="7" spans="1:16" ht="16.5" customHeight="1" x14ac:dyDescent="0.15">
      <c r="A7" s="33">
        <v>11</v>
      </c>
      <c r="B7" s="33">
        <v>4073</v>
      </c>
      <c r="C7" s="34" t="s">
        <v>7404</v>
      </c>
      <c r="D7" s="709" t="s">
        <v>3572</v>
      </c>
      <c r="E7" s="718"/>
      <c r="F7" s="36"/>
      <c r="G7" s="37"/>
      <c r="H7" s="38"/>
      <c r="I7" s="35" t="s">
        <v>862</v>
      </c>
      <c r="K7" s="57"/>
      <c r="L7" s="35"/>
      <c r="O7" s="39">
        <f>ROUND((_11_A重度研修１．０*(1+_11・A深夜)),0)</f>
        <v>278</v>
      </c>
      <c r="P7" s="40" t="s">
        <v>395</v>
      </c>
    </row>
    <row r="8" spans="1:16" ht="16.5" customHeight="1" x14ac:dyDescent="0.15">
      <c r="A8" s="41">
        <v>11</v>
      </c>
      <c r="B8" s="41">
        <v>4074</v>
      </c>
      <c r="C8" s="74" t="s">
        <v>7405</v>
      </c>
      <c r="D8" s="709"/>
      <c r="E8" s="718"/>
      <c r="F8" s="44" t="s">
        <v>397</v>
      </c>
      <c r="G8" s="45" t="s">
        <v>398</v>
      </c>
      <c r="H8" s="46">
        <v>1</v>
      </c>
      <c r="I8" s="35" t="s">
        <v>398</v>
      </c>
      <c r="J8" s="13">
        <v>0.5</v>
      </c>
      <c r="K8" s="728" t="s">
        <v>676</v>
      </c>
      <c r="L8" s="43"/>
      <c r="M8" s="37"/>
      <c r="N8" s="38"/>
      <c r="O8" s="47">
        <f>ROUND((ROUND((_11_A重度研修１．０*_11・２人),0)*(1+_11・A深夜)),0)</f>
        <v>278</v>
      </c>
      <c r="P8" s="48"/>
    </row>
    <row r="9" spans="1:16" ht="16.5" customHeight="1" x14ac:dyDescent="0.15">
      <c r="A9" s="41">
        <v>11</v>
      </c>
      <c r="B9" s="41" t="s">
        <v>7406</v>
      </c>
      <c r="C9" s="42" t="s">
        <v>7407</v>
      </c>
      <c r="D9" s="709"/>
      <c r="E9" s="718"/>
      <c r="F9" s="44"/>
      <c r="G9" s="45"/>
      <c r="H9" s="46"/>
      <c r="I9" s="35"/>
      <c r="K9" s="728"/>
      <c r="L9" s="734" t="s">
        <v>404</v>
      </c>
      <c r="M9" s="49" t="s">
        <v>398</v>
      </c>
      <c r="N9" s="50">
        <f>_11・初任</f>
        <v>0.7</v>
      </c>
      <c r="O9" s="47">
        <f>ROUND((ROUND((_11_A重度研修１．０*(1+_11・A深夜)),0)*_11・初任),0)</f>
        <v>195</v>
      </c>
      <c r="P9" s="48"/>
    </row>
    <row r="10" spans="1:16" ht="16.5" customHeight="1" x14ac:dyDescent="0.15">
      <c r="A10" s="41">
        <v>11</v>
      </c>
      <c r="B10" s="41" t="s">
        <v>7408</v>
      </c>
      <c r="C10" s="42" t="s">
        <v>7409</v>
      </c>
      <c r="D10" s="100">
        <f>_11_A重度研修１．０</f>
        <v>185</v>
      </c>
      <c r="E10" s="12" t="s">
        <v>392</v>
      </c>
      <c r="F10" s="44" t="s">
        <v>397</v>
      </c>
      <c r="G10" s="45" t="s">
        <v>398</v>
      </c>
      <c r="H10" s="46">
        <v>1</v>
      </c>
      <c r="I10" s="35"/>
      <c r="K10" s="57"/>
      <c r="L10" s="706"/>
      <c r="M10" s="37"/>
      <c r="N10" s="38"/>
      <c r="O10" s="47">
        <f>ROUND((ROUND((ROUND((_11_A重度研修１．０*_11・２人),0)*(1+_11・A深夜)),0)*_11・初任),0)</f>
        <v>195</v>
      </c>
      <c r="P10" s="48"/>
    </row>
    <row r="11" spans="1:16" ht="16.5" customHeight="1" x14ac:dyDescent="0.15">
      <c r="A11" s="41">
        <v>11</v>
      </c>
      <c r="B11" s="41">
        <v>4241</v>
      </c>
      <c r="C11" s="74" t="s">
        <v>7410</v>
      </c>
      <c r="D11" s="707" t="s">
        <v>3601</v>
      </c>
      <c r="E11" s="717"/>
      <c r="F11" s="44"/>
      <c r="G11" s="45"/>
      <c r="H11" s="46"/>
      <c r="I11" s="35"/>
      <c r="K11" s="57"/>
      <c r="L11" s="53"/>
      <c r="M11" s="49"/>
      <c r="N11" s="49"/>
      <c r="O11" s="47">
        <f>ROUND((_11_A重度研修１．５*(1+_11・A深夜)),0)</f>
        <v>413</v>
      </c>
      <c r="P11" s="48"/>
    </row>
    <row r="12" spans="1:16" ht="16.5" customHeight="1" x14ac:dyDescent="0.15">
      <c r="A12" s="41">
        <v>11</v>
      </c>
      <c r="B12" s="41">
        <v>4242</v>
      </c>
      <c r="C12" s="74" t="s">
        <v>7411</v>
      </c>
      <c r="D12" s="709"/>
      <c r="E12" s="718"/>
      <c r="F12" s="44" t="s">
        <v>397</v>
      </c>
      <c r="G12" s="45" t="s">
        <v>398</v>
      </c>
      <c r="H12" s="46">
        <v>1</v>
      </c>
      <c r="I12" s="35"/>
      <c r="K12" s="57"/>
      <c r="L12" s="43"/>
      <c r="M12" s="37"/>
      <c r="N12" s="37"/>
      <c r="O12" s="47">
        <f>ROUND((ROUND((_11_A重度研修１．５*_11・２人),0)*(1+_11・A深夜)),0)</f>
        <v>413</v>
      </c>
      <c r="P12" s="48"/>
    </row>
    <row r="13" spans="1:16" ht="16.5" customHeight="1" x14ac:dyDescent="0.15">
      <c r="A13" s="41">
        <v>11</v>
      </c>
      <c r="B13" s="41" t="s">
        <v>7412</v>
      </c>
      <c r="C13" s="42" t="s">
        <v>7413</v>
      </c>
      <c r="D13" s="709"/>
      <c r="E13" s="718"/>
      <c r="F13" s="44"/>
      <c r="G13" s="45"/>
      <c r="H13" s="46"/>
      <c r="I13" s="35"/>
      <c r="K13" s="57"/>
      <c r="L13" s="734" t="s">
        <v>404</v>
      </c>
      <c r="M13" s="49" t="s">
        <v>398</v>
      </c>
      <c r="N13" s="50">
        <f>_11・初任</f>
        <v>0.7</v>
      </c>
      <c r="O13" s="47">
        <f>ROUND((ROUND((_11_A重度研修１．５*(1+_11・A深夜)),0)*_11・初任),0)</f>
        <v>289</v>
      </c>
      <c r="P13" s="48"/>
    </row>
    <row r="14" spans="1:16" ht="16.5" customHeight="1" x14ac:dyDescent="0.15">
      <c r="A14" s="41">
        <v>11</v>
      </c>
      <c r="B14" s="41" t="s">
        <v>7414</v>
      </c>
      <c r="C14" s="42" t="s">
        <v>7415</v>
      </c>
      <c r="D14" s="100">
        <f>_11_A重度研修１．５</f>
        <v>275</v>
      </c>
      <c r="E14" s="12" t="s">
        <v>392</v>
      </c>
      <c r="F14" s="44" t="s">
        <v>397</v>
      </c>
      <c r="G14" s="45" t="s">
        <v>398</v>
      </c>
      <c r="H14" s="46">
        <v>1</v>
      </c>
      <c r="I14" s="35"/>
      <c r="K14" s="57"/>
      <c r="L14" s="706"/>
      <c r="M14" s="37"/>
      <c r="N14" s="38"/>
      <c r="O14" s="47">
        <f>ROUND((ROUND((ROUND((_11_A重度研修１．５*_11・２人),0)*(1+_11・A深夜)),0)*_11・初任),0)</f>
        <v>289</v>
      </c>
      <c r="P14" s="48"/>
    </row>
    <row r="15" spans="1:16" ht="16.5" customHeight="1" x14ac:dyDescent="0.15">
      <c r="A15" s="41">
        <v>11</v>
      </c>
      <c r="B15" s="41">
        <v>4075</v>
      </c>
      <c r="C15" s="74" t="s">
        <v>7416</v>
      </c>
      <c r="D15" s="707" t="s">
        <v>3621</v>
      </c>
      <c r="E15" s="717"/>
      <c r="F15" s="44"/>
      <c r="G15" s="45"/>
      <c r="H15" s="46"/>
      <c r="I15" s="35"/>
      <c r="K15" s="57"/>
      <c r="L15" s="53"/>
      <c r="M15" s="49"/>
      <c r="N15" s="50"/>
      <c r="O15" s="47">
        <f>ROUND((_11_A重度研修２．０*(1+_11・A深夜)),0)</f>
        <v>551</v>
      </c>
      <c r="P15" s="48"/>
    </row>
    <row r="16" spans="1:16" ht="16.5" customHeight="1" x14ac:dyDescent="0.15">
      <c r="A16" s="41">
        <v>11</v>
      </c>
      <c r="B16" s="41">
        <v>4076</v>
      </c>
      <c r="C16" s="74" t="s">
        <v>7417</v>
      </c>
      <c r="D16" s="709"/>
      <c r="E16" s="718"/>
      <c r="F16" s="164" t="s">
        <v>397</v>
      </c>
      <c r="G16" s="45" t="s">
        <v>398</v>
      </c>
      <c r="H16" s="46">
        <v>1</v>
      </c>
      <c r="I16" s="35"/>
      <c r="K16" s="57"/>
      <c r="L16" s="43"/>
      <c r="M16" s="37"/>
      <c r="N16" s="38"/>
      <c r="O16" s="47">
        <f>ROUND((ROUND((_11_A重度研修２．０*_11・２人),0)*(1+_11・A深夜)),0)</f>
        <v>551</v>
      </c>
      <c r="P16" s="48"/>
    </row>
    <row r="17" spans="1:16" ht="16.5" customHeight="1" x14ac:dyDescent="0.15">
      <c r="A17" s="41">
        <v>11</v>
      </c>
      <c r="B17" s="41" t="s">
        <v>7418</v>
      </c>
      <c r="C17" s="42" t="s">
        <v>7419</v>
      </c>
      <c r="D17" s="709"/>
      <c r="E17" s="718"/>
      <c r="F17" s="44"/>
      <c r="G17" s="45"/>
      <c r="H17" s="46"/>
      <c r="I17" s="35"/>
      <c r="K17" s="57"/>
      <c r="L17" s="734" t="s">
        <v>404</v>
      </c>
      <c r="M17" s="49" t="s">
        <v>398</v>
      </c>
      <c r="N17" s="50">
        <f>_11・初任</f>
        <v>0.7</v>
      </c>
      <c r="O17" s="47">
        <f>ROUND((ROUND((_11_A重度研修２．０*(1+_11・A深夜)),0)*_11・初任),0)</f>
        <v>386</v>
      </c>
      <c r="P17" s="48"/>
    </row>
    <row r="18" spans="1:16" ht="16.5" customHeight="1" x14ac:dyDescent="0.15">
      <c r="A18" s="41">
        <v>11</v>
      </c>
      <c r="B18" s="41" t="s">
        <v>7420</v>
      </c>
      <c r="C18" s="42" t="s">
        <v>7421</v>
      </c>
      <c r="D18" s="100">
        <f>_11_A重度研修２．０</f>
        <v>367</v>
      </c>
      <c r="E18" s="12" t="s">
        <v>392</v>
      </c>
      <c r="F18" s="164" t="s">
        <v>397</v>
      </c>
      <c r="G18" s="45" t="s">
        <v>398</v>
      </c>
      <c r="H18" s="46">
        <v>1</v>
      </c>
      <c r="I18" s="35"/>
      <c r="K18" s="57"/>
      <c r="L18" s="706"/>
      <c r="M18" s="37"/>
      <c r="N18" s="38"/>
      <c r="O18" s="47">
        <f>ROUND((ROUND((ROUND((_11_A重度研修２．０*_11・２人),0)*(1+_11・A深夜)),0)*_11・初任),0)</f>
        <v>386</v>
      </c>
      <c r="P18" s="48"/>
    </row>
    <row r="19" spans="1:16" ht="16.5" customHeight="1" x14ac:dyDescent="0.15">
      <c r="A19" s="41">
        <v>11</v>
      </c>
      <c r="B19" s="41">
        <v>4243</v>
      </c>
      <c r="C19" s="74" t="s">
        <v>7422</v>
      </c>
      <c r="D19" s="707" t="s">
        <v>3634</v>
      </c>
      <c r="E19" s="717"/>
      <c r="F19" s="44"/>
      <c r="G19" s="45"/>
      <c r="H19" s="46"/>
      <c r="I19" s="35"/>
      <c r="K19" s="57"/>
      <c r="L19" s="53"/>
      <c r="M19" s="49"/>
      <c r="N19" s="49"/>
      <c r="O19" s="47">
        <f>ROUND((_11_A重度研修２．５*(1+_11・A深夜)),0)</f>
        <v>687</v>
      </c>
      <c r="P19" s="48"/>
    </row>
    <row r="20" spans="1:16" ht="16.5" customHeight="1" x14ac:dyDescent="0.15">
      <c r="A20" s="41">
        <v>11</v>
      </c>
      <c r="B20" s="41">
        <v>4244</v>
      </c>
      <c r="C20" s="74" t="s">
        <v>7423</v>
      </c>
      <c r="D20" s="709"/>
      <c r="E20" s="718"/>
      <c r="F20" s="44" t="s">
        <v>397</v>
      </c>
      <c r="G20" s="45" t="s">
        <v>398</v>
      </c>
      <c r="H20" s="46">
        <v>1</v>
      </c>
      <c r="I20" s="35"/>
      <c r="K20" s="57"/>
      <c r="L20" s="43"/>
      <c r="M20" s="37"/>
      <c r="N20" s="37"/>
      <c r="O20" s="47">
        <f>ROUND((ROUND((_11_A重度研修２．５*_11・２人),0)*(1+_11・A深夜)),0)</f>
        <v>687</v>
      </c>
      <c r="P20" s="48"/>
    </row>
    <row r="21" spans="1:16" ht="16.5" customHeight="1" x14ac:dyDescent="0.15">
      <c r="A21" s="41">
        <v>11</v>
      </c>
      <c r="B21" s="41" t="s">
        <v>7424</v>
      </c>
      <c r="C21" s="42" t="s">
        <v>7425</v>
      </c>
      <c r="D21" s="709"/>
      <c r="E21" s="718"/>
      <c r="F21" s="44"/>
      <c r="G21" s="45"/>
      <c r="H21" s="46"/>
      <c r="I21" s="35"/>
      <c r="K21" s="57"/>
      <c r="L21" s="734" t="s">
        <v>404</v>
      </c>
      <c r="M21" s="49" t="s">
        <v>398</v>
      </c>
      <c r="N21" s="50">
        <f>_11・初任</f>
        <v>0.7</v>
      </c>
      <c r="O21" s="47">
        <f>ROUND((ROUND((_11_A重度研修２．５*(1+_11・A深夜)),0)*_11・初任),0)</f>
        <v>481</v>
      </c>
      <c r="P21" s="48"/>
    </row>
    <row r="22" spans="1:16" ht="16.5" customHeight="1" x14ac:dyDescent="0.15">
      <c r="A22" s="41">
        <v>11</v>
      </c>
      <c r="B22" s="41" t="s">
        <v>7426</v>
      </c>
      <c r="C22" s="42" t="s">
        <v>7427</v>
      </c>
      <c r="D22" s="100">
        <f>_11_A重度研修２．５</f>
        <v>458</v>
      </c>
      <c r="E22" s="12" t="s">
        <v>392</v>
      </c>
      <c r="F22" s="44" t="s">
        <v>397</v>
      </c>
      <c r="G22" s="45" t="s">
        <v>398</v>
      </c>
      <c r="H22" s="46">
        <v>1</v>
      </c>
      <c r="I22" s="35"/>
      <c r="K22" s="57"/>
      <c r="L22" s="706"/>
      <c r="M22" s="37"/>
      <c r="N22" s="38"/>
      <c r="O22" s="47">
        <f>ROUND((ROUND((ROUND((_11_A重度研修２．５*_11・２人),0)*(1+_11・A深夜)),0)*_11・初任),0)</f>
        <v>481</v>
      </c>
      <c r="P22" s="48"/>
    </row>
    <row r="23" spans="1:16" ht="16.5" customHeight="1" x14ac:dyDescent="0.15">
      <c r="A23" s="41">
        <v>11</v>
      </c>
      <c r="B23" s="41">
        <v>4077</v>
      </c>
      <c r="C23" s="74" t="s">
        <v>7428</v>
      </c>
      <c r="D23" s="707" t="s">
        <v>7429</v>
      </c>
      <c r="E23" s="717"/>
      <c r="F23" s="44"/>
      <c r="G23" s="45"/>
      <c r="H23" s="46"/>
      <c r="I23" s="35"/>
      <c r="K23" s="57"/>
      <c r="L23" s="53"/>
      <c r="M23" s="49"/>
      <c r="N23" s="50"/>
      <c r="O23" s="47">
        <f>ROUND((_11_A重度研修３．０*(1+_11・A深夜)),0)</f>
        <v>825</v>
      </c>
      <c r="P23" s="48"/>
    </row>
    <row r="24" spans="1:16" ht="16.5" customHeight="1" x14ac:dyDescent="0.15">
      <c r="A24" s="41">
        <v>11</v>
      </c>
      <c r="B24" s="41">
        <v>4078</v>
      </c>
      <c r="C24" s="74" t="s">
        <v>7430</v>
      </c>
      <c r="D24" s="709"/>
      <c r="E24" s="718"/>
      <c r="F24" s="44" t="s">
        <v>397</v>
      </c>
      <c r="G24" s="45" t="s">
        <v>398</v>
      </c>
      <c r="H24" s="46">
        <v>1</v>
      </c>
      <c r="I24" s="35"/>
      <c r="K24" s="57"/>
      <c r="L24" s="43"/>
      <c r="M24" s="37"/>
      <c r="N24" s="38"/>
      <c r="O24" s="47">
        <f>ROUND((ROUND((_11_A重度研修３．０*_11・２人),0)*(1+_11・A深夜)),0)</f>
        <v>825</v>
      </c>
      <c r="P24" s="48"/>
    </row>
    <row r="25" spans="1:16" ht="16.5" customHeight="1" x14ac:dyDescent="0.15">
      <c r="A25" s="41">
        <v>11</v>
      </c>
      <c r="B25" s="41" t="s">
        <v>7431</v>
      </c>
      <c r="C25" s="42" t="s">
        <v>7432</v>
      </c>
      <c r="D25" s="709"/>
      <c r="E25" s="718"/>
      <c r="F25" s="44"/>
      <c r="G25" s="45"/>
      <c r="H25" s="46"/>
      <c r="I25" s="35"/>
      <c r="K25" s="57"/>
      <c r="L25" s="734" t="s">
        <v>404</v>
      </c>
      <c r="M25" s="49" t="s">
        <v>398</v>
      </c>
      <c r="N25" s="50">
        <f>_11・初任</f>
        <v>0.7</v>
      </c>
      <c r="O25" s="47">
        <f>ROUND((ROUND((_11_A重度研修３．０*(1+_11・A深夜)),0)*_11・初任),0)</f>
        <v>578</v>
      </c>
      <c r="P25" s="48"/>
    </row>
    <row r="26" spans="1:16" ht="16.5" customHeight="1" x14ac:dyDescent="0.15">
      <c r="A26" s="41">
        <v>11</v>
      </c>
      <c r="B26" s="41" t="s">
        <v>7433</v>
      </c>
      <c r="C26" s="42" t="s">
        <v>7434</v>
      </c>
      <c r="D26" s="100">
        <f>_11_A重度研修３．０</f>
        <v>550</v>
      </c>
      <c r="E26" s="12" t="s">
        <v>392</v>
      </c>
      <c r="F26" s="44" t="s">
        <v>397</v>
      </c>
      <c r="G26" s="45" t="s">
        <v>398</v>
      </c>
      <c r="H26" s="46">
        <v>1</v>
      </c>
      <c r="I26" s="35"/>
      <c r="K26" s="57"/>
      <c r="L26" s="706"/>
      <c r="M26" s="37"/>
      <c r="N26" s="38"/>
      <c r="O26" s="47">
        <f>ROUND((ROUND((ROUND((_11_A重度研修３．０*_11・２人),0)*(1+_11・A深夜)),0)*_11・初任),0)</f>
        <v>578</v>
      </c>
      <c r="P26" s="48"/>
    </row>
    <row r="27" spans="1:16" ht="16.5" customHeight="1" x14ac:dyDescent="0.15">
      <c r="A27" s="41">
        <v>11</v>
      </c>
      <c r="B27" s="41">
        <v>4079</v>
      </c>
      <c r="C27" s="74" t="s">
        <v>7435</v>
      </c>
      <c r="D27" s="707" t="s">
        <v>7436</v>
      </c>
      <c r="E27" s="717"/>
      <c r="F27" s="44"/>
      <c r="G27" s="45"/>
      <c r="H27" s="46"/>
      <c r="I27" s="35"/>
      <c r="K27" s="57"/>
      <c r="L27" s="53"/>
      <c r="M27" s="49"/>
      <c r="N27" s="49"/>
      <c r="O27" s="47">
        <f>ROUND((_11_A重度研修３．５*(1+_11・A深夜)),0)</f>
        <v>953</v>
      </c>
      <c r="P27" s="48"/>
    </row>
    <row r="28" spans="1:16" ht="16.5" customHeight="1" x14ac:dyDescent="0.15">
      <c r="A28" s="41">
        <v>11</v>
      </c>
      <c r="B28" s="41">
        <v>4080</v>
      </c>
      <c r="C28" s="74" t="s">
        <v>7437</v>
      </c>
      <c r="D28" s="709"/>
      <c r="E28" s="718"/>
      <c r="F28" s="44" t="s">
        <v>397</v>
      </c>
      <c r="G28" s="45" t="s">
        <v>398</v>
      </c>
      <c r="H28" s="46">
        <v>1</v>
      </c>
      <c r="I28" s="35"/>
      <c r="K28" s="57"/>
      <c r="L28" s="43"/>
      <c r="M28" s="37"/>
      <c r="N28" s="37"/>
      <c r="O28" s="47">
        <f>ROUND((ROUND((_11_A重度研修３．５*_11・２人),0)*(1+_11・A深夜)),0)</f>
        <v>953</v>
      </c>
      <c r="P28" s="48"/>
    </row>
    <row r="29" spans="1:16" ht="16.5" customHeight="1" x14ac:dyDescent="0.15">
      <c r="A29" s="41">
        <v>11</v>
      </c>
      <c r="B29" s="41" t="s">
        <v>7438</v>
      </c>
      <c r="C29" s="42" t="s">
        <v>7439</v>
      </c>
      <c r="D29" s="709"/>
      <c r="E29" s="718"/>
      <c r="F29" s="44"/>
      <c r="G29" s="45"/>
      <c r="H29" s="46"/>
      <c r="I29" s="35"/>
      <c r="K29" s="57"/>
      <c r="L29" s="734" t="s">
        <v>404</v>
      </c>
      <c r="M29" s="49" t="s">
        <v>398</v>
      </c>
      <c r="N29" s="50">
        <f>_11・初任</f>
        <v>0.7</v>
      </c>
      <c r="O29" s="47">
        <f>ROUND((ROUND((_11_A重度研修３．５*(1+_11・A深夜)),0)*_11・初任),0)</f>
        <v>667</v>
      </c>
      <c r="P29" s="48"/>
    </row>
    <row r="30" spans="1:16" ht="16.5" customHeight="1" x14ac:dyDescent="0.15">
      <c r="A30" s="41">
        <v>11</v>
      </c>
      <c r="B30" s="41" t="s">
        <v>7440</v>
      </c>
      <c r="C30" s="42" t="s">
        <v>7441</v>
      </c>
      <c r="D30" s="100">
        <f>_11_A重度研修３．５</f>
        <v>635</v>
      </c>
      <c r="E30" s="12" t="s">
        <v>392</v>
      </c>
      <c r="F30" s="44" t="s">
        <v>397</v>
      </c>
      <c r="G30" s="45" t="s">
        <v>398</v>
      </c>
      <c r="H30" s="46">
        <v>1</v>
      </c>
      <c r="I30" s="35"/>
      <c r="K30" s="57"/>
      <c r="L30" s="706"/>
      <c r="M30" s="37"/>
      <c r="N30" s="38"/>
      <c r="O30" s="47">
        <f>ROUND((ROUND((ROUND((_11_A重度研修３．５*_11・２人),0)*(1+_11・A深夜)),0)*_11・初任),0)</f>
        <v>667</v>
      </c>
      <c r="P30" s="48"/>
    </row>
    <row r="31" spans="1:16" ht="16.5" customHeight="1" x14ac:dyDescent="0.15">
      <c r="A31" s="41">
        <v>11</v>
      </c>
      <c r="B31" s="41">
        <v>4081</v>
      </c>
      <c r="C31" s="74" t="s">
        <v>7442</v>
      </c>
      <c r="D31" s="707" t="s">
        <v>7443</v>
      </c>
      <c r="E31" s="717"/>
      <c r="F31" s="44"/>
      <c r="G31" s="45"/>
      <c r="H31" s="46"/>
      <c r="I31" s="35"/>
      <c r="K31" s="57"/>
      <c r="L31" s="53"/>
      <c r="M31" s="49"/>
      <c r="N31" s="50"/>
      <c r="O31" s="47">
        <f>ROUND((_11_A重度研修４．０*(1+_11・A深夜)),0)</f>
        <v>1082</v>
      </c>
      <c r="P31" s="48"/>
    </row>
    <row r="32" spans="1:16" ht="16.5" customHeight="1" x14ac:dyDescent="0.15">
      <c r="A32" s="41">
        <v>11</v>
      </c>
      <c r="B32" s="41">
        <v>4082</v>
      </c>
      <c r="C32" s="74" t="s">
        <v>7444</v>
      </c>
      <c r="D32" s="709"/>
      <c r="E32" s="718"/>
      <c r="F32" s="44" t="s">
        <v>397</v>
      </c>
      <c r="G32" s="45" t="s">
        <v>398</v>
      </c>
      <c r="H32" s="46">
        <v>1</v>
      </c>
      <c r="I32" s="35"/>
      <c r="K32" s="57"/>
      <c r="L32" s="43"/>
      <c r="M32" s="37"/>
      <c r="N32" s="38"/>
      <c r="O32" s="47">
        <f>ROUND((ROUND((_11_A重度研修４．０*_11・２人),0)*(1+_11・A深夜)),0)</f>
        <v>1082</v>
      </c>
      <c r="P32" s="48"/>
    </row>
    <row r="33" spans="1:16" ht="16.5" customHeight="1" x14ac:dyDescent="0.15">
      <c r="A33" s="41">
        <v>11</v>
      </c>
      <c r="B33" s="41" t="s">
        <v>7445</v>
      </c>
      <c r="C33" s="42" t="s">
        <v>7446</v>
      </c>
      <c r="D33" s="709"/>
      <c r="E33" s="718"/>
      <c r="F33" s="44"/>
      <c r="G33" s="45"/>
      <c r="H33" s="46"/>
      <c r="I33" s="35"/>
      <c r="K33" s="57"/>
      <c r="L33" s="734" t="s">
        <v>404</v>
      </c>
      <c r="M33" s="49" t="s">
        <v>398</v>
      </c>
      <c r="N33" s="50">
        <f>_11・初任</f>
        <v>0.7</v>
      </c>
      <c r="O33" s="47">
        <f>ROUND((ROUND((_11_A重度研修４．０*(1+_11・A深夜)),0)*_11・初任),0)</f>
        <v>757</v>
      </c>
      <c r="P33" s="48"/>
    </row>
    <row r="34" spans="1:16" ht="16.5" customHeight="1" x14ac:dyDescent="0.15">
      <c r="A34" s="41">
        <v>11</v>
      </c>
      <c r="B34" s="41" t="s">
        <v>7447</v>
      </c>
      <c r="C34" s="42" t="s">
        <v>7448</v>
      </c>
      <c r="D34" s="100">
        <f>_11_A重度研修４．０</f>
        <v>721</v>
      </c>
      <c r="E34" s="12" t="s">
        <v>392</v>
      </c>
      <c r="F34" s="44" t="s">
        <v>397</v>
      </c>
      <c r="G34" s="45" t="s">
        <v>398</v>
      </c>
      <c r="H34" s="46">
        <v>1</v>
      </c>
      <c r="I34" s="35"/>
      <c r="K34" s="57"/>
      <c r="L34" s="706"/>
      <c r="M34" s="37"/>
      <c r="N34" s="38"/>
      <c r="O34" s="47">
        <f>ROUND((ROUND((ROUND((_11_A重度研修４．０*_11・２人),0)*(1+_11・A深夜)),0)*_11・初任),0)</f>
        <v>757</v>
      </c>
      <c r="P34" s="48"/>
    </row>
    <row r="35" spans="1:16" ht="16.5" customHeight="1" x14ac:dyDescent="0.15">
      <c r="A35" s="41">
        <v>11</v>
      </c>
      <c r="B35" s="41">
        <v>4083</v>
      </c>
      <c r="C35" s="74" t="s">
        <v>7449</v>
      </c>
      <c r="D35" s="707" t="s">
        <v>7450</v>
      </c>
      <c r="E35" s="717"/>
      <c r="F35" s="44"/>
      <c r="G35" s="45"/>
      <c r="H35" s="46"/>
      <c r="I35" s="35"/>
      <c r="K35" s="57"/>
      <c r="L35" s="53"/>
      <c r="M35" s="49"/>
      <c r="N35" s="49"/>
      <c r="O35" s="47">
        <f>ROUND((_11_A重度研修４．５*(1+_11・A深夜)),0)</f>
        <v>1211</v>
      </c>
      <c r="P35" s="48"/>
    </row>
    <row r="36" spans="1:16" ht="16.5" customHeight="1" x14ac:dyDescent="0.15">
      <c r="A36" s="41">
        <v>11</v>
      </c>
      <c r="B36" s="41">
        <v>4084</v>
      </c>
      <c r="C36" s="74" t="s">
        <v>7451</v>
      </c>
      <c r="D36" s="709"/>
      <c r="E36" s="718"/>
      <c r="F36" s="44" t="s">
        <v>397</v>
      </c>
      <c r="G36" s="45" t="s">
        <v>398</v>
      </c>
      <c r="H36" s="46">
        <v>1</v>
      </c>
      <c r="I36" s="35"/>
      <c r="K36" s="57"/>
      <c r="L36" s="43"/>
      <c r="M36" s="37"/>
      <c r="N36" s="37"/>
      <c r="O36" s="47">
        <f>ROUND((ROUND((_11_A重度研修４．５*_11・２人),0)*(1+_11・A深夜)),0)</f>
        <v>1211</v>
      </c>
      <c r="P36" s="48"/>
    </row>
    <row r="37" spans="1:16" ht="16.5" customHeight="1" x14ac:dyDescent="0.15">
      <c r="A37" s="41">
        <v>11</v>
      </c>
      <c r="B37" s="41" t="s">
        <v>7452</v>
      </c>
      <c r="C37" s="42" t="s">
        <v>7453</v>
      </c>
      <c r="D37" s="709"/>
      <c r="E37" s="718"/>
      <c r="F37" s="44"/>
      <c r="G37" s="45"/>
      <c r="H37" s="46"/>
      <c r="I37" s="35"/>
      <c r="K37" s="57"/>
      <c r="L37" s="734" t="s">
        <v>404</v>
      </c>
      <c r="M37" s="49" t="s">
        <v>398</v>
      </c>
      <c r="N37" s="50">
        <f>_11・初任</f>
        <v>0.7</v>
      </c>
      <c r="O37" s="47">
        <f>ROUND((ROUND((_11_A重度研修４．５*(1+_11・A深夜)),0)*_11・初任),0)</f>
        <v>848</v>
      </c>
      <c r="P37" s="48"/>
    </row>
    <row r="38" spans="1:16" ht="16.5" customHeight="1" x14ac:dyDescent="0.15">
      <c r="A38" s="41">
        <v>11</v>
      </c>
      <c r="B38" s="41" t="s">
        <v>7454</v>
      </c>
      <c r="C38" s="42" t="s">
        <v>7455</v>
      </c>
      <c r="D38" s="100">
        <f>_11_A重度研修４．５</f>
        <v>807</v>
      </c>
      <c r="E38" s="12" t="s">
        <v>392</v>
      </c>
      <c r="F38" s="44" t="s">
        <v>397</v>
      </c>
      <c r="G38" s="45" t="s">
        <v>398</v>
      </c>
      <c r="H38" s="46">
        <v>1</v>
      </c>
      <c r="I38" s="35"/>
      <c r="K38" s="57"/>
      <c r="L38" s="706"/>
      <c r="M38" s="37"/>
      <c r="N38" s="38"/>
      <c r="O38" s="47">
        <f>ROUND((ROUND((ROUND((_11_A重度研修４．５*_11・２人),0)*(1+_11・A深夜)),0)*_11・初任),0)</f>
        <v>848</v>
      </c>
      <c r="P38" s="48"/>
    </row>
    <row r="39" spans="1:16" ht="16.5" customHeight="1" x14ac:dyDescent="0.15">
      <c r="A39" s="41">
        <v>11</v>
      </c>
      <c r="B39" s="41">
        <v>4085</v>
      </c>
      <c r="C39" s="74" t="s">
        <v>7456</v>
      </c>
      <c r="D39" s="707" t="s">
        <v>7457</v>
      </c>
      <c r="E39" s="717"/>
      <c r="F39" s="44"/>
      <c r="G39" s="45"/>
      <c r="H39" s="46"/>
      <c r="I39" s="35"/>
      <c r="K39" s="57"/>
      <c r="L39" s="53"/>
      <c r="M39" s="49"/>
      <c r="N39" s="50"/>
      <c r="O39" s="47">
        <f>ROUND((_11_A重度研修５．０*(1+_11・A深夜)),0)</f>
        <v>1340</v>
      </c>
      <c r="P39" s="48"/>
    </row>
    <row r="40" spans="1:16" ht="16.5" customHeight="1" x14ac:dyDescent="0.15">
      <c r="A40" s="41">
        <v>11</v>
      </c>
      <c r="B40" s="41">
        <v>4086</v>
      </c>
      <c r="C40" s="74" t="s">
        <v>7458</v>
      </c>
      <c r="D40" s="709"/>
      <c r="E40" s="718"/>
      <c r="F40" s="44" t="s">
        <v>397</v>
      </c>
      <c r="G40" s="45" t="s">
        <v>398</v>
      </c>
      <c r="H40" s="46">
        <v>1</v>
      </c>
      <c r="I40" s="35"/>
      <c r="K40" s="57"/>
      <c r="L40" s="43"/>
      <c r="M40" s="37"/>
      <c r="N40" s="38"/>
      <c r="O40" s="47">
        <f>ROUND((ROUND((_11_A重度研修５．０*_11・２人),0)*(1+_11・A深夜)),0)</f>
        <v>1340</v>
      </c>
      <c r="P40" s="48"/>
    </row>
    <row r="41" spans="1:16" ht="16.5" customHeight="1" x14ac:dyDescent="0.15">
      <c r="A41" s="41">
        <v>11</v>
      </c>
      <c r="B41" s="41" t="s">
        <v>7459</v>
      </c>
      <c r="C41" s="42" t="s">
        <v>7460</v>
      </c>
      <c r="D41" s="709"/>
      <c r="E41" s="718"/>
      <c r="F41" s="44"/>
      <c r="G41" s="45"/>
      <c r="H41" s="46"/>
      <c r="I41" s="35"/>
      <c r="K41" s="57"/>
      <c r="L41" s="734" t="s">
        <v>404</v>
      </c>
      <c r="M41" s="49" t="s">
        <v>398</v>
      </c>
      <c r="N41" s="50">
        <f>_11・初任</f>
        <v>0.7</v>
      </c>
      <c r="O41" s="47">
        <f>ROUND((ROUND((_11_A重度研修５．０*(1+_11・A深夜)),0)*_11・初任),0)</f>
        <v>938</v>
      </c>
      <c r="P41" s="48"/>
    </row>
    <row r="42" spans="1:16" ht="16.5" customHeight="1" x14ac:dyDescent="0.15">
      <c r="A42" s="41">
        <v>11</v>
      </c>
      <c r="B42" s="41" t="s">
        <v>7461</v>
      </c>
      <c r="C42" s="42" t="s">
        <v>7462</v>
      </c>
      <c r="D42" s="100">
        <f>_11_A重度研修５．０</f>
        <v>893</v>
      </c>
      <c r="E42" s="12" t="s">
        <v>392</v>
      </c>
      <c r="F42" s="44" t="s">
        <v>397</v>
      </c>
      <c r="G42" s="45" t="s">
        <v>398</v>
      </c>
      <c r="H42" s="46">
        <v>1</v>
      </c>
      <c r="I42" s="35"/>
      <c r="K42" s="57"/>
      <c r="L42" s="706"/>
      <c r="M42" s="37"/>
      <c r="N42" s="38"/>
      <c r="O42" s="47">
        <f>ROUND((ROUND((ROUND((_11_A重度研修５．０*_11・２人),0)*(1+_11・A深夜)),0)*_11・初任),0)</f>
        <v>938</v>
      </c>
      <c r="P42" s="48"/>
    </row>
    <row r="43" spans="1:16" ht="16.5" customHeight="1" x14ac:dyDescent="0.15">
      <c r="A43" s="41">
        <v>11</v>
      </c>
      <c r="B43" s="41">
        <v>4087</v>
      </c>
      <c r="C43" s="74" t="s">
        <v>7463</v>
      </c>
      <c r="D43" s="707" t="s">
        <v>7464</v>
      </c>
      <c r="E43" s="717"/>
      <c r="F43" s="44"/>
      <c r="G43" s="45"/>
      <c r="H43" s="46"/>
      <c r="I43" s="35"/>
      <c r="K43" s="57"/>
      <c r="L43" s="53"/>
      <c r="M43" s="49"/>
      <c r="N43" s="49"/>
      <c r="O43" s="47">
        <f>ROUND((_11_A重度研修５．５*(1+_11・A深夜)),0)</f>
        <v>1469</v>
      </c>
      <c r="P43" s="48"/>
    </row>
    <row r="44" spans="1:16" ht="16.5" customHeight="1" x14ac:dyDescent="0.15">
      <c r="A44" s="41">
        <v>11</v>
      </c>
      <c r="B44" s="41">
        <v>4088</v>
      </c>
      <c r="C44" s="74" t="s">
        <v>7465</v>
      </c>
      <c r="D44" s="709"/>
      <c r="E44" s="718"/>
      <c r="F44" s="44" t="s">
        <v>397</v>
      </c>
      <c r="G44" s="45" t="s">
        <v>398</v>
      </c>
      <c r="H44" s="46">
        <v>1</v>
      </c>
      <c r="I44" s="35"/>
      <c r="K44" s="57"/>
      <c r="L44" s="43"/>
      <c r="M44" s="37"/>
      <c r="N44" s="37"/>
      <c r="O44" s="47">
        <f>ROUND((ROUND((_11_A重度研修５．５*_11・２人),0)*(1+_11・A深夜)),0)</f>
        <v>1469</v>
      </c>
      <c r="P44" s="48"/>
    </row>
    <row r="45" spans="1:16" ht="16.5" customHeight="1" x14ac:dyDescent="0.15">
      <c r="A45" s="41">
        <v>11</v>
      </c>
      <c r="B45" s="41" t="s">
        <v>7466</v>
      </c>
      <c r="C45" s="42" t="s">
        <v>7467</v>
      </c>
      <c r="D45" s="709"/>
      <c r="E45" s="718"/>
      <c r="F45" s="44"/>
      <c r="G45" s="45"/>
      <c r="H45" s="46"/>
      <c r="I45" s="35"/>
      <c r="K45" s="57"/>
      <c r="L45" s="734" t="s">
        <v>404</v>
      </c>
      <c r="M45" s="49" t="s">
        <v>398</v>
      </c>
      <c r="N45" s="50">
        <f>_11・初任</f>
        <v>0.7</v>
      </c>
      <c r="O45" s="47">
        <f>ROUND((ROUND((_11_A重度研修５．５*(1+_11・A深夜)),0)*_11・初任),0)</f>
        <v>1028</v>
      </c>
      <c r="P45" s="48"/>
    </row>
    <row r="46" spans="1:16" ht="16.5" customHeight="1" x14ac:dyDescent="0.15">
      <c r="A46" s="41">
        <v>11</v>
      </c>
      <c r="B46" s="41" t="s">
        <v>7468</v>
      </c>
      <c r="C46" s="42" t="s">
        <v>7469</v>
      </c>
      <c r="D46" s="100">
        <f>_11_A重度研修５．５</f>
        <v>979</v>
      </c>
      <c r="E46" s="12" t="s">
        <v>392</v>
      </c>
      <c r="F46" s="44" t="s">
        <v>397</v>
      </c>
      <c r="G46" s="45" t="s">
        <v>398</v>
      </c>
      <c r="H46" s="46">
        <v>1</v>
      </c>
      <c r="I46" s="35"/>
      <c r="K46" s="57"/>
      <c r="L46" s="706"/>
      <c r="M46" s="37"/>
      <c r="N46" s="38"/>
      <c r="O46" s="47">
        <f>ROUND((ROUND((ROUND((_11_A重度研修５．５*_11・２人),0)*(1+_11・A深夜)),0)*_11・初任),0)</f>
        <v>1028</v>
      </c>
      <c r="P46" s="48"/>
    </row>
    <row r="47" spans="1:16" ht="16.5" customHeight="1" x14ac:dyDescent="0.15">
      <c r="A47" s="41">
        <v>11</v>
      </c>
      <c r="B47" s="41">
        <v>4089</v>
      </c>
      <c r="C47" s="74" t="s">
        <v>7470</v>
      </c>
      <c r="D47" s="707" t="s">
        <v>7471</v>
      </c>
      <c r="E47" s="717"/>
      <c r="F47" s="44"/>
      <c r="G47" s="45"/>
      <c r="H47" s="46"/>
      <c r="I47" s="35"/>
      <c r="K47" s="57"/>
      <c r="L47" s="53"/>
      <c r="M47" s="49"/>
      <c r="N47" s="50"/>
      <c r="O47" s="47">
        <f>ROUND((_11_A重度研修６．０*(1+_11・A深夜)),0)</f>
        <v>1598</v>
      </c>
      <c r="P47" s="48"/>
    </row>
    <row r="48" spans="1:16" ht="16.5" customHeight="1" x14ac:dyDescent="0.15">
      <c r="A48" s="41">
        <v>11</v>
      </c>
      <c r="B48" s="41">
        <v>4090</v>
      </c>
      <c r="C48" s="74" t="s">
        <v>7472</v>
      </c>
      <c r="D48" s="709"/>
      <c r="E48" s="718"/>
      <c r="F48" s="44" t="s">
        <v>397</v>
      </c>
      <c r="G48" s="45" t="s">
        <v>398</v>
      </c>
      <c r="H48" s="46">
        <v>1</v>
      </c>
      <c r="I48" s="35"/>
      <c r="K48" s="57"/>
      <c r="L48" s="43"/>
      <c r="M48" s="37"/>
      <c r="N48" s="38"/>
      <c r="O48" s="47">
        <f>ROUND((ROUND((_11_A重度研修６．０*_11・２人),0)*(1+_11・A深夜)),0)</f>
        <v>1598</v>
      </c>
      <c r="P48" s="48"/>
    </row>
    <row r="49" spans="1:16" ht="16.5" customHeight="1" x14ac:dyDescent="0.15">
      <c r="A49" s="41">
        <v>11</v>
      </c>
      <c r="B49" s="41" t="s">
        <v>7473</v>
      </c>
      <c r="C49" s="42" t="s">
        <v>7474</v>
      </c>
      <c r="D49" s="709"/>
      <c r="E49" s="718"/>
      <c r="F49" s="44"/>
      <c r="G49" s="45"/>
      <c r="H49" s="46"/>
      <c r="I49" s="35"/>
      <c r="K49" s="57"/>
      <c r="L49" s="734" t="s">
        <v>404</v>
      </c>
      <c r="M49" s="49" t="s">
        <v>398</v>
      </c>
      <c r="N49" s="50">
        <f>_11・初任</f>
        <v>0.7</v>
      </c>
      <c r="O49" s="47">
        <f>ROUND((ROUND((_11_A重度研修６．０*(1+_11・A深夜)),0)*_11・初任),0)</f>
        <v>1119</v>
      </c>
      <c r="P49" s="48"/>
    </row>
    <row r="50" spans="1:16" ht="16.5" customHeight="1" x14ac:dyDescent="0.15">
      <c r="A50" s="41">
        <v>11</v>
      </c>
      <c r="B50" s="41" t="s">
        <v>7475</v>
      </c>
      <c r="C50" s="42" t="s">
        <v>7476</v>
      </c>
      <c r="D50" s="100">
        <f>_11_A重度研修６．０</f>
        <v>1065</v>
      </c>
      <c r="E50" s="12" t="s">
        <v>392</v>
      </c>
      <c r="F50" s="44" t="s">
        <v>397</v>
      </c>
      <c r="G50" s="45" t="s">
        <v>398</v>
      </c>
      <c r="H50" s="46">
        <v>1</v>
      </c>
      <c r="I50" s="35"/>
      <c r="K50" s="57"/>
      <c r="L50" s="706"/>
      <c r="M50" s="37"/>
      <c r="N50" s="38"/>
      <c r="O50" s="47">
        <f>ROUND((ROUND((ROUND((_11_A重度研修６．０*_11・２人),0)*(1+_11・A深夜)),0)*_11・初任),0)</f>
        <v>1119</v>
      </c>
      <c r="P50" s="48"/>
    </row>
    <row r="51" spans="1:16" ht="16.5" customHeight="1" x14ac:dyDescent="0.15">
      <c r="A51" s="41">
        <v>11</v>
      </c>
      <c r="B51" s="41">
        <v>4091</v>
      </c>
      <c r="C51" s="74" t="s">
        <v>7477</v>
      </c>
      <c r="D51" s="707" t="s">
        <v>7478</v>
      </c>
      <c r="E51" s="717"/>
      <c r="F51" s="44"/>
      <c r="G51" s="45"/>
      <c r="H51" s="46"/>
      <c r="I51" s="35"/>
      <c r="K51" s="57"/>
      <c r="L51" s="53"/>
      <c r="M51" s="49"/>
      <c r="N51" s="49"/>
      <c r="O51" s="47">
        <f>ROUND((_11_A重度研修６．５*(1+_11・A深夜)),0)</f>
        <v>1727</v>
      </c>
      <c r="P51" s="48"/>
    </row>
    <row r="52" spans="1:16" ht="16.5" customHeight="1" x14ac:dyDescent="0.15">
      <c r="A52" s="41">
        <v>11</v>
      </c>
      <c r="B52" s="41">
        <v>4092</v>
      </c>
      <c r="C52" s="74" t="s">
        <v>7479</v>
      </c>
      <c r="D52" s="709"/>
      <c r="E52" s="718"/>
      <c r="F52" s="44" t="s">
        <v>397</v>
      </c>
      <c r="G52" s="45" t="s">
        <v>398</v>
      </c>
      <c r="H52" s="46">
        <v>1</v>
      </c>
      <c r="I52" s="35"/>
      <c r="K52" s="57"/>
      <c r="L52" s="43"/>
      <c r="M52" s="37"/>
      <c r="N52" s="37"/>
      <c r="O52" s="47">
        <f>ROUND((ROUND((_11_A重度研修６．５*_11・２人),0)*(1+_11・A深夜)),0)</f>
        <v>1727</v>
      </c>
      <c r="P52" s="48"/>
    </row>
    <row r="53" spans="1:16" ht="16.5" customHeight="1" x14ac:dyDescent="0.15">
      <c r="A53" s="41">
        <v>11</v>
      </c>
      <c r="B53" s="41" t="s">
        <v>7480</v>
      </c>
      <c r="C53" s="42" t="s">
        <v>7481</v>
      </c>
      <c r="D53" s="709"/>
      <c r="E53" s="718"/>
      <c r="F53" s="44"/>
      <c r="G53" s="45"/>
      <c r="H53" s="46"/>
      <c r="I53" s="35"/>
      <c r="K53" s="57"/>
      <c r="L53" s="734" t="s">
        <v>404</v>
      </c>
      <c r="M53" s="49" t="s">
        <v>398</v>
      </c>
      <c r="N53" s="50">
        <f>_11・初任</f>
        <v>0.7</v>
      </c>
      <c r="O53" s="47">
        <f>ROUND((ROUND((_11_A重度研修６．５*(1+_11・A深夜)),0)*_11・初任),0)</f>
        <v>1209</v>
      </c>
      <c r="P53" s="48"/>
    </row>
    <row r="54" spans="1:16" ht="16.5" customHeight="1" x14ac:dyDescent="0.15">
      <c r="A54" s="41">
        <v>11</v>
      </c>
      <c r="B54" s="41" t="s">
        <v>7482</v>
      </c>
      <c r="C54" s="42" t="s">
        <v>7483</v>
      </c>
      <c r="D54" s="165">
        <f>_11_A重度研修６．５</f>
        <v>1151</v>
      </c>
      <c r="E54" s="37" t="s">
        <v>392</v>
      </c>
      <c r="F54" s="44" t="s">
        <v>397</v>
      </c>
      <c r="G54" s="45" t="s">
        <v>398</v>
      </c>
      <c r="H54" s="46">
        <v>1</v>
      </c>
      <c r="I54" s="43"/>
      <c r="J54" s="38"/>
      <c r="K54" s="79"/>
      <c r="L54" s="706"/>
      <c r="M54" s="37"/>
      <c r="N54" s="38"/>
      <c r="O54" s="47">
        <f>ROUND((ROUND((ROUND((_11_A重度研修６．５*_11・２人),0)*(1+_11・A深夜)),0)*_11・初任),0)</f>
        <v>1209</v>
      </c>
      <c r="P54" s="63"/>
    </row>
    <row r="55" spans="1:16" ht="16.5" customHeight="1" x14ac:dyDescent="0.15"/>
    <row r="56" spans="1:16" ht="16.5" customHeight="1" x14ac:dyDescent="0.15"/>
  </sheetData>
  <mergeCells count="25">
    <mergeCell ref="D43:E45"/>
    <mergeCell ref="L45:L46"/>
    <mergeCell ref="D47:E49"/>
    <mergeCell ref="L49:L50"/>
    <mergeCell ref="D51:E53"/>
    <mergeCell ref="L53:L54"/>
    <mergeCell ref="D31:E33"/>
    <mergeCell ref="L33:L34"/>
    <mergeCell ref="D35:E37"/>
    <mergeCell ref="L37:L38"/>
    <mergeCell ref="D39:E41"/>
    <mergeCell ref="L41:L42"/>
    <mergeCell ref="D19:E21"/>
    <mergeCell ref="L21:L22"/>
    <mergeCell ref="D23:E25"/>
    <mergeCell ref="L25:L26"/>
    <mergeCell ref="D27:E29"/>
    <mergeCell ref="L29:L30"/>
    <mergeCell ref="D15:E17"/>
    <mergeCell ref="L17:L18"/>
    <mergeCell ref="D7:E9"/>
    <mergeCell ref="K8:K9"/>
    <mergeCell ref="L9:L10"/>
    <mergeCell ref="D11:E13"/>
    <mergeCell ref="L13:L14"/>
  </mergeCells>
  <phoneticPr fontId="1"/>
  <printOptions horizontalCentered="1"/>
  <pageMargins left="0.70866141732283472" right="0.70866141732283472" top="0.74803149606299213" bottom="0.74803149606299213" header="0.31496062992125984" footer="0.31496062992125984"/>
  <pageSetup paperSize="9" scale="60" fitToHeight="0" orientation="portrait" r:id="rId1"/>
  <headerFooter>
    <oddHeader>&amp;R&amp;"ＭＳ Ｐゴシック"&amp;9居宅介護</oddHeader>
    <oddFooter>&amp;C&amp;"ＭＳ Ｐゴシック"&amp;14&amp;P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fitToPage="1"/>
  </sheetPr>
  <dimension ref="A1:W47"/>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3.125" style="10" bestFit="1" customWidth="1"/>
    <col min="4" max="4" width="2.5" style="10" customWidth="1"/>
    <col min="5" max="5" width="4.875" style="10" customWidth="1"/>
    <col min="6" max="6" width="4.5" style="117" bestFit="1" customWidth="1"/>
    <col min="7" max="7" width="2.5" style="117" customWidth="1"/>
    <col min="8" max="8" width="4.875" style="10" customWidth="1"/>
    <col min="9" max="9" width="4.5" style="117" bestFit="1" customWidth="1"/>
    <col min="10" max="10" width="24.875" style="14" bestFit="1" customWidth="1"/>
    <col min="11" max="11" width="3.5" style="12" bestFit="1" customWidth="1"/>
    <col min="12" max="12" width="5.5" style="13" bestFit="1" customWidth="1"/>
    <col min="13" max="13" width="3.5" style="12" bestFit="1" customWidth="1"/>
    <col min="14" max="14" width="4.5" style="13" bestFit="1" customWidth="1"/>
    <col min="15" max="15" width="5.5" style="12" bestFit="1" customWidth="1"/>
    <col min="16" max="16" width="3.5" style="12" bestFit="1" customWidth="1"/>
    <col min="17" max="17" width="4.5" style="13" bestFit="1" customWidth="1"/>
    <col min="18" max="18" width="5.5" style="12" bestFit="1" customWidth="1"/>
    <col min="19" max="19" width="17.875" style="12" customWidth="1"/>
    <col min="20" max="20" width="3.5" style="12" bestFit="1" customWidth="1"/>
    <col min="21" max="21" width="4.5" style="13" bestFit="1" customWidth="1"/>
    <col min="22" max="22" width="7.125" style="206" customWidth="1"/>
    <col min="23" max="23" width="8.5" style="16" customWidth="1"/>
    <col min="24" max="16384" width="8.875" style="12"/>
  </cols>
  <sheetData>
    <row r="1" spans="1:23" ht="17.100000000000001" customHeight="1" x14ac:dyDescent="0.15"/>
    <row r="2" spans="1:23" ht="17.100000000000001" customHeight="1" x14ac:dyDescent="0.15"/>
    <row r="3" spans="1:23" ht="17.100000000000001" customHeight="1" x14ac:dyDescent="0.15"/>
    <row r="4" spans="1:23" ht="17.100000000000001" customHeight="1" x14ac:dyDescent="0.15">
      <c r="B4" s="17" t="s">
        <v>7484</v>
      </c>
      <c r="E4" s="71"/>
    </row>
    <row r="5" spans="1:23" ht="16.5" customHeight="1" x14ac:dyDescent="0.15">
      <c r="A5" s="19" t="s">
        <v>384</v>
      </c>
      <c r="B5" s="20"/>
      <c r="C5" s="21" t="s">
        <v>385</v>
      </c>
      <c r="D5" s="166"/>
      <c r="E5" s="23" t="s">
        <v>386</v>
      </c>
      <c r="F5" s="118"/>
      <c r="G5" s="118"/>
      <c r="H5" s="23"/>
      <c r="I5" s="118"/>
      <c r="J5" s="23"/>
      <c r="K5" s="23"/>
      <c r="L5" s="24"/>
      <c r="M5" s="23"/>
      <c r="N5" s="24"/>
      <c r="O5" s="23"/>
      <c r="P5" s="23"/>
      <c r="Q5" s="24"/>
      <c r="R5" s="23"/>
      <c r="S5" s="23"/>
      <c r="T5" s="23"/>
      <c r="U5" s="24"/>
      <c r="V5" s="21" t="s">
        <v>387</v>
      </c>
      <c r="W5" s="21" t="s">
        <v>388</v>
      </c>
    </row>
    <row r="6" spans="1:23" ht="16.5" customHeight="1" x14ac:dyDescent="0.15">
      <c r="A6" s="26" t="s">
        <v>389</v>
      </c>
      <c r="B6" s="26" t="s">
        <v>390</v>
      </c>
      <c r="C6" s="27"/>
      <c r="D6" s="726" t="s">
        <v>1032</v>
      </c>
      <c r="E6" s="731"/>
      <c r="F6" s="737"/>
      <c r="G6" s="738" t="s">
        <v>1033</v>
      </c>
      <c r="H6" s="731"/>
      <c r="I6" s="727"/>
      <c r="J6" s="29"/>
      <c r="K6" s="29"/>
      <c r="L6" s="30"/>
      <c r="M6" s="29"/>
      <c r="N6" s="30"/>
      <c r="O6" s="29"/>
      <c r="P6" s="29"/>
      <c r="Q6" s="30"/>
      <c r="R6" s="29"/>
      <c r="S6" s="29"/>
      <c r="T6" s="29"/>
      <c r="U6" s="30"/>
      <c r="V6" s="32" t="s">
        <v>391</v>
      </c>
      <c r="W6" s="32" t="s">
        <v>392</v>
      </c>
    </row>
    <row r="7" spans="1:23" ht="16.5" customHeight="1" x14ac:dyDescent="0.15">
      <c r="A7" s="33">
        <v>11</v>
      </c>
      <c r="B7" s="33">
        <v>4245</v>
      </c>
      <c r="C7" s="34" t="s">
        <v>7485</v>
      </c>
      <c r="D7" s="709" t="s">
        <v>3572</v>
      </c>
      <c r="E7" s="704"/>
      <c r="F7" s="739"/>
      <c r="G7" s="736" t="s">
        <v>3602</v>
      </c>
      <c r="H7" s="704"/>
      <c r="I7" s="718"/>
      <c r="J7" s="36"/>
      <c r="K7" s="37"/>
      <c r="L7" s="38"/>
      <c r="M7" s="35" t="s">
        <v>1036</v>
      </c>
      <c r="O7" s="57"/>
      <c r="P7" s="35" t="s">
        <v>1037</v>
      </c>
      <c r="R7" s="57"/>
      <c r="S7" s="35"/>
      <c r="V7" s="207">
        <f>ROUND((_11_A重度研修１．０*(1+_11・A深夜)),0)+ROUND((_11_B重度研修１．０＿０．５*(1+_11・B早朝)),0)</f>
        <v>391</v>
      </c>
      <c r="W7" s="40" t="s">
        <v>395</v>
      </c>
    </row>
    <row r="8" spans="1:23" ht="16.5" customHeight="1" x14ac:dyDescent="0.15">
      <c r="A8" s="41">
        <v>11</v>
      </c>
      <c r="B8" s="41">
        <v>4246</v>
      </c>
      <c r="C8" s="74" t="s">
        <v>7486</v>
      </c>
      <c r="D8" s="709"/>
      <c r="E8" s="704"/>
      <c r="F8" s="739"/>
      <c r="G8" s="736"/>
      <c r="H8" s="704"/>
      <c r="I8" s="718"/>
      <c r="J8" s="44" t="s">
        <v>397</v>
      </c>
      <c r="K8" s="45" t="s">
        <v>398</v>
      </c>
      <c r="L8" s="46">
        <v>1</v>
      </c>
      <c r="M8" s="35" t="s">
        <v>398</v>
      </c>
      <c r="N8" s="13">
        <v>0.5</v>
      </c>
      <c r="O8" s="728" t="s">
        <v>676</v>
      </c>
      <c r="P8" s="12" t="s">
        <v>398</v>
      </c>
      <c r="Q8" s="13">
        <v>0.25</v>
      </c>
      <c r="R8" s="728" t="s">
        <v>676</v>
      </c>
      <c r="S8" s="43"/>
      <c r="T8" s="37"/>
      <c r="U8" s="38"/>
      <c r="V8" s="208">
        <f>ROUND((ROUND((_11_A重度研修１．０*_11・２人),0)*(1+_11・A深夜)),0)+ROUND((ROUND((_11_B重度研修１．０＿０．５*_11・２人),0)*(1+_11・B早朝)),0)</f>
        <v>391</v>
      </c>
      <c r="W8" s="48"/>
    </row>
    <row r="9" spans="1:23" ht="16.5" customHeight="1" x14ac:dyDescent="0.15">
      <c r="A9" s="41">
        <v>11</v>
      </c>
      <c r="B9" s="41" t="s">
        <v>7487</v>
      </c>
      <c r="C9" s="74" t="s">
        <v>7488</v>
      </c>
      <c r="D9" s="709"/>
      <c r="E9" s="704"/>
      <c r="F9" s="739"/>
      <c r="G9" s="736"/>
      <c r="H9" s="704"/>
      <c r="I9" s="718"/>
      <c r="J9" s="44"/>
      <c r="K9" s="45"/>
      <c r="L9" s="46"/>
      <c r="M9" s="35"/>
      <c r="O9" s="728"/>
      <c r="R9" s="728"/>
      <c r="S9" s="734" t="s">
        <v>404</v>
      </c>
      <c r="T9" s="49" t="s">
        <v>398</v>
      </c>
      <c r="U9" s="50">
        <f>_11・初任</f>
        <v>0.7</v>
      </c>
      <c r="V9" s="208">
        <f>ROUND((ROUND((_11_A重度研修１．０*(1+_11・A深夜)),0)*_11・初任),0)+ROUND((ROUND((_11_B重度研修１．０＿０．５*(1+_11・B早朝)),0)*_11・初任),0)</f>
        <v>274</v>
      </c>
      <c r="W9" s="48"/>
    </row>
    <row r="10" spans="1:23" ht="16.5" customHeight="1" x14ac:dyDescent="0.15">
      <c r="A10" s="41">
        <v>11</v>
      </c>
      <c r="B10" s="41" t="s">
        <v>7489</v>
      </c>
      <c r="C10" s="74" t="s">
        <v>7490</v>
      </c>
      <c r="D10" s="72"/>
      <c r="E10" s="170">
        <f>_11_A重度研修１．０</f>
        <v>185</v>
      </c>
      <c r="F10" s="171" t="s">
        <v>392</v>
      </c>
      <c r="G10" s="99"/>
      <c r="H10" s="170">
        <f>_11_B重度研修１．０＿０．５</f>
        <v>90</v>
      </c>
      <c r="I10" s="12" t="s">
        <v>392</v>
      </c>
      <c r="J10" s="44" t="s">
        <v>397</v>
      </c>
      <c r="K10" s="45" t="s">
        <v>398</v>
      </c>
      <c r="L10" s="46">
        <v>1</v>
      </c>
      <c r="M10" s="35"/>
      <c r="O10" s="57"/>
      <c r="R10" s="57"/>
      <c r="S10" s="706"/>
      <c r="T10" s="37"/>
      <c r="U10" s="38"/>
      <c r="V10" s="208">
        <f>ROUND((ROUND((ROUND((_11_A重度研修１．０*_11・２人),0)*(1+_11・A深夜)),0)*_11・初任),0)+ROUND((ROUND((ROUND((_11_B重度研修１．０＿０．５*_11・２人),0)*(1+_11・B早朝)),0)*_11・初任),0)</f>
        <v>274</v>
      </c>
      <c r="W10" s="48"/>
    </row>
    <row r="11" spans="1:23" ht="16.5" customHeight="1" x14ac:dyDescent="0.15">
      <c r="A11" s="41">
        <v>11</v>
      </c>
      <c r="B11" s="41">
        <v>4093</v>
      </c>
      <c r="C11" s="74" t="s">
        <v>7491</v>
      </c>
      <c r="D11" s="72"/>
      <c r="F11" s="169"/>
      <c r="G11" s="735" t="s">
        <v>3581</v>
      </c>
      <c r="H11" s="708"/>
      <c r="I11" s="717"/>
      <c r="J11" s="44"/>
      <c r="K11" s="45"/>
      <c r="L11" s="46"/>
      <c r="M11" s="35"/>
      <c r="O11" s="57"/>
      <c r="R11" s="57"/>
      <c r="S11" s="53"/>
      <c r="T11" s="49"/>
      <c r="U11" s="49"/>
      <c r="V11" s="208">
        <f>ROUND((_11_A重度研修１．０*(1+_11・A深夜)),0)+ROUND((_11_B重度研修１．０＿１．０*(1+_11・B早朝)),0)</f>
        <v>506</v>
      </c>
      <c r="W11" s="48"/>
    </row>
    <row r="12" spans="1:23" ht="16.5" customHeight="1" x14ac:dyDescent="0.15">
      <c r="A12" s="41">
        <v>11</v>
      </c>
      <c r="B12" s="41">
        <v>4094</v>
      </c>
      <c r="C12" s="74" t="s">
        <v>7492</v>
      </c>
      <c r="D12" s="72"/>
      <c r="F12" s="169"/>
      <c r="G12" s="736"/>
      <c r="H12" s="704"/>
      <c r="I12" s="718"/>
      <c r="J12" s="44" t="s">
        <v>397</v>
      </c>
      <c r="K12" s="45" t="s">
        <v>398</v>
      </c>
      <c r="L12" s="46">
        <v>1</v>
      </c>
      <c r="M12" s="35"/>
      <c r="O12" s="57"/>
      <c r="R12" s="57"/>
      <c r="S12" s="43"/>
      <c r="T12" s="37"/>
      <c r="U12" s="37"/>
      <c r="V12" s="208">
        <f>ROUND((ROUND((_11_A重度研修１．０*_11・２人),0)*(1+_11・A深夜)),0)+ROUND((ROUND((_11_B重度研修１．０＿１．０*_11・２人),0)*(1+_11・B早朝)),0)</f>
        <v>506</v>
      </c>
      <c r="W12" s="48"/>
    </row>
    <row r="13" spans="1:23" ht="16.5" customHeight="1" x14ac:dyDescent="0.15">
      <c r="A13" s="41">
        <v>11</v>
      </c>
      <c r="B13" s="41" t="s">
        <v>7493</v>
      </c>
      <c r="C13" s="74" t="s">
        <v>7494</v>
      </c>
      <c r="D13" s="72"/>
      <c r="F13" s="169"/>
      <c r="G13" s="736"/>
      <c r="H13" s="704"/>
      <c r="I13" s="718"/>
      <c r="J13" s="44"/>
      <c r="K13" s="45"/>
      <c r="L13" s="46"/>
      <c r="M13" s="35"/>
      <c r="O13" s="57"/>
      <c r="R13" s="57"/>
      <c r="S13" s="734" t="s">
        <v>404</v>
      </c>
      <c r="T13" s="49" t="s">
        <v>398</v>
      </c>
      <c r="U13" s="50">
        <f>_11・初任</f>
        <v>0.7</v>
      </c>
      <c r="V13" s="208">
        <f>ROUND((ROUND((_11_A重度研修１．０*(1+_11・A深夜)),0)*_11・初任),0)+ROUND((ROUND((_11_B重度研修１．０＿１．０*(1+_11・B早朝)),0)*_11・初任),0)</f>
        <v>355</v>
      </c>
      <c r="W13" s="48"/>
    </row>
    <row r="14" spans="1:23" ht="16.5" customHeight="1" x14ac:dyDescent="0.15">
      <c r="A14" s="41">
        <v>11</v>
      </c>
      <c r="B14" s="41" t="s">
        <v>7495</v>
      </c>
      <c r="C14" s="74" t="s">
        <v>7496</v>
      </c>
      <c r="D14" s="72"/>
      <c r="F14" s="169"/>
      <c r="G14" s="179"/>
      <c r="H14" s="170">
        <f>_11_B重度研修１．０＿１．０</f>
        <v>182</v>
      </c>
      <c r="I14" s="57" t="s">
        <v>392</v>
      </c>
      <c r="J14" s="44" t="s">
        <v>397</v>
      </c>
      <c r="K14" s="45" t="s">
        <v>398</v>
      </c>
      <c r="L14" s="46">
        <v>1</v>
      </c>
      <c r="M14" s="35"/>
      <c r="O14" s="57"/>
      <c r="R14" s="57"/>
      <c r="S14" s="706"/>
      <c r="T14" s="37"/>
      <c r="U14" s="38"/>
      <c r="V14" s="208">
        <f>ROUND((ROUND((ROUND((_11_A重度研修１．０*_11・２人),0)*(1+_11・A深夜)),0)*_11・初任),0)+ROUND((ROUND((ROUND((_11_B重度研修１．０＿１．０*_11・２人),0)*(1+_11・B早朝)),0)*_11・初任),0)</f>
        <v>355</v>
      </c>
      <c r="W14" s="48"/>
    </row>
    <row r="15" spans="1:23" ht="16.5" customHeight="1" x14ac:dyDescent="0.15">
      <c r="A15" s="41">
        <v>11</v>
      </c>
      <c r="B15" s="41">
        <v>4247</v>
      </c>
      <c r="C15" s="74" t="s">
        <v>7497</v>
      </c>
      <c r="D15" s="72"/>
      <c r="F15" s="169"/>
      <c r="G15" s="758" t="s">
        <v>3588</v>
      </c>
      <c r="H15" s="759"/>
      <c r="I15" s="760"/>
      <c r="J15" s="44"/>
      <c r="K15" s="45"/>
      <c r="L15" s="46"/>
      <c r="M15" s="35"/>
      <c r="O15" s="57"/>
      <c r="R15" s="57"/>
      <c r="S15" s="53"/>
      <c r="T15" s="49"/>
      <c r="U15" s="50"/>
      <c r="V15" s="208">
        <f>ROUND((_11_A重度研修１．０*(1+_11・A深夜)),0)+ROUND((_11_B重度研修１．０＿１．５*(1+_11・B早朝)),0)</f>
        <v>619</v>
      </c>
      <c r="W15" s="48"/>
    </row>
    <row r="16" spans="1:23" ht="16.5" customHeight="1" x14ac:dyDescent="0.15">
      <c r="A16" s="41">
        <v>11</v>
      </c>
      <c r="B16" s="41">
        <v>4248</v>
      </c>
      <c r="C16" s="74" t="s">
        <v>7498</v>
      </c>
      <c r="D16" s="72"/>
      <c r="F16" s="169"/>
      <c r="G16" s="736"/>
      <c r="H16" s="704"/>
      <c r="I16" s="718"/>
      <c r="J16" s="44" t="s">
        <v>397</v>
      </c>
      <c r="K16" s="45" t="s">
        <v>398</v>
      </c>
      <c r="L16" s="46">
        <v>1</v>
      </c>
      <c r="M16" s="35"/>
      <c r="O16" s="57"/>
      <c r="R16" s="57"/>
      <c r="S16" s="43"/>
      <c r="T16" s="37"/>
      <c r="U16" s="38"/>
      <c r="V16" s="208">
        <f>ROUND((ROUND((_11_A重度研修１．０*_11・２人),0)*(1+_11・A深夜)),0)+ROUND((ROUND((_11_B重度研修１．０＿１．５*_11・２人),0)*(1+_11・B早朝)),0)</f>
        <v>619</v>
      </c>
      <c r="W16" s="48"/>
    </row>
    <row r="17" spans="1:23" ht="16.5" customHeight="1" x14ac:dyDescent="0.15">
      <c r="A17" s="41">
        <v>11</v>
      </c>
      <c r="B17" s="41" t="s">
        <v>7499</v>
      </c>
      <c r="C17" s="74" t="s">
        <v>7500</v>
      </c>
      <c r="D17" s="72"/>
      <c r="F17" s="169"/>
      <c r="G17" s="736"/>
      <c r="H17" s="704"/>
      <c r="I17" s="718"/>
      <c r="J17" s="44"/>
      <c r="K17" s="45"/>
      <c r="L17" s="46"/>
      <c r="M17" s="35"/>
      <c r="O17" s="57"/>
      <c r="R17" s="57"/>
      <c r="S17" s="734" t="s">
        <v>404</v>
      </c>
      <c r="T17" s="49" t="s">
        <v>398</v>
      </c>
      <c r="U17" s="50">
        <f>_11・初任</f>
        <v>0.7</v>
      </c>
      <c r="V17" s="208">
        <f>ROUND((ROUND((_11_A重度研修１．０*(1+_11・A深夜)),0)*_11・初任),0)+ROUND((ROUND((_11_B重度研修１．０＿１．５*(1+_11・B早朝)),0)*_11・初任),0)</f>
        <v>434</v>
      </c>
      <c r="W17" s="48"/>
    </row>
    <row r="18" spans="1:23" ht="16.5" customHeight="1" x14ac:dyDescent="0.15">
      <c r="A18" s="41">
        <v>11</v>
      </c>
      <c r="B18" s="41" t="s">
        <v>7501</v>
      </c>
      <c r="C18" s="74" t="s">
        <v>7502</v>
      </c>
      <c r="D18" s="72"/>
      <c r="F18" s="169"/>
      <c r="G18" s="99"/>
      <c r="H18" s="170">
        <f>_11_B重度研修１．０＿１．５</f>
        <v>273</v>
      </c>
      <c r="I18" s="12" t="s">
        <v>392</v>
      </c>
      <c r="J18" s="44" t="s">
        <v>397</v>
      </c>
      <c r="K18" s="45" t="s">
        <v>398</v>
      </c>
      <c r="L18" s="46">
        <v>1</v>
      </c>
      <c r="M18" s="35"/>
      <c r="O18" s="57"/>
      <c r="R18" s="57"/>
      <c r="S18" s="706"/>
      <c r="T18" s="37"/>
      <c r="U18" s="38"/>
      <c r="V18" s="208">
        <f>ROUND((ROUND((ROUND((_11_A重度研修１．０*_11・２人),0)*(1+_11・A深夜)),0)*_11・初任),0)+ROUND((ROUND((ROUND((_11_B重度研修１．０＿１．５*_11・２人),0)*(1+_11・B早朝)),0)*_11・初任),0)</f>
        <v>434</v>
      </c>
      <c r="W18" s="48"/>
    </row>
    <row r="19" spans="1:23" ht="16.5" customHeight="1" x14ac:dyDescent="0.15">
      <c r="A19" s="41">
        <v>11</v>
      </c>
      <c r="B19" s="41">
        <v>4095</v>
      </c>
      <c r="C19" s="74" t="s">
        <v>7503</v>
      </c>
      <c r="D19" s="72"/>
      <c r="F19" s="169"/>
      <c r="G19" s="735" t="s">
        <v>1139</v>
      </c>
      <c r="H19" s="708"/>
      <c r="I19" s="717"/>
      <c r="J19" s="44"/>
      <c r="K19" s="45"/>
      <c r="L19" s="46"/>
      <c r="M19" s="35"/>
      <c r="O19" s="57"/>
      <c r="R19" s="57"/>
      <c r="S19" s="53"/>
      <c r="T19" s="49"/>
      <c r="U19" s="49"/>
      <c r="V19" s="208">
        <f>ROUND((_11_A重度研修１．０*(1+_11・A深夜)),0)+ROUND((_11_B重度研修１．０＿２．０*(1+_11・B早朝)),0)</f>
        <v>734</v>
      </c>
      <c r="W19" s="48"/>
    </row>
    <row r="20" spans="1:23" ht="16.5" customHeight="1" x14ac:dyDescent="0.15">
      <c r="A20" s="41">
        <v>11</v>
      </c>
      <c r="B20" s="41">
        <v>4096</v>
      </c>
      <c r="C20" s="74" t="s">
        <v>7504</v>
      </c>
      <c r="D20" s="72"/>
      <c r="F20" s="169"/>
      <c r="G20" s="736"/>
      <c r="H20" s="704"/>
      <c r="I20" s="718"/>
      <c r="J20" s="44" t="s">
        <v>397</v>
      </c>
      <c r="K20" s="45" t="s">
        <v>398</v>
      </c>
      <c r="L20" s="46">
        <v>1</v>
      </c>
      <c r="M20" s="35"/>
      <c r="O20" s="57"/>
      <c r="R20" s="57"/>
      <c r="S20" s="43"/>
      <c r="T20" s="37"/>
      <c r="U20" s="37"/>
      <c r="V20" s="208">
        <f>ROUND((ROUND((_11_A重度研修１．０*_11・２人),0)*(1+_11・A深夜)),0)+ROUND((ROUND((_11_B重度研修１．０＿２．０*_11・２人),0)*(1+_11・B早朝)),0)</f>
        <v>734</v>
      </c>
      <c r="W20" s="48"/>
    </row>
    <row r="21" spans="1:23" ht="16.5" customHeight="1" x14ac:dyDescent="0.15">
      <c r="A21" s="41">
        <v>11</v>
      </c>
      <c r="B21" s="41" t="s">
        <v>7505</v>
      </c>
      <c r="C21" s="74" t="s">
        <v>7506</v>
      </c>
      <c r="D21" s="72"/>
      <c r="F21" s="169"/>
      <c r="G21" s="736"/>
      <c r="H21" s="704"/>
      <c r="I21" s="718"/>
      <c r="J21" s="44"/>
      <c r="K21" s="45"/>
      <c r="L21" s="46"/>
      <c r="M21" s="35"/>
      <c r="O21" s="57"/>
      <c r="R21" s="57"/>
      <c r="S21" s="734" t="s">
        <v>404</v>
      </c>
      <c r="T21" s="49" t="s">
        <v>398</v>
      </c>
      <c r="U21" s="50">
        <f>_11・初任</f>
        <v>0.7</v>
      </c>
      <c r="V21" s="208">
        <f>ROUND((ROUND((_11_A重度研修１．０*(1+_11・A深夜)),0)*_11・初任),0)+ROUND((ROUND((_11_B重度研修１．０＿２．０*(1+_11・B早朝)),0)*_11・初任),0)</f>
        <v>514</v>
      </c>
      <c r="W21" s="48"/>
    </row>
    <row r="22" spans="1:23" ht="16.5" customHeight="1" x14ac:dyDescent="0.15">
      <c r="A22" s="41">
        <v>11</v>
      </c>
      <c r="B22" s="41" t="s">
        <v>7507</v>
      </c>
      <c r="C22" s="74" t="s">
        <v>7508</v>
      </c>
      <c r="D22" s="72"/>
      <c r="F22" s="169"/>
      <c r="G22" s="210"/>
      <c r="H22" s="176">
        <f>_11_B重度研修１．０＿２．０</f>
        <v>365</v>
      </c>
      <c r="I22" s="79" t="s">
        <v>392</v>
      </c>
      <c r="J22" s="44" t="s">
        <v>397</v>
      </c>
      <c r="K22" s="45" t="s">
        <v>398</v>
      </c>
      <c r="L22" s="46">
        <v>1</v>
      </c>
      <c r="M22" s="35"/>
      <c r="O22" s="57"/>
      <c r="R22" s="57"/>
      <c r="S22" s="706"/>
      <c r="T22" s="37"/>
      <c r="U22" s="38"/>
      <c r="V22" s="208">
        <f>ROUND((ROUND((ROUND((_11_A重度研修１．０*_11・２人),0)*(1+_11・A深夜)),0)*_11・初任),0)+ROUND((ROUND((ROUND((_11_B重度研修１．０＿２．０*_11・２人),0)*(1+_11・B早朝)),0)*_11・初任),0)</f>
        <v>514</v>
      </c>
      <c r="W22" s="48"/>
    </row>
    <row r="23" spans="1:23" ht="16.5" customHeight="1" x14ac:dyDescent="0.15">
      <c r="A23" s="41">
        <v>11</v>
      </c>
      <c r="B23" s="41">
        <v>4249</v>
      </c>
      <c r="C23" s="74" t="s">
        <v>7509</v>
      </c>
      <c r="D23" s="707" t="s">
        <v>3601</v>
      </c>
      <c r="E23" s="708"/>
      <c r="F23" s="740"/>
      <c r="G23" s="736" t="s">
        <v>3602</v>
      </c>
      <c r="H23" s="704"/>
      <c r="I23" s="718"/>
      <c r="J23" s="44"/>
      <c r="K23" s="45"/>
      <c r="L23" s="46"/>
      <c r="M23" s="35"/>
      <c r="O23" s="57"/>
      <c r="R23" s="57"/>
      <c r="S23" s="53"/>
      <c r="T23" s="49"/>
      <c r="U23" s="50"/>
      <c r="V23" s="208">
        <f>ROUND((_11_A重度研修１．５*(1+_11・A深夜)),0)+ROUND((_11_B重度研修１．５＿０．５*(1+_11・B早朝)),0)</f>
        <v>528</v>
      </c>
      <c r="W23" s="48"/>
    </row>
    <row r="24" spans="1:23" ht="16.5" customHeight="1" x14ac:dyDescent="0.15">
      <c r="A24" s="41">
        <v>11</v>
      </c>
      <c r="B24" s="41">
        <v>4250</v>
      </c>
      <c r="C24" s="74" t="s">
        <v>7510</v>
      </c>
      <c r="D24" s="709"/>
      <c r="E24" s="704"/>
      <c r="F24" s="739"/>
      <c r="G24" s="736"/>
      <c r="H24" s="704"/>
      <c r="I24" s="718"/>
      <c r="J24" s="44" t="s">
        <v>397</v>
      </c>
      <c r="K24" s="45" t="s">
        <v>398</v>
      </c>
      <c r="L24" s="46">
        <v>1</v>
      </c>
      <c r="M24" s="35"/>
      <c r="O24" s="57"/>
      <c r="R24" s="57"/>
      <c r="S24" s="43"/>
      <c r="T24" s="37"/>
      <c r="U24" s="38"/>
      <c r="V24" s="208">
        <f>ROUND((ROUND((_11_A重度研修１．５*_11・２人),0)*(1+_11・A深夜)),0)+ROUND((ROUND((_11_B重度研修１．５＿０．５*_11・２人),0)*(1+_11・B早朝)),0)</f>
        <v>528</v>
      </c>
      <c r="W24" s="48"/>
    </row>
    <row r="25" spans="1:23" ht="16.5" customHeight="1" x14ac:dyDescent="0.15">
      <c r="A25" s="41">
        <v>11</v>
      </c>
      <c r="B25" s="41" t="s">
        <v>7511</v>
      </c>
      <c r="C25" s="74" t="s">
        <v>7512</v>
      </c>
      <c r="D25" s="709"/>
      <c r="E25" s="704"/>
      <c r="F25" s="739"/>
      <c r="G25" s="736"/>
      <c r="H25" s="704"/>
      <c r="I25" s="718"/>
      <c r="J25" s="44"/>
      <c r="K25" s="45"/>
      <c r="L25" s="46"/>
      <c r="M25" s="35"/>
      <c r="O25" s="57"/>
      <c r="R25" s="57"/>
      <c r="S25" s="734" t="s">
        <v>404</v>
      </c>
      <c r="T25" s="49" t="s">
        <v>398</v>
      </c>
      <c r="U25" s="50">
        <f>_11・初任</f>
        <v>0.7</v>
      </c>
      <c r="V25" s="208">
        <f>ROUND((ROUND((_11_A重度研修１．５*(1+_11・A深夜)),0)*_11・初任),0)+ROUND((ROUND((_11_B重度研修１．５＿０．５*(1+_11・B早朝)),0)*_11・初任),0)</f>
        <v>370</v>
      </c>
      <c r="W25" s="48"/>
    </row>
    <row r="26" spans="1:23" ht="16.5" customHeight="1" x14ac:dyDescent="0.15">
      <c r="A26" s="41">
        <v>11</v>
      </c>
      <c r="B26" s="41" t="s">
        <v>7513</v>
      </c>
      <c r="C26" s="74" t="s">
        <v>7514</v>
      </c>
      <c r="D26" s="72"/>
      <c r="E26" s="170">
        <f>_11_A重度研修１．５</f>
        <v>275</v>
      </c>
      <c r="F26" s="171" t="s">
        <v>392</v>
      </c>
      <c r="G26" s="12"/>
      <c r="H26" s="170">
        <f>_11_B重度研修１．５＿０．５</f>
        <v>92</v>
      </c>
      <c r="I26" s="12" t="s">
        <v>392</v>
      </c>
      <c r="J26" s="44" t="s">
        <v>397</v>
      </c>
      <c r="K26" s="45" t="s">
        <v>398</v>
      </c>
      <c r="L26" s="46">
        <v>1</v>
      </c>
      <c r="M26" s="35"/>
      <c r="O26" s="57"/>
      <c r="R26" s="57"/>
      <c r="S26" s="706"/>
      <c r="T26" s="37"/>
      <c r="U26" s="38"/>
      <c r="V26" s="208">
        <f>ROUND((ROUND((ROUND((_11_A重度研修１．５*_11・２人),0)*(1+_11・A深夜)),0)*_11・初任),0)+ROUND((ROUND((ROUND((_11_B重度研修１．５＿０．５*_11・２人),0)*(1+_11・B早朝)),0)*_11・初任),0)</f>
        <v>370</v>
      </c>
      <c r="W26" s="48"/>
    </row>
    <row r="27" spans="1:23" ht="16.5" customHeight="1" x14ac:dyDescent="0.15">
      <c r="A27" s="41">
        <v>11</v>
      </c>
      <c r="B27" s="41">
        <v>4251</v>
      </c>
      <c r="C27" s="74" t="s">
        <v>7515</v>
      </c>
      <c r="D27" s="72"/>
      <c r="F27" s="169"/>
      <c r="G27" s="735" t="s">
        <v>3581</v>
      </c>
      <c r="H27" s="708"/>
      <c r="I27" s="717"/>
      <c r="J27" s="44"/>
      <c r="K27" s="45"/>
      <c r="L27" s="46"/>
      <c r="M27" s="35"/>
      <c r="O27" s="57"/>
      <c r="R27" s="57"/>
      <c r="S27" s="53"/>
      <c r="T27" s="49"/>
      <c r="U27" s="49"/>
      <c r="V27" s="208">
        <f>ROUND((_11_A重度研修１．５*(1+_11・A深夜)),0)+ROUND((_11_B重度研修１．５＿１．０*(1+_11・B早朝)),0)</f>
        <v>642</v>
      </c>
      <c r="W27" s="48"/>
    </row>
    <row r="28" spans="1:23" ht="16.5" customHeight="1" x14ac:dyDescent="0.15">
      <c r="A28" s="41">
        <v>11</v>
      </c>
      <c r="B28" s="41">
        <v>4252</v>
      </c>
      <c r="C28" s="74" t="s">
        <v>7516</v>
      </c>
      <c r="D28" s="72"/>
      <c r="F28" s="169"/>
      <c r="G28" s="736"/>
      <c r="H28" s="704"/>
      <c r="I28" s="718"/>
      <c r="J28" s="44" t="s">
        <v>397</v>
      </c>
      <c r="K28" s="45" t="s">
        <v>398</v>
      </c>
      <c r="L28" s="46">
        <v>1</v>
      </c>
      <c r="M28" s="35"/>
      <c r="O28" s="57"/>
      <c r="R28" s="57"/>
      <c r="S28" s="43"/>
      <c r="T28" s="37"/>
      <c r="U28" s="37"/>
      <c r="V28" s="208">
        <f>ROUND((ROUND((_11_A重度研修１．５*_11・２人),0)*(1+_11・A深夜)),0)+ROUND((ROUND((_11_B重度研修１．５＿１．０*_11・２人),0)*(1+_11・B早朝)),0)</f>
        <v>642</v>
      </c>
      <c r="W28" s="48"/>
    </row>
    <row r="29" spans="1:23" ht="16.5" customHeight="1" x14ac:dyDescent="0.15">
      <c r="A29" s="41">
        <v>11</v>
      </c>
      <c r="B29" s="41" t="s">
        <v>7517</v>
      </c>
      <c r="C29" s="74" t="s">
        <v>7518</v>
      </c>
      <c r="D29" s="72"/>
      <c r="F29" s="169"/>
      <c r="G29" s="736"/>
      <c r="H29" s="704"/>
      <c r="I29" s="718"/>
      <c r="J29" s="44"/>
      <c r="K29" s="45"/>
      <c r="L29" s="46"/>
      <c r="M29" s="35"/>
      <c r="O29" s="57"/>
      <c r="R29" s="57"/>
      <c r="S29" s="734" t="s">
        <v>404</v>
      </c>
      <c r="T29" s="49" t="s">
        <v>398</v>
      </c>
      <c r="U29" s="50">
        <f>_11・初任</f>
        <v>0.7</v>
      </c>
      <c r="V29" s="208">
        <f>ROUND((ROUND((_11_A重度研修１．５*(1+_11・A深夜)),0)*_11・初任),0)+ROUND((ROUND((_11_B重度研修１．５＿１．０*(1+_11・B早朝)),0)*_11・初任),0)</f>
        <v>449</v>
      </c>
      <c r="W29" s="48"/>
    </row>
    <row r="30" spans="1:23" ht="16.5" customHeight="1" x14ac:dyDescent="0.15">
      <c r="A30" s="41">
        <v>11</v>
      </c>
      <c r="B30" s="41" t="s">
        <v>7519</v>
      </c>
      <c r="C30" s="74" t="s">
        <v>7520</v>
      </c>
      <c r="D30" s="72"/>
      <c r="F30" s="169"/>
      <c r="G30" s="179"/>
      <c r="H30" s="170">
        <f>_11_B重度研修１．５＿１．０</f>
        <v>183</v>
      </c>
      <c r="I30" s="57" t="s">
        <v>392</v>
      </c>
      <c r="J30" s="44" t="s">
        <v>397</v>
      </c>
      <c r="K30" s="45" t="s">
        <v>398</v>
      </c>
      <c r="L30" s="46">
        <v>1</v>
      </c>
      <c r="M30" s="35"/>
      <c r="O30" s="57"/>
      <c r="R30" s="57"/>
      <c r="S30" s="706"/>
      <c r="T30" s="37"/>
      <c r="U30" s="38"/>
      <c r="V30" s="208">
        <f>ROUND((ROUND((ROUND((_11_A重度研修１．５*_11・２人),0)*(1+_11・A深夜)),0)*_11・初任),0)+ROUND((ROUND((ROUND((_11_B重度研修１．５＿１．０*_11・２人),0)*(1+_11・B早朝)),0)*_11・初任),0)</f>
        <v>449</v>
      </c>
      <c r="W30" s="48"/>
    </row>
    <row r="31" spans="1:23" ht="16.5" customHeight="1" x14ac:dyDescent="0.15">
      <c r="A31" s="41">
        <v>11</v>
      </c>
      <c r="B31" s="41">
        <v>4253</v>
      </c>
      <c r="C31" s="74" t="s">
        <v>7521</v>
      </c>
      <c r="D31" s="72"/>
      <c r="F31" s="169"/>
      <c r="G31" s="758" t="s">
        <v>3588</v>
      </c>
      <c r="H31" s="759"/>
      <c r="I31" s="760"/>
      <c r="J31" s="44"/>
      <c r="K31" s="45"/>
      <c r="L31" s="46"/>
      <c r="M31" s="35"/>
      <c r="O31" s="57"/>
      <c r="R31" s="57"/>
      <c r="S31" s="53"/>
      <c r="T31" s="49"/>
      <c r="U31" s="50"/>
      <c r="V31" s="208">
        <f>ROUND((_11_A重度研修１．５*(1+_11・A深夜)),0)+ROUND((_11_B重度研修１．５＿１．５*(1+_11・B早朝)),0)</f>
        <v>757</v>
      </c>
      <c r="W31" s="48"/>
    </row>
    <row r="32" spans="1:23" ht="16.5" customHeight="1" x14ac:dyDescent="0.15">
      <c r="A32" s="41">
        <v>11</v>
      </c>
      <c r="B32" s="41">
        <v>4254</v>
      </c>
      <c r="C32" s="74" t="s">
        <v>7522</v>
      </c>
      <c r="D32" s="72"/>
      <c r="F32" s="169"/>
      <c r="G32" s="736"/>
      <c r="H32" s="704"/>
      <c r="I32" s="718"/>
      <c r="J32" s="44" t="s">
        <v>397</v>
      </c>
      <c r="K32" s="45" t="s">
        <v>398</v>
      </c>
      <c r="L32" s="46">
        <v>1</v>
      </c>
      <c r="M32" s="35"/>
      <c r="O32" s="57"/>
      <c r="R32" s="57"/>
      <c r="S32" s="43"/>
      <c r="T32" s="37"/>
      <c r="U32" s="38"/>
      <c r="V32" s="208">
        <f>ROUND((ROUND((_11_A重度研修１．５*_11・２人),0)*(1+_11・A深夜)),0)+ROUND((ROUND((_11_B重度研修１．５＿１．５*_11・２人),0)*(1+_11・B早朝)),0)</f>
        <v>757</v>
      </c>
      <c r="W32" s="48"/>
    </row>
    <row r="33" spans="1:23" ht="16.5" customHeight="1" x14ac:dyDescent="0.15">
      <c r="A33" s="41">
        <v>11</v>
      </c>
      <c r="B33" s="41" t="s">
        <v>7523</v>
      </c>
      <c r="C33" s="74" t="s">
        <v>7524</v>
      </c>
      <c r="D33" s="72"/>
      <c r="F33" s="169"/>
      <c r="G33" s="736"/>
      <c r="H33" s="704"/>
      <c r="I33" s="718"/>
      <c r="J33" s="44"/>
      <c r="K33" s="45"/>
      <c r="L33" s="46"/>
      <c r="M33" s="35"/>
      <c r="O33" s="57"/>
      <c r="R33" s="57"/>
      <c r="S33" s="734" t="s">
        <v>404</v>
      </c>
      <c r="T33" s="49" t="s">
        <v>398</v>
      </c>
      <c r="U33" s="50">
        <f>_11・初任</f>
        <v>0.7</v>
      </c>
      <c r="V33" s="208">
        <f>ROUND((ROUND((_11_A重度研修１．５*(1+_11・A深夜)),0)*_11・初任),0)+ROUND((ROUND((_11_B重度研修１．５＿１．５*(1+_11・B早朝)),0)*_11・初任),0)</f>
        <v>530</v>
      </c>
      <c r="W33" s="48"/>
    </row>
    <row r="34" spans="1:23" ht="16.5" customHeight="1" x14ac:dyDescent="0.15">
      <c r="A34" s="41">
        <v>11</v>
      </c>
      <c r="B34" s="41" t="s">
        <v>7525</v>
      </c>
      <c r="C34" s="74" t="s">
        <v>7526</v>
      </c>
      <c r="D34" s="72"/>
      <c r="F34" s="169"/>
      <c r="G34" s="99"/>
      <c r="H34" s="170">
        <f>_11_B重度研修１．５＿１．５</f>
        <v>275</v>
      </c>
      <c r="I34" s="12" t="s">
        <v>392</v>
      </c>
      <c r="J34" s="44" t="s">
        <v>397</v>
      </c>
      <c r="K34" s="45" t="s">
        <v>398</v>
      </c>
      <c r="L34" s="46">
        <v>1</v>
      </c>
      <c r="M34" s="35"/>
      <c r="O34" s="57"/>
      <c r="R34" s="57"/>
      <c r="S34" s="706"/>
      <c r="T34" s="37"/>
      <c r="U34" s="38"/>
      <c r="V34" s="208">
        <f>ROUND((ROUND((ROUND((_11_A重度研修１．５*_11・２人),0)*(1+_11・A深夜)),0)*_11・初任),0)+ROUND((ROUND((ROUND((_11_B重度研修１．５＿１．５*_11・２人),0)*(1+_11・B早朝)),0)*_11・初任),0)</f>
        <v>530</v>
      </c>
      <c r="W34" s="48"/>
    </row>
    <row r="35" spans="1:23" ht="16.5" customHeight="1" x14ac:dyDescent="0.15">
      <c r="A35" s="41">
        <v>11</v>
      </c>
      <c r="B35" s="41">
        <v>4255</v>
      </c>
      <c r="C35" s="74" t="s">
        <v>7527</v>
      </c>
      <c r="D35" s="707" t="s">
        <v>3621</v>
      </c>
      <c r="E35" s="708"/>
      <c r="F35" s="740"/>
      <c r="G35" s="735" t="s">
        <v>3602</v>
      </c>
      <c r="H35" s="708"/>
      <c r="I35" s="717"/>
      <c r="J35" s="44"/>
      <c r="K35" s="45"/>
      <c r="L35" s="46"/>
      <c r="M35" s="35"/>
      <c r="O35" s="57"/>
      <c r="R35" s="57"/>
      <c r="S35" s="53"/>
      <c r="T35" s="49"/>
      <c r="U35" s="49"/>
      <c r="V35" s="208">
        <f>ROUND((_11_A重度研修２．０*(1+_11・A深夜)),0)+ROUND((_11_B重度研修２．０＿０．５*(1+_11・B早朝)),0)</f>
        <v>665</v>
      </c>
      <c r="W35" s="48"/>
    </row>
    <row r="36" spans="1:23" ht="16.5" customHeight="1" x14ac:dyDescent="0.15">
      <c r="A36" s="41">
        <v>11</v>
      </c>
      <c r="B36" s="41">
        <v>4256</v>
      </c>
      <c r="C36" s="74" t="s">
        <v>7528</v>
      </c>
      <c r="D36" s="709"/>
      <c r="E36" s="704"/>
      <c r="F36" s="739"/>
      <c r="G36" s="736"/>
      <c r="H36" s="704"/>
      <c r="I36" s="718"/>
      <c r="J36" s="44" t="s">
        <v>397</v>
      </c>
      <c r="K36" s="45" t="s">
        <v>398</v>
      </c>
      <c r="L36" s="46">
        <v>1</v>
      </c>
      <c r="M36" s="35"/>
      <c r="O36" s="57"/>
      <c r="R36" s="57"/>
      <c r="S36" s="43"/>
      <c r="T36" s="37"/>
      <c r="U36" s="37"/>
      <c r="V36" s="208">
        <f>ROUND((ROUND((_11_A重度研修２．０*_11・２人),0)*(1+_11・A深夜)),0)+ROUND((ROUND((_11_B重度研修２．０＿０．５*_11・２人),0)*(1+_11・B早朝)),0)</f>
        <v>665</v>
      </c>
      <c r="W36" s="48"/>
    </row>
    <row r="37" spans="1:23" ht="16.5" customHeight="1" x14ac:dyDescent="0.15">
      <c r="A37" s="41">
        <v>11</v>
      </c>
      <c r="B37" s="41" t="s">
        <v>7529</v>
      </c>
      <c r="C37" s="74" t="s">
        <v>7530</v>
      </c>
      <c r="D37" s="709"/>
      <c r="E37" s="704"/>
      <c r="F37" s="739"/>
      <c r="G37" s="736"/>
      <c r="H37" s="704"/>
      <c r="I37" s="718"/>
      <c r="J37" s="44"/>
      <c r="K37" s="45"/>
      <c r="L37" s="46"/>
      <c r="M37" s="35"/>
      <c r="O37" s="57"/>
      <c r="R37" s="57"/>
      <c r="S37" s="734" t="s">
        <v>404</v>
      </c>
      <c r="T37" s="49" t="s">
        <v>398</v>
      </c>
      <c r="U37" s="50">
        <f>_11・初任</f>
        <v>0.7</v>
      </c>
      <c r="V37" s="208">
        <f>ROUND((ROUND((_11_A重度研修２．０*(1+_11・A深夜)),0)*_11・初任),0)+ROUND((ROUND((_11_B重度研修２．０＿０．５*(1+_11・B早朝)),0)*_11・初任),0)</f>
        <v>466</v>
      </c>
      <c r="W37" s="48"/>
    </row>
    <row r="38" spans="1:23" ht="16.5" customHeight="1" x14ac:dyDescent="0.15">
      <c r="A38" s="41">
        <v>11</v>
      </c>
      <c r="B38" s="41" t="s">
        <v>7531</v>
      </c>
      <c r="C38" s="74" t="s">
        <v>7532</v>
      </c>
      <c r="D38" s="72"/>
      <c r="E38" s="170">
        <f>_11_A重度研修２．０</f>
        <v>367</v>
      </c>
      <c r="F38" s="171" t="s">
        <v>392</v>
      </c>
      <c r="G38" s="12"/>
      <c r="H38" s="170">
        <f>_11_B重度研修２．０＿０．５</f>
        <v>91</v>
      </c>
      <c r="I38" s="12" t="s">
        <v>392</v>
      </c>
      <c r="J38" s="44" t="s">
        <v>397</v>
      </c>
      <c r="K38" s="45" t="s">
        <v>398</v>
      </c>
      <c r="L38" s="46">
        <v>1</v>
      </c>
      <c r="M38" s="35"/>
      <c r="O38" s="57"/>
      <c r="R38" s="57"/>
      <c r="S38" s="706"/>
      <c r="T38" s="37"/>
      <c r="U38" s="38"/>
      <c r="V38" s="208">
        <f>ROUND((ROUND((ROUND((_11_A重度研修２．０*_11・２人),0)*(1+_11・A深夜)),0)*_11・初任),0)+ROUND((ROUND((ROUND((_11_B重度研修２．０＿０．５*_11・２人),0)*(1+_11・B早朝)),0)*_11・初任),0)</f>
        <v>466</v>
      </c>
      <c r="W38" s="48"/>
    </row>
    <row r="39" spans="1:23" ht="16.5" customHeight="1" x14ac:dyDescent="0.15">
      <c r="A39" s="41">
        <v>11</v>
      </c>
      <c r="B39" s="41">
        <v>4097</v>
      </c>
      <c r="C39" s="74" t="s">
        <v>7533</v>
      </c>
      <c r="D39" s="132"/>
      <c r="E39" s="172"/>
      <c r="F39" s="173"/>
      <c r="G39" s="761" t="s">
        <v>3581</v>
      </c>
      <c r="H39" s="762"/>
      <c r="I39" s="763"/>
      <c r="J39" s="44"/>
      <c r="K39" s="45"/>
      <c r="L39" s="46"/>
      <c r="M39" s="35"/>
      <c r="O39" s="57"/>
      <c r="P39" s="35"/>
      <c r="R39" s="57"/>
      <c r="S39" s="53"/>
      <c r="T39" s="49"/>
      <c r="U39" s="50"/>
      <c r="V39" s="208">
        <f>ROUND((_11_A重度研修２．０*(1+_11・A深夜)),0)+ROUND((_11_B重度研修２．０＿１．０*(1+_11・B早朝)),0)</f>
        <v>780</v>
      </c>
      <c r="W39" s="48"/>
    </row>
    <row r="40" spans="1:23" ht="16.5" customHeight="1" x14ac:dyDescent="0.15">
      <c r="A40" s="41">
        <v>11</v>
      </c>
      <c r="B40" s="41">
        <v>4098</v>
      </c>
      <c r="C40" s="74" t="s">
        <v>7534</v>
      </c>
      <c r="D40" s="132"/>
      <c r="E40" s="172"/>
      <c r="F40" s="173"/>
      <c r="G40" s="761"/>
      <c r="H40" s="762"/>
      <c r="I40" s="763"/>
      <c r="J40" s="44" t="s">
        <v>397</v>
      </c>
      <c r="K40" s="45" t="s">
        <v>398</v>
      </c>
      <c r="L40" s="46">
        <v>1</v>
      </c>
      <c r="M40" s="35"/>
      <c r="O40" s="145"/>
      <c r="R40" s="145"/>
      <c r="S40" s="43"/>
      <c r="T40" s="37"/>
      <c r="U40" s="38"/>
      <c r="V40" s="208">
        <f>ROUND((ROUND((_11_A重度研修２．０*_11・２人),0)*(1+_11・A深夜)),0)+ROUND((ROUND((_11_B重度研修２．０＿１．０*_11・２人),0)*(1+_11・B早朝)),0)</f>
        <v>780</v>
      </c>
      <c r="W40" s="48"/>
    </row>
    <row r="41" spans="1:23" ht="16.5" customHeight="1" x14ac:dyDescent="0.15">
      <c r="A41" s="41">
        <v>11</v>
      </c>
      <c r="B41" s="41" t="s">
        <v>7535</v>
      </c>
      <c r="C41" s="74" t="s">
        <v>7536</v>
      </c>
      <c r="D41" s="132"/>
      <c r="E41" s="172"/>
      <c r="F41" s="173"/>
      <c r="G41" s="758"/>
      <c r="H41" s="759"/>
      <c r="I41" s="760"/>
      <c r="J41" s="44"/>
      <c r="K41" s="45"/>
      <c r="L41" s="46"/>
      <c r="M41" s="35"/>
      <c r="O41" s="145"/>
      <c r="R41" s="145"/>
      <c r="S41" s="734" t="s">
        <v>404</v>
      </c>
      <c r="T41" s="49" t="s">
        <v>398</v>
      </c>
      <c r="U41" s="50">
        <f>_11・初任</f>
        <v>0.7</v>
      </c>
      <c r="V41" s="208">
        <f>ROUND((ROUND((_11_A重度研修２．０*(1+_11・A深夜)),0)*_11・初任),0)+ROUND((ROUND((_11_B重度研修２．０＿１．０*(1+_11・B早朝)),0)*_11・初任),0)</f>
        <v>546</v>
      </c>
      <c r="W41" s="48"/>
    </row>
    <row r="42" spans="1:23" ht="16.5" customHeight="1" x14ac:dyDescent="0.15">
      <c r="A42" s="41">
        <v>11</v>
      </c>
      <c r="B42" s="41" t="s">
        <v>7537</v>
      </c>
      <c r="C42" s="74" t="s">
        <v>7538</v>
      </c>
      <c r="D42" s="122"/>
      <c r="E42" s="174"/>
      <c r="F42" s="175"/>
      <c r="G42" s="210"/>
      <c r="H42" s="176">
        <f>_11_B重度研修２．０＿１．０</f>
        <v>183</v>
      </c>
      <c r="I42" s="79" t="s">
        <v>392</v>
      </c>
      <c r="J42" s="44" t="s">
        <v>397</v>
      </c>
      <c r="K42" s="45" t="s">
        <v>398</v>
      </c>
      <c r="L42" s="46">
        <v>1</v>
      </c>
      <c r="M42" s="35"/>
      <c r="O42" s="57"/>
      <c r="R42" s="57"/>
      <c r="S42" s="706"/>
      <c r="T42" s="37"/>
      <c r="U42" s="38"/>
      <c r="V42" s="208">
        <f>ROUND((ROUND((ROUND((_11_A重度研修２．０*_11・２人),0)*(1+_11・A深夜)),0)*_11・初任),0)+ROUND((ROUND((ROUND((_11_B重度研修２．０＿１．０*_11・２人),0)*(1+_11・B早朝)),0)*_11・初任),0)</f>
        <v>546</v>
      </c>
      <c r="W42" s="48"/>
    </row>
    <row r="43" spans="1:23" ht="16.5" customHeight="1" x14ac:dyDescent="0.15">
      <c r="A43" s="41">
        <v>11</v>
      </c>
      <c r="B43" s="41">
        <v>4257</v>
      </c>
      <c r="C43" s="74" t="s">
        <v>7539</v>
      </c>
      <c r="D43" s="707" t="s">
        <v>3634</v>
      </c>
      <c r="E43" s="708"/>
      <c r="F43" s="739"/>
      <c r="G43" s="736" t="s">
        <v>3602</v>
      </c>
      <c r="H43" s="704"/>
      <c r="I43" s="718"/>
      <c r="J43" s="44"/>
      <c r="K43" s="45"/>
      <c r="L43" s="46"/>
      <c r="M43" s="35"/>
      <c r="O43" s="57"/>
      <c r="R43" s="57"/>
      <c r="S43" s="53"/>
      <c r="T43" s="49"/>
      <c r="U43" s="49"/>
      <c r="V43" s="208">
        <f>ROUND((_11_A重度研修２．５*(1+_11・A深夜)),0)+ROUND((_11_B重度研修２．５＿０．５*(1+_11・B早朝)),0)</f>
        <v>802</v>
      </c>
      <c r="W43" s="48"/>
    </row>
    <row r="44" spans="1:23" ht="16.5" customHeight="1" x14ac:dyDescent="0.15">
      <c r="A44" s="41">
        <v>11</v>
      </c>
      <c r="B44" s="41">
        <v>4258</v>
      </c>
      <c r="C44" s="74" t="s">
        <v>7540</v>
      </c>
      <c r="D44" s="709"/>
      <c r="E44" s="704"/>
      <c r="F44" s="739"/>
      <c r="G44" s="736"/>
      <c r="H44" s="704"/>
      <c r="I44" s="718"/>
      <c r="J44" s="44" t="s">
        <v>397</v>
      </c>
      <c r="K44" s="45" t="s">
        <v>398</v>
      </c>
      <c r="L44" s="46">
        <v>1</v>
      </c>
      <c r="M44" s="35"/>
      <c r="O44" s="57"/>
      <c r="R44" s="57"/>
      <c r="S44" s="43"/>
      <c r="T44" s="37"/>
      <c r="U44" s="37"/>
      <c r="V44" s="208">
        <f>ROUND((ROUND((_11_A重度研修２．５*_11・２人),0)*(1+_11・A深夜)),0)+ROUND((ROUND((_11_B重度研修２．５＿０．５*_11・２人),0)*(1+_11・B早朝)),0)</f>
        <v>802</v>
      </c>
      <c r="W44" s="48"/>
    </row>
    <row r="45" spans="1:23" ht="16.5" customHeight="1" x14ac:dyDescent="0.15">
      <c r="A45" s="41">
        <v>11</v>
      </c>
      <c r="B45" s="41" t="s">
        <v>7541</v>
      </c>
      <c r="C45" s="74" t="s">
        <v>7542</v>
      </c>
      <c r="D45" s="709"/>
      <c r="E45" s="704"/>
      <c r="F45" s="739"/>
      <c r="G45" s="736"/>
      <c r="H45" s="704"/>
      <c r="I45" s="718"/>
      <c r="J45" s="44"/>
      <c r="K45" s="45"/>
      <c r="L45" s="46"/>
      <c r="M45" s="35"/>
      <c r="O45" s="57"/>
      <c r="R45" s="57"/>
      <c r="S45" s="734" t="s">
        <v>404</v>
      </c>
      <c r="T45" s="49" t="s">
        <v>398</v>
      </c>
      <c r="U45" s="50">
        <f>_11・初任</f>
        <v>0.7</v>
      </c>
      <c r="V45" s="208">
        <f>ROUND((ROUND((_11_A重度研修２．５*(1+_11・A深夜)),0)*_11・初任),0)+ROUND((ROUND((_11_B重度研修２．５＿０．５*(1+_11・B早朝)),0)*_11・初任),0)</f>
        <v>562</v>
      </c>
      <c r="W45" s="48"/>
    </row>
    <row r="46" spans="1:23" ht="16.5" customHeight="1" x14ac:dyDescent="0.15">
      <c r="A46" s="41">
        <v>11</v>
      </c>
      <c r="B46" s="41" t="s">
        <v>7543</v>
      </c>
      <c r="C46" s="74" t="s">
        <v>7544</v>
      </c>
      <c r="D46" s="122"/>
      <c r="E46" s="176">
        <f>_11_A重度研修２．５</f>
        <v>458</v>
      </c>
      <c r="F46" s="175" t="s">
        <v>392</v>
      </c>
      <c r="G46" s="37"/>
      <c r="H46" s="176">
        <f>_11_B重度研修２．５＿０．５</f>
        <v>92</v>
      </c>
      <c r="I46" s="37" t="s">
        <v>392</v>
      </c>
      <c r="J46" s="44" t="s">
        <v>397</v>
      </c>
      <c r="K46" s="45" t="s">
        <v>398</v>
      </c>
      <c r="L46" s="46">
        <v>1</v>
      </c>
      <c r="M46" s="43"/>
      <c r="N46" s="38"/>
      <c r="O46" s="79"/>
      <c r="P46" s="37"/>
      <c r="Q46" s="38"/>
      <c r="R46" s="79"/>
      <c r="S46" s="706"/>
      <c r="T46" s="37"/>
      <c r="U46" s="38"/>
      <c r="V46" s="208">
        <f>ROUND((ROUND((ROUND((_11_A重度研修２．５*_11・２人),0)*(1+_11・A深夜)),0)*_11・初任),0)+ROUND((ROUND((ROUND((_11_B重度研修２．５＿０．５*_11・２人),0)*(1+_11・B早朝)),0)*_11・初任),0)</f>
        <v>562</v>
      </c>
      <c r="W46" s="63"/>
    </row>
    <row r="47" spans="1:23" ht="16.5" customHeight="1" x14ac:dyDescent="0.15">
      <c r="G47" s="99"/>
    </row>
  </sheetData>
  <mergeCells count="28">
    <mergeCell ref="D43:F45"/>
    <mergeCell ref="G43:I45"/>
    <mergeCell ref="S45:S46"/>
    <mergeCell ref="D23:F25"/>
    <mergeCell ref="G23:I25"/>
    <mergeCell ref="S25:S26"/>
    <mergeCell ref="G27:I29"/>
    <mergeCell ref="S29:S30"/>
    <mergeCell ref="G31:I33"/>
    <mergeCell ref="S33:S34"/>
    <mergeCell ref="D35:F37"/>
    <mergeCell ref="G35:I37"/>
    <mergeCell ref="S37:S38"/>
    <mergeCell ref="G39:I41"/>
    <mergeCell ref="S41:S42"/>
    <mergeCell ref="G19:I21"/>
    <mergeCell ref="S21:S22"/>
    <mergeCell ref="D6:F6"/>
    <mergeCell ref="G6:I6"/>
    <mergeCell ref="D7:F9"/>
    <mergeCell ref="G7:I9"/>
    <mergeCell ref="O8:O9"/>
    <mergeCell ref="R8:R9"/>
    <mergeCell ref="S9:S10"/>
    <mergeCell ref="G11:I13"/>
    <mergeCell ref="S13:S14"/>
    <mergeCell ref="G15:I17"/>
    <mergeCell ref="S17:S18"/>
  </mergeCells>
  <phoneticPr fontId="1"/>
  <printOptions horizontalCentered="1"/>
  <pageMargins left="0.70866141732283472" right="0.70866141732283472" top="0.74803149606299213" bottom="0.74803149606299213" header="0.31496062992125984" footer="0.31496062992125984"/>
  <pageSetup paperSize="9" scale="49" fitToHeight="0" orientation="portrait" r:id="rId1"/>
  <headerFooter>
    <oddHeader>&amp;R&amp;"ＭＳ Ｐゴシック"&amp;9居宅介護</oddHeader>
    <oddFooter>&amp;C&amp;"ＭＳ Ｐゴシック"&amp;14&amp;P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pageSetUpPr fitToPage="1"/>
  </sheetPr>
  <dimension ref="A1:T47"/>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3.125" style="10" bestFit="1" customWidth="1"/>
    <col min="4" max="4" width="2.5" style="10" customWidth="1"/>
    <col min="5" max="5" width="4.875" style="10" customWidth="1"/>
    <col min="6" max="6" width="4.5" style="117" bestFit="1" customWidth="1"/>
    <col min="7" max="7" width="2.5" style="117" customWidth="1"/>
    <col min="8" max="8" width="4.875" style="10" customWidth="1"/>
    <col min="9" max="9" width="4.5" style="117" bestFit="1" customWidth="1"/>
    <col min="10" max="10" width="24.875" style="14" bestFit="1" customWidth="1"/>
    <col min="11" max="11" width="3.5" style="12" bestFit="1" customWidth="1"/>
    <col min="12" max="12" width="5.5" style="13" bestFit="1" customWidth="1"/>
    <col min="13" max="13" width="3.5" style="12" bestFit="1" customWidth="1"/>
    <col min="14" max="14" width="4.5" style="13" bestFit="1" customWidth="1"/>
    <col min="15" max="15" width="5.5" style="12" bestFit="1" customWidth="1"/>
    <col min="16" max="16" width="17.875" style="12" customWidth="1"/>
    <col min="17" max="17" width="3.5" style="12" bestFit="1" customWidth="1"/>
    <col min="18" max="18" width="4.5" style="13" bestFit="1" customWidth="1"/>
    <col min="19" max="19" width="7.125" style="206" customWidth="1"/>
    <col min="20" max="20" width="8.5" style="16" customWidth="1"/>
    <col min="21" max="16384" width="8.875" style="12"/>
  </cols>
  <sheetData>
    <row r="1" spans="1:20" ht="17.100000000000001" customHeight="1" x14ac:dyDescent="0.15"/>
    <row r="2" spans="1:20" ht="17.100000000000001" customHeight="1" x14ac:dyDescent="0.15"/>
    <row r="3" spans="1:20" ht="17.100000000000001" customHeight="1" x14ac:dyDescent="0.15">
      <c r="G3" s="99"/>
    </row>
    <row r="4" spans="1:20" ht="17.100000000000001" customHeight="1" x14ac:dyDescent="0.15">
      <c r="B4" s="17" t="s">
        <v>7545</v>
      </c>
      <c r="E4" s="71"/>
      <c r="G4" s="99"/>
    </row>
    <row r="5" spans="1:20" ht="16.5" customHeight="1" x14ac:dyDescent="0.15">
      <c r="A5" s="19" t="s">
        <v>384</v>
      </c>
      <c r="B5" s="20"/>
      <c r="C5" s="21" t="s">
        <v>385</v>
      </c>
      <c r="D5" s="166"/>
      <c r="E5" s="23" t="s">
        <v>386</v>
      </c>
      <c r="F5" s="118"/>
      <c r="G5" s="118"/>
      <c r="H5" s="23"/>
      <c r="I5" s="118"/>
      <c r="J5" s="23"/>
      <c r="K5" s="23"/>
      <c r="L5" s="24"/>
      <c r="M5" s="23"/>
      <c r="N5" s="24"/>
      <c r="O5" s="23"/>
      <c r="P5" s="23"/>
      <c r="Q5" s="23"/>
      <c r="R5" s="24"/>
      <c r="S5" s="21" t="s">
        <v>387</v>
      </c>
      <c r="T5" s="21" t="s">
        <v>388</v>
      </c>
    </row>
    <row r="6" spans="1:20" ht="16.5" customHeight="1" x14ac:dyDescent="0.15">
      <c r="A6" s="26" t="s">
        <v>389</v>
      </c>
      <c r="B6" s="26" t="s">
        <v>390</v>
      </c>
      <c r="C6" s="27"/>
      <c r="D6" s="726" t="s">
        <v>1032</v>
      </c>
      <c r="E6" s="731"/>
      <c r="F6" s="727"/>
      <c r="G6" s="177"/>
      <c r="H6" s="29"/>
      <c r="I6" s="120"/>
      <c r="J6" s="29"/>
      <c r="K6" s="29"/>
      <c r="L6" s="30"/>
      <c r="M6" s="29"/>
      <c r="N6" s="30"/>
      <c r="O6" s="29"/>
      <c r="P6" s="29"/>
      <c r="Q6" s="29"/>
      <c r="R6" s="30"/>
      <c r="S6" s="32" t="s">
        <v>391</v>
      </c>
      <c r="T6" s="32" t="s">
        <v>392</v>
      </c>
    </row>
    <row r="7" spans="1:20" ht="16.5" customHeight="1" x14ac:dyDescent="0.15">
      <c r="A7" s="33">
        <v>11</v>
      </c>
      <c r="B7" s="33">
        <v>4259</v>
      </c>
      <c r="C7" s="34" t="s">
        <v>7546</v>
      </c>
      <c r="D7" s="709" t="s">
        <v>3642</v>
      </c>
      <c r="E7" s="704"/>
      <c r="F7" s="739"/>
      <c r="G7" s="736" t="s">
        <v>3643</v>
      </c>
      <c r="H7" s="704"/>
      <c r="I7" s="718"/>
      <c r="J7" s="36"/>
      <c r="K7" s="37"/>
      <c r="L7" s="38"/>
      <c r="M7" s="35" t="s">
        <v>1227</v>
      </c>
      <c r="O7" s="57"/>
      <c r="P7" s="35"/>
      <c r="S7" s="207">
        <f>ROUND((_11_A重度研修１．０*(1+_11・A早朝)),0)+_11_B重度研修１．０＿０．５</f>
        <v>321</v>
      </c>
      <c r="T7" s="40" t="s">
        <v>395</v>
      </c>
    </row>
    <row r="8" spans="1:20" ht="16.5" customHeight="1" x14ac:dyDescent="0.15">
      <c r="A8" s="41">
        <v>11</v>
      </c>
      <c r="B8" s="41">
        <v>4260</v>
      </c>
      <c r="C8" s="74" t="s">
        <v>7547</v>
      </c>
      <c r="D8" s="709"/>
      <c r="E8" s="704"/>
      <c r="F8" s="739"/>
      <c r="G8" s="736"/>
      <c r="H8" s="704"/>
      <c r="I8" s="718"/>
      <c r="J8" s="44" t="s">
        <v>397</v>
      </c>
      <c r="K8" s="45" t="s">
        <v>398</v>
      </c>
      <c r="L8" s="46">
        <v>1</v>
      </c>
      <c r="M8" s="35" t="s">
        <v>398</v>
      </c>
      <c r="N8" s="13">
        <v>0.25</v>
      </c>
      <c r="O8" s="728" t="s">
        <v>676</v>
      </c>
      <c r="P8" s="43"/>
      <c r="Q8" s="37"/>
      <c r="R8" s="38"/>
      <c r="S8" s="208">
        <f>ROUND((ROUND((_11_A重度研修１．０*_11・２人),0)*(1+_11・A早朝)),0)+ROUND((_11_B重度研修１．０＿０．５*_11・２人),0)</f>
        <v>321</v>
      </c>
      <c r="T8" s="48"/>
    </row>
    <row r="9" spans="1:20" ht="16.5" customHeight="1" x14ac:dyDescent="0.15">
      <c r="A9" s="41">
        <v>11</v>
      </c>
      <c r="B9" s="41" t="s">
        <v>7548</v>
      </c>
      <c r="C9" s="74" t="s">
        <v>7549</v>
      </c>
      <c r="D9" s="709"/>
      <c r="E9" s="704"/>
      <c r="F9" s="739"/>
      <c r="G9" s="736"/>
      <c r="H9" s="704"/>
      <c r="I9" s="718"/>
      <c r="J9" s="44"/>
      <c r="K9" s="45"/>
      <c r="L9" s="46"/>
      <c r="M9" s="35"/>
      <c r="O9" s="728"/>
      <c r="P9" s="734" t="s">
        <v>404</v>
      </c>
      <c r="Q9" s="49" t="s">
        <v>398</v>
      </c>
      <c r="R9" s="50">
        <f>_11・初任</f>
        <v>0.7</v>
      </c>
      <c r="S9" s="208">
        <f>ROUND((ROUND((_11_A重度研修１．０*(1+_11・A早朝)),0)*_11・初任),0)+ROUND((_11_B重度研修１．０＿０．５*_11・初任),0)</f>
        <v>225</v>
      </c>
      <c r="T9" s="48"/>
    </row>
    <row r="10" spans="1:20" ht="16.5" customHeight="1" x14ac:dyDescent="0.15">
      <c r="A10" s="41">
        <v>11</v>
      </c>
      <c r="B10" s="41" t="s">
        <v>7550</v>
      </c>
      <c r="C10" s="74" t="s">
        <v>7551</v>
      </c>
      <c r="D10" s="72"/>
      <c r="E10" s="170">
        <f>_11_A重度研修１．０</f>
        <v>185</v>
      </c>
      <c r="F10" s="171" t="s">
        <v>392</v>
      </c>
      <c r="G10" s="12"/>
      <c r="H10" s="170">
        <f>_11_B重度研修１．０＿０．５</f>
        <v>90</v>
      </c>
      <c r="I10" s="12" t="s">
        <v>392</v>
      </c>
      <c r="J10" s="44" t="s">
        <v>397</v>
      </c>
      <c r="K10" s="45" t="s">
        <v>398</v>
      </c>
      <c r="L10" s="46">
        <v>1</v>
      </c>
      <c r="M10" s="35"/>
      <c r="O10" s="57"/>
      <c r="P10" s="706"/>
      <c r="Q10" s="37"/>
      <c r="R10" s="38"/>
      <c r="S10" s="208">
        <f>ROUND((ROUND((ROUND((_11_A重度研修１．０*_11・２人),0)*(1+_11・A早朝)),0)*_11・初任),0)+ROUND((ROUND((_11_B重度研修１．０＿０．５*_11・２人),0)*_11・初任),0)</f>
        <v>225</v>
      </c>
      <c r="T10" s="48"/>
    </row>
    <row r="11" spans="1:20" ht="16.5" customHeight="1" x14ac:dyDescent="0.15">
      <c r="A11" s="41">
        <v>11</v>
      </c>
      <c r="B11" s="41">
        <v>4099</v>
      </c>
      <c r="C11" s="74" t="s">
        <v>7552</v>
      </c>
      <c r="D11" s="72"/>
      <c r="F11" s="169"/>
      <c r="G11" s="735" t="s">
        <v>3650</v>
      </c>
      <c r="H11" s="708"/>
      <c r="I11" s="717"/>
      <c r="J11" s="44"/>
      <c r="K11" s="45"/>
      <c r="L11" s="46"/>
      <c r="M11" s="35"/>
      <c r="O11" s="57"/>
      <c r="P11" s="53"/>
      <c r="Q11" s="49"/>
      <c r="R11" s="49"/>
      <c r="S11" s="208">
        <f>ROUND((_11_A重度研修１．０*(1+_11・A早朝)),0)+_11_B重度研修１．０＿１．０</f>
        <v>413</v>
      </c>
      <c r="T11" s="48"/>
    </row>
    <row r="12" spans="1:20" ht="16.5" customHeight="1" x14ac:dyDescent="0.15">
      <c r="A12" s="41">
        <v>11</v>
      </c>
      <c r="B12" s="41">
        <v>4100</v>
      </c>
      <c r="C12" s="74" t="s">
        <v>7553</v>
      </c>
      <c r="D12" s="72"/>
      <c r="F12" s="169"/>
      <c r="G12" s="736"/>
      <c r="H12" s="704"/>
      <c r="I12" s="718"/>
      <c r="J12" s="44" t="s">
        <v>397</v>
      </c>
      <c r="K12" s="45" t="s">
        <v>398</v>
      </c>
      <c r="L12" s="46">
        <v>1</v>
      </c>
      <c r="M12" s="35"/>
      <c r="O12" s="57"/>
      <c r="P12" s="43"/>
      <c r="Q12" s="37"/>
      <c r="R12" s="37"/>
      <c r="S12" s="208">
        <f>ROUND((ROUND((_11_A重度研修１．０*_11・２人),0)*(1+_11・A早朝)),0)+ROUND((_11_B重度研修１．０＿１．０*_11・２人),0)</f>
        <v>413</v>
      </c>
      <c r="T12" s="48"/>
    </row>
    <row r="13" spans="1:20" ht="16.5" customHeight="1" x14ac:dyDescent="0.15">
      <c r="A13" s="41">
        <v>11</v>
      </c>
      <c r="B13" s="41" t="s">
        <v>7554</v>
      </c>
      <c r="C13" s="74" t="s">
        <v>7555</v>
      </c>
      <c r="D13" s="72"/>
      <c r="F13" s="169"/>
      <c r="G13" s="736"/>
      <c r="H13" s="704"/>
      <c r="I13" s="718"/>
      <c r="J13" s="44"/>
      <c r="K13" s="45"/>
      <c r="L13" s="46"/>
      <c r="M13" s="35"/>
      <c r="O13" s="57"/>
      <c r="P13" s="734" t="s">
        <v>404</v>
      </c>
      <c r="Q13" s="49" t="s">
        <v>398</v>
      </c>
      <c r="R13" s="50">
        <f>_11・初任</f>
        <v>0.7</v>
      </c>
      <c r="S13" s="208">
        <f>ROUND((ROUND((_11_A重度研修１．０*(1+_11・A早朝)),0)*_11・初任),0)+ROUND((_11_B重度研修１．０＿１．０*_11・初任),0)</f>
        <v>289</v>
      </c>
      <c r="T13" s="48"/>
    </row>
    <row r="14" spans="1:20" ht="16.5" customHeight="1" x14ac:dyDescent="0.15">
      <c r="A14" s="41">
        <v>11</v>
      </c>
      <c r="B14" s="41" t="s">
        <v>7556</v>
      </c>
      <c r="C14" s="74" t="s">
        <v>7557</v>
      </c>
      <c r="D14" s="72"/>
      <c r="F14" s="169"/>
      <c r="G14" s="210"/>
      <c r="H14" s="176">
        <f>_11_B重度研修１．０＿１．０</f>
        <v>182</v>
      </c>
      <c r="I14" s="79" t="s">
        <v>392</v>
      </c>
      <c r="J14" s="44" t="s">
        <v>397</v>
      </c>
      <c r="K14" s="45" t="s">
        <v>398</v>
      </c>
      <c r="L14" s="46">
        <v>1</v>
      </c>
      <c r="M14" s="35"/>
      <c r="O14" s="57"/>
      <c r="P14" s="706"/>
      <c r="Q14" s="37"/>
      <c r="R14" s="38"/>
      <c r="S14" s="208">
        <f>ROUND((ROUND((ROUND((_11_A重度研修１．０*_11・２人),0)*(1+_11・A早朝)),0)*_11・初任),0)+ROUND((ROUND((_11_B重度研修１．０＿１．０*_11・２人),0)*_11・初任),0)</f>
        <v>289</v>
      </c>
      <c r="T14" s="48"/>
    </row>
    <row r="15" spans="1:20" ht="16.5" customHeight="1" x14ac:dyDescent="0.15">
      <c r="A15" s="41">
        <v>11</v>
      </c>
      <c r="B15" s="41">
        <v>4261</v>
      </c>
      <c r="C15" s="74" t="s">
        <v>7558</v>
      </c>
      <c r="D15" s="72"/>
      <c r="F15" s="169"/>
      <c r="G15" s="736" t="s">
        <v>1253</v>
      </c>
      <c r="H15" s="704"/>
      <c r="I15" s="718"/>
      <c r="J15" s="44"/>
      <c r="K15" s="45"/>
      <c r="L15" s="46"/>
      <c r="M15" s="35"/>
      <c r="O15" s="57"/>
      <c r="P15" s="53"/>
      <c r="Q15" s="49"/>
      <c r="R15" s="50"/>
      <c r="S15" s="208">
        <f>ROUND((_11_A重度研修１．０*(1+_11・A早朝)),0)+_11_B重度研修１．０＿１．５</f>
        <v>504</v>
      </c>
      <c r="T15" s="48"/>
    </row>
    <row r="16" spans="1:20" ht="16.5" customHeight="1" x14ac:dyDescent="0.15">
      <c r="A16" s="41">
        <v>11</v>
      </c>
      <c r="B16" s="41">
        <v>4262</v>
      </c>
      <c r="C16" s="74" t="s">
        <v>7559</v>
      </c>
      <c r="D16" s="72"/>
      <c r="F16" s="169"/>
      <c r="G16" s="736"/>
      <c r="H16" s="704"/>
      <c r="I16" s="718"/>
      <c r="J16" s="44" t="s">
        <v>397</v>
      </c>
      <c r="K16" s="45" t="s">
        <v>398</v>
      </c>
      <c r="L16" s="46">
        <v>1</v>
      </c>
      <c r="M16" s="35"/>
      <c r="O16" s="57"/>
      <c r="P16" s="43"/>
      <c r="Q16" s="37"/>
      <c r="R16" s="38"/>
      <c r="S16" s="208">
        <f>ROUND((ROUND((_11_A重度研修１．０*_11・２人),0)*(1+_11・A早朝)),0)+ROUND((_11_B重度研修１．０＿１．５*_11・２人),0)</f>
        <v>504</v>
      </c>
      <c r="T16" s="48"/>
    </row>
    <row r="17" spans="1:20" ht="16.5" customHeight="1" x14ac:dyDescent="0.15">
      <c r="A17" s="41">
        <v>11</v>
      </c>
      <c r="B17" s="41" t="s">
        <v>7560</v>
      </c>
      <c r="C17" s="74" t="s">
        <v>7561</v>
      </c>
      <c r="D17" s="72"/>
      <c r="F17" s="169"/>
      <c r="G17" s="736"/>
      <c r="H17" s="704"/>
      <c r="I17" s="718"/>
      <c r="J17" s="44"/>
      <c r="K17" s="45"/>
      <c r="L17" s="46"/>
      <c r="M17" s="35"/>
      <c r="O17" s="57"/>
      <c r="P17" s="734" t="s">
        <v>404</v>
      </c>
      <c r="Q17" s="49" t="s">
        <v>398</v>
      </c>
      <c r="R17" s="50">
        <f>_11・初任</f>
        <v>0.7</v>
      </c>
      <c r="S17" s="208">
        <f>ROUND((ROUND((_11_A重度研修１．０*(1+_11・A早朝)),0)*_11・初任),0)+ROUND((_11_B重度研修１．０＿１．５*_11・初任),0)</f>
        <v>353</v>
      </c>
      <c r="T17" s="48"/>
    </row>
    <row r="18" spans="1:20" ht="16.5" customHeight="1" x14ac:dyDescent="0.15">
      <c r="A18" s="41">
        <v>11</v>
      </c>
      <c r="B18" s="41" t="s">
        <v>7562</v>
      </c>
      <c r="C18" s="74" t="s">
        <v>7563</v>
      </c>
      <c r="D18" s="72"/>
      <c r="F18" s="169"/>
      <c r="G18" s="99"/>
      <c r="H18" s="170">
        <f>_11_B重度研修１．０＿１．５</f>
        <v>273</v>
      </c>
      <c r="I18" s="12" t="s">
        <v>392</v>
      </c>
      <c r="J18" s="44" t="s">
        <v>397</v>
      </c>
      <c r="K18" s="45" t="s">
        <v>398</v>
      </c>
      <c r="L18" s="46">
        <v>1</v>
      </c>
      <c r="M18" s="35"/>
      <c r="O18" s="57"/>
      <c r="P18" s="706"/>
      <c r="Q18" s="37"/>
      <c r="R18" s="38"/>
      <c r="S18" s="208">
        <f>ROUND((ROUND((ROUND((_11_A重度研修１．０*_11・２人),0)*(1+_11・A早朝)),0)*_11・初任),0)+ROUND((ROUND((_11_B重度研修１．０＿１．５*_11・２人),0)*_11・初任),0)</f>
        <v>353</v>
      </c>
      <c r="T18" s="48"/>
    </row>
    <row r="19" spans="1:20" ht="16.5" customHeight="1" x14ac:dyDescent="0.15">
      <c r="A19" s="41">
        <v>11</v>
      </c>
      <c r="B19" s="41">
        <v>4101</v>
      </c>
      <c r="C19" s="74" t="s">
        <v>7564</v>
      </c>
      <c r="D19" s="72"/>
      <c r="F19" s="169"/>
      <c r="G19" s="735" t="s">
        <v>3663</v>
      </c>
      <c r="H19" s="708"/>
      <c r="I19" s="717"/>
      <c r="J19" s="44"/>
      <c r="K19" s="45"/>
      <c r="L19" s="46"/>
      <c r="M19" s="35"/>
      <c r="O19" s="57"/>
      <c r="P19" s="53"/>
      <c r="Q19" s="49"/>
      <c r="R19" s="49"/>
      <c r="S19" s="208">
        <f>ROUND((_11_A重度研修１．０*(1+_11・A早朝)),0)+_11_B重度研修１．０＿２．０</f>
        <v>596</v>
      </c>
      <c r="T19" s="48"/>
    </row>
    <row r="20" spans="1:20" ht="16.5" customHeight="1" x14ac:dyDescent="0.15">
      <c r="A20" s="41">
        <v>11</v>
      </c>
      <c r="B20" s="41">
        <v>4102</v>
      </c>
      <c r="C20" s="74" t="s">
        <v>7565</v>
      </c>
      <c r="D20" s="72"/>
      <c r="F20" s="169"/>
      <c r="G20" s="736"/>
      <c r="H20" s="704"/>
      <c r="I20" s="718"/>
      <c r="J20" s="44" t="s">
        <v>397</v>
      </c>
      <c r="K20" s="45" t="s">
        <v>398</v>
      </c>
      <c r="L20" s="46">
        <v>1</v>
      </c>
      <c r="M20" s="35"/>
      <c r="O20" s="57"/>
      <c r="P20" s="43"/>
      <c r="Q20" s="37"/>
      <c r="R20" s="37"/>
      <c r="S20" s="208">
        <f>ROUND((ROUND((_11_A重度研修１．０*_11・２人),0)*(1+_11・A早朝)),0)+ROUND((_11_B重度研修１．０＿２．０*_11・２人),0)</f>
        <v>596</v>
      </c>
      <c r="T20" s="48"/>
    </row>
    <row r="21" spans="1:20" ht="16.5" customHeight="1" x14ac:dyDescent="0.15">
      <c r="A21" s="41">
        <v>11</v>
      </c>
      <c r="B21" s="41" t="s">
        <v>7566</v>
      </c>
      <c r="C21" s="74" t="s">
        <v>7567</v>
      </c>
      <c r="D21" s="72"/>
      <c r="F21" s="169"/>
      <c r="G21" s="736"/>
      <c r="H21" s="704"/>
      <c r="I21" s="718"/>
      <c r="J21" s="44"/>
      <c r="K21" s="45"/>
      <c r="L21" s="46"/>
      <c r="M21" s="35"/>
      <c r="O21" s="57"/>
      <c r="P21" s="734" t="s">
        <v>404</v>
      </c>
      <c r="Q21" s="49" t="s">
        <v>398</v>
      </c>
      <c r="R21" s="50">
        <f>_11・初任</f>
        <v>0.7</v>
      </c>
      <c r="S21" s="208">
        <f>ROUND((ROUND((_11_A重度研修１．０*(1+_11・A早朝)),0)*_11・初任),0)+ROUND((_11_B重度研修１．０＿２．０*_11・初任),0)</f>
        <v>418</v>
      </c>
      <c r="T21" s="48"/>
    </row>
    <row r="22" spans="1:20" ht="16.5" customHeight="1" x14ac:dyDescent="0.15">
      <c r="A22" s="41">
        <v>11</v>
      </c>
      <c r="B22" s="41" t="s">
        <v>7568</v>
      </c>
      <c r="C22" s="74" t="s">
        <v>7569</v>
      </c>
      <c r="D22" s="72"/>
      <c r="F22" s="169"/>
      <c r="G22" s="179"/>
      <c r="H22" s="170">
        <f>_11_B重度研修１．０＿２．０</f>
        <v>365</v>
      </c>
      <c r="I22" s="57" t="s">
        <v>392</v>
      </c>
      <c r="J22" s="44" t="s">
        <v>397</v>
      </c>
      <c r="K22" s="45" t="s">
        <v>398</v>
      </c>
      <c r="L22" s="46">
        <v>1</v>
      </c>
      <c r="M22" s="35"/>
      <c r="O22" s="57"/>
      <c r="P22" s="706"/>
      <c r="Q22" s="37"/>
      <c r="R22" s="38"/>
      <c r="S22" s="208">
        <f>ROUND((ROUND((ROUND((_11_A重度研修１．０*_11・２人),0)*(1+_11・A早朝)),0)*_11・初任),0)+ROUND((ROUND((_11_B重度研修１．０＿２．０*_11・２人),0)*_11・初任),0)</f>
        <v>418</v>
      </c>
      <c r="T22" s="48"/>
    </row>
    <row r="23" spans="1:20" ht="16.5" customHeight="1" x14ac:dyDescent="0.15">
      <c r="A23" s="41">
        <v>11</v>
      </c>
      <c r="B23" s="41">
        <v>4263</v>
      </c>
      <c r="C23" s="74" t="s">
        <v>7570</v>
      </c>
      <c r="D23" s="707" t="s">
        <v>3670</v>
      </c>
      <c r="E23" s="708"/>
      <c r="F23" s="740"/>
      <c r="G23" s="758" t="s">
        <v>3643</v>
      </c>
      <c r="H23" s="759"/>
      <c r="I23" s="760"/>
      <c r="J23" s="44"/>
      <c r="K23" s="45"/>
      <c r="L23" s="46"/>
      <c r="M23" s="35"/>
      <c r="O23" s="57"/>
      <c r="P23" s="53"/>
      <c r="Q23" s="49"/>
      <c r="R23" s="50"/>
      <c r="S23" s="208">
        <f>ROUND((_11_A重度研修１．５*(1+_11・A早朝)),0)+_11_B重度研修１．５＿０．５</f>
        <v>436</v>
      </c>
      <c r="T23" s="48"/>
    </row>
    <row r="24" spans="1:20" ht="16.5" customHeight="1" x14ac:dyDescent="0.15">
      <c r="A24" s="41">
        <v>11</v>
      </c>
      <c r="B24" s="41">
        <v>4264</v>
      </c>
      <c r="C24" s="74" t="s">
        <v>7571</v>
      </c>
      <c r="D24" s="709"/>
      <c r="E24" s="704"/>
      <c r="F24" s="739"/>
      <c r="G24" s="736"/>
      <c r="H24" s="704"/>
      <c r="I24" s="718"/>
      <c r="J24" s="44" t="s">
        <v>397</v>
      </c>
      <c r="K24" s="45" t="s">
        <v>398</v>
      </c>
      <c r="L24" s="46">
        <v>1</v>
      </c>
      <c r="M24" s="35"/>
      <c r="O24" s="57"/>
      <c r="P24" s="43"/>
      <c r="Q24" s="37"/>
      <c r="R24" s="38"/>
      <c r="S24" s="208">
        <f>ROUND((ROUND((_11_A重度研修１．５*_11・２人),0)*(1+_11・A早朝)),0)+ROUND((_11_B重度研修１．５＿０．５*_11・２人),0)</f>
        <v>436</v>
      </c>
      <c r="T24" s="48"/>
    </row>
    <row r="25" spans="1:20" ht="16.5" customHeight="1" x14ac:dyDescent="0.15">
      <c r="A25" s="41">
        <v>11</v>
      </c>
      <c r="B25" s="41" t="s">
        <v>7572</v>
      </c>
      <c r="C25" s="74" t="s">
        <v>7573</v>
      </c>
      <c r="D25" s="709"/>
      <c r="E25" s="704"/>
      <c r="F25" s="739"/>
      <c r="G25" s="736"/>
      <c r="H25" s="704"/>
      <c r="I25" s="718"/>
      <c r="J25" s="44"/>
      <c r="K25" s="45"/>
      <c r="L25" s="46"/>
      <c r="M25" s="35"/>
      <c r="O25" s="57"/>
      <c r="P25" s="734" t="s">
        <v>404</v>
      </c>
      <c r="Q25" s="49" t="s">
        <v>398</v>
      </c>
      <c r="R25" s="50">
        <f>_11・初任</f>
        <v>0.7</v>
      </c>
      <c r="S25" s="208">
        <f>ROUND((ROUND((_11_A重度研修１．５*(1+_11・A早朝)),0)*_11・初任),0)+ROUND((_11_B重度研修１．５＿０．５*_11・初任),0)</f>
        <v>305</v>
      </c>
      <c r="T25" s="48"/>
    </row>
    <row r="26" spans="1:20" ht="16.5" customHeight="1" x14ac:dyDescent="0.15">
      <c r="A26" s="41">
        <v>11</v>
      </c>
      <c r="B26" s="41" t="s">
        <v>7574</v>
      </c>
      <c r="C26" s="74" t="s">
        <v>7575</v>
      </c>
      <c r="D26" s="72"/>
      <c r="E26" s="170">
        <f>_11_A重度研修１．５</f>
        <v>275</v>
      </c>
      <c r="F26" s="171" t="s">
        <v>392</v>
      </c>
      <c r="G26" s="12"/>
      <c r="H26" s="170">
        <f>_11_B重度研修１．５＿０．５</f>
        <v>92</v>
      </c>
      <c r="I26" s="12" t="s">
        <v>392</v>
      </c>
      <c r="J26" s="44" t="s">
        <v>397</v>
      </c>
      <c r="K26" s="45" t="s">
        <v>398</v>
      </c>
      <c r="L26" s="46">
        <v>1</v>
      </c>
      <c r="M26" s="35"/>
      <c r="O26" s="57"/>
      <c r="P26" s="706"/>
      <c r="Q26" s="37"/>
      <c r="R26" s="38"/>
      <c r="S26" s="208">
        <f>ROUND((ROUND((ROUND((_11_A重度研修１．５*_11・２人),0)*(1+_11・A早朝)),0)*_11・初任),0)+ROUND((ROUND((_11_B重度研修１．５＿０．５*_11・２人),0)*_11・初任),0)</f>
        <v>305</v>
      </c>
      <c r="T26" s="48"/>
    </row>
    <row r="27" spans="1:20" ht="16.5" customHeight="1" x14ac:dyDescent="0.15">
      <c r="A27" s="41">
        <v>11</v>
      </c>
      <c r="B27" s="41">
        <v>4265</v>
      </c>
      <c r="C27" s="74" t="s">
        <v>7576</v>
      </c>
      <c r="D27" s="72"/>
      <c r="F27" s="169"/>
      <c r="G27" s="735" t="s">
        <v>3650</v>
      </c>
      <c r="H27" s="708"/>
      <c r="I27" s="717"/>
      <c r="J27" s="44"/>
      <c r="K27" s="45"/>
      <c r="L27" s="46"/>
      <c r="M27" s="35"/>
      <c r="O27" s="57"/>
      <c r="P27" s="53"/>
      <c r="Q27" s="49"/>
      <c r="R27" s="49"/>
      <c r="S27" s="208">
        <f>ROUND((_11_A重度研修１．５*(1+_11・A早朝)),0)+_11_B重度研修１．５＿１．０</f>
        <v>527</v>
      </c>
      <c r="T27" s="48"/>
    </row>
    <row r="28" spans="1:20" ht="16.5" customHeight="1" x14ac:dyDescent="0.15">
      <c r="A28" s="41">
        <v>11</v>
      </c>
      <c r="B28" s="41">
        <v>4266</v>
      </c>
      <c r="C28" s="74" t="s">
        <v>7577</v>
      </c>
      <c r="D28" s="72"/>
      <c r="F28" s="169"/>
      <c r="G28" s="736"/>
      <c r="H28" s="704"/>
      <c r="I28" s="718"/>
      <c r="J28" s="44" t="s">
        <v>397</v>
      </c>
      <c r="K28" s="45" t="s">
        <v>398</v>
      </c>
      <c r="L28" s="46">
        <v>1</v>
      </c>
      <c r="M28" s="35"/>
      <c r="O28" s="57"/>
      <c r="P28" s="43"/>
      <c r="Q28" s="37"/>
      <c r="R28" s="37"/>
      <c r="S28" s="208">
        <f>ROUND((ROUND((_11_A重度研修１．５*_11・２人),0)*(1+_11・A早朝)),0)+ROUND((_11_B重度研修１．５＿１．０*_11・２人),0)</f>
        <v>527</v>
      </c>
      <c r="T28" s="48"/>
    </row>
    <row r="29" spans="1:20" ht="16.5" customHeight="1" x14ac:dyDescent="0.15">
      <c r="A29" s="41">
        <v>11</v>
      </c>
      <c r="B29" s="41" t="s">
        <v>7578</v>
      </c>
      <c r="C29" s="74" t="s">
        <v>7579</v>
      </c>
      <c r="D29" s="72"/>
      <c r="F29" s="169"/>
      <c r="G29" s="736"/>
      <c r="H29" s="704"/>
      <c r="I29" s="718"/>
      <c r="J29" s="44"/>
      <c r="K29" s="45"/>
      <c r="L29" s="46"/>
      <c r="M29" s="35"/>
      <c r="O29" s="57"/>
      <c r="P29" s="734" t="s">
        <v>404</v>
      </c>
      <c r="Q29" s="49" t="s">
        <v>398</v>
      </c>
      <c r="R29" s="50">
        <f>_11・初任</f>
        <v>0.7</v>
      </c>
      <c r="S29" s="208">
        <f>ROUND((ROUND((_11_A重度研修１．５*(1+_11・A早朝)),0)*_11・初任),0)+ROUND((_11_B重度研修１．５＿１．０*_11・初任),0)</f>
        <v>369</v>
      </c>
      <c r="T29" s="48"/>
    </row>
    <row r="30" spans="1:20" ht="16.5" customHeight="1" x14ac:dyDescent="0.15">
      <c r="A30" s="41">
        <v>11</v>
      </c>
      <c r="B30" s="41" t="s">
        <v>7580</v>
      </c>
      <c r="C30" s="74" t="s">
        <v>7581</v>
      </c>
      <c r="D30" s="72"/>
      <c r="F30" s="169"/>
      <c r="G30" s="210"/>
      <c r="H30" s="176">
        <f>_11_B重度研修１．５＿１．０</f>
        <v>183</v>
      </c>
      <c r="I30" s="79" t="s">
        <v>392</v>
      </c>
      <c r="J30" s="44" t="s">
        <v>397</v>
      </c>
      <c r="K30" s="45" t="s">
        <v>398</v>
      </c>
      <c r="L30" s="46">
        <v>1</v>
      </c>
      <c r="M30" s="35"/>
      <c r="O30" s="57"/>
      <c r="P30" s="706"/>
      <c r="Q30" s="37"/>
      <c r="R30" s="38"/>
      <c r="S30" s="208">
        <f>ROUND((ROUND((ROUND((_11_A重度研修１．５*_11・２人),0)*(1+_11・A早朝)),0)*_11・初任),0)+ROUND((ROUND((_11_B重度研修１．５＿１．０*_11・２人),0)*_11・初任),0)</f>
        <v>369</v>
      </c>
      <c r="T30" s="48"/>
    </row>
    <row r="31" spans="1:20" ht="16.5" customHeight="1" x14ac:dyDescent="0.15">
      <c r="A31" s="41">
        <v>11</v>
      </c>
      <c r="B31" s="41">
        <v>4267</v>
      </c>
      <c r="C31" s="74" t="s">
        <v>7582</v>
      </c>
      <c r="D31" s="72"/>
      <c r="F31" s="169"/>
      <c r="G31" s="736" t="s">
        <v>1253</v>
      </c>
      <c r="H31" s="704"/>
      <c r="I31" s="718"/>
      <c r="J31" s="44"/>
      <c r="K31" s="45"/>
      <c r="L31" s="46"/>
      <c r="M31" s="35"/>
      <c r="O31" s="57"/>
      <c r="P31" s="53"/>
      <c r="Q31" s="49"/>
      <c r="R31" s="50"/>
      <c r="S31" s="208">
        <f>ROUND((_11_A重度研修１．５*(1+_11・A早朝)),0)+_11_B重度研修１．５＿１．５</f>
        <v>619</v>
      </c>
      <c r="T31" s="48"/>
    </row>
    <row r="32" spans="1:20" ht="16.5" customHeight="1" x14ac:dyDescent="0.15">
      <c r="A32" s="41">
        <v>11</v>
      </c>
      <c r="B32" s="41">
        <v>4268</v>
      </c>
      <c r="C32" s="74" t="s">
        <v>7583</v>
      </c>
      <c r="D32" s="72"/>
      <c r="F32" s="169"/>
      <c r="G32" s="736"/>
      <c r="H32" s="704"/>
      <c r="I32" s="718"/>
      <c r="J32" s="44" t="s">
        <v>397</v>
      </c>
      <c r="K32" s="45" t="s">
        <v>398</v>
      </c>
      <c r="L32" s="46">
        <v>1</v>
      </c>
      <c r="M32" s="35"/>
      <c r="O32" s="57"/>
      <c r="P32" s="43"/>
      <c r="Q32" s="37"/>
      <c r="R32" s="38"/>
      <c r="S32" s="208">
        <f>ROUND((ROUND((_11_A重度研修１．５*_11・２人),0)*(1+_11・A早朝)),0)+ROUND((_11_B重度研修１．５＿１．５*_11・２人),0)</f>
        <v>619</v>
      </c>
      <c r="T32" s="48"/>
    </row>
    <row r="33" spans="1:20" ht="16.5" customHeight="1" x14ac:dyDescent="0.15">
      <c r="A33" s="41">
        <v>11</v>
      </c>
      <c r="B33" s="41" t="s">
        <v>7584</v>
      </c>
      <c r="C33" s="74" t="s">
        <v>7585</v>
      </c>
      <c r="D33" s="72"/>
      <c r="F33" s="169"/>
      <c r="G33" s="736"/>
      <c r="H33" s="704"/>
      <c r="I33" s="718"/>
      <c r="J33" s="44"/>
      <c r="K33" s="45"/>
      <c r="L33" s="46"/>
      <c r="M33" s="35"/>
      <c r="O33" s="57"/>
      <c r="P33" s="734" t="s">
        <v>404</v>
      </c>
      <c r="Q33" s="49" t="s">
        <v>398</v>
      </c>
      <c r="R33" s="50">
        <f>_11・初任</f>
        <v>0.7</v>
      </c>
      <c r="S33" s="208">
        <f>ROUND((ROUND((_11_A重度研修１．５*(1+_11・A早朝)),0)*_11・初任),0)+ROUND((_11_B重度研修１．５＿１．５*_11・初任),0)</f>
        <v>434</v>
      </c>
      <c r="T33" s="48"/>
    </row>
    <row r="34" spans="1:20" ht="16.5" customHeight="1" x14ac:dyDescent="0.15">
      <c r="A34" s="41">
        <v>11</v>
      </c>
      <c r="B34" s="41" t="s">
        <v>7586</v>
      </c>
      <c r="C34" s="74" t="s">
        <v>7587</v>
      </c>
      <c r="D34" s="72"/>
      <c r="F34" s="169"/>
      <c r="G34" s="99"/>
      <c r="H34" s="170">
        <f>_11_B重度研修１．５＿１．５</f>
        <v>275</v>
      </c>
      <c r="I34" s="12" t="s">
        <v>392</v>
      </c>
      <c r="J34" s="44" t="s">
        <v>397</v>
      </c>
      <c r="K34" s="45" t="s">
        <v>398</v>
      </c>
      <c r="L34" s="46">
        <v>1</v>
      </c>
      <c r="M34" s="35"/>
      <c r="O34" s="57"/>
      <c r="P34" s="706"/>
      <c r="Q34" s="37"/>
      <c r="R34" s="38"/>
      <c r="S34" s="208">
        <f>ROUND((ROUND((ROUND((_11_A重度研修１．５*_11・２人),0)*(1+_11・A早朝)),0)*_11・初任),0)+ROUND((ROUND((_11_B重度研修１．５＿１．５*_11・２人),0)*_11・初任),0)</f>
        <v>434</v>
      </c>
      <c r="T34" s="48"/>
    </row>
    <row r="35" spans="1:20" ht="16.5" customHeight="1" x14ac:dyDescent="0.15">
      <c r="A35" s="41">
        <v>11</v>
      </c>
      <c r="B35" s="41">
        <v>4269</v>
      </c>
      <c r="C35" s="74" t="s">
        <v>7588</v>
      </c>
      <c r="D35" s="707" t="s">
        <v>3689</v>
      </c>
      <c r="E35" s="708"/>
      <c r="F35" s="740"/>
      <c r="G35" s="735" t="s">
        <v>3643</v>
      </c>
      <c r="H35" s="708"/>
      <c r="I35" s="717"/>
      <c r="J35" s="44"/>
      <c r="K35" s="45"/>
      <c r="L35" s="46"/>
      <c r="M35" s="35"/>
      <c r="O35" s="57"/>
      <c r="P35" s="53"/>
      <c r="Q35" s="49"/>
      <c r="R35" s="49"/>
      <c r="S35" s="208">
        <f>ROUND((_11_A重度研修２．０*(1+_11・A早朝)),0)+_11_B重度研修２．０＿０．５</f>
        <v>550</v>
      </c>
      <c r="T35" s="48"/>
    </row>
    <row r="36" spans="1:20" ht="16.5" customHeight="1" x14ac:dyDescent="0.15">
      <c r="A36" s="41">
        <v>11</v>
      </c>
      <c r="B36" s="41">
        <v>4270</v>
      </c>
      <c r="C36" s="74" t="s">
        <v>7589</v>
      </c>
      <c r="D36" s="709"/>
      <c r="E36" s="704"/>
      <c r="F36" s="739"/>
      <c r="G36" s="736"/>
      <c r="H36" s="704"/>
      <c r="I36" s="718"/>
      <c r="J36" s="44" t="s">
        <v>397</v>
      </c>
      <c r="K36" s="45" t="s">
        <v>398</v>
      </c>
      <c r="L36" s="46">
        <v>1</v>
      </c>
      <c r="M36" s="35"/>
      <c r="O36" s="57"/>
      <c r="P36" s="43"/>
      <c r="Q36" s="37"/>
      <c r="R36" s="37"/>
      <c r="S36" s="208">
        <f>ROUND((ROUND((_11_A重度研修２．０*_11・２人),0)*(1+_11・A早朝)),0)+ROUND((_11_B重度研修２．０＿０．５*_11・２人),0)</f>
        <v>550</v>
      </c>
      <c r="T36" s="48"/>
    </row>
    <row r="37" spans="1:20" ht="16.5" customHeight="1" x14ac:dyDescent="0.15">
      <c r="A37" s="41">
        <v>11</v>
      </c>
      <c r="B37" s="41" t="s">
        <v>7590</v>
      </c>
      <c r="C37" s="74" t="s">
        <v>7591</v>
      </c>
      <c r="D37" s="709"/>
      <c r="E37" s="704"/>
      <c r="F37" s="739"/>
      <c r="G37" s="736"/>
      <c r="H37" s="704"/>
      <c r="I37" s="718"/>
      <c r="J37" s="44"/>
      <c r="K37" s="45"/>
      <c r="L37" s="46"/>
      <c r="M37" s="35"/>
      <c r="O37" s="57"/>
      <c r="P37" s="734" t="s">
        <v>404</v>
      </c>
      <c r="Q37" s="49" t="s">
        <v>398</v>
      </c>
      <c r="R37" s="50">
        <f>_11・初任</f>
        <v>0.7</v>
      </c>
      <c r="S37" s="208">
        <f>ROUND((ROUND((_11_A重度研修２．０*(1+_11・A早朝)),0)*_11・初任),0)+ROUND((_11_B重度研修２．０＿０．５*_11・初任),0)</f>
        <v>385</v>
      </c>
      <c r="T37" s="48"/>
    </row>
    <row r="38" spans="1:20" ht="16.5" customHeight="1" x14ac:dyDescent="0.15">
      <c r="A38" s="41">
        <v>11</v>
      </c>
      <c r="B38" s="41" t="s">
        <v>7592</v>
      </c>
      <c r="C38" s="74" t="s">
        <v>7593</v>
      </c>
      <c r="D38" s="72"/>
      <c r="E38" s="170">
        <f>_11_A重度研修２．０</f>
        <v>367</v>
      </c>
      <c r="F38" s="171" t="s">
        <v>392</v>
      </c>
      <c r="G38" s="12"/>
      <c r="H38" s="170">
        <f>_11_B重度研修２．０＿０．５</f>
        <v>91</v>
      </c>
      <c r="I38" s="12" t="s">
        <v>392</v>
      </c>
      <c r="J38" s="44" t="s">
        <v>397</v>
      </c>
      <c r="K38" s="45" t="s">
        <v>398</v>
      </c>
      <c r="L38" s="46">
        <v>1</v>
      </c>
      <c r="M38" s="35"/>
      <c r="O38" s="57"/>
      <c r="P38" s="706"/>
      <c r="Q38" s="37"/>
      <c r="R38" s="38"/>
      <c r="S38" s="208">
        <f>ROUND((ROUND((ROUND((_11_A重度研修２．０*_11・２人),0)*(1+_11・A早朝)),0)*_11・初任),0)+ROUND((ROUND((_11_B重度研修２．０＿０．５*_11・２人),0)*_11・初任),0)</f>
        <v>385</v>
      </c>
      <c r="T38" s="48"/>
    </row>
    <row r="39" spans="1:20" ht="16.5" customHeight="1" x14ac:dyDescent="0.15">
      <c r="A39" s="41">
        <v>11</v>
      </c>
      <c r="B39" s="41">
        <v>4103</v>
      </c>
      <c r="C39" s="74" t="s">
        <v>7594</v>
      </c>
      <c r="D39" s="72"/>
      <c r="F39" s="169"/>
      <c r="G39" s="735" t="s">
        <v>3650</v>
      </c>
      <c r="H39" s="708"/>
      <c r="I39" s="717"/>
      <c r="J39" s="44"/>
      <c r="K39" s="45"/>
      <c r="L39" s="46"/>
      <c r="M39" s="35"/>
      <c r="O39" s="57"/>
      <c r="P39" s="53"/>
      <c r="Q39" s="49"/>
      <c r="R39" s="50"/>
      <c r="S39" s="208">
        <f>ROUND((_11_A重度研修２．０*(1+_11・A早朝)),0)+_11_B重度研修２．０＿１．０</f>
        <v>642</v>
      </c>
      <c r="T39" s="48"/>
    </row>
    <row r="40" spans="1:20" ht="16.5" customHeight="1" x14ac:dyDescent="0.15">
      <c r="A40" s="41">
        <v>11</v>
      </c>
      <c r="B40" s="41">
        <v>4104</v>
      </c>
      <c r="C40" s="74" t="s">
        <v>7595</v>
      </c>
      <c r="D40" s="72"/>
      <c r="F40" s="169"/>
      <c r="G40" s="736"/>
      <c r="H40" s="704"/>
      <c r="I40" s="718"/>
      <c r="J40" s="44" t="s">
        <v>397</v>
      </c>
      <c r="K40" s="45" t="s">
        <v>398</v>
      </c>
      <c r="L40" s="46">
        <v>1</v>
      </c>
      <c r="M40" s="35"/>
      <c r="O40" s="57"/>
      <c r="P40" s="43"/>
      <c r="Q40" s="37"/>
      <c r="R40" s="38"/>
      <c r="S40" s="208">
        <f>ROUND((ROUND((_11_A重度研修２．０*_11・２人),0)*(1+_11・A早朝)),0)+ROUND((_11_B重度研修２．０＿１．０*_11・２人),0)</f>
        <v>642</v>
      </c>
      <c r="T40" s="48"/>
    </row>
    <row r="41" spans="1:20" ht="16.5" customHeight="1" x14ac:dyDescent="0.15">
      <c r="A41" s="41">
        <v>11</v>
      </c>
      <c r="B41" s="41" t="s">
        <v>7596</v>
      </c>
      <c r="C41" s="74" t="s">
        <v>7597</v>
      </c>
      <c r="D41" s="72"/>
      <c r="F41" s="169"/>
      <c r="G41" s="736"/>
      <c r="H41" s="704"/>
      <c r="I41" s="718"/>
      <c r="J41" s="44"/>
      <c r="K41" s="45"/>
      <c r="L41" s="46"/>
      <c r="M41" s="35"/>
      <c r="O41" s="57"/>
      <c r="P41" s="734" t="s">
        <v>404</v>
      </c>
      <c r="Q41" s="49" t="s">
        <v>398</v>
      </c>
      <c r="R41" s="50">
        <f>_11・初任</f>
        <v>0.7</v>
      </c>
      <c r="S41" s="208">
        <f>ROUND((ROUND((_11_A重度研修２．０*(1+_11・A早朝)),0)*_11・初任),0)+ROUND((_11_B重度研修２．０＿１．０*_11・初任),0)</f>
        <v>449</v>
      </c>
      <c r="T41" s="48"/>
    </row>
    <row r="42" spans="1:20" ht="16.5" customHeight="1" x14ac:dyDescent="0.15">
      <c r="A42" s="41">
        <v>11</v>
      </c>
      <c r="B42" s="41" t="s">
        <v>7598</v>
      </c>
      <c r="C42" s="74" t="s">
        <v>7599</v>
      </c>
      <c r="D42" s="72"/>
      <c r="F42" s="169"/>
      <c r="G42" s="210"/>
      <c r="H42" s="176">
        <f>_11_B重度研修２．０＿１．０</f>
        <v>183</v>
      </c>
      <c r="I42" s="79" t="s">
        <v>392</v>
      </c>
      <c r="J42" s="44" t="s">
        <v>397</v>
      </c>
      <c r="K42" s="45" t="s">
        <v>398</v>
      </c>
      <c r="L42" s="46">
        <v>1</v>
      </c>
      <c r="M42" s="35"/>
      <c r="O42" s="57"/>
      <c r="P42" s="706"/>
      <c r="Q42" s="37"/>
      <c r="R42" s="38"/>
      <c r="S42" s="208">
        <f>ROUND((ROUND((ROUND((_11_A重度研修２．０*_11・２人),0)*(1+_11・A早朝)),0)*_11・初任),0)+ROUND((ROUND((_11_B重度研修２．０＿１．０*_11・２人),0)*_11・初任),0)</f>
        <v>449</v>
      </c>
      <c r="T42" s="48"/>
    </row>
    <row r="43" spans="1:20" ht="16.5" customHeight="1" x14ac:dyDescent="0.15">
      <c r="A43" s="41">
        <v>11</v>
      </c>
      <c r="B43" s="41">
        <v>4271</v>
      </c>
      <c r="C43" s="74" t="s">
        <v>7600</v>
      </c>
      <c r="D43" s="707" t="s">
        <v>3702</v>
      </c>
      <c r="E43" s="708"/>
      <c r="F43" s="740"/>
      <c r="G43" s="736" t="s">
        <v>3643</v>
      </c>
      <c r="H43" s="704"/>
      <c r="I43" s="718"/>
      <c r="J43" s="44"/>
      <c r="K43" s="45"/>
      <c r="L43" s="46"/>
      <c r="M43" s="35"/>
      <c r="O43" s="57"/>
      <c r="P43" s="53"/>
      <c r="Q43" s="49"/>
      <c r="R43" s="49"/>
      <c r="S43" s="208">
        <f>ROUND((_11_A重度研修２．５*(1+_11・A早朝)),0)+_11_B重度研修２．５＿０．５</f>
        <v>665</v>
      </c>
      <c r="T43" s="48"/>
    </row>
    <row r="44" spans="1:20" ht="16.5" customHeight="1" x14ac:dyDescent="0.15">
      <c r="A44" s="41">
        <v>11</v>
      </c>
      <c r="B44" s="41">
        <v>4272</v>
      </c>
      <c r="C44" s="74" t="s">
        <v>7601</v>
      </c>
      <c r="D44" s="709"/>
      <c r="E44" s="704"/>
      <c r="F44" s="739"/>
      <c r="G44" s="736"/>
      <c r="H44" s="704"/>
      <c r="I44" s="718"/>
      <c r="J44" s="44" t="s">
        <v>397</v>
      </c>
      <c r="K44" s="45" t="s">
        <v>398</v>
      </c>
      <c r="L44" s="46">
        <v>1</v>
      </c>
      <c r="M44" s="35"/>
      <c r="O44" s="57"/>
      <c r="P44" s="43"/>
      <c r="Q44" s="37"/>
      <c r="R44" s="37"/>
      <c r="S44" s="208">
        <f>ROUND((ROUND((_11_A重度研修２．５*_11・２人),0)*(1+_11・A早朝)),0)+ROUND((_11_B重度研修２．５＿０．５*_11・２人),0)</f>
        <v>665</v>
      </c>
      <c r="T44" s="48"/>
    </row>
    <row r="45" spans="1:20" ht="16.5" customHeight="1" x14ac:dyDescent="0.15">
      <c r="A45" s="41">
        <v>11</v>
      </c>
      <c r="B45" s="41" t="s">
        <v>7602</v>
      </c>
      <c r="C45" s="74" t="s">
        <v>7603</v>
      </c>
      <c r="D45" s="709"/>
      <c r="E45" s="704"/>
      <c r="F45" s="739"/>
      <c r="G45" s="736"/>
      <c r="H45" s="704"/>
      <c r="I45" s="718"/>
      <c r="J45" s="44"/>
      <c r="K45" s="45"/>
      <c r="L45" s="46"/>
      <c r="M45" s="35"/>
      <c r="O45" s="57"/>
      <c r="P45" s="734" t="s">
        <v>404</v>
      </c>
      <c r="Q45" s="49" t="s">
        <v>398</v>
      </c>
      <c r="R45" s="50">
        <f>_11・初任</f>
        <v>0.7</v>
      </c>
      <c r="S45" s="208">
        <f>ROUND((ROUND((_11_A重度研修２．５*(1+_11・A早朝)),0)*_11・初任),0)+ROUND((_11_B重度研修２．５＿０．５*_11・初任),0)</f>
        <v>465</v>
      </c>
      <c r="T45" s="48"/>
    </row>
    <row r="46" spans="1:20" ht="16.5" customHeight="1" x14ac:dyDescent="0.15">
      <c r="A46" s="41">
        <v>11</v>
      </c>
      <c r="B46" s="41" t="s">
        <v>7604</v>
      </c>
      <c r="C46" s="74" t="s">
        <v>7605</v>
      </c>
      <c r="D46" s="122"/>
      <c r="E46" s="176">
        <f>_11_A重度研修２．５</f>
        <v>458</v>
      </c>
      <c r="F46" s="175" t="s">
        <v>392</v>
      </c>
      <c r="G46" s="37"/>
      <c r="H46" s="176">
        <f>_11_B重度研修２．５＿０．５</f>
        <v>92</v>
      </c>
      <c r="I46" s="37" t="s">
        <v>392</v>
      </c>
      <c r="J46" s="44" t="s">
        <v>397</v>
      </c>
      <c r="K46" s="45" t="s">
        <v>398</v>
      </c>
      <c r="L46" s="46">
        <v>1</v>
      </c>
      <c r="M46" s="43"/>
      <c r="N46" s="38"/>
      <c r="O46" s="79"/>
      <c r="P46" s="706"/>
      <c r="Q46" s="37"/>
      <c r="R46" s="38"/>
      <c r="S46" s="208">
        <f>ROUND((ROUND((ROUND((_11_A重度研修２．５*_11・２人),0)*(1+_11・A早朝)),0)*_11・初任),0)+ROUND((ROUND((_11_B重度研修２．５＿０．５*_11・２人),0)*_11・初任),0)</f>
        <v>465</v>
      </c>
      <c r="T46" s="63"/>
    </row>
    <row r="47" spans="1:20" ht="16.5" customHeight="1" x14ac:dyDescent="0.15">
      <c r="G47" s="99"/>
    </row>
  </sheetData>
  <mergeCells count="26">
    <mergeCell ref="G39:I41"/>
    <mergeCell ref="P41:P42"/>
    <mergeCell ref="D43:F45"/>
    <mergeCell ref="G43:I45"/>
    <mergeCell ref="P45:P46"/>
    <mergeCell ref="G27:I29"/>
    <mergeCell ref="P29:P30"/>
    <mergeCell ref="G31:I33"/>
    <mergeCell ref="P33:P34"/>
    <mergeCell ref="D35:F37"/>
    <mergeCell ref="G35:I37"/>
    <mergeCell ref="P37:P38"/>
    <mergeCell ref="G15:I17"/>
    <mergeCell ref="P17:P18"/>
    <mergeCell ref="G19:I21"/>
    <mergeCell ref="P21:P22"/>
    <mergeCell ref="D23:F25"/>
    <mergeCell ref="G23:I25"/>
    <mergeCell ref="P25:P26"/>
    <mergeCell ref="G11:I13"/>
    <mergeCell ref="P13:P14"/>
    <mergeCell ref="D6:F6"/>
    <mergeCell ref="D7:F9"/>
    <mergeCell ref="G7:I9"/>
    <mergeCell ref="O8:O9"/>
    <mergeCell ref="P9:P10"/>
  </mergeCells>
  <phoneticPr fontId="1"/>
  <printOptions horizontalCentered="1"/>
  <pageMargins left="0.70866141732283472" right="0.70866141732283472" top="0.74803149606299213" bottom="0.74803149606299213" header="0.31496062992125984" footer="0.31496062992125984"/>
  <pageSetup paperSize="9" scale="53" fitToHeight="0" orientation="portrait" r:id="rId1"/>
  <headerFooter>
    <oddHeader>&amp;R&amp;"ＭＳ Ｐゴシック"&amp;9居宅介護</oddHeader>
    <oddFooter>&amp;C&amp;"ＭＳ Ｐゴシック"&amp;14&amp;P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pageSetUpPr fitToPage="1"/>
  </sheetPr>
  <dimension ref="A1:T47"/>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3.125" style="10" bestFit="1" customWidth="1"/>
    <col min="4" max="4" width="2.5" style="10" customWidth="1"/>
    <col min="5" max="5" width="4.875" style="10" customWidth="1"/>
    <col min="6" max="6" width="4.5" style="117" bestFit="1" customWidth="1"/>
    <col min="7" max="7" width="2.5" style="117" customWidth="1"/>
    <col min="8" max="8" width="4.875" style="10" customWidth="1"/>
    <col min="9" max="9" width="4.5" style="117" bestFit="1" customWidth="1"/>
    <col min="10" max="10" width="24.875" style="14" bestFit="1" customWidth="1"/>
    <col min="11" max="11" width="3.5" style="12" bestFit="1" customWidth="1"/>
    <col min="12" max="12" width="5.5" style="13" bestFit="1" customWidth="1"/>
    <col min="13" max="13" width="3.5" style="12" bestFit="1" customWidth="1"/>
    <col min="14" max="14" width="4.5" style="13" bestFit="1" customWidth="1"/>
    <col min="15" max="15" width="5.5" style="12" bestFit="1" customWidth="1"/>
    <col min="16" max="16" width="17.875" style="12" customWidth="1"/>
    <col min="17" max="17" width="3.5" style="12" bestFit="1" customWidth="1"/>
    <col min="18" max="18" width="4.5" style="13" bestFit="1" customWidth="1"/>
    <col min="19" max="19" width="7.125" style="206" customWidth="1"/>
    <col min="20" max="20" width="8.5" style="16" customWidth="1"/>
    <col min="21" max="16384" width="8.875" style="12"/>
  </cols>
  <sheetData>
    <row r="1" spans="1:20" ht="17.100000000000001" customHeight="1" x14ac:dyDescent="0.15"/>
    <row r="2" spans="1:20" ht="17.100000000000001" customHeight="1" x14ac:dyDescent="0.15"/>
    <row r="3" spans="1:20" ht="17.100000000000001" customHeight="1" x14ac:dyDescent="0.15">
      <c r="G3" s="99"/>
    </row>
    <row r="4" spans="1:20" ht="17.100000000000001" customHeight="1" x14ac:dyDescent="0.15">
      <c r="B4" s="17" t="s">
        <v>7606</v>
      </c>
      <c r="E4" s="71"/>
      <c r="G4" s="99"/>
    </row>
    <row r="5" spans="1:20" ht="16.5" customHeight="1" x14ac:dyDescent="0.15">
      <c r="A5" s="19" t="s">
        <v>384</v>
      </c>
      <c r="B5" s="20"/>
      <c r="C5" s="21" t="s">
        <v>385</v>
      </c>
      <c r="D5" s="166"/>
      <c r="E5" s="23" t="s">
        <v>386</v>
      </c>
      <c r="F5" s="118"/>
      <c r="G5" s="118"/>
      <c r="H5" s="23"/>
      <c r="I5" s="118"/>
      <c r="J5" s="23"/>
      <c r="K5" s="23"/>
      <c r="L5" s="24"/>
      <c r="M5" s="23"/>
      <c r="N5" s="24"/>
      <c r="O5" s="23"/>
      <c r="P5" s="23"/>
      <c r="Q5" s="23"/>
      <c r="R5" s="24"/>
      <c r="S5" s="21" t="s">
        <v>387</v>
      </c>
      <c r="T5" s="21" t="s">
        <v>388</v>
      </c>
    </row>
    <row r="6" spans="1:20" ht="16.5" customHeight="1" x14ac:dyDescent="0.15">
      <c r="A6" s="26" t="s">
        <v>389</v>
      </c>
      <c r="B6" s="26" t="s">
        <v>390</v>
      </c>
      <c r="C6" s="27"/>
      <c r="D6" s="29"/>
      <c r="E6" s="29"/>
      <c r="F6" s="120"/>
      <c r="G6" s="738" t="s">
        <v>1032</v>
      </c>
      <c r="H6" s="731"/>
      <c r="I6" s="727"/>
      <c r="J6" s="29"/>
      <c r="K6" s="29"/>
      <c r="L6" s="30"/>
      <c r="M6" s="29"/>
      <c r="N6" s="30"/>
      <c r="O6" s="29"/>
      <c r="P6" s="29"/>
      <c r="Q6" s="29"/>
      <c r="R6" s="30"/>
      <c r="S6" s="32" t="s">
        <v>391</v>
      </c>
      <c r="T6" s="32" t="s">
        <v>392</v>
      </c>
    </row>
    <row r="7" spans="1:20" ht="16.5" customHeight="1" x14ac:dyDescent="0.15">
      <c r="A7" s="33">
        <v>11</v>
      </c>
      <c r="B7" s="33">
        <v>4273</v>
      </c>
      <c r="C7" s="34" t="s">
        <v>7607</v>
      </c>
      <c r="D7" s="709" t="s">
        <v>3710</v>
      </c>
      <c r="E7" s="704"/>
      <c r="F7" s="739"/>
      <c r="G7" s="736" t="s">
        <v>3711</v>
      </c>
      <c r="H7" s="704"/>
      <c r="I7" s="718"/>
      <c r="J7" s="36"/>
      <c r="K7" s="37"/>
      <c r="L7" s="38"/>
      <c r="M7" s="35" t="s">
        <v>1416</v>
      </c>
      <c r="O7" s="57"/>
      <c r="P7" s="35"/>
      <c r="S7" s="207">
        <f>_11_A重度研修１．０+ROUND((_11_B重度研修１．０＿０．５*(1+_11・B夜間)),0)</f>
        <v>298</v>
      </c>
      <c r="T7" s="40" t="s">
        <v>395</v>
      </c>
    </row>
    <row r="8" spans="1:20" ht="16.5" customHeight="1" x14ac:dyDescent="0.15">
      <c r="A8" s="41">
        <v>11</v>
      </c>
      <c r="B8" s="41">
        <v>4274</v>
      </c>
      <c r="C8" s="74" t="s">
        <v>7608</v>
      </c>
      <c r="D8" s="709"/>
      <c r="E8" s="704"/>
      <c r="F8" s="739"/>
      <c r="G8" s="736"/>
      <c r="H8" s="704"/>
      <c r="I8" s="718"/>
      <c r="J8" s="44" t="s">
        <v>397</v>
      </c>
      <c r="K8" s="45" t="s">
        <v>398</v>
      </c>
      <c r="L8" s="46">
        <v>1</v>
      </c>
      <c r="M8" s="35" t="s">
        <v>398</v>
      </c>
      <c r="N8" s="13">
        <v>0.25</v>
      </c>
      <c r="O8" s="728" t="s">
        <v>676</v>
      </c>
      <c r="P8" s="43"/>
      <c r="Q8" s="37"/>
      <c r="R8" s="38"/>
      <c r="S8" s="208">
        <f>ROUND((_11_A重度研修１．０*_11・２人),0)+ROUND((ROUND((_11_B重度研修１．０＿０．５*_11・２人),0)*(1+_11・B夜間)),0)</f>
        <v>298</v>
      </c>
      <c r="T8" s="48"/>
    </row>
    <row r="9" spans="1:20" ht="16.5" customHeight="1" x14ac:dyDescent="0.15">
      <c r="A9" s="41">
        <v>11</v>
      </c>
      <c r="B9" s="41" t="s">
        <v>7609</v>
      </c>
      <c r="C9" s="74" t="s">
        <v>7610</v>
      </c>
      <c r="D9" s="709"/>
      <c r="E9" s="704"/>
      <c r="F9" s="739"/>
      <c r="G9" s="736"/>
      <c r="H9" s="704"/>
      <c r="I9" s="718"/>
      <c r="J9" s="44"/>
      <c r="K9" s="45"/>
      <c r="L9" s="46"/>
      <c r="M9" s="35"/>
      <c r="O9" s="728"/>
      <c r="P9" s="734" t="s">
        <v>404</v>
      </c>
      <c r="Q9" s="49" t="s">
        <v>398</v>
      </c>
      <c r="R9" s="50">
        <f>_11・初任</f>
        <v>0.7</v>
      </c>
      <c r="S9" s="208">
        <f>ROUND((_11_A重度研修１．０*_11・初任),0)+ROUND((ROUND((_11_B重度研修１．０＿０．５*(1+_11・B夜間)),0)*_11・初任),0)</f>
        <v>209</v>
      </c>
      <c r="T9" s="48"/>
    </row>
    <row r="10" spans="1:20" ht="16.5" customHeight="1" x14ac:dyDescent="0.15">
      <c r="A10" s="41">
        <v>11</v>
      </c>
      <c r="B10" s="41" t="s">
        <v>7611</v>
      </c>
      <c r="C10" s="74" t="s">
        <v>7612</v>
      </c>
      <c r="D10" s="72"/>
      <c r="E10" s="170">
        <f>_11_A重度研修１．０</f>
        <v>185</v>
      </c>
      <c r="F10" s="171" t="s">
        <v>392</v>
      </c>
      <c r="G10" s="12"/>
      <c r="H10" s="170">
        <f>_11_B重度研修１．０＿０．５</f>
        <v>90</v>
      </c>
      <c r="I10" s="12" t="s">
        <v>392</v>
      </c>
      <c r="J10" s="44" t="s">
        <v>397</v>
      </c>
      <c r="K10" s="45" t="s">
        <v>398</v>
      </c>
      <c r="L10" s="46">
        <v>1</v>
      </c>
      <c r="M10" s="35"/>
      <c r="O10" s="57"/>
      <c r="P10" s="706"/>
      <c r="Q10" s="37"/>
      <c r="R10" s="38"/>
      <c r="S10" s="208">
        <f>ROUND((ROUND((_11_A重度研修１．０*_11・２人),0)*_11・初任),0)+ROUND((ROUND((ROUND((_11_B重度研修１．０＿０．５*_11・２人),0)*(1+_11・B夜間)),0)*_11・初任),0)</f>
        <v>209</v>
      </c>
      <c r="T10" s="48"/>
    </row>
    <row r="11" spans="1:20" ht="16.5" customHeight="1" x14ac:dyDescent="0.15">
      <c r="A11" s="41">
        <v>11</v>
      </c>
      <c r="B11" s="41">
        <v>4105</v>
      </c>
      <c r="C11" s="74" t="s">
        <v>7613</v>
      </c>
      <c r="D11" s="72"/>
      <c r="F11" s="169"/>
      <c r="G11" s="735" t="s">
        <v>3718</v>
      </c>
      <c r="H11" s="708"/>
      <c r="I11" s="717"/>
      <c r="J11" s="44"/>
      <c r="K11" s="45"/>
      <c r="L11" s="46"/>
      <c r="M11" s="35"/>
      <c r="O11" s="57"/>
      <c r="P11" s="53"/>
      <c r="Q11" s="49"/>
      <c r="R11" s="49"/>
      <c r="S11" s="208">
        <f>_11_A重度研修１．０+ROUND((_11_B重度研修１．０＿１．０*(1+_11・B夜間)),0)</f>
        <v>413</v>
      </c>
      <c r="T11" s="48"/>
    </row>
    <row r="12" spans="1:20" ht="16.5" customHeight="1" x14ac:dyDescent="0.15">
      <c r="A12" s="41">
        <v>11</v>
      </c>
      <c r="B12" s="41">
        <v>4106</v>
      </c>
      <c r="C12" s="74" t="s">
        <v>7614</v>
      </c>
      <c r="D12" s="72"/>
      <c r="F12" s="169"/>
      <c r="G12" s="736"/>
      <c r="H12" s="704"/>
      <c r="I12" s="718"/>
      <c r="J12" s="44" t="s">
        <v>397</v>
      </c>
      <c r="K12" s="45" t="s">
        <v>398</v>
      </c>
      <c r="L12" s="46">
        <v>1</v>
      </c>
      <c r="M12" s="35"/>
      <c r="O12" s="57"/>
      <c r="P12" s="43"/>
      <c r="Q12" s="37"/>
      <c r="R12" s="37"/>
      <c r="S12" s="208">
        <f>ROUND((_11_A重度研修１．０*_11・２人),0)+ROUND((ROUND((_11_B重度研修１．０＿１．０*_11・２人),0)*(1+_11・B夜間)),0)</f>
        <v>413</v>
      </c>
      <c r="T12" s="48"/>
    </row>
    <row r="13" spans="1:20" ht="16.5" customHeight="1" x14ac:dyDescent="0.15">
      <c r="A13" s="41">
        <v>11</v>
      </c>
      <c r="B13" s="41" t="s">
        <v>7615</v>
      </c>
      <c r="C13" s="74" t="s">
        <v>7616</v>
      </c>
      <c r="D13" s="72"/>
      <c r="F13" s="169"/>
      <c r="G13" s="736"/>
      <c r="H13" s="704"/>
      <c r="I13" s="718"/>
      <c r="J13" s="44"/>
      <c r="K13" s="45"/>
      <c r="L13" s="46"/>
      <c r="M13" s="35"/>
      <c r="O13" s="57"/>
      <c r="P13" s="734" t="s">
        <v>404</v>
      </c>
      <c r="Q13" s="49" t="s">
        <v>398</v>
      </c>
      <c r="R13" s="50">
        <f>_11・初任</f>
        <v>0.7</v>
      </c>
      <c r="S13" s="208">
        <f>ROUND((_11_A重度研修１．０*_11・初任),0)+ROUND((ROUND((_11_B重度研修１．０＿１．０*(1+_11・B夜間)),0)*_11・初任),0)</f>
        <v>290</v>
      </c>
      <c r="T13" s="48"/>
    </row>
    <row r="14" spans="1:20" ht="16.5" customHeight="1" x14ac:dyDescent="0.15">
      <c r="A14" s="41">
        <v>11</v>
      </c>
      <c r="B14" s="41" t="s">
        <v>7617</v>
      </c>
      <c r="C14" s="74" t="s">
        <v>7618</v>
      </c>
      <c r="D14" s="72"/>
      <c r="F14" s="169"/>
      <c r="G14" s="99"/>
      <c r="H14" s="170">
        <f>_11_B重度研修１．０＿１．０</f>
        <v>182</v>
      </c>
      <c r="I14" s="12" t="s">
        <v>392</v>
      </c>
      <c r="J14" s="44" t="s">
        <v>397</v>
      </c>
      <c r="K14" s="45" t="s">
        <v>398</v>
      </c>
      <c r="L14" s="46">
        <v>1</v>
      </c>
      <c r="M14" s="35"/>
      <c r="O14" s="57"/>
      <c r="P14" s="706"/>
      <c r="Q14" s="37"/>
      <c r="R14" s="38"/>
      <c r="S14" s="208">
        <f>ROUND((ROUND((_11_A重度研修１．０*_11・２人),0)*_11・初任),0)+ROUND((ROUND((ROUND((_11_B重度研修１．０＿１．０*_11・２人),0)*(1+_11・B夜間)),0)*_11・初任),0)</f>
        <v>290</v>
      </c>
      <c r="T14" s="48"/>
    </row>
    <row r="15" spans="1:20" ht="16.5" customHeight="1" x14ac:dyDescent="0.15">
      <c r="A15" s="41">
        <v>11</v>
      </c>
      <c r="B15" s="41">
        <v>4275</v>
      </c>
      <c r="C15" s="74" t="s">
        <v>7619</v>
      </c>
      <c r="D15" s="72"/>
      <c r="F15" s="169"/>
      <c r="G15" s="735" t="s">
        <v>3725</v>
      </c>
      <c r="H15" s="708"/>
      <c r="I15" s="717"/>
      <c r="J15" s="44"/>
      <c r="K15" s="45"/>
      <c r="L15" s="46"/>
      <c r="M15" s="35"/>
      <c r="O15" s="57"/>
      <c r="P15" s="53"/>
      <c r="Q15" s="49"/>
      <c r="R15" s="50"/>
      <c r="S15" s="208">
        <f>_11_A重度研修１．０+ROUND((_11_B重度研修１．０＿１．５*(1+_11・B夜間)),0)</f>
        <v>526</v>
      </c>
      <c r="T15" s="48"/>
    </row>
    <row r="16" spans="1:20" ht="16.5" customHeight="1" x14ac:dyDescent="0.15">
      <c r="A16" s="41">
        <v>11</v>
      </c>
      <c r="B16" s="41">
        <v>4276</v>
      </c>
      <c r="C16" s="74" t="s">
        <v>7620</v>
      </c>
      <c r="D16" s="72"/>
      <c r="F16" s="169"/>
      <c r="G16" s="736"/>
      <c r="H16" s="704"/>
      <c r="I16" s="718"/>
      <c r="J16" s="44" t="s">
        <v>397</v>
      </c>
      <c r="K16" s="45" t="s">
        <v>398</v>
      </c>
      <c r="L16" s="46">
        <v>1</v>
      </c>
      <c r="M16" s="35"/>
      <c r="O16" s="57"/>
      <c r="P16" s="43"/>
      <c r="Q16" s="37"/>
      <c r="R16" s="38"/>
      <c r="S16" s="208">
        <f>ROUND((_11_A重度研修１．０*_11・２人),0)+ROUND((ROUND((_11_B重度研修１．０＿１．５*_11・２人),0)*(1+_11・B夜間)),0)</f>
        <v>526</v>
      </c>
      <c r="T16" s="48"/>
    </row>
    <row r="17" spans="1:20" ht="16.5" customHeight="1" x14ac:dyDescent="0.15">
      <c r="A17" s="41">
        <v>11</v>
      </c>
      <c r="B17" s="41" t="s">
        <v>7621</v>
      </c>
      <c r="C17" s="74" t="s">
        <v>7622</v>
      </c>
      <c r="D17" s="72"/>
      <c r="F17" s="169"/>
      <c r="G17" s="736"/>
      <c r="H17" s="704"/>
      <c r="I17" s="718"/>
      <c r="J17" s="44"/>
      <c r="K17" s="45"/>
      <c r="L17" s="46"/>
      <c r="M17" s="35"/>
      <c r="O17" s="57"/>
      <c r="P17" s="734" t="s">
        <v>404</v>
      </c>
      <c r="Q17" s="49" t="s">
        <v>398</v>
      </c>
      <c r="R17" s="50">
        <f>_11・初任</f>
        <v>0.7</v>
      </c>
      <c r="S17" s="208">
        <f>ROUND((_11_A重度研修１．０*_11・初任),0)+ROUND((ROUND((_11_B重度研修１．０＿１．５*(1+_11・B夜間)),0)*_11・初任),0)</f>
        <v>369</v>
      </c>
      <c r="T17" s="48"/>
    </row>
    <row r="18" spans="1:20" ht="16.5" customHeight="1" x14ac:dyDescent="0.15">
      <c r="A18" s="41">
        <v>11</v>
      </c>
      <c r="B18" s="41" t="s">
        <v>7623</v>
      </c>
      <c r="C18" s="74" t="s">
        <v>7624</v>
      </c>
      <c r="D18" s="72"/>
      <c r="F18" s="169"/>
      <c r="G18" s="99"/>
      <c r="H18" s="170">
        <f>_11_B重度研修１．０＿１．５</f>
        <v>273</v>
      </c>
      <c r="I18" s="12" t="s">
        <v>392</v>
      </c>
      <c r="J18" s="44" t="s">
        <v>397</v>
      </c>
      <c r="K18" s="45" t="s">
        <v>398</v>
      </c>
      <c r="L18" s="46">
        <v>1</v>
      </c>
      <c r="M18" s="35"/>
      <c r="O18" s="57"/>
      <c r="P18" s="706"/>
      <c r="Q18" s="37"/>
      <c r="R18" s="38"/>
      <c r="S18" s="208">
        <f>ROUND((ROUND((_11_A重度研修１．０*_11・２人),0)*_11・初任),0)+ROUND((ROUND((ROUND((_11_B重度研修１．０＿１．５*_11・２人),0)*(1+_11・B夜間)),0)*_11・初任),0)</f>
        <v>369</v>
      </c>
      <c r="T18" s="48"/>
    </row>
    <row r="19" spans="1:20" ht="16.5" customHeight="1" x14ac:dyDescent="0.15">
      <c r="A19" s="41">
        <v>11</v>
      </c>
      <c r="B19" s="41">
        <v>4107</v>
      </c>
      <c r="C19" s="74" t="s">
        <v>7625</v>
      </c>
      <c r="D19" s="72"/>
      <c r="F19" s="169"/>
      <c r="G19" s="735" t="s">
        <v>3732</v>
      </c>
      <c r="H19" s="708"/>
      <c r="I19" s="717"/>
      <c r="J19" s="44"/>
      <c r="K19" s="45"/>
      <c r="L19" s="46"/>
      <c r="M19" s="35"/>
      <c r="O19" s="57"/>
      <c r="P19" s="53"/>
      <c r="Q19" s="49"/>
      <c r="R19" s="49"/>
      <c r="S19" s="208">
        <f>_11_A重度研修１．０+ROUND((_11_B重度研修１．０＿２．０*(1+_11・B夜間)),0)</f>
        <v>641</v>
      </c>
      <c r="T19" s="48"/>
    </row>
    <row r="20" spans="1:20" ht="16.5" customHeight="1" x14ac:dyDescent="0.15">
      <c r="A20" s="41">
        <v>11</v>
      </c>
      <c r="B20" s="41">
        <v>4108</v>
      </c>
      <c r="C20" s="74" t="s">
        <v>7626</v>
      </c>
      <c r="D20" s="72"/>
      <c r="F20" s="169"/>
      <c r="G20" s="736"/>
      <c r="H20" s="704"/>
      <c r="I20" s="718"/>
      <c r="J20" s="44" t="s">
        <v>397</v>
      </c>
      <c r="K20" s="45" t="s">
        <v>398</v>
      </c>
      <c r="L20" s="46">
        <v>1</v>
      </c>
      <c r="M20" s="35"/>
      <c r="O20" s="57"/>
      <c r="P20" s="43"/>
      <c r="Q20" s="37"/>
      <c r="R20" s="37"/>
      <c r="S20" s="208">
        <f>ROUND((_11_A重度研修１．０*_11・２人),0)+ROUND((ROUND((_11_B重度研修１．０＿２．０*_11・２人),0)*(1+_11・B夜間)),0)</f>
        <v>641</v>
      </c>
      <c r="T20" s="48"/>
    </row>
    <row r="21" spans="1:20" ht="16.5" customHeight="1" x14ac:dyDescent="0.15">
      <c r="A21" s="41">
        <v>11</v>
      </c>
      <c r="B21" s="41" t="s">
        <v>7627</v>
      </c>
      <c r="C21" s="74" t="s">
        <v>7628</v>
      </c>
      <c r="D21" s="72"/>
      <c r="F21" s="169"/>
      <c r="G21" s="736"/>
      <c r="H21" s="704"/>
      <c r="I21" s="718"/>
      <c r="J21" s="44"/>
      <c r="K21" s="45"/>
      <c r="L21" s="46"/>
      <c r="M21" s="35"/>
      <c r="O21" s="57"/>
      <c r="P21" s="734" t="s">
        <v>404</v>
      </c>
      <c r="Q21" s="49" t="s">
        <v>398</v>
      </c>
      <c r="R21" s="50">
        <f>_11・初任</f>
        <v>0.7</v>
      </c>
      <c r="S21" s="208">
        <f>ROUND((_11_A重度研修１．０*_11・初任),0)+ROUND((ROUND((_11_B重度研修１．０＿２．０*(1+_11・B夜間)),0)*_11・初任),0)</f>
        <v>449</v>
      </c>
      <c r="T21" s="48"/>
    </row>
    <row r="22" spans="1:20" ht="16.5" customHeight="1" x14ac:dyDescent="0.15">
      <c r="A22" s="41">
        <v>11</v>
      </c>
      <c r="B22" s="41" t="s">
        <v>7629</v>
      </c>
      <c r="C22" s="74" t="s">
        <v>7630</v>
      </c>
      <c r="D22" s="72"/>
      <c r="F22" s="169"/>
      <c r="G22" s="99"/>
      <c r="H22" s="170">
        <f>_11_B重度研修１．０＿２．０</f>
        <v>365</v>
      </c>
      <c r="I22" s="12" t="s">
        <v>392</v>
      </c>
      <c r="J22" s="44" t="s">
        <v>397</v>
      </c>
      <c r="K22" s="45" t="s">
        <v>398</v>
      </c>
      <c r="L22" s="46">
        <v>1</v>
      </c>
      <c r="M22" s="35"/>
      <c r="O22" s="57"/>
      <c r="P22" s="706"/>
      <c r="Q22" s="37"/>
      <c r="R22" s="38"/>
      <c r="S22" s="208">
        <f>ROUND((ROUND((_11_A重度研修１．０*_11・２人),0)*_11・初任),0)+ROUND((ROUND((ROUND((_11_B重度研修１．０＿２．０*_11・２人),0)*(1+_11・B夜間)),0)*_11・初任),0)</f>
        <v>449</v>
      </c>
      <c r="T22" s="48"/>
    </row>
    <row r="23" spans="1:20" ht="16.5" customHeight="1" x14ac:dyDescent="0.15">
      <c r="A23" s="41">
        <v>11</v>
      </c>
      <c r="B23" s="41">
        <v>4277</v>
      </c>
      <c r="C23" s="74" t="s">
        <v>7631</v>
      </c>
      <c r="D23" s="707" t="s">
        <v>3739</v>
      </c>
      <c r="E23" s="708"/>
      <c r="F23" s="740"/>
      <c r="G23" s="735" t="s">
        <v>3711</v>
      </c>
      <c r="H23" s="708"/>
      <c r="I23" s="717"/>
      <c r="J23" s="44"/>
      <c r="K23" s="45"/>
      <c r="L23" s="46"/>
      <c r="M23" s="35"/>
      <c r="O23" s="57"/>
      <c r="P23" s="53"/>
      <c r="Q23" s="49"/>
      <c r="R23" s="50"/>
      <c r="S23" s="208">
        <f>_11_A重度研修１．５+ROUND((_11_B重度研修１．５＿０．５*(1+_11・B夜間)),0)</f>
        <v>390</v>
      </c>
      <c r="T23" s="48"/>
    </row>
    <row r="24" spans="1:20" ht="16.5" customHeight="1" x14ac:dyDescent="0.15">
      <c r="A24" s="41">
        <v>11</v>
      </c>
      <c r="B24" s="41">
        <v>4278</v>
      </c>
      <c r="C24" s="74" t="s">
        <v>7632</v>
      </c>
      <c r="D24" s="709"/>
      <c r="E24" s="704"/>
      <c r="F24" s="739"/>
      <c r="G24" s="736"/>
      <c r="H24" s="704"/>
      <c r="I24" s="718"/>
      <c r="J24" s="44" t="s">
        <v>397</v>
      </c>
      <c r="K24" s="45" t="s">
        <v>398</v>
      </c>
      <c r="L24" s="46">
        <v>1</v>
      </c>
      <c r="M24" s="35"/>
      <c r="O24" s="57"/>
      <c r="P24" s="43"/>
      <c r="Q24" s="37"/>
      <c r="R24" s="38"/>
      <c r="S24" s="208">
        <f>ROUND((_11_A重度研修１．５*_11・２人),0)+ROUND((ROUND((_11_B重度研修１．５＿０．５*_11・２人),0)*(1+_11・B夜間)),0)</f>
        <v>390</v>
      </c>
      <c r="T24" s="48"/>
    </row>
    <row r="25" spans="1:20" ht="16.5" customHeight="1" x14ac:dyDescent="0.15">
      <c r="A25" s="41">
        <v>11</v>
      </c>
      <c r="B25" s="41" t="s">
        <v>7633</v>
      </c>
      <c r="C25" s="74" t="s">
        <v>7634</v>
      </c>
      <c r="D25" s="709"/>
      <c r="E25" s="704"/>
      <c r="F25" s="739"/>
      <c r="G25" s="736"/>
      <c r="H25" s="704"/>
      <c r="I25" s="718"/>
      <c r="J25" s="44"/>
      <c r="K25" s="45"/>
      <c r="L25" s="46"/>
      <c r="M25" s="35"/>
      <c r="O25" s="57"/>
      <c r="P25" s="734" t="s">
        <v>404</v>
      </c>
      <c r="Q25" s="49" t="s">
        <v>398</v>
      </c>
      <c r="R25" s="50">
        <f>_11・初任</f>
        <v>0.7</v>
      </c>
      <c r="S25" s="208">
        <f>ROUND((_11_A重度研修１．５*_11・初任),0)+ROUND((ROUND((_11_B重度研修１．５＿０．５*(1+_11・B夜間)),0)*_11・初任),0)</f>
        <v>274</v>
      </c>
      <c r="T25" s="48"/>
    </row>
    <row r="26" spans="1:20" ht="16.5" customHeight="1" x14ac:dyDescent="0.15">
      <c r="A26" s="41">
        <v>11</v>
      </c>
      <c r="B26" s="41" t="s">
        <v>7635</v>
      </c>
      <c r="C26" s="74" t="s">
        <v>7636</v>
      </c>
      <c r="D26" s="72"/>
      <c r="E26" s="170">
        <f>_11_A重度研修１．５</f>
        <v>275</v>
      </c>
      <c r="F26" s="171" t="s">
        <v>392</v>
      </c>
      <c r="G26" s="12"/>
      <c r="H26" s="170">
        <f>_11_B重度研修１．５＿０．５</f>
        <v>92</v>
      </c>
      <c r="I26" s="12" t="s">
        <v>392</v>
      </c>
      <c r="J26" s="44" t="s">
        <v>397</v>
      </c>
      <c r="K26" s="45" t="s">
        <v>398</v>
      </c>
      <c r="L26" s="46">
        <v>1</v>
      </c>
      <c r="M26" s="35"/>
      <c r="O26" s="57"/>
      <c r="P26" s="706"/>
      <c r="Q26" s="37"/>
      <c r="R26" s="38"/>
      <c r="S26" s="208">
        <f>ROUND((ROUND((_11_A重度研修１．５*_11・２人),0)*_11・初任),0)+ROUND((ROUND((ROUND((_11_B重度研修１．５＿０．５*_11・２人),0)*(1+_11・B夜間)),0)*_11・初任),0)</f>
        <v>274</v>
      </c>
      <c r="T26" s="48"/>
    </row>
    <row r="27" spans="1:20" ht="16.5" customHeight="1" x14ac:dyDescent="0.15">
      <c r="A27" s="41">
        <v>11</v>
      </c>
      <c r="B27" s="41">
        <v>4279</v>
      </c>
      <c r="C27" s="74" t="s">
        <v>7637</v>
      </c>
      <c r="D27" s="72"/>
      <c r="F27" s="169"/>
      <c r="G27" s="735" t="s">
        <v>3718</v>
      </c>
      <c r="H27" s="708"/>
      <c r="I27" s="717"/>
      <c r="J27" s="44"/>
      <c r="K27" s="45"/>
      <c r="L27" s="46"/>
      <c r="M27" s="35"/>
      <c r="O27" s="57"/>
      <c r="P27" s="53"/>
      <c r="Q27" s="49"/>
      <c r="R27" s="49"/>
      <c r="S27" s="208">
        <f>_11_A重度研修１．５+ROUND((_11_B重度研修１．５＿１．０*(1+_11・B夜間)),0)</f>
        <v>504</v>
      </c>
      <c r="T27" s="48"/>
    </row>
    <row r="28" spans="1:20" ht="16.5" customHeight="1" x14ac:dyDescent="0.15">
      <c r="A28" s="41">
        <v>11</v>
      </c>
      <c r="B28" s="41">
        <v>4280</v>
      </c>
      <c r="C28" s="74" t="s">
        <v>7638</v>
      </c>
      <c r="D28" s="72"/>
      <c r="F28" s="169"/>
      <c r="G28" s="736"/>
      <c r="H28" s="704"/>
      <c r="I28" s="718"/>
      <c r="J28" s="44" t="s">
        <v>397</v>
      </c>
      <c r="K28" s="45" t="s">
        <v>398</v>
      </c>
      <c r="L28" s="46">
        <v>1</v>
      </c>
      <c r="M28" s="35"/>
      <c r="O28" s="57"/>
      <c r="P28" s="43"/>
      <c r="Q28" s="37"/>
      <c r="R28" s="37"/>
      <c r="S28" s="208">
        <f>ROUND((_11_A重度研修１．５*_11・２人),0)+ROUND((ROUND((_11_B重度研修１．５＿１．０*_11・２人),0)*(1+_11・B夜間)),0)</f>
        <v>504</v>
      </c>
      <c r="T28" s="48"/>
    </row>
    <row r="29" spans="1:20" ht="16.5" customHeight="1" x14ac:dyDescent="0.15">
      <c r="A29" s="41">
        <v>11</v>
      </c>
      <c r="B29" s="41" t="s">
        <v>7639</v>
      </c>
      <c r="C29" s="74" t="s">
        <v>7640</v>
      </c>
      <c r="D29" s="72"/>
      <c r="F29" s="169"/>
      <c r="G29" s="736"/>
      <c r="H29" s="704"/>
      <c r="I29" s="718"/>
      <c r="J29" s="44"/>
      <c r="K29" s="45"/>
      <c r="L29" s="46"/>
      <c r="M29" s="35"/>
      <c r="O29" s="57"/>
      <c r="P29" s="734" t="s">
        <v>404</v>
      </c>
      <c r="Q29" s="49" t="s">
        <v>398</v>
      </c>
      <c r="R29" s="50">
        <f>_11・初任</f>
        <v>0.7</v>
      </c>
      <c r="S29" s="208">
        <f>ROUND((_11_A重度研修１．５*_11・初任),0)+ROUND((ROUND((_11_B重度研修１．５＿１．０*(1+_11・B夜間)),0)*_11・初任),0)</f>
        <v>353</v>
      </c>
      <c r="T29" s="48"/>
    </row>
    <row r="30" spans="1:20" ht="16.5" customHeight="1" x14ac:dyDescent="0.15">
      <c r="A30" s="41">
        <v>11</v>
      </c>
      <c r="B30" s="41" t="s">
        <v>7641</v>
      </c>
      <c r="C30" s="74" t="s">
        <v>7642</v>
      </c>
      <c r="D30" s="72"/>
      <c r="F30" s="169"/>
      <c r="G30" s="99"/>
      <c r="H30" s="170">
        <f>_11_B重度研修１．５＿１．０</f>
        <v>183</v>
      </c>
      <c r="I30" s="12" t="s">
        <v>392</v>
      </c>
      <c r="J30" s="44" t="s">
        <v>397</v>
      </c>
      <c r="K30" s="45" t="s">
        <v>398</v>
      </c>
      <c r="L30" s="46">
        <v>1</v>
      </c>
      <c r="M30" s="35"/>
      <c r="O30" s="57"/>
      <c r="P30" s="706"/>
      <c r="Q30" s="37"/>
      <c r="R30" s="38"/>
      <c r="S30" s="208">
        <f>ROUND((ROUND((_11_A重度研修１．５*_11・２人),0)*_11・初任),0)+ROUND((ROUND((ROUND((_11_B重度研修１．５＿１．０*_11・２人),0)*(1+_11・B夜間)),0)*_11・初任),0)</f>
        <v>353</v>
      </c>
      <c r="T30" s="48"/>
    </row>
    <row r="31" spans="1:20" ht="16.5" customHeight="1" x14ac:dyDescent="0.15">
      <c r="A31" s="41">
        <v>11</v>
      </c>
      <c r="B31" s="41">
        <v>4281</v>
      </c>
      <c r="C31" s="74" t="s">
        <v>7643</v>
      </c>
      <c r="D31" s="72"/>
      <c r="F31" s="169"/>
      <c r="G31" s="735" t="s">
        <v>3725</v>
      </c>
      <c r="H31" s="708"/>
      <c r="I31" s="717"/>
      <c r="J31" s="44"/>
      <c r="K31" s="45"/>
      <c r="L31" s="46"/>
      <c r="M31" s="35"/>
      <c r="O31" s="57"/>
      <c r="P31" s="53"/>
      <c r="Q31" s="49"/>
      <c r="R31" s="50"/>
      <c r="S31" s="208">
        <f>_11_A重度研修１．５+ROUND((_11_B重度研修１．５＿１．５*(1+_11・B夜間)),0)</f>
        <v>619</v>
      </c>
      <c r="T31" s="48"/>
    </row>
    <row r="32" spans="1:20" ht="16.5" customHeight="1" x14ac:dyDescent="0.15">
      <c r="A32" s="41">
        <v>11</v>
      </c>
      <c r="B32" s="41">
        <v>4282</v>
      </c>
      <c r="C32" s="74" t="s">
        <v>7644</v>
      </c>
      <c r="D32" s="72"/>
      <c r="F32" s="169"/>
      <c r="G32" s="736"/>
      <c r="H32" s="704"/>
      <c r="I32" s="718"/>
      <c r="J32" s="44" t="s">
        <v>397</v>
      </c>
      <c r="K32" s="45" t="s">
        <v>398</v>
      </c>
      <c r="L32" s="46">
        <v>1</v>
      </c>
      <c r="M32" s="35"/>
      <c r="O32" s="57"/>
      <c r="P32" s="43"/>
      <c r="Q32" s="37"/>
      <c r="R32" s="38"/>
      <c r="S32" s="208">
        <f>ROUND((_11_A重度研修１．５*_11・２人),0)+ROUND((ROUND((_11_B重度研修１．５＿１．５*_11・２人),0)*(1+_11・B夜間)),0)</f>
        <v>619</v>
      </c>
      <c r="T32" s="48"/>
    </row>
    <row r="33" spans="1:20" ht="16.5" customHeight="1" x14ac:dyDescent="0.15">
      <c r="A33" s="41">
        <v>11</v>
      </c>
      <c r="B33" s="41" t="s">
        <v>7645</v>
      </c>
      <c r="C33" s="74" t="s">
        <v>7646</v>
      </c>
      <c r="D33" s="72"/>
      <c r="F33" s="169"/>
      <c r="G33" s="736"/>
      <c r="H33" s="704"/>
      <c r="I33" s="718"/>
      <c r="J33" s="44"/>
      <c r="K33" s="45"/>
      <c r="L33" s="46"/>
      <c r="M33" s="35"/>
      <c r="O33" s="57"/>
      <c r="P33" s="734" t="s">
        <v>404</v>
      </c>
      <c r="Q33" s="49" t="s">
        <v>398</v>
      </c>
      <c r="R33" s="50">
        <f>_11・初任</f>
        <v>0.7</v>
      </c>
      <c r="S33" s="208">
        <f>ROUND((_11_A重度研修１．５*_11・初任),0)+ROUND((ROUND((_11_B重度研修１．５＿１．５*(1+_11・B夜間)),0)*_11・初任),0)</f>
        <v>434</v>
      </c>
      <c r="T33" s="48"/>
    </row>
    <row r="34" spans="1:20" ht="16.5" customHeight="1" x14ac:dyDescent="0.15">
      <c r="A34" s="41">
        <v>11</v>
      </c>
      <c r="B34" s="41" t="s">
        <v>7647</v>
      </c>
      <c r="C34" s="74" t="s">
        <v>7648</v>
      </c>
      <c r="D34" s="72"/>
      <c r="F34" s="169"/>
      <c r="G34" s="99"/>
      <c r="H34" s="170">
        <f>_11_B重度研修１．５＿１．５</f>
        <v>275</v>
      </c>
      <c r="I34" s="12" t="s">
        <v>392</v>
      </c>
      <c r="J34" s="44" t="s">
        <v>397</v>
      </c>
      <c r="K34" s="45" t="s">
        <v>398</v>
      </c>
      <c r="L34" s="46">
        <v>1</v>
      </c>
      <c r="M34" s="35"/>
      <c r="O34" s="57"/>
      <c r="P34" s="706"/>
      <c r="Q34" s="37"/>
      <c r="R34" s="38"/>
      <c r="S34" s="208">
        <f>ROUND((ROUND((_11_A重度研修１．５*_11・２人),0)*_11・初任),0)+ROUND((ROUND((ROUND((_11_B重度研修１．５＿１．５*_11・２人),0)*(1+_11・B夜間)),0)*_11・初任),0)</f>
        <v>434</v>
      </c>
      <c r="T34" s="48"/>
    </row>
    <row r="35" spans="1:20" ht="16.5" customHeight="1" x14ac:dyDescent="0.15">
      <c r="A35" s="41">
        <v>11</v>
      </c>
      <c r="B35" s="41">
        <v>4283</v>
      </c>
      <c r="C35" s="74" t="s">
        <v>7649</v>
      </c>
      <c r="D35" s="707" t="s">
        <v>3758</v>
      </c>
      <c r="E35" s="708"/>
      <c r="F35" s="740"/>
      <c r="G35" s="735" t="s">
        <v>3711</v>
      </c>
      <c r="H35" s="708"/>
      <c r="I35" s="717"/>
      <c r="J35" s="44"/>
      <c r="K35" s="45"/>
      <c r="L35" s="46"/>
      <c r="M35" s="35"/>
      <c r="O35" s="57"/>
      <c r="P35" s="53"/>
      <c r="Q35" s="49"/>
      <c r="R35" s="49"/>
      <c r="S35" s="208">
        <f>_11_A重度研修２．０+ROUND((_11_B重度研修２．０＿０．５*(1+_11・B夜間)),0)</f>
        <v>481</v>
      </c>
      <c r="T35" s="48"/>
    </row>
    <row r="36" spans="1:20" ht="16.5" customHeight="1" x14ac:dyDescent="0.15">
      <c r="A36" s="41">
        <v>11</v>
      </c>
      <c r="B36" s="41">
        <v>4284</v>
      </c>
      <c r="C36" s="74" t="s">
        <v>7650</v>
      </c>
      <c r="D36" s="709"/>
      <c r="E36" s="704"/>
      <c r="F36" s="739"/>
      <c r="G36" s="736"/>
      <c r="H36" s="704"/>
      <c r="I36" s="718"/>
      <c r="J36" s="44" t="s">
        <v>397</v>
      </c>
      <c r="K36" s="45" t="s">
        <v>398</v>
      </c>
      <c r="L36" s="46">
        <v>1</v>
      </c>
      <c r="M36" s="35"/>
      <c r="O36" s="57"/>
      <c r="P36" s="43"/>
      <c r="Q36" s="37"/>
      <c r="R36" s="37"/>
      <c r="S36" s="208">
        <f>ROUND((_11_A重度研修２．０*_11・２人),0)+ROUND((ROUND((_11_B重度研修２．０＿０．５*_11・２人),0)*(1+_11・B夜間)),0)</f>
        <v>481</v>
      </c>
      <c r="T36" s="48"/>
    </row>
    <row r="37" spans="1:20" ht="16.5" customHeight="1" x14ac:dyDescent="0.15">
      <c r="A37" s="41">
        <v>11</v>
      </c>
      <c r="B37" s="41" t="s">
        <v>7651</v>
      </c>
      <c r="C37" s="74" t="s">
        <v>7652</v>
      </c>
      <c r="D37" s="709"/>
      <c r="E37" s="704"/>
      <c r="F37" s="739"/>
      <c r="G37" s="736"/>
      <c r="H37" s="704"/>
      <c r="I37" s="718"/>
      <c r="J37" s="44"/>
      <c r="K37" s="45"/>
      <c r="L37" s="46"/>
      <c r="M37" s="35"/>
      <c r="O37" s="57"/>
      <c r="P37" s="734" t="s">
        <v>404</v>
      </c>
      <c r="Q37" s="49" t="s">
        <v>398</v>
      </c>
      <c r="R37" s="50">
        <f>_11・初任</f>
        <v>0.7</v>
      </c>
      <c r="S37" s="208">
        <f>ROUND((_11_A重度研修２．０*_11・初任),0)+ROUND((ROUND((_11_B重度研修２．０＿０．５*(1+_11・B夜間)),0)*_11・初任),0)</f>
        <v>337</v>
      </c>
      <c r="T37" s="48"/>
    </row>
    <row r="38" spans="1:20" ht="16.5" customHeight="1" x14ac:dyDescent="0.15">
      <c r="A38" s="41">
        <v>11</v>
      </c>
      <c r="B38" s="41" t="s">
        <v>7653</v>
      </c>
      <c r="C38" s="74" t="s">
        <v>7654</v>
      </c>
      <c r="D38" s="72"/>
      <c r="E38" s="170">
        <f>_11_A重度研修２．０</f>
        <v>367</v>
      </c>
      <c r="F38" s="171" t="s">
        <v>392</v>
      </c>
      <c r="G38" s="12"/>
      <c r="H38" s="170">
        <f>_11_B重度研修２．０＿０．５</f>
        <v>91</v>
      </c>
      <c r="I38" s="12" t="s">
        <v>392</v>
      </c>
      <c r="J38" s="44" t="s">
        <v>397</v>
      </c>
      <c r="K38" s="45" t="s">
        <v>398</v>
      </c>
      <c r="L38" s="46">
        <v>1</v>
      </c>
      <c r="M38" s="35"/>
      <c r="O38" s="57"/>
      <c r="P38" s="706"/>
      <c r="Q38" s="37"/>
      <c r="R38" s="38"/>
      <c r="S38" s="208">
        <f>ROUND((ROUND((_11_A重度研修２．０*_11・２人),0)*_11・初任),0)+ROUND((ROUND((ROUND((_11_B重度研修２．０＿０．５*_11・２人),0)*(1+_11・B夜間)),0)*_11・初任),0)</f>
        <v>337</v>
      </c>
      <c r="T38" s="48"/>
    </row>
    <row r="39" spans="1:20" ht="16.5" customHeight="1" x14ac:dyDescent="0.15">
      <c r="A39" s="41">
        <v>11</v>
      </c>
      <c r="B39" s="41">
        <v>4109</v>
      </c>
      <c r="C39" s="74" t="s">
        <v>7655</v>
      </c>
      <c r="D39" s="72"/>
      <c r="F39" s="169"/>
      <c r="G39" s="735" t="s">
        <v>3718</v>
      </c>
      <c r="H39" s="708"/>
      <c r="I39" s="717"/>
      <c r="J39" s="44"/>
      <c r="K39" s="45"/>
      <c r="L39" s="46"/>
      <c r="M39" s="35"/>
      <c r="O39" s="57"/>
      <c r="P39" s="53"/>
      <c r="Q39" s="49"/>
      <c r="R39" s="50"/>
      <c r="S39" s="208">
        <f>_11_A重度研修２．０+ROUND((_11_B重度研修２．０＿１．０*(1+_11・B夜間)),0)</f>
        <v>596</v>
      </c>
      <c r="T39" s="48"/>
    </row>
    <row r="40" spans="1:20" ht="16.5" customHeight="1" x14ac:dyDescent="0.15">
      <c r="A40" s="41">
        <v>11</v>
      </c>
      <c r="B40" s="41">
        <v>4110</v>
      </c>
      <c r="C40" s="74" t="s">
        <v>7656</v>
      </c>
      <c r="D40" s="72"/>
      <c r="F40" s="169"/>
      <c r="G40" s="736"/>
      <c r="H40" s="704"/>
      <c r="I40" s="718"/>
      <c r="J40" s="44" t="s">
        <v>397</v>
      </c>
      <c r="K40" s="45" t="s">
        <v>398</v>
      </c>
      <c r="L40" s="46">
        <v>1</v>
      </c>
      <c r="M40" s="35"/>
      <c r="O40" s="57"/>
      <c r="P40" s="43"/>
      <c r="Q40" s="37"/>
      <c r="R40" s="38"/>
      <c r="S40" s="208">
        <f>ROUND((_11_A重度研修２．０*_11・２人),0)+ROUND((ROUND((_11_B重度研修２．０＿１．０*_11・２人),0)*(1+_11・B夜間)),0)</f>
        <v>596</v>
      </c>
      <c r="T40" s="48"/>
    </row>
    <row r="41" spans="1:20" ht="16.5" customHeight="1" x14ac:dyDescent="0.15">
      <c r="A41" s="41">
        <v>11</v>
      </c>
      <c r="B41" s="41" t="s">
        <v>7657</v>
      </c>
      <c r="C41" s="74" t="s">
        <v>7658</v>
      </c>
      <c r="D41" s="72"/>
      <c r="F41" s="169"/>
      <c r="G41" s="736"/>
      <c r="H41" s="704"/>
      <c r="I41" s="718"/>
      <c r="J41" s="44"/>
      <c r="K41" s="45"/>
      <c r="L41" s="46"/>
      <c r="M41" s="35"/>
      <c r="O41" s="57"/>
      <c r="P41" s="734" t="s">
        <v>404</v>
      </c>
      <c r="Q41" s="49" t="s">
        <v>398</v>
      </c>
      <c r="R41" s="50">
        <f>_11・初任</f>
        <v>0.7</v>
      </c>
      <c r="S41" s="208">
        <f>ROUND((_11_A重度研修２．０*_11・初任),0)+ROUND((ROUND((_11_B重度研修２．０＿１．０*(1+_11・B夜間)),0)*_11・初任),0)</f>
        <v>417</v>
      </c>
      <c r="T41" s="48"/>
    </row>
    <row r="42" spans="1:20" ht="16.5" customHeight="1" x14ac:dyDescent="0.15">
      <c r="A42" s="41">
        <v>11</v>
      </c>
      <c r="B42" s="41" t="s">
        <v>7659</v>
      </c>
      <c r="C42" s="74" t="s">
        <v>7660</v>
      </c>
      <c r="D42" s="72"/>
      <c r="F42" s="169"/>
      <c r="G42" s="99"/>
      <c r="H42" s="170">
        <f>_11_B重度研修２．０＿１．０</f>
        <v>183</v>
      </c>
      <c r="I42" s="12" t="s">
        <v>392</v>
      </c>
      <c r="J42" s="44" t="s">
        <v>397</v>
      </c>
      <c r="K42" s="45" t="s">
        <v>398</v>
      </c>
      <c r="L42" s="46">
        <v>1</v>
      </c>
      <c r="M42" s="35"/>
      <c r="O42" s="57"/>
      <c r="P42" s="706"/>
      <c r="Q42" s="37"/>
      <c r="R42" s="38"/>
      <c r="S42" s="208">
        <f>ROUND((ROUND((_11_A重度研修２．０*_11・２人),0)*_11・初任),0)+ROUND((ROUND((ROUND((_11_B重度研修２．０＿１．０*_11・２人),0)*(1+_11・B夜間)),0)*_11・初任),0)</f>
        <v>417</v>
      </c>
      <c r="T42" s="48"/>
    </row>
    <row r="43" spans="1:20" ht="16.5" customHeight="1" x14ac:dyDescent="0.15">
      <c r="A43" s="41">
        <v>11</v>
      </c>
      <c r="B43" s="41">
        <v>4285</v>
      </c>
      <c r="C43" s="74" t="s">
        <v>7661</v>
      </c>
      <c r="D43" s="707" t="s">
        <v>3771</v>
      </c>
      <c r="E43" s="708"/>
      <c r="F43" s="740"/>
      <c r="G43" s="735" t="s">
        <v>3711</v>
      </c>
      <c r="H43" s="708"/>
      <c r="I43" s="717"/>
      <c r="J43" s="44"/>
      <c r="K43" s="45"/>
      <c r="L43" s="46"/>
      <c r="M43" s="35"/>
      <c r="O43" s="57"/>
      <c r="P43" s="53"/>
      <c r="Q43" s="49"/>
      <c r="R43" s="49"/>
      <c r="S43" s="208">
        <f>_11_A重度研修２．５+ROUND((_11_B重度研修２．５＿０．５*(1+_11・B夜間)),0)</f>
        <v>573</v>
      </c>
      <c r="T43" s="48"/>
    </row>
    <row r="44" spans="1:20" ht="16.5" customHeight="1" x14ac:dyDescent="0.15">
      <c r="A44" s="41">
        <v>11</v>
      </c>
      <c r="B44" s="41">
        <v>4286</v>
      </c>
      <c r="C44" s="74" t="s">
        <v>7662</v>
      </c>
      <c r="D44" s="709"/>
      <c r="E44" s="704"/>
      <c r="F44" s="739"/>
      <c r="G44" s="736"/>
      <c r="H44" s="704"/>
      <c r="I44" s="718"/>
      <c r="J44" s="44" t="s">
        <v>397</v>
      </c>
      <c r="K44" s="45" t="s">
        <v>398</v>
      </c>
      <c r="L44" s="46">
        <v>1</v>
      </c>
      <c r="M44" s="35"/>
      <c r="O44" s="57"/>
      <c r="P44" s="43"/>
      <c r="Q44" s="37"/>
      <c r="R44" s="37"/>
      <c r="S44" s="208">
        <f>ROUND((_11_A重度研修２．５*_11・２人),0)+ROUND((ROUND((_11_B重度研修２．５＿０．５*_11・２人),0)*(1+_11・B夜間)),0)</f>
        <v>573</v>
      </c>
      <c r="T44" s="48"/>
    </row>
    <row r="45" spans="1:20" ht="16.5" customHeight="1" x14ac:dyDescent="0.15">
      <c r="A45" s="41">
        <v>11</v>
      </c>
      <c r="B45" s="41" t="s">
        <v>7663</v>
      </c>
      <c r="C45" s="74" t="s">
        <v>7664</v>
      </c>
      <c r="D45" s="709"/>
      <c r="E45" s="704"/>
      <c r="F45" s="739"/>
      <c r="G45" s="736"/>
      <c r="H45" s="704"/>
      <c r="I45" s="718"/>
      <c r="J45" s="44"/>
      <c r="K45" s="45"/>
      <c r="L45" s="46"/>
      <c r="M45" s="35"/>
      <c r="O45" s="57"/>
      <c r="P45" s="734" t="s">
        <v>404</v>
      </c>
      <c r="Q45" s="49" t="s">
        <v>398</v>
      </c>
      <c r="R45" s="50">
        <f>_11・初任</f>
        <v>0.7</v>
      </c>
      <c r="S45" s="208">
        <f>ROUND((_11_A重度研修２．５*_11・初任),0)+ROUND((ROUND((_11_B重度研修２．５＿０．５*(1+_11・B夜間)),0)*_11・初任),0)</f>
        <v>402</v>
      </c>
      <c r="T45" s="48"/>
    </row>
    <row r="46" spans="1:20" ht="16.5" customHeight="1" x14ac:dyDescent="0.15">
      <c r="A46" s="41">
        <v>11</v>
      </c>
      <c r="B46" s="41" t="s">
        <v>7665</v>
      </c>
      <c r="C46" s="74" t="s">
        <v>7666</v>
      </c>
      <c r="D46" s="122"/>
      <c r="E46" s="176">
        <f>_11_A重度研修２．５</f>
        <v>458</v>
      </c>
      <c r="F46" s="175" t="s">
        <v>392</v>
      </c>
      <c r="G46" s="37"/>
      <c r="H46" s="176">
        <f>_11_B重度研修２．５＿０．５</f>
        <v>92</v>
      </c>
      <c r="I46" s="37" t="s">
        <v>392</v>
      </c>
      <c r="J46" s="44" t="s">
        <v>397</v>
      </c>
      <c r="K46" s="45" t="s">
        <v>398</v>
      </c>
      <c r="L46" s="46">
        <v>1</v>
      </c>
      <c r="M46" s="43"/>
      <c r="N46" s="38"/>
      <c r="O46" s="79"/>
      <c r="P46" s="706"/>
      <c r="Q46" s="37"/>
      <c r="R46" s="38"/>
      <c r="S46" s="208">
        <f>ROUND((ROUND((_11_A重度研修２．５*_11・２人),0)*_11・初任),0)+ROUND((ROUND((ROUND((_11_B重度研修２．５＿０．５*_11・２人),0)*(1+_11・B夜間)),0)*_11・初任),0)</f>
        <v>402</v>
      </c>
      <c r="T46" s="63"/>
    </row>
    <row r="47" spans="1:20" ht="16.5" customHeight="1" x14ac:dyDescent="0.15">
      <c r="G47" s="99"/>
    </row>
  </sheetData>
  <mergeCells count="26">
    <mergeCell ref="G39:I41"/>
    <mergeCell ref="P41:P42"/>
    <mergeCell ref="D43:F45"/>
    <mergeCell ref="G43:I45"/>
    <mergeCell ref="P45:P46"/>
    <mergeCell ref="G27:I29"/>
    <mergeCell ref="P29:P30"/>
    <mergeCell ref="G31:I33"/>
    <mergeCell ref="P33:P34"/>
    <mergeCell ref="D35:F37"/>
    <mergeCell ref="G35:I37"/>
    <mergeCell ref="P37:P38"/>
    <mergeCell ref="G15:I17"/>
    <mergeCell ref="P17:P18"/>
    <mergeCell ref="G19:I21"/>
    <mergeCell ref="P21:P22"/>
    <mergeCell ref="D23:F25"/>
    <mergeCell ref="G23:I25"/>
    <mergeCell ref="P25:P26"/>
    <mergeCell ref="G11:I13"/>
    <mergeCell ref="P13:P14"/>
    <mergeCell ref="G6:I6"/>
    <mergeCell ref="D7:F9"/>
    <mergeCell ref="G7:I9"/>
    <mergeCell ref="O8:O9"/>
    <mergeCell ref="P9:P10"/>
  </mergeCells>
  <phoneticPr fontId="1"/>
  <printOptions horizontalCentered="1"/>
  <pageMargins left="0.70866141732283472" right="0.70866141732283472" top="0.74803149606299213" bottom="0.74803149606299213" header="0.31496062992125984" footer="0.31496062992125984"/>
  <pageSetup paperSize="9" scale="53" fitToHeight="0" orientation="portrait" r:id="rId1"/>
  <headerFooter>
    <oddHeader>&amp;R&amp;"ＭＳ Ｐゴシック"&amp;9居宅介護</oddHeader>
    <oddFooter>&amp;C&amp;"ＭＳ Ｐゴシック"&amp;14&amp;P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R125"/>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25.875" style="10" bestFit="1" customWidth="1"/>
    <col min="4" max="4" width="6" style="10" customWidth="1"/>
    <col min="5" max="5" width="5.5" style="12" bestFit="1" customWidth="1"/>
    <col min="6" max="6" width="11.875" style="12" customWidth="1"/>
    <col min="7" max="7" width="2.875" style="12" customWidth="1"/>
    <col min="8" max="8" width="4.5" style="13" bestFit="1" customWidth="1"/>
    <col min="9" max="9" width="24.875" style="14" bestFit="1" customWidth="1"/>
    <col min="10" max="10" width="2.5" style="12" customWidth="1"/>
    <col min="11" max="11" width="5.5" style="13" bestFit="1" customWidth="1"/>
    <col min="12" max="12" width="3.5" style="12" bestFit="1" customWidth="1"/>
    <col min="13" max="13" width="4.5" style="13" bestFit="1" customWidth="1"/>
    <col min="14" max="14" width="5.5" style="12" bestFit="1" customWidth="1"/>
    <col min="15" max="15" width="9.875" style="12" customWidth="1"/>
    <col min="16" max="16" width="4.5" style="12" bestFit="1" customWidth="1"/>
    <col min="17" max="17" width="7.125" style="15" customWidth="1"/>
    <col min="18" max="18" width="8.5" style="16" customWidth="1"/>
    <col min="19" max="16384" width="8.875" style="12"/>
  </cols>
  <sheetData>
    <row r="1" spans="1:18" ht="17.100000000000001" customHeight="1" x14ac:dyDescent="0.15">
      <c r="D1" s="11"/>
    </row>
    <row r="2" spans="1:18" ht="17.100000000000001" customHeight="1" x14ac:dyDescent="0.15"/>
    <row r="3" spans="1:18" ht="17.100000000000001" customHeight="1" x14ac:dyDescent="0.15"/>
    <row r="4" spans="1:18" ht="17.100000000000001" customHeight="1" x14ac:dyDescent="0.15">
      <c r="B4" s="17" t="s">
        <v>671</v>
      </c>
      <c r="D4" s="71"/>
    </row>
    <row r="5" spans="1:18" ht="16.5" customHeight="1" x14ac:dyDescent="0.15">
      <c r="A5" s="19" t="s">
        <v>384</v>
      </c>
      <c r="B5" s="20"/>
      <c r="C5" s="21" t="s">
        <v>385</v>
      </c>
      <c r="D5" s="719" t="s">
        <v>386</v>
      </c>
      <c r="E5" s="720"/>
      <c r="F5" s="720"/>
      <c r="G5" s="720"/>
      <c r="H5" s="720"/>
      <c r="I5" s="720"/>
      <c r="J5" s="720"/>
      <c r="K5" s="720"/>
      <c r="L5" s="720"/>
      <c r="M5" s="720"/>
      <c r="N5" s="720"/>
      <c r="O5" s="720"/>
      <c r="P5" s="720"/>
      <c r="Q5" s="25" t="s">
        <v>387</v>
      </c>
      <c r="R5" s="21" t="s">
        <v>388</v>
      </c>
    </row>
    <row r="6" spans="1:18" ht="16.5" customHeight="1" x14ac:dyDescent="0.15">
      <c r="A6" s="26" t="s">
        <v>389</v>
      </c>
      <c r="B6" s="26" t="s">
        <v>390</v>
      </c>
      <c r="C6" s="27"/>
      <c r="D6" s="29"/>
      <c r="E6" s="29"/>
      <c r="F6" s="29"/>
      <c r="G6" s="29"/>
      <c r="H6" s="30"/>
      <c r="I6" s="29"/>
      <c r="J6" s="29"/>
      <c r="K6" s="30"/>
      <c r="L6" s="29"/>
      <c r="M6" s="30"/>
      <c r="N6" s="29"/>
      <c r="O6" s="29"/>
      <c r="P6" s="29"/>
      <c r="Q6" s="31" t="s">
        <v>391</v>
      </c>
      <c r="R6" s="32" t="s">
        <v>392</v>
      </c>
    </row>
    <row r="7" spans="1:18" ht="16.5" customHeight="1" x14ac:dyDescent="0.15">
      <c r="A7" s="33">
        <v>11</v>
      </c>
      <c r="B7" s="33">
        <v>1195</v>
      </c>
      <c r="C7" s="34" t="s">
        <v>672</v>
      </c>
      <c r="D7" s="703" t="s">
        <v>673</v>
      </c>
      <c r="E7" s="704"/>
      <c r="F7" s="35"/>
      <c r="I7" s="36"/>
      <c r="J7" s="37"/>
      <c r="K7" s="38"/>
      <c r="L7" s="72" t="s">
        <v>674</v>
      </c>
      <c r="N7" s="57"/>
      <c r="O7" s="35"/>
      <c r="Q7" s="73">
        <f>ROUND((_11_A身体０．５*(1+_11・A早朝)),0)</f>
        <v>319</v>
      </c>
      <c r="R7" s="40" t="s">
        <v>395</v>
      </c>
    </row>
    <row r="8" spans="1:18" ht="16.5" customHeight="1" x14ac:dyDescent="0.15">
      <c r="A8" s="41">
        <v>11</v>
      </c>
      <c r="B8" s="41">
        <v>1196</v>
      </c>
      <c r="C8" s="74" t="s">
        <v>675</v>
      </c>
      <c r="D8" s="703"/>
      <c r="E8" s="704"/>
      <c r="F8" s="43"/>
      <c r="G8" s="37"/>
      <c r="H8" s="38"/>
      <c r="I8" s="44" t="s">
        <v>397</v>
      </c>
      <c r="J8" s="45" t="s">
        <v>398</v>
      </c>
      <c r="K8" s="46">
        <v>1</v>
      </c>
      <c r="L8" s="35" t="s">
        <v>398</v>
      </c>
      <c r="M8" s="13">
        <v>0.25</v>
      </c>
      <c r="N8" s="721" t="s">
        <v>676</v>
      </c>
      <c r="O8" s="35"/>
      <c r="Q8" s="75">
        <f>ROUND((ROUND((_11_A身体０．５*_11・２人),0)*(1+_11・A早朝)),0)</f>
        <v>319</v>
      </c>
      <c r="R8" s="48"/>
    </row>
    <row r="9" spans="1:18" ht="16.5" customHeight="1" x14ac:dyDescent="0.15">
      <c r="A9" s="41">
        <v>11</v>
      </c>
      <c r="B9" s="41">
        <v>1197</v>
      </c>
      <c r="C9" s="74" t="s">
        <v>677</v>
      </c>
      <c r="D9" s="703"/>
      <c r="E9" s="704"/>
      <c r="F9" s="705" t="s">
        <v>678</v>
      </c>
      <c r="G9" s="49" t="s">
        <v>398</v>
      </c>
      <c r="H9" s="50">
        <v>0.7</v>
      </c>
      <c r="I9" s="44"/>
      <c r="J9" s="45"/>
      <c r="K9" s="46"/>
      <c r="L9" s="35"/>
      <c r="N9" s="721"/>
      <c r="O9" s="35"/>
      <c r="Q9" s="75">
        <f>ROUND((ROUND((_11_A身体０．５*_11・基礎１),0)*(1+_11・A早朝)),0)</f>
        <v>224</v>
      </c>
      <c r="R9" s="48"/>
    </row>
    <row r="10" spans="1:18" ht="16.5" customHeight="1" x14ac:dyDescent="0.15">
      <c r="A10" s="41">
        <v>11</v>
      </c>
      <c r="B10" s="41">
        <v>1198</v>
      </c>
      <c r="C10" s="74" t="s">
        <v>679</v>
      </c>
      <c r="D10" s="51">
        <f>_11_A身体０．５</f>
        <v>255</v>
      </c>
      <c r="E10" s="76" t="s">
        <v>392</v>
      </c>
      <c r="F10" s="711"/>
      <c r="G10" s="37"/>
      <c r="H10" s="38"/>
      <c r="I10" s="44" t="s">
        <v>397</v>
      </c>
      <c r="J10" s="45" t="s">
        <v>398</v>
      </c>
      <c r="K10" s="46">
        <v>1</v>
      </c>
      <c r="L10" s="35"/>
      <c r="N10" s="57"/>
      <c r="O10" s="43"/>
      <c r="P10" s="37"/>
      <c r="Q10" s="75">
        <f>ROUND((ROUND((ROUND((_11_A身体０．５*_11・基礎１),0)*_11・２人),0)*(1+_11・A早朝)),0)</f>
        <v>224</v>
      </c>
      <c r="R10" s="48"/>
    </row>
    <row r="11" spans="1:18" ht="16.5" customHeight="1" x14ac:dyDescent="0.15">
      <c r="A11" s="41">
        <v>11</v>
      </c>
      <c r="B11" s="41" t="s">
        <v>680</v>
      </c>
      <c r="C11" s="74" t="s">
        <v>681</v>
      </c>
      <c r="D11" s="66"/>
      <c r="F11" s="53"/>
      <c r="G11" s="49"/>
      <c r="H11" s="50"/>
      <c r="I11" s="44"/>
      <c r="J11" s="45"/>
      <c r="K11" s="46"/>
      <c r="L11" s="35"/>
      <c r="N11" s="57"/>
      <c r="O11" s="707" t="s">
        <v>404</v>
      </c>
      <c r="P11" s="708"/>
      <c r="Q11" s="75">
        <f>ROUND((ROUND((_11_A身体０．５*(1+_11・A早朝)),0)*_11・初任),0)</f>
        <v>223</v>
      </c>
      <c r="R11" s="48"/>
    </row>
    <row r="12" spans="1:18" ht="16.5" customHeight="1" x14ac:dyDescent="0.15">
      <c r="A12" s="41">
        <v>11</v>
      </c>
      <c r="B12" s="41" t="s">
        <v>682</v>
      </c>
      <c r="C12" s="74" t="s">
        <v>683</v>
      </c>
      <c r="D12" s="66"/>
      <c r="F12" s="43"/>
      <c r="G12" s="37"/>
      <c r="H12" s="38"/>
      <c r="I12" s="44" t="s">
        <v>397</v>
      </c>
      <c r="J12" s="45" t="s">
        <v>398</v>
      </c>
      <c r="K12" s="46">
        <v>1</v>
      </c>
      <c r="L12" s="35"/>
      <c r="N12" s="57"/>
      <c r="O12" s="709"/>
      <c r="P12" s="704"/>
      <c r="Q12" s="75">
        <f>ROUND((ROUND((ROUND((_11_A身体０．５*_11・２人),0)*(1+_11・A早朝)),0)*_11・初任),0)</f>
        <v>223</v>
      </c>
      <c r="R12" s="48"/>
    </row>
    <row r="13" spans="1:18" ht="16.5" customHeight="1" x14ac:dyDescent="0.15">
      <c r="A13" s="41">
        <v>11</v>
      </c>
      <c r="B13" s="41" t="s">
        <v>684</v>
      </c>
      <c r="C13" s="74" t="s">
        <v>685</v>
      </c>
      <c r="D13" s="69"/>
      <c r="F13" s="705" t="s">
        <v>400</v>
      </c>
      <c r="G13" s="49" t="s">
        <v>398</v>
      </c>
      <c r="H13" s="50">
        <v>0.7</v>
      </c>
      <c r="I13" s="44"/>
      <c r="J13" s="45"/>
      <c r="K13" s="46"/>
      <c r="L13" s="35"/>
      <c r="N13" s="57"/>
      <c r="O13" s="709"/>
      <c r="P13" s="704"/>
      <c r="Q13" s="75">
        <f>ROUND((ROUND((ROUND((_11_A身体０．５*_11・基礎１),0)*(1+_11・A早朝)),0)*_11・初任),0)</f>
        <v>157</v>
      </c>
      <c r="R13" s="48"/>
    </row>
    <row r="14" spans="1:18" ht="16.5" customHeight="1" x14ac:dyDescent="0.15">
      <c r="A14" s="41">
        <v>11</v>
      </c>
      <c r="B14" s="41" t="s">
        <v>686</v>
      </c>
      <c r="C14" s="74" t="s">
        <v>687</v>
      </c>
      <c r="D14" s="69"/>
      <c r="F14" s="711"/>
      <c r="G14" s="37"/>
      <c r="H14" s="38"/>
      <c r="I14" s="44" t="s">
        <v>397</v>
      </c>
      <c r="J14" s="45" t="s">
        <v>398</v>
      </c>
      <c r="K14" s="46">
        <v>1</v>
      </c>
      <c r="L14" s="35"/>
      <c r="N14" s="57"/>
      <c r="O14" s="55" t="s">
        <v>398</v>
      </c>
      <c r="P14" s="38">
        <f>_11・初任</f>
        <v>0.7</v>
      </c>
      <c r="Q14" s="75">
        <f>ROUND((ROUND((ROUND((ROUND((_11_A身体０．５*_11・基礎１),0)*_11・２人),0)*(1+_11・A早朝)),0)*_11・初任),0)</f>
        <v>157</v>
      </c>
      <c r="R14" s="48"/>
    </row>
    <row r="15" spans="1:18" ht="16.5" customHeight="1" x14ac:dyDescent="0.15">
      <c r="A15" s="41">
        <v>11</v>
      </c>
      <c r="B15" s="41">
        <v>1199</v>
      </c>
      <c r="C15" s="74" t="s">
        <v>688</v>
      </c>
      <c r="D15" s="712" t="s">
        <v>689</v>
      </c>
      <c r="E15" s="708"/>
      <c r="F15" s="77"/>
      <c r="G15" s="50"/>
      <c r="H15" s="50"/>
      <c r="I15" s="44"/>
      <c r="J15" s="45"/>
      <c r="K15" s="46"/>
      <c r="L15" s="35"/>
      <c r="N15" s="57"/>
      <c r="O15" s="53"/>
      <c r="P15" s="49"/>
      <c r="Q15" s="75">
        <f>ROUND((_11_A身体１．０*(1+_11・A早朝)),0)</f>
        <v>503</v>
      </c>
      <c r="R15" s="48"/>
    </row>
    <row r="16" spans="1:18" ht="16.5" customHeight="1" x14ac:dyDescent="0.15">
      <c r="A16" s="41">
        <v>11</v>
      </c>
      <c r="B16" s="41">
        <v>1200</v>
      </c>
      <c r="C16" s="74" t="s">
        <v>690</v>
      </c>
      <c r="D16" s="703"/>
      <c r="E16" s="704"/>
      <c r="F16" s="78"/>
      <c r="G16" s="38"/>
      <c r="H16" s="38"/>
      <c r="I16" s="44" t="s">
        <v>397</v>
      </c>
      <c r="J16" s="45" t="s">
        <v>398</v>
      </c>
      <c r="K16" s="46">
        <v>1</v>
      </c>
      <c r="L16" s="35"/>
      <c r="N16" s="57"/>
      <c r="O16" s="35"/>
      <c r="Q16" s="75">
        <f>ROUND((ROUND((_11_A身体１．０*_11・２人),0)*(1+_11・A早朝)),0)</f>
        <v>503</v>
      </c>
      <c r="R16" s="48"/>
    </row>
    <row r="17" spans="1:18" ht="16.5" customHeight="1" x14ac:dyDescent="0.15">
      <c r="A17" s="41">
        <v>11</v>
      </c>
      <c r="B17" s="41">
        <v>1201</v>
      </c>
      <c r="C17" s="74" t="s">
        <v>691</v>
      </c>
      <c r="D17" s="703"/>
      <c r="E17" s="704"/>
      <c r="F17" s="705" t="s">
        <v>400</v>
      </c>
      <c r="H17" s="50">
        <v>0.7</v>
      </c>
      <c r="I17" s="44"/>
      <c r="J17" s="45"/>
      <c r="K17" s="46"/>
      <c r="L17" s="35"/>
      <c r="N17" s="57"/>
      <c r="O17" s="35"/>
      <c r="Q17" s="75">
        <f>ROUND((ROUND((_11_A身体１．０*_11・基礎１),0)*(1+_11・A早朝)),0)</f>
        <v>351</v>
      </c>
      <c r="R17" s="48"/>
    </row>
    <row r="18" spans="1:18" ht="16.5" customHeight="1" x14ac:dyDescent="0.15">
      <c r="A18" s="41">
        <v>11</v>
      </c>
      <c r="B18" s="41">
        <v>1202</v>
      </c>
      <c r="C18" s="74" t="s">
        <v>692</v>
      </c>
      <c r="D18" s="51">
        <f>_11_A身体１．０</f>
        <v>402</v>
      </c>
      <c r="E18" s="76" t="s">
        <v>392</v>
      </c>
      <c r="F18" s="722"/>
      <c r="G18" s="37"/>
      <c r="H18" s="38"/>
      <c r="I18" s="44" t="s">
        <v>397</v>
      </c>
      <c r="J18" s="45" t="s">
        <v>398</v>
      </c>
      <c r="K18" s="46">
        <v>1</v>
      </c>
      <c r="L18" s="35"/>
      <c r="N18" s="57"/>
      <c r="O18" s="43"/>
      <c r="P18" s="37"/>
      <c r="Q18" s="75">
        <f>ROUND((ROUND((ROUND((_11_A身体１．０*_11・基礎１),0)*_11・２人),0)*(1+_11・A早朝)),0)</f>
        <v>351</v>
      </c>
      <c r="R18" s="48"/>
    </row>
    <row r="19" spans="1:18" ht="16.5" customHeight="1" x14ac:dyDescent="0.15">
      <c r="A19" s="41">
        <v>11</v>
      </c>
      <c r="B19" s="41" t="s">
        <v>693</v>
      </c>
      <c r="C19" s="74" t="s">
        <v>694</v>
      </c>
      <c r="D19" s="66"/>
      <c r="F19" s="53"/>
      <c r="G19" s="49"/>
      <c r="H19" s="50"/>
      <c r="I19" s="44"/>
      <c r="J19" s="45"/>
      <c r="K19" s="46"/>
      <c r="L19" s="35"/>
      <c r="N19" s="57"/>
      <c r="O19" s="707" t="s">
        <v>404</v>
      </c>
      <c r="P19" s="708"/>
      <c r="Q19" s="75">
        <f>ROUND((ROUND((_11_A身体１．０*(1+_11・A早朝)),0)*_11・初任),0)</f>
        <v>352</v>
      </c>
      <c r="R19" s="48"/>
    </row>
    <row r="20" spans="1:18" ht="16.5" customHeight="1" x14ac:dyDescent="0.15">
      <c r="A20" s="41">
        <v>11</v>
      </c>
      <c r="B20" s="41" t="s">
        <v>695</v>
      </c>
      <c r="C20" s="74" t="s">
        <v>696</v>
      </c>
      <c r="D20" s="66"/>
      <c r="F20" s="43"/>
      <c r="G20" s="37"/>
      <c r="H20" s="38"/>
      <c r="I20" s="44" t="s">
        <v>397</v>
      </c>
      <c r="J20" s="45" t="s">
        <v>398</v>
      </c>
      <c r="K20" s="46">
        <v>1</v>
      </c>
      <c r="L20" s="35"/>
      <c r="N20" s="57"/>
      <c r="O20" s="709"/>
      <c r="P20" s="704"/>
      <c r="Q20" s="75">
        <f>ROUND((ROUND((ROUND((_11_A身体１．０*_11・２人),0)*(1+_11・A早朝)),0)*_11・初任),0)</f>
        <v>352</v>
      </c>
      <c r="R20" s="48"/>
    </row>
    <row r="21" spans="1:18" ht="16.5" customHeight="1" x14ac:dyDescent="0.15">
      <c r="A21" s="41">
        <v>11</v>
      </c>
      <c r="B21" s="41" t="s">
        <v>697</v>
      </c>
      <c r="C21" s="74" t="s">
        <v>698</v>
      </c>
      <c r="D21" s="69"/>
      <c r="F21" s="705" t="s">
        <v>400</v>
      </c>
      <c r="G21" s="49" t="s">
        <v>398</v>
      </c>
      <c r="H21" s="50">
        <v>0.7</v>
      </c>
      <c r="I21" s="44"/>
      <c r="J21" s="45"/>
      <c r="K21" s="46"/>
      <c r="L21" s="35"/>
      <c r="N21" s="57"/>
      <c r="O21" s="709"/>
      <c r="P21" s="704"/>
      <c r="Q21" s="75">
        <f>ROUND((ROUND((ROUND((_11_A身体１．０*_11・基礎１),0)*(1+_11・A早朝)),0)*_11・初任),0)</f>
        <v>246</v>
      </c>
      <c r="R21" s="48"/>
    </row>
    <row r="22" spans="1:18" ht="16.5" customHeight="1" x14ac:dyDescent="0.15">
      <c r="A22" s="41">
        <v>11</v>
      </c>
      <c r="B22" s="41" t="s">
        <v>699</v>
      </c>
      <c r="C22" s="74" t="s">
        <v>700</v>
      </c>
      <c r="D22" s="69"/>
      <c r="F22" s="711"/>
      <c r="G22" s="37"/>
      <c r="H22" s="38"/>
      <c r="I22" s="44" t="s">
        <v>397</v>
      </c>
      <c r="J22" s="45" t="s">
        <v>398</v>
      </c>
      <c r="K22" s="46">
        <v>1</v>
      </c>
      <c r="L22" s="35"/>
      <c r="N22" s="57"/>
      <c r="O22" s="55" t="s">
        <v>398</v>
      </c>
      <c r="P22" s="38">
        <f>_11・初任</f>
        <v>0.7</v>
      </c>
      <c r="Q22" s="75">
        <f>ROUND((ROUND((ROUND((ROUND((_11_A身体１．０*_11・基礎１),0)*_11・２人),0)*(1+_11・A早朝)),0)*_11・初任),0)</f>
        <v>246</v>
      </c>
      <c r="R22" s="48"/>
    </row>
    <row r="23" spans="1:18" ht="16.5" customHeight="1" x14ac:dyDescent="0.15">
      <c r="A23" s="41">
        <v>11</v>
      </c>
      <c r="B23" s="41">
        <v>1203</v>
      </c>
      <c r="C23" s="74" t="s">
        <v>701</v>
      </c>
      <c r="D23" s="712" t="s">
        <v>702</v>
      </c>
      <c r="E23" s="717"/>
      <c r="F23" s="53"/>
      <c r="G23" s="49"/>
      <c r="H23" s="50"/>
      <c r="I23" s="44"/>
      <c r="J23" s="45"/>
      <c r="K23" s="46"/>
      <c r="L23" s="35"/>
      <c r="N23" s="57"/>
      <c r="O23" s="53"/>
      <c r="P23" s="49"/>
      <c r="Q23" s="75">
        <f>ROUND((_11_A身体１．５*(1+_11・A早朝)),0)</f>
        <v>730</v>
      </c>
      <c r="R23" s="48"/>
    </row>
    <row r="24" spans="1:18" ht="16.5" customHeight="1" x14ac:dyDescent="0.15">
      <c r="A24" s="41">
        <v>11</v>
      </c>
      <c r="B24" s="41">
        <v>1204</v>
      </c>
      <c r="C24" s="74" t="s">
        <v>703</v>
      </c>
      <c r="D24" s="703"/>
      <c r="E24" s="718"/>
      <c r="F24" s="43"/>
      <c r="G24" s="37"/>
      <c r="H24" s="38"/>
      <c r="I24" s="44" t="s">
        <v>397</v>
      </c>
      <c r="J24" s="45" t="s">
        <v>398</v>
      </c>
      <c r="K24" s="46">
        <v>1</v>
      </c>
      <c r="L24" s="35"/>
      <c r="N24" s="57"/>
      <c r="O24" s="35"/>
      <c r="Q24" s="75">
        <f>ROUND((ROUND((_11_A身体１．５*_11・２人),0)*(1+_11・A早朝)),0)</f>
        <v>730</v>
      </c>
      <c r="R24" s="48"/>
    </row>
    <row r="25" spans="1:18" ht="16.5" customHeight="1" x14ac:dyDescent="0.15">
      <c r="A25" s="41">
        <v>11</v>
      </c>
      <c r="B25" s="41">
        <v>1205</v>
      </c>
      <c r="C25" s="74" t="s">
        <v>704</v>
      </c>
      <c r="D25" s="703"/>
      <c r="E25" s="718"/>
      <c r="F25" s="705" t="s">
        <v>400</v>
      </c>
      <c r="G25" s="49" t="s">
        <v>398</v>
      </c>
      <c r="H25" s="50">
        <v>0.7</v>
      </c>
      <c r="I25" s="44"/>
      <c r="J25" s="45"/>
      <c r="K25" s="46"/>
      <c r="L25" s="35"/>
      <c r="N25" s="57"/>
      <c r="O25" s="35"/>
      <c r="Q25" s="75">
        <f>ROUND((ROUND((_11_A身体１．５*_11・基礎１),0)*(1+_11・A早朝)),0)</f>
        <v>511</v>
      </c>
      <c r="R25" s="48"/>
    </row>
    <row r="26" spans="1:18" ht="16.5" customHeight="1" x14ac:dyDescent="0.15">
      <c r="A26" s="41">
        <v>11</v>
      </c>
      <c r="B26" s="41">
        <v>1206</v>
      </c>
      <c r="C26" s="74" t="s">
        <v>705</v>
      </c>
      <c r="D26" s="51">
        <f>_11_A身体１．５</f>
        <v>584</v>
      </c>
      <c r="E26" s="76" t="s">
        <v>392</v>
      </c>
      <c r="F26" s="711"/>
      <c r="G26" s="37"/>
      <c r="H26" s="38"/>
      <c r="I26" s="44" t="s">
        <v>397</v>
      </c>
      <c r="J26" s="45" t="s">
        <v>398</v>
      </c>
      <c r="K26" s="46">
        <v>1</v>
      </c>
      <c r="L26" s="35"/>
      <c r="N26" s="57"/>
      <c r="O26" s="43"/>
      <c r="P26" s="37"/>
      <c r="Q26" s="75">
        <f>ROUND((ROUND((ROUND((_11_A身体１．５*_11・基礎１),0)*_11・２人),0)*(1+_11・A早朝)),0)</f>
        <v>511</v>
      </c>
      <c r="R26" s="48"/>
    </row>
    <row r="27" spans="1:18" ht="16.5" customHeight="1" x14ac:dyDescent="0.15">
      <c r="A27" s="41">
        <v>11</v>
      </c>
      <c r="B27" s="41" t="s">
        <v>706</v>
      </c>
      <c r="C27" s="74" t="s">
        <v>707</v>
      </c>
      <c r="D27" s="66"/>
      <c r="F27" s="53"/>
      <c r="G27" s="49"/>
      <c r="H27" s="50"/>
      <c r="I27" s="44"/>
      <c r="J27" s="45"/>
      <c r="K27" s="46"/>
      <c r="L27" s="35"/>
      <c r="N27" s="57"/>
      <c r="O27" s="707" t="s">
        <v>404</v>
      </c>
      <c r="P27" s="708"/>
      <c r="Q27" s="75">
        <f>ROUND((ROUND((_11_A身体１．５*(1+_11・A早朝)),0)*_11・初任),0)</f>
        <v>511</v>
      </c>
      <c r="R27" s="48"/>
    </row>
    <row r="28" spans="1:18" ht="16.5" customHeight="1" x14ac:dyDescent="0.15">
      <c r="A28" s="41">
        <v>11</v>
      </c>
      <c r="B28" s="41" t="s">
        <v>708</v>
      </c>
      <c r="C28" s="74" t="s">
        <v>709</v>
      </c>
      <c r="D28" s="66"/>
      <c r="F28" s="43"/>
      <c r="G28" s="37"/>
      <c r="H28" s="38"/>
      <c r="I28" s="44" t="s">
        <v>397</v>
      </c>
      <c r="J28" s="45" t="s">
        <v>398</v>
      </c>
      <c r="K28" s="46">
        <v>1</v>
      </c>
      <c r="L28" s="35"/>
      <c r="N28" s="57"/>
      <c r="O28" s="709"/>
      <c r="P28" s="704"/>
      <c r="Q28" s="75">
        <f>ROUND((ROUND((ROUND((_11_A身体１．５*_11・２人),0)*(1+_11・A早朝)),0)*_11・初任),0)</f>
        <v>511</v>
      </c>
      <c r="R28" s="48"/>
    </row>
    <row r="29" spans="1:18" ht="16.5" customHeight="1" x14ac:dyDescent="0.15">
      <c r="A29" s="41">
        <v>11</v>
      </c>
      <c r="B29" s="41" t="s">
        <v>710</v>
      </c>
      <c r="C29" s="74" t="s">
        <v>711</v>
      </c>
      <c r="D29" s="69"/>
      <c r="F29" s="705" t="s">
        <v>400</v>
      </c>
      <c r="G29" s="49" t="s">
        <v>398</v>
      </c>
      <c r="H29" s="50">
        <v>0.7</v>
      </c>
      <c r="I29" s="44"/>
      <c r="J29" s="45"/>
      <c r="K29" s="46"/>
      <c r="L29" s="35"/>
      <c r="N29" s="57"/>
      <c r="O29" s="709"/>
      <c r="P29" s="704"/>
      <c r="Q29" s="75">
        <f>ROUND((ROUND((ROUND((_11_A身体１．５*_11・基礎１),0)*(1+_11・A早朝)),0)*_11・初任),0)</f>
        <v>358</v>
      </c>
      <c r="R29" s="48"/>
    </row>
    <row r="30" spans="1:18" ht="16.5" customHeight="1" x14ac:dyDescent="0.15">
      <c r="A30" s="41">
        <v>11</v>
      </c>
      <c r="B30" s="41" t="s">
        <v>712</v>
      </c>
      <c r="C30" s="74" t="s">
        <v>713</v>
      </c>
      <c r="D30" s="69"/>
      <c r="F30" s="711"/>
      <c r="G30" s="37"/>
      <c r="H30" s="38"/>
      <c r="I30" s="44" t="s">
        <v>397</v>
      </c>
      <c r="J30" s="45" t="s">
        <v>398</v>
      </c>
      <c r="K30" s="46">
        <v>1</v>
      </c>
      <c r="L30" s="35"/>
      <c r="N30" s="57"/>
      <c r="O30" s="55" t="s">
        <v>398</v>
      </c>
      <c r="P30" s="38">
        <f>_11・初任</f>
        <v>0.7</v>
      </c>
      <c r="Q30" s="75">
        <f>ROUND((ROUND((ROUND((ROUND((_11_A身体１．５*_11・基礎１),0)*_11・２人),0)*(1+_11・A早朝)),0)*_11・初任),0)</f>
        <v>358</v>
      </c>
      <c r="R30" s="48"/>
    </row>
    <row r="31" spans="1:18" ht="16.5" customHeight="1" x14ac:dyDescent="0.15">
      <c r="A31" s="41">
        <v>11</v>
      </c>
      <c r="B31" s="41">
        <v>1207</v>
      </c>
      <c r="C31" s="74" t="s">
        <v>714</v>
      </c>
      <c r="D31" s="712" t="s">
        <v>715</v>
      </c>
      <c r="E31" s="717"/>
      <c r="F31" s="53"/>
      <c r="G31" s="49"/>
      <c r="H31" s="50"/>
      <c r="I31" s="44"/>
      <c r="J31" s="45"/>
      <c r="K31" s="46"/>
      <c r="L31" s="35"/>
      <c r="N31" s="57"/>
      <c r="O31" s="53"/>
      <c r="P31" s="49"/>
      <c r="Q31" s="75">
        <f>ROUND((_11_A身体２．０*(1+_11・A早朝)),0)</f>
        <v>833</v>
      </c>
      <c r="R31" s="48"/>
    </row>
    <row r="32" spans="1:18" ht="16.5" customHeight="1" x14ac:dyDescent="0.15">
      <c r="A32" s="41">
        <v>11</v>
      </c>
      <c r="B32" s="41">
        <v>1208</v>
      </c>
      <c r="C32" s="74" t="s">
        <v>716</v>
      </c>
      <c r="D32" s="703"/>
      <c r="E32" s="718"/>
      <c r="F32" s="43"/>
      <c r="G32" s="37"/>
      <c r="H32" s="38"/>
      <c r="I32" s="44" t="s">
        <v>397</v>
      </c>
      <c r="J32" s="45" t="s">
        <v>398</v>
      </c>
      <c r="K32" s="46">
        <v>1</v>
      </c>
      <c r="L32" s="35"/>
      <c r="N32" s="57"/>
      <c r="O32" s="35"/>
      <c r="Q32" s="75">
        <f>ROUND((ROUND((_11_A身体２．０*_11・２人),0)*(1+_11・A早朝)),0)</f>
        <v>833</v>
      </c>
      <c r="R32" s="48"/>
    </row>
    <row r="33" spans="1:18" ht="16.5" customHeight="1" x14ac:dyDescent="0.15">
      <c r="A33" s="41">
        <v>11</v>
      </c>
      <c r="B33" s="41">
        <v>1209</v>
      </c>
      <c r="C33" s="74" t="s">
        <v>717</v>
      </c>
      <c r="D33" s="703"/>
      <c r="E33" s="718"/>
      <c r="F33" s="705" t="s">
        <v>400</v>
      </c>
      <c r="G33" s="49" t="s">
        <v>398</v>
      </c>
      <c r="H33" s="50">
        <v>0.7</v>
      </c>
      <c r="I33" s="44"/>
      <c r="J33" s="45"/>
      <c r="K33" s="46"/>
      <c r="L33" s="35"/>
      <c r="N33" s="57"/>
      <c r="O33" s="35"/>
      <c r="Q33" s="75">
        <f>ROUND((ROUND((_11_A身体２．０*_11・基礎１),0)*(1+_11・A早朝)),0)</f>
        <v>583</v>
      </c>
      <c r="R33" s="48"/>
    </row>
    <row r="34" spans="1:18" ht="16.5" customHeight="1" x14ac:dyDescent="0.15">
      <c r="A34" s="41">
        <v>11</v>
      </c>
      <c r="B34" s="41">
        <v>1210</v>
      </c>
      <c r="C34" s="74" t="s">
        <v>718</v>
      </c>
      <c r="D34" s="51">
        <f>_11_A身体２．０</f>
        <v>666</v>
      </c>
      <c r="E34" s="76" t="s">
        <v>392</v>
      </c>
      <c r="F34" s="711"/>
      <c r="G34" s="37"/>
      <c r="H34" s="38"/>
      <c r="I34" s="44" t="s">
        <v>397</v>
      </c>
      <c r="J34" s="45" t="s">
        <v>398</v>
      </c>
      <c r="K34" s="46">
        <v>1</v>
      </c>
      <c r="L34" s="35"/>
      <c r="N34" s="57"/>
      <c r="O34" s="43"/>
      <c r="P34" s="37"/>
      <c r="Q34" s="75">
        <f>ROUND((ROUND((ROUND((_11_A身体２．０*_11・基礎１),0)*_11・２人),0)*(1+_11・A早朝)),0)</f>
        <v>583</v>
      </c>
      <c r="R34" s="48"/>
    </row>
    <row r="35" spans="1:18" ht="16.5" customHeight="1" x14ac:dyDescent="0.15">
      <c r="A35" s="41">
        <v>11</v>
      </c>
      <c r="B35" s="41" t="s">
        <v>719</v>
      </c>
      <c r="C35" s="74" t="s">
        <v>720</v>
      </c>
      <c r="D35" s="66"/>
      <c r="F35" s="53"/>
      <c r="G35" s="49"/>
      <c r="H35" s="50"/>
      <c r="I35" s="44"/>
      <c r="J35" s="45"/>
      <c r="K35" s="46"/>
      <c r="L35" s="35"/>
      <c r="N35" s="57"/>
      <c r="O35" s="707" t="s">
        <v>404</v>
      </c>
      <c r="P35" s="708"/>
      <c r="Q35" s="75">
        <f>ROUND((ROUND((_11_A身体２．０*(1+_11・A早朝)),0)*_11・初任),0)</f>
        <v>583</v>
      </c>
      <c r="R35" s="48"/>
    </row>
    <row r="36" spans="1:18" ht="16.5" customHeight="1" x14ac:dyDescent="0.15">
      <c r="A36" s="41">
        <v>11</v>
      </c>
      <c r="B36" s="41" t="s">
        <v>721</v>
      </c>
      <c r="C36" s="74" t="s">
        <v>722</v>
      </c>
      <c r="D36" s="66"/>
      <c r="F36" s="43"/>
      <c r="G36" s="37"/>
      <c r="H36" s="38"/>
      <c r="I36" s="44" t="s">
        <v>397</v>
      </c>
      <c r="J36" s="45" t="s">
        <v>398</v>
      </c>
      <c r="K36" s="46">
        <v>1</v>
      </c>
      <c r="L36" s="35"/>
      <c r="N36" s="57"/>
      <c r="O36" s="709"/>
      <c r="P36" s="704"/>
      <c r="Q36" s="75">
        <f>ROUND((ROUND((ROUND((_11_A身体２．０*_11・２人),0)*(1+_11・A早朝)),0)*_11・初任),0)</f>
        <v>583</v>
      </c>
      <c r="R36" s="48"/>
    </row>
    <row r="37" spans="1:18" ht="16.5" customHeight="1" x14ac:dyDescent="0.15">
      <c r="A37" s="41">
        <v>11</v>
      </c>
      <c r="B37" s="41" t="s">
        <v>723</v>
      </c>
      <c r="C37" s="74" t="s">
        <v>724</v>
      </c>
      <c r="D37" s="69"/>
      <c r="F37" s="705" t="s">
        <v>400</v>
      </c>
      <c r="G37" s="49" t="s">
        <v>398</v>
      </c>
      <c r="H37" s="50">
        <v>0.7</v>
      </c>
      <c r="I37" s="44"/>
      <c r="J37" s="45"/>
      <c r="K37" s="46"/>
      <c r="L37" s="35"/>
      <c r="N37" s="57"/>
      <c r="O37" s="709"/>
      <c r="P37" s="704"/>
      <c r="Q37" s="75">
        <f>ROUND((ROUND((ROUND((_11_A身体２．０*_11・基礎１),0)*(1+_11・A早朝)),0)*_11・初任),0)</f>
        <v>408</v>
      </c>
      <c r="R37" s="48"/>
    </row>
    <row r="38" spans="1:18" ht="16.5" customHeight="1" x14ac:dyDescent="0.15">
      <c r="A38" s="41">
        <v>11</v>
      </c>
      <c r="B38" s="41" t="s">
        <v>725</v>
      </c>
      <c r="C38" s="74" t="s">
        <v>726</v>
      </c>
      <c r="D38" s="69"/>
      <c r="F38" s="711"/>
      <c r="G38" s="37"/>
      <c r="H38" s="38"/>
      <c r="I38" s="44" t="s">
        <v>397</v>
      </c>
      <c r="J38" s="45" t="s">
        <v>398</v>
      </c>
      <c r="K38" s="46">
        <v>1</v>
      </c>
      <c r="L38" s="35"/>
      <c r="N38" s="57"/>
      <c r="O38" s="55" t="s">
        <v>398</v>
      </c>
      <c r="P38" s="38">
        <f>_11・初任</f>
        <v>0.7</v>
      </c>
      <c r="Q38" s="75">
        <f>ROUND((ROUND((ROUND((ROUND((_11_A身体２．０*_11・基礎１),0)*_11・２人),0)*(1+_11・A早朝)),0)*_11・初任),0)</f>
        <v>408</v>
      </c>
      <c r="R38" s="48"/>
    </row>
    <row r="39" spans="1:18" ht="16.5" customHeight="1" x14ac:dyDescent="0.15">
      <c r="A39" s="41">
        <v>11</v>
      </c>
      <c r="B39" s="41">
        <v>1211</v>
      </c>
      <c r="C39" s="74" t="s">
        <v>727</v>
      </c>
      <c r="D39" s="712" t="s">
        <v>728</v>
      </c>
      <c r="E39" s="717"/>
      <c r="F39" s="53"/>
      <c r="G39" s="49"/>
      <c r="H39" s="50"/>
      <c r="I39" s="44"/>
      <c r="J39" s="45"/>
      <c r="K39" s="46"/>
      <c r="L39" s="35"/>
      <c r="N39" s="57"/>
      <c r="O39" s="53"/>
      <c r="P39" s="49"/>
      <c r="Q39" s="75">
        <f>ROUND((_11_A身体２．５*(1+_11・A早朝)),0)</f>
        <v>938</v>
      </c>
      <c r="R39" s="48"/>
    </row>
    <row r="40" spans="1:18" ht="16.5" customHeight="1" x14ac:dyDescent="0.15">
      <c r="A40" s="41">
        <v>11</v>
      </c>
      <c r="B40" s="41">
        <v>1212</v>
      </c>
      <c r="C40" s="74" t="s">
        <v>729</v>
      </c>
      <c r="D40" s="703"/>
      <c r="E40" s="718"/>
      <c r="F40" s="43"/>
      <c r="G40" s="37"/>
      <c r="H40" s="38"/>
      <c r="I40" s="44" t="s">
        <v>397</v>
      </c>
      <c r="J40" s="45" t="s">
        <v>398</v>
      </c>
      <c r="K40" s="46">
        <v>1</v>
      </c>
      <c r="L40" s="35"/>
      <c r="N40" s="57"/>
      <c r="O40" s="35"/>
      <c r="Q40" s="75">
        <f>ROUND((ROUND((_11_A身体２．５*_11・２人),0)*(1+_11・A早朝)),0)</f>
        <v>938</v>
      </c>
      <c r="R40" s="48"/>
    </row>
    <row r="41" spans="1:18" ht="16.5" customHeight="1" x14ac:dyDescent="0.15">
      <c r="A41" s="41">
        <v>11</v>
      </c>
      <c r="B41" s="41">
        <v>1213</v>
      </c>
      <c r="C41" s="74" t="s">
        <v>730</v>
      </c>
      <c r="D41" s="703"/>
      <c r="E41" s="718"/>
      <c r="F41" s="705" t="s">
        <v>400</v>
      </c>
      <c r="G41" s="49" t="s">
        <v>398</v>
      </c>
      <c r="H41" s="50">
        <v>0.7</v>
      </c>
      <c r="I41" s="44"/>
      <c r="J41" s="45"/>
      <c r="K41" s="46"/>
      <c r="L41" s="35"/>
      <c r="N41" s="57"/>
      <c r="O41" s="35"/>
      <c r="Q41" s="75">
        <f>ROUND((ROUND((_11_A身体２．５*_11・基礎１),0)*(1+_11・A早朝)),0)</f>
        <v>656</v>
      </c>
      <c r="R41" s="48"/>
    </row>
    <row r="42" spans="1:18" ht="16.5" customHeight="1" x14ac:dyDescent="0.15">
      <c r="A42" s="41">
        <v>11</v>
      </c>
      <c r="B42" s="41">
        <v>1214</v>
      </c>
      <c r="C42" s="74" t="s">
        <v>731</v>
      </c>
      <c r="D42" s="51">
        <f>_11_A身体２．５</f>
        <v>750</v>
      </c>
      <c r="E42" s="76" t="s">
        <v>392</v>
      </c>
      <c r="F42" s="711"/>
      <c r="G42" s="37"/>
      <c r="H42" s="38"/>
      <c r="I42" s="44" t="s">
        <v>397</v>
      </c>
      <c r="J42" s="45" t="s">
        <v>398</v>
      </c>
      <c r="K42" s="46">
        <v>1</v>
      </c>
      <c r="L42" s="35"/>
      <c r="N42" s="57"/>
      <c r="O42" s="43"/>
      <c r="P42" s="37"/>
      <c r="Q42" s="75">
        <f>ROUND((ROUND((ROUND((_11_A身体２．５*_11・基礎１),0)*_11・２人),0)*(1+_11・A早朝)),0)</f>
        <v>656</v>
      </c>
      <c r="R42" s="48"/>
    </row>
    <row r="43" spans="1:18" ht="16.5" customHeight="1" x14ac:dyDescent="0.15">
      <c r="A43" s="41">
        <v>11</v>
      </c>
      <c r="B43" s="41" t="s">
        <v>732</v>
      </c>
      <c r="C43" s="74" t="s">
        <v>733</v>
      </c>
      <c r="D43" s="66"/>
      <c r="F43" s="53"/>
      <c r="G43" s="49"/>
      <c r="H43" s="50"/>
      <c r="I43" s="44"/>
      <c r="J43" s="45"/>
      <c r="K43" s="46"/>
      <c r="L43" s="35"/>
      <c r="N43" s="57"/>
      <c r="O43" s="707" t="s">
        <v>404</v>
      </c>
      <c r="P43" s="708"/>
      <c r="Q43" s="75">
        <f>ROUND((ROUND((_11_A身体２．５*(1+_11・A早朝)),0)*_11・初任),0)</f>
        <v>657</v>
      </c>
      <c r="R43" s="48"/>
    </row>
    <row r="44" spans="1:18" ht="16.5" customHeight="1" x14ac:dyDescent="0.15">
      <c r="A44" s="41">
        <v>11</v>
      </c>
      <c r="B44" s="41" t="s">
        <v>734</v>
      </c>
      <c r="C44" s="74" t="s">
        <v>735</v>
      </c>
      <c r="D44" s="66"/>
      <c r="F44" s="43"/>
      <c r="G44" s="37"/>
      <c r="H44" s="38"/>
      <c r="I44" s="44" t="s">
        <v>397</v>
      </c>
      <c r="J44" s="45" t="s">
        <v>398</v>
      </c>
      <c r="K44" s="46">
        <v>1</v>
      </c>
      <c r="L44" s="35"/>
      <c r="N44" s="57"/>
      <c r="O44" s="709"/>
      <c r="P44" s="704"/>
      <c r="Q44" s="75">
        <f>ROUND((ROUND((ROUND((_11_A身体２．５*_11・２人),0)*(1+_11・A早朝)),0)*_11・初任),0)</f>
        <v>657</v>
      </c>
      <c r="R44" s="48"/>
    </row>
    <row r="45" spans="1:18" ht="16.5" customHeight="1" x14ac:dyDescent="0.15">
      <c r="A45" s="41">
        <v>11</v>
      </c>
      <c r="B45" s="41" t="s">
        <v>736</v>
      </c>
      <c r="C45" s="74" t="s">
        <v>737</v>
      </c>
      <c r="D45" s="69"/>
      <c r="F45" s="705" t="s">
        <v>400</v>
      </c>
      <c r="G45" s="49" t="s">
        <v>398</v>
      </c>
      <c r="H45" s="50">
        <v>0.7</v>
      </c>
      <c r="I45" s="44"/>
      <c r="J45" s="45"/>
      <c r="K45" s="46"/>
      <c r="L45" s="35"/>
      <c r="N45" s="57"/>
      <c r="O45" s="709"/>
      <c r="P45" s="704"/>
      <c r="Q45" s="75">
        <f>ROUND((ROUND((ROUND((_11_A身体２．５*_11・基礎１),0)*(1+_11・A早朝)),0)*_11・初任),0)</f>
        <v>459</v>
      </c>
      <c r="R45" s="48"/>
    </row>
    <row r="46" spans="1:18" ht="16.5" customHeight="1" x14ac:dyDescent="0.15">
      <c r="A46" s="41">
        <v>11</v>
      </c>
      <c r="B46" s="41" t="s">
        <v>738</v>
      </c>
      <c r="C46" s="74" t="s">
        <v>739</v>
      </c>
      <c r="D46" s="70"/>
      <c r="E46" s="37"/>
      <c r="F46" s="711"/>
      <c r="G46" s="37"/>
      <c r="H46" s="38"/>
      <c r="I46" s="44" t="s">
        <v>397</v>
      </c>
      <c r="J46" s="45" t="s">
        <v>398</v>
      </c>
      <c r="K46" s="46">
        <v>1</v>
      </c>
      <c r="L46" s="43"/>
      <c r="M46" s="38"/>
      <c r="N46" s="79"/>
      <c r="O46" s="55" t="s">
        <v>398</v>
      </c>
      <c r="P46" s="38">
        <f>_11・初任</f>
        <v>0.7</v>
      </c>
      <c r="Q46" s="75">
        <f>ROUND((ROUND((ROUND((ROUND((_11_A身体２．５*_11・基礎１),0)*_11・２人),0)*(1+_11・A早朝)),0)*_11・初任),0)</f>
        <v>459</v>
      </c>
      <c r="R46" s="63"/>
    </row>
    <row r="47" spans="1:18" ht="16.5" customHeight="1" x14ac:dyDescent="0.15">
      <c r="A47" s="80"/>
      <c r="B47" s="80"/>
      <c r="C47" s="81"/>
      <c r="D47" s="82"/>
      <c r="F47" s="83"/>
      <c r="Q47" s="84"/>
      <c r="R47" s="85"/>
    </row>
    <row r="48" spans="1:18" ht="16.5" customHeight="1" x14ac:dyDescent="0.15">
      <c r="A48" s="80"/>
      <c r="B48" s="80"/>
      <c r="C48" s="81"/>
      <c r="D48" s="82"/>
      <c r="F48" s="83"/>
      <c r="Q48" s="84"/>
      <c r="R48" s="85"/>
    </row>
    <row r="49" spans="1:18" ht="16.5" customHeight="1" x14ac:dyDescent="0.15">
      <c r="A49" s="80"/>
      <c r="B49" s="86" t="s">
        <v>740</v>
      </c>
      <c r="C49" s="81"/>
      <c r="D49" s="82"/>
      <c r="F49" s="83"/>
      <c r="Q49" s="84"/>
      <c r="R49" s="85"/>
    </row>
    <row r="50" spans="1:18" ht="16.5" customHeight="1" x14ac:dyDescent="0.15">
      <c r="A50" s="87" t="s">
        <v>384</v>
      </c>
      <c r="B50" s="20"/>
      <c r="C50" s="88" t="s">
        <v>385</v>
      </c>
      <c r="D50" s="719" t="s">
        <v>386</v>
      </c>
      <c r="E50" s="720"/>
      <c r="F50" s="724"/>
      <c r="G50" s="720"/>
      <c r="H50" s="720"/>
      <c r="I50" s="720"/>
      <c r="J50" s="720"/>
      <c r="K50" s="720"/>
      <c r="L50" s="720"/>
      <c r="M50" s="720"/>
      <c r="N50" s="720"/>
      <c r="O50" s="720"/>
      <c r="P50" s="720"/>
      <c r="Q50" s="25" t="s">
        <v>387</v>
      </c>
      <c r="R50" s="21" t="s">
        <v>388</v>
      </c>
    </row>
    <row r="51" spans="1:18" ht="16.5" customHeight="1" x14ac:dyDescent="0.15">
      <c r="A51" s="26" t="s">
        <v>389</v>
      </c>
      <c r="B51" s="26" t="s">
        <v>390</v>
      </c>
      <c r="C51" s="89"/>
      <c r="D51" s="29"/>
      <c r="E51" s="29"/>
      <c r="F51" s="90"/>
      <c r="G51" s="29"/>
      <c r="H51" s="30"/>
      <c r="I51" s="29"/>
      <c r="J51" s="29"/>
      <c r="K51" s="30"/>
      <c r="L51" s="29"/>
      <c r="M51" s="30"/>
      <c r="N51" s="29"/>
      <c r="O51" s="29"/>
      <c r="P51" s="29"/>
      <c r="Q51" s="31" t="s">
        <v>391</v>
      </c>
      <c r="R51" s="32" t="s">
        <v>392</v>
      </c>
    </row>
    <row r="52" spans="1:18" ht="16.5" customHeight="1" x14ac:dyDescent="0.15">
      <c r="A52" s="33">
        <v>11</v>
      </c>
      <c r="B52" s="33">
        <v>1215</v>
      </c>
      <c r="C52" s="34" t="s">
        <v>741</v>
      </c>
      <c r="D52" s="703" t="s">
        <v>742</v>
      </c>
      <c r="E52" s="718"/>
      <c r="F52" s="91"/>
      <c r="I52" s="36"/>
      <c r="J52" s="37"/>
      <c r="K52" s="38"/>
      <c r="L52" s="92" t="s">
        <v>743</v>
      </c>
      <c r="N52" s="57"/>
      <c r="O52" s="35"/>
      <c r="Q52" s="93">
        <f>ROUND((_11_A身体０．５*(1+_11・A夜間)),0)</f>
        <v>319</v>
      </c>
      <c r="R52" s="40" t="s">
        <v>395</v>
      </c>
    </row>
    <row r="53" spans="1:18" ht="16.5" customHeight="1" x14ac:dyDescent="0.15">
      <c r="A53" s="41">
        <v>11</v>
      </c>
      <c r="B53" s="41">
        <v>1216</v>
      </c>
      <c r="C53" s="74" t="s">
        <v>744</v>
      </c>
      <c r="D53" s="703"/>
      <c r="E53" s="718"/>
      <c r="F53" s="94"/>
      <c r="G53" s="37"/>
      <c r="H53" s="38"/>
      <c r="I53" s="44" t="s">
        <v>397</v>
      </c>
      <c r="J53" s="45" t="s">
        <v>398</v>
      </c>
      <c r="K53" s="46">
        <v>1</v>
      </c>
      <c r="L53" s="35" t="s">
        <v>398</v>
      </c>
      <c r="M53" s="13">
        <v>0.25</v>
      </c>
      <c r="N53" s="721" t="s">
        <v>676</v>
      </c>
      <c r="O53" s="35"/>
      <c r="Q53" s="95">
        <f>ROUND((ROUND((_11_A身体０．５*_11・２人),0)*(1+_11・A夜間)),0)</f>
        <v>319</v>
      </c>
      <c r="R53" s="48"/>
    </row>
    <row r="54" spans="1:18" ht="16.5" customHeight="1" x14ac:dyDescent="0.15">
      <c r="A54" s="41">
        <v>11</v>
      </c>
      <c r="B54" s="41">
        <v>1217</v>
      </c>
      <c r="C54" s="74" t="s">
        <v>745</v>
      </c>
      <c r="D54" s="703"/>
      <c r="E54" s="718"/>
      <c r="F54" s="705" t="s">
        <v>400</v>
      </c>
      <c r="G54" s="49" t="s">
        <v>398</v>
      </c>
      <c r="H54" s="50">
        <v>0.7</v>
      </c>
      <c r="I54" s="44"/>
      <c r="J54" s="45"/>
      <c r="K54" s="46"/>
      <c r="L54" s="35"/>
      <c r="N54" s="721"/>
      <c r="O54" s="35"/>
      <c r="Q54" s="95">
        <f>ROUND((ROUND((_11_A身体０．５*_11・基礎１),0)*(1+_11・A夜間)),0)</f>
        <v>224</v>
      </c>
      <c r="R54" s="48"/>
    </row>
    <row r="55" spans="1:18" ht="16.5" customHeight="1" x14ac:dyDescent="0.15">
      <c r="A55" s="41">
        <v>11</v>
      </c>
      <c r="B55" s="41">
        <v>1218</v>
      </c>
      <c r="C55" s="74" t="s">
        <v>746</v>
      </c>
      <c r="D55" s="51">
        <f>_11_A身体０．５</f>
        <v>255</v>
      </c>
      <c r="E55" s="12" t="s">
        <v>392</v>
      </c>
      <c r="F55" s="723"/>
      <c r="G55" s="37"/>
      <c r="H55" s="38"/>
      <c r="I55" s="44" t="s">
        <v>397</v>
      </c>
      <c r="J55" s="45" t="s">
        <v>398</v>
      </c>
      <c r="K55" s="46">
        <v>1</v>
      </c>
      <c r="L55" s="35"/>
      <c r="N55" s="57"/>
      <c r="O55" s="43"/>
      <c r="P55" s="37"/>
      <c r="Q55" s="95">
        <f>ROUND((ROUND((ROUND((_11_A身体０．５*_11・基礎１),0)*_11・２人),0)*(1+_11・A夜間)),0)</f>
        <v>224</v>
      </c>
      <c r="R55" s="48"/>
    </row>
    <row r="56" spans="1:18" ht="16.5" customHeight="1" x14ac:dyDescent="0.15">
      <c r="A56" s="41">
        <v>11</v>
      </c>
      <c r="B56" s="41" t="s">
        <v>747</v>
      </c>
      <c r="C56" s="74" t="s">
        <v>748</v>
      </c>
      <c r="D56" s="66"/>
      <c r="F56" s="96"/>
      <c r="G56" s="49"/>
      <c r="H56" s="50"/>
      <c r="I56" s="44"/>
      <c r="J56" s="45"/>
      <c r="K56" s="46"/>
      <c r="L56" s="35"/>
      <c r="N56" s="57"/>
      <c r="O56" s="707" t="s">
        <v>404</v>
      </c>
      <c r="P56" s="708"/>
      <c r="Q56" s="95">
        <f>ROUND((ROUND((_11_A身体０．５*(1+_11・A夜間)),0)*_11・初任),0)</f>
        <v>223</v>
      </c>
      <c r="R56" s="48"/>
    </row>
    <row r="57" spans="1:18" ht="16.5" customHeight="1" x14ac:dyDescent="0.15">
      <c r="A57" s="41">
        <v>11</v>
      </c>
      <c r="B57" s="41" t="s">
        <v>749</v>
      </c>
      <c r="C57" s="74" t="s">
        <v>750</v>
      </c>
      <c r="D57" s="66"/>
      <c r="F57" s="94"/>
      <c r="G57" s="37"/>
      <c r="H57" s="38"/>
      <c r="I57" s="44" t="s">
        <v>397</v>
      </c>
      <c r="J57" s="45" t="s">
        <v>398</v>
      </c>
      <c r="K57" s="46">
        <v>1</v>
      </c>
      <c r="L57" s="35"/>
      <c r="N57" s="57"/>
      <c r="O57" s="709"/>
      <c r="P57" s="704"/>
      <c r="Q57" s="95">
        <f>ROUND((ROUND((ROUND((_11_A身体０．５*_11・２人),0)*(1+_11・A夜間)),0)*_11・初任),0)</f>
        <v>223</v>
      </c>
      <c r="R57" s="48"/>
    </row>
    <row r="58" spans="1:18" ht="16.5" customHeight="1" x14ac:dyDescent="0.15">
      <c r="A58" s="41">
        <v>11</v>
      </c>
      <c r="B58" s="41" t="s">
        <v>751</v>
      </c>
      <c r="C58" s="74" t="s">
        <v>752</v>
      </c>
      <c r="D58" s="69"/>
      <c r="F58" s="705" t="s">
        <v>400</v>
      </c>
      <c r="G58" s="49" t="s">
        <v>398</v>
      </c>
      <c r="H58" s="50">
        <v>0.7</v>
      </c>
      <c r="I58" s="44"/>
      <c r="J58" s="45"/>
      <c r="K58" s="46"/>
      <c r="L58" s="35"/>
      <c r="N58" s="57"/>
      <c r="O58" s="709"/>
      <c r="P58" s="704"/>
      <c r="Q58" s="95">
        <f>ROUND((ROUND((ROUND((_11_A身体０．５*_11・基礎１),0)*(1+_11・A夜間)),0)*_11・初任),0)</f>
        <v>157</v>
      </c>
      <c r="R58" s="48"/>
    </row>
    <row r="59" spans="1:18" ht="16.5" customHeight="1" x14ac:dyDescent="0.15">
      <c r="A59" s="41">
        <v>11</v>
      </c>
      <c r="B59" s="41" t="s">
        <v>753</v>
      </c>
      <c r="C59" s="74" t="s">
        <v>754</v>
      </c>
      <c r="D59" s="69"/>
      <c r="F59" s="723"/>
      <c r="G59" s="37"/>
      <c r="H59" s="38"/>
      <c r="I59" s="44" t="s">
        <v>397</v>
      </c>
      <c r="J59" s="45" t="s">
        <v>398</v>
      </c>
      <c r="K59" s="46">
        <v>1</v>
      </c>
      <c r="L59" s="35"/>
      <c r="N59" s="57"/>
      <c r="O59" s="55" t="s">
        <v>398</v>
      </c>
      <c r="P59" s="38">
        <f>_11・初任</f>
        <v>0.7</v>
      </c>
      <c r="Q59" s="95">
        <f>ROUND((ROUND((ROUND((ROUND((_11_A身体０．５*_11・基礎１),0)*_11・２人),0)*(1+_11・A夜間)),0)*_11・初任),0)</f>
        <v>157</v>
      </c>
      <c r="R59" s="48"/>
    </row>
    <row r="60" spans="1:18" ht="16.5" customHeight="1" x14ac:dyDescent="0.15">
      <c r="A60" s="41">
        <v>11</v>
      </c>
      <c r="B60" s="41">
        <v>1219</v>
      </c>
      <c r="C60" s="74" t="s">
        <v>755</v>
      </c>
      <c r="D60" s="712" t="s">
        <v>756</v>
      </c>
      <c r="E60" s="717"/>
      <c r="F60" s="96"/>
      <c r="G60" s="49"/>
      <c r="H60" s="50"/>
      <c r="I60" s="44"/>
      <c r="J60" s="45"/>
      <c r="K60" s="46"/>
      <c r="L60" s="35"/>
      <c r="N60" s="57"/>
      <c r="O60" s="53"/>
      <c r="P60" s="49"/>
      <c r="Q60" s="95">
        <f>ROUND((_11_A身体１．０*(1+_11・A夜間)),0)</f>
        <v>503</v>
      </c>
      <c r="R60" s="48"/>
    </row>
    <row r="61" spans="1:18" ht="16.5" customHeight="1" x14ac:dyDescent="0.15">
      <c r="A61" s="41">
        <v>11</v>
      </c>
      <c r="B61" s="41">
        <v>1220</v>
      </c>
      <c r="C61" s="74" t="s">
        <v>757</v>
      </c>
      <c r="D61" s="703"/>
      <c r="E61" s="718"/>
      <c r="F61" s="94"/>
      <c r="G61" s="37"/>
      <c r="H61" s="38"/>
      <c r="I61" s="44" t="s">
        <v>397</v>
      </c>
      <c r="J61" s="45" t="s">
        <v>398</v>
      </c>
      <c r="K61" s="46">
        <v>1</v>
      </c>
      <c r="L61" s="35"/>
      <c r="N61" s="57"/>
      <c r="O61" s="35"/>
      <c r="Q61" s="95">
        <f>ROUND((ROUND((_11_A身体１．０*_11・２人),0)*(1+_11・A夜間)),0)</f>
        <v>503</v>
      </c>
      <c r="R61" s="48"/>
    </row>
    <row r="62" spans="1:18" ht="16.5" customHeight="1" x14ac:dyDescent="0.15">
      <c r="A62" s="41">
        <v>11</v>
      </c>
      <c r="B62" s="41">
        <v>1221</v>
      </c>
      <c r="C62" s="74" t="s">
        <v>758</v>
      </c>
      <c r="D62" s="703"/>
      <c r="E62" s="718"/>
      <c r="F62" s="705" t="s">
        <v>400</v>
      </c>
      <c r="G62" s="49" t="s">
        <v>398</v>
      </c>
      <c r="H62" s="50">
        <v>0.7</v>
      </c>
      <c r="I62" s="44"/>
      <c r="J62" s="45"/>
      <c r="K62" s="46"/>
      <c r="L62" s="35"/>
      <c r="N62" s="57"/>
      <c r="O62" s="35"/>
      <c r="Q62" s="95">
        <f>ROUND((ROUND((_11_A身体１．０*_11・基礎１),0)*(1+_11・A夜間)),0)</f>
        <v>351</v>
      </c>
      <c r="R62" s="48"/>
    </row>
    <row r="63" spans="1:18" ht="16.5" customHeight="1" x14ac:dyDescent="0.15">
      <c r="A63" s="41">
        <v>11</v>
      </c>
      <c r="B63" s="41">
        <v>1222</v>
      </c>
      <c r="C63" s="74" t="s">
        <v>759</v>
      </c>
      <c r="D63" s="51">
        <f>_11_A身体１．０</f>
        <v>402</v>
      </c>
      <c r="E63" s="12" t="s">
        <v>392</v>
      </c>
      <c r="F63" s="723"/>
      <c r="G63" s="37"/>
      <c r="H63" s="38"/>
      <c r="I63" s="44" t="s">
        <v>397</v>
      </c>
      <c r="J63" s="45" t="s">
        <v>398</v>
      </c>
      <c r="K63" s="46">
        <v>1</v>
      </c>
      <c r="L63" s="35"/>
      <c r="N63" s="57"/>
      <c r="O63" s="43"/>
      <c r="P63" s="37"/>
      <c r="Q63" s="95">
        <f>ROUND((ROUND((ROUND((_11_A身体１．０*_11・基礎１),0)*_11・２人),0)*(1+_11・A夜間)),0)</f>
        <v>351</v>
      </c>
      <c r="R63" s="48"/>
    </row>
    <row r="64" spans="1:18" ht="16.5" customHeight="1" x14ac:dyDescent="0.15">
      <c r="A64" s="41">
        <v>11</v>
      </c>
      <c r="B64" s="41" t="s">
        <v>760</v>
      </c>
      <c r="C64" s="74" t="s">
        <v>761</v>
      </c>
      <c r="D64" s="66"/>
      <c r="F64" s="96"/>
      <c r="G64" s="49"/>
      <c r="H64" s="50"/>
      <c r="I64" s="44"/>
      <c r="J64" s="45"/>
      <c r="K64" s="46"/>
      <c r="L64" s="35"/>
      <c r="N64" s="57"/>
      <c r="O64" s="707" t="s">
        <v>404</v>
      </c>
      <c r="P64" s="708"/>
      <c r="Q64" s="95">
        <f>ROUND((ROUND((_11_A身体１．０*(1+_11・A夜間)),0)*_11・初任),0)</f>
        <v>352</v>
      </c>
      <c r="R64" s="48"/>
    </row>
    <row r="65" spans="1:18" ht="16.5" customHeight="1" x14ac:dyDescent="0.15">
      <c r="A65" s="41">
        <v>11</v>
      </c>
      <c r="B65" s="41" t="s">
        <v>762</v>
      </c>
      <c r="C65" s="74" t="s">
        <v>763</v>
      </c>
      <c r="D65" s="66"/>
      <c r="F65" s="94"/>
      <c r="G65" s="37"/>
      <c r="H65" s="38"/>
      <c r="I65" s="44" t="s">
        <v>397</v>
      </c>
      <c r="J65" s="45" t="s">
        <v>398</v>
      </c>
      <c r="K65" s="46">
        <v>1</v>
      </c>
      <c r="L65" s="35"/>
      <c r="N65" s="57"/>
      <c r="O65" s="709"/>
      <c r="P65" s="704"/>
      <c r="Q65" s="95">
        <f>ROUND((ROUND((ROUND((_11_A身体１．０*_11・２人),0)*(1+_11・A夜間)),0)*_11・初任),0)</f>
        <v>352</v>
      </c>
      <c r="R65" s="48"/>
    </row>
    <row r="66" spans="1:18" ht="16.5" customHeight="1" x14ac:dyDescent="0.15">
      <c r="A66" s="41">
        <v>11</v>
      </c>
      <c r="B66" s="41" t="s">
        <v>764</v>
      </c>
      <c r="C66" s="74" t="s">
        <v>765</v>
      </c>
      <c r="D66" s="69"/>
      <c r="F66" s="705" t="s">
        <v>400</v>
      </c>
      <c r="G66" s="49" t="s">
        <v>398</v>
      </c>
      <c r="H66" s="50">
        <v>0.7</v>
      </c>
      <c r="I66" s="44"/>
      <c r="J66" s="45"/>
      <c r="K66" s="46"/>
      <c r="L66" s="35"/>
      <c r="N66" s="57"/>
      <c r="O66" s="709"/>
      <c r="P66" s="704"/>
      <c r="Q66" s="95">
        <f>ROUND((ROUND((ROUND((_11_A身体１．０*_11・基礎１),0)*(1+_11・A夜間)),0)*_11・初任),0)</f>
        <v>246</v>
      </c>
      <c r="R66" s="48"/>
    </row>
    <row r="67" spans="1:18" ht="16.5" customHeight="1" x14ac:dyDescent="0.15">
      <c r="A67" s="41">
        <v>11</v>
      </c>
      <c r="B67" s="41" t="s">
        <v>766</v>
      </c>
      <c r="C67" s="74" t="s">
        <v>767</v>
      </c>
      <c r="D67" s="69"/>
      <c r="F67" s="723"/>
      <c r="G67" s="37"/>
      <c r="H67" s="38"/>
      <c r="I67" s="44" t="s">
        <v>397</v>
      </c>
      <c r="J67" s="45" t="s">
        <v>398</v>
      </c>
      <c r="K67" s="46">
        <v>1</v>
      </c>
      <c r="L67" s="35"/>
      <c r="N67" s="57"/>
      <c r="O67" s="55" t="s">
        <v>398</v>
      </c>
      <c r="P67" s="38">
        <f>_11・初任</f>
        <v>0.7</v>
      </c>
      <c r="Q67" s="95">
        <f>ROUND((ROUND((ROUND((ROUND((_11_A身体１．０*_11・基礎１),0)*_11・２人),0)*(1+_11・A夜間)),0)*_11・初任),0)</f>
        <v>246</v>
      </c>
      <c r="R67" s="48"/>
    </row>
    <row r="68" spans="1:18" ht="16.5" customHeight="1" x14ac:dyDescent="0.15">
      <c r="A68" s="41">
        <v>11</v>
      </c>
      <c r="B68" s="41">
        <v>1223</v>
      </c>
      <c r="C68" s="74" t="s">
        <v>768</v>
      </c>
      <c r="D68" s="712" t="s">
        <v>769</v>
      </c>
      <c r="E68" s="717"/>
      <c r="F68" s="96"/>
      <c r="G68" s="49"/>
      <c r="H68" s="50"/>
      <c r="I68" s="44"/>
      <c r="J68" s="45"/>
      <c r="K68" s="46"/>
      <c r="L68" s="35"/>
      <c r="N68" s="57"/>
      <c r="O68" s="53"/>
      <c r="P68" s="49"/>
      <c r="Q68" s="95">
        <f>ROUND((_11_A身体１．５*(1+_11・A夜間)),0)</f>
        <v>730</v>
      </c>
      <c r="R68" s="48"/>
    </row>
    <row r="69" spans="1:18" ht="16.5" customHeight="1" x14ac:dyDescent="0.15">
      <c r="A69" s="41">
        <v>11</v>
      </c>
      <c r="B69" s="41">
        <v>1224</v>
      </c>
      <c r="C69" s="74" t="s">
        <v>770</v>
      </c>
      <c r="D69" s="703"/>
      <c r="E69" s="718"/>
      <c r="F69" s="94"/>
      <c r="G69" s="37"/>
      <c r="H69" s="38"/>
      <c r="I69" s="44" t="s">
        <v>397</v>
      </c>
      <c r="J69" s="45" t="s">
        <v>398</v>
      </c>
      <c r="K69" s="46">
        <v>1</v>
      </c>
      <c r="L69" s="35"/>
      <c r="N69" s="57"/>
      <c r="O69" s="35"/>
      <c r="Q69" s="95">
        <f>ROUND((ROUND((_11_A身体１．５*_11・２人),0)*(1+_11・A夜間)),0)</f>
        <v>730</v>
      </c>
      <c r="R69" s="48"/>
    </row>
    <row r="70" spans="1:18" ht="16.5" customHeight="1" x14ac:dyDescent="0.15">
      <c r="A70" s="41">
        <v>11</v>
      </c>
      <c r="B70" s="41">
        <v>1225</v>
      </c>
      <c r="C70" s="74" t="s">
        <v>771</v>
      </c>
      <c r="D70" s="703"/>
      <c r="E70" s="718"/>
      <c r="F70" s="705" t="s">
        <v>400</v>
      </c>
      <c r="G70" s="49" t="s">
        <v>398</v>
      </c>
      <c r="H70" s="50">
        <v>0.7</v>
      </c>
      <c r="I70" s="44"/>
      <c r="J70" s="45"/>
      <c r="K70" s="46"/>
      <c r="L70" s="35"/>
      <c r="N70" s="57"/>
      <c r="O70" s="35"/>
      <c r="Q70" s="95">
        <f>ROUND((ROUND((_11_A身体１．５*_11・基礎１),0)*(1+_11・A夜間)),0)</f>
        <v>511</v>
      </c>
      <c r="R70" s="48"/>
    </row>
    <row r="71" spans="1:18" ht="16.5" customHeight="1" x14ac:dyDescent="0.15">
      <c r="A71" s="41">
        <v>11</v>
      </c>
      <c r="B71" s="41">
        <v>1226</v>
      </c>
      <c r="C71" s="74" t="s">
        <v>772</v>
      </c>
      <c r="D71" s="51">
        <f>_11_A身体１．５</f>
        <v>584</v>
      </c>
      <c r="E71" s="12" t="s">
        <v>392</v>
      </c>
      <c r="F71" s="723"/>
      <c r="G71" s="37"/>
      <c r="H71" s="38"/>
      <c r="I71" s="44" t="s">
        <v>397</v>
      </c>
      <c r="J71" s="45" t="s">
        <v>398</v>
      </c>
      <c r="K71" s="46">
        <v>1</v>
      </c>
      <c r="L71" s="35"/>
      <c r="N71" s="57"/>
      <c r="O71" s="43"/>
      <c r="P71" s="37"/>
      <c r="Q71" s="95">
        <f>ROUND((ROUND((ROUND((_11_A身体１．５*_11・基礎１),0)*_11・２人),0)*(1+_11・A夜間)),0)</f>
        <v>511</v>
      </c>
      <c r="R71" s="48"/>
    </row>
    <row r="72" spans="1:18" ht="16.5" customHeight="1" x14ac:dyDescent="0.15">
      <c r="A72" s="41">
        <v>11</v>
      </c>
      <c r="B72" s="41" t="s">
        <v>773</v>
      </c>
      <c r="C72" s="74" t="s">
        <v>774</v>
      </c>
      <c r="D72" s="66"/>
      <c r="F72" s="96"/>
      <c r="G72" s="49"/>
      <c r="H72" s="50"/>
      <c r="I72" s="44"/>
      <c r="J72" s="45"/>
      <c r="K72" s="46"/>
      <c r="L72" s="35"/>
      <c r="N72" s="57"/>
      <c r="O72" s="707" t="s">
        <v>404</v>
      </c>
      <c r="P72" s="708"/>
      <c r="Q72" s="95">
        <f>ROUND((ROUND((_11_A身体１．５*(1+_11・A夜間)),0)*_11・初任),0)</f>
        <v>511</v>
      </c>
      <c r="R72" s="48"/>
    </row>
    <row r="73" spans="1:18" ht="16.5" customHeight="1" x14ac:dyDescent="0.15">
      <c r="A73" s="41">
        <v>11</v>
      </c>
      <c r="B73" s="41" t="s">
        <v>775</v>
      </c>
      <c r="C73" s="74" t="s">
        <v>776</v>
      </c>
      <c r="D73" s="66"/>
      <c r="F73" s="94"/>
      <c r="G73" s="37"/>
      <c r="H73" s="38"/>
      <c r="I73" s="44" t="s">
        <v>397</v>
      </c>
      <c r="J73" s="45" t="s">
        <v>398</v>
      </c>
      <c r="K73" s="46">
        <v>1</v>
      </c>
      <c r="L73" s="35"/>
      <c r="N73" s="57"/>
      <c r="O73" s="709"/>
      <c r="P73" s="704"/>
      <c r="Q73" s="95">
        <f>ROUND((ROUND((ROUND((_11_A身体１．５*_11・２人),0)*(1+_11・A夜間)),0)*_11・初任),0)</f>
        <v>511</v>
      </c>
      <c r="R73" s="48"/>
    </row>
    <row r="74" spans="1:18" ht="16.5" customHeight="1" x14ac:dyDescent="0.15">
      <c r="A74" s="41">
        <v>11</v>
      </c>
      <c r="B74" s="41" t="s">
        <v>777</v>
      </c>
      <c r="C74" s="74" t="s">
        <v>778</v>
      </c>
      <c r="D74" s="69"/>
      <c r="F74" s="705" t="s">
        <v>400</v>
      </c>
      <c r="G74" s="49" t="s">
        <v>398</v>
      </c>
      <c r="H74" s="50">
        <v>0.7</v>
      </c>
      <c r="I74" s="44"/>
      <c r="J74" s="45"/>
      <c r="K74" s="46"/>
      <c r="L74" s="35"/>
      <c r="N74" s="57"/>
      <c r="O74" s="709"/>
      <c r="P74" s="704"/>
      <c r="Q74" s="95">
        <f>ROUND((ROUND((ROUND((_11_A身体１．５*_11・基礎１),0)*(1+_11・A夜間)),0)*_11・初任),0)</f>
        <v>358</v>
      </c>
      <c r="R74" s="48"/>
    </row>
    <row r="75" spans="1:18" ht="16.5" customHeight="1" x14ac:dyDescent="0.15">
      <c r="A75" s="41">
        <v>11</v>
      </c>
      <c r="B75" s="41" t="s">
        <v>779</v>
      </c>
      <c r="C75" s="74" t="s">
        <v>780</v>
      </c>
      <c r="D75" s="70"/>
      <c r="E75" s="37"/>
      <c r="F75" s="723"/>
      <c r="G75" s="37"/>
      <c r="H75" s="38"/>
      <c r="I75" s="44" t="s">
        <v>397</v>
      </c>
      <c r="J75" s="45" t="s">
        <v>398</v>
      </c>
      <c r="K75" s="46">
        <v>1</v>
      </c>
      <c r="L75" s="35"/>
      <c r="N75" s="57"/>
      <c r="O75" s="55" t="s">
        <v>398</v>
      </c>
      <c r="P75" s="38">
        <f>_11・初任</f>
        <v>0.7</v>
      </c>
      <c r="Q75" s="95">
        <f>ROUND((ROUND((ROUND((ROUND((_11_A身体１．５*_11・基礎１),0)*_11・２人),0)*(1+_11・A夜間)),0)*_11・初任),0)</f>
        <v>358</v>
      </c>
      <c r="R75" s="48"/>
    </row>
    <row r="76" spans="1:18" ht="16.5" customHeight="1" x14ac:dyDescent="0.15">
      <c r="A76" s="41">
        <v>11</v>
      </c>
      <c r="B76" s="41">
        <v>1227</v>
      </c>
      <c r="C76" s="74" t="s">
        <v>781</v>
      </c>
      <c r="D76" s="712" t="s">
        <v>782</v>
      </c>
      <c r="E76" s="717"/>
      <c r="F76" s="96"/>
      <c r="G76" s="49"/>
      <c r="H76" s="50"/>
      <c r="I76" s="44"/>
      <c r="J76" s="45"/>
      <c r="K76" s="46"/>
      <c r="L76" s="35"/>
      <c r="N76" s="57"/>
      <c r="O76" s="53"/>
      <c r="P76" s="49"/>
      <c r="Q76" s="95">
        <f>ROUND((_11_A身体２．０*(1+_11・A夜間)),0)</f>
        <v>833</v>
      </c>
      <c r="R76" s="48"/>
    </row>
    <row r="77" spans="1:18" ht="16.5" customHeight="1" x14ac:dyDescent="0.15">
      <c r="A77" s="41">
        <v>11</v>
      </c>
      <c r="B77" s="41">
        <v>1228</v>
      </c>
      <c r="C77" s="74" t="s">
        <v>783</v>
      </c>
      <c r="D77" s="703"/>
      <c r="E77" s="718"/>
      <c r="F77" s="94"/>
      <c r="G77" s="37"/>
      <c r="H77" s="38"/>
      <c r="I77" s="44" t="s">
        <v>397</v>
      </c>
      <c r="J77" s="45" t="s">
        <v>398</v>
      </c>
      <c r="K77" s="46">
        <v>1</v>
      </c>
      <c r="L77" s="35"/>
      <c r="N77" s="57"/>
      <c r="O77" s="35"/>
      <c r="Q77" s="95">
        <f>ROUND((ROUND((_11_A身体２．０*_11・２人),0)*(1+_11・A夜間)),0)</f>
        <v>833</v>
      </c>
      <c r="R77" s="48"/>
    </row>
    <row r="78" spans="1:18" ht="16.5" customHeight="1" x14ac:dyDescent="0.15">
      <c r="A78" s="41">
        <v>11</v>
      </c>
      <c r="B78" s="41">
        <v>1229</v>
      </c>
      <c r="C78" s="74" t="s">
        <v>784</v>
      </c>
      <c r="D78" s="703"/>
      <c r="E78" s="718"/>
      <c r="F78" s="705" t="s">
        <v>400</v>
      </c>
      <c r="G78" s="49" t="s">
        <v>398</v>
      </c>
      <c r="H78" s="50">
        <v>0.7</v>
      </c>
      <c r="I78" s="44"/>
      <c r="J78" s="45"/>
      <c r="K78" s="46"/>
      <c r="L78" s="35"/>
      <c r="N78" s="57"/>
      <c r="O78" s="35"/>
      <c r="Q78" s="95">
        <f>ROUND((ROUND((_11_A身体２．０*_11・基礎１),0)*(1+_11・A夜間)),0)</f>
        <v>583</v>
      </c>
      <c r="R78" s="48"/>
    </row>
    <row r="79" spans="1:18" ht="16.5" customHeight="1" x14ac:dyDescent="0.15">
      <c r="A79" s="41">
        <v>11</v>
      </c>
      <c r="B79" s="41">
        <v>1230</v>
      </c>
      <c r="C79" s="74" t="s">
        <v>785</v>
      </c>
      <c r="D79" s="51">
        <f>_11_A身体２．０</f>
        <v>666</v>
      </c>
      <c r="E79" s="12" t="s">
        <v>392</v>
      </c>
      <c r="F79" s="723"/>
      <c r="G79" s="37"/>
      <c r="H79" s="38"/>
      <c r="I79" s="44" t="s">
        <v>397</v>
      </c>
      <c r="J79" s="45" t="s">
        <v>398</v>
      </c>
      <c r="K79" s="46">
        <v>1</v>
      </c>
      <c r="L79" s="35"/>
      <c r="N79" s="57"/>
      <c r="O79" s="43"/>
      <c r="P79" s="37"/>
      <c r="Q79" s="95">
        <f>ROUND((ROUND((ROUND((_11_A身体２．０*_11・基礎１),0)*_11・２人),0)*(1+_11・A夜間)),0)</f>
        <v>583</v>
      </c>
      <c r="R79" s="48"/>
    </row>
    <row r="80" spans="1:18" ht="16.5" customHeight="1" x14ac:dyDescent="0.15">
      <c r="A80" s="41">
        <v>11</v>
      </c>
      <c r="B80" s="41" t="s">
        <v>786</v>
      </c>
      <c r="C80" s="74" t="s">
        <v>787</v>
      </c>
      <c r="D80" s="66"/>
      <c r="F80" s="96"/>
      <c r="G80" s="49"/>
      <c r="H80" s="50"/>
      <c r="I80" s="44"/>
      <c r="J80" s="45"/>
      <c r="K80" s="46"/>
      <c r="L80" s="35"/>
      <c r="N80" s="57"/>
      <c r="O80" s="707" t="s">
        <v>404</v>
      </c>
      <c r="P80" s="708"/>
      <c r="Q80" s="95">
        <f>ROUND((ROUND((_11_A身体２．０*(1+_11・A夜間)),0)*_11・初任),0)</f>
        <v>583</v>
      </c>
      <c r="R80" s="48"/>
    </row>
    <row r="81" spans="1:18" ht="16.5" customHeight="1" x14ac:dyDescent="0.15">
      <c r="A81" s="41">
        <v>11</v>
      </c>
      <c r="B81" s="41" t="s">
        <v>788</v>
      </c>
      <c r="C81" s="74" t="s">
        <v>789</v>
      </c>
      <c r="D81" s="66"/>
      <c r="F81" s="94"/>
      <c r="G81" s="37"/>
      <c r="H81" s="38"/>
      <c r="I81" s="44" t="s">
        <v>397</v>
      </c>
      <c r="J81" s="45" t="s">
        <v>398</v>
      </c>
      <c r="K81" s="46">
        <v>1</v>
      </c>
      <c r="L81" s="35"/>
      <c r="N81" s="57"/>
      <c r="O81" s="709"/>
      <c r="P81" s="704"/>
      <c r="Q81" s="95">
        <f>ROUND((ROUND((ROUND((_11_A身体２．０*_11・２人),0)*(1+_11・A夜間)),0)*_11・初任),0)</f>
        <v>583</v>
      </c>
      <c r="R81" s="48"/>
    </row>
    <row r="82" spans="1:18" ht="16.5" customHeight="1" x14ac:dyDescent="0.15">
      <c r="A82" s="41">
        <v>11</v>
      </c>
      <c r="B82" s="41" t="s">
        <v>790</v>
      </c>
      <c r="C82" s="74" t="s">
        <v>791</v>
      </c>
      <c r="D82" s="69"/>
      <c r="F82" s="705" t="s">
        <v>400</v>
      </c>
      <c r="G82" s="49" t="s">
        <v>398</v>
      </c>
      <c r="H82" s="50">
        <v>0.7</v>
      </c>
      <c r="I82" s="44"/>
      <c r="J82" s="45"/>
      <c r="K82" s="46"/>
      <c r="L82" s="35"/>
      <c r="N82" s="57"/>
      <c r="O82" s="709"/>
      <c r="P82" s="704"/>
      <c r="Q82" s="95">
        <f>ROUND((ROUND((ROUND((_11_A身体２．０*_11・基礎１),0)*(1+_11・A夜間)),0)*_11・初任),0)</f>
        <v>408</v>
      </c>
      <c r="R82" s="48"/>
    </row>
    <row r="83" spans="1:18" ht="16.5" customHeight="1" x14ac:dyDescent="0.15">
      <c r="A83" s="41">
        <v>11</v>
      </c>
      <c r="B83" s="41" t="s">
        <v>792</v>
      </c>
      <c r="C83" s="74" t="s">
        <v>793</v>
      </c>
      <c r="D83" s="69"/>
      <c r="F83" s="723"/>
      <c r="G83" s="37"/>
      <c r="H83" s="38"/>
      <c r="I83" s="44" t="s">
        <v>397</v>
      </c>
      <c r="J83" s="45" t="s">
        <v>398</v>
      </c>
      <c r="K83" s="46">
        <v>1</v>
      </c>
      <c r="L83" s="35"/>
      <c r="N83" s="57"/>
      <c r="O83" s="55" t="s">
        <v>398</v>
      </c>
      <c r="P83" s="38">
        <f>_11・初任</f>
        <v>0.7</v>
      </c>
      <c r="Q83" s="95">
        <f>ROUND((ROUND((ROUND((ROUND((_11_A身体２．０*_11・基礎１),0)*_11・２人),0)*(1+_11・A夜間)),0)*_11・初任),0)</f>
        <v>408</v>
      </c>
      <c r="R83" s="48"/>
    </row>
    <row r="84" spans="1:18" ht="16.5" customHeight="1" x14ac:dyDescent="0.15">
      <c r="A84" s="41">
        <v>11</v>
      </c>
      <c r="B84" s="41">
        <v>1231</v>
      </c>
      <c r="C84" s="74" t="s">
        <v>794</v>
      </c>
      <c r="D84" s="712" t="s">
        <v>795</v>
      </c>
      <c r="E84" s="717"/>
      <c r="F84" s="96"/>
      <c r="G84" s="49"/>
      <c r="H84" s="50"/>
      <c r="I84" s="44"/>
      <c r="J84" s="45"/>
      <c r="K84" s="46"/>
      <c r="L84" s="35"/>
      <c r="N84" s="57"/>
      <c r="O84" s="53"/>
      <c r="P84" s="49"/>
      <c r="Q84" s="95">
        <f>ROUND((_11_A身体２．５*(1+_11・A夜間)),0)</f>
        <v>938</v>
      </c>
      <c r="R84" s="48"/>
    </row>
    <row r="85" spans="1:18" ht="16.5" customHeight="1" x14ac:dyDescent="0.15">
      <c r="A85" s="41">
        <v>11</v>
      </c>
      <c r="B85" s="41">
        <v>1232</v>
      </c>
      <c r="C85" s="74" t="s">
        <v>796</v>
      </c>
      <c r="D85" s="703"/>
      <c r="E85" s="718"/>
      <c r="F85" s="94"/>
      <c r="G85" s="37"/>
      <c r="H85" s="38"/>
      <c r="I85" s="44" t="s">
        <v>397</v>
      </c>
      <c r="J85" s="45" t="s">
        <v>398</v>
      </c>
      <c r="K85" s="46">
        <v>1</v>
      </c>
      <c r="L85" s="35"/>
      <c r="N85" s="57"/>
      <c r="O85" s="35"/>
      <c r="Q85" s="95">
        <f>ROUND((ROUND((_11_A身体２．５*_11・２人),0)*(1+_11・A夜間)),0)</f>
        <v>938</v>
      </c>
      <c r="R85" s="48"/>
    </row>
    <row r="86" spans="1:18" ht="16.5" customHeight="1" x14ac:dyDescent="0.15">
      <c r="A86" s="41">
        <v>11</v>
      </c>
      <c r="B86" s="41">
        <v>1233</v>
      </c>
      <c r="C86" s="74" t="s">
        <v>797</v>
      </c>
      <c r="D86" s="703"/>
      <c r="E86" s="718"/>
      <c r="F86" s="705" t="s">
        <v>400</v>
      </c>
      <c r="G86" s="49" t="s">
        <v>398</v>
      </c>
      <c r="H86" s="50">
        <v>0.7</v>
      </c>
      <c r="I86" s="44"/>
      <c r="J86" s="45"/>
      <c r="K86" s="46"/>
      <c r="L86" s="35"/>
      <c r="N86" s="57"/>
      <c r="O86" s="35"/>
      <c r="Q86" s="95">
        <f>ROUND((ROUND((_11_A身体２．５*_11・基礎１),0)*(1+_11・A夜間)),0)</f>
        <v>656</v>
      </c>
      <c r="R86" s="48"/>
    </row>
    <row r="87" spans="1:18" ht="16.5" customHeight="1" x14ac:dyDescent="0.15">
      <c r="A87" s="41">
        <v>11</v>
      </c>
      <c r="B87" s="41">
        <v>1234</v>
      </c>
      <c r="C87" s="74" t="s">
        <v>798</v>
      </c>
      <c r="D87" s="51">
        <f>_11_A身体２．５</f>
        <v>750</v>
      </c>
      <c r="E87" s="12" t="s">
        <v>392</v>
      </c>
      <c r="F87" s="723"/>
      <c r="G87" s="37"/>
      <c r="H87" s="38"/>
      <c r="I87" s="44" t="s">
        <v>397</v>
      </c>
      <c r="J87" s="45" t="s">
        <v>398</v>
      </c>
      <c r="K87" s="46">
        <v>1</v>
      </c>
      <c r="L87" s="35"/>
      <c r="N87" s="57"/>
      <c r="O87" s="43"/>
      <c r="P87" s="37"/>
      <c r="Q87" s="95">
        <f>ROUND((ROUND((ROUND((_11_A身体２．５*_11・基礎１),0)*_11・２人),0)*(1+_11・A夜間)),0)</f>
        <v>656</v>
      </c>
      <c r="R87" s="48"/>
    </row>
    <row r="88" spans="1:18" ht="16.5" customHeight="1" x14ac:dyDescent="0.15">
      <c r="A88" s="41">
        <v>11</v>
      </c>
      <c r="B88" s="41" t="s">
        <v>799</v>
      </c>
      <c r="C88" s="74" t="s">
        <v>800</v>
      </c>
      <c r="D88" s="66"/>
      <c r="F88" s="96"/>
      <c r="G88" s="49"/>
      <c r="H88" s="50"/>
      <c r="I88" s="44"/>
      <c r="J88" s="45"/>
      <c r="K88" s="46"/>
      <c r="L88" s="35"/>
      <c r="N88" s="57"/>
      <c r="O88" s="707" t="s">
        <v>404</v>
      </c>
      <c r="P88" s="708"/>
      <c r="Q88" s="95">
        <f>ROUND((ROUND((_11_A身体２．５*(1+_11・A夜間)),0)*_11・初任),0)</f>
        <v>657</v>
      </c>
      <c r="R88" s="48"/>
    </row>
    <row r="89" spans="1:18" ht="16.5" customHeight="1" x14ac:dyDescent="0.15">
      <c r="A89" s="41">
        <v>11</v>
      </c>
      <c r="B89" s="41" t="s">
        <v>801</v>
      </c>
      <c r="C89" s="74" t="s">
        <v>802</v>
      </c>
      <c r="D89" s="66"/>
      <c r="F89" s="94"/>
      <c r="G89" s="37"/>
      <c r="H89" s="38"/>
      <c r="I89" s="44" t="s">
        <v>397</v>
      </c>
      <c r="J89" s="45" t="s">
        <v>398</v>
      </c>
      <c r="K89" s="46">
        <v>1</v>
      </c>
      <c r="L89" s="35"/>
      <c r="N89" s="57"/>
      <c r="O89" s="709"/>
      <c r="P89" s="704"/>
      <c r="Q89" s="95">
        <f>ROUND((ROUND((ROUND((_11_A身体２．５*_11・２人),0)*(1+_11・A夜間)),0)*_11・初任),0)</f>
        <v>657</v>
      </c>
      <c r="R89" s="48"/>
    </row>
    <row r="90" spans="1:18" ht="16.5" customHeight="1" x14ac:dyDescent="0.15">
      <c r="A90" s="41">
        <v>11</v>
      </c>
      <c r="B90" s="41" t="s">
        <v>803</v>
      </c>
      <c r="C90" s="74" t="s">
        <v>804</v>
      </c>
      <c r="D90" s="69"/>
      <c r="F90" s="705" t="s">
        <v>400</v>
      </c>
      <c r="G90" s="49" t="s">
        <v>398</v>
      </c>
      <c r="H90" s="50">
        <v>0.7</v>
      </c>
      <c r="I90" s="44"/>
      <c r="J90" s="45"/>
      <c r="K90" s="46"/>
      <c r="L90" s="35"/>
      <c r="N90" s="57"/>
      <c r="O90" s="709"/>
      <c r="P90" s="704"/>
      <c r="Q90" s="95">
        <f>ROUND((ROUND((ROUND((_11_A身体２．５*_11・基礎１),0)*(1+_11・A夜間)),0)*_11・初任),0)</f>
        <v>459</v>
      </c>
      <c r="R90" s="48"/>
    </row>
    <row r="91" spans="1:18" ht="16.5" customHeight="1" x14ac:dyDescent="0.15">
      <c r="A91" s="41">
        <v>11</v>
      </c>
      <c r="B91" s="41" t="s">
        <v>805</v>
      </c>
      <c r="C91" s="74" t="s">
        <v>806</v>
      </c>
      <c r="D91" s="69"/>
      <c r="F91" s="723"/>
      <c r="G91" s="37"/>
      <c r="H91" s="38"/>
      <c r="I91" s="44" t="s">
        <v>397</v>
      </c>
      <c r="J91" s="45" t="s">
        <v>398</v>
      </c>
      <c r="K91" s="46">
        <v>1</v>
      </c>
      <c r="L91" s="35"/>
      <c r="N91" s="57"/>
      <c r="O91" s="55" t="s">
        <v>398</v>
      </c>
      <c r="P91" s="38">
        <f>_11・初任</f>
        <v>0.7</v>
      </c>
      <c r="Q91" s="95">
        <f>ROUND((ROUND((ROUND((ROUND((_11_A身体２．５*_11・基礎１),0)*_11・２人),0)*(1+_11・A夜間)),0)*_11・初任),0)</f>
        <v>459</v>
      </c>
      <c r="R91" s="48"/>
    </row>
    <row r="92" spans="1:18" ht="16.5" customHeight="1" x14ac:dyDescent="0.15">
      <c r="A92" s="41">
        <v>11</v>
      </c>
      <c r="B92" s="41">
        <v>1235</v>
      </c>
      <c r="C92" s="74" t="s">
        <v>807</v>
      </c>
      <c r="D92" s="712" t="s">
        <v>808</v>
      </c>
      <c r="E92" s="717"/>
      <c r="F92" s="96"/>
      <c r="G92" s="49"/>
      <c r="H92" s="50"/>
      <c r="I92" s="44"/>
      <c r="J92" s="45"/>
      <c r="K92" s="46"/>
      <c r="L92" s="35"/>
      <c r="N92" s="57"/>
      <c r="O92" s="53"/>
      <c r="P92" s="49"/>
      <c r="Q92" s="95">
        <f>ROUND((_11_A身体３．０*(1+_11・A夜間)),0)</f>
        <v>1041</v>
      </c>
      <c r="R92" s="48"/>
    </row>
    <row r="93" spans="1:18" ht="16.5" customHeight="1" x14ac:dyDescent="0.15">
      <c r="A93" s="41">
        <v>11</v>
      </c>
      <c r="B93" s="41">
        <v>1236</v>
      </c>
      <c r="C93" s="74" t="s">
        <v>809</v>
      </c>
      <c r="D93" s="703"/>
      <c r="E93" s="718"/>
      <c r="F93" s="94"/>
      <c r="G93" s="37"/>
      <c r="H93" s="38"/>
      <c r="I93" s="44" t="s">
        <v>397</v>
      </c>
      <c r="J93" s="45" t="s">
        <v>398</v>
      </c>
      <c r="K93" s="46">
        <v>1</v>
      </c>
      <c r="L93" s="35"/>
      <c r="N93" s="57"/>
      <c r="O93" s="35"/>
      <c r="Q93" s="95">
        <f>ROUND((ROUND((_11_A身体３．０*_11・２人),0)*(1+_11・A夜間)),0)</f>
        <v>1041</v>
      </c>
      <c r="R93" s="48"/>
    </row>
    <row r="94" spans="1:18" ht="16.5" customHeight="1" x14ac:dyDescent="0.15">
      <c r="A94" s="41">
        <v>11</v>
      </c>
      <c r="B94" s="41">
        <v>1237</v>
      </c>
      <c r="C94" s="74" t="s">
        <v>810</v>
      </c>
      <c r="D94" s="703"/>
      <c r="E94" s="718"/>
      <c r="F94" s="705" t="s">
        <v>400</v>
      </c>
      <c r="G94" s="49" t="s">
        <v>398</v>
      </c>
      <c r="H94" s="50">
        <v>0.7</v>
      </c>
      <c r="I94" s="44"/>
      <c r="J94" s="45"/>
      <c r="K94" s="46"/>
      <c r="L94" s="35"/>
      <c r="N94" s="57"/>
      <c r="O94" s="35"/>
      <c r="Q94" s="95">
        <f>ROUND((ROUND((_11_A身体３．０*_11・基礎１),0)*(1+_11・A夜間)),0)</f>
        <v>729</v>
      </c>
      <c r="R94" s="48"/>
    </row>
    <row r="95" spans="1:18" ht="16.5" customHeight="1" x14ac:dyDescent="0.15">
      <c r="A95" s="41">
        <v>11</v>
      </c>
      <c r="B95" s="41">
        <v>1238</v>
      </c>
      <c r="C95" s="74" t="s">
        <v>811</v>
      </c>
      <c r="D95" s="51">
        <f>_11_A身体３．０</f>
        <v>833</v>
      </c>
      <c r="E95" s="12" t="s">
        <v>392</v>
      </c>
      <c r="F95" s="723"/>
      <c r="G95" s="37"/>
      <c r="H95" s="38"/>
      <c r="I95" s="44" t="s">
        <v>397</v>
      </c>
      <c r="J95" s="45" t="s">
        <v>398</v>
      </c>
      <c r="K95" s="46">
        <v>1</v>
      </c>
      <c r="L95" s="35"/>
      <c r="N95" s="57"/>
      <c r="O95" s="43"/>
      <c r="P95" s="37"/>
      <c r="Q95" s="95">
        <f>ROUND((ROUND((ROUND((_11_A身体３．０*_11・基礎１),0)*_11・２人),0)*(1+_11・A夜間)),0)</f>
        <v>729</v>
      </c>
      <c r="R95" s="48"/>
    </row>
    <row r="96" spans="1:18" ht="16.5" customHeight="1" x14ac:dyDescent="0.15">
      <c r="A96" s="41">
        <v>11</v>
      </c>
      <c r="B96" s="41" t="s">
        <v>812</v>
      </c>
      <c r="C96" s="74" t="s">
        <v>813</v>
      </c>
      <c r="D96" s="66"/>
      <c r="F96" s="96"/>
      <c r="G96" s="49"/>
      <c r="H96" s="50"/>
      <c r="I96" s="44"/>
      <c r="J96" s="45"/>
      <c r="K96" s="46"/>
      <c r="L96" s="35"/>
      <c r="N96" s="57"/>
      <c r="O96" s="707" t="s">
        <v>404</v>
      </c>
      <c r="P96" s="708"/>
      <c r="Q96" s="95">
        <f>ROUND((ROUND((_11_A身体３．０*(1+_11・A夜間)),0)*_11・初任),0)</f>
        <v>729</v>
      </c>
      <c r="R96" s="48"/>
    </row>
    <row r="97" spans="1:18" ht="16.5" customHeight="1" x14ac:dyDescent="0.15">
      <c r="A97" s="41">
        <v>11</v>
      </c>
      <c r="B97" s="41" t="s">
        <v>814</v>
      </c>
      <c r="C97" s="74" t="s">
        <v>815</v>
      </c>
      <c r="D97" s="66"/>
      <c r="F97" s="94"/>
      <c r="G97" s="37"/>
      <c r="H97" s="38"/>
      <c r="I97" s="44" t="s">
        <v>397</v>
      </c>
      <c r="J97" s="45" t="s">
        <v>398</v>
      </c>
      <c r="K97" s="46">
        <v>1</v>
      </c>
      <c r="L97" s="35"/>
      <c r="N97" s="57"/>
      <c r="O97" s="709"/>
      <c r="P97" s="704"/>
      <c r="Q97" s="95">
        <f>ROUND((ROUND((ROUND((_11_A身体３．０*_11・２人),0)*(1+_11・A夜間)),0)*_11・初任),0)</f>
        <v>729</v>
      </c>
      <c r="R97" s="48"/>
    </row>
    <row r="98" spans="1:18" ht="16.5" customHeight="1" x14ac:dyDescent="0.15">
      <c r="A98" s="41">
        <v>11</v>
      </c>
      <c r="B98" s="41" t="s">
        <v>816</v>
      </c>
      <c r="C98" s="74" t="s">
        <v>817</v>
      </c>
      <c r="D98" s="69"/>
      <c r="F98" s="705" t="s">
        <v>400</v>
      </c>
      <c r="G98" s="49" t="s">
        <v>398</v>
      </c>
      <c r="H98" s="50">
        <v>0.7</v>
      </c>
      <c r="I98" s="44"/>
      <c r="J98" s="45"/>
      <c r="K98" s="46"/>
      <c r="L98" s="35"/>
      <c r="N98" s="57"/>
      <c r="O98" s="709"/>
      <c r="P98" s="704"/>
      <c r="Q98" s="95">
        <f>ROUND((ROUND((ROUND((_11_A身体３．０*_11・基礎１),0)*(1+_11・A夜間)),0)*_11・初任),0)</f>
        <v>510</v>
      </c>
      <c r="R98" s="48"/>
    </row>
    <row r="99" spans="1:18" ht="16.5" customHeight="1" x14ac:dyDescent="0.15">
      <c r="A99" s="41">
        <v>11</v>
      </c>
      <c r="B99" s="41" t="s">
        <v>818</v>
      </c>
      <c r="C99" s="74" t="s">
        <v>819</v>
      </c>
      <c r="D99" s="69"/>
      <c r="F99" s="723"/>
      <c r="G99" s="37"/>
      <c r="H99" s="38"/>
      <c r="I99" s="44" t="s">
        <v>397</v>
      </c>
      <c r="J99" s="45" t="s">
        <v>398</v>
      </c>
      <c r="K99" s="46">
        <v>1</v>
      </c>
      <c r="L99" s="35"/>
      <c r="N99" s="57"/>
      <c r="O99" s="55" t="s">
        <v>398</v>
      </c>
      <c r="P99" s="38">
        <f>_11・初任</f>
        <v>0.7</v>
      </c>
      <c r="Q99" s="95">
        <f>ROUND((ROUND((ROUND((ROUND((_11_A身体３．０*_11・基礎１),0)*_11・２人),0)*(1+_11・A夜間)),0)*_11・初任),0)</f>
        <v>510</v>
      </c>
      <c r="R99" s="48"/>
    </row>
    <row r="100" spans="1:18" ht="16.5" customHeight="1" x14ac:dyDescent="0.15">
      <c r="A100" s="41">
        <v>11</v>
      </c>
      <c r="B100" s="41">
        <v>1239</v>
      </c>
      <c r="C100" s="74" t="s">
        <v>820</v>
      </c>
      <c r="D100" s="712" t="s">
        <v>821</v>
      </c>
      <c r="E100" s="717"/>
      <c r="F100" s="96"/>
      <c r="G100" s="49"/>
      <c r="H100" s="50"/>
      <c r="I100" s="44"/>
      <c r="J100" s="45"/>
      <c r="K100" s="46"/>
      <c r="L100" s="35"/>
      <c r="N100" s="57"/>
      <c r="O100" s="53"/>
      <c r="P100" s="49"/>
      <c r="Q100" s="95">
        <f>ROUND((_11_A身体３．５*(1+_11・A夜間)),0)</f>
        <v>1145</v>
      </c>
      <c r="R100" s="48"/>
    </row>
    <row r="101" spans="1:18" ht="16.5" customHeight="1" x14ac:dyDescent="0.15">
      <c r="A101" s="41">
        <v>11</v>
      </c>
      <c r="B101" s="41">
        <v>1240</v>
      </c>
      <c r="C101" s="74" t="s">
        <v>822</v>
      </c>
      <c r="D101" s="703"/>
      <c r="E101" s="718"/>
      <c r="F101" s="94"/>
      <c r="G101" s="37"/>
      <c r="H101" s="38"/>
      <c r="I101" s="44" t="s">
        <v>397</v>
      </c>
      <c r="J101" s="45" t="s">
        <v>398</v>
      </c>
      <c r="K101" s="46">
        <v>1</v>
      </c>
      <c r="L101" s="35"/>
      <c r="N101" s="57"/>
      <c r="O101" s="35"/>
      <c r="Q101" s="95">
        <f>ROUND((ROUND((_11_A身体３．５*_11・２人),0)*(1+_11・A夜間)),0)</f>
        <v>1145</v>
      </c>
      <c r="R101" s="48"/>
    </row>
    <row r="102" spans="1:18" ht="16.5" customHeight="1" x14ac:dyDescent="0.15">
      <c r="A102" s="41">
        <v>11</v>
      </c>
      <c r="B102" s="41">
        <v>1241</v>
      </c>
      <c r="C102" s="74" t="s">
        <v>823</v>
      </c>
      <c r="D102" s="703"/>
      <c r="E102" s="718"/>
      <c r="F102" s="705" t="s">
        <v>400</v>
      </c>
      <c r="G102" s="49" t="s">
        <v>398</v>
      </c>
      <c r="H102" s="50">
        <v>0.7</v>
      </c>
      <c r="I102" s="44"/>
      <c r="J102" s="45"/>
      <c r="K102" s="46"/>
      <c r="L102" s="35"/>
      <c r="N102" s="57"/>
      <c r="O102" s="35"/>
      <c r="Q102" s="95">
        <f>ROUND((ROUND((_11_A身体３．５*_11・基礎１),0)*(1+_11・A夜間)),0)</f>
        <v>801</v>
      </c>
      <c r="R102" s="48"/>
    </row>
    <row r="103" spans="1:18" ht="16.5" customHeight="1" x14ac:dyDescent="0.15">
      <c r="A103" s="41">
        <v>11</v>
      </c>
      <c r="B103" s="41">
        <v>1242</v>
      </c>
      <c r="C103" s="74" t="s">
        <v>824</v>
      </c>
      <c r="D103" s="51">
        <f>_11_A身体３．５</f>
        <v>916</v>
      </c>
      <c r="E103" s="12" t="s">
        <v>392</v>
      </c>
      <c r="F103" s="723"/>
      <c r="G103" s="37"/>
      <c r="H103" s="38"/>
      <c r="I103" s="44" t="s">
        <v>397</v>
      </c>
      <c r="J103" s="45" t="s">
        <v>398</v>
      </c>
      <c r="K103" s="46">
        <v>1</v>
      </c>
      <c r="L103" s="35"/>
      <c r="N103" s="57"/>
      <c r="O103" s="43"/>
      <c r="P103" s="37"/>
      <c r="Q103" s="95">
        <f>ROUND((ROUND((ROUND((_11_A身体３．５*_11・基礎１),0)*_11・２人),0)*(1+_11・A夜間)),0)</f>
        <v>801</v>
      </c>
      <c r="R103" s="48"/>
    </row>
    <row r="104" spans="1:18" ht="16.5" customHeight="1" x14ac:dyDescent="0.15">
      <c r="A104" s="41">
        <v>11</v>
      </c>
      <c r="B104" s="41" t="s">
        <v>825</v>
      </c>
      <c r="C104" s="74" t="s">
        <v>826</v>
      </c>
      <c r="D104" s="66"/>
      <c r="F104" s="96"/>
      <c r="G104" s="49"/>
      <c r="H104" s="50"/>
      <c r="I104" s="44"/>
      <c r="J104" s="45"/>
      <c r="K104" s="46"/>
      <c r="L104" s="35"/>
      <c r="N104" s="57"/>
      <c r="O104" s="707" t="s">
        <v>404</v>
      </c>
      <c r="P104" s="708"/>
      <c r="Q104" s="95">
        <f>ROUND((ROUND((_11_A身体３．５*(1+_11・A夜間)),0)*_11・初任),0)</f>
        <v>802</v>
      </c>
      <c r="R104" s="48"/>
    </row>
    <row r="105" spans="1:18" ht="16.5" customHeight="1" x14ac:dyDescent="0.15">
      <c r="A105" s="41">
        <v>11</v>
      </c>
      <c r="B105" s="41" t="s">
        <v>827</v>
      </c>
      <c r="C105" s="74" t="s">
        <v>828</v>
      </c>
      <c r="D105" s="66"/>
      <c r="F105" s="94"/>
      <c r="G105" s="37"/>
      <c r="H105" s="38"/>
      <c r="I105" s="44" t="s">
        <v>397</v>
      </c>
      <c r="J105" s="45" t="s">
        <v>398</v>
      </c>
      <c r="K105" s="46">
        <v>1</v>
      </c>
      <c r="L105" s="35"/>
      <c r="N105" s="57"/>
      <c r="O105" s="709"/>
      <c r="P105" s="704"/>
      <c r="Q105" s="95">
        <f>ROUND((ROUND((ROUND((_11_A身体３．５*_11・２人),0)*(1+_11・A夜間)),0)*_11・初任),0)</f>
        <v>802</v>
      </c>
      <c r="R105" s="48"/>
    </row>
    <row r="106" spans="1:18" ht="16.5" customHeight="1" x14ac:dyDescent="0.15">
      <c r="A106" s="41">
        <v>11</v>
      </c>
      <c r="B106" s="41" t="s">
        <v>829</v>
      </c>
      <c r="C106" s="74" t="s">
        <v>830</v>
      </c>
      <c r="D106" s="69"/>
      <c r="F106" s="705" t="s">
        <v>400</v>
      </c>
      <c r="G106" s="49" t="s">
        <v>398</v>
      </c>
      <c r="H106" s="50">
        <v>0.7</v>
      </c>
      <c r="I106" s="44"/>
      <c r="J106" s="45"/>
      <c r="K106" s="46"/>
      <c r="L106" s="35"/>
      <c r="N106" s="57"/>
      <c r="O106" s="709"/>
      <c r="P106" s="704"/>
      <c r="Q106" s="95">
        <f>ROUND((ROUND((ROUND((_11_A身体３．５*_11・基礎１),0)*(1+_11・A夜間)),0)*_11・初任),0)</f>
        <v>561</v>
      </c>
      <c r="R106" s="48"/>
    </row>
    <row r="107" spans="1:18" ht="16.5" customHeight="1" x14ac:dyDescent="0.15">
      <c r="A107" s="41">
        <v>11</v>
      </c>
      <c r="B107" s="41" t="s">
        <v>831</v>
      </c>
      <c r="C107" s="74" t="s">
        <v>832</v>
      </c>
      <c r="D107" s="69"/>
      <c r="F107" s="723"/>
      <c r="G107" s="37"/>
      <c r="H107" s="38"/>
      <c r="I107" s="44" t="s">
        <v>397</v>
      </c>
      <c r="J107" s="45" t="s">
        <v>398</v>
      </c>
      <c r="K107" s="46">
        <v>1</v>
      </c>
      <c r="L107" s="35"/>
      <c r="N107" s="57"/>
      <c r="O107" s="55" t="s">
        <v>398</v>
      </c>
      <c r="P107" s="38">
        <f>_11・初任</f>
        <v>0.7</v>
      </c>
      <c r="Q107" s="95">
        <f>ROUND((ROUND((ROUND((ROUND((_11_A身体３．５*_11・基礎１),0)*_11・２人),0)*(1+_11・A夜間)),0)*_11・初任),0)</f>
        <v>561</v>
      </c>
      <c r="R107" s="48"/>
    </row>
    <row r="108" spans="1:18" ht="16.5" customHeight="1" x14ac:dyDescent="0.15">
      <c r="A108" s="41">
        <v>11</v>
      </c>
      <c r="B108" s="41">
        <v>1243</v>
      </c>
      <c r="C108" s="74" t="s">
        <v>833</v>
      </c>
      <c r="D108" s="712" t="s">
        <v>834</v>
      </c>
      <c r="E108" s="717"/>
      <c r="F108" s="96"/>
      <c r="G108" s="49"/>
      <c r="H108" s="50"/>
      <c r="I108" s="44"/>
      <c r="J108" s="45"/>
      <c r="K108" s="46"/>
      <c r="L108" s="35"/>
      <c r="N108" s="57"/>
      <c r="O108" s="53"/>
      <c r="P108" s="49"/>
      <c r="Q108" s="95">
        <f>ROUND((_11_A身体４．０*(1+_11・A夜間)),0)</f>
        <v>1249</v>
      </c>
      <c r="R108" s="48"/>
    </row>
    <row r="109" spans="1:18" ht="16.5" customHeight="1" x14ac:dyDescent="0.15">
      <c r="A109" s="41">
        <v>11</v>
      </c>
      <c r="B109" s="41">
        <v>1244</v>
      </c>
      <c r="C109" s="74" t="s">
        <v>835</v>
      </c>
      <c r="D109" s="703"/>
      <c r="E109" s="718"/>
      <c r="F109" s="94"/>
      <c r="G109" s="37"/>
      <c r="H109" s="38"/>
      <c r="I109" s="44" t="s">
        <v>397</v>
      </c>
      <c r="J109" s="45" t="s">
        <v>398</v>
      </c>
      <c r="K109" s="46">
        <v>1</v>
      </c>
      <c r="L109" s="35"/>
      <c r="N109" s="57"/>
      <c r="O109" s="35"/>
      <c r="Q109" s="95">
        <f>ROUND((ROUND((_11_A身体４．０*_11・２人),0)*(1+_11・A夜間)),0)</f>
        <v>1249</v>
      </c>
      <c r="R109" s="48"/>
    </row>
    <row r="110" spans="1:18" ht="16.5" customHeight="1" x14ac:dyDescent="0.15">
      <c r="A110" s="41">
        <v>11</v>
      </c>
      <c r="B110" s="41">
        <v>1245</v>
      </c>
      <c r="C110" s="74" t="s">
        <v>836</v>
      </c>
      <c r="D110" s="703"/>
      <c r="E110" s="718"/>
      <c r="F110" s="705" t="s">
        <v>400</v>
      </c>
      <c r="G110" s="49" t="s">
        <v>398</v>
      </c>
      <c r="H110" s="50">
        <v>0.7</v>
      </c>
      <c r="I110" s="44"/>
      <c r="J110" s="45"/>
      <c r="K110" s="46"/>
      <c r="L110" s="35"/>
      <c r="N110" s="57"/>
      <c r="O110" s="35"/>
      <c r="Q110" s="95">
        <f>ROUND((ROUND((_11_A身体４．０*_11・基礎１),0)*(1+_11・A夜間)),0)</f>
        <v>874</v>
      </c>
      <c r="R110" s="48"/>
    </row>
    <row r="111" spans="1:18" ht="16.5" customHeight="1" x14ac:dyDescent="0.15">
      <c r="A111" s="41">
        <v>11</v>
      </c>
      <c r="B111" s="41">
        <v>1246</v>
      </c>
      <c r="C111" s="74" t="s">
        <v>837</v>
      </c>
      <c r="D111" s="51">
        <f>_11_A身体４．０</f>
        <v>999</v>
      </c>
      <c r="E111" s="12" t="s">
        <v>392</v>
      </c>
      <c r="F111" s="723"/>
      <c r="G111" s="37"/>
      <c r="H111" s="38"/>
      <c r="I111" s="44" t="s">
        <v>397</v>
      </c>
      <c r="J111" s="45" t="s">
        <v>398</v>
      </c>
      <c r="K111" s="46">
        <v>1</v>
      </c>
      <c r="L111" s="35"/>
      <c r="N111" s="57"/>
      <c r="O111" s="43"/>
      <c r="P111" s="37"/>
      <c r="Q111" s="95">
        <f>ROUND((ROUND((ROUND((_11_A身体４．０*_11・基礎１),0)*_11・２人),0)*(1+_11・A夜間)),0)</f>
        <v>874</v>
      </c>
      <c r="R111" s="48"/>
    </row>
    <row r="112" spans="1:18" ht="16.5" customHeight="1" x14ac:dyDescent="0.15">
      <c r="A112" s="41">
        <v>11</v>
      </c>
      <c r="B112" s="41" t="s">
        <v>838</v>
      </c>
      <c r="C112" s="74" t="s">
        <v>839</v>
      </c>
      <c r="D112" s="66"/>
      <c r="F112" s="96"/>
      <c r="G112" s="49"/>
      <c r="H112" s="50"/>
      <c r="I112" s="44"/>
      <c r="J112" s="45"/>
      <c r="K112" s="46"/>
      <c r="L112" s="35"/>
      <c r="N112" s="57"/>
      <c r="O112" s="707" t="s">
        <v>404</v>
      </c>
      <c r="P112" s="708"/>
      <c r="Q112" s="95">
        <f>ROUND((ROUND((_11_A身体４．０*(1+_11・A夜間)),0)*_11・初任),0)</f>
        <v>874</v>
      </c>
      <c r="R112" s="48"/>
    </row>
    <row r="113" spans="1:18" ht="16.5" customHeight="1" x14ac:dyDescent="0.15">
      <c r="A113" s="41">
        <v>11</v>
      </c>
      <c r="B113" s="41" t="s">
        <v>840</v>
      </c>
      <c r="C113" s="74" t="s">
        <v>841</v>
      </c>
      <c r="D113" s="66"/>
      <c r="F113" s="94"/>
      <c r="G113" s="37"/>
      <c r="H113" s="38"/>
      <c r="I113" s="44" t="s">
        <v>397</v>
      </c>
      <c r="J113" s="45" t="s">
        <v>398</v>
      </c>
      <c r="K113" s="46">
        <v>1</v>
      </c>
      <c r="L113" s="35"/>
      <c r="N113" s="57"/>
      <c r="O113" s="709"/>
      <c r="P113" s="704"/>
      <c r="Q113" s="95">
        <f>ROUND((ROUND((ROUND((_11_A身体４．０*_11・２人),0)*(1+_11・A夜間)),0)*_11・初任),0)</f>
        <v>874</v>
      </c>
      <c r="R113" s="48"/>
    </row>
    <row r="114" spans="1:18" ht="16.5" customHeight="1" x14ac:dyDescent="0.15">
      <c r="A114" s="41">
        <v>11</v>
      </c>
      <c r="B114" s="41" t="s">
        <v>842</v>
      </c>
      <c r="C114" s="74" t="s">
        <v>843</v>
      </c>
      <c r="D114" s="69"/>
      <c r="F114" s="705" t="s">
        <v>400</v>
      </c>
      <c r="G114" s="49" t="s">
        <v>398</v>
      </c>
      <c r="H114" s="50">
        <v>0.7</v>
      </c>
      <c r="I114" s="44"/>
      <c r="J114" s="45"/>
      <c r="K114" s="46"/>
      <c r="L114" s="35"/>
      <c r="N114" s="57"/>
      <c r="O114" s="709"/>
      <c r="P114" s="704"/>
      <c r="Q114" s="95">
        <f>ROUND((ROUND((ROUND((_11_A身体４．０*_11・基礎１),0)*(1+_11・A夜間)),0)*_11・初任),0)</f>
        <v>612</v>
      </c>
      <c r="R114" s="48"/>
    </row>
    <row r="115" spans="1:18" ht="16.5" customHeight="1" x14ac:dyDescent="0.15">
      <c r="A115" s="41">
        <v>11</v>
      </c>
      <c r="B115" s="41" t="s">
        <v>844</v>
      </c>
      <c r="C115" s="74" t="s">
        <v>845</v>
      </c>
      <c r="D115" s="69"/>
      <c r="F115" s="723"/>
      <c r="G115" s="37"/>
      <c r="H115" s="38"/>
      <c r="I115" s="44" t="s">
        <v>397</v>
      </c>
      <c r="J115" s="45" t="s">
        <v>398</v>
      </c>
      <c r="K115" s="46">
        <v>1</v>
      </c>
      <c r="L115" s="35"/>
      <c r="N115" s="57"/>
      <c r="O115" s="55" t="s">
        <v>398</v>
      </c>
      <c r="P115" s="38">
        <f>_11・初任</f>
        <v>0.7</v>
      </c>
      <c r="Q115" s="95">
        <f>ROUND((ROUND((ROUND((ROUND((_11_A身体４．０*_11・基礎１),0)*_11・２人),0)*(1+_11・A夜間)),0)*_11・初任),0)</f>
        <v>612</v>
      </c>
      <c r="R115" s="48"/>
    </row>
    <row r="116" spans="1:18" ht="16.5" customHeight="1" x14ac:dyDescent="0.15">
      <c r="A116" s="41">
        <v>11</v>
      </c>
      <c r="B116" s="41">
        <v>1247</v>
      </c>
      <c r="C116" s="74" t="s">
        <v>846</v>
      </c>
      <c r="D116" s="712" t="s">
        <v>847</v>
      </c>
      <c r="E116" s="717"/>
      <c r="F116" s="96"/>
      <c r="G116" s="49"/>
      <c r="H116" s="50"/>
      <c r="I116" s="44"/>
      <c r="J116" s="45"/>
      <c r="K116" s="46"/>
      <c r="L116" s="35"/>
      <c r="N116" s="57"/>
      <c r="O116" s="53"/>
      <c r="P116" s="49"/>
      <c r="Q116" s="95">
        <f>ROUND((_11_A身体４．５*(1+_11・A夜間)),0)</f>
        <v>1353</v>
      </c>
      <c r="R116" s="48"/>
    </row>
    <row r="117" spans="1:18" ht="16.5" customHeight="1" x14ac:dyDescent="0.15">
      <c r="A117" s="41">
        <v>11</v>
      </c>
      <c r="B117" s="41">
        <v>1248</v>
      </c>
      <c r="C117" s="74" t="s">
        <v>848</v>
      </c>
      <c r="D117" s="703"/>
      <c r="E117" s="718"/>
      <c r="F117" s="94"/>
      <c r="G117" s="37"/>
      <c r="H117" s="38"/>
      <c r="I117" s="44" t="s">
        <v>397</v>
      </c>
      <c r="J117" s="45" t="s">
        <v>398</v>
      </c>
      <c r="K117" s="46">
        <v>1</v>
      </c>
      <c r="L117" s="35"/>
      <c r="N117" s="57"/>
      <c r="O117" s="35"/>
      <c r="Q117" s="95">
        <f>ROUND((ROUND((_11_A身体４．５*_11・２人),0)*(1+_11・A夜間)),0)</f>
        <v>1353</v>
      </c>
      <c r="R117" s="48"/>
    </row>
    <row r="118" spans="1:18" ht="16.5" customHeight="1" x14ac:dyDescent="0.15">
      <c r="A118" s="41">
        <v>11</v>
      </c>
      <c r="B118" s="41">
        <v>1249</v>
      </c>
      <c r="C118" s="74" t="s">
        <v>849</v>
      </c>
      <c r="D118" s="703"/>
      <c r="E118" s="718"/>
      <c r="F118" s="705" t="s">
        <v>400</v>
      </c>
      <c r="G118" s="49" t="s">
        <v>398</v>
      </c>
      <c r="H118" s="50">
        <v>0.7</v>
      </c>
      <c r="I118" s="44"/>
      <c r="J118" s="45"/>
      <c r="K118" s="46"/>
      <c r="L118" s="35"/>
      <c r="N118" s="57"/>
      <c r="O118" s="35"/>
      <c r="Q118" s="95">
        <f>ROUND((ROUND((_11_A身体４．５*_11・基礎１),0)*(1+_11・A夜間)),0)</f>
        <v>946</v>
      </c>
      <c r="R118" s="48"/>
    </row>
    <row r="119" spans="1:18" ht="16.5" customHeight="1" x14ac:dyDescent="0.15">
      <c r="A119" s="41">
        <v>11</v>
      </c>
      <c r="B119" s="41">
        <v>1250</v>
      </c>
      <c r="C119" s="74" t="s">
        <v>850</v>
      </c>
      <c r="D119" s="97">
        <f>_11_A身体４．５</f>
        <v>1082</v>
      </c>
      <c r="E119" s="12" t="s">
        <v>392</v>
      </c>
      <c r="F119" s="723"/>
      <c r="G119" s="37"/>
      <c r="H119" s="38"/>
      <c r="I119" s="44" t="s">
        <v>397</v>
      </c>
      <c r="J119" s="45" t="s">
        <v>398</v>
      </c>
      <c r="K119" s="46">
        <v>1</v>
      </c>
      <c r="L119" s="35"/>
      <c r="N119" s="57"/>
      <c r="O119" s="43"/>
      <c r="P119" s="37"/>
      <c r="Q119" s="95">
        <f>ROUND((ROUND((ROUND((_11_A身体４．５*_11・基礎１),0)*_11・２人),0)*(1+_11・A夜間)),0)</f>
        <v>946</v>
      </c>
      <c r="R119" s="48"/>
    </row>
    <row r="120" spans="1:18" ht="16.5" customHeight="1" x14ac:dyDescent="0.15">
      <c r="A120" s="41">
        <v>11</v>
      </c>
      <c r="B120" s="41" t="s">
        <v>851</v>
      </c>
      <c r="C120" s="74" t="s">
        <v>852</v>
      </c>
      <c r="D120" s="66"/>
      <c r="F120" s="96"/>
      <c r="G120" s="49"/>
      <c r="H120" s="50"/>
      <c r="I120" s="44"/>
      <c r="J120" s="45"/>
      <c r="K120" s="46"/>
      <c r="L120" s="35"/>
      <c r="N120" s="57"/>
      <c r="O120" s="707" t="s">
        <v>404</v>
      </c>
      <c r="P120" s="708"/>
      <c r="Q120" s="95">
        <f>ROUND((ROUND((_11_A身体４．５*(1+_11・A夜間)),0)*_11・初任),0)</f>
        <v>947</v>
      </c>
      <c r="R120" s="48"/>
    </row>
    <row r="121" spans="1:18" ht="16.5" customHeight="1" x14ac:dyDescent="0.15">
      <c r="A121" s="41">
        <v>11</v>
      </c>
      <c r="B121" s="41" t="s">
        <v>853</v>
      </c>
      <c r="C121" s="74" t="s">
        <v>854</v>
      </c>
      <c r="D121" s="66"/>
      <c r="F121" s="94"/>
      <c r="G121" s="37"/>
      <c r="H121" s="38"/>
      <c r="I121" s="44" t="s">
        <v>397</v>
      </c>
      <c r="J121" s="45" t="s">
        <v>398</v>
      </c>
      <c r="K121" s="46">
        <v>1</v>
      </c>
      <c r="L121" s="35"/>
      <c r="N121" s="57"/>
      <c r="O121" s="709"/>
      <c r="P121" s="704"/>
      <c r="Q121" s="95">
        <f>ROUND((ROUND((ROUND((_11_A身体４．５*_11・２人),0)*(1+_11・A夜間)),0)*_11・初任),0)</f>
        <v>947</v>
      </c>
      <c r="R121" s="48"/>
    </row>
    <row r="122" spans="1:18" ht="16.5" customHeight="1" x14ac:dyDescent="0.15">
      <c r="A122" s="41">
        <v>11</v>
      </c>
      <c r="B122" s="41" t="s">
        <v>855</v>
      </c>
      <c r="C122" s="74" t="s">
        <v>856</v>
      </c>
      <c r="D122" s="69"/>
      <c r="F122" s="705" t="s">
        <v>400</v>
      </c>
      <c r="G122" s="49" t="s">
        <v>398</v>
      </c>
      <c r="H122" s="50">
        <v>0.7</v>
      </c>
      <c r="I122" s="44"/>
      <c r="J122" s="45"/>
      <c r="K122" s="46"/>
      <c r="L122" s="35"/>
      <c r="N122" s="57"/>
      <c r="O122" s="709"/>
      <c r="P122" s="704"/>
      <c r="Q122" s="95">
        <f>ROUND((ROUND((ROUND((_11_A身体４．５*_11・基礎１),0)*(1+_11・A夜間)),0)*_11・初任),0)</f>
        <v>662</v>
      </c>
      <c r="R122" s="48"/>
    </row>
    <row r="123" spans="1:18" ht="16.5" customHeight="1" x14ac:dyDescent="0.15">
      <c r="A123" s="41">
        <v>11</v>
      </c>
      <c r="B123" s="41" t="s">
        <v>857</v>
      </c>
      <c r="C123" s="74" t="s">
        <v>858</v>
      </c>
      <c r="D123" s="70"/>
      <c r="E123" s="37"/>
      <c r="F123" s="723"/>
      <c r="G123" s="37"/>
      <c r="H123" s="38"/>
      <c r="I123" s="44" t="s">
        <v>397</v>
      </c>
      <c r="J123" s="45" t="s">
        <v>398</v>
      </c>
      <c r="K123" s="46">
        <v>1</v>
      </c>
      <c r="L123" s="43"/>
      <c r="M123" s="38"/>
      <c r="N123" s="79"/>
      <c r="O123" s="55" t="s">
        <v>398</v>
      </c>
      <c r="P123" s="38">
        <f>_11・初任</f>
        <v>0.7</v>
      </c>
      <c r="Q123" s="95">
        <f>ROUND((ROUND((ROUND((ROUND((_11_A身体４．５*_11・基礎１),0)*_11・２人),0)*(1+_11・A夜間)),0)*_11・初任),0)</f>
        <v>662</v>
      </c>
      <c r="R123" s="63"/>
    </row>
    <row r="124" spans="1:18" ht="16.5" customHeight="1" x14ac:dyDescent="0.15"/>
    <row r="125" spans="1:18" ht="16.5" customHeight="1" x14ac:dyDescent="0.15"/>
  </sheetData>
  <mergeCells count="60">
    <mergeCell ref="D116:E118"/>
    <mergeCell ref="F118:F119"/>
    <mergeCell ref="O120:P122"/>
    <mergeCell ref="F122:F123"/>
    <mergeCell ref="O104:P106"/>
    <mergeCell ref="F106:F107"/>
    <mergeCell ref="D108:E110"/>
    <mergeCell ref="F110:F111"/>
    <mergeCell ref="O112:P114"/>
    <mergeCell ref="F114:F115"/>
    <mergeCell ref="D92:E94"/>
    <mergeCell ref="F94:F95"/>
    <mergeCell ref="O96:P98"/>
    <mergeCell ref="F98:F99"/>
    <mergeCell ref="D100:E102"/>
    <mergeCell ref="F102:F103"/>
    <mergeCell ref="O80:P82"/>
    <mergeCell ref="F82:F83"/>
    <mergeCell ref="D84:E86"/>
    <mergeCell ref="F86:F87"/>
    <mergeCell ref="O88:P90"/>
    <mergeCell ref="F90:F91"/>
    <mergeCell ref="D68:E70"/>
    <mergeCell ref="F70:F71"/>
    <mergeCell ref="O72:P74"/>
    <mergeCell ref="F74:F75"/>
    <mergeCell ref="D76:E78"/>
    <mergeCell ref="F78:F79"/>
    <mergeCell ref="O56:P58"/>
    <mergeCell ref="F58:F59"/>
    <mergeCell ref="D60:E62"/>
    <mergeCell ref="F62:F63"/>
    <mergeCell ref="O64:P66"/>
    <mergeCell ref="F66:F67"/>
    <mergeCell ref="D52:E54"/>
    <mergeCell ref="N53:N54"/>
    <mergeCell ref="F54:F55"/>
    <mergeCell ref="O27:P29"/>
    <mergeCell ref="F29:F30"/>
    <mergeCell ref="D31:E33"/>
    <mergeCell ref="F33:F34"/>
    <mergeCell ref="O35:P37"/>
    <mergeCell ref="F37:F38"/>
    <mergeCell ref="D39:E41"/>
    <mergeCell ref="F41:F42"/>
    <mergeCell ref="O43:P45"/>
    <mergeCell ref="F45:F46"/>
    <mergeCell ref="D50:P50"/>
    <mergeCell ref="D15:E17"/>
    <mergeCell ref="F17:F18"/>
    <mergeCell ref="O19:P21"/>
    <mergeCell ref="F21:F22"/>
    <mergeCell ref="D23:E25"/>
    <mergeCell ref="F25:F26"/>
    <mergeCell ref="D5:P5"/>
    <mergeCell ref="D7:E9"/>
    <mergeCell ref="N8:N9"/>
    <mergeCell ref="F9:F10"/>
    <mergeCell ref="O11:P13"/>
    <mergeCell ref="F13:F14"/>
  </mergeCells>
  <phoneticPr fontId="1"/>
  <printOptions horizontalCentered="1"/>
  <pageMargins left="0.70866141732283472" right="0.70866141732283472" top="0.74803149606299213" bottom="0.74803149606299213" header="0.31496062992125984" footer="0.31496062992125984"/>
  <pageSetup paperSize="9" scale="60" fitToHeight="0" orientation="portrait" r:id="rId1"/>
  <headerFooter>
    <oddHeader>&amp;R&amp;"ＭＳ Ｐゴシック"&amp;9居宅介護</oddHeader>
    <oddFooter>&amp;C&amp;"ＭＳ Ｐゴシック"&amp;14&amp;P</oddFooter>
  </headerFooter>
  <rowBreaks count="1" manualBreakCount="1">
    <brk id="46" max="17"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pageSetUpPr fitToPage="1"/>
  </sheetPr>
  <dimension ref="A1:W47"/>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3.125" style="10" bestFit="1" customWidth="1"/>
    <col min="4" max="4" width="2.5" style="10" customWidth="1"/>
    <col min="5" max="5" width="4.875" style="10" customWidth="1"/>
    <col min="6" max="6" width="4.5" style="117" bestFit="1" customWidth="1"/>
    <col min="7" max="7" width="2.5" style="117" customWidth="1"/>
    <col min="8" max="8" width="4.875" style="10" customWidth="1"/>
    <col min="9" max="9" width="4.5" style="117" bestFit="1" customWidth="1"/>
    <col min="10" max="10" width="24.875" style="14" bestFit="1" customWidth="1"/>
    <col min="11" max="11" width="3.5" style="12" bestFit="1" customWidth="1"/>
    <col min="12" max="12" width="5.5" style="13" bestFit="1" customWidth="1"/>
    <col min="13" max="13" width="3.5" style="12" bestFit="1" customWidth="1"/>
    <col min="14" max="14" width="4.5" style="13" bestFit="1" customWidth="1"/>
    <col min="15" max="15" width="5.5" style="12" bestFit="1" customWidth="1"/>
    <col min="16" max="16" width="3.5" style="12" bestFit="1" customWidth="1"/>
    <col min="17" max="17" width="4.5" style="13" bestFit="1" customWidth="1"/>
    <col min="18" max="18" width="5.5" style="12" bestFit="1" customWidth="1"/>
    <col min="19" max="19" width="17.875" style="12" customWidth="1"/>
    <col min="20" max="20" width="3.5" style="12" bestFit="1" customWidth="1"/>
    <col min="21" max="21" width="4.5" style="13" bestFit="1" customWidth="1"/>
    <col min="22" max="22" width="7.125" style="206" customWidth="1"/>
    <col min="23" max="23" width="8.5" style="16" customWidth="1"/>
    <col min="24" max="16384" width="8.875" style="12"/>
  </cols>
  <sheetData>
    <row r="1" spans="1:23" ht="17.100000000000001" customHeight="1" x14ac:dyDescent="0.15"/>
    <row r="2" spans="1:23" ht="17.100000000000001" customHeight="1" x14ac:dyDescent="0.15"/>
    <row r="3" spans="1:23" ht="17.100000000000001" customHeight="1" x14ac:dyDescent="0.15">
      <c r="G3" s="99"/>
    </row>
    <row r="4" spans="1:23" ht="17.100000000000001" customHeight="1" x14ac:dyDescent="0.15">
      <c r="B4" s="17" t="s">
        <v>7667</v>
      </c>
      <c r="E4" s="71"/>
      <c r="G4" s="99"/>
    </row>
    <row r="5" spans="1:23" ht="16.5" customHeight="1" x14ac:dyDescent="0.15">
      <c r="A5" s="19" t="s">
        <v>384</v>
      </c>
      <c r="B5" s="20"/>
      <c r="C5" s="21" t="s">
        <v>385</v>
      </c>
      <c r="D5" s="166"/>
      <c r="E5" s="23" t="s">
        <v>386</v>
      </c>
      <c r="F5" s="118"/>
      <c r="G5" s="118"/>
      <c r="H5" s="23"/>
      <c r="I5" s="118"/>
      <c r="J5" s="23"/>
      <c r="K5" s="23"/>
      <c r="L5" s="24"/>
      <c r="M5" s="23"/>
      <c r="N5" s="24"/>
      <c r="O5" s="23"/>
      <c r="P5" s="23"/>
      <c r="Q5" s="24"/>
      <c r="R5" s="23"/>
      <c r="S5" s="23"/>
      <c r="T5" s="23"/>
      <c r="U5" s="24"/>
      <c r="V5" s="21" t="s">
        <v>387</v>
      </c>
      <c r="W5" s="21" t="s">
        <v>388</v>
      </c>
    </row>
    <row r="6" spans="1:23" ht="16.5" customHeight="1" x14ac:dyDescent="0.15">
      <c r="A6" s="26" t="s">
        <v>389</v>
      </c>
      <c r="B6" s="26" t="s">
        <v>390</v>
      </c>
      <c r="C6" s="27"/>
      <c r="D6" s="726" t="s">
        <v>1032</v>
      </c>
      <c r="E6" s="731"/>
      <c r="F6" s="737"/>
      <c r="G6" s="738" t="s">
        <v>1033</v>
      </c>
      <c r="H6" s="731"/>
      <c r="I6" s="727"/>
      <c r="J6" s="29"/>
      <c r="K6" s="29"/>
      <c r="L6" s="30"/>
      <c r="M6" s="29"/>
      <c r="N6" s="30"/>
      <c r="O6" s="29"/>
      <c r="P6" s="29"/>
      <c r="Q6" s="30"/>
      <c r="R6" s="29"/>
      <c r="S6" s="29"/>
      <c r="T6" s="29"/>
      <c r="U6" s="30"/>
      <c r="V6" s="32" t="s">
        <v>391</v>
      </c>
      <c r="W6" s="32" t="s">
        <v>392</v>
      </c>
    </row>
    <row r="7" spans="1:23" ht="16.5" customHeight="1" x14ac:dyDescent="0.15">
      <c r="A7" s="33">
        <v>11</v>
      </c>
      <c r="B7" s="33">
        <v>4287</v>
      </c>
      <c r="C7" s="34" t="s">
        <v>7668</v>
      </c>
      <c r="D7" s="709" t="s">
        <v>3779</v>
      </c>
      <c r="E7" s="704"/>
      <c r="F7" s="739"/>
      <c r="G7" s="736" t="s">
        <v>3780</v>
      </c>
      <c r="H7" s="704"/>
      <c r="I7" s="718"/>
      <c r="J7" s="36"/>
      <c r="K7" s="37"/>
      <c r="L7" s="38"/>
      <c r="M7" s="35" t="s">
        <v>1416</v>
      </c>
      <c r="O7" s="57"/>
      <c r="P7" s="35" t="s">
        <v>1618</v>
      </c>
      <c r="R7" s="57"/>
      <c r="S7" s="35"/>
      <c r="V7" s="207">
        <f>ROUND((_11_A重度研修１．０*(1+_11・A夜間)),0)+ROUND((_11_B重度研修１．０＿０．５*(1+_11・B深夜)),0)</f>
        <v>366</v>
      </c>
      <c r="W7" s="40" t="s">
        <v>395</v>
      </c>
    </row>
    <row r="8" spans="1:23" ht="16.5" customHeight="1" x14ac:dyDescent="0.15">
      <c r="A8" s="41">
        <v>11</v>
      </c>
      <c r="B8" s="41">
        <v>4288</v>
      </c>
      <c r="C8" s="74" t="s">
        <v>7669</v>
      </c>
      <c r="D8" s="709"/>
      <c r="E8" s="704"/>
      <c r="F8" s="739"/>
      <c r="G8" s="736"/>
      <c r="H8" s="704"/>
      <c r="I8" s="718"/>
      <c r="J8" s="44" t="s">
        <v>397</v>
      </c>
      <c r="K8" s="45" t="s">
        <v>398</v>
      </c>
      <c r="L8" s="46">
        <v>1</v>
      </c>
      <c r="M8" s="35" t="s">
        <v>398</v>
      </c>
      <c r="N8" s="13">
        <v>0.25</v>
      </c>
      <c r="O8" s="728" t="s">
        <v>676</v>
      </c>
      <c r="P8" s="12" t="s">
        <v>398</v>
      </c>
      <c r="Q8" s="13">
        <v>0.5</v>
      </c>
      <c r="R8" s="728" t="s">
        <v>676</v>
      </c>
      <c r="S8" s="43"/>
      <c r="T8" s="37"/>
      <c r="U8" s="38"/>
      <c r="V8" s="208">
        <f>ROUND((ROUND((_11_A重度研修１．０*_11・２人),0)*(1+_11・A夜間)),0)+ROUND((ROUND((_11_B重度研修１．０＿０．５*_11・２人),0)*(1+_11・B深夜)),0)</f>
        <v>366</v>
      </c>
      <c r="W8" s="48"/>
    </row>
    <row r="9" spans="1:23" ht="16.5" customHeight="1" x14ac:dyDescent="0.15">
      <c r="A9" s="41">
        <v>11</v>
      </c>
      <c r="B9" s="41" t="s">
        <v>7670</v>
      </c>
      <c r="C9" s="74" t="s">
        <v>7671</v>
      </c>
      <c r="D9" s="709"/>
      <c r="E9" s="704"/>
      <c r="F9" s="739"/>
      <c r="G9" s="736"/>
      <c r="H9" s="704"/>
      <c r="I9" s="718"/>
      <c r="J9" s="44"/>
      <c r="K9" s="45"/>
      <c r="L9" s="46"/>
      <c r="M9" s="35"/>
      <c r="O9" s="728"/>
      <c r="R9" s="728"/>
      <c r="S9" s="734" t="s">
        <v>404</v>
      </c>
      <c r="T9" s="49" t="s">
        <v>398</v>
      </c>
      <c r="U9" s="50">
        <f>_11・初任</f>
        <v>0.7</v>
      </c>
      <c r="V9" s="208">
        <f>ROUND((ROUND((_11_A重度研修１．０*(1+_11・A夜間)),0)*_11・初任),0)+ROUND((ROUND((_11_B重度研修１．０＿０．５*(1+_11・B深夜)),0)*_11・初任),0)</f>
        <v>257</v>
      </c>
      <c r="W9" s="48"/>
    </row>
    <row r="10" spans="1:23" ht="16.5" customHeight="1" x14ac:dyDescent="0.15">
      <c r="A10" s="41">
        <v>11</v>
      </c>
      <c r="B10" s="41" t="s">
        <v>7672</v>
      </c>
      <c r="C10" s="74" t="s">
        <v>7673</v>
      </c>
      <c r="D10" s="72"/>
      <c r="E10" s="170">
        <f>_11_A重度研修１．０</f>
        <v>185</v>
      </c>
      <c r="F10" s="12" t="s">
        <v>392</v>
      </c>
      <c r="G10" s="178"/>
      <c r="H10" s="170">
        <f>_11_B重度研修１．０＿０．５</f>
        <v>90</v>
      </c>
      <c r="I10" s="12" t="s">
        <v>392</v>
      </c>
      <c r="J10" s="44" t="s">
        <v>397</v>
      </c>
      <c r="K10" s="45" t="s">
        <v>398</v>
      </c>
      <c r="L10" s="46">
        <v>1</v>
      </c>
      <c r="M10" s="35"/>
      <c r="O10" s="57"/>
      <c r="R10" s="57"/>
      <c r="S10" s="706"/>
      <c r="T10" s="37"/>
      <c r="U10" s="38"/>
      <c r="V10" s="208">
        <f>ROUND((ROUND((ROUND((_11_A重度研修１．０*_11・２人),0)*(1+_11・A夜間)),0)*_11・初任),0)+ROUND((ROUND((ROUND((_11_B重度研修１．０＿０．５*_11・２人),0)*(1+_11・B深夜)),0)*_11・初任),0)</f>
        <v>257</v>
      </c>
      <c r="W10" s="48"/>
    </row>
    <row r="11" spans="1:23" ht="16.5" customHeight="1" x14ac:dyDescent="0.15">
      <c r="A11" s="41">
        <v>11</v>
      </c>
      <c r="B11" s="41">
        <v>4111</v>
      </c>
      <c r="C11" s="74" t="s">
        <v>7674</v>
      </c>
      <c r="D11" s="72"/>
      <c r="F11" s="99"/>
      <c r="G11" s="735" t="s">
        <v>3787</v>
      </c>
      <c r="H11" s="708"/>
      <c r="I11" s="717"/>
      <c r="J11" s="44"/>
      <c r="K11" s="45"/>
      <c r="L11" s="46"/>
      <c r="M11" s="35"/>
      <c r="O11" s="57"/>
      <c r="R11" s="57"/>
      <c r="S11" s="53"/>
      <c r="T11" s="49"/>
      <c r="U11" s="49"/>
      <c r="V11" s="208">
        <f>ROUND((_11_A重度研修１．０*(1+_11・A夜間)),0)+ROUND((_11_B重度研修１．０＿１．０*(1+_11・B深夜)),0)</f>
        <v>504</v>
      </c>
      <c r="W11" s="48"/>
    </row>
    <row r="12" spans="1:23" ht="16.5" customHeight="1" x14ac:dyDescent="0.15">
      <c r="A12" s="41">
        <v>11</v>
      </c>
      <c r="B12" s="41">
        <v>4112</v>
      </c>
      <c r="C12" s="74" t="s">
        <v>7675</v>
      </c>
      <c r="D12" s="72"/>
      <c r="F12" s="99"/>
      <c r="G12" s="736"/>
      <c r="H12" s="704"/>
      <c r="I12" s="718"/>
      <c r="J12" s="44" t="s">
        <v>397</v>
      </c>
      <c r="K12" s="45" t="s">
        <v>398</v>
      </c>
      <c r="L12" s="46">
        <v>1</v>
      </c>
      <c r="M12" s="35"/>
      <c r="O12" s="57"/>
      <c r="R12" s="57"/>
      <c r="S12" s="43"/>
      <c r="T12" s="37"/>
      <c r="U12" s="37"/>
      <c r="V12" s="208">
        <f>ROUND((ROUND((_11_A重度研修１．０*_11・２人),0)*(1+_11・A夜間)),0)+ROUND((ROUND((_11_B重度研修１．０＿１．０*_11・２人),0)*(1+_11・B深夜)),0)</f>
        <v>504</v>
      </c>
      <c r="W12" s="48"/>
    </row>
    <row r="13" spans="1:23" ht="16.5" customHeight="1" x14ac:dyDescent="0.15">
      <c r="A13" s="41">
        <v>11</v>
      </c>
      <c r="B13" s="41" t="s">
        <v>7676</v>
      </c>
      <c r="C13" s="74" t="s">
        <v>7677</v>
      </c>
      <c r="D13" s="72"/>
      <c r="F13" s="99"/>
      <c r="G13" s="736"/>
      <c r="H13" s="704"/>
      <c r="I13" s="718"/>
      <c r="J13" s="44"/>
      <c r="K13" s="45"/>
      <c r="L13" s="46"/>
      <c r="M13" s="35"/>
      <c r="O13" s="57"/>
      <c r="R13" s="57"/>
      <c r="S13" s="734" t="s">
        <v>404</v>
      </c>
      <c r="T13" s="49" t="s">
        <v>398</v>
      </c>
      <c r="U13" s="50">
        <f>_11・初任</f>
        <v>0.7</v>
      </c>
      <c r="V13" s="208">
        <f>ROUND((ROUND((_11_A重度研修１．０*(1+_11・A夜間)),0)*_11・初任),0)+ROUND((ROUND((_11_B重度研修１．０＿１．０*(1+_11・B深夜)),0)*_11・初任),0)</f>
        <v>353</v>
      </c>
      <c r="W13" s="48"/>
    </row>
    <row r="14" spans="1:23" ht="16.5" customHeight="1" x14ac:dyDescent="0.15">
      <c r="A14" s="41">
        <v>11</v>
      </c>
      <c r="B14" s="41" t="s">
        <v>7678</v>
      </c>
      <c r="C14" s="74" t="s">
        <v>7679</v>
      </c>
      <c r="D14" s="72"/>
      <c r="F14" s="99"/>
      <c r="G14" s="179"/>
      <c r="H14" s="170">
        <f>_11_B重度研修１．０＿１．０</f>
        <v>182</v>
      </c>
      <c r="I14" s="12" t="s">
        <v>392</v>
      </c>
      <c r="J14" s="44" t="s">
        <v>397</v>
      </c>
      <c r="K14" s="45" t="s">
        <v>398</v>
      </c>
      <c r="L14" s="46">
        <v>1</v>
      </c>
      <c r="M14" s="35"/>
      <c r="O14" s="57"/>
      <c r="R14" s="57"/>
      <c r="S14" s="706"/>
      <c r="T14" s="37"/>
      <c r="U14" s="38"/>
      <c r="V14" s="208">
        <f>ROUND((ROUND((ROUND((_11_A重度研修１．０*_11・２人),0)*(1+_11・A夜間)),0)*_11・初任),0)+ROUND((ROUND((ROUND((_11_B重度研修１．０＿１．０*_11・２人),0)*(1+_11・B深夜)),0)*_11・初任),0)</f>
        <v>353</v>
      </c>
      <c r="W14" s="48"/>
    </row>
    <row r="15" spans="1:23" ht="16.5" customHeight="1" x14ac:dyDescent="0.15">
      <c r="A15" s="41">
        <v>11</v>
      </c>
      <c r="B15" s="41">
        <v>4289</v>
      </c>
      <c r="C15" s="74" t="s">
        <v>7680</v>
      </c>
      <c r="D15" s="72"/>
      <c r="F15" s="99"/>
      <c r="G15" s="735" t="s">
        <v>3794</v>
      </c>
      <c r="H15" s="708"/>
      <c r="I15" s="717"/>
      <c r="J15" s="44"/>
      <c r="K15" s="45"/>
      <c r="L15" s="46"/>
      <c r="M15" s="35"/>
      <c r="O15" s="57"/>
      <c r="R15" s="57"/>
      <c r="S15" s="53"/>
      <c r="T15" s="49"/>
      <c r="U15" s="50"/>
      <c r="V15" s="208">
        <f>ROUND((_11_A重度研修１．０*(1+_11・A夜間)),0)+ROUND((_11_B重度研修１．０＿１．５*(1+_11・B深夜)),0)</f>
        <v>641</v>
      </c>
      <c r="W15" s="48"/>
    </row>
    <row r="16" spans="1:23" ht="16.5" customHeight="1" x14ac:dyDescent="0.15">
      <c r="A16" s="41">
        <v>11</v>
      </c>
      <c r="B16" s="41">
        <v>4290</v>
      </c>
      <c r="C16" s="74" t="s">
        <v>7681</v>
      </c>
      <c r="D16" s="72"/>
      <c r="F16" s="99"/>
      <c r="G16" s="736"/>
      <c r="H16" s="704"/>
      <c r="I16" s="718"/>
      <c r="J16" s="44" t="s">
        <v>397</v>
      </c>
      <c r="K16" s="45" t="s">
        <v>398</v>
      </c>
      <c r="L16" s="46">
        <v>1</v>
      </c>
      <c r="M16" s="35"/>
      <c r="O16" s="57"/>
      <c r="R16" s="57"/>
      <c r="S16" s="43"/>
      <c r="T16" s="37"/>
      <c r="U16" s="38"/>
      <c r="V16" s="208">
        <f>ROUND((ROUND((_11_A重度研修１．０*_11・２人),0)*(1+_11・A夜間)),0)+ROUND((ROUND((_11_B重度研修１．０＿１．５*_11・２人),0)*(1+_11・B深夜)),0)</f>
        <v>641</v>
      </c>
      <c r="W16" s="48"/>
    </row>
    <row r="17" spans="1:23" ht="16.5" customHeight="1" x14ac:dyDescent="0.15">
      <c r="A17" s="41">
        <v>11</v>
      </c>
      <c r="B17" s="41" t="s">
        <v>7682</v>
      </c>
      <c r="C17" s="74" t="s">
        <v>7683</v>
      </c>
      <c r="D17" s="72"/>
      <c r="F17" s="99"/>
      <c r="G17" s="736"/>
      <c r="H17" s="704"/>
      <c r="I17" s="718"/>
      <c r="J17" s="44"/>
      <c r="K17" s="45"/>
      <c r="L17" s="46"/>
      <c r="M17" s="35"/>
      <c r="O17" s="57"/>
      <c r="R17" s="57"/>
      <c r="S17" s="734" t="s">
        <v>404</v>
      </c>
      <c r="T17" s="49" t="s">
        <v>398</v>
      </c>
      <c r="U17" s="50">
        <f>_11・初任</f>
        <v>0.7</v>
      </c>
      <c r="V17" s="208">
        <f>ROUND((ROUND((_11_A重度研修１．０*(1+_11・A夜間)),0)*_11・初任),0)+ROUND((ROUND((_11_B重度研修１．０＿１．５*(1+_11・B深夜)),0)*_11・初任),0)</f>
        <v>449</v>
      </c>
      <c r="W17" s="48"/>
    </row>
    <row r="18" spans="1:23" ht="16.5" customHeight="1" x14ac:dyDescent="0.15">
      <c r="A18" s="41">
        <v>11</v>
      </c>
      <c r="B18" s="41" t="s">
        <v>7684</v>
      </c>
      <c r="C18" s="74" t="s">
        <v>7685</v>
      </c>
      <c r="D18" s="72"/>
      <c r="F18" s="99"/>
      <c r="G18" s="179"/>
      <c r="H18" s="170">
        <f>_11_B重度研修１．０＿１．５</f>
        <v>273</v>
      </c>
      <c r="I18" s="12" t="s">
        <v>392</v>
      </c>
      <c r="J18" s="44" t="s">
        <v>397</v>
      </c>
      <c r="K18" s="45" t="s">
        <v>398</v>
      </c>
      <c r="L18" s="46">
        <v>1</v>
      </c>
      <c r="M18" s="35"/>
      <c r="O18" s="57"/>
      <c r="R18" s="57"/>
      <c r="S18" s="706"/>
      <c r="T18" s="37"/>
      <c r="U18" s="38"/>
      <c r="V18" s="208">
        <f>ROUND((ROUND((ROUND((_11_A重度研修１．０*_11・２人),0)*(1+_11・A夜間)),0)*_11・初任),0)+ROUND((ROUND((ROUND((_11_B重度研修１．０＿１．５*_11・２人),0)*(1+_11・B深夜)),0)*_11・初任),0)</f>
        <v>449</v>
      </c>
      <c r="W18" s="48"/>
    </row>
    <row r="19" spans="1:23" ht="16.5" customHeight="1" x14ac:dyDescent="0.15">
      <c r="A19" s="41">
        <v>11</v>
      </c>
      <c r="B19" s="41">
        <v>4113</v>
      </c>
      <c r="C19" s="74" t="s">
        <v>7686</v>
      </c>
      <c r="D19" s="72"/>
      <c r="F19" s="99"/>
      <c r="G19" s="735" t="s">
        <v>3801</v>
      </c>
      <c r="H19" s="708"/>
      <c r="I19" s="717"/>
      <c r="J19" s="44"/>
      <c r="K19" s="45"/>
      <c r="L19" s="46"/>
      <c r="M19" s="35"/>
      <c r="O19" s="57"/>
      <c r="R19" s="57"/>
      <c r="S19" s="53"/>
      <c r="T19" s="49"/>
      <c r="U19" s="49"/>
      <c r="V19" s="208">
        <f>ROUND((_11_A重度研修１．０*(1+_11・A夜間)),0)+ROUND((_11_B重度研修１．０＿２．０*(1+_11・B深夜)),0)</f>
        <v>779</v>
      </c>
      <c r="W19" s="48"/>
    </row>
    <row r="20" spans="1:23" ht="16.5" customHeight="1" x14ac:dyDescent="0.15">
      <c r="A20" s="41">
        <v>11</v>
      </c>
      <c r="B20" s="41">
        <v>4114</v>
      </c>
      <c r="C20" s="74" t="s">
        <v>7687</v>
      </c>
      <c r="D20" s="72"/>
      <c r="F20" s="99"/>
      <c r="G20" s="736"/>
      <c r="H20" s="704"/>
      <c r="I20" s="718"/>
      <c r="J20" s="44" t="s">
        <v>397</v>
      </c>
      <c r="K20" s="45" t="s">
        <v>398</v>
      </c>
      <c r="L20" s="46">
        <v>1</v>
      </c>
      <c r="M20" s="35"/>
      <c r="O20" s="57"/>
      <c r="R20" s="57"/>
      <c r="S20" s="43"/>
      <c r="T20" s="37"/>
      <c r="U20" s="37"/>
      <c r="V20" s="208">
        <f>ROUND((ROUND((_11_A重度研修１．０*_11・２人),0)*(1+_11・A夜間)),0)+ROUND((ROUND((_11_B重度研修１．０＿２．０*_11・２人),0)*(1+_11・B深夜)),0)</f>
        <v>779</v>
      </c>
      <c r="W20" s="48"/>
    </row>
    <row r="21" spans="1:23" ht="16.5" customHeight="1" x14ac:dyDescent="0.15">
      <c r="A21" s="41">
        <v>11</v>
      </c>
      <c r="B21" s="41" t="s">
        <v>7688</v>
      </c>
      <c r="C21" s="74" t="s">
        <v>7689</v>
      </c>
      <c r="D21" s="72"/>
      <c r="F21" s="99"/>
      <c r="G21" s="736"/>
      <c r="H21" s="704"/>
      <c r="I21" s="718"/>
      <c r="J21" s="44"/>
      <c r="K21" s="45"/>
      <c r="L21" s="46"/>
      <c r="M21" s="35"/>
      <c r="O21" s="57"/>
      <c r="R21" s="57"/>
      <c r="S21" s="734" t="s">
        <v>404</v>
      </c>
      <c r="T21" s="49" t="s">
        <v>398</v>
      </c>
      <c r="U21" s="50">
        <f>_11・初任</f>
        <v>0.7</v>
      </c>
      <c r="V21" s="208">
        <f>ROUND((ROUND((_11_A重度研修１．０*(1+_11・A夜間)),0)*_11・初任),0)+ROUND((ROUND((_11_B重度研修１．０＿２．０*(1+_11・B深夜)),0)*_11・初任),0)</f>
        <v>546</v>
      </c>
      <c r="W21" s="48"/>
    </row>
    <row r="22" spans="1:23" ht="16.5" customHeight="1" x14ac:dyDescent="0.15">
      <c r="A22" s="41">
        <v>11</v>
      </c>
      <c r="B22" s="41" t="s">
        <v>7690</v>
      </c>
      <c r="C22" s="74" t="s">
        <v>7691</v>
      </c>
      <c r="D22" s="72"/>
      <c r="F22" s="99"/>
      <c r="G22" s="179"/>
      <c r="H22" s="170">
        <f>_11_B重度研修１．０＿２．０</f>
        <v>365</v>
      </c>
      <c r="I22" s="12" t="s">
        <v>392</v>
      </c>
      <c r="J22" s="44" t="s">
        <v>397</v>
      </c>
      <c r="K22" s="45" t="s">
        <v>398</v>
      </c>
      <c r="L22" s="46">
        <v>1</v>
      </c>
      <c r="M22" s="35"/>
      <c r="O22" s="57"/>
      <c r="R22" s="57"/>
      <c r="S22" s="706"/>
      <c r="T22" s="37"/>
      <c r="U22" s="38"/>
      <c r="V22" s="208">
        <f>ROUND((ROUND((ROUND((_11_A重度研修１．０*_11・２人),0)*(1+_11・A夜間)),0)*_11・初任),0)+ROUND((ROUND((ROUND((_11_B重度研修１．０＿２．０*_11・２人),0)*(1+_11・B深夜)),0)*_11・初任),0)</f>
        <v>546</v>
      </c>
      <c r="W22" s="48"/>
    </row>
    <row r="23" spans="1:23" ht="16.5" customHeight="1" x14ac:dyDescent="0.15">
      <c r="A23" s="41">
        <v>11</v>
      </c>
      <c r="B23" s="41">
        <v>4291</v>
      </c>
      <c r="C23" s="74" t="s">
        <v>7692</v>
      </c>
      <c r="D23" s="707" t="s">
        <v>3808</v>
      </c>
      <c r="E23" s="708"/>
      <c r="F23" s="740"/>
      <c r="G23" s="735" t="s">
        <v>3780</v>
      </c>
      <c r="H23" s="708"/>
      <c r="I23" s="717"/>
      <c r="J23" s="44"/>
      <c r="K23" s="45"/>
      <c r="L23" s="46"/>
      <c r="M23" s="35"/>
      <c r="O23" s="57"/>
      <c r="R23" s="57"/>
      <c r="S23" s="53"/>
      <c r="T23" s="49"/>
      <c r="U23" s="50"/>
      <c r="V23" s="208">
        <f>ROUND((_11_A重度研修１．５*(1+_11・A夜間)),0)+ROUND((_11_B重度研修１．５＿０．５*(1+_11・B深夜)),0)</f>
        <v>482</v>
      </c>
      <c r="W23" s="48"/>
    </row>
    <row r="24" spans="1:23" ht="16.5" customHeight="1" x14ac:dyDescent="0.15">
      <c r="A24" s="41">
        <v>11</v>
      </c>
      <c r="B24" s="41">
        <v>4292</v>
      </c>
      <c r="C24" s="74" t="s">
        <v>7693</v>
      </c>
      <c r="D24" s="709"/>
      <c r="E24" s="704"/>
      <c r="F24" s="739"/>
      <c r="G24" s="736"/>
      <c r="H24" s="704"/>
      <c r="I24" s="718"/>
      <c r="J24" s="44" t="s">
        <v>397</v>
      </c>
      <c r="K24" s="45" t="s">
        <v>398</v>
      </c>
      <c r="L24" s="46">
        <v>1</v>
      </c>
      <c r="M24" s="35"/>
      <c r="O24" s="57"/>
      <c r="R24" s="57"/>
      <c r="S24" s="43"/>
      <c r="T24" s="37"/>
      <c r="U24" s="38"/>
      <c r="V24" s="208">
        <f>ROUND((ROUND((_11_A重度研修１．５*_11・２人),0)*(1+_11・A夜間)),0)+ROUND((ROUND((_11_B重度研修１．５＿０．５*_11・２人),0)*(1+_11・B深夜)),0)</f>
        <v>482</v>
      </c>
      <c r="W24" s="48"/>
    </row>
    <row r="25" spans="1:23" ht="16.5" customHeight="1" x14ac:dyDescent="0.15">
      <c r="A25" s="41">
        <v>11</v>
      </c>
      <c r="B25" s="41" t="s">
        <v>7694</v>
      </c>
      <c r="C25" s="74" t="s">
        <v>7695</v>
      </c>
      <c r="D25" s="709"/>
      <c r="E25" s="704"/>
      <c r="F25" s="739"/>
      <c r="G25" s="736"/>
      <c r="H25" s="704"/>
      <c r="I25" s="718"/>
      <c r="J25" s="44"/>
      <c r="K25" s="45"/>
      <c r="L25" s="46"/>
      <c r="M25" s="35"/>
      <c r="O25" s="57"/>
      <c r="R25" s="57"/>
      <c r="S25" s="734" t="s">
        <v>404</v>
      </c>
      <c r="T25" s="49" t="s">
        <v>398</v>
      </c>
      <c r="U25" s="50">
        <f>_11・初任</f>
        <v>0.7</v>
      </c>
      <c r="V25" s="208">
        <f>ROUND((ROUND((_11_A重度研修１．５*(1+_11・A夜間)),0)*_11・初任),0)+ROUND((ROUND((_11_B重度研修１．５＿０．５*(1+_11・B深夜)),0)*_11・初任),0)</f>
        <v>338</v>
      </c>
      <c r="W25" s="48"/>
    </row>
    <row r="26" spans="1:23" ht="16.5" customHeight="1" x14ac:dyDescent="0.15">
      <c r="A26" s="41">
        <v>11</v>
      </c>
      <c r="B26" s="41" t="s">
        <v>7696</v>
      </c>
      <c r="C26" s="74" t="s">
        <v>7697</v>
      </c>
      <c r="D26" s="72"/>
      <c r="E26" s="170">
        <f>_11_A重度研修１．５</f>
        <v>275</v>
      </c>
      <c r="F26" s="12" t="s">
        <v>392</v>
      </c>
      <c r="G26" s="178"/>
      <c r="H26" s="170">
        <f>_11_B重度研修１．５＿０．５</f>
        <v>92</v>
      </c>
      <c r="I26" s="12" t="s">
        <v>392</v>
      </c>
      <c r="J26" s="44" t="s">
        <v>397</v>
      </c>
      <c r="K26" s="45" t="s">
        <v>398</v>
      </c>
      <c r="L26" s="46">
        <v>1</v>
      </c>
      <c r="M26" s="35"/>
      <c r="O26" s="57"/>
      <c r="R26" s="57"/>
      <c r="S26" s="706"/>
      <c r="T26" s="37"/>
      <c r="U26" s="38"/>
      <c r="V26" s="208">
        <f>ROUND((ROUND((ROUND((_11_A重度研修１．５*_11・２人),0)*(1+_11・A夜間)),0)*_11・初任),0)+ROUND((ROUND((ROUND((_11_B重度研修１．５＿０．５*_11・２人),0)*(1+_11・B深夜)),0)*_11・初任),0)</f>
        <v>338</v>
      </c>
      <c r="W26" s="48"/>
    </row>
    <row r="27" spans="1:23" ht="16.5" customHeight="1" x14ac:dyDescent="0.15">
      <c r="A27" s="41">
        <v>11</v>
      </c>
      <c r="B27" s="41">
        <v>4293</v>
      </c>
      <c r="C27" s="74" t="s">
        <v>7698</v>
      </c>
      <c r="D27" s="72"/>
      <c r="F27" s="99"/>
      <c r="G27" s="735" t="s">
        <v>3787</v>
      </c>
      <c r="H27" s="708"/>
      <c r="I27" s="717"/>
      <c r="J27" s="44"/>
      <c r="K27" s="45"/>
      <c r="L27" s="46"/>
      <c r="M27" s="35"/>
      <c r="O27" s="57"/>
      <c r="R27" s="57"/>
      <c r="S27" s="53"/>
      <c r="T27" s="49"/>
      <c r="U27" s="49"/>
      <c r="V27" s="208">
        <f>ROUND((_11_A重度研修１．５*(1+_11・A夜間)),0)+ROUND((_11_B重度研修１．５＿１．０*(1+_11・B深夜)),0)</f>
        <v>619</v>
      </c>
      <c r="W27" s="48"/>
    </row>
    <row r="28" spans="1:23" ht="16.5" customHeight="1" x14ac:dyDescent="0.15">
      <c r="A28" s="41">
        <v>11</v>
      </c>
      <c r="B28" s="41">
        <v>4294</v>
      </c>
      <c r="C28" s="74" t="s">
        <v>7699</v>
      </c>
      <c r="D28" s="72"/>
      <c r="F28" s="99"/>
      <c r="G28" s="736"/>
      <c r="H28" s="704"/>
      <c r="I28" s="718"/>
      <c r="J28" s="44" t="s">
        <v>397</v>
      </c>
      <c r="K28" s="45" t="s">
        <v>398</v>
      </c>
      <c r="L28" s="46">
        <v>1</v>
      </c>
      <c r="M28" s="35"/>
      <c r="O28" s="57"/>
      <c r="R28" s="57"/>
      <c r="S28" s="43"/>
      <c r="T28" s="37"/>
      <c r="U28" s="37"/>
      <c r="V28" s="208">
        <f>ROUND((ROUND((_11_A重度研修１．５*_11・２人),0)*(1+_11・A夜間)),0)+ROUND((ROUND((_11_B重度研修１．５＿１．０*_11・２人),0)*(1+_11・B深夜)),0)</f>
        <v>619</v>
      </c>
      <c r="W28" s="48"/>
    </row>
    <row r="29" spans="1:23" ht="16.5" customHeight="1" x14ac:dyDescent="0.15">
      <c r="A29" s="41">
        <v>11</v>
      </c>
      <c r="B29" s="41" t="s">
        <v>7700</v>
      </c>
      <c r="C29" s="74" t="s">
        <v>7701</v>
      </c>
      <c r="D29" s="72"/>
      <c r="F29" s="99"/>
      <c r="G29" s="736"/>
      <c r="H29" s="704"/>
      <c r="I29" s="718"/>
      <c r="J29" s="44"/>
      <c r="K29" s="45"/>
      <c r="L29" s="46"/>
      <c r="M29" s="35"/>
      <c r="O29" s="57"/>
      <c r="R29" s="57"/>
      <c r="S29" s="734" t="s">
        <v>404</v>
      </c>
      <c r="T29" s="49" t="s">
        <v>398</v>
      </c>
      <c r="U29" s="50">
        <f>_11・初任</f>
        <v>0.7</v>
      </c>
      <c r="V29" s="208">
        <f>ROUND((ROUND((_11_A重度研修１．５*(1+_11・A夜間)),0)*_11・初任),0)+ROUND((ROUND((_11_B重度研修１．５＿１．０*(1+_11・B深夜)),0)*_11・初任),0)</f>
        <v>434</v>
      </c>
      <c r="W29" s="48"/>
    </row>
    <row r="30" spans="1:23" ht="16.5" customHeight="1" x14ac:dyDescent="0.15">
      <c r="A30" s="41">
        <v>11</v>
      </c>
      <c r="B30" s="41" t="s">
        <v>7702</v>
      </c>
      <c r="C30" s="74" t="s">
        <v>7703</v>
      </c>
      <c r="D30" s="72"/>
      <c r="F30" s="99"/>
      <c r="G30" s="179"/>
      <c r="H30" s="170">
        <f>_11_B重度研修１．５＿１．０</f>
        <v>183</v>
      </c>
      <c r="I30" s="12" t="s">
        <v>392</v>
      </c>
      <c r="J30" s="44" t="s">
        <v>397</v>
      </c>
      <c r="K30" s="45" t="s">
        <v>398</v>
      </c>
      <c r="L30" s="46">
        <v>1</v>
      </c>
      <c r="M30" s="35"/>
      <c r="O30" s="57"/>
      <c r="R30" s="57"/>
      <c r="S30" s="706"/>
      <c r="T30" s="37"/>
      <c r="U30" s="38"/>
      <c r="V30" s="208">
        <f>ROUND((ROUND((ROUND((_11_A重度研修１．５*_11・２人),0)*(1+_11・A夜間)),0)*_11・初任),0)+ROUND((ROUND((ROUND((_11_B重度研修１．５＿１．０*_11・２人),0)*(1+_11・B深夜)),0)*_11・初任),0)</f>
        <v>434</v>
      </c>
      <c r="W30" s="48"/>
    </row>
    <row r="31" spans="1:23" ht="16.5" customHeight="1" x14ac:dyDescent="0.15">
      <c r="A31" s="41">
        <v>11</v>
      </c>
      <c r="B31" s="41">
        <v>4295</v>
      </c>
      <c r="C31" s="74" t="s">
        <v>7704</v>
      </c>
      <c r="D31" s="72"/>
      <c r="F31" s="99"/>
      <c r="G31" s="735" t="s">
        <v>3794</v>
      </c>
      <c r="H31" s="708"/>
      <c r="I31" s="717"/>
      <c r="J31" s="44"/>
      <c r="K31" s="45"/>
      <c r="L31" s="46"/>
      <c r="M31" s="35"/>
      <c r="O31" s="57"/>
      <c r="R31" s="57"/>
      <c r="S31" s="53"/>
      <c r="T31" s="49"/>
      <c r="U31" s="50"/>
      <c r="V31" s="208">
        <f>ROUND((_11_A重度研修１．５*(1+_11・A夜間)),0)+ROUND((_11_B重度研修１．５＿１．５*(1+_11・B深夜)),0)</f>
        <v>757</v>
      </c>
      <c r="W31" s="48"/>
    </row>
    <row r="32" spans="1:23" ht="16.5" customHeight="1" x14ac:dyDescent="0.15">
      <c r="A32" s="41">
        <v>11</v>
      </c>
      <c r="B32" s="41">
        <v>4296</v>
      </c>
      <c r="C32" s="74" t="s">
        <v>7705</v>
      </c>
      <c r="D32" s="72"/>
      <c r="F32" s="99"/>
      <c r="G32" s="736"/>
      <c r="H32" s="704"/>
      <c r="I32" s="718"/>
      <c r="J32" s="44" t="s">
        <v>397</v>
      </c>
      <c r="K32" s="45" t="s">
        <v>398</v>
      </c>
      <c r="L32" s="46">
        <v>1</v>
      </c>
      <c r="M32" s="35"/>
      <c r="O32" s="57"/>
      <c r="R32" s="57"/>
      <c r="S32" s="43"/>
      <c r="T32" s="37"/>
      <c r="U32" s="38"/>
      <c r="V32" s="208">
        <f>ROUND((ROUND((_11_A重度研修１．５*_11・２人),0)*(1+_11・A夜間)),0)+ROUND((ROUND((_11_B重度研修１．５＿１．５*_11・２人),0)*(1+_11・B深夜)),0)</f>
        <v>757</v>
      </c>
      <c r="W32" s="48"/>
    </row>
    <row r="33" spans="1:23" ht="16.5" customHeight="1" x14ac:dyDescent="0.15">
      <c r="A33" s="41">
        <v>11</v>
      </c>
      <c r="B33" s="41" t="s">
        <v>7706</v>
      </c>
      <c r="C33" s="74" t="s">
        <v>7707</v>
      </c>
      <c r="D33" s="72"/>
      <c r="F33" s="99"/>
      <c r="G33" s="736"/>
      <c r="H33" s="704"/>
      <c r="I33" s="718"/>
      <c r="J33" s="44"/>
      <c r="K33" s="45"/>
      <c r="L33" s="46"/>
      <c r="M33" s="35"/>
      <c r="O33" s="57"/>
      <c r="R33" s="57"/>
      <c r="S33" s="734" t="s">
        <v>404</v>
      </c>
      <c r="T33" s="49" t="s">
        <v>398</v>
      </c>
      <c r="U33" s="50">
        <f>_11・初任</f>
        <v>0.7</v>
      </c>
      <c r="V33" s="208">
        <f>ROUND((ROUND((_11_A重度研修１．５*(1+_11・A夜間)),0)*_11・初任),0)+ROUND((ROUND((_11_B重度研修１．５＿１．５*(1+_11・B深夜)),0)*_11・初任),0)</f>
        <v>530</v>
      </c>
      <c r="W33" s="48"/>
    </row>
    <row r="34" spans="1:23" ht="16.5" customHeight="1" x14ac:dyDescent="0.15">
      <c r="A34" s="41">
        <v>11</v>
      </c>
      <c r="B34" s="41" t="s">
        <v>7708</v>
      </c>
      <c r="C34" s="74" t="s">
        <v>7709</v>
      </c>
      <c r="D34" s="72"/>
      <c r="F34" s="99"/>
      <c r="G34" s="179"/>
      <c r="H34" s="170">
        <f>_11_B重度研修１．５＿１．５</f>
        <v>275</v>
      </c>
      <c r="I34" s="12" t="s">
        <v>392</v>
      </c>
      <c r="J34" s="44" t="s">
        <v>397</v>
      </c>
      <c r="K34" s="45" t="s">
        <v>398</v>
      </c>
      <c r="L34" s="46">
        <v>1</v>
      </c>
      <c r="M34" s="35"/>
      <c r="O34" s="57"/>
      <c r="R34" s="57"/>
      <c r="S34" s="706"/>
      <c r="T34" s="37"/>
      <c r="U34" s="38"/>
      <c r="V34" s="208">
        <f>ROUND((ROUND((ROUND((_11_A重度研修１．５*_11・２人),0)*(1+_11・A夜間)),0)*_11・初任),0)+ROUND((ROUND((ROUND((_11_B重度研修１．５＿１．５*_11・２人),0)*(1+_11・B深夜)),0)*_11・初任),0)</f>
        <v>530</v>
      </c>
      <c r="W34" s="48"/>
    </row>
    <row r="35" spans="1:23" ht="16.5" customHeight="1" x14ac:dyDescent="0.15">
      <c r="A35" s="41">
        <v>11</v>
      </c>
      <c r="B35" s="41">
        <v>4297</v>
      </c>
      <c r="C35" s="74" t="s">
        <v>7710</v>
      </c>
      <c r="D35" s="707" t="s">
        <v>3827</v>
      </c>
      <c r="E35" s="708"/>
      <c r="F35" s="740"/>
      <c r="G35" s="735" t="s">
        <v>3780</v>
      </c>
      <c r="H35" s="708"/>
      <c r="I35" s="717"/>
      <c r="J35" s="44"/>
      <c r="K35" s="45"/>
      <c r="L35" s="46"/>
      <c r="M35" s="35"/>
      <c r="O35" s="57"/>
      <c r="R35" s="57"/>
      <c r="S35" s="53"/>
      <c r="T35" s="49"/>
      <c r="U35" s="49"/>
      <c r="V35" s="208">
        <f>ROUND((_11_A重度研修２．０*(1+_11・A夜間)),0)+ROUND((_11_B重度研修２．０＿０．５*(1+_11・B深夜)),0)</f>
        <v>596</v>
      </c>
      <c r="W35" s="48"/>
    </row>
    <row r="36" spans="1:23" ht="16.5" customHeight="1" x14ac:dyDescent="0.15">
      <c r="A36" s="41">
        <v>11</v>
      </c>
      <c r="B36" s="41">
        <v>4298</v>
      </c>
      <c r="C36" s="74" t="s">
        <v>7711</v>
      </c>
      <c r="D36" s="709"/>
      <c r="E36" s="704"/>
      <c r="F36" s="739"/>
      <c r="G36" s="736"/>
      <c r="H36" s="704"/>
      <c r="I36" s="718"/>
      <c r="J36" s="44" t="s">
        <v>397</v>
      </c>
      <c r="K36" s="45" t="s">
        <v>398</v>
      </c>
      <c r="L36" s="46">
        <v>1</v>
      </c>
      <c r="M36" s="35"/>
      <c r="O36" s="57"/>
      <c r="R36" s="57"/>
      <c r="S36" s="43"/>
      <c r="T36" s="37"/>
      <c r="U36" s="37"/>
      <c r="V36" s="208">
        <f>ROUND((ROUND((_11_A重度研修２．０*_11・２人),0)*(1+_11・A夜間)),0)+ROUND((ROUND((_11_B重度研修２．０＿０．５*_11・２人),0)*(1+_11・B深夜)),0)</f>
        <v>596</v>
      </c>
      <c r="W36" s="48"/>
    </row>
    <row r="37" spans="1:23" ht="16.5" customHeight="1" x14ac:dyDescent="0.15">
      <c r="A37" s="41">
        <v>11</v>
      </c>
      <c r="B37" s="41" t="s">
        <v>7712</v>
      </c>
      <c r="C37" s="74" t="s">
        <v>7713</v>
      </c>
      <c r="D37" s="709"/>
      <c r="E37" s="704"/>
      <c r="F37" s="739"/>
      <c r="G37" s="736"/>
      <c r="H37" s="704"/>
      <c r="I37" s="718"/>
      <c r="J37" s="44"/>
      <c r="K37" s="45"/>
      <c r="L37" s="46"/>
      <c r="M37" s="35"/>
      <c r="O37" s="57"/>
      <c r="R37" s="57"/>
      <c r="S37" s="734" t="s">
        <v>404</v>
      </c>
      <c r="T37" s="49" t="s">
        <v>398</v>
      </c>
      <c r="U37" s="50">
        <f>_11・初任</f>
        <v>0.7</v>
      </c>
      <c r="V37" s="208">
        <f>ROUND((ROUND((_11_A重度研修２．０*(1+_11・A夜間)),0)*_11・初任),0)+ROUND((ROUND((_11_B重度研修２．０＿０．５*(1+_11・B深夜)),0)*_11・初任),0)</f>
        <v>417</v>
      </c>
      <c r="W37" s="48"/>
    </row>
    <row r="38" spans="1:23" ht="16.5" customHeight="1" x14ac:dyDescent="0.15">
      <c r="A38" s="41">
        <v>11</v>
      </c>
      <c r="B38" s="41" t="s">
        <v>7714</v>
      </c>
      <c r="C38" s="74" t="s">
        <v>7715</v>
      </c>
      <c r="D38" s="72"/>
      <c r="E38" s="170">
        <f>_11_A重度研修２．０</f>
        <v>367</v>
      </c>
      <c r="F38" s="12" t="s">
        <v>392</v>
      </c>
      <c r="G38" s="178"/>
      <c r="H38" s="170">
        <f>_11_B重度研修２．０＿０．５</f>
        <v>91</v>
      </c>
      <c r="I38" s="12" t="s">
        <v>392</v>
      </c>
      <c r="J38" s="44" t="s">
        <v>397</v>
      </c>
      <c r="K38" s="45" t="s">
        <v>398</v>
      </c>
      <c r="L38" s="46">
        <v>1</v>
      </c>
      <c r="M38" s="35"/>
      <c r="O38" s="57"/>
      <c r="R38" s="57"/>
      <c r="S38" s="706"/>
      <c r="T38" s="37"/>
      <c r="U38" s="38"/>
      <c r="V38" s="208">
        <f>ROUND((ROUND((ROUND((_11_A重度研修２．０*_11・２人),0)*(1+_11・A夜間)),0)*_11・初任),0)+ROUND((ROUND((ROUND((_11_B重度研修２．０＿０．５*_11・２人),0)*(1+_11・B深夜)),0)*_11・初任),0)</f>
        <v>417</v>
      </c>
      <c r="W38" s="48"/>
    </row>
    <row r="39" spans="1:23" ht="16.5" customHeight="1" x14ac:dyDescent="0.15">
      <c r="A39" s="41">
        <v>11</v>
      </c>
      <c r="B39" s="41">
        <v>4115</v>
      </c>
      <c r="C39" s="74" t="s">
        <v>7716</v>
      </c>
      <c r="D39" s="72"/>
      <c r="F39" s="99"/>
      <c r="G39" s="735" t="s">
        <v>3787</v>
      </c>
      <c r="H39" s="708"/>
      <c r="I39" s="717"/>
      <c r="J39" s="44"/>
      <c r="K39" s="45"/>
      <c r="L39" s="46"/>
      <c r="M39" s="35"/>
      <c r="O39" s="57"/>
      <c r="R39" s="57"/>
      <c r="S39" s="53"/>
      <c r="T39" s="49"/>
      <c r="U39" s="50"/>
      <c r="V39" s="208">
        <f>ROUND((_11_A重度研修２．０*(1+_11・A夜間)),0)+ROUND((_11_B重度研修２．０＿１．０*(1+_11・B深夜)),0)</f>
        <v>734</v>
      </c>
      <c r="W39" s="48"/>
    </row>
    <row r="40" spans="1:23" ht="16.5" customHeight="1" x14ac:dyDescent="0.15">
      <c r="A40" s="41">
        <v>11</v>
      </c>
      <c r="B40" s="41">
        <v>4116</v>
      </c>
      <c r="C40" s="74" t="s">
        <v>7717</v>
      </c>
      <c r="D40" s="72"/>
      <c r="F40" s="99"/>
      <c r="G40" s="736"/>
      <c r="H40" s="704"/>
      <c r="I40" s="718"/>
      <c r="J40" s="44" t="s">
        <v>397</v>
      </c>
      <c r="K40" s="45" t="s">
        <v>398</v>
      </c>
      <c r="L40" s="46">
        <v>1</v>
      </c>
      <c r="M40" s="35"/>
      <c r="O40" s="57"/>
      <c r="R40" s="57"/>
      <c r="S40" s="43"/>
      <c r="T40" s="37"/>
      <c r="U40" s="38"/>
      <c r="V40" s="208">
        <f>ROUND((ROUND((_11_A重度研修２．０*_11・２人),0)*(1+_11・A夜間)),0)+ROUND((ROUND((_11_B重度研修２．０＿１．０*_11・２人),0)*(1+_11・B深夜)),0)</f>
        <v>734</v>
      </c>
      <c r="W40" s="48"/>
    </row>
    <row r="41" spans="1:23" ht="16.5" customHeight="1" x14ac:dyDescent="0.15">
      <c r="A41" s="41">
        <v>11</v>
      </c>
      <c r="B41" s="41" t="s">
        <v>7718</v>
      </c>
      <c r="C41" s="74" t="s">
        <v>7719</v>
      </c>
      <c r="D41" s="72"/>
      <c r="F41" s="99"/>
      <c r="G41" s="736"/>
      <c r="H41" s="704"/>
      <c r="I41" s="718"/>
      <c r="J41" s="44"/>
      <c r="K41" s="45"/>
      <c r="L41" s="46"/>
      <c r="M41" s="35"/>
      <c r="O41" s="57"/>
      <c r="R41" s="57"/>
      <c r="S41" s="734" t="s">
        <v>404</v>
      </c>
      <c r="T41" s="49" t="s">
        <v>398</v>
      </c>
      <c r="U41" s="50">
        <f>_11・初任</f>
        <v>0.7</v>
      </c>
      <c r="V41" s="208">
        <f>ROUND((ROUND((_11_A重度研修２．０*(1+_11・A夜間)),0)*_11・初任),0)+ROUND((ROUND((_11_B重度研修２．０＿１．０*(1+_11・B深夜)),0)*_11・初任),0)</f>
        <v>514</v>
      </c>
      <c r="W41" s="48"/>
    </row>
    <row r="42" spans="1:23" ht="16.5" customHeight="1" x14ac:dyDescent="0.15">
      <c r="A42" s="41">
        <v>11</v>
      </c>
      <c r="B42" s="41" t="s">
        <v>7720</v>
      </c>
      <c r="C42" s="74" t="s">
        <v>7721</v>
      </c>
      <c r="D42" s="72"/>
      <c r="F42" s="99"/>
      <c r="G42" s="179"/>
      <c r="H42" s="170">
        <f>_11_B重度研修２．０＿１．０</f>
        <v>183</v>
      </c>
      <c r="I42" s="12" t="s">
        <v>392</v>
      </c>
      <c r="J42" s="44" t="s">
        <v>397</v>
      </c>
      <c r="K42" s="45" t="s">
        <v>398</v>
      </c>
      <c r="L42" s="46">
        <v>1</v>
      </c>
      <c r="M42" s="35"/>
      <c r="O42" s="57"/>
      <c r="R42" s="57"/>
      <c r="S42" s="706"/>
      <c r="T42" s="37"/>
      <c r="U42" s="38"/>
      <c r="V42" s="208">
        <f>ROUND((ROUND((ROUND((_11_A重度研修２．０*_11・２人),0)*(1+_11・A夜間)),0)*_11・初任),0)+ROUND((ROUND((ROUND((_11_B重度研修２．０＿１．０*_11・２人),0)*(1+_11・B深夜)),0)*_11・初任),0)</f>
        <v>514</v>
      </c>
      <c r="W42" s="48"/>
    </row>
    <row r="43" spans="1:23" ht="16.5" customHeight="1" x14ac:dyDescent="0.15">
      <c r="A43" s="41">
        <v>11</v>
      </c>
      <c r="B43" s="41">
        <v>4299</v>
      </c>
      <c r="C43" s="74" t="s">
        <v>7722</v>
      </c>
      <c r="D43" s="707" t="s">
        <v>3840</v>
      </c>
      <c r="E43" s="708"/>
      <c r="F43" s="740"/>
      <c r="G43" s="735" t="s">
        <v>3780</v>
      </c>
      <c r="H43" s="708"/>
      <c r="I43" s="717"/>
      <c r="J43" s="44"/>
      <c r="K43" s="45"/>
      <c r="L43" s="46"/>
      <c r="M43" s="35"/>
      <c r="O43" s="57"/>
      <c r="R43" s="57"/>
      <c r="S43" s="53"/>
      <c r="T43" s="49"/>
      <c r="U43" s="49"/>
      <c r="V43" s="208">
        <f>ROUND((_11_A重度研修２．５*(1+_11・A夜間)),0)+ROUND((_11_B重度研修２．５＿０．５*(1+_11・B深夜)),0)</f>
        <v>711</v>
      </c>
      <c r="W43" s="48"/>
    </row>
    <row r="44" spans="1:23" ht="16.5" customHeight="1" x14ac:dyDescent="0.15">
      <c r="A44" s="41">
        <v>11</v>
      </c>
      <c r="B44" s="41">
        <v>4300</v>
      </c>
      <c r="C44" s="74" t="s">
        <v>7723</v>
      </c>
      <c r="D44" s="709"/>
      <c r="E44" s="704"/>
      <c r="F44" s="739"/>
      <c r="G44" s="736"/>
      <c r="H44" s="704"/>
      <c r="I44" s="718"/>
      <c r="J44" s="44" t="s">
        <v>397</v>
      </c>
      <c r="K44" s="45" t="s">
        <v>398</v>
      </c>
      <c r="L44" s="46">
        <v>1</v>
      </c>
      <c r="M44" s="35"/>
      <c r="O44" s="57"/>
      <c r="R44" s="57"/>
      <c r="S44" s="43"/>
      <c r="T44" s="37"/>
      <c r="U44" s="37"/>
      <c r="V44" s="208">
        <f>ROUND((ROUND((_11_A重度研修２．５*_11・２人),0)*(1+_11・A夜間)),0)+ROUND((ROUND((_11_B重度研修２．５＿０．５*_11・２人),0)*(1+_11・B深夜)),0)</f>
        <v>711</v>
      </c>
      <c r="W44" s="48"/>
    </row>
    <row r="45" spans="1:23" ht="16.5" customHeight="1" x14ac:dyDescent="0.15">
      <c r="A45" s="41">
        <v>11</v>
      </c>
      <c r="B45" s="41" t="s">
        <v>7724</v>
      </c>
      <c r="C45" s="74" t="s">
        <v>7725</v>
      </c>
      <c r="D45" s="709"/>
      <c r="E45" s="704"/>
      <c r="F45" s="739"/>
      <c r="G45" s="736"/>
      <c r="H45" s="704"/>
      <c r="I45" s="718"/>
      <c r="J45" s="44"/>
      <c r="K45" s="45"/>
      <c r="L45" s="46"/>
      <c r="M45" s="35"/>
      <c r="O45" s="57"/>
      <c r="R45" s="57"/>
      <c r="S45" s="734" t="s">
        <v>404</v>
      </c>
      <c r="T45" s="49" t="s">
        <v>398</v>
      </c>
      <c r="U45" s="50">
        <f>_11・初任</f>
        <v>0.7</v>
      </c>
      <c r="V45" s="208">
        <f>ROUND((ROUND((_11_A重度研修２．５*(1+_11・A夜間)),0)*_11・初任),0)+ROUND((ROUND((_11_B重度研修２．５＿０．５*(1+_11・B深夜)),0)*_11・初任),0)</f>
        <v>498</v>
      </c>
      <c r="W45" s="48"/>
    </row>
    <row r="46" spans="1:23" ht="16.5" customHeight="1" x14ac:dyDescent="0.15">
      <c r="A46" s="41">
        <v>11</v>
      </c>
      <c r="B46" s="41" t="s">
        <v>7726</v>
      </c>
      <c r="C46" s="74" t="s">
        <v>7727</v>
      </c>
      <c r="D46" s="122"/>
      <c r="E46" s="176">
        <f>_11_A重度研修２．５</f>
        <v>458</v>
      </c>
      <c r="F46" s="37" t="s">
        <v>392</v>
      </c>
      <c r="G46" s="180"/>
      <c r="H46" s="176">
        <f>_11_B重度研修２．５＿０．５</f>
        <v>92</v>
      </c>
      <c r="I46" s="37" t="s">
        <v>392</v>
      </c>
      <c r="J46" s="44" t="s">
        <v>397</v>
      </c>
      <c r="K46" s="45" t="s">
        <v>398</v>
      </c>
      <c r="L46" s="46">
        <v>1</v>
      </c>
      <c r="M46" s="43"/>
      <c r="N46" s="38"/>
      <c r="O46" s="79"/>
      <c r="P46" s="37"/>
      <c r="Q46" s="38"/>
      <c r="R46" s="79"/>
      <c r="S46" s="706"/>
      <c r="T46" s="37"/>
      <c r="U46" s="38"/>
      <c r="V46" s="208">
        <f>ROUND((ROUND((ROUND((_11_A重度研修２．５*_11・２人),0)*(1+_11・A夜間)),0)*_11・初任),0)+ROUND((ROUND((ROUND((_11_B重度研修２．５＿０．５*_11・２人),0)*(1+_11・B深夜)),0)*_11・初任),0)</f>
        <v>498</v>
      </c>
      <c r="W46" s="63"/>
    </row>
    <row r="47" spans="1:23" ht="16.5" customHeight="1" x14ac:dyDescent="0.15">
      <c r="G47" s="99"/>
    </row>
  </sheetData>
  <mergeCells count="28">
    <mergeCell ref="D43:F45"/>
    <mergeCell ref="G43:I45"/>
    <mergeCell ref="S45:S46"/>
    <mergeCell ref="D23:F25"/>
    <mergeCell ref="G23:I25"/>
    <mergeCell ref="S25:S26"/>
    <mergeCell ref="G27:I29"/>
    <mergeCell ref="S29:S30"/>
    <mergeCell ref="G31:I33"/>
    <mergeCell ref="S33:S34"/>
    <mergeCell ref="D35:F37"/>
    <mergeCell ref="G35:I37"/>
    <mergeCell ref="S37:S38"/>
    <mergeCell ref="G39:I41"/>
    <mergeCell ref="S41:S42"/>
    <mergeCell ref="G19:I21"/>
    <mergeCell ref="S21:S22"/>
    <mergeCell ref="D6:F6"/>
    <mergeCell ref="G6:I6"/>
    <mergeCell ref="D7:F9"/>
    <mergeCell ref="G7:I9"/>
    <mergeCell ref="O8:O9"/>
    <mergeCell ref="R8:R9"/>
    <mergeCell ref="S9:S10"/>
    <mergeCell ref="G11:I13"/>
    <mergeCell ref="S13:S14"/>
    <mergeCell ref="G15:I17"/>
    <mergeCell ref="S17:S18"/>
  </mergeCells>
  <phoneticPr fontId="1"/>
  <printOptions horizontalCentered="1"/>
  <pageMargins left="0.70866141732283472" right="0.70866141732283472" top="0.74803149606299213" bottom="0.74803149606299213" header="0.31496062992125984" footer="0.31496062992125984"/>
  <pageSetup paperSize="9" scale="49" fitToHeight="0" orientation="portrait" r:id="rId1"/>
  <headerFooter>
    <oddHeader>&amp;R&amp;"ＭＳ Ｐゴシック"&amp;9居宅介護</oddHeader>
    <oddFooter>&amp;C&amp;"ＭＳ Ｐゴシック"&amp;14&amp;P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pageSetUpPr fitToPage="1"/>
  </sheetPr>
  <dimension ref="A1:T47"/>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3.125" style="10" bestFit="1" customWidth="1"/>
    <col min="4" max="4" width="2.5" style="10" customWidth="1"/>
    <col min="5" max="5" width="4.875" style="10" customWidth="1"/>
    <col min="6" max="6" width="4.5" style="117" bestFit="1" customWidth="1"/>
    <col min="7" max="7" width="2.5" style="117" customWidth="1"/>
    <col min="8" max="8" width="4.875" style="10" customWidth="1"/>
    <col min="9" max="9" width="4.5" style="117" bestFit="1" customWidth="1"/>
    <col min="10" max="10" width="24.875" style="14" bestFit="1" customWidth="1"/>
    <col min="11" max="11" width="3.5" style="12" bestFit="1" customWidth="1"/>
    <col min="12" max="12" width="5.5" style="13" bestFit="1" customWidth="1"/>
    <col min="13" max="13" width="3.5" style="12" bestFit="1" customWidth="1"/>
    <col min="14" max="14" width="4.5" style="13" bestFit="1" customWidth="1"/>
    <col min="15" max="15" width="5.5" style="12" bestFit="1" customWidth="1"/>
    <col min="16" max="16" width="17.875" style="12" customWidth="1"/>
    <col min="17" max="17" width="3.5" style="12" bestFit="1" customWidth="1"/>
    <col min="18" max="18" width="4.5" style="13" bestFit="1" customWidth="1"/>
    <col min="19" max="19" width="7.125" style="206" customWidth="1"/>
    <col min="20" max="20" width="8.5" style="16" customWidth="1"/>
    <col min="21" max="16384" width="8.875" style="12"/>
  </cols>
  <sheetData>
    <row r="1" spans="1:20" ht="17.100000000000001" customHeight="1" x14ac:dyDescent="0.15"/>
    <row r="2" spans="1:20" ht="17.100000000000001" customHeight="1" x14ac:dyDescent="0.15"/>
    <row r="3" spans="1:20" ht="17.100000000000001" customHeight="1" x14ac:dyDescent="0.15">
      <c r="G3" s="99"/>
    </row>
    <row r="4" spans="1:20" ht="17.100000000000001" customHeight="1" x14ac:dyDescent="0.15">
      <c r="B4" s="17" t="s">
        <v>7728</v>
      </c>
      <c r="E4" s="71"/>
      <c r="G4" s="99"/>
    </row>
    <row r="5" spans="1:20" ht="16.5" customHeight="1" x14ac:dyDescent="0.15">
      <c r="A5" s="19" t="s">
        <v>384</v>
      </c>
      <c r="B5" s="20"/>
      <c r="C5" s="21" t="s">
        <v>385</v>
      </c>
      <c r="D5" s="166"/>
      <c r="E5" s="23" t="s">
        <v>386</v>
      </c>
      <c r="F5" s="118"/>
      <c r="G5" s="118"/>
      <c r="H5" s="23"/>
      <c r="I5" s="118"/>
      <c r="J5" s="23"/>
      <c r="K5" s="23"/>
      <c r="L5" s="24"/>
      <c r="M5" s="23"/>
      <c r="N5" s="24"/>
      <c r="O5" s="23"/>
      <c r="P5" s="23"/>
      <c r="Q5" s="23"/>
      <c r="R5" s="24"/>
      <c r="S5" s="21" t="s">
        <v>387</v>
      </c>
      <c r="T5" s="21" t="s">
        <v>388</v>
      </c>
    </row>
    <row r="6" spans="1:20" ht="16.5" customHeight="1" x14ac:dyDescent="0.15">
      <c r="A6" s="26" t="s">
        <v>389</v>
      </c>
      <c r="B6" s="26" t="s">
        <v>390</v>
      </c>
      <c r="C6" s="27"/>
      <c r="D6" s="29"/>
      <c r="E6" s="29"/>
      <c r="F6" s="120"/>
      <c r="G6" s="738" t="s">
        <v>1032</v>
      </c>
      <c r="H6" s="731"/>
      <c r="I6" s="727"/>
      <c r="J6" s="29"/>
      <c r="K6" s="29"/>
      <c r="L6" s="30"/>
      <c r="M6" s="29"/>
      <c r="N6" s="30"/>
      <c r="O6" s="29"/>
      <c r="P6" s="29"/>
      <c r="Q6" s="29"/>
      <c r="R6" s="30"/>
      <c r="S6" s="32" t="s">
        <v>391</v>
      </c>
      <c r="T6" s="32" t="s">
        <v>392</v>
      </c>
    </row>
    <row r="7" spans="1:20" ht="16.5" customHeight="1" x14ac:dyDescent="0.15">
      <c r="A7" s="41">
        <v>11</v>
      </c>
      <c r="B7" s="41">
        <v>4301</v>
      </c>
      <c r="C7" s="74" t="s">
        <v>7729</v>
      </c>
      <c r="D7" s="764" t="s">
        <v>3848</v>
      </c>
      <c r="E7" s="708" t="s">
        <v>3572</v>
      </c>
      <c r="F7" s="717"/>
      <c r="G7" s="764" t="s">
        <v>3849</v>
      </c>
      <c r="H7" s="735" t="s">
        <v>3780</v>
      </c>
      <c r="I7" s="717"/>
      <c r="J7" s="44"/>
      <c r="K7" s="45"/>
      <c r="L7" s="46"/>
      <c r="M7" s="53" t="s">
        <v>1036</v>
      </c>
      <c r="N7" s="50"/>
      <c r="O7" s="115"/>
      <c r="P7" s="53"/>
      <c r="Q7" s="49"/>
      <c r="R7" s="50"/>
      <c r="S7" s="208">
        <f>+ROUND((_11_B重度研修１．０＿０．５*(1+_11・B深夜)),0)</f>
        <v>135</v>
      </c>
      <c r="T7" s="128" t="s">
        <v>395</v>
      </c>
    </row>
    <row r="8" spans="1:20" ht="16.5" customHeight="1" x14ac:dyDescent="0.15">
      <c r="A8" s="41">
        <v>11</v>
      </c>
      <c r="B8" s="41">
        <v>4302</v>
      </c>
      <c r="C8" s="74" t="s">
        <v>7730</v>
      </c>
      <c r="D8" s="765"/>
      <c r="E8" s="704"/>
      <c r="F8" s="718"/>
      <c r="G8" s="765"/>
      <c r="H8" s="736"/>
      <c r="I8" s="718"/>
      <c r="J8" s="44" t="s">
        <v>397</v>
      </c>
      <c r="K8" s="45" t="s">
        <v>398</v>
      </c>
      <c r="L8" s="46">
        <v>1</v>
      </c>
      <c r="M8" s="35" t="s">
        <v>398</v>
      </c>
      <c r="N8" s="13">
        <v>0.5</v>
      </c>
      <c r="O8" s="728" t="s">
        <v>676</v>
      </c>
      <c r="P8" s="43"/>
      <c r="Q8" s="37"/>
      <c r="R8" s="38"/>
      <c r="S8" s="208">
        <f>+ROUND((ROUND((_11_B重度研修１．０＿０．５*_11・２人),0)*(1+_11・B深夜)),0)</f>
        <v>135</v>
      </c>
      <c r="T8" s="48"/>
    </row>
    <row r="9" spans="1:20" ht="16.5" customHeight="1" x14ac:dyDescent="0.15">
      <c r="A9" s="41">
        <v>11</v>
      </c>
      <c r="B9" s="41" t="s">
        <v>7731</v>
      </c>
      <c r="C9" s="74" t="s">
        <v>7732</v>
      </c>
      <c r="D9" s="765"/>
      <c r="E9" s="704"/>
      <c r="F9" s="718"/>
      <c r="G9" s="765"/>
      <c r="H9" s="736"/>
      <c r="I9" s="718"/>
      <c r="J9" s="44"/>
      <c r="K9" s="45"/>
      <c r="L9" s="46"/>
      <c r="M9" s="35"/>
      <c r="O9" s="728"/>
      <c r="P9" s="734" t="s">
        <v>404</v>
      </c>
      <c r="Q9" s="49" t="s">
        <v>398</v>
      </c>
      <c r="R9" s="50">
        <f>_11・初任</f>
        <v>0.7</v>
      </c>
      <c r="S9" s="208">
        <f>+ROUND((ROUND((_11_B重度研修１．０＿０．５*(1+_11・B深夜)),0)*_11・初任),0)</f>
        <v>95</v>
      </c>
      <c r="T9" s="48"/>
    </row>
    <row r="10" spans="1:20" ht="16.5" customHeight="1" x14ac:dyDescent="0.15">
      <c r="A10" s="41">
        <v>11</v>
      </c>
      <c r="B10" s="41" t="s">
        <v>7733</v>
      </c>
      <c r="C10" s="74" t="s">
        <v>7734</v>
      </c>
      <c r="D10" s="765"/>
      <c r="E10" s="140"/>
      <c r="F10" s="99"/>
      <c r="G10" s="765"/>
      <c r="H10" s="170">
        <f>_11_B重度研修１．０＿０．５</f>
        <v>90</v>
      </c>
      <c r="I10" s="12" t="s">
        <v>392</v>
      </c>
      <c r="J10" s="44" t="s">
        <v>397</v>
      </c>
      <c r="K10" s="45" t="s">
        <v>398</v>
      </c>
      <c r="L10" s="46">
        <v>1</v>
      </c>
      <c r="M10" s="35"/>
      <c r="O10" s="57"/>
      <c r="P10" s="706"/>
      <c r="Q10" s="37"/>
      <c r="R10" s="38"/>
      <c r="S10" s="208">
        <f>+ROUND((ROUND((ROUND((_11_B重度研修１．０＿０．５*_11・２人),0)*(1+_11・B深夜)),0)*_11・初任),0)</f>
        <v>95</v>
      </c>
      <c r="T10" s="48"/>
    </row>
    <row r="11" spans="1:20" ht="16.5" customHeight="1" x14ac:dyDescent="0.15">
      <c r="A11" s="41">
        <v>11</v>
      </c>
      <c r="B11" s="41">
        <v>4117</v>
      </c>
      <c r="C11" s="74" t="s">
        <v>7735</v>
      </c>
      <c r="D11" s="765"/>
      <c r="F11" s="99"/>
      <c r="G11" s="765"/>
      <c r="H11" s="735" t="s">
        <v>3787</v>
      </c>
      <c r="I11" s="717"/>
      <c r="J11" s="44"/>
      <c r="K11" s="45"/>
      <c r="L11" s="46"/>
      <c r="M11" s="35"/>
      <c r="O11" s="57"/>
      <c r="P11" s="53"/>
      <c r="Q11" s="49"/>
      <c r="R11" s="49"/>
      <c r="S11" s="208">
        <f>+ROUND((_11_B重度研修１．０＿１．０*(1+_11・B深夜)),0)</f>
        <v>273</v>
      </c>
      <c r="T11" s="48"/>
    </row>
    <row r="12" spans="1:20" ht="16.5" customHeight="1" x14ac:dyDescent="0.15">
      <c r="A12" s="41">
        <v>11</v>
      </c>
      <c r="B12" s="41">
        <v>4118</v>
      </c>
      <c r="C12" s="74" t="s">
        <v>7736</v>
      </c>
      <c r="D12" s="765"/>
      <c r="F12" s="99"/>
      <c r="G12" s="765"/>
      <c r="H12" s="736"/>
      <c r="I12" s="718"/>
      <c r="J12" s="44" t="s">
        <v>397</v>
      </c>
      <c r="K12" s="45" t="s">
        <v>398</v>
      </c>
      <c r="L12" s="46">
        <v>1</v>
      </c>
      <c r="M12" s="35"/>
      <c r="O12" s="57"/>
      <c r="P12" s="43"/>
      <c r="Q12" s="37"/>
      <c r="R12" s="37"/>
      <c r="S12" s="208">
        <f>+ROUND((ROUND((_11_B重度研修１．０＿１．０*_11・２人),0)*(1+_11・B深夜)),0)</f>
        <v>273</v>
      </c>
      <c r="T12" s="48"/>
    </row>
    <row r="13" spans="1:20" ht="16.5" customHeight="1" x14ac:dyDescent="0.15">
      <c r="A13" s="41">
        <v>11</v>
      </c>
      <c r="B13" s="41" t="s">
        <v>7737</v>
      </c>
      <c r="C13" s="74" t="s">
        <v>7738</v>
      </c>
      <c r="D13" s="765"/>
      <c r="F13" s="99"/>
      <c r="G13" s="765"/>
      <c r="H13" s="736"/>
      <c r="I13" s="718"/>
      <c r="J13" s="44"/>
      <c r="K13" s="45"/>
      <c r="L13" s="46"/>
      <c r="M13" s="35"/>
      <c r="O13" s="57"/>
      <c r="P13" s="734" t="s">
        <v>404</v>
      </c>
      <c r="Q13" s="49" t="s">
        <v>398</v>
      </c>
      <c r="R13" s="50">
        <f>_11・初任</f>
        <v>0.7</v>
      </c>
      <c r="S13" s="208">
        <f>+ROUND((ROUND((_11_B重度研修１．０＿１．０*(1+_11・B深夜)),0)*_11・初任),0)</f>
        <v>191</v>
      </c>
      <c r="T13" s="48"/>
    </row>
    <row r="14" spans="1:20" ht="16.5" customHeight="1" x14ac:dyDescent="0.15">
      <c r="A14" s="41">
        <v>11</v>
      </c>
      <c r="B14" s="41" t="s">
        <v>7739</v>
      </c>
      <c r="C14" s="74" t="s">
        <v>7740</v>
      </c>
      <c r="D14" s="765"/>
      <c r="F14" s="99"/>
      <c r="G14" s="765"/>
      <c r="H14" s="170">
        <f>_11_B重度研修１．０＿１．０</f>
        <v>182</v>
      </c>
      <c r="I14" s="12" t="s">
        <v>392</v>
      </c>
      <c r="J14" s="44" t="s">
        <v>397</v>
      </c>
      <c r="K14" s="45" t="s">
        <v>398</v>
      </c>
      <c r="L14" s="46">
        <v>1</v>
      </c>
      <c r="M14" s="35"/>
      <c r="O14" s="57"/>
      <c r="P14" s="706"/>
      <c r="Q14" s="37"/>
      <c r="R14" s="38"/>
      <c r="S14" s="208">
        <f>+ROUND((ROUND((ROUND((_11_B重度研修１．０＿１．０*_11・２人),0)*(1+_11・B深夜)),0)*_11・初任),0)</f>
        <v>191</v>
      </c>
      <c r="T14" s="48"/>
    </row>
    <row r="15" spans="1:20" ht="16.5" customHeight="1" x14ac:dyDescent="0.15">
      <c r="A15" s="41">
        <v>11</v>
      </c>
      <c r="B15" s="41">
        <v>4303</v>
      </c>
      <c r="C15" s="74" t="s">
        <v>7741</v>
      </c>
      <c r="D15" s="765"/>
      <c r="F15" s="99"/>
      <c r="G15" s="765"/>
      <c r="H15" s="735" t="s">
        <v>3794</v>
      </c>
      <c r="I15" s="717"/>
      <c r="J15" s="44"/>
      <c r="K15" s="45"/>
      <c r="L15" s="46"/>
      <c r="M15" s="35"/>
      <c r="O15" s="57"/>
      <c r="P15" s="53"/>
      <c r="Q15" s="49"/>
      <c r="R15" s="50"/>
      <c r="S15" s="208">
        <f>+ROUND((_11_B重度研修１．０＿１．５*(1+_11・B深夜)),0)</f>
        <v>410</v>
      </c>
      <c r="T15" s="48"/>
    </row>
    <row r="16" spans="1:20" ht="16.5" customHeight="1" x14ac:dyDescent="0.15">
      <c r="A16" s="41">
        <v>11</v>
      </c>
      <c r="B16" s="41">
        <v>4304</v>
      </c>
      <c r="C16" s="74" t="s">
        <v>7742</v>
      </c>
      <c r="D16" s="765"/>
      <c r="F16" s="99"/>
      <c r="G16" s="765"/>
      <c r="H16" s="736"/>
      <c r="I16" s="718"/>
      <c r="J16" s="44" t="s">
        <v>397</v>
      </c>
      <c r="K16" s="45" t="s">
        <v>398</v>
      </c>
      <c r="L16" s="46">
        <v>1</v>
      </c>
      <c r="M16" s="35"/>
      <c r="O16" s="57"/>
      <c r="P16" s="43"/>
      <c r="Q16" s="37"/>
      <c r="R16" s="38"/>
      <c r="S16" s="208">
        <f>+ROUND((ROUND((_11_B重度研修１．０＿１．５*_11・２人),0)*(1+_11・B深夜)),0)</f>
        <v>410</v>
      </c>
      <c r="T16" s="48"/>
    </row>
    <row r="17" spans="1:20" ht="16.5" customHeight="1" x14ac:dyDescent="0.15">
      <c r="A17" s="41">
        <v>11</v>
      </c>
      <c r="B17" s="41" t="s">
        <v>7743</v>
      </c>
      <c r="C17" s="74" t="s">
        <v>7744</v>
      </c>
      <c r="D17" s="765"/>
      <c r="F17" s="99"/>
      <c r="G17" s="765"/>
      <c r="H17" s="736"/>
      <c r="I17" s="718"/>
      <c r="J17" s="44"/>
      <c r="K17" s="45"/>
      <c r="L17" s="46"/>
      <c r="M17" s="35"/>
      <c r="O17" s="57"/>
      <c r="P17" s="734" t="s">
        <v>404</v>
      </c>
      <c r="Q17" s="49" t="s">
        <v>398</v>
      </c>
      <c r="R17" s="50">
        <f>_11・初任</f>
        <v>0.7</v>
      </c>
      <c r="S17" s="208">
        <f>+ROUND((ROUND((_11_B重度研修１．０＿１．５*(1+_11・B深夜)),0)*_11・初任),0)</f>
        <v>287</v>
      </c>
      <c r="T17" s="48"/>
    </row>
    <row r="18" spans="1:20" ht="16.5" customHeight="1" x14ac:dyDescent="0.15">
      <c r="A18" s="41">
        <v>11</v>
      </c>
      <c r="B18" s="41" t="s">
        <v>7745</v>
      </c>
      <c r="C18" s="74" t="s">
        <v>7746</v>
      </c>
      <c r="D18" s="765"/>
      <c r="F18" s="99"/>
      <c r="G18" s="765"/>
      <c r="H18" s="170">
        <f>_11_B重度研修１．０＿１．５</f>
        <v>273</v>
      </c>
      <c r="I18" s="12" t="s">
        <v>392</v>
      </c>
      <c r="J18" s="44" t="s">
        <v>397</v>
      </c>
      <c r="K18" s="45" t="s">
        <v>398</v>
      </c>
      <c r="L18" s="46">
        <v>1</v>
      </c>
      <c r="M18" s="35"/>
      <c r="O18" s="57"/>
      <c r="P18" s="706"/>
      <c r="Q18" s="37"/>
      <c r="R18" s="38"/>
      <c r="S18" s="208">
        <f>+ROUND((ROUND((ROUND((_11_B重度研修１．０＿１．５*_11・２人),0)*(1+_11・B深夜)),0)*_11・初任),0)</f>
        <v>287</v>
      </c>
      <c r="T18" s="48"/>
    </row>
    <row r="19" spans="1:20" ht="16.5" customHeight="1" x14ac:dyDescent="0.15">
      <c r="A19" s="41">
        <v>11</v>
      </c>
      <c r="B19" s="41">
        <v>4119</v>
      </c>
      <c r="C19" s="74" t="s">
        <v>7747</v>
      </c>
      <c r="D19" s="765"/>
      <c r="F19" s="99"/>
      <c r="G19" s="765"/>
      <c r="H19" s="735" t="s">
        <v>3801</v>
      </c>
      <c r="I19" s="717"/>
      <c r="J19" s="44"/>
      <c r="K19" s="45"/>
      <c r="L19" s="46"/>
      <c r="M19" s="35"/>
      <c r="O19" s="57"/>
      <c r="P19" s="53"/>
      <c r="Q19" s="49"/>
      <c r="R19" s="49"/>
      <c r="S19" s="208">
        <f>+ROUND((_11_B重度研修１．０＿２．０*(1+_11・B深夜)),0)</f>
        <v>548</v>
      </c>
      <c r="T19" s="48"/>
    </row>
    <row r="20" spans="1:20" ht="16.5" customHeight="1" x14ac:dyDescent="0.15">
      <c r="A20" s="41">
        <v>11</v>
      </c>
      <c r="B20" s="41">
        <v>4120</v>
      </c>
      <c r="C20" s="74" t="s">
        <v>7748</v>
      </c>
      <c r="D20" s="765"/>
      <c r="F20" s="99"/>
      <c r="G20" s="765"/>
      <c r="H20" s="736"/>
      <c r="I20" s="718"/>
      <c r="J20" s="44" t="s">
        <v>397</v>
      </c>
      <c r="K20" s="45" t="s">
        <v>398</v>
      </c>
      <c r="L20" s="46">
        <v>1</v>
      </c>
      <c r="M20" s="35"/>
      <c r="O20" s="57"/>
      <c r="P20" s="43"/>
      <c r="Q20" s="37"/>
      <c r="R20" s="37"/>
      <c r="S20" s="208">
        <f>+ROUND((ROUND((_11_B重度研修１．０＿２．０*_11・２人),0)*(1+_11・B深夜)),0)</f>
        <v>548</v>
      </c>
      <c r="T20" s="48"/>
    </row>
    <row r="21" spans="1:20" ht="16.5" customHeight="1" x14ac:dyDescent="0.15">
      <c r="A21" s="41">
        <v>11</v>
      </c>
      <c r="B21" s="41" t="s">
        <v>7749</v>
      </c>
      <c r="C21" s="74" t="s">
        <v>7750</v>
      </c>
      <c r="D21" s="765"/>
      <c r="F21" s="99"/>
      <c r="G21" s="765"/>
      <c r="H21" s="736"/>
      <c r="I21" s="718"/>
      <c r="J21" s="44"/>
      <c r="K21" s="45"/>
      <c r="L21" s="46"/>
      <c r="M21" s="35"/>
      <c r="O21" s="57"/>
      <c r="P21" s="734" t="s">
        <v>404</v>
      </c>
      <c r="Q21" s="49" t="s">
        <v>398</v>
      </c>
      <c r="R21" s="50">
        <f>_11・初任</f>
        <v>0.7</v>
      </c>
      <c r="S21" s="208">
        <f>+ROUND((ROUND((_11_B重度研修１．０＿２．０*(1+_11・B深夜)),0)*_11・初任),0)</f>
        <v>384</v>
      </c>
      <c r="T21" s="48"/>
    </row>
    <row r="22" spans="1:20" ht="16.5" customHeight="1" x14ac:dyDescent="0.15">
      <c r="A22" s="41">
        <v>11</v>
      </c>
      <c r="B22" s="41" t="s">
        <v>7751</v>
      </c>
      <c r="C22" s="74" t="s">
        <v>7752</v>
      </c>
      <c r="D22" s="765"/>
      <c r="F22" s="99"/>
      <c r="G22" s="765"/>
      <c r="H22" s="170">
        <f>_11_B重度研修１．０＿２．０</f>
        <v>365</v>
      </c>
      <c r="I22" s="12" t="s">
        <v>392</v>
      </c>
      <c r="J22" s="44" t="s">
        <v>397</v>
      </c>
      <c r="K22" s="45" t="s">
        <v>398</v>
      </c>
      <c r="L22" s="46">
        <v>1</v>
      </c>
      <c r="M22" s="35"/>
      <c r="O22" s="57"/>
      <c r="P22" s="706"/>
      <c r="Q22" s="37"/>
      <c r="R22" s="38"/>
      <c r="S22" s="208">
        <f>+ROUND((ROUND((ROUND((_11_B重度研修１．０＿２．０*_11・２人),0)*(1+_11・B深夜)),0)*_11・初任),0)</f>
        <v>384</v>
      </c>
      <c r="T22" s="48"/>
    </row>
    <row r="23" spans="1:20" ht="16.5" customHeight="1" x14ac:dyDescent="0.15">
      <c r="A23" s="41">
        <v>11</v>
      </c>
      <c r="B23" s="41">
        <v>4305</v>
      </c>
      <c r="C23" s="74" t="s">
        <v>7753</v>
      </c>
      <c r="D23" s="765"/>
      <c r="E23" s="708" t="s">
        <v>3601</v>
      </c>
      <c r="F23" s="717"/>
      <c r="G23" s="765"/>
      <c r="H23" s="735" t="s">
        <v>3780</v>
      </c>
      <c r="I23" s="717"/>
      <c r="J23" s="44"/>
      <c r="K23" s="45"/>
      <c r="L23" s="46"/>
      <c r="M23" s="35"/>
      <c r="O23" s="57"/>
      <c r="P23" s="53"/>
      <c r="Q23" s="49"/>
      <c r="R23" s="50"/>
      <c r="S23" s="208">
        <f>+ROUND((_11_B重度研修１．５＿０．５*(1+_11・B深夜)),0)</f>
        <v>138</v>
      </c>
      <c r="T23" s="48"/>
    </row>
    <row r="24" spans="1:20" ht="16.5" customHeight="1" x14ac:dyDescent="0.15">
      <c r="A24" s="41">
        <v>11</v>
      </c>
      <c r="B24" s="41">
        <v>4306</v>
      </c>
      <c r="C24" s="74" t="s">
        <v>7754</v>
      </c>
      <c r="D24" s="765"/>
      <c r="E24" s="704"/>
      <c r="F24" s="718"/>
      <c r="G24" s="765"/>
      <c r="H24" s="736"/>
      <c r="I24" s="718"/>
      <c r="J24" s="44" t="s">
        <v>397</v>
      </c>
      <c r="K24" s="45" t="s">
        <v>398</v>
      </c>
      <c r="L24" s="46">
        <v>1</v>
      </c>
      <c r="M24" s="35"/>
      <c r="O24" s="57"/>
      <c r="P24" s="43"/>
      <c r="Q24" s="37"/>
      <c r="R24" s="38"/>
      <c r="S24" s="208">
        <f>+ROUND((ROUND((_11_B重度研修１．５＿０．５*_11・２人),0)*(1+_11・B深夜)),0)</f>
        <v>138</v>
      </c>
      <c r="T24" s="48"/>
    </row>
    <row r="25" spans="1:20" ht="16.5" customHeight="1" x14ac:dyDescent="0.15">
      <c r="A25" s="41">
        <v>11</v>
      </c>
      <c r="B25" s="41" t="s">
        <v>7755</v>
      </c>
      <c r="C25" s="74" t="s">
        <v>7756</v>
      </c>
      <c r="D25" s="765"/>
      <c r="E25" s="704"/>
      <c r="F25" s="718"/>
      <c r="G25" s="765"/>
      <c r="H25" s="736"/>
      <c r="I25" s="718"/>
      <c r="J25" s="44"/>
      <c r="K25" s="45"/>
      <c r="L25" s="46"/>
      <c r="M25" s="35"/>
      <c r="O25" s="57"/>
      <c r="P25" s="734" t="s">
        <v>404</v>
      </c>
      <c r="Q25" s="49" t="s">
        <v>398</v>
      </c>
      <c r="R25" s="50">
        <f>_11・初任</f>
        <v>0.7</v>
      </c>
      <c r="S25" s="208">
        <f>+ROUND((ROUND((_11_B重度研修１．５＿０．５*(1+_11・B深夜)),0)*_11・初任),0)</f>
        <v>97</v>
      </c>
      <c r="T25" s="48"/>
    </row>
    <row r="26" spans="1:20" ht="16.5" customHeight="1" x14ac:dyDescent="0.15">
      <c r="A26" s="41">
        <v>11</v>
      </c>
      <c r="B26" s="41" t="s">
        <v>7757</v>
      </c>
      <c r="C26" s="74" t="s">
        <v>7758</v>
      </c>
      <c r="D26" s="765"/>
      <c r="E26" s="140"/>
      <c r="F26" s="99"/>
      <c r="G26" s="765"/>
      <c r="H26" s="170">
        <f>_11_B重度研修１．５＿０．５</f>
        <v>92</v>
      </c>
      <c r="I26" s="12" t="s">
        <v>392</v>
      </c>
      <c r="J26" s="44" t="s">
        <v>397</v>
      </c>
      <c r="K26" s="45" t="s">
        <v>398</v>
      </c>
      <c r="L26" s="46">
        <v>1</v>
      </c>
      <c r="M26" s="35"/>
      <c r="O26" s="57"/>
      <c r="P26" s="706"/>
      <c r="Q26" s="37"/>
      <c r="R26" s="38"/>
      <c r="S26" s="208">
        <f>+ROUND((ROUND((ROUND((_11_B重度研修１．５＿０．５*_11・２人),0)*(1+_11・B深夜)),0)*_11・初任),0)</f>
        <v>97</v>
      </c>
      <c r="T26" s="48"/>
    </row>
    <row r="27" spans="1:20" ht="16.5" customHeight="1" x14ac:dyDescent="0.15">
      <c r="A27" s="41">
        <v>11</v>
      </c>
      <c r="B27" s="41">
        <v>4307</v>
      </c>
      <c r="C27" s="74" t="s">
        <v>7759</v>
      </c>
      <c r="D27" s="765"/>
      <c r="F27" s="99"/>
      <c r="G27" s="765"/>
      <c r="H27" s="735" t="s">
        <v>3787</v>
      </c>
      <c r="I27" s="717"/>
      <c r="J27" s="44"/>
      <c r="K27" s="45"/>
      <c r="L27" s="46"/>
      <c r="M27" s="35"/>
      <c r="O27" s="57"/>
      <c r="P27" s="53"/>
      <c r="Q27" s="49"/>
      <c r="R27" s="49"/>
      <c r="S27" s="208">
        <f>+ROUND((_11_B重度研修１．５＿１．０*(1+_11・B深夜)),0)</f>
        <v>275</v>
      </c>
      <c r="T27" s="48"/>
    </row>
    <row r="28" spans="1:20" ht="16.5" customHeight="1" x14ac:dyDescent="0.15">
      <c r="A28" s="41">
        <v>11</v>
      </c>
      <c r="B28" s="41">
        <v>4308</v>
      </c>
      <c r="C28" s="74" t="s">
        <v>7760</v>
      </c>
      <c r="D28" s="765"/>
      <c r="F28" s="99"/>
      <c r="G28" s="765"/>
      <c r="H28" s="736"/>
      <c r="I28" s="718"/>
      <c r="J28" s="44" t="s">
        <v>397</v>
      </c>
      <c r="K28" s="45" t="s">
        <v>398</v>
      </c>
      <c r="L28" s="46">
        <v>1</v>
      </c>
      <c r="M28" s="35"/>
      <c r="O28" s="57"/>
      <c r="P28" s="43"/>
      <c r="Q28" s="37"/>
      <c r="R28" s="37"/>
      <c r="S28" s="208">
        <f>+ROUND((ROUND((_11_B重度研修１．５＿１．０*_11・２人),0)*(1+_11・B深夜)),0)</f>
        <v>275</v>
      </c>
      <c r="T28" s="48"/>
    </row>
    <row r="29" spans="1:20" ht="16.5" customHeight="1" x14ac:dyDescent="0.15">
      <c r="A29" s="41">
        <v>11</v>
      </c>
      <c r="B29" s="41" t="s">
        <v>7761</v>
      </c>
      <c r="C29" s="74" t="s">
        <v>7762</v>
      </c>
      <c r="D29" s="765"/>
      <c r="F29" s="99"/>
      <c r="G29" s="765"/>
      <c r="H29" s="736"/>
      <c r="I29" s="718"/>
      <c r="J29" s="44"/>
      <c r="K29" s="45"/>
      <c r="L29" s="46"/>
      <c r="M29" s="35"/>
      <c r="O29" s="57"/>
      <c r="P29" s="734" t="s">
        <v>404</v>
      </c>
      <c r="Q29" s="49" t="s">
        <v>398</v>
      </c>
      <c r="R29" s="50">
        <f>_11・初任</f>
        <v>0.7</v>
      </c>
      <c r="S29" s="208">
        <f>+ROUND((ROUND((_11_B重度研修１．５＿１．０*(1+_11・B深夜)),0)*_11・初任),0)</f>
        <v>193</v>
      </c>
      <c r="T29" s="48"/>
    </row>
    <row r="30" spans="1:20" ht="16.5" customHeight="1" x14ac:dyDescent="0.15">
      <c r="A30" s="41">
        <v>11</v>
      </c>
      <c r="B30" s="41" t="s">
        <v>7763</v>
      </c>
      <c r="C30" s="74" t="s">
        <v>7764</v>
      </c>
      <c r="D30" s="765"/>
      <c r="F30" s="99"/>
      <c r="G30" s="765"/>
      <c r="H30" s="170">
        <f>_11_B重度研修１．５＿１．０</f>
        <v>183</v>
      </c>
      <c r="I30" s="12" t="s">
        <v>392</v>
      </c>
      <c r="J30" s="44" t="s">
        <v>397</v>
      </c>
      <c r="K30" s="45" t="s">
        <v>398</v>
      </c>
      <c r="L30" s="46">
        <v>1</v>
      </c>
      <c r="M30" s="35"/>
      <c r="O30" s="57"/>
      <c r="P30" s="706"/>
      <c r="Q30" s="37"/>
      <c r="R30" s="38"/>
      <c r="S30" s="208">
        <f>+ROUND((ROUND((ROUND((_11_B重度研修１．５＿１．０*_11・２人),0)*(1+_11・B深夜)),0)*_11・初任),0)</f>
        <v>193</v>
      </c>
      <c r="T30" s="48"/>
    </row>
    <row r="31" spans="1:20" ht="16.5" customHeight="1" x14ac:dyDescent="0.15">
      <c r="A31" s="41">
        <v>11</v>
      </c>
      <c r="B31" s="41">
        <v>4309</v>
      </c>
      <c r="C31" s="74" t="s">
        <v>7765</v>
      </c>
      <c r="D31" s="765"/>
      <c r="F31" s="99"/>
      <c r="G31" s="765"/>
      <c r="H31" s="735" t="s">
        <v>3794</v>
      </c>
      <c r="I31" s="717"/>
      <c r="J31" s="44"/>
      <c r="K31" s="45"/>
      <c r="L31" s="46"/>
      <c r="M31" s="35"/>
      <c r="O31" s="57"/>
      <c r="P31" s="53"/>
      <c r="Q31" s="49"/>
      <c r="R31" s="50"/>
      <c r="S31" s="208">
        <f>+ROUND((_11_B重度研修１．５＿１．５*(1+_11・B深夜)),0)</f>
        <v>413</v>
      </c>
      <c r="T31" s="48"/>
    </row>
    <row r="32" spans="1:20" ht="16.5" customHeight="1" x14ac:dyDescent="0.15">
      <c r="A32" s="41">
        <v>11</v>
      </c>
      <c r="B32" s="41">
        <v>4310</v>
      </c>
      <c r="C32" s="74" t="s">
        <v>7766</v>
      </c>
      <c r="D32" s="765"/>
      <c r="F32" s="99"/>
      <c r="G32" s="765"/>
      <c r="H32" s="736"/>
      <c r="I32" s="718"/>
      <c r="J32" s="44" t="s">
        <v>397</v>
      </c>
      <c r="K32" s="45" t="s">
        <v>398</v>
      </c>
      <c r="L32" s="46">
        <v>1</v>
      </c>
      <c r="M32" s="35"/>
      <c r="O32" s="57"/>
      <c r="P32" s="43"/>
      <c r="Q32" s="37"/>
      <c r="R32" s="38"/>
      <c r="S32" s="208">
        <f>+ROUND((ROUND((_11_B重度研修１．５＿１．５*_11・２人),0)*(1+_11・B深夜)),0)</f>
        <v>413</v>
      </c>
      <c r="T32" s="48"/>
    </row>
    <row r="33" spans="1:20" ht="16.5" customHeight="1" x14ac:dyDescent="0.15">
      <c r="A33" s="41">
        <v>11</v>
      </c>
      <c r="B33" s="41" t="s">
        <v>7767</v>
      </c>
      <c r="C33" s="74" t="s">
        <v>7768</v>
      </c>
      <c r="D33" s="765"/>
      <c r="F33" s="99"/>
      <c r="G33" s="765"/>
      <c r="H33" s="736"/>
      <c r="I33" s="718"/>
      <c r="J33" s="44"/>
      <c r="K33" s="45"/>
      <c r="L33" s="46"/>
      <c r="M33" s="35"/>
      <c r="O33" s="57"/>
      <c r="P33" s="734" t="s">
        <v>404</v>
      </c>
      <c r="Q33" s="49" t="s">
        <v>398</v>
      </c>
      <c r="R33" s="50">
        <f>_11・初任</f>
        <v>0.7</v>
      </c>
      <c r="S33" s="208">
        <f>+ROUND((ROUND((_11_B重度研修１．５＿１．５*(1+_11・B深夜)),0)*_11・初任),0)</f>
        <v>289</v>
      </c>
      <c r="T33" s="48"/>
    </row>
    <row r="34" spans="1:20" ht="16.5" customHeight="1" x14ac:dyDescent="0.15">
      <c r="A34" s="41">
        <v>11</v>
      </c>
      <c r="B34" s="41" t="s">
        <v>7769</v>
      </c>
      <c r="C34" s="74" t="s">
        <v>7770</v>
      </c>
      <c r="D34" s="765"/>
      <c r="F34" s="99"/>
      <c r="G34" s="765"/>
      <c r="H34" s="170">
        <f>_11_B重度研修１．５＿１．５</f>
        <v>275</v>
      </c>
      <c r="I34" s="12" t="s">
        <v>392</v>
      </c>
      <c r="J34" s="44" t="s">
        <v>397</v>
      </c>
      <c r="K34" s="45" t="s">
        <v>398</v>
      </c>
      <c r="L34" s="46">
        <v>1</v>
      </c>
      <c r="M34" s="35"/>
      <c r="O34" s="57"/>
      <c r="P34" s="706"/>
      <c r="Q34" s="37"/>
      <c r="R34" s="38"/>
      <c r="S34" s="208">
        <f>+ROUND((ROUND((ROUND((_11_B重度研修１．５＿１．５*_11・２人),0)*(1+_11・B深夜)),0)*_11・初任),0)</f>
        <v>289</v>
      </c>
      <c r="T34" s="48"/>
    </row>
    <row r="35" spans="1:20" ht="16.5" customHeight="1" x14ac:dyDescent="0.15">
      <c r="A35" s="41">
        <v>11</v>
      </c>
      <c r="B35" s="41">
        <v>4311</v>
      </c>
      <c r="C35" s="74" t="s">
        <v>7771</v>
      </c>
      <c r="D35" s="765"/>
      <c r="E35" s="708" t="s">
        <v>3621</v>
      </c>
      <c r="F35" s="717"/>
      <c r="G35" s="765"/>
      <c r="H35" s="735" t="s">
        <v>3780</v>
      </c>
      <c r="I35" s="717"/>
      <c r="J35" s="44"/>
      <c r="K35" s="45"/>
      <c r="L35" s="46"/>
      <c r="M35" s="35"/>
      <c r="O35" s="57"/>
      <c r="P35" s="53"/>
      <c r="Q35" s="49"/>
      <c r="R35" s="49"/>
      <c r="S35" s="208">
        <f>+ROUND((_11_B重度研修２．０＿０．５*(1+_11・B深夜)),0)</f>
        <v>137</v>
      </c>
      <c r="T35" s="48"/>
    </row>
    <row r="36" spans="1:20" ht="16.5" customHeight="1" x14ac:dyDescent="0.15">
      <c r="A36" s="41">
        <v>11</v>
      </c>
      <c r="B36" s="41">
        <v>4312</v>
      </c>
      <c r="C36" s="74" t="s">
        <v>7772</v>
      </c>
      <c r="D36" s="765"/>
      <c r="E36" s="704"/>
      <c r="F36" s="718"/>
      <c r="G36" s="765"/>
      <c r="H36" s="736"/>
      <c r="I36" s="718"/>
      <c r="J36" s="44" t="s">
        <v>397</v>
      </c>
      <c r="K36" s="45" t="s">
        <v>398</v>
      </c>
      <c r="L36" s="46">
        <v>1</v>
      </c>
      <c r="M36" s="35"/>
      <c r="O36" s="57"/>
      <c r="P36" s="43"/>
      <c r="Q36" s="37"/>
      <c r="R36" s="37"/>
      <c r="S36" s="208">
        <f>+ROUND((ROUND((_11_B重度研修２．０＿０．５*_11・２人),0)*(1+_11・B深夜)),0)</f>
        <v>137</v>
      </c>
      <c r="T36" s="48"/>
    </row>
    <row r="37" spans="1:20" ht="16.5" customHeight="1" x14ac:dyDescent="0.15">
      <c r="A37" s="41">
        <v>11</v>
      </c>
      <c r="B37" s="41" t="s">
        <v>7773</v>
      </c>
      <c r="C37" s="74" t="s">
        <v>7774</v>
      </c>
      <c r="D37" s="765"/>
      <c r="E37" s="704"/>
      <c r="F37" s="718"/>
      <c r="G37" s="765"/>
      <c r="H37" s="736"/>
      <c r="I37" s="718"/>
      <c r="J37" s="44"/>
      <c r="K37" s="45"/>
      <c r="L37" s="46"/>
      <c r="M37" s="35"/>
      <c r="O37" s="57"/>
      <c r="P37" s="734" t="s">
        <v>404</v>
      </c>
      <c r="Q37" s="49" t="s">
        <v>398</v>
      </c>
      <c r="R37" s="50">
        <f>_11・初任</f>
        <v>0.7</v>
      </c>
      <c r="S37" s="208">
        <f>+ROUND((ROUND((_11_B重度研修２．０＿０．５*(1+_11・B深夜)),0)*_11・初任),0)</f>
        <v>96</v>
      </c>
      <c r="T37" s="48"/>
    </row>
    <row r="38" spans="1:20" ht="16.5" customHeight="1" x14ac:dyDescent="0.15">
      <c r="A38" s="41">
        <v>11</v>
      </c>
      <c r="B38" s="41" t="s">
        <v>7775</v>
      </c>
      <c r="C38" s="74" t="s">
        <v>7776</v>
      </c>
      <c r="D38" s="765"/>
      <c r="E38" s="140"/>
      <c r="F38" s="99"/>
      <c r="G38" s="765"/>
      <c r="H38" s="170">
        <f>_11_B重度研修２．０＿０．５</f>
        <v>91</v>
      </c>
      <c r="I38" s="12" t="s">
        <v>392</v>
      </c>
      <c r="J38" s="44" t="s">
        <v>397</v>
      </c>
      <c r="K38" s="45" t="s">
        <v>398</v>
      </c>
      <c r="L38" s="46">
        <v>1</v>
      </c>
      <c r="M38" s="35"/>
      <c r="O38" s="57"/>
      <c r="P38" s="706"/>
      <c r="Q38" s="37"/>
      <c r="R38" s="38"/>
      <c r="S38" s="208">
        <f>+ROUND((ROUND((ROUND((_11_B重度研修２．０＿０．５*_11・２人),0)*(1+_11・B深夜)),0)*_11・初任),0)</f>
        <v>96</v>
      </c>
      <c r="T38" s="48"/>
    </row>
    <row r="39" spans="1:20" ht="16.5" customHeight="1" x14ac:dyDescent="0.15">
      <c r="A39" s="41">
        <v>11</v>
      </c>
      <c r="B39" s="41">
        <v>4121</v>
      </c>
      <c r="C39" s="74" t="s">
        <v>7777</v>
      </c>
      <c r="D39" s="765"/>
      <c r="F39" s="99"/>
      <c r="G39" s="765"/>
      <c r="H39" s="735" t="s">
        <v>3787</v>
      </c>
      <c r="I39" s="717"/>
      <c r="J39" s="44"/>
      <c r="K39" s="45"/>
      <c r="L39" s="46"/>
      <c r="M39" s="35"/>
      <c r="O39" s="57"/>
      <c r="P39" s="53"/>
      <c r="Q39" s="49"/>
      <c r="R39" s="50"/>
      <c r="S39" s="208">
        <f>+ROUND((_11_B重度研修２．０＿１．０*(1+_11・B深夜)),0)</f>
        <v>275</v>
      </c>
      <c r="T39" s="48"/>
    </row>
    <row r="40" spans="1:20" ht="16.5" customHeight="1" x14ac:dyDescent="0.15">
      <c r="A40" s="41">
        <v>11</v>
      </c>
      <c r="B40" s="41">
        <v>4122</v>
      </c>
      <c r="C40" s="74" t="s">
        <v>7778</v>
      </c>
      <c r="D40" s="765"/>
      <c r="F40" s="99"/>
      <c r="G40" s="765"/>
      <c r="H40" s="736"/>
      <c r="I40" s="718"/>
      <c r="J40" s="44" t="s">
        <v>397</v>
      </c>
      <c r="K40" s="45" t="s">
        <v>398</v>
      </c>
      <c r="L40" s="46">
        <v>1</v>
      </c>
      <c r="M40" s="35"/>
      <c r="O40" s="57"/>
      <c r="P40" s="43"/>
      <c r="Q40" s="37"/>
      <c r="R40" s="38"/>
      <c r="S40" s="208">
        <f>+ROUND((ROUND((_11_B重度研修２．０＿１．０*_11・２人),0)*(1+_11・B深夜)),0)</f>
        <v>275</v>
      </c>
      <c r="T40" s="48"/>
    </row>
    <row r="41" spans="1:20" ht="16.5" customHeight="1" x14ac:dyDescent="0.15">
      <c r="A41" s="41">
        <v>11</v>
      </c>
      <c r="B41" s="41" t="s">
        <v>7779</v>
      </c>
      <c r="C41" s="74" t="s">
        <v>7780</v>
      </c>
      <c r="D41" s="765"/>
      <c r="F41" s="99"/>
      <c r="G41" s="765"/>
      <c r="H41" s="736"/>
      <c r="I41" s="718"/>
      <c r="J41" s="44"/>
      <c r="K41" s="45"/>
      <c r="L41" s="46"/>
      <c r="M41" s="35"/>
      <c r="O41" s="57"/>
      <c r="P41" s="734" t="s">
        <v>404</v>
      </c>
      <c r="Q41" s="49" t="s">
        <v>398</v>
      </c>
      <c r="R41" s="50">
        <f>_11・初任</f>
        <v>0.7</v>
      </c>
      <c r="S41" s="208">
        <f>+ROUND((ROUND((_11_B重度研修２．０＿１．０*(1+_11・B深夜)),0)*_11・初任),0)</f>
        <v>193</v>
      </c>
      <c r="T41" s="48"/>
    </row>
    <row r="42" spans="1:20" ht="16.5" customHeight="1" x14ac:dyDescent="0.15">
      <c r="A42" s="41">
        <v>11</v>
      </c>
      <c r="B42" s="41" t="s">
        <v>7781</v>
      </c>
      <c r="C42" s="74" t="s">
        <v>7782</v>
      </c>
      <c r="D42" s="765"/>
      <c r="F42" s="99"/>
      <c r="G42" s="765"/>
      <c r="H42" s="170">
        <f>_11_B重度研修２．０＿１．０</f>
        <v>183</v>
      </c>
      <c r="I42" s="12" t="s">
        <v>392</v>
      </c>
      <c r="J42" s="44" t="s">
        <v>397</v>
      </c>
      <c r="K42" s="45" t="s">
        <v>398</v>
      </c>
      <c r="L42" s="46">
        <v>1</v>
      </c>
      <c r="M42" s="35"/>
      <c r="O42" s="57"/>
      <c r="P42" s="706"/>
      <c r="Q42" s="37"/>
      <c r="R42" s="38"/>
      <c r="S42" s="208">
        <f>+ROUND((ROUND((ROUND((_11_B重度研修２．０＿１．０*_11・２人),0)*(1+_11・B深夜)),0)*_11・初任),0)</f>
        <v>193</v>
      </c>
      <c r="T42" s="48"/>
    </row>
    <row r="43" spans="1:20" ht="16.5" customHeight="1" x14ac:dyDescent="0.15">
      <c r="A43" s="41">
        <v>11</v>
      </c>
      <c r="B43" s="41">
        <v>4313</v>
      </c>
      <c r="C43" s="74" t="s">
        <v>7783</v>
      </c>
      <c r="D43" s="765"/>
      <c r="E43" s="708" t="s">
        <v>3634</v>
      </c>
      <c r="F43" s="717"/>
      <c r="G43" s="765"/>
      <c r="H43" s="735" t="s">
        <v>3780</v>
      </c>
      <c r="I43" s="717"/>
      <c r="J43" s="44"/>
      <c r="K43" s="45"/>
      <c r="L43" s="46"/>
      <c r="M43" s="35"/>
      <c r="O43" s="57"/>
      <c r="P43" s="53"/>
      <c r="Q43" s="49"/>
      <c r="R43" s="49"/>
      <c r="S43" s="208">
        <f>+ROUND((_11_B重度研修２．５＿０．５*(1+_11・B深夜)),0)</f>
        <v>138</v>
      </c>
      <c r="T43" s="48"/>
    </row>
    <row r="44" spans="1:20" ht="16.5" customHeight="1" x14ac:dyDescent="0.15">
      <c r="A44" s="41">
        <v>11</v>
      </c>
      <c r="B44" s="41">
        <v>4314</v>
      </c>
      <c r="C44" s="74" t="s">
        <v>7784</v>
      </c>
      <c r="D44" s="765"/>
      <c r="E44" s="704"/>
      <c r="F44" s="718"/>
      <c r="G44" s="765"/>
      <c r="H44" s="736"/>
      <c r="I44" s="718"/>
      <c r="J44" s="44" t="s">
        <v>397</v>
      </c>
      <c r="K44" s="45" t="s">
        <v>398</v>
      </c>
      <c r="L44" s="46">
        <v>1</v>
      </c>
      <c r="M44" s="35"/>
      <c r="O44" s="57"/>
      <c r="P44" s="43"/>
      <c r="Q44" s="37"/>
      <c r="R44" s="37"/>
      <c r="S44" s="208">
        <f>+ROUND((ROUND((_11_B重度研修２．５＿０．５*_11・２人),0)*(1+_11・B深夜)),0)</f>
        <v>138</v>
      </c>
      <c r="T44" s="48"/>
    </row>
    <row r="45" spans="1:20" ht="16.5" customHeight="1" x14ac:dyDescent="0.15">
      <c r="A45" s="41">
        <v>11</v>
      </c>
      <c r="B45" s="41" t="s">
        <v>7785</v>
      </c>
      <c r="C45" s="74" t="s">
        <v>7786</v>
      </c>
      <c r="D45" s="765"/>
      <c r="E45" s="704"/>
      <c r="F45" s="718"/>
      <c r="G45" s="765"/>
      <c r="H45" s="736"/>
      <c r="I45" s="718"/>
      <c r="J45" s="44"/>
      <c r="K45" s="45"/>
      <c r="L45" s="46"/>
      <c r="M45" s="35"/>
      <c r="O45" s="57"/>
      <c r="P45" s="734" t="s">
        <v>404</v>
      </c>
      <c r="Q45" s="49" t="s">
        <v>398</v>
      </c>
      <c r="R45" s="50">
        <f>_11・初任</f>
        <v>0.7</v>
      </c>
      <c r="S45" s="208">
        <f>+ROUND((ROUND((_11_B重度研修２．５＿０．５*(1+_11・B深夜)),0)*_11・初任),0)</f>
        <v>97</v>
      </c>
      <c r="T45" s="48"/>
    </row>
    <row r="46" spans="1:20" ht="16.5" customHeight="1" x14ac:dyDescent="0.15">
      <c r="A46" s="41">
        <v>11</v>
      </c>
      <c r="B46" s="41" t="s">
        <v>7787</v>
      </c>
      <c r="C46" s="74" t="s">
        <v>7788</v>
      </c>
      <c r="D46" s="766"/>
      <c r="E46" s="211"/>
      <c r="F46" s="111"/>
      <c r="G46" s="766"/>
      <c r="H46" s="176">
        <f>_11_B重度研修２．５＿０．５</f>
        <v>92</v>
      </c>
      <c r="I46" s="37" t="s">
        <v>392</v>
      </c>
      <c r="J46" s="44" t="s">
        <v>397</v>
      </c>
      <c r="K46" s="45" t="s">
        <v>398</v>
      </c>
      <c r="L46" s="46">
        <v>1</v>
      </c>
      <c r="M46" s="43"/>
      <c r="N46" s="38"/>
      <c r="O46" s="79"/>
      <c r="P46" s="706"/>
      <c r="Q46" s="37"/>
      <c r="R46" s="38"/>
      <c r="S46" s="208">
        <f>+ROUND((ROUND((ROUND((_11_B重度研修２．５＿０．５*_11・２人),0)*(1+_11・B深夜)),0)*_11・初任),0)</f>
        <v>97</v>
      </c>
      <c r="T46" s="63"/>
    </row>
    <row r="47" spans="1:20" ht="16.5" customHeight="1" x14ac:dyDescent="0.15">
      <c r="G47" s="99"/>
    </row>
  </sheetData>
  <mergeCells count="28">
    <mergeCell ref="P41:P42"/>
    <mergeCell ref="E43:F45"/>
    <mergeCell ref="H43:I45"/>
    <mergeCell ref="P45:P46"/>
    <mergeCell ref="P25:P26"/>
    <mergeCell ref="H27:I29"/>
    <mergeCell ref="P29:P30"/>
    <mergeCell ref="H31:I33"/>
    <mergeCell ref="P33:P34"/>
    <mergeCell ref="E35:F37"/>
    <mergeCell ref="H35:I37"/>
    <mergeCell ref="P37:P38"/>
    <mergeCell ref="H19:I21"/>
    <mergeCell ref="P21:P22"/>
    <mergeCell ref="G6:I6"/>
    <mergeCell ref="D7:D46"/>
    <mergeCell ref="E7:F9"/>
    <mergeCell ref="G7:G46"/>
    <mergeCell ref="H7:I9"/>
    <mergeCell ref="O8:O9"/>
    <mergeCell ref="E23:F25"/>
    <mergeCell ref="H23:I25"/>
    <mergeCell ref="H39:I41"/>
    <mergeCell ref="P9:P10"/>
    <mergeCell ref="H11:I13"/>
    <mergeCell ref="P13:P14"/>
    <mergeCell ref="H15:I17"/>
    <mergeCell ref="P17:P18"/>
  </mergeCells>
  <phoneticPr fontId="1"/>
  <printOptions horizontalCentered="1"/>
  <pageMargins left="0.70866141732283472" right="0.70866141732283472" top="0.74803149606299213" bottom="0.74803149606299213" header="0.31496062992125984" footer="0.31496062992125984"/>
  <pageSetup paperSize="9" scale="53" fitToHeight="0" orientation="portrait" r:id="rId1"/>
  <headerFooter>
    <oddHeader>&amp;R&amp;"ＭＳ Ｐゴシック"&amp;9居宅介護</oddHeader>
    <oddFooter>&amp;C&amp;"ＭＳ Ｐゴシック"&amp;14&amp;P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pageSetUpPr fitToPage="1"/>
  </sheetPr>
  <dimension ref="A1:T47"/>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3.125" style="10" bestFit="1" customWidth="1"/>
    <col min="4" max="4" width="2.5" style="10" customWidth="1"/>
    <col min="5" max="5" width="4.875" style="10" customWidth="1"/>
    <col min="6" max="6" width="4.5" style="117" bestFit="1" customWidth="1"/>
    <col min="7" max="7" width="2.5" style="117" customWidth="1"/>
    <col min="8" max="8" width="4.875" style="10" customWidth="1"/>
    <col min="9" max="9" width="4.5" style="117" bestFit="1" customWidth="1"/>
    <col min="10" max="10" width="24.875" style="14" bestFit="1" customWidth="1"/>
    <col min="11" max="11" width="3.5" style="12" bestFit="1" customWidth="1"/>
    <col min="12" max="12" width="5.5" style="13" bestFit="1" customWidth="1"/>
    <col min="13" max="13" width="3.5" style="12" bestFit="1" customWidth="1"/>
    <col min="14" max="14" width="4.5" style="13" bestFit="1" customWidth="1"/>
    <col min="15" max="15" width="5.5" style="12" bestFit="1" customWidth="1"/>
    <col min="16" max="16" width="17.875" style="12" customWidth="1"/>
    <col min="17" max="17" width="3.5" style="12" bestFit="1" customWidth="1"/>
    <col min="18" max="18" width="4.5" style="13" bestFit="1" customWidth="1"/>
    <col min="19" max="19" width="7.125" style="206" customWidth="1"/>
    <col min="20" max="20" width="8.5" style="16" customWidth="1"/>
    <col min="21" max="16384" width="8.875" style="12"/>
  </cols>
  <sheetData>
    <row r="1" spans="1:20" ht="17.100000000000001" customHeight="1" x14ac:dyDescent="0.15"/>
    <row r="2" spans="1:20" ht="17.100000000000001" customHeight="1" x14ac:dyDescent="0.15"/>
    <row r="3" spans="1:20" ht="17.100000000000001" customHeight="1" x14ac:dyDescent="0.15">
      <c r="G3" s="99"/>
    </row>
    <row r="4" spans="1:20" ht="17.100000000000001" customHeight="1" x14ac:dyDescent="0.15">
      <c r="B4" s="17" t="s">
        <v>7789</v>
      </c>
      <c r="E4" s="71"/>
      <c r="G4" s="99"/>
    </row>
    <row r="5" spans="1:20" ht="16.5" customHeight="1" x14ac:dyDescent="0.15">
      <c r="A5" s="19" t="s">
        <v>384</v>
      </c>
      <c r="B5" s="20"/>
      <c r="C5" s="21" t="s">
        <v>385</v>
      </c>
      <c r="D5" s="166"/>
      <c r="E5" s="23" t="s">
        <v>386</v>
      </c>
      <c r="F5" s="118"/>
      <c r="G5" s="118"/>
      <c r="H5" s="23"/>
      <c r="I5" s="118"/>
      <c r="J5" s="23"/>
      <c r="K5" s="23"/>
      <c r="L5" s="24"/>
      <c r="M5" s="23"/>
      <c r="N5" s="24"/>
      <c r="O5" s="23"/>
      <c r="P5" s="23"/>
      <c r="Q5" s="23"/>
      <c r="R5" s="24"/>
      <c r="S5" s="21" t="s">
        <v>387</v>
      </c>
      <c r="T5" s="21" t="s">
        <v>388</v>
      </c>
    </row>
    <row r="6" spans="1:20" ht="16.5" customHeight="1" x14ac:dyDescent="0.15">
      <c r="A6" s="26" t="s">
        <v>389</v>
      </c>
      <c r="B6" s="26" t="s">
        <v>390</v>
      </c>
      <c r="C6" s="27"/>
      <c r="D6" s="748" t="s">
        <v>1032</v>
      </c>
      <c r="E6" s="749"/>
      <c r="F6" s="767"/>
      <c r="G6" s="748" t="s">
        <v>3910</v>
      </c>
      <c r="H6" s="749"/>
      <c r="I6" s="750"/>
      <c r="J6" s="29"/>
      <c r="K6" s="29"/>
      <c r="L6" s="30"/>
      <c r="M6" s="29"/>
      <c r="N6" s="30"/>
      <c r="O6" s="29"/>
      <c r="P6" s="29"/>
      <c r="Q6" s="29"/>
      <c r="R6" s="30"/>
      <c r="S6" s="32" t="s">
        <v>391</v>
      </c>
      <c r="T6" s="32" t="s">
        <v>392</v>
      </c>
    </row>
    <row r="7" spans="1:20" ht="16.5" customHeight="1" x14ac:dyDescent="0.15">
      <c r="A7" s="33">
        <v>11</v>
      </c>
      <c r="B7" s="33">
        <v>4315</v>
      </c>
      <c r="C7" s="34" t="s">
        <v>7790</v>
      </c>
      <c r="D7" s="709" t="s">
        <v>3572</v>
      </c>
      <c r="E7" s="704"/>
      <c r="F7" s="739"/>
      <c r="G7" s="736" t="s">
        <v>3643</v>
      </c>
      <c r="H7" s="704"/>
      <c r="I7" s="718"/>
      <c r="J7" s="36"/>
      <c r="K7" s="37"/>
      <c r="L7" s="38"/>
      <c r="M7" s="35" t="s">
        <v>1036</v>
      </c>
      <c r="O7" s="57"/>
      <c r="P7" s="35"/>
      <c r="S7" s="207">
        <f>ROUND((_11_A重度研修１．０*(1+_11・A深夜)),0)+_11_B重度研修１．０＿０．５</f>
        <v>368</v>
      </c>
      <c r="T7" s="40" t="s">
        <v>395</v>
      </c>
    </row>
    <row r="8" spans="1:20" ht="16.5" customHeight="1" x14ac:dyDescent="0.15">
      <c r="A8" s="41">
        <v>11</v>
      </c>
      <c r="B8" s="41">
        <v>4316</v>
      </c>
      <c r="C8" s="74" t="s">
        <v>7791</v>
      </c>
      <c r="D8" s="709"/>
      <c r="E8" s="704"/>
      <c r="F8" s="739"/>
      <c r="G8" s="736"/>
      <c r="H8" s="704"/>
      <c r="I8" s="718"/>
      <c r="J8" s="44" t="s">
        <v>397</v>
      </c>
      <c r="K8" s="45" t="s">
        <v>398</v>
      </c>
      <c r="L8" s="46">
        <v>1</v>
      </c>
      <c r="M8" s="35" t="s">
        <v>398</v>
      </c>
      <c r="N8" s="13">
        <v>0.5</v>
      </c>
      <c r="O8" s="728" t="s">
        <v>676</v>
      </c>
      <c r="P8" s="43"/>
      <c r="Q8" s="37"/>
      <c r="R8" s="38"/>
      <c r="S8" s="208">
        <f>ROUND((ROUND((_11_A重度研修１．０*_11・２人),0)*(1+_11・A深夜)),0)+ROUND((_11_B重度研修１．０＿０．５*_11・２人),0)</f>
        <v>368</v>
      </c>
      <c r="T8" s="48"/>
    </row>
    <row r="9" spans="1:20" ht="16.5" customHeight="1" x14ac:dyDescent="0.15">
      <c r="A9" s="41">
        <v>11</v>
      </c>
      <c r="B9" s="41" t="s">
        <v>7792</v>
      </c>
      <c r="C9" s="74" t="s">
        <v>7793</v>
      </c>
      <c r="D9" s="709"/>
      <c r="E9" s="704"/>
      <c r="F9" s="739"/>
      <c r="G9" s="736"/>
      <c r="H9" s="704"/>
      <c r="I9" s="718"/>
      <c r="J9" s="44"/>
      <c r="K9" s="45"/>
      <c r="L9" s="46"/>
      <c r="M9" s="35"/>
      <c r="O9" s="728"/>
      <c r="P9" s="734" t="s">
        <v>404</v>
      </c>
      <c r="Q9" s="49" t="s">
        <v>398</v>
      </c>
      <c r="R9" s="50">
        <f>_11・初任</f>
        <v>0.7</v>
      </c>
      <c r="S9" s="208">
        <f>ROUND((ROUND((_11_A重度研修１．０*(1+_11・A深夜)),0)*_11・初任),0)+ROUND((_11_B重度研修１．０＿０．５*_11・初任),0)</f>
        <v>258</v>
      </c>
      <c r="T9" s="48"/>
    </row>
    <row r="10" spans="1:20" ht="16.5" customHeight="1" x14ac:dyDescent="0.15">
      <c r="A10" s="41">
        <v>11</v>
      </c>
      <c r="B10" s="41" t="s">
        <v>7794</v>
      </c>
      <c r="C10" s="74" t="s">
        <v>7795</v>
      </c>
      <c r="D10" s="72"/>
      <c r="E10" s="170">
        <f>_11_A重度研修１．０</f>
        <v>185</v>
      </c>
      <c r="F10" s="12" t="s">
        <v>392</v>
      </c>
      <c r="G10" s="182"/>
      <c r="H10" s="170">
        <f>_11_B重度研修１．０＿０．５</f>
        <v>90</v>
      </c>
      <c r="I10" s="12" t="s">
        <v>392</v>
      </c>
      <c r="J10" s="44" t="s">
        <v>397</v>
      </c>
      <c r="K10" s="45" t="s">
        <v>398</v>
      </c>
      <c r="L10" s="46">
        <v>1</v>
      </c>
      <c r="M10" s="35"/>
      <c r="O10" s="57"/>
      <c r="P10" s="706"/>
      <c r="Q10" s="37"/>
      <c r="R10" s="38"/>
      <c r="S10" s="208">
        <f>ROUND((ROUND((ROUND((_11_A重度研修１．０*_11・２人),0)*(1+_11・A深夜)),0)*_11・初任),0)+ROUND((ROUND((_11_B重度研修１．０＿０．５*_11・２人),0)*_11・初任),0)</f>
        <v>258</v>
      </c>
      <c r="T10" s="48"/>
    </row>
    <row r="11" spans="1:20" ht="16.5" customHeight="1" x14ac:dyDescent="0.15">
      <c r="A11" s="41">
        <v>11</v>
      </c>
      <c r="B11" s="41">
        <v>4123</v>
      </c>
      <c r="C11" s="74" t="s">
        <v>7796</v>
      </c>
      <c r="D11" s="72"/>
      <c r="F11" s="99"/>
      <c r="G11" s="735" t="s">
        <v>3650</v>
      </c>
      <c r="H11" s="708"/>
      <c r="I11" s="717"/>
      <c r="J11" s="44"/>
      <c r="K11" s="45"/>
      <c r="L11" s="46"/>
      <c r="M11" s="35"/>
      <c r="O11" s="57"/>
      <c r="P11" s="53"/>
      <c r="Q11" s="49"/>
      <c r="R11" s="49"/>
      <c r="S11" s="208">
        <f>ROUND((_11_A重度研修１．０*(1+_11・A深夜)),0)+_11_B重度研修１．０＿１．０</f>
        <v>460</v>
      </c>
      <c r="T11" s="48"/>
    </row>
    <row r="12" spans="1:20" ht="16.5" customHeight="1" x14ac:dyDescent="0.15">
      <c r="A12" s="41">
        <v>11</v>
      </c>
      <c r="B12" s="41">
        <v>4124</v>
      </c>
      <c r="C12" s="74" t="s">
        <v>7797</v>
      </c>
      <c r="D12" s="72"/>
      <c r="F12" s="99"/>
      <c r="G12" s="736"/>
      <c r="H12" s="704"/>
      <c r="I12" s="718"/>
      <c r="J12" s="44" t="s">
        <v>397</v>
      </c>
      <c r="K12" s="45" t="s">
        <v>398</v>
      </c>
      <c r="L12" s="46">
        <v>1</v>
      </c>
      <c r="M12" s="35"/>
      <c r="O12" s="57"/>
      <c r="P12" s="43"/>
      <c r="Q12" s="37"/>
      <c r="R12" s="37"/>
      <c r="S12" s="208">
        <f>ROUND((ROUND((_11_A重度研修１．０*_11・２人),0)*(1+_11・A深夜)),0)+ROUND((_11_B重度研修１．０＿１．０*_11・２人),0)</f>
        <v>460</v>
      </c>
      <c r="T12" s="48"/>
    </row>
    <row r="13" spans="1:20" ht="16.5" customHeight="1" x14ac:dyDescent="0.15">
      <c r="A13" s="41">
        <v>11</v>
      </c>
      <c r="B13" s="41" t="s">
        <v>7798</v>
      </c>
      <c r="C13" s="74" t="s">
        <v>7799</v>
      </c>
      <c r="D13" s="72"/>
      <c r="F13" s="99"/>
      <c r="G13" s="736"/>
      <c r="H13" s="704"/>
      <c r="I13" s="718"/>
      <c r="J13" s="44"/>
      <c r="K13" s="45"/>
      <c r="L13" s="46"/>
      <c r="M13" s="35"/>
      <c r="O13" s="57"/>
      <c r="P13" s="734" t="s">
        <v>404</v>
      </c>
      <c r="Q13" s="49" t="s">
        <v>398</v>
      </c>
      <c r="R13" s="50">
        <f>_11・初任</f>
        <v>0.7</v>
      </c>
      <c r="S13" s="208">
        <f>ROUND((ROUND((_11_A重度研修１．０*(1+_11・A深夜)),0)*_11・初任),0)+ROUND((_11_B重度研修１．０＿１．０*_11・初任),0)</f>
        <v>322</v>
      </c>
      <c r="T13" s="48"/>
    </row>
    <row r="14" spans="1:20" ht="16.5" customHeight="1" x14ac:dyDescent="0.15">
      <c r="A14" s="41">
        <v>11</v>
      </c>
      <c r="B14" s="41" t="s">
        <v>7800</v>
      </c>
      <c r="C14" s="74" t="s">
        <v>7801</v>
      </c>
      <c r="D14" s="72"/>
      <c r="F14" s="99"/>
      <c r="G14" s="182"/>
      <c r="H14" s="170">
        <f>_11_B重度研修１．０＿１．０</f>
        <v>182</v>
      </c>
      <c r="I14" s="12" t="s">
        <v>392</v>
      </c>
      <c r="J14" s="44" t="s">
        <v>397</v>
      </c>
      <c r="K14" s="45" t="s">
        <v>398</v>
      </c>
      <c r="L14" s="46">
        <v>1</v>
      </c>
      <c r="M14" s="35"/>
      <c r="O14" s="57"/>
      <c r="P14" s="706"/>
      <c r="Q14" s="37"/>
      <c r="R14" s="38"/>
      <c r="S14" s="208">
        <f>ROUND((ROUND((ROUND((_11_A重度研修１．０*_11・２人),0)*(1+_11・A深夜)),0)*_11・初任),0)+ROUND((ROUND((_11_B重度研修１．０＿１．０*_11・２人),0)*_11・初任),0)</f>
        <v>322</v>
      </c>
      <c r="T14" s="48"/>
    </row>
    <row r="15" spans="1:20" ht="16.5" customHeight="1" x14ac:dyDescent="0.15">
      <c r="A15" s="41">
        <v>11</v>
      </c>
      <c r="B15" s="41">
        <v>4317</v>
      </c>
      <c r="C15" s="74" t="s">
        <v>7802</v>
      </c>
      <c r="D15" s="72"/>
      <c r="F15" s="99"/>
      <c r="G15" s="735" t="s">
        <v>1253</v>
      </c>
      <c r="H15" s="708"/>
      <c r="I15" s="717"/>
      <c r="J15" s="44"/>
      <c r="K15" s="45"/>
      <c r="L15" s="46"/>
      <c r="M15" s="35"/>
      <c r="O15" s="57"/>
      <c r="P15" s="53"/>
      <c r="Q15" s="49"/>
      <c r="R15" s="50"/>
      <c r="S15" s="208">
        <f>ROUND((_11_A重度研修１．０*(1+_11・A深夜)),0)+_11_B重度研修１．０＿１．５</f>
        <v>551</v>
      </c>
      <c r="T15" s="48"/>
    </row>
    <row r="16" spans="1:20" ht="16.5" customHeight="1" x14ac:dyDescent="0.15">
      <c r="A16" s="41">
        <v>11</v>
      </c>
      <c r="B16" s="41">
        <v>4318</v>
      </c>
      <c r="C16" s="74" t="s">
        <v>7803</v>
      </c>
      <c r="D16" s="72"/>
      <c r="F16" s="99"/>
      <c r="G16" s="736"/>
      <c r="H16" s="704"/>
      <c r="I16" s="718"/>
      <c r="J16" s="44" t="s">
        <v>397</v>
      </c>
      <c r="K16" s="45" t="s">
        <v>398</v>
      </c>
      <c r="L16" s="46">
        <v>1</v>
      </c>
      <c r="M16" s="35"/>
      <c r="O16" s="57"/>
      <c r="P16" s="43"/>
      <c r="Q16" s="37"/>
      <c r="R16" s="38"/>
      <c r="S16" s="208">
        <f>ROUND((ROUND((_11_A重度研修１．０*_11・２人),0)*(1+_11・A深夜)),0)+ROUND((_11_B重度研修１．０＿１．５*_11・２人),0)</f>
        <v>551</v>
      </c>
      <c r="T16" s="48"/>
    </row>
    <row r="17" spans="1:20" ht="16.5" customHeight="1" x14ac:dyDescent="0.15">
      <c r="A17" s="41">
        <v>11</v>
      </c>
      <c r="B17" s="41" t="s">
        <v>7804</v>
      </c>
      <c r="C17" s="74" t="s">
        <v>7805</v>
      </c>
      <c r="D17" s="72"/>
      <c r="F17" s="99"/>
      <c r="G17" s="736"/>
      <c r="H17" s="704"/>
      <c r="I17" s="718"/>
      <c r="J17" s="44"/>
      <c r="K17" s="45"/>
      <c r="L17" s="46"/>
      <c r="M17" s="35"/>
      <c r="O17" s="57"/>
      <c r="P17" s="734" t="s">
        <v>404</v>
      </c>
      <c r="Q17" s="49" t="s">
        <v>398</v>
      </c>
      <c r="R17" s="50">
        <f>_11・初任</f>
        <v>0.7</v>
      </c>
      <c r="S17" s="208">
        <f>ROUND((ROUND((_11_A重度研修１．０*(1+_11・A深夜)),0)*_11・初任),0)+ROUND((_11_B重度研修１．０＿１．５*_11・初任),0)</f>
        <v>386</v>
      </c>
      <c r="T17" s="48"/>
    </row>
    <row r="18" spans="1:20" ht="16.5" customHeight="1" x14ac:dyDescent="0.15">
      <c r="A18" s="41">
        <v>11</v>
      </c>
      <c r="B18" s="41" t="s">
        <v>7806</v>
      </c>
      <c r="C18" s="74" t="s">
        <v>7807</v>
      </c>
      <c r="D18" s="72"/>
      <c r="F18" s="99"/>
      <c r="G18" s="182"/>
      <c r="H18" s="170">
        <f>_11_B重度研修１．０＿１．５</f>
        <v>273</v>
      </c>
      <c r="I18" s="12" t="s">
        <v>392</v>
      </c>
      <c r="J18" s="44" t="s">
        <v>397</v>
      </c>
      <c r="K18" s="45" t="s">
        <v>398</v>
      </c>
      <c r="L18" s="46">
        <v>1</v>
      </c>
      <c r="M18" s="35"/>
      <c r="O18" s="57"/>
      <c r="P18" s="706"/>
      <c r="Q18" s="37"/>
      <c r="R18" s="38"/>
      <c r="S18" s="208">
        <f>ROUND((ROUND((ROUND((_11_A重度研修１．０*_11・２人),0)*(1+_11・A深夜)),0)*_11・初任),0)+ROUND((ROUND((_11_B重度研修１．０＿１．５*_11・２人),0)*_11・初任),0)</f>
        <v>386</v>
      </c>
      <c r="T18" s="48"/>
    </row>
    <row r="19" spans="1:20" ht="16.5" customHeight="1" x14ac:dyDescent="0.15">
      <c r="A19" s="41">
        <v>11</v>
      </c>
      <c r="B19" s="41">
        <v>4125</v>
      </c>
      <c r="C19" s="74" t="s">
        <v>7808</v>
      </c>
      <c r="D19" s="72"/>
      <c r="F19" s="99"/>
      <c r="G19" s="735" t="s">
        <v>3663</v>
      </c>
      <c r="H19" s="708"/>
      <c r="I19" s="717"/>
      <c r="J19" s="44"/>
      <c r="K19" s="45"/>
      <c r="L19" s="46"/>
      <c r="M19" s="35"/>
      <c r="O19" s="57"/>
      <c r="P19" s="53"/>
      <c r="Q19" s="49"/>
      <c r="R19" s="49"/>
      <c r="S19" s="208">
        <f>ROUND((_11_A重度研修１．０*(1+_11・A深夜)),0)+_11_B重度研修１．０＿２．０</f>
        <v>643</v>
      </c>
      <c r="T19" s="48"/>
    </row>
    <row r="20" spans="1:20" ht="16.5" customHeight="1" x14ac:dyDescent="0.15">
      <c r="A20" s="41">
        <v>11</v>
      </c>
      <c r="B20" s="41">
        <v>4126</v>
      </c>
      <c r="C20" s="74" t="s">
        <v>7809</v>
      </c>
      <c r="D20" s="72"/>
      <c r="F20" s="99"/>
      <c r="G20" s="736"/>
      <c r="H20" s="704"/>
      <c r="I20" s="718"/>
      <c r="J20" s="44" t="s">
        <v>397</v>
      </c>
      <c r="K20" s="45" t="s">
        <v>398</v>
      </c>
      <c r="L20" s="46">
        <v>1</v>
      </c>
      <c r="M20" s="35"/>
      <c r="O20" s="57"/>
      <c r="P20" s="43"/>
      <c r="Q20" s="37"/>
      <c r="R20" s="37"/>
      <c r="S20" s="208">
        <f>ROUND((ROUND((_11_A重度研修１．０*_11・２人),0)*(1+_11・A深夜)),0)+ROUND((_11_B重度研修１．０＿２．０*_11・２人),0)</f>
        <v>643</v>
      </c>
      <c r="T20" s="48"/>
    </row>
    <row r="21" spans="1:20" ht="16.5" customHeight="1" x14ac:dyDescent="0.15">
      <c r="A21" s="41">
        <v>11</v>
      </c>
      <c r="B21" s="41" t="s">
        <v>7810</v>
      </c>
      <c r="C21" s="74" t="s">
        <v>7811</v>
      </c>
      <c r="D21" s="72"/>
      <c r="F21" s="99"/>
      <c r="G21" s="736"/>
      <c r="H21" s="704"/>
      <c r="I21" s="718"/>
      <c r="J21" s="44"/>
      <c r="K21" s="45"/>
      <c r="L21" s="46"/>
      <c r="M21" s="35"/>
      <c r="O21" s="57"/>
      <c r="P21" s="734" t="s">
        <v>404</v>
      </c>
      <c r="Q21" s="49" t="s">
        <v>398</v>
      </c>
      <c r="R21" s="50">
        <f>_11・初任</f>
        <v>0.7</v>
      </c>
      <c r="S21" s="208">
        <f>ROUND((ROUND((_11_A重度研修１．０*(1+_11・A深夜)),0)*_11・初任),0)+ROUND((_11_B重度研修１．０＿２．０*_11・初任),0)</f>
        <v>451</v>
      </c>
      <c r="T21" s="48"/>
    </row>
    <row r="22" spans="1:20" ht="16.5" customHeight="1" x14ac:dyDescent="0.15">
      <c r="A22" s="41">
        <v>11</v>
      </c>
      <c r="B22" s="41" t="s">
        <v>7812</v>
      </c>
      <c r="C22" s="74" t="s">
        <v>7813</v>
      </c>
      <c r="D22" s="72"/>
      <c r="F22" s="99"/>
      <c r="G22" s="182"/>
      <c r="H22" s="170">
        <f>_11_B重度研修１．０＿２．０</f>
        <v>365</v>
      </c>
      <c r="I22" s="12" t="s">
        <v>392</v>
      </c>
      <c r="J22" s="44" t="s">
        <v>397</v>
      </c>
      <c r="K22" s="45" t="s">
        <v>398</v>
      </c>
      <c r="L22" s="46">
        <v>1</v>
      </c>
      <c r="M22" s="35"/>
      <c r="O22" s="57"/>
      <c r="P22" s="706"/>
      <c r="Q22" s="37"/>
      <c r="R22" s="38"/>
      <c r="S22" s="208">
        <f>ROUND((ROUND((ROUND((_11_A重度研修１．０*_11・２人),0)*(1+_11・A深夜)),0)*_11・初任),0)+ROUND((ROUND((_11_B重度研修１．０＿２．０*_11・２人),0)*_11・初任),0)</f>
        <v>451</v>
      </c>
      <c r="T22" s="48"/>
    </row>
    <row r="23" spans="1:20" ht="16.5" customHeight="1" x14ac:dyDescent="0.15">
      <c r="A23" s="41">
        <v>11</v>
      </c>
      <c r="B23" s="41">
        <v>4319</v>
      </c>
      <c r="C23" s="74" t="s">
        <v>7814</v>
      </c>
      <c r="D23" s="707" t="s">
        <v>3601</v>
      </c>
      <c r="E23" s="708"/>
      <c r="F23" s="740"/>
      <c r="G23" s="735" t="s">
        <v>3643</v>
      </c>
      <c r="H23" s="708"/>
      <c r="I23" s="717"/>
      <c r="J23" s="44"/>
      <c r="K23" s="45"/>
      <c r="L23" s="46"/>
      <c r="M23" s="35"/>
      <c r="O23" s="57"/>
      <c r="P23" s="53"/>
      <c r="Q23" s="49"/>
      <c r="R23" s="50"/>
      <c r="S23" s="208">
        <f>ROUND((_11_A重度研修１．５*(1+_11・A深夜)),0)+_11_B重度研修１．５＿０．５</f>
        <v>505</v>
      </c>
      <c r="T23" s="48"/>
    </row>
    <row r="24" spans="1:20" ht="16.5" customHeight="1" x14ac:dyDescent="0.15">
      <c r="A24" s="41">
        <v>11</v>
      </c>
      <c r="B24" s="41">
        <v>4320</v>
      </c>
      <c r="C24" s="74" t="s">
        <v>7815</v>
      </c>
      <c r="D24" s="709"/>
      <c r="E24" s="704"/>
      <c r="F24" s="739"/>
      <c r="G24" s="736"/>
      <c r="H24" s="704"/>
      <c r="I24" s="718"/>
      <c r="J24" s="44" t="s">
        <v>397</v>
      </c>
      <c r="K24" s="45" t="s">
        <v>398</v>
      </c>
      <c r="L24" s="46">
        <v>1</v>
      </c>
      <c r="M24" s="35"/>
      <c r="O24" s="57"/>
      <c r="P24" s="43"/>
      <c r="Q24" s="37"/>
      <c r="R24" s="38"/>
      <c r="S24" s="208">
        <f>ROUND((ROUND((_11_A重度研修１．５*_11・２人),0)*(1+_11・A深夜)),0)+ROUND((_11_B重度研修１．５＿０．５*_11・２人),0)</f>
        <v>505</v>
      </c>
      <c r="T24" s="48"/>
    </row>
    <row r="25" spans="1:20" ht="16.5" customHeight="1" x14ac:dyDescent="0.15">
      <c r="A25" s="41">
        <v>11</v>
      </c>
      <c r="B25" s="41" t="s">
        <v>7816</v>
      </c>
      <c r="C25" s="74" t="s">
        <v>7817</v>
      </c>
      <c r="D25" s="709"/>
      <c r="E25" s="704"/>
      <c r="F25" s="739"/>
      <c r="G25" s="736"/>
      <c r="H25" s="704"/>
      <c r="I25" s="718"/>
      <c r="J25" s="44"/>
      <c r="K25" s="45"/>
      <c r="L25" s="46"/>
      <c r="M25" s="35"/>
      <c r="O25" s="57"/>
      <c r="P25" s="734" t="s">
        <v>404</v>
      </c>
      <c r="Q25" s="49" t="s">
        <v>398</v>
      </c>
      <c r="R25" s="50">
        <f>_11・初任</f>
        <v>0.7</v>
      </c>
      <c r="S25" s="208">
        <f>ROUND((ROUND((_11_A重度研修１．５*(1+_11・A深夜)),0)*_11・初任),0)+ROUND((_11_B重度研修１．５＿０．５*_11・初任),0)</f>
        <v>353</v>
      </c>
      <c r="T25" s="48"/>
    </row>
    <row r="26" spans="1:20" ht="16.5" customHeight="1" x14ac:dyDescent="0.15">
      <c r="A26" s="41">
        <v>11</v>
      </c>
      <c r="B26" s="41" t="s">
        <v>7818</v>
      </c>
      <c r="C26" s="74" t="s">
        <v>7819</v>
      </c>
      <c r="D26" s="72"/>
      <c r="E26" s="170">
        <f>_11_A重度研修１．５</f>
        <v>275</v>
      </c>
      <c r="F26" s="12" t="s">
        <v>392</v>
      </c>
      <c r="G26" s="182"/>
      <c r="H26" s="170">
        <f>_11_B重度研修１．５＿０．５</f>
        <v>92</v>
      </c>
      <c r="I26" s="12" t="s">
        <v>392</v>
      </c>
      <c r="J26" s="44" t="s">
        <v>397</v>
      </c>
      <c r="K26" s="45" t="s">
        <v>398</v>
      </c>
      <c r="L26" s="46">
        <v>1</v>
      </c>
      <c r="M26" s="35"/>
      <c r="O26" s="57"/>
      <c r="P26" s="706"/>
      <c r="Q26" s="37"/>
      <c r="R26" s="38"/>
      <c r="S26" s="208">
        <f>ROUND((ROUND((ROUND((_11_A重度研修１．５*_11・２人),0)*(1+_11・A深夜)),0)*_11・初任),0)+ROUND((ROUND((_11_B重度研修１．５＿０．５*_11・２人),0)*_11・初任),0)</f>
        <v>353</v>
      </c>
      <c r="T26" s="48"/>
    </row>
    <row r="27" spans="1:20" ht="16.5" customHeight="1" x14ac:dyDescent="0.15">
      <c r="A27" s="41">
        <v>11</v>
      </c>
      <c r="B27" s="41">
        <v>4321</v>
      </c>
      <c r="C27" s="74" t="s">
        <v>7820</v>
      </c>
      <c r="D27" s="72"/>
      <c r="F27" s="99"/>
      <c r="G27" s="735" t="s">
        <v>3650</v>
      </c>
      <c r="H27" s="708"/>
      <c r="I27" s="717"/>
      <c r="J27" s="44"/>
      <c r="K27" s="45"/>
      <c r="L27" s="46"/>
      <c r="M27" s="35"/>
      <c r="O27" s="57"/>
      <c r="P27" s="53"/>
      <c r="Q27" s="49"/>
      <c r="R27" s="49"/>
      <c r="S27" s="208">
        <f>ROUND((_11_A重度研修１．５*(1+_11・A深夜)),0)+_11_B重度研修１．５＿１．０</f>
        <v>596</v>
      </c>
      <c r="T27" s="48"/>
    </row>
    <row r="28" spans="1:20" ht="16.5" customHeight="1" x14ac:dyDescent="0.15">
      <c r="A28" s="41">
        <v>11</v>
      </c>
      <c r="B28" s="41">
        <v>4322</v>
      </c>
      <c r="C28" s="74" t="s">
        <v>7821</v>
      </c>
      <c r="D28" s="72"/>
      <c r="F28" s="99"/>
      <c r="G28" s="736"/>
      <c r="H28" s="704"/>
      <c r="I28" s="718"/>
      <c r="J28" s="44" t="s">
        <v>397</v>
      </c>
      <c r="K28" s="45" t="s">
        <v>398</v>
      </c>
      <c r="L28" s="46">
        <v>1</v>
      </c>
      <c r="M28" s="35"/>
      <c r="O28" s="57"/>
      <c r="P28" s="43"/>
      <c r="Q28" s="37"/>
      <c r="R28" s="37"/>
      <c r="S28" s="208">
        <f>ROUND((ROUND((_11_A重度研修１．５*_11・２人),0)*(1+_11・A深夜)),0)+ROUND((_11_B重度研修１．５＿１．０*_11・２人),0)</f>
        <v>596</v>
      </c>
      <c r="T28" s="48"/>
    </row>
    <row r="29" spans="1:20" ht="16.5" customHeight="1" x14ac:dyDescent="0.15">
      <c r="A29" s="41">
        <v>11</v>
      </c>
      <c r="B29" s="41" t="s">
        <v>7822</v>
      </c>
      <c r="C29" s="74" t="s">
        <v>7823</v>
      </c>
      <c r="D29" s="72"/>
      <c r="F29" s="99"/>
      <c r="G29" s="736"/>
      <c r="H29" s="704"/>
      <c r="I29" s="718"/>
      <c r="J29" s="44"/>
      <c r="K29" s="45"/>
      <c r="L29" s="46"/>
      <c r="M29" s="35"/>
      <c r="O29" s="57"/>
      <c r="P29" s="734" t="s">
        <v>404</v>
      </c>
      <c r="Q29" s="49" t="s">
        <v>398</v>
      </c>
      <c r="R29" s="50">
        <f>_11・初任</f>
        <v>0.7</v>
      </c>
      <c r="S29" s="208">
        <f>ROUND((ROUND((_11_A重度研修１．５*(1+_11・A深夜)),0)*_11・初任),0)+ROUND((_11_B重度研修１．５＿１．０*_11・初任),0)</f>
        <v>417</v>
      </c>
      <c r="T29" s="48"/>
    </row>
    <row r="30" spans="1:20" ht="16.5" customHeight="1" x14ac:dyDescent="0.15">
      <c r="A30" s="41">
        <v>11</v>
      </c>
      <c r="B30" s="41" t="s">
        <v>7824</v>
      </c>
      <c r="C30" s="74" t="s">
        <v>7825</v>
      </c>
      <c r="D30" s="72"/>
      <c r="F30" s="99"/>
      <c r="G30" s="182"/>
      <c r="H30" s="168">
        <f>_11_B重度研修１．５＿１．０</f>
        <v>183</v>
      </c>
      <c r="I30" s="12" t="s">
        <v>392</v>
      </c>
      <c r="J30" s="44" t="s">
        <v>397</v>
      </c>
      <c r="K30" s="45" t="s">
        <v>398</v>
      </c>
      <c r="L30" s="46">
        <v>1</v>
      </c>
      <c r="M30" s="35"/>
      <c r="O30" s="57"/>
      <c r="P30" s="706"/>
      <c r="Q30" s="37"/>
      <c r="R30" s="38"/>
      <c r="S30" s="208">
        <f>ROUND((ROUND((ROUND((_11_A重度研修１．５*_11・２人),0)*(1+_11・A深夜)),0)*_11・初任),0)+ROUND((ROUND((_11_B重度研修１．５＿１．０*_11・２人),0)*_11・初任),0)</f>
        <v>417</v>
      </c>
      <c r="T30" s="48"/>
    </row>
    <row r="31" spans="1:20" ht="16.5" customHeight="1" x14ac:dyDescent="0.15">
      <c r="A31" s="41">
        <v>11</v>
      </c>
      <c r="B31" s="41">
        <v>4323</v>
      </c>
      <c r="C31" s="74" t="s">
        <v>7826</v>
      </c>
      <c r="D31" s="72"/>
      <c r="F31" s="99"/>
      <c r="G31" s="735" t="s">
        <v>1253</v>
      </c>
      <c r="H31" s="708"/>
      <c r="I31" s="717"/>
      <c r="J31" s="44"/>
      <c r="K31" s="45"/>
      <c r="L31" s="46"/>
      <c r="M31" s="35"/>
      <c r="O31" s="57"/>
      <c r="P31" s="53"/>
      <c r="Q31" s="49"/>
      <c r="R31" s="50"/>
      <c r="S31" s="208">
        <f>ROUND((_11_A重度研修１．５*(1+_11・A深夜)),0)+_11_B重度研修１．５＿１．５</f>
        <v>688</v>
      </c>
      <c r="T31" s="48"/>
    </row>
    <row r="32" spans="1:20" ht="16.5" customHeight="1" x14ac:dyDescent="0.15">
      <c r="A32" s="41">
        <v>11</v>
      </c>
      <c r="B32" s="41">
        <v>4324</v>
      </c>
      <c r="C32" s="74" t="s">
        <v>7827</v>
      </c>
      <c r="D32" s="72"/>
      <c r="F32" s="99"/>
      <c r="G32" s="736"/>
      <c r="H32" s="704"/>
      <c r="I32" s="718"/>
      <c r="J32" s="44" t="s">
        <v>397</v>
      </c>
      <c r="K32" s="45" t="s">
        <v>398</v>
      </c>
      <c r="L32" s="46">
        <v>1</v>
      </c>
      <c r="M32" s="35"/>
      <c r="O32" s="57"/>
      <c r="P32" s="43"/>
      <c r="Q32" s="37"/>
      <c r="R32" s="38"/>
      <c r="S32" s="208">
        <f>ROUND((ROUND((_11_A重度研修１．５*_11・２人),0)*(1+_11・A深夜)),0)+ROUND((_11_B重度研修１．５＿１．５*_11・２人),0)</f>
        <v>688</v>
      </c>
      <c r="T32" s="48"/>
    </row>
    <row r="33" spans="1:20" ht="16.5" customHeight="1" x14ac:dyDescent="0.15">
      <c r="A33" s="41">
        <v>11</v>
      </c>
      <c r="B33" s="41" t="s">
        <v>7828</v>
      </c>
      <c r="C33" s="74" t="s">
        <v>7829</v>
      </c>
      <c r="D33" s="72"/>
      <c r="F33" s="99"/>
      <c r="G33" s="736"/>
      <c r="H33" s="704"/>
      <c r="I33" s="718"/>
      <c r="J33" s="44"/>
      <c r="K33" s="45"/>
      <c r="L33" s="46"/>
      <c r="M33" s="35"/>
      <c r="O33" s="57"/>
      <c r="P33" s="734" t="s">
        <v>404</v>
      </c>
      <c r="Q33" s="49" t="s">
        <v>398</v>
      </c>
      <c r="R33" s="50">
        <f>_11・初任</f>
        <v>0.7</v>
      </c>
      <c r="S33" s="208">
        <f>ROUND((ROUND((_11_A重度研修１．５*(1+_11・A深夜)),0)*_11・初任),0)+ROUND((_11_B重度研修１．５＿１．５*_11・初任),0)</f>
        <v>482</v>
      </c>
      <c r="T33" s="48"/>
    </row>
    <row r="34" spans="1:20" ht="16.5" customHeight="1" x14ac:dyDescent="0.15">
      <c r="A34" s="41">
        <v>11</v>
      </c>
      <c r="B34" s="41" t="s">
        <v>7830</v>
      </c>
      <c r="C34" s="74" t="s">
        <v>7831</v>
      </c>
      <c r="D34" s="72"/>
      <c r="F34" s="99"/>
      <c r="G34" s="182"/>
      <c r="H34" s="170">
        <f>_11_B重度研修１．５＿１．５</f>
        <v>275</v>
      </c>
      <c r="I34" s="12" t="s">
        <v>392</v>
      </c>
      <c r="J34" s="44" t="s">
        <v>397</v>
      </c>
      <c r="K34" s="45" t="s">
        <v>398</v>
      </c>
      <c r="L34" s="46">
        <v>1</v>
      </c>
      <c r="M34" s="35"/>
      <c r="O34" s="57"/>
      <c r="P34" s="706"/>
      <c r="Q34" s="37"/>
      <c r="R34" s="38"/>
      <c r="S34" s="208">
        <f>ROUND((ROUND((ROUND((_11_A重度研修１．５*_11・２人),0)*(1+_11・A深夜)),0)*_11・初任),0)+ROUND((ROUND((_11_B重度研修１．５＿１．５*_11・２人),0)*_11・初任),0)</f>
        <v>482</v>
      </c>
      <c r="T34" s="48"/>
    </row>
    <row r="35" spans="1:20" ht="16.5" customHeight="1" x14ac:dyDescent="0.15">
      <c r="A35" s="41">
        <v>11</v>
      </c>
      <c r="B35" s="41">
        <v>4325</v>
      </c>
      <c r="C35" s="74" t="s">
        <v>7832</v>
      </c>
      <c r="D35" s="707" t="s">
        <v>3621</v>
      </c>
      <c r="E35" s="708"/>
      <c r="F35" s="740"/>
      <c r="G35" s="735" t="s">
        <v>3643</v>
      </c>
      <c r="H35" s="708"/>
      <c r="I35" s="717"/>
      <c r="J35" s="44"/>
      <c r="K35" s="45"/>
      <c r="L35" s="46"/>
      <c r="M35" s="35"/>
      <c r="O35" s="57"/>
      <c r="P35" s="53"/>
      <c r="Q35" s="49"/>
      <c r="R35" s="49"/>
      <c r="S35" s="208">
        <f>ROUND((_11_A重度研修２．０*(1+_11・A深夜)),0)+_11_B重度研修２．０＿０．５</f>
        <v>642</v>
      </c>
      <c r="T35" s="48"/>
    </row>
    <row r="36" spans="1:20" ht="16.5" customHeight="1" x14ac:dyDescent="0.15">
      <c r="A36" s="41">
        <v>11</v>
      </c>
      <c r="B36" s="41">
        <v>4326</v>
      </c>
      <c r="C36" s="74" t="s">
        <v>7833</v>
      </c>
      <c r="D36" s="709"/>
      <c r="E36" s="704"/>
      <c r="F36" s="739"/>
      <c r="G36" s="736"/>
      <c r="H36" s="704"/>
      <c r="I36" s="718"/>
      <c r="J36" s="44" t="s">
        <v>397</v>
      </c>
      <c r="K36" s="45" t="s">
        <v>398</v>
      </c>
      <c r="L36" s="46">
        <v>1</v>
      </c>
      <c r="M36" s="35"/>
      <c r="O36" s="57"/>
      <c r="P36" s="43"/>
      <c r="Q36" s="37"/>
      <c r="R36" s="37"/>
      <c r="S36" s="208">
        <f>ROUND((ROUND((_11_A重度研修２．０*_11・２人),0)*(1+_11・A深夜)),0)+ROUND((_11_B重度研修２．０＿０．５*_11・２人),0)</f>
        <v>642</v>
      </c>
      <c r="T36" s="48"/>
    </row>
    <row r="37" spans="1:20" ht="16.5" customHeight="1" x14ac:dyDescent="0.15">
      <c r="A37" s="41">
        <v>11</v>
      </c>
      <c r="B37" s="41" t="s">
        <v>7834</v>
      </c>
      <c r="C37" s="74" t="s">
        <v>7835</v>
      </c>
      <c r="D37" s="709"/>
      <c r="E37" s="704"/>
      <c r="F37" s="739"/>
      <c r="G37" s="736"/>
      <c r="H37" s="704"/>
      <c r="I37" s="718"/>
      <c r="J37" s="44"/>
      <c r="K37" s="45"/>
      <c r="L37" s="46"/>
      <c r="M37" s="35"/>
      <c r="O37" s="57"/>
      <c r="P37" s="734" t="s">
        <v>404</v>
      </c>
      <c r="Q37" s="49" t="s">
        <v>398</v>
      </c>
      <c r="R37" s="50">
        <f>_11・初任</f>
        <v>0.7</v>
      </c>
      <c r="S37" s="208">
        <f>ROUND((ROUND((_11_A重度研修２．０*(1+_11・A深夜)),0)*_11・初任),0)+ROUND((_11_B重度研修２．０＿０．５*_11・初任),0)</f>
        <v>450</v>
      </c>
      <c r="T37" s="48"/>
    </row>
    <row r="38" spans="1:20" ht="16.5" customHeight="1" x14ac:dyDescent="0.15">
      <c r="A38" s="41">
        <v>11</v>
      </c>
      <c r="B38" s="41" t="s">
        <v>7836</v>
      </c>
      <c r="C38" s="74" t="s">
        <v>7837</v>
      </c>
      <c r="D38" s="72"/>
      <c r="E38" s="170">
        <f>_11_A重度研修２．０</f>
        <v>367</v>
      </c>
      <c r="F38" s="12" t="s">
        <v>392</v>
      </c>
      <c r="G38" s="182"/>
      <c r="H38" s="168">
        <f>_11_B重度研修２．０＿０．５</f>
        <v>91</v>
      </c>
      <c r="I38" s="12" t="s">
        <v>392</v>
      </c>
      <c r="J38" s="44" t="s">
        <v>397</v>
      </c>
      <c r="K38" s="45" t="s">
        <v>398</v>
      </c>
      <c r="L38" s="46">
        <v>1</v>
      </c>
      <c r="M38" s="35"/>
      <c r="O38" s="57"/>
      <c r="P38" s="706"/>
      <c r="Q38" s="37"/>
      <c r="R38" s="38"/>
      <c r="S38" s="208">
        <f>ROUND((ROUND((ROUND((_11_A重度研修２．０*_11・２人),0)*(1+_11・A深夜)),0)*_11・初任),0)+ROUND((ROUND((_11_B重度研修２．０＿０．５*_11・２人),0)*_11・初任),0)</f>
        <v>450</v>
      </c>
      <c r="T38" s="48"/>
    </row>
    <row r="39" spans="1:20" ht="16.5" customHeight="1" x14ac:dyDescent="0.15">
      <c r="A39" s="41">
        <v>11</v>
      </c>
      <c r="B39" s="41">
        <v>4127</v>
      </c>
      <c r="C39" s="74" t="s">
        <v>7838</v>
      </c>
      <c r="D39" s="72"/>
      <c r="F39" s="99"/>
      <c r="G39" s="735" t="s">
        <v>3650</v>
      </c>
      <c r="H39" s="708"/>
      <c r="I39" s="717"/>
      <c r="J39" s="44"/>
      <c r="K39" s="45"/>
      <c r="L39" s="46"/>
      <c r="M39" s="35"/>
      <c r="O39" s="57"/>
      <c r="P39" s="53"/>
      <c r="Q39" s="49"/>
      <c r="R39" s="50"/>
      <c r="S39" s="208">
        <f>ROUND((_11_A重度研修２．０*(1+_11・A深夜)),0)+_11_B重度研修２．０＿１．０</f>
        <v>734</v>
      </c>
      <c r="T39" s="48"/>
    </row>
    <row r="40" spans="1:20" ht="16.5" customHeight="1" x14ac:dyDescent="0.15">
      <c r="A40" s="41">
        <v>11</v>
      </c>
      <c r="B40" s="41">
        <v>4128</v>
      </c>
      <c r="C40" s="74" t="s">
        <v>7839</v>
      </c>
      <c r="D40" s="72"/>
      <c r="F40" s="99"/>
      <c r="G40" s="736"/>
      <c r="H40" s="704"/>
      <c r="I40" s="718"/>
      <c r="J40" s="44" t="s">
        <v>397</v>
      </c>
      <c r="K40" s="45" t="s">
        <v>398</v>
      </c>
      <c r="L40" s="46">
        <v>1</v>
      </c>
      <c r="M40" s="35"/>
      <c r="O40" s="57"/>
      <c r="P40" s="43"/>
      <c r="Q40" s="37"/>
      <c r="R40" s="38"/>
      <c r="S40" s="208">
        <f>ROUND((ROUND((_11_A重度研修２．０*_11・２人),0)*(1+_11・A深夜)),0)+ROUND((_11_B重度研修２．０＿１．０*_11・２人),0)</f>
        <v>734</v>
      </c>
      <c r="T40" s="48"/>
    </row>
    <row r="41" spans="1:20" ht="16.5" customHeight="1" x14ac:dyDescent="0.15">
      <c r="A41" s="41">
        <v>11</v>
      </c>
      <c r="B41" s="41" t="s">
        <v>7840</v>
      </c>
      <c r="C41" s="74" t="s">
        <v>7841</v>
      </c>
      <c r="D41" s="72"/>
      <c r="F41" s="99"/>
      <c r="G41" s="736"/>
      <c r="H41" s="704"/>
      <c r="I41" s="718"/>
      <c r="J41" s="44"/>
      <c r="K41" s="45"/>
      <c r="L41" s="46"/>
      <c r="M41" s="35"/>
      <c r="O41" s="57"/>
      <c r="P41" s="734" t="s">
        <v>404</v>
      </c>
      <c r="Q41" s="49" t="s">
        <v>398</v>
      </c>
      <c r="R41" s="50">
        <f>_11・初任</f>
        <v>0.7</v>
      </c>
      <c r="S41" s="208">
        <f>ROUND((ROUND((_11_A重度研修２．０*(1+_11・A深夜)),0)*_11・初任),0)+ROUND((_11_B重度研修２．０＿１．０*_11・初任),0)</f>
        <v>514</v>
      </c>
      <c r="T41" s="48"/>
    </row>
    <row r="42" spans="1:20" ht="16.5" customHeight="1" x14ac:dyDescent="0.15">
      <c r="A42" s="41">
        <v>11</v>
      </c>
      <c r="B42" s="41" t="s">
        <v>7842</v>
      </c>
      <c r="C42" s="74" t="s">
        <v>7843</v>
      </c>
      <c r="D42" s="72"/>
      <c r="F42" s="99"/>
      <c r="G42" s="182"/>
      <c r="H42" s="168">
        <f>_11_B重度研修２．０＿１．０</f>
        <v>183</v>
      </c>
      <c r="I42" s="12" t="s">
        <v>392</v>
      </c>
      <c r="J42" s="44" t="s">
        <v>397</v>
      </c>
      <c r="K42" s="45" t="s">
        <v>398</v>
      </c>
      <c r="L42" s="46">
        <v>1</v>
      </c>
      <c r="M42" s="35"/>
      <c r="O42" s="57"/>
      <c r="P42" s="706"/>
      <c r="Q42" s="37"/>
      <c r="R42" s="38"/>
      <c r="S42" s="208">
        <f>ROUND((ROUND((ROUND((_11_A重度研修２．０*_11・２人),0)*(1+_11・A深夜)),0)*_11・初任),0)+ROUND((ROUND((_11_B重度研修２．０＿１．０*_11・２人),0)*_11・初任),0)</f>
        <v>514</v>
      </c>
      <c r="T42" s="48"/>
    </row>
    <row r="43" spans="1:20" ht="16.5" customHeight="1" x14ac:dyDescent="0.15">
      <c r="A43" s="41">
        <v>11</v>
      </c>
      <c r="B43" s="41">
        <v>4327</v>
      </c>
      <c r="C43" s="74" t="s">
        <v>7844</v>
      </c>
      <c r="D43" s="707" t="s">
        <v>3634</v>
      </c>
      <c r="E43" s="708"/>
      <c r="F43" s="740"/>
      <c r="G43" s="735" t="s">
        <v>3643</v>
      </c>
      <c r="H43" s="708"/>
      <c r="I43" s="717"/>
      <c r="J43" s="44"/>
      <c r="K43" s="45"/>
      <c r="L43" s="46"/>
      <c r="M43" s="35"/>
      <c r="O43" s="57"/>
      <c r="P43" s="53"/>
      <c r="Q43" s="49"/>
      <c r="R43" s="49"/>
      <c r="S43" s="208">
        <f>ROUND((_11_A重度研修２．５*(1+_11・A深夜)),0)+_11_B重度研修２．５＿０．５</f>
        <v>779</v>
      </c>
      <c r="T43" s="48"/>
    </row>
    <row r="44" spans="1:20" ht="16.5" customHeight="1" x14ac:dyDescent="0.15">
      <c r="A44" s="41">
        <v>11</v>
      </c>
      <c r="B44" s="41">
        <v>4328</v>
      </c>
      <c r="C44" s="74" t="s">
        <v>7845</v>
      </c>
      <c r="D44" s="709"/>
      <c r="E44" s="704"/>
      <c r="F44" s="739"/>
      <c r="G44" s="736"/>
      <c r="H44" s="704"/>
      <c r="I44" s="718"/>
      <c r="J44" s="44" t="s">
        <v>397</v>
      </c>
      <c r="K44" s="45" t="s">
        <v>398</v>
      </c>
      <c r="L44" s="46">
        <v>1</v>
      </c>
      <c r="M44" s="35"/>
      <c r="O44" s="57"/>
      <c r="P44" s="43"/>
      <c r="Q44" s="37"/>
      <c r="R44" s="37"/>
      <c r="S44" s="208">
        <f>ROUND((ROUND((_11_A重度研修２．５*_11・２人),0)*(1+_11・A深夜)),0)+ROUND((_11_B重度研修２．５＿０．５*_11・２人),0)</f>
        <v>779</v>
      </c>
      <c r="T44" s="48"/>
    </row>
    <row r="45" spans="1:20" ht="16.5" customHeight="1" x14ac:dyDescent="0.15">
      <c r="A45" s="41">
        <v>11</v>
      </c>
      <c r="B45" s="41" t="s">
        <v>7846</v>
      </c>
      <c r="C45" s="74" t="s">
        <v>7847</v>
      </c>
      <c r="D45" s="709"/>
      <c r="E45" s="704"/>
      <c r="F45" s="739"/>
      <c r="G45" s="736"/>
      <c r="H45" s="704"/>
      <c r="I45" s="718"/>
      <c r="J45" s="44"/>
      <c r="K45" s="45"/>
      <c r="L45" s="46"/>
      <c r="M45" s="35"/>
      <c r="O45" s="57"/>
      <c r="P45" s="734" t="s">
        <v>404</v>
      </c>
      <c r="Q45" s="49" t="s">
        <v>398</v>
      </c>
      <c r="R45" s="50">
        <f>_11・初任</f>
        <v>0.7</v>
      </c>
      <c r="S45" s="208">
        <f>ROUND((ROUND((_11_A重度研修２．５*(1+_11・A深夜)),0)*_11・初任),0)+ROUND((_11_B重度研修２．５＿０．５*_11・初任),0)</f>
        <v>545</v>
      </c>
      <c r="T45" s="48"/>
    </row>
    <row r="46" spans="1:20" ht="16.5" customHeight="1" x14ac:dyDescent="0.15">
      <c r="A46" s="41">
        <v>11</v>
      </c>
      <c r="B46" s="41" t="s">
        <v>7848</v>
      </c>
      <c r="C46" s="74" t="s">
        <v>7849</v>
      </c>
      <c r="D46" s="122"/>
      <c r="E46" s="176">
        <f>_11_A重度研修２．５</f>
        <v>458</v>
      </c>
      <c r="F46" s="37" t="s">
        <v>392</v>
      </c>
      <c r="G46" s="183"/>
      <c r="H46" s="176">
        <f>_11_B重度研修２．５＿０．５</f>
        <v>92</v>
      </c>
      <c r="I46" s="37" t="s">
        <v>392</v>
      </c>
      <c r="J46" s="44" t="s">
        <v>397</v>
      </c>
      <c r="K46" s="45" t="s">
        <v>398</v>
      </c>
      <c r="L46" s="46">
        <v>1</v>
      </c>
      <c r="M46" s="43"/>
      <c r="N46" s="38"/>
      <c r="O46" s="79"/>
      <c r="P46" s="706"/>
      <c r="Q46" s="37"/>
      <c r="R46" s="38"/>
      <c r="S46" s="208">
        <f>ROUND((ROUND((ROUND((_11_A重度研修２．５*_11・２人),0)*(1+_11・A深夜)),0)*_11・初任),0)+ROUND((ROUND((_11_B重度研修２．５＿０．５*_11・２人),0)*_11・初任),0)</f>
        <v>545</v>
      </c>
      <c r="T46" s="63"/>
    </row>
    <row r="47" spans="1:20" ht="16.5" customHeight="1" x14ac:dyDescent="0.15">
      <c r="G47" s="99"/>
    </row>
  </sheetData>
  <mergeCells count="27">
    <mergeCell ref="D43:F45"/>
    <mergeCell ref="G43:I45"/>
    <mergeCell ref="P45:P46"/>
    <mergeCell ref="D23:F25"/>
    <mergeCell ref="G23:I25"/>
    <mergeCell ref="P25:P26"/>
    <mergeCell ref="G27:I29"/>
    <mergeCell ref="P29:P30"/>
    <mergeCell ref="G31:I33"/>
    <mergeCell ref="P33:P34"/>
    <mergeCell ref="D35:F37"/>
    <mergeCell ref="G35:I37"/>
    <mergeCell ref="P37:P38"/>
    <mergeCell ref="G39:I41"/>
    <mergeCell ref="P41:P42"/>
    <mergeCell ref="G11:I13"/>
    <mergeCell ref="P13:P14"/>
    <mergeCell ref="G15:I17"/>
    <mergeCell ref="P17:P18"/>
    <mergeCell ref="G19:I21"/>
    <mergeCell ref="P21:P22"/>
    <mergeCell ref="P9:P10"/>
    <mergeCell ref="D6:F6"/>
    <mergeCell ref="G6:I6"/>
    <mergeCell ref="D7:F9"/>
    <mergeCell ref="G7:I9"/>
    <mergeCell ref="O8:O9"/>
  </mergeCells>
  <phoneticPr fontId="1"/>
  <printOptions horizontalCentered="1"/>
  <pageMargins left="0.70866141732283472" right="0.70866141732283472" top="0.74803149606299213" bottom="0.74803149606299213" header="0.31496062992125984" footer="0.31496062992125984"/>
  <pageSetup paperSize="9" scale="53" fitToHeight="0" orientation="portrait" r:id="rId1"/>
  <headerFooter>
    <oddHeader>&amp;R&amp;"ＭＳ Ｐゴシック"&amp;9居宅介護</oddHeader>
    <oddFooter>&amp;C&amp;"ＭＳ Ｐゴシック"&amp;14&amp;P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2">
    <pageSetUpPr fitToPage="1"/>
  </sheetPr>
  <dimension ref="A1:Y47"/>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3.125" style="10" bestFit="1" customWidth="1"/>
    <col min="4" max="4" width="2.5" style="10" customWidth="1"/>
    <col min="5" max="5" width="4.875" style="10" customWidth="1"/>
    <col min="6" max="6" width="4.5" style="117" bestFit="1" customWidth="1"/>
    <col min="7" max="7" width="2.5" style="117" customWidth="1"/>
    <col min="8" max="8" width="4.875" style="10" customWidth="1"/>
    <col min="9" max="9" width="4.5" style="117" bestFit="1" customWidth="1"/>
    <col min="10" max="10" width="4.875" style="10" customWidth="1"/>
    <col min="11" max="11" width="4.5" style="12" bestFit="1" customWidth="1"/>
    <col min="12" max="12" width="24.875" style="14" bestFit="1" customWidth="1"/>
    <col min="13" max="13" width="3.5" style="12" bestFit="1" customWidth="1"/>
    <col min="14" max="14" width="5.5" style="13" bestFit="1" customWidth="1"/>
    <col min="15" max="15" width="3.5" style="12" bestFit="1" customWidth="1"/>
    <col min="16" max="16" width="4.5" style="13" bestFit="1" customWidth="1"/>
    <col min="17" max="17" width="5.5" style="12" bestFit="1" customWidth="1"/>
    <col min="18" max="18" width="3.5" style="12" bestFit="1" customWidth="1"/>
    <col min="19" max="19" width="4.5" style="13" bestFit="1" customWidth="1"/>
    <col min="20" max="20" width="5.5" style="12" bestFit="1" customWidth="1"/>
    <col min="21" max="21" width="17.875" style="12" customWidth="1"/>
    <col min="22" max="22" width="3.5" style="12" bestFit="1" customWidth="1"/>
    <col min="23" max="23" width="4.5" style="13" bestFit="1" customWidth="1"/>
    <col min="24" max="24" width="7.125" style="206" customWidth="1"/>
    <col min="25" max="25" width="8.5" style="16" customWidth="1"/>
    <col min="26" max="16384" width="8.875" style="12"/>
  </cols>
  <sheetData>
    <row r="1" spans="1:25" ht="17.100000000000001" customHeight="1" x14ac:dyDescent="0.15"/>
    <row r="2" spans="1:25" ht="17.100000000000001" customHeight="1" x14ac:dyDescent="0.15"/>
    <row r="3" spans="1:25" ht="17.100000000000001" customHeight="1" x14ac:dyDescent="0.15">
      <c r="G3" s="99"/>
    </row>
    <row r="4" spans="1:25" ht="17.100000000000001" customHeight="1" x14ac:dyDescent="0.15">
      <c r="B4" s="17" t="s">
        <v>7850</v>
      </c>
      <c r="E4" s="71"/>
      <c r="G4" s="99"/>
    </row>
    <row r="5" spans="1:25" ht="16.5" customHeight="1" x14ac:dyDescent="0.15">
      <c r="A5" s="19" t="s">
        <v>384</v>
      </c>
      <c r="B5" s="20"/>
      <c r="C5" s="21" t="s">
        <v>385</v>
      </c>
      <c r="D5" s="166"/>
      <c r="E5" s="23" t="s">
        <v>386</v>
      </c>
      <c r="F5" s="118"/>
      <c r="G5" s="118"/>
      <c r="H5" s="23"/>
      <c r="I5" s="118"/>
      <c r="J5" s="23"/>
      <c r="K5" s="23"/>
      <c r="L5" s="23"/>
      <c r="M5" s="23"/>
      <c r="N5" s="24"/>
      <c r="O5" s="23"/>
      <c r="P5" s="24"/>
      <c r="Q5" s="23"/>
      <c r="R5" s="23"/>
      <c r="S5" s="24"/>
      <c r="T5" s="23"/>
      <c r="U5" s="23"/>
      <c r="V5" s="23"/>
      <c r="W5" s="24"/>
      <c r="X5" s="21" t="s">
        <v>387</v>
      </c>
      <c r="Y5" s="21" t="s">
        <v>388</v>
      </c>
    </row>
    <row r="6" spans="1:25" ht="16.5" customHeight="1" x14ac:dyDescent="0.15">
      <c r="A6" s="26" t="s">
        <v>389</v>
      </c>
      <c r="B6" s="26" t="s">
        <v>390</v>
      </c>
      <c r="C6" s="27"/>
      <c r="D6" s="726" t="s">
        <v>1032</v>
      </c>
      <c r="E6" s="731"/>
      <c r="F6" s="737"/>
      <c r="G6" s="738" t="s">
        <v>1033</v>
      </c>
      <c r="H6" s="731"/>
      <c r="I6" s="727"/>
      <c r="J6" s="29"/>
      <c r="K6" s="29"/>
      <c r="L6" s="29"/>
      <c r="M6" s="29"/>
      <c r="N6" s="30"/>
      <c r="O6" s="29"/>
      <c r="P6" s="30"/>
      <c r="Q6" s="29"/>
      <c r="R6" s="29"/>
      <c r="S6" s="30"/>
      <c r="T6" s="29"/>
      <c r="U6" s="29"/>
      <c r="V6" s="29"/>
      <c r="W6" s="30"/>
      <c r="X6" s="32" t="s">
        <v>391</v>
      </c>
      <c r="Y6" s="32" t="s">
        <v>392</v>
      </c>
    </row>
    <row r="7" spans="1:25" ht="16.5" customHeight="1" x14ac:dyDescent="0.15">
      <c r="A7" s="33">
        <v>11</v>
      </c>
      <c r="B7" s="33">
        <v>4329</v>
      </c>
      <c r="C7" s="34" t="s">
        <v>7851</v>
      </c>
      <c r="D7" s="709" t="s">
        <v>3572</v>
      </c>
      <c r="E7" s="704"/>
      <c r="F7" s="718"/>
      <c r="G7" s="709" t="s">
        <v>3602</v>
      </c>
      <c r="H7" s="704"/>
      <c r="I7" s="718"/>
      <c r="J7" s="709" t="s">
        <v>3643</v>
      </c>
      <c r="K7" s="718"/>
      <c r="L7" s="36"/>
      <c r="M7" s="37"/>
      <c r="N7" s="38"/>
      <c r="O7" s="35" t="s">
        <v>1036</v>
      </c>
      <c r="Q7" s="57"/>
      <c r="R7" s="35" t="s">
        <v>1037</v>
      </c>
      <c r="T7" s="57"/>
      <c r="U7" s="35"/>
      <c r="X7" s="207">
        <f>ROUND((_11_A重度研修１．０*(1+_11・A深夜)),0)+ROUND((_11_B重度研修１．０＿０．５*(1+_11・B早朝)),0)+_11_C重度研修１．０＿０．５＿０．５</f>
        <v>483</v>
      </c>
      <c r="Y7" s="40" t="s">
        <v>395</v>
      </c>
    </row>
    <row r="8" spans="1:25" ht="16.5" customHeight="1" x14ac:dyDescent="0.15">
      <c r="A8" s="41">
        <v>11</v>
      </c>
      <c r="B8" s="41">
        <v>4330</v>
      </c>
      <c r="C8" s="74" t="s">
        <v>7852</v>
      </c>
      <c r="D8" s="709"/>
      <c r="E8" s="704"/>
      <c r="F8" s="718"/>
      <c r="G8" s="709"/>
      <c r="H8" s="704"/>
      <c r="I8" s="718"/>
      <c r="J8" s="709"/>
      <c r="K8" s="718"/>
      <c r="L8" s="44" t="s">
        <v>397</v>
      </c>
      <c r="M8" s="45" t="s">
        <v>398</v>
      </c>
      <c r="N8" s="46">
        <v>1</v>
      </c>
      <c r="O8" s="35" t="s">
        <v>398</v>
      </c>
      <c r="P8" s="13">
        <v>0.5</v>
      </c>
      <c r="Q8" s="728" t="s">
        <v>676</v>
      </c>
      <c r="R8" s="12" t="s">
        <v>398</v>
      </c>
      <c r="S8" s="13">
        <v>0.25</v>
      </c>
      <c r="T8" s="728" t="s">
        <v>676</v>
      </c>
      <c r="U8" s="43"/>
      <c r="V8" s="37"/>
      <c r="W8" s="38"/>
      <c r="X8" s="208">
        <f>ROUND((ROUND((_11_A重度研修１．０*_11・２人),0)*(1+_11・A深夜)),0)+ROUND((ROUND((_11_B重度研修１．０＿０．５*_11・２人),0)*(1+_11・B早朝)),0)+ROUND((_11_C重度研修１．０＿０．５＿０．５*_11・２人),0)</f>
        <v>483</v>
      </c>
      <c r="Y8" s="48"/>
    </row>
    <row r="9" spans="1:25" ht="16.5" customHeight="1" x14ac:dyDescent="0.15">
      <c r="A9" s="41">
        <v>11</v>
      </c>
      <c r="B9" s="41" t="s">
        <v>7853</v>
      </c>
      <c r="C9" s="74" t="s">
        <v>7854</v>
      </c>
      <c r="D9" s="709"/>
      <c r="E9" s="704"/>
      <c r="F9" s="718"/>
      <c r="G9" s="709"/>
      <c r="H9" s="704"/>
      <c r="I9" s="718"/>
      <c r="J9" s="709"/>
      <c r="K9" s="718"/>
      <c r="L9" s="44"/>
      <c r="M9" s="45"/>
      <c r="N9" s="46"/>
      <c r="O9" s="35"/>
      <c r="Q9" s="728"/>
      <c r="T9" s="728"/>
      <c r="U9" s="734" t="s">
        <v>404</v>
      </c>
      <c r="V9" s="49" t="s">
        <v>398</v>
      </c>
      <c r="W9" s="50">
        <f>_11・初任</f>
        <v>0.7</v>
      </c>
      <c r="X9" s="208">
        <f>ROUND((ROUND((_11_A重度研修１．０*(1+_11・A深夜)),0)*_11・初任),0)+ROUND((ROUND((_11_B重度研修１．０＿０．５*(1+_11・B早朝)),0)*_11・初任),0)+ROUND((_11_C重度研修１．０＿０．５＿０．５*_11・初任),0)</f>
        <v>338</v>
      </c>
      <c r="Y9" s="48"/>
    </row>
    <row r="10" spans="1:25" ht="16.5" customHeight="1" x14ac:dyDescent="0.15">
      <c r="A10" s="41">
        <v>11</v>
      </c>
      <c r="B10" s="41" t="s">
        <v>7855</v>
      </c>
      <c r="C10" s="74" t="s">
        <v>7856</v>
      </c>
      <c r="D10" s="72"/>
      <c r="E10" s="170">
        <f>_11_A重度研修１．０</f>
        <v>185</v>
      </c>
      <c r="F10" s="12" t="s">
        <v>392</v>
      </c>
      <c r="G10" s="178"/>
      <c r="H10" s="170">
        <f>_11_B重度研修１．０＿０．５</f>
        <v>90</v>
      </c>
      <c r="I10" s="171" t="s">
        <v>392</v>
      </c>
      <c r="J10" s="125">
        <f>_11_C重度研修１．０＿０．５＿０．５</f>
        <v>92</v>
      </c>
      <c r="K10" s="12" t="s">
        <v>392</v>
      </c>
      <c r="L10" s="44" t="s">
        <v>397</v>
      </c>
      <c r="M10" s="45" t="s">
        <v>398</v>
      </c>
      <c r="N10" s="46">
        <v>1</v>
      </c>
      <c r="O10" s="35"/>
      <c r="Q10" s="57"/>
      <c r="T10" s="57"/>
      <c r="U10" s="706"/>
      <c r="V10" s="37"/>
      <c r="W10" s="38"/>
      <c r="X10" s="208">
        <f>ROUND((ROUND((ROUND((_11_A重度研修１．０*_11・２人),0)*(1+_11・A深夜)),0)*_11・初任),0)+ROUND((ROUND((ROUND((_11_B重度研修１．０＿０．５*_11・２人),0)*(1+_11・B早朝)),0)*_11・初任),0)+ROUND((ROUND((_11_C重度研修１．０＿０．５＿０．５*_11・２人),0)*_11・初任),0)</f>
        <v>338</v>
      </c>
      <c r="Y10" s="48"/>
    </row>
    <row r="11" spans="1:25" ht="16.5" customHeight="1" x14ac:dyDescent="0.15">
      <c r="A11" s="41">
        <v>11</v>
      </c>
      <c r="B11" s="41">
        <v>4331</v>
      </c>
      <c r="C11" s="74" t="s">
        <v>7857</v>
      </c>
      <c r="D11" s="72"/>
      <c r="F11" s="99"/>
      <c r="G11" s="179"/>
      <c r="I11" s="169"/>
      <c r="J11" s="735" t="s">
        <v>3650</v>
      </c>
      <c r="K11" s="717"/>
      <c r="L11" s="44"/>
      <c r="M11" s="45"/>
      <c r="N11" s="46"/>
      <c r="O11" s="35"/>
      <c r="Q11" s="57"/>
      <c r="T11" s="57"/>
      <c r="U11" s="53"/>
      <c r="V11" s="49"/>
      <c r="W11" s="49"/>
      <c r="X11" s="208">
        <f>ROUND((_11_A重度研修１．０*(1+_11・A深夜)),0)+ROUND((_11_B重度研修１．０＿０．５*(1+_11・B早朝)),0)+_11_C重度研修１．０＿０．５＿１．０</f>
        <v>574</v>
      </c>
      <c r="Y11" s="48"/>
    </row>
    <row r="12" spans="1:25" ht="16.5" customHeight="1" x14ac:dyDescent="0.15">
      <c r="A12" s="41">
        <v>11</v>
      </c>
      <c r="B12" s="41">
        <v>4332</v>
      </c>
      <c r="C12" s="74" t="s">
        <v>7858</v>
      </c>
      <c r="D12" s="72"/>
      <c r="F12" s="99"/>
      <c r="G12" s="179"/>
      <c r="I12" s="169"/>
      <c r="J12" s="736"/>
      <c r="K12" s="718"/>
      <c r="L12" s="44" t="s">
        <v>397</v>
      </c>
      <c r="M12" s="45" t="s">
        <v>398</v>
      </c>
      <c r="N12" s="46">
        <v>1</v>
      </c>
      <c r="O12" s="35"/>
      <c r="Q12" s="57"/>
      <c r="T12" s="57"/>
      <c r="U12" s="43"/>
      <c r="V12" s="37"/>
      <c r="W12" s="37"/>
      <c r="X12" s="208">
        <f>ROUND((ROUND((_11_A重度研修１．０*_11・２人),0)*(1+_11・A深夜)),0)+ROUND((ROUND((_11_B重度研修１．０＿０．５*_11・２人),0)*(1+_11・B早朝)),0)+ROUND((_11_C重度研修１．０＿０．５＿１．０*_11・２人),0)</f>
        <v>574</v>
      </c>
      <c r="Y12" s="48"/>
    </row>
    <row r="13" spans="1:25" ht="16.5" customHeight="1" x14ac:dyDescent="0.15">
      <c r="A13" s="41">
        <v>11</v>
      </c>
      <c r="B13" s="41" t="s">
        <v>7859</v>
      </c>
      <c r="C13" s="74" t="s">
        <v>7860</v>
      </c>
      <c r="D13" s="72"/>
      <c r="F13" s="99"/>
      <c r="G13" s="179"/>
      <c r="I13" s="169"/>
      <c r="J13" s="736"/>
      <c r="K13" s="718"/>
      <c r="L13" s="44"/>
      <c r="M13" s="45"/>
      <c r="N13" s="46"/>
      <c r="O13" s="35"/>
      <c r="Q13" s="57"/>
      <c r="T13" s="57"/>
      <c r="U13" s="734" t="s">
        <v>404</v>
      </c>
      <c r="V13" s="49" t="s">
        <v>398</v>
      </c>
      <c r="W13" s="50">
        <f>_11・初任</f>
        <v>0.7</v>
      </c>
      <c r="X13" s="208">
        <f>ROUND((ROUND((_11_A重度研修１．０*(1+_11・A深夜)),0)*_11・初任),0)+ROUND((ROUND((_11_B重度研修１．０＿０．５*(1+_11・B早朝)),0)*_11・初任),0)+ROUND((_11_C重度研修１．０＿０．５＿１．０*_11・初任),0)</f>
        <v>402</v>
      </c>
      <c r="Y13" s="48"/>
    </row>
    <row r="14" spans="1:25" ht="16.5" customHeight="1" x14ac:dyDescent="0.15">
      <c r="A14" s="41">
        <v>11</v>
      </c>
      <c r="B14" s="41" t="s">
        <v>7861</v>
      </c>
      <c r="C14" s="74" t="s">
        <v>7862</v>
      </c>
      <c r="D14" s="72"/>
      <c r="F14" s="99"/>
      <c r="G14" s="179"/>
      <c r="I14" s="169"/>
      <c r="J14" s="125">
        <f>_11_C重度研修１．０＿０．５＿１．０</f>
        <v>183</v>
      </c>
      <c r="K14" s="12" t="s">
        <v>392</v>
      </c>
      <c r="L14" s="44" t="s">
        <v>397</v>
      </c>
      <c r="M14" s="45" t="s">
        <v>398</v>
      </c>
      <c r="N14" s="46">
        <v>1</v>
      </c>
      <c r="O14" s="35"/>
      <c r="Q14" s="57"/>
      <c r="T14" s="57"/>
      <c r="U14" s="706"/>
      <c r="V14" s="37"/>
      <c r="W14" s="38"/>
      <c r="X14" s="208">
        <f>ROUND((ROUND((ROUND((_11_A重度研修１．０*_11・２人),0)*(1+_11・A深夜)),0)*_11・初任),0)+ROUND((ROUND((ROUND((_11_B重度研修１．０＿０．５*_11・２人),0)*(1+_11・B早朝)),0)*_11・初任),0)+ROUND((ROUND((_11_C重度研修１．０＿０．５＿１．０*_11・２人),0)*_11・初任),0)</f>
        <v>402</v>
      </c>
      <c r="Y14" s="48"/>
    </row>
    <row r="15" spans="1:25" ht="16.5" customHeight="1" x14ac:dyDescent="0.15">
      <c r="A15" s="41">
        <v>11</v>
      </c>
      <c r="B15" s="41">
        <v>4333</v>
      </c>
      <c r="C15" s="74" t="s">
        <v>7863</v>
      </c>
      <c r="D15" s="72"/>
      <c r="F15" s="99"/>
      <c r="G15" s="179"/>
      <c r="I15" s="169"/>
      <c r="J15" s="735" t="s">
        <v>1253</v>
      </c>
      <c r="K15" s="717"/>
      <c r="L15" s="44"/>
      <c r="M15" s="45"/>
      <c r="N15" s="46"/>
      <c r="O15" s="35"/>
      <c r="Q15" s="57"/>
      <c r="T15" s="57"/>
      <c r="U15" s="53"/>
      <c r="V15" s="49"/>
      <c r="W15" s="50"/>
      <c r="X15" s="208">
        <f>ROUND((_11_A重度研修１．０*(1+_11・A深夜)),0)+ROUND((_11_B重度研修１．０＿０．５*(1+_11・B早朝)),0)+_11_C重度研修１．０＿０．５＿１．５</f>
        <v>666</v>
      </c>
      <c r="Y15" s="48"/>
    </row>
    <row r="16" spans="1:25" ht="16.5" customHeight="1" x14ac:dyDescent="0.15">
      <c r="A16" s="41">
        <v>11</v>
      </c>
      <c r="B16" s="41">
        <v>4334</v>
      </c>
      <c r="C16" s="74" t="s">
        <v>7864</v>
      </c>
      <c r="D16" s="72"/>
      <c r="F16" s="99"/>
      <c r="G16" s="179"/>
      <c r="I16" s="169"/>
      <c r="J16" s="736"/>
      <c r="K16" s="718"/>
      <c r="L16" s="44" t="s">
        <v>397</v>
      </c>
      <c r="M16" s="45" t="s">
        <v>398</v>
      </c>
      <c r="N16" s="46">
        <v>1</v>
      </c>
      <c r="O16" s="35"/>
      <c r="Q16" s="57"/>
      <c r="T16" s="57"/>
      <c r="U16" s="43"/>
      <c r="V16" s="37"/>
      <c r="W16" s="38"/>
      <c r="X16" s="208">
        <f>ROUND((ROUND((_11_A重度研修１．０*_11・２人),0)*(1+_11・A深夜)),0)+ROUND((ROUND((_11_B重度研修１．０＿０．５*_11・２人),0)*(1+_11・B早朝)),0)+ROUND((_11_C重度研修１．０＿０．５＿１．５*_11・２人),0)</f>
        <v>666</v>
      </c>
      <c r="Y16" s="48"/>
    </row>
    <row r="17" spans="1:25" ht="16.5" customHeight="1" x14ac:dyDescent="0.15">
      <c r="A17" s="41">
        <v>11</v>
      </c>
      <c r="B17" s="41" t="s">
        <v>7865</v>
      </c>
      <c r="C17" s="74" t="s">
        <v>7866</v>
      </c>
      <c r="D17" s="72"/>
      <c r="F17" s="99"/>
      <c r="G17" s="179"/>
      <c r="I17" s="169"/>
      <c r="J17" s="736"/>
      <c r="K17" s="718"/>
      <c r="L17" s="44"/>
      <c r="M17" s="45"/>
      <c r="N17" s="46"/>
      <c r="O17" s="35"/>
      <c r="Q17" s="57"/>
      <c r="T17" s="57"/>
      <c r="U17" s="734" t="s">
        <v>404</v>
      </c>
      <c r="V17" s="49" t="s">
        <v>398</v>
      </c>
      <c r="W17" s="50">
        <f>_11・初任</f>
        <v>0.7</v>
      </c>
      <c r="X17" s="208">
        <f>ROUND((ROUND((_11_A重度研修１．０*(1+_11・A深夜)),0)*_11・初任),0)+ROUND((ROUND((_11_B重度研修１．０＿０．５*(1+_11・B早朝)),0)*_11・初任),0)+ROUND((_11_C重度研修１．０＿０．５＿１．５*_11・初任),0)</f>
        <v>467</v>
      </c>
      <c r="Y17" s="48"/>
    </row>
    <row r="18" spans="1:25" ht="16.5" customHeight="1" x14ac:dyDescent="0.15">
      <c r="A18" s="41">
        <v>11</v>
      </c>
      <c r="B18" s="41" t="s">
        <v>7867</v>
      </c>
      <c r="C18" s="74" t="s">
        <v>7868</v>
      </c>
      <c r="D18" s="72"/>
      <c r="F18" s="99"/>
      <c r="G18" s="179"/>
      <c r="I18" s="169"/>
      <c r="J18" s="125">
        <f>_11_C重度研修１．０＿０．５＿１．５</f>
        <v>275</v>
      </c>
      <c r="K18" s="12" t="s">
        <v>392</v>
      </c>
      <c r="L18" s="44" t="s">
        <v>397</v>
      </c>
      <c r="M18" s="45" t="s">
        <v>398</v>
      </c>
      <c r="N18" s="46">
        <v>1</v>
      </c>
      <c r="O18" s="35"/>
      <c r="Q18" s="57"/>
      <c r="T18" s="57"/>
      <c r="U18" s="706"/>
      <c r="V18" s="37"/>
      <c r="W18" s="38"/>
      <c r="X18" s="208">
        <f>ROUND((ROUND((ROUND((_11_A重度研修１．０*_11・２人),0)*(1+_11・A深夜)),0)*_11・初任),0)+ROUND((ROUND((ROUND((_11_B重度研修１．０＿０．５*_11・２人),0)*(1+_11・B早朝)),0)*_11・初任),0)+ROUND((ROUND((_11_C重度研修１．０＿０．５＿１．５*_11・２人),0)*_11・初任),0)</f>
        <v>467</v>
      </c>
      <c r="Y18" s="48"/>
    </row>
    <row r="19" spans="1:25" ht="16.5" customHeight="1" x14ac:dyDescent="0.15">
      <c r="A19" s="41">
        <v>11</v>
      </c>
      <c r="B19" s="41">
        <v>4335</v>
      </c>
      <c r="C19" s="74" t="s">
        <v>7869</v>
      </c>
      <c r="D19" s="72"/>
      <c r="F19" s="99"/>
      <c r="G19" s="735" t="s">
        <v>3581</v>
      </c>
      <c r="H19" s="708"/>
      <c r="I19" s="717"/>
      <c r="J19" s="707" t="s">
        <v>3643</v>
      </c>
      <c r="K19" s="717"/>
      <c r="L19" s="44"/>
      <c r="M19" s="45"/>
      <c r="N19" s="46"/>
      <c r="O19" s="35"/>
      <c r="Q19" s="57"/>
      <c r="T19" s="57"/>
      <c r="U19" s="53"/>
      <c r="V19" s="49"/>
      <c r="W19" s="49"/>
      <c r="X19" s="208">
        <f>ROUND((_11_A重度研修１．０*(1+_11・A深夜)),0)+ROUND((_11_B重度研修１．０＿１．０*(1+_11・B早朝)),0)+_11_C重度研修１．０＿１．０＿０．５</f>
        <v>597</v>
      </c>
      <c r="Y19" s="48"/>
    </row>
    <row r="20" spans="1:25" ht="16.5" customHeight="1" x14ac:dyDescent="0.15">
      <c r="A20" s="41">
        <v>11</v>
      </c>
      <c r="B20" s="41">
        <v>4336</v>
      </c>
      <c r="C20" s="74" t="s">
        <v>7870</v>
      </c>
      <c r="D20" s="72"/>
      <c r="F20" s="99"/>
      <c r="G20" s="736"/>
      <c r="H20" s="704"/>
      <c r="I20" s="718"/>
      <c r="J20" s="709"/>
      <c r="K20" s="718"/>
      <c r="L20" s="44" t="s">
        <v>397</v>
      </c>
      <c r="M20" s="45" t="s">
        <v>398</v>
      </c>
      <c r="N20" s="46">
        <v>1</v>
      </c>
      <c r="O20" s="35"/>
      <c r="Q20" s="57"/>
      <c r="T20" s="57"/>
      <c r="U20" s="43"/>
      <c r="V20" s="37"/>
      <c r="W20" s="37"/>
      <c r="X20" s="208">
        <f>ROUND((ROUND((_11_A重度研修１．０*_11・２人),0)*(1+_11・A深夜)),0)+ROUND((ROUND((_11_B重度研修１．０＿１．０*_11・２人),0)*(1+_11・B早朝)),0)+ROUND((_11_C重度研修１．０＿１．０＿０．５*_11・２人),0)</f>
        <v>597</v>
      </c>
      <c r="Y20" s="48"/>
    </row>
    <row r="21" spans="1:25" ht="16.5" customHeight="1" x14ac:dyDescent="0.15">
      <c r="A21" s="41">
        <v>11</v>
      </c>
      <c r="B21" s="41" t="s">
        <v>7871</v>
      </c>
      <c r="C21" s="74" t="s">
        <v>7872</v>
      </c>
      <c r="D21" s="72"/>
      <c r="F21" s="99"/>
      <c r="G21" s="736"/>
      <c r="H21" s="704"/>
      <c r="I21" s="718"/>
      <c r="J21" s="709"/>
      <c r="K21" s="718"/>
      <c r="L21" s="44"/>
      <c r="M21" s="45"/>
      <c r="N21" s="46"/>
      <c r="O21" s="35"/>
      <c r="Q21" s="57"/>
      <c r="T21" s="57"/>
      <c r="U21" s="734" t="s">
        <v>404</v>
      </c>
      <c r="V21" s="49" t="s">
        <v>398</v>
      </c>
      <c r="W21" s="50">
        <f>_11・初任</f>
        <v>0.7</v>
      </c>
      <c r="X21" s="208">
        <f>ROUND((ROUND((_11_A重度研修１．０*(1+_11・A深夜)),0)*_11・初任),0)+ROUND((ROUND((_11_B重度研修１．０＿１．０*(1+_11・B早朝)),0)*_11・初任),0)+ROUND((_11_C重度研修１．０＿１．０＿０．５*_11・初任),0)</f>
        <v>419</v>
      </c>
      <c r="Y21" s="48"/>
    </row>
    <row r="22" spans="1:25" ht="16.5" customHeight="1" x14ac:dyDescent="0.15">
      <c r="A22" s="41">
        <v>11</v>
      </c>
      <c r="B22" s="41" t="s">
        <v>7873</v>
      </c>
      <c r="C22" s="74" t="s">
        <v>7874</v>
      </c>
      <c r="D22" s="72"/>
      <c r="F22" s="99"/>
      <c r="G22" s="179"/>
      <c r="H22" s="170">
        <f>_11_B重度研修１．０＿１．０</f>
        <v>182</v>
      </c>
      <c r="I22" s="171" t="s">
        <v>392</v>
      </c>
      <c r="J22" s="125">
        <f>_11_C重度研修１．０＿１．０＿０．５</f>
        <v>91</v>
      </c>
      <c r="K22" s="12" t="s">
        <v>392</v>
      </c>
      <c r="L22" s="44" t="s">
        <v>397</v>
      </c>
      <c r="M22" s="45" t="s">
        <v>398</v>
      </c>
      <c r="N22" s="46">
        <v>1</v>
      </c>
      <c r="O22" s="35"/>
      <c r="Q22" s="57"/>
      <c r="T22" s="57"/>
      <c r="U22" s="706"/>
      <c r="V22" s="37"/>
      <c r="W22" s="38"/>
      <c r="X22" s="208">
        <f>ROUND((ROUND((ROUND((_11_A重度研修１．０*_11・２人),0)*(1+_11・A深夜)),0)*_11・初任),0)+ROUND((ROUND((ROUND((_11_B重度研修１．０＿１．０*_11・２人),0)*(1+_11・B早朝)),0)*_11・初任),0)+ROUND((ROUND((_11_C重度研修１．０＿１．０＿０．５*_11・２人),0)*_11・初任),0)</f>
        <v>419</v>
      </c>
      <c r="Y22" s="48"/>
    </row>
    <row r="23" spans="1:25" ht="16.5" customHeight="1" x14ac:dyDescent="0.15">
      <c r="A23" s="41">
        <v>11</v>
      </c>
      <c r="B23" s="41">
        <v>4129</v>
      </c>
      <c r="C23" s="74" t="s">
        <v>7875</v>
      </c>
      <c r="D23" s="72"/>
      <c r="F23" s="99"/>
      <c r="G23" s="179"/>
      <c r="I23" s="169"/>
      <c r="J23" s="735" t="s">
        <v>3650</v>
      </c>
      <c r="K23" s="717"/>
      <c r="L23" s="44"/>
      <c r="M23" s="45"/>
      <c r="N23" s="46"/>
      <c r="O23" s="35"/>
      <c r="Q23" s="57"/>
      <c r="T23" s="57"/>
      <c r="U23" s="53"/>
      <c r="V23" s="49"/>
      <c r="W23" s="50"/>
      <c r="X23" s="208">
        <f>ROUND((_11_A重度研修１．０*(1+_11・A深夜)),0)+ROUND((_11_B重度研修１．０＿１．０*(1+_11・B早朝)),0)+_11_C重度研修１．０＿１．０＿１．０</f>
        <v>689</v>
      </c>
      <c r="Y23" s="48"/>
    </row>
    <row r="24" spans="1:25" ht="16.5" customHeight="1" x14ac:dyDescent="0.15">
      <c r="A24" s="41">
        <v>11</v>
      </c>
      <c r="B24" s="41">
        <v>4130</v>
      </c>
      <c r="C24" s="74" t="s">
        <v>7876</v>
      </c>
      <c r="D24" s="72"/>
      <c r="F24" s="99"/>
      <c r="G24" s="179"/>
      <c r="I24" s="169"/>
      <c r="J24" s="736"/>
      <c r="K24" s="718"/>
      <c r="L24" s="44" t="s">
        <v>397</v>
      </c>
      <c r="M24" s="45" t="s">
        <v>398</v>
      </c>
      <c r="N24" s="46">
        <v>1</v>
      </c>
      <c r="O24" s="35"/>
      <c r="Q24" s="57"/>
      <c r="T24" s="57"/>
      <c r="U24" s="43"/>
      <c r="V24" s="37"/>
      <c r="W24" s="38"/>
      <c r="X24" s="208">
        <f>ROUND((ROUND((_11_A重度研修１．０*_11・２人),0)*(1+_11・A深夜)),0)+ROUND((ROUND((_11_B重度研修１．０＿１．０*_11・２人),0)*(1+_11・B早朝)),0)+ROUND((_11_C重度研修１．０＿１．０＿１．０*_11・２人),0)</f>
        <v>689</v>
      </c>
      <c r="Y24" s="48"/>
    </row>
    <row r="25" spans="1:25" ht="16.5" customHeight="1" x14ac:dyDescent="0.15">
      <c r="A25" s="41">
        <v>11</v>
      </c>
      <c r="B25" s="41" t="s">
        <v>7877</v>
      </c>
      <c r="C25" s="74" t="s">
        <v>7878</v>
      </c>
      <c r="D25" s="72"/>
      <c r="F25" s="99"/>
      <c r="G25" s="179"/>
      <c r="I25" s="169"/>
      <c r="J25" s="736"/>
      <c r="K25" s="718"/>
      <c r="L25" s="44"/>
      <c r="M25" s="45"/>
      <c r="N25" s="46"/>
      <c r="O25" s="35"/>
      <c r="Q25" s="57"/>
      <c r="T25" s="57"/>
      <c r="U25" s="734" t="s">
        <v>404</v>
      </c>
      <c r="V25" s="49" t="s">
        <v>398</v>
      </c>
      <c r="W25" s="50">
        <f>_11・初任</f>
        <v>0.7</v>
      </c>
      <c r="X25" s="208">
        <f>ROUND((ROUND((_11_A重度研修１．０*(1+_11・A深夜)),0)*_11・初任),0)+ROUND((ROUND((_11_B重度研修１．０＿１．０*(1+_11・B早朝)),0)*_11・初任),0)+ROUND((_11_C重度研修１．０＿１．０＿１．０*_11・初任),0)</f>
        <v>483</v>
      </c>
      <c r="Y25" s="48"/>
    </row>
    <row r="26" spans="1:25" ht="16.5" customHeight="1" x14ac:dyDescent="0.15">
      <c r="A26" s="41">
        <v>11</v>
      </c>
      <c r="B26" s="41" t="s">
        <v>7879</v>
      </c>
      <c r="C26" s="74" t="s">
        <v>7880</v>
      </c>
      <c r="D26" s="72"/>
      <c r="F26" s="99"/>
      <c r="G26" s="179"/>
      <c r="I26" s="169"/>
      <c r="J26" s="125">
        <f>_11_C重度研修１．０＿１．０＿１．０</f>
        <v>183</v>
      </c>
      <c r="K26" s="12" t="s">
        <v>392</v>
      </c>
      <c r="L26" s="44" t="s">
        <v>397</v>
      </c>
      <c r="M26" s="45" t="s">
        <v>398</v>
      </c>
      <c r="N26" s="46">
        <v>1</v>
      </c>
      <c r="O26" s="35"/>
      <c r="Q26" s="57"/>
      <c r="T26" s="57"/>
      <c r="U26" s="706"/>
      <c r="V26" s="37"/>
      <c r="W26" s="38"/>
      <c r="X26" s="208">
        <f>ROUND((ROUND((ROUND((_11_A重度研修１．０*_11・２人),0)*(1+_11・A深夜)),0)*_11・初任),0)+ROUND((ROUND((ROUND((_11_B重度研修１．０＿１．０*_11・２人),0)*(1+_11・B早朝)),0)*_11・初任),0)+ROUND((ROUND((_11_C重度研修１．０＿１．０＿１．０*_11・２人),0)*_11・初任),0)</f>
        <v>483</v>
      </c>
      <c r="Y26" s="48"/>
    </row>
    <row r="27" spans="1:25" ht="16.5" customHeight="1" x14ac:dyDescent="0.15">
      <c r="A27" s="41">
        <v>11</v>
      </c>
      <c r="B27" s="41">
        <v>4337</v>
      </c>
      <c r="C27" s="74" t="s">
        <v>7881</v>
      </c>
      <c r="D27" s="72"/>
      <c r="F27" s="99"/>
      <c r="G27" s="735" t="s">
        <v>3588</v>
      </c>
      <c r="H27" s="708"/>
      <c r="I27" s="717"/>
      <c r="J27" s="707" t="s">
        <v>3643</v>
      </c>
      <c r="K27" s="717"/>
      <c r="L27" s="44"/>
      <c r="M27" s="45"/>
      <c r="N27" s="46"/>
      <c r="O27" s="35"/>
      <c r="Q27" s="57"/>
      <c r="T27" s="57"/>
      <c r="U27" s="53"/>
      <c r="V27" s="49"/>
      <c r="W27" s="49"/>
      <c r="X27" s="208">
        <f>ROUND((_11_A重度研修１．０*(1+_11・A深夜)),0)+ROUND((_11_B重度研修１．０＿１．５*(1+_11・B早朝)),0)+_11_C重度研修１．０＿１．５＿０．５</f>
        <v>711</v>
      </c>
      <c r="Y27" s="48"/>
    </row>
    <row r="28" spans="1:25" ht="16.5" customHeight="1" x14ac:dyDescent="0.15">
      <c r="A28" s="41">
        <v>11</v>
      </c>
      <c r="B28" s="41">
        <v>4338</v>
      </c>
      <c r="C28" s="74" t="s">
        <v>7882</v>
      </c>
      <c r="D28" s="72"/>
      <c r="F28" s="99"/>
      <c r="G28" s="736"/>
      <c r="H28" s="704"/>
      <c r="I28" s="718"/>
      <c r="J28" s="709"/>
      <c r="K28" s="718"/>
      <c r="L28" s="44" t="s">
        <v>397</v>
      </c>
      <c r="M28" s="45" t="s">
        <v>398</v>
      </c>
      <c r="N28" s="46">
        <v>1</v>
      </c>
      <c r="O28" s="35"/>
      <c r="Q28" s="57"/>
      <c r="T28" s="57"/>
      <c r="U28" s="43"/>
      <c r="V28" s="37"/>
      <c r="W28" s="37"/>
      <c r="X28" s="208">
        <f>ROUND((ROUND((_11_A重度研修１．０*_11・２人),0)*(1+_11・A深夜)),0)+ROUND((ROUND((_11_B重度研修１．０＿１．５*_11・２人),0)*(1+_11・B早朝)),0)+ROUND((_11_C重度研修１．０＿１．５＿０．５*_11・２人),0)</f>
        <v>711</v>
      </c>
      <c r="Y28" s="48"/>
    </row>
    <row r="29" spans="1:25" ht="16.5" customHeight="1" x14ac:dyDescent="0.15">
      <c r="A29" s="41">
        <v>11</v>
      </c>
      <c r="B29" s="41" t="s">
        <v>7883</v>
      </c>
      <c r="C29" s="74" t="s">
        <v>7884</v>
      </c>
      <c r="D29" s="72"/>
      <c r="F29" s="99"/>
      <c r="G29" s="736"/>
      <c r="H29" s="704"/>
      <c r="I29" s="718"/>
      <c r="J29" s="709"/>
      <c r="K29" s="718"/>
      <c r="L29" s="44"/>
      <c r="M29" s="45"/>
      <c r="N29" s="46"/>
      <c r="O29" s="35"/>
      <c r="Q29" s="57"/>
      <c r="T29" s="57"/>
      <c r="U29" s="734" t="s">
        <v>404</v>
      </c>
      <c r="V29" s="49" t="s">
        <v>398</v>
      </c>
      <c r="W29" s="50">
        <f>_11・初任</f>
        <v>0.7</v>
      </c>
      <c r="X29" s="208">
        <f>ROUND((ROUND((_11_A重度研修１．０*(1+_11・A深夜)),0)*_11・初任),0)+ROUND((ROUND((_11_B重度研修１．０＿１．５*(1+_11・B早朝)),0)*_11・初任),0)+ROUND((_11_C重度研修１．０＿１．５＿０．５*_11・初任),0)</f>
        <v>498</v>
      </c>
      <c r="Y29" s="48"/>
    </row>
    <row r="30" spans="1:25" ht="16.5" customHeight="1" x14ac:dyDescent="0.15">
      <c r="A30" s="41">
        <v>11</v>
      </c>
      <c r="B30" s="41" t="s">
        <v>7885</v>
      </c>
      <c r="C30" s="74" t="s">
        <v>7886</v>
      </c>
      <c r="D30" s="72"/>
      <c r="F30" s="99"/>
      <c r="G30" s="179"/>
      <c r="H30" s="170">
        <f>_11_B重度研修１．０＿１．５</f>
        <v>273</v>
      </c>
      <c r="I30" s="171" t="s">
        <v>392</v>
      </c>
      <c r="J30" s="125">
        <f>_11_C重度研修１．０＿１．５＿０．５</f>
        <v>92</v>
      </c>
      <c r="K30" s="12" t="s">
        <v>392</v>
      </c>
      <c r="L30" s="44" t="s">
        <v>397</v>
      </c>
      <c r="M30" s="45" t="s">
        <v>398</v>
      </c>
      <c r="N30" s="46">
        <v>1</v>
      </c>
      <c r="O30" s="35"/>
      <c r="Q30" s="57"/>
      <c r="T30" s="57"/>
      <c r="U30" s="706"/>
      <c r="V30" s="37"/>
      <c r="W30" s="38"/>
      <c r="X30" s="208">
        <f>ROUND((ROUND((ROUND((_11_A重度研修１．０*_11・２人),0)*(1+_11・A深夜)),0)*_11・初任),0)+ROUND((ROUND((ROUND((_11_B重度研修１．０＿１．５*_11・２人),0)*(1+_11・B早朝)),0)*_11・初任),0)+ROUND((ROUND((_11_C重度研修１．０＿１．５＿０．５*_11・２人),0)*_11・初任),0)</f>
        <v>498</v>
      </c>
      <c r="Y30" s="48"/>
    </row>
    <row r="31" spans="1:25" ht="16.5" customHeight="1" x14ac:dyDescent="0.15">
      <c r="A31" s="41">
        <v>11</v>
      </c>
      <c r="B31" s="41">
        <v>4339</v>
      </c>
      <c r="C31" s="74" t="s">
        <v>7887</v>
      </c>
      <c r="D31" s="707" t="s">
        <v>3601</v>
      </c>
      <c r="E31" s="708"/>
      <c r="F31" s="717"/>
      <c r="G31" s="707" t="s">
        <v>3602</v>
      </c>
      <c r="H31" s="708"/>
      <c r="I31" s="717"/>
      <c r="J31" s="707" t="s">
        <v>3643</v>
      </c>
      <c r="K31" s="717"/>
      <c r="L31" s="44"/>
      <c r="M31" s="45"/>
      <c r="N31" s="46"/>
      <c r="O31" s="35"/>
      <c r="Q31" s="57"/>
      <c r="T31" s="57"/>
      <c r="U31" s="53"/>
      <c r="V31" s="49"/>
      <c r="W31" s="50"/>
      <c r="X31" s="208">
        <f>ROUND((_11_A重度研修１．５*(1+_11・A深夜)),0)+ROUND((_11_B重度研修１．５＿０．５*(1+_11・B早朝)),0)+_11_C重度研修１．５＿０．５＿０．５</f>
        <v>619</v>
      </c>
      <c r="Y31" s="48"/>
    </row>
    <row r="32" spans="1:25" ht="16.5" customHeight="1" x14ac:dyDescent="0.15">
      <c r="A32" s="41">
        <v>11</v>
      </c>
      <c r="B32" s="41">
        <v>4340</v>
      </c>
      <c r="C32" s="74" t="s">
        <v>7888</v>
      </c>
      <c r="D32" s="709"/>
      <c r="E32" s="704"/>
      <c r="F32" s="718"/>
      <c r="G32" s="709"/>
      <c r="H32" s="704"/>
      <c r="I32" s="718"/>
      <c r="J32" s="709"/>
      <c r="K32" s="718"/>
      <c r="L32" s="44" t="s">
        <v>397</v>
      </c>
      <c r="M32" s="45" t="s">
        <v>398</v>
      </c>
      <c r="N32" s="46">
        <v>1</v>
      </c>
      <c r="O32" s="35"/>
      <c r="Q32" s="57"/>
      <c r="T32" s="57"/>
      <c r="U32" s="43"/>
      <c r="V32" s="37"/>
      <c r="W32" s="38"/>
      <c r="X32" s="208">
        <f>ROUND((ROUND((_11_A重度研修１．５*_11・２人),0)*(1+_11・A深夜)),0)+ROUND((ROUND((_11_B重度研修１．５＿０．５*_11・２人),0)*(1+_11・B早朝)),0)+ROUND((_11_C重度研修１．５＿０．５＿０．５*_11・２人),0)</f>
        <v>619</v>
      </c>
      <c r="Y32" s="48"/>
    </row>
    <row r="33" spans="1:25" ht="16.5" customHeight="1" x14ac:dyDescent="0.15">
      <c r="A33" s="41">
        <v>11</v>
      </c>
      <c r="B33" s="41" t="s">
        <v>7889</v>
      </c>
      <c r="C33" s="74" t="s">
        <v>7890</v>
      </c>
      <c r="D33" s="709"/>
      <c r="E33" s="704"/>
      <c r="F33" s="718"/>
      <c r="G33" s="709"/>
      <c r="H33" s="704"/>
      <c r="I33" s="718"/>
      <c r="J33" s="709"/>
      <c r="K33" s="718"/>
      <c r="L33" s="44"/>
      <c r="M33" s="45"/>
      <c r="N33" s="46"/>
      <c r="O33" s="35"/>
      <c r="Q33" s="57"/>
      <c r="T33" s="57"/>
      <c r="U33" s="734" t="s">
        <v>404</v>
      </c>
      <c r="V33" s="49" t="s">
        <v>398</v>
      </c>
      <c r="W33" s="50">
        <f>_11・初任</f>
        <v>0.7</v>
      </c>
      <c r="X33" s="208">
        <f>ROUND((ROUND((_11_A重度研修１．５*(1+_11・A深夜)),0)*_11・初任),0)+ROUND((ROUND((_11_B重度研修１．５＿０．５*(1+_11・B早朝)),0)*_11・初任),0)+ROUND((_11_C重度研修１．５＿０．５＿０．５*_11・初任),0)</f>
        <v>434</v>
      </c>
      <c r="Y33" s="48"/>
    </row>
    <row r="34" spans="1:25" ht="16.5" customHeight="1" x14ac:dyDescent="0.15">
      <c r="A34" s="41">
        <v>11</v>
      </c>
      <c r="B34" s="41" t="s">
        <v>7891</v>
      </c>
      <c r="C34" s="74" t="s">
        <v>7892</v>
      </c>
      <c r="D34" s="72"/>
      <c r="E34" s="170">
        <f>_11_A重度研修１．５</f>
        <v>275</v>
      </c>
      <c r="F34" s="12" t="s">
        <v>392</v>
      </c>
      <c r="G34" s="178"/>
      <c r="H34" s="170">
        <f>_11_B重度研修１．５＿０．５</f>
        <v>92</v>
      </c>
      <c r="I34" s="171" t="s">
        <v>392</v>
      </c>
      <c r="J34" s="125">
        <f>_11_C重度研修１．５＿０．５＿０．５</f>
        <v>91</v>
      </c>
      <c r="K34" s="12" t="s">
        <v>392</v>
      </c>
      <c r="L34" s="44" t="s">
        <v>397</v>
      </c>
      <c r="M34" s="45" t="s">
        <v>398</v>
      </c>
      <c r="N34" s="46">
        <v>1</v>
      </c>
      <c r="O34" s="35"/>
      <c r="Q34" s="57"/>
      <c r="T34" s="57"/>
      <c r="U34" s="706"/>
      <c r="V34" s="37"/>
      <c r="W34" s="38"/>
      <c r="X34" s="208">
        <f>ROUND((ROUND((ROUND((_11_A重度研修１．５*_11・２人),0)*(1+_11・A深夜)),0)*_11・初任),0)+ROUND((ROUND((ROUND((_11_B重度研修１．５＿０．５*_11・２人),0)*(1+_11・B早朝)),0)*_11・初任),0)+ROUND((ROUND((_11_C重度研修１．５＿０．５＿０．５*_11・２人),0)*_11・初任),0)</f>
        <v>434</v>
      </c>
      <c r="Y34" s="48"/>
    </row>
    <row r="35" spans="1:25" ht="16.5" customHeight="1" x14ac:dyDescent="0.15">
      <c r="A35" s="41">
        <v>11</v>
      </c>
      <c r="B35" s="41">
        <v>4341</v>
      </c>
      <c r="C35" s="74" t="s">
        <v>7893</v>
      </c>
      <c r="D35" s="72"/>
      <c r="F35" s="99"/>
      <c r="G35" s="179"/>
      <c r="I35" s="169"/>
      <c r="J35" s="735" t="s">
        <v>3650</v>
      </c>
      <c r="K35" s="717"/>
      <c r="L35" s="44"/>
      <c r="M35" s="45"/>
      <c r="N35" s="46"/>
      <c r="O35" s="35"/>
      <c r="Q35" s="57"/>
      <c r="T35" s="57"/>
      <c r="U35" s="53"/>
      <c r="V35" s="49"/>
      <c r="W35" s="49"/>
      <c r="X35" s="208">
        <f>ROUND((_11_A重度研修１．５*(1+_11・A深夜)),0)+ROUND((_11_B重度研修１．５＿０．５*(1+_11・B早朝)),0)+_11_C重度研修１．５＿０．５＿１．０</f>
        <v>711</v>
      </c>
      <c r="Y35" s="48"/>
    </row>
    <row r="36" spans="1:25" ht="16.5" customHeight="1" x14ac:dyDescent="0.15">
      <c r="A36" s="41">
        <v>11</v>
      </c>
      <c r="B36" s="41">
        <v>4342</v>
      </c>
      <c r="C36" s="74" t="s">
        <v>7894</v>
      </c>
      <c r="D36" s="72"/>
      <c r="F36" s="99"/>
      <c r="G36" s="179"/>
      <c r="I36" s="169"/>
      <c r="J36" s="736"/>
      <c r="K36" s="718"/>
      <c r="L36" s="44" t="s">
        <v>397</v>
      </c>
      <c r="M36" s="45" t="s">
        <v>398</v>
      </c>
      <c r="N36" s="46">
        <v>1</v>
      </c>
      <c r="O36" s="35"/>
      <c r="Q36" s="57"/>
      <c r="T36" s="57"/>
      <c r="U36" s="43"/>
      <c r="V36" s="37"/>
      <c r="W36" s="37"/>
      <c r="X36" s="208">
        <f>ROUND((ROUND((_11_A重度研修１．５*_11・２人),0)*(1+_11・A深夜)),0)+ROUND((ROUND((_11_B重度研修１．５＿０．５*_11・２人),0)*(1+_11・B早朝)),0)+ROUND((_11_C重度研修１．５＿０．５＿１．０*_11・２人),0)</f>
        <v>711</v>
      </c>
      <c r="Y36" s="48"/>
    </row>
    <row r="37" spans="1:25" ht="16.5" customHeight="1" x14ac:dyDescent="0.15">
      <c r="A37" s="41">
        <v>11</v>
      </c>
      <c r="B37" s="41" t="s">
        <v>7895</v>
      </c>
      <c r="C37" s="74" t="s">
        <v>7896</v>
      </c>
      <c r="D37" s="72"/>
      <c r="F37" s="99"/>
      <c r="G37" s="179"/>
      <c r="I37" s="169"/>
      <c r="J37" s="736"/>
      <c r="K37" s="718"/>
      <c r="L37" s="44"/>
      <c r="M37" s="45"/>
      <c r="N37" s="46"/>
      <c r="O37" s="35"/>
      <c r="Q37" s="57"/>
      <c r="T37" s="57"/>
      <c r="U37" s="734" t="s">
        <v>404</v>
      </c>
      <c r="V37" s="49" t="s">
        <v>398</v>
      </c>
      <c r="W37" s="50">
        <f>_11・初任</f>
        <v>0.7</v>
      </c>
      <c r="X37" s="208">
        <f>ROUND((ROUND((_11_A重度研修１．５*(1+_11・A深夜)),0)*_11・初任),0)+ROUND((ROUND((_11_B重度研修１．５＿０．５*(1+_11・B早朝)),0)*_11・初任),0)+ROUND((_11_C重度研修１．５＿０．５＿１．０*_11・初任),0)</f>
        <v>498</v>
      </c>
      <c r="Y37" s="48"/>
    </row>
    <row r="38" spans="1:25" ht="16.5" customHeight="1" x14ac:dyDescent="0.15">
      <c r="A38" s="41">
        <v>11</v>
      </c>
      <c r="B38" s="41" t="s">
        <v>7897</v>
      </c>
      <c r="C38" s="74" t="s">
        <v>7898</v>
      </c>
      <c r="D38" s="72"/>
      <c r="F38" s="99"/>
      <c r="G38" s="179"/>
      <c r="I38" s="169"/>
      <c r="J38" s="125">
        <f>_11_C重度研修１．５＿０．５＿１．０</f>
        <v>183</v>
      </c>
      <c r="K38" s="12" t="s">
        <v>392</v>
      </c>
      <c r="L38" s="44" t="s">
        <v>397</v>
      </c>
      <c r="M38" s="45" t="s">
        <v>398</v>
      </c>
      <c r="N38" s="46">
        <v>1</v>
      </c>
      <c r="O38" s="35"/>
      <c r="Q38" s="57"/>
      <c r="T38" s="57"/>
      <c r="U38" s="706"/>
      <c r="V38" s="37"/>
      <c r="W38" s="38"/>
      <c r="X38" s="208">
        <f>ROUND((ROUND((ROUND((_11_A重度研修１．５*_11・２人),0)*(1+_11・A深夜)),0)*_11・初任),0)+ROUND((ROUND((ROUND((_11_B重度研修１．５＿０．５*_11・２人),0)*(1+_11・B早朝)),0)*_11・初任),0)+ROUND((ROUND((_11_C重度研修１．５＿０．５＿１．０*_11・２人),0)*_11・初任),0)</f>
        <v>498</v>
      </c>
      <c r="Y38" s="48"/>
    </row>
    <row r="39" spans="1:25" ht="16.5" customHeight="1" x14ac:dyDescent="0.15">
      <c r="A39" s="41">
        <v>11</v>
      </c>
      <c r="B39" s="41">
        <v>4343</v>
      </c>
      <c r="C39" s="74" t="s">
        <v>7899</v>
      </c>
      <c r="D39" s="132"/>
      <c r="E39" s="172"/>
      <c r="F39" s="173"/>
      <c r="G39" s="735" t="s">
        <v>3581</v>
      </c>
      <c r="H39" s="708"/>
      <c r="I39" s="717"/>
      <c r="J39" s="707" t="s">
        <v>3643</v>
      </c>
      <c r="K39" s="717"/>
      <c r="L39" s="44"/>
      <c r="M39" s="45"/>
      <c r="N39" s="46"/>
      <c r="O39" s="35"/>
      <c r="Q39" s="57"/>
      <c r="T39" s="57"/>
      <c r="U39" s="53"/>
      <c r="V39" s="49"/>
      <c r="W39" s="50"/>
      <c r="X39" s="208">
        <f>ROUND((_11_A重度研修１．５*(1+_11・A深夜)),0)+ROUND((_11_B重度研修１．５＿１．０*(1+_11・B早朝)),0)+_11_C重度研修１．５＿１．０＿０．５</f>
        <v>734</v>
      </c>
      <c r="Y39" s="48"/>
    </row>
    <row r="40" spans="1:25" ht="16.5" customHeight="1" x14ac:dyDescent="0.15">
      <c r="A40" s="41">
        <v>11</v>
      </c>
      <c r="B40" s="41">
        <v>4344</v>
      </c>
      <c r="C40" s="74" t="s">
        <v>7900</v>
      </c>
      <c r="D40" s="132"/>
      <c r="E40" s="172"/>
      <c r="F40" s="173"/>
      <c r="G40" s="736"/>
      <c r="H40" s="704"/>
      <c r="I40" s="718"/>
      <c r="J40" s="709"/>
      <c r="K40" s="718"/>
      <c r="L40" s="44" t="s">
        <v>397</v>
      </c>
      <c r="M40" s="45" t="s">
        <v>398</v>
      </c>
      <c r="N40" s="46">
        <v>1</v>
      </c>
      <c r="O40" s="35"/>
      <c r="Q40" s="57"/>
      <c r="T40" s="57"/>
      <c r="U40" s="43"/>
      <c r="V40" s="37"/>
      <c r="W40" s="38"/>
      <c r="X40" s="208">
        <f>ROUND((ROUND((_11_A重度研修１．５*_11・２人),0)*(1+_11・A深夜)),0)+ROUND((ROUND((_11_B重度研修１．５＿１．０*_11・２人),0)*(1+_11・B早朝)),0)+ROUND((_11_C重度研修１．５＿１．０＿０．５*_11・２人),0)</f>
        <v>734</v>
      </c>
      <c r="Y40" s="48"/>
    </row>
    <row r="41" spans="1:25" ht="16.5" customHeight="1" x14ac:dyDescent="0.15">
      <c r="A41" s="41">
        <v>11</v>
      </c>
      <c r="B41" s="41" t="s">
        <v>7901</v>
      </c>
      <c r="C41" s="74" t="s">
        <v>7902</v>
      </c>
      <c r="D41" s="132"/>
      <c r="E41" s="172"/>
      <c r="F41" s="173"/>
      <c r="G41" s="736"/>
      <c r="H41" s="704"/>
      <c r="I41" s="718"/>
      <c r="J41" s="709"/>
      <c r="K41" s="718"/>
      <c r="L41" s="44"/>
      <c r="M41" s="45"/>
      <c r="N41" s="46"/>
      <c r="O41" s="35"/>
      <c r="Q41" s="57"/>
      <c r="T41" s="57"/>
      <c r="U41" s="734" t="s">
        <v>404</v>
      </c>
      <c r="V41" s="49" t="s">
        <v>398</v>
      </c>
      <c r="W41" s="50">
        <f>_11・初任</f>
        <v>0.7</v>
      </c>
      <c r="X41" s="208">
        <f>ROUND((ROUND((_11_A重度研修１．５*(1+_11・A深夜)),0)*_11・初任),0)+ROUND((ROUND((_11_B重度研修１．５＿１．０*(1+_11・B早朝)),0)*_11・初任),0)+ROUND((_11_C重度研修１．５＿１．０＿０．５*_11・初任),0)</f>
        <v>513</v>
      </c>
      <c r="Y41" s="48"/>
    </row>
    <row r="42" spans="1:25" ht="16.5" customHeight="1" x14ac:dyDescent="0.15">
      <c r="A42" s="41">
        <v>11</v>
      </c>
      <c r="B42" s="41" t="s">
        <v>7903</v>
      </c>
      <c r="C42" s="74" t="s">
        <v>7904</v>
      </c>
      <c r="D42" s="122"/>
      <c r="E42" s="174"/>
      <c r="F42" s="175"/>
      <c r="G42" s="179"/>
      <c r="H42" s="170">
        <f>_11_B重度研修１．５＿１．０</f>
        <v>183</v>
      </c>
      <c r="I42" s="171" t="s">
        <v>392</v>
      </c>
      <c r="J42" s="125">
        <f>_11_C重度研修１．５＿１．０＿０．５</f>
        <v>92</v>
      </c>
      <c r="K42" s="12" t="s">
        <v>392</v>
      </c>
      <c r="L42" s="44" t="s">
        <v>397</v>
      </c>
      <c r="M42" s="45" t="s">
        <v>398</v>
      </c>
      <c r="N42" s="46">
        <v>1</v>
      </c>
      <c r="O42" s="35"/>
      <c r="Q42" s="57"/>
      <c r="T42" s="57"/>
      <c r="U42" s="706"/>
      <c r="V42" s="37"/>
      <c r="W42" s="38"/>
      <c r="X42" s="208">
        <f>ROUND((ROUND((ROUND((_11_A重度研修１．５*_11・２人),0)*(1+_11・A深夜)),0)*_11・初任),0)+ROUND((ROUND((ROUND((_11_B重度研修１．５＿１．０*_11・２人),0)*(1+_11・B早朝)),0)*_11・初任),0)+ROUND((ROUND((_11_C重度研修１．５＿１．０＿０．５*_11・２人),0)*_11・初任),0)</f>
        <v>513</v>
      </c>
      <c r="Y42" s="48"/>
    </row>
    <row r="43" spans="1:25" ht="16.5" customHeight="1" x14ac:dyDescent="0.15">
      <c r="A43" s="41">
        <v>11</v>
      </c>
      <c r="B43" s="41">
        <v>4361</v>
      </c>
      <c r="C43" s="74" t="s">
        <v>7905</v>
      </c>
      <c r="D43" s="707" t="s">
        <v>3621</v>
      </c>
      <c r="E43" s="708"/>
      <c r="F43" s="717"/>
      <c r="G43" s="707" t="s">
        <v>3602</v>
      </c>
      <c r="H43" s="708"/>
      <c r="I43" s="717"/>
      <c r="J43" s="707" t="s">
        <v>3643</v>
      </c>
      <c r="K43" s="717"/>
      <c r="L43" s="44"/>
      <c r="M43" s="45"/>
      <c r="N43" s="46"/>
      <c r="O43" s="35"/>
      <c r="Q43" s="57"/>
      <c r="R43" s="35"/>
      <c r="T43" s="57"/>
      <c r="U43" s="53"/>
      <c r="V43" s="49"/>
      <c r="W43" s="49"/>
      <c r="X43" s="208">
        <f>ROUND((_11_A重度研修２．０*(1+_11・A深夜)),0)+ROUND((_11_B重度研修２．０＿０．５*(1+_11・B早朝)),0)+_11_C重度研修２．０＿０．５＿０．５</f>
        <v>757</v>
      </c>
      <c r="Y43" s="48"/>
    </row>
    <row r="44" spans="1:25" ht="16.5" customHeight="1" x14ac:dyDescent="0.15">
      <c r="A44" s="41">
        <v>11</v>
      </c>
      <c r="B44" s="41">
        <v>4362</v>
      </c>
      <c r="C44" s="74" t="s">
        <v>7906</v>
      </c>
      <c r="D44" s="709"/>
      <c r="E44" s="704"/>
      <c r="F44" s="718"/>
      <c r="G44" s="709"/>
      <c r="H44" s="704"/>
      <c r="I44" s="718"/>
      <c r="J44" s="709"/>
      <c r="K44" s="718"/>
      <c r="L44" s="44" t="s">
        <v>397</v>
      </c>
      <c r="M44" s="45" t="s">
        <v>398</v>
      </c>
      <c r="N44" s="46">
        <v>1</v>
      </c>
      <c r="O44" s="35"/>
      <c r="Q44" s="57"/>
      <c r="R44" s="35"/>
      <c r="T44" s="57"/>
      <c r="U44" s="43"/>
      <c r="V44" s="37"/>
      <c r="W44" s="37"/>
      <c r="X44" s="208">
        <f>ROUND((ROUND((_11_A重度研修２．０*_11・２人),0)*(1+_11・A深夜)),0)+ROUND((ROUND((_11_B重度研修２．０＿０．５*_11・２人),0)*(1+_11・B早朝)),0)+ROUND((_11_C重度研修２．０＿０．５＿０．５*_11・２人),0)</f>
        <v>757</v>
      </c>
      <c r="Y44" s="48"/>
    </row>
    <row r="45" spans="1:25" ht="16.5" customHeight="1" x14ac:dyDescent="0.15">
      <c r="A45" s="41">
        <v>11</v>
      </c>
      <c r="B45" s="41" t="s">
        <v>7907</v>
      </c>
      <c r="C45" s="74" t="s">
        <v>7908</v>
      </c>
      <c r="D45" s="709"/>
      <c r="E45" s="704"/>
      <c r="F45" s="718"/>
      <c r="G45" s="709"/>
      <c r="H45" s="704"/>
      <c r="I45" s="718"/>
      <c r="J45" s="709"/>
      <c r="K45" s="718"/>
      <c r="L45" s="44"/>
      <c r="M45" s="45"/>
      <c r="N45" s="46"/>
      <c r="O45" s="35"/>
      <c r="Q45" s="57"/>
      <c r="R45" s="35"/>
      <c r="T45" s="57"/>
      <c r="U45" s="734" t="s">
        <v>404</v>
      </c>
      <c r="V45" s="49" t="s">
        <v>398</v>
      </c>
      <c r="W45" s="50">
        <f>_11・初任</f>
        <v>0.7</v>
      </c>
      <c r="X45" s="208">
        <f>ROUND((ROUND((_11_A重度研修２．０*(1+_11・A深夜)),0)*_11・初任),0)+ROUND((ROUND((_11_B重度研修２．０＿０．５*(1+_11・B早朝)),0)*_11・初任),0)+ROUND((_11_C重度研修２．０＿０．５＿０．５*_11・初任),0)</f>
        <v>530</v>
      </c>
      <c r="Y45" s="48"/>
    </row>
    <row r="46" spans="1:25" ht="16.5" customHeight="1" x14ac:dyDescent="0.15">
      <c r="A46" s="41">
        <v>11</v>
      </c>
      <c r="B46" s="41" t="s">
        <v>7909</v>
      </c>
      <c r="C46" s="74" t="s">
        <v>7910</v>
      </c>
      <c r="D46" s="122"/>
      <c r="E46" s="176">
        <f>_11_A重度研修２．０</f>
        <v>367</v>
      </c>
      <c r="F46" s="37" t="s">
        <v>392</v>
      </c>
      <c r="G46" s="180"/>
      <c r="H46" s="176">
        <f>_11_B重度研修２．０＿０．５</f>
        <v>91</v>
      </c>
      <c r="I46" s="175" t="s">
        <v>392</v>
      </c>
      <c r="J46" s="186">
        <f>_11_C重度研修２．０＿０．５＿０．５</f>
        <v>92</v>
      </c>
      <c r="K46" s="37" t="s">
        <v>392</v>
      </c>
      <c r="L46" s="44" t="s">
        <v>397</v>
      </c>
      <c r="M46" s="45" t="s">
        <v>398</v>
      </c>
      <c r="N46" s="46">
        <v>1</v>
      </c>
      <c r="O46" s="43"/>
      <c r="P46" s="38"/>
      <c r="Q46" s="79"/>
      <c r="R46" s="37"/>
      <c r="S46" s="38"/>
      <c r="T46" s="79"/>
      <c r="U46" s="706"/>
      <c r="V46" s="37"/>
      <c r="W46" s="38"/>
      <c r="X46" s="208">
        <f>ROUND((ROUND((ROUND((_11_A重度研修２．０*_11・２人),0)*(1+_11・A深夜)),0)*_11・初任),0)+ROUND((ROUND((ROUND((_11_B重度研修２．０＿０．５*_11・２人),0)*(1+_11・B早朝)),0)*_11・初任),0)+ROUND((ROUND((_11_C重度研修２．０＿０．５＿０．５*_11・２人),0)*_11・初任),0)</f>
        <v>530</v>
      </c>
      <c r="Y46" s="63"/>
    </row>
    <row r="47" spans="1:25" ht="16.5" customHeight="1" x14ac:dyDescent="0.15">
      <c r="G47" s="99"/>
    </row>
  </sheetData>
  <mergeCells count="33">
    <mergeCell ref="G39:I41"/>
    <mergeCell ref="J39:K41"/>
    <mergeCell ref="U41:U42"/>
    <mergeCell ref="D43:F45"/>
    <mergeCell ref="G43:I45"/>
    <mergeCell ref="J43:K45"/>
    <mergeCell ref="U45:U46"/>
    <mergeCell ref="D31:F33"/>
    <mergeCell ref="G31:I33"/>
    <mergeCell ref="J31:K33"/>
    <mergeCell ref="U33:U34"/>
    <mergeCell ref="J35:K37"/>
    <mergeCell ref="U37:U38"/>
    <mergeCell ref="G27:I29"/>
    <mergeCell ref="J27:K29"/>
    <mergeCell ref="U29:U30"/>
    <mergeCell ref="T8:T9"/>
    <mergeCell ref="U9:U10"/>
    <mergeCell ref="J11:K13"/>
    <mergeCell ref="U13:U14"/>
    <mergeCell ref="J15:K17"/>
    <mergeCell ref="U17:U18"/>
    <mergeCell ref="Q8:Q9"/>
    <mergeCell ref="G19:I21"/>
    <mergeCell ref="J19:K21"/>
    <mergeCell ref="U21:U22"/>
    <mergeCell ref="J23:K25"/>
    <mergeCell ref="U25:U26"/>
    <mergeCell ref="D6:F6"/>
    <mergeCell ref="G6:I6"/>
    <mergeCell ref="D7:F9"/>
    <mergeCell ref="G7:I9"/>
    <mergeCell ref="J7:K9"/>
  </mergeCells>
  <phoneticPr fontId="1"/>
  <printOptions horizontalCentered="1"/>
  <pageMargins left="0.70866141732283472" right="0.70866141732283472" top="0.74803149606299213" bottom="0.74803149606299213" header="0.31496062992125984" footer="0.31496062992125984"/>
  <pageSetup paperSize="9" scale="46" fitToHeight="0" orientation="portrait" r:id="rId1"/>
  <headerFooter>
    <oddHeader>&amp;R&amp;"ＭＳ Ｐゴシック"&amp;9居宅介護</oddHeader>
    <oddFooter>&amp;C&amp;"ＭＳ Ｐゴシック"&amp;14&amp;P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3">
    <pageSetUpPr fitToPage="1"/>
  </sheetPr>
  <dimension ref="A1:Y4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3.125" style="10" bestFit="1" customWidth="1"/>
    <col min="4" max="4" width="2.5" style="10" customWidth="1"/>
    <col min="5" max="5" width="4.875" style="10" customWidth="1"/>
    <col min="6" max="6" width="4.5" style="117" bestFit="1" customWidth="1"/>
    <col min="7" max="7" width="2.5" style="117" customWidth="1"/>
    <col min="8" max="8" width="4.875" style="10" customWidth="1"/>
    <col min="9" max="9" width="4.5" style="117" bestFit="1" customWidth="1"/>
    <col min="10" max="10" width="4.875" style="10" customWidth="1"/>
    <col min="11" max="11" width="4.5" style="12" bestFit="1" customWidth="1"/>
    <col min="12" max="12" width="24.875" style="14" bestFit="1" customWidth="1"/>
    <col min="13" max="13" width="3.5" style="12" bestFit="1" customWidth="1"/>
    <col min="14" max="14" width="5.5" style="13" bestFit="1" customWidth="1"/>
    <col min="15" max="15" width="3.5" style="12" bestFit="1" customWidth="1"/>
    <col min="16" max="16" width="4.5" style="13" bestFit="1" customWidth="1"/>
    <col min="17" max="17" width="5.5" style="12" bestFit="1" customWidth="1"/>
    <col min="18" max="18" width="3.5" style="12" bestFit="1" customWidth="1"/>
    <col min="19" max="19" width="4.5" style="13" bestFit="1" customWidth="1"/>
    <col min="20" max="20" width="5.5" style="12" bestFit="1" customWidth="1"/>
    <col min="21" max="21" width="17.875" style="12" customWidth="1"/>
    <col min="22" max="22" width="3.5" style="12" bestFit="1" customWidth="1"/>
    <col min="23" max="23" width="4.5" style="13" bestFit="1" customWidth="1"/>
    <col min="24" max="24" width="7.125" style="206" customWidth="1"/>
    <col min="25" max="25" width="8.5" style="16" customWidth="1"/>
    <col min="26" max="16384" width="8.875" style="12"/>
  </cols>
  <sheetData>
    <row r="1" spans="1:25" ht="17.100000000000001" customHeight="1" x14ac:dyDescent="0.15"/>
    <row r="2" spans="1:25" ht="17.100000000000001" customHeight="1" x14ac:dyDescent="0.15"/>
    <row r="3" spans="1:25" ht="17.100000000000001" customHeight="1" x14ac:dyDescent="0.15">
      <c r="G3" s="99"/>
    </row>
    <row r="4" spans="1:25" ht="17.100000000000001" customHeight="1" x14ac:dyDescent="0.15">
      <c r="B4" s="17" t="s">
        <v>7911</v>
      </c>
      <c r="E4" s="71"/>
      <c r="G4" s="99"/>
    </row>
    <row r="5" spans="1:25" ht="16.5" customHeight="1" x14ac:dyDescent="0.15">
      <c r="A5" s="19" t="s">
        <v>384</v>
      </c>
      <c r="B5" s="20"/>
      <c r="C5" s="21" t="s">
        <v>385</v>
      </c>
      <c r="D5" s="166"/>
      <c r="E5" s="23" t="s">
        <v>386</v>
      </c>
      <c r="F5" s="118"/>
      <c r="G5" s="118"/>
      <c r="H5" s="23"/>
      <c r="I5" s="118"/>
      <c r="J5" s="23"/>
      <c r="K5" s="23"/>
      <c r="L5" s="23"/>
      <c r="M5" s="23"/>
      <c r="N5" s="24"/>
      <c r="O5" s="23"/>
      <c r="P5" s="24"/>
      <c r="Q5" s="23"/>
      <c r="R5" s="23"/>
      <c r="S5" s="24"/>
      <c r="T5" s="23"/>
      <c r="U5" s="23"/>
      <c r="V5" s="23"/>
      <c r="W5" s="24"/>
      <c r="X5" s="21" t="s">
        <v>387</v>
      </c>
      <c r="Y5" s="21" t="s">
        <v>388</v>
      </c>
    </row>
    <row r="6" spans="1:25" ht="16.5" customHeight="1" x14ac:dyDescent="0.15">
      <c r="A6" s="26" t="s">
        <v>389</v>
      </c>
      <c r="B6" s="26" t="s">
        <v>390</v>
      </c>
      <c r="C6" s="27"/>
      <c r="D6" s="29"/>
      <c r="E6" s="29"/>
      <c r="F6" s="185"/>
      <c r="G6" s="738" t="s">
        <v>1032</v>
      </c>
      <c r="H6" s="731"/>
      <c r="I6" s="727"/>
      <c r="J6" s="87" t="s">
        <v>1033</v>
      </c>
      <c r="K6" s="20"/>
      <c r="L6" s="29"/>
      <c r="M6" s="29"/>
      <c r="N6" s="30"/>
      <c r="O6" s="29"/>
      <c r="P6" s="30"/>
      <c r="Q6" s="29"/>
      <c r="R6" s="29"/>
      <c r="S6" s="30"/>
      <c r="T6" s="29"/>
      <c r="U6" s="29"/>
      <c r="V6" s="29"/>
      <c r="W6" s="30"/>
      <c r="X6" s="32" t="s">
        <v>391</v>
      </c>
      <c r="Y6" s="32" t="s">
        <v>392</v>
      </c>
    </row>
    <row r="7" spans="1:25" ht="16.5" customHeight="1" x14ac:dyDescent="0.15">
      <c r="A7" s="33">
        <v>11</v>
      </c>
      <c r="B7" s="33">
        <v>4345</v>
      </c>
      <c r="C7" s="34" t="s">
        <v>7912</v>
      </c>
      <c r="D7" s="709" t="s">
        <v>3710</v>
      </c>
      <c r="E7" s="704"/>
      <c r="F7" s="739"/>
      <c r="G7" s="736" t="s">
        <v>3711</v>
      </c>
      <c r="H7" s="704"/>
      <c r="I7" s="718"/>
      <c r="J7" s="709" t="s">
        <v>3780</v>
      </c>
      <c r="K7" s="718"/>
      <c r="L7" s="36"/>
      <c r="M7" s="37"/>
      <c r="N7" s="38"/>
      <c r="O7" s="35" t="s">
        <v>1416</v>
      </c>
      <c r="Q7" s="57"/>
      <c r="R7" s="35" t="s">
        <v>1618</v>
      </c>
      <c r="T7" s="57"/>
      <c r="U7" s="35"/>
      <c r="X7" s="207">
        <f>_11_A重度研修１．０+ROUND((_11_B重度研修１．０＿０．５*(1+_11・B夜間)),0)+ROUND((_11_C重度研修１．０＿０．５＿０．５*(1+_11・C深夜)),0)</f>
        <v>436</v>
      </c>
      <c r="Y7" s="40" t="s">
        <v>395</v>
      </c>
    </row>
    <row r="8" spans="1:25" ht="16.5" customHeight="1" x14ac:dyDescent="0.15">
      <c r="A8" s="41">
        <v>11</v>
      </c>
      <c r="B8" s="41">
        <v>4346</v>
      </c>
      <c r="C8" s="74" t="s">
        <v>7913</v>
      </c>
      <c r="D8" s="709"/>
      <c r="E8" s="704"/>
      <c r="F8" s="739"/>
      <c r="G8" s="736"/>
      <c r="H8" s="704"/>
      <c r="I8" s="718"/>
      <c r="J8" s="709"/>
      <c r="K8" s="718"/>
      <c r="L8" s="44" t="s">
        <v>397</v>
      </c>
      <c r="M8" s="45" t="s">
        <v>398</v>
      </c>
      <c r="N8" s="46">
        <v>1</v>
      </c>
      <c r="O8" s="35" t="s">
        <v>398</v>
      </c>
      <c r="P8" s="13">
        <v>0.25</v>
      </c>
      <c r="Q8" s="728" t="s">
        <v>676</v>
      </c>
      <c r="R8" s="12" t="s">
        <v>398</v>
      </c>
      <c r="S8" s="13">
        <v>0.5</v>
      </c>
      <c r="T8" s="728" t="s">
        <v>676</v>
      </c>
      <c r="U8" s="43"/>
      <c r="V8" s="37"/>
      <c r="W8" s="38"/>
      <c r="X8" s="208">
        <f>ROUND((_11_A重度研修１．０*_11・２人),0)+ROUND((ROUND((_11_B重度研修１．０＿０．５*_11・２人),0)*(1+_11・B夜間)),0)+ROUND((ROUND((_11_C重度研修１．０＿０．５＿０．５*_11・２人),0)*(1+_11・C深夜)),0)</f>
        <v>436</v>
      </c>
      <c r="Y8" s="48"/>
    </row>
    <row r="9" spans="1:25" ht="16.5" customHeight="1" x14ac:dyDescent="0.15">
      <c r="A9" s="41">
        <v>11</v>
      </c>
      <c r="B9" s="41" t="s">
        <v>7914</v>
      </c>
      <c r="C9" s="74" t="s">
        <v>7915</v>
      </c>
      <c r="D9" s="709"/>
      <c r="E9" s="704"/>
      <c r="F9" s="739"/>
      <c r="G9" s="736"/>
      <c r="H9" s="704"/>
      <c r="I9" s="718"/>
      <c r="J9" s="709"/>
      <c r="K9" s="718"/>
      <c r="L9" s="44"/>
      <c r="M9" s="45"/>
      <c r="N9" s="46"/>
      <c r="O9" s="35"/>
      <c r="Q9" s="728"/>
      <c r="T9" s="728"/>
      <c r="U9" s="734" t="s">
        <v>404</v>
      </c>
      <c r="V9" s="49" t="s">
        <v>398</v>
      </c>
      <c r="W9" s="50">
        <f>_11・初任</f>
        <v>0.7</v>
      </c>
      <c r="X9" s="208">
        <f>ROUND((_11_A重度研修１．０*_11・初任),0)+ROUND((ROUND((_11_B重度研修１．０＿０．５*(1+_11・B夜間)),0)*_11・初任),0)+ROUND((ROUND((_11_C重度研修１．０＿０．５＿０．５*(1+_11・C深夜)),0)*_11・初任),0)</f>
        <v>306</v>
      </c>
      <c r="Y9" s="48"/>
    </row>
    <row r="10" spans="1:25" ht="16.5" customHeight="1" x14ac:dyDescent="0.15">
      <c r="A10" s="41">
        <v>11</v>
      </c>
      <c r="B10" s="41" t="s">
        <v>7916</v>
      </c>
      <c r="C10" s="74" t="s">
        <v>7917</v>
      </c>
      <c r="D10" s="72"/>
      <c r="E10" s="170">
        <f>_11_A重度研修１．０</f>
        <v>185</v>
      </c>
      <c r="F10" s="171" t="s">
        <v>392</v>
      </c>
      <c r="G10" s="12"/>
      <c r="H10" s="170">
        <f>_11_B重度研修１．０＿０．５</f>
        <v>90</v>
      </c>
      <c r="I10" s="12" t="s">
        <v>392</v>
      </c>
      <c r="J10" s="125">
        <f>_11_C重度研修１．０＿０．５＿０．５</f>
        <v>92</v>
      </c>
      <c r="K10" s="12" t="s">
        <v>392</v>
      </c>
      <c r="L10" s="44" t="s">
        <v>397</v>
      </c>
      <c r="M10" s="45" t="s">
        <v>398</v>
      </c>
      <c r="N10" s="46">
        <v>1</v>
      </c>
      <c r="O10" s="35"/>
      <c r="Q10" s="57"/>
      <c r="T10" s="57"/>
      <c r="U10" s="706"/>
      <c r="V10" s="37"/>
      <c r="W10" s="38"/>
      <c r="X10" s="208">
        <f>ROUND((ROUND((_11_A重度研修１．０*_11・２人),0)*_11・初任),0)+ROUND((ROUND((ROUND((_11_B重度研修１．０＿０．５*_11・２人),0)*(1+_11・B夜間)),0)*_11・初任),0)+ROUND((ROUND((ROUND((_11_C重度研修１．０＿０．５＿０．５*_11・２人),0)*(1+_11・C深夜)),0)*_11・初任),0)</f>
        <v>306</v>
      </c>
      <c r="Y10" s="48"/>
    </row>
    <row r="11" spans="1:25" ht="16.5" customHeight="1" x14ac:dyDescent="0.15">
      <c r="A11" s="41">
        <v>11</v>
      </c>
      <c r="B11" s="41">
        <v>4347</v>
      </c>
      <c r="C11" s="74" t="s">
        <v>7918</v>
      </c>
      <c r="D11" s="72"/>
      <c r="F11" s="169"/>
      <c r="G11" s="99"/>
      <c r="I11" s="99"/>
      <c r="J11" s="707" t="s">
        <v>3787</v>
      </c>
      <c r="K11" s="717"/>
      <c r="L11" s="44"/>
      <c r="M11" s="45"/>
      <c r="N11" s="46"/>
      <c r="O11" s="35"/>
      <c r="Q11" s="57"/>
      <c r="T11" s="57"/>
      <c r="U11" s="53"/>
      <c r="V11" s="49"/>
      <c r="W11" s="49"/>
      <c r="X11" s="208">
        <f>_11_A重度研修１．０+ROUND((_11_B重度研修１．０＿０．５*(1+_11・B夜間)),0)+ROUND((_11_C重度研修１．０＿０．５＿１．０*(1+_11・C深夜)),0)</f>
        <v>573</v>
      </c>
      <c r="Y11" s="48"/>
    </row>
    <row r="12" spans="1:25" ht="16.5" customHeight="1" x14ac:dyDescent="0.15">
      <c r="A12" s="41">
        <v>11</v>
      </c>
      <c r="B12" s="41">
        <v>4348</v>
      </c>
      <c r="C12" s="74" t="s">
        <v>7919</v>
      </c>
      <c r="D12" s="72"/>
      <c r="F12" s="169"/>
      <c r="G12" s="99"/>
      <c r="I12" s="99"/>
      <c r="J12" s="709"/>
      <c r="K12" s="718"/>
      <c r="L12" s="44" t="s">
        <v>397</v>
      </c>
      <c r="M12" s="45" t="s">
        <v>398</v>
      </c>
      <c r="N12" s="46">
        <v>1</v>
      </c>
      <c r="O12" s="35"/>
      <c r="Q12" s="57"/>
      <c r="T12" s="57"/>
      <c r="U12" s="43"/>
      <c r="V12" s="37"/>
      <c r="W12" s="37"/>
      <c r="X12" s="208">
        <f>ROUND((_11_A重度研修１．０*_11・２人),0)+ROUND((ROUND((_11_B重度研修１．０＿０．５*_11・２人),0)*(1+_11・B夜間)),0)+ROUND((ROUND((_11_C重度研修１．０＿０．５＿１．０*_11・２人),0)*(1+_11・C深夜)),0)</f>
        <v>573</v>
      </c>
      <c r="Y12" s="48"/>
    </row>
    <row r="13" spans="1:25" ht="16.5" customHeight="1" x14ac:dyDescent="0.15">
      <c r="A13" s="41">
        <v>11</v>
      </c>
      <c r="B13" s="41" t="s">
        <v>7920</v>
      </c>
      <c r="C13" s="74" t="s">
        <v>7921</v>
      </c>
      <c r="D13" s="72"/>
      <c r="F13" s="169"/>
      <c r="G13" s="99"/>
      <c r="I13" s="99"/>
      <c r="J13" s="709"/>
      <c r="K13" s="718"/>
      <c r="L13" s="44"/>
      <c r="M13" s="45"/>
      <c r="N13" s="46"/>
      <c r="O13" s="35"/>
      <c r="Q13" s="57"/>
      <c r="T13" s="57"/>
      <c r="U13" s="734" t="s">
        <v>404</v>
      </c>
      <c r="V13" s="49" t="s">
        <v>398</v>
      </c>
      <c r="W13" s="50">
        <f>_11・初任</f>
        <v>0.7</v>
      </c>
      <c r="X13" s="208">
        <f>ROUND((_11_A重度研修１．０*_11・初任),0)+ROUND((ROUND((_11_B重度研修１．０＿０．５*(1+_11・B夜間)),0)*_11・初任),0)+ROUND((ROUND((_11_C重度研修１．０＿０．５＿１．０*(1+_11・C深夜)),0)*_11・初任),0)</f>
        <v>402</v>
      </c>
      <c r="Y13" s="48"/>
    </row>
    <row r="14" spans="1:25" ht="16.5" customHeight="1" x14ac:dyDescent="0.15">
      <c r="A14" s="41">
        <v>11</v>
      </c>
      <c r="B14" s="41" t="s">
        <v>7922</v>
      </c>
      <c r="C14" s="74" t="s">
        <v>7923</v>
      </c>
      <c r="D14" s="72"/>
      <c r="F14" s="169"/>
      <c r="G14" s="99"/>
      <c r="I14" s="99"/>
      <c r="J14" s="125">
        <f>_11_C重度研修１．０＿０．５＿１．０</f>
        <v>183</v>
      </c>
      <c r="K14" s="12" t="s">
        <v>392</v>
      </c>
      <c r="L14" s="44" t="s">
        <v>397</v>
      </c>
      <c r="M14" s="45" t="s">
        <v>398</v>
      </c>
      <c r="N14" s="46">
        <v>1</v>
      </c>
      <c r="O14" s="35"/>
      <c r="Q14" s="57"/>
      <c r="T14" s="57"/>
      <c r="U14" s="706"/>
      <c r="V14" s="37"/>
      <c r="W14" s="38"/>
      <c r="X14" s="208">
        <f>ROUND((ROUND((_11_A重度研修１．０*_11・２人),0)*_11・初任),0)+ROUND((ROUND((ROUND((_11_B重度研修１．０＿０．５*_11・２人),0)*(1+_11・B夜間)),0)*_11・初任),0)+ROUND((ROUND((ROUND((_11_C重度研修１．０＿０．５＿１．０*_11・２人),0)*(1+_11・C深夜)),0)*_11・初任),0)</f>
        <v>402</v>
      </c>
      <c r="Y14" s="48"/>
    </row>
    <row r="15" spans="1:25" ht="16.5" customHeight="1" x14ac:dyDescent="0.15">
      <c r="A15" s="41">
        <v>11</v>
      </c>
      <c r="B15" s="41">
        <v>4349</v>
      </c>
      <c r="C15" s="74" t="s">
        <v>7924</v>
      </c>
      <c r="D15" s="72"/>
      <c r="F15" s="169"/>
      <c r="G15" s="99"/>
      <c r="I15" s="99"/>
      <c r="J15" s="707" t="s">
        <v>3794</v>
      </c>
      <c r="K15" s="717"/>
      <c r="L15" s="44"/>
      <c r="M15" s="45"/>
      <c r="N15" s="46"/>
      <c r="O15" s="35"/>
      <c r="Q15" s="57"/>
      <c r="T15" s="57"/>
      <c r="U15" s="53"/>
      <c r="V15" s="49"/>
      <c r="W15" s="50"/>
      <c r="X15" s="208">
        <f>_11_A重度研修１．０+ROUND((_11_B重度研修１．０＿０．５*(1+_11・B夜間)),0)+ROUND((_11_C重度研修１．０＿０．５＿１．５*(1+_11・C深夜)),0)</f>
        <v>711</v>
      </c>
      <c r="Y15" s="48"/>
    </row>
    <row r="16" spans="1:25" ht="16.5" customHeight="1" x14ac:dyDescent="0.15">
      <c r="A16" s="41">
        <v>11</v>
      </c>
      <c r="B16" s="41">
        <v>4350</v>
      </c>
      <c r="C16" s="74" t="s">
        <v>7925</v>
      </c>
      <c r="D16" s="72"/>
      <c r="F16" s="169"/>
      <c r="G16" s="99"/>
      <c r="I16" s="99"/>
      <c r="J16" s="709"/>
      <c r="K16" s="718"/>
      <c r="L16" s="44" t="s">
        <v>397</v>
      </c>
      <c r="M16" s="45" t="s">
        <v>398</v>
      </c>
      <c r="N16" s="46">
        <v>1</v>
      </c>
      <c r="O16" s="35"/>
      <c r="Q16" s="57"/>
      <c r="T16" s="57"/>
      <c r="U16" s="43"/>
      <c r="V16" s="37"/>
      <c r="W16" s="38"/>
      <c r="X16" s="208">
        <f>ROUND((_11_A重度研修１．０*_11・２人),0)+ROUND((ROUND((_11_B重度研修１．０＿０．５*_11・２人),0)*(1+_11・B夜間)),0)+ROUND((ROUND((_11_C重度研修１．０＿０．５＿１．５*_11・２人),0)*(1+_11・C深夜)),0)</f>
        <v>711</v>
      </c>
      <c r="Y16" s="48"/>
    </row>
    <row r="17" spans="1:25" ht="16.5" customHeight="1" x14ac:dyDescent="0.15">
      <c r="A17" s="41">
        <v>11</v>
      </c>
      <c r="B17" s="41" t="s">
        <v>7926</v>
      </c>
      <c r="C17" s="74" t="s">
        <v>7927</v>
      </c>
      <c r="D17" s="72"/>
      <c r="F17" s="169"/>
      <c r="G17" s="99"/>
      <c r="I17" s="99"/>
      <c r="J17" s="709"/>
      <c r="K17" s="718"/>
      <c r="L17" s="44"/>
      <c r="M17" s="45"/>
      <c r="N17" s="46"/>
      <c r="O17" s="35"/>
      <c r="Q17" s="57"/>
      <c r="T17" s="57"/>
      <c r="U17" s="734" t="s">
        <v>404</v>
      </c>
      <c r="V17" s="49" t="s">
        <v>398</v>
      </c>
      <c r="W17" s="50">
        <f>_11・初任</f>
        <v>0.7</v>
      </c>
      <c r="X17" s="208">
        <f>ROUND((_11_A重度研修１．０*_11・初任),0)+ROUND((ROUND((_11_B重度研修１．０＿０．５*(1+_11・B夜間)),0)*_11・初任),0)+ROUND((ROUND((_11_C重度研修１．０＿０．５＿１．５*(1+_11・C深夜)),0)*_11・初任),0)</f>
        <v>498</v>
      </c>
      <c r="Y17" s="48"/>
    </row>
    <row r="18" spans="1:25" ht="16.5" customHeight="1" x14ac:dyDescent="0.15">
      <c r="A18" s="41">
        <v>11</v>
      </c>
      <c r="B18" s="41" t="s">
        <v>7928</v>
      </c>
      <c r="C18" s="74" t="s">
        <v>7929</v>
      </c>
      <c r="D18" s="72"/>
      <c r="F18" s="169"/>
      <c r="G18" s="99"/>
      <c r="I18" s="99"/>
      <c r="J18" s="125">
        <f>_11_C重度研修１．０＿０．５＿１．５</f>
        <v>275</v>
      </c>
      <c r="K18" s="12" t="s">
        <v>392</v>
      </c>
      <c r="L18" s="44" t="s">
        <v>397</v>
      </c>
      <c r="M18" s="45" t="s">
        <v>398</v>
      </c>
      <c r="N18" s="46">
        <v>1</v>
      </c>
      <c r="O18" s="35"/>
      <c r="Q18" s="57"/>
      <c r="T18" s="57"/>
      <c r="U18" s="706"/>
      <c r="V18" s="37"/>
      <c r="W18" s="38"/>
      <c r="X18" s="208">
        <f>ROUND((ROUND((_11_A重度研修１．０*_11・２人),0)*_11・初任),0)+ROUND((ROUND((ROUND((_11_B重度研修１．０＿０．５*_11・２人),0)*(1+_11・B夜間)),0)*_11・初任),0)+ROUND((ROUND((ROUND((_11_C重度研修１．０＿０．５＿１．５*_11・２人),0)*(1+_11・C深夜)),0)*_11・初任),0)</f>
        <v>498</v>
      </c>
      <c r="Y18" s="48"/>
    </row>
    <row r="19" spans="1:25" ht="16.5" customHeight="1" x14ac:dyDescent="0.15">
      <c r="A19" s="41">
        <v>11</v>
      </c>
      <c r="B19" s="41">
        <v>4351</v>
      </c>
      <c r="C19" s="74" t="s">
        <v>7930</v>
      </c>
      <c r="D19" s="72"/>
      <c r="F19" s="169"/>
      <c r="G19" s="735" t="s">
        <v>3718</v>
      </c>
      <c r="H19" s="708"/>
      <c r="I19" s="717"/>
      <c r="J19" s="707" t="s">
        <v>3780</v>
      </c>
      <c r="K19" s="717"/>
      <c r="L19" s="44"/>
      <c r="M19" s="45"/>
      <c r="N19" s="46"/>
      <c r="O19" s="35"/>
      <c r="Q19" s="57"/>
      <c r="T19" s="57"/>
      <c r="U19" s="53"/>
      <c r="V19" s="49"/>
      <c r="W19" s="49"/>
      <c r="X19" s="208">
        <f>_11_A重度研修１．０+ROUND((_11_B重度研修１．０＿１．０*(1+_11・B夜間)),0)+ROUND((_11_C重度研修１．０＿１．０＿０．５*(1+_11・C深夜)),0)</f>
        <v>550</v>
      </c>
      <c r="Y19" s="48"/>
    </row>
    <row r="20" spans="1:25" ht="16.5" customHeight="1" x14ac:dyDescent="0.15">
      <c r="A20" s="41">
        <v>11</v>
      </c>
      <c r="B20" s="41">
        <v>4352</v>
      </c>
      <c r="C20" s="74" t="s">
        <v>7931</v>
      </c>
      <c r="D20" s="72"/>
      <c r="F20" s="169"/>
      <c r="G20" s="736"/>
      <c r="H20" s="704"/>
      <c r="I20" s="718"/>
      <c r="J20" s="709"/>
      <c r="K20" s="718"/>
      <c r="L20" s="44" t="s">
        <v>397</v>
      </c>
      <c r="M20" s="45" t="s">
        <v>398</v>
      </c>
      <c r="N20" s="46">
        <v>1</v>
      </c>
      <c r="O20" s="35"/>
      <c r="Q20" s="57"/>
      <c r="T20" s="57"/>
      <c r="U20" s="43"/>
      <c r="V20" s="37"/>
      <c r="W20" s="37"/>
      <c r="X20" s="208">
        <f>ROUND((_11_A重度研修１．０*_11・２人),0)+ROUND((ROUND((_11_B重度研修１．０＿１．０*_11・２人),0)*(1+_11・B夜間)),0)+ROUND((ROUND((_11_C重度研修１．０＿１．０＿０．５*_11・２人),0)*(1+_11・C深夜)),0)</f>
        <v>550</v>
      </c>
      <c r="Y20" s="48"/>
    </row>
    <row r="21" spans="1:25" ht="16.5" customHeight="1" x14ac:dyDescent="0.15">
      <c r="A21" s="41">
        <v>11</v>
      </c>
      <c r="B21" s="41" t="s">
        <v>7932</v>
      </c>
      <c r="C21" s="74" t="s">
        <v>7933</v>
      </c>
      <c r="D21" s="72"/>
      <c r="F21" s="169"/>
      <c r="G21" s="736"/>
      <c r="H21" s="704"/>
      <c r="I21" s="718"/>
      <c r="J21" s="709"/>
      <c r="K21" s="718"/>
      <c r="L21" s="44"/>
      <c r="M21" s="45"/>
      <c r="N21" s="46"/>
      <c r="O21" s="35"/>
      <c r="Q21" s="57"/>
      <c r="T21" s="57"/>
      <c r="U21" s="734" t="s">
        <v>404</v>
      </c>
      <c r="V21" s="49" t="s">
        <v>398</v>
      </c>
      <c r="W21" s="50">
        <f>_11・初任</f>
        <v>0.7</v>
      </c>
      <c r="X21" s="208">
        <f>ROUND((_11_A重度研修１．０*_11・初任),0)+ROUND((ROUND((_11_B重度研修１．０＿１．０*(1+_11・B夜間)),0)*_11・初任),0)+ROUND((ROUND((_11_C重度研修１．０＿１．０＿０．５*(1+_11・C深夜)),0)*_11・初任),0)</f>
        <v>386</v>
      </c>
      <c r="Y21" s="48"/>
    </row>
    <row r="22" spans="1:25" ht="16.5" customHeight="1" x14ac:dyDescent="0.15">
      <c r="A22" s="41">
        <v>11</v>
      </c>
      <c r="B22" s="41" t="s">
        <v>7934</v>
      </c>
      <c r="C22" s="74" t="s">
        <v>7935</v>
      </c>
      <c r="D22" s="72"/>
      <c r="F22" s="169"/>
      <c r="G22" s="99"/>
      <c r="H22" s="170">
        <f>_11_B重度研修１．０＿１．０</f>
        <v>182</v>
      </c>
      <c r="I22" s="12" t="s">
        <v>392</v>
      </c>
      <c r="J22" s="125">
        <f>_11_C重度研修１．０＿１．０＿０．５</f>
        <v>91</v>
      </c>
      <c r="K22" s="12" t="s">
        <v>392</v>
      </c>
      <c r="L22" s="44" t="s">
        <v>397</v>
      </c>
      <c r="M22" s="45" t="s">
        <v>398</v>
      </c>
      <c r="N22" s="46">
        <v>1</v>
      </c>
      <c r="O22" s="35"/>
      <c r="Q22" s="57"/>
      <c r="T22" s="57"/>
      <c r="U22" s="706"/>
      <c r="V22" s="37"/>
      <c r="W22" s="38"/>
      <c r="X22" s="208">
        <f>ROUND((ROUND((_11_A重度研修１．０*_11・２人),0)*_11・初任),0)+ROUND((ROUND((ROUND((_11_B重度研修１．０＿１．０*_11・２人),0)*(1+_11・B夜間)),0)*_11・初任),0)+ROUND((ROUND((ROUND((_11_C重度研修１．０＿１．０＿０．５*_11・２人),0)*(1+_11・C深夜)),0)*_11・初任),0)</f>
        <v>386</v>
      </c>
      <c r="Y22" s="48"/>
    </row>
    <row r="23" spans="1:25" ht="16.5" customHeight="1" x14ac:dyDescent="0.15">
      <c r="A23" s="41">
        <v>11</v>
      </c>
      <c r="B23" s="41">
        <v>4131</v>
      </c>
      <c r="C23" s="74" t="s">
        <v>7936</v>
      </c>
      <c r="D23" s="72"/>
      <c r="F23" s="169"/>
      <c r="G23" s="99"/>
      <c r="I23" s="99"/>
      <c r="J23" s="707" t="s">
        <v>3787</v>
      </c>
      <c r="K23" s="717"/>
      <c r="L23" s="44"/>
      <c r="M23" s="45"/>
      <c r="N23" s="46"/>
      <c r="O23" s="35"/>
      <c r="Q23" s="57"/>
      <c r="T23" s="57"/>
      <c r="U23" s="53"/>
      <c r="V23" s="49"/>
      <c r="W23" s="50"/>
      <c r="X23" s="208">
        <f>_11_A重度研修１．０+ROUND((_11_B重度研修１．０＿１．０*(1+_11・B夜間)),0)+ROUND((_11_C重度研修１．０＿１．０＿１．０*(1+_11・C深夜)),0)</f>
        <v>688</v>
      </c>
      <c r="Y23" s="48"/>
    </row>
    <row r="24" spans="1:25" ht="16.5" customHeight="1" x14ac:dyDescent="0.15">
      <c r="A24" s="41">
        <v>11</v>
      </c>
      <c r="B24" s="41">
        <v>4132</v>
      </c>
      <c r="C24" s="74" t="s">
        <v>7937</v>
      </c>
      <c r="D24" s="72"/>
      <c r="F24" s="169"/>
      <c r="G24" s="99"/>
      <c r="I24" s="99"/>
      <c r="J24" s="709"/>
      <c r="K24" s="718"/>
      <c r="L24" s="44" t="s">
        <v>397</v>
      </c>
      <c r="M24" s="45" t="s">
        <v>398</v>
      </c>
      <c r="N24" s="46">
        <v>1</v>
      </c>
      <c r="O24" s="35"/>
      <c r="Q24" s="57"/>
      <c r="T24" s="57"/>
      <c r="U24" s="43"/>
      <c r="V24" s="37"/>
      <c r="W24" s="38"/>
      <c r="X24" s="208">
        <f>ROUND((_11_A重度研修１．０*_11・２人),0)+ROUND((ROUND((_11_B重度研修１．０＿１．０*_11・２人),0)*(1+_11・B夜間)),0)+ROUND((ROUND((_11_C重度研修１．０＿１．０＿１．０*_11・２人),0)*(1+_11・C深夜)),0)</f>
        <v>688</v>
      </c>
      <c r="Y24" s="48"/>
    </row>
    <row r="25" spans="1:25" ht="16.5" customHeight="1" x14ac:dyDescent="0.15">
      <c r="A25" s="41">
        <v>11</v>
      </c>
      <c r="B25" s="41" t="s">
        <v>7938</v>
      </c>
      <c r="C25" s="74" t="s">
        <v>7939</v>
      </c>
      <c r="D25" s="72"/>
      <c r="F25" s="169"/>
      <c r="G25" s="99"/>
      <c r="I25" s="99"/>
      <c r="J25" s="709"/>
      <c r="K25" s="718"/>
      <c r="L25" s="44"/>
      <c r="M25" s="45"/>
      <c r="N25" s="46"/>
      <c r="O25" s="35"/>
      <c r="Q25" s="57"/>
      <c r="T25" s="57"/>
      <c r="U25" s="734" t="s">
        <v>404</v>
      </c>
      <c r="V25" s="49" t="s">
        <v>398</v>
      </c>
      <c r="W25" s="50">
        <f>_11・初任</f>
        <v>0.7</v>
      </c>
      <c r="X25" s="208">
        <f>ROUND((_11_A重度研修１．０*_11・初任),0)+ROUND((ROUND((_11_B重度研修１．０＿１．０*(1+_11・B夜間)),0)*_11・初任),0)+ROUND((ROUND((_11_C重度研修１．０＿１．０＿１．０*(1+_11・C深夜)),0)*_11・初任),0)</f>
        <v>483</v>
      </c>
      <c r="Y25" s="48"/>
    </row>
    <row r="26" spans="1:25" ht="16.5" customHeight="1" x14ac:dyDescent="0.15">
      <c r="A26" s="41">
        <v>11</v>
      </c>
      <c r="B26" s="41" t="s">
        <v>7940</v>
      </c>
      <c r="C26" s="74" t="s">
        <v>7941</v>
      </c>
      <c r="D26" s="72"/>
      <c r="F26" s="169"/>
      <c r="G26" s="99"/>
      <c r="I26" s="99"/>
      <c r="J26" s="125">
        <f>_11_C重度研修１．０＿１．０＿１．０</f>
        <v>183</v>
      </c>
      <c r="K26" s="12" t="s">
        <v>392</v>
      </c>
      <c r="L26" s="44" t="s">
        <v>397</v>
      </c>
      <c r="M26" s="45" t="s">
        <v>398</v>
      </c>
      <c r="N26" s="46">
        <v>1</v>
      </c>
      <c r="O26" s="35"/>
      <c r="Q26" s="57"/>
      <c r="T26" s="57"/>
      <c r="U26" s="706"/>
      <c r="V26" s="37"/>
      <c r="W26" s="38"/>
      <c r="X26" s="208">
        <f>ROUND((ROUND((_11_A重度研修１．０*_11・２人),0)*_11・初任),0)+ROUND((ROUND((ROUND((_11_B重度研修１．０＿１．０*_11・２人),0)*(1+_11・B夜間)),0)*_11・初任),0)+ROUND((ROUND((ROUND((_11_C重度研修１．０＿１．０＿１．０*_11・２人),0)*(1+_11・C深夜)),0)*_11・初任),0)</f>
        <v>483</v>
      </c>
      <c r="Y26" s="48"/>
    </row>
    <row r="27" spans="1:25" ht="16.5" customHeight="1" x14ac:dyDescent="0.15">
      <c r="A27" s="41">
        <v>11</v>
      </c>
      <c r="B27" s="41">
        <v>4353</v>
      </c>
      <c r="C27" s="74" t="s">
        <v>7942</v>
      </c>
      <c r="D27" s="72"/>
      <c r="F27" s="169"/>
      <c r="G27" s="735" t="s">
        <v>3725</v>
      </c>
      <c r="H27" s="708"/>
      <c r="I27" s="717"/>
      <c r="J27" s="707" t="s">
        <v>3780</v>
      </c>
      <c r="K27" s="717"/>
      <c r="L27" s="44"/>
      <c r="M27" s="45"/>
      <c r="N27" s="46"/>
      <c r="O27" s="35"/>
      <c r="Q27" s="57"/>
      <c r="T27" s="57"/>
      <c r="U27" s="53"/>
      <c r="V27" s="49"/>
      <c r="W27" s="49"/>
      <c r="X27" s="208">
        <f>_11_A重度研修１．０+ROUND((_11_B重度研修１．０＿１．５*(1+_11・B夜間)),0)+ROUND((_11_C重度研修１．０＿１．５＿０．５*(1+_11・C深夜)),0)</f>
        <v>664</v>
      </c>
      <c r="Y27" s="48"/>
    </row>
    <row r="28" spans="1:25" ht="16.5" customHeight="1" x14ac:dyDescent="0.15">
      <c r="A28" s="41">
        <v>11</v>
      </c>
      <c r="B28" s="41">
        <v>4354</v>
      </c>
      <c r="C28" s="74" t="s">
        <v>7943</v>
      </c>
      <c r="D28" s="72"/>
      <c r="F28" s="169"/>
      <c r="G28" s="736"/>
      <c r="H28" s="704"/>
      <c r="I28" s="718"/>
      <c r="J28" s="709"/>
      <c r="K28" s="718"/>
      <c r="L28" s="44" t="s">
        <v>397</v>
      </c>
      <c r="M28" s="45" t="s">
        <v>398</v>
      </c>
      <c r="N28" s="46">
        <v>1</v>
      </c>
      <c r="O28" s="35"/>
      <c r="Q28" s="57"/>
      <c r="T28" s="57"/>
      <c r="U28" s="43"/>
      <c r="V28" s="37"/>
      <c r="W28" s="37"/>
      <c r="X28" s="208">
        <f>ROUND((_11_A重度研修１．０*_11・２人),0)+ROUND((ROUND((_11_B重度研修１．０＿１．５*_11・２人),0)*(1+_11・B夜間)),0)+ROUND((ROUND((_11_C重度研修１．０＿１．５＿０．５*_11・２人),0)*(1+_11・C深夜)),0)</f>
        <v>664</v>
      </c>
      <c r="Y28" s="48"/>
    </row>
    <row r="29" spans="1:25" ht="16.5" customHeight="1" x14ac:dyDescent="0.15">
      <c r="A29" s="41">
        <v>11</v>
      </c>
      <c r="B29" s="41" t="s">
        <v>7944</v>
      </c>
      <c r="C29" s="74" t="s">
        <v>7945</v>
      </c>
      <c r="D29" s="72"/>
      <c r="F29" s="169"/>
      <c r="G29" s="736"/>
      <c r="H29" s="704"/>
      <c r="I29" s="718"/>
      <c r="J29" s="709"/>
      <c r="K29" s="718"/>
      <c r="L29" s="44"/>
      <c r="M29" s="45"/>
      <c r="N29" s="46"/>
      <c r="O29" s="35"/>
      <c r="Q29" s="57"/>
      <c r="T29" s="57"/>
      <c r="U29" s="734" t="s">
        <v>404</v>
      </c>
      <c r="V29" s="49" t="s">
        <v>398</v>
      </c>
      <c r="W29" s="50">
        <f>_11・初任</f>
        <v>0.7</v>
      </c>
      <c r="X29" s="208">
        <f>ROUND((_11_A重度研修１．０*_11・初任),0)+ROUND((ROUND((_11_B重度研修１．０＿１．５*(1+_11・B夜間)),0)*_11・初任),0)+ROUND((ROUND((_11_C重度研修１．０＿１．５＿０．５*(1+_11・C深夜)),0)*_11・初任),0)</f>
        <v>466</v>
      </c>
      <c r="Y29" s="48"/>
    </row>
    <row r="30" spans="1:25" ht="16.5" customHeight="1" x14ac:dyDescent="0.15">
      <c r="A30" s="41">
        <v>11</v>
      </c>
      <c r="B30" s="41" t="s">
        <v>7946</v>
      </c>
      <c r="C30" s="74" t="s">
        <v>7947</v>
      </c>
      <c r="D30" s="72"/>
      <c r="F30" s="169"/>
      <c r="G30" s="99"/>
      <c r="H30" s="170">
        <f>_11_B重度研修１．０＿１．５</f>
        <v>273</v>
      </c>
      <c r="I30" s="12" t="s">
        <v>392</v>
      </c>
      <c r="J30" s="125">
        <f>_11_C重度研修１．０＿１．５＿０．５</f>
        <v>92</v>
      </c>
      <c r="K30" s="12" t="s">
        <v>392</v>
      </c>
      <c r="L30" s="44" t="s">
        <v>397</v>
      </c>
      <c r="M30" s="45" t="s">
        <v>398</v>
      </c>
      <c r="N30" s="46">
        <v>1</v>
      </c>
      <c r="O30" s="35"/>
      <c r="Q30" s="57"/>
      <c r="T30" s="57"/>
      <c r="U30" s="706"/>
      <c r="V30" s="37"/>
      <c r="W30" s="38"/>
      <c r="X30" s="208">
        <f>ROUND((ROUND((_11_A重度研修１．０*_11・２人),0)*_11・初任),0)+ROUND((ROUND((ROUND((_11_B重度研修１．０＿１．５*_11・２人),0)*(1+_11・B夜間)),0)*_11・初任),0)+ROUND((ROUND((ROUND((_11_C重度研修１．０＿１．５＿０．５*_11・２人),0)*(1+_11・C深夜)),0)*_11・初任),0)</f>
        <v>466</v>
      </c>
      <c r="Y30" s="48"/>
    </row>
    <row r="31" spans="1:25" ht="16.5" customHeight="1" x14ac:dyDescent="0.15">
      <c r="A31" s="41">
        <v>11</v>
      </c>
      <c r="B31" s="41">
        <v>4355</v>
      </c>
      <c r="C31" s="74" t="s">
        <v>7948</v>
      </c>
      <c r="D31" s="707" t="s">
        <v>3739</v>
      </c>
      <c r="E31" s="708"/>
      <c r="F31" s="740"/>
      <c r="G31" s="735" t="s">
        <v>3711</v>
      </c>
      <c r="H31" s="708"/>
      <c r="I31" s="717"/>
      <c r="J31" s="707" t="s">
        <v>3780</v>
      </c>
      <c r="K31" s="717"/>
      <c r="L31" s="44"/>
      <c r="M31" s="45"/>
      <c r="N31" s="46"/>
      <c r="O31" s="35"/>
      <c r="Q31" s="57"/>
      <c r="T31" s="57"/>
      <c r="U31" s="53"/>
      <c r="V31" s="49"/>
      <c r="W31" s="50"/>
      <c r="X31" s="208">
        <f>_11_A重度研修１．５+ROUND((_11_B重度研修１．５＿０．５*(1+_11・B夜間)),0)+ROUND((_11_C重度研修１．５＿０．５＿０．５*(1+_11・C深夜)),0)</f>
        <v>527</v>
      </c>
      <c r="Y31" s="48"/>
    </row>
    <row r="32" spans="1:25" ht="16.5" customHeight="1" x14ac:dyDescent="0.15">
      <c r="A32" s="41">
        <v>11</v>
      </c>
      <c r="B32" s="41">
        <v>4356</v>
      </c>
      <c r="C32" s="74" t="s">
        <v>7949</v>
      </c>
      <c r="D32" s="709"/>
      <c r="E32" s="704"/>
      <c r="F32" s="739"/>
      <c r="G32" s="736"/>
      <c r="H32" s="704"/>
      <c r="I32" s="718"/>
      <c r="J32" s="709"/>
      <c r="K32" s="718"/>
      <c r="L32" s="44" t="s">
        <v>397</v>
      </c>
      <c r="M32" s="45" t="s">
        <v>398</v>
      </c>
      <c r="N32" s="46">
        <v>1</v>
      </c>
      <c r="O32" s="35"/>
      <c r="Q32" s="57"/>
      <c r="T32" s="57"/>
      <c r="U32" s="43"/>
      <c r="V32" s="37"/>
      <c r="W32" s="38"/>
      <c r="X32" s="208">
        <f>ROUND((_11_A重度研修１．５*_11・２人),0)+ROUND((ROUND((_11_B重度研修１．５＿０．５*_11・２人),0)*(1+_11・B夜間)),0)+ROUND((ROUND((_11_C重度研修１．５＿０．５＿０．５*_11・２人),0)*(1+_11・C深夜)),0)</f>
        <v>527</v>
      </c>
      <c r="Y32" s="48"/>
    </row>
    <row r="33" spans="1:25" ht="16.5" customHeight="1" x14ac:dyDescent="0.15">
      <c r="A33" s="41">
        <v>11</v>
      </c>
      <c r="B33" s="41" t="s">
        <v>7950</v>
      </c>
      <c r="C33" s="74" t="s">
        <v>7951</v>
      </c>
      <c r="D33" s="709"/>
      <c r="E33" s="704"/>
      <c r="F33" s="739"/>
      <c r="G33" s="736"/>
      <c r="H33" s="704"/>
      <c r="I33" s="718"/>
      <c r="J33" s="709"/>
      <c r="K33" s="718"/>
      <c r="L33" s="44"/>
      <c r="M33" s="45"/>
      <c r="N33" s="46"/>
      <c r="O33" s="35"/>
      <c r="Q33" s="57"/>
      <c r="T33" s="57"/>
      <c r="U33" s="734" t="s">
        <v>404</v>
      </c>
      <c r="V33" s="49" t="s">
        <v>398</v>
      </c>
      <c r="W33" s="50">
        <f>_11・初任</f>
        <v>0.7</v>
      </c>
      <c r="X33" s="208">
        <f>ROUND((_11_A重度研修１．５*_11・初任),0)+ROUND((ROUND((_11_B重度研修１．５＿０．５*(1+_11・B夜間)),0)*_11・初任),0)+ROUND((ROUND((_11_C重度研修１．５＿０．５＿０．５*(1+_11・C深夜)),0)*_11・初任),0)</f>
        <v>370</v>
      </c>
      <c r="Y33" s="48"/>
    </row>
    <row r="34" spans="1:25" ht="16.5" customHeight="1" x14ac:dyDescent="0.15">
      <c r="A34" s="41">
        <v>11</v>
      </c>
      <c r="B34" s="41" t="s">
        <v>7952</v>
      </c>
      <c r="C34" s="74" t="s">
        <v>7953</v>
      </c>
      <c r="D34" s="72"/>
      <c r="E34" s="170">
        <f>_11_A重度研修１．５</f>
        <v>275</v>
      </c>
      <c r="F34" s="171" t="s">
        <v>392</v>
      </c>
      <c r="G34" s="12"/>
      <c r="H34" s="170">
        <f>_11_B重度研修１．５＿０．５</f>
        <v>92</v>
      </c>
      <c r="I34" s="12" t="s">
        <v>392</v>
      </c>
      <c r="J34" s="125">
        <f>_11_C重度研修１．５＿０．５＿０．５</f>
        <v>91</v>
      </c>
      <c r="K34" s="12" t="s">
        <v>392</v>
      </c>
      <c r="L34" s="44" t="s">
        <v>397</v>
      </c>
      <c r="M34" s="45" t="s">
        <v>398</v>
      </c>
      <c r="N34" s="46">
        <v>1</v>
      </c>
      <c r="O34" s="35"/>
      <c r="Q34" s="57"/>
      <c r="T34" s="57"/>
      <c r="U34" s="706"/>
      <c r="V34" s="37"/>
      <c r="W34" s="38"/>
      <c r="X34" s="208">
        <f>ROUND((ROUND((_11_A重度研修１．５*_11・２人),0)*_11・初任),0)+ROUND((ROUND((ROUND((_11_B重度研修１．５＿０．５*_11・２人),0)*(1+_11・B夜間)),0)*_11・初任),0)+ROUND((ROUND((ROUND((_11_C重度研修１．５＿０．５＿０．５*_11・２人),0)*(1+_11・C深夜)),0)*_11・初任),0)</f>
        <v>370</v>
      </c>
      <c r="Y34" s="48"/>
    </row>
    <row r="35" spans="1:25" ht="16.5" customHeight="1" x14ac:dyDescent="0.15">
      <c r="A35" s="41">
        <v>11</v>
      </c>
      <c r="B35" s="41">
        <v>4357</v>
      </c>
      <c r="C35" s="74" t="s">
        <v>7954</v>
      </c>
      <c r="D35" s="72"/>
      <c r="F35" s="169"/>
      <c r="G35" s="99"/>
      <c r="I35" s="99"/>
      <c r="J35" s="707" t="s">
        <v>3787</v>
      </c>
      <c r="K35" s="717"/>
      <c r="L35" s="44"/>
      <c r="M35" s="45"/>
      <c r="N35" s="46"/>
      <c r="O35" s="35"/>
      <c r="Q35" s="57"/>
      <c r="T35" s="57"/>
      <c r="U35" s="53"/>
      <c r="V35" s="49"/>
      <c r="W35" s="49"/>
      <c r="X35" s="208">
        <f>_11_A重度研修１．５+ROUND((_11_B重度研修１．５＿０．５*(1+_11・B夜間)),0)+ROUND((_11_C重度研修１．５＿０．５＿１．０*(1+_11・C深夜)),0)</f>
        <v>665</v>
      </c>
      <c r="Y35" s="48"/>
    </row>
    <row r="36" spans="1:25" ht="16.5" customHeight="1" x14ac:dyDescent="0.15">
      <c r="A36" s="41">
        <v>11</v>
      </c>
      <c r="B36" s="41">
        <v>4358</v>
      </c>
      <c r="C36" s="74" t="s">
        <v>7955</v>
      </c>
      <c r="D36" s="72"/>
      <c r="F36" s="169"/>
      <c r="G36" s="99"/>
      <c r="I36" s="99"/>
      <c r="J36" s="709"/>
      <c r="K36" s="718"/>
      <c r="L36" s="44" t="s">
        <v>397</v>
      </c>
      <c r="M36" s="45" t="s">
        <v>398</v>
      </c>
      <c r="N36" s="46">
        <v>1</v>
      </c>
      <c r="O36" s="35"/>
      <c r="Q36" s="57"/>
      <c r="T36" s="57"/>
      <c r="U36" s="43"/>
      <c r="V36" s="37"/>
      <c r="W36" s="37"/>
      <c r="X36" s="208">
        <f>ROUND((_11_A重度研修１．５*_11・２人),0)+ROUND((ROUND((_11_B重度研修１．５＿０．５*_11・２人),0)*(1+_11・B夜間)),0)+ROUND((ROUND((_11_C重度研修１．５＿０．５＿１．０*_11・２人),0)*(1+_11・C深夜)),0)</f>
        <v>665</v>
      </c>
      <c r="Y36" s="48"/>
    </row>
    <row r="37" spans="1:25" ht="16.5" customHeight="1" x14ac:dyDescent="0.15">
      <c r="A37" s="41">
        <v>11</v>
      </c>
      <c r="B37" s="41" t="s">
        <v>7956</v>
      </c>
      <c r="C37" s="74" t="s">
        <v>7957</v>
      </c>
      <c r="D37" s="72"/>
      <c r="F37" s="169"/>
      <c r="G37" s="99"/>
      <c r="I37" s="99"/>
      <c r="J37" s="709"/>
      <c r="K37" s="718"/>
      <c r="L37" s="44"/>
      <c r="M37" s="45"/>
      <c r="N37" s="46"/>
      <c r="O37" s="35"/>
      <c r="Q37" s="57"/>
      <c r="T37" s="57"/>
      <c r="U37" s="734" t="s">
        <v>404</v>
      </c>
      <c r="V37" s="49" t="s">
        <v>398</v>
      </c>
      <c r="W37" s="50">
        <f>_11・初任</f>
        <v>0.7</v>
      </c>
      <c r="X37" s="208">
        <f>ROUND((_11_A重度研修１．５*_11・初任),0)+ROUND((ROUND((_11_B重度研修１．５＿０．５*(1+_11・B夜間)),0)*_11・初任),0)+ROUND((ROUND((_11_C重度研修１．５＿０．５＿１．０*(1+_11・C深夜)),0)*_11・初任),0)</f>
        <v>467</v>
      </c>
      <c r="Y37" s="48"/>
    </row>
    <row r="38" spans="1:25" ht="16.5" customHeight="1" x14ac:dyDescent="0.15">
      <c r="A38" s="41">
        <v>11</v>
      </c>
      <c r="B38" s="41" t="s">
        <v>7958</v>
      </c>
      <c r="C38" s="74" t="s">
        <v>7959</v>
      </c>
      <c r="D38" s="72"/>
      <c r="F38" s="169"/>
      <c r="G38" s="99"/>
      <c r="I38" s="99"/>
      <c r="J38" s="125">
        <f>_11_C重度研修１．５＿０．５＿１．０</f>
        <v>183</v>
      </c>
      <c r="K38" s="12" t="s">
        <v>392</v>
      </c>
      <c r="L38" s="44" t="s">
        <v>397</v>
      </c>
      <c r="M38" s="45" t="s">
        <v>398</v>
      </c>
      <c r="N38" s="46">
        <v>1</v>
      </c>
      <c r="O38" s="35"/>
      <c r="Q38" s="57"/>
      <c r="T38" s="57"/>
      <c r="U38" s="706"/>
      <c r="V38" s="37"/>
      <c r="W38" s="38"/>
      <c r="X38" s="208">
        <f>ROUND((ROUND((_11_A重度研修１．５*_11・２人),0)*_11・初任),0)+ROUND((ROUND((ROUND((_11_B重度研修１．５＿０．５*_11・２人),0)*(1+_11・B夜間)),0)*_11・初任),0)+ROUND((ROUND((ROUND((_11_C重度研修１．５＿０．５＿１．０*_11・２人),0)*(1+_11・C深夜)),0)*_11・初任),0)</f>
        <v>467</v>
      </c>
      <c r="Y38" s="48"/>
    </row>
    <row r="39" spans="1:25" ht="16.5" customHeight="1" x14ac:dyDescent="0.15">
      <c r="A39" s="41">
        <v>11</v>
      </c>
      <c r="B39" s="41">
        <v>4359</v>
      </c>
      <c r="C39" s="74" t="s">
        <v>7960</v>
      </c>
      <c r="D39" s="72"/>
      <c r="F39" s="169"/>
      <c r="G39" s="735" t="s">
        <v>3718</v>
      </c>
      <c r="H39" s="708"/>
      <c r="I39" s="717"/>
      <c r="J39" s="707" t="s">
        <v>3780</v>
      </c>
      <c r="K39" s="717"/>
      <c r="L39" s="44"/>
      <c r="M39" s="45"/>
      <c r="N39" s="46"/>
      <c r="O39" s="35"/>
      <c r="Q39" s="57"/>
      <c r="T39" s="57"/>
      <c r="U39" s="53"/>
      <c r="V39" s="49"/>
      <c r="W39" s="50"/>
      <c r="X39" s="208">
        <f>_11_A重度研修１．５+ROUND((_11_B重度研修１．５＿１．０*(1+_11・B夜間)),0)+ROUND((_11_C重度研修１．５＿１．０＿０．５*(1+_11・C深夜)),0)</f>
        <v>642</v>
      </c>
      <c r="Y39" s="48"/>
    </row>
    <row r="40" spans="1:25" ht="16.5" customHeight="1" x14ac:dyDescent="0.15">
      <c r="A40" s="41">
        <v>11</v>
      </c>
      <c r="B40" s="41">
        <v>4360</v>
      </c>
      <c r="C40" s="74" t="s">
        <v>7961</v>
      </c>
      <c r="D40" s="72"/>
      <c r="F40" s="169"/>
      <c r="G40" s="736"/>
      <c r="H40" s="704"/>
      <c r="I40" s="718"/>
      <c r="J40" s="709"/>
      <c r="K40" s="718"/>
      <c r="L40" s="44" t="s">
        <v>397</v>
      </c>
      <c r="M40" s="45" t="s">
        <v>398</v>
      </c>
      <c r="N40" s="46">
        <v>1</v>
      </c>
      <c r="O40" s="35"/>
      <c r="Q40" s="57"/>
      <c r="T40" s="57"/>
      <c r="U40" s="43"/>
      <c r="V40" s="37"/>
      <c r="W40" s="38"/>
      <c r="X40" s="208">
        <f>ROUND((_11_A重度研修１．５*_11・２人),0)+ROUND((ROUND((_11_B重度研修１．５＿１．０*_11・２人),0)*(1+_11・B夜間)),0)+ROUND((ROUND((_11_C重度研修１．５＿１．０＿０．５*_11・２人),0)*(1+_11・C深夜)),0)</f>
        <v>642</v>
      </c>
      <c r="Y40" s="48"/>
    </row>
    <row r="41" spans="1:25" ht="16.5" customHeight="1" x14ac:dyDescent="0.15">
      <c r="A41" s="41">
        <v>11</v>
      </c>
      <c r="B41" s="41" t="s">
        <v>7962</v>
      </c>
      <c r="C41" s="74" t="s">
        <v>7963</v>
      </c>
      <c r="D41" s="72"/>
      <c r="F41" s="169"/>
      <c r="G41" s="736"/>
      <c r="H41" s="704"/>
      <c r="I41" s="718"/>
      <c r="J41" s="709"/>
      <c r="K41" s="718"/>
      <c r="L41" s="44"/>
      <c r="M41" s="45"/>
      <c r="N41" s="46"/>
      <c r="O41" s="35"/>
      <c r="Q41" s="57"/>
      <c r="T41" s="57"/>
      <c r="U41" s="734" t="s">
        <v>404</v>
      </c>
      <c r="V41" s="49" t="s">
        <v>398</v>
      </c>
      <c r="W41" s="50">
        <f>_11・初任</f>
        <v>0.7</v>
      </c>
      <c r="X41" s="208">
        <f>ROUND((_11_A重度研修１．５*_11・初任),0)+ROUND((ROUND((_11_B重度研修１．５＿１．０*(1+_11・B夜間)),0)*_11・初任),0)+ROUND((ROUND((_11_C重度研修１．５＿１．０＿０．５*(1+_11・C深夜)),0)*_11・初任),0)</f>
        <v>450</v>
      </c>
      <c r="Y41" s="48"/>
    </row>
    <row r="42" spans="1:25" ht="16.5" customHeight="1" x14ac:dyDescent="0.15">
      <c r="A42" s="41">
        <v>11</v>
      </c>
      <c r="B42" s="41" t="s">
        <v>7964</v>
      </c>
      <c r="C42" s="74" t="s">
        <v>7965</v>
      </c>
      <c r="D42" s="72"/>
      <c r="F42" s="169"/>
      <c r="G42" s="99"/>
      <c r="H42" s="170">
        <f>_11_B重度研修１．５＿１．０</f>
        <v>183</v>
      </c>
      <c r="I42" s="12" t="s">
        <v>392</v>
      </c>
      <c r="J42" s="125">
        <f>_11_C重度研修１．５＿１．０＿０．５</f>
        <v>92</v>
      </c>
      <c r="K42" s="12" t="s">
        <v>392</v>
      </c>
      <c r="L42" s="44" t="s">
        <v>397</v>
      </c>
      <c r="M42" s="45" t="s">
        <v>398</v>
      </c>
      <c r="N42" s="46">
        <v>1</v>
      </c>
      <c r="O42" s="35"/>
      <c r="Q42" s="57"/>
      <c r="T42" s="57"/>
      <c r="U42" s="706"/>
      <c r="V42" s="37"/>
      <c r="W42" s="38"/>
      <c r="X42" s="208">
        <f>ROUND((ROUND((_11_A重度研修１．５*_11・２人),0)*_11・初任),0)+ROUND((ROUND((ROUND((_11_B重度研修１．５＿１．０*_11・２人),0)*(1+_11・B夜間)),0)*_11・初任),0)+ROUND((ROUND((ROUND((_11_C重度研修１．５＿１．０＿０．５*_11・２人),0)*(1+_11・C深夜)),0)*_11・初任),0)</f>
        <v>450</v>
      </c>
      <c r="Y42" s="48"/>
    </row>
    <row r="43" spans="1:25" ht="16.5" customHeight="1" x14ac:dyDescent="0.15">
      <c r="A43" s="41">
        <v>11</v>
      </c>
      <c r="B43" s="41">
        <v>4363</v>
      </c>
      <c r="C43" s="74" t="s">
        <v>7966</v>
      </c>
      <c r="D43" s="707" t="s">
        <v>3758</v>
      </c>
      <c r="E43" s="708"/>
      <c r="F43" s="740"/>
      <c r="G43" s="735" t="s">
        <v>3711</v>
      </c>
      <c r="H43" s="708"/>
      <c r="I43" s="717"/>
      <c r="J43" s="707" t="s">
        <v>3780</v>
      </c>
      <c r="K43" s="717"/>
      <c r="L43" s="44"/>
      <c r="M43" s="45"/>
      <c r="N43" s="46"/>
      <c r="O43" s="35"/>
      <c r="Q43" s="57"/>
      <c r="T43" s="57"/>
      <c r="U43" s="53"/>
      <c r="V43" s="49"/>
      <c r="W43" s="49"/>
      <c r="X43" s="208">
        <f>_11_A重度研修２．０+ROUND((_11_B重度研修２．０＿０．５*(1+_11・B夜間)),0)+ROUND((_11_C重度研修２．０＿０．５＿０．５*(1+_11・C深夜)),0)</f>
        <v>619</v>
      </c>
      <c r="Y43" s="48"/>
    </row>
    <row r="44" spans="1:25" ht="16.5" customHeight="1" x14ac:dyDescent="0.15">
      <c r="A44" s="41">
        <v>11</v>
      </c>
      <c r="B44" s="41">
        <v>4364</v>
      </c>
      <c r="C44" s="74" t="s">
        <v>7967</v>
      </c>
      <c r="D44" s="709"/>
      <c r="E44" s="704"/>
      <c r="F44" s="739"/>
      <c r="G44" s="736"/>
      <c r="H44" s="704"/>
      <c r="I44" s="718"/>
      <c r="J44" s="709"/>
      <c r="K44" s="718"/>
      <c r="L44" s="44" t="s">
        <v>397</v>
      </c>
      <c r="M44" s="45" t="s">
        <v>398</v>
      </c>
      <c r="N44" s="46">
        <v>1</v>
      </c>
      <c r="O44" s="35"/>
      <c r="Q44" s="57"/>
      <c r="T44" s="57"/>
      <c r="U44" s="43"/>
      <c r="V44" s="37"/>
      <c r="W44" s="37"/>
      <c r="X44" s="208">
        <f>ROUND((_11_A重度研修２．０*_11・２人),0)+ROUND((ROUND((_11_B重度研修２．０＿０．５*_11・２人),0)*(1+_11・B夜間)),0)+ROUND((ROUND((_11_C重度研修２．０＿０．５＿０．５*_11・２人),0)*(1+_11・C深夜)),0)</f>
        <v>619</v>
      </c>
      <c r="Y44" s="48"/>
    </row>
    <row r="45" spans="1:25" ht="16.5" customHeight="1" x14ac:dyDescent="0.15">
      <c r="A45" s="41">
        <v>11</v>
      </c>
      <c r="B45" s="41" t="s">
        <v>7968</v>
      </c>
      <c r="C45" s="74" t="s">
        <v>7969</v>
      </c>
      <c r="D45" s="709"/>
      <c r="E45" s="704"/>
      <c r="F45" s="739"/>
      <c r="G45" s="736"/>
      <c r="H45" s="704"/>
      <c r="I45" s="718"/>
      <c r="J45" s="709"/>
      <c r="K45" s="718"/>
      <c r="L45" s="44"/>
      <c r="M45" s="45"/>
      <c r="N45" s="46"/>
      <c r="O45" s="35"/>
      <c r="Q45" s="57"/>
      <c r="T45" s="57"/>
      <c r="U45" s="734" t="s">
        <v>404</v>
      </c>
      <c r="V45" s="49" t="s">
        <v>398</v>
      </c>
      <c r="W45" s="50">
        <f>_11・初任</f>
        <v>0.7</v>
      </c>
      <c r="X45" s="208">
        <f>ROUND((_11_A重度研修２．０*_11・初任),0)+ROUND((ROUND((_11_B重度研修２．０＿０．５*(1+_11・B夜間)),0)*_11・初任),0)+ROUND((ROUND((_11_C重度研修２．０＿０．５＿０．５*(1+_11・C深夜)),0)*_11・初任),0)</f>
        <v>434</v>
      </c>
      <c r="Y45" s="48"/>
    </row>
    <row r="46" spans="1:25" ht="16.5" customHeight="1" x14ac:dyDescent="0.15">
      <c r="A46" s="41">
        <v>11</v>
      </c>
      <c r="B46" s="41" t="s">
        <v>7970</v>
      </c>
      <c r="C46" s="74" t="s">
        <v>7971</v>
      </c>
      <c r="D46" s="122"/>
      <c r="E46" s="176">
        <f>_11_A重度研修２．０</f>
        <v>367</v>
      </c>
      <c r="F46" s="175" t="s">
        <v>392</v>
      </c>
      <c r="G46" s="37"/>
      <c r="H46" s="176">
        <f>_11_B重度研修２．０＿０．５</f>
        <v>91</v>
      </c>
      <c r="I46" s="37" t="s">
        <v>392</v>
      </c>
      <c r="J46" s="186">
        <f>_11_C重度研修２．０＿０．５＿０．５</f>
        <v>92</v>
      </c>
      <c r="K46" s="37" t="s">
        <v>392</v>
      </c>
      <c r="L46" s="44" t="s">
        <v>397</v>
      </c>
      <c r="M46" s="45" t="s">
        <v>398</v>
      </c>
      <c r="N46" s="46">
        <v>1</v>
      </c>
      <c r="O46" s="43"/>
      <c r="P46" s="38"/>
      <c r="Q46" s="79"/>
      <c r="R46" s="37"/>
      <c r="S46" s="38"/>
      <c r="T46" s="79"/>
      <c r="U46" s="706"/>
      <c r="V46" s="37"/>
      <c r="W46" s="38"/>
      <c r="X46" s="208">
        <f>ROUND((ROUND((_11_A重度研修２．０*_11・２人),0)*_11・初任),0)+ROUND((ROUND((ROUND((_11_B重度研修２．０＿０．５*_11・２人),0)*(1+_11・B夜間)),0)*_11・初任),0)+ROUND((ROUND((ROUND((_11_C重度研修２．０＿０．５＿０．５*_11・２人),0)*(1+_11・C深夜)),0)*_11・初任),0)</f>
        <v>434</v>
      </c>
      <c r="Y46" s="63"/>
    </row>
    <row r="47" spans="1:25" ht="16.5" customHeight="1" x14ac:dyDescent="0.15"/>
    <row r="48" spans="1:25" ht="16.5" customHeight="1" x14ac:dyDescent="0.15"/>
  </sheetData>
  <mergeCells count="32">
    <mergeCell ref="J39:K41"/>
    <mergeCell ref="U41:U42"/>
    <mergeCell ref="D43:F45"/>
    <mergeCell ref="G43:I45"/>
    <mergeCell ref="J43:K45"/>
    <mergeCell ref="U45:U46"/>
    <mergeCell ref="G39:I41"/>
    <mergeCell ref="J23:K25"/>
    <mergeCell ref="U25:U26"/>
    <mergeCell ref="G27:I29"/>
    <mergeCell ref="J27:K29"/>
    <mergeCell ref="U29:U30"/>
    <mergeCell ref="D31:F33"/>
    <mergeCell ref="G31:I33"/>
    <mergeCell ref="J31:K33"/>
    <mergeCell ref="U33:U34"/>
    <mergeCell ref="J35:K37"/>
    <mergeCell ref="U37:U38"/>
    <mergeCell ref="G19:I21"/>
    <mergeCell ref="J19:K21"/>
    <mergeCell ref="U21:U22"/>
    <mergeCell ref="G6:I6"/>
    <mergeCell ref="D7:F9"/>
    <mergeCell ref="G7:I9"/>
    <mergeCell ref="J7:K9"/>
    <mergeCell ref="Q8:Q9"/>
    <mergeCell ref="T8:T9"/>
    <mergeCell ref="U9:U10"/>
    <mergeCell ref="J11:K13"/>
    <mergeCell ref="U13:U14"/>
    <mergeCell ref="J15:K17"/>
    <mergeCell ref="U17:U18"/>
  </mergeCells>
  <phoneticPr fontId="1"/>
  <printOptions horizontalCentered="1"/>
  <pageMargins left="0.70866141732283472" right="0.70866141732283472" top="0.74803149606299213" bottom="0.74803149606299213" header="0.31496062992125984" footer="0.31496062992125984"/>
  <pageSetup paperSize="9" scale="46" fitToHeight="0" orientation="portrait" r:id="rId1"/>
  <headerFooter>
    <oddHeader>&amp;R&amp;"ＭＳ Ｐゴシック"&amp;9居宅介護</oddHeader>
    <oddFooter>&amp;C&amp;"ＭＳ Ｐゴシック"&amp;14&amp;P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4"/>
  <dimension ref="A1:P117"/>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bestFit="1" customWidth="1"/>
    <col min="4" max="4" width="4.875" style="199" customWidth="1"/>
    <col min="5" max="5" width="4.875" style="12" customWidth="1"/>
    <col min="6" max="6" width="26" style="14" customWidth="1"/>
    <col min="7" max="7" width="2.5" style="16" customWidth="1"/>
    <col min="8" max="8" width="5.5" style="13" bestFit="1" customWidth="1"/>
    <col min="9" max="9" width="2.5" style="12" customWidth="1"/>
    <col min="10" max="10" width="3.875" style="13" customWidth="1"/>
    <col min="11" max="11" width="5.5" style="12" bestFit="1" customWidth="1"/>
    <col min="12" max="12" width="17.875" style="12" customWidth="1"/>
    <col min="13" max="13" width="2.5" style="16" customWidth="1"/>
    <col min="14" max="14" width="4.5" style="13" bestFit="1" customWidth="1"/>
    <col min="15" max="15" width="7.125" style="15" customWidth="1"/>
    <col min="16" max="16" width="8.5" style="16" customWidth="1"/>
    <col min="17" max="16384" width="8.875" style="12"/>
  </cols>
  <sheetData>
    <row r="1" spans="1:16" ht="17.100000000000001" customHeight="1" x14ac:dyDescent="0.15"/>
    <row r="2" spans="1:16" ht="17.100000000000001" customHeight="1" x14ac:dyDescent="0.15"/>
    <row r="3" spans="1:16" ht="17.100000000000001" customHeight="1" x14ac:dyDescent="0.15"/>
    <row r="4" spans="1:16" ht="17.100000000000001" customHeight="1" x14ac:dyDescent="0.15">
      <c r="B4" s="17" t="s">
        <v>7972</v>
      </c>
      <c r="D4" s="200"/>
    </row>
    <row r="5" spans="1:16" ht="16.5" customHeight="1" x14ac:dyDescent="0.15">
      <c r="A5" s="19" t="s">
        <v>384</v>
      </c>
      <c r="B5" s="20"/>
      <c r="C5" s="21" t="s">
        <v>385</v>
      </c>
      <c r="D5" s="212" t="s">
        <v>386</v>
      </c>
      <c r="E5" s="23"/>
      <c r="F5" s="23"/>
      <c r="G5" s="23"/>
      <c r="H5" s="24"/>
      <c r="I5" s="23"/>
      <c r="J5" s="24"/>
      <c r="K5" s="23"/>
      <c r="L5" s="23"/>
      <c r="M5" s="23"/>
      <c r="N5" s="24"/>
      <c r="O5" s="25" t="s">
        <v>387</v>
      </c>
      <c r="P5" s="21" t="s">
        <v>388</v>
      </c>
    </row>
    <row r="6" spans="1:16" ht="16.5" customHeight="1" x14ac:dyDescent="0.15">
      <c r="A6" s="26" t="s">
        <v>389</v>
      </c>
      <c r="B6" s="26" t="s">
        <v>390</v>
      </c>
      <c r="C6" s="27"/>
      <c r="D6" s="213"/>
      <c r="E6" s="29"/>
      <c r="F6" s="29"/>
      <c r="G6" s="214"/>
      <c r="H6" s="30"/>
      <c r="I6" s="29"/>
      <c r="J6" s="30"/>
      <c r="K6" s="29"/>
      <c r="L6" s="29"/>
      <c r="M6" s="214"/>
      <c r="N6" s="30"/>
      <c r="O6" s="31" t="s">
        <v>391</v>
      </c>
      <c r="P6" s="32" t="s">
        <v>392</v>
      </c>
    </row>
    <row r="7" spans="1:16" ht="16.5" customHeight="1" x14ac:dyDescent="0.15">
      <c r="A7" s="33">
        <v>11</v>
      </c>
      <c r="B7" s="33">
        <v>4133</v>
      </c>
      <c r="C7" s="135" t="s">
        <v>7973</v>
      </c>
      <c r="D7" s="709" t="s">
        <v>394</v>
      </c>
      <c r="E7" s="718"/>
      <c r="F7" s="215"/>
      <c r="G7" s="216"/>
      <c r="H7" s="38"/>
      <c r="I7" s="35"/>
      <c r="K7" s="57"/>
      <c r="O7" s="39">
        <f>_11_A重度研修増０．５</f>
        <v>86</v>
      </c>
      <c r="P7" s="40" t="s">
        <v>395</v>
      </c>
    </row>
    <row r="8" spans="1:16" ht="16.5" customHeight="1" x14ac:dyDescent="0.15">
      <c r="A8" s="41">
        <v>11</v>
      </c>
      <c r="B8" s="41">
        <v>4134</v>
      </c>
      <c r="C8" s="127" t="s">
        <v>7974</v>
      </c>
      <c r="D8" s="709"/>
      <c r="E8" s="718"/>
      <c r="F8" s="217" t="s">
        <v>397</v>
      </c>
      <c r="G8" s="218" t="s">
        <v>398</v>
      </c>
      <c r="H8" s="46">
        <v>1</v>
      </c>
      <c r="I8" s="35"/>
      <c r="K8" s="57"/>
      <c r="L8" s="37"/>
      <c r="M8" s="216"/>
      <c r="N8" s="38"/>
      <c r="O8" s="47">
        <f>ROUND((_11_A重度研修増０．５*_11・２人),0)</f>
        <v>86</v>
      </c>
      <c r="P8" s="48"/>
    </row>
    <row r="9" spans="1:16" ht="16.5" customHeight="1" x14ac:dyDescent="0.15">
      <c r="A9" s="41">
        <v>11</v>
      </c>
      <c r="B9" s="41" t="s">
        <v>7975</v>
      </c>
      <c r="C9" s="127" t="s">
        <v>7976</v>
      </c>
      <c r="D9" s="709"/>
      <c r="E9" s="718"/>
      <c r="F9" s="217"/>
      <c r="G9" s="218"/>
      <c r="H9" s="46"/>
      <c r="I9" s="35"/>
      <c r="K9" s="57"/>
      <c r="L9" s="768" t="s">
        <v>7977</v>
      </c>
      <c r="M9" s="219" t="s">
        <v>398</v>
      </c>
      <c r="N9" s="50">
        <f>_11・初任</f>
        <v>0.7</v>
      </c>
      <c r="O9" s="47">
        <f>ROUND((_11_A重度研修増０．５*_11・初任),0)</f>
        <v>60</v>
      </c>
      <c r="P9" s="48"/>
    </row>
    <row r="10" spans="1:16" ht="16.5" customHeight="1" x14ac:dyDescent="0.15">
      <c r="A10" s="41">
        <v>11</v>
      </c>
      <c r="B10" s="41" t="s">
        <v>7978</v>
      </c>
      <c r="C10" s="127" t="s">
        <v>7979</v>
      </c>
      <c r="D10" s="100">
        <f>_11_A重度研修増０．５</f>
        <v>86</v>
      </c>
      <c r="E10" s="57" t="s">
        <v>392</v>
      </c>
      <c r="F10" s="217" t="s">
        <v>397</v>
      </c>
      <c r="G10" s="218" t="s">
        <v>398</v>
      </c>
      <c r="H10" s="46">
        <v>1</v>
      </c>
      <c r="I10" s="35"/>
      <c r="K10" s="57"/>
      <c r="L10" s="769"/>
      <c r="M10" s="220"/>
      <c r="N10" s="38"/>
      <c r="O10" s="47">
        <f>ROUND((ROUND((_11_A重度研修増０．５*_11・２人),0)*_11・初任),0)</f>
        <v>60</v>
      </c>
      <c r="P10" s="48"/>
    </row>
    <row r="11" spans="1:16" ht="16.5" customHeight="1" x14ac:dyDescent="0.15">
      <c r="A11" s="41">
        <v>11</v>
      </c>
      <c r="B11" s="41">
        <v>4135</v>
      </c>
      <c r="C11" s="127" t="s">
        <v>7980</v>
      </c>
      <c r="D11" s="707" t="s">
        <v>412</v>
      </c>
      <c r="E11" s="717"/>
      <c r="F11" s="217"/>
      <c r="G11" s="218"/>
      <c r="H11" s="46"/>
      <c r="I11" s="35"/>
      <c r="K11" s="57"/>
      <c r="L11" s="49"/>
      <c r="M11" s="221"/>
      <c r="N11" s="50"/>
      <c r="O11" s="47">
        <f>_11_A重度研修増１．０</f>
        <v>172</v>
      </c>
      <c r="P11" s="48"/>
    </row>
    <row r="12" spans="1:16" ht="16.5" customHeight="1" x14ac:dyDescent="0.15">
      <c r="A12" s="41">
        <v>11</v>
      </c>
      <c r="B12" s="41">
        <v>4136</v>
      </c>
      <c r="C12" s="127" t="s">
        <v>7981</v>
      </c>
      <c r="D12" s="709"/>
      <c r="E12" s="718"/>
      <c r="F12" s="217" t="s">
        <v>397</v>
      </c>
      <c r="G12" s="218" t="s">
        <v>398</v>
      </c>
      <c r="H12" s="46">
        <v>1</v>
      </c>
      <c r="I12" s="35"/>
      <c r="K12" s="57"/>
      <c r="L12" s="37"/>
      <c r="M12" s="216"/>
      <c r="N12" s="38"/>
      <c r="O12" s="47">
        <f>ROUND((_11_A重度研修増１．０*_11・２人),0)</f>
        <v>172</v>
      </c>
      <c r="P12" s="48"/>
    </row>
    <row r="13" spans="1:16" ht="16.5" customHeight="1" x14ac:dyDescent="0.15">
      <c r="A13" s="41">
        <v>11</v>
      </c>
      <c r="B13" s="41" t="s">
        <v>7982</v>
      </c>
      <c r="C13" s="127" t="s">
        <v>7983</v>
      </c>
      <c r="D13" s="709"/>
      <c r="E13" s="718"/>
      <c r="F13" s="217"/>
      <c r="G13" s="218"/>
      <c r="H13" s="46"/>
      <c r="I13" s="35"/>
      <c r="K13" s="57"/>
      <c r="L13" s="768" t="s">
        <v>404</v>
      </c>
      <c r="M13" s="221" t="s">
        <v>398</v>
      </c>
      <c r="N13" s="50">
        <f>_11・初任</f>
        <v>0.7</v>
      </c>
      <c r="O13" s="47">
        <f>ROUND((_11_A重度研修増１．０*_11・初任),0)</f>
        <v>120</v>
      </c>
      <c r="P13" s="48"/>
    </row>
    <row r="14" spans="1:16" ht="16.5" customHeight="1" x14ac:dyDescent="0.15">
      <c r="A14" s="41">
        <v>11</v>
      </c>
      <c r="B14" s="41" t="s">
        <v>7984</v>
      </c>
      <c r="C14" s="127" t="s">
        <v>7985</v>
      </c>
      <c r="D14" s="100">
        <f>_11_A重度研修増１．０</f>
        <v>172</v>
      </c>
      <c r="E14" s="57" t="s">
        <v>392</v>
      </c>
      <c r="F14" s="217" t="s">
        <v>397</v>
      </c>
      <c r="G14" s="218" t="s">
        <v>398</v>
      </c>
      <c r="H14" s="46">
        <v>1</v>
      </c>
      <c r="I14" s="35"/>
      <c r="K14" s="57"/>
      <c r="L14" s="769"/>
      <c r="M14" s="220"/>
      <c r="N14" s="38"/>
      <c r="O14" s="47">
        <f>ROUND((ROUND((_11_A重度研修増１．０*_11・２人),0)*_11・初任),0)</f>
        <v>120</v>
      </c>
      <c r="P14" s="48"/>
    </row>
    <row r="15" spans="1:16" ht="16.5" customHeight="1" x14ac:dyDescent="0.15">
      <c r="A15" s="41">
        <v>11</v>
      </c>
      <c r="B15" s="41">
        <v>4137</v>
      </c>
      <c r="C15" s="127" t="s">
        <v>7986</v>
      </c>
      <c r="D15" s="707" t="s">
        <v>425</v>
      </c>
      <c r="E15" s="717"/>
      <c r="F15" s="217"/>
      <c r="G15" s="218"/>
      <c r="H15" s="46"/>
      <c r="I15" s="35"/>
      <c r="K15" s="57"/>
      <c r="L15" s="49"/>
      <c r="M15" s="221"/>
      <c r="N15" s="50"/>
      <c r="O15" s="47">
        <f>_11_A重度研修増１．５</f>
        <v>258</v>
      </c>
      <c r="P15" s="48"/>
    </row>
    <row r="16" spans="1:16" ht="16.5" customHeight="1" x14ac:dyDescent="0.15">
      <c r="A16" s="41">
        <v>11</v>
      </c>
      <c r="B16" s="41">
        <v>4138</v>
      </c>
      <c r="C16" s="127" t="s">
        <v>7987</v>
      </c>
      <c r="D16" s="709"/>
      <c r="E16" s="718"/>
      <c r="F16" s="217" t="s">
        <v>397</v>
      </c>
      <c r="G16" s="218" t="s">
        <v>398</v>
      </c>
      <c r="H16" s="46">
        <v>1</v>
      </c>
      <c r="I16" s="35"/>
      <c r="K16" s="57"/>
      <c r="L16" s="37"/>
      <c r="M16" s="216"/>
      <c r="N16" s="38"/>
      <c r="O16" s="47">
        <f>ROUND((_11_A重度研修増１．５*_11・２人),0)</f>
        <v>258</v>
      </c>
      <c r="P16" s="48"/>
    </row>
    <row r="17" spans="1:16" ht="16.5" customHeight="1" x14ac:dyDescent="0.15">
      <c r="A17" s="41">
        <v>11</v>
      </c>
      <c r="B17" s="41" t="s">
        <v>7988</v>
      </c>
      <c r="C17" s="127" t="s">
        <v>7989</v>
      </c>
      <c r="D17" s="709"/>
      <c r="E17" s="718"/>
      <c r="F17" s="217"/>
      <c r="G17" s="218"/>
      <c r="H17" s="46"/>
      <c r="I17" s="35"/>
      <c r="K17" s="57"/>
      <c r="L17" s="768" t="s">
        <v>404</v>
      </c>
      <c r="M17" s="219" t="s">
        <v>398</v>
      </c>
      <c r="N17" s="50">
        <f>_11・初任</f>
        <v>0.7</v>
      </c>
      <c r="O17" s="47">
        <f>ROUND((_11_A重度研修増１．５*_11・初任),0)</f>
        <v>181</v>
      </c>
      <c r="P17" s="48"/>
    </row>
    <row r="18" spans="1:16" ht="16.5" customHeight="1" x14ac:dyDescent="0.15">
      <c r="A18" s="41">
        <v>11</v>
      </c>
      <c r="B18" s="41" t="s">
        <v>7990</v>
      </c>
      <c r="C18" s="127" t="s">
        <v>7991</v>
      </c>
      <c r="D18" s="100">
        <f>_11_A重度研修増１．５</f>
        <v>258</v>
      </c>
      <c r="E18" s="57" t="s">
        <v>392</v>
      </c>
      <c r="F18" s="217" t="s">
        <v>397</v>
      </c>
      <c r="G18" s="218" t="s">
        <v>398</v>
      </c>
      <c r="H18" s="46">
        <v>1</v>
      </c>
      <c r="I18" s="35"/>
      <c r="K18" s="57"/>
      <c r="L18" s="769"/>
      <c r="M18" s="220"/>
      <c r="N18" s="38"/>
      <c r="O18" s="47">
        <f>ROUND((ROUND((_11_A重度研修増１．５*_11・２人),0)*_11・初任),0)</f>
        <v>181</v>
      </c>
      <c r="P18" s="48"/>
    </row>
    <row r="19" spans="1:16" ht="16.5" customHeight="1" x14ac:dyDescent="0.15">
      <c r="A19" s="41">
        <v>11</v>
      </c>
      <c r="B19" s="41">
        <v>4139</v>
      </c>
      <c r="C19" s="127" t="s">
        <v>7992</v>
      </c>
      <c r="D19" s="707" t="s">
        <v>438</v>
      </c>
      <c r="E19" s="717"/>
      <c r="F19" s="217"/>
      <c r="G19" s="218"/>
      <c r="H19" s="46"/>
      <c r="I19" s="35"/>
      <c r="K19" s="57"/>
      <c r="L19" s="49"/>
      <c r="M19" s="221"/>
      <c r="N19" s="50"/>
      <c r="O19" s="47">
        <f>_11_A重度研修増２．０</f>
        <v>344</v>
      </c>
      <c r="P19" s="48"/>
    </row>
    <row r="20" spans="1:16" ht="16.5" customHeight="1" x14ac:dyDescent="0.15">
      <c r="A20" s="41">
        <v>11</v>
      </c>
      <c r="B20" s="41">
        <v>4140</v>
      </c>
      <c r="C20" s="127" t="s">
        <v>7993</v>
      </c>
      <c r="D20" s="709"/>
      <c r="E20" s="718"/>
      <c r="F20" s="217" t="s">
        <v>397</v>
      </c>
      <c r="G20" s="218" t="s">
        <v>398</v>
      </c>
      <c r="H20" s="46">
        <v>1</v>
      </c>
      <c r="I20" s="35"/>
      <c r="K20" s="57"/>
      <c r="L20" s="37"/>
      <c r="M20" s="216"/>
      <c r="N20" s="38"/>
      <c r="O20" s="47">
        <f>ROUND((_11_A重度研修増２．０*_11・２人),0)</f>
        <v>344</v>
      </c>
      <c r="P20" s="48"/>
    </row>
    <row r="21" spans="1:16" ht="16.5" customHeight="1" x14ac:dyDescent="0.15">
      <c r="A21" s="41">
        <v>11</v>
      </c>
      <c r="B21" s="41" t="s">
        <v>7994</v>
      </c>
      <c r="C21" s="127" t="s">
        <v>7995</v>
      </c>
      <c r="D21" s="709"/>
      <c r="E21" s="718"/>
      <c r="F21" s="217"/>
      <c r="G21" s="218"/>
      <c r="H21" s="46"/>
      <c r="I21" s="35"/>
      <c r="K21" s="57"/>
      <c r="L21" s="768" t="s">
        <v>404</v>
      </c>
      <c r="M21" s="219" t="s">
        <v>398</v>
      </c>
      <c r="N21" s="50">
        <f>_11・初任</f>
        <v>0.7</v>
      </c>
      <c r="O21" s="47">
        <f>ROUND((_11_A重度研修増２．０*_11・初任),0)</f>
        <v>241</v>
      </c>
      <c r="P21" s="48"/>
    </row>
    <row r="22" spans="1:16" ht="16.5" customHeight="1" x14ac:dyDescent="0.15">
      <c r="A22" s="41">
        <v>11</v>
      </c>
      <c r="B22" s="41" t="s">
        <v>7996</v>
      </c>
      <c r="C22" s="127" t="s">
        <v>7997</v>
      </c>
      <c r="D22" s="100">
        <f>_11_A重度研修増２．０</f>
        <v>344</v>
      </c>
      <c r="E22" s="57" t="s">
        <v>392</v>
      </c>
      <c r="F22" s="217" t="s">
        <v>397</v>
      </c>
      <c r="G22" s="218" t="s">
        <v>398</v>
      </c>
      <c r="H22" s="46">
        <v>1</v>
      </c>
      <c r="I22" s="35"/>
      <c r="K22" s="57"/>
      <c r="L22" s="769"/>
      <c r="M22" s="220"/>
      <c r="N22" s="38"/>
      <c r="O22" s="47">
        <f>ROUND((ROUND((_11_A重度研修増２．０*_11・２人),0)*_11・初任),0)</f>
        <v>241</v>
      </c>
      <c r="P22" s="48"/>
    </row>
    <row r="23" spans="1:16" ht="16.5" customHeight="1" x14ac:dyDescent="0.15">
      <c r="A23" s="41">
        <v>11</v>
      </c>
      <c r="B23" s="41">
        <v>4141</v>
      </c>
      <c r="C23" s="127" t="s">
        <v>7998</v>
      </c>
      <c r="D23" s="707" t="s">
        <v>451</v>
      </c>
      <c r="E23" s="717"/>
      <c r="F23" s="217"/>
      <c r="G23" s="218"/>
      <c r="H23" s="46"/>
      <c r="I23" s="35"/>
      <c r="K23" s="57"/>
      <c r="L23" s="49"/>
      <c r="M23" s="221"/>
      <c r="N23" s="50"/>
      <c r="O23" s="47">
        <f>_11_A重度研修増２．５</f>
        <v>430</v>
      </c>
      <c r="P23" s="48"/>
    </row>
    <row r="24" spans="1:16" ht="16.5" customHeight="1" x14ac:dyDescent="0.15">
      <c r="A24" s="41">
        <v>11</v>
      </c>
      <c r="B24" s="41">
        <v>4142</v>
      </c>
      <c r="C24" s="127" t="s">
        <v>7999</v>
      </c>
      <c r="D24" s="709"/>
      <c r="E24" s="718"/>
      <c r="F24" s="217" t="s">
        <v>397</v>
      </c>
      <c r="G24" s="218" t="s">
        <v>398</v>
      </c>
      <c r="H24" s="46">
        <v>1</v>
      </c>
      <c r="I24" s="35"/>
      <c r="K24" s="57"/>
      <c r="L24" s="37"/>
      <c r="M24" s="216"/>
      <c r="N24" s="38"/>
      <c r="O24" s="47">
        <f>ROUND((_11_A重度研修増２．５*_11・２人),0)</f>
        <v>430</v>
      </c>
      <c r="P24" s="48"/>
    </row>
    <row r="25" spans="1:16" ht="16.5" customHeight="1" x14ac:dyDescent="0.15">
      <c r="A25" s="41">
        <v>11</v>
      </c>
      <c r="B25" s="41" t="s">
        <v>8000</v>
      </c>
      <c r="C25" s="127" t="s">
        <v>8001</v>
      </c>
      <c r="D25" s="709"/>
      <c r="E25" s="718"/>
      <c r="F25" s="217"/>
      <c r="G25" s="218"/>
      <c r="H25" s="46"/>
      <c r="I25" s="35"/>
      <c r="K25" s="57"/>
      <c r="L25" s="768" t="s">
        <v>404</v>
      </c>
      <c r="M25" s="219" t="s">
        <v>398</v>
      </c>
      <c r="N25" s="50">
        <f>_11・初任</f>
        <v>0.7</v>
      </c>
      <c r="O25" s="47">
        <f>ROUND((_11_A重度研修増２．５*_11・初任),0)</f>
        <v>301</v>
      </c>
      <c r="P25" s="48"/>
    </row>
    <row r="26" spans="1:16" ht="16.5" customHeight="1" x14ac:dyDescent="0.15">
      <c r="A26" s="41">
        <v>11</v>
      </c>
      <c r="B26" s="41" t="s">
        <v>8002</v>
      </c>
      <c r="C26" s="127" t="s">
        <v>8003</v>
      </c>
      <c r="D26" s="100">
        <f>_11_A重度研修増２．５</f>
        <v>430</v>
      </c>
      <c r="E26" s="57" t="s">
        <v>392</v>
      </c>
      <c r="F26" s="217" t="s">
        <v>397</v>
      </c>
      <c r="G26" s="218" t="s">
        <v>398</v>
      </c>
      <c r="H26" s="46">
        <v>1</v>
      </c>
      <c r="I26" s="35"/>
      <c r="K26" s="57"/>
      <c r="L26" s="769"/>
      <c r="M26" s="220"/>
      <c r="N26" s="38"/>
      <c r="O26" s="47">
        <f>ROUND((ROUND((_11_A重度研修増２．５*_11・２人),0)*_11・初任),0)</f>
        <v>301</v>
      </c>
      <c r="P26" s="48"/>
    </row>
    <row r="27" spans="1:16" ht="16.5" customHeight="1" x14ac:dyDescent="0.15">
      <c r="A27" s="41">
        <v>11</v>
      </c>
      <c r="B27" s="41">
        <v>4143</v>
      </c>
      <c r="C27" s="127" t="s">
        <v>8004</v>
      </c>
      <c r="D27" s="707" t="s">
        <v>464</v>
      </c>
      <c r="E27" s="717"/>
      <c r="F27" s="217"/>
      <c r="G27" s="218"/>
      <c r="H27" s="46"/>
      <c r="I27" s="35"/>
      <c r="K27" s="57"/>
      <c r="L27" s="49"/>
      <c r="M27" s="221"/>
      <c r="N27" s="50"/>
      <c r="O27" s="47">
        <f>_11_A重度研修増３．０</f>
        <v>516</v>
      </c>
      <c r="P27" s="48"/>
    </row>
    <row r="28" spans="1:16" ht="16.5" customHeight="1" x14ac:dyDescent="0.15">
      <c r="A28" s="41">
        <v>11</v>
      </c>
      <c r="B28" s="41">
        <v>4144</v>
      </c>
      <c r="C28" s="127" t="s">
        <v>8005</v>
      </c>
      <c r="D28" s="709"/>
      <c r="E28" s="718"/>
      <c r="F28" s="217" t="s">
        <v>397</v>
      </c>
      <c r="G28" s="218" t="s">
        <v>398</v>
      </c>
      <c r="H28" s="46">
        <v>1</v>
      </c>
      <c r="I28" s="35"/>
      <c r="K28" s="57"/>
      <c r="L28" s="37"/>
      <c r="M28" s="216"/>
      <c r="N28" s="38"/>
      <c r="O28" s="47">
        <f>ROUND((_11_A重度研修増３．０*_11・２人),0)</f>
        <v>516</v>
      </c>
      <c r="P28" s="48"/>
    </row>
    <row r="29" spans="1:16" ht="16.5" customHeight="1" x14ac:dyDescent="0.15">
      <c r="A29" s="41">
        <v>11</v>
      </c>
      <c r="B29" s="41" t="s">
        <v>8006</v>
      </c>
      <c r="C29" s="127" t="s">
        <v>8007</v>
      </c>
      <c r="D29" s="709"/>
      <c r="E29" s="718"/>
      <c r="F29" s="217"/>
      <c r="G29" s="218"/>
      <c r="H29" s="46"/>
      <c r="I29" s="35"/>
      <c r="K29" s="57"/>
      <c r="L29" s="768" t="s">
        <v>404</v>
      </c>
      <c r="M29" s="219" t="s">
        <v>398</v>
      </c>
      <c r="N29" s="50">
        <f>_11・初任</f>
        <v>0.7</v>
      </c>
      <c r="O29" s="47">
        <f>ROUND((_11_A重度研修増３．０*_11・初任),0)</f>
        <v>361</v>
      </c>
      <c r="P29" s="48"/>
    </row>
    <row r="30" spans="1:16" ht="16.5" customHeight="1" x14ac:dyDescent="0.15">
      <c r="A30" s="41">
        <v>11</v>
      </c>
      <c r="B30" s="41" t="s">
        <v>8008</v>
      </c>
      <c r="C30" s="127" t="s">
        <v>8009</v>
      </c>
      <c r="D30" s="100">
        <f>_11_A重度研修増３．０</f>
        <v>516</v>
      </c>
      <c r="E30" s="57" t="s">
        <v>392</v>
      </c>
      <c r="F30" s="217" t="s">
        <v>397</v>
      </c>
      <c r="G30" s="218" t="s">
        <v>398</v>
      </c>
      <c r="H30" s="46">
        <v>1</v>
      </c>
      <c r="I30" s="35"/>
      <c r="K30" s="57"/>
      <c r="L30" s="769"/>
      <c r="M30" s="220"/>
      <c r="N30" s="38"/>
      <c r="O30" s="47">
        <f>ROUND((ROUND((_11_A重度研修増３．０*_11・２人),0)*_11・初任),0)</f>
        <v>361</v>
      </c>
      <c r="P30" s="48"/>
    </row>
    <row r="31" spans="1:16" ht="16.5" customHeight="1" x14ac:dyDescent="0.15">
      <c r="A31" s="41">
        <v>11</v>
      </c>
      <c r="B31" s="41">
        <v>4145</v>
      </c>
      <c r="C31" s="127" t="s">
        <v>8010</v>
      </c>
      <c r="D31" s="707" t="s">
        <v>477</v>
      </c>
      <c r="E31" s="717"/>
      <c r="F31" s="217"/>
      <c r="G31" s="218"/>
      <c r="H31" s="46"/>
      <c r="I31" s="35"/>
      <c r="K31" s="57"/>
      <c r="L31" s="49"/>
      <c r="M31" s="221"/>
      <c r="N31" s="50"/>
      <c r="O31" s="47">
        <f>_11_A重度研修増３．５</f>
        <v>602</v>
      </c>
      <c r="P31" s="48"/>
    </row>
    <row r="32" spans="1:16" ht="16.5" customHeight="1" x14ac:dyDescent="0.15">
      <c r="A32" s="41">
        <v>11</v>
      </c>
      <c r="B32" s="41">
        <v>4146</v>
      </c>
      <c r="C32" s="127" t="s">
        <v>8011</v>
      </c>
      <c r="D32" s="709"/>
      <c r="E32" s="718"/>
      <c r="F32" s="217" t="s">
        <v>397</v>
      </c>
      <c r="G32" s="218" t="s">
        <v>398</v>
      </c>
      <c r="H32" s="46">
        <v>1</v>
      </c>
      <c r="I32" s="35"/>
      <c r="K32" s="57"/>
      <c r="L32" s="37"/>
      <c r="M32" s="216"/>
      <c r="N32" s="38"/>
      <c r="O32" s="47">
        <f>ROUND((_11_A重度研修増３．５*_11・２人),0)</f>
        <v>602</v>
      </c>
      <c r="P32" s="48"/>
    </row>
    <row r="33" spans="1:16" ht="16.5" customHeight="1" x14ac:dyDescent="0.15">
      <c r="A33" s="41">
        <v>11</v>
      </c>
      <c r="B33" s="41" t="s">
        <v>8012</v>
      </c>
      <c r="C33" s="127" t="s">
        <v>8013</v>
      </c>
      <c r="D33" s="709"/>
      <c r="E33" s="718"/>
      <c r="F33" s="217"/>
      <c r="G33" s="218"/>
      <c r="H33" s="46"/>
      <c r="I33" s="35"/>
      <c r="K33" s="57"/>
      <c r="L33" s="768" t="s">
        <v>404</v>
      </c>
      <c r="M33" s="219" t="s">
        <v>398</v>
      </c>
      <c r="N33" s="50">
        <f>_11・初任</f>
        <v>0.7</v>
      </c>
      <c r="O33" s="47">
        <f>ROUND((_11_A重度研修増３．５*_11・初任),0)</f>
        <v>421</v>
      </c>
      <c r="P33" s="48"/>
    </row>
    <row r="34" spans="1:16" ht="16.5" customHeight="1" x14ac:dyDescent="0.15">
      <c r="A34" s="41">
        <v>11</v>
      </c>
      <c r="B34" s="41" t="s">
        <v>8014</v>
      </c>
      <c r="C34" s="127" t="s">
        <v>8015</v>
      </c>
      <c r="D34" s="100">
        <f>_11_A重度研修増３．５</f>
        <v>602</v>
      </c>
      <c r="E34" s="57" t="s">
        <v>392</v>
      </c>
      <c r="F34" s="217" t="s">
        <v>397</v>
      </c>
      <c r="G34" s="218" t="s">
        <v>398</v>
      </c>
      <c r="H34" s="46">
        <v>1</v>
      </c>
      <c r="I34" s="35"/>
      <c r="K34" s="57"/>
      <c r="L34" s="769"/>
      <c r="M34" s="220"/>
      <c r="N34" s="38"/>
      <c r="O34" s="47">
        <f>ROUND((ROUND((_11_A重度研修増３．５*_11・２人),0)*_11・初任),0)</f>
        <v>421</v>
      </c>
      <c r="P34" s="48"/>
    </row>
    <row r="35" spans="1:16" ht="16.5" customHeight="1" x14ac:dyDescent="0.15">
      <c r="A35" s="41">
        <v>11</v>
      </c>
      <c r="B35" s="41">
        <v>4147</v>
      </c>
      <c r="C35" s="127" t="s">
        <v>8016</v>
      </c>
      <c r="D35" s="707" t="s">
        <v>2761</v>
      </c>
      <c r="E35" s="717"/>
      <c r="F35" s="217"/>
      <c r="G35" s="218"/>
      <c r="H35" s="46"/>
      <c r="I35" s="35"/>
      <c r="K35" s="57"/>
      <c r="L35" s="49"/>
      <c r="M35" s="221"/>
      <c r="N35" s="50"/>
      <c r="O35" s="47">
        <f>_11_A重度研修増４．０</f>
        <v>688</v>
      </c>
      <c r="P35" s="48"/>
    </row>
    <row r="36" spans="1:16" ht="16.5" customHeight="1" x14ac:dyDescent="0.15">
      <c r="A36" s="41">
        <v>11</v>
      </c>
      <c r="B36" s="41">
        <v>4148</v>
      </c>
      <c r="C36" s="127" t="s">
        <v>8017</v>
      </c>
      <c r="D36" s="709"/>
      <c r="E36" s="718"/>
      <c r="F36" s="217" t="s">
        <v>397</v>
      </c>
      <c r="G36" s="218" t="s">
        <v>398</v>
      </c>
      <c r="H36" s="46">
        <v>1</v>
      </c>
      <c r="I36" s="35"/>
      <c r="K36" s="57"/>
      <c r="L36" s="37"/>
      <c r="M36" s="216"/>
      <c r="N36" s="38"/>
      <c r="O36" s="47">
        <f>ROUND((_11_A重度研修増４．０*_11・２人),0)</f>
        <v>688</v>
      </c>
      <c r="P36" s="48"/>
    </row>
    <row r="37" spans="1:16" ht="16.5" customHeight="1" x14ac:dyDescent="0.15">
      <c r="A37" s="41">
        <v>11</v>
      </c>
      <c r="B37" s="41" t="s">
        <v>8018</v>
      </c>
      <c r="C37" s="127" t="s">
        <v>8019</v>
      </c>
      <c r="D37" s="709"/>
      <c r="E37" s="718"/>
      <c r="F37" s="217"/>
      <c r="G37" s="218"/>
      <c r="H37" s="46"/>
      <c r="I37" s="35"/>
      <c r="K37" s="57"/>
      <c r="L37" s="768" t="s">
        <v>404</v>
      </c>
      <c r="M37" s="219" t="s">
        <v>398</v>
      </c>
      <c r="N37" s="50">
        <f>_11・初任</f>
        <v>0.7</v>
      </c>
      <c r="O37" s="47">
        <f>ROUND((_11_A重度研修増４．０*_11・初任),0)</f>
        <v>482</v>
      </c>
      <c r="P37" s="48"/>
    </row>
    <row r="38" spans="1:16" ht="16.5" customHeight="1" x14ac:dyDescent="0.15">
      <c r="A38" s="41">
        <v>11</v>
      </c>
      <c r="B38" s="41" t="s">
        <v>8020</v>
      </c>
      <c r="C38" s="127" t="s">
        <v>8021</v>
      </c>
      <c r="D38" s="100">
        <f>_11_A重度研修増４．０</f>
        <v>688</v>
      </c>
      <c r="E38" s="57" t="s">
        <v>392</v>
      </c>
      <c r="F38" s="217" t="s">
        <v>397</v>
      </c>
      <c r="G38" s="218" t="s">
        <v>398</v>
      </c>
      <c r="H38" s="46">
        <v>1</v>
      </c>
      <c r="I38" s="35"/>
      <c r="K38" s="57"/>
      <c r="L38" s="769"/>
      <c r="M38" s="220"/>
      <c r="N38" s="38"/>
      <c r="O38" s="47">
        <f>ROUND((ROUND((_11_A重度研修増４．０*_11・２人),0)*_11・初任),0)</f>
        <v>482</v>
      </c>
      <c r="P38" s="48"/>
    </row>
    <row r="39" spans="1:16" ht="16.5" customHeight="1" x14ac:dyDescent="0.15">
      <c r="A39" s="41">
        <v>11</v>
      </c>
      <c r="B39" s="41">
        <v>4149</v>
      </c>
      <c r="C39" s="127" t="s">
        <v>8022</v>
      </c>
      <c r="D39" s="707" t="s">
        <v>503</v>
      </c>
      <c r="E39" s="717"/>
      <c r="F39" s="217"/>
      <c r="G39" s="218"/>
      <c r="H39" s="46"/>
      <c r="I39" s="35"/>
      <c r="K39" s="57"/>
      <c r="L39" s="49"/>
      <c r="M39" s="221"/>
      <c r="N39" s="50"/>
      <c r="O39" s="47">
        <f>_11_A重度研修増４．５</f>
        <v>774</v>
      </c>
      <c r="P39" s="48"/>
    </row>
    <row r="40" spans="1:16" ht="16.5" customHeight="1" x14ac:dyDescent="0.15">
      <c r="A40" s="41">
        <v>11</v>
      </c>
      <c r="B40" s="41">
        <v>4150</v>
      </c>
      <c r="C40" s="127" t="s">
        <v>8023</v>
      </c>
      <c r="D40" s="709"/>
      <c r="E40" s="718"/>
      <c r="F40" s="217" t="s">
        <v>397</v>
      </c>
      <c r="G40" s="218" t="s">
        <v>398</v>
      </c>
      <c r="H40" s="46">
        <v>1</v>
      </c>
      <c r="I40" s="35"/>
      <c r="K40" s="57"/>
      <c r="L40" s="37"/>
      <c r="M40" s="216"/>
      <c r="N40" s="38"/>
      <c r="O40" s="47">
        <f>ROUND((_11_A重度研修増４．５*_11・２人),0)</f>
        <v>774</v>
      </c>
      <c r="P40" s="48"/>
    </row>
    <row r="41" spans="1:16" ht="16.5" customHeight="1" x14ac:dyDescent="0.15">
      <c r="A41" s="41">
        <v>11</v>
      </c>
      <c r="B41" s="41" t="s">
        <v>8024</v>
      </c>
      <c r="C41" s="127" t="s">
        <v>8025</v>
      </c>
      <c r="D41" s="709"/>
      <c r="E41" s="718"/>
      <c r="F41" s="217"/>
      <c r="G41" s="218"/>
      <c r="H41" s="46"/>
      <c r="I41" s="35"/>
      <c r="K41" s="57"/>
      <c r="L41" s="768" t="s">
        <v>404</v>
      </c>
      <c r="M41" s="219" t="s">
        <v>398</v>
      </c>
      <c r="N41" s="50">
        <f>_11・初任</f>
        <v>0.7</v>
      </c>
      <c r="O41" s="47">
        <f>ROUND((_11_A重度研修増４．５*_11・初任),0)</f>
        <v>542</v>
      </c>
      <c r="P41" s="48"/>
    </row>
    <row r="42" spans="1:16" ht="16.5" customHeight="1" x14ac:dyDescent="0.15">
      <c r="A42" s="41">
        <v>11</v>
      </c>
      <c r="B42" s="41" t="s">
        <v>8026</v>
      </c>
      <c r="C42" s="127" t="s">
        <v>8027</v>
      </c>
      <c r="D42" s="100">
        <f>_11_A重度研修増４．５</f>
        <v>774</v>
      </c>
      <c r="E42" s="57" t="s">
        <v>392</v>
      </c>
      <c r="F42" s="217" t="s">
        <v>397</v>
      </c>
      <c r="G42" s="218" t="s">
        <v>398</v>
      </c>
      <c r="H42" s="46">
        <v>1</v>
      </c>
      <c r="I42" s="35"/>
      <c r="K42" s="57"/>
      <c r="L42" s="769"/>
      <c r="M42" s="220"/>
      <c r="N42" s="38"/>
      <c r="O42" s="47">
        <f>ROUND((ROUND((_11_A重度研修増４．５*_11・２人),0)*_11・初任),0)</f>
        <v>542</v>
      </c>
      <c r="P42" s="48"/>
    </row>
    <row r="43" spans="1:16" ht="16.5" customHeight="1" x14ac:dyDescent="0.15">
      <c r="A43" s="41">
        <v>11</v>
      </c>
      <c r="B43" s="41">
        <v>4151</v>
      </c>
      <c r="C43" s="127" t="s">
        <v>8028</v>
      </c>
      <c r="D43" s="707" t="s">
        <v>516</v>
      </c>
      <c r="E43" s="717"/>
      <c r="F43" s="217"/>
      <c r="G43" s="218"/>
      <c r="H43" s="46"/>
      <c r="I43" s="35"/>
      <c r="K43" s="57"/>
      <c r="L43" s="49"/>
      <c r="M43" s="221"/>
      <c r="N43" s="50"/>
      <c r="O43" s="47">
        <f>_11_A重度研修増５．０</f>
        <v>860</v>
      </c>
      <c r="P43" s="48"/>
    </row>
    <row r="44" spans="1:16" ht="16.5" customHeight="1" x14ac:dyDescent="0.15">
      <c r="A44" s="41">
        <v>11</v>
      </c>
      <c r="B44" s="41">
        <v>4152</v>
      </c>
      <c r="C44" s="127" t="s">
        <v>8029</v>
      </c>
      <c r="D44" s="709"/>
      <c r="E44" s="718"/>
      <c r="F44" s="217" t="s">
        <v>397</v>
      </c>
      <c r="G44" s="218" t="s">
        <v>398</v>
      </c>
      <c r="H44" s="46">
        <v>1</v>
      </c>
      <c r="I44" s="35"/>
      <c r="K44" s="57"/>
      <c r="L44" s="37"/>
      <c r="M44" s="216"/>
      <c r="N44" s="38"/>
      <c r="O44" s="47">
        <f>ROUND((_11_A重度研修増５．０*_11・２人),0)</f>
        <v>860</v>
      </c>
      <c r="P44" s="48"/>
    </row>
    <row r="45" spans="1:16" ht="16.5" customHeight="1" x14ac:dyDescent="0.15">
      <c r="A45" s="41">
        <v>11</v>
      </c>
      <c r="B45" s="41" t="s">
        <v>8030</v>
      </c>
      <c r="C45" s="127" t="s">
        <v>8031</v>
      </c>
      <c r="D45" s="709"/>
      <c r="E45" s="718"/>
      <c r="F45" s="217"/>
      <c r="G45" s="218"/>
      <c r="H45" s="46"/>
      <c r="I45" s="35"/>
      <c r="K45" s="57"/>
      <c r="L45" s="768" t="s">
        <v>404</v>
      </c>
      <c r="M45" s="219" t="s">
        <v>398</v>
      </c>
      <c r="N45" s="50">
        <f>_11・初任</f>
        <v>0.7</v>
      </c>
      <c r="O45" s="47">
        <f>ROUND((_11_A重度研修増５．０*_11・初任),0)</f>
        <v>602</v>
      </c>
      <c r="P45" s="48"/>
    </row>
    <row r="46" spans="1:16" ht="16.5" customHeight="1" x14ac:dyDescent="0.15">
      <c r="A46" s="41">
        <v>11</v>
      </c>
      <c r="B46" s="41" t="s">
        <v>8032</v>
      </c>
      <c r="C46" s="127" t="s">
        <v>8033</v>
      </c>
      <c r="D46" s="100">
        <f>_11_A重度研修増５．０</f>
        <v>860</v>
      </c>
      <c r="E46" s="57" t="s">
        <v>392</v>
      </c>
      <c r="F46" s="217" t="s">
        <v>397</v>
      </c>
      <c r="G46" s="218" t="s">
        <v>398</v>
      </c>
      <c r="H46" s="46">
        <v>1</v>
      </c>
      <c r="I46" s="35"/>
      <c r="K46" s="57"/>
      <c r="L46" s="769"/>
      <c r="M46" s="220"/>
      <c r="N46" s="38"/>
      <c r="O46" s="47">
        <f>ROUND((ROUND((_11_A重度研修増５．０*_11・２人),0)*_11・初任),0)</f>
        <v>602</v>
      </c>
      <c r="P46" s="48"/>
    </row>
    <row r="47" spans="1:16" ht="16.5" customHeight="1" x14ac:dyDescent="0.15">
      <c r="A47" s="41">
        <v>11</v>
      </c>
      <c r="B47" s="41">
        <v>4153</v>
      </c>
      <c r="C47" s="127" t="s">
        <v>8034</v>
      </c>
      <c r="D47" s="707" t="s">
        <v>529</v>
      </c>
      <c r="E47" s="717"/>
      <c r="F47" s="217"/>
      <c r="G47" s="218"/>
      <c r="H47" s="46"/>
      <c r="I47" s="35"/>
      <c r="K47" s="57"/>
      <c r="L47" s="49"/>
      <c r="M47" s="221"/>
      <c r="N47" s="50"/>
      <c r="O47" s="47">
        <f>_11_A重度研修増５．５</f>
        <v>946</v>
      </c>
      <c r="P47" s="48"/>
    </row>
    <row r="48" spans="1:16" ht="16.5" customHeight="1" x14ac:dyDescent="0.15">
      <c r="A48" s="41">
        <v>11</v>
      </c>
      <c r="B48" s="41">
        <v>4154</v>
      </c>
      <c r="C48" s="127" t="s">
        <v>8035</v>
      </c>
      <c r="D48" s="709"/>
      <c r="E48" s="718"/>
      <c r="F48" s="217" t="s">
        <v>397</v>
      </c>
      <c r="G48" s="218" t="s">
        <v>398</v>
      </c>
      <c r="H48" s="46">
        <v>1</v>
      </c>
      <c r="I48" s="35"/>
      <c r="K48" s="57"/>
      <c r="L48" s="37"/>
      <c r="M48" s="216"/>
      <c r="N48" s="38"/>
      <c r="O48" s="47">
        <f>ROUND((_11_A重度研修増５．５*_11・２人),0)</f>
        <v>946</v>
      </c>
      <c r="P48" s="48"/>
    </row>
    <row r="49" spans="1:16" ht="16.5" customHeight="1" x14ac:dyDescent="0.15">
      <c r="A49" s="41">
        <v>11</v>
      </c>
      <c r="B49" s="41" t="s">
        <v>8036</v>
      </c>
      <c r="C49" s="127" t="s">
        <v>8037</v>
      </c>
      <c r="D49" s="709"/>
      <c r="E49" s="718"/>
      <c r="F49" s="217"/>
      <c r="G49" s="218"/>
      <c r="H49" s="46"/>
      <c r="I49" s="35"/>
      <c r="K49" s="57"/>
      <c r="L49" s="768" t="s">
        <v>404</v>
      </c>
      <c r="M49" s="219" t="s">
        <v>398</v>
      </c>
      <c r="N49" s="50">
        <f>_11・初任</f>
        <v>0.7</v>
      </c>
      <c r="O49" s="47">
        <f>ROUND((_11_A重度研修増５．５*_11・初任),0)</f>
        <v>662</v>
      </c>
      <c r="P49" s="48"/>
    </row>
    <row r="50" spans="1:16" ht="16.5" customHeight="1" x14ac:dyDescent="0.15">
      <c r="A50" s="41">
        <v>11</v>
      </c>
      <c r="B50" s="41" t="s">
        <v>8038</v>
      </c>
      <c r="C50" s="127" t="s">
        <v>8039</v>
      </c>
      <c r="D50" s="100">
        <f>_11_A重度研修増５．５</f>
        <v>946</v>
      </c>
      <c r="E50" s="57" t="s">
        <v>392</v>
      </c>
      <c r="F50" s="217" t="s">
        <v>397</v>
      </c>
      <c r="G50" s="218" t="s">
        <v>398</v>
      </c>
      <c r="H50" s="46">
        <v>1</v>
      </c>
      <c r="I50" s="35"/>
      <c r="K50" s="57"/>
      <c r="L50" s="769"/>
      <c r="M50" s="220"/>
      <c r="N50" s="38"/>
      <c r="O50" s="47">
        <f>ROUND((ROUND((_11_A重度研修増５．５*_11・２人),0)*_11・初任),0)</f>
        <v>662</v>
      </c>
      <c r="P50" s="48"/>
    </row>
    <row r="51" spans="1:16" ht="16.5" customHeight="1" x14ac:dyDescent="0.15">
      <c r="A51" s="41">
        <v>11</v>
      </c>
      <c r="B51" s="41">
        <v>4155</v>
      </c>
      <c r="C51" s="127" t="s">
        <v>8040</v>
      </c>
      <c r="D51" s="707" t="s">
        <v>542</v>
      </c>
      <c r="E51" s="717"/>
      <c r="F51" s="217"/>
      <c r="G51" s="218"/>
      <c r="H51" s="46"/>
      <c r="I51" s="35"/>
      <c r="K51" s="57"/>
      <c r="L51" s="49"/>
      <c r="M51" s="221"/>
      <c r="N51" s="50"/>
      <c r="O51" s="47">
        <f>_11_A重度研修増６．０</f>
        <v>1032</v>
      </c>
      <c r="P51" s="48"/>
    </row>
    <row r="52" spans="1:16" ht="16.5" customHeight="1" x14ac:dyDescent="0.15">
      <c r="A52" s="41">
        <v>11</v>
      </c>
      <c r="B52" s="41">
        <v>4156</v>
      </c>
      <c r="C52" s="127" t="s">
        <v>8041</v>
      </c>
      <c r="D52" s="709"/>
      <c r="E52" s="718"/>
      <c r="F52" s="217" t="s">
        <v>397</v>
      </c>
      <c r="G52" s="218" t="s">
        <v>398</v>
      </c>
      <c r="H52" s="46">
        <v>1</v>
      </c>
      <c r="I52" s="35"/>
      <c r="K52" s="57"/>
      <c r="L52" s="37"/>
      <c r="M52" s="216"/>
      <c r="N52" s="38"/>
      <c r="O52" s="47">
        <f>ROUND((_11_A重度研修増６．０*_11・２人),0)</f>
        <v>1032</v>
      </c>
      <c r="P52" s="48"/>
    </row>
    <row r="53" spans="1:16" ht="16.5" customHeight="1" x14ac:dyDescent="0.15">
      <c r="A53" s="41">
        <v>11</v>
      </c>
      <c r="B53" s="41" t="s">
        <v>8042</v>
      </c>
      <c r="C53" s="127" t="s">
        <v>8043</v>
      </c>
      <c r="D53" s="709"/>
      <c r="E53" s="718"/>
      <c r="F53" s="217"/>
      <c r="G53" s="218"/>
      <c r="H53" s="46"/>
      <c r="I53" s="35"/>
      <c r="K53" s="57"/>
      <c r="L53" s="768" t="s">
        <v>404</v>
      </c>
      <c r="M53" s="219" t="s">
        <v>398</v>
      </c>
      <c r="N53" s="50">
        <f>_11・初任</f>
        <v>0.7</v>
      </c>
      <c r="O53" s="47">
        <f>ROUND((_11_A重度研修増６．０*_11・初任),0)</f>
        <v>722</v>
      </c>
      <c r="P53" s="48"/>
    </row>
    <row r="54" spans="1:16" ht="16.5" customHeight="1" x14ac:dyDescent="0.15">
      <c r="A54" s="41">
        <v>11</v>
      </c>
      <c r="B54" s="41" t="s">
        <v>8044</v>
      </c>
      <c r="C54" s="127" t="s">
        <v>8045</v>
      </c>
      <c r="D54" s="100">
        <f>_11_A重度研修増６．０</f>
        <v>1032</v>
      </c>
      <c r="E54" s="57" t="s">
        <v>392</v>
      </c>
      <c r="F54" s="217" t="s">
        <v>397</v>
      </c>
      <c r="G54" s="218" t="s">
        <v>398</v>
      </c>
      <c r="H54" s="46">
        <v>1</v>
      </c>
      <c r="I54" s="35"/>
      <c r="K54" s="57"/>
      <c r="L54" s="769"/>
      <c r="M54" s="220"/>
      <c r="N54" s="38"/>
      <c r="O54" s="47">
        <f>ROUND((ROUND((_11_A重度研修増６．０*_11・２人),0)*_11・初任),0)</f>
        <v>722</v>
      </c>
      <c r="P54" s="48"/>
    </row>
    <row r="55" spans="1:16" ht="16.5" customHeight="1" x14ac:dyDescent="0.15">
      <c r="A55" s="41">
        <v>11</v>
      </c>
      <c r="B55" s="41">
        <v>4157</v>
      </c>
      <c r="C55" s="127" t="s">
        <v>8046</v>
      </c>
      <c r="D55" s="770" t="s">
        <v>555</v>
      </c>
      <c r="E55" s="771"/>
      <c r="F55" s="217"/>
      <c r="G55" s="218"/>
      <c r="H55" s="46"/>
      <c r="I55" s="35"/>
      <c r="K55" s="57"/>
      <c r="L55" s="49"/>
      <c r="M55" s="221"/>
      <c r="N55" s="50"/>
      <c r="O55" s="47">
        <f>_11_A重度研修増６．５</f>
        <v>1118</v>
      </c>
      <c r="P55" s="48"/>
    </row>
    <row r="56" spans="1:16" ht="16.5" customHeight="1" x14ac:dyDescent="0.15">
      <c r="A56" s="41">
        <v>11</v>
      </c>
      <c r="B56" s="41">
        <v>4158</v>
      </c>
      <c r="C56" s="127" t="s">
        <v>8047</v>
      </c>
      <c r="D56" s="772"/>
      <c r="E56" s="773"/>
      <c r="F56" s="217" t="s">
        <v>397</v>
      </c>
      <c r="G56" s="218" t="s">
        <v>398</v>
      </c>
      <c r="H56" s="46">
        <v>1</v>
      </c>
      <c r="I56" s="35"/>
      <c r="K56" s="57"/>
      <c r="L56" s="37"/>
      <c r="M56" s="216"/>
      <c r="N56" s="38"/>
      <c r="O56" s="47">
        <f>ROUND((_11_A重度研修増６．５*_11・２人),0)</f>
        <v>1118</v>
      </c>
      <c r="P56" s="48"/>
    </row>
    <row r="57" spans="1:16" ht="16.5" customHeight="1" x14ac:dyDescent="0.15">
      <c r="A57" s="41">
        <v>11</v>
      </c>
      <c r="B57" s="41" t="s">
        <v>8048</v>
      </c>
      <c r="C57" s="127" t="s">
        <v>8049</v>
      </c>
      <c r="D57" s="772"/>
      <c r="E57" s="773"/>
      <c r="F57" s="217"/>
      <c r="G57" s="218"/>
      <c r="H57" s="46"/>
      <c r="I57" s="35"/>
      <c r="K57" s="57"/>
      <c r="L57" s="768" t="s">
        <v>404</v>
      </c>
      <c r="M57" s="219" t="s">
        <v>398</v>
      </c>
      <c r="N57" s="50">
        <f>_11・初任</f>
        <v>0.7</v>
      </c>
      <c r="O57" s="47">
        <f>ROUND((_11_A重度研修増６．５*_11・初任),0)</f>
        <v>783</v>
      </c>
      <c r="P57" s="48"/>
    </row>
    <row r="58" spans="1:16" ht="16.5" customHeight="1" x14ac:dyDescent="0.15">
      <c r="A58" s="41">
        <v>11</v>
      </c>
      <c r="B58" s="41" t="s">
        <v>8050</v>
      </c>
      <c r="C58" s="127" t="s">
        <v>8051</v>
      </c>
      <c r="D58" s="100">
        <f>_11_A重度研修増６．５</f>
        <v>1118</v>
      </c>
      <c r="E58" s="57" t="s">
        <v>392</v>
      </c>
      <c r="F58" s="217" t="s">
        <v>397</v>
      </c>
      <c r="G58" s="218" t="s">
        <v>398</v>
      </c>
      <c r="H58" s="46">
        <v>1</v>
      </c>
      <c r="I58" s="35"/>
      <c r="K58" s="57"/>
      <c r="L58" s="769"/>
      <c r="M58" s="220"/>
      <c r="N58" s="38"/>
      <c r="O58" s="47">
        <f>ROUND((ROUND((_11_A重度研修増６．５*_11・２人),0)*_11・初任),0)</f>
        <v>783</v>
      </c>
      <c r="P58" s="48"/>
    </row>
    <row r="59" spans="1:16" ht="16.5" customHeight="1" x14ac:dyDescent="0.15">
      <c r="A59" s="41">
        <v>11</v>
      </c>
      <c r="B59" s="41">
        <v>4159</v>
      </c>
      <c r="C59" s="127" t="s">
        <v>8052</v>
      </c>
      <c r="D59" s="770" t="s">
        <v>568</v>
      </c>
      <c r="E59" s="771"/>
      <c r="F59" s="217"/>
      <c r="G59" s="218"/>
      <c r="H59" s="46"/>
      <c r="I59" s="35"/>
      <c r="K59" s="57"/>
      <c r="L59" s="49"/>
      <c r="M59" s="221"/>
      <c r="N59" s="50"/>
      <c r="O59" s="47">
        <f>_11_A重度研修増７．０</f>
        <v>1204</v>
      </c>
      <c r="P59" s="48"/>
    </row>
    <row r="60" spans="1:16" ht="16.5" customHeight="1" x14ac:dyDescent="0.15">
      <c r="A60" s="41">
        <v>11</v>
      </c>
      <c r="B60" s="41">
        <v>4160</v>
      </c>
      <c r="C60" s="127" t="s">
        <v>8053</v>
      </c>
      <c r="D60" s="772"/>
      <c r="E60" s="773"/>
      <c r="F60" s="217" t="s">
        <v>397</v>
      </c>
      <c r="G60" s="218" t="s">
        <v>398</v>
      </c>
      <c r="H60" s="46">
        <v>1</v>
      </c>
      <c r="I60" s="35"/>
      <c r="K60" s="57"/>
      <c r="L60" s="37"/>
      <c r="M60" s="216"/>
      <c r="N60" s="38"/>
      <c r="O60" s="47">
        <f>ROUND((_11_A重度研修増７．０*_11・２人),0)</f>
        <v>1204</v>
      </c>
      <c r="P60" s="48"/>
    </row>
    <row r="61" spans="1:16" ht="16.5" customHeight="1" x14ac:dyDescent="0.15">
      <c r="A61" s="41">
        <v>11</v>
      </c>
      <c r="B61" s="41" t="s">
        <v>8054</v>
      </c>
      <c r="C61" s="127" t="s">
        <v>8055</v>
      </c>
      <c r="D61" s="772"/>
      <c r="E61" s="773"/>
      <c r="F61" s="217"/>
      <c r="G61" s="218"/>
      <c r="H61" s="46"/>
      <c r="I61" s="35"/>
      <c r="K61" s="57"/>
      <c r="L61" s="768" t="s">
        <v>404</v>
      </c>
      <c r="M61" s="219" t="s">
        <v>398</v>
      </c>
      <c r="N61" s="50">
        <f>_11・初任</f>
        <v>0.7</v>
      </c>
      <c r="O61" s="47">
        <f>ROUND((_11_A重度研修増７．０*_11・初任),0)</f>
        <v>843</v>
      </c>
      <c r="P61" s="48"/>
    </row>
    <row r="62" spans="1:16" ht="16.5" customHeight="1" x14ac:dyDescent="0.15">
      <c r="A62" s="41">
        <v>11</v>
      </c>
      <c r="B62" s="41" t="s">
        <v>8056</v>
      </c>
      <c r="C62" s="127" t="s">
        <v>8057</v>
      </c>
      <c r="D62" s="100">
        <f>_11_A重度研修増７．０</f>
        <v>1204</v>
      </c>
      <c r="E62" s="57" t="s">
        <v>392</v>
      </c>
      <c r="F62" s="217" t="s">
        <v>397</v>
      </c>
      <c r="G62" s="218" t="s">
        <v>398</v>
      </c>
      <c r="H62" s="46">
        <v>1</v>
      </c>
      <c r="I62" s="35"/>
      <c r="K62" s="57"/>
      <c r="L62" s="769"/>
      <c r="M62" s="220"/>
      <c r="N62" s="38"/>
      <c r="O62" s="47">
        <f>ROUND((ROUND((_11_A重度研修増７．０*_11・２人),0)*_11・初任),0)</f>
        <v>843</v>
      </c>
      <c r="P62" s="48"/>
    </row>
    <row r="63" spans="1:16" ht="16.5" customHeight="1" x14ac:dyDescent="0.15">
      <c r="A63" s="41">
        <v>11</v>
      </c>
      <c r="B63" s="41">
        <v>4161</v>
      </c>
      <c r="C63" s="127" t="s">
        <v>8058</v>
      </c>
      <c r="D63" s="770" t="s">
        <v>581</v>
      </c>
      <c r="E63" s="771"/>
      <c r="F63" s="217"/>
      <c r="G63" s="218"/>
      <c r="H63" s="46"/>
      <c r="I63" s="35"/>
      <c r="K63" s="57"/>
      <c r="L63" s="49"/>
      <c r="M63" s="221"/>
      <c r="N63" s="50"/>
      <c r="O63" s="47">
        <f>_11_A重度研修増７．５</f>
        <v>1290</v>
      </c>
      <c r="P63" s="48"/>
    </row>
    <row r="64" spans="1:16" ht="16.5" customHeight="1" x14ac:dyDescent="0.15">
      <c r="A64" s="41">
        <v>11</v>
      </c>
      <c r="B64" s="41">
        <v>4162</v>
      </c>
      <c r="C64" s="127" t="s">
        <v>8059</v>
      </c>
      <c r="D64" s="772"/>
      <c r="E64" s="773"/>
      <c r="F64" s="217" t="s">
        <v>397</v>
      </c>
      <c r="G64" s="218" t="s">
        <v>398</v>
      </c>
      <c r="H64" s="46">
        <v>1</v>
      </c>
      <c r="I64" s="35"/>
      <c r="K64" s="57"/>
      <c r="L64" s="37"/>
      <c r="M64" s="216"/>
      <c r="N64" s="38"/>
      <c r="O64" s="47">
        <f>ROUND((_11_A重度研修増７．５*_11・２人),0)</f>
        <v>1290</v>
      </c>
      <c r="P64" s="48"/>
    </row>
    <row r="65" spans="1:16" ht="16.5" customHeight="1" x14ac:dyDescent="0.15">
      <c r="A65" s="41">
        <v>11</v>
      </c>
      <c r="B65" s="41" t="s">
        <v>8060</v>
      </c>
      <c r="C65" s="127" t="s">
        <v>8061</v>
      </c>
      <c r="D65" s="772"/>
      <c r="E65" s="773"/>
      <c r="F65" s="217"/>
      <c r="G65" s="218"/>
      <c r="H65" s="46"/>
      <c r="I65" s="35"/>
      <c r="K65" s="57"/>
      <c r="L65" s="768" t="s">
        <v>404</v>
      </c>
      <c r="M65" s="219" t="s">
        <v>398</v>
      </c>
      <c r="N65" s="50">
        <f>_11・初任</f>
        <v>0.7</v>
      </c>
      <c r="O65" s="47">
        <f>ROUND((_11_A重度研修増７．５*_11・初任),0)</f>
        <v>903</v>
      </c>
      <c r="P65" s="48"/>
    </row>
    <row r="66" spans="1:16" ht="16.5" customHeight="1" x14ac:dyDescent="0.15">
      <c r="A66" s="41">
        <v>11</v>
      </c>
      <c r="B66" s="41" t="s">
        <v>8062</v>
      </c>
      <c r="C66" s="127" t="s">
        <v>8063</v>
      </c>
      <c r="D66" s="100">
        <f>_11_A重度研修増７．５</f>
        <v>1290</v>
      </c>
      <c r="E66" s="57" t="s">
        <v>392</v>
      </c>
      <c r="F66" s="217" t="s">
        <v>397</v>
      </c>
      <c r="G66" s="218" t="s">
        <v>398</v>
      </c>
      <c r="H66" s="46">
        <v>1</v>
      </c>
      <c r="I66" s="35"/>
      <c r="K66" s="57"/>
      <c r="L66" s="769"/>
      <c r="M66" s="220"/>
      <c r="N66" s="38"/>
      <c r="O66" s="47">
        <f>ROUND((ROUND((_11_A重度研修増７．５*_11・２人),0)*_11・初任),0)</f>
        <v>903</v>
      </c>
      <c r="P66" s="48"/>
    </row>
    <row r="67" spans="1:16" ht="16.5" customHeight="1" x14ac:dyDescent="0.15">
      <c r="A67" s="41">
        <v>11</v>
      </c>
      <c r="B67" s="41">
        <v>4163</v>
      </c>
      <c r="C67" s="127" t="s">
        <v>8064</v>
      </c>
      <c r="D67" s="770" t="s">
        <v>594</v>
      </c>
      <c r="E67" s="771"/>
      <c r="F67" s="217"/>
      <c r="G67" s="218"/>
      <c r="H67" s="46"/>
      <c r="I67" s="35"/>
      <c r="K67" s="57"/>
      <c r="L67" s="49"/>
      <c r="M67" s="221"/>
      <c r="N67" s="50"/>
      <c r="O67" s="47">
        <f>_11_A重度研修増８．０</f>
        <v>1376</v>
      </c>
      <c r="P67" s="48"/>
    </row>
    <row r="68" spans="1:16" ht="16.5" customHeight="1" x14ac:dyDescent="0.15">
      <c r="A68" s="41">
        <v>11</v>
      </c>
      <c r="B68" s="41">
        <v>4164</v>
      </c>
      <c r="C68" s="127" t="s">
        <v>8065</v>
      </c>
      <c r="D68" s="772"/>
      <c r="E68" s="773"/>
      <c r="F68" s="217" t="s">
        <v>397</v>
      </c>
      <c r="G68" s="218" t="s">
        <v>398</v>
      </c>
      <c r="H68" s="46">
        <v>1</v>
      </c>
      <c r="I68" s="35"/>
      <c r="K68" s="57"/>
      <c r="L68" s="37"/>
      <c r="M68" s="216"/>
      <c r="N68" s="38"/>
      <c r="O68" s="47">
        <f>ROUND((_11_A重度研修増８．０*_11・２人),0)</f>
        <v>1376</v>
      </c>
      <c r="P68" s="48"/>
    </row>
    <row r="69" spans="1:16" ht="16.5" customHeight="1" x14ac:dyDescent="0.15">
      <c r="A69" s="41">
        <v>11</v>
      </c>
      <c r="B69" s="41" t="s">
        <v>8066</v>
      </c>
      <c r="C69" s="127" t="s">
        <v>8067</v>
      </c>
      <c r="D69" s="772"/>
      <c r="E69" s="773"/>
      <c r="F69" s="217"/>
      <c r="G69" s="218"/>
      <c r="H69" s="46"/>
      <c r="I69" s="35"/>
      <c r="K69" s="57"/>
      <c r="L69" s="768" t="s">
        <v>404</v>
      </c>
      <c r="M69" s="219" t="s">
        <v>398</v>
      </c>
      <c r="N69" s="50">
        <f>_11・初任</f>
        <v>0.7</v>
      </c>
      <c r="O69" s="47">
        <f>ROUND((_11_A重度研修増８．０*_11・初任),0)</f>
        <v>963</v>
      </c>
      <c r="P69" s="48"/>
    </row>
    <row r="70" spans="1:16" ht="16.5" customHeight="1" x14ac:dyDescent="0.15">
      <c r="A70" s="41">
        <v>11</v>
      </c>
      <c r="B70" s="41" t="s">
        <v>8068</v>
      </c>
      <c r="C70" s="127" t="s">
        <v>8069</v>
      </c>
      <c r="D70" s="100">
        <f>_11_A重度研修増８．０</f>
        <v>1376</v>
      </c>
      <c r="E70" s="57" t="s">
        <v>392</v>
      </c>
      <c r="F70" s="217" t="s">
        <v>397</v>
      </c>
      <c r="G70" s="218" t="s">
        <v>398</v>
      </c>
      <c r="H70" s="46">
        <v>1</v>
      </c>
      <c r="I70" s="35"/>
      <c r="K70" s="57"/>
      <c r="L70" s="769"/>
      <c r="M70" s="220"/>
      <c r="N70" s="38"/>
      <c r="O70" s="47">
        <f>ROUND((ROUND((_11_A重度研修増８．０*_11・２人),0)*_11・初任),0)</f>
        <v>963</v>
      </c>
      <c r="P70" s="48"/>
    </row>
    <row r="71" spans="1:16" ht="16.5" customHeight="1" x14ac:dyDescent="0.15">
      <c r="A71" s="41">
        <v>11</v>
      </c>
      <c r="B71" s="41">
        <v>4165</v>
      </c>
      <c r="C71" s="127" t="s">
        <v>8070</v>
      </c>
      <c r="D71" s="770" t="s">
        <v>607</v>
      </c>
      <c r="E71" s="771"/>
      <c r="F71" s="217"/>
      <c r="G71" s="218"/>
      <c r="H71" s="46"/>
      <c r="I71" s="35"/>
      <c r="K71" s="57"/>
      <c r="L71" s="49"/>
      <c r="M71" s="221"/>
      <c r="N71" s="50"/>
      <c r="O71" s="47">
        <f>_11_A重度研修増８．５</f>
        <v>1462</v>
      </c>
      <c r="P71" s="48"/>
    </row>
    <row r="72" spans="1:16" ht="16.5" customHeight="1" x14ac:dyDescent="0.15">
      <c r="A72" s="41">
        <v>11</v>
      </c>
      <c r="B72" s="41">
        <v>4166</v>
      </c>
      <c r="C72" s="127" t="s">
        <v>8071</v>
      </c>
      <c r="D72" s="772"/>
      <c r="E72" s="773"/>
      <c r="F72" s="217" t="s">
        <v>397</v>
      </c>
      <c r="G72" s="218" t="s">
        <v>398</v>
      </c>
      <c r="H72" s="46">
        <v>1</v>
      </c>
      <c r="I72" s="35"/>
      <c r="K72" s="57"/>
      <c r="L72" s="37"/>
      <c r="M72" s="216"/>
      <c r="N72" s="38"/>
      <c r="O72" s="47">
        <f>ROUND((_11_A重度研修増８．５*_11・２人),0)</f>
        <v>1462</v>
      </c>
      <c r="P72" s="48"/>
    </row>
    <row r="73" spans="1:16" ht="16.5" customHeight="1" x14ac:dyDescent="0.15">
      <c r="A73" s="41">
        <v>11</v>
      </c>
      <c r="B73" s="41" t="s">
        <v>8072</v>
      </c>
      <c r="C73" s="127" t="s">
        <v>8073</v>
      </c>
      <c r="D73" s="772"/>
      <c r="E73" s="773"/>
      <c r="F73" s="217"/>
      <c r="G73" s="218"/>
      <c r="H73" s="46"/>
      <c r="I73" s="35"/>
      <c r="K73" s="57"/>
      <c r="L73" s="768" t="s">
        <v>404</v>
      </c>
      <c r="M73" s="219" t="s">
        <v>398</v>
      </c>
      <c r="N73" s="50">
        <f>_11・初任</f>
        <v>0.7</v>
      </c>
      <c r="O73" s="47">
        <f>ROUND((_11_A重度研修増８．５*_11・初任),0)</f>
        <v>1023</v>
      </c>
      <c r="P73" s="48"/>
    </row>
    <row r="74" spans="1:16" ht="16.5" customHeight="1" x14ac:dyDescent="0.15">
      <c r="A74" s="41">
        <v>11</v>
      </c>
      <c r="B74" s="41" t="s">
        <v>8074</v>
      </c>
      <c r="C74" s="127" t="s">
        <v>8075</v>
      </c>
      <c r="D74" s="100">
        <f>_11_A重度研修増８．５</f>
        <v>1462</v>
      </c>
      <c r="E74" s="57" t="s">
        <v>392</v>
      </c>
      <c r="F74" s="217" t="s">
        <v>397</v>
      </c>
      <c r="G74" s="218" t="s">
        <v>398</v>
      </c>
      <c r="H74" s="46">
        <v>1</v>
      </c>
      <c r="I74" s="35"/>
      <c r="K74" s="57"/>
      <c r="L74" s="769"/>
      <c r="M74" s="220"/>
      <c r="N74" s="38"/>
      <c r="O74" s="47">
        <f>ROUND((ROUND((_11_A重度研修増８．５*_11・２人),0)*_11・初任),0)</f>
        <v>1023</v>
      </c>
      <c r="P74" s="48"/>
    </row>
    <row r="75" spans="1:16" ht="16.5" customHeight="1" x14ac:dyDescent="0.15">
      <c r="A75" s="41">
        <v>11</v>
      </c>
      <c r="B75" s="41">
        <v>4167</v>
      </c>
      <c r="C75" s="127" t="s">
        <v>8076</v>
      </c>
      <c r="D75" s="770" t="s">
        <v>620</v>
      </c>
      <c r="E75" s="771"/>
      <c r="F75" s="217"/>
      <c r="G75" s="218"/>
      <c r="H75" s="46"/>
      <c r="I75" s="35"/>
      <c r="K75" s="57"/>
      <c r="L75" s="49"/>
      <c r="M75" s="221"/>
      <c r="N75" s="50"/>
      <c r="O75" s="47">
        <f>_11_A重度研修増９．０</f>
        <v>1548</v>
      </c>
      <c r="P75" s="48"/>
    </row>
    <row r="76" spans="1:16" ht="16.5" customHeight="1" x14ac:dyDescent="0.15">
      <c r="A76" s="41">
        <v>11</v>
      </c>
      <c r="B76" s="41">
        <v>4168</v>
      </c>
      <c r="C76" s="127" t="s">
        <v>8077</v>
      </c>
      <c r="D76" s="772"/>
      <c r="E76" s="773"/>
      <c r="F76" s="217" t="s">
        <v>397</v>
      </c>
      <c r="G76" s="218" t="s">
        <v>398</v>
      </c>
      <c r="H76" s="46">
        <v>1</v>
      </c>
      <c r="I76" s="35"/>
      <c r="K76" s="57"/>
      <c r="L76" s="37"/>
      <c r="M76" s="216"/>
      <c r="N76" s="38"/>
      <c r="O76" s="47">
        <f>ROUND((_11_A重度研修増９．０*_11・２人),0)</f>
        <v>1548</v>
      </c>
      <c r="P76" s="48"/>
    </row>
    <row r="77" spans="1:16" ht="16.5" customHeight="1" x14ac:dyDescent="0.15">
      <c r="A77" s="41">
        <v>11</v>
      </c>
      <c r="B77" s="41" t="s">
        <v>8078</v>
      </c>
      <c r="C77" s="127" t="s">
        <v>8079</v>
      </c>
      <c r="D77" s="772"/>
      <c r="E77" s="773"/>
      <c r="F77" s="217"/>
      <c r="G77" s="218"/>
      <c r="H77" s="46"/>
      <c r="I77" s="35"/>
      <c r="K77" s="57"/>
      <c r="L77" s="768" t="s">
        <v>404</v>
      </c>
      <c r="M77" s="219" t="s">
        <v>398</v>
      </c>
      <c r="N77" s="50">
        <f>_11・初任</f>
        <v>0.7</v>
      </c>
      <c r="O77" s="47">
        <f>ROUND((_11_A重度研修増９．０*_11・初任),0)</f>
        <v>1084</v>
      </c>
      <c r="P77" s="48"/>
    </row>
    <row r="78" spans="1:16" ht="16.5" customHeight="1" x14ac:dyDescent="0.15">
      <c r="A78" s="41">
        <v>11</v>
      </c>
      <c r="B78" s="41" t="s">
        <v>8080</v>
      </c>
      <c r="C78" s="127" t="s">
        <v>8081</v>
      </c>
      <c r="D78" s="165">
        <f>_11_A重度研修増９．０</f>
        <v>1548</v>
      </c>
      <c r="E78" s="79" t="s">
        <v>392</v>
      </c>
      <c r="F78" s="217" t="s">
        <v>397</v>
      </c>
      <c r="G78" s="218" t="s">
        <v>398</v>
      </c>
      <c r="H78" s="46">
        <v>1</v>
      </c>
      <c r="I78" s="35"/>
      <c r="K78" s="57"/>
      <c r="L78" s="769"/>
      <c r="M78" s="220"/>
      <c r="N78" s="38"/>
      <c r="O78" s="47">
        <f>ROUND((ROUND((_11_A重度研修増９．０*_11・２人),0)*_11・初任),0)</f>
        <v>1084</v>
      </c>
      <c r="P78" s="48"/>
    </row>
    <row r="79" spans="1:16" ht="16.5" customHeight="1" x14ac:dyDescent="0.15">
      <c r="A79" s="33">
        <v>11</v>
      </c>
      <c r="B79" s="33">
        <v>4169</v>
      </c>
      <c r="C79" s="135" t="s">
        <v>8082</v>
      </c>
      <c r="D79" s="772" t="s">
        <v>633</v>
      </c>
      <c r="E79" s="773"/>
      <c r="F79" s="215"/>
      <c r="G79" s="216"/>
      <c r="H79" s="38"/>
      <c r="I79" s="35"/>
      <c r="K79" s="57"/>
      <c r="O79" s="39">
        <f>_11_A重度研修増９．５</f>
        <v>1634</v>
      </c>
      <c r="P79" s="48"/>
    </row>
    <row r="80" spans="1:16" ht="16.5" customHeight="1" x14ac:dyDescent="0.15">
      <c r="A80" s="41">
        <v>11</v>
      </c>
      <c r="B80" s="41">
        <v>4170</v>
      </c>
      <c r="C80" s="127" t="s">
        <v>8083</v>
      </c>
      <c r="D80" s="772"/>
      <c r="E80" s="773"/>
      <c r="F80" s="217" t="s">
        <v>397</v>
      </c>
      <c r="G80" s="218" t="s">
        <v>398</v>
      </c>
      <c r="H80" s="46">
        <v>1</v>
      </c>
      <c r="I80" s="35"/>
      <c r="K80" s="57"/>
      <c r="L80" s="37"/>
      <c r="M80" s="216"/>
      <c r="N80" s="38"/>
      <c r="O80" s="47">
        <f>ROUND((_11_A重度研修増９．５*_11・２人),0)</f>
        <v>1634</v>
      </c>
      <c r="P80" s="48"/>
    </row>
    <row r="81" spans="1:16" ht="16.5" customHeight="1" x14ac:dyDescent="0.15">
      <c r="A81" s="41">
        <v>11</v>
      </c>
      <c r="B81" s="41" t="s">
        <v>8084</v>
      </c>
      <c r="C81" s="127" t="s">
        <v>8085</v>
      </c>
      <c r="D81" s="772"/>
      <c r="E81" s="773"/>
      <c r="F81" s="217"/>
      <c r="G81" s="218"/>
      <c r="H81" s="46"/>
      <c r="I81" s="35"/>
      <c r="K81" s="57"/>
      <c r="L81" s="768" t="s">
        <v>404</v>
      </c>
      <c r="M81" s="219" t="s">
        <v>398</v>
      </c>
      <c r="N81" s="50">
        <f>_11・初任</f>
        <v>0.7</v>
      </c>
      <c r="O81" s="47">
        <f>ROUND((_11_A重度研修増９．５*_11・初任),0)</f>
        <v>1144</v>
      </c>
      <c r="P81" s="48"/>
    </row>
    <row r="82" spans="1:16" ht="16.5" customHeight="1" x14ac:dyDescent="0.15">
      <c r="A82" s="41">
        <v>11</v>
      </c>
      <c r="B82" s="41" t="s">
        <v>8086</v>
      </c>
      <c r="C82" s="127" t="s">
        <v>8087</v>
      </c>
      <c r="D82" s="100">
        <f>_11_A重度研修増９．５</f>
        <v>1634</v>
      </c>
      <c r="E82" s="57" t="s">
        <v>392</v>
      </c>
      <c r="F82" s="217" t="s">
        <v>397</v>
      </c>
      <c r="G82" s="218" t="s">
        <v>398</v>
      </c>
      <c r="H82" s="46">
        <v>1</v>
      </c>
      <c r="I82" s="35"/>
      <c r="K82" s="57"/>
      <c r="L82" s="769"/>
      <c r="M82" s="220"/>
      <c r="N82" s="38"/>
      <c r="O82" s="47">
        <f>ROUND((ROUND((_11_A重度研修増９．５*_11・２人),0)*_11・初任),0)</f>
        <v>1144</v>
      </c>
      <c r="P82" s="48"/>
    </row>
    <row r="83" spans="1:16" ht="16.5" customHeight="1" x14ac:dyDescent="0.15">
      <c r="A83" s="41">
        <v>11</v>
      </c>
      <c r="B83" s="41">
        <v>4171</v>
      </c>
      <c r="C83" s="127" t="s">
        <v>8088</v>
      </c>
      <c r="D83" s="770" t="s">
        <v>646</v>
      </c>
      <c r="E83" s="771"/>
      <c r="F83" s="217"/>
      <c r="G83" s="218"/>
      <c r="H83" s="46"/>
      <c r="I83" s="35"/>
      <c r="K83" s="57"/>
      <c r="L83" s="49"/>
      <c r="M83" s="221"/>
      <c r="N83" s="50"/>
      <c r="O83" s="47">
        <f>_11_A重度研修増１０．０</f>
        <v>1720</v>
      </c>
      <c r="P83" s="48"/>
    </row>
    <row r="84" spans="1:16" ht="16.5" customHeight="1" x14ac:dyDescent="0.15">
      <c r="A84" s="41">
        <v>11</v>
      </c>
      <c r="B84" s="41">
        <v>4172</v>
      </c>
      <c r="C84" s="127" t="s">
        <v>8089</v>
      </c>
      <c r="D84" s="772"/>
      <c r="E84" s="773"/>
      <c r="F84" s="217" t="s">
        <v>397</v>
      </c>
      <c r="G84" s="218" t="s">
        <v>398</v>
      </c>
      <c r="H84" s="46">
        <v>1</v>
      </c>
      <c r="I84" s="35"/>
      <c r="K84" s="57"/>
      <c r="L84" s="37"/>
      <c r="M84" s="216"/>
      <c r="N84" s="38"/>
      <c r="O84" s="47">
        <f>ROUND((_11_A重度研修増１０．０*_11・２人),0)</f>
        <v>1720</v>
      </c>
      <c r="P84" s="48"/>
    </row>
    <row r="85" spans="1:16" ht="16.5" customHeight="1" x14ac:dyDescent="0.15">
      <c r="A85" s="41">
        <v>11</v>
      </c>
      <c r="B85" s="41" t="s">
        <v>8090</v>
      </c>
      <c r="C85" s="127" t="s">
        <v>8091</v>
      </c>
      <c r="D85" s="772"/>
      <c r="E85" s="773"/>
      <c r="F85" s="217"/>
      <c r="G85" s="218"/>
      <c r="H85" s="46"/>
      <c r="I85" s="35"/>
      <c r="K85" s="57"/>
      <c r="L85" s="768" t="s">
        <v>404</v>
      </c>
      <c r="M85" s="219" t="s">
        <v>398</v>
      </c>
      <c r="N85" s="50">
        <f>_11・初任</f>
        <v>0.7</v>
      </c>
      <c r="O85" s="47">
        <f>ROUND((_11_A重度研修増１０．０*_11・初任),0)</f>
        <v>1204</v>
      </c>
      <c r="P85" s="48"/>
    </row>
    <row r="86" spans="1:16" ht="16.5" customHeight="1" x14ac:dyDescent="0.15">
      <c r="A86" s="41">
        <v>11</v>
      </c>
      <c r="B86" s="41" t="s">
        <v>8092</v>
      </c>
      <c r="C86" s="127" t="s">
        <v>8093</v>
      </c>
      <c r="D86" s="100">
        <f>_11_A重度研修増１０．０</f>
        <v>1720</v>
      </c>
      <c r="E86" s="57" t="s">
        <v>392</v>
      </c>
      <c r="F86" s="217" t="s">
        <v>397</v>
      </c>
      <c r="G86" s="218" t="s">
        <v>398</v>
      </c>
      <c r="H86" s="46">
        <v>1</v>
      </c>
      <c r="I86" s="35"/>
      <c r="K86" s="57"/>
      <c r="L86" s="769"/>
      <c r="M86" s="220"/>
      <c r="N86" s="38"/>
      <c r="O86" s="47">
        <f>ROUND((ROUND((_11_A重度研修増１０．０*_11・２人),0)*_11・初任),0)</f>
        <v>1204</v>
      </c>
      <c r="P86" s="48"/>
    </row>
    <row r="87" spans="1:16" ht="16.5" customHeight="1" x14ac:dyDescent="0.15">
      <c r="A87" s="41">
        <v>11</v>
      </c>
      <c r="B87" s="41">
        <v>4173</v>
      </c>
      <c r="C87" s="127" t="s">
        <v>8094</v>
      </c>
      <c r="D87" s="770" t="s">
        <v>659</v>
      </c>
      <c r="E87" s="771"/>
      <c r="F87" s="217"/>
      <c r="G87" s="218"/>
      <c r="H87" s="46"/>
      <c r="I87" s="35"/>
      <c r="K87" s="57"/>
      <c r="L87" s="49"/>
      <c r="M87" s="221"/>
      <c r="N87" s="50"/>
      <c r="O87" s="47">
        <f>_11_A重度研修増１０．５</f>
        <v>1806</v>
      </c>
      <c r="P87" s="48"/>
    </row>
    <row r="88" spans="1:16" ht="16.5" customHeight="1" x14ac:dyDescent="0.15">
      <c r="A88" s="41">
        <v>11</v>
      </c>
      <c r="B88" s="41">
        <v>4174</v>
      </c>
      <c r="C88" s="127" t="s">
        <v>8095</v>
      </c>
      <c r="D88" s="772"/>
      <c r="E88" s="773"/>
      <c r="F88" s="217" t="s">
        <v>397</v>
      </c>
      <c r="G88" s="218" t="s">
        <v>398</v>
      </c>
      <c r="H88" s="46">
        <v>1</v>
      </c>
      <c r="I88" s="35"/>
      <c r="K88" s="57"/>
      <c r="L88" s="37"/>
      <c r="M88" s="216"/>
      <c r="N88" s="38"/>
      <c r="O88" s="47">
        <f>ROUND((_11_A重度研修増１０．５*_11・２人),0)</f>
        <v>1806</v>
      </c>
      <c r="P88" s="48"/>
    </row>
    <row r="89" spans="1:16" ht="16.5" customHeight="1" x14ac:dyDescent="0.15">
      <c r="A89" s="41">
        <v>11</v>
      </c>
      <c r="B89" s="41" t="s">
        <v>8096</v>
      </c>
      <c r="C89" s="127" t="s">
        <v>8097</v>
      </c>
      <c r="D89" s="772"/>
      <c r="E89" s="773"/>
      <c r="F89" s="217"/>
      <c r="G89" s="218"/>
      <c r="H89" s="46"/>
      <c r="I89" s="35"/>
      <c r="K89" s="57"/>
      <c r="L89" s="768" t="s">
        <v>404</v>
      </c>
      <c r="M89" s="219" t="s">
        <v>398</v>
      </c>
      <c r="N89" s="50">
        <f>_11・初任</f>
        <v>0.7</v>
      </c>
      <c r="O89" s="47">
        <f>ROUND((_11_A重度研修増１０．５*_11・初任),0)</f>
        <v>1264</v>
      </c>
      <c r="P89" s="48"/>
    </row>
    <row r="90" spans="1:16" ht="16.5" customHeight="1" x14ac:dyDescent="0.15">
      <c r="A90" s="41">
        <v>11</v>
      </c>
      <c r="B90" s="41" t="s">
        <v>8098</v>
      </c>
      <c r="C90" s="127" t="s">
        <v>8099</v>
      </c>
      <c r="D90" s="165">
        <f>_11_A重度研修増１０．５</f>
        <v>1806</v>
      </c>
      <c r="E90" s="79" t="s">
        <v>392</v>
      </c>
      <c r="F90" s="217" t="s">
        <v>397</v>
      </c>
      <c r="G90" s="218" t="s">
        <v>398</v>
      </c>
      <c r="H90" s="46">
        <v>1</v>
      </c>
      <c r="I90" s="43"/>
      <c r="J90" s="38"/>
      <c r="K90" s="79"/>
      <c r="L90" s="769"/>
      <c r="M90" s="220"/>
      <c r="N90" s="38"/>
      <c r="O90" s="47">
        <f>ROUND((ROUND((_11_A重度研修増１０．５*_11・２人),0)*_11・初任),0)</f>
        <v>1264</v>
      </c>
      <c r="P90" s="63"/>
    </row>
    <row r="91" spans="1:16" ht="16.5" customHeight="1" x14ac:dyDescent="0.15">
      <c r="A91" s="80"/>
      <c r="B91" s="80"/>
      <c r="C91" s="81"/>
      <c r="O91" s="84"/>
      <c r="P91" s="85"/>
    </row>
    <row r="92" spans="1:16" ht="16.5" customHeight="1" x14ac:dyDescent="0.15">
      <c r="A92" s="80"/>
      <c r="B92" s="80"/>
      <c r="C92" s="81"/>
      <c r="O92" s="84"/>
      <c r="P92" s="85"/>
    </row>
    <row r="93" spans="1:16" ht="16.5" customHeight="1" x14ac:dyDescent="0.15">
      <c r="A93" s="80"/>
      <c r="B93" s="86" t="s">
        <v>8100</v>
      </c>
      <c r="C93" s="81"/>
      <c r="D93" s="200"/>
      <c r="O93" s="84"/>
      <c r="P93" s="85"/>
    </row>
    <row r="94" spans="1:16" ht="16.5" customHeight="1" x14ac:dyDescent="0.15">
      <c r="A94" s="87" t="s">
        <v>384</v>
      </c>
      <c r="B94" s="20"/>
      <c r="C94" s="88" t="s">
        <v>385</v>
      </c>
      <c r="D94" s="222"/>
      <c r="E94" s="23"/>
      <c r="F94" s="23"/>
      <c r="G94" s="166"/>
      <c r="H94" s="222" t="s">
        <v>386</v>
      </c>
      <c r="I94" s="23"/>
      <c r="J94" s="24"/>
      <c r="K94" s="23"/>
      <c r="L94" s="23"/>
      <c r="M94" s="166"/>
      <c r="N94" s="24"/>
      <c r="O94" s="25" t="s">
        <v>387</v>
      </c>
      <c r="P94" s="21" t="s">
        <v>388</v>
      </c>
    </row>
    <row r="95" spans="1:16" ht="16.5" customHeight="1" x14ac:dyDescent="0.15">
      <c r="A95" s="26" t="s">
        <v>389</v>
      </c>
      <c r="B95" s="26" t="s">
        <v>390</v>
      </c>
      <c r="C95" s="89"/>
      <c r="D95" s="120"/>
      <c r="E95" s="29"/>
      <c r="F95" s="29"/>
      <c r="G95" s="214"/>
      <c r="H95" s="30"/>
      <c r="I95" s="29"/>
      <c r="J95" s="30"/>
      <c r="K95" s="29"/>
      <c r="L95" s="29"/>
      <c r="M95" s="214"/>
      <c r="N95" s="30"/>
      <c r="O95" s="31" t="s">
        <v>391</v>
      </c>
      <c r="P95" s="32" t="s">
        <v>392</v>
      </c>
    </row>
    <row r="96" spans="1:16" ht="16.5" customHeight="1" x14ac:dyDescent="0.15">
      <c r="A96" s="33">
        <v>11</v>
      </c>
      <c r="B96" s="33">
        <v>4175</v>
      </c>
      <c r="C96" s="135" t="s">
        <v>8101</v>
      </c>
      <c r="D96" s="772" t="s">
        <v>673</v>
      </c>
      <c r="E96" s="773"/>
      <c r="F96" s="215"/>
      <c r="G96" s="216"/>
      <c r="H96" s="38"/>
      <c r="I96" s="72" t="s">
        <v>674</v>
      </c>
      <c r="K96" s="57"/>
      <c r="L96" s="35"/>
      <c r="O96" s="39">
        <f>ROUND((_11_A重度研修増０．５*(1+_11・A早朝)),0)</f>
        <v>108</v>
      </c>
      <c r="P96" s="40" t="s">
        <v>395</v>
      </c>
    </row>
    <row r="97" spans="1:16" ht="16.5" customHeight="1" x14ac:dyDescent="0.15">
      <c r="A97" s="41">
        <v>11</v>
      </c>
      <c r="B97" s="41">
        <v>4176</v>
      </c>
      <c r="C97" s="127" t="s">
        <v>8102</v>
      </c>
      <c r="D97" s="772"/>
      <c r="E97" s="773"/>
      <c r="F97" s="217" t="s">
        <v>397</v>
      </c>
      <c r="G97" s="218" t="s">
        <v>398</v>
      </c>
      <c r="H97" s="46">
        <v>1</v>
      </c>
      <c r="I97" s="72" t="s">
        <v>398</v>
      </c>
      <c r="J97" s="13">
        <v>0.25</v>
      </c>
      <c r="K97" s="728" t="s">
        <v>676</v>
      </c>
      <c r="L97" s="43"/>
      <c r="M97" s="216"/>
      <c r="N97" s="38"/>
      <c r="O97" s="47">
        <f>ROUND((ROUND((_11_A重度研修増０．５*_11・２人),0)*(1+_11・A早朝)),0)</f>
        <v>108</v>
      </c>
      <c r="P97" s="48"/>
    </row>
    <row r="98" spans="1:16" ht="16.5" customHeight="1" x14ac:dyDescent="0.15">
      <c r="A98" s="41">
        <v>11</v>
      </c>
      <c r="B98" s="41" t="s">
        <v>8103</v>
      </c>
      <c r="C98" s="127" t="s">
        <v>8104</v>
      </c>
      <c r="D98" s="772"/>
      <c r="E98" s="773"/>
      <c r="F98" s="217"/>
      <c r="G98" s="218"/>
      <c r="H98" s="46"/>
      <c r="I98" s="35"/>
      <c r="K98" s="728"/>
      <c r="L98" s="734" t="s">
        <v>404</v>
      </c>
      <c r="M98" s="219" t="s">
        <v>398</v>
      </c>
      <c r="N98" s="50">
        <f>_11・初任</f>
        <v>0.7</v>
      </c>
      <c r="O98" s="47">
        <f>ROUND((ROUND((_11_A重度研修増０．５*(1+_11・A早朝)),0)*_11・初任),0)</f>
        <v>76</v>
      </c>
      <c r="P98" s="48"/>
    </row>
    <row r="99" spans="1:16" ht="16.5" customHeight="1" x14ac:dyDescent="0.15">
      <c r="A99" s="41">
        <v>11</v>
      </c>
      <c r="B99" s="41" t="s">
        <v>8105</v>
      </c>
      <c r="C99" s="127" t="s">
        <v>8106</v>
      </c>
      <c r="D99" s="100">
        <f>_11_A重度研修増０．５</f>
        <v>86</v>
      </c>
      <c r="E99" s="57" t="s">
        <v>392</v>
      </c>
      <c r="F99" s="217" t="s">
        <v>397</v>
      </c>
      <c r="G99" s="218" t="s">
        <v>398</v>
      </c>
      <c r="H99" s="46">
        <v>1</v>
      </c>
      <c r="I99" s="35"/>
      <c r="K99" s="57"/>
      <c r="L99" s="706"/>
      <c r="M99" s="220"/>
      <c r="N99" s="38"/>
      <c r="O99" s="47">
        <f>ROUND((ROUND((ROUND((_11_A重度研修増０．５*_11・２人),0)*(1+_11・A早朝)),0)*_11・初任),0)</f>
        <v>76</v>
      </c>
      <c r="P99" s="48"/>
    </row>
    <row r="100" spans="1:16" ht="16.5" customHeight="1" x14ac:dyDescent="0.15">
      <c r="A100" s="41">
        <v>11</v>
      </c>
      <c r="B100" s="41">
        <v>4177</v>
      </c>
      <c r="C100" s="127" t="s">
        <v>8107</v>
      </c>
      <c r="D100" s="770" t="s">
        <v>689</v>
      </c>
      <c r="E100" s="771"/>
      <c r="F100" s="217"/>
      <c r="G100" s="218"/>
      <c r="H100" s="46"/>
      <c r="I100" s="35"/>
      <c r="K100" s="57"/>
      <c r="L100" s="53"/>
      <c r="M100" s="221"/>
      <c r="N100" s="50"/>
      <c r="O100" s="47">
        <f>ROUND((_11_A重度研修増１．０*(1+_11・A早朝)),0)</f>
        <v>215</v>
      </c>
      <c r="P100" s="48"/>
    </row>
    <row r="101" spans="1:16" ht="16.5" customHeight="1" x14ac:dyDescent="0.15">
      <c r="A101" s="41">
        <v>11</v>
      </c>
      <c r="B101" s="41">
        <v>4178</v>
      </c>
      <c r="C101" s="127" t="s">
        <v>8108</v>
      </c>
      <c r="D101" s="772"/>
      <c r="E101" s="773"/>
      <c r="F101" s="217" t="s">
        <v>397</v>
      </c>
      <c r="G101" s="218" t="s">
        <v>398</v>
      </c>
      <c r="H101" s="46">
        <v>1</v>
      </c>
      <c r="I101" s="35"/>
      <c r="K101" s="57"/>
      <c r="L101" s="43"/>
      <c r="M101" s="216"/>
      <c r="N101" s="38"/>
      <c r="O101" s="47">
        <f>ROUND((ROUND((_11_A重度研修増１．０*_11・２人),0)*(1+_11・A早朝)),0)</f>
        <v>215</v>
      </c>
      <c r="P101" s="48"/>
    </row>
    <row r="102" spans="1:16" ht="16.5" customHeight="1" x14ac:dyDescent="0.15">
      <c r="A102" s="41">
        <v>11</v>
      </c>
      <c r="B102" s="41" t="s">
        <v>8109</v>
      </c>
      <c r="C102" s="127" t="s">
        <v>8110</v>
      </c>
      <c r="D102" s="772"/>
      <c r="E102" s="773"/>
      <c r="F102" s="217"/>
      <c r="G102" s="218"/>
      <c r="H102" s="46"/>
      <c r="I102" s="35"/>
      <c r="K102" s="57"/>
      <c r="L102" s="734" t="s">
        <v>404</v>
      </c>
      <c r="M102" s="219" t="s">
        <v>398</v>
      </c>
      <c r="N102" s="50">
        <f>_11・初任</f>
        <v>0.7</v>
      </c>
      <c r="O102" s="47">
        <f>ROUND((ROUND((_11_A重度研修増１．０*(1+_11・A早朝)),0)*_11・初任),0)</f>
        <v>151</v>
      </c>
      <c r="P102" s="48"/>
    </row>
    <row r="103" spans="1:16" ht="16.5" customHeight="1" x14ac:dyDescent="0.15">
      <c r="A103" s="41">
        <v>11</v>
      </c>
      <c r="B103" s="41" t="s">
        <v>8111</v>
      </c>
      <c r="C103" s="127" t="s">
        <v>8112</v>
      </c>
      <c r="D103" s="100">
        <f>_11_A重度研修増１．０</f>
        <v>172</v>
      </c>
      <c r="E103" s="57" t="s">
        <v>392</v>
      </c>
      <c r="F103" s="217" t="s">
        <v>397</v>
      </c>
      <c r="G103" s="218" t="s">
        <v>398</v>
      </c>
      <c r="H103" s="46">
        <v>1</v>
      </c>
      <c r="I103" s="35"/>
      <c r="K103" s="57"/>
      <c r="L103" s="706"/>
      <c r="M103" s="220"/>
      <c r="N103" s="38"/>
      <c r="O103" s="47">
        <f>ROUND((ROUND((ROUND((_11_A重度研修増１．０*_11・２人),0)*(1+_11・A早朝)),0)*_11・初任),0)</f>
        <v>151</v>
      </c>
      <c r="P103" s="48"/>
    </row>
    <row r="104" spans="1:16" ht="16.5" customHeight="1" x14ac:dyDescent="0.15">
      <c r="A104" s="41">
        <v>11</v>
      </c>
      <c r="B104" s="41">
        <v>4179</v>
      </c>
      <c r="C104" s="127" t="s">
        <v>8113</v>
      </c>
      <c r="D104" s="770" t="s">
        <v>702</v>
      </c>
      <c r="E104" s="771"/>
      <c r="F104" s="217"/>
      <c r="G104" s="218"/>
      <c r="H104" s="46"/>
      <c r="I104" s="35"/>
      <c r="K104" s="57"/>
      <c r="L104" s="53"/>
      <c r="M104" s="221"/>
      <c r="N104" s="50"/>
      <c r="O104" s="47">
        <f>ROUND((_11_A重度研修増１．５*(1+_11・A早朝)),0)</f>
        <v>323</v>
      </c>
      <c r="P104" s="48"/>
    </row>
    <row r="105" spans="1:16" ht="16.5" customHeight="1" x14ac:dyDescent="0.15">
      <c r="A105" s="41">
        <v>11</v>
      </c>
      <c r="B105" s="41">
        <v>4180</v>
      </c>
      <c r="C105" s="127" t="s">
        <v>8114</v>
      </c>
      <c r="D105" s="772"/>
      <c r="E105" s="773"/>
      <c r="F105" s="217" t="s">
        <v>397</v>
      </c>
      <c r="G105" s="218" t="s">
        <v>398</v>
      </c>
      <c r="H105" s="46">
        <v>1</v>
      </c>
      <c r="I105" s="35"/>
      <c r="K105" s="57"/>
      <c r="L105" s="43"/>
      <c r="M105" s="216"/>
      <c r="N105" s="38"/>
      <c r="O105" s="47">
        <f>ROUND((ROUND((_11_A重度研修増１．５*_11・２人),0)*(1+_11・A早朝)),0)</f>
        <v>323</v>
      </c>
      <c r="P105" s="48"/>
    </row>
    <row r="106" spans="1:16" ht="16.5" customHeight="1" x14ac:dyDescent="0.15">
      <c r="A106" s="41">
        <v>11</v>
      </c>
      <c r="B106" s="41" t="s">
        <v>8115</v>
      </c>
      <c r="C106" s="127" t="s">
        <v>8116</v>
      </c>
      <c r="D106" s="772"/>
      <c r="E106" s="773"/>
      <c r="F106" s="217"/>
      <c r="G106" s="218"/>
      <c r="H106" s="46"/>
      <c r="I106" s="35"/>
      <c r="K106" s="57"/>
      <c r="L106" s="734" t="s">
        <v>404</v>
      </c>
      <c r="M106" s="219" t="s">
        <v>398</v>
      </c>
      <c r="N106" s="50">
        <f>_11・初任</f>
        <v>0.7</v>
      </c>
      <c r="O106" s="47">
        <f>ROUND((ROUND((_11_A重度研修増１．５*(1+_11・A早朝)),0)*_11・初任),0)</f>
        <v>226</v>
      </c>
      <c r="P106" s="48"/>
    </row>
    <row r="107" spans="1:16" ht="16.5" customHeight="1" x14ac:dyDescent="0.15">
      <c r="A107" s="41">
        <v>11</v>
      </c>
      <c r="B107" s="41" t="s">
        <v>8117</v>
      </c>
      <c r="C107" s="127" t="s">
        <v>8118</v>
      </c>
      <c r="D107" s="100">
        <f>_11_A重度研修増１．５</f>
        <v>258</v>
      </c>
      <c r="E107" s="57" t="s">
        <v>392</v>
      </c>
      <c r="F107" s="217" t="s">
        <v>397</v>
      </c>
      <c r="G107" s="218" t="s">
        <v>398</v>
      </c>
      <c r="H107" s="46">
        <v>1</v>
      </c>
      <c r="I107" s="35"/>
      <c r="K107" s="57"/>
      <c r="L107" s="706"/>
      <c r="M107" s="220"/>
      <c r="N107" s="38"/>
      <c r="O107" s="47">
        <f>ROUND((ROUND((ROUND((_11_A重度研修増１．５*_11・２人),0)*(1+_11・A早朝)),0)*_11・初任),0)</f>
        <v>226</v>
      </c>
      <c r="P107" s="48"/>
    </row>
    <row r="108" spans="1:16" ht="16.5" customHeight="1" x14ac:dyDescent="0.15">
      <c r="A108" s="41">
        <v>11</v>
      </c>
      <c r="B108" s="41">
        <v>4181</v>
      </c>
      <c r="C108" s="127" t="s">
        <v>8119</v>
      </c>
      <c r="D108" s="770" t="s">
        <v>715</v>
      </c>
      <c r="E108" s="771"/>
      <c r="F108" s="217"/>
      <c r="G108" s="218"/>
      <c r="H108" s="46"/>
      <c r="I108" s="35"/>
      <c r="K108" s="57"/>
      <c r="L108" s="53"/>
      <c r="M108" s="221"/>
      <c r="N108" s="50"/>
      <c r="O108" s="47">
        <f>ROUND((_11_A重度研修増２．０*(1+_11・A早朝)),0)</f>
        <v>430</v>
      </c>
      <c r="P108" s="48"/>
    </row>
    <row r="109" spans="1:16" ht="16.5" customHeight="1" x14ac:dyDescent="0.15">
      <c r="A109" s="41">
        <v>11</v>
      </c>
      <c r="B109" s="41">
        <v>4182</v>
      </c>
      <c r="C109" s="127" t="s">
        <v>8120</v>
      </c>
      <c r="D109" s="772"/>
      <c r="E109" s="773"/>
      <c r="F109" s="217" t="s">
        <v>397</v>
      </c>
      <c r="G109" s="218" t="s">
        <v>398</v>
      </c>
      <c r="H109" s="46">
        <v>1</v>
      </c>
      <c r="I109" s="35"/>
      <c r="K109" s="57"/>
      <c r="L109" s="43"/>
      <c r="M109" s="216"/>
      <c r="N109" s="38"/>
      <c r="O109" s="47">
        <f>ROUND((ROUND((_11_A重度研修増２．０*_11・２人),0)*(1+_11・A早朝)),0)</f>
        <v>430</v>
      </c>
      <c r="P109" s="48"/>
    </row>
    <row r="110" spans="1:16" ht="16.5" customHeight="1" x14ac:dyDescent="0.15">
      <c r="A110" s="41">
        <v>11</v>
      </c>
      <c r="B110" s="41" t="s">
        <v>8121</v>
      </c>
      <c r="C110" s="127" t="s">
        <v>8122</v>
      </c>
      <c r="D110" s="772"/>
      <c r="E110" s="773"/>
      <c r="F110" s="217"/>
      <c r="G110" s="218"/>
      <c r="H110" s="46"/>
      <c r="I110" s="35"/>
      <c r="K110" s="57"/>
      <c r="L110" s="734" t="s">
        <v>404</v>
      </c>
      <c r="M110" s="219" t="s">
        <v>398</v>
      </c>
      <c r="N110" s="50">
        <f>_11・初任</f>
        <v>0.7</v>
      </c>
      <c r="O110" s="47">
        <f>ROUND((ROUND((_11_A重度研修増２．０*(1+_11・A早朝)),0)*_11・初任),0)</f>
        <v>301</v>
      </c>
      <c r="P110" s="48"/>
    </row>
    <row r="111" spans="1:16" ht="16.5" customHeight="1" x14ac:dyDescent="0.15">
      <c r="A111" s="41">
        <v>11</v>
      </c>
      <c r="B111" s="41" t="s">
        <v>8123</v>
      </c>
      <c r="C111" s="127" t="s">
        <v>8124</v>
      </c>
      <c r="D111" s="100">
        <f>_11_A重度研修増２．０</f>
        <v>344</v>
      </c>
      <c r="E111" s="57" t="s">
        <v>392</v>
      </c>
      <c r="F111" s="217" t="s">
        <v>397</v>
      </c>
      <c r="G111" s="218" t="s">
        <v>398</v>
      </c>
      <c r="H111" s="46">
        <v>1</v>
      </c>
      <c r="I111" s="35"/>
      <c r="K111" s="57"/>
      <c r="L111" s="706"/>
      <c r="M111" s="220"/>
      <c r="N111" s="38"/>
      <c r="O111" s="47">
        <f>ROUND((ROUND((ROUND((_11_A重度研修増２．０*_11・２人),0)*(1+_11・A早朝)),0)*_11・初任),0)</f>
        <v>301</v>
      </c>
      <c r="P111" s="48"/>
    </row>
    <row r="112" spans="1:16" ht="16.5" customHeight="1" x14ac:dyDescent="0.15">
      <c r="A112" s="41">
        <v>11</v>
      </c>
      <c r="B112" s="41">
        <v>4183</v>
      </c>
      <c r="C112" s="127" t="s">
        <v>8125</v>
      </c>
      <c r="D112" s="770" t="s">
        <v>728</v>
      </c>
      <c r="E112" s="771"/>
      <c r="F112" s="217"/>
      <c r="G112" s="218"/>
      <c r="H112" s="46"/>
      <c r="I112" s="35"/>
      <c r="K112" s="57"/>
      <c r="L112" s="53"/>
      <c r="M112" s="221"/>
      <c r="N112" s="50"/>
      <c r="O112" s="47">
        <f>ROUND((_11_A重度研修増２．５*(1+_11・A早朝)),0)</f>
        <v>538</v>
      </c>
      <c r="P112" s="48"/>
    </row>
    <row r="113" spans="1:16" ht="16.5" customHeight="1" x14ac:dyDescent="0.15">
      <c r="A113" s="41">
        <v>11</v>
      </c>
      <c r="B113" s="41">
        <v>4184</v>
      </c>
      <c r="C113" s="127" t="s">
        <v>8126</v>
      </c>
      <c r="D113" s="772"/>
      <c r="E113" s="773"/>
      <c r="F113" s="217" t="s">
        <v>397</v>
      </c>
      <c r="G113" s="218" t="s">
        <v>398</v>
      </c>
      <c r="H113" s="46">
        <v>1</v>
      </c>
      <c r="I113" s="35"/>
      <c r="K113" s="57"/>
      <c r="L113" s="43"/>
      <c r="M113" s="216"/>
      <c r="N113" s="38"/>
      <c r="O113" s="47">
        <f>ROUND((ROUND((_11_A重度研修増２．５*_11・２人),0)*(1+_11・A早朝)),0)</f>
        <v>538</v>
      </c>
      <c r="P113" s="48"/>
    </row>
    <row r="114" spans="1:16" ht="16.5" customHeight="1" x14ac:dyDescent="0.15">
      <c r="A114" s="41">
        <v>11</v>
      </c>
      <c r="B114" s="41" t="s">
        <v>8127</v>
      </c>
      <c r="C114" s="127" t="s">
        <v>8128</v>
      </c>
      <c r="D114" s="772"/>
      <c r="E114" s="773"/>
      <c r="F114" s="217"/>
      <c r="G114" s="218"/>
      <c r="H114" s="46"/>
      <c r="I114" s="35"/>
      <c r="K114" s="57"/>
      <c r="L114" s="734" t="s">
        <v>404</v>
      </c>
      <c r="M114" s="219" t="s">
        <v>398</v>
      </c>
      <c r="N114" s="50">
        <f>_11・初任</f>
        <v>0.7</v>
      </c>
      <c r="O114" s="47">
        <f>ROUND((ROUND((_11_A重度研修増２．５*(1+_11・A早朝)),0)*_11・初任),0)</f>
        <v>377</v>
      </c>
      <c r="P114" s="48"/>
    </row>
    <row r="115" spans="1:16" ht="16.5" customHeight="1" x14ac:dyDescent="0.15">
      <c r="A115" s="41">
        <v>11</v>
      </c>
      <c r="B115" s="41" t="s">
        <v>8129</v>
      </c>
      <c r="C115" s="127" t="s">
        <v>8130</v>
      </c>
      <c r="D115" s="165">
        <f>_11_A重度研修増２．５</f>
        <v>430</v>
      </c>
      <c r="E115" s="79" t="s">
        <v>392</v>
      </c>
      <c r="F115" s="217" t="s">
        <v>397</v>
      </c>
      <c r="G115" s="218" t="s">
        <v>398</v>
      </c>
      <c r="H115" s="46">
        <v>1</v>
      </c>
      <c r="I115" s="43"/>
      <c r="J115" s="38"/>
      <c r="K115" s="79"/>
      <c r="L115" s="706"/>
      <c r="M115" s="220"/>
      <c r="N115" s="38"/>
      <c r="O115" s="47">
        <f>ROUND((ROUND((ROUND((_11_A重度研修増２．５*_11・２人),0)*(1+_11・A早朝)),0)*_11・初任),0)</f>
        <v>377</v>
      </c>
      <c r="P115" s="63"/>
    </row>
    <row r="116" spans="1:16" ht="16.5" customHeight="1" x14ac:dyDescent="0.15"/>
    <row r="117" spans="1:16" ht="16.5" customHeight="1" x14ac:dyDescent="0.15"/>
  </sheetData>
  <mergeCells count="53">
    <mergeCell ref="D108:E110"/>
    <mergeCell ref="L110:L111"/>
    <mergeCell ref="D112:E114"/>
    <mergeCell ref="L114:L115"/>
    <mergeCell ref="D96:E98"/>
    <mergeCell ref="K97:K98"/>
    <mergeCell ref="L98:L99"/>
    <mergeCell ref="D100:E102"/>
    <mergeCell ref="L102:L103"/>
    <mergeCell ref="D104:E106"/>
    <mergeCell ref="L106:L107"/>
    <mergeCell ref="D79:E81"/>
    <mergeCell ref="L81:L82"/>
    <mergeCell ref="D83:E85"/>
    <mergeCell ref="L85:L86"/>
    <mergeCell ref="D87:E89"/>
    <mergeCell ref="L89:L90"/>
    <mergeCell ref="D67:E69"/>
    <mergeCell ref="L69:L70"/>
    <mergeCell ref="D71:E73"/>
    <mergeCell ref="L73:L74"/>
    <mergeCell ref="D75:E77"/>
    <mergeCell ref="L77:L78"/>
    <mergeCell ref="D55:E57"/>
    <mergeCell ref="L57:L58"/>
    <mergeCell ref="D59:E61"/>
    <mergeCell ref="L61:L62"/>
    <mergeCell ref="D63:E65"/>
    <mergeCell ref="L65:L66"/>
    <mergeCell ref="D43:E45"/>
    <mergeCell ref="L45:L46"/>
    <mergeCell ref="D47:E49"/>
    <mergeCell ref="L49:L50"/>
    <mergeCell ref="D51:E53"/>
    <mergeCell ref="L53:L54"/>
    <mergeCell ref="D31:E33"/>
    <mergeCell ref="L33:L34"/>
    <mergeCell ref="D35:E37"/>
    <mergeCell ref="L37:L38"/>
    <mergeCell ref="D39:E41"/>
    <mergeCell ref="L41:L42"/>
    <mergeCell ref="D19:E21"/>
    <mergeCell ref="L21:L22"/>
    <mergeCell ref="D23:E25"/>
    <mergeCell ref="L25:L26"/>
    <mergeCell ref="D27:E29"/>
    <mergeCell ref="L29:L30"/>
    <mergeCell ref="D7:E9"/>
    <mergeCell ref="L9:L10"/>
    <mergeCell ref="D11:E13"/>
    <mergeCell ref="L13:L14"/>
    <mergeCell ref="D15:E17"/>
    <mergeCell ref="L17:L18"/>
  </mergeCells>
  <phoneticPr fontId="1"/>
  <printOptions horizontalCentered="1"/>
  <pageMargins left="0.70866141732283472" right="0.70866141732283472" top="0.74803149606299213" bottom="0.74803149606299213" header="0.31496062992125984" footer="0.31496062992125984"/>
  <pageSetup paperSize="9" scale="52" fitToHeight="0" orientation="portrait" r:id="rId1"/>
  <headerFooter>
    <oddHeader>&amp;R&amp;"ＭＳ Ｐゴシック"&amp;9居宅介護</oddHeader>
    <oddFooter>&amp;C&amp;"ＭＳ Ｐゴシック"&amp;14&amp;P</oddFooter>
  </headerFooter>
  <rowBreaks count="1" manualBreakCount="1">
    <brk id="90" max="15"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5">
    <pageSetUpPr fitToPage="1"/>
  </sheetPr>
  <dimension ref="A1:P101"/>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99" customWidth="1"/>
    <col min="5" max="5" width="4.875" style="10" customWidth="1"/>
    <col min="6" max="6" width="26.875" style="14" bestFit="1" customWidth="1"/>
    <col min="7" max="7" width="2.5" style="16" customWidth="1"/>
    <col min="8" max="8" width="5.875" style="13" bestFit="1" customWidth="1"/>
    <col min="9" max="9" width="2.5" style="16" customWidth="1"/>
    <col min="10" max="10" width="3.875" style="12" customWidth="1"/>
    <col min="11" max="11" width="4.5" style="13" customWidth="1"/>
    <col min="12" max="12" width="17.875" style="12" customWidth="1"/>
    <col min="13" max="13" width="2.5" style="16" customWidth="1"/>
    <col min="14" max="14" width="4.875" style="13" bestFit="1" customWidth="1"/>
    <col min="15" max="15" width="7.125" style="15" customWidth="1"/>
    <col min="16" max="16" width="8.5" style="16" customWidth="1"/>
    <col min="17" max="16384" width="8.875" style="12"/>
  </cols>
  <sheetData>
    <row r="1" spans="1:16" ht="17.100000000000001" customHeight="1" x14ac:dyDescent="0.15"/>
    <row r="2" spans="1:16" ht="17.100000000000001" customHeight="1" x14ac:dyDescent="0.15"/>
    <row r="3" spans="1:16" ht="17.100000000000001" customHeight="1" x14ac:dyDescent="0.15"/>
    <row r="4" spans="1:16" ht="17.100000000000001" customHeight="1" x14ac:dyDescent="0.15">
      <c r="B4" s="17" t="s">
        <v>8131</v>
      </c>
    </row>
    <row r="5" spans="1:16" ht="16.5" customHeight="1" x14ac:dyDescent="0.15">
      <c r="A5" s="19" t="s">
        <v>384</v>
      </c>
      <c r="B5" s="20"/>
      <c r="C5" s="21" t="s">
        <v>385</v>
      </c>
      <c r="D5" s="212" t="s">
        <v>386</v>
      </c>
      <c r="E5" s="23"/>
      <c r="F5" s="23"/>
      <c r="G5" s="23"/>
      <c r="H5" s="24"/>
      <c r="I5" s="23"/>
      <c r="J5" s="23"/>
      <c r="K5" s="24"/>
      <c r="L5" s="23"/>
      <c r="M5" s="23"/>
      <c r="N5" s="24"/>
      <c r="O5" s="25" t="s">
        <v>387</v>
      </c>
      <c r="P5" s="21" t="s">
        <v>388</v>
      </c>
    </row>
    <row r="6" spans="1:16" ht="16.5" customHeight="1" x14ac:dyDescent="0.15">
      <c r="A6" s="26" t="s">
        <v>389</v>
      </c>
      <c r="B6" s="26" t="s">
        <v>390</v>
      </c>
      <c r="C6" s="27"/>
      <c r="D6" s="213"/>
      <c r="E6" s="29"/>
      <c r="F6" s="29"/>
      <c r="G6" s="214"/>
      <c r="H6" s="30"/>
      <c r="I6" s="214"/>
      <c r="J6" s="29"/>
      <c r="K6" s="30"/>
      <c r="L6" s="29"/>
      <c r="M6" s="214"/>
      <c r="N6" s="30"/>
      <c r="O6" s="31" t="s">
        <v>391</v>
      </c>
      <c r="P6" s="32" t="s">
        <v>392</v>
      </c>
    </row>
    <row r="7" spans="1:16" ht="16.5" customHeight="1" x14ac:dyDescent="0.15">
      <c r="A7" s="33">
        <v>11</v>
      </c>
      <c r="B7" s="33">
        <v>4185</v>
      </c>
      <c r="C7" s="34" t="s">
        <v>8132</v>
      </c>
      <c r="D7" s="776" t="s">
        <v>742</v>
      </c>
      <c r="E7" s="777"/>
      <c r="F7" s="36"/>
      <c r="G7" s="216"/>
      <c r="H7" s="38"/>
      <c r="I7" s="72" t="s">
        <v>743</v>
      </c>
      <c r="L7" s="35"/>
      <c r="O7" s="39">
        <f>ROUND((_11_A重度研修増０．５*(1+_11・A夜間)),0)</f>
        <v>108</v>
      </c>
      <c r="P7" s="40" t="s">
        <v>395</v>
      </c>
    </row>
    <row r="8" spans="1:16" ht="16.5" customHeight="1" x14ac:dyDescent="0.15">
      <c r="A8" s="41">
        <v>11</v>
      </c>
      <c r="B8" s="41">
        <v>4186</v>
      </c>
      <c r="C8" s="74" t="s">
        <v>8133</v>
      </c>
      <c r="D8" s="776"/>
      <c r="E8" s="777"/>
      <c r="F8" s="44" t="s">
        <v>397</v>
      </c>
      <c r="G8" s="218" t="s">
        <v>398</v>
      </c>
      <c r="H8" s="46">
        <v>1</v>
      </c>
      <c r="I8" s="223" t="s">
        <v>398</v>
      </c>
      <c r="J8" s="224">
        <v>0.25</v>
      </c>
      <c r="K8" s="728" t="s">
        <v>676</v>
      </c>
      <c r="L8" s="43"/>
      <c r="M8" s="216"/>
      <c r="N8" s="38"/>
      <c r="O8" s="47">
        <f>ROUND((ROUND((_11_A重度研修増０．５*_11・２人),0)*(1+_11・A夜間)),0)</f>
        <v>108</v>
      </c>
      <c r="P8" s="48"/>
    </row>
    <row r="9" spans="1:16" ht="16.5" customHeight="1" x14ac:dyDescent="0.15">
      <c r="A9" s="41">
        <v>11</v>
      </c>
      <c r="B9" s="41" t="s">
        <v>8134</v>
      </c>
      <c r="C9" s="74" t="s">
        <v>8135</v>
      </c>
      <c r="D9" s="776"/>
      <c r="E9" s="777"/>
      <c r="F9" s="44"/>
      <c r="G9" s="218"/>
      <c r="H9" s="46"/>
      <c r="I9" s="223"/>
      <c r="K9" s="728"/>
      <c r="L9" s="734" t="s">
        <v>404</v>
      </c>
      <c r="M9" s="219" t="s">
        <v>398</v>
      </c>
      <c r="N9" s="50">
        <f>_11・初任</f>
        <v>0.7</v>
      </c>
      <c r="O9" s="47">
        <f>ROUND((ROUND((_11_A重度研修増０．５*(1+_11・A夜間)),0)*_11・初任),0)</f>
        <v>76</v>
      </c>
      <c r="P9" s="48"/>
    </row>
    <row r="10" spans="1:16" ht="16.5" customHeight="1" x14ac:dyDescent="0.15">
      <c r="A10" s="41">
        <v>11</v>
      </c>
      <c r="B10" s="41" t="s">
        <v>8136</v>
      </c>
      <c r="C10" s="74" t="s">
        <v>8137</v>
      </c>
      <c r="D10" s="225">
        <f>_11_A重度研修増０．５</f>
        <v>86</v>
      </c>
      <c r="E10" s="10" t="s">
        <v>392</v>
      </c>
      <c r="F10" s="44" t="s">
        <v>397</v>
      </c>
      <c r="G10" s="218" t="s">
        <v>398</v>
      </c>
      <c r="H10" s="46">
        <v>1</v>
      </c>
      <c r="I10" s="223"/>
      <c r="L10" s="706"/>
      <c r="M10" s="220"/>
      <c r="N10" s="38"/>
      <c r="O10" s="47">
        <f>ROUND((ROUND((ROUND((_11_A重度研修増０．５*_11・２人),0)*(1+_11・A夜間)),0)*_11・初任),0)</f>
        <v>76</v>
      </c>
      <c r="P10" s="48"/>
    </row>
    <row r="11" spans="1:16" ht="16.5" customHeight="1" x14ac:dyDescent="0.15">
      <c r="A11" s="41">
        <v>11</v>
      </c>
      <c r="B11" s="41">
        <v>4187</v>
      </c>
      <c r="C11" s="74" t="s">
        <v>8138</v>
      </c>
      <c r="D11" s="774" t="s">
        <v>756</v>
      </c>
      <c r="E11" s="775"/>
      <c r="F11" s="44"/>
      <c r="G11" s="218"/>
      <c r="H11" s="46"/>
      <c r="I11" s="223"/>
      <c r="L11" s="53"/>
      <c r="M11" s="221"/>
      <c r="N11" s="50"/>
      <c r="O11" s="47">
        <f>ROUND((_11_A重度研修増１．０*(1+_11・A夜間)),0)</f>
        <v>215</v>
      </c>
      <c r="P11" s="48"/>
    </row>
    <row r="12" spans="1:16" ht="16.5" customHeight="1" x14ac:dyDescent="0.15">
      <c r="A12" s="41">
        <v>11</v>
      </c>
      <c r="B12" s="41">
        <v>4188</v>
      </c>
      <c r="C12" s="74" t="s">
        <v>8139</v>
      </c>
      <c r="D12" s="776"/>
      <c r="E12" s="777"/>
      <c r="F12" s="44" t="s">
        <v>397</v>
      </c>
      <c r="G12" s="218" t="s">
        <v>398</v>
      </c>
      <c r="H12" s="46">
        <v>1</v>
      </c>
      <c r="I12" s="223"/>
      <c r="L12" s="43"/>
      <c r="M12" s="216"/>
      <c r="N12" s="38"/>
      <c r="O12" s="47">
        <f>ROUND((ROUND((_11_A重度研修増１．０*_11・２人),0)*(1+_11・A夜間)),0)</f>
        <v>215</v>
      </c>
      <c r="P12" s="48"/>
    </row>
    <row r="13" spans="1:16" ht="16.5" customHeight="1" x14ac:dyDescent="0.15">
      <c r="A13" s="41">
        <v>11</v>
      </c>
      <c r="B13" s="41" t="s">
        <v>8140</v>
      </c>
      <c r="C13" s="74" t="s">
        <v>8141</v>
      </c>
      <c r="D13" s="776"/>
      <c r="E13" s="777"/>
      <c r="F13" s="44"/>
      <c r="G13" s="218"/>
      <c r="H13" s="46"/>
      <c r="I13" s="223"/>
      <c r="L13" s="734" t="s">
        <v>404</v>
      </c>
      <c r="M13" s="219" t="s">
        <v>398</v>
      </c>
      <c r="N13" s="50">
        <f>_11・初任</f>
        <v>0.7</v>
      </c>
      <c r="O13" s="47">
        <f>ROUND((ROUND((_11_A重度研修増１．０*(1+_11・A夜間)),0)*_11・初任),0)</f>
        <v>151</v>
      </c>
      <c r="P13" s="48"/>
    </row>
    <row r="14" spans="1:16" ht="16.5" customHeight="1" x14ac:dyDescent="0.15">
      <c r="A14" s="41">
        <v>11</v>
      </c>
      <c r="B14" s="41" t="s">
        <v>8142</v>
      </c>
      <c r="C14" s="74" t="s">
        <v>8143</v>
      </c>
      <c r="D14" s="225">
        <f>_11_A重度研修増１．０</f>
        <v>172</v>
      </c>
      <c r="E14" s="10" t="s">
        <v>392</v>
      </c>
      <c r="F14" s="44" t="s">
        <v>397</v>
      </c>
      <c r="G14" s="218" t="s">
        <v>398</v>
      </c>
      <c r="H14" s="46">
        <v>1</v>
      </c>
      <c r="I14" s="223"/>
      <c r="L14" s="706"/>
      <c r="M14" s="220"/>
      <c r="N14" s="38"/>
      <c r="O14" s="47">
        <f>ROUND((ROUND((ROUND((_11_A重度研修増１．０*_11・２人),0)*(1+_11・A夜間)),0)*_11・初任),0)</f>
        <v>151</v>
      </c>
      <c r="P14" s="48"/>
    </row>
    <row r="15" spans="1:16" ht="16.5" customHeight="1" x14ac:dyDescent="0.15">
      <c r="A15" s="41">
        <v>11</v>
      </c>
      <c r="B15" s="41">
        <v>4189</v>
      </c>
      <c r="C15" s="74" t="s">
        <v>8144</v>
      </c>
      <c r="D15" s="774" t="s">
        <v>1732</v>
      </c>
      <c r="E15" s="775"/>
      <c r="F15" s="44"/>
      <c r="G15" s="218"/>
      <c r="H15" s="46"/>
      <c r="I15" s="223"/>
      <c r="L15" s="53"/>
      <c r="M15" s="221"/>
      <c r="N15" s="50"/>
      <c r="O15" s="47">
        <f>ROUND((_11_A重度研修増１．５*(1+_11・A夜間)),0)</f>
        <v>323</v>
      </c>
      <c r="P15" s="48"/>
    </row>
    <row r="16" spans="1:16" ht="16.5" customHeight="1" x14ac:dyDescent="0.15">
      <c r="A16" s="41">
        <v>11</v>
      </c>
      <c r="B16" s="41">
        <v>4190</v>
      </c>
      <c r="C16" s="74" t="s">
        <v>8145</v>
      </c>
      <c r="D16" s="776"/>
      <c r="E16" s="777"/>
      <c r="F16" s="44" t="s">
        <v>397</v>
      </c>
      <c r="G16" s="218" t="s">
        <v>398</v>
      </c>
      <c r="H16" s="46">
        <v>1</v>
      </c>
      <c r="I16" s="223"/>
      <c r="L16" s="43"/>
      <c r="M16" s="216"/>
      <c r="N16" s="38"/>
      <c r="O16" s="47">
        <f>ROUND((ROUND((_11_A重度研修増１．５*_11・２人),0)*(1+_11・A夜間)),0)</f>
        <v>323</v>
      </c>
      <c r="P16" s="48"/>
    </row>
    <row r="17" spans="1:16" ht="16.5" customHeight="1" x14ac:dyDescent="0.15">
      <c r="A17" s="41">
        <v>11</v>
      </c>
      <c r="B17" s="41" t="s">
        <v>8146</v>
      </c>
      <c r="C17" s="74" t="s">
        <v>8147</v>
      </c>
      <c r="D17" s="776"/>
      <c r="E17" s="777"/>
      <c r="F17" s="44"/>
      <c r="G17" s="218"/>
      <c r="H17" s="46"/>
      <c r="I17" s="223"/>
      <c r="L17" s="734" t="s">
        <v>404</v>
      </c>
      <c r="M17" s="219" t="s">
        <v>398</v>
      </c>
      <c r="N17" s="50">
        <f>_11・初任</f>
        <v>0.7</v>
      </c>
      <c r="O17" s="47">
        <f>ROUND((ROUND((_11_A重度研修増１．５*(1+_11・A夜間)),0)*_11・初任),0)</f>
        <v>226</v>
      </c>
      <c r="P17" s="48"/>
    </row>
    <row r="18" spans="1:16" ht="16.5" customHeight="1" x14ac:dyDescent="0.15">
      <c r="A18" s="41">
        <v>11</v>
      </c>
      <c r="B18" s="41" t="s">
        <v>8148</v>
      </c>
      <c r="C18" s="74" t="s">
        <v>8149</v>
      </c>
      <c r="D18" s="225">
        <f>_11_A重度研修増１．５</f>
        <v>258</v>
      </c>
      <c r="E18" s="10" t="s">
        <v>392</v>
      </c>
      <c r="F18" s="44" t="s">
        <v>397</v>
      </c>
      <c r="G18" s="218" t="s">
        <v>398</v>
      </c>
      <c r="H18" s="46">
        <v>1</v>
      </c>
      <c r="I18" s="223"/>
      <c r="L18" s="706"/>
      <c r="M18" s="220"/>
      <c r="N18" s="38"/>
      <c r="O18" s="47">
        <f>ROUND((ROUND((ROUND((_11_A重度研修増１．５*_11・２人),0)*(1+_11・A夜間)),0)*_11・初任),0)</f>
        <v>226</v>
      </c>
      <c r="P18" s="48"/>
    </row>
    <row r="19" spans="1:16" ht="16.5" customHeight="1" x14ac:dyDescent="0.15">
      <c r="A19" s="41">
        <v>11</v>
      </c>
      <c r="B19" s="41">
        <v>4191</v>
      </c>
      <c r="C19" s="74" t="s">
        <v>8150</v>
      </c>
      <c r="D19" s="774" t="s">
        <v>782</v>
      </c>
      <c r="E19" s="775"/>
      <c r="F19" s="44"/>
      <c r="G19" s="218"/>
      <c r="H19" s="46"/>
      <c r="I19" s="223"/>
      <c r="L19" s="53"/>
      <c r="M19" s="221"/>
      <c r="N19" s="50"/>
      <c r="O19" s="47">
        <f>ROUND((_11_A重度研修増２．０*(1+_11・A夜間)),0)</f>
        <v>430</v>
      </c>
      <c r="P19" s="48"/>
    </row>
    <row r="20" spans="1:16" ht="16.5" customHeight="1" x14ac:dyDescent="0.15">
      <c r="A20" s="41">
        <v>11</v>
      </c>
      <c r="B20" s="41">
        <v>4192</v>
      </c>
      <c r="C20" s="74" t="s">
        <v>8151</v>
      </c>
      <c r="D20" s="776"/>
      <c r="E20" s="777"/>
      <c r="F20" s="44" t="s">
        <v>397</v>
      </c>
      <c r="G20" s="218" t="s">
        <v>398</v>
      </c>
      <c r="H20" s="46">
        <v>1</v>
      </c>
      <c r="I20" s="223"/>
      <c r="L20" s="43"/>
      <c r="M20" s="216"/>
      <c r="N20" s="38"/>
      <c r="O20" s="47">
        <f>ROUND((ROUND((_11_A重度研修増２．０*_11・２人),0)*(1+_11・A夜間)),0)</f>
        <v>430</v>
      </c>
      <c r="P20" s="48"/>
    </row>
    <row r="21" spans="1:16" ht="16.5" customHeight="1" x14ac:dyDescent="0.15">
      <c r="A21" s="41">
        <v>11</v>
      </c>
      <c r="B21" s="41" t="s">
        <v>8152</v>
      </c>
      <c r="C21" s="74" t="s">
        <v>8153</v>
      </c>
      <c r="D21" s="776"/>
      <c r="E21" s="777"/>
      <c r="F21" s="44"/>
      <c r="G21" s="218"/>
      <c r="H21" s="46"/>
      <c r="I21" s="223"/>
      <c r="L21" s="734" t="s">
        <v>404</v>
      </c>
      <c r="M21" s="219" t="s">
        <v>398</v>
      </c>
      <c r="N21" s="50">
        <f>_11・初任</f>
        <v>0.7</v>
      </c>
      <c r="O21" s="47">
        <f>ROUND((ROUND((_11_A重度研修増２．０*(1+_11・A夜間)),0)*_11・初任),0)</f>
        <v>301</v>
      </c>
      <c r="P21" s="48"/>
    </row>
    <row r="22" spans="1:16" ht="16.5" customHeight="1" x14ac:dyDescent="0.15">
      <c r="A22" s="41">
        <v>11</v>
      </c>
      <c r="B22" s="41" t="s">
        <v>8154</v>
      </c>
      <c r="C22" s="74" t="s">
        <v>8155</v>
      </c>
      <c r="D22" s="225">
        <f>_11_A重度研修増２．０</f>
        <v>344</v>
      </c>
      <c r="E22" s="10" t="s">
        <v>392</v>
      </c>
      <c r="F22" s="44" t="s">
        <v>397</v>
      </c>
      <c r="G22" s="218" t="s">
        <v>398</v>
      </c>
      <c r="H22" s="46">
        <v>1</v>
      </c>
      <c r="I22" s="223"/>
      <c r="L22" s="706"/>
      <c r="M22" s="220"/>
      <c r="N22" s="38"/>
      <c r="O22" s="47">
        <f>ROUND((ROUND((ROUND((_11_A重度研修増２．０*_11・２人),0)*(1+_11・A夜間)),0)*_11・初任),0)</f>
        <v>301</v>
      </c>
      <c r="P22" s="48"/>
    </row>
    <row r="23" spans="1:16" ht="16.5" customHeight="1" x14ac:dyDescent="0.15">
      <c r="A23" s="41">
        <v>11</v>
      </c>
      <c r="B23" s="41">
        <v>4193</v>
      </c>
      <c r="C23" s="74" t="s">
        <v>8156</v>
      </c>
      <c r="D23" s="774" t="s">
        <v>795</v>
      </c>
      <c r="E23" s="775"/>
      <c r="F23" s="44"/>
      <c r="G23" s="218"/>
      <c r="H23" s="46"/>
      <c r="I23" s="223"/>
      <c r="L23" s="53"/>
      <c r="M23" s="221"/>
      <c r="N23" s="50"/>
      <c r="O23" s="47">
        <f>ROUND((_11_A重度研修増２．５*(1+_11・A夜間)),0)</f>
        <v>538</v>
      </c>
      <c r="P23" s="48"/>
    </row>
    <row r="24" spans="1:16" ht="16.5" customHeight="1" x14ac:dyDescent="0.15">
      <c r="A24" s="41">
        <v>11</v>
      </c>
      <c r="B24" s="41">
        <v>4194</v>
      </c>
      <c r="C24" s="74" t="s">
        <v>8157</v>
      </c>
      <c r="D24" s="776"/>
      <c r="E24" s="777"/>
      <c r="F24" s="44" t="s">
        <v>397</v>
      </c>
      <c r="G24" s="218" t="s">
        <v>398</v>
      </c>
      <c r="H24" s="46">
        <v>1</v>
      </c>
      <c r="I24" s="223"/>
      <c r="L24" s="43"/>
      <c r="M24" s="216"/>
      <c r="N24" s="38"/>
      <c r="O24" s="47">
        <f>ROUND((ROUND((_11_A重度研修増２．５*_11・２人),0)*(1+_11・A夜間)),0)</f>
        <v>538</v>
      </c>
      <c r="P24" s="48"/>
    </row>
    <row r="25" spans="1:16" ht="16.5" customHeight="1" x14ac:dyDescent="0.15">
      <c r="A25" s="41">
        <v>11</v>
      </c>
      <c r="B25" s="41" t="s">
        <v>8158</v>
      </c>
      <c r="C25" s="74" t="s">
        <v>8159</v>
      </c>
      <c r="D25" s="776"/>
      <c r="E25" s="777"/>
      <c r="F25" s="44"/>
      <c r="G25" s="218"/>
      <c r="H25" s="46"/>
      <c r="I25" s="223"/>
      <c r="L25" s="734" t="s">
        <v>404</v>
      </c>
      <c r="M25" s="219" t="s">
        <v>398</v>
      </c>
      <c r="N25" s="50">
        <f>_11・初任</f>
        <v>0.7</v>
      </c>
      <c r="O25" s="47">
        <f>ROUND((ROUND((_11_A重度研修増２．５*(1+_11・A夜間)),0)*_11・初任),0)</f>
        <v>377</v>
      </c>
      <c r="P25" s="48"/>
    </row>
    <row r="26" spans="1:16" ht="16.5" customHeight="1" x14ac:dyDescent="0.15">
      <c r="A26" s="41">
        <v>11</v>
      </c>
      <c r="B26" s="41" t="s">
        <v>8160</v>
      </c>
      <c r="C26" s="74" t="s">
        <v>8161</v>
      </c>
      <c r="D26" s="225">
        <f>_11_A重度研修増２．５</f>
        <v>430</v>
      </c>
      <c r="E26" s="10" t="s">
        <v>392</v>
      </c>
      <c r="F26" s="44" t="s">
        <v>397</v>
      </c>
      <c r="G26" s="218" t="s">
        <v>398</v>
      </c>
      <c r="H26" s="46">
        <v>1</v>
      </c>
      <c r="I26" s="223"/>
      <c r="L26" s="706"/>
      <c r="M26" s="220"/>
      <c r="N26" s="38"/>
      <c r="O26" s="47">
        <f>ROUND((ROUND((ROUND((_11_A重度研修増２．５*_11・２人),0)*(1+_11・A夜間)),0)*_11・初任),0)</f>
        <v>377</v>
      </c>
      <c r="P26" s="48"/>
    </row>
    <row r="27" spans="1:16" ht="16.5" customHeight="1" x14ac:dyDescent="0.15">
      <c r="A27" s="41">
        <v>11</v>
      </c>
      <c r="B27" s="41">
        <v>4195</v>
      </c>
      <c r="C27" s="74" t="s">
        <v>8162</v>
      </c>
      <c r="D27" s="774" t="s">
        <v>808</v>
      </c>
      <c r="E27" s="775"/>
      <c r="F27" s="44"/>
      <c r="G27" s="218"/>
      <c r="H27" s="46"/>
      <c r="I27" s="223"/>
      <c r="L27" s="53"/>
      <c r="M27" s="221"/>
      <c r="N27" s="50"/>
      <c r="O27" s="47">
        <f>ROUND((_11_A重度研修増３．０*(1+_11・A夜間)),0)</f>
        <v>645</v>
      </c>
      <c r="P27" s="48"/>
    </row>
    <row r="28" spans="1:16" ht="16.5" customHeight="1" x14ac:dyDescent="0.15">
      <c r="A28" s="41">
        <v>11</v>
      </c>
      <c r="B28" s="41">
        <v>4196</v>
      </c>
      <c r="C28" s="74" t="s">
        <v>8163</v>
      </c>
      <c r="D28" s="776"/>
      <c r="E28" s="777"/>
      <c r="F28" s="44" t="s">
        <v>397</v>
      </c>
      <c r="G28" s="218" t="s">
        <v>398</v>
      </c>
      <c r="H28" s="46">
        <v>1</v>
      </c>
      <c r="I28" s="223"/>
      <c r="L28" s="43"/>
      <c r="M28" s="216"/>
      <c r="N28" s="38"/>
      <c r="O28" s="47">
        <f>ROUND((ROUND((_11_A重度研修増３．０*_11・２人),0)*(1+_11・A夜間)),0)</f>
        <v>645</v>
      </c>
      <c r="P28" s="48"/>
    </row>
    <row r="29" spans="1:16" ht="16.5" customHeight="1" x14ac:dyDescent="0.15">
      <c r="A29" s="41">
        <v>11</v>
      </c>
      <c r="B29" s="41" t="s">
        <v>8164</v>
      </c>
      <c r="C29" s="74" t="s">
        <v>8165</v>
      </c>
      <c r="D29" s="776"/>
      <c r="E29" s="777"/>
      <c r="F29" s="44"/>
      <c r="G29" s="218"/>
      <c r="H29" s="46"/>
      <c r="I29" s="223"/>
      <c r="L29" s="734" t="s">
        <v>404</v>
      </c>
      <c r="M29" s="219" t="s">
        <v>398</v>
      </c>
      <c r="N29" s="50">
        <f>_11・初任</f>
        <v>0.7</v>
      </c>
      <c r="O29" s="47">
        <f>ROUND((ROUND((_11_A重度研修増３．０*(1+_11・A夜間)),0)*_11・初任),0)</f>
        <v>452</v>
      </c>
      <c r="P29" s="48"/>
    </row>
    <row r="30" spans="1:16" ht="16.5" customHeight="1" x14ac:dyDescent="0.15">
      <c r="A30" s="41">
        <v>11</v>
      </c>
      <c r="B30" s="41" t="s">
        <v>8166</v>
      </c>
      <c r="C30" s="74" t="s">
        <v>8167</v>
      </c>
      <c r="D30" s="225">
        <f>_11_A重度研修増３．０</f>
        <v>516</v>
      </c>
      <c r="E30" s="10" t="s">
        <v>392</v>
      </c>
      <c r="F30" s="44" t="s">
        <v>397</v>
      </c>
      <c r="G30" s="218" t="s">
        <v>398</v>
      </c>
      <c r="H30" s="46">
        <v>1</v>
      </c>
      <c r="I30" s="223"/>
      <c r="L30" s="706"/>
      <c r="M30" s="220"/>
      <c r="N30" s="38"/>
      <c r="O30" s="47">
        <f>ROUND((ROUND((ROUND((_11_A重度研修増３．０*_11・２人),0)*(1+_11・A夜間)),0)*_11・初任),0)</f>
        <v>452</v>
      </c>
      <c r="P30" s="48"/>
    </row>
    <row r="31" spans="1:16" ht="16.5" customHeight="1" x14ac:dyDescent="0.15">
      <c r="A31" s="41">
        <v>11</v>
      </c>
      <c r="B31" s="41">
        <v>4197</v>
      </c>
      <c r="C31" s="74" t="s">
        <v>8168</v>
      </c>
      <c r="D31" s="774" t="s">
        <v>821</v>
      </c>
      <c r="E31" s="775"/>
      <c r="F31" s="44"/>
      <c r="G31" s="218"/>
      <c r="H31" s="46"/>
      <c r="I31" s="223"/>
      <c r="L31" s="53"/>
      <c r="M31" s="221"/>
      <c r="N31" s="50"/>
      <c r="O31" s="47">
        <f>ROUND((_11_A重度研修増３．５*(1+_11・A夜間)),0)</f>
        <v>753</v>
      </c>
      <c r="P31" s="48"/>
    </row>
    <row r="32" spans="1:16" ht="16.5" customHeight="1" x14ac:dyDescent="0.15">
      <c r="A32" s="41">
        <v>11</v>
      </c>
      <c r="B32" s="41">
        <v>4198</v>
      </c>
      <c r="C32" s="74" t="s">
        <v>8169</v>
      </c>
      <c r="D32" s="776"/>
      <c r="E32" s="777"/>
      <c r="F32" s="44" t="s">
        <v>397</v>
      </c>
      <c r="G32" s="218" t="s">
        <v>398</v>
      </c>
      <c r="H32" s="46">
        <v>1</v>
      </c>
      <c r="I32" s="223"/>
      <c r="L32" s="43"/>
      <c r="M32" s="216"/>
      <c r="N32" s="38"/>
      <c r="O32" s="47">
        <f>ROUND((ROUND((_11_A重度研修増３．５*_11・２人),0)*(1+_11・A夜間)),0)</f>
        <v>753</v>
      </c>
      <c r="P32" s="48"/>
    </row>
    <row r="33" spans="1:16" ht="16.5" customHeight="1" x14ac:dyDescent="0.15">
      <c r="A33" s="41">
        <v>11</v>
      </c>
      <c r="B33" s="41" t="s">
        <v>8170</v>
      </c>
      <c r="C33" s="74" t="s">
        <v>8171</v>
      </c>
      <c r="D33" s="776"/>
      <c r="E33" s="777"/>
      <c r="F33" s="44"/>
      <c r="G33" s="218"/>
      <c r="H33" s="46"/>
      <c r="I33" s="223"/>
      <c r="L33" s="734" t="s">
        <v>404</v>
      </c>
      <c r="M33" s="219" t="s">
        <v>398</v>
      </c>
      <c r="N33" s="50">
        <f>_11・初任</f>
        <v>0.7</v>
      </c>
      <c r="O33" s="47">
        <f>ROUND((ROUND((_11_A重度研修増３．５*(1+_11・A夜間)),0)*_11・初任),0)</f>
        <v>527</v>
      </c>
      <c r="P33" s="48"/>
    </row>
    <row r="34" spans="1:16" ht="16.5" customHeight="1" x14ac:dyDescent="0.15">
      <c r="A34" s="41">
        <v>11</v>
      </c>
      <c r="B34" s="41" t="s">
        <v>8172</v>
      </c>
      <c r="C34" s="74" t="s">
        <v>8173</v>
      </c>
      <c r="D34" s="225">
        <f>_11_A重度研修増３．５</f>
        <v>602</v>
      </c>
      <c r="E34" s="10" t="s">
        <v>392</v>
      </c>
      <c r="F34" s="44" t="s">
        <v>397</v>
      </c>
      <c r="G34" s="218" t="s">
        <v>398</v>
      </c>
      <c r="H34" s="46">
        <v>1</v>
      </c>
      <c r="I34" s="223"/>
      <c r="L34" s="706"/>
      <c r="M34" s="220"/>
      <c r="N34" s="38"/>
      <c r="O34" s="47">
        <f>ROUND((ROUND((ROUND((_11_A重度研修増３．５*_11・２人),0)*(1+_11・A夜間)),0)*_11・初任),0)</f>
        <v>527</v>
      </c>
      <c r="P34" s="48"/>
    </row>
    <row r="35" spans="1:16" ht="16.5" customHeight="1" x14ac:dyDescent="0.15">
      <c r="A35" s="41">
        <v>11</v>
      </c>
      <c r="B35" s="41">
        <v>4199</v>
      </c>
      <c r="C35" s="74" t="s">
        <v>8174</v>
      </c>
      <c r="D35" s="774" t="s">
        <v>834</v>
      </c>
      <c r="E35" s="775"/>
      <c r="F35" s="44"/>
      <c r="G35" s="218"/>
      <c r="H35" s="46"/>
      <c r="I35" s="223"/>
      <c r="L35" s="53"/>
      <c r="M35" s="221"/>
      <c r="N35" s="50"/>
      <c r="O35" s="47">
        <f>ROUND((_11_A重度研修増４．０*(1+_11・A夜間)),0)</f>
        <v>860</v>
      </c>
      <c r="P35" s="48"/>
    </row>
    <row r="36" spans="1:16" ht="16.5" customHeight="1" x14ac:dyDescent="0.15">
      <c r="A36" s="41">
        <v>11</v>
      </c>
      <c r="B36" s="41">
        <v>4200</v>
      </c>
      <c r="C36" s="74" t="s">
        <v>8175</v>
      </c>
      <c r="D36" s="776"/>
      <c r="E36" s="777"/>
      <c r="F36" s="44" t="s">
        <v>397</v>
      </c>
      <c r="G36" s="218" t="s">
        <v>398</v>
      </c>
      <c r="H36" s="46">
        <v>1</v>
      </c>
      <c r="I36" s="223"/>
      <c r="L36" s="43"/>
      <c r="M36" s="216"/>
      <c r="N36" s="38"/>
      <c r="O36" s="47">
        <f>ROUND((ROUND((_11_A重度研修増４．０*_11・２人),0)*(1+_11・A夜間)),0)</f>
        <v>860</v>
      </c>
      <c r="P36" s="48"/>
    </row>
    <row r="37" spans="1:16" ht="16.5" customHeight="1" x14ac:dyDescent="0.15">
      <c r="A37" s="41">
        <v>11</v>
      </c>
      <c r="B37" s="41" t="s">
        <v>8176</v>
      </c>
      <c r="C37" s="74" t="s">
        <v>8177</v>
      </c>
      <c r="D37" s="776"/>
      <c r="E37" s="777"/>
      <c r="F37" s="44"/>
      <c r="G37" s="218"/>
      <c r="H37" s="46"/>
      <c r="I37" s="223"/>
      <c r="L37" s="734" t="s">
        <v>404</v>
      </c>
      <c r="M37" s="219" t="s">
        <v>398</v>
      </c>
      <c r="N37" s="50">
        <f>_11・初任</f>
        <v>0.7</v>
      </c>
      <c r="O37" s="47">
        <f>ROUND((ROUND((_11_A重度研修増４．０*(1+_11・A夜間)),0)*_11・初任),0)</f>
        <v>602</v>
      </c>
      <c r="P37" s="48"/>
    </row>
    <row r="38" spans="1:16" ht="16.5" customHeight="1" x14ac:dyDescent="0.15">
      <c r="A38" s="41">
        <v>11</v>
      </c>
      <c r="B38" s="41" t="s">
        <v>8178</v>
      </c>
      <c r="C38" s="74" t="s">
        <v>8179</v>
      </c>
      <c r="D38" s="225">
        <f>_11_A重度研修増４．０</f>
        <v>688</v>
      </c>
      <c r="E38" s="10" t="s">
        <v>392</v>
      </c>
      <c r="F38" s="44" t="s">
        <v>397</v>
      </c>
      <c r="G38" s="218" t="s">
        <v>398</v>
      </c>
      <c r="H38" s="46">
        <v>1</v>
      </c>
      <c r="I38" s="223"/>
      <c r="L38" s="706"/>
      <c r="M38" s="220"/>
      <c r="N38" s="38"/>
      <c r="O38" s="47">
        <f>ROUND((ROUND((ROUND((_11_A重度研修増４．０*_11・２人),0)*(1+_11・A夜間)),0)*_11・初任),0)</f>
        <v>602</v>
      </c>
      <c r="P38" s="48"/>
    </row>
    <row r="39" spans="1:16" ht="16.5" customHeight="1" x14ac:dyDescent="0.15">
      <c r="A39" s="41">
        <v>11</v>
      </c>
      <c r="B39" s="41">
        <v>4201</v>
      </c>
      <c r="C39" s="74" t="s">
        <v>8180</v>
      </c>
      <c r="D39" s="774" t="s">
        <v>847</v>
      </c>
      <c r="E39" s="775"/>
      <c r="F39" s="44"/>
      <c r="G39" s="218"/>
      <c r="H39" s="46"/>
      <c r="I39" s="223"/>
      <c r="L39" s="53"/>
      <c r="M39" s="221"/>
      <c r="N39" s="50"/>
      <c r="O39" s="47">
        <f>ROUND((_11_A重度研修増４．５*(1+_11・A夜間)),0)</f>
        <v>968</v>
      </c>
      <c r="P39" s="48"/>
    </row>
    <row r="40" spans="1:16" ht="16.5" customHeight="1" x14ac:dyDescent="0.15">
      <c r="A40" s="41">
        <v>11</v>
      </c>
      <c r="B40" s="41">
        <v>4202</v>
      </c>
      <c r="C40" s="74" t="s">
        <v>8181</v>
      </c>
      <c r="D40" s="776"/>
      <c r="E40" s="777"/>
      <c r="F40" s="44" t="s">
        <v>397</v>
      </c>
      <c r="G40" s="218" t="s">
        <v>398</v>
      </c>
      <c r="H40" s="46">
        <v>1</v>
      </c>
      <c r="I40" s="223"/>
      <c r="L40" s="43"/>
      <c r="M40" s="216"/>
      <c r="N40" s="38"/>
      <c r="O40" s="47">
        <f>ROUND((ROUND((_11_A重度研修増４．５*_11・２人),0)*(1+_11・A夜間)),0)</f>
        <v>968</v>
      </c>
      <c r="P40" s="48"/>
    </row>
    <row r="41" spans="1:16" ht="16.5" customHeight="1" x14ac:dyDescent="0.15">
      <c r="A41" s="41">
        <v>11</v>
      </c>
      <c r="B41" s="41" t="s">
        <v>8182</v>
      </c>
      <c r="C41" s="74" t="s">
        <v>8183</v>
      </c>
      <c r="D41" s="776"/>
      <c r="E41" s="777"/>
      <c r="F41" s="44"/>
      <c r="G41" s="218"/>
      <c r="H41" s="46"/>
      <c r="I41" s="223"/>
      <c r="L41" s="734" t="s">
        <v>404</v>
      </c>
      <c r="M41" s="219" t="s">
        <v>398</v>
      </c>
      <c r="N41" s="50">
        <f>_11・初任</f>
        <v>0.7</v>
      </c>
      <c r="O41" s="47">
        <f>ROUND((ROUND((_11_A重度研修増４．５*(1+_11・A夜間)),0)*_11・初任),0)</f>
        <v>678</v>
      </c>
      <c r="P41" s="48"/>
    </row>
    <row r="42" spans="1:16" ht="16.5" customHeight="1" x14ac:dyDescent="0.15">
      <c r="A42" s="41">
        <v>11</v>
      </c>
      <c r="B42" s="41" t="s">
        <v>8184</v>
      </c>
      <c r="C42" s="74" t="s">
        <v>8185</v>
      </c>
      <c r="D42" s="226">
        <f>_11_A重度研修増４．５</f>
        <v>774</v>
      </c>
      <c r="E42" s="190" t="s">
        <v>392</v>
      </c>
      <c r="F42" s="44" t="s">
        <v>397</v>
      </c>
      <c r="G42" s="218" t="s">
        <v>398</v>
      </c>
      <c r="H42" s="46">
        <v>1</v>
      </c>
      <c r="I42" s="227"/>
      <c r="J42" s="37"/>
      <c r="K42" s="38"/>
      <c r="L42" s="706"/>
      <c r="M42" s="220"/>
      <c r="N42" s="38"/>
      <c r="O42" s="47">
        <f>ROUND((ROUND((ROUND((_11_A重度研修増４．５*_11・２人),0)*(1+_11・A夜間)),0)*_11・初任),0)</f>
        <v>678</v>
      </c>
      <c r="P42" s="63"/>
    </row>
    <row r="43" spans="1:16" ht="16.5" customHeight="1" x14ac:dyDescent="0.15">
      <c r="A43" s="80"/>
      <c r="B43" s="80"/>
      <c r="C43" s="81"/>
      <c r="O43" s="84"/>
      <c r="P43" s="85"/>
    </row>
    <row r="44" spans="1:16" ht="16.5" customHeight="1" x14ac:dyDescent="0.15">
      <c r="A44" s="80"/>
      <c r="B44" s="80"/>
      <c r="C44" s="81"/>
      <c r="O44" s="84"/>
      <c r="P44" s="85"/>
    </row>
    <row r="45" spans="1:16" ht="16.5" customHeight="1" x14ac:dyDescent="0.15">
      <c r="A45" s="80"/>
      <c r="B45" s="86" t="s">
        <v>8186</v>
      </c>
      <c r="C45" s="81"/>
      <c r="O45" s="84"/>
      <c r="P45" s="85"/>
    </row>
    <row r="46" spans="1:16" ht="16.5" customHeight="1" x14ac:dyDescent="0.15">
      <c r="A46" s="87" t="s">
        <v>384</v>
      </c>
      <c r="B46" s="20"/>
      <c r="C46" s="228" t="s">
        <v>385</v>
      </c>
      <c r="D46" s="229"/>
      <c r="E46" s="23"/>
      <c r="F46" s="23"/>
      <c r="G46" s="166"/>
      <c r="H46" s="222" t="s">
        <v>386</v>
      </c>
      <c r="I46" s="166"/>
      <c r="J46" s="23"/>
      <c r="K46" s="24"/>
      <c r="L46" s="23"/>
      <c r="M46" s="166"/>
      <c r="N46" s="24"/>
      <c r="O46" s="230" t="s">
        <v>387</v>
      </c>
      <c r="P46" s="21" t="s">
        <v>388</v>
      </c>
    </row>
    <row r="47" spans="1:16" ht="16.5" customHeight="1" x14ac:dyDescent="0.15">
      <c r="A47" s="26" t="s">
        <v>389</v>
      </c>
      <c r="B47" s="26" t="s">
        <v>390</v>
      </c>
      <c r="C47" s="231"/>
      <c r="D47" s="213"/>
      <c r="E47" s="29"/>
      <c r="F47" s="29"/>
      <c r="G47" s="214"/>
      <c r="H47" s="30"/>
      <c r="I47" s="214"/>
      <c r="J47" s="29"/>
      <c r="K47" s="30"/>
      <c r="L47" s="29"/>
      <c r="M47" s="214"/>
      <c r="N47" s="30"/>
      <c r="O47" s="232" t="s">
        <v>391</v>
      </c>
      <c r="P47" s="32" t="s">
        <v>392</v>
      </c>
    </row>
    <row r="48" spans="1:16" ht="16.5" customHeight="1" x14ac:dyDescent="0.15">
      <c r="A48" s="33">
        <v>11</v>
      </c>
      <c r="B48" s="33">
        <v>4203</v>
      </c>
      <c r="C48" s="34" t="s">
        <v>8187</v>
      </c>
      <c r="D48" s="776" t="s">
        <v>861</v>
      </c>
      <c r="E48" s="777"/>
      <c r="F48" s="36"/>
      <c r="G48" s="216"/>
      <c r="H48" s="38"/>
      <c r="I48" s="92" t="s">
        <v>862</v>
      </c>
      <c r="L48" s="35"/>
      <c r="M48" s="233"/>
      <c r="O48" s="39">
        <f>ROUND((_11_A重度研修増０．５*(1+_11・A深夜)),0)</f>
        <v>129</v>
      </c>
      <c r="P48" s="40" t="s">
        <v>395</v>
      </c>
    </row>
    <row r="49" spans="1:16" ht="16.5" customHeight="1" x14ac:dyDescent="0.15">
      <c r="A49" s="41">
        <v>11</v>
      </c>
      <c r="B49" s="41">
        <v>4204</v>
      </c>
      <c r="C49" s="74" t="s">
        <v>8188</v>
      </c>
      <c r="D49" s="776"/>
      <c r="E49" s="777"/>
      <c r="F49" s="44" t="s">
        <v>397</v>
      </c>
      <c r="G49" s="218" t="s">
        <v>398</v>
      </c>
      <c r="H49" s="46">
        <v>1</v>
      </c>
      <c r="I49" s="223" t="s">
        <v>398</v>
      </c>
      <c r="J49" s="224">
        <v>0.5</v>
      </c>
      <c r="K49" s="728" t="s">
        <v>676</v>
      </c>
      <c r="L49" s="43"/>
      <c r="M49" s="216"/>
      <c r="N49" s="38"/>
      <c r="O49" s="47">
        <f>ROUND((ROUND((_11_A重度研修増０．５*_11・２人),0)*(1+_11・A深夜)),0)</f>
        <v>129</v>
      </c>
      <c r="P49" s="48"/>
    </row>
    <row r="50" spans="1:16" ht="16.5" customHeight="1" x14ac:dyDescent="0.15">
      <c r="A50" s="41">
        <v>11</v>
      </c>
      <c r="B50" s="41" t="s">
        <v>8189</v>
      </c>
      <c r="C50" s="74" t="s">
        <v>8190</v>
      </c>
      <c r="D50" s="776"/>
      <c r="E50" s="777"/>
      <c r="F50" s="44"/>
      <c r="G50" s="218"/>
      <c r="H50" s="46"/>
      <c r="I50" s="223"/>
      <c r="K50" s="728"/>
      <c r="L50" s="734" t="s">
        <v>404</v>
      </c>
      <c r="M50" s="219" t="s">
        <v>398</v>
      </c>
      <c r="N50" s="50">
        <f>_11・初任</f>
        <v>0.7</v>
      </c>
      <c r="O50" s="47">
        <f>ROUND((ROUND((_11_A重度研修増０．５*(1+_11・A深夜)),0)*_11・初任),0)</f>
        <v>90</v>
      </c>
      <c r="P50" s="48"/>
    </row>
    <row r="51" spans="1:16" ht="16.5" customHeight="1" x14ac:dyDescent="0.15">
      <c r="A51" s="41">
        <v>11</v>
      </c>
      <c r="B51" s="41" t="s">
        <v>8191</v>
      </c>
      <c r="C51" s="74" t="s">
        <v>8192</v>
      </c>
      <c r="D51" s="225">
        <f>_11_A重度研修増０．５</f>
        <v>86</v>
      </c>
      <c r="E51" s="10" t="s">
        <v>392</v>
      </c>
      <c r="F51" s="44" t="s">
        <v>397</v>
      </c>
      <c r="G51" s="218" t="s">
        <v>398</v>
      </c>
      <c r="H51" s="46">
        <v>1</v>
      </c>
      <c r="I51" s="223"/>
      <c r="L51" s="706"/>
      <c r="M51" s="220"/>
      <c r="N51" s="38"/>
      <c r="O51" s="47">
        <f>ROUND((ROUND((ROUND((_11_A重度研修増０．５*_11・２人),0)*(1+_11・A深夜)),0)*_11・初任),0)</f>
        <v>90</v>
      </c>
      <c r="P51" s="48"/>
    </row>
    <row r="52" spans="1:16" ht="16.5" customHeight="1" x14ac:dyDescent="0.15">
      <c r="A52" s="41">
        <v>11</v>
      </c>
      <c r="B52" s="41">
        <v>4205</v>
      </c>
      <c r="C52" s="74" t="s">
        <v>8193</v>
      </c>
      <c r="D52" s="774" t="s">
        <v>876</v>
      </c>
      <c r="E52" s="775"/>
      <c r="F52" s="44"/>
      <c r="G52" s="218"/>
      <c r="H52" s="46"/>
      <c r="I52" s="223"/>
      <c r="L52" s="53"/>
      <c r="M52" s="221"/>
      <c r="N52" s="50"/>
      <c r="O52" s="47">
        <f>ROUND((_11_A重度研修増１．０*(1+_11・A深夜)),0)</f>
        <v>258</v>
      </c>
      <c r="P52" s="48"/>
    </row>
    <row r="53" spans="1:16" ht="16.5" customHeight="1" x14ac:dyDescent="0.15">
      <c r="A53" s="41">
        <v>11</v>
      </c>
      <c r="B53" s="41">
        <v>4206</v>
      </c>
      <c r="C53" s="74" t="s">
        <v>8194</v>
      </c>
      <c r="D53" s="776"/>
      <c r="E53" s="777"/>
      <c r="F53" s="44" t="s">
        <v>397</v>
      </c>
      <c r="G53" s="218" t="s">
        <v>398</v>
      </c>
      <c r="H53" s="46">
        <v>1</v>
      </c>
      <c r="I53" s="223"/>
      <c r="L53" s="43"/>
      <c r="M53" s="216"/>
      <c r="N53" s="38"/>
      <c r="O53" s="47">
        <f>ROUND((ROUND((_11_A重度研修増１．０*_11・２人),0)*(1+_11・A深夜)),0)</f>
        <v>258</v>
      </c>
      <c r="P53" s="48"/>
    </row>
    <row r="54" spans="1:16" ht="16.5" customHeight="1" x14ac:dyDescent="0.15">
      <c r="A54" s="41">
        <v>11</v>
      </c>
      <c r="B54" s="41" t="s">
        <v>8195</v>
      </c>
      <c r="C54" s="74" t="s">
        <v>8196</v>
      </c>
      <c r="D54" s="776"/>
      <c r="E54" s="777"/>
      <c r="F54" s="44"/>
      <c r="G54" s="218"/>
      <c r="H54" s="46"/>
      <c r="I54" s="223"/>
      <c r="L54" s="734" t="s">
        <v>404</v>
      </c>
      <c r="M54" s="219" t="s">
        <v>398</v>
      </c>
      <c r="N54" s="50">
        <f>_11・初任</f>
        <v>0.7</v>
      </c>
      <c r="O54" s="47">
        <f>ROUND((ROUND((_11_A重度研修増１．０*(1+_11・A深夜)),0)*_11・初任),0)</f>
        <v>181</v>
      </c>
      <c r="P54" s="48"/>
    </row>
    <row r="55" spans="1:16" ht="16.5" customHeight="1" x14ac:dyDescent="0.15">
      <c r="A55" s="41">
        <v>11</v>
      </c>
      <c r="B55" s="41" t="s">
        <v>8197</v>
      </c>
      <c r="C55" s="74" t="s">
        <v>8198</v>
      </c>
      <c r="D55" s="225">
        <f>_11_A重度研修増１．０</f>
        <v>172</v>
      </c>
      <c r="E55" s="10" t="s">
        <v>392</v>
      </c>
      <c r="F55" s="44" t="s">
        <v>397</v>
      </c>
      <c r="G55" s="218" t="s">
        <v>398</v>
      </c>
      <c r="H55" s="46">
        <v>1</v>
      </c>
      <c r="I55" s="223"/>
      <c r="L55" s="706"/>
      <c r="M55" s="220"/>
      <c r="N55" s="38"/>
      <c r="O55" s="47">
        <f>ROUND((ROUND((ROUND((_11_A重度研修増１．０*_11・２人),0)*(1+_11・A深夜)),0)*_11・初任),0)</f>
        <v>181</v>
      </c>
      <c r="P55" s="48"/>
    </row>
    <row r="56" spans="1:16" ht="16.5" customHeight="1" x14ac:dyDescent="0.15">
      <c r="A56" s="41">
        <v>11</v>
      </c>
      <c r="B56" s="41">
        <v>4207</v>
      </c>
      <c r="C56" s="74" t="s">
        <v>8199</v>
      </c>
      <c r="D56" s="774" t="s">
        <v>889</v>
      </c>
      <c r="E56" s="775"/>
      <c r="F56" s="44"/>
      <c r="G56" s="218"/>
      <c r="H56" s="46"/>
      <c r="I56" s="223"/>
      <c r="L56" s="53"/>
      <c r="M56" s="221"/>
      <c r="N56" s="50"/>
      <c r="O56" s="47">
        <f>ROUND((_11_A重度研修増１．５*(1+_11・A深夜)),0)</f>
        <v>387</v>
      </c>
      <c r="P56" s="48"/>
    </row>
    <row r="57" spans="1:16" ht="16.5" customHeight="1" x14ac:dyDescent="0.15">
      <c r="A57" s="41">
        <v>11</v>
      </c>
      <c r="B57" s="41">
        <v>4208</v>
      </c>
      <c r="C57" s="74" t="s">
        <v>8200</v>
      </c>
      <c r="D57" s="776"/>
      <c r="E57" s="777"/>
      <c r="F57" s="44" t="s">
        <v>397</v>
      </c>
      <c r="G57" s="218" t="s">
        <v>398</v>
      </c>
      <c r="H57" s="46">
        <v>1</v>
      </c>
      <c r="I57" s="223"/>
      <c r="L57" s="43"/>
      <c r="M57" s="216"/>
      <c r="N57" s="38"/>
      <c r="O57" s="47">
        <f>ROUND((ROUND((_11_A重度研修増１．５*_11・２人),0)*(1+_11・A深夜)),0)</f>
        <v>387</v>
      </c>
      <c r="P57" s="48"/>
    </row>
    <row r="58" spans="1:16" ht="16.5" customHeight="1" x14ac:dyDescent="0.15">
      <c r="A58" s="41">
        <v>11</v>
      </c>
      <c r="B58" s="41" t="s">
        <v>8201</v>
      </c>
      <c r="C58" s="74" t="s">
        <v>8202</v>
      </c>
      <c r="D58" s="776"/>
      <c r="E58" s="777"/>
      <c r="F58" s="44"/>
      <c r="G58" s="218"/>
      <c r="H58" s="46"/>
      <c r="I58" s="223"/>
      <c r="L58" s="734" t="s">
        <v>404</v>
      </c>
      <c r="M58" s="219" t="s">
        <v>398</v>
      </c>
      <c r="N58" s="50">
        <f>_11・初任</f>
        <v>0.7</v>
      </c>
      <c r="O58" s="47">
        <f>ROUND((ROUND((_11_A重度研修増１．５*(1+_11・A深夜)),0)*_11・初任),0)</f>
        <v>271</v>
      </c>
      <c r="P58" s="48"/>
    </row>
    <row r="59" spans="1:16" ht="16.5" customHeight="1" x14ac:dyDescent="0.15">
      <c r="A59" s="41">
        <v>11</v>
      </c>
      <c r="B59" s="41" t="s">
        <v>8203</v>
      </c>
      <c r="C59" s="74" t="s">
        <v>8204</v>
      </c>
      <c r="D59" s="225">
        <f>_11_A重度研修増１．５</f>
        <v>258</v>
      </c>
      <c r="E59" s="10" t="s">
        <v>392</v>
      </c>
      <c r="F59" s="44" t="s">
        <v>397</v>
      </c>
      <c r="G59" s="218" t="s">
        <v>398</v>
      </c>
      <c r="H59" s="46">
        <v>1</v>
      </c>
      <c r="I59" s="223"/>
      <c r="L59" s="706"/>
      <c r="M59" s="220"/>
      <c r="N59" s="38"/>
      <c r="O59" s="47">
        <f>ROUND((ROUND((ROUND((_11_A重度研修増１．５*_11・２人),0)*(1+_11・A深夜)),0)*_11・初任),0)</f>
        <v>271</v>
      </c>
      <c r="P59" s="48"/>
    </row>
    <row r="60" spans="1:16" ht="16.5" customHeight="1" x14ac:dyDescent="0.15">
      <c r="A60" s="41">
        <v>11</v>
      </c>
      <c r="B60" s="41">
        <v>4209</v>
      </c>
      <c r="C60" s="74" t="s">
        <v>8205</v>
      </c>
      <c r="D60" s="774" t="s">
        <v>1188</v>
      </c>
      <c r="E60" s="775"/>
      <c r="F60" s="44"/>
      <c r="G60" s="218"/>
      <c r="H60" s="46"/>
      <c r="I60" s="223"/>
      <c r="L60" s="53"/>
      <c r="M60" s="221"/>
      <c r="N60" s="50"/>
      <c r="O60" s="47">
        <f>ROUND((_11_A重度研修増２．０*(1+_11・A深夜)),0)</f>
        <v>516</v>
      </c>
      <c r="P60" s="48"/>
    </row>
    <row r="61" spans="1:16" ht="16.5" customHeight="1" x14ac:dyDescent="0.15">
      <c r="A61" s="41">
        <v>11</v>
      </c>
      <c r="B61" s="41">
        <v>4210</v>
      </c>
      <c r="C61" s="74" t="s">
        <v>8206</v>
      </c>
      <c r="D61" s="776"/>
      <c r="E61" s="777"/>
      <c r="F61" s="44" t="s">
        <v>397</v>
      </c>
      <c r="G61" s="218" t="s">
        <v>398</v>
      </c>
      <c r="H61" s="46">
        <v>1</v>
      </c>
      <c r="I61" s="223"/>
      <c r="L61" s="43"/>
      <c r="M61" s="216"/>
      <c r="N61" s="38"/>
      <c r="O61" s="47">
        <f>ROUND((ROUND((_11_A重度研修増２．０*_11・２人),0)*(1+_11・A深夜)),0)</f>
        <v>516</v>
      </c>
      <c r="P61" s="48"/>
    </row>
    <row r="62" spans="1:16" ht="16.5" customHeight="1" x14ac:dyDescent="0.15">
      <c r="A62" s="41">
        <v>11</v>
      </c>
      <c r="B62" s="41" t="s">
        <v>8207</v>
      </c>
      <c r="C62" s="74" t="s">
        <v>8208</v>
      </c>
      <c r="D62" s="776"/>
      <c r="E62" s="777"/>
      <c r="F62" s="44"/>
      <c r="G62" s="218"/>
      <c r="H62" s="46"/>
      <c r="I62" s="223"/>
      <c r="L62" s="734" t="s">
        <v>404</v>
      </c>
      <c r="M62" s="219" t="s">
        <v>398</v>
      </c>
      <c r="N62" s="50">
        <f>_11・初任</f>
        <v>0.7</v>
      </c>
      <c r="O62" s="47">
        <f>ROUND((ROUND((_11_A重度研修増２．０*(1+_11・A深夜)),0)*_11・初任),0)</f>
        <v>361</v>
      </c>
      <c r="P62" s="48"/>
    </row>
    <row r="63" spans="1:16" ht="16.5" customHeight="1" x14ac:dyDescent="0.15">
      <c r="A63" s="41">
        <v>11</v>
      </c>
      <c r="B63" s="41" t="s">
        <v>8209</v>
      </c>
      <c r="C63" s="74" t="s">
        <v>8210</v>
      </c>
      <c r="D63" s="225">
        <f>_11_A重度研修増２．０</f>
        <v>344</v>
      </c>
      <c r="E63" s="10" t="s">
        <v>392</v>
      </c>
      <c r="F63" s="44" t="s">
        <v>397</v>
      </c>
      <c r="G63" s="218" t="s">
        <v>398</v>
      </c>
      <c r="H63" s="46">
        <v>1</v>
      </c>
      <c r="I63" s="223"/>
      <c r="L63" s="706"/>
      <c r="M63" s="220"/>
      <c r="N63" s="38"/>
      <c r="O63" s="47">
        <f>ROUND((ROUND((ROUND((_11_A重度研修増２．０*_11・２人),0)*(1+_11・A深夜)),0)*_11・初任),0)</f>
        <v>361</v>
      </c>
      <c r="P63" s="48"/>
    </row>
    <row r="64" spans="1:16" ht="16.5" customHeight="1" x14ac:dyDescent="0.15">
      <c r="A64" s="41">
        <v>11</v>
      </c>
      <c r="B64" s="41">
        <v>4211</v>
      </c>
      <c r="C64" s="74" t="s">
        <v>8211</v>
      </c>
      <c r="D64" s="774" t="s">
        <v>915</v>
      </c>
      <c r="E64" s="775"/>
      <c r="F64" s="44"/>
      <c r="G64" s="218"/>
      <c r="H64" s="46"/>
      <c r="I64" s="223"/>
      <c r="L64" s="53"/>
      <c r="M64" s="221"/>
      <c r="N64" s="50"/>
      <c r="O64" s="47">
        <f>ROUND((_11_A重度研修増２．５*(1+_11・A深夜)),0)</f>
        <v>645</v>
      </c>
      <c r="P64" s="48"/>
    </row>
    <row r="65" spans="1:16" ht="16.5" customHeight="1" x14ac:dyDescent="0.15">
      <c r="A65" s="41">
        <v>11</v>
      </c>
      <c r="B65" s="41">
        <v>4212</v>
      </c>
      <c r="C65" s="74" t="s">
        <v>8212</v>
      </c>
      <c r="D65" s="776"/>
      <c r="E65" s="777"/>
      <c r="F65" s="44" t="s">
        <v>397</v>
      </c>
      <c r="G65" s="218" t="s">
        <v>398</v>
      </c>
      <c r="H65" s="46">
        <v>1</v>
      </c>
      <c r="I65" s="223"/>
      <c r="L65" s="43"/>
      <c r="M65" s="216"/>
      <c r="N65" s="38"/>
      <c r="O65" s="47">
        <f>ROUND((ROUND((_11_A重度研修増２．５*_11・２人),0)*(1+_11・A深夜)),0)</f>
        <v>645</v>
      </c>
      <c r="P65" s="48"/>
    </row>
    <row r="66" spans="1:16" ht="16.5" customHeight="1" x14ac:dyDescent="0.15">
      <c r="A66" s="41">
        <v>11</v>
      </c>
      <c r="B66" s="41" t="s">
        <v>8213</v>
      </c>
      <c r="C66" s="74" t="s">
        <v>8214</v>
      </c>
      <c r="D66" s="776"/>
      <c r="E66" s="777"/>
      <c r="F66" s="44"/>
      <c r="G66" s="218"/>
      <c r="H66" s="46"/>
      <c r="I66" s="223"/>
      <c r="L66" s="734" t="s">
        <v>404</v>
      </c>
      <c r="M66" s="219" t="s">
        <v>398</v>
      </c>
      <c r="N66" s="50">
        <f>_11・初任</f>
        <v>0.7</v>
      </c>
      <c r="O66" s="47">
        <f>ROUND((ROUND((_11_A重度研修増２．５*(1+_11・A深夜)),0)*_11・初任),0)</f>
        <v>452</v>
      </c>
      <c r="P66" s="48"/>
    </row>
    <row r="67" spans="1:16" ht="16.5" customHeight="1" x14ac:dyDescent="0.15">
      <c r="A67" s="41">
        <v>11</v>
      </c>
      <c r="B67" s="41" t="s">
        <v>8215</v>
      </c>
      <c r="C67" s="74" t="s">
        <v>8216</v>
      </c>
      <c r="D67" s="225">
        <f>_11_A重度研修増２．５</f>
        <v>430</v>
      </c>
      <c r="E67" s="10" t="s">
        <v>392</v>
      </c>
      <c r="F67" s="44" t="s">
        <v>397</v>
      </c>
      <c r="G67" s="218" t="s">
        <v>398</v>
      </c>
      <c r="H67" s="46">
        <v>1</v>
      </c>
      <c r="I67" s="223"/>
      <c r="L67" s="706"/>
      <c r="M67" s="220"/>
      <c r="N67" s="38"/>
      <c r="O67" s="47">
        <f>ROUND((ROUND((ROUND((_11_A重度研修増２．５*_11・２人),0)*(1+_11・A深夜)),0)*_11・初任),0)</f>
        <v>452</v>
      </c>
      <c r="P67" s="48"/>
    </row>
    <row r="68" spans="1:16" ht="16.5" customHeight="1" x14ac:dyDescent="0.15">
      <c r="A68" s="41">
        <v>11</v>
      </c>
      <c r="B68" s="41">
        <v>4213</v>
      </c>
      <c r="C68" s="74" t="s">
        <v>8217</v>
      </c>
      <c r="D68" s="774" t="s">
        <v>928</v>
      </c>
      <c r="E68" s="775"/>
      <c r="F68" s="44"/>
      <c r="G68" s="218"/>
      <c r="H68" s="46"/>
      <c r="I68" s="223"/>
      <c r="L68" s="53"/>
      <c r="M68" s="221"/>
      <c r="N68" s="50"/>
      <c r="O68" s="47">
        <f>ROUND((_11_A重度研修増３．０*(1+_11・A深夜)),0)</f>
        <v>774</v>
      </c>
      <c r="P68" s="48"/>
    </row>
    <row r="69" spans="1:16" ht="16.5" customHeight="1" x14ac:dyDescent="0.15">
      <c r="A69" s="41">
        <v>11</v>
      </c>
      <c r="B69" s="41">
        <v>4214</v>
      </c>
      <c r="C69" s="74" t="s">
        <v>8218</v>
      </c>
      <c r="D69" s="776"/>
      <c r="E69" s="777"/>
      <c r="F69" s="44" t="s">
        <v>397</v>
      </c>
      <c r="G69" s="218" t="s">
        <v>398</v>
      </c>
      <c r="H69" s="46">
        <v>1</v>
      </c>
      <c r="I69" s="223"/>
      <c r="L69" s="43"/>
      <c r="M69" s="216"/>
      <c r="N69" s="38"/>
      <c r="O69" s="47">
        <f>ROUND((ROUND((_11_A重度研修増３．０*_11・２人),0)*(1+_11・A深夜)),0)</f>
        <v>774</v>
      </c>
      <c r="P69" s="48"/>
    </row>
    <row r="70" spans="1:16" ht="16.5" customHeight="1" x14ac:dyDescent="0.15">
      <c r="A70" s="41">
        <v>11</v>
      </c>
      <c r="B70" s="41" t="s">
        <v>8219</v>
      </c>
      <c r="C70" s="74" t="s">
        <v>8220</v>
      </c>
      <c r="D70" s="776"/>
      <c r="E70" s="777"/>
      <c r="F70" s="44"/>
      <c r="G70" s="218"/>
      <c r="H70" s="46"/>
      <c r="I70" s="223"/>
      <c r="L70" s="734" t="s">
        <v>404</v>
      </c>
      <c r="M70" s="219" t="s">
        <v>398</v>
      </c>
      <c r="N70" s="50">
        <f>_11・初任</f>
        <v>0.7</v>
      </c>
      <c r="O70" s="47">
        <f>ROUND((ROUND((_11_A重度研修増３．０*(1+_11・A深夜)),0)*_11・初任),0)</f>
        <v>542</v>
      </c>
      <c r="P70" s="48"/>
    </row>
    <row r="71" spans="1:16" ht="16.5" customHeight="1" x14ac:dyDescent="0.15">
      <c r="A71" s="41">
        <v>11</v>
      </c>
      <c r="B71" s="41" t="s">
        <v>8221</v>
      </c>
      <c r="C71" s="74" t="s">
        <v>8222</v>
      </c>
      <c r="D71" s="225">
        <f>_11_A重度研修増３．０</f>
        <v>516</v>
      </c>
      <c r="E71" s="10" t="s">
        <v>392</v>
      </c>
      <c r="F71" s="44" t="s">
        <v>397</v>
      </c>
      <c r="G71" s="218" t="s">
        <v>398</v>
      </c>
      <c r="H71" s="46">
        <v>1</v>
      </c>
      <c r="I71" s="223"/>
      <c r="L71" s="706"/>
      <c r="M71" s="220"/>
      <c r="N71" s="38"/>
      <c r="O71" s="47">
        <f>ROUND((ROUND((ROUND((_11_A重度研修増３．０*_11・２人),0)*(1+_11・A深夜)),0)*_11・初任),0)</f>
        <v>542</v>
      </c>
      <c r="P71" s="48"/>
    </row>
    <row r="72" spans="1:16" ht="16.5" customHeight="1" x14ac:dyDescent="0.15">
      <c r="A72" s="41">
        <v>11</v>
      </c>
      <c r="B72" s="41">
        <v>4215</v>
      </c>
      <c r="C72" s="74" t="s">
        <v>8223</v>
      </c>
      <c r="D72" s="774" t="s">
        <v>941</v>
      </c>
      <c r="E72" s="775"/>
      <c r="F72" s="44"/>
      <c r="G72" s="218"/>
      <c r="H72" s="46"/>
      <c r="I72" s="223"/>
      <c r="L72" s="53"/>
      <c r="M72" s="221"/>
      <c r="N72" s="50"/>
      <c r="O72" s="47">
        <f>ROUND((_11_A重度研修増３．５*(1+_11・A深夜)),0)</f>
        <v>903</v>
      </c>
      <c r="P72" s="48"/>
    </row>
    <row r="73" spans="1:16" ht="16.5" customHeight="1" x14ac:dyDescent="0.15">
      <c r="A73" s="41">
        <v>11</v>
      </c>
      <c r="B73" s="41">
        <v>4216</v>
      </c>
      <c r="C73" s="74" t="s">
        <v>8224</v>
      </c>
      <c r="D73" s="776"/>
      <c r="E73" s="777"/>
      <c r="F73" s="44" t="s">
        <v>397</v>
      </c>
      <c r="G73" s="218" t="s">
        <v>398</v>
      </c>
      <c r="H73" s="46">
        <v>1</v>
      </c>
      <c r="I73" s="223"/>
      <c r="L73" s="43"/>
      <c r="M73" s="216"/>
      <c r="N73" s="38"/>
      <c r="O73" s="47">
        <f>ROUND((ROUND((_11_A重度研修増３．５*_11・２人),0)*(1+_11・A深夜)),0)</f>
        <v>903</v>
      </c>
      <c r="P73" s="48"/>
    </row>
    <row r="74" spans="1:16" ht="16.5" customHeight="1" x14ac:dyDescent="0.15">
      <c r="A74" s="41">
        <v>11</v>
      </c>
      <c r="B74" s="41" t="s">
        <v>8225</v>
      </c>
      <c r="C74" s="74" t="s">
        <v>8226</v>
      </c>
      <c r="D74" s="776"/>
      <c r="E74" s="777"/>
      <c r="F74" s="44"/>
      <c r="G74" s="218"/>
      <c r="H74" s="46"/>
      <c r="I74" s="223"/>
      <c r="L74" s="734" t="s">
        <v>404</v>
      </c>
      <c r="M74" s="219" t="s">
        <v>398</v>
      </c>
      <c r="N74" s="50">
        <f>_11・初任</f>
        <v>0.7</v>
      </c>
      <c r="O74" s="47">
        <f>ROUND((ROUND((_11_A重度研修増３．５*(1+_11・A深夜)),0)*_11・初任),0)</f>
        <v>632</v>
      </c>
      <c r="P74" s="48"/>
    </row>
    <row r="75" spans="1:16" ht="16.5" customHeight="1" x14ac:dyDescent="0.15">
      <c r="A75" s="41">
        <v>11</v>
      </c>
      <c r="B75" s="41" t="s">
        <v>8227</v>
      </c>
      <c r="C75" s="74" t="s">
        <v>8228</v>
      </c>
      <c r="D75" s="226">
        <f>_11_A重度研修増３．５</f>
        <v>602</v>
      </c>
      <c r="E75" s="190" t="s">
        <v>392</v>
      </c>
      <c r="F75" s="44" t="s">
        <v>397</v>
      </c>
      <c r="G75" s="218" t="s">
        <v>398</v>
      </c>
      <c r="H75" s="46">
        <v>1</v>
      </c>
      <c r="I75" s="223"/>
      <c r="K75" s="234"/>
      <c r="L75" s="706"/>
      <c r="M75" s="220"/>
      <c r="N75" s="38"/>
      <c r="O75" s="47">
        <f>ROUND((ROUND((ROUND((_11_A重度研修増３．５*_11・２人),0)*(1+_11・A深夜)),0)*_11・初任),0)</f>
        <v>632</v>
      </c>
      <c r="P75" s="48"/>
    </row>
    <row r="76" spans="1:16" ht="16.5" customHeight="1" x14ac:dyDescent="0.15">
      <c r="A76" s="33">
        <v>11</v>
      </c>
      <c r="B76" s="33">
        <v>4217</v>
      </c>
      <c r="C76" s="34" t="s">
        <v>8229</v>
      </c>
      <c r="D76" s="776" t="s">
        <v>954</v>
      </c>
      <c r="E76" s="777"/>
      <c r="F76" s="36"/>
      <c r="G76" s="216"/>
      <c r="H76" s="38"/>
      <c r="I76" s="223"/>
      <c r="K76" s="234"/>
      <c r="L76" s="35"/>
      <c r="O76" s="39">
        <f>ROUND((_11_A重度研修増４．０*(1+_11・A深夜)),0)</f>
        <v>1032</v>
      </c>
      <c r="P76" s="48"/>
    </row>
    <row r="77" spans="1:16" ht="16.5" customHeight="1" x14ac:dyDescent="0.15">
      <c r="A77" s="41">
        <v>11</v>
      </c>
      <c r="B77" s="41">
        <v>4218</v>
      </c>
      <c r="C77" s="74" t="s">
        <v>8230</v>
      </c>
      <c r="D77" s="776"/>
      <c r="E77" s="777"/>
      <c r="F77" s="44" t="s">
        <v>397</v>
      </c>
      <c r="G77" s="218" t="s">
        <v>398</v>
      </c>
      <c r="H77" s="46">
        <v>1</v>
      </c>
      <c r="I77" s="223"/>
      <c r="K77" s="234"/>
      <c r="L77" s="43"/>
      <c r="M77" s="216"/>
      <c r="N77" s="38"/>
      <c r="O77" s="47">
        <f>ROUND((ROUND((_11_A重度研修増４．０*_11・２人),0)*(1+_11・A深夜)),0)</f>
        <v>1032</v>
      </c>
      <c r="P77" s="48"/>
    </row>
    <row r="78" spans="1:16" ht="16.5" customHeight="1" x14ac:dyDescent="0.15">
      <c r="A78" s="41">
        <v>11</v>
      </c>
      <c r="B78" s="41" t="s">
        <v>8231</v>
      </c>
      <c r="C78" s="74" t="s">
        <v>8232</v>
      </c>
      <c r="D78" s="776"/>
      <c r="E78" s="777"/>
      <c r="F78" s="44"/>
      <c r="G78" s="218"/>
      <c r="H78" s="46"/>
      <c r="I78" s="223"/>
      <c r="L78" s="734" t="s">
        <v>404</v>
      </c>
      <c r="M78" s="219" t="s">
        <v>398</v>
      </c>
      <c r="N78" s="50">
        <f>_11・初任</f>
        <v>0.7</v>
      </c>
      <c r="O78" s="47">
        <f>ROUND((ROUND((_11_A重度研修増４．０*(1+_11・A深夜)),0)*_11・初任),0)</f>
        <v>722</v>
      </c>
      <c r="P78" s="48"/>
    </row>
    <row r="79" spans="1:16" ht="16.5" customHeight="1" x14ac:dyDescent="0.15">
      <c r="A79" s="41">
        <v>11</v>
      </c>
      <c r="B79" s="41" t="s">
        <v>8233</v>
      </c>
      <c r="C79" s="74" t="s">
        <v>8234</v>
      </c>
      <c r="D79" s="225">
        <f>_11_A重度研修増４．０</f>
        <v>688</v>
      </c>
      <c r="E79" s="10" t="s">
        <v>392</v>
      </c>
      <c r="F79" s="44" t="s">
        <v>397</v>
      </c>
      <c r="G79" s="218" t="s">
        <v>398</v>
      </c>
      <c r="H79" s="46">
        <v>1</v>
      </c>
      <c r="I79" s="223"/>
      <c r="L79" s="706"/>
      <c r="M79" s="220"/>
      <c r="N79" s="38"/>
      <c r="O79" s="47">
        <f>ROUND((ROUND((ROUND((_11_A重度研修増４．０*_11・２人),0)*(1+_11・A深夜)),0)*_11・初任),0)</f>
        <v>722</v>
      </c>
      <c r="P79" s="48"/>
    </row>
    <row r="80" spans="1:16" ht="16.5" customHeight="1" x14ac:dyDescent="0.15">
      <c r="A80" s="41">
        <v>11</v>
      </c>
      <c r="B80" s="41">
        <v>4219</v>
      </c>
      <c r="C80" s="74" t="s">
        <v>8235</v>
      </c>
      <c r="D80" s="774" t="s">
        <v>3197</v>
      </c>
      <c r="E80" s="775"/>
      <c r="F80" s="44"/>
      <c r="G80" s="218"/>
      <c r="H80" s="46"/>
      <c r="I80" s="223"/>
      <c r="L80" s="53"/>
      <c r="M80" s="221"/>
      <c r="N80" s="50"/>
      <c r="O80" s="47">
        <f>ROUND((_11_A重度研修増４．５*(1+_11・A深夜)),0)</f>
        <v>1161</v>
      </c>
      <c r="P80" s="48"/>
    </row>
    <row r="81" spans="1:16" ht="16.5" customHeight="1" x14ac:dyDescent="0.15">
      <c r="A81" s="41">
        <v>11</v>
      </c>
      <c r="B81" s="41">
        <v>4220</v>
      </c>
      <c r="C81" s="74" t="s">
        <v>8236</v>
      </c>
      <c r="D81" s="776"/>
      <c r="E81" s="777"/>
      <c r="F81" s="44" t="s">
        <v>397</v>
      </c>
      <c r="G81" s="218" t="s">
        <v>398</v>
      </c>
      <c r="H81" s="46">
        <v>1</v>
      </c>
      <c r="I81" s="223"/>
      <c r="L81" s="43"/>
      <c r="M81" s="216"/>
      <c r="N81" s="38"/>
      <c r="O81" s="47">
        <f>ROUND((ROUND((_11_A重度研修増４．５*_11・２人),0)*(1+_11・A深夜)),0)</f>
        <v>1161</v>
      </c>
      <c r="P81" s="48"/>
    </row>
    <row r="82" spans="1:16" ht="16.5" customHeight="1" x14ac:dyDescent="0.15">
      <c r="A82" s="41">
        <v>11</v>
      </c>
      <c r="B82" s="41" t="s">
        <v>8237</v>
      </c>
      <c r="C82" s="74" t="s">
        <v>8238</v>
      </c>
      <c r="D82" s="776"/>
      <c r="E82" s="777"/>
      <c r="F82" s="44"/>
      <c r="G82" s="218"/>
      <c r="H82" s="46"/>
      <c r="I82" s="223"/>
      <c r="L82" s="734" t="s">
        <v>404</v>
      </c>
      <c r="M82" s="219" t="s">
        <v>398</v>
      </c>
      <c r="N82" s="50">
        <f>_11・初任</f>
        <v>0.7</v>
      </c>
      <c r="O82" s="47">
        <f>ROUND((ROUND((_11_A重度研修増４．５*(1+_11・A深夜)),0)*_11・初任),0)</f>
        <v>813</v>
      </c>
      <c r="P82" s="48"/>
    </row>
    <row r="83" spans="1:16" ht="16.5" customHeight="1" x14ac:dyDescent="0.15">
      <c r="A83" s="41">
        <v>11</v>
      </c>
      <c r="B83" s="41" t="s">
        <v>8239</v>
      </c>
      <c r="C83" s="74" t="s">
        <v>8240</v>
      </c>
      <c r="D83" s="225">
        <f>_11_A重度研修増４．５</f>
        <v>774</v>
      </c>
      <c r="E83" s="10" t="s">
        <v>392</v>
      </c>
      <c r="F83" s="44" t="s">
        <v>397</v>
      </c>
      <c r="G83" s="218" t="s">
        <v>398</v>
      </c>
      <c r="H83" s="46">
        <v>1</v>
      </c>
      <c r="I83" s="223"/>
      <c r="L83" s="706"/>
      <c r="M83" s="220"/>
      <c r="N83" s="38"/>
      <c r="O83" s="47">
        <f>ROUND((ROUND((ROUND((_11_A重度研修増４．５*_11・２人),0)*(1+_11・A深夜)),0)*_11・初任),0)</f>
        <v>813</v>
      </c>
      <c r="P83" s="48"/>
    </row>
    <row r="84" spans="1:16" ht="16.5" customHeight="1" x14ac:dyDescent="0.15">
      <c r="A84" s="41">
        <v>11</v>
      </c>
      <c r="B84" s="41">
        <v>4221</v>
      </c>
      <c r="C84" s="74" t="s">
        <v>8241</v>
      </c>
      <c r="D84" s="774" t="s">
        <v>980</v>
      </c>
      <c r="E84" s="775"/>
      <c r="F84" s="44"/>
      <c r="G84" s="218"/>
      <c r="H84" s="46"/>
      <c r="I84" s="223"/>
      <c r="L84" s="53"/>
      <c r="M84" s="221"/>
      <c r="N84" s="50"/>
      <c r="O84" s="47">
        <f>ROUND((_11_A重度研修増５．０*(1+_11・A深夜)),0)</f>
        <v>1290</v>
      </c>
      <c r="P84" s="48"/>
    </row>
    <row r="85" spans="1:16" ht="16.5" customHeight="1" x14ac:dyDescent="0.15">
      <c r="A85" s="41">
        <v>11</v>
      </c>
      <c r="B85" s="41">
        <v>4222</v>
      </c>
      <c r="C85" s="74" t="s">
        <v>8242</v>
      </c>
      <c r="D85" s="776"/>
      <c r="E85" s="777"/>
      <c r="F85" s="44" t="s">
        <v>397</v>
      </c>
      <c r="G85" s="218" t="s">
        <v>398</v>
      </c>
      <c r="H85" s="46">
        <v>1</v>
      </c>
      <c r="I85" s="223"/>
      <c r="L85" s="43"/>
      <c r="M85" s="216"/>
      <c r="N85" s="38"/>
      <c r="O85" s="47">
        <f>ROUND((ROUND((_11_A重度研修増５．０*_11・２人),0)*(1+_11・A深夜)),0)</f>
        <v>1290</v>
      </c>
      <c r="P85" s="48"/>
    </row>
    <row r="86" spans="1:16" ht="16.5" customHeight="1" x14ac:dyDescent="0.15">
      <c r="A86" s="41">
        <v>11</v>
      </c>
      <c r="B86" s="41" t="s">
        <v>8243</v>
      </c>
      <c r="C86" s="74" t="s">
        <v>8244</v>
      </c>
      <c r="D86" s="776"/>
      <c r="E86" s="777"/>
      <c r="F86" s="44"/>
      <c r="G86" s="218"/>
      <c r="H86" s="46"/>
      <c r="I86" s="223"/>
      <c r="L86" s="734" t="s">
        <v>404</v>
      </c>
      <c r="M86" s="219" t="s">
        <v>398</v>
      </c>
      <c r="N86" s="50">
        <f>_11・初任</f>
        <v>0.7</v>
      </c>
      <c r="O86" s="47">
        <f>ROUND((ROUND((_11_A重度研修増５．０*(1+_11・A深夜)),0)*_11・初任),0)</f>
        <v>903</v>
      </c>
      <c r="P86" s="48"/>
    </row>
    <row r="87" spans="1:16" ht="16.5" customHeight="1" x14ac:dyDescent="0.15">
      <c r="A87" s="41">
        <v>11</v>
      </c>
      <c r="B87" s="41" t="s">
        <v>8245</v>
      </c>
      <c r="C87" s="74" t="s">
        <v>8246</v>
      </c>
      <c r="D87" s="225">
        <f>_11_A重度研修増５．０</f>
        <v>860</v>
      </c>
      <c r="E87" s="10" t="s">
        <v>392</v>
      </c>
      <c r="F87" s="44" t="s">
        <v>397</v>
      </c>
      <c r="G87" s="218" t="s">
        <v>398</v>
      </c>
      <c r="H87" s="46">
        <v>1</v>
      </c>
      <c r="I87" s="223"/>
      <c r="L87" s="706"/>
      <c r="M87" s="220"/>
      <c r="N87" s="38"/>
      <c r="O87" s="47">
        <f>ROUND((ROUND((ROUND((_11_A重度研修増５．０*_11・２人),0)*(1+_11・A深夜)),0)*_11・初任),0)</f>
        <v>903</v>
      </c>
      <c r="P87" s="48"/>
    </row>
    <row r="88" spans="1:16" ht="16.5" customHeight="1" x14ac:dyDescent="0.15">
      <c r="A88" s="41">
        <v>11</v>
      </c>
      <c r="B88" s="41">
        <v>4223</v>
      </c>
      <c r="C88" s="74" t="s">
        <v>8247</v>
      </c>
      <c r="D88" s="774" t="s">
        <v>993</v>
      </c>
      <c r="E88" s="775"/>
      <c r="F88" s="44"/>
      <c r="G88" s="218"/>
      <c r="H88" s="46"/>
      <c r="I88" s="223"/>
      <c r="L88" s="53"/>
      <c r="M88" s="221"/>
      <c r="N88" s="50"/>
      <c r="O88" s="47">
        <f>ROUND((_11_A重度研修増５．５*(1+_11・A深夜)),0)</f>
        <v>1419</v>
      </c>
      <c r="P88" s="48"/>
    </row>
    <row r="89" spans="1:16" ht="16.5" customHeight="1" x14ac:dyDescent="0.15">
      <c r="A89" s="41">
        <v>11</v>
      </c>
      <c r="B89" s="41">
        <v>4224</v>
      </c>
      <c r="C89" s="74" t="s">
        <v>8248</v>
      </c>
      <c r="D89" s="776"/>
      <c r="E89" s="777"/>
      <c r="F89" s="44" t="s">
        <v>397</v>
      </c>
      <c r="G89" s="218" t="s">
        <v>398</v>
      </c>
      <c r="H89" s="46">
        <v>1</v>
      </c>
      <c r="I89" s="223"/>
      <c r="L89" s="43"/>
      <c r="M89" s="216"/>
      <c r="N89" s="38"/>
      <c r="O89" s="47">
        <f>ROUND((ROUND((_11_A重度研修増５．５*_11・２人),0)*(1+_11・A深夜)),0)</f>
        <v>1419</v>
      </c>
      <c r="P89" s="48"/>
    </row>
    <row r="90" spans="1:16" ht="16.5" customHeight="1" x14ac:dyDescent="0.15">
      <c r="A90" s="41">
        <v>11</v>
      </c>
      <c r="B90" s="41" t="s">
        <v>8249</v>
      </c>
      <c r="C90" s="74" t="s">
        <v>8250</v>
      </c>
      <c r="D90" s="776"/>
      <c r="E90" s="777"/>
      <c r="F90" s="44"/>
      <c r="G90" s="218"/>
      <c r="H90" s="46"/>
      <c r="I90" s="223"/>
      <c r="L90" s="734" t="s">
        <v>404</v>
      </c>
      <c r="M90" s="219" t="s">
        <v>398</v>
      </c>
      <c r="N90" s="50">
        <f>_11・初任</f>
        <v>0.7</v>
      </c>
      <c r="O90" s="47">
        <f>ROUND((ROUND((_11_A重度研修増５．５*(1+_11・A深夜)),0)*_11・初任),0)</f>
        <v>993</v>
      </c>
      <c r="P90" s="48"/>
    </row>
    <row r="91" spans="1:16" ht="16.5" customHeight="1" x14ac:dyDescent="0.15">
      <c r="A91" s="41">
        <v>11</v>
      </c>
      <c r="B91" s="41" t="s">
        <v>8251</v>
      </c>
      <c r="C91" s="74" t="s">
        <v>8252</v>
      </c>
      <c r="D91" s="225">
        <f>_11_A重度研修増５．５</f>
        <v>946</v>
      </c>
      <c r="E91" s="10" t="s">
        <v>392</v>
      </c>
      <c r="F91" s="44" t="s">
        <v>397</v>
      </c>
      <c r="G91" s="218" t="s">
        <v>398</v>
      </c>
      <c r="H91" s="46">
        <v>1</v>
      </c>
      <c r="I91" s="223"/>
      <c r="L91" s="706"/>
      <c r="M91" s="220"/>
      <c r="N91" s="38"/>
      <c r="O91" s="47">
        <f>ROUND((ROUND((ROUND((_11_A重度研修増５．５*_11・２人),0)*(1+_11・A深夜)),0)*_11・初任),0)</f>
        <v>993</v>
      </c>
      <c r="P91" s="48"/>
    </row>
    <row r="92" spans="1:16" ht="16.5" customHeight="1" x14ac:dyDescent="0.15">
      <c r="A92" s="41">
        <v>11</v>
      </c>
      <c r="B92" s="41">
        <v>4225</v>
      </c>
      <c r="C92" s="74" t="s">
        <v>8253</v>
      </c>
      <c r="D92" s="774" t="s">
        <v>1006</v>
      </c>
      <c r="E92" s="775"/>
      <c r="F92" s="44"/>
      <c r="G92" s="218"/>
      <c r="H92" s="46"/>
      <c r="I92" s="223"/>
      <c r="L92" s="53"/>
      <c r="M92" s="221"/>
      <c r="N92" s="50"/>
      <c r="O92" s="47">
        <f>ROUND((_11_A重度研修増６．０*(1+_11・A深夜)),0)</f>
        <v>1548</v>
      </c>
      <c r="P92" s="48"/>
    </row>
    <row r="93" spans="1:16" ht="16.5" customHeight="1" x14ac:dyDescent="0.15">
      <c r="A93" s="41">
        <v>11</v>
      </c>
      <c r="B93" s="41">
        <v>4226</v>
      </c>
      <c r="C93" s="74" t="s">
        <v>8254</v>
      </c>
      <c r="D93" s="776"/>
      <c r="E93" s="777"/>
      <c r="F93" s="44" t="s">
        <v>397</v>
      </c>
      <c r="G93" s="218" t="s">
        <v>398</v>
      </c>
      <c r="H93" s="46">
        <v>1</v>
      </c>
      <c r="I93" s="223"/>
      <c r="L93" s="43"/>
      <c r="M93" s="216"/>
      <c r="N93" s="38"/>
      <c r="O93" s="47">
        <f>ROUND((ROUND((_11_A重度研修増６．０*_11・２人),0)*(1+_11・A深夜)),0)</f>
        <v>1548</v>
      </c>
      <c r="P93" s="48"/>
    </row>
    <row r="94" spans="1:16" ht="16.5" customHeight="1" x14ac:dyDescent="0.15">
      <c r="A94" s="41">
        <v>11</v>
      </c>
      <c r="B94" s="41" t="s">
        <v>8255</v>
      </c>
      <c r="C94" s="74" t="s">
        <v>8256</v>
      </c>
      <c r="D94" s="776"/>
      <c r="E94" s="777"/>
      <c r="F94" s="44"/>
      <c r="G94" s="218"/>
      <c r="H94" s="46"/>
      <c r="I94" s="223"/>
      <c r="L94" s="734" t="s">
        <v>404</v>
      </c>
      <c r="M94" s="219" t="s">
        <v>398</v>
      </c>
      <c r="N94" s="50">
        <f>_11・初任</f>
        <v>0.7</v>
      </c>
      <c r="O94" s="47">
        <f>ROUND((ROUND((_11_A重度研修増６．０*(1+_11・A深夜)),0)*_11・初任),0)</f>
        <v>1084</v>
      </c>
      <c r="P94" s="48"/>
    </row>
    <row r="95" spans="1:16" ht="16.5" customHeight="1" x14ac:dyDescent="0.15">
      <c r="A95" s="41">
        <v>11</v>
      </c>
      <c r="B95" s="41" t="s">
        <v>8257</v>
      </c>
      <c r="C95" s="74" t="s">
        <v>8258</v>
      </c>
      <c r="D95" s="225">
        <f>_11_A重度研修増６．０</f>
        <v>1032</v>
      </c>
      <c r="E95" s="10" t="s">
        <v>392</v>
      </c>
      <c r="F95" s="44" t="s">
        <v>397</v>
      </c>
      <c r="G95" s="218" t="s">
        <v>398</v>
      </c>
      <c r="H95" s="46">
        <v>1</v>
      </c>
      <c r="I95" s="223"/>
      <c r="L95" s="706"/>
      <c r="M95" s="220"/>
      <c r="N95" s="38"/>
      <c r="O95" s="47">
        <f>ROUND((ROUND((ROUND((_11_A重度研修増６．０*_11・２人),0)*(1+_11・A深夜)),0)*_11・初任),0)</f>
        <v>1084</v>
      </c>
      <c r="P95" s="48"/>
    </row>
    <row r="96" spans="1:16" ht="16.5" customHeight="1" x14ac:dyDescent="0.15">
      <c r="A96" s="41">
        <v>11</v>
      </c>
      <c r="B96" s="41">
        <v>4227</v>
      </c>
      <c r="C96" s="74" t="s">
        <v>8259</v>
      </c>
      <c r="D96" s="774" t="s">
        <v>1019</v>
      </c>
      <c r="E96" s="775"/>
      <c r="F96" s="44"/>
      <c r="G96" s="218"/>
      <c r="H96" s="46"/>
      <c r="I96" s="223"/>
      <c r="L96" s="53"/>
      <c r="M96" s="221"/>
      <c r="N96" s="50"/>
      <c r="O96" s="47">
        <f>ROUND((_11_A重度研修増６．５*(1+_11・A深夜)),0)</f>
        <v>1677</v>
      </c>
      <c r="P96" s="48"/>
    </row>
    <row r="97" spans="1:16" ht="16.5" customHeight="1" x14ac:dyDescent="0.15">
      <c r="A97" s="41">
        <v>11</v>
      </c>
      <c r="B97" s="41">
        <v>4228</v>
      </c>
      <c r="C97" s="74" t="s">
        <v>8260</v>
      </c>
      <c r="D97" s="776"/>
      <c r="E97" s="777"/>
      <c r="F97" s="44" t="s">
        <v>397</v>
      </c>
      <c r="G97" s="218" t="s">
        <v>398</v>
      </c>
      <c r="H97" s="46">
        <v>1</v>
      </c>
      <c r="I97" s="223"/>
      <c r="L97" s="43"/>
      <c r="M97" s="216"/>
      <c r="N97" s="38"/>
      <c r="O97" s="47">
        <f>ROUND((ROUND((_11_A重度研修増６．５*_11・２人),0)*(1+_11・A深夜)),0)</f>
        <v>1677</v>
      </c>
      <c r="P97" s="48"/>
    </row>
    <row r="98" spans="1:16" ht="16.5" customHeight="1" x14ac:dyDescent="0.15">
      <c r="A98" s="41">
        <v>11</v>
      </c>
      <c r="B98" s="41" t="s">
        <v>8261</v>
      </c>
      <c r="C98" s="74" t="s">
        <v>8262</v>
      </c>
      <c r="D98" s="776"/>
      <c r="E98" s="777"/>
      <c r="F98" s="44"/>
      <c r="G98" s="218"/>
      <c r="H98" s="46"/>
      <c r="I98" s="223"/>
      <c r="L98" s="734" t="s">
        <v>404</v>
      </c>
      <c r="M98" s="219" t="s">
        <v>398</v>
      </c>
      <c r="N98" s="50">
        <f>_11・初任</f>
        <v>0.7</v>
      </c>
      <c r="O98" s="47">
        <f>ROUND((ROUND((_11_A重度研修増６．５*(1+_11・A深夜)),0)*_11・初任),0)</f>
        <v>1174</v>
      </c>
      <c r="P98" s="48"/>
    </row>
    <row r="99" spans="1:16" ht="16.5" customHeight="1" x14ac:dyDescent="0.15">
      <c r="A99" s="41">
        <v>11</v>
      </c>
      <c r="B99" s="41" t="s">
        <v>8263</v>
      </c>
      <c r="C99" s="74" t="s">
        <v>8264</v>
      </c>
      <c r="D99" s="226">
        <f>_11_A重度研修増６．５</f>
        <v>1118</v>
      </c>
      <c r="E99" s="190" t="s">
        <v>392</v>
      </c>
      <c r="F99" s="44" t="s">
        <v>397</v>
      </c>
      <c r="G99" s="218" t="s">
        <v>398</v>
      </c>
      <c r="H99" s="46">
        <v>1</v>
      </c>
      <c r="I99" s="227"/>
      <c r="J99" s="37"/>
      <c r="K99" s="38"/>
      <c r="L99" s="706"/>
      <c r="M99" s="220"/>
      <c r="N99" s="38"/>
      <c r="O99" s="47">
        <f>ROUND((ROUND((ROUND((_11_A重度研修増６．５*_11・２人),0)*(1+_11・A深夜)),0)*_11・初任),0)</f>
        <v>1174</v>
      </c>
      <c r="P99" s="63"/>
    </row>
    <row r="100" spans="1:16" ht="16.5" customHeight="1" x14ac:dyDescent="0.15"/>
    <row r="101" spans="1:16" ht="16.5" customHeight="1" x14ac:dyDescent="0.15"/>
  </sheetData>
  <mergeCells count="46">
    <mergeCell ref="D96:E98"/>
    <mergeCell ref="L98:L99"/>
    <mergeCell ref="D84:E86"/>
    <mergeCell ref="L86:L87"/>
    <mergeCell ref="D88:E90"/>
    <mergeCell ref="L90:L91"/>
    <mergeCell ref="D92:E94"/>
    <mergeCell ref="L94:L95"/>
    <mergeCell ref="D72:E74"/>
    <mergeCell ref="L74:L75"/>
    <mergeCell ref="D76:E78"/>
    <mergeCell ref="L78:L79"/>
    <mergeCell ref="D80:E82"/>
    <mergeCell ref="L82:L83"/>
    <mergeCell ref="D60:E62"/>
    <mergeCell ref="L62:L63"/>
    <mergeCell ref="D64:E66"/>
    <mergeCell ref="L66:L67"/>
    <mergeCell ref="D68:E70"/>
    <mergeCell ref="L70:L71"/>
    <mergeCell ref="D56:E58"/>
    <mergeCell ref="L58:L59"/>
    <mergeCell ref="D31:E33"/>
    <mergeCell ref="L33:L34"/>
    <mergeCell ref="D35:E37"/>
    <mergeCell ref="L37:L38"/>
    <mergeCell ref="D39:E41"/>
    <mergeCell ref="L41:L42"/>
    <mergeCell ref="D48:E50"/>
    <mergeCell ref="K49:K50"/>
    <mergeCell ref="L50:L51"/>
    <mergeCell ref="D52:E54"/>
    <mergeCell ref="L54:L55"/>
    <mergeCell ref="D19:E21"/>
    <mergeCell ref="L21:L22"/>
    <mergeCell ref="D23:E25"/>
    <mergeCell ref="L25:L26"/>
    <mergeCell ref="D27:E29"/>
    <mergeCell ref="L29:L30"/>
    <mergeCell ref="D15:E17"/>
    <mergeCell ref="L17:L18"/>
    <mergeCell ref="D7:E9"/>
    <mergeCell ref="K8:K9"/>
    <mergeCell ref="L9:L10"/>
    <mergeCell ref="D11:E13"/>
    <mergeCell ref="L13:L14"/>
  </mergeCells>
  <phoneticPr fontId="1"/>
  <printOptions horizontalCentered="1"/>
  <pageMargins left="0.70866141732283472" right="0.70866141732283472" top="0.74803149606299213" bottom="0.74803149606299213" header="0.31496062992125984" footer="0.31496062992125984"/>
  <pageSetup paperSize="9" scale="60" fitToHeight="0" orientation="portrait" r:id="rId1"/>
  <headerFooter>
    <oddHeader>&amp;R&amp;"ＭＳ Ｐゴシック"&amp;9居宅介護</oddHeader>
    <oddFooter>&amp;C&amp;"ＭＳ Ｐゴシック"&amp;14&amp;P</oddFooter>
  </headerFooter>
  <rowBreaks count="1" manualBreakCount="1">
    <brk id="42" max="15"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6"/>
  <dimension ref="A1:O336"/>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99" customWidth="1"/>
    <col min="5" max="5" width="4.875" style="12" customWidth="1"/>
    <col min="6" max="6" width="11.875" style="12" customWidth="1"/>
    <col min="7" max="7" width="2.5" style="16" customWidth="1"/>
    <col min="8" max="8" width="4.5" style="13" bestFit="1" customWidth="1"/>
    <col min="9" max="9" width="26" style="14" customWidth="1"/>
    <col min="10" max="10" width="2.5" style="16" customWidth="1"/>
    <col min="11" max="11" width="5.5" style="13" bestFit="1" customWidth="1"/>
    <col min="12" max="12" width="9.875" style="12" customWidth="1"/>
    <col min="13" max="13" width="4.5" style="13" bestFit="1" customWidth="1"/>
    <col min="14" max="14" width="7.125" style="15" customWidth="1"/>
    <col min="15" max="15" width="8.5" style="16" customWidth="1"/>
    <col min="16" max="16384" width="8.875" style="12"/>
  </cols>
  <sheetData>
    <row r="1" spans="1:15" ht="17.100000000000001" customHeight="1" x14ac:dyDescent="0.15"/>
    <row r="2" spans="1:15" ht="17.100000000000001" customHeight="1" x14ac:dyDescent="0.15"/>
    <row r="3" spans="1:15" ht="17.100000000000001" customHeight="1" x14ac:dyDescent="0.15"/>
    <row r="4" spans="1:15" ht="17.100000000000001" customHeight="1" x14ac:dyDescent="0.15">
      <c r="B4" s="17" t="s">
        <v>8265</v>
      </c>
    </row>
    <row r="5" spans="1:15" ht="16.5" customHeight="1" x14ac:dyDescent="0.15">
      <c r="A5" s="19" t="s">
        <v>384</v>
      </c>
      <c r="B5" s="20"/>
      <c r="C5" s="21" t="s">
        <v>385</v>
      </c>
      <c r="D5" s="235" t="s">
        <v>386</v>
      </c>
      <c r="E5" s="23"/>
      <c r="F5" s="23"/>
      <c r="G5" s="23"/>
      <c r="H5" s="24"/>
      <c r="I5" s="23"/>
      <c r="J5" s="23"/>
      <c r="K5" s="24"/>
      <c r="L5" s="23"/>
      <c r="M5" s="24"/>
      <c r="N5" s="25" t="s">
        <v>387</v>
      </c>
      <c r="O5" s="21" t="s">
        <v>388</v>
      </c>
    </row>
    <row r="6" spans="1:15" ht="16.5" customHeight="1" x14ac:dyDescent="0.15">
      <c r="A6" s="26" t="s">
        <v>389</v>
      </c>
      <c r="B6" s="26" t="s">
        <v>390</v>
      </c>
      <c r="C6" s="27"/>
      <c r="D6" s="213"/>
      <c r="E6" s="29"/>
      <c r="F6" s="29"/>
      <c r="G6" s="214"/>
      <c r="H6" s="30"/>
      <c r="I6" s="29"/>
      <c r="J6" s="214"/>
      <c r="K6" s="30"/>
      <c r="L6" s="29"/>
      <c r="M6" s="30"/>
      <c r="N6" s="31" t="s">
        <v>391</v>
      </c>
      <c r="O6" s="32" t="s">
        <v>392</v>
      </c>
    </row>
    <row r="7" spans="1:15" ht="16.5" customHeight="1" x14ac:dyDescent="0.15">
      <c r="A7" s="33">
        <v>11</v>
      </c>
      <c r="B7" s="33">
        <v>6111</v>
      </c>
      <c r="C7" s="34" t="s">
        <v>8266</v>
      </c>
      <c r="D7" s="709" t="s">
        <v>394</v>
      </c>
      <c r="E7" s="718"/>
      <c r="F7" s="35"/>
      <c r="I7" s="36"/>
      <c r="J7" s="216"/>
      <c r="K7" s="38"/>
      <c r="L7" s="35"/>
      <c r="N7" s="39">
        <f>_11_A家事０．５</f>
        <v>105</v>
      </c>
      <c r="O7" s="40" t="s">
        <v>395</v>
      </c>
    </row>
    <row r="8" spans="1:15" ht="16.5" customHeight="1" x14ac:dyDescent="0.15">
      <c r="A8" s="41">
        <v>11</v>
      </c>
      <c r="B8" s="41">
        <v>6112</v>
      </c>
      <c r="C8" s="74" t="s">
        <v>8267</v>
      </c>
      <c r="D8" s="709"/>
      <c r="E8" s="718"/>
      <c r="F8" s="43"/>
      <c r="G8" s="216"/>
      <c r="H8" s="38"/>
      <c r="I8" s="236" t="s">
        <v>397</v>
      </c>
      <c r="J8" s="218" t="s">
        <v>398</v>
      </c>
      <c r="K8" s="46">
        <v>1</v>
      </c>
      <c r="L8" s="35"/>
      <c r="N8" s="47">
        <f>ROUND((_11_A家事０．５*_11・２人),0)</f>
        <v>105</v>
      </c>
      <c r="O8" s="48"/>
    </row>
    <row r="9" spans="1:15" ht="16.5" customHeight="1" x14ac:dyDescent="0.15">
      <c r="A9" s="41">
        <v>11</v>
      </c>
      <c r="B9" s="41">
        <v>6113</v>
      </c>
      <c r="C9" s="74" t="s">
        <v>8268</v>
      </c>
      <c r="D9" s="709"/>
      <c r="E9" s="718"/>
      <c r="F9" s="752" t="s">
        <v>400</v>
      </c>
      <c r="G9" s="221" t="s">
        <v>398</v>
      </c>
      <c r="H9" s="50">
        <v>0.9</v>
      </c>
      <c r="I9" s="44"/>
      <c r="J9" s="218"/>
      <c r="K9" s="46"/>
      <c r="L9" s="35"/>
      <c r="N9" s="47">
        <f>ROUND((_11_A家事０．５*_11・基礎２),0)</f>
        <v>95</v>
      </c>
      <c r="O9" s="48"/>
    </row>
    <row r="10" spans="1:15" ht="16.5" customHeight="1" x14ac:dyDescent="0.15">
      <c r="A10" s="41">
        <v>11</v>
      </c>
      <c r="B10" s="41">
        <v>6114</v>
      </c>
      <c r="C10" s="74" t="s">
        <v>8269</v>
      </c>
      <c r="D10" s="237">
        <f>_11_A家事０．５</f>
        <v>105</v>
      </c>
      <c r="E10" s="12" t="s">
        <v>392</v>
      </c>
      <c r="F10" s="757"/>
      <c r="G10" s="216"/>
      <c r="H10" s="38"/>
      <c r="I10" s="236" t="s">
        <v>397</v>
      </c>
      <c r="J10" s="218" t="s">
        <v>398</v>
      </c>
      <c r="K10" s="46">
        <v>1</v>
      </c>
      <c r="L10" s="43"/>
      <c r="M10" s="38"/>
      <c r="N10" s="47">
        <f>ROUND((ROUND((_11_A家事０．５*_11・基礎２),0)*_11・２人),0)</f>
        <v>95</v>
      </c>
      <c r="O10" s="48"/>
    </row>
    <row r="11" spans="1:15" ht="16.5" customHeight="1" x14ac:dyDescent="0.15">
      <c r="A11" s="41">
        <v>11</v>
      </c>
      <c r="B11" s="41" t="s">
        <v>8270</v>
      </c>
      <c r="C11" s="74" t="s">
        <v>8271</v>
      </c>
      <c r="D11" s="238"/>
      <c r="F11" s="53"/>
      <c r="G11" s="221"/>
      <c r="H11" s="50"/>
      <c r="I11" s="44"/>
      <c r="J11" s="218"/>
      <c r="K11" s="46"/>
      <c r="L11" s="707" t="s">
        <v>404</v>
      </c>
      <c r="M11" s="708"/>
      <c r="N11" s="47">
        <f>ROUND((_11_A家事０．５*_11・初任),0)</f>
        <v>74</v>
      </c>
      <c r="O11" s="48"/>
    </row>
    <row r="12" spans="1:15" ht="16.5" customHeight="1" x14ac:dyDescent="0.15">
      <c r="A12" s="41">
        <v>11</v>
      </c>
      <c r="B12" s="41" t="s">
        <v>8272</v>
      </c>
      <c r="C12" s="74" t="s">
        <v>8273</v>
      </c>
      <c r="D12" s="238"/>
      <c r="F12" s="43"/>
      <c r="G12" s="216"/>
      <c r="H12" s="38"/>
      <c r="I12" s="236" t="s">
        <v>397</v>
      </c>
      <c r="J12" s="218" t="s">
        <v>398</v>
      </c>
      <c r="K12" s="46">
        <v>1</v>
      </c>
      <c r="L12" s="709"/>
      <c r="M12" s="704"/>
      <c r="N12" s="47">
        <f>ROUND((ROUND((_11_A家事０．５*_11・２人),0)*_11・初任),0)</f>
        <v>74</v>
      </c>
      <c r="O12" s="48"/>
    </row>
    <row r="13" spans="1:15" ht="16.5" customHeight="1" x14ac:dyDescent="0.15">
      <c r="A13" s="41">
        <v>11</v>
      </c>
      <c r="B13" s="41" t="s">
        <v>8274</v>
      </c>
      <c r="C13" s="74" t="s">
        <v>8275</v>
      </c>
      <c r="D13" s="239"/>
      <c r="F13" s="752" t="s">
        <v>400</v>
      </c>
      <c r="G13" s="221" t="s">
        <v>398</v>
      </c>
      <c r="H13" s="50">
        <v>0.9</v>
      </c>
      <c r="I13" s="44"/>
      <c r="J13" s="218"/>
      <c r="K13" s="46"/>
      <c r="L13" s="709"/>
      <c r="M13" s="704"/>
      <c r="N13" s="47">
        <f>ROUND((ROUND((_11_A家事０．５*_11・基礎２),0)*_11・初任),0)</f>
        <v>67</v>
      </c>
      <c r="O13" s="48"/>
    </row>
    <row r="14" spans="1:15" ht="16.5" customHeight="1" x14ac:dyDescent="0.15">
      <c r="A14" s="41">
        <v>11</v>
      </c>
      <c r="B14" s="41" t="s">
        <v>8276</v>
      </c>
      <c r="C14" s="74" t="s">
        <v>8277</v>
      </c>
      <c r="D14" s="239"/>
      <c r="F14" s="757"/>
      <c r="G14" s="216"/>
      <c r="H14" s="38"/>
      <c r="I14" s="236" t="s">
        <v>397</v>
      </c>
      <c r="J14" s="218" t="s">
        <v>398</v>
      </c>
      <c r="K14" s="46">
        <v>1</v>
      </c>
      <c r="L14" s="240" t="s">
        <v>398</v>
      </c>
      <c r="M14" s="38">
        <f>_11・初任</f>
        <v>0.7</v>
      </c>
      <c r="N14" s="47">
        <f>ROUND((ROUND((ROUND((_11_A家事０．５*_11・基礎２),0)*_11・２人),0)*_11・初任),0)</f>
        <v>67</v>
      </c>
      <c r="O14" s="48"/>
    </row>
    <row r="15" spans="1:15" ht="16.5" customHeight="1" x14ac:dyDescent="0.15">
      <c r="A15" s="41">
        <v>11</v>
      </c>
      <c r="B15" s="41">
        <v>7651</v>
      </c>
      <c r="C15" s="74" t="s">
        <v>8278</v>
      </c>
      <c r="D15" s="770" t="s">
        <v>8279</v>
      </c>
      <c r="E15" s="771"/>
      <c r="F15" s="53"/>
      <c r="G15" s="221"/>
      <c r="H15" s="50"/>
      <c r="I15" s="44"/>
      <c r="J15" s="218"/>
      <c r="K15" s="46"/>
      <c r="L15" s="53"/>
      <c r="M15" s="50"/>
      <c r="N15" s="47">
        <f>_11_A家事０．７５</f>
        <v>152</v>
      </c>
      <c r="O15" s="48"/>
    </row>
    <row r="16" spans="1:15" ht="16.5" customHeight="1" x14ac:dyDescent="0.15">
      <c r="A16" s="41">
        <v>11</v>
      </c>
      <c r="B16" s="41">
        <v>7652</v>
      </c>
      <c r="C16" s="74" t="s">
        <v>8280</v>
      </c>
      <c r="D16" s="772"/>
      <c r="E16" s="773"/>
      <c r="F16" s="43"/>
      <c r="G16" s="216"/>
      <c r="H16" s="38"/>
      <c r="I16" s="236" t="s">
        <v>397</v>
      </c>
      <c r="J16" s="218" t="s">
        <v>398</v>
      </c>
      <c r="K16" s="46">
        <v>1</v>
      </c>
      <c r="L16" s="35"/>
      <c r="N16" s="47">
        <f>ROUND((_11_A家事０．７５*_11・２人),0)</f>
        <v>152</v>
      </c>
      <c r="O16" s="48"/>
    </row>
    <row r="17" spans="1:15" ht="16.5" customHeight="1" x14ac:dyDescent="0.15">
      <c r="A17" s="41">
        <v>11</v>
      </c>
      <c r="B17" s="41">
        <v>7653</v>
      </c>
      <c r="C17" s="74" t="s">
        <v>8281</v>
      </c>
      <c r="D17" s="772"/>
      <c r="E17" s="773"/>
      <c r="F17" s="752" t="s">
        <v>400</v>
      </c>
      <c r="G17" s="221" t="s">
        <v>398</v>
      </c>
      <c r="H17" s="50">
        <v>0.9</v>
      </c>
      <c r="I17" s="44"/>
      <c r="J17" s="218"/>
      <c r="K17" s="46"/>
      <c r="L17" s="35"/>
      <c r="N17" s="47">
        <f>ROUND((_11_A家事０．７５*_11・基礎２),0)</f>
        <v>137</v>
      </c>
      <c r="O17" s="48"/>
    </row>
    <row r="18" spans="1:15" ht="16.5" customHeight="1" x14ac:dyDescent="0.15">
      <c r="A18" s="41">
        <v>11</v>
      </c>
      <c r="B18" s="41">
        <v>7654</v>
      </c>
      <c r="C18" s="74" t="s">
        <v>8282</v>
      </c>
      <c r="D18" s="237">
        <f>_11_A家事０．７５</f>
        <v>152</v>
      </c>
      <c r="E18" s="12" t="s">
        <v>392</v>
      </c>
      <c r="F18" s="757"/>
      <c r="G18" s="216"/>
      <c r="H18" s="38"/>
      <c r="I18" s="236" t="s">
        <v>397</v>
      </c>
      <c r="J18" s="218" t="s">
        <v>398</v>
      </c>
      <c r="K18" s="46">
        <v>1</v>
      </c>
      <c r="L18" s="43"/>
      <c r="M18" s="38"/>
      <c r="N18" s="47">
        <f>ROUND((ROUND((_11_A家事０．７５*_11・基礎２),0)*_11・２人),0)</f>
        <v>137</v>
      </c>
      <c r="O18" s="48"/>
    </row>
    <row r="19" spans="1:15" ht="16.5" customHeight="1" x14ac:dyDescent="0.15">
      <c r="A19" s="41">
        <v>11</v>
      </c>
      <c r="B19" s="41" t="s">
        <v>8283</v>
      </c>
      <c r="C19" s="74" t="s">
        <v>8284</v>
      </c>
      <c r="D19" s="238"/>
      <c r="F19" s="53"/>
      <c r="G19" s="221"/>
      <c r="H19" s="50"/>
      <c r="I19" s="44"/>
      <c r="J19" s="218"/>
      <c r="K19" s="46"/>
      <c r="L19" s="707" t="s">
        <v>404</v>
      </c>
      <c r="M19" s="708"/>
      <c r="N19" s="47">
        <f>ROUND((_11_A家事０．７５*_11・初任),0)</f>
        <v>106</v>
      </c>
      <c r="O19" s="48"/>
    </row>
    <row r="20" spans="1:15" ht="16.5" customHeight="1" x14ac:dyDescent="0.15">
      <c r="A20" s="41">
        <v>11</v>
      </c>
      <c r="B20" s="41" t="s">
        <v>8285</v>
      </c>
      <c r="C20" s="74" t="s">
        <v>8286</v>
      </c>
      <c r="D20" s="238"/>
      <c r="F20" s="43"/>
      <c r="G20" s="216"/>
      <c r="H20" s="38"/>
      <c r="I20" s="236" t="s">
        <v>397</v>
      </c>
      <c r="J20" s="218" t="s">
        <v>398</v>
      </c>
      <c r="K20" s="46">
        <v>1</v>
      </c>
      <c r="L20" s="709"/>
      <c r="M20" s="704"/>
      <c r="N20" s="47">
        <f>ROUND((ROUND((_11_A家事０．７５*_11・２人),0)*_11・初任),0)</f>
        <v>106</v>
      </c>
      <c r="O20" s="48"/>
    </row>
    <row r="21" spans="1:15" ht="16.5" customHeight="1" x14ac:dyDescent="0.15">
      <c r="A21" s="41">
        <v>11</v>
      </c>
      <c r="B21" s="41" t="s">
        <v>8287</v>
      </c>
      <c r="C21" s="74" t="s">
        <v>8288</v>
      </c>
      <c r="D21" s="239"/>
      <c r="F21" s="752" t="s">
        <v>400</v>
      </c>
      <c r="G21" s="221" t="s">
        <v>398</v>
      </c>
      <c r="H21" s="50">
        <v>0.9</v>
      </c>
      <c r="I21" s="44"/>
      <c r="J21" s="218"/>
      <c r="K21" s="46"/>
      <c r="L21" s="709"/>
      <c r="M21" s="704"/>
      <c r="N21" s="47">
        <f>ROUND((ROUND((_11_A家事０．７５*_11・基礎２),0)*_11・初任),0)</f>
        <v>96</v>
      </c>
      <c r="O21" s="48"/>
    </row>
    <row r="22" spans="1:15" ht="16.5" customHeight="1" x14ac:dyDescent="0.15">
      <c r="A22" s="41">
        <v>11</v>
      </c>
      <c r="B22" s="41" t="s">
        <v>8289</v>
      </c>
      <c r="C22" s="74" t="s">
        <v>8290</v>
      </c>
      <c r="D22" s="239"/>
      <c r="F22" s="757"/>
      <c r="G22" s="216"/>
      <c r="H22" s="38"/>
      <c r="I22" s="236" t="s">
        <v>397</v>
      </c>
      <c r="J22" s="218" t="s">
        <v>398</v>
      </c>
      <c r="K22" s="46">
        <v>1</v>
      </c>
      <c r="L22" s="240" t="s">
        <v>398</v>
      </c>
      <c r="M22" s="38">
        <f>_11・初任</f>
        <v>0.7</v>
      </c>
      <c r="N22" s="47">
        <f>ROUND((ROUND((ROUND((_11_A家事０．７５*_11・基礎２),0)*_11・２人),0)*_11・初任),0)</f>
        <v>96</v>
      </c>
      <c r="O22" s="48"/>
    </row>
    <row r="23" spans="1:15" ht="16.5" customHeight="1" x14ac:dyDescent="0.15">
      <c r="A23" s="41">
        <v>11</v>
      </c>
      <c r="B23" s="41">
        <v>6115</v>
      </c>
      <c r="C23" s="74" t="s">
        <v>8291</v>
      </c>
      <c r="D23" s="770" t="s">
        <v>8292</v>
      </c>
      <c r="E23" s="771"/>
      <c r="F23" s="53"/>
      <c r="G23" s="221"/>
      <c r="H23" s="50"/>
      <c r="I23" s="44"/>
      <c r="J23" s="218"/>
      <c r="K23" s="46"/>
      <c r="L23" s="53"/>
      <c r="M23" s="50"/>
      <c r="N23" s="47">
        <f>_11_A家事１．０</f>
        <v>196</v>
      </c>
      <c r="O23" s="48"/>
    </row>
    <row r="24" spans="1:15" ht="16.5" customHeight="1" x14ac:dyDescent="0.15">
      <c r="A24" s="41">
        <v>11</v>
      </c>
      <c r="B24" s="41">
        <v>6116</v>
      </c>
      <c r="C24" s="74" t="s">
        <v>8293</v>
      </c>
      <c r="D24" s="772"/>
      <c r="E24" s="773"/>
      <c r="F24" s="43"/>
      <c r="G24" s="216"/>
      <c r="H24" s="38"/>
      <c r="I24" s="236" t="s">
        <v>397</v>
      </c>
      <c r="J24" s="218" t="s">
        <v>398</v>
      </c>
      <c r="K24" s="46">
        <v>1</v>
      </c>
      <c r="L24" s="35"/>
      <c r="N24" s="47">
        <f>ROUND((_11_A家事１．０*_11・２人),0)</f>
        <v>196</v>
      </c>
      <c r="O24" s="48"/>
    </row>
    <row r="25" spans="1:15" ht="16.5" customHeight="1" x14ac:dyDescent="0.15">
      <c r="A25" s="41">
        <v>11</v>
      </c>
      <c r="B25" s="41">
        <v>6117</v>
      </c>
      <c r="C25" s="74" t="s">
        <v>8294</v>
      </c>
      <c r="D25" s="772"/>
      <c r="E25" s="773"/>
      <c r="F25" s="752" t="s">
        <v>400</v>
      </c>
      <c r="G25" s="221" t="s">
        <v>398</v>
      </c>
      <c r="H25" s="50">
        <v>0.9</v>
      </c>
      <c r="I25" s="44"/>
      <c r="J25" s="218"/>
      <c r="K25" s="46"/>
      <c r="L25" s="35"/>
      <c r="N25" s="47">
        <f>ROUND((_11_A家事１．０*_11・基礎２),0)</f>
        <v>176</v>
      </c>
      <c r="O25" s="48"/>
    </row>
    <row r="26" spans="1:15" ht="16.5" customHeight="1" x14ac:dyDescent="0.15">
      <c r="A26" s="41">
        <v>11</v>
      </c>
      <c r="B26" s="41">
        <v>6118</v>
      </c>
      <c r="C26" s="74" t="s">
        <v>8295</v>
      </c>
      <c r="D26" s="237">
        <f>_11_A家事１．０</f>
        <v>196</v>
      </c>
      <c r="E26" s="12" t="s">
        <v>392</v>
      </c>
      <c r="F26" s="757"/>
      <c r="G26" s="216"/>
      <c r="H26" s="38"/>
      <c r="I26" s="236" t="s">
        <v>397</v>
      </c>
      <c r="J26" s="218" t="s">
        <v>398</v>
      </c>
      <c r="K26" s="46">
        <v>1</v>
      </c>
      <c r="L26" s="43"/>
      <c r="M26" s="38"/>
      <c r="N26" s="47">
        <f>ROUND((ROUND((_11_A家事１．０*_11・基礎２),0)*_11・２人),0)</f>
        <v>176</v>
      </c>
      <c r="O26" s="48"/>
    </row>
    <row r="27" spans="1:15" ht="16.5" customHeight="1" x14ac:dyDescent="0.15">
      <c r="A27" s="41">
        <v>11</v>
      </c>
      <c r="B27" s="41" t="s">
        <v>8296</v>
      </c>
      <c r="C27" s="74" t="s">
        <v>8297</v>
      </c>
      <c r="D27" s="238"/>
      <c r="F27" s="53"/>
      <c r="G27" s="221"/>
      <c r="H27" s="50"/>
      <c r="I27" s="44"/>
      <c r="J27" s="218"/>
      <c r="K27" s="46"/>
      <c r="L27" s="707" t="s">
        <v>404</v>
      </c>
      <c r="M27" s="708"/>
      <c r="N27" s="47">
        <f>ROUND((_11_A家事１．０*_11・初任),0)</f>
        <v>137</v>
      </c>
      <c r="O27" s="48"/>
    </row>
    <row r="28" spans="1:15" ht="16.5" customHeight="1" x14ac:dyDescent="0.15">
      <c r="A28" s="41">
        <v>11</v>
      </c>
      <c r="B28" s="41" t="s">
        <v>8298</v>
      </c>
      <c r="C28" s="74" t="s">
        <v>8299</v>
      </c>
      <c r="D28" s="238"/>
      <c r="F28" s="43"/>
      <c r="G28" s="216"/>
      <c r="H28" s="38"/>
      <c r="I28" s="236" t="s">
        <v>397</v>
      </c>
      <c r="J28" s="218" t="s">
        <v>398</v>
      </c>
      <c r="K28" s="46">
        <v>1</v>
      </c>
      <c r="L28" s="709"/>
      <c r="M28" s="704"/>
      <c r="N28" s="47">
        <f>ROUND((ROUND((_11_A家事１．０*_11・２人),0)*_11・初任),0)</f>
        <v>137</v>
      </c>
      <c r="O28" s="48"/>
    </row>
    <row r="29" spans="1:15" ht="16.5" customHeight="1" x14ac:dyDescent="0.15">
      <c r="A29" s="41">
        <v>11</v>
      </c>
      <c r="B29" s="41" t="s">
        <v>8300</v>
      </c>
      <c r="C29" s="74" t="s">
        <v>8301</v>
      </c>
      <c r="D29" s="239"/>
      <c r="F29" s="752" t="s">
        <v>400</v>
      </c>
      <c r="G29" s="221" t="s">
        <v>398</v>
      </c>
      <c r="H29" s="50">
        <v>0.9</v>
      </c>
      <c r="I29" s="44"/>
      <c r="J29" s="218"/>
      <c r="K29" s="46"/>
      <c r="L29" s="709"/>
      <c r="M29" s="704"/>
      <c r="N29" s="47">
        <f>ROUND((ROUND((_11_A家事１．０*_11・基礎２),0)*_11・初任),0)</f>
        <v>123</v>
      </c>
      <c r="O29" s="48"/>
    </row>
    <row r="30" spans="1:15" ht="16.5" customHeight="1" x14ac:dyDescent="0.15">
      <c r="A30" s="41">
        <v>11</v>
      </c>
      <c r="B30" s="41" t="s">
        <v>8302</v>
      </c>
      <c r="C30" s="74" t="s">
        <v>8303</v>
      </c>
      <c r="D30" s="239"/>
      <c r="F30" s="757"/>
      <c r="G30" s="216"/>
      <c r="H30" s="38"/>
      <c r="I30" s="236" t="s">
        <v>397</v>
      </c>
      <c r="J30" s="218" t="s">
        <v>398</v>
      </c>
      <c r="K30" s="46">
        <v>1</v>
      </c>
      <c r="L30" s="240" t="s">
        <v>398</v>
      </c>
      <c r="M30" s="38">
        <f>_11・初任</f>
        <v>0.7</v>
      </c>
      <c r="N30" s="47">
        <f>ROUND((ROUND((ROUND((_11_A家事１．０*_11・基礎２),0)*_11・２人),0)*_11・初任),0)</f>
        <v>123</v>
      </c>
      <c r="O30" s="48"/>
    </row>
    <row r="31" spans="1:15" ht="16.5" customHeight="1" x14ac:dyDescent="0.15">
      <c r="A31" s="41">
        <v>11</v>
      </c>
      <c r="B31" s="41">
        <v>7655</v>
      </c>
      <c r="C31" s="74" t="s">
        <v>8304</v>
      </c>
      <c r="D31" s="770" t="s">
        <v>8305</v>
      </c>
      <c r="E31" s="771"/>
      <c r="F31" s="53"/>
      <c r="G31" s="221"/>
      <c r="H31" s="50"/>
      <c r="I31" s="44"/>
      <c r="J31" s="218"/>
      <c r="K31" s="46"/>
      <c r="L31" s="53"/>
      <c r="M31" s="50"/>
      <c r="N31" s="47">
        <f>_11_A家事１．２５</f>
        <v>238</v>
      </c>
      <c r="O31" s="48"/>
    </row>
    <row r="32" spans="1:15" ht="16.5" customHeight="1" x14ac:dyDescent="0.15">
      <c r="A32" s="41">
        <v>11</v>
      </c>
      <c r="B32" s="41">
        <v>7656</v>
      </c>
      <c r="C32" s="74" t="s">
        <v>8306</v>
      </c>
      <c r="D32" s="772"/>
      <c r="E32" s="773"/>
      <c r="F32" s="43"/>
      <c r="G32" s="216"/>
      <c r="H32" s="38"/>
      <c r="I32" s="236" t="s">
        <v>397</v>
      </c>
      <c r="J32" s="218" t="s">
        <v>398</v>
      </c>
      <c r="K32" s="46">
        <v>1</v>
      </c>
      <c r="L32" s="35"/>
      <c r="N32" s="47">
        <f>ROUND((_11_A家事１．２５*_11・２人),0)</f>
        <v>238</v>
      </c>
      <c r="O32" s="48"/>
    </row>
    <row r="33" spans="1:15" ht="16.5" customHeight="1" x14ac:dyDescent="0.15">
      <c r="A33" s="41">
        <v>11</v>
      </c>
      <c r="B33" s="41">
        <v>7657</v>
      </c>
      <c r="C33" s="74" t="s">
        <v>8307</v>
      </c>
      <c r="D33" s="772"/>
      <c r="E33" s="773"/>
      <c r="F33" s="752" t="s">
        <v>400</v>
      </c>
      <c r="G33" s="221" t="s">
        <v>398</v>
      </c>
      <c r="H33" s="50">
        <v>0.9</v>
      </c>
      <c r="I33" s="44"/>
      <c r="J33" s="218"/>
      <c r="K33" s="46"/>
      <c r="L33" s="35"/>
      <c r="N33" s="47">
        <f>ROUND((_11_A家事１．２５*_11・基礎２),0)</f>
        <v>214</v>
      </c>
      <c r="O33" s="48"/>
    </row>
    <row r="34" spans="1:15" ht="16.5" customHeight="1" x14ac:dyDescent="0.15">
      <c r="A34" s="41">
        <v>11</v>
      </c>
      <c r="B34" s="41">
        <v>7658</v>
      </c>
      <c r="C34" s="74" t="s">
        <v>8308</v>
      </c>
      <c r="D34" s="237">
        <f>_11_A家事１．２５</f>
        <v>238</v>
      </c>
      <c r="E34" s="12" t="s">
        <v>392</v>
      </c>
      <c r="F34" s="757"/>
      <c r="G34" s="216"/>
      <c r="H34" s="38"/>
      <c r="I34" s="236" t="s">
        <v>397</v>
      </c>
      <c r="J34" s="218" t="s">
        <v>398</v>
      </c>
      <c r="K34" s="46">
        <v>1</v>
      </c>
      <c r="L34" s="43"/>
      <c r="M34" s="38"/>
      <c r="N34" s="47">
        <f>ROUND((ROUND((_11_A家事１．２５*_11・基礎２),0)*_11・２人),0)</f>
        <v>214</v>
      </c>
      <c r="O34" s="48"/>
    </row>
    <row r="35" spans="1:15" ht="16.5" customHeight="1" x14ac:dyDescent="0.15">
      <c r="A35" s="41">
        <v>11</v>
      </c>
      <c r="B35" s="41" t="s">
        <v>8309</v>
      </c>
      <c r="C35" s="74" t="s">
        <v>8310</v>
      </c>
      <c r="D35" s="238"/>
      <c r="F35" s="53"/>
      <c r="G35" s="221"/>
      <c r="H35" s="50"/>
      <c r="I35" s="44"/>
      <c r="J35" s="218"/>
      <c r="K35" s="46"/>
      <c r="L35" s="707" t="s">
        <v>404</v>
      </c>
      <c r="M35" s="708"/>
      <c r="N35" s="47">
        <f>ROUND((_11_A家事１．２５*_11・初任),0)</f>
        <v>167</v>
      </c>
      <c r="O35" s="48"/>
    </row>
    <row r="36" spans="1:15" ht="16.5" customHeight="1" x14ac:dyDescent="0.15">
      <c r="A36" s="41">
        <v>11</v>
      </c>
      <c r="B36" s="41" t="s">
        <v>8311</v>
      </c>
      <c r="C36" s="74" t="s">
        <v>8312</v>
      </c>
      <c r="D36" s="238"/>
      <c r="F36" s="43"/>
      <c r="G36" s="216"/>
      <c r="H36" s="38"/>
      <c r="I36" s="236" t="s">
        <v>397</v>
      </c>
      <c r="J36" s="218" t="s">
        <v>398</v>
      </c>
      <c r="K36" s="46">
        <v>1</v>
      </c>
      <c r="L36" s="709"/>
      <c r="M36" s="704"/>
      <c r="N36" s="47">
        <f>ROUND((ROUND((_11_A家事１．２５*_11・２人),0)*_11・初任),0)</f>
        <v>167</v>
      </c>
      <c r="O36" s="48"/>
    </row>
    <row r="37" spans="1:15" ht="16.5" customHeight="1" x14ac:dyDescent="0.15">
      <c r="A37" s="41">
        <v>11</v>
      </c>
      <c r="B37" s="41" t="s">
        <v>8313</v>
      </c>
      <c r="C37" s="74" t="s">
        <v>8314</v>
      </c>
      <c r="D37" s="239"/>
      <c r="F37" s="752" t="s">
        <v>400</v>
      </c>
      <c r="G37" s="221" t="s">
        <v>398</v>
      </c>
      <c r="H37" s="50">
        <v>0.9</v>
      </c>
      <c r="I37" s="44"/>
      <c r="J37" s="218"/>
      <c r="K37" s="46"/>
      <c r="L37" s="709"/>
      <c r="M37" s="704"/>
      <c r="N37" s="47">
        <f>ROUND((ROUND((_11_A家事１．２５*_11・基礎２),0)*_11・初任),0)</f>
        <v>150</v>
      </c>
      <c r="O37" s="48"/>
    </row>
    <row r="38" spans="1:15" ht="16.5" customHeight="1" x14ac:dyDescent="0.15">
      <c r="A38" s="41">
        <v>11</v>
      </c>
      <c r="B38" s="41" t="s">
        <v>8315</v>
      </c>
      <c r="C38" s="74" t="s">
        <v>8316</v>
      </c>
      <c r="D38" s="239"/>
      <c r="F38" s="757"/>
      <c r="G38" s="216"/>
      <c r="H38" s="38"/>
      <c r="I38" s="236" t="s">
        <v>397</v>
      </c>
      <c r="J38" s="218" t="s">
        <v>398</v>
      </c>
      <c r="K38" s="46">
        <v>1</v>
      </c>
      <c r="L38" s="240" t="s">
        <v>398</v>
      </c>
      <c r="M38" s="38">
        <f>_11・初任</f>
        <v>0.7</v>
      </c>
      <c r="N38" s="47">
        <f>ROUND((ROUND((ROUND((_11_A家事１．２５*_11・基礎２),0)*_11・２人),0)*_11・初任),0)</f>
        <v>150</v>
      </c>
      <c r="O38" s="48"/>
    </row>
    <row r="39" spans="1:15" ht="16.5" customHeight="1" x14ac:dyDescent="0.15">
      <c r="A39" s="41">
        <v>11</v>
      </c>
      <c r="B39" s="41">
        <v>6119</v>
      </c>
      <c r="C39" s="74" t="s">
        <v>8317</v>
      </c>
      <c r="D39" s="770" t="s">
        <v>8318</v>
      </c>
      <c r="E39" s="771"/>
      <c r="F39" s="53"/>
      <c r="G39" s="221"/>
      <c r="H39" s="50"/>
      <c r="I39" s="44"/>
      <c r="J39" s="218"/>
      <c r="K39" s="46"/>
      <c r="L39" s="53"/>
      <c r="M39" s="50"/>
      <c r="N39" s="47">
        <f>_11_A家事１．５</f>
        <v>274</v>
      </c>
      <c r="O39" s="48"/>
    </row>
    <row r="40" spans="1:15" ht="16.5" customHeight="1" x14ac:dyDescent="0.15">
      <c r="A40" s="41">
        <v>11</v>
      </c>
      <c r="B40" s="41">
        <v>6120</v>
      </c>
      <c r="C40" s="74" t="s">
        <v>8319</v>
      </c>
      <c r="D40" s="772"/>
      <c r="E40" s="773"/>
      <c r="F40" s="43"/>
      <c r="G40" s="216"/>
      <c r="H40" s="38"/>
      <c r="I40" s="236" t="s">
        <v>397</v>
      </c>
      <c r="J40" s="218" t="s">
        <v>398</v>
      </c>
      <c r="K40" s="46">
        <v>1</v>
      </c>
      <c r="L40" s="35"/>
      <c r="N40" s="47">
        <f>ROUND((_11_A家事１．５*_11・２人),0)</f>
        <v>274</v>
      </c>
      <c r="O40" s="48"/>
    </row>
    <row r="41" spans="1:15" ht="16.5" customHeight="1" x14ac:dyDescent="0.15">
      <c r="A41" s="41">
        <v>11</v>
      </c>
      <c r="B41" s="41">
        <v>6121</v>
      </c>
      <c r="C41" s="74" t="s">
        <v>8320</v>
      </c>
      <c r="D41" s="772"/>
      <c r="E41" s="773"/>
      <c r="F41" s="752" t="s">
        <v>400</v>
      </c>
      <c r="G41" s="221" t="s">
        <v>398</v>
      </c>
      <c r="H41" s="50">
        <v>0.9</v>
      </c>
      <c r="I41" s="44"/>
      <c r="J41" s="218"/>
      <c r="K41" s="46"/>
      <c r="L41" s="35"/>
      <c r="N41" s="47">
        <f>ROUND((_11_A家事１．５*_11・基礎２),0)</f>
        <v>247</v>
      </c>
      <c r="O41" s="48"/>
    </row>
    <row r="42" spans="1:15" ht="16.5" customHeight="1" x14ac:dyDescent="0.15">
      <c r="A42" s="41">
        <v>11</v>
      </c>
      <c r="B42" s="41">
        <v>6122</v>
      </c>
      <c r="C42" s="74" t="s">
        <v>8321</v>
      </c>
      <c r="D42" s="237">
        <f>_11_A家事１．５</f>
        <v>274</v>
      </c>
      <c r="E42" s="12" t="s">
        <v>392</v>
      </c>
      <c r="F42" s="757"/>
      <c r="G42" s="216"/>
      <c r="H42" s="38"/>
      <c r="I42" s="236" t="s">
        <v>397</v>
      </c>
      <c r="J42" s="218" t="s">
        <v>398</v>
      </c>
      <c r="K42" s="46">
        <v>1</v>
      </c>
      <c r="L42" s="43"/>
      <c r="M42" s="38"/>
      <c r="N42" s="47">
        <f>ROUND((ROUND((_11_A家事１．５*_11・基礎２),0)*_11・２人),0)</f>
        <v>247</v>
      </c>
      <c r="O42" s="48"/>
    </row>
    <row r="43" spans="1:15" ht="16.5" customHeight="1" x14ac:dyDescent="0.15">
      <c r="A43" s="41">
        <v>11</v>
      </c>
      <c r="B43" s="41" t="s">
        <v>8322</v>
      </c>
      <c r="C43" s="74" t="s">
        <v>8323</v>
      </c>
      <c r="D43" s="238"/>
      <c r="F43" s="53"/>
      <c r="G43" s="221"/>
      <c r="H43" s="50"/>
      <c r="I43" s="44"/>
      <c r="J43" s="218"/>
      <c r="K43" s="46"/>
      <c r="L43" s="707" t="s">
        <v>404</v>
      </c>
      <c r="M43" s="708"/>
      <c r="N43" s="47">
        <f>ROUND((_11_A家事１．５*_11・初任),0)</f>
        <v>192</v>
      </c>
      <c r="O43" s="48"/>
    </row>
    <row r="44" spans="1:15" ht="16.5" customHeight="1" x14ac:dyDescent="0.15">
      <c r="A44" s="41">
        <v>11</v>
      </c>
      <c r="B44" s="41" t="s">
        <v>8324</v>
      </c>
      <c r="C44" s="74" t="s">
        <v>8325</v>
      </c>
      <c r="D44" s="238"/>
      <c r="F44" s="43"/>
      <c r="G44" s="216"/>
      <c r="H44" s="38"/>
      <c r="I44" s="236" t="s">
        <v>397</v>
      </c>
      <c r="J44" s="218" t="s">
        <v>398</v>
      </c>
      <c r="K44" s="46">
        <v>1</v>
      </c>
      <c r="L44" s="709"/>
      <c r="M44" s="704"/>
      <c r="N44" s="47">
        <f>ROUND((ROUND((_11_A家事１．５*_11・２人),0)*_11・初任),0)</f>
        <v>192</v>
      </c>
      <c r="O44" s="48"/>
    </row>
    <row r="45" spans="1:15" ht="16.5" customHeight="1" x14ac:dyDescent="0.15">
      <c r="A45" s="41">
        <v>11</v>
      </c>
      <c r="B45" s="41" t="s">
        <v>8326</v>
      </c>
      <c r="C45" s="74" t="s">
        <v>8327</v>
      </c>
      <c r="D45" s="239"/>
      <c r="F45" s="752" t="s">
        <v>400</v>
      </c>
      <c r="G45" s="221" t="s">
        <v>398</v>
      </c>
      <c r="H45" s="50">
        <v>0.9</v>
      </c>
      <c r="I45" s="44"/>
      <c r="J45" s="218"/>
      <c r="K45" s="46"/>
      <c r="L45" s="709"/>
      <c r="M45" s="704"/>
      <c r="N45" s="47">
        <f>ROUND((ROUND((_11_A家事１．５*_11・基礎２),0)*_11・初任),0)</f>
        <v>173</v>
      </c>
      <c r="O45" s="48"/>
    </row>
    <row r="46" spans="1:15" ht="16.5" customHeight="1" x14ac:dyDescent="0.15">
      <c r="A46" s="41">
        <v>11</v>
      </c>
      <c r="B46" s="41" t="s">
        <v>8328</v>
      </c>
      <c r="C46" s="74" t="s">
        <v>8329</v>
      </c>
      <c r="D46" s="239"/>
      <c r="F46" s="757"/>
      <c r="G46" s="216"/>
      <c r="H46" s="38"/>
      <c r="I46" s="236" t="s">
        <v>397</v>
      </c>
      <c r="J46" s="218" t="s">
        <v>398</v>
      </c>
      <c r="K46" s="46">
        <v>1</v>
      </c>
      <c r="L46" s="240" t="s">
        <v>398</v>
      </c>
      <c r="M46" s="38">
        <f>_11・初任</f>
        <v>0.7</v>
      </c>
      <c r="N46" s="47">
        <f>ROUND((ROUND((ROUND((_11_A家事１．５*_11・基礎２),0)*_11・２人),0)*_11・初任),0)</f>
        <v>173</v>
      </c>
      <c r="O46" s="48"/>
    </row>
    <row r="47" spans="1:15" ht="16.5" customHeight="1" x14ac:dyDescent="0.15">
      <c r="A47" s="41">
        <v>11</v>
      </c>
      <c r="B47" s="41">
        <v>7659</v>
      </c>
      <c r="C47" s="74" t="s">
        <v>8330</v>
      </c>
      <c r="D47" s="770" t="s">
        <v>8331</v>
      </c>
      <c r="E47" s="771"/>
      <c r="F47" s="53"/>
      <c r="G47" s="221"/>
      <c r="H47" s="50"/>
      <c r="I47" s="44"/>
      <c r="J47" s="218"/>
      <c r="K47" s="46"/>
      <c r="L47" s="53"/>
      <c r="M47" s="50"/>
      <c r="N47" s="47">
        <f>_11_A家事１．７５</f>
        <v>309</v>
      </c>
      <c r="O47" s="48"/>
    </row>
    <row r="48" spans="1:15" ht="16.5" customHeight="1" x14ac:dyDescent="0.15">
      <c r="A48" s="41">
        <v>11</v>
      </c>
      <c r="B48" s="41">
        <v>7660</v>
      </c>
      <c r="C48" s="74" t="s">
        <v>8332</v>
      </c>
      <c r="D48" s="772"/>
      <c r="E48" s="773"/>
      <c r="F48" s="43"/>
      <c r="G48" s="216"/>
      <c r="H48" s="38"/>
      <c r="I48" s="236" t="s">
        <v>397</v>
      </c>
      <c r="J48" s="218" t="s">
        <v>398</v>
      </c>
      <c r="K48" s="46">
        <v>1</v>
      </c>
      <c r="L48" s="35"/>
      <c r="N48" s="47">
        <f>ROUND((_11_A家事１．７５*_11・２人),0)</f>
        <v>309</v>
      </c>
      <c r="O48" s="48"/>
    </row>
    <row r="49" spans="1:15" ht="16.5" customHeight="1" x14ac:dyDescent="0.15">
      <c r="A49" s="41">
        <v>11</v>
      </c>
      <c r="B49" s="41">
        <v>7661</v>
      </c>
      <c r="C49" s="74" t="s">
        <v>8333</v>
      </c>
      <c r="D49" s="772"/>
      <c r="E49" s="773"/>
      <c r="F49" s="752" t="s">
        <v>400</v>
      </c>
      <c r="G49" s="221" t="s">
        <v>398</v>
      </c>
      <c r="H49" s="50">
        <v>0.9</v>
      </c>
      <c r="I49" s="44"/>
      <c r="J49" s="218"/>
      <c r="K49" s="46"/>
      <c r="L49" s="35"/>
      <c r="N49" s="47">
        <f>ROUND((_11_A家事１．７５*_11・基礎２),0)</f>
        <v>278</v>
      </c>
      <c r="O49" s="48"/>
    </row>
    <row r="50" spans="1:15" ht="16.5" customHeight="1" x14ac:dyDescent="0.15">
      <c r="A50" s="41">
        <v>11</v>
      </c>
      <c r="B50" s="41">
        <v>7662</v>
      </c>
      <c r="C50" s="74" t="s">
        <v>8334</v>
      </c>
      <c r="D50" s="237">
        <f>_11_A家事１．７５</f>
        <v>309</v>
      </c>
      <c r="E50" s="12" t="s">
        <v>392</v>
      </c>
      <c r="F50" s="757"/>
      <c r="G50" s="216"/>
      <c r="H50" s="38"/>
      <c r="I50" s="236" t="s">
        <v>397</v>
      </c>
      <c r="J50" s="218" t="s">
        <v>398</v>
      </c>
      <c r="K50" s="46">
        <v>1</v>
      </c>
      <c r="L50" s="43"/>
      <c r="M50" s="38"/>
      <c r="N50" s="47">
        <f>ROUND((ROUND((_11_A家事１．７５*_11・基礎２),0)*_11・２人),0)</f>
        <v>278</v>
      </c>
      <c r="O50" s="48"/>
    </row>
    <row r="51" spans="1:15" ht="16.5" customHeight="1" x14ac:dyDescent="0.15">
      <c r="A51" s="41">
        <v>11</v>
      </c>
      <c r="B51" s="41" t="s">
        <v>8335</v>
      </c>
      <c r="C51" s="74" t="s">
        <v>8336</v>
      </c>
      <c r="D51" s="238"/>
      <c r="F51" s="53"/>
      <c r="G51" s="221"/>
      <c r="H51" s="50"/>
      <c r="I51" s="44"/>
      <c r="J51" s="218"/>
      <c r="K51" s="46"/>
      <c r="L51" s="707" t="s">
        <v>404</v>
      </c>
      <c r="M51" s="708"/>
      <c r="N51" s="47">
        <f>ROUND((_11_A家事１．７５*_11・初任),0)</f>
        <v>216</v>
      </c>
      <c r="O51" s="48"/>
    </row>
    <row r="52" spans="1:15" ht="16.5" customHeight="1" x14ac:dyDescent="0.15">
      <c r="A52" s="41">
        <v>11</v>
      </c>
      <c r="B52" s="41" t="s">
        <v>8337</v>
      </c>
      <c r="C52" s="74" t="s">
        <v>8338</v>
      </c>
      <c r="D52" s="238"/>
      <c r="F52" s="43"/>
      <c r="G52" s="216"/>
      <c r="H52" s="38"/>
      <c r="I52" s="236" t="s">
        <v>397</v>
      </c>
      <c r="J52" s="218" t="s">
        <v>398</v>
      </c>
      <c r="K52" s="46">
        <v>1</v>
      </c>
      <c r="L52" s="709"/>
      <c r="M52" s="704"/>
      <c r="N52" s="47">
        <f>ROUND((ROUND((_11_A家事１．７５*_11・２人),0)*_11・初任),0)</f>
        <v>216</v>
      </c>
      <c r="O52" s="48"/>
    </row>
    <row r="53" spans="1:15" ht="16.5" customHeight="1" x14ac:dyDescent="0.15">
      <c r="A53" s="41">
        <v>11</v>
      </c>
      <c r="B53" s="41" t="s">
        <v>8339</v>
      </c>
      <c r="C53" s="74" t="s">
        <v>8340</v>
      </c>
      <c r="D53" s="239"/>
      <c r="F53" s="752" t="s">
        <v>400</v>
      </c>
      <c r="G53" s="221" t="s">
        <v>398</v>
      </c>
      <c r="H53" s="50">
        <v>0.9</v>
      </c>
      <c r="I53" s="44"/>
      <c r="J53" s="218"/>
      <c r="K53" s="46"/>
      <c r="L53" s="709"/>
      <c r="M53" s="704"/>
      <c r="N53" s="47">
        <f>ROUND((ROUND((_11_A家事１．７５*_11・基礎２),0)*_11・初任),0)</f>
        <v>195</v>
      </c>
      <c r="O53" s="48"/>
    </row>
    <row r="54" spans="1:15" ht="16.5" customHeight="1" x14ac:dyDescent="0.15">
      <c r="A54" s="41">
        <v>11</v>
      </c>
      <c r="B54" s="41" t="s">
        <v>8341</v>
      </c>
      <c r="C54" s="74" t="s">
        <v>8342</v>
      </c>
      <c r="D54" s="239"/>
      <c r="F54" s="757"/>
      <c r="G54" s="216"/>
      <c r="H54" s="38"/>
      <c r="I54" s="236" t="s">
        <v>397</v>
      </c>
      <c r="J54" s="218" t="s">
        <v>398</v>
      </c>
      <c r="K54" s="46">
        <v>1</v>
      </c>
      <c r="L54" s="240" t="s">
        <v>398</v>
      </c>
      <c r="M54" s="38">
        <f>_11・初任</f>
        <v>0.7</v>
      </c>
      <c r="N54" s="47">
        <f>ROUND((ROUND((ROUND((_11_A家事１．７５*_11・基礎２),0)*_11・２人),0)*_11・初任),0)</f>
        <v>195</v>
      </c>
      <c r="O54" s="48"/>
    </row>
    <row r="55" spans="1:15" ht="16.5" customHeight="1" x14ac:dyDescent="0.15">
      <c r="A55" s="41">
        <v>11</v>
      </c>
      <c r="B55" s="41">
        <v>6123</v>
      </c>
      <c r="C55" s="74" t="s">
        <v>8343</v>
      </c>
      <c r="D55" s="770" t="s">
        <v>8344</v>
      </c>
      <c r="E55" s="771"/>
      <c r="F55" s="53"/>
      <c r="G55" s="221"/>
      <c r="H55" s="50"/>
      <c r="I55" s="44"/>
      <c r="J55" s="218"/>
      <c r="K55" s="46"/>
      <c r="L55" s="53"/>
      <c r="M55" s="50"/>
      <c r="N55" s="47">
        <f>_11_A家事２．０</f>
        <v>344</v>
      </c>
      <c r="O55" s="48"/>
    </row>
    <row r="56" spans="1:15" ht="16.5" customHeight="1" x14ac:dyDescent="0.15">
      <c r="A56" s="41">
        <v>11</v>
      </c>
      <c r="B56" s="41">
        <v>6124</v>
      </c>
      <c r="C56" s="74" t="s">
        <v>8345</v>
      </c>
      <c r="D56" s="772"/>
      <c r="E56" s="773"/>
      <c r="F56" s="43"/>
      <c r="G56" s="216"/>
      <c r="H56" s="38"/>
      <c r="I56" s="236" t="s">
        <v>397</v>
      </c>
      <c r="J56" s="218" t="s">
        <v>398</v>
      </c>
      <c r="K56" s="46">
        <v>1</v>
      </c>
      <c r="L56" s="35"/>
      <c r="N56" s="47">
        <f>ROUND((_11_A家事２．０*_11・２人),0)</f>
        <v>344</v>
      </c>
      <c r="O56" s="48"/>
    </row>
    <row r="57" spans="1:15" ht="16.5" customHeight="1" x14ac:dyDescent="0.15">
      <c r="A57" s="41">
        <v>11</v>
      </c>
      <c r="B57" s="41">
        <v>6125</v>
      </c>
      <c r="C57" s="74" t="s">
        <v>8346</v>
      </c>
      <c r="D57" s="772"/>
      <c r="E57" s="773"/>
      <c r="F57" s="752" t="s">
        <v>400</v>
      </c>
      <c r="G57" s="221" t="s">
        <v>398</v>
      </c>
      <c r="H57" s="50">
        <v>0.9</v>
      </c>
      <c r="I57" s="44"/>
      <c r="J57" s="218"/>
      <c r="K57" s="46"/>
      <c r="L57" s="35"/>
      <c r="N57" s="47">
        <f>ROUND((_11_A家事２．０*_11・基礎２),0)</f>
        <v>310</v>
      </c>
      <c r="O57" s="48"/>
    </row>
    <row r="58" spans="1:15" ht="16.5" customHeight="1" x14ac:dyDescent="0.15">
      <c r="A58" s="41">
        <v>11</v>
      </c>
      <c r="B58" s="41">
        <v>6126</v>
      </c>
      <c r="C58" s="74" t="s">
        <v>8347</v>
      </c>
      <c r="D58" s="237">
        <f>_11_A家事２．０</f>
        <v>344</v>
      </c>
      <c r="E58" s="12" t="s">
        <v>392</v>
      </c>
      <c r="F58" s="757"/>
      <c r="G58" s="216"/>
      <c r="H58" s="38"/>
      <c r="I58" s="236" t="s">
        <v>397</v>
      </c>
      <c r="J58" s="218" t="s">
        <v>398</v>
      </c>
      <c r="K58" s="46">
        <v>1</v>
      </c>
      <c r="L58" s="43"/>
      <c r="M58" s="38"/>
      <c r="N58" s="47">
        <f>ROUND((ROUND((_11_A家事２．０*_11・基礎２),0)*_11・２人),0)</f>
        <v>310</v>
      </c>
      <c r="O58" s="48"/>
    </row>
    <row r="59" spans="1:15" ht="16.5" customHeight="1" x14ac:dyDescent="0.15">
      <c r="A59" s="41">
        <v>11</v>
      </c>
      <c r="B59" s="41" t="s">
        <v>8348</v>
      </c>
      <c r="C59" s="74" t="s">
        <v>8349</v>
      </c>
      <c r="D59" s="238"/>
      <c r="F59" s="53"/>
      <c r="G59" s="221"/>
      <c r="H59" s="50"/>
      <c r="I59" s="44"/>
      <c r="J59" s="218"/>
      <c r="K59" s="46"/>
      <c r="L59" s="707" t="s">
        <v>404</v>
      </c>
      <c r="M59" s="708"/>
      <c r="N59" s="47">
        <f>ROUND((_11_A家事２．０*_11・初任),0)</f>
        <v>241</v>
      </c>
      <c r="O59" s="48"/>
    </row>
    <row r="60" spans="1:15" ht="16.5" customHeight="1" x14ac:dyDescent="0.15">
      <c r="A60" s="41">
        <v>11</v>
      </c>
      <c r="B60" s="41" t="s">
        <v>8350</v>
      </c>
      <c r="C60" s="74" t="s">
        <v>8351</v>
      </c>
      <c r="D60" s="238"/>
      <c r="F60" s="43"/>
      <c r="G60" s="216"/>
      <c r="H60" s="38"/>
      <c r="I60" s="236" t="s">
        <v>397</v>
      </c>
      <c r="J60" s="218" t="s">
        <v>398</v>
      </c>
      <c r="K60" s="46">
        <v>1</v>
      </c>
      <c r="L60" s="709"/>
      <c r="M60" s="704"/>
      <c r="N60" s="47">
        <f>ROUND((ROUND((_11_A家事２．０*_11・２人),0)*_11・初任),0)</f>
        <v>241</v>
      </c>
      <c r="O60" s="48"/>
    </row>
    <row r="61" spans="1:15" ht="16.5" customHeight="1" x14ac:dyDescent="0.15">
      <c r="A61" s="41">
        <v>11</v>
      </c>
      <c r="B61" s="41" t="s">
        <v>8352</v>
      </c>
      <c r="C61" s="74" t="s">
        <v>8353</v>
      </c>
      <c r="D61" s="239"/>
      <c r="F61" s="752" t="s">
        <v>400</v>
      </c>
      <c r="G61" s="221" t="s">
        <v>398</v>
      </c>
      <c r="H61" s="50">
        <v>0.9</v>
      </c>
      <c r="I61" s="44"/>
      <c r="J61" s="218"/>
      <c r="K61" s="46"/>
      <c r="L61" s="709"/>
      <c r="M61" s="704"/>
      <c r="N61" s="47">
        <f>ROUND((ROUND((_11_A家事２．０*_11・基礎２),0)*_11・初任),0)</f>
        <v>217</v>
      </c>
      <c r="O61" s="48"/>
    </row>
    <row r="62" spans="1:15" ht="16.5" customHeight="1" x14ac:dyDescent="0.15">
      <c r="A62" s="41">
        <v>11</v>
      </c>
      <c r="B62" s="41" t="s">
        <v>8354</v>
      </c>
      <c r="C62" s="74" t="s">
        <v>8355</v>
      </c>
      <c r="D62" s="239"/>
      <c r="F62" s="757"/>
      <c r="G62" s="216"/>
      <c r="H62" s="38"/>
      <c r="I62" s="236" t="s">
        <v>397</v>
      </c>
      <c r="J62" s="218" t="s">
        <v>398</v>
      </c>
      <c r="K62" s="46">
        <v>1</v>
      </c>
      <c r="L62" s="240" t="s">
        <v>398</v>
      </c>
      <c r="M62" s="38">
        <f>_11・初任</f>
        <v>0.7</v>
      </c>
      <c r="N62" s="47">
        <f>ROUND((ROUND((ROUND((_11_A家事２．０*_11・基礎２),0)*_11・２人),0)*_11・初任),0)</f>
        <v>217</v>
      </c>
      <c r="O62" s="48"/>
    </row>
    <row r="63" spans="1:15" ht="16.5" customHeight="1" x14ac:dyDescent="0.15">
      <c r="A63" s="41">
        <v>11</v>
      </c>
      <c r="B63" s="41">
        <v>7663</v>
      </c>
      <c r="C63" s="74" t="s">
        <v>8356</v>
      </c>
      <c r="D63" s="770" t="s">
        <v>8357</v>
      </c>
      <c r="E63" s="771"/>
      <c r="F63" s="53"/>
      <c r="G63" s="221"/>
      <c r="H63" s="50"/>
      <c r="I63" s="44"/>
      <c r="J63" s="218"/>
      <c r="K63" s="46"/>
      <c r="L63" s="53"/>
      <c r="M63" s="50"/>
      <c r="N63" s="47">
        <f>_11_A家事２．２５</f>
        <v>379</v>
      </c>
      <c r="O63" s="48"/>
    </row>
    <row r="64" spans="1:15" ht="16.5" customHeight="1" x14ac:dyDescent="0.15">
      <c r="A64" s="41">
        <v>11</v>
      </c>
      <c r="B64" s="41">
        <v>7664</v>
      </c>
      <c r="C64" s="74" t="s">
        <v>8358</v>
      </c>
      <c r="D64" s="772"/>
      <c r="E64" s="773"/>
      <c r="F64" s="43"/>
      <c r="G64" s="216"/>
      <c r="H64" s="38"/>
      <c r="I64" s="236" t="s">
        <v>397</v>
      </c>
      <c r="J64" s="218" t="s">
        <v>398</v>
      </c>
      <c r="K64" s="46">
        <v>1</v>
      </c>
      <c r="L64" s="35"/>
      <c r="N64" s="47">
        <f>ROUND((_11_A家事２．２５*_11・２人),0)</f>
        <v>379</v>
      </c>
      <c r="O64" s="48"/>
    </row>
    <row r="65" spans="1:15" ht="16.5" customHeight="1" x14ac:dyDescent="0.15">
      <c r="A65" s="41">
        <v>11</v>
      </c>
      <c r="B65" s="41">
        <v>7665</v>
      </c>
      <c r="C65" s="74" t="s">
        <v>8359</v>
      </c>
      <c r="D65" s="772"/>
      <c r="E65" s="773"/>
      <c r="F65" s="752" t="s">
        <v>400</v>
      </c>
      <c r="G65" s="221" t="s">
        <v>398</v>
      </c>
      <c r="H65" s="50">
        <v>0.9</v>
      </c>
      <c r="I65" s="44"/>
      <c r="J65" s="218"/>
      <c r="K65" s="46"/>
      <c r="L65" s="35"/>
      <c r="N65" s="47">
        <f>ROUND((_11_A家事２．２５*_11・基礎２),0)</f>
        <v>341</v>
      </c>
      <c r="O65" s="48"/>
    </row>
    <row r="66" spans="1:15" ht="16.5" customHeight="1" x14ac:dyDescent="0.15">
      <c r="A66" s="41">
        <v>11</v>
      </c>
      <c r="B66" s="41">
        <v>7666</v>
      </c>
      <c r="C66" s="74" t="s">
        <v>8360</v>
      </c>
      <c r="D66" s="237">
        <f>_11_A家事２．２５</f>
        <v>379</v>
      </c>
      <c r="E66" s="12" t="s">
        <v>392</v>
      </c>
      <c r="F66" s="757"/>
      <c r="G66" s="216"/>
      <c r="H66" s="38"/>
      <c r="I66" s="236" t="s">
        <v>397</v>
      </c>
      <c r="J66" s="218" t="s">
        <v>398</v>
      </c>
      <c r="K66" s="46">
        <v>1</v>
      </c>
      <c r="L66" s="43"/>
      <c r="M66" s="38"/>
      <c r="N66" s="47">
        <f>ROUND((ROUND((_11_A家事２．２５*_11・基礎２),0)*_11・２人),0)</f>
        <v>341</v>
      </c>
      <c r="O66" s="48"/>
    </row>
    <row r="67" spans="1:15" ht="16.5" customHeight="1" x14ac:dyDescent="0.15">
      <c r="A67" s="41">
        <v>11</v>
      </c>
      <c r="B67" s="41" t="s">
        <v>8361</v>
      </c>
      <c r="C67" s="74" t="s">
        <v>8362</v>
      </c>
      <c r="D67" s="238"/>
      <c r="F67" s="53"/>
      <c r="G67" s="221"/>
      <c r="H67" s="50"/>
      <c r="I67" s="44"/>
      <c r="J67" s="218"/>
      <c r="K67" s="46"/>
      <c r="L67" s="707" t="s">
        <v>404</v>
      </c>
      <c r="M67" s="708"/>
      <c r="N67" s="47">
        <f>ROUND((_11_A家事２．２５*_11・初任),0)</f>
        <v>265</v>
      </c>
      <c r="O67" s="48"/>
    </row>
    <row r="68" spans="1:15" ht="16.5" customHeight="1" x14ac:dyDescent="0.15">
      <c r="A68" s="41">
        <v>11</v>
      </c>
      <c r="B68" s="41" t="s">
        <v>8363</v>
      </c>
      <c r="C68" s="74" t="s">
        <v>8364</v>
      </c>
      <c r="D68" s="238"/>
      <c r="F68" s="43"/>
      <c r="G68" s="216"/>
      <c r="H68" s="38"/>
      <c r="I68" s="236" t="s">
        <v>397</v>
      </c>
      <c r="J68" s="218" t="s">
        <v>398</v>
      </c>
      <c r="K68" s="46">
        <v>1</v>
      </c>
      <c r="L68" s="709"/>
      <c r="M68" s="704"/>
      <c r="N68" s="47">
        <f>ROUND((ROUND((_11_A家事２．２５*_11・２人),0)*_11・初任),0)</f>
        <v>265</v>
      </c>
      <c r="O68" s="48"/>
    </row>
    <row r="69" spans="1:15" ht="16.5" customHeight="1" x14ac:dyDescent="0.15">
      <c r="A69" s="41">
        <v>11</v>
      </c>
      <c r="B69" s="41" t="s">
        <v>8365</v>
      </c>
      <c r="C69" s="74" t="s">
        <v>8366</v>
      </c>
      <c r="D69" s="239"/>
      <c r="F69" s="752" t="s">
        <v>400</v>
      </c>
      <c r="G69" s="221" t="s">
        <v>398</v>
      </c>
      <c r="H69" s="50">
        <v>0.9</v>
      </c>
      <c r="I69" s="44"/>
      <c r="J69" s="218"/>
      <c r="K69" s="46"/>
      <c r="L69" s="709"/>
      <c r="M69" s="704"/>
      <c r="N69" s="47">
        <f>ROUND((ROUND((_11_A家事２．２５*_11・基礎２),0)*_11・初任),0)</f>
        <v>239</v>
      </c>
      <c r="O69" s="48"/>
    </row>
    <row r="70" spans="1:15" ht="16.5" customHeight="1" x14ac:dyDescent="0.15">
      <c r="A70" s="41">
        <v>11</v>
      </c>
      <c r="B70" s="41" t="s">
        <v>8367</v>
      </c>
      <c r="C70" s="74" t="s">
        <v>8368</v>
      </c>
      <c r="D70" s="239"/>
      <c r="F70" s="757"/>
      <c r="G70" s="216"/>
      <c r="H70" s="38"/>
      <c r="I70" s="236" t="s">
        <v>397</v>
      </c>
      <c r="J70" s="218" t="s">
        <v>398</v>
      </c>
      <c r="K70" s="46">
        <v>1</v>
      </c>
      <c r="L70" s="240" t="s">
        <v>398</v>
      </c>
      <c r="M70" s="38">
        <f>_11・初任</f>
        <v>0.7</v>
      </c>
      <c r="N70" s="47">
        <f>ROUND((ROUND((ROUND((_11_A家事２．２５*_11・基礎２),0)*_11・２人),0)*_11・初任),0)</f>
        <v>239</v>
      </c>
      <c r="O70" s="48"/>
    </row>
    <row r="71" spans="1:15" ht="16.5" customHeight="1" x14ac:dyDescent="0.15">
      <c r="A71" s="41">
        <v>11</v>
      </c>
      <c r="B71" s="41">
        <v>6127</v>
      </c>
      <c r="C71" s="74" t="s">
        <v>8369</v>
      </c>
      <c r="D71" s="770" t="s">
        <v>8370</v>
      </c>
      <c r="E71" s="771"/>
      <c r="F71" s="53"/>
      <c r="G71" s="221"/>
      <c r="H71" s="50"/>
      <c r="I71" s="44"/>
      <c r="J71" s="218"/>
      <c r="K71" s="46"/>
      <c r="L71" s="53"/>
      <c r="M71" s="50"/>
      <c r="N71" s="47">
        <f>_11_A家事２．５</f>
        <v>414</v>
      </c>
      <c r="O71" s="48"/>
    </row>
    <row r="72" spans="1:15" ht="16.5" customHeight="1" x14ac:dyDescent="0.15">
      <c r="A72" s="41">
        <v>11</v>
      </c>
      <c r="B72" s="41">
        <v>6128</v>
      </c>
      <c r="C72" s="74" t="s">
        <v>8371</v>
      </c>
      <c r="D72" s="772"/>
      <c r="E72" s="773"/>
      <c r="F72" s="43"/>
      <c r="G72" s="216"/>
      <c r="H72" s="38"/>
      <c r="I72" s="236" t="s">
        <v>397</v>
      </c>
      <c r="J72" s="218" t="s">
        <v>398</v>
      </c>
      <c r="K72" s="46">
        <v>1</v>
      </c>
      <c r="L72" s="35"/>
      <c r="N72" s="47">
        <f>ROUND((_11_A家事２．５*_11・２人),0)</f>
        <v>414</v>
      </c>
      <c r="O72" s="48"/>
    </row>
    <row r="73" spans="1:15" ht="16.5" customHeight="1" x14ac:dyDescent="0.15">
      <c r="A73" s="41">
        <v>11</v>
      </c>
      <c r="B73" s="41">
        <v>6129</v>
      </c>
      <c r="C73" s="74" t="s">
        <v>8372</v>
      </c>
      <c r="D73" s="772"/>
      <c r="E73" s="773"/>
      <c r="F73" s="752" t="s">
        <v>400</v>
      </c>
      <c r="G73" s="221" t="s">
        <v>398</v>
      </c>
      <c r="H73" s="50">
        <v>0.9</v>
      </c>
      <c r="I73" s="44"/>
      <c r="J73" s="218"/>
      <c r="K73" s="46"/>
      <c r="L73" s="35"/>
      <c r="N73" s="47">
        <f>ROUND((_11_A家事２．５*_11・基礎２),0)</f>
        <v>373</v>
      </c>
      <c r="O73" s="48"/>
    </row>
    <row r="74" spans="1:15" ht="16.5" customHeight="1" x14ac:dyDescent="0.15">
      <c r="A74" s="41">
        <v>11</v>
      </c>
      <c r="B74" s="41">
        <v>6130</v>
      </c>
      <c r="C74" s="74" t="s">
        <v>8373</v>
      </c>
      <c r="D74" s="237">
        <f>_11_A家事２．５</f>
        <v>414</v>
      </c>
      <c r="E74" s="12" t="s">
        <v>392</v>
      </c>
      <c r="F74" s="757"/>
      <c r="G74" s="216"/>
      <c r="H74" s="38"/>
      <c r="I74" s="236" t="s">
        <v>397</v>
      </c>
      <c r="J74" s="218" t="s">
        <v>398</v>
      </c>
      <c r="K74" s="46">
        <v>1</v>
      </c>
      <c r="L74" s="43"/>
      <c r="M74" s="38"/>
      <c r="N74" s="47">
        <f>ROUND((ROUND((_11_A家事２．５*_11・基礎２),0)*_11・２人),0)</f>
        <v>373</v>
      </c>
      <c r="O74" s="48"/>
    </row>
    <row r="75" spans="1:15" ht="16.5" customHeight="1" x14ac:dyDescent="0.15">
      <c r="A75" s="41">
        <v>11</v>
      </c>
      <c r="B75" s="41" t="s">
        <v>8374</v>
      </c>
      <c r="C75" s="74" t="s">
        <v>8375</v>
      </c>
      <c r="D75" s="238"/>
      <c r="F75" s="53"/>
      <c r="G75" s="221"/>
      <c r="H75" s="50"/>
      <c r="I75" s="44"/>
      <c r="J75" s="218"/>
      <c r="K75" s="46"/>
      <c r="L75" s="707" t="s">
        <v>404</v>
      </c>
      <c r="M75" s="708"/>
      <c r="N75" s="47">
        <f>ROUND((_11_A家事２．５*_11・初任),0)</f>
        <v>290</v>
      </c>
      <c r="O75" s="48"/>
    </row>
    <row r="76" spans="1:15" ht="16.5" customHeight="1" x14ac:dyDescent="0.15">
      <c r="A76" s="41">
        <v>11</v>
      </c>
      <c r="B76" s="41" t="s">
        <v>8376</v>
      </c>
      <c r="C76" s="74" t="s">
        <v>8377</v>
      </c>
      <c r="D76" s="238"/>
      <c r="F76" s="43"/>
      <c r="G76" s="216"/>
      <c r="H76" s="38"/>
      <c r="I76" s="236" t="s">
        <v>397</v>
      </c>
      <c r="J76" s="218" t="s">
        <v>398</v>
      </c>
      <c r="K76" s="46">
        <v>1</v>
      </c>
      <c r="L76" s="709"/>
      <c r="M76" s="704"/>
      <c r="N76" s="47">
        <f>ROUND((ROUND((_11_A家事２．５*_11・２人),0)*_11・初任),0)</f>
        <v>290</v>
      </c>
      <c r="O76" s="48"/>
    </row>
    <row r="77" spans="1:15" ht="16.5" customHeight="1" x14ac:dyDescent="0.15">
      <c r="A77" s="41">
        <v>11</v>
      </c>
      <c r="B77" s="41" t="s">
        <v>8378</v>
      </c>
      <c r="C77" s="74" t="s">
        <v>8379</v>
      </c>
      <c r="D77" s="239"/>
      <c r="F77" s="752" t="s">
        <v>400</v>
      </c>
      <c r="G77" s="221" t="s">
        <v>398</v>
      </c>
      <c r="H77" s="50">
        <v>0.9</v>
      </c>
      <c r="I77" s="44"/>
      <c r="J77" s="218"/>
      <c r="K77" s="46"/>
      <c r="L77" s="709"/>
      <c r="M77" s="704"/>
      <c r="N77" s="47">
        <f>ROUND((ROUND((_11_A家事２．５*_11・基礎２),0)*_11・初任),0)</f>
        <v>261</v>
      </c>
      <c r="O77" s="48"/>
    </row>
    <row r="78" spans="1:15" ht="16.5" customHeight="1" x14ac:dyDescent="0.15">
      <c r="A78" s="41">
        <v>11</v>
      </c>
      <c r="B78" s="41" t="s">
        <v>8380</v>
      </c>
      <c r="C78" s="74" t="s">
        <v>8381</v>
      </c>
      <c r="D78" s="241"/>
      <c r="E78" s="37"/>
      <c r="F78" s="757"/>
      <c r="G78" s="216"/>
      <c r="H78" s="38"/>
      <c r="I78" s="236" t="s">
        <v>397</v>
      </c>
      <c r="J78" s="218" t="s">
        <v>398</v>
      </c>
      <c r="K78" s="46">
        <v>1</v>
      </c>
      <c r="L78" s="240" t="s">
        <v>398</v>
      </c>
      <c r="M78" s="38">
        <f>_11・初任</f>
        <v>0.7</v>
      </c>
      <c r="N78" s="47">
        <f>ROUND((ROUND((ROUND((_11_A家事２．５*_11・基礎２),0)*_11・２人),0)*_11・初任),0)</f>
        <v>261</v>
      </c>
      <c r="O78" s="63"/>
    </row>
    <row r="79" spans="1:15" ht="16.5" customHeight="1" x14ac:dyDescent="0.15">
      <c r="A79" s="33">
        <v>11</v>
      </c>
      <c r="B79" s="33">
        <v>7667</v>
      </c>
      <c r="C79" s="34" t="s">
        <v>8382</v>
      </c>
      <c r="D79" s="772" t="s">
        <v>8383</v>
      </c>
      <c r="E79" s="773"/>
      <c r="F79" s="35"/>
      <c r="I79" s="36"/>
      <c r="J79" s="216"/>
      <c r="K79" s="38"/>
      <c r="L79" s="35"/>
      <c r="N79" s="39">
        <f>_11_A家事２．７５</f>
        <v>449</v>
      </c>
      <c r="O79" s="48"/>
    </row>
    <row r="80" spans="1:15" ht="16.5" customHeight="1" x14ac:dyDescent="0.15">
      <c r="A80" s="41">
        <v>11</v>
      </c>
      <c r="B80" s="41">
        <v>7668</v>
      </c>
      <c r="C80" s="74" t="s">
        <v>8384</v>
      </c>
      <c r="D80" s="772"/>
      <c r="E80" s="773"/>
      <c r="F80" s="43"/>
      <c r="G80" s="216"/>
      <c r="H80" s="38"/>
      <c r="I80" s="236" t="s">
        <v>397</v>
      </c>
      <c r="J80" s="218" t="s">
        <v>398</v>
      </c>
      <c r="K80" s="46">
        <v>1</v>
      </c>
      <c r="L80" s="35"/>
      <c r="N80" s="47">
        <f>ROUND((_11_A家事２．７５*_11・２人),0)</f>
        <v>449</v>
      </c>
      <c r="O80" s="48"/>
    </row>
    <row r="81" spans="1:15" ht="16.5" customHeight="1" x14ac:dyDescent="0.15">
      <c r="A81" s="41">
        <v>11</v>
      </c>
      <c r="B81" s="41">
        <v>7669</v>
      </c>
      <c r="C81" s="74" t="s">
        <v>8385</v>
      </c>
      <c r="D81" s="772"/>
      <c r="E81" s="773"/>
      <c r="F81" s="752" t="s">
        <v>400</v>
      </c>
      <c r="G81" s="221" t="s">
        <v>398</v>
      </c>
      <c r="H81" s="50">
        <v>0.9</v>
      </c>
      <c r="I81" s="44"/>
      <c r="J81" s="218"/>
      <c r="K81" s="46"/>
      <c r="L81" s="35"/>
      <c r="N81" s="47">
        <f>ROUND((_11_A家事２．７５*_11・基礎２),0)</f>
        <v>404</v>
      </c>
      <c r="O81" s="48"/>
    </row>
    <row r="82" spans="1:15" ht="16.5" customHeight="1" x14ac:dyDescent="0.15">
      <c r="A82" s="41">
        <v>11</v>
      </c>
      <c r="B82" s="41">
        <v>7670</v>
      </c>
      <c r="C82" s="74" t="s">
        <v>8386</v>
      </c>
      <c r="D82" s="237">
        <f>_11_A家事２．７５</f>
        <v>449</v>
      </c>
      <c r="E82" s="12" t="s">
        <v>392</v>
      </c>
      <c r="F82" s="757"/>
      <c r="G82" s="216"/>
      <c r="H82" s="38"/>
      <c r="I82" s="236" t="s">
        <v>397</v>
      </c>
      <c r="J82" s="218" t="s">
        <v>398</v>
      </c>
      <c r="K82" s="46">
        <v>1</v>
      </c>
      <c r="L82" s="43"/>
      <c r="M82" s="38"/>
      <c r="N82" s="47">
        <f>ROUND((ROUND((_11_A家事２．７５*_11・基礎２),0)*_11・２人),0)</f>
        <v>404</v>
      </c>
      <c r="O82" s="48"/>
    </row>
    <row r="83" spans="1:15" ht="16.5" customHeight="1" x14ac:dyDescent="0.15">
      <c r="A83" s="41">
        <v>11</v>
      </c>
      <c r="B83" s="41" t="s">
        <v>8387</v>
      </c>
      <c r="C83" s="74" t="s">
        <v>8388</v>
      </c>
      <c r="D83" s="238"/>
      <c r="F83" s="53"/>
      <c r="G83" s="221"/>
      <c r="H83" s="50"/>
      <c r="I83" s="44"/>
      <c r="J83" s="218"/>
      <c r="K83" s="46"/>
      <c r="L83" s="707" t="s">
        <v>404</v>
      </c>
      <c r="M83" s="708"/>
      <c r="N83" s="47">
        <f>ROUND((_11_A家事２．７５*_11・初任),0)</f>
        <v>314</v>
      </c>
      <c r="O83" s="48"/>
    </row>
    <row r="84" spans="1:15" ht="16.5" customHeight="1" x14ac:dyDescent="0.15">
      <c r="A84" s="41">
        <v>11</v>
      </c>
      <c r="B84" s="41" t="s">
        <v>8389</v>
      </c>
      <c r="C84" s="74" t="s">
        <v>8390</v>
      </c>
      <c r="D84" s="238"/>
      <c r="F84" s="43"/>
      <c r="G84" s="216"/>
      <c r="H84" s="38"/>
      <c r="I84" s="236" t="s">
        <v>397</v>
      </c>
      <c r="J84" s="218" t="s">
        <v>398</v>
      </c>
      <c r="K84" s="46">
        <v>1</v>
      </c>
      <c r="L84" s="709"/>
      <c r="M84" s="704"/>
      <c r="N84" s="47">
        <f>ROUND((ROUND((_11_A家事２．７５*_11・２人),0)*_11・初任),0)</f>
        <v>314</v>
      </c>
      <c r="O84" s="48"/>
    </row>
    <row r="85" spans="1:15" ht="16.5" customHeight="1" x14ac:dyDescent="0.15">
      <c r="A85" s="41">
        <v>11</v>
      </c>
      <c r="B85" s="41" t="s">
        <v>8391</v>
      </c>
      <c r="C85" s="74" t="s">
        <v>8392</v>
      </c>
      <c r="D85" s="239"/>
      <c r="F85" s="752" t="s">
        <v>400</v>
      </c>
      <c r="G85" s="221" t="s">
        <v>398</v>
      </c>
      <c r="H85" s="50">
        <v>0.9</v>
      </c>
      <c r="I85" s="44"/>
      <c r="J85" s="218"/>
      <c r="K85" s="46"/>
      <c r="L85" s="709"/>
      <c r="M85" s="704"/>
      <c r="N85" s="47">
        <f>ROUND((ROUND((_11_A家事２．７５*_11・基礎２),0)*_11・初任),0)</f>
        <v>283</v>
      </c>
      <c r="O85" s="48"/>
    </row>
    <row r="86" spans="1:15" ht="16.5" customHeight="1" x14ac:dyDescent="0.15">
      <c r="A86" s="41">
        <v>11</v>
      </c>
      <c r="B86" s="41" t="s">
        <v>8393</v>
      </c>
      <c r="C86" s="74" t="s">
        <v>8394</v>
      </c>
      <c r="D86" s="239"/>
      <c r="F86" s="757"/>
      <c r="G86" s="216"/>
      <c r="H86" s="38"/>
      <c r="I86" s="236" t="s">
        <v>397</v>
      </c>
      <c r="J86" s="218" t="s">
        <v>398</v>
      </c>
      <c r="K86" s="46">
        <v>1</v>
      </c>
      <c r="L86" s="240" t="s">
        <v>398</v>
      </c>
      <c r="M86" s="38">
        <f>_11・初任</f>
        <v>0.7</v>
      </c>
      <c r="N86" s="47">
        <f>ROUND((ROUND((ROUND((_11_A家事２．７５*_11・基礎２),0)*_11・２人),0)*_11・初任),0)</f>
        <v>283</v>
      </c>
      <c r="O86" s="48"/>
    </row>
    <row r="87" spans="1:15" ht="16.5" customHeight="1" x14ac:dyDescent="0.15">
      <c r="A87" s="41">
        <v>11</v>
      </c>
      <c r="B87" s="41">
        <v>6131</v>
      </c>
      <c r="C87" s="74" t="s">
        <v>8395</v>
      </c>
      <c r="D87" s="770" t="s">
        <v>8396</v>
      </c>
      <c r="E87" s="771"/>
      <c r="F87" s="53"/>
      <c r="G87" s="221"/>
      <c r="H87" s="50"/>
      <c r="I87" s="44"/>
      <c r="J87" s="218"/>
      <c r="K87" s="46"/>
      <c r="L87" s="53"/>
      <c r="M87" s="50"/>
      <c r="N87" s="47">
        <f>_11_A家事３．０</f>
        <v>484</v>
      </c>
      <c r="O87" s="48"/>
    </row>
    <row r="88" spans="1:15" ht="16.5" customHeight="1" x14ac:dyDescent="0.15">
      <c r="A88" s="41">
        <v>11</v>
      </c>
      <c r="B88" s="41">
        <v>6132</v>
      </c>
      <c r="C88" s="74" t="s">
        <v>8397</v>
      </c>
      <c r="D88" s="772"/>
      <c r="E88" s="773"/>
      <c r="F88" s="43"/>
      <c r="G88" s="216"/>
      <c r="H88" s="38"/>
      <c r="I88" s="236" t="s">
        <v>397</v>
      </c>
      <c r="J88" s="218" t="s">
        <v>398</v>
      </c>
      <c r="K88" s="46">
        <v>1</v>
      </c>
      <c r="L88" s="35"/>
      <c r="N88" s="47">
        <f>ROUND((_11_A家事３．０*_11・２人),0)</f>
        <v>484</v>
      </c>
      <c r="O88" s="48"/>
    </row>
    <row r="89" spans="1:15" ht="16.5" customHeight="1" x14ac:dyDescent="0.15">
      <c r="A89" s="41">
        <v>11</v>
      </c>
      <c r="B89" s="41">
        <v>6133</v>
      </c>
      <c r="C89" s="74" t="s">
        <v>8398</v>
      </c>
      <c r="D89" s="772"/>
      <c r="E89" s="773"/>
      <c r="F89" s="752" t="s">
        <v>400</v>
      </c>
      <c r="G89" s="221" t="s">
        <v>398</v>
      </c>
      <c r="H89" s="50">
        <v>0.9</v>
      </c>
      <c r="I89" s="44"/>
      <c r="J89" s="218"/>
      <c r="K89" s="46"/>
      <c r="L89" s="35"/>
      <c r="N89" s="47">
        <f>ROUND((_11_A家事３．０*_11・基礎２),0)</f>
        <v>436</v>
      </c>
      <c r="O89" s="48"/>
    </row>
    <row r="90" spans="1:15" ht="16.5" customHeight="1" x14ac:dyDescent="0.15">
      <c r="A90" s="41">
        <v>11</v>
      </c>
      <c r="B90" s="41">
        <v>6134</v>
      </c>
      <c r="C90" s="74" t="s">
        <v>8399</v>
      </c>
      <c r="D90" s="237">
        <f>_11_A家事３．０</f>
        <v>484</v>
      </c>
      <c r="E90" s="12" t="s">
        <v>392</v>
      </c>
      <c r="F90" s="757"/>
      <c r="G90" s="216"/>
      <c r="H90" s="38"/>
      <c r="I90" s="236" t="s">
        <v>397</v>
      </c>
      <c r="J90" s="218" t="s">
        <v>398</v>
      </c>
      <c r="K90" s="46">
        <v>1</v>
      </c>
      <c r="L90" s="43"/>
      <c r="M90" s="38"/>
      <c r="N90" s="47">
        <f>ROUND((ROUND((_11_A家事３．０*_11・基礎２),0)*_11・２人),0)</f>
        <v>436</v>
      </c>
      <c r="O90" s="48"/>
    </row>
    <row r="91" spans="1:15" ht="16.5" customHeight="1" x14ac:dyDescent="0.15">
      <c r="A91" s="41">
        <v>11</v>
      </c>
      <c r="B91" s="41" t="s">
        <v>8400</v>
      </c>
      <c r="C91" s="74" t="s">
        <v>8401</v>
      </c>
      <c r="D91" s="238"/>
      <c r="F91" s="53"/>
      <c r="G91" s="221"/>
      <c r="H91" s="50"/>
      <c r="I91" s="44"/>
      <c r="J91" s="218"/>
      <c r="K91" s="46"/>
      <c r="L91" s="707" t="s">
        <v>404</v>
      </c>
      <c r="M91" s="708"/>
      <c r="N91" s="47">
        <f>ROUND((_11_A家事３．０*_11・初任),0)</f>
        <v>339</v>
      </c>
      <c r="O91" s="48"/>
    </row>
    <row r="92" spans="1:15" ht="16.5" customHeight="1" x14ac:dyDescent="0.15">
      <c r="A92" s="41">
        <v>11</v>
      </c>
      <c r="B92" s="41" t="s">
        <v>8402</v>
      </c>
      <c r="C92" s="74" t="s">
        <v>8403</v>
      </c>
      <c r="D92" s="238"/>
      <c r="F92" s="43"/>
      <c r="G92" s="216"/>
      <c r="H92" s="38"/>
      <c r="I92" s="236" t="s">
        <v>397</v>
      </c>
      <c r="J92" s="218" t="s">
        <v>398</v>
      </c>
      <c r="K92" s="46">
        <v>1</v>
      </c>
      <c r="L92" s="709"/>
      <c r="M92" s="704"/>
      <c r="N92" s="47">
        <f>ROUND((ROUND((_11_A家事３．０*_11・２人),0)*_11・初任),0)</f>
        <v>339</v>
      </c>
      <c r="O92" s="48"/>
    </row>
    <row r="93" spans="1:15" ht="16.5" customHeight="1" x14ac:dyDescent="0.15">
      <c r="A93" s="41">
        <v>11</v>
      </c>
      <c r="B93" s="41" t="s">
        <v>8404</v>
      </c>
      <c r="C93" s="74" t="s">
        <v>8405</v>
      </c>
      <c r="D93" s="239"/>
      <c r="F93" s="752" t="s">
        <v>400</v>
      </c>
      <c r="G93" s="221" t="s">
        <v>398</v>
      </c>
      <c r="H93" s="50">
        <v>0.9</v>
      </c>
      <c r="I93" s="44"/>
      <c r="J93" s="218"/>
      <c r="K93" s="46"/>
      <c r="L93" s="709"/>
      <c r="M93" s="704"/>
      <c r="N93" s="47">
        <f>ROUND((ROUND((_11_A家事３．０*_11・基礎２),0)*_11・初任),0)</f>
        <v>305</v>
      </c>
      <c r="O93" s="48"/>
    </row>
    <row r="94" spans="1:15" ht="16.5" customHeight="1" x14ac:dyDescent="0.15">
      <c r="A94" s="41">
        <v>11</v>
      </c>
      <c r="B94" s="41" t="s">
        <v>8406</v>
      </c>
      <c r="C94" s="74" t="s">
        <v>8407</v>
      </c>
      <c r="D94" s="239"/>
      <c r="F94" s="757"/>
      <c r="G94" s="216"/>
      <c r="H94" s="38"/>
      <c r="I94" s="236" t="s">
        <v>397</v>
      </c>
      <c r="J94" s="218" t="s">
        <v>398</v>
      </c>
      <c r="K94" s="46">
        <v>1</v>
      </c>
      <c r="L94" s="240" t="s">
        <v>398</v>
      </c>
      <c r="M94" s="38">
        <f>_11・初任</f>
        <v>0.7</v>
      </c>
      <c r="N94" s="47">
        <f>ROUND((ROUND((ROUND((_11_A家事３．０*_11・基礎２),0)*_11・２人),0)*_11・初任),0)</f>
        <v>305</v>
      </c>
      <c r="O94" s="48"/>
    </row>
    <row r="95" spans="1:15" ht="16.5" customHeight="1" x14ac:dyDescent="0.15">
      <c r="A95" s="41">
        <v>11</v>
      </c>
      <c r="B95" s="41">
        <v>7671</v>
      </c>
      <c r="C95" s="74" t="s">
        <v>8408</v>
      </c>
      <c r="D95" s="770" t="s">
        <v>8409</v>
      </c>
      <c r="E95" s="771"/>
      <c r="F95" s="53"/>
      <c r="G95" s="221"/>
      <c r="H95" s="50"/>
      <c r="I95" s="44"/>
      <c r="J95" s="218"/>
      <c r="K95" s="46"/>
      <c r="L95" s="53"/>
      <c r="M95" s="50"/>
      <c r="N95" s="47">
        <f>_11_A家事３．２５</f>
        <v>519</v>
      </c>
      <c r="O95" s="48"/>
    </row>
    <row r="96" spans="1:15" ht="16.5" customHeight="1" x14ac:dyDescent="0.15">
      <c r="A96" s="41">
        <v>11</v>
      </c>
      <c r="B96" s="41">
        <v>7672</v>
      </c>
      <c r="C96" s="74" t="s">
        <v>8410</v>
      </c>
      <c r="D96" s="772"/>
      <c r="E96" s="773"/>
      <c r="F96" s="43"/>
      <c r="G96" s="216"/>
      <c r="H96" s="38"/>
      <c r="I96" s="236" t="s">
        <v>397</v>
      </c>
      <c r="J96" s="218" t="s">
        <v>398</v>
      </c>
      <c r="K96" s="46">
        <v>1</v>
      </c>
      <c r="L96" s="35"/>
      <c r="N96" s="47">
        <f>ROUND((_11_A家事３．２５*_11・２人),0)</f>
        <v>519</v>
      </c>
      <c r="O96" s="48"/>
    </row>
    <row r="97" spans="1:15" ht="16.5" customHeight="1" x14ac:dyDescent="0.15">
      <c r="A97" s="41">
        <v>11</v>
      </c>
      <c r="B97" s="41">
        <v>7673</v>
      </c>
      <c r="C97" s="74" t="s">
        <v>8411</v>
      </c>
      <c r="D97" s="772"/>
      <c r="E97" s="773"/>
      <c r="F97" s="752" t="s">
        <v>400</v>
      </c>
      <c r="G97" s="221" t="s">
        <v>398</v>
      </c>
      <c r="H97" s="50">
        <v>0.9</v>
      </c>
      <c r="I97" s="44"/>
      <c r="J97" s="218"/>
      <c r="K97" s="46"/>
      <c r="L97" s="35"/>
      <c r="N97" s="47">
        <f>ROUND((_11_A家事３．２５*_11・基礎２),0)</f>
        <v>467</v>
      </c>
      <c r="O97" s="48"/>
    </row>
    <row r="98" spans="1:15" ht="16.5" customHeight="1" x14ac:dyDescent="0.15">
      <c r="A98" s="41">
        <v>11</v>
      </c>
      <c r="B98" s="41">
        <v>7674</v>
      </c>
      <c r="C98" s="74" t="s">
        <v>8412</v>
      </c>
      <c r="D98" s="237">
        <f>_11_A家事３．２５</f>
        <v>519</v>
      </c>
      <c r="E98" s="12" t="s">
        <v>392</v>
      </c>
      <c r="F98" s="757"/>
      <c r="G98" s="216"/>
      <c r="H98" s="38"/>
      <c r="I98" s="236" t="s">
        <v>397</v>
      </c>
      <c r="J98" s="218" t="s">
        <v>398</v>
      </c>
      <c r="K98" s="46">
        <v>1</v>
      </c>
      <c r="L98" s="43"/>
      <c r="M98" s="38"/>
      <c r="N98" s="47">
        <f>ROUND((ROUND((_11_A家事３．２５*_11・基礎２),0)*_11・２人),0)</f>
        <v>467</v>
      </c>
      <c r="O98" s="48"/>
    </row>
    <row r="99" spans="1:15" ht="16.5" customHeight="1" x14ac:dyDescent="0.15">
      <c r="A99" s="41">
        <v>11</v>
      </c>
      <c r="B99" s="41" t="s">
        <v>8413</v>
      </c>
      <c r="C99" s="74" t="s">
        <v>8414</v>
      </c>
      <c r="D99" s="238"/>
      <c r="F99" s="53"/>
      <c r="G99" s="221"/>
      <c r="H99" s="50"/>
      <c r="I99" s="44"/>
      <c r="J99" s="218"/>
      <c r="K99" s="46"/>
      <c r="L99" s="707" t="s">
        <v>404</v>
      </c>
      <c r="M99" s="708"/>
      <c r="N99" s="47">
        <f>ROUND((_11_A家事３．２５*_11・初任),0)</f>
        <v>363</v>
      </c>
      <c r="O99" s="48"/>
    </row>
    <row r="100" spans="1:15" ht="16.5" customHeight="1" x14ac:dyDescent="0.15">
      <c r="A100" s="41">
        <v>11</v>
      </c>
      <c r="B100" s="41" t="s">
        <v>8415</v>
      </c>
      <c r="C100" s="74" t="s">
        <v>8416</v>
      </c>
      <c r="D100" s="238"/>
      <c r="F100" s="43"/>
      <c r="G100" s="216"/>
      <c r="H100" s="38"/>
      <c r="I100" s="236" t="s">
        <v>397</v>
      </c>
      <c r="J100" s="218" t="s">
        <v>398</v>
      </c>
      <c r="K100" s="46">
        <v>1</v>
      </c>
      <c r="L100" s="709"/>
      <c r="M100" s="704"/>
      <c r="N100" s="47">
        <f>ROUND((ROUND((_11_A家事３．２５*_11・２人),0)*_11・初任),0)</f>
        <v>363</v>
      </c>
      <c r="O100" s="48"/>
    </row>
    <row r="101" spans="1:15" ht="16.5" customHeight="1" x14ac:dyDescent="0.15">
      <c r="A101" s="41">
        <v>11</v>
      </c>
      <c r="B101" s="41" t="s">
        <v>8417</v>
      </c>
      <c r="C101" s="74" t="s">
        <v>8418</v>
      </c>
      <c r="D101" s="239"/>
      <c r="F101" s="752" t="s">
        <v>400</v>
      </c>
      <c r="G101" s="221" t="s">
        <v>398</v>
      </c>
      <c r="H101" s="50">
        <v>0.9</v>
      </c>
      <c r="I101" s="44"/>
      <c r="J101" s="218"/>
      <c r="K101" s="46"/>
      <c r="L101" s="709"/>
      <c r="M101" s="704"/>
      <c r="N101" s="47">
        <f>ROUND((ROUND((_11_A家事３．２５*_11・基礎２),0)*_11・初任),0)</f>
        <v>327</v>
      </c>
      <c r="O101" s="48"/>
    </row>
    <row r="102" spans="1:15" ht="16.5" customHeight="1" x14ac:dyDescent="0.15">
      <c r="A102" s="41">
        <v>11</v>
      </c>
      <c r="B102" s="41" t="s">
        <v>8419</v>
      </c>
      <c r="C102" s="74" t="s">
        <v>8420</v>
      </c>
      <c r="D102" s="239"/>
      <c r="F102" s="757"/>
      <c r="G102" s="216"/>
      <c r="H102" s="38"/>
      <c r="I102" s="236" t="s">
        <v>397</v>
      </c>
      <c r="J102" s="218" t="s">
        <v>398</v>
      </c>
      <c r="K102" s="46">
        <v>1</v>
      </c>
      <c r="L102" s="240" t="s">
        <v>398</v>
      </c>
      <c r="M102" s="38">
        <f>_11・初任</f>
        <v>0.7</v>
      </c>
      <c r="N102" s="47">
        <f>ROUND((ROUND((ROUND((_11_A家事３．２５*_11・基礎２),0)*_11・２人),0)*_11・初任),0)</f>
        <v>327</v>
      </c>
      <c r="O102" s="48"/>
    </row>
    <row r="103" spans="1:15" ht="16.5" customHeight="1" x14ac:dyDescent="0.15">
      <c r="A103" s="41">
        <v>11</v>
      </c>
      <c r="B103" s="41">
        <v>6135</v>
      </c>
      <c r="C103" s="74" t="s">
        <v>8421</v>
      </c>
      <c r="D103" s="770" t="s">
        <v>8422</v>
      </c>
      <c r="E103" s="771"/>
      <c r="F103" s="53"/>
      <c r="G103" s="221"/>
      <c r="H103" s="50"/>
      <c r="I103" s="44"/>
      <c r="J103" s="218"/>
      <c r="K103" s="46"/>
      <c r="L103" s="53"/>
      <c r="M103" s="50"/>
      <c r="N103" s="47">
        <f>_11_A家事３．５</f>
        <v>554</v>
      </c>
      <c r="O103" s="48"/>
    </row>
    <row r="104" spans="1:15" ht="16.5" customHeight="1" x14ac:dyDescent="0.15">
      <c r="A104" s="41">
        <v>11</v>
      </c>
      <c r="B104" s="41">
        <v>6136</v>
      </c>
      <c r="C104" s="74" t="s">
        <v>8423</v>
      </c>
      <c r="D104" s="772"/>
      <c r="E104" s="773"/>
      <c r="F104" s="43"/>
      <c r="G104" s="216"/>
      <c r="H104" s="38"/>
      <c r="I104" s="236" t="s">
        <v>397</v>
      </c>
      <c r="J104" s="218" t="s">
        <v>398</v>
      </c>
      <c r="K104" s="46">
        <v>1</v>
      </c>
      <c r="L104" s="35"/>
      <c r="N104" s="47">
        <f>ROUND((_11_A家事３．５*_11・２人),0)</f>
        <v>554</v>
      </c>
      <c r="O104" s="48"/>
    </row>
    <row r="105" spans="1:15" ht="16.5" customHeight="1" x14ac:dyDescent="0.15">
      <c r="A105" s="41">
        <v>11</v>
      </c>
      <c r="B105" s="41">
        <v>6137</v>
      </c>
      <c r="C105" s="74" t="s">
        <v>8424</v>
      </c>
      <c r="D105" s="772"/>
      <c r="E105" s="773"/>
      <c r="F105" s="752" t="s">
        <v>400</v>
      </c>
      <c r="G105" s="221" t="s">
        <v>398</v>
      </c>
      <c r="H105" s="50">
        <v>0.9</v>
      </c>
      <c r="I105" s="44"/>
      <c r="J105" s="218"/>
      <c r="K105" s="46"/>
      <c r="L105" s="35"/>
      <c r="N105" s="47">
        <f>ROUND((_11_A家事３．５*_11・基礎２),0)</f>
        <v>499</v>
      </c>
      <c r="O105" s="48"/>
    </row>
    <row r="106" spans="1:15" ht="16.5" customHeight="1" x14ac:dyDescent="0.15">
      <c r="A106" s="41">
        <v>11</v>
      </c>
      <c r="B106" s="41">
        <v>6138</v>
      </c>
      <c r="C106" s="74" t="s">
        <v>8425</v>
      </c>
      <c r="D106" s="237">
        <f>_11_A家事３．５</f>
        <v>554</v>
      </c>
      <c r="E106" s="12" t="s">
        <v>392</v>
      </c>
      <c r="F106" s="757"/>
      <c r="G106" s="216"/>
      <c r="H106" s="38"/>
      <c r="I106" s="236" t="s">
        <v>397</v>
      </c>
      <c r="J106" s="218" t="s">
        <v>398</v>
      </c>
      <c r="K106" s="46">
        <v>1</v>
      </c>
      <c r="L106" s="43"/>
      <c r="M106" s="38"/>
      <c r="N106" s="47">
        <f>ROUND((ROUND((_11_A家事３．５*_11・基礎２),0)*_11・２人),0)</f>
        <v>499</v>
      </c>
      <c r="O106" s="48"/>
    </row>
    <row r="107" spans="1:15" ht="16.5" customHeight="1" x14ac:dyDescent="0.15">
      <c r="A107" s="41">
        <v>11</v>
      </c>
      <c r="B107" s="41" t="s">
        <v>8426</v>
      </c>
      <c r="C107" s="74" t="s">
        <v>8427</v>
      </c>
      <c r="D107" s="238"/>
      <c r="F107" s="53"/>
      <c r="G107" s="221"/>
      <c r="H107" s="50"/>
      <c r="I107" s="44"/>
      <c r="J107" s="218"/>
      <c r="K107" s="46"/>
      <c r="L107" s="707" t="s">
        <v>404</v>
      </c>
      <c r="M107" s="708"/>
      <c r="N107" s="47">
        <f>ROUND((_11_A家事３．５*_11・初任),0)</f>
        <v>388</v>
      </c>
      <c r="O107" s="48"/>
    </row>
    <row r="108" spans="1:15" ht="16.5" customHeight="1" x14ac:dyDescent="0.15">
      <c r="A108" s="41">
        <v>11</v>
      </c>
      <c r="B108" s="41" t="s">
        <v>8428</v>
      </c>
      <c r="C108" s="74" t="s">
        <v>8429</v>
      </c>
      <c r="D108" s="238"/>
      <c r="F108" s="43"/>
      <c r="G108" s="216"/>
      <c r="H108" s="38"/>
      <c r="I108" s="236" t="s">
        <v>397</v>
      </c>
      <c r="J108" s="218" t="s">
        <v>398</v>
      </c>
      <c r="K108" s="46">
        <v>1</v>
      </c>
      <c r="L108" s="709"/>
      <c r="M108" s="704"/>
      <c r="N108" s="47">
        <f>ROUND((ROUND((_11_A家事３．５*_11・２人),0)*_11・初任),0)</f>
        <v>388</v>
      </c>
      <c r="O108" s="48"/>
    </row>
    <row r="109" spans="1:15" ht="16.5" customHeight="1" x14ac:dyDescent="0.15">
      <c r="A109" s="41">
        <v>11</v>
      </c>
      <c r="B109" s="41" t="s">
        <v>8430</v>
      </c>
      <c r="C109" s="74" t="s">
        <v>8431</v>
      </c>
      <c r="D109" s="239"/>
      <c r="F109" s="752" t="s">
        <v>400</v>
      </c>
      <c r="G109" s="221" t="s">
        <v>398</v>
      </c>
      <c r="H109" s="50">
        <v>0.9</v>
      </c>
      <c r="I109" s="44"/>
      <c r="J109" s="218"/>
      <c r="K109" s="46"/>
      <c r="L109" s="709"/>
      <c r="M109" s="704"/>
      <c r="N109" s="47">
        <f>ROUND((ROUND((_11_A家事３．５*_11・基礎２),0)*_11・初任),0)</f>
        <v>349</v>
      </c>
      <c r="O109" s="48"/>
    </row>
    <row r="110" spans="1:15" ht="16.5" customHeight="1" x14ac:dyDescent="0.15">
      <c r="A110" s="41">
        <v>11</v>
      </c>
      <c r="B110" s="41" t="s">
        <v>8432</v>
      </c>
      <c r="C110" s="74" t="s">
        <v>8433</v>
      </c>
      <c r="D110" s="239"/>
      <c r="F110" s="757"/>
      <c r="G110" s="216"/>
      <c r="H110" s="38"/>
      <c r="I110" s="236" t="s">
        <v>397</v>
      </c>
      <c r="J110" s="218" t="s">
        <v>398</v>
      </c>
      <c r="K110" s="46">
        <v>1</v>
      </c>
      <c r="L110" s="240" t="s">
        <v>398</v>
      </c>
      <c r="M110" s="38">
        <f>_11・初任</f>
        <v>0.7</v>
      </c>
      <c r="N110" s="47">
        <f>ROUND((ROUND((ROUND((_11_A家事３．５*_11・基礎２),0)*_11・２人),0)*_11・初任),0)</f>
        <v>349</v>
      </c>
      <c r="O110" s="48"/>
    </row>
    <row r="111" spans="1:15" ht="16.5" customHeight="1" x14ac:dyDescent="0.15">
      <c r="A111" s="41">
        <v>11</v>
      </c>
      <c r="B111" s="41">
        <v>7675</v>
      </c>
      <c r="C111" s="74" t="s">
        <v>8434</v>
      </c>
      <c r="D111" s="770" t="s">
        <v>8435</v>
      </c>
      <c r="E111" s="771"/>
      <c r="F111" s="53"/>
      <c r="G111" s="221"/>
      <c r="H111" s="50"/>
      <c r="I111" s="44"/>
      <c r="J111" s="218"/>
      <c r="K111" s="46"/>
      <c r="L111" s="53"/>
      <c r="M111" s="50"/>
      <c r="N111" s="47">
        <f>_11_A家事３．７５</f>
        <v>589</v>
      </c>
      <c r="O111" s="48"/>
    </row>
    <row r="112" spans="1:15" ht="16.5" customHeight="1" x14ac:dyDescent="0.15">
      <c r="A112" s="41">
        <v>11</v>
      </c>
      <c r="B112" s="41">
        <v>7676</v>
      </c>
      <c r="C112" s="74" t="s">
        <v>8436</v>
      </c>
      <c r="D112" s="772"/>
      <c r="E112" s="773"/>
      <c r="F112" s="43"/>
      <c r="G112" s="216"/>
      <c r="H112" s="38"/>
      <c r="I112" s="236" t="s">
        <v>397</v>
      </c>
      <c r="J112" s="218" t="s">
        <v>398</v>
      </c>
      <c r="K112" s="46">
        <v>1</v>
      </c>
      <c r="L112" s="35"/>
      <c r="N112" s="47">
        <f>ROUND((_11_A家事３．７５*_11・２人),0)</f>
        <v>589</v>
      </c>
      <c r="O112" s="48"/>
    </row>
    <row r="113" spans="1:15" ht="16.5" customHeight="1" x14ac:dyDescent="0.15">
      <c r="A113" s="41">
        <v>11</v>
      </c>
      <c r="B113" s="41">
        <v>7677</v>
      </c>
      <c r="C113" s="74" t="s">
        <v>8437</v>
      </c>
      <c r="D113" s="772"/>
      <c r="E113" s="773"/>
      <c r="F113" s="752" t="s">
        <v>400</v>
      </c>
      <c r="G113" s="221" t="s">
        <v>398</v>
      </c>
      <c r="H113" s="50">
        <v>0.9</v>
      </c>
      <c r="I113" s="44"/>
      <c r="J113" s="218"/>
      <c r="K113" s="46"/>
      <c r="L113" s="35"/>
      <c r="N113" s="47">
        <f>ROUND((_11_A家事３．７５*_11・基礎２),0)</f>
        <v>530</v>
      </c>
      <c r="O113" s="48"/>
    </row>
    <row r="114" spans="1:15" ht="16.5" customHeight="1" x14ac:dyDescent="0.15">
      <c r="A114" s="41">
        <v>11</v>
      </c>
      <c r="B114" s="41">
        <v>7678</v>
      </c>
      <c r="C114" s="74" t="s">
        <v>8438</v>
      </c>
      <c r="D114" s="237">
        <f>_11_A家事３．７５</f>
        <v>589</v>
      </c>
      <c r="E114" s="12" t="s">
        <v>392</v>
      </c>
      <c r="F114" s="757"/>
      <c r="G114" s="216"/>
      <c r="H114" s="38"/>
      <c r="I114" s="236" t="s">
        <v>397</v>
      </c>
      <c r="J114" s="218" t="s">
        <v>398</v>
      </c>
      <c r="K114" s="46">
        <v>1</v>
      </c>
      <c r="L114" s="43"/>
      <c r="M114" s="38"/>
      <c r="N114" s="47">
        <f>ROUND((ROUND((_11_A家事３．７５*_11・基礎２),0)*_11・２人),0)</f>
        <v>530</v>
      </c>
      <c r="O114" s="48"/>
    </row>
    <row r="115" spans="1:15" ht="16.5" customHeight="1" x14ac:dyDescent="0.15">
      <c r="A115" s="41">
        <v>11</v>
      </c>
      <c r="B115" s="41" t="s">
        <v>8439</v>
      </c>
      <c r="C115" s="74" t="s">
        <v>8440</v>
      </c>
      <c r="D115" s="238"/>
      <c r="F115" s="53"/>
      <c r="G115" s="221"/>
      <c r="H115" s="50"/>
      <c r="I115" s="44"/>
      <c r="J115" s="218"/>
      <c r="K115" s="46"/>
      <c r="L115" s="707" t="s">
        <v>404</v>
      </c>
      <c r="M115" s="708"/>
      <c r="N115" s="47">
        <f>ROUND((_11_A家事３．７５*_11・初任),0)</f>
        <v>412</v>
      </c>
      <c r="O115" s="48"/>
    </row>
    <row r="116" spans="1:15" ht="16.5" customHeight="1" x14ac:dyDescent="0.15">
      <c r="A116" s="41">
        <v>11</v>
      </c>
      <c r="B116" s="41" t="s">
        <v>8441</v>
      </c>
      <c r="C116" s="74" t="s">
        <v>8442</v>
      </c>
      <c r="D116" s="238"/>
      <c r="F116" s="43"/>
      <c r="G116" s="216"/>
      <c r="H116" s="38"/>
      <c r="I116" s="236" t="s">
        <v>397</v>
      </c>
      <c r="J116" s="218" t="s">
        <v>398</v>
      </c>
      <c r="K116" s="46">
        <v>1</v>
      </c>
      <c r="L116" s="709"/>
      <c r="M116" s="704"/>
      <c r="N116" s="47">
        <f>ROUND((ROUND((_11_A家事３．７５*_11・２人),0)*_11・初任),0)</f>
        <v>412</v>
      </c>
      <c r="O116" s="48"/>
    </row>
    <row r="117" spans="1:15" ht="16.5" customHeight="1" x14ac:dyDescent="0.15">
      <c r="A117" s="41">
        <v>11</v>
      </c>
      <c r="B117" s="41" t="s">
        <v>8443</v>
      </c>
      <c r="C117" s="74" t="s">
        <v>8444</v>
      </c>
      <c r="D117" s="239"/>
      <c r="F117" s="752" t="s">
        <v>400</v>
      </c>
      <c r="G117" s="221" t="s">
        <v>398</v>
      </c>
      <c r="H117" s="50">
        <v>0.9</v>
      </c>
      <c r="I117" s="44"/>
      <c r="J117" s="218"/>
      <c r="K117" s="46"/>
      <c r="L117" s="709"/>
      <c r="M117" s="704"/>
      <c r="N117" s="47">
        <f>ROUND((ROUND((_11_A家事３．７５*_11・基礎２),0)*_11・初任),0)</f>
        <v>371</v>
      </c>
      <c r="O117" s="48"/>
    </row>
    <row r="118" spans="1:15" ht="16.5" customHeight="1" x14ac:dyDescent="0.15">
      <c r="A118" s="41">
        <v>11</v>
      </c>
      <c r="B118" s="41" t="s">
        <v>8445</v>
      </c>
      <c r="C118" s="74" t="s">
        <v>8446</v>
      </c>
      <c r="D118" s="239"/>
      <c r="F118" s="757"/>
      <c r="G118" s="216"/>
      <c r="H118" s="38"/>
      <c r="I118" s="236" t="s">
        <v>397</v>
      </c>
      <c r="J118" s="218" t="s">
        <v>398</v>
      </c>
      <c r="K118" s="46">
        <v>1</v>
      </c>
      <c r="L118" s="240" t="s">
        <v>398</v>
      </c>
      <c r="M118" s="38">
        <f>_11・初任</f>
        <v>0.7</v>
      </c>
      <c r="N118" s="47">
        <f>ROUND((ROUND((ROUND((_11_A家事３．７５*_11・基礎２),0)*_11・２人),0)*_11・初任),0)</f>
        <v>371</v>
      </c>
      <c r="O118" s="48"/>
    </row>
    <row r="119" spans="1:15" ht="16.5" customHeight="1" x14ac:dyDescent="0.15">
      <c r="A119" s="41">
        <v>11</v>
      </c>
      <c r="B119" s="41">
        <v>6139</v>
      </c>
      <c r="C119" s="74" t="s">
        <v>8447</v>
      </c>
      <c r="D119" s="770" t="s">
        <v>8448</v>
      </c>
      <c r="E119" s="771"/>
      <c r="F119" s="53"/>
      <c r="G119" s="221"/>
      <c r="H119" s="50"/>
      <c r="I119" s="44"/>
      <c r="J119" s="218"/>
      <c r="K119" s="46"/>
      <c r="L119" s="53"/>
      <c r="M119" s="50"/>
      <c r="N119" s="47">
        <f>_11_A家事４．０</f>
        <v>624</v>
      </c>
      <c r="O119" s="48"/>
    </row>
    <row r="120" spans="1:15" ht="16.5" customHeight="1" x14ac:dyDescent="0.15">
      <c r="A120" s="41">
        <v>11</v>
      </c>
      <c r="B120" s="41">
        <v>6140</v>
      </c>
      <c r="C120" s="74" t="s">
        <v>8449</v>
      </c>
      <c r="D120" s="772"/>
      <c r="E120" s="773"/>
      <c r="F120" s="43"/>
      <c r="G120" s="216"/>
      <c r="H120" s="38"/>
      <c r="I120" s="236" t="s">
        <v>397</v>
      </c>
      <c r="J120" s="218" t="s">
        <v>398</v>
      </c>
      <c r="K120" s="46">
        <v>1</v>
      </c>
      <c r="L120" s="35"/>
      <c r="N120" s="47">
        <f>ROUND((_11_A家事４．０*_11・２人),0)</f>
        <v>624</v>
      </c>
      <c r="O120" s="48"/>
    </row>
    <row r="121" spans="1:15" ht="16.5" customHeight="1" x14ac:dyDescent="0.15">
      <c r="A121" s="41">
        <v>11</v>
      </c>
      <c r="B121" s="41">
        <v>6141</v>
      </c>
      <c r="C121" s="74" t="s">
        <v>8450</v>
      </c>
      <c r="D121" s="772"/>
      <c r="E121" s="773"/>
      <c r="F121" s="752" t="s">
        <v>400</v>
      </c>
      <c r="G121" s="221" t="s">
        <v>398</v>
      </c>
      <c r="H121" s="50">
        <v>0.9</v>
      </c>
      <c r="I121" s="44"/>
      <c r="J121" s="218"/>
      <c r="K121" s="46"/>
      <c r="L121" s="35"/>
      <c r="N121" s="47">
        <f>ROUND((_11_A家事４．０*_11・基礎２),0)</f>
        <v>562</v>
      </c>
      <c r="O121" s="48"/>
    </row>
    <row r="122" spans="1:15" ht="16.5" customHeight="1" x14ac:dyDescent="0.15">
      <c r="A122" s="41">
        <v>11</v>
      </c>
      <c r="B122" s="41">
        <v>6142</v>
      </c>
      <c r="C122" s="74" t="s">
        <v>8451</v>
      </c>
      <c r="D122" s="237">
        <f>_11_A家事４．０</f>
        <v>624</v>
      </c>
      <c r="E122" s="12" t="s">
        <v>392</v>
      </c>
      <c r="F122" s="757"/>
      <c r="G122" s="216"/>
      <c r="H122" s="38"/>
      <c r="I122" s="236" t="s">
        <v>397</v>
      </c>
      <c r="J122" s="218" t="s">
        <v>398</v>
      </c>
      <c r="K122" s="46">
        <v>1</v>
      </c>
      <c r="L122" s="43"/>
      <c r="M122" s="38"/>
      <c r="N122" s="47">
        <f>ROUND((ROUND((_11_A家事４．０*_11・基礎２),0)*_11・２人),0)</f>
        <v>562</v>
      </c>
      <c r="O122" s="48"/>
    </row>
    <row r="123" spans="1:15" ht="16.5" customHeight="1" x14ac:dyDescent="0.15">
      <c r="A123" s="41">
        <v>11</v>
      </c>
      <c r="B123" s="41" t="s">
        <v>8452</v>
      </c>
      <c r="C123" s="74" t="s">
        <v>8453</v>
      </c>
      <c r="D123" s="238"/>
      <c r="F123" s="53"/>
      <c r="G123" s="221"/>
      <c r="H123" s="50"/>
      <c r="I123" s="44"/>
      <c r="J123" s="218"/>
      <c r="K123" s="46"/>
      <c r="L123" s="707" t="s">
        <v>404</v>
      </c>
      <c r="M123" s="708"/>
      <c r="N123" s="47">
        <f>ROUND((_11_A家事４．０*_11・初任),0)</f>
        <v>437</v>
      </c>
      <c r="O123" s="48"/>
    </row>
    <row r="124" spans="1:15" ht="16.5" customHeight="1" x14ac:dyDescent="0.15">
      <c r="A124" s="41">
        <v>11</v>
      </c>
      <c r="B124" s="41" t="s">
        <v>8454</v>
      </c>
      <c r="C124" s="74" t="s">
        <v>8455</v>
      </c>
      <c r="D124" s="238"/>
      <c r="F124" s="43"/>
      <c r="G124" s="216"/>
      <c r="H124" s="38"/>
      <c r="I124" s="236" t="s">
        <v>397</v>
      </c>
      <c r="J124" s="218" t="s">
        <v>398</v>
      </c>
      <c r="K124" s="46">
        <v>1</v>
      </c>
      <c r="L124" s="709"/>
      <c r="M124" s="704"/>
      <c r="N124" s="47">
        <f>ROUND((ROUND((_11_A家事４．０*_11・２人),0)*_11・初任),0)</f>
        <v>437</v>
      </c>
      <c r="O124" s="48"/>
    </row>
    <row r="125" spans="1:15" ht="16.5" customHeight="1" x14ac:dyDescent="0.15">
      <c r="A125" s="41">
        <v>11</v>
      </c>
      <c r="B125" s="41" t="s">
        <v>8456</v>
      </c>
      <c r="C125" s="74" t="s">
        <v>8457</v>
      </c>
      <c r="D125" s="239"/>
      <c r="F125" s="752" t="s">
        <v>400</v>
      </c>
      <c r="G125" s="221" t="s">
        <v>398</v>
      </c>
      <c r="H125" s="50">
        <v>0.9</v>
      </c>
      <c r="I125" s="44"/>
      <c r="J125" s="218"/>
      <c r="K125" s="46"/>
      <c r="L125" s="709"/>
      <c r="M125" s="704"/>
      <c r="N125" s="47">
        <f>ROUND((ROUND((_11_A家事４．０*_11・基礎２),0)*_11・初任),0)</f>
        <v>393</v>
      </c>
      <c r="O125" s="48"/>
    </row>
    <row r="126" spans="1:15" ht="16.5" customHeight="1" x14ac:dyDescent="0.15">
      <c r="A126" s="41">
        <v>11</v>
      </c>
      <c r="B126" s="41" t="s">
        <v>8458</v>
      </c>
      <c r="C126" s="74" t="s">
        <v>8459</v>
      </c>
      <c r="D126" s="239"/>
      <c r="F126" s="757"/>
      <c r="G126" s="216"/>
      <c r="H126" s="38"/>
      <c r="I126" s="236" t="s">
        <v>397</v>
      </c>
      <c r="J126" s="218" t="s">
        <v>398</v>
      </c>
      <c r="K126" s="46">
        <v>1</v>
      </c>
      <c r="L126" s="240" t="s">
        <v>398</v>
      </c>
      <c r="M126" s="38">
        <f>_11・初任</f>
        <v>0.7</v>
      </c>
      <c r="N126" s="47">
        <f>ROUND((ROUND((ROUND((_11_A家事４．０*_11・基礎２),0)*_11・２人),0)*_11・初任),0)</f>
        <v>393</v>
      </c>
      <c r="O126" s="48"/>
    </row>
    <row r="127" spans="1:15" ht="16.5" customHeight="1" x14ac:dyDescent="0.15">
      <c r="A127" s="41">
        <v>11</v>
      </c>
      <c r="B127" s="41">
        <v>7679</v>
      </c>
      <c r="C127" s="74" t="s">
        <v>8460</v>
      </c>
      <c r="D127" s="770" t="s">
        <v>8461</v>
      </c>
      <c r="E127" s="771"/>
      <c r="F127" s="53"/>
      <c r="G127" s="221"/>
      <c r="H127" s="50"/>
      <c r="I127" s="44"/>
      <c r="J127" s="218"/>
      <c r="K127" s="46"/>
      <c r="L127" s="53"/>
      <c r="M127" s="50"/>
      <c r="N127" s="47">
        <f>_11_A家事４．２５</f>
        <v>659</v>
      </c>
      <c r="O127" s="48"/>
    </row>
    <row r="128" spans="1:15" ht="16.5" customHeight="1" x14ac:dyDescent="0.15">
      <c r="A128" s="41">
        <v>11</v>
      </c>
      <c r="B128" s="41">
        <v>7680</v>
      </c>
      <c r="C128" s="74" t="s">
        <v>8462</v>
      </c>
      <c r="D128" s="772"/>
      <c r="E128" s="773"/>
      <c r="F128" s="43"/>
      <c r="G128" s="216"/>
      <c r="H128" s="38"/>
      <c r="I128" s="236" t="s">
        <v>397</v>
      </c>
      <c r="J128" s="218" t="s">
        <v>398</v>
      </c>
      <c r="K128" s="46">
        <v>1</v>
      </c>
      <c r="L128" s="35"/>
      <c r="N128" s="47">
        <f>ROUND((_11_A家事４．２５*_11・２人),0)</f>
        <v>659</v>
      </c>
      <c r="O128" s="48"/>
    </row>
    <row r="129" spans="1:15" ht="16.5" customHeight="1" x14ac:dyDescent="0.15">
      <c r="A129" s="41">
        <v>11</v>
      </c>
      <c r="B129" s="41">
        <v>7681</v>
      </c>
      <c r="C129" s="74" t="s">
        <v>8463</v>
      </c>
      <c r="D129" s="772"/>
      <c r="E129" s="773"/>
      <c r="F129" s="752" t="s">
        <v>400</v>
      </c>
      <c r="G129" s="221" t="s">
        <v>398</v>
      </c>
      <c r="H129" s="50">
        <v>0.9</v>
      </c>
      <c r="I129" s="44"/>
      <c r="J129" s="218"/>
      <c r="K129" s="46"/>
      <c r="L129" s="35"/>
      <c r="N129" s="47">
        <f>ROUND((_11_A家事４．２５*_11・基礎２),0)</f>
        <v>593</v>
      </c>
      <c r="O129" s="48"/>
    </row>
    <row r="130" spans="1:15" ht="16.5" customHeight="1" x14ac:dyDescent="0.15">
      <c r="A130" s="41">
        <v>11</v>
      </c>
      <c r="B130" s="41">
        <v>7682</v>
      </c>
      <c r="C130" s="74" t="s">
        <v>8464</v>
      </c>
      <c r="D130" s="237">
        <f>_11_A家事４．２５</f>
        <v>659</v>
      </c>
      <c r="E130" s="12" t="s">
        <v>392</v>
      </c>
      <c r="F130" s="757"/>
      <c r="G130" s="216"/>
      <c r="H130" s="38"/>
      <c r="I130" s="236" t="s">
        <v>397</v>
      </c>
      <c r="J130" s="218" t="s">
        <v>398</v>
      </c>
      <c r="K130" s="46">
        <v>1</v>
      </c>
      <c r="L130" s="43"/>
      <c r="M130" s="38"/>
      <c r="N130" s="47">
        <f>ROUND((ROUND((_11_A家事４．２５*_11・基礎２),0)*_11・２人),0)</f>
        <v>593</v>
      </c>
      <c r="O130" s="48"/>
    </row>
    <row r="131" spans="1:15" ht="16.5" customHeight="1" x14ac:dyDescent="0.15">
      <c r="A131" s="41">
        <v>11</v>
      </c>
      <c r="B131" s="41" t="s">
        <v>8465</v>
      </c>
      <c r="C131" s="74" t="s">
        <v>8466</v>
      </c>
      <c r="D131" s="238"/>
      <c r="F131" s="53"/>
      <c r="G131" s="221"/>
      <c r="H131" s="50"/>
      <c r="I131" s="44"/>
      <c r="J131" s="218"/>
      <c r="K131" s="46"/>
      <c r="L131" s="707" t="s">
        <v>404</v>
      </c>
      <c r="M131" s="708"/>
      <c r="N131" s="47">
        <f>ROUND((_11_A家事４．２５*_11・初任),0)</f>
        <v>461</v>
      </c>
      <c r="O131" s="48"/>
    </row>
    <row r="132" spans="1:15" ht="16.5" customHeight="1" x14ac:dyDescent="0.15">
      <c r="A132" s="41">
        <v>11</v>
      </c>
      <c r="B132" s="41" t="s">
        <v>8467</v>
      </c>
      <c r="C132" s="74" t="s">
        <v>8468</v>
      </c>
      <c r="D132" s="238"/>
      <c r="F132" s="43"/>
      <c r="G132" s="216"/>
      <c r="H132" s="38"/>
      <c r="I132" s="236" t="s">
        <v>397</v>
      </c>
      <c r="J132" s="218" t="s">
        <v>398</v>
      </c>
      <c r="K132" s="46">
        <v>1</v>
      </c>
      <c r="L132" s="709"/>
      <c r="M132" s="704"/>
      <c r="N132" s="47">
        <f>ROUND((ROUND((_11_A家事４．２５*_11・２人),0)*_11・初任),0)</f>
        <v>461</v>
      </c>
      <c r="O132" s="48"/>
    </row>
    <row r="133" spans="1:15" ht="16.5" customHeight="1" x14ac:dyDescent="0.15">
      <c r="A133" s="41">
        <v>11</v>
      </c>
      <c r="B133" s="41" t="s">
        <v>8469</v>
      </c>
      <c r="C133" s="74" t="s">
        <v>8470</v>
      </c>
      <c r="D133" s="239"/>
      <c r="F133" s="752" t="s">
        <v>400</v>
      </c>
      <c r="G133" s="221" t="s">
        <v>398</v>
      </c>
      <c r="H133" s="50">
        <v>0.9</v>
      </c>
      <c r="I133" s="44"/>
      <c r="J133" s="218"/>
      <c r="K133" s="46"/>
      <c r="L133" s="709"/>
      <c r="M133" s="704"/>
      <c r="N133" s="47">
        <f>ROUND((ROUND((_11_A家事４．２５*_11・基礎２),0)*_11・初任),0)</f>
        <v>415</v>
      </c>
      <c r="O133" s="48"/>
    </row>
    <row r="134" spans="1:15" ht="16.5" customHeight="1" x14ac:dyDescent="0.15">
      <c r="A134" s="41">
        <v>11</v>
      </c>
      <c r="B134" s="41" t="s">
        <v>8471</v>
      </c>
      <c r="C134" s="74" t="s">
        <v>8472</v>
      </c>
      <c r="D134" s="239"/>
      <c r="F134" s="757"/>
      <c r="G134" s="216"/>
      <c r="H134" s="38"/>
      <c r="I134" s="236" t="s">
        <v>397</v>
      </c>
      <c r="J134" s="218" t="s">
        <v>398</v>
      </c>
      <c r="K134" s="46">
        <v>1</v>
      </c>
      <c r="L134" s="240" t="s">
        <v>398</v>
      </c>
      <c r="M134" s="38">
        <f>_11・初任</f>
        <v>0.7</v>
      </c>
      <c r="N134" s="47">
        <f>ROUND((ROUND((ROUND((_11_A家事４．２５*_11・基礎２),0)*_11・２人),0)*_11・初任),0)</f>
        <v>415</v>
      </c>
      <c r="O134" s="48"/>
    </row>
    <row r="135" spans="1:15" ht="16.5" customHeight="1" x14ac:dyDescent="0.15">
      <c r="A135" s="41">
        <v>11</v>
      </c>
      <c r="B135" s="41">
        <v>6143</v>
      </c>
      <c r="C135" s="74" t="s">
        <v>8473</v>
      </c>
      <c r="D135" s="770" t="s">
        <v>8474</v>
      </c>
      <c r="E135" s="771"/>
      <c r="F135" s="53"/>
      <c r="G135" s="221"/>
      <c r="H135" s="50"/>
      <c r="I135" s="44"/>
      <c r="J135" s="218"/>
      <c r="K135" s="46"/>
      <c r="L135" s="53"/>
      <c r="M135" s="50"/>
      <c r="N135" s="47">
        <f>_11_A家事４．５</f>
        <v>694</v>
      </c>
      <c r="O135" s="48"/>
    </row>
    <row r="136" spans="1:15" ht="16.5" customHeight="1" x14ac:dyDescent="0.15">
      <c r="A136" s="41">
        <v>11</v>
      </c>
      <c r="B136" s="41">
        <v>6144</v>
      </c>
      <c r="C136" s="74" t="s">
        <v>8475</v>
      </c>
      <c r="D136" s="772"/>
      <c r="E136" s="773"/>
      <c r="F136" s="43"/>
      <c r="G136" s="216"/>
      <c r="H136" s="38"/>
      <c r="I136" s="236" t="s">
        <v>397</v>
      </c>
      <c r="J136" s="218" t="s">
        <v>398</v>
      </c>
      <c r="K136" s="46">
        <v>1</v>
      </c>
      <c r="L136" s="35"/>
      <c r="N136" s="47">
        <f>ROUND((_11_A家事４．５*_11・２人),0)</f>
        <v>694</v>
      </c>
      <c r="O136" s="48"/>
    </row>
    <row r="137" spans="1:15" ht="16.5" customHeight="1" x14ac:dyDescent="0.15">
      <c r="A137" s="41">
        <v>11</v>
      </c>
      <c r="B137" s="41">
        <v>6145</v>
      </c>
      <c r="C137" s="74" t="s">
        <v>8476</v>
      </c>
      <c r="D137" s="772"/>
      <c r="E137" s="773"/>
      <c r="F137" s="752" t="s">
        <v>400</v>
      </c>
      <c r="G137" s="221" t="s">
        <v>398</v>
      </c>
      <c r="H137" s="50">
        <v>0.9</v>
      </c>
      <c r="I137" s="44"/>
      <c r="J137" s="218"/>
      <c r="K137" s="46"/>
      <c r="L137" s="35"/>
      <c r="N137" s="47">
        <f>ROUND((_11_A家事４．５*_11・基礎２),0)</f>
        <v>625</v>
      </c>
      <c r="O137" s="48"/>
    </row>
    <row r="138" spans="1:15" ht="16.5" customHeight="1" x14ac:dyDescent="0.15">
      <c r="A138" s="41">
        <v>11</v>
      </c>
      <c r="B138" s="41">
        <v>6146</v>
      </c>
      <c r="C138" s="74" t="s">
        <v>8477</v>
      </c>
      <c r="D138" s="237">
        <f>_11_A家事４．５</f>
        <v>694</v>
      </c>
      <c r="E138" s="12" t="s">
        <v>392</v>
      </c>
      <c r="F138" s="757"/>
      <c r="G138" s="216"/>
      <c r="H138" s="38"/>
      <c r="I138" s="236" t="s">
        <v>397</v>
      </c>
      <c r="J138" s="218" t="s">
        <v>398</v>
      </c>
      <c r="K138" s="46">
        <v>1</v>
      </c>
      <c r="L138" s="43"/>
      <c r="M138" s="38"/>
      <c r="N138" s="47">
        <f>ROUND((ROUND((_11_A家事４．５*_11・基礎２),0)*_11・２人),0)</f>
        <v>625</v>
      </c>
      <c r="O138" s="48"/>
    </row>
    <row r="139" spans="1:15" ht="16.5" customHeight="1" x14ac:dyDescent="0.15">
      <c r="A139" s="41">
        <v>11</v>
      </c>
      <c r="B139" s="41" t="s">
        <v>8478</v>
      </c>
      <c r="C139" s="74" t="s">
        <v>8479</v>
      </c>
      <c r="D139" s="238"/>
      <c r="F139" s="53"/>
      <c r="G139" s="221"/>
      <c r="H139" s="50"/>
      <c r="I139" s="44"/>
      <c r="J139" s="218"/>
      <c r="K139" s="46"/>
      <c r="L139" s="707" t="s">
        <v>404</v>
      </c>
      <c r="M139" s="708"/>
      <c r="N139" s="47">
        <f>ROUND((_11_A家事４．５*_11・初任),0)</f>
        <v>486</v>
      </c>
      <c r="O139" s="48"/>
    </row>
    <row r="140" spans="1:15" ht="16.5" customHeight="1" x14ac:dyDescent="0.15">
      <c r="A140" s="41">
        <v>11</v>
      </c>
      <c r="B140" s="41" t="s">
        <v>8480</v>
      </c>
      <c r="C140" s="74" t="s">
        <v>8481</v>
      </c>
      <c r="D140" s="238"/>
      <c r="F140" s="43"/>
      <c r="G140" s="216"/>
      <c r="H140" s="38"/>
      <c r="I140" s="236" t="s">
        <v>397</v>
      </c>
      <c r="J140" s="218" t="s">
        <v>398</v>
      </c>
      <c r="K140" s="46">
        <v>1</v>
      </c>
      <c r="L140" s="709"/>
      <c r="M140" s="704"/>
      <c r="N140" s="47">
        <f>ROUND((ROUND((_11_A家事４．５*_11・２人),0)*_11・初任),0)</f>
        <v>486</v>
      </c>
      <c r="O140" s="48"/>
    </row>
    <row r="141" spans="1:15" ht="16.5" customHeight="1" x14ac:dyDescent="0.15">
      <c r="A141" s="41">
        <v>11</v>
      </c>
      <c r="B141" s="41" t="s">
        <v>8482</v>
      </c>
      <c r="C141" s="74" t="s">
        <v>8483</v>
      </c>
      <c r="D141" s="239"/>
      <c r="F141" s="752" t="s">
        <v>400</v>
      </c>
      <c r="G141" s="221" t="s">
        <v>398</v>
      </c>
      <c r="H141" s="50">
        <v>0.9</v>
      </c>
      <c r="I141" s="44"/>
      <c r="J141" s="218"/>
      <c r="K141" s="46"/>
      <c r="L141" s="709"/>
      <c r="M141" s="704"/>
      <c r="N141" s="47">
        <f>ROUND((ROUND((_11_A家事４．５*_11・基礎２),0)*_11・初任),0)</f>
        <v>438</v>
      </c>
      <c r="O141" s="48"/>
    </row>
    <row r="142" spans="1:15" ht="16.5" customHeight="1" x14ac:dyDescent="0.15">
      <c r="A142" s="41">
        <v>11</v>
      </c>
      <c r="B142" s="41" t="s">
        <v>8484</v>
      </c>
      <c r="C142" s="74" t="s">
        <v>8485</v>
      </c>
      <c r="D142" s="239"/>
      <c r="F142" s="757"/>
      <c r="G142" s="216"/>
      <c r="H142" s="38"/>
      <c r="I142" s="236" t="s">
        <v>397</v>
      </c>
      <c r="J142" s="218" t="s">
        <v>398</v>
      </c>
      <c r="K142" s="46">
        <v>1</v>
      </c>
      <c r="L142" s="240" t="s">
        <v>398</v>
      </c>
      <c r="M142" s="38">
        <f>_11・初任</f>
        <v>0.7</v>
      </c>
      <c r="N142" s="47">
        <f>ROUND((ROUND((ROUND((_11_A家事４．５*_11・基礎２),0)*_11・２人),0)*_11・初任),0)</f>
        <v>438</v>
      </c>
      <c r="O142" s="48"/>
    </row>
    <row r="143" spans="1:15" ht="16.5" customHeight="1" x14ac:dyDescent="0.15">
      <c r="A143" s="41">
        <v>11</v>
      </c>
      <c r="B143" s="41">
        <v>7683</v>
      </c>
      <c r="C143" s="74" t="s">
        <v>8486</v>
      </c>
      <c r="D143" s="770" t="s">
        <v>8487</v>
      </c>
      <c r="E143" s="771"/>
      <c r="F143" s="53"/>
      <c r="G143" s="221"/>
      <c r="H143" s="50"/>
      <c r="I143" s="44"/>
      <c r="J143" s="218"/>
      <c r="K143" s="46"/>
      <c r="L143" s="53"/>
      <c r="M143" s="50"/>
      <c r="N143" s="47">
        <f>_11_A家事４．７５</f>
        <v>729</v>
      </c>
      <c r="O143" s="48"/>
    </row>
    <row r="144" spans="1:15" ht="16.5" customHeight="1" x14ac:dyDescent="0.15">
      <c r="A144" s="41">
        <v>11</v>
      </c>
      <c r="B144" s="41">
        <v>7684</v>
      </c>
      <c r="C144" s="74" t="s">
        <v>8488</v>
      </c>
      <c r="D144" s="772"/>
      <c r="E144" s="773"/>
      <c r="F144" s="43"/>
      <c r="G144" s="216"/>
      <c r="H144" s="38"/>
      <c r="I144" s="236" t="s">
        <v>397</v>
      </c>
      <c r="J144" s="218" t="s">
        <v>398</v>
      </c>
      <c r="K144" s="46">
        <v>1</v>
      </c>
      <c r="L144" s="35"/>
      <c r="N144" s="47">
        <f>ROUND((_11_A家事４．７５*_11・２人),0)</f>
        <v>729</v>
      </c>
      <c r="O144" s="48"/>
    </row>
    <row r="145" spans="1:15" ht="16.5" customHeight="1" x14ac:dyDescent="0.15">
      <c r="A145" s="41">
        <v>11</v>
      </c>
      <c r="B145" s="41">
        <v>7685</v>
      </c>
      <c r="C145" s="74" t="s">
        <v>8489</v>
      </c>
      <c r="D145" s="772"/>
      <c r="E145" s="773"/>
      <c r="F145" s="752" t="s">
        <v>400</v>
      </c>
      <c r="G145" s="221" t="s">
        <v>398</v>
      </c>
      <c r="H145" s="50">
        <v>0.9</v>
      </c>
      <c r="I145" s="44"/>
      <c r="J145" s="218"/>
      <c r="K145" s="46"/>
      <c r="L145" s="35"/>
      <c r="N145" s="47">
        <f>ROUND((_11_A家事４．７５*_11・基礎２),0)</f>
        <v>656</v>
      </c>
      <c r="O145" s="48"/>
    </row>
    <row r="146" spans="1:15" ht="16.5" customHeight="1" x14ac:dyDescent="0.15">
      <c r="A146" s="41">
        <v>11</v>
      </c>
      <c r="B146" s="41">
        <v>7686</v>
      </c>
      <c r="C146" s="74" t="s">
        <v>8490</v>
      </c>
      <c r="D146" s="237">
        <f>_11_A家事４．７５</f>
        <v>729</v>
      </c>
      <c r="E146" s="12" t="s">
        <v>392</v>
      </c>
      <c r="F146" s="757"/>
      <c r="G146" s="216"/>
      <c r="H146" s="38"/>
      <c r="I146" s="236" t="s">
        <v>397</v>
      </c>
      <c r="J146" s="218" t="s">
        <v>398</v>
      </c>
      <c r="K146" s="46">
        <v>1</v>
      </c>
      <c r="L146" s="43"/>
      <c r="M146" s="38"/>
      <c r="N146" s="47">
        <f>ROUND((ROUND((_11_A家事４．７５*_11・基礎２),0)*_11・２人),0)</f>
        <v>656</v>
      </c>
      <c r="O146" s="48"/>
    </row>
    <row r="147" spans="1:15" ht="16.5" customHeight="1" x14ac:dyDescent="0.15">
      <c r="A147" s="41">
        <v>11</v>
      </c>
      <c r="B147" s="41" t="s">
        <v>8491</v>
      </c>
      <c r="C147" s="74" t="s">
        <v>8492</v>
      </c>
      <c r="D147" s="238"/>
      <c r="F147" s="53"/>
      <c r="G147" s="221"/>
      <c r="H147" s="50"/>
      <c r="I147" s="44"/>
      <c r="J147" s="218"/>
      <c r="K147" s="46"/>
      <c r="L147" s="707" t="s">
        <v>404</v>
      </c>
      <c r="M147" s="708"/>
      <c r="N147" s="47">
        <f>ROUND((_11_A家事４．７５*_11・初任),0)</f>
        <v>510</v>
      </c>
      <c r="O147" s="48"/>
    </row>
    <row r="148" spans="1:15" ht="16.5" customHeight="1" x14ac:dyDescent="0.15">
      <c r="A148" s="41">
        <v>11</v>
      </c>
      <c r="B148" s="41" t="s">
        <v>8493</v>
      </c>
      <c r="C148" s="74" t="s">
        <v>8494</v>
      </c>
      <c r="D148" s="238"/>
      <c r="F148" s="43"/>
      <c r="G148" s="216"/>
      <c r="H148" s="38"/>
      <c r="I148" s="236" t="s">
        <v>397</v>
      </c>
      <c r="J148" s="218" t="s">
        <v>398</v>
      </c>
      <c r="K148" s="46">
        <v>1</v>
      </c>
      <c r="L148" s="709"/>
      <c r="M148" s="704"/>
      <c r="N148" s="47">
        <f>ROUND((ROUND((_11_A家事４．７５*_11・２人),0)*_11・初任),0)</f>
        <v>510</v>
      </c>
      <c r="O148" s="48"/>
    </row>
    <row r="149" spans="1:15" ht="16.5" customHeight="1" x14ac:dyDescent="0.15">
      <c r="A149" s="41">
        <v>11</v>
      </c>
      <c r="B149" s="41" t="s">
        <v>8495</v>
      </c>
      <c r="C149" s="74" t="s">
        <v>8496</v>
      </c>
      <c r="D149" s="239"/>
      <c r="F149" s="752" t="s">
        <v>400</v>
      </c>
      <c r="G149" s="221" t="s">
        <v>398</v>
      </c>
      <c r="H149" s="50">
        <v>0.9</v>
      </c>
      <c r="I149" s="44"/>
      <c r="J149" s="218"/>
      <c r="K149" s="46"/>
      <c r="L149" s="709"/>
      <c r="M149" s="704"/>
      <c r="N149" s="47">
        <f>ROUND((ROUND((_11_A家事４．７５*_11・基礎２),0)*_11・初任),0)</f>
        <v>459</v>
      </c>
      <c r="O149" s="48"/>
    </row>
    <row r="150" spans="1:15" ht="16.5" customHeight="1" x14ac:dyDescent="0.15">
      <c r="A150" s="41">
        <v>11</v>
      </c>
      <c r="B150" s="41" t="s">
        <v>8497</v>
      </c>
      <c r="C150" s="74" t="s">
        <v>8498</v>
      </c>
      <c r="D150" s="241"/>
      <c r="E150" s="37"/>
      <c r="F150" s="757"/>
      <c r="G150" s="216"/>
      <c r="H150" s="38"/>
      <c r="I150" s="236" t="s">
        <v>397</v>
      </c>
      <c r="J150" s="218" t="s">
        <v>398</v>
      </c>
      <c r="K150" s="46">
        <v>1</v>
      </c>
      <c r="L150" s="240" t="s">
        <v>398</v>
      </c>
      <c r="M150" s="38">
        <f>_11・初任</f>
        <v>0.7</v>
      </c>
      <c r="N150" s="47">
        <f>ROUND((ROUND((ROUND((_11_A家事４．７５*_11・基礎２),0)*_11・２人),0)*_11・初任),0)</f>
        <v>459</v>
      </c>
      <c r="O150" s="63"/>
    </row>
    <row r="151" spans="1:15" ht="16.5" customHeight="1" x14ac:dyDescent="0.15">
      <c r="A151" s="33">
        <v>11</v>
      </c>
      <c r="B151" s="33">
        <v>6147</v>
      </c>
      <c r="C151" s="34" t="s">
        <v>8499</v>
      </c>
      <c r="D151" s="772" t="s">
        <v>8500</v>
      </c>
      <c r="E151" s="773"/>
      <c r="F151" s="35"/>
      <c r="I151" s="36"/>
      <c r="J151" s="216"/>
      <c r="K151" s="38"/>
      <c r="L151" s="35"/>
      <c r="N151" s="39">
        <f>_11_A家事５．０</f>
        <v>764</v>
      </c>
      <c r="O151" s="48"/>
    </row>
    <row r="152" spans="1:15" ht="16.5" customHeight="1" x14ac:dyDescent="0.15">
      <c r="A152" s="41">
        <v>11</v>
      </c>
      <c r="B152" s="41">
        <v>6148</v>
      </c>
      <c r="C152" s="74" t="s">
        <v>8501</v>
      </c>
      <c r="D152" s="772"/>
      <c r="E152" s="773"/>
      <c r="F152" s="43"/>
      <c r="G152" s="216"/>
      <c r="H152" s="38"/>
      <c r="I152" s="236" t="s">
        <v>397</v>
      </c>
      <c r="J152" s="218" t="s">
        <v>398</v>
      </c>
      <c r="K152" s="46">
        <v>1</v>
      </c>
      <c r="L152" s="35"/>
      <c r="N152" s="47">
        <f>ROUND((_11_A家事５．０*_11・２人),0)</f>
        <v>764</v>
      </c>
      <c r="O152" s="48"/>
    </row>
    <row r="153" spans="1:15" ht="16.5" customHeight="1" x14ac:dyDescent="0.15">
      <c r="A153" s="41">
        <v>11</v>
      </c>
      <c r="B153" s="41">
        <v>6149</v>
      </c>
      <c r="C153" s="74" t="s">
        <v>8502</v>
      </c>
      <c r="D153" s="772"/>
      <c r="E153" s="773"/>
      <c r="F153" s="752" t="s">
        <v>400</v>
      </c>
      <c r="G153" s="221" t="s">
        <v>398</v>
      </c>
      <c r="H153" s="50">
        <v>0.9</v>
      </c>
      <c r="I153" s="44"/>
      <c r="J153" s="218"/>
      <c r="K153" s="46"/>
      <c r="L153" s="35"/>
      <c r="N153" s="47">
        <f>ROUND((_11_A家事５．０*_11・基礎２),0)</f>
        <v>688</v>
      </c>
      <c r="O153" s="48"/>
    </row>
    <row r="154" spans="1:15" ht="16.5" customHeight="1" x14ac:dyDescent="0.15">
      <c r="A154" s="41">
        <v>11</v>
      </c>
      <c r="B154" s="41">
        <v>6150</v>
      </c>
      <c r="C154" s="74" t="s">
        <v>8503</v>
      </c>
      <c r="D154" s="237">
        <f>_11_A家事５．０</f>
        <v>764</v>
      </c>
      <c r="E154" s="12" t="s">
        <v>392</v>
      </c>
      <c r="F154" s="757"/>
      <c r="G154" s="216"/>
      <c r="H154" s="38"/>
      <c r="I154" s="236" t="s">
        <v>397</v>
      </c>
      <c r="J154" s="218" t="s">
        <v>398</v>
      </c>
      <c r="K154" s="46">
        <v>1</v>
      </c>
      <c r="L154" s="43"/>
      <c r="M154" s="38"/>
      <c r="N154" s="47">
        <f>ROUND((ROUND((_11_A家事５．０*_11・基礎２),0)*_11・２人),0)</f>
        <v>688</v>
      </c>
      <c r="O154" s="48"/>
    </row>
    <row r="155" spans="1:15" ht="16.5" customHeight="1" x14ac:dyDescent="0.15">
      <c r="A155" s="41">
        <v>11</v>
      </c>
      <c r="B155" s="41" t="s">
        <v>8504</v>
      </c>
      <c r="C155" s="74" t="s">
        <v>8505</v>
      </c>
      <c r="D155" s="238"/>
      <c r="F155" s="53"/>
      <c r="G155" s="221"/>
      <c r="H155" s="50"/>
      <c r="I155" s="44"/>
      <c r="J155" s="218"/>
      <c r="K155" s="46"/>
      <c r="L155" s="707" t="s">
        <v>404</v>
      </c>
      <c r="M155" s="708"/>
      <c r="N155" s="47">
        <f>ROUND((_11_A家事５．０*_11・初任),0)</f>
        <v>535</v>
      </c>
      <c r="O155" s="48"/>
    </row>
    <row r="156" spans="1:15" ht="16.5" customHeight="1" x14ac:dyDescent="0.15">
      <c r="A156" s="41">
        <v>11</v>
      </c>
      <c r="B156" s="41" t="s">
        <v>8506</v>
      </c>
      <c r="C156" s="74" t="s">
        <v>8507</v>
      </c>
      <c r="D156" s="238"/>
      <c r="F156" s="43"/>
      <c r="G156" s="216"/>
      <c r="H156" s="38"/>
      <c r="I156" s="236" t="s">
        <v>397</v>
      </c>
      <c r="J156" s="218" t="s">
        <v>398</v>
      </c>
      <c r="K156" s="46">
        <v>1</v>
      </c>
      <c r="L156" s="709"/>
      <c r="M156" s="704"/>
      <c r="N156" s="47">
        <f>ROUND((ROUND((_11_A家事５．０*_11・２人),0)*_11・初任),0)</f>
        <v>535</v>
      </c>
      <c r="O156" s="48"/>
    </row>
    <row r="157" spans="1:15" ht="16.5" customHeight="1" x14ac:dyDescent="0.15">
      <c r="A157" s="41">
        <v>11</v>
      </c>
      <c r="B157" s="41" t="s">
        <v>8508</v>
      </c>
      <c r="C157" s="74" t="s">
        <v>8509</v>
      </c>
      <c r="D157" s="239"/>
      <c r="F157" s="752" t="s">
        <v>400</v>
      </c>
      <c r="G157" s="221" t="s">
        <v>398</v>
      </c>
      <c r="H157" s="50">
        <v>0.9</v>
      </c>
      <c r="I157" s="44"/>
      <c r="J157" s="218"/>
      <c r="K157" s="46"/>
      <c r="L157" s="709"/>
      <c r="M157" s="704"/>
      <c r="N157" s="47">
        <f>ROUND((ROUND((_11_A家事５．０*_11・基礎２),0)*_11・初任),0)</f>
        <v>482</v>
      </c>
      <c r="O157" s="48"/>
    </row>
    <row r="158" spans="1:15" ht="16.5" customHeight="1" x14ac:dyDescent="0.15">
      <c r="A158" s="41">
        <v>11</v>
      </c>
      <c r="B158" s="41" t="s">
        <v>8510</v>
      </c>
      <c r="C158" s="74" t="s">
        <v>8511</v>
      </c>
      <c r="D158" s="239"/>
      <c r="F158" s="757"/>
      <c r="G158" s="216"/>
      <c r="H158" s="38"/>
      <c r="I158" s="236" t="s">
        <v>397</v>
      </c>
      <c r="J158" s="218" t="s">
        <v>398</v>
      </c>
      <c r="K158" s="46">
        <v>1</v>
      </c>
      <c r="L158" s="240" t="s">
        <v>398</v>
      </c>
      <c r="M158" s="38">
        <f>_11・初任</f>
        <v>0.7</v>
      </c>
      <c r="N158" s="47">
        <f>ROUND((ROUND((ROUND((_11_A家事５．０*_11・基礎２),0)*_11・２人),0)*_11・初任),0)</f>
        <v>482</v>
      </c>
      <c r="O158" s="48"/>
    </row>
    <row r="159" spans="1:15" ht="16.5" customHeight="1" x14ac:dyDescent="0.15">
      <c r="A159" s="41">
        <v>11</v>
      </c>
      <c r="B159" s="41">
        <v>7687</v>
      </c>
      <c r="C159" s="74" t="s">
        <v>8512</v>
      </c>
      <c r="D159" s="770" t="s">
        <v>8513</v>
      </c>
      <c r="E159" s="771"/>
      <c r="F159" s="53"/>
      <c r="G159" s="221"/>
      <c r="H159" s="50"/>
      <c r="I159" s="44"/>
      <c r="J159" s="218"/>
      <c r="K159" s="46"/>
      <c r="L159" s="53"/>
      <c r="M159" s="50"/>
      <c r="N159" s="47">
        <f>_11_A家事５．２５</f>
        <v>799</v>
      </c>
      <c r="O159" s="48"/>
    </row>
    <row r="160" spans="1:15" ht="16.5" customHeight="1" x14ac:dyDescent="0.15">
      <c r="A160" s="41">
        <v>11</v>
      </c>
      <c r="B160" s="41">
        <v>7688</v>
      </c>
      <c r="C160" s="74" t="s">
        <v>8514</v>
      </c>
      <c r="D160" s="772"/>
      <c r="E160" s="773"/>
      <c r="F160" s="43"/>
      <c r="G160" s="216"/>
      <c r="H160" s="38"/>
      <c r="I160" s="236" t="s">
        <v>397</v>
      </c>
      <c r="J160" s="218" t="s">
        <v>398</v>
      </c>
      <c r="K160" s="46">
        <v>1</v>
      </c>
      <c r="L160" s="35"/>
      <c r="N160" s="47">
        <f>ROUND((_11_A家事５．２５*_11・２人),0)</f>
        <v>799</v>
      </c>
      <c r="O160" s="48"/>
    </row>
    <row r="161" spans="1:15" ht="16.5" customHeight="1" x14ac:dyDescent="0.15">
      <c r="A161" s="41">
        <v>11</v>
      </c>
      <c r="B161" s="41">
        <v>7689</v>
      </c>
      <c r="C161" s="74" t="s">
        <v>8515</v>
      </c>
      <c r="D161" s="772"/>
      <c r="E161" s="773"/>
      <c r="F161" s="752" t="s">
        <v>400</v>
      </c>
      <c r="G161" s="221" t="s">
        <v>398</v>
      </c>
      <c r="H161" s="50">
        <v>0.9</v>
      </c>
      <c r="I161" s="44"/>
      <c r="J161" s="218"/>
      <c r="K161" s="46"/>
      <c r="L161" s="35"/>
      <c r="N161" s="47">
        <f>ROUND((_11_A家事５．２５*_11・基礎２),0)</f>
        <v>719</v>
      </c>
      <c r="O161" s="48"/>
    </row>
    <row r="162" spans="1:15" ht="16.5" customHeight="1" x14ac:dyDescent="0.15">
      <c r="A162" s="41">
        <v>11</v>
      </c>
      <c r="B162" s="41">
        <v>7690</v>
      </c>
      <c r="C162" s="74" t="s">
        <v>8516</v>
      </c>
      <c r="D162" s="237">
        <f>_11_A家事５．２５</f>
        <v>799</v>
      </c>
      <c r="E162" s="12" t="s">
        <v>392</v>
      </c>
      <c r="F162" s="757"/>
      <c r="G162" s="216"/>
      <c r="H162" s="38"/>
      <c r="I162" s="236" t="s">
        <v>397</v>
      </c>
      <c r="J162" s="218" t="s">
        <v>398</v>
      </c>
      <c r="K162" s="46">
        <v>1</v>
      </c>
      <c r="L162" s="43"/>
      <c r="M162" s="38"/>
      <c r="N162" s="47">
        <f>ROUND((ROUND((_11_A家事５．２５*_11・基礎２),0)*_11・２人),0)</f>
        <v>719</v>
      </c>
      <c r="O162" s="48"/>
    </row>
    <row r="163" spans="1:15" ht="16.5" customHeight="1" x14ac:dyDescent="0.15">
      <c r="A163" s="41">
        <v>11</v>
      </c>
      <c r="B163" s="41" t="s">
        <v>8517</v>
      </c>
      <c r="C163" s="74" t="s">
        <v>8518</v>
      </c>
      <c r="D163" s="238"/>
      <c r="F163" s="53"/>
      <c r="G163" s="221"/>
      <c r="H163" s="50"/>
      <c r="I163" s="44"/>
      <c r="J163" s="218"/>
      <c r="K163" s="46"/>
      <c r="L163" s="707" t="s">
        <v>404</v>
      </c>
      <c r="M163" s="708"/>
      <c r="N163" s="47">
        <f>ROUND((_11_A家事５．２５*_11・初任),0)</f>
        <v>559</v>
      </c>
      <c r="O163" s="48"/>
    </row>
    <row r="164" spans="1:15" ht="16.5" customHeight="1" x14ac:dyDescent="0.15">
      <c r="A164" s="41">
        <v>11</v>
      </c>
      <c r="B164" s="41" t="s">
        <v>8519</v>
      </c>
      <c r="C164" s="74" t="s">
        <v>8520</v>
      </c>
      <c r="D164" s="238"/>
      <c r="F164" s="43"/>
      <c r="G164" s="216"/>
      <c r="H164" s="38"/>
      <c r="I164" s="236" t="s">
        <v>397</v>
      </c>
      <c r="J164" s="218" t="s">
        <v>398</v>
      </c>
      <c r="K164" s="46">
        <v>1</v>
      </c>
      <c r="L164" s="709"/>
      <c r="M164" s="704"/>
      <c r="N164" s="47">
        <f>ROUND((ROUND((_11_A家事５．２５*_11・２人),0)*_11・初任),0)</f>
        <v>559</v>
      </c>
      <c r="O164" s="48"/>
    </row>
    <row r="165" spans="1:15" ht="16.5" customHeight="1" x14ac:dyDescent="0.15">
      <c r="A165" s="41">
        <v>11</v>
      </c>
      <c r="B165" s="41" t="s">
        <v>8521</v>
      </c>
      <c r="C165" s="74" t="s">
        <v>8522</v>
      </c>
      <c r="D165" s="239"/>
      <c r="F165" s="752" t="s">
        <v>400</v>
      </c>
      <c r="G165" s="221" t="s">
        <v>398</v>
      </c>
      <c r="H165" s="50">
        <v>0.9</v>
      </c>
      <c r="I165" s="44"/>
      <c r="J165" s="218"/>
      <c r="K165" s="46"/>
      <c r="L165" s="709"/>
      <c r="M165" s="704"/>
      <c r="N165" s="47">
        <f>ROUND((ROUND((_11_A家事５．２５*_11・基礎２),0)*_11・初任),0)</f>
        <v>503</v>
      </c>
      <c r="O165" s="48"/>
    </row>
    <row r="166" spans="1:15" ht="16.5" customHeight="1" x14ac:dyDescent="0.15">
      <c r="A166" s="41">
        <v>11</v>
      </c>
      <c r="B166" s="41" t="s">
        <v>8523</v>
      </c>
      <c r="C166" s="74" t="s">
        <v>8524</v>
      </c>
      <c r="D166" s="239"/>
      <c r="F166" s="757"/>
      <c r="G166" s="216"/>
      <c r="H166" s="38"/>
      <c r="I166" s="236" t="s">
        <v>397</v>
      </c>
      <c r="J166" s="218" t="s">
        <v>398</v>
      </c>
      <c r="K166" s="46">
        <v>1</v>
      </c>
      <c r="L166" s="240" t="s">
        <v>398</v>
      </c>
      <c r="M166" s="38">
        <f>_11・初任</f>
        <v>0.7</v>
      </c>
      <c r="N166" s="47">
        <f>ROUND((ROUND((ROUND((_11_A家事５．２５*_11・基礎２),0)*_11・２人),0)*_11・初任),0)</f>
        <v>503</v>
      </c>
      <c r="O166" s="48"/>
    </row>
    <row r="167" spans="1:15" ht="16.5" customHeight="1" x14ac:dyDescent="0.15">
      <c r="A167" s="41">
        <v>11</v>
      </c>
      <c r="B167" s="41">
        <v>6151</v>
      </c>
      <c r="C167" s="74" t="s">
        <v>8525</v>
      </c>
      <c r="D167" s="770" t="s">
        <v>8526</v>
      </c>
      <c r="E167" s="771"/>
      <c r="F167" s="53"/>
      <c r="G167" s="221"/>
      <c r="H167" s="50"/>
      <c r="I167" s="44"/>
      <c r="J167" s="218"/>
      <c r="K167" s="46"/>
      <c r="L167" s="53"/>
      <c r="M167" s="50"/>
      <c r="N167" s="47">
        <f>_11_A家事５．５</f>
        <v>834</v>
      </c>
      <c r="O167" s="48"/>
    </row>
    <row r="168" spans="1:15" ht="16.5" customHeight="1" x14ac:dyDescent="0.15">
      <c r="A168" s="41">
        <v>11</v>
      </c>
      <c r="B168" s="41">
        <v>6152</v>
      </c>
      <c r="C168" s="74" t="s">
        <v>8527</v>
      </c>
      <c r="D168" s="772"/>
      <c r="E168" s="773"/>
      <c r="F168" s="43"/>
      <c r="G168" s="216"/>
      <c r="H168" s="38"/>
      <c r="I168" s="236" t="s">
        <v>397</v>
      </c>
      <c r="J168" s="218" t="s">
        <v>398</v>
      </c>
      <c r="K168" s="46">
        <v>1</v>
      </c>
      <c r="L168" s="35"/>
      <c r="N168" s="47">
        <f>ROUND((_11_A家事５．５*_11・２人),0)</f>
        <v>834</v>
      </c>
      <c r="O168" s="48"/>
    </row>
    <row r="169" spans="1:15" ht="16.5" customHeight="1" x14ac:dyDescent="0.15">
      <c r="A169" s="41">
        <v>11</v>
      </c>
      <c r="B169" s="41">
        <v>6153</v>
      </c>
      <c r="C169" s="74" t="s">
        <v>8528</v>
      </c>
      <c r="D169" s="772"/>
      <c r="E169" s="773"/>
      <c r="F169" s="752" t="s">
        <v>400</v>
      </c>
      <c r="G169" s="221" t="s">
        <v>398</v>
      </c>
      <c r="H169" s="50">
        <v>0.9</v>
      </c>
      <c r="I169" s="44"/>
      <c r="J169" s="218"/>
      <c r="K169" s="46"/>
      <c r="L169" s="35"/>
      <c r="N169" s="47">
        <f>ROUND((_11_A家事５．５*_11・基礎２),0)</f>
        <v>751</v>
      </c>
      <c r="O169" s="48"/>
    </row>
    <row r="170" spans="1:15" ht="16.5" customHeight="1" x14ac:dyDescent="0.15">
      <c r="A170" s="41">
        <v>11</v>
      </c>
      <c r="B170" s="41">
        <v>6154</v>
      </c>
      <c r="C170" s="74" t="s">
        <v>8529</v>
      </c>
      <c r="D170" s="237">
        <f>_11_A家事５．５</f>
        <v>834</v>
      </c>
      <c r="E170" s="12" t="s">
        <v>392</v>
      </c>
      <c r="F170" s="757"/>
      <c r="G170" s="216"/>
      <c r="H170" s="38"/>
      <c r="I170" s="236" t="s">
        <v>397</v>
      </c>
      <c r="J170" s="218" t="s">
        <v>398</v>
      </c>
      <c r="K170" s="46">
        <v>1</v>
      </c>
      <c r="L170" s="43"/>
      <c r="M170" s="38"/>
      <c r="N170" s="47">
        <f>ROUND((ROUND((_11_A家事５．５*_11・基礎２),0)*_11・２人),0)</f>
        <v>751</v>
      </c>
      <c r="O170" s="48"/>
    </row>
    <row r="171" spans="1:15" ht="16.5" customHeight="1" x14ac:dyDescent="0.15">
      <c r="A171" s="41">
        <v>11</v>
      </c>
      <c r="B171" s="41" t="s">
        <v>8530</v>
      </c>
      <c r="C171" s="74" t="s">
        <v>8531</v>
      </c>
      <c r="D171" s="238"/>
      <c r="F171" s="53"/>
      <c r="G171" s="221"/>
      <c r="H171" s="50"/>
      <c r="I171" s="44"/>
      <c r="J171" s="218"/>
      <c r="K171" s="46"/>
      <c r="L171" s="707" t="s">
        <v>404</v>
      </c>
      <c r="M171" s="708"/>
      <c r="N171" s="47">
        <f>ROUND((_11_A家事５．５*_11・初任),0)</f>
        <v>584</v>
      </c>
      <c r="O171" s="48"/>
    </row>
    <row r="172" spans="1:15" ht="16.5" customHeight="1" x14ac:dyDescent="0.15">
      <c r="A172" s="41">
        <v>11</v>
      </c>
      <c r="B172" s="41" t="s">
        <v>8532</v>
      </c>
      <c r="C172" s="74" t="s">
        <v>8533</v>
      </c>
      <c r="D172" s="238"/>
      <c r="F172" s="43"/>
      <c r="G172" s="216"/>
      <c r="H172" s="38"/>
      <c r="I172" s="236" t="s">
        <v>397</v>
      </c>
      <c r="J172" s="218" t="s">
        <v>398</v>
      </c>
      <c r="K172" s="46">
        <v>1</v>
      </c>
      <c r="L172" s="709"/>
      <c r="M172" s="704"/>
      <c r="N172" s="47">
        <f>ROUND((ROUND((_11_A家事５．５*_11・２人),0)*_11・初任),0)</f>
        <v>584</v>
      </c>
      <c r="O172" s="48"/>
    </row>
    <row r="173" spans="1:15" ht="16.5" customHeight="1" x14ac:dyDescent="0.15">
      <c r="A173" s="41">
        <v>11</v>
      </c>
      <c r="B173" s="41" t="s">
        <v>8534</v>
      </c>
      <c r="C173" s="74" t="s">
        <v>8535</v>
      </c>
      <c r="D173" s="239"/>
      <c r="F173" s="752" t="s">
        <v>400</v>
      </c>
      <c r="G173" s="221" t="s">
        <v>398</v>
      </c>
      <c r="H173" s="50">
        <v>0.9</v>
      </c>
      <c r="I173" s="44"/>
      <c r="J173" s="218"/>
      <c r="K173" s="46"/>
      <c r="L173" s="709"/>
      <c r="M173" s="704"/>
      <c r="N173" s="47">
        <f>ROUND((ROUND((_11_A家事５．５*_11・基礎２),0)*_11・初任),0)</f>
        <v>526</v>
      </c>
      <c r="O173" s="48"/>
    </row>
    <row r="174" spans="1:15" ht="16.5" customHeight="1" x14ac:dyDescent="0.15">
      <c r="A174" s="41">
        <v>11</v>
      </c>
      <c r="B174" s="41" t="s">
        <v>8536</v>
      </c>
      <c r="C174" s="74" t="s">
        <v>8537</v>
      </c>
      <c r="D174" s="239"/>
      <c r="F174" s="757"/>
      <c r="G174" s="216"/>
      <c r="H174" s="38"/>
      <c r="I174" s="236" t="s">
        <v>397</v>
      </c>
      <c r="J174" s="218" t="s">
        <v>398</v>
      </c>
      <c r="K174" s="46">
        <v>1</v>
      </c>
      <c r="L174" s="240" t="s">
        <v>398</v>
      </c>
      <c r="M174" s="38">
        <f>_11・初任</f>
        <v>0.7</v>
      </c>
      <c r="N174" s="47">
        <f>ROUND((ROUND((ROUND((_11_A家事５．５*_11・基礎２),0)*_11・２人),0)*_11・初任),0)</f>
        <v>526</v>
      </c>
      <c r="O174" s="48"/>
    </row>
    <row r="175" spans="1:15" ht="16.5" customHeight="1" x14ac:dyDescent="0.15">
      <c r="A175" s="41">
        <v>11</v>
      </c>
      <c r="B175" s="41">
        <v>7691</v>
      </c>
      <c r="C175" s="74" t="s">
        <v>8538</v>
      </c>
      <c r="D175" s="770" t="s">
        <v>8539</v>
      </c>
      <c r="E175" s="771"/>
      <c r="F175" s="53"/>
      <c r="G175" s="221"/>
      <c r="H175" s="50"/>
      <c r="I175" s="44"/>
      <c r="J175" s="218"/>
      <c r="K175" s="46"/>
      <c r="L175" s="53"/>
      <c r="M175" s="50"/>
      <c r="N175" s="47">
        <f>_11_A家事５．７５</f>
        <v>869</v>
      </c>
      <c r="O175" s="48"/>
    </row>
    <row r="176" spans="1:15" ht="16.5" customHeight="1" x14ac:dyDescent="0.15">
      <c r="A176" s="41">
        <v>11</v>
      </c>
      <c r="B176" s="41">
        <v>7692</v>
      </c>
      <c r="C176" s="74" t="s">
        <v>8540</v>
      </c>
      <c r="D176" s="772"/>
      <c r="E176" s="773"/>
      <c r="F176" s="43"/>
      <c r="G176" s="216"/>
      <c r="H176" s="38"/>
      <c r="I176" s="236" t="s">
        <v>397</v>
      </c>
      <c r="J176" s="218" t="s">
        <v>398</v>
      </c>
      <c r="K176" s="46">
        <v>1</v>
      </c>
      <c r="L176" s="35"/>
      <c r="N176" s="47">
        <f>ROUND((_11_A家事５．７５*_11・２人),0)</f>
        <v>869</v>
      </c>
      <c r="O176" s="48"/>
    </row>
    <row r="177" spans="1:15" ht="16.5" customHeight="1" x14ac:dyDescent="0.15">
      <c r="A177" s="41">
        <v>11</v>
      </c>
      <c r="B177" s="41">
        <v>7693</v>
      </c>
      <c r="C177" s="74" t="s">
        <v>8541</v>
      </c>
      <c r="D177" s="772"/>
      <c r="E177" s="773"/>
      <c r="F177" s="752" t="s">
        <v>400</v>
      </c>
      <c r="G177" s="221" t="s">
        <v>398</v>
      </c>
      <c r="H177" s="50">
        <v>0.9</v>
      </c>
      <c r="I177" s="44"/>
      <c r="J177" s="218"/>
      <c r="K177" s="46"/>
      <c r="L177" s="35"/>
      <c r="N177" s="47">
        <f>ROUND((_11_A家事５．７５*_11・基礎２),0)</f>
        <v>782</v>
      </c>
      <c r="O177" s="48"/>
    </row>
    <row r="178" spans="1:15" ht="16.5" customHeight="1" x14ac:dyDescent="0.15">
      <c r="A178" s="41">
        <v>11</v>
      </c>
      <c r="B178" s="41">
        <v>7694</v>
      </c>
      <c r="C178" s="74" t="s">
        <v>8542</v>
      </c>
      <c r="D178" s="237">
        <f>_11_A家事５．７５</f>
        <v>869</v>
      </c>
      <c r="E178" s="12" t="s">
        <v>392</v>
      </c>
      <c r="F178" s="757"/>
      <c r="G178" s="216"/>
      <c r="H178" s="38"/>
      <c r="I178" s="236" t="s">
        <v>397</v>
      </c>
      <c r="J178" s="218" t="s">
        <v>398</v>
      </c>
      <c r="K178" s="46">
        <v>1</v>
      </c>
      <c r="L178" s="43"/>
      <c r="M178" s="38"/>
      <c r="N178" s="47">
        <f>ROUND((ROUND((_11_A家事５．７５*_11・基礎２),0)*_11・２人),0)</f>
        <v>782</v>
      </c>
      <c r="O178" s="48"/>
    </row>
    <row r="179" spans="1:15" ht="16.5" customHeight="1" x14ac:dyDescent="0.15">
      <c r="A179" s="41">
        <v>11</v>
      </c>
      <c r="B179" s="41" t="s">
        <v>8543</v>
      </c>
      <c r="C179" s="74" t="s">
        <v>8544</v>
      </c>
      <c r="D179" s="238"/>
      <c r="F179" s="53"/>
      <c r="G179" s="221"/>
      <c r="H179" s="50"/>
      <c r="I179" s="44"/>
      <c r="J179" s="218"/>
      <c r="K179" s="46"/>
      <c r="L179" s="707" t="s">
        <v>404</v>
      </c>
      <c r="M179" s="708"/>
      <c r="N179" s="47">
        <f>ROUND((_11_A家事５．７５*_11・初任),0)</f>
        <v>608</v>
      </c>
      <c r="O179" s="48"/>
    </row>
    <row r="180" spans="1:15" ht="16.5" customHeight="1" x14ac:dyDescent="0.15">
      <c r="A180" s="41">
        <v>11</v>
      </c>
      <c r="B180" s="41" t="s">
        <v>8545</v>
      </c>
      <c r="C180" s="74" t="s">
        <v>8546</v>
      </c>
      <c r="D180" s="238"/>
      <c r="F180" s="43"/>
      <c r="G180" s="216"/>
      <c r="H180" s="38"/>
      <c r="I180" s="236" t="s">
        <v>397</v>
      </c>
      <c r="J180" s="218" t="s">
        <v>398</v>
      </c>
      <c r="K180" s="46">
        <v>1</v>
      </c>
      <c r="L180" s="709"/>
      <c r="M180" s="704"/>
      <c r="N180" s="47">
        <f>ROUND((ROUND((_11_A家事５．７５*_11・２人),0)*_11・初任),0)</f>
        <v>608</v>
      </c>
      <c r="O180" s="48"/>
    </row>
    <row r="181" spans="1:15" ht="16.5" customHeight="1" x14ac:dyDescent="0.15">
      <c r="A181" s="41">
        <v>11</v>
      </c>
      <c r="B181" s="41" t="s">
        <v>8547</v>
      </c>
      <c r="C181" s="74" t="s">
        <v>8548</v>
      </c>
      <c r="D181" s="239"/>
      <c r="F181" s="752" t="s">
        <v>400</v>
      </c>
      <c r="G181" s="221" t="s">
        <v>398</v>
      </c>
      <c r="H181" s="50">
        <v>0.9</v>
      </c>
      <c r="I181" s="44"/>
      <c r="J181" s="218"/>
      <c r="K181" s="46"/>
      <c r="L181" s="709"/>
      <c r="M181" s="704"/>
      <c r="N181" s="47">
        <f>ROUND((ROUND((_11_A家事５．７５*_11・基礎２),0)*_11・初任),0)</f>
        <v>547</v>
      </c>
      <c r="O181" s="48"/>
    </row>
    <row r="182" spans="1:15" ht="16.5" customHeight="1" x14ac:dyDescent="0.15">
      <c r="A182" s="41">
        <v>11</v>
      </c>
      <c r="B182" s="41" t="s">
        <v>8549</v>
      </c>
      <c r="C182" s="74" t="s">
        <v>8550</v>
      </c>
      <c r="D182" s="239"/>
      <c r="F182" s="757"/>
      <c r="G182" s="216"/>
      <c r="H182" s="38"/>
      <c r="I182" s="236" t="s">
        <v>397</v>
      </c>
      <c r="J182" s="218" t="s">
        <v>398</v>
      </c>
      <c r="K182" s="46">
        <v>1</v>
      </c>
      <c r="L182" s="240" t="s">
        <v>398</v>
      </c>
      <c r="M182" s="38">
        <f>_11・初任</f>
        <v>0.7</v>
      </c>
      <c r="N182" s="47">
        <f>ROUND((ROUND((ROUND((_11_A家事５．７５*_11・基礎２),0)*_11・２人),0)*_11・初任),0)</f>
        <v>547</v>
      </c>
      <c r="O182" s="48"/>
    </row>
    <row r="183" spans="1:15" ht="16.5" customHeight="1" x14ac:dyDescent="0.15">
      <c r="A183" s="41">
        <v>11</v>
      </c>
      <c r="B183" s="41">
        <v>6155</v>
      </c>
      <c r="C183" s="74" t="s">
        <v>8551</v>
      </c>
      <c r="D183" s="770" t="s">
        <v>8552</v>
      </c>
      <c r="E183" s="771"/>
      <c r="F183" s="53"/>
      <c r="G183" s="221"/>
      <c r="H183" s="50"/>
      <c r="I183" s="44"/>
      <c r="J183" s="218"/>
      <c r="K183" s="46"/>
      <c r="L183" s="53"/>
      <c r="M183" s="50"/>
      <c r="N183" s="47">
        <f>_11_A家事６．０</f>
        <v>904</v>
      </c>
      <c r="O183" s="48"/>
    </row>
    <row r="184" spans="1:15" ht="16.5" customHeight="1" x14ac:dyDescent="0.15">
      <c r="A184" s="41">
        <v>11</v>
      </c>
      <c r="B184" s="41">
        <v>6156</v>
      </c>
      <c r="C184" s="74" t="s">
        <v>8553</v>
      </c>
      <c r="D184" s="772"/>
      <c r="E184" s="773"/>
      <c r="F184" s="43"/>
      <c r="G184" s="216"/>
      <c r="H184" s="38"/>
      <c r="I184" s="236" t="s">
        <v>397</v>
      </c>
      <c r="J184" s="218" t="s">
        <v>398</v>
      </c>
      <c r="K184" s="46">
        <v>1</v>
      </c>
      <c r="L184" s="35"/>
      <c r="N184" s="47">
        <f>ROUND((_11_A家事６．０*_11・２人),0)</f>
        <v>904</v>
      </c>
      <c r="O184" s="48"/>
    </row>
    <row r="185" spans="1:15" ht="16.5" customHeight="1" x14ac:dyDescent="0.15">
      <c r="A185" s="41">
        <v>11</v>
      </c>
      <c r="B185" s="41">
        <v>6157</v>
      </c>
      <c r="C185" s="74" t="s">
        <v>8554</v>
      </c>
      <c r="D185" s="772"/>
      <c r="E185" s="773"/>
      <c r="F185" s="752" t="s">
        <v>400</v>
      </c>
      <c r="G185" s="221" t="s">
        <v>398</v>
      </c>
      <c r="H185" s="50">
        <v>0.9</v>
      </c>
      <c r="I185" s="44"/>
      <c r="J185" s="218"/>
      <c r="K185" s="46"/>
      <c r="L185" s="35"/>
      <c r="N185" s="47">
        <f>ROUND((_11_A家事６．０*_11・基礎２),0)</f>
        <v>814</v>
      </c>
      <c r="O185" s="48"/>
    </row>
    <row r="186" spans="1:15" ht="16.5" customHeight="1" x14ac:dyDescent="0.15">
      <c r="A186" s="41">
        <v>11</v>
      </c>
      <c r="B186" s="41">
        <v>6158</v>
      </c>
      <c r="C186" s="74" t="s">
        <v>8555</v>
      </c>
      <c r="D186" s="237">
        <f>_11_A家事６．０</f>
        <v>904</v>
      </c>
      <c r="E186" s="12" t="s">
        <v>392</v>
      </c>
      <c r="F186" s="757"/>
      <c r="G186" s="216"/>
      <c r="H186" s="38"/>
      <c r="I186" s="236" t="s">
        <v>397</v>
      </c>
      <c r="J186" s="218" t="s">
        <v>398</v>
      </c>
      <c r="K186" s="46">
        <v>1</v>
      </c>
      <c r="L186" s="43"/>
      <c r="M186" s="38"/>
      <c r="N186" s="47">
        <f>ROUND((ROUND((_11_A家事６．０*_11・基礎２),0)*_11・２人),0)</f>
        <v>814</v>
      </c>
      <c r="O186" s="48"/>
    </row>
    <row r="187" spans="1:15" ht="16.5" customHeight="1" x14ac:dyDescent="0.15">
      <c r="A187" s="41">
        <v>11</v>
      </c>
      <c r="B187" s="41" t="s">
        <v>8556</v>
      </c>
      <c r="C187" s="74" t="s">
        <v>8557</v>
      </c>
      <c r="D187" s="238"/>
      <c r="F187" s="53"/>
      <c r="G187" s="221"/>
      <c r="H187" s="50"/>
      <c r="I187" s="44"/>
      <c r="J187" s="218"/>
      <c r="K187" s="46"/>
      <c r="L187" s="707" t="s">
        <v>404</v>
      </c>
      <c r="M187" s="708"/>
      <c r="N187" s="47">
        <f>ROUND((_11_A家事６．０*_11・初任),0)</f>
        <v>633</v>
      </c>
      <c r="O187" s="48"/>
    </row>
    <row r="188" spans="1:15" ht="16.5" customHeight="1" x14ac:dyDescent="0.15">
      <c r="A188" s="41">
        <v>11</v>
      </c>
      <c r="B188" s="41" t="s">
        <v>8558</v>
      </c>
      <c r="C188" s="74" t="s">
        <v>8559</v>
      </c>
      <c r="D188" s="238"/>
      <c r="F188" s="43"/>
      <c r="G188" s="216"/>
      <c r="H188" s="38"/>
      <c r="I188" s="236" t="s">
        <v>397</v>
      </c>
      <c r="J188" s="218" t="s">
        <v>398</v>
      </c>
      <c r="K188" s="46">
        <v>1</v>
      </c>
      <c r="L188" s="709"/>
      <c r="M188" s="704"/>
      <c r="N188" s="47">
        <f>ROUND((ROUND((_11_A家事６．０*_11・２人),0)*_11・初任),0)</f>
        <v>633</v>
      </c>
      <c r="O188" s="48"/>
    </row>
    <row r="189" spans="1:15" ht="16.5" customHeight="1" x14ac:dyDescent="0.15">
      <c r="A189" s="41">
        <v>11</v>
      </c>
      <c r="B189" s="41" t="s">
        <v>8560</v>
      </c>
      <c r="C189" s="74" t="s">
        <v>8561</v>
      </c>
      <c r="D189" s="239"/>
      <c r="F189" s="752" t="s">
        <v>400</v>
      </c>
      <c r="G189" s="221" t="s">
        <v>398</v>
      </c>
      <c r="H189" s="50">
        <v>0.9</v>
      </c>
      <c r="I189" s="44"/>
      <c r="J189" s="218"/>
      <c r="K189" s="46"/>
      <c r="L189" s="709"/>
      <c r="M189" s="704"/>
      <c r="N189" s="47">
        <f>ROUND((ROUND((_11_A家事６．０*_11・基礎２),0)*_11・初任),0)</f>
        <v>570</v>
      </c>
      <c r="O189" s="48"/>
    </row>
    <row r="190" spans="1:15" ht="16.5" customHeight="1" x14ac:dyDescent="0.15">
      <c r="A190" s="41">
        <v>11</v>
      </c>
      <c r="B190" s="41" t="s">
        <v>8562</v>
      </c>
      <c r="C190" s="74" t="s">
        <v>8563</v>
      </c>
      <c r="D190" s="239"/>
      <c r="F190" s="757"/>
      <c r="G190" s="216"/>
      <c r="H190" s="38"/>
      <c r="I190" s="236" t="s">
        <v>397</v>
      </c>
      <c r="J190" s="218" t="s">
        <v>398</v>
      </c>
      <c r="K190" s="46">
        <v>1</v>
      </c>
      <c r="L190" s="240" t="s">
        <v>398</v>
      </c>
      <c r="M190" s="38">
        <f>_11・初任</f>
        <v>0.7</v>
      </c>
      <c r="N190" s="47">
        <f>ROUND((ROUND((ROUND((_11_A家事６．０*_11・基礎２),0)*_11・２人),0)*_11・初任),0)</f>
        <v>570</v>
      </c>
      <c r="O190" s="48"/>
    </row>
    <row r="191" spans="1:15" ht="16.5" customHeight="1" x14ac:dyDescent="0.15">
      <c r="A191" s="41">
        <v>11</v>
      </c>
      <c r="B191" s="41">
        <v>7695</v>
      </c>
      <c r="C191" s="74" t="s">
        <v>8564</v>
      </c>
      <c r="D191" s="770" t="s">
        <v>8565</v>
      </c>
      <c r="E191" s="771"/>
      <c r="F191" s="53"/>
      <c r="G191" s="221"/>
      <c r="H191" s="50"/>
      <c r="I191" s="44"/>
      <c r="J191" s="218"/>
      <c r="K191" s="46"/>
      <c r="L191" s="53"/>
      <c r="M191" s="50"/>
      <c r="N191" s="47">
        <f>_11_A家事６．２５</f>
        <v>939</v>
      </c>
      <c r="O191" s="48"/>
    </row>
    <row r="192" spans="1:15" ht="16.5" customHeight="1" x14ac:dyDescent="0.15">
      <c r="A192" s="41">
        <v>11</v>
      </c>
      <c r="B192" s="41">
        <v>7696</v>
      </c>
      <c r="C192" s="74" t="s">
        <v>8566</v>
      </c>
      <c r="D192" s="772"/>
      <c r="E192" s="773"/>
      <c r="F192" s="43"/>
      <c r="G192" s="216"/>
      <c r="H192" s="38"/>
      <c r="I192" s="236" t="s">
        <v>397</v>
      </c>
      <c r="J192" s="218" t="s">
        <v>398</v>
      </c>
      <c r="K192" s="46">
        <v>1</v>
      </c>
      <c r="L192" s="35"/>
      <c r="N192" s="47">
        <f>ROUND((_11_A家事６．２５*_11・２人),0)</f>
        <v>939</v>
      </c>
      <c r="O192" s="48"/>
    </row>
    <row r="193" spans="1:15" ht="16.5" customHeight="1" x14ac:dyDescent="0.15">
      <c r="A193" s="41">
        <v>11</v>
      </c>
      <c r="B193" s="41">
        <v>7697</v>
      </c>
      <c r="C193" s="74" t="s">
        <v>8567</v>
      </c>
      <c r="D193" s="772"/>
      <c r="E193" s="773"/>
      <c r="F193" s="752" t="s">
        <v>400</v>
      </c>
      <c r="G193" s="221" t="s">
        <v>398</v>
      </c>
      <c r="H193" s="50">
        <v>0.9</v>
      </c>
      <c r="I193" s="44"/>
      <c r="J193" s="218"/>
      <c r="K193" s="46"/>
      <c r="L193" s="35"/>
      <c r="N193" s="47">
        <f>ROUND((_11_A家事６．２５*_11・基礎２),0)</f>
        <v>845</v>
      </c>
      <c r="O193" s="48"/>
    </row>
    <row r="194" spans="1:15" ht="16.5" customHeight="1" x14ac:dyDescent="0.15">
      <c r="A194" s="41">
        <v>11</v>
      </c>
      <c r="B194" s="41">
        <v>7698</v>
      </c>
      <c r="C194" s="74" t="s">
        <v>8568</v>
      </c>
      <c r="D194" s="237">
        <f>_11_A家事６．２５</f>
        <v>939</v>
      </c>
      <c r="E194" s="12" t="s">
        <v>392</v>
      </c>
      <c r="F194" s="757"/>
      <c r="G194" s="216"/>
      <c r="H194" s="38"/>
      <c r="I194" s="236" t="s">
        <v>397</v>
      </c>
      <c r="J194" s="218" t="s">
        <v>398</v>
      </c>
      <c r="K194" s="46">
        <v>1</v>
      </c>
      <c r="L194" s="43"/>
      <c r="M194" s="38"/>
      <c r="N194" s="47">
        <f>ROUND((ROUND((_11_A家事６．２５*_11・基礎２),0)*_11・２人),0)</f>
        <v>845</v>
      </c>
      <c r="O194" s="48"/>
    </row>
    <row r="195" spans="1:15" ht="16.5" customHeight="1" x14ac:dyDescent="0.15">
      <c r="A195" s="41">
        <v>11</v>
      </c>
      <c r="B195" s="41" t="s">
        <v>8569</v>
      </c>
      <c r="C195" s="74" t="s">
        <v>8570</v>
      </c>
      <c r="D195" s="238"/>
      <c r="F195" s="53"/>
      <c r="G195" s="221"/>
      <c r="H195" s="50"/>
      <c r="I195" s="44"/>
      <c r="J195" s="218"/>
      <c r="K195" s="46"/>
      <c r="L195" s="707" t="s">
        <v>404</v>
      </c>
      <c r="M195" s="708"/>
      <c r="N195" s="47">
        <f>ROUND((_11_A家事６．２５*_11・初任),0)</f>
        <v>657</v>
      </c>
      <c r="O195" s="48"/>
    </row>
    <row r="196" spans="1:15" ht="16.5" customHeight="1" x14ac:dyDescent="0.15">
      <c r="A196" s="41">
        <v>11</v>
      </c>
      <c r="B196" s="41" t="s">
        <v>8571</v>
      </c>
      <c r="C196" s="74" t="s">
        <v>8572</v>
      </c>
      <c r="D196" s="238"/>
      <c r="F196" s="43"/>
      <c r="G196" s="216"/>
      <c r="H196" s="38"/>
      <c r="I196" s="236" t="s">
        <v>397</v>
      </c>
      <c r="J196" s="218" t="s">
        <v>398</v>
      </c>
      <c r="K196" s="46">
        <v>1</v>
      </c>
      <c r="L196" s="709"/>
      <c r="M196" s="704"/>
      <c r="N196" s="47">
        <f>ROUND((ROUND((_11_A家事６．２５*_11・２人),0)*_11・初任),0)</f>
        <v>657</v>
      </c>
      <c r="O196" s="48"/>
    </row>
    <row r="197" spans="1:15" ht="16.5" customHeight="1" x14ac:dyDescent="0.15">
      <c r="A197" s="41">
        <v>11</v>
      </c>
      <c r="B197" s="41" t="s">
        <v>8573</v>
      </c>
      <c r="C197" s="74" t="s">
        <v>8574</v>
      </c>
      <c r="D197" s="239"/>
      <c r="F197" s="752" t="s">
        <v>400</v>
      </c>
      <c r="G197" s="221" t="s">
        <v>398</v>
      </c>
      <c r="H197" s="50">
        <v>0.9</v>
      </c>
      <c r="I197" s="44"/>
      <c r="J197" s="218"/>
      <c r="K197" s="46"/>
      <c r="L197" s="709"/>
      <c r="M197" s="704"/>
      <c r="N197" s="47">
        <f>ROUND((ROUND((_11_A家事６．２５*_11・基礎２),0)*_11・初任),0)</f>
        <v>592</v>
      </c>
      <c r="O197" s="48"/>
    </row>
    <row r="198" spans="1:15" ht="16.5" customHeight="1" x14ac:dyDescent="0.15">
      <c r="A198" s="41">
        <v>11</v>
      </c>
      <c r="B198" s="41" t="s">
        <v>8575</v>
      </c>
      <c r="C198" s="74" t="s">
        <v>8576</v>
      </c>
      <c r="D198" s="239"/>
      <c r="F198" s="757"/>
      <c r="G198" s="216"/>
      <c r="H198" s="38"/>
      <c r="I198" s="236" t="s">
        <v>397</v>
      </c>
      <c r="J198" s="218" t="s">
        <v>398</v>
      </c>
      <c r="K198" s="46">
        <v>1</v>
      </c>
      <c r="L198" s="240" t="s">
        <v>398</v>
      </c>
      <c r="M198" s="38">
        <f>_11・初任</f>
        <v>0.7</v>
      </c>
      <c r="N198" s="47">
        <f>ROUND((ROUND((ROUND((_11_A家事６．２５*_11・基礎２),0)*_11・２人),0)*_11・初任),0)</f>
        <v>592</v>
      </c>
      <c r="O198" s="48"/>
    </row>
    <row r="199" spans="1:15" ht="16.5" customHeight="1" x14ac:dyDescent="0.15">
      <c r="A199" s="41">
        <v>11</v>
      </c>
      <c r="B199" s="41">
        <v>6159</v>
      </c>
      <c r="C199" s="74" t="s">
        <v>8577</v>
      </c>
      <c r="D199" s="770" t="s">
        <v>8578</v>
      </c>
      <c r="E199" s="771"/>
      <c r="F199" s="53"/>
      <c r="G199" s="221"/>
      <c r="H199" s="50"/>
      <c r="I199" s="44"/>
      <c r="J199" s="218"/>
      <c r="K199" s="46"/>
      <c r="L199" s="53"/>
      <c r="M199" s="50"/>
      <c r="N199" s="47">
        <f>_11_A家事６．５</f>
        <v>974</v>
      </c>
      <c r="O199" s="48"/>
    </row>
    <row r="200" spans="1:15" ht="16.5" customHeight="1" x14ac:dyDescent="0.15">
      <c r="A200" s="41">
        <v>11</v>
      </c>
      <c r="B200" s="41">
        <v>6160</v>
      </c>
      <c r="C200" s="74" t="s">
        <v>8579</v>
      </c>
      <c r="D200" s="772"/>
      <c r="E200" s="773"/>
      <c r="F200" s="43"/>
      <c r="G200" s="216"/>
      <c r="H200" s="38"/>
      <c r="I200" s="236" t="s">
        <v>397</v>
      </c>
      <c r="J200" s="218" t="s">
        <v>398</v>
      </c>
      <c r="K200" s="46">
        <v>1</v>
      </c>
      <c r="L200" s="35"/>
      <c r="N200" s="47">
        <f>ROUND((_11_A家事６．５*_11・２人),0)</f>
        <v>974</v>
      </c>
      <c r="O200" s="48"/>
    </row>
    <row r="201" spans="1:15" ht="16.5" customHeight="1" x14ac:dyDescent="0.15">
      <c r="A201" s="41">
        <v>11</v>
      </c>
      <c r="B201" s="41">
        <v>6161</v>
      </c>
      <c r="C201" s="74" t="s">
        <v>8580</v>
      </c>
      <c r="D201" s="772"/>
      <c r="E201" s="773"/>
      <c r="F201" s="752" t="s">
        <v>400</v>
      </c>
      <c r="G201" s="221" t="s">
        <v>398</v>
      </c>
      <c r="H201" s="50">
        <v>0.9</v>
      </c>
      <c r="I201" s="44"/>
      <c r="J201" s="218"/>
      <c r="K201" s="46"/>
      <c r="L201" s="35"/>
      <c r="N201" s="47">
        <f>ROUND((_11_A家事６．５*_11・基礎２),0)</f>
        <v>877</v>
      </c>
      <c r="O201" s="48"/>
    </row>
    <row r="202" spans="1:15" ht="16.5" customHeight="1" x14ac:dyDescent="0.15">
      <c r="A202" s="41">
        <v>11</v>
      </c>
      <c r="B202" s="41">
        <v>6162</v>
      </c>
      <c r="C202" s="74" t="s">
        <v>8581</v>
      </c>
      <c r="D202" s="237">
        <f>_11_A家事６．５</f>
        <v>974</v>
      </c>
      <c r="E202" s="12" t="s">
        <v>392</v>
      </c>
      <c r="F202" s="757"/>
      <c r="G202" s="216"/>
      <c r="H202" s="38"/>
      <c r="I202" s="236" t="s">
        <v>397</v>
      </c>
      <c r="J202" s="218" t="s">
        <v>398</v>
      </c>
      <c r="K202" s="46">
        <v>1</v>
      </c>
      <c r="L202" s="43"/>
      <c r="M202" s="38"/>
      <c r="N202" s="47">
        <f>ROUND((ROUND((_11_A家事６．５*_11・基礎２),0)*_11・２人),0)</f>
        <v>877</v>
      </c>
      <c r="O202" s="48"/>
    </row>
    <row r="203" spans="1:15" ht="16.5" customHeight="1" x14ac:dyDescent="0.15">
      <c r="A203" s="41">
        <v>11</v>
      </c>
      <c r="B203" s="41" t="s">
        <v>8582</v>
      </c>
      <c r="C203" s="74" t="s">
        <v>8583</v>
      </c>
      <c r="D203" s="238"/>
      <c r="F203" s="53"/>
      <c r="G203" s="221"/>
      <c r="H203" s="50"/>
      <c r="I203" s="44"/>
      <c r="J203" s="218"/>
      <c r="K203" s="46"/>
      <c r="L203" s="707" t="s">
        <v>404</v>
      </c>
      <c r="M203" s="708"/>
      <c r="N203" s="47">
        <f>ROUND((_11_A家事６．５*_11・初任),0)</f>
        <v>682</v>
      </c>
      <c r="O203" s="48"/>
    </row>
    <row r="204" spans="1:15" ht="16.5" customHeight="1" x14ac:dyDescent="0.15">
      <c r="A204" s="41">
        <v>11</v>
      </c>
      <c r="B204" s="41" t="s">
        <v>8584</v>
      </c>
      <c r="C204" s="74" t="s">
        <v>8585</v>
      </c>
      <c r="D204" s="238"/>
      <c r="F204" s="43"/>
      <c r="G204" s="216"/>
      <c r="H204" s="38"/>
      <c r="I204" s="236" t="s">
        <v>397</v>
      </c>
      <c r="J204" s="218" t="s">
        <v>398</v>
      </c>
      <c r="K204" s="46">
        <v>1</v>
      </c>
      <c r="L204" s="709"/>
      <c r="M204" s="704"/>
      <c r="N204" s="47">
        <f>ROUND((ROUND((_11_A家事６．５*_11・２人),0)*_11・初任),0)</f>
        <v>682</v>
      </c>
      <c r="O204" s="48"/>
    </row>
    <row r="205" spans="1:15" ht="16.5" customHeight="1" x14ac:dyDescent="0.15">
      <c r="A205" s="41">
        <v>11</v>
      </c>
      <c r="B205" s="41" t="s">
        <v>8586</v>
      </c>
      <c r="C205" s="74" t="s">
        <v>8587</v>
      </c>
      <c r="D205" s="239"/>
      <c r="F205" s="752" t="s">
        <v>400</v>
      </c>
      <c r="G205" s="221" t="s">
        <v>398</v>
      </c>
      <c r="H205" s="50">
        <v>0.9</v>
      </c>
      <c r="I205" s="44"/>
      <c r="J205" s="218"/>
      <c r="K205" s="46"/>
      <c r="L205" s="709"/>
      <c r="M205" s="704"/>
      <c r="N205" s="47">
        <f>ROUND((ROUND((_11_A家事６．５*_11・基礎２),0)*_11・初任),0)</f>
        <v>614</v>
      </c>
      <c r="O205" s="48"/>
    </row>
    <row r="206" spans="1:15" ht="16.5" customHeight="1" x14ac:dyDescent="0.15">
      <c r="A206" s="41">
        <v>11</v>
      </c>
      <c r="B206" s="41" t="s">
        <v>8588</v>
      </c>
      <c r="C206" s="74" t="s">
        <v>8589</v>
      </c>
      <c r="D206" s="239"/>
      <c r="F206" s="757"/>
      <c r="G206" s="216"/>
      <c r="H206" s="38"/>
      <c r="I206" s="236" t="s">
        <v>397</v>
      </c>
      <c r="J206" s="218" t="s">
        <v>398</v>
      </c>
      <c r="K206" s="46">
        <v>1</v>
      </c>
      <c r="L206" s="240" t="s">
        <v>398</v>
      </c>
      <c r="M206" s="38">
        <f>_11・初任</f>
        <v>0.7</v>
      </c>
      <c r="N206" s="47">
        <f>ROUND((ROUND((ROUND((_11_A家事６．５*_11・基礎２),0)*_11・２人),0)*_11・初任),0)</f>
        <v>614</v>
      </c>
      <c r="O206" s="48"/>
    </row>
    <row r="207" spans="1:15" ht="16.5" customHeight="1" x14ac:dyDescent="0.15">
      <c r="A207" s="41">
        <v>11</v>
      </c>
      <c r="B207" s="41">
        <v>7699</v>
      </c>
      <c r="C207" s="74" t="s">
        <v>8590</v>
      </c>
      <c r="D207" s="770" t="s">
        <v>8591</v>
      </c>
      <c r="E207" s="771"/>
      <c r="F207" s="53"/>
      <c r="G207" s="221"/>
      <c r="H207" s="50"/>
      <c r="I207" s="44"/>
      <c r="J207" s="218"/>
      <c r="K207" s="46"/>
      <c r="L207" s="53"/>
      <c r="M207" s="50"/>
      <c r="N207" s="47">
        <f>_11_A家事６．７５</f>
        <v>1009</v>
      </c>
      <c r="O207" s="48"/>
    </row>
    <row r="208" spans="1:15" ht="16.5" customHeight="1" x14ac:dyDescent="0.15">
      <c r="A208" s="41">
        <v>11</v>
      </c>
      <c r="B208" s="41">
        <v>7700</v>
      </c>
      <c r="C208" s="74" t="s">
        <v>8592</v>
      </c>
      <c r="D208" s="772"/>
      <c r="E208" s="773"/>
      <c r="F208" s="43"/>
      <c r="G208" s="216"/>
      <c r="H208" s="38"/>
      <c r="I208" s="236" t="s">
        <v>397</v>
      </c>
      <c r="J208" s="218" t="s">
        <v>398</v>
      </c>
      <c r="K208" s="46">
        <v>1</v>
      </c>
      <c r="L208" s="35"/>
      <c r="N208" s="47">
        <f>ROUND((_11_A家事６．７５*_11・２人),0)</f>
        <v>1009</v>
      </c>
      <c r="O208" s="48"/>
    </row>
    <row r="209" spans="1:15" ht="16.5" customHeight="1" x14ac:dyDescent="0.15">
      <c r="A209" s="41">
        <v>11</v>
      </c>
      <c r="B209" s="41">
        <v>7701</v>
      </c>
      <c r="C209" s="74" t="s">
        <v>8593</v>
      </c>
      <c r="D209" s="772"/>
      <c r="E209" s="773"/>
      <c r="F209" s="752" t="s">
        <v>400</v>
      </c>
      <c r="G209" s="221" t="s">
        <v>398</v>
      </c>
      <c r="H209" s="50">
        <v>0.9</v>
      </c>
      <c r="I209" s="44"/>
      <c r="J209" s="218"/>
      <c r="K209" s="46"/>
      <c r="L209" s="35"/>
      <c r="N209" s="47">
        <f>ROUND((_11_A家事６．７５*_11・基礎２),0)</f>
        <v>908</v>
      </c>
      <c r="O209" s="48"/>
    </row>
    <row r="210" spans="1:15" ht="16.5" customHeight="1" x14ac:dyDescent="0.15">
      <c r="A210" s="41">
        <v>11</v>
      </c>
      <c r="B210" s="41">
        <v>7702</v>
      </c>
      <c r="C210" s="74" t="s">
        <v>8594</v>
      </c>
      <c r="D210" s="237">
        <f>_11_A家事６．７５</f>
        <v>1009</v>
      </c>
      <c r="E210" s="12" t="s">
        <v>392</v>
      </c>
      <c r="F210" s="757"/>
      <c r="G210" s="216"/>
      <c r="H210" s="38"/>
      <c r="I210" s="236" t="s">
        <v>397</v>
      </c>
      <c r="J210" s="218" t="s">
        <v>398</v>
      </c>
      <c r="K210" s="46">
        <v>1</v>
      </c>
      <c r="L210" s="43"/>
      <c r="M210" s="38"/>
      <c r="N210" s="47">
        <f>ROUND((ROUND((_11_A家事６．７５*_11・基礎２),0)*_11・２人),0)</f>
        <v>908</v>
      </c>
      <c r="O210" s="48"/>
    </row>
    <row r="211" spans="1:15" ht="16.5" customHeight="1" x14ac:dyDescent="0.15">
      <c r="A211" s="41">
        <v>11</v>
      </c>
      <c r="B211" s="41" t="s">
        <v>8595</v>
      </c>
      <c r="C211" s="74" t="s">
        <v>8596</v>
      </c>
      <c r="D211" s="238"/>
      <c r="F211" s="53"/>
      <c r="G211" s="221"/>
      <c r="H211" s="50"/>
      <c r="I211" s="44"/>
      <c r="J211" s="218"/>
      <c r="K211" s="46"/>
      <c r="L211" s="707" t="s">
        <v>404</v>
      </c>
      <c r="M211" s="708"/>
      <c r="N211" s="47">
        <f>ROUND((_11_A家事６．７５*_11・初任),0)</f>
        <v>706</v>
      </c>
      <c r="O211" s="48"/>
    </row>
    <row r="212" spans="1:15" ht="16.5" customHeight="1" x14ac:dyDescent="0.15">
      <c r="A212" s="41">
        <v>11</v>
      </c>
      <c r="B212" s="41" t="s">
        <v>8597</v>
      </c>
      <c r="C212" s="74" t="s">
        <v>8598</v>
      </c>
      <c r="D212" s="238"/>
      <c r="F212" s="43"/>
      <c r="G212" s="216"/>
      <c r="H212" s="38"/>
      <c r="I212" s="236" t="s">
        <v>397</v>
      </c>
      <c r="J212" s="218" t="s">
        <v>398</v>
      </c>
      <c r="K212" s="46">
        <v>1</v>
      </c>
      <c r="L212" s="709"/>
      <c r="M212" s="704"/>
      <c r="N212" s="47">
        <f>ROUND((ROUND((_11_A家事６．７５*_11・２人),0)*_11・初任),0)</f>
        <v>706</v>
      </c>
      <c r="O212" s="48"/>
    </row>
    <row r="213" spans="1:15" ht="16.5" customHeight="1" x14ac:dyDescent="0.15">
      <c r="A213" s="41">
        <v>11</v>
      </c>
      <c r="B213" s="41" t="s">
        <v>8599</v>
      </c>
      <c r="C213" s="74" t="s">
        <v>8600</v>
      </c>
      <c r="D213" s="239"/>
      <c r="F213" s="752" t="s">
        <v>400</v>
      </c>
      <c r="G213" s="221" t="s">
        <v>398</v>
      </c>
      <c r="H213" s="50">
        <v>0.9</v>
      </c>
      <c r="I213" s="44"/>
      <c r="J213" s="218"/>
      <c r="K213" s="46"/>
      <c r="L213" s="709"/>
      <c r="M213" s="704"/>
      <c r="N213" s="47">
        <f>ROUND((ROUND((_11_A家事６．７５*_11・基礎２),0)*_11・初任),0)</f>
        <v>636</v>
      </c>
      <c r="O213" s="48"/>
    </row>
    <row r="214" spans="1:15" ht="16.5" customHeight="1" x14ac:dyDescent="0.15">
      <c r="A214" s="41">
        <v>11</v>
      </c>
      <c r="B214" s="41" t="s">
        <v>8601</v>
      </c>
      <c r="C214" s="74" t="s">
        <v>8602</v>
      </c>
      <c r="D214" s="239"/>
      <c r="F214" s="757"/>
      <c r="G214" s="216"/>
      <c r="H214" s="38"/>
      <c r="I214" s="236" t="s">
        <v>397</v>
      </c>
      <c r="J214" s="218" t="s">
        <v>398</v>
      </c>
      <c r="K214" s="46">
        <v>1</v>
      </c>
      <c r="L214" s="240" t="s">
        <v>398</v>
      </c>
      <c r="M214" s="38">
        <f>_11・初任</f>
        <v>0.7</v>
      </c>
      <c r="N214" s="47">
        <f>ROUND((ROUND((ROUND((_11_A家事６．７５*_11・基礎２),0)*_11・２人),0)*_11・初任),0)</f>
        <v>636</v>
      </c>
      <c r="O214" s="48"/>
    </row>
    <row r="215" spans="1:15" ht="16.5" customHeight="1" x14ac:dyDescent="0.15">
      <c r="A215" s="41">
        <v>11</v>
      </c>
      <c r="B215" s="41">
        <v>6163</v>
      </c>
      <c r="C215" s="74" t="s">
        <v>8603</v>
      </c>
      <c r="D215" s="770" t="s">
        <v>8604</v>
      </c>
      <c r="E215" s="771"/>
      <c r="F215" s="53"/>
      <c r="G215" s="221"/>
      <c r="H215" s="50"/>
      <c r="I215" s="44"/>
      <c r="J215" s="218"/>
      <c r="K215" s="46"/>
      <c r="L215" s="53"/>
      <c r="M215" s="50"/>
      <c r="N215" s="47">
        <f>_11_A家事７．０</f>
        <v>1044</v>
      </c>
      <c r="O215" s="48"/>
    </row>
    <row r="216" spans="1:15" ht="16.5" customHeight="1" x14ac:dyDescent="0.15">
      <c r="A216" s="41">
        <v>11</v>
      </c>
      <c r="B216" s="41">
        <v>6164</v>
      </c>
      <c r="C216" s="74" t="s">
        <v>8605</v>
      </c>
      <c r="D216" s="772"/>
      <c r="E216" s="773"/>
      <c r="F216" s="43"/>
      <c r="G216" s="216"/>
      <c r="H216" s="38"/>
      <c r="I216" s="236" t="s">
        <v>397</v>
      </c>
      <c r="J216" s="218" t="s">
        <v>398</v>
      </c>
      <c r="K216" s="46">
        <v>1</v>
      </c>
      <c r="L216" s="35"/>
      <c r="N216" s="47">
        <f>ROUND((_11_A家事７．０*_11・２人),0)</f>
        <v>1044</v>
      </c>
      <c r="O216" s="48"/>
    </row>
    <row r="217" spans="1:15" ht="16.5" customHeight="1" x14ac:dyDescent="0.15">
      <c r="A217" s="41">
        <v>11</v>
      </c>
      <c r="B217" s="41">
        <v>6165</v>
      </c>
      <c r="C217" s="74" t="s">
        <v>8606</v>
      </c>
      <c r="D217" s="772"/>
      <c r="E217" s="773"/>
      <c r="F217" s="752" t="s">
        <v>400</v>
      </c>
      <c r="G217" s="221" t="s">
        <v>398</v>
      </c>
      <c r="H217" s="50">
        <v>0.9</v>
      </c>
      <c r="I217" s="44"/>
      <c r="J217" s="218"/>
      <c r="K217" s="46"/>
      <c r="L217" s="35"/>
      <c r="N217" s="47">
        <f>ROUND((_11_A家事７．０*_11・基礎２),0)</f>
        <v>940</v>
      </c>
      <c r="O217" s="48"/>
    </row>
    <row r="218" spans="1:15" ht="16.5" customHeight="1" x14ac:dyDescent="0.15">
      <c r="A218" s="41">
        <v>11</v>
      </c>
      <c r="B218" s="41">
        <v>6166</v>
      </c>
      <c r="C218" s="74" t="s">
        <v>8607</v>
      </c>
      <c r="D218" s="237">
        <f>_11_A家事７．０</f>
        <v>1044</v>
      </c>
      <c r="E218" s="12" t="s">
        <v>392</v>
      </c>
      <c r="F218" s="757"/>
      <c r="G218" s="216"/>
      <c r="H218" s="38"/>
      <c r="I218" s="236" t="s">
        <v>397</v>
      </c>
      <c r="J218" s="218" t="s">
        <v>398</v>
      </c>
      <c r="K218" s="46">
        <v>1</v>
      </c>
      <c r="L218" s="43"/>
      <c r="M218" s="38"/>
      <c r="N218" s="47">
        <f>ROUND((ROUND((_11_A家事７．０*_11・基礎２),0)*_11・２人),0)</f>
        <v>940</v>
      </c>
      <c r="O218" s="48"/>
    </row>
    <row r="219" spans="1:15" ht="16.5" customHeight="1" x14ac:dyDescent="0.15">
      <c r="A219" s="41">
        <v>11</v>
      </c>
      <c r="B219" s="41" t="s">
        <v>8608</v>
      </c>
      <c r="C219" s="74" t="s">
        <v>8609</v>
      </c>
      <c r="D219" s="238"/>
      <c r="F219" s="53"/>
      <c r="G219" s="221"/>
      <c r="H219" s="50"/>
      <c r="I219" s="44"/>
      <c r="J219" s="218"/>
      <c r="K219" s="46"/>
      <c r="L219" s="707" t="s">
        <v>404</v>
      </c>
      <c r="M219" s="708"/>
      <c r="N219" s="47">
        <f>ROUND((_11_A家事７．０*_11・初任),0)</f>
        <v>731</v>
      </c>
      <c r="O219" s="48"/>
    </row>
    <row r="220" spans="1:15" ht="16.5" customHeight="1" x14ac:dyDescent="0.15">
      <c r="A220" s="41">
        <v>11</v>
      </c>
      <c r="B220" s="41" t="s">
        <v>8610</v>
      </c>
      <c r="C220" s="74" t="s">
        <v>8611</v>
      </c>
      <c r="D220" s="238"/>
      <c r="F220" s="43"/>
      <c r="G220" s="216"/>
      <c r="H220" s="38"/>
      <c r="I220" s="236" t="s">
        <v>397</v>
      </c>
      <c r="J220" s="218" t="s">
        <v>398</v>
      </c>
      <c r="K220" s="46">
        <v>1</v>
      </c>
      <c r="L220" s="709"/>
      <c r="M220" s="704"/>
      <c r="N220" s="47">
        <f>ROUND((ROUND((_11_A家事７．０*_11・２人),0)*_11・初任),0)</f>
        <v>731</v>
      </c>
      <c r="O220" s="48"/>
    </row>
    <row r="221" spans="1:15" ht="16.5" customHeight="1" x14ac:dyDescent="0.15">
      <c r="A221" s="41">
        <v>11</v>
      </c>
      <c r="B221" s="41" t="s">
        <v>8612</v>
      </c>
      <c r="C221" s="74" t="s">
        <v>8613</v>
      </c>
      <c r="D221" s="239"/>
      <c r="F221" s="752" t="s">
        <v>400</v>
      </c>
      <c r="G221" s="221" t="s">
        <v>398</v>
      </c>
      <c r="H221" s="50">
        <v>0.9</v>
      </c>
      <c r="I221" s="44"/>
      <c r="J221" s="218"/>
      <c r="K221" s="46"/>
      <c r="L221" s="709"/>
      <c r="M221" s="704"/>
      <c r="N221" s="47">
        <f>ROUND((ROUND((_11_A家事７．０*_11・基礎２),0)*_11・初任),0)</f>
        <v>658</v>
      </c>
      <c r="O221" s="48"/>
    </row>
    <row r="222" spans="1:15" ht="16.5" customHeight="1" x14ac:dyDescent="0.15">
      <c r="A222" s="41">
        <v>11</v>
      </c>
      <c r="B222" s="41" t="s">
        <v>8614</v>
      </c>
      <c r="C222" s="74" t="s">
        <v>8615</v>
      </c>
      <c r="D222" s="241"/>
      <c r="E222" s="37"/>
      <c r="F222" s="757"/>
      <c r="G222" s="216"/>
      <c r="H222" s="38"/>
      <c r="I222" s="236" t="s">
        <v>397</v>
      </c>
      <c r="J222" s="218" t="s">
        <v>398</v>
      </c>
      <c r="K222" s="46">
        <v>1</v>
      </c>
      <c r="L222" s="240" t="s">
        <v>398</v>
      </c>
      <c r="M222" s="38">
        <f>_11・初任</f>
        <v>0.7</v>
      </c>
      <c r="N222" s="47">
        <f>ROUND((ROUND((ROUND((_11_A家事７．０*_11・基礎２),0)*_11・２人),0)*_11・初任),0)</f>
        <v>658</v>
      </c>
      <c r="O222" s="63"/>
    </row>
    <row r="223" spans="1:15" ht="16.5" customHeight="1" x14ac:dyDescent="0.15">
      <c r="A223" s="33">
        <v>11</v>
      </c>
      <c r="B223" s="33">
        <v>7703</v>
      </c>
      <c r="C223" s="34" t="s">
        <v>8616</v>
      </c>
      <c r="D223" s="772" t="s">
        <v>8617</v>
      </c>
      <c r="E223" s="773"/>
      <c r="F223" s="35"/>
      <c r="I223" s="36"/>
      <c r="J223" s="216"/>
      <c r="K223" s="38"/>
      <c r="L223" s="35"/>
      <c r="N223" s="39">
        <f>_11_A家事７．２５</f>
        <v>1079</v>
      </c>
      <c r="O223" s="48"/>
    </row>
    <row r="224" spans="1:15" ht="16.5" customHeight="1" x14ac:dyDescent="0.15">
      <c r="A224" s="41">
        <v>11</v>
      </c>
      <c r="B224" s="41">
        <v>7704</v>
      </c>
      <c r="C224" s="74" t="s">
        <v>8618</v>
      </c>
      <c r="D224" s="772"/>
      <c r="E224" s="773"/>
      <c r="F224" s="43"/>
      <c r="G224" s="216"/>
      <c r="H224" s="38"/>
      <c r="I224" s="236" t="s">
        <v>397</v>
      </c>
      <c r="J224" s="218" t="s">
        <v>398</v>
      </c>
      <c r="K224" s="46">
        <v>1</v>
      </c>
      <c r="L224" s="35"/>
      <c r="N224" s="47">
        <f>ROUND((_11_A家事７．２５*_11・２人),0)</f>
        <v>1079</v>
      </c>
      <c r="O224" s="48"/>
    </row>
    <row r="225" spans="1:15" ht="16.5" customHeight="1" x14ac:dyDescent="0.15">
      <c r="A225" s="41">
        <v>11</v>
      </c>
      <c r="B225" s="41">
        <v>7705</v>
      </c>
      <c r="C225" s="74" t="s">
        <v>8619</v>
      </c>
      <c r="D225" s="772"/>
      <c r="E225" s="773"/>
      <c r="F225" s="752" t="s">
        <v>400</v>
      </c>
      <c r="G225" s="221" t="s">
        <v>398</v>
      </c>
      <c r="H225" s="50">
        <v>0.9</v>
      </c>
      <c r="I225" s="44"/>
      <c r="J225" s="218"/>
      <c r="K225" s="46"/>
      <c r="L225" s="35"/>
      <c r="N225" s="47">
        <f>ROUND((_11_A家事７．２５*_11・基礎２),0)</f>
        <v>971</v>
      </c>
      <c r="O225" s="48"/>
    </row>
    <row r="226" spans="1:15" ht="16.5" customHeight="1" x14ac:dyDescent="0.15">
      <c r="A226" s="41">
        <v>11</v>
      </c>
      <c r="B226" s="41">
        <v>7706</v>
      </c>
      <c r="C226" s="74" t="s">
        <v>8620</v>
      </c>
      <c r="D226" s="237">
        <f>_11_A家事７．２５</f>
        <v>1079</v>
      </c>
      <c r="E226" s="12" t="s">
        <v>392</v>
      </c>
      <c r="F226" s="757"/>
      <c r="G226" s="216"/>
      <c r="H226" s="38"/>
      <c r="I226" s="236" t="s">
        <v>397</v>
      </c>
      <c r="J226" s="218" t="s">
        <v>398</v>
      </c>
      <c r="K226" s="46">
        <v>1</v>
      </c>
      <c r="L226" s="43"/>
      <c r="M226" s="38"/>
      <c r="N226" s="47">
        <f>ROUND((ROUND((_11_A家事７．２５*_11・基礎２),0)*_11・２人),0)</f>
        <v>971</v>
      </c>
      <c r="O226" s="48"/>
    </row>
    <row r="227" spans="1:15" ht="16.5" customHeight="1" x14ac:dyDescent="0.15">
      <c r="A227" s="41">
        <v>11</v>
      </c>
      <c r="B227" s="41" t="s">
        <v>8621</v>
      </c>
      <c r="C227" s="74" t="s">
        <v>8622</v>
      </c>
      <c r="D227" s="238"/>
      <c r="F227" s="53"/>
      <c r="G227" s="221"/>
      <c r="H227" s="50"/>
      <c r="I227" s="44"/>
      <c r="J227" s="218"/>
      <c r="K227" s="46"/>
      <c r="L227" s="707" t="s">
        <v>404</v>
      </c>
      <c r="M227" s="708"/>
      <c r="N227" s="47">
        <f>ROUND((_11_A家事７．２５*_11・初任),0)</f>
        <v>755</v>
      </c>
      <c r="O227" s="48"/>
    </row>
    <row r="228" spans="1:15" ht="16.5" customHeight="1" x14ac:dyDescent="0.15">
      <c r="A228" s="41">
        <v>11</v>
      </c>
      <c r="B228" s="41" t="s">
        <v>8623</v>
      </c>
      <c r="C228" s="74" t="s">
        <v>8624</v>
      </c>
      <c r="D228" s="238"/>
      <c r="F228" s="43"/>
      <c r="G228" s="216"/>
      <c r="H228" s="38"/>
      <c r="I228" s="236" t="s">
        <v>397</v>
      </c>
      <c r="J228" s="218" t="s">
        <v>398</v>
      </c>
      <c r="K228" s="46">
        <v>1</v>
      </c>
      <c r="L228" s="709"/>
      <c r="M228" s="704"/>
      <c r="N228" s="47">
        <f>ROUND((ROUND((_11_A家事７．２５*_11・２人),0)*_11・初任),0)</f>
        <v>755</v>
      </c>
      <c r="O228" s="48"/>
    </row>
    <row r="229" spans="1:15" ht="16.5" customHeight="1" x14ac:dyDescent="0.15">
      <c r="A229" s="41">
        <v>11</v>
      </c>
      <c r="B229" s="41" t="s">
        <v>8625</v>
      </c>
      <c r="C229" s="74" t="s">
        <v>8626</v>
      </c>
      <c r="D229" s="239"/>
      <c r="F229" s="752" t="s">
        <v>400</v>
      </c>
      <c r="G229" s="221" t="s">
        <v>398</v>
      </c>
      <c r="H229" s="50">
        <v>0.9</v>
      </c>
      <c r="I229" s="44"/>
      <c r="J229" s="218"/>
      <c r="K229" s="46"/>
      <c r="L229" s="709"/>
      <c r="M229" s="704"/>
      <c r="N229" s="47">
        <f>ROUND((ROUND((_11_A家事７．２５*_11・基礎２),0)*_11・初任),0)</f>
        <v>680</v>
      </c>
      <c r="O229" s="48"/>
    </row>
    <row r="230" spans="1:15" ht="16.5" customHeight="1" x14ac:dyDescent="0.15">
      <c r="A230" s="41">
        <v>11</v>
      </c>
      <c r="B230" s="41" t="s">
        <v>8627</v>
      </c>
      <c r="C230" s="74" t="s">
        <v>8628</v>
      </c>
      <c r="D230" s="239"/>
      <c r="F230" s="757"/>
      <c r="G230" s="216"/>
      <c r="H230" s="38"/>
      <c r="I230" s="236" t="s">
        <v>397</v>
      </c>
      <c r="J230" s="218" t="s">
        <v>398</v>
      </c>
      <c r="K230" s="46">
        <v>1</v>
      </c>
      <c r="L230" s="240" t="s">
        <v>398</v>
      </c>
      <c r="M230" s="38">
        <f>_11・初任</f>
        <v>0.7</v>
      </c>
      <c r="N230" s="47">
        <f>ROUND((ROUND((ROUND((_11_A家事７．２５*_11・基礎２),0)*_11・２人),0)*_11・初任),0)</f>
        <v>680</v>
      </c>
      <c r="O230" s="48"/>
    </row>
    <row r="231" spans="1:15" ht="16.5" customHeight="1" x14ac:dyDescent="0.15">
      <c r="A231" s="41">
        <v>11</v>
      </c>
      <c r="B231" s="41">
        <v>6167</v>
      </c>
      <c r="C231" s="74" t="s">
        <v>8629</v>
      </c>
      <c r="D231" s="770" t="s">
        <v>8630</v>
      </c>
      <c r="E231" s="771"/>
      <c r="F231" s="53"/>
      <c r="G231" s="221"/>
      <c r="H231" s="50"/>
      <c r="I231" s="44"/>
      <c r="J231" s="218"/>
      <c r="K231" s="46"/>
      <c r="L231" s="53"/>
      <c r="M231" s="50"/>
      <c r="N231" s="47">
        <f>_11_A家事７．５</f>
        <v>1114</v>
      </c>
      <c r="O231" s="48"/>
    </row>
    <row r="232" spans="1:15" ht="16.5" customHeight="1" x14ac:dyDescent="0.15">
      <c r="A232" s="41">
        <v>11</v>
      </c>
      <c r="B232" s="41">
        <v>6168</v>
      </c>
      <c r="C232" s="74" t="s">
        <v>8631</v>
      </c>
      <c r="D232" s="772"/>
      <c r="E232" s="773"/>
      <c r="F232" s="43"/>
      <c r="G232" s="216"/>
      <c r="H232" s="38"/>
      <c r="I232" s="236" t="s">
        <v>397</v>
      </c>
      <c r="J232" s="218" t="s">
        <v>398</v>
      </c>
      <c r="K232" s="46">
        <v>1</v>
      </c>
      <c r="L232" s="35"/>
      <c r="N232" s="47">
        <f>ROUND((_11_A家事７．５*_11・２人),0)</f>
        <v>1114</v>
      </c>
      <c r="O232" s="48"/>
    </row>
    <row r="233" spans="1:15" ht="16.5" customHeight="1" x14ac:dyDescent="0.15">
      <c r="A233" s="41">
        <v>11</v>
      </c>
      <c r="B233" s="41">
        <v>6169</v>
      </c>
      <c r="C233" s="74" t="s">
        <v>8632</v>
      </c>
      <c r="D233" s="772"/>
      <c r="E233" s="773"/>
      <c r="F233" s="752" t="s">
        <v>400</v>
      </c>
      <c r="G233" s="221" t="s">
        <v>398</v>
      </c>
      <c r="H233" s="50">
        <v>0.9</v>
      </c>
      <c r="I233" s="44"/>
      <c r="J233" s="218"/>
      <c r="K233" s="46"/>
      <c r="L233" s="35"/>
      <c r="N233" s="47">
        <f>ROUND((_11_A家事７．５*_11・基礎２),0)</f>
        <v>1003</v>
      </c>
      <c r="O233" s="48"/>
    </row>
    <row r="234" spans="1:15" ht="16.5" customHeight="1" x14ac:dyDescent="0.15">
      <c r="A234" s="41">
        <v>11</v>
      </c>
      <c r="B234" s="41">
        <v>6170</v>
      </c>
      <c r="C234" s="74" t="s">
        <v>8633</v>
      </c>
      <c r="D234" s="237">
        <f>_11_A家事７．５</f>
        <v>1114</v>
      </c>
      <c r="E234" s="12" t="s">
        <v>392</v>
      </c>
      <c r="F234" s="757"/>
      <c r="G234" s="216"/>
      <c r="H234" s="38"/>
      <c r="I234" s="236" t="s">
        <v>397</v>
      </c>
      <c r="J234" s="218" t="s">
        <v>398</v>
      </c>
      <c r="K234" s="46">
        <v>1</v>
      </c>
      <c r="L234" s="43"/>
      <c r="M234" s="38"/>
      <c r="N234" s="47">
        <f>ROUND((ROUND((_11_A家事７．５*_11・基礎２),0)*_11・２人),0)</f>
        <v>1003</v>
      </c>
      <c r="O234" s="48"/>
    </row>
    <row r="235" spans="1:15" ht="16.5" customHeight="1" x14ac:dyDescent="0.15">
      <c r="A235" s="41">
        <v>11</v>
      </c>
      <c r="B235" s="41" t="s">
        <v>8634</v>
      </c>
      <c r="C235" s="74" t="s">
        <v>8635</v>
      </c>
      <c r="D235" s="238"/>
      <c r="F235" s="53"/>
      <c r="G235" s="221"/>
      <c r="H235" s="50"/>
      <c r="I235" s="44"/>
      <c r="J235" s="218"/>
      <c r="K235" s="46"/>
      <c r="L235" s="707" t="s">
        <v>404</v>
      </c>
      <c r="M235" s="708"/>
      <c r="N235" s="47">
        <f>ROUND((_11_A家事７．５*_11・初任),0)</f>
        <v>780</v>
      </c>
      <c r="O235" s="48"/>
    </row>
    <row r="236" spans="1:15" ht="16.5" customHeight="1" x14ac:dyDescent="0.15">
      <c r="A236" s="41">
        <v>11</v>
      </c>
      <c r="B236" s="41" t="s">
        <v>8636</v>
      </c>
      <c r="C236" s="74" t="s">
        <v>8637</v>
      </c>
      <c r="D236" s="238"/>
      <c r="F236" s="43"/>
      <c r="G236" s="216"/>
      <c r="H236" s="38"/>
      <c r="I236" s="236" t="s">
        <v>397</v>
      </c>
      <c r="J236" s="218" t="s">
        <v>398</v>
      </c>
      <c r="K236" s="46">
        <v>1</v>
      </c>
      <c r="L236" s="709"/>
      <c r="M236" s="704"/>
      <c r="N236" s="47">
        <f>ROUND((ROUND((_11_A家事７．５*_11・２人),0)*_11・初任),0)</f>
        <v>780</v>
      </c>
      <c r="O236" s="48"/>
    </row>
    <row r="237" spans="1:15" ht="16.5" customHeight="1" x14ac:dyDescent="0.15">
      <c r="A237" s="41">
        <v>11</v>
      </c>
      <c r="B237" s="41" t="s">
        <v>8638</v>
      </c>
      <c r="C237" s="74" t="s">
        <v>8639</v>
      </c>
      <c r="D237" s="239"/>
      <c r="F237" s="752" t="s">
        <v>400</v>
      </c>
      <c r="G237" s="221" t="s">
        <v>398</v>
      </c>
      <c r="H237" s="50">
        <v>0.9</v>
      </c>
      <c r="I237" s="44"/>
      <c r="J237" s="218"/>
      <c r="K237" s="46"/>
      <c r="L237" s="709"/>
      <c r="M237" s="704"/>
      <c r="N237" s="47">
        <f>ROUND((ROUND((_11_A家事７．５*_11・基礎２),0)*_11・初任),0)</f>
        <v>702</v>
      </c>
      <c r="O237" s="48"/>
    </row>
    <row r="238" spans="1:15" ht="16.5" customHeight="1" x14ac:dyDescent="0.15">
      <c r="A238" s="41">
        <v>11</v>
      </c>
      <c r="B238" s="41" t="s">
        <v>8640</v>
      </c>
      <c r="C238" s="74" t="s">
        <v>8641</v>
      </c>
      <c r="D238" s="239"/>
      <c r="F238" s="757"/>
      <c r="G238" s="216"/>
      <c r="H238" s="38"/>
      <c r="I238" s="236" t="s">
        <v>397</v>
      </c>
      <c r="J238" s="218" t="s">
        <v>398</v>
      </c>
      <c r="K238" s="46">
        <v>1</v>
      </c>
      <c r="L238" s="240" t="s">
        <v>398</v>
      </c>
      <c r="M238" s="38">
        <f>_11・初任</f>
        <v>0.7</v>
      </c>
      <c r="N238" s="47">
        <f>ROUND((ROUND((ROUND((_11_A家事７．５*_11・基礎２),0)*_11・２人),0)*_11・初任),0)</f>
        <v>702</v>
      </c>
      <c r="O238" s="48"/>
    </row>
    <row r="239" spans="1:15" ht="16.5" customHeight="1" x14ac:dyDescent="0.15">
      <c r="A239" s="41">
        <v>11</v>
      </c>
      <c r="B239" s="41">
        <v>7707</v>
      </c>
      <c r="C239" s="74" t="s">
        <v>8642</v>
      </c>
      <c r="D239" s="770" t="s">
        <v>8643</v>
      </c>
      <c r="E239" s="771"/>
      <c r="F239" s="53"/>
      <c r="G239" s="221"/>
      <c r="H239" s="50"/>
      <c r="I239" s="44"/>
      <c r="J239" s="218"/>
      <c r="K239" s="46"/>
      <c r="L239" s="53"/>
      <c r="M239" s="50"/>
      <c r="N239" s="47">
        <f>_11_A家事７．７５</f>
        <v>1149</v>
      </c>
      <c r="O239" s="48"/>
    </row>
    <row r="240" spans="1:15" ht="16.5" customHeight="1" x14ac:dyDescent="0.15">
      <c r="A240" s="41">
        <v>11</v>
      </c>
      <c r="B240" s="41">
        <v>7708</v>
      </c>
      <c r="C240" s="74" t="s">
        <v>8644</v>
      </c>
      <c r="D240" s="772"/>
      <c r="E240" s="773"/>
      <c r="F240" s="43"/>
      <c r="G240" s="216"/>
      <c r="H240" s="38"/>
      <c r="I240" s="236" t="s">
        <v>397</v>
      </c>
      <c r="J240" s="218" t="s">
        <v>398</v>
      </c>
      <c r="K240" s="46">
        <v>1</v>
      </c>
      <c r="L240" s="35"/>
      <c r="N240" s="47">
        <f>ROUND((_11_A家事７．７５*_11・２人),0)</f>
        <v>1149</v>
      </c>
      <c r="O240" s="48"/>
    </row>
    <row r="241" spans="1:15" ht="16.5" customHeight="1" x14ac:dyDescent="0.15">
      <c r="A241" s="41">
        <v>11</v>
      </c>
      <c r="B241" s="41">
        <v>7709</v>
      </c>
      <c r="C241" s="74" t="s">
        <v>8645</v>
      </c>
      <c r="D241" s="772"/>
      <c r="E241" s="773"/>
      <c r="F241" s="752" t="s">
        <v>400</v>
      </c>
      <c r="G241" s="221" t="s">
        <v>398</v>
      </c>
      <c r="H241" s="50">
        <v>0.9</v>
      </c>
      <c r="I241" s="44"/>
      <c r="J241" s="218"/>
      <c r="K241" s="46"/>
      <c r="L241" s="35"/>
      <c r="N241" s="47">
        <f>ROUND((_11_A家事７．７５*_11・基礎２),0)</f>
        <v>1034</v>
      </c>
      <c r="O241" s="48"/>
    </row>
    <row r="242" spans="1:15" ht="16.5" customHeight="1" x14ac:dyDescent="0.15">
      <c r="A242" s="41">
        <v>11</v>
      </c>
      <c r="B242" s="41">
        <v>7710</v>
      </c>
      <c r="C242" s="74" t="s">
        <v>8646</v>
      </c>
      <c r="D242" s="237">
        <f>_11_A家事７．７５</f>
        <v>1149</v>
      </c>
      <c r="E242" s="12" t="s">
        <v>392</v>
      </c>
      <c r="F242" s="757"/>
      <c r="G242" s="216"/>
      <c r="H242" s="38"/>
      <c r="I242" s="236" t="s">
        <v>397</v>
      </c>
      <c r="J242" s="218" t="s">
        <v>398</v>
      </c>
      <c r="K242" s="46">
        <v>1</v>
      </c>
      <c r="L242" s="43"/>
      <c r="M242" s="38"/>
      <c r="N242" s="47">
        <f>ROUND((ROUND((_11_A家事７．７５*_11・基礎２),0)*_11・２人),0)</f>
        <v>1034</v>
      </c>
      <c r="O242" s="48"/>
    </row>
    <row r="243" spans="1:15" ht="16.5" customHeight="1" x14ac:dyDescent="0.15">
      <c r="A243" s="41">
        <v>11</v>
      </c>
      <c r="B243" s="41" t="s">
        <v>8647</v>
      </c>
      <c r="C243" s="74" t="s">
        <v>8648</v>
      </c>
      <c r="D243" s="238"/>
      <c r="F243" s="53"/>
      <c r="G243" s="221"/>
      <c r="H243" s="50"/>
      <c r="I243" s="44"/>
      <c r="J243" s="218"/>
      <c r="K243" s="46"/>
      <c r="L243" s="707" t="s">
        <v>404</v>
      </c>
      <c r="M243" s="708"/>
      <c r="N243" s="47">
        <f>ROUND((_11_A家事７．７５*_11・初任),0)</f>
        <v>804</v>
      </c>
      <c r="O243" s="48"/>
    </row>
    <row r="244" spans="1:15" ht="16.5" customHeight="1" x14ac:dyDescent="0.15">
      <c r="A244" s="41">
        <v>11</v>
      </c>
      <c r="B244" s="41" t="s">
        <v>8649</v>
      </c>
      <c r="C244" s="74" t="s">
        <v>8650</v>
      </c>
      <c r="D244" s="238"/>
      <c r="F244" s="43"/>
      <c r="G244" s="216"/>
      <c r="H244" s="38"/>
      <c r="I244" s="236" t="s">
        <v>397</v>
      </c>
      <c r="J244" s="218" t="s">
        <v>398</v>
      </c>
      <c r="K244" s="46">
        <v>1</v>
      </c>
      <c r="L244" s="709"/>
      <c r="M244" s="704"/>
      <c r="N244" s="47">
        <f>ROUND((ROUND((_11_A家事７．７５*_11・２人),0)*_11・初任),0)</f>
        <v>804</v>
      </c>
      <c r="O244" s="48"/>
    </row>
    <row r="245" spans="1:15" ht="16.5" customHeight="1" x14ac:dyDescent="0.15">
      <c r="A245" s="41">
        <v>11</v>
      </c>
      <c r="B245" s="41" t="s">
        <v>8651</v>
      </c>
      <c r="C245" s="74" t="s">
        <v>8652</v>
      </c>
      <c r="D245" s="239"/>
      <c r="F245" s="752" t="s">
        <v>400</v>
      </c>
      <c r="G245" s="221" t="s">
        <v>398</v>
      </c>
      <c r="H245" s="50">
        <v>0.9</v>
      </c>
      <c r="I245" s="44"/>
      <c r="J245" s="218"/>
      <c r="K245" s="46"/>
      <c r="L245" s="709"/>
      <c r="M245" s="704"/>
      <c r="N245" s="47">
        <f>ROUND((ROUND((_11_A家事７．７５*_11・基礎２),0)*_11・初任),0)</f>
        <v>724</v>
      </c>
      <c r="O245" s="48"/>
    </row>
    <row r="246" spans="1:15" ht="16.5" customHeight="1" x14ac:dyDescent="0.15">
      <c r="A246" s="41">
        <v>11</v>
      </c>
      <c r="B246" s="41" t="s">
        <v>8653</v>
      </c>
      <c r="C246" s="74" t="s">
        <v>8654</v>
      </c>
      <c r="D246" s="239"/>
      <c r="F246" s="757"/>
      <c r="G246" s="216"/>
      <c r="H246" s="38"/>
      <c r="I246" s="236" t="s">
        <v>397</v>
      </c>
      <c r="J246" s="218" t="s">
        <v>398</v>
      </c>
      <c r="K246" s="46">
        <v>1</v>
      </c>
      <c r="L246" s="240" t="s">
        <v>398</v>
      </c>
      <c r="M246" s="38">
        <f>_11・初任</f>
        <v>0.7</v>
      </c>
      <c r="N246" s="47">
        <f>ROUND((ROUND((ROUND((_11_A家事７．７５*_11・基礎２),0)*_11・２人),0)*_11・初任),0)</f>
        <v>724</v>
      </c>
      <c r="O246" s="48"/>
    </row>
    <row r="247" spans="1:15" ht="16.5" customHeight="1" x14ac:dyDescent="0.15">
      <c r="A247" s="41">
        <v>11</v>
      </c>
      <c r="B247" s="41">
        <v>6171</v>
      </c>
      <c r="C247" s="74" t="s">
        <v>8655</v>
      </c>
      <c r="D247" s="770" t="s">
        <v>8656</v>
      </c>
      <c r="E247" s="771"/>
      <c r="F247" s="53"/>
      <c r="G247" s="221"/>
      <c r="H247" s="50"/>
      <c r="I247" s="44"/>
      <c r="J247" s="218"/>
      <c r="K247" s="46"/>
      <c r="L247" s="53"/>
      <c r="M247" s="50"/>
      <c r="N247" s="47">
        <f>_11_A家事８．０</f>
        <v>1184</v>
      </c>
      <c r="O247" s="48"/>
    </row>
    <row r="248" spans="1:15" ht="16.5" customHeight="1" x14ac:dyDescent="0.15">
      <c r="A248" s="41">
        <v>11</v>
      </c>
      <c r="B248" s="41">
        <v>6172</v>
      </c>
      <c r="C248" s="74" t="s">
        <v>8657</v>
      </c>
      <c r="D248" s="772"/>
      <c r="E248" s="773"/>
      <c r="F248" s="43"/>
      <c r="G248" s="216"/>
      <c r="H248" s="38"/>
      <c r="I248" s="236" t="s">
        <v>397</v>
      </c>
      <c r="J248" s="218" t="s">
        <v>398</v>
      </c>
      <c r="K248" s="46">
        <v>1</v>
      </c>
      <c r="L248" s="35"/>
      <c r="N248" s="47">
        <f>ROUND((_11_A家事８．０*_11・２人),0)</f>
        <v>1184</v>
      </c>
      <c r="O248" s="48"/>
    </row>
    <row r="249" spans="1:15" ht="16.5" customHeight="1" x14ac:dyDescent="0.15">
      <c r="A249" s="41">
        <v>11</v>
      </c>
      <c r="B249" s="41">
        <v>6173</v>
      </c>
      <c r="C249" s="74" t="s">
        <v>8658</v>
      </c>
      <c r="D249" s="772"/>
      <c r="E249" s="773"/>
      <c r="F249" s="752" t="s">
        <v>400</v>
      </c>
      <c r="G249" s="221" t="s">
        <v>398</v>
      </c>
      <c r="H249" s="50">
        <v>0.9</v>
      </c>
      <c r="I249" s="44"/>
      <c r="J249" s="218"/>
      <c r="K249" s="46"/>
      <c r="L249" s="35"/>
      <c r="N249" s="47">
        <f>ROUND((_11_A家事８．０*_11・基礎２),0)</f>
        <v>1066</v>
      </c>
      <c r="O249" s="48"/>
    </row>
    <row r="250" spans="1:15" ht="16.5" customHeight="1" x14ac:dyDescent="0.15">
      <c r="A250" s="41">
        <v>11</v>
      </c>
      <c r="B250" s="41">
        <v>6174</v>
      </c>
      <c r="C250" s="74" t="s">
        <v>8659</v>
      </c>
      <c r="D250" s="237">
        <f>_11_A家事８．０</f>
        <v>1184</v>
      </c>
      <c r="E250" s="12" t="s">
        <v>392</v>
      </c>
      <c r="F250" s="757"/>
      <c r="G250" s="216"/>
      <c r="H250" s="38"/>
      <c r="I250" s="236" t="s">
        <v>397</v>
      </c>
      <c r="J250" s="218" t="s">
        <v>398</v>
      </c>
      <c r="K250" s="46">
        <v>1</v>
      </c>
      <c r="L250" s="43"/>
      <c r="M250" s="38"/>
      <c r="N250" s="47">
        <f>ROUND((ROUND((_11_A家事８．０*_11・基礎２),0)*_11・２人),0)</f>
        <v>1066</v>
      </c>
      <c r="O250" s="48"/>
    </row>
    <row r="251" spans="1:15" ht="16.5" customHeight="1" x14ac:dyDescent="0.15">
      <c r="A251" s="41">
        <v>11</v>
      </c>
      <c r="B251" s="41" t="s">
        <v>8660</v>
      </c>
      <c r="C251" s="74" t="s">
        <v>8661</v>
      </c>
      <c r="D251" s="238"/>
      <c r="F251" s="53"/>
      <c r="G251" s="221"/>
      <c r="H251" s="50"/>
      <c r="I251" s="44"/>
      <c r="J251" s="218"/>
      <c r="K251" s="46"/>
      <c r="L251" s="707" t="s">
        <v>404</v>
      </c>
      <c r="M251" s="708"/>
      <c r="N251" s="47">
        <f>ROUND((_11_A家事８．０*_11・初任),0)</f>
        <v>829</v>
      </c>
      <c r="O251" s="48"/>
    </row>
    <row r="252" spans="1:15" ht="16.5" customHeight="1" x14ac:dyDescent="0.15">
      <c r="A252" s="41">
        <v>11</v>
      </c>
      <c r="B252" s="41" t="s">
        <v>8662</v>
      </c>
      <c r="C252" s="74" t="s">
        <v>8663</v>
      </c>
      <c r="D252" s="238"/>
      <c r="F252" s="43"/>
      <c r="G252" s="216"/>
      <c r="H252" s="38"/>
      <c r="I252" s="236" t="s">
        <v>397</v>
      </c>
      <c r="J252" s="218" t="s">
        <v>398</v>
      </c>
      <c r="K252" s="46">
        <v>1</v>
      </c>
      <c r="L252" s="709"/>
      <c r="M252" s="704"/>
      <c r="N252" s="47">
        <f>ROUND((ROUND((_11_A家事８．０*_11・２人),0)*_11・初任),0)</f>
        <v>829</v>
      </c>
      <c r="O252" s="48"/>
    </row>
    <row r="253" spans="1:15" ht="16.5" customHeight="1" x14ac:dyDescent="0.15">
      <c r="A253" s="41">
        <v>11</v>
      </c>
      <c r="B253" s="41" t="s">
        <v>8664</v>
      </c>
      <c r="C253" s="74" t="s">
        <v>8665</v>
      </c>
      <c r="D253" s="239"/>
      <c r="F253" s="752" t="s">
        <v>400</v>
      </c>
      <c r="G253" s="221" t="s">
        <v>398</v>
      </c>
      <c r="H253" s="50">
        <v>0.9</v>
      </c>
      <c r="I253" s="44"/>
      <c r="J253" s="218"/>
      <c r="K253" s="46"/>
      <c r="L253" s="709"/>
      <c r="M253" s="704"/>
      <c r="N253" s="47">
        <f>ROUND((ROUND((_11_A家事８．０*_11・基礎２),0)*_11・初任),0)</f>
        <v>746</v>
      </c>
      <c r="O253" s="48"/>
    </row>
    <row r="254" spans="1:15" ht="16.5" customHeight="1" x14ac:dyDescent="0.15">
      <c r="A254" s="41">
        <v>11</v>
      </c>
      <c r="B254" s="41" t="s">
        <v>8666</v>
      </c>
      <c r="C254" s="74" t="s">
        <v>8667</v>
      </c>
      <c r="D254" s="239"/>
      <c r="F254" s="757"/>
      <c r="G254" s="216"/>
      <c r="H254" s="38"/>
      <c r="I254" s="236" t="s">
        <v>397</v>
      </c>
      <c r="J254" s="218" t="s">
        <v>398</v>
      </c>
      <c r="K254" s="46">
        <v>1</v>
      </c>
      <c r="L254" s="240" t="s">
        <v>398</v>
      </c>
      <c r="M254" s="38">
        <f>_11・初任</f>
        <v>0.7</v>
      </c>
      <c r="N254" s="47">
        <f>ROUND((ROUND((ROUND((_11_A家事８．０*_11・基礎２),0)*_11・２人),0)*_11・初任),0)</f>
        <v>746</v>
      </c>
      <c r="O254" s="48"/>
    </row>
    <row r="255" spans="1:15" ht="16.5" customHeight="1" x14ac:dyDescent="0.15">
      <c r="A255" s="41">
        <v>11</v>
      </c>
      <c r="B255" s="41">
        <v>7711</v>
      </c>
      <c r="C255" s="74" t="s">
        <v>8668</v>
      </c>
      <c r="D255" s="770" t="s">
        <v>8669</v>
      </c>
      <c r="E255" s="771"/>
      <c r="F255" s="53"/>
      <c r="G255" s="221"/>
      <c r="H255" s="50"/>
      <c r="I255" s="44"/>
      <c r="J255" s="218"/>
      <c r="K255" s="46"/>
      <c r="L255" s="53"/>
      <c r="M255" s="50"/>
      <c r="N255" s="47">
        <f>_11_A家事８．２５</f>
        <v>1219</v>
      </c>
      <c r="O255" s="48"/>
    </row>
    <row r="256" spans="1:15" ht="16.5" customHeight="1" x14ac:dyDescent="0.15">
      <c r="A256" s="41">
        <v>11</v>
      </c>
      <c r="B256" s="41">
        <v>7712</v>
      </c>
      <c r="C256" s="74" t="s">
        <v>8670</v>
      </c>
      <c r="D256" s="772"/>
      <c r="E256" s="773"/>
      <c r="F256" s="43"/>
      <c r="G256" s="216"/>
      <c r="H256" s="38"/>
      <c r="I256" s="236" t="s">
        <v>397</v>
      </c>
      <c r="J256" s="218" t="s">
        <v>398</v>
      </c>
      <c r="K256" s="46">
        <v>1</v>
      </c>
      <c r="L256" s="35"/>
      <c r="N256" s="47">
        <f>ROUND((_11_A家事８．２５*_11・２人),0)</f>
        <v>1219</v>
      </c>
      <c r="O256" s="48"/>
    </row>
    <row r="257" spans="1:15" ht="16.5" customHeight="1" x14ac:dyDescent="0.15">
      <c r="A257" s="41">
        <v>11</v>
      </c>
      <c r="B257" s="41">
        <v>7713</v>
      </c>
      <c r="C257" s="74" t="s">
        <v>8671</v>
      </c>
      <c r="D257" s="772"/>
      <c r="E257" s="773"/>
      <c r="F257" s="752" t="s">
        <v>400</v>
      </c>
      <c r="G257" s="221" t="s">
        <v>398</v>
      </c>
      <c r="H257" s="50">
        <v>0.9</v>
      </c>
      <c r="I257" s="44"/>
      <c r="J257" s="218"/>
      <c r="K257" s="46"/>
      <c r="L257" s="35"/>
      <c r="N257" s="47">
        <f>ROUND((_11_A家事８．２５*_11・基礎２),0)</f>
        <v>1097</v>
      </c>
      <c r="O257" s="48"/>
    </row>
    <row r="258" spans="1:15" ht="16.5" customHeight="1" x14ac:dyDescent="0.15">
      <c r="A258" s="41">
        <v>11</v>
      </c>
      <c r="B258" s="41">
        <v>7714</v>
      </c>
      <c r="C258" s="74" t="s">
        <v>8672</v>
      </c>
      <c r="D258" s="237">
        <f>_11_A家事８．２５</f>
        <v>1219</v>
      </c>
      <c r="E258" s="12" t="s">
        <v>392</v>
      </c>
      <c r="F258" s="757"/>
      <c r="G258" s="216"/>
      <c r="H258" s="38"/>
      <c r="I258" s="236" t="s">
        <v>397</v>
      </c>
      <c r="J258" s="218" t="s">
        <v>398</v>
      </c>
      <c r="K258" s="46">
        <v>1</v>
      </c>
      <c r="L258" s="43"/>
      <c r="M258" s="38"/>
      <c r="N258" s="47">
        <f>ROUND((ROUND((_11_A家事８．２５*_11・基礎２),0)*_11・２人),0)</f>
        <v>1097</v>
      </c>
      <c r="O258" s="48"/>
    </row>
    <row r="259" spans="1:15" ht="16.5" customHeight="1" x14ac:dyDescent="0.15">
      <c r="A259" s="41">
        <v>11</v>
      </c>
      <c r="B259" s="41" t="s">
        <v>8673</v>
      </c>
      <c r="C259" s="74" t="s">
        <v>8674</v>
      </c>
      <c r="D259" s="238"/>
      <c r="F259" s="53"/>
      <c r="G259" s="221"/>
      <c r="H259" s="50"/>
      <c r="I259" s="44"/>
      <c r="J259" s="218"/>
      <c r="K259" s="46"/>
      <c r="L259" s="707" t="s">
        <v>404</v>
      </c>
      <c r="M259" s="708"/>
      <c r="N259" s="47">
        <f>ROUND((_11_A家事８．２５*_11・初任),0)</f>
        <v>853</v>
      </c>
      <c r="O259" s="48"/>
    </row>
    <row r="260" spans="1:15" ht="16.5" customHeight="1" x14ac:dyDescent="0.15">
      <c r="A260" s="41">
        <v>11</v>
      </c>
      <c r="B260" s="41" t="s">
        <v>8675</v>
      </c>
      <c r="C260" s="74" t="s">
        <v>8676</v>
      </c>
      <c r="D260" s="238"/>
      <c r="F260" s="43"/>
      <c r="G260" s="216"/>
      <c r="H260" s="38"/>
      <c r="I260" s="236" t="s">
        <v>397</v>
      </c>
      <c r="J260" s="218" t="s">
        <v>398</v>
      </c>
      <c r="K260" s="46">
        <v>1</v>
      </c>
      <c r="L260" s="709"/>
      <c r="M260" s="704"/>
      <c r="N260" s="47">
        <f>ROUND((ROUND((_11_A家事８．２５*_11・２人),0)*_11・初任),0)</f>
        <v>853</v>
      </c>
      <c r="O260" s="48"/>
    </row>
    <row r="261" spans="1:15" ht="16.5" customHeight="1" x14ac:dyDescent="0.15">
      <c r="A261" s="41">
        <v>11</v>
      </c>
      <c r="B261" s="41" t="s">
        <v>8677</v>
      </c>
      <c r="C261" s="74" t="s">
        <v>8678</v>
      </c>
      <c r="D261" s="239"/>
      <c r="F261" s="752" t="s">
        <v>400</v>
      </c>
      <c r="G261" s="221" t="s">
        <v>398</v>
      </c>
      <c r="H261" s="50">
        <v>0.9</v>
      </c>
      <c r="I261" s="44"/>
      <c r="J261" s="218"/>
      <c r="K261" s="46"/>
      <c r="L261" s="709"/>
      <c r="M261" s="704"/>
      <c r="N261" s="47">
        <f>ROUND((ROUND((_11_A家事８．２５*_11・基礎２),0)*_11・初任),0)</f>
        <v>768</v>
      </c>
      <c r="O261" s="48"/>
    </row>
    <row r="262" spans="1:15" ht="16.5" customHeight="1" x14ac:dyDescent="0.15">
      <c r="A262" s="41">
        <v>11</v>
      </c>
      <c r="B262" s="41" t="s">
        <v>8679</v>
      </c>
      <c r="C262" s="74" t="s">
        <v>8680</v>
      </c>
      <c r="D262" s="239"/>
      <c r="F262" s="757"/>
      <c r="G262" s="216"/>
      <c r="H262" s="38"/>
      <c r="I262" s="236" t="s">
        <v>397</v>
      </c>
      <c r="J262" s="218" t="s">
        <v>398</v>
      </c>
      <c r="K262" s="46">
        <v>1</v>
      </c>
      <c r="L262" s="240" t="s">
        <v>398</v>
      </c>
      <c r="M262" s="38">
        <f>_11・初任</f>
        <v>0.7</v>
      </c>
      <c r="N262" s="47">
        <f>ROUND((ROUND((ROUND((_11_A家事８．２５*_11・基礎２),0)*_11・２人),0)*_11・初任),0)</f>
        <v>768</v>
      </c>
      <c r="O262" s="48"/>
    </row>
    <row r="263" spans="1:15" ht="16.5" customHeight="1" x14ac:dyDescent="0.15">
      <c r="A263" s="41">
        <v>11</v>
      </c>
      <c r="B263" s="41">
        <v>6175</v>
      </c>
      <c r="C263" s="74" t="s">
        <v>8681</v>
      </c>
      <c r="D263" s="770" t="s">
        <v>8682</v>
      </c>
      <c r="E263" s="771"/>
      <c r="F263" s="53"/>
      <c r="G263" s="221"/>
      <c r="H263" s="50"/>
      <c r="I263" s="44"/>
      <c r="J263" s="218"/>
      <c r="K263" s="46"/>
      <c r="L263" s="53"/>
      <c r="M263" s="50"/>
      <c r="N263" s="47">
        <f>_11_A家事８．５</f>
        <v>1254</v>
      </c>
      <c r="O263" s="48"/>
    </row>
    <row r="264" spans="1:15" ht="16.5" customHeight="1" x14ac:dyDescent="0.15">
      <c r="A264" s="41">
        <v>11</v>
      </c>
      <c r="B264" s="41">
        <v>6176</v>
      </c>
      <c r="C264" s="74" t="s">
        <v>8683</v>
      </c>
      <c r="D264" s="772"/>
      <c r="E264" s="773"/>
      <c r="F264" s="43"/>
      <c r="G264" s="216"/>
      <c r="H264" s="38"/>
      <c r="I264" s="236" t="s">
        <v>397</v>
      </c>
      <c r="J264" s="218" t="s">
        <v>398</v>
      </c>
      <c r="K264" s="46">
        <v>1</v>
      </c>
      <c r="L264" s="35"/>
      <c r="N264" s="47">
        <f>ROUND((_11_A家事８．５*_11・２人),0)</f>
        <v>1254</v>
      </c>
      <c r="O264" s="48"/>
    </row>
    <row r="265" spans="1:15" ht="16.5" customHeight="1" x14ac:dyDescent="0.15">
      <c r="A265" s="41">
        <v>11</v>
      </c>
      <c r="B265" s="41">
        <v>6177</v>
      </c>
      <c r="C265" s="74" t="s">
        <v>8684</v>
      </c>
      <c r="D265" s="772"/>
      <c r="E265" s="773"/>
      <c r="F265" s="752" t="s">
        <v>400</v>
      </c>
      <c r="G265" s="221" t="s">
        <v>398</v>
      </c>
      <c r="H265" s="50">
        <v>0.9</v>
      </c>
      <c r="I265" s="44"/>
      <c r="J265" s="218"/>
      <c r="K265" s="46"/>
      <c r="L265" s="35"/>
      <c r="N265" s="47">
        <f>ROUND((_11_A家事８．５*_11・基礎２),0)</f>
        <v>1129</v>
      </c>
      <c r="O265" s="48"/>
    </row>
    <row r="266" spans="1:15" ht="16.5" customHeight="1" x14ac:dyDescent="0.15">
      <c r="A266" s="41">
        <v>11</v>
      </c>
      <c r="B266" s="41">
        <v>6178</v>
      </c>
      <c r="C266" s="74" t="s">
        <v>8685</v>
      </c>
      <c r="D266" s="237">
        <f>_11_A家事８．５</f>
        <v>1254</v>
      </c>
      <c r="E266" s="12" t="s">
        <v>392</v>
      </c>
      <c r="F266" s="757"/>
      <c r="G266" s="216"/>
      <c r="H266" s="38"/>
      <c r="I266" s="236" t="s">
        <v>397</v>
      </c>
      <c r="J266" s="218" t="s">
        <v>398</v>
      </c>
      <c r="K266" s="46">
        <v>1</v>
      </c>
      <c r="L266" s="43"/>
      <c r="M266" s="38"/>
      <c r="N266" s="47">
        <f>ROUND((ROUND((_11_A家事８．５*_11・基礎２),0)*_11・２人),0)</f>
        <v>1129</v>
      </c>
      <c r="O266" s="48"/>
    </row>
    <row r="267" spans="1:15" ht="16.5" customHeight="1" x14ac:dyDescent="0.15">
      <c r="A267" s="41">
        <v>11</v>
      </c>
      <c r="B267" s="41" t="s">
        <v>8686</v>
      </c>
      <c r="C267" s="74" t="s">
        <v>8687</v>
      </c>
      <c r="D267" s="238"/>
      <c r="F267" s="53"/>
      <c r="G267" s="221"/>
      <c r="H267" s="50"/>
      <c r="I267" s="44"/>
      <c r="J267" s="218"/>
      <c r="K267" s="46"/>
      <c r="L267" s="707" t="s">
        <v>404</v>
      </c>
      <c r="M267" s="708"/>
      <c r="N267" s="47">
        <f>ROUND((_11_A家事８．５*_11・初任),0)</f>
        <v>878</v>
      </c>
      <c r="O267" s="48"/>
    </row>
    <row r="268" spans="1:15" ht="16.5" customHeight="1" x14ac:dyDescent="0.15">
      <c r="A268" s="41">
        <v>11</v>
      </c>
      <c r="B268" s="41" t="s">
        <v>8688</v>
      </c>
      <c r="C268" s="74" t="s">
        <v>8689</v>
      </c>
      <c r="D268" s="238"/>
      <c r="F268" s="43"/>
      <c r="G268" s="216"/>
      <c r="H268" s="38"/>
      <c r="I268" s="236" t="s">
        <v>397</v>
      </c>
      <c r="J268" s="218" t="s">
        <v>398</v>
      </c>
      <c r="K268" s="46">
        <v>1</v>
      </c>
      <c r="L268" s="709"/>
      <c r="M268" s="704"/>
      <c r="N268" s="47">
        <f>ROUND((ROUND((_11_A家事８．５*_11・２人),0)*_11・初任),0)</f>
        <v>878</v>
      </c>
      <c r="O268" s="48"/>
    </row>
    <row r="269" spans="1:15" ht="16.5" customHeight="1" x14ac:dyDescent="0.15">
      <c r="A269" s="41">
        <v>11</v>
      </c>
      <c r="B269" s="41" t="s">
        <v>8690</v>
      </c>
      <c r="C269" s="74" t="s">
        <v>8691</v>
      </c>
      <c r="D269" s="239"/>
      <c r="F269" s="752" t="s">
        <v>400</v>
      </c>
      <c r="G269" s="221" t="s">
        <v>398</v>
      </c>
      <c r="H269" s="50">
        <v>0.9</v>
      </c>
      <c r="I269" s="44"/>
      <c r="J269" s="218"/>
      <c r="K269" s="46"/>
      <c r="L269" s="709"/>
      <c r="M269" s="704"/>
      <c r="N269" s="47">
        <f>ROUND((ROUND((_11_A家事８．５*_11・基礎２),0)*_11・初任),0)</f>
        <v>790</v>
      </c>
      <c r="O269" s="48"/>
    </row>
    <row r="270" spans="1:15" ht="16.5" customHeight="1" x14ac:dyDescent="0.15">
      <c r="A270" s="41">
        <v>11</v>
      </c>
      <c r="B270" s="41" t="s">
        <v>8692</v>
      </c>
      <c r="C270" s="74" t="s">
        <v>8693</v>
      </c>
      <c r="D270" s="239"/>
      <c r="F270" s="757"/>
      <c r="G270" s="216"/>
      <c r="H270" s="38"/>
      <c r="I270" s="236" t="s">
        <v>397</v>
      </c>
      <c r="J270" s="218" t="s">
        <v>398</v>
      </c>
      <c r="K270" s="46">
        <v>1</v>
      </c>
      <c r="L270" s="240" t="s">
        <v>398</v>
      </c>
      <c r="M270" s="38">
        <f>_11・初任</f>
        <v>0.7</v>
      </c>
      <c r="N270" s="47">
        <f>ROUND((ROUND((ROUND((_11_A家事８．５*_11・基礎２),0)*_11・２人),0)*_11・初任),0)</f>
        <v>790</v>
      </c>
      <c r="O270" s="48"/>
    </row>
    <row r="271" spans="1:15" ht="16.5" customHeight="1" x14ac:dyDescent="0.15">
      <c r="A271" s="41">
        <v>11</v>
      </c>
      <c r="B271" s="41">
        <v>7715</v>
      </c>
      <c r="C271" s="74" t="s">
        <v>8694</v>
      </c>
      <c r="D271" s="770" t="s">
        <v>8695</v>
      </c>
      <c r="E271" s="771"/>
      <c r="F271" s="53"/>
      <c r="G271" s="221"/>
      <c r="H271" s="50"/>
      <c r="I271" s="44"/>
      <c r="J271" s="218"/>
      <c r="K271" s="46"/>
      <c r="L271" s="53"/>
      <c r="M271" s="50"/>
      <c r="N271" s="47">
        <f>_11_A家事８．７５</f>
        <v>1289</v>
      </c>
      <c r="O271" s="48"/>
    </row>
    <row r="272" spans="1:15" ht="16.5" customHeight="1" x14ac:dyDescent="0.15">
      <c r="A272" s="41">
        <v>11</v>
      </c>
      <c r="B272" s="41">
        <v>7716</v>
      </c>
      <c r="C272" s="74" t="s">
        <v>8696</v>
      </c>
      <c r="D272" s="772"/>
      <c r="E272" s="773"/>
      <c r="F272" s="43"/>
      <c r="G272" s="216"/>
      <c r="H272" s="38"/>
      <c r="I272" s="236" t="s">
        <v>397</v>
      </c>
      <c r="J272" s="218" t="s">
        <v>398</v>
      </c>
      <c r="K272" s="46">
        <v>1</v>
      </c>
      <c r="L272" s="35"/>
      <c r="N272" s="47">
        <f>ROUND((_11_A家事８．７５*_11・２人),0)</f>
        <v>1289</v>
      </c>
      <c r="O272" s="48"/>
    </row>
    <row r="273" spans="1:15" ht="16.5" customHeight="1" x14ac:dyDescent="0.15">
      <c r="A273" s="41">
        <v>11</v>
      </c>
      <c r="B273" s="41">
        <v>7717</v>
      </c>
      <c r="C273" s="74" t="s">
        <v>8697</v>
      </c>
      <c r="D273" s="772"/>
      <c r="E273" s="773"/>
      <c r="F273" s="752" t="s">
        <v>400</v>
      </c>
      <c r="G273" s="221" t="s">
        <v>398</v>
      </c>
      <c r="H273" s="50">
        <v>0.9</v>
      </c>
      <c r="I273" s="44"/>
      <c r="J273" s="218"/>
      <c r="K273" s="46"/>
      <c r="L273" s="35"/>
      <c r="N273" s="47">
        <f>ROUND((_11_A家事８．７５*_11・基礎２),0)</f>
        <v>1160</v>
      </c>
      <c r="O273" s="48"/>
    </row>
    <row r="274" spans="1:15" ht="16.5" customHeight="1" x14ac:dyDescent="0.15">
      <c r="A274" s="41">
        <v>11</v>
      </c>
      <c r="B274" s="41">
        <v>7718</v>
      </c>
      <c r="C274" s="74" t="s">
        <v>8698</v>
      </c>
      <c r="D274" s="237">
        <f>_11_A家事８．７５</f>
        <v>1289</v>
      </c>
      <c r="E274" s="12" t="s">
        <v>392</v>
      </c>
      <c r="F274" s="757"/>
      <c r="G274" s="216"/>
      <c r="H274" s="38"/>
      <c r="I274" s="236" t="s">
        <v>397</v>
      </c>
      <c r="J274" s="218" t="s">
        <v>398</v>
      </c>
      <c r="K274" s="46">
        <v>1</v>
      </c>
      <c r="L274" s="43"/>
      <c r="M274" s="38"/>
      <c r="N274" s="47">
        <f>ROUND((ROUND((_11_A家事８．７５*_11・基礎２),0)*_11・２人),0)</f>
        <v>1160</v>
      </c>
      <c r="O274" s="48"/>
    </row>
    <row r="275" spans="1:15" ht="16.5" customHeight="1" x14ac:dyDescent="0.15">
      <c r="A275" s="41">
        <v>11</v>
      </c>
      <c r="B275" s="41" t="s">
        <v>8699</v>
      </c>
      <c r="C275" s="74" t="s">
        <v>8700</v>
      </c>
      <c r="D275" s="238"/>
      <c r="F275" s="53"/>
      <c r="G275" s="221"/>
      <c r="H275" s="50"/>
      <c r="I275" s="44"/>
      <c r="J275" s="218"/>
      <c r="K275" s="46"/>
      <c r="L275" s="707" t="s">
        <v>404</v>
      </c>
      <c r="M275" s="708"/>
      <c r="N275" s="47">
        <f>ROUND((_11_A家事８．７５*_11・初任),0)</f>
        <v>902</v>
      </c>
      <c r="O275" s="48"/>
    </row>
    <row r="276" spans="1:15" ht="16.5" customHeight="1" x14ac:dyDescent="0.15">
      <c r="A276" s="41">
        <v>11</v>
      </c>
      <c r="B276" s="41" t="s">
        <v>8701</v>
      </c>
      <c r="C276" s="74" t="s">
        <v>8702</v>
      </c>
      <c r="D276" s="238"/>
      <c r="F276" s="43"/>
      <c r="G276" s="216"/>
      <c r="H276" s="38"/>
      <c r="I276" s="236" t="s">
        <v>397</v>
      </c>
      <c r="J276" s="218" t="s">
        <v>398</v>
      </c>
      <c r="K276" s="46">
        <v>1</v>
      </c>
      <c r="L276" s="709"/>
      <c r="M276" s="704"/>
      <c r="N276" s="47">
        <f>ROUND((ROUND((_11_A家事８．７５*_11・２人),0)*_11・初任),0)</f>
        <v>902</v>
      </c>
      <c r="O276" s="48"/>
    </row>
    <row r="277" spans="1:15" ht="16.5" customHeight="1" x14ac:dyDescent="0.15">
      <c r="A277" s="41">
        <v>11</v>
      </c>
      <c r="B277" s="41" t="s">
        <v>8703</v>
      </c>
      <c r="C277" s="74" t="s">
        <v>8704</v>
      </c>
      <c r="D277" s="239"/>
      <c r="F277" s="752" t="s">
        <v>400</v>
      </c>
      <c r="G277" s="221" t="s">
        <v>398</v>
      </c>
      <c r="H277" s="50">
        <v>0.9</v>
      </c>
      <c r="I277" s="44"/>
      <c r="J277" s="218"/>
      <c r="K277" s="46"/>
      <c r="L277" s="709"/>
      <c r="M277" s="704"/>
      <c r="N277" s="47">
        <f>ROUND((ROUND((_11_A家事８．７５*_11・基礎２),0)*_11・初任),0)</f>
        <v>812</v>
      </c>
      <c r="O277" s="48"/>
    </row>
    <row r="278" spans="1:15" ht="16.5" customHeight="1" x14ac:dyDescent="0.15">
      <c r="A278" s="41">
        <v>11</v>
      </c>
      <c r="B278" s="41" t="s">
        <v>8705</v>
      </c>
      <c r="C278" s="74" t="s">
        <v>8706</v>
      </c>
      <c r="D278" s="239"/>
      <c r="F278" s="757"/>
      <c r="G278" s="216"/>
      <c r="H278" s="38"/>
      <c r="I278" s="236" t="s">
        <v>397</v>
      </c>
      <c r="J278" s="218" t="s">
        <v>398</v>
      </c>
      <c r="K278" s="46">
        <v>1</v>
      </c>
      <c r="L278" s="240" t="s">
        <v>398</v>
      </c>
      <c r="M278" s="38">
        <f>_11・初任</f>
        <v>0.7</v>
      </c>
      <c r="N278" s="47">
        <f>ROUND((ROUND((ROUND((_11_A家事８．７５*_11・基礎２),0)*_11・２人),0)*_11・初任),0)</f>
        <v>812</v>
      </c>
      <c r="O278" s="48"/>
    </row>
    <row r="279" spans="1:15" ht="16.5" customHeight="1" x14ac:dyDescent="0.15">
      <c r="A279" s="41">
        <v>11</v>
      </c>
      <c r="B279" s="41">
        <v>6179</v>
      </c>
      <c r="C279" s="74" t="s">
        <v>8707</v>
      </c>
      <c r="D279" s="770" t="s">
        <v>8708</v>
      </c>
      <c r="E279" s="771"/>
      <c r="F279" s="53"/>
      <c r="G279" s="221"/>
      <c r="H279" s="50"/>
      <c r="I279" s="44"/>
      <c r="J279" s="218"/>
      <c r="K279" s="46"/>
      <c r="L279" s="53"/>
      <c r="M279" s="50"/>
      <c r="N279" s="47">
        <f>_11_A家事９．０</f>
        <v>1324</v>
      </c>
      <c r="O279" s="48"/>
    </row>
    <row r="280" spans="1:15" ht="16.5" customHeight="1" x14ac:dyDescent="0.15">
      <c r="A280" s="41">
        <v>11</v>
      </c>
      <c r="B280" s="41">
        <v>6180</v>
      </c>
      <c r="C280" s="74" t="s">
        <v>8709</v>
      </c>
      <c r="D280" s="772"/>
      <c r="E280" s="773"/>
      <c r="F280" s="43"/>
      <c r="G280" s="216"/>
      <c r="H280" s="38"/>
      <c r="I280" s="236" t="s">
        <v>397</v>
      </c>
      <c r="J280" s="218" t="s">
        <v>398</v>
      </c>
      <c r="K280" s="46">
        <v>1</v>
      </c>
      <c r="L280" s="35"/>
      <c r="N280" s="47">
        <f>ROUND((_11_A家事９．０*_11・２人),0)</f>
        <v>1324</v>
      </c>
      <c r="O280" s="48"/>
    </row>
    <row r="281" spans="1:15" ht="16.5" customHeight="1" x14ac:dyDescent="0.15">
      <c r="A281" s="41">
        <v>11</v>
      </c>
      <c r="B281" s="41">
        <v>6181</v>
      </c>
      <c r="C281" s="74" t="s">
        <v>8710</v>
      </c>
      <c r="D281" s="772"/>
      <c r="E281" s="773"/>
      <c r="F281" s="752" t="s">
        <v>400</v>
      </c>
      <c r="G281" s="221" t="s">
        <v>398</v>
      </c>
      <c r="H281" s="50">
        <v>0.9</v>
      </c>
      <c r="I281" s="44"/>
      <c r="J281" s="218"/>
      <c r="K281" s="46"/>
      <c r="L281" s="35"/>
      <c r="N281" s="47">
        <f>ROUND((_11_A家事９．０*_11・基礎２),0)</f>
        <v>1192</v>
      </c>
      <c r="O281" s="48"/>
    </row>
    <row r="282" spans="1:15" ht="16.5" customHeight="1" x14ac:dyDescent="0.15">
      <c r="A282" s="41">
        <v>11</v>
      </c>
      <c r="B282" s="41">
        <v>6182</v>
      </c>
      <c r="C282" s="74" t="s">
        <v>8711</v>
      </c>
      <c r="D282" s="237">
        <f>_11_A家事９．０</f>
        <v>1324</v>
      </c>
      <c r="E282" s="12" t="s">
        <v>392</v>
      </c>
      <c r="F282" s="757"/>
      <c r="G282" s="216"/>
      <c r="H282" s="38"/>
      <c r="I282" s="236" t="s">
        <v>397</v>
      </c>
      <c r="J282" s="218" t="s">
        <v>398</v>
      </c>
      <c r="K282" s="46">
        <v>1</v>
      </c>
      <c r="L282" s="43"/>
      <c r="M282" s="38"/>
      <c r="N282" s="47">
        <f>ROUND((ROUND((_11_A家事９．０*_11・基礎２),0)*_11・２人),0)</f>
        <v>1192</v>
      </c>
      <c r="O282" s="48"/>
    </row>
    <row r="283" spans="1:15" ht="16.5" customHeight="1" x14ac:dyDescent="0.15">
      <c r="A283" s="41">
        <v>11</v>
      </c>
      <c r="B283" s="41" t="s">
        <v>8712</v>
      </c>
      <c r="C283" s="74" t="s">
        <v>8713</v>
      </c>
      <c r="D283" s="238"/>
      <c r="F283" s="53"/>
      <c r="G283" s="221"/>
      <c r="H283" s="50"/>
      <c r="I283" s="44"/>
      <c r="J283" s="218"/>
      <c r="K283" s="46"/>
      <c r="L283" s="707" t="s">
        <v>404</v>
      </c>
      <c r="M283" s="708"/>
      <c r="N283" s="47">
        <f>ROUND((_11_A家事９．０*_11・初任),0)</f>
        <v>927</v>
      </c>
      <c r="O283" s="48"/>
    </row>
    <row r="284" spans="1:15" ht="16.5" customHeight="1" x14ac:dyDescent="0.15">
      <c r="A284" s="41">
        <v>11</v>
      </c>
      <c r="B284" s="41" t="s">
        <v>8714</v>
      </c>
      <c r="C284" s="74" t="s">
        <v>8715</v>
      </c>
      <c r="D284" s="238"/>
      <c r="F284" s="43"/>
      <c r="G284" s="216"/>
      <c r="H284" s="38"/>
      <c r="I284" s="236" t="s">
        <v>397</v>
      </c>
      <c r="J284" s="218" t="s">
        <v>398</v>
      </c>
      <c r="K284" s="46">
        <v>1</v>
      </c>
      <c r="L284" s="709"/>
      <c r="M284" s="704"/>
      <c r="N284" s="47">
        <f>ROUND((ROUND((_11_A家事９．０*_11・２人),0)*_11・初任),0)</f>
        <v>927</v>
      </c>
      <c r="O284" s="48"/>
    </row>
    <row r="285" spans="1:15" ht="16.5" customHeight="1" x14ac:dyDescent="0.15">
      <c r="A285" s="41">
        <v>11</v>
      </c>
      <c r="B285" s="41" t="s">
        <v>8716</v>
      </c>
      <c r="C285" s="74" t="s">
        <v>8717</v>
      </c>
      <c r="D285" s="239"/>
      <c r="F285" s="752" t="s">
        <v>400</v>
      </c>
      <c r="G285" s="221" t="s">
        <v>398</v>
      </c>
      <c r="H285" s="50">
        <v>0.9</v>
      </c>
      <c r="I285" s="44"/>
      <c r="J285" s="218"/>
      <c r="K285" s="46"/>
      <c r="L285" s="709"/>
      <c r="M285" s="704"/>
      <c r="N285" s="47">
        <f>ROUND((ROUND((_11_A家事９．０*_11・基礎２),0)*_11・初任),0)</f>
        <v>834</v>
      </c>
      <c r="O285" s="48"/>
    </row>
    <row r="286" spans="1:15" ht="16.5" customHeight="1" x14ac:dyDescent="0.15">
      <c r="A286" s="41">
        <v>11</v>
      </c>
      <c r="B286" s="41" t="s">
        <v>8718</v>
      </c>
      <c r="C286" s="74" t="s">
        <v>8719</v>
      </c>
      <c r="D286" s="239"/>
      <c r="F286" s="757"/>
      <c r="G286" s="216"/>
      <c r="H286" s="38"/>
      <c r="I286" s="236" t="s">
        <v>397</v>
      </c>
      <c r="J286" s="218" t="s">
        <v>398</v>
      </c>
      <c r="K286" s="46">
        <v>1</v>
      </c>
      <c r="L286" s="240" t="s">
        <v>398</v>
      </c>
      <c r="M286" s="38">
        <f>_11・初任</f>
        <v>0.7</v>
      </c>
      <c r="N286" s="47">
        <f>ROUND((ROUND((ROUND((_11_A家事９．０*_11・基礎２),0)*_11・２人),0)*_11・初任),0)</f>
        <v>834</v>
      </c>
      <c r="O286" s="48"/>
    </row>
    <row r="287" spans="1:15" ht="16.5" customHeight="1" x14ac:dyDescent="0.15">
      <c r="A287" s="41">
        <v>11</v>
      </c>
      <c r="B287" s="41">
        <v>7719</v>
      </c>
      <c r="C287" s="74" t="s">
        <v>8720</v>
      </c>
      <c r="D287" s="770" t="s">
        <v>8721</v>
      </c>
      <c r="E287" s="771"/>
      <c r="F287" s="53"/>
      <c r="G287" s="221"/>
      <c r="H287" s="50"/>
      <c r="I287" s="44"/>
      <c r="J287" s="218"/>
      <c r="K287" s="46"/>
      <c r="L287" s="53"/>
      <c r="M287" s="50"/>
      <c r="N287" s="47">
        <f>_11_A家事９．２５</f>
        <v>1359</v>
      </c>
      <c r="O287" s="48"/>
    </row>
    <row r="288" spans="1:15" ht="16.5" customHeight="1" x14ac:dyDescent="0.15">
      <c r="A288" s="41">
        <v>11</v>
      </c>
      <c r="B288" s="41">
        <v>7720</v>
      </c>
      <c r="C288" s="74" t="s">
        <v>8722</v>
      </c>
      <c r="D288" s="772"/>
      <c r="E288" s="773"/>
      <c r="F288" s="43"/>
      <c r="G288" s="216"/>
      <c r="H288" s="38"/>
      <c r="I288" s="236" t="s">
        <v>397</v>
      </c>
      <c r="J288" s="218" t="s">
        <v>398</v>
      </c>
      <c r="K288" s="46">
        <v>1</v>
      </c>
      <c r="L288" s="35"/>
      <c r="N288" s="47">
        <f>ROUND((_11_A家事９．２５*_11・２人),0)</f>
        <v>1359</v>
      </c>
      <c r="O288" s="48"/>
    </row>
    <row r="289" spans="1:15" ht="16.5" customHeight="1" x14ac:dyDescent="0.15">
      <c r="A289" s="41">
        <v>11</v>
      </c>
      <c r="B289" s="41">
        <v>7721</v>
      </c>
      <c r="C289" s="74" t="s">
        <v>8723</v>
      </c>
      <c r="D289" s="772"/>
      <c r="E289" s="773"/>
      <c r="F289" s="752" t="s">
        <v>400</v>
      </c>
      <c r="G289" s="221" t="s">
        <v>398</v>
      </c>
      <c r="H289" s="50">
        <v>0.9</v>
      </c>
      <c r="I289" s="44"/>
      <c r="J289" s="218"/>
      <c r="K289" s="46"/>
      <c r="L289" s="35"/>
      <c r="N289" s="47">
        <f>ROUND((_11_A家事９．２５*_11・基礎２),0)</f>
        <v>1223</v>
      </c>
      <c r="O289" s="48"/>
    </row>
    <row r="290" spans="1:15" ht="16.5" customHeight="1" x14ac:dyDescent="0.15">
      <c r="A290" s="41">
        <v>11</v>
      </c>
      <c r="B290" s="41">
        <v>7722</v>
      </c>
      <c r="C290" s="74" t="s">
        <v>8724</v>
      </c>
      <c r="D290" s="237">
        <f>_11_A家事９．２５</f>
        <v>1359</v>
      </c>
      <c r="E290" s="12" t="s">
        <v>392</v>
      </c>
      <c r="F290" s="757"/>
      <c r="G290" s="216"/>
      <c r="H290" s="38"/>
      <c r="I290" s="236" t="s">
        <v>397</v>
      </c>
      <c r="J290" s="218" t="s">
        <v>398</v>
      </c>
      <c r="K290" s="46">
        <v>1</v>
      </c>
      <c r="L290" s="43"/>
      <c r="M290" s="38"/>
      <c r="N290" s="47">
        <f>ROUND((ROUND((_11_A家事９．２５*_11・基礎２),0)*_11・２人),0)</f>
        <v>1223</v>
      </c>
      <c r="O290" s="48"/>
    </row>
    <row r="291" spans="1:15" ht="16.5" customHeight="1" x14ac:dyDescent="0.15">
      <c r="A291" s="41">
        <v>11</v>
      </c>
      <c r="B291" s="41" t="s">
        <v>8725</v>
      </c>
      <c r="C291" s="74" t="s">
        <v>8726</v>
      </c>
      <c r="D291" s="238"/>
      <c r="F291" s="53"/>
      <c r="G291" s="221"/>
      <c r="H291" s="50"/>
      <c r="I291" s="44"/>
      <c r="J291" s="218"/>
      <c r="K291" s="46"/>
      <c r="L291" s="707" t="s">
        <v>404</v>
      </c>
      <c r="M291" s="708"/>
      <c r="N291" s="47">
        <f>ROUND((_11_A家事９．２５*_11・初任),0)</f>
        <v>951</v>
      </c>
      <c r="O291" s="48"/>
    </row>
    <row r="292" spans="1:15" ht="16.5" customHeight="1" x14ac:dyDescent="0.15">
      <c r="A292" s="41">
        <v>11</v>
      </c>
      <c r="B292" s="41" t="s">
        <v>8727</v>
      </c>
      <c r="C292" s="74" t="s">
        <v>8728</v>
      </c>
      <c r="D292" s="238"/>
      <c r="F292" s="43"/>
      <c r="G292" s="216"/>
      <c r="H292" s="38"/>
      <c r="I292" s="236" t="s">
        <v>397</v>
      </c>
      <c r="J292" s="218" t="s">
        <v>398</v>
      </c>
      <c r="K292" s="46">
        <v>1</v>
      </c>
      <c r="L292" s="709"/>
      <c r="M292" s="704"/>
      <c r="N292" s="47">
        <f>ROUND((ROUND((_11_A家事９．２５*_11・２人),0)*_11・初任),0)</f>
        <v>951</v>
      </c>
      <c r="O292" s="48"/>
    </row>
    <row r="293" spans="1:15" ht="16.5" customHeight="1" x14ac:dyDescent="0.15">
      <c r="A293" s="41">
        <v>11</v>
      </c>
      <c r="B293" s="41" t="s">
        <v>8729</v>
      </c>
      <c r="C293" s="74" t="s">
        <v>8730</v>
      </c>
      <c r="D293" s="239"/>
      <c r="F293" s="752" t="s">
        <v>400</v>
      </c>
      <c r="G293" s="221" t="s">
        <v>398</v>
      </c>
      <c r="H293" s="50">
        <v>0.9</v>
      </c>
      <c r="I293" s="44"/>
      <c r="J293" s="218"/>
      <c r="K293" s="46"/>
      <c r="L293" s="709"/>
      <c r="M293" s="704"/>
      <c r="N293" s="47">
        <f>ROUND((ROUND((_11_A家事９．２５*_11・基礎２),0)*_11・初任),0)</f>
        <v>856</v>
      </c>
      <c r="O293" s="48"/>
    </row>
    <row r="294" spans="1:15" ht="16.5" customHeight="1" x14ac:dyDescent="0.15">
      <c r="A294" s="41">
        <v>11</v>
      </c>
      <c r="B294" s="41" t="s">
        <v>8731</v>
      </c>
      <c r="C294" s="74" t="s">
        <v>8732</v>
      </c>
      <c r="D294" s="241"/>
      <c r="E294" s="37"/>
      <c r="F294" s="757"/>
      <c r="G294" s="216"/>
      <c r="H294" s="38"/>
      <c r="I294" s="236" t="s">
        <v>397</v>
      </c>
      <c r="J294" s="218" t="s">
        <v>398</v>
      </c>
      <c r="K294" s="46">
        <v>1</v>
      </c>
      <c r="L294" s="240" t="s">
        <v>398</v>
      </c>
      <c r="M294" s="38">
        <f>_11・初任</f>
        <v>0.7</v>
      </c>
      <c r="N294" s="47">
        <f>ROUND((ROUND((ROUND((_11_A家事９．２５*_11・基礎２),0)*_11・２人),0)*_11・初任),0)</f>
        <v>856</v>
      </c>
      <c r="O294" s="63"/>
    </row>
    <row r="295" spans="1:15" ht="16.5" customHeight="1" x14ac:dyDescent="0.15">
      <c r="A295" s="33">
        <v>11</v>
      </c>
      <c r="B295" s="33">
        <v>6183</v>
      </c>
      <c r="C295" s="34" t="s">
        <v>8733</v>
      </c>
      <c r="D295" s="772" t="s">
        <v>8734</v>
      </c>
      <c r="E295" s="773"/>
      <c r="F295" s="35"/>
      <c r="I295" s="36"/>
      <c r="J295" s="216"/>
      <c r="K295" s="38"/>
      <c r="L295" s="35"/>
      <c r="N295" s="39">
        <f>_11_A家事９．５</f>
        <v>1394</v>
      </c>
      <c r="O295" s="48"/>
    </row>
    <row r="296" spans="1:15" ht="16.5" customHeight="1" x14ac:dyDescent="0.15">
      <c r="A296" s="41">
        <v>11</v>
      </c>
      <c r="B296" s="41">
        <v>6184</v>
      </c>
      <c r="C296" s="74" t="s">
        <v>8735</v>
      </c>
      <c r="D296" s="772"/>
      <c r="E296" s="773"/>
      <c r="F296" s="43"/>
      <c r="G296" s="216"/>
      <c r="H296" s="38"/>
      <c r="I296" s="236" t="s">
        <v>397</v>
      </c>
      <c r="J296" s="218" t="s">
        <v>398</v>
      </c>
      <c r="K296" s="46">
        <v>1</v>
      </c>
      <c r="L296" s="35"/>
      <c r="N296" s="47">
        <f>ROUND((_11_A家事９．５*_11・２人),0)</f>
        <v>1394</v>
      </c>
      <c r="O296" s="48"/>
    </row>
    <row r="297" spans="1:15" ht="16.5" customHeight="1" x14ac:dyDescent="0.15">
      <c r="A297" s="41">
        <v>11</v>
      </c>
      <c r="B297" s="41">
        <v>6185</v>
      </c>
      <c r="C297" s="74" t="s">
        <v>8736</v>
      </c>
      <c r="D297" s="772"/>
      <c r="E297" s="773"/>
      <c r="F297" s="752" t="s">
        <v>400</v>
      </c>
      <c r="G297" s="221" t="s">
        <v>398</v>
      </c>
      <c r="H297" s="50">
        <v>0.9</v>
      </c>
      <c r="I297" s="44"/>
      <c r="J297" s="218"/>
      <c r="K297" s="46"/>
      <c r="L297" s="35"/>
      <c r="N297" s="47">
        <f>ROUND((_11_A家事９．５*_11・基礎２),0)</f>
        <v>1255</v>
      </c>
      <c r="O297" s="48"/>
    </row>
    <row r="298" spans="1:15" ht="16.5" customHeight="1" x14ac:dyDescent="0.15">
      <c r="A298" s="41">
        <v>11</v>
      </c>
      <c r="B298" s="41">
        <v>6186</v>
      </c>
      <c r="C298" s="74" t="s">
        <v>8737</v>
      </c>
      <c r="D298" s="237">
        <f>_11_A家事９．５</f>
        <v>1394</v>
      </c>
      <c r="E298" s="12" t="s">
        <v>392</v>
      </c>
      <c r="F298" s="757"/>
      <c r="G298" s="216"/>
      <c r="H298" s="38"/>
      <c r="I298" s="236" t="s">
        <v>397</v>
      </c>
      <c r="J298" s="218" t="s">
        <v>398</v>
      </c>
      <c r="K298" s="46">
        <v>1</v>
      </c>
      <c r="L298" s="43"/>
      <c r="M298" s="38"/>
      <c r="N298" s="47">
        <f>ROUND((ROUND((_11_A家事９．５*_11・基礎２),0)*_11・２人),0)</f>
        <v>1255</v>
      </c>
      <c r="O298" s="48"/>
    </row>
    <row r="299" spans="1:15" ht="16.5" customHeight="1" x14ac:dyDescent="0.15">
      <c r="A299" s="41">
        <v>11</v>
      </c>
      <c r="B299" s="41" t="s">
        <v>8738</v>
      </c>
      <c r="C299" s="74" t="s">
        <v>8739</v>
      </c>
      <c r="D299" s="238"/>
      <c r="F299" s="53"/>
      <c r="G299" s="221"/>
      <c r="H299" s="50"/>
      <c r="I299" s="44"/>
      <c r="J299" s="218"/>
      <c r="K299" s="46"/>
      <c r="L299" s="707" t="s">
        <v>404</v>
      </c>
      <c r="M299" s="708"/>
      <c r="N299" s="47">
        <f>ROUND((_11_A家事９．５*_11・初任),0)</f>
        <v>976</v>
      </c>
      <c r="O299" s="48"/>
    </row>
    <row r="300" spans="1:15" ht="16.5" customHeight="1" x14ac:dyDescent="0.15">
      <c r="A300" s="41">
        <v>11</v>
      </c>
      <c r="B300" s="41" t="s">
        <v>8740</v>
      </c>
      <c r="C300" s="74" t="s">
        <v>8741</v>
      </c>
      <c r="D300" s="238"/>
      <c r="F300" s="43"/>
      <c r="G300" s="216"/>
      <c r="H300" s="38"/>
      <c r="I300" s="236" t="s">
        <v>397</v>
      </c>
      <c r="J300" s="218" t="s">
        <v>398</v>
      </c>
      <c r="K300" s="46">
        <v>1</v>
      </c>
      <c r="L300" s="709"/>
      <c r="M300" s="704"/>
      <c r="N300" s="47">
        <f>ROUND((ROUND((_11_A家事９．５*_11・２人),0)*_11・初任),0)</f>
        <v>976</v>
      </c>
      <c r="O300" s="48"/>
    </row>
    <row r="301" spans="1:15" ht="16.5" customHeight="1" x14ac:dyDescent="0.15">
      <c r="A301" s="41">
        <v>11</v>
      </c>
      <c r="B301" s="41" t="s">
        <v>8742</v>
      </c>
      <c r="C301" s="74" t="s">
        <v>8743</v>
      </c>
      <c r="D301" s="239"/>
      <c r="F301" s="752" t="s">
        <v>400</v>
      </c>
      <c r="G301" s="221" t="s">
        <v>398</v>
      </c>
      <c r="H301" s="50">
        <v>0.9</v>
      </c>
      <c r="I301" s="44"/>
      <c r="J301" s="218"/>
      <c r="K301" s="46"/>
      <c r="L301" s="709"/>
      <c r="M301" s="704"/>
      <c r="N301" s="47">
        <f>ROUND((ROUND((_11_A家事９．５*_11・基礎２),0)*_11・初任),0)</f>
        <v>879</v>
      </c>
      <c r="O301" s="48"/>
    </row>
    <row r="302" spans="1:15" ht="16.5" customHeight="1" x14ac:dyDescent="0.15">
      <c r="A302" s="41">
        <v>11</v>
      </c>
      <c r="B302" s="41" t="s">
        <v>8744</v>
      </c>
      <c r="C302" s="74" t="s">
        <v>8745</v>
      </c>
      <c r="D302" s="239"/>
      <c r="F302" s="757"/>
      <c r="G302" s="216"/>
      <c r="H302" s="38"/>
      <c r="I302" s="236" t="s">
        <v>397</v>
      </c>
      <c r="J302" s="218" t="s">
        <v>398</v>
      </c>
      <c r="K302" s="46">
        <v>1</v>
      </c>
      <c r="L302" s="240" t="s">
        <v>398</v>
      </c>
      <c r="M302" s="38">
        <f>_11・初任</f>
        <v>0.7</v>
      </c>
      <c r="N302" s="47">
        <f>ROUND((ROUND((ROUND((_11_A家事９．５*_11・基礎２),0)*_11・２人),0)*_11・初任),0)</f>
        <v>879</v>
      </c>
      <c r="O302" s="48"/>
    </row>
    <row r="303" spans="1:15" ht="16.5" customHeight="1" x14ac:dyDescent="0.15">
      <c r="A303" s="41">
        <v>11</v>
      </c>
      <c r="B303" s="41">
        <v>7723</v>
      </c>
      <c r="C303" s="74" t="s">
        <v>8746</v>
      </c>
      <c r="D303" s="770" t="s">
        <v>8747</v>
      </c>
      <c r="E303" s="771"/>
      <c r="F303" s="53"/>
      <c r="G303" s="221"/>
      <c r="H303" s="50"/>
      <c r="I303" s="44"/>
      <c r="J303" s="218"/>
      <c r="K303" s="46"/>
      <c r="L303" s="53"/>
      <c r="M303" s="50"/>
      <c r="N303" s="47">
        <f>_11_A家事９．７５</f>
        <v>1429</v>
      </c>
      <c r="O303" s="48"/>
    </row>
    <row r="304" spans="1:15" ht="16.5" customHeight="1" x14ac:dyDescent="0.15">
      <c r="A304" s="41">
        <v>11</v>
      </c>
      <c r="B304" s="41">
        <v>7724</v>
      </c>
      <c r="C304" s="74" t="s">
        <v>8748</v>
      </c>
      <c r="D304" s="772"/>
      <c r="E304" s="773"/>
      <c r="F304" s="43"/>
      <c r="G304" s="216"/>
      <c r="H304" s="38"/>
      <c r="I304" s="236" t="s">
        <v>397</v>
      </c>
      <c r="J304" s="218" t="s">
        <v>398</v>
      </c>
      <c r="K304" s="46">
        <v>1</v>
      </c>
      <c r="L304" s="35"/>
      <c r="N304" s="47">
        <f>ROUND((_11_A家事９．７５*_11・２人),0)</f>
        <v>1429</v>
      </c>
      <c r="O304" s="48"/>
    </row>
    <row r="305" spans="1:15" ht="16.5" customHeight="1" x14ac:dyDescent="0.15">
      <c r="A305" s="41">
        <v>11</v>
      </c>
      <c r="B305" s="41">
        <v>7725</v>
      </c>
      <c r="C305" s="74" t="s">
        <v>8749</v>
      </c>
      <c r="D305" s="772"/>
      <c r="E305" s="773"/>
      <c r="F305" s="752" t="s">
        <v>400</v>
      </c>
      <c r="G305" s="221" t="s">
        <v>398</v>
      </c>
      <c r="H305" s="50">
        <v>0.9</v>
      </c>
      <c r="I305" s="44"/>
      <c r="J305" s="218"/>
      <c r="K305" s="46"/>
      <c r="L305" s="35"/>
      <c r="N305" s="47">
        <f>ROUND((_11_A家事９．７５*_11・基礎２),0)</f>
        <v>1286</v>
      </c>
      <c r="O305" s="48"/>
    </row>
    <row r="306" spans="1:15" ht="16.5" customHeight="1" x14ac:dyDescent="0.15">
      <c r="A306" s="41">
        <v>11</v>
      </c>
      <c r="B306" s="41">
        <v>7726</v>
      </c>
      <c r="C306" s="74" t="s">
        <v>8750</v>
      </c>
      <c r="D306" s="237">
        <f>_11_A家事９．７５</f>
        <v>1429</v>
      </c>
      <c r="E306" s="12" t="s">
        <v>392</v>
      </c>
      <c r="F306" s="757"/>
      <c r="G306" s="216"/>
      <c r="H306" s="38"/>
      <c r="I306" s="236" t="s">
        <v>397</v>
      </c>
      <c r="J306" s="218" t="s">
        <v>398</v>
      </c>
      <c r="K306" s="46">
        <v>1</v>
      </c>
      <c r="L306" s="43"/>
      <c r="M306" s="38"/>
      <c r="N306" s="47">
        <f>ROUND((ROUND((_11_A家事９．７５*_11・基礎２),0)*_11・２人),0)</f>
        <v>1286</v>
      </c>
      <c r="O306" s="48"/>
    </row>
    <row r="307" spans="1:15" ht="16.5" customHeight="1" x14ac:dyDescent="0.15">
      <c r="A307" s="41">
        <v>11</v>
      </c>
      <c r="B307" s="41" t="s">
        <v>8751</v>
      </c>
      <c r="C307" s="74" t="s">
        <v>8752</v>
      </c>
      <c r="D307" s="238"/>
      <c r="F307" s="53"/>
      <c r="G307" s="221"/>
      <c r="H307" s="50"/>
      <c r="I307" s="44"/>
      <c r="J307" s="218"/>
      <c r="K307" s="46"/>
      <c r="L307" s="707" t="s">
        <v>404</v>
      </c>
      <c r="M307" s="708"/>
      <c r="N307" s="47">
        <f>ROUND((_11_A家事９．７５*_11・初任),0)</f>
        <v>1000</v>
      </c>
      <c r="O307" s="48"/>
    </row>
    <row r="308" spans="1:15" ht="16.5" customHeight="1" x14ac:dyDescent="0.15">
      <c r="A308" s="41">
        <v>11</v>
      </c>
      <c r="B308" s="41" t="s">
        <v>8753</v>
      </c>
      <c r="C308" s="74" t="s">
        <v>8754</v>
      </c>
      <c r="D308" s="238"/>
      <c r="F308" s="43"/>
      <c r="G308" s="216"/>
      <c r="H308" s="38"/>
      <c r="I308" s="236" t="s">
        <v>397</v>
      </c>
      <c r="J308" s="218" t="s">
        <v>398</v>
      </c>
      <c r="K308" s="46">
        <v>1</v>
      </c>
      <c r="L308" s="709"/>
      <c r="M308" s="704"/>
      <c r="N308" s="47">
        <f>ROUND((ROUND((_11_A家事９．７５*_11・２人),0)*_11・初任),0)</f>
        <v>1000</v>
      </c>
      <c r="O308" s="48"/>
    </row>
    <row r="309" spans="1:15" ht="16.5" customHeight="1" x14ac:dyDescent="0.15">
      <c r="A309" s="41">
        <v>11</v>
      </c>
      <c r="B309" s="41" t="s">
        <v>8755</v>
      </c>
      <c r="C309" s="74" t="s">
        <v>8756</v>
      </c>
      <c r="D309" s="239"/>
      <c r="F309" s="752" t="s">
        <v>400</v>
      </c>
      <c r="G309" s="221" t="s">
        <v>398</v>
      </c>
      <c r="H309" s="50">
        <v>0.9</v>
      </c>
      <c r="I309" s="44"/>
      <c r="J309" s="218"/>
      <c r="K309" s="46"/>
      <c r="L309" s="709"/>
      <c r="M309" s="704"/>
      <c r="N309" s="47">
        <f>ROUND((ROUND((_11_A家事９．７５*_11・基礎２),0)*_11・初任),0)</f>
        <v>900</v>
      </c>
      <c r="O309" s="48"/>
    </row>
    <row r="310" spans="1:15" ht="16.5" customHeight="1" x14ac:dyDescent="0.15">
      <c r="A310" s="41">
        <v>11</v>
      </c>
      <c r="B310" s="41" t="s">
        <v>8757</v>
      </c>
      <c r="C310" s="74" t="s">
        <v>8758</v>
      </c>
      <c r="D310" s="239"/>
      <c r="F310" s="757"/>
      <c r="G310" s="216"/>
      <c r="H310" s="38"/>
      <c r="I310" s="236" t="s">
        <v>397</v>
      </c>
      <c r="J310" s="218" t="s">
        <v>398</v>
      </c>
      <c r="K310" s="46">
        <v>1</v>
      </c>
      <c r="L310" s="240" t="s">
        <v>398</v>
      </c>
      <c r="M310" s="38">
        <f>_11・初任</f>
        <v>0.7</v>
      </c>
      <c r="N310" s="47">
        <f>ROUND((ROUND((ROUND((_11_A家事９．７５*_11・基礎２),0)*_11・２人),0)*_11・初任),0)</f>
        <v>900</v>
      </c>
      <c r="O310" s="48"/>
    </row>
    <row r="311" spans="1:15" ht="16.5" customHeight="1" x14ac:dyDescent="0.15">
      <c r="A311" s="41">
        <v>11</v>
      </c>
      <c r="B311" s="41">
        <v>6187</v>
      </c>
      <c r="C311" s="74" t="s">
        <v>8759</v>
      </c>
      <c r="D311" s="770" t="s">
        <v>8760</v>
      </c>
      <c r="E311" s="771"/>
      <c r="F311" s="53"/>
      <c r="G311" s="221"/>
      <c r="H311" s="50"/>
      <c r="I311" s="44"/>
      <c r="J311" s="218"/>
      <c r="K311" s="46"/>
      <c r="L311" s="53"/>
      <c r="M311" s="50"/>
      <c r="N311" s="47">
        <f>_11_A家事１０．０</f>
        <v>1464</v>
      </c>
      <c r="O311" s="48"/>
    </row>
    <row r="312" spans="1:15" ht="16.5" customHeight="1" x14ac:dyDescent="0.15">
      <c r="A312" s="41">
        <v>11</v>
      </c>
      <c r="B312" s="41">
        <v>6188</v>
      </c>
      <c r="C312" s="74" t="s">
        <v>8761</v>
      </c>
      <c r="D312" s="772"/>
      <c r="E312" s="773"/>
      <c r="F312" s="43"/>
      <c r="G312" s="216"/>
      <c r="H312" s="38"/>
      <c r="I312" s="236" t="s">
        <v>397</v>
      </c>
      <c r="J312" s="218" t="s">
        <v>398</v>
      </c>
      <c r="K312" s="46">
        <v>1</v>
      </c>
      <c r="L312" s="35"/>
      <c r="N312" s="47">
        <f>ROUND((_11_A家事１０．０*_11・２人),0)</f>
        <v>1464</v>
      </c>
      <c r="O312" s="48"/>
    </row>
    <row r="313" spans="1:15" ht="16.5" customHeight="1" x14ac:dyDescent="0.15">
      <c r="A313" s="41">
        <v>11</v>
      </c>
      <c r="B313" s="41">
        <v>6189</v>
      </c>
      <c r="C313" s="74" t="s">
        <v>8762</v>
      </c>
      <c r="D313" s="772"/>
      <c r="E313" s="773"/>
      <c r="F313" s="752" t="s">
        <v>400</v>
      </c>
      <c r="G313" s="221" t="s">
        <v>398</v>
      </c>
      <c r="H313" s="50">
        <v>0.9</v>
      </c>
      <c r="I313" s="44"/>
      <c r="J313" s="218"/>
      <c r="K313" s="46"/>
      <c r="L313" s="35"/>
      <c r="N313" s="47">
        <f>ROUND((_11_A家事１０．０*_11・基礎２),0)</f>
        <v>1318</v>
      </c>
      <c r="O313" s="48"/>
    </row>
    <row r="314" spans="1:15" ht="16.5" customHeight="1" x14ac:dyDescent="0.15">
      <c r="A314" s="41">
        <v>11</v>
      </c>
      <c r="B314" s="41">
        <v>6190</v>
      </c>
      <c r="C314" s="74" t="s">
        <v>8763</v>
      </c>
      <c r="D314" s="237">
        <f>_11_A家事１０．０</f>
        <v>1464</v>
      </c>
      <c r="E314" s="12" t="s">
        <v>392</v>
      </c>
      <c r="F314" s="757"/>
      <c r="G314" s="216"/>
      <c r="H314" s="38"/>
      <c r="I314" s="236" t="s">
        <v>397</v>
      </c>
      <c r="J314" s="218" t="s">
        <v>398</v>
      </c>
      <c r="K314" s="46">
        <v>1</v>
      </c>
      <c r="L314" s="43"/>
      <c r="M314" s="38"/>
      <c r="N314" s="47">
        <f>ROUND((ROUND((_11_A家事１０．０*_11・基礎２),0)*_11・２人),0)</f>
        <v>1318</v>
      </c>
      <c r="O314" s="48"/>
    </row>
    <row r="315" spans="1:15" ht="16.5" customHeight="1" x14ac:dyDescent="0.15">
      <c r="A315" s="41">
        <v>11</v>
      </c>
      <c r="B315" s="41" t="s">
        <v>8764</v>
      </c>
      <c r="C315" s="74" t="s">
        <v>8765</v>
      </c>
      <c r="D315" s="238"/>
      <c r="F315" s="53"/>
      <c r="G315" s="221"/>
      <c r="H315" s="50"/>
      <c r="I315" s="44"/>
      <c r="J315" s="218"/>
      <c r="K315" s="46"/>
      <c r="L315" s="707" t="s">
        <v>404</v>
      </c>
      <c r="M315" s="708"/>
      <c r="N315" s="47">
        <f>ROUND((_11_A家事１０．０*_11・初任),0)</f>
        <v>1025</v>
      </c>
      <c r="O315" s="48"/>
    </row>
    <row r="316" spans="1:15" ht="16.5" customHeight="1" x14ac:dyDescent="0.15">
      <c r="A316" s="41">
        <v>11</v>
      </c>
      <c r="B316" s="41" t="s">
        <v>8766</v>
      </c>
      <c r="C316" s="74" t="s">
        <v>8767</v>
      </c>
      <c r="D316" s="238"/>
      <c r="F316" s="43"/>
      <c r="G316" s="216"/>
      <c r="H316" s="38"/>
      <c r="I316" s="236" t="s">
        <v>397</v>
      </c>
      <c r="J316" s="218" t="s">
        <v>398</v>
      </c>
      <c r="K316" s="46">
        <v>1</v>
      </c>
      <c r="L316" s="709"/>
      <c r="M316" s="704"/>
      <c r="N316" s="47">
        <f>ROUND((ROUND((_11_A家事１０．０*_11・２人),0)*_11・初任),0)</f>
        <v>1025</v>
      </c>
      <c r="O316" s="48"/>
    </row>
    <row r="317" spans="1:15" ht="16.5" customHeight="1" x14ac:dyDescent="0.15">
      <c r="A317" s="41">
        <v>11</v>
      </c>
      <c r="B317" s="41" t="s">
        <v>8768</v>
      </c>
      <c r="C317" s="74" t="s">
        <v>8769</v>
      </c>
      <c r="D317" s="239"/>
      <c r="F317" s="752" t="s">
        <v>400</v>
      </c>
      <c r="G317" s="221" t="s">
        <v>398</v>
      </c>
      <c r="H317" s="50">
        <v>0.9</v>
      </c>
      <c r="I317" s="44"/>
      <c r="J317" s="218"/>
      <c r="K317" s="46"/>
      <c r="L317" s="709"/>
      <c r="M317" s="704"/>
      <c r="N317" s="47">
        <f>ROUND((ROUND((_11_A家事１０．０*_11・基礎２),0)*_11・初任),0)</f>
        <v>923</v>
      </c>
      <c r="O317" s="48"/>
    </row>
    <row r="318" spans="1:15" ht="16.5" customHeight="1" x14ac:dyDescent="0.15">
      <c r="A318" s="41">
        <v>11</v>
      </c>
      <c r="B318" s="41" t="s">
        <v>8770</v>
      </c>
      <c r="C318" s="74" t="s">
        <v>8771</v>
      </c>
      <c r="D318" s="239"/>
      <c r="F318" s="757"/>
      <c r="G318" s="216"/>
      <c r="H318" s="38"/>
      <c r="I318" s="236" t="s">
        <v>397</v>
      </c>
      <c r="J318" s="218" t="s">
        <v>398</v>
      </c>
      <c r="K318" s="46">
        <v>1</v>
      </c>
      <c r="L318" s="240" t="s">
        <v>398</v>
      </c>
      <c r="M318" s="38">
        <f>_11・初任</f>
        <v>0.7</v>
      </c>
      <c r="N318" s="47">
        <f>ROUND((ROUND((ROUND((_11_A家事１０．０*_11・基礎２),0)*_11・２人),0)*_11・初任),0)</f>
        <v>923</v>
      </c>
      <c r="O318" s="48"/>
    </row>
    <row r="319" spans="1:15" ht="16.5" customHeight="1" x14ac:dyDescent="0.15">
      <c r="A319" s="41">
        <v>11</v>
      </c>
      <c r="B319" s="41">
        <v>7727</v>
      </c>
      <c r="C319" s="74" t="s">
        <v>8772</v>
      </c>
      <c r="D319" s="770" t="s">
        <v>8773</v>
      </c>
      <c r="E319" s="771"/>
      <c r="F319" s="53"/>
      <c r="G319" s="221"/>
      <c r="H319" s="50"/>
      <c r="I319" s="44"/>
      <c r="J319" s="218"/>
      <c r="K319" s="46"/>
      <c r="L319" s="53"/>
      <c r="M319" s="50"/>
      <c r="N319" s="47">
        <f>_11_A家事１０．２５</f>
        <v>1499</v>
      </c>
      <c r="O319" s="48"/>
    </row>
    <row r="320" spans="1:15" ht="16.5" customHeight="1" x14ac:dyDescent="0.15">
      <c r="A320" s="41">
        <v>11</v>
      </c>
      <c r="B320" s="41">
        <v>7728</v>
      </c>
      <c r="C320" s="74" t="s">
        <v>8774</v>
      </c>
      <c r="D320" s="772"/>
      <c r="E320" s="773"/>
      <c r="F320" s="43"/>
      <c r="G320" s="216"/>
      <c r="H320" s="38"/>
      <c r="I320" s="236" t="s">
        <v>397</v>
      </c>
      <c r="J320" s="218" t="s">
        <v>398</v>
      </c>
      <c r="K320" s="46">
        <v>1</v>
      </c>
      <c r="L320" s="35"/>
      <c r="N320" s="47">
        <f>ROUND((_11_A家事１０．２５*_11・２人),0)</f>
        <v>1499</v>
      </c>
      <c r="O320" s="48"/>
    </row>
    <row r="321" spans="1:15" ht="16.5" customHeight="1" x14ac:dyDescent="0.15">
      <c r="A321" s="41">
        <v>11</v>
      </c>
      <c r="B321" s="41">
        <v>7729</v>
      </c>
      <c r="C321" s="74" t="s">
        <v>8775</v>
      </c>
      <c r="D321" s="772"/>
      <c r="E321" s="773"/>
      <c r="F321" s="752" t="s">
        <v>400</v>
      </c>
      <c r="G321" s="221" t="s">
        <v>398</v>
      </c>
      <c r="H321" s="50">
        <v>0.9</v>
      </c>
      <c r="I321" s="44"/>
      <c r="J321" s="218"/>
      <c r="K321" s="46"/>
      <c r="L321" s="35"/>
      <c r="N321" s="47">
        <f>ROUND((_11_A家事１０．２５*_11・基礎２),0)</f>
        <v>1349</v>
      </c>
      <c r="O321" s="48"/>
    </row>
    <row r="322" spans="1:15" ht="16.5" customHeight="1" x14ac:dyDescent="0.15">
      <c r="A322" s="41">
        <v>11</v>
      </c>
      <c r="B322" s="41">
        <v>7730</v>
      </c>
      <c r="C322" s="74" t="s">
        <v>8776</v>
      </c>
      <c r="D322" s="237">
        <f>_11_A家事１０．２５</f>
        <v>1499</v>
      </c>
      <c r="E322" s="12" t="s">
        <v>392</v>
      </c>
      <c r="F322" s="757"/>
      <c r="G322" s="216"/>
      <c r="H322" s="38"/>
      <c r="I322" s="236" t="s">
        <v>397</v>
      </c>
      <c r="J322" s="218" t="s">
        <v>398</v>
      </c>
      <c r="K322" s="46">
        <v>1</v>
      </c>
      <c r="L322" s="43"/>
      <c r="M322" s="38"/>
      <c r="N322" s="47">
        <f>ROUND((ROUND((_11_A家事１０．２５*_11・基礎２),0)*_11・２人),0)</f>
        <v>1349</v>
      </c>
      <c r="O322" s="48"/>
    </row>
    <row r="323" spans="1:15" ht="16.5" customHeight="1" x14ac:dyDescent="0.15">
      <c r="A323" s="41">
        <v>11</v>
      </c>
      <c r="B323" s="41" t="s">
        <v>8777</v>
      </c>
      <c r="C323" s="74" t="s">
        <v>8778</v>
      </c>
      <c r="D323" s="238"/>
      <c r="F323" s="53"/>
      <c r="G323" s="221"/>
      <c r="H323" s="50"/>
      <c r="I323" s="44"/>
      <c r="J323" s="218"/>
      <c r="K323" s="46"/>
      <c r="L323" s="707" t="s">
        <v>404</v>
      </c>
      <c r="M323" s="708"/>
      <c r="N323" s="47">
        <f>ROUND((_11_A家事１０．２５*_11・初任),0)</f>
        <v>1049</v>
      </c>
      <c r="O323" s="48"/>
    </row>
    <row r="324" spans="1:15" ht="16.5" customHeight="1" x14ac:dyDescent="0.15">
      <c r="A324" s="41">
        <v>11</v>
      </c>
      <c r="B324" s="41" t="s">
        <v>8779</v>
      </c>
      <c r="C324" s="74" t="s">
        <v>8780</v>
      </c>
      <c r="D324" s="238"/>
      <c r="F324" s="43"/>
      <c r="G324" s="216"/>
      <c r="H324" s="38"/>
      <c r="I324" s="236" t="s">
        <v>397</v>
      </c>
      <c r="J324" s="218" t="s">
        <v>398</v>
      </c>
      <c r="K324" s="46">
        <v>1</v>
      </c>
      <c r="L324" s="709"/>
      <c r="M324" s="704"/>
      <c r="N324" s="47">
        <f>ROUND((ROUND((_11_A家事１０．２５*_11・２人),0)*_11・初任),0)</f>
        <v>1049</v>
      </c>
      <c r="O324" s="48"/>
    </row>
    <row r="325" spans="1:15" ht="16.5" customHeight="1" x14ac:dyDescent="0.15">
      <c r="A325" s="41">
        <v>11</v>
      </c>
      <c r="B325" s="41" t="s">
        <v>8781</v>
      </c>
      <c r="C325" s="74" t="s">
        <v>8782</v>
      </c>
      <c r="D325" s="239"/>
      <c r="F325" s="752" t="s">
        <v>400</v>
      </c>
      <c r="G325" s="221" t="s">
        <v>398</v>
      </c>
      <c r="H325" s="50">
        <v>0.9</v>
      </c>
      <c r="I325" s="44"/>
      <c r="J325" s="218"/>
      <c r="K325" s="46"/>
      <c r="L325" s="709"/>
      <c r="M325" s="704"/>
      <c r="N325" s="47">
        <f>ROUND((ROUND((_11_A家事１０．２５*_11・基礎２),0)*_11・初任),0)</f>
        <v>944</v>
      </c>
      <c r="O325" s="48"/>
    </row>
    <row r="326" spans="1:15" ht="16.5" customHeight="1" x14ac:dyDescent="0.15">
      <c r="A326" s="41">
        <v>11</v>
      </c>
      <c r="B326" s="41" t="s">
        <v>8783</v>
      </c>
      <c r="C326" s="74" t="s">
        <v>8784</v>
      </c>
      <c r="D326" s="239"/>
      <c r="F326" s="757"/>
      <c r="G326" s="216"/>
      <c r="H326" s="38"/>
      <c r="I326" s="236" t="s">
        <v>397</v>
      </c>
      <c r="J326" s="218" t="s">
        <v>398</v>
      </c>
      <c r="K326" s="46">
        <v>1</v>
      </c>
      <c r="L326" s="240" t="s">
        <v>398</v>
      </c>
      <c r="M326" s="38">
        <f>_11・初任</f>
        <v>0.7</v>
      </c>
      <c r="N326" s="47">
        <f>ROUND((ROUND((ROUND((_11_A家事１０．２５*_11・基礎２),0)*_11・２人),0)*_11・初任),0)</f>
        <v>944</v>
      </c>
      <c r="O326" s="48"/>
    </row>
    <row r="327" spans="1:15" ht="16.5" customHeight="1" x14ac:dyDescent="0.15">
      <c r="A327" s="41">
        <v>11</v>
      </c>
      <c r="B327" s="41">
        <v>6191</v>
      </c>
      <c r="C327" s="74" t="s">
        <v>8785</v>
      </c>
      <c r="D327" s="770" t="s">
        <v>8786</v>
      </c>
      <c r="E327" s="771"/>
      <c r="F327" s="53"/>
      <c r="G327" s="221"/>
      <c r="H327" s="50"/>
      <c r="I327" s="44"/>
      <c r="J327" s="218"/>
      <c r="K327" s="46"/>
      <c r="L327" s="53"/>
      <c r="M327" s="50"/>
      <c r="N327" s="47">
        <f>_11_A家事１０．５</f>
        <v>1534</v>
      </c>
      <c r="O327" s="48"/>
    </row>
    <row r="328" spans="1:15" ht="16.5" customHeight="1" x14ac:dyDescent="0.15">
      <c r="A328" s="41">
        <v>11</v>
      </c>
      <c r="B328" s="41">
        <v>6192</v>
      </c>
      <c r="C328" s="74" t="s">
        <v>8787</v>
      </c>
      <c r="D328" s="772"/>
      <c r="E328" s="773"/>
      <c r="F328" s="43"/>
      <c r="G328" s="216"/>
      <c r="H328" s="38"/>
      <c r="I328" s="236" t="s">
        <v>397</v>
      </c>
      <c r="J328" s="218" t="s">
        <v>398</v>
      </c>
      <c r="K328" s="46">
        <v>1</v>
      </c>
      <c r="L328" s="35"/>
      <c r="N328" s="47">
        <f>ROUND((_11_A家事１０．５*_11・２人),0)</f>
        <v>1534</v>
      </c>
      <c r="O328" s="48"/>
    </row>
    <row r="329" spans="1:15" ht="16.5" customHeight="1" x14ac:dyDescent="0.15">
      <c r="A329" s="41">
        <v>11</v>
      </c>
      <c r="B329" s="41">
        <v>6193</v>
      </c>
      <c r="C329" s="74" t="s">
        <v>8788</v>
      </c>
      <c r="D329" s="772"/>
      <c r="E329" s="773"/>
      <c r="F329" s="752" t="s">
        <v>400</v>
      </c>
      <c r="G329" s="221" t="s">
        <v>398</v>
      </c>
      <c r="H329" s="50">
        <v>0.9</v>
      </c>
      <c r="I329" s="44"/>
      <c r="J329" s="218"/>
      <c r="K329" s="46"/>
      <c r="L329" s="35"/>
      <c r="N329" s="47">
        <f>ROUND((_11_A家事１０．５*_11・基礎２),0)</f>
        <v>1381</v>
      </c>
      <c r="O329" s="48"/>
    </row>
    <row r="330" spans="1:15" ht="16.5" customHeight="1" x14ac:dyDescent="0.15">
      <c r="A330" s="41">
        <v>11</v>
      </c>
      <c r="B330" s="41">
        <v>6194</v>
      </c>
      <c r="C330" s="74" t="s">
        <v>8789</v>
      </c>
      <c r="D330" s="237">
        <f>_11_A家事１０．５</f>
        <v>1534</v>
      </c>
      <c r="E330" s="12" t="s">
        <v>392</v>
      </c>
      <c r="F330" s="757"/>
      <c r="G330" s="216"/>
      <c r="H330" s="38"/>
      <c r="I330" s="236" t="s">
        <v>397</v>
      </c>
      <c r="J330" s="218" t="s">
        <v>398</v>
      </c>
      <c r="K330" s="46">
        <v>1</v>
      </c>
      <c r="L330" s="43"/>
      <c r="M330" s="38"/>
      <c r="N330" s="47">
        <f>ROUND((ROUND((_11_A家事１０．５*_11・基礎２),0)*_11・２人),0)</f>
        <v>1381</v>
      </c>
      <c r="O330" s="48"/>
    </row>
    <row r="331" spans="1:15" ht="16.5" customHeight="1" x14ac:dyDescent="0.15">
      <c r="A331" s="41">
        <v>11</v>
      </c>
      <c r="B331" s="41" t="s">
        <v>8790</v>
      </c>
      <c r="C331" s="74" t="s">
        <v>8791</v>
      </c>
      <c r="D331" s="238"/>
      <c r="F331" s="53"/>
      <c r="G331" s="221"/>
      <c r="H331" s="50"/>
      <c r="I331" s="44"/>
      <c r="J331" s="218"/>
      <c r="K331" s="46"/>
      <c r="L331" s="707" t="s">
        <v>404</v>
      </c>
      <c r="M331" s="708"/>
      <c r="N331" s="47">
        <f>ROUND((_11_A家事１０．５*_11・初任),0)</f>
        <v>1074</v>
      </c>
      <c r="O331" s="48"/>
    </row>
    <row r="332" spans="1:15" ht="16.5" customHeight="1" x14ac:dyDescent="0.15">
      <c r="A332" s="41">
        <v>11</v>
      </c>
      <c r="B332" s="41" t="s">
        <v>8792</v>
      </c>
      <c r="C332" s="74" t="s">
        <v>8793</v>
      </c>
      <c r="D332" s="238"/>
      <c r="F332" s="43"/>
      <c r="G332" s="216"/>
      <c r="H332" s="38"/>
      <c r="I332" s="236" t="s">
        <v>397</v>
      </c>
      <c r="J332" s="218" t="s">
        <v>398</v>
      </c>
      <c r="K332" s="46">
        <v>1</v>
      </c>
      <c r="L332" s="709"/>
      <c r="M332" s="704"/>
      <c r="N332" s="47">
        <f>ROUND((ROUND((_11_A家事１０．５*_11・２人),0)*_11・初任),0)</f>
        <v>1074</v>
      </c>
      <c r="O332" s="48"/>
    </row>
    <row r="333" spans="1:15" ht="16.5" customHeight="1" x14ac:dyDescent="0.15">
      <c r="A333" s="41">
        <v>11</v>
      </c>
      <c r="B333" s="41" t="s">
        <v>8794</v>
      </c>
      <c r="C333" s="74" t="s">
        <v>8795</v>
      </c>
      <c r="D333" s="239"/>
      <c r="F333" s="752" t="s">
        <v>400</v>
      </c>
      <c r="G333" s="221" t="s">
        <v>398</v>
      </c>
      <c r="H333" s="50">
        <v>0.9</v>
      </c>
      <c r="I333" s="44"/>
      <c r="J333" s="218"/>
      <c r="K333" s="46"/>
      <c r="L333" s="709"/>
      <c r="M333" s="704"/>
      <c r="N333" s="47">
        <f>ROUND((ROUND((_11_A家事１０．５*_11・基礎２),0)*_11・初任),0)</f>
        <v>967</v>
      </c>
      <c r="O333" s="48"/>
    </row>
    <row r="334" spans="1:15" ht="16.5" customHeight="1" x14ac:dyDescent="0.15">
      <c r="A334" s="41">
        <v>11</v>
      </c>
      <c r="B334" s="41" t="s">
        <v>8796</v>
      </c>
      <c r="C334" s="74" t="s">
        <v>8797</v>
      </c>
      <c r="D334" s="241"/>
      <c r="E334" s="37"/>
      <c r="F334" s="757"/>
      <c r="G334" s="216"/>
      <c r="H334" s="38"/>
      <c r="I334" s="236" t="s">
        <v>397</v>
      </c>
      <c r="J334" s="218" t="s">
        <v>398</v>
      </c>
      <c r="K334" s="46">
        <v>1</v>
      </c>
      <c r="L334" s="240" t="s">
        <v>398</v>
      </c>
      <c r="M334" s="38">
        <f>_11・初任</f>
        <v>0.7</v>
      </c>
      <c r="N334" s="47">
        <f>ROUND((ROUND((ROUND((_11_A家事１０．５*_11・基礎２),0)*_11・２人),0)*_11・初任),0)</f>
        <v>967</v>
      </c>
      <c r="O334" s="63"/>
    </row>
    <row r="335" spans="1:15" ht="16.5" customHeight="1" x14ac:dyDescent="0.15"/>
    <row r="336" spans="1:15" ht="16.5" customHeight="1" x14ac:dyDescent="0.15"/>
  </sheetData>
  <mergeCells count="164">
    <mergeCell ref="L331:M333"/>
    <mergeCell ref="F333:F334"/>
    <mergeCell ref="D319:E321"/>
    <mergeCell ref="F321:F322"/>
    <mergeCell ref="L323:M325"/>
    <mergeCell ref="F325:F326"/>
    <mergeCell ref="D327:E329"/>
    <mergeCell ref="F329:F330"/>
    <mergeCell ref="L307:M309"/>
    <mergeCell ref="F309:F310"/>
    <mergeCell ref="D311:E313"/>
    <mergeCell ref="F313:F314"/>
    <mergeCell ref="L315:M317"/>
    <mergeCell ref="F317:F318"/>
    <mergeCell ref="D295:E297"/>
    <mergeCell ref="F297:F298"/>
    <mergeCell ref="L299:M301"/>
    <mergeCell ref="F301:F302"/>
    <mergeCell ref="D303:E305"/>
    <mergeCell ref="F305:F306"/>
    <mergeCell ref="L283:M285"/>
    <mergeCell ref="F285:F286"/>
    <mergeCell ref="D287:E289"/>
    <mergeCell ref="F289:F290"/>
    <mergeCell ref="L291:M293"/>
    <mergeCell ref="F293:F294"/>
    <mergeCell ref="D271:E273"/>
    <mergeCell ref="F273:F274"/>
    <mergeCell ref="L275:M277"/>
    <mergeCell ref="F277:F278"/>
    <mergeCell ref="D279:E281"/>
    <mergeCell ref="F281:F282"/>
    <mergeCell ref="L259:M261"/>
    <mergeCell ref="F261:F262"/>
    <mergeCell ref="D263:E265"/>
    <mergeCell ref="F265:F266"/>
    <mergeCell ref="L267:M269"/>
    <mergeCell ref="F269:F270"/>
    <mergeCell ref="D247:E249"/>
    <mergeCell ref="F249:F250"/>
    <mergeCell ref="L251:M253"/>
    <mergeCell ref="F253:F254"/>
    <mergeCell ref="D255:E257"/>
    <mergeCell ref="F257:F258"/>
    <mergeCell ref="L235:M237"/>
    <mergeCell ref="F237:F238"/>
    <mergeCell ref="D239:E241"/>
    <mergeCell ref="F241:F242"/>
    <mergeCell ref="L243:M245"/>
    <mergeCell ref="F245:F246"/>
    <mergeCell ref="D223:E225"/>
    <mergeCell ref="F225:F226"/>
    <mergeCell ref="L227:M229"/>
    <mergeCell ref="F229:F230"/>
    <mergeCell ref="D231:E233"/>
    <mergeCell ref="F233:F234"/>
    <mergeCell ref="L211:M213"/>
    <mergeCell ref="F213:F214"/>
    <mergeCell ref="D215:E217"/>
    <mergeCell ref="F217:F218"/>
    <mergeCell ref="L219:M221"/>
    <mergeCell ref="F221:F222"/>
    <mergeCell ref="D199:E201"/>
    <mergeCell ref="F201:F202"/>
    <mergeCell ref="L203:M205"/>
    <mergeCell ref="F205:F206"/>
    <mergeCell ref="D207:E209"/>
    <mergeCell ref="F209:F210"/>
    <mergeCell ref="L187:M189"/>
    <mergeCell ref="F189:F190"/>
    <mergeCell ref="D191:E193"/>
    <mergeCell ref="F193:F194"/>
    <mergeCell ref="L195:M197"/>
    <mergeCell ref="F197:F198"/>
    <mergeCell ref="D175:E177"/>
    <mergeCell ref="F177:F178"/>
    <mergeCell ref="L179:M181"/>
    <mergeCell ref="F181:F182"/>
    <mergeCell ref="D183:E185"/>
    <mergeCell ref="F185:F186"/>
    <mergeCell ref="L163:M165"/>
    <mergeCell ref="F165:F166"/>
    <mergeCell ref="D167:E169"/>
    <mergeCell ref="F169:F170"/>
    <mergeCell ref="L171:M173"/>
    <mergeCell ref="F173:F174"/>
    <mergeCell ref="D151:E153"/>
    <mergeCell ref="F153:F154"/>
    <mergeCell ref="L155:M157"/>
    <mergeCell ref="F157:F158"/>
    <mergeCell ref="D159:E161"/>
    <mergeCell ref="F161:F162"/>
    <mergeCell ref="L139:M141"/>
    <mergeCell ref="F141:F142"/>
    <mergeCell ref="D143:E145"/>
    <mergeCell ref="F145:F146"/>
    <mergeCell ref="L147:M149"/>
    <mergeCell ref="F149:F150"/>
    <mergeCell ref="D127:E129"/>
    <mergeCell ref="F129:F130"/>
    <mergeCell ref="L131:M133"/>
    <mergeCell ref="F133:F134"/>
    <mergeCell ref="D135:E137"/>
    <mergeCell ref="F137:F138"/>
    <mergeCell ref="L115:M117"/>
    <mergeCell ref="F117:F118"/>
    <mergeCell ref="D119:E121"/>
    <mergeCell ref="F121:F122"/>
    <mergeCell ref="L123:M125"/>
    <mergeCell ref="F125:F126"/>
    <mergeCell ref="D103:E105"/>
    <mergeCell ref="F105:F106"/>
    <mergeCell ref="L107:M109"/>
    <mergeCell ref="F109:F110"/>
    <mergeCell ref="D111:E113"/>
    <mergeCell ref="F113:F114"/>
    <mergeCell ref="L91:M93"/>
    <mergeCell ref="F93:F94"/>
    <mergeCell ref="D95:E97"/>
    <mergeCell ref="F97:F98"/>
    <mergeCell ref="L99:M101"/>
    <mergeCell ref="F101:F102"/>
    <mergeCell ref="D79:E81"/>
    <mergeCell ref="F81:F82"/>
    <mergeCell ref="L83:M85"/>
    <mergeCell ref="F85:F86"/>
    <mergeCell ref="D87:E89"/>
    <mergeCell ref="F89:F90"/>
    <mergeCell ref="L67:M69"/>
    <mergeCell ref="F69:F70"/>
    <mergeCell ref="D71:E73"/>
    <mergeCell ref="F73:F74"/>
    <mergeCell ref="L75:M77"/>
    <mergeCell ref="F77:F78"/>
    <mergeCell ref="L59:M61"/>
    <mergeCell ref="F61:F62"/>
    <mergeCell ref="D63:E65"/>
    <mergeCell ref="F65:F66"/>
    <mergeCell ref="L43:M45"/>
    <mergeCell ref="F45:F46"/>
    <mergeCell ref="D47:E49"/>
    <mergeCell ref="F49:F50"/>
    <mergeCell ref="L51:M53"/>
    <mergeCell ref="F53:F54"/>
    <mergeCell ref="D39:E41"/>
    <mergeCell ref="F41:F42"/>
    <mergeCell ref="L19:M21"/>
    <mergeCell ref="F21:F22"/>
    <mergeCell ref="D23:E25"/>
    <mergeCell ref="F25:F26"/>
    <mergeCell ref="L27:M29"/>
    <mergeCell ref="F29:F30"/>
    <mergeCell ref="D55:E57"/>
    <mergeCell ref="F57:F58"/>
    <mergeCell ref="D7:E9"/>
    <mergeCell ref="F9:F10"/>
    <mergeCell ref="L11:M13"/>
    <mergeCell ref="F13:F14"/>
    <mergeCell ref="D15:E17"/>
    <mergeCell ref="F17:F18"/>
    <mergeCell ref="D31:E33"/>
    <mergeCell ref="F33:F34"/>
    <mergeCell ref="L35:M37"/>
    <mergeCell ref="F37:F38"/>
  </mergeCells>
  <phoneticPr fontId="1"/>
  <printOptions horizontalCentered="1"/>
  <pageMargins left="0.70866141732283472" right="0.70866141732283472" top="0.74803149606299213" bottom="0.74803149606299213" header="0.31496062992125984" footer="0.31496062992125984"/>
  <pageSetup paperSize="9" scale="57" fitToHeight="0" orientation="portrait" r:id="rId1"/>
  <headerFooter>
    <oddHeader>&amp;R&amp;"ＭＳ Ｐゴシック"&amp;9居宅介護</oddHeader>
    <oddFooter>&amp;C&amp;"ＭＳ Ｐゴシック"&amp;14&amp;P</oddFooter>
  </headerFooter>
  <rowBreaks count="4" manualBreakCount="4">
    <brk id="78" max="14" man="1"/>
    <brk id="150" max="14" man="1"/>
    <brk id="222" max="14" man="1"/>
    <brk id="294" max="14"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7">
    <pageSetUpPr fitToPage="1"/>
  </sheetPr>
  <dimension ref="A1:R221"/>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99" customWidth="1"/>
    <col min="5" max="5" width="4.875" style="12" customWidth="1"/>
    <col min="6" max="6" width="11.875" style="12" customWidth="1"/>
    <col min="7" max="7" width="2.5" style="16" customWidth="1"/>
    <col min="8" max="8" width="4.5" style="13" bestFit="1" customWidth="1"/>
    <col min="9" max="9" width="24.875" style="14" bestFit="1" customWidth="1"/>
    <col min="10" max="10" width="2.5" style="16" customWidth="1"/>
    <col min="11" max="11" width="5.5" style="13" bestFit="1" customWidth="1"/>
    <col min="12" max="12" width="2.5" style="12" customWidth="1"/>
    <col min="13" max="13" width="3.875" style="242" customWidth="1"/>
    <col min="14" max="14" width="5" style="13" customWidth="1"/>
    <col min="15" max="15" width="9.875" style="12" customWidth="1"/>
    <col min="16" max="16" width="4.5" style="13" bestFit="1" customWidth="1"/>
    <col min="17" max="17" width="7.125" style="206" customWidth="1"/>
    <col min="18" max="18" width="8.5" style="16" customWidth="1"/>
    <col min="19" max="16384" width="8.875" style="12"/>
  </cols>
  <sheetData>
    <row r="1" spans="1:18" ht="17.100000000000001" customHeight="1" x14ac:dyDescent="0.15"/>
    <row r="2" spans="1:18" ht="17.100000000000001" customHeight="1" x14ac:dyDescent="0.15"/>
    <row r="3" spans="1:18" ht="17.100000000000001" customHeight="1" x14ac:dyDescent="0.15"/>
    <row r="4" spans="1:18" ht="17.100000000000001" customHeight="1" x14ac:dyDescent="0.15">
      <c r="B4" s="17" t="s">
        <v>8798</v>
      </c>
      <c r="D4" s="200"/>
    </row>
    <row r="5" spans="1:18" ht="16.5" customHeight="1" x14ac:dyDescent="0.15">
      <c r="A5" s="19" t="s">
        <v>384</v>
      </c>
      <c r="B5" s="20"/>
      <c r="C5" s="21" t="s">
        <v>385</v>
      </c>
      <c r="D5" s="235" t="s">
        <v>386</v>
      </c>
      <c r="E5" s="23"/>
      <c r="F5" s="23"/>
      <c r="G5" s="23"/>
      <c r="H5" s="24"/>
      <c r="I5" s="23"/>
      <c r="J5" s="23"/>
      <c r="K5" s="24"/>
      <c r="L5" s="23"/>
      <c r="M5" s="23"/>
      <c r="N5" s="24"/>
      <c r="O5" s="23"/>
      <c r="P5" s="24"/>
      <c r="Q5" s="21" t="s">
        <v>387</v>
      </c>
      <c r="R5" s="21" t="s">
        <v>388</v>
      </c>
    </row>
    <row r="6" spans="1:18" ht="16.5" customHeight="1" x14ac:dyDescent="0.15">
      <c r="A6" s="26" t="s">
        <v>389</v>
      </c>
      <c r="B6" s="26" t="s">
        <v>390</v>
      </c>
      <c r="C6" s="27"/>
      <c r="D6" s="213"/>
      <c r="E6" s="29"/>
      <c r="F6" s="29"/>
      <c r="G6" s="214"/>
      <c r="H6" s="30"/>
      <c r="I6" s="29"/>
      <c r="J6" s="214"/>
      <c r="K6" s="30"/>
      <c r="L6" s="29"/>
      <c r="M6" s="214"/>
      <c r="N6" s="30"/>
      <c r="O6" s="29"/>
      <c r="P6" s="30"/>
      <c r="Q6" s="32" t="s">
        <v>391</v>
      </c>
      <c r="R6" s="32" t="s">
        <v>392</v>
      </c>
    </row>
    <row r="7" spans="1:18" ht="16.5" customHeight="1" x14ac:dyDescent="0.15">
      <c r="A7" s="33">
        <v>11</v>
      </c>
      <c r="B7" s="33">
        <v>6195</v>
      </c>
      <c r="C7" s="135" t="s">
        <v>8799</v>
      </c>
      <c r="D7" s="709" t="s">
        <v>673</v>
      </c>
      <c r="E7" s="718"/>
      <c r="G7" s="233"/>
      <c r="I7" s="36"/>
      <c r="J7" s="216"/>
      <c r="K7" s="38"/>
      <c r="L7" s="72" t="s">
        <v>674</v>
      </c>
      <c r="O7" s="35"/>
      <c r="Q7" s="207">
        <f>ROUND((_11_A家事０．５*(1+_11・A早朝)),0)</f>
        <v>131</v>
      </c>
      <c r="R7" s="40" t="s">
        <v>395</v>
      </c>
    </row>
    <row r="8" spans="1:18" ht="16.5" customHeight="1" x14ac:dyDescent="0.15">
      <c r="A8" s="41">
        <v>11</v>
      </c>
      <c r="B8" s="41">
        <v>6196</v>
      </c>
      <c r="C8" s="127" t="s">
        <v>8800</v>
      </c>
      <c r="D8" s="709"/>
      <c r="E8" s="718"/>
      <c r="F8" s="37"/>
      <c r="G8" s="216"/>
      <c r="H8" s="38"/>
      <c r="I8" s="44" t="s">
        <v>397</v>
      </c>
      <c r="J8" s="218" t="s">
        <v>398</v>
      </c>
      <c r="K8" s="46">
        <v>1</v>
      </c>
      <c r="L8" s="72" t="s">
        <v>398</v>
      </c>
      <c r="M8" s="243">
        <v>0.25</v>
      </c>
      <c r="N8" s="778" t="s">
        <v>676</v>
      </c>
      <c r="O8" s="35"/>
      <c r="Q8" s="208">
        <f>ROUND((ROUND((_11_A家事０．５*_11・２人),0)*(1+_11・A早朝)),0)</f>
        <v>131</v>
      </c>
      <c r="R8" s="48"/>
    </row>
    <row r="9" spans="1:18" ht="16.5" customHeight="1" x14ac:dyDescent="0.15">
      <c r="A9" s="41">
        <v>11</v>
      </c>
      <c r="B9" s="41">
        <v>6197</v>
      </c>
      <c r="C9" s="127" t="s">
        <v>8801</v>
      </c>
      <c r="D9" s="709"/>
      <c r="E9" s="718"/>
      <c r="F9" s="779" t="s">
        <v>400</v>
      </c>
      <c r="G9" s="219" t="s">
        <v>398</v>
      </c>
      <c r="H9" s="50">
        <v>0.9</v>
      </c>
      <c r="I9" s="44"/>
      <c r="J9" s="218"/>
      <c r="K9" s="46"/>
      <c r="L9" s="35"/>
      <c r="N9" s="778"/>
      <c r="O9" s="35"/>
      <c r="Q9" s="208">
        <f>ROUND((ROUND((_11_A家事０．５*_11・基礎２),0)*(1+_11・A早朝)),0)</f>
        <v>119</v>
      </c>
      <c r="R9" s="48"/>
    </row>
    <row r="10" spans="1:18" ht="16.5" customHeight="1" x14ac:dyDescent="0.15">
      <c r="A10" s="41">
        <v>11</v>
      </c>
      <c r="B10" s="41">
        <v>6198</v>
      </c>
      <c r="C10" s="127" t="s">
        <v>8802</v>
      </c>
      <c r="D10" s="100">
        <f>_11_A家事０．５</f>
        <v>105</v>
      </c>
      <c r="E10" s="57" t="s">
        <v>392</v>
      </c>
      <c r="F10" s="780"/>
      <c r="G10" s="216"/>
      <c r="H10" s="38"/>
      <c r="I10" s="44" t="s">
        <v>397</v>
      </c>
      <c r="J10" s="218" t="s">
        <v>398</v>
      </c>
      <c r="K10" s="46">
        <v>1</v>
      </c>
      <c r="L10" s="35"/>
      <c r="O10" s="43"/>
      <c r="P10" s="38"/>
      <c r="Q10" s="208">
        <f>ROUND((ROUND((ROUND((_11_A家事０．５*_11・基礎２),0)*_11・２人),0)*(1+_11・A早朝)),0)</f>
        <v>119</v>
      </c>
      <c r="R10" s="48"/>
    </row>
    <row r="11" spans="1:18" ht="16.5" customHeight="1" x14ac:dyDescent="0.15">
      <c r="A11" s="41">
        <v>11</v>
      </c>
      <c r="B11" s="41" t="s">
        <v>8803</v>
      </c>
      <c r="C11" s="127" t="s">
        <v>8804</v>
      </c>
      <c r="D11" s="202"/>
      <c r="E11" s="57"/>
      <c r="F11" s="49"/>
      <c r="G11" s="219"/>
      <c r="H11" s="50"/>
      <c r="I11" s="44"/>
      <c r="J11" s="218"/>
      <c r="K11" s="46"/>
      <c r="L11" s="35"/>
      <c r="O11" s="707" t="s">
        <v>404</v>
      </c>
      <c r="P11" s="708"/>
      <c r="Q11" s="208">
        <f>ROUND((ROUND((_11_A家事０．５*(1+_11・A早朝)),0)*_11・初任),0)</f>
        <v>92</v>
      </c>
      <c r="R11" s="48"/>
    </row>
    <row r="12" spans="1:18" ht="16.5" customHeight="1" x14ac:dyDescent="0.15">
      <c r="A12" s="41">
        <v>11</v>
      </c>
      <c r="B12" s="41" t="s">
        <v>8805</v>
      </c>
      <c r="C12" s="127" t="s">
        <v>8806</v>
      </c>
      <c r="D12" s="202"/>
      <c r="E12" s="57"/>
      <c r="F12" s="37"/>
      <c r="G12" s="216"/>
      <c r="H12" s="38"/>
      <c r="I12" s="44" t="s">
        <v>397</v>
      </c>
      <c r="J12" s="218" t="s">
        <v>398</v>
      </c>
      <c r="K12" s="46">
        <v>1</v>
      </c>
      <c r="L12" s="35"/>
      <c r="O12" s="709"/>
      <c r="P12" s="704"/>
      <c r="Q12" s="208">
        <f>ROUND((ROUND((ROUND((_11_A家事０．５*_11・２人),0)*(1+_11・A早朝)),0)*_11・初任),0)</f>
        <v>92</v>
      </c>
      <c r="R12" s="48"/>
    </row>
    <row r="13" spans="1:18" ht="16.5" customHeight="1" x14ac:dyDescent="0.15">
      <c r="A13" s="41">
        <v>11</v>
      </c>
      <c r="B13" s="41" t="s">
        <v>8807</v>
      </c>
      <c r="C13" s="127" t="s">
        <v>8808</v>
      </c>
      <c r="D13" s="203"/>
      <c r="E13" s="57"/>
      <c r="F13" s="779" t="s">
        <v>400</v>
      </c>
      <c r="G13" s="219" t="s">
        <v>398</v>
      </c>
      <c r="H13" s="50">
        <v>0.9</v>
      </c>
      <c r="I13" s="44"/>
      <c r="J13" s="218"/>
      <c r="K13" s="46"/>
      <c r="L13" s="35"/>
      <c r="O13" s="709"/>
      <c r="P13" s="704"/>
      <c r="Q13" s="208">
        <f>ROUND((ROUND((ROUND((_11_A家事０．５*_11・基礎２),0)*(1+_11・A早朝)),0)*_11・初任),0)</f>
        <v>83</v>
      </c>
      <c r="R13" s="48"/>
    </row>
    <row r="14" spans="1:18" ht="16.5" customHeight="1" x14ac:dyDescent="0.15">
      <c r="A14" s="41">
        <v>11</v>
      </c>
      <c r="B14" s="41" t="s">
        <v>8809</v>
      </c>
      <c r="C14" s="127" t="s">
        <v>8810</v>
      </c>
      <c r="D14" s="203"/>
      <c r="E14" s="57"/>
      <c r="F14" s="780"/>
      <c r="G14" s="216"/>
      <c r="H14" s="38"/>
      <c r="I14" s="44" t="s">
        <v>397</v>
      </c>
      <c r="J14" s="218" t="s">
        <v>398</v>
      </c>
      <c r="K14" s="46">
        <v>1</v>
      </c>
      <c r="L14" s="35"/>
      <c r="O14" s="240" t="s">
        <v>398</v>
      </c>
      <c r="P14" s="38">
        <f>_11・初任</f>
        <v>0.7</v>
      </c>
      <c r="Q14" s="208">
        <f>ROUND((ROUND((ROUND((ROUND((_11_A家事０．５*_11・基礎２),0)*_11・２人),0)*(1+_11・A早朝)),0)*_11・初任),0)</f>
        <v>83</v>
      </c>
      <c r="R14" s="48"/>
    </row>
    <row r="15" spans="1:18" ht="16.5" customHeight="1" x14ac:dyDescent="0.15">
      <c r="A15" s="41">
        <v>11</v>
      </c>
      <c r="B15" s="41">
        <v>7731</v>
      </c>
      <c r="C15" s="127" t="s">
        <v>8811</v>
      </c>
      <c r="D15" s="707" t="s">
        <v>8812</v>
      </c>
      <c r="E15" s="717"/>
      <c r="F15" s="49"/>
      <c r="G15" s="219"/>
      <c r="H15" s="50"/>
      <c r="I15" s="44"/>
      <c r="J15" s="218"/>
      <c r="K15" s="46"/>
      <c r="L15" s="35"/>
      <c r="O15" s="53"/>
      <c r="P15" s="50"/>
      <c r="Q15" s="208">
        <f>ROUND((_11_A家事０．７５*(1+_11・A早朝)),0)</f>
        <v>190</v>
      </c>
      <c r="R15" s="48"/>
    </row>
    <row r="16" spans="1:18" ht="16.5" customHeight="1" x14ac:dyDescent="0.15">
      <c r="A16" s="41">
        <v>11</v>
      </c>
      <c r="B16" s="41">
        <v>7732</v>
      </c>
      <c r="C16" s="127" t="s">
        <v>8813</v>
      </c>
      <c r="D16" s="709"/>
      <c r="E16" s="718"/>
      <c r="F16" s="37"/>
      <c r="G16" s="216"/>
      <c r="H16" s="38"/>
      <c r="I16" s="44" t="s">
        <v>397</v>
      </c>
      <c r="J16" s="218" t="s">
        <v>398</v>
      </c>
      <c r="K16" s="46">
        <v>1</v>
      </c>
      <c r="L16" s="35"/>
      <c r="O16" s="35"/>
      <c r="Q16" s="208">
        <f>ROUND((ROUND((_11_A家事０．７５*_11・２人),0)*(1+_11・A早朝)),0)</f>
        <v>190</v>
      </c>
      <c r="R16" s="48"/>
    </row>
    <row r="17" spans="1:18" ht="16.5" customHeight="1" x14ac:dyDescent="0.15">
      <c r="A17" s="41">
        <v>11</v>
      </c>
      <c r="B17" s="41">
        <v>7733</v>
      </c>
      <c r="C17" s="127" t="s">
        <v>8814</v>
      </c>
      <c r="D17" s="709"/>
      <c r="E17" s="718"/>
      <c r="F17" s="779" t="s">
        <v>400</v>
      </c>
      <c r="G17" s="219" t="s">
        <v>398</v>
      </c>
      <c r="H17" s="50">
        <v>0.9</v>
      </c>
      <c r="I17" s="44"/>
      <c r="J17" s="218"/>
      <c r="K17" s="46"/>
      <c r="L17" s="35"/>
      <c r="O17" s="35"/>
      <c r="Q17" s="208">
        <f>ROUND((ROUND((_11_A家事０．７５*_11・基礎２),0)*(1+_11・A早朝)),0)</f>
        <v>171</v>
      </c>
      <c r="R17" s="48"/>
    </row>
    <row r="18" spans="1:18" ht="16.5" customHeight="1" x14ac:dyDescent="0.15">
      <c r="A18" s="41">
        <v>11</v>
      </c>
      <c r="B18" s="41">
        <v>7734</v>
      </c>
      <c r="C18" s="127" t="s">
        <v>8815</v>
      </c>
      <c r="D18" s="100">
        <f>_11_A家事０．７５</f>
        <v>152</v>
      </c>
      <c r="E18" s="57" t="s">
        <v>392</v>
      </c>
      <c r="F18" s="780"/>
      <c r="G18" s="216"/>
      <c r="H18" s="38"/>
      <c r="I18" s="44" t="s">
        <v>397</v>
      </c>
      <c r="J18" s="218" t="s">
        <v>398</v>
      </c>
      <c r="K18" s="46">
        <v>1</v>
      </c>
      <c r="L18" s="35"/>
      <c r="O18" s="43"/>
      <c r="P18" s="38"/>
      <c r="Q18" s="208">
        <f>ROUND((ROUND((ROUND((_11_A家事０．７５*_11・基礎２),0)*_11・２人),0)*(1+_11・A早朝)),0)</f>
        <v>171</v>
      </c>
      <c r="R18" s="48"/>
    </row>
    <row r="19" spans="1:18" ht="16.5" customHeight="1" x14ac:dyDescent="0.15">
      <c r="A19" s="41">
        <v>11</v>
      </c>
      <c r="B19" s="41" t="s">
        <v>8816</v>
      </c>
      <c r="C19" s="127" t="s">
        <v>8817</v>
      </c>
      <c r="D19" s="202"/>
      <c r="E19" s="57"/>
      <c r="F19" s="49"/>
      <c r="G19" s="219"/>
      <c r="H19" s="50"/>
      <c r="I19" s="44"/>
      <c r="J19" s="218"/>
      <c r="K19" s="46"/>
      <c r="L19" s="35"/>
      <c r="O19" s="707" t="s">
        <v>404</v>
      </c>
      <c r="P19" s="708"/>
      <c r="Q19" s="208">
        <f>ROUND((ROUND((_11_A家事０．７５*(1+_11・A早朝)),0)*_11・初任),0)</f>
        <v>133</v>
      </c>
      <c r="R19" s="48"/>
    </row>
    <row r="20" spans="1:18" ht="16.5" customHeight="1" x14ac:dyDescent="0.15">
      <c r="A20" s="41">
        <v>11</v>
      </c>
      <c r="B20" s="41" t="s">
        <v>8818</v>
      </c>
      <c r="C20" s="127" t="s">
        <v>8819</v>
      </c>
      <c r="D20" s="202"/>
      <c r="E20" s="57"/>
      <c r="F20" s="37"/>
      <c r="G20" s="216"/>
      <c r="H20" s="38"/>
      <c r="I20" s="44" t="s">
        <v>397</v>
      </c>
      <c r="J20" s="218" t="s">
        <v>398</v>
      </c>
      <c r="K20" s="46">
        <v>1</v>
      </c>
      <c r="L20" s="35"/>
      <c r="O20" s="709"/>
      <c r="P20" s="704"/>
      <c r="Q20" s="208">
        <f>ROUND((ROUND((ROUND((_11_A家事０．７５*_11・２人),0)*(1+_11・A早朝)),0)*_11・初任),0)</f>
        <v>133</v>
      </c>
      <c r="R20" s="48"/>
    </row>
    <row r="21" spans="1:18" ht="16.5" customHeight="1" x14ac:dyDescent="0.15">
      <c r="A21" s="41">
        <v>11</v>
      </c>
      <c r="B21" s="41" t="s">
        <v>8820</v>
      </c>
      <c r="C21" s="127" t="s">
        <v>8821</v>
      </c>
      <c r="D21" s="203"/>
      <c r="E21" s="57"/>
      <c r="F21" s="779" t="s">
        <v>400</v>
      </c>
      <c r="G21" s="219" t="s">
        <v>398</v>
      </c>
      <c r="H21" s="50">
        <v>0.9</v>
      </c>
      <c r="I21" s="44"/>
      <c r="J21" s="218"/>
      <c r="K21" s="46"/>
      <c r="L21" s="35"/>
      <c r="O21" s="709"/>
      <c r="P21" s="704"/>
      <c r="Q21" s="208">
        <f>ROUND((ROUND((ROUND((_11_A家事０．７５*_11・基礎２),0)*(1+_11・A早朝)),0)*_11・初任),0)</f>
        <v>120</v>
      </c>
      <c r="R21" s="48"/>
    </row>
    <row r="22" spans="1:18" ht="16.5" customHeight="1" x14ac:dyDescent="0.15">
      <c r="A22" s="41">
        <v>11</v>
      </c>
      <c r="B22" s="41" t="s">
        <v>8822</v>
      </c>
      <c r="C22" s="127" t="s">
        <v>8823</v>
      </c>
      <c r="D22" s="203"/>
      <c r="E22" s="57"/>
      <c r="F22" s="780"/>
      <c r="G22" s="216"/>
      <c r="H22" s="38"/>
      <c r="I22" s="44" t="s">
        <v>397</v>
      </c>
      <c r="J22" s="218" t="s">
        <v>398</v>
      </c>
      <c r="K22" s="46">
        <v>1</v>
      </c>
      <c r="L22" s="35"/>
      <c r="O22" s="240" t="s">
        <v>398</v>
      </c>
      <c r="P22" s="38">
        <f>_11・初任</f>
        <v>0.7</v>
      </c>
      <c r="Q22" s="208">
        <f>ROUND((ROUND((ROUND((ROUND((_11_A家事０．７５*_11・基礎２),0)*_11・２人),0)*(1+_11・A早朝)),0)*_11・初任),0)</f>
        <v>120</v>
      </c>
      <c r="R22" s="48"/>
    </row>
    <row r="23" spans="1:18" ht="16.5" customHeight="1" x14ac:dyDescent="0.15">
      <c r="A23" s="41">
        <v>11</v>
      </c>
      <c r="B23" s="41">
        <v>6199</v>
      </c>
      <c r="C23" s="127" t="s">
        <v>8824</v>
      </c>
      <c r="D23" s="707" t="s">
        <v>8825</v>
      </c>
      <c r="E23" s="717"/>
      <c r="F23" s="49"/>
      <c r="G23" s="219"/>
      <c r="H23" s="50"/>
      <c r="I23" s="44"/>
      <c r="J23" s="218"/>
      <c r="K23" s="46"/>
      <c r="L23" s="35"/>
      <c r="O23" s="53"/>
      <c r="P23" s="50"/>
      <c r="Q23" s="208">
        <f>ROUND((_11_A家事１．０*(1+_11・A早朝)),0)</f>
        <v>245</v>
      </c>
      <c r="R23" s="48"/>
    </row>
    <row r="24" spans="1:18" ht="16.5" customHeight="1" x14ac:dyDescent="0.15">
      <c r="A24" s="41">
        <v>11</v>
      </c>
      <c r="B24" s="41">
        <v>6200</v>
      </c>
      <c r="C24" s="127" t="s">
        <v>8826</v>
      </c>
      <c r="D24" s="709"/>
      <c r="E24" s="718"/>
      <c r="F24" s="37"/>
      <c r="G24" s="216"/>
      <c r="H24" s="38"/>
      <c r="I24" s="44" t="s">
        <v>397</v>
      </c>
      <c r="J24" s="218" t="s">
        <v>398</v>
      </c>
      <c r="K24" s="46">
        <v>1</v>
      </c>
      <c r="L24" s="35"/>
      <c r="O24" s="35"/>
      <c r="Q24" s="208">
        <f>ROUND((ROUND((_11_A家事１．０*_11・２人),0)*(1+_11・A早朝)),0)</f>
        <v>245</v>
      </c>
      <c r="R24" s="48"/>
    </row>
    <row r="25" spans="1:18" ht="16.5" customHeight="1" x14ac:dyDescent="0.15">
      <c r="A25" s="41">
        <v>11</v>
      </c>
      <c r="B25" s="41">
        <v>6201</v>
      </c>
      <c r="C25" s="127" t="s">
        <v>8827</v>
      </c>
      <c r="D25" s="709"/>
      <c r="E25" s="718"/>
      <c r="F25" s="779" t="s">
        <v>400</v>
      </c>
      <c r="G25" s="219" t="s">
        <v>398</v>
      </c>
      <c r="H25" s="50">
        <v>0.9</v>
      </c>
      <c r="I25" s="44"/>
      <c r="J25" s="218"/>
      <c r="K25" s="46"/>
      <c r="L25" s="35"/>
      <c r="O25" s="35"/>
      <c r="Q25" s="208">
        <f>ROUND((ROUND((_11_A家事１．０*_11・基礎２),0)*(1+_11・A早朝)),0)</f>
        <v>220</v>
      </c>
      <c r="R25" s="48"/>
    </row>
    <row r="26" spans="1:18" ht="16.5" customHeight="1" x14ac:dyDescent="0.15">
      <c r="A26" s="41">
        <v>11</v>
      </c>
      <c r="B26" s="41">
        <v>6202</v>
      </c>
      <c r="C26" s="127" t="s">
        <v>8828</v>
      </c>
      <c r="D26" s="100">
        <f>_11_A家事１．０</f>
        <v>196</v>
      </c>
      <c r="E26" s="57" t="s">
        <v>392</v>
      </c>
      <c r="F26" s="780"/>
      <c r="G26" s="216"/>
      <c r="H26" s="38"/>
      <c r="I26" s="44" t="s">
        <v>397</v>
      </c>
      <c r="J26" s="218" t="s">
        <v>398</v>
      </c>
      <c r="K26" s="46">
        <v>1</v>
      </c>
      <c r="L26" s="35"/>
      <c r="O26" s="43"/>
      <c r="P26" s="38"/>
      <c r="Q26" s="208">
        <f>ROUND((ROUND((ROUND((_11_A家事１．０*_11・基礎２),0)*_11・２人),0)*(1+_11・A早朝)),0)</f>
        <v>220</v>
      </c>
      <c r="R26" s="48"/>
    </row>
    <row r="27" spans="1:18" ht="16.5" customHeight="1" x14ac:dyDescent="0.15">
      <c r="A27" s="41">
        <v>11</v>
      </c>
      <c r="B27" s="41" t="s">
        <v>8829</v>
      </c>
      <c r="C27" s="127" t="s">
        <v>8830</v>
      </c>
      <c r="D27" s="202"/>
      <c r="E27" s="57"/>
      <c r="F27" s="49"/>
      <c r="G27" s="219"/>
      <c r="H27" s="50"/>
      <c r="I27" s="44"/>
      <c r="J27" s="218"/>
      <c r="K27" s="46"/>
      <c r="L27" s="35"/>
      <c r="O27" s="707" t="s">
        <v>404</v>
      </c>
      <c r="P27" s="708"/>
      <c r="Q27" s="208">
        <f>ROUND((ROUND((_11_A家事１．０*(1+_11・A早朝)),0)*_11・初任),0)</f>
        <v>172</v>
      </c>
      <c r="R27" s="48"/>
    </row>
    <row r="28" spans="1:18" ht="16.5" customHeight="1" x14ac:dyDescent="0.15">
      <c r="A28" s="41">
        <v>11</v>
      </c>
      <c r="B28" s="41" t="s">
        <v>8831</v>
      </c>
      <c r="C28" s="127" t="s">
        <v>8832</v>
      </c>
      <c r="D28" s="202"/>
      <c r="E28" s="57"/>
      <c r="F28" s="37"/>
      <c r="G28" s="216"/>
      <c r="H28" s="38"/>
      <c r="I28" s="44" t="s">
        <v>397</v>
      </c>
      <c r="J28" s="218" t="s">
        <v>398</v>
      </c>
      <c r="K28" s="46">
        <v>1</v>
      </c>
      <c r="L28" s="35"/>
      <c r="O28" s="709"/>
      <c r="P28" s="704"/>
      <c r="Q28" s="208">
        <f>ROUND((ROUND((ROUND((_11_A家事１．０*_11・２人),0)*(1+_11・A早朝)),0)*_11・初任),0)</f>
        <v>172</v>
      </c>
      <c r="R28" s="48"/>
    </row>
    <row r="29" spans="1:18" ht="16.5" customHeight="1" x14ac:dyDescent="0.15">
      <c r="A29" s="41">
        <v>11</v>
      </c>
      <c r="B29" s="41" t="s">
        <v>8833</v>
      </c>
      <c r="C29" s="127" t="s">
        <v>8834</v>
      </c>
      <c r="D29" s="203"/>
      <c r="E29" s="57"/>
      <c r="F29" s="779" t="s">
        <v>400</v>
      </c>
      <c r="G29" s="219" t="s">
        <v>398</v>
      </c>
      <c r="H29" s="50">
        <v>0.9</v>
      </c>
      <c r="I29" s="44"/>
      <c r="J29" s="218"/>
      <c r="K29" s="46"/>
      <c r="L29" s="35"/>
      <c r="O29" s="709"/>
      <c r="P29" s="704"/>
      <c r="Q29" s="208">
        <f>ROUND((ROUND((ROUND((_11_A家事１．０*_11・基礎２),0)*(1+_11・A早朝)),0)*_11・初任),0)</f>
        <v>154</v>
      </c>
      <c r="R29" s="48"/>
    </row>
    <row r="30" spans="1:18" ht="16.5" customHeight="1" x14ac:dyDescent="0.15">
      <c r="A30" s="41">
        <v>11</v>
      </c>
      <c r="B30" s="41" t="s">
        <v>8835</v>
      </c>
      <c r="C30" s="127" t="s">
        <v>8836</v>
      </c>
      <c r="D30" s="203"/>
      <c r="E30" s="57"/>
      <c r="F30" s="780"/>
      <c r="G30" s="216"/>
      <c r="H30" s="38"/>
      <c r="I30" s="44" t="s">
        <v>397</v>
      </c>
      <c r="J30" s="218" t="s">
        <v>398</v>
      </c>
      <c r="K30" s="46">
        <v>1</v>
      </c>
      <c r="L30" s="35"/>
      <c r="O30" s="240" t="s">
        <v>398</v>
      </c>
      <c r="P30" s="38">
        <f>_11・初任</f>
        <v>0.7</v>
      </c>
      <c r="Q30" s="208">
        <f>ROUND((ROUND((ROUND((ROUND((_11_A家事１．０*_11・基礎２),0)*_11・２人),0)*(1+_11・A早朝)),0)*_11・初任),0)</f>
        <v>154</v>
      </c>
      <c r="R30" s="48"/>
    </row>
    <row r="31" spans="1:18" ht="16.5" customHeight="1" x14ac:dyDescent="0.15">
      <c r="A31" s="41">
        <v>11</v>
      </c>
      <c r="B31" s="41">
        <v>7735</v>
      </c>
      <c r="C31" s="127" t="s">
        <v>8837</v>
      </c>
      <c r="D31" s="707" t="s">
        <v>8838</v>
      </c>
      <c r="E31" s="717"/>
      <c r="F31" s="49"/>
      <c r="G31" s="219"/>
      <c r="H31" s="50"/>
      <c r="I31" s="44"/>
      <c r="J31" s="218"/>
      <c r="K31" s="46"/>
      <c r="L31" s="35"/>
      <c r="O31" s="53"/>
      <c r="P31" s="50"/>
      <c r="Q31" s="208">
        <f>ROUND((_11_A家事１．２５*(1+_11・A早朝)),0)</f>
        <v>298</v>
      </c>
      <c r="R31" s="48"/>
    </row>
    <row r="32" spans="1:18" ht="16.5" customHeight="1" x14ac:dyDescent="0.15">
      <c r="A32" s="41">
        <v>11</v>
      </c>
      <c r="B32" s="41">
        <v>7736</v>
      </c>
      <c r="C32" s="127" t="s">
        <v>8839</v>
      </c>
      <c r="D32" s="709"/>
      <c r="E32" s="718"/>
      <c r="F32" s="37"/>
      <c r="G32" s="216"/>
      <c r="H32" s="38"/>
      <c r="I32" s="44" t="s">
        <v>397</v>
      </c>
      <c r="J32" s="218" t="s">
        <v>398</v>
      </c>
      <c r="K32" s="46">
        <v>1</v>
      </c>
      <c r="L32" s="35"/>
      <c r="O32" s="35"/>
      <c r="Q32" s="208">
        <f>ROUND((ROUND((_11_A家事１．２５*_11・２人),0)*(1+_11・A早朝)),0)</f>
        <v>298</v>
      </c>
      <c r="R32" s="48"/>
    </row>
    <row r="33" spans="1:18" ht="16.5" customHeight="1" x14ac:dyDescent="0.15">
      <c r="A33" s="41">
        <v>11</v>
      </c>
      <c r="B33" s="41">
        <v>7737</v>
      </c>
      <c r="C33" s="127" t="s">
        <v>8840</v>
      </c>
      <c r="D33" s="709"/>
      <c r="E33" s="718"/>
      <c r="F33" s="779" t="s">
        <v>400</v>
      </c>
      <c r="G33" s="219" t="s">
        <v>398</v>
      </c>
      <c r="H33" s="50">
        <v>0.9</v>
      </c>
      <c r="I33" s="44"/>
      <c r="J33" s="218"/>
      <c r="K33" s="46"/>
      <c r="L33" s="35"/>
      <c r="O33" s="35"/>
      <c r="Q33" s="208">
        <f>ROUND((ROUND((_11_A家事１．２５*_11・基礎２),0)*(1+_11・A早朝)),0)</f>
        <v>268</v>
      </c>
      <c r="R33" s="48"/>
    </row>
    <row r="34" spans="1:18" ht="16.5" customHeight="1" x14ac:dyDescent="0.15">
      <c r="A34" s="41">
        <v>11</v>
      </c>
      <c r="B34" s="41">
        <v>7738</v>
      </c>
      <c r="C34" s="127" t="s">
        <v>8841</v>
      </c>
      <c r="D34" s="100">
        <f>_11_A家事１．２５</f>
        <v>238</v>
      </c>
      <c r="E34" s="57" t="s">
        <v>392</v>
      </c>
      <c r="F34" s="780"/>
      <c r="G34" s="216"/>
      <c r="H34" s="38"/>
      <c r="I34" s="44" t="s">
        <v>397</v>
      </c>
      <c r="J34" s="218" t="s">
        <v>398</v>
      </c>
      <c r="K34" s="46">
        <v>1</v>
      </c>
      <c r="L34" s="35"/>
      <c r="O34" s="43"/>
      <c r="P34" s="38"/>
      <c r="Q34" s="208">
        <f>ROUND((ROUND((ROUND((_11_A家事１．２５*_11・基礎２),0)*_11・２人),0)*(1+_11・A早朝)),0)</f>
        <v>268</v>
      </c>
      <c r="R34" s="48"/>
    </row>
    <row r="35" spans="1:18" ht="16.5" customHeight="1" x14ac:dyDescent="0.15">
      <c r="A35" s="41">
        <v>11</v>
      </c>
      <c r="B35" s="41" t="s">
        <v>8842</v>
      </c>
      <c r="C35" s="127" t="s">
        <v>8843</v>
      </c>
      <c r="D35" s="202"/>
      <c r="E35" s="57"/>
      <c r="F35" s="49"/>
      <c r="G35" s="219"/>
      <c r="H35" s="50"/>
      <c r="I35" s="44"/>
      <c r="J35" s="218"/>
      <c r="K35" s="46"/>
      <c r="L35" s="35"/>
      <c r="O35" s="707" t="s">
        <v>404</v>
      </c>
      <c r="P35" s="708"/>
      <c r="Q35" s="208">
        <f>ROUND((ROUND((_11_A家事１．２５*(1+_11・A早朝)),0)*_11・初任),0)</f>
        <v>209</v>
      </c>
      <c r="R35" s="48"/>
    </row>
    <row r="36" spans="1:18" ht="16.5" customHeight="1" x14ac:dyDescent="0.15">
      <c r="A36" s="41">
        <v>11</v>
      </c>
      <c r="B36" s="41" t="s">
        <v>8844</v>
      </c>
      <c r="C36" s="127" t="s">
        <v>8845</v>
      </c>
      <c r="D36" s="202"/>
      <c r="E36" s="57"/>
      <c r="F36" s="37"/>
      <c r="G36" s="216"/>
      <c r="H36" s="38"/>
      <c r="I36" s="44" t="s">
        <v>397</v>
      </c>
      <c r="J36" s="218" t="s">
        <v>398</v>
      </c>
      <c r="K36" s="46">
        <v>1</v>
      </c>
      <c r="L36" s="35"/>
      <c r="O36" s="709"/>
      <c r="P36" s="704"/>
      <c r="Q36" s="208">
        <f>ROUND((ROUND((ROUND((_11_A家事１．２５*_11・２人),0)*(1+_11・A早朝)),0)*_11・初任),0)</f>
        <v>209</v>
      </c>
      <c r="R36" s="48"/>
    </row>
    <row r="37" spans="1:18" ht="16.5" customHeight="1" x14ac:dyDescent="0.15">
      <c r="A37" s="41">
        <v>11</v>
      </c>
      <c r="B37" s="41" t="s">
        <v>8846</v>
      </c>
      <c r="C37" s="127" t="s">
        <v>8847</v>
      </c>
      <c r="D37" s="203"/>
      <c r="E37" s="57"/>
      <c r="F37" s="779" t="s">
        <v>400</v>
      </c>
      <c r="G37" s="219" t="s">
        <v>398</v>
      </c>
      <c r="H37" s="50">
        <v>0.9</v>
      </c>
      <c r="I37" s="44"/>
      <c r="J37" s="218"/>
      <c r="K37" s="46"/>
      <c r="L37" s="35"/>
      <c r="O37" s="709"/>
      <c r="P37" s="704"/>
      <c r="Q37" s="208">
        <f>ROUND((ROUND((ROUND((_11_A家事１．２５*_11・基礎２),0)*(1+_11・A早朝)),0)*_11・初任),0)</f>
        <v>188</v>
      </c>
      <c r="R37" s="48"/>
    </row>
    <row r="38" spans="1:18" ht="16.5" customHeight="1" x14ac:dyDescent="0.15">
      <c r="A38" s="41">
        <v>11</v>
      </c>
      <c r="B38" s="41" t="s">
        <v>8848</v>
      </c>
      <c r="C38" s="127" t="s">
        <v>8849</v>
      </c>
      <c r="D38" s="203"/>
      <c r="E38" s="57"/>
      <c r="F38" s="780"/>
      <c r="G38" s="216"/>
      <c r="H38" s="38"/>
      <c r="I38" s="44" t="s">
        <v>397</v>
      </c>
      <c r="J38" s="218" t="s">
        <v>398</v>
      </c>
      <c r="K38" s="46">
        <v>1</v>
      </c>
      <c r="L38" s="35"/>
      <c r="O38" s="240" t="s">
        <v>398</v>
      </c>
      <c r="P38" s="38">
        <f>_11・初任</f>
        <v>0.7</v>
      </c>
      <c r="Q38" s="208">
        <f>ROUND((ROUND((ROUND((ROUND((_11_A家事１．２５*_11・基礎２),0)*_11・２人),0)*(1+_11・A早朝)),0)*_11・初任),0)</f>
        <v>188</v>
      </c>
      <c r="R38" s="48"/>
    </row>
    <row r="39" spans="1:18" ht="16.5" customHeight="1" x14ac:dyDescent="0.15">
      <c r="A39" s="41">
        <v>11</v>
      </c>
      <c r="B39" s="41">
        <v>6203</v>
      </c>
      <c r="C39" s="127" t="s">
        <v>8850</v>
      </c>
      <c r="D39" s="707" t="s">
        <v>8851</v>
      </c>
      <c r="E39" s="717"/>
      <c r="F39" s="49"/>
      <c r="G39" s="219"/>
      <c r="H39" s="50"/>
      <c r="I39" s="44"/>
      <c r="J39" s="218"/>
      <c r="K39" s="46"/>
      <c r="L39" s="35"/>
      <c r="O39" s="53"/>
      <c r="P39" s="50"/>
      <c r="Q39" s="208">
        <f>ROUND((_11_A家事１．５*(1+_11・A早朝)),0)</f>
        <v>343</v>
      </c>
      <c r="R39" s="48"/>
    </row>
    <row r="40" spans="1:18" ht="16.5" customHeight="1" x14ac:dyDescent="0.15">
      <c r="A40" s="41">
        <v>11</v>
      </c>
      <c r="B40" s="41">
        <v>6204</v>
      </c>
      <c r="C40" s="127" t="s">
        <v>8852</v>
      </c>
      <c r="D40" s="709"/>
      <c r="E40" s="718"/>
      <c r="F40" s="37"/>
      <c r="G40" s="216"/>
      <c r="H40" s="38"/>
      <c r="I40" s="44" t="s">
        <v>397</v>
      </c>
      <c r="J40" s="218" t="s">
        <v>398</v>
      </c>
      <c r="K40" s="46">
        <v>1</v>
      </c>
      <c r="L40" s="35"/>
      <c r="O40" s="35"/>
      <c r="Q40" s="208">
        <f>ROUND((ROUND((_11_A家事１．５*_11・２人),0)*(1+_11・A早朝)),0)</f>
        <v>343</v>
      </c>
      <c r="R40" s="48"/>
    </row>
    <row r="41" spans="1:18" ht="16.5" customHeight="1" x14ac:dyDescent="0.15">
      <c r="A41" s="41">
        <v>11</v>
      </c>
      <c r="B41" s="41">
        <v>6205</v>
      </c>
      <c r="C41" s="127" t="s">
        <v>8853</v>
      </c>
      <c r="D41" s="709"/>
      <c r="E41" s="718"/>
      <c r="F41" s="779" t="s">
        <v>400</v>
      </c>
      <c r="G41" s="219" t="s">
        <v>398</v>
      </c>
      <c r="H41" s="50">
        <v>0.9</v>
      </c>
      <c r="I41" s="44"/>
      <c r="J41" s="218"/>
      <c r="K41" s="46"/>
      <c r="L41" s="35"/>
      <c r="O41" s="35"/>
      <c r="Q41" s="208">
        <f>ROUND((ROUND((_11_A家事１．５*_11・基礎２),0)*(1+_11・A早朝)),0)</f>
        <v>309</v>
      </c>
      <c r="R41" s="48"/>
    </row>
    <row r="42" spans="1:18" ht="16.5" customHeight="1" x14ac:dyDescent="0.15">
      <c r="A42" s="41">
        <v>11</v>
      </c>
      <c r="B42" s="41">
        <v>6206</v>
      </c>
      <c r="C42" s="127" t="s">
        <v>8854</v>
      </c>
      <c r="D42" s="100">
        <f>_11_A家事１．５</f>
        <v>274</v>
      </c>
      <c r="E42" s="57" t="s">
        <v>392</v>
      </c>
      <c r="F42" s="780"/>
      <c r="G42" s="216"/>
      <c r="H42" s="38"/>
      <c r="I42" s="44" t="s">
        <v>397</v>
      </c>
      <c r="J42" s="218" t="s">
        <v>398</v>
      </c>
      <c r="K42" s="46">
        <v>1</v>
      </c>
      <c r="L42" s="35"/>
      <c r="O42" s="43"/>
      <c r="P42" s="38"/>
      <c r="Q42" s="208">
        <f>ROUND((ROUND((ROUND((_11_A家事１．５*_11・基礎２),0)*_11・２人),0)*(1+_11・A早朝)),0)</f>
        <v>309</v>
      </c>
      <c r="R42" s="48"/>
    </row>
    <row r="43" spans="1:18" ht="16.5" customHeight="1" x14ac:dyDescent="0.15">
      <c r="A43" s="41">
        <v>11</v>
      </c>
      <c r="B43" s="41" t="s">
        <v>8855</v>
      </c>
      <c r="C43" s="127" t="s">
        <v>8856</v>
      </c>
      <c r="D43" s="202"/>
      <c r="E43" s="57"/>
      <c r="F43" s="49"/>
      <c r="G43" s="219"/>
      <c r="H43" s="50"/>
      <c r="I43" s="44"/>
      <c r="J43" s="218"/>
      <c r="K43" s="46"/>
      <c r="L43" s="35"/>
      <c r="O43" s="707" t="s">
        <v>404</v>
      </c>
      <c r="P43" s="708"/>
      <c r="Q43" s="208">
        <f>ROUND((ROUND((_11_A家事１．５*(1+_11・A早朝)),0)*_11・初任),0)</f>
        <v>240</v>
      </c>
      <c r="R43" s="48"/>
    </row>
    <row r="44" spans="1:18" ht="16.5" customHeight="1" x14ac:dyDescent="0.15">
      <c r="A44" s="41">
        <v>11</v>
      </c>
      <c r="B44" s="41" t="s">
        <v>8857</v>
      </c>
      <c r="C44" s="127" t="s">
        <v>8858</v>
      </c>
      <c r="D44" s="202"/>
      <c r="E44" s="57"/>
      <c r="F44" s="37"/>
      <c r="G44" s="216"/>
      <c r="H44" s="38"/>
      <c r="I44" s="44" t="s">
        <v>397</v>
      </c>
      <c r="J44" s="218" t="s">
        <v>398</v>
      </c>
      <c r="K44" s="46">
        <v>1</v>
      </c>
      <c r="L44" s="35"/>
      <c r="O44" s="709"/>
      <c r="P44" s="704"/>
      <c r="Q44" s="208">
        <f>ROUND((ROUND((ROUND((_11_A家事１．５*_11・２人),0)*(1+_11・A早朝)),0)*_11・初任),0)</f>
        <v>240</v>
      </c>
      <c r="R44" s="48"/>
    </row>
    <row r="45" spans="1:18" ht="16.5" customHeight="1" x14ac:dyDescent="0.15">
      <c r="A45" s="41">
        <v>11</v>
      </c>
      <c r="B45" s="41" t="s">
        <v>8859</v>
      </c>
      <c r="C45" s="127" t="s">
        <v>8860</v>
      </c>
      <c r="D45" s="203"/>
      <c r="E45" s="57"/>
      <c r="F45" s="779" t="s">
        <v>400</v>
      </c>
      <c r="G45" s="219" t="s">
        <v>398</v>
      </c>
      <c r="H45" s="50">
        <v>0.9</v>
      </c>
      <c r="I45" s="44"/>
      <c r="J45" s="218"/>
      <c r="K45" s="46"/>
      <c r="L45" s="35"/>
      <c r="O45" s="709"/>
      <c r="P45" s="704"/>
      <c r="Q45" s="208">
        <f>ROUND((ROUND((ROUND((_11_A家事１．５*_11・基礎２),0)*(1+_11・A早朝)),0)*_11・初任),0)</f>
        <v>216</v>
      </c>
      <c r="R45" s="48"/>
    </row>
    <row r="46" spans="1:18" ht="16.5" customHeight="1" x14ac:dyDescent="0.15">
      <c r="A46" s="41">
        <v>11</v>
      </c>
      <c r="B46" s="41" t="s">
        <v>8861</v>
      </c>
      <c r="C46" s="127" t="s">
        <v>8862</v>
      </c>
      <c r="D46" s="203"/>
      <c r="E46" s="57"/>
      <c r="F46" s="780"/>
      <c r="G46" s="216"/>
      <c r="H46" s="38"/>
      <c r="I46" s="44" t="s">
        <v>397</v>
      </c>
      <c r="J46" s="218" t="s">
        <v>398</v>
      </c>
      <c r="K46" s="46">
        <v>1</v>
      </c>
      <c r="L46" s="35"/>
      <c r="O46" s="240" t="s">
        <v>398</v>
      </c>
      <c r="P46" s="38">
        <f>_11・初任</f>
        <v>0.7</v>
      </c>
      <c r="Q46" s="208">
        <f>ROUND((ROUND((ROUND((ROUND((_11_A家事１．５*_11・基礎２),0)*_11・２人),0)*(1+_11・A早朝)),0)*_11・初任),0)</f>
        <v>216</v>
      </c>
      <c r="R46" s="48"/>
    </row>
    <row r="47" spans="1:18" ht="16.5" customHeight="1" x14ac:dyDescent="0.15">
      <c r="A47" s="41">
        <v>11</v>
      </c>
      <c r="B47" s="41">
        <v>7739</v>
      </c>
      <c r="C47" s="127" t="s">
        <v>8863</v>
      </c>
      <c r="D47" s="707" t="s">
        <v>8864</v>
      </c>
      <c r="E47" s="717"/>
      <c r="F47" s="49"/>
      <c r="G47" s="219"/>
      <c r="H47" s="50"/>
      <c r="I47" s="44"/>
      <c r="J47" s="218"/>
      <c r="K47" s="46"/>
      <c r="L47" s="35"/>
      <c r="O47" s="53"/>
      <c r="P47" s="50"/>
      <c r="Q47" s="208">
        <f>ROUND((_11_A家事１．７５*(1+_11・A早朝)),0)</f>
        <v>386</v>
      </c>
      <c r="R47" s="48"/>
    </row>
    <row r="48" spans="1:18" ht="16.5" customHeight="1" x14ac:dyDescent="0.15">
      <c r="A48" s="41">
        <v>11</v>
      </c>
      <c r="B48" s="41">
        <v>7740</v>
      </c>
      <c r="C48" s="127" t="s">
        <v>8865</v>
      </c>
      <c r="D48" s="709"/>
      <c r="E48" s="718"/>
      <c r="F48" s="37"/>
      <c r="G48" s="216"/>
      <c r="H48" s="38"/>
      <c r="I48" s="44" t="s">
        <v>397</v>
      </c>
      <c r="J48" s="218" t="s">
        <v>398</v>
      </c>
      <c r="K48" s="46">
        <v>1</v>
      </c>
      <c r="L48" s="35"/>
      <c r="O48" s="35"/>
      <c r="Q48" s="208">
        <f>ROUND((ROUND((_11_A家事１．７５*_11・２人),0)*(1+_11・A早朝)),0)</f>
        <v>386</v>
      </c>
      <c r="R48" s="48"/>
    </row>
    <row r="49" spans="1:18" ht="16.5" customHeight="1" x14ac:dyDescent="0.15">
      <c r="A49" s="41">
        <v>11</v>
      </c>
      <c r="B49" s="41">
        <v>7741</v>
      </c>
      <c r="C49" s="127" t="s">
        <v>8866</v>
      </c>
      <c r="D49" s="709"/>
      <c r="E49" s="718"/>
      <c r="F49" s="779" t="s">
        <v>400</v>
      </c>
      <c r="G49" s="219" t="s">
        <v>398</v>
      </c>
      <c r="H49" s="50">
        <v>0.9</v>
      </c>
      <c r="I49" s="44"/>
      <c r="J49" s="218"/>
      <c r="K49" s="46"/>
      <c r="L49" s="35"/>
      <c r="O49" s="35"/>
      <c r="Q49" s="208">
        <f>ROUND((ROUND((_11_A家事１．７５*_11・基礎２),0)*(1+_11・A早朝)),0)</f>
        <v>348</v>
      </c>
      <c r="R49" s="48"/>
    </row>
    <row r="50" spans="1:18" ht="16.5" customHeight="1" x14ac:dyDescent="0.15">
      <c r="A50" s="41">
        <v>11</v>
      </c>
      <c r="B50" s="41">
        <v>7742</v>
      </c>
      <c r="C50" s="127" t="s">
        <v>8867</v>
      </c>
      <c r="D50" s="100">
        <f>_11_A家事１．７５</f>
        <v>309</v>
      </c>
      <c r="E50" s="57" t="s">
        <v>392</v>
      </c>
      <c r="F50" s="780"/>
      <c r="G50" s="216"/>
      <c r="H50" s="38"/>
      <c r="I50" s="44" t="s">
        <v>397</v>
      </c>
      <c r="J50" s="218" t="s">
        <v>398</v>
      </c>
      <c r="K50" s="46">
        <v>1</v>
      </c>
      <c r="L50" s="35"/>
      <c r="O50" s="43"/>
      <c r="P50" s="38"/>
      <c r="Q50" s="208">
        <f>ROUND((ROUND((ROUND((_11_A家事１．７５*_11・基礎２),0)*_11・２人),0)*(1+_11・A早朝)),0)</f>
        <v>348</v>
      </c>
      <c r="R50" s="48"/>
    </row>
    <row r="51" spans="1:18" ht="16.5" customHeight="1" x14ac:dyDescent="0.15">
      <c r="A51" s="41">
        <v>11</v>
      </c>
      <c r="B51" s="41" t="s">
        <v>8868</v>
      </c>
      <c r="C51" s="127" t="s">
        <v>8869</v>
      </c>
      <c r="D51" s="202"/>
      <c r="E51" s="57"/>
      <c r="F51" s="49"/>
      <c r="G51" s="219"/>
      <c r="H51" s="50"/>
      <c r="I51" s="44"/>
      <c r="J51" s="218"/>
      <c r="K51" s="46"/>
      <c r="L51" s="35"/>
      <c r="O51" s="707" t="s">
        <v>404</v>
      </c>
      <c r="P51" s="708"/>
      <c r="Q51" s="208">
        <f>ROUND((ROUND((_11_A家事１．７５*(1+_11・A早朝)),0)*_11・初任),0)</f>
        <v>270</v>
      </c>
      <c r="R51" s="48"/>
    </row>
    <row r="52" spans="1:18" ht="16.5" customHeight="1" x14ac:dyDescent="0.15">
      <c r="A52" s="41">
        <v>11</v>
      </c>
      <c r="B52" s="41" t="s">
        <v>8870</v>
      </c>
      <c r="C52" s="127" t="s">
        <v>8871</v>
      </c>
      <c r="D52" s="202"/>
      <c r="E52" s="57"/>
      <c r="F52" s="37"/>
      <c r="G52" s="216"/>
      <c r="H52" s="38"/>
      <c r="I52" s="44" t="s">
        <v>397</v>
      </c>
      <c r="J52" s="218" t="s">
        <v>398</v>
      </c>
      <c r="K52" s="46">
        <v>1</v>
      </c>
      <c r="L52" s="35"/>
      <c r="O52" s="709"/>
      <c r="P52" s="704"/>
      <c r="Q52" s="208">
        <f>ROUND((ROUND((ROUND((_11_A家事１．７５*_11・２人),0)*(1+_11・A早朝)),0)*_11・初任),0)</f>
        <v>270</v>
      </c>
      <c r="R52" s="48"/>
    </row>
    <row r="53" spans="1:18" ht="16.5" customHeight="1" x14ac:dyDescent="0.15">
      <c r="A53" s="41">
        <v>11</v>
      </c>
      <c r="B53" s="41" t="s">
        <v>8872</v>
      </c>
      <c r="C53" s="127" t="s">
        <v>8873</v>
      </c>
      <c r="D53" s="203"/>
      <c r="E53" s="57"/>
      <c r="F53" s="779" t="s">
        <v>400</v>
      </c>
      <c r="G53" s="219" t="s">
        <v>398</v>
      </c>
      <c r="H53" s="50">
        <v>0.9</v>
      </c>
      <c r="I53" s="44"/>
      <c r="J53" s="218"/>
      <c r="K53" s="46"/>
      <c r="L53" s="35"/>
      <c r="O53" s="709"/>
      <c r="P53" s="704"/>
      <c r="Q53" s="208">
        <f>ROUND((ROUND((ROUND((_11_A家事１．７５*_11・基礎２),0)*(1+_11・A早朝)),0)*_11・初任),0)</f>
        <v>244</v>
      </c>
      <c r="R53" s="48"/>
    </row>
    <row r="54" spans="1:18" ht="16.5" customHeight="1" x14ac:dyDescent="0.15">
      <c r="A54" s="41">
        <v>11</v>
      </c>
      <c r="B54" s="41" t="s">
        <v>8874</v>
      </c>
      <c r="C54" s="127" t="s">
        <v>8875</v>
      </c>
      <c r="D54" s="203"/>
      <c r="E54" s="57"/>
      <c r="F54" s="780"/>
      <c r="G54" s="216"/>
      <c r="H54" s="38"/>
      <c r="I54" s="44" t="s">
        <v>397</v>
      </c>
      <c r="J54" s="218" t="s">
        <v>398</v>
      </c>
      <c r="K54" s="46">
        <v>1</v>
      </c>
      <c r="L54" s="35"/>
      <c r="O54" s="240" t="s">
        <v>398</v>
      </c>
      <c r="P54" s="38">
        <f>_11・初任</f>
        <v>0.7</v>
      </c>
      <c r="Q54" s="208">
        <f>ROUND((ROUND((ROUND((ROUND((_11_A家事１．７５*_11・基礎２),0)*_11・２人),0)*(1+_11・A早朝)),0)*_11・初任),0)</f>
        <v>244</v>
      </c>
      <c r="R54" s="48"/>
    </row>
    <row r="55" spans="1:18" ht="16.5" customHeight="1" x14ac:dyDescent="0.15">
      <c r="A55" s="41">
        <v>11</v>
      </c>
      <c r="B55" s="41">
        <v>6207</v>
      </c>
      <c r="C55" s="127" t="s">
        <v>8876</v>
      </c>
      <c r="D55" s="707" t="s">
        <v>8877</v>
      </c>
      <c r="E55" s="717"/>
      <c r="F55" s="49"/>
      <c r="G55" s="219"/>
      <c r="H55" s="50"/>
      <c r="I55" s="44"/>
      <c r="J55" s="218"/>
      <c r="K55" s="46"/>
      <c r="L55" s="35"/>
      <c r="O55" s="53"/>
      <c r="P55" s="50"/>
      <c r="Q55" s="208">
        <f>ROUND((_11_A家事２．０*(1+_11・A早朝)),0)</f>
        <v>430</v>
      </c>
      <c r="R55" s="48"/>
    </row>
    <row r="56" spans="1:18" ht="16.5" customHeight="1" x14ac:dyDescent="0.15">
      <c r="A56" s="41">
        <v>11</v>
      </c>
      <c r="B56" s="41">
        <v>6208</v>
      </c>
      <c r="C56" s="127" t="s">
        <v>8878</v>
      </c>
      <c r="D56" s="709"/>
      <c r="E56" s="718"/>
      <c r="F56" s="37"/>
      <c r="G56" s="216"/>
      <c r="H56" s="38"/>
      <c r="I56" s="44" t="s">
        <v>397</v>
      </c>
      <c r="J56" s="218" t="s">
        <v>398</v>
      </c>
      <c r="K56" s="46">
        <v>1</v>
      </c>
      <c r="L56" s="35"/>
      <c r="O56" s="35"/>
      <c r="Q56" s="208">
        <f>ROUND((ROUND((_11_A家事２．０*_11・２人),0)*(1+_11・A早朝)),0)</f>
        <v>430</v>
      </c>
      <c r="R56" s="48"/>
    </row>
    <row r="57" spans="1:18" ht="16.5" customHeight="1" x14ac:dyDescent="0.15">
      <c r="A57" s="41">
        <v>11</v>
      </c>
      <c r="B57" s="41">
        <v>6209</v>
      </c>
      <c r="C57" s="127" t="s">
        <v>8879</v>
      </c>
      <c r="D57" s="709"/>
      <c r="E57" s="718"/>
      <c r="F57" s="779" t="s">
        <v>400</v>
      </c>
      <c r="G57" s="219" t="s">
        <v>398</v>
      </c>
      <c r="H57" s="50">
        <v>0.9</v>
      </c>
      <c r="I57" s="44"/>
      <c r="J57" s="218"/>
      <c r="K57" s="46"/>
      <c r="L57" s="35"/>
      <c r="O57" s="35"/>
      <c r="Q57" s="208">
        <f>ROUND((ROUND((_11_A家事２．０*_11・基礎２),0)*(1+_11・A早朝)),0)</f>
        <v>388</v>
      </c>
      <c r="R57" s="48"/>
    </row>
    <row r="58" spans="1:18" ht="16.5" customHeight="1" x14ac:dyDescent="0.15">
      <c r="A58" s="41">
        <v>11</v>
      </c>
      <c r="B58" s="41">
        <v>6210</v>
      </c>
      <c r="C58" s="127" t="s">
        <v>8880</v>
      </c>
      <c r="D58" s="100">
        <f>_11_A家事２．０</f>
        <v>344</v>
      </c>
      <c r="E58" s="57" t="s">
        <v>392</v>
      </c>
      <c r="F58" s="780"/>
      <c r="G58" s="216"/>
      <c r="H58" s="38"/>
      <c r="I58" s="44" t="s">
        <v>397</v>
      </c>
      <c r="J58" s="218" t="s">
        <v>398</v>
      </c>
      <c r="K58" s="46">
        <v>1</v>
      </c>
      <c r="L58" s="35"/>
      <c r="O58" s="43"/>
      <c r="P58" s="38"/>
      <c r="Q58" s="208">
        <f>ROUND((ROUND((ROUND((_11_A家事２．０*_11・基礎２),0)*_11・２人),0)*(1+_11・A早朝)),0)</f>
        <v>388</v>
      </c>
      <c r="R58" s="48"/>
    </row>
    <row r="59" spans="1:18" ht="16.5" customHeight="1" x14ac:dyDescent="0.15">
      <c r="A59" s="41">
        <v>11</v>
      </c>
      <c r="B59" s="41" t="s">
        <v>8881</v>
      </c>
      <c r="C59" s="127" t="s">
        <v>8882</v>
      </c>
      <c r="D59" s="202"/>
      <c r="E59" s="57"/>
      <c r="F59" s="49"/>
      <c r="G59" s="219"/>
      <c r="H59" s="50"/>
      <c r="I59" s="44"/>
      <c r="J59" s="218"/>
      <c r="K59" s="46"/>
      <c r="L59" s="35"/>
      <c r="O59" s="707" t="s">
        <v>404</v>
      </c>
      <c r="P59" s="708"/>
      <c r="Q59" s="208">
        <f>ROUND((ROUND((_11_A家事２．０*(1+_11・A早朝)),0)*_11・初任),0)</f>
        <v>301</v>
      </c>
      <c r="R59" s="48"/>
    </row>
    <row r="60" spans="1:18" ht="16.5" customHeight="1" x14ac:dyDescent="0.15">
      <c r="A60" s="41">
        <v>11</v>
      </c>
      <c r="B60" s="41" t="s">
        <v>8883</v>
      </c>
      <c r="C60" s="127" t="s">
        <v>8884</v>
      </c>
      <c r="D60" s="202"/>
      <c r="E60" s="57"/>
      <c r="F60" s="37"/>
      <c r="G60" s="216"/>
      <c r="H60" s="38"/>
      <c r="I60" s="44" t="s">
        <v>397</v>
      </c>
      <c r="J60" s="218" t="s">
        <v>398</v>
      </c>
      <c r="K60" s="46">
        <v>1</v>
      </c>
      <c r="L60" s="35"/>
      <c r="O60" s="709"/>
      <c r="P60" s="704"/>
      <c r="Q60" s="208">
        <f>ROUND((ROUND((ROUND((_11_A家事２．０*_11・２人),0)*(1+_11・A早朝)),0)*_11・初任),0)</f>
        <v>301</v>
      </c>
      <c r="R60" s="48"/>
    </row>
    <row r="61" spans="1:18" ht="16.5" customHeight="1" x14ac:dyDescent="0.15">
      <c r="A61" s="41">
        <v>11</v>
      </c>
      <c r="B61" s="41" t="s">
        <v>8885</v>
      </c>
      <c r="C61" s="127" t="s">
        <v>8886</v>
      </c>
      <c r="D61" s="203"/>
      <c r="E61" s="57"/>
      <c r="F61" s="779" t="s">
        <v>400</v>
      </c>
      <c r="G61" s="219" t="s">
        <v>398</v>
      </c>
      <c r="H61" s="50">
        <v>0.9</v>
      </c>
      <c r="I61" s="44"/>
      <c r="J61" s="218"/>
      <c r="K61" s="46"/>
      <c r="L61" s="35"/>
      <c r="O61" s="709"/>
      <c r="P61" s="704"/>
      <c r="Q61" s="208">
        <f>ROUND((ROUND((ROUND((_11_A家事２．０*_11・基礎２),0)*(1+_11・A早朝)),0)*_11・初任),0)</f>
        <v>272</v>
      </c>
      <c r="R61" s="48"/>
    </row>
    <row r="62" spans="1:18" ht="16.5" customHeight="1" x14ac:dyDescent="0.15">
      <c r="A62" s="41">
        <v>11</v>
      </c>
      <c r="B62" s="41" t="s">
        <v>8887</v>
      </c>
      <c r="C62" s="127" t="s">
        <v>8888</v>
      </c>
      <c r="D62" s="203"/>
      <c r="E62" s="57"/>
      <c r="F62" s="780"/>
      <c r="G62" s="216"/>
      <c r="H62" s="38"/>
      <c r="I62" s="44" t="s">
        <v>397</v>
      </c>
      <c r="J62" s="218" t="s">
        <v>398</v>
      </c>
      <c r="K62" s="46">
        <v>1</v>
      </c>
      <c r="L62" s="35"/>
      <c r="O62" s="240" t="s">
        <v>398</v>
      </c>
      <c r="P62" s="38">
        <f>_11・初任</f>
        <v>0.7</v>
      </c>
      <c r="Q62" s="208">
        <f>ROUND((ROUND((ROUND((ROUND((_11_A家事２．０*_11・基礎２),0)*_11・２人),0)*(1+_11・A早朝)),0)*_11・初任),0)</f>
        <v>272</v>
      </c>
      <c r="R62" s="48"/>
    </row>
    <row r="63" spans="1:18" ht="16.5" customHeight="1" x14ac:dyDescent="0.15">
      <c r="A63" s="41">
        <v>11</v>
      </c>
      <c r="B63" s="41">
        <v>7743</v>
      </c>
      <c r="C63" s="127" t="s">
        <v>8889</v>
      </c>
      <c r="D63" s="707" t="s">
        <v>8890</v>
      </c>
      <c r="E63" s="717"/>
      <c r="F63" s="49"/>
      <c r="G63" s="219"/>
      <c r="H63" s="50"/>
      <c r="I63" s="44"/>
      <c r="J63" s="218"/>
      <c r="K63" s="46"/>
      <c r="L63" s="35"/>
      <c r="O63" s="53"/>
      <c r="P63" s="50"/>
      <c r="Q63" s="208">
        <f>ROUND((_11_A家事２．２５*(1+_11・A早朝)),0)</f>
        <v>474</v>
      </c>
      <c r="R63" s="48"/>
    </row>
    <row r="64" spans="1:18" ht="16.5" customHeight="1" x14ac:dyDescent="0.15">
      <c r="A64" s="41">
        <v>11</v>
      </c>
      <c r="B64" s="41">
        <v>7744</v>
      </c>
      <c r="C64" s="127" t="s">
        <v>8891</v>
      </c>
      <c r="D64" s="709"/>
      <c r="E64" s="718"/>
      <c r="F64" s="37"/>
      <c r="G64" s="216"/>
      <c r="H64" s="38"/>
      <c r="I64" s="44" t="s">
        <v>397</v>
      </c>
      <c r="J64" s="218" t="s">
        <v>398</v>
      </c>
      <c r="K64" s="46">
        <v>1</v>
      </c>
      <c r="L64" s="35"/>
      <c r="O64" s="35"/>
      <c r="Q64" s="208">
        <f>ROUND((ROUND((_11_A家事２．２５*_11・２人),0)*(1+_11・A早朝)),0)</f>
        <v>474</v>
      </c>
      <c r="R64" s="48"/>
    </row>
    <row r="65" spans="1:18" ht="16.5" customHeight="1" x14ac:dyDescent="0.15">
      <c r="A65" s="41">
        <v>11</v>
      </c>
      <c r="B65" s="41">
        <v>7745</v>
      </c>
      <c r="C65" s="127" t="s">
        <v>8892</v>
      </c>
      <c r="D65" s="709"/>
      <c r="E65" s="718"/>
      <c r="F65" s="779" t="s">
        <v>400</v>
      </c>
      <c r="G65" s="219" t="s">
        <v>398</v>
      </c>
      <c r="H65" s="50">
        <v>0.9</v>
      </c>
      <c r="I65" s="44"/>
      <c r="J65" s="218"/>
      <c r="K65" s="46"/>
      <c r="L65" s="35"/>
      <c r="O65" s="35"/>
      <c r="Q65" s="208">
        <f>ROUND((ROUND((_11_A家事２．２５*_11・基礎２),0)*(1+_11・A早朝)),0)</f>
        <v>426</v>
      </c>
      <c r="R65" s="48"/>
    </row>
    <row r="66" spans="1:18" ht="16.5" customHeight="1" x14ac:dyDescent="0.15">
      <c r="A66" s="41">
        <v>11</v>
      </c>
      <c r="B66" s="41">
        <v>7746</v>
      </c>
      <c r="C66" s="127" t="s">
        <v>8893</v>
      </c>
      <c r="D66" s="100">
        <f>_11_A家事２．２５</f>
        <v>379</v>
      </c>
      <c r="E66" s="57" t="s">
        <v>392</v>
      </c>
      <c r="F66" s="780"/>
      <c r="G66" s="216"/>
      <c r="H66" s="38"/>
      <c r="I66" s="44" t="s">
        <v>397</v>
      </c>
      <c r="J66" s="218" t="s">
        <v>398</v>
      </c>
      <c r="K66" s="46">
        <v>1</v>
      </c>
      <c r="L66" s="35"/>
      <c r="O66" s="43"/>
      <c r="P66" s="38"/>
      <c r="Q66" s="208">
        <f>ROUND((ROUND((ROUND((_11_A家事２．２５*_11・基礎２),0)*_11・２人),0)*(1+_11・A早朝)),0)</f>
        <v>426</v>
      </c>
      <c r="R66" s="48"/>
    </row>
    <row r="67" spans="1:18" ht="16.5" customHeight="1" x14ac:dyDescent="0.15">
      <c r="A67" s="41">
        <v>11</v>
      </c>
      <c r="B67" s="41" t="s">
        <v>8894</v>
      </c>
      <c r="C67" s="127" t="s">
        <v>8895</v>
      </c>
      <c r="D67" s="202"/>
      <c r="E67" s="57"/>
      <c r="F67" s="49"/>
      <c r="G67" s="219"/>
      <c r="H67" s="50"/>
      <c r="I67" s="44"/>
      <c r="J67" s="218"/>
      <c r="K67" s="46"/>
      <c r="L67" s="35"/>
      <c r="O67" s="707" t="s">
        <v>404</v>
      </c>
      <c r="P67" s="708"/>
      <c r="Q67" s="208">
        <f>ROUND((ROUND((_11_A家事２．２５*(1+_11・A早朝)),0)*_11・初任),0)</f>
        <v>332</v>
      </c>
      <c r="R67" s="48"/>
    </row>
    <row r="68" spans="1:18" ht="16.5" customHeight="1" x14ac:dyDescent="0.15">
      <c r="A68" s="41">
        <v>11</v>
      </c>
      <c r="B68" s="41" t="s">
        <v>8896</v>
      </c>
      <c r="C68" s="127" t="s">
        <v>8897</v>
      </c>
      <c r="D68" s="202"/>
      <c r="E68" s="57"/>
      <c r="F68" s="37"/>
      <c r="G68" s="216"/>
      <c r="H68" s="38"/>
      <c r="I68" s="44" t="s">
        <v>397</v>
      </c>
      <c r="J68" s="218" t="s">
        <v>398</v>
      </c>
      <c r="K68" s="46">
        <v>1</v>
      </c>
      <c r="L68" s="35"/>
      <c r="O68" s="709"/>
      <c r="P68" s="704"/>
      <c r="Q68" s="208">
        <f>ROUND((ROUND((ROUND((_11_A家事２．２５*_11・２人),0)*(1+_11・A早朝)),0)*_11・初任),0)</f>
        <v>332</v>
      </c>
      <c r="R68" s="48"/>
    </row>
    <row r="69" spans="1:18" ht="16.5" customHeight="1" x14ac:dyDescent="0.15">
      <c r="A69" s="41">
        <v>11</v>
      </c>
      <c r="B69" s="41" t="s">
        <v>8898</v>
      </c>
      <c r="C69" s="127" t="s">
        <v>8899</v>
      </c>
      <c r="D69" s="203"/>
      <c r="E69" s="57"/>
      <c r="F69" s="779" t="s">
        <v>400</v>
      </c>
      <c r="G69" s="219" t="s">
        <v>398</v>
      </c>
      <c r="H69" s="50">
        <v>0.9</v>
      </c>
      <c r="I69" s="44"/>
      <c r="J69" s="218"/>
      <c r="K69" s="46"/>
      <c r="L69" s="35"/>
      <c r="O69" s="709"/>
      <c r="P69" s="704"/>
      <c r="Q69" s="208">
        <f>ROUND((ROUND((ROUND((_11_A家事２．２５*_11・基礎２),0)*(1+_11・A早朝)),0)*_11・初任),0)</f>
        <v>298</v>
      </c>
      <c r="R69" s="48"/>
    </row>
    <row r="70" spans="1:18" ht="16.5" customHeight="1" x14ac:dyDescent="0.15">
      <c r="A70" s="41">
        <v>11</v>
      </c>
      <c r="B70" s="41" t="s">
        <v>8900</v>
      </c>
      <c r="C70" s="127" t="s">
        <v>8901</v>
      </c>
      <c r="D70" s="205"/>
      <c r="E70" s="79"/>
      <c r="F70" s="780"/>
      <c r="G70" s="216"/>
      <c r="H70" s="38"/>
      <c r="I70" s="44" t="s">
        <v>397</v>
      </c>
      <c r="J70" s="218" t="s">
        <v>398</v>
      </c>
      <c r="K70" s="46">
        <v>1</v>
      </c>
      <c r="L70" s="43"/>
      <c r="M70" s="220"/>
      <c r="N70" s="38"/>
      <c r="O70" s="240" t="s">
        <v>398</v>
      </c>
      <c r="P70" s="38">
        <f>_11・初任</f>
        <v>0.7</v>
      </c>
      <c r="Q70" s="208">
        <f>ROUND((ROUND((ROUND((ROUND((_11_A家事２．２５*_11・基礎２),0)*_11・２人),0)*(1+_11・A早朝)),0)*_11・初任),0)</f>
        <v>298</v>
      </c>
      <c r="R70" s="63"/>
    </row>
    <row r="71" spans="1:18" ht="16.5" customHeight="1" x14ac:dyDescent="0.15">
      <c r="A71" s="33">
        <v>11</v>
      </c>
      <c r="B71" s="33">
        <v>6211</v>
      </c>
      <c r="C71" s="135" t="s">
        <v>8902</v>
      </c>
      <c r="D71" s="709" t="s">
        <v>8903</v>
      </c>
      <c r="E71" s="718"/>
      <c r="G71" s="233"/>
      <c r="I71" s="36"/>
      <c r="J71" s="216"/>
      <c r="K71" s="38"/>
      <c r="L71" s="72" t="s">
        <v>674</v>
      </c>
      <c r="O71" s="35"/>
      <c r="Q71" s="207">
        <f>ROUND((_11_A家事２．５*(1+_11・A早朝)),0)</f>
        <v>518</v>
      </c>
      <c r="R71" s="48"/>
    </row>
    <row r="72" spans="1:18" ht="16.5" customHeight="1" x14ac:dyDescent="0.15">
      <c r="A72" s="41">
        <v>11</v>
      </c>
      <c r="B72" s="41">
        <v>6212</v>
      </c>
      <c r="C72" s="127" t="s">
        <v>8904</v>
      </c>
      <c r="D72" s="709"/>
      <c r="E72" s="718"/>
      <c r="F72" s="37"/>
      <c r="G72" s="216"/>
      <c r="H72" s="38"/>
      <c r="I72" s="44" t="s">
        <v>397</v>
      </c>
      <c r="J72" s="218" t="s">
        <v>398</v>
      </c>
      <c r="K72" s="46">
        <v>1</v>
      </c>
      <c r="L72" s="72" t="s">
        <v>398</v>
      </c>
      <c r="M72" s="243">
        <v>0.25</v>
      </c>
      <c r="N72" s="778" t="s">
        <v>676</v>
      </c>
      <c r="O72" s="35"/>
      <c r="Q72" s="208">
        <f>ROUND((ROUND((_11_A家事２．５*_11・２人),0)*(1+_11・A早朝)),0)</f>
        <v>518</v>
      </c>
      <c r="R72" s="48"/>
    </row>
    <row r="73" spans="1:18" ht="16.5" customHeight="1" x14ac:dyDescent="0.15">
      <c r="A73" s="41">
        <v>11</v>
      </c>
      <c r="B73" s="41">
        <v>6213</v>
      </c>
      <c r="C73" s="127" t="s">
        <v>8905</v>
      </c>
      <c r="D73" s="709"/>
      <c r="E73" s="718"/>
      <c r="F73" s="779" t="s">
        <v>400</v>
      </c>
      <c r="G73" s="219" t="s">
        <v>398</v>
      </c>
      <c r="H73" s="50">
        <v>0.9</v>
      </c>
      <c r="I73" s="44"/>
      <c r="J73" s="218"/>
      <c r="K73" s="46"/>
      <c r="L73" s="35"/>
      <c r="N73" s="778"/>
      <c r="O73" s="35"/>
      <c r="Q73" s="208">
        <f>ROUND((ROUND((_11_A家事２．５*_11・基礎２),0)*(1+_11・A早朝)),0)</f>
        <v>466</v>
      </c>
      <c r="R73" s="48"/>
    </row>
    <row r="74" spans="1:18" ht="16.5" customHeight="1" x14ac:dyDescent="0.15">
      <c r="A74" s="41">
        <v>11</v>
      </c>
      <c r="B74" s="41">
        <v>6214</v>
      </c>
      <c r="C74" s="127" t="s">
        <v>8906</v>
      </c>
      <c r="D74" s="100">
        <f>_11_A家事２．５</f>
        <v>414</v>
      </c>
      <c r="E74" s="57" t="s">
        <v>392</v>
      </c>
      <c r="F74" s="780"/>
      <c r="G74" s="216"/>
      <c r="H74" s="38"/>
      <c r="I74" s="44" t="s">
        <v>397</v>
      </c>
      <c r="J74" s="218" t="s">
        <v>398</v>
      </c>
      <c r="K74" s="46">
        <v>1</v>
      </c>
      <c r="L74" s="35"/>
      <c r="O74" s="43"/>
      <c r="P74" s="38"/>
      <c r="Q74" s="208">
        <f>ROUND((ROUND((ROUND((_11_A家事２．５*_11・基礎２),0)*_11・２人),0)*(1+_11・A早朝)),0)</f>
        <v>466</v>
      </c>
      <c r="R74" s="48"/>
    </row>
    <row r="75" spans="1:18" ht="16.5" customHeight="1" x14ac:dyDescent="0.15">
      <c r="A75" s="41">
        <v>11</v>
      </c>
      <c r="B75" s="41" t="s">
        <v>8907</v>
      </c>
      <c r="C75" s="127" t="s">
        <v>8908</v>
      </c>
      <c r="D75" s="202"/>
      <c r="E75" s="57"/>
      <c r="F75" s="49"/>
      <c r="G75" s="219"/>
      <c r="H75" s="50"/>
      <c r="I75" s="44"/>
      <c r="J75" s="218"/>
      <c r="K75" s="46"/>
      <c r="L75" s="35"/>
      <c r="O75" s="707" t="s">
        <v>404</v>
      </c>
      <c r="P75" s="708"/>
      <c r="Q75" s="208">
        <f>ROUND((ROUND((_11_A家事２．５*(1+_11・A早朝)),0)*_11・初任),0)</f>
        <v>363</v>
      </c>
      <c r="R75" s="48"/>
    </row>
    <row r="76" spans="1:18" ht="16.5" customHeight="1" x14ac:dyDescent="0.15">
      <c r="A76" s="41">
        <v>11</v>
      </c>
      <c r="B76" s="41" t="s">
        <v>8909</v>
      </c>
      <c r="C76" s="127" t="s">
        <v>8910</v>
      </c>
      <c r="D76" s="202"/>
      <c r="E76" s="57"/>
      <c r="F76" s="37"/>
      <c r="G76" s="216"/>
      <c r="H76" s="38"/>
      <c r="I76" s="44" t="s">
        <v>397</v>
      </c>
      <c r="J76" s="218" t="s">
        <v>398</v>
      </c>
      <c r="K76" s="46">
        <v>1</v>
      </c>
      <c r="L76" s="35"/>
      <c r="O76" s="709"/>
      <c r="P76" s="704"/>
      <c r="Q76" s="208">
        <f>ROUND((ROUND((ROUND((_11_A家事２．５*_11・２人),0)*(1+_11・A早朝)),0)*_11・初任),0)</f>
        <v>363</v>
      </c>
      <c r="R76" s="48"/>
    </row>
    <row r="77" spans="1:18" ht="16.5" customHeight="1" x14ac:dyDescent="0.15">
      <c r="A77" s="41">
        <v>11</v>
      </c>
      <c r="B77" s="41" t="s">
        <v>8911</v>
      </c>
      <c r="C77" s="127" t="s">
        <v>8912</v>
      </c>
      <c r="D77" s="203"/>
      <c r="E77" s="57"/>
      <c r="F77" s="779" t="s">
        <v>400</v>
      </c>
      <c r="G77" s="219" t="s">
        <v>398</v>
      </c>
      <c r="H77" s="50">
        <v>0.9</v>
      </c>
      <c r="I77" s="44"/>
      <c r="J77" s="218"/>
      <c r="K77" s="46"/>
      <c r="L77" s="35"/>
      <c r="O77" s="709"/>
      <c r="P77" s="704"/>
      <c r="Q77" s="208">
        <f>ROUND((ROUND((ROUND((_11_A家事２．５*_11・基礎２),0)*(1+_11・A早朝)),0)*_11・初任),0)</f>
        <v>326</v>
      </c>
      <c r="R77" s="48"/>
    </row>
    <row r="78" spans="1:18" ht="16.5" customHeight="1" x14ac:dyDescent="0.15">
      <c r="A78" s="41">
        <v>11</v>
      </c>
      <c r="B78" s="41" t="s">
        <v>8913</v>
      </c>
      <c r="C78" s="127" t="s">
        <v>8914</v>
      </c>
      <c r="D78" s="205"/>
      <c r="E78" s="79"/>
      <c r="F78" s="780"/>
      <c r="G78" s="216"/>
      <c r="H78" s="38"/>
      <c r="I78" s="44" t="s">
        <v>397</v>
      </c>
      <c r="J78" s="218" t="s">
        <v>398</v>
      </c>
      <c r="K78" s="46">
        <v>1</v>
      </c>
      <c r="L78" s="43"/>
      <c r="M78" s="220"/>
      <c r="N78" s="38"/>
      <c r="O78" s="240" t="s">
        <v>398</v>
      </c>
      <c r="P78" s="38">
        <f>_11・初任</f>
        <v>0.7</v>
      </c>
      <c r="Q78" s="208">
        <f>ROUND((ROUND((ROUND((ROUND((_11_A家事２．５*_11・基礎２),0)*_11・２人),0)*(1+_11・A早朝)),0)*_11・初任),0)</f>
        <v>326</v>
      </c>
      <c r="R78" s="63"/>
    </row>
    <row r="79" spans="1:18" ht="16.5" customHeight="1" x14ac:dyDescent="0.15">
      <c r="A79" s="80"/>
      <c r="B79" s="80"/>
      <c r="C79" s="81"/>
      <c r="Q79" s="209"/>
      <c r="R79" s="85"/>
    </row>
    <row r="80" spans="1:18" ht="16.5" customHeight="1" x14ac:dyDescent="0.15">
      <c r="A80" s="80"/>
      <c r="B80" s="80"/>
      <c r="C80" s="81"/>
      <c r="Q80" s="209"/>
      <c r="R80" s="85"/>
    </row>
    <row r="81" spans="1:18" ht="16.5" customHeight="1" x14ac:dyDescent="0.15">
      <c r="A81" s="80"/>
      <c r="B81" s="86" t="s">
        <v>8915</v>
      </c>
      <c r="C81" s="81"/>
      <c r="D81" s="200"/>
      <c r="Q81" s="209"/>
      <c r="R81" s="85"/>
    </row>
    <row r="82" spans="1:18" ht="16.5" customHeight="1" x14ac:dyDescent="0.15">
      <c r="A82" s="87" t="s">
        <v>384</v>
      </c>
      <c r="B82" s="20"/>
      <c r="C82" s="88" t="s">
        <v>385</v>
      </c>
      <c r="D82" s="222"/>
      <c r="E82" s="23"/>
      <c r="F82" s="23"/>
      <c r="G82" s="166"/>
      <c r="H82" s="166" t="s">
        <v>386</v>
      </c>
      <c r="I82" s="23"/>
      <c r="J82" s="166"/>
      <c r="K82" s="24"/>
      <c r="L82" s="23"/>
      <c r="M82" s="166"/>
      <c r="N82" s="24"/>
      <c r="O82" s="23"/>
      <c r="P82" s="24"/>
      <c r="Q82" s="21" t="s">
        <v>387</v>
      </c>
      <c r="R82" s="21" t="s">
        <v>388</v>
      </c>
    </row>
    <row r="83" spans="1:18" ht="16.5" customHeight="1" x14ac:dyDescent="0.15">
      <c r="A83" s="26" t="s">
        <v>389</v>
      </c>
      <c r="B83" s="26" t="s">
        <v>390</v>
      </c>
      <c r="C83" s="89"/>
      <c r="D83" s="120"/>
      <c r="E83" s="29"/>
      <c r="F83" s="29"/>
      <c r="G83" s="214"/>
      <c r="H83" s="30"/>
      <c r="I83" s="29"/>
      <c r="J83" s="214"/>
      <c r="K83" s="30"/>
      <c r="L83" s="29"/>
      <c r="M83" s="214"/>
      <c r="N83" s="30"/>
      <c r="O83" s="29"/>
      <c r="P83" s="30"/>
      <c r="Q83" s="32" t="s">
        <v>391</v>
      </c>
      <c r="R83" s="32" t="s">
        <v>392</v>
      </c>
    </row>
    <row r="84" spans="1:18" ht="16.5" customHeight="1" x14ac:dyDescent="0.15">
      <c r="A84" s="33">
        <v>11</v>
      </c>
      <c r="B84" s="33">
        <v>6215</v>
      </c>
      <c r="C84" s="135" t="s">
        <v>8916</v>
      </c>
      <c r="D84" s="709" t="s">
        <v>742</v>
      </c>
      <c r="E84" s="718"/>
      <c r="G84" s="233"/>
      <c r="I84" s="36"/>
      <c r="J84" s="216"/>
      <c r="K84" s="38"/>
      <c r="L84" s="35" t="s">
        <v>743</v>
      </c>
      <c r="O84" s="35"/>
      <c r="Q84" s="207">
        <f>ROUND((_11_A家事０．５*(1+_11・A夜間)),0)</f>
        <v>131</v>
      </c>
      <c r="R84" s="40" t="s">
        <v>395</v>
      </c>
    </row>
    <row r="85" spans="1:18" ht="16.5" customHeight="1" x14ac:dyDescent="0.15">
      <c r="A85" s="41">
        <v>11</v>
      </c>
      <c r="B85" s="41">
        <v>6216</v>
      </c>
      <c r="C85" s="127" t="s">
        <v>8917</v>
      </c>
      <c r="D85" s="709"/>
      <c r="E85" s="718"/>
      <c r="F85" s="37"/>
      <c r="G85" s="216"/>
      <c r="H85" s="38"/>
      <c r="I85" s="44" t="s">
        <v>397</v>
      </c>
      <c r="J85" s="218" t="s">
        <v>398</v>
      </c>
      <c r="K85" s="46">
        <v>1</v>
      </c>
      <c r="L85" s="223" t="s">
        <v>398</v>
      </c>
      <c r="M85" s="13">
        <v>0.25</v>
      </c>
      <c r="N85" s="778" t="s">
        <v>676</v>
      </c>
      <c r="O85" s="35"/>
      <c r="Q85" s="208">
        <f>ROUND((ROUND((_11_A家事０．５*_11・２人),0)*(1+_11・A夜間)),0)</f>
        <v>131</v>
      </c>
      <c r="R85" s="48"/>
    </row>
    <row r="86" spans="1:18" ht="16.5" customHeight="1" x14ac:dyDescent="0.15">
      <c r="A86" s="41">
        <v>11</v>
      </c>
      <c r="B86" s="41">
        <v>6217</v>
      </c>
      <c r="C86" s="127" t="s">
        <v>8918</v>
      </c>
      <c r="D86" s="709"/>
      <c r="E86" s="718"/>
      <c r="F86" s="779" t="s">
        <v>400</v>
      </c>
      <c r="G86" s="219" t="s">
        <v>398</v>
      </c>
      <c r="H86" s="50">
        <v>0.9</v>
      </c>
      <c r="I86" s="44"/>
      <c r="J86" s="218"/>
      <c r="K86" s="46"/>
      <c r="L86" s="35"/>
      <c r="N86" s="778"/>
      <c r="O86" s="35"/>
      <c r="Q86" s="208">
        <f>ROUND((ROUND((_11_A家事０．５*_11・基礎２),0)*(1+_11・A夜間)),0)</f>
        <v>119</v>
      </c>
      <c r="R86" s="48"/>
    </row>
    <row r="87" spans="1:18" ht="16.5" customHeight="1" x14ac:dyDescent="0.15">
      <c r="A87" s="41">
        <v>11</v>
      </c>
      <c r="B87" s="41">
        <v>6218</v>
      </c>
      <c r="C87" s="127" t="s">
        <v>8919</v>
      </c>
      <c r="D87" s="100">
        <f>_11_A家事０．５</f>
        <v>105</v>
      </c>
      <c r="E87" s="57" t="s">
        <v>392</v>
      </c>
      <c r="F87" s="780"/>
      <c r="G87" s="216"/>
      <c r="H87" s="38"/>
      <c r="I87" s="44" t="s">
        <v>397</v>
      </c>
      <c r="J87" s="218" t="s">
        <v>398</v>
      </c>
      <c r="K87" s="46">
        <v>1</v>
      </c>
      <c r="L87" s="35"/>
      <c r="O87" s="43"/>
      <c r="P87" s="38"/>
      <c r="Q87" s="208">
        <f>ROUND((ROUND((ROUND((_11_A家事０．５*_11・基礎２),0)*_11・２人),0)*(1+_11・A夜間)),0)</f>
        <v>119</v>
      </c>
      <c r="R87" s="48"/>
    </row>
    <row r="88" spans="1:18" ht="16.5" customHeight="1" x14ac:dyDescent="0.15">
      <c r="A88" s="41">
        <v>11</v>
      </c>
      <c r="B88" s="41" t="s">
        <v>8920</v>
      </c>
      <c r="C88" s="127" t="s">
        <v>8921</v>
      </c>
      <c r="D88" s="202"/>
      <c r="E88" s="57"/>
      <c r="F88" s="49"/>
      <c r="G88" s="219"/>
      <c r="H88" s="50"/>
      <c r="I88" s="44"/>
      <c r="J88" s="218"/>
      <c r="K88" s="46"/>
      <c r="L88" s="35"/>
      <c r="O88" s="707" t="s">
        <v>404</v>
      </c>
      <c r="P88" s="708"/>
      <c r="Q88" s="208">
        <f>ROUND((ROUND((_11_A家事０．５*(1+_11・A夜間)),0)*_11・初任),0)</f>
        <v>92</v>
      </c>
      <c r="R88" s="48"/>
    </row>
    <row r="89" spans="1:18" ht="16.5" customHeight="1" x14ac:dyDescent="0.15">
      <c r="A89" s="41">
        <v>11</v>
      </c>
      <c r="B89" s="41" t="s">
        <v>8922</v>
      </c>
      <c r="C89" s="127" t="s">
        <v>8923</v>
      </c>
      <c r="D89" s="202"/>
      <c r="E89" s="57"/>
      <c r="F89" s="37"/>
      <c r="G89" s="216"/>
      <c r="H89" s="38"/>
      <c r="I89" s="44" t="s">
        <v>397</v>
      </c>
      <c r="J89" s="218" t="s">
        <v>398</v>
      </c>
      <c r="K89" s="46">
        <v>1</v>
      </c>
      <c r="L89" s="35"/>
      <c r="O89" s="709"/>
      <c r="P89" s="704"/>
      <c r="Q89" s="208">
        <f>ROUND((ROUND((ROUND((_11_A家事０．５*_11・２人),0)*(1+_11・A夜間)),0)*_11・初任),0)</f>
        <v>92</v>
      </c>
      <c r="R89" s="48"/>
    </row>
    <row r="90" spans="1:18" ht="16.5" customHeight="1" x14ac:dyDescent="0.15">
      <c r="A90" s="41">
        <v>11</v>
      </c>
      <c r="B90" s="41" t="s">
        <v>8924</v>
      </c>
      <c r="C90" s="127" t="s">
        <v>8925</v>
      </c>
      <c r="D90" s="203"/>
      <c r="E90" s="57"/>
      <c r="F90" s="779" t="s">
        <v>400</v>
      </c>
      <c r="G90" s="219" t="s">
        <v>398</v>
      </c>
      <c r="H90" s="50">
        <v>0.9</v>
      </c>
      <c r="I90" s="44"/>
      <c r="J90" s="218"/>
      <c r="K90" s="46"/>
      <c r="L90" s="35"/>
      <c r="O90" s="709"/>
      <c r="P90" s="704"/>
      <c r="Q90" s="208">
        <f>ROUND((ROUND((ROUND((_11_A家事０．５*_11・基礎２),0)*(1+_11・A夜間)),0)*_11・初任),0)</f>
        <v>83</v>
      </c>
      <c r="R90" s="48"/>
    </row>
    <row r="91" spans="1:18" ht="16.5" customHeight="1" x14ac:dyDescent="0.15">
      <c r="A91" s="41">
        <v>11</v>
      </c>
      <c r="B91" s="41" t="s">
        <v>8926</v>
      </c>
      <c r="C91" s="127" t="s">
        <v>8927</v>
      </c>
      <c r="D91" s="203"/>
      <c r="E91" s="57"/>
      <c r="F91" s="780"/>
      <c r="G91" s="216"/>
      <c r="H91" s="38"/>
      <c r="I91" s="44" t="s">
        <v>397</v>
      </c>
      <c r="J91" s="218" t="s">
        <v>398</v>
      </c>
      <c r="K91" s="46">
        <v>1</v>
      </c>
      <c r="L91" s="35"/>
      <c r="O91" s="240" t="s">
        <v>398</v>
      </c>
      <c r="P91" s="38">
        <f>_11・初任</f>
        <v>0.7</v>
      </c>
      <c r="Q91" s="208">
        <f>ROUND((ROUND((ROUND((ROUND((_11_A家事０．５*_11・基礎２),0)*_11・２人),0)*(1+_11・A夜間)),0)*_11・初任),0)</f>
        <v>83</v>
      </c>
      <c r="R91" s="48"/>
    </row>
    <row r="92" spans="1:18" ht="16.5" customHeight="1" x14ac:dyDescent="0.15">
      <c r="A92" s="41">
        <v>11</v>
      </c>
      <c r="B92" s="41">
        <v>7747</v>
      </c>
      <c r="C92" s="127" t="s">
        <v>8928</v>
      </c>
      <c r="D92" s="707" t="s">
        <v>8929</v>
      </c>
      <c r="E92" s="717"/>
      <c r="F92" s="49"/>
      <c r="G92" s="219"/>
      <c r="H92" s="50"/>
      <c r="I92" s="44"/>
      <c r="J92" s="218"/>
      <c r="K92" s="46"/>
      <c r="L92" s="35"/>
      <c r="O92" s="53"/>
      <c r="P92" s="50"/>
      <c r="Q92" s="208">
        <f>ROUND((_11_A家事０．７５*(1+_11・A夜間)),0)</f>
        <v>190</v>
      </c>
      <c r="R92" s="48"/>
    </row>
    <row r="93" spans="1:18" ht="16.5" customHeight="1" x14ac:dyDescent="0.15">
      <c r="A93" s="41">
        <v>11</v>
      </c>
      <c r="B93" s="41">
        <v>7748</v>
      </c>
      <c r="C93" s="127" t="s">
        <v>8930</v>
      </c>
      <c r="D93" s="709"/>
      <c r="E93" s="718"/>
      <c r="F93" s="37"/>
      <c r="G93" s="216"/>
      <c r="H93" s="38"/>
      <c r="I93" s="44" t="s">
        <v>397</v>
      </c>
      <c r="J93" s="218" t="s">
        <v>398</v>
      </c>
      <c r="K93" s="46">
        <v>1</v>
      </c>
      <c r="L93" s="35"/>
      <c r="O93" s="35"/>
      <c r="Q93" s="208">
        <f>ROUND((ROUND((_11_A家事０．７５*_11・２人),0)*(1+_11・A夜間)),0)</f>
        <v>190</v>
      </c>
      <c r="R93" s="48"/>
    </row>
    <row r="94" spans="1:18" ht="16.5" customHeight="1" x14ac:dyDescent="0.15">
      <c r="A94" s="41">
        <v>11</v>
      </c>
      <c r="B94" s="41">
        <v>7749</v>
      </c>
      <c r="C94" s="127" t="s">
        <v>8931</v>
      </c>
      <c r="D94" s="709"/>
      <c r="E94" s="718"/>
      <c r="F94" s="779" t="s">
        <v>400</v>
      </c>
      <c r="G94" s="219" t="s">
        <v>398</v>
      </c>
      <c r="H94" s="50">
        <v>0.9</v>
      </c>
      <c r="I94" s="44"/>
      <c r="J94" s="218"/>
      <c r="K94" s="46"/>
      <c r="L94" s="35"/>
      <c r="O94" s="35"/>
      <c r="Q94" s="208">
        <f>ROUND((ROUND((_11_A家事０．７５*_11・基礎２),0)*(1+_11・A夜間)),0)</f>
        <v>171</v>
      </c>
      <c r="R94" s="48"/>
    </row>
    <row r="95" spans="1:18" ht="16.5" customHeight="1" x14ac:dyDescent="0.15">
      <c r="A95" s="41">
        <v>11</v>
      </c>
      <c r="B95" s="41">
        <v>7750</v>
      </c>
      <c r="C95" s="127" t="s">
        <v>8932</v>
      </c>
      <c r="D95" s="100">
        <f>_11_A家事０．７５</f>
        <v>152</v>
      </c>
      <c r="E95" s="57" t="s">
        <v>392</v>
      </c>
      <c r="F95" s="780"/>
      <c r="G95" s="216"/>
      <c r="H95" s="38"/>
      <c r="I95" s="44" t="s">
        <v>397</v>
      </c>
      <c r="J95" s="218" t="s">
        <v>398</v>
      </c>
      <c r="K95" s="46">
        <v>1</v>
      </c>
      <c r="L95" s="35"/>
      <c r="O95" s="43"/>
      <c r="P95" s="38"/>
      <c r="Q95" s="208">
        <f>ROUND((ROUND((ROUND((_11_A家事０．７５*_11・基礎２),0)*_11・２人),0)*(1+_11・A夜間)),0)</f>
        <v>171</v>
      </c>
      <c r="R95" s="48"/>
    </row>
    <row r="96" spans="1:18" ht="16.5" customHeight="1" x14ac:dyDescent="0.15">
      <c r="A96" s="41">
        <v>11</v>
      </c>
      <c r="B96" s="41" t="s">
        <v>8933</v>
      </c>
      <c r="C96" s="127" t="s">
        <v>8934</v>
      </c>
      <c r="D96" s="202"/>
      <c r="E96" s="57"/>
      <c r="F96" s="49"/>
      <c r="G96" s="219"/>
      <c r="H96" s="50"/>
      <c r="I96" s="44"/>
      <c r="J96" s="218"/>
      <c r="K96" s="46"/>
      <c r="L96" s="35"/>
      <c r="O96" s="707" t="s">
        <v>404</v>
      </c>
      <c r="P96" s="708"/>
      <c r="Q96" s="208">
        <f>ROUND((ROUND((_11_A家事０．７５*(1+_11・A夜間)),0)*_11・初任),0)</f>
        <v>133</v>
      </c>
      <c r="R96" s="48"/>
    </row>
    <row r="97" spans="1:18" ht="16.5" customHeight="1" x14ac:dyDescent="0.15">
      <c r="A97" s="41">
        <v>11</v>
      </c>
      <c r="B97" s="41" t="s">
        <v>8935</v>
      </c>
      <c r="C97" s="127" t="s">
        <v>8936</v>
      </c>
      <c r="D97" s="202"/>
      <c r="E97" s="57"/>
      <c r="F97" s="37"/>
      <c r="G97" s="216"/>
      <c r="H97" s="38"/>
      <c r="I97" s="44" t="s">
        <v>397</v>
      </c>
      <c r="J97" s="218" t="s">
        <v>398</v>
      </c>
      <c r="K97" s="46">
        <v>1</v>
      </c>
      <c r="L97" s="35"/>
      <c r="O97" s="709"/>
      <c r="P97" s="704"/>
      <c r="Q97" s="208">
        <f>ROUND((ROUND((ROUND((_11_A家事０．７５*_11・２人),0)*(1+_11・A夜間)),0)*_11・初任),0)</f>
        <v>133</v>
      </c>
      <c r="R97" s="48"/>
    </row>
    <row r="98" spans="1:18" ht="16.5" customHeight="1" x14ac:dyDescent="0.15">
      <c r="A98" s="41">
        <v>11</v>
      </c>
      <c r="B98" s="41" t="s">
        <v>8937</v>
      </c>
      <c r="C98" s="127" t="s">
        <v>8938</v>
      </c>
      <c r="D98" s="203"/>
      <c r="E98" s="57"/>
      <c r="F98" s="779" t="s">
        <v>400</v>
      </c>
      <c r="G98" s="219" t="s">
        <v>398</v>
      </c>
      <c r="H98" s="50">
        <v>0.9</v>
      </c>
      <c r="I98" s="44"/>
      <c r="J98" s="218"/>
      <c r="K98" s="46"/>
      <c r="L98" s="35"/>
      <c r="O98" s="709"/>
      <c r="P98" s="704"/>
      <c r="Q98" s="208">
        <f>ROUND((ROUND((ROUND((_11_A家事０．７５*_11・基礎２),0)*(1+_11・A夜間)),0)*_11・初任),0)</f>
        <v>120</v>
      </c>
      <c r="R98" s="48"/>
    </row>
    <row r="99" spans="1:18" ht="16.5" customHeight="1" x14ac:dyDescent="0.15">
      <c r="A99" s="41">
        <v>11</v>
      </c>
      <c r="B99" s="41" t="s">
        <v>8939</v>
      </c>
      <c r="C99" s="127" t="s">
        <v>8940</v>
      </c>
      <c r="D99" s="203"/>
      <c r="E99" s="57"/>
      <c r="F99" s="780"/>
      <c r="G99" s="216"/>
      <c r="H99" s="38"/>
      <c r="I99" s="44" t="s">
        <v>397</v>
      </c>
      <c r="J99" s="218" t="s">
        <v>398</v>
      </c>
      <c r="K99" s="46">
        <v>1</v>
      </c>
      <c r="L99" s="35"/>
      <c r="O99" s="240" t="s">
        <v>398</v>
      </c>
      <c r="P99" s="38">
        <f>_11・初任</f>
        <v>0.7</v>
      </c>
      <c r="Q99" s="208">
        <f>ROUND((ROUND((ROUND((ROUND((_11_A家事０．７５*_11・基礎２),0)*_11・２人),0)*(1+_11・A夜間)),0)*_11・初任),0)</f>
        <v>120</v>
      </c>
      <c r="R99" s="48"/>
    </row>
    <row r="100" spans="1:18" ht="16.5" customHeight="1" x14ac:dyDescent="0.15">
      <c r="A100" s="41">
        <v>11</v>
      </c>
      <c r="B100" s="41">
        <v>6219</v>
      </c>
      <c r="C100" s="127" t="s">
        <v>8941</v>
      </c>
      <c r="D100" s="707" t="s">
        <v>8942</v>
      </c>
      <c r="E100" s="717"/>
      <c r="F100" s="49"/>
      <c r="G100" s="219"/>
      <c r="H100" s="50"/>
      <c r="I100" s="44"/>
      <c r="J100" s="218"/>
      <c r="K100" s="46"/>
      <c r="L100" s="35"/>
      <c r="O100" s="53"/>
      <c r="P100" s="50"/>
      <c r="Q100" s="208">
        <f>ROUND((_11_A家事１．０*(1+_11・A夜間)),0)</f>
        <v>245</v>
      </c>
      <c r="R100" s="48"/>
    </row>
    <row r="101" spans="1:18" ht="16.5" customHeight="1" x14ac:dyDescent="0.15">
      <c r="A101" s="41">
        <v>11</v>
      </c>
      <c r="B101" s="41">
        <v>6220</v>
      </c>
      <c r="C101" s="127" t="s">
        <v>8943</v>
      </c>
      <c r="D101" s="709"/>
      <c r="E101" s="718"/>
      <c r="F101" s="37"/>
      <c r="G101" s="216"/>
      <c r="H101" s="38"/>
      <c r="I101" s="44" t="s">
        <v>397</v>
      </c>
      <c r="J101" s="218" t="s">
        <v>398</v>
      </c>
      <c r="K101" s="46">
        <v>1</v>
      </c>
      <c r="L101" s="35"/>
      <c r="O101" s="35"/>
      <c r="Q101" s="208">
        <f>ROUND((ROUND((_11_A家事１．０*_11・２人),0)*(1+_11・A夜間)),0)</f>
        <v>245</v>
      </c>
      <c r="R101" s="48"/>
    </row>
    <row r="102" spans="1:18" ht="16.5" customHeight="1" x14ac:dyDescent="0.15">
      <c r="A102" s="41">
        <v>11</v>
      </c>
      <c r="B102" s="41">
        <v>6221</v>
      </c>
      <c r="C102" s="127" t="s">
        <v>8944</v>
      </c>
      <c r="D102" s="709"/>
      <c r="E102" s="718"/>
      <c r="F102" s="779" t="s">
        <v>400</v>
      </c>
      <c r="G102" s="219" t="s">
        <v>398</v>
      </c>
      <c r="H102" s="50">
        <v>0.9</v>
      </c>
      <c r="I102" s="44"/>
      <c r="J102" s="218"/>
      <c r="K102" s="46"/>
      <c r="L102" s="35"/>
      <c r="O102" s="35"/>
      <c r="Q102" s="208">
        <f>ROUND((ROUND((_11_A家事１．０*_11・基礎２),0)*(1+_11・A夜間)),0)</f>
        <v>220</v>
      </c>
      <c r="R102" s="48"/>
    </row>
    <row r="103" spans="1:18" ht="16.5" customHeight="1" x14ac:dyDescent="0.15">
      <c r="A103" s="41">
        <v>11</v>
      </c>
      <c r="B103" s="41">
        <v>6222</v>
      </c>
      <c r="C103" s="127" t="s">
        <v>8945</v>
      </c>
      <c r="D103" s="100">
        <f>_11_A家事１．０</f>
        <v>196</v>
      </c>
      <c r="E103" s="57" t="s">
        <v>392</v>
      </c>
      <c r="F103" s="780"/>
      <c r="G103" s="216"/>
      <c r="H103" s="38"/>
      <c r="I103" s="44" t="s">
        <v>397</v>
      </c>
      <c r="J103" s="218" t="s">
        <v>398</v>
      </c>
      <c r="K103" s="46">
        <v>1</v>
      </c>
      <c r="L103" s="35"/>
      <c r="O103" s="43"/>
      <c r="P103" s="38"/>
      <c r="Q103" s="208">
        <f>ROUND((ROUND((ROUND((_11_A家事１．０*_11・基礎２),0)*_11・２人),0)*(1+_11・A夜間)),0)</f>
        <v>220</v>
      </c>
      <c r="R103" s="48"/>
    </row>
    <row r="104" spans="1:18" ht="16.5" customHeight="1" x14ac:dyDescent="0.15">
      <c r="A104" s="41">
        <v>11</v>
      </c>
      <c r="B104" s="41" t="s">
        <v>8946</v>
      </c>
      <c r="C104" s="127" t="s">
        <v>8947</v>
      </c>
      <c r="D104" s="202"/>
      <c r="E104" s="57"/>
      <c r="F104" s="49"/>
      <c r="G104" s="219"/>
      <c r="H104" s="50"/>
      <c r="I104" s="44"/>
      <c r="J104" s="218"/>
      <c r="K104" s="46"/>
      <c r="L104" s="35"/>
      <c r="O104" s="707" t="s">
        <v>404</v>
      </c>
      <c r="P104" s="708"/>
      <c r="Q104" s="208">
        <f>ROUND((ROUND((_11_A家事１．０*(1+_11・A夜間)),0)*_11・初任),0)</f>
        <v>172</v>
      </c>
      <c r="R104" s="48"/>
    </row>
    <row r="105" spans="1:18" ht="16.5" customHeight="1" x14ac:dyDescent="0.15">
      <c r="A105" s="41">
        <v>11</v>
      </c>
      <c r="B105" s="41" t="s">
        <v>8948</v>
      </c>
      <c r="C105" s="127" t="s">
        <v>8949</v>
      </c>
      <c r="D105" s="202"/>
      <c r="E105" s="57"/>
      <c r="F105" s="37"/>
      <c r="G105" s="216"/>
      <c r="H105" s="38"/>
      <c r="I105" s="44" t="s">
        <v>397</v>
      </c>
      <c r="J105" s="218" t="s">
        <v>398</v>
      </c>
      <c r="K105" s="46">
        <v>1</v>
      </c>
      <c r="L105" s="35"/>
      <c r="O105" s="709"/>
      <c r="P105" s="704"/>
      <c r="Q105" s="208">
        <f>ROUND((ROUND((ROUND((_11_A家事１．０*_11・２人),0)*(1+_11・A夜間)),0)*_11・初任),0)</f>
        <v>172</v>
      </c>
      <c r="R105" s="48"/>
    </row>
    <row r="106" spans="1:18" ht="16.5" customHeight="1" x14ac:dyDescent="0.15">
      <c r="A106" s="41">
        <v>11</v>
      </c>
      <c r="B106" s="41" t="s">
        <v>8950</v>
      </c>
      <c r="C106" s="127" t="s">
        <v>8951</v>
      </c>
      <c r="D106" s="203"/>
      <c r="E106" s="57"/>
      <c r="F106" s="779" t="s">
        <v>400</v>
      </c>
      <c r="G106" s="219" t="s">
        <v>398</v>
      </c>
      <c r="H106" s="50">
        <v>0.9</v>
      </c>
      <c r="I106" s="44"/>
      <c r="J106" s="218"/>
      <c r="K106" s="46"/>
      <c r="L106" s="35"/>
      <c r="O106" s="709"/>
      <c r="P106" s="704"/>
      <c r="Q106" s="208">
        <f>ROUND((ROUND((ROUND((_11_A家事１．０*_11・基礎２),0)*(1+_11・A夜間)),0)*_11・初任),0)</f>
        <v>154</v>
      </c>
      <c r="R106" s="48"/>
    </row>
    <row r="107" spans="1:18" ht="16.5" customHeight="1" x14ac:dyDescent="0.15">
      <c r="A107" s="41">
        <v>11</v>
      </c>
      <c r="B107" s="41" t="s">
        <v>8952</v>
      </c>
      <c r="C107" s="127" t="s">
        <v>8953</v>
      </c>
      <c r="D107" s="203"/>
      <c r="E107" s="57"/>
      <c r="F107" s="780"/>
      <c r="G107" s="216"/>
      <c r="H107" s="38"/>
      <c r="I107" s="44" t="s">
        <v>397</v>
      </c>
      <c r="J107" s="218" t="s">
        <v>398</v>
      </c>
      <c r="K107" s="46">
        <v>1</v>
      </c>
      <c r="L107" s="35"/>
      <c r="O107" s="240" t="s">
        <v>398</v>
      </c>
      <c r="P107" s="38">
        <f>_11・初任</f>
        <v>0.7</v>
      </c>
      <c r="Q107" s="208">
        <f>ROUND((ROUND((ROUND((ROUND((_11_A家事１．０*_11・基礎２),0)*_11・２人),0)*(1+_11・A夜間)),0)*_11・初任),0)</f>
        <v>154</v>
      </c>
      <c r="R107" s="48"/>
    </row>
    <row r="108" spans="1:18" ht="16.5" customHeight="1" x14ac:dyDescent="0.15">
      <c r="A108" s="41">
        <v>11</v>
      </c>
      <c r="B108" s="41">
        <v>7751</v>
      </c>
      <c r="C108" s="127" t="s">
        <v>8954</v>
      </c>
      <c r="D108" s="707" t="s">
        <v>8955</v>
      </c>
      <c r="E108" s="717"/>
      <c r="F108" s="49"/>
      <c r="G108" s="219"/>
      <c r="H108" s="50"/>
      <c r="I108" s="44"/>
      <c r="J108" s="218"/>
      <c r="K108" s="46"/>
      <c r="L108" s="35"/>
      <c r="O108" s="53"/>
      <c r="P108" s="50"/>
      <c r="Q108" s="208">
        <f>ROUND((_11_A家事１．２５*(1+_11・A夜間)),0)</f>
        <v>298</v>
      </c>
      <c r="R108" s="48"/>
    </row>
    <row r="109" spans="1:18" ht="16.5" customHeight="1" x14ac:dyDescent="0.15">
      <c r="A109" s="41">
        <v>11</v>
      </c>
      <c r="B109" s="41">
        <v>7752</v>
      </c>
      <c r="C109" s="127" t="s">
        <v>8956</v>
      </c>
      <c r="D109" s="709"/>
      <c r="E109" s="718"/>
      <c r="F109" s="37"/>
      <c r="G109" s="216"/>
      <c r="H109" s="38"/>
      <c r="I109" s="44" t="s">
        <v>397</v>
      </c>
      <c r="J109" s="218" t="s">
        <v>398</v>
      </c>
      <c r="K109" s="46">
        <v>1</v>
      </c>
      <c r="L109" s="35"/>
      <c r="O109" s="35"/>
      <c r="Q109" s="208">
        <f>ROUND((ROUND((_11_A家事１．２５*_11・２人),0)*(1+_11・A夜間)),0)</f>
        <v>298</v>
      </c>
      <c r="R109" s="48"/>
    </row>
    <row r="110" spans="1:18" ht="16.5" customHeight="1" x14ac:dyDescent="0.15">
      <c r="A110" s="41">
        <v>11</v>
      </c>
      <c r="B110" s="41">
        <v>7753</v>
      </c>
      <c r="C110" s="127" t="s">
        <v>8957</v>
      </c>
      <c r="D110" s="709"/>
      <c r="E110" s="718"/>
      <c r="F110" s="779" t="s">
        <v>400</v>
      </c>
      <c r="G110" s="219" t="s">
        <v>398</v>
      </c>
      <c r="H110" s="50">
        <v>0.9</v>
      </c>
      <c r="I110" s="44"/>
      <c r="J110" s="218"/>
      <c r="K110" s="46"/>
      <c r="L110" s="35"/>
      <c r="O110" s="35"/>
      <c r="Q110" s="208">
        <f>ROUND((ROUND((_11_A家事１．２５*_11・基礎２),0)*(1+_11・A夜間)),0)</f>
        <v>268</v>
      </c>
      <c r="R110" s="48"/>
    </row>
    <row r="111" spans="1:18" ht="16.5" customHeight="1" x14ac:dyDescent="0.15">
      <c r="A111" s="41">
        <v>11</v>
      </c>
      <c r="B111" s="41">
        <v>7754</v>
      </c>
      <c r="C111" s="127" t="s">
        <v>8958</v>
      </c>
      <c r="D111" s="100">
        <f>_11_A家事１．２５</f>
        <v>238</v>
      </c>
      <c r="E111" s="57" t="s">
        <v>392</v>
      </c>
      <c r="F111" s="780"/>
      <c r="G111" s="216"/>
      <c r="H111" s="38"/>
      <c r="I111" s="44" t="s">
        <v>397</v>
      </c>
      <c r="J111" s="218" t="s">
        <v>398</v>
      </c>
      <c r="K111" s="46">
        <v>1</v>
      </c>
      <c r="L111" s="35"/>
      <c r="O111" s="43"/>
      <c r="P111" s="38"/>
      <c r="Q111" s="208">
        <f>ROUND((ROUND((ROUND((_11_A家事１．２５*_11・基礎２),0)*_11・２人),0)*(1+_11・A夜間)),0)</f>
        <v>268</v>
      </c>
      <c r="R111" s="48"/>
    </row>
    <row r="112" spans="1:18" ht="16.5" customHeight="1" x14ac:dyDescent="0.15">
      <c r="A112" s="41">
        <v>11</v>
      </c>
      <c r="B112" s="41" t="s">
        <v>8959</v>
      </c>
      <c r="C112" s="127" t="s">
        <v>8960</v>
      </c>
      <c r="D112" s="202"/>
      <c r="E112" s="57"/>
      <c r="F112" s="49"/>
      <c r="G112" s="219"/>
      <c r="H112" s="50"/>
      <c r="I112" s="44"/>
      <c r="J112" s="218"/>
      <c r="K112" s="46"/>
      <c r="L112" s="35"/>
      <c r="O112" s="707" t="s">
        <v>404</v>
      </c>
      <c r="P112" s="708"/>
      <c r="Q112" s="208">
        <f>ROUND((ROUND((_11_A家事１．２５*(1+_11・A夜間)),0)*_11・初任),0)</f>
        <v>209</v>
      </c>
      <c r="R112" s="48"/>
    </row>
    <row r="113" spans="1:18" ht="16.5" customHeight="1" x14ac:dyDescent="0.15">
      <c r="A113" s="41">
        <v>11</v>
      </c>
      <c r="B113" s="41" t="s">
        <v>8961</v>
      </c>
      <c r="C113" s="127" t="s">
        <v>8962</v>
      </c>
      <c r="D113" s="202"/>
      <c r="E113" s="57"/>
      <c r="F113" s="37"/>
      <c r="G113" s="216"/>
      <c r="H113" s="38"/>
      <c r="I113" s="44" t="s">
        <v>397</v>
      </c>
      <c r="J113" s="218" t="s">
        <v>398</v>
      </c>
      <c r="K113" s="46">
        <v>1</v>
      </c>
      <c r="L113" s="35"/>
      <c r="O113" s="709"/>
      <c r="P113" s="704"/>
      <c r="Q113" s="208">
        <f>ROUND((ROUND((ROUND((_11_A家事１．２５*_11・２人),0)*(1+_11・A夜間)),0)*_11・初任),0)</f>
        <v>209</v>
      </c>
      <c r="R113" s="48"/>
    </row>
    <row r="114" spans="1:18" ht="16.5" customHeight="1" x14ac:dyDescent="0.15">
      <c r="A114" s="41">
        <v>11</v>
      </c>
      <c r="B114" s="41" t="s">
        <v>8963</v>
      </c>
      <c r="C114" s="127" t="s">
        <v>8964</v>
      </c>
      <c r="D114" s="203"/>
      <c r="E114" s="57"/>
      <c r="F114" s="779" t="s">
        <v>400</v>
      </c>
      <c r="G114" s="219" t="s">
        <v>398</v>
      </c>
      <c r="H114" s="50">
        <v>0.9</v>
      </c>
      <c r="I114" s="44"/>
      <c r="J114" s="218"/>
      <c r="K114" s="46"/>
      <c r="L114" s="35"/>
      <c r="O114" s="709"/>
      <c r="P114" s="704"/>
      <c r="Q114" s="208">
        <f>ROUND((ROUND((ROUND((_11_A家事１．２５*_11・基礎２),0)*(1+_11・A夜間)),0)*_11・初任),0)</f>
        <v>188</v>
      </c>
      <c r="R114" s="48"/>
    </row>
    <row r="115" spans="1:18" ht="16.5" customHeight="1" x14ac:dyDescent="0.15">
      <c r="A115" s="41">
        <v>11</v>
      </c>
      <c r="B115" s="41" t="s">
        <v>8965</v>
      </c>
      <c r="C115" s="127" t="s">
        <v>8966</v>
      </c>
      <c r="D115" s="203"/>
      <c r="E115" s="57"/>
      <c r="F115" s="780"/>
      <c r="G115" s="216"/>
      <c r="H115" s="38"/>
      <c r="I115" s="44" t="s">
        <v>397</v>
      </c>
      <c r="J115" s="218" t="s">
        <v>398</v>
      </c>
      <c r="K115" s="46">
        <v>1</v>
      </c>
      <c r="L115" s="35"/>
      <c r="O115" s="240" t="s">
        <v>398</v>
      </c>
      <c r="P115" s="38">
        <f>_11・初任</f>
        <v>0.7</v>
      </c>
      <c r="Q115" s="208">
        <f>ROUND((ROUND((ROUND((ROUND((_11_A家事１．２５*_11・基礎２),0)*_11・２人),0)*(1+_11・A夜間)),0)*_11・初任),0)</f>
        <v>188</v>
      </c>
      <c r="R115" s="48"/>
    </row>
    <row r="116" spans="1:18" ht="16.5" customHeight="1" x14ac:dyDescent="0.15">
      <c r="A116" s="41">
        <v>11</v>
      </c>
      <c r="B116" s="41">
        <v>6223</v>
      </c>
      <c r="C116" s="127" t="s">
        <v>8967</v>
      </c>
      <c r="D116" s="707" t="s">
        <v>8968</v>
      </c>
      <c r="E116" s="717"/>
      <c r="F116" s="49"/>
      <c r="G116" s="219"/>
      <c r="H116" s="50"/>
      <c r="I116" s="44"/>
      <c r="J116" s="218"/>
      <c r="K116" s="46"/>
      <c r="L116" s="35"/>
      <c r="O116" s="53"/>
      <c r="P116" s="50"/>
      <c r="Q116" s="208">
        <f>ROUND((_11_A家事１．５*(1+_11・A夜間)),0)</f>
        <v>343</v>
      </c>
      <c r="R116" s="48"/>
    </row>
    <row r="117" spans="1:18" ht="16.5" customHeight="1" x14ac:dyDescent="0.15">
      <c r="A117" s="41">
        <v>11</v>
      </c>
      <c r="B117" s="41">
        <v>6224</v>
      </c>
      <c r="C117" s="127" t="s">
        <v>8969</v>
      </c>
      <c r="D117" s="709"/>
      <c r="E117" s="718"/>
      <c r="F117" s="37"/>
      <c r="G117" s="216"/>
      <c r="H117" s="38"/>
      <c r="I117" s="44" t="s">
        <v>397</v>
      </c>
      <c r="J117" s="218" t="s">
        <v>398</v>
      </c>
      <c r="K117" s="46">
        <v>1</v>
      </c>
      <c r="L117" s="35"/>
      <c r="O117" s="35"/>
      <c r="Q117" s="208">
        <f>ROUND((ROUND((_11_A家事１．５*_11・２人),0)*(1+_11・A夜間)),0)</f>
        <v>343</v>
      </c>
      <c r="R117" s="48"/>
    </row>
    <row r="118" spans="1:18" ht="16.5" customHeight="1" x14ac:dyDescent="0.15">
      <c r="A118" s="41">
        <v>11</v>
      </c>
      <c r="B118" s="41">
        <v>6225</v>
      </c>
      <c r="C118" s="127" t="s">
        <v>8970</v>
      </c>
      <c r="D118" s="709"/>
      <c r="E118" s="718"/>
      <c r="F118" s="779" t="s">
        <v>400</v>
      </c>
      <c r="G118" s="219" t="s">
        <v>398</v>
      </c>
      <c r="H118" s="50">
        <v>0.9</v>
      </c>
      <c r="I118" s="44"/>
      <c r="J118" s="218"/>
      <c r="K118" s="46"/>
      <c r="L118" s="35"/>
      <c r="O118" s="35"/>
      <c r="Q118" s="208">
        <f>ROUND((ROUND((_11_A家事１．５*_11・基礎２),0)*(1+_11・A夜間)),0)</f>
        <v>309</v>
      </c>
      <c r="R118" s="48"/>
    </row>
    <row r="119" spans="1:18" ht="16.5" customHeight="1" x14ac:dyDescent="0.15">
      <c r="A119" s="41">
        <v>11</v>
      </c>
      <c r="B119" s="41">
        <v>6226</v>
      </c>
      <c r="C119" s="127" t="s">
        <v>8971</v>
      </c>
      <c r="D119" s="100">
        <f>_11_A家事１．５</f>
        <v>274</v>
      </c>
      <c r="E119" s="57" t="s">
        <v>392</v>
      </c>
      <c r="F119" s="780"/>
      <c r="G119" s="216"/>
      <c r="H119" s="38"/>
      <c r="I119" s="44" t="s">
        <v>397</v>
      </c>
      <c r="J119" s="218" t="s">
        <v>398</v>
      </c>
      <c r="K119" s="46">
        <v>1</v>
      </c>
      <c r="L119" s="35"/>
      <c r="O119" s="43"/>
      <c r="P119" s="38"/>
      <c r="Q119" s="208">
        <f>ROUND((ROUND((ROUND((_11_A家事１．５*_11・基礎２),0)*_11・２人),0)*(1+_11・A夜間)),0)</f>
        <v>309</v>
      </c>
      <c r="R119" s="48"/>
    </row>
    <row r="120" spans="1:18" ht="16.5" customHeight="1" x14ac:dyDescent="0.15">
      <c r="A120" s="41">
        <v>11</v>
      </c>
      <c r="B120" s="41" t="s">
        <v>8972</v>
      </c>
      <c r="C120" s="127" t="s">
        <v>8973</v>
      </c>
      <c r="D120" s="202"/>
      <c r="E120" s="57"/>
      <c r="F120" s="49"/>
      <c r="G120" s="219"/>
      <c r="H120" s="50"/>
      <c r="I120" s="44"/>
      <c r="J120" s="218"/>
      <c r="K120" s="46"/>
      <c r="L120" s="35"/>
      <c r="O120" s="707" t="s">
        <v>404</v>
      </c>
      <c r="P120" s="708"/>
      <c r="Q120" s="208">
        <f>ROUND((ROUND((_11_A家事１．５*(1+_11・A夜間)),0)*_11・初任),0)</f>
        <v>240</v>
      </c>
      <c r="R120" s="48"/>
    </row>
    <row r="121" spans="1:18" ht="16.5" customHeight="1" x14ac:dyDescent="0.15">
      <c r="A121" s="41">
        <v>11</v>
      </c>
      <c r="B121" s="41" t="s">
        <v>8974</v>
      </c>
      <c r="C121" s="127" t="s">
        <v>8975</v>
      </c>
      <c r="D121" s="202"/>
      <c r="E121" s="57"/>
      <c r="F121" s="37"/>
      <c r="G121" s="216"/>
      <c r="H121" s="38"/>
      <c r="I121" s="44" t="s">
        <v>397</v>
      </c>
      <c r="J121" s="218" t="s">
        <v>398</v>
      </c>
      <c r="K121" s="46">
        <v>1</v>
      </c>
      <c r="L121" s="35"/>
      <c r="O121" s="709"/>
      <c r="P121" s="704"/>
      <c r="Q121" s="208">
        <f>ROUND((ROUND((ROUND((_11_A家事１．５*_11・２人),0)*(1+_11・A夜間)),0)*_11・初任),0)</f>
        <v>240</v>
      </c>
      <c r="R121" s="48"/>
    </row>
    <row r="122" spans="1:18" ht="16.5" customHeight="1" x14ac:dyDescent="0.15">
      <c r="A122" s="41">
        <v>11</v>
      </c>
      <c r="B122" s="41" t="s">
        <v>8976</v>
      </c>
      <c r="C122" s="127" t="s">
        <v>8977</v>
      </c>
      <c r="D122" s="203"/>
      <c r="E122" s="57"/>
      <c r="F122" s="779" t="s">
        <v>400</v>
      </c>
      <c r="G122" s="219" t="s">
        <v>398</v>
      </c>
      <c r="H122" s="50">
        <v>0.9</v>
      </c>
      <c r="I122" s="44"/>
      <c r="J122" s="218"/>
      <c r="K122" s="46"/>
      <c r="L122" s="35"/>
      <c r="O122" s="709"/>
      <c r="P122" s="704"/>
      <c r="Q122" s="208">
        <f>ROUND((ROUND((ROUND((_11_A家事１．５*_11・基礎２),0)*(1+_11・A夜間)),0)*_11・初任),0)</f>
        <v>216</v>
      </c>
      <c r="R122" s="48"/>
    </row>
    <row r="123" spans="1:18" ht="16.5" customHeight="1" x14ac:dyDescent="0.15">
      <c r="A123" s="41">
        <v>11</v>
      </c>
      <c r="B123" s="41" t="s">
        <v>8978</v>
      </c>
      <c r="C123" s="127" t="s">
        <v>8979</v>
      </c>
      <c r="D123" s="203"/>
      <c r="E123" s="57"/>
      <c r="F123" s="780"/>
      <c r="G123" s="216"/>
      <c r="H123" s="38"/>
      <c r="I123" s="44" t="s">
        <v>397</v>
      </c>
      <c r="J123" s="218" t="s">
        <v>398</v>
      </c>
      <c r="K123" s="46">
        <v>1</v>
      </c>
      <c r="L123" s="35"/>
      <c r="O123" s="240" t="s">
        <v>398</v>
      </c>
      <c r="P123" s="38">
        <f>_11・初任</f>
        <v>0.7</v>
      </c>
      <c r="Q123" s="208">
        <f>ROUND((ROUND((ROUND((ROUND((_11_A家事１．５*_11・基礎２),0)*_11・２人),0)*(1+_11・A夜間)),0)*_11・初任),0)</f>
        <v>216</v>
      </c>
      <c r="R123" s="48"/>
    </row>
    <row r="124" spans="1:18" ht="16.5" customHeight="1" x14ac:dyDescent="0.15">
      <c r="A124" s="41">
        <v>11</v>
      </c>
      <c r="B124" s="41">
        <v>7755</v>
      </c>
      <c r="C124" s="127" t="s">
        <v>8980</v>
      </c>
      <c r="D124" s="707" t="s">
        <v>8981</v>
      </c>
      <c r="E124" s="717"/>
      <c r="F124" s="49"/>
      <c r="G124" s="219"/>
      <c r="H124" s="50"/>
      <c r="I124" s="44"/>
      <c r="J124" s="218"/>
      <c r="K124" s="46"/>
      <c r="L124" s="35"/>
      <c r="O124" s="53"/>
      <c r="P124" s="50"/>
      <c r="Q124" s="208">
        <f>ROUND((_11_A家事１．７５*(1+_11・A夜間)),0)</f>
        <v>386</v>
      </c>
      <c r="R124" s="48"/>
    </row>
    <row r="125" spans="1:18" ht="16.5" customHeight="1" x14ac:dyDescent="0.15">
      <c r="A125" s="41">
        <v>11</v>
      </c>
      <c r="B125" s="41">
        <v>7756</v>
      </c>
      <c r="C125" s="127" t="s">
        <v>8982</v>
      </c>
      <c r="D125" s="709"/>
      <c r="E125" s="718"/>
      <c r="F125" s="37"/>
      <c r="G125" s="216"/>
      <c r="H125" s="38"/>
      <c r="I125" s="44" t="s">
        <v>397</v>
      </c>
      <c r="J125" s="218" t="s">
        <v>398</v>
      </c>
      <c r="K125" s="46">
        <v>1</v>
      </c>
      <c r="L125" s="35"/>
      <c r="O125" s="35"/>
      <c r="Q125" s="208">
        <f>ROUND((ROUND((_11_A家事１．７５*_11・２人),0)*(1+_11・A夜間)),0)</f>
        <v>386</v>
      </c>
      <c r="R125" s="48"/>
    </row>
    <row r="126" spans="1:18" ht="16.5" customHeight="1" x14ac:dyDescent="0.15">
      <c r="A126" s="41">
        <v>11</v>
      </c>
      <c r="B126" s="41">
        <v>7757</v>
      </c>
      <c r="C126" s="127" t="s">
        <v>8983</v>
      </c>
      <c r="D126" s="709"/>
      <c r="E126" s="718"/>
      <c r="F126" s="779" t="s">
        <v>400</v>
      </c>
      <c r="G126" s="219" t="s">
        <v>398</v>
      </c>
      <c r="H126" s="50">
        <v>0.9</v>
      </c>
      <c r="I126" s="44"/>
      <c r="J126" s="218"/>
      <c r="K126" s="46"/>
      <c r="L126" s="35"/>
      <c r="O126" s="35"/>
      <c r="Q126" s="208">
        <f>ROUND((ROUND((_11_A家事１．７５*_11・基礎２),0)*(1+_11・A夜間)),0)</f>
        <v>348</v>
      </c>
      <c r="R126" s="48"/>
    </row>
    <row r="127" spans="1:18" ht="16.5" customHeight="1" x14ac:dyDescent="0.15">
      <c r="A127" s="41">
        <v>11</v>
      </c>
      <c r="B127" s="41">
        <v>7758</v>
      </c>
      <c r="C127" s="127" t="s">
        <v>8984</v>
      </c>
      <c r="D127" s="100">
        <f>_11_A家事１．７５</f>
        <v>309</v>
      </c>
      <c r="E127" s="57" t="s">
        <v>392</v>
      </c>
      <c r="F127" s="780"/>
      <c r="G127" s="216"/>
      <c r="H127" s="38"/>
      <c r="I127" s="44" t="s">
        <v>397</v>
      </c>
      <c r="J127" s="218" t="s">
        <v>398</v>
      </c>
      <c r="K127" s="46">
        <v>1</v>
      </c>
      <c r="L127" s="35"/>
      <c r="O127" s="43"/>
      <c r="P127" s="38"/>
      <c r="Q127" s="208">
        <f>ROUND((ROUND((ROUND((_11_A家事１．７５*_11・基礎２),0)*_11・２人),0)*(1+_11・A夜間)),0)</f>
        <v>348</v>
      </c>
      <c r="R127" s="48"/>
    </row>
    <row r="128" spans="1:18" ht="16.5" customHeight="1" x14ac:dyDescent="0.15">
      <c r="A128" s="41">
        <v>11</v>
      </c>
      <c r="B128" s="41" t="s">
        <v>8985</v>
      </c>
      <c r="C128" s="127" t="s">
        <v>8986</v>
      </c>
      <c r="D128" s="202"/>
      <c r="E128" s="57"/>
      <c r="F128" s="49"/>
      <c r="G128" s="219"/>
      <c r="H128" s="50"/>
      <c r="I128" s="44"/>
      <c r="J128" s="218"/>
      <c r="K128" s="46"/>
      <c r="L128" s="35"/>
      <c r="O128" s="707" t="s">
        <v>404</v>
      </c>
      <c r="P128" s="708"/>
      <c r="Q128" s="208">
        <f>ROUND((ROUND((_11_A家事１．７５*(1+_11・A夜間)),0)*_11・初任),0)</f>
        <v>270</v>
      </c>
      <c r="R128" s="48"/>
    </row>
    <row r="129" spans="1:18" ht="16.5" customHeight="1" x14ac:dyDescent="0.15">
      <c r="A129" s="41">
        <v>11</v>
      </c>
      <c r="B129" s="41" t="s">
        <v>8987</v>
      </c>
      <c r="C129" s="127" t="s">
        <v>8988</v>
      </c>
      <c r="D129" s="202"/>
      <c r="E129" s="57"/>
      <c r="F129" s="37"/>
      <c r="G129" s="216"/>
      <c r="H129" s="38"/>
      <c r="I129" s="44" t="s">
        <v>397</v>
      </c>
      <c r="J129" s="218" t="s">
        <v>398</v>
      </c>
      <c r="K129" s="46">
        <v>1</v>
      </c>
      <c r="L129" s="35"/>
      <c r="O129" s="709"/>
      <c r="P129" s="704"/>
      <c r="Q129" s="208">
        <f>ROUND((ROUND((ROUND((_11_A家事１．７５*_11・２人),0)*(1+_11・A夜間)),0)*_11・初任),0)</f>
        <v>270</v>
      </c>
      <c r="R129" s="48"/>
    </row>
    <row r="130" spans="1:18" ht="16.5" customHeight="1" x14ac:dyDescent="0.15">
      <c r="A130" s="41">
        <v>11</v>
      </c>
      <c r="B130" s="41" t="s">
        <v>8989</v>
      </c>
      <c r="C130" s="127" t="s">
        <v>8990</v>
      </c>
      <c r="D130" s="203"/>
      <c r="E130" s="57"/>
      <c r="F130" s="779" t="s">
        <v>400</v>
      </c>
      <c r="G130" s="219" t="s">
        <v>398</v>
      </c>
      <c r="H130" s="50">
        <v>0.9</v>
      </c>
      <c r="I130" s="44"/>
      <c r="J130" s="218"/>
      <c r="K130" s="46"/>
      <c r="L130" s="35"/>
      <c r="O130" s="709"/>
      <c r="P130" s="704"/>
      <c r="Q130" s="208">
        <f>ROUND((ROUND((ROUND((_11_A家事１．７５*_11・基礎２),0)*(1+_11・A夜間)),0)*_11・初任),0)</f>
        <v>244</v>
      </c>
      <c r="R130" s="48"/>
    </row>
    <row r="131" spans="1:18" ht="16.5" customHeight="1" x14ac:dyDescent="0.15">
      <c r="A131" s="41">
        <v>11</v>
      </c>
      <c r="B131" s="41" t="s">
        <v>8991</v>
      </c>
      <c r="C131" s="127" t="s">
        <v>8992</v>
      </c>
      <c r="D131" s="203"/>
      <c r="E131" s="57"/>
      <c r="F131" s="780"/>
      <c r="G131" s="216"/>
      <c r="H131" s="38"/>
      <c r="I131" s="44" t="s">
        <v>397</v>
      </c>
      <c r="J131" s="218" t="s">
        <v>398</v>
      </c>
      <c r="K131" s="46">
        <v>1</v>
      </c>
      <c r="L131" s="35"/>
      <c r="O131" s="240" t="s">
        <v>398</v>
      </c>
      <c r="P131" s="38">
        <f>_11・初任</f>
        <v>0.7</v>
      </c>
      <c r="Q131" s="208">
        <f>ROUND((ROUND((ROUND((ROUND((_11_A家事１．７５*_11・基礎２),0)*_11・２人),0)*(1+_11・A夜間)),0)*_11・初任),0)</f>
        <v>244</v>
      </c>
      <c r="R131" s="48"/>
    </row>
    <row r="132" spans="1:18" ht="16.5" customHeight="1" x14ac:dyDescent="0.15">
      <c r="A132" s="41">
        <v>11</v>
      </c>
      <c r="B132" s="41">
        <v>6227</v>
      </c>
      <c r="C132" s="127" t="s">
        <v>8993</v>
      </c>
      <c r="D132" s="707" t="s">
        <v>8994</v>
      </c>
      <c r="E132" s="717"/>
      <c r="F132" s="49"/>
      <c r="G132" s="219"/>
      <c r="H132" s="50"/>
      <c r="I132" s="44"/>
      <c r="J132" s="218"/>
      <c r="K132" s="46"/>
      <c r="L132" s="35"/>
      <c r="O132" s="53"/>
      <c r="P132" s="50"/>
      <c r="Q132" s="208">
        <f>ROUND((_11_A家事２．０*(1+_11・A夜間)),0)</f>
        <v>430</v>
      </c>
      <c r="R132" s="48"/>
    </row>
    <row r="133" spans="1:18" ht="16.5" customHeight="1" x14ac:dyDescent="0.15">
      <c r="A133" s="41">
        <v>11</v>
      </c>
      <c r="B133" s="41">
        <v>6228</v>
      </c>
      <c r="C133" s="127" t="s">
        <v>8995</v>
      </c>
      <c r="D133" s="709"/>
      <c r="E133" s="718"/>
      <c r="F133" s="37"/>
      <c r="G133" s="216"/>
      <c r="H133" s="38"/>
      <c r="I133" s="44" t="s">
        <v>397</v>
      </c>
      <c r="J133" s="218" t="s">
        <v>398</v>
      </c>
      <c r="K133" s="46">
        <v>1</v>
      </c>
      <c r="L133" s="35"/>
      <c r="O133" s="35"/>
      <c r="Q133" s="208">
        <f>ROUND((ROUND((_11_A家事２．０*_11・２人),0)*(1+_11・A夜間)),0)</f>
        <v>430</v>
      </c>
      <c r="R133" s="48"/>
    </row>
    <row r="134" spans="1:18" ht="16.5" customHeight="1" x14ac:dyDescent="0.15">
      <c r="A134" s="41">
        <v>11</v>
      </c>
      <c r="B134" s="41">
        <v>6229</v>
      </c>
      <c r="C134" s="127" t="s">
        <v>8996</v>
      </c>
      <c r="D134" s="709"/>
      <c r="E134" s="718"/>
      <c r="F134" s="779" t="s">
        <v>400</v>
      </c>
      <c r="G134" s="219" t="s">
        <v>398</v>
      </c>
      <c r="H134" s="50">
        <v>0.9</v>
      </c>
      <c r="I134" s="44"/>
      <c r="J134" s="218"/>
      <c r="K134" s="46"/>
      <c r="L134" s="35"/>
      <c r="O134" s="35"/>
      <c r="Q134" s="208">
        <f>ROUND((ROUND((_11_A家事２．０*_11・基礎２),0)*(1+_11・A夜間)),0)</f>
        <v>388</v>
      </c>
      <c r="R134" s="48"/>
    </row>
    <row r="135" spans="1:18" ht="16.5" customHeight="1" x14ac:dyDescent="0.15">
      <c r="A135" s="41">
        <v>11</v>
      </c>
      <c r="B135" s="41">
        <v>6230</v>
      </c>
      <c r="C135" s="127" t="s">
        <v>8997</v>
      </c>
      <c r="D135" s="100">
        <f>_11_A家事２．０</f>
        <v>344</v>
      </c>
      <c r="E135" s="57" t="s">
        <v>392</v>
      </c>
      <c r="F135" s="780"/>
      <c r="G135" s="216"/>
      <c r="H135" s="38"/>
      <c r="I135" s="44" t="s">
        <v>397</v>
      </c>
      <c r="J135" s="218" t="s">
        <v>398</v>
      </c>
      <c r="K135" s="46">
        <v>1</v>
      </c>
      <c r="L135" s="35"/>
      <c r="O135" s="43"/>
      <c r="P135" s="38"/>
      <c r="Q135" s="208">
        <f>ROUND((ROUND((ROUND((_11_A家事２．０*_11・基礎２),0)*_11・２人),0)*(1+_11・A夜間)),0)</f>
        <v>388</v>
      </c>
      <c r="R135" s="48"/>
    </row>
    <row r="136" spans="1:18" ht="16.5" customHeight="1" x14ac:dyDescent="0.15">
      <c r="A136" s="41">
        <v>11</v>
      </c>
      <c r="B136" s="41" t="s">
        <v>8998</v>
      </c>
      <c r="C136" s="127" t="s">
        <v>8999</v>
      </c>
      <c r="D136" s="202"/>
      <c r="E136" s="57"/>
      <c r="F136" s="49"/>
      <c r="G136" s="219"/>
      <c r="H136" s="50"/>
      <c r="I136" s="44"/>
      <c r="J136" s="218"/>
      <c r="K136" s="46"/>
      <c r="L136" s="35"/>
      <c r="O136" s="707" t="s">
        <v>404</v>
      </c>
      <c r="P136" s="708"/>
      <c r="Q136" s="208">
        <f>ROUND((ROUND((_11_A家事２．０*(1+_11・A夜間)),0)*_11・初任),0)</f>
        <v>301</v>
      </c>
      <c r="R136" s="48"/>
    </row>
    <row r="137" spans="1:18" ht="16.5" customHeight="1" x14ac:dyDescent="0.15">
      <c r="A137" s="41">
        <v>11</v>
      </c>
      <c r="B137" s="41" t="s">
        <v>9000</v>
      </c>
      <c r="C137" s="127" t="s">
        <v>9001</v>
      </c>
      <c r="D137" s="202"/>
      <c r="E137" s="57"/>
      <c r="F137" s="37"/>
      <c r="G137" s="216"/>
      <c r="H137" s="38"/>
      <c r="I137" s="44" t="s">
        <v>397</v>
      </c>
      <c r="J137" s="218" t="s">
        <v>398</v>
      </c>
      <c r="K137" s="46">
        <v>1</v>
      </c>
      <c r="L137" s="35"/>
      <c r="O137" s="709"/>
      <c r="P137" s="704"/>
      <c r="Q137" s="208">
        <f>ROUND((ROUND((ROUND((_11_A家事２．０*_11・２人),0)*(1+_11・A夜間)),0)*_11・初任),0)</f>
        <v>301</v>
      </c>
      <c r="R137" s="48"/>
    </row>
    <row r="138" spans="1:18" ht="16.5" customHeight="1" x14ac:dyDescent="0.15">
      <c r="A138" s="41">
        <v>11</v>
      </c>
      <c r="B138" s="41" t="s">
        <v>9002</v>
      </c>
      <c r="C138" s="127" t="s">
        <v>9003</v>
      </c>
      <c r="D138" s="203"/>
      <c r="E138" s="57"/>
      <c r="F138" s="779" t="s">
        <v>400</v>
      </c>
      <c r="G138" s="219" t="s">
        <v>398</v>
      </c>
      <c r="H138" s="50">
        <v>0.9</v>
      </c>
      <c r="I138" s="44"/>
      <c r="J138" s="218"/>
      <c r="K138" s="46"/>
      <c r="L138" s="35"/>
      <c r="O138" s="709"/>
      <c r="P138" s="704"/>
      <c r="Q138" s="208">
        <f>ROUND((ROUND((ROUND((_11_A家事２．０*_11・基礎２),0)*(1+_11・A夜間)),0)*_11・初任),0)</f>
        <v>272</v>
      </c>
      <c r="R138" s="48"/>
    </row>
    <row r="139" spans="1:18" ht="16.5" customHeight="1" x14ac:dyDescent="0.15">
      <c r="A139" s="41">
        <v>11</v>
      </c>
      <c r="B139" s="41" t="s">
        <v>9004</v>
      </c>
      <c r="C139" s="127" t="s">
        <v>9005</v>
      </c>
      <c r="D139" s="203"/>
      <c r="E139" s="57"/>
      <c r="F139" s="780"/>
      <c r="G139" s="216"/>
      <c r="H139" s="38"/>
      <c r="I139" s="44" t="s">
        <v>397</v>
      </c>
      <c r="J139" s="218" t="s">
        <v>398</v>
      </c>
      <c r="K139" s="46">
        <v>1</v>
      </c>
      <c r="L139" s="35"/>
      <c r="O139" s="240" t="s">
        <v>398</v>
      </c>
      <c r="P139" s="38">
        <f>_11・初任</f>
        <v>0.7</v>
      </c>
      <c r="Q139" s="208">
        <f>ROUND((ROUND((ROUND((ROUND((_11_A家事２．０*_11・基礎２),0)*_11・２人),0)*(1+_11・A夜間)),0)*_11・初任),0)</f>
        <v>272</v>
      </c>
      <c r="R139" s="48"/>
    </row>
    <row r="140" spans="1:18" ht="16.5" customHeight="1" x14ac:dyDescent="0.15">
      <c r="A140" s="41">
        <v>11</v>
      </c>
      <c r="B140" s="41">
        <v>7759</v>
      </c>
      <c r="C140" s="127" t="s">
        <v>9006</v>
      </c>
      <c r="D140" s="707" t="s">
        <v>9007</v>
      </c>
      <c r="E140" s="717"/>
      <c r="F140" s="49"/>
      <c r="G140" s="219"/>
      <c r="H140" s="50"/>
      <c r="I140" s="44"/>
      <c r="J140" s="218"/>
      <c r="K140" s="46"/>
      <c r="L140" s="35"/>
      <c r="O140" s="53"/>
      <c r="P140" s="50"/>
      <c r="Q140" s="208">
        <f>ROUND((_11_A家事２．２５*(1+_11・A夜間)),0)</f>
        <v>474</v>
      </c>
      <c r="R140" s="48"/>
    </row>
    <row r="141" spans="1:18" ht="16.5" customHeight="1" x14ac:dyDescent="0.15">
      <c r="A141" s="41">
        <v>11</v>
      </c>
      <c r="B141" s="41">
        <v>7760</v>
      </c>
      <c r="C141" s="127" t="s">
        <v>9008</v>
      </c>
      <c r="D141" s="709"/>
      <c r="E141" s="718"/>
      <c r="F141" s="37"/>
      <c r="G141" s="216"/>
      <c r="H141" s="38"/>
      <c r="I141" s="44" t="s">
        <v>397</v>
      </c>
      <c r="J141" s="218" t="s">
        <v>398</v>
      </c>
      <c r="K141" s="46">
        <v>1</v>
      </c>
      <c r="L141" s="35"/>
      <c r="O141" s="35"/>
      <c r="Q141" s="208">
        <f>ROUND((ROUND((_11_A家事２．２５*_11・２人),0)*(1+_11・A夜間)),0)</f>
        <v>474</v>
      </c>
      <c r="R141" s="48"/>
    </row>
    <row r="142" spans="1:18" ht="16.5" customHeight="1" x14ac:dyDescent="0.15">
      <c r="A142" s="41">
        <v>11</v>
      </c>
      <c r="B142" s="41">
        <v>7761</v>
      </c>
      <c r="C142" s="127" t="s">
        <v>9009</v>
      </c>
      <c r="D142" s="709"/>
      <c r="E142" s="718"/>
      <c r="F142" s="779" t="s">
        <v>400</v>
      </c>
      <c r="G142" s="219" t="s">
        <v>398</v>
      </c>
      <c r="H142" s="50">
        <v>0.9</v>
      </c>
      <c r="I142" s="44"/>
      <c r="J142" s="218"/>
      <c r="K142" s="46"/>
      <c r="L142" s="35"/>
      <c r="O142" s="35"/>
      <c r="Q142" s="208">
        <f>ROUND((ROUND((_11_A家事２．２５*_11・基礎２),0)*(1+_11・A夜間)),0)</f>
        <v>426</v>
      </c>
      <c r="R142" s="48"/>
    </row>
    <row r="143" spans="1:18" ht="16.5" customHeight="1" x14ac:dyDescent="0.15">
      <c r="A143" s="41">
        <v>11</v>
      </c>
      <c r="B143" s="41">
        <v>7762</v>
      </c>
      <c r="C143" s="127" t="s">
        <v>9010</v>
      </c>
      <c r="D143" s="100">
        <f>_11_A家事２．２５</f>
        <v>379</v>
      </c>
      <c r="E143" s="57" t="s">
        <v>392</v>
      </c>
      <c r="F143" s="780"/>
      <c r="G143" s="216"/>
      <c r="H143" s="38"/>
      <c r="I143" s="44" t="s">
        <v>397</v>
      </c>
      <c r="J143" s="218" t="s">
        <v>398</v>
      </c>
      <c r="K143" s="46">
        <v>1</v>
      </c>
      <c r="L143" s="35"/>
      <c r="O143" s="43"/>
      <c r="P143" s="38"/>
      <c r="Q143" s="208">
        <f>ROUND((ROUND((ROUND((_11_A家事２．２５*_11・基礎２),0)*_11・２人),0)*(1+_11・A夜間)),0)</f>
        <v>426</v>
      </c>
      <c r="R143" s="48"/>
    </row>
    <row r="144" spans="1:18" ht="16.5" customHeight="1" x14ac:dyDescent="0.15">
      <c r="A144" s="41">
        <v>11</v>
      </c>
      <c r="B144" s="41" t="s">
        <v>9011</v>
      </c>
      <c r="C144" s="127" t="s">
        <v>9012</v>
      </c>
      <c r="D144" s="202"/>
      <c r="E144" s="57"/>
      <c r="F144" s="49"/>
      <c r="G144" s="219"/>
      <c r="H144" s="50"/>
      <c r="I144" s="44"/>
      <c r="J144" s="218"/>
      <c r="K144" s="46"/>
      <c r="L144" s="35"/>
      <c r="O144" s="707" t="s">
        <v>404</v>
      </c>
      <c r="P144" s="708"/>
      <c r="Q144" s="208">
        <f>ROUND((ROUND((_11_A家事２．２５*(1+_11・A夜間)),0)*_11・初任),0)</f>
        <v>332</v>
      </c>
      <c r="R144" s="48"/>
    </row>
    <row r="145" spans="1:18" ht="16.5" customHeight="1" x14ac:dyDescent="0.15">
      <c r="A145" s="41">
        <v>11</v>
      </c>
      <c r="B145" s="41" t="s">
        <v>9013</v>
      </c>
      <c r="C145" s="127" t="s">
        <v>9014</v>
      </c>
      <c r="D145" s="202"/>
      <c r="E145" s="57"/>
      <c r="F145" s="37"/>
      <c r="G145" s="216"/>
      <c r="H145" s="38"/>
      <c r="I145" s="44" t="s">
        <v>397</v>
      </c>
      <c r="J145" s="218" t="s">
        <v>398</v>
      </c>
      <c r="K145" s="46">
        <v>1</v>
      </c>
      <c r="L145" s="35"/>
      <c r="O145" s="709"/>
      <c r="P145" s="704"/>
      <c r="Q145" s="208">
        <f>ROUND((ROUND((ROUND((_11_A家事２．２５*_11・２人),0)*(1+_11・A夜間)),0)*_11・初任),0)</f>
        <v>332</v>
      </c>
      <c r="R145" s="48"/>
    </row>
    <row r="146" spans="1:18" ht="16.5" customHeight="1" x14ac:dyDescent="0.15">
      <c r="A146" s="41">
        <v>11</v>
      </c>
      <c r="B146" s="41" t="s">
        <v>9015</v>
      </c>
      <c r="C146" s="127" t="s">
        <v>9016</v>
      </c>
      <c r="D146" s="203"/>
      <c r="E146" s="57"/>
      <c r="F146" s="779" t="s">
        <v>400</v>
      </c>
      <c r="G146" s="219" t="s">
        <v>398</v>
      </c>
      <c r="H146" s="50">
        <v>0.9</v>
      </c>
      <c r="I146" s="44"/>
      <c r="J146" s="218"/>
      <c r="K146" s="46"/>
      <c r="L146" s="35"/>
      <c r="O146" s="709"/>
      <c r="P146" s="704"/>
      <c r="Q146" s="208">
        <f>ROUND((ROUND((ROUND((_11_A家事２．２５*_11・基礎２),0)*(1+_11・A夜間)),0)*_11・初任),0)</f>
        <v>298</v>
      </c>
      <c r="R146" s="48"/>
    </row>
    <row r="147" spans="1:18" ht="16.5" customHeight="1" x14ac:dyDescent="0.15">
      <c r="A147" s="41">
        <v>11</v>
      </c>
      <c r="B147" s="41" t="s">
        <v>9017</v>
      </c>
      <c r="C147" s="127" t="s">
        <v>9018</v>
      </c>
      <c r="D147" s="205"/>
      <c r="E147" s="79"/>
      <c r="F147" s="780"/>
      <c r="G147" s="216"/>
      <c r="H147" s="38"/>
      <c r="I147" s="44" t="s">
        <v>397</v>
      </c>
      <c r="J147" s="218" t="s">
        <v>398</v>
      </c>
      <c r="K147" s="46">
        <v>1</v>
      </c>
      <c r="L147" s="43"/>
      <c r="M147" s="220"/>
      <c r="N147" s="244"/>
      <c r="O147" s="240" t="s">
        <v>398</v>
      </c>
      <c r="P147" s="38">
        <f>_11・初任</f>
        <v>0.7</v>
      </c>
      <c r="Q147" s="208">
        <f>ROUND((ROUND((ROUND((ROUND((_11_A家事２．２５*_11・基礎２),0)*_11・２人),0)*(1+_11・A夜間)),0)*_11・初任),0)</f>
        <v>298</v>
      </c>
      <c r="R147" s="63"/>
    </row>
    <row r="148" spans="1:18" ht="16.5" customHeight="1" x14ac:dyDescent="0.15">
      <c r="A148" s="33">
        <v>11</v>
      </c>
      <c r="B148" s="33">
        <v>6231</v>
      </c>
      <c r="C148" s="135" t="s">
        <v>9019</v>
      </c>
      <c r="D148" s="709" t="s">
        <v>9020</v>
      </c>
      <c r="E148" s="718"/>
      <c r="G148" s="233"/>
      <c r="I148" s="36"/>
      <c r="J148" s="216"/>
      <c r="K148" s="38"/>
      <c r="L148" s="53" t="s">
        <v>743</v>
      </c>
      <c r="M148" s="245"/>
      <c r="N148" s="50"/>
      <c r="O148" s="35"/>
      <c r="Q148" s="207">
        <f>ROUND((_11_A家事２．５*(1+_11・A夜間)),0)</f>
        <v>518</v>
      </c>
      <c r="R148" s="48"/>
    </row>
    <row r="149" spans="1:18" ht="16.5" customHeight="1" x14ac:dyDescent="0.15">
      <c r="A149" s="41">
        <v>11</v>
      </c>
      <c r="B149" s="41">
        <v>6232</v>
      </c>
      <c r="C149" s="127" t="s">
        <v>9021</v>
      </c>
      <c r="D149" s="709"/>
      <c r="E149" s="718"/>
      <c r="F149" s="37"/>
      <c r="G149" s="216"/>
      <c r="H149" s="38"/>
      <c r="I149" s="44" t="s">
        <v>397</v>
      </c>
      <c r="J149" s="218" t="s">
        <v>398</v>
      </c>
      <c r="K149" s="46">
        <v>1</v>
      </c>
      <c r="L149" s="223" t="s">
        <v>398</v>
      </c>
      <c r="M149" s="13">
        <v>0.25</v>
      </c>
      <c r="N149" s="778" t="s">
        <v>676</v>
      </c>
      <c r="O149" s="35"/>
      <c r="Q149" s="208">
        <f>ROUND((ROUND((_11_A家事２．５*_11・２人),0)*(1+_11・A夜間)),0)</f>
        <v>518</v>
      </c>
      <c r="R149" s="48"/>
    </row>
    <row r="150" spans="1:18" ht="16.5" customHeight="1" x14ac:dyDescent="0.15">
      <c r="A150" s="41">
        <v>11</v>
      </c>
      <c r="B150" s="41">
        <v>6233</v>
      </c>
      <c r="C150" s="127" t="s">
        <v>9022</v>
      </c>
      <c r="D150" s="709"/>
      <c r="E150" s="718"/>
      <c r="F150" s="779" t="s">
        <v>400</v>
      </c>
      <c r="G150" s="219" t="s">
        <v>398</v>
      </c>
      <c r="H150" s="50">
        <v>0.9</v>
      </c>
      <c r="I150" s="44"/>
      <c r="J150" s="218"/>
      <c r="K150" s="46"/>
      <c r="L150" s="35"/>
      <c r="N150" s="778"/>
      <c r="O150" s="35"/>
      <c r="Q150" s="208">
        <f>ROUND((ROUND((_11_A家事２．５*_11・基礎２),0)*(1+_11・A夜間)),0)</f>
        <v>466</v>
      </c>
      <c r="R150" s="48"/>
    </row>
    <row r="151" spans="1:18" ht="16.5" customHeight="1" x14ac:dyDescent="0.15">
      <c r="A151" s="41">
        <v>11</v>
      </c>
      <c r="B151" s="41">
        <v>6234</v>
      </c>
      <c r="C151" s="127" t="s">
        <v>9023</v>
      </c>
      <c r="D151" s="100">
        <f>_11_A家事２．５</f>
        <v>414</v>
      </c>
      <c r="E151" s="57" t="s">
        <v>392</v>
      </c>
      <c r="F151" s="780"/>
      <c r="G151" s="216"/>
      <c r="H151" s="38"/>
      <c r="I151" s="44" t="s">
        <v>397</v>
      </c>
      <c r="J151" s="218" t="s">
        <v>398</v>
      </c>
      <c r="K151" s="46">
        <v>1</v>
      </c>
      <c r="L151" s="35"/>
      <c r="O151" s="43"/>
      <c r="P151" s="38"/>
      <c r="Q151" s="208">
        <f>ROUND((ROUND((ROUND((_11_A家事２．５*_11・基礎２),0)*_11・２人),0)*(1+_11・A夜間)),0)</f>
        <v>466</v>
      </c>
      <c r="R151" s="48"/>
    </row>
    <row r="152" spans="1:18" ht="16.5" customHeight="1" x14ac:dyDescent="0.15">
      <c r="A152" s="41">
        <v>11</v>
      </c>
      <c r="B152" s="41" t="s">
        <v>9024</v>
      </c>
      <c r="C152" s="127" t="s">
        <v>9025</v>
      </c>
      <c r="D152" s="202"/>
      <c r="E152" s="57"/>
      <c r="F152" s="49"/>
      <c r="G152" s="219"/>
      <c r="H152" s="50"/>
      <c r="I152" s="44"/>
      <c r="J152" s="218"/>
      <c r="K152" s="46"/>
      <c r="L152" s="35"/>
      <c r="O152" s="707" t="s">
        <v>404</v>
      </c>
      <c r="P152" s="708"/>
      <c r="Q152" s="208">
        <f>ROUND((ROUND((_11_A家事２．５*(1+_11・A夜間)),0)*_11・初任),0)</f>
        <v>363</v>
      </c>
      <c r="R152" s="48"/>
    </row>
    <row r="153" spans="1:18" ht="16.5" customHeight="1" x14ac:dyDescent="0.15">
      <c r="A153" s="41">
        <v>11</v>
      </c>
      <c r="B153" s="41" t="s">
        <v>9026</v>
      </c>
      <c r="C153" s="127" t="s">
        <v>9027</v>
      </c>
      <c r="D153" s="202"/>
      <c r="E153" s="57"/>
      <c r="F153" s="37"/>
      <c r="G153" s="216"/>
      <c r="H153" s="38"/>
      <c r="I153" s="44" t="s">
        <v>397</v>
      </c>
      <c r="J153" s="218" t="s">
        <v>398</v>
      </c>
      <c r="K153" s="46">
        <v>1</v>
      </c>
      <c r="L153" s="35"/>
      <c r="O153" s="709"/>
      <c r="P153" s="704"/>
      <c r="Q153" s="208">
        <f>ROUND((ROUND((ROUND((_11_A家事２．５*_11・２人),0)*(1+_11・A夜間)),0)*_11・初任),0)</f>
        <v>363</v>
      </c>
      <c r="R153" s="48"/>
    </row>
    <row r="154" spans="1:18" ht="16.5" customHeight="1" x14ac:dyDescent="0.15">
      <c r="A154" s="41">
        <v>11</v>
      </c>
      <c r="B154" s="41" t="s">
        <v>9028</v>
      </c>
      <c r="C154" s="127" t="s">
        <v>9029</v>
      </c>
      <c r="D154" s="203"/>
      <c r="E154" s="57"/>
      <c r="F154" s="779" t="s">
        <v>400</v>
      </c>
      <c r="G154" s="219" t="s">
        <v>398</v>
      </c>
      <c r="H154" s="50">
        <v>0.9</v>
      </c>
      <c r="I154" s="44"/>
      <c r="J154" s="218"/>
      <c r="K154" s="46"/>
      <c r="L154" s="35"/>
      <c r="O154" s="709"/>
      <c r="P154" s="704"/>
      <c r="Q154" s="208">
        <f>ROUND((ROUND((ROUND((_11_A家事２．５*_11・基礎２),0)*(1+_11・A夜間)),0)*_11・初任),0)</f>
        <v>326</v>
      </c>
      <c r="R154" s="48"/>
    </row>
    <row r="155" spans="1:18" ht="16.5" customHeight="1" x14ac:dyDescent="0.15">
      <c r="A155" s="41">
        <v>11</v>
      </c>
      <c r="B155" s="41" t="s">
        <v>9030</v>
      </c>
      <c r="C155" s="127" t="s">
        <v>9031</v>
      </c>
      <c r="D155" s="203"/>
      <c r="E155" s="57"/>
      <c r="F155" s="780"/>
      <c r="G155" s="216"/>
      <c r="H155" s="38"/>
      <c r="I155" s="44" t="s">
        <v>397</v>
      </c>
      <c r="J155" s="218" t="s">
        <v>398</v>
      </c>
      <c r="K155" s="46">
        <v>1</v>
      </c>
      <c r="L155" s="35"/>
      <c r="O155" s="240" t="s">
        <v>398</v>
      </c>
      <c r="P155" s="38">
        <f>_11・初任</f>
        <v>0.7</v>
      </c>
      <c r="Q155" s="208">
        <f>ROUND((ROUND((ROUND((ROUND((_11_A家事２．５*_11・基礎２),0)*_11・２人),0)*(1+_11・A夜間)),0)*_11・初任),0)</f>
        <v>326</v>
      </c>
      <c r="R155" s="48"/>
    </row>
    <row r="156" spans="1:18" ht="16.5" customHeight="1" x14ac:dyDescent="0.15">
      <c r="A156" s="41">
        <v>11</v>
      </c>
      <c r="B156" s="41">
        <v>7763</v>
      </c>
      <c r="C156" s="127" t="s">
        <v>9032</v>
      </c>
      <c r="D156" s="707" t="s">
        <v>9033</v>
      </c>
      <c r="E156" s="717"/>
      <c r="F156" s="49"/>
      <c r="G156" s="219"/>
      <c r="H156" s="50"/>
      <c r="I156" s="44"/>
      <c r="J156" s="218"/>
      <c r="K156" s="46"/>
      <c r="L156" s="35"/>
      <c r="O156" s="53"/>
      <c r="P156" s="50"/>
      <c r="Q156" s="208">
        <f>ROUND((_11_A家事２．７５*(1+_11・A夜間)),0)</f>
        <v>561</v>
      </c>
      <c r="R156" s="48"/>
    </row>
    <row r="157" spans="1:18" ht="16.5" customHeight="1" x14ac:dyDescent="0.15">
      <c r="A157" s="41">
        <v>11</v>
      </c>
      <c r="B157" s="41">
        <v>7764</v>
      </c>
      <c r="C157" s="127" t="s">
        <v>9034</v>
      </c>
      <c r="D157" s="709"/>
      <c r="E157" s="718"/>
      <c r="F157" s="37"/>
      <c r="G157" s="216"/>
      <c r="H157" s="38"/>
      <c r="I157" s="44" t="s">
        <v>397</v>
      </c>
      <c r="J157" s="218" t="s">
        <v>398</v>
      </c>
      <c r="K157" s="46">
        <v>1</v>
      </c>
      <c r="L157" s="35"/>
      <c r="O157" s="35"/>
      <c r="Q157" s="208">
        <f>ROUND((ROUND((_11_A家事２．７５*_11・２人),0)*(1+_11・A夜間)),0)</f>
        <v>561</v>
      </c>
      <c r="R157" s="48"/>
    </row>
    <row r="158" spans="1:18" ht="16.5" customHeight="1" x14ac:dyDescent="0.15">
      <c r="A158" s="41">
        <v>11</v>
      </c>
      <c r="B158" s="41">
        <v>7765</v>
      </c>
      <c r="C158" s="127" t="s">
        <v>9035</v>
      </c>
      <c r="D158" s="709"/>
      <c r="E158" s="718"/>
      <c r="F158" s="779" t="s">
        <v>400</v>
      </c>
      <c r="G158" s="219" t="s">
        <v>398</v>
      </c>
      <c r="H158" s="50">
        <v>0.9</v>
      </c>
      <c r="I158" s="44"/>
      <c r="J158" s="218"/>
      <c r="K158" s="46"/>
      <c r="L158" s="35"/>
      <c r="O158" s="35"/>
      <c r="Q158" s="208">
        <f>ROUND((ROUND((_11_A家事２．７５*_11・基礎２),0)*(1+_11・A夜間)),0)</f>
        <v>505</v>
      </c>
      <c r="R158" s="48"/>
    </row>
    <row r="159" spans="1:18" ht="16.5" customHeight="1" x14ac:dyDescent="0.15">
      <c r="A159" s="41">
        <v>11</v>
      </c>
      <c r="B159" s="41">
        <v>7766</v>
      </c>
      <c r="C159" s="127" t="s">
        <v>9036</v>
      </c>
      <c r="D159" s="100">
        <f>_11_A家事２．７５</f>
        <v>449</v>
      </c>
      <c r="E159" s="57" t="s">
        <v>392</v>
      </c>
      <c r="F159" s="780"/>
      <c r="G159" s="216"/>
      <c r="H159" s="38"/>
      <c r="I159" s="44" t="s">
        <v>397</v>
      </c>
      <c r="J159" s="218" t="s">
        <v>398</v>
      </c>
      <c r="K159" s="46">
        <v>1</v>
      </c>
      <c r="L159" s="35"/>
      <c r="O159" s="43"/>
      <c r="P159" s="38"/>
      <c r="Q159" s="208">
        <f>ROUND((ROUND((ROUND((_11_A家事２．７５*_11・基礎２),0)*_11・２人),0)*(1+_11・A夜間)),0)</f>
        <v>505</v>
      </c>
      <c r="R159" s="48"/>
    </row>
    <row r="160" spans="1:18" ht="16.5" customHeight="1" x14ac:dyDescent="0.15">
      <c r="A160" s="41">
        <v>11</v>
      </c>
      <c r="B160" s="41" t="s">
        <v>9037</v>
      </c>
      <c r="C160" s="127" t="s">
        <v>9038</v>
      </c>
      <c r="D160" s="202"/>
      <c r="E160" s="57"/>
      <c r="F160" s="49"/>
      <c r="G160" s="219"/>
      <c r="H160" s="50"/>
      <c r="I160" s="44"/>
      <c r="J160" s="218"/>
      <c r="K160" s="46"/>
      <c r="L160" s="35"/>
      <c r="O160" s="707" t="s">
        <v>404</v>
      </c>
      <c r="P160" s="708"/>
      <c r="Q160" s="208">
        <f>ROUND((ROUND((_11_A家事２．７５*(1+_11・A夜間)),0)*_11・初任),0)</f>
        <v>393</v>
      </c>
      <c r="R160" s="48"/>
    </row>
    <row r="161" spans="1:18" ht="16.5" customHeight="1" x14ac:dyDescent="0.15">
      <c r="A161" s="41">
        <v>11</v>
      </c>
      <c r="B161" s="41" t="s">
        <v>9039</v>
      </c>
      <c r="C161" s="127" t="s">
        <v>9040</v>
      </c>
      <c r="D161" s="202"/>
      <c r="E161" s="57"/>
      <c r="F161" s="37"/>
      <c r="G161" s="216"/>
      <c r="H161" s="38"/>
      <c r="I161" s="44" t="s">
        <v>397</v>
      </c>
      <c r="J161" s="218" t="s">
        <v>398</v>
      </c>
      <c r="K161" s="46">
        <v>1</v>
      </c>
      <c r="L161" s="35"/>
      <c r="O161" s="709"/>
      <c r="P161" s="704"/>
      <c r="Q161" s="208">
        <f>ROUND((ROUND((ROUND((_11_A家事２．７５*_11・２人),0)*(1+_11・A夜間)),0)*_11・初任),0)</f>
        <v>393</v>
      </c>
      <c r="R161" s="48"/>
    </row>
    <row r="162" spans="1:18" ht="16.5" customHeight="1" x14ac:dyDescent="0.15">
      <c r="A162" s="41">
        <v>11</v>
      </c>
      <c r="B162" s="41" t="s">
        <v>9041</v>
      </c>
      <c r="C162" s="127" t="s">
        <v>9042</v>
      </c>
      <c r="D162" s="203"/>
      <c r="E162" s="57"/>
      <c r="F162" s="779" t="s">
        <v>400</v>
      </c>
      <c r="G162" s="219" t="s">
        <v>398</v>
      </c>
      <c r="H162" s="50">
        <v>0.9</v>
      </c>
      <c r="I162" s="44"/>
      <c r="J162" s="218"/>
      <c r="K162" s="46"/>
      <c r="L162" s="35"/>
      <c r="O162" s="709"/>
      <c r="P162" s="704"/>
      <c r="Q162" s="208">
        <f>ROUND((ROUND((ROUND((_11_A家事２．７５*_11・基礎２),0)*(1+_11・A夜間)),0)*_11・初任),0)</f>
        <v>354</v>
      </c>
      <c r="R162" s="48"/>
    </row>
    <row r="163" spans="1:18" ht="16.5" customHeight="1" x14ac:dyDescent="0.15">
      <c r="A163" s="41">
        <v>11</v>
      </c>
      <c r="B163" s="41" t="s">
        <v>9043</v>
      </c>
      <c r="C163" s="127" t="s">
        <v>9044</v>
      </c>
      <c r="D163" s="203"/>
      <c r="E163" s="57"/>
      <c r="F163" s="780"/>
      <c r="G163" s="216"/>
      <c r="H163" s="38"/>
      <c r="I163" s="44" t="s">
        <v>397</v>
      </c>
      <c r="J163" s="218" t="s">
        <v>398</v>
      </c>
      <c r="K163" s="46">
        <v>1</v>
      </c>
      <c r="L163" s="35"/>
      <c r="O163" s="240" t="s">
        <v>398</v>
      </c>
      <c r="P163" s="38">
        <f>_11・初任</f>
        <v>0.7</v>
      </c>
      <c r="Q163" s="208">
        <f>ROUND((ROUND((ROUND((ROUND((_11_A家事２．７５*_11・基礎２),0)*_11・２人),0)*(1+_11・A夜間)),0)*_11・初任),0)</f>
        <v>354</v>
      </c>
      <c r="R163" s="48"/>
    </row>
    <row r="164" spans="1:18" ht="16.5" customHeight="1" x14ac:dyDescent="0.15">
      <c r="A164" s="41">
        <v>11</v>
      </c>
      <c r="B164" s="41">
        <v>6235</v>
      </c>
      <c r="C164" s="127" t="s">
        <v>9045</v>
      </c>
      <c r="D164" s="707" t="s">
        <v>9046</v>
      </c>
      <c r="E164" s="717"/>
      <c r="F164" s="49"/>
      <c r="G164" s="219"/>
      <c r="H164" s="50"/>
      <c r="I164" s="44"/>
      <c r="J164" s="218"/>
      <c r="K164" s="46"/>
      <c r="L164" s="35"/>
      <c r="O164" s="53"/>
      <c r="P164" s="50"/>
      <c r="Q164" s="208">
        <f>ROUND((_11_A家事３．０*(1+_11・A夜間)),0)</f>
        <v>605</v>
      </c>
      <c r="R164" s="48"/>
    </row>
    <row r="165" spans="1:18" ht="16.5" customHeight="1" x14ac:dyDescent="0.15">
      <c r="A165" s="41">
        <v>11</v>
      </c>
      <c r="B165" s="41">
        <v>6236</v>
      </c>
      <c r="C165" s="127" t="s">
        <v>9047</v>
      </c>
      <c r="D165" s="709"/>
      <c r="E165" s="718"/>
      <c r="F165" s="37"/>
      <c r="G165" s="216"/>
      <c r="H165" s="38"/>
      <c r="I165" s="44" t="s">
        <v>397</v>
      </c>
      <c r="J165" s="218" t="s">
        <v>398</v>
      </c>
      <c r="K165" s="46">
        <v>1</v>
      </c>
      <c r="L165" s="35"/>
      <c r="O165" s="35"/>
      <c r="Q165" s="208">
        <f>ROUND((ROUND((_11_A家事３．０*_11・２人),0)*(1+_11・A夜間)),0)</f>
        <v>605</v>
      </c>
      <c r="R165" s="48"/>
    </row>
    <row r="166" spans="1:18" ht="16.5" customHeight="1" x14ac:dyDescent="0.15">
      <c r="A166" s="41">
        <v>11</v>
      </c>
      <c r="B166" s="41">
        <v>6237</v>
      </c>
      <c r="C166" s="127" t="s">
        <v>9048</v>
      </c>
      <c r="D166" s="709"/>
      <c r="E166" s="718"/>
      <c r="F166" s="779" t="s">
        <v>400</v>
      </c>
      <c r="G166" s="219" t="s">
        <v>398</v>
      </c>
      <c r="H166" s="50">
        <v>0.9</v>
      </c>
      <c r="I166" s="44"/>
      <c r="J166" s="218"/>
      <c r="K166" s="46"/>
      <c r="L166" s="35"/>
      <c r="O166" s="35"/>
      <c r="Q166" s="208">
        <f>ROUND((ROUND((_11_A家事３．０*_11・基礎２),0)*(1+_11・A夜間)),0)</f>
        <v>545</v>
      </c>
      <c r="R166" s="48"/>
    </row>
    <row r="167" spans="1:18" ht="16.5" customHeight="1" x14ac:dyDescent="0.15">
      <c r="A167" s="41">
        <v>11</v>
      </c>
      <c r="B167" s="41">
        <v>6238</v>
      </c>
      <c r="C167" s="127" t="s">
        <v>9049</v>
      </c>
      <c r="D167" s="100">
        <f>_11_A家事３．０</f>
        <v>484</v>
      </c>
      <c r="E167" s="57" t="s">
        <v>392</v>
      </c>
      <c r="F167" s="780"/>
      <c r="G167" s="216"/>
      <c r="H167" s="38"/>
      <c r="I167" s="44" t="s">
        <v>397</v>
      </c>
      <c r="J167" s="218" t="s">
        <v>398</v>
      </c>
      <c r="K167" s="46">
        <v>1</v>
      </c>
      <c r="L167" s="35"/>
      <c r="O167" s="43"/>
      <c r="P167" s="38"/>
      <c r="Q167" s="208">
        <f>ROUND((ROUND((ROUND((_11_A家事３．０*_11・基礎２),0)*_11・２人),0)*(1+_11・A夜間)),0)</f>
        <v>545</v>
      </c>
      <c r="R167" s="48"/>
    </row>
    <row r="168" spans="1:18" ht="16.5" customHeight="1" x14ac:dyDescent="0.15">
      <c r="A168" s="41">
        <v>11</v>
      </c>
      <c r="B168" s="41" t="s">
        <v>9050</v>
      </c>
      <c r="C168" s="127" t="s">
        <v>9051</v>
      </c>
      <c r="D168" s="202"/>
      <c r="E168" s="57"/>
      <c r="F168" s="49"/>
      <c r="G168" s="219"/>
      <c r="H168" s="50"/>
      <c r="I168" s="44"/>
      <c r="J168" s="218"/>
      <c r="K168" s="46"/>
      <c r="L168" s="35"/>
      <c r="O168" s="707" t="s">
        <v>404</v>
      </c>
      <c r="P168" s="708"/>
      <c r="Q168" s="208">
        <f>ROUND((ROUND((_11_A家事３．０*(1+_11・A夜間)),0)*_11・初任),0)</f>
        <v>424</v>
      </c>
      <c r="R168" s="48"/>
    </row>
    <row r="169" spans="1:18" ht="16.5" customHeight="1" x14ac:dyDescent="0.15">
      <c r="A169" s="41">
        <v>11</v>
      </c>
      <c r="B169" s="41" t="s">
        <v>9052</v>
      </c>
      <c r="C169" s="127" t="s">
        <v>9053</v>
      </c>
      <c r="D169" s="202"/>
      <c r="E169" s="57"/>
      <c r="F169" s="37"/>
      <c r="G169" s="216"/>
      <c r="H169" s="38"/>
      <c r="I169" s="44" t="s">
        <v>397</v>
      </c>
      <c r="J169" s="218" t="s">
        <v>398</v>
      </c>
      <c r="K169" s="46">
        <v>1</v>
      </c>
      <c r="L169" s="35"/>
      <c r="O169" s="709"/>
      <c r="P169" s="704"/>
      <c r="Q169" s="208">
        <f>ROUND((ROUND((ROUND((_11_A家事３．０*_11・２人),0)*(1+_11・A夜間)),0)*_11・初任),0)</f>
        <v>424</v>
      </c>
      <c r="R169" s="48"/>
    </row>
    <row r="170" spans="1:18" ht="16.5" customHeight="1" x14ac:dyDescent="0.15">
      <c r="A170" s="41">
        <v>11</v>
      </c>
      <c r="B170" s="41" t="s">
        <v>9054</v>
      </c>
      <c r="C170" s="127" t="s">
        <v>9055</v>
      </c>
      <c r="D170" s="203"/>
      <c r="E170" s="57"/>
      <c r="F170" s="779" t="s">
        <v>400</v>
      </c>
      <c r="G170" s="219" t="s">
        <v>398</v>
      </c>
      <c r="H170" s="50">
        <v>0.9</v>
      </c>
      <c r="I170" s="44"/>
      <c r="J170" s="218"/>
      <c r="K170" s="46"/>
      <c r="L170" s="35"/>
      <c r="O170" s="709"/>
      <c r="P170" s="704"/>
      <c r="Q170" s="208">
        <f>ROUND((ROUND((ROUND((_11_A家事３．０*_11・基礎２),0)*(1+_11・A夜間)),0)*_11・初任),0)</f>
        <v>382</v>
      </c>
      <c r="R170" s="48"/>
    </row>
    <row r="171" spans="1:18" ht="16.5" customHeight="1" x14ac:dyDescent="0.15">
      <c r="A171" s="41">
        <v>11</v>
      </c>
      <c r="B171" s="41" t="s">
        <v>9056</v>
      </c>
      <c r="C171" s="127" t="s">
        <v>9057</v>
      </c>
      <c r="D171" s="203"/>
      <c r="E171" s="57"/>
      <c r="F171" s="780"/>
      <c r="G171" s="216"/>
      <c r="H171" s="38"/>
      <c r="I171" s="44" t="s">
        <v>397</v>
      </c>
      <c r="J171" s="218" t="s">
        <v>398</v>
      </c>
      <c r="K171" s="46">
        <v>1</v>
      </c>
      <c r="L171" s="35"/>
      <c r="O171" s="240" t="s">
        <v>398</v>
      </c>
      <c r="P171" s="38">
        <f>_11・初任</f>
        <v>0.7</v>
      </c>
      <c r="Q171" s="208">
        <f>ROUND((ROUND((ROUND((ROUND((_11_A家事３．０*_11・基礎２),0)*_11・２人),0)*(1+_11・A夜間)),0)*_11・初任),0)</f>
        <v>382</v>
      </c>
      <c r="R171" s="48"/>
    </row>
    <row r="172" spans="1:18" ht="16.5" customHeight="1" x14ac:dyDescent="0.15">
      <c r="A172" s="41">
        <v>11</v>
      </c>
      <c r="B172" s="41">
        <v>7767</v>
      </c>
      <c r="C172" s="127" t="s">
        <v>9058</v>
      </c>
      <c r="D172" s="707" t="s">
        <v>9059</v>
      </c>
      <c r="E172" s="717"/>
      <c r="F172" s="49"/>
      <c r="G172" s="219"/>
      <c r="H172" s="50"/>
      <c r="I172" s="44"/>
      <c r="J172" s="218"/>
      <c r="K172" s="46"/>
      <c r="L172" s="35"/>
      <c r="O172" s="53"/>
      <c r="P172" s="50"/>
      <c r="Q172" s="208">
        <f>ROUND((_11_A家事３．２５*(1+_11・A夜間)),0)</f>
        <v>649</v>
      </c>
      <c r="R172" s="48"/>
    </row>
    <row r="173" spans="1:18" ht="16.5" customHeight="1" x14ac:dyDescent="0.15">
      <c r="A173" s="41">
        <v>11</v>
      </c>
      <c r="B173" s="41">
        <v>7768</v>
      </c>
      <c r="C173" s="127" t="s">
        <v>9060</v>
      </c>
      <c r="D173" s="709"/>
      <c r="E173" s="718"/>
      <c r="F173" s="37"/>
      <c r="G173" s="216"/>
      <c r="H173" s="38"/>
      <c r="I173" s="44" t="s">
        <v>397</v>
      </c>
      <c r="J173" s="218" t="s">
        <v>398</v>
      </c>
      <c r="K173" s="46">
        <v>1</v>
      </c>
      <c r="L173" s="35"/>
      <c r="O173" s="35"/>
      <c r="Q173" s="208">
        <f>ROUND((ROUND((_11_A家事３．２５*_11・２人),0)*(1+_11・A夜間)),0)</f>
        <v>649</v>
      </c>
      <c r="R173" s="48"/>
    </row>
    <row r="174" spans="1:18" ht="16.5" customHeight="1" x14ac:dyDescent="0.15">
      <c r="A174" s="41">
        <v>11</v>
      </c>
      <c r="B174" s="41">
        <v>7769</v>
      </c>
      <c r="C174" s="127" t="s">
        <v>9061</v>
      </c>
      <c r="D174" s="709"/>
      <c r="E174" s="718"/>
      <c r="F174" s="779" t="s">
        <v>400</v>
      </c>
      <c r="G174" s="219" t="s">
        <v>398</v>
      </c>
      <c r="H174" s="50">
        <v>0.9</v>
      </c>
      <c r="I174" s="44"/>
      <c r="J174" s="218"/>
      <c r="K174" s="46"/>
      <c r="L174" s="35"/>
      <c r="O174" s="35"/>
      <c r="Q174" s="208">
        <f>ROUND((ROUND((_11_A家事３．２５*_11・基礎２),0)*(1+_11・A夜間)),0)</f>
        <v>584</v>
      </c>
      <c r="R174" s="48"/>
    </row>
    <row r="175" spans="1:18" ht="16.5" customHeight="1" x14ac:dyDescent="0.15">
      <c r="A175" s="41">
        <v>11</v>
      </c>
      <c r="B175" s="41">
        <v>7770</v>
      </c>
      <c r="C175" s="127" t="s">
        <v>9062</v>
      </c>
      <c r="D175" s="100">
        <f>_11_A家事３．２５</f>
        <v>519</v>
      </c>
      <c r="E175" s="57" t="s">
        <v>392</v>
      </c>
      <c r="F175" s="780"/>
      <c r="G175" s="216"/>
      <c r="H175" s="38"/>
      <c r="I175" s="44" t="s">
        <v>397</v>
      </c>
      <c r="J175" s="218" t="s">
        <v>398</v>
      </c>
      <c r="K175" s="46">
        <v>1</v>
      </c>
      <c r="L175" s="35"/>
      <c r="O175" s="43"/>
      <c r="P175" s="38"/>
      <c r="Q175" s="208">
        <f>ROUND((ROUND((ROUND((_11_A家事３．２５*_11・基礎２),0)*_11・２人),0)*(1+_11・A夜間)),0)</f>
        <v>584</v>
      </c>
      <c r="R175" s="48"/>
    </row>
    <row r="176" spans="1:18" ht="16.5" customHeight="1" x14ac:dyDescent="0.15">
      <c r="A176" s="41">
        <v>11</v>
      </c>
      <c r="B176" s="41" t="s">
        <v>9063</v>
      </c>
      <c r="C176" s="127" t="s">
        <v>9064</v>
      </c>
      <c r="D176" s="202"/>
      <c r="E176" s="57"/>
      <c r="F176" s="49"/>
      <c r="G176" s="219"/>
      <c r="H176" s="50"/>
      <c r="I176" s="44"/>
      <c r="J176" s="218"/>
      <c r="K176" s="46"/>
      <c r="L176" s="35"/>
      <c r="O176" s="707" t="s">
        <v>404</v>
      </c>
      <c r="P176" s="708"/>
      <c r="Q176" s="208">
        <f>ROUND((ROUND((_11_A家事３．２５*(1+_11・A夜間)),0)*_11・初任),0)</f>
        <v>454</v>
      </c>
      <c r="R176" s="48"/>
    </row>
    <row r="177" spans="1:18" ht="16.5" customHeight="1" x14ac:dyDescent="0.15">
      <c r="A177" s="41">
        <v>11</v>
      </c>
      <c r="B177" s="41" t="s">
        <v>9065</v>
      </c>
      <c r="C177" s="127" t="s">
        <v>9066</v>
      </c>
      <c r="D177" s="202"/>
      <c r="E177" s="57"/>
      <c r="F177" s="37"/>
      <c r="G177" s="216"/>
      <c r="H177" s="38"/>
      <c r="I177" s="44" t="s">
        <v>397</v>
      </c>
      <c r="J177" s="218" t="s">
        <v>398</v>
      </c>
      <c r="K177" s="46">
        <v>1</v>
      </c>
      <c r="L177" s="35"/>
      <c r="O177" s="709"/>
      <c r="P177" s="704"/>
      <c r="Q177" s="208">
        <f>ROUND((ROUND((ROUND((_11_A家事３．２５*_11・２人),0)*(1+_11・A夜間)),0)*_11・初任),0)</f>
        <v>454</v>
      </c>
      <c r="R177" s="48"/>
    </row>
    <row r="178" spans="1:18" ht="16.5" customHeight="1" x14ac:dyDescent="0.15">
      <c r="A178" s="41">
        <v>11</v>
      </c>
      <c r="B178" s="41" t="s">
        <v>9067</v>
      </c>
      <c r="C178" s="127" t="s">
        <v>9068</v>
      </c>
      <c r="D178" s="203"/>
      <c r="E178" s="57"/>
      <c r="F178" s="779" t="s">
        <v>400</v>
      </c>
      <c r="G178" s="219" t="s">
        <v>398</v>
      </c>
      <c r="H178" s="50">
        <v>0.9</v>
      </c>
      <c r="I178" s="44"/>
      <c r="J178" s="218"/>
      <c r="K178" s="46"/>
      <c r="L178" s="35"/>
      <c r="O178" s="709"/>
      <c r="P178" s="704"/>
      <c r="Q178" s="208">
        <f>ROUND((ROUND((ROUND((_11_A家事３．２５*_11・基礎２),0)*(1+_11・A夜間)),0)*_11・初任),0)</f>
        <v>409</v>
      </c>
      <c r="R178" s="48"/>
    </row>
    <row r="179" spans="1:18" ht="16.5" customHeight="1" x14ac:dyDescent="0.15">
      <c r="A179" s="41">
        <v>11</v>
      </c>
      <c r="B179" s="41" t="s">
        <v>9069</v>
      </c>
      <c r="C179" s="127" t="s">
        <v>9070</v>
      </c>
      <c r="D179" s="203"/>
      <c r="E179" s="57"/>
      <c r="F179" s="780"/>
      <c r="G179" s="216"/>
      <c r="H179" s="38"/>
      <c r="I179" s="44" t="s">
        <v>397</v>
      </c>
      <c r="J179" s="218" t="s">
        <v>398</v>
      </c>
      <c r="K179" s="46">
        <v>1</v>
      </c>
      <c r="L179" s="35"/>
      <c r="O179" s="240" t="s">
        <v>398</v>
      </c>
      <c r="P179" s="38">
        <f>_11・初任</f>
        <v>0.7</v>
      </c>
      <c r="Q179" s="208">
        <f>ROUND((ROUND((ROUND((ROUND((_11_A家事３．２５*_11・基礎２),0)*_11・２人),0)*(1+_11・A夜間)),0)*_11・初任),0)</f>
        <v>409</v>
      </c>
      <c r="R179" s="48"/>
    </row>
    <row r="180" spans="1:18" ht="16.5" customHeight="1" x14ac:dyDescent="0.15">
      <c r="A180" s="41">
        <v>11</v>
      </c>
      <c r="B180" s="41">
        <v>6239</v>
      </c>
      <c r="C180" s="127" t="s">
        <v>9071</v>
      </c>
      <c r="D180" s="707" t="s">
        <v>9072</v>
      </c>
      <c r="E180" s="717"/>
      <c r="F180" s="49"/>
      <c r="G180" s="219"/>
      <c r="H180" s="50"/>
      <c r="I180" s="44"/>
      <c r="J180" s="218"/>
      <c r="K180" s="46"/>
      <c r="L180" s="35"/>
      <c r="O180" s="53"/>
      <c r="P180" s="50"/>
      <c r="Q180" s="208">
        <f>ROUND((_11_A家事３．５*(1+_11・A夜間)),0)</f>
        <v>693</v>
      </c>
      <c r="R180" s="48"/>
    </row>
    <row r="181" spans="1:18" ht="16.5" customHeight="1" x14ac:dyDescent="0.15">
      <c r="A181" s="41">
        <v>11</v>
      </c>
      <c r="B181" s="41">
        <v>6240</v>
      </c>
      <c r="C181" s="127" t="s">
        <v>9073</v>
      </c>
      <c r="D181" s="709"/>
      <c r="E181" s="718"/>
      <c r="F181" s="37"/>
      <c r="G181" s="216"/>
      <c r="H181" s="38"/>
      <c r="I181" s="44" t="s">
        <v>397</v>
      </c>
      <c r="J181" s="218" t="s">
        <v>398</v>
      </c>
      <c r="K181" s="46">
        <v>1</v>
      </c>
      <c r="L181" s="35"/>
      <c r="O181" s="35"/>
      <c r="Q181" s="208">
        <f>ROUND((ROUND((_11_A家事３．５*_11・２人),0)*(1+_11・A夜間)),0)</f>
        <v>693</v>
      </c>
      <c r="R181" s="48"/>
    </row>
    <row r="182" spans="1:18" ht="16.5" customHeight="1" x14ac:dyDescent="0.15">
      <c r="A182" s="41">
        <v>11</v>
      </c>
      <c r="B182" s="41">
        <v>6241</v>
      </c>
      <c r="C182" s="127" t="s">
        <v>9074</v>
      </c>
      <c r="D182" s="709"/>
      <c r="E182" s="718"/>
      <c r="F182" s="779" t="s">
        <v>400</v>
      </c>
      <c r="G182" s="219" t="s">
        <v>398</v>
      </c>
      <c r="H182" s="50">
        <v>0.9</v>
      </c>
      <c r="I182" s="44"/>
      <c r="J182" s="218"/>
      <c r="K182" s="46"/>
      <c r="L182" s="35"/>
      <c r="O182" s="35"/>
      <c r="Q182" s="208">
        <f>ROUND((ROUND((_11_A家事３．５*_11・基礎２),0)*(1+_11・A夜間)),0)</f>
        <v>624</v>
      </c>
      <c r="R182" s="48"/>
    </row>
    <row r="183" spans="1:18" ht="16.5" customHeight="1" x14ac:dyDescent="0.15">
      <c r="A183" s="41">
        <v>11</v>
      </c>
      <c r="B183" s="41">
        <v>6242</v>
      </c>
      <c r="C183" s="127" t="s">
        <v>9075</v>
      </c>
      <c r="D183" s="100">
        <f>_11_A家事３．５</f>
        <v>554</v>
      </c>
      <c r="E183" s="57" t="s">
        <v>392</v>
      </c>
      <c r="F183" s="780"/>
      <c r="G183" s="216"/>
      <c r="H183" s="38"/>
      <c r="I183" s="44" t="s">
        <v>397</v>
      </c>
      <c r="J183" s="218" t="s">
        <v>398</v>
      </c>
      <c r="K183" s="46">
        <v>1</v>
      </c>
      <c r="L183" s="35"/>
      <c r="O183" s="43"/>
      <c r="P183" s="38"/>
      <c r="Q183" s="208">
        <f>ROUND((ROUND((ROUND((_11_A家事３．５*_11・基礎２),0)*_11・２人),0)*(1+_11・A夜間)),0)</f>
        <v>624</v>
      </c>
      <c r="R183" s="48"/>
    </row>
    <row r="184" spans="1:18" ht="16.5" customHeight="1" x14ac:dyDescent="0.15">
      <c r="A184" s="41">
        <v>11</v>
      </c>
      <c r="B184" s="41" t="s">
        <v>9076</v>
      </c>
      <c r="C184" s="127" t="s">
        <v>9077</v>
      </c>
      <c r="D184" s="202"/>
      <c r="E184" s="57"/>
      <c r="F184" s="49"/>
      <c r="G184" s="219"/>
      <c r="H184" s="50"/>
      <c r="I184" s="44"/>
      <c r="J184" s="218"/>
      <c r="K184" s="46"/>
      <c r="L184" s="35"/>
      <c r="O184" s="707" t="s">
        <v>404</v>
      </c>
      <c r="P184" s="708"/>
      <c r="Q184" s="208">
        <f>ROUND((ROUND((_11_A家事３．５*(1+_11・A夜間)),0)*_11・初任),0)</f>
        <v>485</v>
      </c>
      <c r="R184" s="48"/>
    </row>
    <row r="185" spans="1:18" ht="16.5" customHeight="1" x14ac:dyDescent="0.15">
      <c r="A185" s="41">
        <v>11</v>
      </c>
      <c r="B185" s="41" t="s">
        <v>9078</v>
      </c>
      <c r="C185" s="127" t="s">
        <v>9079</v>
      </c>
      <c r="D185" s="202"/>
      <c r="E185" s="57"/>
      <c r="F185" s="37"/>
      <c r="G185" s="216"/>
      <c r="H185" s="38"/>
      <c r="I185" s="44" t="s">
        <v>397</v>
      </c>
      <c r="J185" s="218" t="s">
        <v>398</v>
      </c>
      <c r="K185" s="46">
        <v>1</v>
      </c>
      <c r="L185" s="35"/>
      <c r="O185" s="709"/>
      <c r="P185" s="704"/>
      <c r="Q185" s="208">
        <f>ROUND((ROUND((ROUND((_11_A家事３．５*_11・２人),0)*(1+_11・A夜間)),0)*_11・初任),0)</f>
        <v>485</v>
      </c>
      <c r="R185" s="48"/>
    </row>
    <row r="186" spans="1:18" ht="16.5" customHeight="1" x14ac:dyDescent="0.15">
      <c r="A186" s="41">
        <v>11</v>
      </c>
      <c r="B186" s="41" t="s">
        <v>9080</v>
      </c>
      <c r="C186" s="127" t="s">
        <v>9081</v>
      </c>
      <c r="D186" s="203"/>
      <c r="E186" s="57"/>
      <c r="F186" s="779" t="s">
        <v>400</v>
      </c>
      <c r="G186" s="219" t="s">
        <v>398</v>
      </c>
      <c r="H186" s="50">
        <v>0.9</v>
      </c>
      <c r="I186" s="44"/>
      <c r="J186" s="218"/>
      <c r="K186" s="46"/>
      <c r="L186" s="35"/>
      <c r="O186" s="709"/>
      <c r="P186" s="704"/>
      <c r="Q186" s="208">
        <f>ROUND((ROUND((ROUND((_11_A家事３．５*_11・基礎２),0)*(1+_11・A夜間)),0)*_11・初任),0)</f>
        <v>437</v>
      </c>
      <c r="R186" s="48"/>
    </row>
    <row r="187" spans="1:18" ht="16.5" customHeight="1" x14ac:dyDescent="0.15">
      <c r="A187" s="41">
        <v>11</v>
      </c>
      <c r="B187" s="41" t="s">
        <v>9082</v>
      </c>
      <c r="C187" s="127" t="s">
        <v>9083</v>
      </c>
      <c r="D187" s="203"/>
      <c r="E187" s="57"/>
      <c r="F187" s="780"/>
      <c r="G187" s="216"/>
      <c r="H187" s="38"/>
      <c r="I187" s="44" t="s">
        <v>397</v>
      </c>
      <c r="J187" s="218" t="s">
        <v>398</v>
      </c>
      <c r="K187" s="46">
        <v>1</v>
      </c>
      <c r="L187" s="35"/>
      <c r="O187" s="240" t="s">
        <v>398</v>
      </c>
      <c r="P187" s="38">
        <f>_11・初任</f>
        <v>0.7</v>
      </c>
      <c r="Q187" s="208">
        <f>ROUND((ROUND((ROUND((ROUND((_11_A家事３．５*_11・基礎２),0)*_11・２人),0)*(1+_11・A夜間)),0)*_11・初任),0)</f>
        <v>437</v>
      </c>
      <c r="R187" s="48"/>
    </row>
    <row r="188" spans="1:18" ht="16.5" customHeight="1" x14ac:dyDescent="0.15">
      <c r="A188" s="41">
        <v>11</v>
      </c>
      <c r="B188" s="41">
        <v>7771</v>
      </c>
      <c r="C188" s="127" t="s">
        <v>9084</v>
      </c>
      <c r="D188" s="707" t="s">
        <v>9085</v>
      </c>
      <c r="E188" s="717"/>
      <c r="F188" s="49"/>
      <c r="G188" s="219"/>
      <c r="H188" s="50"/>
      <c r="I188" s="44"/>
      <c r="J188" s="218"/>
      <c r="K188" s="46"/>
      <c r="L188" s="35"/>
      <c r="O188" s="53"/>
      <c r="P188" s="50"/>
      <c r="Q188" s="208">
        <f>ROUND((_11_A家事３．７５*(1+_11・A夜間)),0)</f>
        <v>736</v>
      </c>
      <c r="R188" s="48"/>
    </row>
    <row r="189" spans="1:18" ht="16.5" customHeight="1" x14ac:dyDescent="0.15">
      <c r="A189" s="41">
        <v>11</v>
      </c>
      <c r="B189" s="41">
        <v>7772</v>
      </c>
      <c r="C189" s="127" t="s">
        <v>9086</v>
      </c>
      <c r="D189" s="709"/>
      <c r="E189" s="718"/>
      <c r="F189" s="37"/>
      <c r="G189" s="216"/>
      <c r="H189" s="38"/>
      <c r="I189" s="44" t="s">
        <v>397</v>
      </c>
      <c r="J189" s="218" t="s">
        <v>398</v>
      </c>
      <c r="K189" s="46">
        <v>1</v>
      </c>
      <c r="L189" s="35"/>
      <c r="O189" s="35"/>
      <c r="Q189" s="208">
        <f>ROUND((ROUND((_11_A家事３．７５*_11・２人),0)*(1+_11・A夜間)),0)</f>
        <v>736</v>
      </c>
      <c r="R189" s="48"/>
    </row>
    <row r="190" spans="1:18" ht="16.5" customHeight="1" x14ac:dyDescent="0.15">
      <c r="A190" s="41">
        <v>11</v>
      </c>
      <c r="B190" s="41">
        <v>7773</v>
      </c>
      <c r="C190" s="127" t="s">
        <v>9087</v>
      </c>
      <c r="D190" s="709"/>
      <c r="E190" s="718"/>
      <c r="F190" s="779" t="s">
        <v>400</v>
      </c>
      <c r="G190" s="219" t="s">
        <v>398</v>
      </c>
      <c r="H190" s="50">
        <v>0.9</v>
      </c>
      <c r="I190" s="44"/>
      <c r="J190" s="218"/>
      <c r="K190" s="46"/>
      <c r="L190" s="35"/>
      <c r="O190" s="35"/>
      <c r="Q190" s="208">
        <f>ROUND((ROUND((_11_A家事３．７５*_11・基礎２),0)*(1+_11・A夜間)),0)</f>
        <v>663</v>
      </c>
      <c r="R190" s="48"/>
    </row>
    <row r="191" spans="1:18" ht="16.5" customHeight="1" x14ac:dyDescent="0.15">
      <c r="A191" s="41">
        <v>11</v>
      </c>
      <c r="B191" s="41">
        <v>7774</v>
      </c>
      <c r="C191" s="127" t="s">
        <v>9088</v>
      </c>
      <c r="D191" s="100">
        <f>_11_A家事３．７５</f>
        <v>589</v>
      </c>
      <c r="E191" s="57" t="s">
        <v>392</v>
      </c>
      <c r="F191" s="780"/>
      <c r="G191" s="216"/>
      <c r="H191" s="38"/>
      <c r="I191" s="44" t="s">
        <v>397</v>
      </c>
      <c r="J191" s="218" t="s">
        <v>398</v>
      </c>
      <c r="K191" s="46">
        <v>1</v>
      </c>
      <c r="L191" s="35"/>
      <c r="O191" s="43"/>
      <c r="P191" s="38"/>
      <c r="Q191" s="208">
        <f>ROUND((ROUND((ROUND((_11_A家事３．７５*_11・基礎２),0)*_11・２人),0)*(1+_11・A夜間)),0)</f>
        <v>663</v>
      </c>
      <c r="R191" s="48"/>
    </row>
    <row r="192" spans="1:18" ht="16.5" customHeight="1" x14ac:dyDescent="0.15">
      <c r="A192" s="41">
        <v>11</v>
      </c>
      <c r="B192" s="41" t="s">
        <v>9089</v>
      </c>
      <c r="C192" s="127" t="s">
        <v>9090</v>
      </c>
      <c r="D192" s="202"/>
      <c r="E192" s="57"/>
      <c r="F192" s="49"/>
      <c r="G192" s="219"/>
      <c r="H192" s="50"/>
      <c r="I192" s="44"/>
      <c r="J192" s="218"/>
      <c r="K192" s="46"/>
      <c r="L192" s="35"/>
      <c r="O192" s="707" t="s">
        <v>404</v>
      </c>
      <c r="P192" s="708"/>
      <c r="Q192" s="208">
        <f>ROUND((ROUND((_11_A家事３．７５*(1+_11・A夜間)),0)*_11・初任),0)</f>
        <v>515</v>
      </c>
      <c r="R192" s="48"/>
    </row>
    <row r="193" spans="1:18" ht="16.5" customHeight="1" x14ac:dyDescent="0.15">
      <c r="A193" s="41">
        <v>11</v>
      </c>
      <c r="B193" s="41" t="s">
        <v>9091</v>
      </c>
      <c r="C193" s="127" t="s">
        <v>9092</v>
      </c>
      <c r="D193" s="202"/>
      <c r="E193" s="57"/>
      <c r="F193" s="37"/>
      <c r="G193" s="216"/>
      <c r="H193" s="38"/>
      <c r="I193" s="44" t="s">
        <v>397</v>
      </c>
      <c r="J193" s="218" t="s">
        <v>398</v>
      </c>
      <c r="K193" s="46">
        <v>1</v>
      </c>
      <c r="L193" s="35"/>
      <c r="O193" s="709"/>
      <c r="P193" s="704"/>
      <c r="Q193" s="208">
        <f>ROUND((ROUND((ROUND((_11_A家事３．７５*_11・２人),0)*(1+_11・A夜間)),0)*_11・初任),0)</f>
        <v>515</v>
      </c>
      <c r="R193" s="48"/>
    </row>
    <row r="194" spans="1:18" ht="16.5" customHeight="1" x14ac:dyDescent="0.15">
      <c r="A194" s="41">
        <v>11</v>
      </c>
      <c r="B194" s="41" t="s">
        <v>9093</v>
      </c>
      <c r="C194" s="127" t="s">
        <v>9094</v>
      </c>
      <c r="D194" s="203"/>
      <c r="E194" s="57"/>
      <c r="F194" s="779" t="s">
        <v>400</v>
      </c>
      <c r="G194" s="219" t="s">
        <v>398</v>
      </c>
      <c r="H194" s="50">
        <v>0.9</v>
      </c>
      <c r="I194" s="44"/>
      <c r="J194" s="218"/>
      <c r="K194" s="46"/>
      <c r="L194" s="35"/>
      <c r="O194" s="709"/>
      <c r="P194" s="704"/>
      <c r="Q194" s="208">
        <f>ROUND((ROUND((ROUND((_11_A家事３．７５*_11・基礎２),0)*(1+_11・A夜間)),0)*_11・初任),0)</f>
        <v>464</v>
      </c>
      <c r="R194" s="48"/>
    </row>
    <row r="195" spans="1:18" ht="16.5" customHeight="1" x14ac:dyDescent="0.15">
      <c r="A195" s="41">
        <v>11</v>
      </c>
      <c r="B195" s="41" t="s">
        <v>9095</v>
      </c>
      <c r="C195" s="127" t="s">
        <v>9096</v>
      </c>
      <c r="D195" s="203"/>
      <c r="E195" s="57"/>
      <c r="F195" s="780"/>
      <c r="G195" s="216"/>
      <c r="H195" s="38"/>
      <c r="I195" s="44" t="s">
        <v>397</v>
      </c>
      <c r="J195" s="218" t="s">
        <v>398</v>
      </c>
      <c r="K195" s="46">
        <v>1</v>
      </c>
      <c r="L195" s="35"/>
      <c r="O195" s="240" t="s">
        <v>398</v>
      </c>
      <c r="P195" s="38">
        <f>_11・初任</f>
        <v>0.7</v>
      </c>
      <c r="Q195" s="208">
        <f>ROUND((ROUND((ROUND((ROUND((_11_A家事３．７５*_11・基礎２),0)*_11・２人),0)*(1+_11・A夜間)),0)*_11・初任),0)</f>
        <v>464</v>
      </c>
      <c r="R195" s="48"/>
    </row>
    <row r="196" spans="1:18" ht="16.5" customHeight="1" x14ac:dyDescent="0.15">
      <c r="A196" s="41">
        <v>11</v>
      </c>
      <c r="B196" s="41">
        <v>6243</v>
      </c>
      <c r="C196" s="127" t="s">
        <v>9097</v>
      </c>
      <c r="D196" s="707" t="s">
        <v>9098</v>
      </c>
      <c r="E196" s="717"/>
      <c r="F196" s="49"/>
      <c r="G196" s="219"/>
      <c r="H196" s="50"/>
      <c r="I196" s="44"/>
      <c r="J196" s="218"/>
      <c r="K196" s="46"/>
      <c r="L196" s="35"/>
      <c r="O196" s="53"/>
      <c r="P196" s="50"/>
      <c r="Q196" s="208">
        <f>ROUND((_11_A家事４．０*(1+_11・A夜間)),0)</f>
        <v>780</v>
      </c>
      <c r="R196" s="48"/>
    </row>
    <row r="197" spans="1:18" ht="16.5" customHeight="1" x14ac:dyDescent="0.15">
      <c r="A197" s="41">
        <v>11</v>
      </c>
      <c r="B197" s="41">
        <v>6244</v>
      </c>
      <c r="C197" s="127" t="s">
        <v>9099</v>
      </c>
      <c r="D197" s="709"/>
      <c r="E197" s="718"/>
      <c r="F197" s="37"/>
      <c r="G197" s="216"/>
      <c r="H197" s="38"/>
      <c r="I197" s="44" t="s">
        <v>397</v>
      </c>
      <c r="J197" s="218" t="s">
        <v>398</v>
      </c>
      <c r="K197" s="46">
        <v>1</v>
      </c>
      <c r="L197" s="35"/>
      <c r="O197" s="35"/>
      <c r="Q197" s="208">
        <f>ROUND((ROUND((_11_A家事４．０*_11・２人),0)*(1+_11・A夜間)),0)</f>
        <v>780</v>
      </c>
      <c r="R197" s="48"/>
    </row>
    <row r="198" spans="1:18" ht="16.5" customHeight="1" x14ac:dyDescent="0.15">
      <c r="A198" s="41">
        <v>11</v>
      </c>
      <c r="B198" s="41">
        <v>6245</v>
      </c>
      <c r="C198" s="127" t="s">
        <v>9100</v>
      </c>
      <c r="D198" s="709"/>
      <c r="E198" s="718"/>
      <c r="F198" s="779" t="s">
        <v>400</v>
      </c>
      <c r="G198" s="219" t="s">
        <v>398</v>
      </c>
      <c r="H198" s="50">
        <v>0.9</v>
      </c>
      <c r="I198" s="44"/>
      <c r="J198" s="218"/>
      <c r="K198" s="46"/>
      <c r="L198" s="35"/>
      <c r="O198" s="35"/>
      <c r="Q198" s="208">
        <f>ROUND((ROUND((_11_A家事４．０*_11・基礎２),0)*(1+_11・A夜間)),0)</f>
        <v>703</v>
      </c>
      <c r="R198" s="48"/>
    </row>
    <row r="199" spans="1:18" ht="16.5" customHeight="1" x14ac:dyDescent="0.15">
      <c r="A199" s="41">
        <v>11</v>
      </c>
      <c r="B199" s="41">
        <v>6246</v>
      </c>
      <c r="C199" s="127" t="s">
        <v>9101</v>
      </c>
      <c r="D199" s="100">
        <f>_11_A家事４．０</f>
        <v>624</v>
      </c>
      <c r="E199" s="57" t="s">
        <v>392</v>
      </c>
      <c r="F199" s="780"/>
      <c r="G199" s="216"/>
      <c r="H199" s="38"/>
      <c r="I199" s="44" t="s">
        <v>397</v>
      </c>
      <c r="J199" s="218" t="s">
        <v>398</v>
      </c>
      <c r="K199" s="46">
        <v>1</v>
      </c>
      <c r="L199" s="35"/>
      <c r="O199" s="43"/>
      <c r="P199" s="38"/>
      <c r="Q199" s="208">
        <f>ROUND((ROUND((ROUND((_11_A家事４．０*_11・基礎２),0)*_11・２人),0)*(1+_11・A夜間)),0)</f>
        <v>703</v>
      </c>
      <c r="R199" s="48"/>
    </row>
    <row r="200" spans="1:18" ht="16.5" customHeight="1" x14ac:dyDescent="0.15">
      <c r="A200" s="41">
        <v>11</v>
      </c>
      <c r="B200" s="41" t="s">
        <v>9102</v>
      </c>
      <c r="C200" s="127" t="s">
        <v>9103</v>
      </c>
      <c r="D200" s="202"/>
      <c r="E200" s="57"/>
      <c r="F200" s="49"/>
      <c r="G200" s="219"/>
      <c r="H200" s="50"/>
      <c r="I200" s="44"/>
      <c r="J200" s="218"/>
      <c r="K200" s="46"/>
      <c r="L200" s="35"/>
      <c r="O200" s="707" t="s">
        <v>404</v>
      </c>
      <c r="P200" s="708"/>
      <c r="Q200" s="208">
        <f>ROUND((ROUND((_11_A家事４．０*(1+_11・A夜間)),0)*_11・初任),0)</f>
        <v>546</v>
      </c>
      <c r="R200" s="48"/>
    </row>
    <row r="201" spans="1:18" ht="16.5" customHeight="1" x14ac:dyDescent="0.15">
      <c r="A201" s="41">
        <v>11</v>
      </c>
      <c r="B201" s="41" t="s">
        <v>9104</v>
      </c>
      <c r="C201" s="127" t="s">
        <v>9105</v>
      </c>
      <c r="D201" s="202"/>
      <c r="E201" s="57"/>
      <c r="F201" s="37"/>
      <c r="G201" s="216"/>
      <c r="H201" s="38"/>
      <c r="I201" s="44" t="s">
        <v>397</v>
      </c>
      <c r="J201" s="218" t="s">
        <v>398</v>
      </c>
      <c r="K201" s="46">
        <v>1</v>
      </c>
      <c r="L201" s="35"/>
      <c r="O201" s="709"/>
      <c r="P201" s="704"/>
      <c r="Q201" s="208">
        <f>ROUND((ROUND((ROUND((_11_A家事４．０*_11・２人),0)*(1+_11・A夜間)),0)*_11・初任),0)</f>
        <v>546</v>
      </c>
      <c r="R201" s="48"/>
    </row>
    <row r="202" spans="1:18" ht="16.5" customHeight="1" x14ac:dyDescent="0.15">
      <c r="A202" s="41">
        <v>11</v>
      </c>
      <c r="B202" s="41" t="s">
        <v>9106</v>
      </c>
      <c r="C202" s="127" t="s">
        <v>9107</v>
      </c>
      <c r="D202" s="203"/>
      <c r="E202" s="57"/>
      <c r="F202" s="779" t="s">
        <v>400</v>
      </c>
      <c r="G202" s="219" t="s">
        <v>398</v>
      </c>
      <c r="H202" s="50">
        <v>0.9</v>
      </c>
      <c r="I202" s="44"/>
      <c r="J202" s="218"/>
      <c r="K202" s="46"/>
      <c r="L202" s="35"/>
      <c r="O202" s="709"/>
      <c r="P202" s="704"/>
      <c r="Q202" s="208">
        <f>ROUND((ROUND((ROUND((_11_A家事４．０*_11・基礎２),0)*(1+_11・A夜間)),0)*_11・初任),0)</f>
        <v>492</v>
      </c>
      <c r="R202" s="48"/>
    </row>
    <row r="203" spans="1:18" ht="16.5" customHeight="1" x14ac:dyDescent="0.15">
      <c r="A203" s="41">
        <v>11</v>
      </c>
      <c r="B203" s="41" t="s">
        <v>9108</v>
      </c>
      <c r="C203" s="127" t="s">
        <v>9109</v>
      </c>
      <c r="D203" s="203"/>
      <c r="E203" s="57"/>
      <c r="F203" s="780"/>
      <c r="G203" s="216"/>
      <c r="H203" s="38"/>
      <c r="I203" s="44" t="s">
        <v>397</v>
      </c>
      <c r="J203" s="218" t="s">
        <v>398</v>
      </c>
      <c r="K203" s="46">
        <v>1</v>
      </c>
      <c r="L203" s="35"/>
      <c r="O203" s="240" t="s">
        <v>398</v>
      </c>
      <c r="P203" s="38">
        <f>_11・初任</f>
        <v>0.7</v>
      </c>
      <c r="Q203" s="208">
        <f>ROUND((ROUND((ROUND((ROUND((_11_A家事４．０*_11・基礎２),0)*_11・２人),0)*(1+_11・A夜間)),0)*_11・初任),0)</f>
        <v>492</v>
      </c>
      <c r="R203" s="48"/>
    </row>
    <row r="204" spans="1:18" ht="16.5" customHeight="1" x14ac:dyDescent="0.15">
      <c r="A204" s="41">
        <v>11</v>
      </c>
      <c r="B204" s="41">
        <v>7775</v>
      </c>
      <c r="C204" s="127" t="s">
        <v>9110</v>
      </c>
      <c r="D204" s="707" t="s">
        <v>9111</v>
      </c>
      <c r="E204" s="717"/>
      <c r="F204" s="49"/>
      <c r="G204" s="219"/>
      <c r="H204" s="50"/>
      <c r="I204" s="44"/>
      <c r="J204" s="218"/>
      <c r="K204" s="46"/>
      <c r="L204" s="35"/>
      <c r="O204" s="53"/>
      <c r="P204" s="50"/>
      <c r="Q204" s="208">
        <f>ROUND((_11_A家事４．２５*(1+_11・A夜間)),0)</f>
        <v>824</v>
      </c>
      <c r="R204" s="48"/>
    </row>
    <row r="205" spans="1:18" ht="16.5" customHeight="1" x14ac:dyDescent="0.15">
      <c r="A205" s="41">
        <v>11</v>
      </c>
      <c r="B205" s="41">
        <v>7776</v>
      </c>
      <c r="C205" s="127" t="s">
        <v>9112</v>
      </c>
      <c r="D205" s="709"/>
      <c r="E205" s="718"/>
      <c r="F205" s="37"/>
      <c r="G205" s="216"/>
      <c r="H205" s="38"/>
      <c r="I205" s="44" t="s">
        <v>397</v>
      </c>
      <c r="J205" s="218" t="s">
        <v>398</v>
      </c>
      <c r="K205" s="46">
        <v>1</v>
      </c>
      <c r="L205" s="35"/>
      <c r="O205" s="35"/>
      <c r="Q205" s="208">
        <f>ROUND((ROUND((_11_A家事４．２５*_11・２人),0)*(1+_11・A夜間)),0)</f>
        <v>824</v>
      </c>
      <c r="R205" s="48"/>
    </row>
    <row r="206" spans="1:18" ht="16.5" customHeight="1" x14ac:dyDescent="0.15">
      <c r="A206" s="41">
        <v>11</v>
      </c>
      <c r="B206" s="41">
        <v>7777</v>
      </c>
      <c r="C206" s="127" t="s">
        <v>9113</v>
      </c>
      <c r="D206" s="709"/>
      <c r="E206" s="718"/>
      <c r="F206" s="779" t="s">
        <v>400</v>
      </c>
      <c r="G206" s="219" t="s">
        <v>398</v>
      </c>
      <c r="H206" s="50">
        <v>0.9</v>
      </c>
      <c r="I206" s="44"/>
      <c r="J206" s="218"/>
      <c r="K206" s="46"/>
      <c r="L206" s="35"/>
      <c r="O206" s="35"/>
      <c r="Q206" s="208">
        <f>ROUND((ROUND((_11_A家事４．２５*_11・基礎２),0)*(1+_11・A夜間)),0)</f>
        <v>741</v>
      </c>
      <c r="R206" s="48"/>
    </row>
    <row r="207" spans="1:18" ht="16.5" customHeight="1" x14ac:dyDescent="0.15">
      <c r="A207" s="41">
        <v>11</v>
      </c>
      <c r="B207" s="41">
        <v>7778</v>
      </c>
      <c r="C207" s="127" t="s">
        <v>9114</v>
      </c>
      <c r="D207" s="100">
        <f>_11_A家事４．２５</f>
        <v>659</v>
      </c>
      <c r="E207" s="57" t="s">
        <v>392</v>
      </c>
      <c r="F207" s="780"/>
      <c r="G207" s="216"/>
      <c r="H207" s="38"/>
      <c r="I207" s="44" t="s">
        <v>397</v>
      </c>
      <c r="J207" s="218" t="s">
        <v>398</v>
      </c>
      <c r="K207" s="46">
        <v>1</v>
      </c>
      <c r="L207" s="35"/>
      <c r="O207" s="43"/>
      <c r="P207" s="38"/>
      <c r="Q207" s="208">
        <f>ROUND((ROUND((ROUND((_11_A家事４．２５*_11・基礎２),0)*_11・２人),0)*(1+_11・A夜間)),0)</f>
        <v>741</v>
      </c>
      <c r="R207" s="48"/>
    </row>
    <row r="208" spans="1:18" ht="16.5" customHeight="1" x14ac:dyDescent="0.15">
      <c r="A208" s="41">
        <v>11</v>
      </c>
      <c r="B208" s="41" t="s">
        <v>9115</v>
      </c>
      <c r="C208" s="127" t="s">
        <v>9116</v>
      </c>
      <c r="D208" s="202"/>
      <c r="E208" s="57"/>
      <c r="F208" s="49"/>
      <c r="G208" s="219"/>
      <c r="H208" s="50"/>
      <c r="I208" s="44"/>
      <c r="J208" s="218"/>
      <c r="K208" s="46"/>
      <c r="L208" s="35"/>
      <c r="O208" s="707" t="s">
        <v>404</v>
      </c>
      <c r="P208" s="708"/>
      <c r="Q208" s="208">
        <f>ROUND((ROUND((_11_A家事４．２５*(1+_11・A夜間)),0)*_11・初任),0)</f>
        <v>577</v>
      </c>
      <c r="R208" s="48"/>
    </row>
    <row r="209" spans="1:18" ht="16.5" customHeight="1" x14ac:dyDescent="0.15">
      <c r="A209" s="41">
        <v>11</v>
      </c>
      <c r="B209" s="41" t="s">
        <v>9117</v>
      </c>
      <c r="C209" s="127" t="s">
        <v>9118</v>
      </c>
      <c r="D209" s="202"/>
      <c r="E209" s="57"/>
      <c r="F209" s="37"/>
      <c r="G209" s="216"/>
      <c r="H209" s="38"/>
      <c r="I209" s="44" t="s">
        <v>397</v>
      </c>
      <c r="J209" s="218" t="s">
        <v>398</v>
      </c>
      <c r="K209" s="46">
        <v>1</v>
      </c>
      <c r="L209" s="35"/>
      <c r="O209" s="709"/>
      <c r="P209" s="704"/>
      <c r="Q209" s="208">
        <f>ROUND((ROUND((ROUND((_11_A家事４．２５*_11・２人),0)*(1+_11・A夜間)),0)*_11・初任),0)</f>
        <v>577</v>
      </c>
      <c r="R209" s="48"/>
    </row>
    <row r="210" spans="1:18" ht="16.5" customHeight="1" x14ac:dyDescent="0.15">
      <c r="A210" s="41">
        <v>11</v>
      </c>
      <c r="B210" s="41" t="s">
        <v>9119</v>
      </c>
      <c r="C210" s="127" t="s">
        <v>9120</v>
      </c>
      <c r="D210" s="203"/>
      <c r="E210" s="57"/>
      <c r="F210" s="779" t="s">
        <v>400</v>
      </c>
      <c r="G210" s="219" t="s">
        <v>398</v>
      </c>
      <c r="H210" s="50">
        <v>0.9</v>
      </c>
      <c r="I210" s="44"/>
      <c r="J210" s="218"/>
      <c r="K210" s="46"/>
      <c r="L210" s="35"/>
      <c r="O210" s="709"/>
      <c r="P210" s="704"/>
      <c r="Q210" s="208">
        <f>ROUND((ROUND((ROUND((_11_A家事４．２５*_11・基礎２),0)*(1+_11・A夜間)),0)*_11・初任),0)</f>
        <v>519</v>
      </c>
      <c r="R210" s="48"/>
    </row>
    <row r="211" spans="1:18" ht="16.5" customHeight="1" x14ac:dyDescent="0.15">
      <c r="A211" s="41">
        <v>11</v>
      </c>
      <c r="B211" s="41" t="s">
        <v>9121</v>
      </c>
      <c r="C211" s="127" t="s">
        <v>9122</v>
      </c>
      <c r="D211" s="203"/>
      <c r="E211" s="57"/>
      <c r="F211" s="780"/>
      <c r="G211" s="216"/>
      <c r="H211" s="38"/>
      <c r="I211" s="44" t="s">
        <v>397</v>
      </c>
      <c r="J211" s="218" t="s">
        <v>398</v>
      </c>
      <c r="K211" s="46">
        <v>1</v>
      </c>
      <c r="L211" s="35"/>
      <c r="O211" s="240" t="s">
        <v>398</v>
      </c>
      <c r="P211" s="38">
        <f>_11・初任</f>
        <v>0.7</v>
      </c>
      <c r="Q211" s="208">
        <f>ROUND((ROUND((ROUND((ROUND((_11_A家事４．２５*_11・基礎２),0)*_11・２人),0)*(1+_11・A夜間)),0)*_11・初任),0)</f>
        <v>519</v>
      </c>
      <c r="R211" s="48"/>
    </row>
    <row r="212" spans="1:18" ht="16.5" customHeight="1" x14ac:dyDescent="0.15">
      <c r="A212" s="41">
        <v>11</v>
      </c>
      <c r="B212" s="41">
        <v>6247</v>
      </c>
      <c r="C212" s="127" t="s">
        <v>9123</v>
      </c>
      <c r="D212" s="707" t="s">
        <v>9124</v>
      </c>
      <c r="E212" s="717"/>
      <c r="F212" s="49"/>
      <c r="G212" s="219"/>
      <c r="H212" s="50"/>
      <c r="I212" s="44"/>
      <c r="J212" s="218"/>
      <c r="K212" s="46"/>
      <c r="L212" s="35"/>
      <c r="O212" s="53"/>
      <c r="P212" s="50"/>
      <c r="Q212" s="208">
        <f>ROUND((_11_A家事４．５*(1+_11・A夜間)),0)</f>
        <v>868</v>
      </c>
      <c r="R212" s="48"/>
    </row>
    <row r="213" spans="1:18" ht="16.5" customHeight="1" x14ac:dyDescent="0.15">
      <c r="A213" s="41">
        <v>11</v>
      </c>
      <c r="B213" s="41">
        <v>6248</v>
      </c>
      <c r="C213" s="127" t="s">
        <v>9125</v>
      </c>
      <c r="D213" s="709"/>
      <c r="E213" s="718"/>
      <c r="F213" s="37"/>
      <c r="G213" s="216"/>
      <c r="H213" s="38"/>
      <c r="I213" s="44" t="s">
        <v>397</v>
      </c>
      <c r="J213" s="218" t="s">
        <v>398</v>
      </c>
      <c r="K213" s="46">
        <v>1</v>
      </c>
      <c r="L213" s="35"/>
      <c r="O213" s="35"/>
      <c r="Q213" s="208">
        <f>ROUND((ROUND((_11_A家事４．５*_11・２人),0)*(1+_11・A夜間)),0)</f>
        <v>868</v>
      </c>
      <c r="R213" s="48"/>
    </row>
    <row r="214" spans="1:18" ht="16.5" customHeight="1" x14ac:dyDescent="0.15">
      <c r="A214" s="41">
        <v>11</v>
      </c>
      <c r="B214" s="41">
        <v>6249</v>
      </c>
      <c r="C214" s="127" t="s">
        <v>9126</v>
      </c>
      <c r="D214" s="709"/>
      <c r="E214" s="718"/>
      <c r="F214" s="779" t="s">
        <v>400</v>
      </c>
      <c r="G214" s="219" t="s">
        <v>398</v>
      </c>
      <c r="H214" s="50">
        <v>0.9</v>
      </c>
      <c r="I214" s="44"/>
      <c r="J214" s="218"/>
      <c r="K214" s="46"/>
      <c r="L214" s="35"/>
      <c r="O214" s="35"/>
      <c r="Q214" s="208">
        <f>ROUND((ROUND((_11_A家事４．５*_11・基礎２),0)*(1+_11・A夜間)),0)</f>
        <v>781</v>
      </c>
      <c r="R214" s="48"/>
    </row>
    <row r="215" spans="1:18" ht="16.5" customHeight="1" x14ac:dyDescent="0.15">
      <c r="A215" s="41">
        <v>11</v>
      </c>
      <c r="B215" s="41">
        <v>6250</v>
      </c>
      <c r="C215" s="127" t="s">
        <v>9127</v>
      </c>
      <c r="D215" s="100">
        <f>_11_A家事４．５</f>
        <v>694</v>
      </c>
      <c r="E215" s="57" t="s">
        <v>392</v>
      </c>
      <c r="F215" s="780"/>
      <c r="G215" s="216"/>
      <c r="H215" s="38"/>
      <c r="I215" s="44" t="s">
        <v>397</v>
      </c>
      <c r="J215" s="218" t="s">
        <v>398</v>
      </c>
      <c r="K215" s="46">
        <v>1</v>
      </c>
      <c r="L215" s="35"/>
      <c r="O215" s="43"/>
      <c r="P215" s="38"/>
      <c r="Q215" s="208">
        <f>ROUND((ROUND((ROUND((_11_A家事４．５*_11・基礎２),0)*_11・２人),0)*(1+_11・A夜間)),0)</f>
        <v>781</v>
      </c>
      <c r="R215" s="48"/>
    </row>
    <row r="216" spans="1:18" ht="16.5" customHeight="1" x14ac:dyDescent="0.15">
      <c r="A216" s="41">
        <v>11</v>
      </c>
      <c r="B216" s="41" t="s">
        <v>9128</v>
      </c>
      <c r="C216" s="127" t="s">
        <v>9129</v>
      </c>
      <c r="D216" s="202"/>
      <c r="E216" s="57"/>
      <c r="F216" s="49"/>
      <c r="G216" s="219"/>
      <c r="H216" s="50"/>
      <c r="I216" s="44"/>
      <c r="J216" s="218"/>
      <c r="K216" s="46"/>
      <c r="L216" s="35"/>
      <c r="O216" s="707" t="s">
        <v>404</v>
      </c>
      <c r="P216" s="708"/>
      <c r="Q216" s="208">
        <f>ROUND((ROUND((_11_A家事４．５*(1+_11・A夜間)),0)*_11・初任),0)</f>
        <v>608</v>
      </c>
      <c r="R216" s="48"/>
    </row>
    <row r="217" spans="1:18" ht="16.5" customHeight="1" x14ac:dyDescent="0.15">
      <c r="A217" s="41">
        <v>11</v>
      </c>
      <c r="B217" s="41" t="s">
        <v>9130</v>
      </c>
      <c r="C217" s="127" t="s">
        <v>9131</v>
      </c>
      <c r="D217" s="202"/>
      <c r="E217" s="57"/>
      <c r="F217" s="37"/>
      <c r="G217" s="216"/>
      <c r="H217" s="38"/>
      <c r="I217" s="44" t="s">
        <v>397</v>
      </c>
      <c r="J217" s="218" t="s">
        <v>398</v>
      </c>
      <c r="K217" s="46">
        <v>1</v>
      </c>
      <c r="L217" s="35"/>
      <c r="O217" s="709"/>
      <c r="P217" s="704"/>
      <c r="Q217" s="208">
        <f>ROUND((ROUND((ROUND((_11_A家事４．５*_11・２人),0)*(1+_11・A夜間)),0)*_11・初任),0)</f>
        <v>608</v>
      </c>
      <c r="R217" s="48"/>
    </row>
    <row r="218" spans="1:18" ht="16.5" customHeight="1" x14ac:dyDescent="0.15">
      <c r="A218" s="41">
        <v>11</v>
      </c>
      <c r="B218" s="41" t="s">
        <v>9132</v>
      </c>
      <c r="C218" s="127" t="s">
        <v>9133</v>
      </c>
      <c r="D218" s="203"/>
      <c r="E218" s="57"/>
      <c r="F218" s="779" t="s">
        <v>400</v>
      </c>
      <c r="G218" s="219" t="s">
        <v>398</v>
      </c>
      <c r="H218" s="50">
        <v>0.9</v>
      </c>
      <c r="I218" s="44"/>
      <c r="J218" s="218"/>
      <c r="K218" s="46"/>
      <c r="L218" s="35"/>
      <c r="O218" s="709"/>
      <c r="P218" s="704"/>
      <c r="Q218" s="208">
        <f>ROUND((ROUND((ROUND((_11_A家事４．５*_11・基礎２),0)*(1+_11・A夜間)),0)*_11・初任),0)</f>
        <v>547</v>
      </c>
      <c r="R218" s="48"/>
    </row>
    <row r="219" spans="1:18" ht="16.5" customHeight="1" x14ac:dyDescent="0.15">
      <c r="A219" s="41">
        <v>11</v>
      </c>
      <c r="B219" s="41" t="s">
        <v>9134</v>
      </c>
      <c r="C219" s="127" t="s">
        <v>9135</v>
      </c>
      <c r="D219" s="205"/>
      <c r="E219" s="79"/>
      <c r="F219" s="780"/>
      <c r="G219" s="216"/>
      <c r="H219" s="38"/>
      <c r="I219" s="44" t="s">
        <v>397</v>
      </c>
      <c r="J219" s="218" t="s">
        <v>398</v>
      </c>
      <c r="K219" s="46">
        <v>1</v>
      </c>
      <c r="L219" s="43"/>
      <c r="M219" s="220"/>
      <c r="N219" s="38"/>
      <c r="O219" s="240" t="s">
        <v>398</v>
      </c>
      <c r="P219" s="38">
        <f>_11・初任</f>
        <v>0.7</v>
      </c>
      <c r="Q219" s="208">
        <f>ROUND((ROUND((ROUND((ROUND((_11_A家事４．５*_11・基礎２),0)*_11・２人),0)*(1+_11・A夜間)),0)*_11・初任),0)</f>
        <v>547</v>
      </c>
      <c r="R219" s="63"/>
    </row>
    <row r="220" spans="1:18" ht="16.5" customHeight="1" x14ac:dyDescent="0.15"/>
    <row r="221" spans="1:18" ht="16.5" customHeight="1" x14ac:dyDescent="0.15"/>
  </sheetData>
  <mergeCells count="108">
    <mergeCell ref="O216:P218"/>
    <mergeCell ref="F218:F219"/>
    <mergeCell ref="D204:E206"/>
    <mergeCell ref="F206:F207"/>
    <mergeCell ref="O208:P210"/>
    <mergeCell ref="F210:F211"/>
    <mergeCell ref="D212:E214"/>
    <mergeCell ref="F214:F215"/>
    <mergeCell ref="O192:P194"/>
    <mergeCell ref="F194:F195"/>
    <mergeCell ref="D196:E198"/>
    <mergeCell ref="F198:F199"/>
    <mergeCell ref="O200:P202"/>
    <mergeCell ref="F202:F203"/>
    <mergeCell ref="D180:E182"/>
    <mergeCell ref="F182:F183"/>
    <mergeCell ref="O184:P186"/>
    <mergeCell ref="F186:F187"/>
    <mergeCell ref="D188:E190"/>
    <mergeCell ref="F190:F191"/>
    <mergeCell ref="O168:P170"/>
    <mergeCell ref="F170:F171"/>
    <mergeCell ref="D172:E174"/>
    <mergeCell ref="F174:F175"/>
    <mergeCell ref="O176:P178"/>
    <mergeCell ref="F178:F179"/>
    <mergeCell ref="D156:E158"/>
    <mergeCell ref="F158:F159"/>
    <mergeCell ref="O160:P162"/>
    <mergeCell ref="F162:F163"/>
    <mergeCell ref="D164:E166"/>
    <mergeCell ref="F166:F167"/>
    <mergeCell ref="O144:P146"/>
    <mergeCell ref="F146:F147"/>
    <mergeCell ref="D148:E150"/>
    <mergeCell ref="N149:N150"/>
    <mergeCell ref="F150:F151"/>
    <mergeCell ref="O152:P154"/>
    <mergeCell ref="F154:F155"/>
    <mergeCell ref="D132:E134"/>
    <mergeCell ref="F134:F135"/>
    <mergeCell ref="O136:P138"/>
    <mergeCell ref="F138:F139"/>
    <mergeCell ref="D140:E142"/>
    <mergeCell ref="F142:F143"/>
    <mergeCell ref="O120:P122"/>
    <mergeCell ref="F122:F123"/>
    <mergeCell ref="D124:E126"/>
    <mergeCell ref="F126:F127"/>
    <mergeCell ref="O128:P130"/>
    <mergeCell ref="F130:F131"/>
    <mergeCell ref="D108:E110"/>
    <mergeCell ref="F110:F111"/>
    <mergeCell ref="O112:P114"/>
    <mergeCell ref="F114:F115"/>
    <mergeCell ref="D116:E118"/>
    <mergeCell ref="F118:F119"/>
    <mergeCell ref="O96:P98"/>
    <mergeCell ref="F98:F99"/>
    <mergeCell ref="D100:E102"/>
    <mergeCell ref="F102:F103"/>
    <mergeCell ref="O104:P106"/>
    <mergeCell ref="F106:F107"/>
    <mergeCell ref="D84:E86"/>
    <mergeCell ref="N85:N86"/>
    <mergeCell ref="F86:F87"/>
    <mergeCell ref="O88:P90"/>
    <mergeCell ref="F90:F91"/>
    <mergeCell ref="D92:E94"/>
    <mergeCell ref="F94:F95"/>
    <mergeCell ref="O67:P69"/>
    <mergeCell ref="F69:F70"/>
    <mergeCell ref="D71:E73"/>
    <mergeCell ref="N72:N73"/>
    <mergeCell ref="F73:F74"/>
    <mergeCell ref="O75:P77"/>
    <mergeCell ref="F77:F78"/>
    <mergeCell ref="D55:E57"/>
    <mergeCell ref="F57:F58"/>
    <mergeCell ref="O59:P61"/>
    <mergeCell ref="F61:F62"/>
    <mergeCell ref="D63:E65"/>
    <mergeCell ref="F65:F66"/>
    <mergeCell ref="O43:P45"/>
    <mergeCell ref="F45:F46"/>
    <mergeCell ref="D47:E49"/>
    <mergeCell ref="F49:F50"/>
    <mergeCell ref="O51:P53"/>
    <mergeCell ref="F53:F54"/>
    <mergeCell ref="O35:P37"/>
    <mergeCell ref="F37:F38"/>
    <mergeCell ref="D39:E41"/>
    <mergeCell ref="F41:F42"/>
    <mergeCell ref="O19:P21"/>
    <mergeCell ref="F21:F22"/>
    <mergeCell ref="D23:E25"/>
    <mergeCell ref="F25:F26"/>
    <mergeCell ref="O27:P29"/>
    <mergeCell ref="F29:F30"/>
    <mergeCell ref="D7:E9"/>
    <mergeCell ref="N8:N9"/>
    <mergeCell ref="F9:F10"/>
    <mergeCell ref="O11:P13"/>
    <mergeCell ref="F13:F14"/>
    <mergeCell ref="D15:E17"/>
    <mergeCell ref="F17:F18"/>
    <mergeCell ref="D31:E33"/>
    <mergeCell ref="F33:F34"/>
  </mergeCells>
  <phoneticPr fontId="1"/>
  <printOptions horizontalCentered="1"/>
  <pageMargins left="0.70866141732283472" right="0.70866141732283472" top="0.74803149606299213" bottom="0.74803149606299213" header="0.31496062992125984" footer="0.31496062992125984"/>
  <pageSetup paperSize="9" scale="58" fitToHeight="0" orientation="portrait" r:id="rId1"/>
  <headerFooter>
    <oddHeader>&amp;R&amp;"ＭＳ Ｐゴシック"&amp;9居宅介護</oddHeader>
    <oddFooter>&amp;C&amp;"ＭＳ Ｐゴシック"&amp;14&amp;P</oddFooter>
  </headerFooter>
  <rowBreaks count="2" manualBreakCount="2">
    <brk id="70" max="17" man="1"/>
    <brk id="147" max="17"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8"/>
  <dimension ref="A1:R20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99" customWidth="1"/>
    <col min="5" max="5" width="4.875" style="12" customWidth="1"/>
    <col min="6" max="6" width="11.875" style="12" customWidth="1"/>
    <col min="7" max="7" width="2.5" style="233" customWidth="1"/>
    <col min="8" max="8" width="4.875" style="13" bestFit="1" customWidth="1"/>
    <col min="9" max="9" width="24.875" style="14" bestFit="1" customWidth="1"/>
    <col min="10" max="10" width="2.5" style="233" customWidth="1"/>
    <col min="11" max="11" width="5.875" style="13" bestFit="1" customWidth="1"/>
    <col min="12" max="12" width="2.5" style="12" customWidth="1"/>
    <col min="13" max="13" width="3.875" style="12" customWidth="1"/>
    <col min="14" max="14" width="5" style="13" customWidth="1"/>
    <col min="15" max="15" width="9.875" style="12" customWidth="1"/>
    <col min="16" max="16" width="4.875" style="13" bestFit="1" customWidth="1"/>
    <col min="17" max="17" width="7.125" style="15" customWidth="1"/>
    <col min="18" max="18" width="8.5" style="16" customWidth="1"/>
    <col min="19" max="16384" width="8.875" style="12"/>
  </cols>
  <sheetData>
    <row r="1" spans="1:18" ht="17.100000000000001" customHeight="1" x14ac:dyDescent="0.15"/>
    <row r="2" spans="1:18" ht="17.100000000000001" customHeight="1" x14ac:dyDescent="0.15"/>
    <row r="3" spans="1:18" ht="17.100000000000001" customHeight="1" x14ac:dyDescent="0.15"/>
    <row r="4" spans="1:18" ht="17.100000000000001" customHeight="1" x14ac:dyDescent="0.15">
      <c r="B4" s="17" t="s">
        <v>9136</v>
      </c>
      <c r="D4" s="200"/>
    </row>
    <row r="5" spans="1:18" ht="16.5" customHeight="1" x14ac:dyDescent="0.15">
      <c r="A5" s="19" t="s">
        <v>384</v>
      </c>
      <c r="B5" s="20"/>
      <c r="C5" s="21" t="s">
        <v>385</v>
      </c>
      <c r="D5" s="235" t="s">
        <v>386</v>
      </c>
      <c r="E5" s="23"/>
      <c r="F5" s="23"/>
      <c r="G5" s="23"/>
      <c r="H5" s="24"/>
      <c r="I5" s="23"/>
      <c r="J5" s="23"/>
      <c r="K5" s="24"/>
      <c r="L5" s="23"/>
      <c r="M5" s="23"/>
      <c r="N5" s="24"/>
      <c r="O5" s="23"/>
      <c r="P5" s="24"/>
      <c r="Q5" s="25" t="s">
        <v>387</v>
      </c>
      <c r="R5" s="21" t="s">
        <v>388</v>
      </c>
    </row>
    <row r="6" spans="1:18" ht="16.5" customHeight="1" x14ac:dyDescent="0.15">
      <c r="A6" s="26" t="s">
        <v>389</v>
      </c>
      <c r="B6" s="26" t="s">
        <v>390</v>
      </c>
      <c r="C6" s="27"/>
      <c r="D6" s="213"/>
      <c r="E6" s="29"/>
      <c r="F6" s="29"/>
      <c r="G6" s="214"/>
      <c r="H6" s="30"/>
      <c r="I6" s="29"/>
      <c r="J6" s="214"/>
      <c r="K6" s="30"/>
      <c r="L6" s="29"/>
      <c r="M6" s="29"/>
      <c r="N6" s="30"/>
      <c r="O6" s="29"/>
      <c r="P6" s="30"/>
      <c r="Q6" s="31" t="s">
        <v>391</v>
      </c>
      <c r="R6" s="32" t="s">
        <v>392</v>
      </c>
    </row>
    <row r="7" spans="1:18" ht="16.5" customHeight="1" x14ac:dyDescent="0.15">
      <c r="A7" s="33">
        <v>11</v>
      </c>
      <c r="B7" s="33">
        <v>6251</v>
      </c>
      <c r="C7" s="34" t="s">
        <v>9137</v>
      </c>
      <c r="D7" s="709" t="s">
        <v>861</v>
      </c>
      <c r="E7" s="718"/>
      <c r="F7" s="35"/>
      <c r="I7" s="36"/>
      <c r="J7" s="246"/>
      <c r="K7" s="38"/>
      <c r="L7" s="35" t="s">
        <v>862</v>
      </c>
      <c r="O7" s="35"/>
      <c r="Q7" s="39">
        <f>ROUND((_11_A家事０．５*(1+_11・A深夜)),0)</f>
        <v>158</v>
      </c>
      <c r="R7" s="40" t="s">
        <v>395</v>
      </c>
    </row>
    <row r="8" spans="1:18" ht="16.5" customHeight="1" x14ac:dyDescent="0.15">
      <c r="A8" s="41">
        <v>11</v>
      </c>
      <c r="B8" s="41">
        <v>6252</v>
      </c>
      <c r="C8" s="74" t="s">
        <v>9138</v>
      </c>
      <c r="D8" s="709"/>
      <c r="E8" s="718"/>
      <c r="F8" s="43"/>
      <c r="G8" s="246"/>
      <c r="H8" s="38"/>
      <c r="I8" s="44" t="s">
        <v>397</v>
      </c>
      <c r="J8" s="247" t="s">
        <v>398</v>
      </c>
      <c r="K8" s="46">
        <v>1</v>
      </c>
      <c r="L8" s="248" t="s">
        <v>398</v>
      </c>
      <c r="M8" s="13">
        <v>0.5</v>
      </c>
      <c r="N8" s="781" t="s">
        <v>676</v>
      </c>
      <c r="O8" s="35"/>
      <c r="Q8" s="47">
        <f>ROUND((ROUND((_11_A家事０．５*_11・２人),0)*(1+_11・A深夜)),0)</f>
        <v>158</v>
      </c>
      <c r="R8" s="48"/>
    </row>
    <row r="9" spans="1:18" ht="16.5" customHeight="1" x14ac:dyDescent="0.15">
      <c r="A9" s="41">
        <v>11</v>
      </c>
      <c r="B9" s="41">
        <v>6253</v>
      </c>
      <c r="C9" s="74" t="s">
        <v>9139</v>
      </c>
      <c r="D9" s="709"/>
      <c r="E9" s="718"/>
      <c r="F9" s="752" t="s">
        <v>400</v>
      </c>
      <c r="G9" s="219" t="s">
        <v>398</v>
      </c>
      <c r="H9" s="50">
        <v>0.9</v>
      </c>
      <c r="I9" s="44"/>
      <c r="J9" s="247"/>
      <c r="K9" s="46"/>
      <c r="L9" s="35"/>
      <c r="N9" s="781"/>
      <c r="O9" s="35"/>
      <c r="Q9" s="47">
        <f>ROUND((ROUND((_11_A家事０．５*_11・基礎２),0)*(1+_11・A深夜)),0)</f>
        <v>143</v>
      </c>
      <c r="R9" s="48"/>
    </row>
    <row r="10" spans="1:18" ht="16.5" customHeight="1" x14ac:dyDescent="0.15">
      <c r="A10" s="41">
        <v>11</v>
      </c>
      <c r="B10" s="41">
        <v>6254</v>
      </c>
      <c r="C10" s="74" t="s">
        <v>9140</v>
      </c>
      <c r="D10" s="249">
        <f>_11_A家事０．５</f>
        <v>105</v>
      </c>
      <c r="E10" s="12" t="s">
        <v>392</v>
      </c>
      <c r="F10" s="757"/>
      <c r="G10" s="246"/>
      <c r="H10" s="38"/>
      <c r="I10" s="44" t="s">
        <v>397</v>
      </c>
      <c r="J10" s="247" t="s">
        <v>398</v>
      </c>
      <c r="K10" s="46">
        <v>1</v>
      </c>
      <c r="L10" s="35"/>
      <c r="O10" s="43"/>
      <c r="P10" s="38"/>
      <c r="Q10" s="47">
        <f>ROUND((ROUND((ROUND((_11_A家事０．５*_11・基礎２),0)*_11・２人),0)*(1+_11・A深夜)),0)</f>
        <v>143</v>
      </c>
      <c r="R10" s="48"/>
    </row>
    <row r="11" spans="1:18" ht="16.5" customHeight="1" x14ac:dyDescent="0.15">
      <c r="A11" s="41">
        <v>11</v>
      </c>
      <c r="B11" s="41" t="s">
        <v>9141</v>
      </c>
      <c r="C11" s="74" t="s">
        <v>9142</v>
      </c>
      <c r="D11" s="202"/>
      <c r="F11" s="53"/>
      <c r="G11" s="219"/>
      <c r="H11" s="50"/>
      <c r="I11" s="44"/>
      <c r="J11" s="247"/>
      <c r="K11" s="46"/>
      <c r="L11" s="35"/>
      <c r="O11" s="707" t="s">
        <v>404</v>
      </c>
      <c r="P11" s="708"/>
      <c r="Q11" s="47">
        <f>ROUND((ROUND((_11_A家事０．５*(1+_11・A深夜)),0)*_11・初任),0)</f>
        <v>111</v>
      </c>
      <c r="R11" s="48"/>
    </row>
    <row r="12" spans="1:18" ht="16.5" customHeight="1" x14ac:dyDescent="0.15">
      <c r="A12" s="41">
        <v>11</v>
      </c>
      <c r="B12" s="41" t="s">
        <v>9143</v>
      </c>
      <c r="C12" s="74" t="s">
        <v>9144</v>
      </c>
      <c r="D12" s="202"/>
      <c r="F12" s="43"/>
      <c r="G12" s="246"/>
      <c r="H12" s="38"/>
      <c r="I12" s="44" t="s">
        <v>397</v>
      </c>
      <c r="J12" s="247" t="s">
        <v>398</v>
      </c>
      <c r="K12" s="46">
        <v>1</v>
      </c>
      <c r="L12" s="35"/>
      <c r="O12" s="709"/>
      <c r="P12" s="704"/>
      <c r="Q12" s="47">
        <f>ROUND((ROUND((ROUND((_11_A家事０．５*_11・２人),0)*(1+_11・A深夜)),0)*_11・初任),0)</f>
        <v>111</v>
      </c>
      <c r="R12" s="48"/>
    </row>
    <row r="13" spans="1:18" ht="16.5" customHeight="1" x14ac:dyDescent="0.15">
      <c r="A13" s="41">
        <v>11</v>
      </c>
      <c r="B13" s="41" t="s">
        <v>9145</v>
      </c>
      <c r="C13" s="74" t="s">
        <v>9146</v>
      </c>
      <c r="D13" s="203"/>
      <c r="F13" s="752" t="s">
        <v>400</v>
      </c>
      <c r="G13" s="219" t="s">
        <v>398</v>
      </c>
      <c r="H13" s="50">
        <v>0.9</v>
      </c>
      <c r="I13" s="44"/>
      <c r="J13" s="247"/>
      <c r="K13" s="46"/>
      <c r="L13" s="35"/>
      <c r="O13" s="709"/>
      <c r="P13" s="704"/>
      <c r="Q13" s="47">
        <f>ROUND((ROUND((ROUND((_11_A家事０．５*_11・基礎２),0)*(1+_11・A深夜)),0)*_11・初任),0)</f>
        <v>100</v>
      </c>
      <c r="R13" s="48"/>
    </row>
    <row r="14" spans="1:18" ht="16.5" customHeight="1" x14ac:dyDescent="0.15">
      <c r="A14" s="41">
        <v>11</v>
      </c>
      <c r="B14" s="41" t="s">
        <v>9147</v>
      </c>
      <c r="C14" s="74" t="s">
        <v>9148</v>
      </c>
      <c r="D14" s="203"/>
      <c r="F14" s="757"/>
      <c r="G14" s="246"/>
      <c r="H14" s="38"/>
      <c r="I14" s="44" t="s">
        <v>397</v>
      </c>
      <c r="J14" s="247" t="s">
        <v>398</v>
      </c>
      <c r="K14" s="46">
        <v>1</v>
      </c>
      <c r="L14" s="35"/>
      <c r="O14" s="240" t="s">
        <v>398</v>
      </c>
      <c r="P14" s="38">
        <f>_11・初任</f>
        <v>0.7</v>
      </c>
      <c r="Q14" s="47">
        <f>ROUND((ROUND((ROUND((ROUND((_11_A家事０．５*_11・基礎２),0)*_11・２人),0)*(1+_11・A深夜)),0)*_11・初任),0)</f>
        <v>100</v>
      </c>
      <c r="R14" s="48"/>
    </row>
    <row r="15" spans="1:18" ht="16.5" customHeight="1" x14ac:dyDescent="0.15">
      <c r="A15" s="41">
        <v>11</v>
      </c>
      <c r="B15" s="41">
        <v>7779</v>
      </c>
      <c r="C15" s="74" t="s">
        <v>9149</v>
      </c>
      <c r="D15" s="707" t="s">
        <v>9150</v>
      </c>
      <c r="E15" s="717"/>
      <c r="F15" s="53"/>
      <c r="G15" s="219"/>
      <c r="H15" s="50"/>
      <c r="I15" s="44"/>
      <c r="J15" s="247"/>
      <c r="K15" s="46"/>
      <c r="L15" s="35"/>
      <c r="O15" s="53"/>
      <c r="P15" s="50"/>
      <c r="Q15" s="47">
        <f>ROUND((_11_A家事０．７５*(1+_11・A深夜)),0)</f>
        <v>228</v>
      </c>
      <c r="R15" s="48"/>
    </row>
    <row r="16" spans="1:18" ht="16.5" customHeight="1" x14ac:dyDescent="0.15">
      <c r="A16" s="41">
        <v>11</v>
      </c>
      <c r="B16" s="41">
        <v>7780</v>
      </c>
      <c r="C16" s="74" t="s">
        <v>9151</v>
      </c>
      <c r="D16" s="709"/>
      <c r="E16" s="718"/>
      <c r="F16" s="43"/>
      <c r="G16" s="246"/>
      <c r="H16" s="38"/>
      <c r="I16" s="44" t="s">
        <v>397</v>
      </c>
      <c r="J16" s="247" t="s">
        <v>398</v>
      </c>
      <c r="K16" s="46">
        <v>1</v>
      </c>
      <c r="L16" s="35"/>
      <c r="O16" s="35"/>
      <c r="Q16" s="47">
        <f>ROUND((ROUND((_11_A家事０．７５*_11・２人),0)*(1+_11・A深夜)),0)</f>
        <v>228</v>
      </c>
      <c r="R16" s="48"/>
    </row>
    <row r="17" spans="1:18" ht="16.5" customHeight="1" x14ac:dyDescent="0.15">
      <c r="A17" s="41">
        <v>11</v>
      </c>
      <c r="B17" s="41">
        <v>7781</v>
      </c>
      <c r="C17" s="74" t="s">
        <v>9152</v>
      </c>
      <c r="D17" s="709"/>
      <c r="E17" s="718"/>
      <c r="F17" s="752" t="s">
        <v>400</v>
      </c>
      <c r="G17" s="219" t="s">
        <v>398</v>
      </c>
      <c r="H17" s="50">
        <v>0.9</v>
      </c>
      <c r="I17" s="44"/>
      <c r="J17" s="247"/>
      <c r="K17" s="46"/>
      <c r="L17" s="35"/>
      <c r="O17" s="35"/>
      <c r="Q17" s="47">
        <f>ROUND((ROUND((_11_A家事０．７５*_11・基礎２),0)*(1+_11・A深夜)),0)</f>
        <v>206</v>
      </c>
      <c r="R17" s="48"/>
    </row>
    <row r="18" spans="1:18" ht="16.5" customHeight="1" x14ac:dyDescent="0.15">
      <c r="A18" s="41">
        <v>11</v>
      </c>
      <c r="B18" s="41">
        <v>7782</v>
      </c>
      <c r="C18" s="74" t="s">
        <v>9153</v>
      </c>
      <c r="D18" s="249">
        <f>_11_A家事０．７５</f>
        <v>152</v>
      </c>
      <c r="E18" s="12" t="s">
        <v>392</v>
      </c>
      <c r="F18" s="757"/>
      <c r="G18" s="246"/>
      <c r="H18" s="38"/>
      <c r="I18" s="44" t="s">
        <v>397</v>
      </c>
      <c r="J18" s="247" t="s">
        <v>398</v>
      </c>
      <c r="K18" s="46">
        <v>1</v>
      </c>
      <c r="L18" s="35"/>
      <c r="O18" s="43"/>
      <c r="P18" s="38"/>
      <c r="Q18" s="47">
        <f>ROUND((ROUND((ROUND((_11_A家事０．７５*_11・基礎２),0)*_11・２人),0)*(1+_11・A深夜)),0)</f>
        <v>206</v>
      </c>
      <c r="R18" s="48"/>
    </row>
    <row r="19" spans="1:18" ht="16.5" customHeight="1" x14ac:dyDescent="0.15">
      <c r="A19" s="41">
        <v>11</v>
      </c>
      <c r="B19" s="41" t="s">
        <v>9154</v>
      </c>
      <c r="C19" s="74" t="s">
        <v>9155</v>
      </c>
      <c r="D19" s="202"/>
      <c r="F19" s="53"/>
      <c r="G19" s="219"/>
      <c r="H19" s="50"/>
      <c r="I19" s="44"/>
      <c r="J19" s="247"/>
      <c r="K19" s="46"/>
      <c r="L19" s="35"/>
      <c r="O19" s="707" t="s">
        <v>404</v>
      </c>
      <c r="P19" s="708"/>
      <c r="Q19" s="47">
        <f>ROUND((ROUND((_11_A家事０．７５*(1+_11・A深夜)),0)*_11・初任),0)</f>
        <v>160</v>
      </c>
      <c r="R19" s="48"/>
    </row>
    <row r="20" spans="1:18" ht="16.5" customHeight="1" x14ac:dyDescent="0.15">
      <c r="A20" s="41">
        <v>11</v>
      </c>
      <c r="B20" s="41" t="s">
        <v>9156</v>
      </c>
      <c r="C20" s="74" t="s">
        <v>9157</v>
      </c>
      <c r="D20" s="202"/>
      <c r="F20" s="43"/>
      <c r="G20" s="246"/>
      <c r="H20" s="38"/>
      <c r="I20" s="44" t="s">
        <v>397</v>
      </c>
      <c r="J20" s="247" t="s">
        <v>398</v>
      </c>
      <c r="K20" s="46">
        <v>1</v>
      </c>
      <c r="L20" s="35"/>
      <c r="O20" s="709"/>
      <c r="P20" s="704"/>
      <c r="Q20" s="47">
        <f>ROUND((ROUND((ROUND((_11_A家事０．７５*_11・２人),0)*(1+_11・A深夜)),0)*_11・初任),0)</f>
        <v>160</v>
      </c>
      <c r="R20" s="48"/>
    </row>
    <row r="21" spans="1:18" ht="16.5" customHeight="1" x14ac:dyDescent="0.15">
      <c r="A21" s="41">
        <v>11</v>
      </c>
      <c r="B21" s="41" t="s">
        <v>9158</v>
      </c>
      <c r="C21" s="74" t="s">
        <v>9159</v>
      </c>
      <c r="D21" s="203"/>
      <c r="F21" s="752" t="s">
        <v>400</v>
      </c>
      <c r="G21" s="219" t="s">
        <v>398</v>
      </c>
      <c r="H21" s="50">
        <v>0.9</v>
      </c>
      <c r="I21" s="44"/>
      <c r="J21" s="247"/>
      <c r="K21" s="46"/>
      <c r="L21" s="35"/>
      <c r="O21" s="709"/>
      <c r="P21" s="704"/>
      <c r="Q21" s="47">
        <f>ROUND((ROUND((ROUND((_11_A家事０．７５*_11・基礎２),0)*(1+_11・A深夜)),0)*_11・初任),0)</f>
        <v>144</v>
      </c>
      <c r="R21" s="48"/>
    </row>
    <row r="22" spans="1:18" ht="16.5" customHeight="1" x14ac:dyDescent="0.15">
      <c r="A22" s="41">
        <v>11</v>
      </c>
      <c r="B22" s="41" t="s">
        <v>9160</v>
      </c>
      <c r="C22" s="74" t="s">
        <v>9161</v>
      </c>
      <c r="D22" s="203"/>
      <c r="F22" s="757"/>
      <c r="G22" s="246"/>
      <c r="H22" s="38"/>
      <c r="I22" s="44" t="s">
        <v>397</v>
      </c>
      <c r="J22" s="247" t="s">
        <v>398</v>
      </c>
      <c r="K22" s="46">
        <v>1</v>
      </c>
      <c r="L22" s="35"/>
      <c r="O22" s="240" t="s">
        <v>398</v>
      </c>
      <c r="P22" s="38">
        <f>_11・初任</f>
        <v>0.7</v>
      </c>
      <c r="Q22" s="47">
        <f>ROUND((ROUND((ROUND((ROUND((_11_A家事０．７５*_11・基礎２),0)*_11・２人),0)*(1+_11・A深夜)),0)*_11・初任),0)</f>
        <v>144</v>
      </c>
      <c r="R22" s="48"/>
    </row>
    <row r="23" spans="1:18" ht="16.5" customHeight="1" x14ac:dyDescent="0.15">
      <c r="A23" s="41">
        <v>11</v>
      </c>
      <c r="B23" s="41">
        <v>6255</v>
      </c>
      <c r="C23" s="74" t="s">
        <v>9162</v>
      </c>
      <c r="D23" s="707" t="s">
        <v>9163</v>
      </c>
      <c r="E23" s="717"/>
      <c r="F23" s="53"/>
      <c r="G23" s="219"/>
      <c r="H23" s="50"/>
      <c r="I23" s="44"/>
      <c r="J23" s="247"/>
      <c r="K23" s="46"/>
      <c r="L23" s="35"/>
      <c r="O23" s="53"/>
      <c r="P23" s="50"/>
      <c r="Q23" s="47">
        <f>ROUND((_11_A家事１．０*(1+_11・A深夜)),0)</f>
        <v>294</v>
      </c>
      <c r="R23" s="48"/>
    </row>
    <row r="24" spans="1:18" ht="16.5" customHeight="1" x14ac:dyDescent="0.15">
      <c r="A24" s="41">
        <v>11</v>
      </c>
      <c r="B24" s="41">
        <v>6256</v>
      </c>
      <c r="C24" s="74" t="s">
        <v>9164</v>
      </c>
      <c r="D24" s="709"/>
      <c r="E24" s="718"/>
      <c r="F24" s="43"/>
      <c r="G24" s="246"/>
      <c r="H24" s="38"/>
      <c r="I24" s="44" t="s">
        <v>397</v>
      </c>
      <c r="J24" s="247" t="s">
        <v>398</v>
      </c>
      <c r="K24" s="46">
        <v>1</v>
      </c>
      <c r="L24" s="35"/>
      <c r="O24" s="35"/>
      <c r="Q24" s="47">
        <f>ROUND((ROUND((_11_A家事１．０*_11・２人),0)*(1+_11・A深夜)),0)</f>
        <v>294</v>
      </c>
      <c r="R24" s="48"/>
    </row>
    <row r="25" spans="1:18" ht="16.5" customHeight="1" x14ac:dyDescent="0.15">
      <c r="A25" s="41">
        <v>11</v>
      </c>
      <c r="B25" s="41">
        <v>6257</v>
      </c>
      <c r="C25" s="74" t="s">
        <v>9165</v>
      </c>
      <c r="D25" s="709"/>
      <c r="E25" s="718"/>
      <c r="F25" s="752" t="s">
        <v>400</v>
      </c>
      <c r="G25" s="219" t="s">
        <v>398</v>
      </c>
      <c r="H25" s="50">
        <v>0.9</v>
      </c>
      <c r="I25" s="44"/>
      <c r="J25" s="247"/>
      <c r="K25" s="46"/>
      <c r="L25" s="35"/>
      <c r="O25" s="35"/>
      <c r="Q25" s="47">
        <f>ROUND((ROUND((_11_A家事１．０*_11・基礎２),0)*(1+_11・A深夜)),0)</f>
        <v>264</v>
      </c>
      <c r="R25" s="48"/>
    </row>
    <row r="26" spans="1:18" ht="16.5" customHeight="1" x14ac:dyDescent="0.15">
      <c r="A26" s="41">
        <v>11</v>
      </c>
      <c r="B26" s="41">
        <v>6258</v>
      </c>
      <c r="C26" s="74" t="s">
        <v>9166</v>
      </c>
      <c r="D26" s="249">
        <f>_11_A家事１．０</f>
        <v>196</v>
      </c>
      <c r="E26" s="12" t="s">
        <v>392</v>
      </c>
      <c r="F26" s="757"/>
      <c r="G26" s="246"/>
      <c r="H26" s="38"/>
      <c r="I26" s="44" t="s">
        <v>397</v>
      </c>
      <c r="J26" s="247" t="s">
        <v>398</v>
      </c>
      <c r="K26" s="46">
        <v>1</v>
      </c>
      <c r="L26" s="35"/>
      <c r="O26" s="43"/>
      <c r="P26" s="38"/>
      <c r="Q26" s="47">
        <f>ROUND((ROUND((ROUND((_11_A家事１．０*_11・基礎２),0)*_11・２人),0)*(1+_11・A深夜)),0)</f>
        <v>264</v>
      </c>
      <c r="R26" s="48"/>
    </row>
    <row r="27" spans="1:18" ht="16.5" customHeight="1" x14ac:dyDescent="0.15">
      <c r="A27" s="41">
        <v>11</v>
      </c>
      <c r="B27" s="41" t="s">
        <v>9167</v>
      </c>
      <c r="C27" s="74" t="s">
        <v>9168</v>
      </c>
      <c r="D27" s="202"/>
      <c r="F27" s="53"/>
      <c r="G27" s="219"/>
      <c r="H27" s="50"/>
      <c r="I27" s="44"/>
      <c r="J27" s="247"/>
      <c r="K27" s="46"/>
      <c r="L27" s="35"/>
      <c r="O27" s="707" t="s">
        <v>404</v>
      </c>
      <c r="P27" s="708"/>
      <c r="Q27" s="47">
        <f>ROUND((ROUND((_11_A家事１．０*(1+_11・A深夜)),0)*_11・初任),0)</f>
        <v>206</v>
      </c>
      <c r="R27" s="48"/>
    </row>
    <row r="28" spans="1:18" ht="16.5" customHeight="1" x14ac:dyDescent="0.15">
      <c r="A28" s="41">
        <v>11</v>
      </c>
      <c r="B28" s="41" t="s">
        <v>9169</v>
      </c>
      <c r="C28" s="74" t="s">
        <v>9170</v>
      </c>
      <c r="D28" s="202"/>
      <c r="F28" s="43"/>
      <c r="G28" s="246"/>
      <c r="H28" s="38"/>
      <c r="I28" s="44" t="s">
        <v>397</v>
      </c>
      <c r="J28" s="247" t="s">
        <v>398</v>
      </c>
      <c r="K28" s="46">
        <v>1</v>
      </c>
      <c r="L28" s="35"/>
      <c r="O28" s="709"/>
      <c r="P28" s="704"/>
      <c r="Q28" s="47">
        <f>ROUND((ROUND((ROUND((_11_A家事１．０*_11・２人),0)*(1+_11・A深夜)),0)*_11・初任),0)</f>
        <v>206</v>
      </c>
      <c r="R28" s="48"/>
    </row>
    <row r="29" spans="1:18" ht="16.5" customHeight="1" x14ac:dyDescent="0.15">
      <c r="A29" s="41">
        <v>11</v>
      </c>
      <c r="B29" s="41" t="s">
        <v>9171</v>
      </c>
      <c r="C29" s="74" t="s">
        <v>9172</v>
      </c>
      <c r="D29" s="203"/>
      <c r="F29" s="752" t="s">
        <v>400</v>
      </c>
      <c r="G29" s="219" t="s">
        <v>398</v>
      </c>
      <c r="H29" s="50">
        <v>0.9</v>
      </c>
      <c r="I29" s="44"/>
      <c r="J29" s="247"/>
      <c r="K29" s="46"/>
      <c r="L29" s="35"/>
      <c r="O29" s="709"/>
      <c r="P29" s="704"/>
      <c r="Q29" s="47">
        <f>ROUND((ROUND((ROUND((_11_A家事１．０*_11・基礎２),0)*(1+_11・A深夜)),0)*_11・初任),0)</f>
        <v>185</v>
      </c>
      <c r="R29" s="48"/>
    </row>
    <row r="30" spans="1:18" ht="16.5" customHeight="1" x14ac:dyDescent="0.15">
      <c r="A30" s="41">
        <v>11</v>
      </c>
      <c r="B30" s="41" t="s">
        <v>9173</v>
      </c>
      <c r="C30" s="74" t="s">
        <v>9174</v>
      </c>
      <c r="D30" s="203"/>
      <c r="F30" s="757"/>
      <c r="G30" s="246"/>
      <c r="H30" s="38"/>
      <c r="I30" s="44" t="s">
        <v>397</v>
      </c>
      <c r="J30" s="247" t="s">
        <v>398</v>
      </c>
      <c r="K30" s="46">
        <v>1</v>
      </c>
      <c r="L30" s="35"/>
      <c r="O30" s="240" t="s">
        <v>398</v>
      </c>
      <c r="P30" s="38">
        <f>_11・初任</f>
        <v>0.7</v>
      </c>
      <c r="Q30" s="47">
        <f>ROUND((ROUND((ROUND((ROUND((_11_A家事１．０*_11・基礎２),0)*_11・２人),0)*(1+_11・A深夜)),0)*_11・初任),0)</f>
        <v>185</v>
      </c>
      <c r="R30" s="48"/>
    </row>
    <row r="31" spans="1:18" ht="16.5" customHeight="1" x14ac:dyDescent="0.15">
      <c r="A31" s="41">
        <v>11</v>
      </c>
      <c r="B31" s="41">
        <v>7783</v>
      </c>
      <c r="C31" s="74" t="s">
        <v>9175</v>
      </c>
      <c r="D31" s="707" t="s">
        <v>9176</v>
      </c>
      <c r="E31" s="717"/>
      <c r="F31" s="53"/>
      <c r="G31" s="219"/>
      <c r="H31" s="50"/>
      <c r="I31" s="44"/>
      <c r="J31" s="247"/>
      <c r="K31" s="46"/>
      <c r="L31" s="35"/>
      <c r="O31" s="53"/>
      <c r="P31" s="50"/>
      <c r="Q31" s="47">
        <f>ROUND((_11_A家事１．２５*(1+_11・A深夜)),0)</f>
        <v>357</v>
      </c>
      <c r="R31" s="48"/>
    </row>
    <row r="32" spans="1:18" ht="16.5" customHeight="1" x14ac:dyDescent="0.15">
      <c r="A32" s="41">
        <v>11</v>
      </c>
      <c r="B32" s="41">
        <v>7784</v>
      </c>
      <c r="C32" s="74" t="s">
        <v>9177</v>
      </c>
      <c r="D32" s="709"/>
      <c r="E32" s="718"/>
      <c r="F32" s="43"/>
      <c r="G32" s="246"/>
      <c r="H32" s="38"/>
      <c r="I32" s="44" t="s">
        <v>397</v>
      </c>
      <c r="J32" s="247" t="s">
        <v>398</v>
      </c>
      <c r="K32" s="46">
        <v>1</v>
      </c>
      <c r="L32" s="35"/>
      <c r="O32" s="35"/>
      <c r="Q32" s="47">
        <f>ROUND((ROUND((_11_A家事１．２５*_11・２人),0)*(1+_11・A深夜)),0)</f>
        <v>357</v>
      </c>
      <c r="R32" s="48"/>
    </row>
    <row r="33" spans="1:18" ht="16.5" customHeight="1" x14ac:dyDescent="0.15">
      <c r="A33" s="41">
        <v>11</v>
      </c>
      <c r="B33" s="41">
        <v>7785</v>
      </c>
      <c r="C33" s="74" t="s">
        <v>9178</v>
      </c>
      <c r="D33" s="709"/>
      <c r="E33" s="718"/>
      <c r="F33" s="752" t="s">
        <v>400</v>
      </c>
      <c r="G33" s="219" t="s">
        <v>398</v>
      </c>
      <c r="H33" s="50">
        <v>0.9</v>
      </c>
      <c r="I33" s="44"/>
      <c r="J33" s="247"/>
      <c r="K33" s="46"/>
      <c r="L33" s="35"/>
      <c r="O33" s="35"/>
      <c r="Q33" s="47">
        <f>ROUND((ROUND((_11_A家事１．２５*_11・基礎２),0)*(1+_11・A深夜)),0)</f>
        <v>321</v>
      </c>
      <c r="R33" s="48"/>
    </row>
    <row r="34" spans="1:18" ht="16.5" customHeight="1" x14ac:dyDescent="0.15">
      <c r="A34" s="41">
        <v>11</v>
      </c>
      <c r="B34" s="41">
        <v>7786</v>
      </c>
      <c r="C34" s="74" t="s">
        <v>9179</v>
      </c>
      <c r="D34" s="249">
        <f>_11_A家事１．２５</f>
        <v>238</v>
      </c>
      <c r="E34" s="12" t="s">
        <v>392</v>
      </c>
      <c r="F34" s="757"/>
      <c r="G34" s="246"/>
      <c r="H34" s="38"/>
      <c r="I34" s="44" t="s">
        <v>397</v>
      </c>
      <c r="J34" s="247" t="s">
        <v>398</v>
      </c>
      <c r="K34" s="46">
        <v>1</v>
      </c>
      <c r="L34" s="35"/>
      <c r="O34" s="43"/>
      <c r="P34" s="38"/>
      <c r="Q34" s="47">
        <f>ROUND((ROUND((ROUND((_11_A家事１．２５*_11・基礎２),0)*_11・２人),0)*(1+_11・A深夜)),0)</f>
        <v>321</v>
      </c>
      <c r="R34" s="48"/>
    </row>
    <row r="35" spans="1:18" ht="16.5" customHeight="1" x14ac:dyDescent="0.15">
      <c r="A35" s="41">
        <v>11</v>
      </c>
      <c r="B35" s="41" t="s">
        <v>9180</v>
      </c>
      <c r="C35" s="74" t="s">
        <v>9181</v>
      </c>
      <c r="D35" s="202"/>
      <c r="F35" s="53"/>
      <c r="G35" s="219"/>
      <c r="H35" s="50"/>
      <c r="I35" s="44"/>
      <c r="J35" s="247"/>
      <c r="K35" s="46"/>
      <c r="L35" s="35"/>
      <c r="O35" s="707" t="s">
        <v>404</v>
      </c>
      <c r="P35" s="708"/>
      <c r="Q35" s="47">
        <f>ROUND((ROUND((_11_A家事１．２５*(1+_11・A深夜)),0)*_11・初任),0)</f>
        <v>250</v>
      </c>
      <c r="R35" s="48"/>
    </row>
    <row r="36" spans="1:18" ht="16.5" customHeight="1" x14ac:dyDescent="0.15">
      <c r="A36" s="41">
        <v>11</v>
      </c>
      <c r="B36" s="41" t="s">
        <v>9182</v>
      </c>
      <c r="C36" s="74" t="s">
        <v>9183</v>
      </c>
      <c r="D36" s="202"/>
      <c r="F36" s="43"/>
      <c r="G36" s="246"/>
      <c r="H36" s="38"/>
      <c r="I36" s="44" t="s">
        <v>397</v>
      </c>
      <c r="J36" s="247" t="s">
        <v>398</v>
      </c>
      <c r="K36" s="46">
        <v>1</v>
      </c>
      <c r="L36" s="35"/>
      <c r="O36" s="709"/>
      <c r="P36" s="704"/>
      <c r="Q36" s="47">
        <f>ROUND((ROUND((ROUND((_11_A家事１．２５*_11・２人),0)*(1+_11・A深夜)),0)*_11・初任),0)</f>
        <v>250</v>
      </c>
      <c r="R36" s="48"/>
    </row>
    <row r="37" spans="1:18" ht="16.5" customHeight="1" x14ac:dyDescent="0.15">
      <c r="A37" s="41">
        <v>11</v>
      </c>
      <c r="B37" s="41" t="s">
        <v>9184</v>
      </c>
      <c r="C37" s="74" t="s">
        <v>9185</v>
      </c>
      <c r="D37" s="203"/>
      <c r="F37" s="752" t="s">
        <v>400</v>
      </c>
      <c r="G37" s="219" t="s">
        <v>398</v>
      </c>
      <c r="H37" s="50">
        <v>0.9</v>
      </c>
      <c r="I37" s="44"/>
      <c r="J37" s="247"/>
      <c r="K37" s="46"/>
      <c r="L37" s="35"/>
      <c r="O37" s="709"/>
      <c r="P37" s="704"/>
      <c r="Q37" s="47">
        <f>ROUND((ROUND((ROUND((_11_A家事１．２５*_11・基礎２),0)*(1+_11・A深夜)),0)*_11・初任),0)</f>
        <v>225</v>
      </c>
      <c r="R37" s="48"/>
    </row>
    <row r="38" spans="1:18" ht="16.5" customHeight="1" x14ac:dyDescent="0.15">
      <c r="A38" s="41">
        <v>11</v>
      </c>
      <c r="B38" s="41" t="s">
        <v>9186</v>
      </c>
      <c r="C38" s="74" t="s">
        <v>9187</v>
      </c>
      <c r="D38" s="203"/>
      <c r="F38" s="757"/>
      <c r="G38" s="246"/>
      <c r="H38" s="38"/>
      <c r="I38" s="44" t="s">
        <v>397</v>
      </c>
      <c r="J38" s="247" t="s">
        <v>398</v>
      </c>
      <c r="K38" s="46">
        <v>1</v>
      </c>
      <c r="L38" s="35"/>
      <c r="O38" s="240" t="s">
        <v>398</v>
      </c>
      <c r="P38" s="38">
        <f>_11・初任</f>
        <v>0.7</v>
      </c>
      <c r="Q38" s="47">
        <f>ROUND((ROUND((ROUND((ROUND((_11_A家事１．２５*_11・基礎２),0)*_11・２人),0)*(1+_11・A深夜)),0)*_11・初任),0)</f>
        <v>225</v>
      </c>
      <c r="R38" s="48"/>
    </row>
    <row r="39" spans="1:18" ht="16.5" customHeight="1" x14ac:dyDescent="0.15">
      <c r="A39" s="41">
        <v>11</v>
      </c>
      <c r="B39" s="41">
        <v>6259</v>
      </c>
      <c r="C39" s="74" t="s">
        <v>9188</v>
      </c>
      <c r="D39" s="707" t="s">
        <v>9189</v>
      </c>
      <c r="E39" s="717"/>
      <c r="F39" s="53"/>
      <c r="G39" s="219"/>
      <c r="H39" s="50"/>
      <c r="I39" s="44"/>
      <c r="J39" s="247"/>
      <c r="K39" s="46"/>
      <c r="L39" s="35"/>
      <c r="O39" s="53"/>
      <c r="P39" s="50"/>
      <c r="Q39" s="47">
        <f>ROUND((_11_A家事１．５*(1+_11・A深夜)),0)</f>
        <v>411</v>
      </c>
      <c r="R39" s="48"/>
    </row>
    <row r="40" spans="1:18" ht="16.5" customHeight="1" x14ac:dyDescent="0.15">
      <c r="A40" s="41">
        <v>11</v>
      </c>
      <c r="B40" s="41">
        <v>6260</v>
      </c>
      <c r="C40" s="74" t="s">
        <v>9190</v>
      </c>
      <c r="D40" s="709"/>
      <c r="E40" s="718"/>
      <c r="F40" s="43"/>
      <c r="G40" s="246"/>
      <c r="H40" s="38"/>
      <c r="I40" s="44" t="s">
        <v>397</v>
      </c>
      <c r="J40" s="247" t="s">
        <v>398</v>
      </c>
      <c r="K40" s="46">
        <v>1</v>
      </c>
      <c r="L40" s="35"/>
      <c r="O40" s="35"/>
      <c r="Q40" s="47">
        <f>ROUND((ROUND((_11_A家事１．５*_11・２人),0)*(1+_11・A深夜)),0)</f>
        <v>411</v>
      </c>
      <c r="R40" s="48"/>
    </row>
    <row r="41" spans="1:18" ht="16.5" customHeight="1" x14ac:dyDescent="0.15">
      <c r="A41" s="41">
        <v>11</v>
      </c>
      <c r="B41" s="41">
        <v>6261</v>
      </c>
      <c r="C41" s="74" t="s">
        <v>9191</v>
      </c>
      <c r="D41" s="709"/>
      <c r="E41" s="718"/>
      <c r="F41" s="752" t="s">
        <v>400</v>
      </c>
      <c r="G41" s="219" t="s">
        <v>398</v>
      </c>
      <c r="H41" s="50">
        <v>0.9</v>
      </c>
      <c r="I41" s="44"/>
      <c r="J41" s="247"/>
      <c r="K41" s="46"/>
      <c r="L41" s="35"/>
      <c r="O41" s="35"/>
      <c r="Q41" s="47">
        <f>ROUND((ROUND((_11_A家事１．５*_11・基礎２),0)*(1+_11・A深夜)),0)</f>
        <v>371</v>
      </c>
      <c r="R41" s="48"/>
    </row>
    <row r="42" spans="1:18" ht="16.5" customHeight="1" x14ac:dyDescent="0.15">
      <c r="A42" s="41">
        <v>11</v>
      </c>
      <c r="B42" s="41">
        <v>6262</v>
      </c>
      <c r="C42" s="74" t="s">
        <v>9192</v>
      </c>
      <c r="D42" s="249">
        <f>_11_A家事１．５</f>
        <v>274</v>
      </c>
      <c r="E42" s="12" t="s">
        <v>392</v>
      </c>
      <c r="F42" s="757"/>
      <c r="G42" s="246"/>
      <c r="H42" s="38"/>
      <c r="I42" s="44" t="s">
        <v>397</v>
      </c>
      <c r="J42" s="247" t="s">
        <v>398</v>
      </c>
      <c r="K42" s="46">
        <v>1</v>
      </c>
      <c r="L42" s="35"/>
      <c r="O42" s="43"/>
      <c r="P42" s="38"/>
      <c r="Q42" s="47">
        <f>ROUND((ROUND((ROUND((_11_A家事１．５*_11・基礎２),0)*_11・２人),0)*(1+_11・A深夜)),0)</f>
        <v>371</v>
      </c>
      <c r="R42" s="48"/>
    </row>
    <row r="43" spans="1:18" ht="16.5" customHeight="1" x14ac:dyDescent="0.15">
      <c r="A43" s="41">
        <v>11</v>
      </c>
      <c r="B43" s="41" t="s">
        <v>9193</v>
      </c>
      <c r="C43" s="74" t="s">
        <v>9194</v>
      </c>
      <c r="D43" s="202"/>
      <c r="F43" s="53"/>
      <c r="G43" s="219"/>
      <c r="H43" s="50"/>
      <c r="I43" s="44"/>
      <c r="J43" s="247"/>
      <c r="K43" s="46"/>
      <c r="L43" s="35"/>
      <c r="O43" s="707" t="s">
        <v>404</v>
      </c>
      <c r="P43" s="708"/>
      <c r="Q43" s="47">
        <f>ROUND((ROUND((_11_A家事１．５*(1+_11・A深夜)),0)*_11・初任),0)</f>
        <v>288</v>
      </c>
      <c r="R43" s="48"/>
    </row>
    <row r="44" spans="1:18" ht="16.5" customHeight="1" x14ac:dyDescent="0.15">
      <c r="A44" s="41">
        <v>11</v>
      </c>
      <c r="B44" s="41" t="s">
        <v>9195</v>
      </c>
      <c r="C44" s="74" t="s">
        <v>9196</v>
      </c>
      <c r="D44" s="202"/>
      <c r="F44" s="43"/>
      <c r="G44" s="246"/>
      <c r="H44" s="38"/>
      <c r="I44" s="44" t="s">
        <v>397</v>
      </c>
      <c r="J44" s="247" t="s">
        <v>398</v>
      </c>
      <c r="K44" s="46">
        <v>1</v>
      </c>
      <c r="L44" s="35"/>
      <c r="O44" s="709"/>
      <c r="P44" s="704"/>
      <c r="Q44" s="47">
        <f>ROUND((ROUND((ROUND((_11_A家事１．５*_11・２人),0)*(1+_11・A深夜)),0)*_11・初任),0)</f>
        <v>288</v>
      </c>
      <c r="R44" s="48"/>
    </row>
    <row r="45" spans="1:18" ht="16.5" customHeight="1" x14ac:dyDescent="0.15">
      <c r="A45" s="41">
        <v>11</v>
      </c>
      <c r="B45" s="41" t="s">
        <v>9197</v>
      </c>
      <c r="C45" s="74" t="s">
        <v>9198</v>
      </c>
      <c r="D45" s="203"/>
      <c r="F45" s="752" t="s">
        <v>400</v>
      </c>
      <c r="G45" s="219" t="s">
        <v>398</v>
      </c>
      <c r="H45" s="50">
        <v>0.9</v>
      </c>
      <c r="I45" s="44"/>
      <c r="J45" s="247"/>
      <c r="K45" s="46"/>
      <c r="L45" s="35"/>
      <c r="O45" s="709"/>
      <c r="P45" s="704"/>
      <c r="Q45" s="47">
        <f>ROUND((ROUND((ROUND((_11_A家事１．５*_11・基礎２),0)*(1+_11・A深夜)),0)*_11・初任),0)</f>
        <v>260</v>
      </c>
      <c r="R45" s="48"/>
    </row>
    <row r="46" spans="1:18" ht="16.5" customHeight="1" x14ac:dyDescent="0.15">
      <c r="A46" s="41">
        <v>11</v>
      </c>
      <c r="B46" s="41" t="s">
        <v>9199</v>
      </c>
      <c r="C46" s="74" t="s">
        <v>9200</v>
      </c>
      <c r="D46" s="203"/>
      <c r="F46" s="757"/>
      <c r="G46" s="246"/>
      <c r="H46" s="38"/>
      <c r="I46" s="44" t="s">
        <v>397</v>
      </c>
      <c r="J46" s="247" t="s">
        <v>398</v>
      </c>
      <c r="K46" s="46">
        <v>1</v>
      </c>
      <c r="L46" s="35"/>
      <c r="O46" s="240" t="s">
        <v>398</v>
      </c>
      <c r="P46" s="38">
        <f>_11・初任</f>
        <v>0.7</v>
      </c>
      <c r="Q46" s="47">
        <f>ROUND((ROUND((ROUND((ROUND((_11_A家事１．５*_11・基礎２),0)*_11・２人),0)*(1+_11・A深夜)),0)*_11・初任),0)</f>
        <v>260</v>
      </c>
      <c r="R46" s="48"/>
    </row>
    <row r="47" spans="1:18" ht="16.5" customHeight="1" x14ac:dyDescent="0.15">
      <c r="A47" s="41">
        <v>11</v>
      </c>
      <c r="B47" s="41">
        <v>7787</v>
      </c>
      <c r="C47" s="74" t="s">
        <v>9201</v>
      </c>
      <c r="D47" s="707" t="s">
        <v>9202</v>
      </c>
      <c r="E47" s="717"/>
      <c r="F47" s="53"/>
      <c r="G47" s="219"/>
      <c r="H47" s="50"/>
      <c r="I47" s="44"/>
      <c r="J47" s="247"/>
      <c r="K47" s="46"/>
      <c r="L47" s="35"/>
      <c r="O47" s="53"/>
      <c r="P47" s="50"/>
      <c r="Q47" s="47">
        <f>ROUND((_11_A家事１．７５*(1+_11・A深夜)),0)</f>
        <v>464</v>
      </c>
      <c r="R47" s="48"/>
    </row>
    <row r="48" spans="1:18" ht="16.5" customHeight="1" x14ac:dyDescent="0.15">
      <c r="A48" s="41">
        <v>11</v>
      </c>
      <c r="B48" s="41">
        <v>7788</v>
      </c>
      <c r="C48" s="74" t="s">
        <v>9203</v>
      </c>
      <c r="D48" s="709"/>
      <c r="E48" s="718"/>
      <c r="F48" s="43"/>
      <c r="G48" s="246"/>
      <c r="H48" s="38"/>
      <c r="I48" s="44" t="s">
        <v>397</v>
      </c>
      <c r="J48" s="247" t="s">
        <v>398</v>
      </c>
      <c r="K48" s="46">
        <v>1</v>
      </c>
      <c r="L48" s="35"/>
      <c r="O48" s="35"/>
      <c r="Q48" s="47">
        <f>ROUND((ROUND((_11_A家事１．７５*_11・２人),0)*(1+_11・A深夜)),0)</f>
        <v>464</v>
      </c>
      <c r="R48" s="48"/>
    </row>
    <row r="49" spans="1:18" ht="16.5" customHeight="1" x14ac:dyDescent="0.15">
      <c r="A49" s="41">
        <v>11</v>
      </c>
      <c r="B49" s="41">
        <v>7789</v>
      </c>
      <c r="C49" s="74" t="s">
        <v>9204</v>
      </c>
      <c r="D49" s="709"/>
      <c r="E49" s="718"/>
      <c r="F49" s="752" t="s">
        <v>400</v>
      </c>
      <c r="G49" s="219" t="s">
        <v>398</v>
      </c>
      <c r="H49" s="50">
        <v>0.9</v>
      </c>
      <c r="I49" s="44"/>
      <c r="J49" s="247"/>
      <c r="K49" s="46"/>
      <c r="L49" s="35"/>
      <c r="O49" s="35"/>
      <c r="Q49" s="47">
        <f>ROUND((ROUND((_11_A家事１．７５*_11・基礎２),0)*(1+_11・A深夜)),0)</f>
        <v>417</v>
      </c>
      <c r="R49" s="48"/>
    </row>
    <row r="50" spans="1:18" ht="16.5" customHeight="1" x14ac:dyDescent="0.15">
      <c r="A50" s="41">
        <v>11</v>
      </c>
      <c r="B50" s="41">
        <v>7790</v>
      </c>
      <c r="C50" s="74" t="s">
        <v>9205</v>
      </c>
      <c r="D50" s="249">
        <f>_11_A家事１．７５</f>
        <v>309</v>
      </c>
      <c r="E50" s="12" t="s">
        <v>392</v>
      </c>
      <c r="F50" s="757"/>
      <c r="G50" s="246"/>
      <c r="H50" s="38"/>
      <c r="I50" s="44" t="s">
        <v>397</v>
      </c>
      <c r="J50" s="247" t="s">
        <v>398</v>
      </c>
      <c r="K50" s="46">
        <v>1</v>
      </c>
      <c r="L50" s="35"/>
      <c r="O50" s="43"/>
      <c r="P50" s="38"/>
      <c r="Q50" s="47">
        <f>ROUND((ROUND((ROUND((_11_A家事１．７５*_11・基礎２),0)*_11・２人),0)*(1+_11・A深夜)),0)</f>
        <v>417</v>
      </c>
      <c r="R50" s="48"/>
    </row>
    <row r="51" spans="1:18" ht="16.5" customHeight="1" x14ac:dyDescent="0.15">
      <c r="A51" s="41">
        <v>11</v>
      </c>
      <c r="B51" s="41" t="s">
        <v>9206</v>
      </c>
      <c r="C51" s="74" t="s">
        <v>9207</v>
      </c>
      <c r="D51" s="202"/>
      <c r="F51" s="53"/>
      <c r="G51" s="219"/>
      <c r="H51" s="50"/>
      <c r="I51" s="44"/>
      <c r="J51" s="247"/>
      <c r="K51" s="46"/>
      <c r="L51" s="35"/>
      <c r="O51" s="707" t="s">
        <v>404</v>
      </c>
      <c r="P51" s="708"/>
      <c r="Q51" s="47">
        <f>ROUND((ROUND((_11_A家事１．７５*(1+_11・A深夜)),0)*_11・初任),0)</f>
        <v>325</v>
      </c>
      <c r="R51" s="48"/>
    </row>
    <row r="52" spans="1:18" ht="16.5" customHeight="1" x14ac:dyDescent="0.15">
      <c r="A52" s="41">
        <v>11</v>
      </c>
      <c r="B52" s="41" t="s">
        <v>9208</v>
      </c>
      <c r="C52" s="74" t="s">
        <v>9209</v>
      </c>
      <c r="D52" s="202"/>
      <c r="F52" s="43"/>
      <c r="G52" s="246"/>
      <c r="H52" s="38"/>
      <c r="I52" s="44" t="s">
        <v>397</v>
      </c>
      <c r="J52" s="247" t="s">
        <v>398</v>
      </c>
      <c r="K52" s="46">
        <v>1</v>
      </c>
      <c r="L52" s="35"/>
      <c r="O52" s="709"/>
      <c r="P52" s="704"/>
      <c r="Q52" s="47">
        <f>ROUND((ROUND((ROUND((_11_A家事１．７５*_11・２人),0)*(1+_11・A深夜)),0)*_11・初任),0)</f>
        <v>325</v>
      </c>
      <c r="R52" s="48"/>
    </row>
    <row r="53" spans="1:18" ht="16.5" customHeight="1" x14ac:dyDescent="0.15">
      <c r="A53" s="41">
        <v>11</v>
      </c>
      <c r="B53" s="41" t="s">
        <v>9210</v>
      </c>
      <c r="C53" s="74" t="s">
        <v>9211</v>
      </c>
      <c r="D53" s="203"/>
      <c r="F53" s="752" t="s">
        <v>400</v>
      </c>
      <c r="G53" s="219" t="s">
        <v>398</v>
      </c>
      <c r="H53" s="50">
        <v>0.9</v>
      </c>
      <c r="I53" s="44"/>
      <c r="J53" s="247"/>
      <c r="K53" s="46"/>
      <c r="L53" s="35"/>
      <c r="O53" s="709"/>
      <c r="P53" s="704"/>
      <c r="Q53" s="47">
        <f>ROUND((ROUND((ROUND((_11_A家事１．７５*_11・基礎２),0)*(1+_11・A深夜)),0)*_11・初任),0)</f>
        <v>292</v>
      </c>
      <c r="R53" s="48"/>
    </row>
    <row r="54" spans="1:18" ht="16.5" customHeight="1" x14ac:dyDescent="0.15">
      <c r="A54" s="41">
        <v>11</v>
      </c>
      <c r="B54" s="41" t="s">
        <v>9212</v>
      </c>
      <c r="C54" s="74" t="s">
        <v>9213</v>
      </c>
      <c r="D54" s="203"/>
      <c r="F54" s="757"/>
      <c r="G54" s="246"/>
      <c r="H54" s="38"/>
      <c r="I54" s="44" t="s">
        <v>397</v>
      </c>
      <c r="J54" s="247" t="s">
        <v>398</v>
      </c>
      <c r="K54" s="46">
        <v>1</v>
      </c>
      <c r="L54" s="35"/>
      <c r="O54" s="240" t="s">
        <v>398</v>
      </c>
      <c r="P54" s="38">
        <f>_11・初任</f>
        <v>0.7</v>
      </c>
      <c r="Q54" s="47">
        <f>ROUND((ROUND((ROUND((ROUND((_11_A家事１．７５*_11・基礎２),0)*_11・２人),0)*(1+_11・A深夜)),0)*_11・初任),0)</f>
        <v>292</v>
      </c>
      <c r="R54" s="48"/>
    </row>
    <row r="55" spans="1:18" ht="16.5" customHeight="1" x14ac:dyDescent="0.15">
      <c r="A55" s="41">
        <v>11</v>
      </c>
      <c r="B55" s="41">
        <v>6263</v>
      </c>
      <c r="C55" s="74" t="s">
        <v>9214</v>
      </c>
      <c r="D55" s="707" t="s">
        <v>9215</v>
      </c>
      <c r="E55" s="717"/>
      <c r="F55" s="53"/>
      <c r="G55" s="219"/>
      <c r="H55" s="50"/>
      <c r="I55" s="44"/>
      <c r="J55" s="247"/>
      <c r="K55" s="46"/>
      <c r="L55" s="35"/>
      <c r="O55" s="53"/>
      <c r="P55" s="50"/>
      <c r="Q55" s="47">
        <f>ROUND((_11_A家事２．０*(1+_11・A深夜)),0)</f>
        <v>516</v>
      </c>
      <c r="R55" s="48"/>
    </row>
    <row r="56" spans="1:18" ht="16.5" customHeight="1" x14ac:dyDescent="0.15">
      <c r="A56" s="41">
        <v>11</v>
      </c>
      <c r="B56" s="41">
        <v>6264</v>
      </c>
      <c r="C56" s="74" t="s">
        <v>9216</v>
      </c>
      <c r="D56" s="709"/>
      <c r="E56" s="718"/>
      <c r="F56" s="43"/>
      <c r="G56" s="246"/>
      <c r="H56" s="38"/>
      <c r="I56" s="44" t="s">
        <v>397</v>
      </c>
      <c r="J56" s="247" t="s">
        <v>398</v>
      </c>
      <c r="K56" s="46">
        <v>1</v>
      </c>
      <c r="L56" s="35"/>
      <c r="O56" s="35"/>
      <c r="Q56" s="47">
        <f>ROUND((ROUND((_11_A家事２．０*_11・２人),0)*(1+_11・A深夜)),0)</f>
        <v>516</v>
      </c>
      <c r="R56" s="48"/>
    </row>
    <row r="57" spans="1:18" ht="16.5" customHeight="1" x14ac:dyDescent="0.15">
      <c r="A57" s="41">
        <v>11</v>
      </c>
      <c r="B57" s="41">
        <v>6265</v>
      </c>
      <c r="C57" s="74" t="s">
        <v>9217</v>
      </c>
      <c r="D57" s="709"/>
      <c r="E57" s="718"/>
      <c r="F57" s="752" t="s">
        <v>400</v>
      </c>
      <c r="G57" s="219" t="s">
        <v>398</v>
      </c>
      <c r="H57" s="50">
        <v>0.9</v>
      </c>
      <c r="I57" s="44"/>
      <c r="J57" s="247"/>
      <c r="K57" s="46"/>
      <c r="L57" s="35"/>
      <c r="O57" s="35"/>
      <c r="Q57" s="47">
        <f>ROUND((ROUND((_11_A家事２．０*_11・基礎２),0)*(1+_11・A深夜)),0)</f>
        <v>465</v>
      </c>
      <c r="R57" s="48"/>
    </row>
    <row r="58" spans="1:18" ht="16.5" customHeight="1" x14ac:dyDescent="0.15">
      <c r="A58" s="41">
        <v>11</v>
      </c>
      <c r="B58" s="41">
        <v>6266</v>
      </c>
      <c r="C58" s="74" t="s">
        <v>9218</v>
      </c>
      <c r="D58" s="249">
        <f>_11_A家事２．０</f>
        <v>344</v>
      </c>
      <c r="E58" s="12" t="s">
        <v>392</v>
      </c>
      <c r="F58" s="757"/>
      <c r="G58" s="246"/>
      <c r="H58" s="38"/>
      <c r="I58" s="44" t="s">
        <v>397</v>
      </c>
      <c r="J58" s="247" t="s">
        <v>398</v>
      </c>
      <c r="K58" s="46">
        <v>1</v>
      </c>
      <c r="L58" s="35"/>
      <c r="O58" s="43"/>
      <c r="P58" s="38"/>
      <c r="Q58" s="47">
        <f>ROUND((ROUND((ROUND((_11_A家事２．０*_11・基礎２),0)*_11・２人),0)*(1+_11・A深夜)),0)</f>
        <v>465</v>
      </c>
      <c r="R58" s="48"/>
    </row>
    <row r="59" spans="1:18" ht="16.5" customHeight="1" x14ac:dyDescent="0.15">
      <c r="A59" s="41">
        <v>11</v>
      </c>
      <c r="B59" s="41" t="s">
        <v>9219</v>
      </c>
      <c r="C59" s="74" t="s">
        <v>9220</v>
      </c>
      <c r="D59" s="202"/>
      <c r="F59" s="53"/>
      <c r="G59" s="219"/>
      <c r="H59" s="50"/>
      <c r="I59" s="44"/>
      <c r="J59" s="247"/>
      <c r="K59" s="46"/>
      <c r="L59" s="35"/>
      <c r="O59" s="707" t="s">
        <v>404</v>
      </c>
      <c r="P59" s="708"/>
      <c r="Q59" s="47">
        <f>ROUND((ROUND((_11_A家事２．０*(1+_11・A深夜)),0)*_11・初任),0)</f>
        <v>361</v>
      </c>
      <c r="R59" s="48"/>
    </row>
    <row r="60" spans="1:18" ht="16.5" customHeight="1" x14ac:dyDescent="0.15">
      <c r="A60" s="41">
        <v>11</v>
      </c>
      <c r="B60" s="41" t="s">
        <v>9221</v>
      </c>
      <c r="C60" s="74" t="s">
        <v>9222</v>
      </c>
      <c r="D60" s="202"/>
      <c r="F60" s="43"/>
      <c r="G60" s="246"/>
      <c r="H60" s="38"/>
      <c r="I60" s="44" t="s">
        <v>397</v>
      </c>
      <c r="J60" s="247" t="s">
        <v>398</v>
      </c>
      <c r="K60" s="46">
        <v>1</v>
      </c>
      <c r="L60" s="35"/>
      <c r="O60" s="709"/>
      <c r="P60" s="704"/>
      <c r="Q60" s="47">
        <f>ROUND((ROUND((ROUND((_11_A家事２．０*_11・２人),0)*(1+_11・A深夜)),0)*_11・初任),0)</f>
        <v>361</v>
      </c>
      <c r="R60" s="48"/>
    </row>
    <row r="61" spans="1:18" ht="16.5" customHeight="1" x14ac:dyDescent="0.15">
      <c r="A61" s="41">
        <v>11</v>
      </c>
      <c r="B61" s="41" t="s">
        <v>9223</v>
      </c>
      <c r="C61" s="74" t="s">
        <v>9224</v>
      </c>
      <c r="D61" s="203"/>
      <c r="F61" s="752" t="s">
        <v>400</v>
      </c>
      <c r="G61" s="219" t="s">
        <v>398</v>
      </c>
      <c r="H61" s="50">
        <v>0.9</v>
      </c>
      <c r="I61" s="44"/>
      <c r="J61" s="247"/>
      <c r="K61" s="46"/>
      <c r="L61" s="35"/>
      <c r="O61" s="709"/>
      <c r="P61" s="704"/>
      <c r="Q61" s="47">
        <f>ROUND((ROUND((ROUND((_11_A家事２．０*_11・基礎２),0)*(1+_11・A深夜)),0)*_11・初任),0)</f>
        <v>326</v>
      </c>
      <c r="R61" s="48"/>
    </row>
    <row r="62" spans="1:18" ht="16.5" customHeight="1" x14ac:dyDescent="0.15">
      <c r="A62" s="41">
        <v>11</v>
      </c>
      <c r="B62" s="41" t="s">
        <v>9225</v>
      </c>
      <c r="C62" s="74" t="s">
        <v>9226</v>
      </c>
      <c r="D62" s="203"/>
      <c r="F62" s="757"/>
      <c r="G62" s="246"/>
      <c r="H62" s="38"/>
      <c r="I62" s="44" t="s">
        <v>397</v>
      </c>
      <c r="J62" s="247" t="s">
        <v>398</v>
      </c>
      <c r="K62" s="46">
        <v>1</v>
      </c>
      <c r="L62" s="35"/>
      <c r="O62" s="240" t="s">
        <v>398</v>
      </c>
      <c r="P62" s="38">
        <f>_11・初任</f>
        <v>0.7</v>
      </c>
      <c r="Q62" s="47">
        <f>ROUND((ROUND((ROUND((ROUND((_11_A家事２．０*_11・基礎２),0)*_11・２人),0)*(1+_11・A深夜)),0)*_11・初任),0)</f>
        <v>326</v>
      </c>
      <c r="R62" s="48"/>
    </row>
    <row r="63" spans="1:18" ht="16.5" customHeight="1" x14ac:dyDescent="0.15">
      <c r="A63" s="41">
        <v>11</v>
      </c>
      <c r="B63" s="41">
        <v>7791</v>
      </c>
      <c r="C63" s="74" t="s">
        <v>9227</v>
      </c>
      <c r="D63" s="707" t="s">
        <v>9228</v>
      </c>
      <c r="E63" s="717"/>
      <c r="F63" s="53"/>
      <c r="G63" s="219"/>
      <c r="H63" s="50"/>
      <c r="I63" s="44"/>
      <c r="J63" s="247"/>
      <c r="K63" s="46"/>
      <c r="L63" s="35"/>
      <c r="O63" s="53"/>
      <c r="P63" s="50"/>
      <c r="Q63" s="47">
        <f>ROUND((_11_A家事２．２５*(1+_11・A深夜)),0)</f>
        <v>569</v>
      </c>
      <c r="R63" s="48"/>
    </row>
    <row r="64" spans="1:18" ht="16.5" customHeight="1" x14ac:dyDescent="0.15">
      <c r="A64" s="41">
        <v>11</v>
      </c>
      <c r="B64" s="41">
        <v>7792</v>
      </c>
      <c r="C64" s="74" t="s">
        <v>9229</v>
      </c>
      <c r="D64" s="709"/>
      <c r="E64" s="718"/>
      <c r="F64" s="43"/>
      <c r="G64" s="246"/>
      <c r="H64" s="38"/>
      <c r="I64" s="44" t="s">
        <v>397</v>
      </c>
      <c r="J64" s="247" t="s">
        <v>398</v>
      </c>
      <c r="K64" s="46">
        <v>1</v>
      </c>
      <c r="L64" s="35"/>
      <c r="O64" s="35"/>
      <c r="Q64" s="47">
        <f>ROUND((ROUND((_11_A家事２．２５*_11・２人),0)*(1+_11・A深夜)),0)</f>
        <v>569</v>
      </c>
      <c r="R64" s="48"/>
    </row>
    <row r="65" spans="1:18" ht="16.5" customHeight="1" x14ac:dyDescent="0.15">
      <c r="A65" s="41">
        <v>11</v>
      </c>
      <c r="B65" s="41">
        <v>7793</v>
      </c>
      <c r="C65" s="74" t="s">
        <v>9230</v>
      </c>
      <c r="D65" s="709"/>
      <c r="E65" s="718"/>
      <c r="F65" s="752" t="s">
        <v>400</v>
      </c>
      <c r="G65" s="219" t="s">
        <v>398</v>
      </c>
      <c r="H65" s="50">
        <v>0.9</v>
      </c>
      <c r="I65" s="44"/>
      <c r="J65" s="247"/>
      <c r="K65" s="46"/>
      <c r="L65" s="35"/>
      <c r="O65" s="35"/>
      <c r="Q65" s="47">
        <f>ROUND((ROUND((_11_A家事２．２５*_11・基礎２),0)*(1+_11・A深夜)),0)</f>
        <v>512</v>
      </c>
      <c r="R65" s="48"/>
    </row>
    <row r="66" spans="1:18" ht="16.5" customHeight="1" x14ac:dyDescent="0.15">
      <c r="A66" s="41">
        <v>11</v>
      </c>
      <c r="B66" s="41">
        <v>7794</v>
      </c>
      <c r="C66" s="74" t="s">
        <v>9231</v>
      </c>
      <c r="D66" s="249">
        <f>_11_A家事２．２５</f>
        <v>379</v>
      </c>
      <c r="E66" s="12" t="s">
        <v>392</v>
      </c>
      <c r="F66" s="757"/>
      <c r="G66" s="246"/>
      <c r="H66" s="38"/>
      <c r="I66" s="44" t="s">
        <v>397</v>
      </c>
      <c r="J66" s="247" t="s">
        <v>398</v>
      </c>
      <c r="K66" s="46">
        <v>1</v>
      </c>
      <c r="L66" s="35"/>
      <c r="O66" s="43"/>
      <c r="P66" s="38"/>
      <c r="Q66" s="47">
        <f>ROUND((ROUND((ROUND((_11_A家事２．２５*_11・基礎２),0)*_11・２人),0)*(1+_11・A深夜)),0)</f>
        <v>512</v>
      </c>
      <c r="R66" s="48"/>
    </row>
    <row r="67" spans="1:18" ht="16.5" customHeight="1" x14ac:dyDescent="0.15">
      <c r="A67" s="41">
        <v>11</v>
      </c>
      <c r="B67" s="41" t="s">
        <v>9232</v>
      </c>
      <c r="C67" s="74" t="s">
        <v>9233</v>
      </c>
      <c r="D67" s="202"/>
      <c r="F67" s="53"/>
      <c r="G67" s="219"/>
      <c r="H67" s="50"/>
      <c r="I67" s="44"/>
      <c r="J67" s="247"/>
      <c r="K67" s="46"/>
      <c r="L67" s="35"/>
      <c r="O67" s="707" t="s">
        <v>404</v>
      </c>
      <c r="P67" s="708"/>
      <c r="Q67" s="47">
        <f>ROUND((ROUND((_11_A家事２．２５*(1+_11・A深夜)),0)*_11・初任),0)</f>
        <v>398</v>
      </c>
      <c r="R67" s="48"/>
    </row>
    <row r="68" spans="1:18" ht="16.5" customHeight="1" x14ac:dyDescent="0.15">
      <c r="A68" s="41">
        <v>11</v>
      </c>
      <c r="B68" s="41" t="s">
        <v>9234</v>
      </c>
      <c r="C68" s="74" t="s">
        <v>9235</v>
      </c>
      <c r="D68" s="202"/>
      <c r="F68" s="43"/>
      <c r="G68" s="246"/>
      <c r="H68" s="38"/>
      <c r="I68" s="44" t="s">
        <v>397</v>
      </c>
      <c r="J68" s="247" t="s">
        <v>398</v>
      </c>
      <c r="K68" s="46">
        <v>1</v>
      </c>
      <c r="L68" s="35"/>
      <c r="O68" s="709"/>
      <c r="P68" s="704"/>
      <c r="Q68" s="47">
        <f>ROUND((ROUND((ROUND((_11_A家事２．２５*_11・２人),0)*(1+_11・A深夜)),0)*_11・初任),0)</f>
        <v>398</v>
      </c>
      <c r="R68" s="48"/>
    </row>
    <row r="69" spans="1:18" ht="16.5" customHeight="1" x14ac:dyDescent="0.15">
      <c r="A69" s="41">
        <v>11</v>
      </c>
      <c r="B69" s="41" t="s">
        <v>9236</v>
      </c>
      <c r="C69" s="74" t="s">
        <v>9237</v>
      </c>
      <c r="D69" s="203"/>
      <c r="F69" s="752" t="s">
        <v>400</v>
      </c>
      <c r="G69" s="219" t="s">
        <v>398</v>
      </c>
      <c r="H69" s="50">
        <v>0.9</v>
      </c>
      <c r="I69" s="44"/>
      <c r="J69" s="247"/>
      <c r="K69" s="46"/>
      <c r="L69" s="35"/>
      <c r="O69" s="709"/>
      <c r="P69" s="704"/>
      <c r="Q69" s="47">
        <f>ROUND((ROUND((ROUND((_11_A家事２．２５*_11・基礎２),0)*(1+_11・A深夜)),0)*_11・初任),0)</f>
        <v>358</v>
      </c>
      <c r="R69" s="48"/>
    </row>
    <row r="70" spans="1:18" ht="16.5" customHeight="1" x14ac:dyDescent="0.15">
      <c r="A70" s="41">
        <v>11</v>
      </c>
      <c r="B70" s="41" t="s">
        <v>9238</v>
      </c>
      <c r="C70" s="74" t="s">
        <v>9239</v>
      </c>
      <c r="D70" s="203"/>
      <c r="F70" s="757"/>
      <c r="G70" s="246"/>
      <c r="H70" s="38"/>
      <c r="I70" s="44" t="s">
        <v>397</v>
      </c>
      <c r="J70" s="247" t="s">
        <v>398</v>
      </c>
      <c r="K70" s="46">
        <v>1</v>
      </c>
      <c r="L70" s="35"/>
      <c r="O70" s="240" t="s">
        <v>398</v>
      </c>
      <c r="P70" s="38">
        <f>_11・初任</f>
        <v>0.7</v>
      </c>
      <c r="Q70" s="47">
        <f>ROUND((ROUND((ROUND((ROUND((_11_A家事２．２５*_11・基礎２),0)*_11・２人),0)*(1+_11・A深夜)),0)*_11・初任),0)</f>
        <v>358</v>
      </c>
      <c r="R70" s="48"/>
    </row>
    <row r="71" spans="1:18" ht="16.5" customHeight="1" x14ac:dyDescent="0.15">
      <c r="A71" s="41">
        <v>11</v>
      </c>
      <c r="B71" s="41">
        <v>6267</v>
      </c>
      <c r="C71" s="74" t="s">
        <v>9240</v>
      </c>
      <c r="D71" s="707" t="s">
        <v>9241</v>
      </c>
      <c r="E71" s="717"/>
      <c r="F71" s="53"/>
      <c r="G71" s="219"/>
      <c r="H71" s="50"/>
      <c r="I71" s="44"/>
      <c r="J71" s="247"/>
      <c r="K71" s="46"/>
      <c r="L71" s="35"/>
      <c r="O71" s="53"/>
      <c r="P71" s="50"/>
      <c r="Q71" s="47">
        <f>ROUND((_11_A家事２．５*(1+_11・A深夜)),0)</f>
        <v>621</v>
      </c>
      <c r="R71" s="48"/>
    </row>
    <row r="72" spans="1:18" ht="16.5" customHeight="1" x14ac:dyDescent="0.15">
      <c r="A72" s="41">
        <v>11</v>
      </c>
      <c r="B72" s="41">
        <v>6268</v>
      </c>
      <c r="C72" s="74" t="s">
        <v>9242</v>
      </c>
      <c r="D72" s="709"/>
      <c r="E72" s="718"/>
      <c r="F72" s="43"/>
      <c r="G72" s="246"/>
      <c r="H72" s="38"/>
      <c r="I72" s="44" t="s">
        <v>397</v>
      </c>
      <c r="J72" s="247" t="s">
        <v>398</v>
      </c>
      <c r="K72" s="46">
        <v>1</v>
      </c>
      <c r="L72" s="35"/>
      <c r="O72" s="35"/>
      <c r="Q72" s="47">
        <f>ROUND((ROUND((_11_A家事２．５*_11・２人),0)*(1+_11・A深夜)),0)</f>
        <v>621</v>
      </c>
      <c r="R72" s="48"/>
    </row>
    <row r="73" spans="1:18" ht="16.5" customHeight="1" x14ac:dyDescent="0.15">
      <c r="A73" s="41">
        <v>11</v>
      </c>
      <c r="B73" s="41">
        <v>6269</v>
      </c>
      <c r="C73" s="74" t="s">
        <v>9243</v>
      </c>
      <c r="D73" s="709"/>
      <c r="E73" s="718"/>
      <c r="F73" s="752" t="s">
        <v>400</v>
      </c>
      <c r="G73" s="219" t="s">
        <v>398</v>
      </c>
      <c r="H73" s="50">
        <v>0.9</v>
      </c>
      <c r="I73" s="44"/>
      <c r="J73" s="247"/>
      <c r="K73" s="46"/>
      <c r="L73" s="35"/>
      <c r="O73" s="35"/>
      <c r="Q73" s="47">
        <f>ROUND((ROUND((_11_A家事２．５*_11・基礎２),0)*(1+_11・A深夜)),0)</f>
        <v>560</v>
      </c>
      <c r="R73" s="48"/>
    </row>
    <row r="74" spans="1:18" ht="16.5" customHeight="1" x14ac:dyDescent="0.15">
      <c r="A74" s="41">
        <v>11</v>
      </c>
      <c r="B74" s="41">
        <v>6270</v>
      </c>
      <c r="C74" s="74" t="s">
        <v>9244</v>
      </c>
      <c r="D74" s="249">
        <f>_11_A家事２．５</f>
        <v>414</v>
      </c>
      <c r="E74" s="12" t="s">
        <v>392</v>
      </c>
      <c r="F74" s="757"/>
      <c r="G74" s="246"/>
      <c r="H74" s="38"/>
      <c r="I74" s="44" t="s">
        <v>397</v>
      </c>
      <c r="J74" s="247" t="s">
        <v>398</v>
      </c>
      <c r="K74" s="46">
        <v>1</v>
      </c>
      <c r="L74" s="35"/>
      <c r="O74" s="43"/>
      <c r="P74" s="38"/>
      <c r="Q74" s="47">
        <f>ROUND((ROUND((ROUND((_11_A家事２．５*_11・基礎２),0)*_11・２人),0)*(1+_11・A深夜)),0)</f>
        <v>560</v>
      </c>
      <c r="R74" s="48"/>
    </row>
    <row r="75" spans="1:18" ht="16.5" customHeight="1" x14ac:dyDescent="0.15">
      <c r="A75" s="41">
        <v>11</v>
      </c>
      <c r="B75" s="41" t="s">
        <v>9245</v>
      </c>
      <c r="C75" s="74" t="s">
        <v>9246</v>
      </c>
      <c r="D75" s="202"/>
      <c r="F75" s="53"/>
      <c r="G75" s="219"/>
      <c r="H75" s="50"/>
      <c r="I75" s="44"/>
      <c r="J75" s="247"/>
      <c r="K75" s="46"/>
      <c r="L75" s="35"/>
      <c r="O75" s="707" t="s">
        <v>404</v>
      </c>
      <c r="P75" s="708"/>
      <c r="Q75" s="47">
        <f>ROUND((ROUND((_11_A家事２．５*(1+_11・A深夜)),0)*_11・初任),0)</f>
        <v>435</v>
      </c>
      <c r="R75" s="48"/>
    </row>
    <row r="76" spans="1:18" ht="16.5" customHeight="1" x14ac:dyDescent="0.15">
      <c r="A76" s="41">
        <v>11</v>
      </c>
      <c r="B76" s="41" t="s">
        <v>9247</v>
      </c>
      <c r="C76" s="74" t="s">
        <v>9248</v>
      </c>
      <c r="D76" s="202"/>
      <c r="F76" s="43"/>
      <c r="G76" s="246"/>
      <c r="H76" s="38"/>
      <c r="I76" s="44" t="s">
        <v>397</v>
      </c>
      <c r="J76" s="247" t="s">
        <v>398</v>
      </c>
      <c r="K76" s="46">
        <v>1</v>
      </c>
      <c r="L76" s="35"/>
      <c r="O76" s="709"/>
      <c r="P76" s="704"/>
      <c r="Q76" s="47">
        <f>ROUND((ROUND((ROUND((_11_A家事２．５*_11・２人),0)*(1+_11・A深夜)),0)*_11・初任),0)</f>
        <v>435</v>
      </c>
      <c r="R76" s="48"/>
    </row>
    <row r="77" spans="1:18" ht="16.5" customHeight="1" x14ac:dyDescent="0.15">
      <c r="A77" s="41">
        <v>11</v>
      </c>
      <c r="B77" s="41" t="s">
        <v>9249</v>
      </c>
      <c r="C77" s="74" t="s">
        <v>9250</v>
      </c>
      <c r="D77" s="203"/>
      <c r="F77" s="752" t="s">
        <v>400</v>
      </c>
      <c r="G77" s="219" t="s">
        <v>398</v>
      </c>
      <c r="H77" s="50">
        <v>0.9</v>
      </c>
      <c r="I77" s="44"/>
      <c r="J77" s="247"/>
      <c r="K77" s="46"/>
      <c r="L77" s="35"/>
      <c r="O77" s="709"/>
      <c r="P77" s="704"/>
      <c r="Q77" s="47">
        <f>ROUND((ROUND((ROUND((_11_A家事２．５*_11・基礎２),0)*(1+_11・A深夜)),0)*_11・初任),0)</f>
        <v>392</v>
      </c>
      <c r="R77" s="48"/>
    </row>
    <row r="78" spans="1:18" ht="16.5" customHeight="1" x14ac:dyDescent="0.15">
      <c r="A78" s="41">
        <v>11</v>
      </c>
      <c r="B78" s="41" t="s">
        <v>9251</v>
      </c>
      <c r="C78" s="74" t="s">
        <v>9252</v>
      </c>
      <c r="D78" s="205"/>
      <c r="E78" s="37"/>
      <c r="F78" s="757"/>
      <c r="G78" s="246"/>
      <c r="H78" s="38"/>
      <c r="I78" s="44" t="s">
        <v>397</v>
      </c>
      <c r="J78" s="247" t="s">
        <v>398</v>
      </c>
      <c r="K78" s="46">
        <v>1</v>
      </c>
      <c r="L78" s="35"/>
      <c r="N78" s="234"/>
      <c r="O78" s="240" t="s">
        <v>398</v>
      </c>
      <c r="P78" s="38">
        <f>_11・初任</f>
        <v>0.7</v>
      </c>
      <c r="Q78" s="47">
        <f>ROUND((ROUND((ROUND((ROUND((_11_A家事２．５*_11・基礎２),0)*_11・２人),0)*(1+_11・A深夜)),0)*_11・初任),0)</f>
        <v>392</v>
      </c>
      <c r="R78" s="48"/>
    </row>
    <row r="79" spans="1:18" ht="16.5" customHeight="1" x14ac:dyDescent="0.15">
      <c r="A79" s="33">
        <v>11</v>
      </c>
      <c r="B79" s="33">
        <v>7795</v>
      </c>
      <c r="C79" s="34" t="s">
        <v>9253</v>
      </c>
      <c r="D79" s="709" t="s">
        <v>9254</v>
      </c>
      <c r="E79" s="718"/>
      <c r="F79" s="35"/>
      <c r="I79" s="36"/>
      <c r="J79" s="246"/>
      <c r="K79" s="38"/>
      <c r="L79" s="35"/>
      <c r="N79" s="234"/>
      <c r="O79" s="35"/>
      <c r="Q79" s="39">
        <f>ROUND((_11_A家事２．７５*(1+_11・A深夜)),0)</f>
        <v>674</v>
      </c>
      <c r="R79" s="48"/>
    </row>
    <row r="80" spans="1:18" ht="16.5" customHeight="1" x14ac:dyDescent="0.15">
      <c r="A80" s="41">
        <v>11</v>
      </c>
      <c r="B80" s="41">
        <v>7796</v>
      </c>
      <c r="C80" s="74" t="s">
        <v>9255</v>
      </c>
      <c r="D80" s="709"/>
      <c r="E80" s="718"/>
      <c r="F80" s="43"/>
      <c r="G80" s="246"/>
      <c r="H80" s="38"/>
      <c r="I80" s="44" t="s">
        <v>397</v>
      </c>
      <c r="J80" s="247" t="s">
        <v>398</v>
      </c>
      <c r="K80" s="46">
        <v>1</v>
      </c>
      <c r="L80" s="35"/>
      <c r="O80" s="35"/>
      <c r="Q80" s="47">
        <f>ROUND((ROUND((_11_A家事２．７５*_11・２人),0)*(1+_11・A深夜)),0)</f>
        <v>674</v>
      </c>
      <c r="R80" s="48"/>
    </row>
    <row r="81" spans="1:18" ht="16.5" customHeight="1" x14ac:dyDescent="0.15">
      <c r="A81" s="41">
        <v>11</v>
      </c>
      <c r="B81" s="41">
        <v>7797</v>
      </c>
      <c r="C81" s="74" t="s">
        <v>9256</v>
      </c>
      <c r="D81" s="709"/>
      <c r="E81" s="718"/>
      <c r="F81" s="752" t="s">
        <v>400</v>
      </c>
      <c r="G81" s="219" t="s">
        <v>398</v>
      </c>
      <c r="H81" s="50">
        <v>0.9</v>
      </c>
      <c r="I81" s="44"/>
      <c r="J81" s="247"/>
      <c r="K81" s="46"/>
      <c r="L81" s="35"/>
      <c r="O81" s="35"/>
      <c r="Q81" s="47">
        <f>ROUND((ROUND((_11_A家事２．７５*_11・基礎２),0)*(1+_11・A深夜)),0)</f>
        <v>606</v>
      </c>
      <c r="R81" s="48"/>
    </row>
    <row r="82" spans="1:18" ht="16.5" customHeight="1" x14ac:dyDescent="0.15">
      <c r="A82" s="41">
        <v>11</v>
      </c>
      <c r="B82" s="41">
        <v>7798</v>
      </c>
      <c r="C82" s="74" t="s">
        <v>9257</v>
      </c>
      <c r="D82" s="249">
        <f>_11_A家事２．７５</f>
        <v>449</v>
      </c>
      <c r="E82" s="12" t="s">
        <v>392</v>
      </c>
      <c r="F82" s="757"/>
      <c r="G82" s="246"/>
      <c r="H82" s="38"/>
      <c r="I82" s="44" t="s">
        <v>397</v>
      </c>
      <c r="J82" s="247" t="s">
        <v>398</v>
      </c>
      <c r="K82" s="46">
        <v>1</v>
      </c>
      <c r="L82" s="35"/>
      <c r="O82" s="43"/>
      <c r="P82" s="38"/>
      <c r="Q82" s="47">
        <f>ROUND((ROUND((ROUND((_11_A家事２．７５*_11・基礎２),0)*_11・２人),0)*(1+_11・A深夜)),0)</f>
        <v>606</v>
      </c>
      <c r="R82" s="48"/>
    </row>
    <row r="83" spans="1:18" ht="16.5" customHeight="1" x14ac:dyDescent="0.15">
      <c r="A83" s="41">
        <v>11</v>
      </c>
      <c r="B83" s="41" t="s">
        <v>9258</v>
      </c>
      <c r="C83" s="74" t="s">
        <v>9259</v>
      </c>
      <c r="D83" s="202"/>
      <c r="F83" s="53"/>
      <c r="G83" s="219"/>
      <c r="H83" s="50"/>
      <c r="I83" s="44"/>
      <c r="J83" s="247"/>
      <c r="K83" s="46"/>
      <c r="L83" s="35"/>
      <c r="O83" s="707" t="s">
        <v>404</v>
      </c>
      <c r="P83" s="708"/>
      <c r="Q83" s="47">
        <f>ROUND((ROUND((_11_A家事２．７５*(1+_11・A深夜)),0)*_11・初任),0)</f>
        <v>472</v>
      </c>
      <c r="R83" s="48"/>
    </row>
    <row r="84" spans="1:18" ht="16.5" customHeight="1" x14ac:dyDescent="0.15">
      <c r="A84" s="41">
        <v>11</v>
      </c>
      <c r="B84" s="41" t="s">
        <v>9260</v>
      </c>
      <c r="C84" s="74" t="s">
        <v>9261</v>
      </c>
      <c r="D84" s="202"/>
      <c r="F84" s="43"/>
      <c r="G84" s="246"/>
      <c r="H84" s="38"/>
      <c r="I84" s="44" t="s">
        <v>397</v>
      </c>
      <c r="J84" s="247" t="s">
        <v>398</v>
      </c>
      <c r="K84" s="46">
        <v>1</v>
      </c>
      <c r="L84" s="35"/>
      <c r="O84" s="709"/>
      <c r="P84" s="704"/>
      <c r="Q84" s="47">
        <f>ROUND((ROUND((ROUND((_11_A家事２．７５*_11・２人),0)*(1+_11・A深夜)),0)*_11・初任),0)</f>
        <v>472</v>
      </c>
      <c r="R84" s="48"/>
    </row>
    <row r="85" spans="1:18" ht="16.5" customHeight="1" x14ac:dyDescent="0.15">
      <c r="A85" s="41">
        <v>11</v>
      </c>
      <c r="B85" s="41" t="s">
        <v>9262</v>
      </c>
      <c r="C85" s="74" t="s">
        <v>9263</v>
      </c>
      <c r="D85" s="203"/>
      <c r="F85" s="752" t="s">
        <v>400</v>
      </c>
      <c r="G85" s="219" t="s">
        <v>398</v>
      </c>
      <c r="H85" s="50">
        <v>0.9</v>
      </c>
      <c r="I85" s="44"/>
      <c r="J85" s="247"/>
      <c r="K85" s="46"/>
      <c r="L85" s="35"/>
      <c r="O85" s="709"/>
      <c r="P85" s="704"/>
      <c r="Q85" s="47">
        <f>ROUND((ROUND((ROUND((_11_A家事２．７５*_11・基礎２),0)*(1+_11・A深夜)),0)*_11・初任),0)</f>
        <v>424</v>
      </c>
      <c r="R85" s="48"/>
    </row>
    <row r="86" spans="1:18" ht="16.5" customHeight="1" x14ac:dyDescent="0.15">
      <c r="A86" s="41">
        <v>11</v>
      </c>
      <c r="B86" s="41" t="s">
        <v>9264</v>
      </c>
      <c r="C86" s="74" t="s">
        <v>9265</v>
      </c>
      <c r="D86" s="205"/>
      <c r="E86" s="79"/>
      <c r="F86" s="757"/>
      <c r="G86" s="246"/>
      <c r="H86" s="38"/>
      <c r="I86" s="44" t="s">
        <v>397</v>
      </c>
      <c r="J86" s="247" t="s">
        <v>398</v>
      </c>
      <c r="K86" s="46">
        <v>1</v>
      </c>
      <c r="L86" s="43"/>
      <c r="M86" s="37"/>
      <c r="N86" s="244"/>
      <c r="O86" s="240" t="s">
        <v>398</v>
      </c>
      <c r="P86" s="38">
        <f>_11・初任</f>
        <v>0.7</v>
      </c>
      <c r="Q86" s="47">
        <f>ROUND((ROUND((ROUND((ROUND((_11_A家事２．７５*_11・基礎２),0)*_11・２人),0)*(1+_11・A深夜)),0)*_11・初任),0)</f>
        <v>424</v>
      </c>
      <c r="R86" s="63"/>
    </row>
    <row r="87" spans="1:18" ht="16.5" customHeight="1" x14ac:dyDescent="0.15">
      <c r="A87" s="41">
        <v>11</v>
      </c>
      <c r="B87" s="41">
        <v>6271</v>
      </c>
      <c r="C87" s="74" t="s">
        <v>9266</v>
      </c>
      <c r="D87" s="707" t="s">
        <v>9267</v>
      </c>
      <c r="E87" s="717"/>
      <c r="F87" s="53"/>
      <c r="G87" s="219"/>
      <c r="H87" s="50"/>
      <c r="I87" s="44"/>
      <c r="J87" s="247"/>
      <c r="K87" s="46"/>
      <c r="L87" s="35" t="s">
        <v>862</v>
      </c>
      <c r="O87" s="53"/>
      <c r="P87" s="50"/>
      <c r="Q87" s="47">
        <f>ROUND((_11_A家事３．０*(1+_11・A深夜)),0)</f>
        <v>726</v>
      </c>
      <c r="R87" s="48"/>
    </row>
    <row r="88" spans="1:18" ht="16.5" customHeight="1" x14ac:dyDescent="0.15">
      <c r="A88" s="41">
        <v>11</v>
      </c>
      <c r="B88" s="41">
        <v>6272</v>
      </c>
      <c r="C88" s="74" t="s">
        <v>9268</v>
      </c>
      <c r="D88" s="709"/>
      <c r="E88" s="718"/>
      <c r="F88" s="43"/>
      <c r="G88" s="246"/>
      <c r="H88" s="38"/>
      <c r="I88" s="44" t="s">
        <v>397</v>
      </c>
      <c r="J88" s="247" t="s">
        <v>398</v>
      </c>
      <c r="K88" s="46">
        <v>1</v>
      </c>
      <c r="L88" s="248" t="s">
        <v>398</v>
      </c>
      <c r="M88" s="13">
        <v>0.5</v>
      </c>
      <c r="N88" s="782" t="s">
        <v>676</v>
      </c>
      <c r="O88" s="35"/>
      <c r="Q88" s="47">
        <f>ROUND((ROUND((_11_A家事３．０*_11・２人),0)*(1+_11・A深夜)),0)</f>
        <v>726</v>
      </c>
      <c r="R88" s="48"/>
    </row>
    <row r="89" spans="1:18" ht="16.5" customHeight="1" x14ac:dyDescent="0.15">
      <c r="A89" s="41">
        <v>11</v>
      </c>
      <c r="B89" s="41">
        <v>6273</v>
      </c>
      <c r="C89" s="74" t="s">
        <v>9269</v>
      </c>
      <c r="D89" s="709"/>
      <c r="E89" s="718"/>
      <c r="F89" s="752" t="s">
        <v>400</v>
      </c>
      <c r="G89" s="219" t="s">
        <v>398</v>
      </c>
      <c r="H89" s="50">
        <v>0.9</v>
      </c>
      <c r="I89" s="44"/>
      <c r="J89" s="247"/>
      <c r="K89" s="46"/>
      <c r="L89" s="35"/>
      <c r="N89" s="782"/>
      <c r="O89" s="35"/>
      <c r="Q89" s="47">
        <f>ROUND((ROUND((_11_A家事３．０*_11・基礎２),0)*(1+_11・A深夜)),0)</f>
        <v>654</v>
      </c>
      <c r="R89" s="48"/>
    </row>
    <row r="90" spans="1:18" ht="16.5" customHeight="1" x14ac:dyDescent="0.15">
      <c r="A90" s="41">
        <v>11</v>
      </c>
      <c r="B90" s="41">
        <v>6274</v>
      </c>
      <c r="C90" s="74" t="s">
        <v>9270</v>
      </c>
      <c r="D90" s="249">
        <f>_11_A家事３．０</f>
        <v>484</v>
      </c>
      <c r="E90" s="12" t="s">
        <v>392</v>
      </c>
      <c r="F90" s="757"/>
      <c r="G90" s="246"/>
      <c r="H90" s="38"/>
      <c r="I90" s="44" t="s">
        <v>397</v>
      </c>
      <c r="J90" s="247" t="s">
        <v>398</v>
      </c>
      <c r="K90" s="46">
        <v>1</v>
      </c>
      <c r="L90" s="35"/>
      <c r="O90" s="43"/>
      <c r="P90" s="38"/>
      <c r="Q90" s="47">
        <f>ROUND((ROUND((ROUND((_11_A家事３．０*_11・基礎２),0)*_11・２人),0)*(1+_11・A深夜)),0)</f>
        <v>654</v>
      </c>
      <c r="R90" s="48"/>
    </row>
    <row r="91" spans="1:18" ht="16.5" customHeight="1" x14ac:dyDescent="0.15">
      <c r="A91" s="41">
        <v>11</v>
      </c>
      <c r="B91" s="41" t="s">
        <v>9271</v>
      </c>
      <c r="C91" s="74" t="s">
        <v>9272</v>
      </c>
      <c r="D91" s="202"/>
      <c r="F91" s="53"/>
      <c r="G91" s="219"/>
      <c r="H91" s="50"/>
      <c r="I91" s="44"/>
      <c r="J91" s="247"/>
      <c r="K91" s="46"/>
      <c r="L91" s="35"/>
      <c r="O91" s="707" t="s">
        <v>404</v>
      </c>
      <c r="P91" s="708"/>
      <c r="Q91" s="47">
        <f>ROUND((ROUND((_11_A家事３．０*(1+_11・A深夜)),0)*_11・初任),0)</f>
        <v>508</v>
      </c>
      <c r="R91" s="48"/>
    </row>
    <row r="92" spans="1:18" ht="16.5" customHeight="1" x14ac:dyDescent="0.15">
      <c r="A92" s="41">
        <v>11</v>
      </c>
      <c r="B92" s="41" t="s">
        <v>9273</v>
      </c>
      <c r="C92" s="74" t="s">
        <v>9274</v>
      </c>
      <c r="D92" s="202"/>
      <c r="F92" s="43"/>
      <c r="G92" s="246"/>
      <c r="H92" s="38"/>
      <c r="I92" s="44" t="s">
        <v>397</v>
      </c>
      <c r="J92" s="247" t="s">
        <v>398</v>
      </c>
      <c r="K92" s="46">
        <v>1</v>
      </c>
      <c r="L92" s="35"/>
      <c r="O92" s="709"/>
      <c r="P92" s="704"/>
      <c r="Q92" s="47">
        <f>ROUND((ROUND((ROUND((_11_A家事３．０*_11・２人),0)*(1+_11・A深夜)),0)*_11・初任),0)</f>
        <v>508</v>
      </c>
      <c r="R92" s="48"/>
    </row>
    <row r="93" spans="1:18" ht="16.5" customHeight="1" x14ac:dyDescent="0.15">
      <c r="A93" s="41">
        <v>11</v>
      </c>
      <c r="B93" s="41" t="s">
        <v>9275</v>
      </c>
      <c r="C93" s="74" t="s">
        <v>9276</v>
      </c>
      <c r="D93" s="203"/>
      <c r="F93" s="752" t="s">
        <v>400</v>
      </c>
      <c r="G93" s="219" t="s">
        <v>398</v>
      </c>
      <c r="H93" s="50">
        <v>0.9</v>
      </c>
      <c r="I93" s="44"/>
      <c r="J93" s="247"/>
      <c r="K93" s="46"/>
      <c r="L93" s="35"/>
      <c r="O93" s="709"/>
      <c r="P93" s="704"/>
      <c r="Q93" s="47">
        <f>ROUND((ROUND((ROUND((_11_A家事３．０*_11・基礎２),0)*(1+_11・A深夜)),0)*_11・初任),0)</f>
        <v>458</v>
      </c>
      <c r="R93" s="48"/>
    </row>
    <row r="94" spans="1:18" ht="16.5" customHeight="1" x14ac:dyDescent="0.15">
      <c r="A94" s="41">
        <v>11</v>
      </c>
      <c r="B94" s="41" t="s">
        <v>9277</v>
      </c>
      <c r="C94" s="74" t="s">
        <v>9278</v>
      </c>
      <c r="D94" s="203"/>
      <c r="F94" s="757"/>
      <c r="G94" s="246"/>
      <c r="H94" s="38"/>
      <c r="I94" s="44" t="s">
        <v>397</v>
      </c>
      <c r="J94" s="247" t="s">
        <v>398</v>
      </c>
      <c r="K94" s="46">
        <v>1</v>
      </c>
      <c r="L94" s="35"/>
      <c r="O94" s="240" t="s">
        <v>398</v>
      </c>
      <c r="P94" s="38">
        <f>_11・初任</f>
        <v>0.7</v>
      </c>
      <c r="Q94" s="47">
        <f>ROUND((ROUND((ROUND((ROUND((_11_A家事３．０*_11・基礎２),0)*_11・２人),0)*(1+_11・A深夜)),0)*_11・初任),0)</f>
        <v>458</v>
      </c>
      <c r="R94" s="48"/>
    </row>
    <row r="95" spans="1:18" ht="16.5" customHeight="1" x14ac:dyDescent="0.15">
      <c r="A95" s="41">
        <v>11</v>
      </c>
      <c r="B95" s="41">
        <v>7799</v>
      </c>
      <c r="C95" s="74" t="s">
        <v>9279</v>
      </c>
      <c r="D95" s="707" t="s">
        <v>9280</v>
      </c>
      <c r="E95" s="717"/>
      <c r="F95" s="53"/>
      <c r="G95" s="219"/>
      <c r="H95" s="50"/>
      <c r="I95" s="44"/>
      <c r="J95" s="247"/>
      <c r="K95" s="46"/>
      <c r="L95" s="35"/>
      <c r="O95" s="53"/>
      <c r="P95" s="50"/>
      <c r="Q95" s="47">
        <f>ROUND((_11_A家事３．２５*(1+_11・A深夜)),0)</f>
        <v>779</v>
      </c>
      <c r="R95" s="48"/>
    </row>
    <row r="96" spans="1:18" ht="16.5" customHeight="1" x14ac:dyDescent="0.15">
      <c r="A96" s="41">
        <v>11</v>
      </c>
      <c r="B96" s="41">
        <v>7800</v>
      </c>
      <c r="C96" s="74" t="s">
        <v>9281</v>
      </c>
      <c r="D96" s="709"/>
      <c r="E96" s="718"/>
      <c r="F96" s="43"/>
      <c r="G96" s="246"/>
      <c r="H96" s="38"/>
      <c r="I96" s="44" t="s">
        <v>397</v>
      </c>
      <c r="J96" s="247" t="s">
        <v>398</v>
      </c>
      <c r="K96" s="46">
        <v>1</v>
      </c>
      <c r="L96" s="35"/>
      <c r="O96" s="35"/>
      <c r="Q96" s="47">
        <f>ROUND((ROUND((_11_A家事３．２５*_11・２人),0)*(1+_11・A深夜)),0)</f>
        <v>779</v>
      </c>
      <c r="R96" s="48"/>
    </row>
    <row r="97" spans="1:18" ht="16.5" customHeight="1" x14ac:dyDescent="0.15">
      <c r="A97" s="41">
        <v>11</v>
      </c>
      <c r="B97" s="41">
        <v>7801</v>
      </c>
      <c r="C97" s="74" t="s">
        <v>9282</v>
      </c>
      <c r="D97" s="709"/>
      <c r="E97" s="718"/>
      <c r="F97" s="752" t="s">
        <v>400</v>
      </c>
      <c r="G97" s="219" t="s">
        <v>398</v>
      </c>
      <c r="H97" s="50">
        <v>0.9</v>
      </c>
      <c r="I97" s="44"/>
      <c r="J97" s="247"/>
      <c r="K97" s="46"/>
      <c r="L97" s="35"/>
      <c r="O97" s="35"/>
      <c r="Q97" s="47">
        <f>ROUND((ROUND((_11_A家事３．２５*_11・基礎２),0)*(1+_11・A深夜)),0)</f>
        <v>701</v>
      </c>
      <c r="R97" s="48"/>
    </row>
    <row r="98" spans="1:18" ht="16.5" customHeight="1" x14ac:dyDescent="0.15">
      <c r="A98" s="41">
        <v>11</v>
      </c>
      <c r="B98" s="41">
        <v>7802</v>
      </c>
      <c r="C98" s="74" t="s">
        <v>9283</v>
      </c>
      <c r="D98" s="249">
        <f>_11_A家事３．２５</f>
        <v>519</v>
      </c>
      <c r="E98" s="12" t="s">
        <v>392</v>
      </c>
      <c r="F98" s="757"/>
      <c r="G98" s="246"/>
      <c r="H98" s="38"/>
      <c r="I98" s="44" t="s">
        <v>397</v>
      </c>
      <c r="J98" s="247" t="s">
        <v>398</v>
      </c>
      <c r="K98" s="46">
        <v>1</v>
      </c>
      <c r="L98" s="35"/>
      <c r="O98" s="43"/>
      <c r="P98" s="38"/>
      <c r="Q98" s="47">
        <f>ROUND((ROUND((ROUND((_11_A家事３．２５*_11・基礎２),0)*_11・２人),0)*(1+_11・A深夜)),0)</f>
        <v>701</v>
      </c>
      <c r="R98" s="48"/>
    </row>
    <row r="99" spans="1:18" ht="16.5" customHeight="1" x14ac:dyDescent="0.15">
      <c r="A99" s="41">
        <v>11</v>
      </c>
      <c r="B99" s="41" t="s">
        <v>9284</v>
      </c>
      <c r="C99" s="74" t="s">
        <v>9285</v>
      </c>
      <c r="D99" s="250"/>
      <c r="F99" s="53"/>
      <c r="G99" s="219"/>
      <c r="H99" s="50"/>
      <c r="I99" s="44"/>
      <c r="J99" s="247"/>
      <c r="K99" s="46"/>
      <c r="L99" s="35"/>
      <c r="O99" s="707" t="s">
        <v>404</v>
      </c>
      <c r="P99" s="708"/>
      <c r="Q99" s="47">
        <f>ROUND((ROUND((_11_A家事３．２５*(1+_11・A深夜)),0)*_11・初任),0)</f>
        <v>545</v>
      </c>
      <c r="R99" s="48"/>
    </row>
    <row r="100" spans="1:18" ht="16.5" customHeight="1" x14ac:dyDescent="0.15">
      <c r="A100" s="41">
        <v>11</v>
      </c>
      <c r="B100" s="41" t="s">
        <v>9286</v>
      </c>
      <c r="C100" s="74" t="s">
        <v>9287</v>
      </c>
      <c r="D100" s="202"/>
      <c r="F100" s="43"/>
      <c r="G100" s="246"/>
      <c r="H100" s="38"/>
      <c r="I100" s="44" t="s">
        <v>397</v>
      </c>
      <c r="J100" s="247" t="s">
        <v>398</v>
      </c>
      <c r="K100" s="46">
        <v>1</v>
      </c>
      <c r="L100" s="35"/>
      <c r="O100" s="709"/>
      <c r="P100" s="704"/>
      <c r="Q100" s="47">
        <f>ROUND((ROUND((ROUND((_11_A家事３．２５*_11・２人),0)*(1+_11・A深夜)),0)*_11・初任),0)</f>
        <v>545</v>
      </c>
      <c r="R100" s="48"/>
    </row>
    <row r="101" spans="1:18" ht="16.5" customHeight="1" x14ac:dyDescent="0.15">
      <c r="A101" s="41">
        <v>11</v>
      </c>
      <c r="B101" s="41" t="s">
        <v>9288</v>
      </c>
      <c r="C101" s="74" t="s">
        <v>9289</v>
      </c>
      <c r="D101" s="203"/>
      <c r="F101" s="752" t="s">
        <v>400</v>
      </c>
      <c r="G101" s="219" t="s">
        <v>398</v>
      </c>
      <c r="H101" s="50">
        <v>0.9</v>
      </c>
      <c r="I101" s="44"/>
      <c r="J101" s="247"/>
      <c r="K101" s="46"/>
      <c r="L101" s="35"/>
      <c r="O101" s="709"/>
      <c r="P101" s="704"/>
      <c r="Q101" s="47">
        <f>ROUND((ROUND((ROUND((_11_A家事３．２５*_11・基礎２),0)*(1+_11・A深夜)),0)*_11・初任),0)</f>
        <v>491</v>
      </c>
      <c r="R101" s="48"/>
    </row>
    <row r="102" spans="1:18" ht="16.5" customHeight="1" x14ac:dyDescent="0.15">
      <c r="A102" s="41">
        <v>11</v>
      </c>
      <c r="B102" s="41" t="s">
        <v>9290</v>
      </c>
      <c r="C102" s="74" t="s">
        <v>9291</v>
      </c>
      <c r="D102" s="203"/>
      <c r="F102" s="757"/>
      <c r="G102" s="246"/>
      <c r="H102" s="38"/>
      <c r="I102" s="44" t="s">
        <v>397</v>
      </c>
      <c r="J102" s="247" t="s">
        <v>398</v>
      </c>
      <c r="K102" s="46">
        <v>1</v>
      </c>
      <c r="L102" s="35"/>
      <c r="O102" s="240" t="s">
        <v>398</v>
      </c>
      <c r="P102" s="38">
        <f>_11・初任</f>
        <v>0.7</v>
      </c>
      <c r="Q102" s="47">
        <f>ROUND((ROUND((ROUND((ROUND((_11_A家事３．２５*_11・基礎２),0)*_11・２人),0)*(1+_11・A深夜)),0)*_11・初任),0)</f>
        <v>491</v>
      </c>
      <c r="R102" s="48"/>
    </row>
    <row r="103" spans="1:18" ht="16.5" customHeight="1" x14ac:dyDescent="0.15">
      <c r="A103" s="41">
        <v>11</v>
      </c>
      <c r="B103" s="41">
        <v>6275</v>
      </c>
      <c r="C103" s="74" t="s">
        <v>9292</v>
      </c>
      <c r="D103" s="707" t="s">
        <v>9293</v>
      </c>
      <c r="E103" s="717"/>
      <c r="F103" s="53"/>
      <c r="G103" s="219"/>
      <c r="H103" s="50"/>
      <c r="I103" s="44"/>
      <c r="J103" s="247"/>
      <c r="K103" s="46"/>
      <c r="L103" s="35"/>
      <c r="O103" s="53"/>
      <c r="P103" s="50"/>
      <c r="Q103" s="47">
        <f>ROUND((_11_A家事３．５*(1+_11・A深夜)),0)</f>
        <v>831</v>
      </c>
      <c r="R103" s="48"/>
    </row>
    <row r="104" spans="1:18" ht="16.5" customHeight="1" x14ac:dyDescent="0.15">
      <c r="A104" s="41">
        <v>11</v>
      </c>
      <c r="B104" s="41">
        <v>6276</v>
      </c>
      <c r="C104" s="74" t="s">
        <v>9294</v>
      </c>
      <c r="D104" s="709"/>
      <c r="E104" s="718"/>
      <c r="F104" s="43"/>
      <c r="G104" s="246"/>
      <c r="H104" s="38"/>
      <c r="I104" s="44" t="s">
        <v>397</v>
      </c>
      <c r="J104" s="247" t="s">
        <v>398</v>
      </c>
      <c r="K104" s="46">
        <v>1</v>
      </c>
      <c r="L104" s="35"/>
      <c r="O104" s="35"/>
      <c r="Q104" s="47">
        <f>ROUND((ROUND((_11_A家事３．５*_11・２人),0)*(1+_11・A深夜)),0)</f>
        <v>831</v>
      </c>
      <c r="R104" s="48"/>
    </row>
    <row r="105" spans="1:18" ht="16.5" customHeight="1" x14ac:dyDescent="0.15">
      <c r="A105" s="41">
        <v>11</v>
      </c>
      <c r="B105" s="41">
        <v>6277</v>
      </c>
      <c r="C105" s="74" t="s">
        <v>9295</v>
      </c>
      <c r="D105" s="709"/>
      <c r="E105" s="718"/>
      <c r="F105" s="752" t="s">
        <v>400</v>
      </c>
      <c r="G105" s="219" t="s">
        <v>398</v>
      </c>
      <c r="H105" s="50">
        <v>0.9</v>
      </c>
      <c r="I105" s="44"/>
      <c r="J105" s="247"/>
      <c r="K105" s="46"/>
      <c r="L105" s="35"/>
      <c r="O105" s="35"/>
      <c r="Q105" s="47">
        <f>ROUND((ROUND((_11_A家事３．５*_11・基礎２),0)*(1+_11・A深夜)),0)</f>
        <v>749</v>
      </c>
      <c r="R105" s="48"/>
    </row>
    <row r="106" spans="1:18" ht="16.5" customHeight="1" x14ac:dyDescent="0.15">
      <c r="A106" s="41">
        <v>11</v>
      </c>
      <c r="B106" s="41">
        <v>6278</v>
      </c>
      <c r="C106" s="74" t="s">
        <v>9296</v>
      </c>
      <c r="D106" s="249">
        <f>_11_A家事３．５</f>
        <v>554</v>
      </c>
      <c r="E106" s="12" t="s">
        <v>392</v>
      </c>
      <c r="F106" s="757"/>
      <c r="G106" s="246"/>
      <c r="H106" s="38"/>
      <c r="I106" s="44" t="s">
        <v>397</v>
      </c>
      <c r="J106" s="247" t="s">
        <v>398</v>
      </c>
      <c r="K106" s="46">
        <v>1</v>
      </c>
      <c r="L106" s="35"/>
      <c r="O106" s="43"/>
      <c r="P106" s="38"/>
      <c r="Q106" s="47">
        <f>ROUND((ROUND((ROUND((_11_A家事３．５*_11・基礎２),0)*_11・２人),0)*(1+_11・A深夜)),0)</f>
        <v>749</v>
      </c>
      <c r="R106" s="48"/>
    </row>
    <row r="107" spans="1:18" ht="16.5" customHeight="1" x14ac:dyDescent="0.15">
      <c r="A107" s="41">
        <v>11</v>
      </c>
      <c r="B107" s="41" t="s">
        <v>9297</v>
      </c>
      <c r="C107" s="74" t="s">
        <v>9298</v>
      </c>
      <c r="D107" s="202"/>
      <c r="F107" s="53"/>
      <c r="G107" s="219"/>
      <c r="H107" s="50"/>
      <c r="I107" s="44"/>
      <c r="J107" s="247"/>
      <c r="K107" s="46"/>
      <c r="L107" s="35"/>
      <c r="O107" s="707" t="s">
        <v>404</v>
      </c>
      <c r="P107" s="708"/>
      <c r="Q107" s="47">
        <f>ROUND((ROUND((_11_A家事３．５*(1+_11・A深夜)),0)*_11・初任),0)</f>
        <v>582</v>
      </c>
      <c r="R107" s="48"/>
    </row>
    <row r="108" spans="1:18" ht="16.5" customHeight="1" x14ac:dyDescent="0.15">
      <c r="A108" s="41">
        <v>11</v>
      </c>
      <c r="B108" s="41" t="s">
        <v>9299</v>
      </c>
      <c r="C108" s="74" t="s">
        <v>9300</v>
      </c>
      <c r="D108" s="202"/>
      <c r="F108" s="43"/>
      <c r="G108" s="246"/>
      <c r="H108" s="38"/>
      <c r="I108" s="44" t="s">
        <v>397</v>
      </c>
      <c r="J108" s="247" t="s">
        <v>398</v>
      </c>
      <c r="K108" s="46">
        <v>1</v>
      </c>
      <c r="L108" s="35"/>
      <c r="O108" s="709"/>
      <c r="P108" s="704"/>
      <c r="Q108" s="47">
        <f>ROUND((ROUND((ROUND((_11_A家事３．５*_11・２人),0)*(1+_11・A深夜)),0)*_11・初任),0)</f>
        <v>582</v>
      </c>
      <c r="R108" s="48"/>
    </row>
    <row r="109" spans="1:18" ht="16.5" customHeight="1" x14ac:dyDescent="0.15">
      <c r="A109" s="41">
        <v>11</v>
      </c>
      <c r="B109" s="41" t="s">
        <v>9301</v>
      </c>
      <c r="C109" s="74" t="s">
        <v>9302</v>
      </c>
      <c r="D109" s="203"/>
      <c r="F109" s="752" t="s">
        <v>400</v>
      </c>
      <c r="G109" s="219" t="s">
        <v>398</v>
      </c>
      <c r="H109" s="50">
        <v>0.9</v>
      </c>
      <c r="I109" s="44"/>
      <c r="J109" s="247"/>
      <c r="K109" s="46"/>
      <c r="L109" s="35"/>
      <c r="O109" s="709"/>
      <c r="P109" s="704"/>
      <c r="Q109" s="47">
        <f>ROUND((ROUND((ROUND((_11_A家事３．５*_11・基礎２),0)*(1+_11・A深夜)),0)*_11・初任),0)</f>
        <v>524</v>
      </c>
      <c r="R109" s="48"/>
    </row>
    <row r="110" spans="1:18" ht="16.5" customHeight="1" x14ac:dyDescent="0.15">
      <c r="A110" s="41">
        <v>11</v>
      </c>
      <c r="B110" s="41" t="s">
        <v>9303</v>
      </c>
      <c r="C110" s="74" t="s">
        <v>9304</v>
      </c>
      <c r="D110" s="203"/>
      <c r="F110" s="757"/>
      <c r="G110" s="246"/>
      <c r="H110" s="38"/>
      <c r="I110" s="44" t="s">
        <v>397</v>
      </c>
      <c r="J110" s="247" t="s">
        <v>398</v>
      </c>
      <c r="K110" s="46">
        <v>1</v>
      </c>
      <c r="L110" s="35"/>
      <c r="O110" s="240" t="s">
        <v>398</v>
      </c>
      <c r="P110" s="38">
        <f>_11・初任</f>
        <v>0.7</v>
      </c>
      <c r="Q110" s="47">
        <f>ROUND((ROUND((ROUND((ROUND((_11_A家事３．５*_11・基礎２),0)*_11・２人),0)*(1+_11・A深夜)),0)*_11・初任),0)</f>
        <v>524</v>
      </c>
      <c r="R110" s="48"/>
    </row>
    <row r="111" spans="1:18" ht="16.5" customHeight="1" x14ac:dyDescent="0.15">
      <c r="A111" s="41">
        <v>11</v>
      </c>
      <c r="B111" s="41">
        <v>7803</v>
      </c>
      <c r="C111" s="74" t="s">
        <v>9305</v>
      </c>
      <c r="D111" s="707" t="s">
        <v>9306</v>
      </c>
      <c r="E111" s="717"/>
      <c r="F111" s="53"/>
      <c r="G111" s="219"/>
      <c r="H111" s="50"/>
      <c r="I111" s="44"/>
      <c r="J111" s="247"/>
      <c r="K111" s="46"/>
      <c r="L111" s="35"/>
      <c r="O111" s="53"/>
      <c r="P111" s="50"/>
      <c r="Q111" s="47">
        <f>ROUND((_11_A家事３．７５*(1+_11・A深夜)),0)</f>
        <v>884</v>
      </c>
      <c r="R111" s="48"/>
    </row>
    <row r="112" spans="1:18" ht="16.5" customHeight="1" x14ac:dyDescent="0.15">
      <c r="A112" s="41">
        <v>11</v>
      </c>
      <c r="B112" s="41">
        <v>7804</v>
      </c>
      <c r="C112" s="74" t="s">
        <v>9307</v>
      </c>
      <c r="D112" s="709"/>
      <c r="E112" s="718"/>
      <c r="F112" s="43"/>
      <c r="G112" s="246"/>
      <c r="H112" s="38"/>
      <c r="I112" s="44" t="s">
        <v>397</v>
      </c>
      <c r="J112" s="247" t="s">
        <v>398</v>
      </c>
      <c r="K112" s="46">
        <v>1</v>
      </c>
      <c r="L112" s="35"/>
      <c r="O112" s="35"/>
      <c r="Q112" s="47">
        <f>ROUND((ROUND((_11_A家事３．７５*_11・２人),0)*(1+_11・A深夜)),0)</f>
        <v>884</v>
      </c>
      <c r="R112" s="48"/>
    </row>
    <row r="113" spans="1:18" ht="16.5" customHeight="1" x14ac:dyDescent="0.15">
      <c r="A113" s="41">
        <v>11</v>
      </c>
      <c r="B113" s="41">
        <v>7805</v>
      </c>
      <c r="C113" s="74" t="s">
        <v>9308</v>
      </c>
      <c r="D113" s="709"/>
      <c r="E113" s="718"/>
      <c r="F113" s="752" t="s">
        <v>400</v>
      </c>
      <c r="G113" s="219" t="s">
        <v>398</v>
      </c>
      <c r="H113" s="50">
        <v>0.9</v>
      </c>
      <c r="I113" s="44"/>
      <c r="J113" s="247"/>
      <c r="K113" s="46"/>
      <c r="L113" s="35"/>
      <c r="O113" s="35"/>
      <c r="Q113" s="47">
        <f>ROUND((ROUND((_11_A家事３．７５*_11・基礎２),0)*(1+_11・A深夜)),0)</f>
        <v>795</v>
      </c>
      <c r="R113" s="48"/>
    </row>
    <row r="114" spans="1:18" ht="16.5" customHeight="1" x14ac:dyDescent="0.15">
      <c r="A114" s="41">
        <v>11</v>
      </c>
      <c r="B114" s="41">
        <v>7806</v>
      </c>
      <c r="C114" s="74" t="s">
        <v>9309</v>
      </c>
      <c r="D114" s="249">
        <f>_11_A家事３．７５</f>
        <v>589</v>
      </c>
      <c r="E114" s="12" t="s">
        <v>392</v>
      </c>
      <c r="F114" s="757"/>
      <c r="G114" s="246"/>
      <c r="H114" s="38"/>
      <c r="I114" s="44" t="s">
        <v>397</v>
      </c>
      <c r="J114" s="247" t="s">
        <v>398</v>
      </c>
      <c r="K114" s="46">
        <v>1</v>
      </c>
      <c r="L114" s="35"/>
      <c r="O114" s="43"/>
      <c r="P114" s="38"/>
      <c r="Q114" s="47">
        <f>ROUND((ROUND((ROUND((_11_A家事３．７５*_11・基礎２),0)*_11・２人),0)*(1+_11・A深夜)),0)</f>
        <v>795</v>
      </c>
      <c r="R114" s="48"/>
    </row>
    <row r="115" spans="1:18" ht="16.5" customHeight="1" x14ac:dyDescent="0.15">
      <c r="A115" s="41">
        <v>11</v>
      </c>
      <c r="B115" s="41" t="s">
        <v>9310</v>
      </c>
      <c r="C115" s="74" t="s">
        <v>9311</v>
      </c>
      <c r="D115" s="202"/>
      <c r="F115" s="53"/>
      <c r="G115" s="219"/>
      <c r="H115" s="50"/>
      <c r="I115" s="44"/>
      <c r="J115" s="247"/>
      <c r="K115" s="46"/>
      <c r="L115" s="35"/>
      <c r="O115" s="707" t="s">
        <v>404</v>
      </c>
      <c r="P115" s="708"/>
      <c r="Q115" s="47">
        <f>ROUND((ROUND((_11_A家事３．７５*(1+_11・A深夜)),0)*_11・初任),0)</f>
        <v>619</v>
      </c>
      <c r="R115" s="48"/>
    </row>
    <row r="116" spans="1:18" ht="16.5" customHeight="1" x14ac:dyDescent="0.15">
      <c r="A116" s="41">
        <v>11</v>
      </c>
      <c r="B116" s="41" t="s">
        <v>9312</v>
      </c>
      <c r="C116" s="74" t="s">
        <v>9313</v>
      </c>
      <c r="D116" s="202"/>
      <c r="F116" s="43"/>
      <c r="G116" s="246"/>
      <c r="H116" s="38"/>
      <c r="I116" s="44" t="s">
        <v>397</v>
      </c>
      <c r="J116" s="247" t="s">
        <v>398</v>
      </c>
      <c r="K116" s="46">
        <v>1</v>
      </c>
      <c r="L116" s="35"/>
      <c r="O116" s="709"/>
      <c r="P116" s="704"/>
      <c r="Q116" s="47">
        <f>ROUND((ROUND((ROUND((_11_A家事３．７５*_11・２人),0)*(1+_11・A深夜)),0)*_11・初任),0)</f>
        <v>619</v>
      </c>
      <c r="R116" s="48"/>
    </row>
    <row r="117" spans="1:18" ht="16.5" customHeight="1" x14ac:dyDescent="0.15">
      <c r="A117" s="41">
        <v>11</v>
      </c>
      <c r="B117" s="41" t="s">
        <v>9314</v>
      </c>
      <c r="C117" s="74" t="s">
        <v>9315</v>
      </c>
      <c r="D117" s="203"/>
      <c r="F117" s="752" t="s">
        <v>400</v>
      </c>
      <c r="G117" s="219" t="s">
        <v>398</v>
      </c>
      <c r="H117" s="50">
        <v>0.9</v>
      </c>
      <c r="I117" s="44"/>
      <c r="J117" s="247"/>
      <c r="K117" s="46"/>
      <c r="L117" s="35"/>
      <c r="O117" s="709"/>
      <c r="P117" s="704"/>
      <c r="Q117" s="47">
        <f>ROUND((ROUND((ROUND((_11_A家事３．７５*_11・基礎２),0)*(1+_11・A深夜)),0)*_11・初任),0)</f>
        <v>557</v>
      </c>
      <c r="R117" s="48"/>
    </row>
    <row r="118" spans="1:18" ht="16.5" customHeight="1" x14ac:dyDescent="0.15">
      <c r="A118" s="41">
        <v>11</v>
      </c>
      <c r="B118" s="41" t="s">
        <v>9316</v>
      </c>
      <c r="C118" s="74" t="s">
        <v>9317</v>
      </c>
      <c r="D118" s="203"/>
      <c r="F118" s="757"/>
      <c r="G118" s="246"/>
      <c r="H118" s="38"/>
      <c r="I118" s="44" t="s">
        <v>397</v>
      </c>
      <c r="J118" s="247" t="s">
        <v>398</v>
      </c>
      <c r="K118" s="46">
        <v>1</v>
      </c>
      <c r="L118" s="35"/>
      <c r="O118" s="240" t="s">
        <v>398</v>
      </c>
      <c r="P118" s="38">
        <f>_11・初任</f>
        <v>0.7</v>
      </c>
      <c r="Q118" s="47">
        <f>ROUND((ROUND((ROUND((ROUND((_11_A家事３．７５*_11・基礎２),0)*_11・２人),0)*(1+_11・A深夜)),0)*_11・初任),0)</f>
        <v>557</v>
      </c>
      <c r="R118" s="48"/>
    </row>
    <row r="119" spans="1:18" ht="16.5" customHeight="1" x14ac:dyDescent="0.15">
      <c r="A119" s="41">
        <v>11</v>
      </c>
      <c r="B119" s="41">
        <v>6279</v>
      </c>
      <c r="C119" s="74" t="s">
        <v>9318</v>
      </c>
      <c r="D119" s="707" t="s">
        <v>9319</v>
      </c>
      <c r="E119" s="717"/>
      <c r="F119" s="53"/>
      <c r="G119" s="219"/>
      <c r="H119" s="50"/>
      <c r="I119" s="44"/>
      <c r="J119" s="247"/>
      <c r="K119" s="46"/>
      <c r="L119" s="35"/>
      <c r="O119" s="53"/>
      <c r="P119" s="50"/>
      <c r="Q119" s="47">
        <f>ROUND((_11_A家事４．０*(1+_11・A深夜)),0)</f>
        <v>936</v>
      </c>
      <c r="R119" s="48"/>
    </row>
    <row r="120" spans="1:18" ht="16.5" customHeight="1" x14ac:dyDescent="0.15">
      <c r="A120" s="41">
        <v>11</v>
      </c>
      <c r="B120" s="41">
        <v>6280</v>
      </c>
      <c r="C120" s="74" t="s">
        <v>9320</v>
      </c>
      <c r="D120" s="709"/>
      <c r="E120" s="718"/>
      <c r="F120" s="43"/>
      <c r="G120" s="246"/>
      <c r="H120" s="38"/>
      <c r="I120" s="44" t="s">
        <v>397</v>
      </c>
      <c r="J120" s="247" t="s">
        <v>398</v>
      </c>
      <c r="K120" s="46">
        <v>1</v>
      </c>
      <c r="L120" s="35"/>
      <c r="O120" s="35"/>
      <c r="Q120" s="47">
        <f>ROUND((ROUND((_11_A家事４．０*_11・２人),0)*(1+_11・A深夜)),0)</f>
        <v>936</v>
      </c>
      <c r="R120" s="48"/>
    </row>
    <row r="121" spans="1:18" ht="16.5" customHeight="1" x14ac:dyDescent="0.15">
      <c r="A121" s="41">
        <v>11</v>
      </c>
      <c r="B121" s="41">
        <v>6281</v>
      </c>
      <c r="C121" s="74" t="s">
        <v>9321</v>
      </c>
      <c r="D121" s="709"/>
      <c r="E121" s="718"/>
      <c r="F121" s="752" t="s">
        <v>400</v>
      </c>
      <c r="G121" s="219" t="s">
        <v>398</v>
      </c>
      <c r="H121" s="50">
        <v>0.9</v>
      </c>
      <c r="I121" s="44"/>
      <c r="J121" s="247"/>
      <c r="K121" s="46"/>
      <c r="L121" s="35"/>
      <c r="O121" s="35"/>
      <c r="Q121" s="47">
        <f>ROUND((ROUND((_11_A家事４．０*_11・基礎２),0)*(1+_11・A深夜)),0)</f>
        <v>843</v>
      </c>
      <c r="R121" s="48"/>
    </row>
    <row r="122" spans="1:18" ht="16.5" customHeight="1" x14ac:dyDescent="0.15">
      <c r="A122" s="41">
        <v>11</v>
      </c>
      <c r="B122" s="41">
        <v>6282</v>
      </c>
      <c r="C122" s="74" t="s">
        <v>9322</v>
      </c>
      <c r="D122" s="249">
        <f>_11_A家事４．０</f>
        <v>624</v>
      </c>
      <c r="E122" s="12" t="s">
        <v>392</v>
      </c>
      <c r="F122" s="757"/>
      <c r="G122" s="246"/>
      <c r="H122" s="38"/>
      <c r="I122" s="44" t="s">
        <v>397</v>
      </c>
      <c r="J122" s="247" t="s">
        <v>398</v>
      </c>
      <c r="K122" s="46">
        <v>1</v>
      </c>
      <c r="L122" s="35"/>
      <c r="O122" s="43"/>
      <c r="P122" s="38"/>
      <c r="Q122" s="47">
        <f>ROUND((ROUND((ROUND((_11_A家事４．０*_11・基礎２),0)*_11・２人),0)*(1+_11・A深夜)),0)</f>
        <v>843</v>
      </c>
      <c r="R122" s="48"/>
    </row>
    <row r="123" spans="1:18" ht="16.5" customHeight="1" x14ac:dyDescent="0.15">
      <c r="A123" s="41">
        <v>11</v>
      </c>
      <c r="B123" s="41" t="s">
        <v>9323</v>
      </c>
      <c r="C123" s="74" t="s">
        <v>9324</v>
      </c>
      <c r="D123" s="202"/>
      <c r="F123" s="53"/>
      <c r="G123" s="219"/>
      <c r="H123" s="50"/>
      <c r="I123" s="44"/>
      <c r="J123" s="247"/>
      <c r="K123" s="46"/>
      <c r="L123" s="35"/>
      <c r="O123" s="707" t="s">
        <v>404</v>
      </c>
      <c r="P123" s="708"/>
      <c r="Q123" s="47">
        <f>ROUND((ROUND((_11_A家事４．０*(1+_11・A深夜)),0)*_11・初任),0)</f>
        <v>655</v>
      </c>
      <c r="R123" s="48"/>
    </row>
    <row r="124" spans="1:18" ht="16.5" customHeight="1" x14ac:dyDescent="0.15">
      <c r="A124" s="41">
        <v>11</v>
      </c>
      <c r="B124" s="41" t="s">
        <v>9325</v>
      </c>
      <c r="C124" s="74" t="s">
        <v>9326</v>
      </c>
      <c r="D124" s="202"/>
      <c r="F124" s="43"/>
      <c r="G124" s="246"/>
      <c r="H124" s="38"/>
      <c r="I124" s="44" t="s">
        <v>397</v>
      </c>
      <c r="J124" s="247" t="s">
        <v>398</v>
      </c>
      <c r="K124" s="46">
        <v>1</v>
      </c>
      <c r="L124" s="35"/>
      <c r="O124" s="709"/>
      <c r="P124" s="704"/>
      <c r="Q124" s="47">
        <f>ROUND((ROUND((ROUND((_11_A家事４．０*_11・２人),0)*(1+_11・A深夜)),0)*_11・初任),0)</f>
        <v>655</v>
      </c>
      <c r="R124" s="48"/>
    </row>
    <row r="125" spans="1:18" ht="16.5" customHeight="1" x14ac:dyDescent="0.15">
      <c r="A125" s="41">
        <v>11</v>
      </c>
      <c r="B125" s="41" t="s">
        <v>9327</v>
      </c>
      <c r="C125" s="74" t="s">
        <v>9328</v>
      </c>
      <c r="D125" s="203"/>
      <c r="F125" s="752" t="s">
        <v>400</v>
      </c>
      <c r="G125" s="219" t="s">
        <v>398</v>
      </c>
      <c r="H125" s="50">
        <v>0.9</v>
      </c>
      <c r="I125" s="44"/>
      <c r="J125" s="247"/>
      <c r="K125" s="46"/>
      <c r="L125" s="35"/>
      <c r="O125" s="709"/>
      <c r="P125" s="704"/>
      <c r="Q125" s="47">
        <f>ROUND((ROUND((ROUND((_11_A家事４．０*_11・基礎２),0)*(1+_11・A深夜)),0)*_11・初任),0)</f>
        <v>590</v>
      </c>
      <c r="R125" s="48"/>
    </row>
    <row r="126" spans="1:18" ht="16.5" customHeight="1" x14ac:dyDescent="0.15">
      <c r="A126" s="41">
        <v>11</v>
      </c>
      <c r="B126" s="41" t="s">
        <v>9329</v>
      </c>
      <c r="C126" s="74" t="s">
        <v>9330</v>
      </c>
      <c r="D126" s="203"/>
      <c r="F126" s="757"/>
      <c r="G126" s="246"/>
      <c r="H126" s="38"/>
      <c r="I126" s="44" t="s">
        <v>397</v>
      </c>
      <c r="J126" s="247" t="s">
        <v>398</v>
      </c>
      <c r="K126" s="46">
        <v>1</v>
      </c>
      <c r="L126" s="35"/>
      <c r="O126" s="240" t="s">
        <v>398</v>
      </c>
      <c r="P126" s="38">
        <f>_11・初任</f>
        <v>0.7</v>
      </c>
      <c r="Q126" s="47">
        <f>ROUND((ROUND((ROUND((ROUND((_11_A家事４．０*_11・基礎２),0)*_11・２人),0)*(1+_11・A深夜)),0)*_11・初任),0)</f>
        <v>590</v>
      </c>
      <c r="R126" s="48"/>
    </row>
    <row r="127" spans="1:18" ht="16.5" customHeight="1" x14ac:dyDescent="0.15">
      <c r="A127" s="41">
        <v>11</v>
      </c>
      <c r="B127" s="41">
        <v>7807</v>
      </c>
      <c r="C127" s="74" t="s">
        <v>9331</v>
      </c>
      <c r="D127" s="707" t="s">
        <v>9332</v>
      </c>
      <c r="E127" s="717"/>
      <c r="F127" s="53"/>
      <c r="G127" s="219"/>
      <c r="H127" s="50"/>
      <c r="I127" s="44"/>
      <c r="J127" s="247"/>
      <c r="K127" s="46"/>
      <c r="L127" s="35"/>
      <c r="O127" s="53"/>
      <c r="P127" s="50"/>
      <c r="Q127" s="47">
        <f>ROUND((_11_A家事４．２５*(1+_11・A深夜)),0)</f>
        <v>989</v>
      </c>
      <c r="R127" s="48"/>
    </row>
    <row r="128" spans="1:18" ht="16.5" customHeight="1" x14ac:dyDescent="0.15">
      <c r="A128" s="41">
        <v>11</v>
      </c>
      <c r="B128" s="41">
        <v>7808</v>
      </c>
      <c r="C128" s="74" t="s">
        <v>9333</v>
      </c>
      <c r="D128" s="709"/>
      <c r="E128" s="718"/>
      <c r="F128" s="43"/>
      <c r="G128" s="246"/>
      <c r="H128" s="38"/>
      <c r="I128" s="44" t="s">
        <v>397</v>
      </c>
      <c r="J128" s="247" t="s">
        <v>398</v>
      </c>
      <c r="K128" s="46">
        <v>1</v>
      </c>
      <c r="L128" s="35"/>
      <c r="O128" s="35"/>
      <c r="Q128" s="47">
        <f>ROUND((ROUND((_11_A家事４．２５*_11・２人),0)*(1+_11・A深夜)),0)</f>
        <v>989</v>
      </c>
      <c r="R128" s="48"/>
    </row>
    <row r="129" spans="1:18" ht="16.5" customHeight="1" x14ac:dyDescent="0.15">
      <c r="A129" s="41">
        <v>11</v>
      </c>
      <c r="B129" s="41">
        <v>7809</v>
      </c>
      <c r="C129" s="74" t="s">
        <v>9334</v>
      </c>
      <c r="D129" s="709"/>
      <c r="E129" s="718"/>
      <c r="F129" s="752" t="s">
        <v>400</v>
      </c>
      <c r="G129" s="219" t="s">
        <v>398</v>
      </c>
      <c r="H129" s="50">
        <v>0.9</v>
      </c>
      <c r="I129" s="44"/>
      <c r="J129" s="247"/>
      <c r="K129" s="46"/>
      <c r="L129" s="35"/>
      <c r="O129" s="35"/>
      <c r="Q129" s="47">
        <f>ROUND((ROUND((_11_A家事４．２５*_11・基礎２),0)*(1+_11・A深夜)),0)</f>
        <v>890</v>
      </c>
      <c r="R129" s="48"/>
    </row>
    <row r="130" spans="1:18" ht="16.5" customHeight="1" x14ac:dyDescent="0.15">
      <c r="A130" s="41">
        <v>11</v>
      </c>
      <c r="B130" s="41">
        <v>7810</v>
      </c>
      <c r="C130" s="74" t="s">
        <v>9335</v>
      </c>
      <c r="D130" s="249">
        <f>_11_A家事４．２５</f>
        <v>659</v>
      </c>
      <c r="E130" s="12" t="s">
        <v>392</v>
      </c>
      <c r="F130" s="757"/>
      <c r="G130" s="246"/>
      <c r="H130" s="38"/>
      <c r="I130" s="44" t="s">
        <v>397</v>
      </c>
      <c r="J130" s="247" t="s">
        <v>398</v>
      </c>
      <c r="K130" s="46">
        <v>1</v>
      </c>
      <c r="L130" s="35"/>
      <c r="O130" s="43"/>
      <c r="P130" s="38"/>
      <c r="Q130" s="47">
        <f>ROUND((ROUND((ROUND((_11_A家事４．２５*_11・基礎２),0)*_11・２人),0)*(1+_11・A深夜)),0)</f>
        <v>890</v>
      </c>
      <c r="R130" s="48"/>
    </row>
    <row r="131" spans="1:18" ht="16.5" customHeight="1" x14ac:dyDescent="0.15">
      <c r="A131" s="41">
        <v>11</v>
      </c>
      <c r="B131" s="41" t="s">
        <v>9336</v>
      </c>
      <c r="C131" s="74" t="s">
        <v>9337</v>
      </c>
      <c r="D131" s="202"/>
      <c r="F131" s="53"/>
      <c r="G131" s="219"/>
      <c r="H131" s="50"/>
      <c r="I131" s="44"/>
      <c r="J131" s="247"/>
      <c r="K131" s="46"/>
      <c r="L131" s="35"/>
      <c r="O131" s="707" t="s">
        <v>404</v>
      </c>
      <c r="P131" s="708"/>
      <c r="Q131" s="47">
        <f>ROUND((ROUND((_11_A家事４．２５*(1+_11・A深夜)),0)*_11・初任),0)</f>
        <v>692</v>
      </c>
      <c r="R131" s="48"/>
    </row>
    <row r="132" spans="1:18" ht="16.5" customHeight="1" x14ac:dyDescent="0.15">
      <c r="A132" s="41">
        <v>11</v>
      </c>
      <c r="B132" s="41" t="s">
        <v>9338</v>
      </c>
      <c r="C132" s="74" t="s">
        <v>9339</v>
      </c>
      <c r="D132" s="202"/>
      <c r="F132" s="43"/>
      <c r="G132" s="246"/>
      <c r="H132" s="38"/>
      <c r="I132" s="44" t="s">
        <v>397</v>
      </c>
      <c r="J132" s="247" t="s">
        <v>398</v>
      </c>
      <c r="K132" s="46">
        <v>1</v>
      </c>
      <c r="L132" s="35"/>
      <c r="O132" s="709"/>
      <c r="P132" s="704"/>
      <c r="Q132" s="47">
        <f>ROUND((ROUND((ROUND((_11_A家事４．２５*_11・２人),0)*(1+_11・A深夜)),0)*_11・初任),0)</f>
        <v>692</v>
      </c>
      <c r="R132" s="48"/>
    </row>
    <row r="133" spans="1:18" ht="16.5" customHeight="1" x14ac:dyDescent="0.15">
      <c r="A133" s="41">
        <v>11</v>
      </c>
      <c r="B133" s="41" t="s">
        <v>9340</v>
      </c>
      <c r="C133" s="74" t="s">
        <v>9341</v>
      </c>
      <c r="D133" s="203"/>
      <c r="F133" s="752" t="s">
        <v>400</v>
      </c>
      <c r="G133" s="219" t="s">
        <v>398</v>
      </c>
      <c r="H133" s="50">
        <v>0.9</v>
      </c>
      <c r="I133" s="44"/>
      <c r="J133" s="247"/>
      <c r="K133" s="46"/>
      <c r="L133" s="35"/>
      <c r="O133" s="709"/>
      <c r="P133" s="704"/>
      <c r="Q133" s="47">
        <f>ROUND((ROUND((ROUND((_11_A家事４．２５*_11・基礎２),0)*(1+_11・A深夜)),0)*_11・初任),0)</f>
        <v>623</v>
      </c>
      <c r="R133" s="48"/>
    </row>
    <row r="134" spans="1:18" ht="16.5" customHeight="1" x14ac:dyDescent="0.15">
      <c r="A134" s="41">
        <v>11</v>
      </c>
      <c r="B134" s="41" t="s">
        <v>9342</v>
      </c>
      <c r="C134" s="74" t="s">
        <v>9343</v>
      </c>
      <c r="D134" s="203"/>
      <c r="F134" s="757"/>
      <c r="G134" s="246"/>
      <c r="H134" s="38"/>
      <c r="I134" s="44" t="s">
        <v>397</v>
      </c>
      <c r="J134" s="247" t="s">
        <v>398</v>
      </c>
      <c r="K134" s="46">
        <v>1</v>
      </c>
      <c r="L134" s="35"/>
      <c r="O134" s="240" t="s">
        <v>398</v>
      </c>
      <c r="P134" s="38">
        <f>_11・初任</f>
        <v>0.7</v>
      </c>
      <c r="Q134" s="47">
        <f>ROUND((ROUND((ROUND((ROUND((_11_A家事４．２５*_11・基礎２),0)*_11・２人),0)*(1+_11・A深夜)),0)*_11・初任),0)</f>
        <v>623</v>
      </c>
      <c r="R134" s="48"/>
    </row>
    <row r="135" spans="1:18" ht="16.5" customHeight="1" x14ac:dyDescent="0.15">
      <c r="A135" s="41">
        <v>11</v>
      </c>
      <c r="B135" s="41">
        <v>6283</v>
      </c>
      <c r="C135" s="74" t="s">
        <v>9344</v>
      </c>
      <c r="D135" s="707" t="s">
        <v>9345</v>
      </c>
      <c r="E135" s="717"/>
      <c r="F135" s="53"/>
      <c r="G135" s="219"/>
      <c r="H135" s="50"/>
      <c r="I135" s="44"/>
      <c r="J135" s="247"/>
      <c r="K135" s="46"/>
      <c r="L135" s="35"/>
      <c r="O135" s="53"/>
      <c r="P135" s="50"/>
      <c r="Q135" s="47">
        <f>ROUND((_11_A家事４．５*(1+_11・A深夜)),0)</f>
        <v>1041</v>
      </c>
      <c r="R135" s="48"/>
    </row>
    <row r="136" spans="1:18" ht="16.5" customHeight="1" x14ac:dyDescent="0.15">
      <c r="A136" s="41">
        <v>11</v>
      </c>
      <c r="B136" s="41">
        <v>6284</v>
      </c>
      <c r="C136" s="74" t="s">
        <v>9346</v>
      </c>
      <c r="D136" s="709"/>
      <c r="E136" s="718"/>
      <c r="F136" s="43"/>
      <c r="G136" s="246"/>
      <c r="H136" s="38"/>
      <c r="I136" s="44" t="s">
        <v>397</v>
      </c>
      <c r="J136" s="247" t="s">
        <v>398</v>
      </c>
      <c r="K136" s="46">
        <v>1</v>
      </c>
      <c r="L136" s="35"/>
      <c r="O136" s="35"/>
      <c r="Q136" s="47">
        <f>ROUND((ROUND((_11_A家事４．５*_11・２人),0)*(1+_11・A深夜)),0)</f>
        <v>1041</v>
      </c>
      <c r="R136" s="48"/>
    </row>
    <row r="137" spans="1:18" ht="16.5" customHeight="1" x14ac:dyDescent="0.15">
      <c r="A137" s="41">
        <v>11</v>
      </c>
      <c r="B137" s="41">
        <v>6285</v>
      </c>
      <c r="C137" s="74" t="s">
        <v>9347</v>
      </c>
      <c r="D137" s="709"/>
      <c r="E137" s="718"/>
      <c r="F137" s="752" t="s">
        <v>400</v>
      </c>
      <c r="G137" s="219" t="s">
        <v>398</v>
      </c>
      <c r="H137" s="50">
        <v>0.9</v>
      </c>
      <c r="I137" s="44"/>
      <c r="J137" s="247"/>
      <c r="K137" s="46"/>
      <c r="L137" s="35"/>
      <c r="O137" s="35"/>
      <c r="Q137" s="47">
        <f>ROUND((ROUND((_11_A家事４．５*_11・基礎２),0)*(1+_11・A深夜)),0)</f>
        <v>938</v>
      </c>
      <c r="R137" s="48"/>
    </row>
    <row r="138" spans="1:18" ht="16.5" customHeight="1" x14ac:dyDescent="0.15">
      <c r="A138" s="41">
        <v>11</v>
      </c>
      <c r="B138" s="41">
        <v>6286</v>
      </c>
      <c r="C138" s="74" t="s">
        <v>9348</v>
      </c>
      <c r="D138" s="249">
        <f>_11_A家事４．５</f>
        <v>694</v>
      </c>
      <c r="E138" s="12" t="s">
        <v>392</v>
      </c>
      <c r="F138" s="757"/>
      <c r="G138" s="246"/>
      <c r="H138" s="38"/>
      <c r="I138" s="44" t="s">
        <v>397</v>
      </c>
      <c r="J138" s="247" t="s">
        <v>398</v>
      </c>
      <c r="K138" s="46">
        <v>1</v>
      </c>
      <c r="L138" s="35"/>
      <c r="O138" s="43"/>
      <c r="P138" s="38"/>
      <c r="Q138" s="47">
        <f>ROUND((ROUND((ROUND((_11_A家事４．５*_11・基礎２),0)*_11・２人),0)*(1+_11・A深夜)),0)</f>
        <v>938</v>
      </c>
      <c r="R138" s="48"/>
    </row>
    <row r="139" spans="1:18" ht="16.5" customHeight="1" x14ac:dyDescent="0.15">
      <c r="A139" s="41">
        <v>11</v>
      </c>
      <c r="B139" s="41" t="s">
        <v>9349</v>
      </c>
      <c r="C139" s="74" t="s">
        <v>9350</v>
      </c>
      <c r="D139" s="202"/>
      <c r="F139" s="53"/>
      <c r="G139" s="219"/>
      <c r="H139" s="50"/>
      <c r="I139" s="44"/>
      <c r="J139" s="247"/>
      <c r="K139" s="46"/>
      <c r="L139" s="35"/>
      <c r="O139" s="707" t="s">
        <v>404</v>
      </c>
      <c r="P139" s="708"/>
      <c r="Q139" s="47">
        <f>ROUND((ROUND((_11_A家事４．５*(1+_11・A深夜)),0)*_11・初任),0)</f>
        <v>729</v>
      </c>
      <c r="R139" s="48"/>
    </row>
    <row r="140" spans="1:18" ht="16.5" customHeight="1" x14ac:dyDescent="0.15">
      <c r="A140" s="41">
        <v>11</v>
      </c>
      <c r="B140" s="41" t="s">
        <v>9351</v>
      </c>
      <c r="C140" s="74" t="s">
        <v>9352</v>
      </c>
      <c r="D140" s="202"/>
      <c r="F140" s="43"/>
      <c r="G140" s="246"/>
      <c r="H140" s="38"/>
      <c r="I140" s="44" t="s">
        <v>397</v>
      </c>
      <c r="J140" s="247" t="s">
        <v>398</v>
      </c>
      <c r="K140" s="46">
        <v>1</v>
      </c>
      <c r="L140" s="35"/>
      <c r="O140" s="709"/>
      <c r="P140" s="704"/>
      <c r="Q140" s="47">
        <f>ROUND((ROUND((ROUND((_11_A家事４．５*_11・２人),0)*(1+_11・A深夜)),0)*_11・初任),0)</f>
        <v>729</v>
      </c>
      <c r="R140" s="48"/>
    </row>
    <row r="141" spans="1:18" ht="16.5" customHeight="1" x14ac:dyDescent="0.15">
      <c r="A141" s="41">
        <v>11</v>
      </c>
      <c r="B141" s="41" t="s">
        <v>9353</v>
      </c>
      <c r="C141" s="74" t="s">
        <v>9354</v>
      </c>
      <c r="D141" s="203"/>
      <c r="F141" s="752" t="s">
        <v>400</v>
      </c>
      <c r="G141" s="219" t="s">
        <v>398</v>
      </c>
      <c r="H141" s="50">
        <v>0.9</v>
      </c>
      <c r="I141" s="44"/>
      <c r="J141" s="247"/>
      <c r="K141" s="46"/>
      <c r="L141" s="35"/>
      <c r="O141" s="709"/>
      <c r="P141" s="704"/>
      <c r="Q141" s="47">
        <f>ROUND((ROUND((ROUND((_11_A家事４．５*_11・基礎２),0)*(1+_11・A深夜)),0)*_11・初任),0)</f>
        <v>657</v>
      </c>
      <c r="R141" s="48"/>
    </row>
    <row r="142" spans="1:18" ht="16.5" customHeight="1" x14ac:dyDescent="0.15">
      <c r="A142" s="41">
        <v>11</v>
      </c>
      <c r="B142" s="41" t="s">
        <v>9355</v>
      </c>
      <c r="C142" s="74" t="s">
        <v>9356</v>
      </c>
      <c r="D142" s="203"/>
      <c r="F142" s="757"/>
      <c r="G142" s="246"/>
      <c r="H142" s="38"/>
      <c r="I142" s="44" t="s">
        <v>397</v>
      </c>
      <c r="J142" s="247" t="s">
        <v>398</v>
      </c>
      <c r="K142" s="46">
        <v>1</v>
      </c>
      <c r="L142" s="35"/>
      <c r="O142" s="240" t="s">
        <v>398</v>
      </c>
      <c r="P142" s="38">
        <f>_11・初任</f>
        <v>0.7</v>
      </c>
      <c r="Q142" s="47">
        <f>ROUND((ROUND((ROUND((ROUND((_11_A家事４．５*_11・基礎２),0)*_11・２人),0)*(1+_11・A深夜)),0)*_11・初任),0)</f>
        <v>657</v>
      </c>
      <c r="R142" s="48"/>
    </row>
    <row r="143" spans="1:18" ht="16.5" customHeight="1" x14ac:dyDescent="0.15">
      <c r="A143" s="41">
        <v>11</v>
      </c>
      <c r="B143" s="41">
        <v>7811</v>
      </c>
      <c r="C143" s="74" t="s">
        <v>9357</v>
      </c>
      <c r="D143" s="707" t="s">
        <v>9358</v>
      </c>
      <c r="E143" s="717"/>
      <c r="F143" s="53"/>
      <c r="G143" s="219"/>
      <c r="H143" s="50"/>
      <c r="I143" s="44"/>
      <c r="J143" s="247"/>
      <c r="K143" s="46"/>
      <c r="L143" s="35"/>
      <c r="O143" s="53"/>
      <c r="P143" s="50"/>
      <c r="Q143" s="47">
        <f>ROUND((_11_A家事４．７５*(1+_11・A深夜)),0)</f>
        <v>1094</v>
      </c>
      <c r="R143" s="48"/>
    </row>
    <row r="144" spans="1:18" ht="16.5" customHeight="1" x14ac:dyDescent="0.15">
      <c r="A144" s="41">
        <v>11</v>
      </c>
      <c r="B144" s="41">
        <v>7812</v>
      </c>
      <c r="C144" s="74" t="s">
        <v>9359</v>
      </c>
      <c r="D144" s="709"/>
      <c r="E144" s="718"/>
      <c r="F144" s="43"/>
      <c r="G144" s="246"/>
      <c r="H144" s="38"/>
      <c r="I144" s="44" t="s">
        <v>397</v>
      </c>
      <c r="J144" s="247" t="s">
        <v>398</v>
      </c>
      <c r="K144" s="46">
        <v>1</v>
      </c>
      <c r="L144" s="35"/>
      <c r="O144" s="35"/>
      <c r="Q144" s="47">
        <f>ROUND((ROUND((_11_A家事４．７５*_11・２人),0)*(1+_11・A深夜)),0)</f>
        <v>1094</v>
      </c>
      <c r="R144" s="48"/>
    </row>
    <row r="145" spans="1:18" ht="16.5" customHeight="1" x14ac:dyDescent="0.15">
      <c r="A145" s="41">
        <v>11</v>
      </c>
      <c r="B145" s="41">
        <v>7813</v>
      </c>
      <c r="C145" s="74" t="s">
        <v>9360</v>
      </c>
      <c r="D145" s="709"/>
      <c r="E145" s="718"/>
      <c r="F145" s="752" t="s">
        <v>400</v>
      </c>
      <c r="G145" s="219" t="s">
        <v>398</v>
      </c>
      <c r="H145" s="50">
        <v>0.9</v>
      </c>
      <c r="I145" s="44"/>
      <c r="J145" s="247"/>
      <c r="K145" s="46"/>
      <c r="L145" s="35"/>
      <c r="O145" s="35"/>
      <c r="Q145" s="47">
        <f>ROUND((ROUND((_11_A家事４．７５*_11・基礎２),0)*(1+_11・A深夜)),0)</f>
        <v>984</v>
      </c>
      <c r="R145" s="48"/>
    </row>
    <row r="146" spans="1:18" ht="16.5" customHeight="1" x14ac:dyDescent="0.15">
      <c r="A146" s="41">
        <v>11</v>
      </c>
      <c r="B146" s="41">
        <v>7814</v>
      </c>
      <c r="C146" s="74" t="s">
        <v>9361</v>
      </c>
      <c r="D146" s="249">
        <f>_11_A家事４．７５</f>
        <v>729</v>
      </c>
      <c r="E146" s="12" t="s">
        <v>392</v>
      </c>
      <c r="F146" s="757"/>
      <c r="G146" s="246"/>
      <c r="H146" s="38"/>
      <c r="I146" s="44" t="s">
        <v>397</v>
      </c>
      <c r="J146" s="247" t="s">
        <v>398</v>
      </c>
      <c r="K146" s="46">
        <v>1</v>
      </c>
      <c r="L146" s="35"/>
      <c r="O146" s="43"/>
      <c r="P146" s="38"/>
      <c r="Q146" s="47">
        <f>ROUND((ROUND((ROUND((_11_A家事４．７５*_11・基礎２),0)*_11・２人),0)*(1+_11・A深夜)),0)</f>
        <v>984</v>
      </c>
      <c r="R146" s="48"/>
    </row>
    <row r="147" spans="1:18" ht="16.5" customHeight="1" x14ac:dyDescent="0.15">
      <c r="A147" s="41">
        <v>11</v>
      </c>
      <c r="B147" s="41" t="s">
        <v>9362</v>
      </c>
      <c r="C147" s="74" t="s">
        <v>9363</v>
      </c>
      <c r="D147" s="202"/>
      <c r="F147" s="53"/>
      <c r="G147" s="219"/>
      <c r="H147" s="50"/>
      <c r="I147" s="44"/>
      <c r="J147" s="247"/>
      <c r="K147" s="46"/>
      <c r="L147" s="35"/>
      <c r="O147" s="707" t="s">
        <v>404</v>
      </c>
      <c r="P147" s="708"/>
      <c r="Q147" s="47">
        <f>ROUND((ROUND((_11_A家事４．７５*(1+_11・A深夜)),0)*_11・初任),0)</f>
        <v>766</v>
      </c>
      <c r="R147" s="48"/>
    </row>
    <row r="148" spans="1:18" ht="16.5" customHeight="1" x14ac:dyDescent="0.15">
      <c r="A148" s="41">
        <v>11</v>
      </c>
      <c r="B148" s="41" t="s">
        <v>9364</v>
      </c>
      <c r="C148" s="74" t="s">
        <v>9365</v>
      </c>
      <c r="D148" s="202"/>
      <c r="F148" s="43"/>
      <c r="G148" s="246"/>
      <c r="H148" s="38"/>
      <c r="I148" s="44" t="s">
        <v>397</v>
      </c>
      <c r="J148" s="247" t="s">
        <v>398</v>
      </c>
      <c r="K148" s="46">
        <v>1</v>
      </c>
      <c r="L148" s="35"/>
      <c r="O148" s="709"/>
      <c r="P148" s="704"/>
      <c r="Q148" s="47">
        <f>ROUND((ROUND((ROUND((_11_A家事４．７５*_11・２人),0)*(1+_11・A深夜)),0)*_11・初任),0)</f>
        <v>766</v>
      </c>
      <c r="R148" s="48"/>
    </row>
    <row r="149" spans="1:18" ht="16.5" customHeight="1" x14ac:dyDescent="0.15">
      <c r="A149" s="41">
        <v>11</v>
      </c>
      <c r="B149" s="41" t="s">
        <v>9366</v>
      </c>
      <c r="C149" s="74" t="s">
        <v>9367</v>
      </c>
      <c r="D149" s="203"/>
      <c r="F149" s="752" t="s">
        <v>400</v>
      </c>
      <c r="G149" s="219" t="s">
        <v>398</v>
      </c>
      <c r="H149" s="50">
        <v>0.9</v>
      </c>
      <c r="I149" s="44"/>
      <c r="J149" s="247"/>
      <c r="K149" s="46"/>
      <c r="L149" s="35"/>
      <c r="O149" s="709"/>
      <c r="P149" s="704"/>
      <c r="Q149" s="47">
        <f>ROUND((ROUND((ROUND((_11_A家事４．７５*_11・基礎２),0)*(1+_11・A深夜)),0)*_11・初任),0)</f>
        <v>689</v>
      </c>
      <c r="R149" s="48"/>
    </row>
    <row r="150" spans="1:18" ht="16.5" customHeight="1" x14ac:dyDescent="0.15">
      <c r="A150" s="41">
        <v>11</v>
      </c>
      <c r="B150" s="41" t="s">
        <v>9368</v>
      </c>
      <c r="C150" s="74" t="s">
        <v>9369</v>
      </c>
      <c r="D150" s="203"/>
      <c r="F150" s="757"/>
      <c r="G150" s="246"/>
      <c r="H150" s="38"/>
      <c r="I150" s="44" t="s">
        <v>397</v>
      </c>
      <c r="J150" s="247" t="s">
        <v>398</v>
      </c>
      <c r="K150" s="46">
        <v>1</v>
      </c>
      <c r="L150" s="35"/>
      <c r="N150" s="234"/>
      <c r="O150" s="240" t="s">
        <v>398</v>
      </c>
      <c r="P150" s="38">
        <f>_11・初任</f>
        <v>0.7</v>
      </c>
      <c r="Q150" s="47">
        <f>ROUND((ROUND((ROUND((ROUND((_11_A家事４．７５*_11・基礎２),0)*_11・２人),0)*(1+_11・A深夜)),0)*_11・初任),0)</f>
        <v>689</v>
      </c>
      <c r="R150" s="48"/>
    </row>
    <row r="151" spans="1:18" ht="16.5" customHeight="1" x14ac:dyDescent="0.15">
      <c r="A151" s="41">
        <v>11</v>
      </c>
      <c r="B151" s="41">
        <v>6287</v>
      </c>
      <c r="C151" s="74" t="s">
        <v>9370</v>
      </c>
      <c r="D151" s="707" t="s">
        <v>9371</v>
      </c>
      <c r="E151" s="717"/>
      <c r="F151" s="53"/>
      <c r="G151" s="219"/>
      <c r="H151" s="50"/>
      <c r="I151" s="44"/>
      <c r="J151" s="247"/>
      <c r="K151" s="46"/>
      <c r="L151" s="35"/>
      <c r="N151" s="234"/>
      <c r="O151" s="53"/>
      <c r="P151" s="50"/>
      <c r="Q151" s="47">
        <f>ROUND((_11_A家事５．０*(1+_11・A深夜)),0)</f>
        <v>1146</v>
      </c>
      <c r="R151" s="48"/>
    </row>
    <row r="152" spans="1:18" ht="16.5" customHeight="1" x14ac:dyDescent="0.15">
      <c r="A152" s="41">
        <v>11</v>
      </c>
      <c r="B152" s="41">
        <v>6288</v>
      </c>
      <c r="C152" s="74" t="s">
        <v>9372</v>
      </c>
      <c r="D152" s="709"/>
      <c r="E152" s="718"/>
      <c r="F152" s="43"/>
      <c r="G152" s="246"/>
      <c r="H152" s="38"/>
      <c r="I152" s="44" t="s">
        <v>397</v>
      </c>
      <c r="J152" s="247" t="s">
        <v>398</v>
      </c>
      <c r="K152" s="46">
        <v>1</v>
      </c>
      <c r="L152" s="35"/>
      <c r="N152" s="234"/>
      <c r="O152" s="35"/>
      <c r="Q152" s="47">
        <f>ROUND((ROUND((_11_A家事５．０*_11・２人),0)*(1+_11・A深夜)),0)</f>
        <v>1146</v>
      </c>
      <c r="R152" s="48"/>
    </row>
    <row r="153" spans="1:18" ht="16.5" customHeight="1" x14ac:dyDescent="0.15">
      <c r="A153" s="41">
        <v>11</v>
      </c>
      <c r="B153" s="41">
        <v>6289</v>
      </c>
      <c r="C153" s="74" t="s">
        <v>9373</v>
      </c>
      <c r="D153" s="709"/>
      <c r="E153" s="718"/>
      <c r="F153" s="752" t="s">
        <v>400</v>
      </c>
      <c r="G153" s="219" t="s">
        <v>398</v>
      </c>
      <c r="H153" s="50">
        <v>0.9</v>
      </c>
      <c r="I153" s="44"/>
      <c r="J153" s="247"/>
      <c r="K153" s="46"/>
      <c r="L153" s="35"/>
      <c r="N153" s="234"/>
      <c r="O153" s="35"/>
      <c r="Q153" s="47">
        <f>ROUND((ROUND((_11_A家事５．０*_11・基礎２),0)*(1+_11・A深夜)),0)</f>
        <v>1032</v>
      </c>
      <c r="R153" s="48"/>
    </row>
    <row r="154" spans="1:18" ht="16.5" customHeight="1" x14ac:dyDescent="0.15">
      <c r="A154" s="41">
        <v>11</v>
      </c>
      <c r="B154" s="41">
        <v>6290</v>
      </c>
      <c r="C154" s="74" t="s">
        <v>9374</v>
      </c>
      <c r="D154" s="249">
        <f>_11_A家事５．０</f>
        <v>764</v>
      </c>
      <c r="E154" s="12" t="s">
        <v>392</v>
      </c>
      <c r="F154" s="757"/>
      <c r="G154" s="246"/>
      <c r="H154" s="38"/>
      <c r="I154" s="44" t="s">
        <v>397</v>
      </c>
      <c r="J154" s="247" t="s">
        <v>398</v>
      </c>
      <c r="K154" s="46">
        <v>1</v>
      </c>
      <c r="L154" s="35"/>
      <c r="N154" s="234"/>
      <c r="O154" s="43"/>
      <c r="P154" s="38"/>
      <c r="Q154" s="47">
        <f>ROUND((ROUND((ROUND((_11_A家事５．０*_11・基礎２),0)*_11・２人),0)*(1+_11・A深夜)),0)</f>
        <v>1032</v>
      </c>
      <c r="R154" s="48"/>
    </row>
    <row r="155" spans="1:18" ht="16.5" customHeight="1" x14ac:dyDescent="0.15">
      <c r="A155" s="41">
        <v>11</v>
      </c>
      <c r="B155" s="41" t="s">
        <v>9375</v>
      </c>
      <c r="C155" s="74" t="s">
        <v>9376</v>
      </c>
      <c r="D155" s="202"/>
      <c r="F155" s="53"/>
      <c r="G155" s="219"/>
      <c r="H155" s="50"/>
      <c r="I155" s="44"/>
      <c r="J155" s="247"/>
      <c r="K155" s="46"/>
      <c r="L155" s="35"/>
      <c r="N155" s="234"/>
      <c r="O155" s="707" t="s">
        <v>404</v>
      </c>
      <c r="P155" s="708"/>
      <c r="Q155" s="47">
        <f>ROUND((ROUND((_11_A家事５．０*(1+_11・A深夜)),0)*_11・初任),0)</f>
        <v>802</v>
      </c>
      <c r="R155" s="48"/>
    </row>
    <row r="156" spans="1:18" ht="16.5" customHeight="1" x14ac:dyDescent="0.15">
      <c r="A156" s="41">
        <v>11</v>
      </c>
      <c r="B156" s="41" t="s">
        <v>9377</v>
      </c>
      <c r="C156" s="74" t="s">
        <v>9378</v>
      </c>
      <c r="D156" s="202"/>
      <c r="F156" s="43"/>
      <c r="G156" s="246"/>
      <c r="H156" s="38"/>
      <c r="I156" s="44" t="s">
        <v>397</v>
      </c>
      <c r="J156" s="247" t="s">
        <v>398</v>
      </c>
      <c r="K156" s="46">
        <v>1</v>
      </c>
      <c r="L156" s="35"/>
      <c r="N156" s="234"/>
      <c r="O156" s="709"/>
      <c r="P156" s="704"/>
      <c r="Q156" s="47">
        <f>ROUND((ROUND((ROUND((_11_A家事５．０*_11・２人),0)*(1+_11・A深夜)),0)*_11・初任),0)</f>
        <v>802</v>
      </c>
      <c r="R156" s="48"/>
    </row>
    <row r="157" spans="1:18" ht="16.5" customHeight="1" x14ac:dyDescent="0.15">
      <c r="A157" s="41">
        <v>11</v>
      </c>
      <c r="B157" s="41" t="s">
        <v>9379</v>
      </c>
      <c r="C157" s="74" t="s">
        <v>9380</v>
      </c>
      <c r="D157" s="203"/>
      <c r="F157" s="752" t="s">
        <v>400</v>
      </c>
      <c r="G157" s="219" t="s">
        <v>398</v>
      </c>
      <c r="H157" s="50">
        <v>0.9</v>
      </c>
      <c r="I157" s="44"/>
      <c r="J157" s="247"/>
      <c r="K157" s="46"/>
      <c r="L157" s="35"/>
      <c r="N157" s="234"/>
      <c r="O157" s="709"/>
      <c r="P157" s="704"/>
      <c r="Q157" s="47">
        <f>ROUND((ROUND((ROUND((_11_A家事５．０*_11・基礎２),0)*(1+_11・A深夜)),0)*_11・初任),0)</f>
        <v>722</v>
      </c>
      <c r="R157" s="48"/>
    </row>
    <row r="158" spans="1:18" ht="16.5" customHeight="1" x14ac:dyDescent="0.15">
      <c r="A158" s="41">
        <v>11</v>
      </c>
      <c r="B158" s="41" t="s">
        <v>9381</v>
      </c>
      <c r="C158" s="74" t="s">
        <v>9382</v>
      </c>
      <c r="D158" s="205"/>
      <c r="E158" s="37"/>
      <c r="F158" s="757"/>
      <c r="G158" s="246"/>
      <c r="H158" s="38"/>
      <c r="I158" s="44" t="s">
        <v>397</v>
      </c>
      <c r="J158" s="247" t="s">
        <v>398</v>
      </c>
      <c r="K158" s="46">
        <v>1</v>
      </c>
      <c r="L158" s="35"/>
      <c r="N158" s="234"/>
      <c r="O158" s="240" t="s">
        <v>398</v>
      </c>
      <c r="P158" s="38">
        <f>_11・初任</f>
        <v>0.7</v>
      </c>
      <c r="Q158" s="47">
        <f>ROUND((ROUND((ROUND((ROUND((_11_A家事５．０*_11・基礎２),0)*_11・２人),0)*(1+_11・A深夜)),0)*_11・初任),0)</f>
        <v>722</v>
      </c>
      <c r="R158" s="48"/>
    </row>
    <row r="159" spans="1:18" ht="16.5" customHeight="1" x14ac:dyDescent="0.15">
      <c r="A159" s="33">
        <v>11</v>
      </c>
      <c r="B159" s="33">
        <v>7815</v>
      </c>
      <c r="C159" s="34" t="s">
        <v>9383</v>
      </c>
      <c r="D159" s="709" t="s">
        <v>9384</v>
      </c>
      <c r="E159" s="718"/>
      <c r="F159" s="35"/>
      <c r="I159" s="36"/>
      <c r="J159" s="246"/>
      <c r="K159" s="38"/>
      <c r="L159" s="35"/>
      <c r="N159" s="234"/>
      <c r="O159" s="35"/>
      <c r="Q159" s="39">
        <f>ROUND((_11_A家事５．２５*(1+_11・A深夜)),0)</f>
        <v>1199</v>
      </c>
      <c r="R159" s="48"/>
    </row>
    <row r="160" spans="1:18" ht="16.5" customHeight="1" x14ac:dyDescent="0.15">
      <c r="A160" s="41">
        <v>11</v>
      </c>
      <c r="B160" s="41">
        <v>7816</v>
      </c>
      <c r="C160" s="74" t="s">
        <v>9385</v>
      </c>
      <c r="D160" s="709"/>
      <c r="E160" s="718"/>
      <c r="F160" s="43"/>
      <c r="G160" s="246"/>
      <c r="H160" s="38"/>
      <c r="I160" s="44" t="s">
        <v>397</v>
      </c>
      <c r="J160" s="247" t="s">
        <v>398</v>
      </c>
      <c r="K160" s="46">
        <v>1</v>
      </c>
      <c r="L160" s="35"/>
      <c r="N160" s="234"/>
      <c r="O160" s="35"/>
      <c r="Q160" s="47">
        <f>ROUND((ROUND((_11_A家事５．２５*_11・２人),0)*(1+_11・A深夜)),0)</f>
        <v>1199</v>
      </c>
      <c r="R160" s="48"/>
    </row>
    <row r="161" spans="1:18" ht="16.5" customHeight="1" x14ac:dyDescent="0.15">
      <c r="A161" s="41">
        <v>11</v>
      </c>
      <c r="B161" s="41">
        <v>7817</v>
      </c>
      <c r="C161" s="74" t="s">
        <v>9386</v>
      </c>
      <c r="D161" s="709"/>
      <c r="E161" s="718"/>
      <c r="F161" s="752" t="s">
        <v>400</v>
      </c>
      <c r="G161" s="219" t="s">
        <v>398</v>
      </c>
      <c r="H161" s="50">
        <v>0.9</v>
      </c>
      <c r="I161" s="44"/>
      <c r="J161" s="247"/>
      <c r="K161" s="46"/>
      <c r="L161" s="35"/>
      <c r="O161" s="35"/>
      <c r="Q161" s="47">
        <f>ROUND((ROUND((_11_A家事５．２５*_11・基礎２),0)*(1+_11・A深夜)),0)</f>
        <v>1079</v>
      </c>
      <c r="R161" s="48"/>
    </row>
    <row r="162" spans="1:18" ht="16.5" customHeight="1" x14ac:dyDescent="0.15">
      <c r="A162" s="41">
        <v>11</v>
      </c>
      <c r="B162" s="41">
        <v>7818</v>
      </c>
      <c r="C162" s="74" t="s">
        <v>9387</v>
      </c>
      <c r="D162" s="249">
        <f>_11_A家事５．２５</f>
        <v>799</v>
      </c>
      <c r="E162" s="12" t="s">
        <v>392</v>
      </c>
      <c r="F162" s="757"/>
      <c r="G162" s="246"/>
      <c r="H162" s="38"/>
      <c r="I162" s="44" t="s">
        <v>397</v>
      </c>
      <c r="J162" s="247" t="s">
        <v>398</v>
      </c>
      <c r="K162" s="46">
        <v>1</v>
      </c>
      <c r="L162" s="35"/>
      <c r="O162" s="43"/>
      <c r="P162" s="38"/>
      <c r="Q162" s="47">
        <f>ROUND((ROUND((ROUND((_11_A家事５．２５*_11・基礎２),0)*_11・２人),0)*(1+_11・A深夜)),0)</f>
        <v>1079</v>
      </c>
      <c r="R162" s="48"/>
    </row>
    <row r="163" spans="1:18" ht="16.5" customHeight="1" x14ac:dyDescent="0.15">
      <c r="A163" s="41">
        <v>11</v>
      </c>
      <c r="B163" s="41" t="s">
        <v>9388</v>
      </c>
      <c r="C163" s="74" t="s">
        <v>9389</v>
      </c>
      <c r="D163" s="202"/>
      <c r="F163" s="53"/>
      <c r="G163" s="219"/>
      <c r="H163" s="50"/>
      <c r="I163" s="44"/>
      <c r="J163" s="247"/>
      <c r="K163" s="46"/>
      <c r="L163" s="35"/>
      <c r="O163" s="707" t="s">
        <v>404</v>
      </c>
      <c r="P163" s="708"/>
      <c r="Q163" s="47">
        <f>ROUND((ROUND((_11_A家事５．２５*(1+_11・A深夜)),0)*_11・初任),0)</f>
        <v>839</v>
      </c>
      <c r="R163" s="48"/>
    </row>
    <row r="164" spans="1:18" ht="16.5" customHeight="1" x14ac:dyDescent="0.15">
      <c r="A164" s="41">
        <v>11</v>
      </c>
      <c r="B164" s="41" t="s">
        <v>9390</v>
      </c>
      <c r="C164" s="74" t="s">
        <v>9391</v>
      </c>
      <c r="D164" s="202"/>
      <c r="F164" s="43"/>
      <c r="G164" s="246"/>
      <c r="H164" s="38"/>
      <c r="I164" s="44" t="s">
        <v>397</v>
      </c>
      <c r="J164" s="247" t="s">
        <v>398</v>
      </c>
      <c r="K164" s="46">
        <v>1</v>
      </c>
      <c r="L164" s="35"/>
      <c r="O164" s="709"/>
      <c r="P164" s="704"/>
      <c r="Q164" s="47">
        <f>ROUND((ROUND((ROUND((_11_A家事５．２５*_11・２人),0)*(1+_11・A深夜)),0)*_11・初任),0)</f>
        <v>839</v>
      </c>
      <c r="R164" s="48"/>
    </row>
    <row r="165" spans="1:18" ht="16.5" customHeight="1" x14ac:dyDescent="0.15">
      <c r="A165" s="41">
        <v>11</v>
      </c>
      <c r="B165" s="41" t="s">
        <v>9392</v>
      </c>
      <c r="C165" s="74" t="s">
        <v>9393</v>
      </c>
      <c r="D165" s="203"/>
      <c r="F165" s="752" t="s">
        <v>400</v>
      </c>
      <c r="G165" s="219" t="s">
        <v>398</v>
      </c>
      <c r="H165" s="50">
        <v>0.9</v>
      </c>
      <c r="I165" s="44"/>
      <c r="J165" s="247"/>
      <c r="K165" s="46"/>
      <c r="L165" s="35"/>
      <c r="O165" s="709"/>
      <c r="P165" s="704"/>
      <c r="Q165" s="47">
        <f>ROUND((ROUND((ROUND((_11_A家事５．２５*_11・基礎２),0)*(1+_11・A深夜)),0)*_11・初任),0)</f>
        <v>755</v>
      </c>
      <c r="R165" s="48"/>
    </row>
    <row r="166" spans="1:18" ht="16.5" customHeight="1" x14ac:dyDescent="0.15">
      <c r="A166" s="41">
        <v>11</v>
      </c>
      <c r="B166" s="41" t="s">
        <v>9394</v>
      </c>
      <c r="C166" s="74" t="s">
        <v>9395</v>
      </c>
      <c r="D166" s="205"/>
      <c r="E166" s="79"/>
      <c r="F166" s="757"/>
      <c r="G166" s="246"/>
      <c r="H166" s="38"/>
      <c r="I166" s="44" t="s">
        <v>397</v>
      </c>
      <c r="J166" s="247" t="s">
        <v>398</v>
      </c>
      <c r="K166" s="46">
        <v>1</v>
      </c>
      <c r="L166" s="43"/>
      <c r="M166" s="37"/>
      <c r="N166" s="244"/>
      <c r="O166" s="240" t="s">
        <v>398</v>
      </c>
      <c r="P166" s="38">
        <f>_11・初任</f>
        <v>0.7</v>
      </c>
      <c r="Q166" s="47">
        <f>ROUND((ROUND((ROUND((ROUND((_11_A家事５．２５*_11・基礎２),0)*_11・２人),0)*(1+_11・A深夜)),0)*_11・初任),0)</f>
        <v>755</v>
      </c>
      <c r="R166" s="63"/>
    </row>
    <row r="167" spans="1:18" ht="16.5" customHeight="1" x14ac:dyDescent="0.15">
      <c r="A167" s="41">
        <v>11</v>
      </c>
      <c r="B167" s="41">
        <v>6291</v>
      </c>
      <c r="C167" s="74" t="s">
        <v>9396</v>
      </c>
      <c r="D167" s="707" t="s">
        <v>9397</v>
      </c>
      <c r="E167" s="717"/>
      <c r="F167" s="53"/>
      <c r="G167" s="219"/>
      <c r="H167" s="50"/>
      <c r="I167" s="44"/>
      <c r="J167" s="247"/>
      <c r="K167" s="46"/>
      <c r="L167" s="53" t="s">
        <v>862</v>
      </c>
      <c r="M167" s="49"/>
      <c r="N167" s="50"/>
      <c r="O167" s="53"/>
      <c r="P167" s="50"/>
      <c r="Q167" s="47">
        <f>ROUND((_11_A家事５．５*(1+_11・A深夜)),0)</f>
        <v>1251</v>
      </c>
      <c r="R167" s="48"/>
    </row>
    <row r="168" spans="1:18" ht="16.5" customHeight="1" x14ac:dyDescent="0.15">
      <c r="A168" s="41">
        <v>11</v>
      </c>
      <c r="B168" s="41">
        <v>6292</v>
      </c>
      <c r="C168" s="74" t="s">
        <v>9398</v>
      </c>
      <c r="D168" s="709"/>
      <c r="E168" s="718"/>
      <c r="F168" s="43"/>
      <c r="G168" s="246"/>
      <c r="H168" s="38"/>
      <c r="I168" s="44" t="s">
        <v>397</v>
      </c>
      <c r="J168" s="247" t="s">
        <v>398</v>
      </c>
      <c r="K168" s="46">
        <v>1</v>
      </c>
      <c r="L168" s="248" t="s">
        <v>398</v>
      </c>
      <c r="M168" s="13">
        <v>0.5</v>
      </c>
      <c r="N168" s="782" t="s">
        <v>676</v>
      </c>
      <c r="O168" s="35"/>
      <c r="Q168" s="47">
        <f>ROUND((ROUND((_11_A家事５．５*_11・２人),0)*(1+_11・A深夜)),0)</f>
        <v>1251</v>
      </c>
      <c r="R168" s="48"/>
    </row>
    <row r="169" spans="1:18" ht="16.5" customHeight="1" x14ac:dyDescent="0.15">
      <c r="A169" s="41">
        <v>11</v>
      </c>
      <c r="B169" s="41">
        <v>6293</v>
      </c>
      <c r="C169" s="74" t="s">
        <v>9399</v>
      </c>
      <c r="D169" s="709"/>
      <c r="E169" s="718"/>
      <c r="F169" s="752" t="s">
        <v>400</v>
      </c>
      <c r="G169" s="219" t="s">
        <v>398</v>
      </c>
      <c r="H169" s="50">
        <v>0.9</v>
      </c>
      <c r="I169" s="44"/>
      <c r="J169" s="247"/>
      <c r="K169" s="46"/>
      <c r="L169" s="35"/>
      <c r="N169" s="782"/>
      <c r="O169" s="35"/>
      <c r="Q169" s="47">
        <f>ROUND((ROUND((_11_A家事５．５*_11・基礎２),0)*(1+_11・A深夜)),0)</f>
        <v>1127</v>
      </c>
      <c r="R169" s="48"/>
    </row>
    <row r="170" spans="1:18" ht="16.5" customHeight="1" x14ac:dyDescent="0.15">
      <c r="A170" s="41">
        <v>11</v>
      </c>
      <c r="B170" s="41">
        <v>6294</v>
      </c>
      <c r="C170" s="74" t="s">
        <v>9400</v>
      </c>
      <c r="D170" s="249">
        <f>_11_A家事５．５</f>
        <v>834</v>
      </c>
      <c r="E170" s="12" t="s">
        <v>392</v>
      </c>
      <c r="F170" s="757"/>
      <c r="G170" s="246"/>
      <c r="H170" s="38"/>
      <c r="I170" s="44" t="s">
        <v>397</v>
      </c>
      <c r="J170" s="247" t="s">
        <v>398</v>
      </c>
      <c r="K170" s="46">
        <v>1</v>
      </c>
      <c r="L170" s="35"/>
      <c r="O170" s="43"/>
      <c r="P170" s="38"/>
      <c r="Q170" s="47">
        <f>ROUND((ROUND((ROUND((_11_A家事５．５*_11・基礎２),0)*_11・２人),0)*(1+_11・A深夜)),0)</f>
        <v>1127</v>
      </c>
      <c r="R170" s="48"/>
    </row>
    <row r="171" spans="1:18" ht="16.5" customHeight="1" x14ac:dyDescent="0.15">
      <c r="A171" s="41">
        <v>11</v>
      </c>
      <c r="B171" s="41" t="s">
        <v>9401</v>
      </c>
      <c r="C171" s="74" t="s">
        <v>9402</v>
      </c>
      <c r="D171" s="202"/>
      <c r="F171" s="53"/>
      <c r="G171" s="219"/>
      <c r="H171" s="50"/>
      <c r="I171" s="44"/>
      <c r="J171" s="247"/>
      <c r="K171" s="46"/>
      <c r="L171" s="35"/>
      <c r="O171" s="707" t="s">
        <v>404</v>
      </c>
      <c r="P171" s="708"/>
      <c r="Q171" s="47">
        <f>ROUND((ROUND((_11_A家事５．５*(1+_11・A深夜)),0)*_11・初任),0)</f>
        <v>876</v>
      </c>
      <c r="R171" s="48"/>
    </row>
    <row r="172" spans="1:18" ht="16.5" customHeight="1" x14ac:dyDescent="0.15">
      <c r="A172" s="41">
        <v>11</v>
      </c>
      <c r="B172" s="41" t="s">
        <v>9403</v>
      </c>
      <c r="C172" s="74" t="s">
        <v>9404</v>
      </c>
      <c r="D172" s="202"/>
      <c r="F172" s="43"/>
      <c r="G172" s="246"/>
      <c r="H172" s="38"/>
      <c r="I172" s="44" t="s">
        <v>397</v>
      </c>
      <c r="J172" s="247" t="s">
        <v>398</v>
      </c>
      <c r="K172" s="46">
        <v>1</v>
      </c>
      <c r="L172" s="35"/>
      <c r="O172" s="709"/>
      <c r="P172" s="704"/>
      <c r="Q172" s="47">
        <f>ROUND((ROUND((ROUND((_11_A家事５．５*_11・２人),0)*(1+_11・A深夜)),0)*_11・初任),0)</f>
        <v>876</v>
      </c>
      <c r="R172" s="48"/>
    </row>
    <row r="173" spans="1:18" ht="16.5" customHeight="1" x14ac:dyDescent="0.15">
      <c r="A173" s="41">
        <v>11</v>
      </c>
      <c r="B173" s="41" t="s">
        <v>9405</v>
      </c>
      <c r="C173" s="74" t="s">
        <v>9406</v>
      </c>
      <c r="D173" s="203"/>
      <c r="F173" s="752" t="s">
        <v>400</v>
      </c>
      <c r="G173" s="219" t="s">
        <v>398</v>
      </c>
      <c r="H173" s="50">
        <v>0.9</v>
      </c>
      <c r="I173" s="44"/>
      <c r="J173" s="247"/>
      <c r="K173" s="46"/>
      <c r="L173" s="35"/>
      <c r="O173" s="709"/>
      <c r="P173" s="704"/>
      <c r="Q173" s="47">
        <f>ROUND((ROUND((ROUND((_11_A家事５．５*_11・基礎２),0)*(1+_11・A深夜)),0)*_11・初任),0)</f>
        <v>789</v>
      </c>
      <c r="R173" s="48"/>
    </row>
    <row r="174" spans="1:18" ht="16.5" customHeight="1" x14ac:dyDescent="0.15">
      <c r="A174" s="41">
        <v>11</v>
      </c>
      <c r="B174" s="41" t="s">
        <v>9407</v>
      </c>
      <c r="C174" s="74" t="s">
        <v>9408</v>
      </c>
      <c r="D174" s="203"/>
      <c r="F174" s="757"/>
      <c r="G174" s="246"/>
      <c r="H174" s="38"/>
      <c r="I174" s="44" t="s">
        <v>397</v>
      </c>
      <c r="J174" s="247" t="s">
        <v>398</v>
      </c>
      <c r="K174" s="46">
        <v>1</v>
      </c>
      <c r="L174" s="35"/>
      <c r="O174" s="240" t="s">
        <v>398</v>
      </c>
      <c r="P174" s="38">
        <f>_11・初任</f>
        <v>0.7</v>
      </c>
      <c r="Q174" s="47">
        <f>ROUND((ROUND((ROUND((ROUND((_11_A家事５．５*_11・基礎２),0)*_11・２人),0)*(1+_11・A深夜)),0)*_11・初任),0)</f>
        <v>789</v>
      </c>
      <c r="R174" s="48"/>
    </row>
    <row r="175" spans="1:18" ht="16.5" customHeight="1" x14ac:dyDescent="0.15">
      <c r="A175" s="41">
        <v>11</v>
      </c>
      <c r="B175" s="41">
        <v>7819</v>
      </c>
      <c r="C175" s="74" t="s">
        <v>9409</v>
      </c>
      <c r="D175" s="707" t="s">
        <v>9410</v>
      </c>
      <c r="E175" s="717"/>
      <c r="F175" s="53"/>
      <c r="G175" s="219"/>
      <c r="H175" s="50"/>
      <c r="I175" s="44"/>
      <c r="J175" s="247"/>
      <c r="K175" s="46"/>
      <c r="L175" s="35"/>
      <c r="O175" s="53"/>
      <c r="P175" s="50"/>
      <c r="Q175" s="47">
        <f>ROUND((_11_A家事５．７５*(1+_11・A深夜)),0)</f>
        <v>1304</v>
      </c>
      <c r="R175" s="48"/>
    </row>
    <row r="176" spans="1:18" ht="16.5" customHeight="1" x14ac:dyDescent="0.15">
      <c r="A176" s="41">
        <v>11</v>
      </c>
      <c r="B176" s="41">
        <v>7820</v>
      </c>
      <c r="C176" s="74" t="s">
        <v>9411</v>
      </c>
      <c r="D176" s="709"/>
      <c r="E176" s="718"/>
      <c r="F176" s="43"/>
      <c r="G176" s="246"/>
      <c r="H176" s="38"/>
      <c r="I176" s="44" t="s">
        <v>397</v>
      </c>
      <c r="J176" s="247" t="s">
        <v>398</v>
      </c>
      <c r="K176" s="46">
        <v>1</v>
      </c>
      <c r="L176" s="35"/>
      <c r="O176" s="35"/>
      <c r="Q176" s="47">
        <f>ROUND((ROUND((_11_A家事５．７５*_11・２人),0)*(1+_11・A深夜)),0)</f>
        <v>1304</v>
      </c>
      <c r="R176" s="48"/>
    </row>
    <row r="177" spans="1:18" ht="16.5" customHeight="1" x14ac:dyDescent="0.15">
      <c r="A177" s="41">
        <v>11</v>
      </c>
      <c r="B177" s="41">
        <v>7821</v>
      </c>
      <c r="C177" s="74" t="s">
        <v>9412</v>
      </c>
      <c r="D177" s="709"/>
      <c r="E177" s="718"/>
      <c r="F177" s="752" t="s">
        <v>400</v>
      </c>
      <c r="G177" s="219" t="s">
        <v>398</v>
      </c>
      <c r="H177" s="50">
        <v>0.9</v>
      </c>
      <c r="I177" s="44"/>
      <c r="J177" s="247"/>
      <c r="K177" s="46"/>
      <c r="L177" s="35"/>
      <c r="O177" s="35"/>
      <c r="Q177" s="47">
        <f>ROUND((ROUND((_11_A家事５．７５*_11・基礎２),0)*(1+_11・A深夜)),0)</f>
        <v>1173</v>
      </c>
      <c r="R177" s="48"/>
    </row>
    <row r="178" spans="1:18" ht="16.5" customHeight="1" x14ac:dyDescent="0.15">
      <c r="A178" s="41">
        <v>11</v>
      </c>
      <c r="B178" s="41">
        <v>7822</v>
      </c>
      <c r="C178" s="74" t="s">
        <v>9413</v>
      </c>
      <c r="D178" s="249">
        <f>_11_A家事５．７５</f>
        <v>869</v>
      </c>
      <c r="E178" s="12" t="s">
        <v>392</v>
      </c>
      <c r="F178" s="757"/>
      <c r="G178" s="246"/>
      <c r="H178" s="38"/>
      <c r="I178" s="44" t="s">
        <v>397</v>
      </c>
      <c r="J178" s="247" t="s">
        <v>398</v>
      </c>
      <c r="K178" s="46">
        <v>1</v>
      </c>
      <c r="L178" s="35"/>
      <c r="O178" s="43"/>
      <c r="P178" s="38"/>
      <c r="Q178" s="47">
        <f>ROUND((ROUND((ROUND((_11_A家事５．７５*_11・基礎２),0)*_11・２人),0)*(1+_11・A深夜)),0)</f>
        <v>1173</v>
      </c>
      <c r="R178" s="48"/>
    </row>
    <row r="179" spans="1:18" ht="16.5" customHeight="1" x14ac:dyDescent="0.15">
      <c r="A179" s="41">
        <v>11</v>
      </c>
      <c r="B179" s="41" t="s">
        <v>9414</v>
      </c>
      <c r="C179" s="74" t="s">
        <v>9415</v>
      </c>
      <c r="D179" s="202"/>
      <c r="F179" s="53"/>
      <c r="G179" s="219"/>
      <c r="H179" s="50"/>
      <c r="I179" s="44"/>
      <c r="J179" s="247"/>
      <c r="K179" s="46"/>
      <c r="L179" s="35"/>
      <c r="O179" s="707" t="s">
        <v>404</v>
      </c>
      <c r="P179" s="708"/>
      <c r="Q179" s="47">
        <f>ROUND((ROUND((_11_A家事５．７５*(1+_11・A深夜)),0)*_11・初任),0)</f>
        <v>913</v>
      </c>
      <c r="R179" s="48"/>
    </row>
    <row r="180" spans="1:18" ht="16.5" customHeight="1" x14ac:dyDescent="0.15">
      <c r="A180" s="41">
        <v>11</v>
      </c>
      <c r="B180" s="41" t="s">
        <v>9416</v>
      </c>
      <c r="C180" s="74" t="s">
        <v>9417</v>
      </c>
      <c r="D180" s="202"/>
      <c r="F180" s="43"/>
      <c r="G180" s="246"/>
      <c r="H180" s="38"/>
      <c r="I180" s="44" t="s">
        <v>397</v>
      </c>
      <c r="J180" s="247" t="s">
        <v>398</v>
      </c>
      <c r="K180" s="46">
        <v>1</v>
      </c>
      <c r="L180" s="35"/>
      <c r="O180" s="709"/>
      <c r="P180" s="704"/>
      <c r="Q180" s="47">
        <f>ROUND((ROUND((ROUND((_11_A家事５．７５*_11・２人),0)*(1+_11・A深夜)),0)*_11・初任),0)</f>
        <v>913</v>
      </c>
      <c r="R180" s="48"/>
    </row>
    <row r="181" spans="1:18" ht="16.5" customHeight="1" x14ac:dyDescent="0.15">
      <c r="A181" s="41">
        <v>11</v>
      </c>
      <c r="B181" s="41" t="s">
        <v>9418</v>
      </c>
      <c r="C181" s="74" t="s">
        <v>9419</v>
      </c>
      <c r="D181" s="203"/>
      <c r="F181" s="752" t="s">
        <v>400</v>
      </c>
      <c r="G181" s="219" t="s">
        <v>398</v>
      </c>
      <c r="H181" s="50">
        <v>0.9</v>
      </c>
      <c r="I181" s="44"/>
      <c r="J181" s="247"/>
      <c r="K181" s="46"/>
      <c r="L181" s="35"/>
      <c r="O181" s="709"/>
      <c r="P181" s="704"/>
      <c r="Q181" s="47">
        <f>ROUND((ROUND((ROUND((_11_A家事５．７５*_11・基礎２),0)*(1+_11・A深夜)),0)*_11・初任),0)</f>
        <v>821</v>
      </c>
      <c r="R181" s="48"/>
    </row>
    <row r="182" spans="1:18" ht="16.5" customHeight="1" x14ac:dyDescent="0.15">
      <c r="A182" s="41">
        <v>11</v>
      </c>
      <c r="B182" s="41" t="s">
        <v>9420</v>
      </c>
      <c r="C182" s="74" t="s">
        <v>9421</v>
      </c>
      <c r="D182" s="203"/>
      <c r="F182" s="757"/>
      <c r="G182" s="246"/>
      <c r="H182" s="38"/>
      <c r="I182" s="44" t="s">
        <v>397</v>
      </c>
      <c r="J182" s="247" t="s">
        <v>398</v>
      </c>
      <c r="K182" s="46">
        <v>1</v>
      </c>
      <c r="L182" s="35"/>
      <c r="O182" s="240" t="s">
        <v>398</v>
      </c>
      <c r="P182" s="38">
        <f>_11・初任</f>
        <v>0.7</v>
      </c>
      <c r="Q182" s="47">
        <f>ROUND((ROUND((ROUND((ROUND((_11_A家事５．７５*_11・基礎２),0)*_11・２人),0)*(1+_11・A深夜)),0)*_11・初任),0)</f>
        <v>821</v>
      </c>
      <c r="R182" s="48"/>
    </row>
    <row r="183" spans="1:18" ht="16.5" customHeight="1" x14ac:dyDescent="0.15">
      <c r="A183" s="41">
        <v>11</v>
      </c>
      <c r="B183" s="41">
        <v>6295</v>
      </c>
      <c r="C183" s="74" t="s">
        <v>9422</v>
      </c>
      <c r="D183" s="707" t="s">
        <v>9423</v>
      </c>
      <c r="E183" s="717"/>
      <c r="F183" s="53"/>
      <c r="G183" s="219"/>
      <c r="H183" s="50"/>
      <c r="I183" s="44"/>
      <c r="J183" s="247"/>
      <c r="K183" s="46"/>
      <c r="L183" s="35"/>
      <c r="O183" s="53"/>
      <c r="P183" s="50"/>
      <c r="Q183" s="47">
        <f>ROUND((_11_A家事６．０*(1+_11・A深夜)),0)</f>
        <v>1356</v>
      </c>
      <c r="R183" s="48"/>
    </row>
    <row r="184" spans="1:18" ht="16.5" customHeight="1" x14ac:dyDescent="0.15">
      <c r="A184" s="41">
        <v>11</v>
      </c>
      <c r="B184" s="41">
        <v>6296</v>
      </c>
      <c r="C184" s="74" t="s">
        <v>9424</v>
      </c>
      <c r="D184" s="709"/>
      <c r="E184" s="718"/>
      <c r="F184" s="43"/>
      <c r="G184" s="246"/>
      <c r="H184" s="38"/>
      <c r="I184" s="44" t="s">
        <v>397</v>
      </c>
      <c r="J184" s="247" t="s">
        <v>398</v>
      </c>
      <c r="K184" s="46">
        <v>1</v>
      </c>
      <c r="L184" s="35"/>
      <c r="O184" s="35"/>
      <c r="Q184" s="47">
        <f>ROUND((ROUND((_11_A家事６．０*_11・２人),0)*(1+_11・A深夜)),0)</f>
        <v>1356</v>
      </c>
      <c r="R184" s="48"/>
    </row>
    <row r="185" spans="1:18" ht="16.5" customHeight="1" x14ac:dyDescent="0.15">
      <c r="A185" s="41">
        <v>11</v>
      </c>
      <c r="B185" s="41">
        <v>6297</v>
      </c>
      <c r="C185" s="74" t="s">
        <v>9425</v>
      </c>
      <c r="D185" s="709"/>
      <c r="E185" s="718"/>
      <c r="F185" s="752" t="s">
        <v>400</v>
      </c>
      <c r="G185" s="219" t="s">
        <v>398</v>
      </c>
      <c r="H185" s="50">
        <v>0.9</v>
      </c>
      <c r="I185" s="44"/>
      <c r="J185" s="247"/>
      <c r="K185" s="46"/>
      <c r="L185" s="35"/>
      <c r="O185" s="35"/>
      <c r="Q185" s="47">
        <f>ROUND((ROUND((_11_A家事６．０*_11・基礎２),0)*(1+_11・A深夜)),0)</f>
        <v>1221</v>
      </c>
      <c r="R185" s="48"/>
    </row>
    <row r="186" spans="1:18" ht="16.5" customHeight="1" x14ac:dyDescent="0.15">
      <c r="A186" s="41">
        <v>11</v>
      </c>
      <c r="B186" s="41">
        <v>6298</v>
      </c>
      <c r="C186" s="74" t="s">
        <v>9426</v>
      </c>
      <c r="D186" s="249">
        <f>_11_A家事６．０</f>
        <v>904</v>
      </c>
      <c r="E186" s="12" t="s">
        <v>392</v>
      </c>
      <c r="F186" s="757"/>
      <c r="G186" s="246"/>
      <c r="H186" s="38"/>
      <c r="I186" s="44" t="s">
        <v>397</v>
      </c>
      <c r="J186" s="247" t="s">
        <v>398</v>
      </c>
      <c r="K186" s="46">
        <v>1</v>
      </c>
      <c r="L186" s="35"/>
      <c r="O186" s="43"/>
      <c r="P186" s="38"/>
      <c r="Q186" s="47">
        <f>ROUND((ROUND((ROUND((_11_A家事６．０*_11・基礎２),0)*_11・２人),0)*(1+_11・A深夜)),0)</f>
        <v>1221</v>
      </c>
      <c r="R186" s="48"/>
    </row>
    <row r="187" spans="1:18" ht="16.5" customHeight="1" x14ac:dyDescent="0.15">
      <c r="A187" s="41">
        <v>11</v>
      </c>
      <c r="B187" s="41" t="s">
        <v>9427</v>
      </c>
      <c r="C187" s="74" t="s">
        <v>9428</v>
      </c>
      <c r="D187" s="202"/>
      <c r="F187" s="53"/>
      <c r="G187" s="219"/>
      <c r="H187" s="50"/>
      <c r="I187" s="44"/>
      <c r="J187" s="247"/>
      <c r="K187" s="46"/>
      <c r="L187" s="35"/>
      <c r="O187" s="707" t="s">
        <v>404</v>
      </c>
      <c r="P187" s="708"/>
      <c r="Q187" s="47">
        <f>ROUND((ROUND((_11_A家事６．０*(1+_11・A深夜)),0)*_11・初任),0)</f>
        <v>949</v>
      </c>
      <c r="R187" s="48"/>
    </row>
    <row r="188" spans="1:18" ht="16.5" customHeight="1" x14ac:dyDescent="0.15">
      <c r="A188" s="41">
        <v>11</v>
      </c>
      <c r="B188" s="41" t="s">
        <v>9429</v>
      </c>
      <c r="C188" s="74" t="s">
        <v>9430</v>
      </c>
      <c r="D188" s="202"/>
      <c r="F188" s="43"/>
      <c r="G188" s="246"/>
      <c r="H188" s="38"/>
      <c r="I188" s="44" t="s">
        <v>397</v>
      </c>
      <c r="J188" s="247" t="s">
        <v>398</v>
      </c>
      <c r="K188" s="46">
        <v>1</v>
      </c>
      <c r="L188" s="35"/>
      <c r="O188" s="709"/>
      <c r="P188" s="704"/>
      <c r="Q188" s="47">
        <f>ROUND((ROUND((ROUND((_11_A家事６．０*_11・２人),0)*(1+_11・A深夜)),0)*_11・初任),0)</f>
        <v>949</v>
      </c>
      <c r="R188" s="48"/>
    </row>
    <row r="189" spans="1:18" ht="16.5" customHeight="1" x14ac:dyDescent="0.15">
      <c r="A189" s="41">
        <v>11</v>
      </c>
      <c r="B189" s="41" t="s">
        <v>9431</v>
      </c>
      <c r="C189" s="74" t="s">
        <v>9432</v>
      </c>
      <c r="D189" s="203"/>
      <c r="F189" s="752" t="s">
        <v>400</v>
      </c>
      <c r="G189" s="219" t="s">
        <v>398</v>
      </c>
      <c r="H189" s="50">
        <v>0.9</v>
      </c>
      <c r="I189" s="44"/>
      <c r="J189" s="247"/>
      <c r="K189" s="46"/>
      <c r="L189" s="35"/>
      <c r="O189" s="709"/>
      <c r="P189" s="704"/>
      <c r="Q189" s="47">
        <f>ROUND((ROUND((ROUND((_11_A家事６．０*_11・基礎２),0)*(1+_11・A深夜)),0)*_11・初任),0)</f>
        <v>855</v>
      </c>
      <c r="R189" s="48"/>
    </row>
    <row r="190" spans="1:18" ht="16.5" customHeight="1" x14ac:dyDescent="0.15">
      <c r="A190" s="41">
        <v>11</v>
      </c>
      <c r="B190" s="41" t="s">
        <v>9433</v>
      </c>
      <c r="C190" s="74" t="s">
        <v>9434</v>
      </c>
      <c r="D190" s="203"/>
      <c r="F190" s="757"/>
      <c r="G190" s="246"/>
      <c r="H190" s="38"/>
      <c r="I190" s="44" t="s">
        <v>397</v>
      </c>
      <c r="J190" s="247" t="s">
        <v>398</v>
      </c>
      <c r="K190" s="46">
        <v>1</v>
      </c>
      <c r="L190" s="35"/>
      <c r="O190" s="240" t="s">
        <v>398</v>
      </c>
      <c r="P190" s="38">
        <f>_11・初任</f>
        <v>0.7</v>
      </c>
      <c r="Q190" s="47">
        <f>ROUND((ROUND((ROUND((ROUND((_11_A家事６．０*_11・基礎２),0)*_11・２人),0)*(1+_11・A深夜)),0)*_11・初任),0)</f>
        <v>855</v>
      </c>
      <c r="R190" s="48"/>
    </row>
    <row r="191" spans="1:18" ht="16.5" customHeight="1" x14ac:dyDescent="0.15">
      <c r="A191" s="41">
        <v>11</v>
      </c>
      <c r="B191" s="41">
        <v>7823</v>
      </c>
      <c r="C191" s="74" t="s">
        <v>9435</v>
      </c>
      <c r="D191" s="707" t="s">
        <v>9436</v>
      </c>
      <c r="E191" s="717"/>
      <c r="F191" s="53"/>
      <c r="G191" s="219"/>
      <c r="H191" s="50"/>
      <c r="I191" s="44"/>
      <c r="J191" s="247"/>
      <c r="K191" s="46"/>
      <c r="L191" s="35"/>
      <c r="O191" s="53"/>
      <c r="P191" s="50"/>
      <c r="Q191" s="47">
        <f>ROUND((_11_A家事６．２５*(1+_11・A深夜)),0)</f>
        <v>1409</v>
      </c>
      <c r="R191" s="48"/>
    </row>
    <row r="192" spans="1:18" ht="16.5" customHeight="1" x14ac:dyDescent="0.15">
      <c r="A192" s="41">
        <v>11</v>
      </c>
      <c r="B192" s="41">
        <v>7824</v>
      </c>
      <c r="C192" s="74" t="s">
        <v>9437</v>
      </c>
      <c r="D192" s="709"/>
      <c r="E192" s="718"/>
      <c r="F192" s="43"/>
      <c r="G192" s="246"/>
      <c r="H192" s="38"/>
      <c r="I192" s="44" t="s">
        <v>397</v>
      </c>
      <c r="J192" s="247" t="s">
        <v>398</v>
      </c>
      <c r="K192" s="46">
        <v>1</v>
      </c>
      <c r="L192" s="35"/>
      <c r="O192" s="35"/>
      <c r="Q192" s="47">
        <f>ROUND((ROUND((_11_A家事６．２５*_11・２人),0)*(1+_11・A深夜)),0)</f>
        <v>1409</v>
      </c>
      <c r="R192" s="48"/>
    </row>
    <row r="193" spans="1:18" ht="16.5" customHeight="1" x14ac:dyDescent="0.15">
      <c r="A193" s="41">
        <v>11</v>
      </c>
      <c r="B193" s="41">
        <v>7825</v>
      </c>
      <c r="C193" s="74" t="s">
        <v>9438</v>
      </c>
      <c r="D193" s="709"/>
      <c r="E193" s="718"/>
      <c r="F193" s="752" t="s">
        <v>400</v>
      </c>
      <c r="G193" s="219" t="s">
        <v>398</v>
      </c>
      <c r="H193" s="50">
        <v>0.9</v>
      </c>
      <c r="I193" s="44"/>
      <c r="J193" s="247"/>
      <c r="K193" s="46"/>
      <c r="L193" s="35"/>
      <c r="O193" s="35"/>
      <c r="Q193" s="47">
        <f>ROUND((ROUND((_11_A家事６．２５*_11・基礎２),0)*(1+_11・A深夜)),0)</f>
        <v>1268</v>
      </c>
      <c r="R193" s="48"/>
    </row>
    <row r="194" spans="1:18" ht="16.5" customHeight="1" x14ac:dyDescent="0.15">
      <c r="A194" s="41">
        <v>11</v>
      </c>
      <c r="B194" s="41">
        <v>7826</v>
      </c>
      <c r="C194" s="74" t="s">
        <v>9439</v>
      </c>
      <c r="D194" s="249">
        <f>_11_A家事６．２５</f>
        <v>939</v>
      </c>
      <c r="E194" s="12" t="s">
        <v>392</v>
      </c>
      <c r="F194" s="757"/>
      <c r="G194" s="246"/>
      <c r="H194" s="38"/>
      <c r="I194" s="44" t="s">
        <v>397</v>
      </c>
      <c r="J194" s="247" t="s">
        <v>398</v>
      </c>
      <c r="K194" s="46">
        <v>1</v>
      </c>
      <c r="L194" s="35"/>
      <c r="O194" s="43"/>
      <c r="P194" s="38"/>
      <c r="Q194" s="47">
        <f>ROUND((ROUND((ROUND((_11_A家事６．２５*_11・基礎２),0)*_11・２人),0)*(1+_11・A深夜)),0)</f>
        <v>1268</v>
      </c>
      <c r="R194" s="48"/>
    </row>
    <row r="195" spans="1:18" ht="16.5" customHeight="1" x14ac:dyDescent="0.15">
      <c r="A195" s="41">
        <v>11</v>
      </c>
      <c r="B195" s="41" t="s">
        <v>9440</v>
      </c>
      <c r="C195" s="74" t="s">
        <v>9441</v>
      </c>
      <c r="D195" s="202"/>
      <c r="F195" s="53"/>
      <c r="G195" s="219"/>
      <c r="H195" s="50"/>
      <c r="I195" s="44"/>
      <c r="J195" s="247"/>
      <c r="K195" s="46"/>
      <c r="L195" s="35"/>
      <c r="O195" s="707" t="s">
        <v>404</v>
      </c>
      <c r="P195" s="708"/>
      <c r="Q195" s="47">
        <f>ROUND((ROUND((_11_A家事６．２５*(1+_11・A深夜)),0)*_11・初任),0)</f>
        <v>986</v>
      </c>
      <c r="R195" s="48"/>
    </row>
    <row r="196" spans="1:18" ht="16.5" customHeight="1" x14ac:dyDescent="0.15">
      <c r="A196" s="41">
        <v>11</v>
      </c>
      <c r="B196" s="41" t="s">
        <v>9442</v>
      </c>
      <c r="C196" s="74" t="s">
        <v>9443</v>
      </c>
      <c r="D196" s="202"/>
      <c r="F196" s="43"/>
      <c r="G196" s="246"/>
      <c r="H196" s="38"/>
      <c r="I196" s="44" t="s">
        <v>397</v>
      </c>
      <c r="J196" s="247" t="s">
        <v>398</v>
      </c>
      <c r="K196" s="46">
        <v>1</v>
      </c>
      <c r="L196" s="35"/>
      <c r="O196" s="709"/>
      <c r="P196" s="704"/>
      <c r="Q196" s="47">
        <f>ROUND((ROUND((ROUND((_11_A家事６．２５*_11・２人),0)*(1+_11・A深夜)),0)*_11・初任),0)</f>
        <v>986</v>
      </c>
      <c r="R196" s="48"/>
    </row>
    <row r="197" spans="1:18" ht="16.5" customHeight="1" x14ac:dyDescent="0.15">
      <c r="A197" s="41">
        <v>11</v>
      </c>
      <c r="B197" s="41" t="s">
        <v>9444</v>
      </c>
      <c r="C197" s="74" t="s">
        <v>9445</v>
      </c>
      <c r="D197" s="203"/>
      <c r="F197" s="752" t="s">
        <v>400</v>
      </c>
      <c r="G197" s="219" t="s">
        <v>398</v>
      </c>
      <c r="H197" s="50">
        <v>0.9</v>
      </c>
      <c r="I197" s="44"/>
      <c r="J197" s="247"/>
      <c r="K197" s="46"/>
      <c r="L197" s="35"/>
      <c r="O197" s="709"/>
      <c r="P197" s="704"/>
      <c r="Q197" s="47">
        <f>ROUND((ROUND((ROUND((_11_A家事６．２５*_11・基礎２),0)*(1+_11・A深夜)),0)*_11・初任),0)</f>
        <v>888</v>
      </c>
      <c r="R197" s="48"/>
    </row>
    <row r="198" spans="1:18" ht="16.5" customHeight="1" x14ac:dyDescent="0.15">
      <c r="A198" s="41">
        <v>11</v>
      </c>
      <c r="B198" s="41" t="s">
        <v>9446</v>
      </c>
      <c r="C198" s="74" t="s">
        <v>9447</v>
      </c>
      <c r="D198" s="203"/>
      <c r="F198" s="757"/>
      <c r="G198" s="246"/>
      <c r="H198" s="38"/>
      <c r="I198" s="44" t="s">
        <v>397</v>
      </c>
      <c r="J198" s="247" t="s">
        <v>398</v>
      </c>
      <c r="K198" s="46">
        <v>1</v>
      </c>
      <c r="L198" s="35"/>
      <c r="O198" s="240" t="s">
        <v>398</v>
      </c>
      <c r="P198" s="38">
        <f>_11・初任</f>
        <v>0.7</v>
      </c>
      <c r="Q198" s="47">
        <f>ROUND((ROUND((ROUND((ROUND((_11_A家事６．２５*_11・基礎２),0)*_11・２人),0)*(1+_11・A深夜)),0)*_11・初任),0)</f>
        <v>888</v>
      </c>
      <c r="R198" s="48"/>
    </row>
    <row r="199" spans="1:18" ht="16.5" customHeight="1" x14ac:dyDescent="0.15">
      <c r="A199" s="41">
        <v>11</v>
      </c>
      <c r="B199" s="41">
        <v>6299</v>
      </c>
      <c r="C199" s="74" t="s">
        <v>9448</v>
      </c>
      <c r="D199" s="783" t="s">
        <v>9449</v>
      </c>
      <c r="E199" s="784"/>
      <c r="F199" s="53"/>
      <c r="G199" s="219"/>
      <c r="H199" s="50"/>
      <c r="I199" s="44"/>
      <c r="J199" s="247"/>
      <c r="K199" s="46"/>
      <c r="L199" s="35"/>
      <c r="O199" s="53"/>
      <c r="P199" s="50"/>
      <c r="Q199" s="47">
        <f>ROUND((_11_A家事６．５*(1+_11・A深夜)),0)</f>
        <v>1461</v>
      </c>
      <c r="R199" s="48"/>
    </row>
    <row r="200" spans="1:18" ht="16.5" customHeight="1" x14ac:dyDescent="0.15">
      <c r="A200" s="41">
        <v>11</v>
      </c>
      <c r="B200" s="41">
        <v>6300</v>
      </c>
      <c r="C200" s="74" t="s">
        <v>9450</v>
      </c>
      <c r="D200" s="785"/>
      <c r="E200" s="786"/>
      <c r="F200" s="43"/>
      <c r="G200" s="246"/>
      <c r="H200" s="38"/>
      <c r="I200" s="44" t="s">
        <v>397</v>
      </c>
      <c r="J200" s="247" t="s">
        <v>398</v>
      </c>
      <c r="K200" s="46">
        <v>1</v>
      </c>
      <c r="L200" s="35"/>
      <c r="O200" s="35"/>
      <c r="Q200" s="47">
        <f>ROUND((ROUND((_11_A家事６．５*_11・２人),0)*(1+_11・A深夜)),0)</f>
        <v>1461</v>
      </c>
      <c r="R200" s="48"/>
    </row>
    <row r="201" spans="1:18" ht="16.5" customHeight="1" x14ac:dyDescent="0.15">
      <c r="A201" s="41">
        <v>11</v>
      </c>
      <c r="B201" s="41">
        <v>6301</v>
      </c>
      <c r="C201" s="74" t="s">
        <v>9451</v>
      </c>
      <c r="D201" s="785"/>
      <c r="E201" s="786"/>
      <c r="F201" s="752" t="s">
        <v>400</v>
      </c>
      <c r="G201" s="219" t="s">
        <v>398</v>
      </c>
      <c r="H201" s="50">
        <v>0.9</v>
      </c>
      <c r="I201" s="44"/>
      <c r="J201" s="247"/>
      <c r="K201" s="46"/>
      <c r="L201" s="35"/>
      <c r="O201" s="35"/>
      <c r="Q201" s="47">
        <f>ROUND((ROUND((_11_A家事６．５*_11・基礎２),0)*(1+_11・A深夜)),0)</f>
        <v>1316</v>
      </c>
      <c r="R201" s="48"/>
    </row>
    <row r="202" spans="1:18" ht="16.5" customHeight="1" x14ac:dyDescent="0.15">
      <c r="A202" s="41">
        <v>11</v>
      </c>
      <c r="B202" s="41">
        <v>6302</v>
      </c>
      <c r="C202" s="74" t="s">
        <v>9452</v>
      </c>
      <c r="D202" s="249">
        <f>_11_A家事６．５</f>
        <v>974</v>
      </c>
      <c r="E202" s="12" t="s">
        <v>392</v>
      </c>
      <c r="F202" s="757"/>
      <c r="G202" s="246"/>
      <c r="H202" s="38"/>
      <c r="I202" s="44" t="s">
        <v>397</v>
      </c>
      <c r="J202" s="247" t="s">
        <v>398</v>
      </c>
      <c r="K202" s="46">
        <v>1</v>
      </c>
      <c r="L202" s="35"/>
      <c r="O202" s="43"/>
      <c r="P202" s="38"/>
      <c r="Q202" s="47">
        <f>ROUND((ROUND((ROUND((_11_A家事６．５*_11・基礎２),0)*_11・２人),0)*(1+_11・A深夜)),0)</f>
        <v>1316</v>
      </c>
      <c r="R202" s="48"/>
    </row>
    <row r="203" spans="1:18" ht="16.5" customHeight="1" x14ac:dyDescent="0.15">
      <c r="A203" s="41">
        <v>11</v>
      </c>
      <c r="B203" s="41" t="s">
        <v>9453</v>
      </c>
      <c r="C203" s="74" t="s">
        <v>9454</v>
      </c>
      <c r="D203" s="202"/>
      <c r="F203" s="53"/>
      <c r="G203" s="219"/>
      <c r="H203" s="50"/>
      <c r="I203" s="44"/>
      <c r="J203" s="247"/>
      <c r="K203" s="46"/>
      <c r="L203" s="35"/>
      <c r="O203" s="707" t="s">
        <v>404</v>
      </c>
      <c r="P203" s="708"/>
      <c r="Q203" s="47">
        <f>ROUND((ROUND((_11_A家事６．５*(1+_11・A深夜)),0)*_11・初任),0)</f>
        <v>1023</v>
      </c>
      <c r="R203" s="48"/>
    </row>
    <row r="204" spans="1:18" ht="16.5" customHeight="1" x14ac:dyDescent="0.15">
      <c r="A204" s="41">
        <v>11</v>
      </c>
      <c r="B204" s="41" t="s">
        <v>9455</v>
      </c>
      <c r="C204" s="74" t="s">
        <v>9456</v>
      </c>
      <c r="D204" s="202"/>
      <c r="F204" s="43"/>
      <c r="G204" s="246"/>
      <c r="H204" s="38"/>
      <c r="I204" s="44" t="s">
        <v>397</v>
      </c>
      <c r="J204" s="247" t="s">
        <v>398</v>
      </c>
      <c r="K204" s="46">
        <v>1</v>
      </c>
      <c r="L204" s="35"/>
      <c r="O204" s="709"/>
      <c r="P204" s="704"/>
      <c r="Q204" s="47">
        <f>ROUND((ROUND((ROUND((_11_A家事６．５*_11・２人),0)*(1+_11・A深夜)),0)*_11・初任),0)</f>
        <v>1023</v>
      </c>
      <c r="R204" s="48"/>
    </row>
    <row r="205" spans="1:18" ht="16.5" customHeight="1" x14ac:dyDescent="0.15">
      <c r="A205" s="41">
        <v>11</v>
      </c>
      <c r="B205" s="41" t="s">
        <v>9457</v>
      </c>
      <c r="C205" s="74" t="s">
        <v>9458</v>
      </c>
      <c r="D205" s="203"/>
      <c r="F205" s="752" t="s">
        <v>400</v>
      </c>
      <c r="G205" s="219" t="s">
        <v>398</v>
      </c>
      <c r="H205" s="50">
        <v>0.9</v>
      </c>
      <c r="I205" s="44"/>
      <c r="J205" s="247"/>
      <c r="K205" s="46"/>
      <c r="L205" s="35"/>
      <c r="O205" s="709"/>
      <c r="P205" s="704"/>
      <c r="Q205" s="47">
        <f>ROUND((ROUND((ROUND((_11_A家事６．５*_11・基礎２),0)*(1+_11・A深夜)),0)*_11・初任),0)</f>
        <v>921</v>
      </c>
      <c r="R205" s="48"/>
    </row>
    <row r="206" spans="1:18" ht="16.5" customHeight="1" x14ac:dyDescent="0.15">
      <c r="A206" s="41">
        <v>11</v>
      </c>
      <c r="B206" s="41" t="s">
        <v>9459</v>
      </c>
      <c r="C206" s="74" t="s">
        <v>9460</v>
      </c>
      <c r="D206" s="205"/>
      <c r="E206" s="37"/>
      <c r="F206" s="757"/>
      <c r="G206" s="246"/>
      <c r="H206" s="38"/>
      <c r="I206" s="44" t="s">
        <v>397</v>
      </c>
      <c r="J206" s="247" t="s">
        <v>398</v>
      </c>
      <c r="K206" s="46">
        <v>1</v>
      </c>
      <c r="L206" s="43"/>
      <c r="M206" s="37"/>
      <c r="N206" s="38"/>
      <c r="O206" s="240" t="s">
        <v>398</v>
      </c>
      <c r="P206" s="38">
        <f>_11・初任</f>
        <v>0.7</v>
      </c>
      <c r="Q206" s="47">
        <f>ROUND((ROUND((ROUND((ROUND((_11_A家事６．５*_11・基礎２),0)*_11・２人),0)*(1+_11・A深夜)),0)*_11・初任),0)</f>
        <v>921</v>
      </c>
      <c r="R206" s="63"/>
    </row>
    <row r="207" spans="1:18" ht="16.5" customHeight="1" x14ac:dyDescent="0.15"/>
    <row r="208" spans="1:18" ht="16.5" customHeight="1" x14ac:dyDescent="0.15"/>
  </sheetData>
  <mergeCells count="103">
    <mergeCell ref="D199:E201"/>
    <mergeCell ref="F201:F202"/>
    <mergeCell ref="O203:P205"/>
    <mergeCell ref="F205:F206"/>
    <mergeCell ref="O187:P189"/>
    <mergeCell ref="F189:F190"/>
    <mergeCell ref="D191:E193"/>
    <mergeCell ref="F193:F194"/>
    <mergeCell ref="O195:P197"/>
    <mergeCell ref="F197:F198"/>
    <mergeCell ref="D175:E177"/>
    <mergeCell ref="F177:F178"/>
    <mergeCell ref="O179:P181"/>
    <mergeCell ref="F181:F182"/>
    <mergeCell ref="D183:E185"/>
    <mergeCell ref="F185:F186"/>
    <mergeCell ref="O163:P165"/>
    <mergeCell ref="F165:F166"/>
    <mergeCell ref="D167:E169"/>
    <mergeCell ref="N168:N169"/>
    <mergeCell ref="F169:F170"/>
    <mergeCell ref="O171:P173"/>
    <mergeCell ref="F173:F174"/>
    <mergeCell ref="D151:E153"/>
    <mergeCell ref="F153:F154"/>
    <mergeCell ref="O155:P157"/>
    <mergeCell ref="F157:F158"/>
    <mergeCell ref="D159:E161"/>
    <mergeCell ref="F161:F162"/>
    <mergeCell ref="O139:P141"/>
    <mergeCell ref="F141:F142"/>
    <mergeCell ref="D143:E145"/>
    <mergeCell ref="F145:F146"/>
    <mergeCell ref="O147:P149"/>
    <mergeCell ref="F149:F150"/>
    <mergeCell ref="D127:E129"/>
    <mergeCell ref="F129:F130"/>
    <mergeCell ref="O131:P133"/>
    <mergeCell ref="F133:F134"/>
    <mergeCell ref="D135:E137"/>
    <mergeCell ref="F137:F138"/>
    <mergeCell ref="O115:P117"/>
    <mergeCell ref="F117:F118"/>
    <mergeCell ref="D119:E121"/>
    <mergeCell ref="F121:F122"/>
    <mergeCell ref="O123:P125"/>
    <mergeCell ref="F125:F126"/>
    <mergeCell ref="D103:E105"/>
    <mergeCell ref="F105:F106"/>
    <mergeCell ref="O107:P109"/>
    <mergeCell ref="F109:F110"/>
    <mergeCell ref="D111:E113"/>
    <mergeCell ref="F113:F114"/>
    <mergeCell ref="O91:P93"/>
    <mergeCell ref="F93:F94"/>
    <mergeCell ref="D95:E97"/>
    <mergeCell ref="F97:F98"/>
    <mergeCell ref="O99:P101"/>
    <mergeCell ref="F101:F102"/>
    <mergeCell ref="D79:E81"/>
    <mergeCell ref="F81:F82"/>
    <mergeCell ref="O83:P85"/>
    <mergeCell ref="F85:F86"/>
    <mergeCell ref="D87:E89"/>
    <mergeCell ref="N88:N89"/>
    <mergeCell ref="F89:F90"/>
    <mergeCell ref="O67:P69"/>
    <mergeCell ref="F69:F70"/>
    <mergeCell ref="D71:E73"/>
    <mergeCell ref="F73:F74"/>
    <mergeCell ref="O75:P77"/>
    <mergeCell ref="F77:F78"/>
    <mergeCell ref="D55:E57"/>
    <mergeCell ref="F57:F58"/>
    <mergeCell ref="O59:P61"/>
    <mergeCell ref="F61:F62"/>
    <mergeCell ref="D63:E65"/>
    <mergeCell ref="F65:F66"/>
    <mergeCell ref="O43:P45"/>
    <mergeCell ref="F45:F46"/>
    <mergeCell ref="D47:E49"/>
    <mergeCell ref="F49:F50"/>
    <mergeCell ref="O51:P53"/>
    <mergeCell ref="F53:F54"/>
    <mergeCell ref="O35:P37"/>
    <mergeCell ref="F37:F38"/>
    <mergeCell ref="D39:E41"/>
    <mergeCell ref="F41:F42"/>
    <mergeCell ref="O19:P21"/>
    <mergeCell ref="F21:F22"/>
    <mergeCell ref="D23:E25"/>
    <mergeCell ref="F25:F26"/>
    <mergeCell ref="O27:P29"/>
    <mergeCell ref="F29:F30"/>
    <mergeCell ref="D7:E9"/>
    <mergeCell ref="N8:N9"/>
    <mergeCell ref="F9:F10"/>
    <mergeCell ref="O11:P13"/>
    <mergeCell ref="F13:F14"/>
    <mergeCell ref="D15:E17"/>
    <mergeCell ref="F17:F18"/>
    <mergeCell ref="D31:E33"/>
    <mergeCell ref="F33:F34"/>
  </mergeCells>
  <phoneticPr fontId="1"/>
  <printOptions horizontalCentered="1"/>
  <pageMargins left="0.70866141732283472" right="0.70866141732283472" top="0.74803149606299213" bottom="0.74803149606299213" header="0.31496062992125984" footer="0.31496062992125984"/>
  <pageSetup paperSize="9" scale="55" fitToHeight="0" orientation="portrait" r:id="rId1"/>
  <headerFooter>
    <oddHeader>&amp;R&amp;"ＭＳ Ｐゴシック"&amp;9居宅介護</oddHeader>
    <oddFooter>&amp;C&amp;"ＭＳ Ｐゴシック"&amp;14&amp;P</oddFooter>
  </headerFooter>
  <rowBreaks count="2" manualBreakCount="2">
    <brk id="86" max="17" man="1"/>
    <brk id="166" max="1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R112"/>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25.875" style="10" bestFit="1" customWidth="1"/>
    <col min="4" max="4" width="6" style="10" bestFit="1" customWidth="1"/>
    <col min="5" max="5" width="5.5" style="12" bestFit="1" customWidth="1"/>
    <col min="6" max="6" width="11.875" style="12" customWidth="1"/>
    <col min="7" max="7" width="3.5" style="12" bestFit="1" customWidth="1"/>
    <col min="8" max="8" width="4.5" style="13" bestFit="1" customWidth="1"/>
    <col min="9" max="9" width="24.875" style="14" bestFit="1" customWidth="1"/>
    <col min="10" max="10" width="3.5" style="12" bestFit="1" customWidth="1"/>
    <col min="11" max="11" width="5.5" style="13" bestFit="1" customWidth="1"/>
    <col min="12" max="12" width="3.5" style="12" bestFit="1" customWidth="1"/>
    <col min="13" max="13" width="4.5" style="13" bestFit="1" customWidth="1"/>
    <col min="14" max="14" width="5.5" style="12" bestFit="1" customWidth="1"/>
    <col min="15" max="15" width="9.875" style="12" customWidth="1"/>
    <col min="16" max="16" width="4.5" style="12" bestFit="1" customWidth="1"/>
    <col min="17" max="17" width="7.125" style="15" customWidth="1"/>
    <col min="18" max="18" width="8.5" style="16" customWidth="1"/>
    <col min="19" max="16384" width="8.875" style="12"/>
  </cols>
  <sheetData>
    <row r="1" spans="1:18" ht="17.100000000000001" customHeight="1" x14ac:dyDescent="0.15">
      <c r="D1" s="11"/>
    </row>
    <row r="2" spans="1:18" ht="17.100000000000001" customHeight="1" x14ac:dyDescent="0.15"/>
    <row r="3" spans="1:18" ht="17.100000000000001" customHeight="1" x14ac:dyDescent="0.15"/>
    <row r="4" spans="1:18" ht="17.100000000000001" customHeight="1" x14ac:dyDescent="0.15">
      <c r="B4" s="17" t="s">
        <v>859</v>
      </c>
      <c r="D4" s="71"/>
    </row>
    <row r="5" spans="1:18" ht="16.5" customHeight="1" x14ac:dyDescent="0.15">
      <c r="A5" s="19" t="s">
        <v>384</v>
      </c>
      <c r="B5" s="20"/>
      <c r="C5" s="21" t="s">
        <v>385</v>
      </c>
      <c r="D5" s="719" t="s">
        <v>386</v>
      </c>
      <c r="E5" s="720"/>
      <c r="F5" s="720"/>
      <c r="G5" s="720"/>
      <c r="H5" s="720"/>
      <c r="I5" s="720"/>
      <c r="J5" s="720"/>
      <c r="K5" s="720"/>
      <c r="L5" s="720"/>
      <c r="M5" s="720"/>
      <c r="N5" s="720"/>
      <c r="O5" s="720"/>
      <c r="P5" s="720"/>
      <c r="Q5" s="25" t="s">
        <v>387</v>
      </c>
      <c r="R5" s="21" t="s">
        <v>388</v>
      </c>
    </row>
    <row r="6" spans="1:18" ht="16.5" customHeight="1" x14ac:dyDescent="0.15">
      <c r="A6" s="26" t="s">
        <v>389</v>
      </c>
      <c r="B6" s="26" t="s">
        <v>390</v>
      </c>
      <c r="C6" s="27"/>
      <c r="D6" s="29"/>
      <c r="E6" s="29"/>
      <c r="F6" s="29"/>
      <c r="G6" s="29"/>
      <c r="H6" s="30"/>
      <c r="I6" s="29"/>
      <c r="J6" s="29"/>
      <c r="K6" s="30"/>
      <c r="L6" s="29"/>
      <c r="M6" s="30"/>
      <c r="N6" s="29"/>
      <c r="O6" s="29"/>
      <c r="P6" s="29"/>
      <c r="Q6" s="31" t="s">
        <v>391</v>
      </c>
      <c r="R6" s="32" t="s">
        <v>392</v>
      </c>
    </row>
    <row r="7" spans="1:18" ht="16.5" customHeight="1" x14ac:dyDescent="0.15">
      <c r="A7" s="33">
        <v>11</v>
      </c>
      <c r="B7" s="33">
        <v>1251</v>
      </c>
      <c r="C7" s="34" t="s">
        <v>860</v>
      </c>
      <c r="D7" s="703" t="s">
        <v>861</v>
      </c>
      <c r="E7" s="718"/>
      <c r="F7" s="35"/>
      <c r="I7" s="36"/>
      <c r="J7" s="37"/>
      <c r="K7" s="38"/>
      <c r="L7" s="72" t="s">
        <v>862</v>
      </c>
      <c r="N7" s="57"/>
      <c r="O7" s="35"/>
      <c r="Q7" s="39">
        <f>ROUND((_11_A身体０．５*(1+_11・A深夜)),0)</f>
        <v>383</v>
      </c>
      <c r="R7" s="40" t="s">
        <v>863</v>
      </c>
    </row>
    <row r="8" spans="1:18" ht="16.5" customHeight="1" x14ac:dyDescent="0.15">
      <c r="A8" s="41">
        <v>11</v>
      </c>
      <c r="B8" s="41">
        <v>1252</v>
      </c>
      <c r="C8" s="74" t="s">
        <v>864</v>
      </c>
      <c r="D8" s="703"/>
      <c r="E8" s="718"/>
      <c r="F8" s="43"/>
      <c r="G8" s="37"/>
      <c r="H8" s="38"/>
      <c r="I8" s="44" t="s">
        <v>397</v>
      </c>
      <c r="J8" s="45" t="s">
        <v>398</v>
      </c>
      <c r="K8" s="46">
        <v>1</v>
      </c>
      <c r="L8" s="35" t="s">
        <v>398</v>
      </c>
      <c r="M8" s="13">
        <v>0.5</v>
      </c>
      <c r="N8" s="721" t="s">
        <v>676</v>
      </c>
      <c r="O8" s="35"/>
      <c r="Q8" s="47">
        <f>ROUND((ROUND((_11_A身体０．５*_11・２人),0)*(1+_11・A深夜)),0)</f>
        <v>383</v>
      </c>
      <c r="R8" s="48"/>
    </row>
    <row r="9" spans="1:18" ht="16.5" customHeight="1" x14ac:dyDescent="0.15">
      <c r="A9" s="41">
        <v>11</v>
      </c>
      <c r="B9" s="41">
        <v>1253</v>
      </c>
      <c r="C9" s="74" t="s">
        <v>865</v>
      </c>
      <c r="D9" s="703"/>
      <c r="E9" s="718"/>
      <c r="F9" s="725" t="s">
        <v>400</v>
      </c>
      <c r="G9" s="49" t="s">
        <v>398</v>
      </c>
      <c r="H9" s="50">
        <v>0.7</v>
      </c>
      <c r="I9" s="44"/>
      <c r="J9" s="45"/>
      <c r="K9" s="46"/>
      <c r="L9" s="35"/>
      <c r="N9" s="721"/>
      <c r="O9" s="35"/>
      <c r="Q9" s="47">
        <f>ROUND((ROUND((_11_A身体０．５*_11・基礎１),0)*(1+_11・A深夜)),0)</f>
        <v>269</v>
      </c>
      <c r="R9" s="48"/>
    </row>
    <row r="10" spans="1:18" ht="16.5" customHeight="1" x14ac:dyDescent="0.15">
      <c r="A10" s="41">
        <v>11</v>
      </c>
      <c r="B10" s="41">
        <v>1254</v>
      </c>
      <c r="C10" s="74" t="s">
        <v>866</v>
      </c>
      <c r="D10" s="98">
        <f>_11_A身体０．５</f>
        <v>255</v>
      </c>
      <c r="E10" s="12" t="s">
        <v>392</v>
      </c>
      <c r="F10" s="711"/>
      <c r="G10" s="37"/>
      <c r="H10" s="38"/>
      <c r="I10" s="44" t="s">
        <v>397</v>
      </c>
      <c r="J10" s="45" t="s">
        <v>398</v>
      </c>
      <c r="K10" s="46">
        <v>1</v>
      </c>
      <c r="L10" s="35"/>
      <c r="N10" s="57"/>
      <c r="O10" s="43"/>
      <c r="P10" s="37"/>
      <c r="Q10" s="47">
        <f>ROUND((ROUND((ROUND((_11_A身体０．５*_11・基礎１),0)*_11・２人),0)*(1+_11・A深夜)),0)</f>
        <v>269</v>
      </c>
      <c r="R10" s="48"/>
    </row>
    <row r="11" spans="1:18" ht="16.5" customHeight="1" x14ac:dyDescent="0.15">
      <c r="A11" s="41">
        <v>11</v>
      </c>
      <c r="B11" s="41" t="s">
        <v>867</v>
      </c>
      <c r="C11" s="74" t="s">
        <v>868</v>
      </c>
      <c r="D11" s="66"/>
      <c r="F11" s="53"/>
      <c r="G11" s="49"/>
      <c r="H11" s="50"/>
      <c r="I11" s="44"/>
      <c r="J11" s="45"/>
      <c r="K11" s="46"/>
      <c r="L11" s="35"/>
      <c r="N11" s="57"/>
      <c r="O11" s="707" t="s">
        <v>404</v>
      </c>
      <c r="P11" s="708"/>
      <c r="Q11" s="47">
        <f>ROUND((ROUND((_11_A身体０．５*(1+_11・A深夜)),0)*_11・初任),0)</f>
        <v>268</v>
      </c>
      <c r="R11" s="48"/>
    </row>
    <row r="12" spans="1:18" ht="16.5" customHeight="1" x14ac:dyDescent="0.15">
      <c r="A12" s="41">
        <v>11</v>
      </c>
      <c r="B12" s="41" t="s">
        <v>869</v>
      </c>
      <c r="C12" s="74" t="s">
        <v>870</v>
      </c>
      <c r="D12" s="66"/>
      <c r="F12" s="43"/>
      <c r="G12" s="37"/>
      <c r="H12" s="38"/>
      <c r="I12" s="44" t="s">
        <v>397</v>
      </c>
      <c r="J12" s="45" t="s">
        <v>398</v>
      </c>
      <c r="K12" s="46">
        <v>1</v>
      </c>
      <c r="L12" s="35"/>
      <c r="N12" s="57"/>
      <c r="O12" s="709"/>
      <c r="P12" s="704"/>
      <c r="Q12" s="47">
        <f>ROUND((ROUND((ROUND((_11_A身体０．５*_11・２人),0)*(1+_11・A深夜)),0)*_11・初任),0)</f>
        <v>268</v>
      </c>
      <c r="R12" s="48"/>
    </row>
    <row r="13" spans="1:18" ht="16.5" customHeight="1" x14ac:dyDescent="0.15">
      <c r="A13" s="41">
        <v>11</v>
      </c>
      <c r="B13" s="41" t="s">
        <v>871</v>
      </c>
      <c r="C13" s="74" t="s">
        <v>872</v>
      </c>
      <c r="D13" s="69"/>
      <c r="F13" s="725" t="s">
        <v>400</v>
      </c>
      <c r="G13" s="49" t="s">
        <v>398</v>
      </c>
      <c r="H13" s="50">
        <v>0.7</v>
      </c>
      <c r="I13" s="44"/>
      <c r="J13" s="45"/>
      <c r="K13" s="46"/>
      <c r="L13" s="35"/>
      <c r="N13" s="57"/>
      <c r="O13" s="709"/>
      <c r="P13" s="704"/>
      <c r="Q13" s="47">
        <f>ROUND((ROUND((ROUND((_11_A身体０．５*_11・基礎１),0)*(1+_11・A深夜)),0)*_11・初任),0)</f>
        <v>188</v>
      </c>
      <c r="R13" s="48"/>
    </row>
    <row r="14" spans="1:18" ht="16.5" customHeight="1" x14ac:dyDescent="0.15">
      <c r="A14" s="41">
        <v>11</v>
      </c>
      <c r="B14" s="41" t="s">
        <v>873</v>
      </c>
      <c r="C14" s="74" t="s">
        <v>874</v>
      </c>
      <c r="D14" s="69"/>
      <c r="F14" s="711"/>
      <c r="G14" s="37"/>
      <c r="H14" s="38"/>
      <c r="I14" s="44" t="s">
        <v>397</v>
      </c>
      <c r="J14" s="45" t="s">
        <v>398</v>
      </c>
      <c r="K14" s="46">
        <v>1</v>
      </c>
      <c r="L14" s="35"/>
      <c r="N14" s="57"/>
      <c r="O14" s="55" t="s">
        <v>398</v>
      </c>
      <c r="P14" s="38">
        <f>_11・初任</f>
        <v>0.7</v>
      </c>
      <c r="Q14" s="47">
        <f>ROUND((ROUND((ROUND((ROUND((_11_A身体０．５*_11・基礎１),0)*_11・２人),0)*(1+_11・A深夜)),0)*_11・初任),0)</f>
        <v>188</v>
      </c>
      <c r="R14" s="48"/>
    </row>
    <row r="15" spans="1:18" ht="16.5" customHeight="1" x14ac:dyDescent="0.15">
      <c r="A15" s="41">
        <v>11</v>
      </c>
      <c r="B15" s="41">
        <v>1255</v>
      </c>
      <c r="C15" s="74" t="s">
        <v>875</v>
      </c>
      <c r="D15" s="712" t="s">
        <v>876</v>
      </c>
      <c r="E15" s="717"/>
      <c r="F15" s="53"/>
      <c r="G15" s="49"/>
      <c r="H15" s="50"/>
      <c r="I15" s="44"/>
      <c r="J15" s="45"/>
      <c r="K15" s="46"/>
      <c r="L15" s="35"/>
      <c r="N15" s="57"/>
      <c r="O15" s="53"/>
      <c r="P15" s="49"/>
      <c r="Q15" s="47">
        <f>ROUND((_11_A身体１．０*(1+_11・A深夜)),0)</f>
        <v>603</v>
      </c>
      <c r="R15" s="48"/>
    </row>
    <row r="16" spans="1:18" ht="16.5" customHeight="1" x14ac:dyDescent="0.15">
      <c r="A16" s="41">
        <v>11</v>
      </c>
      <c r="B16" s="41">
        <v>1256</v>
      </c>
      <c r="C16" s="74" t="s">
        <v>877</v>
      </c>
      <c r="D16" s="703"/>
      <c r="E16" s="718"/>
      <c r="F16" s="43"/>
      <c r="G16" s="37"/>
      <c r="H16" s="38"/>
      <c r="I16" s="44" t="s">
        <v>397</v>
      </c>
      <c r="J16" s="45" t="s">
        <v>398</v>
      </c>
      <c r="K16" s="46">
        <v>1</v>
      </c>
      <c r="L16" s="35"/>
      <c r="N16" s="57"/>
      <c r="O16" s="35"/>
      <c r="Q16" s="47">
        <f>ROUND((ROUND((_11_A身体１．０*_11・２人),0)*(1+_11・A深夜)),0)</f>
        <v>603</v>
      </c>
      <c r="R16" s="48"/>
    </row>
    <row r="17" spans="1:18" ht="16.5" customHeight="1" x14ac:dyDescent="0.15">
      <c r="A17" s="41">
        <v>11</v>
      </c>
      <c r="B17" s="41">
        <v>1257</v>
      </c>
      <c r="C17" s="74" t="s">
        <v>878</v>
      </c>
      <c r="D17" s="703"/>
      <c r="E17" s="718"/>
      <c r="F17" s="725" t="s">
        <v>400</v>
      </c>
      <c r="G17" s="49" t="s">
        <v>398</v>
      </c>
      <c r="H17" s="50">
        <v>0.7</v>
      </c>
      <c r="I17" s="44"/>
      <c r="J17" s="45"/>
      <c r="K17" s="46"/>
      <c r="L17" s="35"/>
      <c r="N17" s="57"/>
      <c r="O17" s="35"/>
      <c r="Q17" s="47">
        <f>ROUND((ROUND((_11_A身体１．０*_11・基礎１),0)*(1+_11・A深夜)),0)</f>
        <v>422</v>
      </c>
      <c r="R17" s="48"/>
    </row>
    <row r="18" spans="1:18" ht="16.5" customHeight="1" x14ac:dyDescent="0.15">
      <c r="A18" s="41">
        <v>11</v>
      </c>
      <c r="B18" s="41">
        <v>1258</v>
      </c>
      <c r="C18" s="74" t="s">
        <v>879</v>
      </c>
      <c r="D18" s="98">
        <f>_11_A身体１．０</f>
        <v>402</v>
      </c>
      <c r="E18" s="12" t="s">
        <v>392</v>
      </c>
      <c r="F18" s="711"/>
      <c r="G18" s="37"/>
      <c r="H18" s="38"/>
      <c r="I18" s="44" t="s">
        <v>397</v>
      </c>
      <c r="J18" s="45" t="s">
        <v>398</v>
      </c>
      <c r="K18" s="46">
        <v>1</v>
      </c>
      <c r="L18" s="35"/>
      <c r="N18" s="57"/>
      <c r="O18" s="43"/>
      <c r="P18" s="37"/>
      <c r="Q18" s="47">
        <f>ROUND((ROUND((ROUND((_11_A身体１．０*_11・基礎１),0)*_11・２人),0)*(1+_11・A深夜)),0)</f>
        <v>422</v>
      </c>
      <c r="R18" s="48"/>
    </row>
    <row r="19" spans="1:18" ht="16.5" customHeight="1" x14ac:dyDescent="0.15">
      <c r="A19" s="41">
        <v>11</v>
      </c>
      <c r="B19" s="41" t="s">
        <v>880</v>
      </c>
      <c r="C19" s="74" t="s">
        <v>881</v>
      </c>
      <c r="D19" s="66"/>
      <c r="F19" s="53"/>
      <c r="G19" s="49"/>
      <c r="H19" s="50"/>
      <c r="I19" s="44"/>
      <c r="J19" s="45"/>
      <c r="K19" s="46"/>
      <c r="L19" s="35"/>
      <c r="N19" s="57"/>
      <c r="O19" s="707" t="s">
        <v>404</v>
      </c>
      <c r="P19" s="708"/>
      <c r="Q19" s="47">
        <f>ROUND((ROUND((_11_A身体１．０*(1+_11・A深夜)),0)*_11・初任),0)</f>
        <v>422</v>
      </c>
      <c r="R19" s="48"/>
    </row>
    <row r="20" spans="1:18" ht="16.5" customHeight="1" x14ac:dyDescent="0.15">
      <c r="A20" s="41">
        <v>11</v>
      </c>
      <c r="B20" s="41" t="s">
        <v>882</v>
      </c>
      <c r="C20" s="74" t="s">
        <v>883</v>
      </c>
      <c r="D20" s="66"/>
      <c r="F20" s="43"/>
      <c r="G20" s="37"/>
      <c r="H20" s="38"/>
      <c r="I20" s="44" t="s">
        <v>397</v>
      </c>
      <c r="J20" s="45" t="s">
        <v>398</v>
      </c>
      <c r="K20" s="46">
        <v>1</v>
      </c>
      <c r="L20" s="35"/>
      <c r="N20" s="57"/>
      <c r="O20" s="709"/>
      <c r="P20" s="704"/>
      <c r="Q20" s="47">
        <f>ROUND((ROUND((ROUND((_11_A身体１．０*_11・２人),0)*(1+_11・A深夜)),0)*_11・初任),0)</f>
        <v>422</v>
      </c>
      <c r="R20" s="48"/>
    </row>
    <row r="21" spans="1:18" ht="16.5" customHeight="1" x14ac:dyDescent="0.15">
      <c r="A21" s="41">
        <v>11</v>
      </c>
      <c r="B21" s="41" t="s">
        <v>884</v>
      </c>
      <c r="C21" s="74" t="s">
        <v>885</v>
      </c>
      <c r="D21" s="69"/>
      <c r="F21" s="725" t="s">
        <v>400</v>
      </c>
      <c r="G21" s="49" t="s">
        <v>398</v>
      </c>
      <c r="H21" s="50">
        <v>0.7</v>
      </c>
      <c r="I21" s="44"/>
      <c r="J21" s="45"/>
      <c r="K21" s="46"/>
      <c r="L21" s="35"/>
      <c r="N21" s="57"/>
      <c r="O21" s="709"/>
      <c r="P21" s="704"/>
      <c r="Q21" s="47">
        <f>ROUND((ROUND((ROUND((_11_A身体１．０*_11・基礎１),0)*(1+_11・A深夜)),0)*_11・初任),0)</f>
        <v>295</v>
      </c>
      <c r="R21" s="48"/>
    </row>
    <row r="22" spans="1:18" ht="16.5" customHeight="1" x14ac:dyDescent="0.15">
      <c r="A22" s="41">
        <v>11</v>
      </c>
      <c r="B22" s="41" t="s">
        <v>886</v>
      </c>
      <c r="C22" s="74" t="s">
        <v>887</v>
      </c>
      <c r="D22" s="69"/>
      <c r="F22" s="711"/>
      <c r="G22" s="37"/>
      <c r="H22" s="38"/>
      <c r="I22" s="44" t="s">
        <v>397</v>
      </c>
      <c r="J22" s="45" t="s">
        <v>398</v>
      </c>
      <c r="K22" s="46">
        <v>1</v>
      </c>
      <c r="L22" s="35"/>
      <c r="N22" s="57"/>
      <c r="O22" s="55" t="s">
        <v>398</v>
      </c>
      <c r="P22" s="38">
        <f>_11・初任</f>
        <v>0.7</v>
      </c>
      <c r="Q22" s="47">
        <f>ROUND((ROUND((ROUND((ROUND((_11_A身体１．０*_11・基礎１),0)*_11・２人),0)*(1+_11・A深夜)),0)*_11・初任),0)</f>
        <v>295</v>
      </c>
      <c r="R22" s="48"/>
    </row>
    <row r="23" spans="1:18" ht="16.5" customHeight="1" x14ac:dyDescent="0.15">
      <c r="A23" s="41">
        <v>11</v>
      </c>
      <c r="B23" s="41">
        <v>1259</v>
      </c>
      <c r="C23" s="74" t="s">
        <v>888</v>
      </c>
      <c r="D23" s="712" t="s">
        <v>889</v>
      </c>
      <c r="E23" s="717"/>
      <c r="F23" s="53"/>
      <c r="G23" s="49"/>
      <c r="H23" s="50"/>
      <c r="I23" s="44"/>
      <c r="J23" s="45"/>
      <c r="K23" s="46"/>
      <c r="L23" s="35"/>
      <c r="N23" s="57"/>
      <c r="O23" s="53"/>
      <c r="P23" s="49"/>
      <c r="Q23" s="47">
        <f>ROUND((_11_A身体１．５*(1+_11・A深夜)),0)</f>
        <v>876</v>
      </c>
      <c r="R23" s="48"/>
    </row>
    <row r="24" spans="1:18" ht="16.5" customHeight="1" x14ac:dyDescent="0.15">
      <c r="A24" s="41">
        <v>11</v>
      </c>
      <c r="B24" s="41">
        <v>1260</v>
      </c>
      <c r="C24" s="74" t="s">
        <v>890</v>
      </c>
      <c r="D24" s="703"/>
      <c r="E24" s="718"/>
      <c r="F24" s="43"/>
      <c r="G24" s="37"/>
      <c r="H24" s="38"/>
      <c r="I24" s="44" t="s">
        <v>397</v>
      </c>
      <c r="J24" s="45" t="s">
        <v>398</v>
      </c>
      <c r="K24" s="46">
        <v>1</v>
      </c>
      <c r="L24" s="35"/>
      <c r="N24" s="57"/>
      <c r="O24" s="35"/>
      <c r="Q24" s="47">
        <f>ROUND((ROUND((_11_A身体１．５*_11・２人),0)*(1+_11・A深夜)),0)</f>
        <v>876</v>
      </c>
      <c r="R24" s="48"/>
    </row>
    <row r="25" spans="1:18" ht="16.5" customHeight="1" x14ac:dyDescent="0.15">
      <c r="A25" s="41">
        <v>11</v>
      </c>
      <c r="B25" s="41">
        <v>1261</v>
      </c>
      <c r="C25" s="74" t="s">
        <v>891</v>
      </c>
      <c r="D25" s="703"/>
      <c r="E25" s="718"/>
      <c r="F25" s="725" t="s">
        <v>400</v>
      </c>
      <c r="G25" s="49" t="s">
        <v>398</v>
      </c>
      <c r="H25" s="50">
        <v>0.7</v>
      </c>
      <c r="I25" s="44"/>
      <c r="J25" s="45"/>
      <c r="K25" s="46"/>
      <c r="L25" s="35"/>
      <c r="N25" s="57"/>
      <c r="O25" s="35"/>
      <c r="Q25" s="47">
        <f>ROUND((ROUND((_11_A身体１．５*_11・基礎１),0)*(1+_11・A深夜)),0)</f>
        <v>614</v>
      </c>
      <c r="R25" s="48"/>
    </row>
    <row r="26" spans="1:18" ht="16.5" customHeight="1" x14ac:dyDescent="0.15">
      <c r="A26" s="41">
        <v>11</v>
      </c>
      <c r="B26" s="41">
        <v>1262</v>
      </c>
      <c r="C26" s="74" t="s">
        <v>892</v>
      </c>
      <c r="D26" s="98">
        <f>_11_A身体１．５</f>
        <v>584</v>
      </c>
      <c r="E26" s="12" t="s">
        <v>392</v>
      </c>
      <c r="F26" s="711"/>
      <c r="G26" s="37"/>
      <c r="H26" s="38"/>
      <c r="I26" s="44" t="s">
        <v>397</v>
      </c>
      <c r="J26" s="45" t="s">
        <v>398</v>
      </c>
      <c r="K26" s="46">
        <v>1</v>
      </c>
      <c r="L26" s="35"/>
      <c r="N26" s="57"/>
      <c r="O26" s="43"/>
      <c r="P26" s="37"/>
      <c r="Q26" s="47">
        <f>ROUND((ROUND((ROUND((_11_A身体１．５*_11・基礎１),0)*_11・２人),0)*(1+_11・A深夜)),0)</f>
        <v>614</v>
      </c>
      <c r="R26" s="48"/>
    </row>
    <row r="27" spans="1:18" ht="16.5" customHeight="1" x14ac:dyDescent="0.15">
      <c r="A27" s="41">
        <v>11</v>
      </c>
      <c r="B27" s="41" t="s">
        <v>893</v>
      </c>
      <c r="C27" s="74" t="s">
        <v>894</v>
      </c>
      <c r="D27" s="66"/>
      <c r="F27" s="53"/>
      <c r="G27" s="49"/>
      <c r="H27" s="50"/>
      <c r="I27" s="44"/>
      <c r="J27" s="45"/>
      <c r="K27" s="46"/>
      <c r="L27" s="35"/>
      <c r="N27" s="57"/>
      <c r="O27" s="707" t="s">
        <v>404</v>
      </c>
      <c r="P27" s="708"/>
      <c r="Q27" s="47">
        <f>ROUND((ROUND((_11_A身体１．５*(1+_11・A深夜)),0)*_11・初任),0)</f>
        <v>613</v>
      </c>
      <c r="R27" s="48"/>
    </row>
    <row r="28" spans="1:18" ht="16.5" customHeight="1" x14ac:dyDescent="0.15">
      <c r="A28" s="41">
        <v>11</v>
      </c>
      <c r="B28" s="41" t="s">
        <v>895</v>
      </c>
      <c r="C28" s="74" t="s">
        <v>896</v>
      </c>
      <c r="D28" s="66"/>
      <c r="F28" s="43"/>
      <c r="G28" s="37"/>
      <c r="H28" s="38"/>
      <c r="I28" s="44" t="s">
        <v>397</v>
      </c>
      <c r="J28" s="45" t="s">
        <v>398</v>
      </c>
      <c r="K28" s="46">
        <v>1</v>
      </c>
      <c r="L28" s="35"/>
      <c r="N28" s="57"/>
      <c r="O28" s="709"/>
      <c r="P28" s="704"/>
      <c r="Q28" s="47">
        <f>ROUND((ROUND((ROUND((_11_A身体１．５*_11・２人),0)*(1+_11・A深夜)),0)*_11・初任),0)</f>
        <v>613</v>
      </c>
      <c r="R28" s="48"/>
    </row>
    <row r="29" spans="1:18" ht="16.5" customHeight="1" x14ac:dyDescent="0.15">
      <c r="A29" s="41">
        <v>11</v>
      </c>
      <c r="B29" s="41" t="s">
        <v>897</v>
      </c>
      <c r="C29" s="74" t="s">
        <v>898</v>
      </c>
      <c r="D29" s="69"/>
      <c r="F29" s="725" t="s">
        <v>400</v>
      </c>
      <c r="G29" s="49" t="s">
        <v>398</v>
      </c>
      <c r="H29" s="50">
        <v>0.7</v>
      </c>
      <c r="I29" s="44"/>
      <c r="J29" s="45"/>
      <c r="K29" s="46"/>
      <c r="L29" s="35"/>
      <c r="N29" s="57"/>
      <c r="O29" s="709"/>
      <c r="P29" s="704"/>
      <c r="Q29" s="47">
        <f>ROUND((ROUND((ROUND((_11_A身体１．５*_11・基礎１),0)*(1+_11・A深夜)),0)*_11・初任),0)</f>
        <v>430</v>
      </c>
      <c r="R29" s="48"/>
    </row>
    <row r="30" spans="1:18" ht="16.5" customHeight="1" x14ac:dyDescent="0.15">
      <c r="A30" s="41">
        <v>11</v>
      </c>
      <c r="B30" s="41" t="s">
        <v>899</v>
      </c>
      <c r="C30" s="74" t="s">
        <v>900</v>
      </c>
      <c r="D30" s="69"/>
      <c r="F30" s="711"/>
      <c r="G30" s="37"/>
      <c r="H30" s="38"/>
      <c r="I30" s="44" t="s">
        <v>397</v>
      </c>
      <c r="J30" s="45" t="s">
        <v>398</v>
      </c>
      <c r="K30" s="46">
        <v>1</v>
      </c>
      <c r="L30" s="35"/>
      <c r="N30" s="57"/>
      <c r="O30" s="55" t="s">
        <v>398</v>
      </c>
      <c r="P30" s="38">
        <f>_11・初任</f>
        <v>0.7</v>
      </c>
      <c r="Q30" s="47">
        <f>ROUND((ROUND((ROUND((ROUND((_11_A身体１．５*_11・基礎１),0)*_11・２人),0)*(1+_11・A深夜)),0)*_11・初任),0)</f>
        <v>430</v>
      </c>
      <c r="R30" s="48"/>
    </row>
    <row r="31" spans="1:18" ht="16.5" customHeight="1" x14ac:dyDescent="0.15">
      <c r="A31" s="41">
        <v>11</v>
      </c>
      <c r="B31" s="41">
        <v>1263</v>
      </c>
      <c r="C31" s="74" t="s">
        <v>901</v>
      </c>
      <c r="D31" s="712" t="s">
        <v>902</v>
      </c>
      <c r="E31" s="717"/>
      <c r="F31" s="53"/>
      <c r="G31" s="49"/>
      <c r="H31" s="50"/>
      <c r="I31" s="44"/>
      <c r="J31" s="45"/>
      <c r="K31" s="46"/>
      <c r="L31" s="35"/>
      <c r="N31" s="57"/>
      <c r="O31" s="53"/>
      <c r="P31" s="49"/>
      <c r="Q31" s="47">
        <f>ROUND((_11_A身体２．０*(1+_11・A深夜)),0)</f>
        <v>999</v>
      </c>
      <c r="R31" s="48"/>
    </row>
    <row r="32" spans="1:18" ht="16.5" customHeight="1" x14ac:dyDescent="0.15">
      <c r="A32" s="41">
        <v>11</v>
      </c>
      <c r="B32" s="41">
        <v>1264</v>
      </c>
      <c r="C32" s="74" t="s">
        <v>903</v>
      </c>
      <c r="D32" s="703"/>
      <c r="E32" s="718"/>
      <c r="F32" s="43"/>
      <c r="G32" s="37"/>
      <c r="H32" s="38"/>
      <c r="I32" s="44" t="s">
        <v>397</v>
      </c>
      <c r="J32" s="45" t="s">
        <v>398</v>
      </c>
      <c r="K32" s="46">
        <v>1</v>
      </c>
      <c r="L32" s="35"/>
      <c r="N32" s="57"/>
      <c r="O32" s="35"/>
      <c r="Q32" s="47">
        <f>ROUND((ROUND((_11_A身体２．０*_11・２人),0)*(1+_11・A深夜)),0)</f>
        <v>999</v>
      </c>
      <c r="R32" s="48"/>
    </row>
    <row r="33" spans="1:18" ht="16.5" customHeight="1" x14ac:dyDescent="0.15">
      <c r="A33" s="41">
        <v>11</v>
      </c>
      <c r="B33" s="41">
        <v>1265</v>
      </c>
      <c r="C33" s="74" t="s">
        <v>904</v>
      </c>
      <c r="D33" s="703"/>
      <c r="E33" s="718"/>
      <c r="F33" s="725" t="s">
        <v>400</v>
      </c>
      <c r="G33" s="49" t="s">
        <v>398</v>
      </c>
      <c r="H33" s="50">
        <v>0.7</v>
      </c>
      <c r="I33" s="44"/>
      <c r="J33" s="45"/>
      <c r="K33" s="46"/>
      <c r="L33" s="35"/>
      <c r="N33" s="57"/>
      <c r="O33" s="35"/>
      <c r="Q33" s="47">
        <f>ROUND((ROUND((_11_A身体２．０*_11・基礎１),0)*(1+_11・A深夜)),0)</f>
        <v>699</v>
      </c>
      <c r="R33" s="48"/>
    </row>
    <row r="34" spans="1:18" ht="16.5" customHeight="1" x14ac:dyDescent="0.15">
      <c r="A34" s="41">
        <v>11</v>
      </c>
      <c r="B34" s="41">
        <v>1266</v>
      </c>
      <c r="C34" s="74" t="s">
        <v>905</v>
      </c>
      <c r="D34" s="98">
        <f>_11_A身体２．０</f>
        <v>666</v>
      </c>
      <c r="E34" s="12" t="s">
        <v>392</v>
      </c>
      <c r="F34" s="711"/>
      <c r="G34" s="37"/>
      <c r="H34" s="38"/>
      <c r="I34" s="44" t="s">
        <v>397</v>
      </c>
      <c r="J34" s="45" t="s">
        <v>398</v>
      </c>
      <c r="K34" s="46">
        <v>1</v>
      </c>
      <c r="L34" s="35"/>
      <c r="N34" s="57"/>
      <c r="O34" s="43"/>
      <c r="P34" s="37"/>
      <c r="Q34" s="47">
        <f>ROUND((ROUND((ROUND((_11_A身体２．０*_11・基礎１),0)*_11・２人),0)*(1+_11・A深夜)),0)</f>
        <v>699</v>
      </c>
      <c r="R34" s="48"/>
    </row>
    <row r="35" spans="1:18" ht="16.5" customHeight="1" x14ac:dyDescent="0.15">
      <c r="A35" s="41">
        <v>11</v>
      </c>
      <c r="B35" s="41" t="s">
        <v>906</v>
      </c>
      <c r="C35" s="74" t="s">
        <v>907</v>
      </c>
      <c r="D35" s="66"/>
      <c r="F35" s="53"/>
      <c r="G35" s="49"/>
      <c r="H35" s="50"/>
      <c r="I35" s="44"/>
      <c r="J35" s="45"/>
      <c r="K35" s="46"/>
      <c r="L35" s="35"/>
      <c r="N35" s="57"/>
      <c r="O35" s="707" t="s">
        <v>404</v>
      </c>
      <c r="P35" s="708"/>
      <c r="Q35" s="47">
        <f>ROUND((ROUND((_11_A身体２．０*(1+_11・A深夜)),0)*_11・初任),0)</f>
        <v>699</v>
      </c>
      <c r="R35" s="48"/>
    </row>
    <row r="36" spans="1:18" ht="16.5" customHeight="1" x14ac:dyDescent="0.15">
      <c r="A36" s="41">
        <v>11</v>
      </c>
      <c r="B36" s="41" t="s">
        <v>908</v>
      </c>
      <c r="C36" s="74" t="s">
        <v>909</v>
      </c>
      <c r="D36" s="66"/>
      <c r="F36" s="43"/>
      <c r="G36" s="37"/>
      <c r="H36" s="38"/>
      <c r="I36" s="44" t="s">
        <v>397</v>
      </c>
      <c r="J36" s="45" t="s">
        <v>398</v>
      </c>
      <c r="K36" s="46">
        <v>1</v>
      </c>
      <c r="L36" s="35"/>
      <c r="N36" s="57"/>
      <c r="O36" s="709"/>
      <c r="P36" s="704"/>
      <c r="Q36" s="47">
        <f>ROUND((ROUND((ROUND((_11_A身体２．０*_11・２人),0)*(1+_11・A深夜)),0)*_11・初任),0)</f>
        <v>699</v>
      </c>
      <c r="R36" s="48"/>
    </row>
    <row r="37" spans="1:18" ht="16.5" customHeight="1" x14ac:dyDescent="0.15">
      <c r="A37" s="41">
        <v>11</v>
      </c>
      <c r="B37" s="41" t="s">
        <v>910</v>
      </c>
      <c r="C37" s="74" t="s">
        <v>911</v>
      </c>
      <c r="D37" s="69"/>
      <c r="F37" s="725" t="s">
        <v>400</v>
      </c>
      <c r="G37" s="49" t="s">
        <v>398</v>
      </c>
      <c r="H37" s="50">
        <v>0.7</v>
      </c>
      <c r="I37" s="44"/>
      <c r="J37" s="45"/>
      <c r="K37" s="46"/>
      <c r="L37" s="35"/>
      <c r="N37" s="57"/>
      <c r="O37" s="709"/>
      <c r="P37" s="704"/>
      <c r="Q37" s="47">
        <f>ROUND((ROUND((ROUND((_11_A身体２．０*_11・基礎１),0)*(1+_11・A深夜)),0)*_11・初任),0)</f>
        <v>489</v>
      </c>
      <c r="R37" s="48"/>
    </row>
    <row r="38" spans="1:18" ht="16.5" customHeight="1" x14ac:dyDescent="0.15">
      <c r="A38" s="41">
        <v>11</v>
      </c>
      <c r="B38" s="41" t="s">
        <v>912</v>
      </c>
      <c r="C38" s="74" t="s">
        <v>913</v>
      </c>
      <c r="D38" s="69"/>
      <c r="F38" s="711"/>
      <c r="G38" s="37"/>
      <c r="H38" s="38"/>
      <c r="I38" s="44" t="s">
        <v>397</v>
      </c>
      <c r="J38" s="45" t="s">
        <v>398</v>
      </c>
      <c r="K38" s="46">
        <v>1</v>
      </c>
      <c r="L38" s="35"/>
      <c r="N38" s="57"/>
      <c r="O38" s="55" t="s">
        <v>398</v>
      </c>
      <c r="P38" s="38">
        <f>_11・初任</f>
        <v>0.7</v>
      </c>
      <c r="Q38" s="47">
        <f>ROUND((ROUND((ROUND((ROUND((_11_A身体２．０*_11・基礎１),0)*_11・２人),0)*(1+_11・A深夜)),0)*_11・初任),0)</f>
        <v>489</v>
      </c>
      <c r="R38" s="48"/>
    </row>
    <row r="39" spans="1:18" ht="16.5" customHeight="1" x14ac:dyDescent="0.15">
      <c r="A39" s="41">
        <v>11</v>
      </c>
      <c r="B39" s="41">
        <v>1267</v>
      </c>
      <c r="C39" s="74" t="s">
        <v>914</v>
      </c>
      <c r="D39" s="712" t="s">
        <v>915</v>
      </c>
      <c r="E39" s="717"/>
      <c r="F39" s="53"/>
      <c r="G39" s="49"/>
      <c r="H39" s="50"/>
      <c r="I39" s="44"/>
      <c r="J39" s="45"/>
      <c r="K39" s="46"/>
      <c r="L39" s="35"/>
      <c r="N39" s="57"/>
      <c r="O39" s="53"/>
      <c r="P39" s="49"/>
      <c r="Q39" s="47">
        <f>ROUND((_11_A身体２．５*(1+_11・A深夜)),0)</f>
        <v>1125</v>
      </c>
      <c r="R39" s="48"/>
    </row>
    <row r="40" spans="1:18" ht="16.5" customHeight="1" x14ac:dyDescent="0.15">
      <c r="A40" s="41">
        <v>11</v>
      </c>
      <c r="B40" s="41">
        <v>1268</v>
      </c>
      <c r="C40" s="74" t="s">
        <v>916</v>
      </c>
      <c r="D40" s="703"/>
      <c r="E40" s="718"/>
      <c r="F40" s="43"/>
      <c r="G40" s="37"/>
      <c r="H40" s="38"/>
      <c r="I40" s="44" t="s">
        <v>397</v>
      </c>
      <c r="J40" s="45" t="s">
        <v>398</v>
      </c>
      <c r="K40" s="46">
        <v>1</v>
      </c>
      <c r="L40" s="35"/>
      <c r="N40" s="57"/>
      <c r="O40" s="35"/>
      <c r="Q40" s="47">
        <f>ROUND((ROUND((_11_A身体２．５*_11・２人),0)*(1+_11・A深夜)),0)</f>
        <v>1125</v>
      </c>
      <c r="R40" s="48"/>
    </row>
    <row r="41" spans="1:18" ht="16.5" customHeight="1" x14ac:dyDescent="0.15">
      <c r="A41" s="41">
        <v>11</v>
      </c>
      <c r="B41" s="41">
        <v>1269</v>
      </c>
      <c r="C41" s="74" t="s">
        <v>917</v>
      </c>
      <c r="D41" s="703"/>
      <c r="E41" s="718"/>
      <c r="F41" s="725" t="s">
        <v>400</v>
      </c>
      <c r="G41" s="49" t="s">
        <v>398</v>
      </c>
      <c r="H41" s="50">
        <v>0.7</v>
      </c>
      <c r="I41" s="44"/>
      <c r="J41" s="45"/>
      <c r="K41" s="46"/>
      <c r="L41" s="35"/>
      <c r="N41" s="57"/>
      <c r="O41" s="35"/>
      <c r="Q41" s="47">
        <f>ROUND((ROUND((_11_A身体２．５*_11・基礎１),0)*(1+_11・A深夜)),0)</f>
        <v>788</v>
      </c>
      <c r="R41" s="48"/>
    </row>
    <row r="42" spans="1:18" ht="16.5" customHeight="1" x14ac:dyDescent="0.15">
      <c r="A42" s="41">
        <v>11</v>
      </c>
      <c r="B42" s="41">
        <v>1270</v>
      </c>
      <c r="C42" s="74" t="s">
        <v>918</v>
      </c>
      <c r="D42" s="98">
        <f>_11_A身体２．５</f>
        <v>750</v>
      </c>
      <c r="E42" s="12" t="s">
        <v>392</v>
      </c>
      <c r="F42" s="711"/>
      <c r="G42" s="37"/>
      <c r="H42" s="38"/>
      <c r="I42" s="44" t="s">
        <v>397</v>
      </c>
      <c r="J42" s="45" t="s">
        <v>398</v>
      </c>
      <c r="K42" s="46">
        <v>1</v>
      </c>
      <c r="L42" s="35"/>
      <c r="N42" s="57"/>
      <c r="O42" s="43"/>
      <c r="P42" s="37"/>
      <c r="Q42" s="47">
        <f>ROUND((ROUND((ROUND((_11_A身体２．５*_11・基礎１),0)*_11・２人),0)*(1+_11・A深夜)),0)</f>
        <v>788</v>
      </c>
      <c r="R42" s="48"/>
    </row>
    <row r="43" spans="1:18" ht="16.5" customHeight="1" x14ac:dyDescent="0.15">
      <c r="A43" s="41">
        <v>11</v>
      </c>
      <c r="B43" s="41" t="s">
        <v>919</v>
      </c>
      <c r="C43" s="74" t="s">
        <v>920</v>
      </c>
      <c r="D43" s="66"/>
      <c r="F43" s="53"/>
      <c r="G43" s="49"/>
      <c r="H43" s="50"/>
      <c r="I43" s="44"/>
      <c r="J43" s="45"/>
      <c r="K43" s="46"/>
      <c r="L43" s="35"/>
      <c r="N43" s="57"/>
      <c r="O43" s="707" t="s">
        <v>404</v>
      </c>
      <c r="P43" s="708"/>
      <c r="Q43" s="47">
        <f>ROUND((ROUND((_11_A身体２．５*(1+_11・A深夜)),0)*_11・初任),0)</f>
        <v>788</v>
      </c>
      <c r="R43" s="48"/>
    </row>
    <row r="44" spans="1:18" ht="16.5" customHeight="1" x14ac:dyDescent="0.15">
      <c r="A44" s="41">
        <v>11</v>
      </c>
      <c r="B44" s="41" t="s">
        <v>921</v>
      </c>
      <c r="C44" s="74" t="s">
        <v>922</v>
      </c>
      <c r="D44" s="66"/>
      <c r="F44" s="43"/>
      <c r="G44" s="37"/>
      <c r="H44" s="38"/>
      <c r="I44" s="44" t="s">
        <v>397</v>
      </c>
      <c r="J44" s="45" t="s">
        <v>398</v>
      </c>
      <c r="K44" s="46">
        <v>1</v>
      </c>
      <c r="L44" s="35"/>
      <c r="N44" s="57"/>
      <c r="O44" s="709"/>
      <c r="P44" s="704"/>
      <c r="Q44" s="47">
        <f>ROUND((ROUND((ROUND((_11_A身体２．５*_11・２人),0)*(1+_11・A深夜)),0)*_11・初任),0)</f>
        <v>788</v>
      </c>
      <c r="R44" s="48"/>
    </row>
    <row r="45" spans="1:18" ht="16.5" customHeight="1" x14ac:dyDescent="0.15">
      <c r="A45" s="41">
        <v>11</v>
      </c>
      <c r="B45" s="41" t="s">
        <v>923</v>
      </c>
      <c r="C45" s="74" t="s">
        <v>924</v>
      </c>
      <c r="D45" s="69"/>
      <c r="F45" s="725" t="s">
        <v>400</v>
      </c>
      <c r="G45" s="49" t="s">
        <v>398</v>
      </c>
      <c r="H45" s="50">
        <v>0.7</v>
      </c>
      <c r="I45" s="44"/>
      <c r="J45" s="45"/>
      <c r="K45" s="46"/>
      <c r="L45" s="35"/>
      <c r="N45" s="57"/>
      <c r="O45" s="709"/>
      <c r="P45" s="704"/>
      <c r="Q45" s="47">
        <f>ROUND((ROUND((ROUND((_11_A身体２．５*_11・基礎１),0)*(1+_11・A深夜)),0)*_11・初任),0)</f>
        <v>552</v>
      </c>
      <c r="R45" s="48"/>
    </row>
    <row r="46" spans="1:18" ht="16.5" customHeight="1" x14ac:dyDescent="0.15">
      <c r="A46" s="41">
        <v>11</v>
      </c>
      <c r="B46" s="41" t="s">
        <v>925</v>
      </c>
      <c r="C46" s="74" t="s">
        <v>926</v>
      </c>
      <c r="D46" s="69"/>
      <c r="F46" s="711"/>
      <c r="G46" s="37"/>
      <c r="H46" s="38"/>
      <c r="I46" s="44" t="s">
        <v>397</v>
      </c>
      <c r="J46" s="45" t="s">
        <v>398</v>
      </c>
      <c r="K46" s="46">
        <v>1</v>
      </c>
      <c r="L46" s="35"/>
      <c r="N46" s="57"/>
      <c r="O46" s="55" t="s">
        <v>398</v>
      </c>
      <c r="P46" s="38">
        <f>_11・初任</f>
        <v>0.7</v>
      </c>
      <c r="Q46" s="47">
        <f>ROUND((ROUND((ROUND((ROUND((_11_A身体２．５*_11・基礎１),0)*_11・２人),0)*(1+_11・A深夜)),0)*_11・初任),0)</f>
        <v>552</v>
      </c>
      <c r="R46" s="48"/>
    </row>
    <row r="47" spans="1:18" ht="16.5" customHeight="1" x14ac:dyDescent="0.15">
      <c r="A47" s="41">
        <v>11</v>
      </c>
      <c r="B47" s="41">
        <v>1271</v>
      </c>
      <c r="C47" s="74" t="s">
        <v>927</v>
      </c>
      <c r="D47" s="712" t="s">
        <v>928</v>
      </c>
      <c r="E47" s="717"/>
      <c r="F47" s="53"/>
      <c r="G47" s="49"/>
      <c r="H47" s="50"/>
      <c r="I47" s="44"/>
      <c r="J47" s="45"/>
      <c r="K47" s="46"/>
      <c r="L47" s="35"/>
      <c r="N47" s="57"/>
      <c r="O47" s="53"/>
      <c r="P47" s="49"/>
      <c r="Q47" s="47">
        <f>ROUND((_11_A身体３．０*(1+_11・A深夜)),0)</f>
        <v>1250</v>
      </c>
      <c r="R47" s="48"/>
    </row>
    <row r="48" spans="1:18" ht="16.5" customHeight="1" x14ac:dyDescent="0.15">
      <c r="A48" s="41">
        <v>11</v>
      </c>
      <c r="B48" s="41">
        <v>1272</v>
      </c>
      <c r="C48" s="74" t="s">
        <v>929</v>
      </c>
      <c r="D48" s="703"/>
      <c r="E48" s="718"/>
      <c r="F48" s="43"/>
      <c r="G48" s="37"/>
      <c r="H48" s="38"/>
      <c r="I48" s="44" t="s">
        <v>397</v>
      </c>
      <c r="J48" s="45" t="s">
        <v>398</v>
      </c>
      <c r="K48" s="46">
        <v>1</v>
      </c>
      <c r="L48" s="35"/>
      <c r="N48" s="57"/>
      <c r="O48" s="35"/>
      <c r="Q48" s="47">
        <f>ROUND((ROUND((_11_A身体３．０*_11・２人),0)*(1+_11・A深夜)),0)</f>
        <v>1250</v>
      </c>
      <c r="R48" s="48"/>
    </row>
    <row r="49" spans="1:18" ht="16.5" customHeight="1" x14ac:dyDescent="0.15">
      <c r="A49" s="41">
        <v>11</v>
      </c>
      <c r="B49" s="41">
        <v>1273</v>
      </c>
      <c r="C49" s="74" t="s">
        <v>930</v>
      </c>
      <c r="D49" s="703"/>
      <c r="E49" s="718"/>
      <c r="F49" s="725" t="s">
        <v>400</v>
      </c>
      <c r="G49" s="49" t="s">
        <v>398</v>
      </c>
      <c r="H49" s="50">
        <v>0.7</v>
      </c>
      <c r="I49" s="44"/>
      <c r="J49" s="45"/>
      <c r="K49" s="46"/>
      <c r="L49" s="35"/>
      <c r="N49" s="57"/>
      <c r="O49" s="35"/>
      <c r="Q49" s="47">
        <f>ROUND((ROUND((_11_A身体３．０*_11・基礎１),0)*(1+_11・A深夜)),0)</f>
        <v>875</v>
      </c>
      <c r="R49" s="48"/>
    </row>
    <row r="50" spans="1:18" ht="16.5" customHeight="1" x14ac:dyDescent="0.15">
      <c r="A50" s="41">
        <v>11</v>
      </c>
      <c r="B50" s="41">
        <v>1274</v>
      </c>
      <c r="C50" s="74" t="s">
        <v>931</v>
      </c>
      <c r="D50" s="98">
        <f>_11_A身体３．０</f>
        <v>833</v>
      </c>
      <c r="E50" s="12" t="s">
        <v>392</v>
      </c>
      <c r="F50" s="711"/>
      <c r="G50" s="37"/>
      <c r="H50" s="38"/>
      <c r="I50" s="44" t="s">
        <v>397</v>
      </c>
      <c r="J50" s="45" t="s">
        <v>398</v>
      </c>
      <c r="K50" s="46">
        <v>1</v>
      </c>
      <c r="L50" s="35"/>
      <c r="N50" s="57"/>
      <c r="O50" s="43"/>
      <c r="P50" s="37"/>
      <c r="Q50" s="47">
        <f>ROUND((ROUND((ROUND((_11_A身体３．０*_11・基礎１),0)*_11・２人),0)*(1+_11・A深夜)),0)</f>
        <v>875</v>
      </c>
      <c r="R50" s="48"/>
    </row>
    <row r="51" spans="1:18" ht="16.5" customHeight="1" x14ac:dyDescent="0.15">
      <c r="A51" s="41">
        <v>11</v>
      </c>
      <c r="B51" s="41" t="s">
        <v>932</v>
      </c>
      <c r="C51" s="74" t="s">
        <v>933</v>
      </c>
      <c r="D51" s="66"/>
      <c r="F51" s="53"/>
      <c r="G51" s="49"/>
      <c r="H51" s="50"/>
      <c r="I51" s="44"/>
      <c r="J51" s="45"/>
      <c r="K51" s="46"/>
      <c r="L51" s="35"/>
      <c r="N51" s="57"/>
      <c r="O51" s="707" t="s">
        <v>404</v>
      </c>
      <c r="P51" s="708"/>
      <c r="Q51" s="47">
        <f>ROUND((ROUND((_11_A身体３．０*(1+_11・A深夜)),0)*_11・初任),0)</f>
        <v>875</v>
      </c>
      <c r="R51" s="48"/>
    </row>
    <row r="52" spans="1:18" ht="16.5" customHeight="1" x14ac:dyDescent="0.15">
      <c r="A52" s="41">
        <v>11</v>
      </c>
      <c r="B52" s="41" t="s">
        <v>934</v>
      </c>
      <c r="C52" s="74" t="s">
        <v>935</v>
      </c>
      <c r="D52" s="66"/>
      <c r="F52" s="43"/>
      <c r="G52" s="37"/>
      <c r="H52" s="38"/>
      <c r="I52" s="44" t="s">
        <v>397</v>
      </c>
      <c r="J52" s="45" t="s">
        <v>398</v>
      </c>
      <c r="K52" s="46">
        <v>1</v>
      </c>
      <c r="L52" s="35"/>
      <c r="N52" s="57"/>
      <c r="O52" s="709"/>
      <c r="P52" s="704"/>
      <c r="Q52" s="47">
        <f>ROUND((ROUND((ROUND((_11_A身体３．０*_11・２人),0)*(1+_11・A深夜)),0)*_11・初任),0)</f>
        <v>875</v>
      </c>
      <c r="R52" s="48"/>
    </row>
    <row r="53" spans="1:18" ht="16.5" customHeight="1" x14ac:dyDescent="0.15">
      <c r="A53" s="41">
        <v>11</v>
      </c>
      <c r="B53" s="41" t="s">
        <v>936</v>
      </c>
      <c r="C53" s="74" t="s">
        <v>937</v>
      </c>
      <c r="D53" s="69"/>
      <c r="F53" s="725" t="s">
        <v>400</v>
      </c>
      <c r="G53" s="49" t="s">
        <v>398</v>
      </c>
      <c r="H53" s="50">
        <v>0.7</v>
      </c>
      <c r="I53" s="44"/>
      <c r="J53" s="45"/>
      <c r="K53" s="46"/>
      <c r="L53" s="35"/>
      <c r="N53" s="57"/>
      <c r="O53" s="709"/>
      <c r="P53" s="704"/>
      <c r="Q53" s="47">
        <f>ROUND((ROUND((ROUND((_11_A身体３．０*_11・基礎１),0)*(1+_11・A深夜)),0)*_11・初任),0)</f>
        <v>613</v>
      </c>
      <c r="R53" s="48"/>
    </row>
    <row r="54" spans="1:18" ht="16.5" customHeight="1" x14ac:dyDescent="0.15">
      <c r="A54" s="41">
        <v>11</v>
      </c>
      <c r="B54" s="41" t="s">
        <v>938</v>
      </c>
      <c r="C54" s="74" t="s">
        <v>939</v>
      </c>
      <c r="D54" s="69"/>
      <c r="F54" s="711"/>
      <c r="G54" s="37"/>
      <c r="H54" s="38"/>
      <c r="I54" s="44" t="s">
        <v>397</v>
      </c>
      <c r="J54" s="45" t="s">
        <v>398</v>
      </c>
      <c r="K54" s="46">
        <v>1</v>
      </c>
      <c r="L54" s="35"/>
      <c r="N54" s="57"/>
      <c r="O54" s="55" t="s">
        <v>398</v>
      </c>
      <c r="P54" s="38">
        <f>_11・初任</f>
        <v>0.7</v>
      </c>
      <c r="Q54" s="47">
        <f>ROUND((ROUND((ROUND((ROUND((_11_A身体３．０*_11・基礎１),0)*_11・２人),0)*(1+_11・A深夜)),0)*_11・初任),0)</f>
        <v>613</v>
      </c>
      <c r="R54" s="48"/>
    </row>
    <row r="55" spans="1:18" ht="16.5" customHeight="1" x14ac:dyDescent="0.15">
      <c r="A55" s="41">
        <v>11</v>
      </c>
      <c r="B55" s="41">
        <v>1275</v>
      </c>
      <c r="C55" s="74" t="s">
        <v>940</v>
      </c>
      <c r="D55" s="712" t="s">
        <v>941</v>
      </c>
      <c r="E55" s="717"/>
      <c r="F55" s="53"/>
      <c r="G55" s="49"/>
      <c r="H55" s="50"/>
      <c r="I55" s="44"/>
      <c r="J55" s="45"/>
      <c r="K55" s="46"/>
      <c r="L55" s="35"/>
      <c r="N55" s="57"/>
      <c r="O55" s="53"/>
      <c r="P55" s="49"/>
      <c r="Q55" s="47">
        <f>ROUND((_11_A身体３．５*(1+_11・A深夜)),0)</f>
        <v>1374</v>
      </c>
      <c r="R55" s="48"/>
    </row>
    <row r="56" spans="1:18" ht="16.5" customHeight="1" x14ac:dyDescent="0.15">
      <c r="A56" s="41">
        <v>11</v>
      </c>
      <c r="B56" s="41">
        <v>1276</v>
      </c>
      <c r="C56" s="74" t="s">
        <v>942</v>
      </c>
      <c r="D56" s="703"/>
      <c r="E56" s="718"/>
      <c r="F56" s="43"/>
      <c r="G56" s="37"/>
      <c r="H56" s="38"/>
      <c r="I56" s="44" t="s">
        <v>397</v>
      </c>
      <c r="J56" s="45" t="s">
        <v>398</v>
      </c>
      <c r="K56" s="46">
        <v>1</v>
      </c>
      <c r="L56" s="35"/>
      <c r="N56" s="57"/>
      <c r="O56" s="35"/>
      <c r="Q56" s="47">
        <f>ROUND((ROUND((_11_A身体３．５*_11・２人),0)*(1+_11・A深夜)),0)</f>
        <v>1374</v>
      </c>
      <c r="R56" s="48"/>
    </row>
    <row r="57" spans="1:18" ht="16.5" customHeight="1" x14ac:dyDescent="0.15">
      <c r="A57" s="41">
        <v>11</v>
      </c>
      <c r="B57" s="41">
        <v>1277</v>
      </c>
      <c r="C57" s="74" t="s">
        <v>943</v>
      </c>
      <c r="D57" s="703"/>
      <c r="E57" s="718"/>
      <c r="F57" s="725" t="s">
        <v>400</v>
      </c>
      <c r="G57" s="49" t="s">
        <v>398</v>
      </c>
      <c r="H57" s="50">
        <v>0.7</v>
      </c>
      <c r="I57" s="44"/>
      <c r="J57" s="45"/>
      <c r="K57" s="46"/>
      <c r="L57" s="35"/>
      <c r="N57" s="57"/>
      <c r="O57" s="35"/>
      <c r="Q57" s="47">
        <f>ROUND((ROUND((_11_A身体３．５*_11・基礎１),0)*(1+_11・A深夜)),0)</f>
        <v>962</v>
      </c>
      <c r="R57" s="48"/>
    </row>
    <row r="58" spans="1:18" ht="16.5" customHeight="1" x14ac:dyDescent="0.15">
      <c r="A58" s="41">
        <v>11</v>
      </c>
      <c r="B58" s="41">
        <v>1278</v>
      </c>
      <c r="C58" s="74" t="s">
        <v>944</v>
      </c>
      <c r="D58" s="98">
        <f>_11_A身体３．５</f>
        <v>916</v>
      </c>
      <c r="E58" s="12" t="s">
        <v>392</v>
      </c>
      <c r="F58" s="711"/>
      <c r="G58" s="37"/>
      <c r="H58" s="38"/>
      <c r="I58" s="44" t="s">
        <v>397</v>
      </c>
      <c r="J58" s="45" t="s">
        <v>398</v>
      </c>
      <c r="K58" s="46">
        <v>1</v>
      </c>
      <c r="L58" s="35"/>
      <c r="N58" s="57"/>
      <c r="O58" s="43"/>
      <c r="P58" s="37"/>
      <c r="Q58" s="47">
        <f>ROUND((ROUND((ROUND((_11_A身体３．５*_11・基礎１),0)*_11・２人),0)*(1+_11・A深夜)),0)</f>
        <v>962</v>
      </c>
      <c r="R58" s="48"/>
    </row>
    <row r="59" spans="1:18" ht="16.5" customHeight="1" x14ac:dyDescent="0.15">
      <c r="A59" s="41">
        <v>11</v>
      </c>
      <c r="B59" s="41" t="s">
        <v>945</v>
      </c>
      <c r="C59" s="74" t="s">
        <v>946</v>
      </c>
      <c r="D59" s="66"/>
      <c r="F59" s="53"/>
      <c r="G59" s="49"/>
      <c r="H59" s="50"/>
      <c r="I59" s="44"/>
      <c r="J59" s="45"/>
      <c r="K59" s="46"/>
      <c r="L59" s="35"/>
      <c r="N59" s="57"/>
      <c r="O59" s="707" t="s">
        <v>404</v>
      </c>
      <c r="P59" s="708"/>
      <c r="Q59" s="47">
        <f>ROUND((ROUND((_11_A身体３．５*(1+_11・A深夜)),0)*_11・初任),0)</f>
        <v>962</v>
      </c>
      <c r="R59" s="48"/>
    </row>
    <row r="60" spans="1:18" ht="16.5" customHeight="1" x14ac:dyDescent="0.15">
      <c r="A60" s="41">
        <v>11</v>
      </c>
      <c r="B60" s="41" t="s">
        <v>947</v>
      </c>
      <c r="C60" s="74" t="s">
        <v>948</v>
      </c>
      <c r="D60" s="66"/>
      <c r="F60" s="43"/>
      <c r="G60" s="37"/>
      <c r="H60" s="38"/>
      <c r="I60" s="44" t="s">
        <v>397</v>
      </c>
      <c r="J60" s="45" t="s">
        <v>398</v>
      </c>
      <c r="K60" s="46">
        <v>1</v>
      </c>
      <c r="L60" s="35"/>
      <c r="N60" s="57"/>
      <c r="O60" s="709"/>
      <c r="P60" s="704"/>
      <c r="Q60" s="47">
        <f>ROUND((ROUND((ROUND((_11_A身体３．５*_11・２人),0)*(1+_11・A深夜)),0)*_11・初任),0)</f>
        <v>962</v>
      </c>
      <c r="R60" s="48"/>
    </row>
    <row r="61" spans="1:18" ht="16.5" customHeight="1" x14ac:dyDescent="0.15">
      <c r="A61" s="41">
        <v>11</v>
      </c>
      <c r="B61" s="41" t="s">
        <v>949</v>
      </c>
      <c r="C61" s="74" t="s">
        <v>950</v>
      </c>
      <c r="D61" s="69"/>
      <c r="F61" s="725" t="s">
        <v>400</v>
      </c>
      <c r="G61" s="49" t="s">
        <v>398</v>
      </c>
      <c r="H61" s="50">
        <v>0.7</v>
      </c>
      <c r="I61" s="44"/>
      <c r="J61" s="45"/>
      <c r="K61" s="46"/>
      <c r="L61" s="35"/>
      <c r="N61" s="57"/>
      <c r="O61" s="709"/>
      <c r="P61" s="704"/>
      <c r="Q61" s="47">
        <f>ROUND((ROUND((ROUND((_11_A身体３．５*_11・基礎１),0)*(1+_11・A深夜)),0)*_11・初任),0)</f>
        <v>673</v>
      </c>
      <c r="R61" s="48"/>
    </row>
    <row r="62" spans="1:18" ht="16.5" customHeight="1" x14ac:dyDescent="0.15">
      <c r="A62" s="41">
        <v>11</v>
      </c>
      <c r="B62" s="41" t="s">
        <v>951</v>
      </c>
      <c r="C62" s="74" t="s">
        <v>952</v>
      </c>
      <c r="D62" s="69"/>
      <c r="F62" s="711"/>
      <c r="G62" s="37"/>
      <c r="H62" s="38"/>
      <c r="I62" s="44" t="s">
        <v>397</v>
      </c>
      <c r="J62" s="45" t="s">
        <v>398</v>
      </c>
      <c r="K62" s="46">
        <v>1</v>
      </c>
      <c r="L62" s="35"/>
      <c r="N62" s="57"/>
      <c r="O62" s="55" t="s">
        <v>398</v>
      </c>
      <c r="P62" s="38">
        <f>_11・初任</f>
        <v>0.7</v>
      </c>
      <c r="Q62" s="47">
        <f>ROUND((ROUND((ROUND((ROUND((_11_A身体３．５*_11・基礎１),0)*_11・２人),0)*(1+_11・A深夜)),0)*_11・初任),0)</f>
        <v>673</v>
      </c>
      <c r="R62" s="48"/>
    </row>
    <row r="63" spans="1:18" ht="16.5" customHeight="1" x14ac:dyDescent="0.15">
      <c r="A63" s="41">
        <v>11</v>
      </c>
      <c r="B63" s="41">
        <v>1279</v>
      </c>
      <c r="C63" s="74" t="s">
        <v>953</v>
      </c>
      <c r="D63" s="712" t="s">
        <v>954</v>
      </c>
      <c r="E63" s="717"/>
      <c r="F63" s="53"/>
      <c r="G63" s="49"/>
      <c r="H63" s="50"/>
      <c r="I63" s="44"/>
      <c r="J63" s="45"/>
      <c r="K63" s="46"/>
      <c r="L63" s="35"/>
      <c r="N63" s="57"/>
      <c r="O63" s="53"/>
      <c r="P63" s="49"/>
      <c r="Q63" s="47">
        <f>ROUND((_11_A身体４．０*(1+_11・A深夜)),0)</f>
        <v>1499</v>
      </c>
      <c r="R63" s="48"/>
    </row>
    <row r="64" spans="1:18" ht="16.5" customHeight="1" x14ac:dyDescent="0.15">
      <c r="A64" s="41">
        <v>11</v>
      </c>
      <c r="B64" s="41">
        <v>1280</v>
      </c>
      <c r="C64" s="74" t="s">
        <v>955</v>
      </c>
      <c r="D64" s="703"/>
      <c r="E64" s="718"/>
      <c r="F64" s="43"/>
      <c r="G64" s="37"/>
      <c r="H64" s="38"/>
      <c r="I64" s="44" t="s">
        <v>397</v>
      </c>
      <c r="J64" s="45" t="s">
        <v>398</v>
      </c>
      <c r="K64" s="46">
        <v>1</v>
      </c>
      <c r="L64" s="35"/>
      <c r="N64" s="57"/>
      <c r="O64" s="35"/>
      <c r="Q64" s="47">
        <f>ROUND((ROUND((_11_A身体４．０*_11・２人),0)*(1+_11・A深夜)),0)</f>
        <v>1499</v>
      </c>
      <c r="R64" s="48"/>
    </row>
    <row r="65" spans="1:18" ht="16.5" customHeight="1" x14ac:dyDescent="0.15">
      <c r="A65" s="41">
        <v>11</v>
      </c>
      <c r="B65" s="41">
        <v>1281</v>
      </c>
      <c r="C65" s="74" t="s">
        <v>956</v>
      </c>
      <c r="D65" s="703"/>
      <c r="E65" s="718"/>
      <c r="F65" s="725" t="s">
        <v>400</v>
      </c>
      <c r="G65" s="49" t="s">
        <v>398</v>
      </c>
      <c r="H65" s="50">
        <v>0.7</v>
      </c>
      <c r="I65" s="44"/>
      <c r="J65" s="45"/>
      <c r="K65" s="46"/>
      <c r="L65" s="35"/>
      <c r="N65" s="57"/>
      <c r="O65" s="35"/>
      <c r="Q65" s="47">
        <f>ROUND((ROUND((_11_A身体４．０*_11・基礎１),0)*(1+_11・A深夜)),0)</f>
        <v>1049</v>
      </c>
      <c r="R65" s="48"/>
    </row>
    <row r="66" spans="1:18" ht="16.5" customHeight="1" x14ac:dyDescent="0.15">
      <c r="A66" s="41">
        <v>11</v>
      </c>
      <c r="B66" s="41">
        <v>1282</v>
      </c>
      <c r="C66" s="74" t="s">
        <v>957</v>
      </c>
      <c r="D66" s="98">
        <f>_11_A身体４．０</f>
        <v>999</v>
      </c>
      <c r="E66" s="12" t="s">
        <v>392</v>
      </c>
      <c r="F66" s="711"/>
      <c r="G66" s="37"/>
      <c r="H66" s="38"/>
      <c r="I66" s="44" t="s">
        <v>397</v>
      </c>
      <c r="J66" s="45" t="s">
        <v>398</v>
      </c>
      <c r="K66" s="46">
        <v>1</v>
      </c>
      <c r="L66" s="35"/>
      <c r="N66" s="57"/>
      <c r="O66" s="43"/>
      <c r="P66" s="37"/>
      <c r="Q66" s="47">
        <f>ROUND((ROUND((ROUND((_11_A身体４．０*_11・基礎１),0)*_11・２人),0)*(1+_11・A深夜)),0)</f>
        <v>1049</v>
      </c>
      <c r="R66" s="48"/>
    </row>
    <row r="67" spans="1:18" ht="16.5" customHeight="1" x14ac:dyDescent="0.15">
      <c r="A67" s="41">
        <v>11</v>
      </c>
      <c r="B67" s="41" t="s">
        <v>958</v>
      </c>
      <c r="C67" s="74" t="s">
        <v>959</v>
      </c>
      <c r="D67" s="66"/>
      <c r="F67" s="53"/>
      <c r="G67" s="49"/>
      <c r="H67" s="50"/>
      <c r="I67" s="44"/>
      <c r="J67" s="45"/>
      <c r="K67" s="46"/>
      <c r="L67" s="35"/>
      <c r="N67" s="57"/>
      <c r="O67" s="707" t="s">
        <v>404</v>
      </c>
      <c r="P67" s="708"/>
      <c r="Q67" s="47">
        <f>ROUND((ROUND((_11_A身体４．０*(1+_11・A深夜)),0)*_11・初任),0)</f>
        <v>1049</v>
      </c>
      <c r="R67" s="48"/>
    </row>
    <row r="68" spans="1:18" ht="16.5" customHeight="1" x14ac:dyDescent="0.15">
      <c r="A68" s="41">
        <v>11</v>
      </c>
      <c r="B68" s="41" t="s">
        <v>960</v>
      </c>
      <c r="C68" s="74" t="s">
        <v>961</v>
      </c>
      <c r="D68" s="66"/>
      <c r="F68" s="43"/>
      <c r="G68" s="37"/>
      <c r="H68" s="38"/>
      <c r="I68" s="44" t="s">
        <v>397</v>
      </c>
      <c r="J68" s="45" t="s">
        <v>398</v>
      </c>
      <c r="K68" s="46">
        <v>1</v>
      </c>
      <c r="L68" s="35"/>
      <c r="N68" s="57"/>
      <c r="O68" s="709"/>
      <c r="P68" s="704"/>
      <c r="Q68" s="47">
        <f>ROUND((ROUND((ROUND((_11_A身体４．０*_11・２人),0)*(1+_11・A深夜)),0)*_11・初任),0)</f>
        <v>1049</v>
      </c>
      <c r="R68" s="48"/>
    </row>
    <row r="69" spans="1:18" ht="16.5" customHeight="1" x14ac:dyDescent="0.15">
      <c r="A69" s="41">
        <v>11</v>
      </c>
      <c r="B69" s="41" t="s">
        <v>962</v>
      </c>
      <c r="C69" s="74" t="s">
        <v>963</v>
      </c>
      <c r="D69" s="69"/>
      <c r="F69" s="725" t="s">
        <v>400</v>
      </c>
      <c r="G69" s="49" t="s">
        <v>398</v>
      </c>
      <c r="H69" s="50">
        <v>0.7</v>
      </c>
      <c r="I69" s="44"/>
      <c r="J69" s="45"/>
      <c r="K69" s="46"/>
      <c r="L69" s="35"/>
      <c r="N69" s="57"/>
      <c r="O69" s="709"/>
      <c r="P69" s="704"/>
      <c r="Q69" s="47">
        <f>ROUND((ROUND((ROUND((_11_A身体４．０*_11・基礎１),0)*(1+_11・A深夜)),0)*_11・初任),0)</f>
        <v>734</v>
      </c>
      <c r="R69" s="48"/>
    </row>
    <row r="70" spans="1:18" ht="16.5" customHeight="1" x14ac:dyDescent="0.15">
      <c r="A70" s="41">
        <v>11</v>
      </c>
      <c r="B70" s="41" t="s">
        <v>964</v>
      </c>
      <c r="C70" s="74" t="s">
        <v>965</v>
      </c>
      <c r="D70" s="69"/>
      <c r="F70" s="711"/>
      <c r="G70" s="37"/>
      <c r="H70" s="38"/>
      <c r="I70" s="44" t="s">
        <v>397</v>
      </c>
      <c r="J70" s="45" t="s">
        <v>398</v>
      </c>
      <c r="K70" s="46">
        <v>1</v>
      </c>
      <c r="L70" s="35"/>
      <c r="N70" s="57"/>
      <c r="O70" s="55" t="s">
        <v>398</v>
      </c>
      <c r="P70" s="38">
        <f>_11・初任</f>
        <v>0.7</v>
      </c>
      <c r="Q70" s="47">
        <f>ROUND((ROUND((ROUND((ROUND((_11_A身体４．０*_11・基礎１),0)*_11・２人),0)*(1+_11・A深夜)),0)*_11・初任),0)</f>
        <v>734</v>
      </c>
      <c r="R70" s="48"/>
    </row>
    <row r="71" spans="1:18" ht="16.5" customHeight="1" x14ac:dyDescent="0.15">
      <c r="A71" s="41">
        <v>11</v>
      </c>
      <c r="B71" s="41">
        <v>1283</v>
      </c>
      <c r="C71" s="74" t="s">
        <v>966</v>
      </c>
      <c r="D71" s="712" t="s">
        <v>967</v>
      </c>
      <c r="E71" s="717"/>
      <c r="F71" s="53"/>
      <c r="G71" s="49"/>
      <c r="H71" s="50"/>
      <c r="I71" s="44"/>
      <c r="J71" s="45"/>
      <c r="K71" s="46"/>
      <c r="L71" s="35"/>
      <c r="N71" s="57"/>
      <c r="O71" s="53"/>
      <c r="P71" s="49"/>
      <c r="Q71" s="47">
        <f>ROUND((_11_A身体４．５*(1+_11・A深夜)),0)</f>
        <v>1623</v>
      </c>
      <c r="R71" s="48"/>
    </row>
    <row r="72" spans="1:18" ht="16.5" customHeight="1" x14ac:dyDescent="0.15">
      <c r="A72" s="41">
        <v>11</v>
      </c>
      <c r="B72" s="41">
        <v>1284</v>
      </c>
      <c r="C72" s="74" t="s">
        <v>968</v>
      </c>
      <c r="D72" s="703"/>
      <c r="E72" s="718"/>
      <c r="F72" s="43"/>
      <c r="G72" s="37"/>
      <c r="H72" s="38"/>
      <c r="I72" s="44" t="s">
        <v>397</v>
      </c>
      <c r="J72" s="45" t="s">
        <v>398</v>
      </c>
      <c r="K72" s="46">
        <v>1</v>
      </c>
      <c r="L72" s="35"/>
      <c r="N72" s="57"/>
      <c r="O72" s="35"/>
      <c r="Q72" s="47">
        <f>ROUND((ROUND((_11_A身体４．５*_11・２人),0)*(1+_11・A深夜)),0)</f>
        <v>1623</v>
      </c>
      <c r="R72" s="48"/>
    </row>
    <row r="73" spans="1:18" ht="16.5" customHeight="1" x14ac:dyDescent="0.15">
      <c r="A73" s="41">
        <v>11</v>
      </c>
      <c r="B73" s="41">
        <v>1285</v>
      </c>
      <c r="C73" s="74" t="s">
        <v>969</v>
      </c>
      <c r="D73" s="703"/>
      <c r="E73" s="718"/>
      <c r="F73" s="725" t="s">
        <v>400</v>
      </c>
      <c r="G73" s="49" t="s">
        <v>398</v>
      </c>
      <c r="H73" s="50">
        <v>0.7</v>
      </c>
      <c r="I73" s="44"/>
      <c r="J73" s="45"/>
      <c r="K73" s="46"/>
      <c r="L73" s="35"/>
      <c r="N73" s="57"/>
      <c r="O73" s="35"/>
      <c r="Q73" s="47">
        <f>ROUND((ROUND((_11_A身体４．５*_11・基礎１),0)*(1+_11・A深夜)),0)</f>
        <v>1136</v>
      </c>
      <c r="R73" s="48"/>
    </row>
    <row r="74" spans="1:18" ht="16.5" customHeight="1" x14ac:dyDescent="0.15">
      <c r="A74" s="41">
        <v>11</v>
      </c>
      <c r="B74" s="41">
        <v>1286</v>
      </c>
      <c r="C74" s="74" t="s">
        <v>970</v>
      </c>
      <c r="D74" s="98">
        <f>_11_A身体４．５</f>
        <v>1082</v>
      </c>
      <c r="E74" s="12" t="s">
        <v>392</v>
      </c>
      <c r="F74" s="711"/>
      <c r="G74" s="37"/>
      <c r="H74" s="38"/>
      <c r="I74" s="44" t="s">
        <v>397</v>
      </c>
      <c r="J74" s="45" t="s">
        <v>398</v>
      </c>
      <c r="K74" s="46">
        <v>1</v>
      </c>
      <c r="L74" s="35"/>
      <c r="N74" s="57"/>
      <c r="O74" s="43"/>
      <c r="P74" s="37"/>
      <c r="Q74" s="47">
        <f>ROUND((ROUND((ROUND((_11_A身体４．５*_11・基礎１),0)*_11・２人),0)*(1+_11・A深夜)),0)</f>
        <v>1136</v>
      </c>
      <c r="R74" s="48"/>
    </row>
    <row r="75" spans="1:18" ht="16.5" customHeight="1" x14ac:dyDescent="0.15">
      <c r="A75" s="41">
        <v>11</v>
      </c>
      <c r="B75" s="41" t="s">
        <v>971</v>
      </c>
      <c r="C75" s="74" t="s">
        <v>972</v>
      </c>
      <c r="D75" s="66"/>
      <c r="F75" s="53"/>
      <c r="G75" s="49"/>
      <c r="H75" s="50"/>
      <c r="I75" s="44"/>
      <c r="J75" s="45"/>
      <c r="K75" s="46"/>
      <c r="L75" s="35"/>
      <c r="N75" s="57"/>
      <c r="O75" s="707" t="s">
        <v>404</v>
      </c>
      <c r="P75" s="708"/>
      <c r="Q75" s="47">
        <f>ROUND((ROUND((_11_A身体４．５*(1+_11・A深夜)),0)*_11・初任),0)</f>
        <v>1136</v>
      </c>
      <c r="R75" s="48"/>
    </row>
    <row r="76" spans="1:18" ht="16.5" customHeight="1" x14ac:dyDescent="0.15">
      <c r="A76" s="41">
        <v>11</v>
      </c>
      <c r="B76" s="41" t="s">
        <v>973</v>
      </c>
      <c r="C76" s="74" t="s">
        <v>974</v>
      </c>
      <c r="D76" s="66"/>
      <c r="F76" s="43"/>
      <c r="G76" s="37"/>
      <c r="H76" s="38"/>
      <c r="I76" s="44" t="s">
        <v>397</v>
      </c>
      <c r="J76" s="45" t="s">
        <v>398</v>
      </c>
      <c r="K76" s="46">
        <v>1</v>
      </c>
      <c r="L76" s="35"/>
      <c r="N76" s="57"/>
      <c r="O76" s="709"/>
      <c r="P76" s="704"/>
      <c r="Q76" s="47">
        <f>ROUND((ROUND((ROUND((_11_A身体４．５*_11・２人),0)*(1+_11・A深夜)),0)*_11・初任),0)</f>
        <v>1136</v>
      </c>
      <c r="R76" s="48"/>
    </row>
    <row r="77" spans="1:18" ht="16.5" customHeight="1" x14ac:dyDescent="0.15">
      <c r="A77" s="41">
        <v>11</v>
      </c>
      <c r="B77" s="41" t="s">
        <v>975</v>
      </c>
      <c r="C77" s="74" t="s">
        <v>976</v>
      </c>
      <c r="D77" s="69"/>
      <c r="F77" s="725" t="s">
        <v>400</v>
      </c>
      <c r="G77" s="49" t="s">
        <v>398</v>
      </c>
      <c r="H77" s="50">
        <v>0.7</v>
      </c>
      <c r="I77" s="44"/>
      <c r="J77" s="45"/>
      <c r="K77" s="46"/>
      <c r="L77" s="35"/>
      <c r="N77" s="57"/>
      <c r="O77" s="709"/>
      <c r="P77" s="704"/>
      <c r="Q77" s="47">
        <f>ROUND((ROUND((ROUND((_11_A身体４．５*_11・基礎１),0)*(1+_11・A深夜)),0)*_11・初任),0)</f>
        <v>795</v>
      </c>
      <c r="R77" s="48"/>
    </row>
    <row r="78" spans="1:18" ht="16.5" customHeight="1" x14ac:dyDescent="0.15">
      <c r="A78" s="41">
        <v>11</v>
      </c>
      <c r="B78" s="41" t="s">
        <v>977</v>
      </c>
      <c r="C78" s="74" t="s">
        <v>978</v>
      </c>
      <c r="D78" s="70"/>
      <c r="E78" s="37"/>
      <c r="F78" s="711"/>
      <c r="G78" s="37"/>
      <c r="H78" s="38"/>
      <c r="I78" s="44" t="s">
        <v>397</v>
      </c>
      <c r="J78" s="45" t="s">
        <v>398</v>
      </c>
      <c r="K78" s="46">
        <v>1</v>
      </c>
      <c r="L78" s="43"/>
      <c r="M78" s="38"/>
      <c r="N78" s="79"/>
      <c r="O78" s="55" t="s">
        <v>398</v>
      </c>
      <c r="P78" s="38">
        <f>_11・初任</f>
        <v>0.7</v>
      </c>
      <c r="Q78" s="47">
        <f>ROUND((ROUND((ROUND((ROUND((_11_A身体４．５*_11・基礎１),0)*_11・２人),0)*(1+_11・A深夜)),0)*_11・初任),0)</f>
        <v>795</v>
      </c>
      <c r="R78" s="63"/>
    </row>
    <row r="79" spans="1:18" ht="16.5" customHeight="1" x14ac:dyDescent="0.15">
      <c r="A79" s="33">
        <v>11</v>
      </c>
      <c r="B79" s="33">
        <v>1287</v>
      </c>
      <c r="C79" s="34" t="s">
        <v>979</v>
      </c>
      <c r="D79" s="703" t="s">
        <v>980</v>
      </c>
      <c r="E79" s="718"/>
      <c r="F79" s="35"/>
      <c r="I79" s="36"/>
      <c r="J79" s="37"/>
      <c r="K79" s="38"/>
      <c r="L79" s="72" t="s">
        <v>862</v>
      </c>
      <c r="N79" s="57"/>
      <c r="O79" s="35"/>
      <c r="Q79" s="39">
        <f>ROUND((_11_A身体５．０*(1+_11・A深夜)),0)</f>
        <v>1748</v>
      </c>
      <c r="R79" s="48"/>
    </row>
    <row r="80" spans="1:18" ht="16.5" customHeight="1" x14ac:dyDescent="0.15">
      <c r="A80" s="41">
        <v>11</v>
      </c>
      <c r="B80" s="41">
        <v>1288</v>
      </c>
      <c r="C80" s="74" t="s">
        <v>981</v>
      </c>
      <c r="D80" s="703"/>
      <c r="E80" s="718"/>
      <c r="F80" s="43"/>
      <c r="G80" s="37"/>
      <c r="H80" s="38"/>
      <c r="I80" s="44" t="s">
        <v>397</v>
      </c>
      <c r="J80" s="45" t="s">
        <v>398</v>
      </c>
      <c r="K80" s="46">
        <v>1</v>
      </c>
      <c r="L80" s="35" t="s">
        <v>398</v>
      </c>
      <c r="M80" s="13">
        <v>0.5</v>
      </c>
      <c r="N80" s="721" t="s">
        <v>676</v>
      </c>
      <c r="O80" s="35"/>
      <c r="Q80" s="47">
        <f>ROUND((ROUND((_11_A身体５．０*_11・２人),0)*(1+_11・A深夜)),0)</f>
        <v>1748</v>
      </c>
      <c r="R80" s="48"/>
    </row>
    <row r="81" spans="1:18" ht="16.5" customHeight="1" x14ac:dyDescent="0.15">
      <c r="A81" s="41">
        <v>11</v>
      </c>
      <c r="B81" s="41">
        <v>1289</v>
      </c>
      <c r="C81" s="74" t="s">
        <v>982</v>
      </c>
      <c r="D81" s="703"/>
      <c r="E81" s="718"/>
      <c r="F81" s="725" t="s">
        <v>400</v>
      </c>
      <c r="G81" s="49" t="s">
        <v>398</v>
      </c>
      <c r="H81" s="50">
        <v>0.7</v>
      </c>
      <c r="I81" s="44"/>
      <c r="J81" s="45"/>
      <c r="K81" s="46"/>
      <c r="L81" s="35"/>
      <c r="N81" s="721"/>
      <c r="O81" s="35"/>
      <c r="Q81" s="47">
        <f>ROUND((ROUND((_11_A身体５．０*_11・基礎１),0)*(1+_11・A深夜)),0)</f>
        <v>1224</v>
      </c>
      <c r="R81" s="48"/>
    </row>
    <row r="82" spans="1:18" ht="16.5" customHeight="1" x14ac:dyDescent="0.15">
      <c r="A82" s="41">
        <v>11</v>
      </c>
      <c r="B82" s="41">
        <v>1290</v>
      </c>
      <c r="C82" s="74" t="s">
        <v>983</v>
      </c>
      <c r="D82" s="98">
        <f>_11_A身体５．０</f>
        <v>1165</v>
      </c>
      <c r="E82" s="12" t="s">
        <v>392</v>
      </c>
      <c r="F82" s="711"/>
      <c r="G82" s="37"/>
      <c r="H82" s="38"/>
      <c r="I82" s="44" t="s">
        <v>397</v>
      </c>
      <c r="J82" s="45" t="s">
        <v>398</v>
      </c>
      <c r="K82" s="46">
        <v>1</v>
      </c>
      <c r="L82" s="35"/>
      <c r="N82" s="57"/>
      <c r="O82" s="43"/>
      <c r="P82" s="37"/>
      <c r="Q82" s="47">
        <f>ROUND((ROUND((ROUND((_11_A身体５．０*_11・基礎１),0)*_11・２人),0)*(1+_11・A深夜)),0)</f>
        <v>1224</v>
      </c>
      <c r="R82" s="48"/>
    </row>
    <row r="83" spans="1:18" ht="16.5" customHeight="1" x14ac:dyDescent="0.15">
      <c r="A83" s="41">
        <v>11</v>
      </c>
      <c r="B83" s="41" t="s">
        <v>984</v>
      </c>
      <c r="C83" s="74" t="s">
        <v>985</v>
      </c>
      <c r="D83" s="66"/>
      <c r="F83" s="53"/>
      <c r="G83" s="49"/>
      <c r="H83" s="50"/>
      <c r="I83" s="44"/>
      <c r="J83" s="45"/>
      <c r="K83" s="46"/>
      <c r="L83" s="35"/>
      <c r="N83" s="57"/>
      <c r="O83" s="707" t="s">
        <v>404</v>
      </c>
      <c r="P83" s="708"/>
      <c r="Q83" s="47">
        <f>ROUND((ROUND((_11_A身体５．０*(1+_11・A深夜)),0)*_11・初任),0)</f>
        <v>1224</v>
      </c>
      <c r="R83" s="48"/>
    </row>
    <row r="84" spans="1:18" ht="16.5" customHeight="1" x14ac:dyDescent="0.15">
      <c r="A84" s="41">
        <v>11</v>
      </c>
      <c r="B84" s="41" t="s">
        <v>986</v>
      </c>
      <c r="C84" s="74" t="s">
        <v>987</v>
      </c>
      <c r="D84" s="66"/>
      <c r="F84" s="43"/>
      <c r="G84" s="37"/>
      <c r="H84" s="38"/>
      <c r="I84" s="44" t="s">
        <v>397</v>
      </c>
      <c r="J84" s="45" t="s">
        <v>398</v>
      </c>
      <c r="K84" s="46">
        <v>1</v>
      </c>
      <c r="L84" s="35"/>
      <c r="N84" s="57"/>
      <c r="O84" s="709"/>
      <c r="P84" s="704"/>
      <c r="Q84" s="47">
        <f>ROUND((ROUND((ROUND((_11_A身体５．０*_11・２人),0)*(1+_11・A深夜)),0)*_11・初任),0)</f>
        <v>1224</v>
      </c>
      <c r="R84" s="48"/>
    </row>
    <row r="85" spans="1:18" ht="16.5" customHeight="1" x14ac:dyDescent="0.15">
      <c r="A85" s="41">
        <v>11</v>
      </c>
      <c r="B85" s="41" t="s">
        <v>988</v>
      </c>
      <c r="C85" s="74" t="s">
        <v>989</v>
      </c>
      <c r="D85" s="69"/>
      <c r="F85" s="725" t="s">
        <v>400</v>
      </c>
      <c r="G85" s="49" t="s">
        <v>398</v>
      </c>
      <c r="H85" s="50">
        <v>0.7</v>
      </c>
      <c r="I85" s="44"/>
      <c r="J85" s="45"/>
      <c r="K85" s="46"/>
      <c r="L85" s="35"/>
      <c r="N85" s="57"/>
      <c r="O85" s="709"/>
      <c r="P85" s="704"/>
      <c r="Q85" s="47">
        <f>ROUND((ROUND((ROUND((_11_A身体５．０*_11・基礎１),0)*(1+_11・A深夜)),0)*_11・初任),0)</f>
        <v>857</v>
      </c>
      <c r="R85" s="48"/>
    </row>
    <row r="86" spans="1:18" ht="16.5" customHeight="1" x14ac:dyDescent="0.15">
      <c r="A86" s="41">
        <v>11</v>
      </c>
      <c r="B86" s="41" t="s">
        <v>990</v>
      </c>
      <c r="C86" s="74" t="s">
        <v>991</v>
      </c>
      <c r="D86" s="69"/>
      <c r="F86" s="711"/>
      <c r="G86" s="37"/>
      <c r="H86" s="38"/>
      <c r="I86" s="44" t="s">
        <v>397</v>
      </c>
      <c r="J86" s="45" t="s">
        <v>398</v>
      </c>
      <c r="K86" s="46">
        <v>1</v>
      </c>
      <c r="L86" s="35"/>
      <c r="N86" s="57"/>
      <c r="O86" s="55" t="s">
        <v>398</v>
      </c>
      <c r="P86" s="38">
        <f>_11・初任</f>
        <v>0.7</v>
      </c>
      <c r="Q86" s="47">
        <f>ROUND((ROUND((ROUND((ROUND((_11_A身体５．０*_11・基礎１),0)*_11・２人),0)*(1+_11・A深夜)),0)*_11・初任),0)</f>
        <v>857</v>
      </c>
      <c r="R86" s="48"/>
    </row>
    <row r="87" spans="1:18" ht="16.5" customHeight="1" x14ac:dyDescent="0.15">
      <c r="A87" s="41">
        <v>11</v>
      </c>
      <c r="B87" s="41">
        <v>1291</v>
      </c>
      <c r="C87" s="74" t="s">
        <v>992</v>
      </c>
      <c r="D87" s="712" t="s">
        <v>993</v>
      </c>
      <c r="E87" s="717"/>
      <c r="F87" s="53"/>
      <c r="G87" s="49"/>
      <c r="H87" s="50"/>
      <c r="I87" s="44"/>
      <c r="J87" s="45"/>
      <c r="K87" s="46"/>
      <c r="L87" s="35"/>
      <c r="N87" s="57"/>
      <c r="O87" s="53"/>
      <c r="P87" s="49"/>
      <c r="Q87" s="47">
        <f>ROUND((_11_A身体５．５*(1+_11・A深夜)),0)</f>
        <v>1872</v>
      </c>
      <c r="R87" s="48"/>
    </row>
    <row r="88" spans="1:18" ht="16.5" customHeight="1" x14ac:dyDescent="0.15">
      <c r="A88" s="41">
        <v>11</v>
      </c>
      <c r="B88" s="41">
        <v>1292</v>
      </c>
      <c r="C88" s="74" t="s">
        <v>994</v>
      </c>
      <c r="D88" s="703"/>
      <c r="E88" s="718"/>
      <c r="F88" s="43"/>
      <c r="G88" s="37"/>
      <c r="H88" s="38"/>
      <c r="I88" s="44" t="s">
        <v>397</v>
      </c>
      <c r="J88" s="45" t="s">
        <v>398</v>
      </c>
      <c r="K88" s="46">
        <v>1</v>
      </c>
      <c r="L88" s="35"/>
      <c r="N88" s="57"/>
      <c r="O88" s="35"/>
      <c r="Q88" s="47">
        <f>ROUND((ROUND((_11_A身体５．５*_11・２人),0)*(1+_11・A深夜)),0)</f>
        <v>1872</v>
      </c>
      <c r="R88" s="48"/>
    </row>
    <row r="89" spans="1:18" ht="16.5" customHeight="1" x14ac:dyDescent="0.15">
      <c r="A89" s="41">
        <v>11</v>
      </c>
      <c r="B89" s="41">
        <v>1293</v>
      </c>
      <c r="C89" s="74" t="s">
        <v>995</v>
      </c>
      <c r="D89" s="703"/>
      <c r="E89" s="718"/>
      <c r="F89" s="725" t="s">
        <v>400</v>
      </c>
      <c r="G89" s="49" t="s">
        <v>398</v>
      </c>
      <c r="H89" s="50">
        <v>0.7</v>
      </c>
      <c r="I89" s="44"/>
      <c r="J89" s="45"/>
      <c r="K89" s="46"/>
      <c r="L89" s="35"/>
      <c r="N89" s="57"/>
      <c r="O89" s="35"/>
      <c r="Q89" s="47">
        <f>ROUND((ROUND((_11_A身体５．５*_11・基礎１),0)*(1+_11・A深夜)),0)</f>
        <v>1311</v>
      </c>
      <c r="R89" s="48"/>
    </row>
    <row r="90" spans="1:18" ht="16.5" customHeight="1" x14ac:dyDescent="0.15">
      <c r="A90" s="41">
        <v>11</v>
      </c>
      <c r="B90" s="41">
        <v>1294</v>
      </c>
      <c r="C90" s="74" t="s">
        <v>996</v>
      </c>
      <c r="D90" s="98">
        <f>_11_A身体５．５</f>
        <v>1248</v>
      </c>
      <c r="E90" s="12" t="s">
        <v>392</v>
      </c>
      <c r="F90" s="711"/>
      <c r="G90" s="37"/>
      <c r="H90" s="38"/>
      <c r="I90" s="44" t="s">
        <v>397</v>
      </c>
      <c r="J90" s="45" t="s">
        <v>398</v>
      </c>
      <c r="K90" s="46">
        <v>1</v>
      </c>
      <c r="L90" s="35"/>
      <c r="N90" s="57"/>
      <c r="O90" s="43"/>
      <c r="P90" s="37"/>
      <c r="Q90" s="47">
        <f>ROUND((ROUND((ROUND((_11_A身体５．５*_11・基礎１),0)*_11・２人),0)*(1+_11・A深夜)),0)</f>
        <v>1311</v>
      </c>
      <c r="R90" s="48"/>
    </row>
    <row r="91" spans="1:18" ht="16.5" customHeight="1" x14ac:dyDescent="0.15">
      <c r="A91" s="41">
        <v>11</v>
      </c>
      <c r="B91" s="41" t="s">
        <v>997</v>
      </c>
      <c r="C91" s="74" t="s">
        <v>998</v>
      </c>
      <c r="D91" s="66"/>
      <c r="F91" s="53"/>
      <c r="G91" s="49"/>
      <c r="H91" s="50"/>
      <c r="I91" s="44"/>
      <c r="J91" s="45"/>
      <c r="K91" s="46"/>
      <c r="L91" s="35"/>
      <c r="N91" s="57"/>
      <c r="O91" s="707" t="s">
        <v>404</v>
      </c>
      <c r="P91" s="708"/>
      <c r="Q91" s="47">
        <f>ROUND((ROUND((_11_A身体５．５*(1+_11・A深夜)),0)*_11・初任),0)</f>
        <v>1310</v>
      </c>
      <c r="R91" s="48"/>
    </row>
    <row r="92" spans="1:18" ht="16.5" customHeight="1" x14ac:dyDescent="0.15">
      <c r="A92" s="41">
        <v>11</v>
      </c>
      <c r="B92" s="41" t="s">
        <v>999</v>
      </c>
      <c r="C92" s="74" t="s">
        <v>1000</v>
      </c>
      <c r="D92" s="66"/>
      <c r="F92" s="43"/>
      <c r="G92" s="37"/>
      <c r="H92" s="38"/>
      <c r="I92" s="44" t="s">
        <v>397</v>
      </c>
      <c r="J92" s="45" t="s">
        <v>398</v>
      </c>
      <c r="K92" s="46">
        <v>1</v>
      </c>
      <c r="L92" s="35"/>
      <c r="N92" s="57"/>
      <c r="O92" s="709"/>
      <c r="P92" s="704"/>
      <c r="Q92" s="47">
        <f>ROUND((ROUND((ROUND((_11_A身体５．５*_11・２人),0)*(1+_11・A深夜)),0)*_11・初任),0)</f>
        <v>1310</v>
      </c>
      <c r="R92" s="48"/>
    </row>
    <row r="93" spans="1:18" ht="16.5" customHeight="1" x14ac:dyDescent="0.15">
      <c r="A93" s="41">
        <v>11</v>
      </c>
      <c r="B93" s="41" t="s">
        <v>1001</v>
      </c>
      <c r="C93" s="74" t="s">
        <v>1002</v>
      </c>
      <c r="D93" s="69"/>
      <c r="F93" s="725" t="s">
        <v>400</v>
      </c>
      <c r="G93" s="49" t="s">
        <v>398</v>
      </c>
      <c r="H93" s="50">
        <v>0.7</v>
      </c>
      <c r="I93" s="44"/>
      <c r="J93" s="45"/>
      <c r="K93" s="46"/>
      <c r="L93" s="35"/>
      <c r="N93" s="57"/>
      <c r="O93" s="709"/>
      <c r="P93" s="704"/>
      <c r="Q93" s="47">
        <f>ROUND((ROUND((ROUND((_11_A身体５．５*_11・基礎１),0)*(1+_11・A深夜)),0)*_11・初任),0)</f>
        <v>918</v>
      </c>
      <c r="R93" s="48"/>
    </row>
    <row r="94" spans="1:18" ht="16.5" customHeight="1" x14ac:dyDescent="0.15">
      <c r="A94" s="41">
        <v>11</v>
      </c>
      <c r="B94" s="41" t="s">
        <v>1003</v>
      </c>
      <c r="C94" s="74" t="s">
        <v>1004</v>
      </c>
      <c r="D94" s="69"/>
      <c r="F94" s="711"/>
      <c r="G94" s="37"/>
      <c r="H94" s="38"/>
      <c r="I94" s="44" t="s">
        <v>397</v>
      </c>
      <c r="J94" s="45" t="s">
        <v>398</v>
      </c>
      <c r="K94" s="46">
        <v>1</v>
      </c>
      <c r="L94" s="35"/>
      <c r="N94" s="57"/>
      <c r="O94" s="55" t="s">
        <v>398</v>
      </c>
      <c r="P94" s="38">
        <f>_11・初任</f>
        <v>0.7</v>
      </c>
      <c r="Q94" s="47">
        <f>ROUND((ROUND((ROUND((ROUND((_11_A身体５．５*_11・基礎１),0)*_11・２人),0)*(1+_11・A深夜)),0)*_11・初任),0)</f>
        <v>918</v>
      </c>
      <c r="R94" s="48"/>
    </row>
    <row r="95" spans="1:18" ht="16.5" customHeight="1" x14ac:dyDescent="0.15">
      <c r="A95" s="41">
        <v>11</v>
      </c>
      <c r="B95" s="41">
        <v>1295</v>
      </c>
      <c r="C95" s="74" t="s">
        <v>1005</v>
      </c>
      <c r="D95" s="712" t="s">
        <v>1006</v>
      </c>
      <c r="E95" s="717"/>
      <c r="F95" s="53"/>
      <c r="G95" s="49"/>
      <c r="H95" s="50"/>
      <c r="I95" s="44"/>
      <c r="J95" s="45"/>
      <c r="K95" s="46"/>
      <c r="L95" s="35"/>
      <c r="N95" s="57"/>
      <c r="O95" s="53"/>
      <c r="P95" s="49"/>
      <c r="Q95" s="47">
        <f>ROUND((_11_A身体６．０*(1+_11・A深夜)),0)</f>
        <v>1997</v>
      </c>
      <c r="R95" s="48"/>
    </row>
    <row r="96" spans="1:18" ht="16.5" customHeight="1" x14ac:dyDescent="0.15">
      <c r="A96" s="41">
        <v>11</v>
      </c>
      <c r="B96" s="41">
        <v>1296</v>
      </c>
      <c r="C96" s="74" t="s">
        <v>1007</v>
      </c>
      <c r="D96" s="703"/>
      <c r="E96" s="718"/>
      <c r="F96" s="43"/>
      <c r="G96" s="37"/>
      <c r="H96" s="38"/>
      <c r="I96" s="44" t="s">
        <v>397</v>
      </c>
      <c r="J96" s="45" t="s">
        <v>398</v>
      </c>
      <c r="K96" s="46">
        <v>1</v>
      </c>
      <c r="L96" s="35"/>
      <c r="N96" s="57"/>
      <c r="O96" s="35"/>
      <c r="Q96" s="47">
        <f>ROUND((ROUND((_11_A身体６．０*_11・２人),0)*(1+_11・A深夜)),0)</f>
        <v>1997</v>
      </c>
      <c r="R96" s="48"/>
    </row>
    <row r="97" spans="1:18" ht="16.5" customHeight="1" x14ac:dyDescent="0.15">
      <c r="A97" s="41">
        <v>11</v>
      </c>
      <c r="B97" s="41">
        <v>1297</v>
      </c>
      <c r="C97" s="74" t="s">
        <v>1008</v>
      </c>
      <c r="D97" s="703"/>
      <c r="E97" s="718"/>
      <c r="F97" s="725" t="s">
        <v>400</v>
      </c>
      <c r="G97" s="49" t="s">
        <v>398</v>
      </c>
      <c r="H97" s="50">
        <v>0.7</v>
      </c>
      <c r="I97" s="44"/>
      <c r="J97" s="45"/>
      <c r="K97" s="46"/>
      <c r="L97" s="35"/>
      <c r="N97" s="57"/>
      <c r="O97" s="35"/>
      <c r="Q97" s="47">
        <f>ROUND((ROUND((_11_A身体６．０*_11・基礎１),0)*(1+_11・A深夜)),0)</f>
        <v>1398</v>
      </c>
      <c r="R97" s="48"/>
    </row>
    <row r="98" spans="1:18" ht="16.5" customHeight="1" x14ac:dyDescent="0.15">
      <c r="A98" s="41">
        <v>11</v>
      </c>
      <c r="B98" s="41">
        <v>1298</v>
      </c>
      <c r="C98" s="74" t="s">
        <v>1009</v>
      </c>
      <c r="D98" s="98">
        <f>_11_A身体６．０</f>
        <v>1331</v>
      </c>
      <c r="E98" s="12" t="s">
        <v>392</v>
      </c>
      <c r="F98" s="711"/>
      <c r="G98" s="37"/>
      <c r="H98" s="38"/>
      <c r="I98" s="44" t="s">
        <v>397</v>
      </c>
      <c r="J98" s="45" t="s">
        <v>398</v>
      </c>
      <c r="K98" s="46">
        <v>1</v>
      </c>
      <c r="L98" s="35"/>
      <c r="N98" s="57"/>
      <c r="O98" s="43"/>
      <c r="P98" s="37"/>
      <c r="Q98" s="47">
        <f>ROUND((ROUND((ROUND((_11_A身体６．０*_11・基礎１),0)*_11・２人),0)*(1+_11・A深夜)),0)</f>
        <v>1398</v>
      </c>
      <c r="R98" s="48"/>
    </row>
    <row r="99" spans="1:18" ht="16.5" customHeight="1" x14ac:dyDescent="0.15">
      <c r="A99" s="41">
        <v>11</v>
      </c>
      <c r="B99" s="41" t="s">
        <v>1010</v>
      </c>
      <c r="C99" s="74" t="s">
        <v>1011</v>
      </c>
      <c r="D99" s="66"/>
      <c r="F99" s="53"/>
      <c r="G99" s="49"/>
      <c r="H99" s="50"/>
      <c r="I99" s="44"/>
      <c r="J99" s="45"/>
      <c r="K99" s="46"/>
      <c r="L99" s="35"/>
      <c r="N99" s="57"/>
      <c r="O99" s="707" t="s">
        <v>404</v>
      </c>
      <c r="P99" s="708"/>
      <c r="Q99" s="47">
        <f>ROUND((ROUND((_11_A身体６．０*(1+_11・A深夜)),0)*_11・初任),0)</f>
        <v>1398</v>
      </c>
      <c r="R99" s="48"/>
    </row>
    <row r="100" spans="1:18" ht="16.5" customHeight="1" x14ac:dyDescent="0.15">
      <c r="A100" s="41">
        <v>11</v>
      </c>
      <c r="B100" s="41" t="s">
        <v>1012</v>
      </c>
      <c r="C100" s="74" t="s">
        <v>1013</v>
      </c>
      <c r="D100" s="66"/>
      <c r="F100" s="43"/>
      <c r="G100" s="37"/>
      <c r="H100" s="38"/>
      <c r="I100" s="44" t="s">
        <v>397</v>
      </c>
      <c r="J100" s="45" t="s">
        <v>398</v>
      </c>
      <c r="K100" s="46">
        <v>1</v>
      </c>
      <c r="L100" s="35"/>
      <c r="N100" s="57"/>
      <c r="O100" s="709"/>
      <c r="P100" s="704"/>
      <c r="Q100" s="47">
        <f>ROUND((ROUND((ROUND((_11_A身体６．０*_11・２人),0)*(1+_11・A深夜)),0)*_11・初任),0)</f>
        <v>1398</v>
      </c>
      <c r="R100" s="48"/>
    </row>
    <row r="101" spans="1:18" ht="16.5" customHeight="1" x14ac:dyDescent="0.15">
      <c r="A101" s="41">
        <v>11</v>
      </c>
      <c r="B101" s="41" t="s">
        <v>1014</v>
      </c>
      <c r="C101" s="74" t="s">
        <v>1015</v>
      </c>
      <c r="D101" s="69"/>
      <c r="F101" s="725" t="s">
        <v>400</v>
      </c>
      <c r="G101" s="49" t="s">
        <v>398</v>
      </c>
      <c r="H101" s="50">
        <v>0.7</v>
      </c>
      <c r="I101" s="44"/>
      <c r="J101" s="45"/>
      <c r="K101" s="46"/>
      <c r="L101" s="35"/>
      <c r="N101" s="57"/>
      <c r="O101" s="709"/>
      <c r="P101" s="704"/>
      <c r="Q101" s="47">
        <f>ROUND((ROUND((ROUND((_11_A身体６．０*_11・基礎１),0)*(1+_11・A深夜)),0)*_11・初任),0)</f>
        <v>979</v>
      </c>
      <c r="R101" s="48"/>
    </row>
    <row r="102" spans="1:18" ht="16.5" customHeight="1" x14ac:dyDescent="0.15">
      <c r="A102" s="41">
        <v>11</v>
      </c>
      <c r="B102" s="41" t="s">
        <v>1016</v>
      </c>
      <c r="C102" s="74" t="s">
        <v>1017</v>
      </c>
      <c r="D102" s="69"/>
      <c r="F102" s="711"/>
      <c r="G102" s="37"/>
      <c r="H102" s="38"/>
      <c r="I102" s="44" t="s">
        <v>397</v>
      </c>
      <c r="J102" s="45" t="s">
        <v>398</v>
      </c>
      <c r="K102" s="46">
        <v>1</v>
      </c>
      <c r="L102" s="35"/>
      <c r="N102" s="57"/>
      <c r="O102" s="55" t="s">
        <v>398</v>
      </c>
      <c r="P102" s="38">
        <f>_11・初任</f>
        <v>0.7</v>
      </c>
      <c r="Q102" s="47">
        <f>ROUND((ROUND((ROUND((ROUND((_11_A身体６．０*_11・基礎１),0)*_11・２人),0)*(1+_11・A深夜)),0)*_11・初任),0)</f>
        <v>979</v>
      </c>
      <c r="R102" s="48"/>
    </row>
    <row r="103" spans="1:18" ht="16.5" customHeight="1" x14ac:dyDescent="0.15">
      <c r="A103" s="41">
        <v>11</v>
      </c>
      <c r="B103" s="41">
        <v>1299</v>
      </c>
      <c r="C103" s="74" t="s">
        <v>1018</v>
      </c>
      <c r="D103" s="712" t="s">
        <v>1019</v>
      </c>
      <c r="E103" s="717"/>
      <c r="F103" s="53"/>
      <c r="G103" s="49"/>
      <c r="H103" s="50"/>
      <c r="I103" s="44"/>
      <c r="J103" s="45"/>
      <c r="K103" s="46"/>
      <c r="L103" s="35"/>
      <c r="N103" s="57"/>
      <c r="O103" s="53"/>
      <c r="P103" s="49"/>
      <c r="Q103" s="47">
        <f>ROUND((_11_A身体６．５*(1+_11・A深夜)),0)</f>
        <v>2121</v>
      </c>
      <c r="R103" s="48"/>
    </row>
    <row r="104" spans="1:18" ht="16.5" customHeight="1" x14ac:dyDescent="0.15">
      <c r="A104" s="41">
        <v>11</v>
      </c>
      <c r="B104" s="41">
        <v>1300</v>
      </c>
      <c r="C104" s="74" t="s">
        <v>1020</v>
      </c>
      <c r="D104" s="703"/>
      <c r="E104" s="718"/>
      <c r="F104" s="43"/>
      <c r="G104" s="37"/>
      <c r="H104" s="38"/>
      <c r="I104" s="44" t="s">
        <v>397</v>
      </c>
      <c r="J104" s="45" t="s">
        <v>398</v>
      </c>
      <c r="K104" s="46">
        <v>1</v>
      </c>
      <c r="L104" s="35"/>
      <c r="N104" s="57"/>
      <c r="O104" s="35"/>
      <c r="Q104" s="47">
        <f>ROUND((ROUND((_11_A身体６．５*_11・２人),0)*(1+_11・A深夜)),0)</f>
        <v>2121</v>
      </c>
      <c r="R104" s="48"/>
    </row>
    <row r="105" spans="1:18" ht="16.5" customHeight="1" x14ac:dyDescent="0.15">
      <c r="A105" s="41">
        <v>11</v>
      </c>
      <c r="B105" s="41">
        <v>1301</v>
      </c>
      <c r="C105" s="74" t="s">
        <v>1021</v>
      </c>
      <c r="D105" s="703"/>
      <c r="E105" s="718"/>
      <c r="F105" s="725" t="s">
        <v>400</v>
      </c>
      <c r="G105" s="49" t="s">
        <v>398</v>
      </c>
      <c r="H105" s="50">
        <v>0.7</v>
      </c>
      <c r="I105" s="44"/>
      <c r="J105" s="45"/>
      <c r="K105" s="46"/>
      <c r="L105" s="35"/>
      <c r="N105" s="57"/>
      <c r="O105" s="35"/>
      <c r="Q105" s="47">
        <f>ROUND((ROUND((_11_A身体６．５*_11・基礎１),0)*(1+_11・A深夜)),0)</f>
        <v>1485</v>
      </c>
      <c r="R105" s="48"/>
    </row>
    <row r="106" spans="1:18" ht="16.5" customHeight="1" x14ac:dyDescent="0.15">
      <c r="A106" s="41">
        <v>11</v>
      </c>
      <c r="B106" s="41">
        <v>1302</v>
      </c>
      <c r="C106" s="74" t="s">
        <v>1022</v>
      </c>
      <c r="D106" s="98">
        <f>_11_A身体６．５</f>
        <v>1414</v>
      </c>
      <c r="E106" s="99" t="s">
        <v>392</v>
      </c>
      <c r="F106" s="711"/>
      <c r="G106" s="37"/>
      <c r="H106" s="38"/>
      <c r="I106" s="44" t="s">
        <v>397</v>
      </c>
      <c r="J106" s="45" t="s">
        <v>398</v>
      </c>
      <c r="K106" s="46">
        <v>1</v>
      </c>
      <c r="L106" s="35"/>
      <c r="N106" s="57"/>
      <c r="O106" s="43"/>
      <c r="P106" s="37"/>
      <c r="Q106" s="47">
        <f>ROUND((ROUND((ROUND((_11_A身体６．５*_11・基礎１),0)*_11・２人),0)*(1+_11・A深夜)),0)</f>
        <v>1485</v>
      </c>
      <c r="R106" s="48"/>
    </row>
    <row r="107" spans="1:18" ht="16.5" customHeight="1" x14ac:dyDescent="0.15">
      <c r="A107" s="41">
        <v>11</v>
      </c>
      <c r="B107" s="41" t="s">
        <v>1023</v>
      </c>
      <c r="C107" s="74" t="s">
        <v>1024</v>
      </c>
      <c r="D107" s="66"/>
      <c r="F107" s="53"/>
      <c r="G107" s="49"/>
      <c r="H107" s="50"/>
      <c r="I107" s="44"/>
      <c r="J107" s="45"/>
      <c r="K107" s="46"/>
      <c r="L107" s="35"/>
      <c r="N107" s="57"/>
      <c r="O107" s="707" t="s">
        <v>404</v>
      </c>
      <c r="P107" s="708"/>
      <c r="Q107" s="47">
        <f>ROUND((ROUND((_11_A身体６．５*(1+_11・A深夜)),0)*_11・初任),0)</f>
        <v>1485</v>
      </c>
      <c r="R107" s="48"/>
    </row>
    <row r="108" spans="1:18" ht="16.5" customHeight="1" x14ac:dyDescent="0.15">
      <c r="A108" s="41">
        <v>11</v>
      </c>
      <c r="B108" s="41" t="s">
        <v>1025</v>
      </c>
      <c r="C108" s="74" t="s">
        <v>1026</v>
      </c>
      <c r="D108" s="66"/>
      <c r="F108" s="43"/>
      <c r="G108" s="37"/>
      <c r="H108" s="38"/>
      <c r="I108" s="44" t="s">
        <v>397</v>
      </c>
      <c r="J108" s="45" t="s">
        <v>398</v>
      </c>
      <c r="K108" s="46">
        <v>1</v>
      </c>
      <c r="L108" s="35"/>
      <c r="N108" s="57"/>
      <c r="O108" s="709"/>
      <c r="P108" s="704"/>
      <c r="Q108" s="47">
        <f>ROUND((ROUND((ROUND((_11_A身体６．５*_11・２人),0)*(1+_11・A深夜)),0)*_11・初任),0)</f>
        <v>1485</v>
      </c>
      <c r="R108" s="48"/>
    </row>
    <row r="109" spans="1:18" ht="16.5" customHeight="1" x14ac:dyDescent="0.15">
      <c r="A109" s="41">
        <v>11</v>
      </c>
      <c r="B109" s="41" t="s">
        <v>1027</v>
      </c>
      <c r="C109" s="74" t="s">
        <v>1028</v>
      </c>
      <c r="D109" s="69"/>
      <c r="F109" s="725" t="s">
        <v>400</v>
      </c>
      <c r="G109" s="49" t="s">
        <v>398</v>
      </c>
      <c r="H109" s="50">
        <v>0.7</v>
      </c>
      <c r="I109" s="44"/>
      <c r="J109" s="45"/>
      <c r="K109" s="46"/>
      <c r="L109" s="35"/>
      <c r="N109" s="57"/>
      <c r="O109" s="709"/>
      <c r="P109" s="704"/>
      <c r="Q109" s="47">
        <f>ROUND((ROUND((ROUND((_11_A身体６．５*_11・基礎１),0)*(1+_11・A深夜)),0)*_11・初任),0)</f>
        <v>1040</v>
      </c>
      <c r="R109" s="48"/>
    </row>
    <row r="110" spans="1:18" ht="16.5" customHeight="1" x14ac:dyDescent="0.15">
      <c r="A110" s="41">
        <v>11</v>
      </c>
      <c r="B110" s="41" t="s">
        <v>1029</v>
      </c>
      <c r="C110" s="74" t="s">
        <v>1030</v>
      </c>
      <c r="D110" s="70"/>
      <c r="E110" s="37"/>
      <c r="F110" s="711"/>
      <c r="G110" s="37"/>
      <c r="H110" s="38"/>
      <c r="I110" s="44" t="s">
        <v>397</v>
      </c>
      <c r="J110" s="45" t="s">
        <v>398</v>
      </c>
      <c r="K110" s="46">
        <v>1</v>
      </c>
      <c r="L110" s="43"/>
      <c r="M110" s="38"/>
      <c r="N110" s="79"/>
      <c r="O110" s="55" t="s">
        <v>398</v>
      </c>
      <c r="P110" s="38">
        <f>_11・初任</f>
        <v>0.7</v>
      </c>
      <c r="Q110" s="47">
        <f>ROUND((ROUND((ROUND((ROUND((_11_A身体６．５*_11・基礎１),0)*_11・２人),0)*(1+_11・A深夜)),0)*_11・初任),0)</f>
        <v>1040</v>
      </c>
      <c r="R110" s="63"/>
    </row>
    <row r="111" spans="1:18" ht="16.5" customHeight="1" x14ac:dyDescent="0.15"/>
    <row r="112" spans="1:18" ht="16.5" customHeight="1" x14ac:dyDescent="0.15"/>
  </sheetData>
  <mergeCells count="55">
    <mergeCell ref="O99:P101"/>
    <mergeCell ref="F101:F102"/>
    <mergeCell ref="D103:E105"/>
    <mergeCell ref="F105:F106"/>
    <mergeCell ref="O107:P109"/>
    <mergeCell ref="F109:F110"/>
    <mergeCell ref="D87:E89"/>
    <mergeCell ref="F89:F90"/>
    <mergeCell ref="O91:P93"/>
    <mergeCell ref="F93:F94"/>
    <mergeCell ref="D95:E97"/>
    <mergeCell ref="F97:F98"/>
    <mergeCell ref="O83:P85"/>
    <mergeCell ref="F85:F86"/>
    <mergeCell ref="D63:E65"/>
    <mergeCell ref="F65:F66"/>
    <mergeCell ref="O67:P69"/>
    <mergeCell ref="F69:F70"/>
    <mergeCell ref="D71:E73"/>
    <mergeCell ref="F73:F74"/>
    <mergeCell ref="O75:P77"/>
    <mergeCell ref="F77:F78"/>
    <mergeCell ref="D79:E81"/>
    <mergeCell ref="N80:N81"/>
    <mergeCell ref="F81:F82"/>
    <mergeCell ref="O51:P53"/>
    <mergeCell ref="F53:F54"/>
    <mergeCell ref="D55:E57"/>
    <mergeCell ref="F57:F58"/>
    <mergeCell ref="O59:P61"/>
    <mergeCell ref="F61:F62"/>
    <mergeCell ref="D39:E41"/>
    <mergeCell ref="F41:F42"/>
    <mergeCell ref="O43:P45"/>
    <mergeCell ref="F45:F46"/>
    <mergeCell ref="D47:E49"/>
    <mergeCell ref="F49:F50"/>
    <mergeCell ref="O27:P29"/>
    <mergeCell ref="F29:F30"/>
    <mergeCell ref="D31:E33"/>
    <mergeCell ref="F33:F34"/>
    <mergeCell ref="O35:P37"/>
    <mergeCell ref="F37:F38"/>
    <mergeCell ref="D15:E17"/>
    <mergeCell ref="F17:F18"/>
    <mergeCell ref="O19:P21"/>
    <mergeCell ref="F21:F22"/>
    <mergeCell ref="D23:E25"/>
    <mergeCell ref="F25:F26"/>
    <mergeCell ref="D5:P5"/>
    <mergeCell ref="D7:E9"/>
    <mergeCell ref="N8:N9"/>
    <mergeCell ref="F9:F10"/>
    <mergeCell ref="O11:P13"/>
    <mergeCell ref="F13:F14"/>
  </mergeCells>
  <phoneticPr fontId="1"/>
  <printOptions horizontalCentered="1"/>
  <pageMargins left="0.70866141732283472" right="0.70866141732283472" top="0.74803149606299213" bottom="0.74803149606299213" header="0.31496062992125984" footer="0.31496062992125984"/>
  <pageSetup paperSize="9" scale="57" fitToHeight="0" orientation="portrait" r:id="rId1"/>
  <headerFooter>
    <oddHeader>&amp;R&amp;"ＭＳ Ｐゴシック"&amp;9居宅介護</oddHeader>
    <oddFooter>&amp;C&amp;"ＭＳ Ｐゴシック"&amp;14&amp;P</oddFooter>
  </headerFooter>
  <rowBreaks count="1" manualBreakCount="1">
    <brk id="78" max="17"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9">
    <pageSetUpPr fitToPage="1"/>
  </sheetPr>
  <dimension ref="A1:W89"/>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0" customWidth="1"/>
    <col min="5" max="5" width="4.875" style="12" customWidth="1"/>
    <col min="6" max="6" width="4.875" style="10" customWidth="1"/>
    <col min="7" max="7" width="4.875" style="12" customWidth="1"/>
    <col min="8" max="8" width="11.875" style="10" customWidth="1"/>
    <col min="9" max="9" width="2.5" style="16" customWidth="1"/>
    <col min="10" max="10" width="4.875" style="13" bestFit="1" customWidth="1"/>
    <col min="11" max="11" width="24.875" style="14" bestFit="1" customWidth="1"/>
    <col min="12" max="12" width="2.5" style="16" customWidth="1"/>
    <col min="13" max="13" width="5.875" style="13" bestFit="1" customWidth="1"/>
    <col min="14" max="14" width="2.5" style="233" customWidth="1"/>
    <col min="15" max="15" width="3.875" style="12" customWidth="1"/>
    <col min="16" max="16" width="4.5" style="13" customWidth="1"/>
    <col min="17" max="17" width="2.5" style="233" customWidth="1"/>
    <col min="18" max="18" width="3.875" style="12" customWidth="1"/>
    <col min="19" max="19" width="4.5" style="13" bestFit="1" customWidth="1"/>
    <col min="20" max="20" width="9.875" style="10" customWidth="1"/>
    <col min="21" max="21" width="4.875" style="13" bestFit="1" customWidth="1"/>
    <col min="22" max="22" width="7.125" style="206" customWidth="1"/>
    <col min="23" max="23" width="8.5" style="16" customWidth="1"/>
    <col min="24" max="16384" width="8.875" style="12"/>
  </cols>
  <sheetData>
    <row r="1" spans="1:23" ht="17.100000000000001" customHeight="1" x14ac:dyDescent="0.15"/>
    <row r="2" spans="1:23" ht="17.100000000000001" customHeight="1" x14ac:dyDescent="0.15"/>
    <row r="3" spans="1:23" ht="17.100000000000001" customHeight="1" x14ac:dyDescent="0.15"/>
    <row r="4" spans="1:23" ht="17.100000000000001" customHeight="1" x14ac:dyDescent="0.15">
      <c r="B4" s="17" t="s">
        <v>9461</v>
      </c>
      <c r="D4" s="71"/>
    </row>
    <row r="5" spans="1:23" ht="16.5" customHeight="1" x14ac:dyDescent="0.15">
      <c r="A5" s="19" t="s">
        <v>384</v>
      </c>
      <c r="B5" s="20"/>
      <c r="C5" s="21" t="s">
        <v>385</v>
      </c>
      <c r="D5" s="235" t="s">
        <v>386</v>
      </c>
      <c r="E5" s="23"/>
      <c r="F5" s="23"/>
      <c r="G5" s="23"/>
      <c r="H5" s="23"/>
      <c r="I5" s="23"/>
      <c r="J5" s="24"/>
      <c r="K5" s="23"/>
      <c r="L5" s="23"/>
      <c r="M5" s="24"/>
      <c r="N5" s="23"/>
      <c r="O5" s="23"/>
      <c r="P5" s="24"/>
      <c r="Q5" s="23"/>
      <c r="R5" s="23"/>
      <c r="S5" s="24"/>
      <c r="T5" s="23"/>
      <c r="U5" s="24"/>
      <c r="V5" s="21" t="s">
        <v>387</v>
      </c>
      <c r="W5" s="21" t="s">
        <v>388</v>
      </c>
    </row>
    <row r="6" spans="1:23" ht="16.5" customHeight="1" x14ac:dyDescent="0.15">
      <c r="A6" s="26" t="s">
        <v>389</v>
      </c>
      <c r="B6" s="26" t="s">
        <v>390</v>
      </c>
      <c r="C6" s="27"/>
      <c r="D6" s="726" t="s">
        <v>1032</v>
      </c>
      <c r="E6" s="727"/>
      <c r="F6" s="726" t="s">
        <v>1033</v>
      </c>
      <c r="G6" s="727"/>
      <c r="H6" s="29"/>
      <c r="I6" s="214"/>
      <c r="J6" s="30"/>
      <c r="K6" s="29"/>
      <c r="L6" s="214"/>
      <c r="M6" s="30"/>
      <c r="N6" s="214"/>
      <c r="O6" s="29"/>
      <c r="P6" s="30"/>
      <c r="Q6" s="214"/>
      <c r="R6" s="29"/>
      <c r="S6" s="30"/>
      <c r="T6" s="29"/>
      <c r="U6" s="30"/>
      <c r="V6" s="32" t="s">
        <v>391</v>
      </c>
      <c r="W6" s="32" t="s">
        <v>392</v>
      </c>
    </row>
    <row r="7" spans="1:23" ht="16.5" customHeight="1" x14ac:dyDescent="0.15">
      <c r="A7" s="33">
        <v>11</v>
      </c>
      <c r="B7" s="33">
        <v>7827</v>
      </c>
      <c r="C7" s="34" t="s">
        <v>9462</v>
      </c>
      <c r="D7" s="709" t="s">
        <v>861</v>
      </c>
      <c r="E7" s="718"/>
      <c r="F7" s="709" t="s">
        <v>9463</v>
      </c>
      <c r="G7" s="718"/>
      <c r="H7" s="72"/>
      <c r="K7" s="36"/>
      <c r="L7" s="246"/>
      <c r="M7" s="38"/>
      <c r="N7" s="92" t="s">
        <v>1036</v>
      </c>
      <c r="Q7" s="92" t="s">
        <v>1037</v>
      </c>
      <c r="T7" s="72"/>
      <c r="V7" s="207">
        <f>ROUND((_11_A家事０．５*(1+_11・A深夜)),0)+ROUND((_11_B家事０．５＿０．２５*(1+_11・B早朝)),0)</f>
        <v>217</v>
      </c>
      <c r="W7" s="40" t="s">
        <v>395</v>
      </c>
    </row>
    <row r="8" spans="1:23" ht="16.5" customHeight="1" x14ac:dyDescent="0.15">
      <c r="A8" s="41">
        <v>11</v>
      </c>
      <c r="B8" s="41">
        <v>7828</v>
      </c>
      <c r="C8" s="74" t="s">
        <v>9464</v>
      </c>
      <c r="D8" s="709"/>
      <c r="E8" s="718"/>
      <c r="F8" s="709"/>
      <c r="G8" s="718"/>
      <c r="H8" s="122"/>
      <c r="I8" s="216"/>
      <c r="J8" s="38"/>
      <c r="K8" s="44" t="s">
        <v>397</v>
      </c>
      <c r="L8" s="247" t="s">
        <v>398</v>
      </c>
      <c r="M8" s="46">
        <v>1</v>
      </c>
      <c r="N8" s="223" t="s">
        <v>398</v>
      </c>
      <c r="O8" s="13">
        <v>0.5</v>
      </c>
      <c r="P8" s="704" t="s">
        <v>676</v>
      </c>
      <c r="Q8" s="223" t="s">
        <v>398</v>
      </c>
      <c r="R8" s="13">
        <v>0.25</v>
      </c>
      <c r="S8" s="704" t="s">
        <v>676</v>
      </c>
      <c r="T8" s="72"/>
      <c r="V8" s="208">
        <f>ROUND((ROUND((_11_A家事０．５*_11・２人),0)*(1+_11・A深夜)),0)+ROUND((ROUND((_11_B家事０．５＿０．２５*_11・２人),0)*(1+_11・B早朝)),0)</f>
        <v>217</v>
      </c>
      <c r="W8" s="48"/>
    </row>
    <row r="9" spans="1:23" ht="16.5" customHeight="1" x14ac:dyDescent="0.15">
      <c r="A9" s="41">
        <v>11</v>
      </c>
      <c r="B9" s="41">
        <v>7829</v>
      </c>
      <c r="C9" s="74" t="s">
        <v>9465</v>
      </c>
      <c r="D9" s="709"/>
      <c r="E9" s="718"/>
      <c r="F9" s="709"/>
      <c r="G9" s="718"/>
      <c r="H9" s="752" t="s">
        <v>400</v>
      </c>
      <c r="I9" s="221" t="s">
        <v>398</v>
      </c>
      <c r="J9" s="50">
        <v>0.9</v>
      </c>
      <c r="K9" s="44"/>
      <c r="L9" s="247"/>
      <c r="M9" s="46"/>
      <c r="N9" s="223"/>
      <c r="P9" s="787"/>
      <c r="Q9" s="223"/>
      <c r="S9" s="787"/>
      <c r="T9" s="72"/>
      <c r="V9" s="208">
        <f>ROUND((ROUND((_11_A家事０．５*_11・基礎２),0)*(1+_11・A深夜)),0)+ROUND((ROUND((_11_B家事０．５＿０．２５*_11・基礎２),0)*(1+_11・B早朝)),0)</f>
        <v>196</v>
      </c>
      <c r="W9" s="48"/>
    </row>
    <row r="10" spans="1:23" ht="16.5" customHeight="1" x14ac:dyDescent="0.15">
      <c r="A10" s="41">
        <v>11</v>
      </c>
      <c r="B10" s="41">
        <v>7830</v>
      </c>
      <c r="C10" s="74" t="s">
        <v>9466</v>
      </c>
      <c r="D10" s="125">
        <f>_11_A家事０．５</f>
        <v>105</v>
      </c>
      <c r="E10" s="12" t="s">
        <v>392</v>
      </c>
      <c r="F10" s="125">
        <f>_11_B家事０．５＿０．２５</f>
        <v>47</v>
      </c>
      <c r="G10" s="12" t="s">
        <v>392</v>
      </c>
      <c r="H10" s="757"/>
      <c r="I10" s="216"/>
      <c r="J10" s="38"/>
      <c r="K10" s="44" t="s">
        <v>397</v>
      </c>
      <c r="L10" s="247" t="s">
        <v>398</v>
      </c>
      <c r="M10" s="46">
        <v>1</v>
      </c>
      <c r="N10" s="223"/>
      <c r="Q10" s="223"/>
      <c r="T10" s="72"/>
      <c r="V10" s="208">
        <f>ROUND((ROUND((ROUND((_11_A家事０．５*_11・基礎２),0)*_11・２人),0)*(1+_11・A深夜)),0)+ROUND((ROUND((ROUND((_11_B家事０．５＿０．２５*_11・基礎２),0)*_11・２人),0)*(1+_11・B早朝)),0)</f>
        <v>196</v>
      </c>
      <c r="W10" s="48"/>
    </row>
    <row r="11" spans="1:23" ht="16.5" customHeight="1" x14ac:dyDescent="0.15">
      <c r="A11" s="41">
        <v>11</v>
      </c>
      <c r="B11" s="41" t="s">
        <v>9467</v>
      </c>
      <c r="C11" s="74" t="s">
        <v>9468</v>
      </c>
      <c r="D11" s="72"/>
      <c r="F11" s="72"/>
      <c r="H11" s="114"/>
      <c r="I11" s="221"/>
      <c r="J11" s="50"/>
      <c r="K11" s="44"/>
      <c r="L11" s="247"/>
      <c r="M11" s="46"/>
      <c r="N11" s="223"/>
      <c r="Q11" s="223"/>
      <c r="T11" s="707" t="s">
        <v>404</v>
      </c>
      <c r="U11" s="708"/>
      <c r="V11" s="208">
        <f>ROUND((ROUND((_11_A家事０．５*(1+_11・A深夜)),0)*_11・初任),0)+ROUND((ROUND((_11_B家事０．５＿０．２５*(1+_11・B早朝)),0)*_11・初任),0)</f>
        <v>152</v>
      </c>
      <c r="W11" s="48"/>
    </row>
    <row r="12" spans="1:23" ht="16.5" customHeight="1" x14ac:dyDescent="0.15">
      <c r="A12" s="41">
        <v>11</v>
      </c>
      <c r="B12" s="41" t="s">
        <v>9469</v>
      </c>
      <c r="C12" s="74" t="s">
        <v>9470</v>
      </c>
      <c r="D12" s="72"/>
      <c r="F12" s="72"/>
      <c r="H12" s="122"/>
      <c r="I12" s="216"/>
      <c r="J12" s="38"/>
      <c r="K12" s="44" t="s">
        <v>397</v>
      </c>
      <c r="L12" s="247" t="s">
        <v>398</v>
      </c>
      <c r="M12" s="46">
        <v>1</v>
      </c>
      <c r="N12" s="223"/>
      <c r="Q12" s="223"/>
      <c r="T12" s="709"/>
      <c r="U12" s="704"/>
      <c r="V12" s="208">
        <f>ROUND((ROUND((ROUND((_11_A家事０．５*_11・２人),0)*(1+_11・A深夜)),0)*_11・初任),0)+ROUND((ROUND((ROUND((_11_B家事０．５＿０．２５*_11・２人),0)*(1+_11・B早朝)),0)*_11・初任),0)</f>
        <v>152</v>
      </c>
      <c r="W12" s="48"/>
    </row>
    <row r="13" spans="1:23" ht="16.5" customHeight="1" x14ac:dyDescent="0.15">
      <c r="A13" s="41">
        <v>11</v>
      </c>
      <c r="B13" s="41" t="s">
        <v>9471</v>
      </c>
      <c r="C13" s="74" t="s">
        <v>9472</v>
      </c>
      <c r="D13" s="72"/>
      <c r="F13" s="72"/>
      <c r="H13" s="752" t="s">
        <v>400</v>
      </c>
      <c r="I13" s="221" t="s">
        <v>398</v>
      </c>
      <c r="J13" s="50">
        <v>0.9</v>
      </c>
      <c r="K13" s="44"/>
      <c r="L13" s="247"/>
      <c r="M13" s="46"/>
      <c r="N13" s="223"/>
      <c r="Q13" s="223"/>
      <c r="T13" s="709"/>
      <c r="U13" s="704"/>
      <c r="V13" s="208">
        <f>ROUND((ROUND((ROUND((_11_A家事０．５*_11・基礎２),0)*(1+_11・A深夜)),0)*_11・初任),0)+ROUND((ROUND((ROUND((_11_B家事０．５＿０．２５*_11・基礎２),0)*(1+_11・B早朝)),0)*_11・初任),0)</f>
        <v>137</v>
      </c>
      <c r="W13" s="48"/>
    </row>
    <row r="14" spans="1:23" ht="16.5" customHeight="1" x14ac:dyDescent="0.15">
      <c r="A14" s="41">
        <v>11</v>
      </c>
      <c r="B14" s="41" t="s">
        <v>9473</v>
      </c>
      <c r="C14" s="74" t="s">
        <v>9474</v>
      </c>
      <c r="D14" s="72"/>
      <c r="F14" s="72"/>
      <c r="H14" s="757"/>
      <c r="I14" s="216"/>
      <c r="J14" s="38"/>
      <c r="K14" s="44" t="s">
        <v>397</v>
      </c>
      <c r="L14" s="247" t="s">
        <v>398</v>
      </c>
      <c r="M14" s="46">
        <v>1</v>
      </c>
      <c r="N14" s="223"/>
      <c r="Q14" s="223"/>
      <c r="T14" s="240" t="s">
        <v>398</v>
      </c>
      <c r="U14" s="38">
        <f>_11・初任</f>
        <v>0.7</v>
      </c>
      <c r="V14" s="208">
        <f>ROUND((ROUND((ROUND((ROUND((_11_A家事０．５*_11・基礎２),0)*_11・２人),0)*(1+_11・A深夜)),0)*_11・初任),0)+ROUND((ROUND((ROUND((ROUND((_11_B家事０．５＿０．２５*_11・基礎２),0)*_11・２人),0)*(1+_11・B早朝)),0)*_11・初任),0)</f>
        <v>137</v>
      </c>
      <c r="W14" s="48"/>
    </row>
    <row r="15" spans="1:23" ht="16.5" customHeight="1" x14ac:dyDescent="0.15">
      <c r="A15" s="41">
        <v>11</v>
      </c>
      <c r="B15" s="41">
        <v>6303</v>
      </c>
      <c r="C15" s="74" t="s">
        <v>9475</v>
      </c>
      <c r="D15" s="72"/>
      <c r="F15" s="707" t="s">
        <v>9476</v>
      </c>
      <c r="G15" s="717"/>
      <c r="H15" s="114"/>
      <c r="I15" s="221"/>
      <c r="J15" s="50"/>
      <c r="K15" s="44"/>
      <c r="L15" s="247"/>
      <c r="M15" s="46"/>
      <c r="N15" s="223"/>
      <c r="Q15" s="223"/>
      <c r="T15" s="53"/>
      <c r="U15" s="50"/>
      <c r="V15" s="208">
        <f>ROUND((_11_A家事０．５*(1+_11・A深夜)),0)+ROUND((_11_B家事０．５＿０．５*(1+_11・B早朝)),0)</f>
        <v>272</v>
      </c>
      <c r="W15" s="48"/>
    </row>
    <row r="16" spans="1:23" ht="16.5" customHeight="1" x14ac:dyDescent="0.15">
      <c r="A16" s="41">
        <v>11</v>
      </c>
      <c r="B16" s="41">
        <v>6304</v>
      </c>
      <c r="C16" s="74" t="s">
        <v>9477</v>
      </c>
      <c r="D16" s="72"/>
      <c r="F16" s="709"/>
      <c r="G16" s="718"/>
      <c r="H16" s="122"/>
      <c r="I16" s="216"/>
      <c r="J16" s="38"/>
      <c r="K16" s="44" t="s">
        <v>397</v>
      </c>
      <c r="L16" s="247" t="s">
        <v>398</v>
      </c>
      <c r="M16" s="46">
        <v>1</v>
      </c>
      <c r="N16" s="223"/>
      <c r="Q16" s="223"/>
      <c r="T16" s="35"/>
      <c r="V16" s="208">
        <f>ROUND((ROUND((_11_A家事０．５*_11・２人),0)*(1+_11・A深夜)),0)+ROUND((ROUND((_11_B家事０．５＿０．５*_11・２人),0)*(1+_11・B早朝)),0)</f>
        <v>272</v>
      </c>
      <c r="W16" s="48"/>
    </row>
    <row r="17" spans="1:23" ht="16.5" customHeight="1" x14ac:dyDescent="0.15">
      <c r="A17" s="41">
        <v>11</v>
      </c>
      <c r="B17" s="41">
        <v>6305</v>
      </c>
      <c r="C17" s="74" t="s">
        <v>9478</v>
      </c>
      <c r="D17" s="72"/>
      <c r="F17" s="709"/>
      <c r="G17" s="718"/>
      <c r="H17" s="752" t="s">
        <v>400</v>
      </c>
      <c r="I17" s="221" t="s">
        <v>398</v>
      </c>
      <c r="J17" s="50">
        <v>0.9</v>
      </c>
      <c r="K17" s="44"/>
      <c r="L17" s="247"/>
      <c r="M17" s="46"/>
      <c r="N17" s="223"/>
      <c r="Q17" s="223"/>
      <c r="T17" s="35"/>
      <c r="V17" s="208">
        <f>ROUND((ROUND((_11_A家事０．５*_11・基礎２),0)*(1+_11・A深夜)),0)+ROUND((ROUND((_11_B家事０．５＿０．５*_11・基礎２),0)*(1+_11・B早朝)),0)</f>
        <v>246</v>
      </c>
      <c r="W17" s="48"/>
    </row>
    <row r="18" spans="1:23" ht="16.5" customHeight="1" x14ac:dyDescent="0.15">
      <c r="A18" s="41">
        <v>11</v>
      </c>
      <c r="B18" s="41">
        <v>6306</v>
      </c>
      <c r="C18" s="74" t="s">
        <v>9479</v>
      </c>
      <c r="D18" s="72"/>
      <c r="F18" s="125">
        <f>_11_B家事０．５＿０．５</f>
        <v>91</v>
      </c>
      <c r="G18" s="12" t="s">
        <v>392</v>
      </c>
      <c r="H18" s="757"/>
      <c r="I18" s="216"/>
      <c r="J18" s="38"/>
      <c r="K18" s="44" t="s">
        <v>397</v>
      </c>
      <c r="L18" s="247" t="s">
        <v>398</v>
      </c>
      <c r="M18" s="46">
        <v>1</v>
      </c>
      <c r="N18" s="223"/>
      <c r="Q18" s="223"/>
      <c r="T18" s="43"/>
      <c r="U18" s="38"/>
      <c r="V18" s="208">
        <f>ROUND((ROUND((ROUND((_11_A家事０．５*_11・基礎２),0)*_11・２人),0)*(1+_11・A深夜)),0)+ROUND((ROUND((ROUND((_11_B家事０．５＿０．５*_11・基礎２),0)*_11・２人),0)*(1+_11・B早朝)),0)</f>
        <v>246</v>
      </c>
      <c r="W18" s="48"/>
    </row>
    <row r="19" spans="1:23" ht="16.5" customHeight="1" x14ac:dyDescent="0.15">
      <c r="A19" s="41">
        <v>11</v>
      </c>
      <c r="B19" s="41" t="s">
        <v>9480</v>
      </c>
      <c r="C19" s="74" t="s">
        <v>9481</v>
      </c>
      <c r="D19" s="72"/>
      <c r="F19" s="72"/>
      <c r="H19" s="114"/>
      <c r="I19" s="221"/>
      <c r="J19" s="50"/>
      <c r="K19" s="44"/>
      <c r="L19" s="247"/>
      <c r="M19" s="46"/>
      <c r="N19" s="223"/>
      <c r="Q19" s="223"/>
      <c r="T19" s="707" t="s">
        <v>404</v>
      </c>
      <c r="U19" s="708"/>
      <c r="V19" s="208">
        <f>ROUND((ROUND((_11_A家事０．５*(1+_11・A深夜)),0)*_11・初任),0)+ROUND((ROUND((_11_B家事０．５＿０．５*(1+_11・B早朝)),0)*_11・初任),0)</f>
        <v>191</v>
      </c>
      <c r="W19" s="48"/>
    </row>
    <row r="20" spans="1:23" ht="16.5" customHeight="1" x14ac:dyDescent="0.15">
      <c r="A20" s="41">
        <v>11</v>
      </c>
      <c r="B20" s="41" t="s">
        <v>9482</v>
      </c>
      <c r="C20" s="74" t="s">
        <v>9483</v>
      </c>
      <c r="D20" s="72"/>
      <c r="F20" s="72"/>
      <c r="H20" s="122"/>
      <c r="I20" s="216"/>
      <c r="J20" s="38"/>
      <c r="K20" s="44" t="s">
        <v>397</v>
      </c>
      <c r="L20" s="247" t="s">
        <v>398</v>
      </c>
      <c r="M20" s="46">
        <v>1</v>
      </c>
      <c r="N20" s="223"/>
      <c r="Q20" s="223"/>
      <c r="T20" s="709"/>
      <c r="U20" s="704"/>
      <c r="V20" s="208">
        <f>ROUND((ROUND((ROUND((_11_A家事０．５*_11・２人),0)*(1+_11・A深夜)),0)*_11・初任),0)+ROUND((ROUND((ROUND((_11_B家事０．５＿０．５*_11・２人),0)*(1+_11・B早朝)),0)*_11・初任),0)</f>
        <v>191</v>
      </c>
      <c r="W20" s="48"/>
    </row>
    <row r="21" spans="1:23" ht="16.5" customHeight="1" x14ac:dyDescent="0.15">
      <c r="A21" s="41">
        <v>11</v>
      </c>
      <c r="B21" s="41" t="s">
        <v>9484</v>
      </c>
      <c r="C21" s="74" t="s">
        <v>9485</v>
      </c>
      <c r="D21" s="72"/>
      <c r="F21" s="72"/>
      <c r="H21" s="752" t="s">
        <v>400</v>
      </c>
      <c r="I21" s="221" t="s">
        <v>398</v>
      </c>
      <c r="J21" s="50">
        <v>0.9</v>
      </c>
      <c r="K21" s="44"/>
      <c r="L21" s="247"/>
      <c r="M21" s="46"/>
      <c r="N21" s="223"/>
      <c r="Q21" s="223"/>
      <c r="T21" s="709"/>
      <c r="U21" s="704"/>
      <c r="V21" s="208">
        <f>ROUND((ROUND((ROUND((_11_A家事０．５*_11・基礎２),0)*(1+_11・A深夜)),0)*_11・初任),0)+ROUND((ROUND((ROUND((_11_B家事０．５＿０．５*_11・基礎２),0)*(1+_11・B早朝)),0)*_11・初任),0)</f>
        <v>172</v>
      </c>
      <c r="W21" s="48"/>
    </row>
    <row r="22" spans="1:23" ht="16.5" customHeight="1" x14ac:dyDescent="0.15">
      <c r="A22" s="41">
        <v>11</v>
      </c>
      <c r="B22" s="41" t="s">
        <v>9486</v>
      </c>
      <c r="C22" s="74" t="s">
        <v>9487</v>
      </c>
      <c r="D22" s="72"/>
      <c r="F22" s="72"/>
      <c r="H22" s="757"/>
      <c r="I22" s="216"/>
      <c r="J22" s="38"/>
      <c r="K22" s="44" t="s">
        <v>397</v>
      </c>
      <c r="L22" s="247" t="s">
        <v>398</v>
      </c>
      <c r="M22" s="46">
        <v>1</v>
      </c>
      <c r="N22" s="223"/>
      <c r="Q22" s="223"/>
      <c r="T22" s="240" t="s">
        <v>398</v>
      </c>
      <c r="U22" s="38">
        <f>_11・初任</f>
        <v>0.7</v>
      </c>
      <c r="V22" s="208">
        <f>ROUND((ROUND((ROUND((ROUND((_11_A家事０．５*_11・基礎２),0)*_11・２人),0)*(1+_11・A深夜)),0)*_11・初任),0)+ROUND((ROUND((ROUND((ROUND((_11_B家事０．５＿０．５*_11・基礎２),0)*_11・２人),0)*(1+_11・B早朝)),0)*_11・初任),0)</f>
        <v>172</v>
      </c>
      <c r="W22" s="48"/>
    </row>
    <row r="23" spans="1:23" ht="16.5" customHeight="1" x14ac:dyDescent="0.15">
      <c r="A23" s="41">
        <v>11</v>
      </c>
      <c r="B23" s="41">
        <v>7831</v>
      </c>
      <c r="C23" s="74" t="s">
        <v>9488</v>
      </c>
      <c r="D23" s="72"/>
      <c r="F23" s="707" t="s">
        <v>9489</v>
      </c>
      <c r="G23" s="717"/>
      <c r="H23" s="114"/>
      <c r="I23" s="221"/>
      <c r="J23" s="50"/>
      <c r="K23" s="44"/>
      <c r="L23" s="247"/>
      <c r="M23" s="46"/>
      <c r="N23" s="223"/>
      <c r="Q23" s="223"/>
      <c r="T23" s="114"/>
      <c r="U23" s="50"/>
      <c r="V23" s="208">
        <f>ROUND((_11_A家事０．５*(1+_11・A深夜)),0)+ROUND((_11_B家事０．５＿０．７５*(1+_11・B早朝)),0)</f>
        <v>324</v>
      </c>
      <c r="W23" s="48"/>
    </row>
    <row r="24" spans="1:23" ht="16.5" customHeight="1" x14ac:dyDescent="0.15">
      <c r="A24" s="41">
        <v>11</v>
      </c>
      <c r="B24" s="41">
        <v>7832</v>
      </c>
      <c r="C24" s="74" t="s">
        <v>9490</v>
      </c>
      <c r="D24" s="72"/>
      <c r="F24" s="709"/>
      <c r="G24" s="718"/>
      <c r="H24" s="122"/>
      <c r="I24" s="216"/>
      <c r="J24" s="38"/>
      <c r="K24" s="44" t="s">
        <v>397</v>
      </c>
      <c r="L24" s="247" t="s">
        <v>398</v>
      </c>
      <c r="M24" s="46">
        <v>1</v>
      </c>
      <c r="N24" s="223"/>
      <c r="Q24" s="223"/>
      <c r="T24" s="72"/>
      <c r="V24" s="208">
        <f>ROUND((ROUND((_11_A家事０．５*_11・２人),0)*(1+_11・A深夜)),0)+ROUND((ROUND((_11_B家事０．５＿０．７５*_11・２人),0)*(1+_11・B早朝)),0)</f>
        <v>324</v>
      </c>
      <c r="W24" s="48"/>
    </row>
    <row r="25" spans="1:23" ht="16.5" customHeight="1" x14ac:dyDescent="0.15">
      <c r="A25" s="41">
        <v>11</v>
      </c>
      <c r="B25" s="41">
        <v>7833</v>
      </c>
      <c r="C25" s="74" t="s">
        <v>9491</v>
      </c>
      <c r="D25" s="72"/>
      <c r="F25" s="709"/>
      <c r="G25" s="718"/>
      <c r="H25" s="752" t="s">
        <v>400</v>
      </c>
      <c r="I25" s="221" t="s">
        <v>398</v>
      </c>
      <c r="J25" s="50">
        <v>0.9</v>
      </c>
      <c r="K25" s="44"/>
      <c r="L25" s="247"/>
      <c r="M25" s="46"/>
      <c r="N25" s="223"/>
      <c r="Q25" s="223"/>
      <c r="T25" s="72"/>
      <c r="V25" s="208">
        <f>ROUND((ROUND((_11_A家事０．５*_11・基礎２),0)*(1+_11・A深夜)),0)+ROUND((ROUND((_11_B家事０．５＿０．７５*_11・基礎２),0)*(1+_11・B早朝)),0)</f>
        <v>293</v>
      </c>
      <c r="W25" s="48"/>
    </row>
    <row r="26" spans="1:23" ht="16.5" customHeight="1" x14ac:dyDescent="0.15">
      <c r="A26" s="41">
        <v>11</v>
      </c>
      <c r="B26" s="41">
        <v>7834</v>
      </c>
      <c r="C26" s="74" t="s">
        <v>9492</v>
      </c>
      <c r="D26" s="72"/>
      <c r="F26" s="125">
        <f>_11_B家事０．５＿０．７５</f>
        <v>133</v>
      </c>
      <c r="G26" s="12" t="s">
        <v>392</v>
      </c>
      <c r="H26" s="757"/>
      <c r="I26" s="216"/>
      <c r="J26" s="38"/>
      <c r="K26" s="44" t="s">
        <v>397</v>
      </c>
      <c r="L26" s="247" t="s">
        <v>398</v>
      </c>
      <c r="M26" s="46">
        <v>1</v>
      </c>
      <c r="N26" s="223"/>
      <c r="Q26" s="223"/>
      <c r="T26" s="122"/>
      <c r="U26" s="38"/>
      <c r="V26" s="208">
        <f>ROUND((ROUND((ROUND((_11_A家事０．５*_11・基礎２),0)*_11・２人),0)*(1+_11・A深夜)),0)+ROUND((ROUND((ROUND((_11_B家事０．５＿０．７５*_11・基礎２),0)*_11・２人),0)*(1+_11・B早朝)),0)</f>
        <v>293</v>
      </c>
      <c r="W26" s="48"/>
    </row>
    <row r="27" spans="1:23" ht="16.5" customHeight="1" x14ac:dyDescent="0.15">
      <c r="A27" s="41">
        <v>11</v>
      </c>
      <c r="B27" s="41" t="s">
        <v>9493</v>
      </c>
      <c r="C27" s="74" t="s">
        <v>9494</v>
      </c>
      <c r="D27" s="72"/>
      <c r="F27" s="72"/>
      <c r="H27" s="114"/>
      <c r="I27" s="221"/>
      <c r="J27" s="50"/>
      <c r="K27" s="44"/>
      <c r="L27" s="247"/>
      <c r="M27" s="46"/>
      <c r="N27" s="223"/>
      <c r="Q27" s="223"/>
      <c r="T27" s="707" t="s">
        <v>404</v>
      </c>
      <c r="U27" s="708"/>
      <c r="V27" s="208">
        <f>ROUND((ROUND((_11_A家事０．５*(1+_11・A深夜)),0)*_11・初任),0)+ROUND((ROUND((_11_B家事０．５＿０．７５*(1+_11・B早朝)),0)*_11・初任),0)</f>
        <v>227</v>
      </c>
      <c r="W27" s="48"/>
    </row>
    <row r="28" spans="1:23" ht="16.5" customHeight="1" x14ac:dyDescent="0.15">
      <c r="A28" s="41">
        <v>11</v>
      </c>
      <c r="B28" s="41" t="s">
        <v>9495</v>
      </c>
      <c r="C28" s="74" t="s">
        <v>9496</v>
      </c>
      <c r="D28" s="72"/>
      <c r="F28" s="72"/>
      <c r="H28" s="122"/>
      <c r="I28" s="216"/>
      <c r="J28" s="38"/>
      <c r="K28" s="44" t="s">
        <v>397</v>
      </c>
      <c r="L28" s="247" t="s">
        <v>398</v>
      </c>
      <c r="M28" s="46">
        <v>1</v>
      </c>
      <c r="N28" s="223"/>
      <c r="Q28" s="223"/>
      <c r="T28" s="709"/>
      <c r="U28" s="704"/>
      <c r="V28" s="208">
        <f>ROUND((ROUND((ROUND((_11_A家事０．５*_11・２人),0)*(1+_11・A深夜)),0)*_11・初任),0)+ROUND((ROUND((ROUND((_11_B家事０．５＿０．７５*_11・２人),0)*(1+_11・B早朝)),0)*_11・初任),0)</f>
        <v>227</v>
      </c>
      <c r="W28" s="48"/>
    </row>
    <row r="29" spans="1:23" ht="16.5" customHeight="1" x14ac:dyDescent="0.15">
      <c r="A29" s="41">
        <v>11</v>
      </c>
      <c r="B29" s="41" t="s">
        <v>9497</v>
      </c>
      <c r="C29" s="74" t="s">
        <v>9498</v>
      </c>
      <c r="D29" s="72"/>
      <c r="F29" s="72"/>
      <c r="H29" s="752" t="s">
        <v>400</v>
      </c>
      <c r="I29" s="221" t="s">
        <v>398</v>
      </c>
      <c r="J29" s="50">
        <v>0.9</v>
      </c>
      <c r="K29" s="44"/>
      <c r="L29" s="247"/>
      <c r="M29" s="46"/>
      <c r="N29" s="223"/>
      <c r="Q29" s="223"/>
      <c r="T29" s="709"/>
      <c r="U29" s="704"/>
      <c r="V29" s="208">
        <f>ROUND((ROUND((ROUND((_11_A家事０．５*_11・基礎２),0)*(1+_11・A深夜)),0)*_11・初任),0)+ROUND((ROUND((ROUND((_11_B家事０．５＿０．７５*_11・基礎２),0)*(1+_11・B早朝)),0)*_11・初任),0)</f>
        <v>205</v>
      </c>
      <c r="W29" s="48"/>
    </row>
    <row r="30" spans="1:23" ht="16.5" customHeight="1" x14ac:dyDescent="0.15">
      <c r="A30" s="41">
        <v>11</v>
      </c>
      <c r="B30" s="41" t="s">
        <v>9499</v>
      </c>
      <c r="C30" s="74" t="s">
        <v>9500</v>
      </c>
      <c r="D30" s="72"/>
      <c r="F30" s="72"/>
      <c r="H30" s="757"/>
      <c r="I30" s="216"/>
      <c r="J30" s="38"/>
      <c r="K30" s="44" t="s">
        <v>397</v>
      </c>
      <c r="L30" s="247" t="s">
        <v>398</v>
      </c>
      <c r="M30" s="46">
        <v>1</v>
      </c>
      <c r="N30" s="223"/>
      <c r="Q30" s="223"/>
      <c r="T30" s="240" t="s">
        <v>398</v>
      </c>
      <c r="U30" s="38">
        <f>_11・初任</f>
        <v>0.7</v>
      </c>
      <c r="V30" s="208">
        <f>ROUND((ROUND((ROUND((ROUND((_11_A家事０．５*_11・基礎２),0)*_11・２人),0)*(1+_11・A深夜)),0)*_11・初任),0)+ROUND((ROUND((ROUND((ROUND((_11_B家事０．５＿０．７５*_11・基礎２),0)*_11・２人),0)*(1+_11・B早朝)),0)*_11・初任),0)</f>
        <v>205</v>
      </c>
      <c r="W30" s="48"/>
    </row>
    <row r="31" spans="1:23" ht="16.5" customHeight="1" x14ac:dyDescent="0.15">
      <c r="A31" s="41">
        <v>11</v>
      </c>
      <c r="B31" s="41">
        <v>6307</v>
      </c>
      <c r="C31" s="74" t="s">
        <v>9501</v>
      </c>
      <c r="D31" s="707" t="s">
        <v>861</v>
      </c>
      <c r="E31" s="717"/>
      <c r="F31" s="707" t="s">
        <v>9502</v>
      </c>
      <c r="G31" s="717"/>
      <c r="H31" s="114"/>
      <c r="I31" s="221"/>
      <c r="J31" s="50"/>
      <c r="K31" s="44"/>
      <c r="L31" s="247"/>
      <c r="M31" s="46"/>
      <c r="N31" s="223"/>
      <c r="Q31" s="223"/>
      <c r="T31" s="53"/>
      <c r="U31" s="50"/>
      <c r="V31" s="208">
        <f>ROUND((_11_A家事０．５*(1+_11・A深夜)),0)+ROUND((_11_B家事０．５＿１．０*(1+_11・B早朝)),0)</f>
        <v>369</v>
      </c>
      <c r="W31" s="48"/>
    </row>
    <row r="32" spans="1:23" ht="16.5" customHeight="1" x14ac:dyDescent="0.15">
      <c r="A32" s="41">
        <v>11</v>
      </c>
      <c r="B32" s="41">
        <v>6308</v>
      </c>
      <c r="C32" s="74" t="s">
        <v>9503</v>
      </c>
      <c r="D32" s="709"/>
      <c r="E32" s="718"/>
      <c r="F32" s="709"/>
      <c r="G32" s="718"/>
      <c r="H32" s="122"/>
      <c r="I32" s="216"/>
      <c r="J32" s="38"/>
      <c r="K32" s="44" t="s">
        <v>397</v>
      </c>
      <c r="L32" s="247" t="s">
        <v>398</v>
      </c>
      <c r="M32" s="46">
        <v>1</v>
      </c>
      <c r="N32" s="223"/>
      <c r="Q32" s="223"/>
      <c r="T32" s="35"/>
      <c r="V32" s="208">
        <f>ROUND((ROUND((_11_A家事０．５*_11・２人),0)*(1+_11・A深夜)),0)+ROUND((ROUND((_11_B家事０．５＿１．０*_11・２人),0)*(1+_11・B早朝)),0)</f>
        <v>369</v>
      </c>
      <c r="W32" s="48"/>
    </row>
    <row r="33" spans="1:23" ht="16.5" customHeight="1" x14ac:dyDescent="0.15">
      <c r="A33" s="41">
        <v>11</v>
      </c>
      <c r="B33" s="41">
        <v>6309</v>
      </c>
      <c r="C33" s="74" t="s">
        <v>9504</v>
      </c>
      <c r="D33" s="709"/>
      <c r="E33" s="718"/>
      <c r="F33" s="709"/>
      <c r="G33" s="718"/>
      <c r="H33" s="752" t="s">
        <v>400</v>
      </c>
      <c r="I33" s="221" t="s">
        <v>398</v>
      </c>
      <c r="J33" s="50">
        <v>0.9</v>
      </c>
      <c r="K33" s="44"/>
      <c r="L33" s="247"/>
      <c r="M33" s="46"/>
      <c r="N33" s="223"/>
      <c r="Q33" s="223"/>
      <c r="T33" s="35"/>
      <c r="V33" s="208">
        <f>ROUND((ROUND((_11_A家事０．５*_11・基礎２),0)*(1+_11・A深夜)),0)+ROUND((ROUND((_11_B家事０．５＿１．０*_11・基礎２),0)*(1+_11・B早朝)),0)</f>
        <v>333</v>
      </c>
      <c r="W33" s="48"/>
    </row>
    <row r="34" spans="1:23" ht="16.5" customHeight="1" x14ac:dyDescent="0.15">
      <c r="A34" s="41">
        <v>11</v>
      </c>
      <c r="B34" s="41">
        <v>6310</v>
      </c>
      <c r="C34" s="74" t="s">
        <v>9505</v>
      </c>
      <c r="D34" s="125">
        <f>_11_A家事０．５</f>
        <v>105</v>
      </c>
      <c r="E34" s="12" t="s">
        <v>392</v>
      </c>
      <c r="F34" s="125">
        <f>_11_B家事０．５＿１．０</f>
        <v>169</v>
      </c>
      <c r="G34" s="12" t="s">
        <v>392</v>
      </c>
      <c r="H34" s="757"/>
      <c r="I34" s="216"/>
      <c r="J34" s="38"/>
      <c r="K34" s="44" t="s">
        <v>397</v>
      </c>
      <c r="L34" s="247" t="s">
        <v>398</v>
      </c>
      <c r="M34" s="46">
        <v>1</v>
      </c>
      <c r="N34" s="223"/>
      <c r="Q34" s="223"/>
      <c r="T34" s="43"/>
      <c r="U34" s="38"/>
      <c r="V34" s="208">
        <f>ROUND((ROUND((ROUND((_11_A家事０．５*_11・基礎２),0)*_11・２人),0)*(1+_11・A深夜)),0)+ROUND((ROUND((ROUND((_11_B家事０．５＿１．０*_11・基礎２),0)*_11・２人),0)*(1+_11・B早朝)),0)</f>
        <v>333</v>
      </c>
      <c r="W34" s="48"/>
    </row>
    <row r="35" spans="1:23" ht="16.5" customHeight="1" x14ac:dyDescent="0.15">
      <c r="A35" s="41">
        <v>11</v>
      </c>
      <c r="B35" s="41" t="s">
        <v>9506</v>
      </c>
      <c r="C35" s="74" t="s">
        <v>9507</v>
      </c>
      <c r="D35" s="72"/>
      <c r="F35" s="72"/>
      <c r="H35" s="114"/>
      <c r="I35" s="221"/>
      <c r="J35" s="50"/>
      <c r="K35" s="44"/>
      <c r="L35" s="247"/>
      <c r="M35" s="46"/>
      <c r="N35" s="223"/>
      <c r="Q35" s="223"/>
      <c r="T35" s="707" t="s">
        <v>404</v>
      </c>
      <c r="U35" s="708"/>
      <c r="V35" s="208">
        <f>ROUND((ROUND((_11_A家事０．５*(1+_11・A深夜)),0)*_11・初任),0)+ROUND((ROUND((_11_B家事０．５＿１．０*(1+_11・B早朝)),0)*_11・初任),0)</f>
        <v>259</v>
      </c>
      <c r="W35" s="48"/>
    </row>
    <row r="36" spans="1:23" ht="16.5" customHeight="1" x14ac:dyDescent="0.15">
      <c r="A36" s="41">
        <v>11</v>
      </c>
      <c r="B36" s="41" t="s">
        <v>9508</v>
      </c>
      <c r="C36" s="74" t="s">
        <v>9509</v>
      </c>
      <c r="D36" s="72"/>
      <c r="F36" s="72"/>
      <c r="H36" s="122"/>
      <c r="I36" s="216"/>
      <c r="J36" s="38"/>
      <c r="K36" s="44" t="s">
        <v>397</v>
      </c>
      <c r="L36" s="247" t="s">
        <v>398</v>
      </c>
      <c r="M36" s="46">
        <v>1</v>
      </c>
      <c r="N36" s="223"/>
      <c r="Q36" s="223"/>
      <c r="T36" s="709"/>
      <c r="U36" s="704"/>
      <c r="V36" s="208">
        <f>ROUND((ROUND((ROUND((_11_A家事０．５*_11・２人),0)*(1+_11・A深夜)),0)*_11・初任),0)+ROUND((ROUND((ROUND((_11_B家事０．５＿１．０*_11・２人),0)*(1+_11・B早朝)),0)*_11・初任),0)</f>
        <v>259</v>
      </c>
      <c r="W36" s="48"/>
    </row>
    <row r="37" spans="1:23" ht="16.5" customHeight="1" x14ac:dyDescent="0.15">
      <c r="A37" s="41">
        <v>11</v>
      </c>
      <c r="B37" s="41" t="s">
        <v>9510</v>
      </c>
      <c r="C37" s="74" t="s">
        <v>9511</v>
      </c>
      <c r="D37" s="72"/>
      <c r="F37" s="72"/>
      <c r="H37" s="752" t="s">
        <v>400</v>
      </c>
      <c r="I37" s="221" t="s">
        <v>398</v>
      </c>
      <c r="J37" s="50">
        <v>0.9</v>
      </c>
      <c r="K37" s="44"/>
      <c r="L37" s="247"/>
      <c r="M37" s="46"/>
      <c r="N37" s="223"/>
      <c r="Q37" s="223"/>
      <c r="T37" s="709"/>
      <c r="U37" s="704"/>
      <c r="V37" s="208">
        <f>ROUND((ROUND((ROUND((_11_A家事０．５*_11・基礎２),0)*(1+_11・A深夜)),0)*_11・初任),0)+ROUND((ROUND((ROUND((_11_B家事０．５＿１．０*_11・基礎２),0)*(1+_11・B早朝)),0)*_11・初任),0)</f>
        <v>233</v>
      </c>
      <c r="W37" s="48"/>
    </row>
    <row r="38" spans="1:23" ht="16.5" customHeight="1" x14ac:dyDescent="0.15">
      <c r="A38" s="41">
        <v>11</v>
      </c>
      <c r="B38" s="41" t="s">
        <v>9512</v>
      </c>
      <c r="C38" s="74" t="s">
        <v>9513</v>
      </c>
      <c r="D38" s="72"/>
      <c r="F38" s="72"/>
      <c r="H38" s="757"/>
      <c r="I38" s="216"/>
      <c r="J38" s="38"/>
      <c r="K38" s="44" t="s">
        <v>397</v>
      </c>
      <c r="L38" s="247" t="s">
        <v>398</v>
      </c>
      <c r="M38" s="46">
        <v>1</v>
      </c>
      <c r="N38" s="223"/>
      <c r="Q38" s="223"/>
      <c r="T38" s="240" t="s">
        <v>398</v>
      </c>
      <c r="U38" s="38">
        <f>_11・初任</f>
        <v>0.7</v>
      </c>
      <c r="V38" s="208">
        <f>ROUND((ROUND((ROUND((ROUND((_11_A家事０．５*_11・基礎２),0)*_11・２人),0)*(1+_11・A深夜)),0)*_11・初任),0)+ROUND((ROUND((ROUND((ROUND((_11_B家事０．５＿１．０*_11・基礎２),0)*_11・２人),0)*(1+_11・B早朝)),0)*_11・初任),0)</f>
        <v>233</v>
      </c>
      <c r="W38" s="48"/>
    </row>
    <row r="39" spans="1:23" ht="16.5" customHeight="1" x14ac:dyDescent="0.15">
      <c r="A39" s="41">
        <v>11</v>
      </c>
      <c r="B39" s="41">
        <v>7835</v>
      </c>
      <c r="C39" s="74" t="s">
        <v>9514</v>
      </c>
      <c r="D39" s="707" t="s">
        <v>9150</v>
      </c>
      <c r="E39" s="717"/>
      <c r="F39" s="707" t="s">
        <v>9463</v>
      </c>
      <c r="G39" s="717"/>
      <c r="H39" s="114"/>
      <c r="I39" s="221"/>
      <c r="J39" s="50"/>
      <c r="K39" s="44"/>
      <c r="L39" s="247"/>
      <c r="M39" s="46"/>
      <c r="N39" s="223"/>
      <c r="Q39" s="223"/>
      <c r="T39" s="114"/>
      <c r="U39" s="50"/>
      <c r="V39" s="208">
        <f>ROUND((_11_A家事０．７５*(1+_11・A深夜)),0)+ROUND((_11_B家事０．７５＿０．２５*(1+_11・B早朝)),0)</f>
        <v>283</v>
      </c>
      <c r="W39" s="48"/>
    </row>
    <row r="40" spans="1:23" ht="16.5" customHeight="1" x14ac:dyDescent="0.15">
      <c r="A40" s="41">
        <v>11</v>
      </c>
      <c r="B40" s="41">
        <v>7836</v>
      </c>
      <c r="C40" s="74" t="s">
        <v>9515</v>
      </c>
      <c r="D40" s="709"/>
      <c r="E40" s="718"/>
      <c r="F40" s="709"/>
      <c r="G40" s="718"/>
      <c r="H40" s="122"/>
      <c r="I40" s="216"/>
      <c r="J40" s="38"/>
      <c r="K40" s="44" t="s">
        <v>397</v>
      </c>
      <c r="L40" s="247" t="s">
        <v>398</v>
      </c>
      <c r="M40" s="46">
        <v>1</v>
      </c>
      <c r="N40" s="223"/>
      <c r="Q40" s="223"/>
      <c r="T40" s="72"/>
      <c r="V40" s="208">
        <f>ROUND((ROUND((_11_A家事０．７５*_11・２人),0)*(1+_11・A深夜)),0)+ROUND((ROUND((_11_B家事０．７５＿０．２５*_11・２人),0)*(1+_11・B早朝)),0)</f>
        <v>283</v>
      </c>
      <c r="W40" s="48"/>
    </row>
    <row r="41" spans="1:23" ht="16.5" customHeight="1" x14ac:dyDescent="0.15">
      <c r="A41" s="41">
        <v>11</v>
      </c>
      <c r="B41" s="41">
        <v>7837</v>
      </c>
      <c r="C41" s="74" t="s">
        <v>9516</v>
      </c>
      <c r="D41" s="709"/>
      <c r="E41" s="718"/>
      <c r="F41" s="709"/>
      <c r="G41" s="718"/>
      <c r="H41" s="752" t="s">
        <v>400</v>
      </c>
      <c r="I41" s="221" t="s">
        <v>398</v>
      </c>
      <c r="J41" s="50">
        <v>0.9</v>
      </c>
      <c r="K41" s="44"/>
      <c r="L41" s="247"/>
      <c r="M41" s="46"/>
      <c r="N41" s="223"/>
      <c r="Q41" s="223"/>
      <c r="T41" s="72"/>
      <c r="V41" s="208">
        <f>ROUND((ROUND((_11_A家事０．７５*_11・基礎２),0)*(1+_11・A深夜)),0)+ROUND((ROUND((_11_B家事０．７５＿０．２５*_11・基礎２),0)*(1+_11・B早朝)),0)</f>
        <v>256</v>
      </c>
      <c r="W41" s="48"/>
    </row>
    <row r="42" spans="1:23" ht="16.5" customHeight="1" x14ac:dyDescent="0.15">
      <c r="A42" s="41">
        <v>11</v>
      </c>
      <c r="B42" s="41">
        <v>7838</v>
      </c>
      <c r="C42" s="74" t="s">
        <v>9517</v>
      </c>
      <c r="D42" s="125">
        <f>_11_A家事０．７５</f>
        <v>152</v>
      </c>
      <c r="E42" s="12" t="s">
        <v>392</v>
      </c>
      <c r="F42" s="125">
        <f>_11_B家事０．７５＿０．２５</f>
        <v>44</v>
      </c>
      <c r="G42" s="12" t="s">
        <v>392</v>
      </c>
      <c r="H42" s="757"/>
      <c r="I42" s="216"/>
      <c r="J42" s="38"/>
      <c r="K42" s="44" t="s">
        <v>397</v>
      </c>
      <c r="L42" s="247" t="s">
        <v>398</v>
      </c>
      <c r="M42" s="46">
        <v>1</v>
      </c>
      <c r="N42" s="223"/>
      <c r="Q42" s="223"/>
      <c r="T42" s="122"/>
      <c r="U42" s="38"/>
      <c r="V42" s="208">
        <f>ROUND((ROUND((ROUND((_11_A家事０．７５*_11・基礎２),0)*_11・２人),0)*(1+_11・A深夜)),0)+ROUND((ROUND((ROUND((_11_B家事０．７５＿０．２５*_11・基礎２),0)*_11・２人),0)*(1+_11・B早朝)),0)</f>
        <v>256</v>
      </c>
      <c r="W42" s="48"/>
    </row>
    <row r="43" spans="1:23" ht="16.5" customHeight="1" x14ac:dyDescent="0.15">
      <c r="A43" s="41">
        <v>11</v>
      </c>
      <c r="B43" s="41" t="s">
        <v>9518</v>
      </c>
      <c r="C43" s="74" t="s">
        <v>9519</v>
      </c>
      <c r="D43" s="72"/>
      <c r="F43" s="72"/>
      <c r="H43" s="114"/>
      <c r="I43" s="221"/>
      <c r="J43" s="50"/>
      <c r="K43" s="44"/>
      <c r="L43" s="247"/>
      <c r="M43" s="46"/>
      <c r="N43" s="223"/>
      <c r="Q43" s="223"/>
      <c r="T43" s="707" t="s">
        <v>404</v>
      </c>
      <c r="U43" s="708"/>
      <c r="V43" s="208">
        <f>ROUND((ROUND((_11_A家事０．７５*(1+_11・A深夜)),0)*_11・初任),0)+ROUND((ROUND((_11_B家事０．７５＿０．２５*(1+_11・B早朝)),0)*_11・初任),0)</f>
        <v>199</v>
      </c>
      <c r="W43" s="48"/>
    </row>
    <row r="44" spans="1:23" ht="16.5" customHeight="1" x14ac:dyDescent="0.15">
      <c r="A44" s="41">
        <v>11</v>
      </c>
      <c r="B44" s="41" t="s">
        <v>9520</v>
      </c>
      <c r="C44" s="74" t="s">
        <v>9521</v>
      </c>
      <c r="D44" s="72"/>
      <c r="F44" s="72"/>
      <c r="H44" s="122"/>
      <c r="I44" s="216"/>
      <c r="J44" s="38"/>
      <c r="K44" s="44" t="s">
        <v>397</v>
      </c>
      <c r="L44" s="247" t="s">
        <v>398</v>
      </c>
      <c r="M44" s="46">
        <v>1</v>
      </c>
      <c r="N44" s="223"/>
      <c r="Q44" s="223"/>
      <c r="T44" s="709"/>
      <c r="U44" s="704"/>
      <c r="V44" s="208">
        <f>ROUND((ROUND((ROUND((_11_A家事０．７５*_11・２人),0)*(1+_11・A深夜)),0)*_11・初任),0)+ROUND((ROUND((ROUND((_11_B家事０．７５＿０．２５*_11・２人),0)*(1+_11・B早朝)),0)*_11・初任),0)</f>
        <v>199</v>
      </c>
      <c r="W44" s="48"/>
    </row>
    <row r="45" spans="1:23" ht="16.5" customHeight="1" x14ac:dyDescent="0.15">
      <c r="A45" s="41">
        <v>11</v>
      </c>
      <c r="B45" s="41" t="s">
        <v>9522</v>
      </c>
      <c r="C45" s="74" t="s">
        <v>9523</v>
      </c>
      <c r="D45" s="72"/>
      <c r="F45" s="72"/>
      <c r="H45" s="752" t="s">
        <v>400</v>
      </c>
      <c r="I45" s="221" t="s">
        <v>398</v>
      </c>
      <c r="J45" s="50">
        <v>0.9</v>
      </c>
      <c r="K45" s="44"/>
      <c r="L45" s="247"/>
      <c r="M45" s="46"/>
      <c r="N45" s="223"/>
      <c r="Q45" s="223"/>
      <c r="T45" s="709"/>
      <c r="U45" s="704"/>
      <c r="V45" s="208">
        <f>ROUND((ROUND((ROUND((_11_A家事０．７５*_11・基礎２),0)*(1+_11・A深夜)),0)*_11・初任),0)+ROUND((ROUND((ROUND((_11_B家事０．７５＿０．２５*_11・基礎２),0)*(1+_11・B早朝)),0)*_11・初任),0)</f>
        <v>179</v>
      </c>
      <c r="W45" s="48"/>
    </row>
    <row r="46" spans="1:23" ht="16.5" customHeight="1" x14ac:dyDescent="0.15">
      <c r="A46" s="41">
        <v>11</v>
      </c>
      <c r="B46" s="41" t="s">
        <v>9524</v>
      </c>
      <c r="C46" s="74" t="s">
        <v>9525</v>
      </c>
      <c r="D46" s="72"/>
      <c r="F46" s="72"/>
      <c r="H46" s="757"/>
      <c r="I46" s="216"/>
      <c r="J46" s="38"/>
      <c r="K46" s="44" t="s">
        <v>397</v>
      </c>
      <c r="L46" s="247" t="s">
        <v>398</v>
      </c>
      <c r="M46" s="46">
        <v>1</v>
      </c>
      <c r="N46" s="223"/>
      <c r="Q46" s="223"/>
      <c r="T46" s="240" t="s">
        <v>398</v>
      </c>
      <c r="U46" s="38">
        <f>_11・初任</f>
        <v>0.7</v>
      </c>
      <c r="V46" s="208">
        <f>ROUND((ROUND((ROUND((ROUND((_11_A家事０．７５*_11・基礎２),0)*_11・２人),0)*(1+_11・A深夜)),0)*_11・初任),0)+ROUND((ROUND((ROUND((ROUND((_11_B家事０．７５＿０．２５*_11・基礎２),0)*_11・２人),0)*(1+_11・B早朝)),0)*_11・初任),0)</f>
        <v>179</v>
      </c>
      <c r="W46" s="48"/>
    </row>
    <row r="47" spans="1:23" ht="16.5" customHeight="1" x14ac:dyDescent="0.15">
      <c r="A47" s="41">
        <v>11</v>
      </c>
      <c r="B47" s="41">
        <v>7839</v>
      </c>
      <c r="C47" s="74" t="s">
        <v>9526</v>
      </c>
      <c r="D47" s="72"/>
      <c r="F47" s="707" t="s">
        <v>9476</v>
      </c>
      <c r="G47" s="717"/>
      <c r="H47" s="114"/>
      <c r="I47" s="221"/>
      <c r="J47" s="50"/>
      <c r="K47" s="44"/>
      <c r="L47" s="247"/>
      <c r="M47" s="46"/>
      <c r="N47" s="223"/>
      <c r="Q47" s="223"/>
      <c r="T47" s="53"/>
      <c r="U47" s="50"/>
      <c r="V47" s="208">
        <f>ROUND((_11_A家事０．７５*(1+_11・A深夜)),0)+ROUND((_11_B家事０．７５＿０．５*(1+_11・B早朝)),0)</f>
        <v>336</v>
      </c>
      <c r="W47" s="48"/>
    </row>
    <row r="48" spans="1:23" ht="16.5" customHeight="1" x14ac:dyDescent="0.15">
      <c r="A48" s="41">
        <v>11</v>
      </c>
      <c r="B48" s="41">
        <v>7840</v>
      </c>
      <c r="C48" s="74" t="s">
        <v>9527</v>
      </c>
      <c r="D48" s="72"/>
      <c r="F48" s="709"/>
      <c r="G48" s="718"/>
      <c r="H48" s="122"/>
      <c r="I48" s="216"/>
      <c r="J48" s="38"/>
      <c r="K48" s="44" t="s">
        <v>397</v>
      </c>
      <c r="L48" s="247" t="s">
        <v>398</v>
      </c>
      <c r="M48" s="46">
        <v>1</v>
      </c>
      <c r="N48" s="223"/>
      <c r="Q48" s="223"/>
      <c r="T48" s="35"/>
      <c r="V48" s="208">
        <f>ROUND((ROUND((_11_A家事０．７５*_11・２人),0)*(1+_11・A深夜)),0)+ROUND((ROUND((_11_B家事０．７５＿０．５*_11・２人),0)*(1+_11・B早朝)),0)</f>
        <v>336</v>
      </c>
      <c r="W48" s="48"/>
    </row>
    <row r="49" spans="1:23" ht="16.5" customHeight="1" x14ac:dyDescent="0.15">
      <c r="A49" s="41">
        <v>11</v>
      </c>
      <c r="B49" s="41">
        <v>7841</v>
      </c>
      <c r="C49" s="74" t="s">
        <v>9528</v>
      </c>
      <c r="D49" s="72"/>
      <c r="F49" s="709"/>
      <c r="G49" s="718"/>
      <c r="H49" s="752" t="s">
        <v>400</v>
      </c>
      <c r="I49" s="221" t="s">
        <v>398</v>
      </c>
      <c r="J49" s="50">
        <v>0.9</v>
      </c>
      <c r="K49" s="44"/>
      <c r="L49" s="247"/>
      <c r="M49" s="46"/>
      <c r="N49" s="223"/>
      <c r="Q49" s="223"/>
      <c r="T49" s="35"/>
      <c r="V49" s="208">
        <f>ROUND((ROUND((_11_A家事０．７５*_11・基礎２),0)*(1+_11・A深夜)),0)+ROUND((ROUND((_11_B家事０．７５＿０．５*_11・基礎２),0)*(1+_11・B早朝)),0)</f>
        <v>302</v>
      </c>
      <c r="W49" s="48"/>
    </row>
    <row r="50" spans="1:23" ht="16.5" customHeight="1" x14ac:dyDescent="0.15">
      <c r="A50" s="41">
        <v>11</v>
      </c>
      <c r="B50" s="41">
        <v>7842</v>
      </c>
      <c r="C50" s="74" t="s">
        <v>9529</v>
      </c>
      <c r="D50" s="72"/>
      <c r="F50" s="125">
        <f>_11_B家事０．７５＿０．５</f>
        <v>86</v>
      </c>
      <c r="G50" s="12" t="s">
        <v>392</v>
      </c>
      <c r="H50" s="757"/>
      <c r="I50" s="216"/>
      <c r="J50" s="38"/>
      <c r="K50" s="44" t="s">
        <v>397</v>
      </c>
      <c r="L50" s="247" t="s">
        <v>398</v>
      </c>
      <c r="M50" s="46">
        <v>1</v>
      </c>
      <c r="N50" s="223"/>
      <c r="Q50" s="223"/>
      <c r="T50" s="43"/>
      <c r="U50" s="38"/>
      <c r="V50" s="208">
        <f>ROUND((ROUND((ROUND((_11_A家事０．７５*_11・基礎２),0)*_11・２人),0)*(1+_11・A深夜)),0)+ROUND((ROUND((ROUND((_11_B家事０．７５＿０．５*_11・基礎２),0)*_11・２人),0)*(1+_11・B早朝)),0)</f>
        <v>302</v>
      </c>
      <c r="W50" s="48"/>
    </row>
    <row r="51" spans="1:23" ht="16.5" customHeight="1" x14ac:dyDescent="0.15">
      <c r="A51" s="41">
        <v>11</v>
      </c>
      <c r="B51" s="41" t="s">
        <v>9530</v>
      </c>
      <c r="C51" s="74" t="s">
        <v>9531</v>
      </c>
      <c r="D51" s="72"/>
      <c r="F51" s="72"/>
      <c r="H51" s="114"/>
      <c r="I51" s="221"/>
      <c r="J51" s="50"/>
      <c r="K51" s="44"/>
      <c r="L51" s="247"/>
      <c r="M51" s="46"/>
      <c r="N51" s="223"/>
      <c r="Q51" s="223"/>
      <c r="T51" s="707" t="s">
        <v>404</v>
      </c>
      <c r="U51" s="708"/>
      <c r="V51" s="208">
        <f>ROUND((ROUND((_11_A家事０．７５*(1+_11・A深夜)),0)*_11・初任),0)+ROUND((ROUND((_11_B家事０．７５＿０．５*(1+_11・B早朝)),0)*_11・初任),0)</f>
        <v>236</v>
      </c>
      <c r="W51" s="48"/>
    </row>
    <row r="52" spans="1:23" ht="16.5" customHeight="1" x14ac:dyDescent="0.15">
      <c r="A52" s="41">
        <v>11</v>
      </c>
      <c r="B52" s="41" t="s">
        <v>9532</v>
      </c>
      <c r="C52" s="74" t="s">
        <v>9533</v>
      </c>
      <c r="D52" s="72"/>
      <c r="F52" s="72"/>
      <c r="H52" s="122"/>
      <c r="I52" s="216"/>
      <c r="J52" s="38"/>
      <c r="K52" s="44" t="s">
        <v>397</v>
      </c>
      <c r="L52" s="247" t="s">
        <v>398</v>
      </c>
      <c r="M52" s="46">
        <v>1</v>
      </c>
      <c r="N52" s="223"/>
      <c r="Q52" s="223"/>
      <c r="T52" s="709"/>
      <c r="U52" s="704"/>
      <c r="V52" s="208">
        <f>ROUND((ROUND((ROUND((_11_A家事０．７５*_11・２人),0)*(1+_11・A深夜)),0)*_11・初任),0)+ROUND((ROUND((ROUND((_11_B家事０．７５＿０．５*_11・２人),0)*(1+_11・B早朝)),0)*_11・初任),0)</f>
        <v>236</v>
      </c>
      <c r="W52" s="48"/>
    </row>
    <row r="53" spans="1:23" ht="16.5" customHeight="1" x14ac:dyDescent="0.15">
      <c r="A53" s="41">
        <v>11</v>
      </c>
      <c r="B53" s="41" t="s">
        <v>9534</v>
      </c>
      <c r="C53" s="74" t="s">
        <v>9535</v>
      </c>
      <c r="D53" s="72"/>
      <c r="F53" s="72"/>
      <c r="H53" s="752" t="s">
        <v>400</v>
      </c>
      <c r="I53" s="221" t="s">
        <v>398</v>
      </c>
      <c r="J53" s="50">
        <v>0.9</v>
      </c>
      <c r="K53" s="44"/>
      <c r="L53" s="247"/>
      <c r="M53" s="46"/>
      <c r="N53" s="223"/>
      <c r="Q53" s="223"/>
      <c r="T53" s="709"/>
      <c r="U53" s="704"/>
      <c r="V53" s="208">
        <f>ROUND((ROUND((ROUND((_11_A家事０．７５*_11・基礎２),0)*(1+_11・A深夜)),0)*_11・初任),0)+ROUND((ROUND((ROUND((_11_B家事０．７５＿０．５*_11・基礎２),0)*(1+_11・B早朝)),0)*_11・初任),0)</f>
        <v>211</v>
      </c>
      <c r="W53" s="48"/>
    </row>
    <row r="54" spans="1:23" ht="16.5" customHeight="1" x14ac:dyDescent="0.15">
      <c r="A54" s="41">
        <v>11</v>
      </c>
      <c r="B54" s="41" t="s">
        <v>9536</v>
      </c>
      <c r="C54" s="74" t="s">
        <v>9537</v>
      </c>
      <c r="D54" s="72"/>
      <c r="F54" s="72"/>
      <c r="H54" s="757"/>
      <c r="I54" s="216"/>
      <c r="J54" s="38"/>
      <c r="K54" s="44" t="s">
        <v>397</v>
      </c>
      <c r="L54" s="247" t="s">
        <v>398</v>
      </c>
      <c r="M54" s="46">
        <v>1</v>
      </c>
      <c r="N54" s="223"/>
      <c r="Q54" s="223"/>
      <c r="T54" s="240" t="s">
        <v>398</v>
      </c>
      <c r="U54" s="38">
        <f>_11・初任</f>
        <v>0.7</v>
      </c>
      <c r="V54" s="208">
        <f>ROUND((ROUND((ROUND((ROUND((_11_A家事０．７５*_11・基礎２),0)*_11・２人),0)*(1+_11・A深夜)),0)*_11・初任),0)+ROUND((ROUND((ROUND((ROUND((_11_B家事０．７５＿０．５*_11・基礎２),0)*_11・２人),0)*(1+_11・B早朝)),0)*_11・初任),0)</f>
        <v>211</v>
      </c>
      <c r="W54" s="48"/>
    </row>
    <row r="55" spans="1:23" ht="16.5" customHeight="1" x14ac:dyDescent="0.15">
      <c r="A55" s="41">
        <v>11</v>
      </c>
      <c r="B55" s="41">
        <v>7843</v>
      </c>
      <c r="C55" s="74" t="s">
        <v>9538</v>
      </c>
      <c r="D55" s="72"/>
      <c r="F55" s="707" t="s">
        <v>9489</v>
      </c>
      <c r="G55" s="717"/>
      <c r="H55" s="114"/>
      <c r="I55" s="221"/>
      <c r="J55" s="50"/>
      <c r="K55" s="44"/>
      <c r="L55" s="247"/>
      <c r="M55" s="46"/>
      <c r="N55" s="223"/>
      <c r="Q55" s="223"/>
      <c r="T55" s="114"/>
      <c r="U55" s="50"/>
      <c r="V55" s="208">
        <f>ROUND((_11_A家事０．７５*(1+_11・A深夜)),0)+ROUND((_11_B家事０．７５＿０．７５*(1+_11・B早朝)),0)</f>
        <v>381</v>
      </c>
      <c r="W55" s="48"/>
    </row>
    <row r="56" spans="1:23" ht="16.5" customHeight="1" x14ac:dyDescent="0.15">
      <c r="A56" s="41">
        <v>11</v>
      </c>
      <c r="B56" s="41">
        <v>7844</v>
      </c>
      <c r="C56" s="74" t="s">
        <v>9539</v>
      </c>
      <c r="D56" s="72"/>
      <c r="F56" s="709"/>
      <c r="G56" s="718"/>
      <c r="H56" s="122"/>
      <c r="I56" s="216"/>
      <c r="J56" s="38"/>
      <c r="K56" s="44" t="s">
        <v>397</v>
      </c>
      <c r="L56" s="247" t="s">
        <v>398</v>
      </c>
      <c r="M56" s="46">
        <v>1</v>
      </c>
      <c r="N56" s="223"/>
      <c r="Q56" s="223"/>
      <c r="T56" s="72"/>
      <c r="V56" s="208">
        <f>ROUND((ROUND((_11_A家事０．７５*_11・２人),0)*(1+_11・A深夜)),0)+ROUND((ROUND((_11_B家事０．７５＿０．７５*_11・２人),0)*(1+_11・B早朝)),0)</f>
        <v>381</v>
      </c>
      <c r="W56" s="48"/>
    </row>
    <row r="57" spans="1:23" ht="16.5" customHeight="1" x14ac:dyDescent="0.15">
      <c r="A57" s="41">
        <v>11</v>
      </c>
      <c r="B57" s="41">
        <v>7845</v>
      </c>
      <c r="C57" s="74" t="s">
        <v>9540</v>
      </c>
      <c r="D57" s="72"/>
      <c r="F57" s="709"/>
      <c r="G57" s="718"/>
      <c r="H57" s="752" t="s">
        <v>400</v>
      </c>
      <c r="I57" s="221" t="s">
        <v>398</v>
      </c>
      <c r="J57" s="50">
        <v>0.9</v>
      </c>
      <c r="K57" s="44"/>
      <c r="L57" s="247"/>
      <c r="M57" s="46"/>
      <c r="N57" s="223"/>
      <c r="Q57" s="223"/>
      <c r="T57" s="72"/>
      <c r="V57" s="208">
        <f>ROUND((ROUND((_11_A家事０．７５*_11・基礎２),0)*(1+_11・A深夜)),0)+ROUND((ROUND((_11_B家事０．７５＿０．７５*_11・基礎２),0)*(1+_11・B早朝)),0)</f>
        <v>344</v>
      </c>
      <c r="W57" s="48"/>
    </row>
    <row r="58" spans="1:23" ht="16.5" customHeight="1" x14ac:dyDescent="0.15">
      <c r="A58" s="41">
        <v>11</v>
      </c>
      <c r="B58" s="41">
        <v>7846</v>
      </c>
      <c r="C58" s="74" t="s">
        <v>9541</v>
      </c>
      <c r="D58" s="72"/>
      <c r="F58" s="125">
        <f>_11_B家事０．７５＿０．７５</f>
        <v>122</v>
      </c>
      <c r="G58" s="12" t="s">
        <v>392</v>
      </c>
      <c r="H58" s="757"/>
      <c r="I58" s="216"/>
      <c r="J58" s="38"/>
      <c r="K58" s="44" t="s">
        <v>397</v>
      </c>
      <c r="L58" s="247" t="s">
        <v>398</v>
      </c>
      <c r="M58" s="46">
        <v>1</v>
      </c>
      <c r="N58" s="223"/>
      <c r="Q58" s="223"/>
      <c r="T58" s="122"/>
      <c r="U58" s="38"/>
      <c r="V58" s="208">
        <f>ROUND((ROUND((ROUND((_11_A家事０．７５*_11・基礎２),0)*_11・２人),0)*(1+_11・A深夜)),0)+ROUND((ROUND((ROUND((_11_B家事０．７５＿０．７５*_11・基礎２),0)*_11・２人),0)*(1+_11・B早朝)),0)</f>
        <v>344</v>
      </c>
      <c r="W58" s="48"/>
    </row>
    <row r="59" spans="1:23" ht="16.5" customHeight="1" x14ac:dyDescent="0.15">
      <c r="A59" s="41">
        <v>11</v>
      </c>
      <c r="B59" s="41" t="s">
        <v>9542</v>
      </c>
      <c r="C59" s="74" t="s">
        <v>9543</v>
      </c>
      <c r="D59" s="72"/>
      <c r="F59" s="72"/>
      <c r="H59" s="114"/>
      <c r="I59" s="221"/>
      <c r="J59" s="50"/>
      <c r="K59" s="44"/>
      <c r="L59" s="247"/>
      <c r="M59" s="46"/>
      <c r="N59" s="223"/>
      <c r="Q59" s="223"/>
      <c r="T59" s="707" t="s">
        <v>404</v>
      </c>
      <c r="U59" s="708"/>
      <c r="V59" s="208">
        <f>ROUND((ROUND((_11_A家事０．７５*(1+_11・A深夜)),0)*_11・初任),0)+ROUND((ROUND((_11_B家事０．７５＿０．７５*(1+_11・B早朝)),0)*_11・初任),0)</f>
        <v>267</v>
      </c>
      <c r="W59" s="48"/>
    </row>
    <row r="60" spans="1:23" ht="16.5" customHeight="1" x14ac:dyDescent="0.15">
      <c r="A60" s="41">
        <v>11</v>
      </c>
      <c r="B60" s="41" t="s">
        <v>9544</v>
      </c>
      <c r="C60" s="74" t="s">
        <v>9545</v>
      </c>
      <c r="D60" s="72"/>
      <c r="F60" s="72"/>
      <c r="H60" s="122"/>
      <c r="I60" s="216"/>
      <c r="J60" s="38"/>
      <c r="K60" s="44" t="s">
        <v>397</v>
      </c>
      <c r="L60" s="247" t="s">
        <v>398</v>
      </c>
      <c r="M60" s="46">
        <v>1</v>
      </c>
      <c r="N60" s="223"/>
      <c r="Q60" s="223"/>
      <c r="T60" s="709"/>
      <c r="U60" s="704"/>
      <c r="V60" s="208">
        <f>ROUND((ROUND((ROUND((_11_A家事０．７５*_11・２人),0)*(1+_11・A深夜)),0)*_11・初任),0)+ROUND((ROUND((ROUND((_11_B家事０．７５＿０．７５*_11・２人),0)*(1+_11・B早朝)),0)*_11・初任),0)</f>
        <v>267</v>
      </c>
      <c r="W60" s="48"/>
    </row>
    <row r="61" spans="1:23" ht="16.5" customHeight="1" x14ac:dyDescent="0.15">
      <c r="A61" s="41">
        <v>11</v>
      </c>
      <c r="B61" s="41" t="s">
        <v>9546</v>
      </c>
      <c r="C61" s="74" t="s">
        <v>9547</v>
      </c>
      <c r="D61" s="72"/>
      <c r="F61" s="72"/>
      <c r="H61" s="752" t="s">
        <v>400</v>
      </c>
      <c r="I61" s="221" t="s">
        <v>398</v>
      </c>
      <c r="J61" s="50">
        <v>0.9</v>
      </c>
      <c r="K61" s="44"/>
      <c r="L61" s="247"/>
      <c r="M61" s="46"/>
      <c r="N61" s="223"/>
      <c r="Q61" s="223"/>
      <c r="T61" s="709"/>
      <c r="U61" s="704"/>
      <c r="V61" s="208">
        <f>ROUND((ROUND((ROUND((_11_A家事０．７５*_11・基礎２),0)*(1+_11・A深夜)),0)*_11・初任),0)+ROUND((ROUND((ROUND((_11_B家事０．７５＿０．７５*_11・基礎２),0)*(1+_11・B早朝)),0)*_11・初任),0)</f>
        <v>241</v>
      </c>
      <c r="W61" s="48"/>
    </row>
    <row r="62" spans="1:23" ht="16.5" customHeight="1" x14ac:dyDescent="0.15">
      <c r="A62" s="41">
        <v>11</v>
      </c>
      <c r="B62" s="41" t="s">
        <v>9548</v>
      </c>
      <c r="C62" s="74" t="s">
        <v>9549</v>
      </c>
      <c r="D62" s="72"/>
      <c r="F62" s="72"/>
      <c r="H62" s="757"/>
      <c r="I62" s="216"/>
      <c r="J62" s="38"/>
      <c r="K62" s="44" t="s">
        <v>397</v>
      </c>
      <c r="L62" s="247" t="s">
        <v>398</v>
      </c>
      <c r="M62" s="46">
        <v>1</v>
      </c>
      <c r="N62" s="223"/>
      <c r="Q62" s="223"/>
      <c r="T62" s="240" t="s">
        <v>398</v>
      </c>
      <c r="U62" s="38">
        <f>_11・初任</f>
        <v>0.7</v>
      </c>
      <c r="V62" s="208">
        <f>ROUND((ROUND((ROUND((ROUND((_11_A家事０．７５*_11・基礎２),0)*_11・２人),0)*(1+_11・A深夜)),0)*_11・初任),0)+ROUND((ROUND((ROUND((ROUND((_11_B家事０．７５＿０．７５*_11・基礎２),0)*_11・２人),0)*(1+_11・B早朝)),0)*_11・初任),0)</f>
        <v>241</v>
      </c>
      <c r="W62" s="48"/>
    </row>
    <row r="63" spans="1:23" ht="16.5" customHeight="1" x14ac:dyDescent="0.15">
      <c r="A63" s="41">
        <v>11</v>
      </c>
      <c r="B63" s="41">
        <v>7847</v>
      </c>
      <c r="C63" s="74" t="s">
        <v>9550</v>
      </c>
      <c r="D63" s="707" t="s">
        <v>9163</v>
      </c>
      <c r="E63" s="717"/>
      <c r="F63" s="707" t="s">
        <v>9463</v>
      </c>
      <c r="G63" s="717"/>
      <c r="H63" s="114"/>
      <c r="I63" s="221"/>
      <c r="J63" s="50"/>
      <c r="K63" s="44"/>
      <c r="L63" s="247"/>
      <c r="M63" s="46"/>
      <c r="N63" s="223"/>
      <c r="Q63" s="223"/>
      <c r="T63" s="53"/>
      <c r="U63" s="50"/>
      <c r="V63" s="208">
        <f>ROUND((_11_A家事１．０*(1+_11・A深夜)),0)+ROUND((_11_B家事１．０＿０．２５*(1+_11・B早朝)),0)</f>
        <v>347</v>
      </c>
      <c r="W63" s="48"/>
    </row>
    <row r="64" spans="1:23" ht="16.5" customHeight="1" x14ac:dyDescent="0.15">
      <c r="A64" s="41">
        <v>11</v>
      </c>
      <c r="B64" s="41">
        <v>7848</v>
      </c>
      <c r="C64" s="74" t="s">
        <v>9551</v>
      </c>
      <c r="D64" s="709"/>
      <c r="E64" s="718"/>
      <c r="F64" s="709"/>
      <c r="G64" s="718"/>
      <c r="H64" s="122"/>
      <c r="I64" s="216"/>
      <c r="J64" s="38"/>
      <c r="K64" s="44" t="s">
        <v>397</v>
      </c>
      <c r="L64" s="247" t="s">
        <v>398</v>
      </c>
      <c r="M64" s="46">
        <v>1</v>
      </c>
      <c r="N64" s="223"/>
      <c r="Q64" s="223"/>
      <c r="T64" s="35"/>
      <c r="V64" s="208">
        <f>ROUND((ROUND((_11_A家事１．０*_11・２人),0)*(1+_11・A深夜)),0)+ROUND((ROUND((_11_B家事１．０＿０．２５*_11・２人),0)*(1+_11・B早朝)),0)</f>
        <v>347</v>
      </c>
      <c r="W64" s="48"/>
    </row>
    <row r="65" spans="1:23" ht="16.5" customHeight="1" x14ac:dyDescent="0.15">
      <c r="A65" s="41">
        <v>11</v>
      </c>
      <c r="B65" s="41">
        <v>7849</v>
      </c>
      <c r="C65" s="74" t="s">
        <v>9552</v>
      </c>
      <c r="D65" s="709"/>
      <c r="E65" s="718"/>
      <c r="F65" s="709"/>
      <c r="G65" s="718"/>
      <c r="H65" s="752" t="s">
        <v>400</v>
      </c>
      <c r="I65" s="221" t="s">
        <v>398</v>
      </c>
      <c r="J65" s="50">
        <v>0.9</v>
      </c>
      <c r="K65" s="44"/>
      <c r="L65" s="247"/>
      <c r="M65" s="46"/>
      <c r="N65" s="223"/>
      <c r="Q65" s="223"/>
      <c r="T65" s="35"/>
      <c r="V65" s="208">
        <f>ROUND((ROUND((_11_A家事１．０*_11・基礎２),0)*(1+_11・A深夜)),0)+ROUND((ROUND((_11_B家事１．０＿０．２５*_11・基礎２),0)*(1+_11・B早朝)),0)</f>
        <v>312</v>
      </c>
      <c r="W65" s="48"/>
    </row>
    <row r="66" spans="1:23" ht="16.5" customHeight="1" x14ac:dyDescent="0.15">
      <c r="A66" s="41">
        <v>11</v>
      </c>
      <c r="B66" s="41">
        <v>7850</v>
      </c>
      <c r="C66" s="74" t="s">
        <v>9553</v>
      </c>
      <c r="D66" s="125">
        <f>_11_A家事１．０</f>
        <v>196</v>
      </c>
      <c r="E66" s="12" t="s">
        <v>392</v>
      </c>
      <c r="F66" s="125">
        <f>_11_B家事１．０＿０．２５</f>
        <v>42</v>
      </c>
      <c r="G66" s="12" t="s">
        <v>392</v>
      </c>
      <c r="H66" s="757"/>
      <c r="I66" s="216"/>
      <c r="J66" s="38"/>
      <c r="K66" s="44" t="s">
        <v>397</v>
      </c>
      <c r="L66" s="247" t="s">
        <v>398</v>
      </c>
      <c r="M66" s="46">
        <v>1</v>
      </c>
      <c r="N66" s="223"/>
      <c r="Q66" s="223"/>
      <c r="T66" s="43"/>
      <c r="U66" s="38"/>
      <c r="V66" s="208">
        <f>ROUND((ROUND((ROUND((_11_A家事１．０*_11・基礎２),0)*_11・２人),0)*(1+_11・A深夜)),0)+ROUND((ROUND((ROUND((_11_B家事１．０＿０．２５*_11・基礎２),0)*_11・２人),0)*(1+_11・B早朝)),0)</f>
        <v>312</v>
      </c>
      <c r="W66" s="48"/>
    </row>
    <row r="67" spans="1:23" ht="16.5" customHeight="1" x14ac:dyDescent="0.15">
      <c r="A67" s="41">
        <v>11</v>
      </c>
      <c r="B67" s="41" t="s">
        <v>9554</v>
      </c>
      <c r="C67" s="74" t="s">
        <v>9555</v>
      </c>
      <c r="D67" s="72"/>
      <c r="F67" s="72"/>
      <c r="H67" s="114"/>
      <c r="I67" s="221"/>
      <c r="J67" s="50"/>
      <c r="K67" s="44"/>
      <c r="L67" s="247"/>
      <c r="M67" s="46"/>
      <c r="N67" s="223"/>
      <c r="Q67" s="223"/>
      <c r="T67" s="707" t="s">
        <v>404</v>
      </c>
      <c r="U67" s="708"/>
      <c r="V67" s="208">
        <f>ROUND((ROUND((_11_A家事１．０*(1+_11・A深夜)),0)*_11・初任),0)+ROUND((ROUND((_11_B家事１．０＿０．２５*(1+_11・B早朝)),0)*_11・初任),0)</f>
        <v>243</v>
      </c>
      <c r="W67" s="48"/>
    </row>
    <row r="68" spans="1:23" ht="16.5" customHeight="1" x14ac:dyDescent="0.15">
      <c r="A68" s="41">
        <v>11</v>
      </c>
      <c r="B68" s="41" t="s">
        <v>9556</v>
      </c>
      <c r="C68" s="74" t="s">
        <v>9557</v>
      </c>
      <c r="D68" s="72"/>
      <c r="F68" s="72"/>
      <c r="H68" s="122"/>
      <c r="I68" s="216"/>
      <c r="J68" s="38"/>
      <c r="K68" s="44" t="s">
        <v>397</v>
      </c>
      <c r="L68" s="247" t="s">
        <v>398</v>
      </c>
      <c r="M68" s="46">
        <v>1</v>
      </c>
      <c r="N68" s="223"/>
      <c r="Q68" s="223"/>
      <c r="T68" s="709"/>
      <c r="U68" s="704"/>
      <c r="V68" s="208">
        <f>ROUND((ROUND((ROUND((_11_A家事１．０*_11・２人),0)*(1+_11・A深夜)),0)*_11・初任),0)+ROUND((ROUND((ROUND((_11_B家事１．０＿０．２５*_11・２人),0)*(1+_11・B早朝)),0)*_11・初任),0)</f>
        <v>243</v>
      </c>
      <c r="W68" s="48"/>
    </row>
    <row r="69" spans="1:23" ht="16.5" customHeight="1" x14ac:dyDescent="0.15">
      <c r="A69" s="41">
        <v>11</v>
      </c>
      <c r="B69" s="41" t="s">
        <v>9558</v>
      </c>
      <c r="C69" s="74" t="s">
        <v>9559</v>
      </c>
      <c r="D69" s="72"/>
      <c r="F69" s="72"/>
      <c r="H69" s="752" t="s">
        <v>400</v>
      </c>
      <c r="I69" s="221" t="s">
        <v>398</v>
      </c>
      <c r="J69" s="50">
        <v>0.9</v>
      </c>
      <c r="K69" s="44"/>
      <c r="L69" s="247"/>
      <c r="M69" s="46"/>
      <c r="N69" s="223"/>
      <c r="Q69" s="223"/>
      <c r="T69" s="709"/>
      <c r="U69" s="704"/>
      <c r="V69" s="208">
        <f>ROUND((ROUND((ROUND((_11_A家事１．０*_11・基礎２),0)*(1+_11・A深夜)),0)*_11・初任),0)+ROUND((ROUND((ROUND((_11_B家事１．０＿０．２５*_11・基礎２),0)*(1+_11・B早朝)),0)*_11・初任),0)</f>
        <v>219</v>
      </c>
      <c r="W69" s="48"/>
    </row>
    <row r="70" spans="1:23" ht="16.5" customHeight="1" x14ac:dyDescent="0.15">
      <c r="A70" s="41">
        <v>11</v>
      </c>
      <c r="B70" s="41" t="s">
        <v>9560</v>
      </c>
      <c r="C70" s="74" t="s">
        <v>9561</v>
      </c>
      <c r="D70" s="72"/>
      <c r="F70" s="72"/>
      <c r="H70" s="757"/>
      <c r="I70" s="216"/>
      <c r="J70" s="38"/>
      <c r="K70" s="44" t="s">
        <v>397</v>
      </c>
      <c r="L70" s="247" t="s">
        <v>398</v>
      </c>
      <c r="M70" s="46">
        <v>1</v>
      </c>
      <c r="N70" s="223"/>
      <c r="Q70" s="223"/>
      <c r="T70" s="240" t="s">
        <v>398</v>
      </c>
      <c r="U70" s="38">
        <f>_11・初任</f>
        <v>0.7</v>
      </c>
      <c r="V70" s="208">
        <f>ROUND((ROUND((ROUND((ROUND((_11_A家事１．０*_11・基礎２),0)*_11・２人),0)*(1+_11・A深夜)),0)*_11・初任),0)+ROUND((ROUND((ROUND((ROUND((_11_B家事１．０＿０．２５*_11・基礎２),0)*_11・２人),0)*(1+_11・B早朝)),0)*_11・初任),0)</f>
        <v>219</v>
      </c>
      <c r="W70" s="48"/>
    </row>
    <row r="71" spans="1:23" ht="16.5" customHeight="1" x14ac:dyDescent="0.15">
      <c r="A71" s="41">
        <v>11</v>
      </c>
      <c r="B71" s="41">
        <v>6311</v>
      </c>
      <c r="C71" s="74" t="s">
        <v>9562</v>
      </c>
      <c r="D71" s="72"/>
      <c r="F71" s="707" t="s">
        <v>9476</v>
      </c>
      <c r="G71" s="717"/>
      <c r="H71" s="114"/>
      <c r="I71" s="221"/>
      <c r="J71" s="50"/>
      <c r="K71" s="44"/>
      <c r="L71" s="247"/>
      <c r="M71" s="46"/>
      <c r="N71" s="223"/>
      <c r="Q71" s="223"/>
      <c r="T71" s="114"/>
      <c r="U71" s="50"/>
      <c r="V71" s="208">
        <f>ROUND((_11_A家事１．０*(1+_11・A深夜)),0)+ROUND((_11_B家事１．０＿０．５*(1+_11・B早朝)),0)</f>
        <v>392</v>
      </c>
      <c r="W71" s="48"/>
    </row>
    <row r="72" spans="1:23" ht="16.5" customHeight="1" x14ac:dyDescent="0.15">
      <c r="A72" s="41">
        <v>11</v>
      </c>
      <c r="B72" s="41">
        <v>6312</v>
      </c>
      <c r="C72" s="74" t="s">
        <v>9563</v>
      </c>
      <c r="D72" s="72"/>
      <c r="F72" s="709"/>
      <c r="G72" s="718"/>
      <c r="H72" s="122"/>
      <c r="I72" s="216"/>
      <c r="J72" s="38"/>
      <c r="K72" s="44" t="s">
        <v>397</v>
      </c>
      <c r="L72" s="247" t="s">
        <v>398</v>
      </c>
      <c r="M72" s="46">
        <v>1</v>
      </c>
      <c r="N72" s="223"/>
      <c r="Q72" s="223"/>
      <c r="T72" s="72"/>
      <c r="V72" s="208">
        <f>ROUND((ROUND((_11_A家事１．０*_11・２人),0)*(1+_11・A深夜)),0)+ROUND((ROUND((_11_B家事１．０＿０．５*_11・２人),0)*(1+_11・B早朝)),0)</f>
        <v>392</v>
      </c>
      <c r="W72" s="48"/>
    </row>
    <row r="73" spans="1:23" ht="16.5" customHeight="1" x14ac:dyDescent="0.15">
      <c r="A73" s="41">
        <v>11</v>
      </c>
      <c r="B73" s="41">
        <v>6313</v>
      </c>
      <c r="C73" s="74" t="s">
        <v>9564</v>
      </c>
      <c r="D73" s="72"/>
      <c r="F73" s="709"/>
      <c r="G73" s="718"/>
      <c r="H73" s="752" t="s">
        <v>400</v>
      </c>
      <c r="I73" s="221" t="s">
        <v>398</v>
      </c>
      <c r="J73" s="50">
        <v>0.9</v>
      </c>
      <c r="K73" s="44"/>
      <c r="L73" s="247"/>
      <c r="M73" s="46"/>
      <c r="N73" s="223"/>
      <c r="Q73" s="223"/>
      <c r="T73" s="72"/>
      <c r="V73" s="208">
        <f>ROUND((ROUND((_11_A家事１．０*_11・基礎２),0)*(1+_11・A深夜)),0)+ROUND((ROUND((_11_B家事１．０＿０．５*_11・基礎２),0)*(1+_11・B早朝)),0)</f>
        <v>352</v>
      </c>
      <c r="W73" s="48"/>
    </row>
    <row r="74" spans="1:23" ht="16.5" customHeight="1" x14ac:dyDescent="0.15">
      <c r="A74" s="41">
        <v>11</v>
      </c>
      <c r="B74" s="41">
        <v>6314</v>
      </c>
      <c r="C74" s="74" t="s">
        <v>9565</v>
      </c>
      <c r="D74" s="72"/>
      <c r="F74" s="125">
        <f>_11_B家事１．０＿０．５</f>
        <v>78</v>
      </c>
      <c r="G74" s="12" t="s">
        <v>392</v>
      </c>
      <c r="H74" s="757"/>
      <c r="I74" s="216"/>
      <c r="J74" s="38"/>
      <c r="K74" s="44" t="s">
        <v>397</v>
      </c>
      <c r="L74" s="247" t="s">
        <v>398</v>
      </c>
      <c r="M74" s="46">
        <v>1</v>
      </c>
      <c r="N74" s="223"/>
      <c r="Q74" s="223"/>
      <c r="T74" s="122"/>
      <c r="U74" s="38"/>
      <c r="V74" s="208">
        <f>ROUND((ROUND((ROUND((_11_A家事１．０*_11・基礎２),0)*_11・２人),0)*(1+_11・A深夜)),0)+ROUND((ROUND((ROUND((_11_B家事１．０＿０．５*_11・基礎２),0)*_11・２人),0)*(1+_11・B早朝)),0)</f>
        <v>352</v>
      </c>
      <c r="W74" s="48"/>
    </row>
    <row r="75" spans="1:23" ht="16.5" customHeight="1" x14ac:dyDescent="0.15">
      <c r="A75" s="41">
        <v>11</v>
      </c>
      <c r="B75" s="41" t="s">
        <v>9566</v>
      </c>
      <c r="C75" s="74" t="s">
        <v>9567</v>
      </c>
      <c r="D75" s="72"/>
      <c r="F75" s="72"/>
      <c r="H75" s="114"/>
      <c r="I75" s="221"/>
      <c r="J75" s="50"/>
      <c r="K75" s="44"/>
      <c r="L75" s="247"/>
      <c r="M75" s="46"/>
      <c r="N75" s="223"/>
      <c r="Q75" s="223"/>
      <c r="T75" s="707" t="s">
        <v>404</v>
      </c>
      <c r="U75" s="708"/>
      <c r="V75" s="208">
        <f>ROUND((ROUND((_11_A家事１．０*(1+_11・A深夜)),0)*_11・初任),0)+ROUND((ROUND((_11_B家事１．０＿０．５*(1+_11・B早朝)),0)*_11・初任),0)</f>
        <v>275</v>
      </c>
      <c r="W75" s="48"/>
    </row>
    <row r="76" spans="1:23" ht="16.5" customHeight="1" x14ac:dyDescent="0.15">
      <c r="A76" s="41">
        <v>11</v>
      </c>
      <c r="B76" s="41" t="s">
        <v>9568</v>
      </c>
      <c r="C76" s="74" t="s">
        <v>9569</v>
      </c>
      <c r="D76" s="72"/>
      <c r="F76" s="72"/>
      <c r="H76" s="122"/>
      <c r="I76" s="216"/>
      <c r="J76" s="38"/>
      <c r="K76" s="44" t="s">
        <v>397</v>
      </c>
      <c r="L76" s="247" t="s">
        <v>398</v>
      </c>
      <c r="M76" s="46">
        <v>1</v>
      </c>
      <c r="N76" s="223"/>
      <c r="Q76" s="223"/>
      <c r="T76" s="709"/>
      <c r="U76" s="704"/>
      <c r="V76" s="208">
        <f>ROUND((ROUND((ROUND((_11_A家事１．０*_11・２人),0)*(1+_11・A深夜)),0)*_11・初任),0)+ROUND((ROUND((ROUND((_11_B家事１．０＿０．５*_11・２人),0)*(1+_11・B早朝)),0)*_11・初任),0)</f>
        <v>275</v>
      </c>
      <c r="W76" s="48"/>
    </row>
    <row r="77" spans="1:23" ht="16.5" customHeight="1" x14ac:dyDescent="0.15">
      <c r="A77" s="41">
        <v>11</v>
      </c>
      <c r="B77" s="41" t="s">
        <v>9570</v>
      </c>
      <c r="C77" s="74" t="s">
        <v>9571</v>
      </c>
      <c r="D77" s="72"/>
      <c r="F77" s="72"/>
      <c r="H77" s="752" t="s">
        <v>400</v>
      </c>
      <c r="I77" s="221" t="s">
        <v>398</v>
      </c>
      <c r="J77" s="50">
        <v>0.9</v>
      </c>
      <c r="K77" s="44"/>
      <c r="L77" s="247"/>
      <c r="M77" s="46"/>
      <c r="N77" s="223"/>
      <c r="Q77" s="223"/>
      <c r="T77" s="709"/>
      <c r="U77" s="704"/>
      <c r="V77" s="208">
        <f>ROUND((ROUND((ROUND((_11_A家事１．０*_11・基礎２),0)*(1+_11・A深夜)),0)*_11・初任),0)+ROUND((ROUND((ROUND((_11_B家事１．０＿０．５*_11・基礎２),0)*(1+_11・B早朝)),0)*_11・初任),0)</f>
        <v>247</v>
      </c>
      <c r="W77" s="48"/>
    </row>
    <row r="78" spans="1:23" ht="16.5" customHeight="1" x14ac:dyDescent="0.15">
      <c r="A78" s="41">
        <v>11</v>
      </c>
      <c r="B78" s="41" t="s">
        <v>9572</v>
      </c>
      <c r="C78" s="74" t="s">
        <v>9573</v>
      </c>
      <c r="D78" s="72"/>
      <c r="F78" s="72"/>
      <c r="H78" s="757"/>
      <c r="I78" s="216"/>
      <c r="J78" s="38"/>
      <c r="K78" s="44" t="s">
        <v>397</v>
      </c>
      <c r="L78" s="247" t="s">
        <v>398</v>
      </c>
      <c r="M78" s="46">
        <v>1</v>
      </c>
      <c r="N78" s="223"/>
      <c r="Q78" s="223"/>
      <c r="T78" s="240" t="s">
        <v>398</v>
      </c>
      <c r="U78" s="38">
        <f>_11・初任</f>
        <v>0.7</v>
      </c>
      <c r="V78" s="208">
        <f>ROUND((ROUND((ROUND((ROUND((_11_A家事１．０*_11・基礎２),0)*_11・２人),0)*(1+_11・A深夜)),0)*_11・初任),0)+ROUND((ROUND((ROUND((ROUND((_11_B家事１．０＿０．５*_11・基礎２),0)*_11・２人),0)*(1+_11・B早朝)),0)*_11・初任),0)</f>
        <v>247</v>
      </c>
      <c r="W78" s="48"/>
    </row>
    <row r="79" spans="1:23" ht="16.5" customHeight="1" x14ac:dyDescent="0.15">
      <c r="A79" s="41">
        <v>11</v>
      </c>
      <c r="B79" s="41">
        <v>7851</v>
      </c>
      <c r="C79" s="74" t="s">
        <v>9574</v>
      </c>
      <c r="D79" s="707" t="s">
        <v>9176</v>
      </c>
      <c r="E79" s="717"/>
      <c r="F79" s="707" t="s">
        <v>9463</v>
      </c>
      <c r="G79" s="717"/>
      <c r="H79" s="114"/>
      <c r="I79" s="221"/>
      <c r="J79" s="50"/>
      <c r="K79" s="44"/>
      <c r="L79" s="247"/>
      <c r="M79" s="46"/>
      <c r="N79" s="223"/>
      <c r="Q79" s="223"/>
      <c r="T79" s="53"/>
      <c r="U79" s="50"/>
      <c r="V79" s="208">
        <f>ROUND((_11_A家事１．２５*(1+_11・A深夜)),0)+ROUND((_11_B家事１．２５＿０．２５*(1+_11・B早朝)),0)</f>
        <v>402</v>
      </c>
      <c r="W79" s="48"/>
    </row>
    <row r="80" spans="1:23" ht="16.5" customHeight="1" x14ac:dyDescent="0.15">
      <c r="A80" s="41">
        <v>11</v>
      </c>
      <c r="B80" s="41">
        <v>7852</v>
      </c>
      <c r="C80" s="74" t="s">
        <v>9575</v>
      </c>
      <c r="D80" s="709"/>
      <c r="E80" s="718"/>
      <c r="F80" s="709"/>
      <c r="G80" s="718"/>
      <c r="H80" s="122"/>
      <c r="I80" s="216"/>
      <c r="J80" s="38"/>
      <c r="K80" s="44" t="s">
        <v>397</v>
      </c>
      <c r="L80" s="247" t="s">
        <v>398</v>
      </c>
      <c r="M80" s="46">
        <v>1</v>
      </c>
      <c r="N80" s="223"/>
      <c r="Q80" s="223"/>
      <c r="T80" s="35"/>
      <c r="V80" s="208">
        <f>ROUND((ROUND((_11_A家事１．２５*_11・２人),0)*(1+_11・A深夜)),0)+ROUND((ROUND((_11_B家事１．２５＿０．２５*_11・２人),0)*(1+_11・B早朝)),0)</f>
        <v>402</v>
      </c>
      <c r="W80" s="48"/>
    </row>
    <row r="81" spans="1:23" ht="16.5" customHeight="1" x14ac:dyDescent="0.15">
      <c r="A81" s="41">
        <v>11</v>
      </c>
      <c r="B81" s="41">
        <v>7853</v>
      </c>
      <c r="C81" s="74" t="s">
        <v>9576</v>
      </c>
      <c r="D81" s="709"/>
      <c r="E81" s="718"/>
      <c r="F81" s="709"/>
      <c r="G81" s="718"/>
      <c r="H81" s="752" t="s">
        <v>400</v>
      </c>
      <c r="I81" s="221" t="s">
        <v>398</v>
      </c>
      <c r="J81" s="50">
        <v>0.9</v>
      </c>
      <c r="K81" s="44"/>
      <c r="L81" s="247"/>
      <c r="M81" s="46"/>
      <c r="N81" s="223"/>
      <c r="Q81" s="223"/>
      <c r="T81" s="35"/>
      <c r="V81" s="208">
        <f>ROUND((ROUND((_11_A家事１．２５*_11・基礎２),0)*(1+_11・A深夜)),0)+ROUND((ROUND((_11_B家事１．２５＿０．２５*_11・基礎２),0)*(1+_11・B早朝)),0)</f>
        <v>361</v>
      </c>
      <c r="W81" s="48"/>
    </row>
    <row r="82" spans="1:23" ht="16.5" customHeight="1" x14ac:dyDescent="0.15">
      <c r="A82" s="41">
        <v>11</v>
      </c>
      <c r="B82" s="41">
        <v>7854</v>
      </c>
      <c r="C82" s="74" t="s">
        <v>9577</v>
      </c>
      <c r="D82" s="125">
        <f>_11_A家事１．２５</f>
        <v>238</v>
      </c>
      <c r="E82" s="12" t="s">
        <v>392</v>
      </c>
      <c r="F82" s="125">
        <f>_11_B家事１．２５＿０．２５</f>
        <v>36</v>
      </c>
      <c r="G82" s="12" t="s">
        <v>392</v>
      </c>
      <c r="H82" s="757"/>
      <c r="I82" s="216"/>
      <c r="J82" s="38"/>
      <c r="K82" s="44" t="s">
        <v>397</v>
      </c>
      <c r="L82" s="247" t="s">
        <v>398</v>
      </c>
      <c r="M82" s="46">
        <v>1</v>
      </c>
      <c r="N82" s="223"/>
      <c r="Q82" s="223"/>
      <c r="T82" s="43"/>
      <c r="U82" s="38"/>
      <c r="V82" s="208">
        <f>ROUND((ROUND((ROUND((_11_A家事１．２５*_11・基礎２),0)*_11・２人),0)*(1+_11・A深夜)),0)+ROUND((ROUND((ROUND((_11_B家事１．２５＿０．２５*_11・基礎２),0)*_11・２人),0)*(1+_11・B早朝)),0)</f>
        <v>361</v>
      </c>
      <c r="W82" s="48"/>
    </row>
    <row r="83" spans="1:23" ht="16.5" customHeight="1" x14ac:dyDescent="0.15">
      <c r="A83" s="41">
        <v>11</v>
      </c>
      <c r="B83" s="41" t="s">
        <v>9578</v>
      </c>
      <c r="C83" s="74" t="s">
        <v>9579</v>
      </c>
      <c r="D83" s="72"/>
      <c r="F83" s="72"/>
      <c r="H83" s="114"/>
      <c r="I83" s="221"/>
      <c r="J83" s="50"/>
      <c r="K83" s="44"/>
      <c r="L83" s="247"/>
      <c r="M83" s="46"/>
      <c r="N83" s="223"/>
      <c r="Q83" s="223"/>
      <c r="T83" s="707" t="s">
        <v>404</v>
      </c>
      <c r="U83" s="708"/>
      <c r="V83" s="208">
        <f>ROUND((ROUND((_11_A家事１．２５*(1+_11・A深夜)),0)*_11・初任),0)+ROUND((ROUND((_11_B家事１．２５＿０．２５*(1+_11・B早朝)),0)*_11・初任),0)</f>
        <v>282</v>
      </c>
      <c r="W83" s="48"/>
    </row>
    <row r="84" spans="1:23" ht="16.5" customHeight="1" x14ac:dyDescent="0.15">
      <c r="A84" s="41">
        <v>11</v>
      </c>
      <c r="B84" s="41" t="s">
        <v>9580</v>
      </c>
      <c r="C84" s="74" t="s">
        <v>9581</v>
      </c>
      <c r="D84" s="72"/>
      <c r="F84" s="72"/>
      <c r="H84" s="122"/>
      <c r="I84" s="216"/>
      <c r="J84" s="38"/>
      <c r="K84" s="44" t="s">
        <v>397</v>
      </c>
      <c r="L84" s="247" t="s">
        <v>398</v>
      </c>
      <c r="M84" s="46">
        <v>1</v>
      </c>
      <c r="N84" s="223"/>
      <c r="Q84" s="223"/>
      <c r="T84" s="709"/>
      <c r="U84" s="704"/>
      <c r="V84" s="208">
        <f>ROUND((ROUND((ROUND((_11_A家事１．２５*_11・２人),0)*(1+_11・A深夜)),0)*_11・初任),0)+ROUND((ROUND((ROUND((_11_B家事１．２５＿０．２５*_11・２人),0)*(1+_11・B早朝)),0)*_11・初任),0)</f>
        <v>282</v>
      </c>
      <c r="W84" s="48"/>
    </row>
    <row r="85" spans="1:23" ht="16.5" customHeight="1" x14ac:dyDescent="0.15">
      <c r="A85" s="41">
        <v>11</v>
      </c>
      <c r="B85" s="41" t="s">
        <v>9582</v>
      </c>
      <c r="C85" s="74" t="s">
        <v>9583</v>
      </c>
      <c r="D85" s="72"/>
      <c r="F85" s="72"/>
      <c r="H85" s="752" t="s">
        <v>400</v>
      </c>
      <c r="I85" s="221" t="s">
        <v>398</v>
      </c>
      <c r="J85" s="50">
        <v>0.9</v>
      </c>
      <c r="K85" s="44"/>
      <c r="L85" s="247"/>
      <c r="M85" s="46"/>
      <c r="N85" s="223"/>
      <c r="Q85" s="223"/>
      <c r="T85" s="709"/>
      <c r="U85" s="704"/>
      <c r="V85" s="208">
        <f>ROUND((ROUND((ROUND((_11_A家事１．２５*_11・基礎２),0)*(1+_11・A深夜)),0)*_11・初任),0)+ROUND((ROUND((ROUND((_11_B家事１．２５＿０．２５*_11・基礎２),0)*(1+_11・B早朝)),0)*_11・初任),0)</f>
        <v>253</v>
      </c>
      <c r="W85" s="48"/>
    </row>
    <row r="86" spans="1:23" ht="16.5" customHeight="1" x14ac:dyDescent="0.15">
      <c r="A86" s="41">
        <v>11</v>
      </c>
      <c r="B86" s="41" t="s">
        <v>9584</v>
      </c>
      <c r="C86" s="74" t="s">
        <v>9585</v>
      </c>
      <c r="D86" s="122"/>
      <c r="E86" s="37"/>
      <c r="F86" s="122"/>
      <c r="G86" s="37"/>
      <c r="H86" s="757"/>
      <c r="I86" s="216"/>
      <c r="J86" s="38"/>
      <c r="K86" s="44" t="s">
        <v>397</v>
      </c>
      <c r="L86" s="247" t="s">
        <v>398</v>
      </c>
      <c r="M86" s="46">
        <v>1</v>
      </c>
      <c r="N86" s="227"/>
      <c r="O86" s="37"/>
      <c r="P86" s="38"/>
      <c r="Q86" s="227"/>
      <c r="R86" s="37"/>
      <c r="S86" s="38"/>
      <c r="T86" s="240" t="s">
        <v>398</v>
      </c>
      <c r="U86" s="38">
        <f>_11・初任</f>
        <v>0.7</v>
      </c>
      <c r="V86" s="208">
        <f>ROUND((ROUND((ROUND((ROUND((_11_A家事１．２５*_11・基礎２),0)*_11・２人),0)*(1+_11・A深夜)),0)*_11・初任),0)+ROUND((ROUND((ROUND((ROUND((_11_B家事１．２５＿０．２５*_11・基礎２),0)*_11・２人),0)*(1+_11・B早朝)),0)*_11・初任),0)</f>
        <v>253</v>
      </c>
      <c r="W86" s="63"/>
    </row>
    <row r="87" spans="1:23" ht="16.5" customHeight="1" x14ac:dyDescent="0.15"/>
    <row r="88" spans="1:23" ht="16.5" customHeight="1" x14ac:dyDescent="0.15"/>
    <row r="89" spans="1:23" ht="16.5" customHeight="1" x14ac:dyDescent="0.15"/>
  </sheetData>
  <mergeCells count="49">
    <mergeCell ref="T83:U85"/>
    <mergeCell ref="H85:H86"/>
    <mergeCell ref="F71:G73"/>
    <mergeCell ref="H73:H74"/>
    <mergeCell ref="T75:U77"/>
    <mergeCell ref="H77:H78"/>
    <mergeCell ref="T51:U53"/>
    <mergeCell ref="H53:H54"/>
    <mergeCell ref="F55:G57"/>
    <mergeCell ref="H57:H58"/>
    <mergeCell ref="D79:E81"/>
    <mergeCell ref="F79:G81"/>
    <mergeCell ref="H81:H82"/>
    <mergeCell ref="T59:U61"/>
    <mergeCell ref="H61:H62"/>
    <mergeCell ref="D63:E65"/>
    <mergeCell ref="F63:G65"/>
    <mergeCell ref="H65:H66"/>
    <mergeCell ref="T67:U69"/>
    <mergeCell ref="H69:H70"/>
    <mergeCell ref="D39:E41"/>
    <mergeCell ref="F39:G41"/>
    <mergeCell ref="H41:H42"/>
    <mergeCell ref="F47:G49"/>
    <mergeCell ref="H49:H50"/>
    <mergeCell ref="T43:U45"/>
    <mergeCell ref="H45:H46"/>
    <mergeCell ref="F23:G25"/>
    <mergeCell ref="H25:H26"/>
    <mergeCell ref="T27:U29"/>
    <mergeCell ref="H29:H30"/>
    <mergeCell ref="T35:U37"/>
    <mergeCell ref="H37:H38"/>
    <mergeCell ref="D31:E33"/>
    <mergeCell ref="F31:G33"/>
    <mergeCell ref="H33:H34"/>
    <mergeCell ref="T11:U13"/>
    <mergeCell ref="H13:H14"/>
    <mergeCell ref="F15:G17"/>
    <mergeCell ref="H17:H18"/>
    <mergeCell ref="T19:U21"/>
    <mergeCell ref="H21:H22"/>
    <mergeCell ref="S8:S9"/>
    <mergeCell ref="H9:H10"/>
    <mergeCell ref="D6:E6"/>
    <mergeCell ref="F6:G6"/>
    <mergeCell ref="D7:E9"/>
    <mergeCell ref="F7:G9"/>
    <mergeCell ref="P8:P9"/>
  </mergeCells>
  <phoneticPr fontId="1"/>
  <printOptions horizontalCentered="1"/>
  <pageMargins left="0.70866141732283472" right="0.70866141732283472" top="0.74803149606299213" bottom="0.51181102362204722" header="0.31496062992125984" footer="0.31496062992125984"/>
  <pageSetup paperSize="9" scale="51" fitToHeight="0" orientation="portrait" r:id="rId1"/>
  <headerFooter>
    <oddHeader>&amp;R&amp;"ＭＳ Ｐゴシック"&amp;9居宅介護</oddHeader>
    <oddFooter>&amp;C&amp;"ＭＳ Ｐゴシック"&amp;14&amp;P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0">
    <pageSetUpPr fitToPage="1"/>
  </sheetPr>
  <dimension ref="A1:T89"/>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0" customWidth="1"/>
    <col min="5" max="5" width="4.875" style="12" customWidth="1"/>
    <col min="6" max="6" width="4.875" style="10" customWidth="1"/>
    <col min="7" max="7" width="4.875" style="12" customWidth="1"/>
    <col min="8" max="8" width="11.875" style="10" customWidth="1"/>
    <col min="9" max="9" width="2.5" style="16" customWidth="1"/>
    <col min="10" max="10" width="4.875" style="13" bestFit="1" customWidth="1"/>
    <col min="11" max="11" width="24.875" style="14" bestFit="1" customWidth="1"/>
    <col min="12" max="12" width="2.5" style="16" customWidth="1"/>
    <col min="13" max="13" width="5.875" style="13" bestFit="1" customWidth="1"/>
    <col min="14" max="14" width="2.5" style="233" customWidth="1"/>
    <col min="15" max="15" width="3.875" style="12" customWidth="1"/>
    <col min="16" max="16" width="4.5" style="13" customWidth="1"/>
    <col min="17" max="17" width="9.875" style="10" customWidth="1"/>
    <col min="18" max="18" width="4.875" style="13" bestFit="1" customWidth="1"/>
    <col min="19" max="19" width="7.125" style="206" customWidth="1"/>
    <col min="20" max="20" width="8.5" style="16" customWidth="1"/>
    <col min="21" max="16384" width="8.875" style="12"/>
  </cols>
  <sheetData>
    <row r="1" spans="1:20" ht="17.100000000000001" customHeight="1" x14ac:dyDescent="0.15"/>
    <row r="2" spans="1:20" ht="17.100000000000001" customHeight="1" x14ac:dyDescent="0.15"/>
    <row r="3" spans="1:20" ht="17.100000000000001" customHeight="1" x14ac:dyDescent="0.15"/>
    <row r="4" spans="1:20" ht="17.100000000000001" customHeight="1" x14ac:dyDescent="0.15">
      <c r="B4" s="17" t="s">
        <v>9586</v>
      </c>
      <c r="D4" s="71"/>
    </row>
    <row r="5" spans="1:20" ht="16.5" customHeight="1" x14ac:dyDescent="0.15">
      <c r="A5" s="19" t="s">
        <v>384</v>
      </c>
      <c r="B5" s="20"/>
      <c r="C5" s="21" t="s">
        <v>385</v>
      </c>
      <c r="D5" s="235" t="s">
        <v>386</v>
      </c>
      <c r="E5" s="23"/>
      <c r="F5" s="23"/>
      <c r="G5" s="23"/>
      <c r="H5" s="23"/>
      <c r="I5" s="23"/>
      <c r="J5" s="24"/>
      <c r="K5" s="23"/>
      <c r="L5" s="23"/>
      <c r="M5" s="24"/>
      <c r="N5" s="23"/>
      <c r="O5" s="23"/>
      <c r="P5" s="24"/>
      <c r="Q5" s="23"/>
      <c r="R5" s="24"/>
      <c r="S5" s="21" t="s">
        <v>387</v>
      </c>
      <c r="T5" s="21" t="s">
        <v>388</v>
      </c>
    </row>
    <row r="6" spans="1:20" ht="16.5" customHeight="1" x14ac:dyDescent="0.15">
      <c r="A6" s="26" t="s">
        <v>389</v>
      </c>
      <c r="B6" s="26" t="s">
        <v>390</v>
      </c>
      <c r="C6" s="27"/>
      <c r="D6" s="726" t="s">
        <v>1032</v>
      </c>
      <c r="E6" s="727"/>
      <c r="F6" s="788"/>
      <c r="G6" s="788"/>
      <c r="H6" s="29"/>
      <c r="I6" s="214"/>
      <c r="J6" s="30"/>
      <c r="K6" s="29"/>
      <c r="L6" s="214"/>
      <c r="M6" s="30"/>
      <c r="N6" s="214"/>
      <c r="O6" s="29"/>
      <c r="P6" s="30"/>
      <c r="Q6" s="29"/>
      <c r="R6" s="30"/>
      <c r="S6" s="32" t="s">
        <v>391</v>
      </c>
      <c r="T6" s="32" t="s">
        <v>392</v>
      </c>
    </row>
    <row r="7" spans="1:20" ht="16.5" customHeight="1" x14ac:dyDescent="0.15">
      <c r="A7" s="33">
        <v>11</v>
      </c>
      <c r="B7" s="33">
        <v>7855</v>
      </c>
      <c r="C7" s="34" t="s">
        <v>9587</v>
      </c>
      <c r="D7" s="709" t="s">
        <v>673</v>
      </c>
      <c r="E7" s="718"/>
      <c r="F7" s="709" t="s">
        <v>9588</v>
      </c>
      <c r="G7" s="718"/>
      <c r="H7" s="72"/>
      <c r="K7" s="36"/>
      <c r="L7" s="246"/>
      <c r="M7" s="38"/>
      <c r="N7" s="92" t="s">
        <v>1227</v>
      </c>
      <c r="Q7" s="72"/>
      <c r="S7" s="207">
        <f>ROUND((_11_A家事０．５*(1+_11・A早朝)),0)+_11_B家事０．５＿０．２５</f>
        <v>178</v>
      </c>
      <c r="T7" s="40" t="s">
        <v>395</v>
      </c>
    </row>
    <row r="8" spans="1:20" ht="16.5" customHeight="1" x14ac:dyDescent="0.15">
      <c r="A8" s="41">
        <v>11</v>
      </c>
      <c r="B8" s="41">
        <v>7856</v>
      </c>
      <c r="C8" s="74" t="s">
        <v>9589</v>
      </c>
      <c r="D8" s="709"/>
      <c r="E8" s="718"/>
      <c r="F8" s="709"/>
      <c r="G8" s="718"/>
      <c r="H8" s="122"/>
      <c r="I8" s="216"/>
      <c r="J8" s="38"/>
      <c r="K8" s="44" t="s">
        <v>397</v>
      </c>
      <c r="L8" s="247" t="s">
        <v>398</v>
      </c>
      <c r="M8" s="46">
        <v>1</v>
      </c>
      <c r="N8" s="223" t="s">
        <v>398</v>
      </c>
      <c r="O8" s="13">
        <v>0.25</v>
      </c>
      <c r="P8" s="704" t="s">
        <v>676</v>
      </c>
      <c r="Q8" s="72"/>
      <c r="S8" s="208">
        <f>ROUND((ROUND((_11_A家事０．５*_11・２人),0)*(1+_11・A早朝)),0)+ROUND((_11_B家事０．５＿０．２５*_11・２人),0)</f>
        <v>178</v>
      </c>
      <c r="T8" s="48"/>
    </row>
    <row r="9" spans="1:20" ht="16.5" customHeight="1" x14ac:dyDescent="0.15">
      <c r="A9" s="41">
        <v>11</v>
      </c>
      <c r="B9" s="41">
        <v>7857</v>
      </c>
      <c r="C9" s="74" t="s">
        <v>9590</v>
      </c>
      <c r="D9" s="709"/>
      <c r="E9" s="718"/>
      <c r="F9" s="709"/>
      <c r="G9" s="718"/>
      <c r="H9" s="752" t="s">
        <v>400</v>
      </c>
      <c r="I9" s="221" t="s">
        <v>398</v>
      </c>
      <c r="J9" s="50">
        <v>0.9</v>
      </c>
      <c r="K9" s="44"/>
      <c r="L9" s="247"/>
      <c r="M9" s="46"/>
      <c r="N9" s="223"/>
      <c r="P9" s="787"/>
      <c r="Q9" s="72"/>
      <c r="S9" s="208">
        <f>ROUND((ROUND((_11_A家事０．５*_11・基礎２),0)*(1+_11・A早朝)),0)+ROUND((_11_B家事０．５＿０．２５*_11・基礎２),0)</f>
        <v>161</v>
      </c>
      <c r="T9" s="48"/>
    </row>
    <row r="10" spans="1:20" ht="16.5" customHeight="1" x14ac:dyDescent="0.15">
      <c r="A10" s="41">
        <v>11</v>
      </c>
      <c r="B10" s="41">
        <v>7858</v>
      </c>
      <c r="C10" s="74" t="s">
        <v>9591</v>
      </c>
      <c r="D10" s="125">
        <f>_11_A家事０．５</f>
        <v>105</v>
      </c>
      <c r="E10" s="12" t="s">
        <v>392</v>
      </c>
      <c r="F10" s="125">
        <f>_11_B家事０．５＿０．２５</f>
        <v>47</v>
      </c>
      <c r="G10" s="12" t="s">
        <v>392</v>
      </c>
      <c r="H10" s="757"/>
      <c r="I10" s="216"/>
      <c r="J10" s="38"/>
      <c r="K10" s="44" t="s">
        <v>397</v>
      </c>
      <c r="L10" s="247" t="s">
        <v>398</v>
      </c>
      <c r="M10" s="46">
        <v>1</v>
      </c>
      <c r="N10" s="223"/>
      <c r="Q10" s="122"/>
      <c r="R10" s="38"/>
      <c r="S10" s="208">
        <f>ROUND((ROUND((ROUND((_11_A家事０．５*_11・基礎２),0)*_11・２人),0)*(1+_11・A早朝)),0)+ROUND((ROUND((_11_B家事０．５＿０．２５*_11・基礎２),0)*_11・２人),0)</f>
        <v>161</v>
      </c>
      <c r="T10" s="48"/>
    </row>
    <row r="11" spans="1:20" ht="16.5" customHeight="1" x14ac:dyDescent="0.15">
      <c r="A11" s="41">
        <v>11</v>
      </c>
      <c r="B11" s="41" t="s">
        <v>9592</v>
      </c>
      <c r="C11" s="74" t="s">
        <v>9593</v>
      </c>
      <c r="D11" s="72"/>
      <c r="F11" s="72"/>
      <c r="H11" s="114"/>
      <c r="I11" s="221"/>
      <c r="J11" s="50"/>
      <c r="K11" s="44"/>
      <c r="L11" s="247"/>
      <c r="M11" s="46"/>
      <c r="N11" s="223"/>
      <c r="Q11" s="707" t="s">
        <v>404</v>
      </c>
      <c r="R11" s="708"/>
      <c r="S11" s="208">
        <f>ROUND((ROUND((_11_A家事０．５*(1+_11・A早朝)),0)*_11・初任),0)+ROUND((_11_B家事０．５＿０．２５*_11・初任),0)</f>
        <v>125</v>
      </c>
      <c r="T11" s="48"/>
    </row>
    <row r="12" spans="1:20" ht="16.5" customHeight="1" x14ac:dyDescent="0.15">
      <c r="A12" s="41">
        <v>11</v>
      </c>
      <c r="B12" s="41" t="s">
        <v>9594</v>
      </c>
      <c r="C12" s="74" t="s">
        <v>9595</v>
      </c>
      <c r="D12" s="72"/>
      <c r="F12" s="72"/>
      <c r="H12" s="122"/>
      <c r="I12" s="216"/>
      <c r="J12" s="38"/>
      <c r="K12" s="44" t="s">
        <v>397</v>
      </c>
      <c r="L12" s="247" t="s">
        <v>398</v>
      </c>
      <c r="M12" s="46">
        <v>1</v>
      </c>
      <c r="N12" s="223"/>
      <c r="Q12" s="709"/>
      <c r="R12" s="704"/>
      <c r="S12" s="208">
        <f>ROUND((ROUND((ROUND((_11_A家事０．５*_11・２人),0)*(1+_11・A早朝)),0)*_11・初任),0)+ROUND((ROUND((_11_B家事０．５＿０．２５*_11・２人),0)*_11・初任),0)</f>
        <v>125</v>
      </c>
      <c r="T12" s="48"/>
    </row>
    <row r="13" spans="1:20" ht="16.5" customHeight="1" x14ac:dyDescent="0.15">
      <c r="A13" s="41">
        <v>11</v>
      </c>
      <c r="B13" s="41" t="s">
        <v>9596</v>
      </c>
      <c r="C13" s="74" t="s">
        <v>9597</v>
      </c>
      <c r="D13" s="72"/>
      <c r="F13" s="72"/>
      <c r="H13" s="752" t="s">
        <v>400</v>
      </c>
      <c r="I13" s="221" t="s">
        <v>398</v>
      </c>
      <c r="J13" s="50">
        <v>0.9</v>
      </c>
      <c r="K13" s="44"/>
      <c r="L13" s="247"/>
      <c r="M13" s="46"/>
      <c r="N13" s="223"/>
      <c r="Q13" s="709"/>
      <c r="R13" s="704"/>
      <c r="S13" s="208">
        <f>ROUND((ROUND((ROUND((_11_A家事０．５*_11・基礎２),0)*(1+_11・A早朝)),0)*_11・初任),0)+ROUND((ROUND((_11_B家事０．５＿０．２５*_11・基礎２),0)*_11・初任),0)</f>
        <v>112</v>
      </c>
      <c r="T13" s="48"/>
    </row>
    <row r="14" spans="1:20" ht="16.5" customHeight="1" x14ac:dyDescent="0.15">
      <c r="A14" s="41">
        <v>11</v>
      </c>
      <c r="B14" s="41" t="s">
        <v>9598</v>
      </c>
      <c r="C14" s="74" t="s">
        <v>9599</v>
      </c>
      <c r="D14" s="72"/>
      <c r="F14" s="72"/>
      <c r="H14" s="757"/>
      <c r="I14" s="216"/>
      <c r="J14" s="38"/>
      <c r="K14" s="44" t="s">
        <v>397</v>
      </c>
      <c r="L14" s="247" t="s">
        <v>398</v>
      </c>
      <c r="M14" s="46">
        <v>1</v>
      </c>
      <c r="N14" s="223"/>
      <c r="Q14" s="240" t="s">
        <v>398</v>
      </c>
      <c r="R14" s="38">
        <f>_11・初任</f>
        <v>0.7</v>
      </c>
      <c r="S14" s="208">
        <f>ROUND((ROUND((ROUND((ROUND((_11_A家事０．５*_11・基礎２),0)*_11・２人),0)*(1+_11・A早朝)),0)*_11・初任),0)+ROUND((ROUND((ROUND((_11_B家事０．５＿０．２５*_11・基礎２),0)*_11・２人),0)*_11・初任),0)</f>
        <v>112</v>
      </c>
      <c r="T14" s="48"/>
    </row>
    <row r="15" spans="1:20" ht="16.5" customHeight="1" x14ac:dyDescent="0.15">
      <c r="A15" s="41">
        <v>11</v>
      </c>
      <c r="B15" s="41">
        <v>6315</v>
      </c>
      <c r="C15" s="74" t="s">
        <v>9600</v>
      </c>
      <c r="D15" s="72"/>
      <c r="F15" s="707" t="s">
        <v>9601</v>
      </c>
      <c r="G15" s="717"/>
      <c r="H15" s="114"/>
      <c r="I15" s="221"/>
      <c r="J15" s="50"/>
      <c r="K15" s="44"/>
      <c r="L15" s="247"/>
      <c r="M15" s="46"/>
      <c r="N15" s="223"/>
      <c r="Q15" s="53"/>
      <c r="R15" s="50"/>
      <c r="S15" s="208">
        <f>ROUND((_11_A家事０．５*(1+_11・A早朝)),0)+_11_B家事０．５＿０．５</f>
        <v>222</v>
      </c>
      <c r="T15" s="48"/>
    </row>
    <row r="16" spans="1:20" ht="16.5" customHeight="1" x14ac:dyDescent="0.15">
      <c r="A16" s="41">
        <v>11</v>
      </c>
      <c r="B16" s="41">
        <v>6316</v>
      </c>
      <c r="C16" s="74" t="s">
        <v>9602</v>
      </c>
      <c r="D16" s="72"/>
      <c r="F16" s="709"/>
      <c r="G16" s="718"/>
      <c r="H16" s="122"/>
      <c r="I16" s="216"/>
      <c r="J16" s="38"/>
      <c r="K16" s="44" t="s">
        <v>397</v>
      </c>
      <c r="L16" s="247" t="s">
        <v>398</v>
      </c>
      <c r="M16" s="46">
        <v>1</v>
      </c>
      <c r="N16" s="223"/>
      <c r="Q16" s="35"/>
      <c r="S16" s="208">
        <f>ROUND((ROUND((_11_A家事０．５*_11・２人),0)*(1+_11・A早朝)),0)+ROUND((_11_B家事０．５＿０．５*_11・２人),0)</f>
        <v>222</v>
      </c>
      <c r="T16" s="48"/>
    </row>
    <row r="17" spans="1:20" ht="16.5" customHeight="1" x14ac:dyDescent="0.15">
      <c r="A17" s="41">
        <v>11</v>
      </c>
      <c r="B17" s="41">
        <v>6317</v>
      </c>
      <c r="C17" s="74" t="s">
        <v>9603</v>
      </c>
      <c r="D17" s="72"/>
      <c r="F17" s="709"/>
      <c r="G17" s="718"/>
      <c r="H17" s="752" t="s">
        <v>400</v>
      </c>
      <c r="I17" s="221" t="s">
        <v>398</v>
      </c>
      <c r="J17" s="50">
        <v>0.9</v>
      </c>
      <c r="K17" s="44"/>
      <c r="L17" s="247"/>
      <c r="M17" s="46"/>
      <c r="N17" s="223"/>
      <c r="Q17" s="35"/>
      <c r="S17" s="208">
        <f>ROUND((ROUND((_11_A家事０．５*_11・基礎２),0)*(1+_11・A早朝)),0)+ROUND((_11_B家事０．５＿０．５*_11・基礎２),0)</f>
        <v>201</v>
      </c>
      <c r="T17" s="48"/>
    </row>
    <row r="18" spans="1:20" ht="16.5" customHeight="1" x14ac:dyDescent="0.15">
      <c r="A18" s="41">
        <v>11</v>
      </c>
      <c r="B18" s="41">
        <v>6318</v>
      </c>
      <c r="C18" s="74" t="s">
        <v>9604</v>
      </c>
      <c r="D18" s="72"/>
      <c r="F18" s="125">
        <f>_11_B家事０．５＿０．５</f>
        <v>91</v>
      </c>
      <c r="G18" s="12" t="s">
        <v>392</v>
      </c>
      <c r="H18" s="757"/>
      <c r="I18" s="216"/>
      <c r="J18" s="38"/>
      <c r="K18" s="44" t="s">
        <v>397</v>
      </c>
      <c r="L18" s="247" t="s">
        <v>398</v>
      </c>
      <c r="M18" s="46">
        <v>1</v>
      </c>
      <c r="N18" s="223"/>
      <c r="Q18" s="43"/>
      <c r="R18" s="38"/>
      <c r="S18" s="208">
        <f>ROUND((ROUND((ROUND((_11_A家事０．５*_11・基礎２),0)*_11・２人),0)*(1+_11・A早朝)),0)+ROUND((ROUND((_11_B家事０．５＿０．５*_11・基礎２),0)*_11・２人),0)</f>
        <v>201</v>
      </c>
      <c r="T18" s="48"/>
    </row>
    <row r="19" spans="1:20" ht="16.5" customHeight="1" x14ac:dyDescent="0.15">
      <c r="A19" s="41">
        <v>11</v>
      </c>
      <c r="B19" s="41" t="s">
        <v>9605</v>
      </c>
      <c r="C19" s="74" t="s">
        <v>9606</v>
      </c>
      <c r="D19" s="72"/>
      <c r="F19" s="72"/>
      <c r="H19" s="114"/>
      <c r="I19" s="221"/>
      <c r="J19" s="50"/>
      <c r="K19" s="44"/>
      <c r="L19" s="247"/>
      <c r="M19" s="46"/>
      <c r="N19" s="223"/>
      <c r="Q19" s="707" t="s">
        <v>404</v>
      </c>
      <c r="R19" s="708"/>
      <c r="S19" s="208">
        <f>ROUND((ROUND((_11_A家事０．５*(1+_11・A早朝)),0)*_11・初任),0)+ROUND((_11_B家事０．５＿０．５*_11・初任),0)</f>
        <v>156</v>
      </c>
      <c r="T19" s="48"/>
    </row>
    <row r="20" spans="1:20" ht="16.5" customHeight="1" x14ac:dyDescent="0.15">
      <c r="A20" s="41">
        <v>11</v>
      </c>
      <c r="B20" s="41" t="s">
        <v>9607</v>
      </c>
      <c r="C20" s="74" t="s">
        <v>9608</v>
      </c>
      <c r="D20" s="72"/>
      <c r="F20" s="72"/>
      <c r="H20" s="122"/>
      <c r="I20" s="216"/>
      <c r="J20" s="38"/>
      <c r="K20" s="44" t="s">
        <v>397</v>
      </c>
      <c r="L20" s="247" t="s">
        <v>398</v>
      </c>
      <c r="M20" s="46">
        <v>1</v>
      </c>
      <c r="N20" s="223"/>
      <c r="Q20" s="709"/>
      <c r="R20" s="704"/>
      <c r="S20" s="208">
        <f>ROUND((ROUND((ROUND((_11_A家事０．５*_11・２人),0)*(1+_11・A早朝)),0)*_11・初任),0)+ROUND((ROUND((_11_B家事０．５＿０．５*_11・２人),0)*_11・初任),0)</f>
        <v>156</v>
      </c>
      <c r="T20" s="48"/>
    </row>
    <row r="21" spans="1:20" ht="16.5" customHeight="1" x14ac:dyDescent="0.15">
      <c r="A21" s="41">
        <v>11</v>
      </c>
      <c r="B21" s="41" t="s">
        <v>9609</v>
      </c>
      <c r="C21" s="74" t="s">
        <v>9610</v>
      </c>
      <c r="D21" s="72"/>
      <c r="F21" s="72"/>
      <c r="H21" s="752" t="s">
        <v>400</v>
      </c>
      <c r="I21" s="221" t="s">
        <v>398</v>
      </c>
      <c r="J21" s="50">
        <v>0.9</v>
      </c>
      <c r="K21" s="44"/>
      <c r="L21" s="247"/>
      <c r="M21" s="46"/>
      <c r="N21" s="223"/>
      <c r="Q21" s="709"/>
      <c r="R21" s="704"/>
      <c r="S21" s="208">
        <f>ROUND((ROUND((ROUND((_11_A家事０．５*_11・基礎２),0)*(1+_11・A早朝)),0)*_11・初任),0)+ROUND((ROUND((_11_B家事０．５＿０．５*_11・基礎２),0)*_11・初任),0)</f>
        <v>140</v>
      </c>
      <c r="T21" s="48"/>
    </row>
    <row r="22" spans="1:20" ht="16.5" customHeight="1" x14ac:dyDescent="0.15">
      <c r="A22" s="41">
        <v>11</v>
      </c>
      <c r="B22" s="41" t="s">
        <v>9611</v>
      </c>
      <c r="C22" s="74" t="s">
        <v>9612</v>
      </c>
      <c r="D22" s="72"/>
      <c r="F22" s="72"/>
      <c r="H22" s="757"/>
      <c r="I22" s="216"/>
      <c r="J22" s="38"/>
      <c r="K22" s="44" t="s">
        <v>397</v>
      </c>
      <c r="L22" s="247" t="s">
        <v>398</v>
      </c>
      <c r="M22" s="46">
        <v>1</v>
      </c>
      <c r="N22" s="223"/>
      <c r="Q22" s="240" t="s">
        <v>398</v>
      </c>
      <c r="R22" s="38">
        <f>_11・初任</f>
        <v>0.7</v>
      </c>
      <c r="S22" s="208">
        <f>ROUND((ROUND((ROUND((ROUND((_11_A家事０．５*_11・基礎２),0)*_11・２人),0)*(1+_11・A早朝)),0)*_11・初任),0)+ROUND((ROUND((ROUND((_11_B家事０．５＿０．５*_11・基礎２),0)*_11・２人),0)*_11・初任),0)</f>
        <v>140</v>
      </c>
      <c r="T22" s="48"/>
    </row>
    <row r="23" spans="1:20" ht="16.5" customHeight="1" x14ac:dyDescent="0.15">
      <c r="A23" s="41">
        <v>11</v>
      </c>
      <c r="B23" s="41">
        <v>7859</v>
      </c>
      <c r="C23" s="74" t="s">
        <v>9613</v>
      </c>
      <c r="D23" s="72"/>
      <c r="F23" s="707" t="s">
        <v>9614</v>
      </c>
      <c r="G23" s="717"/>
      <c r="H23" s="114"/>
      <c r="I23" s="221"/>
      <c r="J23" s="50"/>
      <c r="K23" s="44"/>
      <c r="L23" s="247"/>
      <c r="M23" s="46"/>
      <c r="N23" s="223"/>
      <c r="Q23" s="114"/>
      <c r="R23" s="50"/>
      <c r="S23" s="208">
        <f>ROUND((_11_A家事０．５*(1+_11・A早朝)),0)+_11_B家事０．５＿０．７５</f>
        <v>264</v>
      </c>
      <c r="T23" s="48"/>
    </row>
    <row r="24" spans="1:20" ht="16.5" customHeight="1" x14ac:dyDescent="0.15">
      <c r="A24" s="41">
        <v>11</v>
      </c>
      <c r="B24" s="41">
        <v>7860</v>
      </c>
      <c r="C24" s="74" t="s">
        <v>9615</v>
      </c>
      <c r="D24" s="72"/>
      <c r="F24" s="709"/>
      <c r="G24" s="718"/>
      <c r="H24" s="122"/>
      <c r="I24" s="216"/>
      <c r="J24" s="38"/>
      <c r="K24" s="44" t="s">
        <v>397</v>
      </c>
      <c r="L24" s="247" t="s">
        <v>398</v>
      </c>
      <c r="M24" s="46">
        <v>1</v>
      </c>
      <c r="N24" s="223"/>
      <c r="Q24" s="72"/>
      <c r="S24" s="208">
        <f>ROUND((ROUND((_11_A家事０．５*_11・２人),0)*(1+_11・A早朝)),0)+ROUND((_11_B家事０．５＿０．７５*_11・２人),0)</f>
        <v>264</v>
      </c>
      <c r="T24" s="48"/>
    </row>
    <row r="25" spans="1:20" ht="16.5" customHeight="1" x14ac:dyDescent="0.15">
      <c r="A25" s="41">
        <v>11</v>
      </c>
      <c r="B25" s="41">
        <v>7861</v>
      </c>
      <c r="C25" s="74" t="s">
        <v>9616</v>
      </c>
      <c r="D25" s="72"/>
      <c r="F25" s="709"/>
      <c r="G25" s="718"/>
      <c r="H25" s="752" t="s">
        <v>400</v>
      </c>
      <c r="I25" s="221" t="s">
        <v>398</v>
      </c>
      <c r="J25" s="50">
        <v>0.9</v>
      </c>
      <c r="K25" s="44"/>
      <c r="L25" s="247"/>
      <c r="M25" s="46"/>
      <c r="N25" s="223"/>
      <c r="Q25" s="72"/>
      <c r="S25" s="208">
        <f>ROUND((ROUND((_11_A家事０．５*_11・基礎２),0)*(1+_11・A早朝)),0)+ROUND((_11_B家事０．５＿０．７５*_11・基礎２),0)</f>
        <v>239</v>
      </c>
      <c r="T25" s="48"/>
    </row>
    <row r="26" spans="1:20" ht="16.5" customHeight="1" x14ac:dyDescent="0.15">
      <c r="A26" s="41">
        <v>11</v>
      </c>
      <c r="B26" s="41">
        <v>7862</v>
      </c>
      <c r="C26" s="74" t="s">
        <v>9617</v>
      </c>
      <c r="D26" s="72"/>
      <c r="F26" s="125">
        <f>_11_B家事０．５＿０．７５</f>
        <v>133</v>
      </c>
      <c r="G26" s="12" t="s">
        <v>392</v>
      </c>
      <c r="H26" s="757"/>
      <c r="I26" s="216"/>
      <c r="J26" s="38"/>
      <c r="K26" s="44" t="s">
        <v>397</v>
      </c>
      <c r="L26" s="247" t="s">
        <v>398</v>
      </c>
      <c r="M26" s="46">
        <v>1</v>
      </c>
      <c r="N26" s="223"/>
      <c r="Q26" s="122"/>
      <c r="R26" s="38"/>
      <c r="S26" s="208">
        <f>ROUND((ROUND((ROUND((_11_A家事０．５*_11・基礎２),0)*_11・２人),0)*(1+_11・A早朝)),0)+ROUND((ROUND((_11_B家事０．５＿０．７５*_11・基礎２),0)*_11・２人),0)</f>
        <v>239</v>
      </c>
      <c r="T26" s="48"/>
    </row>
    <row r="27" spans="1:20" ht="16.5" customHeight="1" x14ac:dyDescent="0.15">
      <c r="A27" s="41">
        <v>11</v>
      </c>
      <c r="B27" s="41" t="s">
        <v>9618</v>
      </c>
      <c r="C27" s="74" t="s">
        <v>9619</v>
      </c>
      <c r="D27" s="72"/>
      <c r="F27" s="72"/>
      <c r="H27" s="114"/>
      <c r="I27" s="221"/>
      <c r="J27" s="50"/>
      <c r="K27" s="44"/>
      <c r="L27" s="247"/>
      <c r="M27" s="46"/>
      <c r="N27" s="223"/>
      <c r="Q27" s="707" t="s">
        <v>404</v>
      </c>
      <c r="R27" s="708"/>
      <c r="S27" s="208">
        <f>ROUND((ROUND((_11_A家事０．５*(1+_11・A早朝)),0)*_11・初任),0)+ROUND((_11_B家事０．５＿０．７５*_11・初任),0)</f>
        <v>185</v>
      </c>
      <c r="T27" s="48"/>
    </row>
    <row r="28" spans="1:20" ht="16.5" customHeight="1" x14ac:dyDescent="0.15">
      <c r="A28" s="41">
        <v>11</v>
      </c>
      <c r="B28" s="41" t="s">
        <v>9620</v>
      </c>
      <c r="C28" s="74" t="s">
        <v>9621</v>
      </c>
      <c r="D28" s="72"/>
      <c r="F28" s="72"/>
      <c r="H28" s="122"/>
      <c r="I28" s="216"/>
      <c r="J28" s="38"/>
      <c r="K28" s="44" t="s">
        <v>397</v>
      </c>
      <c r="L28" s="247" t="s">
        <v>398</v>
      </c>
      <c r="M28" s="46">
        <v>1</v>
      </c>
      <c r="N28" s="223"/>
      <c r="Q28" s="709"/>
      <c r="R28" s="704"/>
      <c r="S28" s="208">
        <f>ROUND((ROUND((ROUND((_11_A家事０．５*_11・２人),0)*(1+_11・A早朝)),0)*_11・初任),0)+ROUND((ROUND((_11_B家事０．５＿０．７５*_11・２人),0)*_11・初任),0)</f>
        <v>185</v>
      </c>
      <c r="T28" s="48"/>
    </row>
    <row r="29" spans="1:20" ht="16.5" customHeight="1" x14ac:dyDescent="0.15">
      <c r="A29" s="41">
        <v>11</v>
      </c>
      <c r="B29" s="41" t="s">
        <v>9622</v>
      </c>
      <c r="C29" s="74" t="s">
        <v>9623</v>
      </c>
      <c r="D29" s="72"/>
      <c r="F29" s="72"/>
      <c r="H29" s="752" t="s">
        <v>400</v>
      </c>
      <c r="I29" s="221" t="s">
        <v>398</v>
      </c>
      <c r="J29" s="50">
        <v>0.9</v>
      </c>
      <c r="K29" s="44"/>
      <c r="L29" s="247"/>
      <c r="M29" s="46"/>
      <c r="N29" s="223"/>
      <c r="Q29" s="709"/>
      <c r="R29" s="704"/>
      <c r="S29" s="208">
        <f>ROUND((ROUND((ROUND((_11_A家事０．５*_11・基礎２),0)*(1+_11・A早朝)),0)*_11・初任),0)+ROUND((ROUND((_11_B家事０．５＿０．７５*_11・基礎２),0)*_11・初任),0)</f>
        <v>167</v>
      </c>
      <c r="T29" s="48"/>
    </row>
    <row r="30" spans="1:20" ht="16.5" customHeight="1" x14ac:dyDescent="0.15">
      <c r="A30" s="41">
        <v>11</v>
      </c>
      <c r="B30" s="41" t="s">
        <v>9624</v>
      </c>
      <c r="C30" s="74" t="s">
        <v>9625</v>
      </c>
      <c r="D30" s="72"/>
      <c r="F30" s="72"/>
      <c r="H30" s="757"/>
      <c r="I30" s="216"/>
      <c r="J30" s="38"/>
      <c r="K30" s="44" t="s">
        <v>397</v>
      </c>
      <c r="L30" s="247" t="s">
        <v>398</v>
      </c>
      <c r="M30" s="46">
        <v>1</v>
      </c>
      <c r="N30" s="223"/>
      <c r="Q30" s="240" t="s">
        <v>398</v>
      </c>
      <c r="R30" s="38">
        <f>_11・初任</f>
        <v>0.7</v>
      </c>
      <c r="S30" s="208">
        <f>ROUND((ROUND((ROUND((ROUND((_11_A家事０．５*_11・基礎２),0)*_11・２人),0)*(1+_11・A早朝)),0)*_11・初任),0)+ROUND((ROUND((ROUND((_11_B家事０．５＿０．７５*_11・基礎２),0)*_11・２人),0)*_11・初任),0)</f>
        <v>167</v>
      </c>
      <c r="T30" s="48"/>
    </row>
    <row r="31" spans="1:20" ht="16.5" customHeight="1" x14ac:dyDescent="0.15">
      <c r="A31" s="41">
        <v>11</v>
      </c>
      <c r="B31" s="41">
        <v>6319</v>
      </c>
      <c r="C31" s="74" t="s">
        <v>9626</v>
      </c>
      <c r="D31" s="72"/>
      <c r="F31" s="707" t="s">
        <v>9627</v>
      </c>
      <c r="G31" s="717"/>
      <c r="H31" s="114"/>
      <c r="I31" s="221"/>
      <c r="J31" s="50"/>
      <c r="K31" s="44"/>
      <c r="L31" s="247"/>
      <c r="M31" s="46"/>
      <c r="N31" s="223"/>
      <c r="Q31" s="53"/>
      <c r="R31" s="50"/>
      <c r="S31" s="208">
        <f>ROUND((_11_A家事０．５*(1+_11・A早朝)),0)+_11_B家事０．５＿１．０</f>
        <v>300</v>
      </c>
      <c r="T31" s="48"/>
    </row>
    <row r="32" spans="1:20" ht="16.5" customHeight="1" x14ac:dyDescent="0.15">
      <c r="A32" s="41">
        <v>11</v>
      </c>
      <c r="B32" s="41">
        <v>6320</v>
      </c>
      <c r="C32" s="74" t="s">
        <v>9628</v>
      </c>
      <c r="D32" s="72"/>
      <c r="F32" s="709"/>
      <c r="G32" s="718"/>
      <c r="H32" s="122"/>
      <c r="I32" s="216"/>
      <c r="J32" s="38"/>
      <c r="K32" s="44" t="s">
        <v>397</v>
      </c>
      <c r="L32" s="247" t="s">
        <v>398</v>
      </c>
      <c r="M32" s="46">
        <v>1</v>
      </c>
      <c r="N32" s="223"/>
      <c r="Q32" s="35"/>
      <c r="S32" s="208">
        <f>ROUND((ROUND((_11_A家事０．５*_11・２人),0)*(1+_11・A早朝)),0)+ROUND((_11_B家事０．５＿１．０*_11・２人),0)</f>
        <v>300</v>
      </c>
      <c r="T32" s="48"/>
    </row>
    <row r="33" spans="1:20" ht="16.5" customHeight="1" x14ac:dyDescent="0.15">
      <c r="A33" s="41">
        <v>11</v>
      </c>
      <c r="B33" s="41">
        <v>6321</v>
      </c>
      <c r="C33" s="74" t="s">
        <v>9629</v>
      </c>
      <c r="D33" s="72"/>
      <c r="F33" s="709"/>
      <c r="G33" s="718"/>
      <c r="H33" s="752" t="s">
        <v>400</v>
      </c>
      <c r="I33" s="221" t="s">
        <v>398</v>
      </c>
      <c r="J33" s="50">
        <v>0.9</v>
      </c>
      <c r="K33" s="44"/>
      <c r="L33" s="247"/>
      <c r="M33" s="46"/>
      <c r="N33" s="223"/>
      <c r="Q33" s="35"/>
      <c r="S33" s="208">
        <f>ROUND((ROUND((_11_A家事０．５*_11・基礎２),0)*(1+_11・A早朝)),0)+ROUND((_11_B家事０．５＿１．０*_11・基礎２),0)</f>
        <v>271</v>
      </c>
      <c r="T33" s="48"/>
    </row>
    <row r="34" spans="1:20" ht="16.5" customHeight="1" x14ac:dyDescent="0.15">
      <c r="A34" s="41">
        <v>11</v>
      </c>
      <c r="B34" s="41">
        <v>6322</v>
      </c>
      <c r="C34" s="74" t="s">
        <v>9630</v>
      </c>
      <c r="D34" s="125"/>
      <c r="F34" s="125">
        <f>_11_B家事０．５＿１．０</f>
        <v>169</v>
      </c>
      <c r="G34" s="12" t="s">
        <v>392</v>
      </c>
      <c r="H34" s="757"/>
      <c r="I34" s="216"/>
      <c r="J34" s="38"/>
      <c r="K34" s="44" t="s">
        <v>397</v>
      </c>
      <c r="L34" s="247" t="s">
        <v>398</v>
      </c>
      <c r="M34" s="46">
        <v>1</v>
      </c>
      <c r="N34" s="223"/>
      <c r="Q34" s="43"/>
      <c r="R34" s="38"/>
      <c r="S34" s="208">
        <f>ROUND((ROUND((ROUND((_11_A家事０．５*_11・基礎２),0)*_11・２人),0)*(1+_11・A早朝)),0)+ROUND((ROUND((_11_B家事０．５＿１．０*_11・基礎２),0)*_11・２人),0)</f>
        <v>271</v>
      </c>
      <c r="T34" s="48"/>
    </row>
    <row r="35" spans="1:20" ht="16.5" customHeight="1" x14ac:dyDescent="0.15">
      <c r="A35" s="41">
        <v>11</v>
      </c>
      <c r="B35" s="41" t="s">
        <v>9631</v>
      </c>
      <c r="C35" s="74" t="s">
        <v>9632</v>
      </c>
      <c r="D35" s="72"/>
      <c r="F35" s="72"/>
      <c r="H35" s="114"/>
      <c r="I35" s="221"/>
      <c r="J35" s="50"/>
      <c r="K35" s="44"/>
      <c r="L35" s="247"/>
      <c r="M35" s="46"/>
      <c r="N35" s="223"/>
      <c r="Q35" s="707" t="s">
        <v>404</v>
      </c>
      <c r="R35" s="708"/>
      <c r="S35" s="208">
        <f>ROUND((ROUND((_11_A家事０．５*(1+_11・A早朝)),0)*_11・初任),0)+ROUND((_11_B家事０．５＿１．０*_11・初任),0)</f>
        <v>210</v>
      </c>
      <c r="T35" s="48"/>
    </row>
    <row r="36" spans="1:20" ht="16.5" customHeight="1" x14ac:dyDescent="0.15">
      <c r="A36" s="41">
        <v>11</v>
      </c>
      <c r="B36" s="41" t="s">
        <v>9633</v>
      </c>
      <c r="C36" s="74" t="s">
        <v>9634</v>
      </c>
      <c r="D36" s="72"/>
      <c r="F36" s="72"/>
      <c r="H36" s="122"/>
      <c r="I36" s="216"/>
      <c r="J36" s="38"/>
      <c r="K36" s="44" t="s">
        <v>397</v>
      </c>
      <c r="L36" s="247" t="s">
        <v>398</v>
      </c>
      <c r="M36" s="46">
        <v>1</v>
      </c>
      <c r="N36" s="223"/>
      <c r="Q36" s="709"/>
      <c r="R36" s="704"/>
      <c r="S36" s="208">
        <f>ROUND((ROUND((ROUND((_11_A家事０．５*_11・２人),0)*(1+_11・A早朝)),0)*_11・初任),0)+ROUND((ROUND((_11_B家事０．５＿１．０*_11・２人),0)*_11・初任),0)</f>
        <v>210</v>
      </c>
      <c r="T36" s="48"/>
    </row>
    <row r="37" spans="1:20" ht="16.5" customHeight="1" x14ac:dyDescent="0.15">
      <c r="A37" s="41">
        <v>11</v>
      </c>
      <c r="B37" s="41" t="s">
        <v>9635</v>
      </c>
      <c r="C37" s="74" t="s">
        <v>9636</v>
      </c>
      <c r="D37" s="72"/>
      <c r="F37" s="72"/>
      <c r="H37" s="752" t="s">
        <v>400</v>
      </c>
      <c r="I37" s="221" t="s">
        <v>398</v>
      </c>
      <c r="J37" s="50">
        <v>0.9</v>
      </c>
      <c r="K37" s="44"/>
      <c r="L37" s="247"/>
      <c r="M37" s="46"/>
      <c r="N37" s="223"/>
      <c r="Q37" s="709"/>
      <c r="R37" s="704"/>
      <c r="S37" s="208">
        <f>ROUND((ROUND((ROUND((_11_A家事０．５*_11・基礎２),0)*(1+_11・A早朝)),0)*_11・初任),0)+ROUND((ROUND((_11_B家事０．５＿１．０*_11・基礎２),0)*_11・初任),0)</f>
        <v>189</v>
      </c>
      <c r="T37" s="48"/>
    </row>
    <row r="38" spans="1:20" ht="16.5" customHeight="1" x14ac:dyDescent="0.15">
      <c r="A38" s="41">
        <v>11</v>
      </c>
      <c r="B38" s="41" t="s">
        <v>9637</v>
      </c>
      <c r="C38" s="74" t="s">
        <v>9638</v>
      </c>
      <c r="D38" s="72"/>
      <c r="F38" s="72"/>
      <c r="H38" s="757"/>
      <c r="I38" s="216"/>
      <c r="J38" s="38"/>
      <c r="K38" s="44" t="s">
        <v>397</v>
      </c>
      <c r="L38" s="247" t="s">
        <v>398</v>
      </c>
      <c r="M38" s="46">
        <v>1</v>
      </c>
      <c r="N38" s="223"/>
      <c r="Q38" s="240" t="s">
        <v>398</v>
      </c>
      <c r="R38" s="38">
        <f>_11・初任</f>
        <v>0.7</v>
      </c>
      <c r="S38" s="208">
        <f>ROUND((ROUND((ROUND((ROUND((_11_A家事０．５*_11・基礎２),0)*_11・２人),0)*(1+_11・A早朝)),0)*_11・初任),0)+ROUND((ROUND((ROUND((_11_B家事０．５＿１．０*_11・基礎２),0)*_11・２人),0)*_11・初任),0)</f>
        <v>189</v>
      </c>
      <c r="T38" s="48"/>
    </row>
    <row r="39" spans="1:20" ht="16.5" customHeight="1" x14ac:dyDescent="0.15">
      <c r="A39" s="41">
        <v>11</v>
      </c>
      <c r="B39" s="41">
        <v>7863</v>
      </c>
      <c r="C39" s="74" t="s">
        <v>9639</v>
      </c>
      <c r="D39" s="707" t="s">
        <v>8812</v>
      </c>
      <c r="E39" s="717"/>
      <c r="F39" s="707" t="s">
        <v>9588</v>
      </c>
      <c r="G39" s="717"/>
      <c r="H39" s="114"/>
      <c r="I39" s="221"/>
      <c r="J39" s="50"/>
      <c r="K39" s="44"/>
      <c r="L39" s="247"/>
      <c r="M39" s="46"/>
      <c r="N39" s="223"/>
      <c r="Q39" s="114"/>
      <c r="R39" s="50"/>
      <c r="S39" s="208">
        <f>ROUND((_11_A家事０．７５*(1+_11・A早朝)),0)+_11_B家事０．７５＿０．２５</f>
        <v>234</v>
      </c>
      <c r="T39" s="48"/>
    </row>
    <row r="40" spans="1:20" ht="16.5" customHeight="1" x14ac:dyDescent="0.15">
      <c r="A40" s="41">
        <v>11</v>
      </c>
      <c r="B40" s="41">
        <v>7864</v>
      </c>
      <c r="C40" s="74" t="s">
        <v>9640</v>
      </c>
      <c r="D40" s="709"/>
      <c r="E40" s="718"/>
      <c r="F40" s="709"/>
      <c r="G40" s="718"/>
      <c r="H40" s="122"/>
      <c r="I40" s="216"/>
      <c r="J40" s="38"/>
      <c r="K40" s="44" t="s">
        <v>397</v>
      </c>
      <c r="L40" s="247" t="s">
        <v>398</v>
      </c>
      <c r="M40" s="46">
        <v>1</v>
      </c>
      <c r="N40" s="223"/>
      <c r="Q40" s="72"/>
      <c r="S40" s="208">
        <f>ROUND((ROUND((_11_A家事０．７５*_11・２人),0)*(1+_11・A早朝)),0)+ROUND((_11_B家事０．７５＿０．２５*_11・２人),0)</f>
        <v>234</v>
      </c>
      <c r="T40" s="48"/>
    </row>
    <row r="41" spans="1:20" ht="16.5" customHeight="1" x14ac:dyDescent="0.15">
      <c r="A41" s="41">
        <v>11</v>
      </c>
      <c r="B41" s="41">
        <v>7865</v>
      </c>
      <c r="C41" s="74" t="s">
        <v>9641</v>
      </c>
      <c r="D41" s="709"/>
      <c r="E41" s="718"/>
      <c r="F41" s="709"/>
      <c r="G41" s="718"/>
      <c r="H41" s="752" t="s">
        <v>400</v>
      </c>
      <c r="I41" s="221" t="s">
        <v>398</v>
      </c>
      <c r="J41" s="50">
        <v>0.9</v>
      </c>
      <c r="K41" s="44"/>
      <c r="L41" s="247"/>
      <c r="M41" s="46"/>
      <c r="N41" s="223"/>
      <c r="Q41" s="72"/>
      <c r="S41" s="208">
        <f>ROUND((ROUND((_11_A家事０．７５*_11・基礎２),0)*(1+_11・A早朝)),0)+ROUND((_11_B家事０．７５＿０．２５*_11・基礎２),0)</f>
        <v>211</v>
      </c>
      <c r="T41" s="48"/>
    </row>
    <row r="42" spans="1:20" ht="16.5" customHeight="1" x14ac:dyDescent="0.15">
      <c r="A42" s="41">
        <v>11</v>
      </c>
      <c r="B42" s="41">
        <v>7866</v>
      </c>
      <c r="C42" s="74" t="s">
        <v>9642</v>
      </c>
      <c r="D42" s="125">
        <f>_11_A家事０．７５</f>
        <v>152</v>
      </c>
      <c r="E42" s="12" t="s">
        <v>392</v>
      </c>
      <c r="F42" s="125">
        <f>_11_B家事０．７５＿０．２５</f>
        <v>44</v>
      </c>
      <c r="G42" s="12" t="s">
        <v>392</v>
      </c>
      <c r="H42" s="757"/>
      <c r="I42" s="216"/>
      <c r="J42" s="38"/>
      <c r="K42" s="44" t="s">
        <v>397</v>
      </c>
      <c r="L42" s="247" t="s">
        <v>398</v>
      </c>
      <c r="M42" s="46">
        <v>1</v>
      </c>
      <c r="N42" s="223"/>
      <c r="Q42" s="122"/>
      <c r="R42" s="38"/>
      <c r="S42" s="208">
        <f>ROUND((ROUND((ROUND((_11_A家事０．７５*_11・基礎２),0)*_11・２人),0)*(1+_11・A早朝)),0)+ROUND((ROUND((_11_B家事０．７５＿０．２５*_11・基礎２),0)*_11・２人),0)</f>
        <v>211</v>
      </c>
      <c r="T42" s="48"/>
    </row>
    <row r="43" spans="1:20" ht="16.5" customHeight="1" x14ac:dyDescent="0.15">
      <c r="A43" s="41">
        <v>11</v>
      </c>
      <c r="B43" s="41" t="s">
        <v>9643</v>
      </c>
      <c r="C43" s="74" t="s">
        <v>9644</v>
      </c>
      <c r="D43" s="72"/>
      <c r="F43" s="72"/>
      <c r="H43" s="114"/>
      <c r="I43" s="221"/>
      <c r="J43" s="50"/>
      <c r="K43" s="44"/>
      <c r="L43" s="247"/>
      <c r="M43" s="46"/>
      <c r="N43" s="223"/>
      <c r="Q43" s="707" t="s">
        <v>404</v>
      </c>
      <c r="R43" s="708"/>
      <c r="S43" s="208">
        <f>ROUND((ROUND((_11_A家事０．７５*(1+_11・A早朝)),0)*_11・初任),0)+ROUND((_11_B家事０．７５＿０．２５*_11・初任),0)</f>
        <v>164</v>
      </c>
      <c r="T43" s="48"/>
    </row>
    <row r="44" spans="1:20" ht="16.5" customHeight="1" x14ac:dyDescent="0.15">
      <c r="A44" s="41">
        <v>11</v>
      </c>
      <c r="B44" s="41" t="s">
        <v>9645</v>
      </c>
      <c r="C44" s="74" t="s">
        <v>9646</v>
      </c>
      <c r="D44" s="72"/>
      <c r="F44" s="72"/>
      <c r="H44" s="122"/>
      <c r="I44" s="216"/>
      <c r="J44" s="38"/>
      <c r="K44" s="44" t="s">
        <v>397</v>
      </c>
      <c r="L44" s="247" t="s">
        <v>398</v>
      </c>
      <c r="M44" s="46">
        <v>1</v>
      </c>
      <c r="N44" s="223"/>
      <c r="Q44" s="709"/>
      <c r="R44" s="704"/>
      <c r="S44" s="208">
        <f>ROUND((ROUND((ROUND((_11_A家事０．７５*_11・２人),0)*(1+_11・A早朝)),0)*_11・初任),0)+ROUND((ROUND((_11_B家事０．７５＿０．２５*_11・２人),0)*_11・初任),0)</f>
        <v>164</v>
      </c>
      <c r="T44" s="48"/>
    </row>
    <row r="45" spans="1:20" ht="16.5" customHeight="1" x14ac:dyDescent="0.15">
      <c r="A45" s="41">
        <v>11</v>
      </c>
      <c r="B45" s="41" t="s">
        <v>9647</v>
      </c>
      <c r="C45" s="74" t="s">
        <v>9648</v>
      </c>
      <c r="D45" s="72"/>
      <c r="F45" s="72"/>
      <c r="H45" s="752" t="s">
        <v>400</v>
      </c>
      <c r="I45" s="221" t="s">
        <v>398</v>
      </c>
      <c r="J45" s="50">
        <v>0.9</v>
      </c>
      <c r="K45" s="44"/>
      <c r="L45" s="247"/>
      <c r="M45" s="46"/>
      <c r="N45" s="223"/>
      <c r="Q45" s="709"/>
      <c r="R45" s="704"/>
      <c r="S45" s="208">
        <f>ROUND((ROUND((ROUND((_11_A家事０．７５*_11・基礎２),0)*(1+_11・A早朝)),0)*_11・初任),0)+ROUND((ROUND((_11_B家事０．７５＿０．２５*_11・基礎２),0)*_11・初任),0)</f>
        <v>148</v>
      </c>
      <c r="T45" s="48"/>
    </row>
    <row r="46" spans="1:20" ht="16.5" customHeight="1" x14ac:dyDescent="0.15">
      <c r="A46" s="41">
        <v>11</v>
      </c>
      <c r="B46" s="41" t="s">
        <v>9649</v>
      </c>
      <c r="C46" s="74" t="s">
        <v>9650</v>
      </c>
      <c r="D46" s="72"/>
      <c r="F46" s="72"/>
      <c r="H46" s="757"/>
      <c r="I46" s="216"/>
      <c r="J46" s="38"/>
      <c r="K46" s="44" t="s">
        <v>397</v>
      </c>
      <c r="L46" s="247" t="s">
        <v>398</v>
      </c>
      <c r="M46" s="46">
        <v>1</v>
      </c>
      <c r="N46" s="223"/>
      <c r="Q46" s="240" t="s">
        <v>398</v>
      </c>
      <c r="R46" s="38">
        <f>_11・初任</f>
        <v>0.7</v>
      </c>
      <c r="S46" s="208">
        <f>ROUND((ROUND((ROUND((ROUND((_11_A家事０．７５*_11・基礎２),0)*_11・２人),0)*(1+_11・A早朝)),0)*_11・初任),0)+ROUND((ROUND((ROUND((_11_B家事０．７５＿０．２５*_11・基礎２),0)*_11・２人),0)*_11・初任),0)</f>
        <v>148</v>
      </c>
      <c r="T46" s="48"/>
    </row>
    <row r="47" spans="1:20" ht="16.5" customHeight="1" x14ac:dyDescent="0.15">
      <c r="A47" s="41">
        <v>11</v>
      </c>
      <c r="B47" s="41">
        <v>7867</v>
      </c>
      <c r="C47" s="74" t="s">
        <v>9651</v>
      </c>
      <c r="D47" s="72"/>
      <c r="F47" s="707" t="s">
        <v>9601</v>
      </c>
      <c r="G47" s="717"/>
      <c r="H47" s="114"/>
      <c r="I47" s="221"/>
      <c r="J47" s="50"/>
      <c r="K47" s="44"/>
      <c r="L47" s="247"/>
      <c r="M47" s="46"/>
      <c r="N47" s="223"/>
      <c r="Q47" s="53"/>
      <c r="R47" s="50"/>
      <c r="S47" s="208">
        <f>ROUND((_11_A家事０．７５*(1+_11・A早朝)),0)+_11_B家事０．７５＿０．５</f>
        <v>276</v>
      </c>
      <c r="T47" s="48"/>
    </row>
    <row r="48" spans="1:20" ht="16.5" customHeight="1" x14ac:dyDescent="0.15">
      <c r="A48" s="41">
        <v>11</v>
      </c>
      <c r="B48" s="41">
        <v>7868</v>
      </c>
      <c r="C48" s="74" t="s">
        <v>9652</v>
      </c>
      <c r="D48" s="72"/>
      <c r="F48" s="709"/>
      <c r="G48" s="718"/>
      <c r="H48" s="122"/>
      <c r="I48" s="216"/>
      <c r="J48" s="38"/>
      <c r="K48" s="44" t="s">
        <v>397</v>
      </c>
      <c r="L48" s="247" t="s">
        <v>398</v>
      </c>
      <c r="M48" s="46">
        <v>1</v>
      </c>
      <c r="N48" s="223"/>
      <c r="Q48" s="35"/>
      <c r="S48" s="208">
        <f>ROUND((ROUND((_11_A家事０．７５*_11・２人),0)*(1+_11・A早朝)),0)+ROUND((_11_B家事０．７５＿０．５*_11・２人),0)</f>
        <v>276</v>
      </c>
      <c r="T48" s="48"/>
    </row>
    <row r="49" spans="1:20" ht="16.5" customHeight="1" x14ac:dyDescent="0.15">
      <c r="A49" s="41">
        <v>11</v>
      </c>
      <c r="B49" s="41">
        <v>7869</v>
      </c>
      <c r="C49" s="74" t="s">
        <v>9653</v>
      </c>
      <c r="D49" s="72"/>
      <c r="F49" s="709"/>
      <c r="G49" s="718"/>
      <c r="H49" s="752" t="s">
        <v>400</v>
      </c>
      <c r="I49" s="221" t="s">
        <v>398</v>
      </c>
      <c r="J49" s="50">
        <v>0.9</v>
      </c>
      <c r="K49" s="44"/>
      <c r="L49" s="247"/>
      <c r="M49" s="46"/>
      <c r="N49" s="223"/>
      <c r="Q49" s="35"/>
      <c r="S49" s="208">
        <f>ROUND((ROUND((_11_A家事０．７５*_11・基礎２),0)*(1+_11・A早朝)),0)+ROUND((_11_B家事０．７５＿０．５*_11・基礎２),0)</f>
        <v>248</v>
      </c>
      <c r="T49" s="48"/>
    </row>
    <row r="50" spans="1:20" ht="16.5" customHeight="1" x14ac:dyDescent="0.15">
      <c r="A50" s="41">
        <v>11</v>
      </c>
      <c r="B50" s="41">
        <v>7870</v>
      </c>
      <c r="C50" s="74" t="s">
        <v>9654</v>
      </c>
      <c r="D50" s="72"/>
      <c r="F50" s="125">
        <f>_11_B家事０．７５＿０．５</f>
        <v>86</v>
      </c>
      <c r="G50" s="12" t="s">
        <v>392</v>
      </c>
      <c r="H50" s="757"/>
      <c r="I50" s="216"/>
      <c r="J50" s="38"/>
      <c r="K50" s="44" t="s">
        <v>397</v>
      </c>
      <c r="L50" s="247" t="s">
        <v>398</v>
      </c>
      <c r="M50" s="46">
        <v>1</v>
      </c>
      <c r="N50" s="223"/>
      <c r="Q50" s="43"/>
      <c r="R50" s="38"/>
      <c r="S50" s="208">
        <f>ROUND((ROUND((ROUND((_11_A家事０．７５*_11・基礎２),0)*_11・２人),0)*(1+_11・A早朝)),0)+ROUND((ROUND((_11_B家事０．７５＿０．５*_11・基礎２),0)*_11・２人),0)</f>
        <v>248</v>
      </c>
      <c r="T50" s="48"/>
    </row>
    <row r="51" spans="1:20" ht="16.5" customHeight="1" x14ac:dyDescent="0.15">
      <c r="A51" s="41">
        <v>11</v>
      </c>
      <c r="B51" s="41" t="s">
        <v>9655</v>
      </c>
      <c r="C51" s="74" t="s">
        <v>9656</v>
      </c>
      <c r="D51" s="72"/>
      <c r="F51" s="72"/>
      <c r="H51" s="114"/>
      <c r="I51" s="221"/>
      <c r="J51" s="50"/>
      <c r="K51" s="44"/>
      <c r="L51" s="247"/>
      <c r="M51" s="46"/>
      <c r="N51" s="223"/>
      <c r="Q51" s="707" t="s">
        <v>404</v>
      </c>
      <c r="R51" s="708"/>
      <c r="S51" s="208">
        <f>ROUND((ROUND((_11_A家事０．７５*(1+_11・A早朝)),0)*_11・初任),0)+ROUND((_11_B家事０．７５＿０．５*_11・初任),0)</f>
        <v>193</v>
      </c>
      <c r="T51" s="48"/>
    </row>
    <row r="52" spans="1:20" ht="16.5" customHeight="1" x14ac:dyDescent="0.15">
      <c r="A52" s="41">
        <v>11</v>
      </c>
      <c r="B52" s="41" t="s">
        <v>9657</v>
      </c>
      <c r="C52" s="74" t="s">
        <v>9658</v>
      </c>
      <c r="D52" s="72"/>
      <c r="F52" s="72"/>
      <c r="H52" s="122"/>
      <c r="I52" s="216"/>
      <c r="J52" s="38"/>
      <c r="K52" s="44" t="s">
        <v>397</v>
      </c>
      <c r="L52" s="247" t="s">
        <v>398</v>
      </c>
      <c r="M52" s="46">
        <v>1</v>
      </c>
      <c r="N52" s="223"/>
      <c r="Q52" s="709"/>
      <c r="R52" s="704"/>
      <c r="S52" s="208">
        <f>ROUND((ROUND((ROUND((_11_A家事０．７５*_11・２人),0)*(1+_11・A早朝)),0)*_11・初任),0)+ROUND((ROUND((_11_B家事０．７５＿０．５*_11・２人),0)*_11・初任),0)</f>
        <v>193</v>
      </c>
      <c r="T52" s="48"/>
    </row>
    <row r="53" spans="1:20" ht="16.5" customHeight="1" x14ac:dyDescent="0.15">
      <c r="A53" s="41">
        <v>11</v>
      </c>
      <c r="B53" s="41" t="s">
        <v>9659</v>
      </c>
      <c r="C53" s="74" t="s">
        <v>9660</v>
      </c>
      <c r="D53" s="72"/>
      <c r="F53" s="72"/>
      <c r="H53" s="752" t="s">
        <v>400</v>
      </c>
      <c r="I53" s="221" t="s">
        <v>398</v>
      </c>
      <c r="J53" s="50">
        <v>0.9</v>
      </c>
      <c r="K53" s="44"/>
      <c r="L53" s="247"/>
      <c r="M53" s="46"/>
      <c r="N53" s="223"/>
      <c r="Q53" s="709"/>
      <c r="R53" s="704"/>
      <c r="S53" s="208">
        <f>ROUND((ROUND((ROUND((_11_A家事０．７５*_11・基礎２),0)*(1+_11・A早朝)),0)*_11・初任),0)+ROUND((ROUND((_11_B家事０．７５＿０．５*_11・基礎２),0)*_11・初任),0)</f>
        <v>174</v>
      </c>
      <c r="T53" s="48"/>
    </row>
    <row r="54" spans="1:20" ht="16.5" customHeight="1" x14ac:dyDescent="0.15">
      <c r="A54" s="41">
        <v>11</v>
      </c>
      <c r="B54" s="41" t="s">
        <v>9661</v>
      </c>
      <c r="C54" s="74" t="s">
        <v>9662</v>
      </c>
      <c r="D54" s="72"/>
      <c r="F54" s="72"/>
      <c r="H54" s="757"/>
      <c r="I54" s="216"/>
      <c r="J54" s="38"/>
      <c r="K54" s="44" t="s">
        <v>397</v>
      </c>
      <c r="L54" s="247" t="s">
        <v>398</v>
      </c>
      <c r="M54" s="46">
        <v>1</v>
      </c>
      <c r="N54" s="223"/>
      <c r="Q54" s="240" t="s">
        <v>398</v>
      </c>
      <c r="R54" s="38">
        <f>_11・初任</f>
        <v>0.7</v>
      </c>
      <c r="S54" s="208">
        <f>ROUND((ROUND((ROUND((ROUND((_11_A家事０．７５*_11・基礎２),0)*_11・２人),0)*(1+_11・A早朝)),0)*_11・初任),0)+ROUND((ROUND((ROUND((_11_B家事０．７５＿０．５*_11・基礎２),0)*_11・２人),0)*_11・初任),0)</f>
        <v>174</v>
      </c>
      <c r="T54" s="48"/>
    </row>
    <row r="55" spans="1:20" ht="16.5" customHeight="1" x14ac:dyDescent="0.15">
      <c r="A55" s="41">
        <v>11</v>
      </c>
      <c r="B55" s="41">
        <v>7871</v>
      </c>
      <c r="C55" s="74" t="s">
        <v>9663</v>
      </c>
      <c r="D55" s="72"/>
      <c r="F55" s="707" t="s">
        <v>9614</v>
      </c>
      <c r="G55" s="717"/>
      <c r="H55" s="114"/>
      <c r="I55" s="221"/>
      <c r="J55" s="50"/>
      <c r="K55" s="44"/>
      <c r="L55" s="247"/>
      <c r="M55" s="46"/>
      <c r="N55" s="223"/>
      <c r="Q55" s="114"/>
      <c r="R55" s="50"/>
      <c r="S55" s="208">
        <f>ROUND((_11_A家事０．７５*(1+_11・A早朝)),0)+_11_B家事０．７５＿０．７５</f>
        <v>312</v>
      </c>
      <c r="T55" s="48"/>
    </row>
    <row r="56" spans="1:20" ht="16.5" customHeight="1" x14ac:dyDescent="0.15">
      <c r="A56" s="41">
        <v>11</v>
      </c>
      <c r="B56" s="41">
        <v>7872</v>
      </c>
      <c r="C56" s="74" t="s">
        <v>9664</v>
      </c>
      <c r="D56" s="72"/>
      <c r="F56" s="709"/>
      <c r="G56" s="718"/>
      <c r="H56" s="122"/>
      <c r="I56" s="216"/>
      <c r="J56" s="38"/>
      <c r="K56" s="44" t="s">
        <v>397</v>
      </c>
      <c r="L56" s="247" t="s">
        <v>398</v>
      </c>
      <c r="M56" s="46">
        <v>1</v>
      </c>
      <c r="N56" s="223"/>
      <c r="Q56" s="72"/>
      <c r="S56" s="208">
        <f>ROUND((ROUND((_11_A家事０．７５*_11・２人),0)*(1+_11・A早朝)),0)+ROUND((_11_B家事０．７５＿０．７５*_11・２人),0)</f>
        <v>312</v>
      </c>
      <c r="T56" s="48"/>
    </row>
    <row r="57" spans="1:20" ht="16.5" customHeight="1" x14ac:dyDescent="0.15">
      <c r="A57" s="41">
        <v>11</v>
      </c>
      <c r="B57" s="41">
        <v>7873</v>
      </c>
      <c r="C57" s="74" t="s">
        <v>9665</v>
      </c>
      <c r="D57" s="72"/>
      <c r="F57" s="709"/>
      <c r="G57" s="718"/>
      <c r="H57" s="752" t="s">
        <v>400</v>
      </c>
      <c r="I57" s="221" t="s">
        <v>398</v>
      </c>
      <c r="J57" s="50">
        <v>0.9</v>
      </c>
      <c r="K57" s="44"/>
      <c r="L57" s="247"/>
      <c r="M57" s="46"/>
      <c r="N57" s="223"/>
      <c r="Q57" s="72"/>
      <c r="S57" s="208">
        <f>ROUND((ROUND((_11_A家事０．７５*_11・基礎２),0)*(1+_11・A早朝)),0)+ROUND((_11_B家事０．７５＿０．７５*_11・基礎２),0)</f>
        <v>281</v>
      </c>
      <c r="T57" s="48"/>
    </row>
    <row r="58" spans="1:20" ht="16.5" customHeight="1" x14ac:dyDescent="0.15">
      <c r="A58" s="41">
        <v>11</v>
      </c>
      <c r="B58" s="41">
        <v>7874</v>
      </c>
      <c r="C58" s="74" t="s">
        <v>9666</v>
      </c>
      <c r="D58" s="125"/>
      <c r="F58" s="125">
        <f>_11_B家事０．７５＿０．７５</f>
        <v>122</v>
      </c>
      <c r="G58" s="12" t="s">
        <v>392</v>
      </c>
      <c r="H58" s="757"/>
      <c r="I58" s="216"/>
      <c r="J58" s="38"/>
      <c r="K58" s="44" t="s">
        <v>397</v>
      </c>
      <c r="L58" s="247" t="s">
        <v>398</v>
      </c>
      <c r="M58" s="46">
        <v>1</v>
      </c>
      <c r="N58" s="223"/>
      <c r="Q58" s="122"/>
      <c r="R58" s="38"/>
      <c r="S58" s="208">
        <f>ROUND((ROUND((ROUND((_11_A家事０．７５*_11・基礎２),0)*_11・２人),0)*(1+_11・A早朝)),0)+ROUND((ROUND((_11_B家事０．７５＿０．７５*_11・基礎２),0)*_11・２人),0)</f>
        <v>281</v>
      </c>
      <c r="T58" s="48"/>
    </row>
    <row r="59" spans="1:20" ht="16.5" customHeight="1" x14ac:dyDescent="0.15">
      <c r="A59" s="41">
        <v>11</v>
      </c>
      <c r="B59" s="41" t="s">
        <v>9667</v>
      </c>
      <c r="C59" s="74" t="s">
        <v>9668</v>
      </c>
      <c r="D59" s="72"/>
      <c r="F59" s="72"/>
      <c r="H59" s="114"/>
      <c r="I59" s="221"/>
      <c r="J59" s="50"/>
      <c r="K59" s="44"/>
      <c r="L59" s="247"/>
      <c r="M59" s="46"/>
      <c r="N59" s="223"/>
      <c r="Q59" s="707" t="s">
        <v>404</v>
      </c>
      <c r="R59" s="708"/>
      <c r="S59" s="208">
        <f>ROUND((ROUND((_11_A家事０．７５*(1+_11・A早朝)),0)*_11・初任),0)+ROUND((_11_B家事０．７５＿０．７５*_11・初任),0)</f>
        <v>218</v>
      </c>
      <c r="T59" s="48"/>
    </row>
    <row r="60" spans="1:20" ht="16.5" customHeight="1" x14ac:dyDescent="0.15">
      <c r="A60" s="41">
        <v>11</v>
      </c>
      <c r="B60" s="41" t="s">
        <v>9669</v>
      </c>
      <c r="C60" s="74" t="s">
        <v>9670</v>
      </c>
      <c r="D60" s="72"/>
      <c r="F60" s="72"/>
      <c r="H60" s="122"/>
      <c r="I60" s="216"/>
      <c r="J60" s="38"/>
      <c r="K60" s="44" t="s">
        <v>397</v>
      </c>
      <c r="L60" s="247" t="s">
        <v>398</v>
      </c>
      <c r="M60" s="46">
        <v>1</v>
      </c>
      <c r="N60" s="223"/>
      <c r="Q60" s="709"/>
      <c r="R60" s="704"/>
      <c r="S60" s="208">
        <f>ROUND((ROUND((ROUND((_11_A家事０．７５*_11・２人),0)*(1+_11・A早朝)),0)*_11・初任),0)+ROUND((ROUND((_11_B家事０．７５＿０．７５*_11・２人),0)*_11・初任),0)</f>
        <v>218</v>
      </c>
      <c r="T60" s="48"/>
    </row>
    <row r="61" spans="1:20" ht="16.5" customHeight="1" x14ac:dyDescent="0.15">
      <c r="A61" s="41">
        <v>11</v>
      </c>
      <c r="B61" s="41" t="s">
        <v>9671</v>
      </c>
      <c r="C61" s="74" t="s">
        <v>9672</v>
      </c>
      <c r="D61" s="72"/>
      <c r="F61" s="72"/>
      <c r="H61" s="752" t="s">
        <v>400</v>
      </c>
      <c r="I61" s="221" t="s">
        <v>398</v>
      </c>
      <c r="J61" s="50">
        <v>0.9</v>
      </c>
      <c r="K61" s="44"/>
      <c r="L61" s="247"/>
      <c r="M61" s="46"/>
      <c r="N61" s="223"/>
      <c r="Q61" s="709"/>
      <c r="R61" s="704"/>
      <c r="S61" s="208">
        <f>ROUND((ROUND((ROUND((_11_A家事０．７５*_11・基礎２),0)*(1+_11・A早朝)),0)*_11・初任),0)+ROUND((ROUND((_11_B家事０．７５＿０．７５*_11・基礎２),0)*_11・初任),0)</f>
        <v>197</v>
      </c>
      <c r="T61" s="48"/>
    </row>
    <row r="62" spans="1:20" ht="16.5" customHeight="1" x14ac:dyDescent="0.15">
      <c r="A62" s="41">
        <v>11</v>
      </c>
      <c r="B62" s="41" t="s">
        <v>9673</v>
      </c>
      <c r="C62" s="74" t="s">
        <v>9674</v>
      </c>
      <c r="D62" s="72"/>
      <c r="F62" s="72"/>
      <c r="H62" s="757"/>
      <c r="I62" s="216"/>
      <c r="J62" s="38"/>
      <c r="K62" s="44" t="s">
        <v>397</v>
      </c>
      <c r="L62" s="247" t="s">
        <v>398</v>
      </c>
      <c r="M62" s="46">
        <v>1</v>
      </c>
      <c r="N62" s="223"/>
      <c r="Q62" s="240" t="s">
        <v>398</v>
      </c>
      <c r="R62" s="38">
        <f>_11・初任</f>
        <v>0.7</v>
      </c>
      <c r="S62" s="208">
        <f>ROUND((ROUND((ROUND((ROUND((_11_A家事０．７５*_11・基礎２),0)*_11・２人),0)*(1+_11・A早朝)),0)*_11・初任),0)+ROUND((ROUND((ROUND((_11_B家事０．７５＿０．７５*_11・基礎２),0)*_11・２人),0)*_11・初任),0)</f>
        <v>197</v>
      </c>
      <c r="T62" s="48"/>
    </row>
    <row r="63" spans="1:20" ht="16.5" customHeight="1" x14ac:dyDescent="0.15">
      <c r="A63" s="41">
        <v>11</v>
      </c>
      <c r="B63" s="41">
        <v>7875</v>
      </c>
      <c r="C63" s="74" t="s">
        <v>9675</v>
      </c>
      <c r="D63" s="707" t="s">
        <v>8825</v>
      </c>
      <c r="E63" s="717"/>
      <c r="F63" s="707" t="s">
        <v>9588</v>
      </c>
      <c r="G63" s="717"/>
      <c r="H63" s="114"/>
      <c r="I63" s="221"/>
      <c r="J63" s="50"/>
      <c r="K63" s="44"/>
      <c r="L63" s="247"/>
      <c r="M63" s="46"/>
      <c r="N63" s="223"/>
      <c r="Q63" s="53"/>
      <c r="R63" s="50"/>
      <c r="S63" s="208">
        <f>ROUND((_11_A家事１．０*(1+_11・A早朝)),0)+_11_B家事１．０＿０．２５</f>
        <v>287</v>
      </c>
      <c r="T63" s="48"/>
    </row>
    <row r="64" spans="1:20" ht="16.5" customHeight="1" x14ac:dyDescent="0.15">
      <c r="A64" s="41">
        <v>11</v>
      </c>
      <c r="B64" s="41">
        <v>7876</v>
      </c>
      <c r="C64" s="74" t="s">
        <v>9676</v>
      </c>
      <c r="D64" s="709"/>
      <c r="E64" s="718"/>
      <c r="F64" s="709"/>
      <c r="G64" s="718"/>
      <c r="H64" s="122"/>
      <c r="I64" s="216"/>
      <c r="J64" s="38"/>
      <c r="K64" s="44" t="s">
        <v>397</v>
      </c>
      <c r="L64" s="247" t="s">
        <v>398</v>
      </c>
      <c r="M64" s="46">
        <v>1</v>
      </c>
      <c r="N64" s="223"/>
      <c r="Q64" s="35"/>
      <c r="S64" s="208">
        <f>ROUND((ROUND((_11_A家事１．０*_11・２人),0)*(1+_11・A早朝)),0)+ROUND((_11_B家事１．０＿０．２５*_11・２人),0)</f>
        <v>287</v>
      </c>
      <c r="T64" s="48"/>
    </row>
    <row r="65" spans="1:20" ht="16.5" customHeight="1" x14ac:dyDescent="0.15">
      <c r="A65" s="41">
        <v>11</v>
      </c>
      <c r="B65" s="41">
        <v>7877</v>
      </c>
      <c r="C65" s="74" t="s">
        <v>9677</v>
      </c>
      <c r="D65" s="709"/>
      <c r="E65" s="718"/>
      <c r="F65" s="709"/>
      <c r="G65" s="718"/>
      <c r="H65" s="752" t="s">
        <v>400</v>
      </c>
      <c r="I65" s="221" t="s">
        <v>398</v>
      </c>
      <c r="J65" s="50">
        <v>0.9</v>
      </c>
      <c r="K65" s="44"/>
      <c r="L65" s="247"/>
      <c r="M65" s="46"/>
      <c r="N65" s="223"/>
      <c r="Q65" s="35"/>
      <c r="S65" s="208">
        <f>ROUND((ROUND((_11_A家事１．０*_11・基礎２),0)*(1+_11・A早朝)),0)+ROUND((_11_B家事１．０＿０．２５*_11・基礎２),0)</f>
        <v>258</v>
      </c>
      <c r="T65" s="48"/>
    </row>
    <row r="66" spans="1:20" ht="16.5" customHeight="1" x14ac:dyDescent="0.15">
      <c r="A66" s="41">
        <v>11</v>
      </c>
      <c r="B66" s="41">
        <v>7878</v>
      </c>
      <c r="C66" s="74" t="s">
        <v>9678</v>
      </c>
      <c r="D66" s="125">
        <f>_11_A家事１．０</f>
        <v>196</v>
      </c>
      <c r="E66" s="12" t="s">
        <v>392</v>
      </c>
      <c r="F66" s="125">
        <f>_11_B家事１．０＿０．２５</f>
        <v>42</v>
      </c>
      <c r="G66" s="12" t="s">
        <v>392</v>
      </c>
      <c r="H66" s="757"/>
      <c r="I66" s="216"/>
      <c r="J66" s="38"/>
      <c r="K66" s="44" t="s">
        <v>397</v>
      </c>
      <c r="L66" s="247" t="s">
        <v>398</v>
      </c>
      <c r="M66" s="46">
        <v>1</v>
      </c>
      <c r="N66" s="223"/>
      <c r="Q66" s="43"/>
      <c r="R66" s="38"/>
      <c r="S66" s="208">
        <f>ROUND((ROUND((ROUND((_11_A家事１．０*_11・基礎２),0)*_11・２人),0)*(1+_11・A早朝)),0)+ROUND((ROUND((_11_B家事１．０＿０．２５*_11・基礎２),0)*_11・２人),0)</f>
        <v>258</v>
      </c>
      <c r="T66" s="48"/>
    </row>
    <row r="67" spans="1:20" ht="16.5" customHeight="1" x14ac:dyDescent="0.15">
      <c r="A67" s="41">
        <v>11</v>
      </c>
      <c r="B67" s="41" t="s">
        <v>9679</v>
      </c>
      <c r="C67" s="74" t="s">
        <v>9680</v>
      </c>
      <c r="D67" s="72"/>
      <c r="F67" s="72"/>
      <c r="H67" s="114"/>
      <c r="I67" s="221"/>
      <c r="J67" s="50"/>
      <c r="K67" s="44"/>
      <c r="L67" s="247"/>
      <c r="M67" s="46"/>
      <c r="N67" s="223"/>
      <c r="Q67" s="707" t="s">
        <v>404</v>
      </c>
      <c r="R67" s="708"/>
      <c r="S67" s="208">
        <f>ROUND((ROUND((_11_A家事１．０*(1+_11・A早朝)),0)*_11・初任),0)+ROUND((_11_B家事１．０＿０．２５*_11・初任),0)</f>
        <v>201</v>
      </c>
      <c r="T67" s="48"/>
    </row>
    <row r="68" spans="1:20" ht="16.5" customHeight="1" x14ac:dyDescent="0.15">
      <c r="A68" s="41">
        <v>11</v>
      </c>
      <c r="B68" s="41" t="s">
        <v>9681</v>
      </c>
      <c r="C68" s="74" t="s">
        <v>9682</v>
      </c>
      <c r="D68" s="72"/>
      <c r="F68" s="72"/>
      <c r="H68" s="122"/>
      <c r="I68" s="216"/>
      <c r="J68" s="38"/>
      <c r="K68" s="44" t="s">
        <v>397</v>
      </c>
      <c r="L68" s="247" t="s">
        <v>398</v>
      </c>
      <c r="M68" s="46">
        <v>1</v>
      </c>
      <c r="N68" s="223"/>
      <c r="Q68" s="709"/>
      <c r="R68" s="704"/>
      <c r="S68" s="208">
        <f>ROUND((ROUND((ROUND((_11_A家事１．０*_11・２人),0)*(1+_11・A早朝)),0)*_11・初任),0)+ROUND((ROUND((_11_B家事１．０＿０．２５*_11・２人),0)*_11・初任),0)</f>
        <v>201</v>
      </c>
      <c r="T68" s="48"/>
    </row>
    <row r="69" spans="1:20" ht="16.5" customHeight="1" x14ac:dyDescent="0.15">
      <c r="A69" s="41">
        <v>11</v>
      </c>
      <c r="B69" s="41" t="s">
        <v>9683</v>
      </c>
      <c r="C69" s="74" t="s">
        <v>9684</v>
      </c>
      <c r="D69" s="72"/>
      <c r="F69" s="72"/>
      <c r="H69" s="752" t="s">
        <v>400</v>
      </c>
      <c r="I69" s="221" t="s">
        <v>398</v>
      </c>
      <c r="J69" s="50">
        <v>0.9</v>
      </c>
      <c r="K69" s="44"/>
      <c r="L69" s="247"/>
      <c r="M69" s="46"/>
      <c r="N69" s="223"/>
      <c r="Q69" s="709"/>
      <c r="R69" s="704"/>
      <c r="S69" s="208">
        <f>ROUND((ROUND((ROUND((_11_A家事１．０*_11・基礎２),0)*(1+_11・A早朝)),0)*_11・初任),0)+ROUND((ROUND((_11_B家事１．０＿０．２５*_11・基礎２),0)*_11・初任),0)</f>
        <v>181</v>
      </c>
      <c r="T69" s="48"/>
    </row>
    <row r="70" spans="1:20" ht="16.5" customHeight="1" x14ac:dyDescent="0.15">
      <c r="A70" s="41">
        <v>11</v>
      </c>
      <c r="B70" s="41" t="s">
        <v>9685</v>
      </c>
      <c r="C70" s="74" t="s">
        <v>9686</v>
      </c>
      <c r="D70" s="72"/>
      <c r="F70" s="72"/>
      <c r="H70" s="757"/>
      <c r="I70" s="216"/>
      <c r="J70" s="38"/>
      <c r="K70" s="44" t="s">
        <v>397</v>
      </c>
      <c r="L70" s="247" t="s">
        <v>398</v>
      </c>
      <c r="M70" s="46">
        <v>1</v>
      </c>
      <c r="N70" s="223"/>
      <c r="Q70" s="240" t="s">
        <v>398</v>
      </c>
      <c r="R70" s="38">
        <f>_11・初任</f>
        <v>0.7</v>
      </c>
      <c r="S70" s="208">
        <f>ROUND((ROUND((ROUND((ROUND((_11_A家事１．０*_11・基礎２),0)*_11・２人),0)*(1+_11・A早朝)),0)*_11・初任),0)+ROUND((ROUND((ROUND((_11_B家事１．０＿０．２５*_11・基礎２),0)*_11・２人),0)*_11・初任),0)</f>
        <v>181</v>
      </c>
      <c r="T70" s="48"/>
    </row>
    <row r="71" spans="1:20" ht="16.5" customHeight="1" x14ac:dyDescent="0.15">
      <c r="A71" s="41">
        <v>11</v>
      </c>
      <c r="B71" s="41">
        <v>6323</v>
      </c>
      <c r="C71" s="74" t="s">
        <v>9687</v>
      </c>
      <c r="D71" s="72"/>
      <c r="F71" s="707" t="s">
        <v>9601</v>
      </c>
      <c r="G71" s="717"/>
      <c r="H71" s="114"/>
      <c r="I71" s="221"/>
      <c r="J71" s="50"/>
      <c r="K71" s="44"/>
      <c r="L71" s="247"/>
      <c r="M71" s="46"/>
      <c r="N71" s="223"/>
      <c r="Q71" s="114"/>
      <c r="R71" s="50"/>
      <c r="S71" s="208">
        <f>ROUND((_11_A家事１．０*(1+_11・A早朝)),0)+_11_B家事１．０＿０．５</f>
        <v>323</v>
      </c>
      <c r="T71" s="48"/>
    </row>
    <row r="72" spans="1:20" ht="16.5" customHeight="1" x14ac:dyDescent="0.15">
      <c r="A72" s="41">
        <v>11</v>
      </c>
      <c r="B72" s="41">
        <v>6324</v>
      </c>
      <c r="C72" s="74" t="s">
        <v>9688</v>
      </c>
      <c r="D72" s="72"/>
      <c r="F72" s="709"/>
      <c r="G72" s="718"/>
      <c r="H72" s="122"/>
      <c r="I72" s="216"/>
      <c r="J72" s="38"/>
      <c r="K72" s="44" t="s">
        <v>397</v>
      </c>
      <c r="L72" s="247" t="s">
        <v>398</v>
      </c>
      <c r="M72" s="46">
        <v>1</v>
      </c>
      <c r="N72" s="223"/>
      <c r="Q72" s="72"/>
      <c r="S72" s="208">
        <f>ROUND((ROUND((_11_A家事１．０*_11・２人),0)*(1+_11・A早朝)),0)+ROUND((_11_B家事１．０＿０．５*_11・２人),0)</f>
        <v>323</v>
      </c>
      <c r="T72" s="48"/>
    </row>
    <row r="73" spans="1:20" ht="16.5" customHeight="1" x14ac:dyDescent="0.15">
      <c r="A73" s="41">
        <v>11</v>
      </c>
      <c r="B73" s="41">
        <v>6325</v>
      </c>
      <c r="C73" s="74" t="s">
        <v>9689</v>
      </c>
      <c r="D73" s="72"/>
      <c r="F73" s="709"/>
      <c r="G73" s="718"/>
      <c r="H73" s="752" t="s">
        <v>400</v>
      </c>
      <c r="I73" s="221" t="s">
        <v>398</v>
      </c>
      <c r="J73" s="50">
        <v>0.9</v>
      </c>
      <c r="K73" s="44"/>
      <c r="L73" s="247"/>
      <c r="M73" s="46"/>
      <c r="N73" s="223"/>
      <c r="Q73" s="72"/>
      <c r="S73" s="208">
        <f>ROUND((ROUND((_11_A家事１．０*_11・基礎２),0)*(1+_11・A早朝)),0)+ROUND((_11_B家事１．０＿０．５*_11・基礎２),0)</f>
        <v>290</v>
      </c>
      <c r="T73" s="48"/>
    </row>
    <row r="74" spans="1:20" ht="16.5" customHeight="1" x14ac:dyDescent="0.15">
      <c r="A74" s="41">
        <v>11</v>
      </c>
      <c r="B74" s="41">
        <v>6326</v>
      </c>
      <c r="C74" s="74" t="s">
        <v>9690</v>
      </c>
      <c r="D74" s="72"/>
      <c r="F74" s="125">
        <f>_11_B家事１．０＿０．５</f>
        <v>78</v>
      </c>
      <c r="G74" s="12" t="s">
        <v>392</v>
      </c>
      <c r="H74" s="757"/>
      <c r="I74" s="216"/>
      <c r="J74" s="38"/>
      <c r="K74" s="44" t="s">
        <v>397</v>
      </c>
      <c r="L74" s="247" t="s">
        <v>398</v>
      </c>
      <c r="M74" s="46">
        <v>1</v>
      </c>
      <c r="N74" s="223"/>
      <c r="Q74" s="122"/>
      <c r="R74" s="38"/>
      <c r="S74" s="208">
        <f>ROUND((ROUND((ROUND((_11_A家事１．０*_11・基礎２),0)*_11・２人),0)*(1+_11・A早朝)),0)+ROUND((ROUND((_11_B家事１．０＿０．５*_11・基礎２),0)*_11・２人),0)</f>
        <v>290</v>
      </c>
      <c r="T74" s="48"/>
    </row>
    <row r="75" spans="1:20" ht="16.5" customHeight="1" x14ac:dyDescent="0.15">
      <c r="A75" s="41">
        <v>11</v>
      </c>
      <c r="B75" s="41" t="s">
        <v>9691</v>
      </c>
      <c r="C75" s="74" t="s">
        <v>9692</v>
      </c>
      <c r="D75" s="72"/>
      <c r="F75" s="72"/>
      <c r="H75" s="114"/>
      <c r="I75" s="221"/>
      <c r="J75" s="50"/>
      <c r="K75" s="44"/>
      <c r="L75" s="247"/>
      <c r="M75" s="46"/>
      <c r="N75" s="223"/>
      <c r="Q75" s="707" t="s">
        <v>404</v>
      </c>
      <c r="R75" s="708"/>
      <c r="S75" s="208">
        <f>ROUND((ROUND((_11_A家事１．０*(1+_11・A早朝)),0)*_11・初任),0)+ROUND((_11_B家事１．０＿０．５*_11・初任),0)</f>
        <v>227</v>
      </c>
      <c r="T75" s="48"/>
    </row>
    <row r="76" spans="1:20" ht="16.5" customHeight="1" x14ac:dyDescent="0.15">
      <c r="A76" s="41">
        <v>11</v>
      </c>
      <c r="B76" s="41" t="s">
        <v>9693</v>
      </c>
      <c r="C76" s="74" t="s">
        <v>9694</v>
      </c>
      <c r="D76" s="72"/>
      <c r="F76" s="72"/>
      <c r="H76" s="122"/>
      <c r="I76" s="216"/>
      <c r="J76" s="38"/>
      <c r="K76" s="44" t="s">
        <v>397</v>
      </c>
      <c r="L76" s="247" t="s">
        <v>398</v>
      </c>
      <c r="M76" s="46">
        <v>1</v>
      </c>
      <c r="N76" s="223"/>
      <c r="Q76" s="709"/>
      <c r="R76" s="704"/>
      <c r="S76" s="208">
        <f>ROUND((ROUND((ROUND((_11_A家事１．０*_11・２人),0)*(1+_11・A早朝)),0)*_11・初任),0)+ROUND((ROUND((_11_B家事１．０＿０．５*_11・２人),0)*_11・初任),0)</f>
        <v>227</v>
      </c>
      <c r="T76" s="48"/>
    </row>
    <row r="77" spans="1:20" ht="16.5" customHeight="1" x14ac:dyDescent="0.15">
      <c r="A77" s="41">
        <v>11</v>
      </c>
      <c r="B77" s="41" t="s">
        <v>9695</v>
      </c>
      <c r="C77" s="74" t="s">
        <v>9696</v>
      </c>
      <c r="D77" s="72"/>
      <c r="F77" s="72"/>
      <c r="H77" s="752" t="s">
        <v>400</v>
      </c>
      <c r="I77" s="221" t="s">
        <v>398</v>
      </c>
      <c r="J77" s="50">
        <v>0.9</v>
      </c>
      <c r="K77" s="44"/>
      <c r="L77" s="247"/>
      <c r="M77" s="46"/>
      <c r="N77" s="223"/>
      <c r="Q77" s="709"/>
      <c r="R77" s="704"/>
      <c r="S77" s="208">
        <f>ROUND((ROUND((ROUND((_11_A家事１．０*_11・基礎２),0)*(1+_11・A早朝)),0)*_11・初任),0)+ROUND((ROUND((_11_B家事１．０＿０．５*_11・基礎２),0)*_11・初任),0)</f>
        <v>203</v>
      </c>
      <c r="T77" s="48"/>
    </row>
    <row r="78" spans="1:20" ht="16.5" customHeight="1" x14ac:dyDescent="0.15">
      <c r="A78" s="41">
        <v>11</v>
      </c>
      <c r="B78" s="41" t="s">
        <v>9697</v>
      </c>
      <c r="C78" s="74" t="s">
        <v>9698</v>
      </c>
      <c r="D78" s="72"/>
      <c r="F78" s="72"/>
      <c r="H78" s="757"/>
      <c r="I78" s="216"/>
      <c r="J78" s="38"/>
      <c r="K78" s="44" t="s">
        <v>397</v>
      </c>
      <c r="L78" s="247" t="s">
        <v>398</v>
      </c>
      <c r="M78" s="46">
        <v>1</v>
      </c>
      <c r="N78" s="223"/>
      <c r="Q78" s="240" t="s">
        <v>398</v>
      </c>
      <c r="R78" s="38">
        <f>_11・初任</f>
        <v>0.7</v>
      </c>
      <c r="S78" s="208">
        <f>ROUND((ROUND((ROUND((ROUND((_11_A家事１．０*_11・基礎２),0)*_11・２人),0)*(1+_11・A早朝)),0)*_11・初任),0)+ROUND((ROUND((ROUND((_11_B家事１．０＿０．５*_11・基礎２),0)*_11・２人),0)*_11・初任),0)</f>
        <v>203</v>
      </c>
      <c r="T78" s="48"/>
    </row>
    <row r="79" spans="1:20" ht="16.5" customHeight="1" x14ac:dyDescent="0.15">
      <c r="A79" s="41">
        <v>11</v>
      </c>
      <c r="B79" s="41">
        <v>7879</v>
      </c>
      <c r="C79" s="74" t="s">
        <v>9699</v>
      </c>
      <c r="D79" s="707" t="s">
        <v>8838</v>
      </c>
      <c r="E79" s="717"/>
      <c r="F79" s="707" t="s">
        <v>9588</v>
      </c>
      <c r="G79" s="717"/>
      <c r="H79" s="114"/>
      <c r="I79" s="221"/>
      <c r="J79" s="50"/>
      <c r="K79" s="44"/>
      <c r="L79" s="247"/>
      <c r="M79" s="46"/>
      <c r="N79" s="223"/>
      <c r="Q79" s="53"/>
      <c r="R79" s="50"/>
      <c r="S79" s="208">
        <f>ROUND((_11_A家事１．２５*(1+_11・A早朝)),0)+_11_B家事１．２５＿０．２５</f>
        <v>334</v>
      </c>
      <c r="T79" s="48"/>
    </row>
    <row r="80" spans="1:20" ht="16.5" customHeight="1" x14ac:dyDescent="0.15">
      <c r="A80" s="41">
        <v>11</v>
      </c>
      <c r="B80" s="41">
        <v>7880</v>
      </c>
      <c r="C80" s="74" t="s">
        <v>9700</v>
      </c>
      <c r="D80" s="709"/>
      <c r="E80" s="718"/>
      <c r="F80" s="709"/>
      <c r="G80" s="718"/>
      <c r="H80" s="122"/>
      <c r="I80" s="216"/>
      <c r="J80" s="38"/>
      <c r="K80" s="44" t="s">
        <v>397</v>
      </c>
      <c r="L80" s="247" t="s">
        <v>398</v>
      </c>
      <c r="M80" s="46">
        <v>1</v>
      </c>
      <c r="N80" s="223"/>
      <c r="Q80" s="35"/>
      <c r="S80" s="208">
        <f>ROUND((ROUND((_11_A家事１．２５*_11・２人),0)*(1+_11・A早朝)),0)+ROUND((_11_B家事１．２５＿０．２５*_11・２人),0)</f>
        <v>334</v>
      </c>
      <c r="T80" s="48"/>
    </row>
    <row r="81" spans="1:20" ht="16.5" customHeight="1" x14ac:dyDescent="0.15">
      <c r="A81" s="41">
        <v>11</v>
      </c>
      <c r="B81" s="41">
        <v>7881</v>
      </c>
      <c r="C81" s="74" t="s">
        <v>9701</v>
      </c>
      <c r="D81" s="709"/>
      <c r="E81" s="718"/>
      <c r="F81" s="709"/>
      <c r="G81" s="718"/>
      <c r="H81" s="752" t="s">
        <v>400</v>
      </c>
      <c r="I81" s="221" t="s">
        <v>398</v>
      </c>
      <c r="J81" s="50">
        <v>0.9</v>
      </c>
      <c r="K81" s="44"/>
      <c r="L81" s="247"/>
      <c r="M81" s="46"/>
      <c r="N81" s="223"/>
      <c r="Q81" s="35"/>
      <c r="S81" s="208">
        <f>ROUND((ROUND((_11_A家事１．２５*_11・基礎２),0)*(1+_11・A早朝)),0)+ROUND((_11_B家事１．２５＿０．２５*_11・基礎２),0)</f>
        <v>300</v>
      </c>
      <c r="T81" s="48"/>
    </row>
    <row r="82" spans="1:20" ht="16.5" customHeight="1" x14ac:dyDescent="0.15">
      <c r="A82" s="41">
        <v>11</v>
      </c>
      <c r="B82" s="41">
        <v>7882</v>
      </c>
      <c r="C82" s="74" t="s">
        <v>9702</v>
      </c>
      <c r="D82" s="125">
        <f>_11_A家事１．２５</f>
        <v>238</v>
      </c>
      <c r="E82" s="12" t="s">
        <v>392</v>
      </c>
      <c r="F82" s="125">
        <f>_11_B家事１．２５＿０．２５</f>
        <v>36</v>
      </c>
      <c r="G82" s="12" t="s">
        <v>392</v>
      </c>
      <c r="H82" s="757"/>
      <c r="I82" s="216"/>
      <c r="J82" s="38"/>
      <c r="K82" s="44" t="s">
        <v>397</v>
      </c>
      <c r="L82" s="247" t="s">
        <v>398</v>
      </c>
      <c r="M82" s="46">
        <v>1</v>
      </c>
      <c r="N82" s="223"/>
      <c r="Q82" s="43"/>
      <c r="R82" s="38"/>
      <c r="S82" s="208">
        <f>ROUND((ROUND((ROUND((_11_A家事１．２５*_11・基礎２),0)*_11・２人),0)*(1+_11・A早朝)),0)+ROUND((ROUND((_11_B家事１．２５＿０．２５*_11・基礎２),0)*_11・２人),0)</f>
        <v>300</v>
      </c>
      <c r="T82" s="48"/>
    </row>
    <row r="83" spans="1:20" ht="16.5" customHeight="1" x14ac:dyDescent="0.15">
      <c r="A83" s="41">
        <v>11</v>
      </c>
      <c r="B83" s="41" t="s">
        <v>9703</v>
      </c>
      <c r="C83" s="74" t="s">
        <v>9704</v>
      </c>
      <c r="D83" s="72"/>
      <c r="F83" s="72"/>
      <c r="H83" s="114"/>
      <c r="I83" s="221"/>
      <c r="J83" s="50"/>
      <c r="K83" s="44"/>
      <c r="L83" s="247"/>
      <c r="M83" s="46"/>
      <c r="N83" s="223"/>
      <c r="Q83" s="707" t="s">
        <v>404</v>
      </c>
      <c r="R83" s="708"/>
      <c r="S83" s="208">
        <f>ROUND((ROUND((_11_A家事１．２５*(1+_11・A早朝)),0)*_11・初任),0)+ROUND((_11_B家事１．２５＿０．２５*_11・初任),0)</f>
        <v>234</v>
      </c>
      <c r="T83" s="48"/>
    </row>
    <row r="84" spans="1:20" ht="16.5" customHeight="1" x14ac:dyDescent="0.15">
      <c r="A84" s="41">
        <v>11</v>
      </c>
      <c r="B84" s="41" t="s">
        <v>9705</v>
      </c>
      <c r="C84" s="74" t="s">
        <v>9706</v>
      </c>
      <c r="D84" s="72"/>
      <c r="F84" s="72"/>
      <c r="H84" s="122"/>
      <c r="I84" s="216"/>
      <c r="J84" s="38"/>
      <c r="K84" s="44" t="s">
        <v>397</v>
      </c>
      <c r="L84" s="247" t="s">
        <v>398</v>
      </c>
      <c r="M84" s="46">
        <v>1</v>
      </c>
      <c r="N84" s="223"/>
      <c r="Q84" s="709"/>
      <c r="R84" s="704"/>
      <c r="S84" s="208">
        <f>ROUND((ROUND((ROUND((_11_A家事１．２５*_11・２人),0)*(1+_11・A早朝)),0)*_11・初任),0)+ROUND((ROUND((_11_B家事１．２５＿０．２５*_11・２人),0)*_11・初任),0)</f>
        <v>234</v>
      </c>
      <c r="T84" s="48"/>
    </row>
    <row r="85" spans="1:20" ht="16.5" customHeight="1" x14ac:dyDescent="0.15">
      <c r="A85" s="41">
        <v>11</v>
      </c>
      <c r="B85" s="41" t="s">
        <v>9707</v>
      </c>
      <c r="C85" s="74" t="s">
        <v>9708</v>
      </c>
      <c r="D85" s="72"/>
      <c r="F85" s="72"/>
      <c r="H85" s="752" t="s">
        <v>400</v>
      </c>
      <c r="I85" s="221" t="s">
        <v>398</v>
      </c>
      <c r="J85" s="50">
        <v>0.9</v>
      </c>
      <c r="K85" s="44"/>
      <c r="L85" s="247"/>
      <c r="M85" s="46"/>
      <c r="N85" s="223"/>
      <c r="Q85" s="709"/>
      <c r="R85" s="704"/>
      <c r="S85" s="208">
        <f>ROUND((ROUND((ROUND((_11_A家事１．２５*_11・基礎２),0)*(1+_11・A早朝)),0)*_11・初任),0)+ROUND((ROUND((_11_B家事１．２５＿０．２５*_11・基礎２),0)*_11・初任),0)</f>
        <v>210</v>
      </c>
      <c r="T85" s="48"/>
    </row>
    <row r="86" spans="1:20" ht="16.5" customHeight="1" x14ac:dyDescent="0.15">
      <c r="A86" s="41">
        <v>11</v>
      </c>
      <c r="B86" s="41" t="s">
        <v>9709</v>
      </c>
      <c r="C86" s="74" t="s">
        <v>9710</v>
      </c>
      <c r="D86" s="122"/>
      <c r="E86" s="37"/>
      <c r="F86" s="122"/>
      <c r="G86" s="37"/>
      <c r="H86" s="757"/>
      <c r="I86" s="216"/>
      <c r="J86" s="38"/>
      <c r="K86" s="44" t="s">
        <v>397</v>
      </c>
      <c r="L86" s="247" t="s">
        <v>398</v>
      </c>
      <c r="M86" s="46">
        <v>1</v>
      </c>
      <c r="N86" s="227"/>
      <c r="O86" s="37"/>
      <c r="P86" s="38"/>
      <c r="Q86" s="240" t="s">
        <v>398</v>
      </c>
      <c r="R86" s="38">
        <f>_11・初任</f>
        <v>0.7</v>
      </c>
      <c r="S86" s="208">
        <f>ROUND((ROUND((ROUND((ROUND((_11_A家事１．２５*_11・基礎２),0)*_11・２人),0)*(1+_11・A早朝)),0)*_11・初任),0)+ROUND((ROUND((ROUND((_11_B家事１．２５＿０．２５*_11・基礎２),0)*_11・２人),0)*_11・初任),0)</f>
        <v>210</v>
      </c>
      <c r="T86" s="63"/>
    </row>
    <row r="87" spans="1:20" ht="16.5" customHeight="1" x14ac:dyDescent="0.15"/>
    <row r="88" spans="1:20" ht="16.5" customHeight="1" x14ac:dyDescent="0.15"/>
    <row r="89" spans="1:20" ht="16.5" customHeight="1" x14ac:dyDescent="0.15"/>
  </sheetData>
  <mergeCells count="47">
    <mergeCell ref="Q83:R85"/>
    <mergeCell ref="H85:H86"/>
    <mergeCell ref="F71:G73"/>
    <mergeCell ref="H73:H74"/>
    <mergeCell ref="Q75:R77"/>
    <mergeCell ref="H77:H78"/>
    <mergeCell ref="Q51:R53"/>
    <mergeCell ref="H53:H54"/>
    <mergeCell ref="F55:G57"/>
    <mergeCell ref="H57:H58"/>
    <mergeCell ref="D79:E81"/>
    <mergeCell ref="F79:G81"/>
    <mergeCell ref="H81:H82"/>
    <mergeCell ref="Q59:R61"/>
    <mergeCell ref="H61:H62"/>
    <mergeCell ref="D63:E65"/>
    <mergeCell ref="F63:G65"/>
    <mergeCell ref="H65:H66"/>
    <mergeCell ref="Q67:R69"/>
    <mergeCell ref="H69:H70"/>
    <mergeCell ref="D39:E41"/>
    <mergeCell ref="F39:G41"/>
    <mergeCell ref="H41:H42"/>
    <mergeCell ref="F47:G49"/>
    <mergeCell ref="H49:H50"/>
    <mergeCell ref="Q43:R45"/>
    <mergeCell ref="H45:H46"/>
    <mergeCell ref="F23:G25"/>
    <mergeCell ref="H25:H26"/>
    <mergeCell ref="Q27:R29"/>
    <mergeCell ref="H29:H30"/>
    <mergeCell ref="F31:G33"/>
    <mergeCell ref="H33:H34"/>
    <mergeCell ref="Q35:R37"/>
    <mergeCell ref="H37:H38"/>
    <mergeCell ref="Q11:R13"/>
    <mergeCell ref="H13:H14"/>
    <mergeCell ref="F15:G17"/>
    <mergeCell ref="H17:H18"/>
    <mergeCell ref="Q19:R21"/>
    <mergeCell ref="H21:H22"/>
    <mergeCell ref="D6:E6"/>
    <mergeCell ref="F6:G6"/>
    <mergeCell ref="D7:E9"/>
    <mergeCell ref="F7:G9"/>
    <mergeCell ref="P8:P9"/>
    <mergeCell ref="H9:H10"/>
  </mergeCells>
  <phoneticPr fontId="1"/>
  <printOptions horizontalCentered="1"/>
  <pageMargins left="0.70866141732283472" right="0.70866141732283472" top="0.74803149606299213" bottom="0.51181102362204722" header="0.31496062992125984" footer="0.31496062992125984"/>
  <pageSetup paperSize="9" scale="54" fitToHeight="0" orientation="portrait" r:id="rId1"/>
  <headerFooter>
    <oddHeader>&amp;R&amp;"ＭＳ Ｐゴシック"&amp;9居宅介護</oddHeader>
    <oddFooter>&amp;C&amp;"ＭＳ Ｐゴシック"&amp;14&amp;P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1">
    <pageSetUpPr fitToPage="1"/>
  </sheetPr>
  <dimension ref="A1:T8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0" customWidth="1"/>
    <col min="5" max="5" width="4.875" style="12" customWidth="1"/>
    <col min="6" max="6" width="4.875" style="10" customWidth="1"/>
    <col min="7" max="7" width="4.875" style="12" customWidth="1"/>
    <col min="8" max="8" width="11.875" style="10" customWidth="1"/>
    <col min="9" max="9" width="2.5" style="16" customWidth="1"/>
    <col min="10" max="10" width="4.875" style="13" bestFit="1" customWidth="1"/>
    <col min="11" max="11" width="24.875" style="14" bestFit="1" customWidth="1"/>
    <col min="12" max="12" width="2.5" style="16" customWidth="1"/>
    <col min="13" max="13" width="5.875" style="13" bestFit="1" customWidth="1"/>
    <col min="14" max="14" width="2.5" style="233" customWidth="1"/>
    <col min="15" max="15" width="3.875" style="12" customWidth="1"/>
    <col min="16" max="16" width="4.5" style="13" bestFit="1" customWidth="1"/>
    <col min="17" max="17" width="9.875" style="10" customWidth="1"/>
    <col min="18" max="18" width="4.875" style="13" bestFit="1" customWidth="1"/>
    <col min="19" max="19" width="7.125" style="206" customWidth="1"/>
    <col min="20" max="20" width="8.5" style="16" customWidth="1"/>
    <col min="21" max="16384" width="8.875" style="12"/>
  </cols>
  <sheetData>
    <row r="1" spans="1:20" ht="17.100000000000001" customHeight="1" x14ac:dyDescent="0.15"/>
    <row r="2" spans="1:20" ht="17.100000000000001" customHeight="1" x14ac:dyDescent="0.15"/>
    <row r="3" spans="1:20" ht="17.100000000000001" customHeight="1" x14ac:dyDescent="0.15"/>
    <row r="4" spans="1:20" ht="17.100000000000001" customHeight="1" x14ac:dyDescent="0.15">
      <c r="B4" s="17" t="s">
        <v>9711</v>
      </c>
      <c r="D4" s="71"/>
    </row>
    <row r="5" spans="1:20" ht="16.5" customHeight="1" x14ac:dyDescent="0.15">
      <c r="A5" s="19" t="s">
        <v>384</v>
      </c>
      <c r="B5" s="20"/>
      <c r="C5" s="21" t="s">
        <v>385</v>
      </c>
      <c r="D5" s="235" t="s">
        <v>386</v>
      </c>
      <c r="E5" s="23"/>
      <c r="F5" s="23"/>
      <c r="G5" s="23"/>
      <c r="H5" s="23"/>
      <c r="I5" s="23"/>
      <c r="J5" s="24"/>
      <c r="K5" s="23"/>
      <c r="L5" s="23"/>
      <c r="M5" s="24"/>
      <c r="N5" s="23"/>
      <c r="O5" s="23"/>
      <c r="P5" s="24"/>
      <c r="Q5" s="23"/>
      <c r="R5" s="24"/>
      <c r="S5" s="21" t="s">
        <v>387</v>
      </c>
      <c r="T5" s="21" t="s">
        <v>388</v>
      </c>
    </row>
    <row r="6" spans="1:20" ht="16.5" customHeight="1" x14ac:dyDescent="0.15">
      <c r="A6" s="26" t="s">
        <v>389</v>
      </c>
      <c r="B6" s="26" t="s">
        <v>390</v>
      </c>
      <c r="C6" s="27"/>
      <c r="D6" s="159"/>
      <c r="E6" s="29"/>
      <c r="F6" s="87" t="s">
        <v>1032</v>
      </c>
      <c r="G6" s="20"/>
      <c r="H6" s="29"/>
      <c r="I6" s="214"/>
      <c r="J6" s="30"/>
      <c r="K6" s="29"/>
      <c r="L6" s="214"/>
      <c r="M6" s="30"/>
      <c r="N6" s="214"/>
      <c r="O6" s="29"/>
      <c r="P6" s="30"/>
      <c r="Q6" s="29"/>
      <c r="R6" s="30"/>
      <c r="S6" s="32" t="s">
        <v>391</v>
      </c>
      <c r="T6" s="32" t="s">
        <v>392</v>
      </c>
    </row>
    <row r="7" spans="1:20" ht="16.5" customHeight="1" x14ac:dyDescent="0.15">
      <c r="A7" s="33">
        <v>11</v>
      </c>
      <c r="B7" s="33">
        <v>7883</v>
      </c>
      <c r="C7" s="34" t="s">
        <v>9712</v>
      </c>
      <c r="D7" s="709" t="s">
        <v>394</v>
      </c>
      <c r="E7" s="718"/>
      <c r="F7" s="709" t="s">
        <v>9713</v>
      </c>
      <c r="G7" s="718"/>
      <c r="H7" s="72"/>
      <c r="K7" s="36"/>
      <c r="L7" s="246"/>
      <c r="M7" s="38"/>
      <c r="N7" s="92" t="s">
        <v>1416</v>
      </c>
      <c r="Q7" s="72"/>
      <c r="S7" s="207">
        <f>_11_A家事０．５+ROUND((_11_B家事０．５＿０．２５*(1+_11・B夜間)),0)</f>
        <v>164</v>
      </c>
      <c r="T7" s="40" t="s">
        <v>395</v>
      </c>
    </row>
    <row r="8" spans="1:20" ht="16.5" customHeight="1" x14ac:dyDescent="0.15">
      <c r="A8" s="41">
        <v>11</v>
      </c>
      <c r="B8" s="41">
        <v>7884</v>
      </c>
      <c r="C8" s="74" t="s">
        <v>9714</v>
      </c>
      <c r="D8" s="709"/>
      <c r="E8" s="718"/>
      <c r="F8" s="709"/>
      <c r="G8" s="718"/>
      <c r="H8" s="122"/>
      <c r="I8" s="216"/>
      <c r="J8" s="38"/>
      <c r="K8" s="44" t="s">
        <v>397</v>
      </c>
      <c r="L8" s="247" t="s">
        <v>398</v>
      </c>
      <c r="M8" s="46">
        <v>1</v>
      </c>
      <c r="N8" s="223" t="s">
        <v>398</v>
      </c>
      <c r="O8" s="13">
        <v>0.25</v>
      </c>
      <c r="P8" s="704" t="s">
        <v>676</v>
      </c>
      <c r="Q8" s="72"/>
      <c r="S8" s="208">
        <f>ROUND((_11_A家事０．５*_11・２人),0)+ROUND((ROUND((_11_B家事０．５＿０．２５*_11・２人),0)*(1+_11・B夜間)),0)</f>
        <v>164</v>
      </c>
      <c r="T8" s="48"/>
    </row>
    <row r="9" spans="1:20" ht="16.5" customHeight="1" x14ac:dyDescent="0.15">
      <c r="A9" s="41">
        <v>11</v>
      </c>
      <c r="B9" s="41">
        <v>7885</v>
      </c>
      <c r="C9" s="74" t="s">
        <v>9715</v>
      </c>
      <c r="D9" s="709"/>
      <c r="E9" s="718"/>
      <c r="F9" s="709"/>
      <c r="G9" s="718"/>
      <c r="H9" s="752" t="s">
        <v>400</v>
      </c>
      <c r="I9" s="221" t="s">
        <v>398</v>
      </c>
      <c r="J9" s="50">
        <v>0.9</v>
      </c>
      <c r="K9" s="44"/>
      <c r="L9" s="247"/>
      <c r="M9" s="46"/>
      <c r="N9" s="223"/>
      <c r="P9" s="787"/>
      <c r="Q9" s="72"/>
      <c r="S9" s="208">
        <f>ROUND((_11_A家事０．５*_11・基礎２),0)+ROUND((ROUND((_11_B家事０．５＿０．２５*_11・基礎２),0)*(1+_11・B夜間)),0)</f>
        <v>148</v>
      </c>
      <c r="T9" s="48"/>
    </row>
    <row r="10" spans="1:20" ht="16.5" customHeight="1" x14ac:dyDescent="0.15">
      <c r="A10" s="41">
        <v>11</v>
      </c>
      <c r="B10" s="41">
        <v>7886</v>
      </c>
      <c r="C10" s="74" t="s">
        <v>9716</v>
      </c>
      <c r="D10" s="125">
        <f>_11_A家事０．５</f>
        <v>105</v>
      </c>
      <c r="E10" s="12" t="s">
        <v>392</v>
      </c>
      <c r="F10" s="125">
        <f>_11_B家事０．５＿０．２５</f>
        <v>47</v>
      </c>
      <c r="G10" s="12" t="s">
        <v>392</v>
      </c>
      <c r="H10" s="757"/>
      <c r="I10" s="216"/>
      <c r="J10" s="38"/>
      <c r="K10" s="44" t="s">
        <v>397</v>
      </c>
      <c r="L10" s="247" t="s">
        <v>398</v>
      </c>
      <c r="M10" s="46">
        <v>1</v>
      </c>
      <c r="N10" s="223"/>
      <c r="Q10" s="122"/>
      <c r="R10" s="38"/>
      <c r="S10" s="208">
        <f>ROUND((ROUND((_11_A家事０．５*_11・基礎２),0)*_11・２人),0)+ROUND((ROUND((ROUND((_11_B家事０．５＿０．２５*_11・基礎２),0)*_11・２人),0)*(1+_11・B夜間)),0)</f>
        <v>148</v>
      </c>
      <c r="T10" s="48"/>
    </row>
    <row r="11" spans="1:20" ht="16.5" customHeight="1" x14ac:dyDescent="0.15">
      <c r="A11" s="41">
        <v>11</v>
      </c>
      <c r="B11" s="41" t="s">
        <v>9717</v>
      </c>
      <c r="C11" s="74" t="s">
        <v>9718</v>
      </c>
      <c r="D11" s="72"/>
      <c r="F11" s="72"/>
      <c r="H11" s="114"/>
      <c r="I11" s="221"/>
      <c r="J11" s="50"/>
      <c r="K11" s="44"/>
      <c r="L11" s="247"/>
      <c r="M11" s="46"/>
      <c r="N11" s="223"/>
      <c r="Q11" s="707" t="s">
        <v>404</v>
      </c>
      <c r="R11" s="708"/>
      <c r="S11" s="208">
        <f>ROUND((_11_A家事０．５*_11・初任),0)+ROUND((ROUND((_11_B家事０．５＿０．２５*(1+_11・B夜間)),0)*_11・初任),0)</f>
        <v>115</v>
      </c>
      <c r="T11" s="48"/>
    </row>
    <row r="12" spans="1:20" ht="16.5" customHeight="1" x14ac:dyDescent="0.15">
      <c r="A12" s="41">
        <v>11</v>
      </c>
      <c r="B12" s="41" t="s">
        <v>9719</v>
      </c>
      <c r="C12" s="74" t="s">
        <v>9720</v>
      </c>
      <c r="D12" s="72"/>
      <c r="F12" s="72"/>
      <c r="H12" s="122"/>
      <c r="I12" s="216"/>
      <c r="J12" s="38"/>
      <c r="K12" s="44" t="s">
        <v>397</v>
      </c>
      <c r="L12" s="247" t="s">
        <v>398</v>
      </c>
      <c r="M12" s="46">
        <v>1</v>
      </c>
      <c r="N12" s="223"/>
      <c r="Q12" s="709"/>
      <c r="R12" s="704"/>
      <c r="S12" s="208">
        <f>ROUND((ROUND((_11_A家事０．５*_11・２人),0)*_11・初任),0)+ROUND((ROUND((ROUND((_11_B家事０．５＿０．２５*_11・２人),0)*(1+_11・B夜間)),0)*_11・初任),0)</f>
        <v>115</v>
      </c>
      <c r="T12" s="48"/>
    </row>
    <row r="13" spans="1:20" ht="16.5" customHeight="1" x14ac:dyDescent="0.15">
      <c r="A13" s="41">
        <v>11</v>
      </c>
      <c r="B13" s="41" t="s">
        <v>9721</v>
      </c>
      <c r="C13" s="74" t="s">
        <v>9722</v>
      </c>
      <c r="D13" s="72"/>
      <c r="F13" s="72"/>
      <c r="H13" s="752" t="s">
        <v>400</v>
      </c>
      <c r="I13" s="221" t="s">
        <v>398</v>
      </c>
      <c r="J13" s="50">
        <v>0.9</v>
      </c>
      <c r="K13" s="44"/>
      <c r="L13" s="247"/>
      <c r="M13" s="46"/>
      <c r="N13" s="223"/>
      <c r="Q13" s="709"/>
      <c r="R13" s="704"/>
      <c r="S13" s="208">
        <f>ROUND((ROUND((_11_A家事０．５*_11・基礎２),0)*_11・初任),0)+ROUND((ROUND((ROUND((_11_B家事０．５＿０．２５*_11・基礎２),0)*(1+_11・B夜間)),0)*_11・初任),0)</f>
        <v>104</v>
      </c>
      <c r="T13" s="48"/>
    </row>
    <row r="14" spans="1:20" ht="16.5" customHeight="1" x14ac:dyDescent="0.15">
      <c r="A14" s="41">
        <v>11</v>
      </c>
      <c r="B14" s="41" t="s">
        <v>9723</v>
      </c>
      <c r="C14" s="74" t="s">
        <v>9724</v>
      </c>
      <c r="D14" s="72"/>
      <c r="F14" s="72"/>
      <c r="H14" s="757"/>
      <c r="I14" s="216"/>
      <c r="J14" s="38"/>
      <c r="K14" s="44" t="s">
        <v>397</v>
      </c>
      <c r="L14" s="247" t="s">
        <v>398</v>
      </c>
      <c r="M14" s="46">
        <v>1</v>
      </c>
      <c r="N14" s="223"/>
      <c r="Q14" s="240" t="s">
        <v>398</v>
      </c>
      <c r="R14" s="38">
        <f>_11・初任</f>
        <v>0.7</v>
      </c>
      <c r="S14" s="208">
        <f>ROUND((ROUND((ROUND((_11_A家事０．５*_11・基礎２),0)*_11・２人),0)*_11・初任),0)+ROUND((ROUND((ROUND((ROUND((_11_B家事０．５＿０．２５*_11・基礎２),0)*_11・２人),0)*(1+_11・B夜間)),0)*_11・初任),0)</f>
        <v>104</v>
      </c>
      <c r="T14" s="48"/>
    </row>
    <row r="15" spans="1:20" ht="16.5" customHeight="1" x14ac:dyDescent="0.15">
      <c r="A15" s="41">
        <v>11</v>
      </c>
      <c r="B15" s="41">
        <v>6327</v>
      </c>
      <c r="C15" s="74" t="s">
        <v>9725</v>
      </c>
      <c r="D15" s="72"/>
      <c r="F15" s="707" t="s">
        <v>9726</v>
      </c>
      <c r="G15" s="717"/>
      <c r="H15" s="114"/>
      <c r="I15" s="221"/>
      <c r="J15" s="50"/>
      <c r="K15" s="44"/>
      <c r="L15" s="247"/>
      <c r="M15" s="46"/>
      <c r="N15" s="223"/>
      <c r="Q15" s="53"/>
      <c r="R15" s="50"/>
      <c r="S15" s="208">
        <f>_11_A家事０．５+ROUND((_11_B家事０．５＿０．５*(1+_11・B夜間)),0)</f>
        <v>219</v>
      </c>
      <c r="T15" s="48"/>
    </row>
    <row r="16" spans="1:20" ht="16.5" customHeight="1" x14ac:dyDescent="0.15">
      <c r="A16" s="41">
        <v>11</v>
      </c>
      <c r="B16" s="41">
        <v>6328</v>
      </c>
      <c r="C16" s="74" t="s">
        <v>9727</v>
      </c>
      <c r="D16" s="72"/>
      <c r="F16" s="709"/>
      <c r="G16" s="718"/>
      <c r="H16" s="122"/>
      <c r="I16" s="216"/>
      <c r="J16" s="38"/>
      <c r="K16" s="44" t="s">
        <v>397</v>
      </c>
      <c r="L16" s="247" t="s">
        <v>398</v>
      </c>
      <c r="M16" s="46">
        <v>1</v>
      </c>
      <c r="N16" s="223"/>
      <c r="Q16" s="35"/>
      <c r="S16" s="208">
        <f>ROUND((_11_A家事０．５*_11・２人),0)+ROUND((ROUND((_11_B家事０．５＿０．５*_11・２人),0)*(1+_11・B夜間)),0)</f>
        <v>219</v>
      </c>
      <c r="T16" s="48"/>
    </row>
    <row r="17" spans="1:20" ht="16.5" customHeight="1" x14ac:dyDescent="0.15">
      <c r="A17" s="41">
        <v>11</v>
      </c>
      <c r="B17" s="41">
        <v>6329</v>
      </c>
      <c r="C17" s="74" t="s">
        <v>9728</v>
      </c>
      <c r="D17" s="72"/>
      <c r="F17" s="709"/>
      <c r="G17" s="718"/>
      <c r="H17" s="752" t="s">
        <v>400</v>
      </c>
      <c r="I17" s="221" t="s">
        <v>398</v>
      </c>
      <c r="J17" s="50">
        <v>0.9</v>
      </c>
      <c r="K17" s="44"/>
      <c r="L17" s="247"/>
      <c r="M17" s="46"/>
      <c r="N17" s="223"/>
      <c r="Q17" s="35"/>
      <c r="S17" s="208">
        <f>ROUND((_11_A家事０．５*_11・基礎２),0)+ROUND((ROUND((_11_B家事０．５＿０．５*_11・基礎２),0)*(1+_11・B夜間)),0)</f>
        <v>198</v>
      </c>
      <c r="T17" s="48"/>
    </row>
    <row r="18" spans="1:20" ht="16.5" customHeight="1" x14ac:dyDescent="0.15">
      <c r="A18" s="41">
        <v>11</v>
      </c>
      <c r="B18" s="41">
        <v>6330</v>
      </c>
      <c r="C18" s="74" t="s">
        <v>9729</v>
      </c>
      <c r="D18" s="72"/>
      <c r="F18" s="125">
        <f>_11_B家事０．５＿０．５</f>
        <v>91</v>
      </c>
      <c r="G18" s="12" t="s">
        <v>392</v>
      </c>
      <c r="H18" s="757"/>
      <c r="I18" s="216"/>
      <c r="J18" s="38"/>
      <c r="K18" s="44" t="s">
        <v>397</v>
      </c>
      <c r="L18" s="247" t="s">
        <v>398</v>
      </c>
      <c r="M18" s="46">
        <v>1</v>
      </c>
      <c r="N18" s="223"/>
      <c r="Q18" s="43"/>
      <c r="R18" s="38"/>
      <c r="S18" s="208">
        <f>ROUND((ROUND((_11_A家事０．５*_11・基礎２),0)*_11・２人),0)+ROUND((ROUND((ROUND((_11_B家事０．５＿０．５*_11・基礎２),0)*_11・２人),0)*(1+_11・B夜間)),0)</f>
        <v>198</v>
      </c>
      <c r="T18" s="48"/>
    </row>
    <row r="19" spans="1:20" ht="16.5" customHeight="1" x14ac:dyDescent="0.15">
      <c r="A19" s="41">
        <v>11</v>
      </c>
      <c r="B19" s="41" t="s">
        <v>9730</v>
      </c>
      <c r="C19" s="74" t="s">
        <v>9731</v>
      </c>
      <c r="D19" s="72"/>
      <c r="F19" s="72"/>
      <c r="H19" s="114"/>
      <c r="I19" s="221"/>
      <c r="J19" s="50"/>
      <c r="K19" s="44"/>
      <c r="L19" s="247"/>
      <c r="M19" s="46"/>
      <c r="N19" s="223"/>
      <c r="Q19" s="707" t="s">
        <v>404</v>
      </c>
      <c r="R19" s="708"/>
      <c r="S19" s="208">
        <f>ROUND((_11_A家事０．５*_11・初任),0)+ROUND((ROUND((_11_B家事０．５＿０．５*(1+_11・B夜間)),0)*_11・初任),0)</f>
        <v>154</v>
      </c>
      <c r="T19" s="48"/>
    </row>
    <row r="20" spans="1:20" ht="16.5" customHeight="1" x14ac:dyDescent="0.15">
      <c r="A20" s="41">
        <v>11</v>
      </c>
      <c r="B20" s="41" t="s">
        <v>9732</v>
      </c>
      <c r="C20" s="74" t="s">
        <v>9733</v>
      </c>
      <c r="D20" s="72"/>
      <c r="F20" s="72"/>
      <c r="H20" s="122"/>
      <c r="I20" s="216"/>
      <c r="J20" s="38"/>
      <c r="K20" s="44" t="s">
        <v>397</v>
      </c>
      <c r="L20" s="247" t="s">
        <v>398</v>
      </c>
      <c r="M20" s="46">
        <v>1</v>
      </c>
      <c r="N20" s="223"/>
      <c r="Q20" s="709"/>
      <c r="R20" s="704"/>
      <c r="S20" s="208">
        <f>ROUND((ROUND((_11_A家事０．５*_11・２人),0)*_11・初任),0)+ROUND((ROUND((ROUND((_11_B家事０．５＿０．５*_11・２人),0)*(1+_11・B夜間)),0)*_11・初任),0)</f>
        <v>154</v>
      </c>
      <c r="T20" s="48"/>
    </row>
    <row r="21" spans="1:20" ht="16.5" customHeight="1" x14ac:dyDescent="0.15">
      <c r="A21" s="41">
        <v>11</v>
      </c>
      <c r="B21" s="41" t="s">
        <v>9734</v>
      </c>
      <c r="C21" s="74" t="s">
        <v>9735</v>
      </c>
      <c r="D21" s="72"/>
      <c r="F21" s="72"/>
      <c r="H21" s="752" t="s">
        <v>400</v>
      </c>
      <c r="I21" s="221" t="s">
        <v>398</v>
      </c>
      <c r="J21" s="50">
        <v>0.9</v>
      </c>
      <c r="K21" s="44"/>
      <c r="L21" s="247"/>
      <c r="M21" s="46"/>
      <c r="N21" s="223"/>
      <c r="Q21" s="709"/>
      <c r="R21" s="704"/>
      <c r="S21" s="208">
        <f>ROUND((ROUND((_11_A家事０．５*_11・基礎２),0)*_11・初任),0)+ROUND((ROUND((ROUND((_11_B家事０．５＿０．５*_11・基礎２),0)*(1+_11・B夜間)),0)*_11・初任),0)</f>
        <v>139</v>
      </c>
      <c r="T21" s="48"/>
    </row>
    <row r="22" spans="1:20" ht="16.5" customHeight="1" x14ac:dyDescent="0.15">
      <c r="A22" s="41">
        <v>11</v>
      </c>
      <c r="B22" s="41" t="s">
        <v>9736</v>
      </c>
      <c r="C22" s="74" t="s">
        <v>9737</v>
      </c>
      <c r="D22" s="72"/>
      <c r="F22" s="72"/>
      <c r="H22" s="757"/>
      <c r="I22" s="216"/>
      <c r="J22" s="38"/>
      <c r="K22" s="44" t="s">
        <v>397</v>
      </c>
      <c r="L22" s="247" t="s">
        <v>398</v>
      </c>
      <c r="M22" s="46">
        <v>1</v>
      </c>
      <c r="N22" s="223"/>
      <c r="Q22" s="240" t="s">
        <v>398</v>
      </c>
      <c r="R22" s="38">
        <f>_11・初任</f>
        <v>0.7</v>
      </c>
      <c r="S22" s="208">
        <f>ROUND((ROUND((ROUND((_11_A家事０．５*_11・基礎２),0)*_11・２人),0)*_11・初任),0)+ROUND((ROUND((ROUND((ROUND((_11_B家事０．５＿０．５*_11・基礎２),0)*_11・２人),0)*(1+_11・B夜間)),0)*_11・初任),0)</f>
        <v>139</v>
      </c>
      <c r="T22" s="48"/>
    </row>
    <row r="23" spans="1:20" ht="16.5" customHeight="1" x14ac:dyDescent="0.15">
      <c r="A23" s="41">
        <v>11</v>
      </c>
      <c r="B23" s="41">
        <v>7887</v>
      </c>
      <c r="C23" s="74" t="s">
        <v>9738</v>
      </c>
      <c r="D23" s="72"/>
      <c r="F23" s="707" t="s">
        <v>9739</v>
      </c>
      <c r="G23" s="717"/>
      <c r="H23" s="114"/>
      <c r="I23" s="221"/>
      <c r="J23" s="50"/>
      <c r="K23" s="44"/>
      <c r="L23" s="247"/>
      <c r="M23" s="46"/>
      <c r="N23" s="223"/>
      <c r="Q23" s="114"/>
      <c r="R23" s="50"/>
      <c r="S23" s="208">
        <f>_11_A家事０．５+ROUND((_11_B家事０．５＿０．７５*(1+_11・B夜間)),0)</f>
        <v>271</v>
      </c>
      <c r="T23" s="48"/>
    </row>
    <row r="24" spans="1:20" ht="16.5" customHeight="1" x14ac:dyDescent="0.15">
      <c r="A24" s="41">
        <v>11</v>
      </c>
      <c r="B24" s="41">
        <v>7888</v>
      </c>
      <c r="C24" s="74" t="s">
        <v>9740</v>
      </c>
      <c r="D24" s="72"/>
      <c r="F24" s="709"/>
      <c r="G24" s="718"/>
      <c r="H24" s="122"/>
      <c r="I24" s="216"/>
      <c r="J24" s="38"/>
      <c r="K24" s="44" t="s">
        <v>397</v>
      </c>
      <c r="L24" s="247" t="s">
        <v>398</v>
      </c>
      <c r="M24" s="46">
        <v>1</v>
      </c>
      <c r="N24" s="223"/>
      <c r="Q24" s="72"/>
      <c r="S24" s="208">
        <f>ROUND((_11_A家事０．５*_11・２人),0)+ROUND((ROUND((_11_B家事０．５＿０．７５*_11・２人),0)*(1+_11・B夜間)),0)</f>
        <v>271</v>
      </c>
      <c r="T24" s="48"/>
    </row>
    <row r="25" spans="1:20" ht="16.5" customHeight="1" x14ac:dyDescent="0.15">
      <c r="A25" s="41">
        <v>11</v>
      </c>
      <c r="B25" s="41">
        <v>7889</v>
      </c>
      <c r="C25" s="74" t="s">
        <v>9741</v>
      </c>
      <c r="D25" s="72"/>
      <c r="F25" s="709"/>
      <c r="G25" s="718"/>
      <c r="H25" s="752" t="s">
        <v>400</v>
      </c>
      <c r="I25" s="221" t="s">
        <v>398</v>
      </c>
      <c r="J25" s="50">
        <v>0.9</v>
      </c>
      <c r="K25" s="44"/>
      <c r="L25" s="247"/>
      <c r="M25" s="46"/>
      <c r="N25" s="223"/>
      <c r="Q25" s="72"/>
      <c r="S25" s="208">
        <f>ROUND((_11_A家事０．５*_11・基礎２),0)+ROUND((ROUND((_11_B家事０．５＿０．７５*_11・基礎２),0)*(1+_11・B夜間)),0)</f>
        <v>245</v>
      </c>
      <c r="T25" s="48"/>
    </row>
    <row r="26" spans="1:20" ht="16.5" customHeight="1" x14ac:dyDescent="0.15">
      <c r="A26" s="41">
        <v>11</v>
      </c>
      <c r="B26" s="41">
        <v>7890</v>
      </c>
      <c r="C26" s="74" t="s">
        <v>9742</v>
      </c>
      <c r="D26" s="72"/>
      <c r="F26" s="125">
        <f>_11_B家事０．５＿０．７５</f>
        <v>133</v>
      </c>
      <c r="G26" s="12" t="s">
        <v>392</v>
      </c>
      <c r="H26" s="757"/>
      <c r="I26" s="216"/>
      <c r="J26" s="38"/>
      <c r="K26" s="44" t="s">
        <v>397</v>
      </c>
      <c r="L26" s="247" t="s">
        <v>398</v>
      </c>
      <c r="M26" s="46">
        <v>1</v>
      </c>
      <c r="N26" s="223"/>
      <c r="Q26" s="122"/>
      <c r="R26" s="38"/>
      <c r="S26" s="208">
        <f>ROUND((ROUND((_11_A家事０．５*_11・基礎２),0)*_11・２人),0)+ROUND((ROUND((ROUND((_11_B家事０．５＿０．７５*_11・基礎２),0)*_11・２人),0)*(1+_11・B夜間)),0)</f>
        <v>245</v>
      </c>
      <c r="T26" s="48"/>
    </row>
    <row r="27" spans="1:20" ht="16.5" customHeight="1" x14ac:dyDescent="0.15">
      <c r="A27" s="41">
        <v>11</v>
      </c>
      <c r="B27" s="41" t="s">
        <v>9743</v>
      </c>
      <c r="C27" s="74" t="s">
        <v>9744</v>
      </c>
      <c r="D27" s="72"/>
      <c r="F27" s="72"/>
      <c r="H27" s="114"/>
      <c r="I27" s="221"/>
      <c r="J27" s="50"/>
      <c r="K27" s="44"/>
      <c r="L27" s="247"/>
      <c r="M27" s="46"/>
      <c r="N27" s="223"/>
      <c r="Q27" s="707" t="s">
        <v>404</v>
      </c>
      <c r="R27" s="708"/>
      <c r="S27" s="208">
        <f>ROUND((_11_A家事０．５*_11・初任),0)+ROUND((ROUND((_11_B家事０．５＿０．７５*(1+_11・B夜間)),0)*_11・初任),0)</f>
        <v>190</v>
      </c>
      <c r="T27" s="48"/>
    </row>
    <row r="28" spans="1:20" ht="16.5" customHeight="1" x14ac:dyDescent="0.15">
      <c r="A28" s="41">
        <v>11</v>
      </c>
      <c r="B28" s="41" t="s">
        <v>9745</v>
      </c>
      <c r="C28" s="74" t="s">
        <v>9746</v>
      </c>
      <c r="D28" s="72"/>
      <c r="F28" s="72"/>
      <c r="H28" s="122"/>
      <c r="I28" s="216"/>
      <c r="J28" s="38"/>
      <c r="K28" s="44" t="s">
        <v>397</v>
      </c>
      <c r="L28" s="247" t="s">
        <v>398</v>
      </c>
      <c r="M28" s="46">
        <v>1</v>
      </c>
      <c r="N28" s="223"/>
      <c r="Q28" s="709"/>
      <c r="R28" s="704"/>
      <c r="S28" s="208">
        <f>ROUND((ROUND((_11_A家事０．５*_11・２人),0)*_11・初任),0)+ROUND((ROUND((ROUND((_11_B家事０．５＿０．７５*_11・２人),0)*(1+_11・B夜間)),0)*_11・初任),0)</f>
        <v>190</v>
      </c>
      <c r="T28" s="48"/>
    </row>
    <row r="29" spans="1:20" ht="16.5" customHeight="1" x14ac:dyDescent="0.15">
      <c r="A29" s="41">
        <v>11</v>
      </c>
      <c r="B29" s="41" t="s">
        <v>9747</v>
      </c>
      <c r="C29" s="74" t="s">
        <v>9748</v>
      </c>
      <c r="D29" s="72"/>
      <c r="F29" s="72"/>
      <c r="H29" s="752" t="s">
        <v>400</v>
      </c>
      <c r="I29" s="221" t="s">
        <v>398</v>
      </c>
      <c r="J29" s="50">
        <v>0.9</v>
      </c>
      <c r="K29" s="44"/>
      <c r="L29" s="247"/>
      <c r="M29" s="46"/>
      <c r="N29" s="223"/>
      <c r="Q29" s="709"/>
      <c r="R29" s="704"/>
      <c r="S29" s="208">
        <f>ROUND((ROUND((_11_A家事０．５*_11・基礎２),0)*_11・初任),0)+ROUND((ROUND((ROUND((_11_B家事０．５＿０．７５*_11・基礎２),0)*(1+_11・B夜間)),0)*_11・初任),0)</f>
        <v>172</v>
      </c>
      <c r="T29" s="48"/>
    </row>
    <row r="30" spans="1:20" ht="16.5" customHeight="1" x14ac:dyDescent="0.15">
      <c r="A30" s="41">
        <v>11</v>
      </c>
      <c r="B30" s="41" t="s">
        <v>9749</v>
      </c>
      <c r="C30" s="74" t="s">
        <v>9750</v>
      </c>
      <c r="D30" s="72"/>
      <c r="F30" s="72"/>
      <c r="H30" s="757"/>
      <c r="I30" s="216"/>
      <c r="J30" s="38"/>
      <c r="K30" s="44" t="s">
        <v>397</v>
      </c>
      <c r="L30" s="247" t="s">
        <v>398</v>
      </c>
      <c r="M30" s="46">
        <v>1</v>
      </c>
      <c r="N30" s="223"/>
      <c r="Q30" s="240" t="s">
        <v>398</v>
      </c>
      <c r="R30" s="38">
        <f>_11・初任</f>
        <v>0.7</v>
      </c>
      <c r="S30" s="208">
        <f>ROUND((ROUND((ROUND((_11_A家事０．５*_11・基礎２),0)*_11・２人),0)*_11・初任),0)+ROUND((ROUND((ROUND((ROUND((_11_B家事０．５＿０．７５*_11・基礎２),0)*_11・２人),0)*(1+_11・B夜間)),0)*_11・初任),0)</f>
        <v>172</v>
      </c>
      <c r="T30" s="48"/>
    </row>
    <row r="31" spans="1:20" ht="16.5" customHeight="1" x14ac:dyDescent="0.15">
      <c r="A31" s="41">
        <v>11</v>
      </c>
      <c r="B31" s="41">
        <v>6331</v>
      </c>
      <c r="C31" s="74" t="s">
        <v>9751</v>
      </c>
      <c r="D31" s="72"/>
      <c r="F31" s="707" t="s">
        <v>9752</v>
      </c>
      <c r="G31" s="717"/>
      <c r="H31" s="114"/>
      <c r="I31" s="221"/>
      <c r="J31" s="50"/>
      <c r="K31" s="44"/>
      <c r="L31" s="247"/>
      <c r="M31" s="46"/>
      <c r="N31" s="223"/>
      <c r="Q31" s="53"/>
      <c r="R31" s="50"/>
      <c r="S31" s="208">
        <f>_11_A家事０．５+ROUND((_11_B家事０．５＿１．０*(1+_11・B夜間)),0)</f>
        <v>316</v>
      </c>
      <c r="T31" s="48"/>
    </row>
    <row r="32" spans="1:20" ht="16.5" customHeight="1" x14ac:dyDescent="0.15">
      <c r="A32" s="41">
        <v>11</v>
      </c>
      <c r="B32" s="41">
        <v>6332</v>
      </c>
      <c r="C32" s="74" t="s">
        <v>9753</v>
      </c>
      <c r="D32" s="72"/>
      <c r="F32" s="709"/>
      <c r="G32" s="718"/>
      <c r="H32" s="122"/>
      <c r="I32" s="216"/>
      <c r="J32" s="38"/>
      <c r="K32" s="44" t="s">
        <v>397</v>
      </c>
      <c r="L32" s="247" t="s">
        <v>398</v>
      </c>
      <c r="M32" s="46">
        <v>1</v>
      </c>
      <c r="N32" s="223"/>
      <c r="Q32" s="35"/>
      <c r="S32" s="208">
        <f>ROUND((_11_A家事０．５*_11・２人),0)+ROUND((ROUND((_11_B家事０．５＿１．０*_11・２人),0)*(1+_11・B夜間)),0)</f>
        <v>316</v>
      </c>
      <c r="T32" s="48"/>
    </row>
    <row r="33" spans="1:20" ht="16.5" customHeight="1" x14ac:dyDescent="0.15">
      <c r="A33" s="41">
        <v>11</v>
      </c>
      <c r="B33" s="41">
        <v>6333</v>
      </c>
      <c r="C33" s="74" t="s">
        <v>9754</v>
      </c>
      <c r="D33" s="72"/>
      <c r="F33" s="709"/>
      <c r="G33" s="718"/>
      <c r="H33" s="752" t="s">
        <v>400</v>
      </c>
      <c r="I33" s="221" t="s">
        <v>398</v>
      </c>
      <c r="J33" s="50">
        <v>0.9</v>
      </c>
      <c r="K33" s="44"/>
      <c r="L33" s="247"/>
      <c r="M33" s="46"/>
      <c r="N33" s="223"/>
      <c r="Q33" s="35"/>
      <c r="S33" s="208">
        <f>ROUND((_11_A家事０．５*_11・基礎２),0)+ROUND((ROUND((_11_B家事０．５＿１．０*_11・基礎２),0)*(1+_11・B夜間)),0)</f>
        <v>285</v>
      </c>
      <c r="T33" s="48"/>
    </row>
    <row r="34" spans="1:20" ht="16.5" customHeight="1" x14ac:dyDescent="0.15">
      <c r="A34" s="41">
        <v>11</v>
      </c>
      <c r="B34" s="41">
        <v>6334</v>
      </c>
      <c r="C34" s="74" t="s">
        <v>9755</v>
      </c>
      <c r="D34" s="72"/>
      <c r="F34" s="125">
        <f>_11_B家事０．５＿１．０</f>
        <v>169</v>
      </c>
      <c r="G34" s="12" t="s">
        <v>392</v>
      </c>
      <c r="H34" s="757"/>
      <c r="I34" s="216"/>
      <c r="J34" s="38"/>
      <c r="K34" s="44" t="s">
        <v>397</v>
      </c>
      <c r="L34" s="247" t="s">
        <v>398</v>
      </c>
      <c r="M34" s="46">
        <v>1</v>
      </c>
      <c r="N34" s="223"/>
      <c r="Q34" s="43"/>
      <c r="R34" s="38"/>
      <c r="S34" s="208">
        <f>ROUND((ROUND((_11_A家事０．５*_11・基礎２),0)*_11・２人),0)+ROUND((ROUND((ROUND((_11_B家事０．５＿１．０*_11・基礎２),0)*_11・２人),0)*(1+_11・B夜間)),0)</f>
        <v>285</v>
      </c>
      <c r="T34" s="48"/>
    </row>
    <row r="35" spans="1:20" ht="16.5" customHeight="1" x14ac:dyDescent="0.15">
      <c r="A35" s="41">
        <v>11</v>
      </c>
      <c r="B35" s="41" t="s">
        <v>9756</v>
      </c>
      <c r="C35" s="74" t="s">
        <v>9757</v>
      </c>
      <c r="D35" s="72"/>
      <c r="F35" s="72"/>
      <c r="H35" s="114"/>
      <c r="I35" s="221"/>
      <c r="J35" s="50"/>
      <c r="K35" s="44"/>
      <c r="L35" s="247"/>
      <c r="M35" s="46"/>
      <c r="N35" s="223"/>
      <c r="Q35" s="707" t="s">
        <v>404</v>
      </c>
      <c r="R35" s="708"/>
      <c r="S35" s="208">
        <f>ROUND((_11_A家事０．５*_11・初任),0)+ROUND((ROUND((_11_B家事０．５＿１．０*(1+_11・B夜間)),0)*_11・初任),0)</f>
        <v>222</v>
      </c>
      <c r="T35" s="48"/>
    </row>
    <row r="36" spans="1:20" ht="16.5" customHeight="1" x14ac:dyDescent="0.15">
      <c r="A36" s="41">
        <v>11</v>
      </c>
      <c r="B36" s="41" t="s">
        <v>9758</v>
      </c>
      <c r="C36" s="74" t="s">
        <v>9759</v>
      </c>
      <c r="D36" s="72"/>
      <c r="F36" s="72"/>
      <c r="H36" s="122"/>
      <c r="I36" s="216"/>
      <c r="J36" s="38"/>
      <c r="K36" s="44" t="s">
        <v>397</v>
      </c>
      <c r="L36" s="247" t="s">
        <v>398</v>
      </c>
      <c r="M36" s="46">
        <v>1</v>
      </c>
      <c r="N36" s="223"/>
      <c r="Q36" s="709"/>
      <c r="R36" s="704"/>
      <c r="S36" s="208">
        <f>ROUND((ROUND((_11_A家事０．５*_11・２人),0)*_11・初任),0)+ROUND((ROUND((ROUND((_11_B家事０．５＿１．０*_11・２人),0)*(1+_11・B夜間)),0)*_11・初任),0)</f>
        <v>222</v>
      </c>
      <c r="T36" s="48"/>
    </row>
    <row r="37" spans="1:20" ht="16.5" customHeight="1" x14ac:dyDescent="0.15">
      <c r="A37" s="41">
        <v>11</v>
      </c>
      <c r="B37" s="41" t="s">
        <v>9760</v>
      </c>
      <c r="C37" s="74" t="s">
        <v>9761</v>
      </c>
      <c r="D37" s="72"/>
      <c r="F37" s="72"/>
      <c r="H37" s="752" t="s">
        <v>400</v>
      </c>
      <c r="I37" s="221" t="s">
        <v>398</v>
      </c>
      <c r="J37" s="50">
        <v>0.9</v>
      </c>
      <c r="K37" s="44"/>
      <c r="L37" s="247"/>
      <c r="M37" s="46"/>
      <c r="N37" s="223"/>
      <c r="Q37" s="709"/>
      <c r="R37" s="704"/>
      <c r="S37" s="208">
        <f>ROUND((ROUND((_11_A家事０．５*_11・基礎２),0)*_11・初任),0)+ROUND((ROUND((ROUND((_11_B家事０．５＿１．０*_11・基礎２),0)*(1+_11・B夜間)),0)*_11・初任),0)</f>
        <v>200</v>
      </c>
      <c r="T37" s="48"/>
    </row>
    <row r="38" spans="1:20" ht="16.5" customHeight="1" x14ac:dyDescent="0.15">
      <c r="A38" s="41">
        <v>11</v>
      </c>
      <c r="B38" s="41" t="s">
        <v>9762</v>
      </c>
      <c r="C38" s="74" t="s">
        <v>9763</v>
      </c>
      <c r="D38" s="72"/>
      <c r="F38" s="72"/>
      <c r="H38" s="757"/>
      <c r="I38" s="216"/>
      <c r="J38" s="38"/>
      <c r="K38" s="44" t="s">
        <v>397</v>
      </c>
      <c r="L38" s="247" t="s">
        <v>398</v>
      </c>
      <c r="M38" s="46">
        <v>1</v>
      </c>
      <c r="N38" s="223"/>
      <c r="Q38" s="240" t="s">
        <v>398</v>
      </c>
      <c r="R38" s="38">
        <f>_11・初任</f>
        <v>0.7</v>
      </c>
      <c r="S38" s="208">
        <f>ROUND((ROUND((ROUND((_11_A家事０．５*_11・基礎２),0)*_11・２人),0)*_11・初任),0)+ROUND((ROUND((ROUND((ROUND((_11_B家事０．５＿１．０*_11・基礎２),0)*_11・２人),0)*(1+_11・B夜間)),0)*_11・初任),0)</f>
        <v>200</v>
      </c>
      <c r="T38" s="48"/>
    </row>
    <row r="39" spans="1:20" ht="16.5" customHeight="1" x14ac:dyDescent="0.15">
      <c r="A39" s="41">
        <v>11</v>
      </c>
      <c r="B39" s="41">
        <v>7891</v>
      </c>
      <c r="C39" s="74" t="s">
        <v>9764</v>
      </c>
      <c r="D39" s="707" t="s">
        <v>8279</v>
      </c>
      <c r="E39" s="717"/>
      <c r="F39" s="707" t="s">
        <v>9713</v>
      </c>
      <c r="G39" s="717"/>
      <c r="H39" s="114"/>
      <c r="I39" s="221"/>
      <c r="J39" s="50"/>
      <c r="K39" s="44"/>
      <c r="L39" s="247"/>
      <c r="M39" s="46"/>
      <c r="N39" s="223"/>
      <c r="Q39" s="114"/>
      <c r="R39" s="50"/>
      <c r="S39" s="208">
        <f>_11_A家事０．７５+ROUND((_11_B家事０．７５＿０．２５*(1+_11・B夜間)),0)</f>
        <v>207</v>
      </c>
      <c r="T39" s="48"/>
    </row>
    <row r="40" spans="1:20" ht="16.5" customHeight="1" x14ac:dyDescent="0.15">
      <c r="A40" s="41">
        <v>11</v>
      </c>
      <c r="B40" s="41">
        <v>7892</v>
      </c>
      <c r="C40" s="74" t="s">
        <v>9765</v>
      </c>
      <c r="D40" s="709"/>
      <c r="E40" s="718"/>
      <c r="F40" s="709"/>
      <c r="G40" s="718"/>
      <c r="H40" s="122"/>
      <c r="I40" s="216"/>
      <c r="J40" s="38"/>
      <c r="K40" s="44" t="s">
        <v>397</v>
      </c>
      <c r="L40" s="247" t="s">
        <v>398</v>
      </c>
      <c r="M40" s="46">
        <v>1</v>
      </c>
      <c r="N40" s="223"/>
      <c r="Q40" s="72"/>
      <c r="S40" s="208">
        <f>ROUND((_11_A家事０．７５*_11・２人),0)+ROUND((ROUND((_11_B家事０．７５＿０．２５*_11・２人),0)*(1+_11・B夜間)),0)</f>
        <v>207</v>
      </c>
      <c r="T40" s="48"/>
    </row>
    <row r="41" spans="1:20" ht="16.5" customHeight="1" x14ac:dyDescent="0.15">
      <c r="A41" s="41">
        <v>11</v>
      </c>
      <c r="B41" s="41">
        <v>7893</v>
      </c>
      <c r="C41" s="74" t="s">
        <v>9766</v>
      </c>
      <c r="D41" s="709"/>
      <c r="E41" s="718"/>
      <c r="F41" s="709"/>
      <c r="G41" s="718"/>
      <c r="H41" s="752" t="s">
        <v>400</v>
      </c>
      <c r="I41" s="221" t="s">
        <v>398</v>
      </c>
      <c r="J41" s="50">
        <v>0.9</v>
      </c>
      <c r="K41" s="44"/>
      <c r="L41" s="247"/>
      <c r="M41" s="46"/>
      <c r="N41" s="223"/>
      <c r="Q41" s="72"/>
      <c r="S41" s="208">
        <f>ROUND((_11_A家事０．７５*_11・基礎２),0)+ROUND((ROUND((_11_B家事０．７５＿０．２５*_11・基礎２),0)*(1+_11・B夜間)),0)</f>
        <v>187</v>
      </c>
      <c r="T41" s="48"/>
    </row>
    <row r="42" spans="1:20" ht="16.5" customHeight="1" x14ac:dyDescent="0.15">
      <c r="A42" s="41">
        <v>11</v>
      </c>
      <c r="B42" s="41">
        <v>7894</v>
      </c>
      <c r="C42" s="74" t="s">
        <v>9767</v>
      </c>
      <c r="D42" s="125">
        <f>_11_A家事０．７５</f>
        <v>152</v>
      </c>
      <c r="E42" s="12" t="s">
        <v>392</v>
      </c>
      <c r="F42" s="125">
        <f>_11_B家事０．７５＿０．２５</f>
        <v>44</v>
      </c>
      <c r="G42" s="12" t="s">
        <v>392</v>
      </c>
      <c r="H42" s="757"/>
      <c r="I42" s="216"/>
      <c r="J42" s="38"/>
      <c r="K42" s="44" t="s">
        <v>397</v>
      </c>
      <c r="L42" s="247" t="s">
        <v>398</v>
      </c>
      <c r="M42" s="46">
        <v>1</v>
      </c>
      <c r="N42" s="223"/>
      <c r="Q42" s="122"/>
      <c r="R42" s="38"/>
      <c r="S42" s="208">
        <f>ROUND((ROUND((_11_A家事０．７５*_11・基礎２),0)*_11・２人),0)+ROUND((ROUND((ROUND((_11_B家事０．７５＿０．２５*_11・基礎２),0)*_11・２人),0)*(1+_11・B夜間)),0)</f>
        <v>187</v>
      </c>
      <c r="T42" s="48"/>
    </row>
    <row r="43" spans="1:20" ht="16.5" customHeight="1" x14ac:dyDescent="0.15">
      <c r="A43" s="41">
        <v>11</v>
      </c>
      <c r="B43" s="41" t="s">
        <v>9768</v>
      </c>
      <c r="C43" s="74" t="s">
        <v>9769</v>
      </c>
      <c r="D43" s="72"/>
      <c r="F43" s="72"/>
      <c r="H43" s="114"/>
      <c r="I43" s="221"/>
      <c r="J43" s="50"/>
      <c r="K43" s="44"/>
      <c r="L43" s="247"/>
      <c r="M43" s="46"/>
      <c r="N43" s="223"/>
      <c r="Q43" s="707" t="s">
        <v>404</v>
      </c>
      <c r="R43" s="708"/>
      <c r="S43" s="208">
        <f>ROUND((_11_A家事０．７５*_11・初任),0)+ROUND((ROUND((_11_B家事０．７５＿０．２５*(1+_11・B夜間)),0)*_11・初任),0)</f>
        <v>145</v>
      </c>
      <c r="T43" s="48"/>
    </row>
    <row r="44" spans="1:20" ht="16.5" customHeight="1" x14ac:dyDescent="0.15">
      <c r="A44" s="41">
        <v>11</v>
      </c>
      <c r="B44" s="41" t="s">
        <v>9770</v>
      </c>
      <c r="C44" s="74" t="s">
        <v>9771</v>
      </c>
      <c r="D44" s="72"/>
      <c r="F44" s="72"/>
      <c r="H44" s="122"/>
      <c r="I44" s="216"/>
      <c r="J44" s="38"/>
      <c r="K44" s="44" t="s">
        <v>397</v>
      </c>
      <c r="L44" s="247" t="s">
        <v>398</v>
      </c>
      <c r="M44" s="46">
        <v>1</v>
      </c>
      <c r="N44" s="223"/>
      <c r="Q44" s="709"/>
      <c r="R44" s="704"/>
      <c r="S44" s="208">
        <f>ROUND((ROUND((_11_A家事０．７５*_11・２人),0)*_11・初任),0)+ROUND((ROUND((ROUND((_11_B家事０．７５＿０．２５*_11・２人),0)*(1+_11・B夜間)),0)*_11・初任),0)</f>
        <v>145</v>
      </c>
      <c r="T44" s="48"/>
    </row>
    <row r="45" spans="1:20" ht="16.5" customHeight="1" x14ac:dyDescent="0.15">
      <c r="A45" s="41">
        <v>11</v>
      </c>
      <c r="B45" s="41" t="s">
        <v>9772</v>
      </c>
      <c r="C45" s="74" t="s">
        <v>9773</v>
      </c>
      <c r="D45" s="72"/>
      <c r="F45" s="72"/>
      <c r="H45" s="752" t="s">
        <v>400</v>
      </c>
      <c r="I45" s="221" t="s">
        <v>398</v>
      </c>
      <c r="J45" s="50">
        <v>0.9</v>
      </c>
      <c r="K45" s="44"/>
      <c r="L45" s="247"/>
      <c r="M45" s="46"/>
      <c r="N45" s="223"/>
      <c r="Q45" s="709"/>
      <c r="R45" s="704"/>
      <c r="S45" s="208">
        <f>ROUND((ROUND((_11_A家事０．７５*_11・基礎２),0)*_11・初任),0)+ROUND((ROUND((ROUND((_11_B家事０．７５＿０．２５*_11・基礎２),0)*(1+_11・B夜間)),0)*_11・初任),0)</f>
        <v>131</v>
      </c>
      <c r="T45" s="48"/>
    </row>
    <row r="46" spans="1:20" ht="16.5" customHeight="1" x14ac:dyDescent="0.15">
      <c r="A46" s="41">
        <v>11</v>
      </c>
      <c r="B46" s="41" t="s">
        <v>9774</v>
      </c>
      <c r="C46" s="74" t="s">
        <v>9775</v>
      </c>
      <c r="D46" s="72"/>
      <c r="F46" s="72"/>
      <c r="H46" s="757"/>
      <c r="I46" s="216"/>
      <c r="J46" s="38"/>
      <c r="K46" s="44" t="s">
        <v>397</v>
      </c>
      <c r="L46" s="247" t="s">
        <v>398</v>
      </c>
      <c r="M46" s="46">
        <v>1</v>
      </c>
      <c r="N46" s="223"/>
      <c r="Q46" s="240" t="s">
        <v>398</v>
      </c>
      <c r="R46" s="38">
        <f>_11・初任</f>
        <v>0.7</v>
      </c>
      <c r="S46" s="208">
        <f>ROUND((ROUND((ROUND((_11_A家事０．７５*_11・基礎２),0)*_11・２人),0)*_11・初任),0)+ROUND((ROUND((ROUND((ROUND((_11_B家事０．７５＿０．２５*_11・基礎２),0)*_11・２人),0)*(1+_11・B夜間)),0)*_11・初任),0)</f>
        <v>131</v>
      </c>
      <c r="T46" s="48"/>
    </row>
    <row r="47" spans="1:20" ht="16.5" customHeight="1" x14ac:dyDescent="0.15">
      <c r="A47" s="41">
        <v>11</v>
      </c>
      <c r="B47" s="41">
        <v>7895</v>
      </c>
      <c r="C47" s="74" t="s">
        <v>9776</v>
      </c>
      <c r="D47" s="72"/>
      <c r="F47" s="707" t="s">
        <v>9726</v>
      </c>
      <c r="G47" s="717"/>
      <c r="H47" s="114"/>
      <c r="I47" s="221"/>
      <c r="J47" s="50"/>
      <c r="K47" s="44"/>
      <c r="L47" s="247"/>
      <c r="M47" s="46"/>
      <c r="N47" s="223"/>
      <c r="Q47" s="53"/>
      <c r="R47" s="50"/>
      <c r="S47" s="208">
        <f>_11_A家事０．７５+ROUND((_11_B家事０．７５＿０．５*(1+_11・B夜間)),0)</f>
        <v>260</v>
      </c>
      <c r="T47" s="48"/>
    </row>
    <row r="48" spans="1:20" ht="16.5" customHeight="1" x14ac:dyDescent="0.15">
      <c r="A48" s="41">
        <v>11</v>
      </c>
      <c r="B48" s="41">
        <v>7896</v>
      </c>
      <c r="C48" s="74" t="s">
        <v>9777</v>
      </c>
      <c r="D48" s="72"/>
      <c r="F48" s="709"/>
      <c r="G48" s="718"/>
      <c r="H48" s="122"/>
      <c r="I48" s="216"/>
      <c r="J48" s="38"/>
      <c r="K48" s="44" t="s">
        <v>397</v>
      </c>
      <c r="L48" s="247" t="s">
        <v>398</v>
      </c>
      <c r="M48" s="46">
        <v>1</v>
      </c>
      <c r="N48" s="223"/>
      <c r="Q48" s="35"/>
      <c r="S48" s="208">
        <f>ROUND((_11_A家事０．７５*_11・２人),0)+ROUND((ROUND((_11_B家事０．７５＿０．５*_11・２人),0)*(1+_11・B夜間)),0)</f>
        <v>260</v>
      </c>
      <c r="T48" s="48"/>
    </row>
    <row r="49" spans="1:20" ht="16.5" customHeight="1" x14ac:dyDescent="0.15">
      <c r="A49" s="41">
        <v>11</v>
      </c>
      <c r="B49" s="41">
        <v>7897</v>
      </c>
      <c r="C49" s="74" t="s">
        <v>9778</v>
      </c>
      <c r="D49" s="72"/>
      <c r="F49" s="709"/>
      <c r="G49" s="718"/>
      <c r="H49" s="752" t="s">
        <v>400</v>
      </c>
      <c r="I49" s="221" t="s">
        <v>398</v>
      </c>
      <c r="J49" s="50">
        <v>0.9</v>
      </c>
      <c r="K49" s="44"/>
      <c r="L49" s="247"/>
      <c r="M49" s="46"/>
      <c r="N49" s="223"/>
      <c r="Q49" s="35"/>
      <c r="S49" s="208">
        <f>ROUND((_11_A家事０．７５*_11・基礎２),0)+ROUND((ROUND((_11_B家事０．７５＿０．５*_11・基礎２),0)*(1+_11・B夜間)),0)</f>
        <v>233</v>
      </c>
      <c r="T49" s="48"/>
    </row>
    <row r="50" spans="1:20" ht="16.5" customHeight="1" x14ac:dyDescent="0.15">
      <c r="A50" s="41">
        <v>11</v>
      </c>
      <c r="B50" s="41">
        <v>7898</v>
      </c>
      <c r="C50" s="74" t="s">
        <v>9779</v>
      </c>
      <c r="D50" s="72"/>
      <c r="F50" s="125">
        <f>_11_B家事０．７５＿０．５</f>
        <v>86</v>
      </c>
      <c r="G50" s="12" t="s">
        <v>392</v>
      </c>
      <c r="H50" s="757"/>
      <c r="I50" s="216"/>
      <c r="J50" s="38"/>
      <c r="K50" s="44" t="s">
        <v>397</v>
      </c>
      <c r="L50" s="247" t="s">
        <v>398</v>
      </c>
      <c r="M50" s="46">
        <v>1</v>
      </c>
      <c r="N50" s="223"/>
      <c r="Q50" s="43"/>
      <c r="R50" s="38"/>
      <c r="S50" s="208">
        <f>ROUND((ROUND((_11_A家事０．７５*_11・基礎２),0)*_11・２人),0)+ROUND((ROUND((ROUND((_11_B家事０．７５＿０．５*_11・基礎２),0)*_11・２人),0)*(1+_11・B夜間)),0)</f>
        <v>233</v>
      </c>
      <c r="T50" s="48"/>
    </row>
    <row r="51" spans="1:20" ht="16.5" customHeight="1" x14ac:dyDescent="0.15">
      <c r="A51" s="41">
        <v>11</v>
      </c>
      <c r="B51" s="41" t="s">
        <v>9780</v>
      </c>
      <c r="C51" s="74" t="s">
        <v>9781</v>
      </c>
      <c r="D51" s="72"/>
      <c r="F51" s="72"/>
      <c r="H51" s="114"/>
      <c r="I51" s="221"/>
      <c r="J51" s="50"/>
      <c r="K51" s="44"/>
      <c r="L51" s="247"/>
      <c r="M51" s="46"/>
      <c r="N51" s="223"/>
      <c r="Q51" s="707" t="s">
        <v>404</v>
      </c>
      <c r="R51" s="708"/>
      <c r="S51" s="208">
        <f>ROUND((_11_A家事０．７５*_11・初任),0)+ROUND((ROUND((_11_B家事０．７５＿０．５*(1+_11・B夜間)),0)*_11・初任),0)</f>
        <v>182</v>
      </c>
      <c r="T51" s="48"/>
    </row>
    <row r="52" spans="1:20" ht="16.5" customHeight="1" x14ac:dyDescent="0.15">
      <c r="A52" s="41">
        <v>11</v>
      </c>
      <c r="B52" s="41" t="s">
        <v>9782</v>
      </c>
      <c r="C52" s="74" t="s">
        <v>9783</v>
      </c>
      <c r="D52" s="72"/>
      <c r="F52" s="72"/>
      <c r="H52" s="122"/>
      <c r="I52" s="216"/>
      <c r="J52" s="38"/>
      <c r="K52" s="44" t="s">
        <v>397</v>
      </c>
      <c r="L52" s="247" t="s">
        <v>398</v>
      </c>
      <c r="M52" s="46">
        <v>1</v>
      </c>
      <c r="N52" s="223"/>
      <c r="Q52" s="709"/>
      <c r="R52" s="704"/>
      <c r="S52" s="208">
        <f>ROUND((ROUND((_11_A家事０．７５*_11・２人),0)*_11・初任),0)+ROUND((ROUND((ROUND((_11_B家事０．７５＿０．５*_11・２人),0)*(1+_11・B夜間)),0)*_11・初任),0)</f>
        <v>182</v>
      </c>
      <c r="T52" s="48"/>
    </row>
    <row r="53" spans="1:20" ht="16.5" customHeight="1" x14ac:dyDescent="0.15">
      <c r="A53" s="41">
        <v>11</v>
      </c>
      <c r="B53" s="41" t="s">
        <v>9784</v>
      </c>
      <c r="C53" s="74" t="s">
        <v>9785</v>
      </c>
      <c r="D53" s="72"/>
      <c r="F53" s="72"/>
      <c r="H53" s="752" t="s">
        <v>400</v>
      </c>
      <c r="I53" s="221" t="s">
        <v>398</v>
      </c>
      <c r="J53" s="50">
        <v>0.9</v>
      </c>
      <c r="K53" s="44"/>
      <c r="L53" s="247"/>
      <c r="M53" s="46"/>
      <c r="N53" s="223"/>
      <c r="Q53" s="709"/>
      <c r="R53" s="704"/>
      <c r="S53" s="208">
        <f>ROUND((ROUND((_11_A家事０．７５*_11・基礎２),0)*_11・初任),0)+ROUND((ROUND((ROUND((_11_B家事０．７５＿０．５*_11・基礎２),0)*(1+_11・B夜間)),0)*_11・初任),0)</f>
        <v>163</v>
      </c>
      <c r="T53" s="48"/>
    </row>
    <row r="54" spans="1:20" ht="16.5" customHeight="1" x14ac:dyDescent="0.15">
      <c r="A54" s="41">
        <v>11</v>
      </c>
      <c r="B54" s="41" t="s">
        <v>9786</v>
      </c>
      <c r="C54" s="74" t="s">
        <v>9787</v>
      </c>
      <c r="D54" s="72"/>
      <c r="F54" s="72"/>
      <c r="H54" s="757"/>
      <c r="I54" s="216"/>
      <c r="J54" s="38"/>
      <c r="K54" s="44" t="s">
        <v>397</v>
      </c>
      <c r="L54" s="247" t="s">
        <v>398</v>
      </c>
      <c r="M54" s="46">
        <v>1</v>
      </c>
      <c r="N54" s="223"/>
      <c r="Q54" s="240" t="s">
        <v>398</v>
      </c>
      <c r="R54" s="38">
        <f>_11・初任</f>
        <v>0.7</v>
      </c>
      <c r="S54" s="208">
        <f>ROUND((ROUND((ROUND((_11_A家事０．７５*_11・基礎２),0)*_11・２人),0)*_11・初任),0)+ROUND((ROUND((ROUND((ROUND((_11_B家事０．７５＿０．５*_11・基礎２),0)*_11・２人),0)*(1+_11・B夜間)),0)*_11・初任),0)</f>
        <v>163</v>
      </c>
      <c r="T54" s="48"/>
    </row>
    <row r="55" spans="1:20" ht="16.5" customHeight="1" x14ac:dyDescent="0.15">
      <c r="A55" s="41">
        <v>11</v>
      </c>
      <c r="B55" s="41">
        <v>7899</v>
      </c>
      <c r="C55" s="74" t="s">
        <v>9788</v>
      </c>
      <c r="D55" s="72"/>
      <c r="F55" s="707" t="s">
        <v>9739</v>
      </c>
      <c r="G55" s="717"/>
      <c r="H55" s="114"/>
      <c r="I55" s="221"/>
      <c r="J55" s="50"/>
      <c r="K55" s="44"/>
      <c r="L55" s="247"/>
      <c r="M55" s="46"/>
      <c r="N55" s="223"/>
      <c r="Q55" s="114"/>
      <c r="R55" s="50"/>
      <c r="S55" s="208">
        <f>_11_A家事０．７５+ROUND((_11_B家事０．７５＿０．７５*(1+_11・B夜間)),0)</f>
        <v>305</v>
      </c>
      <c r="T55" s="48"/>
    </row>
    <row r="56" spans="1:20" ht="16.5" customHeight="1" x14ac:dyDescent="0.15">
      <c r="A56" s="41">
        <v>11</v>
      </c>
      <c r="B56" s="41">
        <v>7900</v>
      </c>
      <c r="C56" s="74" t="s">
        <v>9789</v>
      </c>
      <c r="D56" s="72"/>
      <c r="F56" s="709"/>
      <c r="G56" s="718"/>
      <c r="H56" s="122"/>
      <c r="I56" s="216"/>
      <c r="J56" s="38"/>
      <c r="K56" s="44" t="s">
        <v>397</v>
      </c>
      <c r="L56" s="247" t="s">
        <v>398</v>
      </c>
      <c r="M56" s="46">
        <v>1</v>
      </c>
      <c r="N56" s="223"/>
      <c r="Q56" s="72"/>
      <c r="S56" s="208">
        <f>ROUND((_11_A家事０．７５*_11・２人),0)+ROUND((ROUND((_11_B家事０．７５＿０．７５*_11・２人),0)*(1+_11・B夜間)),0)</f>
        <v>305</v>
      </c>
      <c r="T56" s="48"/>
    </row>
    <row r="57" spans="1:20" ht="16.5" customHeight="1" x14ac:dyDescent="0.15">
      <c r="A57" s="41">
        <v>11</v>
      </c>
      <c r="B57" s="41">
        <v>7901</v>
      </c>
      <c r="C57" s="74" t="s">
        <v>9790</v>
      </c>
      <c r="D57" s="72"/>
      <c r="F57" s="709"/>
      <c r="G57" s="718"/>
      <c r="H57" s="752" t="s">
        <v>400</v>
      </c>
      <c r="I57" s="221" t="s">
        <v>398</v>
      </c>
      <c r="J57" s="50">
        <v>0.9</v>
      </c>
      <c r="K57" s="44"/>
      <c r="L57" s="247"/>
      <c r="M57" s="46"/>
      <c r="N57" s="223"/>
      <c r="Q57" s="72"/>
      <c r="S57" s="208">
        <f>ROUND((_11_A家事０．７５*_11・基礎２),0)+ROUND((ROUND((_11_B家事０．７５＿０．７５*_11・基礎２),0)*(1+_11・B夜間)),0)</f>
        <v>275</v>
      </c>
      <c r="T57" s="48"/>
    </row>
    <row r="58" spans="1:20" ht="16.5" customHeight="1" x14ac:dyDescent="0.15">
      <c r="A58" s="41">
        <v>11</v>
      </c>
      <c r="B58" s="41">
        <v>7902</v>
      </c>
      <c r="C58" s="74" t="s">
        <v>9791</v>
      </c>
      <c r="D58" s="72"/>
      <c r="F58" s="125">
        <f>_11_B家事０．７５＿０．７５</f>
        <v>122</v>
      </c>
      <c r="G58" s="12" t="s">
        <v>392</v>
      </c>
      <c r="H58" s="757"/>
      <c r="I58" s="216"/>
      <c r="J58" s="38"/>
      <c r="K58" s="44" t="s">
        <v>397</v>
      </c>
      <c r="L58" s="247" t="s">
        <v>398</v>
      </c>
      <c r="M58" s="46">
        <v>1</v>
      </c>
      <c r="N58" s="223"/>
      <c r="Q58" s="122"/>
      <c r="R58" s="38"/>
      <c r="S58" s="208">
        <f>ROUND((ROUND((_11_A家事０．７５*_11・基礎２),0)*_11・２人),0)+ROUND((ROUND((ROUND((_11_B家事０．７５＿０．７５*_11・基礎２),0)*_11・２人),0)*(1+_11・B夜間)),0)</f>
        <v>275</v>
      </c>
      <c r="T58" s="48"/>
    </row>
    <row r="59" spans="1:20" ht="16.5" customHeight="1" x14ac:dyDescent="0.15">
      <c r="A59" s="41">
        <v>11</v>
      </c>
      <c r="B59" s="41" t="s">
        <v>9792</v>
      </c>
      <c r="C59" s="74" t="s">
        <v>9793</v>
      </c>
      <c r="D59" s="72"/>
      <c r="F59" s="72"/>
      <c r="H59" s="114"/>
      <c r="I59" s="221"/>
      <c r="J59" s="50"/>
      <c r="K59" s="44"/>
      <c r="L59" s="247"/>
      <c r="M59" s="46"/>
      <c r="N59" s="223"/>
      <c r="Q59" s="707" t="s">
        <v>404</v>
      </c>
      <c r="R59" s="708"/>
      <c r="S59" s="208">
        <f>ROUND((_11_A家事０．７５*_11・初任),0)+ROUND((ROUND((_11_B家事０．７５＿０．７５*(1+_11・B夜間)),0)*_11・初任),0)</f>
        <v>213</v>
      </c>
      <c r="T59" s="48"/>
    </row>
    <row r="60" spans="1:20" ht="16.5" customHeight="1" x14ac:dyDescent="0.15">
      <c r="A60" s="41">
        <v>11</v>
      </c>
      <c r="B60" s="41" t="s">
        <v>9794</v>
      </c>
      <c r="C60" s="74" t="s">
        <v>9795</v>
      </c>
      <c r="D60" s="72"/>
      <c r="F60" s="72"/>
      <c r="H60" s="122"/>
      <c r="I60" s="216"/>
      <c r="J60" s="38"/>
      <c r="K60" s="44" t="s">
        <v>397</v>
      </c>
      <c r="L60" s="247" t="s">
        <v>398</v>
      </c>
      <c r="M60" s="46">
        <v>1</v>
      </c>
      <c r="N60" s="223"/>
      <c r="Q60" s="709"/>
      <c r="R60" s="704"/>
      <c r="S60" s="208">
        <f>ROUND((ROUND((_11_A家事０．７５*_11・２人),0)*_11・初任),0)+ROUND((ROUND((ROUND((_11_B家事０．７５＿０．７５*_11・２人),0)*(1+_11・B夜間)),0)*_11・初任),0)</f>
        <v>213</v>
      </c>
      <c r="T60" s="48"/>
    </row>
    <row r="61" spans="1:20" ht="16.5" customHeight="1" x14ac:dyDescent="0.15">
      <c r="A61" s="41">
        <v>11</v>
      </c>
      <c r="B61" s="41" t="s">
        <v>9796</v>
      </c>
      <c r="C61" s="74" t="s">
        <v>9797</v>
      </c>
      <c r="D61" s="72"/>
      <c r="F61" s="72"/>
      <c r="H61" s="752" t="s">
        <v>400</v>
      </c>
      <c r="I61" s="221" t="s">
        <v>398</v>
      </c>
      <c r="J61" s="50">
        <v>0.9</v>
      </c>
      <c r="K61" s="44"/>
      <c r="L61" s="247"/>
      <c r="M61" s="46"/>
      <c r="N61" s="223"/>
      <c r="Q61" s="709"/>
      <c r="R61" s="704"/>
      <c r="S61" s="208">
        <f>ROUND((ROUND((_11_A家事０．７５*_11・基礎２),0)*_11・初任),0)+ROUND((ROUND((ROUND((_11_B家事０．７５＿０．７５*_11・基礎２),0)*(1+_11・B夜間)),0)*_11・初任),0)</f>
        <v>193</v>
      </c>
      <c r="T61" s="48"/>
    </row>
    <row r="62" spans="1:20" ht="16.5" customHeight="1" x14ac:dyDescent="0.15">
      <c r="A62" s="41">
        <v>11</v>
      </c>
      <c r="B62" s="41" t="s">
        <v>9798</v>
      </c>
      <c r="C62" s="74" t="s">
        <v>9799</v>
      </c>
      <c r="D62" s="72"/>
      <c r="F62" s="72"/>
      <c r="H62" s="757"/>
      <c r="I62" s="216"/>
      <c r="J62" s="38"/>
      <c r="K62" s="44" t="s">
        <v>397</v>
      </c>
      <c r="L62" s="247" t="s">
        <v>398</v>
      </c>
      <c r="M62" s="46">
        <v>1</v>
      </c>
      <c r="N62" s="223"/>
      <c r="Q62" s="240" t="s">
        <v>398</v>
      </c>
      <c r="R62" s="38">
        <f>_11・初任</f>
        <v>0.7</v>
      </c>
      <c r="S62" s="208">
        <f>ROUND((ROUND((ROUND((_11_A家事０．７５*_11・基礎２),0)*_11・２人),0)*_11・初任),0)+ROUND((ROUND((ROUND((ROUND((_11_B家事０．７５＿０．７５*_11・基礎２),0)*_11・２人),0)*(1+_11・B夜間)),0)*_11・初任),0)</f>
        <v>193</v>
      </c>
      <c r="T62" s="48"/>
    </row>
    <row r="63" spans="1:20" ht="16.5" customHeight="1" x14ac:dyDescent="0.15">
      <c r="A63" s="41">
        <v>11</v>
      </c>
      <c r="B63" s="41">
        <v>7903</v>
      </c>
      <c r="C63" s="74" t="s">
        <v>9800</v>
      </c>
      <c r="D63" s="707" t="s">
        <v>8292</v>
      </c>
      <c r="E63" s="717"/>
      <c r="F63" s="707" t="s">
        <v>9713</v>
      </c>
      <c r="G63" s="717"/>
      <c r="H63" s="114"/>
      <c r="I63" s="221"/>
      <c r="J63" s="50"/>
      <c r="K63" s="44"/>
      <c r="L63" s="247"/>
      <c r="M63" s="46"/>
      <c r="N63" s="223"/>
      <c r="Q63" s="53"/>
      <c r="R63" s="50"/>
      <c r="S63" s="208">
        <f>_11_A家事１．０+ROUND((_11_B家事１．０＿０．２５*(1+_11・B夜間)),0)</f>
        <v>249</v>
      </c>
      <c r="T63" s="48"/>
    </row>
    <row r="64" spans="1:20" ht="16.5" customHeight="1" x14ac:dyDescent="0.15">
      <c r="A64" s="41">
        <v>11</v>
      </c>
      <c r="B64" s="41">
        <v>7904</v>
      </c>
      <c r="C64" s="74" t="s">
        <v>9801</v>
      </c>
      <c r="D64" s="709"/>
      <c r="E64" s="718"/>
      <c r="F64" s="709"/>
      <c r="G64" s="718"/>
      <c r="H64" s="122"/>
      <c r="I64" s="216"/>
      <c r="J64" s="38"/>
      <c r="K64" s="44" t="s">
        <v>397</v>
      </c>
      <c r="L64" s="247" t="s">
        <v>398</v>
      </c>
      <c r="M64" s="46">
        <v>1</v>
      </c>
      <c r="N64" s="223"/>
      <c r="Q64" s="35"/>
      <c r="S64" s="208">
        <f>ROUND((_11_A家事１．０*_11・２人),0)+ROUND((ROUND((_11_B家事１．０＿０．２５*_11・２人),0)*(1+_11・B夜間)),0)</f>
        <v>249</v>
      </c>
      <c r="T64" s="48"/>
    </row>
    <row r="65" spans="1:20" ht="16.5" customHeight="1" x14ac:dyDescent="0.15">
      <c r="A65" s="41">
        <v>11</v>
      </c>
      <c r="B65" s="41">
        <v>7905</v>
      </c>
      <c r="C65" s="74" t="s">
        <v>9802</v>
      </c>
      <c r="D65" s="709"/>
      <c r="E65" s="718"/>
      <c r="F65" s="709"/>
      <c r="G65" s="718"/>
      <c r="H65" s="752" t="s">
        <v>400</v>
      </c>
      <c r="I65" s="221" t="s">
        <v>398</v>
      </c>
      <c r="J65" s="50">
        <v>0.9</v>
      </c>
      <c r="K65" s="44"/>
      <c r="L65" s="247"/>
      <c r="M65" s="46"/>
      <c r="N65" s="223"/>
      <c r="Q65" s="35"/>
      <c r="S65" s="208">
        <f>ROUND((_11_A家事１．０*_11・基礎２),0)+ROUND((ROUND((_11_B家事１．０＿０．２５*_11・基礎２),0)*(1+_11・B夜間)),0)</f>
        <v>224</v>
      </c>
      <c r="T65" s="48"/>
    </row>
    <row r="66" spans="1:20" ht="16.5" customHeight="1" x14ac:dyDescent="0.15">
      <c r="A66" s="41">
        <v>11</v>
      </c>
      <c r="B66" s="41">
        <v>7906</v>
      </c>
      <c r="C66" s="74" t="s">
        <v>9803</v>
      </c>
      <c r="D66" s="125">
        <f>_11_A家事１．０</f>
        <v>196</v>
      </c>
      <c r="E66" s="12" t="s">
        <v>392</v>
      </c>
      <c r="F66" s="125">
        <f>_11_B家事１．０＿０．２５</f>
        <v>42</v>
      </c>
      <c r="G66" s="12" t="s">
        <v>392</v>
      </c>
      <c r="H66" s="757"/>
      <c r="I66" s="216"/>
      <c r="J66" s="38"/>
      <c r="K66" s="44" t="s">
        <v>397</v>
      </c>
      <c r="L66" s="247" t="s">
        <v>398</v>
      </c>
      <c r="M66" s="46">
        <v>1</v>
      </c>
      <c r="N66" s="223"/>
      <c r="Q66" s="43"/>
      <c r="R66" s="38"/>
      <c r="S66" s="208">
        <f>ROUND((ROUND((_11_A家事１．０*_11・基礎２),0)*_11・２人),0)+ROUND((ROUND((ROUND((_11_B家事１．０＿０．２５*_11・基礎２),0)*_11・２人),0)*(1+_11・B夜間)),0)</f>
        <v>224</v>
      </c>
      <c r="T66" s="48"/>
    </row>
    <row r="67" spans="1:20" ht="16.5" customHeight="1" x14ac:dyDescent="0.15">
      <c r="A67" s="41">
        <v>11</v>
      </c>
      <c r="B67" s="41" t="s">
        <v>9804</v>
      </c>
      <c r="C67" s="74" t="s">
        <v>9805</v>
      </c>
      <c r="D67" s="72"/>
      <c r="F67" s="72"/>
      <c r="H67" s="114"/>
      <c r="I67" s="221"/>
      <c r="J67" s="50"/>
      <c r="K67" s="44"/>
      <c r="L67" s="247"/>
      <c r="M67" s="46"/>
      <c r="N67" s="223"/>
      <c r="Q67" s="707" t="s">
        <v>404</v>
      </c>
      <c r="R67" s="708"/>
      <c r="S67" s="208">
        <f>ROUND((_11_A家事１．０*_11・初任),0)+ROUND((ROUND((_11_B家事１．０＿０．２５*(1+_11・B夜間)),0)*_11・初任),0)</f>
        <v>174</v>
      </c>
      <c r="T67" s="48"/>
    </row>
    <row r="68" spans="1:20" ht="16.5" customHeight="1" x14ac:dyDescent="0.15">
      <c r="A68" s="41">
        <v>11</v>
      </c>
      <c r="B68" s="41" t="s">
        <v>9806</v>
      </c>
      <c r="C68" s="74" t="s">
        <v>9807</v>
      </c>
      <c r="D68" s="72"/>
      <c r="F68" s="72"/>
      <c r="H68" s="122"/>
      <c r="I68" s="216"/>
      <c r="J68" s="38"/>
      <c r="K68" s="44" t="s">
        <v>397</v>
      </c>
      <c r="L68" s="247" t="s">
        <v>398</v>
      </c>
      <c r="M68" s="46">
        <v>1</v>
      </c>
      <c r="N68" s="223"/>
      <c r="Q68" s="709"/>
      <c r="R68" s="704"/>
      <c r="S68" s="208">
        <f>ROUND((ROUND((_11_A家事１．０*_11・２人),0)*_11・初任),0)+ROUND((ROUND((ROUND((_11_B家事１．０＿０．２５*_11・２人),0)*(1+_11・B夜間)),0)*_11・初任),0)</f>
        <v>174</v>
      </c>
      <c r="T68" s="48"/>
    </row>
    <row r="69" spans="1:20" ht="16.5" customHeight="1" x14ac:dyDescent="0.15">
      <c r="A69" s="41">
        <v>11</v>
      </c>
      <c r="B69" s="41" t="s">
        <v>9808</v>
      </c>
      <c r="C69" s="74" t="s">
        <v>9809</v>
      </c>
      <c r="D69" s="72"/>
      <c r="F69" s="72"/>
      <c r="H69" s="752" t="s">
        <v>400</v>
      </c>
      <c r="I69" s="221" t="s">
        <v>398</v>
      </c>
      <c r="J69" s="50">
        <v>0.9</v>
      </c>
      <c r="K69" s="44"/>
      <c r="L69" s="247"/>
      <c r="M69" s="46"/>
      <c r="N69" s="223"/>
      <c r="Q69" s="709"/>
      <c r="R69" s="704"/>
      <c r="S69" s="208">
        <f>ROUND((ROUND((_11_A家事１．０*_11・基礎２),0)*_11・初任),0)+ROUND((ROUND((ROUND((_11_B家事１．０＿０．２５*_11・基礎２),0)*(1+_11・B夜間)),0)*_11・初任),0)</f>
        <v>157</v>
      </c>
      <c r="T69" s="48"/>
    </row>
    <row r="70" spans="1:20" ht="16.5" customHeight="1" x14ac:dyDescent="0.15">
      <c r="A70" s="41">
        <v>11</v>
      </c>
      <c r="B70" s="41" t="s">
        <v>9810</v>
      </c>
      <c r="C70" s="74" t="s">
        <v>9811</v>
      </c>
      <c r="D70" s="72"/>
      <c r="F70" s="72"/>
      <c r="H70" s="757"/>
      <c r="I70" s="216"/>
      <c r="J70" s="38"/>
      <c r="K70" s="44" t="s">
        <v>397</v>
      </c>
      <c r="L70" s="247" t="s">
        <v>398</v>
      </c>
      <c r="M70" s="46">
        <v>1</v>
      </c>
      <c r="N70" s="223"/>
      <c r="Q70" s="240" t="s">
        <v>398</v>
      </c>
      <c r="R70" s="38">
        <f>_11・初任</f>
        <v>0.7</v>
      </c>
      <c r="S70" s="208">
        <f>ROUND((ROUND((ROUND((_11_A家事１．０*_11・基礎２),0)*_11・２人),0)*_11・初任),0)+ROUND((ROUND((ROUND((ROUND((_11_B家事１．０＿０．２５*_11・基礎２),0)*_11・２人),0)*(1+_11・B夜間)),0)*_11・初任),0)</f>
        <v>157</v>
      </c>
      <c r="T70" s="48"/>
    </row>
    <row r="71" spans="1:20" ht="16.5" customHeight="1" x14ac:dyDescent="0.15">
      <c r="A71" s="41">
        <v>11</v>
      </c>
      <c r="B71" s="41">
        <v>6335</v>
      </c>
      <c r="C71" s="74" t="s">
        <v>9812</v>
      </c>
      <c r="D71" s="72"/>
      <c r="F71" s="707" t="s">
        <v>9726</v>
      </c>
      <c r="G71" s="717"/>
      <c r="H71" s="114"/>
      <c r="I71" s="221"/>
      <c r="J71" s="50"/>
      <c r="K71" s="44"/>
      <c r="L71" s="247"/>
      <c r="M71" s="46"/>
      <c r="N71" s="223"/>
      <c r="Q71" s="114"/>
      <c r="R71" s="50"/>
      <c r="S71" s="208">
        <f>_11_A家事１．０+ROUND((_11_B家事１．０＿０．５*(1+_11・B夜間)),0)</f>
        <v>294</v>
      </c>
      <c r="T71" s="48"/>
    </row>
    <row r="72" spans="1:20" ht="16.5" customHeight="1" x14ac:dyDescent="0.15">
      <c r="A72" s="41">
        <v>11</v>
      </c>
      <c r="B72" s="41">
        <v>6336</v>
      </c>
      <c r="C72" s="74" t="s">
        <v>9813</v>
      </c>
      <c r="D72" s="72"/>
      <c r="F72" s="709"/>
      <c r="G72" s="718"/>
      <c r="H72" s="122"/>
      <c r="I72" s="216"/>
      <c r="J72" s="38"/>
      <c r="K72" s="44" t="s">
        <v>397</v>
      </c>
      <c r="L72" s="247" t="s">
        <v>398</v>
      </c>
      <c r="M72" s="46">
        <v>1</v>
      </c>
      <c r="N72" s="223"/>
      <c r="Q72" s="72"/>
      <c r="S72" s="208">
        <f>ROUND((_11_A家事１．０*_11・２人),0)+ROUND((ROUND((_11_B家事１．０＿０．５*_11・２人),0)*(1+_11・B夜間)),0)</f>
        <v>294</v>
      </c>
      <c r="T72" s="48"/>
    </row>
    <row r="73" spans="1:20" ht="16.5" customHeight="1" x14ac:dyDescent="0.15">
      <c r="A73" s="41">
        <v>11</v>
      </c>
      <c r="B73" s="41">
        <v>6337</v>
      </c>
      <c r="C73" s="74" t="s">
        <v>9814</v>
      </c>
      <c r="D73" s="72"/>
      <c r="F73" s="709"/>
      <c r="G73" s="718"/>
      <c r="H73" s="752" t="s">
        <v>400</v>
      </c>
      <c r="I73" s="221" t="s">
        <v>398</v>
      </c>
      <c r="J73" s="50">
        <v>0.9</v>
      </c>
      <c r="K73" s="44"/>
      <c r="L73" s="247"/>
      <c r="M73" s="46"/>
      <c r="N73" s="223"/>
      <c r="Q73" s="72"/>
      <c r="S73" s="208">
        <f>ROUND((_11_A家事１．０*_11・基礎２),0)+ROUND((ROUND((_11_B家事１．０＿０．５*_11・基礎２),0)*(1+_11・B夜間)),0)</f>
        <v>264</v>
      </c>
      <c r="T73" s="48"/>
    </row>
    <row r="74" spans="1:20" ht="16.5" customHeight="1" x14ac:dyDescent="0.15">
      <c r="A74" s="41">
        <v>11</v>
      </c>
      <c r="B74" s="41">
        <v>6338</v>
      </c>
      <c r="C74" s="74" t="s">
        <v>9815</v>
      </c>
      <c r="D74" s="72"/>
      <c r="F74" s="125">
        <f>_11_B家事１．０＿０．５</f>
        <v>78</v>
      </c>
      <c r="G74" s="12" t="s">
        <v>392</v>
      </c>
      <c r="H74" s="757"/>
      <c r="I74" s="216"/>
      <c r="J74" s="38"/>
      <c r="K74" s="44" t="s">
        <v>397</v>
      </c>
      <c r="L74" s="247" t="s">
        <v>398</v>
      </c>
      <c r="M74" s="46">
        <v>1</v>
      </c>
      <c r="N74" s="223"/>
      <c r="Q74" s="122"/>
      <c r="R74" s="38"/>
      <c r="S74" s="208">
        <f>ROUND((ROUND((_11_A家事１．０*_11・基礎２),0)*_11・２人),0)+ROUND((ROUND((ROUND((_11_B家事１．０＿０．５*_11・基礎２),0)*_11・２人),0)*(1+_11・B夜間)),0)</f>
        <v>264</v>
      </c>
      <c r="T74" s="48"/>
    </row>
    <row r="75" spans="1:20" ht="16.5" customHeight="1" x14ac:dyDescent="0.15">
      <c r="A75" s="41">
        <v>11</v>
      </c>
      <c r="B75" s="41" t="s">
        <v>9816</v>
      </c>
      <c r="C75" s="74" t="s">
        <v>9817</v>
      </c>
      <c r="D75" s="72"/>
      <c r="F75" s="72"/>
      <c r="H75" s="114"/>
      <c r="I75" s="221"/>
      <c r="J75" s="50"/>
      <c r="K75" s="44"/>
      <c r="L75" s="247"/>
      <c r="M75" s="46"/>
      <c r="N75" s="223"/>
      <c r="Q75" s="707" t="s">
        <v>404</v>
      </c>
      <c r="R75" s="708"/>
      <c r="S75" s="208">
        <f>ROUND((_11_A家事１．０*_11・初任),0)+ROUND((ROUND((_11_B家事１．０＿０．５*(1+_11・B夜間)),0)*_11・初任),0)</f>
        <v>206</v>
      </c>
      <c r="T75" s="48"/>
    </row>
    <row r="76" spans="1:20" ht="16.5" customHeight="1" x14ac:dyDescent="0.15">
      <c r="A76" s="41">
        <v>11</v>
      </c>
      <c r="B76" s="41" t="s">
        <v>9818</v>
      </c>
      <c r="C76" s="74" t="s">
        <v>9819</v>
      </c>
      <c r="D76" s="72"/>
      <c r="F76" s="72"/>
      <c r="H76" s="122"/>
      <c r="I76" s="216"/>
      <c r="J76" s="38"/>
      <c r="K76" s="44" t="s">
        <v>397</v>
      </c>
      <c r="L76" s="247" t="s">
        <v>398</v>
      </c>
      <c r="M76" s="46">
        <v>1</v>
      </c>
      <c r="N76" s="223"/>
      <c r="Q76" s="709"/>
      <c r="R76" s="704"/>
      <c r="S76" s="208">
        <f>ROUND((ROUND((_11_A家事１．０*_11・２人),0)*_11・初任),0)+ROUND((ROUND((ROUND((_11_B家事１．０＿０．５*_11・２人),0)*(1+_11・B夜間)),0)*_11・初任),0)</f>
        <v>206</v>
      </c>
      <c r="T76" s="48"/>
    </row>
    <row r="77" spans="1:20" ht="16.5" customHeight="1" x14ac:dyDescent="0.15">
      <c r="A77" s="41">
        <v>11</v>
      </c>
      <c r="B77" s="41" t="s">
        <v>9820</v>
      </c>
      <c r="C77" s="74" t="s">
        <v>9821</v>
      </c>
      <c r="D77" s="72"/>
      <c r="F77" s="72"/>
      <c r="H77" s="752" t="s">
        <v>400</v>
      </c>
      <c r="I77" s="221" t="s">
        <v>398</v>
      </c>
      <c r="J77" s="50">
        <v>0.9</v>
      </c>
      <c r="K77" s="44"/>
      <c r="L77" s="247"/>
      <c r="M77" s="46"/>
      <c r="N77" s="223"/>
      <c r="Q77" s="709"/>
      <c r="R77" s="704"/>
      <c r="S77" s="208">
        <f>ROUND((ROUND((_11_A家事１．０*_11・基礎２),0)*_11・初任),0)+ROUND((ROUND((ROUND((_11_B家事１．０＿０．５*_11・基礎２),0)*(1+_11・B夜間)),0)*_11・初任),0)</f>
        <v>185</v>
      </c>
      <c r="T77" s="48"/>
    </row>
    <row r="78" spans="1:20" ht="16.5" customHeight="1" x14ac:dyDescent="0.15">
      <c r="A78" s="41">
        <v>11</v>
      </c>
      <c r="B78" s="41" t="s">
        <v>9822</v>
      </c>
      <c r="C78" s="74" t="s">
        <v>9823</v>
      </c>
      <c r="D78" s="72"/>
      <c r="F78" s="72"/>
      <c r="H78" s="757"/>
      <c r="I78" s="216"/>
      <c r="J78" s="38"/>
      <c r="K78" s="44" t="s">
        <v>397</v>
      </c>
      <c r="L78" s="247" t="s">
        <v>398</v>
      </c>
      <c r="M78" s="46">
        <v>1</v>
      </c>
      <c r="N78" s="223"/>
      <c r="Q78" s="240" t="s">
        <v>398</v>
      </c>
      <c r="R78" s="38">
        <f>_11・初任</f>
        <v>0.7</v>
      </c>
      <c r="S78" s="208">
        <f>ROUND((ROUND((ROUND((_11_A家事１．０*_11・基礎２),0)*_11・２人),0)*_11・初任),0)+ROUND((ROUND((ROUND((ROUND((_11_B家事１．０＿０．５*_11・基礎２),0)*_11・２人),0)*(1+_11・B夜間)),0)*_11・初任),0)</f>
        <v>185</v>
      </c>
      <c r="T78" s="48"/>
    </row>
    <row r="79" spans="1:20" ht="16.5" customHeight="1" x14ac:dyDescent="0.15">
      <c r="A79" s="41">
        <v>11</v>
      </c>
      <c r="B79" s="41">
        <v>7907</v>
      </c>
      <c r="C79" s="74" t="s">
        <v>9824</v>
      </c>
      <c r="D79" s="707" t="s">
        <v>8305</v>
      </c>
      <c r="E79" s="717"/>
      <c r="F79" s="707" t="s">
        <v>9713</v>
      </c>
      <c r="G79" s="717"/>
      <c r="H79" s="114"/>
      <c r="I79" s="221"/>
      <c r="J79" s="50"/>
      <c r="K79" s="44"/>
      <c r="L79" s="247"/>
      <c r="M79" s="46"/>
      <c r="N79" s="223"/>
      <c r="Q79" s="53"/>
      <c r="R79" s="50"/>
      <c r="S79" s="208">
        <f>_11_A家事１．２５+ROUND((_11_B家事１．２５＿０．２５*(1+_11・B夜間)),0)</f>
        <v>283</v>
      </c>
      <c r="T79" s="48"/>
    </row>
    <row r="80" spans="1:20" ht="16.5" customHeight="1" x14ac:dyDescent="0.15">
      <c r="A80" s="41">
        <v>11</v>
      </c>
      <c r="B80" s="41">
        <v>7908</v>
      </c>
      <c r="C80" s="74" t="s">
        <v>9825</v>
      </c>
      <c r="D80" s="709"/>
      <c r="E80" s="718"/>
      <c r="F80" s="709"/>
      <c r="G80" s="718"/>
      <c r="H80" s="122"/>
      <c r="I80" s="216"/>
      <c r="J80" s="38"/>
      <c r="K80" s="44" t="s">
        <v>397</v>
      </c>
      <c r="L80" s="247" t="s">
        <v>398</v>
      </c>
      <c r="M80" s="46">
        <v>1</v>
      </c>
      <c r="N80" s="223"/>
      <c r="Q80" s="35"/>
      <c r="S80" s="208">
        <f>ROUND((_11_A家事１．２５*_11・２人),0)+ROUND((ROUND((_11_B家事１．２５＿０．２５*_11・２人),0)*(1+_11・B夜間)),0)</f>
        <v>283</v>
      </c>
      <c r="T80" s="48"/>
    </row>
    <row r="81" spans="1:20" ht="16.5" customHeight="1" x14ac:dyDescent="0.15">
      <c r="A81" s="41">
        <v>11</v>
      </c>
      <c r="B81" s="41">
        <v>7909</v>
      </c>
      <c r="C81" s="74" t="s">
        <v>9826</v>
      </c>
      <c r="D81" s="709"/>
      <c r="E81" s="718"/>
      <c r="F81" s="709"/>
      <c r="G81" s="718"/>
      <c r="H81" s="752" t="s">
        <v>400</v>
      </c>
      <c r="I81" s="221" t="s">
        <v>398</v>
      </c>
      <c r="J81" s="50">
        <v>0.9</v>
      </c>
      <c r="K81" s="44"/>
      <c r="L81" s="247"/>
      <c r="M81" s="46"/>
      <c r="N81" s="223"/>
      <c r="Q81" s="35"/>
      <c r="S81" s="208">
        <f>ROUND((_11_A家事１．２５*_11・基礎２),0)+ROUND((ROUND((_11_B家事１．２５＿０．２５*_11・基礎２),0)*(1+_11・B夜間)),0)</f>
        <v>254</v>
      </c>
      <c r="T81" s="48"/>
    </row>
    <row r="82" spans="1:20" ht="16.5" customHeight="1" x14ac:dyDescent="0.15">
      <c r="A82" s="41">
        <v>11</v>
      </c>
      <c r="B82" s="41">
        <v>7910</v>
      </c>
      <c r="C82" s="74" t="s">
        <v>9827</v>
      </c>
      <c r="D82" s="125">
        <f>_11_A家事１．２５</f>
        <v>238</v>
      </c>
      <c r="E82" s="12" t="s">
        <v>392</v>
      </c>
      <c r="F82" s="125">
        <f>_11_B家事１．２５＿０．２５</f>
        <v>36</v>
      </c>
      <c r="G82" s="12" t="s">
        <v>392</v>
      </c>
      <c r="H82" s="757"/>
      <c r="I82" s="216"/>
      <c r="J82" s="38"/>
      <c r="K82" s="44" t="s">
        <v>397</v>
      </c>
      <c r="L82" s="247" t="s">
        <v>398</v>
      </c>
      <c r="M82" s="46">
        <v>1</v>
      </c>
      <c r="N82" s="223"/>
      <c r="Q82" s="43"/>
      <c r="R82" s="38"/>
      <c r="S82" s="208">
        <f>ROUND((ROUND((_11_A家事１．２５*_11・基礎２),0)*_11・２人),0)+ROUND((ROUND((ROUND((_11_B家事１．２５＿０．２５*_11・基礎２),0)*_11・２人),0)*(1+_11・B夜間)),0)</f>
        <v>254</v>
      </c>
      <c r="T82" s="48"/>
    </row>
    <row r="83" spans="1:20" ht="16.5" customHeight="1" x14ac:dyDescent="0.15">
      <c r="A83" s="41">
        <v>11</v>
      </c>
      <c r="B83" s="41" t="s">
        <v>9828</v>
      </c>
      <c r="C83" s="74" t="s">
        <v>9829</v>
      </c>
      <c r="D83" s="72"/>
      <c r="F83" s="72"/>
      <c r="H83" s="114"/>
      <c r="I83" s="221"/>
      <c r="J83" s="50"/>
      <c r="K83" s="44"/>
      <c r="L83" s="247"/>
      <c r="M83" s="46"/>
      <c r="N83" s="223"/>
      <c r="Q83" s="707" t="s">
        <v>404</v>
      </c>
      <c r="R83" s="708"/>
      <c r="S83" s="208">
        <f>ROUND((_11_A家事１．２５*_11・初任),0)+ROUND((ROUND((_11_B家事１．２５＿０．２５*(1+_11・B夜間)),0)*_11・初任),0)</f>
        <v>199</v>
      </c>
      <c r="T83" s="48"/>
    </row>
    <row r="84" spans="1:20" ht="16.5" customHeight="1" x14ac:dyDescent="0.15">
      <c r="A84" s="41">
        <v>11</v>
      </c>
      <c r="B84" s="41" t="s">
        <v>9830</v>
      </c>
      <c r="C84" s="74" t="s">
        <v>9831</v>
      </c>
      <c r="D84" s="72"/>
      <c r="F84" s="72"/>
      <c r="H84" s="122"/>
      <c r="I84" s="216"/>
      <c r="J84" s="38"/>
      <c r="K84" s="44" t="s">
        <v>397</v>
      </c>
      <c r="L84" s="247" t="s">
        <v>398</v>
      </c>
      <c r="M84" s="46">
        <v>1</v>
      </c>
      <c r="N84" s="223"/>
      <c r="Q84" s="709"/>
      <c r="R84" s="704"/>
      <c r="S84" s="208">
        <f>ROUND((ROUND((_11_A家事１．２５*_11・２人),0)*_11・初任),0)+ROUND((ROUND((ROUND((_11_B家事１．２５＿０．２５*_11・２人),0)*(1+_11・B夜間)),0)*_11・初任),0)</f>
        <v>199</v>
      </c>
      <c r="T84" s="48"/>
    </row>
    <row r="85" spans="1:20" ht="16.5" customHeight="1" x14ac:dyDescent="0.15">
      <c r="A85" s="41">
        <v>11</v>
      </c>
      <c r="B85" s="41" t="s">
        <v>9832</v>
      </c>
      <c r="C85" s="74" t="s">
        <v>9833</v>
      </c>
      <c r="D85" s="72"/>
      <c r="F85" s="72"/>
      <c r="H85" s="752" t="s">
        <v>400</v>
      </c>
      <c r="I85" s="221" t="s">
        <v>398</v>
      </c>
      <c r="J85" s="50">
        <v>0.9</v>
      </c>
      <c r="K85" s="44"/>
      <c r="L85" s="247"/>
      <c r="M85" s="46"/>
      <c r="N85" s="223"/>
      <c r="Q85" s="709"/>
      <c r="R85" s="704"/>
      <c r="S85" s="208">
        <f>ROUND((ROUND((_11_A家事１．２５*_11・基礎２),0)*_11・初任),0)+ROUND((ROUND((ROUND((_11_B家事１．２５＿０．２５*_11・基礎２),0)*(1+_11・B夜間)),0)*_11・初任),0)</f>
        <v>178</v>
      </c>
      <c r="T85" s="48"/>
    </row>
    <row r="86" spans="1:20" ht="16.5" customHeight="1" x14ac:dyDescent="0.15">
      <c r="A86" s="41">
        <v>11</v>
      </c>
      <c r="B86" s="41" t="s">
        <v>9834</v>
      </c>
      <c r="C86" s="74" t="s">
        <v>9835</v>
      </c>
      <c r="D86" s="122"/>
      <c r="E86" s="37"/>
      <c r="F86" s="122"/>
      <c r="G86" s="37"/>
      <c r="H86" s="757"/>
      <c r="I86" s="216"/>
      <c r="J86" s="38"/>
      <c r="K86" s="44" t="s">
        <v>397</v>
      </c>
      <c r="L86" s="247" t="s">
        <v>398</v>
      </c>
      <c r="M86" s="46">
        <v>1</v>
      </c>
      <c r="N86" s="227"/>
      <c r="O86" s="37"/>
      <c r="P86" s="38"/>
      <c r="Q86" s="240" t="s">
        <v>398</v>
      </c>
      <c r="R86" s="38">
        <f>_11・初任</f>
        <v>0.7</v>
      </c>
      <c r="S86" s="208">
        <f>ROUND((ROUND((ROUND((_11_A家事１．２５*_11・基礎２),0)*_11・２人),0)*_11・初任),0)+ROUND((ROUND((ROUND((ROUND((_11_B家事１．２５＿０．２５*_11・基礎２),0)*_11・２人),0)*(1+_11・B夜間)),0)*_11・初任),0)</f>
        <v>178</v>
      </c>
      <c r="T86" s="63"/>
    </row>
    <row r="87" spans="1:20" ht="16.5" customHeight="1" x14ac:dyDescent="0.15"/>
    <row r="88" spans="1:20" ht="16.5" customHeight="1" x14ac:dyDescent="0.15"/>
  </sheetData>
  <mergeCells count="45">
    <mergeCell ref="Q83:R85"/>
    <mergeCell ref="H85:H86"/>
    <mergeCell ref="D63:E65"/>
    <mergeCell ref="F63:G65"/>
    <mergeCell ref="H65:H66"/>
    <mergeCell ref="Q67:R69"/>
    <mergeCell ref="H69:H70"/>
    <mergeCell ref="F71:G73"/>
    <mergeCell ref="H73:H74"/>
    <mergeCell ref="Q75:R77"/>
    <mergeCell ref="H77:H78"/>
    <mergeCell ref="D79:E81"/>
    <mergeCell ref="F79:G81"/>
    <mergeCell ref="H81:H82"/>
    <mergeCell ref="Q51:R53"/>
    <mergeCell ref="H53:H54"/>
    <mergeCell ref="F55:G57"/>
    <mergeCell ref="H57:H58"/>
    <mergeCell ref="Q59:R61"/>
    <mergeCell ref="H61:H62"/>
    <mergeCell ref="D39:E41"/>
    <mergeCell ref="F39:G41"/>
    <mergeCell ref="H41:H42"/>
    <mergeCell ref="Q43:R45"/>
    <mergeCell ref="H45:H46"/>
    <mergeCell ref="F47:G49"/>
    <mergeCell ref="H49:H50"/>
    <mergeCell ref="Q27:R29"/>
    <mergeCell ref="H29:H30"/>
    <mergeCell ref="F31:G33"/>
    <mergeCell ref="H33:H34"/>
    <mergeCell ref="Q35:R37"/>
    <mergeCell ref="H37:H38"/>
    <mergeCell ref="F15:G17"/>
    <mergeCell ref="H17:H18"/>
    <mergeCell ref="Q19:R21"/>
    <mergeCell ref="H21:H22"/>
    <mergeCell ref="F23:G25"/>
    <mergeCell ref="H25:H26"/>
    <mergeCell ref="D7:E9"/>
    <mergeCell ref="F7:G9"/>
    <mergeCell ref="P8:P9"/>
    <mergeCell ref="H9:H10"/>
    <mergeCell ref="Q11:R13"/>
    <mergeCell ref="H13:H14"/>
  </mergeCells>
  <phoneticPr fontId="1"/>
  <printOptions horizontalCentered="1"/>
  <pageMargins left="0.70866141732283472" right="0.70866141732283472" top="0.74803149606299213" bottom="0.51181102362204722" header="0.31496062992125984" footer="0.31496062992125984"/>
  <pageSetup paperSize="9" scale="54" fitToHeight="0" orientation="portrait" r:id="rId1"/>
  <headerFooter>
    <oddHeader>&amp;R&amp;"ＭＳ Ｐゴシック"&amp;9居宅介護</oddHeader>
    <oddFooter>&amp;C&amp;"ＭＳ Ｐゴシック"&amp;14&amp;P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2">
    <pageSetUpPr fitToPage="1"/>
  </sheetPr>
  <dimension ref="A1:Y8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2.5" style="10" bestFit="1" customWidth="1"/>
    <col min="4" max="4" width="2.5" style="12" customWidth="1"/>
    <col min="5" max="5" width="4.875" style="10" customWidth="1"/>
    <col min="6" max="6" width="4.875" style="12" customWidth="1"/>
    <col min="7" max="7" width="2.5" style="12" customWidth="1"/>
    <col min="8" max="8" width="4.875" style="10" customWidth="1"/>
    <col min="9" max="9" width="4.875" style="12" customWidth="1"/>
    <col min="10" max="10" width="11.875" style="10" customWidth="1"/>
    <col min="11" max="11" width="2.5" style="16" customWidth="1"/>
    <col min="12" max="12" width="4.5" style="13" bestFit="1" customWidth="1"/>
    <col min="13" max="13" width="24.5" style="14" customWidth="1"/>
    <col min="14" max="14" width="2.5" style="16" customWidth="1"/>
    <col min="15" max="15" width="5.5" style="13" bestFit="1" customWidth="1"/>
    <col min="16" max="16" width="2.5" style="12" customWidth="1"/>
    <col min="17" max="17" width="3.875" style="12" customWidth="1"/>
    <col min="18" max="18" width="5.125" style="13" customWidth="1"/>
    <col min="19" max="19" width="2.5" style="12" customWidth="1"/>
    <col min="20" max="20" width="3.875" style="12" customWidth="1"/>
    <col min="21" max="21" width="5" style="13" customWidth="1"/>
    <col min="22" max="22" width="9.875" style="12" customWidth="1"/>
    <col min="23" max="23" width="4.5" style="13" bestFit="1" customWidth="1"/>
    <col min="24" max="24" width="7.125" style="206" customWidth="1"/>
    <col min="25" max="25" width="8.5" style="16" customWidth="1"/>
    <col min="26" max="16384" width="8.875" style="12"/>
  </cols>
  <sheetData>
    <row r="1" spans="1:25" ht="17.100000000000001" customHeight="1" x14ac:dyDescent="0.15"/>
    <row r="2" spans="1:25" ht="17.100000000000001" customHeight="1" x14ac:dyDescent="0.15"/>
    <row r="3" spans="1:25" ht="17.100000000000001" customHeight="1" x14ac:dyDescent="0.15"/>
    <row r="4" spans="1:25" ht="17.100000000000001" customHeight="1" x14ac:dyDescent="0.15">
      <c r="B4" s="17" t="s">
        <v>9836</v>
      </c>
      <c r="E4" s="71"/>
    </row>
    <row r="5" spans="1:25" ht="16.5" customHeight="1" x14ac:dyDescent="0.15">
      <c r="A5" s="19" t="s">
        <v>384</v>
      </c>
      <c r="B5" s="20"/>
      <c r="C5" s="21" t="s">
        <v>385</v>
      </c>
      <c r="D5" s="23" t="s">
        <v>386</v>
      </c>
      <c r="E5" s="23"/>
      <c r="F5" s="23"/>
      <c r="G5" s="23"/>
      <c r="H5" s="23"/>
      <c r="I5" s="23"/>
      <c r="J5" s="23"/>
      <c r="K5" s="23"/>
      <c r="L5" s="23"/>
      <c r="M5" s="23"/>
      <c r="N5" s="23"/>
      <c r="O5" s="24"/>
      <c r="P5" s="23"/>
      <c r="Q5" s="23"/>
      <c r="R5" s="24"/>
      <c r="S5" s="23"/>
      <c r="T5" s="23"/>
      <c r="U5" s="24"/>
      <c r="V5" s="23"/>
      <c r="W5" s="24"/>
      <c r="X5" s="21" t="s">
        <v>387</v>
      </c>
      <c r="Y5" s="21" t="s">
        <v>388</v>
      </c>
    </row>
    <row r="6" spans="1:25" ht="16.5" customHeight="1" x14ac:dyDescent="0.15">
      <c r="A6" s="26" t="s">
        <v>389</v>
      </c>
      <c r="B6" s="26" t="s">
        <v>390</v>
      </c>
      <c r="C6" s="27"/>
      <c r="D6" s="726" t="s">
        <v>1032</v>
      </c>
      <c r="E6" s="731"/>
      <c r="F6" s="727"/>
      <c r="G6" s="726" t="s">
        <v>1033</v>
      </c>
      <c r="H6" s="731"/>
      <c r="I6" s="727"/>
      <c r="J6" s="29"/>
      <c r="K6" s="214"/>
      <c r="L6" s="30"/>
      <c r="M6" s="29"/>
      <c r="N6" s="214"/>
      <c r="O6" s="30"/>
      <c r="P6" s="29"/>
      <c r="Q6" s="29"/>
      <c r="R6" s="30"/>
      <c r="S6" s="29"/>
      <c r="T6" s="29"/>
      <c r="U6" s="30"/>
      <c r="V6" s="29"/>
      <c r="W6" s="30"/>
      <c r="X6" s="32" t="s">
        <v>391</v>
      </c>
      <c r="Y6" s="32" t="s">
        <v>392</v>
      </c>
    </row>
    <row r="7" spans="1:25" ht="16.5" customHeight="1" x14ac:dyDescent="0.15">
      <c r="A7" s="33">
        <v>11</v>
      </c>
      <c r="B7" s="33">
        <v>7911</v>
      </c>
      <c r="C7" s="34" t="s">
        <v>9837</v>
      </c>
      <c r="D7" s="736" t="s">
        <v>5541</v>
      </c>
      <c r="E7" s="704"/>
      <c r="F7" s="718"/>
      <c r="G7" s="709" t="s">
        <v>9838</v>
      </c>
      <c r="H7" s="704"/>
      <c r="I7" s="718"/>
      <c r="J7" s="72"/>
      <c r="M7" s="36"/>
      <c r="N7" s="246"/>
      <c r="O7" s="38"/>
      <c r="P7" s="789" t="s">
        <v>1416</v>
      </c>
      <c r="Q7" s="790"/>
      <c r="R7" s="791"/>
      <c r="S7" s="92" t="s">
        <v>1618</v>
      </c>
      <c r="U7" s="234"/>
      <c r="V7" s="35"/>
      <c r="X7" s="207">
        <f>ROUND((_11_A家事０．５*(1+_11・A夜間)),0)+ROUND((_11_B家事０．５＿０．２５*(1+_11・B深夜)),0)</f>
        <v>202</v>
      </c>
      <c r="Y7" s="40" t="s">
        <v>395</v>
      </c>
    </row>
    <row r="8" spans="1:25" ht="16.5" customHeight="1" x14ac:dyDescent="0.15">
      <c r="A8" s="41">
        <v>11</v>
      </c>
      <c r="B8" s="41">
        <v>7912</v>
      </c>
      <c r="C8" s="74" t="s">
        <v>9839</v>
      </c>
      <c r="D8" s="736"/>
      <c r="E8" s="704"/>
      <c r="F8" s="718"/>
      <c r="G8" s="709"/>
      <c r="H8" s="704"/>
      <c r="I8" s="718"/>
      <c r="J8" s="122"/>
      <c r="K8" s="216"/>
      <c r="L8" s="38"/>
      <c r="M8" s="44" t="s">
        <v>397</v>
      </c>
      <c r="N8" s="247" t="s">
        <v>398</v>
      </c>
      <c r="O8" s="46">
        <v>1</v>
      </c>
      <c r="P8" s="92" t="s">
        <v>398</v>
      </c>
      <c r="Q8" s="13">
        <v>0.25</v>
      </c>
      <c r="R8" s="792" t="s">
        <v>676</v>
      </c>
      <c r="S8" s="92" t="s">
        <v>398</v>
      </c>
      <c r="T8" s="13">
        <v>0.5</v>
      </c>
      <c r="U8" s="792" t="s">
        <v>676</v>
      </c>
      <c r="V8" s="35"/>
      <c r="X8" s="208">
        <f>ROUND((ROUND((_11_A家事０．５*_11・２人),0)*(1+_11・A夜間)),0)+ROUND((ROUND((_11_B家事０．５＿０．２５*_11・２人),0)*(1+_11・B深夜)),0)</f>
        <v>202</v>
      </c>
      <c r="Y8" s="48"/>
    </row>
    <row r="9" spans="1:25" ht="16.5" customHeight="1" x14ac:dyDescent="0.15">
      <c r="A9" s="41">
        <v>11</v>
      </c>
      <c r="B9" s="41">
        <v>7913</v>
      </c>
      <c r="C9" s="74" t="s">
        <v>9840</v>
      </c>
      <c r="D9" s="736"/>
      <c r="E9" s="704"/>
      <c r="F9" s="718"/>
      <c r="G9" s="709"/>
      <c r="H9" s="704"/>
      <c r="I9" s="718"/>
      <c r="J9" s="752" t="s">
        <v>400</v>
      </c>
      <c r="K9" s="221" t="s">
        <v>398</v>
      </c>
      <c r="L9" s="50">
        <v>0.9</v>
      </c>
      <c r="M9" s="44"/>
      <c r="N9" s="247"/>
      <c r="O9" s="46"/>
      <c r="P9" s="35"/>
      <c r="R9" s="792"/>
      <c r="S9" s="35"/>
      <c r="U9" s="792"/>
      <c r="V9" s="35"/>
      <c r="X9" s="208">
        <f>ROUND((ROUND((_11_A家事０．５*_11・基礎２),0)*(1+_11・A夜間)),0)+ROUND((ROUND((_11_B家事０．５＿０．２５*_11・基礎２),0)*(1+_11・B深夜)),0)</f>
        <v>182</v>
      </c>
      <c r="Y9" s="48"/>
    </row>
    <row r="10" spans="1:25" ht="16.5" customHeight="1" x14ac:dyDescent="0.15">
      <c r="A10" s="41">
        <v>11</v>
      </c>
      <c r="B10" s="41">
        <v>7914</v>
      </c>
      <c r="C10" s="74" t="s">
        <v>9841</v>
      </c>
      <c r="D10" s="35"/>
      <c r="E10" s="168">
        <f>_11_A家事０．５</f>
        <v>105</v>
      </c>
      <c r="F10" s="171" t="s">
        <v>392</v>
      </c>
      <c r="G10" s="178"/>
      <c r="H10" s="170">
        <f>_11_B家事０．５＿０．２５</f>
        <v>47</v>
      </c>
      <c r="I10" s="12" t="s">
        <v>392</v>
      </c>
      <c r="J10" s="757"/>
      <c r="K10" s="216"/>
      <c r="L10" s="38"/>
      <c r="M10" s="44" t="s">
        <v>397</v>
      </c>
      <c r="N10" s="247" t="s">
        <v>398</v>
      </c>
      <c r="O10" s="46">
        <v>1</v>
      </c>
      <c r="P10" s="35"/>
      <c r="R10" s="234"/>
      <c r="S10" s="35"/>
      <c r="U10" s="234"/>
      <c r="V10" s="35"/>
      <c r="X10" s="208">
        <f>ROUND((ROUND((ROUND((_11_A家事０．５*_11・基礎２),0)*_11・２人),0)*(1+_11・A夜間)),0)+ROUND((ROUND((ROUND((_11_B家事０．５＿０．２５*_11・基礎２),0)*_11・２人),0)*(1+_11・B深夜)),0)</f>
        <v>182</v>
      </c>
      <c r="Y10" s="48"/>
    </row>
    <row r="11" spans="1:25" ht="16.5" customHeight="1" x14ac:dyDescent="0.15">
      <c r="A11" s="41">
        <v>11</v>
      </c>
      <c r="B11" s="41" t="s">
        <v>9842</v>
      </c>
      <c r="C11" s="74" t="s">
        <v>9843</v>
      </c>
      <c r="D11" s="35"/>
      <c r="F11" s="171"/>
      <c r="G11" s="178"/>
      <c r="J11" s="114"/>
      <c r="K11" s="221"/>
      <c r="L11" s="50"/>
      <c r="M11" s="44"/>
      <c r="N11" s="247"/>
      <c r="O11" s="46"/>
      <c r="P11" s="35"/>
      <c r="S11" s="35"/>
      <c r="V11" s="707" t="s">
        <v>404</v>
      </c>
      <c r="W11" s="708"/>
      <c r="X11" s="208">
        <f>ROUND((ROUND((_11_A家事０．５*(1+_11・A夜間)),0)*_11・初任),0)+ROUND((ROUND((_11_B家事０．５＿０．２５*(1+_11・B深夜)),0)*_11・初任),0)</f>
        <v>142</v>
      </c>
      <c r="Y11" s="48"/>
    </row>
    <row r="12" spans="1:25" ht="16.5" customHeight="1" x14ac:dyDescent="0.15">
      <c r="A12" s="41">
        <v>11</v>
      </c>
      <c r="B12" s="41" t="s">
        <v>9844</v>
      </c>
      <c r="C12" s="74" t="s">
        <v>9845</v>
      </c>
      <c r="D12" s="35"/>
      <c r="F12" s="171"/>
      <c r="G12" s="178"/>
      <c r="J12" s="122"/>
      <c r="K12" s="216"/>
      <c r="L12" s="38"/>
      <c r="M12" s="44" t="s">
        <v>397</v>
      </c>
      <c r="N12" s="247" t="s">
        <v>398</v>
      </c>
      <c r="O12" s="46">
        <v>1</v>
      </c>
      <c r="P12" s="35"/>
      <c r="S12" s="35"/>
      <c r="V12" s="709"/>
      <c r="W12" s="704"/>
      <c r="X12" s="208">
        <f>ROUND((ROUND((ROUND((_11_A家事０．５*_11・２人),0)*(1+_11・A夜間)),0)*_11・初任),0)+ROUND((ROUND((ROUND((_11_B家事０．５＿０．２５*_11・２人),0)*(1+_11・B深夜)),0)*_11・初任),0)</f>
        <v>142</v>
      </c>
      <c r="Y12" s="48"/>
    </row>
    <row r="13" spans="1:25" ht="16.5" customHeight="1" x14ac:dyDescent="0.15">
      <c r="A13" s="41">
        <v>11</v>
      </c>
      <c r="B13" s="41" t="s">
        <v>9846</v>
      </c>
      <c r="C13" s="74" t="s">
        <v>9847</v>
      </c>
      <c r="D13" s="35"/>
      <c r="F13" s="171"/>
      <c r="G13" s="178"/>
      <c r="J13" s="752" t="s">
        <v>400</v>
      </c>
      <c r="K13" s="221" t="s">
        <v>398</v>
      </c>
      <c r="L13" s="50">
        <v>0.9</v>
      </c>
      <c r="M13" s="44"/>
      <c r="N13" s="247"/>
      <c r="O13" s="46"/>
      <c r="P13" s="35"/>
      <c r="S13" s="35"/>
      <c r="V13" s="709"/>
      <c r="W13" s="704"/>
      <c r="X13" s="208">
        <f>ROUND((ROUND((ROUND((_11_A家事０．５*_11・基礎２),0)*(1+_11・A夜間)),0)*_11・初任),0)+ROUND((ROUND((ROUND((_11_B家事０．５＿０．２５*_11・基礎２),0)*(1+_11・B深夜)),0)*_11・初任),0)</f>
        <v>127</v>
      </c>
      <c r="Y13" s="48"/>
    </row>
    <row r="14" spans="1:25" ht="16.5" customHeight="1" x14ac:dyDescent="0.15">
      <c r="A14" s="41">
        <v>11</v>
      </c>
      <c r="B14" s="41" t="s">
        <v>9848</v>
      </c>
      <c r="C14" s="74" t="s">
        <v>9849</v>
      </c>
      <c r="D14" s="35"/>
      <c r="F14" s="171"/>
      <c r="G14" s="178"/>
      <c r="J14" s="757"/>
      <c r="K14" s="216"/>
      <c r="L14" s="38"/>
      <c r="M14" s="44" t="s">
        <v>397</v>
      </c>
      <c r="N14" s="247" t="s">
        <v>398</v>
      </c>
      <c r="O14" s="46">
        <v>1</v>
      </c>
      <c r="P14" s="35"/>
      <c r="S14" s="35"/>
      <c r="V14" s="240" t="s">
        <v>398</v>
      </c>
      <c r="W14" s="38">
        <f>_11・初任</f>
        <v>0.7</v>
      </c>
      <c r="X14" s="208">
        <f>ROUND((ROUND((ROUND((ROUND((_11_A家事０．５*_11・基礎２),0)*_11・２人),0)*(1+_11・A夜間)),0)*_11・初任),0)+ROUND((ROUND((ROUND((ROUND((_11_B家事０．５＿０．２５*_11・基礎２),0)*_11・２人),0)*(1+_11・B深夜)),0)*_11・初任),0)</f>
        <v>127</v>
      </c>
      <c r="Y14" s="48"/>
    </row>
    <row r="15" spans="1:25" ht="16.5" customHeight="1" x14ac:dyDescent="0.15">
      <c r="A15" s="41">
        <v>11</v>
      </c>
      <c r="B15" s="41">
        <v>6339</v>
      </c>
      <c r="C15" s="74" t="s">
        <v>9850</v>
      </c>
      <c r="D15" s="35"/>
      <c r="F15" s="171"/>
      <c r="G15" s="735" t="s">
        <v>9851</v>
      </c>
      <c r="H15" s="708"/>
      <c r="I15" s="717"/>
      <c r="J15" s="114"/>
      <c r="K15" s="221"/>
      <c r="L15" s="50"/>
      <c r="M15" s="44"/>
      <c r="N15" s="247"/>
      <c r="O15" s="46"/>
      <c r="P15" s="35"/>
      <c r="S15" s="35"/>
      <c r="V15" s="53"/>
      <c r="W15" s="50"/>
      <c r="X15" s="208">
        <f>ROUND((_11_A家事０．５*(1+_11・A夜間)),0)+ROUND((_11_B家事０．５＿０．５*(1+_11・B深夜)),0)</f>
        <v>268</v>
      </c>
      <c r="Y15" s="48"/>
    </row>
    <row r="16" spans="1:25" ht="16.5" customHeight="1" x14ac:dyDescent="0.15">
      <c r="A16" s="41">
        <v>11</v>
      </c>
      <c r="B16" s="41">
        <v>6340</v>
      </c>
      <c r="C16" s="74" t="s">
        <v>9852</v>
      </c>
      <c r="D16" s="35"/>
      <c r="F16" s="171"/>
      <c r="G16" s="736"/>
      <c r="H16" s="704"/>
      <c r="I16" s="718"/>
      <c r="J16" s="122"/>
      <c r="K16" s="216"/>
      <c r="L16" s="38"/>
      <c r="M16" s="44" t="s">
        <v>397</v>
      </c>
      <c r="N16" s="247" t="s">
        <v>398</v>
      </c>
      <c r="O16" s="46">
        <v>1</v>
      </c>
      <c r="P16" s="35"/>
      <c r="S16" s="35"/>
      <c r="V16" s="35"/>
      <c r="X16" s="208">
        <f>ROUND((ROUND((_11_A家事０．５*_11・２人),0)*(1+_11・A夜間)),0)+ROUND((ROUND((_11_B家事０．５＿０．５*_11・２人),0)*(1+_11・B深夜)),0)</f>
        <v>268</v>
      </c>
      <c r="Y16" s="48"/>
    </row>
    <row r="17" spans="1:25" ht="16.5" customHeight="1" x14ac:dyDescent="0.15">
      <c r="A17" s="41">
        <v>11</v>
      </c>
      <c r="B17" s="41">
        <v>6341</v>
      </c>
      <c r="C17" s="74" t="s">
        <v>9853</v>
      </c>
      <c r="D17" s="35"/>
      <c r="F17" s="171"/>
      <c r="G17" s="736"/>
      <c r="H17" s="704"/>
      <c r="I17" s="718"/>
      <c r="J17" s="752" t="s">
        <v>400</v>
      </c>
      <c r="K17" s="221" t="s">
        <v>398</v>
      </c>
      <c r="L17" s="50">
        <v>0.9</v>
      </c>
      <c r="M17" s="44"/>
      <c r="N17" s="247"/>
      <c r="O17" s="46"/>
      <c r="P17" s="35"/>
      <c r="S17" s="35"/>
      <c r="V17" s="35"/>
      <c r="X17" s="208">
        <f>ROUND((ROUND((_11_A家事０．５*_11・基礎２),0)*(1+_11・A夜間)),0)+ROUND((ROUND((_11_B家事０．５＿０．５*_11・基礎２),0)*(1+_11・B深夜)),0)</f>
        <v>242</v>
      </c>
      <c r="Y17" s="48"/>
    </row>
    <row r="18" spans="1:25" ht="16.5" customHeight="1" x14ac:dyDescent="0.15">
      <c r="A18" s="41">
        <v>11</v>
      </c>
      <c r="B18" s="41">
        <v>6342</v>
      </c>
      <c r="C18" s="74" t="s">
        <v>9854</v>
      </c>
      <c r="D18" s="35"/>
      <c r="F18" s="171"/>
      <c r="G18" s="178"/>
      <c r="H18" s="170">
        <f>_11_B家事０．５＿０．５</f>
        <v>91</v>
      </c>
      <c r="I18" s="12" t="s">
        <v>392</v>
      </c>
      <c r="J18" s="757"/>
      <c r="K18" s="216"/>
      <c r="L18" s="38"/>
      <c r="M18" s="44" t="s">
        <v>397</v>
      </c>
      <c r="N18" s="247" t="s">
        <v>398</v>
      </c>
      <c r="O18" s="46">
        <v>1</v>
      </c>
      <c r="P18" s="35"/>
      <c r="S18" s="35"/>
      <c r="V18" s="43"/>
      <c r="W18" s="38"/>
      <c r="X18" s="208">
        <f>ROUND((ROUND((ROUND((_11_A家事０．５*_11・基礎２),0)*_11・２人),0)*(1+_11・A夜間)),0)+ROUND((ROUND((ROUND((_11_B家事０．５＿０．５*_11・基礎２),0)*_11・２人),0)*(1+_11・B深夜)),0)</f>
        <v>242</v>
      </c>
      <c r="Y18" s="48"/>
    </row>
    <row r="19" spans="1:25" ht="16.5" customHeight="1" x14ac:dyDescent="0.15">
      <c r="A19" s="41">
        <v>11</v>
      </c>
      <c r="B19" s="41" t="s">
        <v>9855</v>
      </c>
      <c r="C19" s="74" t="s">
        <v>9856</v>
      </c>
      <c r="D19" s="35"/>
      <c r="F19" s="171"/>
      <c r="G19" s="178"/>
      <c r="J19" s="114"/>
      <c r="K19" s="221"/>
      <c r="L19" s="50"/>
      <c r="M19" s="44"/>
      <c r="N19" s="247"/>
      <c r="O19" s="46"/>
      <c r="P19" s="35"/>
      <c r="S19" s="35"/>
      <c r="V19" s="707" t="s">
        <v>404</v>
      </c>
      <c r="W19" s="708"/>
      <c r="X19" s="208">
        <f>ROUND((ROUND((_11_A家事０．５*(1+_11・A夜間)),0)*_11・初任),0)+ROUND((ROUND((_11_B家事０．５＿０．５*(1+_11・B深夜)),0)*_11・初任),0)</f>
        <v>188</v>
      </c>
      <c r="Y19" s="48"/>
    </row>
    <row r="20" spans="1:25" ht="16.5" customHeight="1" x14ac:dyDescent="0.15">
      <c r="A20" s="41">
        <v>11</v>
      </c>
      <c r="B20" s="41" t="s">
        <v>9857</v>
      </c>
      <c r="C20" s="74" t="s">
        <v>9858</v>
      </c>
      <c r="D20" s="35"/>
      <c r="F20" s="171"/>
      <c r="G20" s="178"/>
      <c r="J20" s="122"/>
      <c r="K20" s="216"/>
      <c r="L20" s="38"/>
      <c r="M20" s="44" t="s">
        <v>397</v>
      </c>
      <c r="N20" s="247" t="s">
        <v>398</v>
      </c>
      <c r="O20" s="46">
        <v>1</v>
      </c>
      <c r="P20" s="35"/>
      <c r="S20" s="35"/>
      <c r="V20" s="709"/>
      <c r="W20" s="704"/>
      <c r="X20" s="208">
        <f>ROUND((ROUND((ROUND((_11_A家事０．５*_11・２人),0)*(1+_11・A夜間)),0)*_11・初任),0)+ROUND((ROUND((ROUND((_11_B家事０．５＿０．５*_11・２人),0)*(1+_11・B深夜)),0)*_11・初任),0)</f>
        <v>188</v>
      </c>
      <c r="Y20" s="48"/>
    </row>
    <row r="21" spans="1:25" ht="16.5" customHeight="1" x14ac:dyDescent="0.15">
      <c r="A21" s="41">
        <v>11</v>
      </c>
      <c r="B21" s="41" t="s">
        <v>9859</v>
      </c>
      <c r="C21" s="74" t="s">
        <v>9860</v>
      </c>
      <c r="D21" s="35"/>
      <c r="F21" s="171"/>
      <c r="G21" s="178"/>
      <c r="J21" s="752" t="s">
        <v>400</v>
      </c>
      <c r="K21" s="221" t="s">
        <v>398</v>
      </c>
      <c r="L21" s="50">
        <v>0.9</v>
      </c>
      <c r="M21" s="44"/>
      <c r="N21" s="247"/>
      <c r="O21" s="46"/>
      <c r="P21" s="35"/>
      <c r="S21" s="35"/>
      <c r="V21" s="709"/>
      <c r="W21" s="704"/>
      <c r="X21" s="208">
        <f>ROUND((ROUND((ROUND((_11_A家事０．５*_11・基礎２),0)*(1+_11・A夜間)),0)*_11・初任),0)+ROUND((ROUND((ROUND((_11_B家事０．５＿０．５*_11・基礎２),0)*(1+_11・B深夜)),0)*_11・初任),0)</f>
        <v>169</v>
      </c>
      <c r="Y21" s="48"/>
    </row>
    <row r="22" spans="1:25" ht="16.5" customHeight="1" x14ac:dyDescent="0.15">
      <c r="A22" s="41">
        <v>11</v>
      </c>
      <c r="B22" s="41" t="s">
        <v>9861</v>
      </c>
      <c r="C22" s="74" t="s">
        <v>9862</v>
      </c>
      <c r="D22" s="35"/>
      <c r="F22" s="171"/>
      <c r="G22" s="178"/>
      <c r="J22" s="757"/>
      <c r="K22" s="216"/>
      <c r="L22" s="38"/>
      <c r="M22" s="44" t="s">
        <v>397</v>
      </c>
      <c r="N22" s="247" t="s">
        <v>398</v>
      </c>
      <c r="O22" s="46">
        <v>1</v>
      </c>
      <c r="P22" s="35"/>
      <c r="S22" s="35"/>
      <c r="V22" s="240" t="s">
        <v>398</v>
      </c>
      <c r="W22" s="38">
        <f>_11・初任</f>
        <v>0.7</v>
      </c>
      <c r="X22" s="208">
        <f>ROUND((ROUND((ROUND((ROUND((_11_A家事０．５*_11・基礎２),0)*_11・２人),0)*(1+_11・A夜間)),0)*_11・初任),0)+ROUND((ROUND((ROUND((ROUND((_11_B家事０．５＿０．５*_11・基礎２),0)*_11・２人),0)*(1+_11・B深夜)),0)*_11・初任),0)</f>
        <v>169</v>
      </c>
      <c r="Y22" s="48"/>
    </row>
    <row r="23" spans="1:25" ht="16.5" customHeight="1" x14ac:dyDescent="0.15">
      <c r="A23" s="41">
        <v>11</v>
      </c>
      <c r="B23" s="41">
        <v>7915</v>
      </c>
      <c r="C23" s="74" t="s">
        <v>9863</v>
      </c>
      <c r="D23" s="35"/>
      <c r="F23" s="171"/>
      <c r="G23" s="735" t="s">
        <v>9864</v>
      </c>
      <c r="H23" s="708"/>
      <c r="I23" s="717"/>
      <c r="J23" s="114"/>
      <c r="K23" s="221"/>
      <c r="L23" s="50"/>
      <c r="M23" s="44"/>
      <c r="N23" s="247"/>
      <c r="O23" s="46"/>
      <c r="P23" s="35"/>
      <c r="S23" s="35"/>
      <c r="V23" s="53"/>
      <c r="W23" s="50"/>
      <c r="X23" s="208">
        <f>ROUND((_11_A家事０．５*(1+_11・A夜間)),0)+ROUND((_11_B家事０．５＿０．７５*(1+_11・B深夜)),0)</f>
        <v>331</v>
      </c>
      <c r="Y23" s="48"/>
    </row>
    <row r="24" spans="1:25" ht="16.5" customHeight="1" x14ac:dyDescent="0.15">
      <c r="A24" s="41">
        <v>11</v>
      </c>
      <c r="B24" s="41">
        <v>7916</v>
      </c>
      <c r="C24" s="74" t="s">
        <v>9865</v>
      </c>
      <c r="D24" s="35"/>
      <c r="F24" s="171"/>
      <c r="G24" s="736"/>
      <c r="H24" s="704"/>
      <c r="I24" s="718"/>
      <c r="J24" s="122"/>
      <c r="K24" s="216"/>
      <c r="L24" s="38"/>
      <c r="M24" s="44" t="s">
        <v>397</v>
      </c>
      <c r="N24" s="247" t="s">
        <v>398</v>
      </c>
      <c r="O24" s="46">
        <v>1</v>
      </c>
      <c r="P24" s="35"/>
      <c r="S24" s="35"/>
      <c r="V24" s="35"/>
      <c r="X24" s="208">
        <f>ROUND((ROUND((_11_A家事０．５*_11・２人),0)*(1+_11・A夜間)),0)+ROUND((ROUND((_11_B家事０．５＿０．７５*_11・２人),0)*(1+_11・B深夜)),0)</f>
        <v>331</v>
      </c>
      <c r="Y24" s="48"/>
    </row>
    <row r="25" spans="1:25" ht="16.5" customHeight="1" x14ac:dyDescent="0.15">
      <c r="A25" s="41">
        <v>11</v>
      </c>
      <c r="B25" s="41">
        <v>7917</v>
      </c>
      <c r="C25" s="74" t="s">
        <v>9866</v>
      </c>
      <c r="D25" s="35"/>
      <c r="F25" s="171"/>
      <c r="G25" s="736"/>
      <c r="H25" s="704"/>
      <c r="I25" s="718"/>
      <c r="J25" s="752" t="s">
        <v>400</v>
      </c>
      <c r="K25" s="221" t="s">
        <v>398</v>
      </c>
      <c r="L25" s="50">
        <v>0.9</v>
      </c>
      <c r="M25" s="44"/>
      <c r="N25" s="247"/>
      <c r="O25" s="46"/>
      <c r="P25" s="35"/>
      <c r="S25" s="35"/>
      <c r="V25" s="35"/>
      <c r="X25" s="208">
        <f>ROUND((ROUND((_11_A家事０．５*_11・基礎２),0)*(1+_11・A夜間)),0)+ROUND((ROUND((_11_B家事０．５＿０．７５*_11・基礎２),0)*(1+_11・B深夜)),0)</f>
        <v>299</v>
      </c>
      <c r="Y25" s="48"/>
    </row>
    <row r="26" spans="1:25" ht="16.5" customHeight="1" x14ac:dyDescent="0.15">
      <c r="A26" s="41">
        <v>11</v>
      </c>
      <c r="B26" s="41">
        <v>7918</v>
      </c>
      <c r="C26" s="74" t="s">
        <v>9867</v>
      </c>
      <c r="D26" s="35"/>
      <c r="F26" s="171"/>
      <c r="G26" s="178"/>
      <c r="H26" s="170">
        <f>_11_B家事０．５＿０．７５</f>
        <v>133</v>
      </c>
      <c r="I26" s="12" t="s">
        <v>392</v>
      </c>
      <c r="J26" s="757"/>
      <c r="K26" s="216"/>
      <c r="L26" s="38"/>
      <c r="M26" s="44" t="s">
        <v>397</v>
      </c>
      <c r="N26" s="247" t="s">
        <v>398</v>
      </c>
      <c r="O26" s="46">
        <v>1</v>
      </c>
      <c r="P26" s="35"/>
      <c r="S26" s="35"/>
      <c r="V26" s="43"/>
      <c r="W26" s="38"/>
      <c r="X26" s="208">
        <f>ROUND((ROUND((ROUND((_11_A家事０．５*_11・基礎２),0)*_11・２人),0)*(1+_11・A夜間)),0)+ROUND((ROUND((ROUND((_11_B家事０．５＿０．７５*_11・基礎２),0)*_11・２人),0)*(1+_11・B深夜)),0)</f>
        <v>299</v>
      </c>
      <c r="Y26" s="48"/>
    </row>
    <row r="27" spans="1:25" ht="16.5" customHeight="1" x14ac:dyDescent="0.15">
      <c r="A27" s="41">
        <v>11</v>
      </c>
      <c r="B27" s="41" t="s">
        <v>9868</v>
      </c>
      <c r="C27" s="74" t="s">
        <v>9869</v>
      </c>
      <c r="D27" s="35"/>
      <c r="F27" s="171"/>
      <c r="G27" s="178"/>
      <c r="J27" s="114"/>
      <c r="K27" s="221"/>
      <c r="L27" s="50"/>
      <c r="M27" s="44"/>
      <c r="N27" s="247"/>
      <c r="O27" s="46"/>
      <c r="P27" s="35"/>
      <c r="S27" s="35"/>
      <c r="V27" s="707" t="s">
        <v>404</v>
      </c>
      <c r="W27" s="708"/>
      <c r="X27" s="208">
        <f>ROUND((ROUND((_11_A家事０．５*(1+_11・A夜間)),0)*_11・初任),0)+ROUND((ROUND((_11_B家事０．５＿０．７５*(1+_11・B深夜)),0)*_11・初任),0)</f>
        <v>232</v>
      </c>
      <c r="Y27" s="48"/>
    </row>
    <row r="28" spans="1:25" ht="16.5" customHeight="1" x14ac:dyDescent="0.15">
      <c r="A28" s="41">
        <v>11</v>
      </c>
      <c r="B28" s="41" t="s">
        <v>9870</v>
      </c>
      <c r="C28" s="74" t="s">
        <v>9871</v>
      </c>
      <c r="D28" s="35"/>
      <c r="F28" s="171"/>
      <c r="G28" s="178"/>
      <c r="J28" s="122"/>
      <c r="K28" s="216"/>
      <c r="L28" s="38"/>
      <c r="M28" s="44" t="s">
        <v>397</v>
      </c>
      <c r="N28" s="247" t="s">
        <v>398</v>
      </c>
      <c r="O28" s="46">
        <v>1</v>
      </c>
      <c r="P28" s="35"/>
      <c r="S28" s="35"/>
      <c r="V28" s="709"/>
      <c r="W28" s="704"/>
      <c r="X28" s="208">
        <f>ROUND((ROUND((ROUND((_11_A家事０．５*_11・２人),0)*(1+_11・A夜間)),0)*_11・初任),0)+ROUND((ROUND((ROUND((_11_B家事０．５＿０．７５*_11・２人),0)*(1+_11・B深夜)),0)*_11・初任),0)</f>
        <v>232</v>
      </c>
      <c r="Y28" s="48"/>
    </row>
    <row r="29" spans="1:25" ht="16.5" customHeight="1" x14ac:dyDescent="0.15">
      <c r="A29" s="41">
        <v>11</v>
      </c>
      <c r="B29" s="41" t="s">
        <v>9872</v>
      </c>
      <c r="C29" s="74" t="s">
        <v>9873</v>
      </c>
      <c r="D29" s="35"/>
      <c r="F29" s="171"/>
      <c r="G29" s="178"/>
      <c r="J29" s="752" t="s">
        <v>400</v>
      </c>
      <c r="K29" s="221" t="s">
        <v>398</v>
      </c>
      <c r="L29" s="50">
        <v>0.9</v>
      </c>
      <c r="M29" s="44"/>
      <c r="N29" s="247"/>
      <c r="O29" s="46"/>
      <c r="P29" s="35"/>
      <c r="S29" s="35"/>
      <c r="V29" s="709"/>
      <c r="W29" s="704"/>
      <c r="X29" s="208">
        <f>ROUND((ROUND((ROUND((_11_A家事０．５*_11・基礎２),0)*(1+_11・A夜間)),0)*_11・初任),0)+ROUND((ROUND((ROUND((_11_B家事０．５＿０．７５*_11・基礎２),0)*(1+_11・B深夜)),0)*_11・初任),0)</f>
        <v>209</v>
      </c>
      <c r="Y29" s="48"/>
    </row>
    <row r="30" spans="1:25" ht="16.5" customHeight="1" x14ac:dyDescent="0.15">
      <c r="A30" s="41">
        <v>11</v>
      </c>
      <c r="B30" s="41" t="s">
        <v>9874</v>
      </c>
      <c r="C30" s="74" t="s">
        <v>9875</v>
      </c>
      <c r="D30" s="35"/>
      <c r="F30" s="171"/>
      <c r="G30" s="178"/>
      <c r="J30" s="757"/>
      <c r="K30" s="216"/>
      <c r="L30" s="38"/>
      <c r="M30" s="44" t="s">
        <v>397</v>
      </c>
      <c r="N30" s="247" t="s">
        <v>398</v>
      </c>
      <c r="O30" s="46">
        <v>1</v>
      </c>
      <c r="P30" s="35"/>
      <c r="S30" s="35"/>
      <c r="V30" s="240" t="s">
        <v>398</v>
      </c>
      <c r="W30" s="38">
        <f>_11・初任</f>
        <v>0.7</v>
      </c>
      <c r="X30" s="208">
        <f>ROUND((ROUND((ROUND((ROUND((_11_A家事０．５*_11・基礎２),0)*_11・２人),0)*(1+_11・A夜間)),0)*_11・初任),0)+ROUND((ROUND((ROUND((ROUND((_11_B家事０．５＿０．７５*_11・基礎２),0)*_11・２人),0)*(1+_11・B深夜)),0)*_11・初任),0)</f>
        <v>209</v>
      </c>
      <c r="Y30" s="48"/>
    </row>
    <row r="31" spans="1:25" ht="16.5" customHeight="1" x14ac:dyDescent="0.15">
      <c r="A31" s="41">
        <v>11</v>
      </c>
      <c r="B31" s="41">
        <v>6343</v>
      </c>
      <c r="C31" s="74" t="s">
        <v>9876</v>
      </c>
      <c r="D31" s="132"/>
      <c r="E31" s="172"/>
      <c r="F31" s="106"/>
      <c r="G31" s="708" t="s">
        <v>9877</v>
      </c>
      <c r="H31" s="708"/>
      <c r="I31" s="717"/>
      <c r="J31" s="114"/>
      <c r="K31" s="221"/>
      <c r="L31" s="50"/>
      <c r="M31" s="44"/>
      <c r="N31" s="247"/>
      <c r="O31" s="46"/>
      <c r="P31" s="35"/>
      <c r="S31" s="35"/>
      <c r="V31" s="53"/>
      <c r="W31" s="50"/>
      <c r="X31" s="208">
        <f>ROUND((_11_A家事０．５*(1+_11・A夜間)),0)+ROUND((_11_B家事０．５＿１．０*(1+_11・B深夜)),0)</f>
        <v>385</v>
      </c>
      <c r="Y31" s="48"/>
    </row>
    <row r="32" spans="1:25" ht="16.5" customHeight="1" x14ac:dyDescent="0.15">
      <c r="A32" s="41">
        <v>11</v>
      </c>
      <c r="B32" s="41">
        <v>6344</v>
      </c>
      <c r="C32" s="74" t="s">
        <v>9878</v>
      </c>
      <c r="D32" s="132"/>
      <c r="E32" s="172"/>
      <c r="F32" s="106"/>
      <c r="G32" s="704"/>
      <c r="H32" s="704"/>
      <c r="I32" s="718"/>
      <c r="J32" s="122"/>
      <c r="K32" s="216"/>
      <c r="L32" s="38"/>
      <c r="M32" s="44" t="s">
        <v>397</v>
      </c>
      <c r="N32" s="247" t="s">
        <v>398</v>
      </c>
      <c r="O32" s="46">
        <v>1</v>
      </c>
      <c r="P32" s="35"/>
      <c r="S32" s="35"/>
      <c r="V32" s="35"/>
      <c r="X32" s="208">
        <f>ROUND((ROUND((_11_A家事０．５*_11・２人),0)*(1+_11・A夜間)),0)+ROUND((ROUND((_11_B家事０．５＿１．０*_11・２人),0)*(1+_11・B深夜)),0)</f>
        <v>385</v>
      </c>
      <c r="Y32" s="48"/>
    </row>
    <row r="33" spans="1:25" ht="16.5" customHeight="1" x14ac:dyDescent="0.15">
      <c r="A33" s="41">
        <v>11</v>
      </c>
      <c r="B33" s="41">
        <v>6345</v>
      </c>
      <c r="C33" s="74" t="s">
        <v>9879</v>
      </c>
      <c r="D33" s="132"/>
      <c r="E33" s="172"/>
      <c r="F33" s="106"/>
      <c r="G33" s="704"/>
      <c r="H33" s="704"/>
      <c r="I33" s="718"/>
      <c r="J33" s="752" t="s">
        <v>400</v>
      </c>
      <c r="K33" s="221" t="s">
        <v>398</v>
      </c>
      <c r="L33" s="50">
        <v>0.9</v>
      </c>
      <c r="M33" s="44"/>
      <c r="N33" s="247"/>
      <c r="O33" s="46"/>
      <c r="P33" s="35"/>
      <c r="S33" s="35"/>
      <c r="V33" s="35"/>
      <c r="X33" s="208">
        <f>ROUND((ROUND((_11_A家事０．５*_11・基礎２),0)*(1+_11・A夜間)),0)+ROUND((ROUND((_11_B家事０．５＿１．０*_11・基礎２),0)*(1+_11・B深夜)),0)</f>
        <v>347</v>
      </c>
      <c r="Y33" s="48"/>
    </row>
    <row r="34" spans="1:25" ht="16.5" customHeight="1" x14ac:dyDescent="0.15">
      <c r="A34" s="41">
        <v>11</v>
      </c>
      <c r="B34" s="41">
        <v>6346</v>
      </c>
      <c r="C34" s="74" t="s">
        <v>9880</v>
      </c>
      <c r="D34" s="35"/>
      <c r="E34" s="168"/>
      <c r="F34" s="57"/>
      <c r="H34" s="170">
        <f>_11_B家事０．５＿１．０</f>
        <v>169</v>
      </c>
      <c r="I34" s="12" t="s">
        <v>392</v>
      </c>
      <c r="J34" s="757"/>
      <c r="K34" s="216"/>
      <c r="L34" s="38"/>
      <c r="M34" s="44" t="s">
        <v>397</v>
      </c>
      <c r="N34" s="247" t="s">
        <v>398</v>
      </c>
      <c r="O34" s="46">
        <v>1</v>
      </c>
      <c r="P34" s="35"/>
      <c r="S34" s="35"/>
      <c r="V34" s="43"/>
      <c r="W34" s="38"/>
      <c r="X34" s="208">
        <f>ROUND((ROUND((ROUND((_11_A家事０．５*_11・基礎２),0)*_11・２人),0)*(1+_11・A夜間)),0)+ROUND((ROUND((ROUND((_11_B家事０．５＿１．０*_11・基礎２),0)*_11・２人),0)*(1+_11・B深夜)),0)</f>
        <v>347</v>
      </c>
      <c r="Y34" s="48"/>
    </row>
    <row r="35" spans="1:25" ht="16.5" customHeight="1" x14ac:dyDescent="0.15">
      <c r="A35" s="41">
        <v>11</v>
      </c>
      <c r="B35" s="41" t="s">
        <v>9881</v>
      </c>
      <c r="C35" s="74" t="s">
        <v>9882</v>
      </c>
      <c r="D35" s="35"/>
      <c r="F35" s="171"/>
      <c r="G35" s="178"/>
      <c r="J35" s="114"/>
      <c r="K35" s="221"/>
      <c r="L35" s="50"/>
      <c r="M35" s="44"/>
      <c r="N35" s="247"/>
      <c r="O35" s="46"/>
      <c r="P35" s="35"/>
      <c r="S35" s="35"/>
      <c r="V35" s="707" t="s">
        <v>404</v>
      </c>
      <c r="W35" s="708"/>
      <c r="X35" s="208">
        <f>ROUND((ROUND((_11_A家事０．５*(1+_11・A夜間)),0)*_11・初任),0)+ROUND((ROUND((_11_B家事０．５＿１．０*(1+_11・B深夜)),0)*_11・初任),0)</f>
        <v>270</v>
      </c>
      <c r="Y35" s="48"/>
    </row>
    <row r="36" spans="1:25" ht="16.5" customHeight="1" x14ac:dyDescent="0.15">
      <c r="A36" s="41">
        <v>11</v>
      </c>
      <c r="B36" s="41" t="s">
        <v>9883</v>
      </c>
      <c r="C36" s="74" t="s">
        <v>9884</v>
      </c>
      <c r="D36" s="35"/>
      <c r="F36" s="171"/>
      <c r="G36" s="178"/>
      <c r="J36" s="122"/>
      <c r="K36" s="216"/>
      <c r="L36" s="38"/>
      <c r="M36" s="44" t="s">
        <v>397</v>
      </c>
      <c r="N36" s="247" t="s">
        <v>398</v>
      </c>
      <c r="O36" s="46">
        <v>1</v>
      </c>
      <c r="P36" s="35"/>
      <c r="S36" s="35"/>
      <c r="V36" s="709"/>
      <c r="W36" s="704"/>
      <c r="X36" s="208">
        <f>ROUND((ROUND((ROUND((_11_A家事０．５*_11・２人),0)*(1+_11・A夜間)),0)*_11・初任),0)+ROUND((ROUND((ROUND((_11_B家事０．５＿１．０*_11・２人),0)*(1+_11・B深夜)),0)*_11・初任),0)</f>
        <v>270</v>
      </c>
      <c r="Y36" s="48"/>
    </row>
    <row r="37" spans="1:25" ht="16.5" customHeight="1" x14ac:dyDescent="0.15">
      <c r="A37" s="41">
        <v>11</v>
      </c>
      <c r="B37" s="41" t="s">
        <v>9885</v>
      </c>
      <c r="C37" s="74" t="s">
        <v>9886</v>
      </c>
      <c r="D37" s="35"/>
      <c r="F37" s="171"/>
      <c r="G37" s="178"/>
      <c r="J37" s="752" t="s">
        <v>400</v>
      </c>
      <c r="K37" s="221" t="s">
        <v>398</v>
      </c>
      <c r="L37" s="50">
        <v>0.9</v>
      </c>
      <c r="M37" s="44"/>
      <c r="N37" s="247"/>
      <c r="O37" s="46"/>
      <c r="P37" s="35"/>
      <c r="S37" s="35"/>
      <c r="V37" s="709"/>
      <c r="W37" s="704"/>
      <c r="X37" s="208">
        <f>ROUND((ROUND((ROUND((_11_A家事０．５*_11・基礎２),0)*(1+_11・A夜間)),0)*_11・初任),0)+ROUND((ROUND((ROUND((_11_B家事０．５＿１．０*_11・基礎２),0)*(1+_11・B深夜)),0)*_11・初任),0)</f>
        <v>243</v>
      </c>
      <c r="Y37" s="48"/>
    </row>
    <row r="38" spans="1:25" ht="16.5" customHeight="1" x14ac:dyDescent="0.15">
      <c r="A38" s="41">
        <v>11</v>
      </c>
      <c r="B38" s="41" t="s">
        <v>9887</v>
      </c>
      <c r="C38" s="74" t="s">
        <v>9888</v>
      </c>
      <c r="D38" s="35"/>
      <c r="F38" s="171"/>
      <c r="G38" s="178"/>
      <c r="J38" s="757"/>
      <c r="K38" s="216"/>
      <c r="L38" s="38"/>
      <c r="M38" s="44" t="s">
        <v>397</v>
      </c>
      <c r="N38" s="247" t="s">
        <v>398</v>
      </c>
      <c r="O38" s="46">
        <v>1</v>
      </c>
      <c r="P38" s="35"/>
      <c r="S38" s="35"/>
      <c r="V38" s="240" t="s">
        <v>398</v>
      </c>
      <c r="W38" s="38">
        <f>_11・初任</f>
        <v>0.7</v>
      </c>
      <c r="X38" s="208">
        <f>ROUND((ROUND((ROUND((ROUND((_11_A家事０．５*_11・基礎２),0)*_11・２人),0)*(1+_11・A夜間)),0)*_11・初任),0)+ROUND((ROUND((ROUND((ROUND((_11_B家事０．５＿１．０*_11・基礎２),0)*_11・２人),0)*(1+_11・B深夜)),0)*_11・初任),0)</f>
        <v>243</v>
      </c>
      <c r="Y38" s="48"/>
    </row>
    <row r="39" spans="1:25" ht="16.5" customHeight="1" x14ac:dyDescent="0.15">
      <c r="A39" s="41">
        <v>11</v>
      </c>
      <c r="B39" s="41">
        <v>7919</v>
      </c>
      <c r="C39" s="74" t="s">
        <v>9889</v>
      </c>
      <c r="D39" s="735" t="s">
        <v>9890</v>
      </c>
      <c r="E39" s="708"/>
      <c r="F39" s="717"/>
      <c r="G39" s="707" t="s">
        <v>9838</v>
      </c>
      <c r="H39" s="708"/>
      <c r="I39" s="717"/>
      <c r="J39" s="114"/>
      <c r="K39" s="221"/>
      <c r="L39" s="50"/>
      <c r="M39" s="44"/>
      <c r="N39" s="247"/>
      <c r="O39" s="46"/>
      <c r="P39" s="35"/>
      <c r="S39" s="35"/>
      <c r="V39" s="53"/>
      <c r="W39" s="50"/>
      <c r="X39" s="208">
        <f>ROUND((_11_A家事０．７５*(1+_11・A夜間)),0)+ROUND((_11_B家事０．７５＿０．２５*(1+_11・B深夜)),0)</f>
        <v>256</v>
      </c>
      <c r="Y39" s="48"/>
    </row>
    <row r="40" spans="1:25" ht="16.5" customHeight="1" x14ac:dyDescent="0.15">
      <c r="A40" s="41">
        <v>11</v>
      </c>
      <c r="B40" s="41">
        <v>7920</v>
      </c>
      <c r="C40" s="74" t="s">
        <v>9891</v>
      </c>
      <c r="D40" s="736"/>
      <c r="E40" s="704"/>
      <c r="F40" s="718"/>
      <c r="G40" s="709"/>
      <c r="H40" s="704"/>
      <c r="I40" s="718"/>
      <c r="J40" s="122"/>
      <c r="K40" s="216"/>
      <c r="L40" s="38"/>
      <c r="M40" s="44" t="s">
        <v>397</v>
      </c>
      <c r="N40" s="247" t="s">
        <v>398</v>
      </c>
      <c r="O40" s="46">
        <v>1</v>
      </c>
      <c r="P40" s="35"/>
      <c r="S40" s="35"/>
      <c r="V40" s="35"/>
      <c r="X40" s="208">
        <f>ROUND((ROUND((_11_A家事０．７５*_11・２人),0)*(1+_11・A夜間)),0)+ROUND((ROUND((_11_B家事０．７５＿０．２５*_11・２人),0)*(1+_11・B深夜)),0)</f>
        <v>256</v>
      </c>
      <c r="Y40" s="48"/>
    </row>
    <row r="41" spans="1:25" ht="16.5" customHeight="1" x14ac:dyDescent="0.15">
      <c r="A41" s="41">
        <v>11</v>
      </c>
      <c r="B41" s="41">
        <v>7921</v>
      </c>
      <c r="C41" s="74" t="s">
        <v>9892</v>
      </c>
      <c r="D41" s="736"/>
      <c r="E41" s="704"/>
      <c r="F41" s="718"/>
      <c r="G41" s="709"/>
      <c r="H41" s="704"/>
      <c r="I41" s="718"/>
      <c r="J41" s="752" t="s">
        <v>400</v>
      </c>
      <c r="K41" s="221" t="s">
        <v>398</v>
      </c>
      <c r="L41" s="50">
        <v>0.9</v>
      </c>
      <c r="M41" s="44"/>
      <c r="N41" s="247"/>
      <c r="O41" s="46"/>
      <c r="P41" s="35"/>
      <c r="S41" s="35"/>
      <c r="V41" s="35"/>
      <c r="X41" s="208">
        <f>ROUND((ROUND((_11_A家事０．７５*_11・基礎２),0)*(1+_11・A夜間)),0)+ROUND((ROUND((_11_B家事０．７５＿０．２５*_11・基礎２),0)*(1+_11・B深夜)),0)</f>
        <v>231</v>
      </c>
      <c r="Y41" s="48"/>
    </row>
    <row r="42" spans="1:25" ht="16.5" customHeight="1" x14ac:dyDescent="0.15">
      <c r="A42" s="41">
        <v>11</v>
      </c>
      <c r="B42" s="41">
        <v>7922</v>
      </c>
      <c r="C42" s="74" t="s">
        <v>9893</v>
      </c>
      <c r="D42" s="35"/>
      <c r="E42" s="168">
        <f>_11_A家事０．７５</f>
        <v>152</v>
      </c>
      <c r="F42" s="171" t="s">
        <v>392</v>
      </c>
      <c r="G42" s="178"/>
      <c r="H42" s="170">
        <f>_11_B家事０．７５＿０．２５</f>
        <v>44</v>
      </c>
      <c r="I42" s="12" t="s">
        <v>392</v>
      </c>
      <c r="J42" s="757"/>
      <c r="K42" s="216"/>
      <c r="L42" s="38"/>
      <c r="M42" s="44" t="s">
        <v>397</v>
      </c>
      <c r="N42" s="247" t="s">
        <v>398</v>
      </c>
      <c r="O42" s="46">
        <v>1</v>
      </c>
      <c r="P42" s="35"/>
      <c r="S42" s="35"/>
      <c r="V42" s="43"/>
      <c r="W42" s="38"/>
      <c r="X42" s="208">
        <f>ROUND((ROUND((ROUND((_11_A家事０．７５*_11・基礎２),0)*_11・２人),0)*(1+_11・A夜間)),0)+ROUND((ROUND((ROUND((_11_B家事０．７５＿０．２５*_11・基礎２),0)*_11・２人),0)*(1+_11・B深夜)),0)</f>
        <v>231</v>
      </c>
      <c r="Y42" s="48"/>
    </row>
    <row r="43" spans="1:25" ht="16.5" customHeight="1" x14ac:dyDescent="0.15">
      <c r="A43" s="41">
        <v>11</v>
      </c>
      <c r="B43" s="41" t="s">
        <v>9894</v>
      </c>
      <c r="C43" s="74" t="s">
        <v>9895</v>
      </c>
      <c r="D43" s="35"/>
      <c r="F43" s="171"/>
      <c r="G43" s="178"/>
      <c r="J43" s="114"/>
      <c r="K43" s="221"/>
      <c r="L43" s="50"/>
      <c r="M43" s="44"/>
      <c r="N43" s="247"/>
      <c r="O43" s="46"/>
      <c r="P43" s="35"/>
      <c r="S43" s="35"/>
      <c r="V43" s="707" t="s">
        <v>404</v>
      </c>
      <c r="W43" s="708"/>
      <c r="X43" s="208">
        <f>ROUND((ROUND((_11_A家事０．７５*(1+_11・A夜間)),0)*_11・初任),0)+ROUND((ROUND((_11_B家事０．７５＿０．２５*(1+_11・B深夜)),0)*_11・初任),0)</f>
        <v>179</v>
      </c>
      <c r="Y43" s="48"/>
    </row>
    <row r="44" spans="1:25" ht="16.5" customHeight="1" x14ac:dyDescent="0.15">
      <c r="A44" s="41">
        <v>11</v>
      </c>
      <c r="B44" s="41" t="s">
        <v>9896</v>
      </c>
      <c r="C44" s="74" t="s">
        <v>9897</v>
      </c>
      <c r="D44" s="35"/>
      <c r="F44" s="171"/>
      <c r="G44" s="178"/>
      <c r="J44" s="122"/>
      <c r="K44" s="216"/>
      <c r="L44" s="38"/>
      <c r="M44" s="44" t="s">
        <v>397</v>
      </c>
      <c r="N44" s="247" t="s">
        <v>398</v>
      </c>
      <c r="O44" s="46">
        <v>1</v>
      </c>
      <c r="P44" s="35"/>
      <c r="S44" s="35"/>
      <c r="V44" s="709"/>
      <c r="W44" s="704"/>
      <c r="X44" s="208">
        <f>ROUND((ROUND((ROUND((_11_A家事０．７５*_11・２人),0)*(1+_11・A夜間)),0)*_11・初任),0)+ROUND((ROUND((ROUND((_11_B家事０．７５＿０．２５*_11・２人),0)*(1+_11・B深夜)),0)*_11・初任),0)</f>
        <v>179</v>
      </c>
      <c r="Y44" s="48"/>
    </row>
    <row r="45" spans="1:25" ht="16.5" customHeight="1" x14ac:dyDescent="0.15">
      <c r="A45" s="41">
        <v>11</v>
      </c>
      <c r="B45" s="41" t="s">
        <v>9898</v>
      </c>
      <c r="C45" s="74" t="s">
        <v>9899</v>
      </c>
      <c r="D45" s="35"/>
      <c r="F45" s="171"/>
      <c r="G45" s="178"/>
      <c r="J45" s="752" t="s">
        <v>400</v>
      </c>
      <c r="K45" s="221" t="s">
        <v>398</v>
      </c>
      <c r="L45" s="50">
        <v>0.9</v>
      </c>
      <c r="M45" s="44"/>
      <c r="N45" s="247"/>
      <c r="O45" s="46"/>
      <c r="P45" s="35"/>
      <c r="S45" s="35"/>
      <c r="V45" s="709"/>
      <c r="W45" s="704"/>
      <c r="X45" s="208">
        <f>ROUND((ROUND((ROUND((_11_A家事０．７５*_11・基礎２),0)*(1+_11・A夜間)),0)*_11・初任),0)+ROUND((ROUND((ROUND((_11_B家事０．７５＿０．２５*_11・基礎２),0)*(1+_11・B深夜)),0)*_11・初任),0)</f>
        <v>162</v>
      </c>
      <c r="Y45" s="48"/>
    </row>
    <row r="46" spans="1:25" ht="16.5" customHeight="1" x14ac:dyDescent="0.15">
      <c r="A46" s="41">
        <v>11</v>
      </c>
      <c r="B46" s="41" t="s">
        <v>9900</v>
      </c>
      <c r="C46" s="74" t="s">
        <v>9901</v>
      </c>
      <c r="D46" s="35"/>
      <c r="F46" s="171"/>
      <c r="G46" s="178"/>
      <c r="J46" s="757"/>
      <c r="K46" s="216"/>
      <c r="L46" s="38"/>
      <c r="M46" s="44" t="s">
        <v>397</v>
      </c>
      <c r="N46" s="247" t="s">
        <v>398</v>
      </c>
      <c r="O46" s="46">
        <v>1</v>
      </c>
      <c r="P46" s="35"/>
      <c r="S46" s="35"/>
      <c r="V46" s="240" t="s">
        <v>398</v>
      </c>
      <c r="W46" s="38">
        <f>_11・初任</f>
        <v>0.7</v>
      </c>
      <c r="X46" s="208">
        <f>ROUND((ROUND((ROUND((ROUND((_11_A家事０．７５*_11・基礎２),0)*_11・２人),0)*(1+_11・A夜間)),0)*_11・初任),0)+ROUND((ROUND((ROUND((ROUND((_11_B家事０．７５＿０．２５*_11・基礎２),0)*_11・２人),0)*(1+_11・B深夜)),0)*_11・初任),0)</f>
        <v>162</v>
      </c>
      <c r="Y46" s="48"/>
    </row>
    <row r="47" spans="1:25" ht="16.5" customHeight="1" x14ac:dyDescent="0.15">
      <c r="A47" s="41">
        <v>11</v>
      </c>
      <c r="B47" s="41">
        <v>7923</v>
      </c>
      <c r="C47" s="74" t="s">
        <v>9902</v>
      </c>
      <c r="D47" s="35"/>
      <c r="F47" s="171"/>
      <c r="G47" s="735" t="s">
        <v>9851</v>
      </c>
      <c r="H47" s="708"/>
      <c r="I47" s="717"/>
      <c r="J47" s="114"/>
      <c r="K47" s="221"/>
      <c r="L47" s="50"/>
      <c r="M47" s="44"/>
      <c r="N47" s="247"/>
      <c r="O47" s="46"/>
      <c r="P47" s="35"/>
      <c r="S47" s="35"/>
      <c r="V47" s="53"/>
      <c r="W47" s="50"/>
      <c r="X47" s="208">
        <f>ROUND((_11_A家事０．７５*(1+_11・A夜間)),0)+ROUND((_11_B家事０．７５＿０．５*(1+_11・B深夜)),0)</f>
        <v>319</v>
      </c>
      <c r="Y47" s="48"/>
    </row>
    <row r="48" spans="1:25" ht="16.5" customHeight="1" x14ac:dyDescent="0.15">
      <c r="A48" s="41">
        <v>11</v>
      </c>
      <c r="B48" s="41">
        <v>7924</v>
      </c>
      <c r="C48" s="74" t="s">
        <v>9903</v>
      </c>
      <c r="D48" s="35"/>
      <c r="F48" s="171"/>
      <c r="G48" s="736"/>
      <c r="H48" s="704"/>
      <c r="I48" s="718"/>
      <c r="J48" s="122"/>
      <c r="K48" s="216"/>
      <c r="L48" s="38"/>
      <c r="M48" s="44" t="s">
        <v>397</v>
      </c>
      <c r="N48" s="247" t="s">
        <v>398</v>
      </c>
      <c r="O48" s="46">
        <v>1</v>
      </c>
      <c r="P48" s="35"/>
      <c r="S48" s="35"/>
      <c r="V48" s="35"/>
      <c r="X48" s="208">
        <f>ROUND((ROUND((_11_A家事０．７５*_11・２人),0)*(1+_11・A夜間)),0)+ROUND((ROUND((_11_B家事０．７５＿０．５*_11・２人),0)*(1+_11・B深夜)),0)</f>
        <v>319</v>
      </c>
      <c r="Y48" s="48"/>
    </row>
    <row r="49" spans="1:25" ht="16.5" customHeight="1" x14ac:dyDescent="0.15">
      <c r="A49" s="41">
        <v>11</v>
      </c>
      <c r="B49" s="41">
        <v>7925</v>
      </c>
      <c r="C49" s="74" t="s">
        <v>9904</v>
      </c>
      <c r="D49" s="35"/>
      <c r="F49" s="171"/>
      <c r="G49" s="736"/>
      <c r="H49" s="704"/>
      <c r="I49" s="718"/>
      <c r="J49" s="752" t="s">
        <v>400</v>
      </c>
      <c r="K49" s="221" t="s">
        <v>398</v>
      </c>
      <c r="L49" s="50">
        <v>0.9</v>
      </c>
      <c r="M49" s="44"/>
      <c r="N49" s="247"/>
      <c r="O49" s="46"/>
      <c r="P49" s="35"/>
      <c r="S49" s="35"/>
      <c r="V49" s="35"/>
      <c r="X49" s="208">
        <f>ROUND((ROUND((_11_A家事０．７５*_11・基礎２),0)*(1+_11・A夜間)),0)+ROUND((ROUND((_11_B家事０．７５＿０．５*_11・基礎２),0)*(1+_11・B深夜)),0)</f>
        <v>287</v>
      </c>
      <c r="Y49" s="48"/>
    </row>
    <row r="50" spans="1:25" ht="16.5" customHeight="1" x14ac:dyDescent="0.15">
      <c r="A50" s="41">
        <v>11</v>
      </c>
      <c r="B50" s="41">
        <v>7926</v>
      </c>
      <c r="C50" s="74" t="s">
        <v>9905</v>
      </c>
      <c r="D50" s="35"/>
      <c r="F50" s="171"/>
      <c r="G50" s="178"/>
      <c r="H50" s="170">
        <f>_11_B家事０．７５＿０．５</f>
        <v>86</v>
      </c>
      <c r="I50" s="12" t="s">
        <v>392</v>
      </c>
      <c r="J50" s="757"/>
      <c r="K50" s="216"/>
      <c r="L50" s="38"/>
      <c r="M50" s="44" t="s">
        <v>397</v>
      </c>
      <c r="N50" s="247" t="s">
        <v>398</v>
      </c>
      <c r="O50" s="46">
        <v>1</v>
      </c>
      <c r="P50" s="35"/>
      <c r="S50" s="35"/>
      <c r="V50" s="43"/>
      <c r="W50" s="38"/>
      <c r="X50" s="208">
        <f>ROUND((ROUND((ROUND((_11_A家事０．７５*_11・基礎２),0)*_11・２人),0)*(1+_11・A夜間)),0)+ROUND((ROUND((ROUND((_11_B家事０．７５＿０．５*_11・基礎２),0)*_11・２人),0)*(1+_11・B深夜)),0)</f>
        <v>287</v>
      </c>
      <c r="Y50" s="48"/>
    </row>
    <row r="51" spans="1:25" ht="16.5" customHeight="1" x14ac:dyDescent="0.15">
      <c r="A51" s="41">
        <v>11</v>
      </c>
      <c r="B51" s="41" t="s">
        <v>9906</v>
      </c>
      <c r="C51" s="74" t="s">
        <v>9907</v>
      </c>
      <c r="D51" s="35"/>
      <c r="F51" s="171"/>
      <c r="G51" s="178"/>
      <c r="J51" s="114"/>
      <c r="K51" s="221"/>
      <c r="L51" s="50"/>
      <c r="M51" s="44"/>
      <c r="N51" s="247"/>
      <c r="O51" s="46"/>
      <c r="P51" s="35"/>
      <c r="S51" s="35"/>
      <c r="V51" s="707" t="s">
        <v>404</v>
      </c>
      <c r="W51" s="708"/>
      <c r="X51" s="208">
        <f>ROUND((ROUND((_11_A家事０．７５*(1+_11・A夜間)),0)*_11・初任),0)+ROUND((ROUND((_11_B家事０．７５＿０．５*(1+_11・B深夜)),0)*_11・初任),0)</f>
        <v>223</v>
      </c>
      <c r="Y51" s="48"/>
    </row>
    <row r="52" spans="1:25" ht="16.5" customHeight="1" x14ac:dyDescent="0.15">
      <c r="A52" s="41">
        <v>11</v>
      </c>
      <c r="B52" s="41" t="s">
        <v>9908</v>
      </c>
      <c r="C52" s="74" t="s">
        <v>9909</v>
      </c>
      <c r="D52" s="35"/>
      <c r="F52" s="171"/>
      <c r="G52" s="178"/>
      <c r="J52" s="122"/>
      <c r="K52" s="216"/>
      <c r="L52" s="38"/>
      <c r="M52" s="44" t="s">
        <v>397</v>
      </c>
      <c r="N52" s="247" t="s">
        <v>398</v>
      </c>
      <c r="O52" s="46">
        <v>1</v>
      </c>
      <c r="P52" s="35"/>
      <c r="S52" s="35"/>
      <c r="V52" s="709"/>
      <c r="W52" s="704"/>
      <c r="X52" s="208">
        <f>ROUND((ROUND((ROUND((_11_A家事０．７５*_11・２人),0)*(1+_11・A夜間)),0)*_11・初任),0)+ROUND((ROUND((ROUND((_11_B家事０．７５＿０．５*_11・２人),0)*(1+_11・B深夜)),0)*_11・初任),0)</f>
        <v>223</v>
      </c>
      <c r="Y52" s="48"/>
    </row>
    <row r="53" spans="1:25" ht="16.5" customHeight="1" x14ac:dyDescent="0.15">
      <c r="A53" s="41">
        <v>11</v>
      </c>
      <c r="B53" s="41" t="s">
        <v>9910</v>
      </c>
      <c r="C53" s="74" t="s">
        <v>9911</v>
      </c>
      <c r="D53" s="35"/>
      <c r="F53" s="171"/>
      <c r="G53" s="178"/>
      <c r="J53" s="752" t="s">
        <v>400</v>
      </c>
      <c r="K53" s="221" t="s">
        <v>398</v>
      </c>
      <c r="L53" s="50">
        <v>0.9</v>
      </c>
      <c r="M53" s="44"/>
      <c r="N53" s="247"/>
      <c r="O53" s="46"/>
      <c r="P53" s="35"/>
      <c r="S53" s="35"/>
      <c r="V53" s="709"/>
      <c r="W53" s="704"/>
      <c r="X53" s="208">
        <f>ROUND((ROUND((ROUND((_11_A家事０．７５*_11・基礎２),0)*(1+_11・A夜間)),0)*_11・初任),0)+ROUND((ROUND((ROUND((_11_B家事０．７５＿０．５*_11・基礎２),0)*(1+_11・B深夜)),0)*_11・初任),0)</f>
        <v>201</v>
      </c>
      <c r="Y53" s="48"/>
    </row>
    <row r="54" spans="1:25" ht="16.5" customHeight="1" x14ac:dyDescent="0.15">
      <c r="A54" s="41">
        <v>11</v>
      </c>
      <c r="B54" s="41" t="s">
        <v>9912</v>
      </c>
      <c r="C54" s="74" t="s">
        <v>9913</v>
      </c>
      <c r="D54" s="35"/>
      <c r="F54" s="171"/>
      <c r="G54" s="178"/>
      <c r="J54" s="757"/>
      <c r="K54" s="216"/>
      <c r="L54" s="38"/>
      <c r="M54" s="44" t="s">
        <v>397</v>
      </c>
      <c r="N54" s="247" t="s">
        <v>398</v>
      </c>
      <c r="O54" s="46">
        <v>1</v>
      </c>
      <c r="P54" s="35"/>
      <c r="S54" s="35"/>
      <c r="V54" s="240" t="s">
        <v>398</v>
      </c>
      <c r="W54" s="38">
        <f>_11・初任</f>
        <v>0.7</v>
      </c>
      <c r="X54" s="208">
        <f>ROUND((ROUND((ROUND((ROUND((_11_A家事０．７５*_11・基礎２),0)*_11・２人),0)*(1+_11・A夜間)),0)*_11・初任),0)+ROUND((ROUND((ROUND((ROUND((_11_B家事０．７５＿０．５*_11・基礎２),0)*_11・２人),0)*(1+_11・B深夜)),0)*_11・初任),0)</f>
        <v>201</v>
      </c>
      <c r="Y54" s="48"/>
    </row>
    <row r="55" spans="1:25" ht="16.5" customHeight="1" x14ac:dyDescent="0.15">
      <c r="A55" s="41">
        <v>11</v>
      </c>
      <c r="B55" s="41">
        <v>7927</v>
      </c>
      <c r="C55" s="74" t="s">
        <v>9914</v>
      </c>
      <c r="D55" s="35"/>
      <c r="F55" s="171"/>
      <c r="G55" s="735" t="s">
        <v>9864</v>
      </c>
      <c r="H55" s="708"/>
      <c r="I55" s="717"/>
      <c r="J55" s="114"/>
      <c r="K55" s="221"/>
      <c r="L55" s="50"/>
      <c r="M55" s="44"/>
      <c r="N55" s="247"/>
      <c r="O55" s="46"/>
      <c r="P55" s="35"/>
      <c r="S55" s="35"/>
      <c r="V55" s="53"/>
      <c r="W55" s="50"/>
      <c r="X55" s="208">
        <f>ROUND((_11_A家事０．７５*(1+_11・A夜間)),0)+ROUND((_11_B家事０．７５＿０．７５*(1+_11・B深夜)),0)</f>
        <v>373</v>
      </c>
      <c r="Y55" s="48"/>
    </row>
    <row r="56" spans="1:25" ht="16.5" customHeight="1" x14ac:dyDescent="0.15">
      <c r="A56" s="41">
        <v>11</v>
      </c>
      <c r="B56" s="41">
        <v>7928</v>
      </c>
      <c r="C56" s="74" t="s">
        <v>9915</v>
      </c>
      <c r="D56" s="35"/>
      <c r="F56" s="171"/>
      <c r="G56" s="736"/>
      <c r="H56" s="704"/>
      <c r="I56" s="718"/>
      <c r="J56" s="122"/>
      <c r="K56" s="216"/>
      <c r="L56" s="38"/>
      <c r="M56" s="44" t="s">
        <v>397</v>
      </c>
      <c r="N56" s="247" t="s">
        <v>398</v>
      </c>
      <c r="O56" s="46">
        <v>1</v>
      </c>
      <c r="P56" s="35"/>
      <c r="S56" s="35"/>
      <c r="V56" s="35"/>
      <c r="X56" s="208">
        <f>ROUND((ROUND((_11_A家事０．７５*_11・２人),0)*(1+_11・A夜間)),0)+ROUND((ROUND((_11_B家事０．７５＿０．７５*_11・２人),0)*(1+_11・B深夜)),0)</f>
        <v>373</v>
      </c>
      <c r="Y56" s="48"/>
    </row>
    <row r="57" spans="1:25" ht="16.5" customHeight="1" x14ac:dyDescent="0.15">
      <c r="A57" s="41">
        <v>11</v>
      </c>
      <c r="B57" s="41">
        <v>7929</v>
      </c>
      <c r="C57" s="74" t="s">
        <v>9916</v>
      </c>
      <c r="D57" s="35"/>
      <c r="F57" s="171"/>
      <c r="G57" s="736"/>
      <c r="H57" s="704"/>
      <c r="I57" s="718"/>
      <c r="J57" s="752" t="s">
        <v>400</v>
      </c>
      <c r="K57" s="221" t="s">
        <v>398</v>
      </c>
      <c r="L57" s="50">
        <v>0.9</v>
      </c>
      <c r="M57" s="44"/>
      <c r="N57" s="247"/>
      <c r="O57" s="46"/>
      <c r="P57" s="35"/>
      <c r="S57" s="35"/>
      <c r="V57" s="35"/>
      <c r="X57" s="208">
        <f>ROUND((ROUND((_11_A家事０．７５*_11・基礎２),0)*(1+_11・A夜間)),0)+ROUND((ROUND((_11_B家事０．７５＿０．７５*_11・基礎２),0)*(1+_11・B深夜)),0)</f>
        <v>336</v>
      </c>
      <c r="Y57" s="48"/>
    </row>
    <row r="58" spans="1:25" ht="16.5" customHeight="1" x14ac:dyDescent="0.15">
      <c r="A58" s="41">
        <v>11</v>
      </c>
      <c r="B58" s="41">
        <v>7930</v>
      </c>
      <c r="C58" s="74" t="s">
        <v>9917</v>
      </c>
      <c r="D58" s="35"/>
      <c r="F58" s="171"/>
      <c r="G58" s="178"/>
      <c r="H58" s="170">
        <f>_11_B家事０．７５＿０．７５</f>
        <v>122</v>
      </c>
      <c r="I58" s="12" t="s">
        <v>392</v>
      </c>
      <c r="J58" s="757"/>
      <c r="K58" s="216"/>
      <c r="L58" s="38"/>
      <c r="M58" s="44" t="s">
        <v>397</v>
      </c>
      <c r="N58" s="247" t="s">
        <v>398</v>
      </c>
      <c r="O58" s="46">
        <v>1</v>
      </c>
      <c r="P58" s="35"/>
      <c r="S58" s="35"/>
      <c r="V58" s="43"/>
      <c r="W58" s="38"/>
      <c r="X58" s="208">
        <f>ROUND((ROUND((ROUND((_11_A家事０．７５*_11・基礎２),0)*_11・２人),0)*(1+_11・A夜間)),0)+ROUND((ROUND((ROUND((_11_B家事０．７５＿０．７５*_11・基礎２),0)*_11・２人),0)*(1+_11・B深夜)),0)</f>
        <v>336</v>
      </c>
      <c r="Y58" s="48"/>
    </row>
    <row r="59" spans="1:25" ht="16.5" customHeight="1" x14ac:dyDescent="0.15">
      <c r="A59" s="41">
        <v>11</v>
      </c>
      <c r="B59" s="41" t="s">
        <v>9918</v>
      </c>
      <c r="C59" s="74" t="s">
        <v>9919</v>
      </c>
      <c r="D59" s="35"/>
      <c r="F59" s="171"/>
      <c r="G59" s="178"/>
      <c r="J59" s="114"/>
      <c r="K59" s="221"/>
      <c r="L59" s="50"/>
      <c r="M59" s="44"/>
      <c r="N59" s="247"/>
      <c r="O59" s="46"/>
      <c r="P59" s="35"/>
      <c r="S59" s="35"/>
      <c r="V59" s="707" t="s">
        <v>404</v>
      </c>
      <c r="W59" s="708"/>
      <c r="X59" s="208">
        <f>ROUND((ROUND((_11_A家事０．７５*(1+_11・A夜間)),0)*_11・初任),0)+ROUND((ROUND((_11_B家事０．７５＿０．７５*(1+_11・B深夜)),0)*_11・初任),0)</f>
        <v>261</v>
      </c>
      <c r="Y59" s="48"/>
    </row>
    <row r="60" spans="1:25" ht="16.5" customHeight="1" x14ac:dyDescent="0.15">
      <c r="A60" s="41">
        <v>11</v>
      </c>
      <c r="B60" s="41" t="s">
        <v>9920</v>
      </c>
      <c r="C60" s="74" t="s">
        <v>9921</v>
      </c>
      <c r="D60" s="35"/>
      <c r="F60" s="171"/>
      <c r="G60" s="178"/>
      <c r="J60" s="122"/>
      <c r="K60" s="216"/>
      <c r="L60" s="38"/>
      <c r="M60" s="44" t="s">
        <v>397</v>
      </c>
      <c r="N60" s="247" t="s">
        <v>398</v>
      </c>
      <c r="O60" s="46">
        <v>1</v>
      </c>
      <c r="P60" s="35"/>
      <c r="S60" s="35"/>
      <c r="V60" s="709"/>
      <c r="W60" s="704"/>
      <c r="X60" s="208">
        <f>ROUND((ROUND((ROUND((_11_A家事０．７５*_11・２人),0)*(1+_11・A夜間)),0)*_11・初任),0)+ROUND((ROUND((ROUND((_11_B家事０．７５＿０．７５*_11・２人),0)*(1+_11・B深夜)),0)*_11・初任),0)</f>
        <v>261</v>
      </c>
      <c r="Y60" s="48"/>
    </row>
    <row r="61" spans="1:25" ht="16.5" customHeight="1" x14ac:dyDescent="0.15">
      <c r="A61" s="41">
        <v>11</v>
      </c>
      <c r="B61" s="41" t="s">
        <v>9922</v>
      </c>
      <c r="C61" s="74" t="s">
        <v>9923</v>
      </c>
      <c r="D61" s="35"/>
      <c r="F61" s="171"/>
      <c r="G61" s="178"/>
      <c r="J61" s="752" t="s">
        <v>400</v>
      </c>
      <c r="K61" s="221" t="s">
        <v>398</v>
      </c>
      <c r="L61" s="50">
        <v>0.9</v>
      </c>
      <c r="M61" s="44"/>
      <c r="N61" s="247"/>
      <c r="O61" s="46"/>
      <c r="P61" s="35"/>
      <c r="S61" s="35"/>
      <c r="V61" s="709"/>
      <c r="W61" s="704"/>
      <c r="X61" s="208">
        <f>ROUND((ROUND((ROUND((_11_A家事０．７５*_11・基礎２),0)*(1+_11・A夜間)),0)*_11・初任),0)+ROUND((ROUND((ROUND((_11_B家事０．７５＿０．７５*_11・基礎２),0)*(1+_11・B深夜)),0)*_11・初任),0)</f>
        <v>236</v>
      </c>
      <c r="Y61" s="48"/>
    </row>
    <row r="62" spans="1:25" ht="16.5" customHeight="1" x14ac:dyDescent="0.15">
      <c r="A62" s="41">
        <v>11</v>
      </c>
      <c r="B62" s="41" t="s">
        <v>9924</v>
      </c>
      <c r="C62" s="74" t="s">
        <v>9925</v>
      </c>
      <c r="D62" s="35"/>
      <c r="F62" s="171"/>
      <c r="G62" s="178"/>
      <c r="J62" s="757"/>
      <c r="K62" s="216"/>
      <c r="L62" s="38"/>
      <c r="M62" s="44" t="s">
        <v>397</v>
      </c>
      <c r="N62" s="247" t="s">
        <v>398</v>
      </c>
      <c r="O62" s="46">
        <v>1</v>
      </c>
      <c r="P62" s="35"/>
      <c r="S62" s="35"/>
      <c r="V62" s="240" t="s">
        <v>398</v>
      </c>
      <c r="W62" s="38">
        <f>_11・初任</f>
        <v>0.7</v>
      </c>
      <c r="X62" s="208">
        <f>ROUND((ROUND((ROUND((ROUND((_11_A家事０．７５*_11・基礎２),0)*_11・２人),0)*(1+_11・A夜間)),0)*_11・初任),0)+ROUND((ROUND((ROUND((ROUND((_11_B家事０．７５＿０．７５*_11・基礎２),0)*_11・２人),0)*(1+_11・B深夜)),0)*_11・初任),0)</f>
        <v>236</v>
      </c>
      <c r="Y62" s="48"/>
    </row>
    <row r="63" spans="1:25" ht="16.5" customHeight="1" x14ac:dyDescent="0.15">
      <c r="A63" s="41">
        <v>11</v>
      </c>
      <c r="B63" s="41">
        <v>7931</v>
      </c>
      <c r="C63" s="74" t="s">
        <v>9926</v>
      </c>
      <c r="D63" s="735" t="s">
        <v>9927</v>
      </c>
      <c r="E63" s="708"/>
      <c r="F63" s="717"/>
      <c r="G63" s="735" t="s">
        <v>9838</v>
      </c>
      <c r="H63" s="708"/>
      <c r="I63" s="717"/>
      <c r="J63" s="114"/>
      <c r="K63" s="221"/>
      <c r="L63" s="50"/>
      <c r="M63" s="44"/>
      <c r="N63" s="247"/>
      <c r="O63" s="46"/>
      <c r="P63" s="35"/>
      <c r="S63" s="35"/>
      <c r="V63" s="53"/>
      <c r="W63" s="50"/>
      <c r="X63" s="208">
        <f>ROUND((_11_A家事１．０*(1+_11・A夜間)),0)+ROUND((_11_B家事１．０＿０．２５*(1+_11・B深夜)),0)</f>
        <v>308</v>
      </c>
      <c r="Y63" s="48"/>
    </row>
    <row r="64" spans="1:25" ht="16.5" customHeight="1" x14ac:dyDescent="0.15">
      <c r="A64" s="41">
        <v>11</v>
      </c>
      <c r="B64" s="41">
        <v>7932</v>
      </c>
      <c r="C64" s="74" t="s">
        <v>9928</v>
      </c>
      <c r="D64" s="736"/>
      <c r="E64" s="704"/>
      <c r="F64" s="718"/>
      <c r="G64" s="736"/>
      <c r="H64" s="704"/>
      <c r="I64" s="718"/>
      <c r="J64" s="122"/>
      <c r="K64" s="216"/>
      <c r="L64" s="38"/>
      <c r="M64" s="44" t="s">
        <v>397</v>
      </c>
      <c r="N64" s="247" t="s">
        <v>398</v>
      </c>
      <c r="O64" s="46">
        <v>1</v>
      </c>
      <c r="P64" s="35"/>
      <c r="S64" s="35"/>
      <c r="V64" s="35"/>
      <c r="X64" s="208">
        <f>ROUND((ROUND((_11_A家事１．０*_11・２人),0)*(1+_11・A夜間)),0)+ROUND((ROUND((_11_B家事１．０＿０．２５*_11・２人),0)*(1+_11・B深夜)),0)</f>
        <v>308</v>
      </c>
      <c r="Y64" s="48"/>
    </row>
    <row r="65" spans="1:25" ht="16.5" customHeight="1" x14ac:dyDescent="0.15">
      <c r="A65" s="41">
        <v>11</v>
      </c>
      <c r="B65" s="41">
        <v>7933</v>
      </c>
      <c r="C65" s="74" t="s">
        <v>9929</v>
      </c>
      <c r="D65" s="736"/>
      <c r="E65" s="704"/>
      <c r="F65" s="718"/>
      <c r="G65" s="736"/>
      <c r="H65" s="704"/>
      <c r="I65" s="718"/>
      <c r="J65" s="752" t="s">
        <v>400</v>
      </c>
      <c r="K65" s="221" t="s">
        <v>398</v>
      </c>
      <c r="L65" s="50">
        <v>0.9</v>
      </c>
      <c r="M65" s="44"/>
      <c r="N65" s="247"/>
      <c r="O65" s="46"/>
      <c r="P65" s="35"/>
      <c r="S65" s="35"/>
      <c r="V65" s="35"/>
      <c r="X65" s="208">
        <f>ROUND((ROUND((_11_A家事１．０*_11・基礎２),0)*(1+_11・A夜間)),0)+ROUND((ROUND((_11_B家事１．０＿０．２５*_11・基礎２),0)*(1+_11・B深夜)),0)</f>
        <v>277</v>
      </c>
      <c r="Y65" s="48"/>
    </row>
    <row r="66" spans="1:25" ht="16.5" customHeight="1" x14ac:dyDescent="0.15">
      <c r="A66" s="41">
        <v>11</v>
      </c>
      <c r="B66" s="41">
        <v>7934</v>
      </c>
      <c r="C66" s="74" t="s">
        <v>9930</v>
      </c>
      <c r="D66" s="35"/>
      <c r="E66" s="168">
        <f>_11_A家事１．０</f>
        <v>196</v>
      </c>
      <c r="F66" s="171" t="s">
        <v>392</v>
      </c>
      <c r="G66" s="178"/>
      <c r="H66" s="170">
        <f>_11_B家事１．０＿０．２５</f>
        <v>42</v>
      </c>
      <c r="I66" s="12" t="s">
        <v>392</v>
      </c>
      <c r="J66" s="757"/>
      <c r="K66" s="216"/>
      <c r="L66" s="38"/>
      <c r="M66" s="44" t="s">
        <v>397</v>
      </c>
      <c r="N66" s="247" t="s">
        <v>398</v>
      </c>
      <c r="O66" s="46">
        <v>1</v>
      </c>
      <c r="P66" s="35"/>
      <c r="S66" s="35"/>
      <c r="V66" s="43"/>
      <c r="W66" s="38"/>
      <c r="X66" s="208">
        <f>ROUND((ROUND((ROUND((_11_A家事１．０*_11・基礎２),0)*_11・２人),0)*(1+_11・A夜間)),0)+ROUND((ROUND((ROUND((_11_B家事１．０＿０．２５*_11・基礎２),0)*_11・２人),0)*(1+_11・B深夜)),0)</f>
        <v>277</v>
      </c>
      <c r="Y66" s="48"/>
    </row>
    <row r="67" spans="1:25" ht="16.5" customHeight="1" x14ac:dyDescent="0.15">
      <c r="A67" s="41">
        <v>11</v>
      </c>
      <c r="B67" s="41" t="s">
        <v>9931</v>
      </c>
      <c r="C67" s="74" t="s">
        <v>9932</v>
      </c>
      <c r="D67" s="35"/>
      <c r="F67" s="171"/>
      <c r="G67" s="178"/>
      <c r="J67" s="114"/>
      <c r="K67" s="221"/>
      <c r="L67" s="50"/>
      <c r="M67" s="44"/>
      <c r="N67" s="247"/>
      <c r="O67" s="46"/>
      <c r="P67" s="35"/>
      <c r="S67" s="35"/>
      <c r="V67" s="707" t="s">
        <v>404</v>
      </c>
      <c r="W67" s="708"/>
      <c r="X67" s="208">
        <f>ROUND((ROUND((_11_A家事１．０*(1+_11・A夜間)),0)*_11・初任),0)+ROUND((ROUND((_11_B家事１．０＿０．２５*(1+_11・B深夜)),0)*_11・初任),0)</f>
        <v>216</v>
      </c>
      <c r="Y67" s="48"/>
    </row>
    <row r="68" spans="1:25" ht="16.5" customHeight="1" x14ac:dyDescent="0.15">
      <c r="A68" s="41">
        <v>11</v>
      </c>
      <c r="B68" s="41" t="s">
        <v>9933</v>
      </c>
      <c r="C68" s="74" t="s">
        <v>9934</v>
      </c>
      <c r="D68" s="35"/>
      <c r="F68" s="171"/>
      <c r="G68" s="178"/>
      <c r="J68" s="122"/>
      <c r="K68" s="216"/>
      <c r="L68" s="38"/>
      <c r="M68" s="44" t="s">
        <v>397</v>
      </c>
      <c r="N68" s="247" t="s">
        <v>398</v>
      </c>
      <c r="O68" s="46">
        <v>1</v>
      </c>
      <c r="P68" s="35"/>
      <c r="S68" s="35"/>
      <c r="V68" s="709"/>
      <c r="W68" s="704"/>
      <c r="X68" s="208">
        <f>ROUND((ROUND((ROUND((_11_A家事１．０*_11・２人),0)*(1+_11・A夜間)),0)*_11・初任),0)+ROUND((ROUND((ROUND((_11_B家事１．０＿０．２５*_11・２人),0)*(1+_11・B深夜)),0)*_11・初任),0)</f>
        <v>216</v>
      </c>
      <c r="Y68" s="48"/>
    </row>
    <row r="69" spans="1:25" ht="16.5" customHeight="1" x14ac:dyDescent="0.15">
      <c r="A69" s="41">
        <v>11</v>
      </c>
      <c r="B69" s="41" t="s">
        <v>9935</v>
      </c>
      <c r="C69" s="74" t="s">
        <v>9936</v>
      </c>
      <c r="D69" s="35"/>
      <c r="F69" s="171"/>
      <c r="G69" s="178"/>
      <c r="J69" s="752" t="s">
        <v>400</v>
      </c>
      <c r="K69" s="221" t="s">
        <v>398</v>
      </c>
      <c r="L69" s="50">
        <v>0.9</v>
      </c>
      <c r="M69" s="44"/>
      <c r="N69" s="247"/>
      <c r="O69" s="46"/>
      <c r="P69" s="35"/>
      <c r="S69" s="35"/>
      <c r="V69" s="709"/>
      <c r="W69" s="704"/>
      <c r="X69" s="208">
        <f>ROUND((ROUND((ROUND((_11_A家事１．０*_11・基礎２),0)*(1+_11・A夜間)),0)*_11・初任),0)+ROUND((ROUND((ROUND((_11_B家事１．０＿０．２５*_11・基礎２),0)*(1+_11・B深夜)),0)*_11・初任),0)</f>
        <v>194</v>
      </c>
      <c r="Y69" s="48"/>
    </row>
    <row r="70" spans="1:25" ht="16.5" customHeight="1" x14ac:dyDescent="0.15">
      <c r="A70" s="41">
        <v>11</v>
      </c>
      <c r="B70" s="41" t="s">
        <v>9937</v>
      </c>
      <c r="C70" s="74" t="s">
        <v>9938</v>
      </c>
      <c r="D70" s="35"/>
      <c r="F70" s="171"/>
      <c r="G70" s="178"/>
      <c r="J70" s="757"/>
      <c r="K70" s="216"/>
      <c r="L70" s="38"/>
      <c r="M70" s="44" t="s">
        <v>397</v>
      </c>
      <c r="N70" s="247" t="s">
        <v>398</v>
      </c>
      <c r="O70" s="46">
        <v>1</v>
      </c>
      <c r="P70" s="35"/>
      <c r="S70" s="35"/>
      <c r="V70" s="240" t="s">
        <v>398</v>
      </c>
      <c r="W70" s="38">
        <f>_11・初任</f>
        <v>0.7</v>
      </c>
      <c r="X70" s="208">
        <f>ROUND((ROUND((ROUND((ROUND((_11_A家事１．０*_11・基礎２),0)*_11・２人),0)*(1+_11・A夜間)),0)*_11・初任),0)+ROUND((ROUND((ROUND((ROUND((_11_B家事１．０＿０．２５*_11・基礎２),0)*_11・２人),0)*(1+_11・B深夜)),0)*_11・初任),0)</f>
        <v>194</v>
      </c>
      <c r="Y70" s="48"/>
    </row>
    <row r="71" spans="1:25" ht="16.5" customHeight="1" x14ac:dyDescent="0.15">
      <c r="A71" s="41">
        <v>11</v>
      </c>
      <c r="B71" s="41">
        <v>6347</v>
      </c>
      <c r="C71" s="74" t="s">
        <v>9939</v>
      </c>
      <c r="D71" s="35"/>
      <c r="F71" s="171"/>
      <c r="G71" s="735" t="s">
        <v>9851</v>
      </c>
      <c r="H71" s="708"/>
      <c r="I71" s="717"/>
      <c r="J71" s="114"/>
      <c r="K71" s="221"/>
      <c r="L71" s="50"/>
      <c r="M71" s="44"/>
      <c r="N71" s="247"/>
      <c r="O71" s="46"/>
      <c r="P71" s="35"/>
      <c r="S71" s="35"/>
      <c r="V71" s="53"/>
      <c r="W71" s="50"/>
      <c r="X71" s="208">
        <f>ROUND((_11_A家事１．０*(1+_11・A夜間)),0)+ROUND((_11_B家事１．０＿０．５*(1+_11・B深夜)),0)</f>
        <v>362</v>
      </c>
      <c r="Y71" s="48"/>
    </row>
    <row r="72" spans="1:25" ht="16.5" customHeight="1" x14ac:dyDescent="0.15">
      <c r="A72" s="41">
        <v>11</v>
      </c>
      <c r="B72" s="41">
        <v>6348</v>
      </c>
      <c r="C72" s="74" t="s">
        <v>9940</v>
      </c>
      <c r="D72" s="35"/>
      <c r="F72" s="171"/>
      <c r="G72" s="736"/>
      <c r="H72" s="704"/>
      <c r="I72" s="718"/>
      <c r="J72" s="122"/>
      <c r="K72" s="216"/>
      <c r="L72" s="38"/>
      <c r="M72" s="44" t="s">
        <v>397</v>
      </c>
      <c r="N72" s="247" t="s">
        <v>398</v>
      </c>
      <c r="O72" s="46">
        <v>1</v>
      </c>
      <c r="P72" s="35"/>
      <c r="S72" s="35"/>
      <c r="V72" s="35"/>
      <c r="X72" s="208">
        <f>ROUND((ROUND((_11_A家事１．０*_11・２人),0)*(1+_11・A夜間)),0)+ROUND((ROUND((_11_B家事１．０＿０．５*_11・２人),0)*(1+_11・B深夜)),0)</f>
        <v>362</v>
      </c>
      <c r="Y72" s="48"/>
    </row>
    <row r="73" spans="1:25" ht="16.5" customHeight="1" x14ac:dyDescent="0.15">
      <c r="A73" s="41">
        <v>11</v>
      </c>
      <c r="B73" s="41">
        <v>6349</v>
      </c>
      <c r="C73" s="74" t="s">
        <v>9941</v>
      </c>
      <c r="D73" s="35"/>
      <c r="F73" s="171"/>
      <c r="G73" s="736"/>
      <c r="H73" s="704"/>
      <c r="I73" s="718"/>
      <c r="J73" s="752" t="s">
        <v>400</v>
      </c>
      <c r="K73" s="221" t="s">
        <v>398</v>
      </c>
      <c r="L73" s="50">
        <v>0.9</v>
      </c>
      <c r="M73" s="44"/>
      <c r="N73" s="247"/>
      <c r="O73" s="46"/>
      <c r="P73" s="35"/>
      <c r="S73" s="35"/>
      <c r="V73" s="35"/>
      <c r="X73" s="208">
        <f>ROUND((ROUND((_11_A家事１．０*_11・基礎２),0)*(1+_11・A夜間)),0)+ROUND((ROUND((_11_B家事１．０＿０．５*_11・基礎２),0)*(1+_11・B深夜)),0)</f>
        <v>325</v>
      </c>
      <c r="Y73" s="48"/>
    </row>
    <row r="74" spans="1:25" ht="16.5" customHeight="1" x14ac:dyDescent="0.15">
      <c r="A74" s="41">
        <v>11</v>
      </c>
      <c r="B74" s="41">
        <v>6350</v>
      </c>
      <c r="C74" s="74" t="s">
        <v>9942</v>
      </c>
      <c r="D74" s="35"/>
      <c r="F74" s="171"/>
      <c r="G74" s="178"/>
      <c r="H74" s="170">
        <f>_11_B家事１．０＿０．５</f>
        <v>78</v>
      </c>
      <c r="I74" s="12" t="s">
        <v>392</v>
      </c>
      <c r="J74" s="757"/>
      <c r="K74" s="216"/>
      <c r="L74" s="38"/>
      <c r="M74" s="44" t="s">
        <v>397</v>
      </c>
      <c r="N74" s="247" t="s">
        <v>398</v>
      </c>
      <c r="O74" s="46">
        <v>1</v>
      </c>
      <c r="P74" s="35"/>
      <c r="S74" s="35"/>
      <c r="V74" s="43"/>
      <c r="W74" s="38"/>
      <c r="X74" s="208">
        <f>ROUND((ROUND((ROUND((_11_A家事１．０*_11・基礎２),0)*_11・２人),0)*(1+_11・A夜間)),0)+ROUND((ROUND((ROUND((_11_B家事１．０＿０．５*_11・基礎２),0)*_11・２人),0)*(1+_11・B深夜)),0)</f>
        <v>325</v>
      </c>
      <c r="Y74" s="48"/>
    </row>
    <row r="75" spans="1:25" ht="16.5" customHeight="1" x14ac:dyDescent="0.15">
      <c r="A75" s="41">
        <v>11</v>
      </c>
      <c r="B75" s="41" t="s">
        <v>9943</v>
      </c>
      <c r="C75" s="74" t="s">
        <v>9944</v>
      </c>
      <c r="D75" s="35"/>
      <c r="F75" s="171"/>
      <c r="G75" s="178"/>
      <c r="J75" s="114"/>
      <c r="K75" s="221"/>
      <c r="L75" s="50"/>
      <c r="M75" s="44"/>
      <c r="N75" s="247"/>
      <c r="O75" s="46"/>
      <c r="P75" s="35"/>
      <c r="S75" s="35"/>
      <c r="V75" s="707" t="s">
        <v>404</v>
      </c>
      <c r="W75" s="708"/>
      <c r="X75" s="208">
        <f>ROUND((ROUND((_11_A家事１．０*(1+_11・A夜間)),0)*_11・初任),0)+ROUND((ROUND((_11_B家事１．０＿０．５*(1+_11・B深夜)),0)*_11・初任),0)</f>
        <v>254</v>
      </c>
      <c r="Y75" s="48"/>
    </row>
    <row r="76" spans="1:25" ht="16.5" customHeight="1" x14ac:dyDescent="0.15">
      <c r="A76" s="41">
        <v>11</v>
      </c>
      <c r="B76" s="41" t="s">
        <v>9945</v>
      </c>
      <c r="C76" s="74" t="s">
        <v>9946</v>
      </c>
      <c r="D76" s="35"/>
      <c r="F76" s="171"/>
      <c r="G76" s="178"/>
      <c r="J76" s="122"/>
      <c r="K76" s="216"/>
      <c r="L76" s="38"/>
      <c r="M76" s="44" t="s">
        <v>397</v>
      </c>
      <c r="N76" s="247" t="s">
        <v>398</v>
      </c>
      <c r="O76" s="46">
        <v>1</v>
      </c>
      <c r="P76" s="35"/>
      <c r="S76" s="35"/>
      <c r="V76" s="709"/>
      <c r="W76" s="704"/>
      <c r="X76" s="208">
        <f>ROUND((ROUND((ROUND((_11_A家事１．０*_11・２人),0)*(1+_11・A夜間)),0)*_11・初任),0)+ROUND((ROUND((ROUND((_11_B家事１．０＿０．５*_11・２人),0)*(1+_11・B深夜)),0)*_11・初任),0)</f>
        <v>254</v>
      </c>
      <c r="Y76" s="48"/>
    </row>
    <row r="77" spans="1:25" ht="16.5" customHeight="1" x14ac:dyDescent="0.15">
      <c r="A77" s="41">
        <v>11</v>
      </c>
      <c r="B77" s="41" t="s">
        <v>9947</v>
      </c>
      <c r="C77" s="74" t="s">
        <v>9948</v>
      </c>
      <c r="D77" s="35"/>
      <c r="F77" s="171"/>
      <c r="G77" s="178"/>
      <c r="J77" s="752" t="s">
        <v>400</v>
      </c>
      <c r="K77" s="221" t="s">
        <v>398</v>
      </c>
      <c r="L77" s="50">
        <v>0.9</v>
      </c>
      <c r="M77" s="44"/>
      <c r="N77" s="247"/>
      <c r="O77" s="46"/>
      <c r="P77" s="35"/>
      <c r="S77" s="35"/>
      <c r="V77" s="709"/>
      <c r="W77" s="704"/>
      <c r="X77" s="208">
        <f>ROUND((ROUND((ROUND((_11_A家事１．０*_11・基礎２),0)*(1+_11・A夜間)),0)*_11・初任),0)+ROUND((ROUND((ROUND((_11_B家事１．０＿０．５*_11・基礎２),0)*(1+_11・B深夜)),0)*_11・初任),0)</f>
        <v>228</v>
      </c>
      <c r="Y77" s="48"/>
    </row>
    <row r="78" spans="1:25" ht="16.5" customHeight="1" x14ac:dyDescent="0.15">
      <c r="A78" s="41">
        <v>11</v>
      </c>
      <c r="B78" s="41" t="s">
        <v>9949</v>
      </c>
      <c r="C78" s="74" t="s">
        <v>9950</v>
      </c>
      <c r="D78" s="35"/>
      <c r="F78" s="171"/>
      <c r="G78" s="178"/>
      <c r="J78" s="757"/>
      <c r="K78" s="216"/>
      <c r="L78" s="38"/>
      <c r="M78" s="44" t="s">
        <v>397</v>
      </c>
      <c r="N78" s="247" t="s">
        <v>398</v>
      </c>
      <c r="O78" s="46">
        <v>1</v>
      </c>
      <c r="P78" s="35"/>
      <c r="S78" s="35"/>
      <c r="V78" s="240" t="s">
        <v>398</v>
      </c>
      <c r="W78" s="38">
        <f>_11・初任</f>
        <v>0.7</v>
      </c>
      <c r="X78" s="208">
        <f>ROUND((ROUND((ROUND((ROUND((_11_A家事１．０*_11・基礎２),0)*_11・２人),0)*(1+_11・A夜間)),0)*_11・初任),0)+ROUND((ROUND((ROUND((ROUND((_11_B家事１．０＿０．５*_11・基礎２),0)*_11・２人),0)*(1+_11・B深夜)),0)*_11・初任),0)</f>
        <v>228</v>
      </c>
      <c r="Y78" s="48"/>
    </row>
    <row r="79" spans="1:25" ht="16.5" customHeight="1" x14ac:dyDescent="0.15">
      <c r="A79" s="41">
        <v>11</v>
      </c>
      <c r="B79" s="41">
        <v>7935</v>
      </c>
      <c r="C79" s="74" t="s">
        <v>9951</v>
      </c>
      <c r="D79" s="735" t="s">
        <v>9952</v>
      </c>
      <c r="E79" s="708"/>
      <c r="F79" s="717"/>
      <c r="G79" s="707" t="s">
        <v>9838</v>
      </c>
      <c r="H79" s="708"/>
      <c r="I79" s="717"/>
      <c r="J79" s="114"/>
      <c r="K79" s="221"/>
      <c r="L79" s="50"/>
      <c r="M79" s="44"/>
      <c r="N79" s="247"/>
      <c r="O79" s="46"/>
      <c r="P79" s="35"/>
      <c r="S79" s="35"/>
      <c r="V79" s="53"/>
      <c r="W79" s="50"/>
      <c r="X79" s="208">
        <f>ROUND((_11_A家事１．２５*(1+_11・A夜間)),0)+ROUND((_11_B家事１．２５＿０．２５*(1+_11・B深夜)),0)</f>
        <v>352</v>
      </c>
      <c r="Y79" s="48"/>
    </row>
    <row r="80" spans="1:25" ht="16.5" customHeight="1" x14ac:dyDescent="0.15">
      <c r="A80" s="41">
        <v>11</v>
      </c>
      <c r="B80" s="41">
        <v>7936</v>
      </c>
      <c r="C80" s="74" t="s">
        <v>9953</v>
      </c>
      <c r="D80" s="736"/>
      <c r="E80" s="704"/>
      <c r="F80" s="718"/>
      <c r="G80" s="709"/>
      <c r="H80" s="704"/>
      <c r="I80" s="718"/>
      <c r="J80" s="122"/>
      <c r="K80" s="216"/>
      <c r="L80" s="38"/>
      <c r="M80" s="44" t="s">
        <v>397</v>
      </c>
      <c r="N80" s="247" t="s">
        <v>398</v>
      </c>
      <c r="O80" s="46">
        <v>1</v>
      </c>
      <c r="P80" s="35"/>
      <c r="S80" s="35"/>
      <c r="V80" s="35"/>
      <c r="X80" s="208">
        <f>ROUND((ROUND((_11_A家事１．２５*_11・２人),0)*(1+_11・A夜間)),0)+ROUND((ROUND((_11_B家事１．２５＿０．２５*_11・２人),0)*(1+_11・B深夜)),0)</f>
        <v>352</v>
      </c>
      <c r="Y80" s="48"/>
    </row>
    <row r="81" spans="1:25" ht="16.5" customHeight="1" x14ac:dyDescent="0.15">
      <c r="A81" s="41">
        <v>11</v>
      </c>
      <c r="B81" s="41">
        <v>7937</v>
      </c>
      <c r="C81" s="74" t="s">
        <v>9954</v>
      </c>
      <c r="D81" s="736"/>
      <c r="E81" s="704"/>
      <c r="F81" s="718"/>
      <c r="G81" s="709"/>
      <c r="H81" s="704"/>
      <c r="I81" s="718"/>
      <c r="J81" s="752" t="s">
        <v>400</v>
      </c>
      <c r="K81" s="221" t="s">
        <v>398</v>
      </c>
      <c r="L81" s="50">
        <v>0.9</v>
      </c>
      <c r="M81" s="44"/>
      <c r="N81" s="247"/>
      <c r="O81" s="46"/>
      <c r="P81" s="35"/>
      <c r="S81" s="35"/>
      <c r="V81" s="35"/>
      <c r="X81" s="208">
        <f>ROUND((ROUND((_11_A家事１．２５*_11・基礎２),0)*(1+_11・A夜間)),0)+ROUND((ROUND((_11_B家事１．２５＿０．２５*_11・基礎２),0)*(1+_11・B深夜)),0)</f>
        <v>316</v>
      </c>
      <c r="Y81" s="48"/>
    </row>
    <row r="82" spans="1:25" ht="16.5" customHeight="1" x14ac:dyDescent="0.15">
      <c r="A82" s="41">
        <v>11</v>
      </c>
      <c r="B82" s="41">
        <v>7938</v>
      </c>
      <c r="C82" s="74" t="s">
        <v>9955</v>
      </c>
      <c r="D82" s="35"/>
      <c r="E82" s="168">
        <f>_11_A家事１．２５</f>
        <v>238</v>
      </c>
      <c r="F82" s="171" t="s">
        <v>392</v>
      </c>
      <c r="G82" s="178"/>
      <c r="H82" s="170">
        <f>_11_B家事１．２５＿０．２５</f>
        <v>36</v>
      </c>
      <c r="I82" s="12" t="s">
        <v>392</v>
      </c>
      <c r="J82" s="757"/>
      <c r="K82" s="216"/>
      <c r="L82" s="38"/>
      <c r="M82" s="44" t="s">
        <v>397</v>
      </c>
      <c r="N82" s="247" t="s">
        <v>398</v>
      </c>
      <c r="O82" s="46">
        <v>1</v>
      </c>
      <c r="P82" s="35"/>
      <c r="S82" s="35"/>
      <c r="V82" s="43"/>
      <c r="W82" s="38"/>
      <c r="X82" s="208">
        <f>ROUND((ROUND((ROUND((_11_A家事１．２５*_11・基礎２),0)*_11・２人),0)*(1+_11・A夜間)),0)+ROUND((ROUND((ROUND((_11_B家事１．２５＿０．２５*_11・基礎２),0)*_11・２人),0)*(1+_11・B深夜)),0)</f>
        <v>316</v>
      </c>
      <c r="Y82" s="48"/>
    </row>
    <row r="83" spans="1:25" ht="16.5" customHeight="1" x14ac:dyDescent="0.15">
      <c r="A83" s="41">
        <v>11</v>
      </c>
      <c r="B83" s="41" t="s">
        <v>9956</v>
      </c>
      <c r="C83" s="74" t="s">
        <v>9957</v>
      </c>
      <c r="D83" s="35"/>
      <c r="F83" s="171"/>
      <c r="G83" s="178"/>
      <c r="J83" s="114"/>
      <c r="K83" s="221"/>
      <c r="L83" s="50"/>
      <c r="M83" s="44"/>
      <c r="N83" s="247"/>
      <c r="O83" s="46"/>
      <c r="P83" s="35"/>
      <c r="S83" s="35"/>
      <c r="V83" s="707" t="s">
        <v>404</v>
      </c>
      <c r="W83" s="708"/>
      <c r="X83" s="208">
        <f>ROUND((ROUND((_11_A家事１．２５*(1+_11・A夜間)),0)*_11・初任),0)+ROUND((ROUND((_11_B家事１．２５＿０．２５*(1+_11・B深夜)),0)*_11・初任),0)</f>
        <v>247</v>
      </c>
      <c r="Y83" s="48"/>
    </row>
    <row r="84" spans="1:25" ht="16.5" customHeight="1" x14ac:dyDescent="0.15">
      <c r="A84" s="41">
        <v>11</v>
      </c>
      <c r="B84" s="41" t="s">
        <v>9958</v>
      </c>
      <c r="C84" s="74" t="s">
        <v>9959</v>
      </c>
      <c r="D84" s="35"/>
      <c r="F84" s="171"/>
      <c r="G84" s="178"/>
      <c r="J84" s="122"/>
      <c r="K84" s="216"/>
      <c r="L84" s="38"/>
      <c r="M84" s="44" t="s">
        <v>397</v>
      </c>
      <c r="N84" s="247" t="s">
        <v>398</v>
      </c>
      <c r="O84" s="46">
        <v>1</v>
      </c>
      <c r="P84" s="35"/>
      <c r="S84" s="35"/>
      <c r="V84" s="709"/>
      <c r="W84" s="704"/>
      <c r="X84" s="208">
        <f>ROUND((ROUND((ROUND((_11_A家事１．２５*_11・２人),0)*(1+_11・A夜間)),0)*_11・初任),0)+ROUND((ROUND((ROUND((_11_B家事１．２５＿０．２５*_11・２人),0)*(1+_11・B深夜)),0)*_11・初任),0)</f>
        <v>247</v>
      </c>
      <c r="Y84" s="48"/>
    </row>
    <row r="85" spans="1:25" ht="16.5" customHeight="1" x14ac:dyDescent="0.15">
      <c r="A85" s="41">
        <v>11</v>
      </c>
      <c r="B85" s="41" t="s">
        <v>9960</v>
      </c>
      <c r="C85" s="74" t="s">
        <v>9961</v>
      </c>
      <c r="D85" s="35"/>
      <c r="F85" s="171"/>
      <c r="G85" s="178"/>
      <c r="J85" s="752" t="s">
        <v>400</v>
      </c>
      <c r="K85" s="221" t="s">
        <v>398</v>
      </c>
      <c r="L85" s="50">
        <v>0.9</v>
      </c>
      <c r="M85" s="44"/>
      <c r="N85" s="247"/>
      <c r="O85" s="46"/>
      <c r="P85" s="35"/>
      <c r="S85" s="35"/>
      <c r="V85" s="709"/>
      <c r="W85" s="704"/>
      <c r="X85" s="208">
        <f>ROUND((ROUND((ROUND((_11_A家事１．２５*_11・基礎２),0)*(1+_11・A夜間)),0)*_11・初任),0)+ROUND((ROUND((ROUND((_11_B家事１．２５＿０．２５*_11・基礎２),0)*(1+_11・B深夜)),0)*_11・初任),0)</f>
        <v>222</v>
      </c>
      <c r="Y85" s="48"/>
    </row>
    <row r="86" spans="1:25" ht="16.5" customHeight="1" x14ac:dyDescent="0.15">
      <c r="A86" s="41">
        <v>11</v>
      </c>
      <c r="B86" s="41" t="s">
        <v>9962</v>
      </c>
      <c r="C86" s="74" t="s">
        <v>9963</v>
      </c>
      <c r="D86" s="43"/>
      <c r="E86" s="190"/>
      <c r="F86" s="175"/>
      <c r="G86" s="180"/>
      <c r="H86" s="190"/>
      <c r="I86" s="37"/>
      <c r="J86" s="757"/>
      <c r="K86" s="216"/>
      <c r="L86" s="38"/>
      <c r="M86" s="44" t="s">
        <v>397</v>
      </c>
      <c r="N86" s="247" t="s">
        <v>398</v>
      </c>
      <c r="O86" s="46">
        <v>1</v>
      </c>
      <c r="P86" s="43"/>
      <c r="Q86" s="37"/>
      <c r="R86" s="38"/>
      <c r="S86" s="43"/>
      <c r="T86" s="37"/>
      <c r="U86" s="38"/>
      <c r="V86" s="240" t="s">
        <v>398</v>
      </c>
      <c r="W86" s="38">
        <f>_11・初任</f>
        <v>0.7</v>
      </c>
      <c r="X86" s="208">
        <f>ROUND((ROUND((ROUND((ROUND((_11_A家事１．２５*_11・基礎２),0)*_11・２人),0)*(1+_11・A夜間)),0)*_11・初任),0)+ROUND((ROUND((ROUND((ROUND((_11_B家事１．２５＿０．２５*_11・基礎２),0)*_11・２人),0)*(1+_11・B深夜)),0)*_11・初任),0)</f>
        <v>222</v>
      </c>
      <c r="Y86" s="63"/>
    </row>
    <row r="87" spans="1:25" ht="16.5" customHeight="1" x14ac:dyDescent="0.15"/>
    <row r="88" spans="1:25" ht="16.5" customHeight="1" x14ac:dyDescent="0.15"/>
  </sheetData>
  <mergeCells count="49">
    <mergeCell ref="D79:F81"/>
    <mergeCell ref="G79:I81"/>
    <mergeCell ref="J81:J82"/>
    <mergeCell ref="V83:W85"/>
    <mergeCell ref="J85:J86"/>
    <mergeCell ref="V67:W69"/>
    <mergeCell ref="J69:J70"/>
    <mergeCell ref="G71:I73"/>
    <mergeCell ref="J73:J74"/>
    <mergeCell ref="V75:W77"/>
    <mergeCell ref="J77:J78"/>
    <mergeCell ref="G55:I57"/>
    <mergeCell ref="J57:J58"/>
    <mergeCell ref="V59:W61"/>
    <mergeCell ref="J61:J62"/>
    <mergeCell ref="D63:F65"/>
    <mergeCell ref="G63:I65"/>
    <mergeCell ref="J65:J66"/>
    <mergeCell ref="V43:W45"/>
    <mergeCell ref="J45:J46"/>
    <mergeCell ref="G47:I49"/>
    <mergeCell ref="J49:J50"/>
    <mergeCell ref="V51:W53"/>
    <mergeCell ref="J53:J54"/>
    <mergeCell ref="G31:I33"/>
    <mergeCell ref="J33:J34"/>
    <mergeCell ref="V35:W37"/>
    <mergeCell ref="J37:J38"/>
    <mergeCell ref="D39:F41"/>
    <mergeCell ref="G39:I41"/>
    <mergeCell ref="J41:J42"/>
    <mergeCell ref="V19:W21"/>
    <mergeCell ref="J21:J22"/>
    <mergeCell ref="G23:I25"/>
    <mergeCell ref="J25:J26"/>
    <mergeCell ref="V27:W29"/>
    <mergeCell ref="J29:J30"/>
    <mergeCell ref="U8:U9"/>
    <mergeCell ref="J9:J10"/>
    <mergeCell ref="V11:W13"/>
    <mergeCell ref="J13:J14"/>
    <mergeCell ref="G15:I17"/>
    <mergeCell ref="J17:J18"/>
    <mergeCell ref="D6:F6"/>
    <mergeCell ref="G6:I6"/>
    <mergeCell ref="D7:F9"/>
    <mergeCell ref="G7:I9"/>
    <mergeCell ref="P7:R7"/>
    <mergeCell ref="R8:R9"/>
  </mergeCells>
  <phoneticPr fontId="1"/>
  <printOptions horizontalCentered="1"/>
  <pageMargins left="0.70866141732283472" right="0.70866141732283472" top="0.74803149606299213" bottom="0.74803149606299213" header="0.31496062992125984" footer="0.31496062992125984"/>
  <pageSetup paperSize="9" scale="48" fitToHeight="0" orientation="portrait" r:id="rId1"/>
  <headerFooter>
    <oddHeader>&amp;R&amp;"ＭＳ Ｐゴシック"&amp;9居宅介護</oddHeader>
    <oddFooter>&amp;C&amp;"ＭＳ Ｐゴシック"&amp;14&amp;P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3">
    <pageSetUpPr fitToPage="1"/>
  </sheetPr>
  <dimension ref="A1:V8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2.5" style="10" bestFit="1" customWidth="1"/>
    <col min="4" max="4" width="2.5" style="12" customWidth="1"/>
    <col min="5" max="5" width="4.875" style="10" customWidth="1"/>
    <col min="6" max="6" width="4.875" style="12" customWidth="1"/>
    <col min="7" max="7" width="2.5" style="12" customWidth="1"/>
    <col min="8" max="8" width="4.875" style="10" customWidth="1"/>
    <col min="9" max="9" width="4.875" style="12" customWidth="1"/>
    <col min="10" max="10" width="11.875" style="10" customWidth="1"/>
    <col min="11" max="11" width="2.5" style="16" customWidth="1"/>
    <col min="12" max="12" width="4.5" style="13" bestFit="1" customWidth="1"/>
    <col min="13" max="13" width="24.5" style="14" customWidth="1"/>
    <col min="14" max="14" width="2.5" style="16" customWidth="1"/>
    <col min="15" max="15" width="5.5" style="13" bestFit="1" customWidth="1"/>
    <col min="16" max="17" width="4" style="12" customWidth="1"/>
    <col min="18" max="18" width="5" style="13" customWidth="1"/>
    <col min="19" max="19" width="9.875" style="12" customWidth="1"/>
    <col min="20" max="20" width="4.5" style="13" bestFit="1" customWidth="1"/>
    <col min="21" max="21" width="7.125" style="206" customWidth="1"/>
    <col min="22" max="22" width="8.5" style="16" customWidth="1"/>
    <col min="23" max="16384" width="8.875" style="12"/>
  </cols>
  <sheetData>
    <row r="1" spans="1:22" ht="17.100000000000001" customHeight="1" x14ac:dyDescent="0.15"/>
    <row r="2" spans="1:22" ht="17.100000000000001" customHeight="1" x14ac:dyDescent="0.15"/>
    <row r="3" spans="1:22" ht="17.100000000000001" customHeight="1" x14ac:dyDescent="0.15"/>
    <row r="4" spans="1:22" ht="17.100000000000001" customHeight="1" x14ac:dyDescent="0.15">
      <c r="B4" s="17" t="s">
        <v>9964</v>
      </c>
      <c r="E4" s="71"/>
    </row>
    <row r="5" spans="1:22" ht="16.5" customHeight="1" x14ac:dyDescent="0.15">
      <c r="A5" s="19" t="s">
        <v>384</v>
      </c>
      <c r="B5" s="20"/>
      <c r="C5" s="21" t="s">
        <v>385</v>
      </c>
      <c r="D5" s="235" t="s">
        <v>386</v>
      </c>
      <c r="E5" s="23"/>
      <c r="F5" s="23"/>
      <c r="G5" s="23"/>
      <c r="H5" s="23"/>
      <c r="I5" s="23"/>
      <c r="J5" s="23"/>
      <c r="K5" s="23"/>
      <c r="L5" s="24"/>
      <c r="M5" s="23"/>
      <c r="N5" s="23"/>
      <c r="O5" s="24"/>
      <c r="P5" s="23"/>
      <c r="Q5" s="23"/>
      <c r="R5" s="24"/>
      <c r="S5" s="23"/>
      <c r="T5" s="24"/>
      <c r="U5" s="21" t="s">
        <v>387</v>
      </c>
      <c r="V5" s="21" t="s">
        <v>388</v>
      </c>
    </row>
    <row r="6" spans="1:22" ht="16.5" customHeight="1" x14ac:dyDescent="0.15">
      <c r="A6" s="26" t="s">
        <v>389</v>
      </c>
      <c r="B6" s="26" t="s">
        <v>390</v>
      </c>
      <c r="C6" s="27"/>
      <c r="D6" s="159"/>
      <c r="E6" s="29"/>
      <c r="F6" s="29"/>
      <c r="G6" s="726" t="s">
        <v>1032</v>
      </c>
      <c r="H6" s="731"/>
      <c r="I6" s="727"/>
      <c r="J6" s="29"/>
      <c r="K6" s="214"/>
      <c r="L6" s="30"/>
      <c r="M6" s="29"/>
      <c r="N6" s="214"/>
      <c r="O6" s="30"/>
      <c r="P6" s="29"/>
      <c r="Q6" s="29"/>
      <c r="R6" s="30"/>
      <c r="S6" s="29"/>
      <c r="T6" s="30"/>
      <c r="U6" s="32" t="s">
        <v>391</v>
      </c>
      <c r="V6" s="32" t="s">
        <v>392</v>
      </c>
    </row>
    <row r="7" spans="1:22" ht="16.5" customHeight="1" x14ac:dyDescent="0.15">
      <c r="A7" s="41">
        <v>11</v>
      </c>
      <c r="B7" s="41">
        <v>7939</v>
      </c>
      <c r="C7" s="74" t="s">
        <v>9965</v>
      </c>
      <c r="D7" s="793" t="s">
        <v>3848</v>
      </c>
      <c r="E7" s="707" t="s">
        <v>861</v>
      </c>
      <c r="F7" s="740"/>
      <c r="G7" s="793" t="s">
        <v>9966</v>
      </c>
      <c r="H7" s="707" t="s">
        <v>9967</v>
      </c>
      <c r="I7" s="717"/>
      <c r="J7" s="114"/>
      <c r="K7" s="221"/>
      <c r="L7" s="50"/>
      <c r="M7" s="44"/>
      <c r="N7" s="247"/>
      <c r="O7" s="46"/>
      <c r="P7" s="53" t="s">
        <v>1036</v>
      </c>
      <c r="Q7" s="49"/>
      <c r="R7" s="251"/>
      <c r="S7" s="53"/>
      <c r="T7" s="50"/>
      <c r="U7" s="208">
        <f>+ROUND((_11_B家事０．５＿０．２５*(1+_11・B深夜)),0)</f>
        <v>71</v>
      </c>
      <c r="V7" s="128" t="s">
        <v>395</v>
      </c>
    </row>
    <row r="8" spans="1:22" ht="16.5" customHeight="1" x14ac:dyDescent="0.15">
      <c r="A8" s="41">
        <v>11</v>
      </c>
      <c r="B8" s="41">
        <v>7940</v>
      </c>
      <c r="C8" s="74" t="s">
        <v>9968</v>
      </c>
      <c r="D8" s="794"/>
      <c r="E8" s="709"/>
      <c r="F8" s="739"/>
      <c r="G8" s="794"/>
      <c r="H8" s="709"/>
      <c r="I8" s="718"/>
      <c r="J8" s="122"/>
      <c r="K8" s="216"/>
      <c r="L8" s="38"/>
      <c r="M8" s="44" t="s">
        <v>397</v>
      </c>
      <c r="N8" s="247" t="s">
        <v>398</v>
      </c>
      <c r="O8" s="46">
        <v>1</v>
      </c>
      <c r="P8" s="92" t="s">
        <v>398</v>
      </c>
      <c r="Q8" s="13">
        <v>0.5</v>
      </c>
      <c r="R8" s="792" t="s">
        <v>676</v>
      </c>
      <c r="S8" s="35"/>
      <c r="U8" s="208">
        <f>+ROUND((ROUND((_11_B家事０．５＿０．２５*_11・２人),0)*(1+_11・B深夜)),0)</f>
        <v>71</v>
      </c>
      <c r="V8" s="48"/>
    </row>
    <row r="9" spans="1:22" ht="16.5" customHeight="1" x14ac:dyDescent="0.15">
      <c r="A9" s="41">
        <v>11</v>
      </c>
      <c r="B9" s="41">
        <v>7941</v>
      </c>
      <c r="C9" s="74" t="s">
        <v>9969</v>
      </c>
      <c r="D9" s="794"/>
      <c r="E9" s="709"/>
      <c r="F9" s="739"/>
      <c r="G9" s="794"/>
      <c r="H9" s="709"/>
      <c r="I9" s="718"/>
      <c r="J9" s="752" t="s">
        <v>400</v>
      </c>
      <c r="K9" s="221" t="s">
        <v>398</v>
      </c>
      <c r="L9" s="50">
        <v>0.9</v>
      </c>
      <c r="M9" s="44"/>
      <c r="N9" s="247"/>
      <c r="O9" s="46"/>
      <c r="P9" s="35"/>
      <c r="R9" s="792"/>
      <c r="S9" s="35"/>
      <c r="U9" s="208">
        <f>+ROUND((ROUND((_11_B家事０．５＿０．２５*_11・基礎２),0)*(1+_11・B深夜)),0)</f>
        <v>63</v>
      </c>
      <c r="V9" s="48"/>
    </row>
    <row r="10" spans="1:22" ht="16.5" customHeight="1" x14ac:dyDescent="0.15">
      <c r="A10" s="41">
        <v>11</v>
      </c>
      <c r="B10" s="41">
        <v>7942</v>
      </c>
      <c r="C10" s="74" t="s">
        <v>9970</v>
      </c>
      <c r="D10" s="794"/>
      <c r="E10" s="72"/>
      <c r="F10" s="171"/>
      <c r="G10" s="794"/>
      <c r="H10" s="100">
        <f>_11_B家事０．５＿０．２５</f>
        <v>47</v>
      </c>
      <c r="I10" s="12" t="s">
        <v>392</v>
      </c>
      <c r="J10" s="757"/>
      <c r="K10" s="216"/>
      <c r="L10" s="38"/>
      <c r="M10" s="44" t="s">
        <v>397</v>
      </c>
      <c r="N10" s="247" t="s">
        <v>398</v>
      </c>
      <c r="O10" s="46">
        <v>1</v>
      </c>
      <c r="P10" s="35"/>
      <c r="S10" s="43"/>
      <c r="T10" s="38"/>
      <c r="U10" s="208">
        <f>+ROUND((ROUND((ROUND((_11_B家事０．５＿０．２５*_11・基礎２),0)*_11・２人),0)*(1+_11・B深夜)),0)</f>
        <v>63</v>
      </c>
      <c r="V10" s="48"/>
    </row>
    <row r="11" spans="1:22" ht="16.5" customHeight="1" x14ac:dyDescent="0.15">
      <c r="A11" s="41">
        <v>11</v>
      </c>
      <c r="B11" s="41" t="s">
        <v>9971</v>
      </c>
      <c r="C11" s="74" t="s">
        <v>9972</v>
      </c>
      <c r="D11" s="794"/>
      <c r="E11" s="72"/>
      <c r="F11" s="171"/>
      <c r="G11" s="794"/>
      <c r="H11" s="72"/>
      <c r="J11" s="114"/>
      <c r="K11" s="221"/>
      <c r="L11" s="50"/>
      <c r="M11" s="44"/>
      <c r="N11" s="247"/>
      <c r="O11" s="46"/>
      <c r="P11" s="35"/>
      <c r="S11" s="707" t="s">
        <v>404</v>
      </c>
      <c r="T11" s="708"/>
      <c r="U11" s="208">
        <f>+ROUND((ROUND((_11_B家事０．５＿０．２５*(1+_11・B深夜)),0)*_11・初任),0)</f>
        <v>50</v>
      </c>
      <c r="V11" s="48"/>
    </row>
    <row r="12" spans="1:22" ht="16.5" customHeight="1" x14ac:dyDescent="0.15">
      <c r="A12" s="41">
        <v>11</v>
      </c>
      <c r="B12" s="41" t="s">
        <v>9973</v>
      </c>
      <c r="C12" s="74" t="s">
        <v>9974</v>
      </c>
      <c r="D12" s="794"/>
      <c r="E12" s="72"/>
      <c r="F12" s="171"/>
      <c r="G12" s="794"/>
      <c r="H12" s="72"/>
      <c r="J12" s="122"/>
      <c r="K12" s="216"/>
      <c r="L12" s="38"/>
      <c r="M12" s="44" t="s">
        <v>397</v>
      </c>
      <c r="N12" s="247" t="s">
        <v>398</v>
      </c>
      <c r="O12" s="46">
        <v>1</v>
      </c>
      <c r="P12" s="35"/>
      <c r="S12" s="709"/>
      <c r="T12" s="704"/>
      <c r="U12" s="208">
        <f>+ROUND((ROUND((ROUND((_11_B家事０．５＿０．２５*_11・２人),0)*(1+_11・B深夜)),0)*_11・初任),0)</f>
        <v>50</v>
      </c>
      <c r="V12" s="48"/>
    </row>
    <row r="13" spans="1:22" ht="16.5" customHeight="1" x14ac:dyDescent="0.15">
      <c r="A13" s="41">
        <v>11</v>
      </c>
      <c r="B13" s="41" t="s">
        <v>9975</v>
      </c>
      <c r="C13" s="74" t="s">
        <v>9976</v>
      </c>
      <c r="D13" s="794"/>
      <c r="E13" s="72"/>
      <c r="F13" s="171"/>
      <c r="G13" s="794"/>
      <c r="H13" s="72"/>
      <c r="J13" s="752" t="s">
        <v>400</v>
      </c>
      <c r="K13" s="221" t="s">
        <v>398</v>
      </c>
      <c r="L13" s="50">
        <v>0.9</v>
      </c>
      <c r="M13" s="44"/>
      <c r="N13" s="247"/>
      <c r="O13" s="46"/>
      <c r="P13" s="35"/>
      <c r="S13" s="709"/>
      <c r="T13" s="704"/>
      <c r="U13" s="208">
        <f>+ROUND((ROUND((ROUND((_11_B家事０．５＿０．２５*_11・基礎２),0)*(1+_11・B深夜)),0)*_11・初任),0)</f>
        <v>44</v>
      </c>
      <c r="V13" s="48"/>
    </row>
    <row r="14" spans="1:22" ht="16.5" customHeight="1" x14ac:dyDescent="0.15">
      <c r="A14" s="41">
        <v>11</v>
      </c>
      <c r="B14" s="41" t="s">
        <v>9977</v>
      </c>
      <c r="C14" s="74" t="s">
        <v>9978</v>
      </c>
      <c r="D14" s="794"/>
      <c r="E14" s="72"/>
      <c r="F14" s="171"/>
      <c r="G14" s="794"/>
      <c r="H14" s="72"/>
      <c r="J14" s="757"/>
      <c r="K14" s="216"/>
      <c r="L14" s="38"/>
      <c r="M14" s="44" t="s">
        <v>397</v>
      </c>
      <c r="N14" s="247" t="s">
        <v>398</v>
      </c>
      <c r="O14" s="46">
        <v>1</v>
      </c>
      <c r="P14" s="35"/>
      <c r="S14" s="240" t="s">
        <v>398</v>
      </c>
      <c r="T14" s="38">
        <f>_11・初任</f>
        <v>0.7</v>
      </c>
      <c r="U14" s="208">
        <f>+ROUND((ROUND((ROUND((ROUND((_11_B家事０．５＿０．２５*_11・基礎２),0)*_11・２人),0)*(1+_11・B深夜)),0)*_11・初任),0)</f>
        <v>44</v>
      </c>
      <c r="V14" s="48"/>
    </row>
    <row r="15" spans="1:22" ht="16.5" customHeight="1" x14ac:dyDescent="0.15">
      <c r="A15" s="41">
        <v>11</v>
      </c>
      <c r="B15" s="41">
        <v>6351</v>
      </c>
      <c r="C15" s="74" t="s">
        <v>9979</v>
      </c>
      <c r="D15" s="794"/>
      <c r="E15" s="72"/>
      <c r="F15" s="171"/>
      <c r="G15" s="794"/>
      <c r="H15" s="707" t="s">
        <v>9980</v>
      </c>
      <c r="I15" s="717"/>
      <c r="J15" s="114"/>
      <c r="K15" s="221"/>
      <c r="L15" s="50"/>
      <c r="M15" s="44"/>
      <c r="N15" s="247"/>
      <c r="O15" s="46"/>
      <c r="P15" s="35"/>
      <c r="S15" s="53"/>
      <c r="T15" s="50"/>
      <c r="U15" s="208">
        <f>+ROUND((_11_B家事０．５＿０．５*(1+_11・B深夜)),0)</f>
        <v>137</v>
      </c>
      <c r="V15" s="48"/>
    </row>
    <row r="16" spans="1:22" ht="16.5" customHeight="1" x14ac:dyDescent="0.15">
      <c r="A16" s="41">
        <v>11</v>
      </c>
      <c r="B16" s="41">
        <v>6352</v>
      </c>
      <c r="C16" s="74" t="s">
        <v>9981</v>
      </c>
      <c r="D16" s="794"/>
      <c r="E16" s="72"/>
      <c r="F16" s="171"/>
      <c r="G16" s="794"/>
      <c r="H16" s="709"/>
      <c r="I16" s="718"/>
      <c r="J16" s="122"/>
      <c r="K16" s="216"/>
      <c r="L16" s="38"/>
      <c r="M16" s="44" t="s">
        <v>397</v>
      </c>
      <c r="N16" s="247" t="s">
        <v>398</v>
      </c>
      <c r="O16" s="46">
        <v>1</v>
      </c>
      <c r="P16" s="35"/>
      <c r="S16" s="35"/>
      <c r="U16" s="208">
        <f>+ROUND((ROUND((_11_B家事０．５＿０．５*_11・２人),0)*(1+_11・B深夜)),0)</f>
        <v>137</v>
      </c>
      <c r="V16" s="48"/>
    </row>
    <row r="17" spans="1:22" ht="16.5" customHeight="1" x14ac:dyDescent="0.15">
      <c r="A17" s="41">
        <v>11</v>
      </c>
      <c r="B17" s="41">
        <v>6353</v>
      </c>
      <c r="C17" s="74" t="s">
        <v>9982</v>
      </c>
      <c r="D17" s="794"/>
      <c r="E17" s="72"/>
      <c r="F17" s="171"/>
      <c r="G17" s="794"/>
      <c r="H17" s="709"/>
      <c r="I17" s="718"/>
      <c r="J17" s="752" t="s">
        <v>400</v>
      </c>
      <c r="K17" s="221" t="s">
        <v>398</v>
      </c>
      <c r="L17" s="50">
        <v>0.9</v>
      </c>
      <c r="M17" s="44"/>
      <c r="N17" s="247"/>
      <c r="O17" s="46"/>
      <c r="P17" s="35"/>
      <c r="S17" s="35"/>
      <c r="U17" s="208">
        <f>+ROUND((ROUND((_11_B家事０．５＿０．５*_11・基礎２),0)*(1+_11・B深夜)),0)</f>
        <v>123</v>
      </c>
      <c r="V17" s="48"/>
    </row>
    <row r="18" spans="1:22" ht="16.5" customHeight="1" x14ac:dyDescent="0.15">
      <c r="A18" s="41">
        <v>11</v>
      </c>
      <c r="B18" s="41">
        <v>6354</v>
      </c>
      <c r="C18" s="74" t="s">
        <v>9983</v>
      </c>
      <c r="D18" s="794"/>
      <c r="E18" s="72"/>
      <c r="F18" s="171"/>
      <c r="G18" s="794"/>
      <c r="H18" s="100">
        <f>_11_B家事０．５＿０．５</f>
        <v>91</v>
      </c>
      <c r="I18" s="12" t="s">
        <v>392</v>
      </c>
      <c r="J18" s="757"/>
      <c r="K18" s="216"/>
      <c r="L18" s="38"/>
      <c r="M18" s="44" t="s">
        <v>397</v>
      </c>
      <c r="N18" s="247" t="s">
        <v>398</v>
      </c>
      <c r="O18" s="46">
        <v>1</v>
      </c>
      <c r="P18" s="35"/>
      <c r="S18" s="43"/>
      <c r="T18" s="38"/>
      <c r="U18" s="208">
        <f>+ROUND((ROUND((ROUND((_11_B家事０．５＿０．５*_11・基礎２),0)*_11・２人),0)*(1+_11・B深夜)),0)</f>
        <v>123</v>
      </c>
      <c r="V18" s="48"/>
    </row>
    <row r="19" spans="1:22" ht="16.5" customHeight="1" x14ac:dyDescent="0.15">
      <c r="A19" s="41">
        <v>11</v>
      </c>
      <c r="B19" s="41" t="s">
        <v>9984</v>
      </c>
      <c r="C19" s="74" t="s">
        <v>9985</v>
      </c>
      <c r="D19" s="794"/>
      <c r="E19" s="72"/>
      <c r="F19" s="171"/>
      <c r="G19" s="794"/>
      <c r="H19" s="72"/>
      <c r="J19" s="114"/>
      <c r="K19" s="221"/>
      <c r="L19" s="50"/>
      <c r="M19" s="44"/>
      <c r="N19" s="247"/>
      <c r="O19" s="46"/>
      <c r="P19" s="35"/>
      <c r="S19" s="707" t="s">
        <v>404</v>
      </c>
      <c r="T19" s="708"/>
      <c r="U19" s="208">
        <f>+ROUND((ROUND((_11_B家事０．５＿０．５*(1+_11・B深夜)),0)*_11・初任),0)</f>
        <v>96</v>
      </c>
      <c r="V19" s="48"/>
    </row>
    <row r="20" spans="1:22" ht="16.5" customHeight="1" x14ac:dyDescent="0.15">
      <c r="A20" s="41">
        <v>11</v>
      </c>
      <c r="B20" s="41" t="s">
        <v>9986</v>
      </c>
      <c r="C20" s="74" t="s">
        <v>9987</v>
      </c>
      <c r="D20" s="794"/>
      <c r="E20" s="72"/>
      <c r="F20" s="171"/>
      <c r="G20" s="794"/>
      <c r="H20" s="72"/>
      <c r="J20" s="122"/>
      <c r="K20" s="216"/>
      <c r="L20" s="38"/>
      <c r="M20" s="44" t="s">
        <v>397</v>
      </c>
      <c r="N20" s="247" t="s">
        <v>398</v>
      </c>
      <c r="O20" s="46">
        <v>1</v>
      </c>
      <c r="P20" s="35"/>
      <c r="S20" s="709"/>
      <c r="T20" s="704"/>
      <c r="U20" s="208">
        <f>+ROUND((ROUND((ROUND((_11_B家事０．５＿０．５*_11・２人),0)*(1+_11・B深夜)),0)*_11・初任),0)</f>
        <v>96</v>
      </c>
      <c r="V20" s="48"/>
    </row>
    <row r="21" spans="1:22" ht="16.5" customHeight="1" x14ac:dyDescent="0.15">
      <c r="A21" s="41">
        <v>11</v>
      </c>
      <c r="B21" s="41" t="s">
        <v>9988</v>
      </c>
      <c r="C21" s="74" t="s">
        <v>9989</v>
      </c>
      <c r="D21" s="794"/>
      <c r="E21" s="72"/>
      <c r="F21" s="171"/>
      <c r="G21" s="794"/>
      <c r="H21" s="72"/>
      <c r="J21" s="752" t="s">
        <v>400</v>
      </c>
      <c r="K21" s="221" t="s">
        <v>398</v>
      </c>
      <c r="L21" s="50">
        <v>0.9</v>
      </c>
      <c r="M21" s="44"/>
      <c r="N21" s="247"/>
      <c r="O21" s="46"/>
      <c r="P21" s="35"/>
      <c r="S21" s="709"/>
      <c r="T21" s="704"/>
      <c r="U21" s="208">
        <f>+ROUND((ROUND((ROUND((_11_B家事０．５＿０．５*_11・基礎２),0)*(1+_11・B深夜)),0)*_11・初任),0)</f>
        <v>86</v>
      </c>
      <c r="V21" s="48"/>
    </row>
    <row r="22" spans="1:22" ht="16.5" customHeight="1" x14ac:dyDescent="0.15">
      <c r="A22" s="41">
        <v>11</v>
      </c>
      <c r="B22" s="41" t="s">
        <v>9990</v>
      </c>
      <c r="C22" s="74" t="s">
        <v>9991</v>
      </c>
      <c r="D22" s="794"/>
      <c r="E22" s="72"/>
      <c r="F22" s="171"/>
      <c r="G22" s="794"/>
      <c r="H22" s="72"/>
      <c r="J22" s="757"/>
      <c r="K22" s="216"/>
      <c r="L22" s="38"/>
      <c r="M22" s="44" t="s">
        <v>397</v>
      </c>
      <c r="N22" s="247" t="s">
        <v>398</v>
      </c>
      <c r="O22" s="46">
        <v>1</v>
      </c>
      <c r="P22" s="35"/>
      <c r="S22" s="240" t="s">
        <v>398</v>
      </c>
      <c r="T22" s="38">
        <f>_11・初任</f>
        <v>0.7</v>
      </c>
      <c r="U22" s="208">
        <f>+ROUND((ROUND((ROUND((ROUND((_11_B家事０．５＿０．５*_11・基礎２),0)*_11・２人),0)*(1+_11・B深夜)),0)*_11・初任),0)</f>
        <v>86</v>
      </c>
      <c r="V22" s="48"/>
    </row>
    <row r="23" spans="1:22" ht="16.5" customHeight="1" x14ac:dyDescent="0.15">
      <c r="A23" s="41">
        <v>11</v>
      </c>
      <c r="B23" s="41">
        <v>7943</v>
      </c>
      <c r="C23" s="74" t="s">
        <v>9992</v>
      </c>
      <c r="D23" s="794"/>
      <c r="E23" s="72"/>
      <c r="F23" s="171"/>
      <c r="G23" s="794"/>
      <c r="H23" s="707" t="s">
        <v>9993</v>
      </c>
      <c r="I23" s="717"/>
      <c r="J23" s="114"/>
      <c r="K23" s="221"/>
      <c r="L23" s="50"/>
      <c r="M23" s="44"/>
      <c r="N23" s="247"/>
      <c r="O23" s="46"/>
      <c r="P23" s="35"/>
      <c r="S23" s="53"/>
      <c r="T23" s="50"/>
      <c r="U23" s="208">
        <f>+ROUND((_11_B家事０．５＿０．７５*(1+_11・B深夜)),0)</f>
        <v>200</v>
      </c>
      <c r="V23" s="48"/>
    </row>
    <row r="24" spans="1:22" ht="16.5" customHeight="1" x14ac:dyDescent="0.15">
      <c r="A24" s="41">
        <v>11</v>
      </c>
      <c r="B24" s="41">
        <v>7944</v>
      </c>
      <c r="C24" s="74" t="s">
        <v>9994</v>
      </c>
      <c r="D24" s="794"/>
      <c r="E24" s="72"/>
      <c r="F24" s="171"/>
      <c r="G24" s="794"/>
      <c r="H24" s="709"/>
      <c r="I24" s="718"/>
      <c r="J24" s="122"/>
      <c r="K24" s="216"/>
      <c r="L24" s="38"/>
      <c r="M24" s="44" t="s">
        <v>397</v>
      </c>
      <c r="N24" s="247" t="s">
        <v>398</v>
      </c>
      <c r="O24" s="46">
        <v>1</v>
      </c>
      <c r="P24" s="35"/>
      <c r="S24" s="35"/>
      <c r="U24" s="208">
        <f>+ROUND((ROUND((_11_B家事０．５＿０．７５*_11・２人),0)*(1+_11・B深夜)),0)</f>
        <v>200</v>
      </c>
      <c r="V24" s="48"/>
    </row>
    <row r="25" spans="1:22" ht="16.5" customHeight="1" x14ac:dyDescent="0.15">
      <c r="A25" s="41">
        <v>11</v>
      </c>
      <c r="B25" s="41">
        <v>7945</v>
      </c>
      <c r="C25" s="74" t="s">
        <v>9995</v>
      </c>
      <c r="D25" s="794"/>
      <c r="E25" s="72"/>
      <c r="F25" s="171"/>
      <c r="G25" s="794"/>
      <c r="H25" s="709"/>
      <c r="I25" s="718"/>
      <c r="J25" s="752" t="s">
        <v>400</v>
      </c>
      <c r="K25" s="221" t="s">
        <v>398</v>
      </c>
      <c r="L25" s="50">
        <v>0.9</v>
      </c>
      <c r="M25" s="44"/>
      <c r="N25" s="247"/>
      <c r="O25" s="46"/>
      <c r="P25" s="35"/>
      <c r="S25" s="35"/>
      <c r="U25" s="208">
        <f>+ROUND((ROUND((_11_B家事０．５＿０．７５*_11・基礎２),0)*(1+_11・B深夜)),0)</f>
        <v>180</v>
      </c>
      <c r="V25" s="48"/>
    </row>
    <row r="26" spans="1:22" ht="16.5" customHeight="1" x14ac:dyDescent="0.15">
      <c r="A26" s="41">
        <v>11</v>
      </c>
      <c r="B26" s="41">
        <v>7946</v>
      </c>
      <c r="C26" s="74" t="s">
        <v>9996</v>
      </c>
      <c r="D26" s="794"/>
      <c r="E26" s="72"/>
      <c r="F26" s="171"/>
      <c r="G26" s="794"/>
      <c r="H26" s="100">
        <f>_11_B家事０．５＿０．７５</f>
        <v>133</v>
      </c>
      <c r="I26" s="12" t="s">
        <v>392</v>
      </c>
      <c r="J26" s="757"/>
      <c r="K26" s="216"/>
      <c r="L26" s="38"/>
      <c r="M26" s="44" t="s">
        <v>397</v>
      </c>
      <c r="N26" s="247" t="s">
        <v>398</v>
      </c>
      <c r="O26" s="46">
        <v>1</v>
      </c>
      <c r="P26" s="35"/>
      <c r="S26" s="43"/>
      <c r="T26" s="38"/>
      <c r="U26" s="208">
        <f>+ROUND((ROUND((ROUND((_11_B家事０．５＿０．７５*_11・基礎２),0)*_11・２人),0)*(1+_11・B深夜)),0)</f>
        <v>180</v>
      </c>
      <c r="V26" s="48"/>
    </row>
    <row r="27" spans="1:22" ht="16.5" customHeight="1" x14ac:dyDescent="0.15">
      <c r="A27" s="41">
        <v>11</v>
      </c>
      <c r="B27" s="41" t="s">
        <v>9997</v>
      </c>
      <c r="C27" s="74" t="s">
        <v>9998</v>
      </c>
      <c r="D27" s="794"/>
      <c r="E27" s="72"/>
      <c r="F27" s="171"/>
      <c r="G27" s="794"/>
      <c r="H27" s="72"/>
      <c r="J27" s="114"/>
      <c r="K27" s="221"/>
      <c r="L27" s="50"/>
      <c r="M27" s="44"/>
      <c r="N27" s="247"/>
      <c r="O27" s="46"/>
      <c r="P27" s="35"/>
      <c r="S27" s="707" t="s">
        <v>404</v>
      </c>
      <c r="T27" s="708"/>
      <c r="U27" s="208">
        <f>+ROUND((ROUND((_11_B家事０．５＿０．７５*(1+_11・B深夜)),0)*_11・初任),0)</f>
        <v>140</v>
      </c>
      <c r="V27" s="48"/>
    </row>
    <row r="28" spans="1:22" ht="16.5" customHeight="1" x14ac:dyDescent="0.15">
      <c r="A28" s="41">
        <v>11</v>
      </c>
      <c r="B28" s="41" t="s">
        <v>9999</v>
      </c>
      <c r="C28" s="74" t="s">
        <v>10000</v>
      </c>
      <c r="D28" s="794"/>
      <c r="E28" s="72"/>
      <c r="F28" s="171"/>
      <c r="G28" s="794"/>
      <c r="H28" s="72"/>
      <c r="J28" s="122"/>
      <c r="K28" s="216"/>
      <c r="L28" s="38"/>
      <c r="M28" s="44" t="s">
        <v>397</v>
      </c>
      <c r="N28" s="247" t="s">
        <v>398</v>
      </c>
      <c r="O28" s="46">
        <v>1</v>
      </c>
      <c r="P28" s="35"/>
      <c r="S28" s="709"/>
      <c r="T28" s="704"/>
      <c r="U28" s="208">
        <f>+ROUND((ROUND((ROUND((_11_B家事０．５＿０．７５*_11・２人),0)*(1+_11・B深夜)),0)*_11・初任),0)</f>
        <v>140</v>
      </c>
      <c r="V28" s="48"/>
    </row>
    <row r="29" spans="1:22" ht="16.5" customHeight="1" x14ac:dyDescent="0.15">
      <c r="A29" s="41">
        <v>11</v>
      </c>
      <c r="B29" s="41" t="s">
        <v>10001</v>
      </c>
      <c r="C29" s="74" t="s">
        <v>10002</v>
      </c>
      <c r="D29" s="794"/>
      <c r="E29" s="72"/>
      <c r="F29" s="171"/>
      <c r="G29" s="794"/>
      <c r="H29" s="72"/>
      <c r="J29" s="752" t="s">
        <v>400</v>
      </c>
      <c r="K29" s="221" t="s">
        <v>398</v>
      </c>
      <c r="L29" s="50">
        <v>0.9</v>
      </c>
      <c r="M29" s="44"/>
      <c r="N29" s="247"/>
      <c r="O29" s="46"/>
      <c r="P29" s="35"/>
      <c r="S29" s="709"/>
      <c r="T29" s="704"/>
      <c r="U29" s="208">
        <f>+ROUND((ROUND((ROUND((_11_B家事０．５＿０．７５*_11・基礎２),0)*(1+_11・B深夜)),0)*_11・初任),0)</f>
        <v>126</v>
      </c>
      <c r="V29" s="48"/>
    </row>
    <row r="30" spans="1:22" ht="16.5" customHeight="1" x14ac:dyDescent="0.15">
      <c r="A30" s="41">
        <v>11</v>
      </c>
      <c r="B30" s="41" t="s">
        <v>10003</v>
      </c>
      <c r="C30" s="74" t="s">
        <v>10004</v>
      </c>
      <c r="D30" s="794"/>
      <c r="E30" s="72"/>
      <c r="F30" s="171"/>
      <c r="G30" s="794"/>
      <c r="H30" s="72"/>
      <c r="J30" s="757"/>
      <c r="K30" s="216"/>
      <c r="L30" s="38"/>
      <c r="M30" s="44" t="s">
        <v>397</v>
      </c>
      <c r="N30" s="247" t="s">
        <v>398</v>
      </c>
      <c r="O30" s="46">
        <v>1</v>
      </c>
      <c r="P30" s="35"/>
      <c r="S30" s="240" t="s">
        <v>398</v>
      </c>
      <c r="T30" s="38">
        <f>_11・初任</f>
        <v>0.7</v>
      </c>
      <c r="U30" s="208">
        <f>+ROUND((ROUND((ROUND((ROUND((_11_B家事０．５＿０．７５*_11・基礎２),0)*_11・２人),0)*(1+_11・B深夜)),0)*_11・初任),0)</f>
        <v>126</v>
      </c>
      <c r="V30" s="48"/>
    </row>
    <row r="31" spans="1:22" ht="16.5" customHeight="1" x14ac:dyDescent="0.15">
      <c r="A31" s="41">
        <v>11</v>
      </c>
      <c r="B31" s="41">
        <v>6355</v>
      </c>
      <c r="C31" s="74" t="s">
        <v>10005</v>
      </c>
      <c r="D31" s="794"/>
      <c r="E31" s="72"/>
      <c r="F31" s="171"/>
      <c r="G31" s="794"/>
      <c r="H31" s="707" t="s">
        <v>10006</v>
      </c>
      <c r="I31" s="717"/>
      <c r="J31" s="114"/>
      <c r="K31" s="221"/>
      <c r="L31" s="50"/>
      <c r="M31" s="44"/>
      <c r="N31" s="247"/>
      <c r="O31" s="46"/>
      <c r="P31" s="35"/>
      <c r="S31" s="53"/>
      <c r="T31" s="50"/>
      <c r="U31" s="208">
        <f>+ROUND((_11_B家事０．５＿１．０*(1+_11・B深夜)),0)</f>
        <v>254</v>
      </c>
      <c r="V31" s="48"/>
    </row>
    <row r="32" spans="1:22" ht="16.5" customHeight="1" x14ac:dyDescent="0.15">
      <c r="A32" s="41">
        <v>11</v>
      </c>
      <c r="B32" s="41">
        <v>6356</v>
      </c>
      <c r="C32" s="74" t="s">
        <v>10007</v>
      </c>
      <c r="D32" s="794"/>
      <c r="E32" s="72"/>
      <c r="F32" s="171"/>
      <c r="G32" s="794"/>
      <c r="H32" s="709"/>
      <c r="I32" s="718"/>
      <c r="J32" s="122"/>
      <c r="K32" s="216"/>
      <c r="L32" s="38"/>
      <c r="M32" s="44" t="s">
        <v>397</v>
      </c>
      <c r="N32" s="247" t="s">
        <v>398</v>
      </c>
      <c r="O32" s="46">
        <v>1</v>
      </c>
      <c r="P32" s="35"/>
      <c r="S32" s="35"/>
      <c r="U32" s="208">
        <f>+ROUND((ROUND((_11_B家事０．５＿１．０*_11・２人),0)*(1+_11・B深夜)),0)</f>
        <v>254</v>
      </c>
      <c r="V32" s="48"/>
    </row>
    <row r="33" spans="1:22" ht="16.5" customHeight="1" x14ac:dyDescent="0.15">
      <c r="A33" s="41">
        <v>11</v>
      </c>
      <c r="B33" s="41">
        <v>6357</v>
      </c>
      <c r="C33" s="74" t="s">
        <v>10008</v>
      </c>
      <c r="D33" s="794"/>
      <c r="E33" s="72"/>
      <c r="F33" s="171"/>
      <c r="G33" s="794"/>
      <c r="H33" s="709"/>
      <c r="I33" s="718"/>
      <c r="J33" s="752" t="s">
        <v>400</v>
      </c>
      <c r="K33" s="221" t="s">
        <v>398</v>
      </c>
      <c r="L33" s="50">
        <v>0.9</v>
      </c>
      <c r="M33" s="44"/>
      <c r="N33" s="247"/>
      <c r="O33" s="46"/>
      <c r="P33" s="35"/>
      <c r="S33" s="35"/>
      <c r="U33" s="208">
        <f>+ROUND((ROUND((_11_B家事０．５＿１．０*_11・基礎２),0)*(1+_11・B深夜)),0)</f>
        <v>228</v>
      </c>
      <c r="V33" s="48"/>
    </row>
    <row r="34" spans="1:22" ht="16.5" customHeight="1" x14ac:dyDescent="0.15">
      <c r="A34" s="41">
        <v>11</v>
      </c>
      <c r="B34" s="41">
        <v>6358</v>
      </c>
      <c r="C34" s="74" t="s">
        <v>10009</v>
      </c>
      <c r="D34" s="794"/>
      <c r="E34" s="72"/>
      <c r="F34" s="171"/>
      <c r="G34" s="794"/>
      <c r="H34" s="100">
        <f>_11_B家事０．５＿１．０</f>
        <v>169</v>
      </c>
      <c r="I34" s="12" t="s">
        <v>392</v>
      </c>
      <c r="J34" s="757"/>
      <c r="K34" s="216"/>
      <c r="L34" s="38"/>
      <c r="M34" s="44" t="s">
        <v>397</v>
      </c>
      <c r="N34" s="247" t="s">
        <v>398</v>
      </c>
      <c r="O34" s="46">
        <v>1</v>
      </c>
      <c r="P34" s="35"/>
      <c r="S34" s="43"/>
      <c r="T34" s="38"/>
      <c r="U34" s="208">
        <f>+ROUND((ROUND((ROUND((_11_B家事０．５＿１．０*_11・基礎２),0)*_11・２人),0)*(1+_11・B深夜)),0)</f>
        <v>228</v>
      </c>
      <c r="V34" s="48"/>
    </row>
    <row r="35" spans="1:22" ht="16.5" customHeight="1" x14ac:dyDescent="0.15">
      <c r="A35" s="41">
        <v>11</v>
      </c>
      <c r="B35" s="41" t="s">
        <v>10010</v>
      </c>
      <c r="C35" s="74" t="s">
        <v>10011</v>
      </c>
      <c r="D35" s="794"/>
      <c r="E35" s="72"/>
      <c r="F35" s="171"/>
      <c r="G35" s="794"/>
      <c r="H35" s="72"/>
      <c r="J35" s="114"/>
      <c r="K35" s="221"/>
      <c r="L35" s="50"/>
      <c r="M35" s="44"/>
      <c r="N35" s="247"/>
      <c r="O35" s="46"/>
      <c r="P35" s="35"/>
      <c r="S35" s="707" t="s">
        <v>404</v>
      </c>
      <c r="T35" s="708"/>
      <c r="U35" s="208">
        <f>+ROUND((ROUND((_11_B家事０．５＿１．０*(1+_11・B深夜)),0)*_11・初任),0)</f>
        <v>178</v>
      </c>
      <c r="V35" s="48"/>
    </row>
    <row r="36" spans="1:22" ht="16.5" customHeight="1" x14ac:dyDescent="0.15">
      <c r="A36" s="41">
        <v>11</v>
      </c>
      <c r="B36" s="41" t="s">
        <v>10012</v>
      </c>
      <c r="C36" s="74" t="s">
        <v>10013</v>
      </c>
      <c r="D36" s="794"/>
      <c r="E36" s="72"/>
      <c r="F36" s="171"/>
      <c r="G36" s="794"/>
      <c r="H36" s="72"/>
      <c r="J36" s="122"/>
      <c r="K36" s="216"/>
      <c r="L36" s="38"/>
      <c r="M36" s="44" t="s">
        <v>397</v>
      </c>
      <c r="N36" s="247" t="s">
        <v>398</v>
      </c>
      <c r="O36" s="46">
        <v>1</v>
      </c>
      <c r="P36" s="35"/>
      <c r="S36" s="709"/>
      <c r="T36" s="704"/>
      <c r="U36" s="208">
        <f>+ROUND((ROUND((ROUND((_11_B家事０．５＿１．０*_11・２人),0)*(1+_11・B深夜)),0)*_11・初任),0)</f>
        <v>178</v>
      </c>
      <c r="V36" s="48"/>
    </row>
    <row r="37" spans="1:22" ht="16.5" customHeight="1" x14ac:dyDescent="0.15">
      <c r="A37" s="41">
        <v>11</v>
      </c>
      <c r="B37" s="41" t="s">
        <v>10014</v>
      </c>
      <c r="C37" s="74" t="s">
        <v>10015</v>
      </c>
      <c r="D37" s="794"/>
      <c r="E37" s="72"/>
      <c r="F37" s="171"/>
      <c r="G37" s="794"/>
      <c r="H37" s="72"/>
      <c r="J37" s="752" t="s">
        <v>400</v>
      </c>
      <c r="K37" s="221" t="s">
        <v>398</v>
      </c>
      <c r="L37" s="50">
        <v>0.9</v>
      </c>
      <c r="M37" s="44"/>
      <c r="N37" s="247"/>
      <c r="O37" s="46"/>
      <c r="P37" s="35"/>
      <c r="S37" s="709"/>
      <c r="T37" s="704"/>
      <c r="U37" s="208">
        <f>+ROUND((ROUND((ROUND((_11_B家事０．５＿１．０*_11・基礎２),0)*(1+_11・B深夜)),0)*_11・初任),0)</f>
        <v>160</v>
      </c>
      <c r="V37" s="48"/>
    </row>
    <row r="38" spans="1:22" ht="16.5" customHeight="1" x14ac:dyDescent="0.15">
      <c r="A38" s="41">
        <v>11</v>
      </c>
      <c r="B38" s="41" t="s">
        <v>10016</v>
      </c>
      <c r="C38" s="74" t="s">
        <v>10017</v>
      </c>
      <c r="D38" s="794"/>
      <c r="E38" s="72"/>
      <c r="F38" s="171"/>
      <c r="G38" s="794"/>
      <c r="H38" s="72"/>
      <c r="J38" s="757"/>
      <c r="K38" s="216"/>
      <c r="L38" s="38"/>
      <c r="M38" s="44" t="s">
        <v>397</v>
      </c>
      <c r="N38" s="247" t="s">
        <v>398</v>
      </c>
      <c r="O38" s="46">
        <v>1</v>
      </c>
      <c r="P38" s="35"/>
      <c r="S38" s="240" t="s">
        <v>398</v>
      </c>
      <c r="T38" s="38">
        <f>_11・初任</f>
        <v>0.7</v>
      </c>
      <c r="U38" s="208">
        <f>+ROUND((ROUND((ROUND((ROUND((_11_B家事０．５＿１．０*_11・基礎２),0)*_11・２人),0)*(1+_11・B深夜)),0)*_11・初任),0)</f>
        <v>160</v>
      </c>
      <c r="V38" s="48"/>
    </row>
    <row r="39" spans="1:22" ht="16.5" customHeight="1" x14ac:dyDescent="0.15">
      <c r="A39" s="41">
        <v>11</v>
      </c>
      <c r="B39" s="41">
        <v>7947</v>
      </c>
      <c r="C39" s="74" t="s">
        <v>10018</v>
      </c>
      <c r="D39" s="794"/>
      <c r="E39" s="707" t="s">
        <v>9150</v>
      </c>
      <c r="F39" s="740"/>
      <c r="G39" s="794"/>
      <c r="H39" s="707" t="s">
        <v>9967</v>
      </c>
      <c r="I39" s="717"/>
      <c r="J39" s="114"/>
      <c r="K39" s="221"/>
      <c r="L39" s="50"/>
      <c r="M39" s="44"/>
      <c r="N39" s="247"/>
      <c r="O39" s="46"/>
      <c r="P39" s="35"/>
      <c r="S39" s="53"/>
      <c r="T39" s="50"/>
      <c r="U39" s="208">
        <f>+ROUND((_11_B家事０．７５＿０．２５*(1+_11・B深夜)),0)</f>
        <v>66</v>
      </c>
      <c r="V39" s="48"/>
    </row>
    <row r="40" spans="1:22" ht="16.5" customHeight="1" x14ac:dyDescent="0.15">
      <c r="A40" s="41">
        <v>11</v>
      </c>
      <c r="B40" s="41">
        <v>7948</v>
      </c>
      <c r="C40" s="74" t="s">
        <v>10019</v>
      </c>
      <c r="D40" s="794"/>
      <c r="E40" s="709"/>
      <c r="F40" s="739"/>
      <c r="G40" s="794"/>
      <c r="H40" s="709"/>
      <c r="I40" s="718"/>
      <c r="J40" s="122"/>
      <c r="K40" s="216"/>
      <c r="L40" s="38"/>
      <c r="M40" s="44" t="s">
        <v>397</v>
      </c>
      <c r="N40" s="247" t="s">
        <v>398</v>
      </c>
      <c r="O40" s="46">
        <v>1</v>
      </c>
      <c r="P40" s="35"/>
      <c r="S40" s="35"/>
      <c r="U40" s="208">
        <f>+ROUND((ROUND((_11_B家事０．７５＿０．２５*_11・２人),0)*(1+_11・B深夜)),0)</f>
        <v>66</v>
      </c>
      <c r="V40" s="48"/>
    </row>
    <row r="41" spans="1:22" ht="16.5" customHeight="1" x14ac:dyDescent="0.15">
      <c r="A41" s="41">
        <v>11</v>
      </c>
      <c r="B41" s="41">
        <v>7949</v>
      </c>
      <c r="C41" s="74" t="s">
        <v>10020</v>
      </c>
      <c r="D41" s="794"/>
      <c r="E41" s="709"/>
      <c r="F41" s="739"/>
      <c r="G41" s="794"/>
      <c r="H41" s="709"/>
      <c r="I41" s="718"/>
      <c r="J41" s="752" t="s">
        <v>400</v>
      </c>
      <c r="K41" s="221" t="s">
        <v>398</v>
      </c>
      <c r="L41" s="50">
        <v>0.9</v>
      </c>
      <c r="M41" s="44"/>
      <c r="N41" s="247"/>
      <c r="O41" s="46"/>
      <c r="P41" s="35"/>
      <c r="S41" s="35"/>
      <c r="U41" s="208">
        <f>+ROUND((ROUND((_11_B家事０．７５＿０．２５*_11・基礎２),0)*(1+_11・B深夜)),0)</f>
        <v>60</v>
      </c>
      <c r="V41" s="48"/>
    </row>
    <row r="42" spans="1:22" ht="16.5" customHeight="1" x14ac:dyDescent="0.15">
      <c r="A42" s="41">
        <v>11</v>
      </c>
      <c r="B42" s="41">
        <v>7950</v>
      </c>
      <c r="C42" s="74" t="s">
        <v>10021</v>
      </c>
      <c r="D42" s="794"/>
      <c r="E42" s="72"/>
      <c r="F42" s="171"/>
      <c r="G42" s="794"/>
      <c r="H42" s="100">
        <f>_11_B家事０．７５＿０．２５</f>
        <v>44</v>
      </c>
      <c r="I42" s="12" t="s">
        <v>392</v>
      </c>
      <c r="J42" s="757"/>
      <c r="K42" s="216"/>
      <c r="L42" s="38"/>
      <c r="M42" s="44" t="s">
        <v>397</v>
      </c>
      <c r="N42" s="247" t="s">
        <v>398</v>
      </c>
      <c r="O42" s="46">
        <v>1</v>
      </c>
      <c r="P42" s="35"/>
      <c r="S42" s="43"/>
      <c r="T42" s="38"/>
      <c r="U42" s="208">
        <f>+ROUND((ROUND((ROUND((_11_B家事０．７５＿０．２５*_11・基礎２),0)*_11・２人),0)*(1+_11・B深夜)),0)</f>
        <v>60</v>
      </c>
      <c r="V42" s="48"/>
    </row>
    <row r="43" spans="1:22" ht="16.5" customHeight="1" x14ac:dyDescent="0.15">
      <c r="A43" s="41">
        <v>11</v>
      </c>
      <c r="B43" s="41" t="s">
        <v>10022</v>
      </c>
      <c r="C43" s="74" t="s">
        <v>10023</v>
      </c>
      <c r="D43" s="794"/>
      <c r="E43" s="72"/>
      <c r="F43" s="171"/>
      <c r="G43" s="794"/>
      <c r="H43" s="72"/>
      <c r="J43" s="114"/>
      <c r="K43" s="221"/>
      <c r="L43" s="50"/>
      <c r="M43" s="44"/>
      <c r="N43" s="247"/>
      <c r="O43" s="46"/>
      <c r="P43" s="35"/>
      <c r="S43" s="707" t="s">
        <v>404</v>
      </c>
      <c r="T43" s="708"/>
      <c r="U43" s="208">
        <f>+ROUND((ROUND((_11_B家事０．７５＿０．２５*(1+_11・B深夜)),0)*_11・初任),0)</f>
        <v>46</v>
      </c>
      <c r="V43" s="48"/>
    </row>
    <row r="44" spans="1:22" ht="16.5" customHeight="1" x14ac:dyDescent="0.15">
      <c r="A44" s="41">
        <v>11</v>
      </c>
      <c r="B44" s="41" t="s">
        <v>10024</v>
      </c>
      <c r="C44" s="74" t="s">
        <v>10025</v>
      </c>
      <c r="D44" s="794"/>
      <c r="E44" s="72"/>
      <c r="F44" s="171"/>
      <c r="G44" s="794"/>
      <c r="H44" s="72"/>
      <c r="J44" s="122"/>
      <c r="K44" s="216"/>
      <c r="L44" s="38"/>
      <c r="M44" s="44" t="s">
        <v>397</v>
      </c>
      <c r="N44" s="247" t="s">
        <v>398</v>
      </c>
      <c r="O44" s="46">
        <v>1</v>
      </c>
      <c r="P44" s="35"/>
      <c r="S44" s="709"/>
      <c r="T44" s="704"/>
      <c r="U44" s="208">
        <f>+ROUND((ROUND((ROUND((_11_B家事０．７５＿０．２５*_11・２人),0)*(1+_11・B深夜)),0)*_11・初任),0)</f>
        <v>46</v>
      </c>
      <c r="V44" s="48"/>
    </row>
    <row r="45" spans="1:22" ht="16.5" customHeight="1" x14ac:dyDescent="0.15">
      <c r="A45" s="41">
        <v>11</v>
      </c>
      <c r="B45" s="41" t="s">
        <v>10026</v>
      </c>
      <c r="C45" s="74" t="s">
        <v>10027</v>
      </c>
      <c r="D45" s="794"/>
      <c r="E45" s="72"/>
      <c r="F45" s="171"/>
      <c r="G45" s="794"/>
      <c r="H45" s="72"/>
      <c r="J45" s="752" t="s">
        <v>400</v>
      </c>
      <c r="K45" s="221" t="s">
        <v>398</v>
      </c>
      <c r="L45" s="50">
        <v>0.9</v>
      </c>
      <c r="M45" s="44"/>
      <c r="N45" s="247"/>
      <c r="O45" s="46"/>
      <c r="P45" s="35"/>
      <c r="S45" s="709"/>
      <c r="T45" s="704"/>
      <c r="U45" s="208">
        <f>+ROUND((ROUND((ROUND((_11_B家事０．７５＿０．２５*_11・基礎２),0)*(1+_11・B深夜)),0)*_11・初任),0)</f>
        <v>42</v>
      </c>
      <c r="V45" s="48"/>
    </row>
    <row r="46" spans="1:22" ht="16.5" customHeight="1" x14ac:dyDescent="0.15">
      <c r="A46" s="41">
        <v>11</v>
      </c>
      <c r="B46" s="41" t="s">
        <v>10028</v>
      </c>
      <c r="C46" s="74" t="s">
        <v>10029</v>
      </c>
      <c r="D46" s="794"/>
      <c r="E46" s="72"/>
      <c r="F46" s="171"/>
      <c r="G46" s="794"/>
      <c r="H46" s="72"/>
      <c r="J46" s="757"/>
      <c r="K46" s="216"/>
      <c r="L46" s="38"/>
      <c r="M46" s="44" t="s">
        <v>397</v>
      </c>
      <c r="N46" s="247" t="s">
        <v>398</v>
      </c>
      <c r="O46" s="46">
        <v>1</v>
      </c>
      <c r="P46" s="35"/>
      <c r="S46" s="240" t="s">
        <v>398</v>
      </c>
      <c r="T46" s="38">
        <f>_11・初任</f>
        <v>0.7</v>
      </c>
      <c r="U46" s="208">
        <f>+ROUND((ROUND((ROUND((ROUND((_11_B家事０．７５＿０．２５*_11・基礎２),0)*_11・２人),0)*(1+_11・B深夜)),0)*_11・初任),0)</f>
        <v>42</v>
      </c>
      <c r="V46" s="48"/>
    </row>
    <row r="47" spans="1:22" ht="16.5" customHeight="1" x14ac:dyDescent="0.15">
      <c r="A47" s="41">
        <v>11</v>
      </c>
      <c r="B47" s="41">
        <v>7951</v>
      </c>
      <c r="C47" s="74" t="s">
        <v>10030</v>
      </c>
      <c r="D47" s="794"/>
      <c r="E47" s="72"/>
      <c r="F47" s="171"/>
      <c r="G47" s="794"/>
      <c r="H47" s="707" t="s">
        <v>9980</v>
      </c>
      <c r="I47" s="717"/>
      <c r="J47" s="114"/>
      <c r="K47" s="221"/>
      <c r="L47" s="50"/>
      <c r="M47" s="44"/>
      <c r="N47" s="247"/>
      <c r="O47" s="46"/>
      <c r="P47" s="35"/>
      <c r="S47" s="53"/>
      <c r="T47" s="50"/>
      <c r="U47" s="208">
        <f>+ROUND((_11_B家事０．７５＿０．５*(1+_11・B深夜)),0)</f>
        <v>129</v>
      </c>
      <c r="V47" s="48"/>
    </row>
    <row r="48" spans="1:22" ht="16.5" customHeight="1" x14ac:dyDescent="0.15">
      <c r="A48" s="41">
        <v>11</v>
      </c>
      <c r="B48" s="41">
        <v>7952</v>
      </c>
      <c r="C48" s="74" t="s">
        <v>10031</v>
      </c>
      <c r="D48" s="794"/>
      <c r="E48" s="72"/>
      <c r="F48" s="171"/>
      <c r="G48" s="794"/>
      <c r="H48" s="709"/>
      <c r="I48" s="718"/>
      <c r="J48" s="122"/>
      <c r="K48" s="216"/>
      <c r="L48" s="38"/>
      <c r="M48" s="44" t="s">
        <v>397</v>
      </c>
      <c r="N48" s="247" t="s">
        <v>398</v>
      </c>
      <c r="O48" s="46">
        <v>1</v>
      </c>
      <c r="P48" s="35"/>
      <c r="S48" s="35"/>
      <c r="U48" s="208">
        <f>+ROUND((ROUND((_11_B家事０．７５＿０．５*_11・２人),0)*(1+_11・B深夜)),0)</f>
        <v>129</v>
      </c>
      <c r="V48" s="48"/>
    </row>
    <row r="49" spans="1:22" ht="16.5" customHeight="1" x14ac:dyDescent="0.15">
      <c r="A49" s="41">
        <v>11</v>
      </c>
      <c r="B49" s="41">
        <v>7953</v>
      </c>
      <c r="C49" s="74" t="s">
        <v>10032</v>
      </c>
      <c r="D49" s="794"/>
      <c r="E49" s="72"/>
      <c r="F49" s="171"/>
      <c r="G49" s="794"/>
      <c r="H49" s="709"/>
      <c r="I49" s="718"/>
      <c r="J49" s="752" t="s">
        <v>400</v>
      </c>
      <c r="K49" s="221" t="s">
        <v>398</v>
      </c>
      <c r="L49" s="50">
        <v>0.9</v>
      </c>
      <c r="M49" s="44"/>
      <c r="N49" s="247"/>
      <c r="O49" s="46"/>
      <c r="P49" s="35"/>
      <c r="S49" s="35"/>
      <c r="U49" s="208">
        <f>+ROUND((ROUND((_11_B家事０．７５＿０．５*_11・基礎２),0)*(1+_11・B深夜)),0)</f>
        <v>116</v>
      </c>
      <c r="V49" s="48"/>
    </row>
    <row r="50" spans="1:22" ht="16.5" customHeight="1" x14ac:dyDescent="0.15">
      <c r="A50" s="41">
        <v>11</v>
      </c>
      <c r="B50" s="41">
        <v>7954</v>
      </c>
      <c r="C50" s="74" t="s">
        <v>10033</v>
      </c>
      <c r="D50" s="794"/>
      <c r="E50" s="72"/>
      <c r="F50" s="171"/>
      <c r="G50" s="794"/>
      <c r="H50" s="100">
        <f>_11_B家事０．７５＿０．５</f>
        <v>86</v>
      </c>
      <c r="I50" s="12" t="s">
        <v>392</v>
      </c>
      <c r="J50" s="757"/>
      <c r="K50" s="216"/>
      <c r="L50" s="38"/>
      <c r="M50" s="44" t="s">
        <v>397</v>
      </c>
      <c r="N50" s="247" t="s">
        <v>398</v>
      </c>
      <c r="O50" s="46">
        <v>1</v>
      </c>
      <c r="P50" s="35"/>
      <c r="S50" s="43"/>
      <c r="T50" s="38"/>
      <c r="U50" s="208">
        <f>+ROUND((ROUND((ROUND((_11_B家事０．７５＿０．５*_11・基礎２),0)*_11・２人),0)*(1+_11・B深夜)),0)</f>
        <v>116</v>
      </c>
      <c r="V50" s="48"/>
    </row>
    <row r="51" spans="1:22" ht="16.5" customHeight="1" x14ac:dyDescent="0.15">
      <c r="A51" s="41">
        <v>11</v>
      </c>
      <c r="B51" s="41" t="s">
        <v>10034</v>
      </c>
      <c r="C51" s="74" t="s">
        <v>10035</v>
      </c>
      <c r="D51" s="794"/>
      <c r="E51" s="72"/>
      <c r="F51" s="171"/>
      <c r="G51" s="794"/>
      <c r="H51" s="72"/>
      <c r="J51" s="114"/>
      <c r="K51" s="221"/>
      <c r="L51" s="50"/>
      <c r="M51" s="44"/>
      <c r="N51" s="247"/>
      <c r="O51" s="46"/>
      <c r="P51" s="35"/>
      <c r="S51" s="707" t="s">
        <v>404</v>
      </c>
      <c r="T51" s="708"/>
      <c r="U51" s="208">
        <f>+ROUND((ROUND((_11_B家事０．７５＿０．５*(1+_11・B深夜)),0)*_11・初任),0)</f>
        <v>90</v>
      </c>
      <c r="V51" s="48"/>
    </row>
    <row r="52" spans="1:22" ht="16.5" customHeight="1" x14ac:dyDescent="0.15">
      <c r="A52" s="41">
        <v>11</v>
      </c>
      <c r="B52" s="41" t="s">
        <v>10036</v>
      </c>
      <c r="C52" s="74" t="s">
        <v>10037</v>
      </c>
      <c r="D52" s="794"/>
      <c r="E52" s="72"/>
      <c r="F52" s="171"/>
      <c r="G52" s="794"/>
      <c r="H52" s="72"/>
      <c r="J52" s="122"/>
      <c r="K52" s="216"/>
      <c r="L52" s="38"/>
      <c r="M52" s="44" t="s">
        <v>397</v>
      </c>
      <c r="N52" s="247" t="s">
        <v>398</v>
      </c>
      <c r="O52" s="46">
        <v>1</v>
      </c>
      <c r="P52" s="35"/>
      <c r="S52" s="709"/>
      <c r="T52" s="704"/>
      <c r="U52" s="208">
        <f>+ROUND((ROUND((ROUND((_11_B家事０．７５＿０．５*_11・２人),0)*(1+_11・B深夜)),0)*_11・初任),0)</f>
        <v>90</v>
      </c>
      <c r="V52" s="48"/>
    </row>
    <row r="53" spans="1:22" ht="16.5" customHeight="1" x14ac:dyDescent="0.15">
      <c r="A53" s="41">
        <v>11</v>
      </c>
      <c r="B53" s="41" t="s">
        <v>10038</v>
      </c>
      <c r="C53" s="74" t="s">
        <v>10039</v>
      </c>
      <c r="D53" s="794"/>
      <c r="E53" s="72"/>
      <c r="F53" s="171"/>
      <c r="G53" s="794"/>
      <c r="H53" s="72"/>
      <c r="J53" s="752" t="s">
        <v>400</v>
      </c>
      <c r="K53" s="221" t="s">
        <v>398</v>
      </c>
      <c r="L53" s="50">
        <v>0.9</v>
      </c>
      <c r="M53" s="44"/>
      <c r="N53" s="247"/>
      <c r="O53" s="46"/>
      <c r="P53" s="35"/>
      <c r="S53" s="709"/>
      <c r="T53" s="704"/>
      <c r="U53" s="208">
        <f>+ROUND((ROUND((ROUND((_11_B家事０．７５＿０．５*_11・基礎２),0)*(1+_11・B深夜)),0)*_11・初任),0)</f>
        <v>81</v>
      </c>
      <c r="V53" s="48"/>
    </row>
    <row r="54" spans="1:22" ht="16.5" customHeight="1" x14ac:dyDescent="0.15">
      <c r="A54" s="41">
        <v>11</v>
      </c>
      <c r="B54" s="41" t="s">
        <v>10040</v>
      </c>
      <c r="C54" s="74" t="s">
        <v>10041</v>
      </c>
      <c r="D54" s="794"/>
      <c r="E54" s="72"/>
      <c r="F54" s="171"/>
      <c r="G54" s="794"/>
      <c r="H54" s="72"/>
      <c r="J54" s="757"/>
      <c r="K54" s="216"/>
      <c r="L54" s="38"/>
      <c r="M54" s="44" t="s">
        <v>397</v>
      </c>
      <c r="N54" s="247" t="s">
        <v>398</v>
      </c>
      <c r="O54" s="46">
        <v>1</v>
      </c>
      <c r="P54" s="35"/>
      <c r="S54" s="240" t="s">
        <v>398</v>
      </c>
      <c r="T54" s="38">
        <f>_11・初任</f>
        <v>0.7</v>
      </c>
      <c r="U54" s="208">
        <f>+ROUND((ROUND((ROUND((ROUND((_11_B家事０．７５＿０．５*_11・基礎２),0)*_11・２人),0)*(1+_11・B深夜)),0)*_11・初任),0)</f>
        <v>81</v>
      </c>
      <c r="V54" s="48"/>
    </row>
    <row r="55" spans="1:22" ht="16.5" customHeight="1" x14ac:dyDescent="0.15">
      <c r="A55" s="41">
        <v>11</v>
      </c>
      <c r="B55" s="41">
        <v>7955</v>
      </c>
      <c r="C55" s="74" t="s">
        <v>10042</v>
      </c>
      <c r="D55" s="794"/>
      <c r="E55" s="72"/>
      <c r="F55" s="171"/>
      <c r="G55" s="794"/>
      <c r="H55" s="707" t="s">
        <v>9993</v>
      </c>
      <c r="I55" s="717"/>
      <c r="J55" s="114"/>
      <c r="K55" s="221"/>
      <c r="L55" s="50"/>
      <c r="M55" s="44"/>
      <c r="N55" s="247"/>
      <c r="O55" s="46"/>
      <c r="P55" s="35"/>
      <c r="S55" s="53"/>
      <c r="T55" s="50"/>
      <c r="U55" s="208">
        <f>+ROUND((_11_B家事０．７５＿０．７５*(1+_11・B深夜)),0)</f>
        <v>183</v>
      </c>
      <c r="V55" s="48"/>
    </row>
    <row r="56" spans="1:22" ht="16.5" customHeight="1" x14ac:dyDescent="0.15">
      <c r="A56" s="41">
        <v>11</v>
      </c>
      <c r="B56" s="41">
        <v>7956</v>
      </c>
      <c r="C56" s="74" t="s">
        <v>10043</v>
      </c>
      <c r="D56" s="794"/>
      <c r="E56" s="72"/>
      <c r="F56" s="171"/>
      <c r="G56" s="794"/>
      <c r="H56" s="709"/>
      <c r="I56" s="718"/>
      <c r="J56" s="122"/>
      <c r="K56" s="216"/>
      <c r="L56" s="38"/>
      <c r="M56" s="44" t="s">
        <v>397</v>
      </c>
      <c r="N56" s="247" t="s">
        <v>398</v>
      </c>
      <c r="O56" s="46">
        <v>1</v>
      </c>
      <c r="P56" s="35"/>
      <c r="S56" s="35"/>
      <c r="U56" s="208">
        <f>+ROUND((ROUND((_11_B家事０．７５＿０．７５*_11・２人),0)*(1+_11・B深夜)),0)</f>
        <v>183</v>
      </c>
      <c r="V56" s="48"/>
    </row>
    <row r="57" spans="1:22" ht="16.5" customHeight="1" x14ac:dyDescent="0.15">
      <c r="A57" s="41">
        <v>11</v>
      </c>
      <c r="B57" s="41">
        <v>7957</v>
      </c>
      <c r="C57" s="74" t="s">
        <v>10044</v>
      </c>
      <c r="D57" s="794"/>
      <c r="E57" s="72"/>
      <c r="F57" s="171"/>
      <c r="G57" s="794"/>
      <c r="H57" s="709"/>
      <c r="I57" s="718"/>
      <c r="J57" s="752" t="s">
        <v>400</v>
      </c>
      <c r="K57" s="221" t="s">
        <v>398</v>
      </c>
      <c r="L57" s="50">
        <v>0.9</v>
      </c>
      <c r="M57" s="44"/>
      <c r="N57" s="247"/>
      <c r="O57" s="46"/>
      <c r="P57" s="35"/>
      <c r="S57" s="35"/>
      <c r="U57" s="208">
        <f>+ROUND((ROUND((_11_B家事０．７５＿０．７５*_11・基礎２),0)*(1+_11・B深夜)),0)</f>
        <v>165</v>
      </c>
      <c r="V57" s="48"/>
    </row>
    <row r="58" spans="1:22" ht="16.5" customHeight="1" x14ac:dyDescent="0.15">
      <c r="A58" s="41">
        <v>11</v>
      </c>
      <c r="B58" s="41">
        <v>7958</v>
      </c>
      <c r="C58" s="74" t="s">
        <v>10045</v>
      </c>
      <c r="D58" s="794"/>
      <c r="E58" s="72"/>
      <c r="F58" s="171"/>
      <c r="G58" s="794"/>
      <c r="H58" s="100">
        <f>_11_B家事０．７５＿０．７５</f>
        <v>122</v>
      </c>
      <c r="I58" s="12" t="s">
        <v>392</v>
      </c>
      <c r="J58" s="757"/>
      <c r="K58" s="216"/>
      <c r="L58" s="38"/>
      <c r="M58" s="44" t="s">
        <v>397</v>
      </c>
      <c r="N58" s="247" t="s">
        <v>398</v>
      </c>
      <c r="O58" s="46">
        <v>1</v>
      </c>
      <c r="P58" s="35"/>
      <c r="S58" s="43"/>
      <c r="T58" s="38"/>
      <c r="U58" s="208">
        <f>+ROUND((ROUND((ROUND((_11_B家事０．７５＿０．７５*_11・基礎２),0)*_11・２人),0)*(1+_11・B深夜)),0)</f>
        <v>165</v>
      </c>
      <c r="V58" s="48"/>
    </row>
    <row r="59" spans="1:22" ht="16.5" customHeight="1" x14ac:dyDescent="0.15">
      <c r="A59" s="41">
        <v>11</v>
      </c>
      <c r="B59" s="41" t="s">
        <v>10046</v>
      </c>
      <c r="C59" s="74" t="s">
        <v>10047</v>
      </c>
      <c r="D59" s="794"/>
      <c r="E59" s="72"/>
      <c r="F59" s="171"/>
      <c r="G59" s="794"/>
      <c r="H59" s="72"/>
      <c r="J59" s="114"/>
      <c r="K59" s="221"/>
      <c r="L59" s="50"/>
      <c r="M59" s="44"/>
      <c r="N59" s="247"/>
      <c r="O59" s="46"/>
      <c r="P59" s="35"/>
      <c r="S59" s="707" t="s">
        <v>404</v>
      </c>
      <c r="T59" s="708"/>
      <c r="U59" s="208">
        <f>+ROUND((ROUND((_11_B家事０．７５＿０．７５*(1+_11・B深夜)),0)*_11・初任),0)</f>
        <v>128</v>
      </c>
      <c r="V59" s="48"/>
    </row>
    <row r="60" spans="1:22" ht="16.5" customHeight="1" x14ac:dyDescent="0.15">
      <c r="A60" s="41">
        <v>11</v>
      </c>
      <c r="B60" s="41" t="s">
        <v>10048</v>
      </c>
      <c r="C60" s="74" t="s">
        <v>10049</v>
      </c>
      <c r="D60" s="794"/>
      <c r="E60" s="72"/>
      <c r="F60" s="171"/>
      <c r="G60" s="794"/>
      <c r="H60" s="72"/>
      <c r="J60" s="122"/>
      <c r="K60" s="216"/>
      <c r="L60" s="38"/>
      <c r="M60" s="44" t="s">
        <v>397</v>
      </c>
      <c r="N60" s="247" t="s">
        <v>398</v>
      </c>
      <c r="O60" s="46">
        <v>1</v>
      </c>
      <c r="P60" s="35"/>
      <c r="S60" s="709"/>
      <c r="T60" s="704"/>
      <c r="U60" s="208">
        <f>+ROUND((ROUND((ROUND((_11_B家事０．７５＿０．７５*_11・２人),0)*(1+_11・B深夜)),0)*_11・初任),0)</f>
        <v>128</v>
      </c>
      <c r="V60" s="48"/>
    </row>
    <row r="61" spans="1:22" ht="16.5" customHeight="1" x14ac:dyDescent="0.15">
      <c r="A61" s="41">
        <v>11</v>
      </c>
      <c r="B61" s="41" t="s">
        <v>10050</v>
      </c>
      <c r="C61" s="74" t="s">
        <v>10051</v>
      </c>
      <c r="D61" s="794"/>
      <c r="E61" s="72"/>
      <c r="F61" s="171"/>
      <c r="G61" s="794"/>
      <c r="H61" s="72"/>
      <c r="J61" s="752" t="s">
        <v>400</v>
      </c>
      <c r="K61" s="221" t="s">
        <v>398</v>
      </c>
      <c r="L61" s="50">
        <v>0.9</v>
      </c>
      <c r="M61" s="44"/>
      <c r="N61" s="247"/>
      <c r="O61" s="46"/>
      <c r="P61" s="35"/>
      <c r="S61" s="709"/>
      <c r="T61" s="704"/>
      <c r="U61" s="208">
        <f>+ROUND((ROUND((ROUND((_11_B家事０．７５＿０．７５*_11・基礎２),0)*(1+_11・B深夜)),0)*_11・初任),0)</f>
        <v>116</v>
      </c>
      <c r="V61" s="48"/>
    </row>
    <row r="62" spans="1:22" ht="16.5" customHeight="1" x14ac:dyDescent="0.15">
      <c r="A62" s="41">
        <v>11</v>
      </c>
      <c r="B62" s="41" t="s">
        <v>10052</v>
      </c>
      <c r="C62" s="74" t="s">
        <v>10053</v>
      </c>
      <c r="D62" s="794"/>
      <c r="E62" s="72"/>
      <c r="F62" s="171"/>
      <c r="G62" s="794"/>
      <c r="H62" s="72"/>
      <c r="J62" s="757"/>
      <c r="K62" s="216"/>
      <c r="L62" s="38"/>
      <c r="M62" s="44" t="s">
        <v>397</v>
      </c>
      <c r="N62" s="247" t="s">
        <v>398</v>
      </c>
      <c r="O62" s="46">
        <v>1</v>
      </c>
      <c r="P62" s="35"/>
      <c r="S62" s="240" t="s">
        <v>398</v>
      </c>
      <c r="T62" s="38">
        <f>_11・初任</f>
        <v>0.7</v>
      </c>
      <c r="U62" s="208">
        <f>+ROUND((ROUND((ROUND((ROUND((_11_B家事０．７５＿０．７５*_11・基礎２),0)*_11・２人),0)*(1+_11・B深夜)),0)*_11・初任),0)</f>
        <v>116</v>
      </c>
      <c r="V62" s="48"/>
    </row>
    <row r="63" spans="1:22" ht="16.5" customHeight="1" x14ac:dyDescent="0.15">
      <c r="A63" s="41">
        <v>11</v>
      </c>
      <c r="B63" s="41">
        <v>7959</v>
      </c>
      <c r="C63" s="74" t="s">
        <v>10054</v>
      </c>
      <c r="D63" s="794"/>
      <c r="E63" s="707" t="s">
        <v>9163</v>
      </c>
      <c r="F63" s="740"/>
      <c r="G63" s="794"/>
      <c r="H63" s="707" t="s">
        <v>9967</v>
      </c>
      <c r="I63" s="717"/>
      <c r="J63" s="114"/>
      <c r="K63" s="221"/>
      <c r="L63" s="50"/>
      <c r="M63" s="44"/>
      <c r="N63" s="247"/>
      <c r="O63" s="46"/>
      <c r="P63" s="35"/>
      <c r="S63" s="53"/>
      <c r="T63" s="50"/>
      <c r="U63" s="208">
        <f>+ROUND((_11_B家事１．０＿０．２５*(1+_11・B深夜)),0)</f>
        <v>63</v>
      </c>
      <c r="V63" s="48"/>
    </row>
    <row r="64" spans="1:22" ht="16.5" customHeight="1" x14ac:dyDescent="0.15">
      <c r="A64" s="41">
        <v>11</v>
      </c>
      <c r="B64" s="41">
        <v>7960</v>
      </c>
      <c r="C64" s="74" t="s">
        <v>10055</v>
      </c>
      <c r="D64" s="794"/>
      <c r="E64" s="709"/>
      <c r="F64" s="739"/>
      <c r="G64" s="794"/>
      <c r="H64" s="709"/>
      <c r="I64" s="718"/>
      <c r="J64" s="122"/>
      <c r="K64" s="216"/>
      <c r="L64" s="38"/>
      <c r="M64" s="44" t="s">
        <v>397</v>
      </c>
      <c r="N64" s="247" t="s">
        <v>398</v>
      </c>
      <c r="O64" s="46">
        <v>1</v>
      </c>
      <c r="P64" s="35"/>
      <c r="S64" s="35"/>
      <c r="U64" s="208">
        <f>+ROUND((ROUND((_11_B家事１．０＿０．２５*_11・２人),0)*(1+_11・B深夜)),0)</f>
        <v>63</v>
      </c>
      <c r="V64" s="48"/>
    </row>
    <row r="65" spans="1:22" ht="16.5" customHeight="1" x14ac:dyDescent="0.15">
      <c r="A65" s="41">
        <v>11</v>
      </c>
      <c r="B65" s="41">
        <v>7961</v>
      </c>
      <c r="C65" s="74" t="s">
        <v>10056</v>
      </c>
      <c r="D65" s="794"/>
      <c r="E65" s="709"/>
      <c r="F65" s="739"/>
      <c r="G65" s="794"/>
      <c r="H65" s="709"/>
      <c r="I65" s="718"/>
      <c r="J65" s="752" t="s">
        <v>400</v>
      </c>
      <c r="K65" s="221" t="s">
        <v>398</v>
      </c>
      <c r="L65" s="50">
        <v>0.9</v>
      </c>
      <c r="M65" s="44"/>
      <c r="N65" s="247"/>
      <c r="O65" s="46"/>
      <c r="P65" s="35"/>
      <c r="S65" s="35"/>
      <c r="U65" s="208">
        <f>+ROUND((ROUND((_11_B家事１．０＿０．２５*_11・基礎２),0)*(1+_11・B深夜)),0)</f>
        <v>57</v>
      </c>
      <c r="V65" s="48"/>
    </row>
    <row r="66" spans="1:22" ht="16.5" customHeight="1" x14ac:dyDescent="0.15">
      <c r="A66" s="41">
        <v>11</v>
      </c>
      <c r="B66" s="41">
        <v>7962</v>
      </c>
      <c r="C66" s="74" t="s">
        <v>10057</v>
      </c>
      <c r="D66" s="794"/>
      <c r="E66" s="72"/>
      <c r="F66" s="171"/>
      <c r="G66" s="794"/>
      <c r="H66" s="100">
        <f>_11_B家事１．０＿０．２５</f>
        <v>42</v>
      </c>
      <c r="I66" s="12" t="s">
        <v>392</v>
      </c>
      <c r="J66" s="757"/>
      <c r="K66" s="216"/>
      <c r="L66" s="38"/>
      <c r="M66" s="44" t="s">
        <v>397</v>
      </c>
      <c r="N66" s="247" t="s">
        <v>398</v>
      </c>
      <c r="O66" s="46">
        <v>1</v>
      </c>
      <c r="P66" s="35"/>
      <c r="S66" s="43"/>
      <c r="T66" s="38"/>
      <c r="U66" s="208">
        <f>+ROUND((ROUND((ROUND((_11_B家事１．０＿０．２５*_11・基礎２),0)*_11・２人),0)*(1+_11・B深夜)),0)</f>
        <v>57</v>
      </c>
      <c r="V66" s="48"/>
    </row>
    <row r="67" spans="1:22" ht="16.5" customHeight="1" x14ac:dyDescent="0.15">
      <c r="A67" s="41">
        <v>11</v>
      </c>
      <c r="B67" s="41" t="s">
        <v>10058</v>
      </c>
      <c r="C67" s="74" t="s">
        <v>10059</v>
      </c>
      <c r="D67" s="794"/>
      <c r="E67" s="72"/>
      <c r="F67" s="171"/>
      <c r="G67" s="794"/>
      <c r="H67" s="72"/>
      <c r="J67" s="114"/>
      <c r="K67" s="221"/>
      <c r="L67" s="50"/>
      <c r="M67" s="44"/>
      <c r="N67" s="247"/>
      <c r="O67" s="46"/>
      <c r="P67" s="35"/>
      <c r="S67" s="707" t="s">
        <v>404</v>
      </c>
      <c r="T67" s="708"/>
      <c r="U67" s="208">
        <f>+ROUND((ROUND((_11_B家事１．０＿０．２５*(1+_11・B深夜)),0)*_11・初任),0)</f>
        <v>44</v>
      </c>
      <c r="V67" s="48"/>
    </row>
    <row r="68" spans="1:22" ht="16.5" customHeight="1" x14ac:dyDescent="0.15">
      <c r="A68" s="41">
        <v>11</v>
      </c>
      <c r="B68" s="41" t="s">
        <v>10060</v>
      </c>
      <c r="C68" s="74" t="s">
        <v>10061</v>
      </c>
      <c r="D68" s="794"/>
      <c r="E68" s="72"/>
      <c r="F68" s="171"/>
      <c r="G68" s="794"/>
      <c r="H68" s="72"/>
      <c r="J68" s="122"/>
      <c r="K68" s="216"/>
      <c r="L68" s="38"/>
      <c r="M68" s="44" t="s">
        <v>397</v>
      </c>
      <c r="N68" s="247" t="s">
        <v>398</v>
      </c>
      <c r="O68" s="46">
        <v>1</v>
      </c>
      <c r="P68" s="35"/>
      <c r="S68" s="709"/>
      <c r="T68" s="704"/>
      <c r="U68" s="208">
        <f>+ROUND((ROUND((ROUND((_11_B家事１．０＿０．２５*_11・２人),0)*(1+_11・B深夜)),0)*_11・初任),0)</f>
        <v>44</v>
      </c>
      <c r="V68" s="48"/>
    </row>
    <row r="69" spans="1:22" ht="16.5" customHeight="1" x14ac:dyDescent="0.15">
      <c r="A69" s="41">
        <v>11</v>
      </c>
      <c r="B69" s="41" t="s">
        <v>10062</v>
      </c>
      <c r="C69" s="74" t="s">
        <v>10063</v>
      </c>
      <c r="D69" s="794"/>
      <c r="E69" s="72"/>
      <c r="F69" s="171"/>
      <c r="G69" s="794"/>
      <c r="H69" s="72"/>
      <c r="J69" s="752" t="s">
        <v>400</v>
      </c>
      <c r="K69" s="221" t="s">
        <v>398</v>
      </c>
      <c r="L69" s="50">
        <v>0.9</v>
      </c>
      <c r="M69" s="44"/>
      <c r="N69" s="247"/>
      <c r="O69" s="46"/>
      <c r="P69" s="35"/>
      <c r="S69" s="709"/>
      <c r="T69" s="704"/>
      <c r="U69" s="208">
        <f>+ROUND((ROUND((ROUND((_11_B家事１．０＿０．２５*_11・基礎２),0)*(1+_11・B深夜)),0)*_11・初任),0)</f>
        <v>40</v>
      </c>
      <c r="V69" s="48"/>
    </row>
    <row r="70" spans="1:22" ht="16.5" customHeight="1" x14ac:dyDescent="0.15">
      <c r="A70" s="41">
        <v>11</v>
      </c>
      <c r="B70" s="41" t="s">
        <v>10064</v>
      </c>
      <c r="C70" s="74" t="s">
        <v>10065</v>
      </c>
      <c r="D70" s="794"/>
      <c r="E70" s="72"/>
      <c r="F70" s="171"/>
      <c r="G70" s="794"/>
      <c r="H70" s="72"/>
      <c r="J70" s="757"/>
      <c r="K70" s="216"/>
      <c r="L70" s="38"/>
      <c r="M70" s="44" t="s">
        <v>397</v>
      </c>
      <c r="N70" s="247" t="s">
        <v>398</v>
      </c>
      <c r="O70" s="46">
        <v>1</v>
      </c>
      <c r="P70" s="35"/>
      <c r="S70" s="240" t="s">
        <v>398</v>
      </c>
      <c r="T70" s="38">
        <f>_11・初任</f>
        <v>0.7</v>
      </c>
      <c r="U70" s="208">
        <f>+ROUND((ROUND((ROUND((ROUND((_11_B家事１．０＿０．２５*_11・基礎２),0)*_11・２人),0)*(1+_11・B深夜)),0)*_11・初任),0)</f>
        <v>40</v>
      </c>
      <c r="V70" s="48"/>
    </row>
    <row r="71" spans="1:22" ht="16.5" customHeight="1" x14ac:dyDescent="0.15">
      <c r="A71" s="41">
        <v>11</v>
      </c>
      <c r="B71" s="41">
        <v>6359</v>
      </c>
      <c r="C71" s="74" t="s">
        <v>10066</v>
      </c>
      <c r="D71" s="794"/>
      <c r="E71" s="72"/>
      <c r="F71" s="171"/>
      <c r="G71" s="794"/>
      <c r="H71" s="707" t="s">
        <v>9980</v>
      </c>
      <c r="I71" s="717"/>
      <c r="J71" s="114"/>
      <c r="K71" s="221"/>
      <c r="L71" s="50"/>
      <c r="M71" s="44"/>
      <c r="N71" s="247"/>
      <c r="O71" s="46"/>
      <c r="P71" s="35"/>
      <c r="S71" s="53"/>
      <c r="T71" s="50"/>
      <c r="U71" s="208">
        <f>+ROUND((_11_B家事１．０＿０．５*(1+_11・B深夜)),0)</f>
        <v>117</v>
      </c>
      <c r="V71" s="48"/>
    </row>
    <row r="72" spans="1:22" ht="16.5" customHeight="1" x14ac:dyDescent="0.15">
      <c r="A72" s="41">
        <v>11</v>
      </c>
      <c r="B72" s="41">
        <v>6360</v>
      </c>
      <c r="C72" s="74" t="s">
        <v>10067</v>
      </c>
      <c r="D72" s="794"/>
      <c r="E72" s="72"/>
      <c r="F72" s="171"/>
      <c r="G72" s="794"/>
      <c r="H72" s="709"/>
      <c r="I72" s="718"/>
      <c r="J72" s="122"/>
      <c r="K72" s="216"/>
      <c r="L72" s="38"/>
      <c r="M72" s="44" t="s">
        <v>397</v>
      </c>
      <c r="N72" s="247" t="s">
        <v>398</v>
      </c>
      <c r="O72" s="46">
        <v>1</v>
      </c>
      <c r="P72" s="35"/>
      <c r="S72" s="35"/>
      <c r="U72" s="208">
        <f>+ROUND((ROUND((_11_B家事１．０＿０．５*_11・２人),0)*(1+_11・B深夜)),0)</f>
        <v>117</v>
      </c>
      <c r="V72" s="48"/>
    </row>
    <row r="73" spans="1:22" ht="16.5" customHeight="1" x14ac:dyDescent="0.15">
      <c r="A73" s="41">
        <v>11</v>
      </c>
      <c r="B73" s="41">
        <v>6361</v>
      </c>
      <c r="C73" s="74" t="s">
        <v>10068</v>
      </c>
      <c r="D73" s="794"/>
      <c r="E73" s="72"/>
      <c r="F73" s="171"/>
      <c r="G73" s="794"/>
      <c r="H73" s="709"/>
      <c r="I73" s="718"/>
      <c r="J73" s="752" t="s">
        <v>400</v>
      </c>
      <c r="K73" s="221" t="s">
        <v>398</v>
      </c>
      <c r="L73" s="50">
        <v>0.9</v>
      </c>
      <c r="M73" s="44"/>
      <c r="N73" s="247"/>
      <c r="O73" s="46"/>
      <c r="P73" s="35"/>
      <c r="S73" s="35"/>
      <c r="U73" s="208">
        <f>+ROUND((ROUND((_11_B家事１．０＿０．５*_11・基礎２),0)*(1+_11・B深夜)),0)</f>
        <v>105</v>
      </c>
      <c r="V73" s="48"/>
    </row>
    <row r="74" spans="1:22" ht="16.5" customHeight="1" x14ac:dyDescent="0.15">
      <c r="A74" s="41">
        <v>11</v>
      </c>
      <c r="B74" s="41">
        <v>6362</v>
      </c>
      <c r="C74" s="74" t="s">
        <v>10069</v>
      </c>
      <c r="D74" s="794"/>
      <c r="E74" s="72"/>
      <c r="F74" s="171"/>
      <c r="G74" s="794"/>
      <c r="H74" s="100">
        <f>_11_B家事１．０＿０．５</f>
        <v>78</v>
      </c>
      <c r="I74" s="12" t="s">
        <v>392</v>
      </c>
      <c r="J74" s="757"/>
      <c r="K74" s="216"/>
      <c r="L74" s="38"/>
      <c r="M74" s="44" t="s">
        <v>397</v>
      </c>
      <c r="N74" s="247" t="s">
        <v>398</v>
      </c>
      <c r="O74" s="46">
        <v>1</v>
      </c>
      <c r="P74" s="35"/>
      <c r="S74" s="43"/>
      <c r="T74" s="38"/>
      <c r="U74" s="208">
        <f>+ROUND((ROUND((ROUND((_11_B家事１．０＿０．５*_11・基礎２),0)*_11・２人),0)*(1+_11・B深夜)),0)</f>
        <v>105</v>
      </c>
      <c r="V74" s="48"/>
    </row>
    <row r="75" spans="1:22" ht="16.5" customHeight="1" x14ac:dyDescent="0.15">
      <c r="A75" s="41">
        <v>11</v>
      </c>
      <c r="B75" s="41" t="s">
        <v>10070</v>
      </c>
      <c r="C75" s="74" t="s">
        <v>10071</v>
      </c>
      <c r="D75" s="794"/>
      <c r="E75" s="72"/>
      <c r="F75" s="171"/>
      <c r="G75" s="794"/>
      <c r="H75" s="72"/>
      <c r="J75" s="114"/>
      <c r="K75" s="221"/>
      <c r="L75" s="50"/>
      <c r="M75" s="44"/>
      <c r="N75" s="247"/>
      <c r="O75" s="46"/>
      <c r="P75" s="35"/>
      <c r="S75" s="707" t="s">
        <v>404</v>
      </c>
      <c r="T75" s="708"/>
      <c r="U75" s="208">
        <f>+ROUND((ROUND((_11_B家事１．０＿０．５*(1+_11・B深夜)),0)*_11・初任),0)</f>
        <v>82</v>
      </c>
      <c r="V75" s="48"/>
    </row>
    <row r="76" spans="1:22" ht="16.5" customHeight="1" x14ac:dyDescent="0.15">
      <c r="A76" s="41">
        <v>11</v>
      </c>
      <c r="B76" s="41" t="s">
        <v>10072</v>
      </c>
      <c r="C76" s="74" t="s">
        <v>10073</v>
      </c>
      <c r="D76" s="794"/>
      <c r="E76" s="72"/>
      <c r="F76" s="171"/>
      <c r="G76" s="794"/>
      <c r="H76" s="72"/>
      <c r="J76" s="122"/>
      <c r="K76" s="216"/>
      <c r="L76" s="38"/>
      <c r="M76" s="44" t="s">
        <v>397</v>
      </c>
      <c r="N76" s="247" t="s">
        <v>398</v>
      </c>
      <c r="O76" s="46">
        <v>1</v>
      </c>
      <c r="P76" s="35"/>
      <c r="S76" s="709"/>
      <c r="T76" s="704"/>
      <c r="U76" s="208">
        <f>+ROUND((ROUND((ROUND((_11_B家事１．０＿０．５*_11・２人),0)*(1+_11・B深夜)),0)*_11・初任),0)</f>
        <v>82</v>
      </c>
      <c r="V76" s="48"/>
    </row>
    <row r="77" spans="1:22" ht="16.5" customHeight="1" x14ac:dyDescent="0.15">
      <c r="A77" s="41">
        <v>11</v>
      </c>
      <c r="B77" s="41" t="s">
        <v>10074</v>
      </c>
      <c r="C77" s="74" t="s">
        <v>10075</v>
      </c>
      <c r="D77" s="794"/>
      <c r="E77" s="72"/>
      <c r="F77" s="171"/>
      <c r="G77" s="794"/>
      <c r="H77" s="72"/>
      <c r="J77" s="752" t="s">
        <v>400</v>
      </c>
      <c r="K77" s="221" t="s">
        <v>398</v>
      </c>
      <c r="L77" s="50">
        <v>0.9</v>
      </c>
      <c r="M77" s="44"/>
      <c r="N77" s="247"/>
      <c r="O77" s="46"/>
      <c r="P77" s="35"/>
      <c r="S77" s="709"/>
      <c r="T77" s="704"/>
      <c r="U77" s="208">
        <f>+ROUND((ROUND((ROUND((_11_B家事１．０＿０．５*_11・基礎２),0)*(1+_11・B深夜)),0)*_11・初任),0)</f>
        <v>74</v>
      </c>
      <c r="V77" s="48"/>
    </row>
    <row r="78" spans="1:22" ht="16.5" customHeight="1" x14ac:dyDescent="0.15">
      <c r="A78" s="41">
        <v>11</v>
      </c>
      <c r="B78" s="41" t="s">
        <v>10076</v>
      </c>
      <c r="C78" s="74" t="s">
        <v>10077</v>
      </c>
      <c r="D78" s="794"/>
      <c r="E78" s="72"/>
      <c r="F78" s="171"/>
      <c r="G78" s="794"/>
      <c r="H78" s="72"/>
      <c r="J78" s="757"/>
      <c r="K78" s="216"/>
      <c r="L78" s="38"/>
      <c r="M78" s="44" t="s">
        <v>397</v>
      </c>
      <c r="N78" s="247" t="s">
        <v>398</v>
      </c>
      <c r="O78" s="46">
        <v>1</v>
      </c>
      <c r="P78" s="35"/>
      <c r="S78" s="240" t="s">
        <v>398</v>
      </c>
      <c r="T78" s="38">
        <f>_11・初任</f>
        <v>0.7</v>
      </c>
      <c r="U78" s="208">
        <f>+ROUND((ROUND((ROUND((ROUND((_11_B家事１．０＿０．５*_11・基礎２),0)*_11・２人),0)*(1+_11・B深夜)),0)*_11・初任),0)</f>
        <v>74</v>
      </c>
      <c r="V78" s="48"/>
    </row>
    <row r="79" spans="1:22" ht="16.5" customHeight="1" x14ac:dyDescent="0.15">
      <c r="A79" s="41">
        <v>11</v>
      </c>
      <c r="B79" s="41">
        <v>7963</v>
      </c>
      <c r="C79" s="74" t="s">
        <v>10078</v>
      </c>
      <c r="D79" s="794"/>
      <c r="E79" s="707" t="s">
        <v>9176</v>
      </c>
      <c r="F79" s="740"/>
      <c r="G79" s="794"/>
      <c r="H79" s="707" t="s">
        <v>9967</v>
      </c>
      <c r="I79" s="717"/>
      <c r="J79" s="114"/>
      <c r="K79" s="221"/>
      <c r="L79" s="50"/>
      <c r="M79" s="44"/>
      <c r="N79" s="247"/>
      <c r="O79" s="46"/>
      <c r="P79" s="35"/>
      <c r="S79" s="53"/>
      <c r="T79" s="50"/>
      <c r="U79" s="208">
        <f>+ROUND((_11_B家事１．２５＿０．２５*(1+_11・B深夜)),0)</f>
        <v>54</v>
      </c>
      <c r="V79" s="48"/>
    </row>
    <row r="80" spans="1:22" ht="16.5" customHeight="1" x14ac:dyDescent="0.15">
      <c r="A80" s="41">
        <v>11</v>
      </c>
      <c r="B80" s="41">
        <v>7964</v>
      </c>
      <c r="C80" s="74" t="s">
        <v>10079</v>
      </c>
      <c r="D80" s="794"/>
      <c r="E80" s="709"/>
      <c r="F80" s="739"/>
      <c r="G80" s="794"/>
      <c r="H80" s="709"/>
      <c r="I80" s="718"/>
      <c r="J80" s="122"/>
      <c r="K80" s="216"/>
      <c r="L80" s="38"/>
      <c r="M80" s="44" t="s">
        <v>397</v>
      </c>
      <c r="N80" s="247" t="s">
        <v>398</v>
      </c>
      <c r="O80" s="46">
        <v>1</v>
      </c>
      <c r="P80" s="35"/>
      <c r="S80" s="35"/>
      <c r="U80" s="208">
        <f>+ROUND((ROUND((_11_B家事１．２５＿０．２５*_11・２人),0)*(1+_11・B深夜)),0)</f>
        <v>54</v>
      </c>
      <c r="V80" s="48"/>
    </row>
    <row r="81" spans="1:22" ht="16.5" customHeight="1" x14ac:dyDescent="0.15">
      <c r="A81" s="41">
        <v>11</v>
      </c>
      <c r="B81" s="41">
        <v>7965</v>
      </c>
      <c r="C81" s="74" t="s">
        <v>10080</v>
      </c>
      <c r="D81" s="794"/>
      <c r="E81" s="709"/>
      <c r="F81" s="739"/>
      <c r="G81" s="794"/>
      <c r="H81" s="709"/>
      <c r="I81" s="718"/>
      <c r="J81" s="752" t="s">
        <v>400</v>
      </c>
      <c r="K81" s="221" t="s">
        <v>398</v>
      </c>
      <c r="L81" s="50">
        <v>0.9</v>
      </c>
      <c r="M81" s="44"/>
      <c r="N81" s="247"/>
      <c r="O81" s="46"/>
      <c r="P81" s="35"/>
      <c r="S81" s="35"/>
      <c r="U81" s="208">
        <f>+ROUND((ROUND((_11_B家事１．２５＿０．２５*_11・基礎２),0)*(1+_11・B深夜)),0)</f>
        <v>48</v>
      </c>
      <c r="V81" s="48"/>
    </row>
    <row r="82" spans="1:22" ht="16.5" customHeight="1" x14ac:dyDescent="0.15">
      <c r="A82" s="41">
        <v>11</v>
      </c>
      <c r="B82" s="41">
        <v>7966</v>
      </c>
      <c r="C82" s="74" t="s">
        <v>10081</v>
      </c>
      <c r="D82" s="794"/>
      <c r="E82" s="72"/>
      <c r="F82" s="171"/>
      <c r="G82" s="794"/>
      <c r="H82" s="100">
        <f>_11_B家事１．２５＿０．２５</f>
        <v>36</v>
      </c>
      <c r="I82" s="12" t="s">
        <v>392</v>
      </c>
      <c r="J82" s="757"/>
      <c r="K82" s="216"/>
      <c r="L82" s="38"/>
      <c r="M82" s="44" t="s">
        <v>397</v>
      </c>
      <c r="N82" s="247" t="s">
        <v>398</v>
      </c>
      <c r="O82" s="46">
        <v>1</v>
      </c>
      <c r="P82" s="35"/>
      <c r="S82" s="43"/>
      <c r="T82" s="38"/>
      <c r="U82" s="208">
        <f>+ROUND((ROUND((ROUND((_11_B家事１．２５＿０．２５*_11・基礎２),0)*_11・２人),0)*(1+_11・B深夜)),0)</f>
        <v>48</v>
      </c>
      <c r="V82" s="48"/>
    </row>
    <row r="83" spans="1:22" ht="16.5" customHeight="1" x14ac:dyDescent="0.15">
      <c r="A83" s="41">
        <v>11</v>
      </c>
      <c r="B83" s="41" t="s">
        <v>10082</v>
      </c>
      <c r="C83" s="74" t="s">
        <v>10083</v>
      </c>
      <c r="D83" s="794"/>
      <c r="E83" s="72"/>
      <c r="F83" s="171"/>
      <c r="G83" s="794"/>
      <c r="H83" s="72"/>
      <c r="J83" s="114"/>
      <c r="K83" s="221"/>
      <c r="L83" s="50"/>
      <c r="M83" s="44"/>
      <c r="N83" s="247"/>
      <c r="O83" s="46"/>
      <c r="P83" s="35"/>
      <c r="S83" s="707" t="s">
        <v>404</v>
      </c>
      <c r="T83" s="708"/>
      <c r="U83" s="208">
        <f>+ROUND((ROUND((_11_B家事１．２５＿０．２５*(1+_11・B深夜)),0)*_11・初任),0)</f>
        <v>38</v>
      </c>
      <c r="V83" s="48"/>
    </row>
    <row r="84" spans="1:22" ht="16.5" customHeight="1" x14ac:dyDescent="0.15">
      <c r="A84" s="41">
        <v>11</v>
      </c>
      <c r="B84" s="41" t="s">
        <v>10084</v>
      </c>
      <c r="C84" s="74" t="s">
        <v>10085</v>
      </c>
      <c r="D84" s="794"/>
      <c r="E84" s="72"/>
      <c r="F84" s="171"/>
      <c r="G84" s="794"/>
      <c r="H84" s="72"/>
      <c r="J84" s="122"/>
      <c r="K84" s="216"/>
      <c r="L84" s="38"/>
      <c r="M84" s="44" t="s">
        <v>397</v>
      </c>
      <c r="N84" s="247" t="s">
        <v>398</v>
      </c>
      <c r="O84" s="46">
        <v>1</v>
      </c>
      <c r="P84" s="35"/>
      <c r="S84" s="709"/>
      <c r="T84" s="704"/>
      <c r="U84" s="208">
        <f>+ROUND((ROUND((ROUND((_11_B家事１．２５＿０．２５*_11・２人),0)*(1+_11・B深夜)),0)*_11・初任),0)</f>
        <v>38</v>
      </c>
      <c r="V84" s="48"/>
    </row>
    <row r="85" spans="1:22" ht="16.5" customHeight="1" x14ac:dyDescent="0.15">
      <c r="A85" s="41">
        <v>11</v>
      </c>
      <c r="B85" s="41" t="s">
        <v>10086</v>
      </c>
      <c r="C85" s="74" t="s">
        <v>10087</v>
      </c>
      <c r="D85" s="794"/>
      <c r="E85" s="72"/>
      <c r="F85" s="171"/>
      <c r="G85" s="794"/>
      <c r="H85" s="72"/>
      <c r="J85" s="752" t="s">
        <v>400</v>
      </c>
      <c r="K85" s="221" t="s">
        <v>398</v>
      </c>
      <c r="L85" s="50">
        <v>0.9</v>
      </c>
      <c r="M85" s="44"/>
      <c r="N85" s="247"/>
      <c r="O85" s="46"/>
      <c r="P85" s="35"/>
      <c r="S85" s="709"/>
      <c r="T85" s="704"/>
      <c r="U85" s="208">
        <f>+ROUND((ROUND((ROUND((_11_B家事１．２５＿０．２５*_11・基礎２),0)*(1+_11・B深夜)),0)*_11・初任),0)</f>
        <v>34</v>
      </c>
      <c r="V85" s="48"/>
    </row>
    <row r="86" spans="1:22" ht="16.5" customHeight="1" x14ac:dyDescent="0.15">
      <c r="A86" s="41">
        <v>11</v>
      </c>
      <c r="B86" s="41" t="s">
        <v>10088</v>
      </c>
      <c r="C86" s="74" t="s">
        <v>10089</v>
      </c>
      <c r="D86" s="795"/>
      <c r="E86" s="122"/>
      <c r="F86" s="175"/>
      <c r="G86" s="795"/>
      <c r="H86" s="122"/>
      <c r="I86" s="37"/>
      <c r="J86" s="757"/>
      <c r="K86" s="216"/>
      <c r="L86" s="38"/>
      <c r="M86" s="44" t="s">
        <v>397</v>
      </c>
      <c r="N86" s="247" t="s">
        <v>398</v>
      </c>
      <c r="O86" s="46">
        <v>1</v>
      </c>
      <c r="P86" s="43"/>
      <c r="Q86" s="37"/>
      <c r="R86" s="38"/>
      <c r="S86" s="240" t="s">
        <v>398</v>
      </c>
      <c r="T86" s="38">
        <f>_11・初任</f>
        <v>0.7</v>
      </c>
      <c r="U86" s="208">
        <f>+ROUND((ROUND((ROUND((ROUND((_11_B家事１．２５＿０．２５*_11・基礎２),0)*_11・２人),0)*(1+_11・B深夜)),0)*_11・初任),0)</f>
        <v>34</v>
      </c>
      <c r="V86" s="63"/>
    </row>
    <row r="87" spans="1:22" ht="16.5" customHeight="1" x14ac:dyDescent="0.15"/>
    <row r="88" spans="1:22" ht="16.5" customHeight="1" x14ac:dyDescent="0.15"/>
  </sheetData>
  <mergeCells count="48">
    <mergeCell ref="J57:J58"/>
    <mergeCell ref="S59:T61"/>
    <mergeCell ref="J61:J62"/>
    <mergeCell ref="S83:T85"/>
    <mergeCell ref="J85:J86"/>
    <mergeCell ref="J65:J66"/>
    <mergeCell ref="S67:T69"/>
    <mergeCell ref="J69:J70"/>
    <mergeCell ref="J73:J74"/>
    <mergeCell ref="S75:T77"/>
    <mergeCell ref="J77:J78"/>
    <mergeCell ref="J81:J82"/>
    <mergeCell ref="S43:T45"/>
    <mergeCell ref="J45:J46"/>
    <mergeCell ref="H47:I49"/>
    <mergeCell ref="J49:J50"/>
    <mergeCell ref="S51:T53"/>
    <mergeCell ref="J53:J54"/>
    <mergeCell ref="S27:T29"/>
    <mergeCell ref="J29:J30"/>
    <mergeCell ref="H31:I33"/>
    <mergeCell ref="J33:J34"/>
    <mergeCell ref="S35:T37"/>
    <mergeCell ref="J37:J38"/>
    <mergeCell ref="S11:T13"/>
    <mergeCell ref="J13:J14"/>
    <mergeCell ref="H15:I17"/>
    <mergeCell ref="J17:J18"/>
    <mergeCell ref="S19:T21"/>
    <mergeCell ref="J21:J22"/>
    <mergeCell ref="G6:I6"/>
    <mergeCell ref="D7:D86"/>
    <mergeCell ref="E7:F9"/>
    <mergeCell ref="G7:G86"/>
    <mergeCell ref="H7:I9"/>
    <mergeCell ref="H39:I41"/>
    <mergeCell ref="H55:I57"/>
    <mergeCell ref="E63:F65"/>
    <mergeCell ref="H63:I65"/>
    <mergeCell ref="H71:I73"/>
    <mergeCell ref="E79:F81"/>
    <mergeCell ref="H79:I81"/>
    <mergeCell ref="R8:R9"/>
    <mergeCell ref="J9:J10"/>
    <mergeCell ref="H23:I25"/>
    <mergeCell ref="J25:J26"/>
    <mergeCell ref="E39:F41"/>
    <mergeCell ref="J41:J42"/>
  </mergeCells>
  <phoneticPr fontId="1"/>
  <printOptions horizontalCentered="1"/>
  <pageMargins left="0.70866141732283472" right="0.70866141732283472" top="0.74803149606299213" bottom="0.74803149606299213" header="0.31496062992125984" footer="0.31496062992125984"/>
  <pageSetup paperSize="9" scale="51" fitToHeight="0" orientation="portrait" r:id="rId1"/>
  <headerFooter>
    <oddHeader>&amp;R&amp;"ＭＳ Ｐゴシック"&amp;9居宅介護</oddHeader>
    <oddFooter>&amp;C&amp;"ＭＳ Ｐゴシック"&amp;14&amp;P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4">
    <pageSetUpPr fitToPage="1"/>
  </sheetPr>
  <dimension ref="A1:Y89"/>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6" style="10" bestFit="1" customWidth="1"/>
    <col min="4" max="4" width="4.875" style="10" customWidth="1"/>
    <col min="5" max="5" width="4.875" style="12" customWidth="1"/>
    <col min="6" max="6" width="4.875" style="10" customWidth="1"/>
    <col min="7" max="7" width="4.875" style="12" customWidth="1"/>
    <col min="8" max="8" width="4.875" style="10" customWidth="1"/>
    <col min="9" max="9" width="4.875" style="12" customWidth="1"/>
    <col min="10" max="10" width="11.875" style="10" customWidth="1"/>
    <col min="11" max="11" width="2.5" style="16" customWidth="1"/>
    <col min="12" max="12" width="4.5" style="13" bestFit="1" customWidth="1"/>
    <col min="13" max="13" width="24.125" style="14" bestFit="1" customWidth="1"/>
    <col min="14" max="14" width="2.5" style="16" customWidth="1"/>
    <col min="15" max="15" width="5.5" style="13" bestFit="1" customWidth="1"/>
    <col min="16" max="16" width="2.5" style="12" customWidth="1"/>
    <col min="17" max="17" width="3.875" style="12" customWidth="1"/>
    <col min="18" max="18" width="5" style="13" customWidth="1"/>
    <col min="19" max="19" width="2.5" style="12" customWidth="1"/>
    <col min="20" max="20" width="3.875" style="12" customWidth="1"/>
    <col min="21" max="21" width="5" style="13" customWidth="1"/>
    <col min="22" max="22" width="9.875" style="10" customWidth="1"/>
    <col min="23" max="23" width="4.5" style="13" bestFit="1" customWidth="1"/>
    <col min="24" max="24" width="7.125" style="15" customWidth="1"/>
    <col min="25" max="25" width="8.5" style="16" customWidth="1"/>
    <col min="26" max="16384" width="8.875" style="12"/>
  </cols>
  <sheetData>
    <row r="1" spans="1:25" ht="17.100000000000001" customHeight="1" x14ac:dyDescent="0.15"/>
    <row r="2" spans="1:25" ht="17.100000000000001" customHeight="1" x14ac:dyDescent="0.15"/>
    <row r="3" spans="1:25" ht="17.100000000000001" customHeight="1" x14ac:dyDescent="0.15"/>
    <row r="4" spans="1:25" ht="17.100000000000001" customHeight="1" x14ac:dyDescent="0.15">
      <c r="B4" s="17" t="s">
        <v>10090</v>
      </c>
      <c r="D4" s="71"/>
    </row>
    <row r="5" spans="1:25" ht="16.5" customHeight="1" x14ac:dyDescent="0.15">
      <c r="A5" s="19" t="s">
        <v>384</v>
      </c>
      <c r="B5" s="20"/>
      <c r="C5" s="21" t="s">
        <v>385</v>
      </c>
      <c r="D5" s="235" t="s">
        <v>386</v>
      </c>
      <c r="E5" s="23"/>
      <c r="F5" s="23"/>
      <c r="G5" s="23"/>
      <c r="H5" s="23"/>
      <c r="I5" s="23"/>
      <c r="J5" s="23"/>
      <c r="K5" s="23"/>
      <c r="L5" s="24"/>
      <c r="M5" s="23"/>
      <c r="N5" s="23"/>
      <c r="O5" s="24"/>
      <c r="P5" s="23"/>
      <c r="Q5" s="23"/>
      <c r="R5" s="24"/>
      <c r="S5" s="23"/>
      <c r="T5" s="23"/>
      <c r="U5" s="24"/>
      <c r="V5" s="23"/>
      <c r="W5" s="24"/>
      <c r="X5" s="25" t="s">
        <v>387</v>
      </c>
      <c r="Y5" s="21" t="s">
        <v>388</v>
      </c>
    </row>
    <row r="6" spans="1:25" ht="16.5" customHeight="1" x14ac:dyDescent="0.15">
      <c r="A6" s="26" t="s">
        <v>389</v>
      </c>
      <c r="B6" s="26" t="s">
        <v>390</v>
      </c>
      <c r="C6" s="27"/>
      <c r="D6" s="87" t="s">
        <v>1032</v>
      </c>
      <c r="E6" s="187"/>
      <c r="F6" s="87" t="s">
        <v>1033</v>
      </c>
      <c r="G6" s="20"/>
      <c r="H6" s="29"/>
      <c r="I6" s="29"/>
      <c r="J6" s="29"/>
      <c r="K6" s="214"/>
      <c r="L6" s="30"/>
      <c r="M6" s="29"/>
      <c r="N6" s="214"/>
      <c r="O6" s="30"/>
      <c r="P6" s="29"/>
      <c r="Q6" s="29"/>
      <c r="R6" s="30"/>
      <c r="S6" s="29"/>
      <c r="T6" s="29"/>
      <c r="U6" s="30"/>
      <c r="V6" s="29"/>
      <c r="W6" s="30"/>
      <c r="X6" s="31" t="s">
        <v>391</v>
      </c>
      <c r="Y6" s="32" t="s">
        <v>392</v>
      </c>
    </row>
    <row r="7" spans="1:25" ht="16.5" customHeight="1" x14ac:dyDescent="0.15">
      <c r="A7" s="33">
        <v>11</v>
      </c>
      <c r="B7" s="33">
        <v>7967</v>
      </c>
      <c r="C7" s="34" t="s">
        <v>10091</v>
      </c>
      <c r="D7" s="709" t="s">
        <v>861</v>
      </c>
      <c r="E7" s="718"/>
      <c r="F7" s="709" t="s">
        <v>9463</v>
      </c>
      <c r="G7" s="718"/>
      <c r="H7" s="709" t="s">
        <v>9588</v>
      </c>
      <c r="I7" s="718"/>
      <c r="J7" s="72"/>
      <c r="M7" s="36"/>
      <c r="N7" s="246"/>
      <c r="O7" s="38"/>
      <c r="P7" s="72" t="s">
        <v>1036</v>
      </c>
      <c r="R7" s="234"/>
      <c r="S7" s="92" t="s">
        <v>1037</v>
      </c>
      <c r="V7" s="72"/>
      <c r="X7" s="207">
        <f>ROUND((_11_A家事０．５*(1+_11・A深夜)),0)+ROUND((_11_B家事０．５＿０．２５*(1+_11・B早朝)),0)+_11_C家事０．５＿０．２５＿０．２５</f>
        <v>261</v>
      </c>
      <c r="Y7" s="40" t="s">
        <v>395</v>
      </c>
    </row>
    <row r="8" spans="1:25" ht="16.5" customHeight="1" x14ac:dyDescent="0.15">
      <c r="A8" s="41">
        <v>11</v>
      </c>
      <c r="B8" s="41">
        <v>7968</v>
      </c>
      <c r="C8" s="74" t="s">
        <v>10092</v>
      </c>
      <c r="D8" s="709"/>
      <c r="E8" s="718"/>
      <c r="F8" s="709"/>
      <c r="G8" s="718"/>
      <c r="H8" s="709"/>
      <c r="I8" s="718"/>
      <c r="J8" s="122"/>
      <c r="K8" s="216"/>
      <c r="L8" s="38"/>
      <c r="M8" s="44" t="s">
        <v>397</v>
      </c>
      <c r="N8" s="247" t="s">
        <v>398</v>
      </c>
      <c r="O8" s="46">
        <v>1</v>
      </c>
      <c r="P8" s="92" t="s">
        <v>398</v>
      </c>
      <c r="Q8" s="13">
        <v>0.5</v>
      </c>
      <c r="R8" s="718" t="s">
        <v>676</v>
      </c>
      <c r="S8" s="92" t="s">
        <v>398</v>
      </c>
      <c r="T8" s="13">
        <v>0.25</v>
      </c>
      <c r="U8" s="704" t="s">
        <v>676</v>
      </c>
      <c r="V8" s="72"/>
      <c r="X8" s="208">
        <f>ROUND((ROUND((_11_A家事０．５*_11・２人),0)*(1+_11・A深夜)),0)+ROUND((ROUND((_11_B家事０．５＿０．２５*_11・２人),0)*(1+_11・B早朝)),0)+ROUND((_11_C家事０．５＿０．２５＿０．２５*_11・２人),0)</f>
        <v>261</v>
      </c>
      <c r="Y8" s="48"/>
    </row>
    <row r="9" spans="1:25" ht="16.5" customHeight="1" x14ac:dyDescent="0.15">
      <c r="A9" s="41">
        <v>11</v>
      </c>
      <c r="B9" s="41">
        <v>7969</v>
      </c>
      <c r="C9" s="74" t="s">
        <v>10093</v>
      </c>
      <c r="D9" s="709"/>
      <c r="E9" s="718"/>
      <c r="F9" s="709"/>
      <c r="G9" s="718"/>
      <c r="H9" s="709"/>
      <c r="I9" s="718"/>
      <c r="J9" s="752" t="s">
        <v>400</v>
      </c>
      <c r="K9" s="221" t="s">
        <v>398</v>
      </c>
      <c r="L9" s="50">
        <v>0.9</v>
      </c>
      <c r="M9" s="44"/>
      <c r="N9" s="247"/>
      <c r="O9" s="46"/>
      <c r="P9" s="35"/>
      <c r="R9" s="796"/>
      <c r="S9" s="35"/>
      <c r="U9" s="797"/>
      <c r="V9" s="72"/>
      <c r="X9" s="208">
        <f>ROUND((ROUND((_11_A家事０．５*_11・基礎２),0)*(1+_11・A深夜)),0)+ROUND((ROUND((_11_B家事０．５＿０．２５*_11・基礎２),0)*(1+_11・B早朝)),0)+ROUND((_11_C家事０．５＿０．２５＿０．２５*_11・基礎２),0)</f>
        <v>236</v>
      </c>
      <c r="Y9" s="48"/>
    </row>
    <row r="10" spans="1:25" ht="16.5" customHeight="1" x14ac:dyDescent="0.15">
      <c r="A10" s="41">
        <v>11</v>
      </c>
      <c r="B10" s="41">
        <v>7970</v>
      </c>
      <c r="C10" s="74" t="s">
        <v>10094</v>
      </c>
      <c r="D10" s="125">
        <f>_11_A家事０．５</f>
        <v>105</v>
      </c>
      <c r="E10" s="12" t="s">
        <v>392</v>
      </c>
      <c r="F10" s="125">
        <f>_11_B家事０．５＿０．２５</f>
        <v>47</v>
      </c>
      <c r="G10" s="12" t="s">
        <v>392</v>
      </c>
      <c r="H10" s="125">
        <f>_11_C家事０．５＿０．２５＿０．２５</f>
        <v>44</v>
      </c>
      <c r="I10" s="12" t="s">
        <v>392</v>
      </c>
      <c r="J10" s="757"/>
      <c r="K10" s="216"/>
      <c r="L10" s="38"/>
      <c r="M10" s="44" t="s">
        <v>397</v>
      </c>
      <c r="N10" s="247" t="s">
        <v>398</v>
      </c>
      <c r="O10" s="46">
        <v>1</v>
      </c>
      <c r="P10" s="35"/>
      <c r="S10" s="35"/>
      <c r="V10" s="72"/>
      <c r="X10" s="208">
        <f>ROUND((ROUND((ROUND((_11_A家事０．５*_11・基礎２),0)*_11・２人),0)*(1+_11・A深夜)),0)+ROUND((ROUND((ROUND((_11_B家事０．５＿０．２５*_11・基礎２),0)*_11・２人),0)*(1+_11・B早朝)),0)+ROUND((ROUND((_11_C家事０．５＿０．２５＿０．２５*_11・基礎２),0)*_11・２人),0)</f>
        <v>236</v>
      </c>
      <c r="Y10" s="48"/>
    </row>
    <row r="11" spans="1:25" ht="16.5" customHeight="1" x14ac:dyDescent="0.15">
      <c r="A11" s="41">
        <v>11</v>
      </c>
      <c r="B11" s="41" t="s">
        <v>10095</v>
      </c>
      <c r="C11" s="74" t="s">
        <v>10096</v>
      </c>
      <c r="D11" s="72"/>
      <c r="F11" s="72"/>
      <c r="H11" s="72"/>
      <c r="J11" s="114"/>
      <c r="K11" s="221"/>
      <c r="L11" s="50"/>
      <c r="M11" s="44"/>
      <c r="N11" s="247"/>
      <c r="O11" s="46"/>
      <c r="P11" s="35"/>
      <c r="S11" s="35"/>
      <c r="V11" s="707" t="s">
        <v>404</v>
      </c>
      <c r="W11" s="708"/>
      <c r="X11" s="208">
        <f>ROUND((ROUND((_11_A家事０．５*(1+_11・A深夜)),0)*_11・初任),0)+ROUND((ROUND((_11_B家事０．５＿０．２５*(1+_11・B早朝)),0)*_11・初任),0)+ROUND((_11_C家事０．５＿０．２５＿０．２５*_11・初任),0)</f>
        <v>183</v>
      </c>
      <c r="Y11" s="48"/>
    </row>
    <row r="12" spans="1:25" ht="16.5" customHeight="1" x14ac:dyDescent="0.15">
      <c r="A12" s="41">
        <v>11</v>
      </c>
      <c r="B12" s="41" t="s">
        <v>10097</v>
      </c>
      <c r="C12" s="74" t="s">
        <v>10098</v>
      </c>
      <c r="D12" s="72"/>
      <c r="F12" s="72"/>
      <c r="H12" s="72"/>
      <c r="J12" s="122"/>
      <c r="K12" s="216"/>
      <c r="L12" s="38"/>
      <c r="M12" s="44" t="s">
        <v>397</v>
      </c>
      <c r="N12" s="247" t="s">
        <v>398</v>
      </c>
      <c r="O12" s="46">
        <v>1</v>
      </c>
      <c r="P12" s="35"/>
      <c r="S12" s="35"/>
      <c r="V12" s="709"/>
      <c r="W12" s="704"/>
      <c r="X12" s="208">
        <f>ROUND((ROUND((ROUND((_11_A家事０．５*_11・２人),0)*(1+_11・A深夜)),0)*_11・初任),0)+ROUND((ROUND((ROUND((_11_B家事０．５＿０．２５*_11・２人),0)*(1+_11・B早朝)),0)*_11・初任),0)+ROUND((ROUND((_11_C家事０．５＿０．２５＿０．２５*_11・２人),0)*_11・初任),0)</f>
        <v>183</v>
      </c>
      <c r="Y12" s="48"/>
    </row>
    <row r="13" spans="1:25" ht="16.5" customHeight="1" x14ac:dyDescent="0.15">
      <c r="A13" s="41">
        <v>11</v>
      </c>
      <c r="B13" s="41" t="s">
        <v>10099</v>
      </c>
      <c r="C13" s="74" t="s">
        <v>10100</v>
      </c>
      <c r="D13" s="72"/>
      <c r="F13" s="72"/>
      <c r="H13" s="72"/>
      <c r="J13" s="752" t="s">
        <v>400</v>
      </c>
      <c r="K13" s="221" t="s">
        <v>398</v>
      </c>
      <c r="L13" s="50">
        <v>0.9</v>
      </c>
      <c r="M13" s="44"/>
      <c r="N13" s="247"/>
      <c r="O13" s="46"/>
      <c r="P13" s="35"/>
      <c r="S13" s="35"/>
      <c r="V13" s="709"/>
      <c r="W13" s="704"/>
      <c r="X13" s="208">
        <f>ROUND((ROUND((ROUND((_11_A家事０．５*_11・基礎２),0)*(1+_11・A深夜)),0)*_11・初任),0)+ROUND((ROUND((ROUND((_11_B家事０．５＿０．２５*_11・基礎２),0)*(1+_11・B早朝)),0)*_11・初任),0)+ROUND((ROUND((_11_C家事０．５＿０．２５＿０．２５*_11・基礎２),0)*_11・初任),0)</f>
        <v>165</v>
      </c>
      <c r="Y13" s="48"/>
    </row>
    <row r="14" spans="1:25" ht="16.5" customHeight="1" x14ac:dyDescent="0.15">
      <c r="A14" s="41">
        <v>11</v>
      </c>
      <c r="B14" s="41" t="s">
        <v>10101</v>
      </c>
      <c r="C14" s="74" t="s">
        <v>10102</v>
      </c>
      <c r="D14" s="72"/>
      <c r="F14" s="72"/>
      <c r="H14" s="72"/>
      <c r="J14" s="757"/>
      <c r="K14" s="216"/>
      <c r="L14" s="38"/>
      <c r="M14" s="44" t="s">
        <v>397</v>
      </c>
      <c r="N14" s="247" t="s">
        <v>398</v>
      </c>
      <c r="O14" s="46">
        <v>1</v>
      </c>
      <c r="P14" s="35"/>
      <c r="S14" s="35"/>
      <c r="V14" s="240" t="s">
        <v>398</v>
      </c>
      <c r="W14" s="38">
        <f>_11・初任</f>
        <v>0.7</v>
      </c>
      <c r="X14" s="208">
        <f>ROUND((ROUND((ROUND((ROUND((_11_A家事０．５*_11・基礎２),0)*_11・２人),0)*(1+_11・A深夜)),0)*_11・初任),0)+ROUND((ROUND((ROUND((ROUND((_11_B家事０．５＿０．２５*_11・基礎２),0)*_11・２人),0)*(1+_11・B早朝)),0)*_11・初任),0)+ROUND((ROUND((ROUND((_11_C家事０．５＿０．２５＿０．２５*_11・基礎２),0)*_11・２人),0)*_11・初任),0)</f>
        <v>165</v>
      </c>
      <c r="Y14" s="48"/>
    </row>
    <row r="15" spans="1:25" ht="16.5" customHeight="1" x14ac:dyDescent="0.15">
      <c r="A15" s="41">
        <v>11</v>
      </c>
      <c r="B15" s="41">
        <v>7971</v>
      </c>
      <c r="C15" s="74" t="s">
        <v>10103</v>
      </c>
      <c r="D15" s="72"/>
      <c r="F15" s="72"/>
      <c r="H15" s="707" t="s">
        <v>9601</v>
      </c>
      <c r="I15" s="717"/>
      <c r="J15" s="114"/>
      <c r="K15" s="221"/>
      <c r="L15" s="50"/>
      <c r="M15" s="44"/>
      <c r="N15" s="247"/>
      <c r="O15" s="46"/>
      <c r="P15" s="35"/>
      <c r="S15" s="35"/>
      <c r="V15" s="53"/>
      <c r="W15" s="50"/>
      <c r="X15" s="208">
        <f>ROUND((_11_A家事０．５*(1+_11・A深夜)),0)+ROUND((_11_B家事０．５＿０．２５*(1+_11・B早朝)),0)+_11_C家事０．５＿０．２５＿０．５</f>
        <v>303</v>
      </c>
      <c r="Y15" s="48"/>
    </row>
    <row r="16" spans="1:25" ht="16.5" customHeight="1" x14ac:dyDescent="0.15">
      <c r="A16" s="41">
        <v>11</v>
      </c>
      <c r="B16" s="41">
        <v>7972</v>
      </c>
      <c r="C16" s="74" t="s">
        <v>10104</v>
      </c>
      <c r="D16" s="72"/>
      <c r="F16" s="72"/>
      <c r="H16" s="709"/>
      <c r="I16" s="718"/>
      <c r="J16" s="122"/>
      <c r="K16" s="216"/>
      <c r="L16" s="38"/>
      <c r="M16" s="44" t="s">
        <v>397</v>
      </c>
      <c r="N16" s="247" t="s">
        <v>398</v>
      </c>
      <c r="O16" s="46">
        <v>1</v>
      </c>
      <c r="P16" s="35"/>
      <c r="S16" s="35"/>
      <c r="V16" s="35"/>
      <c r="X16" s="208">
        <f>ROUND((ROUND((_11_A家事０．５*_11・２人),0)*(1+_11・A深夜)),0)+ROUND((ROUND((_11_B家事０．５＿０．２５*_11・２人),0)*(1+_11・B早朝)),0)+ROUND((_11_C家事０．５＿０．２５＿０．５*_11・２人),0)</f>
        <v>303</v>
      </c>
      <c r="Y16" s="48"/>
    </row>
    <row r="17" spans="1:25" ht="16.5" customHeight="1" x14ac:dyDescent="0.15">
      <c r="A17" s="41">
        <v>11</v>
      </c>
      <c r="B17" s="41">
        <v>7973</v>
      </c>
      <c r="C17" s="74" t="s">
        <v>10105</v>
      </c>
      <c r="D17" s="72"/>
      <c r="F17" s="72"/>
      <c r="H17" s="709"/>
      <c r="I17" s="718"/>
      <c r="J17" s="752" t="s">
        <v>400</v>
      </c>
      <c r="K17" s="221" t="s">
        <v>398</v>
      </c>
      <c r="L17" s="50">
        <v>0.9</v>
      </c>
      <c r="M17" s="44"/>
      <c r="N17" s="247"/>
      <c r="O17" s="46"/>
      <c r="P17" s="35"/>
      <c r="S17" s="35"/>
      <c r="V17" s="35"/>
      <c r="X17" s="208">
        <f>ROUND((ROUND((_11_A家事０．５*_11・基礎２),0)*(1+_11・A深夜)),0)+ROUND((ROUND((_11_B家事０．５＿０．２５*_11・基礎２),0)*(1+_11・B早朝)),0)+ROUND((_11_C家事０．５＿０．２５＿０．５*_11・基礎２),0)</f>
        <v>273</v>
      </c>
      <c r="Y17" s="48"/>
    </row>
    <row r="18" spans="1:25" ht="16.5" customHeight="1" x14ac:dyDescent="0.15">
      <c r="A18" s="41">
        <v>11</v>
      </c>
      <c r="B18" s="41">
        <v>7974</v>
      </c>
      <c r="C18" s="74" t="s">
        <v>10106</v>
      </c>
      <c r="D18" s="72"/>
      <c r="F18" s="72"/>
      <c r="H18" s="125">
        <f>_11_C家事０．５＿０．２５＿０．５</f>
        <v>86</v>
      </c>
      <c r="I18" s="12" t="s">
        <v>392</v>
      </c>
      <c r="J18" s="757"/>
      <c r="K18" s="216"/>
      <c r="L18" s="38"/>
      <c r="M18" s="44" t="s">
        <v>397</v>
      </c>
      <c r="N18" s="247" t="s">
        <v>398</v>
      </c>
      <c r="O18" s="46">
        <v>1</v>
      </c>
      <c r="P18" s="35"/>
      <c r="S18" s="35"/>
      <c r="V18" s="43"/>
      <c r="W18" s="38"/>
      <c r="X18" s="208">
        <f>ROUND((ROUND((ROUND((_11_A家事０．５*_11・基礎２),0)*_11・２人),0)*(1+_11・A深夜)),0)+ROUND((ROUND((ROUND((_11_B家事０．５＿０．２５*_11・基礎２),0)*_11・２人),0)*(1+_11・B早朝)),0)+ROUND((ROUND((_11_C家事０．５＿０．２５＿０．５*_11・基礎２),0)*_11・２人),0)</f>
        <v>273</v>
      </c>
      <c r="Y18" s="48"/>
    </row>
    <row r="19" spans="1:25" ht="16.5" customHeight="1" x14ac:dyDescent="0.15">
      <c r="A19" s="41">
        <v>11</v>
      </c>
      <c r="B19" s="41" t="s">
        <v>10107</v>
      </c>
      <c r="C19" s="74" t="s">
        <v>10108</v>
      </c>
      <c r="D19" s="72"/>
      <c r="F19" s="72"/>
      <c r="H19" s="72"/>
      <c r="J19" s="114"/>
      <c r="K19" s="221"/>
      <c r="L19" s="50"/>
      <c r="M19" s="44"/>
      <c r="N19" s="247"/>
      <c r="O19" s="46"/>
      <c r="P19" s="35"/>
      <c r="S19" s="35"/>
      <c r="V19" s="707" t="s">
        <v>404</v>
      </c>
      <c r="W19" s="708"/>
      <c r="X19" s="208">
        <f>ROUND((ROUND((_11_A家事０．５*(1+_11・A深夜)),0)*_11・初任),0)+ROUND((ROUND((_11_B家事０．５＿０．２５*(1+_11・B早朝)),0)*_11・初任),0)+ROUND((_11_C家事０．５＿０．２５＿０．５*_11・初任),0)</f>
        <v>212</v>
      </c>
      <c r="Y19" s="48"/>
    </row>
    <row r="20" spans="1:25" ht="16.5" customHeight="1" x14ac:dyDescent="0.15">
      <c r="A20" s="41">
        <v>11</v>
      </c>
      <c r="B20" s="41" t="s">
        <v>10109</v>
      </c>
      <c r="C20" s="74" t="s">
        <v>10110</v>
      </c>
      <c r="D20" s="72"/>
      <c r="F20" s="72"/>
      <c r="H20" s="72"/>
      <c r="J20" s="122"/>
      <c r="K20" s="216"/>
      <c r="L20" s="38"/>
      <c r="M20" s="44" t="s">
        <v>397</v>
      </c>
      <c r="N20" s="247" t="s">
        <v>398</v>
      </c>
      <c r="O20" s="46">
        <v>1</v>
      </c>
      <c r="P20" s="35"/>
      <c r="S20" s="35"/>
      <c r="V20" s="709"/>
      <c r="W20" s="704"/>
      <c r="X20" s="208">
        <f>ROUND((ROUND((ROUND((_11_A家事０．５*_11・２人),0)*(1+_11・A深夜)),0)*_11・初任),0)+ROUND((ROUND((ROUND((_11_B家事０．５＿０．２５*_11・２人),0)*(1+_11・B早朝)),0)*_11・初任),0)+ROUND((ROUND((_11_C家事０．５＿０．２５＿０．５*_11・２人),0)*_11・初任),0)</f>
        <v>212</v>
      </c>
      <c r="Y20" s="48"/>
    </row>
    <row r="21" spans="1:25" ht="16.5" customHeight="1" x14ac:dyDescent="0.15">
      <c r="A21" s="41">
        <v>11</v>
      </c>
      <c r="B21" s="41" t="s">
        <v>10111</v>
      </c>
      <c r="C21" s="74" t="s">
        <v>10112</v>
      </c>
      <c r="D21" s="72"/>
      <c r="F21" s="72"/>
      <c r="H21" s="72"/>
      <c r="J21" s="752" t="s">
        <v>400</v>
      </c>
      <c r="K21" s="221" t="s">
        <v>398</v>
      </c>
      <c r="L21" s="50">
        <v>0.9</v>
      </c>
      <c r="M21" s="44"/>
      <c r="N21" s="247"/>
      <c r="O21" s="46"/>
      <c r="P21" s="35"/>
      <c r="S21" s="35"/>
      <c r="V21" s="709"/>
      <c r="W21" s="704"/>
      <c r="X21" s="208">
        <f>ROUND((ROUND((ROUND((_11_A家事０．５*_11・基礎２),0)*(1+_11・A深夜)),0)*_11・初任),0)+ROUND((ROUND((ROUND((_11_B家事０．５＿０．２５*_11・基礎２),0)*(1+_11・B早朝)),0)*_11・初任),0)+ROUND((ROUND((_11_C家事０．５＿０．２５＿０．５*_11・基礎２),0)*_11・初任),0)</f>
        <v>191</v>
      </c>
      <c r="Y21" s="48"/>
    </row>
    <row r="22" spans="1:25" ht="16.5" customHeight="1" x14ac:dyDescent="0.15">
      <c r="A22" s="41">
        <v>11</v>
      </c>
      <c r="B22" s="41" t="s">
        <v>10113</v>
      </c>
      <c r="C22" s="74" t="s">
        <v>10114</v>
      </c>
      <c r="D22" s="72"/>
      <c r="F22" s="72"/>
      <c r="H22" s="72"/>
      <c r="J22" s="757"/>
      <c r="K22" s="216"/>
      <c r="L22" s="38"/>
      <c r="M22" s="44" t="s">
        <v>397</v>
      </c>
      <c r="N22" s="247" t="s">
        <v>398</v>
      </c>
      <c r="O22" s="46">
        <v>1</v>
      </c>
      <c r="P22" s="35"/>
      <c r="S22" s="35"/>
      <c r="V22" s="240" t="s">
        <v>398</v>
      </c>
      <c r="W22" s="38">
        <f>_11・初任</f>
        <v>0.7</v>
      </c>
      <c r="X22" s="208">
        <f>ROUND((ROUND((ROUND((ROUND((_11_A家事０．５*_11・基礎２),0)*_11・２人),0)*(1+_11・A深夜)),0)*_11・初任),0)+ROUND((ROUND((ROUND((ROUND((_11_B家事０．５＿０．２５*_11・基礎２),0)*_11・２人),0)*(1+_11・B早朝)),0)*_11・初任),0)+ROUND((ROUND((ROUND((_11_C家事０．５＿０．２５＿０．５*_11・基礎２),0)*_11・２人),0)*_11・初任),0)</f>
        <v>191</v>
      </c>
      <c r="Y22" s="48"/>
    </row>
    <row r="23" spans="1:25" ht="16.5" customHeight="1" x14ac:dyDescent="0.15">
      <c r="A23" s="41">
        <v>11</v>
      </c>
      <c r="B23" s="41">
        <v>7975</v>
      </c>
      <c r="C23" s="74" t="s">
        <v>10115</v>
      </c>
      <c r="D23" s="72"/>
      <c r="F23" s="72"/>
      <c r="H23" s="707" t="s">
        <v>9614</v>
      </c>
      <c r="I23" s="717"/>
      <c r="J23" s="114"/>
      <c r="K23" s="221"/>
      <c r="L23" s="50"/>
      <c r="M23" s="44"/>
      <c r="N23" s="247"/>
      <c r="O23" s="46"/>
      <c r="P23" s="35"/>
      <c r="S23" s="35"/>
      <c r="V23" s="114"/>
      <c r="W23" s="50"/>
      <c r="X23" s="208">
        <f>ROUND((_11_A家事０．５*(1+_11・A深夜)),0)+ROUND((_11_B家事０．５＿０．２５*(1+_11・B早朝)),0)+_11_C家事０．５＿０．２５＿０．７５</f>
        <v>339</v>
      </c>
      <c r="Y23" s="48"/>
    </row>
    <row r="24" spans="1:25" ht="16.5" customHeight="1" x14ac:dyDescent="0.15">
      <c r="A24" s="41">
        <v>11</v>
      </c>
      <c r="B24" s="41">
        <v>7976</v>
      </c>
      <c r="C24" s="74" t="s">
        <v>10116</v>
      </c>
      <c r="D24" s="72"/>
      <c r="F24" s="72"/>
      <c r="H24" s="709"/>
      <c r="I24" s="718"/>
      <c r="J24" s="122"/>
      <c r="K24" s="216"/>
      <c r="L24" s="38"/>
      <c r="M24" s="44" t="s">
        <v>397</v>
      </c>
      <c r="N24" s="247" t="s">
        <v>398</v>
      </c>
      <c r="O24" s="46">
        <v>1</v>
      </c>
      <c r="P24" s="35"/>
      <c r="S24" s="35"/>
      <c r="V24" s="72"/>
      <c r="X24" s="208">
        <f>ROUND((ROUND((_11_A家事０．５*_11・２人),0)*(1+_11・A深夜)),0)+ROUND((ROUND((_11_B家事０．５＿０．２５*_11・２人),0)*(1+_11・B早朝)),0)+ROUND((_11_C家事０．５＿０．２５＿０．７５*_11・２人),0)</f>
        <v>339</v>
      </c>
      <c r="Y24" s="48"/>
    </row>
    <row r="25" spans="1:25" ht="16.5" customHeight="1" x14ac:dyDescent="0.15">
      <c r="A25" s="41">
        <v>11</v>
      </c>
      <c r="B25" s="41">
        <v>7977</v>
      </c>
      <c r="C25" s="74" t="s">
        <v>10117</v>
      </c>
      <c r="D25" s="72"/>
      <c r="F25" s="72"/>
      <c r="H25" s="709"/>
      <c r="I25" s="718"/>
      <c r="J25" s="752" t="s">
        <v>400</v>
      </c>
      <c r="K25" s="221" t="s">
        <v>398</v>
      </c>
      <c r="L25" s="50">
        <v>0.9</v>
      </c>
      <c r="M25" s="44"/>
      <c r="N25" s="247"/>
      <c r="O25" s="46"/>
      <c r="P25" s="35"/>
      <c r="S25" s="35"/>
      <c r="V25" s="72"/>
      <c r="X25" s="208">
        <f>ROUND((ROUND((_11_A家事０．５*_11・基礎２),0)*(1+_11・A深夜)),0)+ROUND((ROUND((_11_B家事０．５＿０．２５*_11・基礎２),0)*(1+_11・B早朝)),0)+ROUND((_11_C家事０．５＿０．２５＿０．７５*_11・基礎２),0)</f>
        <v>306</v>
      </c>
      <c r="Y25" s="48"/>
    </row>
    <row r="26" spans="1:25" ht="16.5" customHeight="1" x14ac:dyDescent="0.15">
      <c r="A26" s="41">
        <v>11</v>
      </c>
      <c r="B26" s="41">
        <v>7978</v>
      </c>
      <c r="C26" s="74" t="s">
        <v>10118</v>
      </c>
      <c r="D26" s="72"/>
      <c r="F26" s="72"/>
      <c r="H26" s="125">
        <f>_11_C家事０．５＿０．２５＿０．７５</f>
        <v>122</v>
      </c>
      <c r="I26" s="12" t="s">
        <v>392</v>
      </c>
      <c r="J26" s="757"/>
      <c r="K26" s="216"/>
      <c r="L26" s="38"/>
      <c r="M26" s="44" t="s">
        <v>397</v>
      </c>
      <c r="N26" s="247" t="s">
        <v>398</v>
      </c>
      <c r="O26" s="46">
        <v>1</v>
      </c>
      <c r="P26" s="35"/>
      <c r="S26" s="35"/>
      <c r="V26" s="72"/>
      <c r="X26" s="208">
        <f>ROUND((ROUND((ROUND((_11_A家事０．５*_11・基礎２),0)*_11・２人),0)*(1+_11・A深夜)),0)+ROUND((ROUND((ROUND((_11_B家事０．５＿０．２５*_11・基礎２),0)*_11・２人),0)*(1+_11・B早朝)),0)+ROUND((ROUND((_11_C家事０．５＿０．２５＿０．７５*_11・基礎２),0)*_11・２人),0)</f>
        <v>306</v>
      </c>
      <c r="Y26" s="48"/>
    </row>
    <row r="27" spans="1:25" ht="16.5" customHeight="1" x14ac:dyDescent="0.15">
      <c r="A27" s="41">
        <v>11</v>
      </c>
      <c r="B27" s="41" t="s">
        <v>10119</v>
      </c>
      <c r="C27" s="74" t="s">
        <v>10120</v>
      </c>
      <c r="D27" s="72"/>
      <c r="F27" s="72"/>
      <c r="H27" s="72"/>
      <c r="J27" s="114"/>
      <c r="K27" s="221"/>
      <c r="L27" s="50"/>
      <c r="M27" s="44"/>
      <c r="N27" s="247"/>
      <c r="O27" s="46"/>
      <c r="P27" s="35"/>
      <c r="S27" s="35"/>
      <c r="V27" s="707" t="s">
        <v>404</v>
      </c>
      <c r="W27" s="708"/>
      <c r="X27" s="208">
        <f>ROUND((ROUND((_11_A家事０．５*(1+_11・A深夜)),0)*_11・初任),0)+ROUND((ROUND((_11_B家事０．５＿０．２５*(1+_11・B早朝)),0)*_11・初任),0)+ROUND((_11_C家事０．５＿０．２５＿０．７５*_11・初任),0)</f>
        <v>237</v>
      </c>
      <c r="Y27" s="48"/>
    </row>
    <row r="28" spans="1:25" ht="16.5" customHeight="1" x14ac:dyDescent="0.15">
      <c r="A28" s="41">
        <v>11</v>
      </c>
      <c r="B28" s="41" t="s">
        <v>10121</v>
      </c>
      <c r="C28" s="74" t="s">
        <v>10122</v>
      </c>
      <c r="D28" s="72"/>
      <c r="F28" s="72"/>
      <c r="H28" s="72"/>
      <c r="J28" s="122"/>
      <c r="K28" s="216"/>
      <c r="L28" s="38"/>
      <c r="M28" s="44" t="s">
        <v>397</v>
      </c>
      <c r="N28" s="247" t="s">
        <v>398</v>
      </c>
      <c r="O28" s="46">
        <v>1</v>
      </c>
      <c r="P28" s="35"/>
      <c r="S28" s="35"/>
      <c r="V28" s="709"/>
      <c r="W28" s="704"/>
      <c r="X28" s="208">
        <f>ROUND((ROUND((ROUND((_11_A家事０．５*_11・２人),0)*(1+_11・A深夜)),0)*_11・初任),0)+ROUND((ROUND((ROUND((_11_B家事０．５＿０．２５*_11・２人),0)*(1+_11・B早朝)),0)*_11・初任),0)+ROUND((ROUND((_11_C家事０．５＿０．２５＿０．７５*_11・２人),0)*_11・初任),0)</f>
        <v>237</v>
      </c>
      <c r="Y28" s="48"/>
    </row>
    <row r="29" spans="1:25" ht="16.5" customHeight="1" x14ac:dyDescent="0.15">
      <c r="A29" s="41">
        <v>11</v>
      </c>
      <c r="B29" s="41" t="s">
        <v>10123</v>
      </c>
      <c r="C29" s="74" t="s">
        <v>10124</v>
      </c>
      <c r="D29" s="72"/>
      <c r="F29" s="72"/>
      <c r="H29" s="72"/>
      <c r="J29" s="752" t="s">
        <v>400</v>
      </c>
      <c r="K29" s="221" t="s">
        <v>398</v>
      </c>
      <c r="L29" s="50">
        <v>0.9</v>
      </c>
      <c r="M29" s="44"/>
      <c r="N29" s="247"/>
      <c r="O29" s="46"/>
      <c r="P29" s="35"/>
      <c r="S29" s="35"/>
      <c r="V29" s="709"/>
      <c r="W29" s="704"/>
      <c r="X29" s="208">
        <f>ROUND((ROUND((ROUND((_11_A家事０．５*_11・基礎２),0)*(1+_11・A深夜)),0)*_11・初任),0)+ROUND((ROUND((ROUND((_11_B家事０．５＿０．２５*_11・基礎２),0)*(1+_11・B早朝)),0)*_11・初任),0)+ROUND((ROUND((_11_C家事０．５＿０．２５＿０．７５*_11・基礎２),0)*_11・初任),0)</f>
        <v>214</v>
      </c>
      <c r="Y29" s="48"/>
    </row>
    <row r="30" spans="1:25" ht="16.5" customHeight="1" x14ac:dyDescent="0.15">
      <c r="A30" s="41">
        <v>11</v>
      </c>
      <c r="B30" s="41" t="s">
        <v>10125</v>
      </c>
      <c r="C30" s="74" t="s">
        <v>10126</v>
      </c>
      <c r="D30" s="72"/>
      <c r="F30" s="72"/>
      <c r="H30" s="72"/>
      <c r="J30" s="757"/>
      <c r="K30" s="216"/>
      <c r="L30" s="38"/>
      <c r="M30" s="44" t="s">
        <v>397</v>
      </c>
      <c r="N30" s="247" t="s">
        <v>398</v>
      </c>
      <c r="O30" s="46">
        <v>1</v>
      </c>
      <c r="P30" s="35"/>
      <c r="S30" s="35"/>
      <c r="V30" s="240" t="s">
        <v>398</v>
      </c>
      <c r="W30" s="38">
        <f>_11・初任</f>
        <v>0.7</v>
      </c>
      <c r="X30" s="208">
        <f>ROUND((ROUND((ROUND((ROUND((_11_A家事０．５*_11・基礎２),0)*_11・２人),0)*(1+_11・A深夜)),0)*_11・初任),0)+ROUND((ROUND((ROUND((ROUND((_11_B家事０．５＿０．２５*_11・基礎２),0)*_11・２人),0)*(1+_11・B早朝)),0)*_11・初任),0)+ROUND((ROUND((ROUND((_11_C家事０．５＿０．２５＿０．７５*_11・基礎２),0)*_11・２人),0)*_11・初任),0)</f>
        <v>214</v>
      </c>
      <c r="Y30" s="48"/>
    </row>
    <row r="31" spans="1:25" ht="16.5" customHeight="1" x14ac:dyDescent="0.15">
      <c r="A31" s="41">
        <v>11</v>
      </c>
      <c r="B31" s="41">
        <v>7979</v>
      </c>
      <c r="C31" s="74" t="s">
        <v>10127</v>
      </c>
      <c r="D31" s="72"/>
      <c r="F31" s="707" t="s">
        <v>9476</v>
      </c>
      <c r="G31" s="717"/>
      <c r="H31" s="707" t="s">
        <v>9588</v>
      </c>
      <c r="I31" s="717"/>
      <c r="J31" s="114"/>
      <c r="K31" s="221"/>
      <c r="L31" s="50"/>
      <c r="M31" s="44"/>
      <c r="N31" s="247"/>
      <c r="O31" s="46"/>
      <c r="P31" s="35"/>
      <c r="S31" s="35"/>
      <c r="V31" s="53"/>
      <c r="W31" s="50"/>
      <c r="X31" s="208">
        <f>ROUND((_11_A家事０．５*(1+_11・A深夜)),0)+ROUND((_11_B家事０．５＿０．５*(1+_11・B早朝)),0)+_11_C家事０．５＿０．５＿０．２５</f>
        <v>314</v>
      </c>
      <c r="Y31" s="48"/>
    </row>
    <row r="32" spans="1:25" ht="16.5" customHeight="1" x14ac:dyDescent="0.15">
      <c r="A32" s="41">
        <v>11</v>
      </c>
      <c r="B32" s="41">
        <v>7980</v>
      </c>
      <c r="C32" s="74" t="s">
        <v>10128</v>
      </c>
      <c r="D32" s="72"/>
      <c r="F32" s="709"/>
      <c r="G32" s="718"/>
      <c r="H32" s="709"/>
      <c r="I32" s="718"/>
      <c r="J32" s="122"/>
      <c r="K32" s="216"/>
      <c r="L32" s="38"/>
      <c r="M32" s="44" t="s">
        <v>397</v>
      </c>
      <c r="N32" s="247" t="s">
        <v>398</v>
      </c>
      <c r="O32" s="46">
        <v>1</v>
      </c>
      <c r="P32" s="35"/>
      <c r="S32" s="35"/>
      <c r="V32" s="35"/>
      <c r="X32" s="208">
        <f>ROUND((ROUND((_11_A家事０．５*_11・２人),0)*(1+_11・A深夜)),0)+ROUND((ROUND((_11_B家事０．５＿０．５*_11・２人),0)*(1+_11・B早朝)),0)+ROUND((_11_C家事０．５＿０．５＿０．２５*_11・２人),0)</f>
        <v>314</v>
      </c>
      <c r="Y32" s="48"/>
    </row>
    <row r="33" spans="1:25" ht="16.5" customHeight="1" x14ac:dyDescent="0.15">
      <c r="A33" s="41">
        <v>11</v>
      </c>
      <c r="B33" s="41">
        <v>7981</v>
      </c>
      <c r="C33" s="74" t="s">
        <v>10129</v>
      </c>
      <c r="D33" s="72"/>
      <c r="F33" s="709"/>
      <c r="G33" s="718"/>
      <c r="H33" s="709"/>
      <c r="I33" s="718"/>
      <c r="J33" s="752" t="s">
        <v>400</v>
      </c>
      <c r="K33" s="221" t="s">
        <v>398</v>
      </c>
      <c r="L33" s="50">
        <v>0.9</v>
      </c>
      <c r="M33" s="44"/>
      <c r="N33" s="247"/>
      <c r="O33" s="46"/>
      <c r="P33" s="35"/>
      <c r="S33" s="35"/>
      <c r="V33" s="35"/>
      <c r="X33" s="208">
        <f>ROUND((ROUND((_11_A家事０．５*_11・基礎２),0)*(1+_11・A深夜)),0)+ROUND((ROUND((_11_B家事０．５＿０．５*_11・基礎２),0)*(1+_11・B早朝)),0)+ROUND((_11_C家事０．５＿０．５＿０．２５*_11・基礎２),0)</f>
        <v>284</v>
      </c>
      <c r="Y33" s="48"/>
    </row>
    <row r="34" spans="1:25" ht="16.5" customHeight="1" x14ac:dyDescent="0.15">
      <c r="A34" s="41">
        <v>11</v>
      </c>
      <c r="B34" s="41">
        <v>7982</v>
      </c>
      <c r="C34" s="74" t="s">
        <v>10130</v>
      </c>
      <c r="D34" s="72"/>
      <c r="F34" s="125">
        <f>_11_B家事０．５＿０．５</f>
        <v>91</v>
      </c>
      <c r="G34" s="12" t="s">
        <v>392</v>
      </c>
      <c r="H34" s="125">
        <f>_11_C家事０．５＿０．５＿０．２５</f>
        <v>42</v>
      </c>
      <c r="I34" s="12" t="s">
        <v>392</v>
      </c>
      <c r="J34" s="757"/>
      <c r="K34" s="216"/>
      <c r="L34" s="38"/>
      <c r="M34" s="44" t="s">
        <v>397</v>
      </c>
      <c r="N34" s="247" t="s">
        <v>398</v>
      </c>
      <c r="O34" s="46">
        <v>1</v>
      </c>
      <c r="P34" s="35"/>
      <c r="S34" s="35"/>
      <c r="V34" s="43"/>
      <c r="W34" s="38"/>
      <c r="X34" s="208">
        <f>ROUND((ROUND((ROUND((_11_A家事０．５*_11・基礎２),0)*_11・２人),0)*(1+_11・A深夜)),0)+ROUND((ROUND((ROUND((_11_B家事０．５＿０．５*_11・基礎２),0)*_11・２人),0)*(1+_11・B早朝)),0)+ROUND((ROUND((_11_C家事０．５＿０．５＿０．２５*_11・基礎２),0)*_11・２人),0)</f>
        <v>284</v>
      </c>
      <c r="Y34" s="48"/>
    </row>
    <row r="35" spans="1:25" ht="16.5" customHeight="1" x14ac:dyDescent="0.15">
      <c r="A35" s="41">
        <v>11</v>
      </c>
      <c r="B35" s="41" t="s">
        <v>10131</v>
      </c>
      <c r="C35" s="74" t="s">
        <v>10132</v>
      </c>
      <c r="D35" s="72"/>
      <c r="F35" s="72"/>
      <c r="H35" s="72"/>
      <c r="J35" s="114"/>
      <c r="K35" s="221"/>
      <c r="L35" s="50"/>
      <c r="M35" s="44"/>
      <c r="N35" s="247"/>
      <c r="O35" s="46"/>
      <c r="P35" s="35"/>
      <c r="S35" s="35"/>
      <c r="V35" s="707" t="s">
        <v>404</v>
      </c>
      <c r="W35" s="708"/>
      <c r="X35" s="208">
        <f>ROUND((ROUND((_11_A家事０．５*(1+_11・A深夜)),0)*_11・初任),0)+ROUND((ROUND((_11_B家事０．５＿０．５*(1+_11・B早朝)),0)*_11・初任),0)+ROUND((_11_C家事０．５＿０．５＿０．２５*_11・初任),0)</f>
        <v>220</v>
      </c>
      <c r="Y35" s="48"/>
    </row>
    <row r="36" spans="1:25" ht="16.5" customHeight="1" x14ac:dyDescent="0.15">
      <c r="A36" s="41">
        <v>11</v>
      </c>
      <c r="B36" s="41" t="s">
        <v>10133</v>
      </c>
      <c r="C36" s="74" t="s">
        <v>10134</v>
      </c>
      <c r="D36" s="72"/>
      <c r="F36" s="72"/>
      <c r="H36" s="72"/>
      <c r="J36" s="122"/>
      <c r="K36" s="216"/>
      <c r="L36" s="38"/>
      <c r="M36" s="44" t="s">
        <v>397</v>
      </c>
      <c r="N36" s="247" t="s">
        <v>398</v>
      </c>
      <c r="O36" s="46">
        <v>1</v>
      </c>
      <c r="P36" s="35"/>
      <c r="S36" s="35"/>
      <c r="V36" s="709"/>
      <c r="W36" s="704"/>
      <c r="X36" s="208">
        <f>ROUND((ROUND((ROUND((_11_A家事０．５*_11・２人),0)*(1+_11・A深夜)),0)*_11・初任),0)+ROUND((ROUND((ROUND((_11_B家事０．５＿０．５*_11・２人),0)*(1+_11・B早朝)),0)*_11・初任),0)+ROUND((ROUND((_11_C家事０．５＿０．５＿０．２５*_11・２人),0)*_11・初任),0)</f>
        <v>220</v>
      </c>
      <c r="Y36" s="48"/>
    </row>
    <row r="37" spans="1:25" ht="16.5" customHeight="1" x14ac:dyDescent="0.15">
      <c r="A37" s="41">
        <v>11</v>
      </c>
      <c r="B37" s="41" t="s">
        <v>10135</v>
      </c>
      <c r="C37" s="74" t="s">
        <v>10136</v>
      </c>
      <c r="D37" s="72"/>
      <c r="F37" s="72"/>
      <c r="H37" s="72"/>
      <c r="J37" s="752" t="s">
        <v>400</v>
      </c>
      <c r="K37" s="221" t="s">
        <v>398</v>
      </c>
      <c r="L37" s="50">
        <v>0.9</v>
      </c>
      <c r="M37" s="44"/>
      <c r="N37" s="247"/>
      <c r="O37" s="46"/>
      <c r="P37" s="35"/>
      <c r="S37" s="35"/>
      <c r="V37" s="709"/>
      <c r="W37" s="704"/>
      <c r="X37" s="208">
        <f>ROUND((ROUND((ROUND((_11_A家事０．５*_11・基礎２),0)*(1+_11・A深夜)),0)*_11・初任),0)+ROUND((ROUND((ROUND((_11_B家事０．５＿０．５*_11・基礎２),0)*(1+_11・B早朝)),0)*_11・初任),0)+ROUND((ROUND((_11_C家事０．５＿０．５＿０．２５*_11・基礎２),0)*_11・初任),0)</f>
        <v>199</v>
      </c>
      <c r="Y37" s="48"/>
    </row>
    <row r="38" spans="1:25" ht="16.5" customHeight="1" x14ac:dyDescent="0.15">
      <c r="A38" s="41">
        <v>11</v>
      </c>
      <c r="B38" s="41" t="s">
        <v>10137</v>
      </c>
      <c r="C38" s="74" t="s">
        <v>10138</v>
      </c>
      <c r="D38" s="72"/>
      <c r="F38" s="72"/>
      <c r="H38" s="72"/>
      <c r="J38" s="757"/>
      <c r="K38" s="216"/>
      <c r="L38" s="38"/>
      <c r="M38" s="44" t="s">
        <v>397</v>
      </c>
      <c r="N38" s="247" t="s">
        <v>398</v>
      </c>
      <c r="O38" s="46">
        <v>1</v>
      </c>
      <c r="P38" s="35"/>
      <c r="S38" s="35"/>
      <c r="V38" s="240" t="s">
        <v>398</v>
      </c>
      <c r="W38" s="38">
        <f>_11・初任</f>
        <v>0.7</v>
      </c>
      <c r="X38" s="208">
        <f>ROUND((ROUND((ROUND((ROUND((_11_A家事０．５*_11・基礎２),0)*_11・２人),0)*(1+_11・A深夜)),0)*_11・初任),0)+ROUND((ROUND((ROUND((ROUND((_11_B家事０．５＿０．５*_11・基礎２),0)*_11・２人),0)*(1+_11・B早朝)),0)*_11・初任),0)+ROUND((ROUND((ROUND((_11_C家事０．５＿０．５＿０．２５*_11・基礎２),0)*_11・２人),0)*_11・初任),0)</f>
        <v>199</v>
      </c>
      <c r="Y38" s="48"/>
    </row>
    <row r="39" spans="1:25" ht="16.5" customHeight="1" x14ac:dyDescent="0.15">
      <c r="A39" s="41">
        <v>11</v>
      </c>
      <c r="B39" s="41">
        <v>6363</v>
      </c>
      <c r="C39" s="74" t="s">
        <v>10139</v>
      </c>
      <c r="D39" s="132"/>
      <c r="E39" s="106"/>
      <c r="F39" s="132"/>
      <c r="G39" s="106"/>
      <c r="H39" s="707" t="s">
        <v>9601</v>
      </c>
      <c r="I39" s="717"/>
      <c r="J39" s="114"/>
      <c r="K39" s="221"/>
      <c r="L39" s="50"/>
      <c r="M39" s="44"/>
      <c r="N39" s="247"/>
      <c r="O39" s="46"/>
      <c r="P39" s="35"/>
      <c r="S39" s="35"/>
      <c r="V39" s="114"/>
      <c r="W39" s="50"/>
      <c r="X39" s="208">
        <f>ROUND((_11_A家事０．５*(1+_11・A深夜)),0)+ROUND((_11_B家事０．５＿０．５*(1+_11・B早朝)),0)+_11_C家事０．５＿０．５＿０．５</f>
        <v>350</v>
      </c>
      <c r="Y39" s="48"/>
    </row>
    <row r="40" spans="1:25" ht="16.5" customHeight="1" x14ac:dyDescent="0.15">
      <c r="A40" s="41">
        <v>11</v>
      </c>
      <c r="B40" s="41">
        <v>6364</v>
      </c>
      <c r="C40" s="74" t="s">
        <v>10140</v>
      </c>
      <c r="D40" s="132"/>
      <c r="E40" s="106"/>
      <c r="F40" s="132"/>
      <c r="G40" s="106"/>
      <c r="H40" s="709"/>
      <c r="I40" s="718"/>
      <c r="J40" s="122"/>
      <c r="K40" s="216"/>
      <c r="L40" s="38"/>
      <c r="M40" s="44" t="s">
        <v>397</v>
      </c>
      <c r="N40" s="247" t="s">
        <v>398</v>
      </c>
      <c r="O40" s="46">
        <v>1</v>
      </c>
      <c r="P40" s="35"/>
      <c r="S40" s="35"/>
      <c r="V40" s="72"/>
      <c r="X40" s="208">
        <f>ROUND((ROUND((_11_A家事０．５*_11・２人),0)*(1+_11・A深夜)),0)+ROUND((ROUND((_11_B家事０．５＿０．５*_11・２人),0)*(1+_11・B早朝)),0)+ROUND((_11_C家事０．５＿０．５＿０．５*_11・２人),0)</f>
        <v>350</v>
      </c>
      <c r="Y40" s="48"/>
    </row>
    <row r="41" spans="1:25" ht="16.5" customHeight="1" x14ac:dyDescent="0.15">
      <c r="A41" s="41">
        <v>11</v>
      </c>
      <c r="B41" s="41">
        <v>6365</v>
      </c>
      <c r="C41" s="74" t="s">
        <v>10141</v>
      </c>
      <c r="D41" s="132"/>
      <c r="E41" s="106"/>
      <c r="F41" s="132"/>
      <c r="G41" s="106"/>
      <c r="H41" s="709"/>
      <c r="I41" s="718"/>
      <c r="J41" s="752" t="s">
        <v>400</v>
      </c>
      <c r="K41" s="221" t="s">
        <v>398</v>
      </c>
      <c r="L41" s="50">
        <v>0.9</v>
      </c>
      <c r="M41" s="44"/>
      <c r="N41" s="247"/>
      <c r="O41" s="46"/>
      <c r="P41" s="35"/>
      <c r="S41" s="35"/>
      <c r="V41" s="72"/>
      <c r="X41" s="208">
        <f>ROUND((ROUND((_11_A家事０．５*_11・基礎２),0)*(1+_11・A深夜)),0)+ROUND((ROUND((_11_B家事０．５＿０．５*_11・基礎２),0)*(1+_11・B早朝)),0)+ROUND((_11_C家事０．５＿０．５＿０．５*_11・基礎２),0)</f>
        <v>316</v>
      </c>
      <c r="Y41" s="48"/>
    </row>
    <row r="42" spans="1:25" ht="16.5" customHeight="1" x14ac:dyDescent="0.15">
      <c r="A42" s="41">
        <v>11</v>
      </c>
      <c r="B42" s="41">
        <v>6366</v>
      </c>
      <c r="C42" s="74" t="s">
        <v>10142</v>
      </c>
      <c r="D42" s="125"/>
      <c r="F42" s="125"/>
      <c r="H42" s="125">
        <f>_11_C家事０．５＿０．５＿０．５</f>
        <v>78</v>
      </c>
      <c r="I42" s="12" t="s">
        <v>392</v>
      </c>
      <c r="J42" s="757"/>
      <c r="K42" s="216"/>
      <c r="L42" s="38"/>
      <c r="M42" s="44" t="s">
        <v>397</v>
      </c>
      <c r="N42" s="247" t="s">
        <v>398</v>
      </c>
      <c r="O42" s="46">
        <v>1</v>
      </c>
      <c r="P42" s="35"/>
      <c r="S42" s="35"/>
      <c r="V42" s="72"/>
      <c r="X42" s="208">
        <f>ROUND((ROUND((ROUND((_11_A家事０．５*_11・基礎２),0)*_11・２人),0)*(1+_11・A深夜)),0)+ROUND((ROUND((ROUND((_11_B家事０．５＿０．５*_11・基礎２),0)*_11・２人),0)*(1+_11・B早朝)),0)+ROUND((ROUND((_11_C家事０．５＿０．５＿０．５*_11・基礎２),0)*_11・２人),0)</f>
        <v>316</v>
      </c>
      <c r="Y42" s="48"/>
    </row>
    <row r="43" spans="1:25" ht="16.5" customHeight="1" x14ac:dyDescent="0.15">
      <c r="A43" s="41">
        <v>11</v>
      </c>
      <c r="B43" s="41" t="s">
        <v>10143</v>
      </c>
      <c r="C43" s="74" t="s">
        <v>10144</v>
      </c>
      <c r="D43" s="72"/>
      <c r="F43" s="72"/>
      <c r="H43" s="72"/>
      <c r="J43" s="114"/>
      <c r="K43" s="221"/>
      <c r="L43" s="50"/>
      <c r="M43" s="44"/>
      <c r="N43" s="247"/>
      <c r="O43" s="46"/>
      <c r="P43" s="35"/>
      <c r="S43" s="35"/>
      <c r="V43" s="707" t="s">
        <v>404</v>
      </c>
      <c r="W43" s="708"/>
      <c r="X43" s="208">
        <f>ROUND((ROUND((_11_A家事０．５*(1+_11・A深夜)),0)*_11・初任),0)+ROUND((ROUND((_11_B家事０．５＿０．５*(1+_11・B早朝)),0)*_11・初任),0)+ROUND((_11_C家事０．５＿０．５＿０．５*_11・初任),0)</f>
        <v>246</v>
      </c>
      <c r="Y43" s="48"/>
    </row>
    <row r="44" spans="1:25" ht="16.5" customHeight="1" x14ac:dyDescent="0.15">
      <c r="A44" s="41">
        <v>11</v>
      </c>
      <c r="B44" s="41" t="s">
        <v>10145</v>
      </c>
      <c r="C44" s="74" t="s">
        <v>10146</v>
      </c>
      <c r="D44" s="72"/>
      <c r="F44" s="72"/>
      <c r="H44" s="72"/>
      <c r="J44" s="122"/>
      <c r="K44" s="216"/>
      <c r="L44" s="38"/>
      <c r="M44" s="44" t="s">
        <v>397</v>
      </c>
      <c r="N44" s="247" t="s">
        <v>398</v>
      </c>
      <c r="O44" s="46">
        <v>1</v>
      </c>
      <c r="P44" s="35"/>
      <c r="S44" s="35"/>
      <c r="V44" s="709"/>
      <c r="W44" s="704"/>
      <c r="X44" s="208">
        <f>ROUND((ROUND((ROUND((_11_A家事０．５*_11・２人),0)*(1+_11・A深夜)),0)*_11・初任),0)+ROUND((ROUND((ROUND((_11_B家事０．５＿０．５*_11・２人),0)*(1+_11・B早朝)),0)*_11・初任),0)+ROUND((ROUND((_11_C家事０．５＿０．５＿０．５*_11・２人),0)*_11・初任),0)</f>
        <v>246</v>
      </c>
      <c r="Y44" s="48"/>
    </row>
    <row r="45" spans="1:25" ht="16.5" customHeight="1" x14ac:dyDescent="0.15">
      <c r="A45" s="41">
        <v>11</v>
      </c>
      <c r="B45" s="41" t="s">
        <v>10147</v>
      </c>
      <c r="C45" s="74" t="s">
        <v>10148</v>
      </c>
      <c r="D45" s="72"/>
      <c r="F45" s="72"/>
      <c r="H45" s="72"/>
      <c r="J45" s="752" t="s">
        <v>400</v>
      </c>
      <c r="K45" s="221" t="s">
        <v>398</v>
      </c>
      <c r="L45" s="50">
        <v>0.9</v>
      </c>
      <c r="M45" s="44"/>
      <c r="N45" s="247"/>
      <c r="O45" s="46"/>
      <c r="P45" s="35"/>
      <c r="S45" s="35"/>
      <c r="V45" s="709"/>
      <c r="W45" s="704"/>
      <c r="X45" s="208">
        <f>ROUND((ROUND((ROUND((_11_A家事０．５*_11・基礎２),0)*(1+_11・A深夜)),0)*_11・初任),0)+ROUND((ROUND((ROUND((_11_B家事０．５＿０．５*_11・基礎２),0)*(1+_11・B早朝)),0)*_11・初任),0)+ROUND((ROUND((_11_C家事０．５＿０．５＿０．５*_11・基礎２),0)*_11・初任),0)</f>
        <v>221</v>
      </c>
      <c r="Y45" s="48"/>
    </row>
    <row r="46" spans="1:25" ht="16.5" customHeight="1" x14ac:dyDescent="0.15">
      <c r="A46" s="41">
        <v>11</v>
      </c>
      <c r="B46" s="41" t="s">
        <v>10149</v>
      </c>
      <c r="C46" s="74" t="s">
        <v>10150</v>
      </c>
      <c r="D46" s="72"/>
      <c r="F46" s="72"/>
      <c r="H46" s="72"/>
      <c r="J46" s="757"/>
      <c r="K46" s="216"/>
      <c r="L46" s="38"/>
      <c r="M46" s="44" t="s">
        <v>397</v>
      </c>
      <c r="N46" s="247" t="s">
        <v>398</v>
      </c>
      <c r="O46" s="46">
        <v>1</v>
      </c>
      <c r="P46" s="35"/>
      <c r="S46" s="35"/>
      <c r="V46" s="240" t="s">
        <v>398</v>
      </c>
      <c r="W46" s="38">
        <f>_11・初任</f>
        <v>0.7</v>
      </c>
      <c r="X46" s="208">
        <f>ROUND((ROUND((ROUND((ROUND((_11_A家事０．５*_11・基礎２),0)*_11・２人),0)*(1+_11・A深夜)),0)*_11・初任),0)+ROUND((ROUND((ROUND((ROUND((_11_B家事０．５＿０．５*_11・基礎２),0)*_11・２人),0)*(1+_11・B早朝)),0)*_11・初任),0)+ROUND((ROUND((ROUND((_11_C家事０．５＿０．５＿０．５*_11・基礎２),0)*_11・２人),0)*_11・初任),0)</f>
        <v>221</v>
      </c>
      <c r="Y46" s="48"/>
    </row>
    <row r="47" spans="1:25" ht="16.5" customHeight="1" x14ac:dyDescent="0.15">
      <c r="A47" s="41">
        <v>11</v>
      </c>
      <c r="B47" s="41">
        <v>7983</v>
      </c>
      <c r="C47" s="74" t="s">
        <v>10151</v>
      </c>
      <c r="D47" s="72"/>
      <c r="F47" s="707" t="s">
        <v>9489</v>
      </c>
      <c r="G47" s="717"/>
      <c r="H47" s="707" t="s">
        <v>9588</v>
      </c>
      <c r="I47" s="717"/>
      <c r="J47" s="114"/>
      <c r="K47" s="221"/>
      <c r="L47" s="50"/>
      <c r="M47" s="44"/>
      <c r="N47" s="247"/>
      <c r="O47" s="46"/>
      <c r="P47" s="35"/>
      <c r="S47" s="35"/>
      <c r="V47" s="53"/>
      <c r="W47" s="50"/>
      <c r="X47" s="208">
        <f>ROUND((_11_A家事０．５*(1+_11・A深夜)),0)+ROUND((_11_B家事０．５＿０．７５*(1+_11・B早朝)),0)+_11_C家事０．５＿０．７５＿０．２５</f>
        <v>360</v>
      </c>
      <c r="Y47" s="48"/>
    </row>
    <row r="48" spans="1:25" ht="16.5" customHeight="1" x14ac:dyDescent="0.15">
      <c r="A48" s="41">
        <v>11</v>
      </c>
      <c r="B48" s="41">
        <v>7984</v>
      </c>
      <c r="C48" s="74" t="s">
        <v>10152</v>
      </c>
      <c r="D48" s="72"/>
      <c r="F48" s="709"/>
      <c r="G48" s="718"/>
      <c r="H48" s="709"/>
      <c r="I48" s="718"/>
      <c r="J48" s="122"/>
      <c r="K48" s="216"/>
      <c r="L48" s="38"/>
      <c r="M48" s="44" t="s">
        <v>397</v>
      </c>
      <c r="N48" s="247" t="s">
        <v>398</v>
      </c>
      <c r="O48" s="46">
        <v>1</v>
      </c>
      <c r="P48" s="35"/>
      <c r="S48" s="35"/>
      <c r="V48" s="35"/>
      <c r="X48" s="208">
        <f>ROUND((ROUND((_11_A家事０．５*_11・２人),0)*(1+_11・A深夜)),0)+ROUND((ROUND((_11_B家事０．５＿０．７５*_11・２人),0)*(1+_11・B早朝)),0)+ROUND((_11_C家事０．５＿０．７５＿０．２５*_11・２人),0)</f>
        <v>360</v>
      </c>
      <c r="Y48" s="48"/>
    </row>
    <row r="49" spans="1:25" ht="16.5" customHeight="1" x14ac:dyDescent="0.15">
      <c r="A49" s="41">
        <v>11</v>
      </c>
      <c r="B49" s="41">
        <v>7985</v>
      </c>
      <c r="C49" s="74" t="s">
        <v>10153</v>
      </c>
      <c r="D49" s="72"/>
      <c r="F49" s="709"/>
      <c r="G49" s="718"/>
      <c r="H49" s="709"/>
      <c r="I49" s="718"/>
      <c r="J49" s="752" t="s">
        <v>400</v>
      </c>
      <c r="K49" s="221" t="s">
        <v>398</v>
      </c>
      <c r="L49" s="50">
        <v>0.9</v>
      </c>
      <c r="M49" s="44"/>
      <c r="N49" s="247"/>
      <c r="O49" s="46"/>
      <c r="P49" s="35"/>
      <c r="S49" s="35"/>
      <c r="V49" s="35"/>
      <c r="X49" s="208">
        <f>ROUND((ROUND((_11_A家事０．５*_11・基礎２),0)*(1+_11・A深夜)),0)+ROUND((ROUND((_11_B家事０．５＿０．７５*_11・基礎２),0)*(1+_11・B早朝)),0)+ROUND((_11_C家事０．５＿０．７５＿０．２５*_11・基礎２),0)</f>
        <v>325</v>
      </c>
      <c r="Y49" s="48"/>
    </row>
    <row r="50" spans="1:25" ht="16.5" customHeight="1" x14ac:dyDescent="0.15">
      <c r="A50" s="41">
        <v>11</v>
      </c>
      <c r="B50" s="41">
        <v>7986</v>
      </c>
      <c r="C50" s="74" t="s">
        <v>10154</v>
      </c>
      <c r="D50" s="72"/>
      <c r="F50" s="125">
        <f>_11_B家事０．５＿０．７５</f>
        <v>133</v>
      </c>
      <c r="G50" s="12" t="s">
        <v>392</v>
      </c>
      <c r="H50" s="125">
        <f>_11_C家事０．５＿０．７５＿０．２５</f>
        <v>36</v>
      </c>
      <c r="I50" s="12" t="s">
        <v>392</v>
      </c>
      <c r="J50" s="757"/>
      <c r="K50" s="216"/>
      <c r="L50" s="38"/>
      <c r="M50" s="44" t="s">
        <v>397</v>
      </c>
      <c r="N50" s="247" t="s">
        <v>398</v>
      </c>
      <c r="O50" s="46">
        <v>1</v>
      </c>
      <c r="P50" s="35"/>
      <c r="S50" s="35"/>
      <c r="V50" s="43"/>
      <c r="W50" s="38"/>
      <c r="X50" s="208">
        <f>ROUND((ROUND((ROUND((_11_A家事０．５*_11・基礎２),0)*_11・２人),0)*(1+_11・A深夜)),0)+ROUND((ROUND((ROUND((_11_B家事０．５＿０．７５*_11・基礎２),0)*_11・２人),0)*(1+_11・B早朝)),0)+ROUND((ROUND((_11_C家事０．５＿０．７５＿０．２５*_11・基礎２),0)*_11・２人),0)</f>
        <v>325</v>
      </c>
      <c r="Y50" s="48"/>
    </row>
    <row r="51" spans="1:25" ht="16.5" customHeight="1" x14ac:dyDescent="0.15">
      <c r="A51" s="41">
        <v>11</v>
      </c>
      <c r="B51" s="41" t="s">
        <v>10155</v>
      </c>
      <c r="C51" s="74" t="s">
        <v>10156</v>
      </c>
      <c r="D51" s="72"/>
      <c r="F51" s="72"/>
      <c r="H51" s="72"/>
      <c r="J51" s="114"/>
      <c r="K51" s="221"/>
      <c r="L51" s="50"/>
      <c r="M51" s="44"/>
      <c r="N51" s="247"/>
      <c r="O51" s="46"/>
      <c r="P51" s="35"/>
      <c r="S51" s="35"/>
      <c r="V51" s="707" t="s">
        <v>404</v>
      </c>
      <c r="W51" s="708"/>
      <c r="X51" s="208">
        <f>ROUND((ROUND((_11_A家事０．５*(1+_11・A深夜)),0)*_11・初任),0)+ROUND((ROUND((_11_B家事０．５＿０．７５*(1+_11・B早朝)),0)*_11・初任),0)+ROUND((_11_C家事０．５＿０．７５＿０．２５*_11・初任),0)</f>
        <v>252</v>
      </c>
      <c r="Y51" s="48"/>
    </row>
    <row r="52" spans="1:25" ht="16.5" customHeight="1" x14ac:dyDescent="0.15">
      <c r="A52" s="41">
        <v>11</v>
      </c>
      <c r="B52" s="41" t="s">
        <v>10157</v>
      </c>
      <c r="C52" s="74" t="s">
        <v>10158</v>
      </c>
      <c r="D52" s="72"/>
      <c r="F52" s="72"/>
      <c r="H52" s="72"/>
      <c r="J52" s="122"/>
      <c r="K52" s="216"/>
      <c r="L52" s="38"/>
      <c r="M52" s="44" t="s">
        <v>397</v>
      </c>
      <c r="N52" s="247" t="s">
        <v>398</v>
      </c>
      <c r="O52" s="46">
        <v>1</v>
      </c>
      <c r="P52" s="35"/>
      <c r="S52" s="35"/>
      <c r="V52" s="709"/>
      <c r="W52" s="704"/>
      <c r="X52" s="208">
        <f>ROUND((ROUND((ROUND((_11_A家事０．５*_11・２人),0)*(1+_11・A深夜)),0)*_11・初任),0)+ROUND((ROUND((ROUND((_11_B家事０．５＿０．７５*_11・２人),0)*(1+_11・B早朝)),0)*_11・初任),0)+ROUND((ROUND((_11_C家事０．５＿０．７５＿０．２５*_11・２人),0)*_11・初任),0)</f>
        <v>252</v>
      </c>
      <c r="Y52" s="48"/>
    </row>
    <row r="53" spans="1:25" ht="16.5" customHeight="1" x14ac:dyDescent="0.15">
      <c r="A53" s="41">
        <v>11</v>
      </c>
      <c r="B53" s="41" t="s">
        <v>10159</v>
      </c>
      <c r="C53" s="74" t="s">
        <v>10160</v>
      </c>
      <c r="D53" s="72"/>
      <c r="F53" s="72"/>
      <c r="H53" s="72"/>
      <c r="J53" s="752" t="s">
        <v>400</v>
      </c>
      <c r="K53" s="221" t="s">
        <v>398</v>
      </c>
      <c r="L53" s="50">
        <v>0.9</v>
      </c>
      <c r="M53" s="44"/>
      <c r="N53" s="247"/>
      <c r="O53" s="46"/>
      <c r="P53" s="35"/>
      <c r="S53" s="35"/>
      <c r="V53" s="709"/>
      <c r="W53" s="704"/>
      <c r="X53" s="208">
        <f>ROUND((ROUND((ROUND((_11_A家事０．５*_11・基礎２),0)*(1+_11・A深夜)),0)*_11・初任),0)+ROUND((ROUND((ROUND((_11_B家事０．５＿０．７５*_11・基礎２),0)*(1+_11・B早朝)),0)*_11・初任),0)+ROUND((ROUND((_11_C家事０．５＿０．７５＿０．２５*_11・基礎２),0)*_11・初任),0)</f>
        <v>227</v>
      </c>
      <c r="Y53" s="48"/>
    </row>
    <row r="54" spans="1:25" ht="16.5" customHeight="1" x14ac:dyDescent="0.15">
      <c r="A54" s="41">
        <v>11</v>
      </c>
      <c r="B54" s="41" t="s">
        <v>10161</v>
      </c>
      <c r="C54" s="74" t="s">
        <v>10162</v>
      </c>
      <c r="D54" s="72"/>
      <c r="F54" s="72"/>
      <c r="H54" s="72"/>
      <c r="J54" s="757"/>
      <c r="K54" s="216"/>
      <c r="L54" s="38"/>
      <c r="M54" s="44" t="s">
        <v>397</v>
      </c>
      <c r="N54" s="247" t="s">
        <v>398</v>
      </c>
      <c r="O54" s="46">
        <v>1</v>
      </c>
      <c r="P54" s="35"/>
      <c r="S54" s="35"/>
      <c r="V54" s="240" t="s">
        <v>398</v>
      </c>
      <c r="W54" s="38">
        <f>_11・初任</f>
        <v>0.7</v>
      </c>
      <c r="X54" s="208">
        <f>ROUND((ROUND((ROUND((ROUND((_11_A家事０．５*_11・基礎２),0)*_11・２人),0)*(1+_11・A深夜)),0)*_11・初任),0)+ROUND((ROUND((ROUND((ROUND((_11_B家事０．５＿０．７５*_11・基礎２),0)*_11・２人),0)*(1+_11・B早朝)),0)*_11・初任),0)+ROUND((ROUND((ROUND((_11_C家事０．５＿０．７５＿０．２５*_11・基礎２),0)*_11・２人),0)*_11・初任),0)</f>
        <v>227</v>
      </c>
      <c r="Y54" s="48"/>
    </row>
    <row r="55" spans="1:25" ht="16.5" customHeight="1" x14ac:dyDescent="0.15">
      <c r="A55" s="41">
        <v>11</v>
      </c>
      <c r="B55" s="41">
        <v>7987</v>
      </c>
      <c r="C55" s="74" t="s">
        <v>10163</v>
      </c>
      <c r="D55" s="707" t="s">
        <v>9150</v>
      </c>
      <c r="E55" s="717"/>
      <c r="F55" s="707" t="s">
        <v>9463</v>
      </c>
      <c r="G55" s="717"/>
      <c r="H55" s="707" t="s">
        <v>9588</v>
      </c>
      <c r="I55" s="717"/>
      <c r="J55" s="114"/>
      <c r="K55" s="221"/>
      <c r="L55" s="50"/>
      <c r="M55" s="44"/>
      <c r="N55" s="247"/>
      <c r="O55" s="46"/>
      <c r="P55" s="35"/>
      <c r="S55" s="35"/>
      <c r="V55" s="114"/>
      <c r="W55" s="50"/>
      <c r="X55" s="208">
        <f>ROUND((_11_A家事０．７５*(1+_11・A深夜)),0)+ROUND((_11_B家事０．７５＿０．２５*(1+_11・B早朝)),0)+_11_C家事０．７５＿０．２５＿０．２５</f>
        <v>325</v>
      </c>
      <c r="Y55" s="48"/>
    </row>
    <row r="56" spans="1:25" ht="16.5" customHeight="1" x14ac:dyDescent="0.15">
      <c r="A56" s="41">
        <v>11</v>
      </c>
      <c r="B56" s="41">
        <v>7988</v>
      </c>
      <c r="C56" s="74" t="s">
        <v>10164</v>
      </c>
      <c r="D56" s="709"/>
      <c r="E56" s="718"/>
      <c r="F56" s="709"/>
      <c r="G56" s="718"/>
      <c r="H56" s="709"/>
      <c r="I56" s="718"/>
      <c r="J56" s="122"/>
      <c r="K56" s="216"/>
      <c r="L56" s="38"/>
      <c r="M56" s="44" t="s">
        <v>397</v>
      </c>
      <c r="N56" s="247" t="s">
        <v>398</v>
      </c>
      <c r="O56" s="46">
        <v>1</v>
      </c>
      <c r="P56" s="35"/>
      <c r="S56" s="35"/>
      <c r="V56" s="72"/>
      <c r="X56" s="208">
        <f>ROUND((ROUND((_11_A家事０．７５*_11・２人),0)*(1+_11・A深夜)),0)+ROUND((ROUND((_11_B家事０．７５＿０．２５*_11・２人),0)*(1+_11・B早朝)),0)+ROUND((_11_C家事０．７５＿０．２５＿０．２５*_11・２人),0)</f>
        <v>325</v>
      </c>
      <c r="Y56" s="48"/>
    </row>
    <row r="57" spans="1:25" ht="16.5" customHeight="1" x14ac:dyDescent="0.15">
      <c r="A57" s="41">
        <v>11</v>
      </c>
      <c r="B57" s="41">
        <v>7989</v>
      </c>
      <c r="C57" s="74" t="s">
        <v>10165</v>
      </c>
      <c r="D57" s="709"/>
      <c r="E57" s="718"/>
      <c r="F57" s="709"/>
      <c r="G57" s="718"/>
      <c r="H57" s="709"/>
      <c r="I57" s="718"/>
      <c r="J57" s="752" t="s">
        <v>400</v>
      </c>
      <c r="K57" s="221" t="s">
        <v>398</v>
      </c>
      <c r="L57" s="50">
        <v>0.9</v>
      </c>
      <c r="M57" s="44"/>
      <c r="N57" s="247"/>
      <c r="O57" s="46"/>
      <c r="P57" s="35"/>
      <c r="S57" s="35"/>
      <c r="V57" s="72"/>
      <c r="X57" s="208">
        <f>ROUND((ROUND((_11_A家事０．７５*_11・基礎２),0)*(1+_11・A深夜)),0)+ROUND((ROUND((_11_B家事０．７５＿０．２５*_11・基礎２),0)*(1+_11・B早朝)),0)+ROUND((_11_C家事０．７５＿０．２５＿０．２５*_11・基礎２),0)</f>
        <v>294</v>
      </c>
      <c r="Y57" s="48"/>
    </row>
    <row r="58" spans="1:25" ht="16.5" customHeight="1" x14ac:dyDescent="0.15">
      <c r="A58" s="41">
        <v>11</v>
      </c>
      <c r="B58" s="41">
        <v>7990</v>
      </c>
      <c r="C58" s="74" t="s">
        <v>10166</v>
      </c>
      <c r="D58" s="125">
        <f>_11_A家事０．７５</f>
        <v>152</v>
      </c>
      <c r="E58" s="12" t="s">
        <v>392</v>
      </c>
      <c r="F58" s="125">
        <f>_11_B家事０．７５＿０．２５</f>
        <v>44</v>
      </c>
      <c r="G58" s="12" t="s">
        <v>392</v>
      </c>
      <c r="H58" s="125">
        <f>_11_C家事０．７５＿０．２５＿０．２５</f>
        <v>42</v>
      </c>
      <c r="I58" s="12" t="s">
        <v>392</v>
      </c>
      <c r="J58" s="757"/>
      <c r="K58" s="216"/>
      <c r="L58" s="38"/>
      <c r="M58" s="44" t="s">
        <v>397</v>
      </c>
      <c r="N58" s="247" t="s">
        <v>398</v>
      </c>
      <c r="O58" s="46">
        <v>1</v>
      </c>
      <c r="P58" s="35"/>
      <c r="S58" s="35"/>
      <c r="V58" s="72"/>
      <c r="X58" s="208">
        <f>ROUND((ROUND((ROUND((_11_A家事０．７５*_11・基礎２),0)*_11・２人),0)*(1+_11・A深夜)),0)+ROUND((ROUND((ROUND((_11_B家事０．７５＿０．２５*_11・基礎２),0)*_11・２人),0)*(1+_11・B早朝)),0)+ROUND((ROUND((_11_C家事０．７５＿０．２５＿０．２５*_11・基礎２),0)*_11・２人),0)</f>
        <v>294</v>
      </c>
      <c r="Y58" s="48"/>
    </row>
    <row r="59" spans="1:25" ht="16.5" customHeight="1" x14ac:dyDescent="0.15">
      <c r="A59" s="41">
        <v>11</v>
      </c>
      <c r="B59" s="41" t="s">
        <v>10167</v>
      </c>
      <c r="C59" s="74" t="s">
        <v>10168</v>
      </c>
      <c r="D59" s="72"/>
      <c r="F59" s="72"/>
      <c r="H59" s="72"/>
      <c r="J59" s="114"/>
      <c r="K59" s="221"/>
      <c r="L59" s="50"/>
      <c r="M59" s="44"/>
      <c r="N59" s="247"/>
      <c r="O59" s="46"/>
      <c r="P59" s="35"/>
      <c r="S59" s="35"/>
      <c r="V59" s="707" t="s">
        <v>404</v>
      </c>
      <c r="W59" s="708"/>
      <c r="X59" s="208">
        <f>ROUND((ROUND((_11_A家事０．７５*(1+_11・A深夜)),0)*_11・初任),0)+ROUND((ROUND((_11_B家事０．７５＿０．２５*(1+_11・B早朝)),0)*_11・初任),0)+ROUND((_11_C家事０．７５＿０．２５＿０．２５*_11・初任),0)</f>
        <v>228</v>
      </c>
      <c r="Y59" s="48"/>
    </row>
    <row r="60" spans="1:25" ht="16.5" customHeight="1" x14ac:dyDescent="0.15">
      <c r="A60" s="41">
        <v>11</v>
      </c>
      <c r="B60" s="41" t="s">
        <v>10169</v>
      </c>
      <c r="C60" s="74" t="s">
        <v>10170</v>
      </c>
      <c r="D60" s="72"/>
      <c r="F60" s="72"/>
      <c r="H60" s="72"/>
      <c r="J60" s="122"/>
      <c r="K60" s="216"/>
      <c r="L60" s="38"/>
      <c r="M60" s="44" t="s">
        <v>397</v>
      </c>
      <c r="N60" s="247" t="s">
        <v>398</v>
      </c>
      <c r="O60" s="46">
        <v>1</v>
      </c>
      <c r="P60" s="35"/>
      <c r="S60" s="35"/>
      <c r="V60" s="709"/>
      <c r="W60" s="704"/>
      <c r="X60" s="208">
        <f>ROUND((ROUND((ROUND((_11_A家事０．７５*_11・２人),0)*(1+_11・A深夜)),0)*_11・初任),0)+ROUND((ROUND((ROUND((_11_B家事０．７５＿０．２５*_11・２人),0)*(1+_11・B早朝)),0)*_11・初任),0)+ROUND((ROUND((_11_C家事０．７５＿０．２５＿０．２５*_11・２人),0)*_11・初任),0)</f>
        <v>228</v>
      </c>
      <c r="Y60" s="48"/>
    </row>
    <row r="61" spans="1:25" ht="16.5" customHeight="1" x14ac:dyDescent="0.15">
      <c r="A61" s="41">
        <v>11</v>
      </c>
      <c r="B61" s="41" t="s">
        <v>10171</v>
      </c>
      <c r="C61" s="74" t="s">
        <v>10172</v>
      </c>
      <c r="D61" s="72"/>
      <c r="F61" s="72"/>
      <c r="H61" s="72"/>
      <c r="J61" s="752" t="s">
        <v>400</v>
      </c>
      <c r="K61" s="221" t="s">
        <v>398</v>
      </c>
      <c r="L61" s="50">
        <v>0.9</v>
      </c>
      <c r="M61" s="44"/>
      <c r="N61" s="247"/>
      <c r="O61" s="46"/>
      <c r="P61" s="35"/>
      <c r="S61" s="35"/>
      <c r="V61" s="709"/>
      <c r="W61" s="704"/>
      <c r="X61" s="208">
        <f>ROUND((ROUND((ROUND((_11_A家事０．７５*_11・基礎２),0)*(1+_11・A深夜)),0)*_11・初任),0)+ROUND((ROUND((ROUND((_11_B家事０．７５＿０．２５*_11・基礎２),0)*(1+_11・B早朝)),0)*_11・初任),0)+ROUND((ROUND((_11_C家事０．７５＿０．２５＿０．２５*_11・基礎２),0)*_11・初任),0)</f>
        <v>206</v>
      </c>
      <c r="Y61" s="48"/>
    </row>
    <row r="62" spans="1:25" ht="16.5" customHeight="1" x14ac:dyDescent="0.15">
      <c r="A62" s="41">
        <v>11</v>
      </c>
      <c r="B62" s="41" t="s">
        <v>10173</v>
      </c>
      <c r="C62" s="74" t="s">
        <v>10174</v>
      </c>
      <c r="D62" s="72"/>
      <c r="F62" s="72"/>
      <c r="H62" s="72"/>
      <c r="J62" s="757"/>
      <c r="K62" s="216"/>
      <c r="L62" s="38"/>
      <c r="M62" s="44" t="s">
        <v>397</v>
      </c>
      <c r="N62" s="247" t="s">
        <v>398</v>
      </c>
      <c r="O62" s="46">
        <v>1</v>
      </c>
      <c r="P62" s="35"/>
      <c r="S62" s="35"/>
      <c r="V62" s="240" t="s">
        <v>398</v>
      </c>
      <c r="W62" s="38">
        <f>_11・初任</f>
        <v>0.7</v>
      </c>
      <c r="X62" s="208">
        <f>ROUND((ROUND((ROUND((ROUND((_11_A家事０．７５*_11・基礎２),0)*_11・２人),0)*(1+_11・A深夜)),0)*_11・初任),0)+ROUND((ROUND((ROUND((ROUND((_11_B家事０．７５＿０．２５*_11・基礎２),0)*_11・２人),0)*(1+_11・B早朝)),0)*_11・初任),0)+ROUND((ROUND((ROUND((_11_C家事０．７５＿０．２５＿０．２５*_11・基礎２),0)*_11・２人),0)*_11・初任),0)</f>
        <v>206</v>
      </c>
      <c r="Y62" s="48"/>
    </row>
    <row r="63" spans="1:25" ht="16.5" customHeight="1" x14ac:dyDescent="0.15">
      <c r="A63" s="41">
        <v>11</v>
      </c>
      <c r="B63" s="41">
        <v>7991</v>
      </c>
      <c r="C63" s="74" t="s">
        <v>10175</v>
      </c>
      <c r="D63" s="72"/>
      <c r="F63" s="72"/>
      <c r="H63" s="707" t="s">
        <v>9601</v>
      </c>
      <c r="I63" s="717"/>
      <c r="J63" s="114"/>
      <c r="K63" s="221"/>
      <c r="L63" s="50"/>
      <c r="M63" s="44"/>
      <c r="N63" s="247"/>
      <c r="O63" s="46"/>
      <c r="P63" s="35"/>
      <c r="S63" s="35"/>
      <c r="V63" s="53"/>
      <c r="W63" s="50"/>
      <c r="X63" s="208">
        <f>ROUND((_11_A家事０．７５*(1+_11・A深夜)),0)+ROUND((_11_B家事０．７５＿０．２５*(1+_11・B早朝)),0)+_11_C家事０．７５＿０．２５＿０．５</f>
        <v>361</v>
      </c>
      <c r="Y63" s="48"/>
    </row>
    <row r="64" spans="1:25" ht="16.5" customHeight="1" x14ac:dyDescent="0.15">
      <c r="A64" s="41">
        <v>11</v>
      </c>
      <c r="B64" s="41">
        <v>7992</v>
      </c>
      <c r="C64" s="74" t="s">
        <v>10176</v>
      </c>
      <c r="D64" s="72"/>
      <c r="F64" s="72"/>
      <c r="H64" s="709"/>
      <c r="I64" s="718"/>
      <c r="J64" s="122"/>
      <c r="K64" s="216"/>
      <c r="L64" s="38"/>
      <c r="M64" s="44" t="s">
        <v>397</v>
      </c>
      <c r="N64" s="247" t="s">
        <v>398</v>
      </c>
      <c r="O64" s="46">
        <v>1</v>
      </c>
      <c r="P64" s="35"/>
      <c r="S64" s="35"/>
      <c r="V64" s="35"/>
      <c r="X64" s="208">
        <f>ROUND((ROUND((_11_A家事０．７５*_11・２人),0)*(1+_11・A深夜)),0)+ROUND((ROUND((_11_B家事０．７５＿０．２５*_11・２人),0)*(1+_11・B早朝)),0)+ROUND((_11_C家事０．７５＿０．２５＿０．５*_11・２人),0)</f>
        <v>361</v>
      </c>
      <c r="Y64" s="48"/>
    </row>
    <row r="65" spans="1:25" ht="16.5" customHeight="1" x14ac:dyDescent="0.15">
      <c r="A65" s="41">
        <v>11</v>
      </c>
      <c r="B65" s="41">
        <v>7993</v>
      </c>
      <c r="C65" s="74" t="s">
        <v>10177</v>
      </c>
      <c r="D65" s="72"/>
      <c r="F65" s="72"/>
      <c r="H65" s="709"/>
      <c r="I65" s="718"/>
      <c r="J65" s="752" t="s">
        <v>400</v>
      </c>
      <c r="K65" s="221" t="s">
        <v>398</v>
      </c>
      <c r="L65" s="50">
        <v>0.9</v>
      </c>
      <c r="M65" s="44"/>
      <c r="N65" s="247"/>
      <c r="O65" s="46"/>
      <c r="P65" s="35"/>
      <c r="S65" s="35"/>
      <c r="V65" s="35"/>
      <c r="X65" s="208">
        <f>ROUND((ROUND((_11_A家事０．７５*_11・基礎２),0)*(1+_11・A深夜)),0)+ROUND((ROUND((_11_B家事０．７５＿０．２５*_11・基礎２),0)*(1+_11・B早朝)),0)+ROUND((_11_C家事０．７５＿０．２５＿０．５*_11・基礎２),0)</f>
        <v>326</v>
      </c>
      <c r="Y65" s="48"/>
    </row>
    <row r="66" spans="1:25" ht="16.5" customHeight="1" x14ac:dyDescent="0.15">
      <c r="A66" s="41">
        <v>11</v>
      </c>
      <c r="B66" s="41">
        <v>7994</v>
      </c>
      <c r="C66" s="74" t="s">
        <v>10178</v>
      </c>
      <c r="D66" s="72"/>
      <c r="F66" s="72"/>
      <c r="H66" s="125">
        <f>_11_C家事０．７５＿０．２５＿０．５</f>
        <v>78</v>
      </c>
      <c r="I66" s="12" t="s">
        <v>392</v>
      </c>
      <c r="J66" s="757"/>
      <c r="K66" s="216"/>
      <c r="L66" s="38"/>
      <c r="M66" s="44" t="s">
        <v>397</v>
      </c>
      <c r="N66" s="247" t="s">
        <v>398</v>
      </c>
      <c r="O66" s="46">
        <v>1</v>
      </c>
      <c r="P66" s="35"/>
      <c r="S66" s="35"/>
      <c r="V66" s="43"/>
      <c r="W66" s="38"/>
      <c r="X66" s="208">
        <f>ROUND((ROUND((ROUND((_11_A家事０．７５*_11・基礎２),0)*_11・２人),0)*(1+_11・A深夜)),0)+ROUND((ROUND((ROUND((_11_B家事０．７５＿０．２５*_11・基礎２),0)*_11・２人),0)*(1+_11・B早朝)),0)+ROUND((ROUND((_11_C家事０．７５＿０．２５＿０．５*_11・基礎２),0)*_11・２人),0)</f>
        <v>326</v>
      </c>
      <c r="Y66" s="48"/>
    </row>
    <row r="67" spans="1:25" ht="16.5" customHeight="1" x14ac:dyDescent="0.15">
      <c r="A67" s="41">
        <v>11</v>
      </c>
      <c r="B67" s="41" t="s">
        <v>10179</v>
      </c>
      <c r="C67" s="74" t="s">
        <v>10180</v>
      </c>
      <c r="D67" s="72"/>
      <c r="F67" s="72"/>
      <c r="H67" s="72"/>
      <c r="J67" s="114"/>
      <c r="K67" s="221"/>
      <c r="L67" s="50"/>
      <c r="M67" s="44"/>
      <c r="N67" s="247"/>
      <c r="O67" s="46"/>
      <c r="P67" s="35"/>
      <c r="S67" s="35"/>
      <c r="V67" s="707" t="s">
        <v>404</v>
      </c>
      <c r="W67" s="708"/>
      <c r="X67" s="208">
        <f>ROUND((ROUND((_11_A家事０．７５*(1+_11・A深夜)),0)*_11・初任),0)+ROUND((ROUND((_11_B家事０．７５＿０．２５*(1+_11・B早朝)),0)*_11・初任),0)+ROUND((_11_C家事０．７５＿０．２５＿０．５*_11・初任),0)</f>
        <v>254</v>
      </c>
      <c r="Y67" s="48"/>
    </row>
    <row r="68" spans="1:25" ht="16.5" customHeight="1" x14ac:dyDescent="0.15">
      <c r="A68" s="41">
        <v>11</v>
      </c>
      <c r="B68" s="41" t="s">
        <v>10181</v>
      </c>
      <c r="C68" s="74" t="s">
        <v>10182</v>
      </c>
      <c r="D68" s="72"/>
      <c r="F68" s="72"/>
      <c r="H68" s="72"/>
      <c r="J68" s="122"/>
      <c r="K68" s="216"/>
      <c r="L68" s="38"/>
      <c r="M68" s="44" t="s">
        <v>397</v>
      </c>
      <c r="N68" s="247" t="s">
        <v>398</v>
      </c>
      <c r="O68" s="46">
        <v>1</v>
      </c>
      <c r="P68" s="35"/>
      <c r="S68" s="35"/>
      <c r="V68" s="709"/>
      <c r="W68" s="704"/>
      <c r="X68" s="208">
        <f>ROUND((ROUND((ROUND((_11_A家事０．７５*_11・２人),0)*(1+_11・A深夜)),0)*_11・初任),0)+ROUND((ROUND((ROUND((_11_B家事０．７５＿０．２５*_11・２人),0)*(1+_11・B早朝)),0)*_11・初任),0)+ROUND((ROUND((_11_C家事０．７５＿０．２５＿０．５*_11・２人),0)*_11・初任),0)</f>
        <v>254</v>
      </c>
      <c r="Y68" s="48"/>
    </row>
    <row r="69" spans="1:25" ht="16.5" customHeight="1" x14ac:dyDescent="0.15">
      <c r="A69" s="41">
        <v>11</v>
      </c>
      <c r="B69" s="41" t="s">
        <v>10183</v>
      </c>
      <c r="C69" s="74" t="s">
        <v>10184</v>
      </c>
      <c r="D69" s="72"/>
      <c r="F69" s="72"/>
      <c r="H69" s="72"/>
      <c r="J69" s="752" t="s">
        <v>400</v>
      </c>
      <c r="K69" s="221" t="s">
        <v>398</v>
      </c>
      <c r="L69" s="50">
        <v>0.9</v>
      </c>
      <c r="M69" s="44"/>
      <c r="N69" s="247"/>
      <c r="O69" s="46"/>
      <c r="P69" s="35"/>
      <c r="S69" s="35"/>
      <c r="V69" s="709"/>
      <c r="W69" s="704"/>
      <c r="X69" s="208">
        <f>ROUND((ROUND((ROUND((_11_A家事０．７５*_11・基礎２),0)*(1+_11・A深夜)),0)*_11・初任),0)+ROUND((ROUND((ROUND((_11_B家事０．７５＿０．２５*_11・基礎２),0)*(1+_11・B早朝)),0)*_11・初任),0)+ROUND((ROUND((_11_C家事０．７５＿０．２５＿０．５*_11・基礎２),0)*_11・初任),0)</f>
        <v>228</v>
      </c>
      <c r="Y69" s="48"/>
    </row>
    <row r="70" spans="1:25" ht="16.5" customHeight="1" x14ac:dyDescent="0.15">
      <c r="A70" s="41">
        <v>11</v>
      </c>
      <c r="B70" s="41" t="s">
        <v>10185</v>
      </c>
      <c r="C70" s="74" t="s">
        <v>10186</v>
      </c>
      <c r="D70" s="72"/>
      <c r="F70" s="72"/>
      <c r="H70" s="72"/>
      <c r="J70" s="757"/>
      <c r="K70" s="216"/>
      <c r="L70" s="38"/>
      <c r="M70" s="44" t="s">
        <v>397</v>
      </c>
      <c r="N70" s="247" t="s">
        <v>398</v>
      </c>
      <c r="O70" s="46">
        <v>1</v>
      </c>
      <c r="P70" s="35"/>
      <c r="S70" s="35"/>
      <c r="V70" s="240" t="s">
        <v>398</v>
      </c>
      <c r="W70" s="38">
        <f>_11・初任</f>
        <v>0.7</v>
      </c>
      <c r="X70" s="208">
        <f>ROUND((ROUND((ROUND((ROUND((_11_A家事０．７５*_11・基礎２),0)*_11・２人),0)*(1+_11・A深夜)),0)*_11・初任),0)+ROUND((ROUND((ROUND((ROUND((_11_B家事０．７５＿０．２５*_11・基礎２),0)*_11・２人),0)*(1+_11・B早朝)),0)*_11・初任),0)+ROUND((ROUND((ROUND((_11_C家事０．７５＿０．２５＿０．５*_11・基礎２),0)*_11・２人),0)*_11・初任),0)</f>
        <v>228</v>
      </c>
      <c r="Y70" s="48"/>
    </row>
    <row r="71" spans="1:25" ht="16.5" customHeight="1" x14ac:dyDescent="0.15">
      <c r="A71" s="41">
        <v>11</v>
      </c>
      <c r="B71" s="41">
        <v>7995</v>
      </c>
      <c r="C71" s="74" t="s">
        <v>10187</v>
      </c>
      <c r="D71" s="132"/>
      <c r="E71" s="106"/>
      <c r="F71" s="707" t="s">
        <v>9476</v>
      </c>
      <c r="G71" s="717"/>
      <c r="H71" s="707" t="s">
        <v>9588</v>
      </c>
      <c r="I71" s="717"/>
      <c r="J71" s="114"/>
      <c r="K71" s="221"/>
      <c r="L71" s="50"/>
      <c r="M71" s="44"/>
      <c r="N71" s="247"/>
      <c r="O71" s="46"/>
      <c r="P71" s="35"/>
      <c r="S71" s="35"/>
      <c r="V71" s="114"/>
      <c r="W71" s="50"/>
      <c r="X71" s="208">
        <f>ROUND((_11_A家事０．７５*(1+_11・A深夜)),0)+ROUND((_11_B家事０．７５＿０．５*(1+_11・B早朝)),0)+_11_C家事０．７５＿０．５＿０．２５</f>
        <v>372</v>
      </c>
      <c r="Y71" s="48"/>
    </row>
    <row r="72" spans="1:25" ht="16.5" customHeight="1" x14ac:dyDescent="0.15">
      <c r="A72" s="41">
        <v>11</v>
      </c>
      <c r="B72" s="41">
        <v>7996</v>
      </c>
      <c r="C72" s="74" t="s">
        <v>10188</v>
      </c>
      <c r="D72" s="132"/>
      <c r="E72" s="106"/>
      <c r="F72" s="709"/>
      <c r="G72" s="718"/>
      <c r="H72" s="709"/>
      <c r="I72" s="718"/>
      <c r="J72" s="122"/>
      <c r="K72" s="216"/>
      <c r="L72" s="38"/>
      <c r="M72" s="44" t="s">
        <v>397</v>
      </c>
      <c r="N72" s="247" t="s">
        <v>398</v>
      </c>
      <c r="O72" s="46">
        <v>1</v>
      </c>
      <c r="P72" s="35"/>
      <c r="S72" s="35"/>
      <c r="V72" s="72"/>
      <c r="X72" s="208">
        <f>ROUND((ROUND((_11_A家事０．７５*_11・２人),0)*(1+_11・A深夜)),0)+ROUND((ROUND((_11_B家事０．７５＿０．５*_11・２人),0)*(1+_11・B早朝)),0)+ROUND((_11_C家事０．７５＿０．５＿０．２５*_11・２人),0)</f>
        <v>372</v>
      </c>
      <c r="Y72" s="48"/>
    </row>
    <row r="73" spans="1:25" ht="16.5" customHeight="1" x14ac:dyDescent="0.15">
      <c r="A73" s="41">
        <v>11</v>
      </c>
      <c r="B73" s="41">
        <v>7997</v>
      </c>
      <c r="C73" s="74" t="s">
        <v>10189</v>
      </c>
      <c r="D73" s="132"/>
      <c r="E73" s="106"/>
      <c r="F73" s="709"/>
      <c r="G73" s="718"/>
      <c r="H73" s="709"/>
      <c r="I73" s="718"/>
      <c r="J73" s="752" t="s">
        <v>400</v>
      </c>
      <c r="K73" s="221" t="s">
        <v>398</v>
      </c>
      <c r="L73" s="50">
        <v>0.9</v>
      </c>
      <c r="M73" s="44"/>
      <c r="N73" s="247"/>
      <c r="O73" s="46"/>
      <c r="P73" s="35"/>
      <c r="S73" s="35"/>
      <c r="V73" s="72"/>
      <c r="X73" s="208">
        <f>ROUND((ROUND((_11_A家事０．７５*_11・基礎２),0)*(1+_11・A深夜)),0)+ROUND((ROUND((_11_B家事０．７５＿０．５*_11・基礎２),0)*(1+_11・B早朝)),0)+ROUND((_11_C家事０．７５＿０．５＿０．２５*_11・基礎２),0)</f>
        <v>334</v>
      </c>
      <c r="Y73" s="48"/>
    </row>
    <row r="74" spans="1:25" ht="16.5" customHeight="1" x14ac:dyDescent="0.15">
      <c r="A74" s="41">
        <v>11</v>
      </c>
      <c r="B74" s="41">
        <v>7998</v>
      </c>
      <c r="C74" s="74" t="s">
        <v>10190</v>
      </c>
      <c r="D74" s="125"/>
      <c r="E74" s="57"/>
      <c r="F74" s="125">
        <f>_11_B家事０．７５＿０．５</f>
        <v>86</v>
      </c>
      <c r="G74" s="12" t="s">
        <v>392</v>
      </c>
      <c r="H74" s="125">
        <f>_11_C家事０．７５＿０．５＿０．２５</f>
        <v>36</v>
      </c>
      <c r="I74" s="12" t="s">
        <v>392</v>
      </c>
      <c r="J74" s="757"/>
      <c r="K74" s="216"/>
      <c r="L74" s="38"/>
      <c r="M74" s="44" t="s">
        <v>397</v>
      </c>
      <c r="N74" s="247" t="s">
        <v>398</v>
      </c>
      <c r="O74" s="46">
        <v>1</v>
      </c>
      <c r="P74" s="35"/>
      <c r="S74" s="35"/>
      <c r="V74" s="72"/>
      <c r="X74" s="208">
        <f>ROUND((ROUND((ROUND((_11_A家事０．７５*_11・基礎２),0)*_11・２人),0)*(1+_11・A深夜)),0)+ROUND((ROUND((ROUND((_11_B家事０．７５＿０．５*_11・基礎２),0)*_11・２人),0)*(1+_11・B早朝)),0)+ROUND((ROUND((_11_C家事０．７５＿０．５＿０．２５*_11・基礎２),0)*_11・２人),0)</f>
        <v>334</v>
      </c>
      <c r="Y74" s="48"/>
    </row>
    <row r="75" spans="1:25" ht="16.5" customHeight="1" x14ac:dyDescent="0.15">
      <c r="A75" s="41">
        <v>11</v>
      </c>
      <c r="B75" s="41" t="s">
        <v>10191</v>
      </c>
      <c r="C75" s="74" t="s">
        <v>10192</v>
      </c>
      <c r="D75" s="72"/>
      <c r="F75" s="72"/>
      <c r="H75" s="72"/>
      <c r="J75" s="114"/>
      <c r="K75" s="221"/>
      <c r="L75" s="50"/>
      <c r="M75" s="44"/>
      <c r="N75" s="247"/>
      <c r="O75" s="46"/>
      <c r="P75" s="35"/>
      <c r="S75" s="35"/>
      <c r="V75" s="707" t="s">
        <v>404</v>
      </c>
      <c r="W75" s="708"/>
      <c r="X75" s="208">
        <f>ROUND((ROUND((_11_A家事０．７５*(1+_11・A深夜)),0)*_11・初任),0)+ROUND((ROUND((_11_B家事０．７５＿０．５*(1+_11・B早朝)),0)*_11・初任),0)+ROUND((_11_C家事０．７５＿０．５＿０．２５*_11・初任),0)</f>
        <v>261</v>
      </c>
      <c r="Y75" s="48"/>
    </row>
    <row r="76" spans="1:25" ht="16.5" customHeight="1" x14ac:dyDescent="0.15">
      <c r="A76" s="41">
        <v>11</v>
      </c>
      <c r="B76" s="41" t="s">
        <v>10193</v>
      </c>
      <c r="C76" s="74" t="s">
        <v>10194</v>
      </c>
      <c r="D76" s="72"/>
      <c r="F76" s="72"/>
      <c r="H76" s="72"/>
      <c r="J76" s="122"/>
      <c r="K76" s="216"/>
      <c r="L76" s="38"/>
      <c r="M76" s="44" t="s">
        <v>397</v>
      </c>
      <c r="N76" s="247" t="s">
        <v>398</v>
      </c>
      <c r="O76" s="46">
        <v>1</v>
      </c>
      <c r="P76" s="35"/>
      <c r="S76" s="35"/>
      <c r="V76" s="709"/>
      <c r="W76" s="704"/>
      <c r="X76" s="208">
        <f>ROUND((ROUND((ROUND((_11_A家事０．７５*_11・２人),0)*(1+_11・A深夜)),0)*_11・初任),0)+ROUND((ROUND((ROUND((_11_B家事０．７５＿０．５*_11・２人),0)*(1+_11・B早朝)),0)*_11・初任),0)+ROUND((ROUND((_11_C家事０．７５＿０．５＿０．２５*_11・２人),0)*_11・初任),0)</f>
        <v>261</v>
      </c>
      <c r="Y76" s="48"/>
    </row>
    <row r="77" spans="1:25" ht="16.5" customHeight="1" x14ac:dyDescent="0.15">
      <c r="A77" s="41">
        <v>11</v>
      </c>
      <c r="B77" s="41" t="s">
        <v>10195</v>
      </c>
      <c r="C77" s="74" t="s">
        <v>10196</v>
      </c>
      <c r="D77" s="72"/>
      <c r="F77" s="72"/>
      <c r="H77" s="72"/>
      <c r="J77" s="752" t="s">
        <v>400</v>
      </c>
      <c r="K77" s="221" t="s">
        <v>398</v>
      </c>
      <c r="L77" s="50">
        <v>0.9</v>
      </c>
      <c r="M77" s="44"/>
      <c r="N77" s="247"/>
      <c r="O77" s="46"/>
      <c r="P77" s="35"/>
      <c r="S77" s="35"/>
      <c r="V77" s="709"/>
      <c r="W77" s="704"/>
      <c r="X77" s="208">
        <f>ROUND((ROUND((ROUND((_11_A家事０．７５*_11・基礎２),0)*(1+_11・A深夜)),0)*_11・初任),0)+ROUND((ROUND((ROUND((_11_B家事０．７５＿０．５*_11・基礎２),0)*(1+_11・B早朝)),0)*_11・初任),0)+ROUND((ROUND((_11_C家事０．７５＿０．５＿０．２５*_11・基礎２),0)*_11・初任),0)</f>
        <v>233</v>
      </c>
      <c r="Y77" s="48"/>
    </row>
    <row r="78" spans="1:25" ht="16.5" customHeight="1" x14ac:dyDescent="0.15">
      <c r="A78" s="41">
        <v>11</v>
      </c>
      <c r="B78" s="41" t="s">
        <v>10197</v>
      </c>
      <c r="C78" s="74" t="s">
        <v>10198</v>
      </c>
      <c r="D78" s="72"/>
      <c r="F78" s="72"/>
      <c r="H78" s="72"/>
      <c r="J78" s="757"/>
      <c r="K78" s="216"/>
      <c r="L78" s="38"/>
      <c r="M78" s="44" t="s">
        <v>397</v>
      </c>
      <c r="N78" s="247" t="s">
        <v>398</v>
      </c>
      <c r="O78" s="46">
        <v>1</v>
      </c>
      <c r="P78" s="35"/>
      <c r="S78" s="35"/>
      <c r="V78" s="240" t="s">
        <v>398</v>
      </c>
      <c r="W78" s="38">
        <f>_11・初任</f>
        <v>0.7</v>
      </c>
      <c r="X78" s="208">
        <f>ROUND((ROUND((ROUND((ROUND((_11_A家事０．７５*_11・基礎２),0)*_11・２人),0)*(1+_11・A深夜)),0)*_11・初任),0)+ROUND((ROUND((ROUND((ROUND((_11_B家事０．７５＿０．５*_11・基礎２),0)*_11・２人),0)*(1+_11・B早朝)),0)*_11・初任),0)+ROUND((ROUND((ROUND((_11_C家事０．７５＿０．５＿０．２５*_11・基礎２),0)*_11・２人),0)*_11・初任),0)</f>
        <v>233</v>
      </c>
      <c r="Y78" s="48"/>
    </row>
    <row r="79" spans="1:25" ht="16.5" customHeight="1" x14ac:dyDescent="0.15">
      <c r="A79" s="41">
        <v>11</v>
      </c>
      <c r="B79" s="41">
        <v>7999</v>
      </c>
      <c r="C79" s="74" t="s">
        <v>10199</v>
      </c>
      <c r="D79" s="707" t="s">
        <v>9163</v>
      </c>
      <c r="E79" s="717"/>
      <c r="F79" s="707" t="s">
        <v>9463</v>
      </c>
      <c r="G79" s="717"/>
      <c r="H79" s="707" t="s">
        <v>9588</v>
      </c>
      <c r="I79" s="717"/>
      <c r="J79" s="114"/>
      <c r="K79" s="221"/>
      <c r="L79" s="50"/>
      <c r="M79" s="44"/>
      <c r="N79" s="247"/>
      <c r="O79" s="46"/>
      <c r="P79" s="35"/>
      <c r="S79" s="35"/>
      <c r="V79" s="53"/>
      <c r="W79" s="50"/>
      <c r="X79" s="208">
        <f>ROUND((_11_A家事１．０*(1+_11・A深夜)),0)+ROUND((_11_B家事１．０＿０．２５*(1+_11・B早朝)),0)+_11_C家事１．０＿０．２５＿０．２５</f>
        <v>383</v>
      </c>
      <c r="Y79" s="48"/>
    </row>
    <row r="80" spans="1:25" ht="16.5" customHeight="1" x14ac:dyDescent="0.15">
      <c r="A80" s="41">
        <v>11</v>
      </c>
      <c r="B80" s="41">
        <v>8000</v>
      </c>
      <c r="C80" s="74" t="s">
        <v>10200</v>
      </c>
      <c r="D80" s="709"/>
      <c r="E80" s="718"/>
      <c r="F80" s="709"/>
      <c r="G80" s="718"/>
      <c r="H80" s="709"/>
      <c r="I80" s="718"/>
      <c r="J80" s="122"/>
      <c r="K80" s="216"/>
      <c r="L80" s="38"/>
      <c r="M80" s="44" t="s">
        <v>397</v>
      </c>
      <c r="N80" s="247" t="s">
        <v>398</v>
      </c>
      <c r="O80" s="46">
        <v>1</v>
      </c>
      <c r="P80" s="35"/>
      <c r="S80" s="35"/>
      <c r="V80" s="35"/>
      <c r="X80" s="208">
        <f>ROUND((ROUND((_11_A家事１．０*_11・２人),0)*(1+_11・A深夜)),0)+ROUND((ROUND((_11_B家事１．０＿０．２５*_11・２人),0)*(1+_11・B早朝)),0)+ROUND((_11_C家事１．０＿０．２５＿０．２５*_11・２人),0)</f>
        <v>383</v>
      </c>
      <c r="Y80" s="48"/>
    </row>
    <row r="81" spans="1:25" ht="16.5" customHeight="1" x14ac:dyDescent="0.15">
      <c r="A81" s="41">
        <v>11</v>
      </c>
      <c r="B81" s="41">
        <v>8001</v>
      </c>
      <c r="C81" s="74" t="s">
        <v>10201</v>
      </c>
      <c r="D81" s="709"/>
      <c r="E81" s="718"/>
      <c r="F81" s="709"/>
      <c r="G81" s="718"/>
      <c r="H81" s="709"/>
      <c r="I81" s="718"/>
      <c r="J81" s="752" t="s">
        <v>400</v>
      </c>
      <c r="K81" s="221" t="s">
        <v>398</v>
      </c>
      <c r="L81" s="50">
        <v>0.9</v>
      </c>
      <c r="M81" s="44"/>
      <c r="N81" s="247"/>
      <c r="O81" s="46"/>
      <c r="P81" s="35"/>
      <c r="S81" s="35"/>
      <c r="V81" s="35"/>
      <c r="X81" s="208">
        <f>ROUND((ROUND((_11_A家事１．０*_11・基礎２),0)*(1+_11・A深夜)),0)+ROUND((ROUND((_11_B家事１．０＿０．２５*_11・基礎２),0)*(1+_11・B早朝)),0)+ROUND((_11_C家事１．０＿０．２５＿０．２５*_11・基礎２),0)</f>
        <v>344</v>
      </c>
      <c r="Y81" s="48"/>
    </row>
    <row r="82" spans="1:25" ht="16.5" customHeight="1" x14ac:dyDescent="0.15">
      <c r="A82" s="41">
        <v>11</v>
      </c>
      <c r="B82" s="41">
        <v>8002</v>
      </c>
      <c r="C82" s="74" t="s">
        <v>10202</v>
      </c>
      <c r="D82" s="125">
        <f>_11_A家事１．０</f>
        <v>196</v>
      </c>
      <c r="E82" s="12" t="s">
        <v>392</v>
      </c>
      <c r="F82" s="125">
        <f>_11_B家事１．０＿０．２５</f>
        <v>42</v>
      </c>
      <c r="G82" s="12" t="s">
        <v>392</v>
      </c>
      <c r="H82" s="125">
        <f>_11_C家事１．０＿０．２５＿０．２５</f>
        <v>36</v>
      </c>
      <c r="I82" s="12" t="s">
        <v>392</v>
      </c>
      <c r="J82" s="757"/>
      <c r="K82" s="216"/>
      <c r="L82" s="38"/>
      <c r="M82" s="44" t="s">
        <v>397</v>
      </c>
      <c r="N82" s="247" t="s">
        <v>398</v>
      </c>
      <c r="O82" s="46">
        <v>1</v>
      </c>
      <c r="P82" s="35"/>
      <c r="S82" s="35"/>
      <c r="V82" s="43"/>
      <c r="W82" s="38"/>
      <c r="X82" s="208">
        <f>ROUND((ROUND((ROUND((_11_A家事１．０*_11・基礎２),0)*_11・２人),0)*(1+_11・A深夜)),0)+ROUND((ROUND((ROUND((_11_B家事１．０＿０．２５*_11・基礎２),0)*_11・２人),0)*(1+_11・B早朝)),0)+ROUND((ROUND((_11_C家事１．０＿０．２５＿０．２５*_11・基礎２),0)*_11・２人),0)</f>
        <v>344</v>
      </c>
      <c r="Y82" s="48"/>
    </row>
    <row r="83" spans="1:25" ht="16.5" customHeight="1" x14ac:dyDescent="0.15">
      <c r="A83" s="41">
        <v>11</v>
      </c>
      <c r="B83" s="41" t="s">
        <v>10203</v>
      </c>
      <c r="C83" s="74" t="s">
        <v>10204</v>
      </c>
      <c r="D83" s="72"/>
      <c r="F83" s="72"/>
      <c r="H83" s="72"/>
      <c r="J83" s="114"/>
      <c r="K83" s="221"/>
      <c r="L83" s="50"/>
      <c r="M83" s="44"/>
      <c r="N83" s="247"/>
      <c r="O83" s="46"/>
      <c r="P83" s="35"/>
      <c r="S83" s="35"/>
      <c r="V83" s="707" t="s">
        <v>404</v>
      </c>
      <c r="W83" s="708"/>
      <c r="X83" s="208">
        <f>ROUND((ROUND((_11_A家事１．０*(1+_11・A深夜)),0)*_11・初任),0)+ROUND((ROUND((_11_B家事１．０＿０．２５*(1+_11・B早朝)),0)*_11・初任),0)+ROUND((_11_C家事１．０＿０．２５＿０．２５*_11・初任),0)</f>
        <v>268</v>
      </c>
      <c r="Y83" s="48"/>
    </row>
    <row r="84" spans="1:25" ht="16.5" customHeight="1" x14ac:dyDescent="0.15">
      <c r="A84" s="41">
        <v>11</v>
      </c>
      <c r="B84" s="41" t="s">
        <v>10205</v>
      </c>
      <c r="C84" s="74" t="s">
        <v>10206</v>
      </c>
      <c r="D84" s="72"/>
      <c r="F84" s="72"/>
      <c r="H84" s="72"/>
      <c r="J84" s="122"/>
      <c r="K84" s="216"/>
      <c r="L84" s="38"/>
      <c r="M84" s="44" t="s">
        <v>397</v>
      </c>
      <c r="N84" s="247" t="s">
        <v>398</v>
      </c>
      <c r="O84" s="46">
        <v>1</v>
      </c>
      <c r="P84" s="35"/>
      <c r="S84" s="35"/>
      <c r="V84" s="709"/>
      <c r="W84" s="704"/>
      <c r="X84" s="208">
        <f>ROUND((ROUND((ROUND((_11_A家事１．０*_11・２人),0)*(1+_11・A深夜)),0)*_11・初任),0)+ROUND((ROUND((ROUND((_11_B家事１．０＿０．２５*_11・２人),0)*(1+_11・B早朝)),0)*_11・初任),0)+ROUND((ROUND((_11_C家事１．０＿０．２５＿０．２５*_11・２人),0)*_11・初任),0)</f>
        <v>268</v>
      </c>
      <c r="Y84" s="48"/>
    </row>
    <row r="85" spans="1:25" ht="16.5" customHeight="1" x14ac:dyDescent="0.15">
      <c r="A85" s="41">
        <v>11</v>
      </c>
      <c r="B85" s="41" t="s">
        <v>10207</v>
      </c>
      <c r="C85" s="74" t="s">
        <v>10208</v>
      </c>
      <c r="D85" s="72"/>
      <c r="F85" s="72"/>
      <c r="H85" s="72"/>
      <c r="J85" s="752" t="s">
        <v>400</v>
      </c>
      <c r="K85" s="221" t="s">
        <v>398</v>
      </c>
      <c r="L85" s="50">
        <v>0.9</v>
      </c>
      <c r="M85" s="44"/>
      <c r="N85" s="247"/>
      <c r="O85" s="46"/>
      <c r="P85" s="35"/>
      <c r="S85" s="35"/>
      <c r="V85" s="709"/>
      <c r="W85" s="704"/>
      <c r="X85" s="208">
        <f>ROUND((ROUND((ROUND((_11_A家事１．０*_11・基礎２),0)*(1+_11・A深夜)),0)*_11・初任),0)+ROUND((ROUND((ROUND((_11_B家事１．０＿０．２５*_11・基礎２),0)*(1+_11・B早朝)),0)*_11・初任),0)+ROUND((ROUND((_11_C家事１．０＿０．２５＿０．２５*_11・基礎２),0)*_11・初任),0)</f>
        <v>241</v>
      </c>
      <c r="Y85" s="48"/>
    </row>
    <row r="86" spans="1:25" ht="16.5" customHeight="1" x14ac:dyDescent="0.15">
      <c r="A86" s="41">
        <v>11</v>
      </c>
      <c r="B86" s="41" t="s">
        <v>10209</v>
      </c>
      <c r="C86" s="74" t="s">
        <v>10210</v>
      </c>
      <c r="D86" s="122"/>
      <c r="E86" s="37"/>
      <c r="F86" s="122"/>
      <c r="G86" s="37"/>
      <c r="H86" s="122"/>
      <c r="I86" s="37"/>
      <c r="J86" s="757"/>
      <c r="K86" s="216"/>
      <c r="L86" s="38"/>
      <c r="M86" s="44" t="s">
        <v>397</v>
      </c>
      <c r="N86" s="247" t="s">
        <v>398</v>
      </c>
      <c r="O86" s="46">
        <v>1</v>
      </c>
      <c r="P86" s="43"/>
      <c r="Q86" s="37"/>
      <c r="R86" s="38"/>
      <c r="S86" s="43"/>
      <c r="T86" s="37"/>
      <c r="U86" s="38"/>
      <c r="V86" s="240" t="s">
        <v>398</v>
      </c>
      <c r="W86" s="38">
        <f>_11・初任</f>
        <v>0.7</v>
      </c>
      <c r="X86" s="208">
        <f>ROUND((ROUND((ROUND((ROUND((_11_A家事１．０*_11・基礎２),0)*_11・２人),0)*(1+_11・A深夜)),0)*_11・初任),0)+ROUND((ROUND((ROUND((ROUND((_11_B家事１．０＿０．２５*_11・基礎２),0)*_11・２人),0)*(1+_11・B早朝)),0)*_11・初任),0)+ROUND((ROUND((ROUND((_11_C家事１．０＿０．２５＿０．２５*_11・基礎２),0)*_11・２人),0)*_11・初任),0)</f>
        <v>241</v>
      </c>
      <c r="Y86" s="63"/>
    </row>
    <row r="87" spans="1:25" ht="16.5" customHeight="1" x14ac:dyDescent="0.15">
      <c r="X87" s="206"/>
    </row>
    <row r="88" spans="1:25" ht="16.5" customHeight="1" x14ac:dyDescent="0.15"/>
    <row r="89" spans="1:25" ht="16.5" customHeight="1" x14ac:dyDescent="0.15"/>
  </sheetData>
  <mergeCells count="51">
    <mergeCell ref="V83:W85"/>
    <mergeCell ref="J85:J86"/>
    <mergeCell ref="F71:G73"/>
    <mergeCell ref="H71:I73"/>
    <mergeCell ref="J73:J74"/>
    <mergeCell ref="V75:W77"/>
    <mergeCell ref="J77:J78"/>
    <mergeCell ref="D79:E81"/>
    <mergeCell ref="F79:G81"/>
    <mergeCell ref="H79:I81"/>
    <mergeCell ref="J81:J82"/>
    <mergeCell ref="V59:W61"/>
    <mergeCell ref="J61:J62"/>
    <mergeCell ref="H63:I65"/>
    <mergeCell ref="J65:J66"/>
    <mergeCell ref="V67:W69"/>
    <mergeCell ref="J69:J70"/>
    <mergeCell ref="D55:E57"/>
    <mergeCell ref="F55:G57"/>
    <mergeCell ref="H55:I57"/>
    <mergeCell ref="J57:J58"/>
    <mergeCell ref="V35:W37"/>
    <mergeCell ref="J37:J38"/>
    <mergeCell ref="H39:I41"/>
    <mergeCell ref="J41:J42"/>
    <mergeCell ref="V43:W45"/>
    <mergeCell ref="J45:J46"/>
    <mergeCell ref="F47:G49"/>
    <mergeCell ref="H47:I49"/>
    <mergeCell ref="J49:J50"/>
    <mergeCell ref="V51:W53"/>
    <mergeCell ref="J53:J54"/>
    <mergeCell ref="H23:I25"/>
    <mergeCell ref="J25:J26"/>
    <mergeCell ref="V27:W29"/>
    <mergeCell ref="J29:J30"/>
    <mergeCell ref="F31:G33"/>
    <mergeCell ref="H31:I33"/>
    <mergeCell ref="J33:J34"/>
    <mergeCell ref="V11:W13"/>
    <mergeCell ref="J13:J14"/>
    <mergeCell ref="H15:I17"/>
    <mergeCell ref="J17:J18"/>
    <mergeCell ref="V19:W21"/>
    <mergeCell ref="J21:J22"/>
    <mergeCell ref="D7:E9"/>
    <mergeCell ref="F7:G9"/>
    <mergeCell ref="H7:I9"/>
    <mergeCell ref="R8:R9"/>
    <mergeCell ref="U8:U9"/>
    <mergeCell ref="J9:J10"/>
  </mergeCells>
  <phoneticPr fontId="1"/>
  <printOptions horizontalCentered="1"/>
  <pageMargins left="0.70866141732283472" right="0.70866141732283472" top="0.74803149606299213" bottom="0.74803149606299213" header="0.31496062992125984" footer="0.31496062992125984"/>
  <pageSetup paperSize="9" scale="46" fitToHeight="0" orientation="portrait" r:id="rId1"/>
  <headerFooter>
    <oddHeader>&amp;R&amp;"ＭＳ Ｐゴシック"&amp;9居宅介護</oddHeader>
    <oddFooter>&amp;C&amp;"ＭＳ Ｐゴシック"&amp;14&amp;P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5"/>
  <dimension ref="A1:T89"/>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 style="10" bestFit="1" customWidth="1"/>
    <col min="4" max="4" width="4.875" style="10" customWidth="1"/>
    <col min="5" max="5" width="4.875" style="12" customWidth="1"/>
    <col min="6" max="6" width="4.875" style="10" customWidth="1"/>
    <col min="7" max="7" width="4.875" style="12" customWidth="1"/>
    <col min="8" max="8" width="11.875" style="10" customWidth="1"/>
    <col min="9" max="9" width="2.5" style="16" customWidth="1"/>
    <col min="10" max="10" width="4.5" style="13" bestFit="1" customWidth="1"/>
    <col min="11" max="11" width="24.125" style="14" bestFit="1" customWidth="1"/>
    <col min="12" max="12" width="2.5" style="16" customWidth="1"/>
    <col min="13" max="13" width="5.5" style="13" bestFit="1" customWidth="1"/>
    <col min="14" max="14" width="2.5" style="12" customWidth="1"/>
    <col min="15" max="15" width="3.875" style="12" customWidth="1"/>
    <col min="16" max="16" width="5" style="13" customWidth="1"/>
    <col min="17" max="17" width="9.875" style="10" customWidth="1"/>
    <col min="18" max="18" width="4.5" style="13" bestFit="1" customWidth="1"/>
    <col min="19" max="19" width="7.125" style="15" customWidth="1"/>
    <col min="20" max="20" width="8.5" style="16" customWidth="1"/>
    <col min="21" max="16384" width="8.875" style="12"/>
  </cols>
  <sheetData>
    <row r="1" spans="1:20" ht="17.100000000000001" customHeight="1" x14ac:dyDescent="0.15"/>
    <row r="2" spans="1:20" ht="17.100000000000001" customHeight="1" x14ac:dyDescent="0.15"/>
    <row r="3" spans="1:20" ht="17.100000000000001" customHeight="1" x14ac:dyDescent="0.15">
      <c r="S3" s="206"/>
    </row>
    <row r="4" spans="1:20" ht="17.100000000000001" customHeight="1" x14ac:dyDescent="0.15">
      <c r="B4" s="17" t="s">
        <v>10211</v>
      </c>
      <c r="D4" s="71"/>
      <c r="S4" s="206"/>
    </row>
    <row r="5" spans="1:20" ht="16.5" customHeight="1" x14ac:dyDescent="0.15">
      <c r="A5" s="19" t="s">
        <v>384</v>
      </c>
      <c r="B5" s="20"/>
      <c r="C5" s="21" t="s">
        <v>385</v>
      </c>
      <c r="D5" s="235" t="s">
        <v>386</v>
      </c>
      <c r="E5" s="23"/>
      <c r="F5" s="23"/>
      <c r="G5" s="23"/>
      <c r="H5" s="23"/>
      <c r="I5" s="23"/>
      <c r="J5" s="24"/>
      <c r="K5" s="23"/>
      <c r="L5" s="23"/>
      <c r="M5" s="24"/>
      <c r="N5" s="23"/>
      <c r="O5" s="23"/>
      <c r="P5" s="24"/>
      <c r="Q5" s="23"/>
      <c r="R5" s="24"/>
      <c r="S5" s="21" t="s">
        <v>387</v>
      </c>
      <c r="T5" s="21" t="s">
        <v>388</v>
      </c>
    </row>
    <row r="6" spans="1:20" ht="16.5" customHeight="1" x14ac:dyDescent="0.15">
      <c r="A6" s="26" t="s">
        <v>389</v>
      </c>
      <c r="B6" s="26" t="s">
        <v>390</v>
      </c>
      <c r="C6" s="27"/>
      <c r="D6" s="87" t="s">
        <v>1032</v>
      </c>
      <c r="E6" s="20"/>
      <c r="F6" s="29"/>
      <c r="G6" s="29"/>
      <c r="H6" s="29"/>
      <c r="I6" s="214"/>
      <c r="J6" s="30"/>
      <c r="K6" s="29"/>
      <c r="L6" s="214"/>
      <c r="M6" s="30"/>
      <c r="N6" s="29"/>
      <c r="O6" s="29"/>
      <c r="P6" s="30"/>
      <c r="Q6" s="29"/>
      <c r="R6" s="30"/>
      <c r="S6" s="32" t="s">
        <v>391</v>
      </c>
      <c r="T6" s="32" t="s">
        <v>392</v>
      </c>
    </row>
    <row r="7" spans="1:20" ht="16.5" customHeight="1" x14ac:dyDescent="0.15">
      <c r="A7" s="33">
        <v>11</v>
      </c>
      <c r="B7" s="33">
        <v>8003</v>
      </c>
      <c r="C7" s="34" t="s">
        <v>10212</v>
      </c>
      <c r="D7" s="709" t="s">
        <v>861</v>
      </c>
      <c r="E7" s="718"/>
      <c r="F7" s="709" t="s">
        <v>9588</v>
      </c>
      <c r="G7" s="718"/>
      <c r="H7" s="72"/>
      <c r="K7" s="36"/>
      <c r="L7" s="246"/>
      <c r="M7" s="38"/>
      <c r="N7" s="72" t="s">
        <v>1036</v>
      </c>
      <c r="Q7" s="72"/>
      <c r="S7" s="207">
        <f>ROUND((_11_A家事０．５*(1+_11・A深夜)),0)+_11_B家事０．５＿０．２５</f>
        <v>205</v>
      </c>
      <c r="T7" s="40" t="s">
        <v>395</v>
      </c>
    </row>
    <row r="8" spans="1:20" ht="16.5" customHeight="1" x14ac:dyDescent="0.15">
      <c r="A8" s="41">
        <v>11</v>
      </c>
      <c r="B8" s="41">
        <v>8004</v>
      </c>
      <c r="C8" s="74" t="s">
        <v>10213</v>
      </c>
      <c r="D8" s="709"/>
      <c r="E8" s="718"/>
      <c r="F8" s="709"/>
      <c r="G8" s="718"/>
      <c r="H8" s="122"/>
      <c r="I8" s="216"/>
      <c r="J8" s="38"/>
      <c r="K8" s="44" t="s">
        <v>397</v>
      </c>
      <c r="L8" s="247" t="s">
        <v>398</v>
      </c>
      <c r="M8" s="46">
        <v>1</v>
      </c>
      <c r="N8" s="92" t="s">
        <v>398</v>
      </c>
      <c r="O8" s="13">
        <v>0.5</v>
      </c>
      <c r="P8" s="704" t="s">
        <v>676</v>
      </c>
      <c r="Q8" s="72"/>
      <c r="S8" s="208">
        <f>ROUND((ROUND((_11_A家事０．５*_11・２人),0)*(1+_11・A深夜)),0)+ROUND((_11_B家事０．５＿０．２５*_11・２人),0)</f>
        <v>205</v>
      </c>
      <c r="T8" s="48"/>
    </row>
    <row r="9" spans="1:20" ht="16.5" customHeight="1" x14ac:dyDescent="0.15">
      <c r="A9" s="41">
        <v>11</v>
      </c>
      <c r="B9" s="41">
        <v>8005</v>
      </c>
      <c r="C9" s="74" t="s">
        <v>10214</v>
      </c>
      <c r="D9" s="709"/>
      <c r="E9" s="718"/>
      <c r="F9" s="709"/>
      <c r="G9" s="718"/>
      <c r="H9" s="752" t="s">
        <v>400</v>
      </c>
      <c r="I9" s="221" t="s">
        <v>398</v>
      </c>
      <c r="J9" s="50">
        <v>0.9</v>
      </c>
      <c r="K9" s="44"/>
      <c r="L9" s="247"/>
      <c r="M9" s="46"/>
      <c r="N9" s="35"/>
      <c r="P9" s="797"/>
      <c r="Q9" s="72"/>
      <c r="S9" s="208">
        <f>ROUND((ROUND((_11_A家事０．５*_11・基礎２),0)*(1+_11・A深夜)),0)+ROUND((_11_B家事０．５＿０．２５*_11・基礎２),0)</f>
        <v>185</v>
      </c>
      <c r="T9" s="48"/>
    </row>
    <row r="10" spans="1:20" ht="16.5" customHeight="1" x14ac:dyDescent="0.15">
      <c r="A10" s="41">
        <v>11</v>
      </c>
      <c r="B10" s="41">
        <v>8006</v>
      </c>
      <c r="C10" s="74" t="s">
        <v>10215</v>
      </c>
      <c r="D10" s="125">
        <f>_11_A家事０．５</f>
        <v>105</v>
      </c>
      <c r="E10" s="12" t="s">
        <v>392</v>
      </c>
      <c r="F10" s="125">
        <f>_11_B家事０．５＿０．２５</f>
        <v>47</v>
      </c>
      <c r="G10" s="12" t="s">
        <v>392</v>
      </c>
      <c r="H10" s="757"/>
      <c r="I10" s="216"/>
      <c r="J10" s="38"/>
      <c r="K10" s="44" t="s">
        <v>397</v>
      </c>
      <c r="L10" s="247" t="s">
        <v>398</v>
      </c>
      <c r="M10" s="46">
        <v>1</v>
      </c>
      <c r="N10" s="35"/>
      <c r="Q10" s="72"/>
      <c r="S10" s="208">
        <f>ROUND((ROUND((ROUND((_11_A家事０．５*_11・基礎２),0)*_11・２人),0)*(1+_11・A深夜)),0)+ROUND((ROUND((_11_B家事０．５＿０．２５*_11・基礎２),0)*_11・２人),0)</f>
        <v>185</v>
      </c>
      <c r="T10" s="48"/>
    </row>
    <row r="11" spans="1:20" ht="16.5" customHeight="1" x14ac:dyDescent="0.15">
      <c r="A11" s="41">
        <v>11</v>
      </c>
      <c r="B11" s="41" t="s">
        <v>10216</v>
      </c>
      <c r="C11" s="74" t="s">
        <v>10217</v>
      </c>
      <c r="D11" s="72"/>
      <c r="F11" s="72"/>
      <c r="H11" s="114"/>
      <c r="I11" s="221"/>
      <c r="J11" s="50"/>
      <c r="K11" s="44"/>
      <c r="L11" s="247"/>
      <c r="M11" s="46"/>
      <c r="N11" s="35"/>
      <c r="Q11" s="707" t="s">
        <v>404</v>
      </c>
      <c r="R11" s="708"/>
      <c r="S11" s="208">
        <f>ROUND((ROUND((_11_A家事０．５*(1+_11・A深夜)),0)*_11・初任),0)+ROUND((_11_B家事０．５＿０．２５*_11・初任),0)</f>
        <v>144</v>
      </c>
      <c r="T11" s="48"/>
    </row>
    <row r="12" spans="1:20" ht="16.5" customHeight="1" x14ac:dyDescent="0.15">
      <c r="A12" s="41">
        <v>11</v>
      </c>
      <c r="B12" s="41" t="s">
        <v>10218</v>
      </c>
      <c r="C12" s="74" t="s">
        <v>10219</v>
      </c>
      <c r="D12" s="72"/>
      <c r="F12" s="72"/>
      <c r="H12" s="122"/>
      <c r="I12" s="216"/>
      <c r="J12" s="38"/>
      <c r="K12" s="44" t="s">
        <v>397</v>
      </c>
      <c r="L12" s="247" t="s">
        <v>398</v>
      </c>
      <c r="M12" s="46">
        <v>1</v>
      </c>
      <c r="N12" s="35"/>
      <c r="Q12" s="709"/>
      <c r="R12" s="704"/>
      <c r="S12" s="208">
        <f>ROUND((ROUND((ROUND((_11_A家事０．５*_11・２人),0)*(1+_11・A深夜)),0)*_11・初任),0)+ROUND((ROUND((_11_B家事０．５＿０．２５*_11・２人),0)*_11・初任),0)</f>
        <v>144</v>
      </c>
      <c r="T12" s="48"/>
    </row>
    <row r="13" spans="1:20" ht="16.5" customHeight="1" x14ac:dyDescent="0.15">
      <c r="A13" s="41">
        <v>11</v>
      </c>
      <c r="B13" s="41" t="s">
        <v>10220</v>
      </c>
      <c r="C13" s="74" t="s">
        <v>10221</v>
      </c>
      <c r="D13" s="72"/>
      <c r="F13" s="72"/>
      <c r="H13" s="752" t="s">
        <v>400</v>
      </c>
      <c r="I13" s="221" t="s">
        <v>398</v>
      </c>
      <c r="J13" s="50">
        <v>0.9</v>
      </c>
      <c r="K13" s="44"/>
      <c r="L13" s="247"/>
      <c r="M13" s="46"/>
      <c r="N13" s="35"/>
      <c r="Q13" s="709"/>
      <c r="R13" s="704"/>
      <c r="S13" s="208">
        <f>ROUND((ROUND((ROUND((_11_A家事０．５*_11・基礎２),0)*(1+_11・A深夜)),0)*_11・初任),0)+ROUND((ROUND((_11_B家事０．５＿０．２５*_11・基礎２),0)*_11・初任),0)</f>
        <v>129</v>
      </c>
      <c r="T13" s="48"/>
    </row>
    <row r="14" spans="1:20" ht="16.5" customHeight="1" x14ac:dyDescent="0.15">
      <c r="A14" s="41">
        <v>11</v>
      </c>
      <c r="B14" s="41" t="s">
        <v>10222</v>
      </c>
      <c r="C14" s="74" t="s">
        <v>10223</v>
      </c>
      <c r="D14" s="72"/>
      <c r="F14" s="72"/>
      <c r="H14" s="757"/>
      <c r="I14" s="216"/>
      <c r="J14" s="38"/>
      <c r="K14" s="44" t="s">
        <v>397</v>
      </c>
      <c r="L14" s="247" t="s">
        <v>398</v>
      </c>
      <c r="M14" s="46">
        <v>1</v>
      </c>
      <c r="N14" s="35"/>
      <c r="Q14" s="240" t="s">
        <v>398</v>
      </c>
      <c r="R14" s="38">
        <f>_11・初任</f>
        <v>0.7</v>
      </c>
      <c r="S14" s="208">
        <f>ROUND((ROUND((ROUND((ROUND((_11_A家事０．５*_11・基礎２),0)*_11・２人),0)*(1+_11・A深夜)),0)*_11・初任),0)+ROUND((ROUND((ROUND((_11_B家事０．５＿０．２５*_11・基礎２),0)*_11・２人),0)*_11・初任),0)</f>
        <v>129</v>
      </c>
      <c r="T14" s="48"/>
    </row>
    <row r="15" spans="1:20" ht="16.5" customHeight="1" x14ac:dyDescent="0.15">
      <c r="A15" s="41">
        <v>11</v>
      </c>
      <c r="B15" s="41">
        <v>6367</v>
      </c>
      <c r="C15" s="74" t="s">
        <v>10224</v>
      </c>
      <c r="D15" s="72"/>
      <c r="F15" s="707" t="s">
        <v>9601</v>
      </c>
      <c r="G15" s="717"/>
      <c r="H15" s="114"/>
      <c r="I15" s="221"/>
      <c r="J15" s="50"/>
      <c r="K15" s="44"/>
      <c r="L15" s="247"/>
      <c r="M15" s="46"/>
      <c r="N15" s="35"/>
      <c r="Q15" s="53"/>
      <c r="R15" s="50"/>
      <c r="S15" s="208">
        <f>ROUND((_11_A家事０．５*(1+_11・A深夜)),0)+_11_B家事０．５＿０．５</f>
        <v>249</v>
      </c>
      <c r="T15" s="48"/>
    </row>
    <row r="16" spans="1:20" ht="16.5" customHeight="1" x14ac:dyDescent="0.15">
      <c r="A16" s="41">
        <v>11</v>
      </c>
      <c r="B16" s="41">
        <v>6368</v>
      </c>
      <c r="C16" s="74" t="s">
        <v>10225</v>
      </c>
      <c r="D16" s="72"/>
      <c r="F16" s="709"/>
      <c r="G16" s="718"/>
      <c r="H16" s="122"/>
      <c r="I16" s="216"/>
      <c r="J16" s="38"/>
      <c r="K16" s="44" t="s">
        <v>397</v>
      </c>
      <c r="L16" s="247" t="s">
        <v>398</v>
      </c>
      <c r="M16" s="46">
        <v>1</v>
      </c>
      <c r="N16" s="35"/>
      <c r="Q16" s="35"/>
      <c r="S16" s="208">
        <f>ROUND((ROUND((_11_A家事０．５*_11・２人),0)*(1+_11・A深夜)),0)+ROUND((_11_B家事０．５＿０．５*_11・２人),0)</f>
        <v>249</v>
      </c>
      <c r="T16" s="48"/>
    </row>
    <row r="17" spans="1:20" ht="16.5" customHeight="1" x14ac:dyDescent="0.15">
      <c r="A17" s="41">
        <v>11</v>
      </c>
      <c r="B17" s="41">
        <v>6369</v>
      </c>
      <c r="C17" s="74" t="s">
        <v>10226</v>
      </c>
      <c r="D17" s="72"/>
      <c r="F17" s="709"/>
      <c r="G17" s="718"/>
      <c r="H17" s="752" t="s">
        <v>400</v>
      </c>
      <c r="I17" s="221" t="s">
        <v>398</v>
      </c>
      <c r="J17" s="50">
        <v>0.9</v>
      </c>
      <c r="K17" s="44"/>
      <c r="L17" s="247"/>
      <c r="M17" s="46"/>
      <c r="N17" s="35"/>
      <c r="Q17" s="35"/>
      <c r="S17" s="208">
        <f>ROUND((ROUND((_11_A家事０．５*_11・基礎２),0)*(1+_11・A深夜)),0)+ROUND((_11_B家事０．５＿０．５*_11・基礎２),0)</f>
        <v>225</v>
      </c>
      <c r="T17" s="48"/>
    </row>
    <row r="18" spans="1:20" ht="16.5" customHeight="1" x14ac:dyDescent="0.15">
      <c r="A18" s="41">
        <v>11</v>
      </c>
      <c r="B18" s="41">
        <v>6370</v>
      </c>
      <c r="C18" s="74" t="s">
        <v>10227</v>
      </c>
      <c r="D18" s="72"/>
      <c r="F18" s="125">
        <f>_11_B家事０．５＿０．５</f>
        <v>91</v>
      </c>
      <c r="G18" s="12" t="s">
        <v>392</v>
      </c>
      <c r="H18" s="757"/>
      <c r="I18" s="216"/>
      <c r="J18" s="38"/>
      <c r="K18" s="44" t="s">
        <v>397</v>
      </c>
      <c r="L18" s="247" t="s">
        <v>398</v>
      </c>
      <c r="M18" s="46">
        <v>1</v>
      </c>
      <c r="N18" s="35"/>
      <c r="Q18" s="43"/>
      <c r="R18" s="38"/>
      <c r="S18" s="208">
        <f>ROUND((ROUND((ROUND((_11_A家事０．５*_11・基礎２),0)*_11・２人),0)*(1+_11・A深夜)),0)+ROUND((ROUND((_11_B家事０．５＿０．５*_11・基礎２),0)*_11・２人),0)</f>
        <v>225</v>
      </c>
      <c r="T18" s="48"/>
    </row>
    <row r="19" spans="1:20" ht="16.5" customHeight="1" x14ac:dyDescent="0.15">
      <c r="A19" s="41">
        <v>11</v>
      </c>
      <c r="B19" s="41" t="s">
        <v>10228</v>
      </c>
      <c r="C19" s="74" t="s">
        <v>10229</v>
      </c>
      <c r="D19" s="72"/>
      <c r="F19" s="72"/>
      <c r="H19" s="114"/>
      <c r="I19" s="221"/>
      <c r="J19" s="50"/>
      <c r="K19" s="44"/>
      <c r="L19" s="247"/>
      <c r="M19" s="46"/>
      <c r="N19" s="35"/>
      <c r="Q19" s="707" t="s">
        <v>404</v>
      </c>
      <c r="R19" s="708"/>
      <c r="S19" s="208">
        <f>ROUND((ROUND((_11_A家事０．５*(1+_11・A深夜)),0)*_11・初任),0)+ROUND((_11_B家事０．５＿０．５*_11・初任),0)</f>
        <v>175</v>
      </c>
      <c r="T19" s="48"/>
    </row>
    <row r="20" spans="1:20" ht="16.5" customHeight="1" x14ac:dyDescent="0.15">
      <c r="A20" s="41">
        <v>11</v>
      </c>
      <c r="B20" s="41" t="s">
        <v>10230</v>
      </c>
      <c r="C20" s="74" t="s">
        <v>10231</v>
      </c>
      <c r="D20" s="72"/>
      <c r="F20" s="72"/>
      <c r="H20" s="122"/>
      <c r="I20" s="216"/>
      <c r="J20" s="38"/>
      <c r="K20" s="44" t="s">
        <v>397</v>
      </c>
      <c r="L20" s="247" t="s">
        <v>398</v>
      </c>
      <c r="M20" s="46">
        <v>1</v>
      </c>
      <c r="N20" s="35"/>
      <c r="Q20" s="709"/>
      <c r="R20" s="704"/>
      <c r="S20" s="208">
        <f>ROUND((ROUND((ROUND((_11_A家事０．５*_11・２人),0)*(1+_11・A深夜)),0)*_11・初任),0)+ROUND((ROUND((_11_B家事０．５＿０．５*_11・２人),0)*_11・初任),0)</f>
        <v>175</v>
      </c>
      <c r="T20" s="48"/>
    </row>
    <row r="21" spans="1:20" ht="16.5" customHeight="1" x14ac:dyDescent="0.15">
      <c r="A21" s="41">
        <v>11</v>
      </c>
      <c r="B21" s="41" t="s">
        <v>10232</v>
      </c>
      <c r="C21" s="74" t="s">
        <v>10233</v>
      </c>
      <c r="D21" s="72"/>
      <c r="F21" s="72"/>
      <c r="H21" s="752" t="s">
        <v>400</v>
      </c>
      <c r="I21" s="221" t="s">
        <v>398</v>
      </c>
      <c r="J21" s="50">
        <v>0.9</v>
      </c>
      <c r="K21" s="44"/>
      <c r="L21" s="247"/>
      <c r="M21" s="46"/>
      <c r="N21" s="35"/>
      <c r="Q21" s="709"/>
      <c r="R21" s="704"/>
      <c r="S21" s="208">
        <f>ROUND((ROUND((ROUND((_11_A家事０．５*_11・基礎２),0)*(1+_11・A深夜)),0)*_11・初任),0)+ROUND((ROUND((_11_B家事０．５＿０．５*_11・基礎２),0)*_11・初任),0)</f>
        <v>157</v>
      </c>
      <c r="T21" s="48"/>
    </row>
    <row r="22" spans="1:20" ht="16.5" customHeight="1" x14ac:dyDescent="0.15">
      <c r="A22" s="41">
        <v>11</v>
      </c>
      <c r="B22" s="41" t="s">
        <v>10234</v>
      </c>
      <c r="C22" s="74" t="s">
        <v>10235</v>
      </c>
      <c r="D22" s="72"/>
      <c r="F22" s="72"/>
      <c r="H22" s="757"/>
      <c r="I22" s="216"/>
      <c r="J22" s="38"/>
      <c r="K22" s="44" t="s">
        <v>397</v>
      </c>
      <c r="L22" s="247" t="s">
        <v>398</v>
      </c>
      <c r="M22" s="46">
        <v>1</v>
      </c>
      <c r="N22" s="35"/>
      <c r="Q22" s="240" t="s">
        <v>398</v>
      </c>
      <c r="R22" s="38">
        <f>_11・初任</f>
        <v>0.7</v>
      </c>
      <c r="S22" s="208">
        <f>ROUND((ROUND((ROUND((ROUND((_11_A家事０．５*_11・基礎２),0)*_11・２人),0)*(1+_11・A深夜)),0)*_11・初任),0)+ROUND((ROUND((ROUND((_11_B家事０．５＿０．５*_11・基礎２),0)*_11・２人),0)*_11・初任),0)</f>
        <v>157</v>
      </c>
      <c r="T22" s="48"/>
    </row>
    <row r="23" spans="1:20" ht="16.5" customHeight="1" x14ac:dyDescent="0.15">
      <c r="A23" s="41">
        <v>11</v>
      </c>
      <c r="B23" s="41">
        <v>8007</v>
      </c>
      <c r="C23" s="74" t="s">
        <v>10236</v>
      </c>
      <c r="D23" s="72"/>
      <c r="F23" s="707" t="s">
        <v>9614</v>
      </c>
      <c r="G23" s="717"/>
      <c r="H23" s="114"/>
      <c r="I23" s="221"/>
      <c r="J23" s="50"/>
      <c r="K23" s="44"/>
      <c r="L23" s="247"/>
      <c r="M23" s="46"/>
      <c r="N23" s="35"/>
      <c r="Q23" s="114"/>
      <c r="R23" s="50"/>
      <c r="S23" s="208">
        <f>ROUND((_11_A家事０．５*(1+_11・A深夜)),0)+_11_B家事０．５＿０．７５</f>
        <v>291</v>
      </c>
      <c r="T23" s="48"/>
    </row>
    <row r="24" spans="1:20" ht="16.5" customHeight="1" x14ac:dyDescent="0.15">
      <c r="A24" s="41">
        <v>11</v>
      </c>
      <c r="B24" s="41">
        <v>8008</v>
      </c>
      <c r="C24" s="74" t="s">
        <v>10237</v>
      </c>
      <c r="D24" s="72"/>
      <c r="F24" s="709"/>
      <c r="G24" s="718"/>
      <c r="H24" s="122"/>
      <c r="I24" s="216"/>
      <c r="J24" s="38"/>
      <c r="K24" s="44" t="s">
        <v>397</v>
      </c>
      <c r="L24" s="247" t="s">
        <v>398</v>
      </c>
      <c r="M24" s="46">
        <v>1</v>
      </c>
      <c r="N24" s="35"/>
      <c r="Q24" s="72"/>
      <c r="S24" s="208">
        <f>ROUND((ROUND((_11_A家事０．５*_11・２人),0)*(1+_11・A深夜)),0)+ROUND((_11_B家事０．５＿０．７５*_11・２人),0)</f>
        <v>291</v>
      </c>
      <c r="T24" s="48"/>
    </row>
    <row r="25" spans="1:20" ht="16.5" customHeight="1" x14ac:dyDescent="0.15">
      <c r="A25" s="41">
        <v>11</v>
      </c>
      <c r="B25" s="41">
        <v>8009</v>
      </c>
      <c r="C25" s="74" t="s">
        <v>10238</v>
      </c>
      <c r="D25" s="72"/>
      <c r="F25" s="709"/>
      <c r="G25" s="718"/>
      <c r="H25" s="752" t="s">
        <v>400</v>
      </c>
      <c r="I25" s="221" t="s">
        <v>398</v>
      </c>
      <c r="J25" s="50">
        <v>0.9</v>
      </c>
      <c r="K25" s="44"/>
      <c r="L25" s="247"/>
      <c r="M25" s="46"/>
      <c r="N25" s="35"/>
      <c r="Q25" s="72"/>
      <c r="S25" s="208">
        <f>ROUND((ROUND((_11_A家事０．５*_11・基礎２),0)*(1+_11・A深夜)),0)+ROUND((_11_B家事０．５＿０．７５*_11・基礎２),0)</f>
        <v>263</v>
      </c>
      <c r="T25" s="48"/>
    </row>
    <row r="26" spans="1:20" ht="16.5" customHeight="1" x14ac:dyDescent="0.15">
      <c r="A26" s="41">
        <v>11</v>
      </c>
      <c r="B26" s="41">
        <v>8010</v>
      </c>
      <c r="C26" s="74" t="s">
        <v>10239</v>
      </c>
      <c r="D26" s="72"/>
      <c r="F26" s="125">
        <f>_11_B家事０．５＿０．７５</f>
        <v>133</v>
      </c>
      <c r="G26" s="12" t="s">
        <v>392</v>
      </c>
      <c r="H26" s="757"/>
      <c r="I26" s="216"/>
      <c r="J26" s="38"/>
      <c r="K26" s="44" t="s">
        <v>397</v>
      </c>
      <c r="L26" s="247" t="s">
        <v>398</v>
      </c>
      <c r="M26" s="46">
        <v>1</v>
      </c>
      <c r="N26" s="35"/>
      <c r="Q26" s="72"/>
      <c r="S26" s="208">
        <f>ROUND((ROUND((ROUND((_11_A家事０．５*_11・基礎２),0)*_11・２人),0)*(1+_11・A深夜)),0)+ROUND((ROUND((_11_B家事０．５＿０．７５*_11・基礎２),0)*_11・２人),0)</f>
        <v>263</v>
      </c>
      <c r="T26" s="48"/>
    </row>
    <row r="27" spans="1:20" ht="16.5" customHeight="1" x14ac:dyDescent="0.15">
      <c r="A27" s="41">
        <v>11</v>
      </c>
      <c r="B27" s="41" t="s">
        <v>10240</v>
      </c>
      <c r="C27" s="74" t="s">
        <v>10241</v>
      </c>
      <c r="D27" s="72"/>
      <c r="F27" s="72"/>
      <c r="H27" s="114"/>
      <c r="I27" s="221"/>
      <c r="J27" s="50"/>
      <c r="K27" s="44"/>
      <c r="L27" s="247"/>
      <c r="M27" s="46"/>
      <c r="N27" s="35"/>
      <c r="Q27" s="707" t="s">
        <v>404</v>
      </c>
      <c r="R27" s="708"/>
      <c r="S27" s="208">
        <f>ROUND((ROUND((_11_A家事０．５*(1+_11・A深夜)),0)*_11・初任),0)+ROUND((_11_B家事０．５＿０．７５*_11・初任),0)</f>
        <v>204</v>
      </c>
      <c r="T27" s="48"/>
    </row>
    <row r="28" spans="1:20" ht="16.5" customHeight="1" x14ac:dyDescent="0.15">
      <c r="A28" s="41">
        <v>11</v>
      </c>
      <c r="B28" s="41" t="s">
        <v>10242</v>
      </c>
      <c r="C28" s="74" t="s">
        <v>10243</v>
      </c>
      <c r="D28" s="72"/>
      <c r="F28" s="72"/>
      <c r="H28" s="122"/>
      <c r="I28" s="216"/>
      <c r="J28" s="38"/>
      <c r="K28" s="44" t="s">
        <v>397</v>
      </c>
      <c r="L28" s="247" t="s">
        <v>398</v>
      </c>
      <c r="M28" s="46">
        <v>1</v>
      </c>
      <c r="N28" s="35"/>
      <c r="Q28" s="709"/>
      <c r="R28" s="704"/>
      <c r="S28" s="208">
        <f>ROUND((ROUND((ROUND((_11_A家事０．５*_11・２人),0)*(1+_11・A深夜)),0)*_11・初任),0)+ROUND((ROUND((_11_B家事０．５＿０．７５*_11・２人),0)*_11・初任),0)</f>
        <v>204</v>
      </c>
      <c r="T28" s="48"/>
    </row>
    <row r="29" spans="1:20" ht="16.5" customHeight="1" x14ac:dyDescent="0.15">
      <c r="A29" s="41">
        <v>11</v>
      </c>
      <c r="B29" s="41" t="s">
        <v>10244</v>
      </c>
      <c r="C29" s="74" t="s">
        <v>10245</v>
      </c>
      <c r="D29" s="72"/>
      <c r="F29" s="72"/>
      <c r="H29" s="752" t="s">
        <v>400</v>
      </c>
      <c r="I29" s="221" t="s">
        <v>398</v>
      </c>
      <c r="J29" s="50">
        <v>0.9</v>
      </c>
      <c r="K29" s="44"/>
      <c r="L29" s="247"/>
      <c r="M29" s="46"/>
      <c r="N29" s="35"/>
      <c r="Q29" s="709"/>
      <c r="R29" s="704"/>
      <c r="S29" s="208">
        <f>ROUND((ROUND((ROUND((_11_A家事０．５*_11・基礎２),0)*(1+_11・A深夜)),0)*_11・初任),0)+ROUND((ROUND((_11_B家事０．５＿０．７５*_11・基礎２),0)*_11・初任),0)</f>
        <v>184</v>
      </c>
      <c r="T29" s="48"/>
    </row>
    <row r="30" spans="1:20" ht="16.5" customHeight="1" x14ac:dyDescent="0.15">
      <c r="A30" s="41">
        <v>11</v>
      </c>
      <c r="B30" s="41" t="s">
        <v>10246</v>
      </c>
      <c r="C30" s="74" t="s">
        <v>10247</v>
      </c>
      <c r="D30" s="72"/>
      <c r="F30" s="72"/>
      <c r="H30" s="757"/>
      <c r="I30" s="216"/>
      <c r="J30" s="38"/>
      <c r="K30" s="44" t="s">
        <v>397</v>
      </c>
      <c r="L30" s="247" t="s">
        <v>398</v>
      </c>
      <c r="M30" s="46">
        <v>1</v>
      </c>
      <c r="N30" s="35"/>
      <c r="P30" s="234"/>
      <c r="Q30" s="252" t="s">
        <v>398</v>
      </c>
      <c r="R30" s="38">
        <f>_11・初任</f>
        <v>0.7</v>
      </c>
      <c r="S30" s="208">
        <f>ROUND((ROUND((ROUND((ROUND((_11_A家事０．５*_11・基礎２),0)*_11・２人),0)*(1+_11・A深夜)),0)*_11・初任),0)+ROUND((ROUND((ROUND((_11_B家事０．５＿０．７５*_11・基礎２),0)*_11・２人),0)*_11・初任),0)</f>
        <v>184</v>
      </c>
      <c r="T30" s="48"/>
    </row>
    <row r="31" spans="1:20" ht="16.5" customHeight="1" x14ac:dyDescent="0.15">
      <c r="A31" s="41">
        <v>11</v>
      </c>
      <c r="B31" s="41">
        <v>6371</v>
      </c>
      <c r="C31" s="74" t="s">
        <v>10248</v>
      </c>
      <c r="D31" s="132"/>
      <c r="E31" s="106"/>
      <c r="F31" s="707" t="s">
        <v>9627</v>
      </c>
      <c r="G31" s="717"/>
      <c r="H31" s="114"/>
      <c r="I31" s="221"/>
      <c r="J31" s="50"/>
      <c r="K31" s="44"/>
      <c r="L31" s="247"/>
      <c r="M31" s="46"/>
      <c r="N31" s="35"/>
      <c r="P31" s="234"/>
      <c r="Q31" s="49"/>
      <c r="R31" s="50"/>
      <c r="S31" s="208">
        <f>ROUND((_11_A家事０．５*(1+_11・A深夜)),0)+_11_B家事０．５＿１．０</f>
        <v>327</v>
      </c>
      <c r="T31" s="48"/>
    </row>
    <row r="32" spans="1:20" ht="16.5" customHeight="1" x14ac:dyDescent="0.15">
      <c r="A32" s="41">
        <v>11</v>
      </c>
      <c r="B32" s="41">
        <v>6372</v>
      </c>
      <c r="C32" s="74" t="s">
        <v>10249</v>
      </c>
      <c r="D32" s="132"/>
      <c r="E32" s="106"/>
      <c r="F32" s="709"/>
      <c r="G32" s="718"/>
      <c r="H32" s="122"/>
      <c r="I32" s="216"/>
      <c r="J32" s="38"/>
      <c r="K32" s="44" t="s">
        <v>397</v>
      </c>
      <c r="L32" s="247" t="s">
        <v>398</v>
      </c>
      <c r="M32" s="46">
        <v>1</v>
      </c>
      <c r="N32" s="35"/>
      <c r="P32" s="234"/>
      <c r="Q32" s="12"/>
      <c r="S32" s="208">
        <f>ROUND((ROUND((_11_A家事０．５*_11・２人),0)*(1+_11・A深夜)),0)+ROUND((_11_B家事０．５＿１．０*_11・２人),0)</f>
        <v>327</v>
      </c>
      <c r="T32" s="48"/>
    </row>
    <row r="33" spans="1:20" ht="16.5" customHeight="1" x14ac:dyDescent="0.15">
      <c r="A33" s="41">
        <v>11</v>
      </c>
      <c r="B33" s="41">
        <v>6373</v>
      </c>
      <c r="C33" s="74" t="s">
        <v>10250</v>
      </c>
      <c r="D33" s="132"/>
      <c r="E33" s="106"/>
      <c r="F33" s="709"/>
      <c r="G33" s="718"/>
      <c r="H33" s="752" t="s">
        <v>400</v>
      </c>
      <c r="I33" s="221" t="s">
        <v>398</v>
      </c>
      <c r="J33" s="50">
        <v>0.9</v>
      </c>
      <c r="K33" s="44"/>
      <c r="L33" s="247"/>
      <c r="M33" s="46"/>
      <c r="N33" s="35"/>
      <c r="P33" s="234"/>
      <c r="Q33" s="12"/>
      <c r="S33" s="208">
        <f>ROUND((ROUND((_11_A家事０．５*_11・基礎２),0)*(1+_11・A深夜)),0)+ROUND((_11_B家事０．５＿１．０*_11・基礎２),0)</f>
        <v>295</v>
      </c>
      <c r="T33" s="48"/>
    </row>
    <row r="34" spans="1:20" ht="16.5" customHeight="1" x14ac:dyDescent="0.15">
      <c r="A34" s="41">
        <v>11</v>
      </c>
      <c r="B34" s="41">
        <v>6374</v>
      </c>
      <c r="C34" s="74" t="s">
        <v>10251</v>
      </c>
      <c r="D34" s="125"/>
      <c r="E34" s="57"/>
      <c r="F34" s="125">
        <f>_11_B家事０．５＿１．０</f>
        <v>169</v>
      </c>
      <c r="G34" s="12" t="s">
        <v>392</v>
      </c>
      <c r="H34" s="757"/>
      <c r="I34" s="216"/>
      <c r="J34" s="38"/>
      <c r="K34" s="44" t="s">
        <v>397</v>
      </c>
      <c r="L34" s="247" t="s">
        <v>398</v>
      </c>
      <c r="M34" s="46">
        <v>1</v>
      </c>
      <c r="N34" s="35"/>
      <c r="P34" s="234"/>
      <c r="Q34" s="37"/>
      <c r="R34" s="38"/>
      <c r="S34" s="208">
        <f>ROUND((ROUND((ROUND((_11_A家事０．５*_11・基礎２),0)*_11・２人),0)*(1+_11・A深夜)),0)+ROUND((ROUND((_11_B家事０．５＿１．０*_11・基礎２),0)*_11・２人),0)</f>
        <v>295</v>
      </c>
      <c r="T34" s="48"/>
    </row>
    <row r="35" spans="1:20" ht="16.5" customHeight="1" x14ac:dyDescent="0.15">
      <c r="A35" s="41">
        <v>11</v>
      </c>
      <c r="B35" s="41" t="s">
        <v>10252</v>
      </c>
      <c r="C35" s="74" t="s">
        <v>10253</v>
      </c>
      <c r="D35" s="72"/>
      <c r="F35" s="72"/>
      <c r="H35" s="114"/>
      <c r="I35" s="221"/>
      <c r="J35" s="50"/>
      <c r="K35" s="44"/>
      <c r="L35" s="247"/>
      <c r="M35" s="46"/>
      <c r="N35" s="35"/>
      <c r="P35" s="234"/>
      <c r="Q35" s="708" t="s">
        <v>404</v>
      </c>
      <c r="R35" s="708"/>
      <c r="S35" s="208">
        <f>ROUND((ROUND((_11_A家事０．５*(1+_11・A深夜)),0)*_11・初任),0)+ROUND((_11_B家事０．５＿１．０*_11・初任),0)</f>
        <v>229</v>
      </c>
      <c r="T35" s="48"/>
    </row>
    <row r="36" spans="1:20" ht="16.5" customHeight="1" x14ac:dyDescent="0.15">
      <c r="A36" s="41">
        <v>11</v>
      </c>
      <c r="B36" s="41" t="s">
        <v>10254</v>
      </c>
      <c r="C36" s="74" t="s">
        <v>10255</v>
      </c>
      <c r="D36" s="72"/>
      <c r="F36" s="72"/>
      <c r="H36" s="122"/>
      <c r="I36" s="216"/>
      <c r="J36" s="38"/>
      <c r="K36" s="44" t="s">
        <v>397</v>
      </c>
      <c r="L36" s="247" t="s">
        <v>398</v>
      </c>
      <c r="M36" s="46">
        <v>1</v>
      </c>
      <c r="N36" s="35"/>
      <c r="P36" s="234"/>
      <c r="Q36" s="704"/>
      <c r="R36" s="704"/>
      <c r="S36" s="208">
        <f>ROUND((ROUND((ROUND((_11_A家事０．５*_11・２人),0)*(1+_11・A深夜)),0)*_11・初任),0)+ROUND((ROUND((_11_B家事０．５＿１．０*_11・２人),0)*_11・初任),0)</f>
        <v>229</v>
      </c>
      <c r="T36" s="48"/>
    </row>
    <row r="37" spans="1:20" ht="16.5" customHeight="1" x14ac:dyDescent="0.15">
      <c r="A37" s="41">
        <v>11</v>
      </c>
      <c r="B37" s="41" t="s">
        <v>10256</v>
      </c>
      <c r="C37" s="74" t="s">
        <v>10257</v>
      </c>
      <c r="D37" s="72"/>
      <c r="F37" s="72"/>
      <c r="H37" s="752" t="s">
        <v>400</v>
      </c>
      <c r="I37" s="221" t="s">
        <v>398</v>
      </c>
      <c r="J37" s="50">
        <v>0.9</v>
      </c>
      <c r="K37" s="44"/>
      <c r="L37" s="247"/>
      <c r="M37" s="46"/>
      <c r="N37" s="35"/>
      <c r="P37" s="234"/>
      <c r="Q37" s="704"/>
      <c r="R37" s="704"/>
      <c r="S37" s="208">
        <f>ROUND((ROUND((ROUND((_11_A家事０．５*_11・基礎２),0)*(1+_11・A深夜)),0)*_11・初任),0)+ROUND((ROUND((_11_B家事０．５＿１．０*_11・基礎２),0)*_11・初任),0)</f>
        <v>206</v>
      </c>
      <c r="T37" s="48"/>
    </row>
    <row r="38" spans="1:20" ht="16.5" customHeight="1" x14ac:dyDescent="0.15">
      <c r="A38" s="41">
        <v>11</v>
      </c>
      <c r="B38" s="41" t="s">
        <v>10258</v>
      </c>
      <c r="C38" s="74" t="s">
        <v>10259</v>
      </c>
      <c r="D38" s="72"/>
      <c r="F38" s="72"/>
      <c r="H38" s="757"/>
      <c r="I38" s="216"/>
      <c r="J38" s="38"/>
      <c r="K38" s="44" t="s">
        <v>397</v>
      </c>
      <c r="L38" s="247" t="s">
        <v>398</v>
      </c>
      <c r="M38" s="46">
        <v>1</v>
      </c>
      <c r="N38" s="35"/>
      <c r="P38" s="234"/>
      <c r="Q38" s="252" t="s">
        <v>398</v>
      </c>
      <c r="R38" s="38">
        <f>_11・初任</f>
        <v>0.7</v>
      </c>
      <c r="S38" s="208">
        <f>ROUND((ROUND((ROUND((ROUND((_11_A家事０．５*_11・基礎２),0)*_11・２人),0)*(1+_11・A深夜)),0)*_11・初任),0)+ROUND((ROUND((ROUND((_11_B家事０．５＿１．０*_11・基礎２),0)*_11・２人),0)*_11・初任),0)</f>
        <v>206</v>
      </c>
      <c r="T38" s="48"/>
    </row>
    <row r="39" spans="1:20" ht="16.5" customHeight="1" x14ac:dyDescent="0.15">
      <c r="A39" s="41">
        <v>11</v>
      </c>
      <c r="B39" s="41">
        <v>8011</v>
      </c>
      <c r="C39" s="74" t="s">
        <v>10260</v>
      </c>
      <c r="D39" s="707" t="s">
        <v>9150</v>
      </c>
      <c r="E39" s="717"/>
      <c r="F39" s="707" t="s">
        <v>9588</v>
      </c>
      <c r="G39" s="717"/>
      <c r="H39" s="114"/>
      <c r="I39" s="221"/>
      <c r="J39" s="50"/>
      <c r="K39" s="44"/>
      <c r="L39" s="247"/>
      <c r="M39" s="46"/>
      <c r="N39" s="72"/>
      <c r="P39" s="234"/>
      <c r="Q39" s="253"/>
      <c r="R39" s="50"/>
      <c r="S39" s="208">
        <f>ROUND((_11_A家事０．７５*(1+_11・A深夜)),0)+_11_B家事０．７５＿０．２５</f>
        <v>272</v>
      </c>
      <c r="T39" s="48"/>
    </row>
    <row r="40" spans="1:20" ht="16.5" customHeight="1" x14ac:dyDescent="0.15">
      <c r="A40" s="41">
        <v>11</v>
      </c>
      <c r="B40" s="41">
        <v>8012</v>
      </c>
      <c r="C40" s="74" t="s">
        <v>10261</v>
      </c>
      <c r="D40" s="709"/>
      <c r="E40" s="718"/>
      <c r="F40" s="709"/>
      <c r="G40" s="718"/>
      <c r="H40" s="122"/>
      <c r="I40" s="216"/>
      <c r="J40" s="38"/>
      <c r="K40" s="44" t="s">
        <v>397</v>
      </c>
      <c r="L40" s="247" t="s">
        <v>398</v>
      </c>
      <c r="M40" s="46">
        <v>1</v>
      </c>
      <c r="N40" s="35"/>
      <c r="P40" s="234"/>
      <c r="S40" s="208">
        <f>ROUND((ROUND((_11_A家事０．７５*_11・２人),0)*(1+_11・A深夜)),0)+ROUND((_11_B家事０．７５＿０．２５*_11・２人),0)</f>
        <v>272</v>
      </c>
      <c r="T40" s="48"/>
    </row>
    <row r="41" spans="1:20" ht="16.5" customHeight="1" x14ac:dyDescent="0.15">
      <c r="A41" s="41">
        <v>11</v>
      </c>
      <c r="B41" s="41">
        <v>8013</v>
      </c>
      <c r="C41" s="74" t="s">
        <v>10262</v>
      </c>
      <c r="D41" s="709"/>
      <c r="E41" s="718"/>
      <c r="F41" s="709"/>
      <c r="G41" s="718"/>
      <c r="H41" s="752" t="s">
        <v>400</v>
      </c>
      <c r="I41" s="221" t="s">
        <v>398</v>
      </c>
      <c r="J41" s="50">
        <v>0.9</v>
      </c>
      <c r="K41" s="44"/>
      <c r="L41" s="247"/>
      <c r="M41" s="46"/>
      <c r="N41" s="35"/>
      <c r="P41" s="234"/>
      <c r="S41" s="208">
        <f>ROUND((ROUND((_11_A家事０．７５*_11・基礎２),0)*(1+_11・A深夜)),0)+ROUND((_11_B家事０．７５＿０．２５*_11・基礎２),0)</f>
        <v>246</v>
      </c>
      <c r="T41" s="48"/>
    </row>
    <row r="42" spans="1:20" ht="16.5" customHeight="1" x14ac:dyDescent="0.15">
      <c r="A42" s="41">
        <v>11</v>
      </c>
      <c r="B42" s="41">
        <v>8014</v>
      </c>
      <c r="C42" s="74" t="s">
        <v>10263</v>
      </c>
      <c r="D42" s="125">
        <f>_11_A家事０．７５</f>
        <v>152</v>
      </c>
      <c r="E42" s="12" t="s">
        <v>392</v>
      </c>
      <c r="F42" s="125">
        <f>_11_B家事０．７５＿０．２５</f>
        <v>44</v>
      </c>
      <c r="G42" s="12" t="s">
        <v>392</v>
      </c>
      <c r="H42" s="757"/>
      <c r="I42" s="216"/>
      <c r="J42" s="38"/>
      <c r="K42" s="44" t="s">
        <v>397</v>
      </c>
      <c r="L42" s="247" t="s">
        <v>398</v>
      </c>
      <c r="M42" s="46">
        <v>1</v>
      </c>
      <c r="N42" s="35"/>
      <c r="P42" s="234"/>
      <c r="S42" s="208">
        <f>ROUND((ROUND((ROUND((_11_A家事０．７５*_11・基礎２),0)*_11・２人),0)*(1+_11・A深夜)),0)+ROUND((ROUND((_11_B家事０．７５＿０．２５*_11・基礎２),0)*_11・２人),0)</f>
        <v>246</v>
      </c>
      <c r="T42" s="48"/>
    </row>
    <row r="43" spans="1:20" ht="16.5" customHeight="1" x14ac:dyDescent="0.15">
      <c r="A43" s="41">
        <v>11</v>
      </c>
      <c r="B43" s="41" t="s">
        <v>10264</v>
      </c>
      <c r="C43" s="74" t="s">
        <v>10265</v>
      </c>
      <c r="D43" s="72"/>
      <c r="F43" s="72"/>
      <c r="H43" s="114"/>
      <c r="I43" s="221"/>
      <c r="J43" s="50"/>
      <c r="K43" s="44"/>
      <c r="L43" s="247"/>
      <c r="M43" s="46"/>
      <c r="N43" s="35"/>
      <c r="P43" s="234"/>
      <c r="Q43" s="708" t="s">
        <v>404</v>
      </c>
      <c r="R43" s="708"/>
      <c r="S43" s="208">
        <f>ROUND((ROUND((_11_A家事０．７５*(1+_11・A深夜)),0)*_11・初任),0)+ROUND((_11_B家事０．７５＿０．２５*_11・初任),0)</f>
        <v>191</v>
      </c>
      <c r="T43" s="48"/>
    </row>
    <row r="44" spans="1:20" ht="16.5" customHeight="1" x14ac:dyDescent="0.15">
      <c r="A44" s="41">
        <v>11</v>
      </c>
      <c r="B44" s="41" t="s">
        <v>10266</v>
      </c>
      <c r="C44" s="74" t="s">
        <v>10267</v>
      </c>
      <c r="D44" s="72"/>
      <c r="F44" s="72"/>
      <c r="H44" s="122"/>
      <c r="I44" s="216"/>
      <c r="J44" s="38"/>
      <c r="K44" s="44" t="s">
        <v>397</v>
      </c>
      <c r="L44" s="247" t="s">
        <v>398</v>
      </c>
      <c r="M44" s="46">
        <v>1</v>
      </c>
      <c r="N44" s="35"/>
      <c r="P44" s="234"/>
      <c r="Q44" s="704"/>
      <c r="R44" s="704"/>
      <c r="S44" s="208">
        <f>ROUND((ROUND((ROUND((_11_A家事０．７５*_11・２人),0)*(1+_11・A深夜)),0)*_11・初任),0)+ROUND((ROUND((_11_B家事０．７５＿０．２５*_11・２人),0)*_11・初任),0)</f>
        <v>191</v>
      </c>
      <c r="T44" s="48"/>
    </row>
    <row r="45" spans="1:20" ht="16.5" customHeight="1" x14ac:dyDescent="0.15">
      <c r="A45" s="41">
        <v>11</v>
      </c>
      <c r="B45" s="41" t="s">
        <v>10268</v>
      </c>
      <c r="C45" s="74" t="s">
        <v>10269</v>
      </c>
      <c r="D45" s="72"/>
      <c r="F45" s="72"/>
      <c r="H45" s="752" t="s">
        <v>400</v>
      </c>
      <c r="I45" s="221" t="s">
        <v>398</v>
      </c>
      <c r="J45" s="50">
        <v>0.9</v>
      </c>
      <c r="K45" s="44"/>
      <c r="L45" s="247"/>
      <c r="M45" s="46"/>
      <c r="N45" s="35"/>
      <c r="P45" s="234"/>
      <c r="Q45" s="704"/>
      <c r="R45" s="704"/>
      <c r="S45" s="208">
        <f>ROUND((ROUND((ROUND((_11_A家事０．７５*_11・基礎２),0)*(1+_11・A深夜)),0)*_11・初任),0)+ROUND((ROUND((_11_B家事０．７５＿０．２５*_11・基礎２),0)*_11・初任),0)</f>
        <v>172</v>
      </c>
      <c r="T45" s="48"/>
    </row>
    <row r="46" spans="1:20" ht="16.5" customHeight="1" x14ac:dyDescent="0.15">
      <c r="A46" s="41">
        <v>11</v>
      </c>
      <c r="B46" s="41" t="s">
        <v>10270</v>
      </c>
      <c r="C46" s="74" t="s">
        <v>10271</v>
      </c>
      <c r="D46" s="72"/>
      <c r="F46" s="72"/>
      <c r="H46" s="757"/>
      <c r="I46" s="216"/>
      <c r="J46" s="38"/>
      <c r="K46" s="44" t="s">
        <v>397</v>
      </c>
      <c r="L46" s="247" t="s">
        <v>398</v>
      </c>
      <c r="M46" s="46">
        <v>1</v>
      </c>
      <c r="N46" s="35"/>
      <c r="P46" s="234"/>
      <c r="Q46" s="252" t="s">
        <v>398</v>
      </c>
      <c r="R46" s="38">
        <f>_11・初任</f>
        <v>0.7</v>
      </c>
      <c r="S46" s="208">
        <f>ROUND((ROUND((ROUND((ROUND((_11_A家事０．７５*_11・基礎２),0)*_11・２人),0)*(1+_11・A深夜)),0)*_11・初任),0)+ROUND((ROUND((ROUND((_11_B家事０．７５＿０．２５*_11・基礎２),0)*_11・２人),0)*_11・初任),0)</f>
        <v>172</v>
      </c>
      <c r="T46" s="48"/>
    </row>
    <row r="47" spans="1:20" ht="16.5" customHeight="1" x14ac:dyDescent="0.15">
      <c r="A47" s="41">
        <v>11</v>
      </c>
      <c r="B47" s="41">
        <v>8015</v>
      </c>
      <c r="C47" s="74" t="s">
        <v>10272</v>
      </c>
      <c r="D47" s="72"/>
      <c r="F47" s="707" t="s">
        <v>9601</v>
      </c>
      <c r="G47" s="717"/>
      <c r="H47" s="114"/>
      <c r="I47" s="221"/>
      <c r="J47" s="50"/>
      <c r="K47" s="44"/>
      <c r="L47" s="247"/>
      <c r="M47" s="46"/>
      <c r="N47" s="35"/>
      <c r="P47" s="234"/>
      <c r="Q47" s="49"/>
      <c r="R47" s="50"/>
      <c r="S47" s="208">
        <f>ROUND((_11_A家事０．７５*(1+_11・A深夜)),0)+_11_B家事０．７５＿０．５</f>
        <v>314</v>
      </c>
      <c r="T47" s="48"/>
    </row>
    <row r="48" spans="1:20" ht="16.5" customHeight="1" x14ac:dyDescent="0.15">
      <c r="A48" s="41">
        <v>11</v>
      </c>
      <c r="B48" s="41">
        <v>8016</v>
      </c>
      <c r="C48" s="74" t="s">
        <v>10273</v>
      </c>
      <c r="D48" s="72"/>
      <c r="F48" s="709"/>
      <c r="G48" s="718"/>
      <c r="H48" s="122"/>
      <c r="I48" s="216"/>
      <c r="J48" s="38"/>
      <c r="K48" s="44" t="s">
        <v>397</v>
      </c>
      <c r="L48" s="247" t="s">
        <v>398</v>
      </c>
      <c r="M48" s="46">
        <v>1</v>
      </c>
      <c r="N48" s="35"/>
      <c r="P48" s="234"/>
      <c r="Q48" s="12"/>
      <c r="S48" s="208">
        <f>ROUND((ROUND((_11_A家事０．７５*_11・２人),0)*(1+_11・A深夜)),0)+ROUND((_11_B家事０．７５＿０．５*_11・２人),0)</f>
        <v>314</v>
      </c>
      <c r="T48" s="48"/>
    </row>
    <row r="49" spans="1:20" ht="16.5" customHeight="1" x14ac:dyDescent="0.15">
      <c r="A49" s="41">
        <v>11</v>
      </c>
      <c r="B49" s="41">
        <v>8017</v>
      </c>
      <c r="C49" s="74" t="s">
        <v>10274</v>
      </c>
      <c r="D49" s="72"/>
      <c r="F49" s="709"/>
      <c r="G49" s="718"/>
      <c r="H49" s="752" t="s">
        <v>400</v>
      </c>
      <c r="I49" s="221" t="s">
        <v>398</v>
      </c>
      <c r="J49" s="50">
        <v>0.9</v>
      </c>
      <c r="K49" s="44"/>
      <c r="L49" s="247"/>
      <c r="M49" s="46"/>
      <c r="N49" s="35"/>
      <c r="P49" s="234"/>
      <c r="Q49" s="12"/>
      <c r="S49" s="208">
        <f>ROUND((ROUND((_11_A家事０．７５*_11・基礎２),0)*(1+_11・A深夜)),0)+ROUND((_11_B家事０．７５＿０．５*_11・基礎２),0)</f>
        <v>283</v>
      </c>
      <c r="T49" s="48"/>
    </row>
    <row r="50" spans="1:20" ht="16.5" customHeight="1" x14ac:dyDescent="0.15">
      <c r="A50" s="41">
        <v>11</v>
      </c>
      <c r="B50" s="41">
        <v>8018</v>
      </c>
      <c r="C50" s="74" t="s">
        <v>10275</v>
      </c>
      <c r="D50" s="72"/>
      <c r="F50" s="125">
        <f>_11_B家事０．７５＿０．５</f>
        <v>86</v>
      </c>
      <c r="G50" s="12" t="s">
        <v>392</v>
      </c>
      <c r="H50" s="757"/>
      <c r="I50" s="216"/>
      <c r="J50" s="38"/>
      <c r="K50" s="44" t="s">
        <v>397</v>
      </c>
      <c r="L50" s="247" t="s">
        <v>398</v>
      </c>
      <c r="M50" s="46">
        <v>1</v>
      </c>
      <c r="N50" s="35"/>
      <c r="P50" s="234"/>
      <c r="Q50" s="37"/>
      <c r="R50" s="38"/>
      <c r="S50" s="208">
        <f>ROUND((ROUND((ROUND((_11_A家事０．７５*_11・基礎２),0)*_11・２人),0)*(1+_11・A深夜)),0)+ROUND((ROUND((_11_B家事０．７５＿０．５*_11・基礎２),0)*_11・２人),0)</f>
        <v>283</v>
      </c>
      <c r="T50" s="48"/>
    </row>
    <row r="51" spans="1:20" ht="16.5" customHeight="1" x14ac:dyDescent="0.15">
      <c r="A51" s="41">
        <v>11</v>
      </c>
      <c r="B51" s="41" t="s">
        <v>10276</v>
      </c>
      <c r="C51" s="74" t="s">
        <v>10277</v>
      </c>
      <c r="D51" s="72"/>
      <c r="F51" s="72"/>
      <c r="H51" s="114"/>
      <c r="I51" s="221"/>
      <c r="J51" s="50"/>
      <c r="K51" s="44"/>
      <c r="L51" s="247"/>
      <c r="M51" s="46"/>
      <c r="N51" s="35"/>
      <c r="P51" s="234"/>
      <c r="Q51" s="708" t="s">
        <v>404</v>
      </c>
      <c r="R51" s="708"/>
      <c r="S51" s="208">
        <f>ROUND((ROUND((_11_A家事０．７５*(1+_11・A深夜)),0)*_11・初任),0)+ROUND((_11_B家事０．７５＿０．５*_11・初任),0)</f>
        <v>220</v>
      </c>
      <c r="T51" s="48"/>
    </row>
    <row r="52" spans="1:20" ht="16.5" customHeight="1" x14ac:dyDescent="0.15">
      <c r="A52" s="41">
        <v>11</v>
      </c>
      <c r="B52" s="41" t="s">
        <v>10278</v>
      </c>
      <c r="C52" s="74" t="s">
        <v>10279</v>
      </c>
      <c r="D52" s="72"/>
      <c r="F52" s="72"/>
      <c r="H52" s="122"/>
      <c r="I52" s="216"/>
      <c r="J52" s="38"/>
      <c r="K52" s="44" t="s">
        <v>397</v>
      </c>
      <c r="L52" s="247" t="s">
        <v>398</v>
      </c>
      <c r="M52" s="46">
        <v>1</v>
      </c>
      <c r="N52" s="35"/>
      <c r="P52" s="234"/>
      <c r="Q52" s="704"/>
      <c r="R52" s="704"/>
      <c r="S52" s="208">
        <f>ROUND((ROUND((ROUND((_11_A家事０．７５*_11・２人),0)*(1+_11・A深夜)),0)*_11・初任),0)+ROUND((ROUND((_11_B家事０．７５＿０．５*_11・２人),0)*_11・初任),0)</f>
        <v>220</v>
      </c>
      <c r="T52" s="48"/>
    </row>
    <row r="53" spans="1:20" ht="16.5" customHeight="1" x14ac:dyDescent="0.15">
      <c r="A53" s="41">
        <v>11</v>
      </c>
      <c r="B53" s="41" t="s">
        <v>10280</v>
      </c>
      <c r="C53" s="74" t="s">
        <v>10281</v>
      </c>
      <c r="D53" s="72"/>
      <c r="F53" s="72"/>
      <c r="H53" s="752" t="s">
        <v>400</v>
      </c>
      <c r="I53" s="221" t="s">
        <v>398</v>
      </c>
      <c r="J53" s="50">
        <v>0.9</v>
      </c>
      <c r="K53" s="44"/>
      <c r="L53" s="247"/>
      <c r="M53" s="46"/>
      <c r="N53" s="35"/>
      <c r="P53" s="234"/>
      <c r="Q53" s="704"/>
      <c r="R53" s="704"/>
      <c r="S53" s="208">
        <f>ROUND((ROUND((ROUND((_11_A家事０．７５*_11・基礎２),0)*(1+_11・A深夜)),0)*_11・初任),0)+ROUND((ROUND((_11_B家事０．７５＿０．５*_11・基礎２),0)*_11・初任),0)</f>
        <v>198</v>
      </c>
      <c r="T53" s="48"/>
    </row>
    <row r="54" spans="1:20" ht="16.5" customHeight="1" x14ac:dyDescent="0.15">
      <c r="A54" s="41">
        <v>11</v>
      </c>
      <c r="B54" s="41" t="s">
        <v>10282</v>
      </c>
      <c r="C54" s="74" t="s">
        <v>10283</v>
      </c>
      <c r="D54" s="72"/>
      <c r="F54" s="72"/>
      <c r="H54" s="757"/>
      <c r="I54" s="216"/>
      <c r="J54" s="38"/>
      <c r="K54" s="44" t="s">
        <v>397</v>
      </c>
      <c r="L54" s="247" t="s">
        <v>398</v>
      </c>
      <c r="M54" s="46">
        <v>1</v>
      </c>
      <c r="N54" s="35"/>
      <c r="P54" s="234"/>
      <c r="Q54" s="252" t="s">
        <v>398</v>
      </c>
      <c r="R54" s="38">
        <f>_11・初任</f>
        <v>0.7</v>
      </c>
      <c r="S54" s="208">
        <f>ROUND((ROUND((ROUND((ROUND((_11_A家事０．７５*_11・基礎２),0)*_11・２人),0)*(1+_11・A深夜)),0)*_11・初任),0)+ROUND((ROUND((ROUND((_11_B家事０．７５＿０．５*_11・基礎２),0)*_11・２人),0)*_11・初任),0)</f>
        <v>198</v>
      </c>
      <c r="T54" s="48"/>
    </row>
    <row r="55" spans="1:20" ht="16.5" customHeight="1" x14ac:dyDescent="0.15">
      <c r="A55" s="41">
        <v>11</v>
      </c>
      <c r="B55" s="41">
        <v>8019</v>
      </c>
      <c r="C55" s="74" t="s">
        <v>10284</v>
      </c>
      <c r="D55" s="132"/>
      <c r="E55" s="106"/>
      <c r="F55" s="707" t="s">
        <v>9614</v>
      </c>
      <c r="G55" s="717"/>
      <c r="H55" s="114"/>
      <c r="I55" s="221"/>
      <c r="J55" s="50"/>
      <c r="K55" s="44"/>
      <c r="L55" s="247"/>
      <c r="M55" s="46"/>
      <c r="N55" s="35"/>
      <c r="P55" s="234"/>
      <c r="Q55" s="253"/>
      <c r="R55" s="50"/>
      <c r="S55" s="208">
        <f>ROUND((_11_A家事０．７５*(1+_11・A深夜)),0)+_11_B家事０．７５＿０．７５</f>
        <v>350</v>
      </c>
      <c r="T55" s="48"/>
    </row>
    <row r="56" spans="1:20" ht="16.5" customHeight="1" x14ac:dyDescent="0.15">
      <c r="A56" s="41">
        <v>11</v>
      </c>
      <c r="B56" s="41">
        <v>8020</v>
      </c>
      <c r="C56" s="74" t="s">
        <v>10285</v>
      </c>
      <c r="D56" s="132"/>
      <c r="E56" s="106"/>
      <c r="F56" s="709"/>
      <c r="G56" s="718"/>
      <c r="H56" s="122"/>
      <c r="I56" s="216"/>
      <c r="J56" s="38"/>
      <c r="K56" s="44" t="s">
        <v>397</v>
      </c>
      <c r="L56" s="247" t="s">
        <v>398</v>
      </c>
      <c r="M56" s="46">
        <v>1</v>
      </c>
      <c r="N56" s="35"/>
      <c r="P56" s="234"/>
      <c r="S56" s="208">
        <f>ROUND((ROUND((_11_A家事０．７５*_11・２人),0)*(1+_11・A深夜)),0)+ROUND((_11_B家事０．７５＿０．７５*_11・２人),0)</f>
        <v>350</v>
      </c>
      <c r="T56" s="48"/>
    </row>
    <row r="57" spans="1:20" ht="16.5" customHeight="1" x14ac:dyDescent="0.15">
      <c r="A57" s="41">
        <v>11</v>
      </c>
      <c r="B57" s="41">
        <v>8021</v>
      </c>
      <c r="C57" s="74" t="s">
        <v>10286</v>
      </c>
      <c r="D57" s="132"/>
      <c r="E57" s="106"/>
      <c r="F57" s="709"/>
      <c r="G57" s="718"/>
      <c r="H57" s="752" t="s">
        <v>400</v>
      </c>
      <c r="I57" s="221" t="s">
        <v>398</v>
      </c>
      <c r="J57" s="50">
        <v>0.9</v>
      </c>
      <c r="K57" s="44"/>
      <c r="L57" s="247"/>
      <c r="M57" s="46"/>
      <c r="N57" s="35"/>
      <c r="P57" s="234"/>
      <c r="S57" s="208">
        <f>ROUND((ROUND((_11_A家事０．７５*_11・基礎２),0)*(1+_11・A深夜)),0)+ROUND((_11_B家事０．７５＿０．７５*_11・基礎２),0)</f>
        <v>316</v>
      </c>
      <c r="T57" s="48"/>
    </row>
    <row r="58" spans="1:20" ht="16.5" customHeight="1" x14ac:dyDescent="0.15">
      <c r="A58" s="41">
        <v>11</v>
      </c>
      <c r="B58" s="41">
        <v>8022</v>
      </c>
      <c r="C58" s="74" t="s">
        <v>10287</v>
      </c>
      <c r="D58" s="125"/>
      <c r="E58" s="57"/>
      <c r="F58" s="125">
        <f>_11_B家事０．７５＿０．７５</f>
        <v>122</v>
      </c>
      <c r="G58" s="12" t="s">
        <v>392</v>
      </c>
      <c r="H58" s="757"/>
      <c r="I58" s="216"/>
      <c r="J58" s="38"/>
      <c r="K58" s="44" t="s">
        <v>397</v>
      </c>
      <c r="L58" s="247" t="s">
        <v>398</v>
      </c>
      <c r="M58" s="46">
        <v>1</v>
      </c>
      <c r="N58" s="35"/>
      <c r="P58" s="234"/>
      <c r="S58" s="208">
        <f>ROUND((ROUND((ROUND((_11_A家事０．７５*_11・基礎２),0)*_11・２人),0)*(1+_11・A深夜)),0)+ROUND((ROUND((_11_B家事０．７５＿０．７５*_11・基礎２),0)*_11・２人),0)</f>
        <v>316</v>
      </c>
      <c r="T58" s="48"/>
    </row>
    <row r="59" spans="1:20" ht="16.5" customHeight="1" x14ac:dyDescent="0.15">
      <c r="A59" s="41">
        <v>11</v>
      </c>
      <c r="B59" s="41" t="s">
        <v>10288</v>
      </c>
      <c r="C59" s="74" t="s">
        <v>10289</v>
      </c>
      <c r="D59" s="72"/>
      <c r="E59" s="57"/>
      <c r="F59" s="72"/>
      <c r="H59" s="114"/>
      <c r="I59" s="221"/>
      <c r="J59" s="50"/>
      <c r="K59" s="44"/>
      <c r="L59" s="247"/>
      <c r="M59" s="46"/>
      <c r="N59" s="35"/>
      <c r="P59" s="234"/>
      <c r="Q59" s="708" t="s">
        <v>404</v>
      </c>
      <c r="R59" s="708"/>
      <c r="S59" s="208">
        <f>ROUND((ROUND((_11_A家事０．７５*(1+_11・A深夜)),0)*_11・初任),0)+ROUND((_11_B家事０．７５＿０．７５*_11・初任),0)</f>
        <v>245</v>
      </c>
      <c r="T59" s="48"/>
    </row>
    <row r="60" spans="1:20" ht="16.5" customHeight="1" x14ac:dyDescent="0.15">
      <c r="A60" s="41">
        <v>11</v>
      </c>
      <c r="B60" s="41" t="s">
        <v>10290</v>
      </c>
      <c r="C60" s="74" t="s">
        <v>10291</v>
      </c>
      <c r="D60" s="72"/>
      <c r="E60" s="57"/>
      <c r="F60" s="72"/>
      <c r="H60" s="122"/>
      <c r="I60" s="216"/>
      <c r="J60" s="38"/>
      <c r="K60" s="44" t="s">
        <v>397</v>
      </c>
      <c r="L60" s="247" t="s">
        <v>398</v>
      </c>
      <c r="M60" s="46">
        <v>1</v>
      </c>
      <c r="N60" s="35"/>
      <c r="P60" s="234"/>
      <c r="Q60" s="704"/>
      <c r="R60" s="704"/>
      <c r="S60" s="208">
        <f>ROUND((ROUND((ROUND((_11_A家事０．７５*_11・２人),0)*(1+_11・A深夜)),0)*_11・初任),0)+ROUND((ROUND((_11_B家事０．７５＿０．７５*_11・２人),0)*_11・初任),0)</f>
        <v>245</v>
      </c>
      <c r="T60" s="48"/>
    </row>
    <row r="61" spans="1:20" ht="16.5" customHeight="1" x14ac:dyDescent="0.15">
      <c r="A61" s="41">
        <v>11</v>
      </c>
      <c r="B61" s="41" t="s">
        <v>10292</v>
      </c>
      <c r="C61" s="74" t="s">
        <v>10293</v>
      </c>
      <c r="D61" s="72"/>
      <c r="F61" s="72"/>
      <c r="H61" s="752" t="s">
        <v>400</v>
      </c>
      <c r="I61" s="221" t="s">
        <v>398</v>
      </c>
      <c r="J61" s="50">
        <v>0.9</v>
      </c>
      <c r="K61" s="44"/>
      <c r="L61" s="247"/>
      <c r="M61" s="46"/>
      <c r="N61" s="35"/>
      <c r="P61" s="234"/>
      <c r="Q61" s="704"/>
      <c r="R61" s="704"/>
      <c r="S61" s="208">
        <f>ROUND((ROUND((ROUND((_11_A家事０．７５*_11・基礎２),0)*(1+_11・A深夜)),0)*_11・初任),0)+ROUND((ROUND((_11_B家事０．７５＿０．７５*_11・基礎２),0)*_11・初任),0)</f>
        <v>221</v>
      </c>
      <c r="T61" s="48"/>
    </row>
    <row r="62" spans="1:20" ht="16.5" customHeight="1" x14ac:dyDescent="0.15">
      <c r="A62" s="41">
        <v>11</v>
      </c>
      <c r="B62" s="41" t="s">
        <v>10294</v>
      </c>
      <c r="C62" s="74" t="s">
        <v>10295</v>
      </c>
      <c r="D62" s="72"/>
      <c r="F62" s="72"/>
      <c r="H62" s="757"/>
      <c r="I62" s="216"/>
      <c r="J62" s="38"/>
      <c r="K62" s="44" t="s">
        <v>397</v>
      </c>
      <c r="L62" s="247" t="s">
        <v>398</v>
      </c>
      <c r="M62" s="46">
        <v>1</v>
      </c>
      <c r="N62" s="35"/>
      <c r="P62" s="234"/>
      <c r="Q62" s="252" t="s">
        <v>398</v>
      </c>
      <c r="R62" s="38">
        <f>_11・初任</f>
        <v>0.7</v>
      </c>
      <c r="S62" s="208">
        <f>ROUND((ROUND((ROUND((ROUND((_11_A家事０．７５*_11・基礎２),0)*_11・２人),0)*(1+_11・A深夜)),0)*_11・初任),0)+ROUND((ROUND((ROUND((_11_B家事０．７５＿０．７５*_11・基礎２),0)*_11・２人),0)*_11・初任),0)</f>
        <v>221</v>
      </c>
      <c r="T62" s="48"/>
    </row>
    <row r="63" spans="1:20" ht="16.5" customHeight="1" x14ac:dyDescent="0.15">
      <c r="A63" s="41">
        <v>11</v>
      </c>
      <c r="B63" s="41">
        <v>8023</v>
      </c>
      <c r="C63" s="74" t="s">
        <v>10296</v>
      </c>
      <c r="D63" s="707" t="s">
        <v>9163</v>
      </c>
      <c r="E63" s="717"/>
      <c r="F63" s="707" t="s">
        <v>9588</v>
      </c>
      <c r="G63" s="717"/>
      <c r="H63" s="114"/>
      <c r="I63" s="221"/>
      <c r="J63" s="50"/>
      <c r="K63" s="44"/>
      <c r="L63" s="247"/>
      <c r="M63" s="46"/>
      <c r="N63" s="35"/>
      <c r="P63" s="234"/>
      <c r="Q63" s="49"/>
      <c r="R63" s="50"/>
      <c r="S63" s="208">
        <f>ROUND((_11_A家事１．０*(1+_11・A深夜)),0)+_11_B家事１．０＿０．２５</f>
        <v>336</v>
      </c>
      <c r="T63" s="48"/>
    </row>
    <row r="64" spans="1:20" ht="16.5" customHeight="1" x14ac:dyDescent="0.15">
      <c r="A64" s="41">
        <v>11</v>
      </c>
      <c r="B64" s="41">
        <v>8024</v>
      </c>
      <c r="C64" s="74" t="s">
        <v>10297</v>
      </c>
      <c r="D64" s="709"/>
      <c r="E64" s="718"/>
      <c r="F64" s="709"/>
      <c r="G64" s="718"/>
      <c r="H64" s="122"/>
      <c r="I64" s="216"/>
      <c r="J64" s="38"/>
      <c r="K64" s="44" t="s">
        <v>397</v>
      </c>
      <c r="L64" s="247" t="s">
        <v>398</v>
      </c>
      <c r="M64" s="46">
        <v>1</v>
      </c>
      <c r="N64" s="35"/>
      <c r="P64" s="234"/>
      <c r="Q64" s="12"/>
      <c r="S64" s="208">
        <f>ROUND((ROUND((_11_A家事１．０*_11・２人),0)*(1+_11・A深夜)),0)+ROUND((_11_B家事１．０＿０．２５*_11・２人),0)</f>
        <v>336</v>
      </c>
      <c r="T64" s="48"/>
    </row>
    <row r="65" spans="1:20" ht="16.5" customHeight="1" x14ac:dyDescent="0.15">
      <c r="A65" s="41">
        <v>11</v>
      </c>
      <c r="B65" s="41">
        <v>8025</v>
      </c>
      <c r="C65" s="74" t="s">
        <v>10298</v>
      </c>
      <c r="D65" s="709"/>
      <c r="E65" s="718"/>
      <c r="F65" s="709"/>
      <c r="G65" s="718"/>
      <c r="H65" s="752" t="s">
        <v>400</v>
      </c>
      <c r="I65" s="221" t="s">
        <v>398</v>
      </c>
      <c r="J65" s="50">
        <v>0.9</v>
      </c>
      <c r="K65" s="44"/>
      <c r="L65" s="247"/>
      <c r="M65" s="46"/>
      <c r="N65" s="35"/>
      <c r="P65" s="234"/>
      <c r="Q65" s="12"/>
      <c r="S65" s="208">
        <f>ROUND((ROUND((_11_A家事１．０*_11・基礎２),0)*(1+_11・A深夜)),0)+ROUND((_11_B家事１．０＿０．２５*_11・基礎２),0)</f>
        <v>302</v>
      </c>
      <c r="T65" s="48"/>
    </row>
    <row r="66" spans="1:20" ht="16.5" customHeight="1" x14ac:dyDescent="0.15">
      <c r="A66" s="41">
        <v>11</v>
      </c>
      <c r="B66" s="41">
        <v>8026</v>
      </c>
      <c r="C66" s="74" t="s">
        <v>10299</v>
      </c>
      <c r="D66" s="125">
        <f>_11_A家事１．０</f>
        <v>196</v>
      </c>
      <c r="E66" s="12" t="s">
        <v>392</v>
      </c>
      <c r="F66" s="125">
        <f>_11_B家事１．０＿０．２５</f>
        <v>42</v>
      </c>
      <c r="G66" s="12" t="s">
        <v>392</v>
      </c>
      <c r="H66" s="757"/>
      <c r="I66" s="216"/>
      <c r="J66" s="38"/>
      <c r="K66" s="44" t="s">
        <v>397</v>
      </c>
      <c r="L66" s="247" t="s">
        <v>398</v>
      </c>
      <c r="M66" s="46">
        <v>1</v>
      </c>
      <c r="N66" s="35"/>
      <c r="P66" s="234"/>
      <c r="Q66" s="37"/>
      <c r="R66" s="38"/>
      <c r="S66" s="208">
        <f>ROUND((ROUND((ROUND((_11_A家事１．０*_11・基礎２),0)*_11・２人),0)*(1+_11・A深夜)),0)+ROUND((ROUND((_11_B家事１．０＿０．２５*_11・基礎２),0)*_11・２人),0)</f>
        <v>302</v>
      </c>
      <c r="T66" s="48"/>
    </row>
    <row r="67" spans="1:20" ht="16.5" customHeight="1" x14ac:dyDescent="0.15">
      <c r="A67" s="41">
        <v>11</v>
      </c>
      <c r="B67" s="41" t="s">
        <v>10300</v>
      </c>
      <c r="C67" s="74" t="s">
        <v>10301</v>
      </c>
      <c r="D67" s="72"/>
      <c r="F67" s="72"/>
      <c r="H67" s="114"/>
      <c r="I67" s="221"/>
      <c r="J67" s="50"/>
      <c r="K67" s="44"/>
      <c r="L67" s="247"/>
      <c r="M67" s="46"/>
      <c r="N67" s="35"/>
      <c r="P67" s="234"/>
      <c r="Q67" s="708" t="s">
        <v>404</v>
      </c>
      <c r="R67" s="708"/>
      <c r="S67" s="208">
        <f>ROUND((ROUND((_11_A家事１．０*(1+_11・A深夜)),0)*_11・初任),0)+ROUND((_11_B家事１．０＿０．２５*_11・初任),0)</f>
        <v>235</v>
      </c>
      <c r="T67" s="48"/>
    </row>
    <row r="68" spans="1:20" ht="16.5" customHeight="1" x14ac:dyDescent="0.15">
      <c r="A68" s="41">
        <v>11</v>
      </c>
      <c r="B68" s="41" t="s">
        <v>10302</v>
      </c>
      <c r="C68" s="74" t="s">
        <v>10303</v>
      </c>
      <c r="D68" s="72"/>
      <c r="F68" s="72"/>
      <c r="H68" s="122"/>
      <c r="I68" s="216"/>
      <c r="J68" s="38"/>
      <c r="K68" s="44" t="s">
        <v>397</v>
      </c>
      <c r="L68" s="247" t="s">
        <v>398</v>
      </c>
      <c r="M68" s="46">
        <v>1</v>
      </c>
      <c r="N68" s="35"/>
      <c r="P68" s="234"/>
      <c r="Q68" s="704"/>
      <c r="R68" s="704"/>
      <c r="S68" s="208">
        <f>ROUND((ROUND((ROUND((_11_A家事１．０*_11・２人),0)*(1+_11・A深夜)),0)*_11・初任),0)+ROUND((ROUND((_11_B家事１．０＿０．２５*_11・２人),0)*_11・初任),0)</f>
        <v>235</v>
      </c>
      <c r="T68" s="48"/>
    </row>
    <row r="69" spans="1:20" ht="16.5" customHeight="1" x14ac:dyDescent="0.15">
      <c r="A69" s="41">
        <v>11</v>
      </c>
      <c r="B69" s="41" t="s">
        <v>10304</v>
      </c>
      <c r="C69" s="74" t="s">
        <v>10305</v>
      </c>
      <c r="D69" s="72"/>
      <c r="F69" s="72"/>
      <c r="H69" s="752" t="s">
        <v>400</v>
      </c>
      <c r="I69" s="221" t="s">
        <v>398</v>
      </c>
      <c r="J69" s="50">
        <v>0.9</v>
      </c>
      <c r="K69" s="44"/>
      <c r="L69" s="247"/>
      <c r="M69" s="46"/>
      <c r="N69" s="35"/>
      <c r="P69" s="234"/>
      <c r="Q69" s="704"/>
      <c r="R69" s="704"/>
      <c r="S69" s="208">
        <f>ROUND((ROUND((ROUND((_11_A家事１．０*_11・基礎２),0)*(1+_11・A深夜)),0)*_11・初任),0)+ROUND((ROUND((_11_B家事１．０＿０．２５*_11・基礎２),0)*_11・初任),0)</f>
        <v>212</v>
      </c>
      <c r="T69" s="48"/>
    </row>
    <row r="70" spans="1:20" ht="16.5" customHeight="1" x14ac:dyDescent="0.15">
      <c r="A70" s="41">
        <v>11</v>
      </c>
      <c r="B70" s="41" t="s">
        <v>10306</v>
      </c>
      <c r="C70" s="74" t="s">
        <v>10307</v>
      </c>
      <c r="D70" s="72"/>
      <c r="F70" s="72"/>
      <c r="H70" s="757"/>
      <c r="I70" s="216"/>
      <c r="J70" s="38"/>
      <c r="K70" s="44" t="s">
        <v>397</v>
      </c>
      <c r="L70" s="247" t="s">
        <v>398</v>
      </c>
      <c r="M70" s="46">
        <v>1</v>
      </c>
      <c r="N70" s="35"/>
      <c r="P70" s="234"/>
      <c r="Q70" s="252" t="s">
        <v>398</v>
      </c>
      <c r="R70" s="38">
        <f>_11・初任</f>
        <v>0.7</v>
      </c>
      <c r="S70" s="208">
        <f>ROUND((ROUND((ROUND((ROUND((_11_A家事１．０*_11・基礎２),0)*_11・２人),0)*(1+_11・A深夜)),0)*_11・初任),0)+ROUND((ROUND((ROUND((_11_B家事１．０＿０．２５*_11・基礎２),0)*_11・２人),0)*_11・初任),0)</f>
        <v>212</v>
      </c>
      <c r="T70" s="48"/>
    </row>
    <row r="71" spans="1:20" ht="16.5" customHeight="1" x14ac:dyDescent="0.15">
      <c r="A71" s="41">
        <v>11</v>
      </c>
      <c r="B71" s="41">
        <v>6375</v>
      </c>
      <c r="C71" s="74" t="s">
        <v>10308</v>
      </c>
      <c r="D71" s="72"/>
      <c r="F71" s="707" t="s">
        <v>9601</v>
      </c>
      <c r="G71" s="717"/>
      <c r="H71" s="114"/>
      <c r="I71" s="221"/>
      <c r="J71" s="50"/>
      <c r="K71" s="44"/>
      <c r="L71" s="247"/>
      <c r="M71" s="46"/>
      <c r="N71" s="72"/>
      <c r="P71" s="234"/>
      <c r="Q71" s="253"/>
      <c r="R71" s="50"/>
      <c r="S71" s="208">
        <f>ROUND((_11_A家事１．０*(1+_11・A深夜)),0)+_11_B家事１．０＿０．５</f>
        <v>372</v>
      </c>
      <c r="T71" s="48"/>
    </row>
    <row r="72" spans="1:20" ht="16.5" customHeight="1" x14ac:dyDescent="0.15">
      <c r="A72" s="41">
        <v>11</v>
      </c>
      <c r="B72" s="41">
        <v>6376</v>
      </c>
      <c r="C72" s="74" t="s">
        <v>10309</v>
      </c>
      <c r="D72" s="72"/>
      <c r="F72" s="709"/>
      <c r="G72" s="718"/>
      <c r="H72" s="122"/>
      <c r="I72" s="216"/>
      <c r="J72" s="38"/>
      <c r="K72" s="44" t="s">
        <v>397</v>
      </c>
      <c r="L72" s="247" t="s">
        <v>398</v>
      </c>
      <c r="M72" s="46">
        <v>1</v>
      </c>
      <c r="N72" s="35"/>
      <c r="P72" s="234"/>
      <c r="S72" s="208">
        <f>ROUND((ROUND((_11_A家事１．０*_11・２人),0)*(1+_11・A深夜)),0)+ROUND((_11_B家事１．０＿０．５*_11・２人),0)</f>
        <v>372</v>
      </c>
      <c r="T72" s="48"/>
    </row>
    <row r="73" spans="1:20" ht="16.5" customHeight="1" x14ac:dyDescent="0.15">
      <c r="A73" s="41">
        <v>11</v>
      </c>
      <c r="B73" s="41">
        <v>6377</v>
      </c>
      <c r="C73" s="74" t="s">
        <v>10310</v>
      </c>
      <c r="D73" s="72"/>
      <c r="F73" s="709"/>
      <c r="G73" s="718"/>
      <c r="H73" s="752" t="s">
        <v>400</v>
      </c>
      <c r="I73" s="221" t="s">
        <v>398</v>
      </c>
      <c r="J73" s="50">
        <v>0.9</v>
      </c>
      <c r="K73" s="44"/>
      <c r="L73" s="247"/>
      <c r="M73" s="46"/>
      <c r="N73" s="35"/>
      <c r="P73" s="234"/>
      <c r="S73" s="208">
        <f>ROUND((ROUND((_11_A家事１．０*_11・基礎２),0)*(1+_11・A深夜)),0)+ROUND((_11_B家事１．０＿０．５*_11・基礎２),0)</f>
        <v>334</v>
      </c>
      <c r="T73" s="48"/>
    </row>
    <row r="74" spans="1:20" ht="16.5" customHeight="1" x14ac:dyDescent="0.15">
      <c r="A74" s="41">
        <v>11</v>
      </c>
      <c r="B74" s="41">
        <v>6378</v>
      </c>
      <c r="C74" s="74" t="s">
        <v>10311</v>
      </c>
      <c r="D74" s="72"/>
      <c r="F74" s="125">
        <f>_11_B家事１．０＿０．５</f>
        <v>78</v>
      </c>
      <c r="G74" s="12" t="s">
        <v>392</v>
      </c>
      <c r="H74" s="757"/>
      <c r="I74" s="216"/>
      <c r="J74" s="38"/>
      <c r="K74" s="44" t="s">
        <v>397</v>
      </c>
      <c r="L74" s="247" t="s">
        <v>398</v>
      </c>
      <c r="M74" s="46">
        <v>1</v>
      </c>
      <c r="N74" s="35"/>
      <c r="P74" s="234"/>
      <c r="S74" s="208">
        <f>ROUND((ROUND((ROUND((_11_A家事１．０*_11・基礎２),0)*_11・２人),0)*(1+_11・A深夜)),0)+ROUND((ROUND((_11_B家事１．０＿０．５*_11・基礎２),0)*_11・２人),0)</f>
        <v>334</v>
      </c>
      <c r="T74" s="48"/>
    </row>
    <row r="75" spans="1:20" ht="16.5" customHeight="1" x14ac:dyDescent="0.15">
      <c r="A75" s="41">
        <v>11</v>
      </c>
      <c r="B75" s="41" t="s">
        <v>10312</v>
      </c>
      <c r="C75" s="74" t="s">
        <v>10313</v>
      </c>
      <c r="D75" s="72"/>
      <c r="F75" s="72"/>
      <c r="H75" s="114"/>
      <c r="I75" s="221"/>
      <c r="J75" s="50"/>
      <c r="K75" s="44"/>
      <c r="L75" s="247"/>
      <c r="M75" s="46"/>
      <c r="N75" s="35"/>
      <c r="P75" s="234"/>
      <c r="Q75" s="708" t="s">
        <v>404</v>
      </c>
      <c r="R75" s="708"/>
      <c r="S75" s="208">
        <f>ROUND((ROUND((_11_A家事１．０*(1+_11・A深夜)),0)*_11・初任),0)+ROUND((_11_B家事１．０＿０．５*_11・初任),0)</f>
        <v>261</v>
      </c>
      <c r="T75" s="48"/>
    </row>
    <row r="76" spans="1:20" ht="16.5" customHeight="1" x14ac:dyDescent="0.15">
      <c r="A76" s="41">
        <v>11</v>
      </c>
      <c r="B76" s="41" t="s">
        <v>10314</v>
      </c>
      <c r="C76" s="74" t="s">
        <v>10315</v>
      </c>
      <c r="D76" s="72"/>
      <c r="F76" s="72"/>
      <c r="H76" s="122"/>
      <c r="I76" s="216"/>
      <c r="J76" s="38"/>
      <c r="K76" s="44" t="s">
        <v>397</v>
      </c>
      <c r="L76" s="247" t="s">
        <v>398</v>
      </c>
      <c r="M76" s="46">
        <v>1</v>
      </c>
      <c r="N76" s="35"/>
      <c r="P76" s="234"/>
      <c r="Q76" s="704"/>
      <c r="R76" s="704"/>
      <c r="S76" s="208">
        <f>ROUND((ROUND((ROUND((_11_A家事１．０*_11・２人),0)*(1+_11・A深夜)),0)*_11・初任),0)+ROUND((ROUND((_11_B家事１．０＿０．５*_11・２人),0)*_11・初任),0)</f>
        <v>261</v>
      </c>
      <c r="T76" s="48"/>
    </row>
    <row r="77" spans="1:20" ht="16.5" customHeight="1" x14ac:dyDescent="0.15">
      <c r="A77" s="41">
        <v>11</v>
      </c>
      <c r="B77" s="41" t="s">
        <v>10316</v>
      </c>
      <c r="C77" s="74" t="s">
        <v>10317</v>
      </c>
      <c r="D77" s="72"/>
      <c r="F77" s="72"/>
      <c r="H77" s="752" t="s">
        <v>400</v>
      </c>
      <c r="I77" s="221" t="s">
        <v>398</v>
      </c>
      <c r="J77" s="50">
        <v>0.9</v>
      </c>
      <c r="K77" s="44"/>
      <c r="L77" s="247"/>
      <c r="M77" s="46"/>
      <c r="N77" s="35"/>
      <c r="P77" s="234"/>
      <c r="Q77" s="704"/>
      <c r="R77" s="704"/>
      <c r="S77" s="208">
        <f>ROUND((ROUND((ROUND((_11_A家事１．０*_11・基礎２),0)*(1+_11・A深夜)),0)*_11・初任),0)+ROUND((ROUND((_11_B家事１．０＿０．５*_11・基礎２),0)*_11・初任),0)</f>
        <v>234</v>
      </c>
      <c r="T77" s="48"/>
    </row>
    <row r="78" spans="1:20" ht="16.5" customHeight="1" x14ac:dyDescent="0.15">
      <c r="A78" s="41">
        <v>11</v>
      </c>
      <c r="B78" s="41" t="s">
        <v>10318</v>
      </c>
      <c r="C78" s="74" t="s">
        <v>10319</v>
      </c>
      <c r="D78" s="72"/>
      <c r="F78" s="72"/>
      <c r="H78" s="757"/>
      <c r="I78" s="216"/>
      <c r="J78" s="38"/>
      <c r="K78" s="44" t="s">
        <v>397</v>
      </c>
      <c r="L78" s="247" t="s">
        <v>398</v>
      </c>
      <c r="M78" s="46">
        <v>1</v>
      </c>
      <c r="N78" s="35"/>
      <c r="P78" s="234"/>
      <c r="Q78" s="252" t="s">
        <v>398</v>
      </c>
      <c r="R78" s="38">
        <f>_11・初任</f>
        <v>0.7</v>
      </c>
      <c r="S78" s="208">
        <f>ROUND((ROUND((ROUND((ROUND((_11_A家事１．０*_11・基礎２),0)*_11・２人),0)*(1+_11・A深夜)),0)*_11・初任),0)+ROUND((ROUND((ROUND((_11_B家事１．０＿０．５*_11・基礎２),0)*_11・２人),0)*_11・初任),0)</f>
        <v>234</v>
      </c>
      <c r="T78" s="48"/>
    </row>
    <row r="79" spans="1:20" ht="16.5" customHeight="1" x14ac:dyDescent="0.15">
      <c r="A79" s="41">
        <v>11</v>
      </c>
      <c r="B79" s="41">
        <v>8027</v>
      </c>
      <c r="C79" s="74" t="s">
        <v>10320</v>
      </c>
      <c r="D79" s="707" t="s">
        <v>9176</v>
      </c>
      <c r="E79" s="717"/>
      <c r="F79" s="707" t="s">
        <v>9588</v>
      </c>
      <c r="G79" s="717"/>
      <c r="H79" s="114"/>
      <c r="I79" s="221"/>
      <c r="J79" s="50"/>
      <c r="K79" s="44"/>
      <c r="L79" s="247"/>
      <c r="M79" s="46"/>
      <c r="N79" s="35"/>
      <c r="P79" s="234"/>
      <c r="Q79" s="53"/>
      <c r="R79" s="50"/>
      <c r="S79" s="208">
        <f>ROUND((_11_A家事１．２５*(1+_11・A深夜)),0)+_11_B家事１．２５＿０．２５</f>
        <v>393</v>
      </c>
      <c r="T79" s="48"/>
    </row>
    <row r="80" spans="1:20" ht="16.5" customHeight="1" x14ac:dyDescent="0.15">
      <c r="A80" s="41">
        <v>11</v>
      </c>
      <c r="B80" s="41">
        <v>8028</v>
      </c>
      <c r="C80" s="74" t="s">
        <v>10321</v>
      </c>
      <c r="D80" s="709"/>
      <c r="E80" s="718"/>
      <c r="F80" s="709"/>
      <c r="G80" s="718"/>
      <c r="H80" s="122"/>
      <c r="I80" s="216"/>
      <c r="J80" s="38"/>
      <c r="K80" s="44" t="s">
        <v>397</v>
      </c>
      <c r="L80" s="247" t="s">
        <v>398</v>
      </c>
      <c r="M80" s="46">
        <v>1</v>
      </c>
      <c r="N80" s="35"/>
      <c r="P80" s="234"/>
      <c r="Q80" s="35"/>
      <c r="S80" s="208">
        <f>ROUND((ROUND((_11_A家事１．２５*_11・２人),0)*(1+_11・A深夜)),0)+ROUND((_11_B家事１．２５＿０．２５*_11・２人),0)</f>
        <v>393</v>
      </c>
      <c r="T80" s="48"/>
    </row>
    <row r="81" spans="1:20" ht="16.5" customHeight="1" x14ac:dyDescent="0.15">
      <c r="A81" s="41">
        <v>11</v>
      </c>
      <c r="B81" s="41">
        <v>8029</v>
      </c>
      <c r="C81" s="74" t="s">
        <v>10322</v>
      </c>
      <c r="D81" s="709"/>
      <c r="E81" s="718"/>
      <c r="F81" s="709"/>
      <c r="G81" s="718"/>
      <c r="H81" s="752" t="s">
        <v>400</v>
      </c>
      <c r="I81" s="221" t="s">
        <v>398</v>
      </c>
      <c r="J81" s="50">
        <v>0.9</v>
      </c>
      <c r="K81" s="44"/>
      <c r="L81" s="247"/>
      <c r="M81" s="46"/>
      <c r="N81" s="35"/>
      <c r="P81" s="234"/>
      <c r="Q81" s="35"/>
      <c r="S81" s="208">
        <f>ROUND((ROUND((_11_A家事１．２５*_11・基礎２),0)*(1+_11・A深夜)),0)+ROUND((_11_B家事１．２５＿０．２５*_11・基礎２),0)</f>
        <v>353</v>
      </c>
      <c r="T81" s="48"/>
    </row>
    <row r="82" spans="1:20" ht="16.5" customHeight="1" x14ac:dyDescent="0.15">
      <c r="A82" s="41">
        <v>11</v>
      </c>
      <c r="B82" s="41">
        <v>8030</v>
      </c>
      <c r="C82" s="74" t="s">
        <v>10323</v>
      </c>
      <c r="D82" s="125">
        <f>_11_A家事１．２５</f>
        <v>238</v>
      </c>
      <c r="E82" s="12" t="s">
        <v>392</v>
      </c>
      <c r="F82" s="125">
        <f>_11_B家事１．２５＿０．２５</f>
        <v>36</v>
      </c>
      <c r="G82" s="12" t="s">
        <v>392</v>
      </c>
      <c r="H82" s="757"/>
      <c r="I82" s="216"/>
      <c r="J82" s="38"/>
      <c r="K82" s="44" t="s">
        <v>397</v>
      </c>
      <c r="L82" s="247" t="s">
        <v>398</v>
      </c>
      <c r="M82" s="46">
        <v>1</v>
      </c>
      <c r="N82" s="35"/>
      <c r="Q82" s="43"/>
      <c r="R82" s="38"/>
      <c r="S82" s="208">
        <f>ROUND((ROUND((ROUND((_11_A家事１．２５*_11・基礎２),0)*_11・２人),0)*(1+_11・A深夜)),0)+ROUND((ROUND((_11_B家事１．２５＿０．２５*_11・基礎２),0)*_11・２人),0)</f>
        <v>353</v>
      </c>
      <c r="T82" s="48"/>
    </row>
    <row r="83" spans="1:20" ht="16.5" customHeight="1" x14ac:dyDescent="0.15">
      <c r="A83" s="41">
        <v>11</v>
      </c>
      <c r="B83" s="41" t="s">
        <v>10324</v>
      </c>
      <c r="C83" s="74" t="s">
        <v>10325</v>
      </c>
      <c r="D83" s="72"/>
      <c r="F83" s="72"/>
      <c r="H83" s="114"/>
      <c r="I83" s="221"/>
      <c r="J83" s="50"/>
      <c r="K83" s="44"/>
      <c r="L83" s="247"/>
      <c r="M83" s="46"/>
      <c r="N83" s="35"/>
      <c r="Q83" s="707" t="s">
        <v>404</v>
      </c>
      <c r="R83" s="708"/>
      <c r="S83" s="208">
        <f>ROUND((ROUND((_11_A家事１．２５*(1+_11・A深夜)),0)*_11・初任),0)+ROUND((_11_B家事１．２５＿０．２５*_11・初任),0)</f>
        <v>275</v>
      </c>
      <c r="T83" s="48"/>
    </row>
    <row r="84" spans="1:20" ht="16.5" customHeight="1" x14ac:dyDescent="0.15">
      <c r="A84" s="41">
        <v>11</v>
      </c>
      <c r="B84" s="41" t="s">
        <v>10326</v>
      </c>
      <c r="C84" s="74" t="s">
        <v>10327</v>
      </c>
      <c r="D84" s="72"/>
      <c r="F84" s="72"/>
      <c r="H84" s="122"/>
      <c r="I84" s="216"/>
      <c r="J84" s="38"/>
      <c r="K84" s="44" t="s">
        <v>397</v>
      </c>
      <c r="L84" s="247" t="s">
        <v>398</v>
      </c>
      <c r="M84" s="46">
        <v>1</v>
      </c>
      <c r="N84" s="35"/>
      <c r="Q84" s="709"/>
      <c r="R84" s="704"/>
      <c r="S84" s="208">
        <f>ROUND((ROUND((ROUND((_11_A家事１．２５*_11・２人),0)*(1+_11・A深夜)),0)*_11・初任),0)+ROUND((ROUND((_11_B家事１．２５＿０．２５*_11・２人),0)*_11・初任),0)</f>
        <v>275</v>
      </c>
      <c r="T84" s="48"/>
    </row>
    <row r="85" spans="1:20" ht="16.5" customHeight="1" x14ac:dyDescent="0.15">
      <c r="A85" s="41">
        <v>11</v>
      </c>
      <c r="B85" s="41" t="s">
        <v>10328</v>
      </c>
      <c r="C85" s="74" t="s">
        <v>10329</v>
      </c>
      <c r="D85" s="72"/>
      <c r="F85" s="72"/>
      <c r="H85" s="752" t="s">
        <v>400</v>
      </c>
      <c r="I85" s="221" t="s">
        <v>398</v>
      </c>
      <c r="J85" s="50">
        <v>0.9</v>
      </c>
      <c r="K85" s="44"/>
      <c r="L85" s="247"/>
      <c r="M85" s="46"/>
      <c r="N85" s="35"/>
      <c r="Q85" s="709"/>
      <c r="R85" s="704"/>
      <c r="S85" s="208">
        <f>ROUND((ROUND((ROUND((_11_A家事１．２５*_11・基礎２),0)*(1+_11・A深夜)),0)*_11・初任),0)+ROUND((ROUND((_11_B家事１．２５＿０．２５*_11・基礎２),0)*_11・初任),0)</f>
        <v>247</v>
      </c>
      <c r="T85" s="48"/>
    </row>
    <row r="86" spans="1:20" ht="16.5" customHeight="1" x14ac:dyDescent="0.15">
      <c r="A86" s="41">
        <v>11</v>
      </c>
      <c r="B86" s="41" t="s">
        <v>10330</v>
      </c>
      <c r="C86" s="74" t="s">
        <v>10331</v>
      </c>
      <c r="D86" s="122"/>
      <c r="E86" s="37"/>
      <c r="F86" s="122"/>
      <c r="G86" s="37"/>
      <c r="H86" s="757"/>
      <c r="I86" s="216"/>
      <c r="J86" s="38"/>
      <c r="K86" s="44" t="s">
        <v>397</v>
      </c>
      <c r="L86" s="247" t="s">
        <v>398</v>
      </c>
      <c r="M86" s="46">
        <v>1</v>
      </c>
      <c r="N86" s="43"/>
      <c r="O86" s="37"/>
      <c r="P86" s="38"/>
      <c r="Q86" s="240" t="s">
        <v>398</v>
      </c>
      <c r="R86" s="38">
        <f>_11・初任</f>
        <v>0.7</v>
      </c>
      <c r="S86" s="208">
        <f>ROUND((ROUND((ROUND((ROUND((_11_A家事１．２５*_11・基礎２),0)*_11・２人),0)*(1+_11・A深夜)),0)*_11・初任),0)+ROUND((ROUND((ROUND((_11_B家事１．２５＿０．２５*_11・基礎２),0)*_11・２人),0)*_11・初任),0)</f>
        <v>247</v>
      </c>
      <c r="T86" s="63"/>
    </row>
    <row r="87" spans="1:20" ht="16.5" customHeight="1" x14ac:dyDescent="0.15">
      <c r="S87" s="206"/>
    </row>
    <row r="88" spans="1:20" s="9" customFormat="1" ht="16.5" customHeight="1" x14ac:dyDescent="0.15">
      <c r="C88" s="10"/>
      <c r="D88" s="10"/>
      <c r="E88" s="12"/>
      <c r="F88" s="10"/>
      <c r="G88" s="12"/>
      <c r="H88" s="10"/>
      <c r="I88" s="16"/>
      <c r="J88" s="13"/>
      <c r="K88" s="14"/>
      <c r="L88" s="16"/>
      <c r="M88" s="13"/>
      <c r="N88" s="12"/>
      <c r="O88" s="12"/>
      <c r="P88" s="13"/>
      <c r="Q88" s="10"/>
      <c r="R88" s="13"/>
      <c r="S88" s="15"/>
      <c r="T88" s="16"/>
    </row>
    <row r="89" spans="1:20" s="9" customFormat="1" ht="16.5" customHeight="1" x14ac:dyDescent="0.15">
      <c r="C89" s="10"/>
      <c r="D89" s="10"/>
      <c r="E89" s="12"/>
      <c r="F89" s="10"/>
      <c r="G89" s="12"/>
      <c r="H89" s="10"/>
      <c r="I89" s="16"/>
      <c r="J89" s="13"/>
      <c r="K89" s="14"/>
      <c r="L89" s="16"/>
      <c r="M89" s="13"/>
      <c r="N89" s="12"/>
      <c r="O89" s="12"/>
      <c r="P89" s="13"/>
      <c r="Q89" s="10"/>
      <c r="R89" s="13"/>
      <c r="S89" s="15"/>
      <c r="T89" s="16"/>
    </row>
  </sheetData>
  <mergeCells count="45">
    <mergeCell ref="Q83:R85"/>
    <mergeCell ref="H85:H86"/>
    <mergeCell ref="D63:E65"/>
    <mergeCell ref="F63:G65"/>
    <mergeCell ref="H65:H66"/>
    <mergeCell ref="Q67:R69"/>
    <mergeCell ref="H69:H70"/>
    <mergeCell ref="F71:G73"/>
    <mergeCell ref="H73:H74"/>
    <mergeCell ref="Q75:R77"/>
    <mergeCell ref="H77:H78"/>
    <mergeCell ref="D79:E81"/>
    <mergeCell ref="F79:G81"/>
    <mergeCell ref="H81:H82"/>
    <mergeCell ref="Q51:R53"/>
    <mergeCell ref="H53:H54"/>
    <mergeCell ref="F55:G57"/>
    <mergeCell ref="H57:H58"/>
    <mergeCell ref="Q59:R61"/>
    <mergeCell ref="H61:H62"/>
    <mergeCell ref="D39:E41"/>
    <mergeCell ref="F39:G41"/>
    <mergeCell ref="H41:H42"/>
    <mergeCell ref="Q43:R45"/>
    <mergeCell ref="H45:H46"/>
    <mergeCell ref="F47:G49"/>
    <mergeCell ref="H49:H50"/>
    <mergeCell ref="Q27:R29"/>
    <mergeCell ref="H29:H30"/>
    <mergeCell ref="F31:G33"/>
    <mergeCell ref="H33:H34"/>
    <mergeCell ref="Q35:R37"/>
    <mergeCell ref="H37:H38"/>
    <mergeCell ref="F15:G17"/>
    <mergeCell ref="H17:H18"/>
    <mergeCell ref="Q19:R21"/>
    <mergeCell ref="H21:H22"/>
    <mergeCell ref="F23:G25"/>
    <mergeCell ref="H25:H26"/>
    <mergeCell ref="D7:E9"/>
    <mergeCell ref="F7:G9"/>
    <mergeCell ref="P8:P9"/>
    <mergeCell ref="H9:H10"/>
    <mergeCell ref="Q11:R13"/>
    <mergeCell ref="H13:H14"/>
  </mergeCells>
  <phoneticPr fontId="1"/>
  <printOptions horizontalCentered="1"/>
  <pageMargins left="0.70866141732283472" right="0.70866141732283472" top="0.74803149606299213" bottom="0.74803149606299213" header="0.31496062992125984" footer="0.31496062992125984"/>
  <pageSetup paperSize="9" scale="51" fitToHeight="0" orientation="portrait" r:id="rId1"/>
  <headerFooter>
    <oddHeader>&amp;R&amp;"ＭＳ Ｐゴシック"&amp;9居宅介護</oddHeader>
    <oddFooter>&amp;C&amp;"ＭＳ Ｐゴシック"&amp;14&amp;P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6">
    <pageSetUpPr fitToPage="1"/>
  </sheetPr>
  <dimension ref="A1:Y8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6" style="10" bestFit="1" customWidth="1"/>
    <col min="4" max="4" width="4.875" style="10" customWidth="1"/>
    <col min="5" max="5" width="4.875" style="12" customWidth="1"/>
    <col min="6" max="6" width="4.875" style="10" customWidth="1"/>
    <col min="7" max="7" width="4.875" style="12" customWidth="1"/>
    <col min="8" max="8" width="4.875" style="10" customWidth="1"/>
    <col min="9" max="9" width="4.875" style="12" customWidth="1"/>
    <col min="10" max="10" width="11.875" style="10" customWidth="1"/>
    <col min="11" max="11" width="2.5" style="16" customWidth="1"/>
    <col min="12" max="12" width="4.5" style="13" bestFit="1" customWidth="1"/>
    <col min="13" max="13" width="24.125" style="14" bestFit="1" customWidth="1"/>
    <col min="14" max="14" width="2.5" style="16" customWidth="1"/>
    <col min="15" max="15" width="5.5" style="13" bestFit="1" customWidth="1"/>
    <col min="16" max="16" width="2.5" style="12" customWidth="1"/>
    <col min="17" max="17" width="3.875" style="12" customWidth="1"/>
    <col min="18" max="18" width="4.5" style="13" customWidth="1"/>
    <col min="19" max="19" width="2.5" style="12" customWidth="1"/>
    <col min="20" max="20" width="3.875" style="12" customWidth="1"/>
    <col min="21" max="21" width="4.5" style="13" customWidth="1"/>
    <col min="22" max="22" width="9.875" style="10" customWidth="1"/>
    <col min="23" max="23" width="4.5" style="13" bestFit="1" customWidth="1"/>
    <col min="24" max="24" width="7.125" style="15" customWidth="1"/>
    <col min="25" max="25" width="8.5" style="16" customWidth="1"/>
    <col min="26" max="16384" width="8.875" style="12"/>
  </cols>
  <sheetData>
    <row r="1" spans="1:25" ht="17.100000000000001" customHeight="1" x14ac:dyDescent="0.15"/>
    <row r="2" spans="1:25" ht="17.100000000000001" customHeight="1" x14ac:dyDescent="0.15"/>
    <row r="3" spans="1:25" ht="17.100000000000001" customHeight="1" x14ac:dyDescent="0.15">
      <c r="X3" s="206"/>
    </row>
    <row r="4" spans="1:25" ht="17.100000000000001" customHeight="1" x14ac:dyDescent="0.15">
      <c r="B4" s="17" t="s">
        <v>10332</v>
      </c>
      <c r="D4" s="71"/>
      <c r="X4" s="206"/>
    </row>
    <row r="5" spans="1:25" ht="16.5" customHeight="1" x14ac:dyDescent="0.15">
      <c r="A5" s="19" t="s">
        <v>384</v>
      </c>
      <c r="B5" s="20"/>
      <c r="C5" s="21" t="s">
        <v>385</v>
      </c>
      <c r="D5" s="235" t="s">
        <v>386</v>
      </c>
      <c r="E5" s="23"/>
      <c r="F5" s="23"/>
      <c r="G5" s="23"/>
      <c r="H5" s="23"/>
      <c r="I5" s="23"/>
      <c r="J5" s="23"/>
      <c r="K5" s="23"/>
      <c r="L5" s="24"/>
      <c r="M5" s="23"/>
      <c r="N5" s="23"/>
      <c r="O5" s="24"/>
      <c r="P5" s="23"/>
      <c r="Q5" s="23"/>
      <c r="R5" s="24"/>
      <c r="S5" s="23"/>
      <c r="T5" s="23"/>
      <c r="U5" s="24"/>
      <c r="V5" s="23"/>
      <c r="W5" s="24"/>
      <c r="X5" s="21" t="s">
        <v>387</v>
      </c>
      <c r="Y5" s="21" t="s">
        <v>388</v>
      </c>
    </row>
    <row r="6" spans="1:25" ht="16.5" customHeight="1" x14ac:dyDescent="0.15">
      <c r="A6" s="26" t="s">
        <v>389</v>
      </c>
      <c r="B6" s="26" t="s">
        <v>390</v>
      </c>
      <c r="C6" s="27"/>
      <c r="D6" s="159"/>
      <c r="E6" s="29"/>
      <c r="F6" s="87" t="s">
        <v>1032</v>
      </c>
      <c r="G6" s="187"/>
      <c r="H6" s="87" t="s">
        <v>1033</v>
      </c>
      <c r="I6" s="20"/>
      <c r="J6" s="29"/>
      <c r="K6" s="214"/>
      <c r="L6" s="30"/>
      <c r="M6" s="29"/>
      <c r="N6" s="214"/>
      <c r="O6" s="30"/>
      <c r="P6" s="29"/>
      <c r="Q6" s="29"/>
      <c r="R6" s="30"/>
      <c r="S6" s="29"/>
      <c r="T6" s="29"/>
      <c r="U6" s="30"/>
      <c r="V6" s="29"/>
      <c r="W6" s="30"/>
      <c r="X6" s="32" t="s">
        <v>391</v>
      </c>
      <c r="Y6" s="32" t="s">
        <v>392</v>
      </c>
    </row>
    <row r="7" spans="1:25" ht="16.5" customHeight="1" x14ac:dyDescent="0.15">
      <c r="A7" s="33">
        <v>11</v>
      </c>
      <c r="B7" s="33">
        <v>8031</v>
      </c>
      <c r="C7" s="34" t="s">
        <v>10333</v>
      </c>
      <c r="D7" s="709" t="s">
        <v>394</v>
      </c>
      <c r="E7" s="718"/>
      <c r="F7" s="709" t="s">
        <v>9713</v>
      </c>
      <c r="G7" s="718"/>
      <c r="H7" s="709" t="s">
        <v>9967</v>
      </c>
      <c r="I7" s="718"/>
      <c r="J7" s="72"/>
      <c r="M7" s="36"/>
      <c r="N7" s="246"/>
      <c r="O7" s="38"/>
      <c r="P7" s="92" t="s">
        <v>1416</v>
      </c>
      <c r="R7" s="234"/>
      <c r="S7" s="72" t="s">
        <v>1618</v>
      </c>
      <c r="T7" s="254"/>
      <c r="U7" s="234"/>
      <c r="X7" s="207">
        <f>_11_A家事０．５+ROUND((_11_B家事０．５＿０．２５*(1+_11・B夜間)),0)+ROUND((_11_C家事０．５＿０．２５＿０．２５*(1+_11・C深夜)),0)</f>
        <v>230</v>
      </c>
      <c r="Y7" s="40" t="s">
        <v>395</v>
      </c>
    </row>
    <row r="8" spans="1:25" ht="16.5" customHeight="1" x14ac:dyDescent="0.15">
      <c r="A8" s="41">
        <v>11</v>
      </c>
      <c r="B8" s="41">
        <v>8032</v>
      </c>
      <c r="C8" s="74" t="s">
        <v>10334</v>
      </c>
      <c r="D8" s="709"/>
      <c r="E8" s="718"/>
      <c r="F8" s="709"/>
      <c r="G8" s="718"/>
      <c r="H8" s="709"/>
      <c r="I8" s="718"/>
      <c r="J8" s="122"/>
      <c r="K8" s="216"/>
      <c r="L8" s="38"/>
      <c r="M8" s="44" t="s">
        <v>397</v>
      </c>
      <c r="N8" s="247" t="s">
        <v>398</v>
      </c>
      <c r="O8" s="46">
        <v>1</v>
      </c>
      <c r="P8" s="92" t="s">
        <v>398</v>
      </c>
      <c r="Q8" s="13">
        <v>0.25</v>
      </c>
      <c r="R8" s="718" t="s">
        <v>676</v>
      </c>
      <c r="S8" s="92" t="s">
        <v>398</v>
      </c>
      <c r="T8" s="13">
        <v>0.5</v>
      </c>
      <c r="U8" s="718" t="s">
        <v>676</v>
      </c>
      <c r="X8" s="208">
        <f>ROUND((_11_A家事０．５*_11・２人),0)+ROUND((ROUND((_11_B家事０．５＿０．２５*_11・２人),0)*(1+_11・B夜間)),0)+ROUND((ROUND((_11_C家事０．５＿０．２５＿０．２５*_11・２人),0)*(1+_11・C深夜)),0)</f>
        <v>230</v>
      </c>
      <c r="Y8" s="48"/>
    </row>
    <row r="9" spans="1:25" ht="16.5" customHeight="1" x14ac:dyDescent="0.15">
      <c r="A9" s="41">
        <v>11</v>
      </c>
      <c r="B9" s="41">
        <v>8033</v>
      </c>
      <c r="C9" s="74" t="s">
        <v>10335</v>
      </c>
      <c r="D9" s="709"/>
      <c r="E9" s="718"/>
      <c r="F9" s="709"/>
      <c r="G9" s="718"/>
      <c r="H9" s="709"/>
      <c r="I9" s="718"/>
      <c r="J9" s="752" t="s">
        <v>400</v>
      </c>
      <c r="K9" s="221" t="s">
        <v>398</v>
      </c>
      <c r="L9" s="50">
        <v>0.9</v>
      </c>
      <c r="M9" s="44"/>
      <c r="N9" s="247"/>
      <c r="O9" s="46"/>
      <c r="P9" s="35"/>
      <c r="R9" s="796"/>
      <c r="S9" s="35"/>
      <c r="U9" s="796"/>
      <c r="X9" s="208">
        <f>ROUND((_11_A家事０．５*_11・基礎２),0)+ROUND((ROUND((_11_B家事０．５＿０．２５*_11・基礎２),0)*(1+_11・B夜間)),0)+ROUND((ROUND((_11_C家事０．５＿０．２５＿０．２５*_11・基礎２),0)*(1+_11・C深夜)),0)</f>
        <v>208</v>
      </c>
      <c r="Y9" s="48"/>
    </row>
    <row r="10" spans="1:25" ht="16.5" customHeight="1" x14ac:dyDescent="0.15">
      <c r="A10" s="41">
        <v>11</v>
      </c>
      <c r="B10" s="41">
        <v>8034</v>
      </c>
      <c r="C10" s="74" t="s">
        <v>10336</v>
      </c>
      <c r="D10" s="125">
        <f>_11_A家事０．５</f>
        <v>105</v>
      </c>
      <c r="E10" s="12" t="s">
        <v>392</v>
      </c>
      <c r="F10" s="125">
        <f>_11_B家事０．５＿０．２５</f>
        <v>47</v>
      </c>
      <c r="G10" s="12" t="s">
        <v>392</v>
      </c>
      <c r="H10" s="125">
        <f>_11_C家事０．５＿０．２５＿０．２５</f>
        <v>44</v>
      </c>
      <c r="I10" s="12" t="s">
        <v>392</v>
      </c>
      <c r="J10" s="757"/>
      <c r="K10" s="216"/>
      <c r="L10" s="38"/>
      <c r="M10" s="44" t="s">
        <v>397</v>
      </c>
      <c r="N10" s="247" t="s">
        <v>398</v>
      </c>
      <c r="O10" s="46">
        <v>1</v>
      </c>
      <c r="P10" s="35"/>
      <c r="R10" s="234"/>
      <c r="S10" s="35"/>
      <c r="U10" s="234"/>
      <c r="X10" s="208">
        <f>ROUND((ROUND((_11_A家事０．５*_11・基礎２),0)*_11・２人),0)+ROUND((ROUND((ROUND((_11_B家事０．５＿０．２５*_11・基礎２),0)*_11・２人),0)*(1+_11・B夜間)),0)+ROUND((ROUND((ROUND((_11_C家事０．５＿０．２５＿０．２５*_11・基礎２),0)*_11・２人),0)*(1+_11・C深夜)),0)</f>
        <v>208</v>
      </c>
      <c r="Y10" s="48"/>
    </row>
    <row r="11" spans="1:25" ht="16.5" customHeight="1" x14ac:dyDescent="0.15">
      <c r="A11" s="41">
        <v>11</v>
      </c>
      <c r="B11" s="41" t="s">
        <v>10337</v>
      </c>
      <c r="C11" s="74" t="s">
        <v>10338</v>
      </c>
      <c r="D11" s="72"/>
      <c r="F11" s="72"/>
      <c r="H11" s="72"/>
      <c r="J11" s="114"/>
      <c r="K11" s="221"/>
      <c r="L11" s="50"/>
      <c r="M11" s="44"/>
      <c r="N11" s="247"/>
      <c r="O11" s="46"/>
      <c r="P11" s="35"/>
      <c r="R11" s="234"/>
      <c r="S11" s="35"/>
      <c r="U11" s="234"/>
      <c r="V11" s="707" t="s">
        <v>404</v>
      </c>
      <c r="W11" s="708"/>
      <c r="X11" s="208">
        <f>ROUND((_11_A家事０．５*_11・初任),0)+ROUND((ROUND((_11_B家事０．５＿０．２５*(1+_11・B夜間)),0)*_11・初任),0)+ROUND((ROUND((_11_C家事０．５＿０．２５＿０．２５*(1+_11・C深夜)),0)*_11・初任),0)</f>
        <v>161</v>
      </c>
      <c r="Y11" s="48"/>
    </row>
    <row r="12" spans="1:25" ht="16.5" customHeight="1" x14ac:dyDescent="0.15">
      <c r="A12" s="41">
        <v>11</v>
      </c>
      <c r="B12" s="41" t="s">
        <v>10339</v>
      </c>
      <c r="C12" s="74" t="s">
        <v>10340</v>
      </c>
      <c r="D12" s="72"/>
      <c r="F12" s="72"/>
      <c r="H12" s="72"/>
      <c r="J12" s="122"/>
      <c r="K12" s="216"/>
      <c r="L12" s="38"/>
      <c r="M12" s="44" t="s">
        <v>397</v>
      </c>
      <c r="N12" s="247" t="s">
        <v>398</v>
      </c>
      <c r="O12" s="46">
        <v>1</v>
      </c>
      <c r="P12" s="35"/>
      <c r="R12" s="234"/>
      <c r="S12" s="35"/>
      <c r="U12" s="234"/>
      <c r="V12" s="709"/>
      <c r="W12" s="704"/>
      <c r="X12" s="208">
        <f>ROUND((ROUND((_11_A家事０．５*_11・２人),0)*_11・初任),0)+ROUND((ROUND((ROUND((_11_B家事０．５＿０．２５*_11・２人),0)*(1+_11・B夜間)),0)*_11・初任),0)+ROUND((ROUND((ROUND((_11_C家事０．５＿０．２５＿０．２５*_11・２人),0)*(1+_11・C深夜)),0)*_11・初任),0)</f>
        <v>161</v>
      </c>
      <c r="Y12" s="48"/>
    </row>
    <row r="13" spans="1:25" ht="16.5" customHeight="1" x14ac:dyDescent="0.15">
      <c r="A13" s="41">
        <v>11</v>
      </c>
      <c r="B13" s="41" t="s">
        <v>10341</v>
      </c>
      <c r="C13" s="74" t="s">
        <v>10342</v>
      </c>
      <c r="D13" s="72"/>
      <c r="F13" s="72"/>
      <c r="H13" s="72"/>
      <c r="J13" s="752" t="s">
        <v>400</v>
      </c>
      <c r="K13" s="221" t="s">
        <v>398</v>
      </c>
      <c r="L13" s="50">
        <v>0.9</v>
      </c>
      <c r="M13" s="44"/>
      <c r="N13" s="247"/>
      <c r="O13" s="46"/>
      <c r="P13" s="35"/>
      <c r="R13" s="234"/>
      <c r="S13" s="35"/>
      <c r="U13" s="234"/>
      <c r="V13" s="709"/>
      <c r="W13" s="704"/>
      <c r="X13" s="208">
        <f>ROUND((ROUND((_11_A家事０．５*_11・基礎２),0)*_11・初任),0)+ROUND((ROUND((ROUND((_11_B家事０．５＿０．２５*_11・基礎２),0)*(1+_11・B夜間)),0)*_11・初任),0)+ROUND((ROUND((ROUND((_11_C家事０．５＿０．２５＿０．２５*_11・基礎２),0)*(1+_11・C深夜)),0)*_11・初任),0)</f>
        <v>146</v>
      </c>
      <c r="Y13" s="48"/>
    </row>
    <row r="14" spans="1:25" ht="16.5" customHeight="1" x14ac:dyDescent="0.15">
      <c r="A14" s="41">
        <v>11</v>
      </c>
      <c r="B14" s="41" t="s">
        <v>10343</v>
      </c>
      <c r="C14" s="74" t="s">
        <v>10344</v>
      </c>
      <c r="D14" s="72"/>
      <c r="F14" s="72"/>
      <c r="H14" s="72"/>
      <c r="J14" s="757"/>
      <c r="K14" s="216"/>
      <c r="L14" s="38"/>
      <c r="M14" s="44" t="s">
        <v>397</v>
      </c>
      <c r="N14" s="247" t="s">
        <v>398</v>
      </c>
      <c r="O14" s="46">
        <v>1</v>
      </c>
      <c r="P14" s="35"/>
      <c r="R14" s="234"/>
      <c r="S14" s="35"/>
      <c r="U14" s="234"/>
      <c r="V14" s="240" t="s">
        <v>398</v>
      </c>
      <c r="W14" s="38">
        <f>_11・初任</f>
        <v>0.7</v>
      </c>
      <c r="X14" s="208">
        <f>ROUND((ROUND((ROUND((_11_A家事０．５*_11・基礎２),0)*_11・２人),0)*_11・初任),0)+ROUND((ROUND((ROUND((ROUND((_11_B家事０．５＿０．２５*_11・基礎２),0)*_11・２人),0)*(1+_11・B夜間)),0)*_11・初任),0)+ROUND((ROUND((ROUND((ROUND((_11_C家事０．５＿０．２５＿０．２５*_11・基礎２),0)*_11・２人),0)*(1+_11・C深夜)),0)*_11・初任),0)</f>
        <v>146</v>
      </c>
      <c r="Y14" s="48"/>
    </row>
    <row r="15" spans="1:25" ht="16.5" customHeight="1" x14ac:dyDescent="0.15">
      <c r="A15" s="41">
        <v>11</v>
      </c>
      <c r="B15" s="41">
        <v>8035</v>
      </c>
      <c r="C15" s="74" t="s">
        <v>10345</v>
      </c>
      <c r="D15" s="72"/>
      <c r="F15" s="72"/>
      <c r="H15" s="707" t="s">
        <v>9980</v>
      </c>
      <c r="I15" s="717"/>
      <c r="J15" s="114"/>
      <c r="K15" s="221"/>
      <c r="L15" s="50"/>
      <c r="M15" s="44"/>
      <c r="N15" s="247"/>
      <c r="O15" s="46"/>
      <c r="P15" s="35"/>
      <c r="R15" s="234"/>
      <c r="S15" s="35"/>
      <c r="U15" s="234"/>
      <c r="V15" s="53"/>
      <c r="W15" s="50"/>
      <c r="X15" s="208">
        <f>_11_A家事０．５+ROUND((_11_B家事０．５＿０．２５*(1+_11・B夜間)),0)+ROUND((_11_C家事０．５＿０．２５＿０．５*(1+_11・C深夜)),0)</f>
        <v>293</v>
      </c>
      <c r="Y15" s="48"/>
    </row>
    <row r="16" spans="1:25" ht="16.5" customHeight="1" x14ac:dyDescent="0.15">
      <c r="A16" s="41">
        <v>11</v>
      </c>
      <c r="B16" s="41">
        <v>8036</v>
      </c>
      <c r="C16" s="74" t="s">
        <v>10346</v>
      </c>
      <c r="D16" s="72"/>
      <c r="F16" s="72"/>
      <c r="H16" s="709"/>
      <c r="I16" s="718"/>
      <c r="J16" s="122"/>
      <c r="K16" s="216"/>
      <c r="L16" s="38"/>
      <c r="M16" s="44" t="s">
        <v>397</v>
      </c>
      <c r="N16" s="247" t="s">
        <v>398</v>
      </c>
      <c r="O16" s="46">
        <v>1</v>
      </c>
      <c r="P16" s="35"/>
      <c r="R16" s="234"/>
      <c r="S16" s="35"/>
      <c r="U16" s="234"/>
      <c r="V16" s="35"/>
      <c r="X16" s="208">
        <f>ROUND((_11_A家事０．５*_11・２人),0)+ROUND((ROUND((_11_B家事０．５＿０．２５*_11・２人),0)*(1+_11・B夜間)),0)+ROUND((ROUND((_11_C家事０．５＿０．２５＿０．５*_11・２人),0)*(1+_11・C深夜)),0)</f>
        <v>293</v>
      </c>
      <c r="Y16" s="48"/>
    </row>
    <row r="17" spans="1:25" ht="16.5" customHeight="1" x14ac:dyDescent="0.15">
      <c r="A17" s="41">
        <v>11</v>
      </c>
      <c r="B17" s="41">
        <v>8037</v>
      </c>
      <c r="C17" s="74" t="s">
        <v>10347</v>
      </c>
      <c r="D17" s="72"/>
      <c r="F17" s="72"/>
      <c r="H17" s="709"/>
      <c r="I17" s="718"/>
      <c r="J17" s="752" t="s">
        <v>400</v>
      </c>
      <c r="K17" s="221" t="s">
        <v>398</v>
      </c>
      <c r="L17" s="50">
        <v>0.9</v>
      </c>
      <c r="M17" s="44"/>
      <c r="N17" s="247"/>
      <c r="O17" s="46"/>
      <c r="P17" s="35"/>
      <c r="R17" s="234"/>
      <c r="S17" s="35"/>
      <c r="U17" s="234"/>
      <c r="V17" s="35"/>
      <c r="X17" s="208">
        <f>ROUND((_11_A家事０．５*_11・基礎２),0)+ROUND((ROUND((_11_B家事０．５＿０．２５*_11・基礎２),0)*(1+_11・B夜間)),0)+ROUND((ROUND((_11_C家事０．５＿０．２５＿０．５*_11・基礎２),0)*(1+_11・C深夜)),0)</f>
        <v>264</v>
      </c>
      <c r="Y17" s="48"/>
    </row>
    <row r="18" spans="1:25" ht="16.5" customHeight="1" x14ac:dyDescent="0.15">
      <c r="A18" s="41">
        <v>11</v>
      </c>
      <c r="B18" s="41">
        <v>8038</v>
      </c>
      <c r="C18" s="74" t="s">
        <v>10348</v>
      </c>
      <c r="D18" s="72"/>
      <c r="F18" s="72"/>
      <c r="H18" s="125">
        <f>_11_C家事０．５＿０．２５＿０．５</f>
        <v>86</v>
      </c>
      <c r="I18" s="12" t="s">
        <v>392</v>
      </c>
      <c r="J18" s="757"/>
      <c r="K18" s="216"/>
      <c r="L18" s="38"/>
      <c r="M18" s="44" t="s">
        <v>397</v>
      </c>
      <c r="N18" s="247" t="s">
        <v>398</v>
      </c>
      <c r="O18" s="46">
        <v>1</v>
      </c>
      <c r="P18" s="35"/>
      <c r="R18" s="234"/>
      <c r="S18" s="35"/>
      <c r="U18" s="234"/>
      <c r="V18" s="43"/>
      <c r="W18" s="38"/>
      <c r="X18" s="208">
        <f>ROUND((ROUND((_11_A家事０．５*_11・基礎２),0)*_11・２人),0)+ROUND((ROUND((ROUND((_11_B家事０．５＿０．２５*_11・基礎２),0)*_11・２人),0)*(1+_11・B夜間)),0)+ROUND((ROUND((ROUND((_11_C家事０．５＿０．２５＿０．５*_11・基礎２),0)*_11・２人),0)*(1+_11・C深夜)),0)</f>
        <v>264</v>
      </c>
      <c r="Y18" s="48"/>
    </row>
    <row r="19" spans="1:25" ht="16.5" customHeight="1" x14ac:dyDescent="0.15">
      <c r="A19" s="41">
        <v>11</v>
      </c>
      <c r="B19" s="41" t="s">
        <v>10349</v>
      </c>
      <c r="C19" s="74" t="s">
        <v>10350</v>
      </c>
      <c r="D19" s="72"/>
      <c r="F19" s="72"/>
      <c r="H19" s="72"/>
      <c r="J19" s="114"/>
      <c r="K19" s="221"/>
      <c r="L19" s="50"/>
      <c r="M19" s="44"/>
      <c r="N19" s="247"/>
      <c r="O19" s="46"/>
      <c r="P19" s="35"/>
      <c r="R19" s="234"/>
      <c r="S19" s="35"/>
      <c r="U19" s="234"/>
      <c r="V19" s="707" t="s">
        <v>404</v>
      </c>
      <c r="W19" s="708"/>
      <c r="X19" s="208">
        <f>ROUND((_11_A家事０．５*_11・初任),0)+ROUND((ROUND((_11_B家事０．５＿０．２５*(1+_11・B夜間)),0)*_11・初任),0)+ROUND((ROUND((_11_C家事０．５＿０．２５＿０．５*(1+_11・C深夜)),0)*_11・初任),0)</f>
        <v>205</v>
      </c>
      <c r="Y19" s="48"/>
    </row>
    <row r="20" spans="1:25" ht="16.5" customHeight="1" x14ac:dyDescent="0.15">
      <c r="A20" s="41">
        <v>11</v>
      </c>
      <c r="B20" s="41" t="s">
        <v>10351</v>
      </c>
      <c r="C20" s="74" t="s">
        <v>10352</v>
      </c>
      <c r="D20" s="72"/>
      <c r="F20" s="72"/>
      <c r="H20" s="72"/>
      <c r="J20" s="122"/>
      <c r="K20" s="216"/>
      <c r="L20" s="38"/>
      <c r="M20" s="44" t="s">
        <v>397</v>
      </c>
      <c r="N20" s="247" t="s">
        <v>398</v>
      </c>
      <c r="O20" s="46">
        <v>1</v>
      </c>
      <c r="P20" s="35"/>
      <c r="R20" s="234"/>
      <c r="S20" s="35"/>
      <c r="U20" s="234"/>
      <c r="V20" s="709"/>
      <c r="W20" s="704"/>
      <c r="X20" s="208">
        <f>ROUND((ROUND((_11_A家事０．５*_11・２人),0)*_11・初任),0)+ROUND((ROUND((ROUND((_11_B家事０．５＿０．２５*_11・２人),0)*(1+_11・B夜間)),0)*_11・初任),0)+ROUND((ROUND((ROUND((_11_C家事０．５＿０．２５＿０．５*_11・２人),0)*(1+_11・C深夜)),0)*_11・初任),0)</f>
        <v>205</v>
      </c>
      <c r="Y20" s="48"/>
    </row>
    <row r="21" spans="1:25" ht="16.5" customHeight="1" x14ac:dyDescent="0.15">
      <c r="A21" s="41">
        <v>11</v>
      </c>
      <c r="B21" s="41" t="s">
        <v>10353</v>
      </c>
      <c r="C21" s="74" t="s">
        <v>10354</v>
      </c>
      <c r="D21" s="72"/>
      <c r="F21" s="72"/>
      <c r="H21" s="72"/>
      <c r="J21" s="752" t="s">
        <v>400</v>
      </c>
      <c r="K21" s="221" t="s">
        <v>398</v>
      </c>
      <c r="L21" s="50">
        <v>0.9</v>
      </c>
      <c r="M21" s="44"/>
      <c r="N21" s="247"/>
      <c r="O21" s="46"/>
      <c r="P21" s="35"/>
      <c r="R21" s="234"/>
      <c r="S21" s="35"/>
      <c r="U21" s="234"/>
      <c r="V21" s="709"/>
      <c r="W21" s="704"/>
      <c r="X21" s="208">
        <f>ROUND((ROUND((_11_A家事０．５*_11・基礎２),0)*_11・初任),0)+ROUND((ROUND((ROUND((_11_B家事０．５＿０．２５*_11・基礎２),0)*(1+_11・B夜間)),0)*_11・初任),0)+ROUND((ROUND((ROUND((_11_C家事０．５＿０．２５＿０．５*_11・基礎２),0)*(1+_11・C深夜)),0)*_11・初任),0)</f>
        <v>185</v>
      </c>
      <c r="Y21" s="48"/>
    </row>
    <row r="22" spans="1:25" ht="16.5" customHeight="1" x14ac:dyDescent="0.15">
      <c r="A22" s="41">
        <v>11</v>
      </c>
      <c r="B22" s="41" t="s">
        <v>10355</v>
      </c>
      <c r="C22" s="74" t="s">
        <v>10356</v>
      </c>
      <c r="D22" s="72"/>
      <c r="F22" s="72"/>
      <c r="H22" s="72"/>
      <c r="J22" s="757"/>
      <c r="K22" s="216"/>
      <c r="L22" s="38"/>
      <c r="M22" s="44" t="s">
        <v>397</v>
      </c>
      <c r="N22" s="247" t="s">
        <v>398</v>
      </c>
      <c r="O22" s="46">
        <v>1</v>
      </c>
      <c r="P22" s="35"/>
      <c r="R22" s="234"/>
      <c r="S22" s="35"/>
      <c r="U22" s="234"/>
      <c r="V22" s="240" t="s">
        <v>398</v>
      </c>
      <c r="W22" s="38">
        <f>_11・初任</f>
        <v>0.7</v>
      </c>
      <c r="X22" s="208">
        <f>ROUND((ROUND((ROUND((_11_A家事０．５*_11・基礎２),0)*_11・２人),0)*_11・初任),0)+ROUND((ROUND((ROUND((ROUND((_11_B家事０．５＿０．２５*_11・基礎２),0)*_11・２人),0)*(1+_11・B夜間)),0)*_11・初任),0)+ROUND((ROUND((ROUND((ROUND((_11_C家事０．５＿０．２５＿０．５*_11・基礎２),0)*_11・２人),0)*(1+_11・C深夜)),0)*_11・初任),0)</f>
        <v>185</v>
      </c>
      <c r="Y22" s="48"/>
    </row>
    <row r="23" spans="1:25" ht="16.5" customHeight="1" x14ac:dyDescent="0.15">
      <c r="A23" s="41">
        <v>11</v>
      </c>
      <c r="B23" s="41">
        <v>8039</v>
      </c>
      <c r="C23" s="74" t="s">
        <v>10357</v>
      </c>
      <c r="D23" s="72"/>
      <c r="F23" s="72"/>
      <c r="H23" s="707" t="s">
        <v>9993</v>
      </c>
      <c r="I23" s="717"/>
      <c r="J23" s="114"/>
      <c r="K23" s="221"/>
      <c r="L23" s="50"/>
      <c r="M23" s="44"/>
      <c r="N23" s="247"/>
      <c r="O23" s="46"/>
      <c r="P23" s="35"/>
      <c r="R23" s="234"/>
      <c r="S23" s="35"/>
      <c r="U23" s="234"/>
      <c r="V23" s="253"/>
      <c r="W23" s="50"/>
      <c r="X23" s="208">
        <f>_11_A家事０．５+ROUND((_11_B家事０．５＿０．２５*(1+_11・B夜間)),0)+ROUND((_11_C家事０．５＿０．２５＿０．７５*(1+_11・C深夜)),0)</f>
        <v>347</v>
      </c>
      <c r="Y23" s="48"/>
    </row>
    <row r="24" spans="1:25" ht="16.5" customHeight="1" x14ac:dyDescent="0.15">
      <c r="A24" s="41">
        <v>11</v>
      </c>
      <c r="B24" s="41">
        <v>8040</v>
      </c>
      <c r="C24" s="74" t="s">
        <v>10358</v>
      </c>
      <c r="D24" s="72"/>
      <c r="F24" s="72"/>
      <c r="H24" s="709"/>
      <c r="I24" s="718"/>
      <c r="J24" s="122"/>
      <c r="K24" s="216"/>
      <c r="L24" s="38"/>
      <c r="M24" s="44" t="s">
        <v>397</v>
      </c>
      <c r="N24" s="247" t="s">
        <v>398</v>
      </c>
      <c r="O24" s="46">
        <v>1</v>
      </c>
      <c r="P24" s="35"/>
      <c r="R24" s="234"/>
      <c r="S24" s="35"/>
      <c r="U24" s="234"/>
      <c r="X24" s="208">
        <f>ROUND((_11_A家事０．５*_11・２人),0)+ROUND((ROUND((_11_B家事０．５＿０．２５*_11・２人),0)*(1+_11・B夜間)),0)+ROUND((ROUND((_11_C家事０．５＿０．２５＿０．７５*_11・２人),0)*(1+_11・C深夜)),0)</f>
        <v>347</v>
      </c>
      <c r="Y24" s="48"/>
    </row>
    <row r="25" spans="1:25" ht="16.5" customHeight="1" x14ac:dyDescent="0.15">
      <c r="A25" s="41">
        <v>11</v>
      </c>
      <c r="B25" s="41">
        <v>8041</v>
      </c>
      <c r="C25" s="74" t="s">
        <v>10359</v>
      </c>
      <c r="D25" s="72"/>
      <c r="F25" s="72"/>
      <c r="H25" s="709"/>
      <c r="I25" s="718"/>
      <c r="J25" s="752" t="s">
        <v>400</v>
      </c>
      <c r="K25" s="221" t="s">
        <v>398</v>
      </c>
      <c r="L25" s="50">
        <v>0.9</v>
      </c>
      <c r="M25" s="44"/>
      <c r="N25" s="247"/>
      <c r="O25" s="46"/>
      <c r="P25" s="35"/>
      <c r="R25" s="234"/>
      <c r="S25" s="35"/>
      <c r="U25" s="234"/>
      <c r="X25" s="208">
        <f>ROUND((_11_A家事０．５*_11・基礎２),0)+ROUND((ROUND((_11_B家事０．５＿０．２５*_11・基礎２),0)*(1+_11・B夜間)),0)+ROUND((ROUND((_11_C家事０．５＿０．２５＿０．７５*_11・基礎２),0)*(1+_11・C深夜)),0)</f>
        <v>313</v>
      </c>
      <c r="Y25" s="48"/>
    </row>
    <row r="26" spans="1:25" ht="16.5" customHeight="1" x14ac:dyDescent="0.15">
      <c r="A26" s="41">
        <v>11</v>
      </c>
      <c r="B26" s="41">
        <v>8042</v>
      </c>
      <c r="C26" s="74" t="s">
        <v>10360</v>
      </c>
      <c r="D26" s="72"/>
      <c r="F26" s="72"/>
      <c r="H26" s="125">
        <f>_11_C家事０．５＿０．２５＿０．７５</f>
        <v>122</v>
      </c>
      <c r="I26" s="12" t="s">
        <v>392</v>
      </c>
      <c r="J26" s="757"/>
      <c r="K26" s="216"/>
      <c r="L26" s="38"/>
      <c r="M26" s="44" t="s">
        <v>397</v>
      </c>
      <c r="N26" s="247" t="s">
        <v>398</v>
      </c>
      <c r="O26" s="46">
        <v>1</v>
      </c>
      <c r="P26" s="35"/>
      <c r="R26" s="234"/>
      <c r="S26" s="35"/>
      <c r="U26" s="234"/>
      <c r="X26" s="208">
        <f>ROUND((ROUND((_11_A家事０．５*_11・基礎２),0)*_11・２人),0)+ROUND((ROUND((ROUND((_11_B家事０．５＿０．２５*_11・基礎２),0)*_11・２人),0)*(1+_11・B夜間)),0)+ROUND((ROUND((ROUND((_11_C家事０．５＿０．２５＿０．７５*_11・基礎２),0)*_11・２人),0)*(1+_11・C深夜)),0)</f>
        <v>313</v>
      </c>
      <c r="Y26" s="48"/>
    </row>
    <row r="27" spans="1:25" ht="16.5" customHeight="1" x14ac:dyDescent="0.15">
      <c r="A27" s="41">
        <v>11</v>
      </c>
      <c r="B27" s="41" t="s">
        <v>10361</v>
      </c>
      <c r="C27" s="74" t="s">
        <v>10362</v>
      </c>
      <c r="D27" s="72"/>
      <c r="F27" s="72"/>
      <c r="H27" s="72"/>
      <c r="J27" s="114"/>
      <c r="K27" s="221"/>
      <c r="L27" s="50"/>
      <c r="M27" s="44"/>
      <c r="N27" s="247"/>
      <c r="O27" s="46"/>
      <c r="P27" s="35"/>
      <c r="R27" s="234"/>
      <c r="S27" s="35"/>
      <c r="U27" s="234"/>
      <c r="V27" s="707" t="s">
        <v>404</v>
      </c>
      <c r="W27" s="708"/>
      <c r="X27" s="208">
        <f>ROUND((_11_A家事０．５*_11・初任),0)+ROUND((ROUND((_11_B家事０．５＿０．２５*(1+_11・B夜間)),0)*_11・初任),0)+ROUND((ROUND((_11_C家事０．５＿０．２５＿０．７５*(1+_11・C深夜)),0)*_11・初任),0)</f>
        <v>243</v>
      </c>
      <c r="Y27" s="48"/>
    </row>
    <row r="28" spans="1:25" ht="16.5" customHeight="1" x14ac:dyDescent="0.15">
      <c r="A28" s="41">
        <v>11</v>
      </c>
      <c r="B28" s="41" t="s">
        <v>10363</v>
      </c>
      <c r="C28" s="74" t="s">
        <v>10364</v>
      </c>
      <c r="D28" s="72"/>
      <c r="F28" s="72"/>
      <c r="H28" s="72"/>
      <c r="J28" s="122"/>
      <c r="K28" s="216"/>
      <c r="L28" s="38"/>
      <c r="M28" s="44" t="s">
        <v>397</v>
      </c>
      <c r="N28" s="247" t="s">
        <v>398</v>
      </c>
      <c r="O28" s="46">
        <v>1</v>
      </c>
      <c r="P28" s="35"/>
      <c r="R28" s="234"/>
      <c r="S28" s="35"/>
      <c r="U28" s="234"/>
      <c r="V28" s="709"/>
      <c r="W28" s="704"/>
      <c r="X28" s="208">
        <f>ROUND((ROUND((_11_A家事０．５*_11・２人),0)*_11・初任),0)+ROUND((ROUND((ROUND((_11_B家事０．５＿０．２５*_11・２人),0)*(1+_11・B夜間)),0)*_11・初任),0)+ROUND((ROUND((ROUND((_11_C家事０．５＿０．２５＿０．７５*_11・２人),0)*(1+_11・C深夜)),0)*_11・初任),0)</f>
        <v>243</v>
      </c>
      <c r="Y28" s="48"/>
    </row>
    <row r="29" spans="1:25" ht="16.5" customHeight="1" x14ac:dyDescent="0.15">
      <c r="A29" s="41">
        <v>11</v>
      </c>
      <c r="B29" s="41" t="s">
        <v>10365</v>
      </c>
      <c r="C29" s="74" t="s">
        <v>10366</v>
      </c>
      <c r="D29" s="72"/>
      <c r="F29" s="72"/>
      <c r="H29" s="72"/>
      <c r="J29" s="752" t="s">
        <v>400</v>
      </c>
      <c r="K29" s="221" t="s">
        <v>398</v>
      </c>
      <c r="L29" s="50">
        <v>0.9</v>
      </c>
      <c r="M29" s="44"/>
      <c r="N29" s="247"/>
      <c r="O29" s="46"/>
      <c r="P29" s="35"/>
      <c r="R29" s="234"/>
      <c r="S29" s="35"/>
      <c r="U29" s="234"/>
      <c r="V29" s="709"/>
      <c r="W29" s="704"/>
      <c r="X29" s="208">
        <f>ROUND((ROUND((_11_A家事０．５*_11・基礎２),0)*_11・初任),0)+ROUND((ROUND((ROUND((_11_B家事０．５＿０．２５*_11・基礎２),0)*(1+_11・B夜間)),0)*_11・初任),0)+ROUND((ROUND((ROUND((_11_C家事０．５＿０．２５＿０．７５*_11・基礎２),0)*(1+_11・C深夜)),0)*_11・初任),0)</f>
        <v>220</v>
      </c>
      <c r="Y29" s="48"/>
    </row>
    <row r="30" spans="1:25" ht="16.5" customHeight="1" x14ac:dyDescent="0.15">
      <c r="A30" s="41">
        <v>11</v>
      </c>
      <c r="B30" s="41" t="s">
        <v>10367</v>
      </c>
      <c r="C30" s="74" t="s">
        <v>10368</v>
      </c>
      <c r="D30" s="72"/>
      <c r="F30" s="72"/>
      <c r="H30" s="72"/>
      <c r="J30" s="757"/>
      <c r="K30" s="216"/>
      <c r="L30" s="38"/>
      <c r="M30" s="44" t="s">
        <v>397</v>
      </c>
      <c r="N30" s="247" t="s">
        <v>398</v>
      </c>
      <c r="O30" s="46">
        <v>1</v>
      </c>
      <c r="P30" s="35"/>
      <c r="R30" s="234"/>
      <c r="S30" s="35"/>
      <c r="U30" s="234"/>
      <c r="V30" s="240" t="s">
        <v>398</v>
      </c>
      <c r="W30" s="38">
        <f>_11・初任</f>
        <v>0.7</v>
      </c>
      <c r="X30" s="208">
        <f>ROUND((ROUND((ROUND((_11_A家事０．５*_11・基礎２),0)*_11・２人),0)*_11・初任),0)+ROUND((ROUND((ROUND((ROUND((_11_B家事０．５＿０．２５*_11・基礎２),0)*_11・２人),0)*(1+_11・B夜間)),0)*_11・初任),0)+ROUND((ROUND((ROUND((ROUND((_11_C家事０．５＿０．２５＿０．７５*_11・基礎２),0)*_11・２人),0)*(1+_11・C深夜)),0)*_11・初任),0)</f>
        <v>220</v>
      </c>
      <c r="Y30" s="48"/>
    </row>
    <row r="31" spans="1:25" ht="16.5" customHeight="1" x14ac:dyDescent="0.15">
      <c r="A31" s="41">
        <v>11</v>
      </c>
      <c r="B31" s="41">
        <v>8043</v>
      </c>
      <c r="C31" s="74" t="s">
        <v>10369</v>
      </c>
      <c r="D31" s="72"/>
      <c r="F31" s="707" t="s">
        <v>9726</v>
      </c>
      <c r="G31" s="717"/>
      <c r="H31" s="707" t="s">
        <v>9967</v>
      </c>
      <c r="I31" s="717"/>
      <c r="J31" s="114"/>
      <c r="K31" s="221"/>
      <c r="L31" s="50"/>
      <c r="M31" s="44"/>
      <c r="N31" s="247"/>
      <c r="O31" s="46"/>
      <c r="P31" s="35"/>
      <c r="R31" s="234"/>
      <c r="S31" s="35"/>
      <c r="U31" s="234"/>
      <c r="V31" s="53"/>
      <c r="W31" s="50"/>
      <c r="X31" s="208">
        <f>_11_A家事０．５+ROUND((_11_B家事０．５＿０．５*(1+_11・B夜間)),0)+ROUND((_11_C家事０．５＿０．５＿０．２５*(1+_11・C深夜)),0)</f>
        <v>282</v>
      </c>
      <c r="Y31" s="48"/>
    </row>
    <row r="32" spans="1:25" ht="16.5" customHeight="1" x14ac:dyDescent="0.15">
      <c r="A32" s="41">
        <v>11</v>
      </c>
      <c r="B32" s="41">
        <v>8044</v>
      </c>
      <c r="C32" s="74" t="s">
        <v>10370</v>
      </c>
      <c r="D32" s="72"/>
      <c r="F32" s="709"/>
      <c r="G32" s="718"/>
      <c r="H32" s="709"/>
      <c r="I32" s="718"/>
      <c r="J32" s="122"/>
      <c r="K32" s="216"/>
      <c r="L32" s="38"/>
      <c r="M32" s="44" t="s">
        <v>397</v>
      </c>
      <c r="N32" s="247" t="s">
        <v>398</v>
      </c>
      <c r="O32" s="46">
        <v>1</v>
      </c>
      <c r="P32" s="35"/>
      <c r="R32" s="234"/>
      <c r="S32" s="35"/>
      <c r="U32" s="234"/>
      <c r="V32" s="35"/>
      <c r="X32" s="208">
        <f>ROUND((_11_A家事０．５*_11・２人),0)+ROUND((ROUND((_11_B家事０．５＿０．５*_11・２人),0)*(1+_11・B夜間)),0)+ROUND((ROUND((_11_C家事０．５＿０．５＿０．２５*_11・２人),0)*(1+_11・C深夜)),0)</f>
        <v>282</v>
      </c>
      <c r="Y32" s="48"/>
    </row>
    <row r="33" spans="1:25" ht="16.5" customHeight="1" x14ac:dyDescent="0.15">
      <c r="A33" s="41">
        <v>11</v>
      </c>
      <c r="B33" s="41">
        <v>8045</v>
      </c>
      <c r="C33" s="74" t="s">
        <v>10371</v>
      </c>
      <c r="D33" s="72"/>
      <c r="F33" s="709"/>
      <c r="G33" s="718"/>
      <c r="H33" s="709"/>
      <c r="I33" s="718"/>
      <c r="J33" s="752" t="s">
        <v>400</v>
      </c>
      <c r="K33" s="221" t="s">
        <v>398</v>
      </c>
      <c r="L33" s="50">
        <v>0.9</v>
      </c>
      <c r="M33" s="44"/>
      <c r="N33" s="247"/>
      <c r="O33" s="46"/>
      <c r="P33" s="35"/>
      <c r="R33" s="234"/>
      <c r="S33" s="35"/>
      <c r="U33" s="234"/>
      <c r="V33" s="35"/>
      <c r="X33" s="208">
        <f>ROUND((_11_A家事０．５*_11・基礎２),0)+ROUND((ROUND((_11_B家事０．５＿０．５*_11・基礎２),0)*(1+_11・B夜間)),0)+ROUND((ROUND((_11_C家事０．５＿０．５＿０．２５*_11・基礎２),0)*(1+_11・C深夜)),0)</f>
        <v>255</v>
      </c>
      <c r="Y33" s="48"/>
    </row>
    <row r="34" spans="1:25" ht="16.5" customHeight="1" x14ac:dyDescent="0.15">
      <c r="A34" s="41">
        <v>11</v>
      </c>
      <c r="B34" s="41">
        <v>8046</v>
      </c>
      <c r="C34" s="74" t="s">
        <v>10372</v>
      </c>
      <c r="D34" s="72"/>
      <c r="F34" s="125">
        <f>_11_B家事０．５＿０．５</f>
        <v>91</v>
      </c>
      <c r="G34" s="12" t="s">
        <v>392</v>
      </c>
      <c r="H34" s="125">
        <f>_11_C家事０．５＿０．５＿０．２５</f>
        <v>42</v>
      </c>
      <c r="I34" s="12" t="s">
        <v>392</v>
      </c>
      <c r="J34" s="757"/>
      <c r="K34" s="216"/>
      <c r="L34" s="38"/>
      <c r="M34" s="44" t="s">
        <v>397</v>
      </c>
      <c r="N34" s="247" t="s">
        <v>398</v>
      </c>
      <c r="O34" s="46">
        <v>1</v>
      </c>
      <c r="P34" s="35"/>
      <c r="R34" s="234"/>
      <c r="S34" s="35"/>
      <c r="U34" s="234"/>
      <c r="V34" s="43"/>
      <c r="W34" s="38"/>
      <c r="X34" s="208">
        <f>ROUND((ROUND((_11_A家事０．５*_11・基礎２),0)*_11・２人),0)+ROUND((ROUND((ROUND((_11_B家事０．５＿０．５*_11・基礎２),0)*_11・２人),0)*(1+_11・B夜間)),0)+ROUND((ROUND((ROUND((_11_C家事０．５＿０．５＿０．２５*_11・基礎２),0)*_11・２人),0)*(1+_11・C深夜)),0)</f>
        <v>255</v>
      </c>
      <c r="Y34" s="48"/>
    </row>
    <row r="35" spans="1:25" ht="16.5" customHeight="1" x14ac:dyDescent="0.15">
      <c r="A35" s="41">
        <v>11</v>
      </c>
      <c r="B35" s="41" t="s">
        <v>10373</v>
      </c>
      <c r="C35" s="74" t="s">
        <v>10374</v>
      </c>
      <c r="D35" s="72"/>
      <c r="F35" s="72"/>
      <c r="H35" s="72"/>
      <c r="J35" s="114"/>
      <c r="K35" s="221"/>
      <c r="L35" s="50"/>
      <c r="M35" s="44"/>
      <c r="N35" s="247"/>
      <c r="O35" s="46"/>
      <c r="P35" s="35"/>
      <c r="R35" s="234"/>
      <c r="S35" s="35"/>
      <c r="U35" s="234"/>
      <c r="V35" s="707" t="s">
        <v>404</v>
      </c>
      <c r="W35" s="708"/>
      <c r="X35" s="208">
        <f>ROUND((_11_A家事０．５*_11・初任),0)+ROUND((ROUND((_11_B家事０．５＿０．５*(1+_11・B夜間)),0)*_11・初任),0)+ROUND((ROUND((_11_C家事０．５＿０．５＿０．２５*(1+_11・C深夜)),0)*_11・初任),0)</f>
        <v>198</v>
      </c>
      <c r="Y35" s="48"/>
    </row>
    <row r="36" spans="1:25" ht="16.5" customHeight="1" x14ac:dyDescent="0.15">
      <c r="A36" s="41">
        <v>11</v>
      </c>
      <c r="B36" s="41" t="s">
        <v>10375</v>
      </c>
      <c r="C36" s="74" t="s">
        <v>10376</v>
      </c>
      <c r="D36" s="72"/>
      <c r="F36" s="72"/>
      <c r="H36" s="72"/>
      <c r="J36" s="122"/>
      <c r="K36" s="216"/>
      <c r="L36" s="38"/>
      <c r="M36" s="44" t="s">
        <v>397</v>
      </c>
      <c r="N36" s="247" t="s">
        <v>398</v>
      </c>
      <c r="O36" s="46">
        <v>1</v>
      </c>
      <c r="P36" s="35"/>
      <c r="R36" s="234"/>
      <c r="S36" s="35"/>
      <c r="U36" s="234"/>
      <c r="V36" s="709"/>
      <c r="W36" s="704"/>
      <c r="X36" s="208">
        <f>ROUND((ROUND((_11_A家事０．５*_11・２人),0)*_11・初任),0)+ROUND((ROUND((ROUND((_11_B家事０．５＿０．５*_11・２人),0)*(1+_11・B夜間)),0)*_11・初任),0)+ROUND((ROUND((ROUND((_11_C家事０．５＿０．５＿０．２５*_11・２人),0)*(1+_11・C深夜)),0)*_11・初任),0)</f>
        <v>198</v>
      </c>
      <c r="Y36" s="48"/>
    </row>
    <row r="37" spans="1:25" ht="16.5" customHeight="1" x14ac:dyDescent="0.15">
      <c r="A37" s="41">
        <v>11</v>
      </c>
      <c r="B37" s="41" t="s">
        <v>10377</v>
      </c>
      <c r="C37" s="74" t="s">
        <v>10378</v>
      </c>
      <c r="D37" s="72"/>
      <c r="F37" s="72"/>
      <c r="H37" s="72"/>
      <c r="J37" s="752" t="s">
        <v>400</v>
      </c>
      <c r="K37" s="221" t="s">
        <v>398</v>
      </c>
      <c r="L37" s="50">
        <v>0.9</v>
      </c>
      <c r="M37" s="44"/>
      <c r="N37" s="247"/>
      <c r="O37" s="46"/>
      <c r="P37" s="35"/>
      <c r="R37" s="234"/>
      <c r="S37" s="35"/>
      <c r="U37" s="234"/>
      <c r="V37" s="709"/>
      <c r="W37" s="704"/>
      <c r="X37" s="208">
        <f>ROUND((ROUND((_11_A家事０．５*_11・基礎２),0)*_11・初任),0)+ROUND((ROUND((ROUND((_11_B家事０．５＿０．５*_11・基礎２),0)*(1+_11・B夜間)),0)*_11・初任),0)+ROUND((ROUND((ROUND((_11_C家事０．５＿０．５＿０．２５*_11・基礎２),0)*(1+_11・C深夜)),0)*_11・初任),0)</f>
        <v>179</v>
      </c>
      <c r="Y37" s="48"/>
    </row>
    <row r="38" spans="1:25" ht="16.5" customHeight="1" x14ac:dyDescent="0.15">
      <c r="A38" s="41">
        <v>11</v>
      </c>
      <c r="B38" s="41" t="s">
        <v>10379</v>
      </c>
      <c r="C38" s="74" t="s">
        <v>10380</v>
      </c>
      <c r="D38" s="72"/>
      <c r="F38" s="72"/>
      <c r="H38" s="72"/>
      <c r="J38" s="757"/>
      <c r="K38" s="216"/>
      <c r="L38" s="38"/>
      <c r="M38" s="44" t="s">
        <v>397</v>
      </c>
      <c r="N38" s="247" t="s">
        <v>398</v>
      </c>
      <c r="O38" s="46">
        <v>1</v>
      </c>
      <c r="P38" s="35"/>
      <c r="R38" s="234"/>
      <c r="S38" s="35"/>
      <c r="U38" s="234"/>
      <c r="V38" s="240" t="s">
        <v>398</v>
      </c>
      <c r="W38" s="38">
        <f>_11・初任</f>
        <v>0.7</v>
      </c>
      <c r="X38" s="208">
        <f>ROUND((ROUND((ROUND((_11_A家事０．５*_11・基礎２),0)*_11・２人),0)*_11・初任),0)+ROUND((ROUND((ROUND((ROUND((_11_B家事０．５＿０．５*_11・基礎２),0)*_11・２人),0)*(1+_11・B夜間)),0)*_11・初任),0)+ROUND((ROUND((ROUND((ROUND((_11_C家事０．５＿０．５＿０．２５*_11・基礎２),0)*_11・２人),0)*(1+_11・C深夜)),0)*_11・初任),0)</f>
        <v>179</v>
      </c>
      <c r="Y38" s="48"/>
    </row>
    <row r="39" spans="1:25" ht="16.5" customHeight="1" x14ac:dyDescent="0.15">
      <c r="A39" s="41">
        <v>11</v>
      </c>
      <c r="B39" s="41">
        <v>6379</v>
      </c>
      <c r="C39" s="74" t="s">
        <v>10381</v>
      </c>
      <c r="D39" s="132"/>
      <c r="E39" s="106"/>
      <c r="F39" s="132"/>
      <c r="G39" s="106"/>
      <c r="H39" s="707" t="s">
        <v>9980</v>
      </c>
      <c r="I39" s="717"/>
      <c r="J39" s="114"/>
      <c r="K39" s="221"/>
      <c r="L39" s="50"/>
      <c r="M39" s="44"/>
      <c r="N39" s="247"/>
      <c r="O39" s="46"/>
      <c r="P39" s="35"/>
      <c r="R39" s="234"/>
      <c r="S39" s="35"/>
      <c r="U39" s="234"/>
      <c r="V39" s="253"/>
      <c r="W39" s="50"/>
      <c r="X39" s="208">
        <f>_11_A家事０．５+ROUND((_11_B家事０．５＿０．５*(1+_11・B夜間)),0)+ROUND((_11_C家事０．５＿０．５＿０．５*(1+_11・C深夜)),0)</f>
        <v>336</v>
      </c>
      <c r="Y39" s="48"/>
    </row>
    <row r="40" spans="1:25" ht="16.5" customHeight="1" x14ac:dyDescent="0.15">
      <c r="A40" s="41">
        <v>11</v>
      </c>
      <c r="B40" s="41">
        <v>6380</v>
      </c>
      <c r="C40" s="74" t="s">
        <v>10382</v>
      </c>
      <c r="D40" s="132"/>
      <c r="E40" s="106"/>
      <c r="F40" s="132"/>
      <c r="G40" s="106"/>
      <c r="H40" s="709"/>
      <c r="I40" s="718"/>
      <c r="J40" s="122"/>
      <c r="K40" s="216"/>
      <c r="L40" s="38"/>
      <c r="M40" s="44" t="s">
        <v>397</v>
      </c>
      <c r="N40" s="247" t="s">
        <v>398</v>
      </c>
      <c r="O40" s="46">
        <v>1</v>
      </c>
      <c r="P40" s="35"/>
      <c r="R40" s="234"/>
      <c r="S40" s="35"/>
      <c r="U40" s="234"/>
      <c r="X40" s="208">
        <f>ROUND((_11_A家事０．５*_11・２人),0)+ROUND((ROUND((_11_B家事０．５＿０．５*_11・２人),0)*(1+_11・B夜間)),0)+ROUND((ROUND((_11_C家事０．５＿０．５＿０．５*_11・２人),0)*(1+_11・C深夜)),0)</f>
        <v>336</v>
      </c>
      <c r="Y40" s="48"/>
    </row>
    <row r="41" spans="1:25" ht="16.5" customHeight="1" x14ac:dyDescent="0.15">
      <c r="A41" s="41">
        <v>11</v>
      </c>
      <c r="B41" s="41">
        <v>6381</v>
      </c>
      <c r="C41" s="74" t="s">
        <v>10383</v>
      </c>
      <c r="D41" s="132"/>
      <c r="E41" s="106"/>
      <c r="F41" s="132"/>
      <c r="G41" s="106"/>
      <c r="H41" s="709"/>
      <c r="I41" s="718"/>
      <c r="J41" s="752" t="s">
        <v>400</v>
      </c>
      <c r="K41" s="221" t="s">
        <v>398</v>
      </c>
      <c r="L41" s="50">
        <v>0.9</v>
      </c>
      <c r="M41" s="44"/>
      <c r="N41" s="247"/>
      <c r="O41" s="46"/>
      <c r="P41" s="35"/>
      <c r="R41" s="234"/>
      <c r="S41" s="35"/>
      <c r="U41" s="234"/>
      <c r="X41" s="208">
        <f>ROUND((_11_A家事０．５*_11・基礎２),0)+ROUND((ROUND((_11_B家事０．５＿０．５*_11・基礎２),0)*(1+_11・B夜間)),0)+ROUND((ROUND((_11_C家事０．５＿０．５＿０．５*_11・基礎２),0)*(1+_11・C深夜)),0)</f>
        <v>303</v>
      </c>
      <c r="Y41" s="48"/>
    </row>
    <row r="42" spans="1:25" ht="16.5" customHeight="1" x14ac:dyDescent="0.15">
      <c r="A42" s="41">
        <v>11</v>
      </c>
      <c r="B42" s="41">
        <v>6382</v>
      </c>
      <c r="C42" s="74" t="s">
        <v>10384</v>
      </c>
      <c r="D42" s="125"/>
      <c r="F42" s="125"/>
      <c r="G42" s="57"/>
      <c r="H42" s="125">
        <f>_11_C家事０．５＿０．５＿０．５</f>
        <v>78</v>
      </c>
      <c r="I42" s="12" t="s">
        <v>392</v>
      </c>
      <c r="J42" s="757"/>
      <c r="K42" s="216"/>
      <c r="L42" s="38"/>
      <c r="M42" s="44" t="s">
        <v>397</v>
      </c>
      <c r="N42" s="247" t="s">
        <v>398</v>
      </c>
      <c r="O42" s="46">
        <v>1</v>
      </c>
      <c r="P42" s="35"/>
      <c r="R42" s="234"/>
      <c r="S42" s="35"/>
      <c r="U42" s="234"/>
      <c r="X42" s="208">
        <f>ROUND((ROUND((_11_A家事０．５*_11・基礎２),0)*_11・２人),0)+ROUND((ROUND((ROUND((_11_B家事０．５＿０．５*_11・基礎２),0)*_11・２人),0)*(1+_11・B夜間)),0)+ROUND((ROUND((ROUND((_11_C家事０．５＿０．５＿０．５*_11・基礎２),0)*_11・２人),0)*(1+_11・C深夜)),0)</f>
        <v>303</v>
      </c>
      <c r="Y42" s="48"/>
    </row>
    <row r="43" spans="1:25" ht="16.5" customHeight="1" x14ac:dyDescent="0.15">
      <c r="A43" s="41">
        <v>11</v>
      </c>
      <c r="B43" s="41" t="s">
        <v>10385</v>
      </c>
      <c r="C43" s="74" t="s">
        <v>10386</v>
      </c>
      <c r="D43" s="72"/>
      <c r="F43" s="72"/>
      <c r="H43" s="72"/>
      <c r="J43" s="114"/>
      <c r="K43" s="221"/>
      <c r="L43" s="50"/>
      <c r="M43" s="44"/>
      <c r="N43" s="247"/>
      <c r="O43" s="46"/>
      <c r="P43" s="35"/>
      <c r="R43" s="234"/>
      <c r="S43" s="35"/>
      <c r="U43" s="234"/>
      <c r="V43" s="707" t="s">
        <v>404</v>
      </c>
      <c r="W43" s="708"/>
      <c r="X43" s="208">
        <f>ROUND((_11_A家事０．５*_11・初任),0)+ROUND((ROUND((_11_B家事０．５＿０．５*(1+_11・B夜間)),0)*_11・初任),0)+ROUND((ROUND((_11_C家事０．５＿０．５＿０．５*(1+_11・C深夜)),0)*_11・初任),0)</f>
        <v>236</v>
      </c>
      <c r="Y43" s="48"/>
    </row>
    <row r="44" spans="1:25" ht="16.5" customHeight="1" x14ac:dyDescent="0.15">
      <c r="A44" s="41">
        <v>11</v>
      </c>
      <c r="B44" s="41" t="s">
        <v>10387</v>
      </c>
      <c r="C44" s="74" t="s">
        <v>10388</v>
      </c>
      <c r="D44" s="72"/>
      <c r="F44" s="72"/>
      <c r="H44" s="72"/>
      <c r="J44" s="122"/>
      <c r="K44" s="216"/>
      <c r="L44" s="38"/>
      <c r="M44" s="44" t="s">
        <v>397</v>
      </c>
      <c r="N44" s="247" t="s">
        <v>398</v>
      </c>
      <c r="O44" s="46">
        <v>1</v>
      </c>
      <c r="P44" s="35"/>
      <c r="R44" s="234"/>
      <c r="S44" s="35"/>
      <c r="U44" s="234"/>
      <c r="V44" s="709"/>
      <c r="W44" s="704"/>
      <c r="X44" s="208">
        <f>ROUND((ROUND((_11_A家事０．５*_11・２人),0)*_11・初任),0)+ROUND((ROUND((ROUND((_11_B家事０．５＿０．５*_11・２人),0)*(1+_11・B夜間)),0)*_11・初任),0)+ROUND((ROUND((ROUND((_11_C家事０．５＿０．５＿０．５*_11・２人),0)*(1+_11・C深夜)),0)*_11・初任),0)</f>
        <v>236</v>
      </c>
      <c r="Y44" s="48"/>
    </row>
    <row r="45" spans="1:25" ht="16.5" customHeight="1" x14ac:dyDescent="0.15">
      <c r="A45" s="41">
        <v>11</v>
      </c>
      <c r="B45" s="41" t="s">
        <v>10389</v>
      </c>
      <c r="C45" s="74" t="s">
        <v>10390</v>
      </c>
      <c r="D45" s="72"/>
      <c r="F45" s="72"/>
      <c r="H45" s="72"/>
      <c r="J45" s="752" t="s">
        <v>400</v>
      </c>
      <c r="K45" s="221" t="s">
        <v>398</v>
      </c>
      <c r="L45" s="50">
        <v>0.9</v>
      </c>
      <c r="M45" s="44"/>
      <c r="N45" s="247"/>
      <c r="O45" s="46"/>
      <c r="P45" s="35"/>
      <c r="R45" s="234"/>
      <c r="S45" s="35"/>
      <c r="U45" s="234"/>
      <c r="V45" s="709"/>
      <c r="W45" s="704"/>
      <c r="X45" s="208">
        <f>ROUND((ROUND((_11_A家事０．５*_11・基礎２),0)*_11・初任),0)+ROUND((ROUND((ROUND((_11_B家事０．５＿０．５*_11・基礎２),0)*(1+_11・B夜間)),0)*_11・初任),0)+ROUND((ROUND((ROUND((_11_C家事０．５＿０．５＿０．５*_11・基礎２),0)*(1+_11・C深夜)),0)*_11・初任),0)</f>
        <v>213</v>
      </c>
      <c r="Y45" s="48"/>
    </row>
    <row r="46" spans="1:25" ht="16.5" customHeight="1" x14ac:dyDescent="0.15">
      <c r="A46" s="41">
        <v>11</v>
      </c>
      <c r="B46" s="41" t="s">
        <v>10391</v>
      </c>
      <c r="C46" s="74" t="s">
        <v>10392</v>
      </c>
      <c r="D46" s="72"/>
      <c r="F46" s="72"/>
      <c r="H46" s="72"/>
      <c r="J46" s="757"/>
      <c r="K46" s="216"/>
      <c r="L46" s="38"/>
      <c r="M46" s="44" t="s">
        <v>397</v>
      </c>
      <c r="N46" s="247" t="s">
        <v>398</v>
      </c>
      <c r="O46" s="46">
        <v>1</v>
      </c>
      <c r="P46" s="35"/>
      <c r="R46" s="234"/>
      <c r="S46" s="35"/>
      <c r="U46" s="234"/>
      <c r="V46" s="240" t="s">
        <v>398</v>
      </c>
      <c r="W46" s="38">
        <f>_11・初任</f>
        <v>0.7</v>
      </c>
      <c r="X46" s="208">
        <f>ROUND((ROUND((ROUND((_11_A家事０．５*_11・基礎２),0)*_11・２人),0)*_11・初任),0)+ROUND((ROUND((ROUND((ROUND((_11_B家事０．５＿０．５*_11・基礎２),0)*_11・２人),0)*(1+_11・B夜間)),0)*_11・初任),0)+ROUND((ROUND((ROUND((ROUND((_11_C家事０．５＿０．５＿０．５*_11・基礎２),0)*_11・２人),0)*(1+_11・C深夜)),0)*_11・初任),0)</f>
        <v>213</v>
      </c>
      <c r="Y46" s="48"/>
    </row>
    <row r="47" spans="1:25" ht="16.5" customHeight="1" x14ac:dyDescent="0.15">
      <c r="A47" s="41">
        <v>11</v>
      </c>
      <c r="B47" s="41">
        <v>8047</v>
      </c>
      <c r="C47" s="74" t="s">
        <v>10393</v>
      </c>
      <c r="D47" s="72"/>
      <c r="F47" s="707" t="s">
        <v>9739</v>
      </c>
      <c r="G47" s="717"/>
      <c r="H47" s="707" t="s">
        <v>9967</v>
      </c>
      <c r="I47" s="717"/>
      <c r="J47" s="114"/>
      <c r="K47" s="221"/>
      <c r="L47" s="50"/>
      <c r="M47" s="44"/>
      <c r="N47" s="247"/>
      <c r="O47" s="46"/>
      <c r="P47" s="35"/>
      <c r="R47" s="234"/>
      <c r="S47" s="35"/>
      <c r="U47" s="234"/>
      <c r="V47" s="53"/>
      <c r="W47" s="50"/>
      <c r="X47" s="208">
        <f>_11_A家事０．５+ROUND((_11_B家事０．５＿０．７５*(1+_11・B夜間)),0)+ROUND((_11_C家事０．５＿０．７５＿０．２５*(1+_11・C深夜)),0)</f>
        <v>325</v>
      </c>
      <c r="Y47" s="48"/>
    </row>
    <row r="48" spans="1:25" ht="16.5" customHeight="1" x14ac:dyDescent="0.15">
      <c r="A48" s="41">
        <v>11</v>
      </c>
      <c r="B48" s="41">
        <v>8048</v>
      </c>
      <c r="C48" s="74" t="s">
        <v>10394</v>
      </c>
      <c r="D48" s="72"/>
      <c r="F48" s="709"/>
      <c r="G48" s="718"/>
      <c r="H48" s="709"/>
      <c r="I48" s="718"/>
      <c r="J48" s="122"/>
      <c r="K48" s="216"/>
      <c r="L48" s="38"/>
      <c r="M48" s="44" t="s">
        <v>397</v>
      </c>
      <c r="N48" s="247" t="s">
        <v>398</v>
      </c>
      <c r="O48" s="46">
        <v>1</v>
      </c>
      <c r="P48" s="35"/>
      <c r="R48" s="234"/>
      <c r="S48" s="35"/>
      <c r="U48" s="234"/>
      <c r="V48" s="35"/>
      <c r="X48" s="208">
        <f>ROUND((_11_A家事０．５*_11・２人),0)+ROUND((ROUND((_11_B家事０．５＿０．７５*_11・２人),0)*(1+_11・B夜間)),0)+ROUND((ROUND((_11_C家事０．５＿０．７５＿０．２５*_11・２人),0)*(1+_11・C深夜)),0)</f>
        <v>325</v>
      </c>
      <c r="Y48" s="48"/>
    </row>
    <row r="49" spans="1:25" ht="16.5" customHeight="1" x14ac:dyDescent="0.15">
      <c r="A49" s="41">
        <v>11</v>
      </c>
      <c r="B49" s="41">
        <v>8049</v>
      </c>
      <c r="C49" s="74" t="s">
        <v>10395</v>
      </c>
      <c r="D49" s="72"/>
      <c r="F49" s="709"/>
      <c r="G49" s="718"/>
      <c r="H49" s="709"/>
      <c r="I49" s="718"/>
      <c r="J49" s="752" t="s">
        <v>400</v>
      </c>
      <c r="K49" s="221" t="s">
        <v>398</v>
      </c>
      <c r="L49" s="50">
        <v>0.9</v>
      </c>
      <c r="M49" s="44"/>
      <c r="N49" s="247"/>
      <c r="O49" s="46"/>
      <c r="P49" s="35"/>
      <c r="R49" s="234"/>
      <c r="S49" s="35"/>
      <c r="U49" s="234"/>
      <c r="V49" s="35"/>
      <c r="X49" s="208">
        <f>ROUND((_11_A家事０．５*_11・基礎２),0)+ROUND((ROUND((_11_B家事０．５＿０．７５*_11・基礎２),0)*(1+_11・B夜間)),0)+ROUND((ROUND((_11_C家事０．５＿０．７５＿０．２５*_11・基礎２),0)*(1+_11・C深夜)),0)</f>
        <v>293</v>
      </c>
      <c r="Y49" s="48"/>
    </row>
    <row r="50" spans="1:25" ht="16.5" customHeight="1" x14ac:dyDescent="0.15">
      <c r="A50" s="41">
        <v>11</v>
      </c>
      <c r="B50" s="41">
        <v>8050</v>
      </c>
      <c r="C50" s="74" t="s">
        <v>10396</v>
      </c>
      <c r="D50" s="72"/>
      <c r="F50" s="125">
        <f>_11_B家事０．５＿０．７５</f>
        <v>133</v>
      </c>
      <c r="G50" s="12" t="s">
        <v>392</v>
      </c>
      <c r="H50" s="125">
        <f>_11_C家事０．５＿０．７５＿０．２５</f>
        <v>36</v>
      </c>
      <c r="I50" s="12" t="s">
        <v>392</v>
      </c>
      <c r="J50" s="757"/>
      <c r="K50" s="216"/>
      <c r="L50" s="38"/>
      <c r="M50" s="44" t="s">
        <v>397</v>
      </c>
      <c r="N50" s="247" t="s">
        <v>398</v>
      </c>
      <c r="O50" s="46">
        <v>1</v>
      </c>
      <c r="P50" s="35"/>
      <c r="R50" s="234"/>
      <c r="S50" s="35"/>
      <c r="U50" s="234"/>
      <c r="V50" s="43"/>
      <c r="W50" s="38"/>
      <c r="X50" s="208">
        <f>ROUND((ROUND((_11_A家事０．５*_11・基礎２),0)*_11・２人),0)+ROUND((ROUND((ROUND((_11_B家事０．５＿０．７５*_11・基礎２),0)*_11・２人),0)*(1+_11・B夜間)),0)+ROUND((ROUND((ROUND((_11_C家事０．５＿０．７５＿０．２５*_11・基礎２),0)*_11・２人),0)*(1+_11・C深夜)),0)</f>
        <v>293</v>
      </c>
      <c r="Y50" s="48"/>
    </row>
    <row r="51" spans="1:25" ht="16.5" customHeight="1" x14ac:dyDescent="0.15">
      <c r="A51" s="41">
        <v>11</v>
      </c>
      <c r="B51" s="41" t="s">
        <v>10397</v>
      </c>
      <c r="C51" s="74" t="s">
        <v>10398</v>
      </c>
      <c r="D51" s="72"/>
      <c r="F51" s="72"/>
      <c r="H51" s="72"/>
      <c r="J51" s="114"/>
      <c r="K51" s="221"/>
      <c r="L51" s="50"/>
      <c r="M51" s="44"/>
      <c r="N51" s="247"/>
      <c r="O51" s="46"/>
      <c r="P51" s="35"/>
      <c r="R51" s="234"/>
      <c r="S51" s="35"/>
      <c r="U51" s="234"/>
      <c r="V51" s="707" t="s">
        <v>404</v>
      </c>
      <c r="W51" s="708"/>
      <c r="X51" s="208">
        <f>ROUND((_11_A家事０．５*_11・初任),0)+ROUND((ROUND((_11_B家事０．５＿０．７５*(1+_11・B夜間)),0)*_11・初任),0)+ROUND((ROUND((_11_C家事０．５＿０．７５＿０．２５*(1+_11・C深夜)),0)*_11・初任),0)</f>
        <v>228</v>
      </c>
      <c r="Y51" s="48"/>
    </row>
    <row r="52" spans="1:25" ht="16.5" customHeight="1" x14ac:dyDescent="0.15">
      <c r="A52" s="41">
        <v>11</v>
      </c>
      <c r="B52" s="41" t="s">
        <v>10399</v>
      </c>
      <c r="C52" s="74" t="s">
        <v>10400</v>
      </c>
      <c r="D52" s="72"/>
      <c r="F52" s="72"/>
      <c r="H52" s="72"/>
      <c r="J52" s="122"/>
      <c r="K52" s="216"/>
      <c r="L52" s="38"/>
      <c r="M52" s="44" t="s">
        <v>397</v>
      </c>
      <c r="N52" s="247" t="s">
        <v>398</v>
      </c>
      <c r="O52" s="46">
        <v>1</v>
      </c>
      <c r="P52" s="35"/>
      <c r="R52" s="234"/>
      <c r="S52" s="35"/>
      <c r="U52" s="234"/>
      <c r="V52" s="709"/>
      <c r="W52" s="704"/>
      <c r="X52" s="208">
        <f>ROUND((ROUND((_11_A家事０．５*_11・２人),0)*_11・初任),0)+ROUND((ROUND((ROUND((_11_B家事０．５＿０．７５*_11・２人),0)*(1+_11・B夜間)),0)*_11・初任),0)+ROUND((ROUND((ROUND((_11_C家事０．５＿０．７５＿０．２５*_11・２人),0)*(1+_11・C深夜)),0)*_11・初任),0)</f>
        <v>228</v>
      </c>
      <c r="Y52" s="48"/>
    </row>
    <row r="53" spans="1:25" ht="16.5" customHeight="1" x14ac:dyDescent="0.15">
      <c r="A53" s="41">
        <v>11</v>
      </c>
      <c r="B53" s="41" t="s">
        <v>10401</v>
      </c>
      <c r="C53" s="74" t="s">
        <v>10402</v>
      </c>
      <c r="D53" s="72"/>
      <c r="F53" s="72"/>
      <c r="H53" s="72"/>
      <c r="J53" s="752" t="s">
        <v>400</v>
      </c>
      <c r="K53" s="221" t="s">
        <v>398</v>
      </c>
      <c r="L53" s="50">
        <v>0.9</v>
      </c>
      <c r="M53" s="44"/>
      <c r="N53" s="247"/>
      <c r="O53" s="46"/>
      <c r="P53" s="35"/>
      <c r="R53" s="234"/>
      <c r="S53" s="35"/>
      <c r="U53" s="234"/>
      <c r="V53" s="709"/>
      <c r="W53" s="704"/>
      <c r="X53" s="208">
        <f>ROUND((ROUND((_11_A家事０．５*_11・基礎２),0)*_11・初任),0)+ROUND((ROUND((ROUND((_11_B家事０．５＿０．７５*_11・基礎２),0)*(1+_11・B夜間)),0)*_11・初任),0)+ROUND((ROUND((ROUND((_11_C家事０．５＿０．７５＿０．２５*_11・基礎２),0)*(1+_11・C深夜)),0)*_11・初任),0)</f>
        <v>206</v>
      </c>
      <c r="Y53" s="48"/>
    </row>
    <row r="54" spans="1:25" ht="16.5" customHeight="1" x14ac:dyDescent="0.15">
      <c r="A54" s="41">
        <v>11</v>
      </c>
      <c r="B54" s="41" t="s">
        <v>10403</v>
      </c>
      <c r="C54" s="74" t="s">
        <v>10404</v>
      </c>
      <c r="D54" s="72"/>
      <c r="F54" s="72"/>
      <c r="H54" s="72"/>
      <c r="J54" s="757"/>
      <c r="K54" s="216"/>
      <c r="L54" s="38"/>
      <c r="M54" s="44" t="s">
        <v>397</v>
      </c>
      <c r="N54" s="247" t="s">
        <v>398</v>
      </c>
      <c r="O54" s="46">
        <v>1</v>
      </c>
      <c r="P54" s="35"/>
      <c r="R54" s="234"/>
      <c r="S54" s="35"/>
      <c r="U54" s="234"/>
      <c r="V54" s="240" t="s">
        <v>398</v>
      </c>
      <c r="W54" s="38">
        <f>_11・初任</f>
        <v>0.7</v>
      </c>
      <c r="X54" s="208">
        <f>ROUND((ROUND((ROUND((_11_A家事０．５*_11・基礎２),0)*_11・２人),0)*_11・初任),0)+ROUND((ROUND((ROUND((ROUND((_11_B家事０．５＿０．７５*_11・基礎２),0)*_11・２人),0)*(1+_11・B夜間)),0)*_11・初任),0)+ROUND((ROUND((ROUND((ROUND((_11_C家事０．５＿０．７５＿０．２５*_11・基礎２),0)*_11・２人),0)*(1+_11・C深夜)),0)*_11・初任),0)</f>
        <v>206</v>
      </c>
      <c r="Y54" s="48"/>
    </row>
    <row r="55" spans="1:25" ht="16.5" customHeight="1" x14ac:dyDescent="0.15">
      <c r="A55" s="41">
        <v>11</v>
      </c>
      <c r="B55" s="41">
        <v>8051</v>
      </c>
      <c r="C55" s="74" t="s">
        <v>10405</v>
      </c>
      <c r="D55" s="707" t="s">
        <v>8279</v>
      </c>
      <c r="E55" s="717"/>
      <c r="F55" s="707" t="s">
        <v>9713</v>
      </c>
      <c r="G55" s="717"/>
      <c r="H55" s="707" t="s">
        <v>9967</v>
      </c>
      <c r="I55" s="717"/>
      <c r="J55" s="114"/>
      <c r="K55" s="221"/>
      <c r="L55" s="50"/>
      <c r="M55" s="44"/>
      <c r="N55" s="247"/>
      <c r="O55" s="46"/>
      <c r="P55" s="35"/>
      <c r="R55" s="234"/>
      <c r="S55" s="35"/>
      <c r="U55" s="234"/>
      <c r="V55" s="253"/>
      <c r="W55" s="50"/>
      <c r="X55" s="208">
        <f>_11_A家事０．７５+ROUND((_11_B家事０．７５＿０．２５*(1+_11・B夜間)),0)+ROUND((_11_C家事０．７５＿０．２５＿０．２５*(1+_11・C深夜)),0)</f>
        <v>270</v>
      </c>
      <c r="Y55" s="48"/>
    </row>
    <row r="56" spans="1:25" ht="16.5" customHeight="1" x14ac:dyDescent="0.15">
      <c r="A56" s="41">
        <v>11</v>
      </c>
      <c r="B56" s="41">
        <v>8052</v>
      </c>
      <c r="C56" s="74" t="s">
        <v>10406</v>
      </c>
      <c r="D56" s="709"/>
      <c r="E56" s="718"/>
      <c r="F56" s="709"/>
      <c r="G56" s="718"/>
      <c r="H56" s="709"/>
      <c r="I56" s="718"/>
      <c r="J56" s="122"/>
      <c r="K56" s="216"/>
      <c r="L56" s="38"/>
      <c r="M56" s="44" t="s">
        <v>397</v>
      </c>
      <c r="N56" s="247" t="s">
        <v>398</v>
      </c>
      <c r="O56" s="46">
        <v>1</v>
      </c>
      <c r="P56" s="35"/>
      <c r="R56" s="234"/>
      <c r="S56" s="35"/>
      <c r="U56" s="234"/>
      <c r="X56" s="208">
        <f>ROUND((_11_A家事０．７５*_11・２人),0)+ROUND((ROUND((_11_B家事０．７５＿０．２５*_11・２人),0)*(1+_11・B夜間)),0)+ROUND((ROUND((_11_C家事０．７５＿０．２５＿０．２５*_11・２人),0)*(1+_11・C深夜)),0)</f>
        <v>270</v>
      </c>
      <c r="Y56" s="48"/>
    </row>
    <row r="57" spans="1:25" ht="16.5" customHeight="1" x14ac:dyDescent="0.15">
      <c r="A57" s="41">
        <v>11</v>
      </c>
      <c r="B57" s="41">
        <v>8053</v>
      </c>
      <c r="C57" s="74" t="s">
        <v>10407</v>
      </c>
      <c r="D57" s="709"/>
      <c r="E57" s="718"/>
      <c r="F57" s="709"/>
      <c r="G57" s="718"/>
      <c r="H57" s="709"/>
      <c r="I57" s="718"/>
      <c r="J57" s="752" t="s">
        <v>400</v>
      </c>
      <c r="K57" s="221" t="s">
        <v>398</v>
      </c>
      <c r="L57" s="50">
        <v>0.9</v>
      </c>
      <c r="M57" s="44"/>
      <c r="N57" s="247"/>
      <c r="O57" s="46"/>
      <c r="P57" s="35"/>
      <c r="R57" s="234"/>
      <c r="S57" s="35"/>
      <c r="U57" s="234"/>
      <c r="X57" s="208">
        <f>ROUND((_11_A家事０．７５*_11・基礎２),0)+ROUND((ROUND((_11_B家事０．７５＿０．２５*_11・基礎２),0)*(1+_11・B夜間)),0)+ROUND((ROUND((_11_C家事０．７５＿０．２５＿０．２５*_11・基礎２),0)*(1+_11・C深夜)),0)</f>
        <v>244</v>
      </c>
      <c r="Y57" s="48"/>
    </row>
    <row r="58" spans="1:25" ht="16.5" customHeight="1" x14ac:dyDescent="0.15">
      <c r="A58" s="41">
        <v>11</v>
      </c>
      <c r="B58" s="41">
        <v>8054</v>
      </c>
      <c r="C58" s="74" t="s">
        <v>10408</v>
      </c>
      <c r="D58" s="125">
        <f>_11_A家事０．７５</f>
        <v>152</v>
      </c>
      <c r="E58" s="12" t="s">
        <v>392</v>
      </c>
      <c r="F58" s="125">
        <f>_11_B家事０．７５＿０．２５</f>
        <v>44</v>
      </c>
      <c r="G58" s="12" t="s">
        <v>392</v>
      </c>
      <c r="H58" s="125">
        <f>_11_C家事０．７５＿０．２５＿０．２５</f>
        <v>42</v>
      </c>
      <c r="I58" s="12" t="s">
        <v>392</v>
      </c>
      <c r="J58" s="757"/>
      <c r="K58" s="216"/>
      <c r="L58" s="38"/>
      <c r="M58" s="44" t="s">
        <v>397</v>
      </c>
      <c r="N58" s="247" t="s">
        <v>398</v>
      </c>
      <c r="O58" s="46">
        <v>1</v>
      </c>
      <c r="P58" s="35"/>
      <c r="R58" s="234"/>
      <c r="S58" s="35"/>
      <c r="U58" s="234"/>
      <c r="X58" s="208">
        <f>ROUND((ROUND((_11_A家事０．７５*_11・基礎２),0)*_11・２人),0)+ROUND((ROUND((ROUND((_11_B家事０．７５＿０．２５*_11・基礎２),0)*_11・２人),0)*(1+_11・B夜間)),0)+ROUND((ROUND((ROUND((_11_C家事０．７５＿０．２５＿０．２５*_11・基礎２),0)*_11・２人),0)*(1+_11・C深夜)),0)</f>
        <v>244</v>
      </c>
      <c r="Y58" s="48"/>
    </row>
    <row r="59" spans="1:25" ht="16.5" customHeight="1" x14ac:dyDescent="0.15">
      <c r="A59" s="41">
        <v>11</v>
      </c>
      <c r="B59" s="41" t="s">
        <v>10409</v>
      </c>
      <c r="C59" s="74" t="s">
        <v>10410</v>
      </c>
      <c r="D59" s="72"/>
      <c r="F59" s="72"/>
      <c r="H59" s="72"/>
      <c r="J59" s="114"/>
      <c r="K59" s="221"/>
      <c r="L59" s="50"/>
      <c r="M59" s="44"/>
      <c r="N59" s="247"/>
      <c r="O59" s="46"/>
      <c r="P59" s="35"/>
      <c r="R59" s="234"/>
      <c r="S59" s="35"/>
      <c r="U59" s="234"/>
      <c r="V59" s="707" t="s">
        <v>404</v>
      </c>
      <c r="W59" s="708"/>
      <c r="X59" s="208">
        <f>ROUND((_11_A家事０．７５*_11・初任),0)+ROUND((ROUND((_11_B家事０．７５＿０．２５*(1+_11・B夜間)),0)*_11・初任),0)+ROUND((ROUND((_11_C家事０．７５＿０．２５＿０．２５*(1+_11・C深夜)),0)*_11・初任),0)</f>
        <v>189</v>
      </c>
      <c r="Y59" s="48"/>
    </row>
    <row r="60" spans="1:25" ht="16.5" customHeight="1" x14ac:dyDescent="0.15">
      <c r="A60" s="41">
        <v>11</v>
      </c>
      <c r="B60" s="41" t="s">
        <v>10411</v>
      </c>
      <c r="C60" s="74" t="s">
        <v>10412</v>
      </c>
      <c r="D60" s="72"/>
      <c r="F60" s="72"/>
      <c r="H60" s="72"/>
      <c r="J60" s="122"/>
      <c r="K60" s="216"/>
      <c r="L60" s="38"/>
      <c r="M60" s="44" t="s">
        <v>397</v>
      </c>
      <c r="N60" s="247" t="s">
        <v>398</v>
      </c>
      <c r="O60" s="46">
        <v>1</v>
      </c>
      <c r="P60" s="35"/>
      <c r="R60" s="234"/>
      <c r="S60" s="35"/>
      <c r="U60" s="234"/>
      <c r="V60" s="709"/>
      <c r="W60" s="704"/>
      <c r="X60" s="208">
        <f>ROUND((ROUND((_11_A家事０．７５*_11・２人),0)*_11・初任),0)+ROUND((ROUND((ROUND((_11_B家事０．７５＿０．２５*_11・２人),0)*(1+_11・B夜間)),0)*_11・初任),0)+ROUND((ROUND((ROUND((_11_C家事０．７５＿０．２５＿０．２５*_11・２人),0)*(1+_11・C深夜)),0)*_11・初任),0)</f>
        <v>189</v>
      </c>
      <c r="Y60" s="48"/>
    </row>
    <row r="61" spans="1:25" ht="16.5" customHeight="1" x14ac:dyDescent="0.15">
      <c r="A61" s="41">
        <v>11</v>
      </c>
      <c r="B61" s="41" t="s">
        <v>10413</v>
      </c>
      <c r="C61" s="74" t="s">
        <v>10414</v>
      </c>
      <c r="D61" s="72"/>
      <c r="F61" s="72"/>
      <c r="H61" s="72"/>
      <c r="J61" s="752" t="s">
        <v>400</v>
      </c>
      <c r="K61" s="221" t="s">
        <v>398</v>
      </c>
      <c r="L61" s="50">
        <v>0.9</v>
      </c>
      <c r="M61" s="44"/>
      <c r="N61" s="247"/>
      <c r="O61" s="46"/>
      <c r="P61" s="35"/>
      <c r="R61" s="234"/>
      <c r="S61" s="35"/>
      <c r="U61" s="234"/>
      <c r="V61" s="709"/>
      <c r="W61" s="704"/>
      <c r="X61" s="208">
        <f>ROUND((ROUND((_11_A家事０．７５*_11・基礎２),0)*_11・初任),0)+ROUND((ROUND((ROUND((_11_B家事０．７５＿０．２５*_11・基礎２),0)*(1+_11・B夜間)),0)*_11・初任),0)+ROUND((ROUND((ROUND((_11_C家事０．７５＿０．２５＿０．２５*_11・基礎２),0)*(1+_11・C深夜)),0)*_11・初任),0)</f>
        <v>171</v>
      </c>
      <c r="Y61" s="48"/>
    </row>
    <row r="62" spans="1:25" ht="16.5" customHeight="1" x14ac:dyDescent="0.15">
      <c r="A62" s="41">
        <v>11</v>
      </c>
      <c r="B62" s="41" t="s">
        <v>10415</v>
      </c>
      <c r="C62" s="74" t="s">
        <v>10416</v>
      </c>
      <c r="D62" s="72"/>
      <c r="F62" s="72"/>
      <c r="H62" s="72"/>
      <c r="J62" s="757"/>
      <c r="K62" s="216"/>
      <c r="L62" s="38"/>
      <c r="M62" s="44" t="s">
        <v>397</v>
      </c>
      <c r="N62" s="247" t="s">
        <v>398</v>
      </c>
      <c r="O62" s="46">
        <v>1</v>
      </c>
      <c r="P62" s="35"/>
      <c r="R62" s="234"/>
      <c r="S62" s="35"/>
      <c r="U62" s="234"/>
      <c r="V62" s="240" t="s">
        <v>398</v>
      </c>
      <c r="W62" s="38">
        <f>_11・初任</f>
        <v>0.7</v>
      </c>
      <c r="X62" s="208">
        <f>ROUND((ROUND((ROUND((_11_A家事０．７５*_11・基礎２),0)*_11・２人),0)*_11・初任),0)+ROUND((ROUND((ROUND((ROUND((_11_B家事０．７５＿０．２５*_11・基礎２),0)*_11・２人),0)*(1+_11・B夜間)),0)*_11・初任),0)+ROUND((ROUND((ROUND((ROUND((_11_C家事０．７５＿０．２５＿０．２５*_11・基礎２),0)*_11・２人),0)*(1+_11・C深夜)),0)*_11・初任),0)</f>
        <v>171</v>
      </c>
      <c r="Y62" s="48"/>
    </row>
    <row r="63" spans="1:25" ht="16.5" customHeight="1" x14ac:dyDescent="0.15">
      <c r="A63" s="41">
        <v>11</v>
      </c>
      <c r="B63" s="41">
        <v>8055</v>
      </c>
      <c r="C63" s="74" t="s">
        <v>10417</v>
      </c>
      <c r="D63" s="72"/>
      <c r="F63" s="72"/>
      <c r="H63" s="707" t="s">
        <v>9980</v>
      </c>
      <c r="I63" s="717"/>
      <c r="J63" s="114"/>
      <c r="K63" s="221"/>
      <c r="L63" s="50"/>
      <c r="M63" s="44"/>
      <c r="N63" s="247"/>
      <c r="O63" s="46"/>
      <c r="P63" s="35"/>
      <c r="R63" s="234"/>
      <c r="S63" s="35"/>
      <c r="U63" s="234"/>
      <c r="V63" s="53"/>
      <c r="W63" s="50"/>
      <c r="X63" s="208">
        <f>_11_A家事０．７５+ROUND((_11_B家事０．７５＿０．２５*(1+_11・B夜間)),0)+ROUND((_11_C家事０．７５＿０．２５＿０．５*(1+_11・C深夜)),0)</f>
        <v>324</v>
      </c>
      <c r="Y63" s="48"/>
    </row>
    <row r="64" spans="1:25" ht="16.5" customHeight="1" x14ac:dyDescent="0.15">
      <c r="A64" s="41">
        <v>11</v>
      </c>
      <c r="B64" s="41">
        <v>8056</v>
      </c>
      <c r="C64" s="74" t="s">
        <v>10418</v>
      </c>
      <c r="D64" s="72"/>
      <c r="F64" s="72"/>
      <c r="H64" s="709"/>
      <c r="I64" s="718"/>
      <c r="J64" s="122"/>
      <c r="K64" s="216"/>
      <c r="L64" s="38"/>
      <c r="M64" s="44" t="s">
        <v>397</v>
      </c>
      <c r="N64" s="247" t="s">
        <v>398</v>
      </c>
      <c r="O64" s="46">
        <v>1</v>
      </c>
      <c r="P64" s="35"/>
      <c r="R64" s="234"/>
      <c r="S64" s="35"/>
      <c r="U64" s="234"/>
      <c r="V64" s="35"/>
      <c r="X64" s="208">
        <f>ROUND((_11_A家事０．７５*_11・２人),0)+ROUND((ROUND((_11_B家事０．７５＿０．２５*_11・２人),0)*(1+_11・B夜間)),0)+ROUND((ROUND((_11_C家事０．７５＿０．２５＿０．５*_11・２人),0)*(1+_11・C深夜)),0)</f>
        <v>324</v>
      </c>
      <c r="Y64" s="48"/>
    </row>
    <row r="65" spans="1:25" ht="16.5" customHeight="1" x14ac:dyDescent="0.15">
      <c r="A65" s="41">
        <v>11</v>
      </c>
      <c r="B65" s="41">
        <v>8057</v>
      </c>
      <c r="C65" s="74" t="s">
        <v>10419</v>
      </c>
      <c r="D65" s="72"/>
      <c r="F65" s="72"/>
      <c r="H65" s="709"/>
      <c r="I65" s="718"/>
      <c r="J65" s="752" t="s">
        <v>400</v>
      </c>
      <c r="K65" s="221" t="s">
        <v>398</v>
      </c>
      <c r="L65" s="50">
        <v>0.9</v>
      </c>
      <c r="M65" s="44"/>
      <c r="N65" s="247"/>
      <c r="O65" s="46"/>
      <c r="P65" s="35"/>
      <c r="R65" s="234"/>
      <c r="S65" s="35"/>
      <c r="U65" s="234"/>
      <c r="V65" s="35"/>
      <c r="X65" s="208">
        <f>ROUND((_11_A家事０．７５*_11・基礎２),0)+ROUND((ROUND((_11_B家事０．７５＿０．２５*_11・基礎２),0)*(1+_11・B夜間)),0)+ROUND((ROUND((_11_C家事０．７５＿０．２５＿０．５*_11・基礎２),0)*(1+_11・C深夜)),0)</f>
        <v>292</v>
      </c>
      <c r="Y65" s="48"/>
    </row>
    <row r="66" spans="1:25" ht="16.5" customHeight="1" x14ac:dyDescent="0.15">
      <c r="A66" s="41">
        <v>11</v>
      </c>
      <c r="B66" s="41">
        <v>8058</v>
      </c>
      <c r="C66" s="74" t="s">
        <v>10420</v>
      </c>
      <c r="D66" s="72"/>
      <c r="F66" s="72"/>
      <c r="H66" s="125">
        <f>_11_C家事０．７５＿０．２５＿０．５</f>
        <v>78</v>
      </c>
      <c r="I66" s="12" t="s">
        <v>392</v>
      </c>
      <c r="J66" s="757"/>
      <c r="K66" s="216"/>
      <c r="L66" s="38"/>
      <c r="M66" s="44" t="s">
        <v>397</v>
      </c>
      <c r="N66" s="247" t="s">
        <v>398</v>
      </c>
      <c r="O66" s="46">
        <v>1</v>
      </c>
      <c r="P66" s="35"/>
      <c r="R66" s="234"/>
      <c r="S66" s="35"/>
      <c r="U66" s="234"/>
      <c r="V66" s="43"/>
      <c r="W66" s="38"/>
      <c r="X66" s="208">
        <f>ROUND((ROUND((_11_A家事０．７５*_11・基礎２),0)*_11・２人),0)+ROUND((ROUND((ROUND((_11_B家事０．７５＿０．２５*_11・基礎２),0)*_11・２人),0)*(1+_11・B夜間)),0)+ROUND((ROUND((ROUND((_11_C家事０．７５＿０．２５＿０．５*_11・基礎２),0)*_11・２人),0)*(1+_11・C深夜)),0)</f>
        <v>292</v>
      </c>
      <c r="Y66" s="48"/>
    </row>
    <row r="67" spans="1:25" ht="16.5" customHeight="1" x14ac:dyDescent="0.15">
      <c r="A67" s="41">
        <v>11</v>
      </c>
      <c r="B67" s="41" t="s">
        <v>10421</v>
      </c>
      <c r="C67" s="74" t="s">
        <v>10422</v>
      </c>
      <c r="D67" s="72"/>
      <c r="F67" s="72"/>
      <c r="H67" s="72"/>
      <c r="J67" s="114"/>
      <c r="K67" s="221"/>
      <c r="L67" s="50"/>
      <c r="M67" s="44"/>
      <c r="N67" s="247"/>
      <c r="O67" s="46"/>
      <c r="P67" s="35"/>
      <c r="R67" s="234"/>
      <c r="S67" s="35"/>
      <c r="U67" s="234"/>
      <c r="V67" s="707" t="s">
        <v>404</v>
      </c>
      <c r="W67" s="708"/>
      <c r="X67" s="208">
        <f>ROUND((_11_A家事０．７５*_11・初任),0)+ROUND((ROUND((_11_B家事０．７５＿０．２５*(1+_11・B夜間)),0)*_11・初任),0)+ROUND((ROUND((_11_C家事０．７５＿０．２５＿０．５*(1+_11・C深夜)),0)*_11・初任),0)</f>
        <v>227</v>
      </c>
      <c r="Y67" s="48"/>
    </row>
    <row r="68" spans="1:25" ht="16.5" customHeight="1" x14ac:dyDescent="0.15">
      <c r="A68" s="41">
        <v>11</v>
      </c>
      <c r="B68" s="41" t="s">
        <v>10423</v>
      </c>
      <c r="C68" s="74" t="s">
        <v>10424</v>
      </c>
      <c r="D68" s="72"/>
      <c r="F68" s="72"/>
      <c r="H68" s="72"/>
      <c r="J68" s="122"/>
      <c r="K68" s="216"/>
      <c r="L68" s="38"/>
      <c r="M68" s="44" t="s">
        <v>397</v>
      </c>
      <c r="N68" s="247" t="s">
        <v>398</v>
      </c>
      <c r="O68" s="46">
        <v>1</v>
      </c>
      <c r="P68" s="35"/>
      <c r="R68" s="234"/>
      <c r="S68" s="35"/>
      <c r="U68" s="234"/>
      <c r="V68" s="709"/>
      <c r="W68" s="704"/>
      <c r="X68" s="208">
        <f>ROUND((ROUND((_11_A家事０．７５*_11・２人),0)*_11・初任),0)+ROUND((ROUND((ROUND((_11_B家事０．７５＿０．２５*_11・２人),0)*(1+_11・B夜間)),0)*_11・初任),0)+ROUND((ROUND((ROUND((_11_C家事０．７５＿０．２５＿０．５*_11・２人),0)*(1+_11・C深夜)),0)*_11・初任),0)</f>
        <v>227</v>
      </c>
      <c r="Y68" s="48"/>
    </row>
    <row r="69" spans="1:25" ht="16.5" customHeight="1" x14ac:dyDescent="0.15">
      <c r="A69" s="41">
        <v>11</v>
      </c>
      <c r="B69" s="41" t="s">
        <v>10425</v>
      </c>
      <c r="C69" s="74" t="s">
        <v>10426</v>
      </c>
      <c r="D69" s="72"/>
      <c r="F69" s="72"/>
      <c r="H69" s="72"/>
      <c r="J69" s="752" t="s">
        <v>400</v>
      </c>
      <c r="K69" s="221" t="s">
        <v>398</v>
      </c>
      <c r="L69" s="50">
        <v>0.9</v>
      </c>
      <c r="M69" s="44"/>
      <c r="N69" s="247"/>
      <c r="O69" s="46"/>
      <c r="P69" s="35"/>
      <c r="R69" s="234"/>
      <c r="S69" s="35"/>
      <c r="U69" s="234"/>
      <c r="V69" s="709"/>
      <c r="W69" s="704"/>
      <c r="X69" s="208">
        <f>ROUND((ROUND((_11_A家事０．７５*_11・基礎２),0)*_11・初任),0)+ROUND((ROUND((ROUND((_11_B家事０．７５＿０．２５*_11・基礎２),0)*(1+_11・B夜間)),0)*_11・初任),0)+ROUND((ROUND((ROUND((_11_C家事０．７５＿０．２５＿０．５*_11・基礎２),0)*(1+_11・C深夜)),0)*_11・初任),0)</f>
        <v>205</v>
      </c>
      <c r="Y69" s="48"/>
    </row>
    <row r="70" spans="1:25" ht="16.5" customHeight="1" x14ac:dyDescent="0.15">
      <c r="A70" s="41">
        <v>11</v>
      </c>
      <c r="B70" s="41" t="s">
        <v>10427</v>
      </c>
      <c r="C70" s="74" t="s">
        <v>10428</v>
      </c>
      <c r="D70" s="72"/>
      <c r="F70" s="72"/>
      <c r="H70" s="72"/>
      <c r="J70" s="757"/>
      <c r="K70" s="216"/>
      <c r="L70" s="38"/>
      <c r="M70" s="44" t="s">
        <v>397</v>
      </c>
      <c r="N70" s="247" t="s">
        <v>398</v>
      </c>
      <c r="O70" s="46">
        <v>1</v>
      </c>
      <c r="P70" s="35"/>
      <c r="R70" s="234"/>
      <c r="S70" s="35"/>
      <c r="U70" s="234"/>
      <c r="V70" s="240" t="s">
        <v>398</v>
      </c>
      <c r="W70" s="38">
        <f>_11・初任</f>
        <v>0.7</v>
      </c>
      <c r="X70" s="208">
        <f>ROUND((ROUND((ROUND((_11_A家事０．７５*_11・基礎２),0)*_11・２人),0)*_11・初任),0)+ROUND((ROUND((ROUND((ROUND((_11_B家事０．７５＿０．２５*_11・基礎２),0)*_11・２人),0)*(1+_11・B夜間)),0)*_11・初任),0)+ROUND((ROUND((ROUND((ROUND((_11_C家事０．７５＿０．２５＿０．５*_11・基礎２),0)*_11・２人),0)*(1+_11・C深夜)),0)*_11・初任),0)</f>
        <v>205</v>
      </c>
      <c r="Y70" s="48"/>
    </row>
    <row r="71" spans="1:25" ht="16.5" customHeight="1" x14ac:dyDescent="0.15">
      <c r="A71" s="41">
        <v>11</v>
      </c>
      <c r="B71" s="41">
        <v>8059</v>
      </c>
      <c r="C71" s="74" t="s">
        <v>10429</v>
      </c>
      <c r="D71" s="132"/>
      <c r="E71" s="106"/>
      <c r="F71" s="707" t="s">
        <v>9726</v>
      </c>
      <c r="G71" s="717"/>
      <c r="H71" s="707" t="s">
        <v>9967</v>
      </c>
      <c r="I71" s="717"/>
      <c r="J71" s="114"/>
      <c r="K71" s="221"/>
      <c r="L71" s="50"/>
      <c r="M71" s="44"/>
      <c r="N71" s="247"/>
      <c r="O71" s="46"/>
      <c r="P71" s="35"/>
      <c r="R71" s="234"/>
      <c r="S71" s="35"/>
      <c r="U71" s="234"/>
      <c r="V71" s="253"/>
      <c r="W71" s="50"/>
      <c r="X71" s="208">
        <f>_11_A家事０．７５+ROUND((_11_B家事０．７５＿０．５*(1+_11・B夜間)),0)+ROUND((_11_C家事０．７５＿０．５＿０．２５*(1+_11・C深夜)),0)</f>
        <v>314</v>
      </c>
      <c r="Y71" s="48"/>
    </row>
    <row r="72" spans="1:25" ht="16.5" customHeight="1" x14ac:dyDescent="0.15">
      <c r="A72" s="41">
        <v>11</v>
      </c>
      <c r="B72" s="41">
        <v>8060</v>
      </c>
      <c r="C72" s="74" t="s">
        <v>10430</v>
      </c>
      <c r="D72" s="132"/>
      <c r="E72" s="106"/>
      <c r="F72" s="709"/>
      <c r="G72" s="718"/>
      <c r="H72" s="709"/>
      <c r="I72" s="718"/>
      <c r="J72" s="122"/>
      <c r="K72" s="216"/>
      <c r="L72" s="38"/>
      <c r="M72" s="44" t="s">
        <v>397</v>
      </c>
      <c r="N72" s="247" t="s">
        <v>398</v>
      </c>
      <c r="O72" s="46">
        <v>1</v>
      </c>
      <c r="P72" s="35"/>
      <c r="R72" s="234"/>
      <c r="S72" s="35"/>
      <c r="U72" s="234"/>
      <c r="X72" s="208">
        <f>ROUND((_11_A家事０．７５*_11・２人),0)+ROUND((ROUND((_11_B家事０．７５＿０．５*_11・２人),0)*(1+_11・B夜間)),0)+ROUND((ROUND((_11_C家事０．７５＿０．５＿０．２５*_11・２人),0)*(1+_11・C深夜)),0)</f>
        <v>314</v>
      </c>
      <c r="Y72" s="48"/>
    </row>
    <row r="73" spans="1:25" ht="16.5" customHeight="1" x14ac:dyDescent="0.15">
      <c r="A73" s="41">
        <v>11</v>
      </c>
      <c r="B73" s="41">
        <v>8061</v>
      </c>
      <c r="C73" s="74" t="s">
        <v>10431</v>
      </c>
      <c r="D73" s="132"/>
      <c r="E73" s="106"/>
      <c r="F73" s="709"/>
      <c r="G73" s="718"/>
      <c r="H73" s="709"/>
      <c r="I73" s="718"/>
      <c r="J73" s="752" t="s">
        <v>400</v>
      </c>
      <c r="K73" s="221" t="s">
        <v>398</v>
      </c>
      <c r="L73" s="50">
        <v>0.9</v>
      </c>
      <c r="M73" s="44"/>
      <c r="N73" s="247"/>
      <c r="O73" s="46"/>
      <c r="P73" s="35"/>
      <c r="R73" s="234"/>
      <c r="S73" s="35"/>
      <c r="U73" s="234"/>
      <c r="X73" s="208">
        <f>ROUND((_11_A家事０．７５*_11・基礎２),0)+ROUND((ROUND((_11_B家事０．７５＿０．５*_11・基礎２),0)*(1+_11・B夜間)),0)+ROUND((ROUND((_11_C家事０．７５＿０．５＿０．２５*_11・基礎２),0)*(1+_11・C深夜)),0)</f>
        <v>281</v>
      </c>
      <c r="Y73" s="48"/>
    </row>
    <row r="74" spans="1:25" ht="16.5" customHeight="1" x14ac:dyDescent="0.15">
      <c r="A74" s="41">
        <v>11</v>
      </c>
      <c r="B74" s="41">
        <v>8062</v>
      </c>
      <c r="C74" s="74" t="s">
        <v>10432</v>
      </c>
      <c r="D74" s="125"/>
      <c r="E74" s="57"/>
      <c r="F74" s="125">
        <f>_11_B家事０．７５＿０．５</f>
        <v>86</v>
      </c>
      <c r="G74" s="12" t="s">
        <v>392</v>
      </c>
      <c r="H74" s="125">
        <f>_11_C家事０．７５＿０．５＿０．２５</f>
        <v>36</v>
      </c>
      <c r="I74" s="12" t="s">
        <v>392</v>
      </c>
      <c r="J74" s="757"/>
      <c r="K74" s="216"/>
      <c r="L74" s="38"/>
      <c r="M74" s="44" t="s">
        <v>397</v>
      </c>
      <c r="N74" s="247" t="s">
        <v>398</v>
      </c>
      <c r="O74" s="46">
        <v>1</v>
      </c>
      <c r="P74" s="35"/>
      <c r="R74" s="234"/>
      <c r="S74" s="35"/>
      <c r="U74" s="234"/>
      <c r="X74" s="208">
        <f>ROUND((ROUND((_11_A家事０．７５*_11・基礎２),0)*_11・２人),0)+ROUND((ROUND((ROUND((_11_B家事０．７５＿０．５*_11・基礎２),0)*_11・２人),0)*(1+_11・B夜間)),0)+ROUND((ROUND((ROUND((_11_C家事０．７５＿０．５＿０．２５*_11・基礎２),0)*_11・２人),0)*(1+_11・C深夜)),0)</f>
        <v>281</v>
      </c>
      <c r="Y74" s="48"/>
    </row>
    <row r="75" spans="1:25" ht="16.5" customHeight="1" x14ac:dyDescent="0.15">
      <c r="A75" s="41">
        <v>11</v>
      </c>
      <c r="B75" s="41" t="s">
        <v>10433</v>
      </c>
      <c r="C75" s="74" t="s">
        <v>10434</v>
      </c>
      <c r="D75" s="72"/>
      <c r="F75" s="72"/>
      <c r="H75" s="72"/>
      <c r="J75" s="114"/>
      <c r="K75" s="221"/>
      <c r="L75" s="50"/>
      <c r="M75" s="44"/>
      <c r="N75" s="247"/>
      <c r="O75" s="46"/>
      <c r="P75" s="35"/>
      <c r="R75" s="234"/>
      <c r="S75" s="35"/>
      <c r="U75" s="234"/>
      <c r="V75" s="707" t="s">
        <v>404</v>
      </c>
      <c r="W75" s="708"/>
      <c r="X75" s="208">
        <f>ROUND((_11_A家事０．７５*_11・初任),0)+ROUND((ROUND((_11_B家事０．７５＿０．５*(1+_11・B夜間)),0)*_11・初任),0)+ROUND((ROUND((_11_C家事０．７５＿０．５＿０．２５*(1+_11・C深夜)),0)*_11・初任),0)</f>
        <v>220</v>
      </c>
      <c r="Y75" s="48"/>
    </row>
    <row r="76" spans="1:25" ht="16.5" customHeight="1" x14ac:dyDescent="0.15">
      <c r="A76" s="41">
        <v>11</v>
      </c>
      <c r="B76" s="41" t="s">
        <v>10435</v>
      </c>
      <c r="C76" s="74" t="s">
        <v>10436</v>
      </c>
      <c r="D76" s="72"/>
      <c r="F76" s="72"/>
      <c r="H76" s="72"/>
      <c r="J76" s="122"/>
      <c r="K76" s="216"/>
      <c r="L76" s="38"/>
      <c r="M76" s="44" t="s">
        <v>397</v>
      </c>
      <c r="N76" s="247" t="s">
        <v>398</v>
      </c>
      <c r="O76" s="46">
        <v>1</v>
      </c>
      <c r="P76" s="35"/>
      <c r="R76" s="234"/>
      <c r="S76" s="35"/>
      <c r="U76" s="234"/>
      <c r="V76" s="709"/>
      <c r="W76" s="704"/>
      <c r="X76" s="208">
        <f>ROUND((ROUND((_11_A家事０．７５*_11・２人),0)*_11・初任),0)+ROUND((ROUND((ROUND((_11_B家事０．７５＿０．５*_11・２人),0)*(1+_11・B夜間)),0)*_11・初任),0)+ROUND((ROUND((ROUND((_11_C家事０．７５＿０．５＿０．２５*_11・２人),0)*(1+_11・C深夜)),0)*_11・初任),0)</f>
        <v>220</v>
      </c>
      <c r="Y76" s="48"/>
    </row>
    <row r="77" spans="1:25" ht="16.5" customHeight="1" x14ac:dyDescent="0.15">
      <c r="A77" s="41">
        <v>11</v>
      </c>
      <c r="B77" s="41" t="s">
        <v>10437</v>
      </c>
      <c r="C77" s="74" t="s">
        <v>10438</v>
      </c>
      <c r="D77" s="72"/>
      <c r="F77" s="72"/>
      <c r="H77" s="72"/>
      <c r="J77" s="752" t="s">
        <v>400</v>
      </c>
      <c r="K77" s="221" t="s">
        <v>398</v>
      </c>
      <c r="L77" s="50">
        <v>0.9</v>
      </c>
      <c r="M77" s="44"/>
      <c r="N77" s="247"/>
      <c r="O77" s="46"/>
      <c r="P77" s="35"/>
      <c r="R77" s="234"/>
      <c r="S77" s="35"/>
      <c r="U77" s="234"/>
      <c r="V77" s="709"/>
      <c r="W77" s="704"/>
      <c r="X77" s="208">
        <f>ROUND((ROUND((_11_A家事０．７５*_11・基礎２),0)*_11・初任),0)+ROUND((ROUND((ROUND((_11_B家事０．７５＿０．５*_11・基礎２),0)*(1+_11・B夜間)),0)*_11・初任),0)+ROUND((ROUND((ROUND((_11_C家事０．７５＿０．５＿０．２５*_11・基礎２),0)*(1+_11・C深夜)),0)*_11・初任),0)</f>
        <v>197</v>
      </c>
      <c r="Y77" s="48"/>
    </row>
    <row r="78" spans="1:25" ht="16.5" customHeight="1" x14ac:dyDescent="0.15">
      <c r="A78" s="41">
        <v>11</v>
      </c>
      <c r="B78" s="41" t="s">
        <v>10439</v>
      </c>
      <c r="C78" s="74" t="s">
        <v>10440</v>
      </c>
      <c r="D78" s="72"/>
      <c r="F78" s="72"/>
      <c r="H78" s="72"/>
      <c r="J78" s="757"/>
      <c r="K78" s="216"/>
      <c r="L78" s="38"/>
      <c r="M78" s="44" t="s">
        <v>397</v>
      </c>
      <c r="N78" s="247" t="s">
        <v>398</v>
      </c>
      <c r="O78" s="46">
        <v>1</v>
      </c>
      <c r="P78" s="35"/>
      <c r="R78" s="234"/>
      <c r="S78" s="35"/>
      <c r="U78" s="234"/>
      <c r="V78" s="240" t="s">
        <v>398</v>
      </c>
      <c r="W78" s="38">
        <f>_11・初任</f>
        <v>0.7</v>
      </c>
      <c r="X78" s="208">
        <f>ROUND((ROUND((ROUND((_11_A家事０．７５*_11・基礎２),0)*_11・２人),0)*_11・初任),0)+ROUND((ROUND((ROUND((ROUND((_11_B家事０．７５＿０．５*_11・基礎２),0)*_11・２人),0)*(1+_11・B夜間)),0)*_11・初任),0)+ROUND((ROUND((ROUND((ROUND((_11_C家事０．７５＿０．５＿０．２５*_11・基礎２),0)*_11・２人),0)*(1+_11・C深夜)),0)*_11・初任),0)</f>
        <v>197</v>
      </c>
      <c r="Y78" s="48"/>
    </row>
    <row r="79" spans="1:25" ht="16.5" customHeight="1" x14ac:dyDescent="0.15">
      <c r="A79" s="41">
        <v>11</v>
      </c>
      <c r="B79" s="41">
        <v>8063</v>
      </c>
      <c r="C79" s="74" t="s">
        <v>10441</v>
      </c>
      <c r="D79" s="707" t="s">
        <v>8292</v>
      </c>
      <c r="E79" s="717"/>
      <c r="F79" s="707" t="s">
        <v>9713</v>
      </c>
      <c r="G79" s="717"/>
      <c r="H79" s="707" t="s">
        <v>9967</v>
      </c>
      <c r="I79" s="717"/>
      <c r="J79" s="114"/>
      <c r="K79" s="221"/>
      <c r="L79" s="50"/>
      <c r="M79" s="44"/>
      <c r="N79" s="247"/>
      <c r="O79" s="46"/>
      <c r="P79" s="35"/>
      <c r="R79" s="234"/>
      <c r="S79" s="35"/>
      <c r="U79" s="234"/>
      <c r="V79" s="53"/>
      <c r="W79" s="50"/>
      <c r="X79" s="208">
        <f>_11_A家事１．０+ROUND((_11_B家事１．０＿０．２５*(1+_11・B夜間)),0)+ROUND((_11_C家事１．０＿０．２５＿０．２５*(1+_11・C深夜)),0)</f>
        <v>303</v>
      </c>
      <c r="Y79" s="48"/>
    </row>
    <row r="80" spans="1:25" ht="16.5" customHeight="1" x14ac:dyDescent="0.15">
      <c r="A80" s="41">
        <v>11</v>
      </c>
      <c r="B80" s="41">
        <v>8064</v>
      </c>
      <c r="C80" s="74" t="s">
        <v>10442</v>
      </c>
      <c r="D80" s="709"/>
      <c r="E80" s="718"/>
      <c r="F80" s="709"/>
      <c r="G80" s="718"/>
      <c r="H80" s="709"/>
      <c r="I80" s="718"/>
      <c r="J80" s="122"/>
      <c r="K80" s="216"/>
      <c r="L80" s="38"/>
      <c r="M80" s="44" t="s">
        <v>397</v>
      </c>
      <c r="N80" s="247" t="s">
        <v>398</v>
      </c>
      <c r="O80" s="46">
        <v>1</v>
      </c>
      <c r="P80" s="35"/>
      <c r="R80" s="234"/>
      <c r="S80" s="35"/>
      <c r="U80" s="234"/>
      <c r="V80" s="35"/>
      <c r="X80" s="208">
        <f>ROUND((_11_A家事１．０*_11・２人),0)+ROUND((ROUND((_11_B家事１．０＿０．２５*_11・２人),0)*(1+_11・B夜間)),0)+ROUND((ROUND((_11_C家事１．０＿０．２５＿０．２５*_11・２人),0)*(1+_11・C深夜)),0)</f>
        <v>303</v>
      </c>
      <c r="Y80" s="48"/>
    </row>
    <row r="81" spans="1:25" ht="16.5" customHeight="1" x14ac:dyDescent="0.15">
      <c r="A81" s="41">
        <v>11</v>
      </c>
      <c r="B81" s="41">
        <v>8065</v>
      </c>
      <c r="C81" s="74" t="s">
        <v>10443</v>
      </c>
      <c r="D81" s="709"/>
      <c r="E81" s="718"/>
      <c r="F81" s="709"/>
      <c r="G81" s="718"/>
      <c r="H81" s="709"/>
      <c r="I81" s="718"/>
      <c r="J81" s="752" t="s">
        <v>400</v>
      </c>
      <c r="K81" s="221" t="s">
        <v>398</v>
      </c>
      <c r="L81" s="50">
        <v>0.9</v>
      </c>
      <c r="M81" s="44"/>
      <c r="N81" s="247"/>
      <c r="O81" s="46"/>
      <c r="P81" s="35"/>
      <c r="R81" s="234"/>
      <c r="S81" s="35"/>
      <c r="U81" s="234"/>
      <c r="V81" s="35"/>
      <c r="X81" s="208">
        <f>ROUND((_11_A家事１．０*_11・基礎２),0)+ROUND((ROUND((_11_B家事１．０＿０．２５*_11・基礎２),0)*(1+_11・B夜間)),0)+ROUND((ROUND((_11_C家事１．０＿０．２５＿０．２５*_11・基礎２),0)*(1+_11・C深夜)),0)</f>
        <v>272</v>
      </c>
      <c r="Y81" s="48"/>
    </row>
    <row r="82" spans="1:25" ht="16.5" customHeight="1" x14ac:dyDescent="0.15">
      <c r="A82" s="41">
        <v>11</v>
      </c>
      <c r="B82" s="41">
        <v>8066</v>
      </c>
      <c r="C82" s="74" t="s">
        <v>10444</v>
      </c>
      <c r="D82" s="125">
        <f>_11_A家事１．０</f>
        <v>196</v>
      </c>
      <c r="E82" s="12" t="s">
        <v>392</v>
      </c>
      <c r="F82" s="125">
        <f>_11_B家事１．０＿０．２５</f>
        <v>42</v>
      </c>
      <c r="G82" s="12" t="s">
        <v>392</v>
      </c>
      <c r="H82" s="125">
        <f>_11_C家事１．０＿０．２５＿０．２５</f>
        <v>36</v>
      </c>
      <c r="I82" s="12" t="s">
        <v>392</v>
      </c>
      <c r="J82" s="757"/>
      <c r="K82" s="216"/>
      <c r="L82" s="38"/>
      <c r="M82" s="44" t="s">
        <v>397</v>
      </c>
      <c r="N82" s="247" t="s">
        <v>398</v>
      </c>
      <c r="O82" s="46">
        <v>1</v>
      </c>
      <c r="P82" s="35"/>
      <c r="R82" s="234"/>
      <c r="S82" s="35"/>
      <c r="U82" s="234"/>
      <c r="V82" s="43"/>
      <c r="W82" s="38"/>
      <c r="X82" s="208">
        <f>ROUND((ROUND((_11_A家事１．０*_11・基礎２),0)*_11・２人),0)+ROUND((ROUND((ROUND((_11_B家事１．０＿０．２５*_11・基礎２),0)*_11・２人),0)*(1+_11・B夜間)),0)+ROUND((ROUND((ROUND((_11_C家事１．０＿０．２５＿０．２５*_11・基礎２),0)*_11・２人),0)*(1+_11・C深夜)),0)</f>
        <v>272</v>
      </c>
      <c r="Y82" s="48"/>
    </row>
    <row r="83" spans="1:25" ht="16.5" customHeight="1" x14ac:dyDescent="0.15">
      <c r="A83" s="41">
        <v>11</v>
      </c>
      <c r="B83" s="41" t="s">
        <v>10445</v>
      </c>
      <c r="C83" s="74" t="s">
        <v>10446</v>
      </c>
      <c r="D83" s="72"/>
      <c r="F83" s="72"/>
      <c r="H83" s="72"/>
      <c r="J83" s="114"/>
      <c r="K83" s="221"/>
      <c r="L83" s="50"/>
      <c r="M83" s="44"/>
      <c r="N83" s="247"/>
      <c r="O83" s="46"/>
      <c r="P83" s="35"/>
      <c r="R83" s="234"/>
      <c r="S83" s="35"/>
      <c r="U83" s="234"/>
      <c r="V83" s="707" t="s">
        <v>404</v>
      </c>
      <c r="W83" s="708"/>
      <c r="X83" s="208">
        <f>ROUND((_11_A家事１．０*_11・初任),0)+ROUND((ROUND((_11_B家事１．０＿０．２５*(1+_11・B夜間)),0)*_11・初任),0)+ROUND((ROUND((_11_C家事１．０＿０．２５＿０．２５*(1+_11・C深夜)),0)*_11・初任),0)</f>
        <v>212</v>
      </c>
      <c r="Y83" s="48"/>
    </row>
    <row r="84" spans="1:25" ht="16.5" customHeight="1" x14ac:dyDescent="0.15">
      <c r="A84" s="41">
        <v>11</v>
      </c>
      <c r="B84" s="41" t="s">
        <v>10447</v>
      </c>
      <c r="C84" s="74" t="s">
        <v>10448</v>
      </c>
      <c r="D84" s="72"/>
      <c r="F84" s="72"/>
      <c r="H84" s="72"/>
      <c r="J84" s="122"/>
      <c r="K84" s="216"/>
      <c r="L84" s="38"/>
      <c r="M84" s="44" t="s">
        <v>397</v>
      </c>
      <c r="N84" s="247" t="s">
        <v>398</v>
      </c>
      <c r="O84" s="46">
        <v>1</v>
      </c>
      <c r="P84" s="35"/>
      <c r="R84" s="234"/>
      <c r="S84" s="35"/>
      <c r="U84" s="234"/>
      <c r="V84" s="709"/>
      <c r="W84" s="704"/>
      <c r="X84" s="208">
        <f>ROUND((ROUND((_11_A家事１．０*_11・２人),0)*_11・初任),0)+ROUND((ROUND((ROUND((_11_B家事１．０＿０．２５*_11・２人),0)*(1+_11・B夜間)),0)*_11・初任),0)+ROUND((ROUND((ROUND((_11_C家事１．０＿０．２５＿０．２５*_11・２人),0)*(1+_11・C深夜)),0)*_11・初任),0)</f>
        <v>212</v>
      </c>
      <c r="Y84" s="48"/>
    </row>
    <row r="85" spans="1:25" ht="16.5" customHeight="1" x14ac:dyDescent="0.15">
      <c r="A85" s="41">
        <v>11</v>
      </c>
      <c r="B85" s="41" t="s">
        <v>10449</v>
      </c>
      <c r="C85" s="74" t="s">
        <v>10450</v>
      </c>
      <c r="D85" s="72"/>
      <c r="F85" s="72"/>
      <c r="H85" s="72"/>
      <c r="J85" s="752" t="s">
        <v>400</v>
      </c>
      <c r="K85" s="221" t="s">
        <v>398</v>
      </c>
      <c r="L85" s="50">
        <v>0.9</v>
      </c>
      <c r="M85" s="44"/>
      <c r="N85" s="247"/>
      <c r="O85" s="46"/>
      <c r="P85" s="35"/>
      <c r="R85" s="234"/>
      <c r="S85" s="35"/>
      <c r="U85" s="234"/>
      <c r="V85" s="709"/>
      <c r="W85" s="704"/>
      <c r="X85" s="208">
        <f>ROUND((ROUND((_11_A家事１．０*_11・基礎２),0)*_11・初任),0)+ROUND((ROUND((ROUND((_11_B家事１．０＿０．２５*_11・基礎２),0)*(1+_11・B夜間)),0)*_11・初任),0)+ROUND((ROUND((ROUND((_11_C家事１．０＿０．２５＿０．２５*_11・基礎２),0)*(1+_11・C深夜)),0)*_11・初任),0)</f>
        <v>191</v>
      </c>
      <c r="Y85" s="48"/>
    </row>
    <row r="86" spans="1:25" ht="16.5" customHeight="1" x14ac:dyDescent="0.15">
      <c r="A86" s="41">
        <v>11</v>
      </c>
      <c r="B86" s="41" t="s">
        <v>10451</v>
      </c>
      <c r="C86" s="74" t="s">
        <v>10452</v>
      </c>
      <c r="D86" s="122"/>
      <c r="E86" s="37"/>
      <c r="F86" s="122"/>
      <c r="G86" s="37"/>
      <c r="H86" s="122"/>
      <c r="I86" s="37"/>
      <c r="J86" s="757"/>
      <c r="K86" s="216"/>
      <c r="L86" s="38"/>
      <c r="M86" s="44" t="s">
        <v>397</v>
      </c>
      <c r="N86" s="247" t="s">
        <v>398</v>
      </c>
      <c r="O86" s="46">
        <v>1</v>
      </c>
      <c r="P86" s="43"/>
      <c r="Q86" s="37"/>
      <c r="R86" s="244"/>
      <c r="S86" s="43"/>
      <c r="T86" s="37"/>
      <c r="U86" s="244"/>
      <c r="V86" s="240" t="s">
        <v>398</v>
      </c>
      <c r="W86" s="38">
        <f>_11・初任</f>
        <v>0.7</v>
      </c>
      <c r="X86" s="208">
        <f>ROUND((ROUND((ROUND((_11_A家事１．０*_11・基礎２),0)*_11・２人),0)*_11・初任),0)+ROUND((ROUND((ROUND((ROUND((_11_B家事１．０＿０．２５*_11・基礎２),0)*_11・２人),0)*(1+_11・B夜間)),0)*_11・初任),0)+ROUND((ROUND((ROUND((ROUND((_11_C家事１．０＿０．２５＿０．２５*_11・基礎２),0)*_11・２人),0)*(1+_11・C深夜)),0)*_11・初任),0)</f>
        <v>191</v>
      </c>
      <c r="Y86" s="63"/>
    </row>
    <row r="87" spans="1:25" s="9" customFormat="1" ht="16.5" customHeight="1" x14ac:dyDescent="0.15">
      <c r="C87" s="10"/>
      <c r="D87" s="10"/>
      <c r="E87" s="12"/>
      <c r="F87" s="10"/>
      <c r="G87" s="12"/>
      <c r="H87" s="10"/>
      <c r="I87" s="12"/>
      <c r="J87" s="10"/>
      <c r="K87" s="16"/>
      <c r="L87" s="13"/>
      <c r="M87" s="14"/>
      <c r="N87" s="16"/>
      <c r="O87" s="13"/>
      <c r="P87" s="12"/>
      <c r="Q87" s="12"/>
      <c r="R87" s="13"/>
      <c r="S87" s="12"/>
      <c r="T87" s="12"/>
      <c r="U87" s="13"/>
      <c r="V87" s="10"/>
      <c r="W87" s="13"/>
      <c r="X87" s="15"/>
      <c r="Y87" s="16"/>
    </row>
    <row r="88" spans="1:25" s="9" customFormat="1" ht="16.5" customHeight="1" x14ac:dyDescent="0.15">
      <c r="C88" s="10"/>
      <c r="D88" s="10"/>
      <c r="E88" s="12"/>
      <c r="F88" s="10"/>
      <c r="G88" s="12"/>
      <c r="H88" s="10"/>
      <c r="I88" s="12"/>
      <c r="J88" s="10"/>
      <c r="K88" s="16"/>
      <c r="L88" s="13"/>
      <c r="M88" s="14"/>
      <c r="N88" s="16"/>
      <c r="O88" s="13"/>
      <c r="P88" s="12"/>
      <c r="Q88" s="12"/>
      <c r="R88" s="13"/>
      <c r="S88" s="12"/>
      <c r="T88" s="12"/>
      <c r="U88" s="13"/>
      <c r="V88" s="10"/>
      <c r="W88" s="13"/>
      <c r="X88" s="15"/>
      <c r="Y88" s="16"/>
    </row>
  </sheetData>
  <mergeCells count="51">
    <mergeCell ref="V83:W85"/>
    <mergeCell ref="J85:J86"/>
    <mergeCell ref="F71:G73"/>
    <mergeCell ref="H71:I73"/>
    <mergeCell ref="J73:J74"/>
    <mergeCell ref="V75:W77"/>
    <mergeCell ref="J77:J78"/>
    <mergeCell ref="D79:E81"/>
    <mergeCell ref="F79:G81"/>
    <mergeCell ref="H79:I81"/>
    <mergeCell ref="J81:J82"/>
    <mergeCell ref="V59:W61"/>
    <mergeCell ref="J61:J62"/>
    <mergeCell ref="H63:I65"/>
    <mergeCell ref="J65:J66"/>
    <mergeCell ref="V67:W69"/>
    <mergeCell ref="J69:J70"/>
    <mergeCell ref="D55:E57"/>
    <mergeCell ref="F55:G57"/>
    <mergeCell ref="H55:I57"/>
    <mergeCell ref="J57:J58"/>
    <mergeCell ref="V35:W37"/>
    <mergeCell ref="J37:J38"/>
    <mergeCell ref="H39:I41"/>
    <mergeCell ref="J41:J42"/>
    <mergeCell ref="V43:W45"/>
    <mergeCell ref="J45:J46"/>
    <mergeCell ref="F47:G49"/>
    <mergeCell ref="H47:I49"/>
    <mergeCell ref="J49:J50"/>
    <mergeCell ref="V51:W53"/>
    <mergeCell ref="J53:J54"/>
    <mergeCell ref="H23:I25"/>
    <mergeCell ref="J25:J26"/>
    <mergeCell ref="V27:W29"/>
    <mergeCell ref="J29:J30"/>
    <mergeCell ref="F31:G33"/>
    <mergeCell ref="H31:I33"/>
    <mergeCell ref="J33:J34"/>
    <mergeCell ref="V11:W13"/>
    <mergeCell ref="J13:J14"/>
    <mergeCell ref="H15:I17"/>
    <mergeCell ref="J17:J18"/>
    <mergeCell ref="V19:W21"/>
    <mergeCell ref="J21:J22"/>
    <mergeCell ref="D7:E9"/>
    <mergeCell ref="F7:G9"/>
    <mergeCell ref="H7:I9"/>
    <mergeCell ref="R8:R9"/>
    <mergeCell ref="U8:U9"/>
    <mergeCell ref="J9:J10"/>
  </mergeCells>
  <phoneticPr fontId="1"/>
  <printOptions horizontalCentered="1"/>
  <pageMargins left="0.70866141732283472" right="0.70866141732283472" top="0.74803149606299213" bottom="0.74803149606299213" header="0.31496062992125984" footer="0.31496062992125984"/>
  <pageSetup paperSize="9" scale="46" fitToHeight="0" orientation="portrait" r:id="rId1"/>
  <headerFooter>
    <oddHeader>&amp;R&amp;"ＭＳ Ｐゴシック"&amp;9居宅介護</oddHeader>
    <oddFooter>&amp;C&amp;"ＭＳ Ｐゴシック"&amp;14&amp;P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7"/>
  <dimension ref="A1:O344"/>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0" customWidth="1"/>
    <col min="5" max="5" width="4.875" style="12" customWidth="1"/>
    <col min="6" max="6" width="11.875" style="12" customWidth="1"/>
    <col min="7" max="7" width="2.5" style="16" customWidth="1"/>
    <col min="8" max="8" width="4.5" style="13" bestFit="1" customWidth="1"/>
    <col min="9" max="9" width="24.125" style="14" bestFit="1" customWidth="1"/>
    <col min="10" max="10" width="2.5" style="16" customWidth="1"/>
    <col min="11" max="11" width="5.5" style="13" bestFit="1" customWidth="1"/>
    <col min="12" max="12" width="9.875" style="12" customWidth="1"/>
    <col min="13" max="13" width="4.5" style="13" bestFit="1" customWidth="1"/>
    <col min="14" max="14" width="7.125" style="15" customWidth="1"/>
    <col min="15" max="15" width="8.5" style="16" customWidth="1"/>
    <col min="16" max="16384" width="8.875" style="12"/>
  </cols>
  <sheetData>
    <row r="1" spans="1:15" ht="17.100000000000001" customHeight="1" x14ac:dyDescent="0.15"/>
    <row r="2" spans="1:15" ht="17.100000000000001" customHeight="1" x14ac:dyDescent="0.15"/>
    <row r="3" spans="1:15" ht="17.100000000000001" customHeight="1" x14ac:dyDescent="0.15"/>
    <row r="4" spans="1:15" ht="17.100000000000001" customHeight="1" x14ac:dyDescent="0.15">
      <c r="B4" s="17" t="s">
        <v>10453</v>
      </c>
      <c r="D4" s="71"/>
    </row>
    <row r="5" spans="1:15" ht="16.5" customHeight="1" x14ac:dyDescent="0.15">
      <c r="A5" s="19" t="s">
        <v>384</v>
      </c>
      <c r="B5" s="20"/>
      <c r="C5" s="21" t="s">
        <v>385</v>
      </c>
      <c r="D5" s="235" t="s">
        <v>386</v>
      </c>
      <c r="E5" s="23"/>
      <c r="F5" s="23"/>
      <c r="G5" s="23"/>
      <c r="H5" s="24"/>
      <c r="I5" s="23"/>
      <c r="J5" s="23"/>
      <c r="K5" s="24"/>
      <c r="L5" s="23"/>
      <c r="M5" s="24"/>
      <c r="N5" s="25" t="s">
        <v>387</v>
      </c>
      <c r="O5" s="21" t="s">
        <v>388</v>
      </c>
    </row>
    <row r="6" spans="1:15" ht="16.5" customHeight="1" x14ac:dyDescent="0.15">
      <c r="A6" s="26" t="s">
        <v>389</v>
      </c>
      <c r="B6" s="26" t="s">
        <v>390</v>
      </c>
      <c r="C6" s="27"/>
      <c r="D6" s="159"/>
      <c r="E6" s="29"/>
      <c r="F6" s="29"/>
      <c r="G6" s="214"/>
      <c r="H6" s="30"/>
      <c r="I6" s="29"/>
      <c r="J6" s="214"/>
      <c r="K6" s="30"/>
      <c r="L6" s="29"/>
      <c r="M6" s="30"/>
      <c r="N6" s="31" t="s">
        <v>391</v>
      </c>
      <c r="O6" s="32" t="s">
        <v>392</v>
      </c>
    </row>
    <row r="7" spans="1:15" ht="16.5" customHeight="1" x14ac:dyDescent="0.15">
      <c r="A7" s="33">
        <v>11</v>
      </c>
      <c r="B7" s="33">
        <v>8067</v>
      </c>
      <c r="C7" s="34" t="s">
        <v>10454</v>
      </c>
      <c r="D7" s="709" t="s">
        <v>10455</v>
      </c>
      <c r="E7" s="718"/>
      <c r="F7" s="35"/>
      <c r="G7" s="12"/>
      <c r="I7" s="36"/>
      <c r="J7" s="37"/>
      <c r="K7" s="38"/>
      <c r="L7" s="35"/>
      <c r="N7" s="39">
        <f>_11_A家事増０．２５</f>
        <v>35</v>
      </c>
      <c r="O7" s="40" t="s">
        <v>395</v>
      </c>
    </row>
    <row r="8" spans="1:15" ht="16.5" customHeight="1" x14ac:dyDescent="0.15">
      <c r="A8" s="41">
        <v>11</v>
      </c>
      <c r="B8" s="41">
        <v>8068</v>
      </c>
      <c r="C8" s="74" t="s">
        <v>10456</v>
      </c>
      <c r="D8" s="709"/>
      <c r="E8" s="718"/>
      <c r="F8" s="43"/>
      <c r="G8" s="37"/>
      <c r="H8" s="38"/>
      <c r="I8" s="44" t="s">
        <v>397</v>
      </c>
      <c r="J8" s="218" t="s">
        <v>398</v>
      </c>
      <c r="K8" s="46">
        <v>1</v>
      </c>
      <c r="L8" s="35"/>
      <c r="N8" s="47">
        <f>ROUND((_11_A家事増０．２５*_11・２人),0)</f>
        <v>35</v>
      </c>
      <c r="O8" s="48"/>
    </row>
    <row r="9" spans="1:15" ht="16.5" customHeight="1" x14ac:dyDescent="0.15">
      <c r="A9" s="41">
        <v>11</v>
      </c>
      <c r="B9" s="41">
        <v>8069</v>
      </c>
      <c r="C9" s="74" t="s">
        <v>10457</v>
      </c>
      <c r="D9" s="709"/>
      <c r="E9" s="718"/>
      <c r="F9" s="752" t="s">
        <v>400</v>
      </c>
      <c r="G9" s="219" t="s">
        <v>398</v>
      </c>
      <c r="H9" s="50">
        <v>0.9</v>
      </c>
      <c r="I9" s="44"/>
      <c r="J9" s="218"/>
      <c r="K9" s="46"/>
      <c r="L9" s="35"/>
      <c r="N9" s="47">
        <f>ROUND((_11_A家事増０．２５*_11・基礎２),0)</f>
        <v>32</v>
      </c>
      <c r="O9" s="48"/>
    </row>
    <row r="10" spans="1:15" ht="16.5" customHeight="1" x14ac:dyDescent="0.15">
      <c r="A10" s="41">
        <v>11</v>
      </c>
      <c r="B10" s="41">
        <v>8070</v>
      </c>
      <c r="C10" s="74" t="s">
        <v>10458</v>
      </c>
      <c r="D10" s="100">
        <f>_11_A家事増０．２５</f>
        <v>35</v>
      </c>
      <c r="E10" s="12" t="s">
        <v>392</v>
      </c>
      <c r="F10" s="711"/>
      <c r="G10" s="216"/>
      <c r="H10" s="38"/>
      <c r="I10" s="44" t="s">
        <v>397</v>
      </c>
      <c r="J10" s="247" t="s">
        <v>398</v>
      </c>
      <c r="K10" s="46">
        <v>1</v>
      </c>
      <c r="L10" s="35"/>
      <c r="N10" s="47">
        <f>ROUND((ROUND((_11_A家事増０．２５*_11・基礎２),0)*_11・２人),0)</f>
        <v>32</v>
      </c>
      <c r="O10" s="48"/>
    </row>
    <row r="11" spans="1:15" ht="16.5" customHeight="1" x14ac:dyDescent="0.15">
      <c r="A11" s="41">
        <v>11</v>
      </c>
      <c r="B11" s="41" t="s">
        <v>10459</v>
      </c>
      <c r="C11" s="74" t="s">
        <v>10460</v>
      </c>
      <c r="D11" s="72"/>
      <c r="F11" s="53"/>
      <c r="G11" s="49"/>
      <c r="H11" s="50"/>
      <c r="I11" s="44"/>
      <c r="J11" s="45"/>
      <c r="K11" s="46"/>
      <c r="L11" s="707" t="s">
        <v>404</v>
      </c>
      <c r="M11" s="708"/>
      <c r="N11" s="47">
        <f>ROUND((_11_A家事増０．２５*_11・初任),0)</f>
        <v>25</v>
      </c>
      <c r="O11" s="48"/>
    </row>
    <row r="12" spans="1:15" ht="16.5" customHeight="1" x14ac:dyDescent="0.15">
      <c r="A12" s="41">
        <v>11</v>
      </c>
      <c r="B12" s="41" t="s">
        <v>10461</v>
      </c>
      <c r="C12" s="74" t="s">
        <v>10462</v>
      </c>
      <c r="D12" s="72"/>
      <c r="F12" s="43"/>
      <c r="G12" s="37"/>
      <c r="H12" s="38"/>
      <c r="I12" s="44" t="s">
        <v>397</v>
      </c>
      <c r="J12" s="218" t="s">
        <v>398</v>
      </c>
      <c r="K12" s="46">
        <v>1</v>
      </c>
      <c r="L12" s="709"/>
      <c r="M12" s="704"/>
      <c r="N12" s="47">
        <f>ROUND((ROUND((_11_A家事増０．２５*_11・２人),0)*_11・初任),0)</f>
        <v>25</v>
      </c>
      <c r="O12" s="48"/>
    </row>
    <row r="13" spans="1:15" ht="16.5" customHeight="1" x14ac:dyDescent="0.15">
      <c r="A13" s="41">
        <v>11</v>
      </c>
      <c r="B13" s="41" t="s">
        <v>10463</v>
      </c>
      <c r="C13" s="74" t="s">
        <v>10464</v>
      </c>
      <c r="D13" s="72"/>
      <c r="F13" s="752" t="s">
        <v>400</v>
      </c>
      <c r="G13" s="219" t="s">
        <v>398</v>
      </c>
      <c r="H13" s="50">
        <v>0.9</v>
      </c>
      <c r="I13" s="44"/>
      <c r="J13" s="218"/>
      <c r="K13" s="46"/>
      <c r="L13" s="709"/>
      <c r="M13" s="704"/>
      <c r="N13" s="47">
        <f>ROUND((ROUND((_11_A家事増０．２５*_11・基礎２),0)*_11・初任),0)</f>
        <v>22</v>
      </c>
      <c r="O13" s="48"/>
    </row>
    <row r="14" spans="1:15" ht="16.5" customHeight="1" x14ac:dyDescent="0.15">
      <c r="A14" s="41">
        <v>11</v>
      </c>
      <c r="B14" s="41" t="s">
        <v>10465</v>
      </c>
      <c r="C14" s="74" t="s">
        <v>10466</v>
      </c>
      <c r="D14" s="72"/>
      <c r="F14" s="711"/>
      <c r="G14" s="216"/>
      <c r="H14" s="38"/>
      <c r="I14" s="44" t="s">
        <v>397</v>
      </c>
      <c r="J14" s="247" t="s">
        <v>398</v>
      </c>
      <c r="K14" s="46">
        <v>1</v>
      </c>
      <c r="L14" s="240" t="s">
        <v>398</v>
      </c>
      <c r="M14" s="38">
        <f>_11・初任</f>
        <v>0.7</v>
      </c>
      <c r="N14" s="47">
        <f>ROUND((ROUND((ROUND((_11_A家事増０．２５*_11・基礎２),0)*_11・２人),0)*_11・初任),0)</f>
        <v>22</v>
      </c>
      <c r="O14" s="48"/>
    </row>
    <row r="15" spans="1:15" ht="16.5" customHeight="1" x14ac:dyDescent="0.15">
      <c r="A15" s="41">
        <v>11</v>
      </c>
      <c r="B15" s="41">
        <v>6383</v>
      </c>
      <c r="C15" s="74" t="s">
        <v>10467</v>
      </c>
      <c r="D15" s="707" t="s">
        <v>10468</v>
      </c>
      <c r="E15" s="717"/>
      <c r="F15" s="53"/>
      <c r="G15" s="49"/>
      <c r="H15" s="50"/>
      <c r="I15" s="44"/>
      <c r="J15" s="45"/>
      <c r="K15" s="46"/>
      <c r="L15" s="53"/>
      <c r="M15" s="50"/>
      <c r="N15" s="47">
        <f>_11_A家事増０．５</f>
        <v>70</v>
      </c>
      <c r="O15" s="48"/>
    </row>
    <row r="16" spans="1:15" ht="16.5" customHeight="1" x14ac:dyDescent="0.15">
      <c r="A16" s="41">
        <v>11</v>
      </c>
      <c r="B16" s="41">
        <v>6384</v>
      </c>
      <c r="C16" s="74" t="s">
        <v>10469</v>
      </c>
      <c r="D16" s="709"/>
      <c r="E16" s="718"/>
      <c r="F16" s="43"/>
      <c r="G16" s="37"/>
      <c r="H16" s="38"/>
      <c r="I16" s="44" t="s">
        <v>397</v>
      </c>
      <c r="J16" s="218" t="s">
        <v>398</v>
      </c>
      <c r="K16" s="46">
        <v>1</v>
      </c>
      <c r="L16" s="35"/>
      <c r="N16" s="47">
        <f>ROUND((_11_A家事増０．５*_11・２人),0)</f>
        <v>70</v>
      </c>
      <c r="O16" s="48"/>
    </row>
    <row r="17" spans="1:15" ht="16.5" customHeight="1" x14ac:dyDescent="0.15">
      <c r="A17" s="41">
        <v>11</v>
      </c>
      <c r="B17" s="41">
        <v>6385</v>
      </c>
      <c r="C17" s="74" t="s">
        <v>10470</v>
      </c>
      <c r="D17" s="709"/>
      <c r="E17" s="718"/>
      <c r="F17" s="752" t="s">
        <v>400</v>
      </c>
      <c r="G17" s="219" t="s">
        <v>398</v>
      </c>
      <c r="H17" s="50">
        <v>0.9</v>
      </c>
      <c r="I17" s="44"/>
      <c r="J17" s="218"/>
      <c r="K17" s="46"/>
      <c r="L17" s="35"/>
      <c r="N17" s="47">
        <f>ROUND((_11_A家事増０．５*_11・基礎２),0)</f>
        <v>63</v>
      </c>
      <c r="O17" s="48"/>
    </row>
    <row r="18" spans="1:15" ht="16.5" customHeight="1" x14ac:dyDescent="0.15">
      <c r="A18" s="41">
        <v>11</v>
      </c>
      <c r="B18" s="41">
        <v>6386</v>
      </c>
      <c r="C18" s="74" t="s">
        <v>10471</v>
      </c>
      <c r="D18" s="100">
        <f>_11_A家事増０．５</f>
        <v>70</v>
      </c>
      <c r="E18" s="12" t="s">
        <v>392</v>
      </c>
      <c r="F18" s="711"/>
      <c r="G18" s="216"/>
      <c r="H18" s="38"/>
      <c r="I18" s="44" t="s">
        <v>397</v>
      </c>
      <c r="J18" s="247" t="s">
        <v>398</v>
      </c>
      <c r="K18" s="46">
        <v>1</v>
      </c>
      <c r="L18" s="43"/>
      <c r="M18" s="38"/>
      <c r="N18" s="47">
        <f>ROUND((ROUND((_11_A家事増０．５*_11・基礎２),0)*_11・２人),0)</f>
        <v>63</v>
      </c>
      <c r="O18" s="48"/>
    </row>
    <row r="19" spans="1:15" ht="16.5" customHeight="1" x14ac:dyDescent="0.15">
      <c r="A19" s="41">
        <v>11</v>
      </c>
      <c r="B19" s="41" t="s">
        <v>10472</v>
      </c>
      <c r="C19" s="74" t="s">
        <v>10473</v>
      </c>
      <c r="D19" s="72"/>
      <c r="F19" s="53"/>
      <c r="G19" s="49"/>
      <c r="H19" s="50"/>
      <c r="I19" s="44"/>
      <c r="J19" s="45"/>
      <c r="K19" s="46"/>
      <c r="L19" s="707" t="s">
        <v>404</v>
      </c>
      <c r="M19" s="708"/>
      <c r="N19" s="47">
        <f>ROUND((_11_A家事増０．５*_11・初任),0)</f>
        <v>49</v>
      </c>
      <c r="O19" s="48"/>
    </row>
    <row r="20" spans="1:15" ht="16.5" customHeight="1" x14ac:dyDescent="0.15">
      <c r="A20" s="41">
        <v>11</v>
      </c>
      <c r="B20" s="41" t="s">
        <v>10474</v>
      </c>
      <c r="C20" s="74" t="s">
        <v>10475</v>
      </c>
      <c r="D20" s="72"/>
      <c r="F20" s="43"/>
      <c r="G20" s="37"/>
      <c r="H20" s="38"/>
      <c r="I20" s="44" t="s">
        <v>397</v>
      </c>
      <c r="J20" s="218" t="s">
        <v>398</v>
      </c>
      <c r="K20" s="46">
        <v>1</v>
      </c>
      <c r="L20" s="709"/>
      <c r="M20" s="704"/>
      <c r="N20" s="47">
        <f>ROUND((ROUND((_11_A家事増０．５*_11・２人),0)*_11・初任),0)</f>
        <v>49</v>
      </c>
      <c r="O20" s="48"/>
    </row>
    <row r="21" spans="1:15" ht="16.5" customHeight="1" x14ac:dyDescent="0.15">
      <c r="A21" s="41">
        <v>11</v>
      </c>
      <c r="B21" s="41" t="s">
        <v>10476</v>
      </c>
      <c r="C21" s="74" t="s">
        <v>10477</v>
      </c>
      <c r="D21" s="72"/>
      <c r="F21" s="752" t="s">
        <v>400</v>
      </c>
      <c r="G21" s="219" t="s">
        <v>398</v>
      </c>
      <c r="H21" s="50">
        <v>0.9</v>
      </c>
      <c r="I21" s="44"/>
      <c r="J21" s="218"/>
      <c r="K21" s="46"/>
      <c r="L21" s="709"/>
      <c r="M21" s="704"/>
      <c r="N21" s="47">
        <f>ROUND((ROUND((_11_A家事増０．５*_11・基礎２),0)*_11・初任),0)</f>
        <v>44</v>
      </c>
      <c r="O21" s="48"/>
    </row>
    <row r="22" spans="1:15" ht="16.5" customHeight="1" x14ac:dyDescent="0.15">
      <c r="A22" s="41">
        <v>11</v>
      </c>
      <c r="B22" s="41" t="s">
        <v>10478</v>
      </c>
      <c r="C22" s="74" t="s">
        <v>10479</v>
      </c>
      <c r="D22" s="72"/>
      <c r="F22" s="711"/>
      <c r="G22" s="216"/>
      <c r="H22" s="38"/>
      <c r="I22" s="44" t="s">
        <v>397</v>
      </c>
      <c r="J22" s="247" t="s">
        <v>398</v>
      </c>
      <c r="K22" s="46">
        <v>1</v>
      </c>
      <c r="L22" s="240" t="s">
        <v>398</v>
      </c>
      <c r="M22" s="38">
        <f>_11・初任</f>
        <v>0.7</v>
      </c>
      <c r="N22" s="47">
        <f>ROUND((ROUND((ROUND((_11_A家事増０．５*_11・基礎２),0)*_11・２人),0)*_11・初任),0)</f>
        <v>44</v>
      </c>
      <c r="O22" s="48"/>
    </row>
    <row r="23" spans="1:15" ht="16.5" customHeight="1" x14ac:dyDescent="0.15">
      <c r="A23" s="41">
        <v>11</v>
      </c>
      <c r="B23" s="41">
        <v>8071</v>
      </c>
      <c r="C23" s="74" t="s">
        <v>10480</v>
      </c>
      <c r="D23" s="707" t="s">
        <v>10481</v>
      </c>
      <c r="E23" s="717"/>
      <c r="F23" s="53"/>
      <c r="G23" s="49"/>
      <c r="H23" s="50"/>
      <c r="I23" s="44"/>
      <c r="J23" s="45"/>
      <c r="K23" s="46"/>
      <c r="L23" s="53"/>
      <c r="M23" s="50"/>
      <c r="N23" s="47">
        <f>_11_A家事増０．７５</f>
        <v>105</v>
      </c>
      <c r="O23" s="48"/>
    </row>
    <row r="24" spans="1:15" ht="16.5" customHeight="1" x14ac:dyDescent="0.15">
      <c r="A24" s="41">
        <v>11</v>
      </c>
      <c r="B24" s="41">
        <v>8072</v>
      </c>
      <c r="C24" s="74" t="s">
        <v>10482</v>
      </c>
      <c r="D24" s="709"/>
      <c r="E24" s="718"/>
      <c r="F24" s="43"/>
      <c r="G24" s="37"/>
      <c r="H24" s="38"/>
      <c r="I24" s="44" t="s">
        <v>397</v>
      </c>
      <c r="J24" s="218" t="s">
        <v>398</v>
      </c>
      <c r="K24" s="46">
        <v>1</v>
      </c>
      <c r="L24" s="35"/>
      <c r="N24" s="47">
        <f>ROUND((_11_A家事増０．７５*_11・２人),0)</f>
        <v>105</v>
      </c>
      <c r="O24" s="48"/>
    </row>
    <row r="25" spans="1:15" ht="16.5" customHeight="1" x14ac:dyDescent="0.15">
      <c r="A25" s="41">
        <v>11</v>
      </c>
      <c r="B25" s="41">
        <v>8073</v>
      </c>
      <c r="C25" s="74" t="s">
        <v>10483</v>
      </c>
      <c r="D25" s="709"/>
      <c r="E25" s="718"/>
      <c r="F25" s="752" t="s">
        <v>400</v>
      </c>
      <c r="G25" s="219" t="s">
        <v>398</v>
      </c>
      <c r="H25" s="50">
        <v>0.9</v>
      </c>
      <c r="I25" s="44"/>
      <c r="J25" s="218"/>
      <c r="K25" s="46"/>
      <c r="L25" s="35"/>
      <c r="N25" s="47">
        <f>ROUND((_11_A家事増０．７５*_11・基礎２),0)</f>
        <v>95</v>
      </c>
      <c r="O25" s="48"/>
    </row>
    <row r="26" spans="1:15" ht="16.5" customHeight="1" x14ac:dyDescent="0.15">
      <c r="A26" s="41">
        <v>11</v>
      </c>
      <c r="B26" s="41">
        <v>8074</v>
      </c>
      <c r="C26" s="74" t="s">
        <v>10484</v>
      </c>
      <c r="D26" s="100">
        <f>_11_A家事増０．７５</f>
        <v>105</v>
      </c>
      <c r="E26" s="12" t="s">
        <v>392</v>
      </c>
      <c r="F26" s="711"/>
      <c r="G26" s="216"/>
      <c r="H26" s="38"/>
      <c r="I26" s="44" t="s">
        <v>397</v>
      </c>
      <c r="J26" s="247" t="s">
        <v>398</v>
      </c>
      <c r="K26" s="46">
        <v>1</v>
      </c>
      <c r="L26" s="43"/>
      <c r="M26" s="38"/>
      <c r="N26" s="47">
        <f>ROUND((ROUND((_11_A家事増０．７５*_11・基礎２),0)*_11・２人),0)</f>
        <v>95</v>
      </c>
      <c r="O26" s="48"/>
    </row>
    <row r="27" spans="1:15" ht="16.5" customHeight="1" x14ac:dyDescent="0.15">
      <c r="A27" s="41">
        <v>11</v>
      </c>
      <c r="B27" s="41" t="s">
        <v>10485</v>
      </c>
      <c r="C27" s="74" t="s">
        <v>10486</v>
      </c>
      <c r="D27" s="72"/>
      <c r="F27" s="53"/>
      <c r="G27" s="49"/>
      <c r="H27" s="50"/>
      <c r="I27" s="44"/>
      <c r="J27" s="45"/>
      <c r="K27" s="46"/>
      <c r="L27" s="707" t="s">
        <v>404</v>
      </c>
      <c r="M27" s="708"/>
      <c r="N27" s="47">
        <f>ROUND((_11_A家事増０．７５*_11・初任),0)</f>
        <v>74</v>
      </c>
      <c r="O27" s="48"/>
    </row>
    <row r="28" spans="1:15" ht="16.5" customHeight="1" x14ac:dyDescent="0.15">
      <c r="A28" s="41">
        <v>11</v>
      </c>
      <c r="B28" s="41" t="s">
        <v>10487</v>
      </c>
      <c r="C28" s="74" t="s">
        <v>10488</v>
      </c>
      <c r="D28" s="72"/>
      <c r="F28" s="43"/>
      <c r="G28" s="37"/>
      <c r="H28" s="38"/>
      <c r="I28" s="44" t="s">
        <v>397</v>
      </c>
      <c r="J28" s="218" t="s">
        <v>398</v>
      </c>
      <c r="K28" s="46">
        <v>1</v>
      </c>
      <c r="L28" s="709"/>
      <c r="M28" s="704"/>
      <c r="N28" s="47">
        <f>ROUND((ROUND((_11_A家事増０．７５*_11・２人),0)*_11・初任),0)</f>
        <v>74</v>
      </c>
      <c r="O28" s="48"/>
    </row>
    <row r="29" spans="1:15" ht="16.5" customHeight="1" x14ac:dyDescent="0.15">
      <c r="A29" s="41">
        <v>11</v>
      </c>
      <c r="B29" s="41" t="s">
        <v>10489</v>
      </c>
      <c r="C29" s="74" t="s">
        <v>10490</v>
      </c>
      <c r="D29" s="72"/>
      <c r="F29" s="752" t="s">
        <v>400</v>
      </c>
      <c r="G29" s="219" t="s">
        <v>398</v>
      </c>
      <c r="H29" s="50">
        <v>0.9</v>
      </c>
      <c r="I29" s="44"/>
      <c r="J29" s="218"/>
      <c r="K29" s="46"/>
      <c r="L29" s="709"/>
      <c r="M29" s="704"/>
      <c r="N29" s="47">
        <f>ROUND((ROUND((_11_A家事増０．７５*_11・基礎２),0)*_11・初任),0)</f>
        <v>67</v>
      </c>
      <c r="O29" s="48"/>
    </row>
    <row r="30" spans="1:15" ht="16.5" customHeight="1" x14ac:dyDescent="0.15">
      <c r="A30" s="41">
        <v>11</v>
      </c>
      <c r="B30" s="41" t="s">
        <v>10491</v>
      </c>
      <c r="C30" s="74" t="s">
        <v>10492</v>
      </c>
      <c r="D30" s="72"/>
      <c r="F30" s="711"/>
      <c r="G30" s="216"/>
      <c r="H30" s="38"/>
      <c r="I30" s="44" t="s">
        <v>397</v>
      </c>
      <c r="J30" s="247" t="s">
        <v>398</v>
      </c>
      <c r="K30" s="46">
        <v>1</v>
      </c>
      <c r="L30" s="240" t="s">
        <v>398</v>
      </c>
      <c r="M30" s="38">
        <f>_11・初任</f>
        <v>0.7</v>
      </c>
      <c r="N30" s="47">
        <f>ROUND((ROUND((ROUND((_11_A家事増０．７５*_11・基礎２),0)*_11・２人),0)*_11・初任),0)</f>
        <v>67</v>
      </c>
      <c r="O30" s="48"/>
    </row>
    <row r="31" spans="1:15" ht="16.5" customHeight="1" x14ac:dyDescent="0.15">
      <c r="A31" s="41">
        <v>11</v>
      </c>
      <c r="B31" s="41">
        <v>6387</v>
      </c>
      <c r="C31" s="74" t="s">
        <v>10493</v>
      </c>
      <c r="D31" s="707" t="s">
        <v>10494</v>
      </c>
      <c r="E31" s="717"/>
      <c r="F31" s="53"/>
      <c r="G31" s="49"/>
      <c r="H31" s="50"/>
      <c r="I31" s="44"/>
      <c r="J31" s="45"/>
      <c r="K31" s="46"/>
      <c r="L31" s="53"/>
      <c r="M31" s="50"/>
      <c r="N31" s="47">
        <f>_11_A家事増１．０</f>
        <v>140</v>
      </c>
      <c r="O31" s="48"/>
    </row>
    <row r="32" spans="1:15" ht="16.5" customHeight="1" x14ac:dyDescent="0.15">
      <c r="A32" s="41">
        <v>11</v>
      </c>
      <c r="B32" s="41">
        <v>6388</v>
      </c>
      <c r="C32" s="74" t="s">
        <v>10495</v>
      </c>
      <c r="D32" s="709"/>
      <c r="E32" s="718"/>
      <c r="F32" s="43"/>
      <c r="G32" s="37"/>
      <c r="H32" s="38"/>
      <c r="I32" s="44" t="s">
        <v>397</v>
      </c>
      <c r="J32" s="218" t="s">
        <v>398</v>
      </c>
      <c r="K32" s="46">
        <v>1</v>
      </c>
      <c r="L32" s="35"/>
      <c r="N32" s="47">
        <f>ROUND((_11_A家事増１．０*_11・２人),0)</f>
        <v>140</v>
      </c>
      <c r="O32" s="48"/>
    </row>
    <row r="33" spans="1:15" ht="16.5" customHeight="1" x14ac:dyDescent="0.15">
      <c r="A33" s="41">
        <v>11</v>
      </c>
      <c r="B33" s="41">
        <v>6389</v>
      </c>
      <c r="C33" s="74" t="s">
        <v>10496</v>
      </c>
      <c r="D33" s="709"/>
      <c r="E33" s="718"/>
      <c r="F33" s="752" t="s">
        <v>400</v>
      </c>
      <c r="G33" s="219" t="s">
        <v>398</v>
      </c>
      <c r="H33" s="50">
        <v>0.9</v>
      </c>
      <c r="I33" s="44"/>
      <c r="J33" s="218"/>
      <c r="K33" s="46"/>
      <c r="L33" s="35"/>
      <c r="N33" s="47">
        <f>ROUND((_11_A家事増１．０*_11・基礎２),0)</f>
        <v>126</v>
      </c>
      <c r="O33" s="48"/>
    </row>
    <row r="34" spans="1:15" ht="16.5" customHeight="1" x14ac:dyDescent="0.15">
      <c r="A34" s="41">
        <v>11</v>
      </c>
      <c r="B34" s="41">
        <v>6390</v>
      </c>
      <c r="C34" s="74" t="s">
        <v>10497</v>
      </c>
      <c r="D34" s="100">
        <f>_11_A家事増１．０</f>
        <v>140</v>
      </c>
      <c r="E34" s="12" t="s">
        <v>392</v>
      </c>
      <c r="F34" s="711"/>
      <c r="G34" s="216"/>
      <c r="H34" s="38"/>
      <c r="I34" s="44" t="s">
        <v>397</v>
      </c>
      <c r="J34" s="247" t="s">
        <v>398</v>
      </c>
      <c r="K34" s="46">
        <v>1</v>
      </c>
      <c r="L34" s="43"/>
      <c r="M34" s="38"/>
      <c r="N34" s="47">
        <f>ROUND((ROUND((_11_A家事増１．０*_11・基礎２),0)*_11・２人),0)</f>
        <v>126</v>
      </c>
      <c r="O34" s="48"/>
    </row>
    <row r="35" spans="1:15" ht="16.5" customHeight="1" x14ac:dyDescent="0.15">
      <c r="A35" s="41">
        <v>11</v>
      </c>
      <c r="B35" s="41" t="s">
        <v>10498</v>
      </c>
      <c r="C35" s="74" t="s">
        <v>10499</v>
      </c>
      <c r="D35" s="72"/>
      <c r="F35" s="53"/>
      <c r="G35" s="49"/>
      <c r="H35" s="50"/>
      <c r="I35" s="44"/>
      <c r="J35" s="45"/>
      <c r="K35" s="46"/>
      <c r="L35" s="707" t="s">
        <v>404</v>
      </c>
      <c r="M35" s="708"/>
      <c r="N35" s="47">
        <f>ROUND((_11_A家事増１．０*_11・初任),0)</f>
        <v>98</v>
      </c>
      <c r="O35" s="48"/>
    </row>
    <row r="36" spans="1:15" ht="16.5" customHeight="1" x14ac:dyDescent="0.15">
      <c r="A36" s="41">
        <v>11</v>
      </c>
      <c r="B36" s="41" t="s">
        <v>10500</v>
      </c>
      <c r="C36" s="74" t="s">
        <v>10501</v>
      </c>
      <c r="D36" s="72"/>
      <c r="F36" s="43"/>
      <c r="G36" s="37"/>
      <c r="H36" s="38"/>
      <c r="I36" s="44" t="s">
        <v>397</v>
      </c>
      <c r="J36" s="218" t="s">
        <v>398</v>
      </c>
      <c r="K36" s="46">
        <v>1</v>
      </c>
      <c r="L36" s="709"/>
      <c r="M36" s="704"/>
      <c r="N36" s="47">
        <f>ROUND((ROUND((_11_A家事増１．０*_11・２人),0)*_11・初任),0)</f>
        <v>98</v>
      </c>
      <c r="O36" s="48"/>
    </row>
    <row r="37" spans="1:15" ht="16.5" customHeight="1" x14ac:dyDescent="0.15">
      <c r="A37" s="41">
        <v>11</v>
      </c>
      <c r="B37" s="41" t="s">
        <v>10502</v>
      </c>
      <c r="C37" s="74" t="s">
        <v>10503</v>
      </c>
      <c r="D37" s="72"/>
      <c r="F37" s="752" t="s">
        <v>400</v>
      </c>
      <c r="G37" s="219" t="s">
        <v>398</v>
      </c>
      <c r="H37" s="50">
        <v>0.9</v>
      </c>
      <c r="I37" s="44"/>
      <c r="J37" s="218"/>
      <c r="K37" s="46"/>
      <c r="L37" s="709"/>
      <c r="M37" s="704"/>
      <c r="N37" s="47">
        <f>ROUND((ROUND((_11_A家事増１．０*_11・基礎２),0)*_11・初任),0)</f>
        <v>88</v>
      </c>
      <c r="O37" s="48"/>
    </row>
    <row r="38" spans="1:15" ht="16.5" customHeight="1" x14ac:dyDescent="0.15">
      <c r="A38" s="41">
        <v>11</v>
      </c>
      <c r="B38" s="41" t="s">
        <v>10504</v>
      </c>
      <c r="C38" s="74" t="s">
        <v>10505</v>
      </c>
      <c r="D38" s="72"/>
      <c r="F38" s="711"/>
      <c r="G38" s="216"/>
      <c r="H38" s="38"/>
      <c r="I38" s="44" t="s">
        <v>397</v>
      </c>
      <c r="J38" s="247" t="s">
        <v>398</v>
      </c>
      <c r="K38" s="46">
        <v>1</v>
      </c>
      <c r="L38" s="240" t="s">
        <v>398</v>
      </c>
      <c r="M38" s="38">
        <f>_11・初任</f>
        <v>0.7</v>
      </c>
      <c r="N38" s="47">
        <f>ROUND((ROUND((ROUND((_11_A家事増１．０*_11・基礎２),0)*_11・２人),0)*_11・初任),0)</f>
        <v>88</v>
      </c>
      <c r="O38" s="48"/>
    </row>
    <row r="39" spans="1:15" ht="16.5" customHeight="1" x14ac:dyDescent="0.15">
      <c r="A39" s="41">
        <v>11</v>
      </c>
      <c r="B39" s="41">
        <v>8075</v>
      </c>
      <c r="C39" s="74" t="s">
        <v>10506</v>
      </c>
      <c r="D39" s="707" t="s">
        <v>10507</v>
      </c>
      <c r="E39" s="717"/>
      <c r="F39" s="53"/>
      <c r="G39" s="49"/>
      <c r="H39" s="50"/>
      <c r="I39" s="44"/>
      <c r="J39" s="45"/>
      <c r="K39" s="46"/>
      <c r="L39" s="53"/>
      <c r="M39" s="50"/>
      <c r="N39" s="47">
        <f>_11_A家事増１．２５</f>
        <v>175</v>
      </c>
      <c r="O39" s="48"/>
    </row>
    <row r="40" spans="1:15" ht="16.5" customHeight="1" x14ac:dyDescent="0.15">
      <c r="A40" s="41">
        <v>11</v>
      </c>
      <c r="B40" s="41">
        <v>8076</v>
      </c>
      <c r="C40" s="74" t="s">
        <v>10508</v>
      </c>
      <c r="D40" s="709"/>
      <c r="E40" s="718"/>
      <c r="F40" s="43"/>
      <c r="G40" s="37"/>
      <c r="H40" s="38"/>
      <c r="I40" s="44" t="s">
        <v>397</v>
      </c>
      <c r="J40" s="218" t="s">
        <v>398</v>
      </c>
      <c r="K40" s="46">
        <v>1</v>
      </c>
      <c r="L40" s="35"/>
      <c r="N40" s="47">
        <f>ROUND((_11_A家事増１．２５*_11・２人),0)</f>
        <v>175</v>
      </c>
      <c r="O40" s="48"/>
    </row>
    <row r="41" spans="1:15" ht="16.5" customHeight="1" x14ac:dyDescent="0.15">
      <c r="A41" s="41">
        <v>11</v>
      </c>
      <c r="B41" s="41">
        <v>8077</v>
      </c>
      <c r="C41" s="74" t="s">
        <v>10509</v>
      </c>
      <c r="D41" s="709"/>
      <c r="E41" s="718"/>
      <c r="F41" s="752" t="s">
        <v>400</v>
      </c>
      <c r="G41" s="219" t="s">
        <v>398</v>
      </c>
      <c r="H41" s="50">
        <v>0.9</v>
      </c>
      <c r="I41" s="44"/>
      <c r="J41" s="218"/>
      <c r="K41" s="46"/>
      <c r="L41" s="35"/>
      <c r="N41" s="47">
        <f>ROUND((_11_A家事増１．２５*_11・基礎２),0)</f>
        <v>158</v>
      </c>
      <c r="O41" s="48"/>
    </row>
    <row r="42" spans="1:15" ht="16.5" customHeight="1" x14ac:dyDescent="0.15">
      <c r="A42" s="41">
        <v>11</v>
      </c>
      <c r="B42" s="41">
        <v>8078</v>
      </c>
      <c r="C42" s="74" t="s">
        <v>10510</v>
      </c>
      <c r="D42" s="100">
        <f>_11_A家事増１．２５</f>
        <v>175</v>
      </c>
      <c r="E42" s="12" t="s">
        <v>392</v>
      </c>
      <c r="F42" s="711"/>
      <c r="G42" s="216"/>
      <c r="H42" s="38"/>
      <c r="I42" s="44" t="s">
        <v>397</v>
      </c>
      <c r="J42" s="247" t="s">
        <v>398</v>
      </c>
      <c r="K42" s="46">
        <v>1</v>
      </c>
      <c r="L42" s="43"/>
      <c r="M42" s="38"/>
      <c r="N42" s="47">
        <f>ROUND((ROUND((_11_A家事増１．２５*_11・基礎２),0)*_11・２人),0)</f>
        <v>158</v>
      </c>
      <c r="O42" s="48"/>
    </row>
    <row r="43" spans="1:15" ht="16.5" customHeight="1" x14ac:dyDescent="0.15">
      <c r="A43" s="41">
        <v>11</v>
      </c>
      <c r="B43" s="41" t="s">
        <v>10511</v>
      </c>
      <c r="C43" s="74" t="s">
        <v>10512</v>
      </c>
      <c r="D43" s="72"/>
      <c r="F43" s="53"/>
      <c r="G43" s="49"/>
      <c r="H43" s="50"/>
      <c r="I43" s="44"/>
      <c r="J43" s="45"/>
      <c r="K43" s="46"/>
      <c r="L43" s="707" t="s">
        <v>404</v>
      </c>
      <c r="M43" s="708"/>
      <c r="N43" s="47">
        <f>ROUND((_11_A家事増１．２５*_11・初任),0)</f>
        <v>123</v>
      </c>
      <c r="O43" s="48"/>
    </row>
    <row r="44" spans="1:15" ht="16.5" customHeight="1" x14ac:dyDescent="0.15">
      <c r="A44" s="41">
        <v>11</v>
      </c>
      <c r="B44" s="41" t="s">
        <v>10513</v>
      </c>
      <c r="C44" s="74" t="s">
        <v>10514</v>
      </c>
      <c r="D44" s="72"/>
      <c r="F44" s="43"/>
      <c r="G44" s="37"/>
      <c r="H44" s="38"/>
      <c r="I44" s="44" t="s">
        <v>397</v>
      </c>
      <c r="J44" s="218" t="s">
        <v>398</v>
      </c>
      <c r="K44" s="46">
        <v>1</v>
      </c>
      <c r="L44" s="709"/>
      <c r="M44" s="704"/>
      <c r="N44" s="47">
        <f>ROUND((ROUND((_11_A家事増１．２５*_11・２人),0)*_11・初任),0)</f>
        <v>123</v>
      </c>
      <c r="O44" s="48"/>
    </row>
    <row r="45" spans="1:15" ht="16.5" customHeight="1" x14ac:dyDescent="0.15">
      <c r="A45" s="41">
        <v>11</v>
      </c>
      <c r="B45" s="41" t="s">
        <v>10515</v>
      </c>
      <c r="C45" s="74" t="s">
        <v>10516</v>
      </c>
      <c r="D45" s="72"/>
      <c r="F45" s="752" t="s">
        <v>400</v>
      </c>
      <c r="G45" s="219" t="s">
        <v>398</v>
      </c>
      <c r="H45" s="50">
        <v>0.9</v>
      </c>
      <c r="I45" s="44"/>
      <c r="J45" s="218"/>
      <c r="K45" s="46"/>
      <c r="L45" s="709"/>
      <c r="M45" s="704"/>
      <c r="N45" s="47">
        <f>ROUND((ROUND((_11_A家事増１．２５*_11・基礎２),0)*_11・初任),0)</f>
        <v>111</v>
      </c>
      <c r="O45" s="48"/>
    </row>
    <row r="46" spans="1:15" ht="16.5" customHeight="1" x14ac:dyDescent="0.15">
      <c r="A46" s="41">
        <v>11</v>
      </c>
      <c r="B46" s="41" t="s">
        <v>10517</v>
      </c>
      <c r="C46" s="74" t="s">
        <v>10518</v>
      </c>
      <c r="D46" s="72"/>
      <c r="F46" s="711"/>
      <c r="G46" s="216"/>
      <c r="H46" s="38"/>
      <c r="I46" s="44" t="s">
        <v>397</v>
      </c>
      <c r="J46" s="247" t="s">
        <v>398</v>
      </c>
      <c r="K46" s="46">
        <v>1</v>
      </c>
      <c r="L46" s="240" t="s">
        <v>398</v>
      </c>
      <c r="M46" s="38">
        <f>_11・初任</f>
        <v>0.7</v>
      </c>
      <c r="N46" s="47">
        <f>ROUND((ROUND((ROUND((_11_A家事増１．２５*_11・基礎２),0)*_11・２人),0)*_11・初任),0)</f>
        <v>111</v>
      </c>
      <c r="O46" s="48"/>
    </row>
    <row r="47" spans="1:15" ht="16.5" customHeight="1" x14ac:dyDescent="0.15">
      <c r="A47" s="41">
        <v>11</v>
      </c>
      <c r="B47" s="41">
        <v>6391</v>
      </c>
      <c r="C47" s="74" t="s">
        <v>10519</v>
      </c>
      <c r="D47" s="707" t="s">
        <v>10520</v>
      </c>
      <c r="E47" s="717"/>
      <c r="F47" s="53"/>
      <c r="G47" s="49"/>
      <c r="H47" s="50"/>
      <c r="I47" s="44"/>
      <c r="J47" s="45"/>
      <c r="K47" s="46"/>
      <c r="L47" s="53"/>
      <c r="M47" s="50"/>
      <c r="N47" s="47">
        <f>_11_A家事増１．５</f>
        <v>210</v>
      </c>
      <c r="O47" s="48"/>
    </row>
    <row r="48" spans="1:15" ht="16.5" customHeight="1" x14ac:dyDescent="0.15">
      <c r="A48" s="41">
        <v>11</v>
      </c>
      <c r="B48" s="41">
        <v>6392</v>
      </c>
      <c r="C48" s="74" t="s">
        <v>10521</v>
      </c>
      <c r="D48" s="709"/>
      <c r="E48" s="718"/>
      <c r="F48" s="43"/>
      <c r="G48" s="37"/>
      <c r="H48" s="38"/>
      <c r="I48" s="44" t="s">
        <v>397</v>
      </c>
      <c r="J48" s="218" t="s">
        <v>398</v>
      </c>
      <c r="K48" s="46">
        <v>1</v>
      </c>
      <c r="L48" s="35"/>
      <c r="N48" s="47">
        <f>ROUND((_11_A家事増１．５*_11・２人),0)</f>
        <v>210</v>
      </c>
      <c r="O48" s="48"/>
    </row>
    <row r="49" spans="1:15" ht="16.5" customHeight="1" x14ac:dyDescent="0.15">
      <c r="A49" s="41">
        <v>11</v>
      </c>
      <c r="B49" s="41">
        <v>6393</v>
      </c>
      <c r="C49" s="74" t="s">
        <v>10522</v>
      </c>
      <c r="D49" s="709"/>
      <c r="E49" s="718"/>
      <c r="F49" s="752" t="s">
        <v>400</v>
      </c>
      <c r="G49" s="219" t="s">
        <v>398</v>
      </c>
      <c r="H49" s="50">
        <v>0.9</v>
      </c>
      <c r="I49" s="44"/>
      <c r="J49" s="218"/>
      <c r="K49" s="46"/>
      <c r="L49" s="35"/>
      <c r="N49" s="47">
        <f>ROUND((_11_A家事増１．５*_11・基礎２),0)</f>
        <v>189</v>
      </c>
      <c r="O49" s="48"/>
    </row>
    <row r="50" spans="1:15" ht="16.5" customHeight="1" x14ac:dyDescent="0.15">
      <c r="A50" s="41">
        <v>11</v>
      </c>
      <c r="B50" s="41">
        <v>6394</v>
      </c>
      <c r="C50" s="74" t="s">
        <v>10523</v>
      </c>
      <c r="D50" s="100">
        <f>_11_A家事増１．５</f>
        <v>210</v>
      </c>
      <c r="E50" s="12" t="s">
        <v>392</v>
      </c>
      <c r="F50" s="711"/>
      <c r="G50" s="216"/>
      <c r="H50" s="38"/>
      <c r="I50" s="44" t="s">
        <v>397</v>
      </c>
      <c r="J50" s="247" t="s">
        <v>398</v>
      </c>
      <c r="K50" s="46">
        <v>1</v>
      </c>
      <c r="L50" s="43"/>
      <c r="M50" s="38"/>
      <c r="N50" s="47">
        <f>ROUND((ROUND((_11_A家事増１．５*_11・基礎２),0)*_11・２人),0)</f>
        <v>189</v>
      </c>
      <c r="O50" s="48"/>
    </row>
    <row r="51" spans="1:15" ht="16.5" customHeight="1" x14ac:dyDescent="0.15">
      <c r="A51" s="41">
        <v>11</v>
      </c>
      <c r="B51" s="41" t="s">
        <v>10524</v>
      </c>
      <c r="C51" s="74" t="s">
        <v>10525</v>
      </c>
      <c r="D51" s="72"/>
      <c r="F51" s="53"/>
      <c r="G51" s="49"/>
      <c r="H51" s="50"/>
      <c r="I51" s="44"/>
      <c r="J51" s="45"/>
      <c r="K51" s="46"/>
      <c r="L51" s="707" t="s">
        <v>404</v>
      </c>
      <c r="M51" s="708"/>
      <c r="N51" s="47">
        <f>ROUND((_11_A家事増１．５*_11・初任),0)</f>
        <v>147</v>
      </c>
      <c r="O51" s="48"/>
    </row>
    <row r="52" spans="1:15" ht="16.5" customHeight="1" x14ac:dyDescent="0.15">
      <c r="A52" s="41">
        <v>11</v>
      </c>
      <c r="B52" s="41" t="s">
        <v>10526</v>
      </c>
      <c r="C52" s="74" t="s">
        <v>10527</v>
      </c>
      <c r="D52" s="72"/>
      <c r="F52" s="43"/>
      <c r="G52" s="37"/>
      <c r="H52" s="38"/>
      <c r="I52" s="44" t="s">
        <v>397</v>
      </c>
      <c r="J52" s="218" t="s">
        <v>398</v>
      </c>
      <c r="K52" s="46">
        <v>1</v>
      </c>
      <c r="L52" s="709"/>
      <c r="M52" s="704"/>
      <c r="N52" s="47">
        <f>ROUND((ROUND((_11_A家事増１．５*_11・２人),0)*_11・初任),0)</f>
        <v>147</v>
      </c>
      <c r="O52" s="48"/>
    </row>
    <row r="53" spans="1:15" ht="16.5" customHeight="1" x14ac:dyDescent="0.15">
      <c r="A53" s="41">
        <v>11</v>
      </c>
      <c r="B53" s="41" t="s">
        <v>10528</v>
      </c>
      <c r="C53" s="74" t="s">
        <v>10529</v>
      </c>
      <c r="D53" s="72"/>
      <c r="F53" s="752" t="s">
        <v>400</v>
      </c>
      <c r="G53" s="219" t="s">
        <v>398</v>
      </c>
      <c r="H53" s="50">
        <v>0.9</v>
      </c>
      <c r="I53" s="44"/>
      <c r="J53" s="218"/>
      <c r="K53" s="46"/>
      <c r="L53" s="709"/>
      <c r="M53" s="704"/>
      <c r="N53" s="47">
        <f>ROUND((ROUND((_11_A家事増１．５*_11・基礎２),0)*_11・初任),0)</f>
        <v>132</v>
      </c>
      <c r="O53" s="48"/>
    </row>
    <row r="54" spans="1:15" ht="16.5" customHeight="1" x14ac:dyDescent="0.15">
      <c r="A54" s="41">
        <v>11</v>
      </c>
      <c r="B54" s="41" t="s">
        <v>10530</v>
      </c>
      <c r="C54" s="74" t="s">
        <v>10531</v>
      </c>
      <c r="D54" s="72"/>
      <c r="F54" s="711"/>
      <c r="G54" s="216"/>
      <c r="H54" s="38"/>
      <c r="I54" s="44" t="s">
        <v>397</v>
      </c>
      <c r="J54" s="247" t="s">
        <v>398</v>
      </c>
      <c r="K54" s="46">
        <v>1</v>
      </c>
      <c r="L54" s="240" t="s">
        <v>398</v>
      </c>
      <c r="M54" s="38">
        <f>_11・初任</f>
        <v>0.7</v>
      </c>
      <c r="N54" s="47">
        <f>ROUND((ROUND((ROUND((_11_A家事増１．５*_11・基礎２),0)*_11・２人),0)*_11・初任),0)</f>
        <v>132</v>
      </c>
      <c r="O54" s="48"/>
    </row>
    <row r="55" spans="1:15" ht="16.5" customHeight="1" x14ac:dyDescent="0.15">
      <c r="A55" s="41">
        <v>11</v>
      </c>
      <c r="B55" s="41">
        <v>8079</v>
      </c>
      <c r="C55" s="74" t="s">
        <v>10532</v>
      </c>
      <c r="D55" s="707" t="s">
        <v>10533</v>
      </c>
      <c r="E55" s="717"/>
      <c r="F55" s="53"/>
      <c r="G55" s="49"/>
      <c r="H55" s="50"/>
      <c r="I55" s="44"/>
      <c r="J55" s="45"/>
      <c r="K55" s="46"/>
      <c r="L55" s="53"/>
      <c r="M55" s="50"/>
      <c r="N55" s="47">
        <f>_11_A家事増１．７５</f>
        <v>245</v>
      </c>
      <c r="O55" s="48"/>
    </row>
    <row r="56" spans="1:15" ht="16.5" customHeight="1" x14ac:dyDescent="0.15">
      <c r="A56" s="41">
        <v>11</v>
      </c>
      <c r="B56" s="41">
        <v>8080</v>
      </c>
      <c r="C56" s="74" t="s">
        <v>10534</v>
      </c>
      <c r="D56" s="709"/>
      <c r="E56" s="718"/>
      <c r="F56" s="43"/>
      <c r="G56" s="37"/>
      <c r="H56" s="38"/>
      <c r="I56" s="44" t="s">
        <v>397</v>
      </c>
      <c r="J56" s="218" t="s">
        <v>398</v>
      </c>
      <c r="K56" s="46">
        <v>1</v>
      </c>
      <c r="L56" s="35"/>
      <c r="N56" s="47">
        <f>ROUND((_11_A家事増１．７５*_11・２人),0)</f>
        <v>245</v>
      </c>
      <c r="O56" s="48"/>
    </row>
    <row r="57" spans="1:15" ht="16.5" customHeight="1" x14ac:dyDescent="0.15">
      <c r="A57" s="41">
        <v>11</v>
      </c>
      <c r="B57" s="41">
        <v>8081</v>
      </c>
      <c r="C57" s="74" t="s">
        <v>10535</v>
      </c>
      <c r="D57" s="709"/>
      <c r="E57" s="718"/>
      <c r="F57" s="752" t="s">
        <v>400</v>
      </c>
      <c r="G57" s="219" t="s">
        <v>398</v>
      </c>
      <c r="H57" s="50">
        <v>0.9</v>
      </c>
      <c r="I57" s="44"/>
      <c r="J57" s="218"/>
      <c r="K57" s="46"/>
      <c r="L57" s="35"/>
      <c r="N57" s="47">
        <f>ROUND((_11_A家事増１．７５*_11・基礎２),0)</f>
        <v>221</v>
      </c>
      <c r="O57" s="48"/>
    </row>
    <row r="58" spans="1:15" ht="16.5" customHeight="1" x14ac:dyDescent="0.15">
      <c r="A58" s="41">
        <v>11</v>
      </c>
      <c r="B58" s="41">
        <v>8082</v>
      </c>
      <c r="C58" s="74" t="s">
        <v>10536</v>
      </c>
      <c r="D58" s="100">
        <f>_11_A家事増１．７５</f>
        <v>245</v>
      </c>
      <c r="E58" s="12" t="s">
        <v>392</v>
      </c>
      <c r="F58" s="711"/>
      <c r="G58" s="216"/>
      <c r="H58" s="38"/>
      <c r="I58" s="44" t="s">
        <v>397</v>
      </c>
      <c r="J58" s="247" t="s">
        <v>398</v>
      </c>
      <c r="K58" s="46">
        <v>1</v>
      </c>
      <c r="L58" s="43"/>
      <c r="M58" s="38"/>
      <c r="N58" s="47">
        <f>ROUND((ROUND((_11_A家事増１．７５*_11・基礎２),0)*_11・２人),0)</f>
        <v>221</v>
      </c>
      <c r="O58" s="48"/>
    </row>
    <row r="59" spans="1:15" ht="16.5" customHeight="1" x14ac:dyDescent="0.15">
      <c r="A59" s="41">
        <v>11</v>
      </c>
      <c r="B59" s="41" t="s">
        <v>10537</v>
      </c>
      <c r="C59" s="74" t="s">
        <v>10538</v>
      </c>
      <c r="D59" s="72"/>
      <c r="F59" s="53"/>
      <c r="G59" s="49"/>
      <c r="H59" s="50"/>
      <c r="I59" s="44"/>
      <c r="J59" s="45"/>
      <c r="K59" s="46"/>
      <c r="L59" s="707" t="s">
        <v>404</v>
      </c>
      <c r="M59" s="708"/>
      <c r="N59" s="47">
        <f>ROUND((_11_A家事増１．７５*_11・初任),0)</f>
        <v>172</v>
      </c>
      <c r="O59" s="48"/>
    </row>
    <row r="60" spans="1:15" ht="16.5" customHeight="1" x14ac:dyDescent="0.15">
      <c r="A60" s="41">
        <v>11</v>
      </c>
      <c r="B60" s="41" t="s">
        <v>10539</v>
      </c>
      <c r="C60" s="74" t="s">
        <v>10540</v>
      </c>
      <c r="D60" s="72"/>
      <c r="F60" s="43"/>
      <c r="G60" s="37"/>
      <c r="H60" s="38"/>
      <c r="I60" s="44" t="s">
        <v>397</v>
      </c>
      <c r="J60" s="218" t="s">
        <v>398</v>
      </c>
      <c r="K60" s="46">
        <v>1</v>
      </c>
      <c r="L60" s="709"/>
      <c r="M60" s="704"/>
      <c r="N60" s="47">
        <f>ROUND((ROUND((_11_A家事増１．７５*_11・２人),0)*_11・初任),0)</f>
        <v>172</v>
      </c>
      <c r="O60" s="48"/>
    </row>
    <row r="61" spans="1:15" ht="16.5" customHeight="1" x14ac:dyDescent="0.15">
      <c r="A61" s="41">
        <v>11</v>
      </c>
      <c r="B61" s="41" t="s">
        <v>10541</v>
      </c>
      <c r="C61" s="74" t="s">
        <v>10542</v>
      </c>
      <c r="D61" s="72"/>
      <c r="F61" s="752" t="s">
        <v>400</v>
      </c>
      <c r="G61" s="219" t="s">
        <v>398</v>
      </c>
      <c r="H61" s="50">
        <v>0.9</v>
      </c>
      <c r="I61" s="44"/>
      <c r="J61" s="218"/>
      <c r="K61" s="46"/>
      <c r="L61" s="709"/>
      <c r="M61" s="704"/>
      <c r="N61" s="47">
        <f>ROUND((ROUND((_11_A家事増１．７５*_11・基礎２),0)*_11・初任),0)</f>
        <v>155</v>
      </c>
      <c r="O61" s="48"/>
    </row>
    <row r="62" spans="1:15" ht="16.5" customHeight="1" x14ac:dyDescent="0.15">
      <c r="A62" s="41">
        <v>11</v>
      </c>
      <c r="B62" s="41" t="s">
        <v>10543</v>
      </c>
      <c r="C62" s="74" t="s">
        <v>10544</v>
      </c>
      <c r="D62" s="72"/>
      <c r="F62" s="711"/>
      <c r="G62" s="216"/>
      <c r="H62" s="38"/>
      <c r="I62" s="44" t="s">
        <v>397</v>
      </c>
      <c r="J62" s="247" t="s">
        <v>398</v>
      </c>
      <c r="K62" s="46">
        <v>1</v>
      </c>
      <c r="L62" s="240" t="s">
        <v>398</v>
      </c>
      <c r="M62" s="38">
        <f>_11・初任</f>
        <v>0.7</v>
      </c>
      <c r="N62" s="47">
        <f>ROUND((ROUND((ROUND((_11_A家事増１．７５*_11・基礎２),0)*_11・２人),0)*_11・初任),0)</f>
        <v>155</v>
      </c>
      <c r="O62" s="48"/>
    </row>
    <row r="63" spans="1:15" ht="16.5" customHeight="1" x14ac:dyDescent="0.15">
      <c r="A63" s="41">
        <v>11</v>
      </c>
      <c r="B63" s="41">
        <v>6395</v>
      </c>
      <c r="C63" s="74" t="s">
        <v>10545</v>
      </c>
      <c r="D63" s="707" t="s">
        <v>10546</v>
      </c>
      <c r="E63" s="717"/>
      <c r="F63" s="53"/>
      <c r="G63" s="49"/>
      <c r="H63" s="50"/>
      <c r="I63" s="44"/>
      <c r="J63" s="45"/>
      <c r="K63" s="46"/>
      <c r="L63" s="53"/>
      <c r="M63" s="50"/>
      <c r="N63" s="47">
        <f>_11_A家事増２．０</f>
        <v>280</v>
      </c>
      <c r="O63" s="48"/>
    </row>
    <row r="64" spans="1:15" ht="16.5" customHeight="1" x14ac:dyDescent="0.15">
      <c r="A64" s="41">
        <v>11</v>
      </c>
      <c r="B64" s="41">
        <v>6396</v>
      </c>
      <c r="C64" s="74" t="s">
        <v>10547</v>
      </c>
      <c r="D64" s="709"/>
      <c r="E64" s="718"/>
      <c r="F64" s="43"/>
      <c r="G64" s="37"/>
      <c r="H64" s="38"/>
      <c r="I64" s="44" t="s">
        <v>397</v>
      </c>
      <c r="J64" s="218" t="s">
        <v>398</v>
      </c>
      <c r="K64" s="46">
        <v>1</v>
      </c>
      <c r="L64" s="35"/>
      <c r="N64" s="47">
        <f>ROUND((_11_A家事増２．０*_11・２人),0)</f>
        <v>280</v>
      </c>
      <c r="O64" s="48"/>
    </row>
    <row r="65" spans="1:15" ht="16.5" customHeight="1" x14ac:dyDescent="0.15">
      <c r="A65" s="41">
        <v>11</v>
      </c>
      <c r="B65" s="41">
        <v>6397</v>
      </c>
      <c r="C65" s="74" t="s">
        <v>10548</v>
      </c>
      <c r="D65" s="709"/>
      <c r="E65" s="718"/>
      <c r="F65" s="752" t="s">
        <v>400</v>
      </c>
      <c r="G65" s="219" t="s">
        <v>398</v>
      </c>
      <c r="H65" s="50">
        <v>0.9</v>
      </c>
      <c r="I65" s="44"/>
      <c r="J65" s="218"/>
      <c r="K65" s="46"/>
      <c r="L65" s="35"/>
      <c r="N65" s="47">
        <f>ROUND((_11_A家事増２．０*_11・基礎２),0)</f>
        <v>252</v>
      </c>
      <c r="O65" s="48"/>
    </row>
    <row r="66" spans="1:15" ht="16.5" customHeight="1" x14ac:dyDescent="0.15">
      <c r="A66" s="41">
        <v>11</v>
      </c>
      <c r="B66" s="41">
        <v>6398</v>
      </c>
      <c r="C66" s="74" t="s">
        <v>10549</v>
      </c>
      <c r="D66" s="100">
        <f>_11_A家事増２．０</f>
        <v>280</v>
      </c>
      <c r="E66" s="12" t="s">
        <v>392</v>
      </c>
      <c r="F66" s="711"/>
      <c r="G66" s="216"/>
      <c r="H66" s="38"/>
      <c r="I66" s="44" t="s">
        <v>397</v>
      </c>
      <c r="J66" s="247" t="s">
        <v>398</v>
      </c>
      <c r="K66" s="46">
        <v>1</v>
      </c>
      <c r="L66" s="43"/>
      <c r="M66" s="38"/>
      <c r="N66" s="47">
        <f>ROUND((ROUND((_11_A家事増２．０*_11・基礎２),0)*_11・２人),0)</f>
        <v>252</v>
      </c>
      <c r="O66" s="48"/>
    </row>
    <row r="67" spans="1:15" ht="16.5" customHeight="1" x14ac:dyDescent="0.15">
      <c r="A67" s="41">
        <v>11</v>
      </c>
      <c r="B67" s="41" t="s">
        <v>10550</v>
      </c>
      <c r="C67" s="74" t="s">
        <v>10551</v>
      </c>
      <c r="D67" s="72"/>
      <c r="F67" s="53"/>
      <c r="G67" s="49"/>
      <c r="H67" s="50"/>
      <c r="I67" s="44"/>
      <c r="J67" s="45"/>
      <c r="K67" s="46"/>
      <c r="L67" s="707" t="s">
        <v>404</v>
      </c>
      <c r="M67" s="708"/>
      <c r="N67" s="47">
        <f>ROUND((_11_A家事増２．０*_11・初任),0)</f>
        <v>196</v>
      </c>
      <c r="O67" s="48"/>
    </row>
    <row r="68" spans="1:15" ht="16.5" customHeight="1" x14ac:dyDescent="0.15">
      <c r="A68" s="41">
        <v>11</v>
      </c>
      <c r="B68" s="41" t="s">
        <v>10552</v>
      </c>
      <c r="C68" s="74" t="s">
        <v>10553</v>
      </c>
      <c r="D68" s="72"/>
      <c r="F68" s="43"/>
      <c r="G68" s="37"/>
      <c r="H68" s="38"/>
      <c r="I68" s="44" t="s">
        <v>397</v>
      </c>
      <c r="J68" s="218" t="s">
        <v>398</v>
      </c>
      <c r="K68" s="46">
        <v>1</v>
      </c>
      <c r="L68" s="709"/>
      <c r="M68" s="704"/>
      <c r="N68" s="47">
        <f>ROUND((ROUND((_11_A家事増２．０*_11・２人),0)*_11・初任),0)</f>
        <v>196</v>
      </c>
      <c r="O68" s="48"/>
    </row>
    <row r="69" spans="1:15" ht="16.5" customHeight="1" x14ac:dyDescent="0.15">
      <c r="A69" s="41">
        <v>11</v>
      </c>
      <c r="B69" s="41" t="s">
        <v>10554</v>
      </c>
      <c r="C69" s="74" t="s">
        <v>10555</v>
      </c>
      <c r="D69" s="72"/>
      <c r="F69" s="752" t="s">
        <v>400</v>
      </c>
      <c r="G69" s="219" t="s">
        <v>398</v>
      </c>
      <c r="H69" s="50">
        <v>0.9</v>
      </c>
      <c r="I69" s="44"/>
      <c r="J69" s="218"/>
      <c r="K69" s="46"/>
      <c r="L69" s="709"/>
      <c r="M69" s="704"/>
      <c r="N69" s="47">
        <f>ROUND((ROUND((_11_A家事増２．０*_11・基礎２),0)*_11・初任),0)</f>
        <v>176</v>
      </c>
      <c r="O69" s="48"/>
    </row>
    <row r="70" spans="1:15" ht="16.5" customHeight="1" x14ac:dyDescent="0.15">
      <c r="A70" s="41">
        <v>11</v>
      </c>
      <c r="B70" s="41" t="s">
        <v>10556</v>
      </c>
      <c r="C70" s="74" t="s">
        <v>10557</v>
      </c>
      <c r="D70" s="72"/>
      <c r="F70" s="711"/>
      <c r="G70" s="216"/>
      <c r="H70" s="38"/>
      <c r="I70" s="44" t="s">
        <v>397</v>
      </c>
      <c r="J70" s="247" t="s">
        <v>398</v>
      </c>
      <c r="K70" s="46">
        <v>1</v>
      </c>
      <c r="L70" s="240" t="s">
        <v>398</v>
      </c>
      <c r="M70" s="38">
        <f>_11・初任</f>
        <v>0.7</v>
      </c>
      <c r="N70" s="47">
        <f>ROUND((ROUND((ROUND((_11_A家事増２．０*_11・基礎２),0)*_11・２人),0)*_11・初任),0)</f>
        <v>176</v>
      </c>
      <c r="O70" s="48"/>
    </row>
    <row r="71" spans="1:15" ht="16.5" customHeight="1" x14ac:dyDescent="0.15">
      <c r="A71" s="41">
        <v>11</v>
      </c>
      <c r="B71" s="41">
        <v>8083</v>
      </c>
      <c r="C71" s="74" t="s">
        <v>10558</v>
      </c>
      <c r="D71" s="707" t="s">
        <v>10559</v>
      </c>
      <c r="E71" s="717"/>
      <c r="F71" s="53"/>
      <c r="G71" s="49"/>
      <c r="H71" s="50"/>
      <c r="I71" s="44"/>
      <c r="J71" s="45"/>
      <c r="K71" s="46"/>
      <c r="L71" s="53"/>
      <c r="M71" s="50"/>
      <c r="N71" s="47">
        <f>_11_A家事増２．２５</f>
        <v>315</v>
      </c>
      <c r="O71" s="48"/>
    </row>
    <row r="72" spans="1:15" ht="16.5" customHeight="1" x14ac:dyDescent="0.15">
      <c r="A72" s="41">
        <v>11</v>
      </c>
      <c r="B72" s="41">
        <v>8084</v>
      </c>
      <c r="C72" s="74" t="s">
        <v>10560</v>
      </c>
      <c r="D72" s="709"/>
      <c r="E72" s="718"/>
      <c r="F72" s="43"/>
      <c r="G72" s="37"/>
      <c r="H72" s="38"/>
      <c r="I72" s="44" t="s">
        <v>397</v>
      </c>
      <c r="J72" s="218" t="s">
        <v>398</v>
      </c>
      <c r="K72" s="46">
        <v>1</v>
      </c>
      <c r="L72" s="35"/>
      <c r="N72" s="47">
        <f>ROUND((_11_A家事増２．２５*_11・２人),0)</f>
        <v>315</v>
      </c>
      <c r="O72" s="48"/>
    </row>
    <row r="73" spans="1:15" ht="16.5" customHeight="1" x14ac:dyDescent="0.15">
      <c r="A73" s="41">
        <v>11</v>
      </c>
      <c r="B73" s="41">
        <v>8085</v>
      </c>
      <c r="C73" s="74" t="s">
        <v>10561</v>
      </c>
      <c r="D73" s="709"/>
      <c r="E73" s="718"/>
      <c r="F73" s="752" t="s">
        <v>400</v>
      </c>
      <c r="G73" s="219" t="s">
        <v>398</v>
      </c>
      <c r="H73" s="50">
        <v>0.9</v>
      </c>
      <c r="I73" s="44"/>
      <c r="J73" s="218"/>
      <c r="K73" s="46"/>
      <c r="L73" s="35"/>
      <c r="N73" s="47">
        <f>ROUND((_11_A家事増２．２５*_11・基礎２),0)</f>
        <v>284</v>
      </c>
      <c r="O73" s="48"/>
    </row>
    <row r="74" spans="1:15" ht="16.5" customHeight="1" x14ac:dyDescent="0.15">
      <c r="A74" s="41">
        <v>11</v>
      </c>
      <c r="B74" s="41">
        <v>8086</v>
      </c>
      <c r="C74" s="74" t="s">
        <v>10562</v>
      </c>
      <c r="D74" s="100">
        <f>_11_A家事増２．２５</f>
        <v>315</v>
      </c>
      <c r="E74" s="12" t="s">
        <v>392</v>
      </c>
      <c r="F74" s="711"/>
      <c r="G74" s="216"/>
      <c r="H74" s="38"/>
      <c r="I74" s="44" t="s">
        <v>397</v>
      </c>
      <c r="J74" s="247" t="s">
        <v>398</v>
      </c>
      <c r="K74" s="46">
        <v>1</v>
      </c>
      <c r="L74" s="43"/>
      <c r="M74" s="38"/>
      <c r="N74" s="47">
        <f>ROUND((ROUND((_11_A家事増２．２５*_11・基礎２),0)*_11・２人),0)</f>
        <v>284</v>
      </c>
      <c r="O74" s="48"/>
    </row>
    <row r="75" spans="1:15" ht="16.5" customHeight="1" x14ac:dyDescent="0.15">
      <c r="A75" s="41">
        <v>11</v>
      </c>
      <c r="B75" s="41" t="s">
        <v>10563</v>
      </c>
      <c r="C75" s="74" t="s">
        <v>10564</v>
      </c>
      <c r="D75" s="72"/>
      <c r="F75" s="53"/>
      <c r="G75" s="49"/>
      <c r="H75" s="50"/>
      <c r="I75" s="44"/>
      <c r="J75" s="45"/>
      <c r="K75" s="46"/>
      <c r="L75" s="707" t="s">
        <v>404</v>
      </c>
      <c r="M75" s="708"/>
      <c r="N75" s="47">
        <f>ROUND((_11_A家事増２．２５*_11・初任),0)</f>
        <v>221</v>
      </c>
      <c r="O75" s="48"/>
    </row>
    <row r="76" spans="1:15" ht="16.5" customHeight="1" x14ac:dyDescent="0.15">
      <c r="A76" s="41">
        <v>11</v>
      </c>
      <c r="B76" s="41" t="s">
        <v>10565</v>
      </c>
      <c r="C76" s="74" t="s">
        <v>10566</v>
      </c>
      <c r="D76" s="72"/>
      <c r="F76" s="43"/>
      <c r="G76" s="37"/>
      <c r="H76" s="38"/>
      <c r="I76" s="44" t="s">
        <v>397</v>
      </c>
      <c r="J76" s="218" t="s">
        <v>398</v>
      </c>
      <c r="K76" s="46">
        <v>1</v>
      </c>
      <c r="L76" s="709"/>
      <c r="M76" s="704"/>
      <c r="N76" s="47">
        <f>ROUND((ROUND((_11_A家事増２．２５*_11・２人),0)*_11・初任),0)</f>
        <v>221</v>
      </c>
      <c r="O76" s="48"/>
    </row>
    <row r="77" spans="1:15" ht="16.5" customHeight="1" x14ac:dyDescent="0.15">
      <c r="A77" s="41">
        <v>11</v>
      </c>
      <c r="B77" s="41" t="s">
        <v>10567</v>
      </c>
      <c r="C77" s="74" t="s">
        <v>10568</v>
      </c>
      <c r="D77" s="72"/>
      <c r="F77" s="752" t="s">
        <v>400</v>
      </c>
      <c r="G77" s="219" t="s">
        <v>398</v>
      </c>
      <c r="H77" s="50">
        <v>0.9</v>
      </c>
      <c r="I77" s="44"/>
      <c r="J77" s="218"/>
      <c r="K77" s="46"/>
      <c r="L77" s="709"/>
      <c r="M77" s="704"/>
      <c r="N77" s="47">
        <f>ROUND((ROUND((_11_A家事増２．２５*_11・基礎２),0)*_11・初任),0)</f>
        <v>199</v>
      </c>
      <c r="O77" s="48"/>
    </row>
    <row r="78" spans="1:15" ht="16.5" customHeight="1" x14ac:dyDescent="0.15">
      <c r="A78" s="41">
        <v>11</v>
      </c>
      <c r="B78" s="41" t="s">
        <v>10569</v>
      </c>
      <c r="C78" s="74" t="s">
        <v>10570</v>
      </c>
      <c r="D78" s="122"/>
      <c r="E78" s="37"/>
      <c r="F78" s="711"/>
      <c r="G78" s="216"/>
      <c r="H78" s="38"/>
      <c r="I78" s="44" t="s">
        <v>397</v>
      </c>
      <c r="J78" s="247" t="s">
        <v>398</v>
      </c>
      <c r="K78" s="46">
        <v>1</v>
      </c>
      <c r="L78" s="240" t="s">
        <v>398</v>
      </c>
      <c r="M78" s="38">
        <f>_11・初任</f>
        <v>0.7</v>
      </c>
      <c r="N78" s="47">
        <f>ROUND((ROUND((ROUND((_11_A家事増２．２５*_11・基礎２),0)*_11・２人),0)*_11・初任),0)</f>
        <v>199</v>
      </c>
      <c r="O78" s="63"/>
    </row>
    <row r="79" spans="1:15" ht="16.5" customHeight="1" x14ac:dyDescent="0.15">
      <c r="A79" s="33">
        <v>11</v>
      </c>
      <c r="B79" s="33">
        <v>6399</v>
      </c>
      <c r="C79" s="34" t="s">
        <v>10571</v>
      </c>
      <c r="D79" s="709" t="s">
        <v>10572</v>
      </c>
      <c r="E79" s="718"/>
      <c r="F79" s="35"/>
      <c r="G79" s="12"/>
      <c r="I79" s="36"/>
      <c r="J79" s="37"/>
      <c r="K79" s="38"/>
      <c r="L79" s="35"/>
      <c r="N79" s="39">
        <f>_11_A家事増２．５</f>
        <v>350</v>
      </c>
      <c r="O79" s="48"/>
    </row>
    <row r="80" spans="1:15" ht="16.5" customHeight="1" x14ac:dyDescent="0.15">
      <c r="A80" s="41">
        <v>11</v>
      </c>
      <c r="B80" s="41">
        <v>6400</v>
      </c>
      <c r="C80" s="74" t="s">
        <v>10573</v>
      </c>
      <c r="D80" s="709"/>
      <c r="E80" s="718"/>
      <c r="F80" s="43"/>
      <c r="G80" s="37"/>
      <c r="H80" s="38"/>
      <c r="I80" s="44" t="s">
        <v>397</v>
      </c>
      <c r="J80" s="218" t="s">
        <v>398</v>
      </c>
      <c r="K80" s="46">
        <v>1</v>
      </c>
      <c r="L80" s="35"/>
      <c r="N80" s="47">
        <f>ROUND((_11_A家事増２．５*_11・２人),0)</f>
        <v>350</v>
      </c>
      <c r="O80" s="48"/>
    </row>
    <row r="81" spans="1:15" ht="16.5" customHeight="1" x14ac:dyDescent="0.15">
      <c r="A81" s="41">
        <v>11</v>
      </c>
      <c r="B81" s="41">
        <v>6401</v>
      </c>
      <c r="C81" s="74" t="s">
        <v>10574</v>
      </c>
      <c r="D81" s="709"/>
      <c r="E81" s="718"/>
      <c r="F81" s="752" t="s">
        <v>400</v>
      </c>
      <c r="G81" s="219" t="s">
        <v>398</v>
      </c>
      <c r="H81" s="50">
        <v>0.9</v>
      </c>
      <c r="I81" s="44"/>
      <c r="J81" s="218"/>
      <c r="K81" s="46"/>
      <c r="L81" s="35"/>
      <c r="N81" s="47">
        <f>ROUND((_11_A家事増２．５*_11・基礎２),0)</f>
        <v>315</v>
      </c>
      <c r="O81" s="48"/>
    </row>
    <row r="82" spans="1:15" ht="16.5" customHeight="1" x14ac:dyDescent="0.15">
      <c r="A82" s="41">
        <v>11</v>
      </c>
      <c r="B82" s="41">
        <v>6402</v>
      </c>
      <c r="C82" s="74" t="s">
        <v>10575</v>
      </c>
      <c r="D82" s="100">
        <f>_11_A家事増２．５</f>
        <v>350</v>
      </c>
      <c r="E82" s="12" t="s">
        <v>392</v>
      </c>
      <c r="F82" s="711"/>
      <c r="G82" s="216"/>
      <c r="H82" s="38"/>
      <c r="I82" s="44" t="s">
        <v>397</v>
      </c>
      <c r="J82" s="247" t="s">
        <v>398</v>
      </c>
      <c r="K82" s="46">
        <v>1</v>
      </c>
      <c r="L82" s="43"/>
      <c r="M82" s="38"/>
      <c r="N82" s="47">
        <f>ROUND((ROUND((_11_A家事増２．５*_11・基礎２),0)*_11・２人),0)</f>
        <v>315</v>
      </c>
      <c r="O82" s="48"/>
    </row>
    <row r="83" spans="1:15" ht="16.5" customHeight="1" x14ac:dyDescent="0.15">
      <c r="A83" s="41">
        <v>11</v>
      </c>
      <c r="B83" s="41" t="s">
        <v>10576</v>
      </c>
      <c r="C83" s="74" t="s">
        <v>10577</v>
      </c>
      <c r="D83" s="72"/>
      <c r="F83" s="53"/>
      <c r="G83" s="49"/>
      <c r="H83" s="50"/>
      <c r="I83" s="44"/>
      <c r="J83" s="45"/>
      <c r="K83" s="46"/>
      <c r="L83" s="707" t="s">
        <v>404</v>
      </c>
      <c r="M83" s="708"/>
      <c r="N83" s="47">
        <f>ROUND((_11_A家事増２．５*_11・初任),0)</f>
        <v>245</v>
      </c>
      <c r="O83" s="48"/>
    </row>
    <row r="84" spans="1:15" ht="16.5" customHeight="1" x14ac:dyDescent="0.15">
      <c r="A84" s="41">
        <v>11</v>
      </c>
      <c r="B84" s="41" t="s">
        <v>10578</v>
      </c>
      <c r="C84" s="74" t="s">
        <v>10579</v>
      </c>
      <c r="D84" s="72"/>
      <c r="F84" s="43"/>
      <c r="G84" s="37"/>
      <c r="H84" s="38"/>
      <c r="I84" s="44" t="s">
        <v>397</v>
      </c>
      <c r="J84" s="218" t="s">
        <v>398</v>
      </c>
      <c r="K84" s="46">
        <v>1</v>
      </c>
      <c r="L84" s="709"/>
      <c r="M84" s="704"/>
      <c r="N84" s="47">
        <f>ROUND((ROUND((_11_A家事増２．５*_11・２人),0)*_11・初任),0)</f>
        <v>245</v>
      </c>
      <c r="O84" s="48"/>
    </row>
    <row r="85" spans="1:15" ht="16.5" customHeight="1" x14ac:dyDescent="0.15">
      <c r="A85" s="41">
        <v>11</v>
      </c>
      <c r="B85" s="41" t="s">
        <v>10580</v>
      </c>
      <c r="C85" s="74" t="s">
        <v>10581</v>
      </c>
      <c r="D85" s="72"/>
      <c r="F85" s="752" t="s">
        <v>400</v>
      </c>
      <c r="G85" s="219" t="s">
        <v>398</v>
      </c>
      <c r="H85" s="50">
        <v>0.9</v>
      </c>
      <c r="I85" s="44"/>
      <c r="J85" s="218"/>
      <c r="K85" s="46"/>
      <c r="L85" s="709"/>
      <c r="M85" s="704"/>
      <c r="N85" s="47">
        <f>ROUND((ROUND((_11_A家事増２．５*_11・基礎２),0)*_11・初任),0)</f>
        <v>221</v>
      </c>
      <c r="O85" s="48"/>
    </row>
    <row r="86" spans="1:15" ht="16.5" customHeight="1" x14ac:dyDescent="0.15">
      <c r="A86" s="41">
        <v>11</v>
      </c>
      <c r="B86" s="41" t="s">
        <v>10582</v>
      </c>
      <c r="C86" s="74" t="s">
        <v>10583</v>
      </c>
      <c r="D86" s="72"/>
      <c r="F86" s="711"/>
      <c r="G86" s="216"/>
      <c r="H86" s="38"/>
      <c r="I86" s="44" t="s">
        <v>397</v>
      </c>
      <c r="J86" s="247" t="s">
        <v>398</v>
      </c>
      <c r="K86" s="46">
        <v>1</v>
      </c>
      <c r="L86" s="240" t="s">
        <v>398</v>
      </c>
      <c r="M86" s="38">
        <f>_11・初任</f>
        <v>0.7</v>
      </c>
      <c r="N86" s="47">
        <f>ROUND((ROUND((ROUND((_11_A家事増２．５*_11・基礎２),0)*_11・２人),0)*_11・初任),0)</f>
        <v>221</v>
      </c>
      <c r="O86" s="48"/>
    </row>
    <row r="87" spans="1:15" ht="16.5" customHeight="1" x14ac:dyDescent="0.15">
      <c r="A87" s="41">
        <v>11</v>
      </c>
      <c r="B87" s="41">
        <v>8087</v>
      </c>
      <c r="C87" s="74" t="s">
        <v>10584</v>
      </c>
      <c r="D87" s="707" t="s">
        <v>10585</v>
      </c>
      <c r="E87" s="717"/>
      <c r="F87" s="53"/>
      <c r="G87" s="49"/>
      <c r="H87" s="50"/>
      <c r="I87" s="44"/>
      <c r="J87" s="45"/>
      <c r="K87" s="46"/>
      <c r="L87" s="53"/>
      <c r="M87" s="50"/>
      <c r="N87" s="47">
        <f>_11_A家事増２．７５</f>
        <v>385</v>
      </c>
      <c r="O87" s="48"/>
    </row>
    <row r="88" spans="1:15" ht="16.5" customHeight="1" x14ac:dyDescent="0.15">
      <c r="A88" s="41">
        <v>11</v>
      </c>
      <c r="B88" s="41">
        <v>8088</v>
      </c>
      <c r="C88" s="74" t="s">
        <v>10586</v>
      </c>
      <c r="D88" s="709"/>
      <c r="E88" s="718"/>
      <c r="F88" s="43"/>
      <c r="G88" s="37"/>
      <c r="H88" s="38"/>
      <c r="I88" s="44" t="s">
        <v>397</v>
      </c>
      <c r="J88" s="218" t="s">
        <v>398</v>
      </c>
      <c r="K88" s="46">
        <v>1</v>
      </c>
      <c r="L88" s="35"/>
      <c r="N88" s="47">
        <f>ROUND((_11_A家事増２．７５*_11・２人),0)</f>
        <v>385</v>
      </c>
      <c r="O88" s="48"/>
    </row>
    <row r="89" spans="1:15" ht="16.5" customHeight="1" x14ac:dyDescent="0.15">
      <c r="A89" s="41">
        <v>11</v>
      </c>
      <c r="B89" s="41">
        <v>8089</v>
      </c>
      <c r="C89" s="74" t="s">
        <v>10587</v>
      </c>
      <c r="D89" s="709"/>
      <c r="E89" s="718"/>
      <c r="F89" s="752" t="s">
        <v>400</v>
      </c>
      <c r="G89" s="219" t="s">
        <v>398</v>
      </c>
      <c r="H89" s="50">
        <v>0.9</v>
      </c>
      <c r="I89" s="44"/>
      <c r="J89" s="218"/>
      <c r="K89" s="46"/>
      <c r="L89" s="35"/>
      <c r="N89" s="47">
        <f>ROUND((_11_A家事増２．７５*_11・基礎２),0)</f>
        <v>347</v>
      </c>
      <c r="O89" s="48"/>
    </row>
    <row r="90" spans="1:15" ht="16.5" customHeight="1" x14ac:dyDescent="0.15">
      <c r="A90" s="41">
        <v>11</v>
      </c>
      <c r="B90" s="41">
        <v>8090</v>
      </c>
      <c r="C90" s="74" t="s">
        <v>10588</v>
      </c>
      <c r="D90" s="100">
        <f>_11_A家事増２．７５</f>
        <v>385</v>
      </c>
      <c r="E90" s="12" t="s">
        <v>392</v>
      </c>
      <c r="F90" s="711"/>
      <c r="G90" s="216"/>
      <c r="H90" s="38"/>
      <c r="I90" s="44" t="s">
        <v>397</v>
      </c>
      <c r="J90" s="247" t="s">
        <v>398</v>
      </c>
      <c r="K90" s="46">
        <v>1</v>
      </c>
      <c r="L90" s="43"/>
      <c r="M90" s="38"/>
      <c r="N90" s="47">
        <f>ROUND((ROUND((_11_A家事増２．７５*_11・基礎２),0)*_11・２人),0)</f>
        <v>347</v>
      </c>
      <c r="O90" s="48"/>
    </row>
    <row r="91" spans="1:15" ht="16.5" customHeight="1" x14ac:dyDescent="0.15">
      <c r="A91" s="41">
        <v>11</v>
      </c>
      <c r="B91" s="41" t="s">
        <v>10589</v>
      </c>
      <c r="C91" s="74" t="s">
        <v>10590</v>
      </c>
      <c r="D91" s="72"/>
      <c r="F91" s="53"/>
      <c r="G91" s="49"/>
      <c r="H91" s="50"/>
      <c r="I91" s="44"/>
      <c r="J91" s="45"/>
      <c r="K91" s="46"/>
      <c r="L91" s="707" t="s">
        <v>404</v>
      </c>
      <c r="M91" s="708"/>
      <c r="N91" s="47">
        <f>ROUND((_11_A家事増２．７５*_11・初任),0)</f>
        <v>270</v>
      </c>
      <c r="O91" s="48"/>
    </row>
    <row r="92" spans="1:15" ht="16.5" customHeight="1" x14ac:dyDescent="0.15">
      <c r="A92" s="41">
        <v>11</v>
      </c>
      <c r="B92" s="41" t="s">
        <v>10591</v>
      </c>
      <c r="C92" s="74" t="s">
        <v>10592</v>
      </c>
      <c r="D92" s="72"/>
      <c r="F92" s="43"/>
      <c r="G92" s="37"/>
      <c r="H92" s="38"/>
      <c r="I92" s="44" t="s">
        <v>397</v>
      </c>
      <c r="J92" s="218" t="s">
        <v>398</v>
      </c>
      <c r="K92" s="46">
        <v>1</v>
      </c>
      <c r="L92" s="709"/>
      <c r="M92" s="704"/>
      <c r="N92" s="47">
        <f>ROUND((ROUND((_11_A家事増２．７５*_11・２人),0)*_11・初任),0)</f>
        <v>270</v>
      </c>
      <c r="O92" s="48"/>
    </row>
    <row r="93" spans="1:15" ht="16.5" customHeight="1" x14ac:dyDescent="0.15">
      <c r="A93" s="41">
        <v>11</v>
      </c>
      <c r="B93" s="41" t="s">
        <v>10593</v>
      </c>
      <c r="C93" s="74" t="s">
        <v>10594</v>
      </c>
      <c r="D93" s="72"/>
      <c r="F93" s="752" t="s">
        <v>400</v>
      </c>
      <c r="G93" s="219" t="s">
        <v>398</v>
      </c>
      <c r="H93" s="50">
        <v>0.9</v>
      </c>
      <c r="I93" s="44"/>
      <c r="J93" s="218"/>
      <c r="K93" s="46"/>
      <c r="L93" s="709"/>
      <c r="M93" s="704"/>
      <c r="N93" s="47">
        <f>ROUND((ROUND((_11_A家事増２．７５*_11・基礎２),0)*_11・初任),0)</f>
        <v>243</v>
      </c>
      <c r="O93" s="48"/>
    </row>
    <row r="94" spans="1:15" ht="16.5" customHeight="1" x14ac:dyDescent="0.15">
      <c r="A94" s="41">
        <v>11</v>
      </c>
      <c r="B94" s="41" t="s">
        <v>10595</v>
      </c>
      <c r="C94" s="74" t="s">
        <v>10596</v>
      </c>
      <c r="D94" s="72"/>
      <c r="F94" s="711"/>
      <c r="G94" s="216"/>
      <c r="H94" s="38"/>
      <c r="I94" s="44" t="s">
        <v>397</v>
      </c>
      <c r="J94" s="247" t="s">
        <v>398</v>
      </c>
      <c r="K94" s="46">
        <v>1</v>
      </c>
      <c r="L94" s="240" t="s">
        <v>398</v>
      </c>
      <c r="M94" s="38">
        <f>_11・初任</f>
        <v>0.7</v>
      </c>
      <c r="N94" s="47">
        <f>ROUND((ROUND((ROUND((_11_A家事増２．７５*_11・基礎２),0)*_11・２人),0)*_11・初任),0)</f>
        <v>243</v>
      </c>
      <c r="O94" s="48"/>
    </row>
    <row r="95" spans="1:15" ht="16.5" customHeight="1" x14ac:dyDescent="0.15">
      <c r="A95" s="41">
        <v>11</v>
      </c>
      <c r="B95" s="41">
        <v>6403</v>
      </c>
      <c r="C95" s="74" t="s">
        <v>10597</v>
      </c>
      <c r="D95" s="707" t="s">
        <v>10598</v>
      </c>
      <c r="E95" s="717"/>
      <c r="F95" s="53"/>
      <c r="G95" s="49"/>
      <c r="H95" s="50"/>
      <c r="I95" s="44"/>
      <c r="J95" s="45"/>
      <c r="K95" s="46"/>
      <c r="L95" s="53"/>
      <c r="M95" s="50"/>
      <c r="N95" s="47">
        <f>_11_A家事増３．０</f>
        <v>420</v>
      </c>
      <c r="O95" s="48"/>
    </row>
    <row r="96" spans="1:15" ht="16.5" customHeight="1" x14ac:dyDescent="0.15">
      <c r="A96" s="41">
        <v>11</v>
      </c>
      <c r="B96" s="41">
        <v>6404</v>
      </c>
      <c r="C96" s="74" t="s">
        <v>10599</v>
      </c>
      <c r="D96" s="709"/>
      <c r="E96" s="718"/>
      <c r="F96" s="43"/>
      <c r="G96" s="37"/>
      <c r="H96" s="38"/>
      <c r="I96" s="44" t="s">
        <v>397</v>
      </c>
      <c r="J96" s="218" t="s">
        <v>398</v>
      </c>
      <c r="K96" s="46">
        <v>1</v>
      </c>
      <c r="L96" s="35"/>
      <c r="N96" s="47">
        <f>ROUND((_11_A家事増３．０*_11・２人),0)</f>
        <v>420</v>
      </c>
      <c r="O96" s="48"/>
    </row>
    <row r="97" spans="1:15" ht="16.5" customHeight="1" x14ac:dyDescent="0.15">
      <c r="A97" s="41">
        <v>11</v>
      </c>
      <c r="B97" s="41">
        <v>6405</v>
      </c>
      <c r="C97" s="74" t="s">
        <v>10600</v>
      </c>
      <c r="D97" s="709"/>
      <c r="E97" s="718"/>
      <c r="F97" s="752" t="s">
        <v>400</v>
      </c>
      <c r="G97" s="219" t="s">
        <v>398</v>
      </c>
      <c r="H97" s="50">
        <v>0.9</v>
      </c>
      <c r="I97" s="44"/>
      <c r="J97" s="218"/>
      <c r="K97" s="46"/>
      <c r="L97" s="35"/>
      <c r="N97" s="47">
        <f>ROUND((_11_A家事増３．０*_11・基礎２),0)</f>
        <v>378</v>
      </c>
      <c r="O97" s="48"/>
    </row>
    <row r="98" spans="1:15" ht="16.5" customHeight="1" x14ac:dyDescent="0.15">
      <c r="A98" s="41">
        <v>11</v>
      </c>
      <c r="B98" s="41">
        <v>6406</v>
      </c>
      <c r="C98" s="74" t="s">
        <v>10601</v>
      </c>
      <c r="D98" s="100">
        <f>_11_A家事増３．０</f>
        <v>420</v>
      </c>
      <c r="E98" s="12" t="s">
        <v>392</v>
      </c>
      <c r="F98" s="711"/>
      <c r="G98" s="216"/>
      <c r="H98" s="38"/>
      <c r="I98" s="44" t="s">
        <v>397</v>
      </c>
      <c r="J98" s="247" t="s">
        <v>398</v>
      </c>
      <c r="K98" s="46">
        <v>1</v>
      </c>
      <c r="L98" s="43"/>
      <c r="M98" s="38"/>
      <c r="N98" s="47">
        <f>ROUND((ROUND((_11_A家事増３．０*_11・基礎２),0)*_11・２人),0)</f>
        <v>378</v>
      </c>
      <c r="O98" s="48"/>
    </row>
    <row r="99" spans="1:15" ht="16.5" customHeight="1" x14ac:dyDescent="0.15">
      <c r="A99" s="41">
        <v>11</v>
      </c>
      <c r="B99" s="41" t="s">
        <v>10602</v>
      </c>
      <c r="C99" s="74" t="s">
        <v>10603</v>
      </c>
      <c r="D99" s="72"/>
      <c r="F99" s="53"/>
      <c r="G99" s="49"/>
      <c r="H99" s="50"/>
      <c r="I99" s="44"/>
      <c r="J99" s="45"/>
      <c r="K99" s="46"/>
      <c r="L99" s="707" t="s">
        <v>404</v>
      </c>
      <c r="M99" s="708"/>
      <c r="N99" s="47">
        <f>ROUND((_11_A家事増３．０*_11・初任),0)</f>
        <v>294</v>
      </c>
      <c r="O99" s="48"/>
    </row>
    <row r="100" spans="1:15" ht="16.5" customHeight="1" x14ac:dyDescent="0.15">
      <c r="A100" s="41">
        <v>11</v>
      </c>
      <c r="B100" s="41" t="s">
        <v>10604</v>
      </c>
      <c r="C100" s="74" t="s">
        <v>10605</v>
      </c>
      <c r="D100" s="72"/>
      <c r="F100" s="43"/>
      <c r="G100" s="37"/>
      <c r="H100" s="38"/>
      <c r="I100" s="44" t="s">
        <v>397</v>
      </c>
      <c r="J100" s="218" t="s">
        <v>398</v>
      </c>
      <c r="K100" s="46">
        <v>1</v>
      </c>
      <c r="L100" s="709"/>
      <c r="M100" s="704"/>
      <c r="N100" s="47">
        <f>ROUND((ROUND((_11_A家事増３．０*_11・２人),0)*_11・初任),0)</f>
        <v>294</v>
      </c>
      <c r="O100" s="48"/>
    </row>
    <row r="101" spans="1:15" ht="16.5" customHeight="1" x14ac:dyDescent="0.15">
      <c r="A101" s="41">
        <v>11</v>
      </c>
      <c r="B101" s="41" t="s">
        <v>10606</v>
      </c>
      <c r="C101" s="74" t="s">
        <v>10607</v>
      </c>
      <c r="D101" s="72"/>
      <c r="F101" s="752" t="s">
        <v>400</v>
      </c>
      <c r="G101" s="219" t="s">
        <v>398</v>
      </c>
      <c r="H101" s="50">
        <v>0.9</v>
      </c>
      <c r="I101" s="44"/>
      <c r="J101" s="218"/>
      <c r="K101" s="46"/>
      <c r="L101" s="709"/>
      <c r="M101" s="704"/>
      <c r="N101" s="47">
        <f>ROUND((ROUND((_11_A家事増３．０*_11・基礎２),0)*_11・初任),0)</f>
        <v>265</v>
      </c>
      <c r="O101" s="48"/>
    </row>
    <row r="102" spans="1:15" ht="16.5" customHeight="1" x14ac:dyDescent="0.15">
      <c r="A102" s="41">
        <v>11</v>
      </c>
      <c r="B102" s="41" t="s">
        <v>10608</v>
      </c>
      <c r="C102" s="74" t="s">
        <v>10609</v>
      </c>
      <c r="D102" s="72"/>
      <c r="F102" s="711"/>
      <c r="G102" s="216"/>
      <c r="H102" s="38"/>
      <c r="I102" s="44" t="s">
        <v>397</v>
      </c>
      <c r="J102" s="247" t="s">
        <v>398</v>
      </c>
      <c r="K102" s="46">
        <v>1</v>
      </c>
      <c r="L102" s="240" t="s">
        <v>398</v>
      </c>
      <c r="M102" s="38">
        <f>_11・初任</f>
        <v>0.7</v>
      </c>
      <c r="N102" s="47">
        <f>ROUND((ROUND((ROUND((_11_A家事増３．０*_11・基礎２),0)*_11・２人),0)*_11・初任),0)</f>
        <v>265</v>
      </c>
      <c r="O102" s="48"/>
    </row>
    <row r="103" spans="1:15" ht="16.5" customHeight="1" x14ac:dyDescent="0.15">
      <c r="A103" s="41">
        <v>11</v>
      </c>
      <c r="B103" s="41">
        <v>8091</v>
      </c>
      <c r="C103" s="74" t="s">
        <v>10610</v>
      </c>
      <c r="D103" s="707" t="s">
        <v>10611</v>
      </c>
      <c r="E103" s="717"/>
      <c r="F103" s="53"/>
      <c r="G103" s="49"/>
      <c r="H103" s="50"/>
      <c r="I103" s="44"/>
      <c r="J103" s="45"/>
      <c r="K103" s="46"/>
      <c r="L103" s="53"/>
      <c r="M103" s="50"/>
      <c r="N103" s="47">
        <f>_11_A家事増３．２５</f>
        <v>455</v>
      </c>
      <c r="O103" s="48"/>
    </row>
    <row r="104" spans="1:15" ht="16.5" customHeight="1" x14ac:dyDescent="0.15">
      <c r="A104" s="41">
        <v>11</v>
      </c>
      <c r="B104" s="41">
        <v>8092</v>
      </c>
      <c r="C104" s="74" t="s">
        <v>10612</v>
      </c>
      <c r="D104" s="709"/>
      <c r="E104" s="718"/>
      <c r="F104" s="43"/>
      <c r="G104" s="37"/>
      <c r="H104" s="38"/>
      <c r="I104" s="44" t="s">
        <v>397</v>
      </c>
      <c r="J104" s="218" t="s">
        <v>398</v>
      </c>
      <c r="K104" s="46">
        <v>1</v>
      </c>
      <c r="L104" s="35"/>
      <c r="N104" s="47">
        <f>ROUND((_11_A家事増３．２５*_11・２人),0)</f>
        <v>455</v>
      </c>
      <c r="O104" s="48"/>
    </row>
    <row r="105" spans="1:15" ht="16.5" customHeight="1" x14ac:dyDescent="0.15">
      <c r="A105" s="41">
        <v>11</v>
      </c>
      <c r="B105" s="41">
        <v>8093</v>
      </c>
      <c r="C105" s="74" t="s">
        <v>10613</v>
      </c>
      <c r="D105" s="709"/>
      <c r="E105" s="718"/>
      <c r="F105" s="752" t="s">
        <v>400</v>
      </c>
      <c r="G105" s="219" t="s">
        <v>398</v>
      </c>
      <c r="H105" s="50">
        <v>0.9</v>
      </c>
      <c r="I105" s="44"/>
      <c r="J105" s="218"/>
      <c r="K105" s="46"/>
      <c r="L105" s="35"/>
      <c r="N105" s="47">
        <f>ROUND((_11_A家事増３．２５*_11・基礎２),0)</f>
        <v>410</v>
      </c>
      <c r="O105" s="48"/>
    </row>
    <row r="106" spans="1:15" ht="16.5" customHeight="1" x14ac:dyDescent="0.15">
      <c r="A106" s="41">
        <v>11</v>
      </c>
      <c r="B106" s="41">
        <v>8094</v>
      </c>
      <c r="C106" s="74" t="s">
        <v>10614</v>
      </c>
      <c r="D106" s="100">
        <f>_11_A家事増３．２５</f>
        <v>455</v>
      </c>
      <c r="E106" s="12" t="s">
        <v>392</v>
      </c>
      <c r="F106" s="711"/>
      <c r="G106" s="216"/>
      <c r="H106" s="38"/>
      <c r="I106" s="44" t="s">
        <v>397</v>
      </c>
      <c r="J106" s="247" t="s">
        <v>398</v>
      </c>
      <c r="K106" s="46">
        <v>1</v>
      </c>
      <c r="L106" s="43"/>
      <c r="M106" s="38"/>
      <c r="N106" s="47">
        <f>ROUND((ROUND((_11_A家事増３．２５*_11・基礎２),0)*_11・２人),0)</f>
        <v>410</v>
      </c>
      <c r="O106" s="48"/>
    </row>
    <row r="107" spans="1:15" ht="16.5" customHeight="1" x14ac:dyDescent="0.15">
      <c r="A107" s="41">
        <v>11</v>
      </c>
      <c r="B107" s="41" t="s">
        <v>10615</v>
      </c>
      <c r="C107" s="74" t="s">
        <v>10616</v>
      </c>
      <c r="D107" s="72"/>
      <c r="F107" s="53"/>
      <c r="G107" s="49"/>
      <c r="H107" s="50"/>
      <c r="I107" s="44"/>
      <c r="J107" s="45"/>
      <c r="K107" s="46"/>
      <c r="L107" s="707" t="s">
        <v>404</v>
      </c>
      <c r="M107" s="708"/>
      <c r="N107" s="47">
        <f>ROUND((_11_A家事増３．２５*_11・初任),0)</f>
        <v>319</v>
      </c>
      <c r="O107" s="48"/>
    </row>
    <row r="108" spans="1:15" ht="16.5" customHeight="1" x14ac:dyDescent="0.15">
      <c r="A108" s="41">
        <v>11</v>
      </c>
      <c r="B108" s="41" t="s">
        <v>10617</v>
      </c>
      <c r="C108" s="74" t="s">
        <v>10618</v>
      </c>
      <c r="D108" s="72"/>
      <c r="F108" s="43"/>
      <c r="G108" s="37"/>
      <c r="H108" s="38"/>
      <c r="I108" s="44" t="s">
        <v>397</v>
      </c>
      <c r="J108" s="218" t="s">
        <v>398</v>
      </c>
      <c r="K108" s="46">
        <v>1</v>
      </c>
      <c r="L108" s="709"/>
      <c r="M108" s="704"/>
      <c r="N108" s="47">
        <f>ROUND((ROUND((_11_A家事増３．２５*_11・２人),0)*_11・初任),0)</f>
        <v>319</v>
      </c>
      <c r="O108" s="48"/>
    </row>
    <row r="109" spans="1:15" ht="16.5" customHeight="1" x14ac:dyDescent="0.15">
      <c r="A109" s="41">
        <v>11</v>
      </c>
      <c r="B109" s="41" t="s">
        <v>10619</v>
      </c>
      <c r="C109" s="74" t="s">
        <v>10620</v>
      </c>
      <c r="D109" s="72"/>
      <c r="F109" s="752" t="s">
        <v>400</v>
      </c>
      <c r="G109" s="219" t="s">
        <v>398</v>
      </c>
      <c r="H109" s="50">
        <v>0.9</v>
      </c>
      <c r="I109" s="44"/>
      <c r="J109" s="218"/>
      <c r="K109" s="46"/>
      <c r="L109" s="709"/>
      <c r="M109" s="704"/>
      <c r="N109" s="47">
        <f>ROUND((ROUND((_11_A家事増３．２５*_11・基礎２),0)*_11・初任),0)</f>
        <v>287</v>
      </c>
      <c r="O109" s="48"/>
    </row>
    <row r="110" spans="1:15" ht="16.5" customHeight="1" x14ac:dyDescent="0.15">
      <c r="A110" s="41">
        <v>11</v>
      </c>
      <c r="B110" s="41" t="s">
        <v>10621</v>
      </c>
      <c r="C110" s="74" t="s">
        <v>10622</v>
      </c>
      <c r="D110" s="72"/>
      <c r="F110" s="711"/>
      <c r="G110" s="216"/>
      <c r="H110" s="38"/>
      <c r="I110" s="44" t="s">
        <v>397</v>
      </c>
      <c r="J110" s="247" t="s">
        <v>398</v>
      </c>
      <c r="K110" s="46">
        <v>1</v>
      </c>
      <c r="L110" s="240" t="s">
        <v>398</v>
      </c>
      <c r="M110" s="38">
        <f>_11・初任</f>
        <v>0.7</v>
      </c>
      <c r="N110" s="47">
        <f>ROUND((ROUND((ROUND((_11_A家事増３．２５*_11・基礎２),0)*_11・２人),0)*_11・初任),0)</f>
        <v>287</v>
      </c>
      <c r="O110" s="48"/>
    </row>
    <row r="111" spans="1:15" ht="16.5" customHeight="1" x14ac:dyDescent="0.15">
      <c r="A111" s="41">
        <v>11</v>
      </c>
      <c r="B111" s="41">
        <v>6407</v>
      </c>
      <c r="C111" s="74" t="s">
        <v>10623</v>
      </c>
      <c r="D111" s="707" t="s">
        <v>10624</v>
      </c>
      <c r="E111" s="717"/>
      <c r="F111" s="53"/>
      <c r="G111" s="49"/>
      <c r="H111" s="50"/>
      <c r="I111" s="44"/>
      <c r="J111" s="45"/>
      <c r="K111" s="46"/>
      <c r="L111" s="53"/>
      <c r="M111" s="50"/>
      <c r="N111" s="47">
        <f>_11_A家事増３．５</f>
        <v>490</v>
      </c>
      <c r="O111" s="48"/>
    </row>
    <row r="112" spans="1:15" ht="16.5" customHeight="1" x14ac:dyDescent="0.15">
      <c r="A112" s="41">
        <v>11</v>
      </c>
      <c r="B112" s="41">
        <v>6408</v>
      </c>
      <c r="C112" s="74" t="s">
        <v>10625</v>
      </c>
      <c r="D112" s="709"/>
      <c r="E112" s="718"/>
      <c r="F112" s="43"/>
      <c r="G112" s="37"/>
      <c r="H112" s="38"/>
      <c r="I112" s="44" t="s">
        <v>397</v>
      </c>
      <c r="J112" s="218" t="s">
        <v>398</v>
      </c>
      <c r="K112" s="46">
        <v>1</v>
      </c>
      <c r="L112" s="35"/>
      <c r="N112" s="47">
        <f>ROUND((_11_A家事増３．５*_11・２人),0)</f>
        <v>490</v>
      </c>
      <c r="O112" s="48"/>
    </row>
    <row r="113" spans="1:15" ht="16.5" customHeight="1" x14ac:dyDescent="0.15">
      <c r="A113" s="41">
        <v>11</v>
      </c>
      <c r="B113" s="41">
        <v>6409</v>
      </c>
      <c r="C113" s="74" t="s">
        <v>10626</v>
      </c>
      <c r="D113" s="709"/>
      <c r="E113" s="718"/>
      <c r="F113" s="752" t="s">
        <v>400</v>
      </c>
      <c r="G113" s="219" t="s">
        <v>398</v>
      </c>
      <c r="H113" s="50">
        <v>0.9</v>
      </c>
      <c r="I113" s="44"/>
      <c r="J113" s="218"/>
      <c r="K113" s="46"/>
      <c r="L113" s="35"/>
      <c r="N113" s="47">
        <f>ROUND((_11_A家事増３．５*_11・基礎２),0)</f>
        <v>441</v>
      </c>
      <c r="O113" s="48"/>
    </row>
    <row r="114" spans="1:15" ht="16.5" customHeight="1" x14ac:dyDescent="0.15">
      <c r="A114" s="41">
        <v>11</v>
      </c>
      <c r="B114" s="41">
        <v>6410</v>
      </c>
      <c r="C114" s="74" t="s">
        <v>10627</v>
      </c>
      <c r="D114" s="100">
        <f>_11_A家事増３．５</f>
        <v>490</v>
      </c>
      <c r="E114" s="12" t="s">
        <v>392</v>
      </c>
      <c r="F114" s="711"/>
      <c r="G114" s="216"/>
      <c r="H114" s="38"/>
      <c r="I114" s="44" t="s">
        <v>397</v>
      </c>
      <c r="J114" s="247" t="s">
        <v>398</v>
      </c>
      <c r="K114" s="46">
        <v>1</v>
      </c>
      <c r="L114" s="43"/>
      <c r="M114" s="38"/>
      <c r="N114" s="47">
        <f>ROUND((ROUND((_11_A家事増３．５*_11・基礎２),0)*_11・２人),0)</f>
        <v>441</v>
      </c>
      <c r="O114" s="48"/>
    </row>
    <row r="115" spans="1:15" ht="16.5" customHeight="1" x14ac:dyDescent="0.15">
      <c r="A115" s="41">
        <v>11</v>
      </c>
      <c r="B115" s="41" t="s">
        <v>10628</v>
      </c>
      <c r="C115" s="74" t="s">
        <v>10629</v>
      </c>
      <c r="D115" s="72"/>
      <c r="F115" s="53"/>
      <c r="G115" s="49"/>
      <c r="H115" s="50"/>
      <c r="I115" s="44"/>
      <c r="J115" s="45"/>
      <c r="K115" s="46"/>
      <c r="L115" s="707" t="s">
        <v>404</v>
      </c>
      <c r="M115" s="708"/>
      <c r="N115" s="47">
        <f>ROUND((_11_A家事増３．５*_11・初任),0)</f>
        <v>343</v>
      </c>
      <c r="O115" s="48"/>
    </row>
    <row r="116" spans="1:15" ht="16.5" customHeight="1" x14ac:dyDescent="0.15">
      <c r="A116" s="41">
        <v>11</v>
      </c>
      <c r="B116" s="41" t="s">
        <v>10630</v>
      </c>
      <c r="C116" s="74" t="s">
        <v>10631</v>
      </c>
      <c r="D116" s="72"/>
      <c r="F116" s="43"/>
      <c r="G116" s="37"/>
      <c r="H116" s="38"/>
      <c r="I116" s="44" t="s">
        <v>397</v>
      </c>
      <c r="J116" s="218" t="s">
        <v>398</v>
      </c>
      <c r="K116" s="46">
        <v>1</v>
      </c>
      <c r="L116" s="709"/>
      <c r="M116" s="704"/>
      <c r="N116" s="47">
        <f>ROUND((ROUND((_11_A家事増３．５*_11・２人),0)*_11・初任),0)</f>
        <v>343</v>
      </c>
      <c r="O116" s="48"/>
    </row>
    <row r="117" spans="1:15" ht="16.5" customHeight="1" x14ac:dyDescent="0.15">
      <c r="A117" s="41">
        <v>11</v>
      </c>
      <c r="B117" s="41" t="s">
        <v>10632</v>
      </c>
      <c r="C117" s="74" t="s">
        <v>10633</v>
      </c>
      <c r="D117" s="72"/>
      <c r="F117" s="752" t="s">
        <v>400</v>
      </c>
      <c r="G117" s="219" t="s">
        <v>398</v>
      </c>
      <c r="H117" s="50">
        <v>0.9</v>
      </c>
      <c r="I117" s="44"/>
      <c r="J117" s="218"/>
      <c r="K117" s="46"/>
      <c r="L117" s="709"/>
      <c r="M117" s="704"/>
      <c r="N117" s="47">
        <f>ROUND((ROUND((_11_A家事増３．５*_11・基礎２),0)*_11・初任),0)</f>
        <v>309</v>
      </c>
      <c r="O117" s="48"/>
    </row>
    <row r="118" spans="1:15" ht="16.5" customHeight="1" x14ac:dyDescent="0.15">
      <c r="A118" s="41">
        <v>11</v>
      </c>
      <c r="B118" s="41" t="s">
        <v>10634</v>
      </c>
      <c r="C118" s="74" t="s">
        <v>10635</v>
      </c>
      <c r="D118" s="72"/>
      <c r="F118" s="711"/>
      <c r="G118" s="216"/>
      <c r="H118" s="38"/>
      <c r="I118" s="44" t="s">
        <v>397</v>
      </c>
      <c r="J118" s="247" t="s">
        <v>398</v>
      </c>
      <c r="K118" s="46">
        <v>1</v>
      </c>
      <c r="L118" s="240" t="s">
        <v>398</v>
      </c>
      <c r="M118" s="38">
        <f>_11・初任</f>
        <v>0.7</v>
      </c>
      <c r="N118" s="47">
        <f>ROUND((ROUND((ROUND((_11_A家事増３．５*_11・基礎２),0)*_11・２人),0)*_11・初任),0)</f>
        <v>309</v>
      </c>
      <c r="O118" s="48"/>
    </row>
    <row r="119" spans="1:15" ht="16.5" customHeight="1" x14ac:dyDescent="0.15">
      <c r="A119" s="41">
        <v>11</v>
      </c>
      <c r="B119" s="41">
        <v>8095</v>
      </c>
      <c r="C119" s="74" t="s">
        <v>10636</v>
      </c>
      <c r="D119" s="707" t="s">
        <v>10637</v>
      </c>
      <c r="E119" s="717"/>
      <c r="F119" s="53"/>
      <c r="G119" s="49"/>
      <c r="H119" s="50"/>
      <c r="I119" s="44"/>
      <c r="J119" s="45"/>
      <c r="K119" s="46"/>
      <c r="L119" s="53"/>
      <c r="M119" s="50"/>
      <c r="N119" s="47">
        <f>_11_A家事増３．７５</f>
        <v>525</v>
      </c>
      <c r="O119" s="48"/>
    </row>
    <row r="120" spans="1:15" ht="16.5" customHeight="1" x14ac:dyDescent="0.15">
      <c r="A120" s="41">
        <v>11</v>
      </c>
      <c r="B120" s="41">
        <v>8096</v>
      </c>
      <c r="C120" s="74" t="s">
        <v>10638</v>
      </c>
      <c r="D120" s="709"/>
      <c r="E120" s="718"/>
      <c r="F120" s="43"/>
      <c r="G120" s="37"/>
      <c r="H120" s="38"/>
      <c r="I120" s="44" t="s">
        <v>397</v>
      </c>
      <c r="J120" s="218" t="s">
        <v>398</v>
      </c>
      <c r="K120" s="46">
        <v>1</v>
      </c>
      <c r="L120" s="35"/>
      <c r="N120" s="47">
        <f>ROUND((_11_A家事増３．７５*_11・２人),0)</f>
        <v>525</v>
      </c>
      <c r="O120" s="48"/>
    </row>
    <row r="121" spans="1:15" ht="16.5" customHeight="1" x14ac:dyDescent="0.15">
      <c r="A121" s="41">
        <v>11</v>
      </c>
      <c r="B121" s="41">
        <v>8097</v>
      </c>
      <c r="C121" s="74" t="s">
        <v>10639</v>
      </c>
      <c r="D121" s="709"/>
      <c r="E121" s="718"/>
      <c r="F121" s="752" t="s">
        <v>400</v>
      </c>
      <c r="G121" s="219" t="s">
        <v>398</v>
      </c>
      <c r="H121" s="50">
        <v>0.9</v>
      </c>
      <c r="I121" s="44"/>
      <c r="J121" s="218"/>
      <c r="K121" s="46"/>
      <c r="L121" s="35"/>
      <c r="N121" s="47">
        <f>ROUND((_11_A家事増３．７５*_11・基礎２),0)</f>
        <v>473</v>
      </c>
      <c r="O121" s="48"/>
    </row>
    <row r="122" spans="1:15" ht="16.5" customHeight="1" x14ac:dyDescent="0.15">
      <c r="A122" s="41">
        <v>11</v>
      </c>
      <c r="B122" s="41">
        <v>8098</v>
      </c>
      <c r="C122" s="74" t="s">
        <v>10640</v>
      </c>
      <c r="D122" s="100">
        <f>_11_A家事増３．７５</f>
        <v>525</v>
      </c>
      <c r="E122" s="12" t="s">
        <v>392</v>
      </c>
      <c r="F122" s="711"/>
      <c r="G122" s="216"/>
      <c r="H122" s="38"/>
      <c r="I122" s="44" t="s">
        <v>397</v>
      </c>
      <c r="J122" s="247" t="s">
        <v>398</v>
      </c>
      <c r="K122" s="46">
        <v>1</v>
      </c>
      <c r="L122" s="43"/>
      <c r="M122" s="38"/>
      <c r="N122" s="47">
        <f>ROUND((ROUND((_11_A家事増３．７５*_11・基礎２),0)*_11・２人),0)</f>
        <v>473</v>
      </c>
      <c r="O122" s="48"/>
    </row>
    <row r="123" spans="1:15" ht="16.5" customHeight="1" x14ac:dyDescent="0.15">
      <c r="A123" s="41">
        <v>11</v>
      </c>
      <c r="B123" s="41" t="s">
        <v>10641</v>
      </c>
      <c r="C123" s="74" t="s">
        <v>10642</v>
      </c>
      <c r="D123" s="72"/>
      <c r="F123" s="53"/>
      <c r="G123" s="49"/>
      <c r="H123" s="50"/>
      <c r="I123" s="44"/>
      <c r="J123" s="45"/>
      <c r="K123" s="46"/>
      <c r="L123" s="707" t="s">
        <v>404</v>
      </c>
      <c r="M123" s="708"/>
      <c r="N123" s="47">
        <f>ROUND((_11_A家事増３．７５*_11・初任),0)</f>
        <v>368</v>
      </c>
      <c r="O123" s="48"/>
    </row>
    <row r="124" spans="1:15" ht="16.5" customHeight="1" x14ac:dyDescent="0.15">
      <c r="A124" s="41">
        <v>11</v>
      </c>
      <c r="B124" s="41" t="s">
        <v>10643</v>
      </c>
      <c r="C124" s="74" t="s">
        <v>10644</v>
      </c>
      <c r="D124" s="72"/>
      <c r="F124" s="43"/>
      <c r="G124" s="37"/>
      <c r="H124" s="38"/>
      <c r="I124" s="44" t="s">
        <v>397</v>
      </c>
      <c r="J124" s="218" t="s">
        <v>398</v>
      </c>
      <c r="K124" s="46">
        <v>1</v>
      </c>
      <c r="L124" s="709"/>
      <c r="M124" s="704"/>
      <c r="N124" s="47">
        <f>ROUND((ROUND((_11_A家事増３．７５*_11・２人),0)*_11・初任),0)</f>
        <v>368</v>
      </c>
      <c r="O124" s="48"/>
    </row>
    <row r="125" spans="1:15" ht="16.5" customHeight="1" x14ac:dyDescent="0.15">
      <c r="A125" s="41">
        <v>11</v>
      </c>
      <c r="B125" s="41" t="s">
        <v>10645</v>
      </c>
      <c r="C125" s="74" t="s">
        <v>10646</v>
      </c>
      <c r="D125" s="72"/>
      <c r="F125" s="752" t="s">
        <v>400</v>
      </c>
      <c r="G125" s="219" t="s">
        <v>398</v>
      </c>
      <c r="H125" s="50">
        <v>0.9</v>
      </c>
      <c r="I125" s="44"/>
      <c r="J125" s="218"/>
      <c r="K125" s="46"/>
      <c r="L125" s="709"/>
      <c r="M125" s="704"/>
      <c r="N125" s="47">
        <f>ROUND((ROUND((_11_A家事増３．７５*_11・基礎２),0)*_11・初任),0)</f>
        <v>331</v>
      </c>
      <c r="O125" s="48"/>
    </row>
    <row r="126" spans="1:15" ht="16.5" customHeight="1" x14ac:dyDescent="0.15">
      <c r="A126" s="41">
        <v>11</v>
      </c>
      <c r="B126" s="41" t="s">
        <v>10647</v>
      </c>
      <c r="C126" s="74" t="s">
        <v>10648</v>
      </c>
      <c r="D126" s="72"/>
      <c r="F126" s="711"/>
      <c r="G126" s="216"/>
      <c r="H126" s="38"/>
      <c r="I126" s="44" t="s">
        <v>397</v>
      </c>
      <c r="J126" s="247" t="s">
        <v>398</v>
      </c>
      <c r="K126" s="46">
        <v>1</v>
      </c>
      <c r="L126" s="240" t="s">
        <v>398</v>
      </c>
      <c r="M126" s="38">
        <f>_11・初任</f>
        <v>0.7</v>
      </c>
      <c r="N126" s="47">
        <f>ROUND((ROUND((ROUND((_11_A家事増３．７５*_11・基礎２),0)*_11・２人),0)*_11・初任),0)</f>
        <v>331</v>
      </c>
      <c r="O126" s="48"/>
    </row>
    <row r="127" spans="1:15" ht="16.5" customHeight="1" x14ac:dyDescent="0.15">
      <c r="A127" s="41">
        <v>11</v>
      </c>
      <c r="B127" s="41">
        <v>6411</v>
      </c>
      <c r="C127" s="74" t="s">
        <v>10649</v>
      </c>
      <c r="D127" s="707" t="s">
        <v>10650</v>
      </c>
      <c r="E127" s="717"/>
      <c r="F127" s="53"/>
      <c r="G127" s="49"/>
      <c r="H127" s="50"/>
      <c r="I127" s="44"/>
      <c r="J127" s="45"/>
      <c r="K127" s="46"/>
      <c r="L127" s="53"/>
      <c r="M127" s="50"/>
      <c r="N127" s="47">
        <f>_11_A家事増４．０</f>
        <v>560</v>
      </c>
      <c r="O127" s="48"/>
    </row>
    <row r="128" spans="1:15" ht="16.5" customHeight="1" x14ac:dyDescent="0.15">
      <c r="A128" s="41">
        <v>11</v>
      </c>
      <c r="B128" s="41">
        <v>6412</v>
      </c>
      <c r="C128" s="74" t="s">
        <v>10651</v>
      </c>
      <c r="D128" s="709"/>
      <c r="E128" s="718"/>
      <c r="F128" s="43"/>
      <c r="G128" s="37"/>
      <c r="H128" s="38"/>
      <c r="I128" s="44" t="s">
        <v>397</v>
      </c>
      <c r="J128" s="218" t="s">
        <v>398</v>
      </c>
      <c r="K128" s="46">
        <v>1</v>
      </c>
      <c r="L128" s="35"/>
      <c r="N128" s="47">
        <f>ROUND((_11_A家事増４．０*_11・２人),0)</f>
        <v>560</v>
      </c>
      <c r="O128" s="48"/>
    </row>
    <row r="129" spans="1:15" ht="16.5" customHeight="1" x14ac:dyDescent="0.15">
      <c r="A129" s="41">
        <v>11</v>
      </c>
      <c r="B129" s="41">
        <v>6413</v>
      </c>
      <c r="C129" s="74" t="s">
        <v>10652</v>
      </c>
      <c r="D129" s="709"/>
      <c r="E129" s="718"/>
      <c r="F129" s="752" t="s">
        <v>400</v>
      </c>
      <c r="G129" s="219" t="s">
        <v>398</v>
      </c>
      <c r="H129" s="50">
        <v>0.9</v>
      </c>
      <c r="I129" s="44"/>
      <c r="J129" s="218"/>
      <c r="K129" s="46"/>
      <c r="L129" s="35"/>
      <c r="N129" s="47">
        <f>ROUND((_11_A家事増４．０*_11・基礎２),0)</f>
        <v>504</v>
      </c>
      <c r="O129" s="48"/>
    </row>
    <row r="130" spans="1:15" ht="16.5" customHeight="1" x14ac:dyDescent="0.15">
      <c r="A130" s="41">
        <v>11</v>
      </c>
      <c r="B130" s="41">
        <v>6414</v>
      </c>
      <c r="C130" s="74" t="s">
        <v>10653</v>
      </c>
      <c r="D130" s="100">
        <f>_11_A家事増４．０</f>
        <v>560</v>
      </c>
      <c r="E130" s="12" t="s">
        <v>392</v>
      </c>
      <c r="F130" s="711"/>
      <c r="G130" s="216"/>
      <c r="H130" s="38"/>
      <c r="I130" s="44" t="s">
        <v>397</v>
      </c>
      <c r="J130" s="247" t="s">
        <v>398</v>
      </c>
      <c r="K130" s="46">
        <v>1</v>
      </c>
      <c r="L130" s="43"/>
      <c r="M130" s="38"/>
      <c r="N130" s="47">
        <f>ROUND((ROUND((_11_A家事増４．０*_11・基礎２),0)*_11・２人),0)</f>
        <v>504</v>
      </c>
      <c r="O130" s="48"/>
    </row>
    <row r="131" spans="1:15" ht="16.5" customHeight="1" x14ac:dyDescent="0.15">
      <c r="A131" s="41">
        <v>11</v>
      </c>
      <c r="B131" s="41" t="s">
        <v>10654</v>
      </c>
      <c r="C131" s="74" t="s">
        <v>10655</v>
      </c>
      <c r="D131" s="72"/>
      <c r="F131" s="53"/>
      <c r="G131" s="49"/>
      <c r="H131" s="50"/>
      <c r="I131" s="44"/>
      <c r="J131" s="45"/>
      <c r="K131" s="46"/>
      <c r="L131" s="707" t="s">
        <v>404</v>
      </c>
      <c r="M131" s="708"/>
      <c r="N131" s="47">
        <f>ROUND((_11_A家事増４．０*_11・初任),0)</f>
        <v>392</v>
      </c>
      <c r="O131" s="48"/>
    </row>
    <row r="132" spans="1:15" ht="16.5" customHeight="1" x14ac:dyDescent="0.15">
      <c r="A132" s="41">
        <v>11</v>
      </c>
      <c r="B132" s="41" t="s">
        <v>10656</v>
      </c>
      <c r="C132" s="74" t="s">
        <v>10657</v>
      </c>
      <c r="D132" s="72"/>
      <c r="F132" s="43"/>
      <c r="G132" s="37"/>
      <c r="H132" s="38"/>
      <c r="I132" s="44" t="s">
        <v>397</v>
      </c>
      <c r="J132" s="218" t="s">
        <v>398</v>
      </c>
      <c r="K132" s="46">
        <v>1</v>
      </c>
      <c r="L132" s="709"/>
      <c r="M132" s="704"/>
      <c r="N132" s="47">
        <f>ROUND((ROUND((_11_A家事増４．０*_11・２人),0)*_11・初任),0)</f>
        <v>392</v>
      </c>
      <c r="O132" s="48"/>
    </row>
    <row r="133" spans="1:15" ht="16.5" customHeight="1" x14ac:dyDescent="0.15">
      <c r="A133" s="41">
        <v>11</v>
      </c>
      <c r="B133" s="41" t="s">
        <v>10658</v>
      </c>
      <c r="C133" s="74" t="s">
        <v>10659</v>
      </c>
      <c r="D133" s="72"/>
      <c r="F133" s="752" t="s">
        <v>400</v>
      </c>
      <c r="G133" s="219" t="s">
        <v>398</v>
      </c>
      <c r="H133" s="50">
        <v>0.9</v>
      </c>
      <c r="I133" s="44"/>
      <c r="J133" s="218"/>
      <c r="K133" s="46"/>
      <c r="L133" s="709"/>
      <c r="M133" s="704"/>
      <c r="N133" s="47">
        <f>ROUND((ROUND((_11_A家事増４．０*_11・基礎２),0)*_11・初任),0)</f>
        <v>353</v>
      </c>
      <c r="O133" s="48"/>
    </row>
    <row r="134" spans="1:15" ht="16.5" customHeight="1" x14ac:dyDescent="0.15">
      <c r="A134" s="41">
        <v>11</v>
      </c>
      <c r="B134" s="41" t="s">
        <v>10660</v>
      </c>
      <c r="C134" s="74" t="s">
        <v>10661</v>
      </c>
      <c r="D134" s="72"/>
      <c r="F134" s="711"/>
      <c r="G134" s="216"/>
      <c r="H134" s="38"/>
      <c r="I134" s="44" t="s">
        <v>397</v>
      </c>
      <c r="J134" s="247" t="s">
        <v>398</v>
      </c>
      <c r="K134" s="46">
        <v>1</v>
      </c>
      <c r="L134" s="240" t="s">
        <v>398</v>
      </c>
      <c r="M134" s="38">
        <f>_11・初任</f>
        <v>0.7</v>
      </c>
      <c r="N134" s="47">
        <f>ROUND((ROUND((ROUND((_11_A家事増４．０*_11・基礎２),0)*_11・２人),0)*_11・初任),0)</f>
        <v>353</v>
      </c>
      <c r="O134" s="48"/>
    </row>
    <row r="135" spans="1:15" ht="16.5" customHeight="1" x14ac:dyDescent="0.15">
      <c r="A135" s="41">
        <v>11</v>
      </c>
      <c r="B135" s="41">
        <v>8099</v>
      </c>
      <c r="C135" s="74" t="s">
        <v>10662</v>
      </c>
      <c r="D135" s="707" t="s">
        <v>10663</v>
      </c>
      <c r="E135" s="717"/>
      <c r="F135" s="53"/>
      <c r="G135" s="49"/>
      <c r="H135" s="50"/>
      <c r="I135" s="44"/>
      <c r="J135" s="45"/>
      <c r="K135" s="46"/>
      <c r="L135" s="53"/>
      <c r="M135" s="50"/>
      <c r="N135" s="47">
        <f>_11_A家事増４．２５</f>
        <v>595</v>
      </c>
      <c r="O135" s="48"/>
    </row>
    <row r="136" spans="1:15" ht="16.5" customHeight="1" x14ac:dyDescent="0.15">
      <c r="A136" s="41">
        <v>11</v>
      </c>
      <c r="B136" s="41">
        <v>8100</v>
      </c>
      <c r="C136" s="74" t="s">
        <v>10664</v>
      </c>
      <c r="D136" s="709"/>
      <c r="E136" s="718"/>
      <c r="F136" s="43"/>
      <c r="G136" s="37"/>
      <c r="H136" s="38"/>
      <c r="I136" s="44" t="s">
        <v>397</v>
      </c>
      <c r="J136" s="218" t="s">
        <v>398</v>
      </c>
      <c r="K136" s="46">
        <v>1</v>
      </c>
      <c r="L136" s="35"/>
      <c r="N136" s="47">
        <f>ROUND((_11_A家事増４．２５*_11・２人),0)</f>
        <v>595</v>
      </c>
      <c r="O136" s="48"/>
    </row>
    <row r="137" spans="1:15" ht="16.5" customHeight="1" x14ac:dyDescent="0.15">
      <c r="A137" s="41">
        <v>11</v>
      </c>
      <c r="B137" s="41">
        <v>8101</v>
      </c>
      <c r="C137" s="74" t="s">
        <v>10665</v>
      </c>
      <c r="D137" s="709"/>
      <c r="E137" s="718"/>
      <c r="F137" s="752" t="s">
        <v>400</v>
      </c>
      <c r="G137" s="219" t="s">
        <v>398</v>
      </c>
      <c r="H137" s="50">
        <v>0.9</v>
      </c>
      <c r="I137" s="44"/>
      <c r="J137" s="218"/>
      <c r="K137" s="46"/>
      <c r="L137" s="35"/>
      <c r="N137" s="47">
        <f>ROUND((_11_A家事増４．２５*_11・基礎２),0)</f>
        <v>536</v>
      </c>
      <c r="O137" s="48"/>
    </row>
    <row r="138" spans="1:15" ht="16.5" customHeight="1" x14ac:dyDescent="0.15">
      <c r="A138" s="41">
        <v>11</v>
      </c>
      <c r="B138" s="41">
        <v>8102</v>
      </c>
      <c r="C138" s="74" t="s">
        <v>10666</v>
      </c>
      <c r="D138" s="100">
        <f>_11_A家事増４．２５</f>
        <v>595</v>
      </c>
      <c r="E138" s="12" t="s">
        <v>392</v>
      </c>
      <c r="F138" s="711"/>
      <c r="G138" s="216"/>
      <c r="H138" s="38"/>
      <c r="I138" s="44" t="s">
        <v>397</v>
      </c>
      <c r="J138" s="247" t="s">
        <v>398</v>
      </c>
      <c r="K138" s="46">
        <v>1</v>
      </c>
      <c r="L138" s="43"/>
      <c r="M138" s="38"/>
      <c r="N138" s="47">
        <f>ROUND((ROUND((_11_A家事増４．２５*_11・基礎２),0)*_11・２人),0)</f>
        <v>536</v>
      </c>
      <c r="O138" s="48"/>
    </row>
    <row r="139" spans="1:15" ht="16.5" customHeight="1" x14ac:dyDescent="0.15">
      <c r="A139" s="41">
        <v>11</v>
      </c>
      <c r="B139" s="41" t="s">
        <v>10667</v>
      </c>
      <c r="C139" s="74" t="s">
        <v>10668</v>
      </c>
      <c r="D139" s="72"/>
      <c r="F139" s="53"/>
      <c r="G139" s="49"/>
      <c r="H139" s="50"/>
      <c r="I139" s="44"/>
      <c r="J139" s="45"/>
      <c r="K139" s="46"/>
      <c r="L139" s="707" t="s">
        <v>404</v>
      </c>
      <c r="M139" s="708"/>
      <c r="N139" s="47">
        <f>ROUND((_11_A家事増４．２５*_11・初任),0)</f>
        <v>417</v>
      </c>
      <c r="O139" s="48"/>
    </row>
    <row r="140" spans="1:15" ht="16.5" customHeight="1" x14ac:dyDescent="0.15">
      <c r="A140" s="41">
        <v>11</v>
      </c>
      <c r="B140" s="41" t="s">
        <v>10669</v>
      </c>
      <c r="C140" s="74" t="s">
        <v>10670</v>
      </c>
      <c r="D140" s="72"/>
      <c r="F140" s="43"/>
      <c r="G140" s="37"/>
      <c r="H140" s="38"/>
      <c r="I140" s="44" t="s">
        <v>397</v>
      </c>
      <c r="J140" s="218" t="s">
        <v>398</v>
      </c>
      <c r="K140" s="46">
        <v>1</v>
      </c>
      <c r="L140" s="709"/>
      <c r="M140" s="704"/>
      <c r="N140" s="47">
        <f>ROUND((ROUND((_11_A家事増４．２５*_11・２人),0)*_11・初任),0)</f>
        <v>417</v>
      </c>
      <c r="O140" s="48"/>
    </row>
    <row r="141" spans="1:15" ht="16.5" customHeight="1" x14ac:dyDescent="0.15">
      <c r="A141" s="41">
        <v>11</v>
      </c>
      <c r="B141" s="41" t="s">
        <v>10671</v>
      </c>
      <c r="C141" s="74" t="s">
        <v>10672</v>
      </c>
      <c r="D141" s="72"/>
      <c r="F141" s="752" t="s">
        <v>400</v>
      </c>
      <c r="G141" s="219" t="s">
        <v>398</v>
      </c>
      <c r="H141" s="50">
        <v>0.9</v>
      </c>
      <c r="I141" s="44"/>
      <c r="J141" s="218"/>
      <c r="K141" s="46"/>
      <c r="L141" s="709"/>
      <c r="M141" s="704"/>
      <c r="N141" s="47">
        <f>ROUND((ROUND((_11_A家事増４．２５*_11・基礎２),0)*_11・初任),0)</f>
        <v>375</v>
      </c>
      <c r="O141" s="48"/>
    </row>
    <row r="142" spans="1:15" ht="16.5" customHeight="1" x14ac:dyDescent="0.15">
      <c r="A142" s="41">
        <v>11</v>
      </c>
      <c r="B142" s="41" t="s">
        <v>10673</v>
      </c>
      <c r="C142" s="74" t="s">
        <v>10674</v>
      </c>
      <c r="D142" s="72"/>
      <c r="F142" s="711"/>
      <c r="G142" s="216"/>
      <c r="H142" s="38"/>
      <c r="I142" s="44" t="s">
        <v>397</v>
      </c>
      <c r="J142" s="247" t="s">
        <v>398</v>
      </c>
      <c r="K142" s="46">
        <v>1</v>
      </c>
      <c r="L142" s="240" t="s">
        <v>398</v>
      </c>
      <c r="M142" s="38">
        <f>_11・初任</f>
        <v>0.7</v>
      </c>
      <c r="N142" s="47">
        <f>ROUND((ROUND((ROUND((_11_A家事増４．２５*_11・基礎２),0)*_11・２人),0)*_11・初任),0)</f>
        <v>375</v>
      </c>
      <c r="O142" s="48"/>
    </row>
    <row r="143" spans="1:15" ht="16.5" customHeight="1" x14ac:dyDescent="0.15">
      <c r="A143" s="41">
        <v>11</v>
      </c>
      <c r="B143" s="41">
        <v>6415</v>
      </c>
      <c r="C143" s="74" t="s">
        <v>10675</v>
      </c>
      <c r="D143" s="707" t="s">
        <v>10676</v>
      </c>
      <c r="E143" s="717"/>
      <c r="F143" s="53"/>
      <c r="G143" s="49"/>
      <c r="H143" s="50"/>
      <c r="I143" s="44"/>
      <c r="J143" s="45"/>
      <c r="K143" s="46"/>
      <c r="L143" s="53"/>
      <c r="M143" s="50"/>
      <c r="N143" s="47">
        <f>_11_A家事増４．５</f>
        <v>630</v>
      </c>
      <c r="O143" s="48"/>
    </row>
    <row r="144" spans="1:15" ht="16.5" customHeight="1" x14ac:dyDescent="0.15">
      <c r="A144" s="41">
        <v>11</v>
      </c>
      <c r="B144" s="41">
        <v>6416</v>
      </c>
      <c r="C144" s="74" t="s">
        <v>10677</v>
      </c>
      <c r="D144" s="709"/>
      <c r="E144" s="718"/>
      <c r="F144" s="43"/>
      <c r="G144" s="37"/>
      <c r="H144" s="38"/>
      <c r="I144" s="44" t="s">
        <v>397</v>
      </c>
      <c r="J144" s="218" t="s">
        <v>398</v>
      </c>
      <c r="K144" s="46">
        <v>1</v>
      </c>
      <c r="L144" s="35"/>
      <c r="N144" s="47">
        <f>ROUND((_11_A家事増４．５*_11・２人),0)</f>
        <v>630</v>
      </c>
      <c r="O144" s="48"/>
    </row>
    <row r="145" spans="1:15" ht="16.5" customHeight="1" x14ac:dyDescent="0.15">
      <c r="A145" s="41">
        <v>11</v>
      </c>
      <c r="B145" s="41">
        <v>6417</v>
      </c>
      <c r="C145" s="74" t="s">
        <v>10678</v>
      </c>
      <c r="D145" s="709"/>
      <c r="E145" s="718"/>
      <c r="F145" s="752" t="s">
        <v>400</v>
      </c>
      <c r="G145" s="219" t="s">
        <v>398</v>
      </c>
      <c r="H145" s="50">
        <v>0.9</v>
      </c>
      <c r="I145" s="44"/>
      <c r="J145" s="218"/>
      <c r="K145" s="46"/>
      <c r="L145" s="35"/>
      <c r="N145" s="47">
        <f>ROUND((_11_A家事増４．５*_11・基礎２),0)</f>
        <v>567</v>
      </c>
      <c r="O145" s="48"/>
    </row>
    <row r="146" spans="1:15" ht="16.5" customHeight="1" x14ac:dyDescent="0.15">
      <c r="A146" s="41">
        <v>11</v>
      </c>
      <c r="B146" s="41">
        <v>6418</v>
      </c>
      <c r="C146" s="74" t="s">
        <v>10679</v>
      </c>
      <c r="D146" s="100">
        <f>_11_A家事増４．５</f>
        <v>630</v>
      </c>
      <c r="E146" s="12" t="s">
        <v>392</v>
      </c>
      <c r="F146" s="711"/>
      <c r="G146" s="216"/>
      <c r="H146" s="38"/>
      <c r="I146" s="44" t="s">
        <v>397</v>
      </c>
      <c r="J146" s="247" t="s">
        <v>398</v>
      </c>
      <c r="K146" s="46">
        <v>1</v>
      </c>
      <c r="L146" s="43"/>
      <c r="M146" s="38"/>
      <c r="N146" s="47">
        <f>ROUND((ROUND((_11_A家事増４．５*_11・基礎２),0)*_11・２人),0)</f>
        <v>567</v>
      </c>
      <c r="O146" s="48"/>
    </row>
    <row r="147" spans="1:15" ht="16.5" customHeight="1" x14ac:dyDescent="0.15">
      <c r="A147" s="41">
        <v>11</v>
      </c>
      <c r="B147" s="41" t="s">
        <v>10680</v>
      </c>
      <c r="C147" s="74" t="s">
        <v>10681</v>
      </c>
      <c r="D147" s="72"/>
      <c r="F147" s="53"/>
      <c r="G147" s="49"/>
      <c r="H147" s="50"/>
      <c r="I147" s="44"/>
      <c r="J147" s="45"/>
      <c r="K147" s="46"/>
      <c r="L147" s="707" t="s">
        <v>404</v>
      </c>
      <c r="M147" s="708"/>
      <c r="N147" s="47">
        <f>ROUND((_11_A家事増４．５*_11・初任),0)</f>
        <v>441</v>
      </c>
      <c r="O147" s="48"/>
    </row>
    <row r="148" spans="1:15" ht="16.5" customHeight="1" x14ac:dyDescent="0.15">
      <c r="A148" s="41">
        <v>11</v>
      </c>
      <c r="B148" s="41" t="s">
        <v>10682</v>
      </c>
      <c r="C148" s="74" t="s">
        <v>10683</v>
      </c>
      <c r="D148" s="72"/>
      <c r="F148" s="43"/>
      <c r="G148" s="37"/>
      <c r="H148" s="38"/>
      <c r="I148" s="44" t="s">
        <v>397</v>
      </c>
      <c r="J148" s="218" t="s">
        <v>398</v>
      </c>
      <c r="K148" s="46">
        <v>1</v>
      </c>
      <c r="L148" s="709"/>
      <c r="M148" s="704"/>
      <c r="N148" s="47">
        <f>ROUND((ROUND((_11_A家事増４．５*_11・２人),0)*_11・初任),0)</f>
        <v>441</v>
      </c>
      <c r="O148" s="48"/>
    </row>
    <row r="149" spans="1:15" ht="16.5" customHeight="1" x14ac:dyDescent="0.15">
      <c r="A149" s="41">
        <v>11</v>
      </c>
      <c r="B149" s="41" t="s">
        <v>10684</v>
      </c>
      <c r="C149" s="74" t="s">
        <v>10685</v>
      </c>
      <c r="D149" s="72"/>
      <c r="F149" s="752" t="s">
        <v>400</v>
      </c>
      <c r="G149" s="219" t="s">
        <v>398</v>
      </c>
      <c r="H149" s="50">
        <v>0.9</v>
      </c>
      <c r="I149" s="44"/>
      <c r="J149" s="218"/>
      <c r="K149" s="46"/>
      <c r="L149" s="709"/>
      <c r="M149" s="704"/>
      <c r="N149" s="47">
        <f>ROUND((ROUND((_11_A家事増４．５*_11・基礎２),0)*_11・初任),0)</f>
        <v>397</v>
      </c>
      <c r="O149" s="48"/>
    </row>
    <row r="150" spans="1:15" ht="16.5" customHeight="1" x14ac:dyDescent="0.15">
      <c r="A150" s="41">
        <v>11</v>
      </c>
      <c r="B150" s="41" t="s">
        <v>10686</v>
      </c>
      <c r="C150" s="74" t="s">
        <v>10687</v>
      </c>
      <c r="D150" s="122"/>
      <c r="E150" s="37"/>
      <c r="F150" s="711"/>
      <c r="G150" s="216"/>
      <c r="H150" s="38"/>
      <c r="I150" s="44" t="s">
        <v>397</v>
      </c>
      <c r="J150" s="247" t="s">
        <v>398</v>
      </c>
      <c r="K150" s="46">
        <v>1</v>
      </c>
      <c r="L150" s="240" t="s">
        <v>398</v>
      </c>
      <c r="M150" s="38">
        <f>_11・初任</f>
        <v>0.7</v>
      </c>
      <c r="N150" s="47">
        <f>ROUND((ROUND((ROUND((_11_A家事増４．５*_11・基礎２),0)*_11・２人),0)*_11・初任),0)</f>
        <v>397</v>
      </c>
      <c r="O150" s="63"/>
    </row>
    <row r="151" spans="1:15" ht="16.5" customHeight="1" x14ac:dyDescent="0.15">
      <c r="A151" s="33">
        <v>11</v>
      </c>
      <c r="B151" s="33">
        <v>8103</v>
      </c>
      <c r="C151" s="34" t="s">
        <v>10688</v>
      </c>
      <c r="D151" s="709" t="s">
        <v>10689</v>
      </c>
      <c r="E151" s="718"/>
      <c r="F151" s="35"/>
      <c r="G151" s="12"/>
      <c r="I151" s="36"/>
      <c r="J151" s="37"/>
      <c r="K151" s="38"/>
      <c r="L151" s="35"/>
      <c r="N151" s="39">
        <f>_11_A家事増４．７５</f>
        <v>665</v>
      </c>
      <c r="O151" s="48"/>
    </row>
    <row r="152" spans="1:15" ht="16.5" customHeight="1" x14ac:dyDescent="0.15">
      <c r="A152" s="41">
        <v>11</v>
      </c>
      <c r="B152" s="41">
        <v>8104</v>
      </c>
      <c r="C152" s="74" t="s">
        <v>10690</v>
      </c>
      <c r="D152" s="709"/>
      <c r="E152" s="718"/>
      <c r="F152" s="43"/>
      <c r="G152" s="37"/>
      <c r="H152" s="38"/>
      <c r="I152" s="44" t="s">
        <v>397</v>
      </c>
      <c r="J152" s="218" t="s">
        <v>398</v>
      </c>
      <c r="K152" s="46">
        <v>1</v>
      </c>
      <c r="L152" s="35"/>
      <c r="N152" s="47">
        <f>ROUND((_11_A家事増４．７５*_11・２人),0)</f>
        <v>665</v>
      </c>
      <c r="O152" s="48"/>
    </row>
    <row r="153" spans="1:15" ht="16.5" customHeight="1" x14ac:dyDescent="0.15">
      <c r="A153" s="41">
        <v>11</v>
      </c>
      <c r="B153" s="41">
        <v>8105</v>
      </c>
      <c r="C153" s="74" t="s">
        <v>10691</v>
      </c>
      <c r="D153" s="709"/>
      <c r="E153" s="718"/>
      <c r="F153" s="752" t="s">
        <v>400</v>
      </c>
      <c r="G153" s="219" t="s">
        <v>398</v>
      </c>
      <c r="H153" s="50">
        <v>0.9</v>
      </c>
      <c r="I153" s="44"/>
      <c r="J153" s="218"/>
      <c r="K153" s="46"/>
      <c r="L153" s="35"/>
      <c r="N153" s="47">
        <f>ROUND((_11_A家事増４．７５*_11・基礎２),0)</f>
        <v>599</v>
      </c>
      <c r="O153" s="48"/>
    </row>
    <row r="154" spans="1:15" ht="16.5" customHeight="1" x14ac:dyDescent="0.15">
      <c r="A154" s="41">
        <v>11</v>
      </c>
      <c r="B154" s="41">
        <v>8106</v>
      </c>
      <c r="C154" s="74" t="s">
        <v>10692</v>
      </c>
      <c r="D154" s="100">
        <f>_11_A家事増４．７５</f>
        <v>665</v>
      </c>
      <c r="E154" s="12" t="s">
        <v>392</v>
      </c>
      <c r="F154" s="711"/>
      <c r="G154" s="216"/>
      <c r="H154" s="38"/>
      <c r="I154" s="44" t="s">
        <v>397</v>
      </c>
      <c r="J154" s="247" t="s">
        <v>398</v>
      </c>
      <c r="K154" s="46">
        <v>1</v>
      </c>
      <c r="L154" s="43"/>
      <c r="M154" s="38"/>
      <c r="N154" s="47">
        <f>ROUND((ROUND((_11_A家事増４．７５*_11・基礎２),0)*_11・２人),0)</f>
        <v>599</v>
      </c>
      <c r="O154" s="48"/>
    </row>
    <row r="155" spans="1:15" ht="16.5" customHeight="1" x14ac:dyDescent="0.15">
      <c r="A155" s="41">
        <v>11</v>
      </c>
      <c r="B155" s="41" t="s">
        <v>10693</v>
      </c>
      <c r="C155" s="74" t="s">
        <v>10694</v>
      </c>
      <c r="D155" s="72"/>
      <c r="F155" s="53"/>
      <c r="G155" s="49"/>
      <c r="H155" s="50"/>
      <c r="I155" s="44"/>
      <c r="J155" s="45"/>
      <c r="K155" s="46"/>
      <c r="L155" s="707" t="s">
        <v>404</v>
      </c>
      <c r="M155" s="708"/>
      <c r="N155" s="47">
        <f>ROUND((_11_A家事増４．７５*_11・初任),0)</f>
        <v>466</v>
      </c>
      <c r="O155" s="48"/>
    </row>
    <row r="156" spans="1:15" ht="16.5" customHeight="1" x14ac:dyDescent="0.15">
      <c r="A156" s="41">
        <v>11</v>
      </c>
      <c r="B156" s="41" t="s">
        <v>10695</v>
      </c>
      <c r="C156" s="74" t="s">
        <v>10696</v>
      </c>
      <c r="D156" s="72"/>
      <c r="F156" s="43"/>
      <c r="G156" s="37"/>
      <c r="H156" s="38"/>
      <c r="I156" s="44" t="s">
        <v>397</v>
      </c>
      <c r="J156" s="218" t="s">
        <v>398</v>
      </c>
      <c r="K156" s="46">
        <v>1</v>
      </c>
      <c r="L156" s="709"/>
      <c r="M156" s="704"/>
      <c r="N156" s="47">
        <f>ROUND((ROUND((_11_A家事増４．７５*_11・２人),0)*_11・初任),0)</f>
        <v>466</v>
      </c>
      <c r="O156" s="48"/>
    </row>
    <row r="157" spans="1:15" ht="16.5" customHeight="1" x14ac:dyDescent="0.15">
      <c r="A157" s="41">
        <v>11</v>
      </c>
      <c r="B157" s="41" t="s">
        <v>10697</v>
      </c>
      <c r="C157" s="74" t="s">
        <v>10698</v>
      </c>
      <c r="D157" s="72"/>
      <c r="F157" s="752" t="s">
        <v>400</v>
      </c>
      <c r="G157" s="219" t="s">
        <v>398</v>
      </c>
      <c r="H157" s="50">
        <v>0.9</v>
      </c>
      <c r="I157" s="44"/>
      <c r="J157" s="218"/>
      <c r="K157" s="46"/>
      <c r="L157" s="709"/>
      <c r="M157" s="704"/>
      <c r="N157" s="47">
        <f>ROUND((ROUND((_11_A家事増４．７５*_11・基礎２),0)*_11・初任),0)</f>
        <v>419</v>
      </c>
      <c r="O157" s="48"/>
    </row>
    <row r="158" spans="1:15" ht="16.5" customHeight="1" x14ac:dyDescent="0.15">
      <c r="A158" s="41">
        <v>11</v>
      </c>
      <c r="B158" s="41" t="s">
        <v>10699</v>
      </c>
      <c r="C158" s="74" t="s">
        <v>10700</v>
      </c>
      <c r="D158" s="72"/>
      <c r="F158" s="711"/>
      <c r="G158" s="216"/>
      <c r="H158" s="38"/>
      <c r="I158" s="44" t="s">
        <v>397</v>
      </c>
      <c r="J158" s="247" t="s">
        <v>398</v>
      </c>
      <c r="K158" s="46">
        <v>1</v>
      </c>
      <c r="L158" s="240" t="s">
        <v>398</v>
      </c>
      <c r="M158" s="38">
        <f>_11・初任</f>
        <v>0.7</v>
      </c>
      <c r="N158" s="47">
        <f>ROUND((ROUND((ROUND((_11_A家事増４．７５*_11・基礎２),0)*_11・２人),0)*_11・初任),0)</f>
        <v>419</v>
      </c>
      <c r="O158" s="48"/>
    </row>
    <row r="159" spans="1:15" ht="16.5" customHeight="1" x14ac:dyDescent="0.15">
      <c r="A159" s="41">
        <v>11</v>
      </c>
      <c r="B159" s="41">
        <v>6419</v>
      </c>
      <c r="C159" s="74" t="s">
        <v>10701</v>
      </c>
      <c r="D159" s="707" t="s">
        <v>10702</v>
      </c>
      <c r="E159" s="717"/>
      <c r="F159" s="53"/>
      <c r="G159" s="49"/>
      <c r="H159" s="50"/>
      <c r="I159" s="44"/>
      <c r="J159" s="45"/>
      <c r="K159" s="46"/>
      <c r="L159" s="53"/>
      <c r="M159" s="50"/>
      <c r="N159" s="47">
        <f>_11_A家事増５．０</f>
        <v>700</v>
      </c>
      <c r="O159" s="48"/>
    </row>
    <row r="160" spans="1:15" ht="16.5" customHeight="1" x14ac:dyDescent="0.15">
      <c r="A160" s="41">
        <v>11</v>
      </c>
      <c r="B160" s="41">
        <v>6420</v>
      </c>
      <c r="C160" s="74" t="s">
        <v>10703</v>
      </c>
      <c r="D160" s="709"/>
      <c r="E160" s="718"/>
      <c r="F160" s="43"/>
      <c r="G160" s="37"/>
      <c r="H160" s="38"/>
      <c r="I160" s="44" t="s">
        <v>397</v>
      </c>
      <c r="J160" s="218" t="s">
        <v>398</v>
      </c>
      <c r="K160" s="46">
        <v>1</v>
      </c>
      <c r="L160" s="35"/>
      <c r="N160" s="47">
        <f>ROUND((_11_A家事増５．０*_11・２人),0)</f>
        <v>700</v>
      </c>
      <c r="O160" s="48"/>
    </row>
    <row r="161" spans="1:15" ht="16.5" customHeight="1" x14ac:dyDescent="0.15">
      <c r="A161" s="41">
        <v>11</v>
      </c>
      <c r="B161" s="41">
        <v>6421</v>
      </c>
      <c r="C161" s="74" t="s">
        <v>10704</v>
      </c>
      <c r="D161" s="709"/>
      <c r="E161" s="718"/>
      <c r="F161" s="752" t="s">
        <v>400</v>
      </c>
      <c r="G161" s="219" t="s">
        <v>398</v>
      </c>
      <c r="H161" s="50">
        <v>0.9</v>
      </c>
      <c r="I161" s="44"/>
      <c r="J161" s="218"/>
      <c r="K161" s="46"/>
      <c r="L161" s="35"/>
      <c r="N161" s="47">
        <f>ROUND((_11_A家事増５．０*_11・基礎２),0)</f>
        <v>630</v>
      </c>
      <c r="O161" s="48"/>
    </row>
    <row r="162" spans="1:15" ht="16.5" customHeight="1" x14ac:dyDescent="0.15">
      <c r="A162" s="41">
        <v>11</v>
      </c>
      <c r="B162" s="41">
        <v>6422</v>
      </c>
      <c r="C162" s="74" t="s">
        <v>10705</v>
      </c>
      <c r="D162" s="100">
        <f>_11_A家事増５．０</f>
        <v>700</v>
      </c>
      <c r="E162" s="12" t="s">
        <v>392</v>
      </c>
      <c r="F162" s="711"/>
      <c r="G162" s="216"/>
      <c r="H162" s="38"/>
      <c r="I162" s="44" t="s">
        <v>397</v>
      </c>
      <c r="J162" s="247" t="s">
        <v>398</v>
      </c>
      <c r="K162" s="46">
        <v>1</v>
      </c>
      <c r="L162" s="43"/>
      <c r="M162" s="38"/>
      <c r="N162" s="47">
        <f>ROUND((ROUND((_11_A家事増５．０*_11・基礎２),0)*_11・２人),0)</f>
        <v>630</v>
      </c>
      <c r="O162" s="48"/>
    </row>
    <row r="163" spans="1:15" ht="16.5" customHeight="1" x14ac:dyDescent="0.15">
      <c r="A163" s="41">
        <v>11</v>
      </c>
      <c r="B163" s="41" t="s">
        <v>10706</v>
      </c>
      <c r="C163" s="74" t="s">
        <v>10707</v>
      </c>
      <c r="D163" s="72"/>
      <c r="F163" s="53"/>
      <c r="G163" s="49"/>
      <c r="H163" s="50"/>
      <c r="I163" s="44"/>
      <c r="J163" s="45"/>
      <c r="K163" s="46"/>
      <c r="L163" s="707" t="s">
        <v>404</v>
      </c>
      <c r="M163" s="708"/>
      <c r="N163" s="47">
        <f>ROUND((_11_A家事増５．０*_11・初任),0)</f>
        <v>490</v>
      </c>
      <c r="O163" s="48"/>
    </row>
    <row r="164" spans="1:15" ht="16.5" customHeight="1" x14ac:dyDescent="0.15">
      <c r="A164" s="41">
        <v>11</v>
      </c>
      <c r="B164" s="41" t="s">
        <v>10708</v>
      </c>
      <c r="C164" s="74" t="s">
        <v>10709</v>
      </c>
      <c r="D164" s="72"/>
      <c r="F164" s="43"/>
      <c r="G164" s="37"/>
      <c r="H164" s="38"/>
      <c r="I164" s="44" t="s">
        <v>397</v>
      </c>
      <c r="J164" s="218" t="s">
        <v>398</v>
      </c>
      <c r="K164" s="46">
        <v>1</v>
      </c>
      <c r="L164" s="709"/>
      <c r="M164" s="704"/>
      <c r="N164" s="47">
        <f>ROUND((ROUND((_11_A家事増５．０*_11・２人),0)*_11・初任),0)</f>
        <v>490</v>
      </c>
      <c r="O164" s="48"/>
    </row>
    <row r="165" spans="1:15" ht="16.5" customHeight="1" x14ac:dyDescent="0.15">
      <c r="A165" s="41">
        <v>11</v>
      </c>
      <c r="B165" s="41" t="s">
        <v>10710</v>
      </c>
      <c r="C165" s="74" t="s">
        <v>10711</v>
      </c>
      <c r="D165" s="72"/>
      <c r="F165" s="752" t="s">
        <v>400</v>
      </c>
      <c r="G165" s="219" t="s">
        <v>398</v>
      </c>
      <c r="H165" s="50">
        <v>0.9</v>
      </c>
      <c r="I165" s="44"/>
      <c r="J165" s="218"/>
      <c r="K165" s="46"/>
      <c r="L165" s="709"/>
      <c r="M165" s="704"/>
      <c r="N165" s="47">
        <f>ROUND((ROUND((_11_A家事増５．０*_11・基礎２),0)*_11・初任),0)</f>
        <v>441</v>
      </c>
      <c r="O165" s="48"/>
    </row>
    <row r="166" spans="1:15" ht="16.5" customHeight="1" x14ac:dyDescent="0.15">
      <c r="A166" s="41">
        <v>11</v>
      </c>
      <c r="B166" s="41" t="s">
        <v>10712</v>
      </c>
      <c r="C166" s="74" t="s">
        <v>10713</v>
      </c>
      <c r="D166" s="72"/>
      <c r="F166" s="711"/>
      <c r="G166" s="216"/>
      <c r="H166" s="38"/>
      <c r="I166" s="44" t="s">
        <v>397</v>
      </c>
      <c r="J166" s="247" t="s">
        <v>398</v>
      </c>
      <c r="K166" s="46">
        <v>1</v>
      </c>
      <c r="L166" s="240" t="s">
        <v>398</v>
      </c>
      <c r="M166" s="38">
        <f>_11・初任</f>
        <v>0.7</v>
      </c>
      <c r="N166" s="47">
        <f>ROUND((ROUND((ROUND((_11_A家事増５．０*_11・基礎２),0)*_11・２人),0)*_11・初任),0)</f>
        <v>441</v>
      </c>
      <c r="O166" s="48"/>
    </row>
    <row r="167" spans="1:15" ht="16.5" customHeight="1" x14ac:dyDescent="0.15">
      <c r="A167" s="41">
        <v>11</v>
      </c>
      <c r="B167" s="41">
        <v>8107</v>
      </c>
      <c r="C167" s="74" t="s">
        <v>10714</v>
      </c>
      <c r="D167" s="707" t="s">
        <v>10715</v>
      </c>
      <c r="E167" s="717"/>
      <c r="F167" s="53"/>
      <c r="G167" s="49"/>
      <c r="H167" s="50"/>
      <c r="I167" s="44"/>
      <c r="J167" s="45"/>
      <c r="K167" s="46"/>
      <c r="L167" s="53"/>
      <c r="M167" s="50"/>
      <c r="N167" s="47">
        <f>_11_A家事増５．２５</f>
        <v>735</v>
      </c>
      <c r="O167" s="48"/>
    </row>
    <row r="168" spans="1:15" ht="16.5" customHeight="1" x14ac:dyDescent="0.15">
      <c r="A168" s="41">
        <v>11</v>
      </c>
      <c r="B168" s="41">
        <v>8108</v>
      </c>
      <c r="C168" s="74" t="s">
        <v>10716</v>
      </c>
      <c r="D168" s="709"/>
      <c r="E168" s="718"/>
      <c r="F168" s="43"/>
      <c r="G168" s="37"/>
      <c r="H168" s="38"/>
      <c r="I168" s="44" t="s">
        <v>397</v>
      </c>
      <c r="J168" s="218" t="s">
        <v>398</v>
      </c>
      <c r="K168" s="46">
        <v>1</v>
      </c>
      <c r="L168" s="35"/>
      <c r="N168" s="47">
        <f>ROUND((_11_A家事増５．２５*_11・２人),0)</f>
        <v>735</v>
      </c>
      <c r="O168" s="48"/>
    </row>
    <row r="169" spans="1:15" ht="16.5" customHeight="1" x14ac:dyDescent="0.15">
      <c r="A169" s="41">
        <v>11</v>
      </c>
      <c r="B169" s="41">
        <v>8109</v>
      </c>
      <c r="C169" s="74" t="s">
        <v>10717</v>
      </c>
      <c r="D169" s="709"/>
      <c r="E169" s="718"/>
      <c r="F169" s="752" t="s">
        <v>400</v>
      </c>
      <c r="G169" s="219" t="s">
        <v>398</v>
      </c>
      <c r="H169" s="50">
        <v>0.9</v>
      </c>
      <c r="I169" s="44"/>
      <c r="J169" s="218"/>
      <c r="K169" s="46"/>
      <c r="L169" s="35"/>
      <c r="N169" s="47">
        <f>ROUND((_11_A家事増５．２５*_11・基礎２),0)</f>
        <v>662</v>
      </c>
      <c r="O169" s="48"/>
    </row>
    <row r="170" spans="1:15" ht="16.5" customHeight="1" x14ac:dyDescent="0.15">
      <c r="A170" s="41">
        <v>11</v>
      </c>
      <c r="B170" s="41">
        <v>8110</v>
      </c>
      <c r="C170" s="74" t="s">
        <v>10718</v>
      </c>
      <c r="D170" s="100">
        <f>_11_A家事増５．２５</f>
        <v>735</v>
      </c>
      <c r="E170" s="12" t="s">
        <v>392</v>
      </c>
      <c r="F170" s="711"/>
      <c r="G170" s="216"/>
      <c r="H170" s="38"/>
      <c r="I170" s="44" t="s">
        <v>397</v>
      </c>
      <c r="J170" s="247" t="s">
        <v>398</v>
      </c>
      <c r="K170" s="46">
        <v>1</v>
      </c>
      <c r="L170" s="43"/>
      <c r="M170" s="38"/>
      <c r="N170" s="47">
        <f>ROUND((ROUND((_11_A家事増５．２５*_11・基礎２),0)*_11・２人),0)</f>
        <v>662</v>
      </c>
      <c r="O170" s="48"/>
    </row>
    <row r="171" spans="1:15" ht="16.5" customHeight="1" x14ac:dyDescent="0.15">
      <c r="A171" s="41">
        <v>11</v>
      </c>
      <c r="B171" s="41" t="s">
        <v>10719</v>
      </c>
      <c r="C171" s="74" t="s">
        <v>10720</v>
      </c>
      <c r="D171" s="72"/>
      <c r="F171" s="53"/>
      <c r="G171" s="49"/>
      <c r="H171" s="50"/>
      <c r="I171" s="44"/>
      <c r="J171" s="45"/>
      <c r="K171" s="46"/>
      <c r="L171" s="707" t="s">
        <v>404</v>
      </c>
      <c r="M171" s="708"/>
      <c r="N171" s="47">
        <f>ROUND((_11_A家事増５．２５*_11・初任),0)</f>
        <v>515</v>
      </c>
      <c r="O171" s="48"/>
    </row>
    <row r="172" spans="1:15" ht="16.5" customHeight="1" x14ac:dyDescent="0.15">
      <c r="A172" s="41">
        <v>11</v>
      </c>
      <c r="B172" s="41" t="s">
        <v>10721</v>
      </c>
      <c r="C172" s="74" t="s">
        <v>10722</v>
      </c>
      <c r="D172" s="72"/>
      <c r="F172" s="43"/>
      <c r="G172" s="37"/>
      <c r="H172" s="38"/>
      <c r="I172" s="44" t="s">
        <v>397</v>
      </c>
      <c r="J172" s="218" t="s">
        <v>398</v>
      </c>
      <c r="K172" s="46">
        <v>1</v>
      </c>
      <c r="L172" s="709"/>
      <c r="M172" s="704"/>
      <c r="N172" s="47">
        <f>ROUND((ROUND((_11_A家事増５．２５*_11・２人),0)*_11・初任),0)</f>
        <v>515</v>
      </c>
      <c r="O172" s="48"/>
    </row>
    <row r="173" spans="1:15" ht="16.5" customHeight="1" x14ac:dyDescent="0.15">
      <c r="A173" s="41">
        <v>11</v>
      </c>
      <c r="B173" s="41" t="s">
        <v>10723</v>
      </c>
      <c r="C173" s="74" t="s">
        <v>10724</v>
      </c>
      <c r="D173" s="72"/>
      <c r="F173" s="752" t="s">
        <v>400</v>
      </c>
      <c r="G173" s="219" t="s">
        <v>398</v>
      </c>
      <c r="H173" s="50">
        <v>0.9</v>
      </c>
      <c r="I173" s="44"/>
      <c r="J173" s="218"/>
      <c r="K173" s="46"/>
      <c r="L173" s="709"/>
      <c r="M173" s="704"/>
      <c r="N173" s="47">
        <f>ROUND((ROUND((_11_A家事増５．２５*_11・基礎２),0)*_11・初任),0)</f>
        <v>463</v>
      </c>
      <c r="O173" s="48"/>
    </row>
    <row r="174" spans="1:15" ht="16.5" customHeight="1" x14ac:dyDescent="0.15">
      <c r="A174" s="41">
        <v>11</v>
      </c>
      <c r="B174" s="41" t="s">
        <v>10725</v>
      </c>
      <c r="C174" s="74" t="s">
        <v>10726</v>
      </c>
      <c r="D174" s="72"/>
      <c r="F174" s="711"/>
      <c r="G174" s="216"/>
      <c r="H174" s="38"/>
      <c r="I174" s="44" t="s">
        <v>397</v>
      </c>
      <c r="J174" s="247" t="s">
        <v>398</v>
      </c>
      <c r="K174" s="46">
        <v>1</v>
      </c>
      <c r="L174" s="240" t="s">
        <v>398</v>
      </c>
      <c r="M174" s="38">
        <f>_11・初任</f>
        <v>0.7</v>
      </c>
      <c r="N174" s="47">
        <f>ROUND((ROUND((ROUND((_11_A家事増５．２５*_11・基礎２),0)*_11・２人),0)*_11・初任),0)</f>
        <v>463</v>
      </c>
      <c r="O174" s="48"/>
    </row>
    <row r="175" spans="1:15" ht="16.5" customHeight="1" x14ac:dyDescent="0.15">
      <c r="A175" s="41">
        <v>11</v>
      </c>
      <c r="B175" s="41">
        <v>6423</v>
      </c>
      <c r="C175" s="74" t="s">
        <v>10727</v>
      </c>
      <c r="D175" s="707" t="s">
        <v>10728</v>
      </c>
      <c r="E175" s="717"/>
      <c r="F175" s="53"/>
      <c r="G175" s="49"/>
      <c r="H175" s="50"/>
      <c r="I175" s="44"/>
      <c r="J175" s="45"/>
      <c r="K175" s="46"/>
      <c r="L175" s="53"/>
      <c r="M175" s="50"/>
      <c r="N175" s="47">
        <f>_11_A家事増５．５</f>
        <v>770</v>
      </c>
      <c r="O175" s="48"/>
    </row>
    <row r="176" spans="1:15" ht="16.5" customHeight="1" x14ac:dyDescent="0.15">
      <c r="A176" s="41">
        <v>11</v>
      </c>
      <c r="B176" s="41">
        <v>6424</v>
      </c>
      <c r="C176" s="74" t="s">
        <v>10729</v>
      </c>
      <c r="D176" s="709"/>
      <c r="E176" s="718"/>
      <c r="F176" s="43"/>
      <c r="G176" s="37"/>
      <c r="H176" s="38"/>
      <c r="I176" s="44" t="s">
        <v>397</v>
      </c>
      <c r="J176" s="218" t="s">
        <v>398</v>
      </c>
      <c r="K176" s="46">
        <v>1</v>
      </c>
      <c r="L176" s="35"/>
      <c r="N176" s="47">
        <f>ROUND((_11_A家事増５．５*_11・２人),0)</f>
        <v>770</v>
      </c>
      <c r="O176" s="48"/>
    </row>
    <row r="177" spans="1:15" ht="16.5" customHeight="1" x14ac:dyDescent="0.15">
      <c r="A177" s="41">
        <v>11</v>
      </c>
      <c r="B177" s="41">
        <v>6425</v>
      </c>
      <c r="C177" s="74" t="s">
        <v>10730</v>
      </c>
      <c r="D177" s="709"/>
      <c r="E177" s="718"/>
      <c r="F177" s="752" t="s">
        <v>400</v>
      </c>
      <c r="G177" s="219" t="s">
        <v>398</v>
      </c>
      <c r="H177" s="50">
        <v>0.9</v>
      </c>
      <c r="I177" s="44"/>
      <c r="J177" s="218"/>
      <c r="K177" s="46"/>
      <c r="L177" s="35"/>
      <c r="N177" s="47">
        <f>ROUND((_11_A家事増５．５*_11・基礎２),0)</f>
        <v>693</v>
      </c>
      <c r="O177" s="48"/>
    </row>
    <row r="178" spans="1:15" ht="16.5" customHeight="1" x14ac:dyDescent="0.15">
      <c r="A178" s="41">
        <v>11</v>
      </c>
      <c r="B178" s="41">
        <v>6426</v>
      </c>
      <c r="C178" s="74" t="s">
        <v>10731</v>
      </c>
      <c r="D178" s="100">
        <f>_11_A家事増５．５</f>
        <v>770</v>
      </c>
      <c r="E178" s="12" t="s">
        <v>392</v>
      </c>
      <c r="F178" s="711"/>
      <c r="G178" s="216"/>
      <c r="H178" s="38"/>
      <c r="I178" s="44" t="s">
        <v>397</v>
      </c>
      <c r="J178" s="247" t="s">
        <v>398</v>
      </c>
      <c r="K178" s="46">
        <v>1</v>
      </c>
      <c r="L178" s="43"/>
      <c r="M178" s="38"/>
      <c r="N178" s="47">
        <f>ROUND((ROUND((_11_A家事増５．５*_11・基礎２),0)*_11・２人),0)</f>
        <v>693</v>
      </c>
      <c r="O178" s="48"/>
    </row>
    <row r="179" spans="1:15" ht="16.5" customHeight="1" x14ac:dyDescent="0.15">
      <c r="A179" s="41">
        <v>11</v>
      </c>
      <c r="B179" s="41" t="s">
        <v>10732</v>
      </c>
      <c r="C179" s="74" t="s">
        <v>10733</v>
      </c>
      <c r="D179" s="72"/>
      <c r="F179" s="53"/>
      <c r="G179" s="49"/>
      <c r="H179" s="50"/>
      <c r="I179" s="44"/>
      <c r="J179" s="45"/>
      <c r="K179" s="46"/>
      <c r="L179" s="707" t="s">
        <v>404</v>
      </c>
      <c r="M179" s="708"/>
      <c r="N179" s="47">
        <f>ROUND((_11_A家事増５．５*_11・初任),0)</f>
        <v>539</v>
      </c>
      <c r="O179" s="48"/>
    </row>
    <row r="180" spans="1:15" ht="16.5" customHeight="1" x14ac:dyDescent="0.15">
      <c r="A180" s="41">
        <v>11</v>
      </c>
      <c r="B180" s="41" t="s">
        <v>10734</v>
      </c>
      <c r="C180" s="74" t="s">
        <v>10735</v>
      </c>
      <c r="D180" s="72"/>
      <c r="F180" s="43"/>
      <c r="G180" s="37"/>
      <c r="H180" s="38"/>
      <c r="I180" s="44" t="s">
        <v>397</v>
      </c>
      <c r="J180" s="218" t="s">
        <v>398</v>
      </c>
      <c r="K180" s="46">
        <v>1</v>
      </c>
      <c r="L180" s="709"/>
      <c r="M180" s="704"/>
      <c r="N180" s="47">
        <f>ROUND((ROUND((_11_A家事増５．５*_11・２人),0)*_11・初任),0)</f>
        <v>539</v>
      </c>
      <c r="O180" s="48"/>
    </row>
    <row r="181" spans="1:15" ht="16.5" customHeight="1" x14ac:dyDescent="0.15">
      <c r="A181" s="41">
        <v>11</v>
      </c>
      <c r="B181" s="41" t="s">
        <v>10736</v>
      </c>
      <c r="C181" s="74" t="s">
        <v>10737</v>
      </c>
      <c r="D181" s="72"/>
      <c r="F181" s="752" t="s">
        <v>400</v>
      </c>
      <c r="G181" s="219" t="s">
        <v>398</v>
      </c>
      <c r="H181" s="50">
        <v>0.9</v>
      </c>
      <c r="I181" s="44"/>
      <c r="J181" s="218"/>
      <c r="K181" s="46"/>
      <c r="L181" s="709"/>
      <c r="M181" s="704"/>
      <c r="N181" s="47">
        <f>ROUND((ROUND((_11_A家事増５．５*_11・基礎２),0)*_11・初任),0)</f>
        <v>485</v>
      </c>
      <c r="O181" s="48"/>
    </row>
    <row r="182" spans="1:15" ht="16.5" customHeight="1" x14ac:dyDescent="0.15">
      <c r="A182" s="41">
        <v>11</v>
      </c>
      <c r="B182" s="41" t="s">
        <v>10738</v>
      </c>
      <c r="C182" s="74" t="s">
        <v>10739</v>
      </c>
      <c r="D182" s="72"/>
      <c r="F182" s="711"/>
      <c r="G182" s="216"/>
      <c r="H182" s="38"/>
      <c r="I182" s="44" t="s">
        <v>397</v>
      </c>
      <c r="J182" s="247" t="s">
        <v>398</v>
      </c>
      <c r="K182" s="46">
        <v>1</v>
      </c>
      <c r="L182" s="240" t="s">
        <v>398</v>
      </c>
      <c r="M182" s="38">
        <f>_11・初任</f>
        <v>0.7</v>
      </c>
      <c r="N182" s="47">
        <f>ROUND((ROUND((ROUND((_11_A家事増５．５*_11・基礎２),0)*_11・２人),0)*_11・初任),0)</f>
        <v>485</v>
      </c>
      <c r="O182" s="48"/>
    </row>
    <row r="183" spans="1:15" ht="16.5" customHeight="1" x14ac:dyDescent="0.15">
      <c r="A183" s="41">
        <v>11</v>
      </c>
      <c r="B183" s="41">
        <v>8131</v>
      </c>
      <c r="C183" s="74" t="s">
        <v>10740</v>
      </c>
      <c r="D183" s="707" t="s">
        <v>10741</v>
      </c>
      <c r="E183" s="717"/>
      <c r="F183" s="53"/>
      <c r="G183" s="49"/>
      <c r="H183" s="50"/>
      <c r="I183" s="44"/>
      <c r="J183" s="45"/>
      <c r="K183" s="46"/>
      <c r="L183" s="53"/>
      <c r="M183" s="50"/>
      <c r="N183" s="47">
        <f>_11_A家事増５．７５</f>
        <v>805</v>
      </c>
      <c r="O183" s="48"/>
    </row>
    <row r="184" spans="1:15" ht="16.5" customHeight="1" x14ac:dyDescent="0.15">
      <c r="A184" s="41">
        <v>11</v>
      </c>
      <c r="B184" s="41">
        <v>8132</v>
      </c>
      <c r="C184" s="74" t="s">
        <v>10742</v>
      </c>
      <c r="D184" s="709"/>
      <c r="E184" s="718"/>
      <c r="F184" s="43"/>
      <c r="G184" s="37"/>
      <c r="H184" s="38"/>
      <c r="I184" s="44" t="s">
        <v>397</v>
      </c>
      <c r="J184" s="218" t="s">
        <v>398</v>
      </c>
      <c r="K184" s="46">
        <v>1</v>
      </c>
      <c r="L184" s="35"/>
      <c r="N184" s="47">
        <f>ROUND((_11_A家事増５．７５*_11・２人),0)</f>
        <v>805</v>
      </c>
      <c r="O184" s="48"/>
    </row>
    <row r="185" spans="1:15" ht="16.5" customHeight="1" x14ac:dyDescent="0.15">
      <c r="A185" s="41">
        <v>11</v>
      </c>
      <c r="B185" s="41">
        <v>8133</v>
      </c>
      <c r="C185" s="74" t="s">
        <v>10743</v>
      </c>
      <c r="D185" s="709"/>
      <c r="E185" s="718"/>
      <c r="F185" s="752" t="s">
        <v>400</v>
      </c>
      <c r="G185" s="219" t="s">
        <v>398</v>
      </c>
      <c r="H185" s="50">
        <v>0.9</v>
      </c>
      <c r="I185" s="44"/>
      <c r="J185" s="218"/>
      <c r="K185" s="46"/>
      <c r="L185" s="35"/>
      <c r="N185" s="47">
        <f>ROUND((_11_A家事増５．７５*_11・基礎２),0)</f>
        <v>725</v>
      </c>
      <c r="O185" s="48"/>
    </row>
    <row r="186" spans="1:15" ht="16.5" customHeight="1" x14ac:dyDescent="0.15">
      <c r="A186" s="41">
        <v>11</v>
      </c>
      <c r="B186" s="41">
        <v>8134</v>
      </c>
      <c r="C186" s="74" t="s">
        <v>10744</v>
      </c>
      <c r="D186" s="100">
        <f>_11_A家事増５．７５</f>
        <v>805</v>
      </c>
      <c r="E186" s="12" t="s">
        <v>392</v>
      </c>
      <c r="F186" s="711"/>
      <c r="G186" s="216"/>
      <c r="H186" s="38"/>
      <c r="I186" s="44" t="s">
        <v>397</v>
      </c>
      <c r="J186" s="247" t="s">
        <v>398</v>
      </c>
      <c r="K186" s="46">
        <v>1</v>
      </c>
      <c r="L186" s="43"/>
      <c r="M186" s="38"/>
      <c r="N186" s="47">
        <f>ROUND((ROUND((_11_A家事増５．７５*_11・基礎２),0)*_11・２人),0)</f>
        <v>725</v>
      </c>
      <c r="O186" s="48"/>
    </row>
    <row r="187" spans="1:15" ht="16.5" customHeight="1" x14ac:dyDescent="0.15">
      <c r="A187" s="41">
        <v>11</v>
      </c>
      <c r="B187" s="41" t="s">
        <v>10745</v>
      </c>
      <c r="C187" s="74" t="s">
        <v>10746</v>
      </c>
      <c r="D187" s="72"/>
      <c r="F187" s="53"/>
      <c r="G187" s="49"/>
      <c r="H187" s="50"/>
      <c r="I187" s="44"/>
      <c r="J187" s="45"/>
      <c r="K187" s="46"/>
      <c r="L187" s="707" t="s">
        <v>404</v>
      </c>
      <c r="M187" s="708"/>
      <c r="N187" s="47">
        <f>ROUND((_11_A家事増５．７５*_11・初任),0)</f>
        <v>564</v>
      </c>
      <c r="O187" s="48"/>
    </row>
    <row r="188" spans="1:15" ht="16.5" customHeight="1" x14ac:dyDescent="0.15">
      <c r="A188" s="41">
        <v>11</v>
      </c>
      <c r="B188" s="41" t="s">
        <v>10747</v>
      </c>
      <c r="C188" s="74" t="s">
        <v>10748</v>
      </c>
      <c r="D188" s="72"/>
      <c r="F188" s="43"/>
      <c r="G188" s="37"/>
      <c r="H188" s="38"/>
      <c r="I188" s="44" t="s">
        <v>397</v>
      </c>
      <c r="J188" s="218" t="s">
        <v>398</v>
      </c>
      <c r="K188" s="46">
        <v>1</v>
      </c>
      <c r="L188" s="709"/>
      <c r="M188" s="704"/>
      <c r="N188" s="47">
        <f>ROUND((ROUND((_11_A家事増５．７５*_11・２人),0)*_11・初任),0)</f>
        <v>564</v>
      </c>
      <c r="O188" s="48"/>
    </row>
    <row r="189" spans="1:15" ht="16.5" customHeight="1" x14ac:dyDescent="0.15">
      <c r="A189" s="41">
        <v>11</v>
      </c>
      <c r="B189" s="41" t="s">
        <v>10749</v>
      </c>
      <c r="C189" s="74" t="s">
        <v>10750</v>
      </c>
      <c r="D189" s="72"/>
      <c r="F189" s="752" t="s">
        <v>400</v>
      </c>
      <c r="G189" s="219" t="s">
        <v>398</v>
      </c>
      <c r="H189" s="50">
        <v>0.9</v>
      </c>
      <c r="I189" s="44"/>
      <c r="J189" s="218"/>
      <c r="K189" s="46"/>
      <c r="L189" s="709"/>
      <c r="M189" s="704"/>
      <c r="N189" s="47">
        <f>ROUND((ROUND((_11_A家事増５．７５*_11・基礎２),0)*_11・初任),0)</f>
        <v>508</v>
      </c>
      <c r="O189" s="48"/>
    </row>
    <row r="190" spans="1:15" ht="16.5" customHeight="1" x14ac:dyDescent="0.15">
      <c r="A190" s="41">
        <v>11</v>
      </c>
      <c r="B190" s="41" t="s">
        <v>10751</v>
      </c>
      <c r="C190" s="74" t="s">
        <v>10752</v>
      </c>
      <c r="D190" s="72"/>
      <c r="F190" s="711"/>
      <c r="G190" s="216"/>
      <c r="H190" s="38"/>
      <c r="I190" s="44" t="s">
        <v>397</v>
      </c>
      <c r="J190" s="247" t="s">
        <v>398</v>
      </c>
      <c r="K190" s="46">
        <v>1</v>
      </c>
      <c r="L190" s="240" t="s">
        <v>398</v>
      </c>
      <c r="M190" s="38">
        <f>_11・初任</f>
        <v>0.7</v>
      </c>
      <c r="N190" s="47">
        <f>ROUND((ROUND((ROUND((_11_A家事増５．７５*_11・基礎２),0)*_11・２人),0)*_11・初任),0)</f>
        <v>508</v>
      </c>
      <c r="O190" s="48"/>
    </row>
    <row r="191" spans="1:15" ht="16.5" customHeight="1" x14ac:dyDescent="0.15">
      <c r="A191" s="41">
        <v>11</v>
      </c>
      <c r="B191" s="41">
        <v>6427</v>
      </c>
      <c r="C191" s="74" t="s">
        <v>10753</v>
      </c>
      <c r="D191" s="707" t="s">
        <v>10754</v>
      </c>
      <c r="E191" s="717"/>
      <c r="F191" s="53"/>
      <c r="G191" s="49"/>
      <c r="H191" s="50"/>
      <c r="I191" s="44"/>
      <c r="J191" s="45"/>
      <c r="K191" s="46"/>
      <c r="L191" s="53"/>
      <c r="M191" s="50"/>
      <c r="N191" s="47">
        <f>_11_A家事増６．０</f>
        <v>840</v>
      </c>
      <c r="O191" s="48"/>
    </row>
    <row r="192" spans="1:15" ht="16.5" customHeight="1" x14ac:dyDescent="0.15">
      <c r="A192" s="41">
        <v>11</v>
      </c>
      <c r="B192" s="41">
        <v>6428</v>
      </c>
      <c r="C192" s="74" t="s">
        <v>10755</v>
      </c>
      <c r="D192" s="709"/>
      <c r="E192" s="718"/>
      <c r="F192" s="43"/>
      <c r="G192" s="37"/>
      <c r="H192" s="38"/>
      <c r="I192" s="44" t="s">
        <v>397</v>
      </c>
      <c r="J192" s="218" t="s">
        <v>398</v>
      </c>
      <c r="K192" s="46">
        <v>1</v>
      </c>
      <c r="L192" s="35"/>
      <c r="N192" s="47">
        <f>ROUND((_11_A家事増６．０*_11・２人),0)</f>
        <v>840</v>
      </c>
      <c r="O192" s="48"/>
    </row>
    <row r="193" spans="1:15" ht="16.5" customHeight="1" x14ac:dyDescent="0.15">
      <c r="A193" s="41">
        <v>11</v>
      </c>
      <c r="B193" s="41">
        <v>6429</v>
      </c>
      <c r="C193" s="74" t="s">
        <v>10756</v>
      </c>
      <c r="D193" s="709"/>
      <c r="E193" s="718"/>
      <c r="F193" s="752" t="s">
        <v>400</v>
      </c>
      <c r="G193" s="219" t="s">
        <v>398</v>
      </c>
      <c r="H193" s="50">
        <v>0.9</v>
      </c>
      <c r="I193" s="44"/>
      <c r="J193" s="218"/>
      <c r="K193" s="46"/>
      <c r="L193" s="35"/>
      <c r="N193" s="47">
        <f>ROUND((_11_A家事増６．０*_11・基礎２),0)</f>
        <v>756</v>
      </c>
      <c r="O193" s="48"/>
    </row>
    <row r="194" spans="1:15" ht="16.5" customHeight="1" x14ac:dyDescent="0.15">
      <c r="A194" s="41">
        <v>11</v>
      </c>
      <c r="B194" s="41">
        <v>6430</v>
      </c>
      <c r="C194" s="74" t="s">
        <v>10757</v>
      </c>
      <c r="D194" s="100">
        <f>_11_A家事増６．０</f>
        <v>840</v>
      </c>
      <c r="E194" s="12" t="s">
        <v>392</v>
      </c>
      <c r="F194" s="711"/>
      <c r="G194" s="216"/>
      <c r="H194" s="38"/>
      <c r="I194" s="44" t="s">
        <v>397</v>
      </c>
      <c r="J194" s="247" t="s">
        <v>398</v>
      </c>
      <c r="K194" s="46">
        <v>1</v>
      </c>
      <c r="L194" s="43"/>
      <c r="M194" s="38"/>
      <c r="N194" s="47">
        <f>ROUND((ROUND((_11_A家事増６．０*_11・基礎２),0)*_11・２人),0)</f>
        <v>756</v>
      </c>
      <c r="O194" s="48"/>
    </row>
    <row r="195" spans="1:15" ht="16.5" customHeight="1" x14ac:dyDescent="0.15">
      <c r="A195" s="41">
        <v>11</v>
      </c>
      <c r="B195" s="41" t="s">
        <v>10758</v>
      </c>
      <c r="C195" s="74" t="s">
        <v>10759</v>
      </c>
      <c r="D195" s="72"/>
      <c r="F195" s="53"/>
      <c r="G195" s="49"/>
      <c r="H195" s="50"/>
      <c r="I195" s="44"/>
      <c r="J195" s="45"/>
      <c r="K195" s="46"/>
      <c r="L195" s="707" t="s">
        <v>404</v>
      </c>
      <c r="M195" s="708"/>
      <c r="N195" s="47">
        <f>ROUND((_11_A家事増６．０*_11・初任),0)</f>
        <v>588</v>
      </c>
      <c r="O195" s="48"/>
    </row>
    <row r="196" spans="1:15" ht="16.5" customHeight="1" x14ac:dyDescent="0.15">
      <c r="A196" s="41">
        <v>11</v>
      </c>
      <c r="B196" s="41" t="s">
        <v>10760</v>
      </c>
      <c r="C196" s="74" t="s">
        <v>10761</v>
      </c>
      <c r="D196" s="72"/>
      <c r="F196" s="43"/>
      <c r="G196" s="37"/>
      <c r="H196" s="38"/>
      <c r="I196" s="44" t="s">
        <v>397</v>
      </c>
      <c r="J196" s="218" t="s">
        <v>398</v>
      </c>
      <c r="K196" s="46">
        <v>1</v>
      </c>
      <c r="L196" s="709"/>
      <c r="M196" s="704"/>
      <c r="N196" s="47">
        <f>ROUND((ROUND((_11_A家事増６．０*_11・２人),0)*_11・初任),0)</f>
        <v>588</v>
      </c>
      <c r="O196" s="48"/>
    </row>
    <row r="197" spans="1:15" ht="16.5" customHeight="1" x14ac:dyDescent="0.15">
      <c r="A197" s="41">
        <v>11</v>
      </c>
      <c r="B197" s="41" t="s">
        <v>10762</v>
      </c>
      <c r="C197" s="74" t="s">
        <v>10763</v>
      </c>
      <c r="D197" s="72"/>
      <c r="F197" s="752" t="s">
        <v>400</v>
      </c>
      <c r="G197" s="219" t="s">
        <v>398</v>
      </c>
      <c r="H197" s="50">
        <v>0.9</v>
      </c>
      <c r="I197" s="44"/>
      <c r="J197" s="218"/>
      <c r="K197" s="46"/>
      <c r="L197" s="709"/>
      <c r="M197" s="704"/>
      <c r="N197" s="47">
        <f>ROUND((ROUND((_11_A家事増６．０*_11・基礎２),0)*_11・初任),0)</f>
        <v>529</v>
      </c>
      <c r="O197" s="48"/>
    </row>
    <row r="198" spans="1:15" ht="16.5" customHeight="1" x14ac:dyDescent="0.15">
      <c r="A198" s="41">
        <v>11</v>
      </c>
      <c r="B198" s="41" t="s">
        <v>10764</v>
      </c>
      <c r="C198" s="74" t="s">
        <v>10765</v>
      </c>
      <c r="D198" s="72"/>
      <c r="F198" s="711"/>
      <c r="G198" s="216"/>
      <c r="H198" s="38"/>
      <c r="I198" s="44" t="s">
        <v>397</v>
      </c>
      <c r="J198" s="247" t="s">
        <v>398</v>
      </c>
      <c r="K198" s="46">
        <v>1</v>
      </c>
      <c r="L198" s="240" t="s">
        <v>398</v>
      </c>
      <c r="M198" s="38">
        <f>_11・初任</f>
        <v>0.7</v>
      </c>
      <c r="N198" s="47">
        <f>ROUND((ROUND((ROUND((_11_A家事増６．０*_11・基礎２),0)*_11・２人),0)*_11・初任),0)</f>
        <v>529</v>
      </c>
      <c r="O198" s="48"/>
    </row>
    <row r="199" spans="1:15" ht="16.5" customHeight="1" x14ac:dyDescent="0.15">
      <c r="A199" s="41">
        <v>11</v>
      </c>
      <c r="B199" s="41">
        <v>8135</v>
      </c>
      <c r="C199" s="74" t="s">
        <v>10766</v>
      </c>
      <c r="D199" s="707" t="s">
        <v>10767</v>
      </c>
      <c r="E199" s="717"/>
      <c r="F199" s="53"/>
      <c r="G199" s="49"/>
      <c r="H199" s="50"/>
      <c r="I199" s="44"/>
      <c r="J199" s="45"/>
      <c r="K199" s="46"/>
      <c r="L199" s="53"/>
      <c r="M199" s="50"/>
      <c r="N199" s="47">
        <f>_11_A家事増６．２５</f>
        <v>875</v>
      </c>
      <c r="O199" s="48"/>
    </row>
    <row r="200" spans="1:15" ht="16.5" customHeight="1" x14ac:dyDescent="0.15">
      <c r="A200" s="41">
        <v>11</v>
      </c>
      <c r="B200" s="41">
        <v>8136</v>
      </c>
      <c r="C200" s="74" t="s">
        <v>10768</v>
      </c>
      <c r="D200" s="709"/>
      <c r="E200" s="718"/>
      <c r="F200" s="43"/>
      <c r="G200" s="37"/>
      <c r="H200" s="38"/>
      <c r="I200" s="44" t="s">
        <v>397</v>
      </c>
      <c r="J200" s="218" t="s">
        <v>398</v>
      </c>
      <c r="K200" s="46">
        <v>1</v>
      </c>
      <c r="L200" s="35"/>
      <c r="N200" s="47">
        <f>ROUND((_11_A家事増６．２５*_11・２人),0)</f>
        <v>875</v>
      </c>
      <c r="O200" s="48"/>
    </row>
    <row r="201" spans="1:15" ht="16.5" customHeight="1" x14ac:dyDescent="0.15">
      <c r="A201" s="41">
        <v>11</v>
      </c>
      <c r="B201" s="41">
        <v>8137</v>
      </c>
      <c r="C201" s="74" t="s">
        <v>10769</v>
      </c>
      <c r="D201" s="709"/>
      <c r="E201" s="718"/>
      <c r="F201" s="752" t="s">
        <v>400</v>
      </c>
      <c r="G201" s="219" t="s">
        <v>398</v>
      </c>
      <c r="H201" s="50">
        <v>0.9</v>
      </c>
      <c r="I201" s="44"/>
      <c r="J201" s="218"/>
      <c r="K201" s="46"/>
      <c r="L201" s="35"/>
      <c r="N201" s="47">
        <f>ROUND((_11_A家事増６．２５*_11・基礎２),0)</f>
        <v>788</v>
      </c>
      <c r="O201" s="48"/>
    </row>
    <row r="202" spans="1:15" ht="16.5" customHeight="1" x14ac:dyDescent="0.15">
      <c r="A202" s="41">
        <v>11</v>
      </c>
      <c r="B202" s="41">
        <v>8138</v>
      </c>
      <c r="C202" s="74" t="s">
        <v>10770</v>
      </c>
      <c r="D202" s="100">
        <f>_11_A家事増６．２５</f>
        <v>875</v>
      </c>
      <c r="E202" s="12" t="s">
        <v>392</v>
      </c>
      <c r="F202" s="711"/>
      <c r="G202" s="216"/>
      <c r="H202" s="38"/>
      <c r="I202" s="44" t="s">
        <v>397</v>
      </c>
      <c r="J202" s="247" t="s">
        <v>398</v>
      </c>
      <c r="K202" s="46">
        <v>1</v>
      </c>
      <c r="L202" s="43"/>
      <c r="M202" s="38"/>
      <c r="N202" s="47">
        <f>ROUND((ROUND((_11_A家事増６．２５*_11・基礎２),0)*_11・２人),0)</f>
        <v>788</v>
      </c>
      <c r="O202" s="48"/>
    </row>
    <row r="203" spans="1:15" ht="16.5" customHeight="1" x14ac:dyDescent="0.15">
      <c r="A203" s="41">
        <v>11</v>
      </c>
      <c r="B203" s="41" t="s">
        <v>10771</v>
      </c>
      <c r="C203" s="74" t="s">
        <v>10772</v>
      </c>
      <c r="D203" s="72"/>
      <c r="F203" s="53"/>
      <c r="G203" s="49"/>
      <c r="H203" s="50"/>
      <c r="I203" s="44"/>
      <c r="J203" s="45"/>
      <c r="K203" s="46"/>
      <c r="L203" s="707" t="s">
        <v>404</v>
      </c>
      <c r="M203" s="708"/>
      <c r="N203" s="47">
        <f>ROUND((_11_A家事増６．２５*_11・初任),0)</f>
        <v>613</v>
      </c>
      <c r="O203" s="48"/>
    </row>
    <row r="204" spans="1:15" ht="16.5" customHeight="1" x14ac:dyDescent="0.15">
      <c r="A204" s="41">
        <v>11</v>
      </c>
      <c r="B204" s="41" t="s">
        <v>10773</v>
      </c>
      <c r="C204" s="74" t="s">
        <v>10774</v>
      </c>
      <c r="D204" s="72"/>
      <c r="F204" s="43"/>
      <c r="G204" s="37"/>
      <c r="H204" s="38"/>
      <c r="I204" s="44" t="s">
        <v>397</v>
      </c>
      <c r="J204" s="218" t="s">
        <v>398</v>
      </c>
      <c r="K204" s="46">
        <v>1</v>
      </c>
      <c r="L204" s="709"/>
      <c r="M204" s="704"/>
      <c r="N204" s="47">
        <f>ROUND((ROUND((_11_A家事増６．２５*_11・２人),0)*_11・初任),0)</f>
        <v>613</v>
      </c>
      <c r="O204" s="48"/>
    </row>
    <row r="205" spans="1:15" ht="16.5" customHeight="1" x14ac:dyDescent="0.15">
      <c r="A205" s="41">
        <v>11</v>
      </c>
      <c r="B205" s="41" t="s">
        <v>10775</v>
      </c>
      <c r="C205" s="74" t="s">
        <v>10776</v>
      </c>
      <c r="D205" s="72"/>
      <c r="F205" s="752" t="s">
        <v>400</v>
      </c>
      <c r="G205" s="219" t="s">
        <v>398</v>
      </c>
      <c r="H205" s="50">
        <v>0.9</v>
      </c>
      <c r="I205" s="44"/>
      <c r="J205" s="218"/>
      <c r="K205" s="46"/>
      <c r="L205" s="709"/>
      <c r="M205" s="704"/>
      <c r="N205" s="47">
        <f>ROUND((ROUND((_11_A家事増６．２５*_11・基礎２),0)*_11・初任),0)</f>
        <v>552</v>
      </c>
      <c r="O205" s="48"/>
    </row>
    <row r="206" spans="1:15" ht="16.5" customHeight="1" x14ac:dyDescent="0.15">
      <c r="A206" s="41">
        <v>11</v>
      </c>
      <c r="B206" s="41" t="s">
        <v>10777</v>
      </c>
      <c r="C206" s="74" t="s">
        <v>10778</v>
      </c>
      <c r="D206" s="72"/>
      <c r="F206" s="711"/>
      <c r="G206" s="216"/>
      <c r="H206" s="38"/>
      <c r="I206" s="44" t="s">
        <v>397</v>
      </c>
      <c r="J206" s="247" t="s">
        <v>398</v>
      </c>
      <c r="K206" s="46">
        <v>1</v>
      </c>
      <c r="L206" s="240" t="s">
        <v>398</v>
      </c>
      <c r="M206" s="38">
        <f>_11・初任</f>
        <v>0.7</v>
      </c>
      <c r="N206" s="47">
        <f>ROUND((ROUND((ROUND((_11_A家事増６．２５*_11・基礎２),0)*_11・２人),0)*_11・初任),0)</f>
        <v>552</v>
      </c>
      <c r="O206" s="48"/>
    </row>
    <row r="207" spans="1:15" ht="16.5" customHeight="1" x14ac:dyDescent="0.15">
      <c r="A207" s="41">
        <v>11</v>
      </c>
      <c r="B207" s="41">
        <v>6431</v>
      </c>
      <c r="C207" s="74" t="s">
        <v>10779</v>
      </c>
      <c r="D207" s="707" t="s">
        <v>10780</v>
      </c>
      <c r="E207" s="717"/>
      <c r="F207" s="53"/>
      <c r="G207" s="49"/>
      <c r="H207" s="50"/>
      <c r="I207" s="44"/>
      <c r="J207" s="45"/>
      <c r="K207" s="46"/>
      <c r="L207" s="53"/>
      <c r="M207" s="50"/>
      <c r="N207" s="47">
        <f>_11_A家事増６．５</f>
        <v>910</v>
      </c>
      <c r="O207" s="48"/>
    </row>
    <row r="208" spans="1:15" ht="16.5" customHeight="1" x14ac:dyDescent="0.15">
      <c r="A208" s="41">
        <v>11</v>
      </c>
      <c r="B208" s="41">
        <v>6432</v>
      </c>
      <c r="C208" s="74" t="s">
        <v>10781</v>
      </c>
      <c r="D208" s="709"/>
      <c r="E208" s="718"/>
      <c r="F208" s="43"/>
      <c r="G208" s="37"/>
      <c r="H208" s="38"/>
      <c r="I208" s="44" t="s">
        <v>397</v>
      </c>
      <c r="J208" s="218" t="s">
        <v>398</v>
      </c>
      <c r="K208" s="46">
        <v>1</v>
      </c>
      <c r="L208" s="35"/>
      <c r="N208" s="47">
        <f>ROUND((_11_A家事増６．５*_11・２人),0)</f>
        <v>910</v>
      </c>
      <c r="O208" s="48"/>
    </row>
    <row r="209" spans="1:15" ht="16.5" customHeight="1" x14ac:dyDescent="0.15">
      <c r="A209" s="41">
        <v>11</v>
      </c>
      <c r="B209" s="41">
        <v>6433</v>
      </c>
      <c r="C209" s="74" t="s">
        <v>10782</v>
      </c>
      <c r="D209" s="709"/>
      <c r="E209" s="718"/>
      <c r="F209" s="752" t="s">
        <v>400</v>
      </c>
      <c r="G209" s="219" t="s">
        <v>398</v>
      </c>
      <c r="H209" s="50">
        <v>0.9</v>
      </c>
      <c r="I209" s="44"/>
      <c r="J209" s="218"/>
      <c r="K209" s="46"/>
      <c r="L209" s="35"/>
      <c r="N209" s="47">
        <f>ROUND((_11_A家事増６．５*_11・基礎２),0)</f>
        <v>819</v>
      </c>
      <c r="O209" s="48"/>
    </row>
    <row r="210" spans="1:15" ht="16.5" customHeight="1" x14ac:dyDescent="0.15">
      <c r="A210" s="41">
        <v>11</v>
      </c>
      <c r="B210" s="41">
        <v>6434</v>
      </c>
      <c r="C210" s="74" t="s">
        <v>10783</v>
      </c>
      <c r="D210" s="100">
        <f>_11_A家事増６．５</f>
        <v>910</v>
      </c>
      <c r="E210" s="12" t="s">
        <v>392</v>
      </c>
      <c r="F210" s="711"/>
      <c r="G210" s="216"/>
      <c r="H210" s="38"/>
      <c r="I210" s="44" t="s">
        <v>397</v>
      </c>
      <c r="J210" s="247" t="s">
        <v>398</v>
      </c>
      <c r="K210" s="46">
        <v>1</v>
      </c>
      <c r="L210" s="43"/>
      <c r="M210" s="38"/>
      <c r="N210" s="47">
        <f>ROUND((ROUND((_11_A家事増６．５*_11・基礎２),0)*_11・２人),0)</f>
        <v>819</v>
      </c>
      <c r="O210" s="48"/>
    </row>
    <row r="211" spans="1:15" ht="16.5" customHeight="1" x14ac:dyDescent="0.15">
      <c r="A211" s="41">
        <v>11</v>
      </c>
      <c r="B211" s="41" t="s">
        <v>10784</v>
      </c>
      <c r="C211" s="74" t="s">
        <v>10785</v>
      </c>
      <c r="D211" s="72"/>
      <c r="F211" s="53"/>
      <c r="G211" s="49"/>
      <c r="H211" s="50"/>
      <c r="I211" s="44"/>
      <c r="J211" s="45"/>
      <c r="K211" s="46"/>
      <c r="L211" s="707" t="s">
        <v>404</v>
      </c>
      <c r="M211" s="708"/>
      <c r="N211" s="47">
        <f>ROUND((_11_A家事増６．５*_11・初任),0)</f>
        <v>637</v>
      </c>
      <c r="O211" s="48"/>
    </row>
    <row r="212" spans="1:15" ht="16.5" customHeight="1" x14ac:dyDescent="0.15">
      <c r="A212" s="41">
        <v>11</v>
      </c>
      <c r="B212" s="41" t="s">
        <v>10786</v>
      </c>
      <c r="C212" s="74" t="s">
        <v>10787</v>
      </c>
      <c r="D212" s="72"/>
      <c r="F212" s="43"/>
      <c r="G212" s="37"/>
      <c r="H212" s="38"/>
      <c r="I212" s="44" t="s">
        <v>397</v>
      </c>
      <c r="J212" s="218" t="s">
        <v>398</v>
      </c>
      <c r="K212" s="46">
        <v>1</v>
      </c>
      <c r="L212" s="709"/>
      <c r="M212" s="704"/>
      <c r="N212" s="47">
        <f>ROUND((ROUND((_11_A家事増６．５*_11・２人),0)*_11・初任),0)</f>
        <v>637</v>
      </c>
      <c r="O212" s="48"/>
    </row>
    <row r="213" spans="1:15" ht="16.5" customHeight="1" x14ac:dyDescent="0.15">
      <c r="A213" s="41">
        <v>11</v>
      </c>
      <c r="B213" s="41" t="s">
        <v>10788</v>
      </c>
      <c r="C213" s="74" t="s">
        <v>10789</v>
      </c>
      <c r="D213" s="72"/>
      <c r="F213" s="752" t="s">
        <v>400</v>
      </c>
      <c r="G213" s="219" t="s">
        <v>398</v>
      </c>
      <c r="H213" s="50">
        <v>0.9</v>
      </c>
      <c r="I213" s="44"/>
      <c r="J213" s="218"/>
      <c r="K213" s="46"/>
      <c r="L213" s="709"/>
      <c r="M213" s="704"/>
      <c r="N213" s="47">
        <f>ROUND((ROUND((_11_A家事増６．５*_11・基礎２),0)*_11・初任),0)</f>
        <v>573</v>
      </c>
      <c r="O213" s="48"/>
    </row>
    <row r="214" spans="1:15" ht="16.5" customHeight="1" x14ac:dyDescent="0.15">
      <c r="A214" s="41">
        <v>11</v>
      </c>
      <c r="B214" s="41" t="s">
        <v>10790</v>
      </c>
      <c r="C214" s="74" t="s">
        <v>10791</v>
      </c>
      <c r="D214" s="72"/>
      <c r="F214" s="711"/>
      <c r="G214" s="216"/>
      <c r="H214" s="38"/>
      <c r="I214" s="44" t="s">
        <v>397</v>
      </c>
      <c r="J214" s="247" t="s">
        <v>398</v>
      </c>
      <c r="K214" s="46">
        <v>1</v>
      </c>
      <c r="L214" s="240" t="s">
        <v>398</v>
      </c>
      <c r="M214" s="38">
        <f>_11・初任</f>
        <v>0.7</v>
      </c>
      <c r="N214" s="47">
        <f>ROUND((ROUND((ROUND((_11_A家事増６．５*_11・基礎２),0)*_11・２人),0)*_11・初任),0)</f>
        <v>573</v>
      </c>
      <c r="O214" s="48"/>
    </row>
    <row r="215" spans="1:15" ht="16.5" customHeight="1" x14ac:dyDescent="0.15">
      <c r="A215" s="41">
        <v>11</v>
      </c>
      <c r="B215" s="41">
        <v>8139</v>
      </c>
      <c r="C215" s="74" t="s">
        <v>10792</v>
      </c>
      <c r="D215" s="707" t="s">
        <v>10793</v>
      </c>
      <c r="E215" s="717"/>
      <c r="F215" s="53"/>
      <c r="G215" s="49"/>
      <c r="H215" s="50"/>
      <c r="I215" s="44"/>
      <c r="J215" s="45"/>
      <c r="K215" s="46"/>
      <c r="L215" s="53"/>
      <c r="M215" s="50"/>
      <c r="N215" s="47">
        <f>_11_A家事増６．７５</f>
        <v>945</v>
      </c>
      <c r="O215" s="48"/>
    </row>
    <row r="216" spans="1:15" ht="16.5" customHeight="1" x14ac:dyDescent="0.15">
      <c r="A216" s="41">
        <v>11</v>
      </c>
      <c r="B216" s="41">
        <v>8140</v>
      </c>
      <c r="C216" s="74" t="s">
        <v>10794</v>
      </c>
      <c r="D216" s="709"/>
      <c r="E216" s="718"/>
      <c r="F216" s="43"/>
      <c r="G216" s="37"/>
      <c r="H216" s="38"/>
      <c r="I216" s="44" t="s">
        <v>397</v>
      </c>
      <c r="J216" s="218" t="s">
        <v>398</v>
      </c>
      <c r="K216" s="46">
        <v>1</v>
      </c>
      <c r="L216" s="35"/>
      <c r="N216" s="47">
        <f>ROUND((_11_A家事増６．７５*_11・２人),0)</f>
        <v>945</v>
      </c>
      <c r="O216" s="48"/>
    </row>
    <row r="217" spans="1:15" ht="16.5" customHeight="1" x14ac:dyDescent="0.15">
      <c r="A217" s="41">
        <v>11</v>
      </c>
      <c r="B217" s="41">
        <v>8141</v>
      </c>
      <c r="C217" s="74" t="s">
        <v>10795</v>
      </c>
      <c r="D217" s="709"/>
      <c r="E217" s="718"/>
      <c r="F217" s="752" t="s">
        <v>400</v>
      </c>
      <c r="G217" s="219" t="s">
        <v>398</v>
      </c>
      <c r="H217" s="50">
        <v>0.9</v>
      </c>
      <c r="I217" s="44"/>
      <c r="J217" s="218"/>
      <c r="K217" s="46"/>
      <c r="L217" s="35"/>
      <c r="N217" s="47">
        <f>ROUND((_11_A家事増６．７５*_11・基礎２),0)</f>
        <v>851</v>
      </c>
      <c r="O217" s="48"/>
    </row>
    <row r="218" spans="1:15" ht="16.5" customHeight="1" x14ac:dyDescent="0.15">
      <c r="A218" s="41">
        <v>11</v>
      </c>
      <c r="B218" s="41">
        <v>8142</v>
      </c>
      <c r="C218" s="74" t="s">
        <v>10796</v>
      </c>
      <c r="D218" s="100">
        <f>_11_A家事増６．７５</f>
        <v>945</v>
      </c>
      <c r="E218" s="12" t="s">
        <v>392</v>
      </c>
      <c r="F218" s="711"/>
      <c r="G218" s="216"/>
      <c r="H218" s="38"/>
      <c r="I218" s="44" t="s">
        <v>397</v>
      </c>
      <c r="J218" s="247" t="s">
        <v>398</v>
      </c>
      <c r="K218" s="46">
        <v>1</v>
      </c>
      <c r="L218" s="43"/>
      <c r="M218" s="38"/>
      <c r="N218" s="47">
        <f>ROUND((ROUND((_11_A家事増６．７５*_11・基礎２),0)*_11・２人),0)</f>
        <v>851</v>
      </c>
      <c r="O218" s="48"/>
    </row>
    <row r="219" spans="1:15" ht="16.5" customHeight="1" x14ac:dyDescent="0.15">
      <c r="A219" s="41">
        <v>11</v>
      </c>
      <c r="B219" s="41" t="s">
        <v>10797</v>
      </c>
      <c r="C219" s="74" t="s">
        <v>10798</v>
      </c>
      <c r="D219" s="72"/>
      <c r="F219" s="53"/>
      <c r="G219" s="49"/>
      <c r="H219" s="50"/>
      <c r="I219" s="44"/>
      <c r="J219" s="45"/>
      <c r="K219" s="46"/>
      <c r="L219" s="707" t="s">
        <v>404</v>
      </c>
      <c r="M219" s="708"/>
      <c r="N219" s="47">
        <f>ROUND((_11_A家事増６．７５*_11・初任),0)</f>
        <v>662</v>
      </c>
      <c r="O219" s="48"/>
    </row>
    <row r="220" spans="1:15" ht="16.5" customHeight="1" x14ac:dyDescent="0.15">
      <c r="A220" s="41">
        <v>11</v>
      </c>
      <c r="B220" s="41" t="s">
        <v>10799</v>
      </c>
      <c r="C220" s="74" t="s">
        <v>10800</v>
      </c>
      <c r="D220" s="72"/>
      <c r="F220" s="43"/>
      <c r="G220" s="37"/>
      <c r="H220" s="38"/>
      <c r="I220" s="44" t="s">
        <v>397</v>
      </c>
      <c r="J220" s="218" t="s">
        <v>398</v>
      </c>
      <c r="K220" s="46">
        <v>1</v>
      </c>
      <c r="L220" s="709"/>
      <c r="M220" s="704"/>
      <c r="N220" s="47">
        <f>ROUND((ROUND((_11_A家事増６．７５*_11・２人),0)*_11・初任),0)</f>
        <v>662</v>
      </c>
      <c r="O220" s="48"/>
    </row>
    <row r="221" spans="1:15" ht="16.5" customHeight="1" x14ac:dyDescent="0.15">
      <c r="A221" s="41">
        <v>11</v>
      </c>
      <c r="B221" s="41" t="s">
        <v>10801</v>
      </c>
      <c r="C221" s="74" t="s">
        <v>10802</v>
      </c>
      <c r="D221" s="72"/>
      <c r="F221" s="752" t="s">
        <v>400</v>
      </c>
      <c r="G221" s="219" t="s">
        <v>398</v>
      </c>
      <c r="H221" s="50">
        <v>0.9</v>
      </c>
      <c r="I221" s="44"/>
      <c r="J221" s="218"/>
      <c r="K221" s="46"/>
      <c r="L221" s="709"/>
      <c r="M221" s="704"/>
      <c r="N221" s="47">
        <f>ROUND((ROUND((_11_A家事増６．７５*_11・基礎２),0)*_11・初任),0)</f>
        <v>596</v>
      </c>
      <c r="O221" s="48"/>
    </row>
    <row r="222" spans="1:15" ht="16.5" customHeight="1" x14ac:dyDescent="0.15">
      <c r="A222" s="41">
        <v>11</v>
      </c>
      <c r="B222" s="41" t="s">
        <v>10803</v>
      </c>
      <c r="C222" s="74" t="s">
        <v>10804</v>
      </c>
      <c r="D222" s="122"/>
      <c r="E222" s="37"/>
      <c r="F222" s="711"/>
      <c r="G222" s="216"/>
      <c r="H222" s="38"/>
      <c r="I222" s="44" t="s">
        <v>397</v>
      </c>
      <c r="J222" s="247" t="s">
        <v>398</v>
      </c>
      <c r="K222" s="46">
        <v>1</v>
      </c>
      <c r="L222" s="240" t="s">
        <v>398</v>
      </c>
      <c r="M222" s="38">
        <f>_11・初任</f>
        <v>0.7</v>
      </c>
      <c r="N222" s="47">
        <f>ROUND((ROUND((ROUND((_11_A家事増６．７５*_11・基礎２),0)*_11・２人),0)*_11・初任),0)</f>
        <v>596</v>
      </c>
      <c r="O222" s="63"/>
    </row>
    <row r="223" spans="1:15" ht="16.5" customHeight="1" x14ac:dyDescent="0.15">
      <c r="A223" s="33">
        <v>11</v>
      </c>
      <c r="B223" s="33">
        <v>6435</v>
      </c>
      <c r="C223" s="34" t="s">
        <v>10805</v>
      </c>
      <c r="D223" s="709" t="s">
        <v>10806</v>
      </c>
      <c r="E223" s="718"/>
      <c r="F223" s="35"/>
      <c r="G223" s="12"/>
      <c r="I223" s="36"/>
      <c r="J223" s="37"/>
      <c r="K223" s="38"/>
      <c r="L223" s="35"/>
      <c r="N223" s="39">
        <f>_11_A家事増７．０</f>
        <v>980</v>
      </c>
      <c r="O223" s="48"/>
    </row>
    <row r="224" spans="1:15" ht="16.5" customHeight="1" x14ac:dyDescent="0.15">
      <c r="A224" s="41">
        <v>11</v>
      </c>
      <c r="B224" s="41">
        <v>6436</v>
      </c>
      <c r="C224" s="74" t="s">
        <v>10807</v>
      </c>
      <c r="D224" s="709"/>
      <c r="E224" s="718"/>
      <c r="F224" s="43"/>
      <c r="G224" s="37"/>
      <c r="H224" s="38"/>
      <c r="I224" s="44" t="s">
        <v>397</v>
      </c>
      <c r="J224" s="218" t="s">
        <v>398</v>
      </c>
      <c r="K224" s="46">
        <v>1</v>
      </c>
      <c r="L224" s="35"/>
      <c r="N224" s="47">
        <f>ROUND((_11_A家事増７．０*_11・２人),0)</f>
        <v>980</v>
      </c>
      <c r="O224" s="48"/>
    </row>
    <row r="225" spans="1:15" ht="16.5" customHeight="1" x14ac:dyDescent="0.15">
      <c r="A225" s="41">
        <v>11</v>
      </c>
      <c r="B225" s="41">
        <v>6437</v>
      </c>
      <c r="C225" s="74" t="s">
        <v>10808</v>
      </c>
      <c r="D225" s="709"/>
      <c r="E225" s="718"/>
      <c r="F225" s="752" t="s">
        <v>400</v>
      </c>
      <c r="G225" s="219" t="s">
        <v>398</v>
      </c>
      <c r="H225" s="50">
        <v>0.9</v>
      </c>
      <c r="I225" s="44"/>
      <c r="J225" s="218"/>
      <c r="K225" s="46"/>
      <c r="L225" s="35"/>
      <c r="N225" s="47">
        <f>ROUND((_11_A家事増７．０*_11・基礎２),0)</f>
        <v>882</v>
      </c>
      <c r="O225" s="48"/>
    </row>
    <row r="226" spans="1:15" ht="16.5" customHeight="1" x14ac:dyDescent="0.15">
      <c r="A226" s="41">
        <v>11</v>
      </c>
      <c r="B226" s="41">
        <v>6438</v>
      </c>
      <c r="C226" s="74" t="s">
        <v>10809</v>
      </c>
      <c r="D226" s="100">
        <f>_11_A家事増７．０</f>
        <v>980</v>
      </c>
      <c r="E226" s="12" t="s">
        <v>392</v>
      </c>
      <c r="F226" s="711"/>
      <c r="G226" s="216"/>
      <c r="H226" s="38"/>
      <c r="I226" s="44" t="s">
        <v>397</v>
      </c>
      <c r="J226" s="247" t="s">
        <v>398</v>
      </c>
      <c r="K226" s="46">
        <v>1</v>
      </c>
      <c r="L226" s="43"/>
      <c r="M226" s="38"/>
      <c r="N226" s="47">
        <f>ROUND((ROUND((_11_A家事増７．０*_11・基礎２),0)*_11・２人),0)</f>
        <v>882</v>
      </c>
      <c r="O226" s="48"/>
    </row>
    <row r="227" spans="1:15" ht="16.5" customHeight="1" x14ac:dyDescent="0.15">
      <c r="A227" s="41">
        <v>11</v>
      </c>
      <c r="B227" s="41" t="s">
        <v>10810</v>
      </c>
      <c r="C227" s="74" t="s">
        <v>10811</v>
      </c>
      <c r="D227" s="72"/>
      <c r="F227" s="53"/>
      <c r="G227" s="49"/>
      <c r="H227" s="50"/>
      <c r="I227" s="44"/>
      <c r="J227" s="45"/>
      <c r="K227" s="46"/>
      <c r="L227" s="707" t="s">
        <v>404</v>
      </c>
      <c r="M227" s="708"/>
      <c r="N227" s="47">
        <f>ROUND((_11_A家事増７．０*_11・初任),0)</f>
        <v>686</v>
      </c>
      <c r="O227" s="48"/>
    </row>
    <row r="228" spans="1:15" ht="16.5" customHeight="1" x14ac:dyDescent="0.15">
      <c r="A228" s="41">
        <v>11</v>
      </c>
      <c r="B228" s="41" t="s">
        <v>10812</v>
      </c>
      <c r="C228" s="74" t="s">
        <v>10813</v>
      </c>
      <c r="D228" s="72"/>
      <c r="F228" s="43"/>
      <c r="G228" s="37"/>
      <c r="H228" s="38"/>
      <c r="I228" s="44" t="s">
        <v>397</v>
      </c>
      <c r="J228" s="218" t="s">
        <v>398</v>
      </c>
      <c r="K228" s="46">
        <v>1</v>
      </c>
      <c r="L228" s="709"/>
      <c r="M228" s="704"/>
      <c r="N228" s="47">
        <f>ROUND((ROUND((_11_A家事増７．０*_11・２人),0)*_11・初任),0)</f>
        <v>686</v>
      </c>
      <c r="O228" s="48"/>
    </row>
    <row r="229" spans="1:15" ht="16.5" customHeight="1" x14ac:dyDescent="0.15">
      <c r="A229" s="41">
        <v>11</v>
      </c>
      <c r="B229" s="41" t="s">
        <v>10814</v>
      </c>
      <c r="C229" s="74" t="s">
        <v>10815</v>
      </c>
      <c r="D229" s="72"/>
      <c r="F229" s="752" t="s">
        <v>400</v>
      </c>
      <c r="G229" s="219" t="s">
        <v>398</v>
      </c>
      <c r="H229" s="50">
        <v>0.9</v>
      </c>
      <c r="I229" s="44"/>
      <c r="J229" s="218"/>
      <c r="K229" s="46"/>
      <c r="L229" s="709"/>
      <c r="M229" s="704"/>
      <c r="N229" s="47">
        <f>ROUND((ROUND((_11_A家事増７．０*_11・基礎２),0)*_11・初任),0)</f>
        <v>617</v>
      </c>
      <c r="O229" s="48"/>
    </row>
    <row r="230" spans="1:15" ht="16.5" customHeight="1" x14ac:dyDescent="0.15">
      <c r="A230" s="41">
        <v>11</v>
      </c>
      <c r="B230" s="41" t="s">
        <v>10816</v>
      </c>
      <c r="C230" s="74" t="s">
        <v>10817</v>
      </c>
      <c r="D230" s="72"/>
      <c r="F230" s="711"/>
      <c r="G230" s="216"/>
      <c r="H230" s="38"/>
      <c r="I230" s="44" t="s">
        <v>397</v>
      </c>
      <c r="J230" s="247" t="s">
        <v>398</v>
      </c>
      <c r="K230" s="46">
        <v>1</v>
      </c>
      <c r="L230" s="240" t="s">
        <v>398</v>
      </c>
      <c r="M230" s="38">
        <f>_11・初任</f>
        <v>0.7</v>
      </c>
      <c r="N230" s="47">
        <f>ROUND((ROUND((ROUND((_11_A家事増７．０*_11・基礎２),0)*_11・２人),0)*_11・初任),0)</f>
        <v>617</v>
      </c>
      <c r="O230" s="48"/>
    </row>
    <row r="231" spans="1:15" ht="16.5" customHeight="1" x14ac:dyDescent="0.15">
      <c r="A231" s="41">
        <v>11</v>
      </c>
      <c r="B231" s="41">
        <v>8143</v>
      </c>
      <c r="C231" s="74" t="s">
        <v>10818</v>
      </c>
      <c r="D231" s="707" t="s">
        <v>10819</v>
      </c>
      <c r="E231" s="717"/>
      <c r="F231" s="53"/>
      <c r="G231" s="49"/>
      <c r="H231" s="50"/>
      <c r="I231" s="44"/>
      <c r="J231" s="45"/>
      <c r="K231" s="46"/>
      <c r="L231" s="53"/>
      <c r="M231" s="50"/>
      <c r="N231" s="47">
        <f>_11_A家事増７．２５</f>
        <v>1015</v>
      </c>
      <c r="O231" s="48"/>
    </row>
    <row r="232" spans="1:15" ht="16.5" customHeight="1" x14ac:dyDescent="0.15">
      <c r="A232" s="41">
        <v>11</v>
      </c>
      <c r="B232" s="41">
        <v>8144</v>
      </c>
      <c r="C232" s="74" t="s">
        <v>10820</v>
      </c>
      <c r="D232" s="709"/>
      <c r="E232" s="718"/>
      <c r="F232" s="43"/>
      <c r="G232" s="37"/>
      <c r="H232" s="38"/>
      <c r="I232" s="44" t="s">
        <v>397</v>
      </c>
      <c r="J232" s="218" t="s">
        <v>398</v>
      </c>
      <c r="K232" s="46">
        <v>1</v>
      </c>
      <c r="L232" s="35"/>
      <c r="N232" s="47">
        <f>ROUND((_11_A家事増７．２５*_11・２人),0)</f>
        <v>1015</v>
      </c>
      <c r="O232" s="48"/>
    </row>
    <row r="233" spans="1:15" ht="16.5" customHeight="1" x14ac:dyDescent="0.15">
      <c r="A233" s="41">
        <v>11</v>
      </c>
      <c r="B233" s="41">
        <v>8145</v>
      </c>
      <c r="C233" s="74" t="s">
        <v>10821</v>
      </c>
      <c r="D233" s="709"/>
      <c r="E233" s="718"/>
      <c r="F233" s="752" t="s">
        <v>400</v>
      </c>
      <c r="G233" s="219" t="s">
        <v>398</v>
      </c>
      <c r="H233" s="50">
        <v>0.9</v>
      </c>
      <c r="I233" s="44"/>
      <c r="J233" s="218"/>
      <c r="K233" s="46"/>
      <c r="L233" s="35"/>
      <c r="N233" s="47">
        <f>ROUND((_11_A家事増７．２５*_11・基礎２),0)</f>
        <v>914</v>
      </c>
      <c r="O233" s="48"/>
    </row>
    <row r="234" spans="1:15" ht="16.5" customHeight="1" x14ac:dyDescent="0.15">
      <c r="A234" s="41">
        <v>11</v>
      </c>
      <c r="B234" s="41">
        <v>8146</v>
      </c>
      <c r="C234" s="74" t="s">
        <v>10822</v>
      </c>
      <c r="D234" s="100">
        <f>_11_A家事増７．２５</f>
        <v>1015</v>
      </c>
      <c r="E234" s="12" t="s">
        <v>392</v>
      </c>
      <c r="F234" s="711"/>
      <c r="G234" s="216"/>
      <c r="H234" s="38"/>
      <c r="I234" s="44" t="s">
        <v>397</v>
      </c>
      <c r="J234" s="247" t="s">
        <v>398</v>
      </c>
      <c r="K234" s="46">
        <v>1</v>
      </c>
      <c r="L234" s="43"/>
      <c r="M234" s="38"/>
      <c r="N234" s="47">
        <f>ROUND((ROUND((_11_A家事増７．２５*_11・基礎２),0)*_11・２人),0)</f>
        <v>914</v>
      </c>
      <c r="O234" s="48"/>
    </row>
    <row r="235" spans="1:15" ht="16.5" customHeight="1" x14ac:dyDescent="0.15">
      <c r="A235" s="41">
        <v>11</v>
      </c>
      <c r="B235" s="41" t="s">
        <v>10823</v>
      </c>
      <c r="C235" s="74" t="s">
        <v>10824</v>
      </c>
      <c r="D235" s="72"/>
      <c r="F235" s="53"/>
      <c r="G235" s="49"/>
      <c r="H235" s="50"/>
      <c r="I235" s="44"/>
      <c r="J235" s="45"/>
      <c r="K235" s="46"/>
      <c r="L235" s="707" t="s">
        <v>404</v>
      </c>
      <c r="M235" s="708"/>
      <c r="N235" s="47">
        <f>ROUND((_11_A家事増７．２５*_11・初任),0)</f>
        <v>711</v>
      </c>
      <c r="O235" s="48"/>
    </row>
    <row r="236" spans="1:15" ht="16.5" customHeight="1" x14ac:dyDescent="0.15">
      <c r="A236" s="41">
        <v>11</v>
      </c>
      <c r="B236" s="41" t="s">
        <v>10825</v>
      </c>
      <c r="C236" s="74" t="s">
        <v>10826</v>
      </c>
      <c r="D236" s="72"/>
      <c r="F236" s="43"/>
      <c r="G236" s="37"/>
      <c r="H236" s="38"/>
      <c r="I236" s="44" t="s">
        <v>397</v>
      </c>
      <c r="J236" s="218" t="s">
        <v>398</v>
      </c>
      <c r="K236" s="46">
        <v>1</v>
      </c>
      <c r="L236" s="709"/>
      <c r="M236" s="704"/>
      <c r="N236" s="47">
        <f>ROUND((ROUND((_11_A家事増７．２５*_11・２人),0)*_11・初任),0)</f>
        <v>711</v>
      </c>
      <c r="O236" s="48"/>
    </row>
    <row r="237" spans="1:15" ht="16.5" customHeight="1" x14ac:dyDescent="0.15">
      <c r="A237" s="41">
        <v>11</v>
      </c>
      <c r="B237" s="41" t="s">
        <v>10827</v>
      </c>
      <c r="C237" s="74" t="s">
        <v>10828</v>
      </c>
      <c r="D237" s="72"/>
      <c r="F237" s="752" t="s">
        <v>400</v>
      </c>
      <c r="G237" s="219" t="s">
        <v>398</v>
      </c>
      <c r="H237" s="50">
        <v>0.9</v>
      </c>
      <c r="I237" s="44"/>
      <c r="J237" s="218"/>
      <c r="K237" s="46"/>
      <c r="L237" s="709"/>
      <c r="M237" s="704"/>
      <c r="N237" s="47">
        <f>ROUND((ROUND((_11_A家事増７．２５*_11・基礎２),0)*_11・初任),0)</f>
        <v>640</v>
      </c>
      <c r="O237" s="48"/>
    </row>
    <row r="238" spans="1:15" ht="16.5" customHeight="1" x14ac:dyDescent="0.15">
      <c r="A238" s="41">
        <v>11</v>
      </c>
      <c r="B238" s="41" t="s">
        <v>10829</v>
      </c>
      <c r="C238" s="74" t="s">
        <v>10830</v>
      </c>
      <c r="D238" s="72"/>
      <c r="F238" s="711"/>
      <c r="G238" s="216"/>
      <c r="H238" s="38"/>
      <c r="I238" s="44" t="s">
        <v>397</v>
      </c>
      <c r="J238" s="247" t="s">
        <v>398</v>
      </c>
      <c r="K238" s="46">
        <v>1</v>
      </c>
      <c r="L238" s="240" t="s">
        <v>398</v>
      </c>
      <c r="M238" s="38">
        <f>_11・初任</f>
        <v>0.7</v>
      </c>
      <c r="N238" s="47">
        <f>ROUND((ROUND((ROUND((_11_A家事増７．２５*_11・基礎２),0)*_11・２人),0)*_11・初任),0)</f>
        <v>640</v>
      </c>
      <c r="O238" s="48"/>
    </row>
    <row r="239" spans="1:15" ht="16.5" customHeight="1" x14ac:dyDescent="0.15">
      <c r="A239" s="41">
        <v>11</v>
      </c>
      <c r="B239" s="41">
        <v>6439</v>
      </c>
      <c r="C239" s="74" t="s">
        <v>10831</v>
      </c>
      <c r="D239" s="707" t="s">
        <v>10832</v>
      </c>
      <c r="E239" s="717"/>
      <c r="F239" s="53"/>
      <c r="G239" s="49"/>
      <c r="H239" s="50"/>
      <c r="I239" s="44"/>
      <c r="J239" s="45"/>
      <c r="K239" s="46"/>
      <c r="L239" s="53"/>
      <c r="M239" s="50"/>
      <c r="N239" s="47">
        <f>_11_A家事増７．５</f>
        <v>1050</v>
      </c>
      <c r="O239" s="48"/>
    </row>
    <row r="240" spans="1:15" ht="16.5" customHeight="1" x14ac:dyDescent="0.15">
      <c r="A240" s="41">
        <v>11</v>
      </c>
      <c r="B240" s="41">
        <v>6440</v>
      </c>
      <c r="C240" s="74" t="s">
        <v>10833</v>
      </c>
      <c r="D240" s="709"/>
      <c r="E240" s="718"/>
      <c r="F240" s="43"/>
      <c r="G240" s="37"/>
      <c r="H240" s="38"/>
      <c r="I240" s="44" t="s">
        <v>397</v>
      </c>
      <c r="J240" s="218" t="s">
        <v>398</v>
      </c>
      <c r="K240" s="46">
        <v>1</v>
      </c>
      <c r="L240" s="35"/>
      <c r="N240" s="47">
        <f>ROUND((_11_A家事増７．５*_11・２人),0)</f>
        <v>1050</v>
      </c>
      <c r="O240" s="48"/>
    </row>
    <row r="241" spans="1:15" ht="16.5" customHeight="1" x14ac:dyDescent="0.15">
      <c r="A241" s="41">
        <v>11</v>
      </c>
      <c r="B241" s="41">
        <v>6441</v>
      </c>
      <c r="C241" s="74" t="s">
        <v>10834</v>
      </c>
      <c r="D241" s="709"/>
      <c r="E241" s="718"/>
      <c r="F241" s="752" t="s">
        <v>400</v>
      </c>
      <c r="G241" s="219" t="s">
        <v>398</v>
      </c>
      <c r="H241" s="50">
        <v>0.9</v>
      </c>
      <c r="I241" s="44"/>
      <c r="J241" s="218"/>
      <c r="K241" s="46"/>
      <c r="L241" s="35"/>
      <c r="N241" s="47">
        <f>ROUND((_11_A家事増７．５*_11・基礎２),0)</f>
        <v>945</v>
      </c>
      <c r="O241" s="48"/>
    </row>
    <row r="242" spans="1:15" ht="16.5" customHeight="1" x14ac:dyDescent="0.15">
      <c r="A242" s="41">
        <v>11</v>
      </c>
      <c r="B242" s="41">
        <v>6442</v>
      </c>
      <c r="C242" s="74" t="s">
        <v>10835</v>
      </c>
      <c r="D242" s="100">
        <f>_11_A家事増７．５</f>
        <v>1050</v>
      </c>
      <c r="E242" s="12" t="s">
        <v>392</v>
      </c>
      <c r="F242" s="711"/>
      <c r="G242" s="216"/>
      <c r="H242" s="38"/>
      <c r="I242" s="44" t="s">
        <v>397</v>
      </c>
      <c r="J242" s="247" t="s">
        <v>398</v>
      </c>
      <c r="K242" s="46">
        <v>1</v>
      </c>
      <c r="L242" s="43"/>
      <c r="M242" s="38"/>
      <c r="N242" s="47">
        <f>ROUND((ROUND((_11_A家事増７．５*_11・基礎２),0)*_11・２人),0)</f>
        <v>945</v>
      </c>
      <c r="O242" s="48"/>
    </row>
    <row r="243" spans="1:15" ht="16.5" customHeight="1" x14ac:dyDescent="0.15">
      <c r="A243" s="41">
        <v>11</v>
      </c>
      <c r="B243" s="41" t="s">
        <v>10836</v>
      </c>
      <c r="C243" s="74" t="s">
        <v>10837</v>
      </c>
      <c r="D243" s="72"/>
      <c r="F243" s="53"/>
      <c r="G243" s="49"/>
      <c r="H243" s="50"/>
      <c r="I243" s="44"/>
      <c r="J243" s="45"/>
      <c r="K243" s="46"/>
      <c r="L243" s="707" t="s">
        <v>404</v>
      </c>
      <c r="M243" s="708"/>
      <c r="N243" s="47">
        <f>ROUND((_11_A家事増７．５*_11・初任),0)</f>
        <v>735</v>
      </c>
      <c r="O243" s="48"/>
    </row>
    <row r="244" spans="1:15" ht="16.5" customHeight="1" x14ac:dyDescent="0.15">
      <c r="A244" s="41">
        <v>11</v>
      </c>
      <c r="B244" s="41" t="s">
        <v>10838</v>
      </c>
      <c r="C244" s="74" t="s">
        <v>10839</v>
      </c>
      <c r="D244" s="72"/>
      <c r="F244" s="43"/>
      <c r="G244" s="37"/>
      <c r="H244" s="38"/>
      <c r="I244" s="44" t="s">
        <v>397</v>
      </c>
      <c r="J244" s="218" t="s">
        <v>398</v>
      </c>
      <c r="K244" s="46">
        <v>1</v>
      </c>
      <c r="L244" s="709"/>
      <c r="M244" s="704"/>
      <c r="N244" s="47">
        <f>ROUND((ROUND((_11_A家事増７．５*_11・２人),0)*_11・初任),0)</f>
        <v>735</v>
      </c>
      <c r="O244" s="48"/>
    </row>
    <row r="245" spans="1:15" ht="16.5" customHeight="1" x14ac:dyDescent="0.15">
      <c r="A245" s="41">
        <v>11</v>
      </c>
      <c r="B245" s="41" t="s">
        <v>10840</v>
      </c>
      <c r="C245" s="74" t="s">
        <v>10841</v>
      </c>
      <c r="D245" s="72"/>
      <c r="F245" s="752" t="s">
        <v>400</v>
      </c>
      <c r="G245" s="219" t="s">
        <v>398</v>
      </c>
      <c r="H245" s="50">
        <v>0.9</v>
      </c>
      <c r="I245" s="44"/>
      <c r="J245" s="218"/>
      <c r="K245" s="46"/>
      <c r="L245" s="709"/>
      <c r="M245" s="704"/>
      <c r="N245" s="47">
        <f>ROUND((ROUND((_11_A家事増７．５*_11・基礎２),0)*_11・初任),0)</f>
        <v>662</v>
      </c>
      <c r="O245" s="48"/>
    </row>
    <row r="246" spans="1:15" ht="16.5" customHeight="1" x14ac:dyDescent="0.15">
      <c r="A246" s="41">
        <v>11</v>
      </c>
      <c r="B246" s="41" t="s">
        <v>10842</v>
      </c>
      <c r="C246" s="74" t="s">
        <v>10843</v>
      </c>
      <c r="D246" s="72"/>
      <c r="F246" s="711"/>
      <c r="G246" s="216"/>
      <c r="H246" s="38"/>
      <c r="I246" s="44" t="s">
        <v>397</v>
      </c>
      <c r="J246" s="247" t="s">
        <v>398</v>
      </c>
      <c r="K246" s="46">
        <v>1</v>
      </c>
      <c r="L246" s="240" t="s">
        <v>398</v>
      </c>
      <c r="M246" s="38">
        <f>_11・初任</f>
        <v>0.7</v>
      </c>
      <c r="N246" s="47">
        <f>ROUND((ROUND((ROUND((_11_A家事増７．５*_11・基礎２),0)*_11・２人),0)*_11・初任),0)</f>
        <v>662</v>
      </c>
      <c r="O246" s="48"/>
    </row>
    <row r="247" spans="1:15" ht="16.5" customHeight="1" x14ac:dyDescent="0.15">
      <c r="A247" s="41">
        <v>11</v>
      </c>
      <c r="B247" s="41">
        <v>8147</v>
      </c>
      <c r="C247" s="74" t="s">
        <v>10844</v>
      </c>
      <c r="D247" s="707" t="s">
        <v>10845</v>
      </c>
      <c r="E247" s="717"/>
      <c r="F247" s="53"/>
      <c r="G247" s="49"/>
      <c r="H247" s="50"/>
      <c r="I247" s="44"/>
      <c r="J247" s="45"/>
      <c r="K247" s="46"/>
      <c r="L247" s="53"/>
      <c r="M247" s="50"/>
      <c r="N247" s="47">
        <f>_11_A家事増７．７５</f>
        <v>1085</v>
      </c>
      <c r="O247" s="48"/>
    </row>
    <row r="248" spans="1:15" ht="16.5" customHeight="1" x14ac:dyDescent="0.15">
      <c r="A248" s="41">
        <v>11</v>
      </c>
      <c r="B248" s="41">
        <v>8148</v>
      </c>
      <c r="C248" s="74" t="s">
        <v>10846</v>
      </c>
      <c r="D248" s="709"/>
      <c r="E248" s="718"/>
      <c r="F248" s="43"/>
      <c r="G248" s="37"/>
      <c r="H248" s="38"/>
      <c r="I248" s="44" t="s">
        <v>397</v>
      </c>
      <c r="J248" s="218" t="s">
        <v>398</v>
      </c>
      <c r="K248" s="46">
        <v>1</v>
      </c>
      <c r="L248" s="35"/>
      <c r="N248" s="47">
        <f>ROUND((_11_A家事増７．７５*_11・２人),0)</f>
        <v>1085</v>
      </c>
      <c r="O248" s="48"/>
    </row>
    <row r="249" spans="1:15" ht="16.5" customHeight="1" x14ac:dyDescent="0.15">
      <c r="A249" s="41">
        <v>11</v>
      </c>
      <c r="B249" s="41">
        <v>8149</v>
      </c>
      <c r="C249" s="74" t="s">
        <v>10847</v>
      </c>
      <c r="D249" s="709"/>
      <c r="E249" s="718"/>
      <c r="F249" s="752" t="s">
        <v>400</v>
      </c>
      <c r="G249" s="219" t="s">
        <v>398</v>
      </c>
      <c r="H249" s="50">
        <v>0.9</v>
      </c>
      <c r="I249" s="44"/>
      <c r="J249" s="218"/>
      <c r="K249" s="46"/>
      <c r="L249" s="35"/>
      <c r="N249" s="47">
        <f>ROUND((_11_A家事増７．７５*_11・基礎２),0)</f>
        <v>977</v>
      </c>
      <c r="O249" s="48"/>
    </row>
    <row r="250" spans="1:15" ht="16.5" customHeight="1" x14ac:dyDescent="0.15">
      <c r="A250" s="41">
        <v>11</v>
      </c>
      <c r="B250" s="41">
        <v>8150</v>
      </c>
      <c r="C250" s="74" t="s">
        <v>10848</v>
      </c>
      <c r="D250" s="100">
        <f>_11_A家事増７．７５</f>
        <v>1085</v>
      </c>
      <c r="E250" s="12" t="s">
        <v>392</v>
      </c>
      <c r="F250" s="711"/>
      <c r="G250" s="216"/>
      <c r="H250" s="38"/>
      <c r="I250" s="44" t="s">
        <v>397</v>
      </c>
      <c r="J250" s="247" t="s">
        <v>398</v>
      </c>
      <c r="K250" s="46">
        <v>1</v>
      </c>
      <c r="L250" s="43"/>
      <c r="M250" s="38"/>
      <c r="N250" s="47">
        <f>ROUND((ROUND((_11_A家事増７．７５*_11・基礎２),0)*_11・２人),0)</f>
        <v>977</v>
      </c>
      <c r="O250" s="48"/>
    </row>
    <row r="251" spans="1:15" ht="16.5" customHeight="1" x14ac:dyDescent="0.15">
      <c r="A251" s="41">
        <v>11</v>
      </c>
      <c r="B251" s="41" t="s">
        <v>10849</v>
      </c>
      <c r="C251" s="74" t="s">
        <v>10850</v>
      </c>
      <c r="D251" s="72"/>
      <c r="F251" s="53"/>
      <c r="G251" s="49"/>
      <c r="H251" s="50"/>
      <c r="I251" s="44"/>
      <c r="J251" s="45"/>
      <c r="K251" s="46"/>
      <c r="L251" s="707" t="s">
        <v>404</v>
      </c>
      <c r="M251" s="708"/>
      <c r="N251" s="47">
        <f>ROUND((_11_A家事増７．７５*_11・初任),0)</f>
        <v>760</v>
      </c>
      <c r="O251" s="48"/>
    </row>
    <row r="252" spans="1:15" ht="16.5" customHeight="1" x14ac:dyDescent="0.15">
      <c r="A252" s="41">
        <v>11</v>
      </c>
      <c r="B252" s="41" t="s">
        <v>10851</v>
      </c>
      <c r="C252" s="74" t="s">
        <v>10852</v>
      </c>
      <c r="D252" s="72"/>
      <c r="F252" s="43"/>
      <c r="G252" s="37"/>
      <c r="H252" s="38"/>
      <c r="I252" s="44" t="s">
        <v>397</v>
      </c>
      <c r="J252" s="218" t="s">
        <v>398</v>
      </c>
      <c r="K252" s="46">
        <v>1</v>
      </c>
      <c r="L252" s="709"/>
      <c r="M252" s="704"/>
      <c r="N252" s="47">
        <f>ROUND((ROUND((_11_A家事増７．７５*_11・２人),0)*_11・初任),0)</f>
        <v>760</v>
      </c>
      <c r="O252" s="48"/>
    </row>
    <row r="253" spans="1:15" ht="16.5" customHeight="1" x14ac:dyDescent="0.15">
      <c r="A253" s="41">
        <v>11</v>
      </c>
      <c r="B253" s="41" t="s">
        <v>10853</v>
      </c>
      <c r="C253" s="74" t="s">
        <v>10854</v>
      </c>
      <c r="D253" s="72"/>
      <c r="F253" s="752" t="s">
        <v>400</v>
      </c>
      <c r="G253" s="219" t="s">
        <v>398</v>
      </c>
      <c r="H253" s="50">
        <v>0.9</v>
      </c>
      <c r="I253" s="44"/>
      <c r="J253" s="218"/>
      <c r="K253" s="46"/>
      <c r="L253" s="709"/>
      <c r="M253" s="704"/>
      <c r="N253" s="47">
        <f>ROUND((ROUND((_11_A家事増７．７５*_11・基礎２),0)*_11・初任),0)</f>
        <v>684</v>
      </c>
      <c r="O253" s="48"/>
    </row>
    <row r="254" spans="1:15" ht="16.5" customHeight="1" x14ac:dyDescent="0.15">
      <c r="A254" s="41">
        <v>11</v>
      </c>
      <c r="B254" s="41" t="s">
        <v>10855</v>
      </c>
      <c r="C254" s="74" t="s">
        <v>10856</v>
      </c>
      <c r="D254" s="72"/>
      <c r="F254" s="711"/>
      <c r="G254" s="216"/>
      <c r="H254" s="38"/>
      <c r="I254" s="44" t="s">
        <v>397</v>
      </c>
      <c r="J254" s="247" t="s">
        <v>398</v>
      </c>
      <c r="K254" s="46">
        <v>1</v>
      </c>
      <c r="L254" s="240" t="s">
        <v>398</v>
      </c>
      <c r="M254" s="38">
        <f>_11・初任</f>
        <v>0.7</v>
      </c>
      <c r="N254" s="47">
        <f>ROUND((ROUND((ROUND((_11_A家事増７．７５*_11・基礎２),0)*_11・２人),0)*_11・初任),0)</f>
        <v>684</v>
      </c>
      <c r="O254" s="48"/>
    </row>
    <row r="255" spans="1:15" ht="16.5" customHeight="1" x14ac:dyDescent="0.15">
      <c r="A255" s="41">
        <v>11</v>
      </c>
      <c r="B255" s="41">
        <v>6443</v>
      </c>
      <c r="C255" s="74" t="s">
        <v>10857</v>
      </c>
      <c r="D255" s="707" t="s">
        <v>10858</v>
      </c>
      <c r="E255" s="717"/>
      <c r="F255" s="53"/>
      <c r="G255" s="49"/>
      <c r="H255" s="50"/>
      <c r="I255" s="44"/>
      <c r="J255" s="45"/>
      <c r="K255" s="46"/>
      <c r="L255" s="53"/>
      <c r="M255" s="50"/>
      <c r="N255" s="47">
        <f>_11_A家事増８．０</f>
        <v>1120</v>
      </c>
      <c r="O255" s="48"/>
    </row>
    <row r="256" spans="1:15" ht="16.5" customHeight="1" x14ac:dyDescent="0.15">
      <c r="A256" s="41">
        <v>11</v>
      </c>
      <c r="B256" s="41">
        <v>6444</v>
      </c>
      <c r="C256" s="74" t="s">
        <v>10859</v>
      </c>
      <c r="D256" s="709"/>
      <c r="E256" s="718"/>
      <c r="F256" s="43"/>
      <c r="G256" s="37"/>
      <c r="H256" s="38"/>
      <c r="I256" s="44" t="s">
        <v>397</v>
      </c>
      <c r="J256" s="218" t="s">
        <v>398</v>
      </c>
      <c r="K256" s="46">
        <v>1</v>
      </c>
      <c r="L256" s="35"/>
      <c r="N256" s="47">
        <f>ROUND((_11_A家事増８．０*_11・２人),0)</f>
        <v>1120</v>
      </c>
      <c r="O256" s="48"/>
    </row>
    <row r="257" spans="1:15" ht="16.5" customHeight="1" x14ac:dyDescent="0.15">
      <c r="A257" s="41">
        <v>11</v>
      </c>
      <c r="B257" s="41">
        <v>6445</v>
      </c>
      <c r="C257" s="74" t="s">
        <v>10860</v>
      </c>
      <c r="D257" s="709"/>
      <c r="E257" s="718"/>
      <c r="F257" s="752" t="s">
        <v>400</v>
      </c>
      <c r="G257" s="219" t="s">
        <v>398</v>
      </c>
      <c r="H257" s="50">
        <v>0.9</v>
      </c>
      <c r="I257" s="44"/>
      <c r="J257" s="218"/>
      <c r="K257" s="46"/>
      <c r="L257" s="35"/>
      <c r="N257" s="47">
        <f>ROUND((_11_A家事増８．０*_11・基礎２),0)</f>
        <v>1008</v>
      </c>
      <c r="O257" s="48"/>
    </row>
    <row r="258" spans="1:15" ht="16.5" customHeight="1" x14ac:dyDescent="0.15">
      <c r="A258" s="41">
        <v>11</v>
      </c>
      <c r="B258" s="41">
        <v>6446</v>
      </c>
      <c r="C258" s="74" t="s">
        <v>10861</v>
      </c>
      <c r="D258" s="100">
        <f>_11_A家事増８．０</f>
        <v>1120</v>
      </c>
      <c r="E258" s="12" t="s">
        <v>392</v>
      </c>
      <c r="F258" s="711"/>
      <c r="G258" s="216"/>
      <c r="H258" s="38"/>
      <c r="I258" s="44" t="s">
        <v>397</v>
      </c>
      <c r="J258" s="247" t="s">
        <v>398</v>
      </c>
      <c r="K258" s="46">
        <v>1</v>
      </c>
      <c r="L258" s="43"/>
      <c r="M258" s="38"/>
      <c r="N258" s="47">
        <f>ROUND((ROUND((_11_A家事増８．０*_11・基礎２),0)*_11・２人),0)</f>
        <v>1008</v>
      </c>
      <c r="O258" s="48"/>
    </row>
    <row r="259" spans="1:15" ht="16.5" customHeight="1" x14ac:dyDescent="0.15">
      <c r="A259" s="41">
        <v>11</v>
      </c>
      <c r="B259" s="41" t="s">
        <v>10862</v>
      </c>
      <c r="C259" s="74" t="s">
        <v>10863</v>
      </c>
      <c r="D259" s="72"/>
      <c r="F259" s="53"/>
      <c r="G259" s="49"/>
      <c r="H259" s="50"/>
      <c r="I259" s="44"/>
      <c r="J259" s="45"/>
      <c r="K259" s="46"/>
      <c r="L259" s="707" t="s">
        <v>404</v>
      </c>
      <c r="M259" s="708"/>
      <c r="N259" s="47">
        <f>ROUND((_11_A家事増８．０*_11・初任),0)</f>
        <v>784</v>
      </c>
      <c r="O259" s="48"/>
    </row>
    <row r="260" spans="1:15" ht="16.5" customHeight="1" x14ac:dyDescent="0.15">
      <c r="A260" s="41">
        <v>11</v>
      </c>
      <c r="B260" s="41" t="s">
        <v>10864</v>
      </c>
      <c r="C260" s="74" t="s">
        <v>10865</v>
      </c>
      <c r="D260" s="72"/>
      <c r="F260" s="43"/>
      <c r="G260" s="37"/>
      <c r="H260" s="38"/>
      <c r="I260" s="44" t="s">
        <v>397</v>
      </c>
      <c r="J260" s="218" t="s">
        <v>398</v>
      </c>
      <c r="K260" s="46">
        <v>1</v>
      </c>
      <c r="L260" s="709"/>
      <c r="M260" s="704"/>
      <c r="N260" s="47">
        <f>ROUND((ROUND((_11_A家事増８．０*_11・２人),0)*_11・初任),0)</f>
        <v>784</v>
      </c>
      <c r="O260" s="48"/>
    </row>
    <row r="261" spans="1:15" ht="16.5" customHeight="1" x14ac:dyDescent="0.15">
      <c r="A261" s="41">
        <v>11</v>
      </c>
      <c r="B261" s="41" t="s">
        <v>10866</v>
      </c>
      <c r="C261" s="74" t="s">
        <v>10867</v>
      </c>
      <c r="D261" s="72"/>
      <c r="F261" s="752" t="s">
        <v>400</v>
      </c>
      <c r="G261" s="219" t="s">
        <v>398</v>
      </c>
      <c r="H261" s="50">
        <v>0.9</v>
      </c>
      <c r="I261" s="44"/>
      <c r="J261" s="218"/>
      <c r="K261" s="46"/>
      <c r="L261" s="709"/>
      <c r="M261" s="704"/>
      <c r="N261" s="47">
        <f>ROUND((ROUND((_11_A家事増８．０*_11・基礎２),0)*_11・初任),0)</f>
        <v>706</v>
      </c>
      <c r="O261" s="48"/>
    </row>
    <row r="262" spans="1:15" ht="16.5" customHeight="1" x14ac:dyDescent="0.15">
      <c r="A262" s="41">
        <v>11</v>
      </c>
      <c r="B262" s="41" t="s">
        <v>10868</v>
      </c>
      <c r="C262" s="74" t="s">
        <v>10869</v>
      </c>
      <c r="D262" s="72"/>
      <c r="F262" s="711"/>
      <c r="G262" s="216"/>
      <c r="H262" s="38"/>
      <c r="I262" s="44" t="s">
        <v>397</v>
      </c>
      <c r="J262" s="247" t="s">
        <v>398</v>
      </c>
      <c r="K262" s="46">
        <v>1</v>
      </c>
      <c r="L262" s="240" t="s">
        <v>398</v>
      </c>
      <c r="M262" s="38">
        <f>_11・初任</f>
        <v>0.7</v>
      </c>
      <c r="N262" s="47">
        <f>ROUND((ROUND((ROUND((_11_A家事増８．０*_11・基礎２),0)*_11・２人),0)*_11・初任),0)</f>
        <v>706</v>
      </c>
      <c r="O262" s="48"/>
    </row>
    <row r="263" spans="1:15" ht="16.5" customHeight="1" x14ac:dyDescent="0.15">
      <c r="A263" s="41">
        <v>11</v>
      </c>
      <c r="B263" s="41">
        <v>8151</v>
      </c>
      <c r="C263" s="74" t="s">
        <v>10870</v>
      </c>
      <c r="D263" s="707" t="s">
        <v>10871</v>
      </c>
      <c r="E263" s="717"/>
      <c r="F263" s="53"/>
      <c r="G263" s="49"/>
      <c r="H263" s="50"/>
      <c r="I263" s="44"/>
      <c r="J263" s="45"/>
      <c r="K263" s="46"/>
      <c r="L263" s="53"/>
      <c r="M263" s="50"/>
      <c r="N263" s="47">
        <f>_11_A家事増８．２５</f>
        <v>1155</v>
      </c>
      <c r="O263" s="48"/>
    </row>
    <row r="264" spans="1:15" ht="16.5" customHeight="1" x14ac:dyDescent="0.15">
      <c r="A264" s="41">
        <v>11</v>
      </c>
      <c r="B264" s="41">
        <v>8152</v>
      </c>
      <c r="C264" s="74" t="s">
        <v>10872</v>
      </c>
      <c r="D264" s="709"/>
      <c r="E264" s="718"/>
      <c r="F264" s="43"/>
      <c r="G264" s="37"/>
      <c r="H264" s="38"/>
      <c r="I264" s="44" t="s">
        <v>397</v>
      </c>
      <c r="J264" s="218" t="s">
        <v>398</v>
      </c>
      <c r="K264" s="46">
        <v>1</v>
      </c>
      <c r="L264" s="35"/>
      <c r="N264" s="47">
        <f>ROUND((_11_A家事増８．２５*_11・２人),0)</f>
        <v>1155</v>
      </c>
      <c r="O264" s="48"/>
    </row>
    <row r="265" spans="1:15" ht="16.5" customHeight="1" x14ac:dyDescent="0.15">
      <c r="A265" s="41">
        <v>11</v>
      </c>
      <c r="B265" s="41">
        <v>8153</v>
      </c>
      <c r="C265" s="74" t="s">
        <v>10873</v>
      </c>
      <c r="D265" s="709"/>
      <c r="E265" s="718"/>
      <c r="F265" s="752" t="s">
        <v>400</v>
      </c>
      <c r="G265" s="219" t="s">
        <v>398</v>
      </c>
      <c r="H265" s="50">
        <v>0.9</v>
      </c>
      <c r="I265" s="44"/>
      <c r="J265" s="218"/>
      <c r="K265" s="46"/>
      <c r="L265" s="35"/>
      <c r="N265" s="47">
        <f>ROUND((_11_A家事増８．２５*_11・基礎２),0)</f>
        <v>1040</v>
      </c>
      <c r="O265" s="48"/>
    </row>
    <row r="266" spans="1:15" ht="16.5" customHeight="1" x14ac:dyDescent="0.15">
      <c r="A266" s="41">
        <v>11</v>
      </c>
      <c r="B266" s="41">
        <v>8154</v>
      </c>
      <c r="C266" s="74" t="s">
        <v>10874</v>
      </c>
      <c r="D266" s="100">
        <f>_11_A家事増８．２５</f>
        <v>1155</v>
      </c>
      <c r="E266" s="12" t="s">
        <v>392</v>
      </c>
      <c r="F266" s="711"/>
      <c r="G266" s="216"/>
      <c r="H266" s="38"/>
      <c r="I266" s="44" t="s">
        <v>397</v>
      </c>
      <c r="J266" s="247" t="s">
        <v>398</v>
      </c>
      <c r="K266" s="46">
        <v>1</v>
      </c>
      <c r="L266" s="43"/>
      <c r="M266" s="38"/>
      <c r="N266" s="47">
        <f>ROUND((ROUND((_11_A家事増８．２５*_11・基礎２),0)*_11・２人),0)</f>
        <v>1040</v>
      </c>
      <c r="O266" s="48"/>
    </row>
    <row r="267" spans="1:15" ht="16.5" customHeight="1" x14ac:dyDescent="0.15">
      <c r="A267" s="41">
        <v>11</v>
      </c>
      <c r="B267" s="41" t="s">
        <v>10875</v>
      </c>
      <c r="C267" s="74" t="s">
        <v>10876</v>
      </c>
      <c r="D267" s="72"/>
      <c r="F267" s="53"/>
      <c r="G267" s="49"/>
      <c r="H267" s="50"/>
      <c r="I267" s="44"/>
      <c r="J267" s="45"/>
      <c r="K267" s="46"/>
      <c r="L267" s="707" t="s">
        <v>404</v>
      </c>
      <c r="M267" s="708"/>
      <c r="N267" s="47">
        <f>ROUND((_11_A家事増８．２５*_11・初任),0)</f>
        <v>809</v>
      </c>
      <c r="O267" s="48"/>
    </row>
    <row r="268" spans="1:15" ht="16.5" customHeight="1" x14ac:dyDescent="0.15">
      <c r="A268" s="41">
        <v>11</v>
      </c>
      <c r="B268" s="41" t="s">
        <v>10877</v>
      </c>
      <c r="C268" s="74" t="s">
        <v>10878</v>
      </c>
      <c r="D268" s="72"/>
      <c r="F268" s="43"/>
      <c r="G268" s="37"/>
      <c r="H268" s="38"/>
      <c r="I268" s="44" t="s">
        <v>397</v>
      </c>
      <c r="J268" s="218" t="s">
        <v>398</v>
      </c>
      <c r="K268" s="46">
        <v>1</v>
      </c>
      <c r="L268" s="709"/>
      <c r="M268" s="704"/>
      <c r="N268" s="47">
        <f>ROUND((ROUND((_11_A家事増８．２５*_11・２人),0)*_11・初任),0)</f>
        <v>809</v>
      </c>
      <c r="O268" s="48"/>
    </row>
    <row r="269" spans="1:15" ht="16.5" customHeight="1" x14ac:dyDescent="0.15">
      <c r="A269" s="41">
        <v>11</v>
      </c>
      <c r="B269" s="41" t="s">
        <v>10879</v>
      </c>
      <c r="C269" s="74" t="s">
        <v>10880</v>
      </c>
      <c r="D269" s="72"/>
      <c r="F269" s="752" t="s">
        <v>400</v>
      </c>
      <c r="G269" s="219" t="s">
        <v>398</v>
      </c>
      <c r="H269" s="50">
        <v>0.9</v>
      </c>
      <c r="I269" s="44"/>
      <c r="J269" s="218"/>
      <c r="K269" s="46"/>
      <c r="L269" s="709"/>
      <c r="M269" s="704"/>
      <c r="N269" s="47">
        <f>ROUND((ROUND((_11_A家事増８．２５*_11・基礎２),0)*_11・初任),0)</f>
        <v>728</v>
      </c>
      <c r="O269" s="48"/>
    </row>
    <row r="270" spans="1:15" ht="16.5" customHeight="1" x14ac:dyDescent="0.15">
      <c r="A270" s="41">
        <v>11</v>
      </c>
      <c r="B270" s="41" t="s">
        <v>10881</v>
      </c>
      <c r="C270" s="74" t="s">
        <v>10882</v>
      </c>
      <c r="D270" s="72"/>
      <c r="F270" s="711"/>
      <c r="G270" s="216"/>
      <c r="H270" s="38"/>
      <c r="I270" s="44" t="s">
        <v>397</v>
      </c>
      <c r="J270" s="247" t="s">
        <v>398</v>
      </c>
      <c r="K270" s="46">
        <v>1</v>
      </c>
      <c r="L270" s="240" t="s">
        <v>398</v>
      </c>
      <c r="M270" s="38">
        <f>_11・初任</f>
        <v>0.7</v>
      </c>
      <c r="N270" s="47">
        <f>ROUND((ROUND((ROUND((_11_A家事増８．２５*_11・基礎２),0)*_11・２人),0)*_11・初任),0)</f>
        <v>728</v>
      </c>
      <c r="O270" s="48"/>
    </row>
    <row r="271" spans="1:15" ht="16.5" customHeight="1" x14ac:dyDescent="0.15">
      <c r="A271" s="41">
        <v>11</v>
      </c>
      <c r="B271" s="41">
        <v>6447</v>
      </c>
      <c r="C271" s="74" t="s">
        <v>10883</v>
      </c>
      <c r="D271" s="707" t="s">
        <v>10884</v>
      </c>
      <c r="E271" s="717"/>
      <c r="F271" s="53"/>
      <c r="G271" s="49"/>
      <c r="H271" s="50"/>
      <c r="I271" s="44"/>
      <c r="J271" s="45"/>
      <c r="K271" s="46"/>
      <c r="L271" s="53"/>
      <c r="M271" s="50"/>
      <c r="N271" s="47">
        <f>_11_A家事増８．５</f>
        <v>1190</v>
      </c>
      <c r="O271" s="48"/>
    </row>
    <row r="272" spans="1:15" ht="16.5" customHeight="1" x14ac:dyDescent="0.15">
      <c r="A272" s="41">
        <v>11</v>
      </c>
      <c r="B272" s="41">
        <v>6448</v>
      </c>
      <c r="C272" s="74" t="s">
        <v>10885</v>
      </c>
      <c r="D272" s="709"/>
      <c r="E272" s="718"/>
      <c r="F272" s="43"/>
      <c r="G272" s="37"/>
      <c r="H272" s="38"/>
      <c r="I272" s="44" t="s">
        <v>397</v>
      </c>
      <c r="J272" s="218" t="s">
        <v>398</v>
      </c>
      <c r="K272" s="46">
        <v>1</v>
      </c>
      <c r="L272" s="35"/>
      <c r="N272" s="47">
        <f>ROUND((_11_A家事増８．５*_11・２人),0)</f>
        <v>1190</v>
      </c>
      <c r="O272" s="48"/>
    </row>
    <row r="273" spans="1:15" ht="16.5" customHeight="1" x14ac:dyDescent="0.15">
      <c r="A273" s="41">
        <v>11</v>
      </c>
      <c r="B273" s="41">
        <v>6449</v>
      </c>
      <c r="C273" s="74" t="s">
        <v>10886</v>
      </c>
      <c r="D273" s="709"/>
      <c r="E273" s="718"/>
      <c r="F273" s="752" t="s">
        <v>400</v>
      </c>
      <c r="G273" s="219" t="s">
        <v>398</v>
      </c>
      <c r="H273" s="50">
        <v>0.9</v>
      </c>
      <c r="I273" s="44"/>
      <c r="J273" s="218"/>
      <c r="K273" s="46"/>
      <c r="L273" s="35"/>
      <c r="N273" s="47">
        <f>ROUND((_11_A家事増８．５*_11・基礎２),0)</f>
        <v>1071</v>
      </c>
      <c r="O273" s="48"/>
    </row>
    <row r="274" spans="1:15" ht="16.5" customHeight="1" x14ac:dyDescent="0.15">
      <c r="A274" s="41">
        <v>11</v>
      </c>
      <c r="B274" s="41">
        <v>6450</v>
      </c>
      <c r="C274" s="74" t="s">
        <v>10887</v>
      </c>
      <c r="D274" s="100">
        <f>_11_A家事増８．５</f>
        <v>1190</v>
      </c>
      <c r="E274" s="12" t="s">
        <v>392</v>
      </c>
      <c r="F274" s="711"/>
      <c r="G274" s="216"/>
      <c r="H274" s="38"/>
      <c r="I274" s="44" t="s">
        <v>397</v>
      </c>
      <c r="J274" s="247" t="s">
        <v>398</v>
      </c>
      <c r="K274" s="46">
        <v>1</v>
      </c>
      <c r="L274" s="43"/>
      <c r="M274" s="38"/>
      <c r="N274" s="47">
        <f>ROUND((ROUND((_11_A家事増８．５*_11・基礎２),0)*_11・２人),0)</f>
        <v>1071</v>
      </c>
      <c r="O274" s="48"/>
    </row>
    <row r="275" spans="1:15" ht="16.5" customHeight="1" x14ac:dyDescent="0.15">
      <c r="A275" s="41">
        <v>11</v>
      </c>
      <c r="B275" s="41" t="s">
        <v>10888</v>
      </c>
      <c r="C275" s="74" t="s">
        <v>10889</v>
      </c>
      <c r="D275" s="72"/>
      <c r="F275" s="53"/>
      <c r="G275" s="49"/>
      <c r="H275" s="50"/>
      <c r="I275" s="44"/>
      <c r="J275" s="45"/>
      <c r="K275" s="46"/>
      <c r="L275" s="707" t="s">
        <v>404</v>
      </c>
      <c r="M275" s="708"/>
      <c r="N275" s="47">
        <f>ROUND((_11_A家事増８．５*_11・初任),0)</f>
        <v>833</v>
      </c>
      <c r="O275" s="48"/>
    </row>
    <row r="276" spans="1:15" ht="16.5" customHeight="1" x14ac:dyDescent="0.15">
      <c r="A276" s="41">
        <v>11</v>
      </c>
      <c r="B276" s="41" t="s">
        <v>10890</v>
      </c>
      <c r="C276" s="74" t="s">
        <v>10891</v>
      </c>
      <c r="D276" s="72"/>
      <c r="F276" s="43"/>
      <c r="G276" s="37"/>
      <c r="H276" s="38"/>
      <c r="I276" s="44" t="s">
        <v>397</v>
      </c>
      <c r="J276" s="218" t="s">
        <v>398</v>
      </c>
      <c r="K276" s="46">
        <v>1</v>
      </c>
      <c r="L276" s="709"/>
      <c r="M276" s="704"/>
      <c r="N276" s="47">
        <f>ROUND((ROUND((_11_A家事増８．５*_11・２人),0)*_11・初任),0)</f>
        <v>833</v>
      </c>
      <c r="O276" s="48"/>
    </row>
    <row r="277" spans="1:15" ht="16.5" customHeight="1" x14ac:dyDescent="0.15">
      <c r="A277" s="41">
        <v>11</v>
      </c>
      <c r="B277" s="41" t="s">
        <v>10892</v>
      </c>
      <c r="C277" s="74" t="s">
        <v>10893</v>
      </c>
      <c r="D277" s="72"/>
      <c r="F277" s="752" t="s">
        <v>400</v>
      </c>
      <c r="G277" s="219" t="s">
        <v>398</v>
      </c>
      <c r="H277" s="50">
        <v>0.9</v>
      </c>
      <c r="I277" s="44"/>
      <c r="J277" s="218"/>
      <c r="K277" s="46"/>
      <c r="L277" s="709"/>
      <c r="M277" s="704"/>
      <c r="N277" s="47">
        <f>ROUND((ROUND((_11_A家事増８．５*_11・基礎２),0)*_11・初任),0)</f>
        <v>750</v>
      </c>
      <c r="O277" s="48"/>
    </row>
    <row r="278" spans="1:15" ht="16.5" customHeight="1" x14ac:dyDescent="0.15">
      <c r="A278" s="41">
        <v>11</v>
      </c>
      <c r="B278" s="41" t="s">
        <v>10894</v>
      </c>
      <c r="C278" s="74" t="s">
        <v>10895</v>
      </c>
      <c r="D278" s="72"/>
      <c r="F278" s="711"/>
      <c r="G278" s="216"/>
      <c r="H278" s="38"/>
      <c r="I278" s="44" t="s">
        <v>397</v>
      </c>
      <c r="J278" s="247" t="s">
        <v>398</v>
      </c>
      <c r="K278" s="46">
        <v>1</v>
      </c>
      <c r="L278" s="240" t="s">
        <v>398</v>
      </c>
      <c r="M278" s="38">
        <f>_11・初任</f>
        <v>0.7</v>
      </c>
      <c r="N278" s="47">
        <f>ROUND((ROUND((ROUND((_11_A家事増８．５*_11・基礎２),0)*_11・２人),0)*_11・初任),0)</f>
        <v>750</v>
      </c>
      <c r="O278" s="48"/>
    </row>
    <row r="279" spans="1:15" ht="16.5" customHeight="1" x14ac:dyDescent="0.15">
      <c r="A279" s="41">
        <v>11</v>
      </c>
      <c r="B279" s="41">
        <v>8155</v>
      </c>
      <c r="C279" s="74" t="s">
        <v>10896</v>
      </c>
      <c r="D279" s="707" t="s">
        <v>10897</v>
      </c>
      <c r="E279" s="717"/>
      <c r="F279" s="53"/>
      <c r="G279" s="49"/>
      <c r="H279" s="50"/>
      <c r="I279" s="44"/>
      <c r="J279" s="45"/>
      <c r="K279" s="46"/>
      <c r="L279" s="53"/>
      <c r="M279" s="50"/>
      <c r="N279" s="47">
        <f>_11_A家事増８．７５</f>
        <v>1225</v>
      </c>
      <c r="O279" s="48"/>
    </row>
    <row r="280" spans="1:15" ht="16.5" customHeight="1" x14ac:dyDescent="0.15">
      <c r="A280" s="41">
        <v>11</v>
      </c>
      <c r="B280" s="41">
        <v>8156</v>
      </c>
      <c r="C280" s="74" t="s">
        <v>10898</v>
      </c>
      <c r="D280" s="709"/>
      <c r="E280" s="718"/>
      <c r="F280" s="43"/>
      <c r="G280" s="37"/>
      <c r="H280" s="38"/>
      <c r="I280" s="44" t="s">
        <v>397</v>
      </c>
      <c r="J280" s="218" t="s">
        <v>398</v>
      </c>
      <c r="K280" s="46">
        <v>1</v>
      </c>
      <c r="L280" s="35"/>
      <c r="N280" s="47">
        <f>ROUND((_11_A家事増８．７５*_11・２人),0)</f>
        <v>1225</v>
      </c>
      <c r="O280" s="48"/>
    </row>
    <row r="281" spans="1:15" ht="16.5" customHeight="1" x14ac:dyDescent="0.15">
      <c r="A281" s="41">
        <v>11</v>
      </c>
      <c r="B281" s="41">
        <v>8157</v>
      </c>
      <c r="C281" s="74" t="s">
        <v>10899</v>
      </c>
      <c r="D281" s="709"/>
      <c r="E281" s="718"/>
      <c r="F281" s="752" t="s">
        <v>400</v>
      </c>
      <c r="G281" s="219" t="s">
        <v>398</v>
      </c>
      <c r="H281" s="50">
        <v>0.9</v>
      </c>
      <c r="I281" s="44"/>
      <c r="J281" s="218"/>
      <c r="K281" s="46"/>
      <c r="L281" s="35"/>
      <c r="N281" s="47">
        <f>ROUND((_11_A家事増８．７５*_11・基礎２),0)</f>
        <v>1103</v>
      </c>
      <c r="O281" s="48"/>
    </row>
    <row r="282" spans="1:15" ht="16.5" customHeight="1" x14ac:dyDescent="0.15">
      <c r="A282" s="41">
        <v>11</v>
      </c>
      <c r="B282" s="41">
        <v>8158</v>
      </c>
      <c r="C282" s="74" t="s">
        <v>10900</v>
      </c>
      <c r="D282" s="100">
        <f>_11_A家事増８．７５</f>
        <v>1225</v>
      </c>
      <c r="E282" s="12" t="s">
        <v>392</v>
      </c>
      <c r="F282" s="711"/>
      <c r="G282" s="216"/>
      <c r="H282" s="38"/>
      <c r="I282" s="44" t="s">
        <v>397</v>
      </c>
      <c r="J282" s="247" t="s">
        <v>398</v>
      </c>
      <c r="K282" s="46">
        <v>1</v>
      </c>
      <c r="L282" s="43"/>
      <c r="M282" s="38"/>
      <c r="N282" s="47">
        <f>ROUND((ROUND((_11_A家事増８．７５*_11・基礎２),0)*_11・２人),0)</f>
        <v>1103</v>
      </c>
      <c r="O282" s="48"/>
    </row>
    <row r="283" spans="1:15" ht="16.5" customHeight="1" x14ac:dyDescent="0.15">
      <c r="A283" s="41">
        <v>11</v>
      </c>
      <c r="B283" s="41" t="s">
        <v>10901</v>
      </c>
      <c r="C283" s="74" t="s">
        <v>10902</v>
      </c>
      <c r="D283" s="72"/>
      <c r="F283" s="53"/>
      <c r="G283" s="49"/>
      <c r="H283" s="50"/>
      <c r="I283" s="44"/>
      <c r="J283" s="45"/>
      <c r="K283" s="46"/>
      <c r="L283" s="707" t="s">
        <v>404</v>
      </c>
      <c r="M283" s="708"/>
      <c r="N283" s="47">
        <f>ROUND((_11_A家事増８．７５*_11・初任),0)</f>
        <v>858</v>
      </c>
      <c r="O283" s="48"/>
    </row>
    <row r="284" spans="1:15" ht="16.5" customHeight="1" x14ac:dyDescent="0.15">
      <c r="A284" s="41">
        <v>11</v>
      </c>
      <c r="B284" s="41" t="s">
        <v>10903</v>
      </c>
      <c r="C284" s="74" t="s">
        <v>10904</v>
      </c>
      <c r="D284" s="72"/>
      <c r="F284" s="43"/>
      <c r="G284" s="37"/>
      <c r="H284" s="38"/>
      <c r="I284" s="44" t="s">
        <v>397</v>
      </c>
      <c r="J284" s="218" t="s">
        <v>398</v>
      </c>
      <c r="K284" s="46">
        <v>1</v>
      </c>
      <c r="L284" s="709"/>
      <c r="M284" s="704"/>
      <c r="N284" s="47">
        <f>ROUND((ROUND((_11_A家事増８．７５*_11・２人),0)*_11・初任),0)</f>
        <v>858</v>
      </c>
      <c r="O284" s="48"/>
    </row>
    <row r="285" spans="1:15" ht="16.5" customHeight="1" x14ac:dyDescent="0.15">
      <c r="A285" s="41">
        <v>11</v>
      </c>
      <c r="B285" s="41" t="s">
        <v>10905</v>
      </c>
      <c r="C285" s="74" t="s">
        <v>10906</v>
      </c>
      <c r="D285" s="72"/>
      <c r="F285" s="752" t="s">
        <v>400</v>
      </c>
      <c r="G285" s="219" t="s">
        <v>398</v>
      </c>
      <c r="H285" s="50">
        <v>0.9</v>
      </c>
      <c r="I285" s="44"/>
      <c r="J285" s="218"/>
      <c r="K285" s="46"/>
      <c r="L285" s="709"/>
      <c r="M285" s="704"/>
      <c r="N285" s="47">
        <f>ROUND((ROUND((_11_A家事増８．７５*_11・基礎２),0)*_11・初任),0)</f>
        <v>772</v>
      </c>
      <c r="O285" s="48"/>
    </row>
    <row r="286" spans="1:15" ht="16.5" customHeight="1" x14ac:dyDescent="0.15">
      <c r="A286" s="41">
        <v>11</v>
      </c>
      <c r="B286" s="41" t="s">
        <v>10907</v>
      </c>
      <c r="C286" s="74" t="s">
        <v>10908</v>
      </c>
      <c r="D286" s="72"/>
      <c r="F286" s="711"/>
      <c r="G286" s="216"/>
      <c r="H286" s="38"/>
      <c r="I286" s="44" t="s">
        <v>397</v>
      </c>
      <c r="J286" s="247" t="s">
        <v>398</v>
      </c>
      <c r="K286" s="46">
        <v>1</v>
      </c>
      <c r="L286" s="240" t="s">
        <v>398</v>
      </c>
      <c r="M286" s="38">
        <f>_11・初任</f>
        <v>0.7</v>
      </c>
      <c r="N286" s="47">
        <f>ROUND((ROUND((ROUND((_11_A家事増８．７５*_11・基礎２),0)*_11・２人),0)*_11・初任),0)</f>
        <v>772</v>
      </c>
      <c r="O286" s="48"/>
    </row>
    <row r="287" spans="1:15" ht="16.5" customHeight="1" x14ac:dyDescent="0.15">
      <c r="A287" s="41">
        <v>11</v>
      </c>
      <c r="B287" s="41">
        <v>6451</v>
      </c>
      <c r="C287" s="74" t="s">
        <v>10909</v>
      </c>
      <c r="D287" s="707" t="s">
        <v>10910</v>
      </c>
      <c r="E287" s="717"/>
      <c r="F287" s="53"/>
      <c r="G287" s="49"/>
      <c r="H287" s="50"/>
      <c r="I287" s="44"/>
      <c r="J287" s="45"/>
      <c r="K287" s="46"/>
      <c r="L287" s="53"/>
      <c r="M287" s="50"/>
      <c r="N287" s="47">
        <f>_11_A家事増９．０</f>
        <v>1260</v>
      </c>
      <c r="O287" s="48"/>
    </row>
    <row r="288" spans="1:15" ht="16.5" customHeight="1" x14ac:dyDescent="0.15">
      <c r="A288" s="41">
        <v>11</v>
      </c>
      <c r="B288" s="41">
        <v>6452</v>
      </c>
      <c r="C288" s="74" t="s">
        <v>10911</v>
      </c>
      <c r="D288" s="709"/>
      <c r="E288" s="718"/>
      <c r="F288" s="43"/>
      <c r="G288" s="37"/>
      <c r="H288" s="38"/>
      <c r="I288" s="44" t="s">
        <v>397</v>
      </c>
      <c r="J288" s="218" t="s">
        <v>398</v>
      </c>
      <c r="K288" s="46">
        <v>1</v>
      </c>
      <c r="L288" s="35"/>
      <c r="N288" s="47">
        <f>ROUND((_11_A家事増９．０*_11・２人),0)</f>
        <v>1260</v>
      </c>
      <c r="O288" s="48"/>
    </row>
    <row r="289" spans="1:15" ht="16.5" customHeight="1" x14ac:dyDescent="0.15">
      <c r="A289" s="41">
        <v>11</v>
      </c>
      <c r="B289" s="41">
        <v>6453</v>
      </c>
      <c r="C289" s="74" t="s">
        <v>10912</v>
      </c>
      <c r="D289" s="709"/>
      <c r="E289" s="718"/>
      <c r="F289" s="752" t="s">
        <v>400</v>
      </c>
      <c r="G289" s="219" t="s">
        <v>398</v>
      </c>
      <c r="H289" s="50">
        <v>0.9</v>
      </c>
      <c r="I289" s="44"/>
      <c r="J289" s="218"/>
      <c r="K289" s="46"/>
      <c r="L289" s="35"/>
      <c r="N289" s="47">
        <f>ROUND((_11_A家事増９．０*_11・基礎２),0)</f>
        <v>1134</v>
      </c>
      <c r="O289" s="48"/>
    </row>
    <row r="290" spans="1:15" ht="16.5" customHeight="1" x14ac:dyDescent="0.15">
      <c r="A290" s="41">
        <v>11</v>
      </c>
      <c r="B290" s="41">
        <v>6454</v>
      </c>
      <c r="C290" s="74" t="s">
        <v>10913</v>
      </c>
      <c r="D290" s="100">
        <f>_11_A家事増９．０</f>
        <v>1260</v>
      </c>
      <c r="E290" s="12" t="s">
        <v>392</v>
      </c>
      <c r="F290" s="711"/>
      <c r="G290" s="216"/>
      <c r="H290" s="38"/>
      <c r="I290" s="44" t="s">
        <v>397</v>
      </c>
      <c r="J290" s="247" t="s">
        <v>398</v>
      </c>
      <c r="K290" s="46">
        <v>1</v>
      </c>
      <c r="L290" s="43"/>
      <c r="M290" s="38"/>
      <c r="N290" s="47">
        <f>ROUND((ROUND((_11_A家事増９．０*_11・基礎２),0)*_11・２人),0)</f>
        <v>1134</v>
      </c>
      <c r="O290" s="48"/>
    </row>
    <row r="291" spans="1:15" ht="16.5" customHeight="1" x14ac:dyDescent="0.15">
      <c r="A291" s="41">
        <v>11</v>
      </c>
      <c r="B291" s="41" t="s">
        <v>10914</v>
      </c>
      <c r="C291" s="74" t="s">
        <v>10915</v>
      </c>
      <c r="D291" s="72"/>
      <c r="F291" s="53"/>
      <c r="G291" s="49"/>
      <c r="H291" s="50"/>
      <c r="I291" s="44"/>
      <c r="J291" s="45"/>
      <c r="K291" s="46"/>
      <c r="L291" s="707" t="s">
        <v>404</v>
      </c>
      <c r="M291" s="708"/>
      <c r="N291" s="47">
        <f>ROUND((_11_A家事増９．０*_11・初任),0)</f>
        <v>882</v>
      </c>
      <c r="O291" s="48"/>
    </row>
    <row r="292" spans="1:15" ht="16.5" customHeight="1" x14ac:dyDescent="0.15">
      <c r="A292" s="41">
        <v>11</v>
      </c>
      <c r="B292" s="41" t="s">
        <v>10916</v>
      </c>
      <c r="C292" s="74" t="s">
        <v>10917</v>
      </c>
      <c r="D292" s="72"/>
      <c r="F292" s="43"/>
      <c r="G292" s="37"/>
      <c r="H292" s="38"/>
      <c r="I292" s="44" t="s">
        <v>397</v>
      </c>
      <c r="J292" s="218" t="s">
        <v>398</v>
      </c>
      <c r="K292" s="46">
        <v>1</v>
      </c>
      <c r="L292" s="709"/>
      <c r="M292" s="704"/>
      <c r="N292" s="47">
        <f>ROUND((ROUND((_11_A家事増９．０*_11・２人),0)*_11・初任),0)</f>
        <v>882</v>
      </c>
      <c r="O292" s="48"/>
    </row>
    <row r="293" spans="1:15" ht="16.5" customHeight="1" x14ac:dyDescent="0.15">
      <c r="A293" s="41">
        <v>11</v>
      </c>
      <c r="B293" s="41" t="s">
        <v>10918</v>
      </c>
      <c r="C293" s="74" t="s">
        <v>10919</v>
      </c>
      <c r="D293" s="72"/>
      <c r="F293" s="752" t="s">
        <v>400</v>
      </c>
      <c r="G293" s="219" t="s">
        <v>398</v>
      </c>
      <c r="H293" s="50">
        <v>0.9</v>
      </c>
      <c r="I293" s="44"/>
      <c r="J293" s="218"/>
      <c r="K293" s="46"/>
      <c r="L293" s="709"/>
      <c r="M293" s="704"/>
      <c r="N293" s="47">
        <f>ROUND((ROUND((_11_A家事増９．０*_11・基礎２),0)*_11・初任),0)</f>
        <v>794</v>
      </c>
      <c r="O293" s="48"/>
    </row>
    <row r="294" spans="1:15" ht="16.5" customHeight="1" x14ac:dyDescent="0.15">
      <c r="A294" s="41">
        <v>11</v>
      </c>
      <c r="B294" s="41" t="s">
        <v>10920</v>
      </c>
      <c r="C294" s="74" t="s">
        <v>10921</v>
      </c>
      <c r="D294" s="122"/>
      <c r="E294" s="37"/>
      <c r="F294" s="711"/>
      <c r="G294" s="216"/>
      <c r="H294" s="38"/>
      <c r="I294" s="44" t="s">
        <v>397</v>
      </c>
      <c r="J294" s="247" t="s">
        <v>398</v>
      </c>
      <c r="K294" s="46">
        <v>1</v>
      </c>
      <c r="L294" s="240" t="s">
        <v>398</v>
      </c>
      <c r="M294" s="38">
        <f>_11・初任</f>
        <v>0.7</v>
      </c>
      <c r="N294" s="47">
        <f>ROUND((ROUND((ROUND((_11_A家事増９．０*_11・基礎２),0)*_11・２人),0)*_11・初任),0)</f>
        <v>794</v>
      </c>
      <c r="O294" s="63"/>
    </row>
    <row r="295" spans="1:15" ht="16.5" customHeight="1" x14ac:dyDescent="0.15">
      <c r="A295" s="33">
        <v>11</v>
      </c>
      <c r="B295" s="33">
        <v>8159</v>
      </c>
      <c r="C295" s="34" t="s">
        <v>10922</v>
      </c>
      <c r="D295" s="709" t="s">
        <v>10923</v>
      </c>
      <c r="E295" s="718"/>
      <c r="F295" s="35"/>
      <c r="G295" s="12"/>
      <c r="I295" s="36"/>
      <c r="J295" s="37"/>
      <c r="K295" s="38"/>
      <c r="L295" s="35"/>
      <c r="N295" s="39">
        <f>_11_A家事増９．２５</f>
        <v>1295</v>
      </c>
      <c r="O295" s="48"/>
    </row>
    <row r="296" spans="1:15" ht="16.5" customHeight="1" x14ac:dyDescent="0.15">
      <c r="A296" s="41">
        <v>11</v>
      </c>
      <c r="B296" s="41">
        <v>8160</v>
      </c>
      <c r="C296" s="74" t="s">
        <v>10924</v>
      </c>
      <c r="D296" s="709"/>
      <c r="E296" s="718"/>
      <c r="F296" s="43"/>
      <c r="G296" s="37"/>
      <c r="H296" s="38"/>
      <c r="I296" s="44" t="s">
        <v>397</v>
      </c>
      <c r="J296" s="218" t="s">
        <v>398</v>
      </c>
      <c r="K296" s="46">
        <v>1</v>
      </c>
      <c r="L296" s="35"/>
      <c r="N296" s="47">
        <f>ROUND((_11_A家事増９．２５*_11・２人),0)</f>
        <v>1295</v>
      </c>
      <c r="O296" s="48"/>
    </row>
    <row r="297" spans="1:15" ht="16.5" customHeight="1" x14ac:dyDescent="0.15">
      <c r="A297" s="41">
        <v>11</v>
      </c>
      <c r="B297" s="41">
        <v>8161</v>
      </c>
      <c r="C297" s="74" t="s">
        <v>10925</v>
      </c>
      <c r="D297" s="709"/>
      <c r="E297" s="718"/>
      <c r="F297" s="752" t="s">
        <v>400</v>
      </c>
      <c r="G297" s="219" t="s">
        <v>398</v>
      </c>
      <c r="H297" s="50">
        <v>0.9</v>
      </c>
      <c r="I297" s="44"/>
      <c r="J297" s="218"/>
      <c r="K297" s="46"/>
      <c r="L297" s="35"/>
      <c r="N297" s="47">
        <f>ROUND((_11_A家事増９．２５*_11・基礎２),0)</f>
        <v>1166</v>
      </c>
      <c r="O297" s="48"/>
    </row>
    <row r="298" spans="1:15" ht="16.5" customHeight="1" x14ac:dyDescent="0.15">
      <c r="A298" s="41">
        <v>11</v>
      </c>
      <c r="B298" s="41">
        <v>8162</v>
      </c>
      <c r="C298" s="74" t="s">
        <v>10926</v>
      </c>
      <c r="D298" s="100">
        <f>_11_A家事増９．２５</f>
        <v>1295</v>
      </c>
      <c r="E298" s="12" t="s">
        <v>392</v>
      </c>
      <c r="F298" s="711"/>
      <c r="G298" s="216"/>
      <c r="H298" s="38"/>
      <c r="I298" s="44" t="s">
        <v>397</v>
      </c>
      <c r="J298" s="247" t="s">
        <v>398</v>
      </c>
      <c r="K298" s="46">
        <v>1</v>
      </c>
      <c r="L298" s="43"/>
      <c r="M298" s="38"/>
      <c r="N298" s="47">
        <f>ROUND((ROUND((_11_A家事増９．２５*_11・基礎２),0)*_11・２人),0)</f>
        <v>1166</v>
      </c>
      <c r="O298" s="48"/>
    </row>
    <row r="299" spans="1:15" ht="16.5" customHeight="1" x14ac:dyDescent="0.15">
      <c r="A299" s="41">
        <v>11</v>
      </c>
      <c r="B299" s="41" t="s">
        <v>10927</v>
      </c>
      <c r="C299" s="74" t="s">
        <v>10928</v>
      </c>
      <c r="D299" s="72"/>
      <c r="F299" s="53"/>
      <c r="G299" s="49"/>
      <c r="H299" s="50"/>
      <c r="I299" s="44"/>
      <c r="J299" s="45"/>
      <c r="K299" s="46"/>
      <c r="L299" s="707" t="s">
        <v>404</v>
      </c>
      <c r="M299" s="708"/>
      <c r="N299" s="47">
        <f>ROUND((_11_A家事増９．２５*_11・初任),0)</f>
        <v>907</v>
      </c>
      <c r="O299" s="48"/>
    </row>
    <row r="300" spans="1:15" ht="16.5" customHeight="1" x14ac:dyDescent="0.15">
      <c r="A300" s="41">
        <v>11</v>
      </c>
      <c r="B300" s="41" t="s">
        <v>10929</v>
      </c>
      <c r="C300" s="74" t="s">
        <v>10930</v>
      </c>
      <c r="D300" s="72"/>
      <c r="F300" s="43"/>
      <c r="G300" s="37"/>
      <c r="H300" s="38"/>
      <c r="I300" s="44" t="s">
        <v>397</v>
      </c>
      <c r="J300" s="218" t="s">
        <v>398</v>
      </c>
      <c r="K300" s="46">
        <v>1</v>
      </c>
      <c r="L300" s="709"/>
      <c r="M300" s="704"/>
      <c r="N300" s="47">
        <f>ROUND((ROUND((_11_A家事増９．２５*_11・２人),0)*_11・初任),0)</f>
        <v>907</v>
      </c>
      <c r="O300" s="48"/>
    </row>
    <row r="301" spans="1:15" ht="16.5" customHeight="1" x14ac:dyDescent="0.15">
      <c r="A301" s="41">
        <v>11</v>
      </c>
      <c r="B301" s="41" t="s">
        <v>10931</v>
      </c>
      <c r="C301" s="74" t="s">
        <v>10932</v>
      </c>
      <c r="D301" s="72"/>
      <c r="F301" s="752" t="s">
        <v>400</v>
      </c>
      <c r="G301" s="219" t="s">
        <v>398</v>
      </c>
      <c r="H301" s="50">
        <v>0.9</v>
      </c>
      <c r="I301" s="44"/>
      <c r="J301" s="218"/>
      <c r="K301" s="46"/>
      <c r="L301" s="709"/>
      <c r="M301" s="704"/>
      <c r="N301" s="47">
        <f>ROUND((ROUND((_11_A家事増９．２５*_11・基礎２),0)*_11・初任),0)</f>
        <v>816</v>
      </c>
      <c r="O301" s="48"/>
    </row>
    <row r="302" spans="1:15" ht="16.5" customHeight="1" x14ac:dyDescent="0.15">
      <c r="A302" s="41">
        <v>11</v>
      </c>
      <c r="B302" s="41" t="s">
        <v>10933</v>
      </c>
      <c r="C302" s="74" t="s">
        <v>10934</v>
      </c>
      <c r="D302" s="72"/>
      <c r="F302" s="711"/>
      <c r="G302" s="216"/>
      <c r="H302" s="38"/>
      <c r="I302" s="44" t="s">
        <v>397</v>
      </c>
      <c r="J302" s="247" t="s">
        <v>398</v>
      </c>
      <c r="K302" s="46">
        <v>1</v>
      </c>
      <c r="L302" s="240" t="s">
        <v>398</v>
      </c>
      <c r="M302" s="38">
        <f>_11・初任</f>
        <v>0.7</v>
      </c>
      <c r="N302" s="47">
        <f>ROUND((ROUND((ROUND((_11_A家事増９．２５*_11・基礎２),0)*_11・２人),0)*_11・初任),0)</f>
        <v>816</v>
      </c>
      <c r="O302" s="48"/>
    </row>
    <row r="303" spans="1:15" ht="16.5" customHeight="1" x14ac:dyDescent="0.15">
      <c r="A303" s="41">
        <v>11</v>
      </c>
      <c r="B303" s="41">
        <v>6455</v>
      </c>
      <c r="C303" s="74" t="s">
        <v>10935</v>
      </c>
      <c r="D303" s="707" t="s">
        <v>10936</v>
      </c>
      <c r="E303" s="717"/>
      <c r="F303" s="53"/>
      <c r="G303" s="49"/>
      <c r="H303" s="50"/>
      <c r="I303" s="44"/>
      <c r="J303" s="45"/>
      <c r="K303" s="46"/>
      <c r="L303" s="53"/>
      <c r="M303" s="50"/>
      <c r="N303" s="47">
        <f>_11_A家事増９．５</f>
        <v>1330</v>
      </c>
      <c r="O303" s="48"/>
    </row>
    <row r="304" spans="1:15" ht="16.5" customHeight="1" x14ac:dyDescent="0.15">
      <c r="A304" s="41">
        <v>11</v>
      </c>
      <c r="B304" s="41">
        <v>6456</v>
      </c>
      <c r="C304" s="74" t="s">
        <v>10937</v>
      </c>
      <c r="D304" s="709"/>
      <c r="E304" s="718"/>
      <c r="F304" s="43"/>
      <c r="G304" s="37"/>
      <c r="H304" s="38"/>
      <c r="I304" s="44" t="s">
        <v>397</v>
      </c>
      <c r="J304" s="218" t="s">
        <v>398</v>
      </c>
      <c r="K304" s="46">
        <v>1</v>
      </c>
      <c r="L304" s="35"/>
      <c r="N304" s="47">
        <f>ROUND((_11_A家事増９．５*_11・２人),0)</f>
        <v>1330</v>
      </c>
      <c r="O304" s="48"/>
    </row>
    <row r="305" spans="1:15" ht="16.5" customHeight="1" x14ac:dyDescent="0.15">
      <c r="A305" s="41">
        <v>11</v>
      </c>
      <c r="B305" s="41">
        <v>6457</v>
      </c>
      <c r="C305" s="74" t="s">
        <v>10938</v>
      </c>
      <c r="D305" s="709"/>
      <c r="E305" s="718"/>
      <c r="F305" s="752" t="s">
        <v>400</v>
      </c>
      <c r="G305" s="219" t="s">
        <v>398</v>
      </c>
      <c r="H305" s="50">
        <v>0.9</v>
      </c>
      <c r="I305" s="44"/>
      <c r="J305" s="218"/>
      <c r="K305" s="46"/>
      <c r="L305" s="35"/>
      <c r="N305" s="47">
        <f>ROUND((_11_A家事増９．５*_11・基礎２),0)</f>
        <v>1197</v>
      </c>
      <c r="O305" s="48"/>
    </row>
    <row r="306" spans="1:15" ht="16.5" customHeight="1" x14ac:dyDescent="0.15">
      <c r="A306" s="41">
        <v>11</v>
      </c>
      <c r="B306" s="41">
        <v>6458</v>
      </c>
      <c r="C306" s="74" t="s">
        <v>10939</v>
      </c>
      <c r="D306" s="100">
        <f>_11_A家事増９．５</f>
        <v>1330</v>
      </c>
      <c r="E306" s="12" t="s">
        <v>392</v>
      </c>
      <c r="F306" s="711"/>
      <c r="G306" s="216"/>
      <c r="H306" s="38"/>
      <c r="I306" s="44" t="s">
        <v>397</v>
      </c>
      <c r="J306" s="247" t="s">
        <v>398</v>
      </c>
      <c r="K306" s="46">
        <v>1</v>
      </c>
      <c r="L306" s="43"/>
      <c r="M306" s="38"/>
      <c r="N306" s="47">
        <f>ROUND((ROUND((_11_A家事増９．５*_11・基礎２),0)*_11・２人),0)</f>
        <v>1197</v>
      </c>
      <c r="O306" s="48"/>
    </row>
    <row r="307" spans="1:15" ht="16.5" customHeight="1" x14ac:dyDescent="0.15">
      <c r="A307" s="41">
        <v>11</v>
      </c>
      <c r="B307" s="41" t="s">
        <v>10940</v>
      </c>
      <c r="C307" s="74" t="s">
        <v>10941</v>
      </c>
      <c r="D307" s="72"/>
      <c r="F307" s="53"/>
      <c r="G307" s="49"/>
      <c r="H307" s="50"/>
      <c r="I307" s="44"/>
      <c r="J307" s="45"/>
      <c r="K307" s="46"/>
      <c r="L307" s="707" t="s">
        <v>404</v>
      </c>
      <c r="M307" s="708"/>
      <c r="N307" s="47">
        <f>ROUND((_11_A家事増９．５*_11・初任),0)</f>
        <v>931</v>
      </c>
      <c r="O307" s="48"/>
    </row>
    <row r="308" spans="1:15" ht="16.5" customHeight="1" x14ac:dyDescent="0.15">
      <c r="A308" s="41">
        <v>11</v>
      </c>
      <c r="B308" s="41" t="s">
        <v>10942</v>
      </c>
      <c r="C308" s="74" t="s">
        <v>10943</v>
      </c>
      <c r="D308" s="72"/>
      <c r="F308" s="43"/>
      <c r="G308" s="37"/>
      <c r="H308" s="38"/>
      <c r="I308" s="44" t="s">
        <v>397</v>
      </c>
      <c r="J308" s="218" t="s">
        <v>398</v>
      </c>
      <c r="K308" s="46">
        <v>1</v>
      </c>
      <c r="L308" s="709"/>
      <c r="M308" s="704"/>
      <c r="N308" s="47">
        <f>ROUND((ROUND((_11_A家事増９．５*_11・２人),0)*_11・初任),0)</f>
        <v>931</v>
      </c>
      <c r="O308" s="48"/>
    </row>
    <row r="309" spans="1:15" ht="16.5" customHeight="1" x14ac:dyDescent="0.15">
      <c r="A309" s="41">
        <v>11</v>
      </c>
      <c r="B309" s="41" t="s">
        <v>10944</v>
      </c>
      <c r="C309" s="74" t="s">
        <v>10945</v>
      </c>
      <c r="D309" s="72"/>
      <c r="F309" s="752" t="s">
        <v>400</v>
      </c>
      <c r="G309" s="219" t="s">
        <v>398</v>
      </c>
      <c r="H309" s="50">
        <v>0.9</v>
      </c>
      <c r="I309" s="44"/>
      <c r="J309" s="218"/>
      <c r="K309" s="46"/>
      <c r="L309" s="709"/>
      <c r="M309" s="704"/>
      <c r="N309" s="47">
        <f>ROUND((ROUND((_11_A家事増９．５*_11・基礎２),0)*_11・初任),0)</f>
        <v>838</v>
      </c>
      <c r="O309" s="48"/>
    </row>
    <row r="310" spans="1:15" ht="16.5" customHeight="1" x14ac:dyDescent="0.15">
      <c r="A310" s="41">
        <v>11</v>
      </c>
      <c r="B310" s="41" t="s">
        <v>10946</v>
      </c>
      <c r="C310" s="74" t="s">
        <v>10947</v>
      </c>
      <c r="D310" s="72"/>
      <c r="F310" s="711"/>
      <c r="G310" s="216"/>
      <c r="H310" s="38"/>
      <c r="I310" s="44" t="s">
        <v>397</v>
      </c>
      <c r="J310" s="247" t="s">
        <v>398</v>
      </c>
      <c r="K310" s="46">
        <v>1</v>
      </c>
      <c r="L310" s="240" t="s">
        <v>398</v>
      </c>
      <c r="M310" s="38">
        <f>_11・初任</f>
        <v>0.7</v>
      </c>
      <c r="N310" s="47">
        <f>ROUND((ROUND((ROUND((_11_A家事増９．５*_11・基礎２),0)*_11・２人),0)*_11・初任),0)</f>
        <v>838</v>
      </c>
      <c r="O310" s="48"/>
    </row>
    <row r="311" spans="1:15" ht="16.5" customHeight="1" x14ac:dyDescent="0.15">
      <c r="A311" s="41">
        <v>11</v>
      </c>
      <c r="B311" s="41">
        <v>8163</v>
      </c>
      <c r="C311" s="74" t="s">
        <v>10948</v>
      </c>
      <c r="D311" s="707" t="s">
        <v>10949</v>
      </c>
      <c r="E311" s="717"/>
      <c r="F311" s="53"/>
      <c r="G311" s="49"/>
      <c r="H311" s="50"/>
      <c r="I311" s="44"/>
      <c r="J311" s="45"/>
      <c r="K311" s="46"/>
      <c r="L311" s="53"/>
      <c r="M311" s="50"/>
      <c r="N311" s="47">
        <f>_11_A家事増９．７５</f>
        <v>1365</v>
      </c>
      <c r="O311" s="48"/>
    </row>
    <row r="312" spans="1:15" ht="16.5" customHeight="1" x14ac:dyDescent="0.15">
      <c r="A312" s="41">
        <v>11</v>
      </c>
      <c r="B312" s="41">
        <v>8164</v>
      </c>
      <c r="C312" s="74" t="s">
        <v>10950</v>
      </c>
      <c r="D312" s="709"/>
      <c r="E312" s="718"/>
      <c r="F312" s="43"/>
      <c r="G312" s="37"/>
      <c r="H312" s="38"/>
      <c r="I312" s="44" t="s">
        <v>397</v>
      </c>
      <c r="J312" s="218" t="s">
        <v>398</v>
      </c>
      <c r="K312" s="46">
        <v>1</v>
      </c>
      <c r="L312" s="35"/>
      <c r="N312" s="47">
        <f>ROUND((_11_A家事増９．７５*_11・２人),0)</f>
        <v>1365</v>
      </c>
      <c r="O312" s="48"/>
    </row>
    <row r="313" spans="1:15" ht="16.5" customHeight="1" x14ac:dyDescent="0.15">
      <c r="A313" s="41">
        <v>11</v>
      </c>
      <c r="B313" s="41">
        <v>8165</v>
      </c>
      <c r="C313" s="74" t="s">
        <v>10951</v>
      </c>
      <c r="D313" s="709"/>
      <c r="E313" s="718"/>
      <c r="F313" s="752" t="s">
        <v>400</v>
      </c>
      <c r="G313" s="219" t="s">
        <v>398</v>
      </c>
      <c r="H313" s="50">
        <v>0.9</v>
      </c>
      <c r="I313" s="44"/>
      <c r="J313" s="218"/>
      <c r="K313" s="46"/>
      <c r="L313" s="35"/>
      <c r="N313" s="47">
        <f>ROUND((_11_A家事増９．７５*_11・基礎２),0)</f>
        <v>1229</v>
      </c>
      <c r="O313" s="48"/>
    </row>
    <row r="314" spans="1:15" ht="16.5" customHeight="1" x14ac:dyDescent="0.15">
      <c r="A314" s="41">
        <v>11</v>
      </c>
      <c r="B314" s="41">
        <v>8166</v>
      </c>
      <c r="C314" s="74" t="s">
        <v>10952</v>
      </c>
      <c r="D314" s="100">
        <f>_11_A家事増９．７５</f>
        <v>1365</v>
      </c>
      <c r="E314" s="12" t="s">
        <v>392</v>
      </c>
      <c r="F314" s="711"/>
      <c r="G314" s="216"/>
      <c r="H314" s="38"/>
      <c r="I314" s="44" t="s">
        <v>397</v>
      </c>
      <c r="J314" s="247" t="s">
        <v>398</v>
      </c>
      <c r="K314" s="46">
        <v>1</v>
      </c>
      <c r="L314" s="43"/>
      <c r="M314" s="38"/>
      <c r="N314" s="47">
        <f>ROUND((ROUND((_11_A家事増９．７５*_11・基礎２),0)*_11・２人),0)</f>
        <v>1229</v>
      </c>
      <c r="O314" s="48"/>
    </row>
    <row r="315" spans="1:15" ht="16.5" customHeight="1" x14ac:dyDescent="0.15">
      <c r="A315" s="41">
        <v>11</v>
      </c>
      <c r="B315" s="41" t="s">
        <v>10953</v>
      </c>
      <c r="C315" s="74" t="s">
        <v>10954</v>
      </c>
      <c r="D315" s="72"/>
      <c r="F315" s="53"/>
      <c r="G315" s="49"/>
      <c r="H315" s="50"/>
      <c r="I315" s="44"/>
      <c r="J315" s="45"/>
      <c r="K315" s="46"/>
      <c r="L315" s="707" t="s">
        <v>404</v>
      </c>
      <c r="M315" s="708"/>
      <c r="N315" s="47">
        <f>ROUND((_11_A家事増９．７５*_11・初任),0)</f>
        <v>956</v>
      </c>
      <c r="O315" s="48"/>
    </row>
    <row r="316" spans="1:15" ht="16.5" customHeight="1" x14ac:dyDescent="0.15">
      <c r="A316" s="41">
        <v>11</v>
      </c>
      <c r="B316" s="41" t="s">
        <v>10955</v>
      </c>
      <c r="C316" s="74" t="s">
        <v>10956</v>
      </c>
      <c r="D316" s="72"/>
      <c r="F316" s="43"/>
      <c r="G316" s="37"/>
      <c r="H316" s="38"/>
      <c r="I316" s="44" t="s">
        <v>397</v>
      </c>
      <c r="J316" s="218" t="s">
        <v>398</v>
      </c>
      <c r="K316" s="46">
        <v>1</v>
      </c>
      <c r="L316" s="709"/>
      <c r="M316" s="704"/>
      <c r="N316" s="47">
        <f>ROUND((ROUND((_11_A家事増９．７５*_11・２人),0)*_11・初任),0)</f>
        <v>956</v>
      </c>
      <c r="O316" s="48"/>
    </row>
    <row r="317" spans="1:15" ht="16.5" customHeight="1" x14ac:dyDescent="0.15">
      <c r="A317" s="41">
        <v>11</v>
      </c>
      <c r="B317" s="41" t="s">
        <v>10957</v>
      </c>
      <c r="C317" s="74" t="s">
        <v>10958</v>
      </c>
      <c r="D317" s="72"/>
      <c r="F317" s="752" t="s">
        <v>400</v>
      </c>
      <c r="G317" s="219" t="s">
        <v>398</v>
      </c>
      <c r="H317" s="50">
        <v>0.9</v>
      </c>
      <c r="I317" s="44"/>
      <c r="J317" s="218"/>
      <c r="K317" s="46"/>
      <c r="L317" s="709"/>
      <c r="M317" s="704"/>
      <c r="N317" s="47">
        <f>ROUND((ROUND((_11_A家事増９．７５*_11・基礎２),0)*_11・初任),0)</f>
        <v>860</v>
      </c>
      <c r="O317" s="48"/>
    </row>
    <row r="318" spans="1:15" ht="16.5" customHeight="1" x14ac:dyDescent="0.15">
      <c r="A318" s="41">
        <v>11</v>
      </c>
      <c r="B318" s="41" t="s">
        <v>10959</v>
      </c>
      <c r="C318" s="74" t="s">
        <v>10960</v>
      </c>
      <c r="D318" s="72"/>
      <c r="F318" s="711"/>
      <c r="G318" s="216"/>
      <c r="H318" s="38"/>
      <c r="I318" s="44" t="s">
        <v>397</v>
      </c>
      <c r="J318" s="247" t="s">
        <v>398</v>
      </c>
      <c r="K318" s="46">
        <v>1</v>
      </c>
      <c r="L318" s="240" t="s">
        <v>398</v>
      </c>
      <c r="M318" s="38">
        <f>_11・初任</f>
        <v>0.7</v>
      </c>
      <c r="N318" s="47">
        <f>ROUND((ROUND((ROUND((_11_A家事増９．７５*_11・基礎２),0)*_11・２人),0)*_11・初任),0)</f>
        <v>860</v>
      </c>
      <c r="O318" s="48"/>
    </row>
    <row r="319" spans="1:15" ht="16.5" customHeight="1" x14ac:dyDescent="0.15">
      <c r="A319" s="41">
        <v>11</v>
      </c>
      <c r="B319" s="41">
        <v>6459</v>
      </c>
      <c r="C319" s="74" t="s">
        <v>10961</v>
      </c>
      <c r="D319" s="707" t="s">
        <v>10962</v>
      </c>
      <c r="E319" s="717"/>
      <c r="F319" s="53"/>
      <c r="G319" s="49"/>
      <c r="H319" s="50"/>
      <c r="I319" s="44"/>
      <c r="J319" s="45"/>
      <c r="K319" s="46"/>
      <c r="L319" s="53"/>
      <c r="M319" s="50"/>
      <c r="N319" s="47">
        <f>_11_A家事増１０．０</f>
        <v>1400</v>
      </c>
      <c r="O319" s="48"/>
    </row>
    <row r="320" spans="1:15" ht="16.5" customHeight="1" x14ac:dyDescent="0.15">
      <c r="A320" s="41">
        <v>11</v>
      </c>
      <c r="B320" s="41">
        <v>6460</v>
      </c>
      <c r="C320" s="74" t="s">
        <v>10963</v>
      </c>
      <c r="D320" s="709"/>
      <c r="E320" s="718"/>
      <c r="F320" s="43"/>
      <c r="G320" s="37"/>
      <c r="H320" s="38"/>
      <c r="I320" s="44" t="s">
        <v>397</v>
      </c>
      <c r="J320" s="218" t="s">
        <v>398</v>
      </c>
      <c r="K320" s="46">
        <v>1</v>
      </c>
      <c r="L320" s="35"/>
      <c r="N320" s="47">
        <f>ROUND((_11_A家事増１０．０*_11・２人),0)</f>
        <v>1400</v>
      </c>
      <c r="O320" s="48"/>
    </row>
    <row r="321" spans="1:15" ht="16.5" customHeight="1" x14ac:dyDescent="0.15">
      <c r="A321" s="41">
        <v>11</v>
      </c>
      <c r="B321" s="41">
        <v>6461</v>
      </c>
      <c r="C321" s="74" t="s">
        <v>10964</v>
      </c>
      <c r="D321" s="709"/>
      <c r="E321" s="718"/>
      <c r="F321" s="752" t="s">
        <v>400</v>
      </c>
      <c r="G321" s="219" t="s">
        <v>398</v>
      </c>
      <c r="H321" s="50">
        <v>0.9</v>
      </c>
      <c r="I321" s="44"/>
      <c r="J321" s="218"/>
      <c r="K321" s="46"/>
      <c r="L321" s="35"/>
      <c r="N321" s="47">
        <f>ROUND((_11_A家事増１０．０*_11・基礎２),0)</f>
        <v>1260</v>
      </c>
      <c r="O321" s="48"/>
    </row>
    <row r="322" spans="1:15" ht="16.5" customHeight="1" x14ac:dyDescent="0.15">
      <c r="A322" s="41">
        <v>11</v>
      </c>
      <c r="B322" s="41">
        <v>6462</v>
      </c>
      <c r="C322" s="74" t="s">
        <v>10965</v>
      </c>
      <c r="D322" s="100">
        <f>_11_A家事増１０．０</f>
        <v>1400</v>
      </c>
      <c r="E322" s="12" t="s">
        <v>392</v>
      </c>
      <c r="F322" s="711"/>
      <c r="G322" s="216"/>
      <c r="H322" s="38"/>
      <c r="I322" s="44" t="s">
        <v>397</v>
      </c>
      <c r="J322" s="247" t="s">
        <v>398</v>
      </c>
      <c r="K322" s="46">
        <v>1</v>
      </c>
      <c r="L322" s="43"/>
      <c r="M322" s="38"/>
      <c r="N322" s="47">
        <f>ROUND((ROUND((_11_A家事増１０．０*_11・基礎２),0)*_11・２人),0)</f>
        <v>1260</v>
      </c>
      <c r="O322" s="48"/>
    </row>
    <row r="323" spans="1:15" ht="16.5" customHeight="1" x14ac:dyDescent="0.15">
      <c r="A323" s="41">
        <v>11</v>
      </c>
      <c r="B323" s="41" t="s">
        <v>10966</v>
      </c>
      <c r="C323" s="74" t="s">
        <v>10967</v>
      </c>
      <c r="D323" s="72"/>
      <c r="F323" s="53"/>
      <c r="G323" s="49"/>
      <c r="H323" s="50"/>
      <c r="I323" s="44"/>
      <c r="J323" s="45"/>
      <c r="K323" s="46"/>
      <c r="L323" s="707" t="s">
        <v>404</v>
      </c>
      <c r="M323" s="708"/>
      <c r="N323" s="47">
        <f>ROUND((_11_A家事増１０．０*_11・初任),0)</f>
        <v>980</v>
      </c>
      <c r="O323" s="48"/>
    </row>
    <row r="324" spans="1:15" ht="16.5" customHeight="1" x14ac:dyDescent="0.15">
      <c r="A324" s="41">
        <v>11</v>
      </c>
      <c r="B324" s="41" t="s">
        <v>10968</v>
      </c>
      <c r="C324" s="74" t="s">
        <v>10969</v>
      </c>
      <c r="D324" s="72"/>
      <c r="F324" s="43"/>
      <c r="G324" s="37"/>
      <c r="H324" s="38"/>
      <c r="I324" s="44" t="s">
        <v>397</v>
      </c>
      <c r="J324" s="218" t="s">
        <v>398</v>
      </c>
      <c r="K324" s="46">
        <v>1</v>
      </c>
      <c r="L324" s="709"/>
      <c r="M324" s="704"/>
      <c r="N324" s="47">
        <f>ROUND((ROUND((_11_A家事増１０．０*_11・２人),0)*_11・初任),0)</f>
        <v>980</v>
      </c>
      <c r="O324" s="48"/>
    </row>
    <row r="325" spans="1:15" ht="16.5" customHeight="1" x14ac:dyDescent="0.15">
      <c r="A325" s="41">
        <v>11</v>
      </c>
      <c r="B325" s="41" t="s">
        <v>10970</v>
      </c>
      <c r="C325" s="74" t="s">
        <v>10971</v>
      </c>
      <c r="D325" s="72"/>
      <c r="F325" s="752" t="s">
        <v>400</v>
      </c>
      <c r="G325" s="219" t="s">
        <v>398</v>
      </c>
      <c r="H325" s="50">
        <v>0.9</v>
      </c>
      <c r="I325" s="44"/>
      <c r="J325" s="218"/>
      <c r="K325" s="46"/>
      <c r="L325" s="709"/>
      <c r="M325" s="704"/>
      <c r="N325" s="47">
        <f>ROUND((ROUND((_11_A家事増１０．０*_11・基礎２),0)*_11・初任),0)</f>
        <v>882</v>
      </c>
      <c r="O325" s="48"/>
    </row>
    <row r="326" spans="1:15" ht="16.5" customHeight="1" x14ac:dyDescent="0.15">
      <c r="A326" s="41">
        <v>11</v>
      </c>
      <c r="B326" s="41" t="s">
        <v>10972</v>
      </c>
      <c r="C326" s="74" t="s">
        <v>10973</v>
      </c>
      <c r="D326" s="72"/>
      <c r="F326" s="711"/>
      <c r="G326" s="216"/>
      <c r="H326" s="38"/>
      <c r="I326" s="44" t="s">
        <v>397</v>
      </c>
      <c r="J326" s="247" t="s">
        <v>398</v>
      </c>
      <c r="K326" s="46">
        <v>1</v>
      </c>
      <c r="L326" s="240" t="s">
        <v>398</v>
      </c>
      <c r="M326" s="38">
        <f>_11・初任</f>
        <v>0.7</v>
      </c>
      <c r="N326" s="47">
        <f>ROUND((ROUND((ROUND((_11_A家事増１０．０*_11・基礎２),0)*_11・２人),0)*_11・初任),0)</f>
        <v>882</v>
      </c>
      <c r="O326" s="48"/>
    </row>
    <row r="327" spans="1:15" ht="16.5" customHeight="1" x14ac:dyDescent="0.15">
      <c r="A327" s="41">
        <v>11</v>
      </c>
      <c r="B327" s="41">
        <v>8167</v>
      </c>
      <c r="C327" s="74" t="s">
        <v>10974</v>
      </c>
      <c r="D327" s="707" t="s">
        <v>10975</v>
      </c>
      <c r="E327" s="717"/>
      <c r="F327" s="53"/>
      <c r="G327" s="49"/>
      <c r="H327" s="50"/>
      <c r="I327" s="44"/>
      <c r="J327" s="45"/>
      <c r="K327" s="46"/>
      <c r="L327" s="53"/>
      <c r="M327" s="50"/>
      <c r="N327" s="47">
        <f>_11_A家事増１０．２５</f>
        <v>1435</v>
      </c>
      <c r="O327" s="48"/>
    </row>
    <row r="328" spans="1:15" ht="16.5" customHeight="1" x14ac:dyDescent="0.15">
      <c r="A328" s="41">
        <v>11</v>
      </c>
      <c r="B328" s="41">
        <v>8168</v>
      </c>
      <c r="C328" s="74" t="s">
        <v>10976</v>
      </c>
      <c r="D328" s="709"/>
      <c r="E328" s="718"/>
      <c r="F328" s="43"/>
      <c r="G328" s="37"/>
      <c r="H328" s="38"/>
      <c r="I328" s="44" t="s">
        <v>397</v>
      </c>
      <c r="J328" s="218" t="s">
        <v>398</v>
      </c>
      <c r="K328" s="46">
        <v>1</v>
      </c>
      <c r="L328" s="35"/>
      <c r="N328" s="47">
        <f>ROUND((_11_A家事増１０．２５*_11・２人),0)</f>
        <v>1435</v>
      </c>
      <c r="O328" s="48"/>
    </row>
    <row r="329" spans="1:15" ht="16.5" customHeight="1" x14ac:dyDescent="0.15">
      <c r="A329" s="41">
        <v>11</v>
      </c>
      <c r="B329" s="41">
        <v>8169</v>
      </c>
      <c r="C329" s="74" t="s">
        <v>10977</v>
      </c>
      <c r="D329" s="709"/>
      <c r="E329" s="718"/>
      <c r="F329" s="752" t="s">
        <v>400</v>
      </c>
      <c r="G329" s="219" t="s">
        <v>398</v>
      </c>
      <c r="H329" s="50">
        <v>0.9</v>
      </c>
      <c r="I329" s="44"/>
      <c r="J329" s="218"/>
      <c r="K329" s="46"/>
      <c r="L329" s="35"/>
      <c r="N329" s="47">
        <f>ROUND((_11_A家事増１０．２５*_11・基礎２),0)</f>
        <v>1292</v>
      </c>
      <c r="O329" s="48"/>
    </row>
    <row r="330" spans="1:15" ht="16.5" customHeight="1" x14ac:dyDescent="0.15">
      <c r="A330" s="41">
        <v>11</v>
      </c>
      <c r="B330" s="41">
        <v>8170</v>
      </c>
      <c r="C330" s="74" t="s">
        <v>10978</v>
      </c>
      <c r="D330" s="100">
        <f>_11_A家事増１０．２５</f>
        <v>1435</v>
      </c>
      <c r="E330" s="12" t="s">
        <v>392</v>
      </c>
      <c r="F330" s="711"/>
      <c r="G330" s="216"/>
      <c r="H330" s="38"/>
      <c r="I330" s="44" t="s">
        <v>397</v>
      </c>
      <c r="J330" s="247" t="s">
        <v>398</v>
      </c>
      <c r="K330" s="46">
        <v>1</v>
      </c>
      <c r="L330" s="43"/>
      <c r="M330" s="38"/>
      <c r="N330" s="47">
        <f>ROUND((ROUND((_11_A家事増１０．２５*_11・基礎２),0)*_11・２人),0)</f>
        <v>1292</v>
      </c>
      <c r="O330" s="48"/>
    </row>
    <row r="331" spans="1:15" ht="16.5" customHeight="1" x14ac:dyDescent="0.15">
      <c r="A331" s="41">
        <v>11</v>
      </c>
      <c r="B331" s="41" t="s">
        <v>10979</v>
      </c>
      <c r="C331" s="74" t="s">
        <v>10980</v>
      </c>
      <c r="D331" s="72"/>
      <c r="F331" s="53"/>
      <c r="G331" s="49"/>
      <c r="H331" s="50"/>
      <c r="I331" s="44"/>
      <c r="J331" s="45"/>
      <c r="K331" s="46"/>
      <c r="L331" s="707" t="s">
        <v>404</v>
      </c>
      <c r="M331" s="708"/>
      <c r="N331" s="47">
        <f>ROUND((_11_A家事増１０．２５*_11・初任),0)</f>
        <v>1005</v>
      </c>
      <c r="O331" s="48"/>
    </row>
    <row r="332" spans="1:15" ht="16.5" customHeight="1" x14ac:dyDescent="0.15">
      <c r="A332" s="41">
        <v>11</v>
      </c>
      <c r="B332" s="41" t="s">
        <v>10981</v>
      </c>
      <c r="C332" s="74" t="s">
        <v>10982</v>
      </c>
      <c r="D332" s="72"/>
      <c r="F332" s="43"/>
      <c r="G332" s="37"/>
      <c r="H332" s="38"/>
      <c r="I332" s="44" t="s">
        <v>397</v>
      </c>
      <c r="J332" s="218" t="s">
        <v>398</v>
      </c>
      <c r="K332" s="46">
        <v>1</v>
      </c>
      <c r="L332" s="709"/>
      <c r="M332" s="704"/>
      <c r="N332" s="47">
        <f>ROUND((ROUND((_11_A家事増１０．２５*_11・２人),0)*_11・初任),0)</f>
        <v>1005</v>
      </c>
      <c r="O332" s="48"/>
    </row>
    <row r="333" spans="1:15" ht="16.5" customHeight="1" x14ac:dyDescent="0.15">
      <c r="A333" s="41">
        <v>11</v>
      </c>
      <c r="B333" s="41" t="s">
        <v>10983</v>
      </c>
      <c r="C333" s="74" t="s">
        <v>10984</v>
      </c>
      <c r="D333" s="72"/>
      <c r="F333" s="752" t="s">
        <v>400</v>
      </c>
      <c r="G333" s="219" t="s">
        <v>398</v>
      </c>
      <c r="H333" s="50">
        <v>0.9</v>
      </c>
      <c r="I333" s="44"/>
      <c r="J333" s="218"/>
      <c r="K333" s="46"/>
      <c r="L333" s="709"/>
      <c r="M333" s="704"/>
      <c r="N333" s="47">
        <f>ROUND((ROUND((_11_A家事増１０．２５*_11・基礎２),0)*_11・初任),0)</f>
        <v>904</v>
      </c>
      <c r="O333" s="48"/>
    </row>
    <row r="334" spans="1:15" ht="16.5" customHeight="1" x14ac:dyDescent="0.15">
      <c r="A334" s="41">
        <v>11</v>
      </c>
      <c r="B334" s="41" t="s">
        <v>10985</v>
      </c>
      <c r="C334" s="74" t="s">
        <v>10986</v>
      </c>
      <c r="D334" s="72"/>
      <c r="F334" s="711"/>
      <c r="G334" s="216"/>
      <c r="H334" s="38"/>
      <c r="I334" s="44" t="s">
        <v>397</v>
      </c>
      <c r="J334" s="247" t="s">
        <v>398</v>
      </c>
      <c r="K334" s="46">
        <v>1</v>
      </c>
      <c r="L334" s="240" t="s">
        <v>398</v>
      </c>
      <c r="M334" s="38">
        <f>_11・初任</f>
        <v>0.7</v>
      </c>
      <c r="N334" s="47">
        <f>ROUND((ROUND((ROUND((_11_A家事増１０．２５*_11・基礎２),0)*_11・２人),0)*_11・初任),0)</f>
        <v>904</v>
      </c>
      <c r="O334" s="48"/>
    </row>
    <row r="335" spans="1:15" ht="16.5" customHeight="1" x14ac:dyDescent="0.15">
      <c r="A335" s="41">
        <v>11</v>
      </c>
      <c r="B335" s="41">
        <v>6463</v>
      </c>
      <c r="C335" s="74" t="s">
        <v>10987</v>
      </c>
      <c r="D335" s="707" t="s">
        <v>10988</v>
      </c>
      <c r="E335" s="717"/>
      <c r="F335" s="53"/>
      <c r="G335" s="49"/>
      <c r="H335" s="50"/>
      <c r="I335" s="44"/>
      <c r="J335" s="45"/>
      <c r="K335" s="46"/>
      <c r="L335" s="53"/>
      <c r="M335" s="50"/>
      <c r="N335" s="47">
        <f>_11_A家事増１０．５</f>
        <v>1470</v>
      </c>
      <c r="O335" s="48"/>
    </row>
    <row r="336" spans="1:15" ht="16.5" customHeight="1" x14ac:dyDescent="0.15">
      <c r="A336" s="41">
        <v>11</v>
      </c>
      <c r="B336" s="41">
        <v>6464</v>
      </c>
      <c r="C336" s="74" t="s">
        <v>10989</v>
      </c>
      <c r="D336" s="709"/>
      <c r="E336" s="718"/>
      <c r="F336" s="43"/>
      <c r="G336" s="37"/>
      <c r="H336" s="38"/>
      <c r="I336" s="44" t="s">
        <v>397</v>
      </c>
      <c r="J336" s="218" t="s">
        <v>398</v>
      </c>
      <c r="K336" s="46">
        <v>1</v>
      </c>
      <c r="L336" s="35"/>
      <c r="N336" s="47">
        <f>ROUND((_11_A家事増１０．５*_11・２人),0)</f>
        <v>1470</v>
      </c>
      <c r="O336" s="48"/>
    </row>
    <row r="337" spans="1:15" ht="16.5" customHeight="1" x14ac:dyDescent="0.15">
      <c r="A337" s="41">
        <v>11</v>
      </c>
      <c r="B337" s="41">
        <v>6465</v>
      </c>
      <c r="C337" s="74" t="s">
        <v>10990</v>
      </c>
      <c r="D337" s="709"/>
      <c r="E337" s="718"/>
      <c r="F337" s="752" t="s">
        <v>400</v>
      </c>
      <c r="G337" s="219" t="s">
        <v>398</v>
      </c>
      <c r="H337" s="50">
        <v>0.9</v>
      </c>
      <c r="I337" s="44"/>
      <c r="J337" s="218"/>
      <c r="K337" s="46"/>
      <c r="L337" s="35"/>
      <c r="N337" s="47">
        <f>ROUND((_11_A家事増１０．５*_11・基礎２),0)</f>
        <v>1323</v>
      </c>
      <c r="O337" s="48"/>
    </row>
    <row r="338" spans="1:15" ht="16.5" customHeight="1" x14ac:dyDescent="0.15">
      <c r="A338" s="41">
        <v>11</v>
      </c>
      <c r="B338" s="41">
        <v>6466</v>
      </c>
      <c r="C338" s="74" t="s">
        <v>10991</v>
      </c>
      <c r="D338" s="100">
        <f>_11_A家事増１０．５</f>
        <v>1470</v>
      </c>
      <c r="E338" s="12" t="s">
        <v>392</v>
      </c>
      <c r="F338" s="711"/>
      <c r="G338" s="216"/>
      <c r="H338" s="38"/>
      <c r="I338" s="44" t="s">
        <v>397</v>
      </c>
      <c r="J338" s="247" t="s">
        <v>398</v>
      </c>
      <c r="K338" s="46">
        <v>1</v>
      </c>
      <c r="L338" s="43"/>
      <c r="M338" s="38"/>
      <c r="N338" s="47">
        <f>ROUND((ROUND((_11_A家事増１０．５*_11・基礎２),0)*_11・２人),0)</f>
        <v>1323</v>
      </c>
      <c r="O338" s="48"/>
    </row>
    <row r="339" spans="1:15" ht="16.5" customHeight="1" x14ac:dyDescent="0.15">
      <c r="A339" s="41">
        <v>11</v>
      </c>
      <c r="B339" s="41" t="s">
        <v>10992</v>
      </c>
      <c r="C339" s="74" t="s">
        <v>10993</v>
      </c>
      <c r="D339" s="72"/>
      <c r="F339" s="53"/>
      <c r="G339" s="49"/>
      <c r="H339" s="50"/>
      <c r="I339" s="44"/>
      <c r="J339" s="45"/>
      <c r="K339" s="46"/>
      <c r="L339" s="707" t="s">
        <v>404</v>
      </c>
      <c r="M339" s="708"/>
      <c r="N339" s="47">
        <f>ROUND((_11_A家事増１０．５*_11・初任),0)</f>
        <v>1029</v>
      </c>
      <c r="O339" s="48"/>
    </row>
    <row r="340" spans="1:15" ht="16.5" customHeight="1" x14ac:dyDescent="0.15">
      <c r="A340" s="41">
        <v>11</v>
      </c>
      <c r="B340" s="41" t="s">
        <v>10994</v>
      </c>
      <c r="C340" s="74" t="s">
        <v>10995</v>
      </c>
      <c r="D340" s="72"/>
      <c r="F340" s="43"/>
      <c r="G340" s="37"/>
      <c r="H340" s="38"/>
      <c r="I340" s="44" t="s">
        <v>397</v>
      </c>
      <c r="J340" s="218" t="s">
        <v>398</v>
      </c>
      <c r="K340" s="46">
        <v>1</v>
      </c>
      <c r="L340" s="709"/>
      <c r="M340" s="704"/>
      <c r="N340" s="47">
        <f>ROUND((ROUND((_11_A家事増１０．５*_11・２人),0)*_11・初任),0)</f>
        <v>1029</v>
      </c>
      <c r="O340" s="48"/>
    </row>
    <row r="341" spans="1:15" ht="16.5" customHeight="1" x14ac:dyDescent="0.15">
      <c r="A341" s="41">
        <v>11</v>
      </c>
      <c r="B341" s="41" t="s">
        <v>10996</v>
      </c>
      <c r="C341" s="74" t="s">
        <v>10997</v>
      </c>
      <c r="D341" s="72"/>
      <c r="F341" s="752" t="s">
        <v>400</v>
      </c>
      <c r="G341" s="219" t="s">
        <v>398</v>
      </c>
      <c r="H341" s="50">
        <v>0.9</v>
      </c>
      <c r="I341" s="44"/>
      <c r="J341" s="218"/>
      <c r="K341" s="46"/>
      <c r="L341" s="709"/>
      <c r="M341" s="704"/>
      <c r="N341" s="47">
        <f>ROUND((ROUND((_11_A家事増１０．５*_11・基礎２),0)*_11・初任),0)</f>
        <v>926</v>
      </c>
      <c r="O341" s="48"/>
    </row>
    <row r="342" spans="1:15" ht="16.5" customHeight="1" x14ac:dyDescent="0.15">
      <c r="A342" s="41">
        <v>11</v>
      </c>
      <c r="B342" s="41" t="s">
        <v>10998</v>
      </c>
      <c r="C342" s="74" t="s">
        <v>10999</v>
      </c>
      <c r="D342" s="122"/>
      <c r="E342" s="37"/>
      <c r="F342" s="711"/>
      <c r="G342" s="216"/>
      <c r="H342" s="38"/>
      <c r="I342" s="44" t="s">
        <v>397</v>
      </c>
      <c r="J342" s="247" t="s">
        <v>398</v>
      </c>
      <c r="K342" s="46">
        <v>1</v>
      </c>
      <c r="L342" s="240" t="s">
        <v>398</v>
      </c>
      <c r="M342" s="38">
        <f>_11・初任</f>
        <v>0.7</v>
      </c>
      <c r="N342" s="47">
        <f>ROUND((ROUND((ROUND((_11_A家事増１０．５*_11・基礎２),0)*_11・２人),0)*_11・初任),0)</f>
        <v>926</v>
      </c>
      <c r="O342" s="63"/>
    </row>
    <row r="343" spans="1:15" ht="16.5" customHeight="1" x14ac:dyDescent="0.15"/>
    <row r="344" spans="1:15" ht="16.5" customHeight="1" x14ac:dyDescent="0.15"/>
  </sheetData>
  <mergeCells count="168">
    <mergeCell ref="L331:M333"/>
    <mergeCell ref="F333:F334"/>
    <mergeCell ref="D335:E337"/>
    <mergeCell ref="F337:F338"/>
    <mergeCell ref="L339:M341"/>
    <mergeCell ref="F341:F342"/>
    <mergeCell ref="D319:E321"/>
    <mergeCell ref="F321:F322"/>
    <mergeCell ref="L323:M325"/>
    <mergeCell ref="F325:F326"/>
    <mergeCell ref="D327:E329"/>
    <mergeCell ref="F329:F330"/>
    <mergeCell ref="L307:M309"/>
    <mergeCell ref="F309:F310"/>
    <mergeCell ref="D311:E313"/>
    <mergeCell ref="F313:F314"/>
    <mergeCell ref="L315:M317"/>
    <mergeCell ref="F317:F318"/>
    <mergeCell ref="D295:E297"/>
    <mergeCell ref="F297:F298"/>
    <mergeCell ref="L299:M301"/>
    <mergeCell ref="F301:F302"/>
    <mergeCell ref="D303:E305"/>
    <mergeCell ref="F305:F306"/>
    <mergeCell ref="L283:M285"/>
    <mergeCell ref="F285:F286"/>
    <mergeCell ref="D287:E289"/>
    <mergeCell ref="F289:F290"/>
    <mergeCell ref="L291:M293"/>
    <mergeCell ref="F293:F294"/>
    <mergeCell ref="D271:E273"/>
    <mergeCell ref="F273:F274"/>
    <mergeCell ref="L275:M277"/>
    <mergeCell ref="F277:F278"/>
    <mergeCell ref="D279:E281"/>
    <mergeCell ref="F281:F282"/>
    <mergeCell ref="L259:M261"/>
    <mergeCell ref="F261:F262"/>
    <mergeCell ref="D263:E265"/>
    <mergeCell ref="F265:F266"/>
    <mergeCell ref="L267:M269"/>
    <mergeCell ref="F269:F270"/>
    <mergeCell ref="D247:E249"/>
    <mergeCell ref="F249:F250"/>
    <mergeCell ref="L251:M253"/>
    <mergeCell ref="F253:F254"/>
    <mergeCell ref="D255:E257"/>
    <mergeCell ref="F257:F258"/>
    <mergeCell ref="L235:M237"/>
    <mergeCell ref="F237:F238"/>
    <mergeCell ref="D239:E241"/>
    <mergeCell ref="F241:F242"/>
    <mergeCell ref="L243:M245"/>
    <mergeCell ref="F245:F246"/>
    <mergeCell ref="D223:E225"/>
    <mergeCell ref="F225:F226"/>
    <mergeCell ref="L227:M229"/>
    <mergeCell ref="F229:F230"/>
    <mergeCell ref="D231:E233"/>
    <mergeCell ref="F233:F234"/>
    <mergeCell ref="L211:M213"/>
    <mergeCell ref="F213:F214"/>
    <mergeCell ref="D215:E217"/>
    <mergeCell ref="F217:F218"/>
    <mergeCell ref="L219:M221"/>
    <mergeCell ref="F221:F222"/>
    <mergeCell ref="D199:E201"/>
    <mergeCell ref="F201:F202"/>
    <mergeCell ref="L203:M205"/>
    <mergeCell ref="F205:F206"/>
    <mergeCell ref="D207:E209"/>
    <mergeCell ref="F209:F210"/>
    <mergeCell ref="L187:M189"/>
    <mergeCell ref="F189:F190"/>
    <mergeCell ref="D191:E193"/>
    <mergeCell ref="F193:F194"/>
    <mergeCell ref="L195:M197"/>
    <mergeCell ref="F197:F198"/>
    <mergeCell ref="D175:E177"/>
    <mergeCell ref="F177:F178"/>
    <mergeCell ref="L179:M181"/>
    <mergeCell ref="F181:F182"/>
    <mergeCell ref="D183:E185"/>
    <mergeCell ref="F185:F186"/>
    <mergeCell ref="L163:M165"/>
    <mergeCell ref="F165:F166"/>
    <mergeCell ref="D167:E169"/>
    <mergeCell ref="F169:F170"/>
    <mergeCell ref="L171:M173"/>
    <mergeCell ref="F173:F174"/>
    <mergeCell ref="D151:E153"/>
    <mergeCell ref="F153:F154"/>
    <mergeCell ref="L155:M157"/>
    <mergeCell ref="F157:F158"/>
    <mergeCell ref="D159:E161"/>
    <mergeCell ref="F161:F162"/>
    <mergeCell ref="L139:M141"/>
    <mergeCell ref="F141:F142"/>
    <mergeCell ref="D143:E145"/>
    <mergeCell ref="F145:F146"/>
    <mergeCell ref="L147:M149"/>
    <mergeCell ref="F149:F150"/>
    <mergeCell ref="D127:E129"/>
    <mergeCell ref="F129:F130"/>
    <mergeCell ref="L131:M133"/>
    <mergeCell ref="F133:F134"/>
    <mergeCell ref="D135:E137"/>
    <mergeCell ref="F137:F138"/>
    <mergeCell ref="L115:M117"/>
    <mergeCell ref="F117:F118"/>
    <mergeCell ref="D119:E121"/>
    <mergeCell ref="F121:F122"/>
    <mergeCell ref="L123:M125"/>
    <mergeCell ref="F125:F126"/>
    <mergeCell ref="D103:E105"/>
    <mergeCell ref="F105:F106"/>
    <mergeCell ref="L107:M109"/>
    <mergeCell ref="F109:F110"/>
    <mergeCell ref="D111:E113"/>
    <mergeCell ref="F113:F114"/>
    <mergeCell ref="L91:M93"/>
    <mergeCell ref="F93:F94"/>
    <mergeCell ref="D95:E97"/>
    <mergeCell ref="F97:F98"/>
    <mergeCell ref="L99:M101"/>
    <mergeCell ref="F101:F102"/>
    <mergeCell ref="D79:E81"/>
    <mergeCell ref="F81:F82"/>
    <mergeCell ref="L83:M85"/>
    <mergeCell ref="F85:F86"/>
    <mergeCell ref="D87:E89"/>
    <mergeCell ref="F89:F90"/>
    <mergeCell ref="L67:M69"/>
    <mergeCell ref="F69:F70"/>
    <mergeCell ref="D71:E73"/>
    <mergeCell ref="F73:F74"/>
    <mergeCell ref="L75:M77"/>
    <mergeCell ref="F77:F78"/>
    <mergeCell ref="D55:E57"/>
    <mergeCell ref="F57:F58"/>
    <mergeCell ref="L59:M61"/>
    <mergeCell ref="F61:F62"/>
    <mergeCell ref="D63:E65"/>
    <mergeCell ref="F65:F66"/>
    <mergeCell ref="L43:M45"/>
    <mergeCell ref="F45:F46"/>
    <mergeCell ref="D47:E49"/>
    <mergeCell ref="F49:F50"/>
    <mergeCell ref="L51:M53"/>
    <mergeCell ref="F53:F54"/>
    <mergeCell ref="D31:E33"/>
    <mergeCell ref="F33:F34"/>
    <mergeCell ref="L35:M37"/>
    <mergeCell ref="F37:F38"/>
    <mergeCell ref="D39:E41"/>
    <mergeCell ref="F41:F42"/>
    <mergeCell ref="L19:M21"/>
    <mergeCell ref="F21:F22"/>
    <mergeCell ref="D23:E25"/>
    <mergeCell ref="F25:F26"/>
    <mergeCell ref="L27:M29"/>
    <mergeCell ref="F29:F30"/>
    <mergeCell ref="D7:E9"/>
    <mergeCell ref="F9:F10"/>
    <mergeCell ref="L11:M13"/>
    <mergeCell ref="F13:F14"/>
    <mergeCell ref="D15:E17"/>
    <mergeCell ref="F17:F18"/>
  </mergeCells>
  <phoneticPr fontId="1"/>
  <printOptions horizontalCentered="1"/>
  <pageMargins left="0.70866141732283472" right="0.70866141732283472" top="0.74803149606299213" bottom="0.74803149606299213" header="0.31496062992125984" footer="0.31496062992125984"/>
  <pageSetup paperSize="9" scale="58" fitToHeight="0" orientation="portrait" r:id="rId1"/>
  <headerFooter>
    <oddHeader>&amp;R&amp;"ＭＳ Ｐゴシック"&amp;9居宅介護</oddHeader>
    <oddFooter>&amp;C&amp;"ＭＳ Ｐゴシック"&amp;14&amp;P</oddFooter>
  </headerFooter>
  <rowBreaks count="4" manualBreakCount="4">
    <brk id="78" max="14" man="1"/>
    <brk id="150" max="14" man="1"/>
    <brk id="222" max="14" man="1"/>
    <brk id="294" max="14"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8"/>
  <dimension ref="A1:R237"/>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0" customWidth="1"/>
    <col min="5" max="5" width="4.875" style="12" customWidth="1"/>
    <col min="6" max="6" width="11.875" style="12" customWidth="1"/>
    <col min="7" max="7" width="2.5" style="16" customWidth="1"/>
    <col min="8" max="8" width="4.5" style="13" bestFit="1" customWidth="1"/>
    <col min="9" max="9" width="23.875" style="12" customWidth="1"/>
    <col min="10" max="10" width="2.5" style="16" customWidth="1"/>
    <col min="11" max="11" width="5.5" style="13" bestFit="1" customWidth="1"/>
    <col min="12" max="12" width="2.5" style="12" customWidth="1"/>
    <col min="13" max="13" width="3.875" style="12" customWidth="1"/>
    <col min="14" max="14" width="4.5" style="13" bestFit="1" customWidth="1"/>
    <col min="15" max="15" width="9.875" style="12" customWidth="1"/>
    <col min="16" max="16" width="4.5" style="13" bestFit="1" customWidth="1"/>
    <col min="17" max="17" width="7.125" style="15" customWidth="1"/>
    <col min="18" max="18" width="8.5" style="16" customWidth="1"/>
    <col min="19" max="16384" width="8.875" style="12"/>
  </cols>
  <sheetData>
    <row r="1" spans="1:18" ht="17.100000000000001" customHeight="1" x14ac:dyDescent="0.15"/>
    <row r="2" spans="1:18" ht="17.100000000000001" customHeight="1" x14ac:dyDescent="0.15"/>
    <row r="3" spans="1:18" ht="17.100000000000001" customHeight="1" x14ac:dyDescent="0.15"/>
    <row r="4" spans="1:18" ht="17.100000000000001" customHeight="1" x14ac:dyDescent="0.15">
      <c r="B4" s="17" t="s">
        <v>11000</v>
      </c>
      <c r="D4" s="71"/>
    </row>
    <row r="5" spans="1:18" ht="16.5" customHeight="1" x14ac:dyDescent="0.15">
      <c r="A5" s="19" t="s">
        <v>384</v>
      </c>
      <c r="B5" s="20"/>
      <c r="C5" s="21" t="s">
        <v>385</v>
      </c>
      <c r="D5" s="235" t="s">
        <v>386</v>
      </c>
      <c r="E5" s="23"/>
      <c r="F5" s="23"/>
      <c r="G5" s="23"/>
      <c r="H5" s="24"/>
      <c r="I5" s="23"/>
      <c r="J5" s="23"/>
      <c r="K5" s="24"/>
      <c r="L5" s="23"/>
      <c r="M5" s="23"/>
      <c r="N5" s="24"/>
      <c r="O5" s="23"/>
      <c r="P5" s="24"/>
      <c r="Q5" s="25" t="s">
        <v>387</v>
      </c>
      <c r="R5" s="21" t="s">
        <v>388</v>
      </c>
    </row>
    <row r="6" spans="1:18" ht="16.5" customHeight="1" x14ac:dyDescent="0.15">
      <c r="A6" s="26" t="s">
        <v>389</v>
      </c>
      <c r="B6" s="26" t="s">
        <v>390</v>
      </c>
      <c r="C6" s="27"/>
      <c r="D6" s="159"/>
      <c r="E6" s="29"/>
      <c r="F6" s="29"/>
      <c r="G6" s="214"/>
      <c r="H6" s="30"/>
      <c r="I6" s="29"/>
      <c r="J6" s="214"/>
      <c r="K6" s="30"/>
      <c r="L6" s="29"/>
      <c r="M6" s="29"/>
      <c r="N6" s="30"/>
      <c r="O6" s="29"/>
      <c r="P6" s="30"/>
      <c r="Q6" s="31" t="s">
        <v>391</v>
      </c>
      <c r="R6" s="32" t="s">
        <v>392</v>
      </c>
    </row>
    <row r="7" spans="1:18" ht="16.5" customHeight="1" x14ac:dyDescent="0.15">
      <c r="A7" s="33">
        <v>11</v>
      </c>
      <c r="B7" s="33">
        <v>8171</v>
      </c>
      <c r="C7" s="34" t="s">
        <v>11001</v>
      </c>
      <c r="D7" s="709" t="s">
        <v>11002</v>
      </c>
      <c r="E7" s="718"/>
      <c r="F7" s="35"/>
      <c r="I7" s="43"/>
      <c r="J7" s="216"/>
      <c r="K7" s="38"/>
      <c r="L7" s="35" t="s">
        <v>674</v>
      </c>
      <c r="N7" s="234"/>
      <c r="O7" s="35"/>
      <c r="Q7" s="39">
        <f>ROUND((_11_A家事増０．２５*(1+_11・A早朝)),0)</f>
        <v>44</v>
      </c>
      <c r="R7" s="40" t="s">
        <v>395</v>
      </c>
    </row>
    <row r="8" spans="1:18" ht="16.5" customHeight="1" x14ac:dyDescent="0.15">
      <c r="A8" s="41">
        <v>11</v>
      </c>
      <c r="B8" s="41">
        <v>8172</v>
      </c>
      <c r="C8" s="74" t="s">
        <v>11003</v>
      </c>
      <c r="D8" s="709"/>
      <c r="E8" s="718"/>
      <c r="F8" s="43"/>
      <c r="G8" s="216"/>
      <c r="H8" s="38"/>
      <c r="I8" s="44" t="s">
        <v>397</v>
      </c>
      <c r="J8" s="218" t="s">
        <v>398</v>
      </c>
      <c r="K8" s="46">
        <v>1</v>
      </c>
      <c r="L8" s="248" t="s">
        <v>398</v>
      </c>
      <c r="M8" s="13">
        <v>0.25</v>
      </c>
      <c r="N8" s="718" t="s">
        <v>676</v>
      </c>
      <c r="O8" s="35"/>
      <c r="Q8" s="47">
        <f>ROUND((ROUND((_11_A家事増０．２５*_11・２人),0)*(1+_11・A早朝)),0)</f>
        <v>44</v>
      </c>
      <c r="R8" s="48"/>
    </row>
    <row r="9" spans="1:18" ht="16.5" customHeight="1" x14ac:dyDescent="0.15">
      <c r="A9" s="41">
        <v>11</v>
      </c>
      <c r="B9" s="41">
        <v>8173</v>
      </c>
      <c r="C9" s="74" t="s">
        <v>11004</v>
      </c>
      <c r="D9" s="709"/>
      <c r="E9" s="718"/>
      <c r="F9" s="752" t="s">
        <v>400</v>
      </c>
      <c r="G9" s="221" t="s">
        <v>398</v>
      </c>
      <c r="H9" s="50">
        <v>0.9</v>
      </c>
      <c r="I9" s="163"/>
      <c r="J9" s="218"/>
      <c r="K9" s="46"/>
      <c r="L9" s="35"/>
      <c r="N9" s="796"/>
      <c r="O9" s="35"/>
      <c r="Q9" s="47">
        <f>ROUND((ROUND((_11_A家事増０．２５*_11・基礎２),0)*(1+_11・A早朝)),0)</f>
        <v>40</v>
      </c>
      <c r="R9" s="48"/>
    </row>
    <row r="10" spans="1:18" ht="16.5" customHeight="1" x14ac:dyDescent="0.15">
      <c r="A10" s="41">
        <v>11</v>
      </c>
      <c r="B10" s="41">
        <v>8174</v>
      </c>
      <c r="C10" s="74" t="s">
        <v>11005</v>
      </c>
      <c r="D10" s="100">
        <f>_11_A家事増０．２５</f>
        <v>35</v>
      </c>
      <c r="E10" s="12" t="s">
        <v>392</v>
      </c>
      <c r="F10" s="711"/>
      <c r="G10" s="216"/>
      <c r="H10" s="38"/>
      <c r="I10" s="44" t="s">
        <v>397</v>
      </c>
      <c r="J10" s="218" t="s">
        <v>398</v>
      </c>
      <c r="K10" s="46">
        <v>1</v>
      </c>
      <c r="L10" s="35"/>
      <c r="O10" s="35"/>
      <c r="Q10" s="47">
        <f>ROUND((ROUND((ROUND((_11_A家事増０．２５*_11・基礎２),0)*_11・２人),0)*(1+_11・A早朝)),0)</f>
        <v>40</v>
      </c>
      <c r="R10" s="48"/>
    </row>
    <row r="11" spans="1:18" ht="16.5" customHeight="1" x14ac:dyDescent="0.15">
      <c r="A11" s="41">
        <v>11</v>
      </c>
      <c r="B11" s="41" t="s">
        <v>11006</v>
      </c>
      <c r="C11" s="74" t="s">
        <v>11007</v>
      </c>
      <c r="D11" s="72"/>
      <c r="F11" s="53"/>
      <c r="G11" s="221"/>
      <c r="H11" s="50"/>
      <c r="I11" s="163"/>
      <c r="J11" s="218"/>
      <c r="K11" s="46"/>
      <c r="L11" s="35"/>
      <c r="O11" s="707" t="s">
        <v>404</v>
      </c>
      <c r="P11" s="708"/>
      <c r="Q11" s="47">
        <f>ROUND((ROUND((_11_A家事増０．２５*(1+_11・A早朝)),0)*_11・初任),0)</f>
        <v>31</v>
      </c>
      <c r="R11" s="48"/>
    </row>
    <row r="12" spans="1:18" ht="16.5" customHeight="1" x14ac:dyDescent="0.15">
      <c r="A12" s="41">
        <v>11</v>
      </c>
      <c r="B12" s="41" t="s">
        <v>11008</v>
      </c>
      <c r="C12" s="74" t="s">
        <v>11009</v>
      </c>
      <c r="D12" s="72"/>
      <c r="F12" s="43"/>
      <c r="G12" s="216"/>
      <c r="H12" s="38"/>
      <c r="I12" s="44" t="s">
        <v>397</v>
      </c>
      <c r="J12" s="218" t="s">
        <v>398</v>
      </c>
      <c r="K12" s="46">
        <v>1</v>
      </c>
      <c r="L12" s="35"/>
      <c r="O12" s="709"/>
      <c r="P12" s="704"/>
      <c r="Q12" s="47">
        <f>ROUND((ROUND((ROUND((_11_A家事増０．２５*_11・２人),0)*(1+_11・A早朝)),0)*_11・初任),0)</f>
        <v>31</v>
      </c>
      <c r="R12" s="48"/>
    </row>
    <row r="13" spans="1:18" ht="16.5" customHeight="1" x14ac:dyDescent="0.15">
      <c r="A13" s="41">
        <v>11</v>
      </c>
      <c r="B13" s="41" t="s">
        <v>11010</v>
      </c>
      <c r="C13" s="74" t="s">
        <v>11011</v>
      </c>
      <c r="D13" s="72"/>
      <c r="F13" s="752" t="s">
        <v>400</v>
      </c>
      <c r="G13" s="221" t="s">
        <v>398</v>
      </c>
      <c r="H13" s="50">
        <v>0.9</v>
      </c>
      <c r="I13" s="163"/>
      <c r="J13" s="218"/>
      <c r="K13" s="46"/>
      <c r="L13" s="35"/>
      <c r="O13" s="709"/>
      <c r="P13" s="704"/>
      <c r="Q13" s="47">
        <f>ROUND((ROUND((ROUND((_11_A家事増０．２５*_11・基礎２),0)*(1+_11・A早朝)),0)*_11・初任),0)</f>
        <v>28</v>
      </c>
      <c r="R13" s="48"/>
    </row>
    <row r="14" spans="1:18" ht="16.5" customHeight="1" x14ac:dyDescent="0.15">
      <c r="A14" s="41">
        <v>11</v>
      </c>
      <c r="B14" s="41" t="s">
        <v>11012</v>
      </c>
      <c r="C14" s="74" t="s">
        <v>11013</v>
      </c>
      <c r="D14" s="72"/>
      <c r="F14" s="711"/>
      <c r="G14" s="216"/>
      <c r="H14" s="38"/>
      <c r="I14" s="44" t="s">
        <v>397</v>
      </c>
      <c r="J14" s="218" t="s">
        <v>398</v>
      </c>
      <c r="K14" s="46">
        <v>1</v>
      </c>
      <c r="L14" s="35"/>
      <c r="O14" s="240" t="s">
        <v>398</v>
      </c>
      <c r="P14" s="38">
        <f>_11・初任</f>
        <v>0.7</v>
      </c>
      <c r="Q14" s="47">
        <f>ROUND((ROUND((ROUND((ROUND((_11_A家事増０．２５*_11・基礎２),0)*_11・２人),0)*(1+_11・A早朝)),0)*_11・初任),0)</f>
        <v>28</v>
      </c>
      <c r="R14" s="48"/>
    </row>
    <row r="15" spans="1:18" ht="16.5" customHeight="1" x14ac:dyDescent="0.15">
      <c r="A15" s="41">
        <v>11</v>
      </c>
      <c r="B15" s="41">
        <v>6467</v>
      </c>
      <c r="C15" s="74" t="s">
        <v>11014</v>
      </c>
      <c r="D15" s="707" t="s">
        <v>11015</v>
      </c>
      <c r="E15" s="717"/>
      <c r="F15" s="53"/>
      <c r="G15" s="221"/>
      <c r="H15" s="50"/>
      <c r="I15" s="163"/>
      <c r="J15" s="218"/>
      <c r="K15" s="46"/>
      <c r="L15" s="35"/>
      <c r="O15" s="53"/>
      <c r="P15" s="50"/>
      <c r="Q15" s="47">
        <f>ROUND((_11_A家事増０．５*(1+_11・A早朝)),0)</f>
        <v>88</v>
      </c>
      <c r="R15" s="48"/>
    </row>
    <row r="16" spans="1:18" ht="16.5" customHeight="1" x14ac:dyDescent="0.15">
      <c r="A16" s="41">
        <v>11</v>
      </c>
      <c r="B16" s="41">
        <v>6468</v>
      </c>
      <c r="C16" s="74" t="s">
        <v>11016</v>
      </c>
      <c r="D16" s="709"/>
      <c r="E16" s="718"/>
      <c r="F16" s="43"/>
      <c r="G16" s="216"/>
      <c r="H16" s="38"/>
      <c r="I16" s="44" t="s">
        <v>397</v>
      </c>
      <c r="J16" s="218" t="s">
        <v>398</v>
      </c>
      <c r="K16" s="46">
        <v>1</v>
      </c>
      <c r="L16" s="35"/>
      <c r="O16" s="35"/>
      <c r="Q16" s="47">
        <f>ROUND((ROUND((_11_A家事増０．５*_11・２人),0)*(1+_11・A早朝)),0)</f>
        <v>88</v>
      </c>
      <c r="R16" s="48"/>
    </row>
    <row r="17" spans="1:18" ht="16.5" customHeight="1" x14ac:dyDescent="0.15">
      <c r="A17" s="41">
        <v>11</v>
      </c>
      <c r="B17" s="41">
        <v>6469</v>
      </c>
      <c r="C17" s="74" t="s">
        <v>11017</v>
      </c>
      <c r="D17" s="709"/>
      <c r="E17" s="718"/>
      <c r="F17" s="752" t="s">
        <v>400</v>
      </c>
      <c r="G17" s="221" t="s">
        <v>398</v>
      </c>
      <c r="H17" s="50">
        <v>0.9</v>
      </c>
      <c r="I17" s="163"/>
      <c r="J17" s="218"/>
      <c r="K17" s="46"/>
      <c r="L17" s="35"/>
      <c r="O17" s="35"/>
      <c r="Q17" s="47">
        <f>ROUND((ROUND((_11_A家事増０．５*_11・基礎２),0)*(1+_11・A早朝)),0)</f>
        <v>79</v>
      </c>
      <c r="R17" s="48"/>
    </row>
    <row r="18" spans="1:18" ht="16.5" customHeight="1" x14ac:dyDescent="0.15">
      <c r="A18" s="41">
        <v>11</v>
      </c>
      <c r="B18" s="41">
        <v>6470</v>
      </c>
      <c r="C18" s="74" t="s">
        <v>11018</v>
      </c>
      <c r="D18" s="100">
        <f>_11_A家事増０．５</f>
        <v>70</v>
      </c>
      <c r="E18" s="12" t="s">
        <v>392</v>
      </c>
      <c r="F18" s="711"/>
      <c r="G18" s="216"/>
      <c r="H18" s="38"/>
      <c r="I18" s="44" t="s">
        <v>397</v>
      </c>
      <c r="J18" s="218" t="s">
        <v>398</v>
      </c>
      <c r="K18" s="46">
        <v>1</v>
      </c>
      <c r="L18" s="35"/>
      <c r="O18" s="43"/>
      <c r="P18" s="38"/>
      <c r="Q18" s="47">
        <f>ROUND((ROUND((ROUND((_11_A家事増０．５*_11・基礎２),0)*_11・２人),0)*(1+_11・A早朝)),0)</f>
        <v>79</v>
      </c>
      <c r="R18" s="48"/>
    </row>
    <row r="19" spans="1:18" ht="16.5" customHeight="1" x14ac:dyDescent="0.15">
      <c r="A19" s="41">
        <v>11</v>
      </c>
      <c r="B19" s="41" t="s">
        <v>11019</v>
      </c>
      <c r="C19" s="74" t="s">
        <v>11020</v>
      </c>
      <c r="D19" s="72"/>
      <c r="F19" s="53"/>
      <c r="G19" s="221"/>
      <c r="H19" s="50"/>
      <c r="I19" s="163"/>
      <c r="J19" s="218"/>
      <c r="K19" s="46"/>
      <c r="L19" s="35"/>
      <c r="O19" s="707" t="s">
        <v>404</v>
      </c>
      <c r="P19" s="708"/>
      <c r="Q19" s="47">
        <f>ROUND((ROUND((_11_A家事増０．５*(1+_11・A早朝)),0)*_11・初任),0)</f>
        <v>62</v>
      </c>
      <c r="R19" s="48"/>
    </row>
    <row r="20" spans="1:18" ht="16.5" customHeight="1" x14ac:dyDescent="0.15">
      <c r="A20" s="41">
        <v>11</v>
      </c>
      <c r="B20" s="41" t="s">
        <v>11021</v>
      </c>
      <c r="C20" s="74" t="s">
        <v>11022</v>
      </c>
      <c r="D20" s="72"/>
      <c r="F20" s="43"/>
      <c r="G20" s="216"/>
      <c r="H20" s="38"/>
      <c r="I20" s="44" t="s">
        <v>397</v>
      </c>
      <c r="J20" s="218" t="s">
        <v>398</v>
      </c>
      <c r="K20" s="46">
        <v>1</v>
      </c>
      <c r="L20" s="35"/>
      <c r="O20" s="709"/>
      <c r="P20" s="704"/>
      <c r="Q20" s="47">
        <f>ROUND((ROUND((ROUND((_11_A家事増０．５*_11・２人),0)*(1+_11・A早朝)),0)*_11・初任),0)</f>
        <v>62</v>
      </c>
      <c r="R20" s="48"/>
    </row>
    <row r="21" spans="1:18" ht="16.5" customHeight="1" x14ac:dyDescent="0.15">
      <c r="A21" s="41">
        <v>11</v>
      </c>
      <c r="B21" s="41" t="s">
        <v>11023</v>
      </c>
      <c r="C21" s="74" t="s">
        <v>11024</v>
      </c>
      <c r="D21" s="72"/>
      <c r="F21" s="752" t="s">
        <v>400</v>
      </c>
      <c r="G21" s="221" t="s">
        <v>398</v>
      </c>
      <c r="H21" s="50">
        <v>0.9</v>
      </c>
      <c r="I21" s="163"/>
      <c r="J21" s="218"/>
      <c r="K21" s="46"/>
      <c r="L21" s="35"/>
      <c r="O21" s="709"/>
      <c r="P21" s="704"/>
      <c r="Q21" s="47">
        <f>ROUND((ROUND((ROUND((_11_A家事増０．５*_11・基礎２),0)*(1+_11・A早朝)),0)*_11・初任),0)</f>
        <v>55</v>
      </c>
      <c r="R21" s="48"/>
    </row>
    <row r="22" spans="1:18" ht="16.5" customHeight="1" x14ac:dyDescent="0.15">
      <c r="A22" s="41">
        <v>11</v>
      </c>
      <c r="B22" s="41" t="s">
        <v>11025</v>
      </c>
      <c r="C22" s="74" t="s">
        <v>11026</v>
      </c>
      <c r="D22" s="72"/>
      <c r="F22" s="711"/>
      <c r="G22" s="216"/>
      <c r="H22" s="38"/>
      <c r="I22" s="44" t="s">
        <v>397</v>
      </c>
      <c r="J22" s="218" t="s">
        <v>398</v>
      </c>
      <c r="K22" s="46">
        <v>1</v>
      </c>
      <c r="L22" s="35"/>
      <c r="O22" s="240" t="s">
        <v>398</v>
      </c>
      <c r="P22" s="38">
        <f>_11・初任</f>
        <v>0.7</v>
      </c>
      <c r="Q22" s="47">
        <f>ROUND((ROUND((ROUND((ROUND((_11_A家事増０．５*_11・基礎２),0)*_11・２人),0)*(1+_11・A早朝)),0)*_11・初任),0)</f>
        <v>55</v>
      </c>
      <c r="R22" s="48"/>
    </row>
    <row r="23" spans="1:18" ht="16.5" customHeight="1" x14ac:dyDescent="0.15">
      <c r="A23" s="41">
        <v>11</v>
      </c>
      <c r="B23" s="41">
        <v>8175</v>
      </c>
      <c r="C23" s="74" t="s">
        <v>11027</v>
      </c>
      <c r="D23" s="707" t="s">
        <v>11028</v>
      </c>
      <c r="E23" s="717"/>
      <c r="F23" s="53"/>
      <c r="G23" s="221"/>
      <c r="H23" s="50"/>
      <c r="I23" s="163"/>
      <c r="J23" s="218"/>
      <c r="K23" s="46"/>
      <c r="L23" s="35"/>
      <c r="O23" s="53"/>
      <c r="P23" s="50"/>
      <c r="Q23" s="47">
        <f>ROUND((_11_A家事増０．７５*(1+_11・A早朝)),0)</f>
        <v>131</v>
      </c>
      <c r="R23" s="48"/>
    </row>
    <row r="24" spans="1:18" ht="16.5" customHeight="1" x14ac:dyDescent="0.15">
      <c r="A24" s="41">
        <v>11</v>
      </c>
      <c r="B24" s="41">
        <v>8176</v>
      </c>
      <c r="C24" s="74" t="s">
        <v>11029</v>
      </c>
      <c r="D24" s="709"/>
      <c r="E24" s="718"/>
      <c r="F24" s="43"/>
      <c r="G24" s="216"/>
      <c r="H24" s="38"/>
      <c r="I24" s="44" t="s">
        <v>397</v>
      </c>
      <c r="J24" s="218" t="s">
        <v>398</v>
      </c>
      <c r="K24" s="46">
        <v>1</v>
      </c>
      <c r="L24" s="35"/>
      <c r="O24" s="35"/>
      <c r="Q24" s="47">
        <f>ROUND((ROUND((_11_A家事増０．７５*_11・２人),0)*(1+_11・A早朝)),0)</f>
        <v>131</v>
      </c>
      <c r="R24" s="48"/>
    </row>
    <row r="25" spans="1:18" ht="16.5" customHeight="1" x14ac:dyDescent="0.15">
      <c r="A25" s="41">
        <v>11</v>
      </c>
      <c r="B25" s="41">
        <v>8177</v>
      </c>
      <c r="C25" s="74" t="s">
        <v>11030</v>
      </c>
      <c r="D25" s="709"/>
      <c r="E25" s="718"/>
      <c r="F25" s="752" t="s">
        <v>400</v>
      </c>
      <c r="G25" s="221" t="s">
        <v>398</v>
      </c>
      <c r="H25" s="50">
        <v>0.9</v>
      </c>
      <c r="I25" s="163"/>
      <c r="J25" s="218"/>
      <c r="K25" s="46"/>
      <c r="L25" s="35"/>
      <c r="O25" s="35"/>
      <c r="Q25" s="47">
        <f>ROUND((ROUND((_11_A家事増０．７５*_11・基礎２),0)*(1+_11・A早朝)),0)</f>
        <v>119</v>
      </c>
      <c r="R25" s="48"/>
    </row>
    <row r="26" spans="1:18" ht="16.5" customHeight="1" x14ac:dyDescent="0.15">
      <c r="A26" s="41">
        <v>11</v>
      </c>
      <c r="B26" s="41">
        <v>8178</v>
      </c>
      <c r="C26" s="74" t="s">
        <v>11031</v>
      </c>
      <c r="D26" s="100">
        <f>_11_A家事増０．７５</f>
        <v>105</v>
      </c>
      <c r="E26" s="12" t="s">
        <v>392</v>
      </c>
      <c r="F26" s="711"/>
      <c r="G26" s="216"/>
      <c r="H26" s="38"/>
      <c r="I26" s="44" t="s">
        <v>397</v>
      </c>
      <c r="J26" s="218" t="s">
        <v>398</v>
      </c>
      <c r="K26" s="46">
        <v>1</v>
      </c>
      <c r="L26" s="35"/>
      <c r="O26" s="43"/>
      <c r="P26" s="38"/>
      <c r="Q26" s="47">
        <f>ROUND((ROUND((ROUND((_11_A家事増０．７５*_11・基礎２),0)*_11・２人),0)*(1+_11・A早朝)),0)</f>
        <v>119</v>
      </c>
      <c r="R26" s="48"/>
    </row>
    <row r="27" spans="1:18" ht="16.5" customHeight="1" x14ac:dyDescent="0.15">
      <c r="A27" s="41">
        <v>11</v>
      </c>
      <c r="B27" s="41" t="s">
        <v>11032</v>
      </c>
      <c r="C27" s="74" t="s">
        <v>11033</v>
      </c>
      <c r="D27" s="72"/>
      <c r="F27" s="53"/>
      <c r="G27" s="221"/>
      <c r="H27" s="50"/>
      <c r="I27" s="163"/>
      <c r="J27" s="218"/>
      <c r="K27" s="46"/>
      <c r="L27" s="35"/>
      <c r="O27" s="707" t="s">
        <v>404</v>
      </c>
      <c r="P27" s="708"/>
      <c r="Q27" s="47">
        <f>ROUND((ROUND((_11_A家事増０．７５*(1+_11・A早朝)),0)*_11・初任),0)</f>
        <v>92</v>
      </c>
      <c r="R27" s="48"/>
    </row>
    <row r="28" spans="1:18" ht="16.5" customHeight="1" x14ac:dyDescent="0.15">
      <c r="A28" s="41">
        <v>11</v>
      </c>
      <c r="B28" s="41" t="s">
        <v>11034</v>
      </c>
      <c r="C28" s="74" t="s">
        <v>11035</v>
      </c>
      <c r="D28" s="72"/>
      <c r="F28" s="43"/>
      <c r="G28" s="216"/>
      <c r="H28" s="38"/>
      <c r="I28" s="44" t="s">
        <v>397</v>
      </c>
      <c r="J28" s="218" t="s">
        <v>398</v>
      </c>
      <c r="K28" s="46">
        <v>1</v>
      </c>
      <c r="L28" s="35"/>
      <c r="O28" s="709"/>
      <c r="P28" s="704"/>
      <c r="Q28" s="47">
        <f>ROUND((ROUND((ROUND((_11_A家事増０．７５*_11・２人),0)*(1+_11・A早朝)),0)*_11・初任),0)</f>
        <v>92</v>
      </c>
      <c r="R28" s="48"/>
    </row>
    <row r="29" spans="1:18" ht="16.5" customHeight="1" x14ac:dyDescent="0.15">
      <c r="A29" s="41">
        <v>11</v>
      </c>
      <c r="B29" s="41" t="s">
        <v>11036</v>
      </c>
      <c r="C29" s="74" t="s">
        <v>11037</v>
      </c>
      <c r="D29" s="72"/>
      <c r="F29" s="752" t="s">
        <v>400</v>
      </c>
      <c r="G29" s="221" t="s">
        <v>398</v>
      </c>
      <c r="H29" s="50">
        <v>0.9</v>
      </c>
      <c r="I29" s="163"/>
      <c r="J29" s="218"/>
      <c r="K29" s="46"/>
      <c r="L29" s="35"/>
      <c r="O29" s="709"/>
      <c r="P29" s="704"/>
      <c r="Q29" s="47">
        <f>ROUND((ROUND((ROUND((_11_A家事増０．７５*_11・基礎２),0)*(1+_11・A早朝)),0)*_11・初任),0)</f>
        <v>83</v>
      </c>
      <c r="R29" s="48"/>
    </row>
    <row r="30" spans="1:18" ht="16.5" customHeight="1" x14ac:dyDescent="0.15">
      <c r="A30" s="41">
        <v>11</v>
      </c>
      <c r="B30" s="41" t="s">
        <v>11038</v>
      </c>
      <c r="C30" s="74" t="s">
        <v>11039</v>
      </c>
      <c r="D30" s="72"/>
      <c r="F30" s="711"/>
      <c r="G30" s="216"/>
      <c r="H30" s="38"/>
      <c r="I30" s="44" t="s">
        <v>397</v>
      </c>
      <c r="J30" s="218" t="s">
        <v>398</v>
      </c>
      <c r="K30" s="46">
        <v>1</v>
      </c>
      <c r="L30" s="35"/>
      <c r="O30" s="240" t="s">
        <v>398</v>
      </c>
      <c r="P30" s="38">
        <f>_11・初任</f>
        <v>0.7</v>
      </c>
      <c r="Q30" s="47">
        <f>ROUND((ROUND((ROUND((ROUND((_11_A家事増０．７５*_11・基礎２),0)*_11・２人),0)*(1+_11・A早朝)),0)*_11・初任),0)</f>
        <v>83</v>
      </c>
      <c r="R30" s="48"/>
    </row>
    <row r="31" spans="1:18" ht="16.5" customHeight="1" x14ac:dyDescent="0.15">
      <c r="A31" s="41">
        <v>11</v>
      </c>
      <c r="B31" s="41">
        <v>6471</v>
      </c>
      <c r="C31" s="74" t="s">
        <v>11040</v>
      </c>
      <c r="D31" s="707" t="s">
        <v>11041</v>
      </c>
      <c r="E31" s="717"/>
      <c r="F31" s="53"/>
      <c r="G31" s="221"/>
      <c r="H31" s="50"/>
      <c r="I31" s="163"/>
      <c r="J31" s="218"/>
      <c r="K31" s="46"/>
      <c r="L31" s="35"/>
      <c r="O31" s="53"/>
      <c r="P31" s="50"/>
      <c r="Q31" s="47">
        <f>ROUND((_11_A家事増１．０*(1+_11・A早朝)),0)</f>
        <v>175</v>
      </c>
      <c r="R31" s="48"/>
    </row>
    <row r="32" spans="1:18" ht="16.5" customHeight="1" x14ac:dyDescent="0.15">
      <c r="A32" s="41">
        <v>11</v>
      </c>
      <c r="B32" s="41">
        <v>6472</v>
      </c>
      <c r="C32" s="74" t="s">
        <v>11042</v>
      </c>
      <c r="D32" s="709"/>
      <c r="E32" s="718"/>
      <c r="F32" s="43"/>
      <c r="G32" s="216"/>
      <c r="H32" s="38"/>
      <c r="I32" s="44" t="s">
        <v>397</v>
      </c>
      <c r="J32" s="218" t="s">
        <v>398</v>
      </c>
      <c r="K32" s="46">
        <v>1</v>
      </c>
      <c r="L32" s="35"/>
      <c r="O32" s="35"/>
      <c r="Q32" s="47">
        <f>ROUND((ROUND((_11_A家事増１．０*_11・２人),0)*(1+_11・A早朝)),0)</f>
        <v>175</v>
      </c>
      <c r="R32" s="48"/>
    </row>
    <row r="33" spans="1:18" ht="16.5" customHeight="1" x14ac:dyDescent="0.15">
      <c r="A33" s="41">
        <v>11</v>
      </c>
      <c r="B33" s="41">
        <v>6473</v>
      </c>
      <c r="C33" s="74" t="s">
        <v>11043</v>
      </c>
      <c r="D33" s="709"/>
      <c r="E33" s="718"/>
      <c r="F33" s="752" t="s">
        <v>400</v>
      </c>
      <c r="G33" s="221" t="s">
        <v>398</v>
      </c>
      <c r="H33" s="50">
        <v>0.9</v>
      </c>
      <c r="I33" s="163"/>
      <c r="J33" s="218"/>
      <c r="K33" s="46"/>
      <c r="L33" s="35"/>
      <c r="O33" s="35"/>
      <c r="Q33" s="47">
        <f>ROUND((ROUND((_11_A家事増１．０*_11・基礎２),0)*(1+_11・A早朝)),0)</f>
        <v>158</v>
      </c>
      <c r="R33" s="48"/>
    </row>
    <row r="34" spans="1:18" ht="16.5" customHeight="1" x14ac:dyDescent="0.15">
      <c r="A34" s="41">
        <v>11</v>
      </c>
      <c r="B34" s="41">
        <v>6474</v>
      </c>
      <c r="C34" s="74" t="s">
        <v>11044</v>
      </c>
      <c r="D34" s="100">
        <f>_11_A家事増１．０</f>
        <v>140</v>
      </c>
      <c r="E34" s="12" t="s">
        <v>392</v>
      </c>
      <c r="F34" s="711"/>
      <c r="G34" s="216"/>
      <c r="H34" s="38"/>
      <c r="I34" s="44" t="s">
        <v>397</v>
      </c>
      <c r="J34" s="218" t="s">
        <v>398</v>
      </c>
      <c r="K34" s="46">
        <v>1</v>
      </c>
      <c r="L34" s="35"/>
      <c r="O34" s="43"/>
      <c r="P34" s="38"/>
      <c r="Q34" s="47">
        <f>ROUND((ROUND((ROUND((_11_A家事増１．０*_11・基礎２),0)*_11・２人),0)*(1+_11・A早朝)),0)</f>
        <v>158</v>
      </c>
      <c r="R34" s="48"/>
    </row>
    <row r="35" spans="1:18" ht="16.5" customHeight="1" x14ac:dyDescent="0.15">
      <c r="A35" s="41">
        <v>11</v>
      </c>
      <c r="B35" s="41" t="s">
        <v>11045</v>
      </c>
      <c r="C35" s="74" t="s">
        <v>11046</v>
      </c>
      <c r="D35" s="72"/>
      <c r="F35" s="53"/>
      <c r="G35" s="221"/>
      <c r="H35" s="50"/>
      <c r="I35" s="163"/>
      <c r="J35" s="218"/>
      <c r="K35" s="46"/>
      <c r="L35" s="35"/>
      <c r="O35" s="707" t="s">
        <v>404</v>
      </c>
      <c r="P35" s="708"/>
      <c r="Q35" s="47">
        <f>ROUND((ROUND((_11_A家事増１．０*(1+_11・A早朝)),0)*_11・初任),0)</f>
        <v>123</v>
      </c>
      <c r="R35" s="48"/>
    </row>
    <row r="36" spans="1:18" ht="16.5" customHeight="1" x14ac:dyDescent="0.15">
      <c r="A36" s="41">
        <v>11</v>
      </c>
      <c r="B36" s="41" t="s">
        <v>11047</v>
      </c>
      <c r="C36" s="74" t="s">
        <v>11048</v>
      </c>
      <c r="D36" s="72"/>
      <c r="F36" s="43"/>
      <c r="G36" s="216"/>
      <c r="H36" s="38"/>
      <c r="I36" s="44" t="s">
        <v>397</v>
      </c>
      <c r="J36" s="218" t="s">
        <v>398</v>
      </c>
      <c r="K36" s="46">
        <v>1</v>
      </c>
      <c r="L36" s="35"/>
      <c r="O36" s="709"/>
      <c r="P36" s="704"/>
      <c r="Q36" s="47">
        <f>ROUND((ROUND((ROUND((_11_A家事増１．０*_11・２人),0)*(1+_11・A早朝)),0)*_11・初任),0)</f>
        <v>123</v>
      </c>
      <c r="R36" s="48"/>
    </row>
    <row r="37" spans="1:18" ht="16.5" customHeight="1" x14ac:dyDescent="0.15">
      <c r="A37" s="41">
        <v>11</v>
      </c>
      <c r="B37" s="41" t="s">
        <v>11049</v>
      </c>
      <c r="C37" s="74" t="s">
        <v>11050</v>
      </c>
      <c r="D37" s="72"/>
      <c r="F37" s="752" t="s">
        <v>400</v>
      </c>
      <c r="G37" s="221" t="s">
        <v>398</v>
      </c>
      <c r="H37" s="50">
        <v>0.9</v>
      </c>
      <c r="I37" s="163"/>
      <c r="J37" s="218"/>
      <c r="K37" s="46"/>
      <c r="L37" s="35"/>
      <c r="O37" s="709"/>
      <c r="P37" s="704"/>
      <c r="Q37" s="47">
        <f>ROUND((ROUND((ROUND((_11_A家事増１．０*_11・基礎２),0)*(1+_11・A早朝)),0)*_11・初任),0)</f>
        <v>111</v>
      </c>
      <c r="R37" s="48"/>
    </row>
    <row r="38" spans="1:18" ht="16.5" customHeight="1" x14ac:dyDescent="0.15">
      <c r="A38" s="41">
        <v>11</v>
      </c>
      <c r="B38" s="41" t="s">
        <v>11051</v>
      </c>
      <c r="C38" s="74" t="s">
        <v>11052</v>
      </c>
      <c r="D38" s="72"/>
      <c r="F38" s="711"/>
      <c r="G38" s="216"/>
      <c r="H38" s="38"/>
      <c r="I38" s="44" t="s">
        <v>397</v>
      </c>
      <c r="J38" s="218" t="s">
        <v>398</v>
      </c>
      <c r="K38" s="46">
        <v>1</v>
      </c>
      <c r="L38" s="35"/>
      <c r="O38" s="240" t="s">
        <v>398</v>
      </c>
      <c r="P38" s="38">
        <f>_11・初任</f>
        <v>0.7</v>
      </c>
      <c r="Q38" s="47">
        <f>ROUND((ROUND((ROUND((ROUND((_11_A家事増１．０*_11・基礎２),0)*_11・２人),0)*(1+_11・A早朝)),0)*_11・初任),0)</f>
        <v>111</v>
      </c>
      <c r="R38" s="48"/>
    </row>
    <row r="39" spans="1:18" ht="16.5" customHeight="1" x14ac:dyDescent="0.15">
      <c r="A39" s="41">
        <v>11</v>
      </c>
      <c r="B39" s="41">
        <v>8179</v>
      </c>
      <c r="C39" s="74" t="s">
        <v>11053</v>
      </c>
      <c r="D39" s="707" t="s">
        <v>11054</v>
      </c>
      <c r="E39" s="717"/>
      <c r="F39" s="53"/>
      <c r="G39" s="221"/>
      <c r="H39" s="50"/>
      <c r="I39" s="163"/>
      <c r="J39" s="218"/>
      <c r="K39" s="46"/>
      <c r="L39" s="35"/>
      <c r="O39" s="53"/>
      <c r="P39" s="50"/>
      <c r="Q39" s="47">
        <f>ROUND((_11_A家事増１．２５*(1+_11・A早朝)),0)</f>
        <v>219</v>
      </c>
      <c r="R39" s="48"/>
    </row>
    <row r="40" spans="1:18" ht="16.5" customHeight="1" x14ac:dyDescent="0.15">
      <c r="A40" s="41">
        <v>11</v>
      </c>
      <c r="B40" s="41">
        <v>8180</v>
      </c>
      <c r="C40" s="74" t="s">
        <v>11055</v>
      </c>
      <c r="D40" s="709"/>
      <c r="E40" s="718"/>
      <c r="F40" s="43"/>
      <c r="G40" s="216"/>
      <c r="H40" s="38"/>
      <c r="I40" s="44" t="s">
        <v>397</v>
      </c>
      <c r="J40" s="218" t="s">
        <v>398</v>
      </c>
      <c r="K40" s="46">
        <v>1</v>
      </c>
      <c r="L40" s="35"/>
      <c r="O40" s="35"/>
      <c r="Q40" s="47">
        <f>ROUND((ROUND((_11_A家事増１．２５*_11・２人),0)*(1+_11・A早朝)),0)</f>
        <v>219</v>
      </c>
      <c r="R40" s="48"/>
    </row>
    <row r="41" spans="1:18" ht="16.5" customHeight="1" x14ac:dyDescent="0.15">
      <c r="A41" s="41">
        <v>11</v>
      </c>
      <c r="B41" s="41">
        <v>8181</v>
      </c>
      <c r="C41" s="74" t="s">
        <v>11056</v>
      </c>
      <c r="D41" s="709"/>
      <c r="E41" s="718"/>
      <c r="F41" s="752" t="s">
        <v>400</v>
      </c>
      <c r="G41" s="221" t="s">
        <v>398</v>
      </c>
      <c r="H41" s="50">
        <v>0.9</v>
      </c>
      <c r="I41" s="163"/>
      <c r="J41" s="218"/>
      <c r="K41" s="46"/>
      <c r="L41" s="35"/>
      <c r="O41" s="35"/>
      <c r="Q41" s="47">
        <f>ROUND((ROUND((_11_A家事増１．２５*_11・基礎２),0)*(1+_11・A早朝)),0)</f>
        <v>198</v>
      </c>
      <c r="R41" s="48"/>
    </row>
    <row r="42" spans="1:18" ht="16.5" customHeight="1" x14ac:dyDescent="0.15">
      <c r="A42" s="41">
        <v>11</v>
      </c>
      <c r="B42" s="41">
        <v>8182</v>
      </c>
      <c r="C42" s="74" t="s">
        <v>11057</v>
      </c>
      <c r="D42" s="100">
        <f>_11_A家事増１．２５</f>
        <v>175</v>
      </c>
      <c r="E42" s="12" t="s">
        <v>392</v>
      </c>
      <c r="F42" s="711"/>
      <c r="G42" s="216"/>
      <c r="H42" s="38"/>
      <c r="I42" s="44" t="s">
        <v>397</v>
      </c>
      <c r="J42" s="218" t="s">
        <v>398</v>
      </c>
      <c r="K42" s="46">
        <v>1</v>
      </c>
      <c r="L42" s="35"/>
      <c r="O42" s="43"/>
      <c r="P42" s="38"/>
      <c r="Q42" s="47">
        <f>ROUND((ROUND((ROUND((_11_A家事増１．２５*_11・基礎２),0)*_11・２人),0)*(1+_11・A早朝)),0)</f>
        <v>198</v>
      </c>
      <c r="R42" s="48"/>
    </row>
    <row r="43" spans="1:18" ht="16.5" customHeight="1" x14ac:dyDescent="0.15">
      <c r="A43" s="41">
        <v>11</v>
      </c>
      <c r="B43" s="41" t="s">
        <v>11058</v>
      </c>
      <c r="C43" s="74" t="s">
        <v>11059</v>
      </c>
      <c r="D43" s="72"/>
      <c r="F43" s="53"/>
      <c r="G43" s="221"/>
      <c r="H43" s="50"/>
      <c r="I43" s="163"/>
      <c r="J43" s="218"/>
      <c r="K43" s="46"/>
      <c r="L43" s="35"/>
      <c r="O43" s="707" t="s">
        <v>404</v>
      </c>
      <c r="P43" s="708"/>
      <c r="Q43" s="47">
        <f>ROUND((ROUND((_11_A家事増１．２５*(1+_11・A早朝)),0)*_11・初任),0)</f>
        <v>153</v>
      </c>
      <c r="R43" s="48"/>
    </row>
    <row r="44" spans="1:18" ht="16.5" customHeight="1" x14ac:dyDescent="0.15">
      <c r="A44" s="41">
        <v>11</v>
      </c>
      <c r="B44" s="41" t="s">
        <v>11060</v>
      </c>
      <c r="C44" s="74" t="s">
        <v>11061</v>
      </c>
      <c r="D44" s="72"/>
      <c r="F44" s="43"/>
      <c r="G44" s="216"/>
      <c r="H44" s="38"/>
      <c r="I44" s="44" t="s">
        <v>397</v>
      </c>
      <c r="J44" s="218" t="s">
        <v>398</v>
      </c>
      <c r="K44" s="46">
        <v>1</v>
      </c>
      <c r="L44" s="35"/>
      <c r="O44" s="709"/>
      <c r="P44" s="704"/>
      <c r="Q44" s="47">
        <f>ROUND((ROUND((ROUND((_11_A家事増１．２５*_11・２人),0)*(1+_11・A早朝)),0)*_11・初任),0)</f>
        <v>153</v>
      </c>
      <c r="R44" s="48"/>
    </row>
    <row r="45" spans="1:18" ht="16.5" customHeight="1" x14ac:dyDescent="0.15">
      <c r="A45" s="41">
        <v>11</v>
      </c>
      <c r="B45" s="41" t="s">
        <v>11062</v>
      </c>
      <c r="C45" s="74" t="s">
        <v>11063</v>
      </c>
      <c r="D45" s="72"/>
      <c r="F45" s="752" t="s">
        <v>400</v>
      </c>
      <c r="G45" s="221" t="s">
        <v>398</v>
      </c>
      <c r="H45" s="50">
        <v>0.9</v>
      </c>
      <c r="I45" s="163"/>
      <c r="J45" s="218"/>
      <c r="K45" s="46"/>
      <c r="L45" s="35"/>
      <c r="O45" s="709"/>
      <c r="P45" s="704"/>
      <c r="Q45" s="47">
        <f>ROUND((ROUND((ROUND((_11_A家事増１．２５*_11・基礎２),0)*(1+_11・A早朝)),0)*_11・初任),0)</f>
        <v>139</v>
      </c>
      <c r="R45" s="48"/>
    </row>
    <row r="46" spans="1:18" ht="16.5" customHeight="1" x14ac:dyDescent="0.15">
      <c r="A46" s="41">
        <v>11</v>
      </c>
      <c r="B46" s="41" t="s">
        <v>11064</v>
      </c>
      <c r="C46" s="74" t="s">
        <v>11065</v>
      </c>
      <c r="D46" s="72"/>
      <c r="F46" s="711"/>
      <c r="G46" s="216"/>
      <c r="H46" s="38"/>
      <c r="I46" s="44" t="s">
        <v>397</v>
      </c>
      <c r="J46" s="218" t="s">
        <v>398</v>
      </c>
      <c r="K46" s="46">
        <v>1</v>
      </c>
      <c r="L46" s="35"/>
      <c r="O46" s="240" t="s">
        <v>398</v>
      </c>
      <c r="P46" s="38">
        <f>_11・初任</f>
        <v>0.7</v>
      </c>
      <c r="Q46" s="47">
        <f>ROUND((ROUND((ROUND((ROUND((_11_A家事増１．２５*_11・基礎２),0)*_11・２人),0)*(1+_11・A早朝)),0)*_11・初任),0)</f>
        <v>139</v>
      </c>
      <c r="R46" s="48"/>
    </row>
    <row r="47" spans="1:18" ht="16.5" customHeight="1" x14ac:dyDescent="0.15">
      <c r="A47" s="41">
        <v>11</v>
      </c>
      <c r="B47" s="41">
        <v>6475</v>
      </c>
      <c r="C47" s="74" t="s">
        <v>11066</v>
      </c>
      <c r="D47" s="707" t="s">
        <v>11067</v>
      </c>
      <c r="E47" s="717"/>
      <c r="F47" s="53"/>
      <c r="G47" s="221"/>
      <c r="H47" s="50"/>
      <c r="I47" s="163"/>
      <c r="J47" s="218"/>
      <c r="K47" s="46"/>
      <c r="L47" s="35"/>
      <c r="O47" s="53"/>
      <c r="P47" s="50"/>
      <c r="Q47" s="47">
        <f>ROUND((_11_A家事増１．５*(1+_11・A早朝)),0)</f>
        <v>263</v>
      </c>
      <c r="R47" s="48"/>
    </row>
    <row r="48" spans="1:18" ht="16.5" customHeight="1" x14ac:dyDescent="0.15">
      <c r="A48" s="41">
        <v>11</v>
      </c>
      <c r="B48" s="41">
        <v>6476</v>
      </c>
      <c r="C48" s="74" t="s">
        <v>11068</v>
      </c>
      <c r="D48" s="709"/>
      <c r="E48" s="718"/>
      <c r="F48" s="43"/>
      <c r="G48" s="216"/>
      <c r="H48" s="38"/>
      <c r="I48" s="44" t="s">
        <v>397</v>
      </c>
      <c r="J48" s="218" t="s">
        <v>398</v>
      </c>
      <c r="K48" s="46">
        <v>1</v>
      </c>
      <c r="L48" s="35"/>
      <c r="O48" s="35"/>
      <c r="Q48" s="47">
        <f>ROUND((ROUND((_11_A家事増１．５*_11・２人),0)*(1+_11・A早朝)),0)</f>
        <v>263</v>
      </c>
      <c r="R48" s="48"/>
    </row>
    <row r="49" spans="1:18" ht="16.5" customHeight="1" x14ac:dyDescent="0.15">
      <c r="A49" s="41">
        <v>11</v>
      </c>
      <c r="B49" s="41">
        <v>6477</v>
      </c>
      <c r="C49" s="74" t="s">
        <v>11069</v>
      </c>
      <c r="D49" s="709"/>
      <c r="E49" s="718"/>
      <c r="F49" s="752" t="s">
        <v>400</v>
      </c>
      <c r="G49" s="221" t="s">
        <v>398</v>
      </c>
      <c r="H49" s="50">
        <v>0.9</v>
      </c>
      <c r="I49" s="163"/>
      <c r="J49" s="218"/>
      <c r="K49" s="46"/>
      <c r="L49" s="35"/>
      <c r="O49" s="35"/>
      <c r="Q49" s="47">
        <f>ROUND((ROUND((_11_A家事増１．５*_11・基礎２),0)*(1+_11・A早朝)),0)</f>
        <v>236</v>
      </c>
      <c r="R49" s="48"/>
    </row>
    <row r="50" spans="1:18" ht="16.5" customHeight="1" x14ac:dyDescent="0.15">
      <c r="A50" s="41">
        <v>11</v>
      </c>
      <c r="B50" s="41">
        <v>6478</v>
      </c>
      <c r="C50" s="74" t="s">
        <v>11070</v>
      </c>
      <c r="D50" s="100">
        <f>_11_A家事増１．５</f>
        <v>210</v>
      </c>
      <c r="E50" s="12" t="s">
        <v>392</v>
      </c>
      <c r="F50" s="711"/>
      <c r="G50" s="216"/>
      <c r="H50" s="38"/>
      <c r="I50" s="44" t="s">
        <v>397</v>
      </c>
      <c r="J50" s="218" t="s">
        <v>398</v>
      </c>
      <c r="K50" s="46">
        <v>1</v>
      </c>
      <c r="L50" s="35"/>
      <c r="O50" s="43"/>
      <c r="P50" s="38"/>
      <c r="Q50" s="47">
        <f>ROUND((ROUND((ROUND((_11_A家事増１．５*_11・基礎２),0)*_11・２人),0)*(1+_11・A早朝)),0)</f>
        <v>236</v>
      </c>
      <c r="R50" s="48"/>
    </row>
    <row r="51" spans="1:18" ht="16.5" customHeight="1" x14ac:dyDescent="0.15">
      <c r="A51" s="41">
        <v>11</v>
      </c>
      <c r="B51" s="41" t="s">
        <v>11071</v>
      </c>
      <c r="C51" s="74" t="s">
        <v>11072</v>
      </c>
      <c r="D51" s="72"/>
      <c r="F51" s="53"/>
      <c r="G51" s="221"/>
      <c r="H51" s="50"/>
      <c r="I51" s="163"/>
      <c r="J51" s="218"/>
      <c r="K51" s="46"/>
      <c r="L51" s="35"/>
      <c r="O51" s="707" t="s">
        <v>404</v>
      </c>
      <c r="P51" s="708"/>
      <c r="Q51" s="47">
        <f>ROUND((ROUND((_11_A家事増１．５*(1+_11・A早朝)),0)*_11・初任),0)</f>
        <v>184</v>
      </c>
      <c r="R51" s="48"/>
    </row>
    <row r="52" spans="1:18" ht="16.5" customHeight="1" x14ac:dyDescent="0.15">
      <c r="A52" s="41">
        <v>11</v>
      </c>
      <c r="B52" s="41" t="s">
        <v>11073</v>
      </c>
      <c r="C52" s="74" t="s">
        <v>11074</v>
      </c>
      <c r="D52" s="72"/>
      <c r="F52" s="43"/>
      <c r="G52" s="216"/>
      <c r="H52" s="38"/>
      <c r="I52" s="44" t="s">
        <v>397</v>
      </c>
      <c r="J52" s="218" t="s">
        <v>398</v>
      </c>
      <c r="K52" s="46">
        <v>1</v>
      </c>
      <c r="L52" s="35"/>
      <c r="O52" s="709"/>
      <c r="P52" s="704"/>
      <c r="Q52" s="47">
        <f>ROUND((ROUND((ROUND((_11_A家事増１．５*_11・２人),0)*(1+_11・A早朝)),0)*_11・初任),0)</f>
        <v>184</v>
      </c>
      <c r="R52" s="48"/>
    </row>
    <row r="53" spans="1:18" ht="16.5" customHeight="1" x14ac:dyDescent="0.15">
      <c r="A53" s="41">
        <v>11</v>
      </c>
      <c r="B53" s="41" t="s">
        <v>11075</v>
      </c>
      <c r="C53" s="74" t="s">
        <v>11076</v>
      </c>
      <c r="D53" s="72"/>
      <c r="F53" s="752" t="s">
        <v>400</v>
      </c>
      <c r="G53" s="221" t="s">
        <v>398</v>
      </c>
      <c r="H53" s="50">
        <v>0.9</v>
      </c>
      <c r="I53" s="163"/>
      <c r="J53" s="218"/>
      <c r="K53" s="46"/>
      <c r="L53" s="35"/>
      <c r="O53" s="709"/>
      <c r="P53" s="704"/>
      <c r="Q53" s="47">
        <f>ROUND((ROUND((ROUND((_11_A家事増１．５*_11・基礎２),0)*(1+_11・A早朝)),0)*_11・初任),0)</f>
        <v>165</v>
      </c>
      <c r="R53" s="48"/>
    </row>
    <row r="54" spans="1:18" ht="16.5" customHeight="1" x14ac:dyDescent="0.15">
      <c r="A54" s="41">
        <v>11</v>
      </c>
      <c r="B54" s="41" t="s">
        <v>11077</v>
      </c>
      <c r="C54" s="74" t="s">
        <v>11078</v>
      </c>
      <c r="D54" s="72"/>
      <c r="F54" s="711"/>
      <c r="G54" s="216"/>
      <c r="H54" s="38"/>
      <c r="I54" s="44" t="s">
        <v>397</v>
      </c>
      <c r="J54" s="218" t="s">
        <v>398</v>
      </c>
      <c r="K54" s="46">
        <v>1</v>
      </c>
      <c r="L54" s="35"/>
      <c r="O54" s="240" t="s">
        <v>398</v>
      </c>
      <c r="P54" s="38">
        <f>_11・初任</f>
        <v>0.7</v>
      </c>
      <c r="Q54" s="47">
        <f>ROUND((ROUND((ROUND((ROUND((_11_A家事増１．５*_11・基礎２),0)*_11・２人),0)*(1+_11・A早朝)),0)*_11・初任),0)</f>
        <v>165</v>
      </c>
      <c r="R54" s="48"/>
    </row>
    <row r="55" spans="1:18" ht="16.5" customHeight="1" x14ac:dyDescent="0.15">
      <c r="A55" s="41">
        <v>11</v>
      </c>
      <c r="B55" s="41">
        <v>8183</v>
      </c>
      <c r="C55" s="74" t="s">
        <v>11079</v>
      </c>
      <c r="D55" s="707" t="s">
        <v>11080</v>
      </c>
      <c r="E55" s="717"/>
      <c r="F55" s="53"/>
      <c r="G55" s="221"/>
      <c r="H55" s="50"/>
      <c r="I55" s="163"/>
      <c r="J55" s="218"/>
      <c r="K55" s="46"/>
      <c r="L55" s="35"/>
      <c r="O55" s="53"/>
      <c r="P55" s="50"/>
      <c r="Q55" s="47">
        <f>ROUND((_11_A家事増１．７５*(1+_11・A早朝)),0)</f>
        <v>306</v>
      </c>
      <c r="R55" s="48"/>
    </row>
    <row r="56" spans="1:18" ht="16.5" customHeight="1" x14ac:dyDescent="0.15">
      <c r="A56" s="41">
        <v>11</v>
      </c>
      <c r="B56" s="41">
        <v>8184</v>
      </c>
      <c r="C56" s="74" t="s">
        <v>11081</v>
      </c>
      <c r="D56" s="709"/>
      <c r="E56" s="718"/>
      <c r="F56" s="43"/>
      <c r="G56" s="216"/>
      <c r="H56" s="38"/>
      <c r="I56" s="44" t="s">
        <v>397</v>
      </c>
      <c r="J56" s="218" t="s">
        <v>398</v>
      </c>
      <c r="K56" s="46">
        <v>1</v>
      </c>
      <c r="L56" s="35"/>
      <c r="O56" s="35"/>
      <c r="Q56" s="47">
        <f>ROUND((ROUND((_11_A家事増１．７５*_11・２人),0)*(1+_11・A早朝)),0)</f>
        <v>306</v>
      </c>
      <c r="R56" s="48"/>
    </row>
    <row r="57" spans="1:18" ht="16.5" customHeight="1" x14ac:dyDescent="0.15">
      <c r="A57" s="41">
        <v>11</v>
      </c>
      <c r="B57" s="41">
        <v>8185</v>
      </c>
      <c r="C57" s="74" t="s">
        <v>11082</v>
      </c>
      <c r="D57" s="709"/>
      <c r="E57" s="718"/>
      <c r="F57" s="752" t="s">
        <v>400</v>
      </c>
      <c r="G57" s="221" t="s">
        <v>398</v>
      </c>
      <c r="H57" s="50">
        <v>0.9</v>
      </c>
      <c r="I57" s="163"/>
      <c r="J57" s="218"/>
      <c r="K57" s="46"/>
      <c r="L57" s="35"/>
      <c r="O57" s="35"/>
      <c r="Q57" s="47">
        <f>ROUND((ROUND((_11_A家事増１．７５*_11・基礎２),0)*(1+_11・A早朝)),0)</f>
        <v>276</v>
      </c>
      <c r="R57" s="48"/>
    </row>
    <row r="58" spans="1:18" ht="16.5" customHeight="1" x14ac:dyDescent="0.15">
      <c r="A58" s="41">
        <v>11</v>
      </c>
      <c r="B58" s="41">
        <v>8186</v>
      </c>
      <c r="C58" s="74" t="s">
        <v>11083</v>
      </c>
      <c r="D58" s="100">
        <f>_11_A家事増１．７５</f>
        <v>245</v>
      </c>
      <c r="E58" s="12" t="s">
        <v>392</v>
      </c>
      <c r="F58" s="711"/>
      <c r="G58" s="216"/>
      <c r="H58" s="38"/>
      <c r="I58" s="44" t="s">
        <v>397</v>
      </c>
      <c r="J58" s="218" t="s">
        <v>398</v>
      </c>
      <c r="K58" s="46">
        <v>1</v>
      </c>
      <c r="L58" s="35"/>
      <c r="O58" s="43"/>
      <c r="P58" s="38"/>
      <c r="Q58" s="47">
        <f>ROUND((ROUND((ROUND((_11_A家事増１．７５*_11・基礎２),0)*_11・２人),0)*(1+_11・A早朝)),0)</f>
        <v>276</v>
      </c>
      <c r="R58" s="48"/>
    </row>
    <row r="59" spans="1:18" ht="16.5" customHeight="1" x14ac:dyDescent="0.15">
      <c r="A59" s="41">
        <v>11</v>
      </c>
      <c r="B59" s="41" t="s">
        <v>11084</v>
      </c>
      <c r="C59" s="74" t="s">
        <v>11085</v>
      </c>
      <c r="D59" s="72"/>
      <c r="F59" s="53"/>
      <c r="G59" s="221"/>
      <c r="H59" s="50"/>
      <c r="I59" s="163"/>
      <c r="J59" s="218"/>
      <c r="K59" s="46"/>
      <c r="L59" s="35"/>
      <c r="O59" s="707" t="s">
        <v>404</v>
      </c>
      <c r="P59" s="708"/>
      <c r="Q59" s="47">
        <f>ROUND((ROUND((_11_A家事増１．７５*(1+_11・A早朝)),0)*_11・初任),0)</f>
        <v>214</v>
      </c>
      <c r="R59" s="48"/>
    </row>
    <row r="60" spans="1:18" ht="16.5" customHeight="1" x14ac:dyDescent="0.15">
      <c r="A60" s="41">
        <v>11</v>
      </c>
      <c r="B60" s="41" t="s">
        <v>11086</v>
      </c>
      <c r="C60" s="74" t="s">
        <v>11087</v>
      </c>
      <c r="D60" s="72"/>
      <c r="F60" s="43"/>
      <c r="G60" s="216"/>
      <c r="H60" s="38"/>
      <c r="I60" s="44" t="s">
        <v>397</v>
      </c>
      <c r="J60" s="218" t="s">
        <v>398</v>
      </c>
      <c r="K60" s="46">
        <v>1</v>
      </c>
      <c r="L60" s="35"/>
      <c r="O60" s="709"/>
      <c r="P60" s="704"/>
      <c r="Q60" s="47">
        <f>ROUND((ROUND((ROUND((_11_A家事増１．７５*_11・２人),0)*(1+_11・A早朝)),0)*_11・初任),0)</f>
        <v>214</v>
      </c>
      <c r="R60" s="48"/>
    </row>
    <row r="61" spans="1:18" ht="16.5" customHeight="1" x14ac:dyDescent="0.15">
      <c r="A61" s="41">
        <v>11</v>
      </c>
      <c r="B61" s="41" t="s">
        <v>11088</v>
      </c>
      <c r="C61" s="74" t="s">
        <v>11089</v>
      </c>
      <c r="D61" s="72"/>
      <c r="F61" s="752" t="s">
        <v>400</v>
      </c>
      <c r="G61" s="221" t="s">
        <v>398</v>
      </c>
      <c r="H61" s="50">
        <v>0.9</v>
      </c>
      <c r="I61" s="163"/>
      <c r="J61" s="218"/>
      <c r="K61" s="46"/>
      <c r="L61" s="35"/>
      <c r="O61" s="709"/>
      <c r="P61" s="704"/>
      <c r="Q61" s="47">
        <f>ROUND((ROUND((ROUND((_11_A家事増１．７５*_11・基礎２),0)*(1+_11・A早朝)),0)*_11・初任),0)</f>
        <v>193</v>
      </c>
      <c r="R61" s="48"/>
    </row>
    <row r="62" spans="1:18" ht="16.5" customHeight="1" x14ac:dyDescent="0.15">
      <c r="A62" s="41">
        <v>11</v>
      </c>
      <c r="B62" s="41" t="s">
        <v>11090</v>
      </c>
      <c r="C62" s="74" t="s">
        <v>11091</v>
      </c>
      <c r="D62" s="72"/>
      <c r="F62" s="711"/>
      <c r="G62" s="216"/>
      <c r="H62" s="38"/>
      <c r="I62" s="44" t="s">
        <v>397</v>
      </c>
      <c r="J62" s="218" t="s">
        <v>398</v>
      </c>
      <c r="K62" s="46">
        <v>1</v>
      </c>
      <c r="L62" s="35"/>
      <c r="O62" s="240" t="s">
        <v>398</v>
      </c>
      <c r="P62" s="38">
        <f>_11・初任</f>
        <v>0.7</v>
      </c>
      <c r="Q62" s="47">
        <f>ROUND((ROUND((ROUND((ROUND((_11_A家事増１．７５*_11・基礎２),0)*_11・２人),0)*(1+_11・A早朝)),0)*_11・初任),0)</f>
        <v>193</v>
      </c>
      <c r="R62" s="48"/>
    </row>
    <row r="63" spans="1:18" ht="16.5" customHeight="1" x14ac:dyDescent="0.15">
      <c r="A63" s="41">
        <v>11</v>
      </c>
      <c r="B63" s="41">
        <v>6479</v>
      </c>
      <c r="C63" s="74" t="s">
        <v>11092</v>
      </c>
      <c r="D63" s="707" t="s">
        <v>11093</v>
      </c>
      <c r="E63" s="717"/>
      <c r="F63" s="53"/>
      <c r="G63" s="221"/>
      <c r="H63" s="50"/>
      <c r="I63" s="163"/>
      <c r="J63" s="218"/>
      <c r="K63" s="46"/>
      <c r="L63" s="35"/>
      <c r="O63" s="53"/>
      <c r="P63" s="50"/>
      <c r="Q63" s="47">
        <f>ROUND((_11_A家事増２．０*(1+_11・A早朝)),0)</f>
        <v>350</v>
      </c>
      <c r="R63" s="48"/>
    </row>
    <row r="64" spans="1:18" ht="16.5" customHeight="1" x14ac:dyDescent="0.15">
      <c r="A64" s="41">
        <v>11</v>
      </c>
      <c r="B64" s="41">
        <v>6480</v>
      </c>
      <c r="C64" s="74" t="s">
        <v>11094</v>
      </c>
      <c r="D64" s="709"/>
      <c r="E64" s="718"/>
      <c r="F64" s="43"/>
      <c r="G64" s="216"/>
      <c r="H64" s="38"/>
      <c r="I64" s="44" t="s">
        <v>397</v>
      </c>
      <c r="J64" s="218" t="s">
        <v>398</v>
      </c>
      <c r="K64" s="46">
        <v>1</v>
      </c>
      <c r="L64" s="35"/>
      <c r="O64" s="35"/>
      <c r="Q64" s="47">
        <f>ROUND((ROUND((_11_A家事増２．０*_11・２人),0)*(1+_11・A早朝)),0)</f>
        <v>350</v>
      </c>
      <c r="R64" s="48"/>
    </row>
    <row r="65" spans="1:18" ht="16.5" customHeight="1" x14ac:dyDescent="0.15">
      <c r="A65" s="41">
        <v>11</v>
      </c>
      <c r="B65" s="41">
        <v>6481</v>
      </c>
      <c r="C65" s="74" t="s">
        <v>11095</v>
      </c>
      <c r="D65" s="709"/>
      <c r="E65" s="718"/>
      <c r="F65" s="752" t="s">
        <v>400</v>
      </c>
      <c r="G65" s="221" t="s">
        <v>398</v>
      </c>
      <c r="H65" s="50">
        <v>0.9</v>
      </c>
      <c r="I65" s="163"/>
      <c r="J65" s="218"/>
      <c r="K65" s="46"/>
      <c r="L65" s="35"/>
      <c r="O65" s="35"/>
      <c r="Q65" s="47">
        <f>ROUND((ROUND((_11_A家事増２．０*_11・基礎２),0)*(1+_11・A早朝)),0)</f>
        <v>315</v>
      </c>
      <c r="R65" s="48"/>
    </row>
    <row r="66" spans="1:18" ht="16.5" customHeight="1" x14ac:dyDescent="0.15">
      <c r="A66" s="41">
        <v>11</v>
      </c>
      <c r="B66" s="41">
        <v>6482</v>
      </c>
      <c r="C66" s="74" t="s">
        <v>11096</v>
      </c>
      <c r="D66" s="100">
        <f>_11_A家事増２．０</f>
        <v>280</v>
      </c>
      <c r="E66" s="12" t="s">
        <v>392</v>
      </c>
      <c r="F66" s="711"/>
      <c r="G66" s="216"/>
      <c r="H66" s="38"/>
      <c r="I66" s="44" t="s">
        <v>397</v>
      </c>
      <c r="J66" s="218" t="s">
        <v>398</v>
      </c>
      <c r="K66" s="46">
        <v>1</v>
      </c>
      <c r="L66" s="35"/>
      <c r="O66" s="43"/>
      <c r="P66" s="38"/>
      <c r="Q66" s="47">
        <f>ROUND((ROUND((ROUND((_11_A家事増２．０*_11・基礎２),0)*_11・２人),0)*(1+_11・A早朝)),0)</f>
        <v>315</v>
      </c>
      <c r="R66" s="48"/>
    </row>
    <row r="67" spans="1:18" ht="16.5" customHeight="1" x14ac:dyDescent="0.15">
      <c r="A67" s="41">
        <v>11</v>
      </c>
      <c r="B67" s="41" t="s">
        <v>11097</v>
      </c>
      <c r="C67" s="74" t="s">
        <v>11098</v>
      </c>
      <c r="D67" s="72"/>
      <c r="F67" s="53"/>
      <c r="G67" s="221"/>
      <c r="H67" s="50"/>
      <c r="I67" s="163"/>
      <c r="J67" s="218"/>
      <c r="K67" s="46"/>
      <c r="L67" s="35"/>
      <c r="O67" s="707" t="s">
        <v>404</v>
      </c>
      <c r="P67" s="708"/>
      <c r="Q67" s="47">
        <f>ROUND((ROUND((_11_A家事増２．０*(1+_11・A早朝)),0)*_11・初任),0)</f>
        <v>245</v>
      </c>
      <c r="R67" s="48"/>
    </row>
    <row r="68" spans="1:18" ht="16.5" customHeight="1" x14ac:dyDescent="0.15">
      <c r="A68" s="41">
        <v>11</v>
      </c>
      <c r="B68" s="41" t="s">
        <v>11099</v>
      </c>
      <c r="C68" s="74" t="s">
        <v>11100</v>
      </c>
      <c r="D68" s="72"/>
      <c r="F68" s="43"/>
      <c r="G68" s="216"/>
      <c r="H68" s="38"/>
      <c r="I68" s="44" t="s">
        <v>397</v>
      </c>
      <c r="J68" s="218" t="s">
        <v>398</v>
      </c>
      <c r="K68" s="46">
        <v>1</v>
      </c>
      <c r="L68" s="35"/>
      <c r="O68" s="709"/>
      <c r="P68" s="704"/>
      <c r="Q68" s="47">
        <f>ROUND((ROUND((ROUND((_11_A家事増２．０*_11・２人),0)*(1+_11・A早朝)),0)*_11・初任),0)</f>
        <v>245</v>
      </c>
      <c r="R68" s="48"/>
    </row>
    <row r="69" spans="1:18" ht="16.5" customHeight="1" x14ac:dyDescent="0.15">
      <c r="A69" s="41">
        <v>11</v>
      </c>
      <c r="B69" s="41" t="s">
        <v>11101</v>
      </c>
      <c r="C69" s="74" t="s">
        <v>11102</v>
      </c>
      <c r="D69" s="72"/>
      <c r="F69" s="752" t="s">
        <v>400</v>
      </c>
      <c r="G69" s="221" t="s">
        <v>398</v>
      </c>
      <c r="H69" s="50">
        <v>0.9</v>
      </c>
      <c r="I69" s="163"/>
      <c r="J69" s="218"/>
      <c r="K69" s="46"/>
      <c r="L69" s="35"/>
      <c r="O69" s="709"/>
      <c r="P69" s="704"/>
      <c r="Q69" s="47">
        <f>ROUND((ROUND((ROUND((_11_A家事増２．０*_11・基礎２),0)*(1+_11・A早朝)),0)*_11・初任),0)</f>
        <v>221</v>
      </c>
      <c r="R69" s="48"/>
    </row>
    <row r="70" spans="1:18" ht="16.5" customHeight="1" x14ac:dyDescent="0.15">
      <c r="A70" s="41">
        <v>11</v>
      </c>
      <c r="B70" s="41" t="s">
        <v>11103</v>
      </c>
      <c r="C70" s="74" t="s">
        <v>11104</v>
      </c>
      <c r="D70" s="72"/>
      <c r="F70" s="711"/>
      <c r="G70" s="216"/>
      <c r="H70" s="38"/>
      <c r="I70" s="44" t="s">
        <v>397</v>
      </c>
      <c r="J70" s="218" t="s">
        <v>398</v>
      </c>
      <c r="K70" s="46">
        <v>1</v>
      </c>
      <c r="L70" s="35"/>
      <c r="O70" s="240" t="s">
        <v>398</v>
      </c>
      <c r="P70" s="38">
        <f>_11・初任</f>
        <v>0.7</v>
      </c>
      <c r="Q70" s="47">
        <f>ROUND((ROUND((ROUND((ROUND((_11_A家事増２．０*_11・基礎２),0)*_11・２人),0)*(1+_11・A早朝)),0)*_11・初任),0)</f>
        <v>221</v>
      </c>
      <c r="R70" s="48"/>
    </row>
    <row r="71" spans="1:18" ht="16.5" customHeight="1" x14ac:dyDescent="0.15">
      <c r="A71" s="41">
        <v>11</v>
      </c>
      <c r="B71" s="41">
        <v>8187</v>
      </c>
      <c r="C71" s="74" t="s">
        <v>11105</v>
      </c>
      <c r="D71" s="707" t="s">
        <v>11106</v>
      </c>
      <c r="E71" s="717"/>
      <c r="F71" s="53"/>
      <c r="G71" s="221"/>
      <c r="H71" s="50"/>
      <c r="I71" s="163"/>
      <c r="J71" s="218"/>
      <c r="K71" s="46"/>
      <c r="L71" s="35"/>
      <c r="O71" s="53"/>
      <c r="P71" s="50"/>
      <c r="Q71" s="47">
        <f>ROUND((_11_A家事増２．２５*(1+_11・A早朝)),0)</f>
        <v>394</v>
      </c>
      <c r="R71" s="48"/>
    </row>
    <row r="72" spans="1:18" ht="16.5" customHeight="1" x14ac:dyDescent="0.15">
      <c r="A72" s="41">
        <v>11</v>
      </c>
      <c r="B72" s="41">
        <v>8188</v>
      </c>
      <c r="C72" s="74" t="s">
        <v>11107</v>
      </c>
      <c r="D72" s="709"/>
      <c r="E72" s="718"/>
      <c r="F72" s="43"/>
      <c r="G72" s="216"/>
      <c r="H72" s="38"/>
      <c r="I72" s="44" t="s">
        <v>397</v>
      </c>
      <c r="J72" s="218" t="s">
        <v>398</v>
      </c>
      <c r="K72" s="46">
        <v>1</v>
      </c>
      <c r="L72" s="35"/>
      <c r="O72" s="35"/>
      <c r="Q72" s="47">
        <f>ROUND((ROUND((_11_A家事増２．２５*_11・２人),0)*(1+_11・A早朝)),0)</f>
        <v>394</v>
      </c>
      <c r="R72" s="48"/>
    </row>
    <row r="73" spans="1:18" ht="16.5" customHeight="1" x14ac:dyDescent="0.15">
      <c r="A73" s="41">
        <v>11</v>
      </c>
      <c r="B73" s="41">
        <v>8189</v>
      </c>
      <c r="C73" s="74" t="s">
        <v>11108</v>
      </c>
      <c r="D73" s="709"/>
      <c r="E73" s="718"/>
      <c r="F73" s="752" t="s">
        <v>400</v>
      </c>
      <c r="G73" s="221" t="s">
        <v>398</v>
      </c>
      <c r="H73" s="50">
        <v>0.9</v>
      </c>
      <c r="I73" s="163"/>
      <c r="J73" s="218"/>
      <c r="K73" s="46"/>
      <c r="L73" s="35"/>
      <c r="O73" s="35"/>
      <c r="Q73" s="47">
        <f>ROUND((ROUND((_11_A家事増２．２５*_11・基礎２),0)*(1+_11・A早朝)),0)</f>
        <v>355</v>
      </c>
      <c r="R73" s="48"/>
    </row>
    <row r="74" spans="1:18" ht="16.5" customHeight="1" x14ac:dyDescent="0.15">
      <c r="A74" s="41">
        <v>11</v>
      </c>
      <c r="B74" s="41">
        <v>8190</v>
      </c>
      <c r="C74" s="74" t="s">
        <v>11109</v>
      </c>
      <c r="D74" s="100">
        <f>_11_A家事増２．２５</f>
        <v>315</v>
      </c>
      <c r="E74" s="12" t="s">
        <v>392</v>
      </c>
      <c r="F74" s="711"/>
      <c r="G74" s="216"/>
      <c r="H74" s="38"/>
      <c r="I74" s="44" t="s">
        <v>397</v>
      </c>
      <c r="J74" s="218" t="s">
        <v>398</v>
      </c>
      <c r="K74" s="46">
        <v>1</v>
      </c>
      <c r="L74" s="35"/>
      <c r="O74" s="43"/>
      <c r="P74" s="38"/>
      <c r="Q74" s="47">
        <f>ROUND((ROUND((ROUND((_11_A家事増２．２５*_11・基礎２),0)*_11・２人),0)*(1+_11・A早朝)),0)</f>
        <v>355</v>
      </c>
      <c r="R74" s="48"/>
    </row>
    <row r="75" spans="1:18" ht="16.5" customHeight="1" x14ac:dyDescent="0.15">
      <c r="A75" s="41">
        <v>11</v>
      </c>
      <c r="B75" s="41" t="s">
        <v>11110</v>
      </c>
      <c r="C75" s="74" t="s">
        <v>11111</v>
      </c>
      <c r="D75" s="72"/>
      <c r="F75" s="53"/>
      <c r="G75" s="221"/>
      <c r="H75" s="50"/>
      <c r="I75" s="163"/>
      <c r="J75" s="218"/>
      <c r="K75" s="46"/>
      <c r="L75" s="35"/>
      <c r="O75" s="707" t="s">
        <v>404</v>
      </c>
      <c r="P75" s="708"/>
      <c r="Q75" s="47">
        <f>ROUND((ROUND((_11_A家事増２．２５*(1+_11・A早朝)),0)*_11・初任),0)</f>
        <v>276</v>
      </c>
      <c r="R75" s="48"/>
    </row>
    <row r="76" spans="1:18" ht="16.5" customHeight="1" x14ac:dyDescent="0.15">
      <c r="A76" s="41">
        <v>11</v>
      </c>
      <c r="B76" s="41" t="s">
        <v>11112</v>
      </c>
      <c r="C76" s="74" t="s">
        <v>11113</v>
      </c>
      <c r="D76" s="72"/>
      <c r="F76" s="43"/>
      <c r="G76" s="216"/>
      <c r="H76" s="38"/>
      <c r="I76" s="44" t="s">
        <v>397</v>
      </c>
      <c r="J76" s="218" t="s">
        <v>398</v>
      </c>
      <c r="K76" s="46">
        <v>1</v>
      </c>
      <c r="L76" s="35"/>
      <c r="O76" s="709"/>
      <c r="P76" s="704"/>
      <c r="Q76" s="47">
        <f>ROUND((ROUND((ROUND((_11_A家事増２．２５*_11・２人),0)*(1+_11・A早朝)),0)*_11・初任),0)</f>
        <v>276</v>
      </c>
      <c r="R76" s="48"/>
    </row>
    <row r="77" spans="1:18" ht="16.5" customHeight="1" x14ac:dyDescent="0.15">
      <c r="A77" s="41">
        <v>11</v>
      </c>
      <c r="B77" s="41" t="s">
        <v>11114</v>
      </c>
      <c r="C77" s="74" t="s">
        <v>11115</v>
      </c>
      <c r="D77" s="72"/>
      <c r="F77" s="752" t="s">
        <v>400</v>
      </c>
      <c r="G77" s="221" t="s">
        <v>398</v>
      </c>
      <c r="H77" s="50">
        <v>0.9</v>
      </c>
      <c r="I77" s="163"/>
      <c r="J77" s="218"/>
      <c r="K77" s="46"/>
      <c r="L77" s="35"/>
      <c r="O77" s="709"/>
      <c r="P77" s="704"/>
      <c r="Q77" s="47">
        <f>ROUND((ROUND((ROUND((_11_A家事増２．２５*_11・基礎２),0)*(1+_11・A早朝)),0)*_11・初任),0)</f>
        <v>249</v>
      </c>
      <c r="R77" s="48"/>
    </row>
    <row r="78" spans="1:18" ht="16.5" customHeight="1" x14ac:dyDescent="0.15">
      <c r="A78" s="41">
        <v>11</v>
      </c>
      <c r="B78" s="41" t="s">
        <v>11116</v>
      </c>
      <c r="C78" s="74" t="s">
        <v>11117</v>
      </c>
      <c r="D78" s="122"/>
      <c r="E78" s="37"/>
      <c r="F78" s="711"/>
      <c r="G78" s="216"/>
      <c r="H78" s="38"/>
      <c r="I78" s="44" t="s">
        <v>397</v>
      </c>
      <c r="J78" s="218" t="s">
        <v>398</v>
      </c>
      <c r="K78" s="46">
        <v>1</v>
      </c>
      <c r="L78" s="43"/>
      <c r="M78" s="37"/>
      <c r="N78" s="38"/>
      <c r="O78" s="240" t="s">
        <v>398</v>
      </c>
      <c r="P78" s="38">
        <f>_11・初任</f>
        <v>0.7</v>
      </c>
      <c r="Q78" s="47">
        <f>ROUND((ROUND((ROUND((ROUND((_11_A家事増２．２５*_11・基礎２),0)*_11・２人),0)*(1+_11・A早朝)),0)*_11・初任),0)</f>
        <v>249</v>
      </c>
      <c r="R78" s="63"/>
    </row>
    <row r="79" spans="1:18" ht="16.5" customHeight="1" x14ac:dyDescent="0.15">
      <c r="A79" s="33">
        <v>11</v>
      </c>
      <c r="B79" s="33">
        <v>6483</v>
      </c>
      <c r="C79" s="34" t="s">
        <v>11118</v>
      </c>
      <c r="D79" s="709" t="s">
        <v>11119</v>
      </c>
      <c r="E79" s="718"/>
      <c r="F79" s="35"/>
      <c r="I79" s="43"/>
      <c r="J79" s="216"/>
      <c r="K79" s="38"/>
      <c r="L79" s="35" t="s">
        <v>674</v>
      </c>
      <c r="N79" s="234"/>
      <c r="O79" s="35"/>
      <c r="Q79" s="39">
        <f>ROUND((_11_A家事増２．５*(1+_11・A早朝)),0)</f>
        <v>438</v>
      </c>
      <c r="R79" s="48"/>
    </row>
    <row r="80" spans="1:18" ht="16.5" customHeight="1" x14ac:dyDescent="0.15">
      <c r="A80" s="41">
        <v>11</v>
      </c>
      <c r="B80" s="41">
        <v>6484</v>
      </c>
      <c r="C80" s="74" t="s">
        <v>11120</v>
      </c>
      <c r="D80" s="709"/>
      <c r="E80" s="718"/>
      <c r="F80" s="43"/>
      <c r="G80" s="216"/>
      <c r="H80" s="38"/>
      <c r="I80" s="44" t="s">
        <v>397</v>
      </c>
      <c r="J80" s="218" t="s">
        <v>398</v>
      </c>
      <c r="K80" s="46">
        <v>1</v>
      </c>
      <c r="L80" s="248" t="s">
        <v>398</v>
      </c>
      <c r="M80" s="13">
        <v>0.25</v>
      </c>
      <c r="N80" s="718" t="s">
        <v>676</v>
      </c>
      <c r="O80" s="35"/>
      <c r="Q80" s="47">
        <f>ROUND((ROUND((_11_A家事増２．５*_11・２人),0)*(1+_11・A早朝)),0)</f>
        <v>438</v>
      </c>
      <c r="R80" s="48"/>
    </row>
    <row r="81" spans="1:18" ht="16.5" customHeight="1" x14ac:dyDescent="0.15">
      <c r="A81" s="41">
        <v>11</v>
      </c>
      <c r="B81" s="41">
        <v>6485</v>
      </c>
      <c r="C81" s="74" t="s">
        <v>11121</v>
      </c>
      <c r="D81" s="709"/>
      <c r="E81" s="718"/>
      <c r="F81" s="752" t="s">
        <v>400</v>
      </c>
      <c r="G81" s="221" t="s">
        <v>398</v>
      </c>
      <c r="H81" s="50">
        <v>0.9</v>
      </c>
      <c r="I81" s="163"/>
      <c r="J81" s="218"/>
      <c r="K81" s="46"/>
      <c r="L81" s="35"/>
      <c r="N81" s="718"/>
      <c r="O81" s="35"/>
      <c r="Q81" s="47">
        <f>ROUND((ROUND((_11_A家事増２．５*_11・基礎２),0)*(1+_11・A早朝)),0)</f>
        <v>394</v>
      </c>
      <c r="R81" s="48"/>
    </row>
    <row r="82" spans="1:18" ht="16.5" customHeight="1" x14ac:dyDescent="0.15">
      <c r="A82" s="41">
        <v>11</v>
      </c>
      <c r="B82" s="41">
        <v>6486</v>
      </c>
      <c r="C82" s="74" t="s">
        <v>11122</v>
      </c>
      <c r="D82" s="100">
        <f>_11_A家事増２．５</f>
        <v>350</v>
      </c>
      <c r="E82" s="12" t="s">
        <v>392</v>
      </c>
      <c r="F82" s="711"/>
      <c r="G82" s="216"/>
      <c r="H82" s="38"/>
      <c r="I82" s="44" t="s">
        <v>397</v>
      </c>
      <c r="J82" s="218" t="s">
        <v>398</v>
      </c>
      <c r="K82" s="46">
        <v>1</v>
      </c>
      <c r="L82" s="35"/>
      <c r="O82" s="43"/>
      <c r="P82" s="38"/>
      <c r="Q82" s="47">
        <f>ROUND((ROUND((ROUND((_11_A家事増２．５*_11・基礎２),0)*_11・２人),0)*(1+_11・A早朝)),0)</f>
        <v>394</v>
      </c>
      <c r="R82" s="48"/>
    </row>
    <row r="83" spans="1:18" ht="16.5" customHeight="1" x14ac:dyDescent="0.15">
      <c r="A83" s="41">
        <v>11</v>
      </c>
      <c r="B83" s="41" t="s">
        <v>11123</v>
      </c>
      <c r="C83" s="74" t="s">
        <v>11124</v>
      </c>
      <c r="D83" s="72"/>
      <c r="F83" s="53"/>
      <c r="G83" s="221"/>
      <c r="H83" s="50"/>
      <c r="I83" s="163"/>
      <c r="J83" s="218"/>
      <c r="K83" s="46"/>
      <c r="L83" s="35"/>
      <c r="O83" s="707" t="s">
        <v>404</v>
      </c>
      <c r="P83" s="708"/>
      <c r="Q83" s="47">
        <f>ROUND((ROUND((_11_A家事増２．５*(1+_11・A早朝)),0)*_11・初任),0)</f>
        <v>307</v>
      </c>
      <c r="R83" s="48"/>
    </row>
    <row r="84" spans="1:18" ht="16.5" customHeight="1" x14ac:dyDescent="0.15">
      <c r="A84" s="41">
        <v>11</v>
      </c>
      <c r="B84" s="41" t="s">
        <v>11125</v>
      </c>
      <c r="C84" s="74" t="s">
        <v>11126</v>
      </c>
      <c r="D84" s="72"/>
      <c r="F84" s="43"/>
      <c r="G84" s="216"/>
      <c r="H84" s="38"/>
      <c r="I84" s="44" t="s">
        <v>397</v>
      </c>
      <c r="J84" s="218" t="s">
        <v>398</v>
      </c>
      <c r="K84" s="46">
        <v>1</v>
      </c>
      <c r="L84" s="35"/>
      <c r="O84" s="709"/>
      <c r="P84" s="704"/>
      <c r="Q84" s="47">
        <f>ROUND((ROUND((ROUND((_11_A家事増２．５*_11・２人),0)*(1+_11・A早朝)),0)*_11・初任),0)</f>
        <v>307</v>
      </c>
      <c r="R84" s="48"/>
    </row>
    <row r="85" spans="1:18" ht="16.5" customHeight="1" x14ac:dyDescent="0.15">
      <c r="A85" s="41">
        <v>11</v>
      </c>
      <c r="B85" s="41" t="s">
        <v>11127</v>
      </c>
      <c r="C85" s="74" t="s">
        <v>11128</v>
      </c>
      <c r="D85" s="72"/>
      <c r="F85" s="752" t="s">
        <v>400</v>
      </c>
      <c r="G85" s="221" t="s">
        <v>398</v>
      </c>
      <c r="H85" s="50">
        <v>0.9</v>
      </c>
      <c r="I85" s="163"/>
      <c r="J85" s="218"/>
      <c r="K85" s="46"/>
      <c r="L85" s="35"/>
      <c r="O85" s="709"/>
      <c r="P85" s="704"/>
      <c r="Q85" s="47">
        <f>ROUND((ROUND((ROUND((_11_A家事増２．５*_11・基礎２),0)*(1+_11・A早朝)),0)*_11・初任),0)</f>
        <v>276</v>
      </c>
      <c r="R85" s="48"/>
    </row>
    <row r="86" spans="1:18" ht="16.5" customHeight="1" x14ac:dyDescent="0.15">
      <c r="A86" s="41">
        <v>11</v>
      </c>
      <c r="B86" s="41" t="s">
        <v>11129</v>
      </c>
      <c r="C86" s="74" t="s">
        <v>11130</v>
      </c>
      <c r="D86" s="122"/>
      <c r="E86" s="37"/>
      <c r="F86" s="711"/>
      <c r="G86" s="216"/>
      <c r="H86" s="38"/>
      <c r="I86" s="44" t="s">
        <v>397</v>
      </c>
      <c r="J86" s="218" t="s">
        <v>398</v>
      </c>
      <c r="K86" s="46">
        <v>1</v>
      </c>
      <c r="L86" s="43"/>
      <c r="M86" s="37"/>
      <c r="N86" s="38"/>
      <c r="O86" s="240" t="s">
        <v>398</v>
      </c>
      <c r="P86" s="38">
        <f>_11・初任</f>
        <v>0.7</v>
      </c>
      <c r="Q86" s="47">
        <f>ROUND((ROUND((ROUND((ROUND((_11_A家事増２．５*_11・基礎２),0)*_11・２人),0)*(1+_11・A早朝)),0)*_11・初任),0)</f>
        <v>276</v>
      </c>
      <c r="R86" s="63"/>
    </row>
    <row r="87" spans="1:18" ht="16.5" customHeight="1" x14ac:dyDescent="0.15">
      <c r="A87" s="80"/>
      <c r="B87" s="80"/>
      <c r="C87" s="81"/>
      <c r="Q87" s="84"/>
      <c r="R87" s="85"/>
    </row>
    <row r="88" spans="1:18" ht="16.5" customHeight="1" x14ac:dyDescent="0.15">
      <c r="A88" s="80"/>
      <c r="B88" s="80"/>
      <c r="C88" s="81"/>
      <c r="Q88" s="84"/>
      <c r="R88" s="85"/>
    </row>
    <row r="89" spans="1:18" ht="16.5" customHeight="1" x14ac:dyDescent="0.15">
      <c r="A89" s="80"/>
      <c r="B89" s="86" t="s">
        <v>11131</v>
      </c>
      <c r="C89" s="81"/>
      <c r="D89" s="71"/>
      <c r="Q89" s="84"/>
      <c r="R89" s="85"/>
    </row>
    <row r="90" spans="1:18" ht="16.5" customHeight="1" x14ac:dyDescent="0.15">
      <c r="A90" s="87" t="s">
        <v>384</v>
      </c>
      <c r="B90" s="20"/>
      <c r="C90" s="88" t="s">
        <v>385</v>
      </c>
      <c r="D90" s="23"/>
      <c r="E90" s="23"/>
      <c r="F90" s="23"/>
      <c r="G90" s="166"/>
      <c r="H90" s="23" t="s">
        <v>386</v>
      </c>
      <c r="I90" s="23"/>
      <c r="J90" s="166"/>
      <c r="K90" s="24"/>
      <c r="L90" s="23"/>
      <c r="M90" s="23"/>
      <c r="N90" s="24"/>
      <c r="O90" s="23"/>
      <c r="P90" s="24"/>
      <c r="Q90" s="25" t="s">
        <v>387</v>
      </c>
      <c r="R90" s="21" t="s">
        <v>388</v>
      </c>
    </row>
    <row r="91" spans="1:18" ht="16.5" customHeight="1" x14ac:dyDescent="0.15">
      <c r="A91" s="26" t="s">
        <v>389</v>
      </c>
      <c r="B91" s="26" t="s">
        <v>390</v>
      </c>
      <c r="C91" s="89"/>
      <c r="D91" s="29"/>
      <c r="E91" s="29"/>
      <c r="F91" s="29"/>
      <c r="G91" s="214"/>
      <c r="H91" s="30"/>
      <c r="I91" s="29"/>
      <c r="J91" s="214"/>
      <c r="K91" s="30"/>
      <c r="L91" s="29"/>
      <c r="M91" s="29"/>
      <c r="N91" s="30"/>
      <c r="O91" s="29"/>
      <c r="P91" s="30"/>
      <c r="Q91" s="31" t="s">
        <v>391</v>
      </c>
      <c r="R91" s="32" t="s">
        <v>392</v>
      </c>
    </row>
    <row r="92" spans="1:18" ht="16.5" customHeight="1" x14ac:dyDescent="0.15">
      <c r="A92" s="33">
        <v>11</v>
      </c>
      <c r="B92" s="33">
        <v>8191</v>
      </c>
      <c r="C92" s="34" t="s">
        <v>11132</v>
      </c>
      <c r="D92" s="709" t="s">
        <v>11133</v>
      </c>
      <c r="E92" s="718"/>
      <c r="F92" s="35"/>
      <c r="I92" s="43"/>
      <c r="J92" s="216"/>
      <c r="K92" s="38"/>
      <c r="L92" s="35" t="s">
        <v>743</v>
      </c>
      <c r="N92" s="234"/>
      <c r="O92" s="35"/>
      <c r="Q92" s="39">
        <f>ROUND((_11_A家事増０．２５*(1+_11・A夜間)),0)</f>
        <v>44</v>
      </c>
      <c r="R92" s="40" t="s">
        <v>395</v>
      </c>
    </row>
    <row r="93" spans="1:18" ht="16.5" customHeight="1" x14ac:dyDescent="0.15">
      <c r="A93" s="41">
        <v>11</v>
      </c>
      <c r="B93" s="41">
        <v>8192</v>
      </c>
      <c r="C93" s="74" t="s">
        <v>11134</v>
      </c>
      <c r="D93" s="709"/>
      <c r="E93" s="718"/>
      <c r="F93" s="43"/>
      <c r="G93" s="216"/>
      <c r="H93" s="38"/>
      <c r="I93" s="44" t="s">
        <v>397</v>
      </c>
      <c r="J93" s="218" t="s">
        <v>398</v>
      </c>
      <c r="K93" s="46">
        <v>1</v>
      </c>
      <c r="L93" s="223" t="s">
        <v>398</v>
      </c>
      <c r="M93" s="13">
        <v>0.25</v>
      </c>
      <c r="N93" s="718" t="s">
        <v>676</v>
      </c>
      <c r="O93" s="35"/>
      <c r="Q93" s="47">
        <f>ROUND((ROUND((_11_A家事増０．２５*_11・２人),0)*(1+_11・A夜間)),0)</f>
        <v>44</v>
      </c>
      <c r="R93" s="48"/>
    </row>
    <row r="94" spans="1:18" ht="16.5" customHeight="1" x14ac:dyDescent="0.15">
      <c r="A94" s="41">
        <v>11</v>
      </c>
      <c r="B94" s="41">
        <v>8193</v>
      </c>
      <c r="C94" s="74" t="s">
        <v>11135</v>
      </c>
      <c r="D94" s="709"/>
      <c r="E94" s="718"/>
      <c r="F94" s="752" t="s">
        <v>400</v>
      </c>
      <c r="G94" s="221" t="s">
        <v>398</v>
      </c>
      <c r="H94" s="50">
        <v>0.9</v>
      </c>
      <c r="I94" s="163"/>
      <c r="J94" s="218"/>
      <c r="K94" s="46"/>
      <c r="L94" s="35"/>
      <c r="N94" s="796"/>
      <c r="O94" s="35"/>
      <c r="Q94" s="47">
        <f>ROUND((ROUND((_11_A家事増０．２５*_11・基礎２),0)*(1+_11・A夜間)),0)</f>
        <v>40</v>
      </c>
      <c r="R94" s="48"/>
    </row>
    <row r="95" spans="1:18" ht="16.5" customHeight="1" x14ac:dyDescent="0.15">
      <c r="A95" s="41">
        <v>11</v>
      </c>
      <c r="B95" s="41">
        <v>8194</v>
      </c>
      <c r="C95" s="74" t="s">
        <v>11136</v>
      </c>
      <c r="D95" s="100">
        <f>_11_A家事増０．２５</f>
        <v>35</v>
      </c>
      <c r="E95" s="12" t="s">
        <v>392</v>
      </c>
      <c r="F95" s="711"/>
      <c r="G95" s="216"/>
      <c r="H95" s="38"/>
      <c r="I95" s="44" t="s">
        <v>397</v>
      </c>
      <c r="J95" s="218" t="s">
        <v>398</v>
      </c>
      <c r="K95" s="46">
        <v>1</v>
      </c>
      <c r="L95" s="35"/>
      <c r="O95" s="43"/>
      <c r="P95" s="38"/>
      <c r="Q95" s="47">
        <f>ROUND((ROUND((ROUND((_11_A家事増０．２５*_11・基礎２),0)*_11・２人),0)*(1+_11・A夜間)),0)</f>
        <v>40</v>
      </c>
      <c r="R95" s="48"/>
    </row>
    <row r="96" spans="1:18" ht="16.5" customHeight="1" x14ac:dyDescent="0.15">
      <c r="A96" s="41">
        <v>11</v>
      </c>
      <c r="B96" s="41" t="s">
        <v>11137</v>
      </c>
      <c r="C96" s="74" t="s">
        <v>11138</v>
      </c>
      <c r="D96" s="72"/>
      <c r="F96" s="53"/>
      <c r="G96" s="221"/>
      <c r="H96" s="50"/>
      <c r="I96" s="163"/>
      <c r="J96" s="218"/>
      <c r="K96" s="46"/>
      <c r="L96" s="35"/>
      <c r="O96" s="707" t="s">
        <v>404</v>
      </c>
      <c r="P96" s="708"/>
      <c r="Q96" s="47">
        <f>ROUND((ROUND((_11_A家事増０．２５*(1+_11・A夜間)),0)*_11・初任),0)</f>
        <v>31</v>
      </c>
      <c r="R96" s="48"/>
    </row>
    <row r="97" spans="1:18" ht="16.5" customHeight="1" x14ac:dyDescent="0.15">
      <c r="A97" s="41">
        <v>11</v>
      </c>
      <c r="B97" s="41" t="s">
        <v>11139</v>
      </c>
      <c r="C97" s="74" t="s">
        <v>11140</v>
      </c>
      <c r="D97" s="72"/>
      <c r="F97" s="43"/>
      <c r="G97" s="216"/>
      <c r="H97" s="38"/>
      <c r="I97" s="44" t="s">
        <v>397</v>
      </c>
      <c r="J97" s="218" t="s">
        <v>398</v>
      </c>
      <c r="K97" s="46">
        <v>1</v>
      </c>
      <c r="L97" s="35"/>
      <c r="O97" s="709"/>
      <c r="P97" s="704"/>
      <c r="Q97" s="47">
        <f>ROUND((ROUND((ROUND((_11_A家事増０．２５*_11・２人),0)*(1+_11・A夜間)),0)*_11・初任),0)</f>
        <v>31</v>
      </c>
      <c r="R97" s="48"/>
    </row>
    <row r="98" spans="1:18" ht="16.5" customHeight="1" x14ac:dyDescent="0.15">
      <c r="A98" s="41">
        <v>11</v>
      </c>
      <c r="B98" s="41" t="s">
        <v>11141</v>
      </c>
      <c r="C98" s="74" t="s">
        <v>11142</v>
      </c>
      <c r="D98" s="72"/>
      <c r="F98" s="752" t="s">
        <v>400</v>
      </c>
      <c r="G98" s="221" t="s">
        <v>398</v>
      </c>
      <c r="H98" s="50">
        <v>0.9</v>
      </c>
      <c r="I98" s="163"/>
      <c r="J98" s="218"/>
      <c r="K98" s="46"/>
      <c r="L98" s="35"/>
      <c r="O98" s="709"/>
      <c r="P98" s="704"/>
      <c r="Q98" s="47">
        <f>ROUND((ROUND((ROUND((_11_A家事増０．２５*_11・基礎２),0)*(1+_11・A夜間)),0)*_11・初任),0)</f>
        <v>28</v>
      </c>
      <c r="R98" s="48"/>
    </row>
    <row r="99" spans="1:18" ht="16.5" customHeight="1" x14ac:dyDescent="0.15">
      <c r="A99" s="41">
        <v>11</v>
      </c>
      <c r="B99" s="41" t="s">
        <v>11143</v>
      </c>
      <c r="C99" s="74" t="s">
        <v>11144</v>
      </c>
      <c r="D99" s="72"/>
      <c r="F99" s="711"/>
      <c r="G99" s="216"/>
      <c r="H99" s="38"/>
      <c r="I99" s="44" t="s">
        <v>397</v>
      </c>
      <c r="J99" s="218" t="s">
        <v>398</v>
      </c>
      <c r="K99" s="46">
        <v>1</v>
      </c>
      <c r="L99" s="35"/>
      <c r="O99" s="240" t="s">
        <v>398</v>
      </c>
      <c r="P99" s="38">
        <f>_11・初任</f>
        <v>0.7</v>
      </c>
      <c r="Q99" s="47">
        <f>ROUND((ROUND((ROUND((ROUND((_11_A家事増０．２５*_11・基礎２),0)*_11・２人),0)*(1+_11・A夜間)),0)*_11・初任),0)</f>
        <v>28</v>
      </c>
      <c r="R99" s="48"/>
    </row>
    <row r="100" spans="1:18" ht="16.5" customHeight="1" x14ac:dyDescent="0.15">
      <c r="A100" s="41">
        <v>11</v>
      </c>
      <c r="B100" s="41">
        <v>6487</v>
      </c>
      <c r="C100" s="74" t="s">
        <v>11145</v>
      </c>
      <c r="D100" s="707" t="s">
        <v>11146</v>
      </c>
      <c r="E100" s="798"/>
      <c r="F100" s="53"/>
      <c r="G100" s="221"/>
      <c r="H100" s="50"/>
      <c r="I100" s="163"/>
      <c r="J100" s="218"/>
      <c r="K100" s="46"/>
      <c r="L100" s="35"/>
      <c r="O100" s="53"/>
      <c r="P100" s="50"/>
      <c r="Q100" s="47">
        <f>ROUND((_11_A家事増０．５*(1+_11・A夜間)),0)</f>
        <v>88</v>
      </c>
      <c r="R100" s="48"/>
    </row>
    <row r="101" spans="1:18" ht="16.5" customHeight="1" x14ac:dyDescent="0.15">
      <c r="A101" s="41">
        <v>11</v>
      </c>
      <c r="B101" s="41">
        <v>6488</v>
      </c>
      <c r="C101" s="74" t="s">
        <v>11147</v>
      </c>
      <c r="D101" s="799"/>
      <c r="E101" s="796"/>
      <c r="F101" s="43"/>
      <c r="G101" s="216"/>
      <c r="H101" s="38"/>
      <c r="I101" s="44" t="s">
        <v>397</v>
      </c>
      <c r="J101" s="218" t="s">
        <v>398</v>
      </c>
      <c r="K101" s="46">
        <v>1</v>
      </c>
      <c r="L101" s="35"/>
      <c r="O101" s="35"/>
      <c r="Q101" s="47">
        <f>ROUND((ROUND((_11_A家事増０．５*_11・２人),0)*(1+_11・A夜間)),0)</f>
        <v>88</v>
      </c>
      <c r="R101" s="48"/>
    </row>
    <row r="102" spans="1:18" ht="16.5" customHeight="1" x14ac:dyDescent="0.15">
      <c r="A102" s="41">
        <v>11</v>
      </c>
      <c r="B102" s="41">
        <v>6489</v>
      </c>
      <c r="C102" s="74" t="s">
        <v>11148</v>
      </c>
      <c r="D102" s="799"/>
      <c r="E102" s="796"/>
      <c r="F102" s="752" t="s">
        <v>400</v>
      </c>
      <c r="G102" s="221" t="s">
        <v>398</v>
      </c>
      <c r="H102" s="50">
        <v>0.9</v>
      </c>
      <c r="I102" s="163"/>
      <c r="J102" s="218"/>
      <c r="K102" s="46"/>
      <c r="L102" s="35"/>
      <c r="O102" s="35"/>
      <c r="Q102" s="47">
        <f>ROUND((ROUND((_11_A家事増０．５*_11・基礎２),0)*(1+_11・A夜間)),0)</f>
        <v>79</v>
      </c>
      <c r="R102" s="48"/>
    </row>
    <row r="103" spans="1:18" ht="16.5" customHeight="1" x14ac:dyDescent="0.15">
      <c r="A103" s="41">
        <v>11</v>
      </c>
      <c r="B103" s="41">
        <v>6490</v>
      </c>
      <c r="C103" s="74" t="s">
        <v>11149</v>
      </c>
      <c r="D103" s="100">
        <f>_11_A家事増０．５</f>
        <v>70</v>
      </c>
      <c r="E103" s="12" t="s">
        <v>392</v>
      </c>
      <c r="F103" s="711"/>
      <c r="G103" s="216"/>
      <c r="H103" s="38"/>
      <c r="I103" s="44" t="s">
        <v>397</v>
      </c>
      <c r="J103" s="218" t="s">
        <v>398</v>
      </c>
      <c r="K103" s="46">
        <v>1</v>
      </c>
      <c r="L103" s="35"/>
      <c r="O103" s="43"/>
      <c r="P103" s="38"/>
      <c r="Q103" s="47">
        <f>ROUND((ROUND((ROUND((_11_A家事増０．５*_11・基礎２),0)*_11・２人),0)*(1+_11・A夜間)),0)</f>
        <v>79</v>
      </c>
      <c r="R103" s="48"/>
    </row>
    <row r="104" spans="1:18" ht="16.5" customHeight="1" x14ac:dyDescent="0.15">
      <c r="A104" s="41">
        <v>11</v>
      </c>
      <c r="B104" s="41" t="s">
        <v>11150</v>
      </c>
      <c r="C104" s="74" t="s">
        <v>11151</v>
      </c>
      <c r="D104" s="72"/>
      <c r="F104" s="53"/>
      <c r="G104" s="221"/>
      <c r="H104" s="50"/>
      <c r="I104" s="163"/>
      <c r="J104" s="218"/>
      <c r="K104" s="46"/>
      <c r="L104" s="35"/>
      <c r="O104" s="707" t="s">
        <v>404</v>
      </c>
      <c r="P104" s="708"/>
      <c r="Q104" s="47">
        <f>ROUND((ROUND((_11_A家事増０．５*(1+_11・A夜間)),0)*_11・初任),0)</f>
        <v>62</v>
      </c>
      <c r="R104" s="48"/>
    </row>
    <row r="105" spans="1:18" ht="16.5" customHeight="1" x14ac:dyDescent="0.15">
      <c r="A105" s="41">
        <v>11</v>
      </c>
      <c r="B105" s="41" t="s">
        <v>11152</v>
      </c>
      <c r="C105" s="74" t="s">
        <v>11153</v>
      </c>
      <c r="D105" s="72"/>
      <c r="F105" s="43"/>
      <c r="G105" s="216"/>
      <c r="H105" s="38"/>
      <c r="I105" s="44" t="s">
        <v>397</v>
      </c>
      <c r="J105" s="218" t="s">
        <v>398</v>
      </c>
      <c r="K105" s="46">
        <v>1</v>
      </c>
      <c r="L105" s="35"/>
      <c r="O105" s="709"/>
      <c r="P105" s="704"/>
      <c r="Q105" s="47">
        <f>ROUND((ROUND((ROUND((_11_A家事増０．５*_11・２人),0)*(1+_11・A夜間)),0)*_11・初任),0)</f>
        <v>62</v>
      </c>
      <c r="R105" s="48"/>
    </row>
    <row r="106" spans="1:18" ht="16.5" customHeight="1" x14ac:dyDescent="0.15">
      <c r="A106" s="41">
        <v>11</v>
      </c>
      <c r="B106" s="41" t="s">
        <v>11154</v>
      </c>
      <c r="C106" s="74" t="s">
        <v>11155</v>
      </c>
      <c r="D106" s="72"/>
      <c r="F106" s="752" t="s">
        <v>400</v>
      </c>
      <c r="G106" s="221" t="s">
        <v>398</v>
      </c>
      <c r="H106" s="50">
        <v>0.9</v>
      </c>
      <c r="I106" s="163"/>
      <c r="J106" s="218"/>
      <c r="K106" s="46"/>
      <c r="L106" s="35"/>
      <c r="O106" s="709"/>
      <c r="P106" s="704"/>
      <c r="Q106" s="47">
        <f>ROUND((ROUND((ROUND((_11_A家事増０．５*_11・基礎２),0)*(1+_11・A夜間)),0)*_11・初任),0)</f>
        <v>55</v>
      </c>
      <c r="R106" s="48"/>
    </row>
    <row r="107" spans="1:18" ht="16.5" customHeight="1" x14ac:dyDescent="0.15">
      <c r="A107" s="41">
        <v>11</v>
      </c>
      <c r="B107" s="41" t="s">
        <v>11156</v>
      </c>
      <c r="C107" s="74" t="s">
        <v>11157</v>
      </c>
      <c r="D107" s="72"/>
      <c r="F107" s="711"/>
      <c r="G107" s="216"/>
      <c r="H107" s="38"/>
      <c r="I107" s="44" t="s">
        <v>397</v>
      </c>
      <c r="J107" s="218" t="s">
        <v>398</v>
      </c>
      <c r="K107" s="46">
        <v>1</v>
      </c>
      <c r="L107" s="35"/>
      <c r="O107" s="240" t="s">
        <v>398</v>
      </c>
      <c r="P107" s="38">
        <f>_11・初任</f>
        <v>0.7</v>
      </c>
      <c r="Q107" s="47">
        <f>ROUND((ROUND((ROUND((ROUND((_11_A家事増０．５*_11・基礎２),0)*_11・２人),0)*(1+_11・A夜間)),0)*_11・初任),0)</f>
        <v>55</v>
      </c>
      <c r="R107" s="48"/>
    </row>
    <row r="108" spans="1:18" ht="16.5" customHeight="1" x14ac:dyDescent="0.15">
      <c r="A108" s="41">
        <v>11</v>
      </c>
      <c r="B108" s="41">
        <v>8195</v>
      </c>
      <c r="C108" s="74" t="s">
        <v>11158</v>
      </c>
      <c r="D108" s="707" t="s">
        <v>11159</v>
      </c>
      <c r="E108" s="798"/>
      <c r="F108" s="53"/>
      <c r="G108" s="221"/>
      <c r="H108" s="50"/>
      <c r="I108" s="163"/>
      <c r="J108" s="218"/>
      <c r="K108" s="46"/>
      <c r="L108" s="35"/>
      <c r="O108" s="53"/>
      <c r="P108" s="50"/>
      <c r="Q108" s="47">
        <f>ROUND((_11_A家事増０．７５*(1+_11・A夜間)),0)</f>
        <v>131</v>
      </c>
      <c r="R108" s="48"/>
    </row>
    <row r="109" spans="1:18" ht="16.5" customHeight="1" x14ac:dyDescent="0.15">
      <c r="A109" s="41">
        <v>11</v>
      </c>
      <c r="B109" s="41">
        <v>8196</v>
      </c>
      <c r="C109" s="74" t="s">
        <v>11160</v>
      </c>
      <c r="D109" s="799"/>
      <c r="E109" s="796"/>
      <c r="F109" s="43"/>
      <c r="G109" s="216"/>
      <c r="H109" s="38"/>
      <c r="I109" s="44" t="s">
        <v>397</v>
      </c>
      <c r="J109" s="218" t="s">
        <v>398</v>
      </c>
      <c r="K109" s="46">
        <v>1</v>
      </c>
      <c r="L109" s="35"/>
      <c r="O109" s="35"/>
      <c r="Q109" s="47">
        <f>ROUND((ROUND((_11_A家事増０．７５*_11・２人),0)*(1+_11・A夜間)),0)</f>
        <v>131</v>
      </c>
      <c r="R109" s="48"/>
    </row>
    <row r="110" spans="1:18" ht="16.5" customHeight="1" x14ac:dyDescent="0.15">
      <c r="A110" s="41">
        <v>11</v>
      </c>
      <c r="B110" s="41">
        <v>8197</v>
      </c>
      <c r="C110" s="74" t="s">
        <v>11161</v>
      </c>
      <c r="D110" s="799"/>
      <c r="E110" s="796"/>
      <c r="F110" s="752" t="s">
        <v>400</v>
      </c>
      <c r="G110" s="221" t="s">
        <v>398</v>
      </c>
      <c r="H110" s="50">
        <v>0.9</v>
      </c>
      <c r="I110" s="163"/>
      <c r="J110" s="218"/>
      <c r="K110" s="46"/>
      <c r="L110" s="35"/>
      <c r="O110" s="35"/>
      <c r="Q110" s="47">
        <f>ROUND((ROUND((_11_A家事増０．７５*_11・基礎２),0)*(1+_11・A夜間)),0)</f>
        <v>119</v>
      </c>
      <c r="R110" s="48"/>
    </row>
    <row r="111" spans="1:18" ht="16.5" customHeight="1" x14ac:dyDescent="0.15">
      <c r="A111" s="41">
        <v>11</v>
      </c>
      <c r="B111" s="41">
        <v>8198</v>
      </c>
      <c r="C111" s="74" t="s">
        <v>11162</v>
      </c>
      <c r="D111" s="100">
        <f>_11_A家事増０．７５</f>
        <v>105</v>
      </c>
      <c r="E111" s="12" t="s">
        <v>392</v>
      </c>
      <c r="F111" s="711"/>
      <c r="G111" s="216"/>
      <c r="H111" s="38"/>
      <c r="I111" s="44" t="s">
        <v>397</v>
      </c>
      <c r="J111" s="218" t="s">
        <v>398</v>
      </c>
      <c r="K111" s="46">
        <v>1</v>
      </c>
      <c r="L111" s="35"/>
      <c r="O111" s="43"/>
      <c r="P111" s="38"/>
      <c r="Q111" s="47">
        <f>ROUND((ROUND((ROUND((_11_A家事増０．７５*_11・基礎２),0)*_11・２人),0)*(1+_11・A夜間)),0)</f>
        <v>119</v>
      </c>
      <c r="R111" s="48"/>
    </row>
    <row r="112" spans="1:18" ht="16.5" customHeight="1" x14ac:dyDescent="0.15">
      <c r="A112" s="41">
        <v>11</v>
      </c>
      <c r="B112" s="41" t="s">
        <v>11163</v>
      </c>
      <c r="C112" s="74" t="s">
        <v>11164</v>
      </c>
      <c r="D112" s="72"/>
      <c r="F112" s="53"/>
      <c r="G112" s="221"/>
      <c r="H112" s="50"/>
      <c r="I112" s="163"/>
      <c r="J112" s="218"/>
      <c r="K112" s="46"/>
      <c r="L112" s="35"/>
      <c r="O112" s="707" t="s">
        <v>404</v>
      </c>
      <c r="P112" s="708"/>
      <c r="Q112" s="47">
        <f>ROUND((ROUND((_11_A家事増０．７５*(1+_11・A夜間)),0)*_11・初任),0)</f>
        <v>92</v>
      </c>
      <c r="R112" s="48"/>
    </row>
    <row r="113" spans="1:18" ht="16.5" customHeight="1" x14ac:dyDescent="0.15">
      <c r="A113" s="41">
        <v>11</v>
      </c>
      <c r="B113" s="41" t="s">
        <v>11165</v>
      </c>
      <c r="C113" s="74" t="s">
        <v>11166</v>
      </c>
      <c r="D113" s="72"/>
      <c r="F113" s="43"/>
      <c r="G113" s="216"/>
      <c r="H113" s="38"/>
      <c r="I113" s="44" t="s">
        <v>397</v>
      </c>
      <c r="J113" s="218" t="s">
        <v>398</v>
      </c>
      <c r="K113" s="46">
        <v>1</v>
      </c>
      <c r="L113" s="35"/>
      <c r="O113" s="709"/>
      <c r="P113" s="704"/>
      <c r="Q113" s="47">
        <f>ROUND((ROUND((ROUND((_11_A家事増０．７５*_11・２人),0)*(1+_11・A夜間)),0)*_11・初任),0)</f>
        <v>92</v>
      </c>
      <c r="R113" s="48"/>
    </row>
    <row r="114" spans="1:18" ht="16.5" customHeight="1" x14ac:dyDescent="0.15">
      <c r="A114" s="41">
        <v>11</v>
      </c>
      <c r="B114" s="41" t="s">
        <v>11167</v>
      </c>
      <c r="C114" s="74" t="s">
        <v>11168</v>
      </c>
      <c r="D114" s="72"/>
      <c r="F114" s="752" t="s">
        <v>400</v>
      </c>
      <c r="G114" s="221" t="s">
        <v>398</v>
      </c>
      <c r="H114" s="50">
        <v>0.9</v>
      </c>
      <c r="I114" s="163"/>
      <c r="J114" s="218"/>
      <c r="K114" s="46"/>
      <c r="L114" s="35"/>
      <c r="O114" s="709"/>
      <c r="P114" s="704"/>
      <c r="Q114" s="47">
        <f>ROUND((ROUND((ROUND((_11_A家事増０．７５*_11・基礎２),0)*(1+_11・A夜間)),0)*_11・初任),0)</f>
        <v>83</v>
      </c>
      <c r="R114" s="48"/>
    </row>
    <row r="115" spans="1:18" ht="16.5" customHeight="1" x14ac:dyDescent="0.15">
      <c r="A115" s="41">
        <v>11</v>
      </c>
      <c r="B115" s="41" t="s">
        <v>11169</v>
      </c>
      <c r="C115" s="74" t="s">
        <v>11170</v>
      </c>
      <c r="D115" s="72"/>
      <c r="F115" s="711"/>
      <c r="G115" s="216"/>
      <c r="H115" s="38"/>
      <c r="I115" s="44" t="s">
        <v>397</v>
      </c>
      <c r="J115" s="218" t="s">
        <v>398</v>
      </c>
      <c r="K115" s="46">
        <v>1</v>
      </c>
      <c r="L115" s="35"/>
      <c r="O115" s="240" t="s">
        <v>398</v>
      </c>
      <c r="P115" s="38">
        <f>_11・初任</f>
        <v>0.7</v>
      </c>
      <c r="Q115" s="47">
        <f>ROUND((ROUND((ROUND((ROUND((_11_A家事増０．７５*_11・基礎２),0)*_11・２人),0)*(1+_11・A夜間)),0)*_11・初任),0)</f>
        <v>83</v>
      </c>
      <c r="R115" s="48"/>
    </row>
    <row r="116" spans="1:18" ht="16.5" customHeight="1" x14ac:dyDescent="0.15">
      <c r="A116" s="41">
        <v>11</v>
      </c>
      <c r="B116" s="41">
        <v>6491</v>
      </c>
      <c r="C116" s="74" t="s">
        <v>11171</v>
      </c>
      <c r="D116" s="707" t="s">
        <v>11172</v>
      </c>
      <c r="E116" s="798"/>
      <c r="F116" s="53"/>
      <c r="G116" s="221"/>
      <c r="H116" s="50"/>
      <c r="I116" s="163"/>
      <c r="J116" s="218"/>
      <c r="K116" s="46"/>
      <c r="L116" s="35"/>
      <c r="O116" s="53"/>
      <c r="P116" s="50"/>
      <c r="Q116" s="47">
        <f>ROUND((_11_A家事増１．０*(1+_11・A夜間)),0)</f>
        <v>175</v>
      </c>
      <c r="R116" s="48"/>
    </row>
    <row r="117" spans="1:18" ht="16.5" customHeight="1" x14ac:dyDescent="0.15">
      <c r="A117" s="41">
        <v>11</v>
      </c>
      <c r="B117" s="41">
        <v>6492</v>
      </c>
      <c r="C117" s="74" t="s">
        <v>11173</v>
      </c>
      <c r="D117" s="799"/>
      <c r="E117" s="796"/>
      <c r="F117" s="43"/>
      <c r="G117" s="216"/>
      <c r="H117" s="38"/>
      <c r="I117" s="44" t="s">
        <v>397</v>
      </c>
      <c r="J117" s="218" t="s">
        <v>398</v>
      </c>
      <c r="K117" s="46">
        <v>1</v>
      </c>
      <c r="L117" s="35"/>
      <c r="O117" s="35"/>
      <c r="Q117" s="47">
        <f>ROUND((ROUND((_11_A家事増１．０*_11・２人),0)*(1+_11・A夜間)),0)</f>
        <v>175</v>
      </c>
      <c r="R117" s="48"/>
    </row>
    <row r="118" spans="1:18" ht="16.5" customHeight="1" x14ac:dyDescent="0.15">
      <c r="A118" s="41">
        <v>11</v>
      </c>
      <c r="B118" s="41">
        <v>6493</v>
      </c>
      <c r="C118" s="74" t="s">
        <v>11174</v>
      </c>
      <c r="D118" s="799"/>
      <c r="E118" s="796"/>
      <c r="F118" s="752" t="s">
        <v>400</v>
      </c>
      <c r="G118" s="221" t="s">
        <v>398</v>
      </c>
      <c r="H118" s="50">
        <v>0.9</v>
      </c>
      <c r="I118" s="163"/>
      <c r="J118" s="218"/>
      <c r="K118" s="46"/>
      <c r="L118" s="35"/>
      <c r="O118" s="35"/>
      <c r="Q118" s="47">
        <f>ROUND((ROUND((_11_A家事増１．０*_11・基礎２),0)*(1+_11・A夜間)),0)</f>
        <v>158</v>
      </c>
      <c r="R118" s="48"/>
    </row>
    <row r="119" spans="1:18" ht="16.5" customHeight="1" x14ac:dyDescent="0.15">
      <c r="A119" s="41">
        <v>11</v>
      </c>
      <c r="B119" s="41">
        <v>6494</v>
      </c>
      <c r="C119" s="74" t="s">
        <v>11175</v>
      </c>
      <c r="D119" s="100">
        <f>_11_A家事増１．０</f>
        <v>140</v>
      </c>
      <c r="E119" s="12" t="s">
        <v>392</v>
      </c>
      <c r="F119" s="711"/>
      <c r="G119" s="216"/>
      <c r="H119" s="38"/>
      <c r="I119" s="44" t="s">
        <v>397</v>
      </c>
      <c r="J119" s="218" t="s">
        <v>398</v>
      </c>
      <c r="K119" s="46">
        <v>1</v>
      </c>
      <c r="L119" s="35"/>
      <c r="O119" s="43"/>
      <c r="P119" s="38"/>
      <c r="Q119" s="47">
        <f>ROUND((ROUND((ROUND((_11_A家事増１．０*_11・基礎２),0)*_11・２人),0)*(1+_11・A夜間)),0)</f>
        <v>158</v>
      </c>
      <c r="R119" s="48"/>
    </row>
    <row r="120" spans="1:18" ht="16.5" customHeight="1" x14ac:dyDescent="0.15">
      <c r="A120" s="41">
        <v>11</v>
      </c>
      <c r="B120" s="41" t="s">
        <v>11176</v>
      </c>
      <c r="C120" s="74" t="s">
        <v>11177</v>
      </c>
      <c r="D120" s="72"/>
      <c r="F120" s="53"/>
      <c r="G120" s="221"/>
      <c r="H120" s="50"/>
      <c r="I120" s="163"/>
      <c r="J120" s="218"/>
      <c r="K120" s="46"/>
      <c r="L120" s="35"/>
      <c r="O120" s="707" t="s">
        <v>404</v>
      </c>
      <c r="P120" s="708"/>
      <c r="Q120" s="47">
        <f>ROUND((ROUND((_11_A家事増１．０*(1+_11・A夜間)),0)*_11・初任),0)</f>
        <v>123</v>
      </c>
      <c r="R120" s="48"/>
    </row>
    <row r="121" spans="1:18" ht="16.5" customHeight="1" x14ac:dyDescent="0.15">
      <c r="A121" s="41">
        <v>11</v>
      </c>
      <c r="B121" s="41" t="s">
        <v>11178</v>
      </c>
      <c r="C121" s="74" t="s">
        <v>11179</v>
      </c>
      <c r="D121" s="72"/>
      <c r="F121" s="43"/>
      <c r="G121" s="216"/>
      <c r="H121" s="38"/>
      <c r="I121" s="44" t="s">
        <v>397</v>
      </c>
      <c r="J121" s="218" t="s">
        <v>398</v>
      </c>
      <c r="K121" s="46">
        <v>1</v>
      </c>
      <c r="L121" s="35"/>
      <c r="O121" s="709"/>
      <c r="P121" s="704"/>
      <c r="Q121" s="47">
        <f>ROUND((ROUND((ROUND((_11_A家事増１．０*_11・２人),0)*(1+_11・A夜間)),0)*_11・初任),0)</f>
        <v>123</v>
      </c>
      <c r="R121" s="48"/>
    </row>
    <row r="122" spans="1:18" ht="16.5" customHeight="1" x14ac:dyDescent="0.15">
      <c r="A122" s="41">
        <v>11</v>
      </c>
      <c r="B122" s="41" t="s">
        <v>11180</v>
      </c>
      <c r="C122" s="74" t="s">
        <v>11181</v>
      </c>
      <c r="D122" s="72"/>
      <c r="F122" s="752" t="s">
        <v>400</v>
      </c>
      <c r="G122" s="221" t="s">
        <v>398</v>
      </c>
      <c r="H122" s="50">
        <v>0.9</v>
      </c>
      <c r="I122" s="163"/>
      <c r="J122" s="218"/>
      <c r="K122" s="46"/>
      <c r="L122" s="35"/>
      <c r="O122" s="709"/>
      <c r="P122" s="704"/>
      <c r="Q122" s="47">
        <f>ROUND((ROUND((ROUND((_11_A家事増１．０*_11・基礎２),0)*(1+_11・A夜間)),0)*_11・初任),0)</f>
        <v>111</v>
      </c>
      <c r="R122" s="48"/>
    </row>
    <row r="123" spans="1:18" ht="16.5" customHeight="1" x14ac:dyDescent="0.15">
      <c r="A123" s="41">
        <v>11</v>
      </c>
      <c r="B123" s="41" t="s">
        <v>11182</v>
      </c>
      <c r="C123" s="74" t="s">
        <v>11183</v>
      </c>
      <c r="D123" s="72"/>
      <c r="F123" s="711"/>
      <c r="G123" s="216"/>
      <c r="H123" s="38"/>
      <c r="I123" s="44" t="s">
        <v>397</v>
      </c>
      <c r="J123" s="218" t="s">
        <v>398</v>
      </c>
      <c r="K123" s="46">
        <v>1</v>
      </c>
      <c r="L123" s="35"/>
      <c r="O123" s="240" t="s">
        <v>398</v>
      </c>
      <c r="P123" s="38">
        <f>_11・初任</f>
        <v>0.7</v>
      </c>
      <c r="Q123" s="47">
        <f>ROUND((ROUND((ROUND((ROUND((_11_A家事増１．０*_11・基礎２),0)*_11・２人),0)*(1+_11・A夜間)),0)*_11・初任),0)</f>
        <v>111</v>
      </c>
      <c r="R123" s="48"/>
    </row>
    <row r="124" spans="1:18" ht="16.5" customHeight="1" x14ac:dyDescent="0.15">
      <c r="A124" s="41">
        <v>11</v>
      </c>
      <c r="B124" s="41">
        <v>8199</v>
      </c>
      <c r="C124" s="74" t="s">
        <v>11184</v>
      </c>
      <c r="D124" s="707" t="s">
        <v>11185</v>
      </c>
      <c r="E124" s="798"/>
      <c r="F124" s="53"/>
      <c r="G124" s="221"/>
      <c r="H124" s="50"/>
      <c r="I124" s="163"/>
      <c r="J124" s="218"/>
      <c r="K124" s="46"/>
      <c r="L124" s="35"/>
      <c r="O124" s="53"/>
      <c r="P124" s="50"/>
      <c r="Q124" s="47">
        <f>ROUND((_11_A家事増１．２５*(1+_11・A夜間)),0)</f>
        <v>219</v>
      </c>
      <c r="R124" s="48"/>
    </row>
    <row r="125" spans="1:18" ht="16.5" customHeight="1" x14ac:dyDescent="0.15">
      <c r="A125" s="41">
        <v>11</v>
      </c>
      <c r="B125" s="41">
        <v>8200</v>
      </c>
      <c r="C125" s="74" t="s">
        <v>11186</v>
      </c>
      <c r="D125" s="799"/>
      <c r="E125" s="796"/>
      <c r="F125" s="43"/>
      <c r="G125" s="216"/>
      <c r="H125" s="38"/>
      <c r="I125" s="44" t="s">
        <v>397</v>
      </c>
      <c r="J125" s="218" t="s">
        <v>398</v>
      </c>
      <c r="K125" s="46">
        <v>1</v>
      </c>
      <c r="L125" s="35"/>
      <c r="O125" s="35"/>
      <c r="Q125" s="47">
        <f>ROUND((ROUND((_11_A家事増１．２５*_11・２人),0)*(1+_11・A夜間)),0)</f>
        <v>219</v>
      </c>
      <c r="R125" s="48"/>
    </row>
    <row r="126" spans="1:18" ht="16.5" customHeight="1" x14ac:dyDescent="0.15">
      <c r="A126" s="41">
        <v>11</v>
      </c>
      <c r="B126" s="41">
        <v>8201</v>
      </c>
      <c r="C126" s="74" t="s">
        <v>11187</v>
      </c>
      <c r="D126" s="799"/>
      <c r="E126" s="796"/>
      <c r="F126" s="752" t="s">
        <v>400</v>
      </c>
      <c r="G126" s="221" t="s">
        <v>398</v>
      </c>
      <c r="H126" s="50">
        <v>0.9</v>
      </c>
      <c r="I126" s="163"/>
      <c r="J126" s="218"/>
      <c r="K126" s="46"/>
      <c r="L126" s="35"/>
      <c r="O126" s="35"/>
      <c r="Q126" s="47">
        <f>ROUND((ROUND((_11_A家事増１．２５*_11・基礎２),0)*(1+_11・A夜間)),0)</f>
        <v>198</v>
      </c>
      <c r="R126" s="48"/>
    </row>
    <row r="127" spans="1:18" ht="16.5" customHeight="1" x14ac:dyDescent="0.15">
      <c r="A127" s="41">
        <v>11</v>
      </c>
      <c r="B127" s="41">
        <v>8202</v>
      </c>
      <c r="C127" s="74" t="s">
        <v>11188</v>
      </c>
      <c r="D127" s="100">
        <f>_11_A家事増１．２５</f>
        <v>175</v>
      </c>
      <c r="E127" s="12" t="s">
        <v>392</v>
      </c>
      <c r="F127" s="711"/>
      <c r="G127" s="216"/>
      <c r="H127" s="38"/>
      <c r="I127" s="44" t="s">
        <v>397</v>
      </c>
      <c r="J127" s="218" t="s">
        <v>398</v>
      </c>
      <c r="K127" s="46">
        <v>1</v>
      </c>
      <c r="L127" s="35"/>
      <c r="O127" s="43"/>
      <c r="P127" s="38"/>
      <c r="Q127" s="47">
        <f>ROUND((ROUND((ROUND((_11_A家事増１．２５*_11・基礎２),0)*_11・２人),0)*(1+_11・A夜間)),0)</f>
        <v>198</v>
      </c>
      <c r="R127" s="48"/>
    </row>
    <row r="128" spans="1:18" ht="16.5" customHeight="1" x14ac:dyDescent="0.15">
      <c r="A128" s="41">
        <v>11</v>
      </c>
      <c r="B128" s="41" t="s">
        <v>11189</v>
      </c>
      <c r="C128" s="74" t="s">
        <v>11190</v>
      </c>
      <c r="D128" s="72"/>
      <c r="F128" s="53"/>
      <c r="G128" s="221"/>
      <c r="H128" s="50"/>
      <c r="I128" s="163"/>
      <c r="J128" s="218"/>
      <c r="K128" s="46"/>
      <c r="L128" s="35"/>
      <c r="O128" s="707" t="s">
        <v>404</v>
      </c>
      <c r="P128" s="708"/>
      <c r="Q128" s="47">
        <f>ROUND((ROUND((_11_A家事増１．２５*(1+_11・A夜間)),0)*_11・初任),0)</f>
        <v>153</v>
      </c>
      <c r="R128" s="48"/>
    </row>
    <row r="129" spans="1:18" ht="16.5" customHeight="1" x14ac:dyDescent="0.15">
      <c r="A129" s="41">
        <v>11</v>
      </c>
      <c r="B129" s="41" t="s">
        <v>11191</v>
      </c>
      <c r="C129" s="74" t="s">
        <v>11192</v>
      </c>
      <c r="D129" s="72"/>
      <c r="F129" s="43"/>
      <c r="G129" s="216"/>
      <c r="H129" s="38"/>
      <c r="I129" s="44" t="s">
        <v>397</v>
      </c>
      <c r="J129" s="218" t="s">
        <v>398</v>
      </c>
      <c r="K129" s="46">
        <v>1</v>
      </c>
      <c r="L129" s="35"/>
      <c r="O129" s="709"/>
      <c r="P129" s="704"/>
      <c r="Q129" s="47">
        <f>ROUND((ROUND((ROUND((_11_A家事増１．２５*_11・２人),0)*(1+_11・A夜間)),0)*_11・初任),0)</f>
        <v>153</v>
      </c>
      <c r="R129" s="48"/>
    </row>
    <row r="130" spans="1:18" ht="16.5" customHeight="1" x14ac:dyDescent="0.15">
      <c r="A130" s="41">
        <v>11</v>
      </c>
      <c r="B130" s="41" t="s">
        <v>11193</v>
      </c>
      <c r="C130" s="74" t="s">
        <v>11194</v>
      </c>
      <c r="D130" s="72"/>
      <c r="F130" s="752" t="s">
        <v>400</v>
      </c>
      <c r="G130" s="221" t="s">
        <v>398</v>
      </c>
      <c r="H130" s="50">
        <v>0.9</v>
      </c>
      <c r="I130" s="163"/>
      <c r="J130" s="218"/>
      <c r="K130" s="46"/>
      <c r="L130" s="35"/>
      <c r="O130" s="709"/>
      <c r="P130" s="704"/>
      <c r="Q130" s="47">
        <f>ROUND((ROUND((ROUND((_11_A家事増１．２５*_11・基礎２),0)*(1+_11・A夜間)),0)*_11・初任),0)</f>
        <v>139</v>
      </c>
      <c r="R130" s="48"/>
    </row>
    <row r="131" spans="1:18" ht="16.5" customHeight="1" x14ac:dyDescent="0.15">
      <c r="A131" s="41">
        <v>11</v>
      </c>
      <c r="B131" s="41" t="s">
        <v>11195</v>
      </c>
      <c r="C131" s="74" t="s">
        <v>11196</v>
      </c>
      <c r="D131" s="72"/>
      <c r="F131" s="711"/>
      <c r="G131" s="216"/>
      <c r="H131" s="38"/>
      <c r="I131" s="44" t="s">
        <v>397</v>
      </c>
      <c r="J131" s="218" t="s">
        <v>398</v>
      </c>
      <c r="K131" s="46">
        <v>1</v>
      </c>
      <c r="L131" s="35"/>
      <c r="O131" s="240" t="s">
        <v>398</v>
      </c>
      <c r="P131" s="38">
        <f>_11・初任</f>
        <v>0.7</v>
      </c>
      <c r="Q131" s="47">
        <f>ROUND((ROUND((ROUND((ROUND((_11_A家事増１．２５*_11・基礎２),0)*_11・２人),0)*(1+_11・A夜間)),0)*_11・初任),0)</f>
        <v>139</v>
      </c>
      <c r="R131" s="48"/>
    </row>
    <row r="132" spans="1:18" ht="16.5" customHeight="1" x14ac:dyDescent="0.15">
      <c r="A132" s="41">
        <v>11</v>
      </c>
      <c r="B132" s="41">
        <v>6495</v>
      </c>
      <c r="C132" s="74" t="s">
        <v>11197</v>
      </c>
      <c r="D132" s="707" t="s">
        <v>11198</v>
      </c>
      <c r="E132" s="798"/>
      <c r="F132" s="53"/>
      <c r="G132" s="221"/>
      <c r="H132" s="50"/>
      <c r="I132" s="163"/>
      <c r="J132" s="218"/>
      <c r="K132" s="46"/>
      <c r="L132" s="35"/>
      <c r="O132" s="53"/>
      <c r="P132" s="50"/>
      <c r="Q132" s="47">
        <f>ROUND((_11_A家事増１．５*(1+_11・A夜間)),0)</f>
        <v>263</v>
      </c>
      <c r="R132" s="48"/>
    </row>
    <row r="133" spans="1:18" ht="16.5" customHeight="1" x14ac:dyDescent="0.15">
      <c r="A133" s="41">
        <v>11</v>
      </c>
      <c r="B133" s="41">
        <v>6496</v>
      </c>
      <c r="C133" s="74" t="s">
        <v>11199</v>
      </c>
      <c r="D133" s="799"/>
      <c r="E133" s="796"/>
      <c r="F133" s="43"/>
      <c r="G133" s="216"/>
      <c r="H133" s="38"/>
      <c r="I133" s="44" t="s">
        <v>397</v>
      </c>
      <c r="J133" s="218" t="s">
        <v>398</v>
      </c>
      <c r="K133" s="46">
        <v>1</v>
      </c>
      <c r="L133" s="35"/>
      <c r="O133" s="35"/>
      <c r="Q133" s="47">
        <f>ROUND((ROUND((_11_A家事増１．５*_11・２人),0)*(1+_11・A夜間)),0)</f>
        <v>263</v>
      </c>
      <c r="R133" s="48"/>
    </row>
    <row r="134" spans="1:18" ht="16.5" customHeight="1" x14ac:dyDescent="0.15">
      <c r="A134" s="41">
        <v>11</v>
      </c>
      <c r="B134" s="41">
        <v>6497</v>
      </c>
      <c r="C134" s="74" t="s">
        <v>11200</v>
      </c>
      <c r="D134" s="799"/>
      <c r="E134" s="796"/>
      <c r="F134" s="752" t="s">
        <v>400</v>
      </c>
      <c r="G134" s="221" t="s">
        <v>398</v>
      </c>
      <c r="H134" s="50">
        <v>0.9</v>
      </c>
      <c r="I134" s="163"/>
      <c r="J134" s="218"/>
      <c r="K134" s="46"/>
      <c r="L134" s="35"/>
      <c r="O134" s="35"/>
      <c r="Q134" s="47">
        <f>ROUND((ROUND((_11_A家事増１．５*_11・基礎２),0)*(1+_11・A夜間)),0)</f>
        <v>236</v>
      </c>
      <c r="R134" s="48"/>
    </row>
    <row r="135" spans="1:18" ht="16.5" customHeight="1" x14ac:dyDescent="0.15">
      <c r="A135" s="41">
        <v>11</v>
      </c>
      <c r="B135" s="41">
        <v>6498</v>
      </c>
      <c r="C135" s="74" t="s">
        <v>11201</v>
      </c>
      <c r="D135" s="100">
        <f>_11_A家事増１．５</f>
        <v>210</v>
      </c>
      <c r="E135" s="12" t="s">
        <v>392</v>
      </c>
      <c r="F135" s="711"/>
      <c r="G135" s="216"/>
      <c r="H135" s="38"/>
      <c r="I135" s="44" t="s">
        <v>397</v>
      </c>
      <c r="J135" s="218" t="s">
        <v>398</v>
      </c>
      <c r="K135" s="46">
        <v>1</v>
      </c>
      <c r="L135" s="35"/>
      <c r="O135" s="43"/>
      <c r="P135" s="38"/>
      <c r="Q135" s="47">
        <f>ROUND((ROUND((ROUND((_11_A家事増１．５*_11・基礎２),0)*_11・２人),0)*(1+_11・A夜間)),0)</f>
        <v>236</v>
      </c>
      <c r="R135" s="48"/>
    </row>
    <row r="136" spans="1:18" ht="16.5" customHeight="1" x14ac:dyDescent="0.15">
      <c r="A136" s="41">
        <v>11</v>
      </c>
      <c r="B136" s="41" t="s">
        <v>11202</v>
      </c>
      <c r="C136" s="74" t="s">
        <v>11203</v>
      </c>
      <c r="D136" s="72"/>
      <c r="F136" s="53"/>
      <c r="G136" s="221"/>
      <c r="H136" s="50"/>
      <c r="I136" s="163"/>
      <c r="J136" s="218"/>
      <c r="K136" s="46"/>
      <c r="L136" s="35"/>
      <c r="O136" s="707" t="s">
        <v>404</v>
      </c>
      <c r="P136" s="708"/>
      <c r="Q136" s="47">
        <f>ROUND((ROUND((_11_A家事増１．５*(1+_11・A夜間)),0)*_11・初任),0)</f>
        <v>184</v>
      </c>
      <c r="R136" s="48"/>
    </row>
    <row r="137" spans="1:18" ht="16.5" customHeight="1" x14ac:dyDescent="0.15">
      <c r="A137" s="41">
        <v>11</v>
      </c>
      <c r="B137" s="41" t="s">
        <v>11204</v>
      </c>
      <c r="C137" s="74" t="s">
        <v>11205</v>
      </c>
      <c r="D137" s="72"/>
      <c r="F137" s="43"/>
      <c r="G137" s="216"/>
      <c r="H137" s="38"/>
      <c r="I137" s="44" t="s">
        <v>397</v>
      </c>
      <c r="J137" s="218" t="s">
        <v>398</v>
      </c>
      <c r="K137" s="46">
        <v>1</v>
      </c>
      <c r="L137" s="35"/>
      <c r="O137" s="709"/>
      <c r="P137" s="704"/>
      <c r="Q137" s="47">
        <f>ROUND((ROUND((ROUND((_11_A家事増１．５*_11・２人),0)*(1+_11・A夜間)),0)*_11・初任),0)</f>
        <v>184</v>
      </c>
      <c r="R137" s="48"/>
    </row>
    <row r="138" spans="1:18" ht="16.5" customHeight="1" x14ac:dyDescent="0.15">
      <c r="A138" s="41">
        <v>11</v>
      </c>
      <c r="B138" s="41" t="s">
        <v>11206</v>
      </c>
      <c r="C138" s="74" t="s">
        <v>11207</v>
      </c>
      <c r="D138" s="72"/>
      <c r="F138" s="752" t="s">
        <v>400</v>
      </c>
      <c r="G138" s="221" t="s">
        <v>398</v>
      </c>
      <c r="H138" s="50">
        <v>0.9</v>
      </c>
      <c r="I138" s="163"/>
      <c r="J138" s="218"/>
      <c r="K138" s="46"/>
      <c r="L138" s="35"/>
      <c r="O138" s="709"/>
      <c r="P138" s="704"/>
      <c r="Q138" s="47">
        <f>ROUND((ROUND((ROUND((_11_A家事増１．５*_11・基礎２),0)*(1+_11・A夜間)),0)*_11・初任),0)</f>
        <v>165</v>
      </c>
      <c r="R138" s="48"/>
    </row>
    <row r="139" spans="1:18" ht="16.5" customHeight="1" x14ac:dyDescent="0.15">
      <c r="A139" s="41">
        <v>11</v>
      </c>
      <c r="B139" s="41" t="s">
        <v>11208</v>
      </c>
      <c r="C139" s="74" t="s">
        <v>11209</v>
      </c>
      <c r="D139" s="72"/>
      <c r="F139" s="711"/>
      <c r="G139" s="216"/>
      <c r="H139" s="38"/>
      <c r="I139" s="44" t="s">
        <v>397</v>
      </c>
      <c r="J139" s="218" t="s">
        <v>398</v>
      </c>
      <c r="K139" s="46">
        <v>1</v>
      </c>
      <c r="L139" s="35"/>
      <c r="O139" s="240" t="s">
        <v>398</v>
      </c>
      <c r="P139" s="38">
        <f>_11・初任</f>
        <v>0.7</v>
      </c>
      <c r="Q139" s="47">
        <f>ROUND((ROUND((ROUND((ROUND((_11_A家事増１．５*_11・基礎２),0)*_11・２人),0)*(1+_11・A夜間)),0)*_11・初任),0)</f>
        <v>165</v>
      </c>
      <c r="R139" s="48"/>
    </row>
    <row r="140" spans="1:18" ht="16.5" customHeight="1" x14ac:dyDescent="0.15">
      <c r="A140" s="41">
        <v>11</v>
      </c>
      <c r="B140" s="41">
        <v>8203</v>
      </c>
      <c r="C140" s="74" t="s">
        <v>11210</v>
      </c>
      <c r="D140" s="707" t="s">
        <v>11211</v>
      </c>
      <c r="E140" s="798"/>
      <c r="F140" s="53"/>
      <c r="G140" s="221"/>
      <c r="H140" s="50"/>
      <c r="I140" s="163"/>
      <c r="J140" s="218"/>
      <c r="K140" s="46"/>
      <c r="L140" s="35"/>
      <c r="O140" s="53"/>
      <c r="P140" s="50"/>
      <c r="Q140" s="47">
        <f>ROUND((_11_A家事増１．７５*(1+_11・A夜間)),0)</f>
        <v>306</v>
      </c>
      <c r="R140" s="48"/>
    </row>
    <row r="141" spans="1:18" ht="16.5" customHeight="1" x14ac:dyDescent="0.15">
      <c r="A141" s="41">
        <v>11</v>
      </c>
      <c r="B141" s="41">
        <v>8204</v>
      </c>
      <c r="C141" s="74" t="s">
        <v>11212</v>
      </c>
      <c r="D141" s="799"/>
      <c r="E141" s="796"/>
      <c r="F141" s="43"/>
      <c r="G141" s="216"/>
      <c r="H141" s="38"/>
      <c r="I141" s="44" t="s">
        <v>397</v>
      </c>
      <c r="J141" s="218" t="s">
        <v>398</v>
      </c>
      <c r="K141" s="46">
        <v>1</v>
      </c>
      <c r="L141" s="35"/>
      <c r="O141" s="35"/>
      <c r="Q141" s="47">
        <f>ROUND((ROUND((_11_A家事増１．７５*_11・２人),0)*(1+_11・A夜間)),0)</f>
        <v>306</v>
      </c>
      <c r="R141" s="48"/>
    </row>
    <row r="142" spans="1:18" ht="16.5" customHeight="1" x14ac:dyDescent="0.15">
      <c r="A142" s="41">
        <v>11</v>
      </c>
      <c r="B142" s="41">
        <v>8205</v>
      </c>
      <c r="C142" s="74" t="s">
        <v>11213</v>
      </c>
      <c r="D142" s="799"/>
      <c r="E142" s="796"/>
      <c r="F142" s="752" t="s">
        <v>400</v>
      </c>
      <c r="G142" s="221" t="s">
        <v>398</v>
      </c>
      <c r="H142" s="50">
        <v>0.9</v>
      </c>
      <c r="I142" s="163"/>
      <c r="J142" s="218"/>
      <c r="K142" s="46"/>
      <c r="L142" s="35"/>
      <c r="O142" s="35"/>
      <c r="Q142" s="47">
        <f>ROUND((ROUND((_11_A家事増１．７５*_11・基礎２),0)*(1+_11・A夜間)),0)</f>
        <v>276</v>
      </c>
      <c r="R142" s="48"/>
    </row>
    <row r="143" spans="1:18" ht="16.5" customHeight="1" x14ac:dyDescent="0.15">
      <c r="A143" s="41">
        <v>11</v>
      </c>
      <c r="B143" s="41">
        <v>8206</v>
      </c>
      <c r="C143" s="74" t="s">
        <v>11214</v>
      </c>
      <c r="D143" s="100">
        <f>_11_A家事増１．７５</f>
        <v>245</v>
      </c>
      <c r="E143" s="12" t="s">
        <v>392</v>
      </c>
      <c r="F143" s="711"/>
      <c r="G143" s="216"/>
      <c r="H143" s="38"/>
      <c r="I143" s="44" t="s">
        <v>397</v>
      </c>
      <c r="J143" s="218" t="s">
        <v>398</v>
      </c>
      <c r="K143" s="46">
        <v>1</v>
      </c>
      <c r="L143" s="35"/>
      <c r="O143" s="43"/>
      <c r="P143" s="38"/>
      <c r="Q143" s="47">
        <f>ROUND((ROUND((ROUND((_11_A家事増１．７５*_11・基礎２),0)*_11・２人),0)*(1+_11・A夜間)),0)</f>
        <v>276</v>
      </c>
      <c r="R143" s="48"/>
    </row>
    <row r="144" spans="1:18" ht="16.5" customHeight="1" x14ac:dyDescent="0.15">
      <c r="A144" s="41">
        <v>11</v>
      </c>
      <c r="B144" s="41" t="s">
        <v>11215</v>
      </c>
      <c r="C144" s="74" t="s">
        <v>11216</v>
      </c>
      <c r="D144" s="72"/>
      <c r="F144" s="53"/>
      <c r="G144" s="221"/>
      <c r="H144" s="50"/>
      <c r="I144" s="163"/>
      <c r="J144" s="218"/>
      <c r="K144" s="46"/>
      <c r="L144" s="35"/>
      <c r="O144" s="707" t="s">
        <v>404</v>
      </c>
      <c r="P144" s="708"/>
      <c r="Q144" s="47">
        <f>ROUND((ROUND((_11_A家事増１．７５*(1+_11・A夜間)),0)*_11・初任),0)</f>
        <v>214</v>
      </c>
      <c r="R144" s="48"/>
    </row>
    <row r="145" spans="1:18" ht="16.5" customHeight="1" x14ac:dyDescent="0.15">
      <c r="A145" s="41">
        <v>11</v>
      </c>
      <c r="B145" s="41" t="s">
        <v>11217</v>
      </c>
      <c r="C145" s="74" t="s">
        <v>11218</v>
      </c>
      <c r="D145" s="72"/>
      <c r="F145" s="43"/>
      <c r="G145" s="216"/>
      <c r="H145" s="38"/>
      <c r="I145" s="44" t="s">
        <v>397</v>
      </c>
      <c r="J145" s="218" t="s">
        <v>398</v>
      </c>
      <c r="K145" s="46">
        <v>1</v>
      </c>
      <c r="L145" s="35"/>
      <c r="O145" s="709"/>
      <c r="P145" s="704"/>
      <c r="Q145" s="47">
        <f>ROUND((ROUND((ROUND((_11_A家事増１．７５*_11・２人),0)*(1+_11・A夜間)),0)*_11・初任),0)</f>
        <v>214</v>
      </c>
      <c r="R145" s="48"/>
    </row>
    <row r="146" spans="1:18" ht="16.5" customHeight="1" x14ac:dyDescent="0.15">
      <c r="A146" s="41">
        <v>11</v>
      </c>
      <c r="B146" s="41" t="s">
        <v>11219</v>
      </c>
      <c r="C146" s="74" t="s">
        <v>11220</v>
      </c>
      <c r="D146" s="72"/>
      <c r="F146" s="752" t="s">
        <v>400</v>
      </c>
      <c r="G146" s="221" t="s">
        <v>398</v>
      </c>
      <c r="H146" s="50">
        <v>0.9</v>
      </c>
      <c r="I146" s="163"/>
      <c r="J146" s="218"/>
      <c r="K146" s="46"/>
      <c r="L146" s="35"/>
      <c r="O146" s="709"/>
      <c r="P146" s="704"/>
      <c r="Q146" s="47">
        <f>ROUND((ROUND((ROUND((_11_A家事増１．７５*_11・基礎２),0)*(1+_11・A夜間)),0)*_11・初任),0)</f>
        <v>193</v>
      </c>
      <c r="R146" s="48"/>
    </row>
    <row r="147" spans="1:18" ht="16.5" customHeight="1" x14ac:dyDescent="0.15">
      <c r="A147" s="41">
        <v>11</v>
      </c>
      <c r="B147" s="41" t="s">
        <v>11221</v>
      </c>
      <c r="C147" s="74" t="s">
        <v>11222</v>
      </c>
      <c r="D147" s="72"/>
      <c r="F147" s="711"/>
      <c r="G147" s="216"/>
      <c r="H147" s="38"/>
      <c r="I147" s="44" t="s">
        <v>397</v>
      </c>
      <c r="J147" s="218" t="s">
        <v>398</v>
      </c>
      <c r="K147" s="46">
        <v>1</v>
      </c>
      <c r="L147" s="35"/>
      <c r="O147" s="240" t="s">
        <v>398</v>
      </c>
      <c r="P147" s="38">
        <f>_11・初任</f>
        <v>0.7</v>
      </c>
      <c r="Q147" s="47">
        <f>ROUND((ROUND((ROUND((ROUND((_11_A家事増１．７５*_11・基礎２),0)*_11・２人),0)*(1+_11・A夜間)),0)*_11・初任),0)</f>
        <v>193</v>
      </c>
      <c r="R147" s="48"/>
    </row>
    <row r="148" spans="1:18" ht="16.5" customHeight="1" x14ac:dyDescent="0.15">
      <c r="A148" s="41">
        <v>11</v>
      </c>
      <c r="B148" s="41">
        <v>6499</v>
      </c>
      <c r="C148" s="74" t="s">
        <v>11223</v>
      </c>
      <c r="D148" s="707" t="s">
        <v>11224</v>
      </c>
      <c r="E148" s="798"/>
      <c r="F148" s="53"/>
      <c r="G148" s="221"/>
      <c r="H148" s="50"/>
      <c r="I148" s="163"/>
      <c r="J148" s="218"/>
      <c r="K148" s="46"/>
      <c r="L148" s="35"/>
      <c r="O148" s="53"/>
      <c r="P148" s="50"/>
      <c r="Q148" s="47">
        <f>ROUND((_11_A家事増２．０*(1+_11・A夜間)),0)</f>
        <v>350</v>
      </c>
      <c r="R148" s="48"/>
    </row>
    <row r="149" spans="1:18" ht="16.5" customHeight="1" x14ac:dyDescent="0.15">
      <c r="A149" s="41">
        <v>11</v>
      </c>
      <c r="B149" s="41">
        <v>6500</v>
      </c>
      <c r="C149" s="74" t="s">
        <v>11225</v>
      </c>
      <c r="D149" s="799"/>
      <c r="E149" s="796"/>
      <c r="F149" s="43"/>
      <c r="G149" s="216"/>
      <c r="H149" s="38"/>
      <c r="I149" s="44" t="s">
        <v>397</v>
      </c>
      <c r="J149" s="218" t="s">
        <v>398</v>
      </c>
      <c r="K149" s="46">
        <v>1</v>
      </c>
      <c r="L149" s="35"/>
      <c r="O149" s="35"/>
      <c r="Q149" s="47">
        <f>ROUND((ROUND((_11_A家事増２．０*_11・２人),0)*(1+_11・A夜間)),0)</f>
        <v>350</v>
      </c>
      <c r="R149" s="48"/>
    </row>
    <row r="150" spans="1:18" ht="16.5" customHeight="1" x14ac:dyDescent="0.15">
      <c r="A150" s="41">
        <v>11</v>
      </c>
      <c r="B150" s="41">
        <v>6501</v>
      </c>
      <c r="C150" s="74" t="s">
        <v>11226</v>
      </c>
      <c r="D150" s="799"/>
      <c r="E150" s="796"/>
      <c r="F150" s="752" t="s">
        <v>400</v>
      </c>
      <c r="G150" s="221" t="s">
        <v>398</v>
      </c>
      <c r="H150" s="50">
        <v>0.9</v>
      </c>
      <c r="I150" s="163"/>
      <c r="J150" s="218"/>
      <c r="K150" s="46"/>
      <c r="L150" s="35"/>
      <c r="O150" s="35"/>
      <c r="Q150" s="47">
        <f>ROUND((ROUND((_11_A家事増２．０*_11・基礎２),0)*(1+_11・A夜間)),0)</f>
        <v>315</v>
      </c>
      <c r="R150" s="48"/>
    </row>
    <row r="151" spans="1:18" ht="16.5" customHeight="1" x14ac:dyDescent="0.15">
      <c r="A151" s="41">
        <v>11</v>
      </c>
      <c r="B151" s="41">
        <v>6502</v>
      </c>
      <c r="C151" s="74" t="s">
        <v>11227</v>
      </c>
      <c r="D151" s="100">
        <f>_11_A家事増２．０</f>
        <v>280</v>
      </c>
      <c r="E151" s="12" t="s">
        <v>392</v>
      </c>
      <c r="F151" s="711"/>
      <c r="G151" s="216"/>
      <c r="H151" s="38"/>
      <c r="I151" s="44" t="s">
        <v>397</v>
      </c>
      <c r="J151" s="218" t="s">
        <v>398</v>
      </c>
      <c r="K151" s="46">
        <v>1</v>
      </c>
      <c r="L151" s="35"/>
      <c r="O151" s="43"/>
      <c r="P151" s="38"/>
      <c r="Q151" s="47">
        <f>ROUND((ROUND((ROUND((_11_A家事増２．０*_11・基礎２),0)*_11・２人),0)*(1+_11・A夜間)),0)</f>
        <v>315</v>
      </c>
      <c r="R151" s="48"/>
    </row>
    <row r="152" spans="1:18" ht="16.5" customHeight="1" x14ac:dyDescent="0.15">
      <c r="A152" s="41">
        <v>11</v>
      </c>
      <c r="B152" s="41" t="s">
        <v>11228</v>
      </c>
      <c r="C152" s="74" t="s">
        <v>11229</v>
      </c>
      <c r="D152" s="72"/>
      <c r="F152" s="53"/>
      <c r="G152" s="221"/>
      <c r="H152" s="50"/>
      <c r="I152" s="163"/>
      <c r="J152" s="218"/>
      <c r="K152" s="46"/>
      <c r="L152" s="35"/>
      <c r="O152" s="707" t="s">
        <v>404</v>
      </c>
      <c r="P152" s="708"/>
      <c r="Q152" s="47">
        <f>ROUND((ROUND((_11_A家事増２．０*(1+_11・A夜間)),0)*_11・初任),0)</f>
        <v>245</v>
      </c>
      <c r="R152" s="48"/>
    </row>
    <row r="153" spans="1:18" ht="16.5" customHeight="1" x14ac:dyDescent="0.15">
      <c r="A153" s="41">
        <v>11</v>
      </c>
      <c r="B153" s="41" t="s">
        <v>11230</v>
      </c>
      <c r="C153" s="74" t="s">
        <v>11231</v>
      </c>
      <c r="D153" s="72"/>
      <c r="F153" s="43"/>
      <c r="G153" s="216"/>
      <c r="H153" s="38"/>
      <c r="I153" s="44" t="s">
        <v>397</v>
      </c>
      <c r="J153" s="218" t="s">
        <v>398</v>
      </c>
      <c r="K153" s="46">
        <v>1</v>
      </c>
      <c r="L153" s="35"/>
      <c r="O153" s="709"/>
      <c r="P153" s="704"/>
      <c r="Q153" s="47">
        <f>ROUND((ROUND((ROUND((_11_A家事増２．０*_11・２人),0)*(1+_11・A夜間)),0)*_11・初任),0)</f>
        <v>245</v>
      </c>
      <c r="R153" s="48"/>
    </row>
    <row r="154" spans="1:18" ht="16.5" customHeight="1" x14ac:dyDescent="0.15">
      <c r="A154" s="41">
        <v>11</v>
      </c>
      <c r="B154" s="41" t="s">
        <v>11232</v>
      </c>
      <c r="C154" s="74" t="s">
        <v>11233</v>
      </c>
      <c r="D154" s="72"/>
      <c r="F154" s="752" t="s">
        <v>400</v>
      </c>
      <c r="G154" s="221" t="s">
        <v>398</v>
      </c>
      <c r="H154" s="50">
        <v>0.9</v>
      </c>
      <c r="I154" s="163"/>
      <c r="J154" s="218"/>
      <c r="K154" s="46"/>
      <c r="L154" s="35"/>
      <c r="O154" s="709"/>
      <c r="P154" s="704"/>
      <c r="Q154" s="47">
        <f>ROUND((ROUND((ROUND((_11_A家事増２．０*_11・基礎２),0)*(1+_11・A夜間)),0)*_11・初任),0)</f>
        <v>221</v>
      </c>
      <c r="R154" s="48"/>
    </row>
    <row r="155" spans="1:18" ht="16.5" customHeight="1" x14ac:dyDescent="0.15">
      <c r="A155" s="41">
        <v>11</v>
      </c>
      <c r="B155" s="41" t="s">
        <v>11234</v>
      </c>
      <c r="C155" s="74" t="s">
        <v>11235</v>
      </c>
      <c r="D155" s="122"/>
      <c r="E155" s="37"/>
      <c r="F155" s="711"/>
      <c r="G155" s="216"/>
      <c r="H155" s="38"/>
      <c r="I155" s="44" t="s">
        <v>397</v>
      </c>
      <c r="J155" s="218" t="s">
        <v>398</v>
      </c>
      <c r="K155" s="46">
        <v>1</v>
      </c>
      <c r="L155" s="43"/>
      <c r="M155" s="37"/>
      <c r="N155" s="38"/>
      <c r="O155" s="240" t="s">
        <v>398</v>
      </c>
      <c r="P155" s="38">
        <f>_11・初任</f>
        <v>0.7</v>
      </c>
      <c r="Q155" s="47">
        <f>ROUND((ROUND((ROUND((ROUND((_11_A家事増２．０*_11・基礎２),0)*_11・２人),0)*(1+_11・A夜間)),0)*_11・初任),0)</f>
        <v>221</v>
      </c>
      <c r="R155" s="63"/>
    </row>
    <row r="156" spans="1:18" ht="16.5" customHeight="1" x14ac:dyDescent="0.15">
      <c r="A156" s="33">
        <v>11</v>
      </c>
      <c r="B156" s="33">
        <v>8207</v>
      </c>
      <c r="C156" s="34" t="s">
        <v>11236</v>
      </c>
      <c r="D156" s="709" t="s">
        <v>11237</v>
      </c>
      <c r="E156" s="796"/>
      <c r="F156" s="35"/>
      <c r="I156" s="43"/>
      <c r="J156" s="216"/>
      <c r="K156" s="38"/>
      <c r="L156" s="35" t="s">
        <v>743</v>
      </c>
      <c r="N156" s="234"/>
      <c r="O156" s="35"/>
      <c r="Q156" s="39">
        <f>ROUND((_11_A家事増２．２５*(1+_11・A夜間)),0)</f>
        <v>394</v>
      </c>
      <c r="R156" s="48"/>
    </row>
    <row r="157" spans="1:18" ht="16.5" customHeight="1" x14ac:dyDescent="0.15">
      <c r="A157" s="41">
        <v>11</v>
      </c>
      <c r="B157" s="41">
        <v>8208</v>
      </c>
      <c r="C157" s="74" t="s">
        <v>11238</v>
      </c>
      <c r="D157" s="799"/>
      <c r="E157" s="796"/>
      <c r="F157" s="43"/>
      <c r="G157" s="216"/>
      <c r="H157" s="38"/>
      <c r="I157" s="44" t="s">
        <v>397</v>
      </c>
      <c r="J157" s="218" t="s">
        <v>398</v>
      </c>
      <c r="K157" s="46">
        <v>1</v>
      </c>
      <c r="L157" s="223" t="s">
        <v>398</v>
      </c>
      <c r="M157" s="13">
        <v>0.25</v>
      </c>
      <c r="N157" s="718" t="s">
        <v>676</v>
      </c>
      <c r="O157" s="35"/>
      <c r="Q157" s="47">
        <f>ROUND((ROUND((_11_A家事増２．２５*_11・２人),0)*(1+_11・A夜間)),0)</f>
        <v>394</v>
      </c>
      <c r="R157" s="48"/>
    </row>
    <row r="158" spans="1:18" ht="16.5" customHeight="1" x14ac:dyDescent="0.15">
      <c r="A158" s="41">
        <v>11</v>
      </c>
      <c r="B158" s="41">
        <v>8209</v>
      </c>
      <c r="C158" s="74" t="s">
        <v>11239</v>
      </c>
      <c r="D158" s="799"/>
      <c r="E158" s="796"/>
      <c r="F158" s="752" t="s">
        <v>400</v>
      </c>
      <c r="G158" s="221" t="s">
        <v>398</v>
      </c>
      <c r="H158" s="50">
        <v>0.9</v>
      </c>
      <c r="I158" s="163"/>
      <c r="J158" s="218"/>
      <c r="K158" s="46"/>
      <c r="L158" s="35"/>
      <c r="N158" s="796"/>
      <c r="O158" s="35"/>
      <c r="Q158" s="47">
        <f>ROUND((ROUND((_11_A家事増２．２５*_11・基礎２),0)*(1+_11・A夜間)),0)</f>
        <v>355</v>
      </c>
      <c r="R158" s="48"/>
    </row>
    <row r="159" spans="1:18" ht="16.5" customHeight="1" x14ac:dyDescent="0.15">
      <c r="A159" s="41">
        <v>11</v>
      </c>
      <c r="B159" s="41">
        <v>8210</v>
      </c>
      <c r="C159" s="74" t="s">
        <v>11240</v>
      </c>
      <c r="D159" s="100">
        <f>_11_A家事増２．２５</f>
        <v>315</v>
      </c>
      <c r="E159" s="12" t="s">
        <v>392</v>
      </c>
      <c r="F159" s="711"/>
      <c r="G159" s="216"/>
      <c r="H159" s="38"/>
      <c r="I159" s="44" t="s">
        <v>397</v>
      </c>
      <c r="J159" s="218" t="s">
        <v>398</v>
      </c>
      <c r="K159" s="46">
        <v>1</v>
      </c>
      <c r="L159" s="35"/>
      <c r="O159" s="43"/>
      <c r="P159" s="38"/>
      <c r="Q159" s="47">
        <f>ROUND((ROUND((ROUND((_11_A家事増２．２５*_11・基礎２),0)*_11・２人),0)*(1+_11・A夜間)),0)</f>
        <v>355</v>
      </c>
      <c r="R159" s="48"/>
    </row>
    <row r="160" spans="1:18" ht="16.5" customHeight="1" x14ac:dyDescent="0.15">
      <c r="A160" s="41">
        <v>11</v>
      </c>
      <c r="B160" s="41" t="s">
        <v>11241</v>
      </c>
      <c r="C160" s="74" t="s">
        <v>11242</v>
      </c>
      <c r="D160" s="72"/>
      <c r="F160" s="53"/>
      <c r="G160" s="221"/>
      <c r="H160" s="50"/>
      <c r="I160" s="163"/>
      <c r="J160" s="218"/>
      <c r="K160" s="46"/>
      <c r="L160" s="35"/>
      <c r="O160" s="707" t="s">
        <v>404</v>
      </c>
      <c r="P160" s="708"/>
      <c r="Q160" s="47">
        <f>ROUND((ROUND((_11_A家事増２．２５*(1+_11・A夜間)),0)*_11・初任),0)</f>
        <v>276</v>
      </c>
      <c r="R160" s="48"/>
    </row>
    <row r="161" spans="1:18" ht="16.5" customHeight="1" x14ac:dyDescent="0.15">
      <c r="A161" s="41">
        <v>11</v>
      </c>
      <c r="B161" s="41" t="s">
        <v>11243</v>
      </c>
      <c r="C161" s="74" t="s">
        <v>11244</v>
      </c>
      <c r="D161" s="72"/>
      <c r="F161" s="43"/>
      <c r="G161" s="216"/>
      <c r="H161" s="38"/>
      <c r="I161" s="44" t="s">
        <v>397</v>
      </c>
      <c r="J161" s="218" t="s">
        <v>398</v>
      </c>
      <c r="K161" s="46">
        <v>1</v>
      </c>
      <c r="L161" s="35"/>
      <c r="O161" s="709"/>
      <c r="P161" s="704"/>
      <c r="Q161" s="47">
        <f>ROUND((ROUND((ROUND((_11_A家事増２．２５*_11・２人),0)*(1+_11・A夜間)),0)*_11・初任),0)</f>
        <v>276</v>
      </c>
      <c r="R161" s="48"/>
    </row>
    <row r="162" spans="1:18" ht="16.5" customHeight="1" x14ac:dyDescent="0.15">
      <c r="A162" s="41">
        <v>11</v>
      </c>
      <c r="B162" s="41" t="s">
        <v>11245</v>
      </c>
      <c r="C162" s="74" t="s">
        <v>11246</v>
      </c>
      <c r="D162" s="72"/>
      <c r="F162" s="752" t="s">
        <v>400</v>
      </c>
      <c r="G162" s="221" t="s">
        <v>398</v>
      </c>
      <c r="H162" s="50">
        <v>0.9</v>
      </c>
      <c r="I162" s="163"/>
      <c r="J162" s="218"/>
      <c r="K162" s="46"/>
      <c r="L162" s="35"/>
      <c r="O162" s="709"/>
      <c r="P162" s="704"/>
      <c r="Q162" s="47">
        <f>ROUND((ROUND((ROUND((_11_A家事増２．２５*_11・基礎２),0)*(1+_11・A夜間)),0)*_11・初任),0)</f>
        <v>249</v>
      </c>
      <c r="R162" s="48"/>
    </row>
    <row r="163" spans="1:18" ht="16.5" customHeight="1" x14ac:dyDescent="0.15">
      <c r="A163" s="41">
        <v>11</v>
      </c>
      <c r="B163" s="41" t="s">
        <v>11247</v>
      </c>
      <c r="C163" s="74" t="s">
        <v>11248</v>
      </c>
      <c r="D163" s="72"/>
      <c r="F163" s="711"/>
      <c r="G163" s="216"/>
      <c r="H163" s="38"/>
      <c r="I163" s="44" t="s">
        <v>397</v>
      </c>
      <c r="J163" s="218" t="s">
        <v>398</v>
      </c>
      <c r="K163" s="46">
        <v>1</v>
      </c>
      <c r="L163" s="35"/>
      <c r="O163" s="240" t="s">
        <v>398</v>
      </c>
      <c r="P163" s="38">
        <f>_11・初任</f>
        <v>0.7</v>
      </c>
      <c r="Q163" s="47">
        <f>ROUND((ROUND((ROUND((ROUND((_11_A家事増２．２５*_11・基礎２),0)*_11・２人),0)*(1+_11・A夜間)),0)*_11・初任),0)</f>
        <v>249</v>
      </c>
      <c r="R163" s="48"/>
    </row>
    <row r="164" spans="1:18" ht="16.5" customHeight="1" x14ac:dyDescent="0.15">
      <c r="A164" s="41">
        <v>11</v>
      </c>
      <c r="B164" s="41">
        <v>6503</v>
      </c>
      <c r="C164" s="74" t="s">
        <v>11249</v>
      </c>
      <c r="D164" s="707" t="s">
        <v>11250</v>
      </c>
      <c r="E164" s="798"/>
      <c r="F164" s="53"/>
      <c r="G164" s="221"/>
      <c r="H164" s="50"/>
      <c r="I164" s="163"/>
      <c r="J164" s="218"/>
      <c r="K164" s="46"/>
      <c r="L164" s="35"/>
      <c r="O164" s="53"/>
      <c r="P164" s="50"/>
      <c r="Q164" s="47">
        <f>ROUND((_11_A家事増２．５*(1+_11・A夜間)),0)</f>
        <v>438</v>
      </c>
      <c r="R164" s="48"/>
    </row>
    <row r="165" spans="1:18" ht="16.5" customHeight="1" x14ac:dyDescent="0.15">
      <c r="A165" s="41">
        <v>11</v>
      </c>
      <c r="B165" s="41">
        <v>6504</v>
      </c>
      <c r="C165" s="74" t="s">
        <v>11251</v>
      </c>
      <c r="D165" s="799"/>
      <c r="E165" s="796"/>
      <c r="F165" s="43"/>
      <c r="G165" s="216"/>
      <c r="H165" s="38"/>
      <c r="I165" s="44" t="s">
        <v>397</v>
      </c>
      <c r="J165" s="218" t="s">
        <v>398</v>
      </c>
      <c r="K165" s="46">
        <v>1</v>
      </c>
      <c r="L165" s="35"/>
      <c r="O165" s="35"/>
      <c r="Q165" s="47">
        <f>ROUND((ROUND((_11_A家事増２．５*_11・２人),0)*(1+_11・A夜間)),0)</f>
        <v>438</v>
      </c>
      <c r="R165" s="48"/>
    </row>
    <row r="166" spans="1:18" ht="16.5" customHeight="1" x14ac:dyDescent="0.15">
      <c r="A166" s="41">
        <v>11</v>
      </c>
      <c r="B166" s="41">
        <v>6505</v>
      </c>
      <c r="C166" s="74" t="s">
        <v>11252</v>
      </c>
      <c r="D166" s="799"/>
      <c r="E166" s="796"/>
      <c r="F166" s="752" t="s">
        <v>400</v>
      </c>
      <c r="G166" s="221" t="s">
        <v>398</v>
      </c>
      <c r="H166" s="50">
        <v>0.9</v>
      </c>
      <c r="I166" s="163"/>
      <c r="J166" s="218"/>
      <c r="K166" s="46"/>
      <c r="L166" s="35"/>
      <c r="O166" s="35"/>
      <c r="Q166" s="47">
        <f>ROUND((ROUND((_11_A家事増２．５*_11・基礎２),0)*(1+_11・A夜間)),0)</f>
        <v>394</v>
      </c>
      <c r="R166" s="48"/>
    </row>
    <row r="167" spans="1:18" ht="16.5" customHeight="1" x14ac:dyDescent="0.15">
      <c r="A167" s="41">
        <v>11</v>
      </c>
      <c r="B167" s="41">
        <v>6506</v>
      </c>
      <c r="C167" s="74" t="s">
        <v>11253</v>
      </c>
      <c r="D167" s="100">
        <f>_11_A家事増２．５</f>
        <v>350</v>
      </c>
      <c r="E167" s="12" t="s">
        <v>392</v>
      </c>
      <c r="F167" s="711"/>
      <c r="G167" s="216"/>
      <c r="H167" s="38"/>
      <c r="I167" s="44" t="s">
        <v>397</v>
      </c>
      <c r="J167" s="218" t="s">
        <v>398</v>
      </c>
      <c r="K167" s="46">
        <v>1</v>
      </c>
      <c r="L167" s="35"/>
      <c r="O167" s="43"/>
      <c r="P167" s="38"/>
      <c r="Q167" s="47">
        <f>ROUND((ROUND((ROUND((_11_A家事増２．５*_11・基礎２),0)*_11・２人),0)*(1+_11・A夜間)),0)</f>
        <v>394</v>
      </c>
      <c r="R167" s="48"/>
    </row>
    <row r="168" spans="1:18" ht="16.5" customHeight="1" x14ac:dyDescent="0.15">
      <c r="A168" s="41">
        <v>11</v>
      </c>
      <c r="B168" s="41" t="s">
        <v>11254</v>
      </c>
      <c r="C168" s="74" t="s">
        <v>11255</v>
      </c>
      <c r="D168" s="72"/>
      <c r="F168" s="53"/>
      <c r="G168" s="221"/>
      <c r="H168" s="50"/>
      <c r="I168" s="163"/>
      <c r="J168" s="218"/>
      <c r="K168" s="46"/>
      <c r="L168" s="35"/>
      <c r="O168" s="707" t="s">
        <v>404</v>
      </c>
      <c r="P168" s="708"/>
      <c r="Q168" s="47">
        <f>ROUND((ROUND((_11_A家事増２．５*(1+_11・A夜間)),0)*_11・初任),0)</f>
        <v>307</v>
      </c>
      <c r="R168" s="48"/>
    </row>
    <row r="169" spans="1:18" ht="16.5" customHeight="1" x14ac:dyDescent="0.15">
      <c r="A169" s="41">
        <v>11</v>
      </c>
      <c r="B169" s="41" t="s">
        <v>11256</v>
      </c>
      <c r="C169" s="74" t="s">
        <v>11257</v>
      </c>
      <c r="D169" s="72"/>
      <c r="F169" s="43"/>
      <c r="G169" s="216"/>
      <c r="H169" s="38"/>
      <c r="I169" s="44" t="s">
        <v>397</v>
      </c>
      <c r="J169" s="218" t="s">
        <v>398</v>
      </c>
      <c r="K169" s="46">
        <v>1</v>
      </c>
      <c r="L169" s="35"/>
      <c r="O169" s="709"/>
      <c r="P169" s="704"/>
      <c r="Q169" s="47">
        <f>ROUND((ROUND((ROUND((_11_A家事増２．５*_11・２人),0)*(1+_11・A夜間)),0)*_11・初任),0)</f>
        <v>307</v>
      </c>
      <c r="R169" s="48"/>
    </row>
    <row r="170" spans="1:18" ht="16.5" customHeight="1" x14ac:dyDescent="0.15">
      <c r="A170" s="41">
        <v>11</v>
      </c>
      <c r="B170" s="41" t="s">
        <v>11258</v>
      </c>
      <c r="C170" s="74" t="s">
        <v>11259</v>
      </c>
      <c r="D170" s="72"/>
      <c r="F170" s="752" t="s">
        <v>400</v>
      </c>
      <c r="G170" s="221" t="s">
        <v>398</v>
      </c>
      <c r="H170" s="50">
        <v>0.9</v>
      </c>
      <c r="I170" s="163"/>
      <c r="J170" s="218"/>
      <c r="K170" s="46"/>
      <c r="L170" s="35"/>
      <c r="O170" s="709"/>
      <c r="P170" s="704"/>
      <c r="Q170" s="47">
        <f>ROUND((ROUND((ROUND((_11_A家事増２．５*_11・基礎２),0)*(1+_11・A夜間)),0)*_11・初任),0)</f>
        <v>276</v>
      </c>
      <c r="R170" s="48"/>
    </row>
    <row r="171" spans="1:18" ht="16.5" customHeight="1" x14ac:dyDescent="0.15">
      <c r="A171" s="41">
        <v>11</v>
      </c>
      <c r="B171" s="41" t="s">
        <v>11260</v>
      </c>
      <c r="C171" s="74" t="s">
        <v>11261</v>
      </c>
      <c r="D171" s="72"/>
      <c r="F171" s="711"/>
      <c r="G171" s="216"/>
      <c r="H171" s="38"/>
      <c r="I171" s="44" t="s">
        <v>397</v>
      </c>
      <c r="J171" s="218" t="s">
        <v>398</v>
      </c>
      <c r="K171" s="46">
        <v>1</v>
      </c>
      <c r="L171" s="35"/>
      <c r="O171" s="240" t="s">
        <v>398</v>
      </c>
      <c r="P171" s="38">
        <f>_11・初任</f>
        <v>0.7</v>
      </c>
      <c r="Q171" s="47">
        <f>ROUND((ROUND((ROUND((ROUND((_11_A家事増２．５*_11・基礎２),0)*_11・２人),0)*(1+_11・A夜間)),0)*_11・初任),0)</f>
        <v>276</v>
      </c>
      <c r="R171" s="48"/>
    </row>
    <row r="172" spans="1:18" ht="16.5" customHeight="1" x14ac:dyDescent="0.15">
      <c r="A172" s="41">
        <v>11</v>
      </c>
      <c r="B172" s="41">
        <v>8211</v>
      </c>
      <c r="C172" s="74" t="s">
        <v>11262</v>
      </c>
      <c r="D172" s="707" t="s">
        <v>11263</v>
      </c>
      <c r="E172" s="798"/>
      <c r="F172" s="53"/>
      <c r="G172" s="221"/>
      <c r="H172" s="50"/>
      <c r="I172" s="163"/>
      <c r="J172" s="218"/>
      <c r="K172" s="46"/>
      <c r="L172" s="35"/>
      <c r="O172" s="53"/>
      <c r="P172" s="50"/>
      <c r="Q172" s="47">
        <f>ROUND((_11_A家事増２．７５*(1+_11・A夜間)),0)</f>
        <v>481</v>
      </c>
      <c r="R172" s="48"/>
    </row>
    <row r="173" spans="1:18" ht="16.5" customHeight="1" x14ac:dyDescent="0.15">
      <c r="A173" s="41">
        <v>11</v>
      </c>
      <c r="B173" s="41">
        <v>8212</v>
      </c>
      <c r="C173" s="74" t="s">
        <v>11264</v>
      </c>
      <c r="D173" s="799"/>
      <c r="E173" s="796"/>
      <c r="F173" s="43"/>
      <c r="G173" s="216"/>
      <c r="H173" s="38"/>
      <c r="I173" s="44" t="s">
        <v>397</v>
      </c>
      <c r="J173" s="218" t="s">
        <v>398</v>
      </c>
      <c r="K173" s="46">
        <v>1</v>
      </c>
      <c r="L173" s="35"/>
      <c r="O173" s="35"/>
      <c r="Q173" s="47">
        <f>ROUND((ROUND((_11_A家事増２．７５*_11・２人),0)*(1+_11・A夜間)),0)</f>
        <v>481</v>
      </c>
      <c r="R173" s="48"/>
    </row>
    <row r="174" spans="1:18" ht="16.5" customHeight="1" x14ac:dyDescent="0.15">
      <c r="A174" s="41">
        <v>11</v>
      </c>
      <c r="B174" s="41">
        <v>8213</v>
      </c>
      <c r="C174" s="74" t="s">
        <v>11265</v>
      </c>
      <c r="D174" s="799"/>
      <c r="E174" s="796"/>
      <c r="F174" s="752" t="s">
        <v>400</v>
      </c>
      <c r="G174" s="221" t="s">
        <v>398</v>
      </c>
      <c r="H174" s="50">
        <v>0.9</v>
      </c>
      <c r="I174" s="163"/>
      <c r="J174" s="218"/>
      <c r="K174" s="46"/>
      <c r="L174" s="35"/>
      <c r="O174" s="35"/>
      <c r="Q174" s="47">
        <f>ROUND((ROUND((_11_A家事増２．７５*_11・基礎２),0)*(1+_11・A夜間)),0)</f>
        <v>434</v>
      </c>
      <c r="R174" s="48"/>
    </row>
    <row r="175" spans="1:18" ht="16.5" customHeight="1" x14ac:dyDescent="0.15">
      <c r="A175" s="41">
        <v>11</v>
      </c>
      <c r="B175" s="41">
        <v>8214</v>
      </c>
      <c r="C175" s="74" t="s">
        <v>11266</v>
      </c>
      <c r="D175" s="100">
        <f>_11_A家事増２．７５</f>
        <v>385</v>
      </c>
      <c r="E175" s="12" t="s">
        <v>392</v>
      </c>
      <c r="F175" s="711"/>
      <c r="G175" s="216"/>
      <c r="H175" s="38"/>
      <c r="I175" s="44" t="s">
        <v>397</v>
      </c>
      <c r="J175" s="218" t="s">
        <v>398</v>
      </c>
      <c r="K175" s="46">
        <v>1</v>
      </c>
      <c r="L175" s="35"/>
      <c r="O175" s="43"/>
      <c r="P175" s="38"/>
      <c r="Q175" s="47">
        <f>ROUND((ROUND((ROUND((_11_A家事増２．７５*_11・基礎２),0)*_11・２人),0)*(1+_11・A夜間)),0)</f>
        <v>434</v>
      </c>
      <c r="R175" s="48"/>
    </row>
    <row r="176" spans="1:18" ht="16.5" customHeight="1" x14ac:dyDescent="0.15">
      <c r="A176" s="41">
        <v>11</v>
      </c>
      <c r="B176" s="41" t="s">
        <v>11267</v>
      </c>
      <c r="C176" s="74" t="s">
        <v>11268</v>
      </c>
      <c r="D176" s="72"/>
      <c r="F176" s="53"/>
      <c r="G176" s="221"/>
      <c r="H176" s="50"/>
      <c r="I176" s="163"/>
      <c r="J176" s="218"/>
      <c r="K176" s="46"/>
      <c r="L176" s="35"/>
      <c r="O176" s="707" t="s">
        <v>404</v>
      </c>
      <c r="P176" s="708"/>
      <c r="Q176" s="47">
        <f>ROUND((ROUND((_11_A家事増２．７５*(1+_11・A夜間)),0)*_11・初任),0)</f>
        <v>337</v>
      </c>
      <c r="R176" s="48"/>
    </row>
    <row r="177" spans="1:18" ht="16.5" customHeight="1" x14ac:dyDescent="0.15">
      <c r="A177" s="41">
        <v>11</v>
      </c>
      <c r="B177" s="41" t="s">
        <v>11269</v>
      </c>
      <c r="C177" s="74" t="s">
        <v>11270</v>
      </c>
      <c r="D177" s="72"/>
      <c r="F177" s="43"/>
      <c r="G177" s="216"/>
      <c r="H177" s="38"/>
      <c r="I177" s="44" t="s">
        <v>397</v>
      </c>
      <c r="J177" s="218" t="s">
        <v>398</v>
      </c>
      <c r="K177" s="46">
        <v>1</v>
      </c>
      <c r="L177" s="35"/>
      <c r="O177" s="709"/>
      <c r="P177" s="704"/>
      <c r="Q177" s="47">
        <f>ROUND((ROUND((ROUND((_11_A家事増２．７５*_11・２人),0)*(1+_11・A夜間)),0)*_11・初任),0)</f>
        <v>337</v>
      </c>
      <c r="R177" s="48"/>
    </row>
    <row r="178" spans="1:18" ht="16.5" customHeight="1" x14ac:dyDescent="0.15">
      <c r="A178" s="41">
        <v>11</v>
      </c>
      <c r="B178" s="41" t="s">
        <v>11271</v>
      </c>
      <c r="C178" s="74" t="s">
        <v>11272</v>
      </c>
      <c r="D178" s="72"/>
      <c r="F178" s="752" t="s">
        <v>400</v>
      </c>
      <c r="G178" s="221" t="s">
        <v>398</v>
      </c>
      <c r="H178" s="50">
        <v>0.9</v>
      </c>
      <c r="I178" s="163"/>
      <c r="J178" s="218"/>
      <c r="K178" s="46"/>
      <c r="L178" s="35"/>
      <c r="O178" s="709"/>
      <c r="P178" s="704"/>
      <c r="Q178" s="47">
        <f>ROUND((ROUND((ROUND((_11_A家事増２．７５*_11・基礎２),0)*(1+_11・A夜間)),0)*_11・初任),0)</f>
        <v>304</v>
      </c>
      <c r="R178" s="48"/>
    </row>
    <row r="179" spans="1:18" ht="16.5" customHeight="1" x14ac:dyDescent="0.15">
      <c r="A179" s="41">
        <v>11</v>
      </c>
      <c r="B179" s="41" t="s">
        <v>11273</v>
      </c>
      <c r="C179" s="74" t="s">
        <v>11274</v>
      </c>
      <c r="D179" s="72"/>
      <c r="F179" s="711"/>
      <c r="G179" s="216"/>
      <c r="H179" s="38"/>
      <c r="I179" s="44" t="s">
        <v>397</v>
      </c>
      <c r="J179" s="218" t="s">
        <v>398</v>
      </c>
      <c r="K179" s="46">
        <v>1</v>
      </c>
      <c r="L179" s="35"/>
      <c r="O179" s="240" t="s">
        <v>398</v>
      </c>
      <c r="P179" s="38">
        <f>_11・初任</f>
        <v>0.7</v>
      </c>
      <c r="Q179" s="47">
        <f>ROUND((ROUND((ROUND((ROUND((_11_A家事増２．７５*_11・基礎２),0)*_11・２人),0)*(1+_11・A夜間)),0)*_11・初任),0)</f>
        <v>304</v>
      </c>
      <c r="R179" s="48"/>
    </row>
    <row r="180" spans="1:18" ht="16.5" customHeight="1" x14ac:dyDescent="0.15">
      <c r="A180" s="41">
        <v>11</v>
      </c>
      <c r="B180" s="41">
        <v>6507</v>
      </c>
      <c r="C180" s="74" t="s">
        <v>11275</v>
      </c>
      <c r="D180" s="707" t="s">
        <v>11276</v>
      </c>
      <c r="E180" s="798"/>
      <c r="F180" s="53"/>
      <c r="G180" s="221"/>
      <c r="H180" s="50"/>
      <c r="I180" s="163"/>
      <c r="J180" s="218"/>
      <c r="K180" s="46"/>
      <c r="L180" s="35"/>
      <c r="O180" s="53"/>
      <c r="P180" s="50"/>
      <c r="Q180" s="47">
        <f>ROUND((_11_A家事増３．０*(1+_11・A夜間)),0)</f>
        <v>525</v>
      </c>
      <c r="R180" s="48"/>
    </row>
    <row r="181" spans="1:18" ht="16.5" customHeight="1" x14ac:dyDescent="0.15">
      <c r="A181" s="41">
        <v>11</v>
      </c>
      <c r="B181" s="41">
        <v>6508</v>
      </c>
      <c r="C181" s="74" t="s">
        <v>11277</v>
      </c>
      <c r="D181" s="799"/>
      <c r="E181" s="796"/>
      <c r="F181" s="43"/>
      <c r="G181" s="216"/>
      <c r="H181" s="38"/>
      <c r="I181" s="44" t="s">
        <v>397</v>
      </c>
      <c r="J181" s="218" t="s">
        <v>398</v>
      </c>
      <c r="K181" s="46">
        <v>1</v>
      </c>
      <c r="L181" s="35"/>
      <c r="O181" s="35"/>
      <c r="Q181" s="47">
        <f>ROUND((ROUND((_11_A家事増３．０*_11・２人),0)*(1+_11・A夜間)),0)</f>
        <v>525</v>
      </c>
      <c r="R181" s="48"/>
    </row>
    <row r="182" spans="1:18" ht="16.5" customHeight="1" x14ac:dyDescent="0.15">
      <c r="A182" s="41">
        <v>11</v>
      </c>
      <c r="B182" s="41">
        <v>6509</v>
      </c>
      <c r="C182" s="74" t="s">
        <v>11278</v>
      </c>
      <c r="D182" s="799"/>
      <c r="E182" s="796"/>
      <c r="F182" s="752" t="s">
        <v>400</v>
      </c>
      <c r="G182" s="221" t="s">
        <v>398</v>
      </c>
      <c r="H182" s="50">
        <v>0.9</v>
      </c>
      <c r="I182" s="163"/>
      <c r="J182" s="218"/>
      <c r="K182" s="46"/>
      <c r="L182" s="35"/>
      <c r="O182" s="35"/>
      <c r="Q182" s="47">
        <f>ROUND((ROUND((_11_A家事増３．０*_11・基礎２),0)*(1+_11・A夜間)),0)</f>
        <v>473</v>
      </c>
      <c r="R182" s="48"/>
    </row>
    <row r="183" spans="1:18" ht="16.5" customHeight="1" x14ac:dyDescent="0.15">
      <c r="A183" s="41">
        <v>11</v>
      </c>
      <c r="B183" s="41">
        <v>6510</v>
      </c>
      <c r="C183" s="74" t="s">
        <v>11279</v>
      </c>
      <c r="D183" s="100">
        <f>_11_A家事増３．０</f>
        <v>420</v>
      </c>
      <c r="E183" s="12" t="s">
        <v>392</v>
      </c>
      <c r="F183" s="711"/>
      <c r="G183" s="216"/>
      <c r="H183" s="38"/>
      <c r="I183" s="44" t="s">
        <v>397</v>
      </c>
      <c r="J183" s="218" t="s">
        <v>398</v>
      </c>
      <c r="K183" s="46">
        <v>1</v>
      </c>
      <c r="L183" s="35"/>
      <c r="O183" s="43"/>
      <c r="P183" s="38"/>
      <c r="Q183" s="47">
        <f>ROUND((ROUND((ROUND((_11_A家事増３．０*_11・基礎２),0)*_11・２人),0)*(1+_11・A夜間)),0)</f>
        <v>473</v>
      </c>
      <c r="R183" s="48"/>
    </row>
    <row r="184" spans="1:18" ht="16.5" customHeight="1" x14ac:dyDescent="0.15">
      <c r="A184" s="41">
        <v>11</v>
      </c>
      <c r="B184" s="41" t="s">
        <v>11280</v>
      </c>
      <c r="C184" s="74" t="s">
        <v>11281</v>
      </c>
      <c r="D184" s="72"/>
      <c r="F184" s="53"/>
      <c r="G184" s="221"/>
      <c r="H184" s="50"/>
      <c r="I184" s="163"/>
      <c r="J184" s="218"/>
      <c r="K184" s="46"/>
      <c r="L184" s="35"/>
      <c r="O184" s="707" t="s">
        <v>404</v>
      </c>
      <c r="P184" s="708"/>
      <c r="Q184" s="47">
        <f>ROUND((ROUND((_11_A家事増３．０*(1+_11・A夜間)),0)*_11・初任),0)</f>
        <v>368</v>
      </c>
      <c r="R184" s="48"/>
    </row>
    <row r="185" spans="1:18" ht="16.5" customHeight="1" x14ac:dyDescent="0.15">
      <c r="A185" s="41">
        <v>11</v>
      </c>
      <c r="B185" s="41" t="s">
        <v>11282</v>
      </c>
      <c r="C185" s="74" t="s">
        <v>11283</v>
      </c>
      <c r="D185" s="72"/>
      <c r="F185" s="43"/>
      <c r="G185" s="216"/>
      <c r="H185" s="38"/>
      <c r="I185" s="44" t="s">
        <v>397</v>
      </c>
      <c r="J185" s="218" t="s">
        <v>398</v>
      </c>
      <c r="K185" s="46">
        <v>1</v>
      </c>
      <c r="L185" s="35"/>
      <c r="O185" s="709"/>
      <c r="P185" s="704"/>
      <c r="Q185" s="47">
        <f>ROUND((ROUND((ROUND((_11_A家事増３．０*_11・２人),0)*(1+_11・A夜間)),0)*_11・初任),0)</f>
        <v>368</v>
      </c>
      <c r="R185" s="48"/>
    </row>
    <row r="186" spans="1:18" ht="16.5" customHeight="1" x14ac:dyDescent="0.15">
      <c r="A186" s="41">
        <v>11</v>
      </c>
      <c r="B186" s="41" t="s">
        <v>11284</v>
      </c>
      <c r="C186" s="74" t="s">
        <v>11285</v>
      </c>
      <c r="D186" s="72"/>
      <c r="F186" s="752" t="s">
        <v>400</v>
      </c>
      <c r="G186" s="221" t="s">
        <v>398</v>
      </c>
      <c r="H186" s="50">
        <v>0.9</v>
      </c>
      <c r="I186" s="163"/>
      <c r="J186" s="218"/>
      <c r="K186" s="46"/>
      <c r="L186" s="35"/>
      <c r="O186" s="709"/>
      <c r="P186" s="704"/>
      <c r="Q186" s="47">
        <f>ROUND((ROUND((ROUND((_11_A家事増３．０*_11・基礎２),0)*(1+_11・A夜間)),0)*_11・初任),0)</f>
        <v>331</v>
      </c>
      <c r="R186" s="48"/>
    </row>
    <row r="187" spans="1:18" ht="16.5" customHeight="1" x14ac:dyDescent="0.15">
      <c r="A187" s="41">
        <v>11</v>
      </c>
      <c r="B187" s="41" t="s">
        <v>11286</v>
      </c>
      <c r="C187" s="74" t="s">
        <v>11287</v>
      </c>
      <c r="D187" s="72"/>
      <c r="F187" s="711"/>
      <c r="G187" s="216"/>
      <c r="H187" s="38"/>
      <c r="I187" s="44" t="s">
        <v>397</v>
      </c>
      <c r="J187" s="218" t="s">
        <v>398</v>
      </c>
      <c r="K187" s="46">
        <v>1</v>
      </c>
      <c r="L187" s="35"/>
      <c r="O187" s="240" t="s">
        <v>398</v>
      </c>
      <c r="P187" s="38">
        <f>_11・初任</f>
        <v>0.7</v>
      </c>
      <c r="Q187" s="47">
        <f>ROUND((ROUND((ROUND((ROUND((_11_A家事増３．０*_11・基礎２),0)*_11・２人),0)*(1+_11・A夜間)),0)*_11・初任),0)</f>
        <v>331</v>
      </c>
      <c r="R187" s="48"/>
    </row>
    <row r="188" spans="1:18" ht="16.5" customHeight="1" x14ac:dyDescent="0.15">
      <c r="A188" s="41">
        <v>11</v>
      </c>
      <c r="B188" s="41">
        <v>8215</v>
      </c>
      <c r="C188" s="74" t="s">
        <v>11288</v>
      </c>
      <c r="D188" s="707" t="s">
        <v>11289</v>
      </c>
      <c r="E188" s="798"/>
      <c r="F188" s="53"/>
      <c r="G188" s="221"/>
      <c r="H188" s="50"/>
      <c r="I188" s="163"/>
      <c r="J188" s="218"/>
      <c r="K188" s="46"/>
      <c r="L188" s="35"/>
      <c r="O188" s="53"/>
      <c r="P188" s="50"/>
      <c r="Q188" s="47">
        <f>ROUND((_11_A家事増３．２５*(1+_11・A夜間)),0)</f>
        <v>569</v>
      </c>
      <c r="R188" s="48"/>
    </row>
    <row r="189" spans="1:18" ht="16.5" customHeight="1" x14ac:dyDescent="0.15">
      <c r="A189" s="41">
        <v>11</v>
      </c>
      <c r="B189" s="41">
        <v>8216</v>
      </c>
      <c r="C189" s="74" t="s">
        <v>11290</v>
      </c>
      <c r="D189" s="799"/>
      <c r="E189" s="796"/>
      <c r="F189" s="43"/>
      <c r="G189" s="216"/>
      <c r="H189" s="38"/>
      <c r="I189" s="44" t="s">
        <v>397</v>
      </c>
      <c r="J189" s="218" t="s">
        <v>398</v>
      </c>
      <c r="K189" s="46">
        <v>1</v>
      </c>
      <c r="L189" s="35"/>
      <c r="O189" s="35"/>
      <c r="Q189" s="47">
        <f>ROUND((ROUND((_11_A家事増３．２５*_11・２人),0)*(1+_11・A夜間)),0)</f>
        <v>569</v>
      </c>
      <c r="R189" s="48"/>
    </row>
    <row r="190" spans="1:18" ht="16.5" customHeight="1" x14ac:dyDescent="0.15">
      <c r="A190" s="41">
        <v>11</v>
      </c>
      <c r="B190" s="41">
        <v>8217</v>
      </c>
      <c r="C190" s="74" t="s">
        <v>11291</v>
      </c>
      <c r="D190" s="799"/>
      <c r="E190" s="796"/>
      <c r="F190" s="752" t="s">
        <v>400</v>
      </c>
      <c r="G190" s="221" t="s">
        <v>398</v>
      </c>
      <c r="H190" s="50">
        <v>0.9</v>
      </c>
      <c r="I190" s="163"/>
      <c r="J190" s="218"/>
      <c r="K190" s="46"/>
      <c r="L190" s="35"/>
      <c r="O190" s="35"/>
      <c r="Q190" s="47">
        <f>ROUND((ROUND((_11_A家事増３．２５*_11・基礎２),0)*(1+_11・A夜間)),0)</f>
        <v>513</v>
      </c>
      <c r="R190" s="48"/>
    </row>
    <row r="191" spans="1:18" ht="16.5" customHeight="1" x14ac:dyDescent="0.15">
      <c r="A191" s="41">
        <v>11</v>
      </c>
      <c r="B191" s="41">
        <v>8218</v>
      </c>
      <c r="C191" s="74" t="s">
        <v>11292</v>
      </c>
      <c r="D191" s="100">
        <f>_11_A家事増３．２５</f>
        <v>455</v>
      </c>
      <c r="E191" s="12" t="s">
        <v>392</v>
      </c>
      <c r="F191" s="711"/>
      <c r="G191" s="216"/>
      <c r="H191" s="38"/>
      <c r="I191" s="44" t="s">
        <v>397</v>
      </c>
      <c r="J191" s="218" t="s">
        <v>398</v>
      </c>
      <c r="K191" s="46">
        <v>1</v>
      </c>
      <c r="L191" s="35"/>
      <c r="O191" s="43"/>
      <c r="P191" s="38"/>
      <c r="Q191" s="47">
        <f>ROUND((ROUND((ROUND((_11_A家事増３．２５*_11・基礎２),0)*_11・２人),0)*(1+_11・A夜間)),0)</f>
        <v>513</v>
      </c>
      <c r="R191" s="48"/>
    </row>
    <row r="192" spans="1:18" ht="16.5" customHeight="1" x14ac:dyDescent="0.15">
      <c r="A192" s="41">
        <v>11</v>
      </c>
      <c r="B192" s="41" t="s">
        <v>11293</v>
      </c>
      <c r="C192" s="74" t="s">
        <v>11294</v>
      </c>
      <c r="D192" s="72"/>
      <c r="F192" s="53"/>
      <c r="G192" s="221"/>
      <c r="H192" s="50"/>
      <c r="I192" s="163"/>
      <c r="J192" s="218"/>
      <c r="K192" s="46"/>
      <c r="L192" s="35"/>
      <c r="O192" s="707" t="s">
        <v>404</v>
      </c>
      <c r="P192" s="708"/>
      <c r="Q192" s="47">
        <f>ROUND((ROUND((_11_A家事増３．２５*(1+_11・A夜間)),0)*_11・初任),0)</f>
        <v>398</v>
      </c>
      <c r="R192" s="48"/>
    </row>
    <row r="193" spans="1:18" ht="16.5" customHeight="1" x14ac:dyDescent="0.15">
      <c r="A193" s="41">
        <v>11</v>
      </c>
      <c r="B193" s="41" t="s">
        <v>11295</v>
      </c>
      <c r="C193" s="74" t="s">
        <v>11296</v>
      </c>
      <c r="D193" s="72"/>
      <c r="F193" s="43"/>
      <c r="G193" s="216"/>
      <c r="H193" s="38"/>
      <c r="I193" s="44" t="s">
        <v>397</v>
      </c>
      <c r="J193" s="218" t="s">
        <v>398</v>
      </c>
      <c r="K193" s="46">
        <v>1</v>
      </c>
      <c r="L193" s="35"/>
      <c r="O193" s="709"/>
      <c r="P193" s="704"/>
      <c r="Q193" s="47">
        <f>ROUND((ROUND((ROUND((_11_A家事増３．２５*_11・２人),0)*(1+_11・A夜間)),0)*_11・初任),0)</f>
        <v>398</v>
      </c>
      <c r="R193" s="48"/>
    </row>
    <row r="194" spans="1:18" ht="16.5" customHeight="1" x14ac:dyDescent="0.15">
      <c r="A194" s="41">
        <v>11</v>
      </c>
      <c r="B194" s="41" t="s">
        <v>11297</v>
      </c>
      <c r="C194" s="74" t="s">
        <v>11298</v>
      </c>
      <c r="D194" s="72"/>
      <c r="F194" s="752" t="s">
        <v>400</v>
      </c>
      <c r="G194" s="221" t="s">
        <v>398</v>
      </c>
      <c r="H194" s="50">
        <v>0.9</v>
      </c>
      <c r="I194" s="163"/>
      <c r="J194" s="218"/>
      <c r="K194" s="46"/>
      <c r="L194" s="35"/>
      <c r="O194" s="709"/>
      <c r="P194" s="704"/>
      <c r="Q194" s="47">
        <f>ROUND((ROUND((ROUND((_11_A家事増３．２５*_11・基礎２),0)*(1+_11・A夜間)),0)*_11・初任),0)</f>
        <v>359</v>
      </c>
      <c r="R194" s="48"/>
    </row>
    <row r="195" spans="1:18" ht="16.5" customHeight="1" x14ac:dyDescent="0.15">
      <c r="A195" s="41">
        <v>11</v>
      </c>
      <c r="B195" s="41" t="s">
        <v>11299</v>
      </c>
      <c r="C195" s="74" t="s">
        <v>11300</v>
      </c>
      <c r="D195" s="72"/>
      <c r="F195" s="711"/>
      <c r="G195" s="216"/>
      <c r="H195" s="38"/>
      <c r="I195" s="44" t="s">
        <v>397</v>
      </c>
      <c r="J195" s="218" t="s">
        <v>398</v>
      </c>
      <c r="K195" s="46">
        <v>1</v>
      </c>
      <c r="L195" s="35"/>
      <c r="O195" s="240" t="s">
        <v>398</v>
      </c>
      <c r="P195" s="38">
        <f>_11・初任</f>
        <v>0.7</v>
      </c>
      <c r="Q195" s="47">
        <f>ROUND((ROUND((ROUND((ROUND((_11_A家事増３．２５*_11・基礎２),0)*_11・２人),0)*(1+_11・A夜間)),0)*_11・初任),0)</f>
        <v>359</v>
      </c>
      <c r="R195" s="48"/>
    </row>
    <row r="196" spans="1:18" ht="16.5" customHeight="1" x14ac:dyDescent="0.15">
      <c r="A196" s="41">
        <v>11</v>
      </c>
      <c r="B196" s="41">
        <v>6511</v>
      </c>
      <c r="C196" s="74" t="s">
        <v>11301</v>
      </c>
      <c r="D196" s="707" t="s">
        <v>11302</v>
      </c>
      <c r="E196" s="798"/>
      <c r="F196" s="53"/>
      <c r="G196" s="221"/>
      <c r="H196" s="50"/>
      <c r="I196" s="163"/>
      <c r="J196" s="218"/>
      <c r="K196" s="46"/>
      <c r="L196" s="35"/>
      <c r="O196" s="53"/>
      <c r="P196" s="50"/>
      <c r="Q196" s="47">
        <f>ROUND((_11_A家事増３．５*(1+_11・A夜間)),0)</f>
        <v>613</v>
      </c>
      <c r="R196" s="48"/>
    </row>
    <row r="197" spans="1:18" ht="16.5" customHeight="1" x14ac:dyDescent="0.15">
      <c r="A197" s="41">
        <v>11</v>
      </c>
      <c r="B197" s="41">
        <v>6512</v>
      </c>
      <c r="C197" s="74" t="s">
        <v>11303</v>
      </c>
      <c r="D197" s="799"/>
      <c r="E197" s="796"/>
      <c r="F197" s="43"/>
      <c r="G197" s="216"/>
      <c r="H197" s="38"/>
      <c r="I197" s="44" t="s">
        <v>397</v>
      </c>
      <c r="J197" s="218" t="s">
        <v>398</v>
      </c>
      <c r="K197" s="46">
        <v>1</v>
      </c>
      <c r="L197" s="35"/>
      <c r="O197" s="35"/>
      <c r="Q197" s="47">
        <f>ROUND((ROUND((_11_A家事増３．５*_11・２人),0)*(1+_11・A夜間)),0)</f>
        <v>613</v>
      </c>
      <c r="R197" s="48"/>
    </row>
    <row r="198" spans="1:18" ht="16.5" customHeight="1" x14ac:dyDescent="0.15">
      <c r="A198" s="41">
        <v>11</v>
      </c>
      <c r="B198" s="41">
        <v>6513</v>
      </c>
      <c r="C198" s="74" t="s">
        <v>11304</v>
      </c>
      <c r="D198" s="799"/>
      <c r="E198" s="796"/>
      <c r="F198" s="752" t="s">
        <v>400</v>
      </c>
      <c r="G198" s="221" t="s">
        <v>398</v>
      </c>
      <c r="H198" s="50">
        <v>0.9</v>
      </c>
      <c r="I198" s="163"/>
      <c r="J198" s="218"/>
      <c r="K198" s="46"/>
      <c r="L198" s="35"/>
      <c r="O198" s="35"/>
      <c r="Q198" s="47">
        <f>ROUND((ROUND((_11_A家事増３．５*_11・基礎２),0)*(1+_11・A夜間)),0)</f>
        <v>551</v>
      </c>
      <c r="R198" s="48"/>
    </row>
    <row r="199" spans="1:18" ht="16.5" customHeight="1" x14ac:dyDescent="0.15">
      <c r="A199" s="41">
        <v>11</v>
      </c>
      <c r="B199" s="41">
        <v>6514</v>
      </c>
      <c r="C199" s="74" t="s">
        <v>11305</v>
      </c>
      <c r="D199" s="100">
        <f>_11_A家事増３．５</f>
        <v>490</v>
      </c>
      <c r="E199" s="12" t="s">
        <v>392</v>
      </c>
      <c r="F199" s="711"/>
      <c r="G199" s="216"/>
      <c r="H199" s="38"/>
      <c r="I199" s="44" t="s">
        <v>397</v>
      </c>
      <c r="J199" s="218" t="s">
        <v>398</v>
      </c>
      <c r="K199" s="46">
        <v>1</v>
      </c>
      <c r="L199" s="35"/>
      <c r="O199" s="43"/>
      <c r="P199" s="38"/>
      <c r="Q199" s="47">
        <f>ROUND((ROUND((ROUND((_11_A家事増３．５*_11・基礎２),0)*_11・２人),0)*(1+_11・A夜間)),0)</f>
        <v>551</v>
      </c>
      <c r="R199" s="48"/>
    </row>
    <row r="200" spans="1:18" ht="16.5" customHeight="1" x14ac:dyDescent="0.15">
      <c r="A200" s="41">
        <v>11</v>
      </c>
      <c r="B200" s="41" t="s">
        <v>11306</v>
      </c>
      <c r="C200" s="74" t="s">
        <v>11307</v>
      </c>
      <c r="D200" s="72"/>
      <c r="F200" s="53"/>
      <c r="G200" s="221"/>
      <c r="H200" s="50"/>
      <c r="I200" s="163"/>
      <c r="J200" s="218"/>
      <c r="K200" s="46"/>
      <c r="L200" s="35"/>
      <c r="O200" s="707" t="s">
        <v>404</v>
      </c>
      <c r="P200" s="708"/>
      <c r="Q200" s="47">
        <f>ROUND((ROUND((_11_A家事増３．５*(1+_11・A夜間)),0)*_11・初任),0)</f>
        <v>429</v>
      </c>
      <c r="R200" s="48"/>
    </row>
    <row r="201" spans="1:18" ht="16.5" customHeight="1" x14ac:dyDescent="0.15">
      <c r="A201" s="41">
        <v>11</v>
      </c>
      <c r="B201" s="41" t="s">
        <v>11308</v>
      </c>
      <c r="C201" s="74" t="s">
        <v>11309</v>
      </c>
      <c r="D201" s="72"/>
      <c r="F201" s="43"/>
      <c r="G201" s="216"/>
      <c r="H201" s="38"/>
      <c r="I201" s="44" t="s">
        <v>397</v>
      </c>
      <c r="J201" s="218" t="s">
        <v>398</v>
      </c>
      <c r="K201" s="46">
        <v>1</v>
      </c>
      <c r="L201" s="35"/>
      <c r="O201" s="709"/>
      <c r="P201" s="704"/>
      <c r="Q201" s="47">
        <f>ROUND((ROUND((ROUND((_11_A家事増３．５*_11・２人),0)*(1+_11・A夜間)),0)*_11・初任),0)</f>
        <v>429</v>
      </c>
      <c r="R201" s="48"/>
    </row>
    <row r="202" spans="1:18" ht="16.5" customHeight="1" x14ac:dyDescent="0.15">
      <c r="A202" s="41">
        <v>11</v>
      </c>
      <c r="B202" s="41" t="s">
        <v>11310</v>
      </c>
      <c r="C202" s="74" t="s">
        <v>11311</v>
      </c>
      <c r="D202" s="72"/>
      <c r="F202" s="752" t="s">
        <v>400</v>
      </c>
      <c r="G202" s="221" t="s">
        <v>398</v>
      </c>
      <c r="H202" s="50">
        <v>0.9</v>
      </c>
      <c r="I202" s="163"/>
      <c r="J202" s="218"/>
      <c r="K202" s="46"/>
      <c r="L202" s="35"/>
      <c r="O202" s="709"/>
      <c r="P202" s="704"/>
      <c r="Q202" s="47">
        <f>ROUND((ROUND((ROUND((_11_A家事増３．５*_11・基礎２),0)*(1+_11・A夜間)),0)*_11・初任),0)</f>
        <v>386</v>
      </c>
      <c r="R202" s="48"/>
    </row>
    <row r="203" spans="1:18" ht="16.5" customHeight="1" x14ac:dyDescent="0.15">
      <c r="A203" s="41">
        <v>11</v>
      </c>
      <c r="B203" s="41" t="s">
        <v>11312</v>
      </c>
      <c r="C203" s="74" t="s">
        <v>11313</v>
      </c>
      <c r="D203" s="72"/>
      <c r="F203" s="711"/>
      <c r="G203" s="216"/>
      <c r="H203" s="38"/>
      <c r="I203" s="44" t="s">
        <v>397</v>
      </c>
      <c r="J203" s="218" t="s">
        <v>398</v>
      </c>
      <c r="K203" s="46">
        <v>1</v>
      </c>
      <c r="L203" s="35"/>
      <c r="O203" s="240" t="s">
        <v>398</v>
      </c>
      <c r="P203" s="38">
        <f>_11・初任</f>
        <v>0.7</v>
      </c>
      <c r="Q203" s="47">
        <f>ROUND((ROUND((ROUND((ROUND((_11_A家事増３．５*_11・基礎２),0)*_11・２人),0)*(1+_11・A夜間)),0)*_11・初任),0)</f>
        <v>386</v>
      </c>
      <c r="R203" s="48"/>
    </row>
    <row r="204" spans="1:18" ht="16.5" customHeight="1" x14ac:dyDescent="0.15">
      <c r="A204" s="41">
        <v>11</v>
      </c>
      <c r="B204" s="41">
        <v>8219</v>
      </c>
      <c r="C204" s="74" t="s">
        <v>11314</v>
      </c>
      <c r="D204" s="707" t="s">
        <v>11315</v>
      </c>
      <c r="E204" s="798"/>
      <c r="F204" s="53"/>
      <c r="G204" s="221"/>
      <c r="H204" s="50"/>
      <c r="I204" s="163"/>
      <c r="J204" s="218"/>
      <c r="K204" s="46"/>
      <c r="L204" s="35"/>
      <c r="O204" s="53"/>
      <c r="P204" s="50"/>
      <c r="Q204" s="47">
        <f>ROUND((_11_A家事増３．７５*(1+_11・A夜間)),0)</f>
        <v>656</v>
      </c>
      <c r="R204" s="48"/>
    </row>
    <row r="205" spans="1:18" ht="16.5" customHeight="1" x14ac:dyDescent="0.15">
      <c r="A205" s="41">
        <v>11</v>
      </c>
      <c r="B205" s="41">
        <v>8220</v>
      </c>
      <c r="C205" s="74" t="s">
        <v>11316</v>
      </c>
      <c r="D205" s="799"/>
      <c r="E205" s="796"/>
      <c r="F205" s="43"/>
      <c r="G205" s="216"/>
      <c r="H205" s="38"/>
      <c r="I205" s="44" t="s">
        <v>397</v>
      </c>
      <c r="J205" s="218" t="s">
        <v>398</v>
      </c>
      <c r="K205" s="46">
        <v>1</v>
      </c>
      <c r="L205" s="35"/>
      <c r="O205" s="35"/>
      <c r="Q205" s="47">
        <f>ROUND((ROUND((_11_A家事増３．７５*_11・２人),0)*(1+_11・A夜間)),0)</f>
        <v>656</v>
      </c>
      <c r="R205" s="48"/>
    </row>
    <row r="206" spans="1:18" ht="16.5" customHeight="1" x14ac:dyDescent="0.15">
      <c r="A206" s="41">
        <v>11</v>
      </c>
      <c r="B206" s="41">
        <v>8221</v>
      </c>
      <c r="C206" s="74" t="s">
        <v>11317</v>
      </c>
      <c r="D206" s="799"/>
      <c r="E206" s="796"/>
      <c r="F206" s="752" t="s">
        <v>400</v>
      </c>
      <c r="G206" s="221" t="s">
        <v>398</v>
      </c>
      <c r="H206" s="50">
        <v>0.9</v>
      </c>
      <c r="I206" s="163"/>
      <c r="J206" s="218"/>
      <c r="K206" s="46"/>
      <c r="L206" s="35"/>
      <c r="O206" s="35"/>
      <c r="Q206" s="47">
        <f>ROUND((ROUND((_11_A家事増３．７５*_11・基礎２),0)*(1+_11・A夜間)),0)</f>
        <v>591</v>
      </c>
      <c r="R206" s="48"/>
    </row>
    <row r="207" spans="1:18" ht="16.5" customHeight="1" x14ac:dyDescent="0.15">
      <c r="A207" s="41">
        <v>11</v>
      </c>
      <c r="B207" s="41">
        <v>8222</v>
      </c>
      <c r="C207" s="74" t="s">
        <v>11318</v>
      </c>
      <c r="D207" s="100">
        <f>_11_A家事増３．７５</f>
        <v>525</v>
      </c>
      <c r="E207" s="12" t="s">
        <v>392</v>
      </c>
      <c r="F207" s="711"/>
      <c r="G207" s="216"/>
      <c r="H207" s="38"/>
      <c r="I207" s="44" t="s">
        <v>397</v>
      </c>
      <c r="J207" s="218" t="s">
        <v>398</v>
      </c>
      <c r="K207" s="46">
        <v>1</v>
      </c>
      <c r="L207" s="35"/>
      <c r="O207" s="43"/>
      <c r="P207" s="38"/>
      <c r="Q207" s="47">
        <f>ROUND((ROUND((ROUND((_11_A家事増３．７５*_11・基礎２),0)*_11・２人),0)*(1+_11・A夜間)),0)</f>
        <v>591</v>
      </c>
      <c r="R207" s="48"/>
    </row>
    <row r="208" spans="1:18" ht="16.5" customHeight="1" x14ac:dyDescent="0.15">
      <c r="A208" s="41">
        <v>11</v>
      </c>
      <c r="B208" s="41" t="s">
        <v>11319</v>
      </c>
      <c r="C208" s="74" t="s">
        <v>11320</v>
      </c>
      <c r="D208" s="72"/>
      <c r="F208" s="53"/>
      <c r="G208" s="221"/>
      <c r="H208" s="50"/>
      <c r="I208" s="163"/>
      <c r="J208" s="218"/>
      <c r="K208" s="46"/>
      <c r="L208" s="35"/>
      <c r="O208" s="707" t="s">
        <v>404</v>
      </c>
      <c r="P208" s="708"/>
      <c r="Q208" s="47">
        <f>ROUND((ROUND((_11_A家事増３．７５*(1+_11・A夜間)),0)*_11・初任),0)</f>
        <v>459</v>
      </c>
      <c r="R208" s="48"/>
    </row>
    <row r="209" spans="1:18" ht="16.5" customHeight="1" x14ac:dyDescent="0.15">
      <c r="A209" s="41">
        <v>11</v>
      </c>
      <c r="B209" s="41" t="s">
        <v>11321</v>
      </c>
      <c r="C209" s="74" t="s">
        <v>11322</v>
      </c>
      <c r="D209" s="72"/>
      <c r="F209" s="43"/>
      <c r="G209" s="216"/>
      <c r="H209" s="38"/>
      <c r="I209" s="44" t="s">
        <v>397</v>
      </c>
      <c r="J209" s="218" t="s">
        <v>398</v>
      </c>
      <c r="K209" s="46">
        <v>1</v>
      </c>
      <c r="L209" s="35"/>
      <c r="O209" s="709"/>
      <c r="P209" s="704"/>
      <c r="Q209" s="47">
        <f>ROUND((ROUND((ROUND((_11_A家事増３．７５*_11・２人),0)*(1+_11・A夜間)),0)*_11・初任),0)</f>
        <v>459</v>
      </c>
      <c r="R209" s="48"/>
    </row>
    <row r="210" spans="1:18" ht="16.5" customHeight="1" x14ac:dyDescent="0.15">
      <c r="A210" s="41">
        <v>11</v>
      </c>
      <c r="B210" s="41" t="s">
        <v>11323</v>
      </c>
      <c r="C210" s="74" t="s">
        <v>11324</v>
      </c>
      <c r="D210" s="72"/>
      <c r="F210" s="752" t="s">
        <v>400</v>
      </c>
      <c r="G210" s="221" t="s">
        <v>398</v>
      </c>
      <c r="H210" s="50">
        <v>0.9</v>
      </c>
      <c r="I210" s="163"/>
      <c r="J210" s="218"/>
      <c r="K210" s="46"/>
      <c r="L210" s="35"/>
      <c r="O210" s="709"/>
      <c r="P210" s="704"/>
      <c r="Q210" s="47">
        <f>ROUND((ROUND((ROUND((_11_A家事増３．７５*_11・基礎２),0)*(1+_11・A夜間)),0)*_11・初任),0)</f>
        <v>414</v>
      </c>
      <c r="R210" s="48"/>
    </row>
    <row r="211" spans="1:18" ht="16.5" customHeight="1" x14ac:dyDescent="0.15">
      <c r="A211" s="41">
        <v>11</v>
      </c>
      <c r="B211" s="41" t="s">
        <v>11325</v>
      </c>
      <c r="C211" s="74" t="s">
        <v>11326</v>
      </c>
      <c r="D211" s="72"/>
      <c r="F211" s="711"/>
      <c r="G211" s="216"/>
      <c r="H211" s="38"/>
      <c r="I211" s="44" t="s">
        <v>397</v>
      </c>
      <c r="J211" s="218" t="s">
        <v>398</v>
      </c>
      <c r="K211" s="46">
        <v>1</v>
      </c>
      <c r="L211" s="35"/>
      <c r="O211" s="240" t="s">
        <v>398</v>
      </c>
      <c r="P211" s="38">
        <f>_11・初任</f>
        <v>0.7</v>
      </c>
      <c r="Q211" s="47">
        <f>ROUND((ROUND((ROUND((ROUND((_11_A家事増３．７５*_11・基礎２),0)*_11・２人),0)*(1+_11・A夜間)),0)*_11・初任),0)</f>
        <v>414</v>
      </c>
      <c r="R211" s="48"/>
    </row>
    <row r="212" spans="1:18" ht="16.5" customHeight="1" x14ac:dyDescent="0.15">
      <c r="A212" s="41">
        <v>11</v>
      </c>
      <c r="B212" s="41">
        <v>6515</v>
      </c>
      <c r="C212" s="74" t="s">
        <v>11327</v>
      </c>
      <c r="D212" s="707" t="s">
        <v>11328</v>
      </c>
      <c r="E212" s="798"/>
      <c r="F212" s="53"/>
      <c r="G212" s="221"/>
      <c r="H212" s="50"/>
      <c r="I212" s="163"/>
      <c r="J212" s="218"/>
      <c r="K212" s="46"/>
      <c r="L212" s="35"/>
      <c r="O212" s="53"/>
      <c r="P212" s="50"/>
      <c r="Q212" s="47">
        <f>ROUND((_11_A家事増４．０*(1+_11・A夜間)),0)</f>
        <v>700</v>
      </c>
      <c r="R212" s="48"/>
    </row>
    <row r="213" spans="1:18" ht="16.5" customHeight="1" x14ac:dyDescent="0.15">
      <c r="A213" s="41">
        <v>11</v>
      </c>
      <c r="B213" s="41">
        <v>6516</v>
      </c>
      <c r="C213" s="74" t="s">
        <v>11329</v>
      </c>
      <c r="D213" s="799"/>
      <c r="E213" s="796"/>
      <c r="F213" s="43"/>
      <c r="G213" s="216"/>
      <c r="H213" s="38"/>
      <c r="I213" s="44" t="s">
        <v>397</v>
      </c>
      <c r="J213" s="218" t="s">
        <v>398</v>
      </c>
      <c r="K213" s="46">
        <v>1</v>
      </c>
      <c r="L213" s="35"/>
      <c r="O213" s="35"/>
      <c r="Q213" s="47">
        <f>ROUND((ROUND((_11_A家事増４．０*_11・２人),0)*(1+_11・A夜間)),0)</f>
        <v>700</v>
      </c>
      <c r="R213" s="48"/>
    </row>
    <row r="214" spans="1:18" ht="16.5" customHeight="1" x14ac:dyDescent="0.15">
      <c r="A214" s="41">
        <v>11</v>
      </c>
      <c r="B214" s="41">
        <v>6517</v>
      </c>
      <c r="C214" s="74" t="s">
        <v>11330</v>
      </c>
      <c r="D214" s="799"/>
      <c r="E214" s="796"/>
      <c r="F214" s="752" t="s">
        <v>400</v>
      </c>
      <c r="G214" s="221" t="s">
        <v>398</v>
      </c>
      <c r="H214" s="50">
        <v>0.9</v>
      </c>
      <c r="I214" s="163"/>
      <c r="J214" s="218"/>
      <c r="K214" s="46"/>
      <c r="L214" s="35"/>
      <c r="O214" s="35"/>
      <c r="Q214" s="47">
        <f>ROUND((ROUND((_11_A家事増４．０*_11・基礎２),0)*(1+_11・A夜間)),0)</f>
        <v>630</v>
      </c>
      <c r="R214" s="48"/>
    </row>
    <row r="215" spans="1:18" ht="16.5" customHeight="1" x14ac:dyDescent="0.15">
      <c r="A215" s="41">
        <v>11</v>
      </c>
      <c r="B215" s="41">
        <v>6518</v>
      </c>
      <c r="C215" s="74" t="s">
        <v>11331</v>
      </c>
      <c r="D215" s="100">
        <f>_11_A家事増４．０</f>
        <v>560</v>
      </c>
      <c r="E215" s="12" t="s">
        <v>392</v>
      </c>
      <c r="F215" s="711"/>
      <c r="G215" s="216"/>
      <c r="H215" s="38"/>
      <c r="I215" s="44" t="s">
        <v>397</v>
      </c>
      <c r="J215" s="218" t="s">
        <v>398</v>
      </c>
      <c r="K215" s="46">
        <v>1</v>
      </c>
      <c r="L215" s="35"/>
      <c r="O215" s="43"/>
      <c r="P215" s="38"/>
      <c r="Q215" s="47">
        <f>ROUND((ROUND((ROUND((_11_A家事増４．０*_11・基礎２),0)*_11・２人),0)*(1+_11・A夜間)),0)</f>
        <v>630</v>
      </c>
      <c r="R215" s="48"/>
    </row>
    <row r="216" spans="1:18" ht="16.5" customHeight="1" x14ac:dyDescent="0.15">
      <c r="A216" s="41">
        <v>11</v>
      </c>
      <c r="B216" s="41" t="s">
        <v>11332</v>
      </c>
      <c r="C216" s="74" t="s">
        <v>11333</v>
      </c>
      <c r="D216" s="72"/>
      <c r="F216" s="53"/>
      <c r="G216" s="221"/>
      <c r="H216" s="50"/>
      <c r="I216" s="163"/>
      <c r="J216" s="218"/>
      <c r="K216" s="46"/>
      <c r="L216" s="35"/>
      <c r="O216" s="707" t="s">
        <v>404</v>
      </c>
      <c r="P216" s="708"/>
      <c r="Q216" s="47">
        <f>ROUND((ROUND((_11_A家事増４．０*(1+_11・A夜間)),0)*_11・初任),0)</f>
        <v>490</v>
      </c>
      <c r="R216" s="48"/>
    </row>
    <row r="217" spans="1:18" ht="16.5" customHeight="1" x14ac:dyDescent="0.15">
      <c r="A217" s="41">
        <v>11</v>
      </c>
      <c r="B217" s="41" t="s">
        <v>11334</v>
      </c>
      <c r="C217" s="74" t="s">
        <v>11335</v>
      </c>
      <c r="D217" s="72"/>
      <c r="F217" s="43"/>
      <c r="G217" s="216"/>
      <c r="H217" s="38"/>
      <c r="I217" s="44" t="s">
        <v>397</v>
      </c>
      <c r="J217" s="218" t="s">
        <v>398</v>
      </c>
      <c r="K217" s="46">
        <v>1</v>
      </c>
      <c r="L217" s="35"/>
      <c r="O217" s="709"/>
      <c r="P217" s="704"/>
      <c r="Q217" s="47">
        <f>ROUND((ROUND((ROUND((_11_A家事増４．０*_11・２人),0)*(1+_11・A夜間)),0)*_11・初任),0)</f>
        <v>490</v>
      </c>
      <c r="R217" s="48"/>
    </row>
    <row r="218" spans="1:18" ht="16.5" customHeight="1" x14ac:dyDescent="0.15">
      <c r="A218" s="41">
        <v>11</v>
      </c>
      <c r="B218" s="41" t="s">
        <v>11336</v>
      </c>
      <c r="C218" s="74" t="s">
        <v>11337</v>
      </c>
      <c r="D218" s="72"/>
      <c r="F218" s="752" t="s">
        <v>400</v>
      </c>
      <c r="G218" s="221" t="s">
        <v>398</v>
      </c>
      <c r="H218" s="50">
        <v>0.9</v>
      </c>
      <c r="I218" s="163"/>
      <c r="J218" s="218"/>
      <c r="K218" s="46"/>
      <c r="L218" s="35"/>
      <c r="O218" s="709"/>
      <c r="P218" s="704"/>
      <c r="Q218" s="47">
        <f>ROUND((ROUND((ROUND((_11_A家事増４．０*_11・基礎２),0)*(1+_11・A夜間)),0)*_11・初任),0)</f>
        <v>441</v>
      </c>
      <c r="R218" s="48"/>
    </row>
    <row r="219" spans="1:18" ht="16.5" customHeight="1" x14ac:dyDescent="0.15">
      <c r="A219" s="41">
        <v>11</v>
      </c>
      <c r="B219" s="41" t="s">
        <v>11338</v>
      </c>
      <c r="C219" s="74" t="s">
        <v>11339</v>
      </c>
      <c r="D219" s="72"/>
      <c r="F219" s="711"/>
      <c r="G219" s="216"/>
      <c r="H219" s="38"/>
      <c r="I219" s="44" t="s">
        <v>397</v>
      </c>
      <c r="J219" s="218" t="s">
        <v>398</v>
      </c>
      <c r="K219" s="46">
        <v>1</v>
      </c>
      <c r="L219" s="35"/>
      <c r="O219" s="240" t="s">
        <v>398</v>
      </c>
      <c r="P219" s="38">
        <f>_11・初任</f>
        <v>0.7</v>
      </c>
      <c r="Q219" s="47">
        <f>ROUND((ROUND((ROUND((ROUND((_11_A家事増４．０*_11・基礎２),0)*_11・２人),0)*(1+_11・A夜間)),0)*_11・初任),0)</f>
        <v>441</v>
      </c>
      <c r="R219" s="48"/>
    </row>
    <row r="220" spans="1:18" ht="16.5" customHeight="1" x14ac:dyDescent="0.15">
      <c r="A220" s="41">
        <v>11</v>
      </c>
      <c r="B220" s="41">
        <v>8223</v>
      </c>
      <c r="C220" s="74" t="s">
        <v>11340</v>
      </c>
      <c r="D220" s="707" t="s">
        <v>11341</v>
      </c>
      <c r="E220" s="798"/>
      <c r="F220" s="53"/>
      <c r="G220" s="221"/>
      <c r="H220" s="50"/>
      <c r="I220" s="163"/>
      <c r="J220" s="218"/>
      <c r="K220" s="46"/>
      <c r="L220" s="35"/>
      <c r="O220" s="53"/>
      <c r="P220" s="50"/>
      <c r="Q220" s="47">
        <f>ROUND((_11_A家事増４．２５*(1+_11・A夜間)),0)</f>
        <v>744</v>
      </c>
      <c r="R220" s="48"/>
    </row>
    <row r="221" spans="1:18" ht="16.5" customHeight="1" x14ac:dyDescent="0.15">
      <c r="A221" s="41">
        <v>11</v>
      </c>
      <c r="B221" s="41">
        <v>8224</v>
      </c>
      <c r="C221" s="74" t="s">
        <v>11342</v>
      </c>
      <c r="D221" s="799"/>
      <c r="E221" s="796"/>
      <c r="F221" s="43"/>
      <c r="G221" s="216"/>
      <c r="H221" s="38"/>
      <c r="I221" s="44" t="s">
        <v>397</v>
      </c>
      <c r="J221" s="218" t="s">
        <v>398</v>
      </c>
      <c r="K221" s="46">
        <v>1</v>
      </c>
      <c r="L221" s="35"/>
      <c r="O221" s="35"/>
      <c r="Q221" s="47">
        <f>ROUND((ROUND((_11_A家事増４．２５*_11・２人),0)*(1+_11・A夜間)),0)</f>
        <v>744</v>
      </c>
      <c r="R221" s="48"/>
    </row>
    <row r="222" spans="1:18" ht="16.5" customHeight="1" x14ac:dyDescent="0.15">
      <c r="A222" s="41">
        <v>11</v>
      </c>
      <c r="B222" s="41">
        <v>8225</v>
      </c>
      <c r="C222" s="74" t="s">
        <v>11343</v>
      </c>
      <c r="D222" s="799"/>
      <c r="E222" s="796"/>
      <c r="F222" s="752" t="s">
        <v>400</v>
      </c>
      <c r="G222" s="221" t="s">
        <v>398</v>
      </c>
      <c r="H222" s="50">
        <v>0.9</v>
      </c>
      <c r="I222" s="163"/>
      <c r="J222" s="218"/>
      <c r="K222" s="46"/>
      <c r="L222" s="35"/>
      <c r="O222" s="35"/>
      <c r="Q222" s="47">
        <f>ROUND((ROUND((_11_A家事増４．２５*_11・基礎２),0)*(1+_11・A夜間)),0)</f>
        <v>670</v>
      </c>
      <c r="R222" s="48"/>
    </row>
    <row r="223" spans="1:18" ht="16.5" customHeight="1" x14ac:dyDescent="0.15">
      <c r="A223" s="41">
        <v>11</v>
      </c>
      <c r="B223" s="41">
        <v>8226</v>
      </c>
      <c r="C223" s="74" t="s">
        <v>11344</v>
      </c>
      <c r="D223" s="100">
        <f>_11_A家事増４．２５</f>
        <v>595</v>
      </c>
      <c r="E223" s="12" t="s">
        <v>392</v>
      </c>
      <c r="F223" s="711"/>
      <c r="G223" s="216"/>
      <c r="H223" s="38"/>
      <c r="I223" s="44" t="s">
        <v>397</v>
      </c>
      <c r="J223" s="218" t="s">
        <v>398</v>
      </c>
      <c r="K223" s="46">
        <v>1</v>
      </c>
      <c r="L223" s="35"/>
      <c r="O223" s="43"/>
      <c r="P223" s="38"/>
      <c r="Q223" s="47">
        <f>ROUND((ROUND((ROUND((_11_A家事増４．２５*_11・基礎２),0)*_11・２人),0)*(1+_11・A夜間)),0)</f>
        <v>670</v>
      </c>
      <c r="R223" s="48"/>
    </row>
    <row r="224" spans="1:18" ht="16.5" customHeight="1" x14ac:dyDescent="0.15">
      <c r="A224" s="41">
        <v>11</v>
      </c>
      <c r="B224" s="41" t="s">
        <v>11345</v>
      </c>
      <c r="C224" s="74" t="s">
        <v>11346</v>
      </c>
      <c r="D224" s="72"/>
      <c r="F224" s="53"/>
      <c r="G224" s="221"/>
      <c r="H224" s="50"/>
      <c r="I224" s="163"/>
      <c r="J224" s="218"/>
      <c r="K224" s="46"/>
      <c r="L224" s="35"/>
      <c r="O224" s="707" t="s">
        <v>404</v>
      </c>
      <c r="P224" s="708"/>
      <c r="Q224" s="47">
        <f>ROUND((ROUND((_11_A家事増４．２５*(1+_11・A夜間)),0)*_11・初任),0)</f>
        <v>521</v>
      </c>
      <c r="R224" s="48"/>
    </row>
    <row r="225" spans="1:18" ht="16.5" customHeight="1" x14ac:dyDescent="0.15">
      <c r="A225" s="41">
        <v>11</v>
      </c>
      <c r="B225" s="41" t="s">
        <v>11347</v>
      </c>
      <c r="C225" s="74" t="s">
        <v>11348</v>
      </c>
      <c r="D225" s="72"/>
      <c r="F225" s="43"/>
      <c r="G225" s="216"/>
      <c r="H225" s="38"/>
      <c r="I225" s="44" t="s">
        <v>397</v>
      </c>
      <c r="J225" s="218" t="s">
        <v>398</v>
      </c>
      <c r="K225" s="46">
        <v>1</v>
      </c>
      <c r="L225" s="35"/>
      <c r="O225" s="709"/>
      <c r="P225" s="704"/>
      <c r="Q225" s="47">
        <f>ROUND((ROUND((ROUND((_11_A家事増４．２５*_11・２人),0)*(1+_11・A夜間)),0)*_11・初任),0)</f>
        <v>521</v>
      </c>
      <c r="R225" s="48"/>
    </row>
    <row r="226" spans="1:18" ht="16.5" customHeight="1" x14ac:dyDescent="0.15">
      <c r="A226" s="41">
        <v>11</v>
      </c>
      <c r="B226" s="41" t="s">
        <v>11349</v>
      </c>
      <c r="C226" s="74" t="s">
        <v>11350</v>
      </c>
      <c r="D226" s="72"/>
      <c r="F226" s="752" t="s">
        <v>400</v>
      </c>
      <c r="G226" s="221" t="s">
        <v>398</v>
      </c>
      <c r="H226" s="50">
        <v>0.9</v>
      </c>
      <c r="I226" s="163"/>
      <c r="J226" s="218"/>
      <c r="K226" s="46"/>
      <c r="L226" s="35"/>
      <c r="O226" s="709"/>
      <c r="P226" s="704"/>
      <c r="Q226" s="47">
        <f>ROUND((ROUND((ROUND((_11_A家事増４．２５*_11・基礎２),0)*(1+_11・A夜間)),0)*_11・初任),0)</f>
        <v>469</v>
      </c>
      <c r="R226" s="48"/>
    </row>
    <row r="227" spans="1:18" ht="16.5" customHeight="1" x14ac:dyDescent="0.15">
      <c r="A227" s="41">
        <v>11</v>
      </c>
      <c r="B227" s="41" t="s">
        <v>11351</v>
      </c>
      <c r="C227" s="74" t="s">
        <v>11352</v>
      </c>
      <c r="D227" s="72"/>
      <c r="F227" s="711"/>
      <c r="G227" s="216"/>
      <c r="H227" s="38"/>
      <c r="I227" s="44" t="s">
        <v>397</v>
      </c>
      <c r="J227" s="218" t="s">
        <v>398</v>
      </c>
      <c r="K227" s="46">
        <v>1</v>
      </c>
      <c r="L227" s="35"/>
      <c r="O227" s="240" t="s">
        <v>398</v>
      </c>
      <c r="P227" s="38">
        <f>_11・初任</f>
        <v>0.7</v>
      </c>
      <c r="Q227" s="47">
        <f>ROUND((ROUND((ROUND((ROUND((_11_A家事増４．２５*_11・基礎２),0)*_11・２人),0)*(1+_11・A夜間)),0)*_11・初任),0)</f>
        <v>469</v>
      </c>
      <c r="R227" s="48"/>
    </row>
    <row r="228" spans="1:18" ht="16.5" customHeight="1" x14ac:dyDescent="0.15">
      <c r="A228" s="41">
        <v>11</v>
      </c>
      <c r="B228" s="41">
        <v>6519</v>
      </c>
      <c r="C228" s="74" t="s">
        <v>11353</v>
      </c>
      <c r="D228" s="707" t="s">
        <v>11354</v>
      </c>
      <c r="E228" s="798"/>
      <c r="F228" s="53"/>
      <c r="G228" s="221"/>
      <c r="H228" s="50"/>
      <c r="I228" s="163"/>
      <c r="J228" s="218"/>
      <c r="K228" s="46"/>
      <c r="L228" s="35"/>
      <c r="O228" s="53"/>
      <c r="P228" s="50"/>
      <c r="Q228" s="47">
        <f>ROUND((_11_A家事増４．５*(1+_11・A夜間)),0)</f>
        <v>788</v>
      </c>
      <c r="R228" s="48"/>
    </row>
    <row r="229" spans="1:18" ht="16.5" customHeight="1" x14ac:dyDescent="0.15">
      <c r="A229" s="41">
        <v>11</v>
      </c>
      <c r="B229" s="41">
        <v>6520</v>
      </c>
      <c r="C229" s="74" t="s">
        <v>11355</v>
      </c>
      <c r="D229" s="799"/>
      <c r="E229" s="796"/>
      <c r="F229" s="43"/>
      <c r="G229" s="216"/>
      <c r="H229" s="38"/>
      <c r="I229" s="44" t="s">
        <v>397</v>
      </c>
      <c r="J229" s="218" t="s">
        <v>398</v>
      </c>
      <c r="K229" s="46">
        <v>1</v>
      </c>
      <c r="L229" s="35"/>
      <c r="O229" s="35"/>
      <c r="Q229" s="47">
        <f>ROUND((ROUND((_11_A家事増４．５*_11・２人),0)*(1+_11・A夜間)),0)</f>
        <v>788</v>
      </c>
      <c r="R229" s="48"/>
    </row>
    <row r="230" spans="1:18" ht="16.5" customHeight="1" x14ac:dyDescent="0.15">
      <c r="A230" s="41">
        <v>11</v>
      </c>
      <c r="B230" s="41">
        <v>6521</v>
      </c>
      <c r="C230" s="74" t="s">
        <v>11356</v>
      </c>
      <c r="D230" s="799"/>
      <c r="E230" s="796"/>
      <c r="F230" s="752" t="s">
        <v>400</v>
      </c>
      <c r="G230" s="221" t="s">
        <v>398</v>
      </c>
      <c r="H230" s="50">
        <v>0.9</v>
      </c>
      <c r="I230" s="163"/>
      <c r="J230" s="218"/>
      <c r="K230" s="46"/>
      <c r="L230" s="35"/>
      <c r="O230" s="35"/>
      <c r="Q230" s="47">
        <f>ROUND((ROUND((_11_A家事増４．５*_11・基礎２),0)*(1+_11・A夜間)),0)</f>
        <v>709</v>
      </c>
      <c r="R230" s="48"/>
    </row>
    <row r="231" spans="1:18" ht="16.5" customHeight="1" x14ac:dyDescent="0.15">
      <c r="A231" s="41">
        <v>11</v>
      </c>
      <c r="B231" s="41">
        <v>6522</v>
      </c>
      <c r="C231" s="74" t="s">
        <v>11357</v>
      </c>
      <c r="D231" s="100">
        <f>_11_A家事増４．５</f>
        <v>630</v>
      </c>
      <c r="E231" s="12" t="s">
        <v>392</v>
      </c>
      <c r="F231" s="711"/>
      <c r="G231" s="216"/>
      <c r="H231" s="38"/>
      <c r="I231" s="44" t="s">
        <v>397</v>
      </c>
      <c r="J231" s="218" t="s">
        <v>398</v>
      </c>
      <c r="K231" s="46">
        <v>1</v>
      </c>
      <c r="L231" s="35"/>
      <c r="O231" s="43"/>
      <c r="P231" s="38"/>
      <c r="Q231" s="47">
        <f>ROUND((ROUND((ROUND((_11_A家事増４．５*_11・基礎２),0)*_11・２人),0)*(1+_11・A夜間)),0)</f>
        <v>709</v>
      </c>
      <c r="R231" s="48"/>
    </row>
    <row r="232" spans="1:18" ht="16.5" customHeight="1" x14ac:dyDescent="0.15">
      <c r="A232" s="41">
        <v>11</v>
      </c>
      <c r="B232" s="41" t="s">
        <v>11358</v>
      </c>
      <c r="C232" s="74" t="s">
        <v>11359</v>
      </c>
      <c r="D232" s="72"/>
      <c r="F232" s="53"/>
      <c r="G232" s="221"/>
      <c r="H232" s="50"/>
      <c r="I232" s="163"/>
      <c r="J232" s="218"/>
      <c r="K232" s="46"/>
      <c r="L232" s="35"/>
      <c r="O232" s="707" t="s">
        <v>404</v>
      </c>
      <c r="P232" s="708"/>
      <c r="Q232" s="47">
        <f>ROUND((ROUND((_11_A家事増４．５*(1+_11・A夜間)),0)*_11・初任),0)</f>
        <v>552</v>
      </c>
      <c r="R232" s="48"/>
    </row>
    <row r="233" spans="1:18" ht="16.5" customHeight="1" x14ac:dyDescent="0.15">
      <c r="A233" s="41">
        <v>11</v>
      </c>
      <c r="B233" s="41" t="s">
        <v>11360</v>
      </c>
      <c r="C233" s="74" t="s">
        <v>11361</v>
      </c>
      <c r="D233" s="72"/>
      <c r="F233" s="43"/>
      <c r="G233" s="216"/>
      <c r="H233" s="38"/>
      <c r="I233" s="44" t="s">
        <v>397</v>
      </c>
      <c r="J233" s="218" t="s">
        <v>398</v>
      </c>
      <c r="K233" s="46">
        <v>1</v>
      </c>
      <c r="L233" s="35"/>
      <c r="O233" s="709"/>
      <c r="P233" s="704"/>
      <c r="Q233" s="47">
        <f>ROUND((ROUND((ROUND((_11_A家事増４．５*_11・２人),0)*(1+_11・A夜間)),0)*_11・初任),0)</f>
        <v>552</v>
      </c>
      <c r="R233" s="48"/>
    </row>
    <row r="234" spans="1:18" ht="16.5" customHeight="1" x14ac:dyDescent="0.15">
      <c r="A234" s="41">
        <v>11</v>
      </c>
      <c r="B234" s="41" t="s">
        <v>11362</v>
      </c>
      <c r="C234" s="74" t="s">
        <v>11363</v>
      </c>
      <c r="D234" s="72"/>
      <c r="F234" s="752" t="s">
        <v>400</v>
      </c>
      <c r="G234" s="221" t="s">
        <v>398</v>
      </c>
      <c r="H234" s="50">
        <v>0.9</v>
      </c>
      <c r="I234" s="163"/>
      <c r="J234" s="218"/>
      <c r="K234" s="46"/>
      <c r="L234" s="35"/>
      <c r="O234" s="709"/>
      <c r="P234" s="704"/>
      <c r="Q234" s="47">
        <f>ROUND((ROUND((ROUND((_11_A家事増４．５*_11・基礎２),0)*(1+_11・A夜間)),0)*_11・初任),0)</f>
        <v>496</v>
      </c>
      <c r="R234" s="48"/>
    </row>
    <row r="235" spans="1:18" ht="16.5" customHeight="1" x14ac:dyDescent="0.15">
      <c r="A235" s="41">
        <v>11</v>
      </c>
      <c r="B235" s="41" t="s">
        <v>11364</v>
      </c>
      <c r="C235" s="74" t="s">
        <v>11365</v>
      </c>
      <c r="D235" s="122"/>
      <c r="E235" s="37"/>
      <c r="F235" s="711"/>
      <c r="G235" s="216"/>
      <c r="H235" s="38"/>
      <c r="I235" s="44" t="s">
        <v>397</v>
      </c>
      <c r="J235" s="218" t="s">
        <v>398</v>
      </c>
      <c r="K235" s="46">
        <v>1</v>
      </c>
      <c r="L235" s="43"/>
      <c r="M235" s="37"/>
      <c r="N235" s="38"/>
      <c r="O235" s="240" t="s">
        <v>398</v>
      </c>
      <c r="P235" s="38">
        <f>_11・初任</f>
        <v>0.7</v>
      </c>
      <c r="Q235" s="47">
        <f>ROUND((ROUND((ROUND((ROUND((_11_A家事増４．５*_11・基礎２),0)*_11・２人),0)*(1+_11・A夜間)),0)*_11・初任),0)</f>
        <v>496</v>
      </c>
      <c r="R235" s="63"/>
    </row>
    <row r="236" spans="1:18" ht="16.5" customHeight="1" x14ac:dyDescent="0.15"/>
    <row r="237" spans="1:18" ht="16.5" customHeight="1" x14ac:dyDescent="0.15"/>
  </sheetData>
  <mergeCells count="116">
    <mergeCell ref="D228:E230"/>
    <mergeCell ref="F230:F231"/>
    <mergeCell ref="O232:P234"/>
    <mergeCell ref="F234:F235"/>
    <mergeCell ref="O216:P218"/>
    <mergeCell ref="F218:F219"/>
    <mergeCell ref="D220:E222"/>
    <mergeCell ref="F222:F223"/>
    <mergeCell ref="O224:P226"/>
    <mergeCell ref="F226:F227"/>
    <mergeCell ref="D204:E206"/>
    <mergeCell ref="F206:F207"/>
    <mergeCell ref="O208:P210"/>
    <mergeCell ref="F210:F211"/>
    <mergeCell ref="D212:E214"/>
    <mergeCell ref="F214:F215"/>
    <mergeCell ref="O192:P194"/>
    <mergeCell ref="F194:F195"/>
    <mergeCell ref="D196:E198"/>
    <mergeCell ref="F198:F199"/>
    <mergeCell ref="O200:P202"/>
    <mergeCell ref="F202:F203"/>
    <mergeCell ref="D180:E182"/>
    <mergeCell ref="F182:F183"/>
    <mergeCell ref="O184:P186"/>
    <mergeCell ref="F186:F187"/>
    <mergeCell ref="D188:E190"/>
    <mergeCell ref="F190:F191"/>
    <mergeCell ref="O168:P170"/>
    <mergeCell ref="F170:F171"/>
    <mergeCell ref="D172:E174"/>
    <mergeCell ref="F174:F175"/>
    <mergeCell ref="O176:P178"/>
    <mergeCell ref="F178:F179"/>
    <mergeCell ref="D156:E158"/>
    <mergeCell ref="N157:N158"/>
    <mergeCell ref="F158:F159"/>
    <mergeCell ref="O160:P162"/>
    <mergeCell ref="F162:F163"/>
    <mergeCell ref="D164:E166"/>
    <mergeCell ref="F166:F167"/>
    <mergeCell ref="O144:P146"/>
    <mergeCell ref="F146:F147"/>
    <mergeCell ref="D148:E150"/>
    <mergeCell ref="F150:F151"/>
    <mergeCell ref="O152:P154"/>
    <mergeCell ref="F154:F155"/>
    <mergeCell ref="D132:E134"/>
    <mergeCell ref="F134:F135"/>
    <mergeCell ref="O136:P138"/>
    <mergeCell ref="F138:F139"/>
    <mergeCell ref="D140:E142"/>
    <mergeCell ref="F142:F143"/>
    <mergeCell ref="O120:P122"/>
    <mergeCell ref="F122:F123"/>
    <mergeCell ref="D124:E126"/>
    <mergeCell ref="F126:F127"/>
    <mergeCell ref="O128:P130"/>
    <mergeCell ref="F130:F131"/>
    <mergeCell ref="D108:E110"/>
    <mergeCell ref="F110:F111"/>
    <mergeCell ref="O112:P114"/>
    <mergeCell ref="F114:F115"/>
    <mergeCell ref="D116:E118"/>
    <mergeCell ref="F118:F119"/>
    <mergeCell ref="O96:P98"/>
    <mergeCell ref="F98:F99"/>
    <mergeCell ref="D100:E102"/>
    <mergeCell ref="F102:F103"/>
    <mergeCell ref="O104:P106"/>
    <mergeCell ref="F106:F107"/>
    <mergeCell ref="D79:E81"/>
    <mergeCell ref="N80:N81"/>
    <mergeCell ref="F81:F82"/>
    <mergeCell ref="O83:P85"/>
    <mergeCell ref="F85:F86"/>
    <mergeCell ref="D92:E94"/>
    <mergeCell ref="N93:N94"/>
    <mergeCell ref="F94:F95"/>
    <mergeCell ref="O67:P69"/>
    <mergeCell ref="F69:F70"/>
    <mergeCell ref="D71:E73"/>
    <mergeCell ref="F73:F74"/>
    <mergeCell ref="O75:P77"/>
    <mergeCell ref="F77:F78"/>
    <mergeCell ref="D55:E57"/>
    <mergeCell ref="F57:F58"/>
    <mergeCell ref="O59:P61"/>
    <mergeCell ref="F61:F62"/>
    <mergeCell ref="D63:E65"/>
    <mergeCell ref="F65:F66"/>
    <mergeCell ref="O43:P45"/>
    <mergeCell ref="F45:F46"/>
    <mergeCell ref="D47:E49"/>
    <mergeCell ref="F49:F50"/>
    <mergeCell ref="O51:P53"/>
    <mergeCell ref="F53:F54"/>
    <mergeCell ref="O35:P37"/>
    <mergeCell ref="F37:F38"/>
    <mergeCell ref="D39:E41"/>
    <mergeCell ref="F41:F42"/>
    <mergeCell ref="O19:P21"/>
    <mergeCell ref="F21:F22"/>
    <mergeCell ref="D23:E25"/>
    <mergeCell ref="F25:F26"/>
    <mergeCell ref="O27:P29"/>
    <mergeCell ref="F29:F30"/>
    <mergeCell ref="D7:E9"/>
    <mergeCell ref="N8:N9"/>
    <mergeCell ref="F9:F10"/>
    <mergeCell ref="O11:P13"/>
    <mergeCell ref="F13:F14"/>
    <mergeCell ref="D15:E17"/>
    <mergeCell ref="F17:F18"/>
    <mergeCell ref="D31:E33"/>
    <mergeCell ref="F33:F34"/>
  </mergeCells>
  <phoneticPr fontId="1"/>
  <printOptions horizontalCentered="1"/>
  <pageMargins left="0.70866141732283472" right="0.70866141732283472" top="0.74803149606299213" bottom="0.74803149606299213" header="0.31496062992125984" footer="0.31496062992125984"/>
  <pageSetup paperSize="9" scale="57" fitToHeight="0" orientation="portrait" r:id="rId1"/>
  <headerFooter>
    <oddHeader>&amp;R&amp;"ＭＳ Ｐゴシック"&amp;9居宅介護</oddHeader>
    <oddFooter>&amp;C&amp;"ＭＳ Ｐゴシック"&amp;14&amp;P</oddFooter>
  </headerFooter>
  <rowBreaks count="2" manualBreakCount="2">
    <brk id="78" max="17" man="1"/>
    <brk id="155" max="1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W12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8.875" style="10" bestFit="1" customWidth="1"/>
    <col min="4" max="4" width="4.875" style="12" customWidth="1"/>
    <col min="5" max="5" width="5.5" style="12" bestFit="1" customWidth="1"/>
    <col min="6" max="6" width="4.875" style="12" customWidth="1"/>
    <col min="7" max="7" width="5.5" style="12" bestFit="1" customWidth="1"/>
    <col min="8" max="8" width="11.875" style="12" customWidth="1"/>
    <col min="9" max="9" width="3.5" style="12" bestFit="1" customWidth="1"/>
    <col min="10" max="10" width="4.5" style="13" bestFit="1" customWidth="1"/>
    <col min="11" max="11" width="24.875" style="14" bestFit="1" customWidth="1"/>
    <col min="12" max="12" width="3.5" style="12" bestFit="1" customWidth="1"/>
    <col min="13" max="13" width="5.5" style="13" bestFit="1" customWidth="1"/>
    <col min="14" max="14" width="3.5" style="12" bestFit="1" customWidth="1"/>
    <col min="15" max="15" width="4.5" style="13" bestFit="1" customWidth="1"/>
    <col min="16" max="16" width="5.5" style="12" bestFit="1" customWidth="1"/>
    <col min="17" max="17" width="3.5" style="12" bestFit="1" customWidth="1"/>
    <col min="18" max="18" width="4.5" style="13" bestFit="1" customWidth="1"/>
    <col min="19" max="19" width="5.5" style="12" bestFit="1" customWidth="1"/>
    <col min="20" max="20" width="9.875" style="12" customWidth="1"/>
    <col min="21" max="21" width="4.5" style="12" bestFit="1" customWidth="1"/>
    <col min="22" max="22" width="7.125" style="15" customWidth="1"/>
    <col min="23" max="23" width="8.5" style="16" customWidth="1"/>
    <col min="24" max="16384" width="8.875" style="12"/>
  </cols>
  <sheetData>
    <row r="1" spans="1:23" ht="17.100000000000001" customHeight="1" x14ac:dyDescent="0.15">
      <c r="D1" s="11"/>
      <c r="F1" s="11"/>
    </row>
    <row r="2" spans="1:23" ht="17.100000000000001" customHeight="1" x14ac:dyDescent="0.15"/>
    <row r="3" spans="1:23" ht="17.100000000000001" customHeight="1" x14ac:dyDescent="0.15"/>
    <row r="4" spans="1:23" ht="17.100000000000001" customHeight="1" x14ac:dyDescent="0.15">
      <c r="B4" s="17" t="s">
        <v>1031</v>
      </c>
    </row>
    <row r="5" spans="1:23" ht="16.5" customHeight="1" x14ac:dyDescent="0.15">
      <c r="A5" s="19" t="s">
        <v>384</v>
      </c>
      <c r="B5" s="20"/>
      <c r="C5" s="21" t="s">
        <v>385</v>
      </c>
      <c r="D5" s="719" t="s">
        <v>386</v>
      </c>
      <c r="E5" s="720"/>
      <c r="F5" s="720"/>
      <c r="G5" s="720"/>
      <c r="H5" s="720"/>
      <c r="I5" s="720"/>
      <c r="J5" s="720"/>
      <c r="K5" s="720"/>
      <c r="L5" s="720"/>
      <c r="M5" s="720"/>
      <c r="N5" s="720"/>
      <c r="O5" s="720"/>
      <c r="P5" s="720"/>
      <c r="Q5" s="720"/>
      <c r="R5" s="720"/>
      <c r="S5" s="720"/>
      <c r="T5" s="720"/>
      <c r="U5" s="720"/>
      <c r="V5" s="25" t="s">
        <v>387</v>
      </c>
      <c r="W5" s="21" t="s">
        <v>388</v>
      </c>
    </row>
    <row r="6" spans="1:23" ht="15.6" customHeight="1" x14ac:dyDescent="0.15">
      <c r="A6" s="26" t="s">
        <v>389</v>
      </c>
      <c r="B6" s="26" t="s">
        <v>390</v>
      </c>
      <c r="C6" s="27"/>
      <c r="D6" s="726" t="s">
        <v>1032</v>
      </c>
      <c r="E6" s="727"/>
      <c r="F6" s="726" t="s">
        <v>1033</v>
      </c>
      <c r="G6" s="727"/>
      <c r="H6" s="29"/>
      <c r="I6" s="29"/>
      <c r="J6" s="30"/>
      <c r="K6" s="29"/>
      <c r="L6" s="29"/>
      <c r="M6" s="30"/>
      <c r="N6" s="29"/>
      <c r="O6" s="30"/>
      <c r="P6" s="29"/>
      <c r="Q6" s="29"/>
      <c r="R6" s="30"/>
      <c r="S6" s="29"/>
      <c r="T6" s="29"/>
      <c r="U6" s="29"/>
      <c r="V6" s="31" t="s">
        <v>391</v>
      </c>
      <c r="W6" s="32" t="s">
        <v>392</v>
      </c>
    </row>
    <row r="7" spans="1:23" ht="16.5" customHeight="1" x14ac:dyDescent="0.15">
      <c r="A7" s="33">
        <v>11</v>
      </c>
      <c r="B7" s="33">
        <v>1303</v>
      </c>
      <c r="C7" s="34" t="s">
        <v>1034</v>
      </c>
      <c r="D7" s="703" t="s">
        <v>861</v>
      </c>
      <c r="E7" s="718"/>
      <c r="F7" s="709" t="s">
        <v>1035</v>
      </c>
      <c r="G7" s="718"/>
      <c r="H7" s="35"/>
      <c r="K7" s="36"/>
      <c r="L7" s="37"/>
      <c r="M7" s="38"/>
      <c r="N7" s="72" t="s">
        <v>1036</v>
      </c>
      <c r="P7" s="57"/>
      <c r="Q7" s="92" t="s">
        <v>1037</v>
      </c>
      <c r="S7" s="57"/>
      <c r="T7" s="35"/>
      <c r="V7" s="39">
        <f>ROUND((_11_A身体０．５*(1+_11・A深夜)),0)+ROUND((_11_B身体０．５＿０．５*(1+_11・B早朝)),0)</f>
        <v>567</v>
      </c>
      <c r="W7" s="40" t="s">
        <v>863</v>
      </c>
    </row>
    <row r="8" spans="1:23" ht="16.5" customHeight="1" x14ac:dyDescent="0.15">
      <c r="A8" s="41">
        <v>11</v>
      </c>
      <c r="B8" s="41">
        <v>1304</v>
      </c>
      <c r="C8" s="74" t="s">
        <v>1038</v>
      </c>
      <c r="D8" s="703"/>
      <c r="E8" s="718"/>
      <c r="F8" s="709"/>
      <c r="G8" s="718"/>
      <c r="H8" s="43"/>
      <c r="I8" s="37"/>
      <c r="J8" s="38"/>
      <c r="K8" s="44" t="s">
        <v>397</v>
      </c>
      <c r="L8" s="45" t="s">
        <v>398</v>
      </c>
      <c r="M8" s="46">
        <v>1</v>
      </c>
      <c r="N8" s="35" t="s">
        <v>398</v>
      </c>
      <c r="O8" s="13">
        <v>0.5</v>
      </c>
      <c r="P8" s="728" t="s">
        <v>676</v>
      </c>
      <c r="Q8" s="12" t="s">
        <v>398</v>
      </c>
      <c r="R8" s="13">
        <v>0.25</v>
      </c>
      <c r="S8" s="721" t="s">
        <v>676</v>
      </c>
      <c r="T8" s="35"/>
      <c r="V8" s="47">
        <f>ROUND((ROUND((_11_A身体０．５*_11・２人),0)*(1+_11・A深夜)),0)+ROUND((ROUND((_11_B身体０．５＿０．５*_11・２人),0)*(1+_11・B早朝)),0)</f>
        <v>567</v>
      </c>
      <c r="W8" s="48"/>
    </row>
    <row r="9" spans="1:23" ht="16.5" customHeight="1" x14ac:dyDescent="0.15">
      <c r="A9" s="41">
        <v>11</v>
      </c>
      <c r="B9" s="41">
        <v>1305</v>
      </c>
      <c r="C9" s="74" t="s">
        <v>1039</v>
      </c>
      <c r="D9" s="703"/>
      <c r="E9" s="718"/>
      <c r="F9" s="709"/>
      <c r="G9" s="718"/>
      <c r="H9" s="705" t="s">
        <v>400</v>
      </c>
      <c r="I9" s="49" t="s">
        <v>398</v>
      </c>
      <c r="J9" s="50">
        <v>0.7</v>
      </c>
      <c r="K9" s="44"/>
      <c r="L9" s="45"/>
      <c r="M9" s="46"/>
      <c r="N9" s="35"/>
      <c r="P9" s="728"/>
      <c r="S9" s="721"/>
      <c r="T9" s="35"/>
      <c r="V9" s="47">
        <f>ROUND((ROUND((_11_A身体０．５*_11・基礎１),0)*(1+_11・A深夜)),0)+ROUND((ROUND((_11_B身体０．５＿０．５*_11・基礎１),0)*(1+_11・B早朝)),0)</f>
        <v>398</v>
      </c>
      <c r="W9" s="48"/>
    </row>
    <row r="10" spans="1:23" ht="16.5" customHeight="1" x14ac:dyDescent="0.15">
      <c r="A10" s="41">
        <v>11</v>
      </c>
      <c r="B10" s="41">
        <v>1306</v>
      </c>
      <c r="C10" s="74" t="s">
        <v>1040</v>
      </c>
      <c r="D10" s="98">
        <f>_11_A身体０．５</f>
        <v>255</v>
      </c>
      <c r="E10" s="99" t="s">
        <v>392</v>
      </c>
      <c r="F10" s="100">
        <f>_11_B身体０．５＿０．５</f>
        <v>147</v>
      </c>
      <c r="G10" s="99" t="s">
        <v>392</v>
      </c>
      <c r="H10" s="711"/>
      <c r="I10" s="37"/>
      <c r="J10" s="38"/>
      <c r="K10" s="44" t="s">
        <v>397</v>
      </c>
      <c r="L10" s="45" t="s">
        <v>398</v>
      </c>
      <c r="M10" s="46">
        <v>1</v>
      </c>
      <c r="N10" s="35"/>
      <c r="P10" s="57"/>
      <c r="S10" s="57"/>
      <c r="T10" s="43"/>
      <c r="U10" s="37"/>
      <c r="V10" s="47">
        <f>ROUND((ROUND((ROUND((_11_A身体０．５*_11・基礎１),0)*_11・２人),0)*(1+_11・A深夜)),0)+ROUND((ROUND((ROUND((_11_B身体０．５＿０．５*_11・基礎１),0)*_11・２人),0)*(1+_11・B早朝)),0)</f>
        <v>398</v>
      </c>
      <c r="W10" s="48"/>
    </row>
    <row r="11" spans="1:23" ht="16.5" customHeight="1" x14ac:dyDescent="0.15">
      <c r="A11" s="41">
        <v>11</v>
      </c>
      <c r="B11" s="41" t="s">
        <v>1041</v>
      </c>
      <c r="C11" s="74" t="s">
        <v>1042</v>
      </c>
      <c r="D11" s="101"/>
      <c r="E11" s="99"/>
      <c r="F11" s="102"/>
      <c r="G11" s="99"/>
      <c r="H11" s="53"/>
      <c r="I11" s="49"/>
      <c r="J11" s="50"/>
      <c r="K11" s="44"/>
      <c r="L11" s="45"/>
      <c r="M11" s="46"/>
      <c r="N11" s="35"/>
      <c r="P11" s="57"/>
      <c r="S11" s="57"/>
      <c r="T11" s="707" t="s">
        <v>404</v>
      </c>
      <c r="U11" s="708"/>
      <c r="V11" s="47">
        <f>ROUND((ROUND((_11_A身体０．５*(1+_11・A深夜)),0)*_11・初任),0)+ROUND((ROUND((_11_B身体０．５＿０．５*(1+_11・B早朝)),0)*_11・初任),0)</f>
        <v>397</v>
      </c>
      <c r="W11" s="48"/>
    </row>
    <row r="12" spans="1:23" ht="16.5" customHeight="1" x14ac:dyDescent="0.15">
      <c r="A12" s="41">
        <v>11</v>
      </c>
      <c r="B12" s="41" t="s">
        <v>1043</v>
      </c>
      <c r="C12" s="74" t="s">
        <v>1044</v>
      </c>
      <c r="D12" s="101"/>
      <c r="E12" s="99"/>
      <c r="F12" s="102"/>
      <c r="G12" s="99"/>
      <c r="H12" s="43"/>
      <c r="I12" s="37"/>
      <c r="J12" s="38"/>
      <c r="K12" s="44" t="s">
        <v>397</v>
      </c>
      <c r="L12" s="45" t="s">
        <v>398</v>
      </c>
      <c r="M12" s="46">
        <v>1</v>
      </c>
      <c r="N12" s="35"/>
      <c r="P12" s="57"/>
      <c r="S12" s="57"/>
      <c r="T12" s="709"/>
      <c r="U12" s="704"/>
      <c r="V12" s="47">
        <f>ROUND((ROUND((ROUND((_11_A身体０．５*_11・２人),0)*(1+_11・A深夜)),0)*_11・初任),0)+ROUND((ROUND((ROUND((_11_B身体０．５＿０．５*_11・２人),0)*(1+_11・B早朝)),0)*_11・初任),0)</f>
        <v>397</v>
      </c>
      <c r="W12" s="48"/>
    </row>
    <row r="13" spans="1:23" ht="16.5" customHeight="1" x14ac:dyDescent="0.15">
      <c r="A13" s="41">
        <v>11</v>
      </c>
      <c r="B13" s="41" t="s">
        <v>1045</v>
      </c>
      <c r="C13" s="74" t="s">
        <v>1046</v>
      </c>
      <c r="D13" s="103"/>
      <c r="E13" s="99"/>
      <c r="F13" s="104"/>
      <c r="G13" s="99"/>
      <c r="H13" s="705" t="s">
        <v>400</v>
      </c>
      <c r="I13" s="49" t="s">
        <v>398</v>
      </c>
      <c r="J13" s="50">
        <v>0.7</v>
      </c>
      <c r="K13" s="44"/>
      <c r="L13" s="45"/>
      <c r="M13" s="46"/>
      <c r="N13" s="35"/>
      <c r="P13" s="57"/>
      <c r="S13" s="57"/>
      <c r="T13" s="709"/>
      <c r="U13" s="704"/>
      <c r="V13" s="47">
        <f>ROUND((ROUND((ROUND((_11_A身体０．５*_11・基礎１),0)*(1+_11・A深夜)),0)*_11・初任),0)+ROUND((ROUND((ROUND((_11_B身体０．５＿０．５*_11・基礎１),0)*(1+_11・B早朝)),0)*_11・初任),0)</f>
        <v>278</v>
      </c>
      <c r="W13" s="48"/>
    </row>
    <row r="14" spans="1:23" ht="16.5" customHeight="1" x14ac:dyDescent="0.15">
      <c r="A14" s="41">
        <v>11</v>
      </c>
      <c r="B14" s="41" t="s">
        <v>1047</v>
      </c>
      <c r="C14" s="74" t="s">
        <v>1048</v>
      </c>
      <c r="D14" s="103"/>
      <c r="E14" s="99"/>
      <c r="F14" s="104"/>
      <c r="G14" s="99"/>
      <c r="H14" s="711"/>
      <c r="I14" s="37"/>
      <c r="J14" s="38"/>
      <c r="K14" s="44" t="s">
        <v>397</v>
      </c>
      <c r="L14" s="45" t="s">
        <v>398</v>
      </c>
      <c r="M14" s="46">
        <v>1</v>
      </c>
      <c r="N14" s="35"/>
      <c r="P14" s="57"/>
      <c r="S14" s="57"/>
      <c r="T14" s="55" t="s">
        <v>398</v>
      </c>
      <c r="U14" s="38">
        <f>_11・初任</f>
        <v>0.7</v>
      </c>
      <c r="V14" s="47">
        <f>ROUND((ROUND((ROUND((ROUND((_11_A身体０．５*_11・基礎１),0)*_11・２人),0)*(1+_11・A深夜)),0)*_11・初任),0)+ROUND((ROUND((ROUND((ROUND((_11_B身体０．５＿０．５*_11・基礎１),0)*_11・２人),0)*(1+_11・B早朝)),0)*_11・初任),0)</f>
        <v>278</v>
      </c>
      <c r="W14" s="48"/>
    </row>
    <row r="15" spans="1:23" ht="16.5" customHeight="1" x14ac:dyDescent="0.15">
      <c r="A15" s="41">
        <v>11</v>
      </c>
      <c r="B15" s="41">
        <v>1307</v>
      </c>
      <c r="C15" s="74" t="s">
        <v>1049</v>
      </c>
      <c r="D15" s="103"/>
      <c r="E15" s="99"/>
      <c r="F15" s="707" t="s">
        <v>1050</v>
      </c>
      <c r="G15" s="717"/>
      <c r="H15" s="49"/>
      <c r="I15" s="49"/>
      <c r="J15" s="50"/>
      <c r="K15" s="44"/>
      <c r="L15" s="45"/>
      <c r="M15" s="46"/>
      <c r="N15" s="35"/>
      <c r="P15" s="57"/>
      <c r="S15" s="57"/>
      <c r="T15" s="53"/>
      <c r="U15" s="49"/>
      <c r="V15" s="47">
        <f>ROUND((_11_A身体０．５*(1+_11・A深夜)),0)+ROUND((_11_B身体０．５＿１．０*(1+_11・B早朝)),0)</f>
        <v>794</v>
      </c>
      <c r="W15" s="48"/>
    </row>
    <row r="16" spans="1:23" ht="16.5" customHeight="1" x14ac:dyDescent="0.15">
      <c r="A16" s="41">
        <v>11</v>
      </c>
      <c r="B16" s="41">
        <v>1308</v>
      </c>
      <c r="C16" s="74" t="s">
        <v>1051</v>
      </c>
      <c r="D16" s="103"/>
      <c r="E16" s="99"/>
      <c r="F16" s="709"/>
      <c r="G16" s="718"/>
      <c r="H16" s="37"/>
      <c r="I16" s="37"/>
      <c r="J16" s="38"/>
      <c r="K16" s="44" t="s">
        <v>397</v>
      </c>
      <c r="L16" s="45" t="s">
        <v>398</v>
      </c>
      <c r="M16" s="46">
        <v>1</v>
      </c>
      <c r="N16" s="35"/>
      <c r="P16" s="57"/>
      <c r="S16" s="57"/>
      <c r="T16" s="35"/>
      <c r="V16" s="47">
        <f>ROUND((ROUND((_11_A身体０．５*_11・２人),0)*(1+_11・A深夜)),0)+ROUND((ROUND((_11_B身体０．５＿１．０*_11・２人),0)*(1+_11・B早朝)),0)</f>
        <v>794</v>
      </c>
      <c r="W16" s="48"/>
    </row>
    <row r="17" spans="1:23" ht="16.5" customHeight="1" x14ac:dyDescent="0.15">
      <c r="A17" s="41">
        <v>11</v>
      </c>
      <c r="B17" s="41">
        <v>1309</v>
      </c>
      <c r="C17" s="74" t="s">
        <v>1052</v>
      </c>
      <c r="D17" s="103"/>
      <c r="E17" s="99"/>
      <c r="F17" s="709"/>
      <c r="G17" s="718"/>
      <c r="H17" s="729" t="s">
        <v>400</v>
      </c>
      <c r="I17" s="49" t="s">
        <v>398</v>
      </c>
      <c r="J17" s="50">
        <v>0.7</v>
      </c>
      <c r="K17" s="44"/>
      <c r="L17" s="45"/>
      <c r="M17" s="46"/>
      <c r="N17" s="35"/>
      <c r="P17" s="57"/>
      <c r="S17" s="57"/>
      <c r="T17" s="35"/>
      <c r="V17" s="47">
        <f>ROUND((ROUND((_11_A身体０．５*_11・基礎１),0)*(1+_11・A深夜)),0)+ROUND((ROUND((_11_B身体０．５＿１．０*_11・基礎１),0)*(1+_11・B早朝)),0)</f>
        <v>557</v>
      </c>
      <c r="W17" s="48"/>
    </row>
    <row r="18" spans="1:23" ht="16.5" customHeight="1" x14ac:dyDescent="0.15">
      <c r="A18" s="41">
        <v>11</v>
      </c>
      <c r="B18" s="41">
        <v>1310</v>
      </c>
      <c r="C18" s="74" t="s">
        <v>1053</v>
      </c>
      <c r="D18" s="103"/>
      <c r="E18" s="99"/>
      <c r="F18" s="100">
        <f>_11_B身体０．５＿１．０</f>
        <v>329</v>
      </c>
      <c r="G18" s="105" t="s">
        <v>392</v>
      </c>
      <c r="H18" s="730"/>
      <c r="I18" s="37"/>
      <c r="J18" s="38"/>
      <c r="K18" s="44" t="s">
        <v>397</v>
      </c>
      <c r="L18" s="45" t="s">
        <v>398</v>
      </c>
      <c r="M18" s="46">
        <v>1</v>
      </c>
      <c r="N18" s="35"/>
      <c r="P18" s="57"/>
      <c r="S18" s="57"/>
      <c r="T18" s="43"/>
      <c r="U18" s="37"/>
      <c r="V18" s="47">
        <f>ROUND((ROUND((ROUND((_11_A身体０．５*_11・基礎１),0)*_11・２人),0)*(1+_11・A深夜)),0)+ROUND((ROUND((ROUND((_11_B身体０．５＿１．０*_11・基礎１),0)*_11・２人),0)*(1+_11・B早朝)),0)</f>
        <v>557</v>
      </c>
      <c r="W18" s="48"/>
    </row>
    <row r="19" spans="1:23" ht="16.5" customHeight="1" x14ac:dyDescent="0.15">
      <c r="A19" s="41">
        <v>11</v>
      </c>
      <c r="B19" s="41" t="s">
        <v>1054</v>
      </c>
      <c r="C19" s="74" t="s">
        <v>1055</v>
      </c>
      <c r="D19" s="103"/>
      <c r="E19" s="99"/>
      <c r="F19" s="102"/>
      <c r="G19" s="99"/>
      <c r="H19" s="53"/>
      <c r="I19" s="49"/>
      <c r="J19" s="50"/>
      <c r="K19" s="44"/>
      <c r="L19" s="45"/>
      <c r="M19" s="46"/>
      <c r="N19" s="35"/>
      <c r="P19" s="57"/>
      <c r="S19" s="57"/>
      <c r="T19" s="707" t="s">
        <v>404</v>
      </c>
      <c r="U19" s="708"/>
      <c r="V19" s="47">
        <f>ROUND((ROUND((_11_A身体０．５*(1+_11・A深夜)),0)*_11・初任),0)+ROUND((ROUND((_11_B身体０．５＿１．０*(1+_11・B早朝)),0)*_11・初任),0)</f>
        <v>556</v>
      </c>
      <c r="W19" s="48"/>
    </row>
    <row r="20" spans="1:23" ht="16.5" customHeight="1" x14ac:dyDescent="0.15">
      <c r="A20" s="41">
        <v>11</v>
      </c>
      <c r="B20" s="41" t="s">
        <v>1056</v>
      </c>
      <c r="C20" s="74" t="s">
        <v>1057</v>
      </c>
      <c r="D20" s="103"/>
      <c r="E20" s="99"/>
      <c r="F20" s="102"/>
      <c r="G20" s="99"/>
      <c r="H20" s="43"/>
      <c r="I20" s="37"/>
      <c r="J20" s="38"/>
      <c r="K20" s="44" t="s">
        <v>397</v>
      </c>
      <c r="L20" s="45" t="s">
        <v>398</v>
      </c>
      <c r="M20" s="46">
        <v>1</v>
      </c>
      <c r="N20" s="35"/>
      <c r="P20" s="57"/>
      <c r="S20" s="57"/>
      <c r="T20" s="709"/>
      <c r="U20" s="704"/>
      <c r="V20" s="47">
        <f>ROUND((ROUND((ROUND((_11_A身体０．５*_11・２人),0)*(1+_11・A深夜)),0)*_11・初任),0)+ROUND((ROUND((ROUND((_11_B身体０．５＿１．０*_11・２人),0)*(1+_11・B早朝)),0)*_11・初任),0)</f>
        <v>556</v>
      </c>
      <c r="W20" s="48"/>
    </row>
    <row r="21" spans="1:23" ht="16.5" customHeight="1" x14ac:dyDescent="0.15">
      <c r="A21" s="41">
        <v>11</v>
      </c>
      <c r="B21" s="41" t="s">
        <v>1058</v>
      </c>
      <c r="C21" s="74" t="s">
        <v>1059</v>
      </c>
      <c r="D21" s="103"/>
      <c r="E21" s="99"/>
      <c r="F21" s="104"/>
      <c r="G21" s="99"/>
      <c r="H21" s="705" t="s">
        <v>400</v>
      </c>
      <c r="I21" s="49" t="s">
        <v>398</v>
      </c>
      <c r="J21" s="50">
        <v>0.7</v>
      </c>
      <c r="K21" s="44"/>
      <c r="L21" s="45"/>
      <c r="M21" s="46"/>
      <c r="N21" s="35"/>
      <c r="P21" s="57"/>
      <c r="S21" s="57"/>
      <c r="T21" s="709"/>
      <c r="U21" s="704"/>
      <c r="V21" s="47">
        <f>ROUND((ROUND((ROUND((_11_A身体０．５*_11・基礎１),0)*(1+_11・A深夜)),0)*_11・初任),0)+ROUND((ROUND((ROUND((_11_B身体０．５＿１．０*_11・基礎１),0)*(1+_11・B早朝)),0)*_11・初任),0)</f>
        <v>390</v>
      </c>
      <c r="W21" s="48"/>
    </row>
    <row r="22" spans="1:23" ht="16.5" customHeight="1" x14ac:dyDescent="0.15">
      <c r="A22" s="41">
        <v>11</v>
      </c>
      <c r="B22" s="41" t="s">
        <v>1060</v>
      </c>
      <c r="C22" s="74" t="s">
        <v>1061</v>
      </c>
      <c r="D22" s="103"/>
      <c r="E22" s="99"/>
      <c r="F22" s="104"/>
      <c r="G22" s="99"/>
      <c r="H22" s="711"/>
      <c r="I22" s="37"/>
      <c r="J22" s="38"/>
      <c r="K22" s="44" t="s">
        <v>397</v>
      </c>
      <c r="L22" s="45" t="s">
        <v>398</v>
      </c>
      <c r="M22" s="46">
        <v>1</v>
      </c>
      <c r="N22" s="35"/>
      <c r="P22" s="57"/>
      <c r="S22" s="57"/>
      <c r="T22" s="55" t="s">
        <v>398</v>
      </c>
      <c r="U22" s="38">
        <f>_11・初任</f>
        <v>0.7</v>
      </c>
      <c r="V22" s="47">
        <f>ROUND((ROUND((ROUND((ROUND((_11_A身体０．５*_11・基礎１),0)*_11・２人),0)*(1+_11・A深夜)),0)*_11・初任),0)+ROUND((ROUND((ROUND((ROUND((_11_B身体０．５＿１．０*_11・基礎１),0)*_11・２人),0)*(1+_11・B早朝)),0)*_11・初任),0)</f>
        <v>390</v>
      </c>
      <c r="W22" s="48"/>
    </row>
    <row r="23" spans="1:23" ht="16.5" customHeight="1" x14ac:dyDescent="0.15">
      <c r="A23" s="41">
        <v>11</v>
      </c>
      <c r="B23" s="41">
        <v>1311</v>
      </c>
      <c r="C23" s="74" t="s">
        <v>1062</v>
      </c>
      <c r="D23" s="103"/>
      <c r="E23" s="99"/>
      <c r="F23" s="707" t="s">
        <v>1063</v>
      </c>
      <c r="G23" s="717"/>
      <c r="H23" s="53"/>
      <c r="I23" s="49"/>
      <c r="J23" s="50"/>
      <c r="K23" s="44"/>
      <c r="L23" s="45"/>
      <c r="M23" s="46"/>
      <c r="N23" s="35"/>
      <c r="P23" s="57"/>
      <c r="S23" s="57"/>
      <c r="T23" s="53"/>
      <c r="U23" s="49"/>
      <c r="V23" s="47">
        <f>ROUND((_11_A身体０．５*(1+_11・A深夜)),0)+ROUND((_11_B身体０．５＿１．５*(1+_11・B早朝)),0)</f>
        <v>897</v>
      </c>
      <c r="W23" s="48"/>
    </row>
    <row r="24" spans="1:23" ht="16.5" customHeight="1" x14ac:dyDescent="0.15">
      <c r="A24" s="41">
        <v>11</v>
      </c>
      <c r="B24" s="41">
        <v>1312</v>
      </c>
      <c r="C24" s="74" t="s">
        <v>1064</v>
      </c>
      <c r="D24" s="103"/>
      <c r="E24" s="99"/>
      <c r="F24" s="709"/>
      <c r="G24" s="718"/>
      <c r="H24" s="43"/>
      <c r="I24" s="37"/>
      <c r="J24" s="38"/>
      <c r="K24" s="44" t="s">
        <v>397</v>
      </c>
      <c r="L24" s="45" t="s">
        <v>398</v>
      </c>
      <c r="M24" s="46">
        <v>1</v>
      </c>
      <c r="N24" s="35"/>
      <c r="P24" s="57"/>
      <c r="S24" s="57"/>
      <c r="T24" s="35"/>
      <c r="V24" s="47">
        <f>ROUND((ROUND((_11_A身体０．５*_11・２人),0)*(1+_11・A深夜)),0)+ROUND((ROUND((_11_B身体０．５＿１．５*_11・２人),0)*(1+_11・B早朝)),0)</f>
        <v>897</v>
      </c>
      <c r="W24" s="48"/>
    </row>
    <row r="25" spans="1:23" ht="16.5" customHeight="1" x14ac:dyDescent="0.15">
      <c r="A25" s="41">
        <v>11</v>
      </c>
      <c r="B25" s="41">
        <v>1313</v>
      </c>
      <c r="C25" s="74" t="s">
        <v>1065</v>
      </c>
      <c r="D25" s="103"/>
      <c r="E25" s="99"/>
      <c r="F25" s="709"/>
      <c r="G25" s="718"/>
      <c r="H25" s="705" t="s">
        <v>400</v>
      </c>
      <c r="I25" s="49" t="s">
        <v>398</v>
      </c>
      <c r="J25" s="50">
        <v>0.7</v>
      </c>
      <c r="K25" s="44"/>
      <c r="L25" s="45"/>
      <c r="M25" s="46"/>
      <c r="N25" s="35"/>
      <c r="P25" s="57"/>
      <c r="S25" s="57"/>
      <c r="T25" s="35"/>
      <c r="V25" s="47">
        <f>ROUND((ROUND((_11_A身体０．５*_11・基礎１),0)*(1+_11・A深夜)),0)+ROUND((ROUND((_11_B身体０．５＿１．５*_11・基礎１),0)*(1+_11・B早朝)),0)</f>
        <v>629</v>
      </c>
      <c r="W25" s="48"/>
    </row>
    <row r="26" spans="1:23" ht="16.5" customHeight="1" x14ac:dyDescent="0.15">
      <c r="A26" s="41">
        <v>11</v>
      </c>
      <c r="B26" s="41">
        <v>1314</v>
      </c>
      <c r="C26" s="74" t="s">
        <v>1066</v>
      </c>
      <c r="D26" s="103"/>
      <c r="E26" s="99"/>
      <c r="F26" s="100">
        <f>_11_B身体０．５＿１．５</f>
        <v>411</v>
      </c>
      <c r="G26" s="99" t="s">
        <v>392</v>
      </c>
      <c r="H26" s="711"/>
      <c r="I26" s="37"/>
      <c r="J26" s="38"/>
      <c r="K26" s="44" t="s">
        <v>397</v>
      </c>
      <c r="L26" s="45" t="s">
        <v>398</v>
      </c>
      <c r="M26" s="46">
        <v>1</v>
      </c>
      <c r="N26" s="35"/>
      <c r="P26" s="57"/>
      <c r="S26" s="57"/>
      <c r="T26" s="43"/>
      <c r="U26" s="37"/>
      <c r="V26" s="47">
        <f>ROUND((ROUND((ROUND((_11_A身体０．５*_11・基礎１),0)*_11・２人),0)*(1+_11・A深夜)),0)+ROUND((ROUND((ROUND((_11_B身体０．５＿１．５*_11・基礎１),0)*_11・２人),0)*(1+_11・B早朝)),0)</f>
        <v>629</v>
      </c>
      <c r="W26" s="48"/>
    </row>
    <row r="27" spans="1:23" ht="16.5" customHeight="1" x14ac:dyDescent="0.15">
      <c r="A27" s="41">
        <v>11</v>
      </c>
      <c r="B27" s="41" t="s">
        <v>1067</v>
      </c>
      <c r="C27" s="74" t="s">
        <v>1068</v>
      </c>
      <c r="D27" s="103"/>
      <c r="E27" s="99"/>
      <c r="F27" s="102"/>
      <c r="G27" s="99"/>
      <c r="H27" s="53"/>
      <c r="I27" s="49"/>
      <c r="J27" s="50"/>
      <c r="K27" s="44"/>
      <c r="L27" s="45"/>
      <c r="M27" s="46"/>
      <c r="N27" s="35"/>
      <c r="P27" s="57"/>
      <c r="S27" s="57"/>
      <c r="T27" s="707" t="s">
        <v>404</v>
      </c>
      <c r="U27" s="708"/>
      <c r="V27" s="47">
        <f>ROUND((ROUND((_11_A身体０．５*(1+_11・A深夜)),0)*_11・初任),0)+ROUND((ROUND((_11_B身体０．５＿１．５*(1+_11・B早朝)),0)*_11・初任),0)</f>
        <v>628</v>
      </c>
      <c r="W27" s="48"/>
    </row>
    <row r="28" spans="1:23" ht="16.5" customHeight="1" x14ac:dyDescent="0.15">
      <c r="A28" s="41">
        <v>11</v>
      </c>
      <c r="B28" s="41" t="s">
        <v>1069</v>
      </c>
      <c r="C28" s="74" t="s">
        <v>1070</v>
      </c>
      <c r="D28" s="103"/>
      <c r="E28" s="99"/>
      <c r="F28" s="102"/>
      <c r="G28" s="99"/>
      <c r="H28" s="43"/>
      <c r="I28" s="37"/>
      <c r="J28" s="38"/>
      <c r="K28" s="44" t="s">
        <v>397</v>
      </c>
      <c r="L28" s="45" t="s">
        <v>398</v>
      </c>
      <c r="M28" s="46">
        <v>1</v>
      </c>
      <c r="N28" s="35"/>
      <c r="P28" s="57"/>
      <c r="S28" s="57"/>
      <c r="T28" s="709"/>
      <c r="U28" s="704"/>
      <c r="V28" s="47">
        <f>ROUND((ROUND((ROUND((_11_A身体０．５*_11・２人),0)*(1+_11・A深夜)),0)*_11・初任),0)+ROUND((ROUND((ROUND((_11_B身体０．５＿１．５*_11・２人),0)*(1+_11・B早朝)),0)*_11・初任),0)</f>
        <v>628</v>
      </c>
      <c r="W28" s="48"/>
    </row>
    <row r="29" spans="1:23" ht="16.5" customHeight="1" x14ac:dyDescent="0.15">
      <c r="A29" s="41">
        <v>11</v>
      </c>
      <c r="B29" s="41" t="s">
        <v>1071</v>
      </c>
      <c r="C29" s="74" t="s">
        <v>1072</v>
      </c>
      <c r="D29" s="103"/>
      <c r="E29" s="99"/>
      <c r="F29" s="104"/>
      <c r="G29" s="99"/>
      <c r="H29" s="705" t="s">
        <v>400</v>
      </c>
      <c r="I29" s="49" t="s">
        <v>398</v>
      </c>
      <c r="J29" s="50">
        <v>0.7</v>
      </c>
      <c r="K29" s="44"/>
      <c r="L29" s="45"/>
      <c r="M29" s="46"/>
      <c r="N29" s="35"/>
      <c r="P29" s="57"/>
      <c r="S29" s="57"/>
      <c r="T29" s="709"/>
      <c r="U29" s="704"/>
      <c r="V29" s="47">
        <f>ROUND((ROUND((ROUND((_11_A身体０．５*_11・基礎１),0)*(1+_11・A深夜)),0)*_11・初任),0)+ROUND((ROUND((ROUND((_11_B身体０．５＿１．５*_11・基礎１),0)*(1+_11・B早朝)),0)*_11・初任),0)</f>
        <v>440</v>
      </c>
      <c r="W29" s="48"/>
    </row>
    <row r="30" spans="1:23" ht="16.5" customHeight="1" x14ac:dyDescent="0.15">
      <c r="A30" s="41">
        <v>11</v>
      </c>
      <c r="B30" s="41" t="s">
        <v>1073</v>
      </c>
      <c r="C30" s="74" t="s">
        <v>1074</v>
      </c>
      <c r="D30" s="103"/>
      <c r="E30" s="99"/>
      <c r="F30" s="104"/>
      <c r="G30" s="99"/>
      <c r="H30" s="711"/>
      <c r="I30" s="37"/>
      <c r="J30" s="38"/>
      <c r="K30" s="44" t="s">
        <v>397</v>
      </c>
      <c r="L30" s="45" t="s">
        <v>398</v>
      </c>
      <c r="M30" s="46">
        <v>1</v>
      </c>
      <c r="N30" s="35"/>
      <c r="P30" s="57"/>
      <c r="S30" s="57"/>
      <c r="T30" s="55" t="s">
        <v>398</v>
      </c>
      <c r="U30" s="38">
        <f>_11・初任</f>
        <v>0.7</v>
      </c>
      <c r="V30" s="47">
        <f>ROUND((ROUND((ROUND((ROUND((_11_A身体０．５*_11・基礎１),0)*_11・２人),0)*(1+_11・A深夜)),0)*_11・初任),0)+ROUND((ROUND((ROUND((ROUND((_11_B身体０．５＿１．５*_11・基礎１),0)*_11・２人),0)*(1+_11・B早朝)),0)*_11・初任),0)</f>
        <v>440</v>
      </c>
      <c r="W30" s="48"/>
    </row>
    <row r="31" spans="1:23" ht="16.5" customHeight="1" x14ac:dyDescent="0.15">
      <c r="A31" s="41">
        <v>11</v>
      </c>
      <c r="B31" s="41">
        <v>1315</v>
      </c>
      <c r="C31" s="74" t="s">
        <v>1075</v>
      </c>
      <c r="D31" s="103"/>
      <c r="E31" s="99"/>
      <c r="F31" s="707" t="s">
        <v>1076</v>
      </c>
      <c r="G31" s="717"/>
      <c r="H31" s="53"/>
      <c r="I31" s="49"/>
      <c r="J31" s="50"/>
      <c r="K31" s="44"/>
      <c r="L31" s="45"/>
      <c r="M31" s="46"/>
      <c r="N31" s="35"/>
      <c r="P31" s="57"/>
      <c r="S31" s="57"/>
      <c r="T31" s="53"/>
      <c r="U31" s="49"/>
      <c r="V31" s="47">
        <f>ROUND((_11_A身体０．５*(1+_11・A深夜)),0)+ROUND((_11_B身体０．５＿２．０*(1+_11・B早朝)),0)</f>
        <v>1002</v>
      </c>
      <c r="W31" s="48"/>
    </row>
    <row r="32" spans="1:23" ht="16.5" customHeight="1" x14ac:dyDescent="0.15">
      <c r="A32" s="41">
        <v>11</v>
      </c>
      <c r="B32" s="41">
        <v>1316</v>
      </c>
      <c r="C32" s="74" t="s">
        <v>1077</v>
      </c>
      <c r="D32" s="103"/>
      <c r="E32" s="99"/>
      <c r="F32" s="709"/>
      <c r="G32" s="718"/>
      <c r="H32" s="43"/>
      <c r="I32" s="37"/>
      <c r="J32" s="38"/>
      <c r="K32" s="44" t="s">
        <v>397</v>
      </c>
      <c r="L32" s="45" t="s">
        <v>398</v>
      </c>
      <c r="M32" s="46">
        <v>1</v>
      </c>
      <c r="N32" s="35"/>
      <c r="P32" s="57"/>
      <c r="S32" s="57"/>
      <c r="T32" s="35"/>
      <c r="V32" s="47">
        <f>ROUND((ROUND((_11_A身体０．５*_11・２人),0)*(1+_11・A深夜)),0)+ROUND((ROUND((_11_B身体０．５＿２．０*_11・２人),0)*(1+_11・B早朝)),0)</f>
        <v>1002</v>
      </c>
      <c r="W32" s="48"/>
    </row>
    <row r="33" spans="1:23" ht="16.5" customHeight="1" x14ac:dyDescent="0.15">
      <c r="A33" s="41">
        <v>11</v>
      </c>
      <c r="B33" s="41">
        <v>1317</v>
      </c>
      <c r="C33" s="74" t="s">
        <v>1078</v>
      </c>
      <c r="D33" s="103"/>
      <c r="E33" s="99"/>
      <c r="F33" s="709"/>
      <c r="G33" s="718"/>
      <c r="H33" s="705" t="s">
        <v>400</v>
      </c>
      <c r="I33" s="49" t="s">
        <v>398</v>
      </c>
      <c r="J33" s="50">
        <v>0.7</v>
      </c>
      <c r="K33" s="44"/>
      <c r="L33" s="45"/>
      <c r="M33" s="46"/>
      <c r="N33" s="35"/>
      <c r="P33" s="57"/>
      <c r="S33" s="57"/>
      <c r="T33" s="35"/>
      <c r="V33" s="47">
        <f>ROUND((ROUND((_11_A身体０．５*_11・基礎１),0)*(1+_11・A深夜)),0)+ROUND((ROUND((_11_B身体０．５＿２．０*_11・基礎１),0)*(1+_11・B早朝)),0)</f>
        <v>703</v>
      </c>
      <c r="W33" s="48"/>
    </row>
    <row r="34" spans="1:23" ht="16.5" customHeight="1" x14ac:dyDescent="0.15">
      <c r="A34" s="41">
        <v>11</v>
      </c>
      <c r="B34" s="41">
        <v>1318</v>
      </c>
      <c r="C34" s="74" t="s">
        <v>1079</v>
      </c>
      <c r="D34" s="103"/>
      <c r="E34" s="99"/>
      <c r="F34" s="100">
        <f>_11_B身体０．５＿２．０</f>
        <v>495</v>
      </c>
      <c r="G34" s="99" t="s">
        <v>392</v>
      </c>
      <c r="H34" s="711"/>
      <c r="I34" s="37"/>
      <c r="J34" s="38"/>
      <c r="K34" s="44" t="s">
        <v>397</v>
      </c>
      <c r="L34" s="45" t="s">
        <v>398</v>
      </c>
      <c r="M34" s="46">
        <v>1</v>
      </c>
      <c r="N34" s="35"/>
      <c r="P34" s="57"/>
      <c r="S34" s="57"/>
      <c r="T34" s="43"/>
      <c r="U34" s="37"/>
      <c r="V34" s="47">
        <f>ROUND((ROUND((ROUND((_11_A身体０．５*_11・基礎１),0)*_11・２人),0)*(1+_11・A深夜)),0)+ROUND((ROUND((ROUND((_11_B身体０．５＿２．０*_11・基礎１),0)*_11・２人),0)*(1+_11・B早朝)),0)</f>
        <v>703</v>
      </c>
      <c r="W34" s="48"/>
    </row>
    <row r="35" spans="1:23" ht="16.5" customHeight="1" x14ac:dyDescent="0.15">
      <c r="A35" s="41">
        <v>11</v>
      </c>
      <c r="B35" s="41" t="s">
        <v>1080</v>
      </c>
      <c r="C35" s="74" t="s">
        <v>1081</v>
      </c>
      <c r="D35" s="103"/>
      <c r="E35" s="99"/>
      <c r="F35" s="102"/>
      <c r="G35" s="99"/>
      <c r="H35" s="53"/>
      <c r="I35" s="49"/>
      <c r="J35" s="50"/>
      <c r="K35" s="44"/>
      <c r="L35" s="45"/>
      <c r="M35" s="46"/>
      <c r="N35" s="35"/>
      <c r="P35" s="57"/>
      <c r="S35" s="57"/>
      <c r="T35" s="707" t="s">
        <v>404</v>
      </c>
      <c r="U35" s="708"/>
      <c r="V35" s="47">
        <f>ROUND((ROUND((_11_A身体０．５*(1+_11・A深夜)),0)*_11・初任),0)+ROUND((ROUND((_11_B身体０．５＿２．０*(1+_11・B早朝)),0)*_11・初任),0)</f>
        <v>701</v>
      </c>
      <c r="W35" s="48"/>
    </row>
    <row r="36" spans="1:23" ht="16.5" customHeight="1" x14ac:dyDescent="0.15">
      <c r="A36" s="41">
        <v>11</v>
      </c>
      <c r="B36" s="41" t="s">
        <v>1082</v>
      </c>
      <c r="C36" s="74" t="s">
        <v>1083</v>
      </c>
      <c r="D36" s="103"/>
      <c r="E36" s="99"/>
      <c r="F36" s="102"/>
      <c r="G36" s="99"/>
      <c r="H36" s="43"/>
      <c r="I36" s="37"/>
      <c r="J36" s="38"/>
      <c r="K36" s="44" t="s">
        <v>397</v>
      </c>
      <c r="L36" s="45" t="s">
        <v>398</v>
      </c>
      <c r="M36" s="46">
        <v>1</v>
      </c>
      <c r="N36" s="35"/>
      <c r="P36" s="57"/>
      <c r="S36" s="57"/>
      <c r="T36" s="709"/>
      <c r="U36" s="704"/>
      <c r="V36" s="47">
        <f>ROUND((ROUND((ROUND((_11_A身体０．５*_11・２人),0)*(1+_11・A深夜)),0)*_11・初任),0)+ROUND((ROUND((ROUND((_11_B身体０．５＿２．０*_11・２人),0)*(1+_11・B早朝)),0)*_11・初任),0)</f>
        <v>701</v>
      </c>
      <c r="W36" s="48"/>
    </row>
    <row r="37" spans="1:23" ht="16.5" customHeight="1" x14ac:dyDescent="0.15">
      <c r="A37" s="41">
        <v>11</v>
      </c>
      <c r="B37" s="41" t="s">
        <v>1084</v>
      </c>
      <c r="C37" s="74" t="s">
        <v>1085</v>
      </c>
      <c r="D37" s="103"/>
      <c r="E37" s="99"/>
      <c r="F37" s="104"/>
      <c r="G37" s="99"/>
      <c r="H37" s="705" t="s">
        <v>400</v>
      </c>
      <c r="I37" s="49" t="s">
        <v>398</v>
      </c>
      <c r="J37" s="50">
        <v>0.7</v>
      </c>
      <c r="K37" s="44"/>
      <c r="L37" s="45"/>
      <c r="M37" s="46"/>
      <c r="N37" s="35"/>
      <c r="P37" s="57"/>
      <c r="S37" s="57"/>
      <c r="T37" s="709"/>
      <c r="U37" s="704"/>
      <c r="V37" s="47">
        <f>ROUND((ROUND((ROUND((_11_A身体０．５*_11・基礎１),0)*(1+_11・A深夜)),0)*_11・初任),0)+ROUND((ROUND((ROUND((_11_B身体０．５＿２．０*_11・基礎１),0)*(1+_11・B早朝)),0)*_11・初任),0)</f>
        <v>492</v>
      </c>
      <c r="W37" s="48"/>
    </row>
    <row r="38" spans="1:23" ht="16.5" customHeight="1" x14ac:dyDescent="0.15">
      <c r="A38" s="41">
        <v>11</v>
      </c>
      <c r="B38" s="41" t="s">
        <v>1086</v>
      </c>
      <c r="C38" s="74" t="s">
        <v>1087</v>
      </c>
      <c r="D38" s="103"/>
      <c r="E38" s="99"/>
      <c r="F38" s="104"/>
      <c r="G38" s="99"/>
      <c r="H38" s="711"/>
      <c r="I38" s="37"/>
      <c r="J38" s="38"/>
      <c r="K38" s="44" t="s">
        <v>397</v>
      </c>
      <c r="L38" s="45" t="s">
        <v>398</v>
      </c>
      <c r="M38" s="46">
        <v>1</v>
      </c>
      <c r="N38" s="35"/>
      <c r="P38" s="57"/>
      <c r="S38" s="57"/>
      <c r="T38" s="55" t="s">
        <v>398</v>
      </c>
      <c r="U38" s="38">
        <f>_11・初任</f>
        <v>0.7</v>
      </c>
      <c r="V38" s="47">
        <f>ROUND((ROUND((ROUND((ROUND((_11_A身体０．５*_11・基礎１),0)*_11・２人),0)*(1+_11・A深夜)),0)*_11・初任),0)+ROUND((ROUND((ROUND((ROUND((_11_B身体０．５＿２．０*_11・基礎１),0)*_11・２人),0)*(1+_11・B早朝)),0)*_11・初任),0)</f>
        <v>492</v>
      </c>
      <c r="W38" s="48"/>
    </row>
    <row r="39" spans="1:23" ht="16.5" customHeight="1" x14ac:dyDescent="0.15">
      <c r="A39" s="41">
        <v>11</v>
      </c>
      <c r="B39" s="41">
        <v>1319</v>
      </c>
      <c r="C39" s="74" t="s">
        <v>1088</v>
      </c>
      <c r="D39" s="54"/>
      <c r="E39" s="106"/>
      <c r="F39" s="707" t="s">
        <v>1089</v>
      </c>
      <c r="G39" s="717"/>
      <c r="H39" s="53"/>
      <c r="I39" s="49"/>
      <c r="J39" s="50"/>
      <c r="K39" s="44"/>
      <c r="L39" s="45"/>
      <c r="M39" s="46"/>
      <c r="N39" s="35"/>
      <c r="P39" s="57"/>
      <c r="S39" s="57"/>
      <c r="T39" s="53"/>
      <c r="U39" s="49"/>
      <c r="V39" s="47">
        <f>ROUND((_11_A身体０．５*(1+_11・A深夜)),0)+ROUND((_11_B身体０．５＿２．５*(1+_11・B早朝)),0)</f>
        <v>1106</v>
      </c>
      <c r="W39" s="48"/>
    </row>
    <row r="40" spans="1:23" ht="16.5" customHeight="1" x14ac:dyDescent="0.15">
      <c r="A40" s="41">
        <v>11</v>
      </c>
      <c r="B40" s="41">
        <v>1320</v>
      </c>
      <c r="C40" s="74" t="s">
        <v>1090</v>
      </c>
      <c r="D40" s="54"/>
      <c r="E40" s="106"/>
      <c r="F40" s="709"/>
      <c r="G40" s="718"/>
      <c r="H40" s="43"/>
      <c r="I40" s="37"/>
      <c r="J40" s="38"/>
      <c r="K40" s="44" t="s">
        <v>397</v>
      </c>
      <c r="L40" s="45" t="s">
        <v>398</v>
      </c>
      <c r="M40" s="46">
        <v>1</v>
      </c>
      <c r="N40" s="35"/>
      <c r="P40" s="57"/>
      <c r="S40" s="57"/>
      <c r="T40" s="35"/>
      <c r="V40" s="47">
        <f>ROUND((ROUND((_11_A身体０．５*_11・２人),0)*(1+_11・A深夜)),0)+ROUND((ROUND((_11_B身体０．５＿２．５*_11・２人),0)*(1+_11・B早朝)),0)</f>
        <v>1106</v>
      </c>
      <c r="W40" s="48"/>
    </row>
    <row r="41" spans="1:23" ht="16.5" customHeight="1" x14ac:dyDescent="0.15">
      <c r="A41" s="41">
        <v>11</v>
      </c>
      <c r="B41" s="41">
        <v>1321</v>
      </c>
      <c r="C41" s="74" t="s">
        <v>1091</v>
      </c>
      <c r="D41" s="54"/>
      <c r="E41" s="106"/>
      <c r="F41" s="709"/>
      <c r="G41" s="718"/>
      <c r="H41" s="705" t="s">
        <v>400</v>
      </c>
      <c r="I41" s="49" t="s">
        <v>398</v>
      </c>
      <c r="J41" s="50">
        <v>0.7</v>
      </c>
      <c r="K41" s="44"/>
      <c r="L41" s="45"/>
      <c r="M41" s="46"/>
      <c r="N41" s="35"/>
      <c r="P41" s="57"/>
      <c r="S41" s="57"/>
      <c r="T41" s="35"/>
      <c r="V41" s="47">
        <f>ROUND((ROUND((_11_A身体０．５*_11・基礎１),0)*(1+_11・A深夜)),0)+ROUND((ROUND((_11_B身体０．５＿２．５*_11・基礎１),0)*(1+_11・B早朝)),0)</f>
        <v>775</v>
      </c>
      <c r="W41" s="48"/>
    </row>
    <row r="42" spans="1:23" ht="16.5" customHeight="1" x14ac:dyDescent="0.15">
      <c r="A42" s="41">
        <v>11</v>
      </c>
      <c r="B42" s="41">
        <v>1322</v>
      </c>
      <c r="C42" s="74" t="s">
        <v>1092</v>
      </c>
      <c r="D42" s="107"/>
      <c r="E42" s="108"/>
      <c r="F42" s="100">
        <f>_11_B身体０．５＿２．５</f>
        <v>578</v>
      </c>
      <c r="G42" s="99" t="s">
        <v>392</v>
      </c>
      <c r="H42" s="711"/>
      <c r="I42" s="37"/>
      <c r="J42" s="38"/>
      <c r="K42" s="44" t="s">
        <v>397</v>
      </c>
      <c r="L42" s="45" t="s">
        <v>398</v>
      </c>
      <c r="M42" s="46">
        <v>1</v>
      </c>
      <c r="N42" s="35"/>
      <c r="P42" s="57"/>
      <c r="S42" s="57"/>
      <c r="T42" s="43"/>
      <c r="U42" s="37"/>
      <c r="V42" s="47">
        <f>ROUND((ROUND((ROUND((_11_A身体０．５*_11・基礎１),0)*_11・２人),0)*(1+_11・A深夜)),0)+ROUND((ROUND((ROUND((_11_B身体０．５＿２．５*_11・基礎１),0)*_11・２人),0)*(1+_11・B早朝)),0)</f>
        <v>775</v>
      </c>
      <c r="W42" s="48"/>
    </row>
    <row r="43" spans="1:23" ht="16.5" customHeight="1" x14ac:dyDescent="0.15">
      <c r="A43" s="41">
        <v>11</v>
      </c>
      <c r="B43" s="41" t="s">
        <v>1093</v>
      </c>
      <c r="C43" s="74" t="s">
        <v>1094</v>
      </c>
      <c r="D43" s="109"/>
      <c r="E43" s="108"/>
      <c r="F43" s="102"/>
      <c r="G43" s="99"/>
      <c r="H43" s="53"/>
      <c r="I43" s="49"/>
      <c r="J43" s="50"/>
      <c r="K43" s="44"/>
      <c r="L43" s="45"/>
      <c r="M43" s="46"/>
      <c r="N43" s="35"/>
      <c r="P43" s="57"/>
      <c r="S43" s="57"/>
      <c r="T43" s="707" t="s">
        <v>404</v>
      </c>
      <c r="U43" s="708"/>
      <c r="V43" s="47">
        <f>ROUND((ROUND((_11_A身体０．５*(1+_11・A深夜)),0)*_11・初任),0)+ROUND((ROUND((_11_B身体０．５＿２．５*(1+_11・B早朝)),0)*_11・初任),0)</f>
        <v>774</v>
      </c>
      <c r="W43" s="48"/>
    </row>
    <row r="44" spans="1:23" ht="16.5" customHeight="1" x14ac:dyDescent="0.15">
      <c r="A44" s="41">
        <v>11</v>
      </c>
      <c r="B44" s="41" t="s">
        <v>1095</v>
      </c>
      <c r="C44" s="74" t="s">
        <v>1096</v>
      </c>
      <c r="D44" s="103"/>
      <c r="E44" s="99"/>
      <c r="F44" s="102"/>
      <c r="G44" s="99"/>
      <c r="H44" s="43"/>
      <c r="I44" s="37"/>
      <c r="J44" s="38"/>
      <c r="K44" s="44" t="s">
        <v>397</v>
      </c>
      <c r="L44" s="45" t="s">
        <v>398</v>
      </c>
      <c r="M44" s="46">
        <v>1</v>
      </c>
      <c r="N44" s="35"/>
      <c r="P44" s="57"/>
      <c r="S44" s="57"/>
      <c r="T44" s="709"/>
      <c r="U44" s="704"/>
      <c r="V44" s="47">
        <f>ROUND((ROUND((ROUND((_11_A身体０．５*_11・２人),0)*(1+_11・A深夜)),0)*_11・初任),0)+ROUND((ROUND((ROUND((_11_B身体０．５＿２．５*_11・２人),0)*(1+_11・B早朝)),0)*_11・初任),0)</f>
        <v>774</v>
      </c>
      <c r="W44" s="48"/>
    </row>
    <row r="45" spans="1:23" ht="16.5" customHeight="1" x14ac:dyDescent="0.15">
      <c r="A45" s="41">
        <v>11</v>
      </c>
      <c r="B45" s="41" t="s">
        <v>1097</v>
      </c>
      <c r="C45" s="74" t="s">
        <v>1098</v>
      </c>
      <c r="D45" s="103"/>
      <c r="E45" s="99"/>
      <c r="F45" s="104"/>
      <c r="G45" s="99"/>
      <c r="H45" s="705" t="s">
        <v>400</v>
      </c>
      <c r="I45" s="49" t="s">
        <v>398</v>
      </c>
      <c r="J45" s="50">
        <v>0.7</v>
      </c>
      <c r="K45" s="44"/>
      <c r="L45" s="45"/>
      <c r="M45" s="46"/>
      <c r="N45" s="35"/>
      <c r="P45" s="57"/>
      <c r="S45" s="57"/>
      <c r="T45" s="709"/>
      <c r="U45" s="704"/>
      <c r="V45" s="47">
        <f>ROUND((ROUND((ROUND((_11_A身体０．５*_11・基礎１),0)*(1+_11・A深夜)),0)*_11・初任),0)+ROUND((ROUND((ROUND((_11_B身体０．５＿２．５*_11・基礎１),0)*(1+_11・B早朝)),0)*_11・初任),0)</f>
        <v>542</v>
      </c>
      <c r="W45" s="48"/>
    </row>
    <row r="46" spans="1:23" ht="16.5" customHeight="1" x14ac:dyDescent="0.15">
      <c r="A46" s="41">
        <v>11</v>
      </c>
      <c r="B46" s="41" t="s">
        <v>1099</v>
      </c>
      <c r="C46" s="74" t="s">
        <v>1100</v>
      </c>
      <c r="D46" s="103"/>
      <c r="E46" s="99"/>
      <c r="F46" s="104"/>
      <c r="G46" s="99"/>
      <c r="H46" s="711"/>
      <c r="I46" s="37"/>
      <c r="J46" s="38"/>
      <c r="K46" s="44" t="s">
        <v>397</v>
      </c>
      <c r="L46" s="45" t="s">
        <v>398</v>
      </c>
      <c r="M46" s="46">
        <v>1</v>
      </c>
      <c r="N46" s="35"/>
      <c r="P46" s="57"/>
      <c r="S46" s="57"/>
      <c r="T46" s="55" t="s">
        <v>398</v>
      </c>
      <c r="U46" s="38">
        <f>_11・初任</f>
        <v>0.7</v>
      </c>
      <c r="V46" s="47">
        <f>ROUND((ROUND((ROUND((ROUND((_11_A身体０．５*_11・基礎１),0)*_11・２人),0)*(1+_11・A深夜)),0)*_11・初任),0)+ROUND((ROUND((ROUND((ROUND((_11_B身体０．５＿２．５*_11・基礎１),0)*_11・２人),0)*(1+_11・B早朝)),0)*_11・初任),0)</f>
        <v>542</v>
      </c>
      <c r="W46" s="48"/>
    </row>
    <row r="47" spans="1:23" ht="16.5" customHeight="1" x14ac:dyDescent="0.15">
      <c r="A47" s="41">
        <v>11</v>
      </c>
      <c r="B47" s="41">
        <v>1323</v>
      </c>
      <c r="C47" s="74" t="s">
        <v>1101</v>
      </c>
      <c r="D47" s="712" t="s">
        <v>876</v>
      </c>
      <c r="E47" s="717"/>
      <c r="F47" s="707" t="s">
        <v>1035</v>
      </c>
      <c r="G47" s="717"/>
      <c r="H47" s="53"/>
      <c r="I47" s="49"/>
      <c r="J47" s="50"/>
      <c r="K47" s="44"/>
      <c r="L47" s="45"/>
      <c r="M47" s="46"/>
      <c r="N47" s="35"/>
      <c r="P47" s="57"/>
      <c r="S47" s="57"/>
      <c r="T47" s="53"/>
      <c r="U47" s="49"/>
      <c r="V47" s="47">
        <f>ROUND((_11_A身体１．０*(1+_11・A深夜)),0)+ROUND((_11_B身体１．０＿０．５*(1+_11・B早朝)),0)</f>
        <v>831</v>
      </c>
      <c r="W47" s="48"/>
    </row>
    <row r="48" spans="1:23" ht="16.5" customHeight="1" x14ac:dyDescent="0.15">
      <c r="A48" s="41">
        <v>11</v>
      </c>
      <c r="B48" s="41">
        <v>1324</v>
      </c>
      <c r="C48" s="74" t="s">
        <v>1102</v>
      </c>
      <c r="D48" s="703"/>
      <c r="E48" s="718"/>
      <c r="F48" s="709"/>
      <c r="G48" s="718"/>
      <c r="H48" s="43"/>
      <c r="I48" s="37"/>
      <c r="J48" s="38"/>
      <c r="K48" s="44" t="s">
        <v>397</v>
      </c>
      <c r="L48" s="45" t="s">
        <v>398</v>
      </c>
      <c r="M48" s="46">
        <v>1</v>
      </c>
      <c r="N48" s="35"/>
      <c r="P48" s="57"/>
      <c r="S48" s="57"/>
      <c r="T48" s="35"/>
      <c r="V48" s="47">
        <f>ROUND((ROUND((_11_A身体１．０*_11・２人),0)*(1+_11・A深夜)),0)+ROUND((ROUND((_11_B身体１．０＿０．５*_11・２人),0)*(1+_11・B早朝)),0)</f>
        <v>831</v>
      </c>
      <c r="W48" s="48"/>
    </row>
    <row r="49" spans="1:23" ht="16.5" customHeight="1" x14ac:dyDescent="0.15">
      <c r="A49" s="41">
        <v>11</v>
      </c>
      <c r="B49" s="41">
        <v>1325</v>
      </c>
      <c r="C49" s="74" t="s">
        <v>1103</v>
      </c>
      <c r="D49" s="703"/>
      <c r="E49" s="718"/>
      <c r="F49" s="709"/>
      <c r="G49" s="718"/>
      <c r="H49" s="705" t="s">
        <v>400</v>
      </c>
      <c r="I49" s="49" t="s">
        <v>398</v>
      </c>
      <c r="J49" s="50">
        <v>0.7</v>
      </c>
      <c r="K49" s="44"/>
      <c r="L49" s="45"/>
      <c r="M49" s="46"/>
      <c r="N49" s="35"/>
      <c r="P49" s="57"/>
      <c r="S49" s="57"/>
      <c r="T49" s="35"/>
      <c r="V49" s="47">
        <f>ROUND((ROUND((_11_A身体１．０*_11・基礎１),0)*(1+_11・A深夜)),0)+ROUND((ROUND((_11_B身体１．０＿０．５*_11・基礎１),0)*(1+_11・B早朝)),0)</f>
        <v>581</v>
      </c>
      <c r="W49" s="48"/>
    </row>
    <row r="50" spans="1:23" ht="16.5" customHeight="1" x14ac:dyDescent="0.15">
      <c r="A50" s="41">
        <v>11</v>
      </c>
      <c r="B50" s="41">
        <v>1326</v>
      </c>
      <c r="C50" s="74" t="s">
        <v>1104</v>
      </c>
      <c r="D50" s="98">
        <f>_11_A身体１．０</f>
        <v>402</v>
      </c>
      <c r="E50" s="99" t="s">
        <v>392</v>
      </c>
      <c r="F50" s="100">
        <f>_11_B身体１．０＿０．５</f>
        <v>182</v>
      </c>
      <c r="G50" s="99" t="s">
        <v>392</v>
      </c>
      <c r="H50" s="711"/>
      <c r="I50" s="37"/>
      <c r="J50" s="38"/>
      <c r="K50" s="44" t="s">
        <v>397</v>
      </c>
      <c r="L50" s="45" t="s">
        <v>398</v>
      </c>
      <c r="M50" s="46">
        <v>1</v>
      </c>
      <c r="N50" s="35"/>
      <c r="P50" s="57"/>
      <c r="S50" s="57"/>
      <c r="T50" s="43"/>
      <c r="U50" s="37"/>
      <c r="V50" s="47">
        <f>ROUND((ROUND((ROUND((_11_A身体１．０*_11・基礎１),0)*_11・２人),0)*(1+_11・A深夜)),0)+ROUND((ROUND((ROUND((_11_B身体１．０＿０．５*_11・基礎１),0)*_11・２人),0)*(1+_11・B早朝)),0)</f>
        <v>581</v>
      </c>
      <c r="W50" s="48"/>
    </row>
    <row r="51" spans="1:23" ht="16.5" customHeight="1" x14ac:dyDescent="0.15">
      <c r="A51" s="41">
        <v>11</v>
      </c>
      <c r="B51" s="41" t="s">
        <v>1105</v>
      </c>
      <c r="C51" s="74" t="s">
        <v>1106</v>
      </c>
      <c r="D51" s="101"/>
      <c r="E51" s="99"/>
      <c r="F51" s="102"/>
      <c r="G51" s="99"/>
      <c r="H51" s="53"/>
      <c r="I51" s="49"/>
      <c r="J51" s="50"/>
      <c r="K51" s="44"/>
      <c r="L51" s="45"/>
      <c r="M51" s="46"/>
      <c r="N51" s="35"/>
      <c r="P51" s="57"/>
      <c r="S51" s="57"/>
      <c r="T51" s="707" t="s">
        <v>404</v>
      </c>
      <c r="U51" s="708"/>
      <c r="V51" s="47">
        <f>ROUND((ROUND((_11_A身体１．０*(1+_11・A深夜)),0)*_11・初任),0)+ROUND((ROUND((_11_B身体１．０＿０．５*(1+_11・B早朝)),0)*_11・初任),0)</f>
        <v>582</v>
      </c>
      <c r="W51" s="48"/>
    </row>
    <row r="52" spans="1:23" ht="16.5" customHeight="1" x14ac:dyDescent="0.15">
      <c r="A52" s="41">
        <v>11</v>
      </c>
      <c r="B52" s="41" t="s">
        <v>1107</v>
      </c>
      <c r="C52" s="74" t="s">
        <v>1108</v>
      </c>
      <c r="D52" s="101"/>
      <c r="E52" s="99"/>
      <c r="F52" s="102"/>
      <c r="G52" s="99"/>
      <c r="H52" s="43"/>
      <c r="I52" s="37"/>
      <c r="J52" s="38"/>
      <c r="K52" s="44" t="s">
        <v>397</v>
      </c>
      <c r="L52" s="45" t="s">
        <v>398</v>
      </c>
      <c r="M52" s="46">
        <v>1</v>
      </c>
      <c r="N52" s="35"/>
      <c r="P52" s="57"/>
      <c r="S52" s="57"/>
      <c r="T52" s="709"/>
      <c r="U52" s="704"/>
      <c r="V52" s="47">
        <f>ROUND((ROUND((ROUND((_11_A身体１．０*_11・２人),0)*(1+_11・A深夜)),0)*_11・初任),0)+ROUND((ROUND((ROUND((_11_B身体１．０＿０．５*_11・２人),0)*(1+_11・B早朝)),0)*_11・初任),0)</f>
        <v>582</v>
      </c>
      <c r="W52" s="48"/>
    </row>
    <row r="53" spans="1:23" ht="16.5" customHeight="1" x14ac:dyDescent="0.15">
      <c r="A53" s="41">
        <v>11</v>
      </c>
      <c r="B53" s="41" t="s">
        <v>1109</v>
      </c>
      <c r="C53" s="74" t="s">
        <v>1110</v>
      </c>
      <c r="D53" s="103"/>
      <c r="E53" s="99"/>
      <c r="F53" s="104"/>
      <c r="G53" s="99"/>
      <c r="H53" s="705" t="s">
        <v>400</v>
      </c>
      <c r="I53" s="49" t="s">
        <v>398</v>
      </c>
      <c r="J53" s="50">
        <v>0.7</v>
      </c>
      <c r="K53" s="44"/>
      <c r="L53" s="45"/>
      <c r="M53" s="46"/>
      <c r="N53" s="35"/>
      <c r="P53" s="57"/>
      <c r="S53" s="57"/>
      <c r="T53" s="709"/>
      <c r="U53" s="704"/>
      <c r="V53" s="47">
        <f>ROUND((ROUND((ROUND((_11_A身体１．０*_11・基礎１),0)*(1+_11・A深夜)),0)*_11・初任),0)+ROUND((ROUND((ROUND((_11_B身体１．０＿０．５*_11・基礎１),0)*(1+_11・B早朝)),0)*_11・初任),0)</f>
        <v>406</v>
      </c>
      <c r="W53" s="48"/>
    </row>
    <row r="54" spans="1:23" ht="16.5" customHeight="1" x14ac:dyDescent="0.15">
      <c r="A54" s="41">
        <v>11</v>
      </c>
      <c r="B54" s="41" t="s">
        <v>1111</v>
      </c>
      <c r="C54" s="74" t="s">
        <v>1112</v>
      </c>
      <c r="D54" s="103"/>
      <c r="E54" s="99"/>
      <c r="F54" s="104"/>
      <c r="G54" s="99"/>
      <c r="H54" s="711"/>
      <c r="I54" s="37"/>
      <c r="J54" s="38"/>
      <c r="K54" s="44" t="s">
        <v>397</v>
      </c>
      <c r="L54" s="45" t="s">
        <v>398</v>
      </c>
      <c r="M54" s="46">
        <v>1</v>
      </c>
      <c r="N54" s="35"/>
      <c r="P54" s="57"/>
      <c r="S54" s="57"/>
      <c r="T54" s="55" t="s">
        <v>398</v>
      </c>
      <c r="U54" s="38">
        <f>_11・初任</f>
        <v>0.7</v>
      </c>
      <c r="V54" s="47">
        <f>ROUND((ROUND((ROUND((ROUND((_11_A身体１．０*_11・基礎１),0)*_11・２人),0)*(1+_11・A深夜)),0)*_11・初任),0)+ROUND((ROUND((ROUND((ROUND((_11_B身体１．０＿０．５*_11・基礎１),0)*_11・２人),0)*(1+_11・B早朝)),0)*_11・初任),0)</f>
        <v>406</v>
      </c>
      <c r="W54" s="48"/>
    </row>
    <row r="55" spans="1:23" ht="16.5" customHeight="1" x14ac:dyDescent="0.15">
      <c r="A55" s="41">
        <v>11</v>
      </c>
      <c r="B55" s="41">
        <v>1327</v>
      </c>
      <c r="C55" s="74" t="s">
        <v>1113</v>
      </c>
      <c r="D55" s="103"/>
      <c r="E55" s="99"/>
      <c r="F55" s="707" t="s">
        <v>1114</v>
      </c>
      <c r="G55" s="717"/>
      <c r="H55" s="53"/>
      <c r="I55" s="49"/>
      <c r="J55" s="50"/>
      <c r="K55" s="44"/>
      <c r="L55" s="45"/>
      <c r="M55" s="46"/>
      <c r="N55" s="35"/>
      <c r="P55" s="57"/>
      <c r="S55" s="57"/>
      <c r="T55" s="53"/>
      <c r="U55" s="49"/>
      <c r="V55" s="47">
        <f>ROUND((_11_A身体１．０*(1+_11・A深夜)),0)+ROUND((_11_B身体１．０＿１．０*(1+_11・B早朝)),0)</f>
        <v>933</v>
      </c>
      <c r="W55" s="48"/>
    </row>
    <row r="56" spans="1:23" ht="16.5" customHeight="1" x14ac:dyDescent="0.15">
      <c r="A56" s="41">
        <v>11</v>
      </c>
      <c r="B56" s="41">
        <v>1328</v>
      </c>
      <c r="C56" s="74" t="s">
        <v>1115</v>
      </c>
      <c r="D56" s="103"/>
      <c r="E56" s="99"/>
      <c r="F56" s="709"/>
      <c r="G56" s="718"/>
      <c r="H56" s="43"/>
      <c r="I56" s="37"/>
      <c r="J56" s="38"/>
      <c r="K56" s="44" t="s">
        <v>397</v>
      </c>
      <c r="L56" s="45" t="s">
        <v>398</v>
      </c>
      <c r="M56" s="46">
        <v>1</v>
      </c>
      <c r="N56" s="35"/>
      <c r="P56" s="57"/>
      <c r="S56" s="57"/>
      <c r="T56" s="35"/>
      <c r="V56" s="47">
        <f>ROUND((ROUND((_11_A身体１．０*_11・２人),0)*(1+_11・A深夜)),0)+ROUND((ROUND((_11_B身体１．０＿１．０*_11・２人),0)*(1+_11・B早朝)),0)</f>
        <v>933</v>
      </c>
      <c r="W56" s="48"/>
    </row>
    <row r="57" spans="1:23" ht="16.5" customHeight="1" x14ac:dyDescent="0.15">
      <c r="A57" s="41">
        <v>11</v>
      </c>
      <c r="B57" s="41">
        <v>1329</v>
      </c>
      <c r="C57" s="74" t="s">
        <v>1116</v>
      </c>
      <c r="D57" s="103"/>
      <c r="E57" s="99"/>
      <c r="F57" s="709"/>
      <c r="G57" s="718"/>
      <c r="H57" s="705" t="s">
        <v>400</v>
      </c>
      <c r="I57" s="49" t="s">
        <v>398</v>
      </c>
      <c r="J57" s="50">
        <v>0.7</v>
      </c>
      <c r="K57" s="44"/>
      <c r="L57" s="45"/>
      <c r="M57" s="46"/>
      <c r="N57" s="35"/>
      <c r="P57" s="57"/>
      <c r="S57" s="57"/>
      <c r="T57" s="35"/>
      <c r="V57" s="47">
        <f>ROUND((ROUND((_11_A身体１．０*_11・基礎１),0)*(1+_11・A深夜)),0)+ROUND((ROUND((_11_B身体１．０＿１．０*_11・基礎１),0)*(1+_11・B早朝)),0)</f>
        <v>653</v>
      </c>
      <c r="W57" s="48"/>
    </row>
    <row r="58" spans="1:23" ht="16.5" customHeight="1" x14ac:dyDescent="0.15">
      <c r="A58" s="41">
        <v>11</v>
      </c>
      <c r="B58" s="41">
        <v>1330</v>
      </c>
      <c r="C58" s="74" t="s">
        <v>1117</v>
      </c>
      <c r="D58" s="103"/>
      <c r="E58" s="99"/>
      <c r="F58" s="100">
        <f>_11_B身体１．０＿１．０</f>
        <v>264</v>
      </c>
      <c r="G58" s="99" t="s">
        <v>392</v>
      </c>
      <c r="H58" s="711"/>
      <c r="I58" s="37"/>
      <c r="J58" s="38"/>
      <c r="K58" s="44" t="s">
        <v>397</v>
      </c>
      <c r="L58" s="45" t="s">
        <v>398</v>
      </c>
      <c r="M58" s="46">
        <v>1</v>
      </c>
      <c r="N58" s="35"/>
      <c r="P58" s="57"/>
      <c r="S58" s="57"/>
      <c r="T58" s="43"/>
      <c r="U58" s="37"/>
      <c r="V58" s="47">
        <f>ROUND((ROUND((ROUND((_11_A身体１．０*_11・基礎１),0)*_11・２人),0)*(1+_11・A深夜)),0)+ROUND((ROUND((ROUND((_11_B身体１．０＿１．０*_11・基礎１),0)*_11・２人),0)*(1+_11・B早朝)),0)</f>
        <v>653</v>
      </c>
      <c r="W58" s="48"/>
    </row>
    <row r="59" spans="1:23" ht="16.5" customHeight="1" x14ac:dyDescent="0.15">
      <c r="A59" s="41">
        <v>11</v>
      </c>
      <c r="B59" s="41" t="s">
        <v>1118</v>
      </c>
      <c r="C59" s="74" t="s">
        <v>1119</v>
      </c>
      <c r="D59" s="103"/>
      <c r="E59" s="99"/>
      <c r="F59" s="102"/>
      <c r="G59" s="99"/>
      <c r="H59" s="53"/>
      <c r="I59" s="49"/>
      <c r="J59" s="50"/>
      <c r="K59" s="44"/>
      <c r="L59" s="45"/>
      <c r="M59" s="46"/>
      <c r="N59" s="35"/>
      <c r="P59" s="57"/>
      <c r="S59" s="57"/>
      <c r="T59" s="707" t="s">
        <v>404</v>
      </c>
      <c r="U59" s="708"/>
      <c r="V59" s="47">
        <f>ROUND((ROUND((_11_A身体１．０*(1+_11・A深夜)),0)*_11・初任),0)+ROUND((ROUND((_11_B身体１．０＿１．０*(1+_11・B早朝)),0)*_11・初任),0)</f>
        <v>653</v>
      </c>
      <c r="W59" s="48"/>
    </row>
    <row r="60" spans="1:23" ht="16.5" customHeight="1" x14ac:dyDescent="0.15">
      <c r="A60" s="41">
        <v>11</v>
      </c>
      <c r="B60" s="41" t="s">
        <v>1120</v>
      </c>
      <c r="C60" s="74" t="s">
        <v>1121</v>
      </c>
      <c r="D60" s="103"/>
      <c r="E60" s="99"/>
      <c r="F60" s="102"/>
      <c r="G60" s="99"/>
      <c r="H60" s="43"/>
      <c r="I60" s="37"/>
      <c r="J60" s="38"/>
      <c r="K60" s="44" t="s">
        <v>397</v>
      </c>
      <c r="L60" s="45" t="s">
        <v>398</v>
      </c>
      <c r="M60" s="46">
        <v>1</v>
      </c>
      <c r="N60" s="35"/>
      <c r="P60" s="57"/>
      <c r="S60" s="57"/>
      <c r="T60" s="709"/>
      <c r="U60" s="704"/>
      <c r="V60" s="47">
        <f>ROUND((ROUND((ROUND((_11_A身体１．０*_11・２人),0)*(1+_11・A深夜)),0)*_11・初任),0)+ROUND((ROUND((ROUND((_11_B身体１．０＿１．０*_11・２人),0)*(1+_11・B早朝)),0)*_11・初任),0)</f>
        <v>653</v>
      </c>
      <c r="W60" s="48"/>
    </row>
    <row r="61" spans="1:23" ht="16.5" customHeight="1" x14ac:dyDescent="0.15">
      <c r="A61" s="41">
        <v>11</v>
      </c>
      <c r="B61" s="41" t="s">
        <v>1122</v>
      </c>
      <c r="C61" s="74" t="s">
        <v>1123</v>
      </c>
      <c r="D61" s="103"/>
      <c r="E61" s="99"/>
      <c r="F61" s="104"/>
      <c r="G61" s="99"/>
      <c r="H61" s="705" t="s">
        <v>400</v>
      </c>
      <c r="I61" s="49" t="s">
        <v>398</v>
      </c>
      <c r="J61" s="50">
        <v>0.7</v>
      </c>
      <c r="K61" s="44"/>
      <c r="L61" s="45"/>
      <c r="M61" s="46"/>
      <c r="N61" s="35"/>
      <c r="P61" s="57"/>
      <c r="S61" s="57"/>
      <c r="T61" s="709"/>
      <c r="U61" s="704"/>
      <c r="V61" s="47">
        <f>ROUND((ROUND((ROUND((_11_A身体１．０*_11・基礎１),0)*(1+_11・A深夜)),0)*_11・初任),0)+ROUND((ROUND((ROUND((_11_B身体１．０＿１．０*_11・基礎１),0)*(1+_11・B早朝)),0)*_11・初任),0)</f>
        <v>457</v>
      </c>
      <c r="W61" s="48"/>
    </row>
    <row r="62" spans="1:23" ht="16.5" customHeight="1" x14ac:dyDescent="0.15">
      <c r="A62" s="41">
        <v>11</v>
      </c>
      <c r="B62" s="41" t="s">
        <v>1124</v>
      </c>
      <c r="C62" s="74" t="s">
        <v>1125</v>
      </c>
      <c r="D62" s="103"/>
      <c r="E62" s="99"/>
      <c r="F62" s="104"/>
      <c r="G62" s="99"/>
      <c r="H62" s="711"/>
      <c r="I62" s="37"/>
      <c r="J62" s="38"/>
      <c r="K62" s="44" t="s">
        <v>397</v>
      </c>
      <c r="L62" s="45" t="s">
        <v>398</v>
      </c>
      <c r="M62" s="46">
        <v>1</v>
      </c>
      <c r="N62" s="35"/>
      <c r="P62" s="57"/>
      <c r="S62" s="57"/>
      <c r="T62" s="55" t="s">
        <v>398</v>
      </c>
      <c r="U62" s="38">
        <f>_11・初任</f>
        <v>0.7</v>
      </c>
      <c r="V62" s="47">
        <f>ROUND((ROUND((ROUND((ROUND((_11_A身体１．０*_11・基礎１),0)*_11・２人),0)*(1+_11・A深夜)),0)*_11・初任),0)+ROUND((ROUND((ROUND((ROUND((_11_B身体１．０＿１．０*_11・基礎１),0)*_11・２人),0)*(1+_11・B早朝)),0)*_11・初任),0)</f>
        <v>457</v>
      </c>
      <c r="W62" s="48"/>
    </row>
    <row r="63" spans="1:23" ht="16.5" customHeight="1" x14ac:dyDescent="0.15">
      <c r="A63" s="41">
        <v>11</v>
      </c>
      <c r="B63" s="41">
        <v>1331</v>
      </c>
      <c r="C63" s="74" t="s">
        <v>1126</v>
      </c>
      <c r="D63" s="103"/>
      <c r="E63" s="99"/>
      <c r="F63" s="707" t="s">
        <v>1063</v>
      </c>
      <c r="G63" s="717"/>
      <c r="H63" s="53"/>
      <c r="I63" s="49"/>
      <c r="J63" s="50"/>
      <c r="K63" s="44"/>
      <c r="L63" s="45"/>
      <c r="M63" s="46"/>
      <c r="N63" s="35"/>
      <c r="P63" s="57"/>
      <c r="S63" s="57"/>
      <c r="T63" s="53"/>
      <c r="U63" s="49"/>
      <c r="V63" s="47">
        <f>ROUND((_11_A身体１．０*(1+_11・A深夜)),0)+ROUND((_11_B身体１．０＿１．５*(1+_11・B早朝)),0)</f>
        <v>1038</v>
      </c>
      <c r="W63" s="48"/>
    </row>
    <row r="64" spans="1:23" ht="16.5" customHeight="1" x14ac:dyDescent="0.15">
      <c r="A64" s="41">
        <v>11</v>
      </c>
      <c r="B64" s="41">
        <v>1332</v>
      </c>
      <c r="C64" s="74" t="s">
        <v>1127</v>
      </c>
      <c r="D64" s="103"/>
      <c r="E64" s="99"/>
      <c r="F64" s="709"/>
      <c r="G64" s="718"/>
      <c r="H64" s="43"/>
      <c r="I64" s="37"/>
      <c r="J64" s="38"/>
      <c r="K64" s="44" t="s">
        <v>397</v>
      </c>
      <c r="L64" s="45" t="s">
        <v>398</v>
      </c>
      <c r="M64" s="46">
        <v>1</v>
      </c>
      <c r="N64" s="35"/>
      <c r="P64" s="57"/>
      <c r="S64" s="57"/>
      <c r="T64" s="35"/>
      <c r="V64" s="47">
        <f>ROUND((ROUND((_11_A身体１．０*_11・２人),0)*(1+_11・A深夜)),0)+ROUND((ROUND((_11_B身体１．０＿１．５*_11・２人),0)*(1+_11・B早朝)),0)</f>
        <v>1038</v>
      </c>
      <c r="W64" s="48"/>
    </row>
    <row r="65" spans="1:23" ht="16.5" customHeight="1" x14ac:dyDescent="0.15">
      <c r="A65" s="41">
        <v>11</v>
      </c>
      <c r="B65" s="41">
        <v>1333</v>
      </c>
      <c r="C65" s="74" t="s">
        <v>1128</v>
      </c>
      <c r="D65" s="103"/>
      <c r="E65" s="99"/>
      <c r="F65" s="709"/>
      <c r="G65" s="718"/>
      <c r="H65" s="705" t="s">
        <v>400</v>
      </c>
      <c r="I65" s="49" t="s">
        <v>398</v>
      </c>
      <c r="J65" s="50">
        <v>0.7</v>
      </c>
      <c r="K65" s="44"/>
      <c r="L65" s="45"/>
      <c r="M65" s="46"/>
      <c r="N65" s="35"/>
      <c r="P65" s="57"/>
      <c r="S65" s="57"/>
      <c r="T65" s="35"/>
      <c r="V65" s="47">
        <f>ROUND((ROUND((_11_A身体１．０*_11・基礎１),0)*(1+_11・A深夜)),0)+ROUND((ROUND((_11_B身体１．０＿１．５*_11・基礎１),0)*(1+_11・B早朝)),0)</f>
        <v>727</v>
      </c>
      <c r="W65" s="48"/>
    </row>
    <row r="66" spans="1:23" ht="16.5" customHeight="1" x14ac:dyDescent="0.15">
      <c r="A66" s="41">
        <v>11</v>
      </c>
      <c r="B66" s="41">
        <v>1334</v>
      </c>
      <c r="C66" s="74" t="s">
        <v>1129</v>
      </c>
      <c r="D66" s="103"/>
      <c r="E66" s="99"/>
      <c r="F66" s="100">
        <f>_11_B身体１．０＿１．５</f>
        <v>348</v>
      </c>
      <c r="G66" s="99" t="s">
        <v>392</v>
      </c>
      <c r="H66" s="711"/>
      <c r="I66" s="37"/>
      <c r="J66" s="38"/>
      <c r="K66" s="44" t="s">
        <v>397</v>
      </c>
      <c r="L66" s="45" t="s">
        <v>398</v>
      </c>
      <c r="M66" s="46">
        <v>1</v>
      </c>
      <c r="N66" s="35"/>
      <c r="P66" s="57"/>
      <c r="S66" s="57"/>
      <c r="T66" s="43"/>
      <c r="U66" s="37"/>
      <c r="V66" s="47">
        <f>ROUND((ROUND((ROUND((_11_A身体１．０*_11・基礎１),0)*_11・２人),0)*(1+_11・A深夜)),0)+ROUND((ROUND((ROUND((_11_B身体１．０＿１．５*_11・基礎１),0)*_11・２人),0)*(1+_11・B早朝)),0)</f>
        <v>727</v>
      </c>
      <c r="W66" s="48"/>
    </row>
    <row r="67" spans="1:23" ht="16.5" customHeight="1" x14ac:dyDescent="0.15">
      <c r="A67" s="41">
        <v>11</v>
      </c>
      <c r="B67" s="41" t="s">
        <v>1130</v>
      </c>
      <c r="C67" s="74" t="s">
        <v>1131</v>
      </c>
      <c r="D67" s="103"/>
      <c r="E67" s="99"/>
      <c r="F67" s="102"/>
      <c r="G67" s="99"/>
      <c r="H67" s="53"/>
      <c r="I67" s="49"/>
      <c r="J67" s="50"/>
      <c r="K67" s="44"/>
      <c r="L67" s="45"/>
      <c r="M67" s="46"/>
      <c r="N67" s="35"/>
      <c r="P67" s="57"/>
      <c r="S67" s="57"/>
      <c r="T67" s="707" t="s">
        <v>404</v>
      </c>
      <c r="U67" s="708"/>
      <c r="V67" s="47">
        <f>ROUND((ROUND((_11_A身体１．０*(1+_11・A深夜)),0)*_11・初任),0)+ROUND((ROUND((_11_B身体１．０＿１．５*(1+_11・B早朝)),0)*_11・初任),0)</f>
        <v>727</v>
      </c>
      <c r="W67" s="48"/>
    </row>
    <row r="68" spans="1:23" ht="16.5" customHeight="1" x14ac:dyDescent="0.15">
      <c r="A68" s="41">
        <v>11</v>
      </c>
      <c r="B68" s="41" t="s">
        <v>1132</v>
      </c>
      <c r="C68" s="74" t="s">
        <v>1133</v>
      </c>
      <c r="D68" s="103"/>
      <c r="E68" s="99"/>
      <c r="F68" s="102"/>
      <c r="G68" s="99"/>
      <c r="H68" s="43"/>
      <c r="I68" s="37"/>
      <c r="J68" s="38"/>
      <c r="K68" s="44" t="s">
        <v>397</v>
      </c>
      <c r="L68" s="45" t="s">
        <v>398</v>
      </c>
      <c r="M68" s="46">
        <v>1</v>
      </c>
      <c r="N68" s="35"/>
      <c r="P68" s="57"/>
      <c r="S68" s="57"/>
      <c r="T68" s="709"/>
      <c r="U68" s="704"/>
      <c r="V68" s="47">
        <f>ROUND((ROUND((ROUND((_11_A身体１．０*_11・２人),0)*(1+_11・A深夜)),0)*_11・初任),0)+ROUND((ROUND((ROUND((_11_B身体１．０＿１．５*_11・２人),0)*(1+_11・B早朝)),0)*_11・初任),0)</f>
        <v>727</v>
      </c>
      <c r="W68" s="48"/>
    </row>
    <row r="69" spans="1:23" ht="16.5" customHeight="1" x14ac:dyDescent="0.15">
      <c r="A69" s="41">
        <v>11</v>
      </c>
      <c r="B69" s="41" t="s">
        <v>1134</v>
      </c>
      <c r="C69" s="74" t="s">
        <v>1135</v>
      </c>
      <c r="D69" s="103"/>
      <c r="E69" s="99"/>
      <c r="F69" s="104"/>
      <c r="G69" s="99"/>
      <c r="H69" s="705" t="s">
        <v>400</v>
      </c>
      <c r="I69" s="49" t="s">
        <v>398</v>
      </c>
      <c r="J69" s="50">
        <v>0.7</v>
      </c>
      <c r="K69" s="44"/>
      <c r="L69" s="45"/>
      <c r="M69" s="46"/>
      <c r="N69" s="35"/>
      <c r="P69" s="57"/>
      <c r="S69" s="57"/>
      <c r="T69" s="709"/>
      <c r="U69" s="704"/>
      <c r="V69" s="47">
        <f>ROUND((ROUND((ROUND((_11_A身体１．０*_11・基礎１),0)*(1+_11・A深夜)),0)*_11・初任),0)+ROUND((ROUND((ROUND((_11_B身体１．０＿１．５*_11・基礎１),0)*(1+_11・B早朝)),0)*_11・初任),0)</f>
        <v>509</v>
      </c>
      <c r="W69" s="48"/>
    </row>
    <row r="70" spans="1:23" ht="16.5" customHeight="1" x14ac:dyDescent="0.15">
      <c r="A70" s="41">
        <v>11</v>
      </c>
      <c r="B70" s="41" t="s">
        <v>1136</v>
      </c>
      <c r="C70" s="74" t="s">
        <v>1137</v>
      </c>
      <c r="D70" s="103"/>
      <c r="E70" s="99"/>
      <c r="F70" s="104"/>
      <c r="G70" s="99"/>
      <c r="H70" s="711"/>
      <c r="I70" s="37"/>
      <c r="J70" s="38"/>
      <c r="K70" s="44" t="s">
        <v>397</v>
      </c>
      <c r="L70" s="45" t="s">
        <v>398</v>
      </c>
      <c r="M70" s="46">
        <v>1</v>
      </c>
      <c r="N70" s="35"/>
      <c r="P70" s="57"/>
      <c r="S70" s="57"/>
      <c r="T70" s="55" t="s">
        <v>398</v>
      </c>
      <c r="U70" s="38">
        <f>_11・初任</f>
        <v>0.7</v>
      </c>
      <c r="V70" s="47">
        <f>ROUND((ROUND((ROUND((ROUND((_11_A身体１．０*_11・基礎１),0)*_11・２人),0)*(1+_11・A深夜)),0)*_11・初任),0)+ROUND((ROUND((ROUND((ROUND((_11_B身体１．０＿１．５*_11・基礎１),0)*_11・２人),0)*(1+_11・B早朝)),0)*_11・初任),0)</f>
        <v>509</v>
      </c>
      <c r="W70" s="48"/>
    </row>
    <row r="71" spans="1:23" ht="16.5" customHeight="1" x14ac:dyDescent="0.15">
      <c r="A71" s="41">
        <v>11</v>
      </c>
      <c r="B71" s="41">
        <v>1335</v>
      </c>
      <c r="C71" s="74" t="s">
        <v>1138</v>
      </c>
      <c r="D71" s="54"/>
      <c r="E71" s="106"/>
      <c r="F71" s="707" t="s">
        <v>1139</v>
      </c>
      <c r="G71" s="717"/>
      <c r="H71" s="53"/>
      <c r="I71" s="49"/>
      <c r="J71" s="50"/>
      <c r="K71" s="44"/>
      <c r="L71" s="45"/>
      <c r="M71" s="46"/>
      <c r="N71" s="35"/>
      <c r="P71" s="57"/>
      <c r="S71" s="57"/>
      <c r="T71" s="53"/>
      <c r="U71" s="49"/>
      <c r="V71" s="47">
        <f>ROUND((_11_A身体１．０*(1+_11・A深夜)),0)+ROUND((_11_B身体１．０＿２．０*(1+_11・B早朝)),0)</f>
        <v>1142</v>
      </c>
      <c r="W71" s="48"/>
    </row>
    <row r="72" spans="1:23" ht="16.5" customHeight="1" x14ac:dyDescent="0.15">
      <c r="A72" s="41">
        <v>11</v>
      </c>
      <c r="B72" s="41">
        <v>1336</v>
      </c>
      <c r="C72" s="74" t="s">
        <v>1140</v>
      </c>
      <c r="D72" s="54"/>
      <c r="E72" s="106"/>
      <c r="F72" s="709"/>
      <c r="G72" s="718"/>
      <c r="H72" s="43"/>
      <c r="I72" s="37"/>
      <c r="J72" s="38"/>
      <c r="K72" s="44" t="s">
        <v>397</v>
      </c>
      <c r="L72" s="45" t="s">
        <v>398</v>
      </c>
      <c r="M72" s="46">
        <v>1</v>
      </c>
      <c r="N72" s="35"/>
      <c r="P72" s="57"/>
      <c r="S72" s="57"/>
      <c r="T72" s="35"/>
      <c r="V72" s="47">
        <f>ROUND((ROUND((_11_A身体１．０*_11・２人),0)*(1+_11・A深夜)),0)+ROUND((ROUND((_11_B身体１．０＿２．０*_11・２人),0)*(1+_11・B早朝)),0)</f>
        <v>1142</v>
      </c>
      <c r="W72" s="48"/>
    </row>
    <row r="73" spans="1:23" ht="16.5" customHeight="1" x14ac:dyDescent="0.15">
      <c r="A73" s="41">
        <v>11</v>
      </c>
      <c r="B73" s="41">
        <v>1337</v>
      </c>
      <c r="C73" s="74" t="s">
        <v>1141</v>
      </c>
      <c r="D73" s="54"/>
      <c r="E73" s="106"/>
      <c r="F73" s="709"/>
      <c r="G73" s="718"/>
      <c r="H73" s="705" t="s">
        <v>400</v>
      </c>
      <c r="I73" s="49" t="s">
        <v>398</v>
      </c>
      <c r="J73" s="50">
        <v>0.7</v>
      </c>
      <c r="K73" s="44"/>
      <c r="L73" s="45"/>
      <c r="M73" s="46"/>
      <c r="N73" s="35"/>
      <c r="P73" s="57"/>
      <c r="S73" s="57"/>
      <c r="T73" s="35"/>
      <c r="V73" s="47">
        <f>ROUND((ROUND((_11_A身体１．０*_11・基礎１),0)*(1+_11・A深夜)),0)+ROUND((ROUND((_11_B身体１．０＿２．０*_11・基礎１),0)*(1+_11・B早朝)),0)</f>
        <v>800</v>
      </c>
      <c r="W73" s="48"/>
    </row>
    <row r="74" spans="1:23" ht="16.5" customHeight="1" x14ac:dyDescent="0.15">
      <c r="A74" s="41">
        <v>11</v>
      </c>
      <c r="B74" s="41">
        <v>1338</v>
      </c>
      <c r="C74" s="74" t="s">
        <v>1142</v>
      </c>
      <c r="D74" s="107"/>
      <c r="E74" s="108"/>
      <c r="F74" s="100">
        <f>_11_B身体１．０＿２．０</f>
        <v>431</v>
      </c>
      <c r="G74" s="99" t="s">
        <v>392</v>
      </c>
      <c r="H74" s="711"/>
      <c r="I74" s="37"/>
      <c r="J74" s="38"/>
      <c r="K74" s="44" t="s">
        <v>397</v>
      </c>
      <c r="L74" s="45" t="s">
        <v>398</v>
      </c>
      <c r="M74" s="46">
        <v>1</v>
      </c>
      <c r="N74" s="35"/>
      <c r="P74" s="57"/>
      <c r="S74" s="57"/>
      <c r="T74" s="43"/>
      <c r="U74" s="37"/>
      <c r="V74" s="47">
        <f>ROUND((ROUND((ROUND((_11_A身体１．０*_11・基礎１),0)*_11・２人),0)*(1+_11・A深夜)),0)+ROUND((ROUND((ROUND((_11_B身体１．０＿２．０*_11・基礎１),0)*_11・２人),0)*(1+_11・B早朝)),0)</f>
        <v>800</v>
      </c>
      <c r="W74" s="48"/>
    </row>
    <row r="75" spans="1:23" ht="16.5" customHeight="1" x14ac:dyDescent="0.15">
      <c r="A75" s="41">
        <v>11</v>
      </c>
      <c r="B75" s="41" t="s">
        <v>1143</v>
      </c>
      <c r="C75" s="74" t="s">
        <v>1144</v>
      </c>
      <c r="D75" s="109"/>
      <c r="E75" s="108"/>
      <c r="F75" s="102"/>
      <c r="G75" s="99"/>
      <c r="H75" s="53"/>
      <c r="I75" s="49"/>
      <c r="J75" s="50"/>
      <c r="K75" s="44"/>
      <c r="L75" s="45"/>
      <c r="M75" s="46"/>
      <c r="N75" s="35"/>
      <c r="P75" s="57"/>
      <c r="S75" s="57"/>
      <c r="T75" s="707" t="s">
        <v>404</v>
      </c>
      <c r="U75" s="708"/>
      <c r="V75" s="47">
        <f>ROUND((ROUND((_11_A身体１．０*(1+_11・A深夜)),0)*_11・初任),0)+ROUND((ROUND((_11_B身体１．０＿２．０*(1+_11・B早朝)),0)*_11・初任),0)</f>
        <v>799</v>
      </c>
      <c r="W75" s="48"/>
    </row>
    <row r="76" spans="1:23" ht="16.5" customHeight="1" x14ac:dyDescent="0.15">
      <c r="A76" s="41">
        <v>11</v>
      </c>
      <c r="B76" s="41" t="s">
        <v>1145</v>
      </c>
      <c r="C76" s="74" t="s">
        <v>1146</v>
      </c>
      <c r="D76" s="103"/>
      <c r="E76" s="99"/>
      <c r="F76" s="102"/>
      <c r="G76" s="99"/>
      <c r="H76" s="43"/>
      <c r="I76" s="37"/>
      <c r="J76" s="38"/>
      <c r="K76" s="44" t="s">
        <v>397</v>
      </c>
      <c r="L76" s="45" t="s">
        <v>398</v>
      </c>
      <c r="M76" s="46">
        <v>1</v>
      </c>
      <c r="N76" s="35"/>
      <c r="P76" s="57"/>
      <c r="S76" s="57"/>
      <c r="T76" s="709"/>
      <c r="U76" s="704"/>
      <c r="V76" s="47">
        <f>ROUND((ROUND((ROUND((_11_A身体１．０*_11・２人),0)*(1+_11・A深夜)),0)*_11・初任),0)+ROUND((ROUND((ROUND((_11_B身体１．０＿２．０*_11・２人),0)*(1+_11・B早朝)),0)*_11・初任),0)</f>
        <v>799</v>
      </c>
      <c r="W76" s="48"/>
    </row>
    <row r="77" spans="1:23" ht="16.5" customHeight="1" x14ac:dyDescent="0.15">
      <c r="A77" s="41">
        <v>11</v>
      </c>
      <c r="B77" s="41" t="s">
        <v>1147</v>
      </c>
      <c r="C77" s="74" t="s">
        <v>1148</v>
      </c>
      <c r="D77" s="103"/>
      <c r="E77" s="99"/>
      <c r="F77" s="104"/>
      <c r="G77" s="99"/>
      <c r="H77" s="705" t="s">
        <v>400</v>
      </c>
      <c r="I77" s="49" t="s">
        <v>398</v>
      </c>
      <c r="J77" s="50">
        <v>0.7</v>
      </c>
      <c r="K77" s="44"/>
      <c r="L77" s="45"/>
      <c r="M77" s="46"/>
      <c r="N77" s="35"/>
      <c r="P77" s="57"/>
      <c r="S77" s="57"/>
      <c r="T77" s="709"/>
      <c r="U77" s="704"/>
      <c r="V77" s="47">
        <f>ROUND((ROUND((ROUND((_11_A身体１．０*_11・基礎１),0)*(1+_11・A深夜)),0)*_11・初任),0)+ROUND((ROUND((ROUND((_11_B身体１．０＿２．０*_11・基礎１),0)*(1+_11・B早朝)),0)*_11・初任),0)</f>
        <v>560</v>
      </c>
      <c r="W77" s="48"/>
    </row>
    <row r="78" spans="1:23" ht="16.5" customHeight="1" x14ac:dyDescent="0.15">
      <c r="A78" s="41">
        <v>11</v>
      </c>
      <c r="B78" s="41" t="s">
        <v>1149</v>
      </c>
      <c r="C78" s="74" t="s">
        <v>1150</v>
      </c>
      <c r="D78" s="110"/>
      <c r="E78" s="111"/>
      <c r="F78" s="112"/>
      <c r="G78" s="113"/>
      <c r="H78" s="711"/>
      <c r="I78" s="37"/>
      <c r="J78" s="38"/>
      <c r="K78" s="44" t="s">
        <v>397</v>
      </c>
      <c r="L78" s="45" t="s">
        <v>398</v>
      </c>
      <c r="M78" s="46">
        <v>1</v>
      </c>
      <c r="N78" s="43"/>
      <c r="O78" s="38"/>
      <c r="P78" s="79"/>
      <c r="Q78" s="37"/>
      <c r="R78" s="38"/>
      <c r="S78" s="79"/>
      <c r="T78" s="55" t="s">
        <v>398</v>
      </c>
      <c r="U78" s="38">
        <f>_11・初任</f>
        <v>0.7</v>
      </c>
      <c r="V78" s="47">
        <f>ROUND((ROUND((ROUND((ROUND((_11_A身体１．０*_11・基礎１),0)*_11・２人),0)*(1+_11・A深夜)),0)*_11・初任),0)+ROUND((ROUND((ROUND((ROUND((_11_B身体１．０＿２．０*_11・基礎１),0)*_11・２人),0)*(1+_11・B早朝)),0)*_11・初任),0)</f>
        <v>560</v>
      </c>
      <c r="W78" s="63"/>
    </row>
    <row r="79" spans="1:23" ht="16.5" customHeight="1" x14ac:dyDescent="0.15">
      <c r="A79" s="41">
        <v>11</v>
      </c>
      <c r="B79" s="41">
        <v>1339</v>
      </c>
      <c r="C79" s="74" t="s">
        <v>1151</v>
      </c>
      <c r="D79" s="712" t="s">
        <v>889</v>
      </c>
      <c r="E79" s="717"/>
      <c r="F79" s="707" t="s">
        <v>1035</v>
      </c>
      <c r="G79" s="717"/>
      <c r="H79" s="53"/>
      <c r="I79" s="49"/>
      <c r="J79" s="50"/>
      <c r="K79" s="44"/>
      <c r="L79" s="45"/>
      <c r="M79" s="46"/>
      <c r="N79" s="114" t="s">
        <v>1036</v>
      </c>
      <c r="O79" s="50"/>
      <c r="P79" s="115"/>
      <c r="Q79" s="116" t="s">
        <v>1037</v>
      </c>
      <c r="R79" s="50"/>
      <c r="S79" s="115"/>
      <c r="T79" s="53"/>
      <c r="U79" s="49"/>
      <c r="V79" s="47">
        <f>ROUND((_11_A身体１．５*(1+_11・A深夜)),0)+ROUND((_11_B身体１．５＿０．５*(1+_11・B早朝)),0)</f>
        <v>979</v>
      </c>
      <c r="W79" s="48"/>
    </row>
    <row r="80" spans="1:23" ht="16.5" customHeight="1" x14ac:dyDescent="0.15">
      <c r="A80" s="41">
        <v>11</v>
      </c>
      <c r="B80" s="41">
        <v>1340</v>
      </c>
      <c r="C80" s="74" t="s">
        <v>1152</v>
      </c>
      <c r="D80" s="703"/>
      <c r="E80" s="718"/>
      <c r="F80" s="709"/>
      <c r="G80" s="718"/>
      <c r="H80" s="43"/>
      <c r="I80" s="37"/>
      <c r="J80" s="38"/>
      <c r="K80" s="44" t="s">
        <v>397</v>
      </c>
      <c r="L80" s="45" t="s">
        <v>398</v>
      </c>
      <c r="M80" s="46">
        <v>1</v>
      </c>
      <c r="N80" s="35" t="s">
        <v>398</v>
      </c>
      <c r="O80" s="13">
        <v>0.5</v>
      </c>
      <c r="P80" s="728" t="s">
        <v>676</v>
      </c>
      <c r="Q80" s="12" t="s">
        <v>398</v>
      </c>
      <c r="R80" s="13">
        <v>0.25</v>
      </c>
      <c r="S80" s="721" t="s">
        <v>676</v>
      </c>
      <c r="T80" s="35"/>
      <c r="V80" s="47">
        <f>ROUND((ROUND((_11_A身体１．５*_11・２人),0)*(1+_11・A深夜)),0)+ROUND((ROUND((_11_B身体１．５＿０．５*_11・２人),0)*(1+_11・B早朝)),0)</f>
        <v>979</v>
      </c>
      <c r="W80" s="48"/>
    </row>
    <row r="81" spans="1:23" ht="16.5" customHeight="1" x14ac:dyDescent="0.15">
      <c r="A81" s="41">
        <v>11</v>
      </c>
      <c r="B81" s="41">
        <v>1341</v>
      </c>
      <c r="C81" s="74" t="s">
        <v>1153</v>
      </c>
      <c r="D81" s="703"/>
      <c r="E81" s="718"/>
      <c r="F81" s="709"/>
      <c r="G81" s="718"/>
      <c r="H81" s="705" t="s">
        <v>400</v>
      </c>
      <c r="I81" s="49" t="s">
        <v>398</v>
      </c>
      <c r="J81" s="50">
        <v>0.7</v>
      </c>
      <c r="K81" s="44"/>
      <c r="L81" s="45"/>
      <c r="M81" s="46"/>
      <c r="N81" s="35"/>
      <c r="P81" s="728"/>
      <c r="S81" s="721"/>
      <c r="T81" s="35"/>
      <c r="V81" s="47">
        <f>ROUND((ROUND((_11_A身体１．５*_11・基礎１),0)*(1+_11・A深夜)),0)+ROUND((ROUND((_11_B身体１．５＿０．５*_11・基礎１),0)*(1+_11・B早朝)),0)</f>
        <v>685</v>
      </c>
      <c r="W81" s="48"/>
    </row>
    <row r="82" spans="1:23" ht="16.5" customHeight="1" x14ac:dyDescent="0.15">
      <c r="A82" s="41">
        <v>11</v>
      </c>
      <c r="B82" s="41">
        <v>1342</v>
      </c>
      <c r="C82" s="74" t="s">
        <v>1154</v>
      </c>
      <c r="D82" s="98">
        <f>_11_A身体１．５</f>
        <v>584</v>
      </c>
      <c r="E82" s="99" t="s">
        <v>392</v>
      </c>
      <c r="F82" s="100">
        <f>_11_B身体１．５＿０．５</f>
        <v>82</v>
      </c>
      <c r="G82" s="99" t="s">
        <v>392</v>
      </c>
      <c r="H82" s="711"/>
      <c r="I82" s="37"/>
      <c r="J82" s="38"/>
      <c r="K82" s="44" t="s">
        <v>397</v>
      </c>
      <c r="L82" s="45" t="s">
        <v>398</v>
      </c>
      <c r="M82" s="46">
        <v>1</v>
      </c>
      <c r="N82" s="35"/>
      <c r="P82" s="57"/>
      <c r="S82" s="57"/>
      <c r="T82" s="43"/>
      <c r="U82" s="37"/>
      <c r="V82" s="47">
        <f>ROUND((ROUND((ROUND((_11_A身体１．５*_11・基礎１),0)*_11・２人),0)*(1+_11・A深夜)),0)+ROUND((ROUND((ROUND((_11_B身体１．５＿０．５*_11・基礎１),0)*_11・２人),0)*(1+_11・B早朝)),0)</f>
        <v>685</v>
      </c>
      <c r="W82" s="48"/>
    </row>
    <row r="83" spans="1:23" ht="16.5" customHeight="1" x14ac:dyDescent="0.15">
      <c r="A83" s="41">
        <v>11</v>
      </c>
      <c r="B83" s="41" t="s">
        <v>1155</v>
      </c>
      <c r="C83" s="74" t="s">
        <v>1156</v>
      </c>
      <c r="D83" s="101"/>
      <c r="E83" s="99"/>
      <c r="F83" s="102"/>
      <c r="G83" s="99"/>
      <c r="H83" s="53"/>
      <c r="I83" s="49"/>
      <c r="J83" s="50"/>
      <c r="K83" s="44"/>
      <c r="L83" s="45"/>
      <c r="M83" s="46"/>
      <c r="N83" s="35"/>
      <c r="P83" s="57"/>
      <c r="S83" s="57"/>
      <c r="T83" s="707" t="s">
        <v>404</v>
      </c>
      <c r="U83" s="708"/>
      <c r="V83" s="47">
        <f>ROUND((ROUND((_11_A身体１．５*(1+_11・A深夜)),0)*_11・初任),0)+ROUND((ROUND((_11_B身体１．５＿０．５*(1+_11・B早朝)),0)*_11・初任),0)</f>
        <v>685</v>
      </c>
      <c r="W83" s="48"/>
    </row>
    <row r="84" spans="1:23" ht="16.5" customHeight="1" x14ac:dyDescent="0.15">
      <c r="A84" s="41">
        <v>11</v>
      </c>
      <c r="B84" s="41" t="s">
        <v>1157</v>
      </c>
      <c r="C84" s="74" t="s">
        <v>1158</v>
      </c>
      <c r="D84" s="101"/>
      <c r="E84" s="99"/>
      <c r="F84" s="102"/>
      <c r="G84" s="99"/>
      <c r="H84" s="43"/>
      <c r="I84" s="37"/>
      <c r="J84" s="38"/>
      <c r="K84" s="44" t="s">
        <v>397</v>
      </c>
      <c r="L84" s="45" t="s">
        <v>398</v>
      </c>
      <c r="M84" s="46">
        <v>1</v>
      </c>
      <c r="N84" s="35"/>
      <c r="P84" s="57"/>
      <c r="S84" s="57"/>
      <c r="T84" s="709"/>
      <c r="U84" s="704"/>
      <c r="V84" s="47">
        <f>ROUND((ROUND((ROUND((_11_A身体１．５*_11・２人),0)*(1+_11・A深夜)),0)*_11・初任),0)+ROUND((ROUND((ROUND((_11_B身体１．５＿０．５*_11・２人),0)*(1+_11・B早朝)),0)*_11・初任),0)</f>
        <v>685</v>
      </c>
      <c r="W84" s="48"/>
    </row>
    <row r="85" spans="1:23" ht="16.5" customHeight="1" x14ac:dyDescent="0.15">
      <c r="A85" s="41">
        <v>11</v>
      </c>
      <c r="B85" s="41" t="s">
        <v>1159</v>
      </c>
      <c r="C85" s="74" t="s">
        <v>1160</v>
      </c>
      <c r="D85" s="103"/>
      <c r="E85" s="99"/>
      <c r="F85" s="104"/>
      <c r="G85" s="99"/>
      <c r="H85" s="705" t="s">
        <v>400</v>
      </c>
      <c r="I85" s="49" t="s">
        <v>398</v>
      </c>
      <c r="J85" s="50">
        <v>0.7</v>
      </c>
      <c r="K85" s="44"/>
      <c r="L85" s="45"/>
      <c r="M85" s="46"/>
      <c r="N85" s="35"/>
      <c r="P85" s="57"/>
      <c r="S85" s="57"/>
      <c r="T85" s="709"/>
      <c r="U85" s="704"/>
      <c r="V85" s="47">
        <f>ROUND((ROUND((ROUND((_11_A身体１．５*_11・基礎１),0)*(1+_11・A深夜)),0)*_11・初任),0)+ROUND((ROUND((ROUND((_11_B身体１．５＿０．５*_11・基礎１),0)*(1+_11・B早朝)),0)*_11・初任),0)</f>
        <v>480</v>
      </c>
      <c r="W85" s="48"/>
    </row>
    <row r="86" spans="1:23" ht="16.5" customHeight="1" x14ac:dyDescent="0.15">
      <c r="A86" s="41">
        <v>11</v>
      </c>
      <c r="B86" s="41" t="s">
        <v>1161</v>
      </c>
      <c r="C86" s="74" t="s">
        <v>1162</v>
      </c>
      <c r="D86" s="103"/>
      <c r="E86" s="99"/>
      <c r="F86" s="104"/>
      <c r="G86" s="99"/>
      <c r="H86" s="711"/>
      <c r="I86" s="37"/>
      <c r="J86" s="38"/>
      <c r="K86" s="44" t="s">
        <v>397</v>
      </c>
      <c r="L86" s="45" t="s">
        <v>398</v>
      </c>
      <c r="M86" s="46">
        <v>1</v>
      </c>
      <c r="N86" s="35"/>
      <c r="P86" s="57"/>
      <c r="S86" s="57"/>
      <c r="T86" s="55" t="s">
        <v>398</v>
      </c>
      <c r="U86" s="38">
        <f>_11・初任</f>
        <v>0.7</v>
      </c>
      <c r="V86" s="47">
        <f>ROUND((ROUND((ROUND((ROUND((_11_A身体１．５*_11・基礎１),0)*_11・２人),0)*(1+_11・A深夜)),0)*_11・初任),0)+ROUND((ROUND((ROUND((ROUND((_11_B身体１．５＿０．５*_11・基礎１),0)*_11・２人),0)*(1+_11・B早朝)),0)*_11・初任),0)</f>
        <v>480</v>
      </c>
      <c r="W86" s="48"/>
    </row>
    <row r="87" spans="1:23" ht="16.5" customHeight="1" x14ac:dyDescent="0.15">
      <c r="A87" s="41">
        <v>11</v>
      </c>
      <c r="B87" s="41">
        <v>1343</v>
      </c>
      <c r="C87" s="74" t="s">
        <v>1163</v>
      </c>
      <c r="D87" s="103"/>
      <c r="E87" s="99"/>
      <c r="F87" s="707" t="s">
        <v>1114</v>
      </c>
      <c r="G87" s="717"/>
      <c r="H87" s="53"/>
      <c r="I87" s="49"/>
      <c r="J87" s="50"/>
      <c r="K87" s="44"/>
      <c r="L87" s="45"/>
      <c r="M87" s="46"/>
      <c r="N87" s="35"/>
      <c r="P87" s="57"/>
      <c r="S87" s="57"/>
      <c r="T87" s="53"/>
      <c r="U87" s="49"/>
      <c r="V87" s="47">
        <f>ROUND((_11_A身体１．５*(1+_11・A深夜)),0)+ROUND((_11_B身体１．５＿１．０*(1+_11・B早朝)),0)</f>
        <v>1084</v>
      </c>
      <c r="W87" s="48"/>
    </row>
    <row r="88" spans="1:23" ht="16.5" customHeight="1" x14ac:dyDescent="0.15">
      <c r="A88" s="41">
        <v>11</v>
      </c>
      <c r="B88" s="41">
        <v>1344</v>
      </c>
      <c r="C88" s="74" t="s">
        <v>1164</v>
      </c>
      <c r="D88" s="103"/>
      <c r="E88" s="99"/>
      <c r="F88" s="709"/>
      <c r="G88" s="718"/>
      <c r="H88" s="43"/>
      <c r="I88" s="37"/>
      <c r="J88" s="38"/>
      <c r="K88" s="44" t="s">
        <v>397</v>
      </c>
      <c r="L88" s="45" t="s">
        <v>398</v>
      </c>
      <c r="M88" s="46">
        <v>1</v>
      </c>
      <c r="N88" s="35"/>
      <c r="P88" s="57"/>
      <c r="S88" s="57"/>
      <c r="T88" s="35"/>
      <c r="V88" s="47">
        <f>ROUND((ROUND((_11_A身体１．５*_11・２人),0)*(1+_11・A深夜)),0)+ROUND((ROUND((_11_B身体１．５＿１．０*_11・２人),0)*(1+_11・B早朝)),0)</f>
        <v>1084</v>
      </c>
      <c r="W88" s="48"/>
    </row>
    <row r="89" spans="1:23" ht="16.5" customHeight="1" x14ac:dyDescent="0.15">
      <c r="A89" s="41">
        <v>11</v>
      </c>
      <c r="B89" s="41">
        <v>1345</v>
      </c>
      <c r="C89" s="74" t="s">
        <v>1165</v>
      </c>
      <c r="D89" s="103"/>
      <c r="E89" s="99"/>
      <c r="F89" s="709"/>
      <c r="G89" s="718"/>
      <c r="H89" s="705" t="s">
        <v>400</v>
      </c>
      <c r="I89" s="49" t="s">
        <v>398</v>
      </c>
      <c r="J89" s="50">
        <v>0.7</v>
      </c>
      <c r="K89" s="44"/>
      <c r="L89" s="45"/>
      <c r="M89" s="46"/>
      <c r="N89" s="35"/>
      <c r="P89" s="57"/>
      <c r="S89" s="57"/>
      <c r="T89" s="35"/>
      <c r="V89" s="47">
        <f>ROUND((ROUND((_11_A身体１．５*_11・基礎１),0)*(1+_11・A深夜)),0)+ROUND((ROUND((_11_B身体１．５＿１．０*_11・基礎１),0)*(1+_11・B早朝)),0)</f>
        <v>759</v>
      </c>
      <c r="W89" s="48"/>
    </row>
    <row r="90" spans="1:23" ht="16.5" customHeight="1" x14ac:dyDescent="0.15">
      <c r="A90" s="41">
        <v>11</v>
      </c>
      <c r="B90" s="41">
        <v>1346</v>
      </c>
      <c r="C90" s="74" t="s">
        <v>1166</v>
      </c>
      <c r="D90" s="103"/>
      <c r="E90" s="99"/>
      <c r="F90" s="100">
        <f>_11_B身体１．５＿１．０</f>
        <v>166</v>
      </c>
      <c r="G90" s="99" t="s">
        <v>392</v>
      </c>
      <c r="H90" s="711"/>
      <c r="I90" s="37"/>
      <c r="J90" s="38"/>
      <c r="K90" s="44" t="s">
        <v>397</v>
      </c>
      <c r="L90" s="45" t="s">
        <v>398</v>
      </c>
      <c r="M90" s="46">
        <v>1</v>
      </c>
      <c r="N90" s="35"/>
      <c r="P90" s="57"/>
      <c r="S90" s="57"/>
      <c r="T90" s="43"/>
      <c r="U90" s="37"/>
      <c r="V90" s="47">
        <f>ROUND((ROUND((ROUND((_11_A身体１．５*_11・基礎１),0)*_11・２人),0)*(1+_11・A深夜)),0)+ROUND((ROUND((ROUND((_11_B身体１．５＿１．０*_11・基礎１),0)*_11・２人),0)*(1+_11・B早朝)),0)</f>
        <v>759</v>
      </c>
      <c r="W90" s="48"/>
    </row>
    <row r="91" spans="1:23" ht="16.5" customHeight="1" x14ac:dyDescent="0.15">
      <c r="A91" s="41">
        <v>11</v>
      </c>
      <c r="B91" s="41" t="s">
        <v>1167</v>
      </c>
      <c r="C91" s="74" t="s">
        <v>1168</v>
      </c>
      <c r="D91" s="103"/>
      <c r="E91" s="99"/>
      <c r="F91" s="102"/>
      <c r="G91" s="99"/>
      <c r="H91" s="53"/>
      <c r="I91" s="49"/>
      <c r="J91" s="50"/>
      <c r="K91" s="44"/>
      <c r="L91" s="45"/>
      <c r="M91" s="46"/>
      <c r="N91" s="35"/>
      <c r="P91" s="57"/>
      <c r="S91" s="57"/>
      <c r="T91" s="707" t="s">
        <v>404</v>
      </c>
      <c r="U91" s="708"/>
      <c r="V91" s="47">
        <f>ROUND((ROUND((_11_A身体１．５*(1+_11・A深夜)),0)*_11・初任),0)+ROUND((ROUND((_11_B身体１．５＿１．０*(1+_11・B早朝)),0)*_11・初任),0)</f>
        <v>759</v>
      </c>
      <c r="W91" s="48"/>
    </row>
    <row r="92" spans="1:23" ht="16.5" customHeight="1" x14ac:dyDescent="0.15">
      <c r="A92" s="41">
        <v>11</v>
      </c>
      <c r="B92" s="41" t="s">
        <v>1169</v>
      </c>
      <c r="C92" s="74" t="s">
        <v>1170</v>
      </c>
      <c r="D92" s="103"/>
      <c r="E92" s="99"/>
      <c r="F92" s="102"/>
      <c r="G92" s="99"/>
      <c r="H92" s="43"/>
      <c r="I92" s="37"/>
      <c r="J92" s="38"/>
      <c r="K92" s="44" t="s">
        <v>397</v>
      </c>
      <c r="L92" s="45" t="s">
        <v>398</v>
      </c>
      <c r="M92" s="46">
        <v>1</v>
      </c>
      <c r="N92" s="35"/>
      <c r="P92" s="57"/>
      <c r="S92" s="57"/>
      <c r="T92" s="709"/>
      <c r="U92" s="704"/>
      <c r="V92" s="47">
        <f>ROUND((ROUND((ROUND((_11_A身体１．５*_11・２人),0)*(1+_11・A深夜)),0)*_11・初任),0)+ROUND((ROUND((ROUND((_11_B身体１．５＿１．０*_11・２人),0)*(1+_11・B早朝)),0)*_11・初任),0)</f>
        <v>759</v>
      </c>
      <c r="W92" s="48"/>
    </row>
    <row r="93" spans="1:23" ht="16.5" customHeight="1" x14ac:dyDescent="0.15">
      <c r="A93" s="41">
        <v>11</v>
      </c>
      <c r="B93" s="41" t="s">
        <v>1171</v>
      </c>
      <c r="C93" s="74" t="s">
        <v>1172</v>
      </c>
      <c r="D93" s="103"/>
      <c r="E93" s="99"/>
      <c r="F93" s="104"/>
      <c r="G93" s="99"/>
      <c r="H93" s="705" t="s">
        <v>400</v>
      </c>
      <c r="I93" s="49" t="s">
        <v>398</v>
      </c>
      <c r="J93" s="50">
        <v>0.7</v>
      </c>
      <c r="K93" s="44"/>
      <c r="L93" s="45"/>
      <c r="M93" s="46"/>
      <c r="N93" s="35"/>
      <c r="P93" s="57"/>
      <c r="S93" s="57"/>
      <c r="T93" s="709"/>
      <c r="U93" s="704"/>
      <c r="V93" s="47">
        <f>ROUND((ROUND((ROUND((_11_A身体１．５*_11・基礎１),0)*(1+_11・A深夜)),0)*_11・初任),0)+ROUND((ROUND((ROUND((_11_B身体１．５＿１．０*_11・基礎１),0)*(1+_11・B早朝)),0)*_11・初任),0)</f>
        <v>532</v>
      </c>
      <c r="W93" s="48"/>
    </row>
    <row r="94" spans="1:23" ht="16.5" customHeight="1" x14ac:dyDescent="0.15">
      <c r="A94" s="41">
        <v>11</v>
      </c>
      <c r="B94" s="41" t="s">
        <v>1173</v>
      </c>
      <c r="C94" s="74" t="s">
        <v>1174</v>
      </c>
      <c r="D94" s="103"/>
      <c r="E94" s="99"/>
      <c r="F94" s="112"/>
      <c r="G94" s="111"/>
      <c r="H94" s="711"/>
      <c r="I94" s="37"/>
      <c r="J94" s="38"/>
      <c r="K94" s="44" t="s">
        <v>397</v>
      </c>
      <c r="L94" s="45" t="s">
        <v>398</v>
      </c>
      <c r="M94" s="46">
        <v>1</v>
      </c>
      <c r="N94" s="35"/>
      <c r="P94" s="57"/>
      <c r="S94" s="57"/>
      <c r="T94" s="55" t="s">
        <v>398</v>
      </c>
      <c r="U94" s="38">
        <f>_11・初任</f>
        <v>0.7</v>
      </c>
      <c r="V94" s="47">
        <f>ROUND((ROUND((ROUND((ROUND((_11_A身体１．５*_11・基礎１),0)*_11・２人),0)*(1+_11・A深夜)),0)*_11・初任),0)+ROUND((ROUND((ROUND((ROUND((_11_B身体１．５＿１．０*_11・基礎１),0)*_11・２人),0)*(1+_11・B早朝)),0)*_11・初任),0)</f>
        <v>532</v>
      </c>
      <c r="W94" s="48"/>
    </row>
    <row r="95" spans="1:23" ht="16.5" customHeight="1" x14ac:dyDescent="0.15">
      <c r="A95" s="41">
        <v>11</v>
      </c>
      <c r="B95" s="41">
        <v>1347</v>
      </c>
      <c r="C95" s="74" t="s">
        <v>1175</v>
      </c>
      <c r="D95" s="103"/>
      <c r="E95" s="99"/>
      <c r="F95" s="707" t="s">
        <v>1063</v>
      </c>
      <c r="G95" s="717"/>
      <c r="H95" s="53"/>
      <c r="I95" s="49"/>
      <c r="J95" s="50"/>
      <c r="K95" s="44"/>
      <c r="L95" s="45"/>
      <c r="M95" s="46"/>
      <c r="N95" s="35"/>
      <c r="P95" s="57"/>
      <c r="S95" s="57"/>
      <c r="T95" s="53"/>
      <c r="U95" s="49"/>
      <c r="V95" s="47">
        <f>ROUND((_11_A身体１．５*(1+_11・A深夜)),0)+ROUND((_11_B身体１．５＿１．５*(1+_11・B早朝)),0)</f>
        <v>1187</v>
      </c>
      <c r="W95" s="48"/>
    </row>
    <row r="96" spans="1:23" ht="16.5" customHeight="1" x14ac:dyDescent="0.15">
      <c r="A96" s="41">
        <v>11</v>
      </c>
      <c r="B96" s="41">
        <v>1348</v>
      </c>
      <c r="C96" s="74" t="s">
        <v>1176</v>
      </c>
      <c r="D96" s="103"/>
      <c r="E96" s="99"/>
      <c r="F96" s="709"/>
      <c r="G96" s="718"/>
      <c r="H96" s="43"/>
      <c r="I96" s="37"/>
      <c r="J96" s="38"/>
      <c r="K96" s="44" t="s">
        <v>397</v>
      </c>
      <c r="L96" s="45" t="s">
        <v>398</v>
      </c>
      <c r="M96" s="46">
        <v>1</v>
      </c>
      <c r="N96" s="35"/>
      <c r="P96" s="57"/>
      <c r="S96" s="57"/>
      <c r="T96" s="35"/>
      <c r="V96" s="47">
        <f>ROUND((ROUND((_11_A身体１．５*_11・２人),0)*(1+_11・A深夜)),0)+ROUND((ROUND((_11_B身体１．５＿１．５*_11・２人),0)*(1+_11・B早朝)),0)</f>
        <v>1187</v>
      </c>
      <c r="W96" s="48"/>
    </row>
    <row r="97" spans="1:23" ht="16.5" customHeight="1" x14ac:dyDescent="0.15">
      <c r="A97" s="41">
        <v>11</v>
      </c>
      <c r="B97" s="41">
        <v>1349</v>
      </c>
      <c r="C97" s="74" t="s">
        <v>1177</v>
      </c>
      <c r="D97" s="103"/>
      <c r="E97" s="99"/>
      <c r="F97" s="709"/>
      <c r="G97" s="718"/>
      <c r="H97" s="705" t="s">
        <v>400</v>
      </c>
      <c r="I97" s="49" t="s">
        <v>398</v>
      </c>
      <c r="J97" s="50">
        <v>0.7</v>
      </c>
      <c r="K97" s="44"/>
      <c r="L97" s="45"/>
      <c r="M97" s="46"/>
      <c r="N97" s="35"/>
      <c r="P97" s="57"/>
      <c r="S97" s="57"/>
      <c r="T97" s="35"/>
      <c r="V97" s="47">
        <f>ROUND((ROUND((_11_A身体１．５*_11・基礎１),0)*(1+_11・A深夜)),0)+ROUND((ROUND((_11_B身体１．５＿１．５*_11・基礎１),0)*(1+_11・B早朝)),0)</f>
        <v>832</v>
      </c>
      <c r="W97" s="48"/>
    </row>
    <row r="98" spans="1:23" ht="16.5" customHeight="1" x14ac:dyDescent="0.15">
      <c r="A98" s="41">
        <v>11</v>
      </c>
      <c r="B98" s="41">
        <v>1350</v>
      </c>
      <c r="C98" s="74" t="s">
        <v>1178</v>
      </c>
      <c r="D98" s="103"/>
      <c r="E98" s="99"/>
      <c r="F98" s="100">
        <f>_11_B身体１．５＿１．５</f>
        <v>249</v>
      </c>
      <c r="G98" s="99" t="s">
        <v>392</v>
      </c>
      <c r="H98" s="711"/>
      <c r="I98" s="37"/>
      <c r="J98" s="38"/>
      <c r="K98" s="44" t="s">
        <v>397</v>
      </c>
      <c r="L98" s="45" t="s">
        <v>398</v>
      </c>
      <c r="M98" s="46">
        <v>1</v>
      </c>
      <c r="N98" s="35"/>
      <c r="P98" s="57"/>
      <c r="S98" s="57"/>
      <c r="T98" s="43"/>
      <c r="U98" s="37"/>
      <c r="V98" s="47">
        <f>ROUND((ROUND((ROUND((_11_A身体１．５*_11・基礎１),0)*_11・２人),0)*(1+_11・A深夜)),0)+ROUND((ROUND((ROUND((_11_B身体１．５＿１．５*_11・基礎１),0)*_11・２人),0)*(1+_11・B早朝)),0)</f>
        <v>832</v>
      </c>
      <c r="W98" s="48"/>
    </row>
    <row r="99" spans="1:23" ht="16.5" customHeight="1" x14ac:dyDescent="0.15">
      <c r="A99" s="41">
        <v>11</v>
      </c>
      <c r="B99" s="41" t="s">
        <v>1179</v>
      </c>
      <c r="C99" s="74" t="s">
        <v>1180</v>
      </c>
      <c r="D99" s="103"/>
      <c r="E99" s="99"/>
      <c r="F99" s="102"/>
      <c r="G99" s="99"/>
      <c r="H99" s="53"/>
      <c r="I99" s="49"/>
      <c r="J99" s="50"/>
      <c r="K99" s="44"/>
      <c r="L99" s="45"/>
      <c r="M99" s="46"/>
      <c r="N99" s="35"/>
      <c r="P99" s="57"/>
      <c r="S99" s="57"/>
      <c r="T99" s="707" t="s">
        <v>404</v>
      </c>
      <c r="U99" s="708"/>
      <c r="V99" s="47">
        <f>ROUND((ROUND((_11_A身体１．５*(1+_11・A深夜)),0)*_11・初任),0)+ROUND((ROUND((_11_B身体１．５＿１．５*(1+_11・B早朝)),0)*_11・初任),0)</f>
        <v>831</v>
      </c>
      <c r="W99" s="48"/>
    </row>
    <row r="100" spans="1:23" ht="16.5" customHeight="1" x14ac:dyDescent="0.15">
      <c r="A100" s="41">
        <v>11</v>
      </c>
      <c r="B100" s="41" t="s">
        <v>1181</v>
      </c>
      <c r="C100" s="74" t="s">
        <v>1182</v>
      </c>
      <c r="D100" s="103"/>
      <c r="E100" s="99"/>
      <c r="F100" s="102"/>
      <c r="G100" s="99"/>
      <c r="H100" s="43"/>
      <c r="I100" s="37"/>
      <c r="J100" s="38"/>
      <c r="K100" s="44" t="s">
        <v>397</v>
      </c>
      <c r="L100" s="45" t="s">
        <v>398</v>
      </c>
      <c r="M100" s="46">
        <v>1</v>
      </c>
      <c r="N100" s="35"/>
      <c r="P100" s="57"/>
      <c r="S100" s="57"/>
      <c r="T100" s="709"/>
      <c r="U100" s="704"/>
      <c r="V100" s="47">
        <f>ROUND((ROUND((ROUND((_11_A身体１．５*_11・２人),0)*(1+_11・A深夜)),0)*_11・初任),0)+ROUND((ROUND((ROUND((_11_B身体１．５＿１．５*_11・２人),0)*(1+_11・B早朝)),0)*_11・初任),0)</f>
        <v>831</v>
      </c>
      <c r="W100" s="48"/>
    </row>
    <row r="101" spans="1:23" ht="16.5" customHeight="1" x14ac:dyDescent="0.15">
      <c r="A101" s="41">
        <v>11</v>
      </c>
      <c r="B101" s="41" t="s">
        <v>1183</v>
      </c>
      <c r="C101" s="74" t="s">
        <v>1184</v>
      </c>
      <c r="D101" s="103"/>
      <c r="E101" s="99"/>
      <c r="F101" s="104"/>
      <c r="G101" s="99"/>
      <c r="H101" s="705" t="s">
        <v>400</v>
      </c>
      <c r="I101" s="49" t="s">
        <v>398</v>
      </c>
      <c r="J101" s="50">
        <v>0.7</v>
      </c>
      <c r="K101" s="44"/>
      <c r="L101" s="45"/>
      <c r="M101" s="46"/>
      <c r="N101" s="35"/>
      <c r="P101" s="57"/>
      <c r="S101" s="57"/>
      <c r="T101" s="709"/>
      <c r="U101" s="704"/>
      <c r="V101" s="47">
        <f>ROUND((ROUND((ROUND((_11_A身体１．５*_11・基礎１),0)*(1+_11・A深夜)),0)*_11・初任),0)+ROUND((ROUND((ROUND((_11_B身体１．５＿１．５*_11・基礎１),0)*(1+_11・B早朝)),0)*_11・初任),0)</f>
        <v>583</v>
      </c>
      <c r="W101" s="48"/>
    </row>
    <row r="102" spans="1:23" ht="16.5" customHeight="1" x14ac:dyDescent="0.15">
      <c r="A102" s="41">
        <v>11</v>
      </c>
      <c r="B102" s="41" t="s">
        <v>1185</v>
      </c>
      <c r="C102" s="74" t="s">
        <v>1186</v>
      </c>
      <c r="D102" s="103"/>
      <c r="E102" s="99"/>
      <c r="F102" s="104"/>
      <c r="G102" s="99"/>
      <c r="H102" s="711"/>
      <c r="I102" s="37"/>
      <c r="J102" s="38"/>
      <c r="K102" s="44" t="s">
        <v>397</v>
      </c>
      <c r="L102" s="45" t="s">
        <v>398</v>
      </c>
      <c r="M102" s="46">
        <v>1</v>
      </c>
      <c r="N102" s="35"/>
      <c r="P102" s="57"/>
      <c r="S102" s="57"/>
      <c r="T102" s="55" t="s">
        <v>398</v>
      </c>
      <c r="U102" s="38">
        <f>_11・初任</f>
        <v>0.7</v>
      </c>
      <c r="V102" s="47">
        <f>ROUND((ROUND((ROUND((ROUND((_11_A身体１．５*_11・基礎１),0)*_11・２人),0)*(1+_11・A深夜)),0)*_11・初任),0)+ROUND((ROUND((ROUND((ROUND((_11_B身体１．５＿１．５*_11・基礎１),0)*_11・２人),0)*(1+_11・B早朝)),0)*_11・初任),0)</f>
        <v>583</v>
      </c>
      <c r="W102" s="48"/>
    </row>
    <row r="103" spans="1:23" ht="16.5" customHeight="1" x14ac:dyDescent="0.15">
      <c r="A103" s="41">
        <v>11</v>
      </c>
      <c r="B103" s="41">
        <v>1351</v>
      </c>
      <c r="C103" s="74" t="s">
        <v>1187</v>
      </c>
      <c r="D103" s="712" t="s">
        <v>1188</v>
      </c>
      <c r="E103" s="717"/>
      <c r="F103" s="707" t="s">
        <v>1035</v>
      </c>
      <c r="G103" s="717"/>
      <c r="H103" s="53"/>
      <c r="I103" s="49"/>
      <c r="J103" s="50"/>
      <c r="K103" s="44"/>
      <c r="L103" s="45"/>
      <c r="M103" s="46"/>
      <c r="N103" s="35"/>
      <c r="P103" s="57"/>
      <c r="S103" s="57"/>
      <c r="T103" s="53"/>
      <c r="U103" s="49"/>
      <c r="V103" s="47">
        <f>ROUND((_11_A身体２．０*(1+_11・A深夜)),0)+ROUND((_11_B身体２．０＿０．５*(1+_11・B早朝)),0)</f>
        <v>1104</v>
      </c>
      <c r="W103" s="48"/>
    </row>
    <row r="104" spans="1:23" ht="16.5" customHeight="1" x14ac:dyDescent="0.15">
      <c r="A104" s="41">
        <v>11</v>
      </c>
      <c r="B104" s="41">
        <v>1352</v>
      </c>
      <c r="C104" s="74" t="s">
        <v>1189</v>
      </c>
      <c r="D104" s="703"/>
      <c r="E104" s="718"/>
      <c r="F104" s="709"/>
      <c r="G104" s="718"/>
      <c r="H104" s="43"/>
      <c r="I104" s="37"/>
      <c r="J104" s="38"/>
      <c r="K104" s="44" t="s">
        <v>397</v>
      </c>
      <c r="L104" s="45" t="s">
        <v>398</v>
      </c>
      <c r="M104" s="46">
        <v>1</v>
      </c>
      <c r="N104" s="35"/>
      <c r="P104" s="57"/>
      <c r="S104" s="57"/>
      <c r="T104" s="35"/>
      <c r="V104" s="47">
        <f>ROUND((ROUND((_11_A身体２．０*_11・２人),0)*(1+_11・A深夜)),0)+ROUND((ROUND((_11_B身体２．０＿０．５*_11・２人),0)*(1+_11・B早朝)),0)</f>
        <v>1104</v>
      </c>
      <c r="W104" s="48"/>
    </row>
    <row r="105" spans="1:23" ht="16.5" customHeight="1" x14ac:dyDescent="0.15">
      <c r="A105" s="41">
        <v>11</v>
      </c>
      <c r="B105" s="41">
        <v>1353</v>
      </c>
      <c r="C105" s="74" t="s">
        <v>1190</v>
      </c>
      <c r="D105" s="703"/>
      <c r="E105" s="718"/>
      <c r="F105" s="709"/>
      <c r="G105" s="718"/>
      <c r="H105" s="705" t="s">
        <v>400</v>
      </c>
      <c r="I105" s="49" t="s">
        <v>398</v>
      </c>
      <c r="J105" s="50">
        <v>0.7</v>
      </c>
      <c r="K105" s="44"/>
      <c r="L105" s="45"/>
      <c r="M105" s="46"/>
      <c r="N105" s="35"/>
      <c r="P105" s="57"/>
      <c r="S105" s="57"/>
      <c r="T105" s="35"/>
      <c r="V105" s="47">
        <f>ROUND((ROUND((_11_A身体２．０*_11・基礎１),0)*(1+_11・A深夜)),0)+ROUND((ROUND((_11_B身体２．０＿０．５*_11・基礎１),0)*(1+_11・B早朝)),0)</f>
        <v>773</v>
      </c>
      <c r="W105" s="48"/>
    </row>
    <row r="106" spans="1:23" ht="16.5" customHeight="1" x14ac:dyDescent="0.15">
      <c r="A106" s="41">
        <v>11</v>
      </c>
      <c r="B106" s="41">
        <v>1354</v>
      </c>
      <c r="C106" s="74" t="s">
        <v>1191</v>
      </c>
      <c r="D106" s="98">
        <f>_11_A身体２．０</f>
        <v>666</v>
      </c>
      <c r="E106" s="99" t="s">
        <v>392</v>
      </c>
      <c r="F106" s="100">
        <f>_11_B身体２．０＿０．５</f>
        <v>84</v>
      </c>
      <c r="G106" s="99" t="s">
        <v>392</v>
      </c>
      <c r="H106" s="711"/>
      <c r="I106" s="37"/>
      <c r="J106" s="38"/>
      <c r="K106" s="44" t="s">
        <v>397</v>
      </c>
      <c r="L106" s="45" t="s">
        <v>398</v>
      </c>
      <c r="M106" s="46">
        <v>1</v>
      </c>
      <c r="N106" s="35"/>
      <c r="P106" s="57"/>
      <c r="S106" s="57"/>
      <c r="T106" s="43"/>
      <c r="U106" s="37"/>
      <c r="V106" s="47">
        <f>ROUND((ROUND((ROUND((_11_A身体２．０*_11・基礎１),0)*_11・２人),0)*(1+_11・A深夜)),0)+ROUND((ROUND((ROUND((_11_B身体２．０＿０．５*_11・基礎１),0)*_11・２人),0)*(1+_11・B早朝)),0)</f>
        <v>773</v>
      </c>
      <c r="W106" s="48"/>
    </row>
    <row r="107" spans="1:23" ht="16.5" customHeight="1" x14ac:dyDescent="0.15">
      <c r="A107" s="41">
        <v>11</v>
      </c>
      <c r="B107" s="41" t="s">
        <v>1192</v>
      </c>
      <c r="C107" s="74" t="s">
        <v>1193</v>
      </c>
      <c r="D107" s="101"/>
      <c r="E107" s="99"/>
      <c r="F107" s="102"/>
      <c r="G107" s="99"/>
      <c r="H107" s="53"/>
      <c r="I107" s="49"/>
      <c r="J107" s="50"/>
      <c r="K107" s="44"/>
      <c r="L107" s="45"/>
      <c r="M107" s="46"/>
      <c r="N107" s="35"/>
      <c r="P107" s="57"/>
      <c r="S107" s="57"/>
      <c r="T107" s="707" t="s">
        <v>404</v>
      </c>
      <c r="U107" s="708"/>
      <c r="V107" s="47">
        <f>ROUND((ROUND((_11_A身体２．０*(1+_11・A深夜)),0)*_11・初任),0)+ROUND((ROUND((_11_B身体２．０＿０．５*(1+_11・B早朝)),0)*_11・初任),0)</f>
        <v>773</v>
      </c>
      <c r="W107" s="48"/>
    </row>
    <row r="108" spans="1:23" ht="16.5" customHeight="1" x14ac:dyDescent="0.15">
      <c r="A108" s="41">
        <v>11</v>
      </c>
      <c r="B108" s="41" t="s">
        <v>1194</v>
      </c>
      <c r="C108" s="74" t="s">
        <v>1195</v>
      </c>
      <c r="D108" s="101"/>
      <c r="E108" s="99"/>
      <c r="F108" s="102"/>
      <c r="G108" s="99"/>
      <c r="H108" s="43"/>
      <c r="I108" s="37"/>
      <c r="J108" s="38"/>
      <c r="K108" s="44" t="s">
        <v>397</v>
      </c>
      <c r="L108" s="45" t="s">
        <v>398</v>
      </c>
      <c r="M108" s="46">
        <v>1</v>
      </c>
      <c r="N108" s="35"/>
      <c r="P108" s="57"/>
      <c r="S108" s="57"/>
      <c r="T108" s="709"/>
      <c r="U108" s="704"/>
      <c r="V108" s="47">
        <f>ROUND((ROUND((ROUND((_11_A身体２．０*_11・２人),0)*(1+_11・A深夜)),0)*_11・初任),0)+ROUND((ROUND((ROUND((_11_B身体２．０＿０．５*_11・２人),0)*(1+_11・B早朝)),0)*_11・初任),0)</f>
        <v>773</v>
      </c>
      <c r="W108" s="48"/>
    </row>
    <row r="109" spans="1:23" ht="16.5" customHeight="1" x14ac:dyDescent="0.15">
      <c r="A109" s="41">
        <v>11</v>
      </c>
      <c r="B109" s="41" t="s">
        <v>1196</v>
      </c>
      <c r="C109" s="74" t="s">
        <v>1197</v>
      </c>
      <c r="D109" s="103"/>
      <c r="E109" s="99"/>
      <c r="F109" s="104"/>
      <c r="G109" s="99"/>
      <c r="H109" s="705" t="s">
        <v>400</v>
      </c>
      <c r="I109" s="49" t="s">
        <v>398</v>
      </c>
      <c r="J109" s="50">
        <v>0.7</v>
      </c>
      <c r="K109" s="44"/>
      <c r="L109" s="45"/>
      <c r="M109" s="46"/>
      <c r="N109" s="35"/>
      <c r="P109" s="57"/>
      <c r="S109" s="57"/>
      <c r="T109" s="709"/>
      <c r="U109" s="704"/>
      <c r="V109" s="47">
        <f>ROUND((ROUND((ROUND((_11_A身体２．０*_11・基礎１),0)*(1+_11・A深夜)),0)*_11・初任),0)+ROUND((ROUND((ROUND((_11_B身体２．０＿０．５*_11・基礎１),0)*(1+_11・B早朝)),0)*_11・初任),0)</f>
        <v>541</v>
      </c>
      <c r="W109" s="48"/>
    </row>
    <row r="110" spans="1:23" ht="16.5" customHeight="1" x14ac:dyDescent="0.15">
      <c r="A110" s="41">
        <v>11</v>
      </c>
      <c r="B110" s="41" t="s">
        <v>1198</v>
      </c>
      <c r="C110" s="74" t="s">
        <v>1199</v>
      </c>
      <c r="D110" s="103"/>
      <c r="E110" s="99"/>
      <c r="F110" s="104"/>
      <c r="G110" s="99"/>
      <c r="H110" s="711"/>
      <c r="I110" s="37"/>
      <c r="J110" s="38"/>
      <c r="K110" s="44" t="s">
        <v>397</v>
      </c>
      <c r="L110" s="45" t="s">
        <v>398</v>
      </c>
      <c r="M110" s="46">
        <v>1</v>
      </c>
      <c r="N110" s="35"/>
      <c r="P110" s="57"/>
      <c r="S110" s="57"/>
      <c r="T110" s="55" t="s">
        <v>398</v>
      </c>
      <c r="U110" s="38">
        <f>_11・初任</f>
        <v>0.7</v>
      </c>
      <c r="V110" s="47">
        <f>ROUND((ROUND((ROUND((ROUND((_11_A身体２．０*_11・基礎１),0)*_11・２人),0)*(1+_11・A深夜)),0)*_11・初任),0)+ROUND((ROUND((ROUND((ROUND((_11_B身体２．０＿０．５*_11・基礎１),0)*_11・２人),0)*(1+_11・B早朝)),0)*_11・初任),0)</f>
        <v>541</v>
      </c>
      <c r="W110" s="48"/>
    </row>
    <row r="111" spans="1:23" ht="16.5" customHeight="1" x14ac:dyDescent="0.15">
      <c r="A111" s="41">
        <v>11</v>
      </c>
      <c r="B111" s="41">
        <v>1355</v>
      </c>
      <c r="C111" s="74" t="s">
        <v>1200</v>
      </c>
      <c r="D111" s="103"/>
      <c r="E111" s="99"/>
      <c r="F111" s="707" t="s">
        <v>1114</v>
      </c>
      <c r="G111" s="717"/>
      <c r="H111" s="53"/>
      <c r="I111" s="49"/>
      <c r="J111" s="50"/>
      <c r="K111" s="44"/>
      <c r="L111" s="45"/>
      <c r="M111" s="46"/>
      <c r="N111" s="35"/>
      <c r="P111" s="57"/>
      <c r="S111" s="57"/>
      <c r="T111" s="53"/>
      <c r="U111" s="49"/>
      <c r="V111" s="47">
        <f>ROUND((_11_A身体２．０*(1+_11・A深夜)),0)+ROUND((_11_B身体２．０＿１．０*(1+_11・B早朝)),0)</f>
        <v>1208</v>
      </c>
      <c r="W111" s="48"/>
    </row>
    <row r="112" spans="1:23" ht="16.5" customHeight="1" x14ac:dyDescent="0.15">
      <c r="A112" s="41">
        <v>11</v>
      </c>
      <c r="B112" s="41">
        <v>1356</v>
      </c>
      <c r="C112" s="74" t="s">
        <v>1201</v>
      </c>
      <c r="D112" s="103"/>
      <c r="E112" s="99"/>
      <c r="F112" s="709"/>
      <c r="G112" s="718"/>
      <c r="H112" s="43"/>
      <c r="I112" s="37"/>
      <c r="J112" s="38"/>
      <c r="K112" s="44" t="s">
        <v>397</v>
      </c>
      <c r="L112" s="45" t="s">
        <v>398</v>
      </c>
      <c r="M112" s="46">
        <v>1</v>
      </c>
      <c r="N112" s="35"/>
      <c r="P112" s="57"/>
      <c r="S112" s="57"/>
      <c r="T112" s="35"/>
      <c r="V112" s="47">
        <f>ROUND((ROUND((_11_A身体２．０*_11・２人),0)*(1+_11・A深夜)),0)+ROUND((ROUND((_11_B身体２．０＿１．０*_11・２人),0)*(1+_11・B早朝)),0)</f>
        <v>1208</v>
      </c>
      <c r="W112" s="48"/>
    </row>
    <row r="113" spans="1:23" ht="16.5" customHeight="1" x14ac:dyDescent="0.15">
      <c r="A113" s="41">
        <v>11</v>
      </c>
      <c r="B113" s="41">
        <v>1357</v>
      </c>
      <c r="C113" s="74" t="s">
        <v>1202</v>
      </c>
      <c r="D113" s="103"/>
      <c r="E113" s="99"/>
      <c r="F113" s="709"/>
      <c r="G113" s="718"/>
      <c r="H113" s="705" t="s">
        <v>400</v>
      </c>
      <c r="I113" s="49" t="s">
        <v>398</v>
      </c>
      <c r="J113" s="50">
        <v>0.7</v>
      </c>
      <c r="K113" s="44"/>
      <c r="L113" s="45"/>
      <c r="M113" s="46"/>
      <c r="N113" s="35"/>
      <c r="P113" s="57"/>
      <c r="S113" s="57"/>
      <c r="T113" s="35"/>
      <c r="V113" s="47">
        <f>ROUND((ROUND((_11_A身体２．０*_11・基礎１),0)*(1+_11・A深夜)),0)+ROUND((ROUND((_11_B身体２．０＿１．０*_11・基礎１),0)*(1+_11・B早朝)),0)</f>
        <v>845</v>
      </c>
      <c r="W113" s="48"/>
    </row>
    <row r="114" spans="1:23" ht="16.5" customHeight="1" x14ac:dyDescent="0.15">
      <c r="A114" s="41">
        <v>11</v>
      </c>
      <c r="B114" s="41">
        <v>1358</v>
      </c>
      <c r="C114" s="74" t="s">
        <v>1203</v>
      </c>
      <c r="D114" s="103"/>
      <c r="E114" s="99"/>
      <c r="F114" s="100">
        <f>_11_B身体２．０＿１．０</f>
        <v>167</v>
      </c>
      <c r="G114" s="99" t="s">
        <v>392</v>
      </c>
      <c r="H114" s="711"/>
      <c r="I114" s="37"/>
      <c r="J114" s="38"/>
      <c r="K114" s="44" t="s">
        <v>397</v>
      </c>
      <c r="L114" s="45" t="s">
        <v>398</v>
      </c>
      <c r="M114" s="46">
        <v>1</v>
      </c>
      <c r="N114" s="35"/>
      <c r="P114" s="57"/>
      <c r="S114" s="57"/>
      <c r="T114" s="43"/>
      <c r="U114" s="37"/>
      <c r="V114" s="47">
        <f>ROUND((ROUND((ROUND((_11_A身体２．０*_11・基礎１),0)*_11・２人),0)*(1+_11・A深夜)),0)+ROUND((ROUND((ROUND((_11_B身体２．０＿１．０*_11・基礎１),0)*_11・２人),0)*(1+_11・B早朝)),0)</f>
        <v>845</v>
      </c>
      <c r="W114" s="48"/>
    </row>
    <row r="115" spans="1:23" ht="16.5" customHeight="1" x14ac:dyDescent="0.15">
      <c r="A115" s="41">
        <v>11</v>
      </c>
      <c r="B115" s="41" t="s">
        <v>1204</v>
      </c>
      <c r="C115" s="74" t="s">
        <v>1205</v>
      </c>
      <c r="D115" s="103"/>
      <c r="E115" s="99"/>
      <c r="F115" s="102"/>
      <c r="G115" s="99"/>
      <c r="H115" s="53"/>
      <c r="I115" s="49"/>
      <c r="J115" s="50"/>
      <c r="K115" s="44"/>
      <c r="L115" s="45"/>
      <c r="M115" s="46"/>
      <c r="N115" s="35"/>
      <c r="P115" s="57"/>
      <c r="S115" s="57"/>
      <c r="T115" s="707" t="s">
        <v>404</v>
      </c>
      <c r="U115" s="708"/>
      <c r="V115" s="47">
        <f>ROUND((ROUND((_11_A身体２．０*(1+_11・A深夜)),0)*_11・初任),0)+ROUND((ROUND((_11_B身体２．０＿１．０*(1+_11・B早朝)),0)*_11・初任),0)</f>
        <v>845</v>
      </c>
      <c r="W115" s="48"/>
    </row>
    <row r="116" spans="1:23" ht="16.5" customHeight="1" x14ac:dyDescent="0.15">
      <c r="A116" s="41">
        <v>11</v>
      </c>
      <c r="B116" s="41" t="s">
        <v>1206</v>
      </c>
      <c r="C116" s="74" t="s">
        <v>1207</v>
      </c>
      <c r="D116" s="103"/>
      <c r="E116" s="99"/>
      <c r="F116" s="102"/>
      <c r="G116" s="99"/>
      <c r="H116" s="43"/>
      <c r="I116" s="37"/>
      <c r="J116" s="38"/>
      <c r="K116" s="44" t="s">
        <v>397</v>
      </c>
      <c r="L116" s="45" t="s">
        <v>398</v>
      </c>
      <c r="M116" s="46">
        <v>1</v>
      </c>
      <c r="N116" s="35"/>
      <c r="P116" s="57"/>
      <c r="S116" s="57"/>
      <c r="T116" s="709"/>
      <c r="U116" s="704"/>
      <c r="V116" s="47">
        <f>ROUND((ROUND((ROUND((_11_A身体２．０*_11・２人),0)*(1+_11・A深夜)),0)*_11・初任),0)+ROUND((ROUND((ROUND((_11_B身体２．０＿１．０*_11・２人),0)*(1+_11・B早朝)),0)*_11・初任),0)</f>
        <v>845</v>
      </c>
      <c r="W116" s="48"/>
    </row>
    <row r="117" spans="1:23" ht="16.5" customHeight="1" x14ac:dyDescent="0.15">
      <c r="A117" s="41">
        <v>11</v>
      </c>
      <c r="B117" s="41" t="s">
        <v>1208</v>
      </c>
      <c r="C117" s="74" t="s">
        <v>1209</v>
      </c>
      <c r="D117" s="103"/>
      <c r="E117" s="99"/>
      <c r="F117" s="104"/>
      <c r="G117" s="99"/>
      <c r="H117" s="705" t="s">
        <v>400</v>
      </c>
      <c r="I117" s="49" t="s">
        <v>398</v>
      </c>
      <c r="J117" s="50">
        <v>0.7</v>
      </c>
      <c r="K117" s="44"/>
      <c r="L117" s="45"/>
      <c r="M117" s="46"/>
      <c r="N117" s="35"/>
      <c r="P117" s="57"/>
      <c r="S117" s="57"/>
      <c r="T117" s="709"/>
      <c r="U117" s="704"/>
      <c r="V117" s="47">
        <f>ROUND((ROUND((ROUND((_11_A身体２．０*_11・基礎１),0)*(1+_11・A深夜)),0)*_11・初任),0)+ROUND((ROUND((ROUND((_11_B身体２．０＿１．０*_11・基礎１),0)*(1+_11・B早朝)),0)*_11・初任),0)</f>
        <v>591</v>
      </c>
      <c r="W117" s="48"/>
    </row>
    <row r="118" spans="1:23" ht="16.5" customHeight="1" x14ac:dyDescent="0.15">
      <c r="A118" s="41">
        <v>11</v>
      </c>
      <c r="B118" s="41" t="s">
        <v>1210</v>
      </c>
      <c r="C118" s="74" t="s">
        <v>1211</v>
      </c>
      <c r="D118" s="103"/>
      <c r="E118" s="99"/>
      <c r="F118" s="104"/>
      <c r="G118" s="99"/>
      <c r="H118" s="711"/>
      <c r="I118" s="37"/>
      <c r="J118" s="38"/>
      <c r="K118" s="44" t="s">
        <v>397</v>
      </c>
      <c r="L118" s="45" t="s">
        <v>398</v>
      </c>
      <c r="M118" s="46">
        <v>1</v>
      </c>
      <c r="N118" s="35"/>
      <c r="P118" s="57"/>
      <c r="S118" s="57"/>
      <c r="T118" s="55" t="s">
        <v>398</v>
      </c>
      <c r="U118" s="38">
        <f>_11・初任</f>
        <v>0.7</v>
      </c>
      <c r="V118" s="47">
        <f>ROUND((ROUND((ROUND((ROUND((_11_A身体２．０*_11・基礎１),0)*_11・２人),0)*(1+_11・A深夜)),0)*_11・初任),0)+ROUND((ROUND((ROUND((ROUND((_11_B身体２．０＿１．０*_11・基礎１),0)*_11・２人),0)*(1+_11・B早朝)),0)*_11・初任),0)</f>
        <v>591</v>
      </c>
      <c r="W118" s="48"/>
    </row>
    <row r="119" spans="1:23" ht="16.5" customHeight="1" x14ac:dyDescent="0.15">
      <c r="A119" s="41">
        <v>11</v>
      </c>
      <c r="B119" s="41">
        <v>1359</v>
      </c>
      <c r="C119" s="74" t="s">
        <v>1212</v>
      </c>
      <c r="D119" s="712" t="s">
        <v>915</v>
      </c>
      <c r="E119" s="717"/>
      <c r="F119" s="707" t="s">
        <v>1035</v>
      </c>
      <c r="G119" s="717"/>
      <c r="H119" s="53"/>
      <c r="I119" s="49"/>
      <c r="J119" s="50"/>
      <c r="K119" s="44"/>
      <c r="L119" s="45"/>
      <c r="M119" s="46"/>
      <c r="N119" s="35"/>
      <c r="P119" s="57"/>
      <c r="S119" s="57"/>
      <c r="T119" s="53"/>
      <c r="U119" s="49"/>
      <c r="V119" s="47">
        <f>ROUND((_11_A身体２．５*(1+_11・A深夜)),0)+ROUND((_11_B身体２．５＿０．５*(1+_11・B早朝)),0)</f>
        <v>1229</v>
      </c>
      <c r="W119" s="48"/>
    </row>
    <row r="120" spans="1:23" ht="16.5" customHeight="1" x14ac:dyDescent="0.15">
      <c r="A120" s="41">
        <v>11</v>
      </c>
      <c r="B120" s="41">
        <v>1360</v>
      </c>
      <c r="C120" s="74" t="s">
        <v>1213</v>
      </c>
      <c r="D120" s="703"/>
      <c r="E120" s="718"/>
      <c r="F120" s="709"/>
      <c r="G120" s="718"/>
      <c r="H120" s="43"/>
      <c r="I120" s="37"/>
      <c r="J120" s="38"/>
      <c r="K120" s="44" t="s">
        <v>397</v>
      </c>
      <c r="L120" s="45" t="s">
        <v>398</v>
      </c>
      <c r="M120" s="46">
        <v>1</v>
      </c>
      <c r="N120" s="35"/>
      <c r="P120" s="57"/>
      <c r="S120" s="57"/>
      <c r="T120" s="35"/>
      <c r="V120" s="47">
        <f>ROUND((ROUND((_11_A身体２．５*_11・２人),0)*(1+_11・A深夜)),0)+ROUND((ROUND((_11_B身体２．５＿０．５*_11・２人),0)*(1+_11・B早朝)),0)</f>
        <v>1229</v>
      </c>
      <c r="W120" s="48"/>
    </row>
    <row r="121" spans="1:23" ht="16.5" customHeight="1" x14ac:dyDescent="0.15">
      <c r="A121" s="41">
        <v>11</v>
      </c>
      <c r="B121" s="41">
        <v>1361</v>
      </c>
      <c r="C121" s="74" t="s">
        <v>1214</v>
      </c>
      <c r="D121" s="703"/>
      <c r="E121" s="718"/>
      <c r="F121" s="709"/>
      <c r="G121" s="718"/>
      <c r="H121" s="705" t="s">
        <v>400</v>
      </c>
      <c r="I121" s="49" t="s">
        <v>398</v>
      </c>
      <c r="J121" s="50">
        <v>0.7</v>
      </c>
      <c r="K121" s="44"/>
      <c r="L121" s="45"/>
      <c r="M121" s="46"/>
      <c r="N121" s="35"/>
      <c r="P121" s="57"/>
      <c r="S121" s="57"/>
      <c r="T121" s="35"/>
      <c r="V121" s="47">
        <f>ROUND((ROUND((_11_A身体２．５*_11・基礎１),0)*(1+_11・A深夜)),0)+ROUND((ROUND((_11_B身体２．５＿０．５*_11・基礎１),0)*(1+_11・B早朝)),0)</f>
        <v>861</v>
      </c>
      <c r="W121" s="48"/>
    </row>
    <row r="122" spans="1:23" ht="16.5" customHeight="1" x14ac:dyDescent="0.15">
      <c r="A122" s="41">
        <v>11</v>
      </c>
      <c r="B122" s="41">
        <v>1362</v>
      </c>
      <c r="C122" s="74" t="s">
        <v>1215</v>
      </c>
      <c r="D122" s="98">
        <f>_11_A身体２．５</f>
        <v>750</v>
      </c>
      <c r="E122" s="99" t="s">
        <v>392</v>
      </c>
      <c r="F122" s="100">
        <f>_11_B身体２．５＿０．５</f>
        <v>83</v>
      </c>
      <c r="G122" s="99" t="s">
        <v>392</v>
      </c>
      <c r="H122" s="711"/>
      <c r="I122" s="37"/>
      <c r="J122" s="38"/>
      <c r="K122" s="44" t="s">
        <v>397</v>
      </c>
      <c r="L122" s="45" t="s">
        <v>398</v>
      </c>
      <c r="M122" s="46">
        <v>1</v>
      </c>
      <c r="N122" s="35"/>
      <c r="P122" s="57"/>
      <c r="S122" s="57"/>
      <c r="T122" s="43"/>
      <c r="U122" s="37"/>
      <c r="V122" s="47">
        <f>ROUND((ROUND((ROUND((_11_A身体２．５*_11・基礎１),0)*_11・２人),0)*(1+_11・A深夜)),0)+ROUND((ROUND((ROUND((_11_B身体２．５＿０．５*_11・基礎１),0)*_11・２人),0)*(1+_11・B早朝)),0)</f>
        <v>861</v>
      </c>
      <c r="W122" s="48"/>
    </row>
    <row r="123" spans="1:23" ht="16.5" customHeight="1" x14ac:dyDescent="0.15">
      <c r="A123" s="41">
        <v>11</v>
      </c>
      <c r="B123" s="41" t="s">
        <v>1216</v>
      </c>
      <c r="C123" s="74" t="s">
        <v>1217</v>
      </c>
      <c r="D123" s="101"/>
      <c r="E123" s="99"/>
      <c r="F123" s="102"/>
      <c r="G123" s="99"/>
      <c r="H123" s="53"/>
      <c r="I123" s="49"/>
      <c r="J123" s="50"/>
      <c r="K123" s="44"/>
      <c r="L123" s="45"/>
      <c r="M123" s="46"/>
      <c r="N123" s="35"/>
      <c r="P123" s="57"/>
      <c r="S123" s="57"/>
      <c r="T123" s="707" t="s">
        <v>404</v>
      </c>
      <c r="U123" s="708"/>
      <c r="V123" s="47">
        <f>ROUND((ROUND((_11_A身体２．５*(1+_11・A深夜)),0)*_11・初任),0)+ROUND((ROUND((_11_B身体２．５＿０．５*(1+_11・B早朝)),0)*_11・初任),0)</f>
        <v>861</v>
      </c>
      <c r="W123" s="48"/>
    </row>
    <row r="124" spans="1:23" ht="16.5" customHeight="1" x14ac:dyDescent="0.15">
      <c r="A124" s="41">
        <v>11</v>
      </c>
      <c r="B124" s="41" t="s">
        <v>1218</v>
      </c>
      <c r="C124" s="74" t="s">
        <v>1219</v>
      </c>
      <c r="D124" s="101"/>
      <c r="E124" s="99"/>
      <c r="F124" s="102"/>
      <c r="G124" s="99"/>
      <c r="H124" s="43"/>
      <c r="I124" s="37"/>
      <c r="J124" s="38"/>
      <c r="K124" s="44" t="s">
        <v>397</v>
      </c>
      <c r="L124" s="45" t="s">
        <v>398</v>
      </c>
      <c r="M124" s="46">
        <v>1</v>
      </c>
      <c r="N124" s="35"/>
      <c r="P124" s="57"/>
      <c r="S124" s="57"/>
      <c r="T124" s="709"/>
      <c r="U124" s="704"/>
      <c r="V124" s="47">
        <f>ROUND((ROUND((ROUND((_11_A身体２．５*_11・２人),0)*(1+_11・A深夜)),0)*_11・初任),0)+ROUND((ROUND((ROUND((_11_B身体２．５＿０．５*_11・２人),0)*(1+_11・B早朝)),0)*_11・初任),0)</f>
        <v>861</v>
      </c>
      <c r="W124" s="48"/>
    </row>
    <row r="125" spans="1:23" ht="16.5" customHeight="1" x14ac:dyDescent="0.15">
      <c r="A125" s="41">
        <v>11</v>
      </c>
      <c r="B125" s="41" t="s">
        <v>1220</v>
      </c>
      <c r="C125" s="74" t="s">
        <v>1221</v>
      </c>
      <c r="D125" s="103"/>
      <c r="E125" s="99"/>
      <c r="F125" s="104"/>
      <c r="G125" s="99"/>
      <c r="H125" s="705" t="s">
        <v>400</v>
      </c>
      <c r="I125" s="49" t="s">
        <v>398</v>
      </c>
      <c r="J125" s="50">
        <v>0.7</v>
      </c>
      <c r="K125" s="44"/>
      <c r="L125" s="45"/>
      <c r="M125" s="46"/>
      <c r="N125" s="35"/>
      <c r="P125" s="57"/>
      <c r="S125" s="57"/>
      <c r="T125" s="709"/>
      <c r="U125" s="704"/>
      <c r="V125" s="47">
        <f>ROUND((ROUND((ROUND((_11_A身体２．５*_11・基礎１),0)*(1+_11・A深夜)),0)*_11・初任),0)+ROUND((ROUND((ROUND((_11_B身体２．５＿０．５*_11・基礎１),0)*(1+_11・B早朝)),0)*_11・初任),0)</f>
        <v>603</v>
      </c>
      <c r="W125" s="48"/>
    </row>
    <row r="126" spans="1:23" ht="16.5" customHeight="1" x14ac:dyDescent="0.15">
      <c r="A126" s="41">
        <v>11</v>
      </c>
      <c r="B126" s="41" t="s">
        <v>1222</v>
      </c>
      <c r="C126" s="74" t="s">
        <v>1223</v>
      </c>
      <c r="D126" s="110"/>
      <c r="E126" s="111"/>
      <c r="F126" s="112"/>
      <c r="G126" s="111"/>
      <c r="H126" s="711"/>
      <c r="I126" s="37"/>
      <c r="J126" s="38"/>
      <c r="K126" s="44" t="s">
        <v>397</v>
      </c>
      <c r="L126" s="45" t="s">
        <v>398</v>
      </c>
      <c r="M126" s="46">
        <v>1</v>
      </c>
      <c r="N126" s="43"/>
      <c r="O126" s="38"/>
      <c r="P126" s="79"/>
      <c r="Q126" s="37"/>
      <c r="R126" s="38"/>
      <c r="S126" s="79"/>
      <c r="T126" s="55" t="s">
        <v>398</v>
      </c>
      <c r="U126" s="38">
        <f>_11・初任</f>
        <v>0.7</v>
      </c>
      <c r="V126" s="47">
        <f>ROUND((ROUND((ROUND((ROUND((_11_A身体２．５*_11・基礎１),0)*_11・２人),0)*(1+_11・A深夜)),0)*_11・初任),0)+ROUND((ROUND((ROUND((ROUND((_11_B身体２．５＿０．５*_11・基礎１),0)*_11・２人),0)*(1+_11・B早朝)),0)*_11・初任),0)</f>
        <v>603</v>
      </c>
      <c r="W126" s="63"/>
    </row>
    <row r="127" spans="1:23" ht="16.5" customHeight="1" x14ac:dyDescent="0.15"/>
    <row r="128" spans="1:23" ht="16.5" customHeight="1" x14ac:dyDescent="0.15"/>
  </sheetData>
  <mergeCells count="72">
    <mergeCell ref="D119:E121"/>
    <mergeCell ref="F119:G121"/>
    <mergeCell ref="H121:H122"/>
    <mergeCell ref="T123:U125"/>
    <mergeCell ref="H125:H126"/>
    <mergeCell ref="T107:U109"/>
    <mergeCell ref="H109:H110"/>
    <mergeCell ref="F111:G113"/>
    <mergeCell ref="H113:H114"/>
    <mergeCell ref="T115:U117"/>
    <mergeCell ref="H117:H118"/>
    <mergeCell ref="F95:G97"/>
    <mergeCell ref="H97:H98"/>
    <mergeCell ref="T99:U101"/>
    <mergeCell ref="H101:H102"/>
    <mergeCell ref="D103:E105"/>
    <mergeCell ref="F103:G105"/>
    <mergeCell ref="H105:H106"/>
    <mergeCell ref="T83:U85"/>
    <mergeCell ref="H85:H86"/>
    <mergeCell ref="F87:G89"/>
    <mergeCell ref="H89:H90"/>
    <mergeCell ref="T91:U93"/>
    <mergeCell ref="H93:H94"/>
    <mergeCell ref="F71:G73"/>
    <mergeCell ref="H73:H74"/>
    <mergeCell ref="T75:U77"/>
    <mergeCell ref="H77:H78"/>
    <mergeCell ref="D79:E81"/>
    <mergeCell ref="F79:G81"/>
    <mergeCell ref="P80:P81"/>
    <mergeCell ref="S80:S81"/>
    <mergeCell ref="H81:H82"/>
    <mergeCell ref="T59:U61"/>
    <mergeCell ref="H61:H62"/>
    <mergeCell ref="F63:G65"/>
    <mergeCell ref="H65:H66"/>
    <mergeCell ref="T67:U69"/>
    <mergeCell ref="H69:H70"/>
    <mergeCell ref="D47:E49"/>
    <mergeCell ref="F47:G49"/>
    <mergeCell ref="H49:H50"/>
    <mergeCell ref="T51:U53"/>
    <mergeCell ref="H53:H54"/>
    <mergeCell ref="F55:G57"/>
    <mergeCell ref="H57:H58"/>
    <mergeCell ref="T35:U37"/>
    <mergeCell ref="H37:H38"/>
    <mergeCell ref="F39:G41"/>
    <mergeCell ref="H41:H42"/>
    <mergeCell ref="T43:U45"/>
    <mergeCell ref="H45:H46"/>
    <mergeCell ref="F23:G25"/>
    <mergeCell ref="H25:H26"/>
    <mergeCell ref="T27:U29"/>
    <mergeCell ref="H29:H30"/>
    <mergeCell ref="F31:G33"/>
    <mergeCell ref="H33:H34"/>
    <mergeCell ref="T11:U13"/>
    <mergeCell ref="H13:H14"/>
    <mergeCell ref="F15:G17"/>
    <mergeCell ref="H17:H18"/>
    <mergeCell ref="T19:U21"/>
    <mergeCell ref="H21:H22"/>
    <mergeCell ref="D5:U5"/>
    <mergeCell ref="D6:E6"/>
    <mergeCell ref="F6:G6"/>
    <mergeCell ref="D7:E9"/>
    <mergeCell ref="F7:G9"/>
    <mergeCell ref="P8:P9"/>
    <mergeCell ref="S8:S9"/>
    <mergeCell ref="H9:H10"/>
  </mergeCells>
  <phoneticPr fontId="1"/>
  <printOptions horizontalCentered="1"/>
  <pageMargins left="0.70866141732283472" right="0.70866141732283472" top="0.74803149606299213" bottom="0.74803149606299213" header="0.31496062992125984" footer="0.31496062992125984"/>
  <pageSetup paperSize="9" scale="48" fitToHeight="0" orientation="portrait" r:id="rId1"/>
  <headerFooter>
    <oddHeader>&amp;R&amp;"ＭＳ Ｐゴシック"&amp;9居宅介護</oddHeader>
    <oddFooter>&amp;C&amp;"ＭＳ Ｐゴシック"&amp;14&amp;P</oddFooter>
  </headerFooter>
  <rowBreaks count="1" manualBreakCount="1">
    <brk id="78" max="22"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9"/>
  <dimension ref="A1:R216"/>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0" customWidth="1"/>
    <col min="5" max="5" width="4.875" style="12" customWidth="1"/>
    <col min="6" max="6" width="11.875" style="12" customWidth="1"/>
    <col min="7" max="7" width="2.5" style="16" customWidth="1"/>
    <col min="8" max="8" width="4.5" style="13" bestFit="1" customWidth="1"/>
    <col min="9" max="9" width="24.125" style="12" bestFit="1" customWidth="1"/>
    <col min="10" max="10" width="2.5" style="16" customWidth="1"/>
    <col min="11" max="11" width="5.5" style="13" bestFit="1" customWidth="1"/>
    <col min="12" max="12" width="2.5" style="12" customWidth="1"/>
    <col min="13" max="13" width="3.875" style="12" customWidth="1"/>
    <col min="14" max="14" width="4.5" style="13" bestFit="1" customWidth="1"/>
    <col min="15" max="15" width="9.875" style="12" customWidth="1"/>
    <col min="16" max="16" width="4.5" style="13" bestFit="1" customWidth="1"/>
    <col min="17" max="17" width="7.125" style="15" customWidth="1"/>
    <col min="18" max="18" width="8.5" style="16" customWidth="1"/>
    <col min="19" max="16384" width="8.875" style="12"/>
  </cols>
  <sheetData>
    <row r="1" spans="1:18" ht="17.100000000000001" customHeight="1" x14ac:dyDescent="0.15"/>
    <row r="2" spans="1:18" ht="17.100000000000001" customHeight="1" x14ac:dyDescent="0.15"/>
    <row r="3" spans="1:18" ht="17.100000000000001" customHeight="1" x14ac:dyDescent="0.15"/>
    <row r="4" spans="1:18" ht="17.100000000000001" customHeight="1" x14ac:dyDescent="0.15">
      <c r="B4" s="17" t="s">
        <v>11366</v>
      </c>
      <c r="D4" s="71"/>
    </row>
    <row r="5" spans="1:18" ht="16.5" customHeight="1" x14ac:dyDescent="0.15">
      <c r="A5" s="19" t="s">
        <v>384</v>
      </c>
      <c r="B5" s="20"/>
      <c r="C5" s="21" t="s">
        <v>385</v>
      </c>
      <c r="D5" s="235" t="s">
        <v>386</v>
      </c>
      <c r="E5" s="23"/>
      <c r="F5" s="23"/>
      <c r="G5" s="23"/>
      <c r="H5" s="24"/>
      <c r="I5" s="23"/>
      <c r="J5" s="23"/>
      <c r="K5" s="24"/>
      <c r="L5" s="23"/>
      <c r="M5" s="23"/>
      <c r="N5" s="24"/>
      <c r="O5" s="23"/>
      <c r="P5" s="24"/>
      <c r="Q5" s="25" t="s">
        <v>387</v>
      </c>
      <c r="R5" s="21" t="s">
        <v>388</v>
      </c>
    </row>
    <row r="6" spans="1:18" ht="16.5" customHeight="1" x14ac:dyDescent="0.15">
      <c r="A6" s="26" t="s">
        <v>389</v>
      </c>
      <c r="B6" s="26" t="s">
        <v>390</v>
      </c>
      <c r="C6" s="27"/>
      <c r="D6" s="159"/>
      <c r="E6" s="29"/>
      <c r="F6" s="29"/>
      <c r="G6" s="214"/>
      <c r="H6" s="30"/>
      <c r="I6" s="29"/>
      <c r="J6" s="214"/>
      <c r="K6" s="30"/>
      <c r="L6" s="29"/>
      <c r="M6" s="29"/>
      <c r="N6" s="30"/>
      <c r="O6" s="29"/>
      <c r="P6" s="30"/>
      <c r="Q6" s="31" t="s">
        <v>391</v>
      </c>
      <c r="R6" s="32" t="s">
        <v>392</v>
      </c>
    </row>
    <row r="7" spans="1:18" ht="16.5" customHeight="1" x14ac:dyDescent="0.15">
      <c r="A7" s="33">
        <v>11</v>
      </c>
      <c r="B7" s="33">
        <v>8227</v>
      </c>
      <c r="C7" s="34" t="s">
        <v>11367</v>
      </c>
      <c r="D7" s="709" t="s">
        <v>11368</v>
      </c>
      <c r="E7" s="796"/>
      <c r="F7" s="35"/>
      <c r="G7" s="12"/>
      <c r="I7" s="43"/>
      <c r="J7" s="37"/>
      <c r="K7" s="38"/>
      <c r="L7" s="35" t="s">
        <v>862</v>
      </c>
      <c r="N7" s="234"/>
      <c r="O7" s="35"/>
      <c r="Q7" s="39">
        <f>ROUND((_11_A家事増０．２５*(1+_11・A深夜)),0)</f>
        <v>53</v>
      </c>
      <c r="R7" s="40" t="s">
        <v>395</v>
      </c>
    </row>
    <row r="8" spans="1:18" ht="16.5" customHeight="1" x14ac:dyDescent="0.15">
      <c r="A8" s="41">
        <v>11</v>
      </c>
      <c r="B8" s="41">
        <v>8228</v>
      </c>
      <c r="C8" s="74" t="s">
        <v>11369</v>
      </c>
      <c r="D8" s="799"/>
      <c r="E8" s="796"/>
      <c r="F8" s="43"/>
      <c r="G8" s="37"/>
      <c r="H8" s="38"/>
      <c r="I8" s="44" t="s">
        <v>397</v>
      </c>
      <c r="J8" s="218" t="s">
        <v>398</v>
      </c>
      <c r="K8" s="46">
        <v>1</v>
      </c>
      <c r="L8" s="248" t="s">
        <v>398</v>
      </c>
      <c r="M8" s="13">
        <v>0.5</v>
      </c>
      <c r="N8" s="718" t="s">
        <v>676</v>
      </c>
      <c r="O8" s="35"/>
      <c r="Q8" s="47">
        <f>ROUND((ROUND((_11_A家事増０．２５*_11・２人),0)*(1+_11・A深夜)),0)</f>
        <v>53</v>
      </c>
      <c r="R8" s="48"/>
    </row>
    <row r="9" spans="1:18" ht="16.5" customHeight="1" x14ac:dyDescent="0.15">
      <c r="A9" s="41">
        <v>11</v>
      </c>
      <c r="B9" s="41">
        <v>8229</v>
      </c>
      <c r="C9" s="74" t="s">
        <v>11370</v>
      </c>
      <c r="D9" s="799"/>
      <c r="E9" s="796"/>
      <c r="F9" s="752" t="s">
        <v>400</v>
      </c>
      <c r="G9" s="221" t="s">
        <v>398</v>
      </c>
      <c r="H9" s="50">
        <v>0.9</v>
      </c>
      <c r="I9" s="163"/>
      <c r="J9" s="247"/>
      <c r="K9" s="46"/>
      <c r="L9" s="35"/>
      <c r="N9" s="796"/>
      <c r="O9" s="35"/>
      <c r="Q9" s="47">
        <f>ROUND((ROUND((_11_A家事増０．２５*_11・基礎２),0)*(1+_11・A深夜)),0)</f>
        <v>48</v>
      </c>
      <c r="R9" s="48"/>
    </row>
    <row r="10" spans="1:18" ht="16.5" customHeight="1" x14ac:dyDescent="0.15">
      <c r="A10" s="41">
        <v>11</v>
      </c>
      <c r="B10" s="41">
        <v>8230</v>
      </c>
      <c r="C10" s="74" t="s">
        <v>11371</v>
      </c>
      <c r="D10" s="100">
        <f>_11_A家事増０．２５</f>
        <v>35</v>
      </c>
      <c r="E10" s="12" t="s">
        <v>392</v>
      </c>
      <c r="F10" s="800"/>
      <c r="G10" s="216"/>
      <c r="H10" s="38"/>
      <c r="I10" s="44" t="s">
        <v>397</v>
      </c>
      <c r="J10" s="218" t="s">
        <v>398</v>
      </c>
      <c r="K10" s="46">
        <v>1</v>
      </c>
      <c r="L10" s="35"/>
      <c r="N10" s="234"/>
      <c r="O10" s="35"/>
      <c r="Q10" s="47">
        <f>ROUND((ROUND((ROUND((_11_A家事増０．２５*_11・基礎２),0)*_11・２人),0)*(1+_11・A深夜)),0)</f>
        <v>48</v>
      </c>
      <c r="R10" s="48"/>
    </row>
    <row r="11" spans="1:18" ht="16.5" customHeight="1" x14ac:dyDescent="0.15">
      <c r="A11" s="41">
        <v>11</v>
      </c>
      <c r="B11" s="41" t="s">
        <v>11372</v>
      </c>
      <c r="C11" s="74" t="s">
        <v>11373</v>
      </c>
      <c r="D11" s="72"/>
      <c r="F11" s="53"/>
      <c r="G11" s="49"/>
      <c r="H11" s="50"/>
      <c r="I11" s="163"/>
      <c r="J11" s="45"/>
      <c r="K11" s="46"/>
      <c r="L11" s="35"/>
      <c r="N11" s="234"/>
      <c r="O11" s="707" t="s">
        <v>404</v>
      </c>
      <c r="P11" s="708"/>
      <c r="Q11" s="47">
        <f>ROUND((ROUND((_11_A家事増０．２５*(1+_11・A深夜)),0)*_11・初任),0)</f>
        <v>37</v>
      </c>
      <c r="R11" s="48"/>
    </row>
    <row r="12" spans="1:18" ht="16.5" customHeight="1" x14ac:dyDescent="0.15">
      <c r="A12" s="41">
        <v>11</v>
      </c>
      <c r="B12" s="41" t="s">
        <v>11374</v>
      </c>
      <c r="C12" s="74" t="s">
        <v>11375</v>
      </c>
      <c r="D12" s="72"/>
      <c r="F12" s="43"/>
      <c r="G12" s="37"/>
      <c r="H12" s="38"/>
      <c r="I12" s="44" t="s">
        <v>397</v>
      </c>
      <c r="J12" s="218" t="s">
        <v>398</v>
      </c>
      <c r="K12" s="46">
        <v>1</v>
      </c>
      <c r="L12" s="35"/>
      <c r="N12" s="234"/>
      <c r="O12" s="709"/>
      <c r="P12" s="704"/>
      <c r="Q12" s="47">
        <f>ROUND((ROUND((ROUND((_11_A家事増０．２５*_11・２人),0)*(1+_11・A深夜)),0)*_11・初任),0)</f>
        <v>37</v>
      </c>
      <c r="R12" s="48"/>
    </row>
    <row r="13" spans="1:18" ht="16.5" customHeight="1" x14ac:dyDescent="0.15">
      <c r="A13" s="41">
        <v>11</v>
      </c>
      <c r="B13" s="41" t="s">
        <v>11376</v>
      </c>
      <c r="C13" s="74" t="s">
        <v>11377</v>
      </c>
      <c r="D13" s="72"/>
      <c r="F13" s="752" t="s">
        <v>400</v>
      </c>
      <c r="G13" s="221" t="s">
        <v>398</v>
      </c>
      <c r="H13" s="50">
        <v>0.9</v>
      </c>
      <c r="I13" s="163"/>
      <c r="J13" s="247"/>
      <c r="K13" s="46"/>
      <c r="L13" s="35"/>
      <c r="N13" s="234"/>
      <c r="O13" s="709"/>
      <c r="P13" s="704"/>
      <c r="Q13" s="47">
        <f>ROUND((ROUND((ROUND((_11_A家事増０．２５*_11・基礎２),0)*(1+_11・A深夜)),0)*_11・初任),0)</f>
        <v>34</v>
      </c>
      <c r="R13" s="48"/>
    </row>
    <row r="14" spans="1:18" ht="16.5" customHeight="1" x14ac:dyDescent="0.15">
      <c r="A14" s="41">
        <v>11</v>
      </c>
      <c r="B14" s="41" t="s">
        <v>11378</v>
      </c>
      <c r="C14" s="74" t="s">
        <v>11379</v>
      </c>
      <c r="D14" s="72"/>
      <c r="F14" s="800"/>
      <c r="G14" s="216"/>
      <c r="H14" s="38"/>
      <c r="I14" s="44" t="s">
        <v>397</v>
      </c>
      <c r="J14" s="218" t="s">
        <v>398</v>
      </c>
      <c r="K14" s="46">
        <v>1</v>
      </c>
      <c r="L14" s="35"/>
      <c r="N14" s="234"/>
      <c r="O14" s="240" t="s">
        <v>398</v>
      </c>
      <c r="P14" s="38">
        <f>_11・初任</f>
        <v>0.7</v>
      </c>
      <c r="Q14" s="47">
        <f>ROUND((ROUND((ROUND((ROUND((_11_A家事増０．２５*_11・基礎２),0)*_11・２人),0)*(1+_11・A深夜)),0)*_11・初任),0)</f>
        <v>34</v>
      </c>
      <c r="R14" s="48"/>
    </row>
    <row r="15" spans="1:18" ht="16.5" customHeight="1" x14ac:dyDescent="0.15">
      <c r="A15" s="41">
        <v>11</v>
      </c>
      <c r="B15" s="41">
        <v>6523</v>
      </c>
      <c r="C15" s="74" t="s">
        <v>11380</v>
      </c>
      <c r="D15" s="707" t="s">
        <v>11381</v>
      </c>
      <c r="E15" s="798"/>
      <c r="F15" s="53"/>
      <c r="G15" s="49"/>
      <c r="H15" s="50"/>
      <c r="I15" s="163"/>
      <c r="J15" s="45"/>
      <c r="K15" s="46"/>
      <c r="L15" s="35"/>
      <c r="N15" s="234"/>
      <c r="O15" s="53"/>
      <c r="P15" s="50"/>
      <c r="Q15" s="47">
        <f>ROUND((_11_A家事増０．５*(1+_11・A深夜)),0)</f>
        <v>105</v>
      </c>
      <c r="R15" s="48"/>
    </row>
    <row r="16" spans="1:18" ht="16.5" customHeight="1" x14ac:dyDescent="0.15">
      <c r="A16" s="41">
        <v>11</v>
      </c>
      <c r="B16" s="41">
        <v>6524</v>
      </c>
      <c r="C16" s="74" t="s">
        <v>11382</v>
      </c>
      <c r="D16" s="799"/>
      <c r="E16" s="796"/>
      <c r="F16" s="43"/>
      <c r="G16" s="37"/>
      <c r="H16" s="38"/>
      <c r="I16" s="44" t="s">
        <v>397</v>
      </c>
      <c r="J16" s="218" t="s">
        <v>398</v>
      </c>
      <c r="K16" s="46">
        <v>1</v>
      </c>
      <c r="L16" s="35"/>
      <c r="N16" s="234"/>
      <c r="O16" s="35"/>
      <c r="Q16" s="47">
        <f>ROUND((ROUND((_11_A家事増０．５*_11・２人),0)*(1+_11・A深夜)),0)</f>
        <v>105</v>
      </c>
      <c r="R16" s="48"/>
    </row>
    <row r="17" spans="1:18" ht="16.5" customHeight="1" x14ac:dyDescent="0.15">
      <c r="A17" s="41">
        <v>11</v>
      </c>
      <c r="B17" s="41">
        <v>6525</v>
      </c>
      <c r="C17" s="74" t="s">
        <v>11383</v>
      </c>
      <c r="D17" s="799"/>
      <c r="E17" s="796"/>
      <c r="F17" s="752" t="s">
        <v>400</v>
      </c>
      <c r="G17" s="221" t="s">
        <v>398</v>
      </c>
      <c r="H17" s="50">
        <v>0.9</v>
      </c>
      <c r="I17" s="163"/>
      <c r="J17" s="247"/>
      <c r="K17" s="46"/>
      <c r="L17" s="35"/>
      <c r="N17" s="234"/>
      <c r="O17" s="35"/>
      <c r="Q17" s="47">
        <f>ROUND((ROUND((_11_A家事増０．５*_11・基礎２),0)*(1+_11・A深夜)),0)</f>
        <v>95</v>
      </c>
      <c r="R17" s="48"/>
    </row>
    <row r="18" spans="1:18" ht="16.5" customHeight="1" x14ac:dyDescent="0.15">
      <c r="A18" s="41">
        <v>11</v>
      </c>
      <c r="B18" s="41">
        <v>6526</v>
      </c>
      <c r="C18" s="74" t="s">
        <v>11384</v>
      </c>
      <c r="D18" s="100">
        <f>_11_A家事増０．５</f>
        <v>70</v>
      </c>
      <c r="E18" s="12" t="s">
        <v>392</v>
      </c>
      <c r="F18" s="800"/>
      <c r="G18" s="216"/>
      <c r="H18" s="38"/>
      <c r="I18" s="44" t="s">
        <v>397</v>
      </c>
      <c r="J18" s="218" t="s">
        <v>398</v>
      </c>
      <c r="K18" s="46">
        <v>1</v>
      </c>
      <c r="L18" s="35"/>
      <c r="N18" s="234"/>
      <c r="O18" s="43"/>
      <c r="P18" s="38"/>
      <c r="Q18" s="47">
        <f>ROUND((ROUND((ROUND((_11_A家事増０．５*_11・基礎２),0)*_11・２人),0)*(1+_11・A深夜)),0)</f>
        <v>95</v>
      </c>
      <c r="R18" s="48"/>
    </row>
    <row r="19" spans="1:18" ht="16.5" customHeight="1" x14ac:dyDescent="0.15">
      <c r="A19" s="41">
        <v>11</v>
      </c>
      <c r="B19" s="41" t="s">
        <v>11385</v>
      </c>
      <c r="C19" s="74" t="s">
        <v>11386</v>
      </c>
      <c r="D19" s="72"/>
      <c r="F19" s="53"/>
      <c r="G19" s="49"/>
      <c r="H19" s="50"/>
      <c r="I19" s="163"/>
      <c r="J19" s="45"/>
      <c r="K19" s="46"/>
      <c r="L19" s="35"/>
      <c r="N19" s="234"/>
      <c r="O19" s="707" t="s">
        <v>404</v>
      </c>
      <c r="P19" s="708"/>
      <c r="Q19" s="47">
        <f>ROUND((ROUND((_11_A家事増０．５*(1+_11・A深夜)),0)*_11・初任),0)</f>
        <v>74</v>
      </c>
      <c r="R19" s="48"/>
    </row>
    <row r="20" spans="1:18" ht="16.5" customHeight="1" x14ac:dyDescent="0.15">
      <c r="A20" s="41">
        <v>11</v>
      </c>
      <c r="B20" s="41" t="s">
        <v>11387</v>
      </c>
      <c r="C20" s="74" t="s">
        <v>11388</v>
      </c>
      <c r="D20" s="72"/>
      <c r="F20" s="43"/>
      <c r="G20" s="37"/>
      <c r="H20" s="38"/>
      <c r="I20" s="44" t="s">
        <v>397</v>
      </c>
      <c r="J20" s="218" t="s">
        <v>398</v>
      </c>
      <c r="K20" s="46">
        <v>1</v>
      </c>
      <c r="L20" s="35"/>
      <c r="N20" s="234"/>
      <c r="O20" s="709"/>
      <c r="P20" s="704"/>
      <c r="Q20" s="47">
        <f>ROUND((ROUND((ROUND((_11_A家事増０．５*_11・２人),0)*(1+_11・A深夜)),0)*_11・初任),0)</f>
        <v>74</v>
      </c>
      <c r="R20" s="48"/>
    </row>
    <row r="21" spans="1:18" ht="16.5" customHeight="1" x14ac:dyDescent="0.15">
      <c r="A21" s="41">
        <v>11</v>
      </c>
      <c r="B21" s="41" t="s">
        <v>11389</v>
      </c>
      <c r="C21" s="74" t="s">
        <v>11390</v>
      </c>
      <c r="D21" s="72"/>
      <c r="F21" s="752" t="s">
        <v>400</v>
      </c>
      <c r="G21" s="221" t="s">
        <v>398</v>
      </c>
      <c r="H21" s="50">
        <v>0.9</v>
      </c>
      <c r="I21" s="163"/>
      <c r="J21" s="247"/>
      <c r="K21" s="46"/>
      <c r="L21" s="35"/>
      <c r="N21" s="234"/>
      <c r="O21" s="709"/>
      <c r="P21" s="704"/>
      <c r="Q21" s="47">
        <f>ROUND((ROUND((ROUND((_11_A家事増０．５*_11・基礎２),0)*(1+_11・A深夜)),0)*_11・初任),0)</f>
        <v>67</v>
      </c>
      <c r="R21" s="48"/>
    </row>
    <row r="22" spans="1:18" ht="16.5" customHeight="1" x14ac:dyDescent="0.15">
      <c r="A22" s="41">
        <v>11</v>
      </c>
      <c r="B22" s="41" t="s">
        <v>11391</v>
      </c>
      <c r="C22" s="74" t="s">
        <v>11392</v>
      </c>
      <c r="D22" s="72"/>
      <c r="F22" s="800"/>
      <c r="G22" s="216"/>
      <c r="H22" s="38"/>
      <c r="I22" s="44" t="s">
        <v>397</v>
      </c>
      <c r="J22" s="218" t="s">
        <v>398</v>
      </c>
      <c r="K22" s="46">
        <v>1</v>
      </c>
      <c r="L22" s="35"/>
      <c r="N22" s="234"/>
      <c r="O22" s="240" t="s">
        <v>398</v>
      </c>
      <c r="P22" s="38">
        <f>_11・初任</f>
        <v>0.7</v>
      </c>
      <c r="Q22" s="47">
        <f>ROUND((ROUND((ROUND((ROUND((_11_A家事増０．５*_11・基礎２),0)*_11・２人),0)*(1+_11・A深夜)),0)*_11・初任),0)</f>
        <v>67</v>
      </c>
      <c r="R22" s="48"/>
    </row>
    <row r="23" spans="1:18" ht="16.5" customHeight="1" x14ac:dyDescent="0.15">
      <c r="A23" s="41">
        <v>11</v>
      </c>
      <c r="B23" s="41">
        <v>8231</v>
      </c>
      <c r="C23" s="74" t="s">
        <v>11393</v>
      </c>
      <c r="D23" s="707" t="s">
        <v>11394</v>
      </c>
      <c r="E23" s="798"/>
      <c r="F23" s="53"/>
      <c r="G23" s="49"/>
      <c r="H23" s="50"/>
      <c r="I23" s="163"/>
      <c r="J23" s="45"/>
      <c r="K23" s="46"/>
      <c r="L23" s="35"/>
      <c r="N23" s="234"/>
      <c r="O23" s="53"/>
      <c r="P23" s="50"/>
      <c r="Q23" s="47">
        <f>ROUND((_11_A家事増０．７５*(1+_11・A深夜)),0)</f>
        <v>158</v>
      </c>
      <c r="R23" s="48"/>
    </row>
    <row r="24" spans="1:18" ht="16.5" customHeight="1" x14ac:dyDescent="0.15">
      <c r="A24" s="41">
        <v>11</v>
      </c>
      <c r="B24" s="41">
        <v>8232</v>
      </c>
      <c r="C24" s="74" t="s">
        <v>11395</v>
      </c>
      <c r="D24" s="799"/>
      <c r="E24" s="796"/>
      <c r="F24" s="43"/>
      <c r="G24" s="37"/>
      <c r="H24" s="38"/>
      <c r="I24" s="44" t="s">
        <v>397</v>
      </c>
      <c r="J24" s="218" t="s">
        <v>398</v>
      </c>
      <c r="K24" s="46">
        <v>1</v>
      </c>
      <c r="L24" s="35"/>
      <c r="N24" s="234"/>
      <c r="O24" s="35"/>
      <c r="Q24" s="47">
        <f>ROUND((ROUND((_11_A家事増０．７５*_11・２人),0)*(1+_11・A深夜)),0)</f>
        <v>158</v>
      </c>
      <c r="R24" s="48"/>
    </row>
    <row r="25" spans="1:18" ht="16.5" customHeight="1" x14ac:dyDescent="0.15">
      <c r="A25" s="41">
        <v>11</v>
      </c>
      <c r="B25" s="41">
        <v>8233</v>
      </c>
      <c r="C25" s="74" t="s">
        <v>11396</v>
      </c>
      <c r="D25" s="799"/>
      <c r="E25" s="796"/>
      <c r="F25" s="752" t="s">
        <v>400</v>
      </c>
      <c r="G25" s="221" t="s">
        <v>398</v>
      </c>
      <c r="H25" s="50">
        <v>0.9</v>
      </c>
      <c r="I25" s="163"/>
      <c r="J25" s="247"/>
      <c r="K25" s="46"/>
      <c r="L25" s="35"/>
      <c r="N25" s="234"/>
      <c r="O25" s="35"/>
      <c r="Q25" s="47">
        <f>ROUND((ROUND((_11_A家事増０．７５*_11・基礎２),0)*(1+_11・A深夜)),0)</f>
        <v>143</v>
      </c>
      <c r="R25" s="48"/>
    </row>
    <row r="26" spans="1:18" ht="16.5" customHeight="1" x14ac:dyDescent="0.15">
      <c r="A26" s="41">
        <v>11</v>
      </c>
      <c r="B26" s="41">
        <v>8234</v>
      </c>
      <c r="C26" s="74" t="s">
        <v>11397</v>
      </c>
      <c r="D26" s="100">
        <f>_11_A家事増０．７５</f>
        <v>105</v>
      </c>
      <c r="E26" s="12" t="s">
        <v>392</v>
      </c>
      <c r="F26" s="800"/>
      <c r="G26" s="216"/>
      <c r="H26" s="38"/>
      <c r="I26" s="44" t="s">
        <v>397</v>
      </c>
      <c r="J26" s="218" t="s">
        <v>398</v>
      </c>
      <c r="K26" s="46">
        <v>1</v>
      </c>
      <c r="L26" s="35"/>
      <c r="N26" s="234"/>
      <c r="O26" s="43"/>
      <c r="P26" s="38"/>
      <c r="Q26" s="47">
        <f>ROUND((ROUND((ROUND((_11_A家事増０．７５*_11・基礎２),0)*_11・２人),0)*(1+_11・A深夜)),0)</f>
        <v>143</v>
      </c>
      <c r="R26" s="48"/>
    </row>
    <row r="27" spans="1:18" ht="16.5" customHeight="1" x14ac:dyDescent="0.15">
      <c r="A27" s="41">
        <v>11</v>
      </c>
      <c r="B27" s="41" t="s">
        <v>11398</v>
      </c>
      <c r="C27" s="74" t="s">
        <v>11399</v>
      </c>
      <c r="D27" s="72"/>
      <c r="F27" s="53"/>
      <c r="G27" s="49"/>
      <c r="H27" s="50"/>
      <c r="I27" s="163"/>
      <c r="J27" s="45"/>
      <c r="K27" s="46"/>
      <c r="L27" s="35"/>
      <c r="N27" s="234"/>
      <c r="O27" s="707" t="s">
        <v>404</v>
      </c>
      <c r="P27" s="708"/>
      <c r="Q27" s="47">
        <f>ROUND((ROUND((_11_A家事増０．７５*(1+_11・A深夜)),0)*_11・初任),0)</f>
        <v>111</v>
      </c>
      <c r="R27" s="48"/>
    </row>
    <row r="28" spans="1:18" ht="16.5" customHeight="1" x14ac:dyDescent="0.15">
      <c r="A28" s="41">
        <v>11</v>
      </c>
      <c r="B28" s="41" t="s">
        <v>11400</v>
      </c>
      <c r="C28" s="74" t="s">
        <v>11401</v>
      </c>
      <c r="D28" s="72"/>
      <c r="F28" s="43"/>
      <c r="G28" s="37"/>
      <c r="H28" s="38"/>
      <c r="I28" s="44" t="s">
        <v>397</v>
      </c>
      <c r="J28" s="218" t="s">
        <v>398</v>
      </c>
      <c r="K28" s="46">
        <v>1</v>
      </c>
      <c r="L28" s="35"/>
      <c r="N28" s="234"/>
      <c r="O28" s="709"/>
      <c r="P28" s="704"/>
      <c r="Q28" s="47">
        <f>ROUND((ROUND((ROUND((_11_A家事増０．７５*_11・２人),0)*(1+_11・A深夜)),0)*_11・初任),0)</f>
        <v>111</v>
      </c>
      <c r="R28" s="48"/>
    </row>
    <row r="29" spans="1:18" ht="16.5" customHeight="1" x14ac:dyDescent="0.15">
      <c r="A29" s="41">
        <v>11</v>
      </c>
      <c r="B29" s="41" t="s">
        <v>11402</v>
      </c>
      <c r="C29" s="74" t="s">
        <v>11403</v>
      </c>
      <c r="D29" s="72"/>
      <c r="F29" s="752" t="s">
        <v>400</v>
      </c>
      <c r="G29" s="221" t="s">
        <v>398</v>
      </c>
      <c r="H29" s="50">
        <v>0.9</v>
      </c>
      <c r="I29" s="163"/>
      <c r="J29" s="247"/>
      <c r="K29" s="46"/>
      <c r="L29" s="35"/>
      <c r="N29" s="234"/>
      <c r="O29" s="709"/>
      <c r="P29" s="704"/>
      <c r="Q29" s="47">
        <f>ROUND((ROUND((ROUND((_11_A家事増０．７５*_11・基礎２),0)*(1+_11・A深夜)),0)*_11・初任),0)</f>
        <v>100</v>
      </c>
      <c r="R29" s="48"/>
    </row>
    <row r="30" spans="1:18" ht="16.5" customHeight="1" x14ac:dyDescent="0.15">
      <c r="A30" s="41">
        <v>11</v>
      </c>
      <c r="B30" s="41" t="s">
        <v>11404</v>
      </c>
      <c r="C30" s="74" t="s">
        <v>11405</v>
      </c>
      <c r="D30" s="72"/>
      <c r="F30" s="800"/>
      <c r="G30" s="216"/>
      <c r="H30" s="38"/>
      <c r="I30" s="44" t="s">
        <v>397</v>
      </c>
      <c r="J30" s="218" t="s">
        <v>398</v>
      </c>
      <c r="K30" s="46">
        <v>1</v>
      </c>
      <c r="L30" s="35"/>
      <c r="N30" s="234"/>
      <c r="O30" s="240" t="s">
        <v>398</v>
      </c>
      <c r="P30" s="38">
        <f>_11・初任</f>
        <v>0.7</v>
      </c>
      <c r="Q30" s="47">
        <f>ROUND((ROUND((ROUND((ROUND((_11_A家事増０．７５*_11・基礎２),0)*_11・２人),0)*(1+_11・A深夜)),0)*_11・初任),0)</f>
        <v>100</v>
      </c>
      <c r="R30" s="48"/>
    </row>
    <row r="31" spans="1:18" ht="16.5" customHeight="1" x14ac:dyDescent="0.15">
      <c r="A31" s="41">
        <v>11</v>
      </c>
      <c r="B31" s="41">
        <v>6527</v>
      </c>
      <c r="C31" s="74" t="s">
        <v>11406</v>
      </c>
      <c r="D31" s="707" t="s">
        <v>11407</v>
      </c>
      <c r="E31" s="798"/>
      <c r="F31" s="53"/>
      <c r="G31" s="49"/>
      <c r="H31" s="50"/>
      <c r="I31" s="163"/>
      <c r="J31" s="45"/>
      <c r="K31" s="46"/>
      <c r="L31" s="35"/>
      <c r="N31" s="234"/>
      <c r="O31" s="53"/>
      <c r="P31" s="50"/>
      <c r="Q31" s="47">
        <f>ROUND((_11_A家事増１．０*(1+_11・A深夜)),0)</f>
        <v>210</v>
      </c>
      <c r="R31" s="48"/>
    </row>
    <row r="32" spans="1:18" ht="16.5" customHeight="1" x14ac:dyDescent="0.15">
      <c r="A32" s="41">
        <v>11</v>
      </c>
      <c r="B32" s="41">
        <v>6528</v>
      </c>
      <c r="C32" s="74" t="s">
        <v>11408</v>
      </c>
      <c r="D32" s="799"/>
      <c r="E32" s="796"/>
      <c r="F32" s="43"/>
      <c r="G32" s="37"/>
      <c r="H32" s="38"/>
      <c r="I32" s="44" t="s">
        <v>397</v>
      </c>
      <c r="J32" s="218" t="s">
        <v>398</v>
      </c>
      <c r="K32" s="46">
        <v>1</v>
      </c>
      <c r="L32" s="35"/>
      <c r="N32" s="234"/>
      <c r="O32" s="35"/>
      <c r="Q32" s="47">
        <f>ROUND((ROUND((_11_A家事増１．０*_11・２人),0)*(1+_11・A深夜)),0)</f>
        <v>210</v>
      </c>
      <c r="R32" s="48"/>
    </row>
    <row r="33" spans="1:18" ht="16.5" customHeight="1" x14ac:dyDescent="0.15">
      <c r="A33" s="41">
        <v>11</v>
      </c>
      <c r="B33" s="41">
        <v>6529</v>
      </c>
      <c r="C33" s="74" t="s">
        <v>11409</v>
      </c>
      <c r="D33" s="799"/>
      <c r="E33" s="796"/>
      <c r="F33" s="752" t="s">
        <v>400</v>
      </c>
      <c r="G33" s="221" t="s">
        <v>398</v>
      </c>
      <c r="H33" s="50">
        <v>0.9</v>
      </c>
      <c r="I33" s="163"/>
      <c r="J33" s="247"/>
      <c r="K33" s="46"/>
      <c r="L33" s="35"/>
      <c r="N33" s="234"/>
      <c r="O33" s="35"/>
      <c r="Q33" s="47">
        <f>ROUND((ROUND((_11_A家事増１．０*_11・基礎２),0)*(1+_11・A深夜)),0)</f>
        <v>189</v>
      </c>
      <c r="R33" s="48"/>
    </row>
    <row r="34" spans="1:18" ht="16.5" customHeight="1" x14ac:dyDescent="0.15">
      <c r="A34" s="41">
        <v>11</v>
      </c>
      <c r="B34" s="41">
        <v>6530</v>
      </c>
      <c r="C34" s="74" t="s">
        <v>11410</v>
      </c>
      <c r="D34" s="100">
        <f>_11_A家事増１．０</f>
        <v>140</v>
      </c>
      <c r="E34" s="12" t="s">
        <v>392</v>
      </c>
      <c r="F34" s="800"/>
      <c r="G34" s="216"/>
      <c r="H34" s="38"/>
      <c r="I34" s="44" t="s">
        <v>397</v>
      </c>
      <c r="J34" s="218" t="s">
        <v>398</v>
      </c>
      <c r="K34" s="46">
        <v>1</v>
      </c>
      <c r="L34" s="35"/>
      <c r="N34" s="234"/>
      <c r="O34" s="43"/>
      <c r="P34" s="38"/>
      <c r="Q34" s="47">
        <f>ROUND((ROUND((ROUND((_11_A家事増１．０*_11・基礎２),0)*_11・２人),0)*(1+_11・A深夜)),0)</f>
        <v>189</v>
      </c>
      <c r="R34" s="48"/>
    </row>
    <row r="35" spans="1:18" ht="16.5" customHeight="1" x14ac:dyDescent="0.15">
      <c r="A35" s="41">
        <v>11</v>
      </c>
      <c r="B35" s="41" t="s">
        <v>11411</v>
      </c>
      <c r="C35" s="74" t="s">
        <v>11412</v>
      </c>
      <c r="D35" s="72"/>
      <c r="F35" s="53"/>
      <c r="G35" s="49"/>
      <c r="H35" s="50"/>
      <c r="I35" s="163"/>
      <c r="J35" s="45"/>
      <c r="K35" s="46"/>
      <c r="L35" s="35"/>
      <c r="N35" s="234"/>
      <c r="O35" s="707" t="s">
        <v>404</v>
      </c>
      <c r="P35" s="708"/>
      <c r="Q35" s="47">
        <f>ROUND((ROUND((_11_A家事増１．０*(1+_11・A深夜)),0)*_11・初任),0)</f>
        <v>147</v>
      </c>
      <c r="R35" s="48"/>
    </row>
    <row r="36" spans="1:18" ht="16.5" customHeight="1" x14ac:dyDescent="0.15">
      <c r="A36" s="41">
        <v>11</v>
      </c>
      <c r="B36" s="41" t="s">
        <v>11413</v>
      </c>
      <c r="C36" s="74" t="s">
        <v>11414</v>
      </c>
      <c r="D36" s="72"/>
      <c r="F36" s="43"/>
      <c r="G36" s="37"/>
      <c r="H36" s="38"/>
      <c r="I36" s="44" t="s">
        <v>397</v>
      </c>
      <c r="J36" s="218" t="s">
        <v>398</v>
      </c>
      <c r="K36" s="46">
        <v>1</v>
      </c>
      <c r="L36" s="35"/>
      <c r="N36" s="234"/>
      <c r="O36" s="709"/>
      <c r="P36" s="704"/>
      <c r="Q36" s="47">
        <f>ROUND((ROUND((ROUND((_11_A家事増１．０*_11・２人),0)*(1+_11・A深夜)),0)*_11・初任),0)</f>
        <v>147</v>
      </c>
      <c r="R36" s="48"/>
    </row>
    <row r="37" spans="1:18" ht="16.5" customHeight="1" x14ac:dyDescent="0.15">
      <c r="A37" s="41">
        <v>11</v>
      </c>
      <c r="B37" s="41" t="s">
        <v>11415</v>
      </c>
      <c r="C37" s="74" t="s">
        <v>11416</v>
      </c>
      <c r="D37" s="72"/>
      <c r="F37" s="752" t="s">
        <v>400</v>
      </c>
      <c r="G37" s="221" t="s">
        <v>398</v>
      </c>
      <c r="H37" s="50">
        <v>0.9</v>
      </c>
      <c r="I37" s="163"/>
      <c r="J37" s="247"/>
      <c r="K37" s="46"/>
      <c r="L37" s="35"/>
      <c r="N37" s="234"/>
      <c r="O37" s="709"/>
      <c r="P37" s="704"/>
      <c r="Q37" s="47">
        <f>ROUND((ROUND((ROUND((_11_A家事増１．０*_11・基礎２),0)*(1+_11・A深夜)),0)*_11・初任),0)</f>
        <v>132</v>
      </c>
      <c r="R37" s="48"/>
    </row>
    <row r="38" spans="1:18" ht="16.5" customHeight="1" x14ac:dyDescent="0.15">
      <c r="A38" s="41">
        <v>11</v>
      </c>
      <c r="B38" s="41" t="s">
        <v>11417</v>
      </c>
      <c r="C38" s="74" t="s">
        <v>11418</v>
      </c>
      <c r="D38" s="72"/>
      <c r="F38" s="800"/>
      <c r="G38" s="216"/>
      <c r="H38" s="38"/>
      <c r="I38" s="44" t="s">
        <v>397</v>
      </c>
      <c r="J38" s="218" t="s">
        <v>398</v>
      </c>
      <c r="K38" s="46">
        <v>1</v>
      </c>
      <c r="L38" s="35"/>
      <c r="N38" s="234"/>
      <c r="O38" s="240" t="s">
        <v>398</v>
      </c>
      <c r="P38" s="38">
        <f>_11・初任</f>
        <v>0.7</v>
      </c>
      <c r="Q38" s="47">
        <f>ROUND((ROUND((ROUND((ROUND((_11_A家事増１．０*_11・基礎２),0)*_11・２人),0)*(1+_11・A深夜)),0)*_11・初任),0)</f>
        <v>132</v>
      </c>
      <c r="R38" s="48"/>
    </row>
    <row r="39" spans="1:18" ht="16.5" customHeight="1" x14ac:dyDescent="0.15">
      <c r="A39" s="41">
        <v>11</v>
      </c>
      <c r="B39" s="41">
        <v>8235</v>
      </c>
      <c r="C39" s="74" t="s">
        <v>11419</v>
      </c>
      <c r="D39" s="707" t="s">
        <v>11420</v>
      </c>
      <c r="E39" s="798"/>
      <c r="F39" s="53"/>
      <c r="G39" s="49"/>
      <c r="H39" s="50"/>
      <c r="I39" s="163"/>
      <c r="J39" s="45"/>
      <c r="K39" s="46"/>
      <c r="L39" s="35"/>
      <c r="N39" s="234"/>
      <c r="O39" s="53"/>
      <c r="P39" s="50"/>
      <c r="Q39" s="47">
        <f>ROUND((_11_A家事増１．２５*(1+_11・A深夜)),0)</f>
        <v>263</v>
      </c>
      <c r="R39" s="48"/>
    </row>
    <row r="40" spans="1:18" ht="16.5" customHeight="1" x14ac:dyDescent="0.15">
      <c r="A40" s="41">
        <v>11</v>
      </c>
      <c r="B40" s="41">
        <v>8236</v>
      </c>
      <c r="C40" s="74" t="s">
        <v>11421</v>
      </c>
      <c r="D40" s="799"/>
      <c r="E40" s="796"/>
      <c r="F40" s="43"/>
      <c r="G40" s="37"/>
      <c r="H40" s="38"/>
      <c r="I40" s="44" t="s">
        <v>397</v>
      </c>
      <c r="J40" s="218" t="s">
        <v>398</v>
      </c>
      <c r="K40" s="46">
        <v>1</v>
      </c>
      <c r="L40" s="35"/>
      <c r="N40" s="234"/>
      <c r="O40" s="35"/>
      <c r="Q40" s="47">
        <f>ROUND((ROUND((_11_A家事増１．２５*_11・２人),0)*(1+_11・A深夜)),0)</f>
        <v>263</v>
      </c>
      <c r="R40" s="48"/>
    </row>
    <row r="41" spans="1:18" ht="16.5" customHeight="1" x14ac:dyDescent="0.15">
      <c r="A41" s="41">
        <v>11</v>
      </c>
      <c r="B41" s="41">
        <v>8237</v>
      </c>
      <c r="C41" s="74" t="s">
        <v>11422</v>
      </c>
      <c r="D41" s="799"/>
      <c r="E41" s="796"/>
      <c r="F41" s="752" t="s">
        <v>400</v>
      </c>
      <c r="G41" s="221" t="s">
        <v>398</v>
      </c>
      <c r="H41" s="50">
        <v>0.9</v>
      </c>
      <c r="I41" s="163"/>
      <c r="J41" s="247"/>
      <c r="K41" s="46"/>
      <c r="L41" s="35"/>
      <c r="N41" s="234"/>
      <c r="O41" s="35"/>
      <c r="Q41" s="47">
        <f>ROUND((ROUND((_11_A家事増１．２５*_11・基礎２),0)*(1+_11・A深夜)),0)</f>
        <v>237</v>
      </c>
      <c r="R41" s="48"/>
    </row>
    <row r="42" spans="1:18" ht="16.5" customHeight="1" x14ac:dyDescent="0.15">
      <c r="A42" s="41">
        <v>11</v>
      </c>
      <c r="B42" s="41">
        <v>8238</v>
      </c>
      <c r="C42" s="74" t="s">
        <v>11423</v>
      </c>
      <c r="D42" s="100">
        <f>_11_A家事増１．２５</f>
        <v>175</v>
      </c>
      <c r="E42" s="12" t="s">
        <v>392</v>
      </c>
      <c r="F42" s="800"/>
      <c r="G42" s="216"/>
      <c r="H42" s="38"/>
      <c r="I42" s="44" t="s">
        <v>397</v>
      </c>
      <c r="J42" s="218" t="s">
        <v>398</v>
      </c>
      <c r="K42" s="46">
        <v>1</v>
      </c>
      <c r="L42" s="35"/>
      <c r="N42" s="234"/>
      <c r="O42" s="43"/>
      <c r="P42" s="38"/>
      <c r="Q42" s="47">
        <f>ROUND((ROUND((ROUND((_11_A家事増１．２５*_11・基礎２),0)*_11・２人),0)*(1+_11・A深夜)),0)</f>
        <v>237</v>
      </c>
      <c r="R42" s="48"/>
    </row>
    <row r="43" spans="1:18" ht="16.5" customHeight="1" x14ac:dyDescent="0.15">
      <c r="A43" s="41">
        <v>11</v>
      </c>
      <c r="B43" s="41" t="s">
        <v>11424</v>
      </c>
      <c r="C43" s="74" t="s">
        <v>11425</v>
      </c>
      <c r="D43" s="72"/>
      <c r="F43" s="53"/>
      <c r="G43" s="49"/>
      <c r="H43" s="50"/>
      <c r="I43" s="163"/>
      <c r="J43" s="45"/>
      <c r="K43" s="46"/>
      <c r="L43" s="35"/>
      <c r="N43" s="234"/>
      <c r="O43" s="707" t="s">
        <v>404</v>
      </c>
      <c r="P43" s="708"/>
      <c r="Q43" s="47">
        <f>ROUND((ROUND((_11_A家事増１．２５*(1+_11・A深夜)),0)*_11・初任),0)</f>
        <v>184</v>
      </c>
      <c r="R43" s="48"/>
    </row>
    <row r="44" spans="1:18" ht="16.5" customHeight="1" x14ac:dyDescent="0.15">
      <c r="A44" s="41">
        <v>11</v>
      </c>
      <c r="B44" s="41" t="s">
        <v>11426</v>
      </c>
      <c r="C44" s="74" t="s">
        <v>11427</v>
      </c>
      <c r="D44" s="72"/>
      <c r="F44" s="43"/>
      <c r="G44" s="37"/>
      <c r="H44" s="38"/>
      <c r="I44" s="44" t="s">
        <v>397</v>
      </c>
      <c r="J44" s="218" t="s">
        <v>398</v>
      </c>
      <c r="K44" s="46">
        <v>1</v>
      </c>
      <c r="L44" s="35"/>
      <c r="N44" s="234"/>
      <c r="O44" s="709"/>
      <c r="P44" s="704"/>
      <c r="Q44" s="47">
        <f>ROUND((ROUND((ROUND((_11_A家事増１．２５*_11・２人),0)*(1+_11・A深夜)),0)*_11・初任),0)</f>
        <v>184</v>
      </c>
      <c r="R44" s="48"/>
    </row>
    <row r="45" spans="1:18" ht="16.5" customHeight="1" x14ac:dyDescent="0.15">
      <c r="A45" s="41">
        <v>11</v>
      </c>
      <c r="B45" s="41" t="s">
        <v>11428</v>
      </c>
      <c r="C45" s="74" t="s">
        <v>11429</v>
      </c>
      <c r="D45" s="72"/>
      <c r="F45" s="752" t="s">
        <v>400</v>
      </c>
      <c r="G45" s="221" t="s">
        <v>398</v>
      </c>
      <c r="H45" s="50">
        <v>0.9</v>
      </c>
      <c r="I45" s="163"/>
      <c r="J45" s="247"/>
      <c r="K45" s="46"/>
      <c r="L45" s="35"/>
      <c r="N45" s="234"/>
      <c r="O45" s="709"/>
      <c r="P45" s="704"/>
      <c r="Q45" s="47">
        <f>ROUND((ROUND((ROUND((_11_A家事増１．２５*_11・基礎２),0)*(1+_11・A深夜)),0)*_11・初任),0)</f>
        <v>166</v>
      </c>
      <c r="R45" s="48"/>
    </row>
    <row r="46" spans="1:18" ht="16.5" customHeight="1" x14ac:dyDescent="0.15">
      <c r="A46" s="41">
        <v>11</v>
      </c>
      <c r="B46" s="41" t="s">
        <v>11430</v>
      </c>
      <c r="C46" s="74" t="s">
        <v>11431</v>
      </c>
      <c r="D46" s="72"/>
      <c r="F46" s="800"/>
      <c r="G46" s="216"/>
      <c r="H46" s="38"/>
      <c r="I46" s="44" t="s">
        <v>397</v>
      </c>
      <c r="J46" s="218" t="s">
        <v>398</v>
      </c>
      <c r="K46" s="46">
        <v>1</v>
      </c>
      <c r="L46" s="35"/>
      <c r="N46" s="234"/>
      <c r="O46" s="240" t="s">
        <v>398</v>
      </c>
      <c r="P46" s="38">
        <f>_11・初任</f>
        <v>0.7</v>
      </c>
      <c r="Q46" s="47">
        <f>ROUND((ROUND((ROUND((ROUND((_11_A家事増１．２５*_11・基礎２),0)*_11・２人),0)*(1+_11・A深夜)),0)*_11・初任),0)</f>
        <v>166</v>
      </c>
      <c r="R46" s="48"/>
    </row>
    <row r="47" spans="1:18" ht="16.5" customHeight="1" x14ac:dyDescent="0.15">
      <c r="A47" s="41">
        <v>11</v>
      </c>
      <c r="B47" s="41">
        <v>6531</v>
      </c>
      <c r="C47" s="74" t="s">
        <v>11432</v>
      </c>
      <c r="D47" s="707" t="s">
        <v>11433</v>
      </c>
      <c r="E47" s="798"/>
      <c r="F47" s="53"/>
      <c r="G47" s="49"/>
      <c r="H47" s="50"/>
      <c r="I47" s="163"/>
      <c r="J47" s="45"/>
      <c r="K47" s="46"/>
      <c r="L47" s="35"/>
      <c r="N47" s="234"/>
      <c r="O47" s="53"/>
      <c r="P47" s="50"/>
      <c r="Q47" s="47">
        <f>ROUND((_11_A家事増１．５*(1+_11・A深夜)),0)</f>
        <v>315</v>
      </c>
      <c r="R47" s="48"/>
    </row>
    <row r="48" spans="1:18" ht="16.5" customHeight="1" x14ac:dyDescent="0.15">
      <c r="A48" s="41">
        <v>11</v>
      </c>
      <c r="B48" s="41">
        <v>6532</v>
      </c>
      <c r="C48" s="74" t="s">
        <v>11434</v>
      </c>
      <c r="D48" s="799"/>
      <c r="E48" s="796"/>
      <c r="F48" s="43"/>
      <c r="G48" s="37"/>
      <c r="H48" s="38"/>
      <c r="I48" s="44" t="s">
        <v>397</v>
      </c>
      <c r="J48" s="218" t="s">
        <v>398</v>
      </c>
      <c r="K48" s="46">
        <v>1</v>
      </c>
      <c r="L48" s="35"/>
      <c r="N48" s="234"/>
      <c r="O48" s="35"/>
      <c r="Q48" s="47">
        <f>ROUND((ROUND((_11_A家事増１．５*_11・２人),0)*(1+_11・A深夜)),0)</f>
        <v>315</v>
      </c>
      <c r="R48" s="48"/>
    </row>
    <row r="49" spans="1:18" ht="16.5" customHeight="1" x14ac:dyDescent="0.15">
      <c r="A49" s="41">
        <v>11</v>
      </c>
      <c r="B49" s="41">
        <v>6533</v>
      </c>
      <c r="C49" s="74" t="s">
        <v>11435</v>
      </c>
      <c r="D49" s="799"/>
      <c r="E49" s="796"/>
      <c r="F49" s="752" t="s">
        <v>400</v>
      </c>
      <c r="G49" s="221" t="s">
        <v>398</v>
      </c>
      <c r="H49" s="50">
        <v>0.9</v>
      </c>
      <c r="I49" s="163"/>
      <c r="J49" s="247"/>
      <c r="K49" s="46"/>
      <c r="L49" s="35"/>
      <c r="N49" s="234"/>
      <c r="O49" s="35"/>
      <c r="Q49" s="47">
        <f>ROUND((ROUND((_11_A家事増１．５*_11・基礎２),0)*(1+_11・A深夜)),0)</f>
        <v>284</v>
      </c>
      <c r="R49" s="48"/>
    </row>
    <row r="50" spans="1:18" ht="16.5" customHeight="1" x14ac:dyDescent="0.15">
      <c r="A50" s="41">
        <v>11</v>
      </c>
      <c r="B50" s="41">
        <v>6534</v>
      </c>
      <c r="C50" s="74" t="s">
        <v>11436</v>
      </c>
      <c r="D50" s="100">
        <f>_11_A家事増１．５</f>
        <v>210</v>
      </c>
      <c r="E50" s="12" t="s">
        <v>392</v>
      </c>
      <c r="F50" s="800"/>
      <c r="G50" s="216"/>
      <c r="H50" s="38"/>
      <c r="I50" s="44" t="s">
        <v>397</v>
      </c>
      <c r="J50" s="218" t="s">
        <v>398</v>
      </c>
      <c r="K50" s="46">
        <v>1</v>
      </c>
      <c r="L50" s="35"/>
      <c r="N50" s="234"/>
      <c r="O50" s="43"/>
      <c r="P50" s="38"/>
      <c r="Q50" s="47">
        <f>ROUND((ROUND((ROUND((_11_A家事増１．５*_11・基礎２),0)*_11・２人),0)*(1+_11・A深夜)),0)</f>
        <v>284</v>
      </c>
      <c r="R50" s="48"/>
    </row>
    <row r="51" spans="1:18" ht="16.5" customHeight="1" x14ac:dyDescent="0.15">
      <c r="A51" s="41">
        <v>11</v>
      </c>
      <c r="B51" s="41" t="s">
        <v>11437</v>
      </c>
      <c r="C51" s="74" t="s">
        <v>11438</v>
      </c>
      <c r="D51" s="72"/>
      <c r="F51" s="53"/>
      <c r="G51" s="49"/>
      <c r="H51" s="50"/>
      <c r="I51" s="163"/>
      <c r="J51" s="45"/>
      <c r="K51" s="46"/>
      <c r="L51" s="35"/>
      <c r="N51" s="234"/>
      <c r="O51" s="707" t="s">
        <v>404</v>
      </c>
      <c r="P51" s="708"/>
      <c r="Q51" s="47">
        <f>ROUND((ROUND((_11_A家事増１．５*(1+_11・A深夜)),0)*_11・初任),0)</f>
        <v>221</v>
      </c>
      <c r="R51" s="48"/>
    </row>
    <row r="52" spans="1:18" ht="16.5" customHeight="1" x14ac:dyDescent="0.15">
      <c r="A52" s="41">
        <v>11</v>
      </c>
      <c r="B52" s="41" t="s">
        <v>11439</v>
      </c>
      <c r="C52" s="74" t="s">
        <v>11440</v>
      </c>
      <c r="D52" s="72"/>
      <c r="F52" s="43"/>
      <c r="G52" s="37"/>
      <c r="H52" s="38"/>
      <c r="I52" s="44" t="s">
        <v>397</v>
      </c>
      <c r="J52" s="218" t="s">
        <v>398</v>
      </c>
      <c r="K52" s="46">
        <v>1</v>
      </c>
      <c r="L52" s="35"/>
      <c r="N52" s="234"/>
      <c r="O52" s="709"/>
      <c r="P52" s="704"/>
      <c r="Q52" s="47">
        <f>ROUND((ROUND((ROUND((_11_A家事増１．５*_11・２人),0)*(1+_11・A深夜)),0)*_11・初任),0)</f>
        <v>221</v>
      </c>
      <c r="R52" s="48"/>
    </row>
    <row r="53" spans="1:18" ht="16.5" customHeight="1" x14ac:dyDescent="0.15">
      <c r="A53" s="41">
        <v>11</v>
      </c>
      <c r="B53" s="41" t="s">
        <v>11441</v>
      </c>
      <c r="C53" s="74" t="s">
        <v>11442</v>
      </c>
      <c r="D53" s="72"/>
      <c r="F53" s="752" t="s">
        <v>400</v>
      </c>
      <c r="G53" s="221" t="s">
        <v>398</v>
      </c>
      <c r="H53" s="50">
        <v>0.9</v>
      </c>
      <c r="I53" s="163"/>
      <c r="J53" s="247"/>
      <c r="K53" s="46"/>
      <c r="L53" s="35"/>
      <c r="N53" s="234"/>
      <c r="O53" s="709"/>
      <c r="P53" s="704"/>
      <c r="Q53" s="47">
        <f>ROUND((ROUND((ROUND((_11_A家事増１．５*_11・基礎２),0)*(1+_11・A深夜)),0)*_11・初任),0)</f>
        <v>199</v>
      </c>
      <c r="R53" s="48"/>
    </row>
    <row r="54" spans="1:18" ht="16.5" customHeight="1" x14ac:dyDescent="0.15">
      <c r="A54" s="41">
        <v>11</v>
      </c>
      <c r="B54" s="41" t="s">
        <v>11443</v>
      </c>
      <c r="C54" s="74" t="s">
        <v>11444</v>
      </c>
      <c r="D54" s="72"/>
      <c r="F54" s="800"/>
      <c r="G54" s="216"/>
      <c r="H54" s="38"/>
      <c r="I54" s="44" t="s">
        <v>397</v>
      </c>
      <c r="J54" s="218" t="s">
        <v>398</v>
      </c>
      <c r="K54" s="46">
        <v>1</v>
      </c>
      <c r="L54" s="35"/>
      <c r="N54" s="234"/>
      <c r="O54" s="240" t="s">
        <v>398</v>
      </c>
      <c r="P54" s="38">
        <f>_11・初任</f>
        <v>0.7</v>
      </c>
      <c r="Q54" s="47">
        <f>ROUND((ROUND((ROUND((ROUND((_11_A家事増１．５*_11・基礎２),0)*_11・２人),0)*(1+_11・A深夜)),0)*_11・初任),0)</f>
        <v>199</v>
      </c>
      <c r="R54" s="48"/>
    </row>
    <row r="55" spans="1:18" ht="16.5" customHeight="1" x14ac:dyDescent="0.15">
      <c r="A55" s="41">
        <v>11</v>
      </c>
      <c r="B55" s="41">
        <v>8239</v>
      </c>
      <c r="C55" s="74" t="s">
        <v>11445</v>
      </c>
      <c r="D55" s="707" t="s">
        <v>11446</v>
      </c>
      <c r="E55" s="798"/>
      <c r="F55" s="53"/>
      <c r="G55" s="49"/>
      <c r="H55" s="50"/>
      <c r="I55" s="163"/>
      <c r="J55" s="45"/>
      <c r="K55" s="46"/>
      <c r="L55" s="35"/>
      <c r="N55" s="234"/>
      <c r="O55" s="53"/>
      <c r="P55" s="50"/>
      <c r="Q55" s="47">
        <f>ROUND((_11_A家事増１．７５*(1+_11・A深夜)),0)</f>
        <v>368</v>
      </c>
      <c r="R55" s="48"/>
    </row>
    <row r="56" spans="1:18" ht="16.5" customHeight="1" x14ac:dyDescent="0.15">
      <c r="A56" s="41">
        <v>11</v>
      </c>
      <c r="B56" s="41">
        <v>8240</v>
      </c>
      <c r="C56" s="74" t="s">
        <v>11447</v>
      </c>
      <c r="D56" s="799"/>
      <c r="E56" s="796"/>
      <c r="F56" s="43"/>
      <c r="G56" s="37"/>
      <c r="H56" s="38"/>
      <c r="I56" s="44" t="s">
        <v>397</v>
      </c>
      <c r="J56" s="218" t="s">
        <v>398</v>
      </c>
      <c r="K56" s="46">
        <v>1</v>
      </c>
      <c r="L56" s="35"/>
      <c r="N56" s="234"/>
      <c r="O56" s="35"/>
      <c r="Q56" s="47">
        <f>ROUND((ROUND((_11_A家事増１．７５*_11・２人),0)*(1+_11・A深夜)),0)</f>
        <v>368</v>
      </c>
      <c r="R56" s="48"/>
    </row>
    <row r="57" spans="1:18" ht="16.5" customHeight="1" x14ac:dyDescent="0.15">
      <c r="A57" s="41">
        <v>11</v>
      </c>
      <c r="B57" s="41">
        <v>8241</v>
      </c>
      <c r="C57" s="74" t="s">
        <v>11448</v>
      </c>
      <c r="D57" s="799"/>
      <c r="E57" s="796"/>
      <c r="F57" s="752" t="s">
        <v>400</v>
      </c>
      <c r="G57" s="221" t="s">
        <v>398</v>
      </c>
      <c r="H57" s="50">
        <v>0.9</v>
      </c>
      <c r="I57" s="163"/>
      <c r="J57" s="247"/>
      <c r="K57" s="46"/>
      <c r="L57" s="35"/>
      <c r="N57" s="234"/>
      <c r="O57" s="35"/>
      <c r="Q57" s="47">
        <f>ROUND((ROUND((_11_A家事増１．７５*_11・基礎２),0)*(1+_11・A深夜)),0)</f>
        <v>332</v>
      </c>
      <c r="R57" s="48"/>
    </row>
    <row r="58" spans="1:18" ht="16.5" customHeight="1" x14ac:dyDescent="0.15">
      <c r="A58" s="41">
        <v>11</v>
      </c>
      <c r="B58" s="41">
        <v>8242</v>
      </c>
      <c r="C58" s="74" t="s">
        <v>11449</v>
      </c>
      <c r="D58" s="100">
        <f>_11_A家事増１．７５</f>
        <v>245</v>
      </c>
      <c r="E58" s="12" t="s">
        <v>392</v>
      </c>
      <c r="F58" s="800"/>
      <c r="G58" s="216"/>
      <c r="H58" s="38"/>
      <c r="I58" s="44" t="s">
        <v>397</v>
      </c>
      <c r="J58" s="218" t="s">
        <v>398</v>
      </c>
      <c r="K58" s="46">
        <v>1</v>
      </c>
      <c r="L58" s="35"/>
      <c r="N58" s="234"/>
      <c r="O58" s="43"/>
      <c r="P58" s="38"/>
      <c r="Q58" s="47">
        <f>ROUND((ROUND((ROUND((_11_A家事増１．７５*_11・基礎２),0)*_11・２人),0)*(1+_11・A深夜)),0)</f>
        <v>332</v>
      </c>
      <c r="R58" s="48"/>
    </row>
    <row r="59" spans="1:18" ht="16.5" customHeight="1" x14ac:dyDescent="0.15">
      <c r="A59" s="41">
        <v>11</v>
      </c>
      <c r="B59" s="41" t="s">
        <v>11450</v>
      </c>
      <c r="C59" s="74" t="s">
        <v>11451</v>
      </c>
      <c r="D59" s="72"/>
      <c r="F59" s="53"/>
      <c r="G59" s="49"/>
      <c r="H59" s="50"/>
      <c r="I59" s="163"/>
      <c r="J59" s="45"/>
      <c r="K59" s="46"/>
      <c r="L59" s="35"/>
      <c r="N59" s="234"/>
      <c r="O59" s="707" t="s">
        <v>404</v>
      </c>
      <c r="P59" s="708"/>
      <c r="Q59" s="47">
        <f>ROUND((ROUND((_11_A家事増１．７５*(1+_11・A深夜)),0)*_11・初任),0)</f>
        <v>258</v>
      </c>
      <c r="R59" s="48"/>
    </row>
    <row r="60" spans="1:18" ht="16.5" customHeight="1" x14ac:dyDescent="0.15">
      <c r="A60" s="41">
        <v>11</v>
      </c>
      <c r="B60" s="41" t="s">
        <v>11452</v>
      </c>
      <c r="C60" s="74" t="s">
        <v>11453</v>
      </c>
      <c r="D60" s="72"/>
      <c r="F60" s="43"/>
      <c r="G60" s="37"/>
      <c r="H60" s="38"/>
      <c r="I60" s="44" t="s">
        <v>397</v>
      </c>
      <c r="J60" s="218" t="s">
        <v>398</v>
      </c>
      <c r="K60" s="46">
        <v>1</v>
      </c>
      <c r="L60" s="35"/>
      <c r="N60" s="234"/>
      <c r="O60" s="709"/>
      <c r="P60" s="704"/>
      <c r="Q60" s="47">
        <f>ROUND((ROUND((ROUND((_11_A家事増１．７５*_11・２人),0)*(1+_11・A深夜)),0)*_11・初任),0)</f>
        <v>258</v>
      </c>
      <c r="R60" s="48"/>
    </row>
    <row r="61" spans="1:18" ht="16.5" customHeight="1" x14ac:dyDescent="0.15">
      <c r="A61" s="41">
        <v>11</v>
      </c>
      <c r="B61" s="41" t="s">
        <v>11454</v>
      </c>
      <c r="C61" s="74" t="s">
        <v>11455</v>
      </c>
      <c r="D61" s="72"/>
      <c r="F61" s="752" t="s">
        <v>400</v>
      </c>
      <c r="G61" s="221" t="s">
        <v>398</v>
      </c>
      <c r="H61" s="50">
        <v>0.9</v>
      </c>
      <c r="I61" s="163"/>
      <c r="J61" s="247"/>
      <c r="K61" s="46"/>
      <c r="L61" s="35"/>
      <c r="N61" s="234"/>
      <c r="O61" s="709"/>
      <c r="P61" s="704"/>
      <c r="Q61" s="47">
        <f>ROUND((ROUND((ROUND((_11_A家事増１．７５*_11・基礎２),0)*(1+_11・A深夜)),0)*_11・初任),0)</f>
        <v>232</v>
      </c>
      <c r="R61" s="48"/>
    </row>
    <row r="62" spans="1:18" ht="16.5" customHeight="1" x14ac:dyDescent="0.15">
      <c r="A62" s="41">
        <v>11</v>
      </c>
      <c r="B62" s="41" t="s">
        <v>11456</v>
      </c>
      <c r="C62" s="74" t="s">
        <v>11457</v>
      </c>
      <c r="D62" s="72"/>
      <c r="F62" s="800"/>
      <c r="G62" s="216"/>
      <c r="H62" s="38"/>
      <c r="I62" s="44" t="s">
        <v>397</v>
      </c>
      <c r="J62" s="218" t="s">
        <v>398</v>
      </c>
      <c r="K62" s="46">
        <v>1</v>
      </c>
      <c r="L62" s="35"/>
      <c r="N62" s="234"/>
      <c r="O62" s="240" t="s">
        <v>398</v>
      </c>
      <c r="P62" s="38">
        <f>_11・初任</f>
        <v>0.7</v>
      </c>
      <c r="Q62" s="47">
        <f>ROUND((ROUND((ROUND((ROUND((_11_A家事増１．７５*_11・基礎２),0)*_11・２人),0)*(1+_11・A深夜)),0)*_11・初任),0)</f>
        <v>232</v>
      </c>
      <c r="R62" s="48"/>
    </row>
    <row r="63" spans="1:18" ht="16.5" customHeight="1" x14ac:dyDescent="0.15">
      <c r="A63" s="41">
        <v>11</v>
      </c>
      <c r="B63" s="41">
        <v>6535</v>
      </c>
      <c r="C63" s="74" t="s">
        <v>11458</v>
      </c>
      <c r="D63" s="707" t="s">
        <v>11459</v>
      </c>
      <c r="E63" s="798"/>
      <c r="F63" s="53"/>
      <c r="G63" s="49"/>
      <c r="H63" s="50"/>
      <c r="I63" s="163"/>
      <c r="J63" s="45"/>
      <c r="K63" s="46"/>
      <c r="L63" s="35"/>
      <c r="N63" s="234"/>
      <c r="O63" s="53"/>
      <c r="P63" s="50"/>
      <c r="Q63" s="47">
        <f>ROUND((_11_A家事増２．０*(1+_11・A深夜)),0)</f>
        <v>420</v>
      </c>
      <c r="R63" s="48"/>
    </row>
    <row r="64" spans="1:18" ht="16.5" customHeight="1" x14ac:dyDescent="0.15">
      <c r="A64" s="41">
        <v>11</v>
      </c>
      <c r="B64" s="41">
        <v>6536</v>
      </c>
      <c r="C64" s="74" t="s">
        <v>11460</v>
      </c>
      <c r="D64" s="799"/>
      <c r="E64" s="796"/>
      <c r="F64" s="43"/>
      <c r="G64" s="37"/>
      <c r="H64" s="38"/>
      <c r="I64" s="44" t="s">
        <v>397</v>
      </c>
      <c r="J64" s="218" t="s">
        <v>398</v>
      </c>
      <c r="K64" s="46">
        <v>1</v>
      </c>
      <c r="L64" s="35"/>
      <c r="N64" s="234"/>
      <c r="O64" s="35"/>
      <c r="Q64" s="47">
        <f>ROUND((ROUND((_11_A家事増２．０*_11・２人),0)*(1+_11・A深夜)),0)</f>
        <v>420</v>
      </c>
      <c r="R64" s="48"/>
    </row>
    <row r="65" spans="1:18" ht="16.5" customHeight="1" x14ac:dyDescent="0.15">
      <c r="A65" s="41">
        <v>11</v>
      </c>
      <c r="B65" s="41">
        <v>6537</v>
      </c>
      <c r="C65" s="74" t="s">
        <v>11461</v>
      </c>
      <c r="D65" s="799"/>
      <c r="E65" s="796"/>
      <c r="F65" s="752" t="s">
        <v>400</v>
      </c>
      <c r="G65" s="221" t="s">
        <v>398</v>
      </c>
      <c r="H65" s="50">
        <v>0.9</v>
      </c>
      <c r="I65" s="163"/>
      <c r="J65" s="247"/>
      <c r="K65" s="46"/>
      <c r="L65" s="35"/>
      <c r="N65" s="234"/>
      <c r="O65" s="35"/>
      <c r="Q65" s="47">
        <f>ROUND((ROUND((_11_A家事増２．０*_11・基礎２),0)*(1+_11・A深夜)),0)</f>
        <v>378</v>
      </c>
      <c r="R65" s="48"/>
    </row>
    <row r="66" spans="1:18" ht="16.5" customHeight="1" x14ac:dyDescent="0.15">
      <c r="A66" s="41">
        <v>11</v>
      </c>
      <c r="B66" s="41">
        <v>6538</v>
      </c>
      <c r="C66" s="74" t="s">
        <v>11462</v>
      </c>
      <c r="D66" s="100">
        <f>_11_A家事増２．０</f>
        <v>280</v>
      </c>
      <c r="E66" s="12" t="s">
        <v>392</v>
      </c>
      <c r="F66" s="800"/>
      <c r="G66" s="216"/>
      <c r="H66" s="38"/>
      <c r="I66" s="44" t="s">
        <v>397</v>
      </c>
      <c r="J66" s="218" t="s">
        <v>398</v>
      </c>
      <c r="K66" s="46">
        <v>1</v>
      </c>
      <c r="L66" s="35"/>
      <c r="N66" s="234"/>
      <c r="O66" s="43"/>
      <c r="P66" s="38"/>
      <c r="Q66" s="47">
        <f>ROUND((ROUND((ROUND((_11_A家事増２．０*_11・基礎２),0)*_11・２人),0)*(1+_11・A深夜)),0)</f>
        <v>378</v>
      </c>
      <c r="R66" s="48"/>
    </row>
    <row r="67" spans="1:18" ht="16.5" customHeight="1" x14ac:dyDescent="0.15">
      <c r="A67" s="41">
        <v>11</v>
      </c>
      <c r="B67" s="41" t="s">
        <v>11463</v>
      </c>
      <c r="C67" s="74" t="s">
        <v>11464</v>
      </c>
      <c r="D67" s="72"/>
      <c r="F67" s="53"/>
      <c r="G67" s="49"/>
      <c r="H67" s="50"/>
      <c r="I67" s="163"/>
      <c r="J67" s="45"/>
      <c r="K67" s="46"/>
      <c r="L67" s="35"/>
      <c r="N67" s="234"/>
      <c r="O67" s="707" t="s">
        <v>404</v>
      </c>
      <c r="P67" s="708"/>
      <c r="Q67" s="47">
        <f>ROUND((ROUND((_11_A家事増２．０*(1+_11・A深夜)),0)*_11・初任),0)</f>
        <v>294</v>
      </c>
      <c r="R67" s="48"/>
    </row>
    <row r="68" spans="1:18" ht="16.5" customHeight="1" x14ac:dyDescent="0.15">
      <c r="A68" s="41">
        <v>11</v>
      </c>
      <c r="B68" s="41" t="s">
        <v>11465</v>
      </c>
      <c r="C68" s="74" t="s">
        <v>11466</v>
      </c>
      <c r="D68" s="72"/>
      <c r="F68" s="43"/>
      <c r="G68" s="37"/>
      <c r="H68" s="38"/>
      <c r="I68" s="44" t="s">
        <v>397</v>
      </c>
      <c r="J68" s="218" t="s">
        <v>398</v>
      </c>
      <c r="K68" s="46">
        <v>1</v>
      </c>
      <c r="L68" s="35"/>
      <c r="N68" s="234"/>
      <c r="O68" s="709"/>
      <c r="P68" s="704"/>
      <c r="Q68" s="47">
        <f>ROUND((ROUND((ROUND((_11_A家事増２．０*_11・２人),0)*(1+_11・A深夜)),0)*_11・初任),0)</f>
        <v>294</v>
      </c>
      <c r="R68" s="48"/>
    </row>
    <row r="69" spans="1:18" ht="16.5" customHeight="1" x14ac:dyDescent="0.15">
      <c r="A69" s="41">
        <v>11</v>
      </c>
      <c r="B69" s="41" t="s">
        <v>11467</v>
      </c>
      <c r="C69" s="74" t="s">
        <v>11468</v>
      </c>
      <c r="D69" s="72"/>
      <c r="F69" s="752" t="s">
        <v>400</v>
      </c>
      <c r="G69" s="221" t="s">
        <v>398</v>
      </c>
      <c r="H69" s="50">
        <v>0.9</v>
      </c>
      <c r="I69" s="163"/>
      <c r="J69" s="247"/>
      <c r="K69" s="46"/>
      <c r="L69" s="35"/>
      <c r="N69" s="234"/>
      <c r="O69" s="709"/>
      <c r="P69" s="704"/>
      <c r="Q69" s="47">
        <f>ROUND((ROUND((ROUND((_11_A家事増２．０*_11・基礎２),0)*(1+_11・A深夜)),0)*_11・初任),0)</f>
        <v>265</v>
      </c>
      <c r="R69" s="48"/>
    </row>
    <row r="70" spans="1:18" ht="16.5" customHeight="1" x14ac:dyDescent="0.15">
      <c r="A70" s="41">
        <v>11</v>
      </c>
      <c r="B70" s="41" t="s">
        <v>11469</v>
      </c>
      <c r="C70" s="74" t="s">
        <v>11470</v>
      </c>
      <c r="D70" s="72"/>
      <c r="F70" s="800"/>
      <c r="G70" s="216"/>
      <c r="H70" s="38"/>
      <c r="I70" s="44" t="s">
        <v>397</v>
      </c>
      <c r="J70" s="218" t="s">
        <v>398</v>
      </c>
      <c r="K70" s="46">
        <v>1</v>
      </c>
      <c r="L70" s="35"/>
      <c r="N70" s="234"/>
      <c r="O70" s="240" t="s">
        <v>398</v>
      </c>
      <c r="P70" s="38">
        <f>_11・初任</f>
        <v>0.7</v>
      </c>
      <c r="Q70" s="47">
        <f>ROUND((ROUND((ROUND((ROUND((_11_A家事増２．０*_11・基礎２),0)*_11・２人),0)*(1+_11・A深夜)),0)*_11・初任),0)</f>
        <v>265</v>
      </c>
      <c r="R70" s="48"/>
    </row>
    <row r="71" spans="1:18" ht="16.5" customHeight="1" x14ac:dyDescent="0.15">
      <c r="A71" s="41">
        <v>11</v>
      </c>
      <c r="B71" s="41">
        <v>8243</v>
      </c>
      <c r="C71" s="74" t="s">
        <v>11471</v>
      </c>
      <c r="D71" s="707" t="s">
        <v>11472</v>
      </c>
      <c r="E71" s="798"/>
      <c r="F71" s="53"/>
      <c r="G71" s="49"/>
      <c r="H71" s="50"/>
      <c r="I71" s="163"/>
      <c r="J71" s="45"/>
      <c r="K71" s="46"/>
      <c r="L71" s="35"/>
      <c r="N71" s="234"/>
      <c r="O71" s="53"/>
      <c r="P71" s="50"/>
      <c r="Q71" s="47">
        <f>ROUND((_11_A家事増２．２５*(1+_11・A深夜)),0)</f>
        <v>473</v>
      </c>
      <c r="R71" s="48"/>
    </row>
    <row r="72" spans="1:18" ht="16.5" customHeight="1" x14ac:dyDescent="0.15">
      <c r="A72" s="41">
        <v>11</v>
      </c>
      <c r="B72" s="41">
        <v>8244</v>
      </c>
      <c r="C72" s="74" t="s">
        <v>11473</v>
      </c>
      <c r="D72" s="799"/>
      <c r="E72" s="796"/>
      <c r="F72" s="43"/>
      <c r="G72" s="37"/>
      <c r="H72" s="38"/>
      <c r="I72" s="44" t="s">
        <v>397</v>
      </c>
      <c r="J72" s="218" t="s">
        <v>398</v>
      </c>
      <c r="K72" s="46">
        <v>1</v>
      </c>
      <c r="L72" s="35"/>
      <c r="N72" s="234"/>
      <c r="O72" s="35"/>
      <c r="Q72" s="47">
        <f>ROUND((ROUND((_11_A家事増２．２５*_11・２人),0)*(1+_11・A深夜)),0)</f>
        <v>473</v>
      </c>
      <c r="R72" s="48"/>
    </row>
    <row r="73" spans="1:18" ht="16.5" customHeight="1" x14ac:dyDescent="0.15">
      <c r="A73" s="41">
        <v>11</v>
      </c>
      <c r="B73" s="41">
        <v>8245</v>
      </c>
      <c r="C73" s="74" t="s">
        <v>11474</v>
      </c>
      <c r="D73" s="799"/>
      <c r="E73" s="796"/>
      <c r="F73" s="752" t="s">
        <v>400</v>
      </c>
      <c r="G73" s="221" t="s">
        <v>398</v>
      </c>
      <c r="H73" s="50">
        <v>0.9</v>
      </c>
      <c r="I73" s="163"/>
      <c r="J73" s="247"/>
      <c r="K73" s="46"/>
      <c r="L73" s="35"/>
      <c r="N73" s="234"/>
      <c r="O73" s="35"/>
      <c r="Q73" s="47">
        <f>ROUND((ROUND((_11_A家事増２．２５*_11・基礎２),0)*(1+_11・A深夜)),0)</f>
        <v>426</v>
      </c>
      <c r="R73" s="48"/>
    </row>
    <row r="74" spans="1:18" ht="16.5" customHeight="1" x14ac:dyDescent="0.15">
      <c r="A74" s="41">
        <v>11</v>
      </c>
      <c r="B74" s="41">
        <v>8246</v>
      </c>
      <c r="C74" s="74" t="s">
        <v>11475</v>
      </c>
      <c r="D74" s="100">
        <f>_11_A家事増２．２５</f>
        <v>315</v>
      </c>
      <c r="E74" s="12" t="s">
        <v>392</v>
      </c>
      <c r="F74" s="800"/>
      <c r="G74" s="216"/>
      <c r="H74" s="38"/>
      <c r="I74" s="44" t="s">
        <v>397</v>
      </c>
      <c r="J74" s="218" t="s">
        <v>398</v>
      </c>
      <c r="K74" s="46">
        <v>1</v>
      </c>
      <c r="L74" s="35"/>
      <c r="N74" s="234"/>
      <c r="O74" s="43"/>
      <c r="P74" s="38"/>
      <c r="Q74" s="47">
        <f>ROUND((ROUND((ROUND((_11_A家事増２．２５*_11・基礎２),0)*_11・２人),0)*(1+_11・A深夜)),0)</f>
        <v>426</v>
      </c>
      <c r="R74" s="48"/>
    </row>
    <row r="75" spans="1:18" ht="16.5" customHeight="1" x14ac:dyDescent="0.15">
      <c r="A75" s="41">
        <v>11</v>
      </c>
      <c r="B75" s="41" t="s">
        <v>11476</v>
      </c>
      <c r="C75" s="74" t="s">
        <v>11477</v>
      </c>
      <c r="D75" s="72"/>
      <c r="F75" s="53"/>
      <c r="G75" s="49"/>
      <c r="H75" s="50"/>
      <c r="I75" s="163"/>
      <c r="J75" s="45"/>
      <c r="K75" s="46"/>
      <c r="L75" s="35"/>
      <c r="N75" s="234"/>
      <c r="O75" s="707" t="s">
        <v>404</v>
      </c>
      <c r="P75" s="708"/>
      <c r="Q75" s="47">
        <f>ROUND((ROUND((_11_A家事増２．２５*(1+_11・A深夜)),0)*_11・初任),0)</f>
        <v>331</v>
      </c>
      <c r="R75" s="48"/>
    </row>
    <row r="76" spans="1:18" ht="16.5" customHeight="1" x14ac:dyDescent="0.15">
      <c r="A76" s="41">
        <v>11</v>
      </c>
      <c r="B76" s="41" t="s">
        <v>11478</v>
      </c>
      <c r="C76" s="74" t="s">
        <v>11479</v>
      </c>
      <c r="D76" s="72"/>
      <c r="F76" s="43"/>
      <c r="G76" s="37"/>
      <c r="H76" s="38"/>
      <c r="I76" s="44" t="s">
        <v>397</v>
      </c>
      <c r="J76" s="218" t="s">
        <v>398</v>
      </c>
      <c r="K76" s="46">
        <v>1</v>
      </c>
      <c r="L76" s="35"/>
      <c r="N76" s="234"/>
      <c r="O76" s="709"/>
      <c r="P76" s="704"/>
      <c r="Q76" s="47">
        <f>ROUND((ROUND((ROUND((_11_A家事増２．２５*_11・２人),0)*(1+_11・A深夜)),0)*_11・初任),0)</f>
        <v>331</v>
      </c>
      <c r="R76" s="48"/>
    </row>
    <row r="77" spans="1:18" ht="16.5" customHeight="1" x14ac:dyDescent="0.15">
      <c r="A77" s="41">
        <v>11</v>
      </c>
      <c r="B77" s="41" t="s">
        <v>11480</v>
      </c>
      <c r="C77" s="74" t="s">
        <v>11481</v>
      </c>
      <c r="D77" s="72"/>
      <c r="F77" s="752" t="s">
        <v>400</v>
      </c>
      <c r="G77" s="221" t="s">
        <v>398</v>
      </c>
      <c r="H77" s="50">
        <v>0.9</v>
      </c>
      <c r="I77" s="163"/>
      <c r="J77" s="247"/>
      <c r="K77" s="46"/>
      <c r="L77" s="35"/>
      <c r="N77" s="234"/>
      <c r="O77" s="709"/>
      <c r="P77" s="704"/>
      <c r="Q77" s="47">
        <f>ROUND((ROUND((ROUND((_11_A家事増２．２５*_11・基礎２),0)*(1+_11・A深夜)),0)*_11・初任),0)</f>
        <v>298</v>
      </c>
      <c r="R77" s="48"/>
    </row>
    <row r="78" spans="1:18" ht="16.5" customHeight="1" x14ac:dyDescent="0.15">
      <c r="A78" s="41">
        <v>11</v>
      </c>
      <c r="B78" s="41" t="s">
        <v>11482</v>
      </c>
      <c r="C78" s="74" t="s">
        <v>11483</v>
      </c>
      <c r="D78" s="122"/>
      <c r="E78" s="37"/>
      <c r="F78" s="800"/>
      <c r="G78" s="216"/>
      <c r="H78" s="38"/>
      <c r="I78" s="44" t="s">
        <v>397</v>
      </c>
      <c r="J78" s="218" t="s">
        <v>398</v>
      </c>
      <c r="K78" s="46">
        <v>1</v>
      </c>
      <c r="L78" s="43"/>
      <c r="M78" s="37"/>
      <c r="N78" s="244"/>
      <c r="O78" s="240" t="s">
        <v>398</v>
      </c>
      <c r="P78" s="38">
        <f>_11・初任</f>
        <v>0.7</v>
      </c>
      <c r="Q78" s="47">
        <f>ROUND((ROUND((ROUND((ROUND((_11_A家事増２．２５*_11・基礎２),0)*_11・２人),0)*(1+_11・A深夜)),0)*_11・初任),0)</f>
        <v>298</v>
      </c>
      <c r="R78" s="63"/>
    </row>
    <row r="79" spans="1:18" ht="16.5" customHeight="1" x14ac:dyDescent="0.15">
      <c r="A79" s="33">
        <v>11</v>
      </c>
      <c r="B79" s="33">
        <v>6539</v>
      </c>
      <c r="C79" s="34" t="s">
        <v>11484</v>
      </c>
      <c r="D79" s="709" t="s">
        <v>11485</v>
      </c>
      <c r="E79" s="796"/>
      <c r="F79" s="35"/>
      <c r="G79" s="12"/>
      <c r="I79" s="43"/>
      <c r="J79" s="37"/>
      <c r="K79" s="38"/>
      <c r="L79" s="35" t="s">
        <v>862</v>
      </c>
      <c r="N79" s="234"/>
      <c r="O79" s="35"/>
      <c r="Q79" s="39">
        <f>ROUND((_11_A家事増２．５*(1+_11・A深夜)),0)</f>
        <v>525</v>
      </c>
      <c r="R79" s="48"/>
    </row>
    <row r="80" spans="1:18" ht="16.5" customHeight="1" x14ac:dyDescent="0.15">
      <c r="A80" s="41">
        <v>11</v>
      </c>
      <c r="B80" s="41">
        <v>6540</v>
      </c>
      <c r="C80" s="74" t="s">
        <v>11486</v>
      </c>
      <c r="D80" s="799"/>
      <c r="E80" s="796"/>
      <c r="F80" s="43"/>
      <c r="G80" s="37"/>
      <c r="H80" s="38"/>
      <c r="I80" s="44" t="s">
        <v>397</v>
      </c>
      <c r="J80" s="218" t="s">
        <v>398</v>
      </c>
      <c r="K80" s="46">
        <v>1</v>
      </c>
      <c r="L80" s="248" t="s">
        <v>398</v>
      </c>
      <c r="M80" s="13">
        <v>0.5</v>
      </c>
      <c r="N80" s="718" t="s">
        <v>676</v>
      </c>
      <c r="O80" s="35"/>
      <c r="Q80" s="47">
        <f>ROUND((ROUND((_11_A家事増２．５*_11・２人),0)*(1+_11・A深夜)),0)</f>
        <v>525</v>
      </c>
      <c r="R80" s="48"/>
    </row>
    <row r="81" spans="1:18" ht="16.5" customHeight="1" x14ac:dyDescent="0.15">
      <c r="A81" s="41">
        <v>11</v>
      </c>
      <c r="B81" s="41">
        <v>6541</v>
      </c>
      <c r="C81" s="74" t="s">
        <v>11487</v>
      </c>
      <c r="D81" s="799"/>
      <c r="E81" s="796"/>
      <c r="F81" s="752" t="s">
        <v>400</v>
      </c>
      <c r="G81" s="221" t="s">
        <v>398</v>
      </c>
      <c r="H81" s="50">
        <v>0.9</v>
      </c>
      <c r="I81" s="163"/>
      <c r="J81" s="247"/>
      <c r="K81" s="46"/>
      <c r="L81" s="35"/>
      <c r="N81" s="796"/>
      <c r="O81" s="35"/>
      <c r="Q81" s="47">
        <f>ROUND((ROUND((_11_A家事増２．５*_11・基礎２),0)*(1+_11・A深夜)),0)</f>
        <v>473</v>
      </c>
      <c r="R81" s="48"/>
    </row>
    <row r="82" spans="1:18" ht="16.5" customHeight="1" x14ac:dyDescent="0.15">
      <c r="A82" s="41">
        <v>11</v>
      </c>
      <c r="B82" s="41">
        <v>6542</v>
      </c>
      <c r="C82" s="74" t="s">
        <v>11488</v>
      </c>
      <c r="D82" s="100">
        <f>_11_A家事増２．５</f>
        <v>350</v>
      </c>
      <c r="E82" s="12" t="s">
        <v>392</v>
      </c>
      <c r="F82" s="800"/>
      <c r="G82" s="216"/>
      <c r="H82" s="38"/>
      <c r="I82" s="44" t="s">
        <v>397</v>
      </c>
      <c r="J82" s="218" t="s">
        <v>398</v>
      </c>
      <c r="K82" s="46">
        <v>1</v>
      </c>
      <c r="L82" s="35"/>
      <c r="N82" s="234"/>
      <c r="O82" s="43"/>
      <c r="P82" s="38"/>
      <c r="Q82" s="47">
        <f>ROUND((ROUND((ROUND((_11_A家事増２．５*_11・基礎２),0)*_11・２人),0)*(1+_11・A深夜)),0)</f>
        <v>473</v>
      </c>
      <c r="R82" s="48"/>
    </row>
    <row r="83" spans="1:18" ht="16.5" customHeight="1" x14ac:dyDescent="0.15">
      <c r="A83" s="41">
        <v>11</v>
      </c>
      <c r="B83" s="41" t="s">
        <v>11489</v>
      </c>
      <c r="C83" s="74" t="s">
        <v>11490</v>
      </c>
      <c r="D83" s="72"/>
      <c r="F83" s="53"/>
      <c r="G83" s="49"/>
      <c r="H83" s="50"/>
      <c r="I83" s="163"/>
      <c r="J83" s="45"/>
      <c r="K83" s="46"/>
      <c r="L83" s="35"/>
      <c r="N83" s="234"/>
      <c r="O83" s="707" t="s">
        <v>404</v>
      </c>
      <c r="P83" s="708"/>
      <c r="Q83" s="47">
        <f>ROUND((ROUND((_11_A家事増２．５*(1+_11・A深夜)),0)*_11・初任),0)</f>
        <v>368</v>
      </c>
      <c r="R83" s="48"/>
    </row>
    <row r="84" spans="1:18" ht="16.5" customHeight="1" x14ac:dyDescent="0.15">
      <c r="A84" s="41">
        <v>11</v>
      </c>
      <c r="B84" s="41" t="s">
        <v>11491</v>
      </c>
      <c r="C84" s="74" t="s">
        <v>11492</v>
      </c>
      <c r="D84" s="72"/>
      <c r="F84" s="43"/>
      <c r="G84" s="37"/>
      <c r="H84" s="38"/>
      <c r="I84" s="44" t="s">
        <v>397</v>
      </c>
      <c r="J84" s="218" t="s">
        <v>398</v>
      </c>
      <c r="K84" s="46">
        <v>1</v>
      </c>
      <c r="L84" s="35"/>
      <c r="N84" s="234"/>
      <c r="O84" s="709"/>
      <c r="P84" s="704"/>
      <c r="Q84" s="47">
        <f>ROUND((ROUND((ROUND((_11_A家事増２．５*_11・２人),0)*(1+_11・A深夜)),0)*_11・初任),0)</f>
        <v>368</v>
      </c>
      <c r="R84" s="48"/>
    </row>
    <row r="85" spans="1:18" ht="16.5" customHeight="1" x14ac:dyDescent="0.15">
      <c r="A85" s="41">
        <v>11</v>
      </c>
      <c r="B85" s="41" t="s">
        <v>11493</v>
      </c>
      <c r="C85" s="74" t="s">
        <v>11494</v>
      </c>
      <c r="D85" s="72"/>
      <c r="F85" s="752" t="s">
        <v>400</v>
      </c>
      <c r="G85" s="221" t="s">
        <v>398</v>
      </c>
      <c r="H85" s="50">
        <v>0.9</v>
      </c>
      <c r="I85" s="163"/>
      <c r="J85" s="247"/>
      <c r="K85" s="46"/>
      <c r="L85" s="35"/>
      <c r="N85" s="234"/>
      <c r="O85" s="709"/>
      <c r="P85" s="704"/>
      <c r="Q85" s="47">
        <f>ROUND((ROUND((ROUND((_11_A家事増２．５*_11・基礎２),0)*(1+_11・A深夜)),0)*_11・初任),0)</f>
        <v>331</v>
      </c>
      <c r="R85" s="48"/>
    </row>
    <row r="86" spans="1:18" ht="16.5" customHeight="1" x14ac:dyDescent="0.15">
      <c r="A86" s="41">
        <v>11</v>
      </c>
      <c r="B86" s="41" t="s">
        <v>11495</v>
      </c>
      <c r="C86" s="74" t="s">
        <v>11496</v>
      </c>
      <c r="D86" s="72"/>
      <c r="F86" s="800"/>
      <c r="G86" s="216"/>
      <c r="H86" s="38"/>
      <c r="I86" s="44" t="s">
        <v>397</v>
      </c>
      <c r="J86" s="218" t="s">
        <v>398</v>
      </c>
      <c r="K86" s="46">
        <v>1</v>
      </c>
      <c r="L86" s="35"/>
      <c r="N86" s="234"/>
      <c r="O86" s="240" t="s">
        <v>398</v>
      </c>
      <c r="P86" s="38">
        <f>_11・初任</f>
        <v>0.7</v>
      </c>
      <c r="Q86" s="47">
        <f>ROUND((ROUND((ROUND((ROUND((_11_A家事増２．５*_11・基礎２),0)*_11・２人),0)*(1+_11・A深夜)),0)*_11・初任),0)</f>
        <v>331</v>
      </c>
      <c r="R86" s="48"/>
    </row>
    <row r="87" spans="1:18" ht="16.5" customHeight="1" x14ac:dyDescent="0.15">
      <c r="A87" s="41">
        <v>11</v>
      </c>
      <c r="B87" s="41">
        <v>8247</v>
      </c>
      <c r="C87" s="74" t="s">
        <v>11497</v>
      </c>
      <c r="D87" s="707" t="s">
        <v>11498</v>
      </c>
      <c r="E87" s="798"/>
      <c r="F87" s="53"/>
      <c r="G87" s="49"/>
      <c r="H87" s="50"/>
      <c r="I87" s="163"/>
      <c r="J87" s="45"/>
      <c r="K87" s="46"/>
      <c r="L87" s="35"/>
      <c r="N87" s="234"/>
      <c r="O87" s="53"/>
      <c r="P87" s="50"/>
      <c r="Q87" s="47">
        <f>ROUND((_11_A家事増２．７５*(1+_11・A深夜)),0)</f>
        <v>578</v>
      </c>
      <c r="R87" s="48"/>
    </row>
    <row r="88" spans="1:18" ht="16.5" customHeight="1" x14ac:dyDescent="0.15">
      <c r="A88" s="41">
        <v>11</v>
      </c>
      <c r="B88" s="41">
        <v>8248</v>
      </c>
      <c r="C88" s="74" t="s">
        <v>11499</v>
      </c>
      <c r="D88" s="799"/>
      <c r="E88" s="796"/>
      <c r="F88" s="43"/>
      <c r="G88" s="37"/>
      <c r="H88" s="38"/>
      <c r="I88" s="44" t="s">
        <v>397</v>
      </c>
      <c r="J88" s="218" t="s">
        <v>398</v>
      </c>
      <c r="K88" s="46">
        <v>1</v>
      </c>
      <c r="L88" s="35"/>
      <c r="N88" s="234"/>
      <c r="O88" s="35"/>
      <c r="Q88" s="47">
        <f>ROUND((ROUND((_11_A家事増２．７５*_11・２人),0)*(1+_11・A深夜)),0)</f>
        <v>578</v>
      </c>
      <c r="R88" s="48"/>
    </row>
    <row r="89" spans="1:18" ht="16.5" customHeight="1" x14ac:dyDescent="0.15">
      <c r="A89" s="41">
        <v>11</v>
      </c>
      <c r="B89" s="41">
        <v>8249</v>
      </c>
      <c r="C89" s="74" t="s">
        <v>11500</v>
      </c>
      <c r="D89" s="799"/>
      <c r="E89" s="796"/>
      <c r="F89" s="752" t="s">
        <v>400</v>
      </c>
      <c r="G89" s="221" t="s">
        <v>398</v>
      </c>
      <c r="H89" s="50">
        <v>0.9</v>
      </c>
      <c r="I89" s="163"/>
      <c r="J89" s="247"/>
      <c r="K89" s="46"/>
      <c r="L89" s="35"/>
      <c r="N89" s="234"/>
      <c r="O89" s="35"/>
      <c r="Q89" s="47">
        <f>ROUND((ROUND((_11_A家事増２．７５*_11・基礎２),0)*(1+_11・A深夜)),0)</f>
        <v>521</v>
      </c>
      <c r="R89" s="48"/>
    </row>
    <row r="90" spans="1:18" ht="16.5" customHeight="1" x14ac:dyDescent="0.15">
      <c r="A90" s="41">
        <v>11</v>
      </c>
      <c r="B90" s="41">
        <v>8250</v>
      </c>
      <c r="C90" s="74" t="s">
        <v>11501</v>
      </c>
      <c r="D90" s="100">
        <f>_11_A家事増２．７５</f>
        <v>385</v>
      </c>
      <c r="E90" s="12" t="s">
        <v>392</v>
      </c>
      <c r="F90" s="800"/>
      <c r="G90" s="216"/>
      <c r="H90" s="38"/>
      <c r="I90" s="44" t="s">
        <v>397</v>
      </c>
      <c r="J90" s="218" t="s">
        <v>398</v>
      </c>
      <c r="K90" s="46">
        <v>1</v>
      </c>
      <c r="L90" s="35"/>
      <c r="N90" s="234"/>
      <c r="O90" s="43"/>
      <c r="P90" s="38"/>
      <c r="Q90" s="47">
        <f>ROUND((ROUND((ROUND((_11_A家事増２．７５*_11・基礎２),0)*_11・２人),0)*(1+_11・A深夜)),0)</f>
        <v>521</v>
      </c>
      <c r="R90" s="48"/>
    </row>
    <row r="91" spans="1:18" ht="16.5" customHeight="1" x14ac:dyDescent="0.15">
      <c r="A91" s="41">
        <v>11</v>
      </c>
      <c r="B91" s="41" t="s">
        <v>11502</v>
      </c>
      <c r="C91" s="74" t="s">
        <v>11503</v>
      </c>
      <c r="D91" s="72"/>
      <c r="F91" s="53"/>
      <c r="G91" s="49"/>
      <c r="H91" s="50"/>
      <c r="I91" s="163"/>
      <c r="J91" s="45"/>
      <c r="K91" s="46"/>
      <c r="L91" s="35"/>
      <c r="N91" s="234"/>
      <c r="O91" s="707" t="s">
        <v>404</v>
      </c>
      <c r="P91" s="708"/>
      <c r="Q91" s="47">
        <f>ROUND((ROUND((_11_A家事増２．７５*(1+_11・A深夜)),0)*_11・初任),0)</f>
        <v>405</v>
      </c>
      <c r="R91" s="48"/>
    </row>
    <row r="92" spans="1:18" ht="16.5" customHeight="1" x14ac:dyDescent="0.15">
      <c r="A92" s="41">
        <v>11</v>
      </c>
      <c r="B92" s="41" t="s">
        <v>11504</v>
      </c>
      <c r="C92" s="74" t="s">
        <v>11505</v>
      </c>
      <c r="D92" s="72"/>
      <c r="F92" s="43"/>
      <c r="G92" s="37"/>
      <c r="H92" s="38"/>
      <c r="I92" s="44" t="s">
        <v>397</v>
      </c>
      <c r="J92" s="218" t="s">
        <v>398</v>
      </c>
      <c r="K92" s="46">
        <v>1</v>
      </c>
      <c r="L92" s="35"/>
      <c r="N92" s="234"/>
      <c r="O92" s="709"/>
      <c r="P92" s="704"/>
      <c r="Q92" s="47">
        <f>ROUND((ROUND((ROUND((_11_A家事増２．７５*_11・２人),0)*(1+_11・A深夜)),0)*_11・初任),0)</f>
        <v>405</v>
      </c>
      <c r="R92" s="48"/>
    </row>
    <row r="93" spans="1:18" ht="16.5" customHeight="1" x14ac:dyDescent="0.15">
      <c r="A93" s="41">
        <v>11</v>
      </c>
      <c r="B93" s="41" t="s">
        <v>11506</v>
      </c>
      <c r="C93" s="74" t="s">
        <v>11507</v>
      </c>
      <c r="D93" s="72"/>
      <c r="F93" s="752" t="s">
        <v>400</v>
      </c>
      <c r="G93" s="221" t="s">
        <v>398</v>
      </c>
      <c r="H93" s="50">
        <v>0.9</v>
      </c>
      <c r="I93" s="163"/>
      <c r="J93" s="247"/>
      <c r="K93" s="46"/>
      <c r="L93" s="35"/>
      <c r="N93" s="234"/>
      <c r="O93" s="709"/>
      <c r="P93" s="704"/>
      <c r="Q93" s="47">
        <f>ROUND((ROUND((ROUND((_11_A家事増２．７５*_11・基礎２),0)*(1+_11・A深夜)),0)*_11・初任),0)</f>
        <v>365</v>
      </c>
      <c r="R93" s="48"/>
    </row>
    <row r="94" spans="1:18" ht="16.5" customHeight="1" x14ac:dyDescent="0.15">
      <c r="A94" s="41">
        <v>11</v>
      </c>
      <c r="B94" s="41" t="s">
        <v>11508</v>
      </c>
      <c r="C94" s="74" t="s">
        <v>11509</v>
      </c>
      <c r="D94" s="72"/>
      <c r="F94" s="800"/>
      <c r="G94" s="216"/>
      <c r="H94" s="38"/>
      <c r="I94" s="44" t="s">
        <v>397</v>
      </c>
      <c r="J94" s="218" t="s">
        <v>398</v>
      </c>
      <c r="K94" s="46">
        <v>1</v>
      </c>
      <c r="L94" s="35"/>
      <c r="N94" s="234"/>
      <c r="O94" s="240" t="s">
        <v>398</v>
      </c>
      <c r="P94" s="38">
        <f>_11・初任</f>
        <v>0.7</v>
      </c>
      <c r="Q94" s="47">
        <f>ROUND((ROUND((ROUND((ROUND((_11_A家事増２．７５*_11・基礎２),0)*_11・２人),0)*(1+_11・A深夜)),0)*_11・初任),0)</f>
        <v>365</v>
      </c>
      <c r="R94" s="48"/>
    </row>
    <row r="95" spans="1:18" ht="16.5" customHeight="1" x14ac:dyDescent="0.15">
      <c r="A95" s="41">
        <v>11</v>
      </c>
      <c r="B95" s="41">
        <v>6543</v>
      </c>
      <c r="C95" s="74" t="s">
        <v>11510</v>
      </c>
      <c r="D95" s="707" t="s">
        <v>11511</v>
      </c>
      <c r="E95" s="798"/>
      <c r="F95" s="53"/>
      <c r="G95" s="49"/>
      <c r="H95" s="50"/>
      <c r="I95" s="163"/>
      <c r="J95" s="45"/>
      <c r="K95" s="46"/>
      <c r="L95" s="35"/>
      <c r="N95" s="234"/>
      <c r="O95" s="53"/>
      <c r="P95" s="50"/>
      <c r="Q95" s="47">
        <f>ROUND((_11_A家事増３．０*(1+_11・A深夜)),0)</f>
        <v>630</v>
      </c>
      <c r="R95" s="48"/>
    </row>
    <row r="96" spans="1:18" ht="16.5" customHeight="1" x14ac:dyDescent="0.15">
      <c r="A96" s="41">
        <v>11</v>
      </c>
      <c r="B96" s="41">
        <v>6544</v>
      </c>
      <c r="C96" s="74" t="s">
        <v>11512</v>
      </c>
      <c r="D96" s="799"/>
      <c r="E96" s="796"/>
      <c r="F96" s="43"/>
      <c r="G96" s="37"/>
      <c r="H96" s="38"/>
      <c r="I96" s="44" t="s">
        <v>397</v>
      </c>
      <c r="J96" s="218" t="s">
        <v>398</v>
      </c>
      <c r="K96" s="46">
        <v>1</v>
      </c>
      <c r="L96" s="35"/>
      <c r="N96" s="234"/>
      <c r="O96" s="35"/>
      <c r="Q96" s="47">
        <f>ROUND((ROUND((_11_A家事増３．０*_11・２人),0)*(1+_11・A深夜)),0)</f>
        <v>630</v>
      </c>
      <c r="R96" s="48"/>
    </row>
    <row r="97" spans="1:18" ht="16.5" customHeight="1" x14ac:dyDescent="0.15">
      <c r="A97" s="41">
        <v>11</v>
      </c>
      <c r="B97" s="41">
        <v>6545</v>
      </c>
      <c r="C97" s="74" t="s">
        <v>11513</v>
      </c>
      <c r="D97" s="799"/>
      <c r="E97" s="796"/>
      <c r="F97" s="752" t="s">
        <v>400</v>
      </c>
      <c r="G97" s="221" t="s">
        <v>398</v>
      </c>
      <c r="H97" s="50">
        <v>0.9</v>
      </c>
      <c r="I97" s="163"/>
      <c r="J97" s="247"/>
      <c r="K97" s="46"/>
      <c r="L97" s="35"/>
      <c r="N97" s="234"/>
      <c r="O97" s="35"/>
      <c r="Q97" s="47">
        <f>ROUND((ROUND((_11_A家事増３．０*_11・基礎２),0)*(1+_11・A深夜)),0)</f>
        <v>567</v>
      </c>
      <c r="R97" s="48"/>
    </row>
    <row r="98" spans="1:18" ht="16.5" customHeight="1" x14ac:dyDescent="0.15">
      <c r="A98" s="41">
        <v>11</v>
      </c>
      <c r="B98" s="41">
        <v>6546</v>
      </c>
      <c r="C98" s="74" t="s">
        <v>11514</v>
      </c>
      <c r="D98" s="100">
        <f>_11_A家事増３．０</f>
        <v>420</v>
      </c>
      <c r="E98" s="12" t="s">
        <v>392</v>
      </c>
      <c r="F98" s="800"/>
      <c r="G98" s="216"/>
      <c r="H98" s="38"/>
      <c r="I98" s="44" t="s">
        <v>397</v>
      </c>
      <c r="J98" s="218" t="s">
        <v>398</v>
      </c>
      <c r="K98" s="46">
        <v>1</v>
      </c>
      <c r="L98" s="35"/>
      <c r="N98" s="234"/>
      <c r="O98" s="43"/>
      <c r="P98" s="38"/>
      <c r="Q98" s="47">
        <f>ROUND((ROUND((ROUND((_11_A家事増３．０*_11・基礎２),0)*_11・２人),0)*(1+_11・A深夜)),0)</f>
        <v>567</v>
      </c>
      <c r="R98" s="48"/>
    </row>
    <row r="99" spans="1:18" ht="16.5" customHeight="1" x14ac:dyDescent="0.15">
      <c r="A99" s="41">
        <v>11</v>
      </c>
      <c r="B99" s="41" t="s">
        <v>11515</v>
      </c>
      <c r="C99" s="74" t="s">
        <v>11516</v>
      </c>
      <c r="D99" s="72"/>
      <c r="F99" s="53"/>
      <c r="G99" s="49"/>
      <c r="H99" s="50"/>
      <c r="I99" s="163"/>
      <c r="J99" s="45"/>
      <c r="K99" s="46"/>
      <c r="L99" s="35"/>
      <c r="N99" s="234"/>
      <c r="O99" s="707" t="s">
        <v>404</v>
      </c>
      <c r="P99" s="708"/>
      <c r="Q99" s="47">
        <f>ROUND((ROUND((_11_A家事増３．０*(1+_11・A深夜)),0)*_11・初任),0)</f>
        <v>441</v>
      </c>
      <c r="R99" s="48"/>
    </row>
    <row r="100" spans="1:18" ht="16.5" customHeight="1" x14ac:dyDescent="0.15">
      <c r="A100" s="41">
        <v>11</v>
      </c>
      <c r="B100" s="41" t="s">
        <v>11517</v>
      </c>
      <c r="C100" s="74" t="s">
        <v>11518</v>
      </c>
      <c r="D100" s="72"/>
      <c r="F100" s="43"/>
      <c r="G100" s="37"/>
      <c r="H100" s="38"/>
      <c r="I100" s="44" t="s">
        <v>397</v>
      </c>
      <c r="J100" s="218" t="s">
        <v>398</v>
      </c>
      <c r="K100" s="46">
        <v>1</v>
      </c>
      <c r="L100" s="35"/>
      <c r="N100" s="234"/>
      <c r="O100" s="709"/>
      <c r="P100" s="704"/>
      <c r="Q100" s="47">
        <f>ROUND((ROUND((ROUND((_11_A家事増３．０*_11・２人),0)*(1+_11・A深夜)),0)*_11・初任),0)</f>
        <v>441</v>
      </c>
      <c r="R100" s="48"/>
    </row>
    <row r="101" spans="1:18" ht="16.5" customHeight="1" x14ac:dyDescent="0.15">
      <c r="A101" s="41">
        <v>11</v>
      </c>
      <c r="B101" s="41" t="s">
        <v>11519</v>
      </c>
      <c r="C101" s="74" t="s">
        <v>11520</v>
      </c>
      <c r="D101" s="72"/>
      <c r="F101" s="752" t="s">
        <v>400</v>
      </c>
      <c r="G101" s="221" t="s">
        <v>398</v>
      </c>
      <c r="H101" s="50">
        <v>0.9</v>
      </c>
      <c r="I101" s="163"/>
      <c r="J101" s="247"/>
      <c r="K101" s="46"/>
      <c r="L101" s="35"/>
      <c r="N101" s="234"/>
      <c r="O101" s="709"/>
      <c r="P101" s="704"/>
      <c r="Q101" s="47">
        <f>ROUND((ROUND((ROUND((_11_A家事増３．０*_11・基礎２),0)*(1+_11・A深夜)),0)*_11・初任),0)</f>
        <v>397</v>
      </c>
      <c r="R101" s="48"/>
    </row>
    <row r="102" spans="1:18" ht="16.5" customHeight="1" x14ac:dyDescent="0.15">
      <c r="A102" s="41">
        <v>11</v>
      </c>
      <c r="B102" s="41" t="s">
        <v>11521</v>
      </c>
      <c r="C102" s="74" t="s">
        <v>11522</v>
      </c>
      <c r="D102" s="72"/>
      <c r="F102" s="800"/>
      <c r="G102" s="216"/>
      <c r="H102" s="38"/>
      <c r="I102" s="44" t="s">
        <v>397</v>
      </c>
      <c r="J102" s="218" t="s">
        <v>398</v>
      </c>
      <c r="K102" s="46">
        <v>1</v>
      </c>
      <c r="L102" s="35"/>
      <c r="N102" s="234"/>
      <c r="O102" s="240" t="s">
        <v>398</v>
      </c>
      <c r="P102" s="38">
        <f>_11・初任</f>
        <v>0.7</v>
      </c>
      <c r="Q102" s="47">
        <f>ROUND((ROUND((ROUND((ROUND((_11_A家事増３．０*_11・基礎２),0)*_11・２人),0)*(1+_11・A深夜)),0)*_11・初任),0)</f>
        <v>397</v>
      </c>
      <c r="R102" s="48"/>
    </row>
    <row r="103" spans="1:18" ht="16.5" customHeight="1" x14ac:dyDescent="0.15">
      <c r="A103" s="41">
        <v>11</v>
      </c>
      <c r="B103" s="41">
        <v>8251</v>
      </c>
      <c r="C103" s="74" t="s">
        <v>11523</v>
      </c>
      <c r="D103" s="707" t="s">
        <v>11524</v>
      </c>
      <c r="E103" s="798"/>
      <c r="F103" s="53"/>
      <c r="G103" s="49"/>
      <c r="H103" s="50"/>
      <c r="I103" s="163"/>
      <c r="J103" s="45"/>
      <c r="K103" s="46"/>
      <c r="L103" s="35"/>
      <c r="N103" s="234"/>
      <c r="O103" s="53"/>
      <c r="P103" s="50"/>
      <c r="Q103" s="47">
        <f>ROUND((_11_A家事増３．２５*(1+_11・A深夜)),0)</f>
        <v>683</v>
      </c>
      <c r="R103" s="48"/>
    </row>
    <row r="104" spans="1:18" ht="16.5" customHeight="1" x14ac:dyDescent="0.15">
      <c r="A104" s="41">
        <v>11</v>
      </c>
      <c r="B104" s="41">
        <v>8252</v>
      </c>
      <c r="C104" s="74" t="s">
        <v>11525</v>
      </c>
      <c r="D104" s="799"/>
      <c r="E104" s="796"/>
      <c r="F104" s="43"/>
      <c r="G104" s="37"/>
      <c r="H104" s="38"/>
      <c r="I104" s="44" t="s">
        <v>397</v>
      </c>
      <c r="J104" s="218" t="s">
        <v>398</v>
      </c>
      <c r="K104" s="46">
        <v>1</v>
      </c>
      <c r="L104" s="35"/>
      <c r="N104" s="234"/>
      <c r="O104" s="35"/>
      <c r="Q104" s="47">
        <f>ROUND((ROUND((_11_A家事増３．２５*_11・２人),0)*(1+_11・A深夜)),0)</f>
        <v>683</v>
      </c>
      <c r="R104" s="48"/>
    </row>
    <row r="105" spans="1:18" ht="16.5" customHeight="1" x14ac:dyDescent="0.15">
      <c r="A105" s="41">
        <v>11</v>
      </c>
      <c r="B105" s="41">
        <v>8253</v>
      </c>
      <c r="C105" s="74" t="s">
        <v>11526</v>
      </c>
      <c r="D105" s="799"/>
      <c r="E105" s="796"/>
      <c r="F105" s="752" t="s">
        <v>400</v>
      </c>
      <c r="G105" s="221" t="s">
        <v>398</v>
      </c>
      <c r="H105" s="50">
        <v>0.9</v>
      </c>
      <c r="I105" s="163"/>
      <c r="J105" s="247"/>
      <c r="K105" s="46"/>
      <c r="L105" s="35"/>
      <c r="N105" s="234"/>
      <c r="O105" s="35"/>
      <c r="Q105" s="47">
        <f>ROUND((ROUND((_11_A家事増３．２５*_11・基礎２),0)*(1+_11・A深夜)),0)</f>
        <v>615</v>
      </c>
      <c r="R105" s="48"/>
    </row>
    <row r="106" spans="1:18" ht="16.5" customHeight="1" x14ac:dyDescent="0.15">
      <c r="A106" s="41">
        <v>11</v>
      </c>
      <c r="B106" s="41">
        <v>8254</v>
      </c>
      <c r="C106" s="74" t="s">
        <v>11527</v>
      </c>
      <c r="D106" s="100">
        <f>_11_A家事増３．２５</f>
        <v>455</v>
      </c>
      <c r="E106" s="12" t="s">
        <v>392</v>
      </c>
      <c r="F106" s="800"/>
      <c r="G106" s="216"/>
      <c r="H106" s="38"/>
      <c r="I106" s="44" t="s">
        <v>397</v>
      </c>
      <c r="J106" s="218" t="s">
        <v>398</v>
      </c>
      <c r="K106" s="46">
        <v>1</v>
      </c>
      <c r="L106" s="35"/>
      <c r="N106" s="234"/>
      <c r="O106" s="43"/>
      <c r="P106" s="38"/>
      <c r="Q106" s="47">
        <f>ROUND((ROUND((ROUND((_11_A家事増３．２５*_11・基礎２),0)*_11・２人),0)*(1+_11・A深夜)),0)</f>
        <v>615</v>
      </c>
      <c r="R106" s="48"/>
    </row>
    <row r="107" spans="1:18" ht="16.5" customHeight="1" x14ac:dyDescent="0.15">
      <c r="A107" s="41">
        <v>11</v>
      </c>
      <c r="B107" s="41" t="s">
        <v>11528</v>
      </c>
      <c r="C107" s="74" t="s">
        <v>11529</v>
      </c>
      <c r="D107" s="72"/>
      <c r="F107" s="53"/>
      <c r="G107" s="49"/>
      <c r="H107" s="50"/>
      <c r="I107" s="163"/>
      <c r="J107" s="45"/>
      <c r="K107" s="46"/>
      <c r="L107" s="35"/>
      <c r="N107" s="234"/>
      <c r="O107" s="707" t="s">
        <v>404</v>
      </c>
      <c r="P107" s="708"/>
      <c r="Q107" s="47">
        <f>ROUND((ROUND((_11_A家事増３．２５*(1+_11・A深夜)),0)*_11・初任),0)</f>
        <v>478</v>
      </c>
      <c r="R107" s="48"/>
    </row>
    <row r="108" spans="1:18" ht="16.5" customHeight="1" x14ac:dyDescent="0.15">
      <c r="A108" s="41">
        <v>11</v>
      </c>
      <c r="B108" s="41" t="s">
        <v>11530</v>
      </c>
      <c r="C108" s="74" t="s">
        <v>11531</v>
      </c>
      <c r="D108" s="72"/>
      <c r="F108" s="43"/>
      <c r="G108" s="37"/>
      <c r="H108" s="38"/>
      <c r="I108" s="44" t="s">
        <v>397</v>
      </c>
      <c r="J108" s="218" t="s">
        <v>398</v>
      </c>
      <c r="K108" s="46">
        <v>1</v>
      </c>
      <c r="L108" s="35"/>
      <c r="N108" s="234"/>
      <c r="O108" s="709"/>
      <c r="P108" s="704"/>
      <c r="Q108" s="47">
        <f>ROUND((ROUND((ROUND((_11_A家事増３．２５*_11・２人),0)*(1+_11・A深夜)),0)*_11・初任),0)</f>
        <v>478</v>
      </c>
      <c r="R108" s="48"/>
    </row>
    <row r="109" spans="1:18" ht="16.5" customHeight="1" x14ac:dyDescent="0.15">
      <c r="A109" s="41">
        <v>11</v>
      </c>
      <c r="B109" s="41" t="s">
        <v>11532</v>
      </c>
      <c r="C109" s="74" t="s">
        <v>11533</v>
      </c>
      <c r="D109" s="72"/>
      <c r="F109" s="752" t="s">
        <v>400</v>
      </c>
      <c r="G109" s="221" t="s">
        <v>398</v>
      </c>
      <c r="H109" s="50">
        <v>0.9</v>
      </c>
      <c r="I109" s="163"/>
      <c r="J109" s="247"/>
      <c r="K109" s="46"/>
      <c r="L109" s="35"/>
      <c r="N109" s="234"/>
      <c r="O109" s="709"/>
      <c r="P109" s="704"/>
      <c r="Q109" s="47">
        <f>ROUND((ROUND((ROUND((_11_A家事増３．２５*_11・基礎２),0)*(1+_11・A深夜)),0)*_11・初任),0)</f>
        <v>431</v>
      </c>
      <c r="R109" s="48"/>
    </row>
    <row r="110" spans="1:18" ht="16.5" customHeight="1" x14ac:dyDescent="0.15">
      <c r="A110" s="41">
        <v>11</v>
      </c>
      <c r="B110" s="41" t="s">
        <v>11534</v>
      </c>
      <c r="C110" s="74" t="s">
        <v>11535</v>
      </c>
      <c r="D110" s="72"/>
      <c r="F110" s="800"/>
      <c r="G110" s="216"/>
      <c r="H110" s="38"/>
      <c r="I110" s="44" t="s">
        <v>397</v>
      </c>
      <c r="J110" s="218" t="s">
        <v>398</v>
      </c>
      <c r="K110" s="46">
        <v>1</v>
      </c>
      <c r="L110" s="35"/>
      <c r="N110" s="234"/>
      <c r="O110" s="240" t="s">
        <v>398</v>
      </c>
      <c r="P110" s="38">
        <f>_11・初任</f>
        <v>0.7</v>
      </c>
      <c r="Q110" s="47">
        <f>ROUND((ROUND((ROUND((ROUND((_11_A家事増３．２５*_11・基礎２),0)*_11・２人),0)*(1+_11・A深夜)),0)*_11・初任),0)</f>
        <v>431</v>
      </c>
      <c r="R110" s="48"/>
    </row>
    <row r="111" spans="1:18" ht="16.5" customHeight="1" x14ac:dyDescent="0.15">
      <c r="A111" s="41">
        <v>11</v>
      </c>
      <c r="B111" s="41">
        <v>6547</v>
      </c>
      <c r="C111" s="74" t="s">
        <v>11536</v>
      </c>
      <c r="D111" s="707" t="s">
        <v>11537</v>
      </c>
      <c r="E111" s="798"/>
      <c r="F111" s="53"/>
      <c r="G111" s="49"/>
      <c r="H111" s="50"/>
      <c r="I111" s="163"/>
      <c r="J111" s="45"/>
      <c r="K111" s="46"/>
      <c r="L111" s="35"/>
      <c r="N111" s="234"/>
      <c r="O111" s="53"/>
      <c r="P111" s="50"/>
      <c r="Q111" s="47">
        <f>ROUND((_11_A家事増３．５*(1+_11・A深夜)),0)</f>
        <v>735</v>
      </c>
      <c r="R111" s="48"/>
    </row>
    <row r="112" spans="1:18" ht="16.5" customHeight="1" x14ac:dyDescent="0.15">
      <c r="A112" s="41">
        <v>11</v>
      </c>
      <c r="B112" s="41">
        <v>6548</v>
      </c>
      <c r="C112" s="74" t="s">
        <v>11538</v>
      </c>
      <c r="D112" s="799"/>
      <c r="E112" s="796"/>
      <c r="F112" s="43"/>
      <c r="G112" s="37"/>
      <c r="H112" s="38"/>
      <c r="I112" s="44" t="s">
        <v>397</v>
      </c>
      <c r="J112" s="218" t="s">
        <v>398</v>
      </c>
      <c r="K112" s="46">
        <v>1</v>
      </c>
      <c r="L112" s="35"/>
      <c r="N112" s="234"/>
      <c r="O112" s="35"/>
      <c r="Q112" s="47">
        <f>ROUND((ROUND((_11_A家事増３．５*_11・２人),0)*(1+_11・A深夜)),0)</f>
        <v>735</v>
      </c>
      <c r="R112" s="48"/>
    </row>
    <row r="113" spans="1:18" ht="16.5" customHeight="1" x14ac:dyDescent="0.15">
      <c r="A113" s="41">
        <v>11</v>
      </c>
      <c r="B113" s="41">
        <v>6549</v>
      </c>
      <c r="C113" s="74" t="s">
        <v>11539</v>
      </c>
      <c r="D113" s="799"/>
      <c r="E113" s="796"/>
      <c r="F113" s="752" t="s">
        <v>400</v>
      </c>
      <c r="G113" s="221" t="s">
        <v>398</v>
      </c>
      <c r="H113" s="50">
        <v>0.9</v>
      </c>
      <c r="I113" s="163"/>
      <c r="J113" s="247"/>
      <c r="K113" s="46"/>
      <c r="L113" s="35"/>
      <c r="N113" s="234"/>
      <c r="O113" s="35"/>
      <c r="Q113" s="47">
        <f>ROUND((ROUND((_11_A家事増３．５*_11・基礎２),0)*(1+_11・A深夜)),0)</f>
        <v>662</v>
      </c>
      <c r="R113" s="48"/>
    </row>
    <row r="114" spans="1:18" ht="16.5" customHeight="1" x14ac:dyDescent="0.15">
      <c r="A114" s="41">
        <v>11</v>
      </c>
      <c r="B114" s="41">
        <v>6550</v>
      </c>
      <c r="C114" s="74" t="s">
        <v>11540</v>
      </c>
      <c r="D114" s="100">
        <f>_11_A家事増３．５</f>
        <v>490</v>
      </c>
      <c r="E114" s="12" t="s">
        <v>392</v>
      </c>
      <c r="F114" s="800"/>
      <c r="G114" s="216"/>
      <c r="H114" s="38"/>
      <c r="I114" s="44" t="s">
        <v>397</v>
      </c>
      <c r="J114" s="218" t="s">
        <v>398</v>
      </c>
      <c r="K114" s="46">
        <v>1</v>
      </c>
      <c r="L114" s="35"/>
      <c r="N114" s="234"/>
      <c r="O114" s="43"/>
      <c r="P114" s="38"/>
      <c r="Q114" s="47">
        <f>ROUND((ROUND((ROUND((_11_A家事増３．５*_11・基礎２),0)*_11・２人),0)*(1+_11・A深夜)),0)</f>
        <v>662</v>
      </c>
      <c r="R114" s="48"/>
    </row>
    <row r="115" spans="1:18" ht="16.5" customHeight="1" x14ac:dyDescent="0.15">
      <c r="A115" s="41">
        <v>11</v>
      </c>
      <c r="B115" s="41" t="s">
        <v>11541</v>
      </c>
      <c r="C115" s="74" t="s">
        <v>11542</v>
      </c>
      <c r="D115" s="72"/>
      <c r="F115" s="53"/>
      <c r="G115" s="49"/>
      <c r="H115" s="50"/>
      <c r="I115" s="163"/>
      <c r="J115" s="45"/>
      <c r="K115" s="46"/>
      <c r="L115" s="35"/>
      <c r="N115" s="234"/>
      <c r="O115" s="707" t="s">
        <v>404</v>
      </c>
      <c r="P115" s="708"/>
      <c r="Q115" s="47">
        <f>ROUND((ROUND((_11_A家事増３．５*(1+_11・A深夜)),0)*_11・初任),0)</f>
        <v>515</v>
      </c>
      <c r="R115" s="48"/>
    </row>
    <row r="116" spans="1:18" ht="16.5" customHeight="1" x14ac:dyDescent="0.15">
      <c r="A116" s="41">
        <v>11</v>
      </c>
      <c r="B116" s="41" t="s">
        <v>11543</v>
      </c>
      <c r="C116" s="74" t="s">
        <v>11544</v>
      </c>
      <c r="D116" s="72"/>
      <c r="F116" s="43"/>
      <c r="G116" s="37"/>
      <c r="H116" s="38"/>
      <c r="I116" s="44" t="s">
        <v>397</v>
      </c>
      <c r="J116" s="218" t="s">
        <v>398</v>
      </c>
      <c r="K116" s="46">
        <v>1</v>
      </c>
      <c r="L116" s="35"/>
      <c r="N116" s="234"/>
      <c r="O116" s="709"/>
      <c r="P116" s="704"/>
      <c r="Q116" s="47">
        <f>ROUND((ROUND((ROUND((_11_A家事増３．５*_11・２人),0)*(1+_11・A深夜)),0)*_11・初任),0)</f>
        <v>515</v>
      </c>
      <c r="R116" s="48"/>
    </row>
    <row r="117" spans="1:18" ht="16.5" customHeight="1" x14ac:dyDescent="0.15">
      <c r="A117" s="41">
        <v>11</v>
      </c>
      <c r="B117" s="41" t="s">
        <v>11545</v>
      </c>
      <c r="C117" s="74" t="s">
        <v>11546</v>
      </c>
      <c r="D117" s="72"/>
      <c r="F117" s="752" t="s">
        <v>400</v>
      </c>
      <c r="G117" s="221" t="s">
        <v>398</v>
      </c>
      <c r="H117" s="50">
        <v>0.9</v>
      </c>
      <c r="I117" s="163"/>
      <c r="J117" s="247"/>
      <c r="K117" s="46"/>
      <c r="L117" s="35"/>
      <c r="N117" s="234"/>
      <c r="O117" s="709"/>
      <c r="P117" s="704"/>
      <c r="Q117" s="47">
        <f>ROUND((ROUND((ROUND((_11_A家事増３．５*_11・基礎２),0)*(1+_11・A深夜)),0)*_11・初任),0)</f>
        <v>463</v>
      </c>
      <c r="R117" s="48"/>
    </row>
    <row r="118" spans="1:18" ht="16.5" customHeight="1" x14ac:dyDescent="0.15">
      <c r="A118" s="41">
        <v>11</v>
      </c>
      <c r="B118" s="41" t="s">
        <v>11547</v>
      </c>
      <c r="C118" s="74" t="s">
        <v>11548</v>
      </c>
      <c r="D118" s="72"/>
      <c r="F118" s="800"/>
      <c r="G118" s="216"/>
      <c r="H118" s="38"/>
      <c r="I118" s="44" t="s">
        <v>397</v>
      </c>
      <c r="J118" s="218" t="s">
        <v>398</v>
      </c>
      <c r="K118" s="46">
        <v>1</v>
      </c>
      <c r="L118" s="35"/>
      <c r="N118" s="234"/>
      <c r="O118" s="240" t="s">
        <v>398</v>
      </c>
      <c r="P118" s="38">
        <f>_11・初任</f>
        <v>0.7</v>
      </c>
      <c r="Q118" s="47">
        <f>ROUND((ROUND((ROUND((ROUND((_11_A家事増３．５*_11・基礎２),0)*_11・２人),0)*(1+_11・A深夜)),0)*_11・初任),0)</f>
        <v>463</v>
      </c>
      <c r="R118" s="48"/>
    </row>
    <row r="119" spans="1:18" ht="16.5" customHeight="1" x14ac:dyDescent="0.15">
      <c r="A119" s="41">
        <v>11</v>
      </c>
      <c r="B119" s="41">
        <v>8255</v>
      </c>
      <c r="C119" s="74" t="s">
        <v>11549</v>
      </c>
      <c r="D119" s="707" t="s">
        <v>11550</v>
      </c>
      <c r="E119" s="798"/>
      <c r="F119" s="53"/>
      <c r="G119" s="49"/>
      <c r="H119" s="50"/>
      <c r="I119" s="163"/>
      <c r="J119" s="45"/>
      <c r="K119" s="46"/>
      <c r="L119" s="35"/>
      <c r="N119" s="234"/>
      <c r="O119" s="53"/>
      <c r="P119" s="50"/>
      <c r="Q119" s="47">
        <f>ROUND((_11_A家事増３．７５*(1+_11・A深夜)),0)</f>
        <v>788</v>
      </c>
      <c r="R119" s="48"/>
    </row>
    <row r="120" spans="1:18" ht="16.5" customHeight="1" x14ac:dyDescent="0.15">
      <c r="A120" s="41">
        <v>11</v>
      </c>
      <c r="B120" s="41">
        <v>8256</v>
      </c>
      <c r="C120" s="74" t="s">
        <v>11551</v>
      </c>
      <c r="D120" s="799"/>
      <c r="E120" s="796"/>
      <c r="F120" s="43"/>
      <c r="G120" s="37"/>
      <c r="H120" s="38"/>
      <c r="I120" s="44" t="s">
        <v>397</v>
      </c>
      <c r="J120" s="218" t="s">
        <v>398</v>
      </c>
      <c r="K120" s="46">
        <v>1</v>
      </c>
      <c r="L120" s="35"/>
      <c r="N120" s="234"/>
      <c r="O120" s="35"/>
      <c r="Q120" s="47">
        <f>ROUND((ROUND((_11_A家事増３．７５*_11・２人),0)*(1+_11・A深夜)),0)</f>
        <v>788</v>
      </c>
      <c r="R120" s="48"/>
    </row>
    <row r="121" spans="1:18" ht="16.5" customHeight="1" x14ac:dyDescent="0.15">
      <c r="A121" s="41">
        <v>11</v>
      </c>
      <c r="B121" s="41">
        <v>8257</v>
      </c>
      <c r="C121" s="74" t="s">
        <v>11552</v>
      </c>
      <c r="D121" s="799"/>
      <c r="E121" s="796"/>
      <c r="F121" s="752" t="s">
        <v>400</v>
      </c>
      <c r="G121" s="221" t="s">
        <v>398</v>
      </c>
      <c r="H121" s="50">
        <v>0.9</v>
      </c>
      <c r="I121" s="163"/>
      <c r="J121" s="247"/>
      <c r="K121" s="46"/>
      <c r="L121" s="35"/>
      <c r="N121" s="234"/>
      <c r="O121" s="35"/>
      <c r="Q121" s="47">
        <f>ROUND((ROUND((_11_A家事増３．７５*_11・基礎２),0)*(1+_11・A深夜)),0)</f>
        <v>710</v>
      </c>
      <c r="R121" s="48"/>
    </row>
    <row r="122" spans="1:18" ht="16.5" customHeight="1" x14ac:dyDescent="0.15">
      <c r="A122" s="41">
        <v>11</v>
      </c>
      <c r="B122" s="41">
        <v>8258</v>
      </c>
      <c r="C122" s="74" t="s">
        <v>11553</v>
      </c>
      <c r="D122" s="100">
        <f>_11_A家事増３．７５</f>
        <v>525</v>
      </c>
      <c r="E122" s="12" t="s">
        <v>392</v>
      </c>
      <c r="F122" s="800"/>
      <c r="G122" s="216"/>
      <c r="H122" s="38"/>
      <c r="I122" s="44" t="s">
        <v>397</v>
      </c>
      <c r="J122" s="218" t="s">
        <v>398</v>
      </c>
      <c r="K122" s="46">
        <v>1</v>
      </c>
      <c r="L122" s="35"/>
      <c r="N122" s="234"/>
      <c r="O122" s="43"/>
      <c r="P122" s="38"/>
      <c r="Q122" s="47">
        <f>ROUND((ROUND((ROUND((_11_A家事増３．７５*_11・基礎２),0)*_11・２人),0)*(1+_11・A深夜)),0)</f>
        <v>710</v>
      </c>
      <c r="R122" s="48"/>
    </row>
    <row r="123" spans="1:18" ht="16.5" customHeight="1" x14ac:dyDescent="0.15">
      <c r="A123" s="41">
        <v>11</v>
      </c>
      <c r="B123" s="41" t="s">
        <v>11554</v>
      </c>
      <c r="C123" s="74" t="s">
        <v>11555</v>
      </c>
      <c r="D123" s="72"/>
      <c r="F123" s="53"/>
      <c r="G123" s="49"/>
      <c r="H123" s="50"/>
      <c r="I123" s="163"/>
      <c r="J123" s="45"/>
      <c r="K123" s="46"/>
      <c r="L123" s="35"/>
      <c r="N123" s="234"/>
      <c r="O123" s="707" t="s">
        <v>404</v>
      </c>
      <c r="P123" s="708"/>
      <c r="Q123" s="47">
        <f>ROUND((ROUND((_11_A家事増３．７５*(1+_11・A深夜)),0)*_11・初任),0)</f>
        <v>552</v>
      </c>
      <c r="R123" s="48"/>
    </row>
    <row r="124" spans="1:18" ht="16.5" customHeight="1" x14ac:dyDescent="0.15">
      <c r="A124" s="41">
        <v>11</v>
      </c>
      <c r="B124" s="41" t="s">
        <v>11556</v>
      </c>
      <c r="C124" s="74" t="s">
        <v>11557</v>
      </c>
      <c r="D124" s="72"/>
      <c r="F124" s="43"/>
      <c r="G124" s="37"/>
      <c r="H124" s="38"/>
      <c r="I124" s="44" t="s">
        <v>397</v>
      </c>
      <c r="J124" s="218" t="s">
        <v>398</v>
      </c>
      <c r="K124" s="46">
        <v>1</v>
      </c>
      <c r="L124" s="35"/>
      <c r="N124" s="234"/>
      <c r="O124" s="709"/>
      <c r="P124" s="704"/>
      <c r="Q124" s="47">
        <f>ROUND((ROUND((ROUND((_11_A家事増３．７５*_11・２人),0)*(1+_11・A深夜)),0)*_11・初任),0)</f>
        <v>552</v>
      </c>
      <c r="R124" s="48"/>
    </row>
    <row r="125" spans="1:18" ht="16.5" customHeight="1" x14ac:dyDescent="0.15">
      <c r="A125" s="41">
        <v>11</v>
      </c>
      <c r="B125" s="41" t="s">
        <v>11558</v>
      </c>
      <c r="C125" s="74" t="s">
        <v>11559</v>
      </c>
      <c r="D125" s="72"/>
      <c r="F125" s="752" t="s">
        <v>400</v>
      </c>
      <c r="G125" s="221" t="s">
        <v>398</v>
      </c>
      <c r="H125" s="50">
        <v>0.9</v>
      </c>
      <c r="I125" s="163"/>
      <c r="J125" s="247"/>
      <c r="K125" s="46"/>
      <c r="L125" s="35"/>
      <c r="N125" s="234"/>
      <c r="O125" s="709"/>
      <c r="P125" s="704"/>
      <c r="Q125" s="47">
        <f>ROUND((ROUND((ROUND((_11_A家事増３．７５*_11・基礎２),0)*(1+_11・A深夜)),0)*_11・初任),0)</f>
        <v>497</v>
      </c>
      <c r="R125" s="48"/>
    </row>
    <row r="126" spans="1:18" ht="16.5" customHeight="1" x14ac:dyDescent="0.15">
      <c r="A126" s="41">
        <v>11</v>
      </c>
      <c r="B126" s="41" t="s">
        <v>11560</v>
      </c>
      <c r="C126" s="74" t="s">
        <v>11561</v>
      </c>
      <c r="D126" s="72"/>
      <c r="F126" s="800"/>
      <c r="G126" s="216"/>
      <c r="H126" s="38"/>
      <c r="I126" s="44" t="s">
        <v>397</v>
      </c>
      <c r="J126" s="218" t="s">
        <v>398</v>
      </c>
      <c r="K126" s="46">
        <v>1</v>
      </c>
      <c r="L126" s="35"/>
      <c r="N126" s="234"/>
      <c r="O126" s="240" t="s">
        <v>398</v>
      </c>
      <c r="P126" s="38">
        <f>_11・初任</f>
        <v>0.7</v>
      </c>
      <c r="Q126" s="47">
        <f>ROUND((ROUND((ROUND((ROUND((_11_A家事増３．７５*_11・基礎２),0)*_11・２人),0)*(1+_11・A深夜)),0)*_11・初任),0)</f>
        <v>497</v>
      </c>
      <c r="R126" s="48"/>
    </row>
    <row r="127" spans="1:18" ht="16.5" customHeight="1" x14ac:dyDescent="0.15">
      <c r="A127" s="41">
        <v>11</v>
      </c>
      <c r="B127" s="41">
        <v>6551</v>
      </c>
      <c r="C127" s="74" t="s">
        <v>11562</v>
      </c>
      <c r="D127" s="707" t="s">
        <v>11563</v>
      </c>
      <c r="E127" s="798"/>
      <c r="F127" s="53"/>
      <c r="G127" s="49"/>
      <c r="H127" s="50"/>
      <c r="I127" s="163"/>
      <c r="J127" s="45"/>
      <c r="K127" s="46"/>
      <c r="L127" s="35"/>
      <c r="N127" s="234"/>
      <c r="O127" s="53"/>
      <c r="P127" s="50"/>
      <c r="Q127" s="47">
        <f>ROUND((_11_A家事増４．０*(1+_11・A深夜)),0)</f>
        <v>840</v>
      </c>
      <c r="R127" s="48"/>
    </row>
    <row r="128" spans="1:18" ht="16.5" customHeight="1" x14ac:dyDescent="0.15">
      <c r="A128" s="41">
        <v>11</v>
      </c>
      <c r="B128" s="41">
        <v>6552</v>
      </c>
      <c r="C128" s="74" t="s">
        <v>11564</v>
      </c>
      <c r="D128" s="799"/>
      <c r="E128" s="796"/>
      <c r="F128" s="43"/>
      <c r="G128" s="37"/>
      <c r="H128" s="38"/>
      <c r="I128" s="44" t="s">
        <v>397</v>
      </c>
      <c r="J128" s="218" t="s">
        <v>398</v>
      </c>
      <c r="K128" s="46">
        <v>1</v>
      </c>
      <c r="L128" s="35"/>
      <c r="N128" s="234"/>
      <c r="O128" s="35"/>
      <c r="Q128" s="47">
        <f>ROUND((ROUND((_11_A家事増４．０*_11・２人),0)*(1+_11・A深夜)),0)</f>
        <v>840</v>
      </c>
      <c r="R128" s="48"/>
    </row>
    <row r="129" spans="1:18" ht="16.5" customHeight="1" x14ac:dyDescent="0.15">
      <c r="A129" s="41">
        <v>11</v>
      </c>
      <c r="B129" s="41">
        <v>6553</v>
      </c>
      <c r="C129" s="74" t="s">
        <v>11565</v>
      </c>
      <c r="D129" s="799"/>
      <c r="E129" s="796"/>
      <c r="F129" s="752" t="s">
        <v>400</v>
      </c>
      <c r="G129" s="221" t="s">
        <v>398</v>
      </c>
      <c r="H129" s="50">
        <v>0.9</v>
      </c>
      <c r="I129" s="163"/>
      <c r="J129" s="247"/>
      <c r="K129" s="46"/>
      <c r="L129" s="35"/>
      <c r="N129" s="234"/>
      <c r="O129" s="35"/>
      <c r="Q129" s="47">
        <f>ROUND((ROUND((_11_A家事増４．０*_11・基礎２),0)*(1+_11・A深夜)),0)</f>
        <v>756</v>
      </c>
      <c r="R129" s="48"/>
    </row>
    <row r="130" spans="1:18" ht="16.5" customHeight="1" x14ac:dyDescent="0.15">
      <c r="A130" s="41">
        <v>11</v>
      </c>
      <c r="B130" s="41">
        <v>6554</v>
      </c>
      <c r="C130" s="74" t="s">
        <v>11566</v>
      </c>
      <c r="D130" s="100">
        <f>_11_A家事増４．０</f>
        <v>560</v>
      </c>
      <c r="E130" s="12" t="s">
        <v>392</v>
      </c>
      <c r="F130" s="800"/>
      <c r="G130" s="216"/>
      <c r="H130" s="38"/>
      <c r="I130" s="44" t="s">
        <v>397</v>
      </c>
      <c r="J130" s="218" t="s">
        <v>398</v>
      </c>
      <c r="K130" s="46">
        <v>1</v>
      </c>
      <c r="L130" s="35"/>
      <c r="N130" s="234"/>
      <c r="O130" s="43"/>
      <c r="P130" s="38"/>
      <c r="Q130" s="47">
        <f>ROUND((ROUND((ROUND((_11_A家事増４．０*_11・基礎２),0)*_11・２人),0)*(1+_11・A深夜)),0)</f>
        <v>756</v>
      </c>
      <c r="R130" s="48"/>
    </row>
    <row r="131" spans="1:18" ht="16.5" customHeight="1" x14ac:dyDescent="0.15">
      <c r="A131" s="41">
        <v>11</v>
      </c>
      <c r="B131" s="41" t="s">
        <v>11567</v>
      </c>
      <c r="C131" s="74" t="s">
        <v>11568</v>
      </c>
      <c r="D131" s="72"/>
      <c r="F131" s="53"/>
      <c r="G131" s="49"/>
      <c r="H131" s="50"/>
      <c r="I131" s="163"/>
      <c r="J131" s="45"/>
      <c r="K131" s="46"/>
      <c r="L131" s="35"/>
      <c r="N131" s="234"/>
      <c r="O131" s="707" t="s">
        <v>404</v>
      </c>
      <c r="P131" s="708"/>
      <c r="Q131" s="47">
        <f>ROUND((ROUND((_11_A家事増４．０*(1+_11・A深夜)),0)*_11・初任),0)</f>
        <v>588</v>
      </c>
      <c r="R131" s="48"/>
    </row>
    <row r="132" spans="1:18" ht="16.5" customHeight="1" x14ac:dyDescent="0.15">
      <c r="A132" s="41">
        <v>11</v>
      </c>
      <c r="B132" s="41" t="s">
        <v>11569</v>
      </c>
      <c r="C132" s="74" t="s">
        <v>11570</v>
      </c>
      <c r="D132" s="72"/>
      <c r="F132" s="43"/>
      <c r="G132" s="37"/>
      <c r="H132" s="38"/>
      <c r="I132" s="44" t="s">
        <v>397</v>
      </c>
      <c r="J132" s="218" t="s">
        <v>398</v>
      </c>
      <c r="K132" s="46">
        <v>1</v>
      </c>
      <c r="L132" s="35"/>
      <c r="N132" s="234"/>
      <c r="O132" s="709"/>
      <c r="P132" s="704"/>
      <c r="Q132" s="47">
        <f>ROUND((ROUND((ROUND((_11_A家事増４．０*_11・２人),0)*(1+_11・A深夜)),0)*_11・初任),0)</f>
        <v>588</v>
      </c>
      <c r="R132" s="48"/>
    </row>
    <row r="133" spans="1:18" ht="16.5" customHeight="1" x14ac:dyDescent="0.15">
      <c r="A133" s="41">
        <v>11</v>
      </c>
      <c r="B133" s="41" t="s">
        <v>11571</v>
      </c>
      <c r="C133" s="74" t="s">
        <v>11572</v>
      </c>
      <c r="D133" s="72"/>
      <c r="F133" s="752" t="s">
        <v>400</v>
      </c>
      <c r="G133" s="221" t="s">
        <v>398</v>
      </c>
      <c r="H133" s="50">
        <v>0.9</v>
      </c>
      <c r="I133" s="163"/>
      <c r="J133" s="247"/>
      <c r="K133" s="46"/>
      <c r="L133" s="35"/>
      <c r="N133" s="234"/>
      <c r="O133" s="709"/>
      <c r="P133" s="704"/>
      <c r="Q133" s="47">
        <f>ROUND((ROUND((ROUND((_11_A家事増４．０*_11・基礎２),0)*(1+_11・A深夜)),0)*_11・初任),0)</f>
        <v>529</v>
      </c>
      <c r="R133" s="48"/>
    </row>
    <row r="134" spans="1:18" ht="16.5" customHeight="1" x14ac:dyDescent="0.15">
      <c r="A134" s="41">
        <v>11</v>
      </c>
      <c r="B134" s="41" t="s">
        <v>11573</v>
      </c>
      <c r="C134" s="74" t="s">
        <v>11574</v>
      </c>
      <c r="D134" s="72"/>
      <c r="F134" s="800"/>
      <c r="G134" s="216"/>
      <c r="H134" s="38"/>
      <c r="I134" s="44" t="s">
        <v>397</v>
      </c>
      <c r="J134" s="218" t="s">
        <v>398</v>
      </c>
      <c r="K134" s="46">
        <v>1</v>
      </c>
      <c r="L134" s="35"/>
      <c r="N134" s="234"/>
      <c r="O134" s="240" t="s">
        <v>398</v>
      </c>
      <c r="P134" s="38">
        <f>_11・初任</f>
        <v>0.7</v>
      </c>
      <c r="Q134" s="47">
        <f>ROUND((ROUND((ROUND((ROUND((_11_A家事増４．０*_11・基礎２),0)*_11・２人),0)*(1+_11・A深夜)),0)*_11・初任),0)</f>
        <v>529</v>
      </c>
      <c r="R134" s="48"/>
    </row>
    <row r="135" spans="1:18" ht="16.5" customHeight="1" x14ac:dyDescent="0.15">
      <c r="A135" s="41">
        <v>11</v>
      </c>
      <c r="B135" s="41">
        <v>8259</v>
      </c>
      <c r="C135" s="74" t="s">
        <v>11575</v>
      </c>
      <c r="D135" s="707" t="s">
        <v>11576</v>
      </c>
      <c r="E135" s="798"/>
      <c r="F135" s="53"/>
      <c r="G135" s="49"/>
      <c r="H135" s="50"/>
      <c r="I135" s="163"/>
      <c r="J135" s="45"/>
      <c r="K135" s="46"/>
      <c r="L135" s="35"/>
      <c r="N135" s="234"/>
      <c r="O135" s="53"/>
      <c r="P135" s="50"/>
      <c r="Q135" s="47">
        <f>ROUND((_11_A家事増４．２５*(1+_11・A深夜)),0)</f>
        <v>893</v>
      </c>
      <c r="R135" s="48"/>
    </row>
    <row r="136" spans="1:18" ht="16.5" customHeight="1" x14ac:dyDescent="0.15">
      <c r="A136" s="41">
        <v>11</v>
      </c>
      <c r="B136" s="41">
        <v>8260</v>
      </c>
      <c r="C136" s="74" t="s">
        <v>11577</v>
      </c>
      <c r="D136" s="799"/>
      <c r="E136" s="796"/>
      <c r="F136" s="43"/>
      <c r="G136" s="37"/>
      <c r="H136" s="38"/>
      <c r="I136" s="44" t="s">
        <v>397</v>
      </c>
      <c r="J136" s="218" t="s">
        <v>398</v>
      </c>
      <c r="K136" s="46">
        <v>1</v>
      </c>
      <c r="L136" s="35"/>
      <c r="N136" s="234"/>
      <c r="O136" s="35"/>
      <c r="Q136" s="47">
        <f>ROUND((ROUND((_11_A家事増４．２５*_11・２人),0)*(1+_11・A深夜)),0)</f>
        <v>893</v>
      </c>
      <c r="R136" s="48"/>
    </row>
    <row r="137" spans="1:18" ht="16.5" customHeight="1" x14ac:dyDescent="0.15">
      <c r="A137" s="41">
        <v>11</v>
      </c>
      <c r="B137" s="41">
        <v>8261</v>
      </c>
      <c r="C137" s="74" t="s">
        <v>11578</v>
      </c>
      <c r="D137" s="799"/>
      <c r="E137" s="796"/>
      <c r="F137" s="752" t="s">
        <v>400</v>
      </c>
      <c r="G137" s="221" t="s">
        <v>398</v>
      </c>
      <c r="H137" s="50">
        <v>0.9</v>
      </c>
      <c r="I137" s="163"/>
      <c r="J137" s="247"/>
      <c r="K137" s="46"/>
      <c r="L137" s="35"/>
      <c r="N137" s="234"/>
      <c r="O137" s="35"/>
      <c r="Q137" s="47">
        <f>ROUND((ROUND((_11_A家事増４．２５*_11・基礎２),0)*(1+_11・A深夜)),0)</f>
        <v>804</v>
      </c>
      <c r="R137" s="48"/>
    </row>
    <row r="138" spans="1:18" ht="16.5" customHeight="1" x14ac:dyDescent="0.15">
      <c r="A138" s="41">
        <v>11</v>
      </c>
      <c r="B138" s="41">
        <v>8262</v>
      </c>
      <c r="C138" s="74" t="s">
        <v>11579</v>
      </c>
      <c r="D138" s="100">
        <f>_11_A家事増４．２５</f>
        <v>595</v>
      </c>
      <c r="E138" s="12" t="s">
        <v>392</v>
      </c>
      <c r="F138" s="800"/>
      <c r="G138" s="216"/>
      <c r="H138" s="38"/>
      <c r="I138" s="44" t="s">
        <v>397</v>
      </c>
      <c r="J138" s="218" t="s">
        <v>398</v>
      </c>
      <c r="K138" s="46">
        <v>1</v>
      </c>
      <c r="L138" s="35"/>
      <c r="N138" s="234"/>
      <c r="O138" s="43"/>
      <c r="P138" s="38"/>
      <c r="Q138" s="47">
        <f>ROUND((ROUND((ROUND((_11_A家事増４．２５*_11・基礎２),0)*_11・２人),0)*(1+_11・A深夜)),0)</f>
        <v>804</v>
      </c>
      <c r="R138" s="48"/>
    </row>
    <row r="139" spans="1:18" ht="16.5" customHeight="1" x14ac:dyDescent="0.15">
      <c r="A139" s="41">
        <v>11</v>
      </c>
      <c r="B139" s="41" t="s">
        <v>11580</v>
      </c>
      <c r="C139" s="74" t="s">
        <v>11581</v>
      </c>
      <c r="D139" s="72"/>
      <c r="F139" s="53"/>
      <c r="G139" s="49"/>
      <c r="H139" s="50"/>
      <c r="I139" s="163"/>
      <c r="J139" s="45"/>
      <c r="K139" s="46"/>
      <c r="L139" s="35"/>
      <c r="N139" s="234"/>
      <c r="O139" s="707" t="s">
        <v>404</v>
      </c>
      <c r="P139" s="708"/>
      <c r="Q139" s="47">
        <f>ROUND((ROUND((_11_A家事増４．２５*(1+_11・A深夜)),0)*_11・初任),0)</f>
        <v>625</v>
      </c>
      <c r="R139" s="48"/>
    </row>
    <row r="140" spans="1:18" ht="16.5" customHeight="1" x14ac:dyDescent="0.15">
      <c r="A140" s="41">
        <v>11</v>
      </c>
      <c r="B140" s="41" t="s">
        <v>11582</v>
      </c>
      <c r="C140" s="74" t="s">
        <v>11583</v>
      </c>
      <c r="D140" s="72"/>
      <c r="F140" s="43"/>
      <c r="G140" s="37"/>
      <c r="H140" s="38"/>
      <c r="I140" s="44" t="s">
        <v>397</v>
      </c>
      <c r="J140" s="218" t="s">
        <v>398</v>
      </c>
      <c r="K140" s="46">
        <v>1</v>
      </c>
      <c r="L140" s="35"/>
      <c r="N140" s="234"/>
      <c r="O140" s="709"/>
      <c r="P140" s="704"/>
      <c r="Q140" s="47">
        <f>ROUND((ROUND((ROUND((_11_A家事増４．２５*_11・２人),0)*(1+_11・A深夜)),0)*_11・初任),0)</f>
        <v>625</v>
      </c>
      <c r="R140" s="48"/>
    </row>
    <row r="141" spans="1:18" ht="16.5" customHeight="1" x14ac:dyDescent="0.15">
      <c r="A141" s="41">
        <v>11</v>
      </c>
      <c r="B141" s="41" t="s">
        <v>11584</v>
      </c>
      <c r="C141" s="74" t="s">
        <v>11585</v>
      </c>
      <c r="D141" s="72"/>
      <c r="F141" s="752" t="s">
        <v>400</v>
      </c>
      <c r="G141" s="221" t="s">
        <v>398</v>
      </c>
      <c r="H141" s="50">
        <v>0.9</v>
      </c>
      <c r="I141" s="163"/>
      <c r="J141" s="247"/>
      <c r="K141" s="46"/>
      <c r="L141" s="35"/>
      <c r="N141" s="234"/>
      <c r="O141" s="709"/>
      <c r="P141" s="704"/>
      <c r="Q141" s="47">
        <f>ROUND((ROUND((ROUND((_11_A家事増４．２５*_11・基礎２),0)*(1+_11・A深夜)),0)*_11・初任),0)</f>
        <v>563</v>
      </c>
      <c r="R141" s="48"/>
    </row>
    <row r="142" spans="1:18" ht="16.5" customHeight="1" x14ac:dyDescent="0.15">
      <c r="A142" s="41">
        <v>11</v>
      </c>
      <c r="B142" s="41" t="s">
        <v>11586</v>
      </c>
      <c r="C142" s="74" t="s">
        <v>11587</v>
      </c>
      <c r="D142" s="72"/>
      <c r="F142" s="800"/>
      <c r="G142" s="216"/>
      <c r="H142" s="38"/>
      <c r="I142" s="44" t="s">
        <v>397</v>
      </c>
      <c r="J142" s="218" t="s">
        <v>398</v>
      </c>
      <c r="K142" s="46">
        <v>1</v>
      </c>
      <c r="L142" s="35"/>
      <c r="N142" s="234"/>
      <c r="O142" s="240" t="s">
        <v>398</v>
      </c>
      <c r="P142" s="38">
        <f>_11・初任</f>
        <v>0.7</v>
      </c>
      <c r="Q142" s="47">
        <f>ROUND((ROUND((ROUND((ROUND((_11_A家事増４．２５*_11・基礎２),0)*_11・２人),0)*(1+_11・A深夜)),0)*_11・初任),0)</f>
        <v>563</v>
      </c>
      <c r="R142" s="48"/>
    </row>
    <row r="143" spans="1:18" ht="16.5" customHeight="1" x14ac:dyDescent="0.15">
      <c r="A143" s="41">
        <v>11</v>
      </c>
      <c r="B143" s="41">
        <v>6555</v>
      </c>
      <c r="C143" s="74" t="s">
        <v>11588</v>
      </c>
      <c r="D143" s="707" t="s">
        <v>11589</v>
      </c>
      <c r="E143" s="798"/>
      <c r="F143" s="53"/>
      <c r="G143" s="49"/>
      <c r="H143" s="50"/>
      <c r="I143" s="163"/>
      <c r="J143" s="45"/>
      <c r="K143" s="46"/>
      <c r="L143" s="35"/>
      <c r="N143" s="234"/>
      <c r="O143" s="53"/>
      <c r="P143" s="50"/>
      <c r="Q143" s="47">
        <f>ROUND((_11_A家事増４．５*(1+_11・A深夜)),0)</f>
        <v>945</v>
      </c>
      <c r="R143" s="48"/>
    </row>
    <row r="144" spans="1:18" ht="16.5" customHeight="1" x14ac:dyDescent="0.15">
      <c r="A144" s="41">
        <v>11</v>
      </c>
      <c r="B144" s="41">
        <v>6556</v>
      </c>
      <c r="C144" s="74" t="s">
        <v>11590</v>
      </c>
      <c r="D144" s="799"/>
      <c r="E144" s="796"/>
      <c r="F144" s="43"/>
      <c r="G144" s="37"/>
      <c r="H144" s="38"/>
      <c r="I144" s="44" t="s">
        <v>397</v>
      </c>
      <c r="J144" s="218" t="s">
        <v>398</v>
      </c>
      <c r="K144" s="46">
        <v>1</v>
      </c>
      <c r="L144" s="35"/>
      <c r="N144" s="234"/>
      <c r="O144" s="35"/>
      <c r="Q144" s="47">
        <f>ROUND((ROUND((_11_A家事増４．５*_11・２人),0)*(1+_11・A深夜)),0)</f>
        <v>945</v>
      </c>
      <c r="R144" s="48"/>
    </row>
    <row r="145" spans="1:18" ht="16.5" customHeight="1" x14ac:dyDescent="0.15">
      <c r="A145" s="41">
        <v>11</v>
      </c>
      <c r="B145" s="41">
        <v>6557</v>
      </c>
      <c r="C145" s="74" t="s">
        <v>11591</v>
      </c>
      <c r="D145" s="799"/>
      <c r="E145" s="796"/>
      <c r="F145" s="752" t="s">
        <v>400</v>
      </c>
      <c r="G145" s="221" t="s">
        <v>398</v>
      </c>
      <c r="H145" s="50">
        <v>0.9</v>
      </c>
      <c r="I145" s="163"/>
      <c r="J145" s="247"/>
      <c r="K145" s="46"/>
      <c r="L145" s="35"/>
      <c r="N145" s="234"/>
      <c r="O145" s="35"/>
      <c r="Q145" s="47">
        <f>ROUND((ROUND((_11_A家事増４．５*_11・基礎２),0)*(1+_11・A深夜)),0)</f>
        <v>851</v>
      </c>
      <c r="R145" s="48"/>
    </row>
    <row r="146" spans="1:18" ht="16.5" customHeight="1" x14ac:dyDescent="0.15">
      <c r="A146" s="41">
        <v>11</v>
      </c>
      <c r="B146" s="41">
        <v>6558</v>
      </c>
      <c r="C146" s="74" t="s">
        <v>11592</v>
      </c>
      <c r="D146" s="100">
        <f>_11_A家事増４．５</f>
        <v>630</v>
      </c>
      <c r="E146" s="12" t="s">
        <v>392</v>
      </c>
      <c r="F146" s="800"/>
      <c r="G146" s="216"/>
      <c r="H146" s="38"/>
      <c r="I146" s="44" t="s">
        <v>397</v>
      </c>
      <c r="J146" s="218" t="s">
        <v>398</v>
      </c>
      <c r="K146" s="46">
        <v>1</v>
      </c>
      <c r="L146" s="35"/>
      <c r="N146" s="234"/>
      <c r="O146" s="43"/>
      <c r="P146" s="38"/>
      <c r="Q146" s="47">
        <f>ROUND((ROUND((ROUND((_11_A家事増４．５*_11・基礎２),0)*_11・２人),0)*(1+_11・A深夜)),0)</f>
        <v>851</v>
      </c>
      <c r="R146" s="48"/>
    </row>
    <row r="147" spans="1:18" ht="16.5" customHeight="1" x14ac:dyDescent="0.15">
      <c r="A147" s="41">
        <v>11</v>
      </c>
      <c r="B147" s="41" t="s">
        <v>11593</v>
      </c>
      <c r="C147" s="74" t="s">
        <v>11594</v>
      </c>
      <c r="D147" s="72"/>
      <c r="F147" s="53"/>
      <c r="G147" s="49"/>
      <c r="H147" s="50"/>
      <c r="I147" s="163"/>
      <c r="J147" s="45"/>
      <c r="K147" s="46"/>
      <c r="L147" s="35"/>
      <c r="N147" s="234"/>
      <c r="O147" s="707" t="s">
        <v>404</v>
      </c>
      <c r="P147" s="708"/>
      <c r="Q147" s="47">
        <f>ROUND((ROUND((_11_A家事増４．５*(1+_11・A深夜)),0)*_11・初任),0)</f>
        <v>662</v>
      </c>
      <c r="R147" s="48"/>
    </row>
    <row r="148" spans="1:18" ht="16.5" customHeight="1" x14ac:dyDescent="0.15">
      <c r="A148" s="41">
        <v>11</v>
      </c>
      <c r="B148" s="41" t="s">
        <v>11595</v>
      </c>
      <c r="C148" s="74" t="s">
        <v>11596</v>
      </c>
      <c r="D148" s="72"/>
      <c r="F148" s="43"/>
      <c r="G148" s="37"/>
      <c r="H148" s="38"/>
      <c r="I148" s="44" t="s">
        <v>397</v>
      </c>
      <c r="J148" s="218" t="s">
        <v>398</v>
      </c>
      <c r="K148" s="46">
        <v>1</v>
      </c>
      <c r="L148" s="35"/>
      <c r="N148" s="234"/>
      <c r="O148" s="709"/>
      <c r="P148" s="704"/>
      <c r="Q148" s="47">
        <f>ROUND((ROUND((ROUND((_11_A家事増４．５*_11・２人),0)*(1+_11・A深夜)),0)*_11・初任),0)</f>
        <v>662</v>
      </c>
      <c r="R148" s="48"/>
    </row>
    <row r="149" spans="1:18" ht="16.5" customHeight="1" x14ac:dyDescent="0.15">
      <c r="A149" s="41">
        <v>11</v>
      </c>
      <c r="B149" s="41" t="s">
        <v>11597</v>
      </c>
      <c r="C149" s="74" t="s">
        <v>11598</v>
      </c>
      <c r="D149" s="72"/>
      <c r="F149" s="752" t="s">
        <v>400</v>
      </c>
      <c r="G149" s="221" t="s">
        <v>398</v>
      </c>
      <c r="H149" s="50">
        <v>0.9</v>
      </c>
      <c r="I149" s="163"/>
      <c r="J149" s="247"/>
      <c r="K149" s="46"/>
      <c r="L149" s="35"/>
      <c r="N149" s="234"/>
      <c r="O149" s="709"/>
      <c r="P149" s="704"/>
      <c r="Q149" s="47">
        <f>ROUND((ROUND((ROUND((_11_A家事増４．５*_11・基礎２),0)*(1+_11・A深夜)),0)*_11・初任),0)</f>
        <v>596</v>
      </c>
      <c r="R149" s="48"/>
    </row>
    <row r="150" spans="1:18" ht="16.5" customHeight="1" x14ac:dyDescent="0.15">
      <c r="A150" s="41">
        <v>11</v>
      </c>
      <c r="B150" s="41" t="s">
        <v>11599</v>
      </c>
      <c r="C150" s="74" t="s">
        <v>11600</v>
      </c>
      <c r="D150" s="72"/>
      <c r="F150" s="800"/>
      <c r="G150" s="216"/>
      <c r="H150" s="38"/>
      <c r="I150" s="44" t="s">
        <v>397</v>
      </c>
      <c r="J150" s="218" t="s">
        <v>398</v>
      </c>
      <c r="K150" s="46">
        <v>1</v>
      </c>
      <c r="L150" s="35"/>
      <c r="N150" s="234"/>
      <c r="O150" s="240" t="s">
        <v>398</v>
      </c>
      <c r="P150" s="38">
        <f>_11・初任</f>
        <v>0.7</v>
      </c>
      <c r="Q150" s="47">
        <f>ROUND((ROUND((ROUND((ROUND((_11_A家事増４．５*_11・基礎２),0)*_11・２人),0)*(1+_11・A深夜)),0)*_11・初任),0)</f>
        <v>596</v>
      </c>
      <c r="R150" s="48"/>
    </row>
    <row r="151" spans="1:18" ht="16.5" customHeight="1" x14ac:dyDescent="0.15">
      <c r="A151" s="41">
        <v>11</v>
      </c>
      <c r="B151" s="41">
        <v>8263</v>
      </c>
      <c r="C151" s="74" t="s">
        <v>11601</v>
      </c>
      <c r="D151" s="707" t="s">
        <v>11602</v>
      </c>
      <c r="E151" s="798"/>
      <c r="F151" s="53"/>
      <c r="G151" s="49"/>
      <c r="H151" s="50"/>
      <c r="I151" s="163"/>
      <c r="J151" s="45"/>
      <c r="K151" s="46"/>
      <c r="L151" s="35"/>
      <c r="N151" s="234"/>
      <c r="O151" s="53"/>
      <c r="P151" s="50"/>
      <c r="Q151" s="47">
        <f>ROUND((_11_A家事増４．７５*(1+_11・A深夜)),0)</f>
        <v>998</v>
      </c>
      <c r="R151" s="48"/>
    </row>
    <row r="152" spans="1:18" ht="16.5" customHeight="1" x14ac:dyDescent="0.15">
      <c r="A152" s="41">
        <v>11</v>
      </c>
      <c r="B152" s="41">
        <v>8264</v>
      </c>
      <c r="C152" s="74" t="s">
        <v>11603</v>
      </c>
      <c r="D152" s="799"/>
      <c r="E152" s="796"/>
      <c r="F152" s="43"/>
      <c r="G152" s="37"/>
      <c r="H152" s="38"/>
      <c r="I152" s="44" t="s">
        <v>397</v>
      </c>
      <c r="J152" s="218" t="s">
        <v>398</v>
      </c>
      <c r="K152" s="46">
        <v>1</v>
      </c>
      <c r="L152" s="35"/>
      <c r="N152" s="234"/>
      <c r="O152" s="35"/>
      <c r="Q152" s="47">
        <f>ROUND((ROUND((_11_A家事増４．７５*_11・２人),0)*(1+_11・A深夜)),0)</f>
        <v>998</v>
      </c>
      <c r="R152" s="48"/>
    </row>
    <row r="153" spans="1:18" ht="16.5" customHeight="1" x14ac:dyDescent="0.15">
      <c r="A153" s="41">
        <v>11</v>
      </c>
      <c r="B153" s="41">
        <v>8265</v>
      </c>
      <c r="C153" s="74" t="s">
        <v>11604</v>
      </c>
      <c r="D153" s="799"/>
      <c r="E153" s="796"/>
      <c r="F153" s="752" t="s">
        <v>400</v>
      </c>
      <c r="G153" s="221" t="s">
        <v>398</v>
      </c>
      <c r="H153" s="50">
        <v>0.9</v>
      </c>
      <c r="I153" s="163"/>
      <c r="J153" s="247"/>
      <c r="K153" s="46"/>
      <c r="L153" s="35"/>
      <c r="N153" s="234"/>
      <c r="O153" s="35"/>
      <c r="Q153" s="47">
        <f>ROUND((ROUND((_11_A家事増４．７５*_11・基礎２),0)*(1+_11・A深夜)),0)</f>
        <v>899</v>
      </c>
      <c r="R153" s="48"/>
    </row>
    <row r="154" spans="1:18" ht="16.5" customHeight="1" x14ac:dyDescent="0.15">
      <c r="A154" s="41">
        <v>11</v>
      </c>
      <c r="B154" s="41">
        <v>8266</v>
      </c>
      <c r="C154" s="74" t="s">
        <v>11605</v>
      </c>
      <c r="D154" s="100">
        <f>_11_A家事増４．７５</f>
        <v>665</v>
      </c>
      <c r="E154" s="12" t="s">
        <v>392</v>
      </c>
      <c r="F154" s="800"/>
      <c r="G154" s="216"/>
      <c r="H154" s="38"/>
      <c r="I154" s="44" t="s">
        <v>397</v>
      </c>
      <c r="J154" s="218" t="s">
        <v>398</v>
      </c>
      <c r="K154" s="46">
        <v>1</v>
      </c>
      <c r="L154" s="35"/>
      <c r="N154" s="234"/>
      <c r="O154" s="43"/>
      <c r="P154" s="38"/>
      <c r="Q154" s="47">
        <f>ROUND((ROUND((ROUND((_11_A家事増４．７５*_11・基礎２),0)*_11・２人),0)*(1+_11・A深夜)),0)</f>
        <v>899</v>
      </c>
      <c r="R154" s="48"/>
    </row>
    <row r="155" spans="1:18" ht="16.5" customHeight="1" x14ac:dyDescent="0.15">
      <c r="A155" s="41">
        <v>11</v>
      </c>
      <c r="B155" s="41" t="s">
        <v>11606</v>
      </c>
      <c r="C155" s="74" t="s">
        <v>11607</v>
      </c>
      <c r="D155" s="72"/>
      <c r="F155" s="53"/>
      <c r="G155" s="49"/>
      <c r="H155" s="50"/>
      <c r="I155" s="163"/>
      <c r="J155" s="45"/>
      <c r="K155" s="46"/>
      <c r="L155" s="35"/>
      <c r="N155" s="234"/>
      <c r="O155" s="707" t="s">
        <v>404</v>
      </c>
      <c r="P155" s="708"/>
      <c r="Q155" s="47">
        <f>ROUND((ROUND((_11_A家事増４．７５*(1+_11・A深夜)),0)*_11・初任),0)</f>
        <v>699</v>
      </c>
      <c r="R155" s="48"/>
    </row>
    <row r="156" spans="1:18" ht="16.5" customHeight="1" x14ac:dyDescent="0.15">
      <c r="A156" s="41">
        <v>11</v>
      </c>
      <c r="B156" s="41" t="s">
        <v>11608</v>
      </c>
      <c r="C156" s="74" t="s">
        <v>11609</v>
      </c>
      <c r="D156" s="72"/>
      <c r="F156" s="43"/>
      <c r="G156" s="37"/>
      <c r="H156" s="38"/>
      <c r="I156" s="44" t="s">
        <v>397</v>
      </c>
      <c r="J156" s="218" t="s">
        <v>398</v>
      </c>
      <c r="K156" s="46">
        <v>1</v>
      </c>
      <c r="L156" s="35"/>
      <c r="N156" s="234"/>
      <c r="O156" s="709"/>
      <c r="P156" s="704"/>
      <c r="Q156" s="47">
        <f>ROUND((ROUND((ROUND((_11_A家事増４．７５*_11・２人),0)*(1+_11・A深夜)),0)*_11・初任),0)</f>
        <v>699</v>
      </c>
      <c r="R156" s="48"/>
    </row>
    <row r="157" spans="1:18" ht="16.5" customHeight="1" x14ac:dyDescent="0.15">
      <c r="A157" s="41">
        <v>11</v>
      </c>
      <c r="B157" s="41" t="s">
        <v>11610</v>
      </c>
      <c r="C157" s="74" t="s">
        <v>11611</v>
      </c>
      <c r="D157" s="72"/>
      <c r="F157" s="752" t="s">
        <v>400</v>
      </c>
      <c r="G157" s="221" t="s">
        <v>398</v>
      </c>
      <c r="H157" s="50">
        <v>0.9</v>
      </c>
      <c r="I157" s="163"/>
      <c r="J157" s="247"/>
      <c r="K157" s="46"/>
      <c r="L157" s="35"/>
      <c r="N157" s="234"/>
      <c r="O157" s="709"/>
      <c r="P157" s="704"/>
      <c r="Q157" s="47">
        <f>ROUND((ROUND((ROUND((_11_A家事増４．７５*_11・基礎２),0)*(1+_11・A深夜)),0)*_11・初任),0)</f>
        <v>629</v>
      </c>
      <c r="R157" s="48"/>
    </row>
    <row r="158" spans="1:18" ht="16.5" customHeight="1" x14ac:dyDescent="0.15">
      <c r="A158" s="41">
        <v>11</v>
      </c>
      <c r="B158" s="41" t="s">
        <v>11612</v>
      </c>
      <c r="C158" s="74" t="s">
        <v>11613</v>
      </c>
      <c r="D158" s="122"/>
      <c r="E158" s="37"/>
      <c r="F158" s="800"/>
      <c r="G158" s="216"/>
      <c r="H158" s="38"/>
      <c r="I158" s="44" t="s">
        <v>397</v>
      </c>
      <c r="J158" s="218" t="s">
        <v>398</v>
      </c>
      <c r="K158" s="46">
        <v>1</v>
      </c>
      <c r="L158" s="43"/>
      <c r="M158" s="37"/>
      <c r="N158" s="244"/>
      <c r="O158" s="240" t="s">
        <v>398</v>
      </c>
      <c r="P158" s="38">
        <f>_11・初任</f>
        <v>0.7</v>
      </c>
      <c r="Q158" s="47">
        <f>ROUND((ROUND((ROUND((ROUND((_11_A家事増４．７５*_11・基礎２),0)*_11・２人),0)*(1+_11・A深夜)),0)*_11・初任),0)</f>
        <v>629</v>
      </c>
      <c r="R158" s="63"/>
    </row>
    <row r="159" spans="1:18" ht="16.5" customHeight="1" x14ac:dyDescent="0.15">
      <c r="A159" s="33">
        <v>11</v>
      </c>
      <c r="B159" s="33">
        <v>6559</v>
      </c>
      <c r="C159" s="34" t="s">
        <v>11614</v>
      </c>
      <c r="D159" s="709" t="s">
        <v>11615</v>
      </c>
      <c r="E159" s="796"/>
      <c r="F159" s="35"/>
      <c r="G159" s="12"/>
      <c r="I159" s="43"/>
      <c r="J159" s="37"/>
      <c r="K159" s="38"/>
      <c r="L159" s="53" t="s">
        <v>862</v>
      </c>
      <c r="M159" s="49"/>
      <c r="N159" s="251"/>
      <c r="O159" s="35"/>
      <c r="Q159" s="39">
        <f>ROUND((_11_A家事増５．０*(1+_11・A深夜)),0)</f>
        <v>1050</v>
      </c>
      <c r="R159" s="48"/>
    </row>
    <row r="160" spans="1:18" ht="16.5" customHeight="1" x14ac:dyDescent="0.15">
      <c r="A160" s="41">
        <v>11</v>
      </c>
      <c r="B160" s="41">
        <v>6560</v>
      </c>
      <c r="C160" s="74" t="s">
        <v>11616</v>
      </c>
      <c r="D160" s="799"/>
      <c r="E160" s="796"/>
      <c r="F160" s="43"/>
      <c r="G160" s="37"/>
      <c r="H160" s="38"/>
      <c r="I160" s="44" t="s">
        <v>397</v>
      </c>
      <c r="J160" s="218" t="s">
        <v>398</v>
      </c>
      <c r="K160" s="46">
        <v>1</v>
      </c>
      <c r="L160" s="248" t="s">
        <v>398</v>
      </c>
      <c r="M160" s="13">
        <v>0.5</v>
      </c>
      <c r="N160" s="718" t="s">
        <v>676</v>
      </c>
      <c r="O160" s="35"/>
      <c r="Q160" s="47">
        <f>ROUND((ROUND((_11_A家事増５．０*_11・２人),0)*(1+_11・A深夜)),0)</f>
        <v>1050</v>
      </c>
      <c r="R160" s="48"/>
    </row>
    <row r="161" spans="1:18" ht="16.5" customHeight="1" x14ac:dyDescent="0.15">
      <c r="A161" s="41">
        <v>11</v>
      </c>
      <c r="B161" s="41">
        <v>6561</v>
      </c>
      <c r="C161" s="74" t="s">
        <v>11617</v>
      </c>
      <c r="D161" s="799"/>
      <c r="E161" s="796"/>
      <c r="F161" s="752" t="s">
        <v>400</v>
      </c>
      <c r="G161" s="221" t="s">
        <v>398</v>
      </c>
      <c r="H161" s="50">
        <v>0.9</v>
      </c>
      <c r="I161" s="163"/>
      <c r="J161" s="247"/>
      <c r="K161" s="46"/>
      <c r="L161" s="35"/>
      <c r="N161" s="796"/>
      <c r="O161" s="35"/>
      <c r="Q161" s="47">
        <f>ROUND((ROUND((_11_A家事増５．０*_11・基礎２),0)*(1+_11・A深夜)),0)</f>
        <v>945</v>
      </c>
      <c r="R161" s="48"/>
    </row>
    <row r="162" spans="1:18" ht="16.5" customHeight="1" x14ac:dyDescent="0.15">
      <c r="A162" s="41">
        <v>11</v>
      </c>
      <c r="B162" s="41">
        <v>6562</v>
      </c>
      <c r="C162" s="74" t="s">
        <v>11618</v>
      </c>
      <c r="D162" s="100">
        <f>_11_A家事増５．０</f>
        <v>700</v>
      </c>
      <c r="E162" s="12" t="s">
        <v>392</v>
      </c>
      <c r="F162" s="800"/>
      <c r="G162" s="216"/>
      <c r="H162" s="38"/>
      <c r="I162" s="44" t="s">
        <v>397</v>
      </c>
      <c r="J162" s="218" t="s">
        <v>398</v>
      </c>
      <c r="K162" s="46">
        <v>1</v>
      </c>
      <c r="L162" s="35"/>
      <c r="N162" s="234"/>
      <c r="O162" s="43"/>
      <c r="P162" s="38"/>
      <c r="Q162" s="47">
        <f>ROUND((ROUND((ROUND((_11_A家事増５．０*_11・基礎２),0)*_11・２人),0)*(1+_11・A深夜)),0)</f>
        <v>945</v>
      </c>
      <c r="R162" s="48"/>
    </row>
    <row r="163" spans="1:18" ht="16.5" customHeight="1" x14ac:dyDescent="0.15">
      <c r="A163" s="41">
        <v>11</v>
      </c>
      <c r="B163" s="41" t="s">
        <v>11619</v>
      </c>
      <c r="C163" s="74" t="s">
        <v>11620</v>
      </c>
      <c r="D163" s="72"/>
      <c r="F163" s="53"/>
      <c r="G163" s="49"/>
      <c r="H163" s="50"/>
      <c r="I163" s="163"/>
      <c r="J163" s="45"/>
      <c r="K163" s="46"/>
      <c r="L163" s="35"/>
      <c r="N163" s="234"/>
      <c r="O163" s="707" t="s">
        <v>404</v>
      </c>
      <c r="P163" s="708"/>
      <c r="Q163" s="47">
        <f>ROUND((ROUND((_11_A家事増５．０*(1+_11・A深夜)),0)*_11・初任),0)</f>
        <v>735</v>
      </c>
      <c r="R163" s="48"/>
    </row>
    <row r="164" spans="1:18" ht="16.5" customHeight="1" x14ac:dyDescent="0.15">
      <c r="A164" s="41">
        <v>11</v>
      </c>
      <c r="B164" s="41" t="s">
        <v>11621</v>
      </c>
      <c r="C164" s="74" t="s">
        <v>11622</v>
      </c>
      <c r="D164" s="72"/>
      <c r="F164" s="43"/>
      <c r="G164" s="37"/>
      <c r="H164" s="38"/>
      <c r="I164" s="44" t="s">
        <v>397</v>
      </c>
      <c r="J164" s="218" t="s">
        <v>398</v>
      </c>
      <c r="K164" s="46">
        <v>1</v>
      </c>
      <c r="L164" s="35"/>
      <c r="N164" s="234"/>
      <c r="O164" s="709"/>
      <c r="P164" s="704"/>
      <c r="Q164" s="47">
        <f>ROUND((ROUND((ROUND((_11_A家事増５．０*_11・２人),0)*(1+_11・A深夜)),0)*_11・初任),0)</f>
        <v>735</v>
      </c>
      <c r="R164" s="48"/>
    </row>
    <row r="165" spans="1:18" ht="16.5" customHeight="1" x14ac:dyDescent="0.15">
      <c r="A165" s="41">
        <v>11</v>
      </c>
      <c r="B165" s="41" t="s">
        <v>11623</v>
      </c>
      <c r="C165" s="74" t="s">
        <v>11624</v>
      </c>
      <c r="D165" s="72"/>
      <c r="F165" s="752" t="s">
        <v>400</v>
      </c>
      <c r="G165" s="221" t="s">
        <v>398</v>
      </c>
      <c r="H165" s="50">
        <v>0.9</v>
      </c>
      <c r="I165" s="163"/>
      <c r="J165" s="247"/>
      <c r="K165" s="46"/>
      <c r="L165" s="35"/>
      <c r="N165" s="234"/>
      <c r="O165" s="709"/>
      <c r="P165" s="704"/>
      <c r="Q165" s="47">
        <f>ROUND((ROUND((ROUND((_11_A家事増５．０*_11・基礎２),0)*(1+_11・A深夜)),0)*_11・初任),0)</f>
        <v>662</v>
      </c>
      <c r="R165" s="48"/>
    </row>
    <row r="166" spans="1:18" ht="16.5" customHeight="1" x14ac:dyDescent="0.15">
      <c r="A166" s="41">
        <v>11</v>
      </c>
      <c r="B166" s="41" t="s">
        <v>11625</v>
      </c>
      <c r="C166" s="74" t="s">
        <v>11626</v>
      </c>
      <c r="D166" s="72"/>
      <c r="F166" s="800"/>
      <c r="G166" s="216"/>
      <c r="H166" s="38"/>
      <c r="I166" s="44" t="s">
        <v>397</v>
      </c>
      <c r="J166" s="218" t="s">
        <v>398</v>
      </c>
      <c r="K166" s="46">
        <v>1</v>
      </c>
      <c r="L166" s="35"/>
      <c r="N166" s="234"/>
      <c r="O166" s="240" t="s">
        <v>398</v>
      </c>
      <c r="P166" s="38">
        <f>_11・初任</f>
        <v>0.7</v>
      </c>
      <c r="Q166" s="47">
        <f>ROUND((ROUND((ROUND((ROUND((_11_A家事増５．０*_11・基礎２),0)*_11・２人),0)*(1+_11・A深夜)),0)*_11・初任),0)</f>
        <v>662</v>
      </c>
      <c r="R166" s="48"/>
    </row>
    <row r="167" spans="1:18" ht="16.5" customHeight="1" x14ac:dyDescent="0.15">
      <c r="A167" s="41">
        <v>11</v>
      </c>
      <c r="B167" s="41">
        <v>8267</v>
      </c>
      <c r="C167" s="74" t="s">
        <v>11627</v>
      </c>
      <c r="D167" s="707" t="s">
        <v>11628</v>
      </c>
      <c r="E167" s="798"/>
      <c r="F167" s="53"/>
      <c r="G167" s="49"/>
      <c r="H167" s="50"/>
      <c r="I167" s="163"/>
      <c r="J167" s="45"/>
      <c r="K167" s="46"/>
      <c r="L167" s="35"/>
      <c r="N167" s="234"/>
      <c r="O167" s="53"/>
      <c r="P167" s="50"/>
      <c r="Q167" s="47">
        <f>ROUND((_11_A家事増５．２５*(1+_11・A深夜)),0)</f>
        <v>1103</v>
      </c>
      <c r="R167" s="48"/>
    </row>
    <row r="168" spans="1:18" ht="16.5" customHeight="1" x14ac:dyDescent="0.15">
      <c r="A168" s="41">
        <v>11</v>
      </c>
      <c r="B168" s="41">
        <v>8268</v>
      </c>
      <c r="C168" s="74" t="s">
        <v>11629</v>
      </c>
      <c r="D168" s="799"/>
      <c r="E168" s="796"/>
      <c r="F168" s="43"/>
      <c r="G168" s="37"/>
      <c r="H168" s="38"/>
      <c r="I168" s="44" t="s">
        <v>397</v>
      </c>
      <c r="J168" s="218" t="s">
        <v>398</v>
      </c>
      <c r="K168" s="46">
        <v>1</v>
      </c>
      <c r="L168" s="35"/>
      <c r="N168" s="234"/>
      <c r="O168" s="35"/>
      <c r="Q168" s="47">
        <f>ROUND((ROUND((_11_A家事増５．２５*_11・２人),0)*(1+_11・A深夜)),0)</f>
        <v>1103</v>
      </c>
      <c r="R168" s="48"/>
    </row>
    <row r="169" spans="1:18" ht="16.5" customHeight="1" x14ac:dyDescent="0.15">
      <c r="A169" s="41">
        <v>11</v>
      </c>
      <c r="B169" s="41">
        <v>8269</v>
      </c>
      <c r="C169" s="74" t="s">
        <v>11630</v>
      </c>
      <c r="D169" s="799"/>
      <c r="E169" s="796"/>
      <c r="F169" s="752" t="s">
        <v>400</v>
      </c>
      <c r="G169" s="221" t="s">
        <v>398</v>
      </c>
      <c r="H169" s="50">
        <v>0.9</v>
      </c>
      <c r="I169" s="163"/>
      <c r="J169" s="247"/>
      <c r="K169" s="46"/>
      <c r="L169" s="35"/>
      <c r="N169" s="234"/>
      <c r="O169" s="35"/>
      <c r="Q169" s="47">
        <f>ROUND((ROUND((_11_A家事増５．２５*_11・基礎２),0)*(1+_11・A深夜)),0)</f>
        <v>993</v>
      </c>
      <c r="R169" s="48"/>
    </row>
    <row r="170" spans="1:18" ht="16.5" customHeight="1" x14ac:dyDescent="0.15">
      <c r="A170" s="41">
        <v>11</v>
      </c>
      <c r="B170" s="41">
        <v>8270</v>
      </c>
      <c r="C170" s="74" t="s">
        <v>11631</v>
      </c>
      <c r="D170" s="100">
        <f>_11_A家事増５．２５</f>
        <v>735</v>
      </c>
      <c r="E170" s="12" t="s">
        <v>392</v>
      </c>
      <c r="F170" s="800"/>
      <c r="G170" s="216"/>
      <c r="H170" s="38"/>
      <c r="I170" s="44" t="s">
        <v>397</v>
      </c>
      <c r="J170" s="218" t="s">
        <v>398</v>
      </c>
      <c r="K170" s="46">
        <v>1</v>
      </c>
      <c r="L170" s="35"/>
      <c r="N170" s="234"/>
      <c r="O170" s="43"/>
      <c r="P170" s="38"/>
      <c r="Q170" s="47">
        <f>ROUND((ROUND((ROUND((_11_A家事増５．２５*_11・基礎２),0)*_11・２人),0)*(1+_11・A深夜)),0)</f>
        <v>993</v>
      </c>
      <c r="R170" s="48"/>
    </row>
    <row r="171" spans="1:18" ht="16.5" customHeight="1" x14ac:dyDescent="0.15">
      <c r="A171" s="41">
        <v>11</v>
      </c>
      <c r="B171" s="41" t="s">
        <v>11632</v>
      </c>
      <c r="C171" s="74" t="s">
        <v>11633</v>
      </c>
      <c r="D171" s="72"/>
      <c r="F171" s="53"/>
      <c r="G171" s="49"/>
      <c r="H171" s="50"/>
      <c r="I171" s="163"/>
      <c r="J171" s="45"/>
      <c r="K171" s="46"/>
      <c r="L171" s="35"/>
      <c r="N171" s="234"/>
      <c r="O171" s="707" t="s">
        <v>404</v>
      </c>
      <c r="P171" s="708"/>
      <c r="Q171" s="47">
        <f>ROUND((ROUND((_11_A家事増５．２５*(1+_11・A深夜)),0)*_11・初任),0)</f>
        <v>772</v>
      </c>
      <c r="R171" s="48"/>
    </row>
    <row r="172" spans="1:18" ht="16.5" customHeight="1" x14ac:dyDescent="0.15">
      <c r="A172" s="41">
        <v>11</v>
      </c>
      <c r="B172" s="41" t="s">
        <v>11634</v>
      </c>
      <c r="C172" s="74" t="s">
        <v>11635</v>
      </c>
      <c r="D172" s="72"/>
      <c r="F172" s="43"/>
      <c r="G172" s="37"/>
      <c r="H172" s="38"/>
      <c r="I172" s="44" t="s">
        <v>397</v>
      </c>
      <c r="J172" s="218" t="s">
        <v>398</v>
      </c>
      <c r="K172" s="46">
        <v>1</v>
      </c>
      <c r="L172" s="35"/>
      <c r="N172" s="234"/>
      <c r="O172" s="709"/>
      <c r="P172" s="704"/>
      <c r="Q172" s="47">
        <f>ROUND((ROUND((ROUND((_11_A家事増５．２５*_11・２人),0)*(1+_11・A深夜)),0)*_11・初任),0)</f>
        <v>772</v>
      </c>
      <c r="R172" s="48"/>
    </row>
    <row r="173" spans="1:18" ht="16.5" customHeight="1" x14ac:dyDescent="0.15">
      <c r="A173" s="41">
        <v>11</v>
      </c>
      <c r="B173" s="41" t="s">
        <v>11636</v>
      </c>
      <c r="C173" s="74" t="s">
        <v>11637</v>
      </c>
      <c r="D173" s="72"/>
      <c r="F173" s="752" t="s">
        <v>400</v>
      </c>
      <c r="G173" s="221" t="s">
        <v>398</v>
      </c>
      <c r="H173" s="50">
        <v>0.9</v>
      </c>
      <c r="I173" s="163"/>
      <c r="J173" s="247"/>
      <c r="K173" s="46"/>
      <c r="L173" s="35"/>
      <c r="N173" s="234"/>
      <c r="O173" s="709"/>
      <c r="P173" s="704"/>
      <c r="Q173" s="47">
        <f>ROUND((ROUND((ROUND((_11_A家事増５．２５*_11・基礎２),0)*(1+_11・A深夜)),0)*_11・初任),0)</f>
        <v>695</v>
      </c>
      <c r="R173" s="48"/>
    </row>
    <row r="174" spans="1:18" ht="16.5" customHeight="1" x14ac:dyDescent="0.15">
      <c r="A174" s="41">
        <v>11</v>
      </c>
      <c r="B174" s="41" t="s">
        <v>11638</v>
      </c>
      <c r="C174" s="74" t="s">
        <v>11639</v>
      </c>
      <c r="D174" s="72"/>
      <c r="F174" s="800"/>
      <c r="G174" s="216"/>
      <c r="H174" s="38"/>
      <c r="I174" s="44" t="s">
        <v>397</v>
      </c>
      <c r="J174" s="218" t="s">
        <v>398</v>
      </c>
      <c r="K174" s="46">
        <v>1</v>
      </c>
      <c r="L174" s="35"/>
      <c r="N174" s="234"/>
      <c r="O174" s="240" t="s">
        <v>398</v>
      </c>
      <c r="P174" s="38">
        <f>_11・初任</f>
        <v>0.7</v>
      </c>
      <c r="Q174" s="47">
        <f>ROUND((ROUND((ROUND((ROUND((_11_A家事増５．２５*_11・基礎２),0)*_11・２人),0)*(1+_11・A深夜)),0)*_11・初任),0)</f>
        <v>695</v>
      </c>
      <c r="R174" s="48"/>
    </row>
    <row r="175" spans="1:18" ht="16.5" customHeight="1" x14ac:dyDescent="0.15">
      <c r="A175" s="41">
        <v>11</v>
      </c>
      <c r="B175" s="41">
        <v>6563</v>
      </c>
      <c r="C175" s="74" t="s">
        <v>11640</v>
      </c>
      <c r="D175" s="707" t="s">
        <v>11641</v>
      </c>
      <c r="E175" s="798"/>
      <c r="F175" s="53"/>
      <c r="G175" s="49"/>
      <c r="H175" s="50"/>
      <c r="I175" s="163"/>
      <c r="J175" s="45"/>
      <c r="K175" s="46"/>
      <c r="L175" s="35"/>
      <c r="N175" s="234"/>
      <c r="O175" s="53"/>
      <c r="P175" s="50"/>
      <c r="Q175" s="47">
        <f>ROUND((_11_A家事増５．５*(1+_11・A深夜)),0)</f>
        <v>1155</v>
      </c>
      <c r="R175" s="48"/>
    </row>
    <row r="176" spans="1:18" ht="16.5" customHeight="1" x14ac:dyDescent="0.15">
      <c r="A176" s="41">
        <v>11</v>
      </c>
      <c r="B176" s="41">
        <v>6564</v>
      </c>
      <c r="C176" s="74" t="s">
        <v>11642</v>
      </c>
      <c r="D176" s="799"/>
      <c r="E176" s="796"/>
      <c r="F176" s="43"/>
      <c r="G176" s="37"/>
      <c r="H176" s="38"/>
      <c r="I176" s="44" t="s">
        <v>397</v>
      </c>
      <c r="J176" s="218" t="s">
        <v>398</v>
      </c>
      <c r="K176" s="46">
        <v>1</v>
      </c>
      <c r="L176" s="35"/>
      <c r="N176" s="234"/>
      <c r="O176" s="35"/>
      <c r="Q176" s="47">
        <f>ROUND((ROUND((_11_A家事増５．５*_11・２人),0)*(1+_11・A深夜)),0)</f>
        <v>1155</v>
      </c>
      <c r="R176" s="48"/>
    </row>
    <row r="177" spans="1:18" ht="16.5" customHeight="1" x14ac:dyDescent="0.15">
      <c r="A177" s="41">
        <v>11</v>
      </c>
      <c r="B177" s="41">
        <v>6565</v>
      </c>
      <c r="C177" s="74" t="s">
        <v>11643</v>
      </c>
      <c r="D177" s="799"/>
      <c r="E177" s="796"/>
      <c r="F177" s="752" t="s">
        <v>400</v>
      </c>
      <c r="G177" s="221" t="s">
        <v>398</v>
      </c>
      <c r="H177" s="50">
        <v>0.9</v>
      </c>
      <c r="I177" s="163"/>
      <c r="J177" s="247"/>
      <c r="K177" s="46"/>
      <c r="L177" s="35"/>
      <c r="N177" s="234"/>
      <c r="O177" s="35"/>
      <c r="Q177" s="47">
        <f>ROUND((ROUND((_11_A家事増５．５*_11・基礎２),0)*(1+_11・A深夜)),0)</f>
        <v>1040</v>
      </c>
      <c r="R177" s="48"/>
    </row>
    <row r="178" spans="1:18" ht="16.5" customHeight="1" x14ac:dyDescent="0.15">
      <c r="A178" s="41">
        <v>11</v>
      </c>
      <c r="B178" s="41">
        <v>6566</v>
      </c>
      <c r="C178" s="74" t="s">
        <v>11644</v>
      </c>
      <c r="D178" s="100">
        <f>_11_A家事増５．５</f>
        <v>770</v>
      </c>
      <c r="E178" s="12" t="s">
        <v>392</v>
      </c>
      <c r="F178" s="800"/>
      <c r="G178" s="216"/>
      <c r="H178" s="38"/>
      <c r="I178" s="44" t="s">
        <v>397</v>
      </c>
      <c r="J178" s="218" t="s">
        <v>398</v>
      </c>
      <c r="K178" s="46">
        <v>1</v>
      </c>
      <c r="L178" s="35"/>
      <c r="N178" s="234"/>
      <c r="O178" s="43"/>
      <c r="P178" s="38"/>
      <c r="Q178" s="47">
        <f>ROUND((ROUND((ROUND((_11_A家事増５．５*_11・基礎２),0)*_11・２人),0)*(1+_11・A深夜)),0)</f>
        <v>1040</v>
      </c>
      <c r="R178" s="48"/>
    </row>
    <row r="179" spans="1:18" ht="16.5" customHeight="1" x14ac:dyDescent="0.15">
      <c r="A179" s="41">
        <v>11</v>
      </c>
      <c r="B179" s="41" t="s">
        <v>11645</v>
      </c>
      <c r="C179" s="74" t="s">
        <v>11646</v>
      </c>
      <c r="D179" s="72"/>
      <c r="F179" s="53"/>
      <c r="G179" s="49"/>
      <c r="H179" s="50"/>
      <c r="I179" s="163"/>
      <c r="J179" s="45"/>
      <c r="K179" s="46"/>
      <c r="L179" s="35"/>
      <c r="N179" s="234"/>
      <c r="O179" s="707" t="s">
        <v>404</v>
      </c>
      <c r="P179" s="708"/>
      <c r="Q179" s="47">
        <f>ROUND((ROUND((_11_A家事増５．５*(1+_11・A深夜)),0)*_11・初任),0)</f>
        <v>809</v>
      </c>
      <c r="R179" s="48"/>
    </row>
    <row r="180" spans="1:18" ht="16.5" customHeight="1" x14ac:dyDescent="0.15">
      <c r="A180" s="41">
        <v>11</v>
      </c>
      <c r="B180" s="41" t="s">
        <v>11647</v>
      </c>
      <c r="C180" s="74" t="s">
        <v>11648</v>
      </c>
      <c r="D180" s="72"/>
      <c r="F180" s="43"/>
      <c r="G180" s="37"/>
      <c r="H180" s="38"/>
      <c r="I180" s="44" t="s">
        <v>397</v>
      </c>
      <c r="J180" s="218" t="s">
        <v>398</v>
      </c>
      <c r="K180" s="46">
        <v>1</v>
      </c>
      <c r="L180" s="35"/>
      <c r="N180" s="234"/>
      <c r="O180" s="709"/>
      <c r="P180" s="704"/>
      <c r="Q180" s="47">
        <f>ROUND((ROUND((ROUND((_11_A家事増５．５*_11・２人),0)*(1+_11・A深夜)),0)*_11・初任),0)</f>
        <v>809</v>
      </c>
      <c r="R180" s="48"/>
    </row>
    <row r="181" spans="1:18" ht="16.5" customHeight="1" x14ac:dyDescent="0.15">
      <c r="A181" s="41">
        <v>11</v>
      </c>
      <c r="B181" s="41" t="s">
        <v>11649</v>
      </c>
      <c r="C181" s="74" t="s">
        <v>11650</v>
      </c>
      <c r="D181" s="72"/>
      <c r="F181" s="752" t="s">
        <v>400</v>
      </c>
      <c r="G181" s="221" t="s">
        <v>398</v>
      </c>
      <c r="H181" s="50">
        <v>0.9</v>
      </c>
      <c r="I181" s="163"/>
      <c r="J181" s="247"/>
      <c r="K181" s="46"/>
      <c r="L181" s="35"/>
      <c r="N181" s="234"/>
      <c r="O181" s="709"/>
      <c r="P181" s="704"/>
      <c r="Q181" s="47">
        <f>ROUND((ROUND((ROUND((_11_A家事増５．５*_11・基礎２),0)*(1+_11・A深夜)),0)*_11・初任),0)</f>
        <v>728</v>
      </c>
      <c r="R181" s="48"/>
    </row>
    <row r="182" spans="1:18" ht="16.5" customHeight="1" x14ac:dyDescent="0.15">
      <c r="A182" s="41">
        <v>11</v>
      </c>
      <c r="B182" s="41" t="s">
        <v>11651</v>
      </c>
      <c r="C182" s="74" t="s">
        <v>11652</v>
      </c>
      <c r="D182" s="72"/>
      <c r="F182" s="800"/>
      <c r="G182" s="216"/>
      <c r="H182" s="38"/>
      <c r="I182" s="44" t="s">
        <v>397</v>
      </c>
      <c r="J182" s="218" t="s">
        <v>398</v>
      </c>
      <c r="K182" s="46">
        <v>1</v>
      </c>
      <c r="L182" s="35"/>
      <c r="N182" s="234"/>
      <c r="O182" s="240" t="s">
        <v>398</v>
      </c>
      <c r="P182" s="38">
        <f>_11・初任</f>
        <v>0.7</v>
      </c>
      <c r="Q182" s="47">
        <f>ROUND((ROUND((ROUND((ROUND((_11_A家事増５．５*_11・基礎２),0)*_11・２人),0)*(1+_11・A深夜)),0)*_11・初任),0)</f>
        <v>728</v>
      </c>
      <c r="R182" s="48"/>
    </row>
    <row r="183" spans="1:18" ht="16.5" customHeight="1" x14ac:dyDescent="0.15">
      <c r="A183" s="41">
        <v>11</v>
      </c>
      <c r="B183" s="41">
        <v>8271</v>
      </c>
      <c r="C183" s="74" t="s">
        <v>11653</v>
      </c>
      <c r="D183" s="707" t="s">
        <v>11654</v>
      </c>
      <c r="E183" s="798"/>
      <c r="F183" s="53"/>
      <c r="G183" s="49"/>
      <c r="H183" s="50"/>
      <c r="I183" s="163"/>
      <c r="J183" s="45"/>
      <c r="K183" s="46"/>
      <c r="L183" s="35"/>
      <c r="N183" s="234"/>
      <c r="O183" s="53"/>
      <c r="P183" s="50"/>
      <c r="Q183" s="47">
        <f>ROUND((_11_A家事増５．７５*(1+_11・A深夜)),0)</f>
        <v>1208</v>
      </c>
      <c r="R183" s="48"/>
    </row>
    <row r="184" spans="1:18" ht="16.5" customHeight="1" x14ac:dyDescent="0.15">
      <c r="A184" s="41">
        <v>11</v>
      </c>
      <c r="B184" s="41">
        <v>8272</v>
      </c>
      <c r="C184" s="74" t="s">
        <v>11655</v>
      </c>
      <c r="D184" s="799"/>
      <c r="E184" s="796"/>
      <c r="F184" s="43"/>
      <c r="G184" s="37"/>
      <c r="H184" s="38"/>
      <c r="I184" s="44" t="s">
        <v>397</v>
      </c>
      <c r="J184" s="218" t="s">
        <v>398</v>
      </c>
      <c r="K184" s="46">
        <v>1</v>
      </c>
      <c r="L184" s="35"/>
      <c r="N184" s="234"/>
      <c r="O184" s="35"/>
      <c r="Q184" s="47">
        <f>ROUND((ROUND((_11_A家事増５．７５*_11・２人),0)*(1+_11・A深夜)),0)</f>
        <v>1208</v>
      </c>
      <c r="R184" s="48"/>
    </row>
    <row r="185" spans="1:18" ht="16.5" customHeight="1" x14ac:dyDescent="0.15">
      <c r="A185" s="41">
        <v>11</v>
      </c>
      <c r="B185" s="41">
        <v>8273</v>
      </c>
      <c r="C185" s="74" t="s">
        <v>11656</v>
      </c>
      <c r="D185" s="799"/>
      <c r="E185" s="796"/>
      <c r="F185" s="752" t="s">
        <v>400</v>
      </c>
      <c r="G185" s="221" t="s">
        <v>398</v>
      </c>
      <c r="H185" s="50">
        <v>0.9</v>
      </c>
      <c r="I185" s="163"/>
      <c r="J185" s="247"/>
      <c r="K185" s="46"/>
      <c r="L185" s="35"/>
      <c r="N185" s="234"/>
      <c r="O185" s="35"/>
      <c r="Q185" s="47">
        <f>ROUND((ROUND((_11_A家事増５．７５*_11・基礎２),0)*(1+_11・A深夜)),0)</f>
        <v>1088</v>
      </c>
      <c r="R185" s="48"/>
    </row>
    <row r="186" spans="1:18" ht="16.5" customHeight="1" x14ac:dyDescent="0.15">
      <c r="A186" s="41">
        <v>11</v>
      </c>
      <c r="B186" s="41">
        <v>8274</v>
      </c>
      <c r="C186" s="74" t="s">
        <v>11657</v>
      </c>
      <c r="D186" s="100">
        <f>_11_A家事増５．７５</f>
        <v>805</v>
      </c>
      <c r="E186" s="12" t="s">
        <v>392</v>
      </c>
      <c r="F186" s="800"/>
      <c r="G186" s="216"/>
      <c r="H186" s="38"/>
      <c r="I186" s="44" t="s">
        <v>397</v>
      </c>
      <c r="J186" s="218" t="s">
        <v>398</v>
      </c>
      <c r="K186" s="46">
        <v>1</v>
      </c>
      <c r="L186" s="35"/>
      <c r="N186" s="234"/>
      <c r="O186" s="43"/>
      <c r="P186" s="38"/>
      <c r="Q186" s="47">
        <f>ROUND((ROUND((ROUND((_11_A家事増５．７５*_11・基礎２),0)*_11・２人),0)*(1+_11・A深夜)),0)</f>
        <v>1088</v>
      </c>
      <c r="R186" s="48"/>
    </row>
    <row r="187" spans="1:18" ht="16.5" customHeight="1" x14ac:dyDescent="0.15">
      <c r="A187" s="41">
        <v>11</v>
      </c>
      <c r="B187" s="41" t="s">
        <v>11658</v>
      </c>
      <c r="C187" s="74" t="s">
        <v>11659</v>
      </c>
      <c r="D187" s="72"/>
      <c r="F187" s="53"/>
      <c r="G187" s="49"/>
      <c r="H187" s="50"/>
      <c r="I187" s="163"/>
      <c r="J187" s="45"/>
      <c r="K187" s="46"/>
      <c r="L187" s="35"/>
      <c r="N187" s="234"/>
      <c r="O187" s="707" t="s">
        <v>404</v>
      </c>
      <c r="P187" s="708"/>
      <c r="Q187" s="47">
        <f>ROUND((ROUND((_11_A家事増５．７５*(1+_11・A深夜)),0)*_11・初任),0)</f>
        <v>846</v>
      </c>
      <c r="R187" s="48"/>
    </row>
    <row r="188" spans="1:18" ht="16.5" customHeight="1" x14ac:dyDescent="0.15">
      <c r="A188" s="41">
        <v>11</v>
      </c>
      <c r="B188" s="41" t="s">
        <v>11660</v>
      </c>
      <c r="C188" s="74" t="s">
        <v>11661</v>
      </c>
      <c r="D188" s="72"/>
      <c r="F188" s="43"/>
      <c r="G188" s="37"/>
      <c r="H188" s="38"/>
      <c r="I188" s="44" t="s">
        <v>397</v>
      </c>
      <c r="J188" s="218" t="s">
        <v>398</v>
      </c>
      <c r="K188" s="46">
        <v>1</v>
      </c>
      <c r="L188" s="35"/>
      <c r="N188" s="234"/>
      <c r="O188" s="709"/>
      <c r="P188" s="704"/>
      <c r="Q188" s="47">
        <f>ROUND((ROUND((ROUND((_11_A家事増５．７５*_11・２人),0)*(1+_11・A深夜)),0)*_11・初任),0)</f>
        <v>846</v>
      </c>
      <c r="R188" s="48"/>
    </row>
    <row r="189" spans="1:18" ht="16.5" customHeight="1" x14ac:dyDescent="0.15">
      <c r="A189" s="41">
        <v>11</v>
      </c>
      <c r="B189" s="41" t="s">
        <v>11662</v>
      </c>
      <c r="C189" s="74" t="s">
        <v>11663</v>
      </c>
      <c r="D189" s="72"/>
      <c r="F189" s="752" t="s">
        <v>400</v>
      </c>
      <c r="G189" s="221" t="s">
        <v>398</v>
      </c>
      <c r="H189" s="50">
        <v>0.9</v>
      </c>
      <c r="I189" s="163"/>
      <c r="J189" s="247"/>
      <c r="K189" s="46"/>
      <c r="L189" s="35"/>
      <c r="N189" s="234"/>
      <c r="O189" s="709"/>
      <c r="P189" s="704"/>
      <c r="Q189" s="47">
        <f>ROUND((ROUND((ROUND((_11_A家事増５．７５*_11・基礎２),0)*(1+_11・A深夜)),0)*_11・初任),0)</f>
        <v>762</v>
      </c>
      <c r="R189" s="48"/>
    </row>
    <row r="190" spans="1:18" ht="16.5" customHeight="1" x14ac:dyDescent="0.15">
      <c r="A190" s="41">
        <v>11</v>
      </c>
      <c r="B190" s="41" t="s">
        <v>11664</v>
      </c>
      <c r="C190" s="74" t="s">
        <v>11665</v>
      </c>
      <c r="D190" s="72"/>
      <c r="F190" s="800"/>
      <c r="G190" s="216"/>
      <c r="H190" s="38"/>
      <c r="I190" s="44" t="s">
        <v>397</v>
      </c>
      <c r="J190" s="218" t="s">
        <v>398</v>
      </c>
      <c r="K190" s="46">
        <v>1</v>
      </c>
      <c r="L190" s="35"/>
      <c r="N190" s="234"/>
      <c r="O190" s="240" t="s">
        <v>398</v>
      </c>
      <c r="P190" s="38">
        <f>_11・初任</f>
        <v>0.7</v>
      </c>
      <c r="Q190" s="47">
        <f>ROUND((ROUND((ROUND((ROUND((_11_A家事増５．７５*_11・基礎２),0)*_11・２人),0)*(1+_11・A深夜)),0)*_11・初任),0)</f>
        <v>762</v>
      </c>
      <c r="R190" s="48"/>
    </row>
    <row r="191" spans="1:18" ht="16.5" customHeight="1" x14ac:dyDescent="0.15">
      <c r="A191" s="41">
        <v>11</v>
      </c>
      <c r="B191" s="41">
        <v>6567</v>
      </c>
      <c r="C191" s="74" t="s">
        <v>11666</v>
      </c>
      <c r="D191" s="707" t="s">
        <v>11667</v>
      </c>
      <c r="E191" s="798"/>
      <c r="F191" s="53"/>
      <c r="G191" s="49"/>
      <c r="H191" s="50"/>
      <c r="I191" s="163"/>
      <c r="J191" s="45"/>
      <c r="K191" s="46"/>
      <c r="L191" s="35"/>
      <c r="N191" s="234"/>
      <c r="O191" s="53"/>
      <c r="P191" s="50"/>
      <c r="Q191" s="47">
        <f>ROUND((_11_A家事増６．０*(1+_11・A深夜)),0)</f>
        <v>1260</v>
      </c>
      <c r="R191" s="48"/>
    </row>
    <row r="192" spans="1:18" ht="16.5" customHeight="1" x14ac:dyDescent="0.15">
      <c r="A192" s="41">
        <v>11</v>
      </c>
      <c r="B192" s="41">
        <v>6568</v>
      </c>
      <c r="C192" s="74" t="s">
        <v>11668</v>
      </c>
      <c r="D192" s="799"/>
      <c r="E192" s="796"/>
      <c r="F192" s="43"/>
      <c r="G192" s="37"/>
      <c r="H192" s="38"/>
      <c r="I192" s="44" t="s">
        <v>397</v>
      </c>
      <c r="J192" s="218" t="s">
        <v>398</v>
      </c>
      <c r="K192" s="46">
        <v>1</v>
      </c>
      <c r="L192" s="35"/>
      <c r="N192" s="234"/>
      <c r="O192" s="35"/>
      <c r="Q192" s="47">
        <f>ROUND((ROUND((_11_A家事増６．０*_11・２人),0)*(1+_11・A深夜)),0)</f>
        <v>1260</v>
      </c>
      <c r="R192" s="48"/>
    </row>
    <row r="193" spans="1:18" ht="16.5" customHeight="1" x14ac:dyDescent="0.15">
      <c r="A193" s="41">
        <v>11</v>
      </c>
      <c r="B193" s="41">
        <v>6569</v>
      </c>
      <c r="C193" s="74" t="s">
        <v>11669</v>
      </c>
      <c r="D193" s="799"/>
      <c r="E193" s="796"/>
      <c r="F193" s="752" t="s">
        <v>400</v>
      </c>
      <c r="G193" s="221" t="s">
        <v>398</v>
      </c>
      <c r="H193" s="50">
        <v>0.9</v>
      </c>
      <c r="I193" s="163"/>
      <c r="J193" s="247"/>
      <c r="K193" s="46"/>
      <c r="L193" s="35"/>
      <c r="N193" s="234"/>
      <c r="O193" s="35"/>
      <c r="Q193" s="47">
        <f>ROUND((ROUND((_11_A家事増６．０*_11・基礎２),0)*(1+_11・A深夜)),0)</f>
        <v>1134</v>
      </c>
      <c r="R193" s="48"/>
    </row>
    <row r="194" spans="1:18" ht="16.5" customHeight="1" x14ac:dyDescent="0.15">
      <c r="A194" s="41">
        <v>11</v>
      </c>
      <c r="B194" s="41">
        <v>6570</v>
      </c>
      <c r="C194" s="74" t="s">
        <v>11670</v>
      </c>
      <c r="D194" s="100">
        <f>_11_A家事増６．０</f>
        <v>840</v>
      </c>
      <c r="E194" s="12" t="s">
        <v>392</v>
      </c>
      <c r="F194" s="800"/>
      <c r="G194" s="216"/>
      <c r="H194" s="38"/>
      <c r="I194" s="44" t="s">
        <v>397</v>
      </c>
      <c r="J194" s="218" t="s">
        <v>398</v>
      </c>
      <c r="K194" s="46">
        <v>1</v>
      </c>
      <c r="L194" s="35"/>
      <c r="N194" s="234"/>
      <c r="O194" s="43"/>
      <c r="P194" s="38"/>
      <c r="Q194" s="47">
        <f>ROUND((ROUND((ROUND((_11_A家事増６．０*_11・基礎２),0)*_11・２人),0)*(1+_11・A深夜)),0)</f>
        <v>1134</v>
      </c>
      <c r="R194" s="48"/>
    </row>
    <row r="195" spans="1:18" ht="16.5" customHeight="1" x14ac:dyDescent="0.15">
      <c r="A195" s="41">
        <v>11</v>
      </c>
      <c r="B195" s="41" t="s">
        <v>11671</v>
      </c>
      <c r="C195" s="74" t="s">
        <v>11672</v>
      </c>
      <c r="D195" s="72"/>
      <c r="F195" s="53"/>
      <c r="G195" s="49"/>
      <c r="H195" s="50"/>
      <c r="I195" s="163"/>
      <c r="J195" s="45"/>
      <c r="K195" s="46"/>
      <c r="L195" s="35"/>
      <c r="N195" s="234"/>
      <c r="O195" s="707" t="s">
        <v>404</v>
      </c>
      <c r="P195" s="708"/>
      <c r="Q195" s="47">
        <f>ROUND((ROUND((_11_A家事増６．０*(1+_11・A深夜)),0)*_11・初任),0)</f>
        <v>882</v>
      </c>
      <c r="R195" s="48"/>
    </row>
    <row r="196" spans="1:18" ht="16.5" customHeight="1" x14ac:dyDescent="0.15">
      <c r="A196" s="41">
        <v>11</v>
      </c>
      <c r="B196" s="41" t="s">
        <v>11673</v>
      </c>
      <c r="C196" s="74" t="s">
        <v>11674</v>
      </c>
      <c r="D196" s="72"/>
      <c r="F196" s="43"/>
      <c r="G196" s="37"/>
      <c r="H196" s="38"/>
      <c r="I196" s="44" t="s">
        <v>397</v>
      </c>
      <c r="J196" s="218" t="s">
        <v>398</v>
      </c>
      <c r="K196" s="46">
        <v>1</v>
      </c>
      <c r="L196" s="35"/>
      <c r="N196" s="234"/>
      <c r="O196" s="709"/>
      <c r="P196" s="704"/>
      <c r="Q196" s="47">
        <f>ROUND((ROUND((ROUND((_11_A家事増６．０*_11・２人),0)*(1+_11・A深夜)),0)*_11・初任),0)</f>
        <v>882</v>
      </c>
      <c r="R196" s="48"/>
    </row>
    <row r="197" spans="1:18" ht="16.5" customHeight="1" x14ac:dyDescent="0.15">
      <c r="A197" s="41">
        <v>11</v>
      </c>
      <c r="B197" s="41" t="s">
        <v>11675</v>
      </c>
      <c r="C197" s="74" t="s">
        <v>11676</v>
      </c>
      <c r="D197" s="72"/>
      <c r="F197" s="752" t="s">
        <v>400</v>
      </c>
      <c r="G197" s="221" t="s">
        <v>398</v>
      </c>
      <c r="H197" s="50">
        <v>0.9</v>
      </c>
      <c r="I197" s="163"/>
      <c r="J197" s="247"/>
      <c r="K197" s="46"/>
      <c r="L197" s="35"/>
      <c r="N197" s="234"/>
      <c r="O197" s="709"/>
      <c r="P197" s="704"/>
      <c r="Q197" s="47">
        <f>ROUND((ROUND((ROUND((_11_A家事増６．０*_11・基礎２),0)*(1+_11・A深夜)),0)*_11・初任),0)</f>
        <v>794</v>
      </c>
      <c r="R197" s="48"/>
    </row>
    <row r="198" spans="1:18" ht="16.5" customHeight="1" x14ac:dyDescent="0.15">
      <c r="A198" s="41">
        <v>11</v>
      </c>
      <c r="B198" s="41" t="s">
        <v>11677</v>
      </c>
      <c r="C198" s="74" t="s">
        <v>11678</v>
      </c>
      <c r="D198" s="72"/>
      <c r="F198" s="800"/>
      <c r="G198" s="216"/>
      <c r="H198" s="38"/>
      <c r="I198" s="44" t="s">
        <v>397</v>
      </c>
      <c r="J198" s="218" t="s">
        <v>398</v>
      </c>
      <c r="K198" s="46">
        <v>1</v>
      </c>
      <c r="L198" s="35"/>
      <c r="N198" s="234"/>
      <c r="O198" s="240" t="s">
        <v>398</v>
      </c>
      <c r="P198" s="38">
        <f>_11・初任</f>
        <v>0.7</v>
      </c>
      <c r="Q198" s="47">
        <f>ROUND((ROUND((ROUND((ROUND((_11_A家事増６．０*_11・基礎２),0)*_11・２人),0)*(1+_11・A深夜)),0)*_11・初任),0)</f>
        <v>794</v>
      </c>
      <c r="R198" s="48"/>
    </row>
    <row r="199" spans="1:18" ht="16.5" customHeight="1" x14ac:dyDescent="0.15">
      <c r="A199" s="41">
        <v>11</v>
      </c>
      <c r="B199" s="41">
        <v>8275</v>
      </c>
      <c r="C199" s="74" t="s">
        <v>11679</v>
      </c>
      <c r="D199" s="707" t="s">
        <v>11680</v>
      </c>
      <c r="E199" s="798"/>
      <c r="F199" s="53"/>
      <c r="G199" s="49"/>
      <c r="H199" s="50"/>
      <c r="I199" s="163"/>
      <c r="J199" s="45"/>
      <c r="K199" s="46"/>
      <c r="L199" s="35"/>
      <c r="N199" s="234"/>
      <c r="O199" s="53"/>
      <c r="P199" s="50"/>
      <c r="Q199" s="47">
        <f>ROUND((_11_A家事増６．２５*(1+_11・A深夜)),0)</f>
        <v>1313</v>
      </c>
      <c r="R199" s="48"/>
    </row>
    <row r="200" spans="1:18" ht="16.5" customHeight="1" x14ac:dyDescent="0.15">
      <c r="A200" s="41">
        <v>11</v>
      </c>
      <c r="B200" s="41">
        <v>8276</v>
      </c>
      <c r="C200" s="74" t="s">
        <v>11681</v>
      </c>
      <c r="D200" s="799"/>
      <c r="E200" s="796"/>
      <c r="F200" s="43"/>
      <c r="G200" s="37"/>
      <c r="H200" s="38"/>
      <c r="I200" s="44" t="s">
        <v>397</v>
      </c>
      <c r="J200" s="218" t="s">
        <v>398</v>
      </c>
      <c r="K200" s="46">
        <v>1</v>
      </c>
      <c r="L200" s="35"/>
      <c r="N200" s="234"/>
      <c r="O200" s="35"/>
      <c r="Q200" s="47">
        <f>ROUND((ROUND((_11_A家事増６．２５*_11・２人),0)*(1+_11・A深夜)),0)</f>
        <v>1313</v>
      </c>
      <c r="R200" s="48"/>
    </row>
    <row r="201" spans="1:18" ht="16.5" customHeight="1" x14ac:dyDescent="0.15">
      <c r="A201" s="41">
        <v>11</v>
      </c>
      <c r="B201" s="41">
        <v>8277</v>
      </c>
      <c r="C201" s="74" t="s">
        <v>11682</v>
      </c>
      <c r="D201" s="799"/>
      <c r="E201" s="796"/>
      <c r="F201" s="752" t="s">
        <v>400</v>
      </c>
      <c r="G201" s="221" t="s">
        <v>398</v>
      </c>
      <c r="H201" s="50">
        <v>0.9</v>
      </c>
      <c r="I201" s="163"/>
      <c r="J201" s="247"/>
      <c r="K201" s="46"/>
      <c r="L201" s="35"/>
      <c r="N201" s="234"/>
      <c r="O201" s="35"/>
      <c r="Q201" s="47">
        <f>ROUND((ROUND((_11_A家事増６．２５*_11・基礎２),0)*(1+_11・A深夜)),0)</f>
        <v>1182</v>
      </c>
      <c r="R201" s="48"/>
    </row>
    <row r="202" spans="1:18" ht="16.5" customHeight="1" x14ac:dyDescent="0.15">
      <c r="A202" s="41">
        <v>11</v>
      </c>
      <c r="B202" s="41">
        <v>8278</v>
      </c>
      <c r="C202" s="74" t="s">
        <v>11683</v>
      </c>
      <c r="D202" s="100">
        <f>_11_A家事増６．２５</f>
        <v>875</v>
      </c>
      <c r="E202" s="12" t="s">
        <v>392</v>
      </c>
      <c r="F202" s="800"/>
      <c r="G202" s="216"/>
      <c r="H202" s="38"/>
      <c r="I202" s="44" t="s">
        <v>397</v>
      </c>
      <c r="J202" s="218" t="s">
        <v>398</v>
      </c>
      <c r="K202" s="46">
        <v>1</v>
      </c>
      <c r="L202" s="35"/>
      <c r="N202" s="234"/>
      <c r="O202" s="43"/>
      <c r="P202" s="38"/>
      <c r="Q202" s="47">
        <f>ROUND((ROUND((ROUND((_11_A家事増６．２５*_11・基礎２),0)*_11・２人),0)*(1+_11・A深夜)),0)</f>
        <v>1182</v>
      </c>
      <c r="R202" s="48"/>
    </row>
    <row r="203" spans="1:18" ht="16.5" customHeight="1" x14ac:dyDescent="0.15">
      <c r="A203" s="41">
        <v>11</v>
      </c>
      <c r="B203" s="41" t="s">
        <v>11684</v>
      </c>
      <c r="C203" s="74" t="s">
        <v>11685</v>
      </c>
      <c r="D203" s="72"/>
      <c r="F203" s="53"/>
      <c r="G203" s="49"/>
      <c r="H203" s="50"/>
      <c r="I203" s="163"/>
      <c r="J203" s="45"/>
      <c r="K203" s="46"/>
      <c r="L203" s="35"/>
      <c r="N203" s="234"/>
      <c r="O203" s="707" t="s">
        <v>404</v>
      </c>
      <c r="P203" s="708"/>
      <c r="Q203" s="47">
        <f>ROUND((ROUND((_11_A家事増６．２５*(1+_11・A深夜)),0)*_11・初任),0)</f>
        <v>919</v>
      </c>
      <c r="R203" s="48"/>
    </row>
    <row r="204" spans="1:18" ht="16.5" customHeight="1" x14ac:dyDescent="0.15">
      <c r="A204" s="41">
        <v>11</v>
      </c>
      <c r="B204" s="41" t="s">
        <v>11686</v>
      </c>
      <c r="C204" s="74" t="s">
        <v>11687</v>
      </c>
      <c r="D204" s="72"/>
      <c r="F204" s="43"/>
      <c r="G204" s="37"/>
      <c r="H204" s="38"/>
      <c r="I204" s="44" t="s">
        <v>397</v>
      </c>
      <c r="J204" s="218" t="s">
        <v>398</v>
      </c>
      <c r="K204" s="46">
        <v>1</v>
      </c>
      <c r="L204" s="35"/>
      <c r="N204" s="234"/>
      <c r="O204" s="709"/>
      <c r="P204" s="704"/>
      <c r="Q204" s="47">
        <f>ROUND((ROUND((ROUND((_11_A家事増６．２５*_11・２人),0)*(1+_11・A深夜)),0)*_11・初任),0)</f>
        <v>919</v>
      </c>
      <c r="R204" s="48"/>
    </row>
    <row r="205" spans="1:18" ht="16.5" customHeight="1" x14ac:dyDescent="0.15">
      <c r="A205" s="41">
        <v>11</v>
      </c>
      <c r="B205" s="41" t="s">
        <v>11688</v>
      </c>
      <c r="C205" s="74" t="s">
        <v>11689</v>
      </c>
      <c r="D205" s="72"/>
      <c r="F205" s="752" t="s">
        <v>400</v>
      </c>
      <c r="G205" s="221" t="s">
        <v>398</v>
      </c>
      <c r="H205" s="50">
        <v>0.9</v>
      </c>
      <c r="I205" s="163"/>
      <c r="J205" s="247"/>
      <c r="K205" s="46"/>
      <c r="L205" s="35"/>
      <c r="N205" s="234"/>
      <c r="O205" s="709"/>
      <c r="P205" s="704"/>
      <c r="Q205" s="47">
        <f>ROUND((ROUND((ROUND((_11_A家事増６．２５*_11・基礎２),0)*(1+_11・A深夜)),0)*_11・初任),0)</f>
        <v>827</v>
      </c>
      <c r="R205" s="48"/>
    </row>
    <row r="206" spans="1:18" ht="16.5" customHeight="1" x14ac:dyDescent="0.15">
      <c r="A206" s="41">
        <v>11</v>
      </c>
      <c r="B206" s="41" t="s">
        <v>11690</v>
      </c>
      <c r="C206" s="74" t="s">
        <v>11691</v>
      </c>
      <c r="D206" s="72"/>
      <c r="F206" s="800"/>
      <c r="G206" s="216"/>
      <c r="H206" s="38"/>
      <c r="I206" s="44" t="s">
        <v>397</v>
      </c>
      <c r="J206" s="218" t="s">
        <v>398</v>
      </c>
      <c r="K206" s="46">
        <v>1</v>
      </c>
      <c r="L206" s="35"/>
      <c r="N206" s="234"/>
      <c r="O206" s="240" t="s">
        <v>398</v>
      </c>
      <c r="P206" s="38">
        <f>_11・初任</f>
        <v>0.7</v>
      </c>
      <c r="Q206" s="47">
        <f>ROUND((ROUND((ROUND((ROUND((_11_A家事増６．２５*_11・基礎２),0)*_11・２人),0)*(1+_11・A深夜)),0)*_11・初任),0)</f>
        <v>827</v>
      </c>
      <c r="R206" s="48"/>
    </row>
    <row r="207" spans="1:18" ht="16.5" customHeight="1" x14ac:dyDescent="0.15">
      <c r="A207" s="41">
        <v>11</v>
      </c>
      <c r="B207" s="41">
        <v>6571</v>
      </c>
      <c r="C207" s="74" t="s">
        <v>11692</v>
      </c>
      <c r="D207" s="707" t="s">
        <v>11693</v>
      </c>
      <c r="E207" s="798"/>
      <c r="F207" s="53"/>
      <c r="G207" s="49"/>
      <c r="H207" s="50"/>
      <c r="I207" s="163"/>
      <c r="J207" s="45"/>
      <c r="K207" s="46"/>
      <c r="L207" s="35"/>
      <c r="N207" s="234"/>
      <c r="O207" s="53"/>
      <c r="P207" s="50"/>
      <c r="Q207" s="47">
        <f>ROUND((_11_A家事増６．５*(1+_11・A深夜)),0)</f>
        <v>1365</v>
      </c>
      <c r="R207" s="48"/>
    </row>
    <row r="208" spans="1:18" ht="16.5" customHeight="1" x14ac:dyDescent="0.15">
      <c r="A208" s="41">
        <v>11</v>
      </c>
      <c r="B208" s="41">
        <v>6572</v>
      </c>
      <c r="C208" s="74" t="s">
        <v>11694</v>
      </c>
      <c r="D208" s="799"/>
      <c r="E208" s="796"/>
      <c r="F208" s="43"/>
      <c r="G208" s="37"/>
      <c r="H208" s="38"/>
      <c r="I208" s="44" t="s">
        <v>397</v>
      </c>
      <c r="J208" s="218" t="s">
        <v>398</v>
      </c>
      <c r="K208" s="46">
        <v>1</v>
      </c>
      <c r="L208" s="35"/>
      <c r="N208" s="234"/>
      <c r="O208" s="35"/>
      <c r="Q208" s="47">
        <f>ROUND((ROUND((_11_A家事増６．５*_11・２人),0)*(1+_11・A深夜)),0)</f>
        <v>1365</v>
      </c>
      <c r="R208" s="48"/>
    </row>
    <row r="209" spans="1:18" ht="16.5" customHeight="1" x14ac:dyDescent="0.15">
      <c r="A209" s="41">
        <v>11</v>
      </c>
      <c r="B209" s="41">
        <v>6573</v>
      </c>
      <c r="C209" s="74" t="s">
        <v>11695</v>
      </c>
      <c r="D209" s="799"/>
      <c r="E209" s="796"/>
      <c r="F209" s="752" t="s">
        <v>400</v>
      </c>
      <c r="G209" s="221" t="s">
        <v>398</v>
      </c>
      <c r="H209" s="50">
        <v>0.9</v>
      </c>
      <c r="I209" s="163"/>
      <c r="J209" s="247"/>
      <c r="K209" s="46"/>
      <c r="L209" s="35"/>
      <c r="N209" s="234"/>
      <c r="O209" s="35"/>
      <c r="Q209" s="47">
        <f>ROUND((ROUND((_11_A家事増６．５*_11・基礎２),0)*(1+_11・A深夜)),0)</f>
        <v>1229</v>
      </c>
      <c r="R209" s="48"/>
    </row>
    <row r="210" spans="1:18" ht="16.5" customHeight="1" x14ac:dyDescent="0.15">
      <c r="A210" s="41">
        <v>11</v>
      </c>
      <c r="B210" s="41">
        <v>6574</v>
      </c>
      <c r="C210" s="74" t="s">
        <v>11696</v>
      </c>
      <c r="D210" s="100">
        <f>_11_A家事増６．５</f>
        <v>910</v>
      </c>
      <c r="E210" s="12" t="s">
        <v>392</v>
      </c>
      <c r="F210" s="800"/>
      <c r="G210" s="216"/>
      <c r="H210" s="38"/>
      <c r="I210" s="44" t="s">
        <v>397</v>
      </c>
      <c r="J210" s="218" t="s">
        <v>398</v>
      </c>
      <c r="K210" s="46">
        <v>1</v>
      </c>
      <c r="L210" s="35"/>
      <c r="N210" s="234"/>
      <c r="O210" s="43"/>
      <c r="P210" s="38"/>
      <c r="Q210" s="47">
        <f>ROUND((ROUND((ROUND((_11_A家事増６．５*_11・基礎２),0)*_11・２人),0)*(1+_11・A深夜)),0)</f>
        <v>1229</v>
      </c>
      <c r="R210" s="48"/>
    </row>
    <row r="211" spans="1:18" ht="16.5" customHeight="1" x14ac:dyDescent="0.15">
      <c r="A211" s="41">
        <v>11</v>
      </c>
      <c r="B211" s="41" t="s">
        <v>11697</v>
      </c>
      <c r="C211" s="74" t="s">
        <v>11698</v>
      </c>
      <c r="D211" s="72"/>
      <c r="F211" s="53"/>
      <c r="G211" s="49"/>
      <c r="H211" s="50"/>
      <c r="I211" s="163"/>
      <c r="J211" s="45"/>
      <c r="K211" s="46"/>
      <c r="L211" s="35"/>
      <c r="N211" s="234"/>
      <c r="O211" s="707" t="s">
        <v>404</v>
      </c>
      <c r="P211" s="708"/>
      <c r="Q211" s="47">
        <f>ROUND((ROUND((_11_A家事増６．５*(1+_11・A深夜)),0)*_11・初任),0)</f>
        <v>956</v>
      </c>
      <c r="R211" s="48"/>
    </row>
    <row r="212" spans="1:18" ht="16.5" customHeight="1" x14ac:dyDescent="0.15">
      <c r="A212" s="41">
        <v>11</v>
      </c>
      <c r="B212" s="41" t="s">
        <v>11699</v>
      </c>
      <c r="C212" s="74" t="s">
        <v>11700</v>
      </c>
      <c r="D212" s="72"/>
      <c r="F212" s="43"/>
      <c r="G212" s="37"/>
      <c r="H212" s="38"/>
      <c r="I212" s="44" t="s">
        <v>397</v>
      </c>
      <c r="J212" s="218" t="s">
        <v>398</v>
      </c>
      <c r="K212" s="46">
        <v>1</v>
      </c>
      <c r="L212" s="35"/>
      <c r="N212" s="234"/>
      <c r="O212" s="709"/>
      <c r="P212" s="704"/>
      <c r="Q212" s="47">
        <f>ROUND((ROUND((ROUND((_11_A家事増６．５*_11・２人),0)*(1+_11・A深夜)),0)*_11・初任),0)</f>
        <v>956</v>
      </c>
      <c r="R212" s="48"/>
    </row>
    <row r="213" spans="1:18" ht="16.5" customHeight="1" x14ac:dyDescent="0.15">
      <c r="A213" s="41">
        <v>11</v>
      </c>
      <c r="B213" s="41" t="s">
        <v>11701</v>
      </c>
      <c r="C213" s="74" t="s">
        <v>11702</v>
      </c>
      <c r="D213" s="72"/>
      <c r="F213" s="752" t="s">
        <v>400</v>
      </c>
      <c r="G213" s="221" t="s">
        <v>398</v>
      </c>
      <c r="H213" s="50">
        <v>0.9</v>
      </c>
      <c r="I213" s="163"/>
      <c r="J213" s="247"/>
      <c r="K213" s="46"/>
      <c r="L213" s="35"/>
      <c r="N213" s="234"/>
      <c r="O213" s="709"/>
      <c r="P213" s="704"/>
      <c r="Q213" s="47">
        <f>ROUND((ROUND((ROUND((_11_A家事増６．５*_11・基礎２),0)*(1+_11・A深夜)),0)*_11・初任),0)</f>
        <v>860</v>
      </c>
      <c r="R213" s="48"/>
    </row>
    <row r="214" spans="1:18" ht="16.5" customHeight="1" x14ac:dyDescent="0.15">
      <c r="A214" s="41">
        <v>11</v>
      </c>
      <c r="B214" s="41" t="s">
        <v>11703</v>
      </c>
      <c r="C214" s="74" t="s">
        <v>11704</v>
      </c>
      <c r="D214" s="122"/>
      <c r="E214" s="37"/>
      <c r="F214" s="800"/>
      <c r="G214" s="216"/>
      <c r="H214" s="38"/>
      <c r="I214" s="44" t="s">
        <v>397</v>
      </c>
      <c r="J214" s="218" t="s">
        <v>398</v>
      </c>
      <c r="K214" s="46">
        <v>1</v>
      </c>
      <c r="L214" s="43"/>
      <c r="M214" s="37"/>
      <c r="N214" s="244"/>
      <c r="O214" s="240" t="s">
        <v>398</v>
      </c>
      <c r="P214" s="38">
        <f>_11・初任</f>
        <v>0.7</v>
      </c>
      <c r="Q214" s="47">
        <f>ROUND((ROUND((ROUND((ROUND((_11_A家事増６．５*_11・基礎２),0)*_11・２人),0)*(1+_11・A深夜)),0)*_11・初任),0)</f>
        <v>860</v>
      </c>
      <c r="R214" s="63"/>
    </row>
    <row r="215" spans="1:18" ht="16.5" customHeight="1" x14ac:dyDescent="0.15"/>
    <row r="216" spans="1:18" ht="16.5" customHeight="1" x14ac:dyDescent="0.15"/>
  </sheetData>
  <mergeCells count="107">
    <mergeCell ref="O211:P213"/>
    <mergeCell ref="F213:F214"/>
    <mergeCell ref="D199:E201"/>
    <mergeCell ref="F201:F202"/>
    <mergeCell ref="O203:P205"/>
    <mergeCell ref="F205:F206"/>
    <mergeCell ref="D207:E209"/>
    <mergeCell ref="F209:F210"/>
    <mergeCell ref="O187:P189"/>
    <mergeCell ref="F189:F190"/>
    <mergeCell ref="D191:E193"/>
    <mergeCell ref="F193:F194"/>
    <mergeCell ref="O195:P197"/>
    <mergeCell ref="F197:F198"/>
    <mergeCell ref="D175:E177"/>
    <mergeCell ref="F177:F178"/>
    <mergeCell ref="O179:P181"/>
    <mergeCell ref="F181:F182"/>
    <mergeCell ref="D183:E185"/>
    <mergeCell ref="F185:F186"/>
    <mergeCell ref="O163:P165"/>
    <mergeCell ref="F165:F166"/>
    <mergeCell ref="D167:E169"/>
    <mergeCell ref="F169:F170"/>
    <mergeCell ref="O171:P173"/>
    <mergeCell ref="F173:F174"/>
    <mergeCell ref="D151:E153"/>
    <mergeCell ref="F153:F154"/>
    <mergeCell ref="O155:P157"/>
    <mergeCell ref="F157:F158"/>
    <mergeCell ref="D159:E161"/>
    <mergeCell ref="N160:N161"/>
    <mergeCell ref="F161:F162"/>
    <mergeCell ref="O139:P141"/>
    <mergeCell ref="F141:F142"/>
    <mergeCell ref="D143:E145"/>
    <mergeCell ref="F145:F146"/>
    <mergeCell ref="O147:P149"/>
    <mergeCell ref="F149:F150"/>
    <mergeCell ref="D127:E129"/>
    <mergeCell ref="F129:F130"/>
    <mergeCell ref="O131:P133"/>
    <mergeCell ref="F133:F134"/>
    <mergeCell ref="D135:E137"/>
    <mergeCell ref="F137:F138"/>
    <mergeCell ref="O115:P117"/>
    <mergeCell ref="F117:F118"/>
    <mergeCell ref="D119:E121"/>
    <mergeCell ref="F121:F122"/>
    <mergeCell ref="O123:P125"/>
    <mergeCell ref="F125:F126"/>
    <mergeCell ref="D103:E105"/>
    <mergeCell ref="F105:F106"/>
    <mergeCell ref="O107:P109"/>
    <mergeCell ref="F109:F110"/>
    <mergeCell ref="D111:E113"/>
    <mergeCell ref="F113:F114"/>
    <mergeCell ref="O91:P93"/>
    <mergeCell ref="F93:F94"/>
    <mergeCell ref="D95:E97"/>
    <mergeCell ref="F97:F98"/>
    <mergeCell ref="O99:P101"/>
    <mergeCell ref="F101:F102"/>
    <mergeCell ref="D79:E81"/>
    <mergeCell ref="N80:N81"/>
    <mergeCell ref="F81:F82"/>
    <mergeCell ref="O83:P85"/>
    <mergeCell ref="F85:F86"/>
    <mergeCell ref="D87:E89"/>
    <mergeCell ref="F89:F90"/>
    <mergeCell ref="O67:P69"/>
    <mergeCell ref="F69:F70"/>
    <mergeCell ref="D71:E73"/>
    <mergeCell ref="F73:F74"/>
    <mergeCell ref="O75:P77"/>
    <mergeCell ref="F77:F78"/>
    <mergeCell ref="D55:E57"/>
    <mergeCell ref="F57:F58"/>
    <mergeCell ref="O59:P61"/>
    <mergeCell ref="F61:F62"/>
    <mergeCell ref="D63:E65"/>
    <mergeCell ref="F65:F66"/>
    <mergeCell ref="O43:P45"/>
    <mergeCell ref="F45:F46"/>
    <mergeCell ref="D47:E49"/>
    <mergeCell ref="F49:F50"/>
    <mergeCell ref="O51:P53"/>
    <mergeCell ref="F53:F54"/>
    <mergeCell ref="O35:P37"/>
    <mergeCell ref="F37:F38"/>
    <mergeCell ref="D39:E41"/>
    <mergeCell ref="F41:F42"/>
    <mergeCell ref="O19:P21"/>
    <mergeCell ref="F21:F22"/>
    <mergeCell ref="D23:E25"/>
    <mergeCell ref="F25:F26"/>
    <mergeCell ref="O27:P29"/>
    <mergeCell ref="F29:F30"/>
    <mergeCell ref="D7:E9"/>
    <mergeCell ref="N8:N9"/>
    <mergeCell ref="F9:F10"/>
    <mergeCell ref="O11:P13"/>
    <mergeCell ref="F13:F14"/>
    <mergeCell ref="D15:E17"/>
    <mergeCell ref="F17:F18"/>
    <mergeCell ref="D31:E33"/>
    <mergeCell ref="F33:F34"/>
  </mergeCells>
  <phoneticPr fontId="1"/>
  <printOptions horizontalCentered="1"/>
  <pageMargins left="0.70866141732283472" right="0.70866141732283472" top="0.74803149606299213" bottom="0.74803149606299213" header="0.31496062992125984" footer="0.31496062992125984"/>
  <pageSetup paperSize="9" scale="56" fitToHeight="0" orientation="portrait" r:id="rId1"/>
  <headerFooter>
    <oddHeader>&amp;R&amp;"ＭＳ Ｐゴシック"&amp;9居宅介護</oddHeader>
    <oddFooter>&amp;C&amp;"ＭＳ Ｐゴシック"&amp;14&amp;P</oddFooter>
  </headerFooter>
  <rowBreaks count="2" manualBreakCount="2">
    <brk id="78" max="17" man="1"/>
    <brk id="158" max="17"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0"/>
  <dimension ref="A1:P172"/>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0" customWidth="1"/>
    <col min="5" max="5" width="4.875" style="12" customWidth="1"/>
    <col min="6" max="7" width="2.5" style="12" customWidth="1"/>
    <col min="8" max="8" width="4.5" style="13" bestFit="1" customWidth="1"/>
    <col min="9" max="9" width="24.125" style="12" bestFit="1" customWidth="1"/>
    <col min="10" max="10" width="2.5" style="12" customWidth="1"/>
    <col min="11" max="11" width="5.5" style="13" bestFit="1" customWidth="1"/>
    <col min="12" max="12" width="17.875" style="12" customWidth="1"/>
    <col min="13" max="13" width="2.5" style="16" customWidth="1"/>
    <col min="14" max="14" width="4.5" style="13" bestFit="1" customWidth="1"/>
    <col min="15" max="15" width="7.125" style="15" customWidth="1"/>
    <col min="16" max="16" width="8.5" style="16" customWidth="1"/>
    <col min="17" max="16384" width="8.875" style="12"/>
  </cols>
  <sheetData>
    <row r="1" spans="1:16" ht="17.100000000000001" customHeight="1" x14ac:dyDescent="0.15"/>
    <row r="2" spans="1:16" ht="17.100000000000001" customHeight="1" x14ac:dyDescent="0.15"/>
    <row r="3" spans="1:16" ht="17.100000000000001" customHeight="1" x14ac:dyDescent="0.15"/>
    <row r="4" spans="1:16" ht="17.100000000000001" customHeight="1" x14ac:dyDescent="0.15">
      <c r="B4" s="17" t="s">
        <v>11705</v>
      </c>
      <c r="D4" s="71"/>
    </row>
    <row r="5" spans="1:16" ht="16.5" customHeight="1" x14ac:dyDescent="0.15">
      <c r="A5" s="19" t="s">
        <v>384</v>
      </c>
      <c r="B5" s="20"/>
      <c r="C5" s="21" t="s">
        <v>385</v>
      </c>
      <c r="D5" s="235" t="s">
        <v>386</v>
      </c>
      <c r="E5" s="23"/>
      <c r="F5" s="23"/>
      <c r="G5" s="23"/>
      <c r="H5" s="24"/>
      <c r="I5" s="23"/>
      <c r="J5" s="23"/>
      <c r="K5" s="24"/>
      <c r="L5" s="23"/>
      <c r="M5" s="23"/>
      <c r="N5" s="24"/>
      <c r="O5" s="25" t="s">
        <v>387</v>
      </c>
      <c r="P5" s="21" t="s">
        <v>388</v>
      </c>
    </row>
    <row r="6" spans="1:16" ht="16.5" customHeight="1" x14ac:dyDescent="0.15">
      <c r="A6" s="26" t="s">
        <v>389</v>
      </c>
      <c r="B6" s="26" t="s">
        <v>390</v>
      </c>
      <c r="C6" s="27"/>
      <c r="D6" s="159"/>
      <c r="E6" s="29"/>
      <c r="F6" s="29"/>
      <c r="G6" s="29"/>
      <c r="H6" s="30"/>
      <c r="I6" s="29"/>
      <c r="J6" s="29"/>
      <c r="K6" s="30"/>
      <c r="L6" s="29"/>
      <c r="M6" s="214"/>
      <c r="N6" s="30"/>
      <c r="O6" s="31" t="s">
        <v>391</v>
      </c>
      <c r="P6" s="32" t="s">
        <v>392</v>
      </c>
    </row>
    <row r="7" spans="1:16" ht="16.5" customHeight="1" x14ac:dyDescent="0.15">
      <c r="A7" s="33">
        <v>11</v>
      </c>
      <c r="B7" s="33">
        <v>8301</v>
      </c>
      <c r="C7" s="34" t="s">
        <v>11706</v>
      </c>
      <c r="D7" s="709" t="s">
        <v>394</v>
      </c>
      <c r="E7" s="797"/>
      <c r="F7" s="801" t="s">
        <v>11707</v>
      </c>
      <c r="G7" s="797"/>
      <c r="H7" s="796"/>
      <c r="I7" s="37"/>
      <c r="J7" s="37"/>
      <c r="K7" s="38"/>
      <c r="L7" s="35"/>
      <c r="O7" s="39">
        <f>ROUND((_11_A家事０．５*_11・重度研修),0)</f>
        <v>95</v>
      </c>
      <c r="P7" s="40" t="s">
        <v>395</v>
      </c>
    </row>
    <row r="8" spans="1:16" ht="16.5" customHeight="1" x14ac:dyDescent="0.15">
      <c r="A8" s="41">
        <v>11</v>
      </c>
      <c r="B8" s="41">
        <v>8302</v>
      </c>
      <c r="C8" s="74" t="s">
        <v>11708</v>
      </c>
      <c r="D8" s="799"/>
      <c r="E8" s="797"/>
      <c r="F8" s="799"/>
      <c r="G8" s="797"/>
      <c r="H8" s="796"/>
      <c r="I8" s="217" t="s">
        <v>397</v>
      </c>
      <c r="J8" s="218" t="s">
        <v>398</v>
      </c>
      <c r="K8" s="46">
        <v>1</v>
      </c>
      <c r="L8" s="43"/>
      <c r="M8" s="216"/>
      <c r="N8" s="38"/>
      <c r="O8" s="47">
        <f>ROUND((ROUND((_11_A家事０．５*_11・重度研修),0)*_11・２人),0)</f>
        <v>95</v>
      </c>
      <c r="P8" s="48"/>
    </row>
    <row r="9" spans="1:16" ht="16.5" customHeight="1" x14ac:dyDescent="0.15">
      <c r="A9" s="41">
        <v>11</v>
      </c>
      <c r="B9" s="41" t="s">
        <v>11709</v>
      </c>
      <c r="C9" s="74" t="s">
        <v>11710</v>
      </c>
      <c r="D9" s="799"/>
      <c r="E9" s="797"/>
      <c r="F9" s="799"/>
      <c r="G9" s="797"/>
      <c r="H9" s="796"/>
      <c r="I9" s="45"/>
      <c r="J9" s="45"/>
      <c r="K9" s="46"/>
      <c r="L9" s="734" t="s">
        <v>404</v>
      </c>
      <c r="M9" s="219" t="s">
        <v>398</v>
      </c>
      <c r="N9" s="50">
        <f>_11・初任</f>
        <v>0.7</v>
      </c>
      <c r="O9" s="47">
        <f>ROUND((ROUND((_11_A家事０．５*_11・重度研修),0)*_11・初任),0)</f>
        <v>67</v>
      </c>
      <c r="P9" s="48"/>
    </row>
    <row r="10" spans="1:16" ht="16.5" customHeight="1" x14ac:dyDescent="0.15">
      <c r="A10" s="41">
        <v>11</v>
      </c>
      <c r="B10" s="41" t="s">
        <v>11711</v>
      </c>
      <c r="C10" s="74" t="s">
        <v>11712</v>
      </c>
      <c r="D10" s="100">
        <f>_11_A家事０．５</f>
        <v>105</v>
      </c>
      <c r="E10" s="10" t="s">
        <v>392</v>
      </c>
      <c r="F10" s="255"/>
      <c r="G10" s="16" t="s">
        <v>398</v>
      </c>
      <c r="H10" s="234">
        <v>0.9</v>
      </c>
      <c r="I10" s="217" t="s">
        <v>397</v>
      </c>
      <c r="J10" s="218" t="s">
        <v>398</v>
      </c>
      <c r="K10" s="46">
        <v>1</v>
      </c>
      <c r="L10" s="706"/>
      <c r="M10" s="220"/>
      <c r="N10" s="38"/>
      <c r="O10" s="47">
        <f>ROUND((ROUND((ROUND((_11_A家事０．５*_11・重度研修),0)*_11・２人),0)*_11・初任),0)</f>
        <v>67</v>
      </c>
      <c r="P10" s="48"/>
    </row>
    <row r="11" spans="1:16" ht="16.5" customHeight="1" x14ac:dyDescent="0.15">
      <c r="A11" s="41">
        <v>11</v>
      </c>
      <c r="B11" s="41">
        <v>8303</v>
      </c>
      <c r="C11" s="74" t="s">
        <v>11713</v>
      </c>
      <c r="D11" s="707" t="s">
        <v>8279</v>
      </c>
      <c r="E11" s="798"/>
      <c r="F11" s="35"/>
      <c r="I11" s="163"/>
      <c r="J11" s="45"/>
      <c r="K11" s="46"/>
      <c r="L11" s="53"/>
      <c r="M11" s="221"/>
      <c r="N11" s="50"/>
      <c r="O11" s="47">
        <f>ROUND((_11_A家事０．７５*_11・重度研修),0)</f>
        <v>137</v>
      </c>
      <c r="P11" s="48"/>
    </row>
    <row r="12" spans="1:16" ht="16.5" customHeight="1" x14ac:dyDescent="0.15">
      <c r="A12" s="41">
        <v>11</v>
      </c>
      <c r="B12" s="41">
        <v>8304</v>
      </c>
      <c r="C12" s="74" t="s">
        <v>11714</v>
      </c>
      <c r="D12" s="799"/>
      <c r="E12" s="796"/>
      <c r="F12" s="35"/>
      <c r="I12" s="256" t="s">
        <v>397</v>
      </c>
      <c r="J12" s="218" t="s">
        <v>398</v>
      </c>
      <c r="K12" s="46">
        <v>1</v>
      </c>
      <c r="L12" s="43"/>
      <c r="M12" s="216"/>
      <c r="N12" s="38"/>
      <c r="O12" s="47">
        <f>ROUND((ROUND((_11_A家事０．７５*_11・重度研修),0)*_11・２人),0)</f>
        <v>137</v>
      </c>
      <c r="P12" s="48"/>
    </row>
    <row r="13" spans="1:16" ht="16.5" customHeight="1" x14ac:dyDescent="0.15">
      <c r="A13" s="41">
        <v>11</v>
      </c>
      <c r="B13" s="41" t="s">
        <v>11715</v>
      </c>
      <c r="C13" s="74" t="s">
        <v>11716</v>
      </c>
      <c r="D13" s="799"/>
      <c r="E13" s="796"/>
      <c r="F13" s="35"/>
      <c r="I13" s="163"/>
      <c r="J13" s="45"/>
      <c r="K13" s="46"/>
      <c r="L13" s="734" t="s">
        <v>404</v>
      </c>
      <c r="M13" s="219" t="s">
        <v>398</v>
      </c>
      <c r="N13" s="50">
        <f>_11・初任</f>
        <v>0.7</v>
      </c>
      <c r="O13" s="47">
        <f>ROUND((ROUND((_11_A家事０．７５*_11・重度研修),0)*_11・初任),0)</f>
        <v>96</v>
      </c>
      <c r="P13" s="48"/>
    </row>
    <row r="14" spans="1:16" ht="16.5" customHeight="1" x14ac:dyDescent="0.15">
      <c r="A14" s="41">
        <v>11</v>
      </c>
      <c r="B14" s="41" t="s">
        <v>11717</v>
      </c>
      <c r="C14" s="74" t="s">
        <v>11718</v>
      </c>
      <c r="D14" s="100">
        <f>_11_A家事０．７５</f>
        <v>152</v>
      </c>
      <c r="E14" s="10" t="s">
        <v>392</v>
      </c>
      <c r="F14" s="35"/>
      <c r="I14" s="256" t="s">
        <v>397</v>
      </c>
      <c r="J14" s="218" t="s">
        <v>398</v>
      </c>
      <c r="K14" s="46">
        <v>1</v>
      </c>
      <c r="L14" s="706"/>
      <c r="M14" s="220"/>
      <c r="N14" s="38"/>
      <c r="O14" s="47">
        <f>ROUND((ROUND((ROUND((_11_A家事０．７５*_11・重度研修),0)*_11・２人),0)*_11・初任),0)</f>
        <v>96</v>
      </c>
      <c r="P14" s="48"/>
    </row>
    <row r="15" spans="1:16" ht="16.5" customHeight="1" x14ac:dyDescent="0.15">
      <c r="A15" s="41">
        <v>11</v>
      </c>
      <c r="B15" s="41">
        <v>8305</v>
      </c>
      <c r="C15" s="74" t="s">
        <v>11719</v>
      </c>
      <c r="D15" s="707" t="s">
        <v>8292</v>
      </c>
      <c r="E15" s="798"/>
      <c r="F15" s="35"/>
      <c r="I15" s="163"/>
      <c r="J15" s="45"/>
      <c r="K15" s="46"/>
      <c r="L15" s="53"/>
      <c r="M15" s="221"/>
      <c r="N15" s="50"/>
      <c r="O15" s="47">
        <f>ROUND((_11_A家事１．０*_11・重度研修),0)</f>
        <v>176</v>
      </c>
      <c r="P15" s="48"/>
    </row>
    <row r="16" spans="1:16" ht="16.5" customHeight="1" x14ac:dyDescent="0.15">
      <c r="A16" s="41">
        <v>11</v>
      </c>
      <c r="B16" s="41">
        <v>8306</v>
      </c>
      <c r="C16" s="74" t="s">
        <v>11720</v>
      </c>
      <c r="D16" s="799"/>
      <c r="E16" s="796"/>
      <c r="F16" s="35"/>
      <c r="I16" s="256" t="s">
        <v>397</v>
      </c>
      <c r="J16" s="218" t="s">
        <v>398</v>
      </c>
      <c r="K16" s="46">
        <v>1</v>
      </c>
      <c r="L16" s="43"/>
      <c r="M16" s="216"/>
      <c r="N16" s="38"/>
      <c r="O16" s="47">
        <f>ROUND((ROUND((_11_A家事１．０*_11・重度研修),0)*_11・２人),0)</f>
        <v>176</v>
      </c>
      <c r="P16" s="48"/>
    </row>
    <row r="17" spans="1:16" ht="16.5" customHeight="1" x14ac:dyDescent="0.15">
      <c r="A17" s="41">
        <v>11</v>
      </c>
      <c r="B17" s="41" t="s">
        <v>11721</v>
      </c>
      <c r="C17" s="74" t="s">
        <v>11722</v>
      </c>
      <c r="D17" s="799"/>
      <c r="E17" s="796"/>
      <c r="F17" s="35"/>
      <c r="I17" s="163"/>
      <c r="J17" s="45"/>
      <c r="K17" s="46"/>
      <c r="L17" s="734" t="s">
        <v>404</v>
      </c>
      <c r="M17" s="219" t="s">
        <v>398</v>
      </c>
      <c r="N17" s="50">
        <f>_11・初任</f>
        <v>0.7</v>
      </c>
      <c r="O17" s="47">
        <f>ROUND((ROUND((_11_A家事１．０*_11・重度研修),0)*_11・初任),0)</f>
        <v>123</v>
      </c>
      <c r="P17" s="48"/>
    </row>
    <row r="18" spans="1:16" ht="16.5" customHeight="1" x14ac:dyDescent="0.15">
      <c r="A18" s="41">
        <v>11</v>
      </c>
      <c r="B18" s="41" t="s">
        <v>11723</v>
      </c>
      <c r="C18" s="74" t="s">
        <v>11724</v>
      </c>
      <c r="D18" s="100">
        <f>_11_A家事１．０</f>
        <v>196</v>
      </c>
      <c r="E18" s="10" t="s">
        <v>392</v>
      </c>
      <c r="F18" s="35"/>
      <c r="I18" s="256" t="s">
        <v>397</v>
      </c>
      <c r="J18" s="218" t="s">
        <v>398</v>
      </c>
      <c r="K18" s="46">
        <v>1</v>
      </c>
      <c r="L18" s="706"/>
      <c r="M18" s="220"/>
      <c r="N18" s="38"/>
      <c r="O18" s="47">
        <f>ROUND((ROUND((ROUND((_11_A家事１．０*_11・重度研修),0)*_11・２人),0)*_11・初任),0)</f>
        <v>123</v>
      </c>
      <c r="P18" s="48"/>
    </row>
    <row r="19" spans="1:16" ht="16.5" customHeight="1" x14ac:dyDescent="0.15">
      <c r="A19" s="41">
        <v>11</v>
      </c>
      <c r="B19" s="41">
        <v>8307</v>
      </c>
      <c r="C19" s="74" t="s">
        <v>11725</v>
      </c>
      <c r="D19" s="707" t="s">
        <v>8305</v>
      </c>
      <c r="E19" s="798"/>
      <c r="F19" s="35"/>
      <c r="I19" s="163"/>
      <c r="J19" s="45"/>
      <c r="K19" s="46"/>
      <c r="L19" s="53"/>
      <c r="M19" s="221"/>
      <c r="N19" s="50"/>
      <c r="O19" s="47">
        <f>ROUND((_11_A家事１．２５*_11・重度研修),0)</f>
        <v>214</v>
      </c>
      <c r="P19" s="48"/>
    </row>
    <row r="20" spans="1:16" ht="16.5" customHeight="1" x14ac:dyDescent="0.15">
      <c r="A20" s="41">
        <v>11</v>
      </c>
      <c r="B20" s="41">
        <v>8308</v>
      </c>
      <c r="C20" s="74" t="s">
        <v>11726</v>
      </c>
      <c r="D20" s="799"/>
      <c r="E20" s="796"/>
      <c r="F20" s="35"/>
      <c r="I20" s="256" t="s">
        <v>397</v>
      </c>
      <c r="J20" s="218" t="s">
        <v>398</v>
      </c>
      <c r="K20" s="46">
        <v>1</v>
      </c>
      <c r="L20" s="43"/>
      <c r="M20" s="216"/>
      <c r="N20" s="38"/>
      <c r="O20" s="47">
        <f>ROUND((ROUND((_11_A家事１．２５*_11・重度研修),0)*_11・２人),0)</f>
        <v>214</v>
      </c>
      <c r="P20" s="48"/>
    </row>
    <row r="21" spans="1:16" ht="16.5" customHeight="1" x14ac:dyDescent="0.15">
      <c r="A21" s="41">
        <v>11</v>
      </c>
      <c r="B21" s="41" t="s">
        <v>11727</v>
      </c>
      <c r="C21" s="74" t="s">
        <v>11728</v>
      </c>
      <c r="D21" s="799"/>
      <c r="E21" s="796"/>
      <c r="F21" s="35"/>
      <c r="I21" s="163"/>
      <c r="J21" s="45"/>
      <c r="K21" s="46"/>
      <c r="L21" s="734" t="s">
        <v>404</v>
      </c>
      <c r="M21" s="219" t="s">
        <v>398</v>
      </c>
      <c r="N21" s="50">
        <f>_11・初任</f>
        <v>0.7</v>
      </c>
      <c r="O21" s="47">
        <f>ROUND((ROUND((_11_A家事１．２５*_11・重度研修),0)*_11・初任),0)</f>
        <v>150</v>
      </c>
      <c r="P21" s="48"/>
    </row>
    <row r="22" spans="1:16" ht="16.5" customHeight="1" x14ac:dyDescent="0.15">
      <c r="A22" s="41">
        <v>11</v>
      </c>
      <c r="B22" s="41" t="s">
        <v>11729</v>
      </c>
      <c r="C22" s="74" t="s">
        <v>11730</v>
      </c>
      <c r="D22" s="100">
        <f>_11_A家事１．２５</f>
        <v>238</v>
      </c>
      <c r="E22" s="10" t="s">
        <v>392</v>
      </c>
      <c r="F22" s="35"/>
      <c r="I22" s="256" t="s">
        <v>397</v>
      </c>
      <c r="J22" s="218" t="s">
        <v>398</v>
      </c>
      <c r="K22" s="46">
        <v>1</v>
      </c>
      <c r="L22" s="706"/>
      <c r="M22" s="220"/>
      <c r="N22" s="38"/>
      <c r="O22" s="47">
        <f>ROUND((ROUND((ROUND((_11_A家事１．２５*_11・重度研修),0)*_11・２人),0)*_11・初任),0)</f>
        <v>150</v>
      </c>
      <c r="P22" s="48"/>
    </row>
    <row r="23" spans="1:16" ht="16.5" customHeight="1" x14ac:dyDescent="0.15">
      <c r="A23" s="41">
        <v>11</v>
      </c>
      <c r="B23" s="41">
        <v>8309</v>
      </c>
      <c r="C23" s="74" t="s">
        <v>11731</v>
      </c>
      <c r="D23" s="707" t="s">
        <v>8318</v>
      </c>
      <c r="E23" s="798"/>
      <c r="F23" s="35"/>
      <c r="I23" s="163"/>
      <c r="J23" s="45"/>
      <c r="K23" s="46"/>
      <c r="L23" s="53"/>
      <c r="M23" s="221"/>
      <c r="N23" s="50"/>
      <c r="O23" s="47">
        <f>ROUND((_11_A家事１．５*_11・重度研修),0)</f>
        <v>247</v>
      </c>
      <c r="P23" s="48"/>
    </row>
    <row r="24" spans="1:16" ht="16.5" customHeight="1" x14ac:dyDescent="0.15">
      <c r="A24" s="41">
        <v>11</v>
      </c>
      <c r="B24" s="41">
        <v>8310</v>
      </c>
      <c r="C24" s="74" t="s">
        <v>11732</v>
      </c>
      <c r="D24" s="799"/>
      <c r="E24" s="796"/>
      <c r="F24" s="35"/>
      <c r="I24" s="256" t="s">
        <v>397</v>
      </c>
      <c r="J24" s="218" t="s">
        <v>398</v>
      </c>
      <c r="K24" s="46">
        <v>1</v>
      </c>
      <c r="L24" s="43"/>
      <c r="M24" s="216"/>
      <c r="N24" s="38"/>
      <c r="O24" s="47">
        <f>ROUND((ROUND((_11_A家事１．５*_11・重度研修),0)*_11・２人),0)</f>
        <v>247</v>
      </c>
      <c r="P24" s="48"/>
    </row>
    <row r="25" spans="1:16" ht="16.5" customHeight="1" x14ac:dyDescent="0.15">
      <c r="A25" s="41">
        <v>11</v>
      </c>
      <c r="B25" s="41" t="s">
        <v>11733</v>
      </c>
      <c r="C25" s="74" t="s">
        <v>11734</v>
      </c>
      <c r="D25" s="799"/>
      <c r="E25" s="796"/>
      <c r="F25" s="35"/>
      <c r="I25" s="163"/>
      <c r="J25" s="45"/>
      <c r="K25" s="46"/>
      <c r="L25" s="734" t="s">
        <v>404</v>
      </c>
      <c r="M25" s="219" t="s">
        <v>398</v>
      </c>
      <c r="N25" s="50">
        <f>_11・初任</f>
        <v>0.7</v>
      </c>
      <c r="O25" s="47">
        <f>ROUND((ROUND((_11_A家事１．５*_11・重度研修),0)*_11・初任),0)</f>
        <v>173</v>
      </c>
      <c r="P25" s="48"/>
    </row>
    <row r="26" spans="1:16" ht="16.5" customHeight="1" x14ac:dyDescent="0.15">
      <c r="A26" s="41">
        <v>11</v>
      </c>
      <c r="B26" s="41" t="s">
        <v>11735</v>
      </c>
      <c r="C26" s="74" t="s">
        <v>11736</v>
      </c>
      <c r="D26" s="100">
        <f>_11_A家事１．５</f>
        <v>274</v>
      </c>
      <c r="E26" s="10" t="s">
        <v>392</v>
      </c>
      <c r="F26" s="35"/>
      <c r="I26" s="256" t="s">
        <v>397</v>
      </c>
      <c r="J26" s="218" t="s">
        <v>398</v>
      </c>
      <c r="K26" s="46">
        <v>1</v>
      </c>
      <c r="L26" s="706"/>
      <c r="M26" s="220"/>
      <c r="N26" s="38"/>
      <c r="O26" s="47">
        <f>ROUND((ROUND((ROUND((_11_A家事１．５*_11・重度研修),0)*_11・２人),0)*_11・初任),0)</f>
        <v>173</v>
      </c>
      <c r="P26" s="48"/>
    </row>
    <row r="27" spans="1:16" ht="16.5" customHeight="1" x14ac:dyDescent="0.15">
      <c r="A27" s="41">
        <v>11</v>
      </c>
      <c r="B27" s="41">
        <v>8311</v>
      </c>
      <c r="C27" s="74" t="s">
        <v>11737</v>
      </c>
      <c r="D27" s="707" t="s">
        <v>8331</v>
      </c>
      <c r="E27" s="798"/>
      <c r="F27" s="35"/>
      <c r="I27" s="163"/>
      <c r="J27" s="45"/>
      <c r="K27" s="46"/>
      <c r="L27" s="53"/>
      <c r="M27" s="221"/>
      <c r="N27" s="50"/>
      <c r="O27" s="47">
        <f>ROUND((_11_A家事１．７５*_11・重度研修),0)</f>
        <v>278</v>
      </c>
      <c r="P27" s="48"/>
    </row>
    <row r="28" spans="1:16" ht="16.5" customHeight="1" x14ac:dyDescent="0.15">
      <c r="A28" s="41">
        <v>11</v>
      </c>
      <c r="B28" s="41">
        <v>8312</v>
      </c>
      <c r="C28" s="74" t="s">
        <v>11738</v>
      </c>
      <c r="D28" s="799"/>
      <c r="E28" s="796"/>
      <c r="F28" s="35"/>
      <c r="I28" s="256" t="s">
        <v>397</v>
      </c>
      <c r="J28" s="218" t="s">
        <v>398</v>
      </c>
      <c r="K28" s="46">
        <v>1</v>
      </c>
      <c r="L28" s="43"/>
      <c r="M28" s="216"/>
      <c r="N28" s="38"/>
      <c r="O28" s="47">
        <f>ROUND((ROUND((_11_A家事１．７５*_11・重度研修),0)*_11・２人),0)</f>
        <v>278</v>
      </c>
      <c r="P28" s="48"/>
    </row>
    <row r="29" spans="1:16" ht="16.5" customHeight="1" x14ac:dyDescent="0.15">
      <c r="A29" s="41">
        <v>11</v>
      </c>
      <c r="B29" s="41" t="s">
        <v>11739</v>
      </c>
      <c r="C29" s="74" t="s">
        <v>11740</v>
      </c>
      <c r="D29" s="799"/>
      <c r="E29" s="796"/>
      <c r="F29" s="35"/>
      <c r="I29" s="163"/>
      <c r="J29" s="45"/>
      <c r="K29" s="46"/>
      <c r="L29" s="734" t="s">
        <v>404</v>
      </c>
      <c r="M29" s="219" t="s">
        <v>398</v>
      </c>
      <c r="N29" s="50">
        <f>_11・初任</f>
        <v>0.7</v>
      </c>
      <c r="O29" s="47">
        <f>ROUND((ROUND((_11_A家事１．７５*_11・重度研修),0)*_11・初任),0)</f>
        <v>195</v>
      </c>
      <c r="P29" s="48"/>
    </row>
    <row r="30" spans="1:16" ht="16.5" customHeight="1" x14ac:dyDescent="0.15">
      <c r="A30" s="41">
        <v>11</v>
      </c>
      <c r="B30" s="41" t="s">
        <v>11741</v>
      </c>
      <c r="C30" s="74" t="s">
        <v>11742</v>
      </c>
      <c r="D30" s="100">
        <f>_11_A家事１．７５</f>
        <v>309</v>
      </c>
      <c r="E30" s="10" t="s">
        <v>392</v>
      </c>
      <c r="F30" s="35"/>
      <c r="I30" s="256" t="s">
        <v>397</v>
      </c>
      <c r="J30" s="218" t="s">
        <v>398</v>
      </c>
      <c r="K30" s="46">
        <v>1</v>
      </c>
      <c r="L30" s="706"/>
      <c r="M30" s="220"/>
      <c r="N30" s="38"/>
      <c r="O30" s="47">
        <f>ROUND((ROUND((ROUND((_11_A家事１．７５*_11・重度研修),0)*_11・２人),0)*_11・初任),0)</f>
        <v>195</v>
      </c>
      <c r="P30" s="48"/>
    </row>
    <row r="31" spans="1:16" ht="16.5" customHeight="1" x14ac:dyDescent="0.15">
      <c r="A31" s="41">
        <v>11</v>
      </c>
      <c r="B31" s="41">
        <v>8313</v>
      </c>
      <c r="C31" s="74" t="s">
        <v>11743</v>
      </c>
      <c r="D31" s="707" t="s">
        <v>8344</v>
      </c>
      <c r="E31" s="798"/>
      <c r="F31" s="35"/>
      <c r="I31" s="163"/>
      <c r="J31" s="45"/>
      <c r="K31" s="46"/>
      <c r="L31" s="53"/>
      <c r="M31" s="221"/>
      <c r="N31" s="50"/>
      <c r="O31" s="47">
        <f>ROUND((_11_A家事２．０*_11・重度研修),0)</f>
        <v>310</v>
      </c>
      <c r="P31" s="48"/>
    </row>
    <row r="32" spans="1:16" ht="16.5" customHeight="1" x14ac:dyDescent="0.15">
      <c r="A32" s="41">
        <v>11</v>
      </c>
      <c r="B32" s="41">
        <v>8314</v>
      </c>
      <c r="C32" s="74" t="s">
        <v>11744</v>
      </c>
      <c r="D32" s="799"/>
      <c r="E32" s="796"/>
      <c r="F32" s="35"/>
      <c r="I32" s="256" t="s">
        <v>397</v>
      </c>
      <c r="J32" s="218" t="s">
        <v>398</v>
      </c>
      <c r="K32" s="46">
        <v>1</v>
      </c>
      <c r="L32" s="43"/>
      <c r="M32" s="216"/>
      <c r="N32" s="38"/>
      <c r="O32" s="47">
        <f>ROUND((ROUND((_11_A家事２．０*_11・重度研修),0)*_11・２人),0)</f>
        <v>310</v>
      </c>
      <c r="P32" s="48"/>
    </row>
    <row r="33" spans="1:16" ht="16.5" customHeight="1" x14ac:dyDescent="0.15">
      <c r="A33" s="41">
        <v>11</v>
      </c>
      <c r="B33" s="41" t="s">
        <v>11745</v>
      </c>
      <c r="C33" s="74" t="s">
        <v>11746</v>
      </c>
      <c r="D33" s="799"/>
      <c r="E33" s="796"/>
      <c r="F33" s="35"/>
      <c r="I33" s="163"/>
      <c r="J33" s="45"/>
      <c r="K33" s="46"/>
      <c r="L33" s="734" t="s">
        <v>404</v>
      </c>
      <c r="M33" s="219" t="s">
        <v>398</v>
      </c>
      <c r="N33" s="50">
        <f>_11・初任</f>
        <v>0.7</v>
      </c>
      <c r="O33" s="47">
        <f>ROUND((ROUND((_11_A家事２．０*_11・重度研修),0)*_11・初任),0)</f>
        <v>217</v>
      </c>
      <c r="P33" s="48"/>
    </row>
    <row r="34" spans="1:16" ht="16.5" customHeight="1" x14ac:dyDescent="0.15">
      <c r="A34" s="41">
        <v>11</v>
      </c>
      <c r="B34" s="41" t="s">
        <v>11747</v>
      </c>
      <c r="C34" s="74" t="s">
        <v>11748</v>
      </c>
      <c r="D34" s="100">
        <f>_11_A家事２．０</f>
        <v>344</v>
      </c>
      <c r="E34" s="10" t="s">
        <v>392</v>
      </c>
      <c r="F34" s="35"/>
      <c r="I34" s="256" t="s">
        <v>397</v>
      </c>
      <c r="J34" s="218" t="s">
        <v>398</v>
      </c>
      <c r="K34" s="46">
        <v>1</v>
      </c>
      <c r="L34" s="706"/>
      <c r="M34" s="220"/>
      <c r="N34" s="38"/>
      <c r="O34" s="47">
        <f>ROUND((ROUND((ROUND((_11_A家事２．０*_11・重度研修),0)*_11・２人),0)*_11・初任),0)</f>
        <v>217</v>
      </c>
      <c r="P34" s="48"/>
    </row>
    <row r="35" spans="1:16" ht="16.5" customHeight="1" x14ac:dyDescent="0.15">
      <c r="A35" s="41">
        <v>11</v>
      </c>
      <c r="B35" s="41">
        <v>8315</v>
      </c>
      <c r="C35" s="74" t="s">
        <v>11749</v>
      </c>
      <c r="D35" s="707" t="s">
        <v>8357</v>
      </c>
      <c r="E35" s="798"/>
      <c r="F35" s="35"/>
      <c r="I35" s="163"/>
      <c r="J35" s="45"/>
      <c r="K35" s="46"/>
      <c r="L35" s="53"/>
      <c r="M35" s="221"/>
      <c r="N35" s="50"/>
      <c r="O35" s="47">
        <f>ROUND((_11_A家事２．２５*_11・重度研修),0)</f>
        <v>341</v>
      </c>
      <c r="P35" s="48"/>
    </row>
    <row r="36" spans="1:16" ht="16.5" customHeight="1" x14ac:dyDescent="0.15">
      <c r="A36" s="41">
        <v>11</v>
      </c>
      <c r="B36" s="41">
        <v>8316</v>
      </c>
      <c r="C36" s="74" t="s">
        <v>11750</v>
      </c>
      <c r="D36" s="799"/>
      <c r="E36" s="796"/>
      <c r="F36" s="35"/>
      <c r="I36" s="256" t="s">
        <v>397</v>
      </c>
      <c r="J36" s="218" t="s">
        <v>398</v>
      </c>
      <c r="K36" s="46">
        <v>1</v>
      </c>
      <c r="L36" s="43"/>
      <c r="M36" s="216"/>
      <c r="N36" s="38"/>
      <c r="O36" s="47">
        <f>ROUND((ROUND((_11_A家事２．２５*_11・重度研修),0)*_11・２人),0)</f>
        <v>341</v>
      </c>
      <c r="P36" s="48"/>
    </row>
    <row r="37" spans="1:16" ht="16.5" customHeight="1" x14ac:dyDescent="0.15">
      <c r="A37" s="41">
        <v>11</v>
      </c>
      <c r="B37" s="41" t="s">
        <v>11751</v>
      </c>
      <c r="C37" s="74" t="s">
        <v>11752</v>
      </c>
      <c r="D37" s="799"/>
      <c r="E37" s="796"/>
      <c r="F37" s="35"/>
      <c r="I37" s="163"/>
      <c r="J37" s="45"/>
      <c r="K37" s="46"/>
      <c r="L37" s="734" t="s">
        <v>404</v>
      </c>
      <c r="M37" s="219" t="s">
        <v>398</v>
      </c>
      <c r="N37" s="50">
        <f>_11・初任</f>
        <v>0.7</v>
      </c>
      <c r="O37" s="47">
        <f>ROUND((ROUND((_11_A家事２．２５*_11・重度研修),0)*_11・初任),0)</f>
        <v>239</v>
      </c>
      <c r="P37" s="48"/>
    </row>
    <row r="38" spans="1:16" ht="16.5" customHeight="1" x14ac:dyDescent="0.15">
      <c r="A38" s="41">
        <v>11</v>
      </c>
      <c r="B38" s="41" t="s">
        <v>11753</v>
      </c>
      <c r="C38" s="74" t="s">
        <v>11754</v>
      </c>
      <c r="D38" s="100">
        <f>_11_A家事２．２５</f>
        <v>379</v>
      </c>
      <c r="E38" s="10" t="s">
        <v>392</v>
      </c>
      <c r="F38" s="35"/>
      <c r="I38" s="256" t="s">
        <v>397</v>
      </c>
      <c r="J38" s="218" t="s">
        <v>398</v>
      </c>
      <c r="K38" s="46">
        <v>1</v>
      </c>
      <c r="L38" s="706"/>
      <c r="M38" s="220"/>
      <c r="N38" s="38"/>
      <c r="O38" s="47">
        <f>ROUND((ROUND((ROUND((_11_A家事２．２５*_11・重度研修),0)*_11・２人),0)*_11・初任),0)</f>
        <v>239</v>
      </c>
      <c r="P38" s="48"/>
    </row>
    <row r="39" spans="1:16" ht="16.5" customHeight="1" x14ac:dyDescent="0.15">
      <c r="A39" s="41">
        <v>11</v>
      </c>
      <c r="B39" s="41">
        <v>8317</v>
      </c>
      <c r="C39" s="74" t="s">
        <v>11755</v>
      </c>
      <c r="D39" s="707" t="s">
        <v>8370</v>
      </c>
      <c r="E39" s="798"/>
      <c r="F39" s="35"/>
      <c r="I39" s="163"/>
      <c r="J39" s="45"/>
      <c r="K39" s="46"/>
      <c r="L39" s="53"/>
      <c r="M39" s="221"/>
      <c r="N39" s="50"/>
      <c r="O39" s="47">
        <f>ROUND((_11_A家事２．５*_11・重度研修),0)</f>
        <v>373</v>
      </c>
      <c r="P39" s="48"/>
    </row>
    <row r="40" spans="1:16" ht="16.5" customHeight="1" x14ac:dyDescent="0.15">
      <c r="A40" s="41">
        <v>11</v>
      </c>
      <c r="B40" s="41">
        <v>8318</v>
      </c>
      <c r="C40" s="74" t="s">
        <v>11756</v>
      </c>
      <c r="D40" s="799"/>
      <c r="E40" s="796"/>
      <c r="F40" s="35"/>
      <c r="I40" s="256" t="s">
        <v>397</v>
      </c>
      <c r="J40" s="218" t="s">
        <v>398</v>
      </c>
      <c r="K40" s="46">
        <v>1</v>
      </c>
      <c r="L40" s="43"/>
      <c r="M40" s="216"/>
      <c r="N40" s="38"/>
      <c r="O40" s="47">
        <f>ROUND((ROUND((_11_A家事２．５*_11・重度研修),0)*_11・２人),0)</f>
        <v>373</v>
      </c>
      <c r="P40" s="48"/>
    </row>
    <row r="41" spans="1:16" ht="16.5" customHeight="1" x14ac:dyDescent="0.15">
      <c r="A41" s="41">
        <v>11</v>
      </c>
      <c r="B41" s="41" t="s">
        <v>11757</v>
      </c>
      <c r="C41" s="74" t="s">
        <v>11758</v>
      </c>
      <c r="D41" s="799"/>
      <c r="E41" s="796"/>
      <c r="F41" s="35"/>
      <c r="I41" s="163"/>
      <c r="J41" s="45"/>
      <c r="K41" s="46"/>
      <c r="L41" s="734" t="s">
        <v>404</v>
      </c>
      <c r="M41" s="219" t="s">
        <v>398</v>
      </c>
      <c r="N41" s="50">
        <f>_11・初任</f>
        <v>0.7</v>
      </c>
      <c r="O41" s="47">
        <f>ROUND((ROUND((_11_A家事２．５*_11・重度研修),0)*_11・初任),0)</f>
        <v>261</v>
      </c>
      <c r="P41" s="48"/>
    </row>
    <row r="42" spans="1:16" ht="16.5" customHeight="1" x14ac:dyDescent="0.15">
      <c r="A42" s="41">
        <v>11</v>
      </c>
      <c r="B42" s="41" t="s">
        <v>11759</v>
      </c>
      <c r="C42" s="74" t="s">
        <v>11760</v>
      </c>
      <c r="D42" s="100">
        <f>_11_A家事２．５</f>
        <v>414</v>
      </c>
      <c r="E42" s="10" t="s">
        <v>392</v>
      </c>
      <c r="F42" s="35"/>
      <c r="I42" s="256" t="s">
        <v>397</v>
      </c>
      <c r="J42" s="218" t="s">
        <v>398</v>
      </c>
      <c r="K42" s="46">
        <v>1</v>
      </c>
      <c r="L42" s="706"/>
      <c r="M42" s="220"/>
      <c r="N42" s="38"/>
      <c r="O42" s="47">
        <f>ROUND((ROUND((ROUND((_11_A家事２．５*_11・重度研修),0)*_11・２人),0)*_11・初任),0)</f>
        <v>261</v>
      </c>
      <c r="P42" s="48"/>
    </row>
    <row r="43" spans="1:16" ht="16.5" customHeight="1" x14ac:dyDescent="0.15">
      <c r="A43" s="41">
        <v>11</v>
      </c>
      <c r="B43" s="41">
        <v>8319</v>
      </c>
      <c r="C43" s="74" t="s">
        <v>11761</v>
      </c>
      <c r="D43" s="707" t="s">
        <v>8383</v>
      </c>
      <c r="E43" s="798"/>
      <c r="F43" s="35"/>
      <c r="I43" s="163"/>
      <c r="J43" s="45"/>
      <c r="K43" s="46"/>
      <c r="L43" s="53"/>
      <c r="M43" s="221"/>
      <c r="N43" s="50"/>
      <c r="O43" s="47">
        <f>ROUND((_11_A家事２．７５*_11・重度研修),0)</f>
        <v>404</v>
      </c>
      <c r="P43" s="48"/>
    </row>
    <row r="44" spans="1:16" ht="16.5" customHeight="1" x14ac:dyDescent="0.15">
      <c r="A44" s="41">
        <v>11</v>
      </c>
      <c r="B44" s="41">
        <v>8320</v>
      </c>
      <c r="C44" s="74" t="s">
        <v>11762</v>
      </c>
      <c r="D44" s="799"/>
      <c r="E44" s="796"/>
      <c r="F44" s="35"/>
      <c r="I44" s="256" t="s">
        <v>397</v>
      </c>
      <c r="J44" s="218" t="s">
        <v>398</v>
      </c>
      <c r="K44" s="46">
        <v>1</v>
      </c>
      <c r="L44" s="43"/>
      <c r="M44" s="216"/>
      <c r="N44" s="38"/>
      <c r="O44" s="47">
        <f>ROUND((ROUND((_11_A家事２．７５*_11・重度研修),0)*_11・２人),0)</f>
        <v>404</v>
      </c>
      <c r="P44" s="48"/>
    </row>
    <row r="45" spans="1:16" ht="16.5" customHeight="1" x14ac:dyDescent="0.15">
      <c r="A45" s="41">
        <v>11</v>
      </c>
      <c r="B45" s="41" t="s">
        <v>11763</v>
      </c>
      <c r="C45" s="74" t="s">
        <v>11764</v>
      </c>
      <c r="D45" s="799"/>
      <c r="E45" s="796"/>
      <c r="F45" s="35"/>
      <c r="I45" s="163"/>
      <c r="J45" s="45"/>
      <c r="K45" s="46"/>
      <c r="L45" s="734" t="s">
        <v>404</v>
      </c>
      <c r="M45" s="219" t="s">
        <v>398</v>
      </c>
      <c r="N45" s="50">
        <f>_11・初任</f>
        <v>0.7</v>
      </c>
      <c r="O45" s="47">
        <f>ROUND((ROUND((_11_A家事２．７５*_11・重度研修),0)*_11・初任),0)</f>
        <v>283</v>
      </c>
      <c r="P45" s="48"/>
    </row>
    <row r="46" spans="1:16" ht="16.5" customHeight="1" x14ac:dyDescent="0.15">
      <c r="A46" s="41">
        <v>11</v>
      </c>
      <c r="B46" s="41" t="s">
        <v>11765</v>
      </c>
      <c r="C46" s="74" t="s">
        <v>11766</v>
      </c>
      <c r="D46" s="100">
        <f>_11_A家事２．７５</f>
        <v>449</v>
      </c>
      <c r="E46" s="10" t="s">
        <v>392</v>
      </c>
      <c r="F46" s="35"/>
      <c r="I46" s="256" t="s">
        <v>397</v>
      </c>
      <c r="J46" s="218" t="s">
        <v>398</v>
      </c>
      <c r="K46" s="46">
        <v>1</v>
      </c>
      <c r="L46" s="706"/>
      <c r="M46" s="220"/>
      <c r="N46" s="38"/>
      <c r="O46" s="47">
        <f>ROUND((ROUND((ROUND((_11_A家事２．７５*_11・重度研修),0)*_11・２人),0)*_11・初任),0)</f>
        <v>283</v>
      </c>
      <c r="P46" s="48"/>
    </row>
    <row r="47" spans="1:16" ht="16.5" customHeight="1" x14ac:dyDescent="0.15">
      <c r="A47" s="41">
        <v>11</v>
      </c>
      <c r="B47" s="41">
        <v>8321</v>
      </c>
      <c r="C47" s="74" t="s">
        <v>11767</v>
      </c>
      <c r="D47" s="707" t="s">
        <v>8396</v>
      </c>
      <c r="E47" s="798"/>
      <c r="F47" s="35"/>
      <c r="I47" s="163"/>
      <c r="J47" s="45"/>
      <c r="K47" s="46"/>
      <c r="L47" s="53"/>
      <c r="M47" s="221"/>
      <c r="N47" s="50"/>
      <c r="O47" s="47">
        <f>ROUND((_11_A家事３．０*_11・重度研修),0)</f>
        <v>436</v>
      </c>
      <c r="P47" s="48"/>
    </row>
    <row r="48" spans="1:16" ht="16.5" customHeight="1" x14ac:dyDescent="0.15">
      <c r="A48" s="41">
        <v>11</v>
      </c>
      <c r="B48" s="41">
        <v>8322</v>
      </c>
      <c r="C48" s="74" t="s">
        <v>11768</v>
      </c>
      <c r="D48" s="799"/>
      <c r="E48" s="796"/>
      <c r="F48" s="35"/>
      <c r="I48" s="256" t="s">
        <v>397</v>
      </c>
      <c r="J48" s="218" t="s">
        <v>398</v>
      </c>
      <c r="K48" s="46">
        <v>1</v>
      </c>
      <c r="L48" s="43"/>
      <c r="M48" s="216"/>
      <c r="N48" s="38"/>
      <c r="O48" s="47">
        <f>ROUND((ROUND((_11_A家事３．０*_11・重度研修),0)*_11・２人),0)</f>
        <v>436</v>
      </c>
      <c r="P48" s="48"/>
    </row>
    <row r="49" spans="1:16" ht="16.5" customHeight="1" x14ac:dyDescent="0.15">
      <c r="A49" s="41">
        <v>11</v>
      </c>
      <c r="B49" s="41" t="s">
        <v>11769</v>
      </c>
      <c r="C49" s="74" t="s">
        <v>11770</v>
      </c>
      <c r="D49" s="799"/>
      <c r="E49" s="796"/>
      <c r="F49" s="35"/>
      <c r="I49" s="163"/>
      <c r="J49" s="45"/>
      <c r="K49" s="46"/>
      <c r="L49" s="734" t="s">
        <v>404</v>
      </c>
      <c r="M49" s="219" t="s">
        <v>398</v>
      </c>
      <c r="N49" s="50">
        <f>_11・初任</f>
        <v>0.7</v>
      </c>
      <c r="O49" s="47">
        <f>ROUND((ROUND((_11_A家事３．０*_11・重度研修),0)*_11・初任),0)</f>
        <v>305</v>
      </c>
      <c r="P49" s="48"/>
    </row>
    <row r="50" spans="1:16" ht="16.5" customHeight="1" x14ac:dyDescent="0.15">
      <c r="A50" s="41">
        <v>11</v>
      </c>
      <c r="B50" s="41" t="s">
        <v>11771</v>
      </c>
      <c r="C50" s="74" t="s">
        <v>11772</v>
      </c>
      <c r="D50" s="100">
        <f>_11_A家事３．０</f>
        <v>484</v>
      </c>
      <c r="E50" s="10" t="s">
        <v>392</v>
      </c>
      <c r="F50" s="35"/>
      <c r="I50" s="256" t="s">
        <v>397</v>
      </c>
      <c r="J50" s="218" t="s">
        <v>398</v>
      </c>
      <c r="K50" s="46">
        <v>1</v>
      </c>
      <c r="L50" s="706"/>
      <c r="M50" s="220"/>
      <c r="N50" s="38"/>
      <c r="O50" s="47">
        <f>ROUND((ROUND((ROUND((_11_A家事３．０*_11・重度研修),0)*_11・２人),0)*_11・初任),0)</f>
        <v>305</v>
      </c>
      <c r="P50" s="48"/>
    </row>
    <row r="51" spans="1:16" ht="16.5" customHeight="1" x14ac:dyDescent="0.15">
      <c r="A51" s="41">
        <v>11</v>
      </c>
      <c r="B51" s="41">
        <v>8323</v>
      </c>
      <c r="C51" s="74" t="s">
        <v>11773</v>
      </c>
      <c r="D51" s="707" t="s">
        <v>8409</v>
      </c>
      <c r="E51" s="798"/>
      <c r="F51" s="35"/>
      <c r="I51" s="163"/>
      <c r="J51" s="45"/>
      <c r="K51" s="46"/>
      <c r="L51" s="53"/>
      <c r="M51" s="221"/>
      <c r="N51" s="50"/>
      <c r="O51" s="47">
        <f>ROUND((_11_A家事３．２５*_11・重度研修),0)</f>
        <v>467</v>
      </c>
      <c r="P51" s="48"/>
    </row>
    <row r="52" spans="1:16" ht="16.5" customHeight="1" x14ac:dyDescent="0.15">
      <c r="A52" s="41">
        <v>11</v>
      </c>
      <c r="B52" s="41">
        <v>8324</v>
      </c>
      <c r="C52" s="74" t="s">
        <v>11774</v>
      </c>
      <c r="D52" s="799"/>
      <c r="E52" s="796"/>
      <c r="F52" s="35"/>
      <c r="I52" s="256" t="s">
        <v>397</v>
      </c>
      <c r="J52" s="218" t="s">
        <v>398</v>
      </c>
      <c r="K52" s="46">
        <v>1</v>
      </c>
      <c r="L52" s="43"/>
      <c r="M52" s="216"/>
      <c r="N52" s="38"/>
      <c r="O52" s="47">
        <f>ROUND((ROUND((_11_A家事３．２５*_11・重度研修),0)*_11・２人),0)</f>
        <v>467</v>
      </c>
      <c r="P52" s="48"/>
    </row>
    <row r="53" spans="1:16" ht="16.5" customHeight="1" x14ac:dyDescent="0.15">
      <c r="A53" s="41">
        <v>11</v>
      </c>
      <c r="B53" s="41" t="s">
        <v>11775</v>
      </c>
      <c r="C53" s="74" t="s">
        <v>11776</v>
      </c>
      <c r="D53" s="799"/>
      <c r="E53" s="796"/>
      <c r="F53" s="35"/>
      <c r="I53" s="163"/>
      <c r="J53" s="45"/>
      <c r="K53" s="46"/>
      <c r="L53" s="734" t="s">
        <v>404</v>
      </c>
      <c r="M53" s="219" t="s">
        <v>398</v>
      </c>
      <c r="N53" s="50">
        <f>_11・初任</f>
        <v>0.7</v>
      </c>
      <c r="O53" s="47">
        <f>ROUND((ROUND((_11_A家事３．２５*_11・重度研修),0)*_11・初任),0)</f>
        <v>327</v>
      </c>
      <c r="P53" s="48"/>
    </row>
    <row r="54" spans="1:16" ht="16.5" customHeight="1" x14ac:dyDescent="0.15">
      <c r="A54" s="41">
        <v>11</v>
      </c>
      <c r="B54" s="41" t="s">
        <v>11777</v>
      </c>
      <c r="C54" s="74" t="s">
        <v>11778</v>
      </c>
      <c r="D54" s="100">
        <f>_11_A家事３．２５</f>
        <v>519</v>
      </c>
      <c r="E54" s="10" t="s">
        <v>392</v>
      </c>
      <c r="F54" s="35"/>
      <c r="I54" s="256" t="s">
        <v>397</v>
      </c>
      <c r="J54" s="218" t="s">
        <v>398</v>
      </c>
      <c r="K54" s="46">
        <v>1</v>
      </c>
      <c r="L54" s="706"/>
      <c r="M54" s="220"/>
      <c r="N54" s="38"/>
      <c r="O54" s="47">
        <f>ROUND((ROUND((ROUND((_11_A家事３．２５*_11・重度研修),0)*_11・２人),0)*_11・初任),0)</f>
        <v>327</v>
      </c>
      <c r="P54" s="48"/>
    </row>
    <row r="55" spans="1:16" ht="16.5" customHeight="1" x14ac:dyDescent="0.15">
      <c r="A55" s="41">
        <v>11</v>
      </c>
      <c r="B55" s="41">
        <v>8325</v>
      </c>
      <c r="C55" s="74" t="s">
        <v>11779</v>
      </c>
      <c r="D55" s="707" t="s">
        <v>8422</v>
      </c>
      <c r="E55" s="798"/>
      <c r="F55" s="35"/>
      <c r="I55" s="163"/>
      <c r="J55" s="45"/>
      <c r="K55" s="46"/>
      <c r="L55" s="53"/>
      <c r="M55" s="221"/>
      <c r="N55" s="50"/>
      <c r="O55" s="47">
        <f>ROUND((_11_A家事３．５*_11・重度研修),0)</f>
        <v>499</v>
      </c>
      <c r="P55" s="48"/>
    </row>
    <row r="56" spans="1:16" ht="16.5" customHeight="1" x14ac:dyDescent="0.15">
      <c r="A56" s="41">
        <v>11</v>
      </c>
      <c r="B56" s="41">
        <v>8326</v>
      </c>
      <c r="C56" s="74" t="s">
        <v>11780</v>
      </c>
      <c r="D56" s="799"/>
      <c r="E56" s="796"/>
      <c r="F56" s="35"/>
      <c r="I56" s="256" t="s">
        <v>397</v>
      </c>
      <c r="J56" s="218" t="s">
        <v>398</v>
      </c>
      <c r="K56" s="46">
        <v>1</v>
      </c>
      <c r="L56" s="43"/>
      <c r="M56" s="216"/>
      <c r="N56" s="38"/>
      <c r="O56" s="47">
        <f>ROUND((ROUND((_11_A家事３．５*_11・重度研修),0)*_11・２人),0)</f>
        <v>499</v>
      </c>
      <c r="P56" s="48"/>
    </row>
    <row r="57" spans="1:16" ht="16.5" customHeight="1" x14ac:dyDescent="0.15">
      <c r="A57" s="41">
        <v>11</v>
      </c>
      <c r="B57" s="41" t="s">
        <v>11781</v>
      </c>
      <c r="C57" s="74" t="s">
        <v>11782</v>
      </c>
      <c r="D57" s="799"/>
      <c r="E57" s="796"/>
      <c r="F57" s="35"/>
      <c r="I57" s="163"/>
      <c r="J57" s="45"/>
      <c r="K57" s="46"/>
      <c r="L57" s="734" t="s">
        <v>404</v>
      </c>
      <c r="M57" s="219" t="s">
        <v>398</v>
      </c>
      <c r="N57" s="50">
        <f>_11・初任</f>
        <v>0.7</v>
      </c>
      <c r="O57" s="47">
        <f>ROUND((ROUND((_11_A家事３．５*_11・重度研修),0)*_11・初任),0)</f>
        <v>349</v>
      </c>
      <c r="P57" s="48"/>
    </row>
    <row r="58" spans="1:16" ht="16.5" customHeight="1" x14ac:dyDescent="0.15">
      <c r="A58" s="41">
        <v>11</v>
      </c>
      <c r="B58" s="41" t="s">
        <v>11783</v>
      </c>
      <c r="C58" s="74" t="s">
        <v>11784</v>
      </c>
      <c r="D58" s="100">
        <f>_11_A家事３．５</f>
        <v>554</v>
      </c>
      <c r="E58" s="10" t="s">
        <v>392</v>
      </c>
      <c r="F58" s="35"/>
      <c r="I58" s="256" t="s">
        <v>397</v>
      </c>
      <c r="J58" s="218" t="s">
        <v>398</v>
      </c>
      <c r="K58" s="46">
        <v>1</v>
      </c>
      <c r="L58" s="706"/>
      <c r="M58" s="220"/>
      <c r="N58" s="38"/>
      <c r="O58" s="47">
        <f>ROUND((ROUND((ROUND((_11_A家事３．５*_11・重度研修),0)*_11・２人),0)*_11・初任),0)</f>
        <v>349</v>
      </c>
      <c r="P58" s="48"/>
    </row>
    <row r="59" spans="1:16" ht="16.5" customHeight="1" x14ac:dyDescent="0.15">
      <c r="A59" s="41">
        <v>11</v>
      </c>
      <c r="B59" s="41">
        <v>8327</v>
      </c>
      <c r="C59" s="74" t="s">
        <v>11785</v>
      </c>
      <c r="D59" s="707" t="s">
        <v>8435</v>
      </c>
      <c r="E59" s="798"/>
      <c r="F59" s="35"/>
      <c r="I59" s="163"/>
      <c r="J59" s="45"/>
      <c r="K59" s="46"/>
      <c r="L59" s="53"/>
      <c r="M59" s="221"/>
      <c r="N59" s="50"/>
      <c r="O59" s="47">
        <f>ROUND((_11_A家事３．７５*_11・重度研修),0)</f>
        <v>530</v>
      </c>
      <c r="P59" s="48"/>
    </row>
    <row r="60" spans="1:16" ht="16.5" customHeight="1" x14ac:dyDescent="0.15">
      <c r="A60" s="41">
        <v>11</v>
      </c>
      <c r="B60" s="41">
        <v>8328</v>
      </c>
      <c r="C60" s="74" t="s">
        <v>11786</v>
      </c>
      <c r="D60" s="799"/>
      <c r="E60" s="796"/>
      <c r="F60" s="35"/>
      <c r="I60" s="256" t="s">
        <v>397</v>
      </c>
      <c r="J60" s="218" t="s">
        <v>398</v>
      </c>
      <c r="K60" s="46">
        <v>1</v>
      </c>
      <c r="L60" s="43"/>
      <c r="M60" s="216"/>
      <c r="N60" s="38"/>
      <c r="O60" s="47">
        <f>ROUND((ROUND((_11_A家事３．７５*_11・重度研修),0)*_11・２人),0)</f>
        <v>530</v>
      </c>
      <c r="P60" s="48"/>
    </row>
    <row r="61" spans="1:16" ht="16.5" customHeight="1" x14ac:dyDescent="0.15">
      <c r="A61" s="41">
        <v>11</v>
      </c>
      <c r="B61" s="41" t="s">
        <v>11787</v>
      </c>
      <c r="C61" s="74" t="s">
        <v>11788</v>
      </c>
      <c r="D61" s="799"/>
      <c r="E61" s="796"/>
      <c r="F61" s="35"/>
      <c r="I61" s="163"/>
      <c r="J61" s="45"/>
      <c r="K61" s="46"/>
      <c r="L61" s="734" t="s">
        <v>404</v>
      </c>
      <c r="M61" s="219" t="s">
        <v>398</v>
      </c>
      <c r="N61" s="50">
        <f>_11・初任</f>
        <v>0.7</v>
      </c>
      <c r="O61" s="47">
        <f>ROUND((ROUND((_11_A家事３．７５*_11・重度研修),0)*_11・初任),0)</f>
        <v>371</v>
      </c>
      <c r="P61" s="48"/>
    </row>
    <row r="62" spans="1:16" ht="16.5" customHeight="1" x14ac:dyDescent="0.15">
      <c r="A62" s="41">
        <v>11</v>
      </c>
      <c r="B62" s="41" t="s">
        <v>11789</v>
      </c>
      <c r="C62" s="74" t="s">
        <v>11790</v>
      </c>
      <c r="D62" s="100">
        <f>_11_A家事３．７５</f>
        <v>589</v>
      </c>
      <c r="E62" s="10" t="s">
        <v>392</v>
      </c>
      <c r="F62" s="35"/>
      <c r="I62" s="256" t="s">
        <v>397</v>
      </c>
      <c r="J62" s="218" t="s">
        <v>398</v>
      </c>
      <c r="K62" s="46">
        <v>1</v>
      </c>
      <c r="L62" s="706"/>
      <c r="M62" s="220"/>
      <c r="N62" s="38"/>
      <c r="O62" s="47">
        <f>ROUND((ROUND((ROUND((_11_A家事３．７５*_11・重度研修),0)*_11・２人),0)*_11・初任),0)</f>
        <v>371</v>
      </c>
      <c r="P62" s="48"/>
    </row>
    <row r="63" spans="1:16" ht="16.5" customHeight="1" x14ac:dyDescent="0.15">
      <c r="A63" s="41">
        <v>11</v>
      </c>
      <c r="B63" s="41">
        <v>8329</v>
      </c>
      <c r="C63" s="74" t="s">
        <v>11791</v>
      </c>
      <c r="D63" s="707" t="s">
        <v>8448</v>
      </c>
      <c r="E63" s="798"/>
      <c r="F63" s="35"/>
      <c r="I63" s="163"/>
      <c r="J63" s="45"/>
      <c r="K63" s="46"/>
      <c r="L63" s="53"/>
      <c r="M63" s="221"/>
      <c r="N63" s="50"/>
      <c r="O63" s="47">
        <f>ROUND((_11_A家事４．０*_11・重度研修),0)</f>
        <v>562</v>
      </c>
      <c r="P63" s="48"/>
    </row>
    <row r="64" spans="1:16" ht="16.5" customHeight="1" x14ac:dyDescent="0.15">
      <c r="A64" s="41">
        <v>11</v>
      </c>
      <c r="B64" s="41">
        <v>8330</v>
      </c>
      <c r="C64" s="74" t="s">
        <v>11792</v>
      </c>
      <c r="D64" s="799"/>
      <c r="E64" s="796"/>
      <c r="F64" s="35"/>
      <c r="I64" s="256" t="s">
        <v>397</v>
      </c>
      <c r="J64" s="218" t="s">
        <v>398</v>
      </c>
      <c r="K64" s="46">
        <v>1</v>
      </c>
      <c r="L64" s="43"/>
      <c r="M64" s="216"/>
      <c r="N64" s="38"/>
      <c r="O64" s="47">
        <f>ROUND((ROUND((_11_A家事４．０*_11・重度研修),0)*_11・２人),0)</f>
        <v>562</v>
      </c>
      <c r="P64" s="48"/>
    </row>
    <row r="65" spans="1:16" ht="16.5" customHeight="1" x14ac:dyDescent="0.15">
      <c r="A65" s="41">
        <v>11</v>
      </c>
      <c r="B65" s="41" t="s">
        <v>11793</v>
      </c>
      <c r="C65" s="74" t="s">
        <v>11794</v>
      </c>
      <c r="D65" s="799"/>
      <c r="E65" s="796"/>
      <c r="F65" s="35"/>
      <c r="I65" s="163"/>
      <c r="J65" s="45"/>
      <c r="K65" s="46"/>
      <c r="L65" s="734" t="s">
        <v>404</v>
      </c>
      <c r="M65" s="219" t="s">
        <v>398</v>
      </c>
      <c r="N65" s="50">
        <f>_11・初任</f>
        <v>0.7</v>
      </c>
      <c r="O65" s="47">
        <f>ROUND((ROUND((_11_A家事４．０*_11・重度研修),0)*_11・初任),0)</f>
        <v>393</v>
      </c>
      <c r="P65" s="48"/>
    </row>
    <row r="66" spans="1:16" ht="16.5" customHeight="1" x14ac:dyDescent="0.15">
      <c r="A66" s="41">
        <v>11</v>
      </c>
      <c r="B66" s="41" t="s">
        <v>11795</v>
      </c>
      <c r="C66" s="74" t="s">
        <v>11796</v>
      </c>
      <c r="D66" s="100">
        <f>_11_A家事４．０</f>
        <v>624</v>
      </c>
      <c r="E66" s="10" t="s">
        <v>392</v>
      </c>
      <c r="F66" s="35"/>
      <c r="I66" s="256" t="s">
        <v>397</v>
      </c>
      <c r="J66" s="218" t="s">
        <v>398</v>
      </c>
      <c r="K66" s="46">
        <v>1</v>
      </c>
      <c r="L66" s="706"/>
      <c r="M66" s="220"/>
      <c r="N66" s="38"/>
      <c r="O66" s="47">
        <f>ROUND((ROUND((ROUND((_11_A家事４．０*_11・重度研修),0)*_11・２人),0)*_11・初任),0)</f>
        <v>393</v>
      </c>
      <c r="P66" s="48"/>
    </row>
    <row r="67" spans="1:16" ht="16.5" customHeight="1" x14ac:dyDescent="0.15">
      <c r="A67" s="41">
        <v>11</v>
      </c>
      <c r="B67" s="41">
        <v>8331</v>
      </c>
      <c r="C67" s="74" t="s">
        <v>11797</v>
      </c>
      <c r="D67" s="707" t="s">
        <v>8461</v>
      </c>
      <c r="E67" s="798"/>
      <c r="F67" s="35"/>
      <c r="I67" s="163"/>
      <c r="J67" s="45"/>
      <c r="K67" s="46"/>
      <c r="L67" s="53"/>
      <c r="M67" s="221"/>
      <c r="N67" s="50"/>
      <c r="O67" s="47">
        <f>ROUND((_11_A家事４．２５*_11・重度研修),0)</f>
        <v>593</v>
      </c>
      <c r="P67" s="48"/>
    </row>
    <row r="68" spans="1:16" ht="16.5" customHeight="1" x14ac:dyDescent="0.15">
      <c r="A68" s="41">
        <v>11</v>
      </c>
      <c r="B68" s="41">
        <v>8332</v>
      </c>
      <c r="C68" s="74" t="s">
        <v>11798</v>
      </c>
      <c r="D68" s="799"/>
      <c r="E68" s="796"/>
      <c r="F68" s="35"/>
      <c r="I68" s="256" t="s">
        <v>397</v>
      </c>
      <c r="J68" s="218" t="s">
        <v>398</v>
      </c>
      <c r="K68" s="46">
        <v>1</v>
      </c>
      <c r="L68" s="43"/>
      <c r="M68" s="216"/>
      <c r="N68" s="38"/>
      <c r="O68" s="47">
        <f>ROUND((ROUND((_11_A家事４．２５*_11・重度研修),0)*_11・２人),0)</f>
        <v>593</v>
      </c>
      <c r="P68" s="48"/>
    </row>
    <row r="69" spans="1:16" ht="16.5" customHeight="1" x14ac:dyDescent="0.15">
      <c r="A69" s="41">
        <v>11</v>
      </c>
      <c r="B69" s="41" t="s">
        <v>11799</v>
      </c>
      <c r="C69" s="74" t="s">
        <v>11800</v>
      </c>
      <c r="D69" s="799"/>
      <c r="E69" s="796"/>
      <c r="F69" s="35"/>
      <c r="I69" s="163"/>
      <c r="J69" s="45"/>
      <c r="K69" s="46"/>
      <c r="L69" s="734" t="s">
        <v>404</v>
      </c>
      <c r="M69" s="219" t="s">
        <v>398</v>
      </c>
      <c r="N69" s="50">
        <f>_11・初任</f>
        <v>0.7</v>
      </c>
      <c r="O69" s="47">
        <f>ROUND((ROUND((_11_A家事４．２５*_11・重度研修),0)*_11・初任),0)</f>
        <v>415</v>
      </c>
      <c r="P69" s="48"/>
    </row>
    <row r="70" spans="1:16" ht="16.5" customHeight="1" x14ac:dyDescent="0.15">
      <c r="A70" s="41">
        <v>11</v>
      </c>
      <c r="B70" s="41" t="s">
        <v>11801</v>
      </c>
      <c r="C70" s="74" t="s">
        <v>11802</v>
      </c>
      <c r="D70" s="100">
        <f>_11_A家事４．２５</f>
        <v>659</v>
      </c>
      <c r="E70" s="10" t="s">
        <v>392</v>
      </c>
      <c r="F70" s="35"/>
      <c r="I70" s="256" t="s">
        <v>397</v>
      </c>
      <c r="J70" s="218" t="s">
        <v>398</v>
      </c>
      <c r="K70" s="46">
        <v>1</v>
      </c>
      <c r="L70" s="706"/>
      <c r="M70" s="220"/>
      <c r="N70" s="38"/>
      <c r="O70" s="47">
        <f>ROUND((ROUND((ROUND((_11_A家事４．２５*_11・重度研修),0)*_11・２人),0)*_11・初任),0)</f>
        <v>415</v>
      </c>
      <c r="P70" s="48"/>
    </row>
    <row r="71" spans="1:16" ht="16.5" customHeight="1" x14ac:dyDescent="0.15">
      <c r="A71" s="41">
        <v>11</v>
      </c>
      <c r="B71" s="41">
        <v>8333</v>
      </c>
      <c r="C71" s="74" t="s">
        <v>11803</v>
      </c>
      <c r="D71" s="707" t="s">
        <v>8474</v>
      </c>
      <c r="E71" s="798"/>
      <c r="F71" s="35"/>
      <c r="I71" s="163"/>
      <c r="J71" s="45"/>
      <c r="K71" s="46"/>
      <c r="L71" s="53"/>
      <c r="M71" s="221"/>
      <c r="N71" s="50"/>
      <c r="O71" s="47">
        <f>ROUND((_11_A家事４．５*_11・重度研修),0)</f>
        <v>625</v>
      </c>
      <c r="P71" s="48"/>
    </row>
    <row r="72" spans="1:16" ht="16.5" customHeight="1" x14ac:dyDescent="0.15">
      <c r="A72" s="41">
        <v>11</v>
      </c>
      <c r="B72" s="41">
        <v>8334</v>
      </c>
      <c r="C72" s="74" t="s">
        <v>11804</v>
      </c>
      <c r="D72" s="799"/>
      <c r="E72" s="796"/>
      <c r="F72" s="35"/>
      <c r="I72" s="256" t="s">
        <v>397</v>
      </c>
      <c r="J72" s="218" t="s">
        <v>398</v>
      </c>
      <c r="K72" s="46">
        <v>1</v>
      </c>
      <c r="L72" s="43"/>
      <c r="M72" s="216"/>
      <c r="N72" s="38"/>
      <c r="O72" s="47">
        <f>ROUND((ROUND((_11_A家事４．５*_11・重度研修),0)*_11・２人),0)</f>
        <v>625</v>
      </c>
      <c r="P72" s="48"/>
    </row>
    <row r="73" spans="1:16" ht="16.5" customHeight="1" x14ac:dyDescent="0.15">
      <c r="A73" s="41">
        <v>11</v>
      </c>
      <c r="B73" s="41" t="s">
        <v>11805</v>
      </c>
      <c r="C73" s="74" t="s">
        <v>11806</v>
      </c>
      <c r="D73" s="799"/>
      <c r="E73" s="796"/>
      <c r="F73" s="35"/>
      <c r="I73" s="163"/>
      <c r="J73" s="45"/>
      <c r="K73" s="46"/>
      <c r="L73" s="734" t="s">
        <v>404</v>
      </c>
      <c r="M73" s="219" t="s">
        <v>398</v>
      </c>
      <c r="N73" s="50">
        <f>_11・初任</f>
        <v>0.7</v>
      </c>
      <c r="O73" s="47">
        <f>ROUND((ROUND((_11_A家事４．５*_11・重度研修),0)*_11・初任),0)</f>
        <v>438</v>
      </c>
      <c r="P73" s="48"/>
    </row>
    <row r="74" spans="1:16" ht="16.5" customHeight="1" x14ac:dyDescent="0.15">
      <c r="A74" s="41">
        <v>11</v>
      </c>
      <c r="B74" s="41" t="s">
        <v>11807</v>
      </c>
      <c r="C74" s="74" t="s">
        <v>11808</v>
      </c>
      <c r="D74" s="100">
        <f>_11_A家事４．５</f>
        <v>694</v>
      </c>
      <c r="E74" s="10" t="s">
        <v>392</v>
      </c>
      <c r="F74" s="35"/>
      <c r="I74" s="256" t="s">
        <v>397</v>
      </c>
      <c r="J74" s="218" t="s">
        <v>398</v>
      </c>
      <c r="K74" s="46">
        <v>1</v>
      </c>
      <c r="L74" s="706"/>
      <c r="M74" s="220"/>
      <c r="N74" s="38"/>
      <c r="O74" s="47">
        <f>ROUND((ROUND((ROUND((_11_A家事４．５*_11・重度研修),0)*_11・２人),0)*_11・初任),0)</f>
        <v>438</v>
      </c>
      <c r="P74" s="48"/>
    </row>
    <row r="75" spans="1:16" ht="16.5" customHeight="1" x14ac:dyDescent="0.15">
      <c r="A75" s="41">
        <v>11</v>
      </c>
      <c r="B75" s="41">
        <v>8335</v>
      </c>
      <c r="C75" s="74" t="s">
        <v>11809</v>
      </c>
      <c r="D75" s="707" t="s">
        <v>8487</v>
      </c>
      <c r="E75" s="798"/>
      <c r="F75" s="35"/>
      <c r="I75" s="163"/>
      <c r="J75" s="45"/>
      <c r="K75" s="46"/>
      <c r="L75" s="53"/>
      <c r="M75" s="221"/>
      <c r="N75" s="50"/>
      <c r="O75" s="47">
        <f>ROUND((_11_A家事４．７５*_11・重度研修),0)</f>
        <v>656</v>
      </c>
      <c r="P75" s="48"/>
    </row>
    <row r="76" spans="1:16" ht="16.5" customHeight="1" x14ac:dyDescent="0.15">
      <c r="A76" s="41">
        <v>11</v>
      </c>
      <c r="B76" s="41">
        <v>8336</v>
      </c>
      <c r="C76" s="74" t="s">
        <v>11810</v>
      </c>
      <c r="D76" s="799"/>
      <c r="E76" s="796"/>
      <c r="F76" s="35"/>
      <c r="I76" s="256" t="s">
        <v>397</v>
      </c>
      <c r="J76" s="218" t="s">
        <v>398</v>
      </c>
      <c r="K76" s="46">
        <v>1</v>
      </c>
      <c r="L76" s="43"/>
      <c r="M76" s="216"/>
      <c r="N76" s="38"/>
      <c r="O76" s="47">
        <f>ROUND((ROUND((_11_A家事４．７５*_11・重度研修),0)*_11・２人),0)</f>
        <v>656</v>
      </c>
      <c r="P76" s="48"/>
    </row>
    <row r="77" spans="1:16" ht="16.5" customHeight="1" x14ac:dyDescent="0.15">
      <c r="A77" s="41">
        <v>11</v>
      </c>
      <c r="B77" s="41" t="s">
        <v>11811</v>
      </c>
      <c r="C77" s="74" t="s">
        <v>11812</v>
      </c>
      <c r="D77" s="799"/>
      <c r="E77" s="796"/>
      <c r="F77" s="35"/>
      <c r="I77" s="163"/>
      <c r="J77" s="45"/>
      <c r="K77" s="46"/>
      <c r="L77" s="734" t="s">
        <v>404</v>
      </c>
      <c r="M77" s="219" t="s">
        <v>398</v>
      </c>
      <c r="N77" s="50">
        <f>_11・初任</f>
        <v>0.7</v>
      </c>
      <c r="O77" s="47">
        <f>ROUND((ROUND((_11_A家事４．７５*_11・重度研修),0)*_11・初任),0)</f>
        <v>459</v>
      </c>
      <c r="P77" s="48"/>
    </row>
    <row r="78" spans="1:16" ht="16.5" customHeight="1" x14ac:dyDescent="0.15">
      <c r="A78" s="41">
        <v>11</v>
      </c>
      <c r="B78" s="41" t="s">
        <v>11813</v>
      </c>
      <c r="C78" s="74" t="s">
        <v>11814</v>
      </c>
      <c r="D78" s="165">
        <f>_11_A家事４．７５</f>
        <v>729</v>
      </c>
      <c r="E78" s="190" t="s">
        <v>392</v>
      </c>
      <c r="F78" s="43"/>
      <c r="G78" s="37"/>
      <c r="H78" s="38"/>
      <c r="I78" s="256" t="s">
        <v>397</v>
      </c>
      <c r="J78" s="218" t="s">
        <v>398</v>
      </c>
      <c r="K78" s="46">
        <v>1</v>
      </c>
      <c r="L78" s="706"/>
      <c r="M78" s="220"/>
      <c r="N78" s="38"/>
      <c r="O78" s="47">
        <f>ROUND((ROUND((ROUND((_11_A家事４．７５*_11・重度研修),0)*_11・２人),0)*_11・初任),0)</f>
        <v>459</v>
      </c>
      <c r="P78" s="63"/>
    </row>
    <row r="79" spans="1:16" ht="16.5" customHeight="1" x14ac:dyDescent="0.15">
      <c r="A79" s="33">
        <v>11</v>
      </c>
      <c r="B79" s="33">
        <v>8337</v>
      </c>
      <c r="C79" s="34" t="s">
        <v>11815</v>
      </c>
      <c r="D79" s="709" t="s">
        <v>8500</v>
      </c>
      <c r="E79" s="796"/>
      <c r="F79" s="801" t="s">
        <v>11707</v>
      </c>
      <c r="G79" s="797"/>
      <c r="H79" s="796"/>
      <c r="I79" s="43"/>
      <c r="J79" s="37"/>
      <c r="K79" s="38"/>
      <c r="L79" s="35"/>
      <c r="O79" s="39">
        <f>ROUND((_11_A家事５．０*_11・重度研修),0)</f>
        <v>688</v>
      </c>
      <c r="P79" s="48"/>
    </row>
    <row r="80" spans="1:16" ht="16.5" customHeight="1" x14ac:dyDescent="0.15">
      <c r="A80" s="41">
        <v>11</v>
      </c>
      <c r="B80" s="41">
        <v>8338</v>
      </c>
      <c r="C80" s="74" t="s">
        <v>11816</v>
      </c>
      <c r="D80" s="799"/>
      <c r="E80" s="796"/>
      <c r="F80" s="799"/>
      <c r="G80" s="797"/>
      <c r="H80" s="796"/>
      <c r="I80" s="256" t="s">
        <v>397</v>
      </c>
      <c r="J80" s="218" t="s">
        <v>398</v>
      </c>
      <c r="K80" s="46">
        <v>1</v>
      </c>
      <c r="L80" s="43"/>
      <c r="M80" s="216"/>
      <c r="N80" s="38"/>
      <c r="O80" s="47">
        <f>ROUND((ROUND((_11_A家事５．０*_11・重度研修),0)*_11・２人),0)</f>
        <v>688</v>
      </c>
      <c r="P80" s="48"/>
    </row>
    <row r="81" spans="1:16" ht="16.5" customHeight="1" x14ac:dyDescent="0.15">
      <c r="A81" s="41">
        <v>11</v>
      </c>
      <c r="B81" s="41" t="s">
        <v>11817</v>
      </c>
      <c r="C81" s="74" t="s">
        <v>11818</v>
      </c>
      <c r="D81" s="799"/>
      <c r="E81" s="796"/>
      <c r="F81" s="799"/>
      <c r="G81" s="797"/>
      <c r="H81" s="796"/>
      <c r="I81" s="163"/>
      <c r="J81" s="45"/>
      <c r="K81" s="46"/>
      <c r="L81" s="734" t="s">
        <v>404</v>
      </c>
      <c r="M81" s="219" t="s">
        <v>398</v>
      </c>
      <c r="N81" s="50">
        <f>_11・初任</f>
        <v>0.7</v>
      </c>
      <c r="O81" s="47">
        <f>ROUND((ROUND((_11_A家事５．０*_11・重度研修),0)*_11・初任),0)</f>
        <v>482</v>
      </c>
      <c r="P81" s="48"/>
    </row>
    <row r="82" spans="1:16" ht="16.5" customHeight="1" x14ac:dyDescent="0.15">
      <c r="A82" s="41">
        <v>11</v>
      </c>
      <c r="B82" s="41" t="s">
        <v>11819</v>
      </c>
      <c r="C82" s="74" t="s">
        <v>11820</v>
      </c>
      <c r="D82" s="100">
        <f>_11_A家事５．０</f>
        <v>764</v>
      </c>
      <c r="E82" s="10" t="s">
        <v>392</v>
      </c>
      <c r="F82" s="255"/>
      <c r="G82" s="16" t="s">
        <v>398</v>
      </c>
      <c r="H82" s="234">
        <v>0.9</v>
      </c>
      <c r="I82" s="256" t="s">
        <v>397</v>
      </c>
      <c r="J82" s="218" t="s">
        <v>398</v>
      </c>
      <c r="K82" s="46">
        <v>1</v>
      </c>
      <c r="L82" s="706"/>
      <c r="M82" s="220"/>
      <c r="N82" s="38"/>
      <c r="O82" s="47">
        <f>ROUND((ROUND((ROUND((_11_A家事５．０*_11・重度研修),0)*_11・２人),0)*_11・初任),0)</f>
        <v>482</v>
      </c>
      <c r="P82" s="48"/>
    </row>
    <row r="83" spans="1:16" ht="16.5" customHeight="1" x14ac:dyDescent="0.15">
      <c r="A83" s="41">
        <v>11</v>
      </c>
      <c r="B83" s="41">
        <v>8339</v>
      </c>
      <c r="C83" s="74" t="s">
        <v>11821</v>
      </c>
      <c r="D83" s="707" t="s">
        <v>8513</v>
      </c>
      <c r="E83" s="798"/>
      <c r="F83" s="35"/>
      <c r="I83" s="163"/>
      <c r="J83" s="45"/>
      <c r="K83" s="46"/>
      <c r="L83" s="53"/>
      <c r="M83" s="221"/>
      <c r="N83" s="50"/>
      <c r="O83" s="47">
        <f>ROUND((_11_A家事５．２５*_11・重度研修),0)</f>
        <v>719</v>
      </c>
      <c r="P83" s="48"/>
    </row>
    <row r="84" spans="1:16" ht="16.5" customHeight="1" x14ac:dyDescent="0.15">
      <c r="A84" s="41">
        <v>11</v>
      </c>
      <c r="B84" s="41">
        <v>8340</v>
      </c>
      <c r="C84" s="74" t="s">
        <v>11822</v>
      </c>
      <c r="D84" s="799"/>
      <c r="E84" s="796"/>
      <c r="F84" s="35"/>
      <c r="I84" s="256" t="s">
        <v>397</v>
      </c>
      <c r="J84" s="218" t="s">
        <v>398</v>
      </c>
      <c r="K84" s="46">
        <v>1</v>
      </c>
      <c r="L84" s="43"/>
      <c r="M84" s="216"/>
      <c r="N84" s="38"/>
      <c r="O84" s="47">
        <f>ROUND((ROUND((_11_A家事５．２５*_11・重度研修),0)*_11・２人),0)</f>
        <v>719</v>
      </c>
      <c r="P84" s="48"/>
    </row>
    <row r="85" spans="1:16" ht="16.5" customHeight="1" x14ac:dyDescent="0.15">
      <c r="A85" s="41">
        <v>11</v>
      </c>
      <c r="B85" s="41" t="s">
        <v>11823</v>
      </c>
      <c r="C85" s="74" t="s">
        <v>11824</v>
      </c>
      <c r="D85" s="799"/>
      <c r="E85" s="796"/>
      <c r="F85" s="35"/>
      <c r="I85" s="163"/>
      <c r="J85" s="45"/>
      <c r="K85" s="46"/>
      <c r="L85" s="734" t="s">
        <v>404</v>
      </c>
      <c r="M85" s="219" t="s">
        <v>398</v>
      </c>
      <c r="N85" s="50">
        <f>_11・初任</f>
        <v>0.7</v>
      </c>
      <c r="O85" s="47">
        <f>ROUND((ROUND((_11_A家事５．２５*_11・重度研修),0)*_11・初任),0)</f>
        <v>503</v>
      </c>
      <c r="P85" s="48"/>
    </row>
    <row r="86" spans="1:16" ht="16.5" customHeight="1" x14ac:dyDescent="0.15">
      <c r="A86" s="41">
        <v>11</v>
      </c>
      <c r="B86" s="41" t="s">
        <v>11825</v>
      </c>
      <c r="C86" s="74" t="s">
        <v>11826</v>
      </c>
      <c r="D86" s="100">
        <f>_11_A家事５．２５</f>
        <v>799</v>
      </c>
      <c r="E86" s="10" t="s">
        <v>392</v>
      </c>
      <c r="F86" s="35"/>
      <c r="I86" s="256" t="s">
        <v>397</v>
      </c>
      <c r="J86" s="218" t="s">
        <v>398</v>
      </c>
      <c r="K86" s="46">
        <v>1</v>
      </c>
      <c r="L86" s="706"/>
      <c r="M86" s="220"/>
      <c r="N86" s="38"/>
      <c r="O86" s="47">
        <f>ROUND((ROUND((ROUND((_11_A家事５．２５*_11・重度研修),0)*_11・２人),0)*_11・初任),0)</f>
        <v>503</v>
      </c>
      <c r="P86" s="48"/>
    </row>
    <row r="87" spans="1:16" ht="16.5" customHeight="1" x14ac:dyDescent="0.15">
      <c r="A87" s="41">
        <v>11</v>
      </c>
      <c r="B87" s="41">
        <v>8341</v>
      </c>
      <c r="C87" s="74" t="s">
        <v>11827</v>
      </c>
      <c r="D87" s="707" t="s">
        <v>8526</v>
      </c>
      <c r="E87" s="798"/>
      <c r="F87" s="35"/>
      <c r="I87" s="163"/>
      <c r="J87" s="45"/>
      <c r="K87" s="46"/>
      <c r="L87" s="53"/>
      <c r="M87" s="221"/>
      <c r="N87" s="50"/>
      <c r="O87" s="47">
        <f>ROUND((_11_A家事５．５*_11・重度研修),0)</f>
        <v>751</v>
      </c>
      <c r="P87" s="48"/>
    </row>
    <row r="88" spans="1:16" ht="16.5" customHeight="1" x14ac:dyDescent="0.15">
      <c r="A88" s="41">
        <v>11</v>
      </c>
      <c r="B88" s="41">
        <v>8342</v>
      </c>
      <c r="C88" s="74" t="s">
        <v>11828</v>
      </c>
      <c r="D88" s="799"/>
      <c r="E88" s="796"/>
      <c r="F88" s="35"/>
      <c r="I88" s="256" t="s">
        <v>397</v>
      </c>
      <c r="J88" s="218" t="s">
        <v>398</v>
      </c>
      <c r="K88" s="46">
        <v>1</v>
      </c>
      <c r="L88" s="43"/>
      <c r="M88" s="216"/>
      <c r="N88" s="38"/>
      <c r="O88" s="47">
        <f>ROUND((ROUND((_11_A家事５．５*_11・重度研修),0)*_11・２人),0)</f>
        <v>751</v>
      </c>
      <c r="P88" s="48"/>
    </row>
    <row r="89" spans="1:16" ht="16.5" customHeight="1" x14ac:dyDescent="0.15">
      <c r="A89" s="41">
        <v>11</v>
      </c>
      <c r="B89" s="41" t="s">
        <v>11829</v>
      </c>
      <c r="C89" s="74" t="s">
        <v>11830</v>
      </c>
      <c r="D89" s="799"/>
      <c r="E89" s="796"/>
      <c r="F89" s="35"/>
      <c r="I89" s="163"/>
      <c r="J89" s="45"/>
      <c r="K89" s="46"/>
      <c r="L89" s="734" t="s">
        <v>404</v>
      </c>
      <c r="M89" s="219" t="s">
        <v>398</v>
      </c>
      <c r="N89" s="50">
        <f>_11・初任</f>
        <v>0.7</v>
      </c>
      <c r="O89" s="47">
        <f>ROUND((ROUND((_11_A家事５．５*_11・重度研修),0)*_11・初任),0)</f>
        <v>526</v>
      </c>
      <c r="P89" s="48"/>
    </row>
    <row r="90" spans="1:16" ht="16.5" customHeight="1" x14ac:dyDescent="0.15">
      <c r="A90" s="41">
        <v>11</v>
      </c>
      <c r="B90" s="41" t="s">
        <v>11831</v>
      </c>
      <c r="C90" s="74" t="s">
        <v>11832</v>
      </c>
      <c r="D90" s="100">
        <f>_11_A家事５．５</f>
        <v>834</v>
      </c>
      <c r="E90" s="10" t="s">
        <v>392</v>
      </c>
      <c r="F90" s="35"/>
      <c r="I90" s="256" t="s">
        <v>397</v>
      </c>
      <c r="J90" s="218" t="s">
        <v>398</v>
      </c>
      <c r="K90" s="46">
        <v>1</v>
      </c>
      <c r="L90" s="706"/>
      <c r="M90" s="220"/>
      <c r="N90" s="38"/>
      <c r="O90" s="47">
        <f>ROUND((ROUND((ROUND((_11_A家事５．５*_11・重度研修),0)*_11・２人),0)*_11・初任),0)</f>
        <v>526</v>
      </c>
      <c r="P90" s="48"/>
    </row>
    <row r="91" spans="1:16" ht="16.5" customHeight="1" x14ac:dyDescent="0.15">
      <c r="A91" s="41">
        <v>11</v>
      </c>
      <c r="B91" s="41">
        <v>8343</v>
      </c>
      <c r="C91" s="74" t="s">
        <v>11833</v>
      </c>
      <c r="D91" s="707" t="s">
        <v>8539</v>
      </c>
      <c r="E91" s="798"/>
      <c r="F91" s="35"/>
      <c r="I91" s="163"/>
      <c r="J91" s="45"/>
      <c r="K91" s="46"/>
      <c r="L91" s="53"/>
      <c r="M91" s="221"/>
      <c r="N91" s="50"/>
      <c r="O91" s="47">
        <f>ROUND((_11_A家事５．７５*_11・重度研修),0)</f>
        <v>782</v>
      </c>
      <c r="P91" s="48"/>
    </row>
    <row r="92" spans="1:16" ht="16.5" customHeight="1" x14ac:dyDescent="0.15">
      <c r="A92" s="41">
        <v>11</v>
      </c>
      <c r="B92" s="41">
        <v>8344</v>
      </c>
      <c r="C92" s="74" t="s">
        <v>11834</v>
      </c>
      <c r="D92" s="799"/>
      <c r="E92" s="796"/>
      <c r="F92" s="35"/>
      <c r="I92" s="256" t="s">
        <v>397</v>
      </c>
      <c r="J92" s="218" t="s">
        <v>398</v>
      </c>
      <c r="K92" s="46">
        <v>1</v>
      </c>
      <c r="L92" s="43"/>
      <c r="M92" s="216"/>
      <c r="N92" s="38"/>
      <c r="O92" s="47">
        <f>ROUND((ROUND((_11_A家事５．７５*_11・重度研修),0)*_11・２人),0)</f>
        <v>782</v>
      </c>
      <c r="P92" s="48"/>
    </row>
    <row r="93" spans="1:16" ht="16.5" customHeight="1" x14ac:dyDescent="0.15">
      <c r="A93" s="41">
        <v>11</v>
      </c>
      <c r="B93" s="41" t="s">
        <v>11835</v>
      </c>
      <c r="C93" s="74" t="s">
        <v>11836</v>
      </c>
      <c r="D93" s="799"/>
      <c r="E93" s="796"/>
      <c r="F93" s="35"/>
      <c r="I93" s="163"/>
      <c r="J93" s="45"/>
      <c r="K93" s="46"/>
      <c r="L93" s="734" t="s">
        <v>404</v>
      </c>
      <c r="M93" s="219" t="s">
        <v>398</v>
      </c>
      <c r="N93" s="50">
        <f>_11・初任</f>
        <v>0.7</v>
      </c>
      <c r="O93" s="47">
        <f>ROUND((ROUND((_11_A家事５．７５*_11・重度研修),0)*_11・初任),0)</f>
        <v>547</v>
      </c>
      <c r="P93" s="48"/>
    </row>
    <row r="94" spans="1:16" ht="16.5" customHeight="1" x14ac:dyDescent="0.15">
      <c r="A94" s="41">
        <v>11</v>
      </c>
      <c r="B94" s="41" t="s">
        <v>11837</v>
      </c>
      <c r="C94" s="74" t="s">
        <v>11838</v>
      </c>
      <c r="D94" s="100">
        <f>_11_A家事５．７５</f>
        <v>869</v>
      </c>
      <c r="E94" s="10" t="s">
        <v>392</v>
      </c>
      <c r="F94" s="35"/>
      <c r="I94" s="256" t="s">
        <v>397</v>
      </c>
      <c r="J94" s="218" t="s">
        <v>398</v>
      </c>
      <c r="K94" s="46">
        <v>1</v>
      </c>
      <c r="L94" s="706"/>
      <c r="M94" s="220"/>
      <c r="N94" s="38"/>
      <c r="O94" s="47">
        <f>ROUND((ROUND((ROUND((_11_A家事５．７５*_11・重度研修),0)*_11・２人),0)*_11・初任),0)</f>
        <v>547</v>
      </c>
      <c r="P94" s="48"/>
    </row>
    <row r="95" spans="1:16" ht="16.5" customHeight="1" x14ac:dyDescent="0.15">
      <c r="A95" s="41">
        <v>11</v>
      </c>
      <c r="B95" s="41">
        <v>8345</v>
      </c>
      <c r="C95" s="74" t="s">
        <v>11839</v>
      </c>
      <c r="D95" s="707" t="s">
        <v>8552</v>
      </c>
      <c r="E95" s="798"/>
      <c r="F95" s="35"/>
      <c r="I95" s="163"/>
      <c r="J95" s="45"/>
      <c r="K95" s="46"/>
      <c r="L95" s="53"/>
      <c r="M95" s="221"/>
      <c r="N95" s="50"/>
      <c r="O95" s="47">
        <f>ROUND((_11_A家事６．０*_11・重度研修),0)</f>
        <v>814</v>
      </c>
      <c r="P95" s="48"/>
    </row>
    <row r="96" spans="1:16" ht="16.5" customHeight="1" x14ac:dyDescent="0.15">
      <c r="A96" s="41">
        <v>11</v>
      </c>
      <c r="B96" s="41">
        <v>8346</v>
      </c>
      <c r="C96" s="74" t="s">
        <v>11840</v>
      </c>
      <c r="D96" s="799"/>
      <c r="E96" s="796"/>
      <c r="F96" s="35"/>
      <c r="I96" s="256" t="s">
        <v>397</v>
      </c>
      <c r="J96" s="218" t="s">
        <v>398</v>
      </c>
      <c r="K96" s="46">
        <v>1</v>
      </c>
      <c r="L96" s="43"/>
      <c r="M96" s="216"/>
      <c r="N96" s="38"/>
      <c r="O96" s="47">
        <f>ROUND((ROUND((_11_A家事６．０*_11・重度研修),0)*_11・２人),0)</f>
        <v>814</v>
      </c>
      <c r="P96" s="48"/>
    </row>
    <row r="97" spans="1:16" ht="16.5" customHeight="1" x14ac:dyDescent="0.15">
      <c r="A97" s="41">
        <v>11</v>
      </c>
      <c r="B97" s="41" t="s">
        <v>11841</v>
      </c>
      <c r="C97" s="74" t="s">
        <v>11842</v>
      </c>
      <c r="D97" s="799"/>
      <c r="E97" s="796"/>
      <c r="F97" s="35"/>
      <c r="I97" s="163"/>
      <c r="J97" s="45"/>
      <c r="K97" s="46"/>
      <c r="L97" s="734" t="s">
        <v>404</v>
      </c>
      <c r="M97" s="219" t="s">
        <v>398</v>
      </c>
      <c r="N97" s="50">
        <f>_11・初任</f>
        <v>0.7</v>
      </c>
      <c r="O97" s="47">
        <f>ROUND((ROUND((_11_A家事６．０*_11・重度研修),0)*_11・初任),0)</f>
        <v>570</v>
      </c>
      <c r="P97" s="48"/>
    </row>
    <row r="98" spans="1:16" ht="16.5" customHeight="1" x14ac:dyDescent="0.15">
      <c r="A98" s="41">
        <v>11</v>
      </c>
      <c r="B98" s="41" t="s">
        <v>11843</v>
      </c>
      <c r="C98" s="74" t="s">
        <v>11844</v>
      </c>
      <c r="D98" s="100">
        <f>_11_A家事６．０</f>
        <v>904</v>
      </c>
      <c r="E98" s="10" t="s">
        <v>392</v>
      </c>
      <c r="F98" s="35"/>
      <c r="I98" s="256" t="s">
        <v>397</v>
      </c>
      <c r="J98" s="218" t="s">
        <v>398</v>
      </c>
      <c r="K98" s="46">
        <v>1</v>
      </c>
      <c r="L98" s="706"/>
      <c r="M98" s="220"/>
      <c r="N98" s="38"/>
      <c r="O98" s="47">
        <f>ROUND((ROUND((ROUND((_11_A家事６．０*_11・重度研修),0)*_11・２人),0)*_11・初任),0)</f>
        <v>570</v>
      </c>
      <c r="P98" s="48"/>
    </row>
    <row r="99" spans="1:16" ht="16.5" customHeight="1" x14ac:dyDescent="0.15">
      <c r="A99" s="41">
        <v>11</v>
      </c>
      <c r="B99" s="41">
        <v>8347</v>
      </c>
      <c r="C99" s="74" t="s">
        <v>11845</v>
      </c>
      <c r="D99" s="707" t="s">
        <v>8565</v>
      </c>
      <c r="E99" s="798"/>
      <c r="F99" s="35"/>
      <c r="I99" s="163"/>
      <c r="J99" s="45"/>
      <c r="K99" s="46"/>
      <c r="L99" s="53"/>
      <c r="M99" s="221"/>
      <c r="N99" s="50"/>
      <c r="O99" s="47">
        <f>ROUND((_11_A家事６．２５*_11・重度研修),0)</f>
        <v>845</v>
      </c>
      <c r="P99" s="48"/>
    </row>
    <row r="100" spans="1:16" ht="16.5" customHeight="1" x14ac:dyDescent="0.15">
      <c r="A100" s="41">
        <v>11</v>
      </c>
      <c r="B100" s="41">
        <v>8348</v>
      </c>
      <c r="C100" s="74" t="s">
        <v>11846</v>
      </c>
      <c r="D100" s="799"/>
      <c r="E100" s="796"/>
      <c r="F100" s="35"/>
      <c r="I100" s="256" t="s">
        <v>397</v>
      </c>
      <c r="J100" s="218" t="s">
        <v>398</v>
      </c>
      <c r="K100" s="46">
        <v>1</v>
      </c>
      <c r="L100" s="43"/>
      <c r="M100" s="216"/>
      <c r="N100" s="38"/>
      <c r="O100" s="47">
        <f>ROUND((ROUND((_11_A家事６．２５*_11・重度研修),0)*_11・２人),0)</f>
        <v>845</v>
      </c>
      <c r="P100" s="48"/>
    </row>
    <row r="101" spans="1:16" ht="16.5" customHeight="1" x14ac:dyDescent="0.15">
      <c r="A101" s="41">
        <v>11</v>
      </c>
      <c r="B101" s="41" t="s">
        <v>11847</v>
      </c>
      <c r="C101" s="74" t="s">
        <v>11848</v>
      </c>
      <c r="D101" s="799"/>
      <c r="E101" s="796"/>
      <c r="F101" s="35"/>
      <c r="I101" s="163"/>
      <c r="J101" s="45"/>
      <c r="K101" s="46"/>
      <c r="L101" s="734" t="s">
        <v>404</v>
      </c>
      <c r="M101" s="219" t="s">
        <v>398</v>
      </c>
      <c r="N101" s="50">
        <f>_11・初任</f>
        <v>0.7</v>
      </c>
      <c r="O101" s="47">
        <f>ROUND((ROUND((_11_A家事６．２５*_11・重度研修),0)*_11・初任),0)</f>
        <v>592</v>
      </c>
      <c r="P101" s="48"/>
    </row>
    <row r="102" spans="1:16" ht="16.5" customHeight="1" x14ac:dyDescent="0.15">
      <c r="A102" s="41">
        <v>11</v>
      </c>
      <c r="B102" s="41" t="s">
        <v>11849</v>
      </c>
      <c r="C102" s="74" t="s">
        <v>11850</v>
      </c>
      <c r="D102" s="100">
        <f>_11_A家事６．２５</f>
        <v>939</v>
      </c>
      <c r="E102" s="10" t="s">
        <v>392</v>
      </c>
      <c r="F102" s="35"/>
      <c r="I102" s="256" t="s">
        <v>397</v>
      </c>
      <c r="J102" s="218" t="s">
        <v>398</v>
      </c>
      <c r="K102" s="46">
        <v>1</v>
      </c>
      <c r="L102" s="706"/>
      <c r="M102" s="220"/>
      <c r="N102" s="38"/>
      <c r="O102" s="47">
        <f>ROUND((ROUND((ROUND((_11_A家事６．２５*_11・重度研修),0)*_11・２人),0)*_11・初任),0)</f>
        <v>592</v>
      </c>
      <c r="P102" s="48"/>
    </row>
    <row r="103" spans="1:16" ht="16.5" customHeight="1" x14ac:dyDescent="0.15">
      <c r="A103" s="41">
        <v>11</v>
      </c>
      <c r="B103" s="41">
        <v>8349</v>
      </c>
      <c r="C103" s="74" t="s">
        <v>11851</v>
      </c>
      <c r="D103" s="707" t="s">
        <v>8578</v>
      </c>
      <c r="E103" s="798"/>
      <c r="F103" s="35"/>
      <c r="I103" s="163"/>
      <c r="J103" s="45"/>
      <c r="K103" s="46"/>
      <c r="L103" s="53"/>
      <c r="M103" s="221"/>
      <c r="N103" s="50"/>
      <c r="O103" s="47">
        <f>ROUND((_11_A家事６．５*_11・重度研修),0)</f>
        <v>877</v>
      </c>
      <c r="P103" s="48"/>
    </row>
    <row r="104" spans="1:16" ht="16.5" customHeight="1" x14ac:dyDescent="0.15">
      <c r="A104" s="41">
        <v>11</v>
      </c>
      <c r="B104" s="41">
        <v>8350</v>
      </c>
      <c r="C104" s="74" t="s">
        <v>11852</v>
      </c>
      <c r="D104" s="799"/>
      <c r="E104" s="796"/>
      <c r="F104" s="35"/>
      <c r="I104" s="256" t="s">
        <v>397</v>
      </c>
      <c r="J104" s="218" t="s">
        <v>398</v>
      </c>
      <c r="K104" s="46">
        <v>1</v>
      </c>
      <c r="L104" s="43"/>
      <c r="M104" s="216"/>
      <c r="N104" s="38"/>
      <c r="O104" s="47">
        <f>ROUND((ROUND((_11_A家事６．５*_11・重度研修),0)*_11・２人),0)</f>
        <v>877</v>
      </c>
      <c r="P104" s="48"/>
    </row>
    <row r="105" spans="1:16" ht="16.5" customHeight="1" x14ac:dyDescent="0.15">
      <c r="A105" s="41">
        <v>11</v>
      </c>
      <c r="B105" s="41" t="s">
        <v>11853</v>
      </c>
      <c r="C105" s="74" t="s">
        <v>11854</v>
      </c>
      <c r="D105" s="799"/>
      <c r="E105" s="796"/>
      <c r="F105" s="35"/>
      <c r="I105" s="163"/>
      <c r="J105" s="45"/>
      <c r="K105" s="46"/>
      <c r="L105" s="734" t="s">
        <v>404</v>
      </c>
      <c r="M105" s="219" t="s">
        <v>398</v>
      </c>
      <c r="N105" s="50">
        <f>_11・初任</f>
        <v>0.7</v>
      </c>
      <c r="O105" s="47">
        <f>ROUND((ROUND((_11_A家事６．５*_11・重度研修),0)*_11・初任),0)</f>
        <v>614</v>
      </c>
      <c r="P105" s="48"/>
    </row>
    <row r="106" spans="1:16" ht="16.5" customHeight="1" x14ac:dyDescent="0.15">
      <c r="A106" s="41">
        <v>11</v>
      </c>
      <c r="B106" s="41" t="s">
        <v>11855</v>
      </c>
      <c r="C106" s="74" t="s">
        <v>11856</v>
      </c>
      <c r="D106" s="100">
        <f>_11_A家事６．５</f>
        <v>974</v>
      </c>
      <c r="E106" s="10" t="s">
        <v>392</v>
      </c>
      <c r="F106" s="35"/>
      <c r="I106" s="256" t="s">
        <v>397</v>
      </c>
      <c r="J106" s="218" t="s">
        <v>398</v>
      </c>
      <c r="K106" s="46">
        <v>1</v>
      </c>
      <c r="L106" s="706"/>
      <c r="M106" s="220"/>
      <c r="N106" s="38"/>
      <c r="O106" s="47">
        <f>ROUND((ROUND((ROUND((_11_A家事６．５*_11・重度研修),0)*_11・２人),0)*_11・初任),0)</f>
        <v>614</v>
      </c>
      <c r="P106" s="48"/>
    </row>
    <row r="107" spans="1:16" ht="16.5" customHeight="1" x14ac:dyDescent="0.15">
      <c r="A107" s="41">
        <v>11</v>
      </c>
      <c r="B107" s="41">
        <v>8351</v>
      </c>
      <c r="C107" s="74" t="s">
        <v>11857</v>
      </c>
      <c r="D107" s="707" t="s">
        <v>8591</v>
      </c>
      <c r="E107" s="798"/>
      <c r="F107" s="35"/>
      <c r="I107" s="163"/>
      <c r="J107" s="45"/>
      <c r="K107" s="46"/>
      <c r="L107" s="53"/>
      <c r="M107" s="221"/>
      <c r="N107" s="50"/>
      <c r="O107" s="47">
        <f>ROUND((_11_A家事６．７５*_11・重度研修),0)</f>
        <v>908</v>
      </c>
      <c r="P107" s="48"/>
    </row>
    <row r="108" spans="1:16" ht="16.5" customHeight="1" x14ac:dyDescent="0.15">
      <c r="A108" s="41">
        <v>11</v>
      </c>
      <c r="B108" s="41">
        <v>8352</v>
      </c>
      <c r="C108" s="74" t="s">
        <v>11858</v>
      </c>
      <c r="D108" s="799"/>
      <c r="E108" s="796"/>
      <c r="F108" s="35"/>
      <c r="I108" s="256" t="s">
        <v>397</v>
      </c>
      <c r="J108" s="218" t="s">
        <v>398</v>
      </c>
      <c r="K108" s="46">
        <v>1</v>
      </c>
      <c r="L108" s="43"/>
      <c r="M108" s="216"/>
      <c r="N108" s="38"/>
      <c r="O108" s="47">
        <f>ROUND((ROUND((_11_A家事６．７５*_11・重度研修),0)*_11・２人),0)</f>
        <v>908</v>
      </c>
      <c r="P108" s="48"/>
    </row>
    <row r="109" spans="1:16" ht="16.5" customHeight="1" x14ac:dyDescent="0.15">
      <c r="A109" s="41">
        <v>11</v>
      </c>
      <c r="B109" s="41" t="s">
        <v>11859</v>
      </c>
      <c r="C109" s="74" t="s">
        <v>11860</v>
      </c>
      <c r="D109" s="799"/>
      <c r="E109" s="796"/>
      <c r="F109" s="35"/>
      <c r="I109" s="163"/>
      <c r="J109" s="45"/>
      <c r="K109" s="46"/>
      <c r="L109" s="734" t="s">
        <v>404</v>
      </c>
      <c r="M109" s="219" t="s">
        <v>398</v>
      </c>
      <c r="N109" s="50">
        <f>_11・初任</f>
        <v>0.7</v>
      </c>
      <c r="O109" s="47">
        <f>ROUND((ROUND((_11_A家事６．７５*_11・重度研修),0)*_11・初任),0)</f>
        <v>636</v>
      </c>
      <c r="P109" s="48"/>
    </row>
    <row r="110" spans="1:16" ht="16.5" customHeight="1" x14ac:dyDescent="0.15">
      <c r="A110" s="41">
        <v>11</v>
      </c>
      <c r="B110" s="41" t="s">
        <v>11861</v>
      </c>
      <c r="C110" s="74" t="s">
        <v>11862</v>
      </c>
      <c r="D110" s="100">
        <f>_11_A家事６．７５</f>
        <v>1009</v>
      </c>
      <c r="E110" s="10" t="s">
        <v>392</v>
      </c>
      <c r="F110" s="35"/>
      <c r="I110" s="256" t="s">
        <v>397</v>
      </c>
      <c r="J110" s="218" t="s">
        <v>398</v>
      </c>
      <c r="K110" s="46">
        <v>1</v>
      </c>
      <c r="L110" s="706"/>
      <c r="M110" s="220"/>
      <c r="N110" s="38"/>
      <c r="O110" s="47">
        <f>ROUND((ROUND((ROUND((_11_A家事６．７５*_11・重度研修),0)*_11・２人),0)*_11・初任),0)</f>
        <v>636</v>
      </c>
      <c r="P110" s="48"/>
    </row>
    <row r="111" spans="1:16" ht="16.5" customHeight="1" x14ac:dyDescent="0.15">
      <c r="A111" s="41">
        <v>11</v>
      </c>
      <c r="B111" s="41">
        <v>8353</v>
      </c>
      <c r="C111" s="74" t="s">
        <v>11863</v>
      </c>
      <c r="D111" s="707" t="s">
        <v>8604</v>
      </c>
      <c r="E111" s="798"/>
      <c r="F111" s="35"/>
      <c r="I111" s="163"/>
      <c r="J111" s="45"/>
      <c r="K111" s="46"/>
      <c r="L111" s="53"/>
      <c r="M111" s="221"/>
      <c r="N111" s="50"/>
      <c r="O111" s="47">
        <f>ROUND((_11_A家事７．０*_11・重度研修),0)</f>
        <v>940</v>
      </c>
      <c r="P111" s="48"/>
    </row>
    <row r="112" spans="1:16" ht="16.5" customHeight="1" x14ac:dyDescent="0.15">
      <c r="A112" s="41">
        <v>11</v>
      </c>
      <c r="B112" s="41">
        <v>8354</v>
      </c>
      <c r="C112" s="74" t="s">
        <v>11864</v>
      </c>
      <c r="D112" s="799"/>
      <c r="E112" s="796"/>
      <c r="F112" s="35"/>
      <c r="I112" s="256" t="s">
        <v>397</v>
      </c>
      <c r="J112" s="218" t="s">
        <v>398</v>
      </c>
      <c r="K112" s="46">
        <v>1</v>
      </c>
      <c r="L112" s="43"/>
      <c r="M112" s="216"/>
      <c r="N112" s="38"/>
      <c r="O112" s="47">
        <f>ROUND((ROUND((_11_A家事７．０*_11・重度研修),0)*_11・２人),0)</f>
        <v>940</v>
      </c>
      <c r="P112" s="48"/>
    </row>
    <row r="113" spans="1:16" ht="16.5" customHeight="1" x14ac:dyDescent="0.15">
      <c r="A113" s="41">
        <v>11</v>
      </c>
      <c r="B113" s="41" t="s">
        <v>11865</v>
      </c>
      <c r="C113" s="74" t="s">
        <v>11866</v>
      </c>
      <c r="D113" s="799"/>
      <c r="E113" s="796"/>
      <c r="F113" s="35"/>
      <c r="I113" s="163"/>
      <c r="J113" s="45"/>
      <c r="K113" s="46"/>
      <c r="L113" s="734" t="s">
        <v>404</v>
      </c>
      <c r="M113" s="219" t="s">
        <v>398</v>
      </c>
      <c r="N113" s="50">
        <f>_11・初任</f>
        <v>0.7</v>
      </c>
      <c r="O113" s="47">
        <f>ROUND((ROUND((_11_A家事７．０*_11・重度研修),0)*_11・初任),0)</f>
        <v>658</v>
      </c>
      <c r="P113" s="48"/>
    </row>
    <row r="114" spans="1:16" ht="16.5" customHeight="1" x14ac:dyDescent="0.15">
      <c r="A114" s="41">
        <v>11</v>
      </c>
      <c r="B114" s="41" t="s">
        <v>11867</v>
      </c>
      <c r="C114" s="74" t="s">
        <v>11868</v>
      </c>
      <c r="D114" s="100">
        <f>_11_A家事７．０</f>
        <v>1044</v>
      </c>
      <c r="E114" s="10" t="s">
        <v>392</v>
      </c>
      <c r="F114" s="35"/>
      <c r="I114" s="256" t="s">
        <v>397</v>
      </c>
      <c r="J114" s="218" t="s">
        <v>398</v>
      </c>
      <c r="K114" s="46">
        <v>1</v>
      </c>
      <c r="L114" s="706"/>
      <c r="M114" s="220"/>
      <c r="N114" s="38"/>
      <c r="O114" s="47">
        <f>ROUND((ROUND((ROUND((_11_A家事７．０*_11・重度研修),0)*_11・２人),0)*_11・初任),0)</f>
        <v>658</v>
      </c>
      <c r="P114" s="48"/>
    </row>
    <row r="115" spans="1:16" ht="16.5" customHeight="1" x14ac:dyDescent="0.15">
      <c r="A115" s="41">
        <v>11</v>
      </c>
      <c r="B115" s="41">
        <v>8355</v>
      </c>
      <c r="C115" s="74" t="s">
        <v>11869</v>
      </c>
      <c r="D115" s="707" t="s">
        <v>8617</v>
      </c>
      <c r="E115" s="798"/>
      <c r="F115" s="35"/>
      <c r="I115" s="163"/>
      <c r="J115" s="45"/>
      <c r="K115" s="46"/>
      <c r="L115" s="53"/>
      <c r="M115" s="221"/>
      <c r="N115" s="50"/>
      <c r="O115" s="47">
        <f>ROUND((_11_A家事７．２５*_11・重度研修),0)</f>
        <v>971</v>
      </c>
      <c r="P115" s="48"/>
    </row>
    <row r="116" spans="1:16" ht="16.5" customHeight="1" x14ac:dyDescent="0.15">
      <c r="A116" s="41">
        <v>11</v>
      </c>
      <c r="B116" s="41">
        <v>8356</v>
      </c>
      <c r="C116" s="74" t="s">
        <v>11870</v>
      </c>
      <c r="D116" s="799"/>
      <c r="E116" s="796"/>
      <c r="F116" s="35"/>
      <c r="I116" s="256" t="s">
        <v>397</v>
      </c>
      <c r="J116" s="218" t="s">
        <v>398</v>
      </c>
      <c r="K116" s="46">
        <v>1</v>
      </c>
      <c r="L116" s="43"/>
      <c r="M116" s="216"/>
      <c r="N116" s="38"/>
      <c r="O116" s="47">
        <f>ROUND((ROUND((_11_A家事７．２５*_11・重度研修),0)*_11・２人),0)</f>
        <v>971</v>
      </c>
      <c r="P116" s="48"/>
    </row>
    <row r="117" spans="1:16" ht="16.5" customHeight="1" x14ac:dyDescent="0.15">
      <c r="A117" s="41">
        <v>11</v>
      </c>
      <c r="B117" s="41" t="s">
        <v>11871</v>
      </c>
      <c r="C117" s="74" t="s">
        <v>11872</v>
      </c>
      <c r="D117" s="799"/>
      <c r="E117" s="796"/>
      <c r="F117" s="35"/>
      <c r="I117" s="163"/>
      <c r="J117" s="45"/>
      <c r="K117" s="46"/>
      <c r="L117" s="734" t="s">
        <v>404</v>
      </c>
      <c r="M117" s="219" t="s">
        <v>398</v>
      </c>
      <c r="N117" s="50">
        <f>_11・初任</f>
        <v>0.7</v>
      </c>
      <c r="O117" s="47">
        <f>ROUND((ROUND((_11_A家事７．２５*_11・重度研修),0)*_11・初任),0)</f>
        <v>680</v>
      </c>
      <c r="P117" s="48"/>
    </row>
    <row r="118" spans="1:16" ht="16.5" customHeight="1" x14ac:dyDescent="0.15">
      <c r="A118" s="41">
        <v>11</v>
      </c>
      <c r="B118" s="41" t="s">
        <v>11873</v>
      </c>
      <c r="C118" s="74" t="s">
        <v>11874</v>
      </c>
      <c r="D118" s="100">
        <f>_11_A家事７．２５</f>
        <v>1079</v>
      </c>
      <c r="E118" s="10" t="s">
        <v>392</v>
      </c>
      <c r="F118" s="35"/>
      <c r="I118" s="256" t="s">
        <v>397</v>
      </c>
      <c r="J118" s="218" t="s">
        <v>398</v>
      </c>
      <c r="K118" s="46">
        <v>1</v>
      </c>
      <c r="L118" s="706"/>
      <c r="M118" s="220"/>
      <c r="N118" s="38"/>
      <c r="O118" s="47">
        <f>ROUND((ROUND((ROUND((_11_A家事７．２５*_11・重度研修),0)*_11・２人),0)*_11・初任),0)</f>
        <v>680</v>
      </c>
      <c r="P118" s="48"/>
    </row>
    <row r="119" spans="1:16" ht="16.5" customHeight="1" x14ac:dyDescent="0.15">
      <c r="A119" s="41">
        <v>11</v>
      </c>
      <c r="B119" s="41">
        <v>8357</v>
      </c>
      <c r="C119" s="74" t="s">
        <v>11875</v>
      </c>
      <c r="D119" s="707" t="s">
        <v>8630</v>
      </c>
      <c r="E119" s="798"/>
      <c r="F119" s="35"/>
      <c r="I119" s="163"/>
      <c r="J119" s="45"/>
      <c r="K119" s="46"/>
      <c r="L119" s="53"/>
      <c r="M119" s="221"/>
      <c r="N119" s="50"/>
      <c r="O119" s="47">
        <f>ROUND((_11_A家事７．５*_11・重度研修),0)</f>
        <v>1003</v>
      </c>
      <c r="P119" s="48"/>
    </row>
    <row r="120" spans="1:16" ht="16.5" customHeight="1" x14ac:dyDescent="0.15">
      <c r="A120" s="41">
        <v>11</v>
      </c>
      <c r="B120" s="41">
        <v>8358</v>
      </c>
      <c r="C120" s="74" t="s">
        <v>11876</v>
      </c>
      <c r="D120" s="799"/>
      <c r="E120" s="796"/>
      <c r="F120" s="35"/>
      <c r="I120" s="256" t="s">
        <v>397</v>
      </c>
      <c r="J120" s="218" t="s">
        <v>398</v>
      </c>
      <c r="K120" s="46">
        <v>1</v>
      </c>
      <c r="L120" s="43"/>
      <c r="M120" s="216"/>
      <c r="N120" s="38"/>
      <c r="O120" s="47">
        <f>ROUND((ROUND((_11_A家事７．５*_11・重度研修),0)*_11・２人),0)</f>
        <v>1003</v>
      </c>
      <c r="P120" s="48"/>
    </row>
    <row r="121" spans="1:16" ht="16.5" customHeight="1" x14ac:dyDescent="0.15">
      <c r="A121" s="41">
        <v>11</v>
      </c>
      <c r="B121" s="41" t="s">
        <v>11877</v>
      </c>
      <c r="C121" s="74" t="s">
        <v>11878</v>
      </c>
      <c r="D121" s="799"/>
      <c r="E121" s="796"/>
      <c r="F121" s="35"/>
      <c r="I121" s="163"/>
      <c r="J121" s="45"/>
      <c r="K121" s="46"/>
      <c r="L121" s="734" t="s">
        <v>404</v>
      </c>
      <c r="M121" s="219" t="s">
        <v>398</v>
      </c>
      <c r="N121" s="50">
        <f>_11・初任</f>
        <v>0.7</v>
      </c>
      <c r="O121" s="47">
        <f>ROUND((ROUND((_11_A家事７．５*_11・重度研修),0)*_11・初任),0)</f>
        <v>702</v>
      </c>
      <c r="P121" s="48"/>
    </row>
    <row r="122" spans="1:16" ht="16.5" customHeight="1" x14ac:dyDescent="0.15">
      <c r="A122" s="41">
        <v>11</v>
      </c>
      <c r="B122" s="41" t="s">
        <v>11879</v>
      </c>
      <c r="C122" s="74" t="s">
        <v>11880</v>
      </c>
      <c r="D122" s="100">
        <f>_11_A家事７．５</f>
        <v>1114</v>
      </c>
      <c r="E122" s="10" t="s">
        <v>392</v>
      </c>
      <c r="F122" s="35"/>
      <c r="I122" s="256" t="s">
        <v>397</v>
      </c>
      <c r="J122" s="218" t="s">
        <v>398</v>
      </c>
      <c r="K122" s="46">
        <v>1</v>
      </c>
      <c r="L122" s="706"/>
      <c r="M122" s="220"/>
      <c r="N122" s="38"/>
      <c r="O122" s="47">
        <f>ROUND((ROUND((ROUND((_11_A家事７．５*_11・重度研修),0)*_11・２人),0)*_11・初任),0)</f>
        <v>702</v>
      </c>
      <c r="P122" s="48"/>
    </row>
    <row r="123" spans="1:16" ht="16.5" customHeight="1" x14ac:dyDescent="0.15">
      <c r="A123" s="41">
        <v>11</v>
      </c>
      <c r="B123" s="41">
        <v>8359</v>
      </c>
      <c r="C123" s="74" t="s">
        <v>11881</v>
      </c>
      <c r="D123" s="707" t="s">
        <v>8643</v>
      </c>
      <c r="E123" s="798"/>
      <c r="F123" s="35"/>
      <c r="I123" s="163"/>
      <c r="J123" s="45"/>
      <c r="K123" s="46"/>
      <c r="L123" s="53"/>
      <c r="M123" s="221"/>
      <c r="N123" s="50"/>
      <c r="O123" s="47">
        <f>ROUND((_11_A家事７．７５*_11・重度研修),0)</f>
        <v>1034</v>
      </c>
      <c r="P123" s="48"/>
    </row>
    <row r="124" spans="1:16" ht="16.5" customHeight="1" x14ac:dyDescent="0.15">
      <c r="A124" s="41">
        <v>11</v>
      </c>
      <c r="B124" s="41">
        <v>8360</v>
      </c>
      <c r="C124" s="74" t="s">
        <v>11882</v>
      </c>
      <c r="D124" s="799"/>
      <c r="E124" s="796"/>
      <c r="F124" s="35"/>
      <c r="I124" s="256" t="s">
        <v>397</v>
      </c>
      <c r="J124" s="218" t="s">
        <v>398</v>
      </c>
      <c r="K124" s="46">
        <v>1</v>
      </c>
      <c r="L124" s="43"/>
      <c r="M124" s="216"/>
      <c r="N124" s="38"/>
      <c r="O124" s="47">
        <f>ROUND((ROUND((_11_A家事７．７５*_11・重度研修),0)*_11・２人),0)</f>
        <v>1034</v>
      </c>
      <c r="P124" s="48"/>
    </row>
    <row r="125" spans="1:16" ht="16.5" customHeight="1" x14ac:dyDescent="0.15">
      <c r="A125" s="41">
        <v>11</v>
      </c>
      <c r="B125" s="41" t="s">
        <v>11883</v>
      </c>
      <c r="C125" s="74" t="s">
        <v>11884</v>
      </c>
      <c r="D125" s="799"/>
      <c r="E125" s="796"/>
      <c r="F125" s="35"/>
      <c r="I125" s="163"/>
      <c r="J125" s="45"/>
      <c r="K125" s="46"/>
      <c r="L125" s="734" t="s">
        <v>404</v>
      </c>
      <c r="M125" s="219" t="s">
        <v>398</v>
      </c>
      <c r="N125" s="50">
        <f>_11・初任</f>
        <v>0.7</v>
      </c>
      <c r="O125" s="47">
        <f>ROUND((ROUND((_11_A家事７．７５*_11・重度研修),0)*_11・初任),0)</f>
        <v>724</v>
      </c>
      <c r="P125" s="48"/>
    </row>
    <row r="126" spans="1:16" ht="16.5" customHeight="1" x14ac:dyDescent="0.15">
      <c r="A126" s="41">
        <v>11</v>
      </c>
      <c r="B126" s="41" t="s">
        <v>11885</v>
      </c>
      <c r="C126" s="74" t="s">
        <v>11886</v>
      </c>
      <c r="D126" s="100">
        <f>_11_A家事７．７５</f>
        <v>1149</v>
      </c>
      <c r="E126" s="10" t="s">
        <v>392</v>
      </c>
      <c r="F126" s="35"/>
      <c r="I126" s="256" t="s">
        <v>397</v>
      </c>
      <c r="J126" s="218" t="s">
        <v>398</v>
      </c>
      <c r="K126" s="46">
        <v>1</v>
      </c>
      <c r="L126" s="706"/>
      <c r="M126" s="220"/>
      <c r="N126" s="38"/>
      <c r="O126" s="47">
        <f>ROUND((ROUND((ROUND((_11_A家事７．７５*_11・重度研修),0)*_11・２人),0)*_11・初任),0)</f>
        <v>724</v>
      </c>
      <c r="P126" s="48"/>
    </row>
    <row r="127" spans="1:16" ht="16.5" customHeight="1" x14ac:dyDescent="0.15">
      <c r="A127" s="41">
        <v>11</v>
      </c>
      <c r="B127" s="41">
        <v>8361</v>
      </c>
      <c r="C127" s="74" t="s">
        <v>11887</v>
      </c>
      <c r="D127" s="707" t="s">
        <v>8656</v>
      </c>
      <c r="E127" s="798"/>
      <c r="F127" s="35"/>
      <c r="I127" s="163"/>
      <c r="J127" s="45"/>
      <c r="K127" s="46"/>
      <c r="L127" s="53"/>
      <c r="M127" s="221"/>
      <c r="N127" s="50"/>
      <c r="O127" s="47">
        <f>ROUND((_11_A家事８．０*_11・重度研修),0)</f>
        <v>1066</v>
      </c>
      <c r="P127" s="48"/>
    </row>
    <row r="128" spans="1:16" ht="16.5" customHeight="1" x14ac:dyDescent="0.15">
      <c r="A128" s="41">
        <v>11</v>
      </c>
      <c r="B128" s="41">
        <v>8362</v>
      </c>
      <c r="C128" s="74" t="s">
        <v>11888</v>
      </c>
      <c r="D128" s="799"/>
      <c r="E128" s="796"/>
      <c r="F128" s="35"/>
      <c r="I128" s="256" t="s">
        <v>397</v>
      </c>
      <c r="J128" s="218" t="s">
        <v>398</v>
      </c>
      <c r="K128" s="46">
        <v>1</v>
      </c>
      <c r="L128" s="43"/>
      <c r="M128" s="216"/>
      <c r="N128" s="38"/>
      <c r="O128" s="47">
        <f>ROUND((ROUND((_11_A家事８．０*_11・重度研修),0)*_11・２人),0)</f>
        <v>1066</v>
      </c>
      <c r="P128" s="48"/>
    </row>
    <row r="129" spans="1:16" ht="16.5" customHeight="1" x14ac:dyDescent="0.15">
      <c r="A129" s="41">
        <v>11</v>
      </c>
      <c r="B129" s="41" t="s">
        <v>11889</v>
      </c>
      <c r="C129" s="74" t="s">
        <v>11890</v>
      </c>
      <c r="D129" s="799"/>
      <c r="E129" s="796"/>
      <c r="F129" s="35"/>
      <c r="I129" s="163"/>
      <c r="J129" s="45"/>
      <c r="K129" s="46"/>
      <c r="L129" s="734" t="s">
        <v>404</v>
      </c>
      <c r="M129" s="219" t="s">
        <v>398</v>
      </c>
      <c r="N129" s="50">
        <f>_11・初任</f>
        <v>0.7</v>
      </c>
      <c r="O129" s="47">
        <f>ROUND((ROUND((_11_A家事８．０*_11・重度研修),0)*_11・初任),0)</f>
        <v>746</v>
      </c>
      <c r="P129" s="48"/>
    </row>
    <row r="130" spans="1:16" ht="16.5" customHeight="1" x14ac:dyDescent="0.15">
      <c r="A130" s="41">
        <v>11</v>
      </c>
      <c r="B130" s="41" t="s">
        <v>11891</v>
      </c>
      <c r="C130" s="74" t="s">
        <v>11892</v>
      </c>
      <c r="D130" s="100">
        <f>_11_A家事８．０</f>
        <v>1184</v>
      </c>
      <c r="E130" s="10" t="s">
        <v>392</v>
      </c>
      <c r="F130" s="35"/>
      <c r="I130" s="256" t="s">
        <v>397</v>
      </c>
      <c r="J130" s="218" t="s">
        <v>398</v>
      </c>
      <c r="K130" s="46">
        <v>1</v>
      </c>
      <c r="L130" s="706"/>
      <c r="M130" s="220"/>
      <c r="N130" s="38"/>
      <c r="O130" s="47">
        <f>ROUND((ROUND((ROUND((_11_A家事８．０*_11・重度研修),0)*_11・２人),0)*_11・初任),0)</f>
        <v>746</v>
      </c>
      <c r="P130" s="48"/>
    </row>
    <row r="131" spans="1:16" ht="16.5" customHeight="1" x14ac:dyDescent="0.15">
      <c r="A131" s="41">
        <v>11</v>
      </c>
      <c r="B131" s="41">
        <v>8363</v>
      </c>
      <c r="C131" s="74" t="s">
        <v>11893</v>
      </c>
      <c r="D131" s="707" t="s">
        <v>8669</v>
      </c>
      <c r="E131" s="798"/>
      <c r="F131" s="35"/>
      <c r="I131" s="163"/>
      <c r="J131" s="45"/>
      <c r="K131" s="46"/>
      <c r="L131" s="53"/>
      <c r="M131" s="221"/>
      <c r="N131" s="50"/>
      <c r="O131" s="47">
        <f>ROUND((_11_A家事８．２５*_11・重度研修),0)</f>
        <v>1097</v>
      </c>
      <c r="P131" s="48"/>
    </row>
    <row r="132" spans="1:16" ht="16.5" customHeight="1" x14ac:dyDescent="0.15">
      <c r="A132" s="41">
        <v>11</v>
      </c>
      <c r="B132" s="41">
        <v>8364</v>
      </c>
      <c r="C132" s="74" t="s">
        <v>11894</v>
      </c>
      <c r="D132" s="799"/>
      <c r="E132" s="796"/>
      <c r="F132" s="35"/>
      <c r="I132" s="256" t="s">
        <v>397</v>
      </c>
      <c r="J132" s="218" t="s">
        <v>398</v>
      </c>
      <c r="K132" s="46">
        <v>1</v>
      </c>
      <c r="L132" s="43"/>
      <c r="M132" s="216"/>
      <c r="N132" s="38"/>
      <c r="O132" s="47">
        <f>ROUND((ROUND((_11_A家事８．２５*_11・重度研修),0)*_11・２人),0)</f>
        <v>1097</v>
      </c>
      <c r="P132" s="48"/>
    </row>
    <row r="133" spans="1:16" ht="16.5" customHeight="1" x14ac:dyDescent="0.15">
      <c r="A133" s="41">
        <v>11</v>
      </c>
      <c r="B133" s="41" t="s">
        <v>11895</v>
      </c>
      <c r="C133" s="74" t="s">
        <v>11896</v>
      </c>
      <c r="D133" s="799"/>
      <c r="E133" s="796"/>
      <c r="F133" s="35"/>
      <c r="I133" s="163"/>
      <c r="J133" s="45"/>
      <c r="K133" s="46"/>
      <c r="L133" s="734" t="s">
        <v>404</v>
      </c>
      <c r="M133" s="219" t="s">
        <v>398</v>
      </c>
      <c r="N133" s="50">
        <f>_11・初任</f>
        <v>0.7</v>
      </c>
      <c r="O133" s="47">
        <f>ROUND((ROUND((_11_A家事８．２５*_11・重度研修),0)*_11・初任),0)</f>
        <v>768</v>
      </c>
      <c r="P133" s="48"/>
    </row>
    <row r="134" spans="1:16" ht="16.5" customHeight="1" x14ac:dyDescent="0.15">
      <c r="A134" s="41">
        <v>11</v>
      </c>
      <c r="B134" s="41" t="s">
        <v>11897</v>
      </c>
      <c r="C134" s="74" t="s">
        <v>11898</v>
      </c>
      <c r="D134" s="100">
        <f>_11_A家事８．２５</f>
        <v>1219</v>
      </c>
      <c r="E134" s="10" t="s">
        <v>392</v>
      </c>
      <c r="F134" s="35"/>
      <c r="I134" s="256" t="s">
        <v>397</v>
      </c>
      <c r="J134" s="218" t="s">
        <v>398</v>
      </c>
      <c r="K134" s="46">
        <v>1</v>
      </c>
      <c r="L134" s="706"/>
      <c r="M134" s="220"/>
      <c r="N134" s="38"/>
      <c r="O134" s="47">
        <f>ROUND((ROUND((ROUND((_11_A家事８．２５*_11・重度研修),0)*_11・２人),0)*_11・初任),0)</f>
        <v>768</v>
      </c>
      <c r="P134" s="48"/>
    </row>
    <row r="135" spans="1:16" ht="16.5" customHeight="1" x14ac:dyDescent="0.15">
      <c r="A135" s="41">
        <v>11</v>
      </c>
      <c r="B135" s="41">
        <v>8365</v>
      </c>
      <c r="C135" s="74" t="s">
        <v>11899</v>
      </c>
      <c r="D135" s="707" t="s">
        <v>8682</v>
      </c>
      <c r="E135" s="798"/>
      <c r="F135" s="35"/>
      <c r="I135" s="163"/>
      <c r="J135" s="45"/>
      <c r="K135" s="46"/>
      <c r="L135" s="53"/>
      <c r="M135" s="221"/>
      <c r="N135" s="50"/>
      <c r="O135" s="47">
        <f>ROUND((_11_A家事８．５*_11・重度研修),0)</f>
        <v>1129</v>
      </c>
      <c r="P135" s="48"/>
    </row>
    <row r="136" spans="1:16" ht="16.5" customHeight="1" x14ac:dyDescent="0.15">
      <c r="A136" s="41">
        <v>11</v>
      </c>
      <c r="B136" s="41">
        <v>8366</v>
      </c>
      <c r="C136" s="74" t="s">
        <v>11900</v>
      </c>
      <c r="D136" s="799"/>
      <c r="E136" s="796"/>
      <c r="F136" s="35"/>
      <c r="I136" s="256" t="s">
        <v>397</v>
      </c>
      <c r="J136" s="218" t="s">
        <v>398</v>
      </c>
      <c r="K136" s="46">
        <v>1</v>
      </c>
      <c r="L136" s="43"/>
      <c r="M136" s="216"/>
      <c r="N136" s="38"/>
      <c r="O136" s="47">
        <f>ROUND((ROUND((_11_A家事８．５*_11・重度研修),0)*_11・２人),0)</f>
        <v>1129</v>
      </c>
      <c r="P136" s="48"/>
    </row>
    <row r="137" spans="1:16" ht="16.5" customHeight="1" x14ac:dyDescent="0.15">
      <c r="A137" s="41">
        <v>11</v>
      </c>
      <c r="B137" s="41" t="s">
        <v>11901</v>
      </c>
      <c r="C137" s="74" t="s">
        <v>11902</v>
      </c>
      <c r="D137" s="799"/>
      <c r="E137" s="796"/>
      <c r="F137" s="35"/>
      <c r="I137" s="163"/>
      <c r="J137" s="45"/>
      <c r="K137" s="46"/>
      <c r="L137" s="734" t="s">
        <v>404</v>
      </c>
      <c r="M137" s="219" t="s">
        <v>398</v>
      </c>
      <c r="N137" s="50">
        <f>_11・初任</f>
        <v>0.7</v>
      </c>
      <c r="O137" s="47">
        <f>ROUND((ROUND((_11_A家事８．５*_11・重度研修),0)*_11・初任),0)</f>
        <v>790</v>
      </c>
      <c r="P137" s="48"/>
    </row>
    <row r="138" spans="1:16" ht="16.5" customHeight="1" x14ac:dyDescent="0.15">
      <c r="A138" s="41">
        <v>11</v>
      </c>
      <c r="B138" s="41" t="s">
        <v>11903</v>
      </c>
      <c r="C138" s="74" t="s">
        <v>11904</v>
      </c>
      <c r="D138" s="100">
        <f>_11_A家事８．５</f>
        <v>1254</v>
      </c>
      <c r="E138" s="10" t="s">
        <v>392</v>
      </c>
      <c r="F138" s="35"/>
      <c r="I138" s="256" t="s">
        <v>397</v>
      </c>
      <c r="J138" s="218" t="s">
        <v>398</v>
      </c>
      <c r="K138" s="46">
        <v>1</v>
      </c>
      <c r="L138" s="706"/>
      <c r="M138" s="220"/>
      <c r="N138" s="38"/>
      <c r="O138" s="47">
        <f>ROUND((ROUND((ROUND((_11_A家事８．５*_11・重度研修),0)*_11・２人),0)*_11・初任),0)</f>
        <v>790</v>
      </c>
      <c r="P138" s="48"/>
    </row>
    <row r="139" spans="1:16" ht="16.5" customHeight="1" x14ac:dyDescent="0.15">
      <c r="A139" s="41">
        <v>11</v>
      </c>
      <c r="B139" s="41">
        <v>8367</v>
      </c>
      <c r="C139" s="74" t="s">
        <v>11905</v>
      </c>
      <c r="D139" s="707" t="s">
        <v>8695</v>
      </c>
      <c r="E139" s="798"/>
      <c r="F139" s="35"/>
      <c r="I139" s="163"/>
      <c r="J139" s="45"/>
      <c r="K139" s="46"/>
      <c r="L139" s="53"/>
      <c r="M139" s="221"/>
      <c r="N139" s="50"/>
      <c r="O139" s="47">
        <f>ROUND((_11_A家事８．７５*_11・重度研修),0)</f>
        <v>1160</v>
      </c>
      <c r="P139" s="48"/>
    </row>
    <row r="140" spans="1:16" ht="16.5" customHeight="1" x14ac:dyDescent="0.15">
      <c r="A140" s="41">
        <v>11</v>
      </c>
      <c r="B140" s="41">
        <v>8368</v>
      </c>
      <c r="C140" s="74" t="s">
        <v>11906</v>
      </c>
      <c r="D140" s="799"/>
      <c r="E140" s="796"/>
      <c r="F140" s="35"/>
      <c r="I140" s="256" t="s">
        <v>397</v>
      </c>
      <c r="J140" s="218" t="s">
        <v>398</v>
      </c>
      <c r="K140" s="46">
        <v>1</v>
      </c>
      <c r="L140" s="43"/>
      <c r="M140" s="216"/>
      <c r="N140" s="38"/>
      <c r="O140" s="47">
        <f>ROUND((ROUND((_11_A家事８．７５*_11・重度研修),0)*_11・２人),0)</f>
        <v>1160</v>
      </c>
      <c r="P140" s="48"/>
    </row>
    <row r="141" spans="1:16" ht="16.5" customHeight="1" x14ac:dyDescent="0.15">
      <c r="A141" s="41">
        <v>11</v>
      </c>
      <c r="B141" s="41" t="s">
        <v>11907</v>
      </c>
      <c r="C141" s="74" t="s">
        <v>11908</v>
      </c>
      <c r="D141" s="799"/>
      <c r="E141" s="796"/>
      <c r="F141" s="35"/>
      <c r="I141" s="163"/>
      <c r="J141" s="45"/>
      <c r="K141" s="46"/>
      <c r="L141" s="734" t="s">
        <v>404</v>
      </c>
      <c r="M141" s="219" t="s">
        <v>398</v>
      </c>
      <c r="N141" s="50">
        <f>_11・初任</f>
        <v>0.7</v>
      </c>
      <c r="O141" s="47">
        <f>ROUND((ROUND((_11_A家事８．７５*_11・重度研修),0)*_11・初任),0)</f>
        <v>812</v>
      </c>
      <c r="P141" s="48"/>
    </row>
    <row r="142" spans="1:16" ht="16.5" customHeight="1" x14ac:dyDescent="0.15">
      <c r="A142" s="41">
        <v>11</v>
      </c>
      <c r="B142" s="41" t="s">
        <v>11909</v>
      </c>
      <c r="C142" s="74" t="s">
        <v>11910</v>
      </c>
      <c r="D142" s="100">
        <f>_11_A家事８．７５</f>
        <v>1289</v>
      </c>
      <c r="E142" s="10" t="s">
        <v>392</v>
      </c>
      <c r="F142" s="35"/>
      <c r="I142" s="256" t="s">
        <v>397</v>
      </c>
      <c r="J142" s="218" t="s">
        <v>398</v>
      </c>
      <c r="K142" s="46">
        <v>1</v>
      </c>
      <c r="L142" s="706"/>
      <c r="M142" s="220"/>
      <c r="N142" s="38"/>
      <c r="O142" s="47">
        <f>ROUND((ROUND((ROUND((_11_A家事８．７５*_11・重度研修),0)*_11・２人),0)*_11・初任),0)</f>
        <v>812</v>
      </c>
      <c r="P142" s="48"/>
    </row>
    <row r="143" spans="1:16" ht="16.5" customHeight="1" x14ac:dyDescent="0.15">
      <c r="A143" s="41">
        <v>11</v>
      </c>
      <c r="B143" s="41">
        <v>8369</v>
      </c>
      <c r="C143" s="74" t="s">
        <v>11911</v>
      </c>
      <c r="D143" s="707" t="s">
        <v>8708</v>
      </c>
      <c r="E143" s="798"/>
      <c r="F143" s="35"/>
      <c r="I143" s="163"/>
      <c r="J143" s="45"/>
      <c r="K143" s="46"/>
      <c r="L143" s="53"/>
      <c r="M143" s="221"/>
      <c r="N143" s="50"/>
      <c r="O143" s="47">
        <f>ROUND((_11_A家事９．０*_11・重度研修),0)</f>
        <v>1192</v>
      </c>
      <c r="P143" s="48"/>
    </row>
    <row r="144" spans="1:16" ht="16.5" customHeight="1" x14ac:dyDescent="0.15">
      <c r="A144" s="41">
        <v>11</v>
      </c>
      <c r="B144" s="41">
        <v>8370</v>
      </c>
      <c r="C144" s="74" t="s">
        <v>11912</v>
      </c>
      <c r="D144" s="799"/>
      <c r="E144" s="796"/>
      <c r="F144" s="35"/>
      <c r="I144" s="256" t="s">
        <v>397</v>
      </c>
      <c r="J144" s="218" t="s">
        <v>398</v>
      </c>
      <c r="K144" s="46">
        <v>1</v>
      </c>
      <c r="L144" s="43"/>
      <c r="M144" s="216"/>
      <c r="N144" s="38"/>
      <c r="O144" s="47">
        <f>ROUND((ROUND((_11_A家事９．０*_11・重度研修),0)*_11・２人),0)</f>
        <v>1192</v>
      </c>
      <c r="P144" s="48"/>
    </row>
    <row r="145" spans="1:16" ht="16.5" customHeight="1" x14ac:dyDescent="0.15">
      <c r="A145" s="41">
        <v>11</v>
      </c>
      <c r="B145" s="41" t="s">
        <v>11913</v>
      </c>
      <c r="C145" s="74" t="s">
        <v>11914</v>
      </c>
      <c r="D145" s="799"/>
      <c r="E145" s="796"/>
      <c r="F145" s="35"/>
      <c r="I145" s="163"/>
      <c r="J145" s="45"/>
      <c r="K145" s="46"/>
      <c r="L145" s="734" t="s">
        <v>404</v>
      </c>
      <c r="M145" s="219" t="s">
        <v>398</v>
      </c>
      <c r="N145" s="50">
        <f>_11・初任</f>
        <v>0.7</v>
      </c>
      <c r="O145" s="47">
        <f>ROUND((ROUND((_11_A家事９．０*_11・重度研修),0)*_11・初任),0)</f>
        <v>834</v>
      </c>
      <c r="P145" s="48"/>
    </row>
    <row r="146" spans="1:16" ht="16.5" customHeight="1" x14ac:dyDescent="0.15">
      <c r="A146" s="41">
        <v>11</v>
      </c>
      <c r="B146" s="41" t="s">
        <v>11915</v>
      </c>
      <c r="C146" s="74" t="s">
        <v>11916</v>
      </c>
      <c r="D146" s="100">
        <f>_11_A家事９．０</f>
        <v>1324</v>
      </c>
      <c r="E146" s="10" t="s">
        <v>392</v>
      </c>
      <c r="F146" s="35"/>
      <c r="I146" s="256" t="s">
        <v>397</v>
      </c>
      <c r="J146" s="218" t="s">
        <v>398</v>
      </c>
      <c r="K146" s="46">
        <v>1</v>
      </c>
      <c r="L146" s="706"/>
      <c r="M146" s="220"/>
      <c r="N146" s="38"/>
      <c r="O146" s="47">
        <f>ROUND((ROUND((ROUND((_11_A家事９．０*_11・重度研修),0)*_11・２人),0)*_11・初任),0)</f>
        <v>834</v>
      </c>
      <c r="P146" s="48"/>
    </row>
    <row r="147" spans="1:16" ht="16.5" customHeight="1" x14ac:dyDescent="0.15">
      <c r="A147" s="41">
        <v>11</v>
      </c>
      <c r="B147" s="41">
        <v>8371</v>
      </c>
      <c r="C147" s="74" t="s">
        <v>11917</v>
      </c>
      <c r="D147" s="707" t="s">
        <v>8721</v>
      </c>
      <c r="E147" s="798"/>
      <c r="F147" s="35"/>
      <c r="I147" s="163"/>
      <c r="J147" s="45"/>
      <c r="K147" s="46"/>
      <c r="L147" s="53"/>
      <c r="M147" s="221"/>
      <c r="N147" s="50"/>
      <c r="O147" s="47">
        <f>ROUND((_11_A家事９．２５*_11・重度研修),0)</f>
        <v>1223</v>
      </c>
      <c r="P147" s="48"/>
    </row>
    <row r="148" spans="1:16" ht="16.5" customHeight="1" x14ac:dyDescent="0.15">
      <c r="A148" s="41">
        <v>11</v>
      </c>
      <c r="B148" s="41">
        <v>8372</v>
      </c>
      <c r="C148" s="74" t="s">
        <v>11918</v>
      </c>
      <c r="D148" s="799"/>
      <c r="E148" s="796"/>
      <c r="F148" s="35"/>
      <c r="I148" s="256" t="s">
        <v>397</v>
      </c>
      <c r="J148" s="218" t="s">
        <v>398</v>
      </c>
      <c r="K148" s="46">
        <v>1</v>
      </c>
      <c r="L148" s="43"/>
      <c r="M148" s="216"/>
      <c r="N148" s="38"/>
      <c r="O148" s="47">
        <f>ROUND((ROUND((_11_A家事９．２５*_11・重度研修),0)*_11・２人),0)</f>
        <v>1223</v>
      </c>
      <c r="P148" s="48"/>
    </row>
    <row r="149" spans="1:16" ht="16.5" customHeight="1" x14ac:dyDescent="0.15">
      <c r="A149" s="41">
        <v>11</v>
      </c>
      <c r="B149" s="41" t="s">
        <v>11919</v>
      </c>
      <c r="C149" s="74" t="s">
        <v>11920</v>
      </c>
      <c r="D149" s="799"/>
      <c r="E149" s="796"/>
      <c r="F149" s="35"/>
      <c r="I149" s="163"/>
      <c r="J149" s="45"/>
      <c r="K149" s="46"/>
      <c r="L149" s="734" t="s">
        <v>404</v>
      </c>
      <c r="M149" s="219" t="s">
        <v>398</v>
      </c>
      <c r="N149" s="50">
        <f>_11・初任</f>
        <v>0.7</v>
      </c>
      <c r="O149" s="47">
        <f>ROUND((ROUND((_11_A家事９．２５*_11・重度研修),0)*_11・初任),0)</f>
        <v>856</v>
      </c>
      <c r="P149" s="48"/>
    </row>
    <row r="150" spans="1:16" ht="16.5" customHeight="1" x14ac:dyDescent="0.15">
      <c r="A150" s="41">
        <v>11</v>
      </c>
      <c r="B150" s="41" t="s">
        <v>11921</v>
      </c>
      <c r="C150" s="74" t="s">
        <v>11922</v>
      </c>
      <c r="D150" s="165">
        <f>_11_A家事９．２５</f>
        <v>1359</v>
      </c>
      <c r="E150" s="190" t="s">
        <v>392</v>
      </c>
      <c r="F150" s="43"/>
      <c r="G150" s="37"/>
      <c r="H150" s="38"/>
      <c r="I150" s="256" t="s">
        <v>397</v>
      </c>
      <c r="J150" s="218" t="s">
        <v>398</v>
      </c>
      <c r="K150" s="46">
        <v>1</v>
      </c>
      <c r="L150" s="706"/>
      <c r="M150" s="220"/>
      <c r="N150" s="38"/>
      <c r="O150" s="47">
        <f>ROUND((ROUND((ROUND((_11_A家事９．２５*_11・重度研修),0)*_11・２人),0)*_11・初任),0)</f>
        <v>856</v>
      </c>
      <c r="P150" s="63"/>
    </row>
    <row r="151" spans="1:16" ht="16.5" customHeight="1" x14ac:dyDescent="0.15">
      <c r="A151" s="33">
        <v>11</v>
      </c>
      <c r="B151" s="33">
        <v>8373</v>
      </c>
      <c r="C151" s="34" t="s">
        <v>11923</v>
      </c>
      <c r="D151" s="709" t="s">
        <v>8734</v>
      </c>
      <c r="E151" s="796"/>
      <c r="F151" s="801" t="s">
        <v>11707</v>
      </c>
      <c r="G151" s="797"/>
      <c r="H151" s="796"/>
      <c r="I151" s="43"/>
      <c r="J151" s="37"/>
      <c r="K151" s="38"/>
      <c r="L151" s="35"/>
      <c r="O151" s="39">
        <f>ROUND((_11_A家事９．５*_11・重度研修),0)</f>
        <v>1255</v>
      </c>
      <c r="P151" s="48"/>
    </row>
    <row r="152" spans="1:16" ht="16.5" customHeight="1" x14ac:dyDescent="0.15">
      <c r="A152" s="41">
        <v>11</v>
      </c>
      <c r="B152" s="41">
        <v>8374</v>
      </c>
      <c r="C152" s="74" t="s">
        <v>11924</v>
      </c>
      <c r="D152" s="799"/>
      <c r="E152" s="796"/>
      <c r="F152" s="799"/>
      <c r="G152" s="797"/>
      <c r="H152" s="796"/>
      <c r="I152" s="256" t="s">
        <v>397</v>
      </c>
      <c r="J152" s="218" t="s">
        <v>398</v>
      </c>
      <c r="K152" s="46">
        <v>1</v>
      </c>
      <c r="L152" s="43"/>
      <c r="M152" s="216"/>
      <c r="N152" s="38"/>
      <c r="O152" s="47">
        <f>ROUND((ROUND((_11_A家事９．５*_11・重度研修),0)*_11・２人),0)</f>
        <v>1255</v>
      </c>
      <c r="P152" s="48"/>
    </row>
    <row r="153" spans="1:16" ht="16.5" customHeight="1" x14ac:dyDescent="0.15">
      <c r="A153" s="41">
        <v>11</v>
      </c>
      <c r="B153" s="41" t="s">
        <v>11925</v>
      </c>
      <c r="C153" s="74" t="s">
        <v>11926</v>
      </c>
      <c r="D153" s="799"/>
      <c r="E153" s="796"/>
      <c r="F153" s="799"/>
      <c r="G153" s="797"/>
      <c r="H153" s="796"/>
      <c r="I153" s="163"/>
      <c r="J153" s="45"/>
      <c r="K153" s="46"/>
      <c r="L153" s="734" t="s">
        <v>404</v>
      </c>
      <c r="M153" s="219" t="s">
        <v>398</v>
      </c>
      <c r="N153" s="50">
        <f>_11・初任</f>
        <v>0.7</v>
      </c>
      <c r="O153" s="47">
        <f>ROUND((ROUND((_11_A家事９．５*_11・重度研修),0)*_11・初任),0)</f>
        <v>879</v>
      </c>
      <c r="P153" s="48"/>
    </row>
    <row r="154" spans="1:16" ht="16.5" customHeight="1" x14ac:dyDescent="0.15">
      <c r="A154" s="41">
        <v>11</v>
      </c>
      <c r="B154" s="41" t="s">
        <v>11927</v>
      </c>
      <c r="C154" s="74" t="s">
        <v>11928</v>
      </c>
      <c r="D154" s="100">
        <f>_11_A家事９．５</f>
        <v>1394</v>
      </c>
      <c r="E154" s="10" t="s">
        <v>392</v>
      </c>
      <c r="F154" s="255"/>
      <c r="G154" s="16" t="s">
        <v>398</v>
      </c>
      <c r="H154" s="234">
        <v>0.9</v>
      </c>
      <c r="I154" s="256" t="s">
        <v>397</v>
      </c>
      <c r="J154" s="218" t="s">
        <v>398</v>
      </c>
      <c r="K154" s="46">
        <v>1</v>
      </c>
      <c r="L154" s="706"/>
      <c r="M154" s="220"/>
      <c r="N154" s="38"/>
      <c r="O154" s="47">
        <f>ROUND((ROUND((ROUND((_11_A家事９．５*_11・重度研修),0)*_11・２人),0)*_11・初任),0)</f>
        <v>879</v>
      </c>
      <c r="P154" s="48"/>
    </row>
    <row r="155" spans="1:16" ht="16.5" customHeight="1" x14ac:dyDescent="0.15">
      <c r="A155" s="41">
        <v>11</v>
      </c>
      <c r="B155" s="41">
        <v>8375</v>
      </c>
      <c r="C155" s="74" t="s">
        <v>11929</v>
      </c>
      <c r="D155" s="707" t="s">
        <v>8747</v>
      </c>
      <c r="E155" s="798"/>
      <c r="F155" s="35"/>
      <c r="I155" s="163"/>
      <c r="J155" s="45"/>
      <c r="K155" s="46"/>
      <c r="L155" s="53"/>
      <c r="M155" s="221"/>
      <c r="N155" s="50"/>
      <c r="O155" s="47">
        <f>ROUND((_11_A家事９．７５*_11・重度研修),0)</f>
        <v>1286</v>
      </c>
      <c r="P155" s="48"/>
    </row>
    <row r="156" spans="1:16" ht="16.5" customHeight="1" x14ac:dyDescent="0.15">
      <c r="A156" s="41">
        <v>11</v>
      </c>
      <c r="B156" s="41">
        <v>8376</v>
      </c>
      <c r="C156" s="74" t="s">
        <v>11930</v>
      </c>
      <c r="D156" s="799"/>
      <c r="E156" s="796"/>
      <c r="F156" s="35"/>
      <c r="I156" s="256" t="s">
        <v>397</v>
      </c>
      <c r="J156" s="218" t="s">
        <v>398</v>
      </c>
      <c r="K156" s="46">
        <v>1</v>
      </c>
      <c r="L156" s="43"/>
      <c r="M156" s="216"/>
      <c r="N156" s="38"/>
      <c r="O156" s="47">
        <f>ROUND((ROUND((_11_A家事９．７５*_11・重度研修),0)*_11・２人),0)</f>
        <v>1286</v>
      </c>
      <c r="P156" s="48"/>
    </row>
    <row r="157" spans="1:16" ht="16.5" customHeight="1" x14ac:dyDescent="0.15">
      <c r="A157" s="41">
        <v>11</v>
      </c>
      <c r="B157" s="41" t="s">
        <v>11931</v>
      </c>
      <c r="C157" s="74" t="s">
        <v>11932</v>
      </c>
      <c r="D157" s="799"/>
      <c r="E157" s="796"/>
      <c r="F157" s="35"/>
      <c r="I157" s="163"/>
      <c r="J157" s="45"/>
      <c r="K157" s="46"/>
      <c r="L157" s="734" t="s">
        <v>404</v>
      </c>
      <c r="M157" s="219" t="s">
        <v>398</v>
      </c>
      <c r="N157" s="50">
        <f>_11・初任</f>
        <v>0.7</v>
      </c>
      <c r="O157" s="47">
        <f>ROUND((ROUND((_11_A家事９．７５*_11・重度研修),0)*_11・初任),0)</f>
        <v>900</v>
      </c>
      <c r="P157" s="48"/>
    </row>
    <row r="158" spans="1:16" ht="16.5" customHeight="1" x14ac:dyDescent="0.15">
      <c r="A158" s="41">
        <v>11</v>
      </c>
      <c r="B158" s="41" t="s">
        <v>11933</v>
      </c>
      <c r="C158" s="74" t="s">
        <v>11934</v>
      </c>
      <c r="D158" s="100">
        <f>_11_A家事９．７５</f>
        <v>1429</v>
      </c>
      <c r="E158" s="10" t="s">
        <v>392</v>
      </c>
      <c r="F158" s="35"/>
      <c r="I158" s="256" t="s">
        <v>397</v>
      </c>
      <c r="J158" s="218" t="s">
        <v>398</v>
      </c>
      <c r="K158" s="46">
        <v>1</v>
      </c>
      <c r="L158" s="706"/>
      <c r="M158" s="220"/>
      <c r="N158" s="38"/>
      <c r="O158" s="47">
        <f>ROUND((ROUND((ROUND((_11_A家事９．７５*_11・重度研修),0)*_11・２人),0)*_11・初任),0)</f>
        <v>900</v>
      </c>
      <c r="P158" s="48"/>
    </row>
    <row r="159" spans="1:16" ht="16.5" customHeight="1" x14ac:dyDescent="0.15">
      <c r="A159" s="41">
        <v>11</v>
      </c>
      <c r="B159" s="41">
        <v>8377</v>
      </c>
      <c r="C159" s="74" t="s">
        <v>11935</v>
      </c>
      <c r="D159" s="707" t="s">
        <v>8760</v>
      </c>
      <c r="E159" s="798"/>
      <c r="F159" s="35"/>
      <c r="I159" s="163"/>
      <c r="J159" s="45"/>
      <c r="K159" s="46"/>
      <c r="L159" s="53"/>
      <c r="M159" s="221"/>
      <c r="N159" s="50"/>
      <c r="O159" s="47">
        <f>ROUND((_11_A家事１０．０*_11・重度研修),0)</f>
        <v>1318</v>
      </c>
      <c r="P159" s="48"/>
    </row>
    <row r="160" spans="1:16" ht="16.5" customHeight="1" x14ac:dyDescent="0.15">
      <c r="A160" s="41">
        <v>11</v>
      </c>
      <c r="B160" s="41">
        <v>8378</v>
      </c>
      <c r="C160" s="74" t="s">
        <v>11936</v>
      </c>
      <c r="D160" s="799"/>
      <c r="E160" s="796"/>
      <c r="F160" s="35"/>
      <c r="I160" s="256" t="s">
        <v>397</v>
      </c>
      <c r="J160" s="218" t="s">
        <v>398</v>
      </c>
      <c r="K160" s="46">
        <v>1</v>
      </c>
      <c r="L160" s="43"/>
      <c r="M160" s="216"/>
      <c r="N160" s="38"/>
      <c r="O160" s="47">
        <f>ROUND((ROUND((_11_A家事１０．０*_11・重度研修),0)*_11・２人),0)</f>
        <v>1318</v>
      </c>
      <c r="P160" s="48"/>
    </row>
    <row r="161" spans="1:16" ht="16.5" customHeight="1" x14ac:dyDescent="0.15">
      <c r="A161" s="41">
        <v>11</v>
      </c>
      <c r="B161" s="41" t="s">
        <v>11937</v>
      </c>
      <c r="C161" s="74" t="s">
        <v>11938</v>
      </c>
      <c r="D161" s="799"/>
      <c r="E161" s="796"/>
      <c r="F161" s="35"/>
      <c r="I161" s="163"/>
      <c r="J161" s="45"/>
      <c r="K161" s="46"/>
      <c r="L161" s="734" t="s">
        <v>404</v>
      </c>
      <c r="M161" s="219" t="s">
        <v>398</v>
      </c>
      <c r="N161" s="50">
        <f>_11・初任</f>
        <v>0.7</v>
      </c>
      <c r="O161" s="47">
        <f>ROUND((ROUND((_11_A家事１０．０*_11・重度研修),0)*_11・初任),0)</f>
        <v>923</v>
      </c>
      <c r="P161" s="48"/>
    </row>
    <row r="162" spans="1:16" ht="16.5" customHeight="1" x14ac:dyDescent="0.15">
      <c r="A162" s="41">
        <v>11</v>
      </c>
      <c r="B162" s="41" t="s">
        <v>11939</v>
      </c>
      <c r="C162" s="74" t="s">
        <v>11940</v>
      </c>
      <c r="D162" s="100">
        <f>_11_A家事１０．０</f>
        <v>1464</v>
      </c>
      <c r="E162" s="10" t="s">
        <v>392</v>
      </c>
      <c r="F162" s="35"/>
      <c r="I162" s="256" t="s">
        <v>397</v>
      </c>
      <c r="J162" s="218" t="s">
        <v>398</v>
      </c>
      <c r="K162" s="46">
        <v>1</v>
      </c>
      <c r="L162" s="706"/>
      <c r="M162" s="220"/>
      <c r="N162" s="38"/>
      <c r="O162" s="47">
        <f>ROUND((ROUND((ROUND((_11_A家事１０．０*_11・重度研修),0)*_11・２人),0)*_11・初任),0)</f>
        <v>923</v>
      </c>
      <c r="P162" s="48"/>
    </row>
    <row r="163" spans="1:16" ht="16.5" customHeight="1" x14ac:dyDescent="0.15">
      <c r="A163" s="41">
        <v>11</v>
      </c>
      <c r="B163" s="41">
        <v>8379</v>
      </c>
      <c r="C163" s="74" t="s">
        <v>11941</v>
      </c>
      <c r="D163" s="707" t="s">
        <v>8773</v>
      </c>
      <c r="E163" s="798"/>
      <c r="F163" s="35"/>
      <c r="I163" s="163"/>
      <c r="J163" s="45"/>
      <c r="K163" s="46"/>
      <c r="L163" s="53"/>
      <c r="M163" s="221"/>
      <c r="N163" s="50"/>
      <c r="O163" s="47">
        <f>ROUND((_11_A家事１０．２５*_11・重度研修),0)</f>
        <v>1349</v>
      </c>
      <c r="P163" s="48"/>
    </row>
    <row r="164" spans="1:16" ht="16.5" customHeight="1" x14ac:dyDescent="0.15">
      <c r="A164" s="41">
        <v>11</v>
      </c>
      <c r="B164" s="41">
        <v>8380</v>
      </c>
      <c r="C164" s="74" t="s">
        <v>11942</v>
      </c>
      <c r="D164" s="799"/>
      <c r="E164" s="796"/>
      <c r="F164" s="35"/>
      <c r="I164" s="256" t="s">
        <v>397</v>
      </c>
      <c r="J164" s="218" t="s">
        <v>398</v>
      </c>
      <c r="K164" s="46">
        <v>1</v>
      </c>
      <c r="L164" s="43"/>
      <c r="M164" s="216"/>
      <c r="N164" s="38"/>
      <c r="O164" s="47">
        <f>ROUND((ROUND((_11_A家事１０．２５*_11・重度研修),0)*_11・２人),0)</f>
        <v>1349</v>
      </c>
      <c r="P164" s="48"/>
    </row>
    <row r="165" spans="1:16" ht="16.5" customHeight="1" x14ac:dyDescent="0.15">
      <c r="A165" s="41">
        <v>11</v>
      </c>
      <c r="B165" s="41" t="s">
        <v>11943</v>
      </c>
      <c r="C165" s="74" t="s">
        <v>11944</v>
      </c>
      <c r="D165" s="799"/>
      <c r="E165" s="796"/>
      <c r="F165" s="35"/>
      <c r="I165" s="163"/>
      <c r="J165" s="45"/>
      <c r="K165" s="46"/>
      <c r="L165" s="734" t="s">
        <v>404</v>
      </c>
      <c r="M165" s="219" t="s">
        <v>398</v>
      </c>
      <c r="N165" s="50">
        <f>_11・初任</f>
        <v>0.7</v>
      </c>
      <c r="O165" s="47">
        <f>ROUND((ROUND((_11_A家事１０．２５*_11・重度研修),0)*_11・初任),0)</f>
        <v>944</v>
      </c>
      <c r="P165" s="48"/>
    </row>
    <row r="166" spans="1:16" ht="16.5" customHeight="1" x14ac:dyDescent="0.15">
      <c r="A166" s="41">
        <v>11</v>
      </c>
      <c r="B166" s="41" t="s">
        <v>11945</v>
      </c>
      <c r="C166" s="74" t="s">
        <v>11946</v>
      </c>
      <c r="D166" s="100">
        <f>_11_A家事１０．２５</f>
        <v>1499</v>
      </c>
      <c r="E166" s="10" t="s">
        <v>392</v>
      </c>
      <c r="F166" s="35"/>
      <c r="I166" s="256" t="s">
        <v>397</v>
      </c>
      <c r="J166" s="218" t="s">
        <v>398</v>
      </c>
      <c r="K166" s="46">
        <v>1</v>
      </c>
      <c r="L166" s="706"/>
      <c r="M166" s="220"/>
      <c r="N166" s="38"/>
      <c r="O166" s="47">
        <f>ROUND((ROUND((ROUND((_11_A家事１０．２５*_11・重度研修),0)*_11・２人),0)*_11・初任),0)</f>
        <v>944</v>
      </c>
      <c r="P166" s="48"/>
    </row>
    <row r="167" spans="1:16" ht="16.5" customHeight="1" x14ac:dyDescent="0.15">
      <c r="A167" s="41">
        <v>11</v>
      </c>
      <c r="B167" s="41">
        <v>8381</v>
      </c>
      <c r="C167" s="74" t="s">
        <v>11947</v>
      </c>
      <c r="D167" s="707" t="s">
        <v>8786</v>
      </c>
      <c r="E167" s="798"/>
      <c r="F167" s="35"/>
      <c r="I167" s="163"/>
      <c r="J167" s="45"/>
      <c r="K167" s="46"/>
      <c r="L167" s="53"/>
      <c r="M167" s="221"/>
      <c r="N167" s="50"/>
      <c r="O167" s="47">
        <f>ROUND((_11_A家事１０．５*_11・重度研修),0)</f>
        <v>1381</v>
      </c>
      <c r="P167" s="48"/>
    </row>
    <row r="168" spans="1:16" ht="16.5" customHeight="1" x14ac:dyDescent="0.15">
      <c r="A168" s="41">
        <v>11</v>
      </c>
      <c r="B168" s="41">
        <v>8382</v>
      </c>
      <c r="C168" s="74" t="s">
        <v>11948</v>
      </c>
      <c r="D168" s="799"/>
      <c r="E168" s="796"/>
      <c r="F168" s="35"/>
      <c r="I168" s="256" t="s">
        <v>397</v>
      </c>
      <c r="J168" s="218" t="s">
        <v>398</v>
      </c>
      <c r="K168" s="46">
        <v>1</v>
      </c>
      <c r="L168" s="43"/>
      <c r="M168" s="216"/>
      <c r="N168" s="38"/>
      <c r="O168" s="47">
        <f>ROUND((ROUND((_11_A家事１０．５*_11・重度研修),0)*_11・２人),0)</f>
        <v>1381</v>
      </c>
      <c r="P168" s="48"/>
    </row>
    <row r="169" spans="1:16" ht="16.5" customHeight="1" x14ac:dyDescent="0.15">
      <c r="A169" s="41">
        <v>11</v>
      </c>
      <c r="B169" s="41" t="s">
        <v>11949</v>
      </c>
      <c r="C169" s="74" t="s">
        <v>11950</v>
      </c>
      <c r="D169" s="799"/>
      <c r="E169" s="796"/>
      <c r="F169" s="35"/>
      <c r="I169" s="163"/>
      <c r="J169" s="45"/>
      <c r="K169" s="46"/>
      <c r="L169" s="734" t="s">
        <v>404</v>
      </c>
      <c r="M169" s="219" t="s">
        <v>398</v>
      </c>
      <c r="N169" s="50">
        <f>_11・初任</f>
        <v>0.7</v>
      </c>
      <c r="O169" s="47">
        <f>ROUND((ROUND((_11_A家事１０．５*_11・重度研修),0)*_11・初任),0)</f>
        <v>967</v>
      </c>
      <c r="P169" s="48"/>
    </row>
    <row r="170" spans="1:16" ht="16.5" customHeight="1" x14ac:dyDescent="0.15">
      <c r="A170" s="41">
        <v>11</v>
      </c>
      <c r="B170" s="41" t="s">
        <v>11951</v>
      </c>
      <c r="C170" s="74" t="s">
        <v>11952</v>
      </c>
      <c r="D170" s="165">
        <f>_11_A家事１０．５</f>
        <v>1534</v>
      </c>
      <c r="E170" s="190" t="s">
        <v>392</v>
      </c>
      <c r="F170" s="43"/>
      <c r="G170" s="37"/>
      <c r="H170" s="38"/>
      <c r="I170" s="256" t="s">
        <v>397</v>
      </c>
      <c r="J170" s="218" t="s">
        <v>398</v>
      </c>
      <c r="K170" s="46">
        <v>1</v>
      </c>
      <c r="L170" s="706"/>
      <c r="M170" s="220"/>
      <c r="N170" s="38"/>
      <c r="O170" s="47">
        <f>ROUND((ROUND((ROUND((_11_A家事１０．５*_11・重度研修),0)*_11・２人),0)*_11・初任),0)</f>
        <v>967</v>
      </c>
      <c r="P170" s="63"/>
    </row>
    <row r="171" spans="1:16" ht="16.5" customHeight="1" x14ac:dyDescent="0.15"/>
    <row r="172" spans="1:16" ht="16.5" customHeight="1" x14ac:dyDescent="0.15"/>
  </sheetData>
  <mergeCells count="85">
    <mergeCell ref="D163:E165"/>
    <mergeCell ref="L165:L166"/>
    <mergeCell ref="D167:E169"/>
    <mergeCell ref="L169:L170"/>
    <mergeCell ref="D151:E153"/>
    <mergeCell ref="F151:H153"/>
    <mergeCell ref="L153:L154"/>
    <mergeCell ref="D155:E157"/>
    <mergeCell ref="L157:L158"/>
    <mergeCell ref="D159:E161"/>
    <mergeCell ref="L161:L162"/>
    <mergeCell ref="D139:E141"/>
    <mergeCell ref="L141:L142"/>
    <mergeCell ref="D143:E145"/>
    <mergeCell ref="L145:L146"/>
    <mergeCell ref="D147:E149"/>
    <mergeCell ref="L149:L150"/>
    <mergeCell ref="D127:E129"/>
    <mergeCell ref="L129:L130"/>
    <mergeCell ref="D131:E133"/>
    <mergeCell ref="L133:L134"/>
    <mergeCell ref="D135:E137"/>
    <mergeCell ref="L137:L138"/>
    <mergeCell ref="D115:E117"/>
    <mergeCell ref="L117:L118"/>
    <mergeCell ref="D119:E121"/>
    <mergeCell ref="L121:L122"/>
    <mergeCell ref="D123:E125"/>
    <mergeCell ref="L125:L126"/>
    <mergeCell ref="D103:E105"/>
    <mergeCell ref="L105:L106"/>
    <mergeCell ref="D107:E109"/>
    <mergeCell ref="L109:L110"/>
    <mergeCell ref="D111:E113"/>
    <mergeCell ref="L113:L114"/>
    <mergeCell ref="D91:E93"/>
    <mergeCell ref="L93:L94"/>
    <mergeCell ref="D95:E97"/>
    <mergeCell ref="L97:L98"/>
    <mergeCell ref="D99:E101"/>
    <mergeCell ref="L101:L102"/>
    <mergeCell ref="D87:E89"/>
    <mergeCell ref="L89:L90"/>
    <mergeCell ref="D67:E69"/>
    <mergeCell ref="L69:L70"/>
    <mergeCell ref="D71:E73"/>
    <mergeCell ref="L73:L74"/>
    <mergeCell ref="D75:E77"/>
    <mergeCell ref="L77:L78"/>
    <mergeCell ref="D79:E81"/>
    <mergeCell ref="F79:H81"/>
    <mergeCell ref="L81:L82"/>
    <mergeCell ref="D83:E85"/>
    <mergeCell ref="L85:L86"/>
    <mergeCell ref="D55:E57"/>
    <mergeCell ref="L57:L58"/>
    <mergeCell ref="D59:E61"/>
    <mergeCell ref="L61:L62"/>
    <mergeCell ref="D63:E65"/>
    <mergeCell ref="L65:L66"/>
    <mergeCell ref="D43:E45"/>
    <mergeCell ref="L45:L46"/>
    <mergeCell ref="D47:E49"/>
    <mergeCell ref="L49:L50"/>
    <mergeCell ref="D51:E53"/>
    <mergeCell ref="L53:L54"/>
    <mergeCell ref="D31:E33"/>
    <mergeCell ref="L33:L34"/>
    <mergeCell ref="D35:E37"/>
    <mergeCell ref="L37:L38"/>
    <mergeCell ref="D39:E41"/>
    <mergeCell ref="L41:L42"/>
    <mergeCell ref="D19:E21"/>
    <mergeCell ref="L21:L22"/>
    <mergeCell ref="D23:E25"/>
    <mergeCell ref="L25:L26"/>
    <mergeCell ref="D27:E29"/>
    <mergeCell ref="L29:L30"/>
    <mergeCell ref="D15:E17"/>
    <mergeCell ref="L17:L18"/>
    <mergeCell ref="D7:E9"/>
    <mergeCell ref="F7:H9"/>
    <mergeCell ref="L9:L10"/>
    <mergeCell ref="D11:E13"/>
    <mergeCell ref="L13:L14"/>
  </mergeCells>
  <phoneticPr fontId="1"/>
  <printOptions horizontalCentered="1"/>
  <pageMargins left="0.70866141732283472" right="0.70866141732283472" top="0.74803149606299213" bottom="0.74803149606299213" header="0.31496062992125984" footer="0.31496062992125984"/>
  <pageSetup paperSize="9" scale="58" fitToHeight="0" orientation="portrait" r:id="rId1"/>
  <headerFooter>
    <oddHeader>&amp;R&amp;"ＭＳ Ｐゴシック"&amp;9居宅介護</oddHeader>
    <oddFooter>&amp;C&amp;"ＭＳ Ｐゴシック"&amp;14&amp;P</oddFooter>
  </headerFooter>
  <rowBreaks count="2" manualBreakCount="2">
    <brk id="78" max="15" man="1"/>
    <brk id="150" max="15"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1">
    <pageSetUpPr fitToPage="1"/>
  </sheetPr>
  <dimension ref="A1:S117"/>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0" customWidth="1"/>
    <col min="5" max="5" width="4.875" style="12" customWidth="1"/>
    <col min="6" max="7" width="2.5" style="12" customWidth="1"/>
    <col min="8" max="8" width="4.5" style="13" bestFit="1" customWidth="1"/>
    <col min="9" max="9" width="25" style="12" customWidth="1"/>
    <col min="10" max="10" width="2.5" style="12" customWidth="1"/>
    <col min="11" max="11" width="5.5" style="13" bestFit="1" customWidth="1"/>
    <col min="12" max="12" width="2.5" style="12" customWidth="1"/>
    <col min="13" max="13" width="3.875" style="12" customWidth="1"/>
    <col min="14" max="14" width="4.5" style="13" bestFit="1" customWidth="1"/>
    <col min="15" max="15" width="17.875" style="12" customWidth="1"/>
    <col min="16" max="16" width="2.5" style="242" customWidth="1"/>
    <col min="17" max="17" width="4.5" style="13" bestFit="1" customWidth="1"/>
    <col min="18" max="18" width="7.125" style="206" customWidth="1"/>
    <col min="19" max="19" width="8.5" style="16" customWidth="1"/>
    <col min="20" max="16384" width="8.875" style="12"/>
  </cols>
  <sheetData>
    <row r="1" spans="1:19" ht="17.100000000000001" customHeight="1" x14ac:dyDescent="0.15">
      <c r="A1" s="206"/>
    </row>
    <row r="2" spans="1:19" ht="17.100000000000001" customHeight="1" x14ac:dyDescent="0.15"/>
    <row r="3" spans="1:19" ht="17.100000000000001" customHeight="1" x14ac:dyDescent="0.15"/>
    <row r="4" spans="1:19" ht="17.100000000000001" customHeight="1" x14ac:dyDescent="0.15">
      <c r="B4" s="17" t="s">
        <v>11953</v>
      </c>
      <c r="D4" s="71"/>
    </row>
    <row r="5" spans="1:19" ht="16.5" customHeight="1" x14ac:dyDescent="0.15">
      <c r="A5" s="19" t="s">
        <v>384</v>
      </c>
      <c r="B5" s="20"/>
      <c r="C5" s="21" t="s">
        <v>385</v>
      </c>
      <c r="D5" s="23" t="s">
        <v>386</v>
      </c>
      <c r="E5" s="23"/>
      <c r="F5" s="23"/>
      <c r="G5" s="23"/>
      <c r="H5" s="24"/>
      <c r="I5" s="23"/>
      <c r="J5" s="23"/>
      <c r="K5" s="24"/>
      <c r="L5" s="23"/>
      <c r="M5" s="23"/>
      <c r="N5" s="24"/>
      <c r="O5" s="23"/>
      <c r="P5" s="23"/>
      <c r="Q5" s="24"/>
      <c r="R5" s="21" t="s">
        <v>387</v>
      </c>
      <c r="S5" s="21" t="s">
        <v>388</v>
      </c>
    </row>
    <row r="6" spans="1:19" ht="16.5" customHeight="1" x14ac:dyDescent="0.15">
      <c r="A6" s="26" t="s">
        <v>389</v>
      </c>
      <c r="B6" s="26" t="s">
        <v>390</v>
      </c>
      <c r="C6" s="27"/>
      <c r="D6" s="29"/>
      <c r="E6" s="29"/>
      <c r="F6" s="29"/>
      <c r="G6" s="29"/>
      <c r="H6" s="30"/>
      <c r="I6" s="29"/>
      <c r="J6" s="29"/>
      <c r="K6" s="30"/>
      <c r="L6" s="29"/>
      <c r="M6" s="29"/>
      <c r="N6" s="30"/>
      <c r="O6" s="29"/>
      <c r="P6" s="214"/>
      <c r="Q6" s="30"/>
      <c r="R6" s="32" t="s">
        <v>391</v>
      </c>
      <c r="S6" s="32" t="s">
        <v>392</v>
      </c>
    </row>
    <row r="7" spans="1:19" ht="16.5" customHeight="1" x14ac:dyDescent="0.15">
      <c r="A7" s="33">
        <v>11</v>
      </c>
      <c r="B7" s="33">
        <v>8383</v>
      </c>
      <c r="C7" s="34" t="s">
        <v>11954</v>
      </c>
      <c r="D7" s="709" t="s">
        <v>673</v>
      </c>
      <c r="E7" s="797"/>
      <c r="F7" s="801" t="s">
        <v>11707</v>
      </c>
      <c r="G7" s="797"/>
      <c r="H7" s="796"/>
      <c r="I7" s="37"/>
      <c r="J7" s="37"/>
      <c r="K7" s="38"/>
      <c r="L7" s="72" t="s">
        <v>674</v>
      </c>
      <c r="N7" s="234"/>
      <c r="R7" s="207">
        <f>ROUND((ROUND((_11_A家事０．５*_11・重度研修),0)*(1+_11・A早朝)),0)</f>
        <v>119</v>
      </c>
      <c r="S7" s="40" t="s">
        <v>395</v>
      </c>
    </row>
    <row r="8" spans="1:19" ht="16.5" customHeight="1" x14ac:dyDescent="0.15">
      <c r="A8" s="41">
        <v>11</v>
      </c>
      <c r="B8" s="41">
        <v>8384</v>
      </c>
      <c r="C8" s="74" t="s">
        <v>11955</v>
      </c>
      <c r="D8" s="799"/>
      <c r="E8" s="797"/>
      <c r="F8" s="799"/>
      <c r="G8" s="797"/>
      <c r="H8" s="796"/>
      <c r="I8" s="217" t="s">
        <v>397</v>
      </c>
      <c r="J8" s="218" t="s">
        <v>398</v>
      </c>
      <c r="K8" s="46">
        <v>1</v>
      </c>
      <c r="L8" s="257" t="s">
        <v>398</v>
      </c>
      <c r="M8" s="13">
        <v>0.25</v>
      </c>
      <c r="N8" s="718" t="s">
        <v>676</v>
      </c>
      <c r="O8" s="37"/>
      <c r="P8" s="220"/>
      <c r="Q8" s="38"/>
      <c r="R8" s="208">
        <f>ROUND((ROUND((ROUND((_11_A家事０．５*_11・重度研修),0)*_11・２人),0)*(1+_11・A早朝)),0)</f>
        <v>119</v>
      </c>
      <c r="S8" s="48"/>
    </row>
    <row r="9" spans="1:19" ht="16.5" customHeight="1" x14ac:dyDescent="0.15">
      <c r="A9" s="41">
        <v>11</v>
      </c>
      <c r="B9" s="41" t="s">
        <v>11956</v>
      </c>
      <c r="C9" s="74" t="s">
        <v>11957</v>
      </c>
      <c r="D9" s="799"/>
      <c r="E9" s="797"/>
      <c r="F9" s="799"/>
      <c r="G9" s="797"/>
      <c r="H9" s="796"/>
      <c r="I9" s="45"/>
      <c r="J9" s="45"/>
      <c r="K9" s="46"/>
      <c r="L9" s="35"/>
      <c r="N9" s="802"/>
      <c r="O9" s="734" t="s">
        <v>404</v>
      </c>
      <c r="P9" s="219" t="s">
        <v>398</v>
      </c>
      <c r="Q9" s="50">
        <f>_11・初任</f>
        <v>0.7</v>
      </c>
      <c r="R9" s="208">
        <f>ROUND((ROUND((ROUND((_11_A家事０．５*_11・重度研修),0)*(1+_11・A早朝)),0)*_11・初任),0)</f>
        <v>83</v>
      </c>
      <c r="S9" s="48"/>
    </row>
    <row r="10" spans="1:19" ht="16.5" customHeight="1" x14ac:dyDescent="0.15">
      <c r="A10" s="41">
        <v>11</v>
      </c>
      <c r="B10" s="41" t="s">
        <v>11958</v>
      </c>
      <c r="C10" s="74" t="s">
        <v>11959</v>
      </c>
      <c r="D10" s="100">
        <f>_11_A家事０．５</f>
        <v>105</v>
      </c>
      <c r="E10" s="12" t="s">
        <v>392</v>
      </c>
      <c r="F10" s="255"/>
      <c r="G10" s="10" t="s">
        <v>398</v>
      </c>
      <c r="H10" s="234">
        <v>0.9</v>
      </c>
      <c r="I10" s="217" t="s">
        <v>397</v>
      </c>
      <c r="J10" s="218" t="s">
        <v>398</v>
      </c>
      <c r="K10" s="46">
        <v>1</v>
      </c>
      <c r="L10" s="35"/>
      <c r="O10" s="706"/>
      <c r="P10" s="220"/>
      <c r="Q10" s="38"/>
      <c r="R10" s="208">
        <f>ROUND((ROUND((ROUND((ROUND((_11_A家事０．５*_11・重度研修),0)*_11・２人),0)*(1+_11・A早朝)),0)*_11・初任),0)</f>
        <v>83</v>
      </c>
      <c r="S10" s="48"/>
    </row>
    <row r="11" spans="1:19" ht="16.5" customHeight="1" x14ac:dyDescent="0.15">
      <c r="A11" s="41">
        <v>11</v>
      </c>
      <c r="B11" s="41">
        <v>8385</v>
      </c>
      <c r="C11" s="74" t="s">
        <v>11960</v>
      </c>
      <c r="D11" s="707" t="s">
        <v>8812</v>
      </c>
      <c r="E11" s="798"/>
      <c r="F11" s="35"/>
      <c r="I11" s="163"/>
      <c r="J11" s="45"/>
      <c r="K11" s="46"/>
      <c r="L11" s="35"/>
      <c r="O11" s="53"/>
      <c r="P11" s="245"/>
      <c r="Q11" s="50"/>
      <c r="R11" s="208">
        <f>ROUND((ROUND((_11_A家事０．７５*_11・重度研修),0)*(1+_11・A早朝)),0)</f>
        <v>171</v>
      </c>
      <c r="S11" s="48"/>
    </row>
    <row r="12" spans="1:19" ht="16.5" customHeight="1" x14ac:dyDescent="0.15">
      <c r="A12" s="41">
        <v>11</v>
      </c>
      <c r="B12" s="41">
        <v>8386</v>
      </c>
      <c r="C12" s="74" t="s">
        <v>11961</v>
      </c>
      <c r="D12" s="799"/>
      <c r="E12" s="796"/>
      <c r="F12" s="35"/>
      <c r="I12" s="256" t="s">
        <v>397</v>
      </c>
      <c r="J12" s="218" t="s">
        <v>398</v>
      </c>
      <c r="K12" s="46">
        <v>1</v>
      </c>
      <c r="L12" s="35"/>
      <c r="O12" s="43"/>
      <c r="P12" s="220"/>
      <c r="Q12" s="38"/>
      <c r="R12" s="208">
        <f>ROUND((ROUND((ROUND((_11_A家事０．７５*_11・重度研修),0)*_11・２人),0)*(1+_11・A早朝)),0)</f>
        <v>171</v>
      </c>
      <c r="S12" s="48"/>
    </row>
    <row r="13" spans="1:19" ht="16.5" customHeight="1" x14ac:dyDescent="0.15">
      <c r="A13" s="41">
        <v>11</v>
      </c>
      <c r="B13" s="41" t="s">
        <v>11962</v>
      </c>
      <c r="C13" s="74" t="s">
        <v>11963</v>
      </c>
      <c r="D13" s="799"/>
      <c r="E13" s="796"/>
      <c r="F13" s="35"/>
      <c r="I13" s="163"/>
      <c r="J13" s="45"/>
      <c r="K13" s="46"/>
      <c r="L13" s="35"/>
      <c r="O13" s="734" t="s">
        <v>404</v>
      </c>
      <c r="P13" s="219" t="s">
        <v>398</v>
      </c>
      <c r="Q13" s="50">
        <f>_11・初任</f>
        <v>0.7</v>
      </c>
      <c r="R13" s="208">
        <f>ROUND((ROUND((ROUND((_11_A家事０．７５*_11・重度研修),0)*(1+_11・A早朝)),0)*_11・初任),0)</f>
        <v>120</v>
      </c>
      <c r="S13" s="48"/>
    </row>
    <row r="14" spans="1:19" ht="16.5" customHeight="1" x14ac:dyDescent="0.15">
      <c r="A14" s="41">
        <v>11</v>
      </c>
      <c r="B14" s="41" t="s">
        <v>11964</v>
      </c>
      <c r="C14" s="74" t="s">
        <v>11965</v>
      </c>
      <c r="D14" s="100">
        <f>_11_A家事０．７５</f>
        <v>152</v>
      </c>
      <c r="E14" s="12" t="s">
        <v>392</v>
      </c>
      <c r="F14" s="35"/>
      <c r="I14" s="256" t="s">
        <v>397</v>
      </c>
      <c r="J14" s="218" t="s">
        <v>398</v>
      </c>
      <c r="K14" s="46">
        <v>1</v>
      </c>
      <c r="L14" s="35"/>
      <c r="O14" s="706"/>
      <c r="P14" s="220"/>
      <c r="Q14" s="38"/>
      <c r="R14" s="208">
        <f>ROUND((ROUND((ROUND((ROUND((_11_A家事０．７５*_11・重度研修),0)*_11・２人),0)*(1+_11・A早朝)),0)*_11・初任),0)</f>
        <v>120</v>
      </c>
      <c r="S14" s="48"/>
    </row>
    <row r="15" spans="1:19" ht="16.5" customHeight="1" x14ac:dyDescent="0.15">
      <c r="A15" s="41">
        <v>11</v>
      </c>
      <c r="B15" s="41">
        <v>8387</v>
      </c>
      <c r="C15" s="74" t="s">
        <v>11966</v>
      </c>
      <c r="D15" s="707" t="s">
        <v>8825</v>
      </c>
      <c r="E15" s="798"/>
      <c r="F15" s="35"/>
      <c r="I15" s="163"/>
      <c r="J15" s="45"/>
      <c r="K15" s="46"/>
      <c r="L15" s="35"/>
      <c r="O15" s="53"/>
      <c r="P15" s="245"/>
      <c r="Q15" s="50"/>
      <c r="R15" s="208">
        <f>ROUND((ROUND((_11_A家事１．０*_11・重度研修),0)*(1+_11・A早朝)),0)</f>
        <v>220</v>
      </c>
      <c r="S15" s="48"/>
    </row>
    <row r="16" spans="1:19" ht="16.5" customHeight="1" x14ac:dyDescent="0.15">
      <c r="A16" s="41">
        <v>11</v>
      </c>
      <c r="B16" s="41">
        <v>8388</v>
      </c>
      <c r="C16" s="74" t="s">
        <v>11967</v>
      </c>
      <c r="D16" s="799"/>
      <c r="E16" s="796"/>
      <c r="F16" s="35"/>
      <c r="I16" s="256" t="s">
        <v>397</v>
      </c>
      <c r="J16" s="218" t="s">
        <v>398</v>
      </c>
      <c r="K16" s="46">
        <v>1</v>
      </c>
      <c r="L16" s="35"/>
      <c r="O16" s="43"/>
      <c r="P16" s="220"/>
      <c r="Q16" s="38"/>
      <c r="R16" s="208">
        <f>ROUND((ROUND((ROUND((_11_A家事１．０*_11・重度研修),0)*_11・２人),0)*(1+_11・A早朝)),0)</f>
        <v>220</v>
      </c>
      <c r="S16" s="48"/>
    </row>
    <row r="17" spans="1:19" ht="16.5" customHeight="1" x14ac:dyDescent="0.15">
      <c r="A17" s="41">
        <v>11</v>
      </c>
      <c r="B17" s="41" t="s">
        <v>11968</v>
      </c>
      <c r="C17" s="74" t="s">
        <v>11969</v>
      </c>
      <c r="D17" s="799"/>
      <c r="E17" s="796"/>
      <c r="F17" s="35"/>
      <c r="I17" s="163"/>
      <c r="J17" s="45"/>
      <c r="K17" s="46"/>
      <c r="L17" s="35"/>
      <c r="O17" s="734" t="s">
        <v>404</v>
      </c>
      <c r="P17" s="219" t="s">
        <v>398</v>
      </c>
      <c r="Q17" s="50">
        <f>_11・初任</f>
        <v>0.7</v>
      </c>
      <c r="R17" s="208">
        <f>ROUND((ROUND((ROUND((_11_A家事１．０*_11・重度研修),0)*(1+_11・A早朝)),0)*_11・初任),0)</f>
        <v>154</v>
      </c>
      <c r="S17" s="48"/>
    </row>
    <row r="18" spans="1:19" ht="16.5" customHeight="1" x14ac:dyDescent="0.15">
      <c r="A18" s="41">
        <v>11</v>
      </c>
      <c r="B18" s="41" t="s">
        <v>11970</v>
      </c>
      <c r="C18" s="74" t="s">
        <v>11971</v>
      </c>
      <c r="D18" s="100">
        <f>_11_A家事１．０</f>
        <v>196</v>
      </c>
      <c r="E18" s="12" t="s">
        <v>392</v>
      </c>
      <c r="F18" s="35"/>
      <c r="I18" s="256" t="s">
        <v>397</v>
      </c>
      <c r="J18" s="218" t="s">
        <v>398</v>
      </c>
      <c r="K18" s="46">
        <v>1</v>
      </c>
      <c r="L18" s="35"/>
      <c r="O18" s="706"/>
      <c r="P18" s="220"/>
      <c r="Q18" s="38"/>
      <c r="R18" s="208">
        <f>ROUND((ROUND((ROUND((ROUND((_11_A家事１．０*_11・重度研修),0)*_11・２人),0)*(1+_11・A早朝)),0)*_11・初任),0)</f>
        <v>154</v>
      </c>
      <c r="S18" s="48"/>
    </row>
    <row r="19" spans="1:19" ht="16.5" customHeight="1" x14ac:dyDescent="0.15">
      <c r="A19" s="41">
        <v>11</v>
      </c>
      <c r="B19" s="41">
        <v>8389</v>
      </c>
      <c r="C19" s="74" t="s">
        <v>11972</v>
      </c>
      <c r="D19" s="707" t="s">
        <v>8838</v>
      </c>
      <c r="E19" s="798"/>
      <c r="F19" s="35"/>
      <c r="I19" s="163"/>
      <c r="J19" s="45"/>
      <c r="K19" s="46"/>
      <c r="L19" s="35"/>
      <c r="O19" s="53"/>
      <c r="P19" s="245"/>
      <c r="Q19" s="50"/>
      <c r="R19" s="208">
        <f>ROUND((ROUND((_11_A家事１．２５*_11・重度研修),0)*(1+_11・A早朝)),0)</f>
        <v>268</v>
      </c>
      <c r="S19" s="48"/>
    </row>
    <row r="20" spans="1:19" ht="16.5" customHeight="1" x14ac:dyDescent="0.15">
      <c r="A20" s="41">
        <v>11</v>
      </c>
      <c r="B20" s="41">
        <v>8390</v>
      </c>
      <c r="C20" s="74" t="s">
        <v>11973</v>
      </c>
      <c r="D20" s="799"/>
      <c r="E20" s="796"/>
      <c r="F20" s="35"/>
      <c r="I20" s="256" t="s">
        <v>397</v>
      </c>
      <c r="J20" s="218" t="s">
        <v>398</v>
      </c>
      <c r="K20" s="46">
        <v>1</v>
      </c>
      <c r="L20" s="35"/>
      <c r="O20" s="43"/>
      <c r="P20" s="220"/>
      <c r="Q20" s="38"/>
      <c r="R20" s="208">
        <f>ROUND((ROUND((ROUND((_11_A家事１．２５*_11・重度研修),0)*_11・２人),0)*(1+_11・A早朝)),0)</f>
        <v>268</v>
      </c>
      <c r="S20" s="48"/>
    </row>
    <row r="21" spans="1:19" ht="16.5" customHeight="1" x14ac:dyDescent="0.15">
      <c r="A21" s="41">
        <v>11</v>
      </c>
      <c r="B21" s="41" t="s">
        <v>11974</v>
      </c>
      <c r="C21" s="74" t="s">
        <v>11975</v>
      </c>
      <c r="D21" s="799"/>
      <c r="E21" s="796"/>
      <c r="F21" s="35"/>
      <c r="I21" s="163"/>
      <c r="J21" s="45"/>
      <c r="K21" s="46"/>
      <c r="L21" s="35"/>
      <c r="O21" s="734" t="s">
        <v>404</v>
      </c>
      <c r="P21" s="219" t="s">
        <v>398</v>
      </c>
      <c r="Q21" s="50">
        <f>_11・初任</f>
        <v>0.7</v>
      </c>
      <c r="R21" s="208">
        <f>ROUND((ROUND((ROUND((_11_A家事１．２５*_11・重度研修),0)*(1+_11・A早朝)),0)*_11・初任),0)</f>
        <v>188</v>
      </c>
      <c r="S21" s="48"/>
    </row>
    <row r="22" spans="1:19" ht="16.5" customHeight="1" x14ac:dyDescent="0.15">
      <c r="A22" s="41">
        <v>11</v>
      </c>
      <c r="B22" s="41" t="s">
        <v>11976</v>
      </c>
      <c r="C22" s="74" t="s">
        <v>11977</v>
      </c>
      <c r="D22" s="100">
        <f>_11_A家事１．２５</f>
        <v>238</v>
      </c>
      <c r="E22" s="12" t="s">
        <v>392</v>
      </c>
      <c r="F22" s="35"/>
      <c r="I22" s="256" t="s">
        <v>397</v>
      </c>
      <c r="J22" s="218" t="s">
        <v>398</v>
      </c>
      <c r="K22" s="46">
        <v>1</v>
      </c>
      <c r="L22" s="35"/>
      <c r="O22" s="706"/>
      <c r="P22" s="220"/>
      <c r="Q22" s="38"/>
      <c r="R22" s="208">
        <f>ROUND((ROUND((ROUND((ROUND((_11_A家事１．２５*_11・重度研修),0)*_11・２人),0)*(1+_11・A早朝)),0)*_11・初任),0)</f>
        <v>188</v>
      </c>
      <c r="S22" s="48"/>
    </row>
    <row r="23" spans="1:19" ht="16.5" customHeight="1" x14ac:dyDescent="0.15">
      <c r="A23" s="41">
        <v>11</v>
      </c>
      <c r="B23" s="41">
        <v>8391</v>
      </c>
      <c r="C23" s="74" t="s">
        <v>11978</v>
      </c>
      <c r="D23" s="707" t="s">
        <v>8851</v>
      </c>
      <c r="E23" s="798"/>
      <c r="F23" s="35"/>
      <c r="I23" s="163"/>
      <c r="J23" s="45"/>
      <c r="K23" s="46"/>
      <c r="L23" s="35"/>
      <c r="O23" s="53"/>
      <c r="P23" s="245"/>
      <c r="Q23" s="50"/>
      <c r="R23" s="208">
        <f>ROUND((ROUND((_11_A家事１．５*_11・重度研修),0)*(1+_11・A早朝)),0)</f>
        <v>309</v>
      </c>
      <c r="S23" s="48"/>
    </row>
    <row r="24" spans="1:19" ht="16.5" customHeight="1" x14ac:dyDescent="0.15">
      <c r="A24" s="41">
        <v>11</v>
      </c>
      <c r="B24" s="41">
        <v>8392</v>
      </c>
      <c r="C24" s="74" t="s">
        <v>11979</v>
      </c>
      <c r="D24" s="799"/>
      <c r="E24" s="796"/>
      <c r="F24" s="35"/>
      <c r="I24" s="256" t="s">
        <v>397</v>
      </c>
      <c r="J24" s="218" t="s">
        <v>398</v>
      </c>
      <c r="K24" s="46">
        <v>1</v>
      </c>
      <c r="L24" s="35"/>
      <c r="O24" s="43"/>
      <c r="P24" s="220"/>
      <c r="Q24" s="38"/>
      <c r="R24" s="208">
        <f>ROUND((ROUND((ROUND((_11_A家事１．５*_11・重度研修),0)*_11・２人),0)*(1+_11・A早朝)),0)</f>
        <v>309</v>
      </c>
      <c r="S24" s="48"/>
    </row>
    <row r="25" spans="1:19" ht="16.5" customHeight="1" x14ac:dyDescent="0.15">
      <c r="A25" s="41">
        <v>11</v>
      </c>
      <c r="B25" s="41" t="s">
        <v>11980</v>
      </c>
      <c r="C25" s="74" t="s">
        <v>11981</v>
      </c>
      <c r="D25" s="799"/>
      <c r="E25" s="796"/>
      <c r="F25" s="35"/>
      <c r="I25" s="163"/>
      <c r="J25" s="45"/>
      <c r="K25" s="46"/>
      <c r="L25" s="35"/>
      <c r="O25" s="734" t="s">
        <v>404</v>
      </c>
      <c r="P25" s="219" t="s">
        <v>398</v>
      </c>
      <c r="Q25" s="50">
        <f>_11・初任</f>
        <v>0.7</v>
      </c>
      <c r="R25" s="208">
        <f>ROUND((ROUND((ROUND((_11_A家事１．５*_11・重度研修),0)*(1+_11・A早朝)),0)*_11・初任),0)</f>
        <v>216</v>
      </c>
      <c r="S25" s="48"/>
    </row>
    <row r="26" spans="1:19" ht="16.5" customHeight="1" x14ac:dyDescent="0.15">
      <c r="A26" s="41">
        <v>11</v>
      </c>
      <c r="B26" s="41" t="s">
        <v>11982</v>
      </c>
      <c r="C26" s="74" t="s">
        <v>11983</v>
      </c>
      <c r="D26" s="100">
        <f>_11_A家事１．５</f>
        <v>274</v>
      </c>
      <c r="E26" s="12" t="s">
        <v>392</v>
      </c>
      <c r="F26" s="35"/>
      <c r="I26" s="256" t="s">
        <v>397</v>
      </c>
      <c r="J26" s="218" t="s">
        <v>398</v>
      </c>
      <c r="K26" s="46">
        <v>1</v>
      </c>
      <c r="L26" s="35"/>
      <c r="O26" s="706"/>
      <c r="P26" s="220"/>
      <c r="Q26" s="38"/>
      <c r="R26" s="208">
        <f>ROUND((ROUND((ROUND((ROUND((_11_A家事１．５*_11・重度研修),0)*_11・２人),0)*(1+_11・A早朝)),0)*_11・初任),0)</f>
        <v>216</v>
      </c>
      <c r="S26" s="48"/>
    </row>
    <row r="27" spans="1:19" ht="16.5" customHeight="1" x14ac:dyDescent="0.15">
      <c r="A27" s="41">
        <v>11</v>
      </c>
      <c r="B27" s="41">
        <v>8393</v>
      </c>
      <c r="C27" s="74" t="s">
        <v>11984</v>
      </c>
      <c r="D27" s="707" t="s">
        <v>8864</v>
      </c>
      <c r="E27" s="798"/>
      <c r="F27" s="35"/>
      <c r="I27" s="163"/>
      <c r="J27" s="45"/>
      <c r="K27" s="46"/>
      <c r="L27" s="35"/>
      <c r="O27" s="53"/>
      <c r="P27" s="245"/>
      <c r="Q27" s="50"/>
      <c r="R27" s="208">
        <f>ROUND((ROUND((_11_A家事１．７５*_11・重度研修),0)*(1+_11・A早朝)),0)</f>
        <v>348</v>
      </c>
      <c r="S27" s="48"/>
    </row>
    <row r="28" spans="1:19" ht="16.5" customHeight="1" x14ac:dyDescent="0.15">
      <c r="A28" s="41">
        <v>11</v>
      </c>
      <c r="B28" s="41">
        <v>8394</v>
      </c>
      <c r="C28" s="74" t="s">
        <v>11985</v>
      </c>
      <c r="D28" s="799"/>
      <c r="E28" s="796"/>
      <c r="F28" s="35"/>
      <c r="I28" s="256" t="s">
        <v>397</v>
      </c>
      <c r="J28" s="218" t="s">
        <v>398</v>
      </c>
      <c r="K28" s="46">
        <v>1</v>
      </c>
      <c r="L28" s="35"/>
      <c r="O28" s="43"/>
      <c r="P28" s="220"/>
      <c r="Q28" s="38"/>
      <c r="R28" s="208">
        <f>ROUND((ROUND((ROUND((_11_A家事１．７５*_11・重度研修),0)*_11・２人),0)*(1+_11・A早朝)),0)</f>
        <v>348</v>
      </c>
      <c r="S28" s="48"/>
    </row>
    <row r="29" spans="1:19" ht="16.5" customHeight="1" x14ac:dyDescent="0.15">
      <c r="A29" s="41">
        <v>11</v>
      </c>
      <c r="B29" s="41" t="s">
        <v>11986</v>
      </c>
      <c r="C29" s="74" t="s">
        <v>11987</v>
      </c>
      <c r="D29" s="799"/>
      <c r="E29" s="796"/>
      <c r="F29" s="35"/>
      <c r="I29" s="163"/>
      <c r="J29" s="45"/>
      <c r="K29" s="46"/>
      <c r="L29" s="35"/>
      <c r="O29" s="734" t="s">
        <v>404</v>
      </c>
      <c r="P29" s="219" t="s">
        <v>398</v>
      </c>
      <c r="Q29" s="50">
        <f>_11・初任</f>
        <v>0.7</v>
      </c>
      <c r="R29" s="208">
        <f>ROUND((ROUND((ROUND((_11_A家事１．７５*_11・重度研修),0)*(1+_11・A早朝)),0)*_11・初任),0)</f>
        <v>244</v>
      </c>
      <c r="S29" s="48"/>
    </row>
    <row r="30" spans="1:19" ht="16.5" customHeight="1" x14ac:dyDescent="0.15">
      <c r="A30" s="41">
        <v>11</v>
      </c>
      <c r="B30" s="41" t="s">
        <v>11988</v>
      </c>
      <c r="C30" s="74" t="s">
        <v>11989</v>
      </c>
      <c r="D30" s="100">
        <f>_11_A家事１．７５</f>
        <v>309</v>
      </c>
      <c r="E30" s="12" t="s">
        <v>392</v>
      </c>
      <c r="F30" s="35"/>
      <c r="I30" s="256" t="s">
        <v>397</v>
      </c>
      <c r="J30" s="218" t="s">
        <v>398</v>
      </c>
      <c r="K30" s="46">
        <v>1</v>
      </c>
      <c r="L30" s="35"/>
      <c r="O30" s="706"/>
      <c r="P30" s="220"/>
      <c r="Q30" s="38"/>
      <c r="R30" s="208">
        <f>ROUND((ROUND((ROUND((ROUND((_11_A家事１．７５*_11・重度研修),0)*_11・２人),0)*(1+_11・A早朝)),0)*_11・初任),0)</f>
        <v>244</v>
      </c>
      <c r="S30" s="48"/>
    </row>
    <row r="31" spans="1:19" ht="16.5" customHeight="1" x14ac:dyDescent="0.15">
      <c r="A31" s="41">
        <v>11</v>
      </c>
      <c r="B31" s="41">
        <v>8395</v>
      </c>
      <c r="C31" s="74" t="s">
        <v>11990</v>
      </c>
      <c r="D31" s="707" t="s">
        <v>8877</v>
      </c>
      <c r="E31" s="798"/>
      <c r="F31" s="35"/>
      <c r="I31" s="163"/>
      <c r="J31" s="45"/>
      <c r="K31" s="46"/>
      <c r="L31" s="35"/>
      <c r="O31" s="53"/>
      <c r="P31" s="245"/>
      <c r="Q31" s="50"/>
      <c r="R31" s="208">
        <f>ROUND((ROUND((_11_A家事２．０*_11・重度研修),0)*(1+_11・A早朝)),0)</f>
        <v>388</v>
      </c>
      <c r="S31" s="48"/>
    </row>
    <row r="32" spans="1:19" ht="16.5" customHeight="1" x14ac:dyDescent="0.15">
      <c r="A32" s="41">
        <v>11</v>
      </c>
      <c r="B32" s="41">
        <v>8396</v>
      </c>
      <c r="C32" s="74" t="s">
        <v>11991</v>
      </c>
      <c r="D32" s="799"/>
      <c r="E32" s="796"/>
      <c r="F32" s="35"/>
      <c r="I32" s="256" t="s">
        <v>397</v>
      </c>
      <c r="J32" s="218" t="s">
        <v>398</v>
      </c>
      <c r="K32" s="46">
        <v>1</v>
      </c>
      <c r="L32" s="35"/>
      <c r="O32" s="43"/>
      <c r="P32" s="220"/>
      <c r="Q32" s="38"/>
      <c r="R32" s="208">
        <f>ROUND((ROUND((ROUND((_11_A家事２．０*_11・重度研修),0)*_11・２人),0)*(1+_11・A早朝)),0)</f>
        <v>388</v>
      </c>
      <c r="S32" s="48"/>
    </row>
    <row r="33" spans="1:19" ht="16.5" customHeight="1" x14ac:dyDescent="0.15">
      <c r="A33" s="41">
        <v>11</v>
      </c>
      <c r="B33" s="41" t="s">
        <v>11992</v>
      </c>
      <c r="C33" s="74" t="s">
        <v>11993</v>
      </c>
      <c r="D33" s="799"/>
      <c r="E33" s="796"/>
      <c r="F33" s="35"/>
      <c r="I33" s="163"/>
      <c r="J33" s="45"/>
      <c r="K33" s="46"/>
      <c r="L33" s="35"/>
      <c r="O33" s="734" t="s">
        <v>404</v>
      </c>
      <c r="P33" s="219" t="s">
        <v>398</v>
      </c>
      <c r="Q33" s="50">
        <f>_11・初任</f>
        <v>0.7</v>
      </c>
      <c r="R33" s="208">
        <f>ROUND((ROUND((ROUND((_11_A家事２．０*_11・重度研修),0)*(1+_11・A早朝)),0)*_11・初任),0)</f>
        <v>272</v>
      </c>
      <c r="S33" s="48"/>
    </row>
    <row r="34" spans="1:19" ht="16.5" customHeight="1" x14ac:dyDescent="0.15">
      <c r="A34" s="41">
        <v>11</v>
      </c>
      <c r="B34" s="41" t="s">
        <v>11994</v>
      </c>
      <c r="C34" s="74" t="s">
        <v>11995</v>
      </c>
      <c r="D34" s="100">
        <f>_11_A家事２．０</f>
        <v>344</v>
      </c>
      <c r="E34" s="12" t="s">
        <v>392</v>
      </c>
      <c r="F34" s="35"/>
      <c r="I34" s="256" t="s">
        <v>397</v>
      </c>
      <c r="J34" s="218" t="s">
        <v>398</v>
      </c>
      <c r="K34" s="46">
        <v>1</v>
      </c>
      <c r="L34" s="35"/>
      <c r="O34" s="706"/>
      <c r="P34" s="220"/>
      <c r="Q34" s="38"/>
      <c r="R34" s="208">
        <f>ROUND((ROUND((ROUND((ROUND((_11_A家事２．０*_11・重度研修),0)*_11・２人),0)*(1+_11・A早朝)),0)*_11・初任),0)</f>
        <v>272</v>
      </c>
      <c r="S34" s="48"/>
    </row>
    <row r="35" spans="1:19" ht="16.5" customHeight="1" x14ac:dyDescent="0.15">
      <c r="A35" s="41">
        <v>11</v>
      </c>
      <c r="B35" s="41">
        <v>8397</v>
      </c>
      <c r="C35" s="74" t="s">
        <v>11996</v>
      </c>
      <c r="D35" s="707" t="s">
        <v>8890</v>
      </c>
      <c r="E35" s="798"/>
      <c r="F35" s="35"/>
      <c r="I35" s="163"/>
      <c r="J35" s="45"/>
      <c r="K35" s="46"/>
      <c r="L35" s="35"/>
      <c r="O35" s="53"/>
      <c r="P35" s="245"/>
      <c r="Q35" s="50"/>
      <c r="R35" s="208">
        <f>ROUND((ROUND((_11_A家事２．２５*_11・重度研修),0)*(1+_11・A早朝)),0)</f>
        <v>426</v>
      </c>
      <c r="S35" s="48"/>
    </row>
    <row r="36" spans="1:19" ht="16.5" customHeight="1" x14ac:dyDescent="0.15">
      <c r="A36" s="41">
        <v>11</v>
      </c>
      <c r="B36" s="41">
        <v>8398</v>
      </c>
      <c r="C36" s="74" t="s">
        <v>11997</v>
      </c>
      <c r="D36" s="799"/>
      <c r="E36" s="796"/>
      <c r="F36" s="35"/>
      <c r="I36" s="256" t="s">
        <v>397</v>
      </c>
      <c r="J36" s="218" t="s">
        <v>398</v>
      </c>
      <c r="K36" s="46">
        <v>1</v>
      </c>
      <c r="L36" s="35"/>
      <c r="O36" s="43"/>
      <c r="P36" s="220"/>
      <c r="Q36" s="38"/>
      <c r="R36" s="208">
        <f>ROUND((ROUND((ROUND((_11_A家事２．２５*_11・重度研修),0)*_11・２人),0)*(1+_11・A早朝)),0)</f>
        <v>426</v>
      </c>
      <c r="S36" s="48"/>
    </row>
    <row r="37" spans="1:19" ht="16.5" customHeight="1" x14ac:dyDescent="0.15">
      <c r="A37" s="41">
        <v>11</v>
      </c>
      <c r="B37" s="41" t="s">
        <v>11998</v>
      </c>
      <c r="C37" s="74" t="s">
        <v>11999</v>
      </c>
      <c r="D37" s="799"/>
      <c r="E37" s="796"/>
      <c r="F37" s="35"/>
      <c r="I37" s="163"/>
      <c r="J37" s="45"/>
      <c r="K37" s="46"/>
      <c r="L37" s="35"/>
      <c r="O37" s="734" t="s">
        <v>404</v>
      </c>
      <c r="P37" s="219" t="s">
        <v>398</v>
      </c>
      <c r="Q37" s="50">
        <f>_11・初任</f>
        <v>0.7</v>
      </c>
      <c r="R37" s="208">
        <f>ROUND((ROUND((ROUND((_11_A家事２．２５*_11・重度研修),0)*(1+_11・A早朝)),0)*_11・初任),0)</f>
        <v>298</v>
      </c>
      <c r="S37" s="48"/>
    </row>
    <row r="38" spans="1:19" ht="16.5" customHeight="1" x14ac:dyDescent="0.15">
      <c r="A38" s="41">
        <v>11</v>
      </c>
      <c r="B38" s="41" t="s">
        <v>12000</v>
      </c>
      <c r="C38" s="74" t="s">
        <v>12001</v>
      </c>
      <c r="D38" s="100">
        <f>_11_A家事２．２５</f>
        <v>379</v>
      </c>
      <c r="E38" s="12" t="s">
        <v>392</v>
      </c>
      <c r="F38" s="35"/>
      <c r="I38" s="256" t="s">
        <v>397</v>
      </c>
      <c r="J38" s="218" t="s">
        <v>398</v>
      </c>
      <c r="K38" s="46">
        <v>1</v>
      </c>
      <c r="L38" s="35"/>
      <c r="O38" s="706"/>
      <c r="P38" s="220"/>
      <c r="Q38" s="38"/>
      <c r="R38" s="208">
        <f>ROUND((ROUND((ROUND((ROUND((_11_A家事２．２５*_11・重度研修),0)*_11・２人),0)*(1+_11・A早朝)),0)*_11・初任),0)</f>
        <v>298</v>
      </c>
      <c r="S38" s="48"/>
    </row>
    <row r="39" spans="1:19" ht="16.5" customHeight="1" x14ac:dyDescent="0.15">
      <c r="A39" s="41">
        <v>11</v>
      </c>
      <c r="B39" s="41">
        <v>8399</v>
      </c>
      <c r="C39" s="74" t="s">
        <v>12002</v>
      </c>
      <c r="D39" s="707" t="s">
        <v>8903</v>
      </c>
      <c r="E39" s="798"/>
      <c r="F39" s="35"/>
      <c r="I39" s="163"/>
      <c r="J39" s="45"/>
      <c r="K39" s="46"/>
      <c r="L39" s="35"/>
      <c r="O39" s="53"/>
      <c r="P39" s="245"/>
      <c r="Q39" s="50"/>
      <c r="R39" s="208">
        <f>ROUND((ROUND((_11_A家事２．５*_11・重度研修),0)*(1+_11・A早朝)),0)</f>
        <v>466</v>
      </c>
      <c r="S39" s="48"/>
    </row>
    <row r="40" spans="1:19" ht="16.5" customHeight="1" x14ac:dyDescent="0.15">
      <c r="A40" s="41">
        <v>11</v>
      </c>
      <c r="B40" s="41">
        <v>8400</v>
      </c>
      <c r="C40" s="74" t="s">
        <v>12003</v>
      </c>
      <c r="D40" s="799"/>
      <c r="E40" s="796"/>
      <c r="F40" s="35"/>
      <c r="I40" s="256" t="s">
        <v>397</v>
      </c>
      <c r="J40" s="218" t="s">
        <v>398</v>
      </c>
      <c r="K40" s="46">
        <v>1</v>
      </c>
      <c r="L40" s="35"/>
      <c r="O40" s="43"/>
      <c r="P40" s="220"/>
      <c r="Q40" s="38"/>
      <c r="R40" s="208">
        <f>ROUND((ROUND((ROUND((_11_A家事２．５*_11・重度研修),0)*_11・２人),0)*(1+_11・A早朝)),0)</f>
        <v>466</v>
      </c>
      <c r="S40" s="48"/>
    </row>
    <row r="41" spans="1:19" ht="16.5" customHeight="1" x14ac:dyDescent="0.15">
      <c r="A41" s="41">
        <v>11</v>
      </c>
      <c r="B41" s="41" t="s">
        <v>12004</v>
      </c>
      <c r="C41" s="74" t="s">
        <v>12005</v>
      </c>
      <c r="D41" s="799"/>
      <c r="E41" s="796"/>
      <c r="F41" s="35"/>
      <c r="I41" s="163"/>
      <c r="J41" s="45"/>
      <c r="K41" s="46"/>
      <c r="L41" s="35"/>
      <c r="O41" s="734" t="s">
        <v>404</v>
      </c>
      <c r="P41" s="219" t="s">
        <v>398</v>
      </c>
      <c r="Q41" s="50">
        <f>_11・初任</f>
        <v>0.7</v>
      </c>
      <c r="R41" s="208">
        <f>ROUND((ROUND((ROUND((_11_A家事２．５*_11・重度研修),0)*(1+_11・A早朝)),0)*_11・初任),0)</f>
        <v>326</v>
      </c>
      <c r="S41" s="48"/>
    </row>
    <row r="42" spans="1:19" ht="16.5" customHeight="1" x14ac:dyDescent="0.15">
      <c r="A42" s="41">
        <v>11</v>
      </c>
      <c r="B42" s="41" t="s">
        <v>12006</v>
      </c>
      <c r="C42" s="74" t="s">
        <v>12007</v>
      </c>
      <c r="D42" s="165">
        <f>_11_A家事２．５</f>
        <v>414</v>
      </c>
      <c r="E42" s="37" t="s">
        <v>392</v>
      </c>
      <c r="F42" s="43"/>
      <c r="G42" s="37"/>
      <c r="H42" s="38"/>
      <c r="I42" s="256" t="s">
        <v>397</v>
      </c>
      <c r="J42" s="218" t="s">
        <v>398</v>
      </c>
      <c r="K42" s="46">
        <v>1</v>
      </c>
      <c r="L42" s="43"/>
      <c r="M42" s="37"/>
      <c r="N42" s="38"/>
      <c r="O42" s="706"/>
      <c r="P42" s="220"/>
      <c r="Q42" s="38"/>
      <c r="R42" s="208">
        <f>ROUND((ROUND((ROUND((ROUND((_11_A家事２．５*_11・重度研修),0)*_11・２人),0)*(1+_11・A早朝)),0)*_11・初任),0)</f>
        <v>326</v>
      </c>
      <c r="S42" s="63"/>
    </row>
    <row r="43" spans="1:19" ht="16.5" customHeight="1" x14ac:dyDescent="0.15">
      <c r="A43" s="80"/>
      <c r="B43" s="80"/>
      <c r="C43" s="81"/>
      <c r="R43" s="209"/>
      <c r="S43" s="85"/>
    </row>
    <row r="44" spans="1:19" ht="16.5" customHeight="1" x14ac:dyDescent="0.15">
      <c r="A44" s="80"/>
      <c r="B44" s="80"/>
      <c r="C44" s="81"/>
      <c r="R44" s="209"/>
      <c r="S44" s="85"/>
    </row>
    <row r="45" spans="1:19" ht="16.5" customHeight="1" x14ac:dyDescent="0.15">
      <c r="A45" s="80"/>
      <c r="B45" s="86" t="s">
        <v>12008</v>
      </c>
      <c r="C45" s="81"/>
      <c r="D45" s="71"/>
      <c r="R45" s="209"/>
      <c r="S45" s="85"/>
    </row>
    <row r="46" spans="1:19" ht="16.5" customHeight="1" x14ac:dyDescent="0.15">
      <c r="A46" s="87" t="s">
        <v>384</v>
      </c>
      <c r="B46" s="20"/>
      <c r="C46" s="88" t="s">
        <v>385</v>
      </c>
      <c r="D46" s="23" t="s">
        <v>386</v>
      </c>
      <c r="E46" s="23"/>
      <c r="F46" s="23"/>
      <c r="G46" s="23"/>
      <c r="H46" s="24"/>
      <c r="I46" s="23"/>
      <c r="J46" s="23"/>
      <c r="K46" s="24"/>
      <c r="L46" s="23"/>
      <c r="M46" s="23"/>
      <c r="N46" s="24"/>
      <c r="O46" s="23"/>
      <c r="P46" s="166"/>
      <c r="Q46" s="24"/>
      <c r="R46" s="21" t="s">
        <v>387</v>
      </c>
      <c r="S46" s="21" t="s">
        <v>388</v>
      </c>
    </row>
    <row r="47" spans="1:19" ht="16.5" customHeight="1" x14ac:dyDescent="0.15">
      <c r="A47" s="26" t="s">
        <v>389</v>
      </c>
      <c r="B47" s="26" t="s">
        <v>390</v>
      </c>
      <c r="C47" s="89"/>
      <c r="D47" s="29"/>
      <c r="E47" s="29"/>
      <c r="F47" s="29"/>
      <c r="G47" s="29"/>
      <c r="H47" s="30"/>
      <c r="I47" s="29"/>
      <c r="J47" s="29"/>
      <c r="K47" s="30"/>
      <c r="L47" s="29"/>
      <c r="M47" s="29"/>
      <c r="N47" s="30"/>
      <c r="O47" s="29"/>
      <c r="P47" s="214"/>
      <c r="Q47" s="30"/>
      <c r="R47" s="32" t="s">
        <v>391</v>
      </c>
      <c r="S47" s="32" t="s">
        <v>392</v>
      </c>
    </row>
    <row r="48" spans="1:19" ht="16.5" customHeight="1" x14ac:dyDescent="0.15">
      <c r="A48" s="33">
        <v>11</v>
      </c>
      <c r="B48" s="33">
        <v>8401</v>
      </c>
      <c r="C48" s="34" t="s">
        <v>12009</v>
      </c>
      <c r="D48" s="709" t="s">
        <v>742</v>
      </c>
      <c r="E48" s="796"/>
      <c r="F48" s="803" t="s">
        <v>11707</v>
      </c>
      <c r="G48" s="804"/>
      <c r="H48" s="805"/>
      <c r="I48" s="43"/>
      <c r="J48" s="37"/>
      <c r="K48" s="38"/>
      <c r="L48" s="72" t="s">
        <v>743</v>
      </c>
      <c r="N48" s="234"/>
      <c r="R48" s="207">
        <f>ROUND((ROUND((_11_A家事０．５*_11・重度研修),0)*(1+_11・A夜間)),0)</f>
        <v>119</v>
      </c>
      <c r="S48" s="40" t="s">
        <v>395</v>
      </c>
    </row>
    <row r="49" spans="1:19" ht="16.5" customHeight="1" x14ac:dyDescent="0.15">
      <c r="A49" s="41">
        <v>11</v>
      </c>
      <c r="B49" s="41">
        <v>8402</v>
      </c>
      <c r="C49" s="74" t="s">
        <v>12010</v>
      </c>
      <c r="D49" s="799"/>
      <c r="E49" s="796"/>
      <c r="F49" s="801"/>
      <c r="G49" s="806"/>
      <c r="H49" s="792"/>
      <c r="I49" s="256" t="s">
        <v>397</v>
      </c>
      <c r="J49" s="218" t="s">
        <v>398</v>
      </c>
      <c r="K49" s="46">
        <v>1</v>
      </c>
      <c r="L49" s="258" t="s">
        <v>398</v>
      </c>
      <c r="M49" s="13">
        <v>0.25</v>
      </c>
      <c r="N49" s="718" t="s">
        <v>676</v>
      </c>
      <c r="O49" s="37"/>
      <c r="P49" s="220"/>
      <c r="Q49" s="38"/>
      <c r="R49" s="208">
        <f>ROUND((ROUND((ROUND((_11_A家事０．５*_11・重度研修),0)*_11・２人),0)*(1+_11・A夜間)),0)</f>
        <v>119</v>
      </c>
      <c r="S49" s="48"/>
    </row>
    <row r="50" spans="1:19" ht="16.5" customHeight="1" x14ac:dyDescent="0.15">
      <c r="A50" s="41">
        <v>11</v>
      </c>
      <c r="B50" s="41" t="s">
        <v>12011</v>
      </c>
      <c r="C50" s="74" t="s">
        <v>12012</v>
      </c>
      <c r="D50" s="799"/>
      <c r="E50" s="796"/>
      <c r="F50" s="801"/>
      <c r="G50" s="806"/>
      <c r="H50" s="792"/>
      <c r="I50" s="163"/>
      <c r="J50" s="45"/>
      <c r="K50" s="46"/>
      <c r="L50" s="35"/>
      <c r="N50" s="802"/>
      <c r="O50" s="734" t="s">
        <v>404</v>
      </c>
      <c r="P50" s="219" t="s">
        <v>398</v>
      </c>
      <c r="Q50" s="50">
        <f>_11・初任</f>
        <v>0.7</v>
      </c>
      <c r="R50" s="208">
        <f>ROUND((ROUND((ROUND((_11_A家事０．５*_11・重度研修),0)*(1+_11・A夜間)),0)*_11・初任),0)</f>
        <v>83</v>
      </c>
      <c r="S50" s="48"/>
    </row>
    <row r="51" spans="1:19" ht="16.5" customHeight="1" x14ac:dyDescent="0.15">
      <c r="A51" s="41">
        <v>11</v>
      </c>
      <c r="B51" s="41" t="s">
        <v>12013</v>
      </c>
      <c r="C51" s="74" t="s">
        <v>12014</v>
      </c>
      <c r="D51" s="100">
        <f>_11_A家事０．５</f>
        <v>105</v>
      </c>
      <c r="E51" s="12" t="s">
        <v>392</v>
      </c>
      <c r="F51" s="35"/>
      <c r="G51" s="10" t="s">
        <v>398</v>
      </c>
      <c r="H51" s="234">
        <v>0.9</v>
      </c>
      <c r="I51" s="256" t="s">
        <v>397</v>
      </c>
      <c r="J51" s="218" t="s">
        <v>398</v>
      </c>
      <c r="K51" s="46">
        <v>1</v>
      </c>
      <c r="L51" s="35"/>
      <c r="O51" s="706"/>
      <c r="P51" s="220"/>
      <c r="Q51" s="38"/>
      <c r="R51" s="208">
        <f>ROUND((ROUND((ROUND((ROUND((_11_A家事０．５*_11・重度研修),0)*_11・２人),0)*(1+_11・A夜間)),0)*_11・初任),0)</f>
        <v>83</v>
      </c>
      <c r="S51" s="48"/>
    </row>
    <row r="52" spans="1:19" ht="16.5" customHeight="1" x14ac:dyDescent="0.15">
      <c r="A52" s="41">
        <v>11</v>
      </c>
      <c r="B52" s="41">
        <v>8403</v>
      </c>
      <c r="C52" s="74" t="s">
        <v>12015</v>
      </c>
      <c r="D52" s="707" t="s">
        <v>8929</v>
      </c>
      <c r="E52" s="798"/>
      <c r="F52" s="35"/>
      <c r="I52" s="163"/>
      <c r="J52" s="45"/>
      <c r="K52" s="46"/>
      <c r="L52" s="35"/>
      <c r="O52" s="53"/>
      <c r="P52" s="245"/>
      <c r="Q52" s="50"/>
      <c r="R52" s="208">
        <f>ROUND((ROUND((_11_A家事０．７５*_11・重度研修),0)*(1+_11・A夜間)),0)</f>
        <v>171</v>
      </c>
      <c r="S52" s="48"/>
    </row>
    <row r="53" spans="1:19" ht="16.5" customHeight="1" x14ac:dyDescent="0.15">
      <c r="A53" s="41">
        <v>11</v>
      </c>
      <c r="B53" s="41">
        <v>8404</v>
      </c>
      <c r="C53" s="74" t="s">
        <v>12016</v>
      </c>
      <c r="D53" s="799"/>
      <c r="E53" s="796"/>
      <c r="F53" s="35"/>
      <c r="I53" s="256" t="s">
        <v>397</v>
      </c>
      <c r="J53" s="218" t="s">
        <v>398</v>
      </c>
      <c r="K53" s="46">
        <v>1</v>
      </c>
      <c r="L53" s="35"/>
      <c r="O53" s="43"/>
      <c r="P53" s="220"/>
      <c r="Q53" s="38"/>
      <c r="R53" s="208">
        <f>ROUND((ROUND((ROUND((_11_A家事０．７５*_11・重度研修),0)*_11・２人),0)*(1+_11・A夜間)),0)</f>
        <v>171</v>
      </c>
      <c r="S53" s="48"/>
    </row>
    <row r="54" spans="1:19" ht="16.5" customHeight="1" x14ac:dyDescent="0.15">
      <c r="A54" s="41">
        <v>11</v>
      </c>
      <c r="B54" s="41" t="s">
        <v>12017</v>
      </c>
      <c r="C54" s="74" t="s">
        <v>12018</v>
      </c>
      <c r="D54" s="799"/>
      <c r="E54" s="796"/>
      <c r="F54" s="35"/>
      <c r="I54" s="163"/>
      <c r="J54" s="45"/>
      <c r="K54" s="46"/>
      <c r="L54" s="35"/>
      <c r="O54" s="734" t="s">
        <v>404</v>
      </c>
      <c r="P54" s="219" t="s">
        <v>398</v>
      </c>
      <c r="Q54" s="50">
        <f>_11・初任</f>
        <v>0.7</v>
      </c>
      <c r="R54" s="208">
        <f>ROUND((ROUND((ROUND((_11_A家事０．７５*_11・重度研修),0)*(1+_11・A夜間)),0)*_11・初任),0)</f>
        <v>120</v>
      </c>
      <c r="S54" s="48"/>
    </row>
    <row r="55" spans="1:19" ht="16.5" customHeight="1" x14ac:dyDescent="0.15">
      <c r="A55" s="41">
        <v>11</v>
      </c>
      <c r="B55" s="41" t="s">
        <v>12019</v>
      </c>
      <c r="C55" s="74" t="s">
        <v>12020</v>
      </c>
      <c r="D55" s="100">
        <f>_11_A家事０．７５</f>
        <v>152</v>
      </c>
      <c r="E55" s="12" t="s">
        <v>392</v>
      </c>
      <c r="F55" s="35"/>
      <c r="I55" s="256" t="s">
        <v>397</v>
      </c>
      <c r="J55" s="218" t="s">
        <v>398</v>
      </c>
      <c r="K55" s="46">
        <v>1</v>
      </c>
      <c r="L55" s="35"/>
      <c r="O55" s="706"/>
      <c r="P55" s="220"/>
      <c r="Q55" s="38"/>
      <c r="R55" s="208">
        <f>ROUND((ROUND((ROUND((ROUND((_11_A家事０．７５*_11・重度研修),0)*_11・２人),0)*(1+_11・A夜間)),0)*_11・初任),0)</f>
        <v>120</v>
      </c>
      <c r="S55" s="48"/>
    </row>
    <row r="56" spans="1:19" ht="16.5" customHeight="1" x14ac:dyDescent="0.15">
      <c r="A56" s="41">
        <v>11</v>
      </c>
      <c r="B56" s="41">
        <v>8405</v>
      </c>
      <c r="C56" s="74" t="s">
        <v>12021</v>
      </c>
      <c r="D56" s="707" t="s">
        <v>8942</v>
      </c>
      <c r="E56" s="798"/>
      <c r="F56" s="35"/>
      <c r="I56" s="163"/>
      <c r="J56" s="45"/>
      <c r="K56" s="46"/>
      <c r="L56" s="35"/>
      <c r="O56" s="53"/>
      <c r="P56" s="245"/>
      <c r="Q56" s="50"/>
      <c r="R56" s="208">
        <f>ROUND((ROUND((_11_A家事１．０*_11・重度研修),0)*(1+_11・A夜間)),0)</f>
        <v>220</v>
      </c>
      <c r="S56" s="48"/>
    </row>
    <row r="57" spans="1:19" ht="16.5" customHeight="1" x14ac:dyDescent="0.15">
      <c r="A57" s="41">
        <v>11</v>
      </c>
      <c r="B57" s="41">
        <v>8406</v>
      </c>
      <c r="C57" s="74" t="s">
        <v>12022</v>
      </c>
      <c r="D57" s="799"/>
      <c r="E57" s="796"/>
      <c r="F57" s="35"/>
      <c r="I57" s="256" t="s">
        <v>397</v>
      </c>
      <c r="J57" s="218" t="s">
        <v>398</v>
      </c>
      <c r="K57" s="46">
        <v>1</v>
      </c>
      <c r="L57" s="35"/>
      <c r="O57" s="43"/>
      <c r="P57" s="220"/>
      <c r="Q57" s="38"/>
      <c r="R57" s="208">
        <f>ROUND((ROUND((ROUND((_11_A家事１．０*_11・重度研修),0)*_11・２人),0)*(1+_11・A夜間)),0)</f>
        <v>220</v>
      </c>
      <c r="S57" s="48"/>
    </row>
    <row r="58" spans="1:19" ht="16.5" customHeight="1" x14ac:dyDescent="0.15">
      <c r="A58" s="41">
        <v>11</v>
      </c>
      <c r="B58" s="41" t="s">
        <v>12023</v>
      </c>
      <c r="C58" s="74" t="s">
        <v>12024</v>
      </c>
      <c r="D58" s="799"/>
      <c r="E58" s="796"/>
      <c r="F58" s="35"/>
      <c r="I58" s="163"/>
      <c r="J58" s="45"/>
      <c r="K58" s="46"/>
      <c r="L58" s="35"/>
      <c r="O58" s="734" t="s">
        <v>404</v>
      </c>
      <c r="P58" s="219" t="s">
        <v>398</v>
      </c>
      <c r="Q58" s="50">
        <f>_11・初任</f>
        <v>0.7</v>
      </c>
      <c r="R58" s="208">
        <f>ROUND((ROUND((ROUND((_11_A家事１．０*_11・重度研修),0)*(1+_11・A夜間)),0)*_11・初任),0)</f>
        <v>154</v>
      </c>
      <c r="S58" s="48"/>
    </row>
    <row r="59" spans="1:19" ht="16.5" customHeight="1" x14ac:dyDescent="0.15">
      <c r="A59" s="41">
        <v>11</v>
      </c>
      <c r="B59" s="41" t="s">
        <v>12025</v>
      </c>
      <c r="C59" s="74" t="s">
        <v>12026</v>
      </c>
      <c r="D59" s="100">
        <f>_11_A家事１．０</f>
        <v>196</v>
      </c>
      <c r="E59" s="12" t="s">
        <v>392</v>
      </c>
      <c r="F59" s="35"/>
      <c r="I59" s="256" t="s">
        <v>397</v>
      </c>
      <c r="J59" s="218" t="s">
        <v>398</v>
      </c>
      <c r="K59" s="46">
        <v>1</v>
      </c>
      <c r="L59" s="35"/>
      <c r="O59" s="706"/>
      <c r="P59" s="220"/>
      <c r="Q59" s="38"/>
      <c r="R59" s="208">
        <f>ROUND((ROUND((ROUND((ROUND((_11_A家事１．０*_11・重度研修),0)*_11・２人),0)*(1+_11・A夜間)),0)*_11・初任),0)</f>
        <v>154</v>
      </c>
      <c r="S59" s="48"/>
    </row>
    <row r="60" spans="1:19" ht="16.5" customHeight="1" x14ac:dyDescent="0.15">
      <c r="A60" s="41">
        <v>11</v>
      </c>
      <c r="B60" s="41">
        <v>8407</v>
      </c>
      <c r="C60" s="74" t="s">
        <v>12027</v>
      </c>
      <c r="D60" s="707" t="s">
        <v>8955</v>
      </c>
      <c r="E60" s="798"/>
      <c r="F60" s="35"/>
      <c r="I60" s="163"/>
      <c r="J60" s="45"/>
      <c r="K60" s="46"/>
      <c r="L60" s="35"/>
      <c r="O60" s="53"/>
      <c r="P60" s="245"/>
      <c r="Q60" s="50"/>
      <c r="R60" s="208">
        <f>ROUND((ROUND((_11_A家事１．２５*_11・重度研修),0)*(1+_11・A夜間)),0)</f>
        <v>268</v>
      </c>
      <c r="S60" s="48"/>
    </row>
    <row r="61" spans="1:19" ht="16.5" customHeight="1" x14ac:dyDescent="0.15">
      <c r="A61" s="41">
        <v>11</v>
      </c>
      <c r="B61" s="41">
        <v>8408</v>
      </c>
      <c r="C61" s="74" t="s">
        <v>12028</v>
      </c>
      <c r="D61" s="799"/>
      <c r="E61" s="796"/>
      <c r="F61" s="35"/>
      <c r="I61" s="256" t="s">
        <v>397</v>
      </c>
      <c r="J61" s="218" t="s">
        <v>398</v>
      </c>
      <c r="K61" s="46">
        <v>1</v>
      </c>
      <c r="L61" s="35"/>
      <c r="O61" s="43"/>
      <c r="P61" s="220"/>
      <c r="Q61" s="38"/>
      <c r="R61" s="208">
        <f>ROUND((ROUND((ROUND((_11_A家事１．２５*_11・重度研修),0)*_11・２人),0)*(1+_11・A夜間)),0)</f>
        <v>268</v>
      </c>
      <c r="S61" s="48"/>
    </row>
    <row r="62" spans="1:19" ht="16.5" customHeight="1" x14ac:dyDescent="0.15">
      <c r="A62" s="41">
        <v>11</v>
      </c>
      <c r="B62" s="41" t="s">
        <v>12029</v>
      </c>
      <c r="C62" s="74" t="s">
        <v>12030</v>
      </c>
      <c r="D62" s="799"/>
      <c r="E62" s="796"/>
      <c r="F62" s="35"/>
      <c r="I62" s="163"/>
      <c r="J62" s="45"/>
      <c r="K62" s="46"/>
      <c r="L62" s="35"/>
      <c r="O62" s="734" t="s">
        <v>404</v>
      </c>
      <c r="P62" s="219" t="s">
        <v>398</v>
      </c>
      <c r="Q62" s="50">
        <f>_11・初任</f>
        <v>0.7</v>
      </c>
      <c r="R62" s="208">
        <f>ROUND((ROUND((ROUND((_11_A家事１．２５*_11・重度研修),0)*(1+_11・A夜間)),0)*_11・初任),0)</f>
        <v>188</v>
      </c>
      <c r="S62" s="48"/>
    </row>
    <row r="63" spans="1:19" ht="16.5" customHeight="1" x14ac:dyDescent="0.15">
      <c r="A63" s="41">
        <v>11</v>
      </c>
      <c r="B63" s="41" t="s">
        <v>12031</v>
      </c>
      <c r="C63" s="74" t="s">
        <v>12032</v>
      </c>
      <c r="D63" s="100">
        <f>_11_A家事１．２５</f>
        <v>238</v>
      </c>
      <c r="E63" s="12" t="s">
        <v>392</v>
      </c>
      <c r="F63" s="35"/>
      <c r="I63" s="256" t="s">
        <v>397</v>
      </c>
      <c r="J63" s="218" t="s">
        <v>398</v>
      </c>
      <c r="K63" s="46">
        <v>1</v>
      </c>
      <c r="L63" s="35"/>
      <c r="O63" s="706"/>
      <c r="P63" s="220"/>
      <c r="Q63" s="38"/>
      <c r="R63" s="208">
        <f>ROUND((ROUND((ROUND((ROUND((_11_A家事１．２５*_11・重度研修),0)*_11・２人),0)*(1+_11・A夜間)),0)*_11・初任),0)</f>
        <v>188</v>
      </c>
      <c r="S63" s="48"/>
    </row>
    <row r="64" spans="1:19" ht="16.5" customHeight="1" x14ac:dyDescent="0.15">
      <c r="A64" s="41">
        <v>11</v>
      </c>
      <c r="B64" s="41">
        <v>8409</v>
      </c>
      <c r="C64" s="74" t="s">
        <v>12033</v>
      </c>
      <c r="D64" s="707" t="s">
        <v>8968</v>
      </c>
      <c r="E64" s="798"/>
      <c r="F64" s="35"/>
      <c r="I64" s="163"/>
      <c r="J64" s="45"/>
      <c r="K64" s="46"/>
      <c r="L64" s="35"/>
      <c r="O64" s="53"/>
      <c r="P64" s="245"/>
      <c r="Q64" s="50"/>
      <c r="R64" s="208">
        <f>ROUND((ROUND((_11_A家事１．５*_11・重度研修),0)*(1+_11・A夜間)),0)</f>
        <v>309</v>
      </c>
      <c r="S64" s="48"/>
    </row>
    <row r="65" spans="1:19" ht="16.5" customHeight="1" x14ac:dyDescent="0.15">
      <c r="A65" s="41">
        <v>11</v>
      </c>
      <c r="B65" s="41">
        <v>8410</v>
      </c>
      <c r="C65" s="74" t="s">
        <v>12034</v>
      </c>
      <c r="D65" s="799"/>
      <c r="E65" s="796"/>
      <c r="F65" s="35"/>
      <c r="I65" s="256" t="s">
        <v>397</v>
      </c>
      <c r="J65" s="218" t="s">
        <v>398</v>
      </c>
      <c r="K65" s="46">
        <v>1</v>
      </c>
      <c r="L65" s="35"/>
      <c r="O65" s="43"/>
      <c r="P65" s="220"/>
      <c r="Q65" s="38"/>
      <c r="R65" s="208">
        <f>ROUND((ROUND((ROUND((_11_A家事１．５*_11・重度研修),0)*_11・２人),0)*(1+_11・A夜間)),0)</f>
        <v>309</v>
      </c>
      <c r="S65" s="48"/>
    </row>
    <row r="66" spans="1:19" ht="16.5" customHeight="1" x14ac:dyDescent="0.15">
      <c r="A66" s="41">
        <v>11</v>
      </c>
      <c r="B66" s="41" t="s">
        <v>12035</v>
      </c>
      <c r="C66" s="74" t="s">
        <v>12036</v>
      </c>
      <c r="D66" s="799"/>
      <c r="E66" s="796"/>
      <c r="F66" s="35"/>
      <c r="I66" s="163"/>
      <c r="J66" s="45"/>
      <c r="K66" s="46"/>
      <c r="L66" s="35"/>
      <c r="O66" s="734" t="s">
        <v>404</v>
      </c>
      <c r="P66" s="219" t="s">
        <v>398</v>
      </c>
      <c r="Q66" s="50">
        <f>_11・初任</f>
        <v>0.7</v>
      </c>
      <c r="R66" s="208">
        <f>ROUND((ROUND((ROUND((_11_A家事１．５*_11・重度研修),0)*(1+_11・A夜間)),0)*_11・初任),0)</f>
        <v>216</v>
      </c>
      <c r="S66" s="48"/>
    </row>
    <row r="67" spans="1:19" ht="16.5" customHeight="1" x14ac:dyDescent="0.15">
      <c r="A67" s="41">
        <v>11</v>
      </c>
      <c r="B67" s="41" t="s">
        <v>12037</v>
      </c>
      <c r="C67" s="74" t="s">
        <v>12038</v>
      </c>
      <c r="D67" s="165">
        <f>_11_A家事１．５</f>
        <v>274</v>
      </c>
      <c r="E67" s="37" t="s">
        <v>392</v>
      </c>
      <c r="F67" s="43"/>
      <c r="G67" s="37"/>
      <c r="H67" s="38"/>
      <c r="I67" s="256" t="s">
        <v>397</v>
      </c>
      <c r="J67" s="218" t="s">
        <v>398</v>
      </c>
      <c r="K67" s="46">
        <v>1</v>
      </c>
      <c r="L67" s="43"/>
      <c r="M67" s="37"/>
      <c r="N67" s="38"/>
      <c r="O67" s="706"/>
      <c r="P67" s="220"/>
      <c r="Q67" s="38"/>
      <c r="R67" s="208">
        <f>ROUND((ROUND((ROUND((ROUND((_11_A家事１．５*_11・重度研修),0)*_11・２人),0)*(1+_11・A夜間)),0)*_11・初任),0)</f>
        <v>216</v>
      </c>
      <c r="S67" s="63"/>
    </row>
    <row r="68" spans="1:19" ht="16.5" customHeight="1" x14ac:dyDescent="0.15">
      <c r="A68" s="33">
        <v>11</v>
      </c>
      <c r="B68" s="33">
        <v>8411</v>
      </c>
      <c r="C68" s="34" t="s">
        <v>12039</v>
      </c>
      <c r="D68" s="709" t="s">
        <v>8981</v>
      </c>
      <c r="E68" s="796"/>
      <c r="F68" s="801" t="s">
        <v>11707</v>
      </c>
      <c r="G68" s="806"/>
      <c r="H68" s="792"/>
      <c r="I68" s="43"/>
      <c r="J68" s="37"/>
      <c r="K68" s="38"/>
      <c r="L68" s="72" t="s">
        <v>743</v>
      </c>
      <c r="N68" s="234"/>
      <c r="O68" s="35"/>
      <c r="R68" s="207">
        <f>ROUND((ROUND((_11_A家事１．７５*_11・重度研修),0)*(1+_11・A夜間)),0)</f>
        <v>348</v>
      </c>
      <c r="S68" s="48"/>
    </row>
    <row r="69" spans="1:19" ht="16.5" customHeight="1" x14ac:dyDescent="0.15">
      <c r="A69" s="41">
        <v>11</v>
      </c>
      <c r="B69" s="41">
        <v>8412</v>
      </c>
      <c r="C69" s="74" t="s">
        <v>12040</v>
      </c>
      <c r="D69" s="799"/>
      <c r="E69" s="796"/>
      <c r="F69" s="801"/>
      <c r="G69" s="806"/>
      <c r="H69" s="792"/>
      <c r="I69" s="256" t="s">
        <v>397</v>
      </c>
      <c r="J69" s="218" t="s">
        <v>398</v>
      </c>
      <c r="K69" s="46">
        <v>1</v>
      </c>
      <c r="L69" s="258" t="s">
        <v>398</v>
      </c>
      <c r="M69" s="13">
        <v>0.25</v>
      </c>
      <c r="N69" s="718" t="s">
        <v>676</v>
      </c>
      <c r="O69" s="43"/>
      <c r="P69" s="220"/>
      <c r="Q69" s="38"/>
      <c r="R69" s="208">
        <f>ROUND((ROUND((ROUND((_11_A家事１．７５*_11・重度研修),0)*_11・２人),0)*(1+_11・A夜間)),0)</f>
        <v>348</v>
      </c>
      <c r="S69" s="48"/>
    </row>
    <row r="70" spans="1:19" ht="16.5" customHeight="1" x14ac:dyDescent="0.15">
      <c r="A70" s="41">
        <v>11</v>
      </c>
      <c r="B70" s="41" t="s">
        <v>12041</v>
      </c>
      <c r="C70" s="74" t="s">
        <v>12042</v>
      </c>
      <c r="D70" s="799"/>
      <c r="E70" s="796"/>
      <c r="F70" s="801"/>
      <c r="G70" s="806"/>
      <c r="H70" s="792"/>
      <c r="I70" s="163"/>
      <c r="J70" s="45"/>
      <c r="K70" s="46"/>
      <c r="L70" s="35"/>
      <c r="N70" s="802"/>
      <c r="O70" s="734" t="s">
        <v>404</v>
      </c>
      <c r="P70" s="219" t="s">
        <v>398</v>
      </c>
      <c r="Q70" s="50">
        <f>_11・初任</f>
        <v>0.7</v>
      </c>
      <c r="R70" s="208">
        <f>ROUND((ROUND((ROUND((_11_A家事１．７５*_11・重度研修),0)*(1+_11・A夜間)),0)*_11・初任),0)</f>
        <v>244</v>
      </c>
      <c r="S70" s="48"/>
    </row>
    <row r="71" spans="1:19" ht="16.5" customHeight="1" x14ac:dyDescent="0.15">
      <c r="A71" s="41">
        <v>11</v>
      </c>
      <c r="B71" s="41" t="s">
        <v>12043</v>
      </c>
      <c r="C71" s="74" t="s">
        <v>12044</v>
      </c>
      <c r="D71" s="100">
        <f>_11_A家事１．７５</f>
        <v>309</v>
      </c>
      <c r="E71" s="12" t="s">
        <v>392</v>
      </c>
      <c r="F71" s="35"/>
      <c r="G71" s="10" t="s">
        <v>398</v>
      </c>
      <c r="H71" s="234">
        <v>0.9</v>
      </c>
      <c r="I71" s="256" t="s">
        <v>397</v>
      </c>
      <c r="J71" s="218" t="s">
        <v>398</v>
      </c>
      <c r="K71" s="46">
        <v>1</v>
      </c>
      <c r="L71" s="35"/>
      <c r="O71" s="706"/>
      <c r="P71" s="220"/>
      <c r="Q71" s="38"/>
      <c r="R71" s="208">
        <f>ROUND((ROUND((ROUND((ROUND((_11_A家事１．７５*_11・重度研修),0)*_11・２人),0)*(1+_11・A夜間)),0)*_11・初任),0)</f>
        <v>244</v>
      </c>
      <c r="S71" s="48"/>
    </row>
    <row r="72" spans="1:19" ht="16.5" customHeight="1" x14ac:dyDescent="0.15">
      <c r="A72" s="41">
        <v>11</v>
      </c>
      <c r="B72" s="41">
        <v>8413</v>
      </c>
      <c r="C72" s="74" t="s">
        <v>12045</v>
      </c>
      <c r="D72" s="707" t="s">
        <v>8994</v>
      </c>
      <c r="E72" s="798"/>
      <c r="F72" s="35"/>
      <c r="I72" s="163"/>
      <c r="J72" s="45"/>
      <c r="K72" s="46"/>
      <c r="L72" s="35"/>
      <c r="O72" s="53"/>
      <c r="P72" s="245"/>
      <c r="Q72" s="50"/>
      <c r="R72" s="208">
        <f>ROUND((ROUND((_11_A家事２．０*_11・重度研修),0)*(1+_11・A夜間)),0)</f>
        <v>388</v>
      </c>
      <c r="S72" s="48"/>
    </row>
    <row r="73" spans="1:19" ht="16.5" customHeight="1" x14ac:dyDescent="0.15">
      <c r="A73" s="41">
        <v>11</v>
      </c>
      <c r="B73" s="41">
        <v>8414</v>
      </c>
      <c r="C73" s="74" t="s">
        <v>12046</v>
      </c>
      <c r="D73" s="799"/>
      <c r="E73" s="796"/>
      <c r="F73" s="35"/>
      <c r="I73" s="256" t="s">
        <v>397</v>
      </c>
      <c r="J73" s="218" t="s">
        <v>398</v>
      </c>
      <c r="K73" s="46">
        <v>1</v>
      </c>
      <c r="L73" s="35"/>
      <c r="O73" s="43"/>
      <c r="P73" s="220"/>
      <c r="Q73" s="38"/>
      <c r="R73" s="208">
        <f>ROUND((ROUND((ROUND((_11_A家事２．０*_11・重度研修),0)*_11・２人),0)*(1+_11・A夜間)),0)</f>
        <v>388</v>
      </c>
      <c r="S73" s="48"/>
    </row>
    <row r="74" spans="1:19" ht="16.5" customHeight="1" x14ac:dyDescent="0.15">
      <c r="A74" s="41">
        <v>11</v>
      </c>
      <c r="B74" s="41" t="s">
        <v>12047</v>
      </c>
      <c r="C74" s="74" t="s">
        <v>12048</v>
      </c>
      <c r="D74" s="799"/>
      <c r="E74" s="796"/>
      <c r="F74" s="35"/>
      <c r="I74" s="163"/>
      <c r="J74" s="45"/>
      <c r="K74" s="46"/>
      <c r="L74" s="35"/>
      <c r="O74" s="734" t="s">
        <v>404</v>
      </c>
      <c r="P74" s="219" t="s">
        <v>398</v>
      </c>
      <c r="Q74" s="50">
        <f>_11・初任</f>
        <v>0.7</v>
      </c>
      <c r="R74" s="208">
        <f>ROUND((ROUND((ROUND((_11_A家事２．０*_11・重度研修),0)*(1+_11・A夜間)),0)*_11・初任),0)</f>
        <v>272</v>
      </c>
      <c r="S74" s="48"/>
    </row>
    <row r="75" spans="1:19" ht="16.5" customHeight="1" x14ac:dyDescent="0.15">
      <c r="A75" s="41">
        <v>11</v>
      </c>
      <c r="B75" s="41" t="s">
        <v>12049</v>
      </c>
      <c r="C75" s="74" t="s">
        <v>12050</v>
      </c>
      <c r="D75" s="100">
        <f>_11_A家事２．０</f>
        <v>344</v>
      </c>
      <c r="E75" s="12" t="s">
        <v>392</v>
      </c>
      <c r="F75" s="35"/>
      <c r="I75" s="256" t="s">
        <v>397</v>
      </c>
      <c r="J75" s="218" t="s">
        <v>398</v>
      </c>
      <c r="K75" s="46">
        <v>1</v>
      </c>
      <c r="L75" s="35"/>
      <c r="O75" s="706"/>
      <c r="P75" s="220"/>
      <c r="Q75" s="38"/>
      <c r="R75" s="208">
        <f>ROUND((ROUND((ROUND((ROUND((_11_A家事２．０*_11・重度研修),0)*_11・２人),0)*(1+_11・A夜間)),0)*_11・初任),0)</f>
        <v>272</v>
      </c>
      <c r="S75" s="48"/>
    </row>
    <row r="76" spans="1:19" ht="16.5" customHeight="1" x14ac:dyDescent="0.15">
      <c r="A76" s="41">
        <v>11</v>
      </c>
      <c r="B76" s="41">
        <v>8415</v>
      </c>
      <c r="C76" s="74" t="s">
        <v>12051</v>
      </c>
      <c r="D76" s="707" t="s">
        <v>9007</v>
      </c>
      <c r="E76" s="798"/>
      <c r="F76" s="35"/>
      <c r="I76" s="163"/>
      <c r="J76" s="45"/>
      <c r="K76" s="46"/>
      <c r="L76" s="35"/>
      <c r="O76" s="53"/>
      <c r="P76" s="245"/>
      <c r="Q76" s="50"/>
      <c r="R76" s="208">
        <f>ROUND((ROUND((_11_A家事２．２５*_11・重度研修),0)*(1+_11・A夜間)),0)</f>
        <v>426</v>
      </c>
      <c r="S76" s="48"/>
    </row>
    <row r="77" spans="1:19" ht="16.5" customHeight="1" x14ac:dyDescent="0.15">
      <c r="A77" s="41">
        <v>11</v>
      </c>
      <c r="B77" s="41">
        <v>8416</v>
      </c>
      <c r="C77" s="74" t="s">
        <v>12052</v>
      </c>
      <c r="D77" s="799"/>
      <c r="E77" s="796"/>
      <c r="F77" s="35"/>
      <c r="I77" s="256" t="s">
        <v>397</v>
      </c>
      <c r="J77" s="218" t="s">
        <v>398</v>
      </c>
      <c r="K77" s="46">
        <v>1</v>
      </c>
      <c r="L77" s="35"/>
      <c r="O77" s="43"/>
      <c r="P77" s="220"/>
      <c r="Q77" s="38"/>
      <c r="R77" s="208">
        <f>ROUND((ROUND((ROUND((_11_A家事２．２５*_11・重度研修),0)*_11・２人),0)*(1+_11・A夜間)),0)</f>
        <v>426</v>
      </c>
      <c r="S77" s="48"/>
    </row>
    <row r="78" spans="1:19" ht="16.5" customHeight="1" x14ac:dyDescent="0.15">
      <c r="A78" s="41">
        <v>11</v>
      </c>
      <c r="B78" s="41" t="s">
        <v>12053</v>
      </c>
      <c r="C78" s="74" t="s">
        <v>12054</v>
      </c>
      <c r="D78" s="799"/>
      <c r="E78" s="796"/>
      <c r="F78" s="35"/>
      <c r="I78" s="163"/>
      <c r="J78" s="45"/>
      <c r="K78" s="46"/>
      <c r="L78" s="35"/>
      <c r="O78" s="734" t="s">
        <v>404</v>
      </c>
      <c r="P78" s="219" t="s">
        <v>398</v>
      </c>
      <c r="Q78" s="50">
        <f>_11・初任</f>
        <v>0.7</v>
      </c>
      <c r="R78" s="208">
        <f>ROUND((ROUND((ROUND((_11_A家事２．２５*_11・重度研修),0)*(1+_11・A夜間)),0)*_11・初任),0)</f>
        <v>298</v>
      </c>
      <c r="S78" s="48"/>
    </row>
    <row r="79" spans="1:19" ht="16.5" customHeight="1" x14ac:dyDescent="0.15">
      <c r="A79" s="41">
        <v>11</v>
      </c>
      <c r="B79" s="41" t="s">
        <v>12055</v>
      </c>
      <c r="C79" s="74" t="s">
        <v>12056</v>
      </c>
      <c r="D79" s="100">
        <f>_11_A家事２．２５</f>
        <v>379</v>
      </c>
      <c r="E79" s="12" t="s">
        <v>392</v>
      </c>
      <c r="F79" s="35"/>
      <c r="I79" s="256" t="s">
        <v>397</v>
      </c>
      <c r="J79" s="218" t="s">
        <v>398</v>
      </c>
      <c r="K79" s="46">
        <v>1</v>
      </c>
      <c r="L79" s="35"/>
      <c r="O79" s="706"/>
      <c r="P79" s="220"/>
      <c r="Q79" s="38"/>
      <c r="R79" s="208">
        <f>ROUND((ROUND((ROUND((ROUND((_11_A家事２．２５*_11・重度研修),0)*_11・２人),0)*(1+_11・A夜間)),0)*_11・初任),0)</f>
        <v>298</v>
      </c>
      <c r="S79" s="48"/>
    </row>
    <row r="80" spans="1:19" ht="16.5" customHeight="1" x14ac:dyDescent="0.15">
      <c r="A80" s="41">
        <v>11</v>
      </c>
      <c r="B80" s="41">
        <v>8417</v>
      </c>
      <c r="C80" s="74" t="s">
        <v>12057</v>
      </c>
      <c r="D80" s="707" t="s">
        <v>9020</v>
      </c>
      <c r="E80" s="798"/>
      <c r="F80" s="35"/>
      <c r="I80" s="163"/>
      <c r="J80" s="45"/>
      <c r="K80" s="46"/>
      <c r="L80" s="35"/>
      <c r="O80" s="53"/>
      <c r="P80" s="245"/>
      <c r="Q80" s="50"/>
      <c r="R80" s="208">
        <f>ROUND((ROUND((_11_A家事２．５*_11・重度研修),0)*(1+_11・A夜間)),0)</f>
        <v>466</v>
      </c>
      <c r="S80" s="48"/>
    </row>
    <row r="81" spans="1:19" ht="16.5" customHeight="1" x14ac:dyDescent="0.15">
      <c r="A81" s="41">
        <v>11</v>
      </c>
      <c r="B81" s="41">
        <v>8418</v>
      </c>
      <c r="C81" s="74" t="s">
        <v>12058</v>
      </c>
      <c r="D81" s="799"/>
      <c r="E81" s="796"/>
      <c r="F81" s="35"/>
      <c r="I81" s="256" t="s">
        <v>397</v>
      </c>
      <c r="J81" s="218" t="s">
        <v>398</v>
      </c>
      <c r="K81" s="46">
        <v>1</v>
      </c>
      <c r="L81" s="35"/>
      <c r="O81" s="43"/>
      <c r="P81" s="220"/>
      <c r="Q81" s="38"/>
      <c r="R81" s="208">
        <f>ROUND((ROUND((ROUND((_11_A家事２．５*_11・重度研修),0)*_11・２人),0)*(1+_11・A夜間)),0)</f>
        <v>466</v>
      </c>
      <c r="S81" s="48"/>
    </row>
    <row r="82" spans="1:19" ht="16.5" customHeight="1" x14ac:dyDescent="0.15">
      <c r="A82" s="41">
        <v>11</v>
      </c>
      <c r="B82" s="41" t="s">
        <v>12059</v>
      </c>
      <c r="C82" s="74" t="s">
        <v>12060</v>
      </c>
      <c r="D82" s="799"/>
      <c r="E82" s="796"/>
      <c r="F82" s="35"/>
      <c r="I82" s="163"/>
      <c r="J82" s="45"/>
      <c r="K82" s="46"/>
      <c r="L82" s="35"/>
      <c r="O82" s="734" t="s">
        <v>404</v>
      </c>
      <c r="P82" s="219" t="s">
        <v>398</v>
      </c>
      <c r="Q82" s="50">
        <f>_11・初任</f>
        <v>0.7</v>
      </c>
      <c r="R82" s="208">
        <f>ROUND((ROUND((ROUND((_11_A家事２．５*_11・重度研修),0)*(1+_11・A夜間)),0)*_11・初任),0)</f>
        <v>326</v>
      </c>
      <c r="S82" s="48"/>
    </row>
    <row r="83" spans="1:19" ht="16.5" customHeight="1" x14ac:dyDescent="0.15">
      <c r="A83" s="41">
        <v>11</v>
      </c>
      <c r="B83" s="41" t="s">
        <v>12061</v>
      </c>
      <c r="C83" s="74" t="s">
        <v>12062</v>
      </c>
      <c r="D83" s="100">
        <f>_11_A家事２．５</f>
        <v>414</v>
      </c>
      <c r="E83" s="12" t="s">
        <v>392</v>
      </c>
      <c r="F83" s="35"/>
      <c r="I83" s="256" t="s">
        <v>397</v>
      </c>
      <c r="J83" s="218" t="s">
        <v>398</v>
      </c>
      <c r="K83" s="46">
        <v>1</v>
      </c>
      <c r="L83" s="35"/>
      <c r="O83" s="706"/>
      <c r="P83" s="220"/>
      <c r="Q83" s="38"/>
      <c r="R83" s="208">
        <f>ROUND((ROUND((ROUND((ROUND((_11_A家事２．５*_11・重度研修),0)*_11・２人),0)*(1+_11・A夜間)),0)*_11・初任),0)</f>
        <v>326</v>
      </c>
      <c r="S83" s="48"/>
    </row>
    <row r="84" spans="1:19" ht="16.5" customHeight="1" x14ac:dyDescent="0.15">
      <c r="A84" s="41">
        <v>11</v>
      </c>
      <c r="B84" s="41">
        <v>8419</v>
      </c>
      <c r="C84" s="74" t="s">
        <v>12063</v>
      </c>
      <c r="D84" s="707" t="s">
        <v>9033</v>
      </c>
      <c r="E84" s="798"/>
      <c r="F84" s="35"/>
      <c r="I84" s="163"/>
      <c r="J84" s="45"/>
      <c r="K84" s="46"/>
      <c r="L84" s="35"/>
      <c r="O84" s="53"/>
      <c r="P84" s="245"/>
      <c r="Q84" s="50"/>
      <c r="R84" s="208">
        <f>ROUND((ROUND((_11_A家事２．７５*_11・重度研修),0)*(1+_11・A夜間)),0)</f>
        <v>505</v>
      </c>
      <c r="S84" s="48"/>
    </row>
    <row r="85" spans="1:19" ht="16.5" customHeight="1" x14ac:dyDescent="0.15">
      <c r="A85" s="41">
        <v>11</v>
      </c>
      <c r="B85" s="41">
        <v>8420</v>
      </c>
      <c r="C85" s="74" t="s">
        <v>12064</v>
      </c>
      <c r="D85" s="799"/>
      <c r="E85" s="796"/>
      <c r="F85" s="35"/>
      <c r="I85" s="256" t="s">
        <v>397</v>
      </c>
      <c r="J85" s="218" t="s">
        <v>398</v>
      </c>
      <c r="K85" s="46">
        <v>1</v>
      </c>
      <c r="L85" s="35"/>
      <c r="O85" s="43"/>
      <c r="P85" s="220"/>
      <c r="Q85" s="38"/>
      <c r="R85" s="208">
        <f>ROUND((ROUND((ROUND((_11_A家事２．７５*_11・重度研修),0)*_11・２人),0)*(1+_11・A夜間)),0)</f>
        <v>505</v>
      </c>
      <c r="S85" s="48"/>
    </row>
    <row r="86" spans="1:19" ht="16.5" customHeight="1" x14ac:dyDescent="0.15">
      <c r="A86" s="41">
        <v>11</v>
      </c>
      <c r="B86" s="41" t="s">
        <v>12065</v>
      </c>
      <c r="C86" s="74" t="s">
        <v>12066</v>
      </c>
      <c r="D86" s="799"/>
      <c r="E86" s="796"/>
      <c r="F86" s="35"/>
      <c r="I86" s="163"/>
      <c r="J86" s="45"/>
      <c r="K86" s="46"/>
      <c r="L86" s="35"/>
      <c r="O86" s="734" t="s">
        <v>404</v>
      </c>
      <c r="P86" s="219" t="s">
        <v>398</v>
      </c>
      <c r="Q86" s="50">
        <f>_11・初任</f>
        <v>0.7</v>
      </c>
      <c r="R86" s="208">
        <f>ROUND((ROUND((ROUND((_11_A家事２．７５*_11・重度研修),0)*(1+_11・A夜間)),0)*_11・初任),0)</f>
        <v>354</v>
      </c>
      <c r="S86" s="48"/>
    </row>
    <row r="87" spans="1:19" ht="16.5" customHeight="1" x14ac:dyDescent="0.15">
      <c r="A87" s="41">
        <v>11</v>
      </c>
      <c r="B87" s="41" t="s">
        <v>12067</v>
      </c>
      <c r="C87" s="74" t="s">
        <v>12068</v>
      </c>
      <c r="D87" s="100">
        <f>_11_A家事２．７５</f>
        <v>449</v>
      </c>
      <c r="E87" s="12" t="s">
        <v>392</v>
      </c>
      <c r="F87" s="35"/>
      <c r="I87" s="256" t="s">
        <v>397</v>
      </c>
      <c r="J87" s="218" t="s">
        <v>398</v>
      </c>
      <c r="K87" s="46">
        <v>1</v>
      </c>
      <c r="L87" s="35"/>
      <c r="O87" s="706"/>
      <c r="P87" s="220"/>
      <c r="Q87" s="38"/>
      <c r="R87" s="208">
        <f>ROUND((ROUND((ROUND((ROUND((_11_A家事２．７５*_11・重度研修),0)*_11・２人),0)*(1+_11・A夜間)),0)*_11・初任),0)</f>
        <v>354</v>
      </c>
      <c r="S87" s="48"/>
    </row>
    <row r="88" spans="1:19" ht="16.5" customHeight="1" x14ac:dyDescent="0.15">
      <c r="A88" s="41">
        <v>11</v>
      </c>
      <c r="B88" s="41">
        <v>8421</v>
      </c>
      <c r="C88" s="74" t="s">
        <v>12069</v>
      </c>
      <c r="D88" s="707" t="s">
        <v>9046</v>
      </c>
      <c r="E88" s="798"/>
      <c r="F88" s="35"/>
      <c r="I88" s="163"/>
      <c r="J88" s="45"/>
      <c r="K88" s="46"/>
      <c r="L88" s="35"/>
      <c r="O88" s="53"/>
      <c r="P88" s="245"/>
      <c r="Q88" s="50"/>
      <c r="R88" s="208">
        <f>ROUND((ROUND((_11_A家事３．０*_11・重度研修),0)*(1+_11・A夜間)),0)</f>
        <v>545</v>
      </c>
      <c r="S88" s="48"/>
    </row>
    <row r="89" spans="1:19" ht="16.5" customHeight="1" x14ac:dyDescent="0.15">
      <c r="A89" s="41">
        <v>11</v>
      </c>
      <c r="B89" s="41">
        <v>8422</v>
      </c>
      <c r="C89" s="74" t="s">
        <v>12070</v>
      </c>
      <c r="D89" s="799"/>
      <c r="E89" s="796"/>
      <c r="F89" s="35"/>
      <c r="I89" s="256" t="s">
        <v>397</v>
      </c>
      <c r="J89" s="218" t="s">
        <v>398</v>
      </c>
      <c r="K89" s="46">
        <v>1</v>
      </c>
      <c r="L89" s="35"/>
      <c r="O89" s="43"/>
      <c r="P89" s="220"/>
      <c r="Q89" s="38"/>
      <c r="R89" s="208">
        <f>ROUND((ROUND((ROUND((_11_A家事３．０*_11・重度研修),0)*_11・２人),0)*(1+_11・A夜間)),0)</f>
        <v>545</v>
      </c>
      <c r="S89" s="48"/>
    </row>
    <row r="90" spans="1:19" ht="16.5" customHeight="1" x14ac:dyDescent="0.15">
      <c r="A90" s="41">
        <v>11</v>
      </c>
      <c r="B90" s="41" t="s">
        <v>12071</v>
      </c>
      <c r="C90" s="74" t="s">
        <v>12072</v>
      </c>
      <c r="D90" s="799"/>
      <c r="E90" s="796"/>
      <c r="F90" s="35"/>
      <c r="I90" s="163"/>
      <c r="J90" s="45"/>
      <c r="K90" s="46"/>
      <c r="L90" s="35"/>
      <c r="O90" s="734" t="s">
        <v>404</v>
      </c>
      <c r="P90" s="219" t="s">
        <v>398</v>
      </c>
      <c r="Q90" s="50">
        <f>_11・初任</f>
        <v>0.7</v>
      </c>
      <c r="R90" s="208">
        <f>ROUND((ROUND((ROUND((_11_A家事３．０*_11・重度研修),0)*(1+_11・A夜間)),0)*_11・初任),0)</f>
        <v>382</v>
      </c>
      <c r="S90" s="48"/>
    </row>
    <row r="91" spans="1:19" ht="16.5" customHeight="1" x14ac:dyDescent="0.15">
      <c r="A91" s="41">
        <v>11</v>
      </c>
      <c r="B91" s="41" t="s">
        <v>12073</v>
      </c>
      <c r="C91" s="74" t="s">
        <v>12074</v>
      </c>
      <c r="D91" s="100">
        <f>_11_A家事３．０</f>
        <v>484</v>
      </c>
      <c r="E91" s="12" t="s">
        <v>392</v>
      </c>
      <c r="F91" s="35"/>
      <c r="I91" s="256" t="s">
        <v>397</v>
      </c>
      <c r="J91" s="218" t="s">
        <v>398</v>
      </c>
      <c r="K91" s="46">
        <v>1</v>
      </c>
      <c r="L91" s="35"/>
      <c r="O91" s="706"/>
      <c r="P91" s="220"/>
      <c r="Q91" s="38"/>
      <c r="R91" s="208">
        <f>ROUND((ROUND((ROUND((ROUND((_11_A家事３．０*_11・重度研修),0)*_11・２人),0)*(1+_11・A夜間)),0)*_11・初任),0)</f>
        <v>382</v>
      </c>
      <c r="S91" s="48"/>
    </row>
    <row r="92" spans="1:19" ht="16.5" customHeight="1" x14ac:dyDescent="0.15">
      <c r="A92" s="41">
        <v>11</v>
      </c>
      <c r="B92" s="41">
        <v>8423</v>
      </c>
      <c r="C92" s="74" t="s">
        <v>12075</v>
      </c>
      <c r="D92" s="707" t="s">
        <v>9059</v>
      </c>
      <c r="E92" s="798"/>
      <c r="F92" s="35"/>
      <c r="I92" s="163"/>
      <c r="J92" s="45"/>
      <c r="K92" s="46"/>
      <c r="L92" s="35"/>
      <c r="O92" s="53"/>
      <c r="P92" s="245"/>
      <c r="Q92" s="50"/>
      <c r="R92" s="208">
        <f>ROUND((ROUND((_11_A家事３．２５*_11・重度研修),0)*(1+_11・A夜間)),0)</f>
        <v>584</v>
      </c>
      <c r="S92" s="48"/>
    </row>
    <row r="93" spans="1:19" ht="16.5" customHeight="1" x14ac:dyDescent="0.15">
      <c r="A93" s="41">
        <v>11</v>
      </c>
      <c r="B93" s="41">
        <v>8424</v>
      </c>
      <c r="C93" s="74" t="s">
        <v>12076</v>
      </c>
      <c r="D93" s="799"/>
      <c r="E93" s="796"/>
      <c r="F93" s="35"/>
      <c r="I93" s="256" t="s">
        <v>397</v>
      </c>
      <c r="J93" s="218" t="s">
        <v>398</v>
      </c>
      <c r="K93" s="46">
        <v>1</v>
      </c>
      <c r="L93" s="35"/>
      <c r="O93" s="43"/>
      <c r="P93" s="220"/>
      <c r="Q93" s="38"/>
      <c r="R93" s="208">
        <f>ROUND((ROUND((ROUND((_11_A家事３．２５*_11・重度研修),0)*_11・２人),0)*(1+_11・A夜間)),0)</f>
        <v>584</v>
      </c>
      <c r="S93" s="48"/>
    </row>
    <row r="94" spans="1:19" ht="16.5" customHeight="1" x14ac:dyDescent="0.15">
      <c r="A94" s="41">
        <v>11</v>
      </c>
      <c r="B94" s="41" t="s">
        <v>12077</v>
      </c>
      <c r="C94" s="74" t="s">
        <v>12078</v>
      </c>
      <c r="D94" s="799"/>
      <c r="E94" s="796"/>
      <c r="F94" s="35"/>
      <c r="I94" s="163"/>
      <c r="J94" s="45"/>
      <c r="K94" s="46"/>
      <c r="L94" s="35"/>
      <c r="O94" s="734" t="s">
        <v>404</v>
      </c>
      <c r="P94" s="219" t="s">
        <v>398</v>
      </c>
      <c r="Q94" s="50">
        <f>_11・初任</f>
        <v>0.7</v>
      </c>
      <c r="R94" s="208">
        <f>ROUND((ROUND((ROUND((_11_A家事３．２５*_11・重度研修),0)*(1+_11・A夜間)),0)*_11・初任),0)</f>
        <v>409</v>
      </c>
      <c r="S94" s="48"/>
    </row>
    <row r="95" spans="1:19" ht="16.5" customHeight="1" x14ac:dyDescent="0.15">
      <c r="A95" s="41">
        <v>11</v>
      </c>
      <c r="B95" s="41" t="s">
        <v>12079</v>
      </c>
      <c r="C95" s="74" t="s">
        <v>12080</v>
      </c>
      <c r="D95" s="100">
        <f>_11_A家事３．２５</f>
        <v>519</v>
      </c>
      <c r="E95" s="12" t="s">
        <v>392</v>
      </c>
      <c r="F95" s="35"/>
      <c r="I95" s="256" t="s">
        <v>397</v>
      </c>
      <c r="J95" s="218" t="s">
        <v>398</v>
      </c>
      <c r="K95" s="46">
        <v>1</v>
      </c>
      <c r="L95" s="35"/>
      <c r="O95" s="706"/>
      <c r="P95" s="220"/>
      <c r="Q95" s="38"/>
      <c r="R95" s="208">
        <f>ROUND((ROUND((ROUND((ROUND((_11_A家事３．２５*_11・重度研修),0)*_11・２人),0)*(1+_11・A夜間)),0)*_11・初任),0)</f>
        <v>409</v>
      </c>
      <c r="S95" s="48"/>
    </row>
    <row r="96" spans="1:19" ht="16.5" customHeight="1" x14ac:dyDescent="0.15">
      <c r="A96" s="41">
        <v>11</v>
      </c>
      <c r="B96" s="41">
        <v>8425</v>
      </c>
      <c r="C96" s="74" t="s">
        <v>12081</v>
      </c>
      <c r="D96" s="707" t="s">
        <v>9072</v>
      </c>
      <c r="E96" s="798"/>
      <c r="F96" s="35"/>
      <c r="I96" s="163"/>
      <c r="J96" s="45"/>
      <c r="K96" s="46"/>
      <c r="L96" s="35"/>
      <c r="O96" s="53"/>
      <c r="P96" s="245"/>
      <c r="Q96" s="50"/>
      <c r="R96" s="208">
        <f>ROUND((ROUND((_11_A家事３．５*_11・重度研修),0)*(1+_11・A夜間)),0)</f>
        <v>624</v>
      </c>
      <c r="S96" s="48"/>
    </row>
    <row r="97" spans="1:19" ht="16.5" customHeight="1" x14ac:dyDescent="0.15">
      <c r="A97" s="41">
        <v>11</v>
      </c>
      <c r="B97" s="41">
        <v>8426</v>
      </c>
      <c r="C97" s="74" t="s">
        <v>12082</v>
      </c>
      <c r="D97" s="799"/>
      <c r="E97" s="796"/>
      <c r="F97" s="35"/>
      <c r="I97" s="256" t="s">
        <v>397</v>
      </c>
      <c r="J97" s="218" t="s">
        <v>398</v>
      </c>
      <c r="K97" s="46">
        <v>1</v>
      </c>
      <c r="L97" s="35"/>
      <c r="O97" s="43"/>
      <c r="P97" s="220"/>
      <c r="Q97" s="38"/>
      <c r="R97" s="208">
        <f>ROUND((ROUND((ROUND((_11_A家事３．５*_11・重度研修),0)*_11・２人),0)*(1+_11・A夜間)),0)</f>
        <v>624</v>
      </c>
      <c r="S97" s="48"/>
    </row>
    <row r="98" spans="1:19" ht="16.5" customHeight="1" x14ac:dyDescent="0.15">
      <c r="A98" s="41">
        <v>11</v>
      </c>
      <c r="B98" s="41" t="s">
        <v>12083</v>
      </c>
      <c r="C98" s="74" t="s">
        <v>12084</v>
      </c>
      <c r="D98" s="799"/>
      <c r="E98" s="796"/>
      <c r="F98" s="35"/>
      <c r="I98" s="163"/>
      <c r="J98" s="45"/>
      <c r="K98" s="46"/>
      <c r="L98" s="35"/>
      <c r="O98" s="734" t="s">
        <v>404</v>
      </c>
      <c r="P98" s="219" t="s">
        <v>398</v>
      </c>
      <c r="Q98" s="50">
        <f>_11・初任</f>
        <v>0.7</v>
      </c>
      <c r="R98" s="208">
        <f>ROUND((ROUND((ROUND((_11_A家事３．５*_11・重度研修),0)*(1+_11・A夜間)),0)*_11・初任),0)</f>
        <v>437</v>
      </c>
      <c r="S98" s="48"/>
    </row>
    <row r="99" spans="1:19" ht="16.5" customHeight="1" x14ac:dyDescent="0.15">
      <c r="A99" s="41">
        <v>11</v>
      </c>
      <c r="B99" s="41" t="s">
        <v>12085</v>
      </c>
      <c r="C99" s="74" t="s">
        <v>12086</v>
      </c>
      <c r="D99" s="100">
        <f>_11_A家事３．５</f>
        <v>554</v>
      </c>
      <c r="E99" s="12" t="s">
        <v>392</v>
      </c>
      <c r="F99" s="35"/>
      <c r="I99" s="256" t="s">
        <v>397</v>
      </c>
      <c r="J99" s="218" t="s">
        <v>398</v>
      </c>
      <c r="K99" s="46">
        <v>1</v>
      </c>
      <c r="L99" s="35"/>
      <c r="O99" s="706"/>
      <c r="P99" s="220"/>
      <c r="Q99" s="38"/>
      <c r="R99" s="208">
        <f>ROUND((ROUND((ROUND((ROUND((_11_A家事３．５*_11・重度研修),0)*_11・２人),0)*(1+_11・A夜間)),0)*_11・初任),0)</f>
        <v>437</v>
      </c>
      <c r="S99" s="48"/>
    </row>
    <row r="100" spans="1:19" ht="16.5" customHeight="1" x14ac:dyDescent="0.15">
      <c r="A100" s="41">
        <v>11</v>
      </c>
      <c r="B100" s="41">
        <v>8427</v>
      </c>
      <c r="C100" s="74" t="s">
        <v>12087</v>
      </c>
      <c r="D100" s="707" t="s">
        <v>9085</v>
      </c>
      <c r="E100" s="798"/>
      <c r="F100" s="35"/>
      <c r="I100" s="163"/>
      <c r="J100" s="45"/>
      <c r="K100" s="46"/>
      <c r="L100" s="35"/>
      <c r="O100" s="53"/>
      <c r="P100" s="245"/>
      <c r="Q100" s="50"/>
      <c r="R100" s="208">
        <f>ROUND((ROUND((_11_A家事３．７５*_11・重度研修),0)*(1+_11・A夜間)),0)</f>
        <v>663</v>
      </c>
      <c r="S100" s="48"/>
    </row>
    <row r="101" spans="1:19" ht="16.5" customHeight="1" x14ac:dyDescent="0.15">
      <c r="A101" s="41">
        <v>11</v>
      </c>
      <c r="B101" s="41">
        <v>8428</v>
      </c>
      <c r="C101" s="74" t="s">
        <v>12088</v>
      </c>
      <c r="D101" s="799"/>
      <c r="E101" s="796"/>
      <c r="F101" s="35"/>
      <c r="I101" s="256" t="s">
        <v>397</v>
      </c>
      <c r="J101" s="218" t="s">
        <v>398</v>
      </c>
      <c r="K101" s="46">
        <v>1</v>
      </c>
      <c r="L101" s="35"/>
      <c r="O101" s="43"/>
      <c r="P101" s="220"/>
      <c r="Q101" s="38"/>
      <c r="R101" s="208">
        <f>ROUND((ROUND((ROUND((_11_A家事３．７５*_11・重度研修),0)*_11・２人),0)*(1+_11・A夜間)),0)</f>
        <v>663</v>
      </c>
      <c r="S101" s="48"/>
    </row>
    <row r="102" spans="1:19" ht="16.5" customHeight="1" x14ac:dyDescent="0.15">
      <c r="A102" s="41">
        <v>11</v>
      </c>
      <c r="B102" s="41" t="s">
        <v>12089</v>
      </c>
      <c r="C102" s="74" t="s">
        <v>12090</v>
      </c>
      <c r="D102" s="799"/>
      <c r="E102" s="796"/>
      <c r="F102" s="35"/>
      <c r="I102" s="163"/>
      <c r="J102" s="45"/>
      <c r="K102" s="46"/>
      <c r="L102" s="35"/>
      <c r="O102" s="734" t="s">
        <v>404</v>
      </c>
      <c r="P102" s="219" t="s">
        <v>398</v>
      </c>
      <c r="Q102" s="50">
        <f>_11・初任</f>
        <v>0.7</v>
      </c>
      <c r="R102" s="208">
        <f>ROUND((ROUND((ROUND((_11_A家事３．７５*_11・重度研修),0)*(1+_11・A夜間)),0)*_11・初任),0)</f>
        <v>464</v>
      </c>
      <c r="S102" s="48"/>
    </row>
    <row r="103" spans="1:19" ht="16.5" customHeight="1" x14ac:dyDescent="0.15">
      <c r="A103" s="41">
        <v>11</v>
      </c>
      <c r="B103" s="41" t="s">
        <v>12091</v>
      </c>
      <c r="C103" s="74" t="s">
        <v>12092</v>
      </c>
      <c r="D103" s="100">
        <f>_11_A家事３．７５</f>
        <v>589</v>
      </c>
      <c r="E103" s="12" t="s">
        <v>392</v>
      </c>
      <c r="F103" s="35"/>
      <c r="I103" s="256" t="s">
        <v>397</v>
      </c>
      <c r="J103" s="218" t="s">
        <v>398</v>
      </c>
      <c r="K103" s="46">
        <v>1</v>
      </c>
      <c r="L103" s="35"/>
      <c r="O103" s="706"/>
      <c r="P103" s="220"/>
      <c r="Q103" s="38"/>
      <c r="R103" s="208">
        <f>ROUND((ROUND((ROUND((ROUND((_11_A家事３．７５*_11・重度研修),0)*_11・２人),0)*(1+_11・A夜間)),0)*_11・初任),0)</f>
        <v>464</v>
      </c>
      <c r="S103" s="48"/>
    </row>
    <row r="104" spans="1:19" ht="16.5" customHeight="1" x14ac:dyDescent="0.15">
      <c r="A104" s="41">
        <v>11</v>
      </c>
      <c r="B104" s="41">
        <v>8429</v>
      </c>
      <c r="C104" s="74" t="s">
        <v>12093</v>
      </c>
      <c r="D104" s="707" t="s">
        <v>9098</v>
      </c>
      <c r="E104" s="798"/>
      <c r="F104" s="35"/>
      <c r="I104" s="163"/>
      <c r="J104" s="45"/>
      <c r="K104" s="46"/>
      <c r="L104" s="35"/>
      <c r="O104" s="53"/>
      <c r="P104" s="245"/>
      <c r="Q104" s="50"/>
      <c r="R104" s="208">
        <f>ROUND((ROUND((_11_A家事４．０*_11・重度研修),0)*(1+_11・A夜間)),0)</f>
        <v>703</v>
      </c>
      <c r="S104" s="48"/>
    </row>
    <row r="105" spans="1:19" ht="16.5" customHeight="1" x14ac:dyDescent="0.15">
      <c r="A105" s="41">
        <v>11</v>
      </c>
      <c r="B105" s="41">
        <v>8430</v>
      </c>
      <c r="C105" s="74" t="s">
        <v>12094</v>
      </c>
      <c r="D105" s="799"/>
      <c r="E105" s="796"/>
      <c r="F105" s="35"/>
      <c r="I105" s="256" t="s">
        <v>397</v>
      </c>
      <c r="J105" s="218" t="s">
        <v>398</v>
      </c>
      <c r="K105" s="46">
        <v>1</v>
      </c>
      <c r="L105" s="35"/>
      <c r="O105" s="43"/>
      <c r="P105" s="220"/>
      <c r="Q105" s="38"/>
      <c r="R105" s="208">
        <f>ROUND((ROUND((ROUND((_11_A家事４．０*_11・重度研修),0)*_11・２人),0)*(1+_11・A夜間)),0)</f>
        <v>703</v>
      </c>
      <c r="S105" s="48"/>
    </row>
    <row r="106" spans="1:19" ht="16.5" customHeight="1" x14ac:dyDescent="0.15">
      <c r="A106" s="41">
        <v>11</v>
      </c>
      <c r="B106" s="41" t="s">
        <v>12095</v>
      </c>
      <c r="C106" s="74" t="s">
        <v>12096</v>
      </c>
      <c r="D106" s="799"/>
      <c r="E106" s="796"/>
      <c r="F106" s="35"/>
      <c r="I106" s="163"/>
      <c r="J106" s="45"/>
      <c r="K106" s="46"/>
      <c r="L106" s="35"/>
      <c r="O106" s="734" t="s">
        <v>404</v>
      </c>
      <c r="P106" s="219" t="s">
        <v>398</v>
      </c>
      <c r="Q106" s="50">
        <f>_11・初任</f>
        <v>0.7</v>
      </c>
      <c r="R106" s="208">
        <f>ROUND((ROUND((ROUND((_11_A家事４．０*_11・重度研修),0)*(1+_11・A夜間)),0)*_11・初任),0)</f>
        <v>492</v>
      </c>
      <c r="S106" s="48"/>
    </row>
    <row r="107" spans="1:19" ht="16.5" customHeight="1" x14ac:dyDescent="0.15">
      <c r="A107" s="41">
        <v>11</v>
      </c>
      <c r="B107" s="41" t="s">
        <v>12097</v>
      </c>
      <c r="C107" s="74" t="s">
        <v>12098</v>
      </c>
      <c r="D107" s="100">
        <f>_11_A家事４．０</f>
        <v>624</v>
      </c>
      <c r="E107" s="12" t="s">
        <v>392</v>
      </c>
      <c r="F107" s="35"/>
      <c r="I107" s="256" t="s">
        <v>397</v>
      </c>
      <c r="J107" s="218" t="s">
        <v>398</v>
      </c>
      <c r="K107" s="46">
        <v>1</v>
      </c>
      <c r="L107" s="35"/>
      <c r="O107" s="706"/>
      <c r="P107" s="220"/>
      <c r="Q107" s="38"/>
      <c r="R107" s="208">
        <f>ROUND((ROUND((ROUND((ROUND((_11_A家事４．０*_11・重度研修),0)*_11・２人),0)*(1+_11・A夜間)),0)*_11・初任),0)</f>
        <v>492</v>
      </c>
      <c r="S107" s="48"/>
    </row>
    <row r="108" spans="1:19" ht="16.5" customHeight="1" x14ac:dyDescent="0.15">
      <c r="A108" s="41">
        <v>11</v>
      </c>
      <c r="B108" s="41">
        <v>8431</v>
      </c>
      <c r="C108" s="74" t="s">
        <v>12099</v>
      </c>
      <c r="D108" s="707" t="s">
        <v>9111</v>
      </c>
      <c r="E108" s="798"/>
      <c r="F108" s="35"/>
      <c r="I108" s="163"/>
      <c r="J108" s="45"/>
      <c r="K108" s="46"/>
      <c r="L108" s="35"/>
      <c r="O108" s="53"/>
      <c r="P108" s="245"/>
      <c r="Q108" s="50"/>
      <c r="R108" s="208">
        <f>ROUND((ROUND((_11_A家事４．２５*_11・重度研修),0)*(1+_11・A夜間)),0)</f>
        <v>741</v>
      </c>
      <c r="S108" s="48"/>
    </row>
    <row r="109" spans="1:19" ht="16.5" customHeight="1" x14ac:dyDescent="0.15">
      <c r="A109" s="41">
        <v>11</v>
      </c>
      <c r="B109" s="41">
        <v>8432</v>
      </c>
      <c r="C109" s="74" t="s">
        <v>12100</v>
      </c>
      <c r="D109" s="799"/>
      <c r="E109" s="796"/>
      <c r="F109" s="35"/>
      <c r="I109" s="256" t="s">
        <v>397</v>
      </c>
      <c r="J109" s="218" t="s">
        <v>398</v>
      </c>
      <c r="K109" s="46">
        <v>1</v>
      </c>
      <c r="L109" s="35"/>
      <c r="O109" s="43"/>
      <c r="P109" s="220"/>
      <c r="Q109" s="38"/>
      <c r="R109" s="208">
        <f>ROUND((ROUND((ROUND((_11_A家事４．２５*_11・重度研修),0)*_11・２人),0)*(1+_11・A夜間)),0)</f>
        <v>741</v>
      </c>
      <c r="S109" s="48"/>
    </row>
    <row r="110" spans="1:19" ht="16.5" customHeight="1" x14ac:dyDescent="0.15">
      <c r="A110" s="41">
        <v>11</v>
      </c>
      <c r="B110" s="41" t="s">
        <v>12101</v>
      </c>
      <c r="C110" s="74" t="s">
        <v>12102</v>
      </c>
      <c r="D110" s="799"/>
      <c r="E110" s="796"/>
      <c r="F110" s="35"/>
      <c r="I110" s="163"/>
      <c r="J110" s="45"/>
      <c r="K110" s="46"/>
      <c r="L110" s="35"/>
      <c r="O110" s="734" t="s">
        <v>404</v>
      </c>
      <c r="P110" s="219" t="s">
        <v>398</v>
      </c>
      <c r="Q110" s="50">
        <f>_11・初任</f>
        <v>0.7</v>
      </c>
      <c r="R110" s="208">
        <f>ROUND((ROUND((ROUND((_11_A家事４．２５*_11・重度研修),0)*(1+_11・A夜間)),0)*_11・初任),0)</f>
        <v>519</v>
      </c>
      <c r="S110" s="48"/>
    </row>
    <row r="111" spans="1:19" ht="16.5" customHeight="1" x14ac:dyDescent="0.15">
      <c r="A111" s="41">
        <v>11</v>
      </c>
      <c r="B111" s="41" t="s">
        <v>12103</v>
      </c>
      <c r="C111" s="74" t="s">
        <v>12104</v>
      </c>
      <c r="D111" s="100">
        <f>_11_A家事４．２５</f>
        <v>659</v>
      </c>
      <c r="E111" s="12" t="s">
        <v>392</v>
      </c>
      <c r="F111" s="35"/>
      <c r="I111" s="256" t="s">
        <v>397</v>
      </c>
      <c r="J111" s="218" t="s">
        <v>398</v>
      </c>
      <c r="K111" s="46">
        <v>1</v>
      </c>
      <c r="L111" s="35"/>
      <c r="O111" s="706"/>
      <c r="P111" s="220"/>
      <c r="Q111" s="38"/>
      <c r="R111" s="208">
        <f>ROUND((ROUND((ROUND((ROUND((_11_A家事４．２５*_11・重度研修),0)*_11・２人),0)*(1+_11・A夜間)),0)*_11・初任),0)</f>
        <v>519</v>
      </c>
      <c r="S111" s="48"/>
    </row>
    <row r="112" spans="1:19" ht="16.5" customHeight="1" x14ac:dyDescent="0.15">
      <c r="A112" s="41">
        <v>11</v>
      </c>
      <c r="B112" s="41">
        <v>8433</v>
      </c>
      <c r="C112" s="74" t="s">
        <v>12105</v>
      </c>
      <c r="D112" s="707" t="s">
        <v>9124</v>
      </c>
      <c r="E112" s="798"/>
      <c r="F112" s="35"/>
      <c r="I112" s="163"/>
      <c r="J112" s="45"/>
      <c r="K112" s="46"/>
      <c r="L112" s="35"/>
      <c r="O112" s="53"/>
      <c r="P112" s="245"/>
      <c r="Q112" s="50"/>
      <c r="R112" s="208">
        <f>ROUND((ROUND((_11_A家事４．５*_11・重度研修),0)*(1+_11・A夜間)),0)</f>
        <v>781</v>
      </c>
      <c r="S112" s="48"/>
    </row>
    <row r="113" spans="1:19" ht="16.5" customHeight="1" x14ac:dyDescent="0.15">
      <c r="A113" s="41">
        <v>11</v>
      </c>
      <c r="B113" s="41">
        <v>8434</v>
      </c>
      <c r="C113" s="74" t="s">
        <v>12106</v>
      </c>
      <c r="D113" s="799"/>
      <c r="E113" s="796"/>
      <c r="F113" s="35"/>
      <c r="I113" s="256" t="s">
        <v>397</v>
      </c>
      <c r="J113" s="218" t="s">
        <v>398</v>
      </c>
      <c r="K113" s="46">
        <v>1</v>
      </c>
      <c r="L113" s="35"/>
      <c r="O113" s="43"/>
      <c r="P113" s="220"/>
      <c r="Q113" s="38"/>
      <c r="R113" s="208">
        <f>ROUND((ROUND((ROUND((_11_A家事４．５*_11・重度研修),0)*_11・２人),0)*(1+_11・A夜間)),0)</f>
        <v>781</v>
      </c>
      <c r="S113" s="48"/>
    </row>
    <row r="114" spans="1:19" ht="16.5" customHeight="1" x14ac:dyDescent="0.15">
      <c r="A114" s="41">
        <v>11</v>
      </c>
      <c r="B114" s="41" t="s">
        <v>12107</v>
      </c>
      <c r="C114" s="74" t="s">
        <v>12108</v>
      </c>
      <c r="D114" s="799"/>
      <c r="E114" s="796"/>
      <c r="F114" s="35"/>
      <c r="I114" s="163"/>
      <c r="J114" s="45"/>
      <c r="K114" s="46"/>
      <c r="L114" s="35"/>
      <c r="O114" s="734" t="s">
        <v>404</v>
      </c>
      <c r="P114" s="219" t="s">
        <v>398</v>
      </c>
      <c r="Q114" s="50">
        <f>_11・初任</f>
        <v>0.7</v>
      </c>
      <c r="R114" s="208">
        <f>ROUND((ROUND((ROUND((_11_A家事４．５*_11・重度研修),0)*(1+_11・A夜間)),0)*_11・初任),0)</f>
        <v>547</v>
      </c>
      <c r="S114" s="48"/>
    </row>
    <row r="115" spans="1:19" ht="16.5" customHeight="1" x14ac:dyDescent="0.15">
      <c r="A115" s="41">
        <v>11</v>
      </c>
      <c r="B115" s="41" t="s">
        <v>12109</v>
      </c>
      <c r="C115" s="74" t="s">
        <v>12110</v>
      </c>
      <c r="D115" s="165">
        <f>_11_A家事４．５</f>
        <v>694</v>
      </c>
      <c r="E115" s="37" t="s">
        <v>392</v>
      </c>
      <c r="F115" s="43"/>
      <c r="G115" s="37"/>
      <c r="H115" s="38"/>
      <c r="I115" s="256" t="s">
        <v>397</v>
      </c>
      <c r="J115" s="218" t="s">
        <v>398</v>
      </c>
      <c r="K115" s="46">
        <v>1</v>
      </c>
      <c r="L115" s="43"/>
      <c r="M115" s="37"/>
      <c r="N115" s="38"/>
      <c r="O115" s="706"/>
      <c r="P115" s="220"/>
      <c r="Q115" s="38"/>
      <c r="R115" s="208">
        <f>ROUND((ROUND((ROUND((ROUND((_11_A家事４．５*_11・重度研修),0)*_11・２人),0)*(1+_11・A夜間)),0)*_11・初任),0)</f>
        <v>547</v>
      </c>
      <c r="S115" s="63"/>
    </row>
    <row r="116" spans="1:19" ht="16.5" customHeight="1" x14ac:dyDescent="0.15"/>
    <row r="117" spans="1:19" ht="16.5" customHeight="1" x14ac:dyDescent="0.15"/>
  </sheetData>
  <mergeCells count="58">
    <mergeCell ref="D108:E110"/>
    <mergeCell ref="O110:O111"/>
    <mergeCell ref="D112:E114"/>
    <mergeCell ref="O114:O115"/>
    <mergeCell ref="D96:E98"/>
    <mergeCell ref="O98:O99"/>
    <mergeCell ref="D100:E102"/>
    <mergeCell ref="O102:O103"/>
    <mergeCell ref="D104:E106"/>
    <mergeCell ref="O106:O107"/>
    <mergeCell ref="D84:E86"/>
    <mergeCell ref="O86:O87"/>
    <mergeCell ref="D88:E90"/>
    <mergeCell ref="O90:O91"/>
    <mergeCell ref="D92:E94"/>
    <mergeCell ref="O94:O95"/>
    <mergeCell ref="D72:E74"/>
    <mergeCell ref="O74:O75"/>
    <mergeCell ref="D76:E78"/>
    <mergeCell ref="O78:O79"/>
    <mergeCell ref="D80:E82"/>
    <mergeCell ref="O82:O83"/>
    <mergeCell ref="D64:E66"/>
    <mergeCell ref="O66:O67"/>
    <mergeCell ref="D68:E70"/>
    <mergeCell ref="F68:H70"/>
    <mergeCell ref="N69:N70"/>
    <mergeCell ref="O70:O71"/>
    <mergeCell ref="D52:E54"/>
    <mergeCell ref="O54:O55"/>
    <mergeCell ref="D56:E58"/>
    <mergeCell ref="O58:O59"/>
    <mergeCell ref="D60:E62"/>
    <mergeCell ref="O62:O63"/>
    <mergeCell ref="D39:E41"/>
    <mergeCell ref="O41:O42"/>
    <mergeCell ref="D48:E50"/>
    <mergeCell ref="F48:H50"/>
    <mergeCell ref="N49:N50"/>
    <mergeCell ref="O50:O51"/>
    <mergeCell ref="D27:E29"/>
    <mergeCell ref="O29:O30"/>
    <mergeCell ref="D31:E33"/>
    <mergeCell ref="O33:O34"/>
    <mergeCell ref="D35:E37"/>
    <mergeCell ref="O37:O38"/>
    <mergeCell ref="D15:E17"/>
    <mergeCell ref="O17:O18"/>
    <mergeCell ref="D19:E21"/>
    <mergeCell ref="O21:O22"/>
    <mergeCell ref="D23:E25"/>
    <mergeCell ref="O25:O26"/>
    <mergeCell ref="D7:E9"/>
    <mergeCell ref="F7:H9"/>
    <mergeCell ref="N8:N9"/>
    <mergeCell ref="O9:O10"/>
    <mergeCell ref="D11:E13"/>
    <mergeCell ref="O13:O14"/>
  </mergeCells>
  <phoneticPr fontId="1"/>
  <printOptions horizontalCentered="1"/>
  <pageMargins left="0.70866141732283472" right="0.70866141732283472" top="0.74803149606299213" bottom="0.74803149606299213" header="0.31496062992125984" footer="0.31496062992125984"/>
  <pageSetup paperSize="9" scale="58" fitToHeight="0" orientation="portrait" r:id="rId1"/>
  <headerFooter>
    <oddHeader>&amp;R&amp;"ＭＳ Ｐゴシック"&amp;9居宅介護</oddHeader>
    <oddFooter>&amp;C&amp;"ＭＳ Ｐゴシック"&amp;14&amp;P</oddFooter>
  </headerFooter>
  <rowBreaks count="1" manualBreakCount="1">
    <brk id="67" max="18"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2">
    <pageSetUpPr fitToPage="1"/>
  </sheetPr>
  <dimension ref="A1:S10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0" customWidth="1"/>
    <col min="5" max="5" width="4.875" style="12" customWidth="1"/>
    <col min="6" max="6" width="3.125" style="12" customWidth="1"/>
    <col min="7" max="7" width="2.5" style="12" customWidth="1"/>
    <col min="8" max="8" width="4.5" style="13" bestFit="1" customWidth="1"/>
    <col min="9" max="9" width="24.125" style="12" bestFit="1" customWidth="1"/>
    <col min="10" max="10" width="2.5" style="12" customWidth="1"/>
    <col min="11" max="11" width="5.5" style="13" bestFit="1" customWidth="1"/>
    <col min="12" max="12" width="2.5" style="12" customWidth="1"/>
    <col min="13" max="13" width="3.875" style="12" customWidth="1"/>
    <col min="14" max="14" width="4.5" style="13" bestFit="1" customWidth="1"/>
    <col min="15" max="15" width="17.875" style="12" customWidth="1"/>
    <col min="16" max="16" width="2.5" style="242" customWidth="1"/>
    <col min="17" max="17" width="4.5" style="13" bestFit="1" customWidth="1"/>
    <col min="18" max="18" width="7.125" style="15" customWidth="1"/>
    <col min="19" max="19" width="8.5" style="16" customWidth="1"/>
    <col min="20" max="16384" width="8.875" style="12"/>
  </cols>
  <sheetData>
    <row r="1" spans="1:19" ht="17.100000000000001" customHeight="1" x14ac:dyDescent="0.15"/>
    <row r="2" spans="1:19" ht="17.100000000000001" customHeight="1" x14ac:dyDescent="0.15"/>
    <row r="3" spans="1:19" ht="17.100000000000001" customHeight="1" x14ac:dyDescent="0.15"/>
    <row r="4" spans="1:19" ht="17.100000000000001" customHeight="1" x14ac:dyDescent="0.15">
      <c r="B4" s="17" t="s">
        <v>12111</v>
      </c>
      <c r="D4" s="71"/>
    </row>
    <row r="5" spans="1:19" ht="16.5" customHeight="1" x14ac:dyDescent="0.15">
      <c r="A5" s="19" t="s">
        <v>384</v>
      </c>
      <c r="B5" s="20"/>
      <c r="C5" s="21" t="s">
        <v>385</v>
      </c>
      <c r="D5" s="23" t="s">
        <v>386</v>
      </c>
      <c r="E5" s="23"/>
      <c r="F5" s="23"/>
      <c r="G5" s="23"/>
      <c r="H5" s="24"/>
      <c r="I5" s="23"/>
      <c r="J5" s="23"/>
      <c r="K5" s="24"/>
      <c r="L5" s="23"/>
      <c r="M5" s="23"/>
      <c r="N5" s="24"/>
      <c r="O5" s="23"/>
      <c r="P5" s="23"/>
      <c r="Q5" s="24"/>
      <c r="R5" s="25" t="s">
        <v>387</v>
      </c>
      <c r="S5" s="21" t="s">
        <v>388</v>
      </c>
    </row>
    <row r="6" spans="1:19" ht="16.5" customHeight="1" x14ac:dyDescent="0.15">
      <c r="A6" s="26" t="s">
        <v>389</v>
      </c>
      <c r="B6" s="26" t="s">
        <v>390</v>
      </c>
      <c r="C6" s="27"/>
      <c r="D6" s="29"/>
      <c r="E6" s="29"/>
      <c r="F6" s="29"/>
      <c r="G6" s="29"/>
      <c r="H6" s="30"/>
      <c r="I6" s="29"/>
      <c r="J6" s="29"/>
      <c r="K6" s="30"/>
      <c r="L6" s="29"/>
      <c r="M6" s="29"/>
      <c r="N6" s="30"/>
      <c r="O6" s="29"/>
      <c r="P6" s="214"/>
      <c r="Q6" s="30"/>
      <c r="R6" s="31" t="s">
        <v>391</v>
      </c>
      <c r="S6" s="32" t="s">
        <v>392</v>
      </c>
    </row>
    <row r="7" spans="1:19" ht="16.5" customHeight="1" x14ac:dyDescent="0.15">
      <c r="A7" s="33">
        <v>11</v>
      </c>
      <c r="B7" s="33">
        <v>8435</v>
      </c>
      <c r="C7" s="34" t="s">
        <v>12112</v>
      </c>
      <c r="D7" s="709" t="s">
        <v>861</v>
      </c>
      <c r="E7" s="797"/>
      <c r="F7" s="801" t="s">
        <v>11707</v>
      </c>
      <c r="G7" s="797"/>
      <c r="H7" s="796"/>
      <c r="I7" s="37"/>
      <c r="J7" s="37"/>
      <c r="K7" s="38"/>
      <c r="L7" s="35" t="s">
        <v>862</v>
      </c>
      <c r="N7" s="234"/>
      <c r="O7" s="35"/>
      <c r="R7" s="39">
        <f>ROUND((ROUND((_11_A家事０．５*_11・重度研修),0)*(1+_11・A深夜)),0)</f>
        <v>143</v>
      </c>
      <c r="S7" s="40" t="s">
        <v>395</v>
      </c>
    </row>
    <row r="8" spans="1:19" ht="16.5" customHeight="1" x14ac:dyDescent="0.15">
      <c r="A8" s="41">
        <v>11</v>
      </c>
      <c r="B8" s="41">
        <v>8436</v>
      </c>
      <c r="C8" s="74" t="s">
        <v>12113</v>
      </c>
      <c r="D8" s="799"/>
      <c r="E8" s="797"/>
      <c r="F8" s="799"/>
      <c r="G8" s="797"/>
      <c r="H8" s="796"/>
      <c r="I8" s="217" t="s">
        <v>397</v>
      </c>
      <c r="J8" s="218" t="s">
        <v>398</v>
      </c>
      <c r="K8" s="46">
        <v>1</v>
      </c>
      <c r="L8" s="258" t="s">
        <v>398</v>
      </c>
      <c r="M8" s="13">
        <v>0.5</v>
      </c>
      <c r="N8" s="718" t="s">
        <v>676</v>
      </c>
      <c r="O8" s="43"/>
      <c r="P8" s="220"/>
      <c r="Q8" s="38"/>
      <c r="R8" s="47">
        <f>ROUND((ROUND((ROUND((_11_A家事０．５*_11・重度研修),0)*_11・２人),0)*(1+_11・A深夜)),0)</f>
        <v>143</v>
      </c>
      <c r="S8" s="48"/>
    </row>
    <row r="9" spans="1:19" ht="16.5" customHeight="1" x14ac:dyDescent="0.15">
      <c r="A9" s="41">
        <v>11</v>
      </c>
      <c r="B9" s="41" t="s">
        <v>12114</v>
      </c>
      <c r="C9" s="74" t="s">
        <v>12115</v>
      </c>
      <c r="D9" s="799"/>
      <c r="E9" s="797"/>
      <c r="F9" s="799"/>
      <c r="G9" s="797"/>
      <c r="H9" s="796"/>
      <c r="I9" s="45"/>
      <c r="J9" s="45"/>
      <c r="K9" s="46"/>
      <c r="L9" s="35"/>
      <c r="N9" s="796"/>
      <c r="O9" s="734" t="s">
        <v>404</v>
      </c>
      <c r="P9" s="219" t="s">
        <v>398</v>
      </c>
      <c r="Q9" s="50">
        <f>_11・初任</f>
        <v>0.7</v>
      </c>
      <c r="R9" s="47">
        <f>ROUND((ROUND((ROUND((_11_A家事０．５*_11・重度研修),0)*(1+_11・A深夜)),0)*_11・初任),0)</f>
        <v>100</v>
      </c>
      <c r="S9" s="48"/>
    </row>
    <row r="10" spans="1:19" ht="16.5" customHeight="1" x14ac:dyDescent="0.15">
      <c r="A10" s="41">
        <v>11</v>
      </c>
      <c r="B10" s="41" t="s">
        <v>12116</v>
      </c>
      <c r="C10" s="74" t="s">
        <v>12117</v>
      </c>
      <c r="D10" s="100">
        <f>_11_A家事０．５</f>
        <v>105</v>
      </c>
      <c r="E10" s="12" t="s">
        <v>392</v>
      </c>
      <c r="F10" s="35"/>
      <c r="G10" s="16" t="s">
        <v>398</v>
      </c>
      <c r="H10" s="234">
        <v>0.9</v>
      </c>
      <c r="I10" s="217" t="s">
        <v>397</v>
      </c>
      <c r="J10" s="218" t="s">
        <v>398</v>
      </c>
      <c r="K10" s="46">
        <v>1</v>
      </c>
      <c r="L10" s="35"/>
      <c r="O10" s="706"/>
      <c r="P10" s="220"/>
      <c r="Q10" s="38"/>
      <c r="R10" s="47">
        <f>ROUND((ROUND((ROUND((ROUND((_11_A家事０．５*_11・重度研修),0)*_11・２人),0)*(1+_11・A深夜)),0)*_11・初任),0)</f>
        <v>100</v>
      </c>
      <c r="S10" s="48"/>
    </row>
    <row r="11" spans="1:19" ht="16.5" customHeight="1" x14ac:dyDescent="0.15">
      <c r="A11" s="41">
        <v>11</v>
      </c>
      <c r="B11" s="41">
        <v>8437</v>
      </c>
      <c r="C11" s="74" t="s">
        <v>12118</v>
      </c>
      <c r="D11" s="707" t="s">
        <v>9150</v>
      </c>
      <c r="E11" s="798"/>
      <c r="F11" s="35"/>
      <c r="I11" s="163"/>
      <c r="J11" s="45"/>
      <c r="K11" s="46"/>
      <c r="L11" s="35"/>
      <c r="O11" s="53"/>
      <c r="P11" s="245"/>
      <c r="Q11" s="50"/>
      <c r="R11" s="47">
        <f>ROUND((ROUND((_11_A家事０．７５*_11・重度研修),0)*(1+_11・A深夜)),0)</f>
        <v>206</v>
      </c>
      <c r="S11" s="48"/>
    </row>
    <row r="12" spans="1:19" ht="16.5" customHeight="1" x14ac:dyDescent="0.15">
      <c r="A12" s="41">
        <v>11</v>
      </c>
      <c r="B12" s="41">
        <v>8438</v>
      </c>
      <c r="C12" s="74" t="s">
        <v>12119</v>
      </c>
      <c r="D12" s="799"/>
      <c r="E12" s="796"/>
      <c r="F12" s="35"/>
      <c r="I12" s="256" t="s">
        <v>397</v>
      </c>
      <c r="J12" s="218" t="s">
        <v>398</v>
      </c>
      <c r="K12" s="46">
        <v>1</v>
      </c>
      <c r="L12" s="35"/>
      <c r="O12" s="43"/>
      <c r="P12" s="220"/>
      <c r="Q12" s="38"/>
      <c r="R12" s="47">
        <f>ROUND((ROUND((ROUND((_11_A家事０．７５*_11・重度研修),0)*_11・２人),0)*(1+_11・A深夜)),0)</f>
        <v>206</v>
      </c>
      <c r="S12" s="48"/>
    </row>
    <row r="13" spans="1:19" ht="16.5" customHeight="1" x14ac:dyDescent="0.15">
      <c r="A13" s="41">
        <v>11</v>
      </c>
      <c r="B13" s="41" t="s">
        <v>12120</v>
      </c>
      <c r="C13" s="74" t="s">
        <v>12121</v>
      </c>
      <c r="D13" s="799"/>
      <c r="E13" s="796"/>
      <c r="F13" s="35"/>
      <c r="I13" s="163"/>
      <c r="J13" s="45"/>
      <c r="K13" s="46"/>
      <c r="L13" s="35"/>
      <c r="O13" s="734" t="s">
        <v>404</v>
      </c>
      <c r="P13" s="219" t="s">
        <v>398</v>
      </c>
      <c r="Q13" s="50">
        <f>_11・初任</f>
        <v>0.7</v>
      </c>
      <c r="R13" s="47">
        <f>ROUND((ROUND((ROUND((_11_A家事０．７５*_11・重度研修),0)*(1+_11・A深夜)),0)*_11・初任),0)</f>
        <v>144</v>
      </c>
      <c r="S13" s="48"/>
    </row>
    <row r="14" spans="1:19" ht="16.5" customHeight="1" x14ac:dyDescent="0.15">
      <c r="A14" s="41">
        <v>11</v>
      </c>
      <c r="B14" s="41" t="s">
        <v>12122</v>
      </c>
      <c r="C14" s="74" t="s">
        <v>12123</v>
      </c>
      <c r="D14" s="100">
        <f>_11_A家事０．７５</f>
        <v>152</v>
      </c>
      <c r="E14" s="12" t="s">
        <v>392</v>
      </c>
      <c r="F14" s="35"/>
      <c r="I14" s="256" t="s">
        <v>397</v>
      </c>
      <c r="J14" s="218" t="s">
        <v>398</v>
      </c>
      <c r="K14" s="46">
        <v>1</v>
      </c>
      <c r="L14" s="35"/>
      <c r="O14" s="706"/>
      <c r="P14" s="220"/>
      <c r="Q14" s="38"/>
      <c r="R14" s="47">
        <f>ROUND((ROUND((ROUND((ROUND((_11_A家事０．７５*_11・重度研修),0)*_11・２人),0)*(1+_11・A深夜)),0)*_11・初任),0)</f>
        <v>144</v>
      </c>
      <c r="S14" s="48"/>
    </row>
    <row r="15" spans="1:19" ht="16.5" customHeight="1" x14ac:dyDescent="0.15">
      <c r="A15" s="41">
        <v>11</v>
      </c>
      <c r="B15" s="41">
        <v>8439</v>
      </c>
      <c r="C15" s="74" t="s">
        <v>12124</v>
      </c>
      <c r="D15" s="707" t="s">
        <v>9163</v>
      </c>
      <c r="E15" s="798"/>
      <c r="F15" s="35"/>
      <c r="I15" s="163"/>
      <c r="J15" s="45"/>
      <c r="K15" s="46"/>
      <c r="L15" s="35"/>
      <c r="O15" s="53"/>
      <c r="P15" s="245"/>
      <c r="Q15" s="50"/>
      <c r="R15" s="47">
        <f>ROUND((ROUND((_11_A家事１．０*_11・重度研修),0)*(1+_11・A深夜)),0)</f>
        <v>264</v>
      </c>
      <c r="S15" s="48"/>
    </row>
    <row r="16" spans="1:19" ht="16.5" customHeight="1" x14ac:dyDescent="0.15">
      <c r="A16" s="41">
        <v>11</v>
      </c>
      <c r="B16" s="41">
        <v>8440</v>
      </c>
      <c r="C16" s="74" t="s">
        <v>12125</v>
      </c>
      <c r="D16" s="799"/>
      <c r="E16" s="796"/>
      <c r="F16" s="35"/>
      <c r="I16" s="256" t="s">
        <v>397</v>
      </c>
      <c r="J16" s="218" t="s">
        <v>398</v>
      </c>
      <c r="K16" s="46">
        <v>1</v>
      </c>
      <c r="L16" s="35"/>
      <c r="O16" s="43"/>
      <c r="P16" s="220"/>
      <c r="Q16" s="38"/>
      <c r="R16" s="47">
        <f>ROUND((ROUND((ROUND((_11_A家事１．０*_11・重度研修),0)*_11・２人),0)*(1+_11・A深夜)),0)</f>
        <v>264</v>
      </c>
      <c r="S16" s="48"/>
    </row>
    <row r="17" spans="1:19" ht="16.5" customHeight="1" x14ac:dyDescent="0.15">
      <c r="A17" s="41">
        <v>11</v>
      </c>
      <c r="B17" s="41" t="s">
        <v>12126</v>
      </c>
      <c r="C17" s="74" t="s">
        <v>12127</v>
      </c>
      <c r="D17" s="799"/>
      <c r="E17" s="796"/>
      <c r="F17" s="35"/>
      <c r="I17" s="163"/>
      <c r="J17" s="45"/>
      <c r="K17" s="46"/>
      <c r="L17" s="35"/>
      <c r="O17" s="734" t="s">
        <v>404</v>
      </c>
      <c r="P17" s="219" t="s">
        <v>398</v>
      </c>
      <c r="Q17" s="50">
        <f>_11・初任</f>
        <v>0.7</v>
      </c>
      <c r="R17" s="47">
        <f>ROUND((ROUND((ROUND((_11_A家事１．０*_11・重度研修),0)*(1+_11・A深夜)),0)*_11・初任),0)</f>
        <v>185</v>
      </c>
      <c r="S17" s="48"/>
    </row>
    <row r="18" spans="1:19" ht="16.5" customHeight="1" x14ac:dyDescent="0.15">
      <c r="A18" s="41">
        <v>11</v>
      </c>
      <c r="B18" s="41" t="s">
        <v>12128</v>
      </c>
      <c r="C18" s="74" t="s">
        <v>12129</v>
      </c>
      <c r="D18" s="100">
        <f>_11_A家事１．０</f>
        <v>196</v>
      </c>
      <c r="E18" s="12" t="s">
        <v>392</v>
      </c>
      <c r="F18" s="35"/>
      <c r="I18" s="256" t="s">
        <v>397</v>
      </c>
      <c r="J18" s="218" t="s">
        <v>398</v>
      </c>
      <c r="K18" s="46">
        <v>1</v>
      </c>
      <c r="L18" s="35"/>
      <c r="O18" s="706"/>
      <c r="P18" s="220"/>
      <c r="Q18" s="38"/>
      <c r="R18" s="47">
        <f>ROUND((ROUND((ROUND((ROUND((_11_A家事１．０*_11・重度研修),0)*_11・２人),0)*(1+_11・A深夜)),0)*_11・初任),0)</f>
        <v>185</v>
      </c>
      <c r="S18" s="48"/>
    </row>
    <row r="19" spans="1:19" ht="16.5" customHeight="1" x14ac:dyDescent="0.15">
      <c r="A19" s="41">
        <v>11</v>
      </c>
      <c r="B19" s="41">
        <v>8441</v>
      </c>
      <c r="C19" s="74" t="s">
        <v>12130</v>
      </c>
      <c r="D19" s="707" t="s">
        <v>9176</v>
      </c>
      <c r="E19" s="798"/>
      <c r="F19" s="35"/>
      <c r="I19" s="163"/>
      <c r="J19" s="45"/>
      <c r="K19" s="46"/>
      <c r="L19" s="35"/>
      <c r="O19" s="53"/>
      <c r="P19" s="245"/>
      <c r="Q19" s="50"/>
      <c r="R19" s="47">
        <f>ROUND((ROUND((_11_A家事１．２５*_11・重度研修),0)*(1+_11・A深夜)),0)</f>
        <v>321</v>
      </c>
      <c r="S19" s="48"/>
    </row>
    <row r="20" spans="1:19" ht="16.5" customHeight="1" x14ac:dyDescent="0.15">
      <c r="A20" s="41">
        <v>11</v>
      </c>
      <c r="B20" s="41">
        <v>8442</v>
      </c>
      <c r="C20" s="74" t="s">
        <v>12131</v>
      </c>
      <c r="D20" s="799"/>
      <c r="E20" s="796"/>
      <c r="F20" s="35"/>
      <c r="I20" s="256" t="s">
        <v>397</v>
      </c>
      <c r="J20" s="218" t="s">
        <v>398</v>
      </c>
      <c r="K20" s="46">
        <v>1</v>
      </c>
      <c r="L20" s="35"/>
      <c r="O20" s="43"/>
      <c r="P20" s="220"/>
      <c r="Q20" s="38"/>
      <c r="R20" s="47">
        <f>ROUND((ROUND((ROUND((_11_A家事１．２５*_11・重度研修),0)*_11・２人),0)*(1+_11・A深夜)),0)</f>
        <v>321</v>
      </c>
      <c r="S20" s="48"/>
    </row>
    <row r="21" spans="1:19" ht="16.5" customHeight="1" x14ac:dyDescent="0.15">
      <c r="A21" s="41">
        <v>11</v>
      </c>
      <c r="B21" s="41" t="s">
        <v>12132</v>
      </c>
      <c r="C21" s="74" t="s">
        <v>12133</v>
      </c>
      <c r="D21" s="799"/>
      <c r="E21" s="796"/>
      <c r="F21" s="35"/>
      <c r="I21" s="163"/>
      <c r="J21" s="45"/>
      <c r="K21" s="46"/>
      <c r="L21" s="35"/>
      <c r="O21" s="734" t="s">
        <v>404</v>
      </c>
      <c r="P21" s="219" t="s">
        <v>398</v>
      </c>
      <c r="Q21" s="50">
        <f>_11・初任</f>
        <v>0.7</v>
      </c>
      <c r="R21" s="47">
        <f>ROUND((ROUND((ROUND((_11_A家事１．２５*_11・重度研修),0)*(1+_11・A深夜)),0)*_11・初任),0)</f>
        <v>225</v>
      </c>
      <c r="S21" s="48"/>
    </row>
    <row r="22" spans="1:19" ht="16.5" customHeight="1" x14ac:dyDescent="0.15">
      <c r="A22" s="41">
        <v>11</v>
      </c>
      <c r="B22" s="41" t="s">
        <v>12134</v>
      </c>
      <c r="C22" s="74" t="s">
        <v>12135</v>
      </c>
      <c r="D22" s="100">
        <f>_11_A家事１．２５</f>
        <v>238</v>
      </c>
      <c r="E22" s="12" t="s">
        <v>392</v>
      </c>
      <c r="F22" s="35"/>
      <c r="I22" s="256" t="s">
        <v>397</v>
      </c>
      <c r="J22" s="218" t="s">
        <v>398</v>
      </c>
      <c r="K22" s="46">
        <v>1</v>
      </c>
      <c r="L22" s="35"/>
      <c r="O22" s="706"/>
      <c r="P22" s="220"/>
      <c r="Q22" s="38"/>
      <c r="R22" s="47">
        <f>ROUND((ROUND((ROUND((ROUND((_11_A家事１．２５*_11・重度研修),0)*_11・２人),0)*(1+_11・A深夜)),0)*_11・初任),0)</f>
        <v>225</v>
      </c>
      <c r="S22" s="48"/>
    </row>
    <row r="23" spans="1:19" ht="16.5" customHeight="1" x14ac:dyDescent="0.15">
      <c r="A23" s="41">
        <v>11</v>
      </c>
      <c r="B23" s="41">
        <v>8443</v>
      </c>
      <c r="C23" s="74" t="s">
        <v>12136</v>
      </c>
      <c r="D23" s="707" t="s">
        <v>9189</v>
      </c>
      <c r="E23" s="798"/>
      <c r="F23" s="35"/>
      <c r="I23" s="163"/>
      <c r="J23" s="45"/>
      <c r="K23" s="46"/>
      <c r="L23" s="35"/>
      <c r="O23" s="53"/>
      <c r="P23" s="245"/>
      <c r="Q23" s="50"/>
      <c r="R23" s="47">
        <f>ROUND((ROUND((_11_A家事１．５*_11・重度研修),0)*(1+_11・A深夜)),0)</f>
        <v>371</v>
      </c>
      <c r="S23" s="48"/>
    </row>
    <row r="24" spans="1:19" ht="16.5" customHeight="1" x14ac:dyDescent="0.15">
      <c r="A24" s="41">
        <v>11</v>
      </c>
      <c r="B24" s="41">
        <v>8444</v>
      </c>
      <c r="C24" s="74" t="s">
        <v>12137</v>
      </c>
      <c r="D24" s="799"/>
      <c r="E24" s="796"/>
      <c r="F24" s="35"/>
      <c r="I24" s="256" t="s">
        <v>397</v>
      </c>
      <c r="J24" s="218" t="s">
        <v>398</v>
      </c>
      <c r="K24" s="46">
        <v>1</v>
      </c>
      <c r="L24" s="35"/>
      <c r="O24" s="43"/>
      <c r="P24" s="220"/>
      <c r="Q24" s="38"/>
      <c r="R24" s="47">
        <f>ROUND((ROUND((ROUND((_11_A家事１．５*_11・重度研修),0)*_11・２人),0)*(1+_11・A深夜)),0)</f>
        <v>371</v>
      </c>
      <c r="S24" s="48"/>
    </row>
    <row r="25" spans="1:19" ht="16.5" customHeight="1" x14ac:dyDescent="0.15">
      <c r="A25" s="41">
        <v>11</v>
      </c>
      <c r="B25" s="41" t="s">
        <v>12138</v>
      </c>
      <c r="C25" s="74" t="s">
        <v>12139</v>
      </c>
      <c r="D25" s="799"/>
      <c r="E25" s="796"/>
      <c r="F25" s="35"/>
      <c r="I25" s="163"/>
      <c r="J25" s="45"/>
      <c r="K25" s="46"/>
      <c r="L25" s="35"/>
      <c r="O25" s="734" t="s">
        <v>404</v>
      </c>
      <c r="P25" s="219" t="s">
        <v>398</v>
      </c>
      <c r="Q25" s="50">
        <f>_11・初任</f>
        <v>0.7</v>
      </c>
      <c r="R25" s="47">
        <f>ROUND((ROUND((ROUND((_11_A家事１．５*_11・重度研修),0)*(1+_11・A深夜)),0)*_11・初任),0)</f>
        <v>260</v>
      </c>
      <c r="S25" s="48"/>
    </row>
    <row r="26" spans="1:19" ht="16.5" customHeight="1" x14ac:dyDescent="0.15">
      <c r="A26" s="41">
        <v>11</v>
      </c>
      <c r="B26" s="41" t="s">
        <v>12140</v>
      </c>
      <c r="C26" s="74" t="s">
        <v>12141</v>
      </c>
      <c r="D26" s="100">
        <f>_11_A家事１．５</f>
        <v>274</v>
      </c>
      <c r="E26" s="12" t="s">
        <v>392</v>
      </c>
      <c r="F26" s="35"/>
      <c r="I26" s="256" t="s">
        <v>397</v>
      </c>
      <c r="J26" s="218" t="s">
        <v>398</v>
      </c>
      <c r="K26" s="46">
        <v>1</v>
      </c>
      <c r="L26" s="35"/>
      <c r="O26" s="706"/>
      <c r="P26" s="220"/>
      <c r="Q26" s="38"/>
      <c r="R26" s="47">
        <f>ROUND((ROUND((ROUND((ROUND((_11_A家事１．５*_11・重度研修),0)*_11・２人),0)*(1+_11・A深夜)),0)*_11・初任),0)</f>
        <v>260</v>
      </c>
      <c r="S26" s="48"/>
    </row>
    <row r="27" spans="1:19" ht="16.5" customHeight="1" x14ac:dyDescent="0.15">
      <c r="A27" s="41">
        <v>11</v>
      </c>
      <c r="B27" s="41">
        <v>8445</v>
      </c>
      <c r="C27" s="74" t="s">
        <v>12142</v>
      </c>
      <c r="D27" s="707" t="s">
        <v>9202</v>
      </c>
      <c r="E27" s="798"/>
      <c r="F27" s="35"/>
      <c r="H27" s="234"/>
      <c r="I27" s="45"/>
      <c r="J27" s="45"/>
      <c r="K27" s="46"/>
      <c r="L27" s="35"/>
      <c r="O27" s="53"/>
      <c r="P27" s="245"/>
      <c r="Q27" s="50"/>
      <c r="R27" s="47">
        <f>ROUND((ROUND((_11_A家事１．７５*_11・重度研修),0)*(1+_11・A深夜)),0)</f>
        <v>417</v>
      </c>
      <c r="S27" s="48"/>
    </row>
    <row r="28" spans="1:19" ht="16.5" customHeight="1" x14ac:dyDescent="0.15">
      <c r="A28" s="41">
        <v>11</v>
      </c>
      <c r="B28" s="41">
        <v>8446</v>
      </c>
      <c r="C28" s="74" t="s">
        <v>12143</v>
      </c>
      <c r="D28" s="799"/>
      <c r="E28" s="796"/>
      <c r="F28" s="35"/>
      <c r="H28" s="234"/>
      <c r="I28" s="259" t="s">
        <v>397</v>
      </c>
      <c r="J28" s="218" t="s">
        <v>398</v>
      </c>
      <c r="K28" s="46">
        <v>1</v>
      </c>
      <c r="L28" s="35"/>
      <c r="O28" s="43"/>
      <c r="P28" s="220"/>
      <c r="Q28" s="38"/>
      <c r="R28" s="47">
        <f>ROUND((ROUND((ROUND((_11_A家事１．７５*_11・重度研修),0)*_11・２人),0)*(1+_11・A深夜)),0)</f>
        <v>417</v>
      </c>
      <c r="S28" s="48"/>
    </row>
    <row r="29" spans="1:19" ht="16.5" customHeight="1" x14ac:dyDescent="0.15">
      <c r="A29" s="41">
        <v>11</v>
      </c>
      <c r="B29" s="41" t="s">
        <v>12144</v>
      </c>
      <c r="C29" s="74" t="s">
        <v>12145</v>
      </c>
      <c r="D29" s="799"/>
      <c r="E29" s="796"/>
      <c r="F29" s="35"/>
      <c r="H29" s="234"/>
      <c r="I29" s="45"/>
      <c r="J29" s="45"/>
      <c r="K29" s="46"/>
      <c r="L29" s="35"/>
      <c r="O29" s="734" t="s">
        <v>404</v>
      </c>
      <c r="P29" s="219" t="s">
        <v>398</v>
      </c>
      <c r="Q29" s="50">
        <f>_11・初任</f>
        <v>0.7</v>
      </c>
      <c r="R29" s="47">
        <f>ROUND((ROUND((ROUND((_11_A家事１．７５*_11・重度研修),0)*(1+_11・A深夜)),0)*_11・初任),0)</f>
        <v>292</v>
      </c>
      <c r="S29" s="48"/>
    </row>
    <row r="30" spans="1:19" ht="16.5" customHeight="1" x14ac:dyDescent="0.15">
      <c r="A30" s="41">
        <v>11</v>
      </c>
      <c r="B30" s="41" t="s">
        <v>12146</v>
      </c>
      <c r="C30" s="74" t="s">
        <v>12147</v>
      </c>
      <c r="D30" s="100">
        <f>_11_A家事１．７５</f>
        <v>309</v>
      </c>
      <c r="E30" s="12" t="s">
        <v>392</v>
      </c>
      <c r="F30" s="35"/>
      <c r="H30" s="234"/>
      <c r="I30" s="259" t="s">
        <v>397</v>
      </c>
      <c r="J30" s="218" t="s">
        <v>398</v>
      </c>
      <c r="K30" s="46">
        <v>1</v>
      </c>
      <c r="L30" s="35"/>
      <c r="O30" s="706"/>
      <c r="P30" s="220"/>
      <c r="Q30" s="38"/>
      <c r="R30" s="47">
        <f>ROUND((ROUND((ROUND((ROUND((_11_A家事１．７５*_11・重度研修),0)*_11・２人),0)*(1+_11・A深夜)),0)*_11・初任),0)</f>
        <v>292</v>
      </c>
      <c r="S30" s="48"/>
    </row>
    <row r="31" spans="1:19" ht="16.5" customHeight="1" x14ac:dyDescent="0.15">
      <c r="A31" s="41">
        <v>11</v>
      </c>
      <c r="B31" s="41">
        <v>8447</v>
      </c>
      <c r="C31" s="74" t="s">
        <v>12148</v>
      </c>
      <c r="D31" s="707" t="s">
        <v>9215</v>
      </c>
      <c r="E31" s="798"/>
      <c r="F31" s="35"/>
      <c r="H31" s="234"/>
      <c r="I31" s="45"/>
      <c r="J31" s="45"/>
      <c r="K31" s="46"/>
      <c r="L31" s="35"/>
      <c r="O31" s="53"/>
      <c r="P31" s="245"/>
      <c r="Q31" s="50"/>
      <c r="R31" s="47">
        <f>ROUND((ROUND((_11_A家事２．０*_11・重度研修),0)*(1+_11・A深夜)),0)</f>
        <v>465</v>
      </c>
      <c r="S31" s="48"/>
    </row>
    <row r="32" spans="1:19" ht="16.5" customHeight="1" x14ac:dyDescent="0.15">
      <c r="A32" s="41">
        <v>11</v>
      </c>
      <c r="B32" s="41">
        <v>8448</v>
      </c>
      <c r="C32" s="74" t="s">
        <v>12149</v>
      </c>
      <c r="D32" s="799"/>
      <c r="E32" s="796"/>
      <c r="F32" s="35"/>
      <c r="H32" s="234"/>
      <c r="I32" s="217" t="s">
        <v>397</v>
      </c>
      <c r="J32" s="218" t="s">
        <v>398</v>
      </c>
      <c r="K32" s="46">
        <v>1</v>
      </c>
      <c r="L32" s="35"/>
      <c r="O32" s="43"/>
      <c r="P32" s="220"/>
      <c r="Q32" s="38"/>
      <c r="R32" s="47">
        <f>ROUND((ROUND((ROUND((_11_A家事２．０*_11・重度研修),0)*_11・２人),0)*(1+_11・A深夜)),0)</f>
        <v>465</v>
      </c>
      <c r="S32" s="48"/>
    </row>
    <row r="33" spans="1:19" ht="16.5" customHeight="1" x14ac:dyDescent="0.15">
      <c r="A33" s="41">
        <v>11</v>
      </c>
      <c r="B33" s="41" t="s">
        <v>12150</v>
      </c>
      <c r="C33" s="74" t="s">
        <v>12151</v>
      </c>
      <c r="D33" s="799"/>
      <c r="E33" s="796"/>
      <c r="F33" s="35"/>
      <c r="H33" s="234"/>
      <c r="I33" s="45"/>
      <c r="J33" s="45"/>
      <c r="K33" s="46"/>
      <c r="L33" s="35"/>
      <c r="O33" s="734" t="s">
        <v>404</v>
      </c>
      <c r="P33" s="219" t="s">
        <v>398</v>
      </c>
      <c r="Q33" s="50">
        <f>_11・初任</f>
        <v>0.7</v>
      </c>
      <c r="R33" s="47">
        <f>ROUND((ROUND((ROUND((_11_A家事２．０*_11・重度研修),0)*(1+_11・A深夜)),0)*_11・初任),0)</f>
        <v>326</v>
      </c>
      <c r="S33" s="48"/>
    </row>
    <row r="34" spans="1:19" ht="16.5" customHeight="1" x14ac:dyDescent="0.15">
      <c r="A34" s="41">
        <v>11</v>
      </c>
      <c r="B34" s="41" t="s">
        <v>12152</v>
      </c>
      <c r="C34" s="74" t="s">
        <v>12153</v>
      </c>
      <c r="D34" s="100">
        <f>_11_A家事２．０</f>
        <v>344</v>
      </c>
      <c r="E34" s="12" t="s">
        <v>392</v>
      </c>
      <c r="F34" s="35"/>
      <c r="H34" s="234"/>
      <c r="I34" s="217" t="s">
        <v>397</v>
      </c>
      <c r="J34" s="218" t="s">
        <v>398</v>
      </c>
      <c r="K34" s="46">
        <v>1</v>
      </c>
      <c r="L34" s="35"/>
      <c r="O34" s="706"/>
      <c r="P34" s="220"/>
      <c r="Q34" s="38"/>
      <c r="R34" s="47">
        <f>ROUND((ROUND((ROUND((ROUND((_11_A家事２．０*_11・重度研修),0)*_11・２人),0)*(1+_11・A深夜)),0)*_11・初任),0)</f>
        <v>326</v>
      </c>
      <c r="S34" s="48"/>
    </row>
    <row r="35" spans="1:19" ht="16.5" customHeight="1" x14ac:dyDescent="0.15">
      <c r="A35" s="41">
        <v>11</v>
      </c>
      <c r="B35" s="41">
        <v>8449</v>
      </c>
      <c r="C35" s="74" t="s">
        <v>12154</v>
      </c>
      <c r="D35" s="707" t="s">
        <v>9228</v>
      </c>
      <c r="E35" s="798"/>
      <c r="F35" s="35"/>
      <c r="H35" s="234"/>
      <c r="I35" s="45"/>
      <c r="J35" s="45"/>
      <c r="K35" s="46"/>
      <c r="L35" s="35"/>
      <c r="O35" s="53"/>
      <c r="P35" s="245"/>
      <c r="Q35" s="50"/>
      <c r="R35" s="47">
        <f>ROUND((ROUND((_11_A家事２．２５*_11・重度研修),0)*(1+_11・A深夜)),0)</f>
        <v>512</v>
      </c>
      <c r="S35" s="48"/>
    </row>
    <row r="36" spans="1:19" ht="16.5" customHeight="1" x14ac:dyDescent="0.15">
      <c r="A36" s="41">
        <v>11</v>
      </c>
      <c r="B36" s="41">
        <v>8450</v>
      </c>
      <c r="C36" s="74" t="s">
        <v>12155</v>
      </c>
      <c r="D36" s="799"/>
      <c r="E36" s="796"/>
      <c r="F36" s="35"/>
      <c r="H36" s="234"/>
      <c r="I36" s="259" t="s">
        <v>397</v>
      </c>
      <c r="J36" s="218" t="s">
        <v>398</v>
      </c>
      <c r="K36" s="46">
        <v>1</v>
      </c>
      <c r="L36" s="35"/>
      <c r="O36" s="43"/>
      <c r="P36" s="220"/>
      <c r="Q36" s="38"/>
      <c r="R36" s="47">
        <f>ROUND((ROUND((ROUND((_11_A家事２．２５*_11・重度研修),0)*_11・２人),0)*(1+_11・A深夜)),0)</f>
        <v>512</v>
      </c>
      <c r="S36" s="48"/>
    </row>
    <row r="37" spans="1:19" ht="16.5" customHeight="1" x14ac:dyDescent="0.15">
      <c r="A37" s="41">
        <v>11</v>
      </c>
      <c r="B37" s="41" t="s">
        <v>12156</v>
      </c>
      <c r="C37" s="74" t="s">
        <v>12157</v>
      </c>
      <c r="D37" s="799"/>
      <c r="E37" s="796"/>
      <c r="F37" s="35"/>
      <c r="I37" s="163"/>
      <c r="J37" s="45"/>
      <c r="K37" s="46"/>
      <c r="L37" s="35"/>
      <c r="O37" s="734" t="s">
        <v>404</v>
      </c>
      <c r="P37" s="219" t="s">
        <v>398</v>
      </c>
      <c r="Q37" s="50">
        <f>_11・初任</f>
        <v>0.7</v>
      </c>
      <c r="R37" s="47">
        <f>ROUND((ROUND((ROUND((_11_A家事２．２５*_11・重度研修),0)*(1+_11・A深夜)),0)*_11・初任),0)</f>
        <v>358</v>
      </c>
      <c r="S37" s="48"/>
    </row>
    <row r="38" spans="1:19" ht="16.5" customHeight="1" x14ac:dyDescent="0.15">
      <c r="A38" s="41">
        <v>11</v>
      </c>
      <c r="B38" s="41" t="s">
        <v>12158</v>
      </c>
      <c r="C38" s="74" t="s">
        <v>12159</v>
      </c>
      <c r="D38" s="100">
        <f>_11_A家事２．２５</f>
        <v>379</v>
      </c>
      <c r="E38" s="12" t="s">
        <v>392</v>
      </c>
      <c r="F38" s="35"/>
      <c r="I38" s="256" t="s">
        <v>397</v>
      </c>
      <c r="J38" s="218" t="s">
        <v>398</v>
      </c>
      <c r="K38" s="46">
        <v>1</v>
      </c>
      <c r="L38" s="35"/>
      <c r="O38" s="706"/>
      <c r="P38" s="220"/>
      <c r="Q38" s="38"/>
      <c r="R38" s="47">
        <f>ROUND((ROUND((ROUND((ROUND((_11_A家事２．２５*_11・重度研修),0)*_11・２人),0)*(1+_11・A深夜)),0)*_11・初任),0)</f>
        <v>358</v>
      </c>
      <c r="S38" s="48"/>
    </row>
    <row r="39" spans="1:19" ht="16.5" customHeight="1" x14ac:dyDescent="0.15">
      <c r="A39" s="41">
        <v>11</v>
      </c>
      <c r="B39" s="41">
        <v>8451</v>
      </c>
      <c r="C39" s="74" t="s">
        <v>12160</v>
      </c>
      <c r="D39" s="707" t="s">
        <v>9241</v>
      </c>
      <c r="E39" s="798"/>
      <c r="F39" s="35"/>
      <c r="I39" s="163"/>
      <c r="J39" s="45"/>
      <c r="K39" s="46"/>
      <c r="L39" s="35"/>
      <c r="O39" s="53"/>
      <c r="P39" s="245"/>
      <c r="Q39" s="50"/>
      <c r="R39" s="47">
        <f>ROUND((ROUND((_11_A家事２．５*_11・重度研修),0)*(1+_11・A深夜)),0)</f>
        <v>560</v>
      </c>
      <c r="S39" s="48"/>
    </row>
    <row r="40" spans="1:19" ht="16.5" customHeight="1" x14ac:dyDescent="0.15">
      <c r="A40" s="41">
        <v>11</v>
      </c>
      <c r="B40" s="41">
        <v>8452</v>
      </c>
      <c r="C40" s="74" t="s">
        <v>12161</v>
      </c>
      <c r="D40" s="799"/>
      <c r="E40" s="796"/>
      <c r="F40" s="35"/>
      <c r="I40" s="256" t="s">
        <v>397</v>
      </c>
      <c r="J40" s="218" t="s">
        <v>398</v>
      </c>
      <c r="K40" s="46">
        <v>1</v>
      </c>
      <c r="L40" s="35"/>
      <c r="O40" s="43"/>
      <c r="P40" s="220"/>
      <c r="Q40" s="38"/>
      <c r="R40" s="47">
        <f>ROUND((ROUND((ROUND((_11_A家事２．５*_11・重度研修),0)*_11・２人),0)*(1+_11・A深夜)),0)</f>
        <v>560</v>
      </c>
      <c r="S40" s="48"/>
    </row>
    <row r="41" spans="1:19" ht="16.5" customHeight="1" x14ac:dyDescent="0.15">
      <c r="A41" s="41">
        <v>11</v>
      </c>
      <c r="B41" s="41" t="s">
        <v>12162</v>
      </c>
      <c r="C41" s="74" t="s">
        <v>12163</v>
      </c>
      <c r="D41" s="799"/>
      <c r="E41" s="796"/>
      <c r="F41" s="35"/>
      <c r="I41" s="163"/>
      <c r="J41" s="45"/>
      <c r="K41" s="46"/>
      <c r="L41" s="35"/>
      <c r="O41" s="734" t="s">
        <v>404</v>
      </c>
      <c r="P41" s="219" t="s">
        <v>398</v>
      </c>
      <c r="Q41" s="50">
        <f>_11・初任</f>
        <v>0.7</v>
      </c>
      <c r="R41" s="47">
        <f>ROUND((ROUND((ROUND((_11_A家事２．５*_11・重度研修),0)*(1+_11・A深夜)),0)*_11・初任),0)</f>
        <v>392</v>
      </c>
      <c r="S41" s="48"/>
    </row>
    <row r="42" spans="1:19" ht="16.5" customHeight="1" x14ac:dyDescent="0.15">
      <c r="A42" s="41">
        <v>11</v>
      </c>
      <c r="B42" s="41" t="s">
        <v>12164</v>
      </c>
      <c r="C42" s="74" t="s">
        <v>12165</v>
      </c>
      <c r="D42" s="100">
        <f>_11_A家事２．５</f>
        <v>414</v>
      </c>
      <c r="E42" s="12" t="s">
        <v>392</v>
      </c>
      <c r="F42" s="35"/>
      <c r="I42" s="256" t="s">
        <v>397</v>
      </c>
      <c r="J42" s="218" t="s">
        <v>398</v>
      </c>
      <c r="K42" s="46">
        <v>1</v>
      </c>
      <c r="L42" s="35"/>
      <c r="O42" s="706"/>
      <c r="P42" s="220"/>
      <c r="Q42" s="38"/>
      <c r="R42" s="47">
        <f>ROUND((ROUND((ROUND((ROUND((_11_A家事２．５*_11・重度研修),0)*_11・２人),0)*(1+_11・A深夜)),0)*_11・初任),0)</f>
        <v>392</v>
      </c>
      <c r="S42" s="48"/>
    </row>
    <row r="43" spans="1:19" ht="16.5" customHeight="1" x14ac:dyDescent="0.15">
      <c r="A43" s="41">
        <v>11</v>
      </c>
      <c r="B43" s="41">
        <v>8453</v>
      </c>
      <c r="C43" s="74" t="s">
        <v>12166</v>
      </c>
      <c r="D43" s="707" t="s">
        <v>9254</v>
      </c>
      <c r="E43" s="798"/>
      <c r="F43" s="35"/>
      <c r="I43" s="163"/>
      <c r="J43" s="45"/>
      <c r="K43" s="46"/>
      <c r="L43" s="35"/>
      <c r="O43" s="53"/>
      <c r="P43" s="245"/>
      <c r="Q43" s="50"/>
      <c r="R43" s="47">
        <f>ROUND((ROUND((_11_A家事２．７５*_11・重度研修),0)*(1+_11・A深夜)),0)</f>
        <v>606</v>
      </c>
      <c r="S43" s="48"/>
    </row>
    <row r="44" spans="1:19" ht="16.5" customHeight="1" x14ac:dyDescent="0.15">
      <c r="A44" s="41">
        <v>11</v>
      </c>
      <c r="B44" s="41">
        <v>8454</v>
      </c>
      <c r="C44" s="74" t="s">
        <v>12167</v>
      </c>
      <c r="D44" s="799"/>
      <c r="E44" s="796"/>
      <c r="F44" s="35"/>
      <c r="I44" s="256" t="s">
        <v>397</v>
      </c>
      <c r="J44" s="218" t="s">
        <v>398</v>
      </c>
      <c r="K44" s="46">
        <v>1</v>
      </c>
      <c r="L44" s="35"/>
      <c r="O44" s="43"/>
      <c r="P44" s="220"/>
      <c r="Q44" s="38"/>
      <c r="R44" s="47">
        <f>ROUND((ROUND((ROUND((_11_A家事２．７５*_11・重度研修),0)*_11・２人),0)*(1+_11・A深夜)),0)</f>
        <v>606</v>
      </c>
      <c r="S44" s="48"/>
    </row>
    <row r="45" spans="1:19" ht="16.5" customHeight="1" x14ac:dyDescent="0.15">
      <c r="A45" s="41">
        <v>11</v>
      </c>
      <c r="B45" s="41" t="s">
        <v>12168</v>
      </c>
      <c r="C45" s="74" t="s">
        <v>12169</v>
      </c>
      <c r="D45" s="799"/>
      <c r="E45" s="796"/>
      <c r="F45" s="35"/>
      <c r="I45" s="163"/>
      <c r="J45" s="45"/>
      <c r="K45" s="46"/>
      <c r="L45" s="35"/>
      <c r="O45" s="734" t="s">
        <v>404</v>
      </c>
      <c r="P45" s="219" t="s">
        <v>398</v>
      </c>
      <c r="Q45" s="50">
        <f>_11・初任</f>
        <v>0.7</v>
      </c>
      <c r="R45" s="47">
        <f>ROUND((ROUND((ROUND((_11_A家事２．７５*_11・重度研修),0)*(1+_11・A深夜)),0)*_11・初任),0)</f>
        <v>424</v>
      </c>
      <c r="S45" s="48"/>
    </row>
    <row r="46" spans="1:19" ht="16.5" customHeight="1" x14ac:dyDescent="0.15">
      <c r="A46" s="41">
        <v>11</v>
      </c>
      <c r="B46" s="41" t="s">
        <v>12170</v>
      </c>
      <c r="C46" s="74" t="s">
        <v>12171</v>
      </c>
      <c r="D46" s="100">
        <f>_11_A家事２．７５</f>
        <v>449</v>
      </c>
      <c r="E46" s="12" t="s">
        <v>392</v>
      </c>
      <c r="F46" s="35"/>
      <c r="I46" s="256" t="s">
        <v>397</v>
      </c>
      <c r="J46" s="218" t="s">
        <v>398</v>
      </c>
      <c r="K46" s="46">
        <v>1</v>
      </c>
      <c r="L46" s="35"/>
      <c r="O46" s="706"/>
      <c r="P46" s="220"/>
      <c r="Q46" s="38"/>
      <c r="R46" s="47">
        <f>ROUND((ROUND((ROUND((ROUND((_11_A家事２．７５*_11・重度研修),0)*_11・２人),0)*(1+_11・A深夜)),0)*_11・初任),0)</f>
        <v>424</v>
      </c>
      <c r="S46" s="48"/>
    </row>
    <row r="47" spans="1:19" ht="16.5" customHeight="1" x14ac:dyDescent="0.15">
      <c r="A47" s="41">
        <v>11</v>
      </c>
      <c r="B47" s="41">
        <v>8455</v>
      </c>
      <c r="C47" s="74" t="s">
        <v>12172</v>
      </c>
      <c r="D47" s="707" t="s">
        <v>9267</v>
      </c>
      <c r="E47" s="798"/>
      <c r="F47" s="35"/>
      <c r="I47" s="163"/>
      <c r="J47" s="45"/>
      <c r="K47" s="46"/>
      <c r="L47" s="35"/>
      <c r="O47" s="53"/>
      <c r="P47" s="245"/>
      <c r="Q47" s="50"/>
      <c r="R47" s="47">
        <f>ROUND((ROUND((_11_A家事３．０*_11・重度研修),0)*(1+_11・A深夜)),0)</f>
        <v>654</v>
      </c>
      <c r="S47" s="48"/>
    </row>
    <row r="48" spans="1:19" ht="16.5" customHeight="1" x14ac:dyDescent="0.15">
      <c r="A48" s="41">
        <v>11</v>
      </c>
      <c r="B48" s="41">
        <v>8456</v>
      </c>
      <c r="C48" s="74" t="s">
        <v>12173</v>
      </c>
      <c r="D48" s="799"/>
      <c r="E48" s="796"/>
      <c r="F48" s="35"/>
      <c r="I48" s="256" t="s">
        <v>397</v>
      </c>
      <c r="J48" s="218" t="s">
        <v>398</v>
      </c>
      <c r="K48" s="46">
        <v>1</v>
      </c>
      <c r="L48" s="35"/>
      <c r="O48" s="43"/>
      <c r="P48" s="220"/>
      <c r="Q48" s="38"/>
      <c r="R48" s="47">
        <f>ROUND((ROUND((ROUND((_11_A家事３．０*_11・重度研修),0)*_11・２人),0)*(1+_11・A深夜)),0)</f>
        <v>654</v>
      </c>
      <c r="S48" s="48"/>
    </row>
    <row r="49" spans="1:19" ht="16.5" customHeight="1" x14ac:dyDescent="0.15">
      <c r="A49" s="41">
        <v>11</v>
      </c>
      <c r="B49" s="41" t="s">
        <v>12174</v>
      </c>
      <c r="C49" s="74" t="s">
        <v>12175</v>
      </c>
      <c r="D49" s="799"/>
      <c r="E49" s="796"/>
      <c r="F49" s="35"/>
      <c r="I49" s="163"/>
      <c r="J49" s="45"/>
      <c r="K49" s="46"/>
      <c r="L49" s="35"/>
      <c r="O49" s="734" t="s">
        <v>404</v>
      </c>
      <c r="P49" s="219" t="s">
        <v>398</v>
      </c>
      <c r="Q49" s="50">
        <f>_11・初任</f>
        <v>0.7</v>
      </c>
      <c r="R49" s="47">
        <f>ROUND((ROUND((ROUND((_11_A家事３．０*_11・重度研修),0)*(1+_11・A深夜)),0)*_11・初任),0)</f>
        <v>458</v>
      </c>
      <c r="S49" s="48"/>
    </row>
    <row r="50" spans="1:19" ht="16.5" customHeight="1" x14ac:dyDescent="0.15">
      <c r="A50" s="41">
        <v>11</v>
      </c>
      <c r="B50" s="41" t="s">
        <v>12176</v>
      </c>
      <c r="C50" s="74" t="s">
        <v>12177</v>
      </c>
      <c r="D50" s="100">
        <f>_11_A家事３．０</f>
        <v>484</v>
      </c>
      <c r="E50" s="12" t="s">
        <v>392</v>
      </c>
      <c r="F50" s="35"/>
      <c r="I50" s="256" t="s">
        <v>397</v>
      </c>
      <c r="J50" s="218" t="s">
        <v>398</v>
      </c>
      <c r="K50" s="46">
        <v>1</v>
      </c>
      <c r="L50" s="35"/>
      <c r="O50" s="706"/>
      <c r="P50" s="220"/>
      <c r="Q50" s="38"/>
      <c r="R50" s="47">
        <f>ROUND((ROUND((ROUND((ROUND((_11_A家事３．０*_11・重度研修),0)*_11・２人),0)*(1+_11・A深夜)),0)*_11・初任),0)</f>
        <v>458</v>
      </c>
      <c r="S50" s="48"/>
    </row>
    <row r="51" spans="1:19" ht="16.5" customHeight="1" x14ac:dyDescent="0.15">
      <c r="A51" s="41">
        <v>11</v>
      </c>
      <c r="B51" s="41">
        <v>8457</v>
      </c>
      <c r="C51" s="74" t="s">
        <v>12178</v>
      </c>
      <c r="D51" s="707" t="s">
        <v>9280</v>
      </c>
      <c r="E51" s="798"/>
      <c r="F51" s="35"/>
      <c r="I51" s="163"/>
      <c r="J51" s="45"/>
      <c r="K51" s="46"/>
      <c r="L51" s="35"/>
      <c r="O51" s="53"/>
      <c r="P51" s="245"/>
      <c r="Q51" s="50"/>
      <c r="R51" s="47">
        <f>ROUND((ROUND((_11_A家事３．２５*_11・重度研修),0)*(1+_11・A深夜)),0)</f>
        <v>701</v>
      </c>
      <c r="S51" s="48"/>
    </row>
    <row r="52" spans="1:19" ht="16.5" customHeight="1" x14ac:dyDescent="0.15">
      <c r="A52" s="41">
        <v>11</v>
      </c>
      <c r="B52" s="41">
        <v>8458</v>
      </c>
      <c r="C52" s="74" t="s">
        <v>12179</v>
      </c>
      <c r="D52" s="799"/>
      <c r="E52" s="796"/>
      <c r="F52" s="35"/>
      <c r="I52" s="256" t="s">
        <v>397</v>
      </c>
      <c r="J52" s="218" t="s">
        <v>398</v>
      </c>
      <c r="K52" s="46">
        <v>1</v>
      </c>
      <c r="L52" s="35"/>
      <c r="O52" s="43"/>
      <c r="P52" s="220"/>
      <c r="Q52" s="38"/>
      <c r="R52" s="47">
        <f>ROUND((ROUND((ROUND((_11_A家事３．２５*_11・重度研修),0)*_11・２人),0)*(1+_11・A深夜)),0)</f>
        <v>701</v>
      </c>
      <c r="S52" s="48"/>
    </row>
    <row r="53" spans="1:19" ht="16.5" customHeight="1" x14ac:dyDescent="0.15">
      <c r="A53" s="41">
        <v>11</v>
      </c>
      <c r="B53" s="41" t="s">
        <v>12180</v>
      </c>
      <c r="C53" s="74" t="s">
        <v>12181</v>
      </c>
      <c r="D53" s="799"/>
      <c r="E53" s="796"/>
      <c r="F53" s="35"/>
      <c r="I53" s="163"/>
      <c r="J53" s="45"/>
      <c r="K53" s="46"/>
      <c r="L53" s="35"/>
      <c r="O53" s="734" t="s">
        <v>404</v>
      </c>
      <c r="P53" s="219" t="s">
        <v>398</v>
      </c>
      <c r="Q53" s="50">
        <f>_11・初任</f>
        <v>0.7</v>
      </c>
      <c r="R53" s="47">
        <f>ROUND((ROUND((ROUND((_11_A家事３．２５*_11・重度研修),0)*(1+_11・A深夜)),0)*_11・初任),0)</f>
        <v>491</v>
      </c>
      <c r="S53" s="48"/>
    </row>
    <row r="54" spans="1:19" ht="16.5" customHeight="1" x14ac:dyDescent="0.15">
      <c r="A54" s="41">
        <v>11</v>
      </c>
      <c r="B54" s="41" t="s">
        <v>12182</v>
      </c>
      <c r="C54" s="74" t="s">
        <v>12183</v>
      </c>
      <c r="D54" s="100">
        <f>_11_A家事３．２５</f>
        <v>519</v>
      </c>
      <c r="E54" s="12" t="s">
        <v>392</v>
      </c>
      <c r="F54" s="35"/>
      <c r="I54" s="256" t="s">
        <v>397</v>
      </c>
      <c r="J54" s="218" t="s">
        <v>398</v>
      </c>
      <c r="K54" s="46">
        <v>1</v>
      </c>
      <c r="L54" s="35"/>
      <c r="O54" s="706"/>
      <c r="P54" s="220"/>
      <c r="Q54" s="38"/>
      <c r="R54" s="47">
        <f>ROUND((ROUND((ROUND((ROUND((_11_A家事３．２５*_11・重度研修),0)*_11・２人),0)*(1+_11・A深夜)),0)*_11・初任),0)</f>
        <v>491</v>
      </c>
      <c r="S54" s="48"/>
    </row>
    <row r="55" spans="1:19" ht="16.5" customHeight="1" x14ac:dyDescent="0.15">
      <c r="A55" s="41">
        <v>11</v>
      </c>
      <c r="B55" s="41">
        <v>8459</v>
      </c>
      <c r="C55" s="74" t="s">
        <v>12184</v>
      </c>
      <c r="D55" s="707" t="s">
        <v>9293</v>
      </c>
      <c r="E55" s="798"/>
      <c r="F55" s="35"/>
      <c r="I55" s="163"/>
      <c r="J55" s="45"/>
      <c r="K55" s="46"/>
      <c r="L55" s="35"/>
      <c r="O55" s="53"/>
      <c r="P55" s="245"/>
      <c r="Q55" s="50"/>
      <c r="R55" s="47">
        <f>ROUND((ROUND((_11_A家事３．５*_11・重度研修),0)*(1+_11・A深夜)),0)</f>
        <v>749</v>
      </c>
      <c r="S55" s="48"/>
    </row>
    <row r="56" spans="1:19" ht="16.5" customHeight="1" x14ac:dyDescent="0.15">
      <c r="A56" s="41">
        <v>11</v>
      </c>
      <c r="B56" s="41">
        <v>8460</v>
      </c>
      <c r="C56" s="74" t="s">
        <v>12185</v>
      </c>
      <c r="D56" s="799"/>
      <c r="E56" s="796"/>
      <c r="F56" s="35"/>
      <c r="I56" s="256" t="s">
        <v>397</v>
      </c>
      <c r="J56" s="218" t="s">
        <v>398</v>
      </c>
      <c r="K56" s="46">
        <v>1</v>
      </c>
      <c r="L56" s="35"/>
      <c r="O56" s="43"/>
      <c r="P56" s="220"/>
      <c r="Q56" s="38"/>
      <c r="R56" s="47">
        <f>ROUND((ROUND((ROUND((_11_A家事３．５*_11・重度研修),0)*_11・２人),0)*(1+_11・A深夜)),0)</f>
        <v>749</v>
      </c>
      <c r="S56" s="48"/>
    </row>
    <row r="57" spans="1:19" ht="16.5" customHeight="1" x14ac:dyDescent="0.15">
      <c r="A57" s="41">
        <v>11</v>
      </c>
      <c r="B57" s="41" t="s">
        <v>12186</v>
      </c>
      <c r="C57" s="74" t="s">
        <v>12187</v>
      </c>
      <c r="D57" s="799"/>
      <c r="E57" s="796"/>
      <c r="F57" s="35"/>
      <c r="I57" s="163"/>
      <c r="J57" s="45"/>
      <c r="K57" s="46"/>
      <c r="L57" s="35"/>
      <c r="O57" s="734" t="s">
        <v>404</v>
      </c>
      <c r="P57" s="219" t="s">
        <v>398</v>
      </c>
      <c r="Q57" s="50">
        <f>_11・初任</f>
        <v>0.7</v>
      </c>
      <c r="R57" s="47">
        <f>ROUND((ROUND((ROUND((_11_A家事３．５*_11・重度研修),0)*(1+_11・A深夜)),0)*_11・初任),0)</f>
        <v>524</v>
      </c>
      <c r="S57" s="48"/>
    </row>
    <row r="58" spans="1:19" ht="16.5" customHeight="1" x14ac:dyDescent="0.15">
      <c r="A58" s="41">
        <v>11</v>
      </c>
      <c r="B58" s="41" t="s">
        <v>12188</v>
      </c>
      <c r="C58" s="74" t="s">
        <v>12189</v>
      </c>
      <c r="D58" s="165">
        <f>_11_A家事３．５</f>
        <v>554</v>
      </c>
      <c r="E58" s="37" t="s">
        <v>392</v>
      </c>
      <c r="F58" s="43"/>
      <c r="G58" s="37"/>
      <c r="H58" s="38"/>
      <c r="I58" s="256" t="s">
        <v>397</v>
      </c>
      <c r="J58" s="218" t="s">
        <v>398</v>
      </c>
      <c r="K58" s="46">
        <v>1</v>
      </c>
      <c r="L58" s="43"/>
      <c r="M58" s="37"/>
      <c r="N58" s="38"/>
      <c r="O58" s="706"/>
      <c r="P58" s="220"/>
      <c r="Q58" s="38"/>
      <c r="R58" s="47">
        <f>ROUND((ROUND((ROUND((ROUND((_11_A家事３．５*_11・重度研修),0)*_11・２人),0)*(1+_11・A深夜)),0)*_11・初任),0)</f>
        <v>524</v>
      </c>
      <c r="S58" s="63"/>
    </row>
    <row r="59" spans="1:19" ht="16.5" customHeight="1" x14ac:dyDescent="0.15">
      <c r="A59" s="33">
        <v>11</v>
      </c>
      <c r="B59" s="33">
        <v>8461</v>
      </c>
      <c r="C59" s="34" t="s">
        <v>12190</v>
      </c>
      <c r="D59" s="709" t="s">
        <v>9306</v>
      </c>
      <c r="E59" s="796"/>
      <c r="F59" s="801" t="s">
        <v>11707</v>
      </c>
      <c r="G59" s="797"/>
      <c r="H59" s="796"/>
      <c r="I59" s="37"/>
      <c r="J59" s="37"/>
      <c r="K59" s="38"/>
      <c r="L59" s="35" t="s">
        <v>862</v>
      </c>
      <c r="N59" s="234"/>
      <c r="O59" s="35"/>
      <c r="R59" s="39">
        <f>ROUND((ROUND((_11_A家事３．７５*_11・重度研修),0)*(1+_11・A深夜)),0)</f>
        <v>795</v>
      </c>
      <c r="S59" s="48"/>
    </row>
    <row r="60" spans="1:19" ht="16.5" customHeight="1" x14ac:dyDescent="0.15">
      <c r="A60" s="41">
        <v>11</v>
      </c>
      <c r="B60" s="41">
        <v>8462</v>
      </c>
      <c r="C60" s="74" t="s">
        <v>12191</v>
      </c>
      <c r="D60" s="799"/>
      <c r="E60" s="796"/>
      <c r="F60" s="799"/>
      <c r="G60" s="797"/>
      <c r="H60" s="796"/>
      <c r="I60" s="217" t="s">
        <v>397</v>
      </c>
      <c r="J60" s="218" t="s">
        <v>398</v>
      </c>
      <c r="K60" s="46">
        <v>1</v>
      </c>
      <c r="L60" s="258" t="s">
        <v>398</v>
      </c>
      <c r="M60" s="13">
        <v>0.5</v>
      </c>
      <c r="N60" s="718" t="s">
        <v>676</v>
      </c>
      <c r="O60" s="43"/>
      <c r="P60" s="220"/>
      <c r="Q60" s="38"/>
      <c r="R60" s="47">
        <f>ROUND((ROUND((ROUND((_11_A家事３．７５*_11・重度研修),0)*_11・２人),0)*(1+_11・A深夜)),0)</f>
        <v>795</v>
      </c>
      <c r="S60" s="48"/>
    </row>
    <row r="61" spans="1:19" ht="16.5" customHeight="1" x14ac:dyDescent="0.15">
      <c r="A61" s="41">
        <v>11</v>
      </c>
      <c r="B61" s="41" t="s">
        <v>12192</v>
      </c>
      <c r="C61" s="74" t="s">
        <v>12193</v>
      </c>
      <c r="D61" s="799"/>
      <c r="E61" s="796"/>
      <c r="F61" s="799"/>
      <c r="G61" s="797"/>
      <c r="H61" s="796"/>
      <c r="I61" s="45"/>
      <c r="J61" s="45"/>
      <c r="K61" s="46"/>
      <c r="L61" s="35"/>
      <c r="N61" s="796"/>
      <c r="O61" s="734" t="s">
        <v>404</v>
      </c>
      <c r="P61" s="219" t="s">
        <v>398</v>
      </c>
      <c r="Q61" s="50">
        <f>_11・初任</f>
        <v>0.7</v>
      </c>
      <c r="R61" s="47">
        <f>ROUND((ROUND((ROUND((_11_A家事３．７５*_11・重度研修),0)*(1+_11・A深夜)),0)*_11・初任),0)</f>
        <v>557</v>
      </c>
      <c r="S61" s="48"/>
    </row>
    <row r="62" spans="1:19" ht="16.5" customHeight="1" x14ac:dyDescent="0.15">
      <c r="A62" s="41">
        <v>11</v>
      </c>
      <c r="B62" s="41" t="s">
        <v>12194</v>
      </c>
      <c r="C62" s="74" t="s">
        <v>12195</v>
      </c>
      <c r="D62" s="100">
        <f>_11_A家事３．７５</f>
        <v>589</v>
      </c>
      <c r="E62" s="12" t="s">
        <v>392</v>
      </c>
      <c r="F62" s="35"/>
      <c r="G62" s="16" t="s">
        <v>398</v>
      </c>
      <c r="H62" s="234">
        <v>0.9</v>
      </c>
      <c r="I62" s="217" t="s">
        <v>397</v>
      </c>
      <c r="J62" s="218" t="s">
        <v>398</v>
      </c>
      <c r="K62" s="46">
        <v>1</v>
      </c>
      <c r="L62" s="35"/>
      <c r="O62" s="706"/>
      <c r="P62" s="220"/>
      <c r="Q62" s="38"/>
      <c r="R62" s="47">
        <f>ROUND((ROUND((ROUND((ROUND((_11_A家事３．７５*_11・重度研修),0)*_11・２人),0)*(1+_11・A深夜)),0)*_11・初任),0)</f>
        <v>557</v>
      </c>
      <c r="S62" s="48"/>
    </row>
    <row r="63" spans="1:19" ht="16.5" customHeight="1" x14ac:dyDescent="0.15">
      <c r="A63" s="41">
        <v>11</v>
      </c>
      <c r="B63" s="41">
        <v>8463</v>
      </c>
      <c r="C63" s="74" t="s">
        <v>12196</v>
      </c>
      <c r="D63" s="707" t="s">
        <v>9319</v>
      </c>
      <c r="E63" s="798"/>
      <c r="F63" s="35"/>
      <c r="I63" s="163"/>
      <c r="J63" s="45"/>
      <c r="K63" s="46"/>
      <c r="L63" s="35"/>
      <c r="O63" s="53"/>
      <c r="P63" s="245"/>
      <c r="Q63" s="50"/>
      <c r="R63" s="47">
        <f>ROUND((ROUND((_11_A家事４．０*_11・重度研修),0)*(1+_11・A深夜)),0)</f>
        <v>843</v>
      </c>
      <c r="S63" s="48"/>
    </row>
    <row r="64" spans="1:19" ht="16.5" customHeight="1" x14ac:dyDescent="0.15">
      <c r="A64" s="41">
        <v>11</v>
      </c>
      <c r="B64" s="41">
        <v>8464</v>
      </c>
      <c r="C64" s="74" t="s">
        <v>12197</v>
      </c>
      <c r="D64" s="799"/>
      <c r="E64" s="796"/>
      <c r="F64" s="35"/>
      <c r="I64" s="256" t="s">
        <v>397</v>
      </c>
      <c r="J64" s="218" t="s">
        <v>398</v>
      </c>
      <c r="K64" s="46">
        <v>1</v>
      </c>
      <c r="L64" s="35"/>
      <c r="O64" s="43"/>
      <c r="P64" s="220"/>
      <c r="Q64" s="38"/>
      <c r="R64" s="47">
        <f>ROUND((ROUND((ROUND((_11_A家事４．０*_11・重度研修),0)*_11・２人),0)*(1+_11・A深夜)),0)</f>
        <v>843</v>
      </c>
      <c r="S64" s="48"/>
    </row>
    <row r="65" spans="1:19" ht="16.5" customHeight="1" x14ac:dyDescent="0.15">
      <c r="A65" s="41">
        <v>11</v>
      </c>
      <c r="B65" s="41" t="s">
        <v>12198</v>
      </c>
      <c r="C65" s="74" t="s">
        <v>12199</v>
      </c>
      <c r="D65" s="799"/>
      <c r="E65" s="796"/>
      <c r="F65" s="35"/>
      <c r="I65" s="163"/>
      <c r="J65" s="45"/>
      <c r="K65" s="46"/>
      <c r="L65" s="35"/>
      <c r="O65" s="734" t="s">
        <v>404</v>
      </c>
      <c r="P65" s="219" t="s">
        <v>398</v>
      </c>
      <c r="Q65" s="50">
        <f>_11・初任</f>
        <v>0.7</v>
      </c>
      <c r="R65" s="47">
        <f>ROUND((ROUND((ROUND((_11_A家事４．０*_11・重度研修),0)*(1+_11・A深夜)),0)*_11・初任),0)</f>
        <v>590</v>
      </c>
      <c r="S65" s="48"/>
    </row>
    <row r="66" spans="1:19" ht="16.5" customHeight="1" x14ac:dyDescent="0.15">
      <c r="A66" s="41">
        <v>11</v>
      </c>
      <c r="B66" s="41" t="s">
        <v>12200</v>
      </c>
      <c r="C66" s="74" t="s">
        <v>12201</v>
      </c>
      <c r="D66" s="100">
        <f>_11_A家事４．０</f>
        <v>624</v>
      </c>
      <c r="E66" s="12" t="s">
        <v>392</v>
      </c>
      <c r="F66" s="35"/>
      <c r="I66" s="256" t="s">
        <v>397</v>
      </c>
      <c r="J66" s="218" t="s">
        <v>398</v>
      </c>
      <c r="K66" s="46">
        <v>1</v>
      </c>
      <c r="L66" s="35"/>
      <c r="O66" s="706"/>
      <c r="P66" s="220"/>
      <c r="Q66" s="38"/>
      <c r="R66" s="47">
        <f>ROUND((ROUND((ROUND((ROUND((_11_A家事４．０*_11・重度研修),0)*_11・２人),0)*(1+_11・A深夜)),0)*_11・初任),0)</f>
        <v>590</v>
      </c>
      <c r="S66" s="48"/>
    </row>
    <row r="67" spans="1:19" ht="16.5" customHeight="1" x14ac:dyDescent="0.15">
      <c r="A67" s="41">
        <v>11</v>
      </c>
      <c r="B67" s="41">
        <v>8465</v>
      </c>
      <c r="C67" s="74" t="s">
        <v>12202</v>
      </c>
      <c r="D67" s="707" t="s">
        <v>9332</v>
      </c>
      <c r="E67" s="798"/>
      <c r="F67" s="35"/>
      <c r="I67" s="163"/>
      <c r="J67" s="45"/>
      <c r="K67" s="46"/>
      <c r="L67" s="35"/>
      <c r="O67" s="53"/>
      <c r="P67" s="245"/>
      <c r="Q67" s="50"/>
      <c r="R67" s="47">
        <f>ROUND((ROUND((_11_A家事４．２５*_11・重度研修),0)*(1+_11・A深夜)),0)</f>
        <v>890</v>
      </c>
      <c r="S67" s="48"/>
    </row>
    <row r="68" spans="1:19" ht="16.5" customHeight="1" x14ac:dyDescent="0.15">
      <c r="A68" s="41">
        <v>11</v>
      </c>
      <c r="B68" s="41">
        <v>8466</v>
      </c>
      <c r="C68" s="74" t="s">
        <v>12203</v>
      </c>
      <c r="D68" s="799"/>
      <c r="E68" s="796"/>
      <c r="F68" s="35"/>
      <c r="I68" s="256" t="s">
        <v>397</v>
      </c>
      <c r="J68" s="218" t="s">
        <v>398</v>
      </c>
      <c r="K68" s="46">
        <v>1</v>
      </c>
      <c r="L68" s="35"/>
      <c r="O68" s="43"/>
      <c r="P68" s="220"/>
      <c r="Q68" s="38"/>
      <c r="R68" s="47">
        <f>ROUND((ROUND((ROUND((_11_A家事４．２５*_11・重度研修),0)*_11・２人),0)*(1+_11・A深夜)),0)</f>
        <v>890</v>
      </c>
      <c r="S68" s="48"/>
    </row>
    <row r="69" spans="1:19" ht="16.5" customHeight="1" x14ac:dyDescent="0.15">
      <c r="A69" s="41">
        <v>11</v>
      </c>
      <c r="B69" s="41" t="s">
        <v>12204</v>
      </c>
      <c r="C69" s="74" t="s">
        <v>12205</v>
      </c>
      <c r="D69" s="799"/>
      <c r="E69" s="796"/>
      <c r="F69" s="35"/>
      <c r="I69" s="163"/>
      <c r="J69" s="45"/>
      <c r="K69" s="46"/>
      <c r="L69" s="35"/>
      <c r="O69" s="734" t="s">
        <v>404</v>
      </c>
      <c r="P69" s="219" t="s">
        <v>398</v>
      </c>
      <c r="Q69" s="50">
        <f>_11・初任</f>
        <v>0.7</v>
      </c>
      <c r="R69" s="47">
        <f>ROUND((ROUND((ROUND((_11_A家事４．２５*_11・重度研修),0)*(1+_11・A深夜)),0)*_11・初任),0)</f>
        <v>623</v>
      </c>
      <c r="S69" s="48"/>
    </row>
    <row r="70" spans="1:19" ht="16.5" customHeight="1" x14ac:dyDescent="0.15">
      <c r="A70" s="41">
        <v>11</v>
      </c>
      <c r="B70" s="41" t="s">
        <v>12206</v>
      </c>
      <c r="C70" s="74" t="s">
        <v>12207</v>
      </c>
      <c r="D70" s="100">
        <f>_11_A家事４．２５</f>
        <v>659</v>
      </c>
      <c r="E70" s="12" t="s">
        <v>392</v>
      </c>
      <c r="F70" s="35"/>
      <c r="I70" s="256" t="s">
        <v>397</v>
      </c>
      <c r="J70" s="218" t="s">
        <v>398</v>
      </c>
      <c r="K70" s="46">
        <v>1</v>
      </c>
      <c r="L70" s="35"/>
      <c r="O70" s="706"/>
      <c r="P70" s="220"/>
      <c r="Q70" s="38"/>
      <c r="R70" s="47">
        <f>ROUND((ROUND((ROUND((ROUND((_11_A家事４．２５*_11・重度研修),0)*_11・２人),0)*(1+_11・A深夜)),0)*_11・初任),0)</f>
        <v>623</v>
      </c>
      <c r="S70" s="48"/>
    </row>
    <row r="71" spans="1:19" ht="16.5" customHeight="1" x14ac:dyDescent="0.15">
      <c r="A71" s="41">
        <v>11</v>
      </c>
      <c r="B71" s="41">
        <v>8467</v>
      </c>
      <c r="C71" s="74" t="s">
        <v>12208</v>
      </c>
      <c r="D71" s="707" t="s">
        <v>9345</v>
      </c>
      <c r="E71" s="798"/>
      <c r="F71" s="35"/>
      <c r="I71" s="163"/>
      <c r="J71" s="45"/>
      <c r="K71" s="46"/>
      <c r="L71" s="35"/>
      <c r="O71" s="53"/>
      <c r="P71" s="245"/>
      <c r="Q71" s="50"/>
      <c r="R71" s="47">
        <f>ROUND((ROUND((_11_A家事４．５*_11・重度研修),0)*(1+_11・A深夜)),0)</f>
        <v>938</v>
      </c>
      <c r="S71" s="48"/>
    </row>
    <row r="72" spans="1:19" ht="16.5" customHeight="1" x14ac:dyDescent="0.15">
      <c r="A72" s="41">
        <v>11</v>
      </c>
      <c r="B72" s="41">
        <v>8468</v>
      </c>
      <c r="C72" s="74" t="s">
        <v>12209</v>
      </c>
      <c r="D72" s="799"/>
      <c r="E72" s="796"/>
      <c r="F72" s="35"/>
      <c r="I72" s="256" t="s">
        <v>397</v>
      </c>
      <c r="J72" s="218" t="s">
        <v>398</v>
      </c>
      <c r="K72" s="46">
        <v>1</v>
      </c>
      <c r="L72" s="35"/>
      <c r="O72" s="43"/>
      <c r="P72" s="220"/>
      <c r="Q72" s="38"/>
      <c r="R72" s="47">
        <f>ROUND((ROUND((ROUND((_11_A家事４．５*_11・重度研修),0)*_11・２人),0)*(1+_11・A深夜)),0)</f>
        <v>938</v>
      </c>
      <c r="S72" s="48"/>
    </row>
    <row r="73" spans="1:19" ht="16.5" customHeight="1" x14ac:dyDescent="0.15">
      <c r="A73" s="41">
        <v>11</v>
      </c>
      <c r="B73" s="41" t="s">
        <v>12210</v>
      </c>
      <c r="C73" s="74" t="s">
        <v>12211</v>
      </c>
      <c r="D73" s="799"/>
      <c r="E73" s="796"/>
      <c r="F73" s="35"/>
      <c r="I73" s="163"/>
      <c r="J73" s="45"/>
      <c r="K73" s="46"/>
      <c r="L73" s="35"/>
      <c r="O73" s="734" t="s">
        <v>404</v>
      </c>
      <c r="P73" s="219" t="s">
        <v>398</v>
      </c>
      <c r="Q73" s="50">
        <f>_11・初任</f>
        <v>0.7</v>
      </c>
      <c r="R73" s="47">
        <f>ROUND((ROUND((ROUND((_11_A家事４．５*_11・重度研修),0)*(1+_11・A深夜)),0)*_11・初任),0)</f>
        <v>657</v>
      </c>
      <c r="S73" s="48"/>
    </row>
    <row r="74" spans="1:19" ht="16.5" customHeight="1" x14ac:dyDescent="0.15">
      <c r="A74" s="41">
        <v>11</v>
      </c>
      <c r="B74" s="41" t="s">
        <v>12212</v>
      </c>
      <c r="C74" s="74" t="s">
        <v>12213</v>
      </c>
      <c r="D74" s="100">
        <f>_11_A家事４．５</f>
        <v>694</v>
      </c>
      <c r="E74" s="12" t="s">
        <v>392</v>
      </c>
      <c r="F74" s="35"/>
      <c r="I74" s="256" t="s">
        <v>397</v>
      </c>
      <c r="J74" s="218" t="s">
        <v>398</v>
      </c>
      <c r="K74" s="46">
        <v>1</v>
      </c>
      <c r="L74" s="35"/>
      <c r="O74" s="706"/>
      <c r="P74" s="220"/>
      <c r="Q74" s="38"/>
      <c r="R74" s="47">
        <f>ROUND((ROUND((ROUND((ROUND((_11_A家事４．５*_11・重度研修),0)*_11・２人),0)*(1+_11・A深夜)),0)*_11・初任),0)</f>
        <v>657</v>
      </c>
      <c r="S74" s="48"/>
    </row>
    <row r="75" spans="1:19" ht="16.5" customHeight="1" x14ac:dyDescent="0.15">
      <c r="A75" s="41">
        <v>11</v>
      </c>
      <c r="B75" s="41">
        <v>8469</v>
      </c>
      <c r="C75" s="74" t="s">
        <v>12214</v>
      </c>
      <c r="D75" s="707" t="s">
        <v>9358</v>
      </c>
      <c r="E75" s="798"/>
      <c r="F75" s="35"/>
      <c r="I75" s="163"/>
      <c r="J75" s="45"/>
      <c r="K75" s="46"/>
      <c r="L75" s="35"/>
      <c r="O75" s="53"/>
      <c r="P75" s="245"/>
      <c r="Q75" s="50"/>
      <c r="R75" s="47">
        <f>ROUND((ROUND((_11_A家事４．７５*_11・重度研修),0)*(1+_11・A深夜)),0)</f>
        <v>984</v>
      </c>
      <c r="S75" s="48"/>
    </row>
    <row r="76" spans="1:19" ht="16.5" customHeight="1" x14ac:dyDescent="0.15">
      <c r="A76" s="41">
        <v>11</v>
      </c>
      <c r="B76" s="41">
        <v>8470</v>
      </c>
      <c r="C76" s="74" t="s">
        <v>12215</v>
      </c>
      <c r="D76" s="799"/>
      <c r="E76" s="796"/>
      <c r="F76" s="35"/>
      <c r="I76" s="256" t="s">
        <v>397</v>
      </c>
      <c r="J76" s="218" t="s">
        <v>398</v>
      </c>
      <c r="K76" s="46">
        <v>1</v>
      </c>
      <c r="L76" s="35"/>
      <c r="O76" s="43"/>
      <c r="P76" s="220"/>
      <c r="Q76" s="38"/>
      <c r="R76" s="47">
        <f>ROUND((ROUND((ROUND((_11_A家事４．７５*_11・重度研修),0)*_11・２人),0)*(1+_11・A深夜)),0)</f>
        <v>984</v>
      </c>
      <c r="S76" s="48"/>
    </row>
    <row r="77" spans="1:19" ht="16.5" customHeight="1" x14ac:dyDescent="0.15">
      <c r="A77" s="41">
        <v>11</v>
      </c>
      <c r="B77" s="41" t="s">
        <v>12216</v>
      </c>
      <c r="C77" s="74" t="s">
        <v>12217</v>
      </c>
      <c r="D77" s="799"/>
      <c r="E77" s="796"/>
      <c r="F77" s="35"/>
      <c r="I77" s="163"/>
      <c r="J77" s="45"/>
      <c r="K77" s="46"/>
      <c r="L77" s="35"/>
      <c r="O77" s="734" t="s">
        <v>404</v>
      </c>
      <c r="P77" s="219" t="s">
        <v>398</v>
      </c>
      <c r="Q77" s="50">
        <f>_11・初任</f>
        <v>0.7</v>
      </c>
      <c r="R77" s="47">
        <f>ROUND((ROUND((ROUND((_11_A家事４．７５*_11・重度研修),0)*(1+_11・A深夜)),0)*_11・初任),0)</f>
        <v>689</v>
      </c>
      <c r="S77" s="48"/>
    </row>
    <row r="78" spans="1:19" ht="16.5" customHeight="1" x14ac:dyDescent="0.15">
      <c r="A78" s="41">
        <v>11</v>
      </c>
      <c r="B78" s="41" t="s">
        <v>12218</v>
      </c>
      <c r="C78" s="74" t="s">
        <v>12219</v>
      </c>
      <c r="D78" s="100">
        <f>_11_A家事４．７５</f>
        <v>729</v>
      </c>
      <c r="E78" s="12" t="s">
        <v>392</v>
      </c>
      <c r="F78" s="35"/>
      <c r="I78" s="256" t="s">
        <v>397</v>
      </c>
      <c r="J78" s="218" t="s">
        <v>398</v>
      </c>
      <c r="K78" s="46">
        <v>1</v>
      </c>
      <c r="L78" s="35"/>
      <c r="O78" s="706"/>
      <c r="P78" s="220"/>
      <c r="Q78" s="38"/>
      <c r="R78" s="47">
        <f>ROUND((ROUND((ROUND((ROUND((_11_A家事４．７５*_11・重度研修),0)*_11・２人),0)*(1+_11・A深夜)),0)*_11・初任),0)</f>
        <v>689</v>
      </c>
      <c r="S78" s="48"/>
    </row>
    <row r="79" spans="1:19" ht="16.5" customHeight="1" x14ac:dyDescent="0.15">
      <c r="A79" s="41">
        <v>11</v>
      </c>
      <c r="B79" s="41">
        <v>8471</v>
      </c>
      <c r="C79" s="74" t="s">
        <v>12220</v>
      </c>
      <c r="D79" s="707" t="s">
        <v>9371</v>
      </c>
      <c r="E79" s="798"/>
      <c r="F79" s="35"/>
      <c r="I79" s="163"/>
      <c r="J79" s="45"/>
      <c r="K79" s="46"/>
      <c r="L79" s="35"/>
      <c r="O79" s="53"/>
      <c r="P79" s="245"/>
      <c r="Q79" s="50"/>
      <c r="R79" s="47">
        <f>ROUND((ROUND((_11_A家事５．０*_11・重度研修),0)*(1+_11・A深夜)),0)</f>
        <v>1032</v>
      </c>
      <c r="S79" s="48"/>
    </row>
    <row r="80" spans="1:19" ht="16.5" customHeight="1" x14ac:dyDescent="0.15">
      <c r="A80" s="41">
        <v>11</v>
      </c>
      <c r="B80" s="41">
        <v>8472</v>
      </c>
      <c r="C80" s="74" t="s">
        <v>12221</v>
      </c>
      <c r="D80" s="799"/>
      <c r="E80" s="796"/>
      <c r="F80" s="35"/>
      <c r="I80" s="256" t="s">
        <v>397</v>
      </c>
      <c r="J80" s="218" t="s">
        <v>398</v>
      </c>
      <c r="K80" s="46">
        <v>1</v>
      </c>
      <c r="L80" s="35"/>
      <c r="O80" s="43"/>
      <c r="P80" s="220"/>
      <c r="Q80" s="38"/>
      <c r="R80" s="47">
        <f>ROUND((ROUND((ROUND((_11_A家事５．０*_11・重度研修),0)*_11・２人),0)*(1+_11・A深夜)),0)</f>
        <v>1032</v>
      </c>
      <c r="S80" s="48"/>
    </row>
    <row r="81" spans="1:19" ht="16.5" customHeight="1" x14ac:dyDescent="0.15">
      <c r="A81" s="41">
        <v>11</v>
      </c>
      <c r="B81" s="41" t="s">
        <v>12222</v>
      </c>
      <c r="C81" s="74" t="s">
        <v>12223</v>
      </c>
      <c r="D81" s="799"/>
      <c r="E81" s="796"/>
      <c r="F81" s="35"/>
      <c r="I81" s="163"/>
      <c r="J81" s="45"/>
      <c r="K81" s="46"/>
      <c r="L81" s="35"/>
      <c r="O81" s="734" t="s">
        <v>404</v>
      </c>
      <c r="P81" s="219" t="s">
        <v>398</v>
      </c>
      <c r="Q81" s="50">
        <f>_11・初任</f>
        <v>0.7</v>
      </c>
      <c r="R81" s="47">
        <f>ROUND((ROUND((ROUND((_11_A家事５．０*_11・重度研修),0)*(1+_11・A深夜)),0)*_11・初任),0)</f>
        <v>722</v>
      </c>
      <c r="S81" s="48"/>
    </row>
    <row r="82" spans="1:19" ht="16.5" customHeight="1" x14ac:dyDescent="0.15">
      <c r="A82" s="41">
        <v>11</v>
      </c>
      <c r="B82" s="41" t="s">
        <v>12224</v>
      </c>
      <c r="C82" s="74" t="s">
        <v>12225</v>
      </c>
      <c r="D82" s="100">
        <f>_11_A家事５．０</f>
        <v>764</v>
      </c>
      <c r="E82" s="12" t="s">
        <v>392</v>
      </c>
      <c r="F82" s="35"/>
      <c r="I82" s="256" t="s">
        <v>397</v>
      </c>
      <c r="J82" s="218" t="s">
        <v>398</v>
      </c>
      <c r="K82" s="46">
        <v>1</v>
      </c>
      <c r="L82" s="35"/>
      <c r="O82" s="706"/>
      <c r="P82" s="220"/>
      <c r="Q82" s="38"/>
      <c r="R82" s="47">
        <f>ROUND((ROUND((ROUND((ROUND((_11_A家事５．０*_11・重度研修),0)*_11・２人),0)*(1+_11・A深夜)),0)*_11・初任),0)</f>
        <v>722</v>
      </c>
      <c r="S82" s="48"/>
    </row>
    <row r="83" spans="1:19" ht="16.5" customHeight="1" x14ac:dyDescent="0.15">
      <c r="A83" s="41">
        <v>11</v>
      </c>
      <c r="B83" s="41">
        <v>8473</v>
      </c>
      <c r="C83" s="74" t="s">
        <v>12226</v>
      </c>
      <c r="D83" s="707" t="s">
        <v>9384</v>
      </c>
      <c r="E83" s="798"/>
      <c r="F83" s="35"/>
      <c r="I83" s="163"/>
      <c r="J83" s="45"/>
      <c r="K83" s="46"/>
      <c r="L83" s="35"/>
      <c r="O83" s="53"/>
      <c r="P83" s="245"/>
      <c r="Q83" s="50"/>
      <c r="R83" s="47">
        <f>ROUND((ROUND((_11_A家事５．２５*_11・重度研修),0)*(1+_11・A深夜)),0)</f>
        <v>1079</v>
      </c>
      <c r="S83" s="48"/>
    </row>
    <row r="84" spans="1:19" ht="16.5" customHeight="1" x14ac:dyDescent="0.15">
      <c r="A84" s="41">
        <v>11</v>
      </c>
      <c r="B84" s="41">
        <v>8474</v>
      </c>
      <c r="C84" s="74" t="s">
        <v>12227</v>
      </c>
      <c r="D84" s="799"/>
      <c r="E84" s="796"/>
      <c r="F84" s="35"/>
      <c r="I84" s="256" t="s">
        <v>397</v>
      </c>
      <c r="J84" s="218" t="s">
        <v>398</v>
      </c>
      <c r="K84" s="46">
        <v>1</v>
      </c>
      <c r="L84" s="35"/>
      <c r="O84" s="43"/>
      <c r="P84" s="220"/>
      <c r="Q84" s="38"/>
      <c r="R84" s="47">
        <f>ROUND((ROUND((ROUND((_11_A家事５．２５*_11・重度研修),0)*_11・２人),0)*(1+_11・A深夜)),0)</f>
        <v>1079</v>
      </c>
      <c r="S84" s="48"/>
    </row>
    <row r="85" spans="1:19" ht="16.5" customHeight="1" x14ac:dyDescent="0.15">
      <c r="A85" s="41">
        <v>11</v>
      </c>
      <c r="B85" s="41" t="s">
        <v>12228</v>
      </c>
      <c r="C85" s="74" t="s">
        <v>12229</v>
      </c>
      <c r="D85" s="799"/>
      <c r="E85" s="796"/>
      <c r="F85" s="35"/>
      <c r="H85" s="234"/>
      <c r="I85" s="45"/>
      <c r="J85" s="45"/>
      <c r="K85" s="46"/>
      <c r="L85" s="35"/>
      <c r="O85" s="734" t="s">
        <v>404</v>
      </c>
      <c r="P85" s="219" t="s">
        <v>398</v>
      </c>
      <c r="Q85" s="50">
        <f>_11・初任</f>
        <v>0.7</v>
      </c>
      <c r="R85" s="47">
        <f>ROUND((ROUND((ROUND((_11_A家事５．２５*_11・重度研修),0)*(1+_11・A深夜)),0)*_11・初任),0)</f>
        <v>755</v>
      </c>
      <c r="S85" s="48"/>
    </row>
    <row r="86" spans="1:19" ht="16.5" customHeight="1" x14ac:dyDescent="0.15">
      <c r="A86" s="41">
        <v>11</v>
      </c>
      <c r="B86" s="41" t="s">
        <v>12230</v>
      </c>
      <c r="C86" s="74" t="s">
        <v>12231</v>
      </c>
      <c r="D86" s="100">
        <f>_11_A家事５．２５</f>
        <v>799</v>
      </c>
      <c r="E86" s="12" t="s">
        <v>392</v>
      </c>
      <c r="F86" s="35"/>
      <c r="H86" s="234"/>
      <c r="I86" s="259" t="s">
        <v>397</v>
      </c>
      <c r="J86" s="218" t="s">
        <v>398</v>
      </c>
      <c r="K86" s="46">
        <v>1</v>
      </c>
      <c r="L86" s="35"/>
      <c r="O86" s="706"/>
      <c r="P86" s="220"/>
      <c r="Q86" s="38"/>
      <c r="R86" s="47">
        <f>ROUND((ROUND((ROUND((ROUND((_11_A家事５．２５*_11・重度研修),0)*_11・２人),0)*(1+_11・A深夜)),0)*_11・初任),0)</f>
        <v>755</v>
      </c>
      <c r="S86" s="48"/>
    </row>
    <row r="87" spans="1:19" ht="16.5" customHeight="1" x14ac:dyDescent="0.15">
      <c r="A87" s="41">
        <v>11</v>
      </c>
      <c r="B87" s="41">
        <v>8475</v>
      </c>
      <c r="C87" s="74" t="s">
        <v>12232</v>
      </c>
      <c r="D87" s="707" t="s">
        <v>9397</v>
      </c>
      <c r="E87" s="798"/>
      <c r="F87" s="35"/>
      <c r="H87" s="234"/>
      <c r="I87" s="45"/>
      <c r="J87" s="45"/>
      <c r="K87" s="46"/>
      <c r="L87" s="35"/>
      <c r="O87" s="53"/>
      <c r="P87" s="245"/>
      <c r="Q87" s="50"/>
      <c r="R87" s="47">
        <f>ROUND((ROUND((_11_A家事５．５*_11・重度研修),0)*(1+_11・A深夜)),0)</f>
        <v>1127</v>
      </c>
      <c r="S87" s="48"/>
    </row>
    <row r="88" spans="1:19" ht="16.5" customHeight="1" x14ac:dyDescent="0.15">
      <c r="A88" s="41">
        <v>11</v>
      </c>
      <c r="B88" s="41">
        <v>8476</v>
      </c>
      <c r="C88" s="74" t="s">
        <v>12233</v>
      </c>
      <c r="D88" s="799"/>
      <c r="E88" s="796"/>
      <c r="F88" s="35"/>
      <c r="H88" s="234"/>
      <c r="I88" s="217" t="s">
        <v>397</v>
      </c>
      <c r="J88" s="218" t="s">
        <v>398</v>
      </c>
      <c r="K88" s="46">
        <v>1</v>
      </c>
      <c r="L88" s="35"/>
      <c r="O88" s="43"/>
      <c r="P88" s="220"/>
      <c r="Q88" s="38"/>
      <c r="R88" s="47">
        <f>ROUND((ROUND((ROUND((_11_A家事５．５*_11・重度研修),0)*_11・２人),0)*(1+_11・A深夜)),0)</f>
        <v>1127</v>
      </c>
      <c r="S88" s="48"/>
    </row>
    <row r="89" spans="1:19" ht="16.5" customHeight="1" x14ac:dyDescent="0.15">
      <c r="A89" s="41">
        <v>11</v>
      </c>
      <c r="B89" s="41" t="s">
        <v>12234</v>
      </c>
      <c r="C89" s="74" t="s">
        <v>12235</v>
      </c>
      <c r="D89" s="799"/>
      <c r="E89" s="796"/>
      <c r="F89" s="35"/>
      <c r="H89" s="234"/>
      <c r="I89" s="45"/>
      <c r="J89" s="45"/>
      <c r="K89" s="46"/>
      <c r="L89" s="35"/>
      <c r="O89" s="734" t="s">
        <v>404</v>
      </c>
      <c r="P89" s="219" t="s">
        <v>398</v>
      </c>
      <c r="Q89" s="50">
        <f>_11・初任</f>
        <v>0.7</v>
      </c>
      <c r="R89" s="47">
        <f>ROUND((ROUND((ROUND((_11_A家事５．５*_11・重度研修),0)*(1+_11・A深夜)),0)*_11・初任),0)</f>
        <v>789</v>
      </c>
      <c r="S89" s="48"/>
    </row>
    <row r="90" spans="1:19" ht="16.5" customHeight="1" x14ac:dyDescent="0.15">
      <c r="A90" s="41">
        <v>11</v>
      </c>
      <c r="B90" s="41" t="s">
        <v>12236</v>
      </c>
      <c r="C90" s="74" t="s">
        <v>12237</v>
      </c>
      <c r="D90" s="100">
        <f>_11_A家事５．５</f>
        <v>834</v>
      </c>
      <c r="E90" s="12" t="s">
        <v>392</v>
      </c>
      <c r="F90" s="35"/>
      <c r="H90" s="234"/>
      <c r="I90" s="217" t="s">
        <v>397</v>
      </c>
      <c r="J90" s="218" t="s">
        <v>398</v>
      </c>
      <c r="K90" s="46">
        <v>1</v>
      </c>
      <c r="L90" s="35"/>
      <c r="O90" s="706"/>
      <c r="P90" s="220"/>
      <c r="Q90" s="38"/>
      <c r="R90" s="47">
        <f>ROUND((ROUND((ROUND((ROUND((_11_A家事５．５*_11・重度研修),0)*_11・２人),0)*(1+_11・A深夜)),0)*_11・初任),0)</f>
        <v>789</v>
      </c>
      <c r="S90" s="48"/>
    </row>
    <row r="91" spans="1:19" ht="16.5" customHeight="1" x14ac:dyDescent="0.15">
      <c r="A91" s="41">
        <v>11</v>
      </c>
      <c r="B91" s="41">
        <v>8477</v>
      </c>
      <c r="C91" s="74" t="s">
        <v>12238</v>
      </c>
      <c r="D91" s="707" t="s">
        <v>9410</v>
      </c>
      <c r="E91" s="798"/>
      <c r="F91" s="35"/>
      <c r="H91" s="234"/>
      <c r="I91" s="45"/>
      <c r="J91" s="45"/>
      <c r="K91" s="46"/>
      <c r="L91" s="35"/>
      <c r="O91" s="53"/>
      <c r="P91" s="245"/>
      <c r="Q91" s="50"/>
      <c r="R91" s="47">
        <f>ROUND((ROUND((_11_A家事５．７５*_11・重度研修),0)*(1+_11・A深夜)),0)</f>
        <v>1173</v>
      </c>
      <c r="S91" s="48"/>
    </row>
    <row r="92" spans="1:19" ht="16.5" customHeight="1" x14ac:dyDescent="0.15">
      <c r="A92" s="41">
        <v>11</v>
      </c>
      <c r="B92" s="41">
        <v>8478</v>
      </c>
      <c r="C92" s="74" t="s">
        <v>12239</v>
      </c>
      <c r="D92" s="799"/>
      <c r="E92" s="796"/>
      <c r="F92" s="35"/>
      <c r="H92" s="234"/>
      <c r="I92" s="259" t="s">
        <v>397</v>
      </c>
      <c r="J92" s="218" t="s">
        <v>398</v>
      </c>
      <c r="K92" s="46">
        <v>1</v>
      </c>
      <c r="L92" s="35"/>
      <c r="O92" s="43"/>
      <c r="P92" s="220"/>
      <c r="Q92" s="38"/>
      <c r="R92" s="47">
        <f>ROUND((ROUND((ROUND((_11_A家事５．７５*_11・重度研修),0)*_11・２人),0)*(1+_11・A深夜)),0)</f>
        <v>1173</v>
      </c>
      <c r="S92" s="48"/>
    </row>
    <row r="93" spans="1:19" ht="16.5" customHeight="1" x14ac:dyDescent="0.15">
      <c r="A93" s="41">
        <v>11</v>
      </c>
      <c r="B93" s="41" t="s">
        <v>12240</v>
      </c>
      <c r="C93" s="74" t="s">
        <v>12241</v>
      </c>
      <c r="D93" s="799"/>
      <c r="E93" s="796"/>
      <c r="F93" s="35"/>
      <c r="H93" s="234"/>
      <c r="I93" s="45"/>
      <c r="J93" s="45"/>
      <c r="K93" s="46"/>
      <c r="L93" s="35"/>
      <c r="O93" s="734" t="s">
        <v>404</v>
      </c>
      <c r="P93" s="219" t="s">
        <v>398</v>
      </c>
      <c r="Q93" s="50">
        <f>_11・初任</f>
        <v>0.7</v>
      </c>
      <c r="R93" s="47">
        <f>ROUND((ROUND((ROUND((_11_A家事５．７５*_11・重度研修),0)*(1+_11・A深夜)),0)*_11・初任),0)</f>
        <v>821</v>
      </c>
      <c r="S93" s="48"/>
    </row>
    <row r="94" spans="1:19" ht="16.5" customHeight="1" x14ac:dyDescent="0.15">
      <c r="A94" s="41">
        <v>11</v>
      </c>
      <c r="B94" s="41" t="s">
        <v>12242</v>
      </c>
      <c r="C94" s="74" t="s">
        <v>12243</v>
      </c>
      <c r="D94" s="100">
        <f>_11_A家事５．７５</f>
        <v>869</v>
      </c>
      <c r="E94" s="12" t="s">
        <v>392</v>
      </c>
      <c r="F94" s="35"/>
      <c r="I94" s="256" t="s">
        <v>397</v>
      </c>
      <c r="J94" s="218" t="s">
        <v>398</v>
      </c>
      <c r="K94" s="46">
        <v>1</v>
      </c>
      <c r="L94" s="35"/>
      <c r="O94" s="706"/>
      <c r="P94" s="220"/>
      <c r="Q94" s="38"/>
      <c r="R94" s="47">
        <f>ROUND((ROUND((ROUND((ROUND((_11_A家事５．７５*_11・重度研修),0)*_11・２人),0)*(1+_11・A深夜)),0)*_11・初任),0)</f>
        <v>821</v>
      </c>
      <c r="S94" s="48"/>
    </row>
    <row r="95" spans="1:19" ht="16.5" customHeight="1" x14ac:dyDescent="0.15">
      <c r="A95" s="41">
        <v>11</v>
      </c>
      <c r="B95" s="41">
        <v>8479</v>
      </c>
      <c r="C95" s="74" t="s">
        <v>12244</v>
      </c>
      <c r="D95" s="707" t="s">
        <v>9423</v>
      </c>
      <c r="E95" s="798"/>
      <c r="F95" s="35"/>
      <c r="I95" s="163"/>
      <c r="J95" s="45"/>
      <c r="K95" s="46"/>
      <c r="L95" s="35"/>
      <c r="O95" s="53"/>
      <c r="P95" s="245"/>
      <c r="Q95" s="50"/>
      <c r="R95" s="47">
        <f>ROUND((ROUND((_11_A家事６．０*_11・重度研修),0)*(1+_11・A深夜)),0)</f>
        <v>1221</v>
      </c>
      <c r="S95" s="48"/>
    </row>
    <row r="96" spans="1:19" ht="16.5" customHeight="1" x14ac:dyDescent="0.15">
      <c r="A96" s="41">
        <v>11</v>
      </c>
      <c r="B96" s="41">
        <v>8480</v>
      </c>
      <c r="C96" s="74" t="s">
        <v>12245</v>
      </c>
      <c r="D96" s="799"/>
      <c r="E96" s="796"/>
      <c r="F96" s="35"/>
      <c r="I96" s="256" t="s">
        <v>397</v>
      </c>
      <c r="J96" s="218" t="s">
        <v>398</v>
      </c>
      <c r="K96" s="46">
        <v>1</v>
      </c>
      <c r="L96" s="35"/>
      <c r="O96" s="43"/>
      <c r="P96" s="220"/>
      <c r="Q96" s="38"/>
      <c r="R96" s="47">
        <f>ROUND((ROUND((ROUND((_11_A家事６．０*_11・重度研修),0)*_11・２人),0)*(1+_11・A深夜)),0)</f>
        <v>1221</v>
      </c>
      <c r="S96" s="48"/>
    </row>
    <row r="97" spans="1:19" ht="16.5" customHeight="1" x14ac:dyDescent="0.15">
      <c r="A97" s="41">
        <v>11</v>
      </c>
      <c r="B97" s="41" t="s">
        <v>12246</v>
      </c>
      <c r="C97" s="74" t="s">
        <v>12247</v>
      </c>
      <c r="D97" s="799"/>
      <c r="E97" s="796"/>
      <c r="F97" s="35"/>
      <c r="I97" s="163"/>
      <c r="J97" s="45"/>
      <c r="K97" s="46"/>
      <c r="L97" s="35"/>
      <c r="O97" s="734" t="s">
        <v>404</v>
      </c>
      <c r="P97" s="219" t="s">
        <v>398</v>
      </c>
      <c r="Q97" s="50">
        <f>_11・初任</f>
        <v>0.7</v>
      </c>
      <c r="R97" s="47">
        <f>ROUND((ROUND((ROUND((_11_A家事６．０*_11・重度研修),0)*(1+_11・A深夜)),0)*_11・初任),0)</f>
        <v>855</v>
      </c>
      <c r="S97" s="48"/>
    </row>
    <row r="98" spans="1:19" ht="16.5" customHeight="1" x14ac:dyDescent="0.15">
      <c r="A98" s="41">
        <v>11</v>
      </c>
      <c r="B98" s="41" t="s">
        <v>12248</v>
      </c>
      <c r="C98" s="74" t="s">
        <v>12249</v>
      </c>
      <c r="D98" s="100">
        <f>_11_A家事６．０</f>
        <v>904</v>
      </c>
      <c r="E98" s="12" t="s">
        <v>392</v>
      </c>
      <c r="F98" s="35"/>
      <c r="I98" s="256" t="s">
        <v>397</v>
      </c>
      <c r="J98" s="218" t="s">
        <v>398</v>
      </c>
      <c r="K98" s="46">
        <v>1</v>
      </c>
      <c r="L98" s="35"/>
      <c r="O98" s="706"/>
      <c r="P98" s="220"/>
      <c r="Q98" s="38"/>
      <c r="R98" s="47">
        <f>ROUND((ROUND((ROUND((ROUND((_11_A家事６．０*_11・重度研修),0)*_11・２人),0)*(1+_11・A深夜)),0)*_11・初任),0)</f>
        <v>855</v>
      </c>
      <c r="S98" s="48"/>
    </row>
    <row r="99" spans="1:19" ht="16.5" customHeight="1" x14ac:dyDescent="0.15">
      <c r="A99" s="41">
        <v>11</v>
      </c>
      <c r="B99" s="41">
        <v>8481</v>
      </c>
      <c r="C99" s="74" t="s">
        <v>12250</v>
      </c>
      <c r="D99" s="707" t="s">
        <v>9436</v>
      </c>
      <c r="E99" s="798"/>
      <c r="F99" s="35"/>
      <c r="I99" s="163"/>
      <c r="J99" s="45"/>
      <c r="K99" s="46"/>
      <c r="L99" s="35"/>
      <c r="O99" s="53"/>
      <c r="P99" s="245"/>
      <c r="Q99" s="50"/>
      <c r="R99" s="47">
        <f>ROUND((ROUND((_11_A家事６．２５*_11・重度研修),0)*(1+_11・A深夜)),0)</f>
        <v>1268</v>
      </c>
      <c r="S99" s="48"/>
    </row>
    <row r="100" spans="1:19" ht="16.5" customHeight="1" x14ac:dyDescent="0.15">
      <c r="A100" s="41">
        <v>11</v>
      </c>
      <c r="B100" s="41">
        <v>8482</v>
      </c>
      <c r="C100" s="74" t="s">
        <v>12251</v>
      </c>
      <c r="D100" s="799"/>
      <c r="E100" s="796"/>
      <c r="F100" s="35"/>
      <c r="I100" s="256" t="s">
        <v>397</v>
      </c>
      <c r="J100" s="218" t="s">
        <v>398</v>
      </c>
      <c r="K100" s="46">
        <v>1</v>
      </c>
      <c r="L100" s="35"/>
      <c r="O100" s="43"/>
      <c r="P100" s="220"/>
      <c r="Q100" s="38"/>
      <c r="R100" s="47">
        <f>ROUND((ROUND((ROUND((_11_A家事６．２５*_11・重度研修),0)*_11・２人),0)*(1+_11・A深夜)),0)</f>
        <v>1268</v>
      </c>
      <c r="S100" s="48"/>
    </row>
    <row r="101" spans="1:19" ht="16.5" customHeight="1" x14ac:dyDescent="0.15">
      <c r="A101" s="41">
        <v>11</v>
      </c>
      <c r="B101" s="41" t="s">
        <v>12252</v>
      </c>
      <c r="C101" s="74" t="s">
        <v>12253</v>
      </c>
      <c r="D101" s="799"/>
      <c r="E101" s="796"/>
      <c r="F101" s="35"/>
      <c r="I101" s="163"/>
      <c r="J101" s="45"/>
      <c r="K101" s="46"/>
      <c r="L101" s="35"/>
      <c r="O101" s="734" t="s">
        <v>404</v>
      </c>
      <c r="P101" s="219" t="s">
        <v>398</v>
      </c>
      <c r="Q101" s="50">
        <f>_11・初任</f>
        <v>0.7</v>
      </c>
      <c r="R101" s="47">
        <f>ROUND((ROUND((ROUND((_11_A家事６．２５*_11・重度研修),0)*(1+_11・A深夜)),0)*_11・初任),0)</f>
        <v>888</v>
      </c>
      <c r="S101" s="48"/>
    </row>
    <row r="102" spans="1:19" ht="16.5" customHeight="1" x14ac:dyDescent="0.15">
      <c r="A102" s="41">
        <v>11</v>
      </c>
      <c r="B102" s="41" t="s">
        <v>12254</v>
      </c>
      <c r="C102" s="74" t="s">
        <v>12255</v>
      </c>
      <c r="D102" s="100">
        <f>_11_A家事６．２５</f>
        <v>939</v>
      </c>
      <c r="E102" s="12" t="s">
        <v>392</v>
      </c>
      <c r="F102" s="35"/>
      <c r="I102" s="256" t="s">
        <v>397</v>
      </c>
      <c r="J102" s="218" t="s">
        <v>398</v>
      </c>
      <c r="K102" s="46">
        <v>1</v>
      </c>
      <c r="L102" s="35"/>
      <c r="O102" s="706"/>
      <c r="P102" s="220"/>
      <c r="Q102" s="38"/>
      <c r="R102" s="47">
        <f>ROUND((ROUND((ROUND((ROUND((_11_A家事６．２５*_11・重度研修),0)*_11・２人),0)*(1+_11・A深夜)),0)*_11・初任),0)</f>
        <v>888</v>
      </c>
      <c r="S102" s="48"/>
    </row>
    <row r="103" spans="1:19" ht="16.5" customHeight="1" x14ac:dyDescent="0.15">
      <c r="A103" s="41">
        <v>11</v>
      </c>
      <c r="B103" s="41">
        <v>8483</v>
      </c>
      <c r="C103" s="74" t="s">
        <v>12256</v>
      </c>
      <c r="D103" s="707" t="s">
        <v>9449</v>
      </c>
      <c r="E103" s="798"/>
      <c r="F103" s="35"/>
      <c r="I103" s="163"/>
      <c r="J103" s="45"/>
      <c r="K103" s="46"/>
      <c r="L103" s="35"/>
      <c r="O103" s="53"/>
      <c r="P103" s="245"/>
      <c r="Q103" s="50"/>
      <c r="R103" s="47">
        <f>ROUND((ROUND((_11_A家事６．５*_11・重度研修),0)*(1+_11・A深夜)),0)</f>
        <v>1316</v>
      </c>
      <c r="S103" s="48"/>
    </row>
    <row r="104" spans="1:19" ht="16.5" customHeight="1" x14ac:dyDescent="0.15">
      <c r="A104" s="41">
        <v>11</v>
      </c>
      <c r="B104" s="41">
        <v>8484</v>
      </c>
      <c r="C104" s="74" t="s">
        <v>12257</v>
      </c>
      <c r="D104" s="799"/>
      <c r="E104" s="796"/>
      <c r="F104" s="35"/>
      <c r="I104" s="256" t="s">
        <v>397</v>
      </c>
      <c r="J104" s="218" t="s">
        <v>398</v>
      </c>
      <c r="K104" s="46">
        <v>1</v>
      </c>
      <c r="L104" s="35"/>
      <c r="O104" s="43"/>
      <c r="P104" s="220"/>
      <c r="Q104" s="38"/>
      <c r="R104" s="47">
        <f>ROUND((ROUND((ROUND((_11_A家事６．５*_11・重度研修),0)*_11・２人),0)*(1+_11・A深夜)),0)</f>
        <v>1316</v>
      </c>
      <c r="S104" s="48"/>
    </row>
    <row r="105" spans="1:19" ht="16.5" customHeight="1" x14ac:dyDescent="0.15">
      <c r="A105" s="41">
        <v>11</v>
      </c>
      <c r="B105" s="41" t="s">
        <v>12258</v>
      </c>
      <c r="C105" s="74" t="s">
        <v>12259</v>
      </c>
      <c r="D105" s="799"/>
      <c r="E105" s="796"/>
      <c r="F105" s="35"/>
      <c r="I105" s="163"/>
      <c r="J105" s="45"/>
      <c r="K105" s="46"/>
      <c r="L105" s="35"/>
      <c r="O105" s="734" t="s">
        <v>404</v>
      </c>
      <c r="P105" s="219" t="s">
        <v>398</v>
      </c>
      <c r="Q105" s="50">
        <f>_11・初任</f>
        <v>0.7</v>
      </c>
      <c r="R105" s="47">
        <f>ROUND((ROUND((ROUND((_11_A家事６．５*_11・重度研修),0)*(1+_11・A深夜)),0)*_11・初任),0)</f>
        <v>921</v>
      </c>
      <c r="S105" s="48"/>
    </row>
    <row r="106" spans="1:19" ht="16.5" customHeight="1" x14ac:dyDescent="0.15">
      <c r="A106" s="41">
        <v>11</v>
      </c>
      <c r="B106" s="41" t="s">
        <v>12260</v>
      </c>
      <c r="C106" s="74" t="s">
        <v>12261</v>
      </c>
      <c r="D106" s="165">
        <f>_11_A家事６．５</f>
        <v>974</v>
      </c>
      <c r="E106" s="37" t="s">
        <v>392</v>
      </c>
      <c r="F106" s="43"/>
      <c r="G106" s="37"/>
      <c r="H106" s="38"/>
      <c r="I106" s="256" t="s">
        <v>397</v>
      </c>
      <c r="J106" s="218" t="s">
        <v>398</v>
      </c>
      <c r="K106" s="46">
        <v>1</v>
      </c>
      <c r="L106" s="43"/>
      <c r="M106" s="37"/>
      <c r="N106" s="38"/>
      <c r="O106" s="706"/>
      <c r="P106" s="220"/>
      <c r="Q106" s="38"/>
      <c r="R106" s="47">
        <f>ROUND((ROUND((ROUND((ROUND((_11_A家事６．５*_11・重度研修),0)*_11・２人),0)*(1+_11・A深夜)),0)*_11・初任),0)</f>
        <v>921</v>
      </c>
      <c r="S106" s="63"/>
    </row>
    <row r="107" spans="1:19" ht="16.5" customHeight="1" x14ac:dyDescent="0.15"/>
    <row r="108" spans="1:19" ht="16.5" customHeight="1" x14ac:dyDescent="0.15"/>
  </sheetData>
  <mergeCells count="54">
    <mergeCell ref="D99:E101"/>
    <mergeCell ref="O101:O102"/>
    <mergeCell ref="D103:E105"/>
    <mergeCell ref="O105:O106"/>
    <mergeCell ref="D87:E89"/>
    <mergeCell ref="O89:O90"/>
    <mergeCell ref="D91:E93"/>
    <mergeCell ref="O93:O94"/>
    <mergeCell ref="D95:E97"/>
    <mergeCell ref="O97:O98"/>
    <mergeCell ref="D75:E77"/>
    <mergeCell ref="O77:O78"/>
    <mergeCell ref="D79:E81"/>
    <mergeCell ref="O81:O82"/>
    <mergeCell ref="D83:E85"/>
    <mergeCell ref="O85:O86"/>
    <mergeCell ref="D63:E65"/>
    <mergeCell ref="O65:O66"/>
    <mergeCell ref="D67:E69"/>
    <mergeCell ref="O69:O70"/>
    <mergeCell ref="D71:E73"/>
    <mergeCell ref="O73:O74"/>
    <mergeCell ref="D51:E53"/>
    <mergeCell ref="O53:O54"/>
    <mergeCell ref="D55:E57"/>
    <mergeCell ref="O57:O58"/>
    <mergeCell ref="D59:E61"/>
    <mergeCell ref="F59:H61"/>
    <mergeCell ref="N60:N61"/>
    <mergeCell ref="O61:O62"/>
    <mergeCell ref="D39:E41"/>
    <mergeCell ref="O41:O42"/>
    <mergeCell ref="D43:E45"/>
    <mergeCell ref="O45:O46"/>
    <mergeCell ref="D47:E49"/>
    <mergeCell ref="O49:O50"/>
    <mergeCell ref="D27:E29"/>
    <mergeCell ref="O29:O30"/>
    <mergeCell ref="D31:E33"/>
    <mergeCell ref="O33:O34"/>
    <mergeCell ref="D35:E37"/>
    <mergeCell ref="O37:O38"/>
    <mergeCell ref="D15:E17"/>
    <mergeCell ref="O17:O18"/>
    <mergeCell ref="D19:E21"/>
    <mergeCell ref="O21:O22"/>
    <mergeCell ref="D23:E25"/>
    <mergeCell ref="O25:O26"/>
    <mergeCell ref="D7:E9"/>
    <mergeCell ref="F7:H9"/>
    <mergeCell ref="N8:N9"/>
    <mergeCell ref="O9:O10"/>
    <mergeCell ref="D11:E13"/>
    <mergeCell ref="O13:O14"/>
  </mergeCells>
  <phoneticPr fontId="1"/>
  <printOptions horizontalCentered="1"/>
  <pageMargins left="0.70866141732283472" right="0.70866141732283472" top="0.74803149606299213" bottom="0.74803149606299213" header="0.31496062992125984" footer="0.31496062992125984"/>
  <pageSetup paperSize="9" scale="58" fitToHeight="0" orientation="portrait" r:id="rId1"/>
  <headerFooter>
    <oddHeader>&amp;R&amp;"ＭＳ Ｐゴシック"&amp;9居宅介護</oddHeader>
    <oddFooter>&amp;C&amp;"ＭＳ Ｐゴシック"&amp;14&amp;P</oddFooter>
  </headerFooter>
  <rowBreaks count="1" manualBreakCount="1">
    <brk id="58" max="18"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3">
    <pageSetUpPr fitToPage="1"/>
  </sheetPr>
  <dimension ref="A1:X49"/>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0" style="10" bestFit="1" customWidth="1"/>
    <col min="4" max="4" width="4.875" style="10" customWidth="1"/>
    <col min="5" max="5" width="4.875" style="12" customWidth="1"/>
    <col min="6" max="6" width="4.875" style="10" customWidth="1"/>
    <col min="7" max="7" width="4.875" style="12" customWidth="1"/>
    <col min="8" max="8" width="3.125" style="12" customWidth="1"/>
    <col min="9" max="9" width="2.5" style="12" customWidth="1"/>
    <col min="10" max="10" width="4.5" style="13" bestFit="1" customWidth="1"/>
    <col min="11" max="11" width="24.125" style="12" bestFit="1" customWidth="1"/>
    <col min="12" max="12" width="2.5" style="12" customWidth="1"/>
    <col min="13" max="13" width="5.5" style="13" bestFit="1" customWidth="1"/>
    <col min="14" max="14" width="2.5" style="12" customWidth="1"/>
    <col min="15" max="15" width="3.875" style="12" customWidth="1"/>
    <col min="16" max="16" width="4.5" style="13" bestFit="1" customWidth="1"/>
    <col min="17" max="17" width="2.5" style="12" customWidth="1"/>
    <col min="18" max="18" width="3.875" style="12" customWidth="1"/>
    <col min="19" max="19" width="4.5" style="13" bestFit="1" customWidth="1"/>
    <col min="20" max="20" width="17.875" style="12" customWidth="1"/>
    <col min="21" max="21" width="2.5" style="16" customWidth="1"/>
    <col min="22" max="22" width="4.5" style="13" bestFit="1" customWidth="1"/>
    <col min="23" max="23" width="7.125" style="206" customWidth="1"/>
    <col min="24" max="24" width="8.5" style="16" customWidth="1"/>
    <col min="25" max="16384" width="8.875" style="12"/>
  </cols>
  <sheetData>
    <row r="1" spans="1:24" ht="17.100000000000001" customHeight="1" x14ac:dyDescent="0.15"/>
    <row r="2" spans="1:24" ht="17.100000000000001" customHeight="1" x14ac:dyDescent="0.15"/>
    <row r="3" spans="1:24" ht="17.100000000000001" customHeight="1" x14ac:dyDescent="0.15"/>
    <row r="4" spans="1:24" ht="17.100000000000001" customHeight="1" x14ac:dyDescent="0.15">
      <c r="B4" s="17" t="s">
        <v>12262</v>
      </c>
      <c r="D4" s="71"/>
    </row>
    <row r="5" spans="1:24" ht="16.5" customHeight="1" x14ac:dyDescent="0.15">
      <c r="A5" s="19" t="s">
        <v>384</v>
      </c>
      <c r="B5" s="20"/>
      <c r="C5" s="21" t="s">
        <v>385</v>
      </c>
      <c r="D5" s="23" t="s">
        <v>386</v>
      </c>
      <c r="E5" s="23"/>
      <c r="F5" s="23"/>
      <c r="G5" s="23"/>
      <c r="H5" s="23"/>
      <c r="I5" s="23"/>
      <c r="J5" s="24"/>
      <c r="K5" s="23"/>
      <c r="L5" s="23"/>
      <c r="M5" s="24"/>
      <c r="N5" s="23"/>
      <c r="O5" s="23"/>
      <c r="P5" s="24"/>
      <c r="Q5" s="23"/>
      <c r="R5" s="23"/>
      <c r="S5" s="24"/>
      <c r="T5" s="23"/>
      <c r="U5" s="23"/>
      <c r="V5" s="24"/>
      <c r="W5" s="21" t="s">
        <v>387</v>
      </c>
      <c r="X5" s="21" t="s">
        <v>388</v>
      </c>
    </row>
    <row r="6" spans="1:24" ht="16.5" customHeight="1" x14ac:dyDescent="0.15">
      <c r="A6" s="26" t="s">
        <v>389</v>
      </c>
      <c r="B6" s="26" t="s">
        <v>390</v>
      </c>
      <c r="C6" s="27"/>
      <c r="D6" s="87" t="s">
        <v>1032</v>
      </c>
      <c r="E6" s="187"/>
      <c r="F6" s="87" t="s">
        <v>1033</v>
      </c>
      <c r="G6" s="20"/>
      <c r="H6" s="29"/>
      <c r="I6" s="29"/>
      <c r="J6" s="30"/>
      <c r="K6" s="29"/>
      <c r="L6" s="29"/>
      <c r="M6" s="30"/>
      <c r="N6" s="29"/>
      <c r="O6" s="29"/>
      <c r="P6" s="30"/>
      <c r="Q6" s="29"/>
      <c r="R6" s="29"/>
      <c r="S6" s="30"/>
      <c r="T6" s="29"/>
      <c r="U6" s="214"/>
      <c r="V6" s="30"/>
      <c r="W6" s="32" t="s">
        <v>391</v>
      </c>
      <c r="X6" s="32" t="s">
        <v>392</v>
      </c>
    </row>
    <row r="7" spans="1:24" ht="16.5" customHeight="1" x14ac:dyDescent="0.15">
      <c r="A7" s="33">
        <v>11</v>
      </c>
      <c r="B7" s="33">
        <v>8485</v>
      </c>
      <c r="C7" s="34" t="s">
        <v>12263</v>
      </c>
      <c r="D7" s="709" t="s">
        <v>861</v>
      </c>
      <c r="E7" s="796"/>
      <c r="F7" s="709" t="s">
        <v>9463</v>
      </c>
      <c r="G7" s="797"/>
      <c r="H7" s="801" t="s">
        <v>11707</v>
      </c>
      <c r="I7" s="797"/>
      <c r="J7" s="796"/>
      <c r="K7" s="37"/>
      <c r="L7" s="37"/>
      <c r="M7" s="38"/>
      <c r="N7" s="92" t="s">
        <v>1036</v>
      </c>
      <c r="Q7" s="72" t="s">
        <v>1037</v>
      </c>
      <c r="T7" s="178"/>
      <c r="W7" s="207">
        <f>ROUND((ROUND((_11_A家事０．５*_11・重度研修),0)*(1+_11・A深夜)),0)+ROUND((ROUND((_11_B家事０．５＿０．２５*_11・重度研修),0)*(1+_11・B早朝)),0)</f>
        <v>196</v>
      </c>
      <c r="X7" s="40" t="s">
        <v>395</v>
      </c>
    </row>
    <row r="8" spans="1:24" ht="16.5" customHeight="1" x14ac:dyDescent="0.15">
      <c r="A8" s="41">
        <v>11</v>
      </c>
      <c r="B8" s="41">
        <v>8486</v>
      </c>
      <c r="C8" s="74" t="s">
        <v>12264</v>
      </c>
      <c r="D8" s="799"/>
      <c r="E8" s="796"/>
      <c r="F8" s="799"/>
      <c r="G8" s="797"/>
      <c r="H8" s="799"/>
      <c r="I8" s="797"/>
      <c r="J8" s="797"/>
      <c r="K8" s="44" t="s">
        <v>397</v>
      </c>
      <c r="L8" s="218" t="s">
        <v>398</v>
      </c>
      <c r="M8" s="189">
        <v>1</v>
      </c>
      <c r="N8" s="258" t="s">
        <v>398</v>
      </c>
      <c r="O8" s="13">
        <v>0.5</v>
      </c>
      <c r="P8" s="718" t="s">
        <v>676</v>
      </c>
      <c r="Q8" s="258" t="s">
        <v>398</v>
      </c>
      <c r="R8" s="13">
        <v>0.25</v>
      </c>
      <c r="S8" s="704" t="s">
        <v>676</v>
      </c>
      <c r="T8" s="180"/>
      <c r="U8" s="216"/>
      <c r="V8" s="38"/>
      <c r="W8" s="208">
        <f>ROUND((ROUND((ROUND((_11_A家事０．５*_11・重度研修),0)*_11・２人),0)*(1+_11・A深夜)),0)+ROUND((ROUND((ROUND((_11_B家事０．５＿０．２５*_11・重度研修),0)*_11・２人),0)*(1+_11・B早朝)),0)</f>
        <v>196</v>
      </c>
      <c r="X8" s="48"/>
    </row>
    <row r="9" spans="1:24" ht="16.5" customHeight="1" x14ac:dyDescent="0.15">
      <c r="A9" s="41">
        <v>11</v>
      </c>
      <c r="B9" s="41" t="s">
        <v>12265</v>
      </c>
      <c r="C9" s="74" t="s">
        <v>12266</v>
      </c>
      <c r="D9" s="799"/>
      <c r="E9" s="796"/>
      <c r="F9" s="799"/>
      <c r="G9" s="797"/>
      <c r="H9" s="799"/>
      <c r="I9" s="797"/>
      <c r="J9" s="796"/>
      <c r="K9" s="45"/>
      <c r="L9" s="45"/>
      <c r="M9" s="46"/>
      <c r="N9" s="35"/>
      <c r="P9" s="796"/>
      <c r="Q9" s="35"/>
      <c r="S9" s="797"/>
      <c r="T9" s="807" t="s">
        <v>404</v>
      </c>
      <c r="U9" s="219" t="s">
        <v>398</v>
      </c>
      <c r="V9" s="50">
        <f>_11・初任</f>
        <v>0.7</v>
      </c>
      <c r="W9" s="208">
        <f>ROUND((ROUND((ROUND((_11_A家事０．５*_11・重度研修),0)*(1+_11・A深夜)),0)*_11・初任),0)+ROUND((ROUND((ROUND((_11_B家事０．５＿０．２５*_11・重度研修),0)*(1+_11・B早朝)),0)*_11・初任),0)</f>
        <v>137</v>
      </c>
      <c r="X9" s="48"/>
    </row>
    <row r="10" spans="1:24" ht="16.5" customHeight="1" x14ac:dyDescent="0.15">
      <c r="A10" s="41">
        <v>11</v>
      </c>
      <c r="B10" s="41" t="s">
        <v>12267</v>
      </c>
      <c r="C10" s="74" t="s">
        <v>12268</v>
      </c>
      <c r="D10" s="100">
        <f>_11_A家事０．５</f>
        <v>105</v>
      </c>
      <c r="E10" s="12" t="s">
        <v>392</v>
      </c>
      <c r="F10" s="100">
        <f>_11_B家事０．５＿０．２５</f>
        <v>47</v>
      </c>
      <c r="G10" s="12" t="s">
        <v>392</v>
      </c>
      <c r="H10" s="35"/>
      <c r="I10" s="16" t="s">
        <v>398</v>
      </c>
      <c r="J10" s="13">
        <v>0.9</v>
      </c>
      <c r="K10" s="44" t="s">
        <v>397</v>
      </c>
      <c r="L10" s="218" t="s">
        <v>398</v>
      </c>
      <c r="M10" s="189">
        <v>1</v>
      </c>
      <c r="N10" s="35"/>
      <c r="Q10" s="35"/>
      <c r="T10" s="808"/>
      <c r="U10" s="220"/>
      <c r="V10" s="38"/>
      <c r="W10" s="208">
        <f>ROUND((ROUND((ROUND((ROUND((_11_A家事０．５*_11・重度研修),0)*_11・２人),0)*(1+_11・A深夜)),0)*_11・初任),0)+ROUND((ROUND((ROUND((ROUND((_11_B家事０．５＿０．２５*_11・重度研修),0)*_11・２人),0)*(1+_11・B早朝)),0)*_11・初任),0)</f>
        <v>137</v>
      </c>
      <c r="X10" s="48"/>
    </row>
    <row r="11" spans="1:24" ht="16.5" customHeight="1" x14ac:dyDescent="0.15">
      <c r="A11" s="41">
        <v>11</v>
      </c>
      <c r="B11" s="41">
        <v>8487</v>
      </c>
      <c r="C11" s="74" t="s">
        <v>12269</v>
      </c>
      <c r="D11" s="72"/>
      <c r="F11" s="707" t="s">
        <v>9476</v>
      </c>
      <c r="G11" s="798"/>
      <c r="H11" s="35"/>
      <c r="K11" s="163"/>
      <c r="L11" s="45"/>
      <c r="M11" s="46"/>
      <c r="N11" s="35"/>
      <c r="Q11" s="35"/>
      <c r="T11" s="260"/>
      <c r="U11" s="221"/>
      <c r="V11" s="50"/>
      <c r="W11" s="208">
        <f>ROUND((ROUND((_11_A家事０．５*_11・重度研修),0)*(1+_11・A深夜)),0)+ROUND((ROUND((_11_B家事０．５＿０．５*_11・重度研修),0)*(1+_11・B早朝)),0)</f>
        <v>246</v>
      </c>
      <c r="X11" s="48"/>
    </row>
    <row r="12" spans="1:24" ht="16.5" customHeight="1" x14ac:dyDescent="0.15">
      <c r="A12" s="41">
        <v>11</v>
      </c>
      <c r="B12" s="41">
        <v>8488</v>
      </c>
      <c r="C12" s="74" t="s">
        <v>12270</v>
      </c>
      <c r="D12" s="72"/>
      <c r="F12" s="799"/>
      <c r="G12" s="796"/>
      <c r="H12" s="35"/>
      <c r="K12" s="44" t="s">
        <v>397</v>
      </c>
      <c r="L12" s="218" t="s">
        <v>398</v>
      </c>
      <c r="M12" s="189">
        <v>1</v>
      </c>
      <c r="N12" s="35"/>
      <c r="Q12" s="35"/>
      <c r="T12" s="180"/>
      <c r="U12" s="216"/>
      <c r="V12" s="38"/>
      <c r="W12" s="208">
        <f>ROUND((ROUND((ROUND((_11_A家事０．５*_11・重度研修),0)*_11・２人),0)*(1+_11・A深夜)),0)+ROUND((ROUND((ROUND((_11_B家事０．５＿０．５*_11・重度研修),0)*_11・２人),0)*(1+_11・B早朝)),0)</f>
        <v>246</v>
      </c>
      <c r="X12" s="48"/>
    </row>
    <row r="13" spans="1:24" ht="16.5" customHeight="1" x14ac:dyDescent="0.15">
      <c r="A13" s="41">
        <v>11</v>
      </c>
      <c r="B13" s="41" t="s">
        <v>12271</v>
      </c>
      <c r="C13" s="74" t="s">
        <v>12272</v>
      </c>
      <c r="D13" s="72"/>
      <c r="F13" s="799"/>
      <c r="G13" s="796"/>
      <c r="H13" s="35"/>
      <c r="K13" s="163"/>
      <c r="L13" s="45"/>
      <c r="M13" s="46"/>
      <c r="N13" s="35"/>
      <c r="Q13" s="35"/>
      <c r="T13" s="807" t="s">
        <v>404</v>
      </c>
      <c r="U13" s="219" t="s">
        <v>398</v>
      </c>
      <c r="V13" s="50">
        <f>_11・初任</f>
        <v>0.7</v>
      </c>
      <c r="W13" s="208">
        <f>ROUND((ROUND((ROUND((_11_A家事０．５*_11・重度研修),0)*(1+_11・A深夜)),0)*_11・初任),0)+ROUND((ROUND((ROUND((_11_B家事０．５＿０．５*_11・重度研修),0)*(1+_11・B早朝)),0)*_11・初任),0)</f>
        <v>172</v>
      </c>
      <c r="X13" s="48"/>
    </row>
    <row r="14" spans="1:24" ht="16.5" customHeight="1" x14ac:dyDescent="0.15">
      <c r="A14" s="41">
        <v>11</v>
      </c>
      <c r="B14" s="41" t="s">
        <v>12273</v>
      </c>
      <c r="C14" s="74" t="s">
        <v>12274</v>
      </c>
      <c r="D14" s="72"/>
      <c r="F14" s="100">
        <f>_11_B家事０．５＿０．５</f>
        <v>91</v>
      </c>
      <c r="G14" s="12" t="s">
        <v>392</v>
      </c>
      <c r="H14" s="35"/>
      <c r="K14" s="44" t="s">
        <v>397</v>
      </c>
      <c r="L14" s="218" t="s">
        <v>398</v>
      </c>
      <c r="M14" s="189">
        <v>1</v>
      </c>
      <c r="N14" s="35"/>
      <c r="Q14" s="35"/>
      <c r="T14" s="808"/>
      <c r="U14" s="220"/>
      <c r="V14" s="38"/>
      <c r="W14" s="208">
        <f>ROUND((ROUND((ROUND((ROUND((_11_A家事０．５*_11・重度研修),0)*_11・２人),0)*(1+_11・A深夜)),0)*_11・初任),0)+ROUND((ROUND((ROUND((ROUND((_11_B家事０．５＿０．５*_11・重度研修),0)*_11・２人),0)*(1+_11・B早朝)),0)*_11・初任),0)</f>
        <v>172</v>
      </c>
      <c r="X14" s="48"/>
    </row>
    <row r="15" spans="1:24" ht="16.5" customHeight="1" x14ac:dyDescent="0.15">
      <c r="A15" s="41">
        <v>11</v>
      </c>
      <c r="B15" s="41">
        <v>8489</v>
      </c>
      <c r="C15" s="74" t="s">
        <v>12275</v>
      </c>
      <c r="D15" s="72"/>
      <c r="F15" s="707" t="s">
        <v>9489</v>
      </c>
      <c r="G15" s="798"/>
      <c r="H15" s="35"/>
      <c r="K15" s="163"/>
      <c r="L15" s="45"/>
      <c r="M15" s="46"/>
      <c r="N15" s="35"/>
      <c r="Q15" s="35"/>
      <c r="T15" s="260"/>
      <c r="U15" s="221"/>
      <c r="V15" s="50"/>
      <c r="W15" s="208">
        <f>ROUND((ROUND((_11_A家事０．５*_11・重度研修),0)*(1+_11・A深夜)),0)+ROUND((ROUND((_11_B家事０．５＿０．７５*_11・重度研修),0)*(1+_11・B早朝)),0)</f>
        <v>293</v>
      </c>
      <c r="X15" s="48"/>
    </row>
    <row r="16" spans="1:24" ht="16.5" customHeight="1" x14ac:dyDescent="0.15">
      <c r="A16" s="41">
        <v>11</v>
      </c>
      <c r="B16" s="41">
        <v>8490</v>
      </c>
      <c r="C16" s="74" t="s">
        <v>12276</v>
      </c>
      <c r="D16" s="72"/>
      <c r="F16" s="799"/>
      <c r="G16" s="796"/>
      <c r="H16" s="35"/>
      <c r="K16" s="44" t="s">
        <v>397</v>
      </c>
      <c r="L16" s="218" t="s">
        <v>398</v>
      </c>
      <c r="M16" s="189">
        <v>1</v>
      </c>
      <c r="N16" s="35"/>
      <c r="Q16" s="35"/>
      <c r="T16" s="180"/>
      <c r="U16" s="216"/>
      <c r="V16" s="38"/>
      <c r="W16" s="208">
        <f>ROUND((ROUND((ROUND((_11_A家事０．５*_11・重度研修),0)*_11・２人),0)*(1+_11・A深夜)),0)+ROUND((ROUND((ROUND((_11_B家事０．５＿０．７５*_11・重度研修),0)*_11・２人),0)*(1+_11・B早朝)),0)</f>
        <v>293</v>
      </c>
      <c r="X16" s="48"/>
    </row>
    <row r="17" spans="1:24" ht="16.5" customHeight="1" x14ac:dyDescent="0.15">
      <c r="A17" s="41">
        <v>11</v>
      </c>
      <c r="B17" s="41" t="s">
        <v>12277</v>
      </c>
      <c r="C17" s="74" t="s">
        <v>12278</v>
      </c>
      <c r="D17" s="72"/>
      <c r="F17" s="799"/>
      <c r="G17" s="796"/>
      <c r="H17" s="35"/>
      <c r="K17" s="163"/>
      <c r="L17" s="45"/>
      <c r="M17" s="46"/>
      <c r="N17" s="35"/>
      <c r="Q17" s="35"/>
      <c r="T17" s="807" t="s">
        <v>404</v>
      </c>
      <c r="U17" s="219" t="s">
        <v>398</v>
      </c>
      <c r="V17" s="50">
        <f>_11・初任</f>
        <v>0.7</v>
      </c>
      <c r="W17" s="208">
        <f>ROUND((ROUND((ROUND((_11_A家事０．５*_11・重度研修),0)*(1+_11・A深夜)),0)*_11・初任),0)+ROUND((ROUND((ROUND((_11_B家事０．５＿０．７５*_11・重度研修),0)*(1+_11・B早朝)),0)*_11・初任),0)</f>
        <v>205</v>
      </c>
      <c r="X17" s="48"/>
    </row>
    <row r="18" spans="1:24" ht="16.5" customHeight="1" x14ac:dyDescent="0.15">
      <c r="A18" s="41">
        <v>11</v>
      </c>
      <c r="B18" s="41" t="s">
        <v>12279</v>
      </c>
      <c r="C18" s="74" t="s">
        <v>12280</v>
      </c>
      <c r="D18" s="72"/>
      <c r="F18" s="100">
        <f>_11_B家事０．５＿０．７５</f>
        <v>133</v>
      </c>
      <c r="G18" s="12" t="s">
        <v>392</v>
      </c>
      <c r="H18" s="35"/>
      <c r="K18" s="44" t="s">
        <v>397</v>
      </c>
      <c r="L18" s="218" t="s">
        <v>398</v>
      </c>
      <c r="M18" s="189">
        <v>1</v>
      </c>
      <c r="N18" s="35"/>
      <c r="Q18" s="35"/>
      <c r="T18" s="808"/>
      <c r="U18" s="220"/>
      <c r="V18" s="38"/>
      <c r="W18" s="208">
        <f>ROUND((ROUND((ROUND((ROUND((_11_A家事０．５*_11・重度研修),0)*_11・２人),0)*(1+_11・A深夜)),0)*_11・初任),0)+ROUND((ROUND((ROUND((ROUND((_11_B家事０．５＿０．７５*_11・重度研修),0)*_11・２人),0)*(1+_11・B早朝)),0)*_11・初任),0)</f>
        <v>205</v>
      </c>
      <c r="X18" s="48"/>
    </row>
    <row r="19" spans="1:24" ht="16.5" customHeight="1" x14ac:dyDescent="0.15">
      <c r="A19" s="41">
        <v>11</v>
      </c>
      <c r="B19" s="41">
        <v>8491</v>
      </c>
      <c r="C19" s="74" t="s">
        <v>12281</v>
      </c>
      <c r="D19" s="72"/>
      <c r="F19" s="707" t="s">
        <v>9502</v>
      </c>
      <c r="G19" s="798"/>
      <c r="H19" s="35"/>
      <c r="K19" s="163"/>
      <c r="L19" s="45"/>
      <c r="M19" s="46"/>
      <c r="N19" s="35"/>
      <c r="Q19" s="35"/>
      <c r="T19" s="260"/>
      <c r="U19" s="221"/>
      <c r="V19" s="50"/>
      <c r="W19" s="208">
        <f>ROUND((ROUND((_11_A家事０．５*_11・重度研修),0)*(1+_11・A深夜)),0)+ROUND((ROUND((_11_B家事０．５＿１．０*_11・重度研修),0)*(1+_11・B早朝)),0)</f>
        <v>333</v>
      </c>
      <c r="X19" s="48"/>
    </row>
    <row r="20" spans="1:24" ht="16.5" customHeight="1" x14ac:dyDescent="0.15">
      <c r="A20" s="41">
        <v>11</v>
      </c>
      <c r="B20" s="41">
        <v>8492</v>
      </c>
      <c r="C20" s="74" t="s">
        <v>12282</v>
      </c>
      <c r="D20" s="72"/>
      <c r="F20" s="799"/>
      <c r="G20" s="796"/>
      <c r="H20" s="35"/>
      <c r="K20" s="44" t="s">
        <v>397</v>
      </c>
      <c r="L20" s="218" t="s">
        <v>398</v>
      </c>
      <c r="M20" s="189">
        <v>1</v>
      </c>
      <c r="N20" s="35"/>
      <c r="Q20" s="35"/>
      <c r="T20" s="180"/>
      <c r="U20" s="216"/>
      <c r="V20" s="38"/>
      <c r="W20" s="208">
        <f>ROUND((ROUND((ROUND((_11_A家事０．５*_11・重度研修),0)*_11・２人),0)*(1+_11・A深夜)),0)+ROUND((ROUND((ROUND((_11_B家事０．５＿１．０*_11・重度研修),0)*_11・２人),0)*(1+_11・B早朝)),0)</f>
        <v>333</v>
      </c>
      <c r="X20" s="48"/>
    </row>
    <row r="21" spans="1:24" ht="16.5" customHeight="1" x14ac:dyDescent="0.15">
      <c r="A21" s="41">
        <v>11</v>
      </c>
      <c r="B21" s="41" t="s">
        <v>12283</v>
      </c>
      <c r="C21" s="74" t="s">
        <v>12284</v>
      </c>
      <c r="D21" s="72"/>
      <c r="F21" s="799"/>
      <c r="G21" s="796"/>
      <c r="H21" s="35"/>
      <c r="K21" s="163"/>
      <c r="L21" s="45"/>
      <c r="M21" s="46"/>
      <c r="N21" s="35"/>
      <c r="Q21" s="35"/>
      <c r="T21" s="807" t="s">
        <v>404</v>
      </c>
      <c r="U21" s="219" t="s">
        <v>398</v>
      </c>
      <c r="V21" s="50">
        <f>_11・初任</f>
        <v>0.7</v>
      </c>
      <c r="W21" s="208">
        <f>ROUND((ROUND((ROUND((_11_A家事０．５*_11・重度研修),0)*(1+_11・A深夜)),0)*_11・初任),0)+ROUND((ROUND((ROUND((_11_B家事０．５＿１．０*_11・重度研修),0)*(1+_11・B早朝)),0)*_11・初任),0)</f>
        <v>233</v>
      </c>
      <c r="X21" s="48"/>
    </row>
    <row r="22" spans="1:24" ht="16.5" customHeight="1" x14ac:dyDescent="0.15">
      <c r="A22" s="41">
        <v>11</v>
      </c>
      <c r="B22" s="41" t="s">
        <v>12285</v>
      </c>
      <c r="C22" s="74" t="s">
        <v>12286</v>
      </c>
      <c r="D22" s="72"/>
      <c r="F22" s="100">
        <f>_11_B家事０．５＿１．０</f>
        <v>169</v>
      </c>
      <c r="G22" s="12" t="s">
        <v>392</v>
      </c>
      <c r="H22" s="35"/>
      <c r="K22" s="44" t="s">
        <v>397</v>
      </c>
      <c r="L22" s="218" t="s">
        <v>398</v>
      </c>
      <c r="M22" s="189">
        <v>1</v>
      </c>
      <c r="N22" s="35"/>
      <c r="Q22" s="35"/>
      <c r="T22" s="808"/>
      <c r="U22" s="220"/>
      <c r="V22" s="38"/>
      <c r="W22" s="208">
        <f>ROUND((ROUND((ROUND((ROUND((_11_A家事０．５*_11・重度研修),0)*_11・２人),0)*(1+_11・A深夜)),0)*_11・初任),0)+ROUND((ROUND((ROUND((ROUND((_11_B家事０．５＿１．０*_11・重度研修),0)*_11・２人),0)*(1+_11・B早朝)),0)*_11・初任),0)</f>
        <v>233</v>
      </c>
      <c r="X22" s="48"/>
    </row>
    <row r="23" spans="1:24" ht="16.5" customHeight="1" x14ac:dyDescent="0.15">
      <c r="A23" s="41">
        <v>11</v>
      </c>
      <c r="B23" s="41">
        <v>8493</v>
      </c>
      <c r="C23" s="74" t="s">
        <v>12287</v>
      </c>
      <c r="D23" s="707" t="s">
        <v>9150</v>
      </c>
      <c r="E23" s="798"/>
      <c r="F23" s="707" t="s">
        <v>9463</v>
      </c>
      <c r="G23" s="798"/>
      <c r="H23" s="35"/>
      <c r="K23" s="163"/>
      <c r="L23" s="45"/>
      <c r="M23" s="46"/>
      <c r="N23" s="35"/>
      <c r="Q23" s="35"/>
      <c r="T23" s="260"/>
      <c r="U23" s="221"/>
      <c r="V23" s="50"/>
      <c r="W23" s="208">
        <f>ROUND((ROUND((_11_A家事０．７５*_11・重度研修),0)*(1+_11・A深夜)),0)+ROUND((ROUND((_11_B家事０．７５＿０．２５*_11・重度研修),0)*(1+_11・B早朝)),0)</f>
        <v>256</v>
      </c>
      <c r="X23" s="48"/>
    </row>
    <row r="24" spans="1:24" ht="16.5" customHeight="1" x14ac:dyDescent="0.15">
      <c r="A24" s="41">
        <v>11</v>
      </c>
      <c r="B24" s="41">
        <v>8494</v>
      </c>
      <c r="C24" s="74" t="s">
        <v>12288</v>
      </c>
      <c r="D24" s="799"/>
      <c r="E24" s="796"/>
      <c r="F24" s="799"/>
      <c r="G24" s="796"/>
      <c r="H24" s="35"/>
      <c r="K24" s="44" t="s">
        <v>397</v>
      </c>
      <c r="L24" s="218" t="s">
        <v>398</v>
      </c>
      <c r="M24" s="189">
        <v>1</v>
      </c>
      <c r="N24" s="35"/>
      <c r="Q24" s="35"/>
      <c r="T24" s="180"/>
      <c r="U24" s="216"/>
      <c r="V24" s="38"/>
      <c r="W24" s="208">
        <f>ROUND((ROUND((ROUND((_11_A家事０．７５*_11・重度研修),0)*_11・２人),0)*(1+_11・A深夜)),0)+ROUND((ROUND((ROUND((_11_B家事０．７５＿０．２５*_11・重度研修),0)*_11・２人),0)*(1+_11・B早朝)),0)</f>
        <v>256</v>
      </c>
      <c r="X24" s="48"/>
    </row>
    <row r="25" spans="1:24" ht="16.5" customHeight="1" x14ac:dyDescent="0.15">
      <c r="A25" s="41">
        <v>11</v>
      </c>
      <c r="B25" s="41" t="s">
        <v>12289</v>
      </c>
      <c r="C25" s="74" t="s">
        <v>12290</v>
      </c>
      <c r="D25" s="799"/>
      <c r="E25" s="796"/>
      <c r="F25" s="799"/>
      <c r="G25" s="796"/>
      <c r="H25" s="35"/>
      <c r="K25" s="163"/>
      <c r="L25" s="45"/>
      <c r="M25" s="46"/>
      <c r="N25" s="35"/>
      <c r="Q25" s="35"/>
      <c r="T25" s="807" t="s">
        <v>404</v>
      </c>
      <c r="U25" s="219" t="s">
        <v>398</v>
      </c>
      <c r="V25" s="50">
        <f>_11・初任</f>
        <v>0.7</v>
      </c>
      <c r="W25" s="208">
        <f>ROUND((ROUND((ROUND((_11_A家事０．７５*_11・重度研修),0)*(1+_11・A深夜)),0)*_11・初任),0)+ROUND((ROUND((ROUND((_11_B家事０．７５＿０．２５*_11・重度研修),0)*(1+_11・B早朝)),0)*_11・初任),0)</f>
        <v>179</v>
      </c>
      <c r="X25" s="48"/>
    </row>
    <row r="26" spans="1:24" ht="16.5" customHeight="1" x14ac:dyDescent="0.15">
      <c r="A26" s="41">
        <v>11</v>
      </c>
      <c r="B26" s="41" t="s">
        <v>12291</v>
      </c>
      <c r="C26" s="74" t="s">
        <v>12292</v>
      </c>
      <c r="D26" s="100">
        <f>_11_A家事０．７５</f>
        <v>152</v>
      </c>
      <c r="E26" s="12" t="s">
        <v>392</v>
      </c>
      <c r="F26" s="100">
        <f>_11_B家事０．７５＿０．２５</f>
        <v>44</v>
      </c>
      <c r="G26" s="12" t="s">
        <v>392</v>
      </c>
      <c r="H26" s="35"/>
      <c r="K26" s="44" t="s">
        <v>397</v>
      </c>
      <c r="L26" s="218" t="s">
        <v>398</v>
      </c>
      <c r="M26" s="189">
        <v>1</v>
      </c>
      <c r="N26" s="35"/>
      <c r="Q26" s="35"/>
      <c r="T26" s="808"/>
      <c r="U26" s="220"/>
      <c r="V26" s="38"/>
      <c r="W26" s="208">
        <f>ROUND((ROUND((ROUND((ROUND((_11_A家事０．７５*_11・重度研修),0)*_11・２人),0)*(1+_11・A深夜)),0)*_11・初任),0)+ROUND((ROUND((ROUND((ROUND((_11_B家事０．７５＿０．２５*_11・重度研修),0)*_11・２人),0)*(1+_11・B早朝)),0)*_11・初任),0)</f>
        <v>179</v>
      </c>
      <c r="X26" s="48"/>
    </row>
    <row r="27" spans="1:24" ht="16.5" customHeight="1" x14ac:dyDescent="0.15">
      <c r="A27" s="41">
        <v>11</v>
      </c>
      <c r="B27" s="41">
        <v>8495</v>
      </c>
      <c r="C27" s="74" t="s">
        <v>12293</v>
      </c>
      <c r="D27" s="72"/>
      <c r="F27" s="707" t="s">
        <v>9476</v>
      </c>
      <c r="G27" s="798"/>
      <c r="H27" s="35"/>
      <c r="K27" s="163"/>
      <c r="L27" s="45"/>
      <c r="M27" s="46"/>
      <c r="N27" s="35"/>
      <c r="Q27" s="35"/>
      <c r="T27" s="260"/>
      <c r="U27" s="221"/>
      <c r="V27" s="50"/>
      <c r="W27" s="208">
        <f>ROUND((ROUND((_11_A家事０．７５*_11・重度研修),0)*(1+_11・A深夜)),0)+ROUND((ROUND((_11_B家事０．７５＿０．５*_11・重度研修),0)*(1+_11・B早朝)),0)</f>
        <v>302</v>
      </c>
      <c r="X27" s="48"/>
    </row>
    <row r="28" spans="1:24" ht="16.5" customHeight="1" x14ac:dyDescent="0.15">
      <c r="A28" s="41">
        <v>11</v>
      </c>
      <c r="B28" s="41">
        <v>8496</v>
      </c>
      <c r="C28" s="74" t="s">
        <v>12294</v>
      </c>
      <c r="D28" s="72"/>
      <c r="F28" s="799"/>
      <c r="G28" s="796"/>
      <c r="H28" s="35"/>
      <c r="K28" s="44" t="s">
        <v>397</v>
      </c>
      <c r="L28" s="218" t="s">
        <v>398</v>
      </c>
      <c r="M28" s="189">
        <v>1</v>
      </c>
      <c r="N28" s="35"/>
      <c r="Q28" s="35"/>
      <c r="T28" s="180"/>
      <c r="U28" s="216"/>
      <c r="V28" s="38"/>
      <c r="W28" s="208">
        <f>ROUND((ROUND((ROUND((_11_A家事０．７５*_11・重度研修),0)*_11・２人),0)*(1+_11・A深夜)),0)+ROUND((ROUND((ROUND((_11_B家事０．７５＿０．５*_11・重度研修),0)*_11・２人),0)*(1+_11・B早朝)),0)</f>
        <v>302</v>
      </c>
      <c r="X28" s="48"/>
    </row>
    <row r="29" spans="1:24" ht="16.5" customHeight="1" x14ac:dyDescent="0.15">
      <c r="A29" s="41">
        <v>11</v>
      </c>
      <c r="B29" s="41" t="s">
        <v>12295</v>
      </c>
      <c r="C29" s="74" t="s">
        <v>12296</v>
      </c>
      <c r="D29" s="72"/>
      <c r="F29" s="799"/>
      <c r="G29" s="796"/>
      <c r="H29" s="35"/>
      <c r="K29" s="163"/>
      <c r="L29" s="45"/>
      <c r="M29" s="46"/>
      <c r="N29" s="35"/>
      <c r="Q29" s="35"/>
      <c r="T29" s="807" t="s">
        <v>404</v>
      </c>
      <c r="U29" s="219" t="s">
        <v>398</v>
      </c>
      <c r="V29" s="50">
        <f>_11・初任</f>
        <v>0.7</v>
      </c>
      <c r="W29" s="208">
        <f>ROUND((ROUND((ROUND((_11_A家事０．７５*_11・重度研修),0)*(1+_11・A深夜)),0)*_11・初任),0)+ROUND((ROUND((ROUND((_11_B家事０．７５＿０．５*_11・重度研修),0)*(1+_11・B早朝)),0)*_11・初任),0)</f>
        <v>211</v>
      </c>
      <c r="X29" s="48"/>
    </row>
    <row r="30" spans="1:24" ht="16.5" customHeight="1" x14ac:dyDescent="0.15">
      <c r="A30" s="41">
        <v>11</v>
      </c>
      <c r="B30" s="41" t="s">
        <v>12297</v>
      </c>
      <c r="C30" s="74" t="s">
        <v>12298</v>
      </c>
      <c r="D30" s="72"/>
      <c r="F30" s="100">
        <f>_11_B家事０．７５＿０．５</f>
        <v>86</v>
      </c>
      <c r="G30" s="12" t="s">
        <v>392</v>
      </c>
      <c r="H30" s="35"/>
      <c r="K30" s="44" t="s">
        <v>397</v>
      </c>
      <c r="L30" s="218" t="s">
        <v>398</v>
      </c>
      <c r="M30" s="189">
        <v>1</v>
      </c>
      <c r="N30" s="35"/>
      <c r="Q30" s="35"/>
      <c r="T30" s="808"/>
      <c r="U30" s="220"/>
      <c r="V30" s="38"/>
      <c r="W30" s="208">
        <f>ROUND((ROUND((ROUND((ROUND((_11_A家事０．７５*_11・重度研修),0)*_11・２人),0)*(1+_11・A深夜)),0)*_11・初任),0)+ROUND((ROUND((ROUND((ROUND((_11_B家事０．７５＿０．５*_11・重度研修),0)*_11・２人),0)*(1+_11・B早朝)),0)*_11・初任),0)</f>
        <v>211</v>
      </c>
      <c r="X30" s="48"/>
    </row>
    <row r="31" spans="1:24" ht="16.5" customHeight="1" x14ac:dyDescent="0.15">
      <c r="A31" s="41">
        <v>11</v>
      </c>
      <c r="B31" s="41">
        <v>8497</v>
      </c>
      <c r="C31" s="74" t="s">
        <v>12299</v>
      </c>
      <c r="D31" s="72"/>
      <c r="F31" s="707" t="s">
        <v>9489</v>
      </c>
      <c r="G31" s="798"/>
      <c r="H31" s="35"/>
      <c r="K31" s="163"/>
      <c r="L31" s="45"/>
      <c r="M31" s="46"/>
      <c r="N31" s="35"/>
      <c r="Q31" s="35"/>
      <c r="T31" s="260"/>
      <c r="U31" s="221"/>
      <c r="V31" s="50"/>
      <c r="W31" s="208">
        <f>ROUND((ROUND((_11_A家事０．７５*_11・重度研修),0)*(1+_11・A深夜)),0)+ROUND((ROUND((_11_B家事０．７５＿０．７５*_11・重度研修),0)*(1+_11・B早朝)),0)</f>
        <v>344</v>
      </c>
      <c r="X31" s="48"/>
    </row>
    <row r="32" spans="1:24" ht="16.5" customHeight="1" x14ac:dyDescent="0.15">
      <c r="A32" s="41">
        <v>11</v>
      </c>
      <c r="B32" s="41">
        <v>8498</v>
      </c>
      <c r="C32" s="74" t="s">
        <v>12300</v>
      </c>
      <c r="D32" s="72"/>
      <c r="F32" s="799"/>
      <c r="G32" s="796"/>
      <c r="H32" s="35"/>
      <c r="K32" s="44" t="s">
        <v>397</v>
      </c>
      <c r="L32" s="218" t="s">
        <v>398</v>
      </c>
      <c r="M32" s="189">
        <v>1</v>
      </c>
      <c r="N32" s="35"/>
      <c r="Q32" s="35"/>
      <c r="T32" s="180"/>
      <c r="U32" s="216"/>
      <c r="V32" s="38"/>
      <c r="W32" s="208">
        <f>ROUND((ROUND((ROUND((_11_A家事０．７５*_11・重度研修),0)*_11・２人),0)*(1+_11・A深夜)),0)+ROUND((ROUND((ROUND((_11_B家事０．７５＿０．７５*_11・重度研修),0)*_11・２人),0)*(1+_11・B早朝)),0)</f>
        <v>344</v>
      </c>
      <c r="X32" s="48"/>
    </row>
    <row r="33" spans="1:24" ht="16.5" customHeight="1" x14ac:dyDescent="0.15">
      <c r="A33" s="41">
        <v>11</v>
      </c>
      <c r="B33" s="41" t="s">
        <v>12301</v>
      </c>
      <c r="C33" s="74" t="s">
        <v>12302</v>
      </c>
      <c r="D33" s="72"/>
      <c r="F33" s="799"/>
      <c r="G33" s="796"/>
      <c r="H33" s="35"/>
      <c r="K33" s="163"/>
      <c r="L33" s="45"/>
      <c r="M33" s="46"/>
      <c r="N33" s="35"/>
      <c r="Q33" s="35"/>
      <c r="T33" s="807" t="s">
        <v>404</v>
      </c>
      <c r="U33" s="219" t="s">
        <v>398</v>
      </c>
      <c r="V33" s="50">
        <f>_11・初任</f>
        <v>0.7</v>
      </c>
      <c r="W33" s="208">
        <f>ROUND((ROUND((ROUND((_11_A家事０．７５*_11・重度研修),0)*(1+_11・A深夜)),0)*_11・初任),0)+ROUND((ROUND((ROUND((_11_B家事０．７５＿０．７５*_11・重度研修),0)*(1+_11・B早朝)),0)*_11・初任),0)</f>
        <v>241</v>
      </c>
      <c r="X33" s="48"/>
    </row>
    <row r="34" spans="1:24" ht="16.5" customHeight="1" x14ac:dyDescent="0.15">
      <c r="A34" s="41">
        <v>11</v>
      </c>
      <c r="B34" s="41" t="s">
        <v>12303</v>
      </c>
      <c r="C34" s="74" t="s">
        <v>12304</v>
      </c>
      <c r="D34" s="72"/>
      <c r="F34" s="100">
        <f>_11_B家事０．７５＿０．７５</f>
        <v>122</v>
      </c>
      <c r="G34" s="12" t="s">
        <v>392</v>
      </c>
      <c r="H34" s="35"/>
      <c r="K34" s="44" t="s">
        <v>397</v>
      </c>
      <c r="L34" s="218" t="s">
        <v>398</v>
      </c>
      <c r="M34" s="189">
        <v>1</v>
      </c>
      <c r="N34" s="35"/>
      <c r="Q34" s="35"/>
      <c r="T34" s="808"/>
      <c r="U34" s="220"/>
      <c r="V34" s="38"/>
      <c r="W34" s="208">
        <f>ROUND((ROUND((ROUND((ROUND((_11_A家事０．７５*_11・重度研修),0)*_11・２人),0)*(1+_11・A深夜)),0)*_11・初任),0)+ROUND((ROUND((ROUND((ROUND((_11_B家事０．７５＿０．７５*_11・重度研修),0)*_11・２人),0)*(1+_11・B早朝)),0)*_11・初任),0)</f>
        <v>241</v>
      </c>
      <c r="X34" s="48"/>
    </row>
    <row r="35" spans="1:24" ht="16.5" customHeight="1" x14ac:dyDescent="0.15">
      <c r="A35" s="41">
        <v>11</v>
      </c>
      <c r="B35" s="41">
        <v>8499</v>
      </c>
      <c r="C35" s="74" t="s">
        <v>12305</v>
      </c>
      <c r="D35" s="707" t="s">
        <v>9163</v>
      </c>
      <c r="E35" s="798"/>
      <c r="F35" s="707" t="s">
        <v>9463</v>
      </c>
      <c r="G35" s="798"/>
      <c r="H35" s="35"/>
      <c r="K35" s="163"/>
      <c r="L35" s="45"/>
      <c r="M35" s="46"/>
      <c r="N35" s="35"/>
      <c r="Q35" s="35"/>
      <c r="T35" s="260"/>
      <c r="U35" s="221"/>
      <c r="V35" s="50"/>
      <c r="W35" s="208">
        <f>ROUND((ROUND((_11_A家事１．０*_11・重度研修),0)*(1+_11・A深夜)),0)+ROUND((ROUND((_11_B家事１．０＿０．２５*_11・重度研修),0)*(1+_11・B早朝)),0)</f>
        <v>312</v>
      </c>
      <c r="X35" s="48"/>
    </row>
    <row r="36" spans="1:24" ht="16.5" customHeight="1" x14ac:dyDescent="0.15">
      <c r="A36" s="41">
        <v>11</v>
      </c>
      <c r="B36" s="41">
        <v>8500</v>
      </c>
      <c r="C36" s="74" t="s">
        <v>12306</v>
      </c>
      <c r="D36" s="799"/>
      <c r="E36" s="796"/>
      <c r="F36" s="799"/>
      <c r="G36" s="796"/>
      <c r="H36" s="35"/>
      <c r="K36" s="44" t="s">
        <v>397</v>
      </c>
      <c r="L36" s="218" t="s">
        <v>398</v>
      </c>
      <c r="M36" s="189">
        <v>1</v>
      </c>
      <c r="N36" s="35"/>
      <c r="Q36" s="35"/>
      <c r="T36" s="180"/>
      <c r="U36" s="216"/>
      <c r="V36" s="38"/>
      <c r="W36" s="208">
        <f>ROUND((ROUND((ROUND((_11_A家事１．０*_11・重度研修),0)*_11・２人),0)*(1+_11・A深夜)),0)+ROUND((ROUND((ROUND((_11_B家事１．０＿０．２５*_11・重度研修),0)*_11・２人),0)*(1+_11・B早朝)),0)</f>
        <v>312</v>
      </c>
      <c r="X36" s="48"/>
    </row>
    <row r="37" spans="1:24" ht="16.5" customHeight="1" x14ac:dyDescent="0.15">
      <c r="A37" s="41">
        <v>11</v>
      </c>
      <c r="B37" s="41" t="s">
        <v>12307</v>
      </c>
      <c r="C37" s="74" t="s">
        <v>12308</v>
      </c>
      <c r="D37" s="799"/>
      <c r="E37" s="796"/>
      <c r="F37" s="799"/>
      <c r="G37" s="796"/>
      <c r="H37" s="35"/>
      <c r="K37" s="163"/>
      <c r="L37" s="45"/>
      <c r="M37" s="46"/>
      <c r="N37" s="35"/>
      <c r="Q37" s="35"/>
      <c r="T37" s="807" t="s">
        <v>404</v>
      </c>
      <c r="U37" s="219" t="s">
        <v>398</v>
      </c>
      <c r="V37" s="50">
        <f>_11・初任</f>
        <v>0.7</v>
      </c>
      <c r="W37" s="208">
        <f>ROUND((ROUND((ROUND((_11_A家事１．０*_11・重度研修),0)*(1+_11・A深夜)),0)*_11・初任),0)+ROUND((ROUND((ROUND((_11_B家事１．０＿０．２５*_11・重度研修),0)*(1+_11・B早朝)),0)*_11・初任),0)</f>
        <v>219</v>
      </c>
      <c r="X37" s="48"/>
    </row>
    <row r="38" spans="1:24" ht="16.5" customHeight="1" x14ac:dyDescent="0.15">
      <c r="A38" s="41">
        <v>11</v>
      </c>
      <c r="B38" s="41" t="s">
        <v>12309</v>
      </c>
      <c r="C38" s="74" t="s">
        <v>12310</v>
      </c>
      <c r="D38" s="100">
        <f>_11_A家事１．０</f>
        <v>196</v>
      </c>
      <c r="E38" s="12" t="s">
        <v>392</v>
      </c>
      <c r="F38" s="100">
        <f>_11_B家事１．０＿０．２５</f>
        <v>42</v>
      </c>
      <c r="G38" s="12" t="s">
        <v>392</v>
      </c>
      <c r="H38" s="35"/>
      <c r="J38" s="234"/>
      <c r="K38" s="44" t="s">
        <v>397</v>
      </c>
      <c r="L38" s="218" t="s">
        <v>398</v>
      </c>
      <c r="M38" s="189">
        <v>1</v>
      </c>
      <c r="N38" s="35"/>
      <c r="Q38" s="35"/>
      <c r="S38" s="261"/>
      <c r="T38" s="808"/>
      <c r="U38" s="220"/>
      <c r="V38" s="38"/>
      <c r="W38" s="208">
        <f>ROUND((ROUND((ROUND((ROUND((_11_A家事１．０*_11・重度研修),0)*_11・２人),0)*(1+_11・A深夜)),0)*_11・初任),0)+ROUND((ROUND((ROUND((ROUND((_11_B家事１．０＿０．２５*_11・重度研修),0)*_11・２人),0)*(1+_11・B早朝)),0)*_11・初任),0)</f>
        <v>219</v>
      </c>
      <c r="X38" s="48"/>
    </row>
    <row r="39" spans="1:24" ht="16.5" customHeight="1" x14ac:dyDescent="0.15">
      <c r="A39" s="41">
        <v>11</v>
      </c>
      <c r="B39" s="41">
        <v>8501</v>
      </c>
      <c r="C39" s="74" t="s">
        <v>12311</v>
      </c>
      <c r="D39" s="707" t="s">
        <v>9163</v>
      </c>
      <c r="E39" s="798"/>
      <c r="F39" s="707" t="s">
        <v>9476</v>
      </c>
      <c r="G39" s="798"/>
      <c r="H39" s="262"/>
      <c r="I39" s="263"/>
      <c r="J39" s="264"/>
      <c r="K39" s="45"/>
      <c r="L39" s="45"/>
      <c r="M39" s="46"/>
      <c r="N39" s="92"/>
      <c r="Q39" s="72"/>
      <c r="S39" s="261"/>
      <c r="T39" s="260"/>
      <c r="U39" s="221"/>
      <c r="V39" s="50"/>
      <c r="W39" s="208">
        <f>ROUND((ROUND((_11_A家事１．０*_11・重度研修),0)*(1+_11・A深夜)),0)+ROUND((ROUND((_11_B家事１．０＿０．５*_11・重度研修),0)*(1+_11・B早朝)),0)</f>
        <v>352</v>
      </c>
      <c r="X39" s="48"/>
    </row>
    <row r="40" spans="1:24" ht="16.5" customHeight="1" x14ac:dyDescent="0.15">
      <c r="A40" s="41">
        <v>11</v>
      </c>
      <c r="B40" s="41">
        <v>8502</v>
      </c>
      <c r="C40" s="74" t="s">
        <v>12312</v>
      </c>
      <c r="D40" s="799"/>
      <c r="E40" s="796"/>
      <c r="F40" s="799"/>
      <c r="G40" s="796"/>
      <c r="H40" s="265"/>
      <c r="I40" s="263"/>
      <c r="J40" s="264"/>
      <c r="K40" s="44" t="s">
        <v>397</v>
      </c>
      <c r="L40" s="218" t="s">
        <v>398</v>
      </c>
      <c r="M40" s="189">
        <v>1</v>
      </c>
      <c r="N40" s="258"/>
      <c r="O40" s="13"/>
      <c r="P40" s="106"/>
      <c r="Q40" s="258"/>
      <c r="R40" s="13"/>
      <c r="S40" s="173"/>
      <c r="T40" s="180"/>
      <c r="U40" s="216"/>
      <c r="V40" s="38"/>
      <c r="W40" s="208">
        <f>ROUND((ROUND((ROUND((_11_A家事１．０*_11・重度研修),0)*_11・２人),0)*(1+_11・A深夜)),0)+ROUND((ROUND((ROUND((_11_B家事１．０＿０．５*_11・重度研修),0)*_11・２人),0)*(1+_11・B早朝)),0)</f>
        <v>352</v>
      </c>
      <c r="X40" s="48"/>
    </row>
    <row r="41" spans="1:24" ht="16.5" customHeight="1" x14ac:dyDescent="0.15">
      <c r="A41" s="41">
        <v>11</v>
      </c>
      <c r="B41" s="41" t="s">
        <v>12313</v>
      </c>
      <c r="C41" s="74" t="s">
        <v>12314</v>
      </c>
      <c r="D41" s="799"/>
      <c r="E41" s="796"/>
      <c r="F41" s="799"/>
      <c r="G41" s="796"/>
      <c r="H41" s="265"/>
      <c r="I41" s="263"/>
      <c r="J41" s="264"/>
      <c r="K41" s="45"/>
      <c r="L41" s="45"/>
      <c r="M41" s="46"/>
      <c r="N41" s="35"/>
      <c r="P41" s="264"/>
      <c r="Q41" s="35"/>
      <c r="S41" s="266"/>
      <c r="T41" s="807" t="s">
        <v>404</v>
      </c>
      <c r="U41" s="219" t="s">
        <v>398</v>
      </c>
      <c r="V41" s="50">
        <f>_11・初任</f>
        <v>0.7</v>
      </c>
      <c r="W41" s="208">
        <f>ROUND((ROUND((ROUND((_11_A家事１．０*_11・重度研修),0)*(1+_11・A深夜)),0)*_11・初任),0)+ROUND((ROUND((ROUND((_11_B家事１．０＿０．５*_11・重度研修),0)*(1+_11・B早朝)),0)*_11・初任),0)</f>
        <v>247</v>
      </c>
      <c r="X41" s="48"/>
    </row>
    <row r="42" spans="1:24" ht="16.5" customHeight="1" x14ac:dyDescent="0.15">
      <c r="A42" s="41">
        <v>11</v>
      </c>
      <c r="B42" s="41" t="s">
        <v>12315</v>
      </c>
      <c r="C42" s="74" t="s">
        <v>12316</v>
      </c>
      <c r="D42" s="100">
        <f>_11_A家事１．０</f>
        <v>196</v>
      </c>
      <c r="E42" s="12" t="s">
        <v>392</v>
      </c>
      <c r="F42" s="100">
        <f>_11_B家事１．０＿０．５</f>
        <v>78</v>
      </c>
      <c r="G42" s="12" t="s">
        <v>392</v>
      </c>
      <c r="H42" s="35"/>
      <c r="I42" s="16"/>
      <c r="K42" s="44" t="s">
        <v>397</v>
      </c>
      <c r="L42" s="218" t="s">
        <v>398</v>
      </c>
      <c r="M42" s="189">
        <v>1</v>
      </c>
      <c r="N42" s="35"/>
      <c r="Q42" s="35"/>
      <c r="T42" s="808"/>
      <c r="U42" s="220"/>
      <c r="V42" s="38"/>
      <c r="W42" s="208">
        <f>ROUND((ROUND((ROUND((ROUND((_11_A家事１．０*_11・重度研修),0)*_11・２人),0)*(1+_11・A深夜)),0)*_11・初任),0)+ROUND((ROUND((ROUND((ROUND((_11_B家事１．０＿０．５*_11・重度研修),0)*_11・２人),0)*(1+_11・B早朝)),0)*_11・初任),0)</f>
        <v>247</v>
      </c>
      <c r="X42" s="48"/>
    </row>
    <row r="43" spans="1:24" ht="16.5" customHeight="1" x14ac:dyDescent="0.15">
      <c r="A43" s="41">
        <v>11</v>
      </c>
      <c r="B43" s="41">
        <v>8503</v>
      </c>
      <c r="C43" s="74" t="s">
        <v>12317</v>
      </c>
      <c r="D43" s="707" t="s">
        <v>9176</v>
      </c>
      <c r="E43" s="798"/>
      <c r="F43" s="707" t="s">
        <v>9463</v>
      </c>
      <c r="G43" s="798"/>
      <c r="H43" s="35"/>
      <c r="K43" s="163"/>
      <c r="L43" s="45"/>
      <c r="M43" s="46"/>
      <c r="N43" s="35"/>
      <c r="Q43" s="35"/>
      <c r="T43" s="260"/>
      <c r="U43" s="221"/>
      <c r="V43" s="50"/>
      <c r="W43" s="208">
        <f>ROUND((ROUND((_11_A家事１．２５*_11・重度研修),0)*(1+_11・A深夜)),0)+ROUND((ROUND((_11_B家事１．２５＿０．２５*_11・重度研修),0)*(1+_11・B早朝)),0)</f>
        <v>361</v>
      </c>
      <c r="X43" s="48"/>
    </row>
    <row r="44" spans="1:24" ht="16.5" customHeight="1" x14ac:dyDescent="0.15">
      <c r="A44" s="41">
        <v>11</v>
      </c>
      <c r="B44" s="41">
        <v>8504</v>
      </c>
      <c r="C44" s="74" t="s">
        <v>12318</v>
      </c>
      <c r="D44" s="799"/>
      <c r="E44" s="796"/>
      <c r="F44" s="799"/>
      <c r="G44" s="796"/>
      <c r="H44" s="35"/>
      <c r="K44" s="44" t="s">
        <v>397</v>
      </c>
      <c r="L44" s="218" t="s">
        <v>398</v>
      </c>
      <c r="M44" s="189">
        <v>1</v>
      </c>
      <c r="N44" s="35"/>
      <c r="Q44" s="35"/>
      <c r="T44" s="180"/>
      <c r="U44" s="216"/>
      <c r="V44" s="38"/>
      <c r="W44" s="208">
        <f>ROUND((ROUND((ROUND((_11_A家事１．２５*_11・重度研修),0)*_11・２人),0)*(1+_11・A深夜)),0)+ROUND((ROUND((ROUND((_11_B家事１．２５＿０．２５*_11・重度研修),0)*_11・２人),0)*(1+_11・B早朝)),0)</f>
        <v>361</v>
      </c>
      <c r="X44" s="48"/>
    </row>
    <row r="45" spans="1:24" ht="16.5" customHeight="1" x14ac:dyDescent="0.15">
      <c r="A45" s="41">
        <v>11</v>
      </c>
      <c r="B45" s="41" t="s">
        <v>12319</v>
      </c>
      <c r="C45" s="74" t="s">
        <v>12320</v>
      </c>
      <c r="D45" s="799"/>
      <c r="E45" s="796"/>
      <c r="F45" s="799"/>
      <c r="G45" s="796"/>
      <c r="H45" s="35"/>
      <c r="K45" s="163"/>
      <c r="L45" s="45"/>
      <c r="M45" s="46"/>
      <c r="N45" s="35"/>
      <c r="Q45" s="35"/>
      <c r="T45" s="807" t="s">
        <v>404</v>
      </c>
      <c r="U45" s="219" t="s">
        <v>398</v>
      </c>
      <c r="V45" s="50">
        <f>_11・初任</f>
        <v>0.7</v>
      </c>
      <c r="W45" s="208">
        <f>ROUND((ROUND((ROUND((_11_A家事１．２５*_11・重度研修),0)*(1+_11・A深夜)),0)*_11・初任),0)+ROUND((ROUND((ROUND((_11_B家事１．２５＿０．２５*_11・重度研修),0)*(1+_11・B早朝)),0)*_11・初任),0)</f>
        <v>253</v>
      </c>
      <c r="X45" s="48"/>
    </row>
    <row r="46" spans="1:24" ht="16.5" customHeight="1" x14ac:dyDescent="0.15">
      <c r="A46" s="41">
        <v>11</v>
      </c>
      <c r="B46" s="41" t="s">
        <v>12321</v>
      </c>
      <c r="C46" s="74" t="s">
        <v>12322</v>
      </c>
      <c r="D46" s="165">
        <f>_11_A家事１．２５</f>
        <v>238</v>
      </c>
      <c r="E46" s="37" t="s">
        <v>392</v>
      </c>
      <c r="F46" s="165">
        <f>_11_B家事１．２５＿０．２５</f>
        <v>36</v>
      </c>
      <c r="G46" s="37" t="s">
        <v>392</v>
      </c>
      <c r="H46" s="43"/>
      <c r="I46" s="37"/>
      <c r="J46" s="38"/>
      <c r="K46" s="44" t="s">
        <v>397</v>
      </c>
      <c r="L46" s="218" t="s">
        <v>398</v>
      </c>
      <c r="M46" s="189">
        <v>1</v>
      </c>
      <c r="N46" s="43"/>
      <c r="O46" s="37"/>
      <c r="P46" s="38"/>
      <c r="Q46" s="43"/>
      <c r="R46" s="37"/>
      <c r="S46" s="38"/>
      <c r="T46" s="808"/>
      <c r="U46" s="220"/>
      <c r="V46" s="38"/>
      <c r="W46" s="208">
        <f>ROUND((ROUND((ROUND((ROUND((_11_A家事１．２５*_11・重度研修),0)*_11・２人),0)*(1+_11・A深夜)),0)*_11・初任),0)+ROUND((ROUND((ROUND((ROUND((_11_B家事１．２５＿０．２５*_11・重度研修),0)*_11・２人),0)*(1+_11・B早朝)),0)*_11・初任),0)</f>
        <v>253</v>
      </c>
      <c r="X46" s="63"/>
    </row>
    <row r="47" spans="1:24" ht="16.5" customHeight="1" x14ac:dyDescent="0.15"/>
    <row r="48" spans="1:24" ht="16.5" customHeight="1" x14ac:dyDescent="0.15"/>
    <row r="49" ht="16.5" customHeight="1" x14ac:dyDescent="0.15"/>
  </sheetData>
  <mergeCells count="28">
    <mergeCell ref="D43:E45"/>
    <mergeCell ref="F43:G45"/>
    <mergeCell ref="T45:T46"/>
    <mergeCell ref="D35:E37"/>
    <mergeCell ref="F35:G37"/>
    <mergeCell ref="T37:T38"/>
    <mergeCell ref="D39:E41"/>
    <mergeCell ref="F39:G41"/>
    <mergeCell ref="T41:T42"/>
    <mergeCell ref="D23:E25"/>
    <mergeCell ref="F23:G25"/>
    <mergeCell ref="T25:T26"/>
    <mergeCell ref="F27:G29"/>
    <mergeCell ref="T29:T30"/>
    <mergeCell ref="F31:G33"/>
    <mergeCell ref="T33:T34"/>
    <mergeCell ref="F11:G13"/>
    <mergeCell ref="T13:T14"/>
    <mergeCell ref="F15:G17"/>
    <mergeCell ref="T17:T18"/>
    <mergeCell ref="F19:G21"/>
    <mergeCell ref="T21:T22"/>
    <mergeCell ref="T9:T10"/>
    <mergeCell ref="D7:E9"/>
    <mergeCell ref="F7:G9"/>
    <mergeCell ref="H7:J9"/>
    <mergeCell ref="P8:P9"/>
    <mergeCell ref="S8:S9"/>
  </mergeCells>
  <phoneticPr fontId="1"/>
  <printOptions horizontalCentered="1"/>
  <pageMargins left="0.70866141732283472" right="0.70866141732283472" top="0.74803149606299213" bottom="0.74803149606299213" header="0.31496062992125984" footer="0.31496062992125984"/>
  <pageSetup paperSize="9" scale="50" fitToHeight="0" orientation="portrait" r:id="rId1"/>
  <headerFooter>
    <oddHeader>&amp;R&amp;"ＭＳ Ｐゴシック"&amp;9居宅介護</oddHeader>
    <oddFooter>&amp;C&amp;"ＭＳ Ｐゴシック"&amp;14&amp;P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4">
    <pageSetUpPr fitToPage="1"/>
  </sheetPr>
  <dimension ref="A1:U49"/>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0" style="10" bestFit="1" customWidth="1"/>
    <col min="4" max="4" width="4.875" style="10" customWidth="1"/>
    <col min="5" max="5" width="4.875" style="12" customWidth="1"/>
    <col min="6" max="6" width="4.875" style="10" customWidth="1"/>
    <col min="7" max="7" width="4.875" style="12" customWidth="1"/>
    <col min="8" max="8" width="3.125" style="12" customWidth="1"/>
    <col min="9" max="9" width="2.5" style="12" customWidth="1"/>
    <col min="10" max="10" width="4.5" style="13" bestFit="1" customWidth="1"/>
    <col min="11" max="11" width="24.125" style="12" bestFit="1" customWidth="1"/>
    <col min="12" max="12" width="2.5" style="12" customWidth="1"/>
    <col min="13" max="13" width="5.5" style="13" bestFit="1" customWidth="1"/>
    <col min="14" max="14" width="2.5" style="12" customWidth="1"/>
    <col min="15" max="15" width="3.875" style="12" customWidth="1"/>
    <col min="16" max="16" width="4.5" style="13" bestFit="1" customWidth="1"/>
    <col min="17" max="17" width="17.875" style="12" customWidth="1"/>
    <col min="18" max="18" width="2.5" style="16" customWidth="1"/>
    <col min="19" max="19" width="4.5" style="13" bestFit="1" customWidth="1"/>
    <col min="20" max="20" width="7.125" style="206" customWidth="1"/>
    <col min="21" max="21" width="8.5" style="16" customWidth="1"/>
    <col min="22" max="16384" width="8.875" style="12"/>
  </cols>
  <sheetData>
    <row r="1" spans="1:21" ht="17.100000000000001" customHeight="1" x14ac:dyDescent="0.15"/>
    <row r="2" spans="1:21" ht="17.100000000000001" customHeight="1" x14ac:dyDescent="0.15"/>
    <row r="3" spans="1:21" ht="17.100000000000001" customHeight="1" x14ac:dyDescent="0.15"/>
    <row r="4" spans="1:21" ht="17.100000000000001" customHeight="1" x14ac:dyDescent="0.15">
      <c r="B4" s="17" t="s">
        <v>12323</v>
      </c>
      <c r="D4" s="71"/>
    </row>
    <row r="5" spans="1:21" ht="16.5" customHeight="1" x14ac:dyDescent="0.15">
      <c r="A5" s="19" t="s">
        <v>384</v>
      </c>
      <c r="B5" s="20"/>
      <c r="C5" s="21" t="s">
        <v>385</v>
      </c>
      <c r="D5" s="23" t="s">
        <v>12324</v>
      </c>
      <c r="E5" s="23"/>
      <c r="F5" s="23"/>
      <c r="G5" s="23"/>
      <c r="H5" s="23"/>
      <c r="I5" s="23"/>
      <c r="J5" s="24"/>
      <c r="K5" s="23"/>
      <c r="L5" s="23"/>
      <c r="M5" s="24"/>
      <c r="N5" s="23"/>
      <c r="O5" s="23"/>
      <c r="P5" s="24"/>
      <c r="Q5" s="23"/>
      <c r="R5" s="23"/>
      <c r="S5" s="24"/>
      <c r="T5" s="21" t="s">
        <v>387</v>
      </c>
      <c r="U5" s="21" t="s">
        <v>388</v>
      </c>
    </row>
    <row r="6" spans="1:21" ht="16.5" customHeight="1" x14ac:dyDescent="0.15">
      <c r="A6" s="26" t="s">
        <v>389</v>
      </c>
      <c r="B6" s="26" t="s">
        <v>390</v>
      </c>
      <c r="C6" s="27"/>
      <c r="D6" s="87" t="s">
        <v>1032</v>
      </c>
      <c r="E6" s="20"/>
      <c r="F6" s="29"/>
      <c r="G6" s="29"/>
      <c r="H6" s="29"/>
      <c r="I6" s="29"/>
      <c r="J6" s="30"/>
      <c r="K6" s="29"/>
      <c r="L6" s="29"/>
      <c r="M6" s="30"/>
      <c r="N6" s="29"/>
      <c r="O6" s="29"/>
      <c r="P6" s="30"/>
      <c r="Q6" s="29"/>
      <c r="R6" s="214"/>
      <c r="S6" s="30"/>
      <c r="T6" s="32" t="s">
        <v>391</v>
      </c>
      <c r="U6" s="32" t="s">
        <v>392</v>
      </c>
    </row>
    <row r="7" spans="1:21" ht="16.5" customHeight="1" x14ac:dyDescent="0.15">
      <c r="A7" s="33">
        <v>11</v>
      </c>
      <c r="B7" s="33">
        <v>8505</v>
      </c>
      <c r="C7" s="34" t="s">
        <v>12325</v>
      </c>
      <c r="D7" s="709" t="s">
        <v>673</v>
      </c>
      <c r="E7" s="796"/>
      <c r="F7" s="709" t="s">
        <v>9588</v>
      </c>
      <c r="G7" s="796"/>
      <c r="H7" s="801" t="s">
        <v>11707</v>
      </c>
      <c r="I7" s="797"/>
      <c r="J7" s="796"/>
      <c r="K7" s="43"/>
      <c r="L7" s="37"/>
      <c r="M7" s="38"/>
      <c r="N7" s="72" t="s">
        <v>1227</v>
      </c>
      <c r="Q7" s="35"/>
      <c r="T7" s="207">
        <f>ROUND((ROUND((_11_A家事０．５*_11・重度研修),0)*(1+_11・A早朝)),0)+ROUND((_11_B家事０．５＿０．２５*_11・重度研修),0)</f>
        <v>161</v>
      </c>
      <c r="U7" s="40" t="s">
        <v>395</v>
      </c>
    </row>
    <row r="8" spans="1:21" ht="16.5" customHeight="1" x14ac:dyDescent="0.15">
      <c r="A8" s="41">
        <v>11</v>
      </c>
      <c r="B8" s="41">
        <v>8506</v>
      </c>
      <c r="C8" s="74" t="s">
        <v>12326</v>
      </c>
      <c r="D8" s="799"/>
      <c r="E8" s="796"/>
      <c r="F8" s="799"/>
      <c r="G8" s="796"/>
      <c r="H8" s="799"/>
      <c r="I8" s="797"/>
      <c r="J8" s="797"/>
      <c r="K8" s="44" t="s">
        <v>397</v>
      </c>
      <c r="L8" s="218" t="s">
        <v>398</v>
      </c>
      <c r="M8" s="189">
        <v>1</v>
      </c>
      <c r="N8" s="257" t="s">
        <v>398</v>
      </c>
      <c r="O8" s="13">
        <v>0.25</v>
      </c>
      <c r="P8" s="704" t="s">
        <v>676</v>
      </c>
      <c r="Q8" s="43"/>
      <c r="R8" s="216"/>
      <c r="S8" s="38"/>
      <c r="T8" s="208">
        <f>ROUND((ROUND((ROUND((_11_A家事０．５*_11・重度研修),0)*_11・２人),0)*(1+_11・A早朝)),0)+ROUND((ROUND((_11_B家事０．５＿０．２５*_11・重度研修),0)*_11・２人),0)</f>
        <v>161</v>
      </c>
      <c r="U8" s="48"/>
    </row>
    <row r="9" spans="1:21" ht="16.5" customHeight="1" x14ac:dyDescent="0.15">
      <c r="A9" s="41">
        <v>11</v>
      </c>
      <c r="B9" s="41" t="s">
        <v>12327</v>
      </c>
      <c r="C9" s="74" t="s">
        <v>12328</v>
      </c>
      <c r="D9" s="799"/>
      <c r="E9" s="796"/>
      <c r="F9" s="799"/>
      <c r="G9" s="796"/>
      <c r="H9" s="799"/>
      <c r="I9" s="797"/>
      <c r="J9" s="796"/>
      <c r="K9" s="163"/>
      <c r="L9" s="45"/>
      <c r="M9" s="46"/>
      <c r="N9" s="35"/>
      <c r="P9" s="797"/>
      <c r="Q9" s="734" t="s">
        <v>404</v>
      </c>
      <c r="R9" s="219" t="s">
        <v>398</v>
      </c>
      <c r="S9" s="50">
        <f>_11・初任</f>
        <v>0.7</v>
      </c>
      <c r="T9" s="208">
        <f>ROUND((ROUND((ROUND((_11_A家事０．５*_11・重度研修),0)*(1+_11・A早朝)),0)*_11・初任),0)+ROUND((ROUND((_11_B家事０．５＿０．２５*_11・重度研修),0)*_11・初任),0)</f>
        <v>112</v>
      </c>
      <c r="U9" s="48"/>
    </row>
    <row r="10" spans="1:21" ht="16.5" customHeight="1" x14ac:dyDescent="0.15">
      <c r="A10" s="41">
        <v>11</v>
      </c>
      <c r="B10" s="41" t="s">
        <v>12329</v>
      </c>
      <c r="C10" s="74" t="s">
        <v>12330</v>
      </c>
      <c r="D10" s="100">
        <f>_11_A家事０．５</f>
        <v>105</v>
      </c>
      <c r="E10" s="12" t="s">
        <v>392</v>
      </c>
      <c r="F10" s="100">
        <f>_11_B家事０．５＿０．２５</f>
        <v>47</v>
      </c>
      <c r="G10" s="12" t="s">
        <v>392</v>
      </c>
      <c r="H10" s="35"/>
      <c r="I10" s="16" t="s">
        <v>398</v>
      </c>
      <c r="J10" s="13">
        <v>0.9</v>
      </c>
      <c r="K10" s="44" t="s">
        <v>397</v>
      </c>
      <c r="L10" s="218" t="s">
        <v>398</v>
      </c>
      <c r="M10" s="189">
        <v>1</v>
      </c>
      <c r="N10" s="35"/>
      <c r="Q10" s="706"/>
      <c r="R10" s="220"/>
      <c r="S10" s="38"/>
      <c r="T10" s="208">
        <f>ROUND((ROUND((ROUND((ROUND((_11_A家事０．５*_11・重度研修),0)*_11・２人),0)*(1+_11・A早朝)),0)*_11・初任),0)+ROUND((ROUND((ROUND((_11_B家事０．５＿０．２５*_11・重度研修),0)*_11・２人),0)*_11・初任),0)</f>
        <v>112</v>
      </c>
      <c r="U10" s="48"/>
    </row>
    <row r="11" spans="1:21" ht="16.5" customHeight="1" x14ac:dyDescent="0.15">
      <c r="A11" s="41">
        <v>11</v>
      </c>
      <c r="B11" s="41">
        <v>8507</v>
      </c>
      <c r="C11" s="74" t="s">
        <v>12331</v>
      </c>
      <c r="D11" s="72"/>
      <c r="F11" s="707" t="s">
        <v>9601</v>
      </c>
      <c r="G11" s="798"/>
      <c r="H11" s="35"/>
      <c r="K11" s="163"/>
      <c r="L11" s="45"/>
      <c r="M11" s="46"/>
      <c r="N11" s="35"/>
      <c r="Q11" s="53"/>
      <c r="R11" s="221"/>
      <c r="S11" s="50"/>
      <c r="T11" s="208">
        <f>ROUND((ROUND((_11_A家事０．５*_11・重度研修),0)*(1+_11・A早朝)),0)+ROUND((_11_B家事０．５＿０．５*_11・重度研修),0)</f>
        <v>201</v>
      </c>
      <c r="U11" s="48"/>
    </row>
    <row r="12" spans="1:21" ht="16.5" customHeight="1" x14ac:dyDescent="0.15">
      <c r="A12" s="41">
        <v>11</v>
      </c>
      <c r="B12" s="41">
        <v>8508</v>
      </c>
      <c r="C12" s="74" t="s">
        <v>12332</v>
      </c>
      <c r="D12" s="72"/>
      <c r="F12" s="799"/>
      <c r="G12" s="796"/>
      <c r="H12" s="35"/>
      <c r="K12" s="44" t="s">
        <v>397</v>
      </c>
      <c r="L12" s="218" t="s">
        <v>398</v>
      </c>
      <c r="M12" s="189">
        <v>1</v>
      </c>
      <c r="N12" s="35"/>
      <c r="Q12" s="43"/>
      <c r="R12" s="216"/>
      <c r="S12" s="38"/>
      <c r="T12" s="208">
        <f>ROUND((ROUND((ROUND((_11_A家事０．５*_11・重度研修),0)*_11・２人),0)*(1+_11・A早朝)),0)+ROUND((ROUND((_11_B家事０．５＿０．５*_11・重度研修),0)*_11・２人),0)</f>
        <v>201</v>
      </c>
      <c r="U12" s="48"/>
    </row>
    <row r="13" spans="1:21" ht="16.5" customHeight="1" x14ac:dyDescent="0.15">
      <c r="A13" s="41">
        <v>11</v>
      </c>
      <c r="B13" s="41" t="s">
        <v>12333</v>
      </c>
      <c r="C13" s="74" t="s">
        <v>12334</v>
      </c>
      <c r="D13" s="72"/>
      <c r="F13" s="799"/>
      <c r="G13" s="796"/>
      <c r="H13" s="35"/>
      <c r="K13" s="163"/>
      <c r="L13" s="45"/>
      <c r="M13" s="46"/>
      <c r="N13" s="35"/>
      <c r="Q13" s="734" t="s">
        <v>404</v>
      </c>
      <c r="R13" s="219" t="s">
        <v>398</v>
      </c>
      <c r="S13" s="50">
        <f>_11・初任</f>
        <v>0.7</v>
      </c>
      <c r="T13" s="208">
        <f>ROUND((ROUND((ROUND((_11_A家事０．５*_11・重度研修),0)*(1+_11・A早朝)),0)*_11・初任),0)+ROUND((ROUND((_11_B家事０．５＿０．５*_11・重度研修),0)*_11・初任),0)</f>
        <v>140</v>
      </c>
      <c r="U13" s="48"/>
    </row>
    <row r="14" spans="1:21" ht="16.5" customHeight="1" x14ac:dyDescent="0.15">
      <c r="A14" s="41">
        <v>11</v>
      </c>
      <c r="B14" s="41" t="s">
        <v>12335</v>
      </c>
      <c r="C14" s="74" t="s">
        <v>12336</v>
      </c>
      <c r="D14" s="72"/>
      <c r="F14" s="100">
        <f>_11_B家事０．５＿０．５</f>
        <v>91</v>
      </c>
      <c r="G14" s="12" t="s">
        <v>392</v>
      </c>
      <c r="H14" s="35"/>
      <c r="K14" s="44" t="s">
        <v>397</v>
      </c>
      <c r="L14" s="218" t="s">
        <v>398</v>
      </c>
      <c r="M14" s="189">
        <v>1</v>
      </c>
      <c r="N14" s="35"/>
      <c r="Q14" s="706"/>
      <c r="R14" s="220"/>
      <c r="S14" s="38"/>
      <c r="T14" s="208">
        <f>ROUND((ROUND((ROUND((ROUND((_11_A家事０．５*_11・重度研修),0)*_11・２人),0)*(1+_11・A早朝)),0)*_11・初任),0)+ROUND((ROUND((ROUND((_11_B家事０．５＿０．５*_11・重度研修),0)*_11・２人),0)*_11・初任),0)</f>
        <v>140</v>
      </c>
      <c r="U14" s="48"/>
    </row>
    <row r="15" spans="1:21" ht="16.5" customHeight="1" x14ac:dyDescent="0.15">
      <c r="A15" s="41">
        <v>11</v>
      </c>
      <c r="B15" s="41">
        <v>8509</v>
      </c>
      <c r="C15" s="74" t="s">
        <v>12337</v>
      </c>
      <c r="D15" s="72"/>
      <c r="F15" s="707" t="s">
        <v>9614</v>
      </c>
      <c r="G15" s="798"/>
      <c r="H15" s="35"/>
      <c r="K15" s="163"/>
      <c r="L15" s="45"/>
      <c r="M15" s="46"/>
      <c r="N15" s="35"/>
      <c r="Q15" s="53"/>
      <c r="R15" s="221"/>
      <c r="S15" s="50"/>
      <c r="T15" s="208">
        <f>ROUND((ROUND((_11_A家事０．５*_11・重度研修),0)*(1+_11・A早朝)),0)+ROUND((_11_B家事０．５＿０．７５*_11・重度研修),0)</f>
        <v>239</v>
      </c>
      <c r="U15" s="48"/>
    </row>
    <row r="16" spans="1:21" ht="16.5" customHeight="1" x14ac:dyDescent="0.15">
      <c r="A16" s="41">
        <v>11</v>
      </c>
      <c r="B16" s="41">
        <v>8510</v>
      </c>
      <c r="C16" s="74" t="s">
        <v>12338</v>
      </c>
      <c r="D16" s="72"/>
      <c r="F16" s="799"/>
      <c r="G16" s="796"/>
      <c r="H16" s="35"/>
      <c r="K16" s="44" t="s">
        <v>397</v>
      </c>
      <c r="L16" s="218" t="s">
        <v>398</v>
      </c>
      <c r="M16" s="189">
        <v>1</v>
      </c>
      <c r="N16" s="35"/>
      <c r="Q16" s="43"/>
      <c r="R16" s="216"/>
      <c r="S16" s="38"/>
      <c r="T16" s="208">
        <f>ROUND((ROUND((ROUND((_11_A家事０．５*_11・重度研修),0)*_11・２人),0)*(1+_11・A早朝)),0)+ROUND((ROUND((_11_B家事０．５＿０．７５*_11・重度研修),0)*_11・２人),0)</f>
        <v>239</v>
      </c>
      <c r="U16" s="48"/>
    </row>
    <row r="17" spans="1:21" ht="16.5" customHeight="1" x14ac:dyDescent="0.15">
      <c r="A17" s="41">
        <v>11</v>
      </c>
      <c r="B17" s="41" t="s">
        <v>12339</v>
      </c>
      <c r="C17" s="74" t="s">
        <v>12340</v>
      </c>
      <c r="D17" s="72"/>
      <c r="F17" s="799"/>
      <c r="G17" s="796"/>
      <c r="H17" s="35"/>
      <c r="K17" s="163"/>
      <c r="L17" s="45"/>
      <c r="M17" s="46"/>
      <c r="N17" s="35"/>
      <c r="Q17" s="734" t="s">
        <v>404</v>
      </c>
      <c r="R17" s="219" t="s">
        <v>398</v>
      </c>
      <c r="S17" s="50">
        <f>_11・初任</f>
        <v>0.7</v>
      </c>
      <c r="T17" s="208">
        <f>ROUND((ROUND((ROUND((_11_A家事０．５*_11・重度研修),0)*(1+_11・A早朝)),0)*_11・初任),0)+ROUND((ROUND((_11_B家事０．５＿０．７５*_11・重度研修),0)*_11・初任),0)</f>
        <v>167</v>
      </c>
      <c r="U17" s="48"/>
    </row>
    <row r="18" spans="1:21" ht="16.5" customHeight="1" x14ac:dyDescent="0.15">
      <c r="A18" s="41">
        <v>11</v>
      </c>
      <c r="B18" s="41" t="s">
        <v>12341</v>
      </c>
      <c r="C18" s="74" t="s">
        <v>12342</v>
      </c>
      <c r="D18" s="72"/>
      <c r="F18" s="100">
        <f>_11_B家事０．５＿０．７５</f>
        <v>133</v>
      </c>
      <c r="G18" s="12" t="s">
        <v>392</v>
      </c>
      <c r="H18" s="35"/>
      <c r="K18" s="44" t="s">
        <v>397</v>
      </c>
      <c r="L18" s="218" t="s">
        <v>398</v>
      </c>
      <c r="M18" s="189">
        <v>1</v>
      </c>
      <c r="N18" s="35"/>
      <c r="Q18" s="706"/>
      <c r="R18" s="220"/>
      <c r="S18" s="38"/>
      <c r="T18" s="208">
        <f>ROUND((ROUND((ROUND((ROUND((_11_A家事０．５*_11・重度研修),0)*_11・２人),0)*(1+_11・A早朝)),0)*_11・初任),0)+ROUND((ROUND((ROUND((_11_B家事０．５＿０．７５*_11・重度研修),0)*_11・２人),0)*_11・初任),0)</f>
        <v>167</v>
      </c>
      <c r="U18" s="48"/>
    </row>
    <row r="19" spans="1:21" ht="16.5" customHeight="1" x14ac:dyDescent="0.15">
      <c r="A19" s="41">
        <v>11</v>
      </c>
      <c r="B19" s="41">
        <v>8511</v>
      </c>
      <c r="C19" s="74" t="s">
        <v>12343</v>
      </c>
      <c r="D19" s="72"/>
      <c r="F19" s="707" t="s">
        <v>9627</v>
      </c>
      <c r="G19" s="798"/>
      <c r="H19" s="35"/>
      <c r="K19" s="163"/>
      <c r="L19" s="45"/>
      <c r="M19" s="46"/>
      <c r="N19" s="35"/>
      <c r="Q19" s="53"/>
      <c r="R19" s="221"/>
      <c r="S19" s="50"/>
      <c r="T19" s="208">
        <f>ROUND((ROUND((_11_A家事０．５*_11・重度研修),0)*(1+_11・A早朝)),0)+ROUND((_11_B家事０．５＿１．０*_11・重度研修),0)</f>
        <v>271</v>
      </c>
      <c r="U19" s="48"/>
    </row>
    <row r="20" spans="1:21" ht="16.5" customHeight="1" x14ac:dyDescent="0.15">
      <c r="A20" s="41">
        <v>11</v>
      </c>
      <c r="B20" s="41">
        <v>8512</v>
      </c>
      <c r="C20" s="74" t="s">
        <v>12344</v>
      </c>
      <c r="D20" s="72"/>
      <c r="F20" s="799"/>
      <c r="G20" s="796"/>
      <c r="H20" s="35"/>
      <c r="K20" s="44" t="s">
        <v>397</v>
      </c>
      <c r="L20" s="218" t="s">
        <v>398</v>
      </c>
      <c r="M20" s="189">
        <v>1</v>
      </c>
      <c r="N20" s="35"/>
      <c r="Q20" s="43"/>
      <c r="R20" s="216"/>
      <c r="S20" s="38"/>
      <c r="T20" s="208">
        <f>ROUND((ROUND((ROUND((_11_A家事０．５*_11・重度研修),0)*_11・２人),0)*(1+_11・A早朝)),0)+ROUND((ROUND((_11_B家事０．５＿１．０*_11・重度研修),0)*_11・２人),0)</f>
        <v>271</v>
      </c>
      <c r="U20" s="48"/>
    </row>
    <row r="21" spans="1:21" ht="16.5" customHeight="1" x14ac:dyDescent="0.15">
      <c r="A21" s="41">
        <v>11</v>
      </c>
      <c r="B21" s="41" t="s">
        <v>12345</v>
      </c>
      <c r="C21" s="74" t="s">
        <v>12346</v>
      </c>
      <c r="D21" s="72"/>
      <c r="F21" s="799"/>
      <c r="G21" s="796"/>
      <c r="H21" s="35"/>
      <c r="K21" s="163"/>
      <c r="L21" s="45"/>
      <c r="M21" s="46"/>
      <c r="N21" s="35"/>
      <c r="Q21" s="734" t="s">
        <v>404</v>
      </c>
      <c r="R21" s="219" t="s">
        <v>398</v>
      </c>
      <c r="S21" s="50">
        <f>_11・初任</f>
        <v>0.7</v>
      </c>
      <c r="T21" s="208">
        <f>ROUND((ROUND((ROUND((_11_A家事０．５*_11・重度研修),0)*(1+_11・A早朝)),0)*_11・初任),0)+ROUND((ROUND((_11_B家事０．５＿１．０*_11・重度研修),0)*_11・初任),0)</f>
        <v>189</v>
      </c>
      <c r="U21" s="48"/>
    </row>
    <row r="22" spans="1:21" ht="16.5" customHeight="1" x14ac:dyDescent="0.15">
      <c r="A22" s="41">
        <v>11</v>
      </c>
      <c r="B22" s="41" t="s">
        <v>12347</v>
      </c>
      <c r="C22" s="74" t="s">
        <v>12348</v>
      </c>
      <c r="D22" s="72"/>
      <c r="F22" s="100">
        <f>_11_B家事０．５＿１．０</f>
        <v>169</v>
      </c>
      <c r="G22" s="12" t="s">
        <v>392</v>
      </c>
      <c r="H22" s="35"/>
      <c r="K22" s="44" t="s">
        <v>397</v>
      </c>
      <c r="L22" s="218" t="s">
        <v>398</v>
      </c>
      <c r="M22" s="189">
        <v>1</v>
      </c>
      <c r="N22" s="35"/>
      <c r="Q22" s="706"/>
      <c r="R22" s="220"/>
      <c r="S22" s="38"/>
      <c r="T22" s="208">
        <f>ROUND((ROUND((ROUND((ROUND((_11_A家事０．５*_11・重度研修),0)*_11・２人),0)*(1+_11・A早朝)),0)*_11・初任),0)+ROUND((ROUND((ROUND((_11_B家事０．５＿１．０*_11・重度研修),0)*_11・２人),0)*_11・初任),0)</f>
        <v>189</v>
      </c>
      <c r="U22" s="48"/>
    </row>
    <row r="23" spans="1:21" ht="16.5" customHeight="1" x14ac:dyDescent="0.15">
      <c r="A23" s="41">
        <v>11</v>
      </c>
      <c r="B23" s="41">
        <v>8513</v>
      </c>
      <c r="C23" s="74" t="s">
        <v>12349</v>
      </c>
      <c r="D23" s="707" t="s">
        <v>8812</v>
      </c>
      <c r="E23" s="798"/>
      <c r="F23" s="707" t="s">
        <v>9588</v>
      </c>
      <c r="G23" s="798"/>
      <c r="H23" s="35"/>
      <c r="K23" s="163"/>
      <c r="L23" s="45"/>
      <c r="M23" s="46"/>
      <c r="N23" s="35"/>
      <c r="Q23" s="53"/>
      <c r="R23" s="221"/>
      <c r="S23" s="50"/>
      <c r="T23" s="208">
        <f>ROUND((ROUND((_11_A家事０．７５*_11・重度研修),0)*(1+_11・A早朝)),0)+ROUND((_11_B家事０．７５＿０．２５*_11・重度研修),0)</f>
        <v>211</v>
      </c>
      <c r="U23" s="48"/>
    </row>
    <row r="24" spans="1:21" ht="16.5" customHeight="1" x14ac:dyDescent="0.15">
      <c r="A24" s="41">
        <v>11</v>
      </c>
      <c r="B24" s="41">
        <v>8514</v>
      </c>
      <c r="C24" s="74" t="s">
        <v>12350</v>
      </c>
      <c r="D24" s="799"/>
      <c r="E24" s="796"/>
      <c r="F24" s="799"/>
      <c r="G24" s="796"/>
      <c r="H24" s="35"/>
      <c r="K24" s="44" t="s">
        <v>397</v>
      </c>
      <c r="L24" s="218" t="s">
        <v>398</v>
      </c>
      <c r="M24" s="189">
        <v>1</v>
      </c>
      <c r="N24" s="35"/>
      <c r="Q24" s="43"/>
      <c r="R24" s="216"/>
      <c r="S24" s="38"/>
      <c r="T24" s="208">
        <f>ROUND((ROUND((ROUND((_11_A家事０．７５*_11・重度研修),0)*_11・２人),0)*(1+_11・A早朝)),0)+ROUND((ROUND((_11_B家事０．７５＿０．２５*_11・重度研修),0)*_11・２人),0)</f>
        <v>211</v>
      </c>
      <c r="U24" s="48"/>
    </row>
    <row r="25" spans="1:21" ht="16.5" customHeight="1" x14ac:dyDescent="0.15">
      <c r="A25" s="41">
        <v>11</v>
      </c>
      <c r="B25" s="41" t="s">
        <v>12351</v>
      </c>
      <c r="C25" s="74" t="s">
        <v>12352</v>
      </c>
      <c r="D25" s="799"/>
      <c r="E25" s="796"/>
      <c r="F25" s="799"/>
      <c r="G25" s="796"/>
      <c r="H25" s="35"/>
      <c r="K25" s="163"/>
      <c r="L25" s="45"/>
      <c r="M25" s="46"/>
      <c r="N25" s="35"/>
      <c r="Q25" s="734" t="s">
        <v>404</v>
      </c>
      <c r="R25" s="219" t="s">
        <v>398</v>
      </c>
      <c r="S25" s="50">
        <f>_11・初任</f>
        <v>0.7</v>
      </c>
      <c r="T25" s="208">
        <f>ROUND((ROUND((ROUND((_11_A家事０．７５*_11・重度研修),0)*(1+_11・A早朝)),0)*_11・初任),0)+ROUND((ROUND((_11_B家事０．７５＿０．２５*_11・重度研修),0)*_11・初任),0)</f>
        <v>148</v>
      </c>
      <c r="U25" s="48"/>
    </row>
    <row r="26" spans="1:21" ht="16.5" customHeight="1" x14ac:dyDescent="0.15">
      <c r="A26" s="41">
        <v>11</v>
      </c>
      <c r="B26" s="41" t="s">
        <v>12353</v>
      </c>
      <c r="C26" s="74" t="s">
        <v>12354</v>
      </c>
      <c r="D26" s="100">
        <f>_11_A家事０．７５</f>
        <v>152</v>
      </c>
      <c r="E26" s="12" t="s">
        <v>392</v>
      </c>
      <c r="F26" s="100">
        <f>_11_B家事０．７５＿０．２５</f>
        <v>44</v>
      </c>
      <c r="G26" s="12" t="s">
        <v>392</v>
      </c>
      <c r="H26" s="35"/>
      <c r="K26" s="44" t="s">
        <v>397</v>
      </c>
      <c r="L26" s="218" t="s">
        <v>398</v>
      </c>
      <c r="M26" s="189">
        <v>1</v>
      </c>
      <c r="N26" s="35"/>
      <c r="Q26" s="706"/>
      <c r="R26" s="220"/>
      <c r="S26" s="38"/>
      <c r="T26" s="208">
        <f>ROUND((ROUND((ROUND((ROUND((_11_A家事０．７５*_11・重度研修),0)*_11・２人),0)*(1+_11・A早朝)),0)*_11・初任),0)+ROUND((ROUND((ROUND((_11_B家事０．７５＿０．２５*_11・重度研修),0)*_11・２人),0)*_11・初任),0)</f>
        <v>148</v>
      </c>
      <c r="U26" s="48"/>
    </row>
    <row r="27" spans="1:21" ht="16.5" customHeight="1" x14ac:dyDescent="0.15">
      <c r="A27" s="41">
        <v>11</v>
      </c>
      <c r="B27" s="41">
        <v>8515</v>
      </c>
      <c r="C27" s="74" t="s">
        <v>12355</v>
      </c>
      <c r="D27" s="72"/>
      <c r="F27" s="707" t="s">
        <v>9601</v>
      </c>
      <c r="G27" s="798"/>
      <c r="H27" s="35"/>
      <c r="K27" s="163"/>
      <c r="L27" s="45"/>
      <c r="M27" s="46"/>
      <c r="N27" s="35"/>
      <c r="Q27" s="53"/>
      <c r="R27" s="221"/>
      <c r="S27" s="50"/>
      <c r="T27" s="208">
        <f>ROUND((ROUND((_11_A家事０．７５*_11・重度研修),0)*(1+_11・A早朝)),0)+ROUND((_11_B家事０．７５＿０．５*_11・重度研修),0)</f>
        <v>248</v>
      </c>
      <c r="U27" s="48"/>
    </row>
    <row r="28" spans="1:21" ht="16.5" customHeight="1" x14ac:dyDescent="0.15">
      <c r="A28" s="41">
        <v>11</v>
      </c>
      <c r="B28" s="41">
        <v>8516</v>
      </c>
      <c r="C28" s="74" t="s">
        <v>12356</v>
      </c>
      <c r="D28" s="72"/>
      <c r="F28" s="799"/>
      <c r="G28" s="796"/>
      <c r="H28" s="35"/>
      <c r="K28" s="44" t="s">
        <v>397</v>
      </c>
      <c r="L28" s="218" t="s">
        <v>398</v>
      </c>
      <c r="M28" s="189">
        <v>1</v>
      </c>
      <c r="N28" s="35"/>
      <c r="Q28" s="43"/>
      <c r="R28" s="216"/>
      <c r="S28" s="38"/>
      <c r="T28" s="208">
        <f>ROUND((ROUND((ROUND((_11_A家事０．７５*_11・重度研修),0)*_11・２人),0)*(1+_11・A早朝)),0)+ROUND((ROUND((_11_B家事０．７５＿０．５*_11・重度研修),0)*_11・２人),0)</f>
        <v>248</v>
      </c>
      <c r="U28" s="48"/>
    </row>
    <row r="29" spans="1:21" ht="16.5" customHeight="1" x14ac:dyDescent="0.15">
      <c r="A29" s="41">
        <v>11</v>
      </c>
      <c r="B29" s="41" t="s">
        <v>12357</v>
      </c>
      <c r="C29" s="74" t="s">
        <v>12358</v>
      </c>
      <c r="D29" s="72"/>
      <c r="F29" s="799"/>
      <c r="G29" s="796"/>
      <c r="H29" s="35"/>
      <c r="K29" s="163"/>
      <c r="L29" s="45"/>
      <c r="M29" s="46"/>
      <c r="N29" s="35"/>
      <c r="Q29" s="734" t="s">
        <v>404</v>
      </c>
      <c r="R29" s="219" t="s">
        <v>398</v>
      </c>
      <c r="S29" s="50">
        <f>_11・初任</f>
        <v>0.7</v>
      </c>
      <c r="T29" s="208">
        <f>ROUND((ROUND((ROUND((_11_A家事０．７５*_11・重度研修),0)*(1+_11・A早朝)),0)*_11・初任),0)+ROUND((ROUND((_11_B家事０．７５＿０．５*_11・重度研修),0)*_11・初任),0)</f>
        <v>174</v>
      </c>
      <c r="U29" s="48"/>
    </row>
    <row r="30" spans="1:21" ht="16.5" customHeight="1" x14ac:dyDescent="0.15">
      <c r="A30" s="41">
        <v>11</v>
      </c>
      <c r="B30" s="41" t="s">
        <v>12359</v>
      </c>
      <c r="C30" s="74" t="s">
        <v>12360</v>
      </c>
      <c r="D30" s="72"/>
      <c r="F30" s="100">
        <f>_11_B家事０．７５＿０．５</f>
        <v>86</v>
      </c>
      <c r="G30" s="12" t="s">
        <v>392</v>
      </c>
      <c r="H30" s="35"/>
      <c r="K30" s="44" t="s">
        <v>397</v>
      </c>
      <c r="L30" s="218" t="s">
        <v>398</v>
      </c>
      <c r="M30" s="189">
        <v>1</v>
      </c>
      <c r="N30" s="35"/>
      <c r="Q30" s="706"/>
      <c r="R30" s="220"/>
      <c r="S30" s="38"/>
      <c r="T30" s="208">
        <f>ROUND((ROUND((ROUND((ROUND((_11_A家事０．７５*_11・重度研修),0)*_11・２人),0)*(1+_11・A早朝)),0)*_11・初任),0)+ROUND((ROUND((ROUND((_11_B家事０．７５＿０．５*_11・重度研修),0)*_11・２人),0)*_11・初任),0)</f>
        <v>174</v>
      </c>
      <c r="U30" s="48"/>
    </row>
    <row r="31" spans="1:21" ht="16.5" customHeight="1" x14ac:dyDescent="0.15">
      <c r="A31" s="41">
        <v>11</v>
      </c>
      <c r="B31" s="41">
        <v>8517</v>
      </c>
      <c r="C31" s="74" t="s">
        <v>12361</v>
      </c>
      <c r="D31" s="72"/>
      <c r="F31" s="707" t="s">
        <v>9614</v>
      </c>
      <c r="G31" s="798"/>
      <c r="H31" s="35"/>
      <c r="K31" s="163"/>
      <c r="L31" s="45"/>
      <c r="M31" s="46"/>
      <c r="N31" s="35"/>
      <c r="Q31" s="53"/>
      <c r="R31" s="221"/>
      <c r="S31" s="50"/>
      <c r="T31" s="208">
        <f>ROUND((ROUND((_11_A家事０．７５*_11・重度研修),0)*(1+_11・A早朝)),0)+ROUND((_11_B家事０．７５＿０．７５*_11・重度研修),0)</f>
        <v>281</v>
      </c>
      <c r="U31" s="48"/>
    </row>
    <row r="32" spans="1:21" ht="16.5" customHeight="1" x14ac:dyDescent="0.15">
      <c r="A32" s="41">
        <v>11</v>
      </c>
      <c r="B32" s="41">
        <v>8518</v>
      </c>
      <c r="C32" s="74" t="s">
        <v>12362</v>
      </c>
      <c r="D32" s="72"/>
      <c r="F32" s="799"/>
      <c r="G32" s="796"/>
      <c r="H32" s="35"/>
      <c r="K32" s="44" t="s">
        <v>397</v>
      </c>
      <c r="L32" s="218" t="s">
        <v>398</v>
      </c>
      <c r="M32" s="189">
        <v>1</v>
      </c>
      <c r="N32" s="35"/>
      <c r="Q32" s="43"/>
      <c r="R32" s="216"/>
      <c r="S32" s="38"/>
      <c r="T32" s="208">
        <f>ROUND((ROUND((ROUND((_11_A家事０．７５*_11・重度研修),0)*_11・２人),0)*(1+_11・A早朝)),0)+ROUND((ROUND((_11_B家事０．７５＿０．７５*_11・重度研修),0)*_11・２人),0)</f>
        <v>281</v>
      </c>
      <c r="U32" s="48"/>
    </row>
    <row r="33" spans="1:21" ht="16.5" customHeight="1" x14ac:dyDescent="0.15">
      <c r="A33" s="41">
        <v>11</v>
      </c>
      <c r="B33" s="41" t="s">
        <v>12363</v>
      </c>
      <c r="C33" s="74" t="s">
        <v>12364</v>
      </c>
      <c r="D33" s="72"/>
      <c r="F33" s="799"/>
      <c r="G33" s="796"/>
      <c r="H33" s="35"/>
      <c r="K33" s="163"/>
      <c r="L33" s="45"/>
      <c r="M33" s="46"/>
      <c r="N33" s="35"/>
      <c r="Q33" s="734" t="s">
        <v>404</v>
      </c>
      <c r="R33" s="219" t="s">
        <v>398</v>
      </c>
      <c r="S33" s="50">
        <f>_11・初任</f>
        <v>0.7</v>
      </c>
      <c r="T33" s="208">
        <f>ROUND((ROUND((ROUND((_11_A家事０．７５*_11・重度研修),0)*(1+_11・A早朝)),0)*_11・初任),0)+ROUND((ROUND((_11_B家事０．７５＿０．７５*_11・重度研修),0)*_11・初任),0)</f>
        <v>197</v>
      </c>
      <c r="U33" s="48"/>
    </row>
    <row r="34" spans="1:21" ht="16.5" customHeight="1" x14ac:dyDescent="0.15">
      <c r="A34" s="41">
        <v>11</v>
      </c>
      <c r="B34" s="41" t="s">
        <v>12365</v>
      </c>
      <c r="C34" s="74" t="s">
        <v>12366</v>
      </c>
      <c r="D34" s="72"/>
      <c r="F34" s="100">
        <f>_11_B家事０．７５＿０．７５</f>
        <v>122</v>
      </c>
      <c r="G34" s="12" t="s">
        <v>392</v>
      </c>
      <c r="H34" s="35"/>
      <c r="K34" s="44" t="s">
        <v>397</v>
      </c>
      <c r="L34" s="218" t="s">
        <v>398</v>
      </c>
      <c r="M34" s="189">
        <v>1</v>
      </c>
      <c r="N34" s="35"/>
      <c r="Q34" s="706"/>
      <c r="R34" s="220"/>
      <c r="S34" s="38"/>
      <c r="T34" s="208">
        <f>ROUND((ROUND((ROUND((ROUND((_11_A家事０．７５*_11・重度研修),0)*_11・２人),0)*(1+_11・A早朝)),0)*_11・初任),0)+ROUND((ROUND((ROUND((_11_B家事０．７５＿０．７５*_11・重度研修),0)*_11・２人),0)*_11・初任),0)</f>
        <v>197</v>
      </c>
      <c r="U34" s="48"/>
    </row>
    <row r="35" spans="1:21" ht="16.5" customHeight="1" x14ac:dyDescent="0.15">
      <c r="A35" s="41">
        <v>11</v>
      </c>
      <c r="B35" s="41">
        <v>8519</v>
      </c>
      <c r="C35" s="74" t="s">
        <v>12367</v>
      </c>
      <c r="D35" s="707" t="s">
        <v>8825</v>
      </c>
      <c r="E35" s="798"/>
      <c r="F35" s="707" t="s">
        <v>9588</v>
      </c>
      <c r="G35" s="798"/>
      <c r="H35" s="262"/>
      <c r="I35" s="263"/>
      <c r="J35" s="264"/>
      <c r="K35" s="163"/>
      <c r="L35" s="45"/>
      <c r="M35" s="46"/>
      <c r="N35" s="72"/>
      <c r="P35" s="234"/>
      <c r="Q35" s="53"/>
      <c r="R35" s="221"/>
      <c r="S35" s="50"/>
      <c r="T35" s="208">
        <f>ROUND((ROUND((_11_A家事１．０*_11・重度研修),0)*(1+_11・A早朝)),0)+ROUND((_11_B家事１．０＿０．２５*_11・重度研修),0)</f>
        <v>258</v>
      </c>
      <c r="U35" s="48"/>
    </row>
    <row r="36" spans="1:21" ht="16.5" customHeight="1" x14ac:dyDescent="0.15">
      <c r="A36" s="41">
        <v>11</v>
      </c>
      <c r="B36" s="41">
        <v>8520</v>
      </c>
      <c r="C36" s="74" t="s">
        <v>12368</v>
      </c>
      <c r="D36" s="799"/>
      <c r="E36" s="796"/>
      <c r="F36" s="799"/>
      <c r="G36" s="796"/>
      <c r="H36" s="265"/>
      <c r="I36" s="263"/>
      <c r="J36" s="264"/>
      <c r="K36" s="44" t="s">
        <v>397</v>
      </c>
      <c r="L36" s="218" t="s">
        <v>398</v>
      </c>
      <c r="M36" s="189">
        <v>1</v>
      </c>
      <c r="N36" s="257"/>
      <c r="O36" s="13"/>
      <c r="P36" s="106"/>
      <c r="Q36" s="43"/>
      <c r="R36" s="216"/>
      <c r="S36" s="38"/>
      <c r="T36" s="208">
        <f>ROUND((ROUND((ROUND((_11_A家事１．０*_11・重度研修),0)*_11・２人),0)*(1+_11・A早朝)),0)+ROUND((ROUND((_11_B家事１．０＿０．２５*_11・重度研修),0)*_11・２人),0)</f>
        <v>258</v>
      </c>
      <c r="U36" s="48"/>
    </row>
    <row r="37" spans="1:21" ht="16.5" customHeight="1" x14ac:dyDescent="0.15">
      <c r="A37" s="41">
        <v>11</v>
      </c>
      <c r="B37" s="41" t="s">
        <v>12369</v>
      </c>
      <c r="C37" s="74" t="s">
        <v>12370</v>
      </c>
      <c r="D37" s="799"/>
      <c r="E37" s="796"/>
      <c r="F37" s="799"/>
      <c r="G37" s="796"/>
      <c r="H37" s="265"/>
      <c r="I37" s="263"/>
      <c r="J37" s="264"/>
      <c r="K37" s="163"/>
      <c r="L37" s="45"/>
      <c r="M37" s="46"/>
      <c r="N37" s="35"/>
      <c r="P37" s="264"/>
      <c r="Q37" s="734" t="s">
        <v>404</v>
      </c>
      <c r="R37" s="219" t="s">
        <v>398</v>
      </c>
      <c r="S37" s="50">
        <f>_11・初任</f>
        <v>0.7</v>
      </c>
      <c r="T37" s="208">
        <f>ROUND((ROUND((ROUND((_11_A家事１．０*_11・重度研修),0)*(1+_11・A早朝)),0)*_11・初任),0)+ROUND((ROUND((_11_B家事１．０＿０．２５*_11・重度研修),0)*_11・初任),0)</f>
        <v>181</v>
      </c>
      <c r="U37" s="48"/>
    </row>
    <row r="38" spans="1:21" ht="16.5" customHeight="1" x14ac:dyDescent="0.15">
      <c r="A38" s="41">
        <v>11</v>
      </c>
      <c r="B38" s="41" t="s">
        <v>12371</v>
      </c>
      <c r="C38" s="74" t="s">
        <v>12372</v>
      </c>
      <c r="D38" s="100">
        <f>_11_A家事１．０</f>
        <v>196</v>
      </c>
      <c r="E38" s="12" t="s">
        <v>392</v>
      </c>
      <c r="F38" s="100">
        <f>_11_B家事１．０＿０．２５</f>
        <v>42</v>
      </c>
      <c r="G38" s="12" t="s">
        <v>392</v>
      </c>
      <c r="H38" s="35"/>
      <c r="I38" s="16"/>
      <c r="J38" s="234"/>
      <c r="K38" s="44" t="s">
        <v>397</v>
      </c>
      <c r="L38" s="218" t="s">
        <v>398</v>
      </c>
      <c r="M38" s="189">
        <v>1</v>
      </c>
      <c r="N38" s="35"/>
      <c r="Q38" s="706"/>
      <c r="R38" s="220"/>
      <c r="S38" s="38"/>
      <c r="T38" s="208">
        <f>ROUND((ROUND((ROUND((ROUND((_11_A家事１．０*_11・重度研修),0)*_11・２人),0)*(1+_11・A早朝)),0)*_11・初任),0)+ROUND((ROUND((ROUND((_11_B家事１．０＿０．２５*_11・重度研修),0)*_11・２人),0)*_11・初任),0)</f>
        <v>181</v>
      </c>
      <c r="U38" s="48"/>
    </row>
    <row r="39" spans="1:21" ht="16.5" customHeight="1" x14ac:dyDescent="0.15">
      <c r="A39" s="41">
        <v>11</v>
      </c>
      <c r="B39" s="41">
        <v>8521</v>
      </c>
      <c r="C39" s="74" t="s">
        <v>12373</v>
      </c>
      <c r="D39" s="72"/>
      <c r="F39" s="707" t="s">
        <v>9601</v>
      </c>
      <c r="G39" s="798"/>
      <c r="H39" s="35"/>
      <c r="K39" s="163"/>
      <c r="L39" s="45"/>
      <c r="M39" s="46"/>
      <c r="N39" s="35"/>
      <c r="Q39" s="53"/>
      <c r="R39" s="221"/>
      <c r="S39" s="50"/>
      <c r="T39" s="208">
        <f>ROUND((ROUND((_11_A家事１．０*_11・重度研修),0)*(1+_11・A早朝)),0)+ROUND((_11_B家事１．０＿０．５*_11・重度研修),0)</f>
        <v>290</v>
      </c>
      <c r="U39" s="48"/>
    </row>
    <row r="40" spans="1:21" ht="16.5" customHeight="1" x14ac:dyDescent="0.15">
      <c r="A40" s="41">
        <v>11</v>
      </c>
      <c r="B40" s="41">
        <v>8522</v>
      </c>
      <c r="C40" s="74" t="s">
        <v>12374</v>
      </c>
      <c r="D40" s="72"/>
      <c r="F40" s="799"/>
      <c r="G40" s="796"/>
      <c r="H40" s="35"/>
      <c r="K40" s="44" t="s">
        <v>397</v>
      </c>
      <c r="L40" s="218" t="s">
        <v>398</v>
      </c>
      <c r="M40" s="189">
        <v>1</v>
      </c>
      <c r="N40" s="35"/>
      <c r="Q40" s="43"/>
      <c r="R40" s="216"/>
      <c r="S40" s="38"/>
      <c r="T40" s="208">
        <f>ROUND((ROUND((ROUND((_11_A家事１．０*_11・重度研修),0)*_11・２人),0)*(1+_11・A早朝)),0)+ROUND((ROUND((_11_B家事１．０＿０．５*_11・重度研修),0)*_11・２人),0)</f>
        <v>290</v>
      </c>
      <c r="U40" s="48"/>
    </row>
    <row r="41" spans="1:21" ht="16.5" customHeight="1" x14ac:dyDescent="0.15">
      <c r="A41" s="41">
        <v>11</v>
      </c>
      <c r="B41" s="41" t="s">
        <v>12375</v>
      </c>
      <c r="C41" s="74" t="s">
        <v>12376</v>
      </c>
      <c r="D41" s="72"/>
      <c r="F41" s="799"/>
      <c r="G41" s="796"/>
      <c r="H41" s="35"/>
      <c r="K41" s="163"/>
      <c r="L41" s="45"/>
      <c r="M41" s="46"/>
      <c r="N41" s="35"/>
      <c r="Q41" s="734" t="s">
        <v>404</v>
      </c>
      <c r="R41" s="219" t="s">
        <v>398</v>
      </c>
      <c r="S41" s="50">
        <f>_11・初任</f>
        <v>0.7</v>
      </c>
      <c r="T41" s="208">
        <f>ROUND((ROUND((ROUND((_11_A家事１．０*_11・重度研修),0)*(1+_11・A早朝)),0)*_11・初任),0)+ROUND((ROUND((_11_B家事１．０＿０．５*_11・重度研修),0)*_11・初任),0)</f>
        <v>203</v>
      </c>
      <c r="U41" s="48"/>
    </row>
    <row r="42" spans="1:21" ht="16.5" customHeight="1" x14ac:dyDescent="0.15">
      <c r="A42" s="41">
        <v>11</v>
      </c>
      <c r="B42" s="41" t="s">
        <v>12377</v>
      </c>
      <c r="C42" s="74" t="s">
        <v>12378</v>
      </c>
      <c r="D42" s="72"/>
      <c r="F42" s="100">
        <f>_11_B家事１．０＿０．５</f>
        <v>78</v>
      </c>
      <c r="G42" s="12" t="s">
        <v>392</v>
      </c>
      <c r="H42" s="35"/>
      <c r="K42" s="44" t="s">
        <v>397</v>
      </c>
      <c r="L42" s="218" t="s">
        <v>398</v>
      </c>
      <c r="M42" s="189">
        <v>1</v>
      </c>
      <c r="N42" s="35"/>
      <c r="Q42" s="706"/>
      <c r="R42" s="220"/>
      <c r="S42" s="38"/>
      <c r="T42" s="208">
        <f>ROUND((ROUND((ROUND((ROUND((_11_A家事１．０*_11・重度研修),0)*_11・２人),0)*(1+_11・A早朝)),0)*_11・初任),0)+ROUND((ROUND((ROUND((_11_B家事１．０＿０．５*_11・重度研修),0)*_11・２人),0)*_11・初任),0)</f>
        <v>203</v>
      </c>
      <c r="U42" s="48"/>
    </row>
    <row r="43" spans="1:21" ht="16.5" customHeight="1" x14ac:dyDescent="0.15">
      <c r="A43" s="41">
        <v>11</v>
      </c>
      <c r="B43" s="41">
        <v>8523</v>
      </c>
      <c r="C43" s="74" t="s">
        <v>12379</v>
      </c>
      <c r="D43" s="707" t="s">
        <v>8838</v>
      </c>
      <c r="E43" s="798"/>
      <c r="F43" s="707" t="s">
        <v>9588</v>
      </c>
      <c r="G43" s="798"/>
      <c r="H43" s="35"/>
      <c r="K43" s="163"/>
      <c r="L43" s="45"/>
      <c r="M43" s="46"/>
      <c r="N43" s="35"/>
      <c r="Q43" s="53"/>
      <c r="R43" s="221"/>
      <c r="S43" s="50"/>
      <c r="T43" s="208">
        <f>ROUND((ROUND((_11_A家事１．２５*_11・重度研修),0)*(1+_11・A早朝)),0)+ROUND((_11_B家事１．２５＿０．２５*_11・重度研修),0)</f>
        <v>300</v>
      </c>
      <c r="U43" s="48"/>
    </row>
    <row r="44" spans="1:21" ht="16.5" customHeight="1" x14ac:dyDescent="0.15">
      <c r="A44" s="41">
        <v>11</v>
      </c>
      <c r="B44" s="41">
        <v>8524</v>
      </c>
      <c r="C44" s="74" t="s">
        <v>12380</v>
      </c>
      <c r="D44" s="799"/>
      <c r="E44" s="796"/>
      <c r="F44" s="799"/>
      <c r="G44" s="796"/>
      <c r="H44" s="35"/>
      <c r="K44" s="44" t="s">
        <v>397</v>
      </c>
      <c r="L44" s="218" t="s">
        <v>398</v>
      </c>
      <c r="M44" s="189">
        <v>1</v>
      </c>
      <c r="N44" s="35"/>
      <c r="Q44" s="43"/>
      <c r="R44" s="216"/>
      <c r="S44" s="38"/>
      <c r="T44" s="208">
        <f>ROUND((ROUND((ROUND((_11_A家事１．２５*_11・重度研修),0)*_11・２人),0)*(1+_11・A早朝)),0)+ROUND((ROUND((_11_B家事１．２５＿０．２５*_11・重度研修),0)*_11・２人),0)</f>
        <v>300</v>
      </c>
      <c r="U44" s="48"/>
    </row>
    <row r="45" spans="1:21" ht="16.5" customHeight="1" x14ac:dyDescent="0.15">
      <c r="A45" s="41">
        <v>11</v>
      </c>
      <c r="B45" s="41" t="s">
        <v>12381</v>
      </c>
      <c r="C45" s="74" t="s">
        <v>12382</v>
      </c>
      <c r="D45" s="799"/>
      <c r="E45" s="796"/>
      <c r="F45" s="799"/>
      <c r="G45" s="796"/>
      <c r="H45" s="35"/>
      <c r="K45" s="163"/>
      <c r="L45" s="45"/>
      <c r="M45" s="46"/>
      <c r="N45" s="35"/>
      <c r="Q45" s="734" t="s">
        <v>404</v>
      </c>
      <c r="R45" s="219" t="s">
        <v>398</v>
      </c>
      <c r="S45" s="50">
        <f>_11・初任</f>
        <v>0.7</v>
      </c>
      <c r="T45" s="208">
        <f>ROUND((ROUND((ROUND((_11_A家事１．２５*_11・重度研修),0)*(1+_11・A早朝)),0)*_11・初任),0)+ROUND((ROUND((_11_B家事１．２５＿０．２５*_11・重度研修),0)*_11・初任),0)</f>
        <v>210</v>
      </c>
      <c r="U45" s="48"/>
    </row>
    <row r="46" spans="1:21" ht="16.5" customHeight="1" x14ac:dyDescent="0.15">
      <c r="A46" s="41">
        <v>11</v>
      </c>
      <c r="B46" s="41" t="s">
        <v>12383</v>
      </c>
      <c r="C46" s="74" t="s">
        <v>12384</v>
      </c>
      <c r="D46" s="165">
        <f>_11_A家事１．２５</f>
        <v>238</v>
      </c>
      <c r="E46" s="37" t="s">
        <v>392</v>
      </c>
      <c r="F46" s="165">
        <f>_11_B家事１．２５＿０．２５</f>
        <v>36</v>
      </c>
      <c r="G46" s="37" t="s">
        <v>392</v>
      </c>
      <c r="H46" s="43"/>
      <c r="I46" s="37"/>
      <c r="J46" s="38"/>
      <c r="K46" s="44" t="s">
        <v>397</v>
      </c>
      <c r="L46" s="218" t="s">
        <v>398</v>
      </c>
      <c r="M46" s="189">
        <v>1</v>
      </c>
      <c r="N46" s="43"/>
      <c r="O46" s="37"/>
      <c r="P46" s="38"/>
      <c r="Q46" s="706"/>
      <c r="R46" s="220"/>
      <c r="S46" s="38"/>
      <c r="T46" s="208">
        <f>ROUND((ROUND((ROUND((ROUND((_11_A家事１．２５*_11・重度研修),0)*_11・２人),0)*(1+_11・A早朝)),0)*_11・初任),0)+ROUND((ROUND((ROUND((_11_B家事１．２５＿０．２５*_11・重度研修),0)*_11・２人),0)*_11・初任),0)</f>
        <v>210</v>
      </c>
      <c r="U46" s="63"/>
    </row>
    <row r="47" spans="1:21" ht="16.5" customHeight="1" x14ac:dyDescent="0.15"/>
    <row r="48" spans="1:21" ht="16.5" customHeight="1" x14ac:dyDescent="0.15"/>
    <row r="49" ht="16.5" customHeight="1" x14ac:dyDescent="0.15"/>
  </sheetData>
  <mergeCells count="26">
    <mergeCell ref="F39:G41"/>
    <mergeCell ref="Q41:Q42"/>
    <mergeCell ref="D43:E45"/>
    <mergeCell ref="F43:G45"/>
    <mergeCell ref="Q45:Q46"/>
    <mergeCell ref="F27:G29"/>
    <mergeCell ref="Q29:Q30"/>
    <mergeCell ref="F31:G33"/>
    <mergeCell ref="Q33:Q34"/>
    <mergeCell ref="D35:E37"/>
    <mergeCell ref="F35:G37"/>
    <mergeCell ref="Q37:Q38"/>
    <mergeCell ref="F15:G17"/>
    <mergeCell ref="Q17:Q18"/>
    <mergeCell ref="F19:G21"/>
    <mergeCell ref="Q21:Q22"/>
    <mergeCell ref="D23:E25"/>
    <mergeCell ref="F23:G25"/>
    <mergeCell ref="Q25:Q26"/>
    <mergeCell ref="F11:G13"/>
    <mergeCell ref="Q13:Q14"/>
    <mergeCell ref="D7:E9"/>
    <mergeCell ref="F7:G9"/>
    <mergeCell ref="H7:J9"/>
    <mergeCell ref="P8:P9"/>
    <mergeCell ref="Q9:Q10"/>
  </mergeCells>
  <phoneticPr fontId="1"/>
  <printOptions horizontalCentered="1"/>
  <pageMargins left="0.70866141732283472" right="0.70866141732283472" top="0.74803149606299213" bottom="0.74803149606299213" header="0.31496062992125984" footer="0.31496062992125984"/>
  <pageSetup paperSize="9" scale="53" fitToHeight="0" orientation="portrait" r:id="rId1"/>
  <headerFooter>
    <oddHeader>&amp;R&amp;"ＭＳ Ｐゴシック"&amp;9居宅介護</oddHeader>
    <oddFooter>&amp;C&amp;"ＭＳ Ｐゴシック"&amp;14&amp;P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5">
    <pageSetUpPr fitToPage="1"/>
  </sheetPr>
  <dimension ref="A1:U4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0" style="10" bestFit="1" customWidth="1"/>
    <col min="4" max="4" width="4.875" style="10" customWidth="1"/>
    <col min="5" max="5" width="4.875" style="12" customWidth="1"/>
    <col min="6" max="6" width="4.875" style="10" customWidth="1"/>
    <col min="7" max="7" width="4.875" style="12" customWidth="1"/>
    <col min="8" max="8" width="3.125" style="12" customWidth="1"/>
    <col min="9" max="9" width="2.5" style="12" customWidth="1"/>
    <col min="10" max="10" width="4.5" style="13" bestFit="1" customWidth="1"/>
    <col min="11" max="11" width="24.125" style="12" bestFit="1" customWidth="1"/>
    <col min="12" max="12" width="2.5" style="12" customWidth="1"/>
    <col min="13" max="13" width="5.5" style="13" bestFit="1" customWidth="1"/>
    <col min="14" max="14" width="2.5" style="12" customWidth="1"/>
    <col min="15" max="15" width="3.875" style="12" customWidth="1"/>
    <col min="16" max="16" width="4.5" style="13" bestFit="1" customWidth="1"/>
    <col min="17" max="17" width="17.875" style="12" customWidth="1"/>
    <col min="18" max="18" width="2.5" style="16" customWidth="1"/>
    <col min="19" max="19" width="4.5" style="13" bestFit="1" customWidth="1"/>
    <col min="20" max="20" width="7.125" style="206" customWidth="1"/>
    <col min="21" max="21" width="8.5" style="16" customWidth="1"/>
    <col min="22" max="16384" width="8.875" style="12"/>
  </cols>
  <sheetData>
    <row r="1" spans="1:21" ht="17.100000000000001" customHeight="1" x14ac:dyDescent="0.15"/>
    <row r="2" spans="1:21" ht="17.100000000000001" customHeight="1" x14ac:dyDescent="0.15"/>
    <row r="3" spans="1:21" ht="17.100000000000001" customHeight="1" x14ac:dyDescent="0.15"/>
    <row r="4" spans="1:21" ht="17.100000000000001" customHeight="1" x14ac:dyDescent="0.15">
      <c r="B4" s="17" t="s">
        <v>12385</v>
      </c>
      <c r="D4" s="71"/>
    </row>
    <row r="5" spans="1:21" ht="16.5" customHeight="1" x14ac:dyDescent="0.15">
      <c r="A5" s="19" t="s">
        <v>384</v>
      </c>
      <c r="B5" s="20"/>
      <c r="C5" s="21" t="s">
        <v>385</v>
      </c>
      <c r="D5" s="23" t="s">
        <v>386</v>
      </c>
      <c r="E5" s="23"/>
      <c r="F5" s="23"/>
      <c r="G5" s="23"/>
      <c r="H5" s="23"/>
      <c r="I5" s="23"/>
      <c r="J5" s="24"/>
      <c r="K5" s="23"/>
      <c r="L5" s="23"/>
      <c r="M5" s="24"/>
      <c r="N5" s="23"/>
      <c r="O5" s="23"/>
      <c r="P5" s="24"/>
      <c r="Q5" s="23"/>
      <c r="R5" s="23"/>
      <c r="S5" s="24"/>
      <c r="T5" s="21" t="s">
        <v>387</v>
      </c>
      <c r="U5" s="21" t="s">
        <v>388</v>
      </c>
    </row>
    <row r="6" spans="1:21" ht="16.5" customHeight="1" x14ac:dyDescent="0.15">
      <c r="A6" s="26" t="s">
        <v>389</v>
      </c>
      <c r="B6" s="26" t="s">
        <v>390</v>
      </c>
      <c r="C6" s="27"/>
      <c r="D6" s="29"/>
      <c r="E6" s="29"/>
      <c r="F6" s="87" t="s">
        <v>1032</v>
      </c>
      <c r="G6" s="20"/>
      <c r="H6" s="29"/>
      <c r="I6" s="29"/>
      <c r="J6" s="30"/>
      <c r="K6" s="29"/>
      <c r="L6" s="29"/>
      <c r="M6" s="30"/>
      <c r="N6" s="29"/>
      <c r="O6" s="29"/>
      <c r="P6" s="30"/>
      <c r="Q6" s="29"/>
      <c r="R6" s="214"/>
      <c r="S6" s="30"/>
      <c r="T6" s="32" t="s">
        <v>391</v>
      </c>
      <c r="U6" s="32" t="s">
        <v>392</v>
      </c>
    </row>
    <row r="7" spans="1:21" ht="16.5" customHeight="1" x14ac:dyDescent="0.15">
      <c r="A7" s="33">
        <v>11</v>
      </c>
      <c r="B7" s="33">
        <v>8525</v>
      </c>
      <c r="C7" s="34" t="s">
        <v>12386</v>
      </c>
      <c r="D7" s="709" t="s">
        <v>394</v>
      </c>
      <c r="E7" s="796"/>
      <c r="F7" s="709" t="s">
        <v>9713</v>
      </c>
      <c r="G7" s="796"/>
      <c r="H7" s="801" t="s">
        <v>11707</v>
      </c>
      <c r="I7" s="797"/>
      <c r="J7" s="796"/>
      <c r="K7" s="43"/>
      <c r="L7" s="37"/>
      <c r="M7" s="38"/>
      <c r="N7" s="72" t="s">
        <v>1416</v>
      </c>
      <c r="Q7" s="178"/>
      <c r="T7" s="207">
        <f>ROUND((_11_A家事０．５*_11・重度研修),0)+ROUND((ROUND((_11_B家事０．５＿０．２５*_11・重度研修),0)*(1+_11・B夜間)),0)</f>
        <v>148</v>
      </c>
      <c r="U7" s="40" t="s">
        <v>395</v>
      </c>
    </row>
    <row r="8" spans="1:21" ht="16.5" customHeight="1" x14ac:dyDescent="0.15">
      <c r="A8" s="41">
        <v>11</v>
      </c>
      <c r="B8" s="41">
        <v>8526</v>
      </c>
      <c r="C8" s="74" t="s">
        <v>12387</v>
      </c>
      <c r="D8" s="799"/>
      <c r="E8" s="796"/>
      <c r="F8" s="799"/>
      <c r="G8" s="796"/>
      <c r="H8" s="799"/>
      <c r="I8" s="797"/>
      <c r="J8" s="797"/>
      <c r="K8" s="44" t="s">
        <v>397</v>
      </c>
      <c r="L8" s="218" t="s">
        <v>398</v>
      </c>
      <c r="M8" s="46">
        <v>1</v>
      </c>
      <c r="N8" s="257" t="s">
        <v>398</v>
      </c>
      <c r="O8" s="13">
        <v>0.25</v>
      </c>
      <c r="P8" s="704" t="s">
        <v>676</v>
      </c>
      <c r="Q8" s="180"/>
      <c r="R8" s="216"/>
      <c r="S8" s="38"/>
      <c r="T8" s="208">
        <f>ROUND((ROUND((_11_A家事０．５*_11・重度研修),0)*_11・２人),0)+ROUND((ROUND((ROUND((_11_B家事０．５＿０．２５*_11・重度研修),0)*_11・２人),0)*(1+_11・B夜間)),0)</f>
        <v>148</v>
      </c>
      <c r="U8" s="48"/>
    </row>
    <row r="9" spans="1:21" ht="16.5" customHeight="1" x14ac:dyDescent="0.15">
      <c r="A9" s="41">
        <v>11</v>
      </c>
      <c r="B9" s="41" t="s">
        <v>12388</v>
      </c>
      <c r="C9" s="74" t="s">
        <v>12389</v>
      </c>
      <c r="D9" s="799"/>
      <c r="E9" s="796"/>
      <c r="F9" s="799"/>
      <c r="G9" s="796"/>
      <c r="H9" s="799"/>
      <c r="I9" s="797"/>
      <c r="J9" s="796"/>
      <c r="K9" s="163"/>
      <c r="L9" s="45"/>
      <c r="M9" s="46"/>
      <c r="N9" s="35"/>
      <c r="P9" s="797"/>
      <c r="Q9" s="807" t="s">
        <v>404</v>
      </c>
      <c r="R9" s="219" t="s">
        <v>398</v>
      </c>
      <c r="S9" s="50">
        <f>_11・初任</f>
        <v>0.7</v>
      </c>
      <c r="T9" s="208">
        <f>ROUND((ROUND((_11_A家事０．５*_11・重度研修),0)*_11・初任),0)+ROUND((ROUND((ROUND((_11_B家事０．５＿０．２５*_11・重度研修),0)*(1+_11・B夜間)),0)*_11・初任),0)</f>
        <v>104</v>
      </c>
      <c r="U9" s="48"/>
    </row>
    <row r="10" spans="1:21" ht="16.5" customHeight="1" x14ac:dyDescent="0.15">
      <c r="A10" s="41">
        <v>11</v>
      </c>
      <c r="B10" s="41" t="s">
        <v>12390</v>
      </c>
      <c r="C10" s="74" t="s">
        <v>12391</v>
      </c>
      <c r="D10" s="100">
        <f>_11_A家事０．５</f>
        <v>105</v>
      </c>
      <c r="E10" s="12" t="s">
        <v>392</v>
      </c>
      <c r="F10" s="100">
        <f>_11_B家事０．５＿０．２５</f>
        <v>47</v>
      </c>
      <c r="G10" s="12" t="s">
        <v>392</v>
      </c>
      <c r="H10" s="35"/>
      <c r="I10" s="16" t="s">
        <v>398</v>
      </c>
      <c r="J10" s="13">
        <v>0.9</v>
      </c>
      <c r="K10" s="44" t="s">
        <v>397</v>
      </c>
      <c r="L10" s="218" t="s">
        <v>398</v>
      </c>
      <c r="M10" s="46">
        <v>1</v>
      </c>
      <c r="N10" s="35"/>
      <c r="Q10" s="808"/>
      <c r="R10" s="220"/>
      <c r="S10" s="38"/>
      <c r="T10" s="208">
        <f>ROUND((ROUND((ROUND((_11_A家事０．５*_11・重度研修),0)*_11・２人),0)*_11・初任),0)+ROUND((ROUND((ROUND((ROUND((_11_B家事０．５＿０．２５*_11・重度研修),0)*_11・２人),0)*(1+_11・B夜間)),0)*_11・初任),0)</f>
        <v>104</v>
      </c>
      <c r="U10" s="48"/>
    </row>
    <row r="11" spans="1:21" ht="16.5" customHeight="1" x14ac:dyDescent="0.15">
      <c r="A11" s="41">
        <v>11</v>
      </c>
      <c r="B11" s="41">
        <v>8527</v>
      </c>
      <c r="C11" s="74" t="s">
        <v>12392</v>
      </c>
      <c r="D11" s="72"/>
      <c r="F11" s="707" t="s">
        <v>9726</v>
      </c>
      <c r="G11" s="798"/>
      <c r="H11" s="35"/>
      <c r="K11" s="163"/>
      <c r="L11" s="45"/>
      <c r="M11" s="46"/>
      <c r="N11" s="35"/>
      <c r="Q11" s="260"/>
      <c r="R11" s="221"/>
      <c r="S11" s="50"/>
      <c r="T11" s="208">
        <f>ROUND((_11_A家事０．５*_11・重度研修),0)+ROUND((ROUND((_11_B家事０．５＿０．５*_11・重度研修),0)*(1+_11・B夜間)),0)</f>
        <v>198</v>
      </c>
      <c r="U11" s="48"/>
    </row>
    <row r="12" spans="1:21" ht="16.5" customHeight="1" x14ac:dyDescent="0.15">
      <c r="A12" s="41">
        <v>11</v>
      </c>
      <c r="B12" s="41">
        <v>8528</v>
      </c>
      <c r="C12" s="74" t="s">
        <v>12393</v>
      </c>
      <c r="D12" s="72"/>
      <c r="F12" s="799"/>
      <c r="G12" s="796"/>
      <c r="H12" s="35"/>
      <c r="K12" s="44" t="s">
        <v>397</v>
      </c>
      <c r="L12" s="218" t="s">
        <v>398</v>
      </c>
      <c r="M12" s="46">
        <v>1</v>
      </c>
      <c r="N12" s="35"/>
      <c r="Q12" s="180"/>
      <c r="R12" s="216"/>
      <c r="S12" s="38"/>
      <c r="T12" s="208">
        <f>ROUND((ROUND((_11_A家事０．５*_11・重度研修),0)*_11・２人),0)+ROUND((ROUND((ROUND((_11_B家事０．５＿０．５*_11・重度研修),0)*_11・２人),0)*(1+_11・B夜間)),0)</f>
        <v>198</v>
      </c>
      <c r="U12" s="48"/>
    </row>
    <row r="13" spans="1:21" ht="16.5" customHeight="1" x14ac:dyDescent="0.15">
      <c r="A13" s="41">
        <v>11</v>
      </c>
      <c r="B13" s="41" t="s">
        <v>12394</v>
      </c>
      <c r="C13" s="74" t="s">
        <v>12395</v>
      </c>
      <c r="D13" s="72"/>
      <c r="F13" s="799"/>
      <c r="G13" s="796"/>
      <c r="H13" s="35"/>
      <c r="K13" s="163"/>
      <c r="L13" s="45"/>
      <c r="M13" s="46"/>
      <c r="N13" s="35"/>
      <c r="Q13" s="807" t="s">
        <v>404</v>
      </c>
      <c r="R13" s="219" t="s">
        <v>398</v>
      </c>
      <c r="S13" s="50">
        <f>_11・初任</f>
        <v>0.7</v>
      </c>
      <c r="T13" s="208">
        <f>ROUND((ROUND((_11_A家事０．５*_11・重度研修),0)*_11・初任),0)+ROUND((ROUND((ROUND((_11_B家事０．５＿０．５*_11・重度研修),0)*(1+_11・B夜間)),0)*_11・初任),0)</f>
        <v>139</v>
      </c>
      <c r="U13" s="48"/>
    </row>
    <row r="14" spans="1:21" ht="16.5" customHeight="1" x14ac:dyDescent="0.15">
      <c r="A14" s="41">
        <v>11</v>
      </c>
      <c r="B14" s="41" t="s">
        <v>12396</v>
      </c>
      <c r="C14" s="74" t="s">
        <v>12397</v>
      </c>
      <c r="D14" s="72"/>
      <c r="F14" s="100">
        <f>_11_B家事０．５＿０．５</f>
        <v>91</v>
      </c>
      <c r="G14" s="12" t="s">
        <v>392</v>
      </c>
      <c r="H14" s="35"/>
      <c r="K14" s="44" t="s">
        <v>397</v>
      </c>
      <c r="L14" s="218" t="s">
        <v>398</v>
      </c>
      <c r="M14" s="46">
        <v>1</v>
      </c>
      <c r="N14" s="35"/>
      <c r="Q14" s="808"/>
      <c r="R14" s="220"/>
      <c r="S14" s="38"/>
      <c r="T14" s="208">
        <f>ROUND((ROUND((ROUND((_11_A家事０．５*_11・重度研修),0)*_11・２人),0)*_11・初任),0)+ROUND((ROUND((ROUND((ROUND((_11_B家事０．５＿０．５*_11・重度研修),0)*_11・２人),0)*(1+_11・B夜間)),0)*_11・初任),0)</f>
        <v>139</v>
      </c>
      <c r="U14" s="48"/>
    </row>
    <row r="15" spans="1:21" ht="16.5" customHeight="1" x14ac:dyDescent="0.15">
      <c r="A15" s="41">
        <v>11</v>
      </c>
      <c r="B15" s="41">
        <v>8529</v>
      </c>
      <c r="C15" s="74" t="s">
        <v>12398</v>
      </c>
      <c r="D15" s="72"/>
      <c r="F15" s="707" t="s">
        <v>9739</v>
      </c>
      <c r="G15" s="798"/>
      <c r="H15" s="35"/>
      <c r="K15" s="163"/>
      <c r="L15" s="45"/>
      <c r="M15" s="46"/>
      <c r="N15" s="35"/>
      <c r="Q15" s="260"/>
      <c r="R15" s="221"/>
      <c r="S15" s="50"/>
      <c r="T15" s="208">
        <f>ROUND((_11_A家事０．５*_11・重度研修),0)+ROUND((ROUND((_11_B家事０．５＿０．７５*_11・重度研修),0)*(1+_11・B夜間)),0)</f>
        <v>245</v>
      </c>
      <c r="U15" s="48"/>
    </row>
    <row r="16" spans="1:21" ht="16.5" customHeight="1" x14ac:dyDescent="0.15">
      <c r="A16" s="41">
        <v>11</v>
      </c>
      <c r="B16" s="41">
        <v>8530</v>
      </c>
      <c r="C16" s="74" t="s">
        <v>12399</v>
      </c>
      <c r="D16" s="72"/>
      <c r="F16" s="799"/>
      <c r="G16" s="796"/>
      <c r="H16" s="35"/>
      <c r="K16" s="44" t="s">
        <v>397</v>
      </c>
      <c r="L16" s="218" t="s">
        <v>398</v>
      </c>
      <c r="M16" s="46">
        <v>1</v>
      </c>
      <c r="N16" s="35"/>
      <c r="Q16" s="180"/>
      <c r="R16" s="216"/>
      <c r="S16" s="38"/>
      <c r="T16" s="208">
        <f>ROUND((ROUND((_11_A家事０．５*_11・重度研修),0)*_11・２人),0)+ROUND((ROUND((ROUND((_11_B家事０．５＿０．７５*_11・重度研修),0)*_11・２人),0)*(1+_11・B夜間)),0)</f>
        <v>245</v>
      </c>
      <c r="U16" s="48"/>
    </row>
    <row r="17" spans="1:21" ht="16.5" customHeight="1" x14ac:dyDescent="0.15">
      <c r="A17" s="41">
        <v>11</v>
      </c>
      <c r="B17" s="41" t="s">
        <v>12400</v>
      </c>
      <c r="C17" s="74" t="s">
        <v>12401</v>
      </c>
      <c r="D17" s="72"/>
      <c r="F17" s="799"/>
      <c r="G17" s="796"/>
      <c r="H17" s="35"/>
      <c r="K17" s="163"/>
      <c r="L17" s="45"/>
      <c r="M17" s="46"/>
      <c r="N17" s="35"/>
      <c r="Q17" s="807" t="s">
        <v>404</v>
      </c>
      <c r="R17" s="219" t="s">
        <v>398</v>
      </c>
      <c r="S17" s="50">
        <f>_11・初任</f>
        <v>0.7</v>
      </c>
      <c r="T17" s="208">
        <f>ROUND((ROUND((_11_A家事０．５*_11・重度研修),0)*_11・初任),0)+ROUND((ROUND((ROUND((_11_B家事０．５＿０．７５*_11・重度研修),0)*(1+_11・B夜間)),0)*_11・初任),0)</f>
        <v>172</v>
      </c>
      <c r="U17" s="48"/>
    </row>
    <row r="18" spans="1:21" ht="16.5" customHeight="1" x14ac:dyDescent="0.15">
      <c r="A18" s="41">
        <v>11</v>
      </c>
      <c r="B18" s="41" t="s">
        <v>12402</v>
      </c>
      <c r="C18" s="74" t="s">
        <v>12403</v>
      </c>
      <c r="D18" s="72"/>
      <c r="F18" s="100">
        <f>_11_B家事０．５＿０．７５</f>
        <v>133</v>
      </c>
      <c r="G18" s="12" t="s">
        <v>392</v>
      </c>
      <c r="H18" s="35"/>
      <c r="K18" s="44" t="s">
        <v>397</v>
      </c>
      <c r="L18" s="218" t="s">
        <v>398</v>
      </c>
      <c r="M18" s="46">
        <v>1</v>
      </c>
      <c r="N18" s="35"/>
      <c r="Q18" s="808"/>
      <c r="R18" s="220"/>
      <c r="S18" s="38"/>
      <c r="T18" s="208">
        <f>ROUND((ROUND((ROUND((_11_A家事０．５*_11・重度研修),0)*_11・２人),0)*_11・初任),0)+ROUND((ROUND((ROUND((ROUND((_11_B家事０．５＿０．７５*_11・重度研修),0)*_11・２人),0)*(1+_11・B夜間)),0)*_11・初任),0)</f>
        <v>172</v>
      </c>
      <c r="U18" s="48"/>
    </row>
    <row r="19" spans="1:21" ht="16.5" customHeight="1" x14ac:dyDescent="0.15">
      <c r="A19" s="41">
        <v>11</v>
      </c>
      <c r="B19" s="41">
        <v>8531</v>
      </c>
      <c r="C19" s="74" t="s">
        <v>12404</v>
      </c>
      <c r="D19" s="72"/>
      <c r="F19" s="707" t="s">
        <v>9752</v>
      </c>
      <c r="G19" s="798"/>
      <c r="H19" s="35"/>
      <c r="K19" s="163"/>
      <c r="L19" s="45"/>
      <c r="M19" s="46"/>
      <c r="N19" s="35"/>
      <c r="Q19" s="260"/>
      <c r="R19" s="221"/>
      <c r="S19" s="50"/>
      <c r="T19" s="208">
        <f>ROUND((_11_A家事０．５*_11・重度研修),0)+ROUND((ROUND((_11_B家事０．５＿１．０*_11・重度研修),0)*(1+_11・B夜間)),0)</f>
        <v>285</v>
      </c>
      <c r="U19" s="48"/>
    </row>
    <row r="20" spans="1:21" ht="16.5" customHeight="1" x14ac:dyDescent="0.15">
      <c r="A20" s="41">
        <v>11</v>
      </c>
      <c r="B20" s="41">
        <v>8532</v>
      </c>
      <c r="C20" s="74" t="s">
        <v>12405</v>
      </c>
      <c r="D20" s="72"/>
      <c r="F20" s="799"/>
      <c r="G20" s="796"/>
      <c r="H20" s="35"/>
      <c r="K20" s="44" t="s">
        <v>397</v>
      </c>
      <c r="L20" s="218" t="s">
        <v>398</v>
      </c>
      <c r="M20" s="46">
        <v>1</v>
      </c>
      <c r="N20" s="35"/>
      <c r="Q20" s="180"/>
      <c r="R20" s="216"/>
      <c r="S20" s="38"/>
      <c r="T20" s="208">
        <f>ROUND((ROUND((_11_A家事０．５*_11・重度研修),0)*_11・２人),0)+ROUND((ROUND((ROUND((_11_B家事０．５＿１．０*_11・重度研修),0)*_11・２人),0)*(1+_11・B夜間)),0)</f>
        <v>285</v>
      </c>
      <c r="U20" s="48"/>
    </row>
    <row r="21" spans="1:21" ht="16.5" customHeight="1" x14ac:dyDescent="0.15">
      <c r="A21" s="41">
        <v>11</v>
      </c>
      <c r="B21" s="41" t="s">
        <v>12406</v>
      </c>
      <c r="C21" s="74" t="s">
        <v>12407</v>
      </c>
      <c r="D21" s="72"/>
      <c r="F21" s="799"/>
      <c r="G21" s="796"/>
      <c r="H21" s="35"/>
      <c r="K21" s="163"/>
      <c r="L21" s="45"/>
      <c r="M21" s="46"/>
      <c r="N21" s="35"/>
      <c r="Q21" s="807" t="s">
        <v>404</v>
      </c>
      <c r="R21" s="219" t="s">
        <v>398</v>
      </c>
      <c r="S21" s="50">
        <f>_11・初任</f>
        <v>0.7</v>
      </c>
      <c r="T21" s="208">
        <f>ROUND((ROUND((_11_A家事０．５*_11・重度研修),0)*_11・初任),0)+ROUND((ROUND((ROUND((_11_B家事０．５＿１．０*_11・重度研修),0)*(1+_11・B夜間)),0)*_11・初任),0)</f>
        <v>200</v>
      </c>
      <c r="U21" s="48"/>
    </row>
    <row r="22" spans="1:21" ht="16.5" customHeight="1" x14ac:dyDescent="0.15">
      <c r="A22" s="41">
        <v>11</v>
      </c>
      <c r="B22" s="41" t="s">
        <v>12408</v>
      </c>
      <c r="C22" s="74" t="s">
        <v>12409</v>
      </c>
      <c r="D22" s="72"/>
      <c r="F22" s="100">
        <f>_11_B家事０．５＿１．０</f>
        <v>169</v>
      </c>
      <c r="G22" s="12" t="s">
        <v>392</v>
      </c>
      <c r="H22" s="35"/>
      <c r="K22" s="44" t="s">
        <v>397</v>
      </c>
      <c r="L22" s="218" t="s">
        <v>398</v>
      </c>
      <c r="M22" s="46">
        <v>1</v>
      </c>
      <c r="N22" s="35"/>
      <c r="Q22" s="808"/>
      <c r="R22" s="220"/>
      <c r="S22" s="38"/>
      <c r="T22" s="208">
        <f>ROUND((ROUND((ROUND((_11_A家事０．５*_11・重度研修),0)*_11・２人),0)*_11・初任),0)+ROUND((ROUND((ROUND((ROUND((_11_B家事０．５＿１．０*_11・重度研修),0)*_11・２人),0)*(1+_11・B夜間)),0)*_11・初任),0)</f>
        <v>200</v>
      </c>
      <c r="U22" s="48"/>
    </row>
    <row r="23" spans="1:21" ht="16.5" customHeight="1" x14ac:dyDescent="0.15">
      <c r="A23" s="41">
        <v>11</v>
      </c>
      <c r="B23" s="41">
        <v>8533</v>
      </c>
      <c r="C23" s="74" t="s">
        <v>12410</v>
      </c>
      <c r="D23" s="707" t="s">
        <v>8279</v>
      </c>
      <c r="E23" s="798"/>
      <c r="F23" s="707" t="s">
        <v>9713</v>
      </c>
      <c r="G23" s="798"/>
      <c r="H23" s="35"/>
      <c r="K23" s="163"/>
      <c r="L23" s="45"/>
      <c r="M23" s="46"/>
      <c r="N23" s="35"/>
      <c r="Q23" s="260"/>
      <c r="R23" s="221"/>
      <c r="S23" s="50"/>
      <c r="T23" s="208">
        <f>ROUND((_11_A家事０．７５*_11・重度研修),0)+ROUND((ROUND((_11_B家事０．７５＿０．２５*_11・重度研修),0)*(1+_11・B夜間)),0)</f>
        <v>187</v>
      </c>
      <c r="U23" s="48"/>
    </row>
    <row r="24" spans="1:21" ht="16.5" customHeight="1" x14ac:dyDescent="0.15">
      <c r="A24" s="41">
        <v>11</v>
      </c>
      <c r="B24" s="41">
        <v>8534</v>
      </c>
      <c r="C24" s="74" t="s">
        <v>12411</v>
      </c>
      <c r="D24" s="799"/>
      <c r="E24" s="796"/>
      <c r="F24" s="799"/>
      <c r="G24" s="796"/>
      <c r="H24" s="35"/>
      <c r="K24" s="44" t="s">
        <v>397</v>
      </c>
      <c r="L24" s="218" t="s">
        <v>398</v>
      </c>
      <c r="M24" s="46">
        <v>1</v>
      </c>
      <c r="N24" s="35"/>
      <c r="Q24" s="180"/>
      <c r="R24" s="216"/>
      <c r="S24" s="38"/>
      <c r="T24" s="208">
        <f>ROUND((ROUND((_11_A家事０．７５*_11・重度研修),0)*_11・２人),0)+ROUND((ROUND((ROUND((_11_B家事０．７５＿０．２５*_11・重度研修),0)*_11・２人),0)*(1+_11・B夜間)),0)</f>
        <v>187</v>
      </c>
      <c r="U24" s="48"/>
    </row>
    <row r="25" spans="1:21" ht="16.5" customHeight="1" x14ac:dyDescent="0.15">
      <c r="A25" s="41">
        <v>11</v>
      </c>
      <c r="B25" s="41" t="s">
        <v>12412</v>
      </c>
      <c r="C25" s="74" t="s">
        <v>12413</v>
      </c>
      <c r="D25" s="799"/>
      <c r="E25" s="796"/>
      <c r="F25" s="799"/>
      <c r="G25" s="796"/>
      <c r="H25" s="35"/>
      <c r="K25" s="163"/>
      <c r="L25" s="45"/>
      <c r="M25" s="46"/>
      <c r="N25" s="35"/>
      <c r="Q25" s="807" t="s">
        <v>404</v>
      </c>
      <c r="R25" s="219" t="s">
        <v>398</v>
      </c>
      <c r="S25" s="50">
        <f>_11・初任</f>
        <v>0.7</v>
      </c>
      <c r="T25" s="208">
        <f>ROUND((ROUND((_11_A家事０．７５*_11・重度研修),0)*_11・初任),0)+ROUND((ROUND((ROUND((_11_B家事０．７５＿０．２５*_11・重度研修),0)*(1+_11・B夜間)),0)*_11・初任),0)</f>
        <v>131</v>
      </c>
      <c r="U25" s="48"/>
    </row>
    <row r="26" spans="1:21" ht="16.5" customHeight="1" x14ac:dyDescent="0.15">
      <c r="A26" s="41">
        <v>11</v>
      </c>
      <c r="B26" s="41" t="s">
        <v>12414</v>
      </c>
      <c r="C26" s="74" t="s">
        <v>12415</v>
      </c>
      <c r="D26" s="100">
        <f>_11_A家事０．７５</f>
        <v>152</v>
      </c>
      <c r="E26" s="12" t="s">
        <v>392</v>
      </c>
      <c r="F26" s="100">
        <f>_11_B家事０．７５＿０．２５</f>
        <v>44</v>
      </c>
      <c r="G26" s="12" t="s">
        <v>392</v>
      </c>
      <c r="H26" s="35"/>
      <c r="K26" s="44" t="s">
        <v>397</v>
      </c>
      <c r="L26" s="218" t="s">
        <v>398</v>
      </c>
      <c r="M26" s="46">
        <v>1</v>
      </c>
      <c r="N26" s="35"/>
      <c r="Q26" s="808"/>
      <c r="R26" s="220"/>
      <c r="S26" s="38"/>
      <c r="T26" s="208">
        <f>ROUND((ROUND((ROUND((_11_A家事０．７５*_11・重度研修),0)*_11・２人),0)*_11・初任),0)+ROUND((ROUND((ROUND((ROUND((_11_B家事０．７５＿０．２５*_11・重度研修),0)*_11・２人),0)*(1+_11・B夜間)),0)*_11・初任),0)</f>
        <v>131</v>
      </c>
      <c r="U26" s="48"/>
    </row>
    <row r="27" spans="1:21" ht="16.5" customHeight="1" x14ac:dyDescent="0.15">
      <c r="A27" s="41">
        <v>11</v>
      </c>
      <c r="B27" s="41">
        <v>8535</v>
      </c>
      <c r="C27" s="74" t="s">
        <v>12416</v>
      </c>
      <c r="D27" s="72"/>
      <c r="F27" s="707" t="s">
        <v>9726</v>
      </c>
      <c r="G27" s="798"/>
      <c r="H27" s="35"/>
      <c r="K27" s="163"/>
      <c r="L27" s="45"/>
      <c r="M27" s="46"/>
      <c r="N27" s="35"/>
      <c r="Q27" s="260"/>
      <c r="R27" s="221"/>
      <c r="S27" s="50"/>
      <c r="T27" s="208">
        <f>ROUND((_11_A家事０．７５*_11・重度研修),0)+ROUND((ROUND((_11_B家事０．７５＿０．５*_11・重度研修),0)*(1+_11・B夜間)),0)</f>
        <v>233</v>
      </c>
      <c r="U27" s="48"/>
    </row>
    <row r="28" spans="1:21" ht="16.5" customHeight="1" x14ac:dyDescent="0.15">
      <c r="A28" s="41">
        <v>11</v>
      </c>
      <c r="B28" s="41">
        <v>8536</v>
      </c>
      <c r="C28" s="74" t="s">
        <v>12417</v>
      </c>
      <c r="D28" s="72"/>
      <c r="F28" s="799"/>
      <c r="G28" s="796"/>
      <c r="H28" s="35"/>
      <c r="K28" s="44" t="s">
        <v>397</v>
      </c>
      <c r="L28" s="218" t="s">
        <v>398</v>
      </c>
      <c r="M28" s="46">
        <v>1</v>
      </c>
      <c r="N28" s="35"/>
      <c r="Q28" s="180"/>
      <c r="R28" s="216"/>
      <c r="S28" s="38"/>
      <c r="T28" s="208">
        <f>ROUND((ROUND((_11_A家事０．７５*_11・重度研修),0)*_11・２人),0)+ROUND((ROUND((ROUND((_11_B家事０．７５＿０．５*_11・重度研修),0)*_11・２人),0)*(1+_11・B夜間)),0)</f>
        <v>233</v>
      </c>
      <c r="U28" s="48"/>
    </row>
    <row r="29" spans="1:21" ht="16.5" customHeight="1" x14ac:dyDescent="0.15">
      <c r="A29" s="41">
        <v>11</v>
      </c>
      <c r="B29" s="41" t="s">
        <v>12418</v>
      </c>
      <c r="C29" s="74" t="s">
        <v>12419</v>
      </c>
      <c r="D29" s="72"/>
      <c r="F29" s="799"/>
      <c r="G29" s="796"/>
      <c r="H29" s="35"/>
      <c r="K29" s="163"/>
      <c r="L29" s="45"/>
      <c r="M29" s="46"/>
      <c r="N29" s="35"/>
      <c r="Q29" s="807" t="s">
        <v>404</v>
      </c>
      <c r="R29" s="219" t="s">
        <v>398</v>
      </c>
      <c r="S29" s="50">
        <f>_11・初任</f>
        <v>0.7</v>
      </c>
      <c r="T29" s="208">
        <f>ROUND((ROUND((_11_A家事０．７５*_11・重度研修),0)*_11・初任),0)+ROUND((ROUND((ROUND((_11_B家事０．７５＿０．５*_11・重度研修),0)*(1+_11・B夜間)),0)*_11・初任),0)</f>
        <v>163</v>
      </c>
      <c r="U29" s="48"/>
    </row>
    <row r="30" spans="1:21" ht="16.5" customHeight="1" x14ac:dyDescent="0.15">
      <c r="A30" s="41">
        <v>11</v>
      </c>
      <c r="B30" s="41" t="s">
        <v>12420</v>
      </c>
      <c r="C30" s="74" t="s">
        <v>12421</v>
      </c>
      <c r="D30" s="72"/>
      <c r="F30" s="100">
        <f>_11_B家事０．７５＿０．５</f>
        <v>86</v>
      </c>
      <c r="G30" s="12" t="s">
        <v>392</v>
      </c>
      <c r="H30" s="35"/>
      <c r="K30" s="44" t="s">
        <v>397</v>
      </c>
      <c r="L30" s="218" t="s">
        <v>398</v>
      </c>
      <c r="M30" s="46">
        <v>1</v>
      </c>
      <c r="N30" s="35"/>
      <c r="Q30" s="808"/>
      <c r="R30" s="220"/>
      <c r="S30" s="38"/>
      <c r="T30" s="208">
        <f>ROUND((ROUND((ROUND((_11_A家事０．７５*_11・重度研修),0)*_11・２人),0)*_11・初任),0)+ROUND((ROUND((ROUND((ROUND((_11_B家事０．７５＿０．５*_11・重度研修),0)*_11・２人),0)*(1+_11・B夜間)),0)*_11・初任),0)</f>
        <v>163</v>
      </c>
      <c r="U30" s="48"/>
    </row>
    <row r="31" spans="1:21" ht="16.5" customHeight="1" x14ac:dyDescent="0.15">
      <c r="A31" s="41">
        <v>11</v>
      </c>
      <c r="B31" s="41">
        <v>8537</v>
      </c>
      <c r="C31" s="74" t="s">
        <v>12422</v>
      </c>
      <c r="D31" s="72"/>
      <c r="F31" s="707" t="s">
        <v>9739</v>
      </c>
      <c r="G31" s="798"/>
      <c r="H31" s="35"/>
      <c r="K31" s="163"/>
      <c r="L31" s="45"/>
      <c r="M31" s="46"/>
      <c r="N31" s="35"/>
      <c r="Q31" s="260"/>
      <c r="R31" s="221"/>
      <c r="S31" s="50"/>
      <c r="T31" s="208">
        <f>ROUND((_11_A家事０．７５*_11・重度研修),0)+ROUND((ROUND((_11_B家事０．７５＿０．７５*_11・重度研修),0)*(1+_11・B夜間)),0)</f>
        <v>275</v>
      </c>
      <c r="U31" s="48"/>
    </row>
    <row r="32" spans="1:21" ht="16.5" customHeight="1" x14ac:dyDescent="0.15">
      <c r="A32" s="41">
        <v>11</v>
      </c>
      <c r="B32" s="41">
        <v>8538</v>
      </c>
      <c r="C32" s="74" t="s">
        <v>12423</v>
      </c>
      <c r="D32" s="72"/>
      <c r="F32" s="799"/>
      <c r="G32" s="796"/>
      <c r="H32" s="35"/>
      <c r="K32" s="44" t="s">
        <v>397</v>
      </c>
      <c r="L32" s="218" t="s">
        <v>398</v>
      </c>
      <c r="M32" s="46">
        <v>1</v>
      </c>
      <c r="N32" s="35"/>
      <c r="Q32" s="180"/>
      <c r="R32" s="216"/>
      <c r="S32" s="38"/>
      <c r="T32" s="208">
        <f>ROUND((ROUND((_11_A家事０．７５*_11・重度研修),0)*_11・２人),0)+ROUND((ROUND((ROUND((_11_B家事０．７５＿０．７５*_11・重度研修),0)*_11・２人),0)*(1+_11・B夜間)),0)</f>
        <v>275</v>
      </c>
      <c r="U32" s="48"/>
    </row>
    <row r="33" spans="1:21" ht="16.5" customHeight="1" x14ac:dyDescent="0.15">
      <c r="A33" s="41">
        <v>11</v>
      </c>
      <c r="B33" s="41" t="s">
        <v>12424</v>
      </c>
      <c r="C33" s="74" t="s">
        <v>12425</v>
      </c>
      <c r="D33" s="72"/>
      <c r="F33" s="799"/>
      <c r="G33" s="796"/>
      <c r="H33" s="35"/>
      <c r="K33" s="163"/>
      <c r="L33" s="45"/>
      <c r="M33" s="46"/>
      <c r="N33" s="35"/>
      <c r="Q33" s="807" t="s">
        <v>404</v>
      </c>
      <c r="R33" s="219" t="s">
        <v>398</v>
      </c>
      <c r="S33" s="50">
        <f>_11・初任</f>
        <v>0.7</v>
      </c>
      <c r="T33" s="208">
        <f>ROUND((ROUND((_11_A家事０．７５*_11・重度研修),0)*_11・初任),0)+ROUND((ROUND((ROUND((_11_B家事０．７５＿０．７５*_11・重度研修),0)*(1+_11・B夜間)),0)*_11・初任),0)</f>
        <v>193</v>
      </c>
      <c r="U33" s="48"/>
    </row>
    <row r="34" spans="1:21" ht="16.5" customHeight="1" x14ac:dyDescent="0.15">
      <c r="A34" s="41">
        <v>11</v>
      </c>
      <c r="B34" s="41" t="s">
        <v>12426</v>
      </c>
      <c r="C34" s="74" t="s">
        <v>12427</v>
      </c>
      <c r="D34" s="72"/>
      <c r="F34" s="100">
        <f>_11_B家事０．７５＿０．７５</f>
        <v>122</v>
      </c>
      <c r="G34" s="12" t="s">
        <v>392</v>
      </c>
      <c r="H34" s="35"/>
      <c r="K34" s="44" t="s">
        <v>397</v>
      </c>
      <c r="L34" s="218" t="s">
        <v>398</v>
      </c>
      <c r="M34" s="46">
        <v>1</v>
      </c>
      <c r="N34" s="35"/>
      <c r="Q34" s="808"/>
      <c r="R34" s="220"/>
      <c r="S34" s="38"/>
      <c r="T34" s="208">
        <f>ROUND((ROUND((ROUND((_11_A家事０．７５*_11・重度研修),0)*_11・２人),0)*_11・初任),0)+ROUND((ROUND((ROUND((ROUND((_11_B家事０．７５＿０．７５*_11・重度研修),0)*_11・２人),0)*(1+_11・B夜間)),0)*_11・初任),0)</f>
        <v>193</v>
      </c>
      <c r="U34" s="48"/>
    </row>
    <row r="35" spans="1:21" ht="16.5" customHeight="1" x14ac:dyDescent="0.15">
      <c r="A35" s="41">
        <v>11</v>
      </c>
      <c r="B35" s="41">
        <v>8539</v>
      </c>
      <c r="C35" s="74" t="s">
        <v>12428</v>
      </c>
      <c r="D35" s="707" t="s">
        <v>8292</v>
      </c>
      <c r="E35" s="798"/>
      <c r="F35" s="707" t="s">
        <v>9713</v>
      </c>
      <c r="G35" s="798"/>
      <c r="H35" s="35"/>
      <c r="K35" s="163"/>
      <c r="L35" s="45"/>
      <c r="M35" s="46"/>
      <c r="N35" s="35"/>
      <c r="Q35" s="260"/>
      <c r="R35" s="221"/>
      <c r="S35" s="50"/>
      <c r="T35" s="208">
        <f>ROUND((_11_A家事１．０*_11・重度研修),0)+ROUND((ROUND((_11_B家事１．０＿０．２５*_11・重度研修),0)*(1+_11・B夜間)),0)</f>
        <v>224</v>
      </c>
      <c r="U35" s="48"/>
    </row>
    <row r="36" spans="1:21" ht="16.5" customHeight="1" x14ac:dyDescent="0.15">
      <c r="A36" s="41">
        <v>11</v>
      </c>
      <c r="B36" s="41">
        <v>8540</v>
      </c>
      <c r="C36" s="74" t="s">
        <v>12429</v>
      </c>
      <c r="D36" s="799"/>
      <c r="E36" s="796"/>
      <c r="F36" s="799"/>
      <c r="G36" s="796"/>
      <c r="H36" s="35"/>
      <c r="K36" s="44" t="s">
        <v>397</v>
      </c>
      <c r="L36" s="218" t="s">
        <v>398</v>
      </c>
      <c r="M36" s="46">
        <v>1</v>
      </c>
      <c r="N36" s="35"/>
      <c r="Q36" s="180"/>
      <c r="R36" s="216"/>
      <c r="S36" s="38"/>
      <c r="T36" s="208">
        <f>ROUND((ROUND((_11_A家事１．０*_11・重度研修),0)*_11・２人),0)+ROUND((ROUND((ROUND((_11_B家事１．０＿０．２５*_11・重度研修),0)*_11・２人),0)*(1+_11・B夜間)),0)</f>
        <v>224</v>
      </c>
      <c r="U36" s="48"/>
    </row>
    <row r="37" spans="1:21" ht="16.5" customHeight="1" x14ac:dyDescent="0.15">
      <c r="A37" s="41">
        <v>11</v>
      </c>
      <c r="B37" s="41" t="s">
        <v>12430</v>
      </c>
      <c r="C37" s="74" t="s">
        <v>12431</v>
      </c>
      <c r="D37" s="799"/>
      <c r="E37" s="796"/>
      <c r="F37" s="799"/>
      <c r="G37" s="796"/>
      <c r="H37" s="35"/>
      <c r="K37" s="163"/>
      <c r="L37" s="45"/>
      <c r="M37" s="46"/>
      <c r="N37" s="35"/>
      <c r="Q37" s="807" t="s">
        <v>404</v>
      </c>
      <c r="R37" s="219" t="s">
        <v>398</v>
      </c>
      <c r="S37" s="50">
        <f>_11・初任</f>
        <v>0.7</v>
      </c>
      <c r="T37" s="208">
        <f>ROUND((ROUND((_11_A家事１．０*_11・重度研修),0)*_11・初任),0)+ROUND((ROUND((ROUND((_11_B家事１．０＿０．２５*_11・重度研修),0)*(1+_11・B夜間)),0)*_11・初任),0)</f>
        <v>157</v>
      </c>
      <c r="U37" s="48"/>
    </row>
    <row r="38" spans="1:21" ht="16.5" customHeight="1" x14ac:dyDescent="0.15">
      <c r="A38" s="41">
        <v>11</v>
      </c>
      <c r="B38" s="41" t="s">
        <v>12432</v>
      </c>
      <c r="C38" s="74" t="s">
        <v>12433</v>
      </c>
      <c r="D38" s="100">
        <f>_11_A家事１．０</f>
        <v>196</v>
      </c>
      <c r="E38" s="12" t="s">
        <v>392</v>
      </c>
      <c r="F38" s="100">
        <f>_11_B家事１．０＿０．２５</f>
        <v>42</v>
      </c>
      <c r="G38" s="12" t="s">
        <v>392</v>
      </c>
      <c r="H38" s="35"/>
      <c r="K38" s="44" t="s">
        <v>397</v>
      </c>
      <c r="L38" s="218" t="s">
        <v>398</v>
      </c>
      <c r="M38" s="46">
        <v>1</v>
      </c>
      <c r="N38" s="35"/>
      <c r="Q38" s="808"/>
      <c r="R38" s="220"/>
      <c r="S38" s="38"/>
      <c r="T38" s="208">
        <f>ROUND((ROUND((ROUND((_11_A家事１．０*_11・重度研修),0)*_11・２人),0)*_11・初任),0)+ROUND((ROUND((ROUND((ROUND((_11_B家事１．０＿０．２５*_11・重度研修),0)*_11・２人),0)*(1+_11・B夜間)),0)*_11・初任),0)</f>
        <v>157</v>
      </c>
      <c r="U38" s="48"/>
    </row>
    <row r="39" spans="1:21" ht="16.5" customHeight="1" x14ac:dyDescent="0.15">
      <c r="A39" s="41">
        <v>11</v>
      </c>
      <c r="B39" s="41">
        <v>8541</v>
      </c>
      <c r="C39" s="74" t="s">
        <v>12434</v>
      </c>
      <c r="D39" s="72"/>
      <c r="F39" s="707" t="s">
        <v>9726</v>
      </c>
      <c r="G39" s="798"/>
      <c r="H39" s="35"/>
      <c r="K39" s="163"/>
      <c r="L39" s="45"/>
      <c r="M39" s="46"/>
      <c r="N39" s="35"/>
      <c r="Q39" s="260"/>
      <c r="R39" s="221"/>
      <c r="S39" s="50"/>
      <c r="T39" s="208">
        <f>ROUND((_11_A家事１．０*_11・重度研修),0)+ROUND((ROUND((_11_B家事１．０＿０．５*_11・重度研修),0)*(1+_11・B夜間)),0)</f>
        <v>264</v>
      </c>
      <c r="U39" s="48"/>
    </row>
    <row r="40" spans="1:21" ht="16.5" customHeight="1" x14ac:dyDescent="0.15">
      <c r="A40" s="41">
        <v>11</v>
      </c>
      <c r="B40" s="41">
        <v>8542</v>
      </c>
      <c r="C40" s="74" t="s">
        <v>12435</v>
      </c>
      <c r="D40" s="72"/>
      <c r="F40" s="799"/>
      <c r="G40" s="796"/>
      <c r="H40" s="35"/>
      <c r="K40" s="44" t="s">
        <v>397</v>
      </c>
      <c r="L40" s="218" t="s">
        <v>398</v>
      </c>
      <c r="M40" s="46">
        <v>1</v>
      </c>
      <c r="N40" s="35"/>
      <c r="Q40" s="180"/>
      <c r="R40" s="216"/>
      <c r="S40" s="38"/>
      <c r="T40" s="208">
        <f>ROUND((ROUND((_11_A家事１．０*_11・重度研修),0)*_11・２人),0)+ROUND((ROUND((ROUND((_11_B家事１．０＿０．５*_11・重度研修),0)*_11・２人),0)*(1+_11・B夜間)),0)</f>
        <v>264</v>
      </c>
      <c r="U40" s="48"/>
    </row>
    <row r="41" spans="1:21" ht="16.5" customHeight="1" x14ac:dyDescent="0.15">
      <c r="A41" s="41">
        <v>11</v>
      </c>
      <c r="B41" s="41" t="s">
        <v>12436</v>
      </c>
      <c r="C41" s="74" t="s">
        <v>12437</v>
      </c>
      <c r="D41" s="72"/>
      <c r="F41" s="799"/>
      <c r="G41" s="796"/>
      <c r="H41" s="35"/>
      <c r="K41" s="163"/>
      <c r="L41" s="45"/>
      <c r="M41" s="46"/>
      <c r="N41" s="35"/>
      <c r="Q41" s="807" t="s">
        <v>404</v>
      </c>
      <c r="R41" s="219" t="s">
        <v>398</v>
      </c>
      <c r="S41" s="50">
        <f>_11・初任</f>
        <v>0.7</v>
      </c>
      <c r="T41" s="208">
        <f>ROUND((ROUND((_11_A家事１．０*_11・重度研修),0)*_11・初任),0)+ROUND((ROUND((ROUND((_11_B家事１．０＿０．５*_11・重度研修),0)*(1+_11・B夜間)),0)*_11・初任),0)</f>
        <v>185</v>
      </c>
      <c r="U41" s="48"/>
    </row>
    <row r="42" spans="1:21" ht="16.5" customHeight="1" x14ac:dyDescent="0.15">
      <c r="A42" s="41">
        <v>11</v>
      </c>
      <c r="B42" s="41" t="s">
        <v>12438</v>
      </c>
      <c r="C42" s="74" t="s">
        <v>12439</v>
      </c>
      <c r="D42" s="72"/>
      <c r="F42" s="100">
        <f>_11_B家事１．０＿０．５</f>
        <v>78</v>
      </c>
      <c r="G42" s="12" t="s">
        <v>392</v>
      </c>
      <c r="H42" s="35"/>
      <c r="K42" s="44" t="s">
        <v>397</v>
      </c>
      <c r="L42" s="218" t="s">
        <v>398</v>
      </c>
      <c r="M42" s="46">
        <v>1</v>
      </c>
      <c r="N42" s="35"/>
      <c r="Q42" s="808"/>
      <c r="R42" s="220"/>
      <c r="S42" s="38"/>
      <c r="T42" s="208">
        <f>ROUND((ROUND((ROUND((_11_A家事１．０*_11・重度研修),0)*_11・２人),0)*_11・初任),0)+ROUND((ROUND((ROUND((ROUND((_11_B家事１．０＿０．５*_11・重度研修),0)*_11・２人),0)*(1+_11・B夜間)),0)*_11・初任),0)</f>
        <v>185</v>
      </c>
      <c r="U42" s="48"/>
    </row>
    <row r="43" spans="1:21" ht="16.5" customHeight="1" x14ac:dyDescent="0.15">
      <c r="A43" s="41">
        <v>11</v>
      </c>
      <c r="B43" s="41">
        <v>8543</v>
      </c>
      <c r="C43" s="74" t="s">
        <v>12440</v>
      </c>
      <c r="D43" s="707" t="s">
        <v>8305</v>
      </c>
      <c r="E43" s="798"/>
      <c r="F43" s="707" t="s">
        <v>9713</v>
      </c>
      <c r="G43" s="798"/>
      <c r="H43" s="35"/>
      <c r="K43" s="163"/>
      <c r="L43" s="45"/>
      <c r="M43" s="46"/>
      <c r="N43" s="35"/>
      <c r="Q43" s="260"/>
      <c r="R43" s="221"/>
      <c r="S43" s="50"/>
      <c r="T43" s="208">
        <f>ROUND((_11_A家事１．２５*_11・重度研修),0)+ROUND((ROUND((_11_B家事１．２５＿０．２５*_11・重度研修),0)*(1+_11・B夜間)),0)</f>
        <v>254</v>
      </c>
      <c r="U43" s="48"/>
    </row>
    <row r="44" spans="1:21" ht="16.5" customHeight="1" x14ac:dyDescent="0.15">
      <c r="A44" s="41">
        <v>11</v>
      </c>
      <c r="B44" s="41">
        <v>8544</v>
      </c>
      <c r="C44" s="74" t="s">
        <v>12441</v>
      </c>
      <c r="D44" s="799"/>
      <c r="E44" s="796"/>
      <c r="F44" s="799"/>
      <c r="G44" s="796"/>
      <c r="H44" s="35"/>
      <c r="K44" s="44" t="s">
        <v>397</v>
      </c>
      <c r="L44" s="218" t="s">
        <v>398</v>
      </c>
      <c r="M44" s="46">
        <v>1</v>
      </c>
      <c r="N44" s="35"/>
      <c r="Q44" s="180"/>
      <c r="R44" s="216"/>
      <c r="S44" s="38"/>
      <c r="T44" s="208">
        <f>ROUND((ROUND((_11_A家事１．２５*_11・重度研修),0)*_11・２人),0)+ROUND((ROUND((ROUND((_11_B家事１．２５＿０．２５*_11・重度研修),0)*_11・２人),0)*(1+_11・B夜間)),0)</f>
        <v>254</v>
      </c>
      <c r="U44" s="48"/>
    </row>
    <row r="45" spans="1:21" ht="16.5" customHeight="1" x14ac:dyDescent="0.15">
      <c r="A45" s="41">
        <v>11</v>
      </c>
      <c r="B45" s="41" t="s">
        <v>12442</v>
      </c>
      <c r="C45" s="74" t="s">
        <v>12443</v>
      </c>
      <c r="D45" s="799"/>
      <c r="E45" s="796"/>
      <c r="F45" s="799"/>
      <c r="G45" s="796"/>
      <c r="H45" s="35"/>
      <c r="K45" s="163"/>
      <c r="L45" s="45"/>
      <c r="M45" s="46"/>
      <c r="N45" s="35"/>
      <c r="Q45" s="807" t="s">
        <v>404</v>
      </c>
      <c r="R45" s="219" t="s">
        <v>398</v>
      </c>
      <c r="S45" s="50">
        <f>_11・初任</f>
        <v>0.7</v>
      </c>
      <c r="T45" s="208">
        <f>ROUND((ROUND((_11_A家事１．２５*_11・重度研修),0)*_11・初任),0)+ROUND((ROUND((ROUND((_11_B家事１．２５＿０．２５*_11・重度研修),0)*(1+_11・B夜間)),0)*_11・初任),0)</f>
        <v>178</v>
      </c>
      <c r="U45" s="48"/>
    </row>
    <row r="46" spans="1:21" ht="16.5" customHeight="1" x14ac:dyDescent="0.15">
      <c r="A46" s="41">
        <v>11</v>
      </c>
      <c r="B46" s="41" t="s">
        <v>12444</v>
      </c>
      <c r="C46" s="74" t="s">
        <v>12445</v>
      </c>
      <c r="D46" s="165">
        <f>_11_A家事１．２５</f>
        <v>238</v>
      </c>
      <c r="E46" s="37" t="s">
        <v>392</v>
      </c>
      <c r="F46" s="165">
        <f>_11_B家事１．２５＿０．２５</f>
        <v>36</v>
      </c>
      <c r="G46" s="37" t="s">
        <v>392</v>
      </c>
      <c r="H46" s="43"/>
      <c r="I46" s="37"/>
      <c r="J46" s="38"/>
      <c r="K46" s="44" t="s">
        <v>397</v>
      </c>
      <c r="L46" s="218" t="s">
        <v>398</v>
      </c>
      <c r="M46" s="46">
        <v>1</v>
      </c>
      <c r="N46" s="43"/>
      <c r="O46" s="37"/>
      <c r="P46" s="38"/>
      <c r="Q46" s="808"/>
      <c r="R46" s="220"/>
      <c r="S46" s="38"/>
      <c r="T46" s="208">
        <f>ROUND((ROUND((ROUND((_11_A家事１．２５*_11・重度研修),0)*_11・２人),0)*_11・初任),0)+ROUND((ROUND((ROUND((ROUND((_11_B家事１．２５＿０．２５*_11・重度研修),0)*_11・２人),0)*(1+_11・B夜間)),0)*_11・初任),0)</f>
        <v>178</v>
      </c>
      <c r="U46" s="63"/>
    </row>
    <row r="47" spans="1:21" ht="16.5" customHeight="1" x14ac:dyDescent="0.15"/>
    <row r="48" spans="1:21" ht="16.5" customHeight="1" x14ac:dyDescent="0.15"/>
  </sheetData>
  <mergeCells count="26">
    <mergeCell ref="F39:G41"/>
    <mergeCell ref="Q41:Q42"/>
    <mergeCell ref="D43:E45"/>
    <mergeCell ref="F43:G45"/>
    <mergeCell ref="Q45:Q46"/>
    <mergeCell ref="F27:G29"/>
    <mergeCell ref="Q29:Q30"/>
    <mergeCell ref="F31:G33"/>
    <mergeCell ref="Q33:Q34"/>
    <mergeCell ref="D35:E37"/>
    <mergeCell ref="F35:G37"/>
    <mergeCell ref="Q37:Q38"/>
    <mergeCell ref="F15:G17"/>
    <mergeCell ref="Q17:Q18"/>
    <mergeCell ref="F19:G21"/>
    <mergeCell ref="Q21:Q22"/>
    <mergeCell ref="D23:E25"/>
    <mergeCell ref="F23:G25"/>
    <mergeCell ref="Q25:Q26"/>
    <mergeCell ref="F11:G13"/>
    <mergeCell ref="Q13:Q14"/>
    <mergeCell ref="D7:E9"/>
    <mergeCell ref="F7:G9"/>
    <mergeCell ref="H7:J9"/>
    <mergeCell ref="P8:P9"/>
    <mergeCell ref="Q9:Q10"/>
  </mergeCells>
  <phoneticPr fontId="1"/>
  <printOptions horizontalCentered="1"/>
  <pageMargins left="0.70866141732283472" right="0.70866141732283472" top="0.74803149606299213" bottom="0.74803149606299213" header="0.31496062992125984" footer="0.31496062992125984"/>
  <pageSetup paperSize="9" scale="53" fitToHeight="0" orientation="portrait" r:id="rId1"/>
  <headerFooter>
    <oddHeader>&amp;R&amp;"ＭＳ Ｐゴシック"&amp;9居宅介護</oddHeader>
    <oddFooter>&amp;C&amp;"ＭＳ Ｐゴシック"&amp;14&amp;P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6">
    <pageSetUpPr fitToPage="1"/>
  </sheetPr>
  <dimension ref="A1:Z49"/>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5" style="10" bestFit="1" customWidth="1"/>
    <col min="4" max="4" width="2.5" style="12" customWidth="1"/>
    <col min="5" max="5" width="4.875" style="10" customWidth="1"/>
    <col min="6" max="6" width="4.875" style="12" customWidth="1"/>
    <col min="7" max="7" width="2.5" style="12" customWidth="1"/>
    <col min="8" max="8" width="4.875" style="10" customWidth="1"/>
    <col min="9" max="9" width="4.875" style="12" customWidth="1"/>
    <col min="10" max="10" width="3.125" style="12" customWidth="1"/>
    <col min="11" max="11" width="2.5" style="12" customWidth="1"/>
    <col min="12" max="12" width="4.5" style="13" bestFit="1" customWidth="1"/>
    <col min="13" max="13" width="24.125" style="12" bestFit="1" customWidth="1"/>
    <col min="14" max="14" width="2.5" style="12" customWidth="1"/>
    <col min="15" max="15" width="5.5" style="13" bestFit="1" customWidth="1"/>
    <col min="16" max="16" width="2.5" style="12" customWidth="1"/>
    <col min="17" max="17" width="3.875" style="12" customWidth="1"/>
    <col min="18" max="18" width="4.5" style="13" customWidth="1"/>
    <col min="19" max="19" width="2.5" style="12" customWidth="1"/>
    <col min="20" max="20" width="3.875" style="12" customWidth="1"/>
    <col min="21" max="21" width="4.5" style="13" bestFit="1" customWidth="1"/>
    <col min="22" max="22" width="17.875" style="12" customWidth="1"/>
    <col min="23" max="23" width="2.5" style="242" customWidth="1"/>
    <col min="24" max="24" width="4.5" style="13" bestFit="1" customWidth="1"/>
    <col min="25" max="25" width="7.125" style="206" customWidth="1"/>
    <col min="26" max="26" width="8.5" style="16" customWidth="1"/>
    <col min="27" max="16384" width="8.875" style="12"/>
  </cols>
  <sheetData>
    <row r="1" spans="1:26" ht="17.100000000000001" customHeight="1" x14ac:dyDescent="0.15"/>
    <row r="2" spans="1:26" ht="17.100000000000001" customHeight="1" x14ac:dyDescent="0.15"/>
    <row r="3" spans="1:26" ht="17.100000000000001" customHeight="1" x14ac:dyDescent="0.15"/>
    <row r="4" spans="1:26" ht="17.100000000000001" customHeight="1" x14ac:dyDescent="0.15">
      <c r="B4" s="17" t="s">
        <v>12446</v>
      </c>
      <c r="E4" s="71"/>
    </row>
    <row r="5" spans="1:26" ht="16.5" customHeight="1" x14ac:dyDescent="0.15">
      <c r="A5" s="19" t="s">
        <v>384</v>
      </c>
      <c r="B5" s="20"/>
      <c r="C5" s="21" t="s">
        <v>385</v>
      </c>
      <c r="D5" s="235" t="s">
        <v>386</v>
      </c>
      <c r="E5" s="23"/>
      <c r="F5" s="23"/>
      <c r="G5" s="23"/>
      <c r="H5" s="23"/>
      <c r="I5" s="23"/>
      <c r="J5" s="23"/>
      <c r="K5" s="23"/>
      <c r="L5" s="24"/>
      <c r="M5" s="23"/>
      <c r="N5" s="23"/>
      <c r="O5" s="24"/>
      <c r="P5" s="23"/>
      <c r="Q5" s="23"/>
      <c r="R5" s="24"/>
      <c r="S5" s="23"/>
      <c r="T5" s="23"/>
      <c r="U5" s="24"/>
      <c r="V5" s="23"/>
      <c r="W5" s="23"/>
      <c r="X5" s="24"/>
      <c r="Y5" s="21" t="s">
        <v>387</v>
      </c>
      <c r="Z5" s="21" t="s">
        <v>388</v>
      </c>
    </row>
    <row r="6" spans="1:26" ht="16.5" customHeight="1" x14ac:dyDescent="0.15">
      <c r="A6" s="26" t="s">
        <v>389</v>
      </c>
      <c r="B6" s="26" t="s">
        <v>390</v>
      </c>
      <c r="C6" s="27"/>
      <c r="D6" s="726" t="s">
        <v>1032</v>
      </c>
      <c r="E6" s="731"/>
      <c r="F6" s="737"/>
      <c r="G6" s="751" t="s">
        <v>1033</v>
      </c>
      <c r="H6" s="749"/>
      <c r="I6" s="750"/>
      <c r="J6" s="29"/>
      <c r="K6" s="29"/>
      <c r="L6" s="30"/>
      <c r="M6" s="29"/>
      <c r="N6" s="29"/>
      <c r="O6" s="30"/>
      <c r="P6" s="29"/>
      <c r="Q6" s="29"/>
      <c r="R6" s="30"/>
      <c r="S6" s="29"/>
      <c r="T6" s="29"/>
      <c r="U6" s="30"/>
      <c r="V6" s="29"/>
      <c r="W6" s="214"/>
      <c r="X6" s="30"/>
      <c r="Y6" s="32" t="s">
        <v>391</v>
      </c>
      <c r="Z6" s="32" t="s">
        <v>392</v>
      </c>
    </row>
    <row r="7" spans="1:26" ht="16.5" customHeight="1" x14ac:dyDescent="0.15">
      <c r="A7" s="33">
        <v>11</v>
      </c>
      <c r="B7" s="33">
        <v>8545</v>
      </c>
      <c r="C7" s="34" t="s">
        <v>12447</v>
      </c>
      <c r="D7" s="736" t="s">
        <v>5541</v>
      </c>
      <c r="E7" s="704"/>
      <c r="F7" s="718"/>
      <c r="G7" s="709" t="s">
        <v>9838</v>
      </c>
      <c r="H7" s="704"/>
      <c r="I7" s="718"/>
      <c r="J7" s="709" t="s">
        <v>11707</v>
      </c>
      <c r="K7" s="797"/>
      <c r="L7" s="796"/>
      <c r="M7" s="37"/>
      <c r="N7" s="37"/>
      <c r="O7" s="38"/>
      <c r="P7" s="92" t="s">
        <v>1416</v>
      </c>
      <c r="R7" s="234"/>
      <c r="S7" s="72" t="s">
        <v>1618</v>
      </c>
      <c r="U7" s="234"/>
      <c r="V7" s="35"/>
      <c r="Y7" s="207">
        <f>ROUND((ROUND((_11_A家事０．５*_11・重度研修),0)*(1+_11・A夜間)),0)+ROUND((ROUND((_11_B家事０．５＿０．２５*_11・重度研修),0)*(1+_11・B深夜)),0)</f>
        <v>182</v>
      </c>
      <c r="Z7" s="40" t="s">
        <v>395</v>
      </c>
    </row>
    <row r="8" spans="1:26" ht="16.5" customHeight="1" x14ac:dyDescent="0.15">
      <c r="A8" s="41">
        <v>11</v>
      </c>
      <c r="B8" s="41">
        <v>8546</v>
      </c>
      <c r="C8" s="74" t="s">
        <v>12448</v>
      </c>
      <c r="D8" s="736"/>
      <c r="E8" s="704"/>
      <c r="F8" s="718"/>
      <c r="G8" s="709"/>
      <c r="H8" s="704"/>
      <c r="I8" s="718"/>
      <c r="J8" s="799"/>
      <c r="K8" s="797"/>
      <c r="L8" s="796"/>
      <c r="M8" s="217" t="s">
        <v>397</v>
      </c>
      <c r="N8" s="218" t="s">
        <v>398</v>
      </c>
      <c r="O8" s="46">
        <v>1</v>
      </c>
      <c r="P8" s="258" t="s">
        <v>398</v>
      </c>
      <c r="Q8" s="13">
        <v>0.25</v>
      </c>
      <c r="R8" s="718" t="s">
        <v>676</v>
      </c>
      <c r="S8" s="257" t="s">
        <v>398</v>
      </c>
      <c r="T8" s="13">
        <v>0.5</v>
      </c>
      <c r="U8" s="718" t="s">
        <v>676</v>
      </c>
      <c r="V8" s="43"/>
      <c r="W8" s="220"/>
      <c r="X8" s="38"/>
      <c r="Y8" s="208">
        <f>ROUND((ROUND((ROUND((_11_A家事０．５*_11・重度研修),0)*_11・２人),0)*(1+_11・A夜間)),0)+ROUND((ROUND((ROUND((_11_B家事０．５＿０．２５*_11・重度研修),0)*_11・２人),0)*(1+_11・B深夜)),0)</f>
        <v>182</v>
      </c>
      <c r="Z8" s="48"/>
    </row>
    <row r="9" spans="1:26" ht="16.5" customHeight="1" x14ac:dyDescent="0.15">
      <c r="A9" s="41">
        <v>11</v>
      </c>
      <c r="B9" s="41" t="s">
        <v>12449</v>
      </c>
      <c r="C9" s="74" t="s">
        <v>12450</v>
      </c>
      <c r="D9" s="736"/>
      <c r="E9" s="704"/>
      <c r="F9" s="718"/>
      <c r="G9" s="709"/>
      <c r="H9" s="704"/>
      <c r="I9" s="718"/>
      <c r="J9" s="799"/>
      <c r="K9" s="797"/>
      <c r="L9" s="796"/>
      <c r="M9" s="45"/>
      <c r="N9" s="45"/>
      <c r="O9" s="46"/>
      <c r="P9" s="35"/>
      <c r="R9" s="796"/>
      <c r="S9" s="35"/>
      <c r="U9" s="796"/>
      <c r="V9" s="734" t="s">
        <v>404</v>
      </c>
      <c r="W9" s="219" t="s">
        <v>398</v>
      </c>
      <c r="X9" s="50">
        <f>_11・初任</f>
        <v>0.7</v>
      </c>
      <c r="Y9" s="208">
        <f>ROUND((ROUND((ROUND((_11_A家事０．５*_11・重度研修),0)*(1+_11・A夜間)),0)*_11・初任),0)+ROUND((ROUND((ROUND((_11_B家事０．５＿０．２５*_11・重度研修),0)*(1+_11・B深夜)),0)*_11・初任),0)</f>
        <v>127</v>
      </c>
      <c r="Z9" s="48"/>
    </row>
    <row r="10" spans="1:26" ht="16.5" customHeight="1" x14ac:dyDescent="0.15">
      <c r="A10" s="41">
        <v>11</v>
      </c>
      <c r="B10" s="41" t="s">
        <v>12451</v>
      </c>
      <c r="C10" s="74" t="s">
        <v>12452</v>
      </c>
      <c r="D10" s="72"/>
      <c r="E10" s="170">
        <f>_11_A家事０．５</f>
        <v>105</v>
      </c>
      <c r="F10" s="267" t="s">
        <v>392</v>
      </c>
      <c r="G10" s="10"/>
      <c r="H10" s="170">
        <f>_11_B家事０．５＿０．２５</f>
        <v>47</v>
      </c>
      <c r="I10" s="10" t="s">
        <v>392</v>
      </c>
      <c r="J10" s="35"/>
      <c r="K10" s="16" t="s">
        <v>398</v>
      </c>
      <c r="L10" s="234">
        <v>0.9</v>
      </c>
      <c r="M10" s="217" t="s">
        <v>397</v>
      </c>
      <c r="N10" s="218" t="s">
        <v>398</v>
      </c>
      <c r="O10" s="46">
        <v>1</v>
      </c>
      <c r="P10" s="35"/>
      <c r="R10" s="234"/>
      <c r="S10" s="35"/>
      <c r="V10" s="706"/>
      <c r="W10" s="220"/>
      <c r="X10" s="38"/>
      <c r="Y10" s="208">
        <f>ROUND((ROUND((ROUND((ROUND((_11_A家事０．５*_11・重度研修),0)*_11・２人),0)*(1+_11・A夜間)),0)*_11・初任),0)+ROUND((ROUND((ROUND((ROUND((_11_B家事０．５＿０．２５*_11・重度研修),0)*_11・２人),0)*(1+_11・B深夜)),0)*_11・初任),0)</f>
        <v>127</v>
      </c>
      <c r="Z10" s="48"/>
    </row>
    <row r="11" spans="1:26" ht="16.5" customHeight="1" x14ac:dyDescent="0.15">
      <c r="A11" s="41">
        <v>11</v>
      </c>
      <c r="B11" s="41">
        <v>8547</v>
      </c>
      <c r="C11" s="74" t="s">
        <v>12453</v>
      </c>
      <c r="D11" s="35"/>
      <c r="F11" s="171"/>
      <c r="G11" s="735" t="s">
        <v>9851</v>
      </c>
      <c r="H11" s="708"/>
      <c r="I11" s="717"/>
      <c r="J11" s="35"/>
      <c r="M11" s="163"/>
      <c r="N11" s="45"/>
      <c r="O11" s="46"/>
      <c r="P11" s="35"/>
      <c r="S11" s="35"/>
      <c r="V11" s="53"/>
      <c r="W11" s="245"/>
      <c r="X11" s="50"/>
      <c r="Y11" s="208">
        <f>ROUND((ROUND((_11_A家事０．５*_11・重度研修),0)*(1+_11・A夜間)),0)+ROUND((ROUND((_11_B家事０．５＿０．５*_11・重度研修),0)*(1+_11・B深夜)),0)</f>
        <v>242</v>
      </c>
      <c r="Z11" s="48"/>
    </row>
    <row r="12" spans="1:26" ht="16.5" customHeight="1" x14ac:dyDescent="0.15">
      <c r="A12" s="41">
        <v>11</v>
      </c>
      <c r="B12" s="41">
        <v>8548</v>
      </c>
      <c r="C12" s="74" t="s">
        <v>12454</v>
      </c>
      <c r="D12" s="35"/>
      <c r="F12" s="171"/>
      <c r="G12" s="736"/>
      <c r="H12" s="704"/>
      <c r="I12" s="718"/>
      <c r="J12" s="35"/>
      <c r="M12" s="256" t="s">
        <v>397</v>
      </c>
      <c r="N12" s="218" t="s">
        <v>398</v>
      </c>
      <c r="O12" s="46">
        <v>1</v>
      </c>
      <c r="P12" s="35"/>
      <c r="S12" s="35"/>
      <c r="V12" s="43"/>
      <c r="W12" s="220"/>
      <c r="X12" s="38"/>
      <c r="Y12" s="208">
        <f>ROUND((ROUND((ROUND((_11_A家事０．５*_11・重度研修),0)*_11・２人),0)*(1+_11・A夜間)),0)+ROUND((ROUND((ROUND((_11_B家事０．５＿０．５*_11・重度研修),0)*_11・２人),0)*(1+_11・B深夜)),0)</f>
        <v>242</v>
      </c>
      <c r="Z12" s="48"/>
    </row>
    <row r="13" spans="1:26" ht="16.5" customHeight="1" x14ac:dyDescent="0.15">
      <c r="A13" s="41">
        <v>11</v>
      </c>
      <c r="B13" s="41" t="s">
        <v>12455</v>
      </c>
      <c r="C13" s="74" t="s">
        <v>12456</v>
      </c>
      <c r="D13" s="35"/>
      <c r="F13" s="171"/>
      <c r="G13" s="736"/>
      <c r="H13" s="704"/>
      <c r="I13" s="718"/>
      <c r="J13" s="35"/>
      <c r="M13" s="163"/>
      <c r="N13" s="45"/>
      <c r="O13" s="46"/>
      <c r="P13" s="35"/>
      <c r="S13" s="35"/>
      <c r="V13" s="734" t="s">
        <v>404</v>
      </c>
      <c r="W13" s="219" t="s">
        <v>398</v>
      </c>
      <c r="X13" s="50">
        <f>_11・初任</f>
        <v>0.7</v>
      </c>
      <c r="Y13" s="208">
        <f>ROUND((ROUND((ROUND((_11_A家事０．５*_11・重度研修),0)*(1+_11・A夜間)),0)*_11・初任),0)+ROUND((ROUND((ROUND((_11_B家事０．５＿０．５*_11・重度研修),0)*(1+_11・B深夜)),0)*_11・初任),0)</f>
        <v>169</v>
      </c>
      <c r="Z13" s="48"/>
    </row>
    <row r="14" spans="1:26" ht="16.5" customHeight="1" x14ac:dyDescent="0.15">
      <c r="A14" s="41">
        <v>11</v>
      </c>
      <c r="B14" s="41" t="s">
        <v>12457</v>
      </c>
      <c r="C14" s="74" t="s">
        <v>12458</v>
      </c>
      <c r="D14" s="35"/>
      <c r="F14" s="171"/>
      <c r="H14" s="170">
        <f>_11_B家事０．５＿０．５</f>
        <v>91</v>
      </c>
      <c r="I14" s="10" t="s">
        <v>392</v>
      </c>
      <c r="J14" s="35"/>
      <c r="M14" s="256" t="s">
        <v>397</v>
      </c>
      <c r="N14" s="218" t="s">
        <v>398</v>
      </c>
      <c r="O14" s="46">
        <v>1</v>
      </c>
      <c r="P14" s="35"/>
      <c r="S14" s="35"/>
      <c r="V14" s="706"/>
      <c r="W14" s="220"/>
      <c r="X14" s="38"/>
      <c r="Y14" s="208">
        <f>ROUND((ROUND((ROUND((ROUND((_11_A家事０．５*_11・重度研修),0)*_11・２人),0)*(1+_11・A夜間)),0)*_11・初任),0)+ROUND((ROUND((ROUND((ROUND((_11_B家事０．５＿０．５*_11・重度研修),0)*_11・２人),0)*(1+_11・B深夜)),0)*_11・初任),0)</f>
        <v>169</v>
      </c>
      <c r="Z14" s="48"/>
    </row>
    <row r="15" spans="1:26" ht="16.5" customHeight="1" x14ac:dyDescent="0.15">
      <c r="A15" s="41">
        <v>11</v>
      </c>
      <c r="B15" s="41">
        <v>8549</v>
      </c>
      <c r="C15" s="74" t="s">
        <v>12459</v>
      </c>
      <c r="D15" s="35"/>
      <c r="F15" s="171"/>
      <c r="G15" s="735" t="s">
        <v>9864</v>
      </c>
      <c r="H15" s="708"/>
      <c r="I15" s="717"/>
      <c r="J15" s="35"/>
      <c r="M15" s="163"/>
      <c r="N15" s="45"/>
      <c r="O15" s="46"/>
      <c r="P15" s="35"/>
      <c r="S15" s="35"/>
      <c r="V15" s="53"/>
      <c r="W15" s="245"/>
      <c r="X15" s="50"/>
      <c r="Y15" s="208">
        <f>ROUND((ROUND((_11_A家事０．５*_11・重度研修),0)*(1+_11・A夜間)),0)+ROUND((ROUND((_11_B家事０．５＿０．７５*_11・重度研修),0)*(1+_11・B深夜)),0)</f>
        <v>299</v>
      </c>
      <c r="Z15" s="48"/>
    </row>
    <row r="16" spans="1:26" ht="16.5" customHeight="1" x14ac:dyDescent="0.15">
      <c r="A16" s="41">
        <v>11</v>
      </c>
      <c r="B16" s="41">
        <v>8550</v>
      </c>
      <c r="C16" s="74" t="s">
        <v>12460</v>
      </c>
      <c r="D16" s="35"/>
      <c r="F16" s="171"/>
      <c r="G16" s="736"/>
      <c r="H16" s="704"/>
      <c r="I16" s="718"/>
      <c r="J16" s="35"/>
      <c r="M16" s="256" t="s">
        <v>397</v>
      </c>
      <c r="N16" s="218" t="s">
        <v>398</v>
      </c>
      <c r="O16" s="46">
        <v>1</v>
      </c>
      <c r="P16" s="35"/>
      <c r="S16" s="35"/>
      <c r="V16" s="43"/>
      <c r="W16" s="220"/>
      <c r="X16" s="38"/>
      <c r="Y16" s="208">
        <f>ROUND((ROUND((ROUND((_11_A家事０．５*_11・重度研修),0)*_11・２人),0)*(1+_11・A夜間)),0)+ROUND((ROUND((ROUND((_11_B家事０．５＿０．７５*_11・重度研修),0)*_11・２人),0)*(1+_11・B深夜)),0)</f>
        <v>299</v>
      </c>
      <c r="Z16" s="48"/>
    </row>
    <row r="17" spans="1:26" ht="16.5" customHeight="1" x14ac:dyDescent="0.15">
      <c r="A17" s="41">
        <v>11</v>
      </c>
      <c r="B17" s="41" t="s">
        <v>12461</v>
      </c>
      <c r="C17" s="74" t="s">
        <v>12462</v>
      </c>
      <c r="D17" s="35"/>
      <c r="F17" s="171"/>
      <c r="G17" s="736"/>
      <c r="H17" s="704"/>
      <c r="I17" s="718"/>
      <c r="J17" s="35"/>
      <c r="M17" s="163"/>
      <c r="N17" s="45"/>
      <c r="O17" s="46"/>
      <c r="P17" s="35"/>
      <c r="S17" s="35"/>
      <c r="V17" s="734" t="s">
        <v>404</v>
      </c>
      <c r="W17" s="219" t="s">
        <v>398</v>
      </c>
      <c r="X17" s="50">
        <f>_11・初任</f>
        <v>0.7</v>
      </c>
      <c r="Y17" s="208">
        <f>ROUND((ROUND((ROUND((_11_A家事０．５*_11・重度研修),0)*(1+_11・A夜間)),0)*_11・初任),0)+ROUND((ROUND((ROUND((_11_B家事０．５＿０．７５*_11・重度研修),0)*(1+_11・B深夜)),0)*_11・初任),0)</f>
        <v>209</v>
      </c>
      <c r="Z17" s="48"/>
    </row>
    <row r="18" spans="1:26" ht="16.5" customHeight="1" x14ac:dyDescent="0.15">
      <c r="A18" s="41">
        <v>11</v>
      </c>
      <c r="B18" s="41" t="s">
        <v>12463</v>
      </c>
      <c r="C18" s="74" t="s">
        <v>12464</v>
      </c>
      <c r="D18" s="35"/>
      <c r="F18" s="171"/>
      <c r="H18" s="170">
        <f>_11_B家事０．５＿０．７５</f>
        <v>133</v>
      </c>
      <c r="I18" s="10" t="s">
        <v>392</v>
      </c>
      <c r="J18" s="35"/>
      <c r="M18" s="256" t="s">
        <v>397</v>
      </c>
      <c r="N18" s="218" t="s">
        <v>398</v>
      </c>
      <c r="O18" s="46">
        <v>1</v>
      </c>
      <c r="P18" s="35"/>
      <c r="S18" s="35"/>
      <c r="V18" s="706"/>
      <c r="W18" s="220"/>
      <c r="X18" s="38"/>
      <c r="Y18" s="208">
        <f>ROUND((ROUND((ROUND((ROUND((_11_A家事０．５*_11・重度研修),0)*_11・２人),0)*(1+_11・A夜間)),0)*_11・初任),0)+ROUND((ROUND((ROUND((ROUND((_11_B家事０．５＿０．７５*_11・重度研修),0)*_11・２人),0)*(1+_11・B深夜)),0)*_11・初任),0)</f>
        <v>209</v>
      </c>
      <c r="Z18" s="48"/>
    </row>
    <row r="19" spans="1:26" ht="16.5" customHeight="1" x14ac:dyDescent="0.15">
      <c r="A19" s="41">
        <v>11</v>
      </c>
      <c r="B19" s="41">
        <v>8551</v>
      </c>
      <c r="C19" s="74" t="s">
        <v>12465</v>
      </c>
      <c r="D19" s="35"/>
      <c r="F19" s="171"/>
      <c r="G19" s="735" t="s">
        <v>9877</v>
      </c>
      <c r="H19" s="708"/>
      <c r="I19" s="717"/>
      <c r="J19" s="35"/>
      <c r="M19" s="163"/>
      <c r="N19" s="45"/>
      <c r="O19" s="46"/>
      <c r="P19" s="35"/>
      <c r="S19" s="35"/>
      <c r="V19" s="53"/>
      <c r="W19" s="245"/>
      <c r="X19" s="50"/>
      <c r="Y19" s="208">
        <f>ROUND((ROUND((_11_A家事０．５*_11・重度研修),0)*(1+_11・A夜間)),0)+ROUND((ROUND((_11_B家事０．５＿１．０*_11・重度研修),0)*(1+_11・B深夜)),0)</f>
        <v>347</v>
      </c>
      <c r="Z19" s="48"/>
    </row>
    <row r="20" spans="1:26" ht="16.5" customHeight="1" x14ac:dyDescent="0.15">
      <c r="A20" s="41">
        <v>11</v>
      </c>
      <c r="B20" s="41">
        <v>8552</v>
      </c>
      <c r="C20" s="74" t="s">
        <v>12466</v>
      </c>
      <c r="D20" s="35"/>
      <c r="F20" s="171"/>
      <c r="G20" s="736"/>
      <c r="H20" s="704"/>
      <c r="I20" s="718"/>
      <c r="J20" s="35"/>
      <c r="M20" s="256" t="s">
        <v>397</v>
      </c>
      <c r="N20" s="218" t="s">
        <v>398</v>
      </c>
      <c r="O20" s="46">
        <v>1</v>
      </c>
      <c r="P20" s="35"/>
      <c r="S20" s="35"/>
      <c r="V20" s="43"/>
      <c r="W20" s="220"/>
      <c r="X20" s="38"/>
      <c r="Y20" s="208">
        <f>ROUND((ROUND((ROUND((_11_A家事０．５*_11・重度研修),0)*_11・２人),0)*(1+_11・A夜間)),0)+ROUND((ROUND((ROUND((_11_B家事０．５＿１．０*_11・重度研修),0)*_11・２人),0)*(1+_11・B深夜)),0)</f>
        <v>347</v>
      </c>
      <c r="Z20" s="48"/>
    </row>
    <row r="21" spans="1:26" ht="16.5" customHeight="1" x14ac:dyDescent="0.15">
      <c r="A21" s="41">
        <v>11</v>
      </c>
      <c r="B21" s="41" t="s">
        <v>12467</v>
      </c>
      <c r="C21" s="74" t="s">
        <v>12468</v>
      </c>
      <c r="D21" s="35"/>
      <c r="F21" s="171"/>
      <c r="G21" s="736"/>
      <c r="H21" s="704"/>
      <c r="I21" s="718"/>
      <c r="J21" s="35"/>
      <c r="M21" s="163"/>
      <c r="N21" s="45"/>
      <c r="O21" s="46"/>
      <c r="P21" s="35"/>
      <c r="S21" s="35"/>
      <c r="V21" s="734" t="s">
        <v>404</v>
      </c>
      <c r="W21" s="219" t="s">
        <v>398</v>
      </c>
      <c r="X21" s="50">
        <f>_11・初任</f>
        <v>0.7</v>
      </c>
      <c r="Y21" s="208">
        <f>ROUND((ROUND((ROUND((_11_A家事０．５*_11・重度研修),0)*(1+_11・A夜間)),0)*_11・初任),0)+ROUND((ROUND((ROUND((_11_B家事０．５＿１．０*_11・重度研修),0)*(1+_11・B深夜)),0)*_11・初任),0)</f>
        <v>243</v>
      </c>
      <c r="Z21" s="48"/>
    </row>
    <row r="22" spans="1:26" ht="16.5" customHeight="1" x14ac:dyDescent="0.15">
      <c r="A22" s="41">
        <v>11</v>
      </c>
      <c r="B22" s="41" t="s">
        <v>12469</v>
      </c>
      <c r="C22" s="74" t="s">
        <v>12470</v>
      </c>
      <c r="D22" s="35"/>
      <c r="F22" s="171"/>
      <c r="H22" s="170">
        <f>_11_B家事０．５＿１．０</f>
        <v>169</v>
      </c>
      <c r="I22" s="10" t="s">
        <v>392</v>
      </c>
      <c r="J22" s="35"/>
      <c r="M22" s="256" t="s">
        <v>397</v>
      </c>
      <c r="N22" s="218" t="s">
        <v>398</v>
      </c>
      <c r="O22" s="46">
        <v>1</v>
      </c>
      <c r="P22" s="35"/>
      <c r="S22" s="35"/>
      <c r="V22" s="706"/>
      <c r="W22" s="220"/>
      <c r="X22" s="38"/>
      <c r="Y22" s="208">
        <f>ROUND((ROUND((ROUND((ROUND((_11_A家事０．５*_11・重度研修),0)*_11・２人),0)*(1+_11・A夜間)),0)*_11・初任),0)+ROUND((ROUND((ROUND((ROUND((_11_B家事０．５＿１．０*_11・重度研修),0)*_11・２人),0)*(1+_11・B深夜)),0)*_11・初任),0)</f>
        <v>243</v>
      </c>
      <c r="Z22" s="48"/>
    </row>
    <row r="23" spans="1:26" ht="16.5" customHeight="1" x14ac:dyDescent="0.15">
      <c r="A23" s="41">
        <v>11</v>
      </c>
      <c r="B23" s="41">
        <v>8553</v>
      </c>
      <c r="C23" s="74" t="s">
        <v>12471</v>
      </c>
      <c r="D23" s="735" t="s">
        <v>9890</v>
      </c>
      <c r="E23" s="708"/>
      <c r="F23" s="717"/>
      <c r="G23" s="707" t="s">
        <v>9838</v>
      </c>
      <c r="H23" s="708"/>
      <c r="I23" s="717"/>
      <c r="J23" s="35"/>
      <c r="M23" s="163"/>
      <c r="N23" s="45"/>
      <c r="O23" s="46"/>
      <c r="P23" s="35"/>
      <c r="S23" s="35"/>
      <c r="V23" s="53"/>
      <c r="W23" s="245"/>
      <c r="X23" s="50"/>
      <c r="Y23" s="208">
        <f>ROUND((ROUND((_11_A家事０．７５*_11・重度研修),0)*(1+_11・A夜間)),0)+ROUND((ROUND((_11_B家事０．７５＿０．２５*_11・重度研修),0)*(1+_11・B深夜)),0)</f>
        <v>231</v>
      </c>
      <c r="Z23" s="48"/>
    </row>
    <row r="24" spans="1:26" ht="16.5" customHeight="1" x14ac:dyDescent="0.15">
      <c r="A24" s="41">
        <v>11</v>
      </c>
      <c r="B24" s="41">
        <v>8554</v>
      </c>
      <c r="C24" s="74" t="s">
        <v>12472</v>
      </c>
      <c r="D24" s="736"/>
      <c r="E24" s="704"/>
      <c r="F24" s="718"/>
      <c r="G24" s="709"/>
      <c r="H24" s="704"/>
      <c r="I24" s="718"/>
      <c r="J24" s="35"/>
      <c r="M24" s="256" t="s">
        <v>397</v>
      </c>
      <c r="N24" s="218" t="s">
        <v>398</v>
      </c>
      <c r="O24" s="46">
        <v>1</v>
      </c>
      <c r="P24" s="35"/>
      <c r="S24" s="35"/>
      <c r="V24" s="43"/>
      <c r="W24" s="220"/>
      <c r="X24" s="38"/>
      <c r="Y24" s="208">
        <f>ROUND((ROUND((ROUND((_11_A家事０．７５*_11・重度研修),0)*_11・２人),0)*(1+_11・A夜間)),0)+ROUND((ROUND((ROUND((_11_B家事０．７５＿０．２５*_11・重度研修),0)*_11・２人),0)*(1+_11・B深夜)),0)</f>
        <v>231</v>
      </c>
      <c r="Z24" s="48"/>
    </row>
    <row r="25" spans="1:26" ht="16.5" customHeight="1" x14ac:dyDescent="0.15">
      <c r="A25" s="41">
        <v>11</v>
      </c>
      <c r="B25" s="41" t="s">
        <v>12473</v>
      </c>
      <c r="C25" s="74" t="s">
        <v>12474</v>
      </c>
      <c r="D25" s="736"/>
      <c r="E25" s="704"/>
      <c r="F25" s="718"/>
      <c r="G25" s="709"/>
      <c r="H25" s="704"/>
      <c r="I25" s="718"/>
      <c r="J25" s="35"/>
      <c r="M25" s="163"/>
      <c r="N25" s="45"/>
      <c r="O25" s="46"/>
      <c r="P25" s="35"/>
      <c r="S25" s="35"/>
      <c r="V25" s="734" t="s">
        <v>404</v>
      </c>
      <c r="W25" s="219" t="s">
        <v>398</v>
      </c>
      <c r="X25" s="50">
        <f>_11・初任</f>
        <v>0.7</v>
      </c>
      <c r="Y25" s="208">
        <f>ROUND((ROUND((ROUND((_11_A家事０．７５*_11・重度研修),0)*(1+_11・A夜間)),0)*_11・初任),0)+ROUND((ROUND((ROUND((_11_B家事０．７５＿０．２５*_11・重度研修),0)*(1+_11・B深夜)),0)*_11・初任),0)</f>
        <v>162</v>
      </c>
      <c r="Z25" s="48"/>
    </row>
    <row r="26" spans="1:26" ht="16.5" customHeight="1" x14ac:dyDescent="0.15">
      <c r="A26" s="41">
        <v>11</v>
      </c>
      <c r="B26" s="41" t="s">
        <v>12475</v>
      </c>
      <c r="C26" s="74" t="s">
        <v>12476</v>
      </c>
      <c r="D26" s="92"/>
      <c r="E26" s="170">
        <f>_11_A家事０．７５</f>
        <v>152</v>
      </c>
      <c r="F26" s="268" t="s">
        <v>392</v>
      </c>
      <c r="G26" s="254"/>
      <c r="H26" s="170">
        <f>_11_B家事０．７５＿０．２５</f>
        <v>44</v>
      </c>
      <c r="I26" s="10" t="s">
        <v>392</v>
      </c>
      <c r="J26" s="35"/>
      <c r="M26" s="256" t="s">
        <v>397</v>
      </c>
      <c r="N26" s="218" t="s">
        <v>398</v>
      </c>
      <c r="O26" s="46">
        <v>1</v>
      </c>
      <c r="P26" s="35"/>
      <c r="S26" s="35"/>
      <c r="V26" s="706"/>
      <c r="W26" s="220"/>
      <c r="X26" s="38"/>
      <c r="Y26" s="208">
        <f>ROUND((ROUND((ROUND((ROUND((_11_A家事０．７５*_11・重度研修),0)*_11・２人),0)*(1+_11・A夜間)),0)*_11・初任),0)+ROUND((ROUND((ROUND((ROUND((_11_B家事０．７５＿０．２５*_11・重度研修),0)*_11・２人),0)*(1+_11・B深夜)),0)*_11・初任),0)</f>
        <v>162</v>
      </c>
      <c r="Z26" s="48"/>
    </row>
    <row r="27" spans="1:26" ht="16.5" customHeight="1" x14ac:dyDescent="0.15">
      <c r="A27" s="41">
        <v>11</v>
      </c>
      <c r="B27" s="41">
        <v>8555</v>
      </c>
      <c r="C27" s="74" t="s">
        <v>12477</v>
      </c>
      <c r="D27" s="35"/>
      <c r="F27" s="171"/>
      <c r="G27" s="735" t="s">
        <v>9851</v>
      </c>
      <c r="H27" s="708"/>
      <c r="I27" s="717"/>
      <c r="J27" s="35"/>
      <c r="M27" s="163"/>
      <c r="N27" s="45"/>
      <c r="O27" s="46"/>
      <c r="P27" s="35"/>
      <c r="S27" s="35"/>
      <c r="V27" s="53"/>
      <c r="W27" s="245"/>
      <c r="X27" s="50"/>
      <c r="Y27" s="208">
        <f>ROUND((ROUND((_11_A家事０．７５*_11・重度研修),0)*(1+_11・A夜間)),0)+ROUND((ROUND((_11_B家事０．７５＿０．５*_11・重度研修),0)*(1+_11・B深夜)),0)</f>
        <v>287</v>
      </c>
      <c r="Z27" s="48"/>
    </row>
    <row r="28" spans="1:26" ht="16.5" customHeight="1" x14ac:dyDescent="0.15">
      <c r="A28" s="41">
        <v>11</v>
      </c>
      <c r="B28" s="41">
        <v>8556</v>
      </c>
      <c r="C28" s="74" t="s">
        <v>12478</v>
      </c>
      <c r="D28" s="35"/>
      <c r="F28" s="171"/>
      <c r="G28" s="736"/>
      <c r="H28" s="704"/>
      <c r="I28" s="718"/>
      <c r="J28" s="35"/>
      <c r="M28" s="256" t="s">
        <v>397</v>
      </c>
      <c r="N28" s="218" t="s">
        <v>398</v>
      </c>
      <c r="O28" s="46">
        <v>1</v>
      </c>
      <c r="P28" s="35"/>
      <c r="S28" s="35"/>
      <c r="V28" s="43"/>
      <c r="W28" s="220"/>
      <c r="X28" s="38"/>
      <c r="Y28" s="208">
        <f>ROUND((ROUND((ROUND((_11_A家事０．７５*_11・重度研修),0)*_11・２人),0)*(1+_11・A夜間)),0)+ROUND((ROUND((ROUND((_11_B家事０．７５＿０．５*_11・重度研修),0)*_11・２人),0)*(1+_11・B深夜)),0)</f>
        <v>287</v>
      </c>
      <c r="Z28" s="48"/>
    </row>
    <row r="29" spans="1:26" ht="16.5" customHeight="1" x14ac:dyDescent="0.15">
      <c r="A29" s="41">
        <v>11</v>
      </c>
      <c r="B29" s="41" t="s">
        <v>12479</v>
      </c>
      <c r="C29" s="74" t="s">
        <v>12480</v>
      </c>
      <c r="D29" s="35"/>
      <c r="F29" s="171"/>
      <c r="G29" s="736"/>
      <c r="H29" s="704"/>
      <c r="I29" s="718"/>
      <c r="J29" s="35"/>
      <c r="M29" s="163"/>
      <c r="N29" s="45"/>
      <c r="O29" s="46"/>
      <c r="P29" s="35"/>
      <c r="S29" s="35"/>
      <c r="V29" s="734" t="s">
        <v>404</v>
      </c>
      <c r="W29" s="219" t="s">
        <v>398</v>
      </c>
      <c r="X29" s="50">
        <f>_11・初任</f>
        <v>0.7</v>
      </c>
      <c r="Y29" s="208">
        <f>ROUND((ROUND((ROUND((_11_A家事０．７５*_11・重度研修),0)*(1+_11・A夜間)),0)*_11・初任),0)+ROUND((ROUND((ROUND((_11_B家事０．７５＿０．５*_11・重度研修),0)*(1+_11・B深夜)),0)*_11・初任),0)</f>
        <v>201</v>
      </c>
      <c r="Z29" s="48"/>
    </row>
    <row r="30" spans="1:26" ht="16.5" customHeight="1" x14ac:dyDescent="0.15">
      <c r="A30" s="41">
        <v>11</v>
      </c>
      <c r="B30" s="41" t="s">
        <v>12481</v>
      </c>
      <c r="C30" s="74" t="s">
        <v>12482</v>
      </c>
      <c r="D30" s="35"/>
      <c r="F30" s="171"/>
      <c r="H30" s="170">
        <f>_11_B家事０．７５＿０．５</f>
        <v>86</v>
      </c>
      <c r="I30" s="10" t="s">
        <v>392</v>
      </c>
      <c r="J30" s="35"/>
      <c r="M30" s="256" t="s">
        <v>397</v>
      </c>
      <c r="N30" s="218" t="s">
        <v>398</v>
      </c>
      <c r="O30" s="46">
        <v>1</v>
      </c>
      <c r="P30" s="35"/>
      <c r="S30" s="35"/>
      <c r="V30" s="706"/>
      <c r="W30" s="220"/>
      <c r="X30" s="38"/>
      <c r="Y30" s="208">
        <f>ROUND((ROUND((ROUND((ROUND((_11_A家事０．７５*_11・重度研修),0)*_11・２人),0)*(1+_11・A夜間)),0)*_11・初任),0)+ROUND((ROUND((ROUND((ROUND((_11_B家事０．７５＿０．５*_11・重度研修),0)*_11・２人),0)*(1+_11・B深夜)),0)*_11・初任),0)</f>
        <v>201</v>
      </c>
      <c r="Z30" s="48"/>
    </row>
    <row r="31" spans="1:26" ht="16.5" customHeight="1" x14ac:dyDescent="0.15">
      <c r="A31" s="41">
        <v>11</v>
      </c>
      <c r="B31" s="41">
        <v>8557</v>
      </c>
      <c r="C31" s="74" t="s">
        <v>12483</v>
      </c>
      <c r="D31" s="35"/>
      <c r="F31" s="171"/>
      <c r="G31" s="735" t="s">
        <v>9864</v>
      </c>
      <c r="H31" s="708"/>
      <c r="I31" s="717"/>
      <c r="J31" s="35"/>
      <c r="M31" s="163"/>
      <c r="N31" s="45"/>
      <c r="O31" s="46"/>
      <c r="P31" s="35"/>
      <c r="S31" s="35"/>
      <c r="V31" s="53"/>
      <c r="W31" s="245"/>
      <c r="X31" s="50"/>
      <c r="Y31" s="208">
        <f>ROUND((ROUND((_11_A家事０．７５*_11・重度研修),0)*(1+_11・A夜間)),0)+ROUND((ROUND((_11_B家事０．７５＿０．７５*_11・重度研修),0)*(1+_11・B深夜)),0)</f>
        <v>336</v>
      </c>
      <c r="Z31" s="48"/>
    </row>
    <row r="32" spans="1:26" ht="16.5" customHeight="1" x14ac:dyDescent="0.15">
      <c r="A32" s="41">
        <v>11</v>
      </c>
      <c r="B32" s="41">
        <v>8558</v>
      </c>
      <c r="C32" s="74" t="s">
        <v>12484</v>
      </c>
      <c r="D32" s="35"/>
      <c r="F32" s="171"/>
      <c r="G32" s="736"/>
      <c r="H32" s="704"/>
      <c r="I32" s="718"/>
      <c r="J32" s="35"/>
      <c r="M32" s="256" t="s">
        <v>397</v>
      </c>
      <c r="N32" s="218" t="s">
        <v>398</v>
      </c>
      <c r="O32" s="46">
        <v>1</v>
      </c>
      <c r="P32" s="35"/>
      <c r="S32" s="35"/>
      <c r="V32" s="43"/>
      <c r="W32" s="220"/>
      <c r="X32" s="38"/>
      <c r="Y32" s="208">
        <f>ROUND((ROUND((ROUND((_11_A家事０．７５*_11・重度研修),0)*_11・２人),0)*(1+_11・A夜間)),0)+ROUND((ROUND((ROUND((_11_B家事０．７５＿０．７５*_11・重度研修),0)*_11・２人),0)*(1+_11・B深夜)),0)</f>
        <v>336</v>
      </c>
      <c r="Z32" s="48"/>
    </row>
    <row r="33" spans="1:26" ht="16.5" customHeight="1" x14ac:dyDescent="0.15">
      <c r="A33" s="41">
        <v>11</v>
      </c>
      <c r="B33" s="41" t="s">
        <v>12485</v>
      </c>
      <c r="C33" s="74" t="s">
        <v>12486</v>
      </c>
      <c r="D33" s="35"/>
      <c r="F33" s="171"/>
      <c r="G33" s="736"/>
      <c r="H33" s="704"/>
      <c r="I33" s="718"/>
      <c r="J33" s="35"/>
      <c r="M33" s="163"/>
      <c r="N33" s="45"/>
      <c r="O33" s="46"/>
      <c r="P33" s="35"/>
      <c r="S33" s="35"/>
      <c r="V33" s="734" t="s">
        <v>404</v>
      </c>
      <c r="W33" s="219" t="s">
        <v>398</v>
      </c>
      <c r="X33" s="50">
        <f>_11・初任</f>
        <v>0.7</v>
      </c>
      <c r="Y33" s="208">
        <f>ROUND((ROUND((ROUND((_11_A家事０．７５*_11・重度研修),0)*(1+_11・A夜間)),0)*_11・初任),0)+ROUND((ROUND((ROUND((_11_B家事０．７５＿０．７５*_11・重度研修),0)*(1+_11・B深夜)),0)*_11・初任),0)</f>
        <v>236</v>
      </c>
      <c r="Z33" s="48"/>
    </row>
    <row r="34" spans="1:26" ht="16.5" customHeight="1" x14ac:dyDescent="0.15">
      <c r="A34" s="41">
        <v>11</v>
      </c>
      <c r="B34" s="41" t="s">
        <v>12487</v>
      </c>
      <c r="C34" s="74" t="s">
        <v>12488</v>
      </c>
      <c r="D34" s="35"/>
      <c r="F34" s="171"/>
      <c r="H34" s="170">
        <f>_11_B家事０．７５＿０．７５</f>
        <v>122</v>
      </c>
      <c r="I34" s="10" t="s">
        <v>392</v>
      </c>
      <c r="J34" s="35"/>
      <c r="M34" s="256" t="s">
        <v>397</v>
      </c>
      <c r="N34" s="218" t="s">
        <v>398</v>
      </c>
      <c r="O34" s="46">
        <v>1</v>
      </c>
      <c r="P34" s="35"/>
      <c r="S34" s="35"/>
      <c r="V34" s="706"/>
      <c r="W34" s="220"/>
      <c r="X34" s="38"/>
      <c r="Y34" s="208">
        <f>ROUND((ROUND((ROUND((ROUND((_11_A家事０．７５*_11・重度研修),0)*_11・２人),0)*(1+_11・A夜間)),0)*_11・初任),0)+ROUND((ROUND((ROUND((ROUND((_11_B家事０．７５＿０．７５*_11・重度研修),0)*_11・２人),0)*(1+_11・B深夜)),0)*_11・初任),0)</f>
        <v>236</v>
      </c>
      <c r="Z34" s="48"/>
    </row>
    <row r="35" spans="1:26" ht="16.5" customHeight="1" x14ac:dyDescent="0.15">
      <c r="A35" s="41">
        <v>11</v>
      </c>
      <c r="B35" s="41">
        <v>8559</v>
      </c>
      <c r="C35" s="74" t="s">
        <v>12489</v>
      </c>
      <c r="D35" s="735" t="s">
        <v>9927</v>
      </c>
      <c r="E35" s="708"/>
      <c r="F35" s="717"/>
      <c r="G35" s="707" t="s">
        <v>9838</v>
      </c>
      <c r="H35" s="708"/>
      <c r="I35" s="717"/>
      <c r="J35" s="35"/>
      <c r="M35" s="163"/>
      <c r="N35" s="45"/>
      <c r="O35" s="46"/>
      <c r="P35" s="35"/>
      <c r="S35" s="35"/>
      <c r="V35" s="53"/>
      <c r="W35" s="245"/>
      <c r="X35" s="50"/>
      <c r="Y35" s="208">
        <f>ROUND((ROUND((_11_A家事１．０*_11・重度研修),0)*(1+_11・A夜間)),0)+ROUND((ROUND((_11_B家事１．０＿０．２５*_11・重度研修),0)*(1+_11・B深夜)),0)</f>
        <v>277</v>
      </c>
      <c r="Z35" s="48"/>
    </row>
    <row r="36" spans="1:26" ht="16.5" customHeight="1" x14ac:dyDescent="0.15">
      <c r="A36" s="41">
        <v>11</v>
      </c>
      <c r="B36" s="41">
        <v>8560</v>
      </c>
      <c r="C36" s="74" t="s">
        <v>12490</v>
      </c>
      <c r="D36" s="736"/>
      <c r="E36" s="704"/>
      <c r="F36" s="718"/>
      <c r="G36" s="709"/>
      <c r="H36" s="704"/>
      <c r="I36" s="718"/>
      <c r="J36" s="35"/>
      <c r="M36" s="256" t="s">
        <v>397</v>
      </c>
      <c r="N36" s="218" t="s">
        <v>398</v>
      </c>
      <c r="O36" s="46">
        <v>1</v>
      </c>
      <c r="P36" s="35"/>
      <c r="S36" s="35"/>
      <c r="V36" s="43"/>
      <c r="W36" s="220"/>
      <c r="X36" s="38"/>
      <c r="Y36" s="208">
        <f>ROUND((ROUND((ROUND((_11_A家事１．０*_11・重度研修),0)*_11・２人),0)*(1+_11・A夜間)),0)+ROUND((ROUND((ROUND((_11_B家事１．０＿０．２５*_11・重度研修),0)*_11・２人),0)*(1+_11・B深夜)),0)</f>
        <v>277</v>
      </c>
      <c r="Z36" s="48"/>
    </row>
    <row r="37" spans="1:26" ht="16.5" customHeight="1" x14ac:dyDescent="0.15">
      <c r="A37" s="41">
        <v>11</v>
      </c>
      <c r="B37" s="41" t="s">
        <v>12491</v>
      </c>
      <c r="C37" s="74" t="s">
        <v>12492</v>
      </c>
      <c r="D37" s="736"/>
      <c r="E37" s="704"/>
      <c r="F37" s="718"/>
      <c r="G37" s="709"/>
      <c r="H37" s="704"/>
      <c r="I37" s="718"/>
      <c r="J37" s="35"/>
      <c r="L37" s="234"/>
      <c r="M37" s="45"/>
      <c r="N37" s="45"/>
      <c r="O37" s="46"/>
      <c r="P37" s="35"/>
      <c r="S37" s="35"/>
      <c r="V37" s="734" t="s">
        <v>404</v>
      </c>
      <c r="W37" s="219" t="s">
        <v>398</v>
      </c>
      <c r="X37" s="50">
        <f>_11・初任</f>
        <v>0.7</v>
      </c>
      <c r="Y37" s="208">
        <f>ROUND((ROUND((ROUND((_11_A家事１．０*_11・重度研修),0)*(1+_11・A夜間)),0)*_11・初任),0)+ROUND((ROUND((ROUND((_11_B家事１．０＿０．２５*_11・重度研修),0)*(1+_11・B深夜)),0)*_11・初任),0)</f>
        <v>194</v>
      </c>
      <c r="Z37" s="48"/>
    </row>
    <row r="38" spans="1:26" ht="16.5" customHeight="1" x14ac:dyDescent="0.15">
      <c r="A38" s="41">
        <v>11</v>
      </c>
      <c r="B38" s="41" t="s">
        <v>12493</v>
      </c>
      <c r="C38" s="74" t="s">
        <v>12494</v>
      </c>
      <c r="D38" s="92"/>
      <c r="E38" s="170">
        <f>_11_A家事１．０</f>
        <v>196</v>
      </c>
      <c r="F38" s="268" t="s">
        <v>392</v>
      </c>
      <c r="G38" s="254"/>
      <c r="H38" s="170">
        <f>_11_B家事１．０＿０．２５</f>
        <v>42</v>
      </c>
      <c r="I38" s="10" t="s">
        <v>392</v>
      </c>
      <c r="J38" s="35"/>
      <c r="L38" s="234"/>
      <c r="M38" s="259" t="s">
        <v>397</v>
      </c>
      <c r="N38" s="218" t="s">
        <v>398</v>
      </c>
      <c r="O38" s="46">
        <v>1</v>
      </c>
      <c r="P38" s="35"/>
      <c r="S38" s="35"/>
      <c r="V38" s="706"/>
      <c r="W38" s="220"/>
      <c r="X38" s="38"/>
      <c r="Y38" s="208">
        <f>ROUND((ROUND((ROUND((ROUND((_11_A家事１．０*_11・重度研修),0)*_11・２人),0)*(1+_11・A夜間)),0)*_11・初任),0)+ROUND((ROUND((ROUND((ROUND((_11_B家事１．０＿０．２５*_11・重度研修),0)*_11・２人),0)*(1+_11・B深夜)),0)*_11・初任),0)</f>
        <v>194</v>
      </c>
      <c r="Z38" s="48"/>
    </row>
    <row r="39" spans="1:26" ht="16.5" customHeight="1" x14ac:dyDescent="0.15">
      <c r="A39" s="41">
        <v>11</v>
      </c>
      <c r="B39" s="41">
        <v>8561</v>
      </c>
      <c r="C39" s="74" t="s">
        <v>12495</v>
      </c>
      <c r="D39" s="735" t="s">
        <v>9927</v>
      </c>
      <c r="E39" s="708"/>
      <c r="F39" s="717"/>
      <c r="G39" s="707" t="s">
        <v>9851</v>
      </c>
      <c r="H39" s="708"/>
      <c r="I39" s="717"/>
      <c r="J39" s="35"/>
      <c r="L39" s="234"/>
      <c r="M39" s="45"/>
      <c r="N39" s="45"/>
      <c r="O39" s="46"/>
      <c r="P39" s="35"/>
      <c r="S39" s="35"/>
      <c r="V39" s="53"/>
      <c r="W39" s="245"/>
      <c r="X39" s="50"/>
      <c r="Y39" s="208">
        <f>ROUND((ROUND((_11_A家事１．０*_11・重度研修),0)*(1+_11・A夜間)),0)+ROUND((ROUND((_11_B家事１．０＿０．５*_11・重度研修),0)*(1+_11・B深夜)),0)</f>
        <v>325</v>
      </c>
      <c r="Z39" s="48"/>
    </row>
    <row r="40" spans="1:26" ht="16.5" customHeight="1" x14ac:dyDescent="0.15">
      <c r="A40" s="41">
        <v>11</v>
      </c>
      <c r="B40" s="41">
        <v>8562</v>
      </c>
      <c r="C40" s="74" t="s">
        <v>12496</v>
      </c>
      <c r="D40" s="736"/>
      <c r="E40" s="704"/>
      <c r="F40" s="718"/>
      <c r="G40" s="709"/>
      <c r="H40" s="704"/>
      <c r="I40" s="718"/>
      <c r="J40" s="35"/>
      <c r="L40" s="234"/>
      <c r="M40" s="217" t="s">
        <v>397</v>
      </c>
      <c r="N40" s="218" t="s">
        <v>398</v>
      </c>
      <c r="O40" s="46">
        <v>1</v>
      </c>
      <c r="P40" s="35"/>
      <c r="S40" s="35"/>
      <c r="V40" s="43"/>
      <c r="W40" s="220"/>
      <c r="X40" s="38"/>
      <c r="Y40" s="208">
        <f>ROUND((ROUND((ROUND((_11_A家事１．０*_11・重度研修),0)*_11・２人),0)*(1+_11・A夜間)),0)+ROUND((ROUND((ROUND((_11_B家事１．０＿０．５*_11・重度研修),0)*_11・２人),0)*(1+_11・B深夜)),0)</f>
        <v>325</v>
      </c>
      <c r="Z40" s="48"/>
    </row>
    <row r="41" spans="1:26" ht="16.5" customHeight="1" x14ac:dyDescent="0.15">
      <c r="A41" s="41">
        <v>11</v>
      </c>
      <c r="B41" s="41" t="s">
        <v>12497</v>
      </c>
      <c r="C41" s="74" t="s">
        <v>12498</v>
      </c>
      <c r="D41" s="736"/>
      <c r="E41" s="704"/>
      <c r="F41" s="718"/>
      <c r="G41" s="709"/>
      <c r="H41" s="704"/>
      <c r="I41" s="718"/>
      <c r="J41" s="35"/>
      <c r="L41" s="234"/>
      <c r="M41" s="45"/>
      <c r="N41" s="45"/>
      <c r="O41" s="46"/>
      <c r="P41" s="35"/>
      <c r="S41" s="35"/>
      <c r="V41" s="734" t="s">
        <v>404</v>
      </c>
      <c r="W41" s="219" t="s">
        <v>398</v>
      </c>
      <c r="X41" s="50">
        <f>_11・初任</f>
        <v>0.7</v>
      </c>
      <c r="Y41" s="208">
        <f>ROUND((ROUND((ROUND((_11_A家事１．０*_11・重度研修),0)*(1+_11・A夜間)),0)*_11・初任),0)+ROUND((ROUND((ROUND((_11_B家事１．０＿０．５*_11・重度研修),0)*(1+_11・B深夜)),0)*_11・初任),0)</f>
        <v>228</v>
      </c>
      <c r="Z41" s="48"/>
    </row>
    <row r="42" spans="1:26" ht="16.5" customHeight="1" x14ac:dyDescent="0.15">
      <c r="A42" s="41">
        <v>11</v>
      </c>
      <c r="B42" s="41" t="s">
        <v>12499</v>
      </c>
      <c r="C42" s="74" t="s">
        <v>12500</v>
      </c>
      <c r="D42" s="92"/>
      <c r="E42" s="170">
        <f>_11_A家事１．０</f>
        <v>196</v>
      </c>
      <c r="F42" s="268" t="s">
        <v>392</v>
      </c>
      <c r="H42" s="170">
        <f>_11_B家事１．０＿０．５</f>
        <v>78</v>
      </c>
      <c r="I42" s="10" t="s">
        <v>392</v>
      </c>
      <c r="J42" s="35"/>
      <c r="L42" s="234"/>
      <c r="M42" s="217" t="s">
        <v>397</v>
      </c>
      <c r="N42" s="218" t="s">
        <v>398</v>
      </c>
      <c r="O42" s="46">
        <v>1</v>
      </c>
      <c r="P42" s="35"/>
      <c r="S42" s="35"/>
      <c r="V42" s="706"/>
      <c r="W42" s="220"/>
      <c r="X42" s="38"/>
      <c r="Y42" s="208">
        <f>ROUND((ROUND((ROUND((ROUND((_11_A家事１．０*_11・重度研修),0)*_11・２人),0)*(1+_11・A夜間)),0)*_11・初任),0)+ROUND((ROUND((ROUND((ROUND((_11_B家事１．０＿０．５*_11・重度研修),0)*_11・２人),0)*(1+_11・B深夜)),0)*_11・初任),0)</f>
        <v>228</v>
      </c>
      <c r="Z42" s="48"/>
    </row>
    <row r="43" spans="1:26" ht="16.5" customHeight="1" x14ac:dyDescent="0.15">
      <c r="A43" s="41">
        <v>11</v>
      </c>
      <c r="B43" s="41">
        <v>8563</v>
      </c>
      <c r="C43" s="74" t="s">
        <v>12501</v>
      </c>
      <c r="D43" s="735" t="s">
        <v>9952</v>
      </c>
      <c r="E43" s="708"/>
      <c r="F43" s="717"/>
      <c r="G43" s="707" t="s">
        <v>9838</v>
      </c>
      <c r="H43" s="708"/>
      <c r="I43" s="717"/>
      <c r="J43" s="35"/>
      <c r="L43" s="234"/>
      <c r="M43" s="45"/>
      <c r="N43" s="45"/>
      <c r="O43" s="46"/>
      <c r="P43" s="35"/>
      <c r="S43" s="35"/>
      <c r="V43" s="53"/>
      <c r="W43" s="245"/>
      <c r="X43" s="50"/>
      <c r="Y43" s="208">
        <f>ROUND((ROUND((_11_A家事１．２５*_11・重度研修),0)*(1+_11・A夜間)),0)+ROUND((ROUND((_11_B家事１．２５＿０．２５*_11・重度研修),0)*(1+_11・B深夜)),0)</f>
        <v>316</v>
      </c>
      <c r="Z43" s="48"/>
    </row>
    <row r="44" spans="1:26" ht="16.5" customHeight="1" x14ac:dyDescent="0.15">
      <c r="A44" s="41">
        <v>11</v>
      </c>
      <c r="B44" s="41">
        <v>8564</v>
      </c>
      <c r="C44" s="74" t="s">
        <v>12502</v>
      </c>
      <c r="D44" s="736"/>
      <c r="E44" s="704"/>
      <c r="F44" s="718"/>
      <c r="G44" s="709"/>
      <c r="H44" s="704"/>
      <c r="I44" s="718"/>
      <c r="J44" s="35"/>
      <c r="M44" s="256" t="s">
        <v>397</v>
      </c>
      <c r="N44" s="218" t="s">
        <v>398</v>
      </c>
      <c r="O44" s="46">
        <v>1</v>
      </c>
      <c r="P44" s="35"/>
      <c r="S44" s="35"/>
      <c r="V44" s="43"/>
      <c r="W44" s="220"/>
      <c r="X44" s="38"/>
      <c r="Y44" s="208">
        <f>ROUND((ROUND((ROUND((_11_A家事１．２５*_11・重度研修),0)*_11・２人),0)*(1+_11・A夜間)),0)+ROUND((ROUND((ROUND((_11_B家事１．２５＿０．２５*_11・重度研修),0)*_11・２人),0)*(1+_11・B深夜)),0)</f>
        <v>316</v>
      </c>
      <c r="Z44" s="48"/>
    </row>
    <row r="45" spans="1:26" ht="16.5" customHeight="1" x14ac:dyDescent="0.15">
      <c r="A45" s="41">
        <v>11</v>
      </c>
      <c r="B45" s="41" t="s">
        <v>12503</v>
      </c>
      <c r="C45" s="74" t="s">
        <v>12504</v>
      </c>
      <c r="D45" s="736"/>
      <c r="E45" s="704"/>
      <c r="F45" s="718"/>
      <c r="G45" s="709"/>
      <c r="H45" s="704"/>
      <c r="I45" s="718"/>
      <c r="J45" s="35"/>
      <c r="M45" s="163"/>
      <c r="N45" s="45"/>
      <c r="O45" s="46"/>
      <c r="P45" s="35"/>
      <c r="S45" s="35"/>
      <c r="V45" s="734" t="s">
        <v>404</v>
      </c>
      <c r="W45" s="219" t="s">
        <v>398</v>
      </c>
      <c r="X45" s="50">
        <f>_11・初任</f>
        <v>0.7</v>
      </c>
      <c r="Y45" s="208">
        <f>ROUND((ROUND((ROUND((_11_A家事１．２５*_11・重度研修),0)*(1+_11・A夜間)),0)*_11・初任),0)+ROUND((ROUND((ROUND((_11_B家事１．２５＿０．２５*_11・重度研修),0)*(1+_11・B深夜)),0)*_11・初任),0)</f>
        <v>222</v>
      </c>
      <c r="Z45" s="48"/>
    </row>
    <row r="46" spans="1:26" ht="16.5" customHeight="1" x14ac:dyDescent="0.15">
      <c r="A46" s="41">
        <v>11</v>
      </c>
      <c r="B46" s="41" t="s">
        <v>12505</v>
      </c>
      <c r="C46" s="74" t="s">
        <v>12506</v>
      </c>
      <c r="D46" s="269"/>
      <c r="E46" s="176">
        <f>_11_A家事１．２５</f>
        <v>238</v>
      </c>
      <c r="F46" s="270" t="s">
        <v>392</v>
      </c>
      <c r="G46" s="271"/>
      <c r="H46" s="176">
        <f>_11_B家事１．２５＿０．２５</f>
        <v>36</v>
      </c>
      <c r="I46" s="190" t="s">
        <v>392</v>
      </c>
      <c r="J46" s="43"/>
      <c r="K46" s="37"/>
      <c r="L46" s="38"/>
      <c r="M46" s="256" t="s">
        <v>397</v>
      </c>
      <c r="N46" s="218" t="s">
        <v>398</v>
      </c>
      <c r="O46" s="46">
        <v>1</v>
      </c>
      <c r="P46" s="43"/>
      <c r="Q46" s="37"/>
      <c r="R46" s="38"/>
      <c r="S46" s="43"/>
      <c r="T46" s="37"/>
      <c r="U46" s="38"/>
      <c r="V46" s="706"/>
      <c r="W46" s="220"/>
      <c r="X46" s="38"/>
      <c r="Y46" s="208">
        <f>ROUND((ROUND((ROUND((ROUND((_11_A家事１．２５*_11・重度研修),0)*_11・２人),0)*(1+_11・A夜間)),0)*_11・初任),0)+ROUND((ROUND((ROUND((ROUND((_11_B家事１．２５＿０．２５*_11・重度研修),0)*_11・２人),0)*(1+_11・B深夜)),0)*_11・初任),0)</f>
        <v>222</v>
      </c>
      <c r="Z46" s="63"/>
    </row>
    <row r="47" spans="1:26" ht="16.5" customHeight="1" x14ac:dyDescent="0.15"/>
    <row r="48" spans="1:26" ht="16.5" customHeight="1" x14ac:dyDescent="0.15"/>
    <row r="49" ht="16.5" customHeight="1" x14ac:dyDescent="0.15"/>
  </sheetData>
  <mergeCells count="30">
    <mergeCell ref="D23:F25"/>
    <mergeCell ref="G23:I25"/>
    <mergeCell ref="V25:V26"/>
    <mergeCell ref="D43:F45"/>
    <mergeCell ref="G43:I45"/>
    <mergeCell ref="V45:V46"/>
    <mergeCell ref="G31:I33"/>
    <mergeCell ref="V33:V34"/>
    <mergeCell ref="D35:F37"/>
    <mergeCell ref="G35:I37"/>
    <mergeCell ref="V37:V38"/>
    <mergeCell ref="D39:F41"/>
    <mergeCell ref="G39:I41"/>
    <mergeCell ref="V41:V42"/>
    <mergeCell ref="G27:I29"/>
    <mergeCell ref="V29:V30"/>
    <mergeCell ref="G19:I21"/>
    <mergeCell ref="V21:V22"/>
    <mergeCell ref="D6:F6"/>
    <mergeCell ref="G6:I6"/>
    <mergeCell ref="D7:F9"/>
    <mergeCell ref="G7:I9"/>
    <mergeCell ref="J7:L9"/>
    <mergeCell ref="U8:U9"/>
    <mergeCell ref="V9:V10"/>
    <mergeCell ref="G11:I13"/>
    <mergeCell ref="V13:V14"/>
    <mergeCell ref="G15:I17"/>
    <mergeCell ref="V17:V18"/>
    <mergeCell ref="R8:R9"/>
  </mergeCells>
  <phoneticPr fontId="1"/>
  <printOptions horizontalCentered="1"/>
  <pageMargins left="0.70866141732283472" right="0.70866141732283472" top="0.74803149606299213" bottom="0.74803149606299213" header="0.31496062992125984" footer="0.31496062992125984"/>
  <pageSetup paperSize="9" scale="47" fitToHeight="0" orientation="portrait" r:id="rId1"/>
  <headerFooter>
    <oddHeader>&amp;R&amp;"ＭＳ Ｐゴシック"&amp;9居宅介護</oddHeader>
    <oddFooter>&amp;C&amp;"ＭＳ Ｐゴシック"&amp;14&amp;P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7">
    <pageSetUpPr fitToPage="1"/>
  </sheetPr>
  <dimension ref="A1:W4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5" style="10" bestFit="1" customWidth="1"/>
    <col min="4" max="4" width="2.5" style="12" customWidth="1"/>
    <col min="5" max="5" width="4.875" style="10" customWidth="1"/>
    <col min="6" max="6" width="4.875" style="12" customWidth="1"/>
    <col min="7" max="7" width="2.5" style="12" customWidth="1"/>
    <col min="8" max="8" width="4.875" style="10" customWidth="1"/>
    <col min="9" max="9" width="4.875" style="12" customWidth="1"/>
    <col min="10" max="10" width="3.125" style="12" customWidth="1"/>
    <col min="11" max="11" width="2.5" style="12" customWidth="1"/>
    <col min="12" max="12" width="4.5" style="13" bestFit="1" customWidth="1"/>
    <col min="13" max="13" width="24.125" style="12" bestFit="1" customWidth="1"/>
    <col min="14" max="14" width="2.5" style="12" customWidth="1"/>
    <col min="15" max="15" width="5.5" style="13" bestFit="1" customWidth="1"/>
    <col min="16" max="16" width="2.5" style="12" customWidth="1"/>
    <col min="17" max="17" width="3.875" style="12" customWidth="1"/>
    <col min="18" max="18" width="4.5" style="13" bestFit="1" customWidth="1"/>
    <col min="19" max="19" width="17.875" style="12" customWidth="1"/>
    <col min="20" max="20" width="2.5" style="242" customWidth="1"/>
    <col min="21" max="21" width="4.5" style="13" bestFit="1" customWidth="1"/>
    <col min="22" max="22" width="7.125" style="206" customWidth="1"/>
    <col min="23" max="23" width="8.5" style="16" customWidth="1"/>
    <col min="24" max="16384" width="8.875" style="12"/>
  </cols>
  <sheetData>
    <row r="1" spans="1:23" ht="17.100000000000001" customHeight="1" x14ac:dyDescent="0.15"/>
    <row r="2" spans="1:23" ht="17.100000000000001" customHeight="1" x14ac:dyDescent="0.15"/>
    <row r="3" spans="1:23" ht="17.100000000000001" customHeight="1" x14ac:dyDescent="0.15"/>
    <row r="4" spans="1:23" ht="17.100000000000001" customHeight="1" x14ac:dyDescent="0.15">
      <c r="B4" s="17" t="s">
        <v>12507</v>
      </c>
      <c r="E4" s="71"/>
    </row>
    <row r="5" spans="1:23" ht="16.5" customHeight="1" x14ac:dyDescent="0.15">
      <c r="A5" s="19" t="s">
        <v>384</v>
      </c>
      <c r="B5" s="20"/>
      <c r="C5" s="21" t="s">
        <v>385</v>
      </c>
      <c r="D5" s="235" t="s">
        <v>386</v>
      </c>
      <c r="E5" s="23"/>
      <c r="F5" s="23"/>
      <c r="G5" s="23"/>
      <c r="H5" s="23"/>
      <c r="I5" s="23"/>
      <c r="J5" s="23"/>
      <c r="K5" s="23"/>
      <c r="L5" s="24"/>
      <c r="M5" s="23"/>
      <c r="N5" s="23"/>
      <c r="O5" s="24"/>
      <c r="P5" s="23"/>
      <c r="Q5" s="23"/>
      <c r="R5" s="24"/>
      <c r="S5" s="23"/>
      <c r="T5" s="23"/>
      <c r="U5" s="24"/>
      <c r="V5" s="21" t="s">
        <v>387</v>
      </c>
      <c r="W5" s="21" t="s">
        <v>388</v>
      </c>
    </row>
    <row r="6" spans="1:23" ht="16.5" customHeight="1" x14ac:dyDescent="0.15">
      <c r="A6" s="26" t="s">
        <v>389</v>
      </c>
      <c r="B6" s="26" t="s">
        <v>390</v>
      </c>
      <c r="C6" s="27"/>
      <c r="D6" s="272"/>
      <c r="E6" s="29"/>
      <c r="F6" s="29"/>
      <c r="G6" s="726" t="s">
        <v>1032</v>
      </c>
      <c r="H6" s="731"/>
      <c r="I6" s="737"/>
      <c r="J6" s="29"/>
      <c r="K6" s="29"/>
      <c r="L6" s="30"/>
      <c r="M6" s="29"/>
      <c r="N6" s="29"/>
      <c r="O6" s="30"/>
      <c r="P6" s="29"/>
      <c r="Q6" s="29"/>
      <c r="R6" s="30"/>
      <c r="S6" s="29"/>
      <c r="T6" s="214"/>
      <c r="U6" s="30"/>
      <c r="V6" s="32" t="s">
        <v>391</v>
      </c>
      <c r="W6" s="32" t="s">
        <v>392</v>
      </c>
    </row>
    <row r="7" spans="1:23" ht="16.5" customHeight="1" x14ac:dyDescent="0.15">
      <c r="A7" s="41">
        <v>11</v>
      </c>
      <c r="B7" s="41">
        <v>8565</v>
      </c>
      <c r="C7" s="74" t="s">
        <v>12508</v>
      </c>
      <c r="D7" s="809" t="s">
        <v>3848</v>
      </c>
      <c r="E7" s="707" t="s">
        <v>861</v>
      </c>
      <c r="F7" s="812"/>
      <c r="G7" s="809" t="s">
        <v>3849</v>
      </c>
      <c r="H7" s="708" t="s">
        <v>9967</v>
      </c>
      <c r="I7" s="798"/>
      <c r="J7" s="707" t="s">
        <v>11707</v>
      </c>
      <c r="K7" s="814"/>
      <c r="L7" s="798"/>
      <c r="M7" s="163"/>
      <c r="N7" s="45"/>
      <c r="O7" s="46"/>
      <c r="P7" s="114" t="s">
        <v>1036</v>
      </c>
      <c r="Q7" s="49"/>
      <c r="R7" s="251"/>
      <c r="S7" s="49"/>
      <c r="T7" s="245"/>
      <c r="U7" s="50"/>
      <c r="V7" s="208">
        <f>+ROUND((ROUND((_11_B家事０．５＿０．２５*_11・重度研修),0)*(1+_11・B深夜)),0)</f>
        <v>63</v>
      </c>
      <c r="W7" s="128" t="s">
        <v>395</v>
      </c>
    </row>
    <row r="8" spans="1:23" ht="16.5" customHeight="1" x14ac:dyDescent="0.15">
      <c r="A8" s="41">
        <v>11</v>
      </c>
      <c r="B8" s="41">
        <v>8566</v>
      </c>
      <c r="C8" s="74" t="s">
        <v>12509</v>
      </c>
      <c r="D8" s="810"/>
      <c r="E8" s="799"/>
      <c r="F8" s="813"/>
      <c r="G8" s="810"/>
      <c r="H8" s="797"/>
      <c r="I8" s="796"/>
      <c r="J8" s="799"/>
      <c r="K8" s="797"/>
      <c r="L8" s="796"/>
      <c r="M8" s="256" t="s">
        <v>397</v>
      </c>
      <c r="N8" s="218" t="s">
        <v>398</v>
      </c>
      <c r="O8" s="46">
        <v>1</v>
      </c>
      <c r="P8" s="92" t="s">
        <v>398</v>
      </c>
      <c r="Q8" s="13">
        <v>0.5</v>
      </c>
      <c r="R8" s="718" t="s">
        <v>676</v>
      </c>
      <c r="S8" s="37"/>
      <c r="T8" s="220"/>
      <c r="U8" s="38"/>
      <c r="V8" s="208">
        <f>+ROUND((ROUND((ROUND((_11_B家事０．５＿０．２５*_11・重度研修),0)*_11・２人),0)*(1+_11・B深夜)),0)</f>
        <v>63</v>
      </c>
      <c r="W8" s="48"/>
    </row>
    <row r="9" spans="1:23" ht="16.5" customHeight="1" x14ac:dyDescent="0.15">
      <c r="A9" s="41">
        <v>11</v>
      </c>
      <c r="B9" s="41" t="s">
        <v>12510</v>
      </c>
      <c r="C9" s="74" t="s">
        <v>12511</v>
      </c>
      <c r="D9" s="810"/>
      <c r="E9" s="799"/>
      <c r="F9" s="813"/>
      <c r="G9" s="810"/>
      <c r="H9" s="797"/>
      <c r="I9" s="796"/>
      <c r="J9" s="799"/>
      <c r="K9" s="797"/>
      <c r="L9" s="796"/>
      <c r="M9" s="163"/>
      <c r="N9" s="45"/>
      <c r="O9" s="46"/>
      <c r="P9" s="35"/>
      <c r="R9" s="796"/>
      <c r="S9" s="734" t="s">
        <v>404</v>
      </c>
      <c r="T9" s="219" t="s">
        <v>398</v>
      </c>
      <c r="U9" s="50">
        <f>_11・初任</f>
        <v>0.7</v>
      </c>
      <c r="V9" s="208">
        <f>+ROUND((ROUND((ROUND((_11_B家事０．５＿０．２５*_11・重度研修),0)*(1+_11・B深夜)),0)*_11・初任),0)</f>
        <v>44</v>
      </c>
      <c r="W9" s="48"/>
    </row>
    <row r="10" spans="1:23" ht="16.5" customHeight="1" x14ac:dyDescent="0.15">
      <c r="A10" s="41">
        <v>11</v>
      </c>
      <c r="B10" s="41" t="s">
        <v>12512</v>
      </c>
      <c r="C10" s="74" t="s">
        <v>12513</v>
      </c>
      <c r="D10" s="810"/>
      <c r="E10" s="72"/>
      <c r="F10" s="171"/>
      <c r="G10" s="810"/>
      <c r="H10" s="170">
        <f>_11_B家事０．５＿０．２５</f>
        <v>47</v>
      </c>
      <c r="I10" s="10" t="s">
        <v>392</v>
      </c>
      <c r="J10" s="35"/>
      <c r="K10" s="16" t="s">
        <v>398</v>
      </c>
      <c r="L10" s="234">
        <v>0.9</v>
      </c>
      <c r="M10" s="256" t="s">
        <v>397</v>
      </c>
      <c r="N10" s="218" t="s">
        <v>398</v>
      </c>
      <c r="O10" s="46">
        <v>1</v>
      </c>
      <c r="P10" s="35"/>
      <c r="S10" s="706"/>
      <c r="T10" s="220"/>
      <c r="U10" s="38"/>
      <c r="V10" s="208">
        <f>+ROUND((ROUND((ROUND((ROUND((_11_B家事０．５＿０．２５*_11・重度研修),0)*_11・２人),0)*(1+_11・B深夜)),0)*_11・初任),0)</f>
        <v>44</v>
      </c>
      <c r="W10" s="48"/>
    </row>
    <row r="11" spans="1:23" ht="16.5" customHeight="1" x14ac:dyDescent="0.15">
      <c r="A11" s="41">
        <v>11</v>
      </c>
      <c r="B11" s="41">
        <v>8567</v>
      </c>
      <c r="C11" s="74" t="s">
        <v>12514</v>
      </c>
      <c r="D11" s="810"/>
      <c r="E11" s="72"/>
      <c r="F11" s="171"/>
      <c r="G11" s="810"/>
      <c r="H11" s="708" t="s">
        <v>9980</v>
      </c>
      <c r="I11" s="798"/>
      <c r="J11" s="35"/>
      <c r="M11" s="163"/>
      <c r="N11" s="45"/>
      <c r="O11" s="46"/>
      <c r="P11" s="35"/>
      <c r="S11" s="53"/>
      <c r="T11" s="245"/>
      <c r="U11" s="50"/>
      <c r="V11" s="208">
        <f>+ROUND((ROUND((_11_B家事０．５＿０．５*_11・重度研修),0)*(1+_11・B深夜)),0)</f>
        <v>123</v>
      </c>
      <c r="W11" s="48"/>
    </row>
    <row r="12" spans="1:23" ht="16.5" customHeight="1" x14ac:dyDescent="0.15">
      <c r="A12" s="41">
        <v>11</v>
      </c>
      <c r="B12" s="41">
        <v>8568</v>
      </c>
      <c r="C12" s="74" t="s">
        <v>12515</v>
      </c>
      <c r="D12" s="810"/>
      <c r="E12" s="72"/>
      <c r="F12" s="171"/>
      <c r="G12" s="810"/>
      <c r="H12" s="797"/>
      <c r="I12" s="796"/>
      <c r="J12" s="35"/>
      <c r="M12" s="256" t="s">
        <v>397</v>
      </c>
      <c r="N12" s="218" t="s">
        <v>398</v>
      </c>
      <c r="O12" s="46">
        <v>1</v>
      </c>
      <c r="P12" s="35"/>
      <c r="S12" s="43"/>
      <c r="T12" s="220"/>
      <c r="U12" s="38"/>
      <c r="V12" s="208">
        <f>+ROUND((ROUND((ROUND((_11_B家事０．５＿０．５*_11・重度研修),0)*_11・２人),0)*(1+_11・B深夜)),0)</f>
        <v>123</v>
      </c>
      <c r="W12" s="48"/>
    </row>
    <row r="13" spans="1:23" ht="16.5" customHeight="1" x14ac:dyDescent="0.15">
      <c r="A13" s="41">
        <v>11</v>
      </c>
      <c r="B13" s="41" t="s">
        <v>12516</v>
      </c>
      <c r="C13" s="74" t="s">
        <v>12517</v>
      </c>
      <c r="D13" s="810"/>
      <c r="E13" s="72"/>
      <c r="F13" s="171"/>
      <c r="G13" s="810"/>
      <c r="H13" s="797"/>
      <c r="I13" s="796"/>
      <c r="J13" s="35"/>
      <c r="M13" s="163"/>
      <c r="N13" s="45"/>
      <c r="O13" s="46"/>
      <c r="P13" s="35"/>
      <c r="S13" s="734" t="s">
        <v>404</v>
      </c>
      <c r="T13" s="219" t="s">
        <v>398</v>
      </c>
      <c r="U13" s="50">
        <f>_11・初任</f>
        <v>0.7</v>
      </c>
      <c r="V13" s="208">
        <f>+ROUND((ROUND((ROUND((_11_B家事０．５＿０．５*_11・重度研修),0)*(1+_11・B深夜)),0)*_11・初任),0)</f>
        <v>86</v>
      </c>
      <c r="W13" s="48"/>
    </row>
    <row r="14" spans="1:23" ht="16.5" customHeight="1" x14ac:dyDescent="0.15">
      <c r="A14" s="41">
        <v>11</v>
      </c>
      <c r="B14" s="41" t="s">
        <v>12518</v>
      </c>
      <c r="C14" s="74" t="s">
        <v>12519</v>
      </c>
      <c r="D14" s="810"/>
      <c r="E14" s="72"/>
      <c r="F14" s="171"/>
      <c r="G14" s="810"/>
      <c r="H14" s="170">
        <f>_11_B家事０．５＿０．５</f>
        <v>91</v>
      </c>
      <c r="I14" s="10" t="s">
        <v>392</v>
      </c>
      <c r="J14" s="35"/>
      <c r="M14" s="256" t="s">
        <v>397</v>
      </c>
      <c r="N14" s="218" t="s">
        <v>398</v>
      </c>
      <c r="O14" s="46">
        <v>1</v>
      </c>
      <c r="P14" s="35"/>
      <c r="S14" s="706"/>
      <c r="T14" s="220"/>
      <c r="U14" s="38"/>
      <c r="V14" s="208">
        <f>+ROUND((ROUND((ROUND((ROUND((_11_B家事０．５＿０．５*_11・重度研修),0)*_11・２人),0)*(1+_11・B深夜)),0)*_11・初任),0)</f>
        <v>86</v>
      </c>
      <c r="W14" s="48"/>
    </row>
    <row r="15" spans="1:23" ht="16.5" customHeight="1" x14ac:dyDescent="0.15">
      <c r="A15" s="41">
        <v>11</v>
      </c>
      <c r="B15" s="41">
        <v>8569</v>
      </c>
      <c r="C15" s="74" t="s">
        <v>12520</v>
      </c>
      <c r="D15" s="810"/>
      <c r="E15" s="72"/>
      <c r="F15" s="171"/>
      <c r="G15" s="810"/>
      <c r="H15" s="708" t="s">
        <v>9993</v>
      </c>
      <c r="I15" s="798"/>
      <c r="J15" s="35"/>
      <c r="M15" s="163"/>
      <c r="N15" s="45"/>
      <c r="O15" s="46"/>
      <c r="P15" s="35"/>
      <c r="S15" s="53"/>
      <c r="T15" s="245"/>
      <c r="U15" s="50"/>
      <c r="V15" s="208">
        <f>+ROUND((ROUND((_11_B家事０．５＿０．７５*_11・重度研修),0)*(1+_11・B深夜)),0)</f>
        <v>180</v>
      </c>
      <c r="W15" s="48"/>
    </row>
    <row r="16" spans="1:23" ht="16.5" customHeight="1" x14ac:dyDescent="0.15">
      <c r="A16" s="41">
        <v>11</v>
      </c>
      <c r="B16" s="41">
        <v>8570</v>
      </c>
      <c r="C16" s="74" t="s">
        <v>12521</v>
      </c>
      <c r="D16" s="810"/>
      <c r="E16" s="72"/>
      <c r="F16" s="171"/>
      <c r="G16" s="810"/>
      <c r="H16" s="797"/>
      <c r="I16" s="796"/>
      <c r="J16" s="35"/>
      <c r="M16" s="256" t="s">
        <v>397</v>
      </c>
      <c r="N16" s="218" t="s">
        <v>398</v>
      </c>
      <c r="O16" s="46">
        <v>1</v>
      </c>
      <c r="P16" s="35"/>
      <c r="S16" s="43"/>
      <c r="T16" s="220"/>
      <c r="U16" s="38"/>
      <c r="V16" s="208">
        <f>+ROUND((ROUND((ROUND((_11_B家事０．５＿０．７５*_11・重度研修),0)*_11・２人),0)*(1+_11・B深夜)),0)</f>
        <v>180</v>
      </c>
      <c r="W16" s="48"/>
    </row>
    <row r="17" spans="1:23" ht="16.5" customHeight="1" x14ac:dyDescent="0.15">
      <c r="A17" s="41">
        <v>11</v>
      </c>
      <c r="B17" s="41" t="s">
        <v>12522</v>
      </c>
      <c r="C17" s="74" t="s">
        <v>12523</v>
      </c>
      <c r="D17" s="810"/>
      <c r="E17" s="72"/>
      <c r="F17" s="171"/>
      <c r="G17" s="810"/>
      <c r="H17" s="797"/>
      <c r="I17" s="796"/>
      <c r="J17" s="35"/>
      <c r="M17" s="163"/>
      <c r="N17" s="45"/>
      <c r="O17" s="46"/>
      <c r="P17" s="35"/>
      <c r="S17" s="734" t="s">
        <v>404</v>
      </c>
      <c r="T17" s="219" t="s">
        <v>398</v>
      </c>
      <c r="U17" s="50">
        <f>_11・初任</f>
        <v>0.7</v>
      </c>
      <c r="V17" s="208">
        <f>+ROUND((ROUND((ROUND((_11_B家事０．５＿０．７５*_11・重度研修),0)*(1+_11・B深夜)),0)*_11・初任),0)</f>
        <v>126</v>
      </c>
      <c r="W17" s="48"/>
    </row>
    <row r="18" spans="1:23" ht="16.5" customHeight="1" x14ac:dyDescent="0.15">
      <c r="A18" s="41">
        <v>11</v>
      </c>
      <c r="B18" s="41" t="s">
        <v>12524</v>
      </c>
      <c r="C18" s="74" t="s">
        <v>12525</v>
      </c>
      <c r="D18" s="810"/>
      <c r="E18" s="72"/>
      <c r="F18" s="171"/>
      <c r="G18" s="810"/>
      <c r="H18" s="170">
        <f>_11_B家事０．５＿０．７５</f>
        <v>133</v>
      </c>
      <c r="I18" s="10" t="s">
        <v>392</v>
      </c>
      <c r="J18" s="35"/>
      <c r="M18" s="256" t="s">
        <v>397</v>
      </c>
      <c r="N18" s="218" t="s">
        <v>398</v>
      </c>
      <c r="O18" s="46">
        <v>1</v>
      </c>
      <c r="P18" s="35"/>
      <c r="S18" s="706"/>
      <c r="T18" s="220"/>
      <c r="U18" s="38"/>
      <c r="V18" s="208">
        <f>+ROUND((ROUND((ROUND((ROUND((_11_B家事０．５＿０．７５*_11・重度研修),0)*_11・２人),0)*(1+_11・B深夜)),0)*_11・初任),0)</f>
        <v>126</v>
      </c>
      <c r="W18" s="48"/>
    </row>
    <row r="19" spans="1:23" ht="16.5" customHeight="1" x14ac:dyDescent="0.15">
      <c r="A19" s="41">
        <v>11</v>
      </c>
      <c r="B19" s="41">
        <v>8571</v>
      </c>
      <c r="C19" s="74" t="s">
        <v>12526</v>
      </c>
      <c r="D19" s="810"/>
      <c r="E19" s="72"/>
      <c r="F19" s="171"/>
      <c r="G19" s="810"/>
      <c r="H19" s="708" t="s">
        <v>10006</v>
      </c>
      <c r="I19" s="798"/>
      <c r="J19" s="35"/>
      <c r="M19" s="163"/>
      <c r="N19" s="45"/>
      <c r="O19" s="46"/>
      <c r="P19" s="35"/>
      <c r="S19" s="53"/>
      <c r="T19" s="245"/>
      <c r="U19" s="50"/>
      <c r="V19" s="208">
        <f>+ROUND((ROUND((_11_B家事０．５＿１．０*_11・重度研修),0)*(1+_11・B深夜)),0)</f>
        <v>228</v>
      </c>
      <c r="W19" s="48"/>
    </row>
    <row r="20" spans="1:23" ht="16.5" customHeight="1" x14ac:dyDescent="0.15">
      <c r="A20" s="41">
        <v>11</v>
      </c>
      <c r="B20" s="41">
        <v>8572</v>
      </c>
      <c r="C20" s="74" t="s">
        <v>12527</v>
      </c>
      <c r="D20" s="810"/>
      <c r="E20" s="72"/>
      <c r="F20" s="171"/>
      <c r="G20" s="810"/>
      <c r="H20" s="797"/>
      <c r="I20" s="796"/>
      <c r="J20" s="35"/>
      <c r="M20" s="256" t="s">
        <v>397</v>
      </c>
      <c r="N20" s="218" t="s">
        <v>398</v>
      </c>
      <c r="O20" s="46">
        <v>1</v>
      </c>
      <c r="P20" s="35"/>
      <c r="S20" s="43"/>
      <c r="T20" s="220"/>
      <c r="U20" s="38"/>
      <c r="V20" s="208">
        <f>+ROUND((ROUND((ROUND((_11_B家事０．５＿１．０*_11・重度研修),0)*_11・２人),0)*(1+_11・B深夜)),0)</f>
        <v>228</v>
      </c>
      <c r="W20" s="48"/>
    </row>
    <row r="21" spans="1:23" ht="16.5" customHeight="1" x14ac:dyDescent="0.15">
      <c r="A21" s="41">
        <v>11</v>
      </c>
      <c r="B21" s="41" t="s">
        <v>12528</v>
      </c>
      <c r="C21" s="74" t="s">
        <v>12529</v>
      </c>
      <c r="D21" s="810"/>
      <c r="E21" s="72"/>
      <c r="F21" s="171"/>
      <c r="G21" s="810"/>
      <c r="H21" s="797"/>
      <c r="I21" s="796"/>
      <c r="J21" s="35"/>
      <c r="M21" s="163"/>
      <c r="N21" s="45"/>
      <c r="O21" s="46"/>
      <c r="P21" s="35"/>
      <c r="S21" s="734" t="s">
        <v>404</v>
      </c>
      <c r="T21" s="219" t="s">
        <v>398</v>
      </c>
      <c r="U21" s="50">
        <f>_11・初任</f>
        <v>0.7</v>
      </c>
      <c r="V21" s="208">
        <f>+ROUND((ROUND((ROUND((_11_B家事０．５＿１．０*_11・重度研修),0)*(1+_11・B深夜)),0)*_11・初任),0)</f>
        <v>160</v>
      </c>
      <c r="W21" s="48"/>
    </row>
    <row r="22" spans="1:23" ht="16.5" customHeight="1" x14ac:dyDescent="0.15">
      <c r="A22" s="41">
        <v>11</v>
      </c>
      <c r="B22" s="41" t="s">
        <v>12530</v>
      </c>
      <c r="C22" s="74" t="s">
        <v>12531</v>
      </c>
      <c r="D22" s="810"/>
      <c r="E22" s="72"/>
      <c r="F22" s="171"/>
      <c r="G22" s="810"/>
      <c r="H22" s="170">
        <f>_11_B家事０．５＿１．０</f>
        <v>169</v>
      </c>
      <c r="I22" s="10" t="s">
        <v>392</v>
      </c>
      <c r="J22" s="35"/>
      <c r="M22" s="256" t="s">
        <v>397</v>
      </c>
      <c r="N22" s="218" t="s">
        <v>398</v>
      </c>
      <c r="O22" s="46">
        <v>1</v>
      </c>
      <c r="P22" s="35"/>
      <c r="S22" s="706"/>
      <c r="T22" s="220"/>
      <c r="U22" s="38"/>
      <c r="V22" s="208">
        <f>+ROUND((ROUND((ROUND((ROUND((_11_B家事０．５＿１．０*_11・重度研修),0)*_11・２人),0)*(1+_11・B深夜)),0)*_11・初任),0)</f>
        <v>160</v>
      </c>
      <c r="W22" s="48"/>
    </row>
    <row r="23" spans="1:23" ht="16.5" customHeight="1" x14ac:dyDescent="0.15">
      <c r="A23" s="41">
        <v>11</v>
      </c>
      <c r="B23" s="41">
        <v>8573</v>
      </c>
      <c r="C23" s="74" t="s">
        <v>12532</v>
      </c>
      <c r="D23" s="810"/>
      <c r="E23" s="707" t="s">
        <v>9150</v>
      </c>
      <c r="F23" s="812"/>
      <c r="G23" s="810"/>
      <c r="H23" s="708" t="s">
        <v>9967</v>
      </c>
      <c r="I23" s="798"/>
      <c r="J23" s="35"/>
      <c r="M23" s="163"/>
      <c r="N23" s="45"/>
      <c r="O23" s="46"/>
      <c r="P23" s="35"/>
      <c r="S23" s="53"/>
      <c r="T23" s="245"/>
      <c r="U23" s="50"/>
      <c r="V23" s="208">
        <f>+ROUND((ROUND((_11_B家事０．７５＿０．２５*_11・重度研修),0)*(1+_11・B深夜)),0)</f>
        <v>60</v>
      </c>
      <c r="W23" s="48"/>
    </row>
    <row r="24" spans="1:23" ht="16.5" customHeight="1" x14ac:dyDescent="0.15">
      <c r="A24" s="41">
        <v>11</v>
      </c>
      <c r="B24" s="41">
        <v>8574</v>
      </c>
      <c r="C24" s="74" t="s">
        <v>12533</v>
      </c>
      <c r="D24" s="810"/>
      <c r="E24" s="799"/>
      <c r="F24" s="813"/>
      <c r="G24" s="810"/>
      <c r="H24" s="797"/>
      <c r="I24" s="796"/>
      <c r="J24" s="35"/>
      <c r="M24" s="256" t="s">
        <v>397</v>
      </c>
      <c r="N24" s="218" t="s">
        <v>398</v>
      </c>
      <c r="O24" s="46">
        <v>1</v>
      </c>
      <c r="P24" s="35"/>
      <c r="S24" s="43"/>
      <c r="T24" s="220"/>
      <c r="U24" s="38"/>
      <c r="V24" s="208">
        <f>+ROUND((ROUND((ROUND((_11_B家事０．７５＿０．２５*_11・重度研修),0)*_11・２人),0)*(1+_11・B深夜)),0)</f>
        <v>60</v>
      </c>
      <c r="W24" s="48"/>
    </row>
    <row r="25" spans="1:23" ht="16.5" customHeight="1" x14ac:dyDescent="0.15">
      <c r="A25" s="41">
        <v>11</v>
      </c>
      <c r="B25" s="41" t="s">
        <v>12534</v>
      </c>
      <c r="C25" s="74" t="s">
        <v>12535</v>
      </c>
      <c r="D25" s="810"/>
      <c r="E25" s="799"/>
      <c r="F25" s="813"/>
      <c r="G25" s="810"/>
      <c r="H25" s="797"/>
      <c r="I25" s="796"/>
      <c r="J25" s="35"/>
      <c r="M25" s="163"/>
      <c r="N25" s="45"/>
      <c r="O25" s="46"/>
      <c r="P25" s="35"/>
      <c r="S25" s="734" t="s">
        <v>404</v>
      </c>
      <c r="T25" s="219" t="s">
        <v>398</v>
      </c>
      <c r="U25" s="50">
        <f>_11・初任</f>
        <v>0.7</v>
      </c>
      <c r="V25" s="208">
        <f>+ROUND((ROUND((ROUND((_11_B家事０．７５＿０．２５*_11・重度研修),0)*(1+_11・B深夜)),0)*_11・初任),0)</f>
        <v>42</v>
      </c>
      <c r="W25" s="48"/>
    </row>
    <row r="26" spans="1:23" ht="16.5" customHeight="1" x14ac:dyDescent="0.15">
      <c r="A26" s="41">
        <v>11</v>
      </c>
      <c r="B26" s="41" t="s">
        <v>12536</v>
      </c>
      <c r="C26" s="74" t="s">
        <v>12537</v>
      </c>
      <c r="D26" s="810"/>
      <c r="E26" s="72"/>
      <c r="F26" s="171"/>
      <c r="G26" s="810"/>
      <c r="H26" s="170">
        <f>_11_B家事０．７５＿０．２５</f>
        <v>44</v>
      </c>
      <c r="I26" s="10" t="s">
        <v>392</v>
      </c>
      <c r="J26" s="35"/>
      <c r="M26" s="256" t="s">
        <v>397</v>
      </c>
      <c r="N26" s="218" t="s">
        <v>398</v>
      </c>
      <c r="O26" s="46">
        <v>1</v>
      </c>
      <c r="P26" s="35"/>
      <c r="S26" s="706"/>
      <c r="T26" s="220"/>
      <c r="U26" s="38"/>
      <c r="V26" s="208">
        <f>+ROUND((ROUND((ROUND((ROUND((_11_B家事０．７５＿０．２５*_11・重度研修),0)*_11・２人),0)*(1+_11・B深夜)),0)*_11・初任),0)</f>
        <v>42</v>
      </c>
      <c r="W26" s="48"/>
    </row>
    <row r="27" spans="1:23" ht="16.5" customHeight="1" x14ac:dyDescent="0.15">
      <c r="A27" s="41">
        <v>11</v>
      </c>
      <c r="B27" s="41">
        <v>8575</v>
      </c>
      <c r="C27" s="74" t="s">
        <v>12538</v>
      </c>
      <c r="D27" s="810"/>
      <c r="E27" s="72"/>
      <c r="F27" s="171"/>
      <c r="G27" s="810"/>
      <c r="H27" s="708" t="s">
        <v>9980</v>
      </c>
      <c r="I27" s="798"/>
      <c r="J27" s="35"/>
      <c r="M27" s="163"/>
      <c r="N27" s="45"/>
      <c r="O27" s="46"/>
      <c r="P27" s="35"/>
      <c r="S27" s="53"/>
      <c r="T27" s="245"/>
      <c r="U27" s="50"/>
      <c r="V27" s="208">
        <f>+ROUND((ROUND((_11_B家事０．７５＿０．５*_11・重度研修),0)*(1+_11・B深夜)),0)</f>
        <v>116</v>
      </c>
      <c r="W27" s="48"/>
    </row>
    <row r="28" spans="1:23" ht="16.5" customHeight="1" x14ac:dyDescent="0.15">
      <c r="A28" s="41">
        <v>11</v>
      </c>
      <c r="B28" s="41">
        <v>8576</v>
      </c>
      <c r="C28" s="74" t="s">
        <v>12539</v>
      </c>
      <c r="D28" s="810"/>
      <c r="E28" s="72"/>
      <c r="F28" s="171"/>
      <c r="G28" s="810"/>
      <c r="H28" s="797"/>
      <c r="I28" s="796"/>
      <c r="J28" s="35"/>
      <c r="M28" s="256" t="s">
        <v>397</v>
      </c>
      <c r="N28" s="218" t="s">
        <v>398</v>
      </c>
      <c r="O28" s="46">
        <v>1</v>
      </c>
      <c r="P28" s="35"/>
      <c r="S28" s="43"/>
      <c r="T28" s="220"/>
      <c r="U28" s="38"/>
      <c r="V28" s="208">
        <f>+ROUND((ROUND((ROUND((_11_B家事０．７５＿０．５*_11・重度研修),0)*_11・２人),0)*(1+_11・B深夜)),0)</f>
        <v>116</v>
      </c>
      <c r="W28" s="48"/>
    </row>
    <row r="29" spans="1:23" ht="16.5" customHeight="1" x14ac:dyDescent="0.15">
      <c r="A29" s="41">
        <v>11</v>
      </c>
      <c r="B29" s="41" t="s">
        <v>12540</v>
      </c>
      <c r="C29" s="74" t="s">
        <v>12541</v>
      </c>
      <c r="D29" s="810"/>
      <c r="E29" s="72"/>
      <c r="F29" s="171"/>
      <c r="G29" s="810"/>
      <c r="H29" s="797"/>
      <c r="I29" s="796"/>
      <c r="J29" s="35"/>
      <c r="M29" s="163"/>
      <c r="N29" s="45"/>
      <c r="O29" s="46"/>
      <c r="P29" s="35"/>
      <c r="S29" s="734" t="s">
        <v>404</v>
      </c>
      <c r="T29" s="219" t="s">
        <v>398</v>
      </c>
      <c r="U29" s="50">
        <f>_11・初任</f>
        <v>0.7</v>
      </c>
      <c r="V29" s="208">
        <f>+ROUND((ROUND((ROUND((_11_B家事０．７５＿０．５*_11・重度研修),0)*(1+_11・B深夜)),0)*_11・初任),0)</f>
        <v>81</v>
      </c>
      <c r="W29" s="48"/>
    </row>
    <row r="30" spans="1:23" ht="16.5" customHeight="1" x14ac:dyDescent="0.15">
      <c r="A30" s="41">
        <v>11</v>
      </c>
      <c r="B30" s="41" t="s">
        <v>12542</v>
      </c>
      <c r="C30" s="74" t="s">
        <v>12543</v>
      </c>
      <c r="D30" s="810"/>
      <c r="E30" s="72"/>
      <c r="F30" s="171"/>
      <c r="G30" s="810"/>
      <c r="H30" s="170">
        <f>_11_B家事０．７５＿０．５</f>
        <v>86</v>
      </c>
      <c r="I30" s="10" t="s">
        <v>392</v>
      </c>
      <c r="J30" s="35"/>
      <c r="M30" s="256" t="s">
        <v>397</v>
      </c>
      <c r="N30" s="218" t="s">
        <v>398</v>
      </c>
      <c r="O30" s="46">
        <v>1</v>
      </c>
      <c r="P30" s="35"/>
      <c r="S30" s="706"/>
      <c r="T30" s="220"/>
      <c r="U30" s="38"/>
      <c r="V30" s="208">
        <f>+ROUND((ROUND((ROUND((ROUND((_11_B家事０．７５＿０．５*_11・重度研修),0)*_11・２人),0)*(1+_11・B深夜)),0)*_11・初任),0)</f>
        <v>81</v>
      </c>
      <c r="W30" s="48"/>
    </row>
    <row r="31" spans="1:23" ht="16.5" customHeight="1" x14ac:dyDescent="0.15">
      <c r="A31" s="41">
        <v>11</v>
      </c>
      <c r="B31" s="41">
        <v>8577</v>
      </c>
      <c r="C31" s="74" t="s">
        <v>12544</v>
      </c>
      <c r="D31" s="810"/>
      <c r="E31" s="72"/>
      <c r="F31" s="171"/>
      <c r="G31" s="810"/>
      <c r="H31" s="708" t="s">
        <v>9993</v>
      </c>
      <c r="I31" s="798"/>
      <c r="J31" s="35"/>
      <c r="M31" s="163"/>
      <c r="N31" s="45"/>
      <c r="O31" s="46"/>
      <c r="P31" s="35"/>
      <c r="S31" s="53"/>
      <c r="T31" s="245"/>
      <c r="U31" s="50"/>
      <c r="V31" s="208">
        <f>+ROUND((ROUND((_11_B家事０．７５＿０．７５*_11・重度研修),0)*(1+_11・B深夜)),0)</f>
        <v>165</v>
      </c>
      <c r="W31" s="48"/>
    </row>
    <row r="32" spans="1:23" ht="16.5" customHeight="1" x14ac:dyDescent="0.15">
      <c r="A32" s="41">
        <v>11</v>
      </c>
      <c r="B32" s="41">
        <v>8578</v>
      </c>
      <c r="C32" s="74" t="s">
        <v>12545</v>
      </c>
      <c r="D32" s="810"/>
      <c r="E32" s="72"/>
      <c r="F32" s="171"/>
      <c r="G32" s="810"/>
      <c r="H32" s="797"/>
      <c r="I32" s="796"/>
      <c r="J32" s="35"/>
      <c r="M32" s="256" t="s">
        <v>397</v>
      </c>
      <c r="N32" s="218" t="s">
        <v>398</v>
      </c>
      <c r="O32" s="46">
        <v>1</v>
      </c>
      <c r="P32" s="35"/>
      <c r="S32" s="43"/>
      <c r="T32" s="220"/>
      <c r="U32" s="38"/>
      <c r="V32" s="208">
        <f>+ROUND((ROUND((ROUND((_11_B家事０．７５＿０．７５*_11・重度研修),0)*_11・２人),0)*(1+_11・B深夜)),0)</f>
        <v>165</v>
      </c>
      <c r="W32" s="48"/>
    </row>
    <row r="33" spans="1:23" ht="16.5" customHeight="1" x14ac:dyDescent="0.15">
      <c r="A33" s="41">
        <v>11</v>
      </c>
      <c r="B33" s="41" t="s">
        <v>12546</v>
      </c>
      <c r="C33" s="74" t="s">
        <v>12547</v>
      </c>
      <c r="D33" s="810"/>
      <c r="E33" s="72"/>
      <c r="F33" s="171"/>
      <c r="G33" s="810"/>
      <c r="H33" s="797"/>
      <c r="I33" s="796"/>
      <c r="J33" s="35"/>
      <c r="M33" s="163"/>
      <c r="N33" s="45"/>
      <c r="O33" s="46"/>
      <c r="P33" s="35"/>
      <c r="S33" s="734" t="s">
        <v>404</v>
      </c>
      <c r="T33" s="219" t="s">
        <v>398</v>
      </c>
      <c r="U33" s="50">
        <f>_11・初任</f>
        <v>0.7</v>
      </c>
      <c r="V33" s="208">
        <f>+ROUND((ROUND((ROUND((_11_B家事０．７５＿０．７５*_11・重度研修),0)*(1+_11・B深夜)),0)*_11・初任),0)</f>
        <v>116</v>
      </c>
      <c r="W33" s="48"/>
    </row>
    <row r="34" spans="1:23" ht="16.5" customHeight="1" x14ac:dyDescent="0.15">
      <c r="A34" s="41">
        <v>11</v>
      </c>
      <c r="B34" s="41" t="s">
        <v>12548</v>
      </c>
      <c r="C34" s="74" t="s">
        <v>12549</v>
      </c>
      <c r="D34" s="810"/>
      <c r="E34" s="72"/>
      <c r="F34" s="171"/>
      <c r="G34" s="810"/>
      <c r="H34" s="170">
        <f>_11_B家事０．７５＿０．７５</f>
        <v>122</v>
      </c>
      <c r="I34" s="10" t="s">
        <v>392</v>
      </c>
      <c r="J34" s="35"/>
      <c r="M34" s="256" t="s">
        <v>397</v>
      </c>
      <c r="N34" s="218" t="s">
        <v>398</v>
      </c>
      <c r="O34" s="46">
        <v>1</v>
      </c>
      <c r="P34" s="35"/>
      <c r="S34" s="706"/>
      <c r="T34" s="220"/>
      <c r="U34" s="38"/>
      <c r="V34" s="208">
        <f>+ROUND((ROUND((ROUND((ROUND((_11_B家事０．７５＿０．７５*_11・重度研修),0)*_11・２人),0)*(1+_11・B深夜)),0)*_11・初任),0)</f>
        <v>116</v>
      </c>
      <c r="W34" s="48"/>
    </row>
    <row r="35" spans="1:23" ht="16.5" customHeight="1" x14ac:dyDescent="0.15">
      <c r="A35" s="41">
        <v>11</v>
      </c>
      <c r="B35" s="41">
        <v>8579</v>
      </c>
      <c r="C35" s="74" t="s">
        <v>12550</v>
      </c>
      <c r="D35" s="810"/>
      <c r="E35" s="707" t="s">
        <v>9163</v>
      </c>
      <c r="F35" s="812"/>
      <c r="G35" s="810"/>
      <c r="H35" s="708" t="s">
        <v>9967</v>
      </c>
      <c r="I35" s="798"/>
      <c r="J35" s="35"/>
      <c r="M35" s="163"/>
      <c r="N35" s="45"/>
      <c r="O35" s="46"/>
      <c r="P35" s="35"/>
      <c r="S35" s="53"/>
      <c r="T35" s="245"/>
      <c r="U35" s="50"/>
      <c r="V35" s="208">
        <f>+ROUND((ROUND((_11_B家事１．０＿０．２５*_11・重度研修),0)*(1+_11・B深夜)),0)</f>
        <v>57</v>
      </c>
      <c r="W35" s="48"/>
    </row>
    <row r="36" spans="1:23" ht="16.5" customHeight="1" x14ac:dyDescent="0.15">
      <c r="A36" s="41">
        <v>11</v>
      </c>
      <c r="B36" s="41">
        <v>8580</v>
      </c>
      <c r="C36" s="74" t="s">
        <v>12551</v>
      </c>
      <c r="D36" s="810"/>
      <c r="E36" s="799"/>
      <c r="F36" s="813"/>
      <c r="G36" s="810"/>
      <c r="H36" s="797"/>
      <c r="I36" s="796"/>
      <c r="J36" s="35"/>
      <c r="M36" s="256" t="s">
        <v>397</v>
      </c>
      <c r="N36" s="218" t="s">
        <v>398</v>
      </c>
      <c r="O36" s="46">
        <v>1</v>
      </c>
      <c r="P36" s="35"/>
      <c r="S36" s="43"/>
      <c r="T36" s="220"/>
      <c r="U36" s="38"/>
      <c r="V36" s="208">
        <f>+ROUND((ROUND((ROUND((_11_B家事１．０＿０．２５*_11・重度研修),0)*_11・２人),0)*(1+_11・B深夜)),0)</f>
        <v>57</v>
      </c>
      <c r="W36" s="48"/>
    </row>
    <row r="37" spans="1:23" ht="16.5" customHeight="1" x14ac:dyDescent="0.15">
      <c r="A37" s="41">
        <v>11</v>
      </c>
      <c r="B37" s="41" t="s">
        <v>12552</v>
      </c>
      <c r="C37" s="74" t="s">
        <v>12553</v>
      </c>
      <c r="D37" s="810"/>
      <c r="E37" s="799"/>
      <c r="F37" s="813"/>
      <c r="G37" s="810"/>
      <c r="H37" s="797"/>
      <c r="I37" s="796"/>
      <c r="J37" s="35"/>
      <c r="M37" s="163"/>
      <c r="N37" s="45"/>
      <c r="O37" s="46"/>
      <c r="P37" s="35"/>
      <c r="S37" s="734" t="s">
        <v>404</v>
      </c>
      <c r="T37" s="219" t="s">
        <v>398</v>
      </c>
      <c r="U37" s="50">
        <f>_11・初任</f>
        <v>0.7</v>
      </c>
      <c r="V37" s="208">
        <f>+ROUND((ROUND((ROUND((_11_B家事１．０＿０．２５*_11・重度研修),0)*(1+_11・B深夜)),0)*_11・初任),0)</f>
        <v>40</v>
      </c>
      <c r="W37" s="48"/>
    </row>
    <row r="38" spans="1:23" ht="16.5" customHeight="1" x14ac:dyDescent="0.15">
      <c r="A38" s="41">
        <v>11</v>
      </c>
      <c r="B38" s="41" t="s">
        <v>12554</v>
      </c>
      <c r="C38" s="74" t="s">
        <v>12555</v>
      </c>
      <c r="D38" s="810"/>
      <c r="E38" s="72"/>
      <c r="F38" s="171"/>
      <c r="G38" s="810"/>
      <c r="H38" s="170">
        <f>_11_B家事１．０＿０．２５</f>
        <v>42</v>
      </c>
      <c r="I38" s="10" t="s">
        <v>392</v>
      </c>
      <c r="J38" s="35"/>
      <c r="M38" s="256" t="s">
        <v>397</v>
      </c>
      <c r="N38" s="218" t="s">
        <v>398</v>
      </c>
      <c r="O38" s="46">
        <v>1</v>
      </c>
      <c r="P38" s="35"/>
      <c r="S38" s="706"/>
      <c r="T38" s="220"/>
      <c r="U38" s="38"/>
      <c r="V38" s="208">
        <f>+ROUND((ROUND((ROUND((ROUND((_11_B家事１．０＿０．２５*_11・重度研修),0)*_11・２人),0)*(1+_11・B深夜)),0)*_11・初任),0)</f>
        <v>40</v>
      </c>
      <c r="W38" s="48"/>
    </row>
    <row r="39" spans="1:23" ht="16.5" customHeight="1" x14ac:dyDescent="0.15">
      <c r="A39" s="41">
        <v>11</v>
      </c>
      <c r="B39" s="41">
        <v>8581</v>
      </c>
      <c r="C39" s="74" t="s">
        <v>12556</v>
      </c>
      <c r="D39" s="810"/>
      <c r="E39" s="707" t="s">
        <v>9163</v>
      </c>
      <c r="F39" s="812"/>
      <c r="G39" s="810"/>
      <c r="H39" s="708" t="s">
        <v>9980</v>
      </c>
      <c r="I39" s="798"/>
      <c r="J39" s="35"/>
      <c r="M39" s="163"/>
      <c r="N39" s="45"/>
      <c r="O39" s="46"/>
      <c r="P39" s="35"/>
      <c r="S39" s="53"/>
      <c r="T39" s="245"/>
      <c r="U39" s="50"/>
      <c r="V39" s="208">
        <f>+ROUND((ROUND((_11_B家事１．０＿０．５*_11・重度研修),0)*(1+_11・B深夜)),0)</f>
        <v>105</v>
      </c>
      <c r="W39" s="48"/>
    </row>
    <row r="40" spans="1:23" ht="16.5" customHeight="1" x14ac:dyDescent="0.15">
      <c r="A40" s="41">
        <v>11</v>
      </c>
      <c r="B40" s="41">
        <v>8582</v>
      </c>
      <c r="C40" s="74" t="s">
        <v>12557</v>
      </c>
      <c r="D40" s="810"/>
      <c r="E40" s="799"/>
      <c r="F40" s="813"/>
      <c r="G40" s="810"/>
      <c r="H40" s="797"/>
      <c r="I40" s="796"/>
      <c r="J40" s="35"/>
      <c r="M40" s="256" t="s">
        <v>397</v>
      </c>
      <c r="N40" s="218" t="s">
        <v>398</v>
      </c>
      <c r="O40" s="46">
        <v>1</v>
      </c>
      <c r="P40" s="35"/>
      <c r="S40" s="43"/>
      <c r="T40" s="220"/>
      <c r="U40" s="38"/>
      <c r="V40" s="208">
        <f>+ROUND((ROUND((ROUND((_11_B家事１．０＿０．５*_11・重度研修),0)*_11・２人),0)*(1+_11・B深夜)),0)</f>
        <v>105</v>
      </c>
      <c r="W40" s="48"/>
    </row>
    <row r="41" spans="1:23" ht="16.5" customHeight="1" x14ac:dyDescent="0.15">
      <c r="A41" s="41">
        <v>11</v>
      </c>
      <c r="B41" s="41" t="s">
        <v>12558</v>
      </c>
      <c r="C41" s="74" t="s">
        <v>12559</v>
      </c>
      <c r="D41" s="810"/>
      <c r="E41" s="799"/>
      <c r="F41" s="813"/>
      <c r="G41" s="810"/>
      <c r="H41" s="797"/>
      <c r="I41" s="796"/>
      <c r="J41" s="35"/>
      <c r="M41" s="163"/>
      <c r="N41" s="45"/>
      <c r="O41" s="46"/>
      <c r="P41" s="35"/>
      <c r="S41" s="734" t="s">
        <v>404</v>
      </c>
      <c r="T41" s="219" t="s">
        <v>398</v>
      </c>
      <c r="U41" s="50">
        <f>_11・初任</f>
        <v>0.7</v>
      </c>
      <c r="V41" s="208">
        <f>+ROUND((ROUND((ROUND((_11_B家事１．０＿０．５*_11・重度研修),0)*(1+_11・B深夜)),0)*_11・初任),0)</f>
        <v>74</v>
      </c>
      <c r="W41" s="48"/>
    </row>
    <row r="42" spans="1:23" ht="16.5" customHeight="1" x14ac:dyDescent="0.15">
      <c r="A42" s="41">
        <v>11</v>
      </c>
      <c r="B42" s="41" t="s">
        <v>12560</v>
      </c>
      <c r="C42" s="74" t="s">
        <v>12561</v>
      </c>
      <c r="D42" s="810"/>
      <c r="E42" s="72"/>
      <c r="F42" s="171"/>
      <c r="G42" s="810"/>
      <c r="H42" s="170">
        <f>_11_B家事１．０＿０．５</f>
        <v>78</v>
      </c>
      <c r="I42" s="10" t="s">
        <v>392</v>
      </c>
      <c r="J42" s="35"/>
      <c r="M42" s="256" t="s">
        <v>397</v>
      </c>
      <c r="N42" s="218" t="s">
        <v>398</v>
      </c>
      <c r="O42" s="46">
        <v>1</v>
      </c>
      <c r="P42" s="35"/>
      <c r="S42" s="706"/>
      <c r="T42" s="220"/>
      <c r="U42" s="38"/>
      <c r="V42" s="208">
        <f>+ROUND((ROUND((ROUND((ROUND((_11_B家事１．０＿０．５*_11・重度研修),0)*_11・２人),0)*(1+_11・B深夜)),0)*_11・初任),0)</f>
        <v>74</v>
      </c>
      <c r="W42" s="48"/>
    </row>
    <row r="43" spans="1:23" ht="16.5" customHeight="1" x14ac:dyDescent="0.15">
      <c r="A43" s="41">
        <v>11</v>
      </c>
      <c r="B43" s="41">
        <v>8583</v>
      </c>
      <c r="C43" s="74" t="s">
        <v>12562</v>
      </c>
      <c r="D43" s="810"/>
      <c r="E43" s="707" t="s">
        <v>9176</v>
      </c>
      <c r="F43" s="812"/>
      <c r="G43" s="810"/>
      <c r="H43" s="708" t="s">
        <v>9967</v>
      </c>
      <c r="I43" s="798"/>
      <c r="J43" s="35"/>
      <c r="M43" s="163"/>
      <c r="N43" s="45"/>
      <c r="O43" s="46"/>
      <c r="P43" s="35"/>
      <c r="S43" s="53"/>
      <c r="T43" s="245"/>
      <c r="U43" s="50"/>
      <c r="V43" s="208">
        <f>+ROUND((ROUND((_11_B家事１．２５＿０．２５*_11・重度研修),0)*(1+_11・B深夜)),0)</f>
        <v>48</v>
      </c>
      <c r="W43" s="48"/>
    </row>
    <row r="44" spans="1:23" ht="16.5" customHeight="1" x14ac:dyDescent="0.15">
      <c r="A44" s="41">
        <v>11</v>
      </c>
      <c r="B44" s="41">
        <v>8584</v>
      </c>
      <c r="C44" s="74" t="s">
        <v>12563</v>
      </c>
      <c r="D44" s="810"/>
      <c r="E44" s="799"/>
      <c r="F44" s="813"/>
      <c r="G44" s="810"/>
      <c r="H44" s="797"/>
      <c r="I44" s="796"/>
      <c r="J44" s="35"/>
      <c r="M44" s="256" t="s">
        <v>397</v>
      </c>
      <c r="N44" s="218" t="s">
        <v>398</v>
      </c>
      <c r="O44" s="46">
        <v>1</v>
      </c>
      <c r="P44" s="35"/>
      <c r="S44" s="43"/>
      <c r="T44" s="220"/>
      <c r="U44" s="38"/>
      <c r="V44" s="208">
        <f>+ROUND((ROUND((ROUND((_11_B家事１．２５＿０．２５*_11・重度研修),0)*_11・２人),0)*(1+_11・B深夜)),0)</f>
        <v>48</v>
      </c>
      <c r="W44" s="48"/>
    </row>
    <row r="45" spans="1:23" ht="16.5" customHeight="1" x14ac:dyDescent="0.15">
      <c r="A45" s="41">
        <v>11</v>
      </c>
      <c r="B45" s="41" t="s">
        <v>12564</v>
      </c>
      <c r="C45" s="74" t="s">
        <v>12565</v>
      </c>
      <c r="D45" s="810"/>
      <c r="E45" s="799"/>
      <c r="F45" s="813"/>
      <c r="G45" s="810"/>
      <c r="H45" s="797"/>
      <c r="I45" s="796"/>
      <c r="J45" s="35"/>
      <c r="M45" s="163"/>
      <c r="N45" s="45"/>
      <c r="O45" s="46"/>
      <c r="P45" s="35"/>
      <c r="S45" s="734" t="s">
        <v>404</v>
      </c>
      <c r="T45" s="219" t="s">
        <v>398</v>
      </c>
      <c r="U45" s="50">
        <f>_11・初任</f>
        <v>0.7</v>
      </c>
      <c r="V45" s="208">
        <f>+ROUND((ROUND((ROUND((_11_B家事１．２５＿０．２５*_11・重度研修),0)*(1+_11・B深夜)),0)*_11・初任),0)</f>
        <v>34</v>
      </c>
      <c r="W45" s="48"/>
    </row>
    <row r="46" spans="1:23" ht="16.5" customHeight="1" x14ac:dyDescent="0.15">
      <c r="A46" s="41">
        <v>11</v>
      </c>
      <c r="B46" s="41" t="s">
        <v>12566</v>
      </c>
      <c r="C46" s="74" t="s">
        <v>12567</v>
      </c>
      <c r="D46" s="811"/>
      <c r="E46" s="122"/>
      <c r="F46" s="175"/>
      <c r="G46" s="811"/>
      <c r="H46" s="176">
        <f>_11_B家事１．２５＿０．２５</f>
        <v>36</v>
      </c>
      <c r="I46" s="190" t="s">
        <v>392</v>
      </c>
      <c r="J46" s="43"/>
      <c r="K46" s="37"/>
      <c r="L46" s="38"/>
      <c r="M46" s="256" t="s">
        <v>397</v>
      </c>
      <c r="N46" s="218" t="s">
        <v>398</v>
      </c>
      <c r="O46" s="46">
        <v>1</v>
      </c>
      <c r="P46" s="43"/>
      <c r="Q46" s="37"/>
      <c r="R46" s="38"/>
      <c r="S46" s="706"/>
      <c r="T46" s="220"/>
      <c r="U46" s="38"/>
      <c r="V46" s="208">
        <f>+ROUND((ROUND((ROUND((ROUND((_11_B家事１．２５＿０．２５*_11・重度研修),0)*_11・２人),0)*(1+_11・B深夜)),0)*_11・初任),0)</f>
        <v>34</v>
      </c>
      <c r="W46" s="63"/>
    </row>
    <row r="47" spans="1:23" ht="16.5" customHeight="1" x14ac:dyDescent="0.15"/>
    <row r="48" spans="1:23" ht="16.5" customHeight="1" x14ac:dyDescent="0.15"/>
  </sheetData>
  <mergeCells count="30">
    <mergeCell ref="S45:S46"/>
    <mergeCell ref="S33:S34"/>
    <mergeCell ref="E35:F37"/>
    <mergeCell ref="H35:I37"/>
    <mergeCell ref="S37:S38"/>
    <mergeCell ref="E39:F41"/>
    <mergeCell ref="H39:I41"/>
    <mergeCell ref="S41:S42"/>
    <mergeCell ref="S21:S22"/>
    <mergeCell ref="E23:F25"/>
    <mergeCell ref="H23:I25"/>
    <mergeCell ref="S25:S26"/>
    <mergeCell ref="H27:I29"/>
    <mergeCell ref="S29:S30"/>
    <mergeCell ref="R8:R9"/>
    <mergeCell ref="S9:S10"/>
    <mergeCell ref="H11:I13"/>
    <mergeCell ref="S13:S14"/>
    <mergeCell ref="H15:I17"/>
    <mergeCell ref="S17:S18"/>
    <mergeCell ref="J7:L9"/>
    <mergeCell ref="G6:I6"/>
    <mergeCell ref="D7:D46"/>
    <mergeCell ref="E7:F9"/>
    <mergeCell ref="G7:G46"/>
    <mergeCell ref="H7:I9"/>
    <mergeCell ref="H19:I21"/>
    <mergeCell ref="H31:I33"/>
    <mergeCell ref="E43:F45"/>
    <mergeCell ref="H43:I45"/>
  </mergeCells>
  <phoneticPr fontId="1"/>
  <printOptions horizontalCentered="1"/>
  <pageMargins left="0.70866141732283472" right="0.70866141732283472" top="0.74803149606299213" bottom="0.74803149606299213" header="0.31496062992125984" footer="0.31496062992125984"/>
  <pageSetup paperSize="9" scale="50" fitToHeight="0" orientation="portrait" r:id="rId1"/>
  <headerFooter>
    <oddHeader>&amp;R&amp;"ＭＳ Ｐゴシック"&amp;9居宅介護</oddHeader>
    <oddFooter>&amp;C&amp;"ＭＳ Ｐゴシック"&amp;14&amp;P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8">
    <pageSetUpPr fitToPage="1"/>
  </sheetPr>
  <dimension ref="A1:Z49"/>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5.875" style="10" bestFit="1" customWidth="1"/>
    <col min="4" max="4" width="4.875" style="10" customWidth="1"/>
    <col min="5" max="5" width="4.875" style="12" customWidth="1"/>
    <col min="6" max="6" width="4.875" style="10" customWidth="1"/>
    <col min="7" max="7" width="4.875" style="12" customWidth="1"/>
    <col min="8" max="8" width="4.875" style="10" customWidth="1"/>
    <col min="9" max="9" width="4.875" style="12" customWidth="1"/>
    <col min="10" max="10" width="3.125" style="12" customWidth="1"/>
    <col min="11" max="11" width="2.5" style="12" customWidth="1"/>
    <col min="12" max="12" width="4.5" style="13" bestFit="1" customWidth="1"/>
    <col min="13" max="13" width="24.125" style="12" bestFit="1" customWidth="1"/>
    <col min="14" max="14" width="2.5" style="12" customWidth="1"/>
    <col min="15" max="15" width="5.5" style="13" bestFit="1" customWidth="1"/>
    <col min="16" max="16" width="2.5" style="12" customWidth="1"/>
    <col min="17" max="17" width="3.875" style="12" customWidth="1"/>
    <col min="18" max="18" width="4.5" style="13" bestFit="1" customWidth="1"/>
    <col min="19" max="19" width="2.5" style="12" customWidth="1"/>
    <col min="20" max="20" width="3.875" style="12" customWidth="1"/>
    <col min="21" max="21" width="4.5" style="13" bestFit="1" customWidth="1"/>
    <col min="22" max="22" width="17.875" style="12" customWidth="1"/>
    <col min="23" max="23" width="2.5" style="242" customWidth="1"/>
    <col min="24" max="24" width="4.5" style="13" bestFit="1" customWidth="1"/>
    <col min="25" max="25" width="7.125" style="206" customWidth="1"/>
    <col min="26" max="26" width="8.5" style="16" customWidth="1"/>
    <col min="27" max="16384" width="8.875" style="12"/>
  </cols>
  <sheetData>
    <row r="1" spans="1:26" ht="17.100000000000001" customHeight="1" x14ac:dyDescent="0.15"/>
    <row r="2" spans="1:26" ht="17.100000000000001" customHeight="1" x14ac:dyDescent="0.15"/>
    <row r="3" spans="1:26" ht="17.100000000000001" customHeight="1" x14ac:dyDescent="0.15"/>
    <row r="4" spans="1:26" ht="17.100000000000001" customHeight="1" x14ac:dyDescent="0.15">
      <c r="B4" s="17" t="s">
        <v>12568</v>
      </c>
      <c r="D4" s="71"/>
    </row>
    <row r="5" spans="1:26" ht="16.5" customHeight="1" x14ac:dyDescent="0.15">
      <c r="A5" s="19" t="s">
        <v>384</v>
      </c>
      <c r="B5" s="20"/>
      <c r="C5" s="21" t="s">
        <v>385</v>
      </c>
      <c r="D5" s="23" t="s">
        <v>386</v>
      </c>
      <c r="E5" s="23"/>
      <c r="F5" s="23"/>
      <c r="G5" s="23"/>
      <c r="H5" s="23"/>
      <c r="I5" s="23"/>
      <c r="J5" s="23"/>
      <c r="K5" s="23"/>
      <c r="L5" s="24"/>
      <c r="M5" s="23"/>
      <c r="N5" s="23"/>
      <c r="O5" s="24"/>
      <c r="P5" s="23"/>
      <c r="Q5" s="23"/>
      <c r="R5" s="24"/>
      <c r="S5" s="23"/>
      <c r="T5" s="23"/>
      <c r="U5" s="24"/>
      <c r="V5" s="23"/>
      <c r="W5" s="23"/>
      <c r="X5" s="24"/>
      <c r="Y5" s="21" t="s">
        <v>387</v>
      </c>
      <c r="Z5" s="21" t="s">
        <v>388</v>
      </c>
    </row>
    <row r="6" spans="1:26" ht="16.5" customHeight="1" x14ac:dyDescent="0.15">
      <c r="A6" s="26" t="s">
        <v>389</v>
      </c>
      <c r="B6" s="26" t="s">
        <v>390</v>
      </c>
      <c r="C6" s="27"/>
      <c r="D6" s="87" t="s">
        <v>1032</v>
      </c>
      <c r="E6" s="187"/>
      <c r="F6" s="87" t="s">
        <v>1033</v>
      </c>
      <c r="G6" s="20"/>
      <c r="H6" s="29"/>
      <c r="I6" s="29"/>
      <c r="J6" s="29"/>
      <c r="K6" s="29"/>
      <c r="L6" s="30"/>
      <c r="M6" s="29"/>
      <c r="N6" s="29"/>
      <c r="O6" s="30"/>
      <c r="P6" s="29"/>
      <c r="Q6" s="29"/>
      <c r="R6" s="30"/>
      <c r="S6" s="29"/>
      <c r="T6" s="29"/>
      <c r="U6" s="30"/>
      <c r="V6" s="29"/>
      <c r="W6" s="214"/>
      <c r="X6" s="30"/>
      <c r="Y6" s="32" t="s">
        <v>391</v>
      </c>
      <c r="Z6" s="32" t="s">
        <v>392</v>
      </c>
    </row>
    <row r="7" spans="1:26" ht="16.5" customHeight="1" x14ac:dyDescent="0.15">
      <c r="A7" s="33">
        <v>11</v>
      </c>
      <c r="B7" s="33">
        <v>8585</v>
      </c>
      <c r="C7" s="34" t="s">
        <v>12569</v>
      </c>
      <c r="D7" s="709" t="s">
        <v>861</v>
      </c>
      <c r="E7" s="796"/>
      <c r="F7" s="709" t="s">
        <v>9463</v>
      </c>
      <c r="G7" s="796"/>
      <c r="H7" s="709" t="s">
        <v>9588</v>
      </c>
      <c r="I7" s="797"/>
      <c r="J7" s="709" t="s">
        <v>11707</v>
      </c>
      <c r="K7" s="787"/>
      <c r="L7" s="802"/>
      <c r="M7" s="37"/>
      <c r="N7" s="37"/>
      <c r="O7" s="38"/>
      <c r="P7" s="72" t="s">
        <v>1036</v>
      </c>
      <c r="S7" s="92" t="s">
        <v>1037</v>
      </c>
      <c r="V7" s="35"/>
      <c r="Y7" s="207">
        <f>ROUND((ROUND((_11_A家事０．５*_11・重度研修),0)*(1+_11・A深夜)),0)+ROUND((ROUND((_11_B家事０．５＿０．２５*_11・重度研修),0)*(1+_11・B早朝)),0)+ROUND((_11_C家事０．５＿０．２５＿０．２５*_11・重度研修),0)</f>
        <v>236</v>
      </c>
      <c r="Z7" s="40" t="s">
        <v>395</v>
      </c>
    </row>
    <row r="8" spans="1:26" ht="16.5" customHeight="1" x14ac:dyDescent="0.15">
      <c r="A8" s="41">
        <v>11</v>
      </c>
      <c r="B8" s="41">
        <v>8586</v>
      </c>
      <c r="C8" s="74" t="s">
        <v>12570</v>
      </c>
      <c r="D8" s="799"/>
      <c r="E8" s="796"/>
      <c r="F8" s="799"/>
      <c r="G8" s="796"/>
      <c r="H8" s="799"/>
      <c r="I8" s="797"/>
      <c r="J8" s="722"/>
      <c r="K8" s="787"/>
      <c r="L8" s="787"/>
      <c r="M8" s="44" t="s">
        <v>397</v>
      </c>
      <c r="N8" s="218" t="s">
        <v>398</v>
      </c>
      <c r="O8" s="46">
        <v>1</v>
      </c>
      <c r="P8" s="258" t="s">
        <v>398</v>
      </c>
      <c r="Q8" s="13">
        <v>0.5</v>
      </c>
      <c r="R8" s="704" t="s">
        <v>676</v>
      </c>
      <c r="S8" s="258" t="s">
        <v>398</v>
      </c>
      <c r="T8" s="13">
        <v>0.25</v>
      </c>
      <c r="U8" s="704" t="s">
        <v>676</v>
      </c>
      <c r="V8" s="43"/>
      <c r="W8" s="220"/>
      <c r="X8" s="38"/>
      <c r="Y8" s="208">
        <f>ROUND((ROUND((ROUND((_11_A家事０．５*_11・重度研修),0)*_11・２人),0)*(1+_11・A深夜)),0)+ROUND((ROUND((ROUND((_11_B家事０．５＿０．２５*_11・重度研修),0)*_11・２人),0)*(1+_11・B早朝)),0)+ROUND((ROUND((_11_C家事０．５＿０．２５＿０．２５*_11・重度研修),0)*_11・２人),0)</f>
        <v>236</v>
      </c>
      <c r="Z8" s="48"/>
    </row>
    <row r="9" spans="1:26" ht="16.5" customHeight="1" x14ac:dyDescent="0.15">
      <c r="A9" s="41">
        <v>11</v>
      </c>
      <c r="B9" s="41" t="s">
        <v>12571</v>
      </c>
      <c r="C9" s="42" t="s">
        <v>12572</v>
      </c>
      <c r="D9" s="799"/>
      <c r="E9" s="796"/>
      <c r="F9" s="799"/>
      <c r="G9" s="796"/>
      <c r="H9" s="799"/>
      <c r="I9" s="797"/>
      <c r="J9" s="722"/>
      <c r="K9" s="787"/>
      <c r="L9" s="802"/>
      <c r="M9" s="45"/>
      <c r="N9" s="45"/>
      <c r="O9" s="46"/>
      <c r="P9" s="35"/>
      <c r="R9" s="797"/>
      <c r="S9" s="35"/>
      <c r="U9" s="797"/>
      <c r="V9" s="734" t="s">
        <v>404</v>
      </c>
      <c r="W9" s="219" t="s">
        <v>398</v>
      </c>
      <c r="X9" s="50">
        <f>_11・初任</f>
        <v>0.7</v>
      </c>
      <c r="Y9" s="208">
        <f>ROUND((ROUND((ROUND((_11_A家事０．５*_11・重度研修),0)*(1+_11・A深夜)),0)*_11・初任),0)+ROUND((ROUND((ROUND((_11_B家事０．５＿０．２５*_11・重度研修),0)*(1+_11・B早朝)),0)*_11・初任),0)+ROUND((ROUND((_11_C家事０．５＿０．２５＿０．２５*_11・重度研修),0)*_11・初任),0)</f>
        <v>165</v>
      </c>
      <c r="Z9" s="48"/>
    </row>
    <row r="10" spans="1:26" ht="16.5" customHeight="1" x14ac:dyDescent="0.15">
      <c r="A10" s="41">
        <v>11</v>
      </c>
      <c r="B10" s="41" t="s">
        <v>12573</v>
      </c>
      <c r="C10" s="42" t="s">
        <v>12574</v>
      </c>
      <c r="D10" s="100">
        <f>_11_A家事０．５</f>
        <v>105</v>
      </c>
      <c r="E10" s="273" t="s">
        <v>392</v>
      </c>
      <c r="F10" s="274">
        <f>_11_B家事０．５＿０．２５</f>
        <v>47</v>
      </c>
      <c r="G10" s="275" t="s">
        <v>392</v>
      </c>
      <c r="H10" s="274">
        <f>_11_C家事０．５＿０．２５＿０．２５</f>
        <v>44</v>
      </c>
      <c r="I10" s="275" t="s">
        <v>392</v>
      </c>
      <c r="J10" s="35"/>
      <c r="K10" s="16" t="s">
        <v>398</v>
      </c>
      <c r="L10" s="13">
        <v>0.9</v>
      </c>
      <c r="M10" s="44" t="s">
        <v>397</v>
      </c>
      <c r="N10" s="218" t="s">
        <v>398</v>
      </c>
      <c r="O10" s="189">
        <v>1</v>
      </c>
      <c r="P10" s="35"/>
      <c r="S10" s="35"/>
      <c r="V10" s="706"/>
      <c r="W10" s="220"/>
      <c r="X10" s="38"/>
      <c r="Y10" s="208">
        <f>ROUND((ROUND((ROUND((ROUND((_11_A家事０．５*_11・重度研修),0)*_11・２人),0)*(1+_11・A深夜)),0)*_11・初任),0)+ROUND((ROUND((ROUND((ROUND((_11_B家事０．５＿０．２５*_11・重度研修),0)*_11・２人),0)*(1+_11・B早朝)),0)*_11・初任),0)+ROUND((ROUND((ROUND((_11_C家事０．５＿０．２５＿０．２５*_11・重度研修),0)*_11・２人),0)*_11・初任),0)</f>
        <v>165</v>
      </c>
      <c r="Z10" s="48"/>
    </row>
    <row r="11" spans="1:26" ht="16.5" customHeight="1" x14ac:dyDescent="0.15">
      <c r="A11" s="41">
        <v>11</v>
      </c>
      <c r="B11" s="41">
        <v>8587</v>
      </c>
      <c r="C11" s="74" t="s">
        <v>12575</v>
      </c>
      <c r="D11" s="72"/>
      <c r="F11" s="72"/>
      <c r="H11" s="707" t="s">
        <v>9601</v>
      </c>
      <c r="I11" s="798"/>
      <c r="J11" s="35"/>
      <c r="M11" s="163"/>
      <c r="N11" s="45"/>
      <c r="O11" s="46"/>
      <c r="P11" s="35"/>
      <c r="S11" s="35"/>
      <c r="V11" s="53"/>
      <c r="W11" s="245"/>
      <c r="X11" s="49"/>
      <c r="Y11" s="208">
        <f>ROUND((ROUND((_11_A家事０．５*_11・重度研修),0)*(1+_11・A深夜)),0)+ROUND((ROUND((_11_B家事０．５＿０．２５*_11・重度研修),0)*(1+_11・B早朝)),0)+ROUND((_11_C家事０．５＿０．２５＿０．５*_11・重度研修),0)</f>
        <v>273</v>
      </c>
      <c r="Z11" s="48"/>
    </row>
    <row r="12" spans="1:26" ht="16.5" customHeight="1" x14ac:dyDescent="0.15">
      <c r="A12" s="41">
        <v>11</v>
      </c>
      <c r="B12" s="41">
        <v>8588</v>
      </c>
      <c r="C12" s="74" t="s">
        <v>12576</v>
      </c>
      <c r="D12" s="72"/>
      <c r="F12" s="72"/>
      <c r="H12" s="799"/>
      <c r="I12" s="796"/>
      <c r="J12" s="35"/>
      <c r="M12" s="44" t="s">
        <v>397</v>
      </c>
      <c r="N12" s="218" t="s">
        <v>398</v>
      </c>
      <c r="O12" s="189">
        <v>1</v>
      </c>
      <c r="P12" s="35"/>
      <c r="S12" s="35"/>
      <c r="V12" s="43"/>
      <c r="W12" s="220"/>
      <c r="X12" s="37"/>
      <c r="Y12" s="208">
        <f>ROUND((ROUND((ROUND((_11_A家事０．５*_11・重度研修),0)*_11・２人),0)*(1+_11・A深夜)),0)+ROUND((ROUND((ROUND((_11_B家事０．５＿０．２５*_11・重度研修),0)*_11・２人),0)*(1+_11・B早朝)),0)+ROUND((ROUND((_11_C家事０．５＿０．２５＿０．５*_11・重度研修),0)*_11・２人),0)</f>
        <v>273</v>
      </c>
      <c r="Z12" s="48"/>
    </row>
    <row r="13" spans="1:26" ht="16.5" customHeight="1" x14ac:dyDescent="0.15">
      <c r="A13" s="41">
        <v>11</v>
      </c>
      <c r="B13" s="41" t="s">
        <v>12577</v>
      </c>
      <c r="C13" s="42" t="s">
        <v>12578</v>
      </c>
      <c r="D13" s="72"/>
      <c r="F13" s="72"/>
      <c r="H13" s="799"/>
      <c r="I13" s="796"/>
      <c r="J13" s="35"/>
      <c r="M13" s="163"/>
      <c r="N13" s="45"/>
      <c r="O13" s="46"/>
      <c r="P13" s="35"/>
      <c r="S13" s="35"/>
      <c r="V13" s="734" t="s">
        <v>404</v>
      </c>
      <c r="W13" s="219" t="s">
        <v>398</v>
      </c>
      <c r="X13" s="50">
        <f>_11・初任</f>
        <v>0.7</v>
      </c>
      <c r="Y13" s="208">
        <f>ROUND((ROUND((ROUND((_11_A家事０．５*_11・重度研修),0)*(1+_11・A深夜)),0)*_11・初任),0)+ROUND((ROUND((ROUND((_11_B家事０．５＿０．２５*_11・重度研修),0)*(1+_11・B早朝)),0)*_11・初任),0)+ROUND((ROUND((_11_C家事０．５＿０．２５＿０．５*_11・重度研修),0)*_11・初任),0)</f>
        <v>191</v>
      </c>
      <c r="Z13" s="48"/>
    </row>
    <row r="14" spans="1:26" ht="16.5" customHeight="1" x14ac:dyDescent="0.15">
      <c r="A14" s="41">
        <v>11</v>
      </c>
      <c r="B14" s="41" t="s">
        <v>12579</v>
      </c>
      <c r="C14" s="42" t="s">
        <v>12580</v>
      </c>
      <c r="D14" s="72"/>
      <c r="F14" s="72"/>
      <c r="H14" s="274">
        <f>_11_C家事０．５＿０．２５＿０．５</f>
        <v>86</v>
      </c>
      <c r="I14" s="275" t="s">
        <v>392</v>
      </c>
      <c r="J14" s="35"/>
      <c r="M14" s="44" t="s">
        <v>397</v>
      </c>
      <c r="N14" s="218" t="s">
        <v>398</v>
      </c>
      <c r="O14" s="189">
        <v>1</v>
      </c>
      <c r="P14" s="35"/>
      <c r="S14" s="35"/>
      <c r="V14" s="706"/>
      <c r="W14" s="220"/>
      <c r="X14" s="38"/>
      <c r="Y14" s="208">
        <f>ROUND((ROUND((ROUND((ROUND((_11_A家事０．５*_11・重度研修),0)*_11・２人),0)*(1+_11・A深夜)),0)*_11・初任),0)+ROUND((ROUND((ROUND((ROUND((_11_B家事０．５＿０．２５*_11・重度研修),0)*_11・２人),0)*(1+_11・B早朝)),0)*_11・初任),0)+ROUND((ROUND((ROUND((_11_C家事０．５＿０．２５＿０．５*_11・重度研修),0)*_11・２人),0)*_11・初任),0)</f>
        <v>191</v>
      </c>
      <c r="Z14" s="48"/>
    </row>
    <row r="15" spans="1:26" ht="16.5" customHeight="1" x14ac:dyDescent="0.15">
      <c r="A15" s="41">
        <v>11</v>
      </c>
      <c r="B15" s="41">
        <v>8589</v>
      </c>
      <c r="C15" s="74" t="s">
        <v>12581</v>
      </c>
      <c r="D15" s="72"/>
      <c r="F15" s="72"/>
      <c r="H15" s="707" t="s">
        <v>9614</v>
      </c>
      <c r="I15" s="798"/>
      <c r="J15" s="35"/>
      <c r="M15" s="163"/>
      <c r="N15" s="45"/>
      <c r="O15" s="46"/>
      <c r="P15" s="35"/>
      <c r="S15" s="35"/>
      <c r="V15" s="53"/>
      <c r="W15" s="245"/>
      <c r="X15" s="50"/>
      <c r="Y15" s="208">
        <f>ROUND((ROUND((_11_A家事０．５*_11・重度研修),0)*(1+_11・A深夜)),0)+ROUND((ROUND((_11_B家事０．５＿０．２５*_11・重度研修),0)*(1+_11・B早朝)),0)+ROUND((_11_C家事０．５＿０．２５＿０．７５*_11・重度研修),0)</f>
        <v>306</v>
      </c>
      <c r="Z15" s="48"/>
    </row>
    <row r="16" spans="1:26" ht="16.5" customHeight="1" x14ac:dyDescent="0.15">
      <c r="A16" s="41">
        <v>11</v>
      </c>
      <c r="B16" s="41">
        <v>8590</v>
      </c>
      <c r="C16" s="74" t="s">
        <v>12582</v>
      </c>
      <c r="D16" s="72"/>
      <c r="F16" s="72"/>
      <c r="H16" s="799"/>
      <c r="I16" s="796"/>
      <c r="J16" s="35"/>
      <c r="M16" s="44" t="s">
        <v>397</v>
      </c>
      <c r="N16" s="218" t="s">
        <v>398</v>
      </c>
      <c r="O16" s="189">
        <v>1</v>
      </c>
      <c r="P16" s="35"/>
      <c r="S16" s="35"/>
      <c r="V16" s="43"/>
      <c r="W16" s="220"/>
      <c r="X16" s="38"/>
      <c r="Y16" s="208">
        <f>ROUND((ROUND((ROUND((_11_A家事０．５*_11・重度研修),0)*_11・２人),0)*(1+_11・A深夜)),0)+ROUND((ROUND((ROUND((_11_B家事０．５＿０．２５*_11・重度研修),0)*_11・２人),0)*(1+_11・B早朝)),0)+ROUND((ROUND((_11_C家事０．５＿０．２５＿０．７５*_11・重度研修),0)*_11・２人),0)</f>
        <v>306</v>
      </c>
      <c r="Z16" s="48"/>
    </row>
    <row r="17" spans="1:26" ht="16.5" customHeight="1" x14ac:dyDescent="0.15">
      <c r="A17" s="41">
        <v>11</v>
      </c>
      <c r="B17" s="41" t="s">
        <v>12583</v>
      </c>
      <c r="C17" s="42" t="s">
        <v>12584</v>
      </c>
      <c r="D17" s="72"/>
      <c r="F17" s="72"/>
      <c r="H17" s="799"/>
      <c r="I17" s="796"/>
      <c r="J17" s="35"/>
      <c r="M17" s="163"/>
      <c r="N17" s="45"/>
      <c r="O17" s="46"/>
      <c r="P17" s="35"/>
      <c r="S17" s="35"/>
      <c r="V17" s="734" t="s">
        <v>404</v>
      </c>
      <c r="W17" s="219" t="s">
        <v>398</v>
      </c>
      <c r="X17" s="50">
        <f>_11・初任</f>
        <v>0.7</v>
      </c>
      <c r="Y17" s="208">
        <f>ROUND((ROUND((ROUND((_11_A家事０．５*_11・重度研修),0)*(1+_11・A深夜)),0)*_11・初任),0)+ROUND((ROUND((ROUND((_11_B家事０．５＿０．２５*_11・重度研修),0)*(1+_11・B早朝)),0)*_11・初任),0)+ROUND((ROUND((_11_C家事０．５＿０．２５＿０．７５*_11・重度研修),0)*_11・初任),0)</f>
        <v>214</v>
      </c>
      <c r="Z17" s="48"/>
    </row>
    <row r="18" spans="1:26" ht="16.5" customHeight="1" x14ac:dyDescent="0.15">
      <c r="A18" s="41">
        <v>11</v>
      </c>
      <c r="B18" s="41" t="s">
        <v>12585</v>
      </c>
      <c r="C18" s="42" t="s">
        <v>12586</v>
      </c>
      <c r="D18" s="72"/>
      <c r="F18" s="72"/>
      <c r="H18" s="274">
        <f>_11_C家事０．５＿０．２５＿０．７５</f>
        <v>122</v>
      </c>
      <c r="I18" s="10" t="s">
        <v>392</v>
      </c>
      <c r="J18" s="35"/>
      <c r="M18" s="44" t="s">
        <v>397</v>
      </c>
      <c r="N18" s="218" t="s">
        <v>398</v>
      </c>
      <c r="O18" s="189">
        <v>1</v>
      </c>
      <c r="P18" s="35"/>
      <c r="S18" s="35"/>
      <c r="V18" s="706"/>
      <c r="W18" s="220"/>
      <c r="X18" s="38"/>
      <c r="Y18" s="208">
        <f>ROUND((ROUND((ROUND((ROUND((_11_A家事０．５*_11・重度研修),0)*_11・２人),0)*(1+_11・A深夜)),0)*_11・初任),0)+ROUND((ROUND((ROUND((ROUND((_11_B家事０．５＿０．２５*_11・重度研修),0)*_11・２人),0)*(1+_11・B早朝)),0)*_11・初任),0)+ROUND((ROUND((ROUND((_11_C家事０．５＿０．２５＿０．７５*_11・重度研修),0)*_11・２人),0)*_11・初任),0)</f>
        <v>214</v>
      </c>
      <c r="Z18" s="48"/>
    </row>
    <row r="19" spans="1:26" ht="16.5" customHeight="1" x14ac:dyDescent="0.15">
      <c r="A19" s="41">
        <v>11</v>
      </c>
      <c r="B19" s="41">
        <v>8591</v>
      </c>
      <c r="C19" s="74" t="s">
        <v>12587</v>
      </c>
      <c r="D19" s="72"/>
      <c r="F19" s="707" t="s">
        <v>9476</v>
      </c>
      <c r="G19" s="798"/>
      <c r="H19" s="707" t="s">
        <v>9588</v>
      </c>
      <c r="I19" s="798"/>
      <c r="J19" s="35"/>
      <c r="M19" s="163"/>
      <c r="N19" s="45"/>
      <c r="O19" s="46"/>
      <c r="P19" s="35"/>
      <c r="S19" s="35"/>
      <c r="V19" s="53"/>
      <c r="W19" s="245"/>
      <c r="X19" s="49"/>
      <c r="Y19" s="208">
        <f>ROUND((ROUND((_11_A家事０．５*_11・重度研修),0)*(1+_11・A深夜)),0)+ROUND((ROUND((_11_B家事０．５＿０．５*_11・重度研修),0)*(1+_11・B早朝)),0)+ROUND((_11_C家事０．５＿０．５＿０．２５*_11・重度研修),0)</f>
        <v>284</v>
      </c>
      <c r="Z19" s="48"/>
    </row>
    <row r="20" spans="1:26" ht="16.5" customHeight="1" x14ac:dyDescent="0.15">
      <c r="A20" s="41">
        <v>11</v>
      </c>
      <c r="B20" s="41">
        <v>8592</v>
      </c>
      <c r="C20" s="74" t="s">
        <v>12588</v>
      </c>
      <c r="D20" s="72"/>
      <c r="F20" s="799"/>
      <c r="G20" s="796"/>
      <c r="H20" s="799"/>
      <c r="I20" s="796"/>
      <c r="J20" s="35"/>
      <c r="M20" s="44" t="s">
        <v>397</v>
      </c>
      <c r="N20" s="218" t="s">
        <v>398</v>
      </c>
      <c r="O20" s="189">
        <v>1</v>
      </c>
      <c r="P20" s="35"/>
      <c r="S20" s="35"/>
      <c r="V20" s="43"/>
      <c r="W20" s="220"/>
      <c r="X20" s="37"/>
      <c r="Y20" s="208">
        <f>ROUND((ROUND((ROUND((_11_A家事０．５*_11・重度研修),0)*_11・２人),0)*(1+_11・A深夜)),0)+ROUND((ROUND((ROUND((_11_B家事０．５＿０．５*_11・重度研修),0)*_11・２人),0)*(1+_11・B早朝)),0)+ROUND((ROUND((_11_C家事０．５＿０．５＿０．２５*_11・重度研修),0)*_11・２人),0)</f>
        <v>284</v>
      </c>
      <c r="Z20" s="48"/>
    </row>
    <row r="21" spans="1:26" ht="16.5" customHeight="1" x14ac:dyDescent="0.15">
      <c r="A21" s="41">
        <v>11</v>
      </c>
      <c r="B21" s="41" t="s">
        <v>12589</v>
      </c>
      <c r="C21" s="42" t="s">
        <v>12590</v>
      </c>
      <c r="D21" s="72"/>
      <c r="F21" s="799"/>
      <c r="G21" s="796"/>
      <c r="H21" s="799"/>
      <c r="I21" s="796"/>
      <c r="J21" s="35"/>
      <c r="M21" s="163"/>
      <c r="N21" s="45"/>
      <c r="O21" s="46"/>
      <c r="P21" s="35"/>
      <c r="S21" s="35"/>
      <c r="V21" s="734" t="s">
        <v>404</v>
      </c>
      <c r="W21" s="219" t="s">
        <v>398</v>
      </c>
      <c r="X21" s="50">
        <f>_11・初任</f>
        <v>0.7</v>
      </c>
      <c r="Y21" s="208">
        <f>ROUND((ROUND((ROUND((_11_A家事０．５*_11・重度研修),0)*(1+_11・A深夜)),0)*_11・初任),0)+ROUND((ROUND((ROUND((_11_B家事０．５＿０．５*_11・重度研修),0)*(1+_11・B早朝)),0)*_11・初任),0)+ROUND((ROUND((_11_C家事０．５＿０．５＿０．２５*_11・重度研修),0)*_11・初任),0)</f>
        <v>199</v>
      </c>
      <c r="Z21" s="48"/>
    </row>
    <row r="22" spans="1:26" ht="16.5" customHeight="1" x14ac:dyDescent="0.15">
      <c r="A22" s="41">
        <v>11</v>
      </c>
      <c r="B22" s="41" t="s">
        <v>12591</v>
      </c>
      <c r="C22" s="42" t="s">
        <v>12592</v>
      </c>
      <c r="D22" s="72"/>
      <c r="F22" s="274">
        <f>_11_B家事０．５＿０．５</f>
        <v>91</v>
      </c>
      <c r="G22" s="10" t="s">
        <v>392</v>
      </c>
      <c r="H22" s="274">
        <f>_11_C家事０．５＿０．５＿０．２５</f>
        <v>42</v>
      </c>
      <c r="I22" s="10" t="s">
        <v>392</v>
      </c>
      <c r="J22" s="35"/>
      <c r="M22" s="44" t="s">
        <v>397</v>
      </c>
      <c r="N22" s="218" t="s">
        <v>398</v>
      </c>
      <c r="O22" s="189">
        <v>1</v>
      </c>
      <c r="P22" s="35"/>
      <c r="S22" s="35"/>
      <c r="V22" s="706"/>
      <c r="W22" s="220"/>
      <c r="X22" s="38"/>
      <c r="Y22" s="208">
        <f>ROUND((ROUND((ROUND((ROUND((_11_A家事０．５*_11・重度研修),0)*_11・２人),0)*(1+_11・A深夜)),0)*_11・初任),0)+ROUND((ROUND((ROUND((ROUND((_11_B家事０．５＿０．５*_11・重度研修),0)*_11・２人),0)*(1+_11・B早朝)),0)*_11・初任),0)+ROUND((ROUND((ROUND((_11_C家事０．５＿０．５＿０．２５*_11・重度研修),0)*_11・２人),0)*_11・初任),0)</f>
        <v>199</v>
      </c>
      <c r="Z22" s="48"/>
    </row>
    <row r="23" spans="1:26" ht="16.5" customHeight="1" x14ac:dyDescent="0.15">
      <c r="A23" s="41">
        <v>11</v>
      </c>
      <c r="B23" s="41">
        <v>8593</v>
      </c>
      <c r="C23" s="74" t="s">
        <v>12593</v>
      </c>
      <c r="D23" s="72"/>
      <c r="F23" s="72"/>
      <c r="H23" s="707" t="s">
        <v>9601</v>
      </c>
      <c r="I23" s="798"/>
      <c r="M23" s="163"/>
      <c r="N23" s="45"/>
      <c r="O23" s="46"/>
      <c r="P23" s="35"/>
      <c r="S23" s="35"/>
      <c r="V23" s="53"/>
      <c r="W23" s="245"/>
      <c r="X23" s="50"/>
      <c r="Y23" s="208">
        <f>ROUND((ROUND((_11_A家事０．５*_11・重度研修),0)*(1+_11・A深夜)),0)+ROUND((ROUND((_11_B家事０．５＿０．５*_11・重度研修),0)*(1+_11・B早朝)),0)+ROUND((_11_C家事０．５＿０．５＿０．５*_11・重度研修),0)</f>
        <v>316</v>
      </c>
      <c r="Z23" s="48"/>
    </row>
    <row r="24" spans="1:26" ht="16.5" customHeight="1" x14ac:dyDescent="0.15">
      <c r="A24" s="41">
        <v>11</v>
      </c>
      <c r="B24" s="41">
        <v>8594</v>
      </c>
      <c r="C24" s="74" t="s">
        <v>12594</v>
      </c>
      <c r="D24" s="72"/>
      <c r="F24" s="72"/>
      <c r="H24" s="799"/>
      <c r="I24" s="796"/>
      <c r="M24" s="44" t="s">
        <v>397</v>
      </c>
      <c r="N24" s="218" t="s">
        <v>398</v>
      </c>
      <c r="O24" s="189">
        <v>1</v>
      </c>
      <c r="P24" s="35"/>
      <c r="S24" s="35"/>
      <c r="V24" s="43"/>
      <c r="W24" s="220"/>
      <c r="X24" s="38"/>
      <c r="Y24" s="208">
        <f>ROUND((ROUND((ROUND((_11_A家事０．５*_11・重度研修),0)*_11・２人),0)*(1+_11・A深夜)),0)+ROUND((ROUND((ROUND((_11_B家事０．５＿０．５*_11・重度研修),0)*_11・２人),0)*(1+_11・B早朝)),0)+ROUND((ROUND((_11_C家事０．５＿０．５＿０．５*_11・重度研修),0)*_11・２人),0)</f>
        <v>316</v>
      </c>
      <c r="Z24" s="48"/>
    </row>
    <row r="25" spans="1:26" ht="16.5" customHeight="1" x14ac:dyDescent="0.15">
      <c r="A25" s="41">
        <v>11</v>
      </c>
      <c r="B25" s="41" t="s">
        <v>12595</v>
      </c>
      <c r="C25" s="42" t="s">
        <v>12596</v>
      </c>
      <c r="D25" s="72"/>
      <c r="F25" s="72"/>
      <c r="H25" s="799"/>
      <c r="I25" s="796"/>
      <c r="M25" s="163"/>
      <c r="N25" s="45"/>
      <c r="O25" s="46"/>
      <c r="P25" s="35"/>
      <c r="S25" s="35"/>
      <c r="V25" s="734" t="s">
        <v>404</v>
      </c>
      <c r="W25" s="219" t="s">
        <v>398</v>
      </c>
      <c r="X25" s="50">
        <f>_11・初任</f>
        <v>0.7</v>
      </c>
      <c r="Y25" s="208">
        <f>ROUND((ROUND((ROUND((_11_A家事０．５*_11・重度研修),0)*(1+_11・A深夜)),0)*_11・初任),0)+ROUND((ROUND((ROUND((_11_B家事０．５＿０．５*_11・重度研修),0)*(1+_11・B早朝)),0)*_11・初任),0)+ROUND((ROUND((_11_C家事０．５＿０．５＿０．５*_11・重度研修),0)*_11・初任),0)</f>
        <v>221</v>
      </c>
      <c r="Z25" s="48"/>
    </row>
    <row r="26" spans="1:26" ht="16.5" customHeight="1" x14ac:dyDescent="0.15">
      <c r="A26" s="41">
        <v>11</v>
      </c>
      <c r="B26" s="41" t="s">
        <v>12597</v>
      </c>
      <c r="C26" s="42" t="s">
        <v>12598</v>
      </c>
      <c r="D26" s="72"/>
      <c r="F26" s="72"/>
      <c r="H26" s="274">
        <f>_11_C家事０．５＿０．５＿０．５</f>
        <v>78</v>
      </c>
      <c r="I26" s="254" t="s">
        <v>392</v>
      </c>
      <c r="J26" s="35"/>
      <c r="M26" s="44" t="s">
        <v>397</v>
      </c>
      <c r="N26" s="218" t="s">
        <v>398</v>
      </c>
      <c r="O26" s="189">
        <v>1</v>
      </c>
      <c r="P26" s="35"/>
      <c r="S26" s="35"/>
      <c r="V26" s="706"/>
      <c r="W26" s="220"/>
      <c r="X26" s="38"/>
      <c r="Y26" s="208">
        <f>ROUND((ROUND((ROUND((ROUND((_11_A家事０．５*_11・重度研修),0)*_11・２人),0)*(1+_11・A深夜)),0)*_11・初任),0)+ROUND((ROUND((ROUND((ROUND((_11_B家事０．５＿０．５*_11・重度研修),0)*_11・２人),0)*(1+_11・B早朝)),0)*_11・初任),0)+ROUND((ROUND((ROUND((_11_C家事０．５＿０．５＿０．５*_11・重度研修),0)*_11・２人),0)*_11・初任),0)</f>
        <v>221</v>
      </c>
      <c r="Z26" s="48"/>
    </row>
    <row r="27" spans="1:26" ht="16.5" customHeight="1" x14ac:dyDescent="0.15">
      <c r="A27" s="41">
        <v>11</v>
      </c>
      <c r="B27" s="41">
        <v>8595</v>
      </c>
      <c r="C27" s="74" t="s">
        <v>12599</v>
      </c>
      <c r="D27" s="72"/>
      <c r="F27" s="707" t="s">
        <v>9489</v>
      </c>
      <c r="G27" s="798"/>
      <c r="H27" s="707" t="s">
        <v>9588</v>
      </c>
      <c r="I27" s="798"/>
      <c r="J27" s="35"/>
      <c r="M27" s="163"/>
      <c r="N27" s="45"/>
      <c r="O27" s="46"/>
      <c r="P27" s="35"/>
      <c r="S27" s="35"/>
      <c r="V27" s="53"/>
      <c r="W27" s="245"/>
      <c r="X27" s="49"/>
      <c r="Y27" s="208">
        <f>ROUND((ROUND((_11_A家事０．５*_11・重度研修),0)*(1+_11・A深夜)),0)+ROUND((ROUND((_11_B家事０．５＿０．７５*_11・重度研修),0)*(1+_11・B早朝)),0)+ROUND((_11_C家事０．５＿０．７５＿０．２５*_11・重度研修),0)</f>
        <v>325</v>
      </c>
      <c r="Z27" s="48"/>
    </row>
    <row r="28" spans="1:26" ht="16.5" customHeight="1" x14ac:dyDescent="0.15">
      <c r="A28" s="41">
        <v>11</v>
      </c>
      <c r="B28" s="41">
        <v>8596</v>
      </c>
      <c r="C28" s="74" t="s">
        <v>12600</v>
      </c>
      <c r="D28" s="72"/>
      <c r="F28" s="799"/>
      <c r="G28" s="796"/>
      <c r="H28" s="799"/>
      <c r="I28" s="796"/>
      <c r="J28" s="35"/>
      <c r="M28" s="44" t="s">
        <v>397</v>
      </c>
      <c r="N28" s="218" t="s">
        <v>398</v>
      </c>
      <c r="O28" s="189">
        <v>1</v>
      </c>
      <c r="P28" s="35"/>
      <c r="S28" s="35"/>
      <c r="V28" s="43"/>
      <c r="W28" s="220"/>
      <c r="X28" s="37"/>
      <c r="Y28" s="208">
        <f>ROUND((ROUND((ROUND((_11_A家事０．５*_11・重度研修),0)*_11・２人),0)*(1+_11・A深夜)),0)+ROUND((ROUND((ROUND((_11_B家事０．５＿０．７５*_11・重度研修),0)*_11・２人),0)*(1+_11・B早朝)),0)+ROUND((ROUND((_11_C家事０．５＿０．７５＿０．２５*_11・重度研修),0)*_11・２人),0)</f>
        <v>325</v>
      </c>
      <c r="Z28" s="48"/>
    </row>
    <row r="29" spans="1:26" ht="16.5" customHeight="1" x14ac:dyDescent="0.15">
      <c r="A29" s="41">
        <v>11</v>
      </c>
      <c r="B29" s="41" t="s">
        <v>12601</v>
      </c>
      <c r="C29" s="42" t="s">
        <v>12602</v>
      </c>
      <c r="D29" s="72"/>
      <c r="F29" s="799"/>
      <c r="G29" s="796"/>
      <c r="H29" s="799"/>
      <c r="I29" s="796"/>
      <c r="J29" s="35"/>
      <c r="M29" s="163"/>
      <c r="N29" s="45"/>
      <c r="O29" s="46"/>
      <c r="P29" s="35"/>
      <c r="S29" s="35"/>
      <c r="V29" s="734" t="s">
        <v>404</v>
      </c>
      <c r="W29" s="219" t="s">
        <v>398</v>
      </c>
      <c r="X29" s="50">
        <f>_11・初任</f>
        <v>0.7</v>
      </c>
      <c r="Y29" s="208">
        <f>ROUND((ROUND((ROUND((_11_A家事０．５*_11・重度研修),0)*(1+_11・A深夜)),0)*_11・初任),0)+ROUND((ROUND((ROUND((_11_B家事０．５＿０．７５*_11・重度研修),0)*(1+_11・B早朝)),0)*_11・初任),0)+ROUND((ROUND((_11_C家事０．５＿０．７５＿０．２５*_11・重度研修),0)*_11・初任),0)</f>
        <v>227</v>
      </c>
      <c r="Z29" s="48"/>
    </row>
    <row r="30" spans="1:26" ht="16.5" customHeight="1" x14ac:dyDescent="0.15">
      <c r="A30" s="41">
        <v>11</v>
      </c>
      <c r="B30" s="41" t="s">
        <v>12603</v>
      </c>
      <c r="C30" s="42" t="s">
        <v>12604</v>
      </c>
      <c r="D30" s="72"/>
      <c r="F30" s="274">
        <f>_11_B家事０．５＿０．７５</f>
        <v>133</v>
      </c>
      <c r="G30" s="10" t="s">
        <v>392</v>
      </c>
      <c r="H30" s="274">
        <f>_11_C家事０．５＿０．７５＿０．２５</f>
        <v>36</v>
      </c>
      <c r="I30" s="254" t="s">
        <v>392</v>
      </c>
      <c r="J30" s="35"/>
      <c r="M30" s="44" t="s">
        <v>397</v>
      </c>
      <c r="N30" s="218" t="s">
        <v>398</v>
      </c>
      <c r="O30" s="189">
        <v>1</v>
      </c>
      <c r="P30" s="35"/>
      <c r="S30" s="35"/>
      <c r="V30" s="706"/>
      <c r="W30" s="220"/>
      <c r="X30" s="38"/>
      <c r="Y30" s="208">
        <f>ROUND((ROUND((ROUND((ROUND((_11_A家事０．５*_11・重度研修),0)*_11・２人),0)*(1+_11・A深夜)),0)*_11・初任),0)+ROUND((ROUND((ROUND((ROUND((_11_B家事０．５＿０．７５*_11・重度研修),0)*_11・２人),0)*(1+_11・B早朝)),0)*_11・初任),0)+ROUND((ROUND((ROUND((_11_C家事０．５＿０．７５＿０．２５*_11・重度研修),0)*_11・２人),0)*_11・初任),0)</f>
        <v>227</v>
      </c>
      <c r="Z30" s="48"/>
    </row>
    <row r="31" spans="1:26" ht="16.5" customHeight="1" x14ac:dyDescent="0.15">
      <c r="A31" s="41">
        <v>11</v>
      </c>
      <c r="B31" s="41">
        <v>8597</v>
      </c>
      <c r="C31" s="74" t="s">
        <v>12605</v>
      </c>
      <c r="D31" s="707" t="s">
        <v>9150</v>
      </c>
      <c r="E31" s="798"/>
      <c r="F31" s="707" t="s">
        <v>9463</v>
      </c>
      <c r="G31" s="798"/>
      <c r="H31" s="707" t="s">
        <v>9588</v>
      </c>
      <c r="I31" s="798"/>
      <c r="J31" s="35"/>
      <c r="M31" s="163"/>
      <c r="N31" s="45"/>
      <c r="O31" s="46"/>
      <c r="P31" s="35"/>
      <c r="S31" s="35"/>
      <c r="V31" s="53"/>
      <c r="W31" s="245"/>
      <c r="X31" s="50"/>
      <c r="Y31" s="208">
        <f>ROUND((ROUND((_11_A家事０．７５*_11・重度研修),0)*(1+_11・A深夜)),0)+ROUND((ROUND((_11_B家事０．７５＿０．２５*_11・重度研修),0)*(1+_11・B早朝)),0)+ROUND((_11_C家事０．７５＿０．２５＿０．２５*_11・重度研修),0)</f>
        <v>294</v>
      </c>
      <c r="Z31" s="48"/>
    </row>
    <row r="32" spans="1:26" ht="16.5" customHeight="1" x14ac:dyDescent="0.15">
      <c r="A32" s="41">
        <v>11</v>
      </c>
      <c r="B32" s="41">
        <v>8598</v>
      </c>
      <c r="C32" s="74" t="s">
        <v>12606</v>
      </c>
      <c r="D32" s="799"/>
      <c r="E32" s="796"/>
      <c r="F32" s="799"/>
      <c r="G32" s="796"/>
      <c r="H32" s="799"/>
      <c r="I32" s="796"/>
      <c r="J32" s="35"/>
      <c r="M32" s="44" t="s">
        <v>397</v>
      </c>
      <c r="N32" s="218" t="s">
        <v>398</v>
      </c>
      <c r="O32" s="189">
        <v>1</v>
      </c>
      <c r="P32" s="35"/>
      <c r="S32" s="35"/>
      <c r="V32" s="43"/>
      <c r="W32" s="220"/>
      <c r="X32" s="38"/>
      <c r="Y32" s="208">
        <f>ROUND((ROUND((ROUND((_11_A家事０．７５*_11・重度研修),0)*_11・２人),0)*(1+_11・A深夜)),0)+ROUND((ROUND((ROUND((_11_B家事０．７５＿０．２５*_11・重度研修),0)*_11・２人),0)*(1+_11・B早朝)),0)+ROUND((ROUND((_11_C家事０．７５＿０．２５＿０．２５*_11・重度研修),0)*_11・２人),0)</f>
        <v>294</v>
      </c>
      <c r="Z32" s="48"/>
    </row>
    <row r="33" spans="1:26" ht="16.5" customHeight="1" x14ac:dyDescent="0.15">
      <c r="A33" s="41">
        <v>11</v>
      </c>
      <c r="B33" s="41" t="s">
        <v>12607</v>
      </c>
      <c r="C33" s="42" t="s">
        <v>12608</v>
      </c>
      <c r="D33" s="799"/>
      <c r="E33" s="796"/>
      <c r="F33" s="799"/>
      <c r="G33" s="796"/>
      <c r="H33" s="799"/>
      <c r="I33" s="796"/>
      <c r="J33" s="35"/>
      <c r="M33" s="163"/>
      <c r="N33" s="45"/>
      <c r="O33" s="46"/>
      <c r="P33" s="35"/>
      <c r="S33" s="35"/>
      <c r="V33" s="734" t="s">
        <v>404</v>
      </c>
      <c r="W33" s="219" t="s">
        <v>398</v>
      </c>
      <c r="X33" s="50">
        <f>_11・初任</f>
        <v>0.7</v>
      </c>
      <c r="Y33" s="208">
        <f>ROUND((ROUND((ROUND((_11_A家事０．７５*_11・重度研修),0)*(1+_11・A深夜)),0)*_11・初任),0)+ROUND((ROUND((ROUND((_11_B家事０．７５＿０．２５*_11・重度研修),0)*(1+_11・B早朝)),0)*_11・初任),0)+ROUND((ROUND((_11_C家事０．７５＿０．２５＿０．２５*_11・重度研修),0)*_11・初任),0)</f>
        <v>206</v>
      </c>
      <c r="Z33" s="48"/>
    </row>
    <row r="34" spans="1:26" ht="16.5" customHeight="1" x14ac:dyDescent="0.15">
      <c r="A34" s="41">
        <v>11</v>
      </c>
      <c r="B34" s="41" t="s">
        <v>12609</v>
      </c>
      <c r="C34" s="42" t="s">
        <v>12610</v>
      </c>
      <c r="D34" s="274">
        <f>_11_A家事０．７５</f>
        <v>152</v>
      </c>
      <c r="E34" s="254" t="s">
        <v>392</v>
      </c>
      <c r="F34" s="274">
        <f>_11_B家事０．７５＿０．２５</f>
        <v>44</v>
      </c>
      <c r="G34" s="10" t="s">
        <v>392</v>
      </c>
      <c r="H34" s="274">
        <f>_11_C家事０．７５＿０．２５＿０．２５</f>
        <v>42</v>
      </c>
      <c r="I34" s="254" t="s">
        <v>392</v>
      </c>
      <c r="J34" s="35"/>
      <c r="M34" s="44" t="s">
        <v>397</v>
      </c>
      <c r="N34" s="218" t="s">
        <v>398</v>
      </c>
      <c r="O34" s="189">
        <v>1</v>
      </c>
      <c r="P34" s="35"/>
      <c r="S34" s="35"/>
      <c r="V34" s="706"/>
      <c r="W34" s="220"/>
      <c r="X34" s="38"/>
      <c r="Y34" s="208">
        <f>ROUND((ROUND((ROUND((ROUND((_11_A家事０．７５*_11・重度研修),0)*_11・２人),0)*(1+_11・A深夜)),0)*_11・初任),0)+ROUND((ROUND((ROUND((ROUND((_11_B家事０．７５＿０．２５*_11・重度研修),0)*_11・２人),0)*(1+_11・B早朝)),0)*_11・初任),0)+ROUND((ROUND((ROUND((_11_C家事０．７５＿０．２５＿０．２５*_11・重度研修),0)*_11・２人),0)*_11・初任),0)</f>
        <v>206</v>
      </c>
      <c r="Z34" s="48"/>
    </row>
    <row r="35" spans="1:26" ht="16.5" customHeight="1" x14ac:dyDescent="0.15">
      <c r="A35" s="41">
        <v>11</v>
      </c>
      <c r="B35" s="41">
        <v>8599</v>
      </c>
      <c r="C35" s="74" t="s">
        <v>12611</v>
      </c>
      <c r="D35" s="72"/>
      <c r="F35" s="72"/>
      <c r="H35" s="707" t="s">
        <v>9601</v>
      </c>
      <c r="I35" s="798"/>
      <c r="J35" s="35"/>
      <c r="M35" s="163"/>
      <c r="N35" s="45"/>
      <c r="O35" s="46"/>
      <c r="P35" s="35"/>
      <c r="S35" s="35"/>
      <c r="V35" s="53"/>
      <c r="W35" s="245"/>
      <c r="X35" s="49"/>
      <c r="Y35" s="208">
        <f>ROUND((ROUND((_11_A家事０．７５*_11・重度研修),0)*(1+_11・A深夜)),0)+ROUND((ROUND((_11_B家事０．７５＿０．２５*_11・重度研修),0)*(1+_11・B早朝)),0)+ROUND((_11_C家事０．７５＿０．２５＿０．５*_11・重度研修),0)</f>
        <v>326</v>
      </c>
      <c r="Z35" s="48"/>
    </row>
    <row r="36" spans="1:26" ht="16.5" customHeight="1" x14ac:dyDescent="0.15">
      <c r="A36" s="41">
        <v>11</v>
      </c>
      <c r="B36" s="41">
        <v>8600</v>
      </c>
      <c r="C36" s="74" t="s">
        <v>12612</v>
      </c>
      <c r="D36" s="72"/>
      <c r="F36" s="72"/>
      <c r="H36" s="799"/>
      <c r="I36" s="796"/>
      <c r="J36" s="35"/>
      <c r="M36" s="44" t="s">
        <v>397</v>
      </c>
      <c r="N36" s="218" t="s">
        <v>398</v>
      </c>
      <c r="O36" s="189">
        <v>1</v>
      </c>
      <c r="P36" s="35"/>
      <c r="S36" s="35"/>
      <c r="V36" s="43"/>
      <c r="W36" s="220"/>
      <c r="X36" s="37"/>
      <c r="Y36" s="208">
        <f>ROUND((ROUND((ROUND((_11_A家事０．７５*_11・重度研修),0)*_11・２人),0)*(1+_11・A深夜)),0)+ROUND((ROUND((ROUND((_11_B家事０．７５＿０．２５*_11・重度研修),0)*_11・２人),0)*(1+_11・B早朝)),0)+ROUND((ROUND((_11_C家事０．７５＿０．２５＿０．５*_11・重度研修),0)*_11・２人),0)</f>
        <v>326</v>
      </c>
      <c r="Z36" s="48"/>
    </row>
    <row r="37" spans="1:26" ht="16.5" customHeight="1" x14ac:dyDescent="0.15">
      <c r="A37" s="41">
        <v>11</v>
      </c>
      <c r="B37" s="41" t="s">
        <v>12613</v>
      </c>
      <c r="C37" s="42" t="s">
        <v>12614</v>
      </c>
      <c r="D37" s="72"/>
      <c r="F37" s="72"/>
      <c r="H37" s="799"/>
      <c r="I37" s="796"/>
      <c r="J37" s="35"/>
      <c r="M37" s="163"/>
      <c r="N37" s="45"/>
      <c r="O37" s="46"/>
      <c r="P37" s="35"/>
      <c r="S37" s="35"/>
      <c r="V37" s="734" t="s">
        <v>404</v>
      </c>
      <c r="W37" s="219" t="s">
        <v>398</v>
      </c>
      <c r="X37" s="50">
        <f>_11・初任</f>
        <v>0.7</v>
      </c>
      <c r="Y37" s="208">
        <f>ROUND((ROUND((ROUND((_11_A家事０．７５*_11・重度研修),0)*(1+_11・A深夜)),0)*_11・初任),0)+ROUND((ROUND((ROUND((_11_B家事０．７５＿０．２５*_11・重度研修),0)*(1+_11・B早朝)),0)*_11・初任),0)+ROUND((ROUND((_11_C家事０．７５＿０．２５＿０．５*_11・重度研修),0)*_11・初任),0)</f>
        <v>228</v>
      </c>
      <c r="Z37" s="48"/>
    </row>
    <row r="38" spans="1:26" ht="16.5" customHeight="1" x14ac:dyDescent="0.15">
      <c r="A38" s="41">
        <v>11</v>
      </c>
      <c r="B38" s="41" t="s">
        <v>12615</v>
      </c>
      <c r="C38" s="42" t="s">
        <v>12616</v>
      </c>
      <c r="D38" s="72"/>
      <c r="F38" s="72"/>
      <c r="H38" s="274">
        <f>_11_C家事０．７５＿０．２５＿０．５</f>
        <v>78</v>
      </c>
      <c r="I38" s="254" t="s">
        <v>392</v>
      </c>
      <c r="J38" s="35"/>
      <c r="M38" s="44" t="s">
        <v>397</v>
      </c>
      <c r="N38" s="218" t="s">
        <v>398</v>
      </c>
      <c r="O38" s="189">
        <v>1</v>
      </c>
      <c r="P38" s="35"/>
      <c r="S38" s="35"/>
      <c r="V38" s="706"/>
      <c r="W38" s="220"/>
      <c r="X38" s="38"/>
      <c r="Y38" s="208">
        <f>ROUND((ROUND((ROUND((ROUND((_11_A家事０．７５*_11・重度研修),0)*_11・２人),0)*(1+_11・A深夜)),0)*_11・初任),0)+ROUND((ROUND((ROUND((ROUND((_11_B家事０．７５＿０．２５*_11・重度研修),0)*_11・２人),0)*(1+_11・B早朝)),0)*_11・初任),0)+ROUND((ROUND((ROUND((_11_C家事０．７５＿０．２５＿０．５*_11・重度研修),0)*_11・２人),0)*_11・初任),0)</f>
        <v>228</v>
      </c>
      <c r="Z38" s="48"/>
    </row>
    <row r="39" spans="1:26" ht="16.5" customHeight="1" x14ac:dyDescent="0.15">
      <c r="A39" s="41">
        <v>11</v>
      </c>
      <c r="B39" s="41">
        <v>8601</v>
      </c>
      <c r="C39" s="74" t="s">
        <v>12617</v>
      </c>
      <c r="D39" s="72"/>
      <c r="F39" s="707" t="s">
        <v>9476</v>
      </c>
      <c r="G39" s="798"/>
      <c r="H39" s="707" t="s">
        <v>9588</v>
      </c>
      <c r="I39" s="798"/>
      <c r="J39" s="35"/>
      <c r="M39" s="163"/>
      <c r="N39" s="45"/>
      <c r="O39" s="46"/>
      <c r="P39" s="35"/>
      <c r="S39" s="35"/>
      <c r="V39" s="53"/>
      <c r="W39" s="245"/>
      <c r="X39" s="50"/>
      <c r="Y39" s="208">
        <f>ROUND((ROUND((_11_A家事０．７５*_11・重度研修),0)*(1+_11・A深夜)),0)+ROUND((ROUND((_11_B家事０．７５＿０．５*_11・重度研修),0)*(1+_11・B早朝)),0)+ROUND((_11_C家事０．７５＿０．５＿０．２５*_11・重度研修),0)</f>
        <v>334</v>
      </c>
      <c r="Z39" s="48"/>
    </row>
    <row r="40" spans="1:26" ht="16.5" customHeight="1" x14ac:dyDescent="0.15">
      <c r="A40" s="41">
        <v>11</v>
      </c>
      <c r="B40" s="41">
        <v>8602</v>
      </c>
      <c r="C40" s="74" t="s">
        <v>12618</v>
      </c>
      <c r="D40" s="72"/>
      <c r="F40" s="799"/>
      <c r="G40" s="796"/>
      <c r="H40" s="799"/>
      <c r="I40" s="796"/>
      <c r="J40" s="35"/>
      <c r="M40" s="44" t="s">
        <v>397</v>
      </c>
      <c r="N40" s="218" t="s">
        <v>398</v>
      </c>
      <c r="O40" s="189">
        <v>1</v>
      </c>
      <c r="P40" s="35"/>
      <c r="S40" s="35"/>
      <c r="V40" s="43"/>
      <c r="W40" s="220"/>
      <c r="X40" s="38"/>
      <c r="Y40" s="208">
        <f>ROUND((ROUND((ROUND((_11_A家事０．７５*_11・重度研修),0)*_11・２人),0)*(1+_11・A深夜)),0)+ROUND((ROUND((ROUND((_11_B家事０．７５＿０．５*_11・重度研修),0)*_11・２人),0)*(1+_11・B早朝)),0)+ROUND((ROUND((_11_C家事０．７５＿０．５＿０．２５*_11・重度研修),0)*_11・２人),0)</f>
        <v>334</v>
      </c>
      <c r="Z40" s="48"/>
    </row>
    <row r="41" spans="1:26" ht="16.5" customHeight="1" x14ac:dyDescent="0.15">
      <c r="A41" s="41">
        <v>11</v>
      </c>
      <c r="B41" s="41" t="s">
        <v>12619</v>
      </c>
      <c r="C41" s="42" t="s">
        <v>12620</v>
      </c>
      <c r="D41" s="72"/>
      <c r="F41" s="799"/>
      <c r="G41" s="796"/>
      <c r="H41" s="799"/>
      <c r="I41" s="796"/>
      <c r="J41" s="35"/>
      <c r="L41" s="234"/>
      <c r="M41" s="45"/>
      <c r="N41" s="45"/>
      <c r="O41" s="46"/>
      <c r="P41" s="35"/>
      <c r="S41" s="35"/>
      <c r="V41" s="734" t="s">
        <v>404</v>
      </c>
      <c r="W41" s="219" t="s">
        <v>398</v>
      </c>
      <c r="X41" s="50">
        <f>_11・初任</f>
        <v>0.7</v>
      </c>
      <c r="Y41" s="208">
        <f>ROUND((ROUND((ROUND((_11_A家事０．７５*_11・重度研修),0)*(1+_11・A深夜)),0)*_11・初任),0)+ROUND((ROUND((ROUND((_11_B家事０．７５＿０．５*_11・重度研修),0)*(1+_11・B早朝)),0)*_11・初任),0)+ROUND((ROUND((_11_C家事０．７５＿０．５＿０．２５*_11・重度研修),0)*_11・初任),0)</f>
        <v>233</v>
      </c>
      <c r="Z41" s="48"/>
    </row>
    <row r="42" spans="1:26" ht="16.5" customHeight="1" x14ac:dyDescent="0.15">
      <c r="A42" s="41">
        <v>11</v>
      </c>
      <c r="B42" s="41" t="s">
        <v>12621</v>
      </c>
      <c r="C42" s="42" t="s">
        <v>12622</v>
      </c>
      <c r="D42" s="72"/>
      <c r="F42" s="274">
        <f>_11_B家事０．７５＿０．５</f>
        <v>86</v>
      </c>
      <c r="G42" s="10" t="s">
        <v>392</v>
      </c>
      <c r="H42" s="274">
        <f>_11_C家事０．７５＿０．５＿０．２５</f>
        <v>36</v>
      </c>
      <c r="I42" s="254" t="s">
        <v>392</v>
      </c>
      <c r="J42" s="35"/>
      <c r="L42" s="234"/>
      <c r="M42" s="217" t="s">
        <v>397</v>
      </c>
      <c r="N42" s="218" t="s">
        <v>398</v>
      </c>
      <c r="O42" s="189">
        <v>1</v>
      </c>
      <c r="P42" s="35"/>
      <c r="S42" s="35"/>
      <c r="V42" s="706"/>
      <c r="W42" s="220"/>
      <c r="X42" s="38"/>
      <c r="Y42" s="208">
        <f>ROUND((ROUND((ROUND((ROUND((_11_A家事０．７５*_11・重度研修),0)*_11・２人),0)*(1+_11・A深夜)),0)*_11・初任),0)+ROUND((ROUND((ROUND((ROUND((_11_B家事０．７５＿０．５*_11・重度研修),0)*_11・２人),0)*(1+_11・B早朝)),0)*_11・初任),0)+ROUND((ROUND((ROUND((_11_C家事０．７５＿０．５＿０．２５*_11・重度研修),0)*_11・２人),0)*_11・初任),0)</f>
        <v>233</v>
      </c>
      <c r="Z42" s="48"/>
    </row>
    <row r="43" spans="1:26" ht="16.5" customHeight="1" x14ac:dyDescent="0.15">
      <c r="A43" s="41">
        <v>11</v>
      </c>
      <c r="B43" s="41">
        <v>8603</v>
      </c>
      <c r="C43" s="74" t="s">
        <v>12623</v>
      </c>
      <c r="D43" s="707" t="s">
        <v>9163</v>
      </c>
      <c r="E43" s="798"/>
      <c r="F43" s="707" t="s">
        <v>9463</v>
      </c>
      <c r="G43" s="798"/>
      <c r="H43" s="707" t="s">
        <v>9588</v>
      </c>
      <c r="I43" s="798"/>
      <c r="J43" s="35"/>
      <c r="L43" s="234"/>
      <c r="M43" s="45"/>
      <c r="N43" s="45"/>
      <c r="O43" s="46"/>
      <c r="P43" s="35"/>
      <c r="S43" s="35"/>
      <c r="V43" s="53"/>
      <c r="W43" s="245"/>
      <c r="X43" s="49"/>
      <c r="Y43" s="208">
        <f>ROUND((ROUND((_11_A家事１．０*_11・重度研修),0)*(1+_11・A深夜)),0)+ROUND((ROUND((_11_B家事１．０＿０．２５*_11・重度研修),0)*(1+_11・B早朝)),0)+ROUND((_11_C家事１．０＿０．２５＿０．２５*_11・重度研修),0)</f>
        <v>344</v>
      </c>
      <c r="Z43" s="48"/>
    </row>
    <row r="44" spans="1:26" ht="16.5" customHeight="1" x14ac:dyDescent="0.15">
      <c r="A44" s="41">
        <v>11</v>
      </c>
      <c r="B44" s="41">
        <v>8604</v>
      </c>
      <c r="C44" s="74" t="s">
        <v>12624</v>
      </c>
      <c r="D44" s="799"/>
      <c r="E44" s="796"/>
      <c r="F44" s="799"/>
      <c r="G44" s="796"/>
      <c r="H44" s="799"/>
      <c r="I44" s="796"/>
      <c r="J44" s="35"/>
      <c r="L44" s="234"/>
      <c r="M44" s="217" t="s">
        <v>397</v>
      </c>
      <c r="N44" s="218" t="s">
        <v>398</v>
      </c>
      <c r="O44" s="46">
        <v>1</v>
      </c>
      <c r="P44" s="35"/>
      <c r="S44" s="35"/>
      <c r="V44" s="43"/>
      <c r="W44" s="220"/>
      <c r="X44" s="37"/>
      <c r="Y44" s="208">
        <f>ROUND((ROUND((ROUND((_11_A家事１．０*_11・重度研修),0)*_11・２人),0)*(1+_11・A深夜)),0)+ROUND((ROUND((ROUND((_11_B家事１．０＿０．２５*_11・重度研修),0)*_11・２人),0)*(1+_11・B早朝)),0)+ROUND((ROUND((_11_C家事１．０＿０．２５＿０．２５*_11・重度研修),0)*_11・２人),0)</f>
        <v>344</v>
      </c>
      <c r="Z44" s="48"/>
    </row>
    <row r="45" spans="1:26" ht="16.5" customHeight="1" x14ac:dyDescent="0.15">
      <c r="A45" s="41">
        <v>11</v>
      </c>
      <c r="B45" s="41" t="s">
        <v>12625</v>
      </c>
      <c r="C45" s="42" t="s">
        <v>12626</v>
      </c>
      <c r="D45" s="799"/>
      <c r="E45" s="796"/>
      <c r="F45" s="799"/>
      <c r="G45" s="796"/>
      <c r="H45" s="799"/>
      <c r="I45" s="796"/>
      <c r="J45" s="35"/>
      <c r="L45" s="234"/>
      <c r="M45" s="45"/>
      <c r="N45" s="45"/>
      <c r="O45" s="46"/>
      <c r="P45" s="35"/>
      <c r="S45" s="35"/>
      <c r="V45" s="734" t="s">
        <v>404</v>
      </c>
      <c r="W45" s="219" t="s">
        <v>398</v>
      </c>
      <c r="X45" s="50">
        <f>_11・初任</f>
        <v>0.7</v>
      </c>
      <c r="Y45" s="208">
        <f>ROUND((ROUND((ROUND((_11_A家事１．０*_11・重度研修),0)*(1+_11・A深夜)),0)*_11・初任),0)+ROUND((ROUND((ROUND((_11_B家事１．０＿０．２５*_11・重度研修),0)*(1+_11・B早朝)),0)*_11・初任),0)+ROUND((ROUND((_11_C家事１．０＿０．２５＿０．２５*_11・重度研修),0)*_11・初任),0)</f>
        <v>241</v>
      </c>
      <c r="Z45" s="48"/>
    </row>
    <row r="46" spans="1:26" ht="16.5" customHeight="1" x14ac:dyDescent="0.15">
      <c r="A46" s="41">
        <v>11</v>
      </c>
      <c r="B46" s="41" t="s">
        <v>12627</v>
      </c>
      <c r="C46" s="42" t="s">
        <v>12628</v>
      </c>
      <c r="D46" s="276">
        <f>_11_A家事１．０</f>
        <v>196</v>
      </c>
      <c r="E46" s="271" t="s">
        <v>392</v>
      </c>
      <c r="F46" s="276">
        <f>_11_B家事１．０＿０．２５</f>
        <v>42</v>
      </c>
      <c r="G46" s="190" t="s">
        <v>392</v>
      </c>
      <c r="H46" s="276">
        <f>_11_C家事１．０＿０．２５＿０．２５</f>
        <v>36</v>
      </c>
      <c r="I46" s="271" t="s">
        <v>392</v>
      </c>
      <c r="J46" s="43"/>
      <c r="K46" s="216"/>
      <c r="L46" s="244"/>
      <c r="M46" s="217" t="s">
        <v>397</v>
      </c>
      <c r="N46" s="218" t="s">
        <v>398</v>
      </c>
      <c r="O46" s="189">
        <v>1</v>
      </c>
      <c r="P46" s="43"/>
      <c r="Q46" s="37"/>
      <c r="R46" s="38"/>
      <c r="S46" s="43"/>
      <c r="T46" s="37"/>
      <c r="U46" s="38"/>
      <c r="V46" s="706"/>
      <c r="W46" s="220"/>
      <c r="X46" s="38"/>
      <c r="Y46" s="208">
        <f>ROUND((ROUND((ROUND((ROUND((_11_A家事１．０*_11・重度研修),0)*_11・２人),0)*(1+_11・A深夜)),0)*_11・初任),0)+ROUND((ROUND((ROUND((ROUND((_11_B家事１．０＿０．２５*_11・重度研修),0)*_11・２人),0)*(1+_11・B早朝)),0)*_11・初任),0)+ROUND((ROUND((ROUND((_11_C家事１．０＿０．２５＿０．２５*_11・重度研修),0)*_11・２人),0)*_11・初任),0)</f>
        <v>241</v>
      </c>
      <c r="Z46" s="63"/>
    </row>
    <row r="47" spans="1:26" ht="16.5" customHeight="1" x14ac:dyDescent="0.15"/>
    <row r="48" spans="1:26" ht="16.5" customHeight="1" x14ac:dyDescent="0.15"/>
    <row r="49" ht="16.5" customHeight="1" x14ac:dyDescent="0.15"/>
  </sheetData>
  <mergeCells count="32">
    <mergeCell ref="H39:I41"/>
    <mergeCell ref="V41:V42"/>
    <mergeCell ref="D43:E45"/>
    <mergeCell ref="F43:G45"/>
    <mergeCell ref="H43:I45"/>
    <mergeCell ref="V45:V46"/>
    <mergeCell ref="F39:G41"/>
    <mergeCell ref="H23:I25"/>
    <mergeCell ref="V25:V26"/>
    <mergeCell ref="F27:G29"/>
    <mergeCell ref="H27:I29"/>
    <mergeCell ref="V29:V30"/>
    <mergeCell ref="D31:E33"/>
    <mergeCell ref="F31:G33"/>
    <mergeCell ref="H31:I33"/>
    <mergeCell ref="V33:V34"/>
    <mergeCell ref="H35:I37"/>
    <mergeCell ref="V37:V38"/>
    <mergeCell ref="F19:G21"/>
    <mergeCell ref="H19:I21"/>
    <mergeCell ref="V21:V22"/>
    <mergeCell ref="D7:E9"/>
    <mergeCell ref="F7:G9"/>
    <mergeCell ref="H7:I9"/>
    <mergeCell ref="J7:L9"/>
    <mergeCell ref="R8:R9"/>
    <mergeCell ref="U8:U9"/>
    <mergeCell ref="V9:V10"/>
    <mergeCell ref="H11:I13"/>
    <mergeCell ref="V13:V14"/>
    <mergeCell ref="H15:I17"/>
    <mergeCell ref="V17:V18"/>
  </mergeCells>
  <phoneticPr fontId="1"/>
  <printOptions horizontalCentered="1"/>
  <pageMargins left="0.70866141732283472" right="0.70866141732283472" top="0.62992125984251968" bottom="0.59055118110236227" header="0.31496062992125984" footer="0.31496062992125984"/>
  <pageSetup paperSize="9" scale="46" fitToHeight="0" orientation="portrait" r:id="rId1"/>
  <headerFooter>
    <oddHeader>&amp;R&amp;"ＭＳ Ｐゴシック"&amp;9居宅介護</oddHeader>
    <oddFooter>&amp;C&amp;"ＭＳ Ｐゴシック"&amp;14&amp;P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T12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4.5" style="10" bestFit="1" customWidth="1"/>
    <col min="4" max="4" width="6" style="10" customWidth="1"/>
    <col min="5" max="5" width="5.5" style="117" bestFit="1" customWidth="1"/>
    <col min="6" max="6" width="4.875" style="10" customWidth="1"/>
    <col min="7" max="7" width="4.5" style="117" bestFit="1" customWidth="1"/>
    <col min="8" max="8" width="11.875" style="12" customWidth="1"/>
    <col min="9" max="9" width="3.5" style="12" bestFit="1" customWidth="1"/>
    <col min="10" max="10" width="4.5" style="13" bestFit="1" customWidth="1"/>
    <col min="11" max="11" width="24.875" style="14" bestFit="1" customWidth="1"/>
    <col min="12" max="12" width="3.5" style="12" bestFit="1" customWidth="1"/>
    <col min="13" max="13" width="5.5" style="13" bestFit="1" customWidth="1"/>
    <col min="14" max="14" width="3.5" style="12" bestFit="1" customWidth="1"/>
    <col min="15" max="15" width="4.5" style="13" bestFit="1" customWidth="1"/>
    <col min="16" max="16" width="5.5" style="12" bestFit="1" customWidth="1"/>
    <col min="17" max="17" width="9.875" style="12" customWidth="1"/>
    <col min="18" max="18" width="4.5" style="12" bestFit="1" customWidth="1"/>
    <col min="19" max="19" width="7.125" style="15" customWidth="1"/>
    <col min="20" max="20" width="8.5" style="16" customWidth="1"/>
    <col min="21" max="16384" width="8.875" style="12"/>
  </cols>
  <sheetData>
    <row r="1" spans="1:20" ht="17.100000000000001" customHeight="1" x14ac:dyDescent="0.15">
      <c r="D1" s="11"/>
      <c r="E1" s="12"/>
    </row>
    <row r="2" spans="1:20" ht="17.100000000000001" customHeight="1" x14ac:dyDescent="0.15"/>
    <row r="3" spans="1:20" ht="17.100000000000001" customHeight="1" x14ac:dyDescent="0.15"/>
    <row r="4" spans="1:20" ht="17.100000000000001" customHeight="1" x14ac:dyDescent="0.15">
      <c r="B4" s="17" t="s">
        <v>1224</v>
      </c>
      <c r="D4" s="71"/>
    </row>
    <row r="5" spans="1:20" ht="16.5" customHeight="1" x14ac:dyDescent="0.15">
      <c r="A5" s="19" t="s">
        <v>384</v>
      </c>
      <c r="B5" s="20"/>
      <c r="C5" s="21" t="s">
        <v>385</v>
      </c>
      <c r="D5" s="23" t="s">
        <v>386</v>
      </c>
      <c r="E5" s="118"/>
      <c r="F5" s="23"/>
      <c r="G5" s="118"/>
      <c r="H5" s="23"/>
      <c r="I5" s="23"/>
      <c r="J5" s="24"/>
      <c r="K5" s="23"/>
      <c r="L5" s="23"/>
      <c r="M5" s="24"/>
      <c r="N5" s="23"/>
      <c r="O5" s="24"/>
      <c r="P5" s="23"/>
      <c r="Q5" s="23"/>
      <c r="R5" s="23"/>
      <c r="S5" s="25" t="s">
        <v>387</v>
      </c>
      <c r="T5" s="21" t="s">
        <v>388</v>
      </c>
    </row>
    <row r="6" spans="1:20" ht="16.5" customHeight="1" x14ac:dyDescent="0.15">
      <c r="A6" s="26" t="s">
        <v>389</v>
      </c>
      <c r="B6" s="26" t="s">
        <v>390</v>
      </c>
      <c r="C6" s="27"/>
      <c r="D6" s="87" t="s">
        <v>1032</v>
      </c>
      <c r="E6" s="119"/>
      <c r="F6" s="29"/>
      <c r="G6" s="120"/>
      <c r="H6" s="29"/>
      <c r="I6" s="29"/>
      <c r="J6" s="30"/>
      <c r="K6" s="29"/>
      <c r="L6" s="29"/>
      <c r="M6" s="30"/>
      <c r="N6" s="29"/>
      <c r="O6" s="30"/>
      <c r="P6" s="29"/>
      <c r="Q6" s="29"/>
      <c r="R6" s="29"/>
      <c r="S6" s="31" t="s">
        <v>391</v>
      </c>
      <c r="T6" s="32" t="s">
        <v>392</v>
      </c>
    </row>
    <row r="7" spans="1:20" ht="16.5" customHeight="1" x14ac:dyDescent="0.15">
      <c r="A7" s="33">
        <v>11</v>
      </c>
      <c r="B7" s="33">
        <v>1363</v>
      </c>
      <c r="C7" s="34" t="s">
        <v>1225</v>
      </c>
      <c r="D7" s="709" t="s">
        <v>673</v>
      </c>
      <c r="E7" s="718"/>
      <c r="F7" s="709" t="s">
        <v>1226</v>
      </c>
      <c r="G7" s="718"/>
      <c r="H7" s="35"/>
      <c r="K7" s="36"/>
      <c r="L7" s="37"/>
      <c r="M7" s="38"/>
      <c r="N7" s="72" t="s">
        <v>1227</v>
      </c>
      <c r="P7" s="57"/>
      <c r="Q7" s="35"/>
      <c r="S7" s="39">
        <f>ROUND((_11_A身体０．５*(1+_11・A早朝)),0)+_11_B身体０．５＿０．５</f>
        <v>466</v>
      </c>
      <c r="T7" s="40" t="s">
        <v>395</v>
      </c>
    </row>
    <row r="8" spans="1:20" ht="16.5" customHeight="1" x14ac:dyDescent="0.15">
      <c r="A8" s="41">
        <v>11</v>
      </c>
      <c r="B8" s="41">
        <v>1364</v>
      </c>
      <c r="C8" s="74" t="s">
        <v>1228</v>
      </c>
      <c r="D8" s="709"/>
      <c r="E8" s="718"/>
      <c r="F8" s="709"/>
      <c r="G8" s="718"/>
      <c r="H8" s="43"/>
      <c r="I8" s="37"/>
      <c r="J8" s="38"/>
      <c r="K8" s="44" t="s">
        <v>397</v>
      </c>
      <c r="L8" s="45" t="s">
        <v>398</v>
      </c>
      <c r="M8" s="46">
        <v>1</v>
      </c>
      <c r="N8" s="35" t="s">
        <v>398</v>
      </c>
      <c r="O8" s="13">
        <v>0.25</v>
      </c>
      <c r="P8" s="728" t="s">
        <v>676</v>
      </c>
      <c r="Q8" s="35"/>
      <c r="S8" s="47">
        <f>ROUND((ROUND((_11_A身体０．５*_11・２人),0)*(1+_11・A早朝)),0)+ROUND((_11_B身体０．５＿０．５*_11・２人),0)</f>
        <v>466</v>
      </c>
      <c r="T8" s="48"/>
    </row>
    <row r="9" spans="1:20" ht="16.5" customHeight="1" x14ac:dyDescent="0.15">
      <c r="A9" s="41">
        <v>11</v>
      </c>
      <c r="B9" s="41">
        <v>1365</v>
      </c>
      <c r="C9" s="74" t="s">
        <v>1229</v>
      </c>
      <c r="D9" s="709"/>
      <c r="E9" s="718"/>
      <c r="F9" s="709"/>
      <c r="G9" s="718"/>
      <c r="H9" s="705" t="s">
        <v>400</v>
      </c>
      <c r="I9" s="49" t="s">
        <v>398</v>
      </c>
      <c r="J9" s="50">
        <v>0.7</v>
      </c>
      <c r="K9" s="44"/>
      <c r="L9" s="45"/>
      <c r="M9" s="46"/>
      <c r="N9" s="35"/>
      <c r="P9" s="728"/>
      <c r="Q9" s="35"/>
      <c r="S9" s="47">
        <f>ROUND((ROUND((_11_A身体０．５*_11・基礎１),0)*(1+_11・A早朝)),0)+ROUND((_11_B身体０．５＿０．５*_11・基礎１),0)</f>
        <v>327</v>
      </c>
      <c r="T9" s="48"/>
    </row>
    <row r="10" spans="1:20" ht="16.5" customHeight="1" x14ac:dyDescent="0.15">
      <c r="A10" s="41">
        <v>11</v>
      </c>
      <c r="B10" s="41">
        <v>1366</v>
      </c>
      <c r="C10" s="74" t="s">
        <v>1230</v>
      </c>
      <c r="D10" s="100">
        <f>_11_A身体０．５</f>
        <v>255</v>
      </c>
      <c r="E10" s="12" t="s">
        <v>392</v>
      </c>
      <c r="F10" s="100">
        <f>_11_B身体０．５＿０．５</f>
        <v>147</v>
      </c>
      <c r="G10" s="12" t="s">
        <v>392</v>
      </c>
      <c r="H10" s="711"/>
      <c r="I10" s="37"/>
      <c r="J10" s="38"/>
      <c r="K10" s="44" t="s">
        <v>397</v>
      </c>
      <c r="L10" s="45" t="s">
        <v>398</v>
      </c>
      <c r="M10" s="46">
        <v>1</v>
      </c>
      <c r="N10" s="35"/>
      <c r="P10" s="57"/>
      <c r="Q10" s="43"/>
      <c r="R10" s="37"/>
      <c r="S10" s="47">
        <f>ROUND((ROUND((ROUND((_11_A身体０．５*_11・基礎１),0)*_11・２人),0)*(1+_11・A早朝)),0)+ROUND((ROUND((_11_B身体０．５＿０．５*_11・基礎１),0)*_11・２人),0)</f>
        <v>327</v>
      </c>
      <c r="T10" s="48"/>
    </row>
    <row r="11" spans="1:20" ht="16.5" customHeight="1" x14ac:dyDescent="0.15">
      <c r="A11" s="41">
        <v>11</v>
      </c>
      <c r="B11" s="41" t="s">
        <v>1231</v>
      </c>
      <c r="C11" s="42" t="s">
        <v>1232</v>
      </c>
      <c r="D11" s="121"/>
      <c r="E11" s="99"/>
      <c r="F11" s="121"/>
      <c r="G11" s="99"/>
      <c r="H11" s="53"/>
      <c r="I11" s="49"/>
      <c r="J11" s="50"/>
      <c r="K11" s="44"/>
      <c r="L11" s="45"/>
      <c r="M11" s="46"/>
      <c r="N11" s="35"/>
      <c r="P11" s="57"/>
      <c r="Q11" s="707" t="s">
        <v>404</v>
      </c>
      <c r="R11" s="708"/>
      <c r="S11" s="47">
        <f>ROUND((ROUND((_11_A身体０．５*(1+_11・A早朝)),0)*_11・初任),0)+ROUND((_11_B身体０．５＿０．５*_11・初任),0)</f>
        <v>326</v>
      </c>
      <c r="T11" s="48"/>
    </row>
    <row r="12" spans="1:20" ht="16.5" customHeight="1" x14ac:dyDescent="0.15">
      <c r="A12" s="41">
        <v>11</v>
      </c>
      <c r="B12" s="41" t="s">
        <v>1233</v>
      </c>
      <c r="C12" s="42" t="s">
        <v>1234</v>
      </c>
      <c r="D12" s="121"/>
      <c r="E12" s="99"/>
      <c r="F12" s="121"/>
      <c r="G12" s="99"/>
      <c r="H12" s="43"/>
      <c r="I12" s="37"/>
      <c r="J12" s="38"/>
      <c r="K12" s="44" t="s">
        <v>397</v>
      </c>
      <c r="L12" s="45" t="s">
        <v>398</v>
      </c>
      <c r="M12" s="46">
        <v>1</v>
      </c>
      <c r="N12" s="35"/>
      <c r="P12" s="57"/>
      <c r="Q12" s="709"/>
      <c r="R12" s="704"/>
      <c r="S12" s="47">
        <f>ROUND((ROUND((ROUND((_11_A身体０．５*_11・２人),0)*(1+_11・A早朝)),0)*_11・初任),0)+ROUND((ROUND((_11_B身体０．５＿０．５*_11・２人),0)*_11・初任),0)</f>
        <v>326</v>
      </c>
      <c r="T12" s="48"/>
    </row>
    <row r="13" spans="1:20" ht="16.5" customHeight="1" x14ac:dyDescent="0.15">
      <c r="A13" s="41">
        <v>11</v>
      </c>
      <c r="B13" s="41" t="s">
        <v>1235</v>
      </c>
      <c r="C13" s="42" t="s">
        <v>1236</v>
      </c>
      <c r="D13" s="72"/>
      <c r="E13" s="99"/>
      <c r="F13" s="72"/>
      <c r="G13" s="99"/>
      <c r="H13" s="705" t="s">
        <v>400</v>
      </c>
      <c r="I13" s="49" t="s">
        <v>398</v>
      </c>
      <c r="J13" s="50">
        <v>0.7</v>
      </c>
      <c r="K13" s="44"/>
      <c r="L13" s="45"/>
      <c r="M13" s="46"/>
      <c r="N13" s="35"/>
      <c r="P13" s="57"/>
      <c r="Q13" s="709"/>
      <c r="R13" s="704"/>
      <c r="S13" s="47">
        <f>ROUND((ROUND((ROUND((_11_A身体０．５*_11・基礎１),0)*(1+_11・A早朝)),0)*_11・初任),0)+ROUND((ROUND((_11_B身体０．５＿０．５*_11・基礎１),0)*_11・初任),0)</f>
        <v>229</v>
      </c>
      <c r="T13" s="48"/>
    </row>
    <row r="14" spans="1:20" ht="16.5" customHeight="1" x14ac:dyDescent="0.15">
      <c r="A14" s="41">
        <v>11</v>
      </c>
      <c r="B14" s="41" t="s">
        <v>1237</v>
      </c>
      <c r="C14" s="42" t="s">
        <v>1238</v>
      </c>
      <c r="D14" s="72"/>
      <c r="E14" s="99"/>
      <c r="F14" s="72"/>
      <c r="G14" s="99"/>
      <c r="H14" s="711"/>
      <c r="I14" s="37"/>
      <c r="J14" s="38"/>
      <c r="K14" s="44" t="s">
        <v>397</v>
      </c>
      <c r="L14" s="45" t="s">
        <v>398</v>
      </c>
      <c r="M14" s="46">
        <v>1</v>
      </c>
      <c r="N14" s="35"/>
      <c r="P14" s="57"/>
      <c r="Q14" s="55" t="s">
        <v>398</v>
      </c>
      <c r="R14" s="38">
        <f>_11・初任</f>
        <v>0.7</v>
      </c>
      <c r="S14" s="47">
        <f>ROUND((ROUND((ROUND((ROUND((_11_A身体０．５*_11・基礎１),0)*_11・２人),0)*(1+_11・A早朝)),0)*_11・初任),0)+ROUND((ROUND((ROUND((_11_B身体０．５＿０．５*_11・基礎１),0)*_11・２人),0)*_11・初任),0)</f>
        <v>229</v>
      </c>
      <c r="T14" s="48"/>
    </row>
    <row r="15" spans="1:20" ht="16.5" customHeight="1" x14ac:dyDescent="0.15">
      <c r="A15" s="41">
        <v>11</v>
      </c>
      <c r="B15" s="41">
        <v>1367</v>
      </c>
      <c r="C15" s="74" t="s">
        <v>1239</v>
      </c>
      <c r="D15" s="72"/>
      <c r="E15" s="99"/>
      <c r="F15" s="707" t="s">
        <v>1240</v>
      </c>
      <c r="G15" s="717"/>
      <c r="H15" s="49"/>
      <c r="I15" s="49"/>
      <c r="J15" s="50"/>
      <c r="K15" s="44"/>
      <c r="L15" s="45"/>
      <c r="M15" s="46"/>
      <c r="N15" s="35"/>
      <c r="P15" s="57"/>
      <c r="Q15" s="53"/>
      <c r="R15" s="49"/>
      <c r="S15" s="47">
        <f>ROUND((_11_A身体０．５*(1+_11・A早朝)),0)+_11_B身体０．５＿１．０</f>
        <v>648</v>
      </c>
      <c r="T15" s="48"/>
    </row>
    <row r="16" spans="1:20" ht="16.5" customHeight="1" x14ac:dyDescent="0.15">
      <c r="A16" s="41">
        <v>11</v>
      </c>
      <c r="B16" s="41">
        <v>1368</v>
      </c>
      <c r="C16" s="74" t="s">
        <v>1241</v>
      </c>
      <c r="D16" s="72"/>
      <c r="E16" s="99"/>
      <c r="F16" s="709"/>
      <c r="G16" s="718"/>
      <c r="H16" s="37"/>
      <c r="I16" s="37"/>
      <c r="J16" s="38"/>
      <c r="K16" s="44" t="s">
        <v>397</v>
      </c>
      <c r="L16" s="45" t="s">
        <v>398</v>
      </c>
      <c r="M16" s="46">
        <v>1</v>
      </c>
      <c r="N16" s="35"/>
      <c r="P16" s="57"/>
      <c r="Q16" s="35"/>
      <c r="S16" s="47">
        <f>ROUND((ROUND((_11_A身体０．５*_11・２人),0)*(1+_11・A早朝)),0)+ROUND((_11_B身体０．５＿１．０*_11・２人),0)</f>
        <v>648</v>
      </c>
      <c r="T16" s="48"/>
    </row>
    <row r="17" spans="1:20" ht="16.5" customHeight="1" x14ac:dyDescent="0.15">
      <c r="A17" s="41">
        <v>11</v>
      </c>
      <c r="B17" s="41">
        <v>1369</v>
      </c>
      <c r="C17" s="74" t="s">
        <v>1242</v>
      </c>
      <c r="D17" s="72"/>
      <c r="E17" s="99"/>
      <c r="F17" s="709"/>
      <c r="G17" s="718"/>
      <c r="H17" s="729" t="s">
        <v>400</v>
      </c>
      <c r="I17" s="49" t="s">
        <v>398</v>
      </c>
      <c r="J17" s="50">
        <v>0.7</v>
      </c>
      <c r="K17" s="44"/>
      <c r="L17" s="45"/>
      <c r="M17" s="46"/>
      <c r="N17" s="35"/>
      <c r="P17" s="57"/>
      <c r="Q17" s="35"/>
      <c r="S17" s="47">
        <f>ROUND((ROUND((_11_A身体０．５*_11・基礎１),0)*(1+_11・A早朝)),0)+ROUND((_11_B身体０．５＿１．０*_11・基礎１),0)</f>
        <v>454</v>
      </c>
      <c r="T17" s="48"/>
    </row>
    <row r="18" spans="1:20" ht="16.5" customHeight="1" x14ac:dyDescent="0.15">
      <c r="A18" s="41">
        <v>11</v>
      </c>
      <c r="B18" s="41">
        <v>1370</v>
      </c>
      <c r="C18" s="74" t="s">
        <v>1243</v>
      </c>
      <c r="D18" s="72"/>
      <c r="E18" s="99"/>
      <c r="F18" s="100">
        <f>_11_B身体０．５＿１．０</f>
        <v>329</v>
      </c>
      <c r="G18" s="12" t="s">
        <v>392</v>
      </c>
      <c r="H18" s="711"/>
      <c r="I18" s="37"/>
      <c r="J18" s="38"/>
      <c r="K18" s="44" t="s">
        <v>397</v>
      </c>
      <c r="L18" s="45" t="s">
        <v>398</v>
      </c>
      <c r="M18" s="46">
        <v>1</v>
      </c>
      <c r="N18" s="35"/>
      <c r="P18" s="57"/>
      <c r="Q18" s="43"/>
      <c r="R18" s="37"/>
      <c r="S18" s="47">
        <f>ROUND((ROUND((ROUND((_11_A身体０．５*_11・基礎１),0)*_11・２人),0)*(1+_11・A早朝)),0)+ROUND((ROUND((_11_B身体０．５＿１．０*_11・基礎１),0)*_11・２人),0)</f>
        <v>454</v>
      </c>
      <c r="T18" s="48"/>
    </row>
    <row r="19" spans="1:20" ht="16.5" customHeight="1" x14ac:dyDescent="0.15">
      <c r="A19" s="41">
        <v>11</v>
      </c>
      <c r="B19" s="41" t="s">
        <v>1244</v>
      </c>
      <c r="C19" s="42" t="s">
        <v>1245</v>
      </c>
      <c r="D19" s="72"/>
      <c r="E19" s="99"/>
      <c r="F19" s="121"/>
      <c r="G19" s="99"/>
      <c r="H19" s="53"/>
      <c r="I19" s="49"/>
      <c r="J19" s="50"/>
      <c r="K19" s="44"/>
      <c r="L19" s="45"/>
      <c r="M19" s="46"/>
      <c r="N19" s="35"/>
      <c r="P19" s="57"/>
      <c r="Q19" s="707" t="s">
        <v>404</v>
      </c>
      <c r="R19" s="708"/>
      <c r="S19" s="47">
        <f>ROUND((ROUND((_11_A身体０．５*(1+_11・A早朝)),0)*_11・初任),0)+ROUND((_11_B身体０．５＿１．０*_11・初任),0)</f>
        <v>453</v>
      </c>
      <c r="T19" s="48"/>
    </row>
    <row r="20" spans="1:20" ht="16.5" customHeight="1" x14ac:dyDescent="0.15">
      <c r="A20" s="41">
        <v>11</v>
      </c>
      <c r="B20" s="41" t="s">
        <v>1246</v>
      </c>
      <c r="C20" s="42" t="s">
        <v>1247</v>
      </c>
      <c r="D20" s="72"/>
      <c r="E20" s="99"/>
      <c r="F20" s="121"/>
      <c r="G20" s="99"/>
      <c r="H20" s="43"/>
      <c r="I20" s="37"/>
      <c r="J20" s="38"/>
      <c r="K20" s="44" t="s">
        <v>397</v>
      </c>
      <c r="L20" s="45" t="s">
        <v>398</v>
      </c>
      <c r="M20" s="46">
        <v>1</v>
      </c>
      <c r="N20" s="35"/>
      <c r="P20" s="57"/>
      <c r="Q20" s="709"/>
      <c r="R20" s="704"/>
      <c r="S20" s="47">
        <f>ROUND((ROUND((ROUND((_11_A身体０．５*_11・２人),0)*(1+_11・A早朝)),0)*_11・初任),0)+ROUND((ROUND((_11_B身体０．５＿１．０*_11・２人),0)*_11・初任),0)</f>
        <v>453</v>
      </c>
      <c r="T20" s="48"/>
    </row>
    <row r="21" spans="1:20" ht="16.5" customHeight="1" x14ac:dyDescent="0.15">
      <c r="A21" s="41">
        <v>11</v>
      </c>
      <c r="B21" s="41" t="s">
        <v>1248</v>
      </c>
      <c r="C21" s="42" t="s">
        <v>1249</v>
      </c>
      <c r="D21" s="72"/>
      <c r="E21" s="99"/>
      <c r="F21" s="72"/>
      <c r="G21" s="99"/>
      <c r="H21" s="705" t="s">
        <v>400</v>
      </c>
      <c r="I21" s="49" t="s">
        <v>398</v>
      </c>
      <c r="J21" s="50">
        <v>0.7</v>
      </c>
      <c r="K21" s="44"/>
      <c r="L21" s="45"/>
      <c r="M21" s="46"/>
      <c r="N21" s="35"/>
      <c r="P21" s="57"/>
      <c r="Q21" s="709"/>
      <c r="R21" s="704"/>
      <c r="S21" s="47">
        <f>ROUND((ROUND((ROUND((_11_A身体０．５*_11・基礎１),0)*(1+_11・A早朝)),0)*_11・初任),0)+ROUND((ROUND((_11_B身体０．５＿１．０*_11・基礎１),0)*_11・初任),0)</f>
        <v>318</v>
      </c>
      <c r="T21" s="48"/>
    </row>
    <row r="22" spans="1:20" ht="16.5" customHeight="1" x14ac:dyDescent="0.15">
      <c r="A22" s="41">
        <v>11</v>
      </c>
      <c r="B22" s="41" t="s">
        <v>1250</v>
      </c>
      <c r="C22" s="42" t="s">
        <v>1251</v>
      </c>
      <c r="D22" s="72"/>
      <c r="E22" s="99"/>
      <c r="F22" s="72"/>
      <c r="G22" s="99"/>
      <c r="H22" s="711"/>
      <c r="I22" s="37"/>
      <c r="J22" s="38"/>
      <c r="K22" s="44" t="s">
        <v>397</v>
      </c>
      <c r="L22" s="45" t="s">
        <v>398</v>
      </c>
      <c r="M22" s="46">
        <v>1</v>
      </c>
      <c r="N22" s="35"/>
      <c r="P22" s="57"/>
      <c r="Q22" s="55" t="s">
        <v>398</v>
      </c>
      <c r="R22" s="38">
        <f>_11・初任</f>
        <v>0.7</v>
      </c>
      <c r="S22" s="47">
        <f>ROUND((ROUND((ROUND((ROUND((_11_A身体０．５*_11・基礎１),0)*_11・２人),0)*(1+_11・A早朝)),0)*_11・初任),0)+ROUND((ROUND((ROUND((_11_B身体０．５＿１．０*_11・基礎１),0)*_11・２人),0)*_11・初任),0)</f>
        <v>318</v>
      </c>
      <c r="T22" s="48"/>
    </row>
    <row r="23" spans="1:20" ht="16.5" customHeight="1" x14ac:dyDescent="0.15">
      <c r="A23" s="41">
        <v>11</v>
      </c>
      <c r="B23" s="41">
        <v>1371</v>
      </c>
      <c r="C23" s="74" t="s">
        <v>1252</v>
      </c>
      <c r="D23" s="72"/>
      <c r="E23" s="99"/>
      <c r="F23" s="707" t="s">
        <v>1253</v>
      </c>
      <c r="G23" s="717"/>
      <c r="H23" s="53"/>
      <c r="I23" s="49"/>
      <c r="J23" s="50"/>
      <c r="K23" s="44"/>
      <c r="L23" s="45"/>
      <c r="M23" s="46"/>
      <c r="N23" s="35"/>
      <c r="P23" s="57"/>
      <c r="Q23" s="53"/>
      <c r="R23" s="49"/>
      <c r="S23" s="47">
        <f>ROUND((_11_A身体０．５*(1+_11・A早朝)),0)+_11_B身体０．５＿１．５</f>
        <v>730</v>
      </c>
      <c r="T23" s="48"/>
    </row>
    <row r="24" spans="1:20" ht="16.5" customHeight="1" x14ac:dyDescent="0.15">
      <c r="A24" s="41">
        <v>11</v>
      </c>
      <c r="B24" s="41">
        <v>1372</v>
      </c>
      <c r="C24" s="74" t="s">
        <v>1254</v>
      </c>
      <c r="D24" s="72"/>
      <c r="E24" s="99"/>
      <c r="F24" s="709"/>
      <c r="G24" s="718"/>
      <c r="H24" s="43"/>
      <c r="I24" s="37"/>
      <c r="J24" s="38"/>
      <c r="K24" s="44" t="s">
        <v>397</v>
      </c>
      <c r="L24" s="45" t="s">
        <v>398</v>
      </c>
      <c r="M24" s="46">
        <v>1</v>
      </c>
      <c r="N24" s="35"/>
      <c r="P24" s="57"/>
      <c r="Q24" s="35"/>
      <c r="S24" s="47">
        <f>ROUND((ROUND((_11_A身体０．５*_11・２人),0)*(1+_11・A早朝)),0)+ROUND((_11_B身体０．５＿１．５*_11・２人),0)</f>
        <v>730</v>
      </c>
      <c r="T24" s="48"/>
    </row>
    <row r="25" spans="1:20" ht="16.5" customHeight="1" x14ac:dyDescent="0.15">
      <c r="A25" s="41">
        <v>11</v>
      </c>
      <c r="B25" s="41">
        <v>1373</v>
      </c>
      <c r="C25" s="74" t="s">
        <v>1255</v>
      </c>
      <c r="D25" s="72"/>
      <c r="E25" s="99"/>
      <c r="F25" s="709"/>
      <c r="G25" s="718"/>
      <c r="H25" s="705" t="s">
        <v>400</v>
      </c>
      <c r="I25" s="49" t="s">
        <v>398</v>
      </c>
      <c r="J25" s="50">
        <v>0.7</v>
      </c>
      <c r="K25" s="44"/>
      <c r="L25" s="45"/>
      <c r="M25" s="46"/>
      <c r="N25" s="35"/>
      <c r="P25" s="57"/>
      <c r="Q25" s="35"/>
      <c r="S25" s="47">
        <f>ROUND((ROUND((_11_A身体０．５*_11・基礎１),0)*(1+_11・A早朝)),0)+ROUND((_11_B身体０．５＿１．５*_11・基礎１),0)</f>
        <v>512</v>
      </c>
      <c r="T25" s="48"/>
    </row>
    <row r="26" spans="1:20" ht="16.5" customHeight="1" x14ac:dyDescent="0.15">
      <c r="A26" s="41">
        <v>11</v>
      </c>
      <c r="B26" s="41">
        <v>1374</v>
      </c>
      <c r="C26" s="74" t="s">
        <v>1256</v>
      </c>
      <c r="D26" s="72"/>
      <c r="E26" s="99"/>
      <c r="F26" s="100">
        <f>_11_B身体０．５＿１．５</f>
        <v>411</v>
      </c>
      <c r="G26" s="12" t="s">
        <v>392</v>
      </c>
      <c r="H26" s="711"/>
      <c r="I26" s="37"/>
      <c r="J26" s="38"/>
      <c r="K26" s="44" t="s">
        <v>397</v>
      </c>
      <c r="L26" s="45" t="s">
        <v>398</v>
      </c>
      <c r="M26" s="46">
        <v>1</v>
      </c>
      <c r="N26" s="35"/>
      <c r="P26" s="57"/>
      <c r="Q26" s="43"/>
      <c r="R26" s="37"/>
      <c r="S26" s="47">
        <f>ROUND((ROUND((ROUND((_11_A身体０．５*_11・基礎１),0)*_11・２人),0)*(1+_11・A早朝)),0)+ROUND((ROUND((_11_B身体０．５＿１．５*_11・基礎１),0)*_11・２人),0)</f>
        <v>512</v>
      </c>
      <c r="T26" s="48"/>
    </row>
    <row r="27" spans="1:20" ht="16.5" customHeight="1" x14ac:dyDescent="0.15">
      <c r="A27" s="41">
        <v>11</v>
      </c>
      <c r="B27" s="41" t="s">
        <v>1257</v>
      </c>
      <c r="C27" s="42" t="s">
        <v>1258</v>
      </c>
      <c r="D27" s="72"/>
      <c r="E27" s="99"/>
      <c r="F27" s="121"/>
      <c r="G27" s="99"/>
      <c r="H27" s="53"/>
      <c r="I27" s="49"/>
      <c r="J27" s="50"/>
      <c r="K27" s="44"/>
      <c r="L27" s="45"/>
      <c r="M27" s="46"/>
      <c r="N27" s="35"/>
      <c r="P27" s="57"/>
      <c r="Q27" s="707" t="s">
        <v>404</v>
      </c>
      <c r="R27" s="708"/>
      <c r="S27" s="47">
        <f>ROUND((ROUND((_11_A身体０．５*(1+_11・A早朝)),0)*_11・初任),0)+ROUND((_11_B身体０．５＿１．５*_11・初任),0)</f>
        <v>511</v>
      </c>
      <c r="T27" s="48"/>
    </row>
    <row r="28" spans="1:20" ht="16.5" customHeight="1" x14ac:dyDescent="0.15">
      <c r="A28" s="41">
        <v>11</v>
      </c>
      <c r="B28" s="41" t="s">
        <v>1259</v>
      </c>
      <c r="C28" s="42" t="s">
        <v>1260</v>
      </c>
      <c r="D28" s="72"/>
      <c r="E28" s="99"/>
      <c r="F28" s="121"/>
      <c r="G28" s="99"/>
      <c r="H28" s="43"/>
      <c r="I28" s="37"/>
      <c r="J28" s="38"/>
      <c r="K28" s="44" t="s">
        <v>397</v>
      </c>
      <c r="L28" s="45" t="s">
        <v>398</v>
      </c>
      <c r="M28" s="46">
        <v>1</v>
      </c>
      <c r="N28" s="35"/>
      <c r="P28" s="57"/>
      <c r="Q28" s="709"/>
      <c r="R28" s="704"/>
      <c r="S28" s="47">
        <f>ROUND((ROUND((ROUND((_11_A身体０．５*_11・２人),0)*(1+_11・A早朝)),0)*_11・初任),0)+ROUND((ROUND((_11_B身体０．５＿１．５*_11・２人),0)*_11・初任),0)</f>
        <v>511</v>
      </c>
      <c r="T28" s="48"/>
    </row>
    <row r="29" spans="1:20" ht="16.5" customHeight="1" x14ac:dyDescent="0.15">
      <c r="A29" s="41">
        <v>11</v>
      </c>
      <c r="B29" s="41" t="s">
        <v>1261</v>
      </c>
      <c r="C29" s="42" t="s">
        <v>1262</v>
      </c>
      <c r="D29" s="72"/>
      <c r="E29" s="99"/>
      <c r="F29" s="72"/>
      <c r="G29" s="99"/>
      <c r="H29" s="705" t="s">
        <v>400</v>
      </c>
      <c r="I29" s="49" t="s">
        <v>398</v>
      </c>
      <c r="J29" s="50">
        <v>0.7</v>
      </c>
      <c r="K29" s="44"/>
      <c r="L29" s="45"/>
      <c r="M29" s="46"/>
      <c r="N29" s="35"/>
      <c r="P29" s="57"/>
      <c r="Q29" s="709"/>
      <c r="R29" s="704"/>
      <c r="S29" s="47">
        <f>ROUND((ROUND((ROUND((_11_A身体０．５*_11・基礎１),0)*(1+_11・A早朝)),0)*_11・初任),0)+ROUND((ROUND((_11_B身体０．５＿１．５*_11・基礎１),0)*_11・初任),0)</f>
        <v>359</v>
      </c>
      <c r="T29" s="48"/>
    </row>
    <row r="30" spans="1:20" ht="16.5" customHeight="1" x14ac:dyDescent="0.15">
      <c r="A30" s="41">
        <v>11</v>
      </c>
      <c r="B30" s="41" t="s">
        <v>1263</v>
      </c>
      <c r="C30" s="42" t="s">
        <v>1264</v>
      </c>
      <c r="D30" s="72"/>
      <c r="E30" s="99"/>
      <c r="F30" s="72"/>
      <c r="G30" s="99"/>
      <c r="H30" s="711"/>
      <c r="I30" s="37"/>
      <c r="J30" s="38"/>
      <c r="K30" s="44" t="s">
        <v>397</v>
      </c>
      <c r="L30" s="45" t="s">
        <v>398</v>
      </c>
      <c r="M30" s="46">
        <v>1</v>
      </c>
      <c r="N30" s="35"/>
      <c r="P30" s="57"/>
      <c r="Q30" s="55" t="s">
        <v>398</v>
      </c>
      <c r="R30" s="38">
        <f>_11・初任</f>
        <v>0.7</v>
      </c>
      <c r="S30" s="47">
        <f>ROUND((ROUND((ROUND((ROUND((_11_A身体０．５*_11・基礎１),0)*_11・２人),0)*(1+_11・A早朝)),0)*_11・初任),0)+ROUND((ROUND((ROUND((_11_B身体０．５＿１．５*_11・基礎１),0)*_11・２人),0)*_11・初任),0)</f>
        <v>359</v>
      </c>
      <c r="T30" s="48"/>
    </row>
    <row r="31" spans="1:20" ht="16.5" customHeight="1" x14ac:dyDescent="0.15">
      <c r="A31" s="41">
        <v>11</v>
      </c>
      <c r="B31" s="41">
        <v>1375</v>
      </c>
      <c r="C31" s="74" t="s">
        <v>1265</v>
      </c>
      <c r="D31" s="72"/>
      <c r="E31" s="99"/>
      <c r="F31" s="707" t="s">
        <v>1266</v>
      </c>
      <c r="G31" s="717"/>
      <c r="H31" s="53"/>
      <c r="I31" s="49"/>
      <c r="J31" s="50"/>
      <c r="K31" s="44"/>
      <c r="L31" s="45"/>
      <c r="M31" s="46"/>
      <c r="N31" s="35"/>
      <c r="P31" s="57"/>
      <c r="Q31" s="53"/>
      <c r="R31" s="49"/>
      <c r="S31" s="47">
        <f>ROUND((_11_A身体０．５*(1+_11・A早朝)),0)+_11_B身体０．５＿２．０</f>
        <v>814</v>
      </c>
      <c r="T31" s="48"/>
    </row>
    <row r="32" spans="1:20" ht="16.5" customHeight="1" x14ac:dyDescent="0.15">
      <c r="A32" s="41">
        <v>11</v>
      </c>
      <c r="B32" s="41">
        <v>1376</v>
      </c>
      <c r="C32" s="74" t="s">
        <v>1267</v>
      </c>
      <c r="D32" s="72"/>
      <c r="E32" s="99"/>
      <c r="F32" s="709"/>
      <c r="G32" s="718"/>
      <c r="H32" s="43"/>
      <c r="I32" s="37"/>
      <c r="J32" s="38"/>
      <c r="K32" s="44" t="s">
        <v>397</v>
      </c>
      <c r="L32" s="45" t="s">
        <v>398</v>
      </c>
      <c r="M32" s="46">
        <v>1</v>
      </c>
      <c r="N32" s="35"/>
      <c r="P32" s="57"/>
      <c r="Q32" s="35"/>
      <c r="S32" s="47">
        <f>ROUND((ROUND((_11_A身体０．５*_11・２人),0)*(1+_11・A早朝)),0)+ROUND((_11_B身体０．５＿２．０*_11・２人),0)</f>
        <v>814</v>
      </c>
      <c r="T32" s="48"/>
    </row>
    <row r="33" spans="1:20" ht="16.5" customHeight="1" x14ac:dyDescent="0.15">
      <c r="A33" s="41">
        <v>11</v>
      </c>
      <c r="B33" s="41">
        <v>1377</v>
      </c>
      <c r="C33" s="74" t="s">
        <v>1268</v>
      </c>
      <c r="D33" s="72"/>
      <c r="E33" s="99"/>
      <c r="F33" s="709"/>
      <c r="G33" s="718"/>
      <c r="H33" s="705" t="s">
        <v>400</v>
      </c>
      <c r="I33" s="49" t="s">
        <v>398</v>
      </c>
      <c r="J33" s="50">
        <v>0.7</v>
      </c>
      <c r="K33" s="44"/>
      <c r="L33" s="45"/>
      <c r="M33" s="46"/>
      <c r="N33" s="35"/>
      <c r="P33" s="57"/>
      <c r="Q33" s="35"/>
      <c r="S33" s="47">
        <f>ROUND((ROUND((_11_A身体０．５*_11・基礎１),0)*(1+_11・A早朝)),0)+ROUND((_11_B身体０．５＿２．０*_11・基礎１),0)</f>
        <v>571</v>
      </c>
      <c r="T33" s="48"/>
    </row>
    <row r="34" spans="1:20" ht="16.5" customHeight="1" x14ac:dyDescent="0.15">
      <c r="A34" s="41">
        <v>11</v>
      </c>
      <c r="B34" s="41">
        <v>1378</v>
      </c>
      <c r="C34" s="74" t="s">
        <v>1269</v>
      </c>
      <c r="D34" s="100"/>
      <c r="E34" s="12"/>
      <c r="F34" s="100">
        <f>_11_B身体０．５＿２．０</f>
        <v>495</v>
      </c>
      <c r="G34" s="12" t="s">
        <v>392</v>
      </c>
      <c r="H34" s="711"/>
      <c r="I34" s="37"/>
      <c r="J34" s="38"/>
      <c r="K34" s="44" t="s">
        <v>397</v>
      </c>
      <c r="L34" s="45" t="s">
        <v>398</v>
      </c>
      <c r="M34" s="46">
        <v>1</v>
      </c>
      <c r="N34" s="35"/>
      <c r="P34" s="57"/>
      <c r="Q34" s="43"/>
      <c r="R34" s="37"/>
      <c r="S34" s="47">
        <f>ROUND((ROUND((ROUND((_11_A身体０．５*_11・基礎１),0)*_11・２人),0)*(1+_11・A早朝)),0)+ROUND((ROUND((_11_B身体０．５＿２．０*_11・基礎１),0)*_11・２人),0)</f>
        <v>571</v>
      </c>
      <c r="T34" s="48"/>
    </row>
    <row r="35" spans="1:20" ht="16.5" customHeight="1" x14ac:dyDescent="0.15">
      <c r="A35" s="41">
        <v>11</v>
      </c>
      <c r="B35" s="41" t="s">
        <v>1270</v>
      </c>
      <c r="C35" s="42" t="s">
        <v>1271</v>
      </c>
      <c r="D35" s="72"/>
      <c r="E35" s="99"/>
      <c r="F35" s="121"/>
      <c r="G35" s="99"/>
      <c r="H35" s="53"/>
      <c r="I35" s="49"/>
      <c r="J35" s="50"/>
      <c r="K35" s="44"/>
      <c r="L35" s="45"/>
      <c r="M35" s="46"/>
      <c r="N35" s="35"/>
      <c r="P35" s="57"/>
      <c r="Q35" s="707" t="s">
        <v>404</v>
      </c>
      <c r="R35" s="708"/>
      <c r="S35" s="47">
        <f>ROUND((ROUND((_11_A身体０．５*(1+_11・A早朝)),0)*_11・初任),0)+ROUND((_11_B身体０．５＿２．０*_11・初任),0)</f>
        <v>570</v>
      </c>
      <c r="T35" s="48"/>
    </row>
    <row r="36" spans="1:20" ht="16.5" customHeight="1" x14ac:dyDescent="0.15">
      <c r="A36" s="41">
        <v>11</v>
      </c>
      <c r="B36" s="41" t="s">
        <v>1272</v>
      </c>
      <c r="C36" s="42" t="s">
        <v>1273</v>
      </c>
      <c r="D36" s="72"/>
      <c r="E36" s="99"/>
      <c r="F36" s="121"/>
      <c r="G36" s="99"/>
      <c r="H36" s="43"/>
      <c r="I36" s="37"/>
      <c r="J36" s="38"/>
      <c r="K36" s="44" t="s">
        <v>397</v>
      </c>
      <c r="L36" s="45" t="s">
        <v>398</v>
      </c>
      <c r="M36" s="46">
        <v>1</v>
      </c>
      <c r="N36" s="35"/>
      <c r="P36" s="57"/>
      <c r="Q36" s="709"/>
      <c r="R36" s="704"/>
      <c r="S36" s="47">
        <f>ROUND((ROUND((ROUND((_11_A身体０．５*_11・２人),0)*(1+_11・A早朝)),0)*_11・初任),0)+ROUND((ROUND((_11_B身体０．５＿２．０*_11・２人),0)*_11・初任),0)</f>
        <v>570</v>
      </c>
      <c r="T36" s="48"/>
    </row>
    <row r="37" spans="1:20" ht="16.5" customHeight="1" x14ac:dyDescent="0.15">
      <c r="A37" s="41">
        <v>11</v>
      </c>
      <c r="B37" s="41" t="s">
        <v>1274</v>
      </c>
      <c r="C37" s="42" t="s">
        <v>1275</v>
      </c>
      <c r="D37" s="72"/>
      <c r="E37" s="99"/>
      <c r="F37" s="72"/>
      <c r="G37" s="99"/>
      <c r="H37" s="705" t="s">
        <v>400</v>
      </c>
      <c r="I37" s="49" t="s">
        <v>398</v>
      </c>
      <c r="J37" s="50">
        <v>0.7</v>
      </c>
      <c r="K37" s="44"/>
      <c r="L37" s="45"/>
      <c r="M37" s="46"/>
      <c r="N37" s="35"/>
      <c r="P37" s="57"/>
      <c r="Q37" s="709"/>
      <c r="R37" s="704"/>
      <c r="S37" s="47">
        <f>ROUND((ROUND((ROUND((_11_A身体０．５*_11・基礎１),0)*(1+_11・A早朝)),0)*_11・初任),0)+ROUND((ROUND((_11_B身体０．５＿２．０*_11・基礎１),0)*_11・初任),0)</f>
        <v>400</v>
      </c>
      <c r="T37" s="48"/>
    </row>
    <row r="38" spans="1:20" ht="16.5" customHeight="1" x14ac:dyDescent="0.15">
      <c r="A38" s="41">
        <v>11</v>
      </c>
      <c r="B38" s="41" t="s">
        <v>1276</v>
      </c>
      <c r="C38" s="42" t="s">
        <v>1277</v>
      </c>
      <c r="D38" s="72"/>
      <c r="E38" s="99"/>
      <c r="F38" s="72"/>
      <c r="G38" s="99"/>
      <c r="H38" s="711"/>
      <c r="I38" s="37"/>
      <c r="J38" s="38"/>
      <c r="K38" s="44" t="s">
        <v>397</v>
      </c>
      <c r="L38" s="45" t="s">
        <v>398</v>
      </c>
      <c r="M38" s="46">
        <v>1</v>
      </c>
      <c r="N38" s="35"/>
      <c r="P38" s="57"/>
      <c r="Q38" s="55" t="s">
        <v>398</v>
      </c>
      <c r="R38" s="38">
        <f>_11・初任</f>
        <v>0.7</v>
      </c>
      <c r="S38" s="47">
        <f>ROUND((ROUND((ROUND((ROUND((_11_A身体０．５*_11・基礎１),0)*_11・２人),0)*(1+_11・A早朝)),0)*_11・初任),0)+ROUND((ROUND((ROUND((_11_B身体０．５＿２．０*_11・基礎１),0)*_11・２人),0)*_11・初任),0)</f>
        <v>400</v>
      </c>
      <c r="T38" s="48"/>
    </row>
    <row r="39" spans="1:20" ht="16.5" customHeight="1" x14ac:dyDescent="0.15">
      <c r="A39" s="41">
        <v>11</v>
      </c>
      <c r="B39" s="41">
        <v>1379</v>
      </c>
      <c r="C39" s="74" t="s">
        <v>1278</v>
      </c>
      <c r="D39" s="72"/>
      <c r="E39" s="99"/>
      <c r="F39" s="707" t="s">
        <v>1279</v>
      </c>
      <c r="G39" s="717"/>
      <c r="H39" s="53"/>
      <c r="I39" s="49"/>
      <c r="J39" s="50"/>
      <c r="K39" s="44"/>
      <c r="L39" s="45"/>
      <c r="M39" s="46"/>
      <c r="N39" s="35"/>
      <c r="P39" s="57"/>
      <c r="Q39" s="53"/>
      <c r="R39" s="49"/>
      <c r="S39" s="47">
        <f>ROUND((_11_A身体０．５*(1+_11・A早朝)),0)+_11_B身体０．５＿２．５</f>
        <v>897</v>
      </c>
      <c r="T39" s="48"/>
    </row>
    <row r="40" spans="1:20" ht="16.5" customHeight="1" x14ac:dyDescent="0.15">
      <c r="A40" s="41">
        <v>11</v>
      </c>
      <c r="B40" s="41">
        <v>1380</v>
      </c>
      <c r="C40" s="74" t="s">
        <v>1280</v>
      </c>
      <c r="D40" s="72"/>
      <c r="E40" s="99"/>
      <c r="F40" s="709"/>
      <c r="G40" s="718"/>
      <c r="H40" s="43"/>
      <c r="I40" s="37"/>
      <c r="J40" s="38"/>
      <c r="K40" s="44" t="s">
        <v>397</v>
      </c>
      <c r="L40" s="45" t="s">
        <v>398</v>
      </c>
      <c r="M40" s="46">
        <v>1</v>
      </c>
      <c r="N40" s="35"/>
      <c r="P40" s="57"/>
      <c r="Q40" s="35"/>
      <c r="S40" s="47">
        <f>ROUND((ROUND((_11_A身体０．５*_11・２人),0)*(1+_11・A早朝)),0)+ROUND((_11_B身体０．５＿２．５*_11・２人),0)</f>
        <v>897</v>
      </c>
      <c r="T40" s="48"/>
    </row>
    <row r="41" spans="1:20" ht="16.5" customHeight="1" x14ac:dyDescent="0.15">
      <c r="A41" s="41">
        <v>11</v>
      </c>
      <c r="B41" s="41">
        <v>1381</v>
      </c>
      <c r="C41" s="74" t="s">
        <v>1281</v>
      </c>
      <c r="D41" s="72"/>
      <c r="E41" s="99"/>
      <c r="F41" s="709"/>
      <c r="G41" s="718"/>
      <c r="H41" s="705" t="s">
        <v>400</v>
      </c>
      <c r="I41" s="49" t="s">
        <v>398</v>
      </c>
      <c r="J41" s="50">
        <v>0.7</v>
      </c>
      <c r="K41" s="44"/>
      <c r="L41" s="45"/>
      <c r="M41" s="46"/>
      <c r="N41" s="35"/>
      <c r="P41" s="57"/>
      <c r="Q41" s="35"/>
      <c r="S41" s="47">
        <f>ROUND((ROUND((_11_A身体０．５*_11・基礎１),0)*(1+_11・A早朝)),0)+ROUND((_11_B身体０．５＿２．５*_11・基礎１),0)</f>
        <v>629</v>
      </c>
      <c r="T41" s="48"/>
    </row>
    <row r="42" spans="1:20" ht="16.5" customHeight="1" x14ac:dyDescent="0.15">
      <c r="A42" s="41">
        <v>11</v>
      </c>
      <c r="B42" s="41">
        <v>1382</v>
      </c>
      <c r="C42" s="74" t="s">
        <v>1282</v>
      </c>
      <c r="D42" s="72"/>
      <c r="E42" s="99"/>
      <c r="F42" s="100">
        <f>_11_B身体０．５＿２．５</f>
        <v>578</v>
      </c>
      <c r="G42" s="12" t="s">
        <v>392</v>
      </c>
      <c r="H42" s="711"/>
      <c r="I42" s="37"/>
      <c r="J42" s="38"/>
      <c r="K42" s="44" t="s">
        <v>397</v>
      </c>
      <c r="L42" s="45" t="s">
        <v>398</v>
      </c>
      <c r="M42" s="46">
        <v>1</v>
      </c>
      <c r="N42" s="35"/>
      <c r="P42" s="57"/>
      <c r="Q42" s="43"/>
      <c r="R42" s="37"/>
      <c r="S42" s="47">
        <f>ROUND((ROUND((ROUND((_11_A身体０．５*_11・基礎１),0)*_11・２人),0)*(1+_11・A早朝)),0)+ROUND((ROUND((_11_B身体０．５＿２．５*_11・基礎１),0)*_11・２人),0)</f>
        <v>629</v>
      </c>
      <c r="T42" s="48"/>
    </row>
    <row r="43" spans="1:20" ht="16.5" customHeight="1" x14ac:dyDescent="0.15">
      <c r="A43" s="41">
        <v>11</v>
      </c>
      <c r="B43" s="41" t="s">
        <v>1283</v>
      </c>
      <c r="C43" s="42" t="s">
        <v>1284</v>
      </c>
      <c r="D43" s="72"/>
      <c r="E43" s="99"/>
      <c r="F43" s="121"/>
      <c r="G43" s="99"/>
      <c r="H43" s="53"/>
      <c r="I43" s="49"/>
      <c r="J43" s="50"/>
      <c r="K43" s="44"/>
      <c r="L43" s="45"/>
      <c r="M43" s="46"/>
      <c r="N43" s="35"/>
      <c r="P43" s="57"/>
      <c r="Q43" s="707" t="s">
        <v>404</v>
      </c>
      <c r="R43" s="708"/>
      <c r="S43" s="47">
        <f>ROUND((ROUND((_11_A身体０．５*(1+_11・A早朝)),0)*_11・初任),0)+ROUND((_11_B身体０．５＿２．５*_11・初任),0)</f>
        <v>628</v>
      </c>
      <c r="T43" s="48"/>
    </row>
    <row r="44" spans="1:20" ht="16.5" customHeight="1" x14ac:dyDescent="0.15">
      <c r="A44" s="41">
        <v>11</v>
      </c>
      <c r="B44" s="41" t="s">
        <v>1285</v>
      </c>
      <c r="C44" s="42" t="s">
        <v>1286</v>
      </c>
      <c r="D44" s="72"/>
      <c r="E44" s="99"/>
      <c r="F44" s="121"/>
      <c r="G44" s="99"/>
      <c r="H44" s="43"/>
      <c r="I44" s="37"/>
      <c r="J44" s="38"/>
      <c r="K44" s="44" t="s">
        <v>397</v>
      </c>
      <c r="L44" s="45" t="s">
        <v>398</v>
      </c>
      <c r="M44" s="46">
        <v>1</v>
      </c>
      <c r="N44" s="35"/>
      <c r="P44" s="57"/>
      <c r="Q44" s="709"/>
      <c r="R44" s="704"/>
      <c r="S44" s="47">
        <f>ROUND((ROUND((ROUND((_11_A身体０．５*_11・２人),0)*(1+_11・A早朝)),0)*_11・初任),0)+ROUND((ROUND((_11_B身体０．５＿２．５*_11・２人),0)*_11・初任),0)</f>
        <v>628</v>
      </c>
      <c r="T44" s="48"/>
    </row>
    <row r="45" spans="1:20" ht="16.5" customHeight="1" x14ac:dyDescent="0.15">
      <c r="A45" s="41">
        <v>11</v>
      </c>
      <c r="B45" s="41" t="s">
        <v>1287</v>
      </c>
      <c r="C45" s="42" t="s">
        <v>1288</v>
      </c>
      <c r="D45" s="72"/>
      <c r="E45" s="99"/>
      <c r="F45" s="72"/>
      <c r="G45" s="99"/>
      <c r="H45" s="705" t="s">
        <v>400</v>
      </c>
      <c r="I45" s="49" t="s">
        <v>398</v>
      </c>
      <c r="J45" s="50">
        <v>0.7</v>
      </c>
      <c r="K45" s="44"/>
      <c r="L45" s="45"/>
      <c r="M45" s="46"/>
      <c r="N45" s="35"/>
      <c r="P45" s="57"/>
      <c r="Q45" s="709"/>
      <c r="R45" s="704"/>
      <c r="S45" s="47">
        <f>ROUND((ROUND((ROUND((_11_A身体０．５*_11・基礎１),0)*(1+_11・A早朝)),0)*_11・初任),0)+ROUND((ROUND((_11_B身体０．５＿２．５*_11・基礎１),0)*_11・初任),0)</f>
        <v>441</v>
      </c>
      <c r="T45" s="48"/>
    </row>
    <row r="46" spans="1:20" ht="16.5" customHeight="1" x14ac:dyDescent="0.15">
      <c r="A46" s="41">
        <v>11</v>
      </c>
      <c r="B46" s="41" t="s">
        <v>1289</v>
      </c>
      <c r="C46" s="42" t="s">
        <v>1290</v>
      </c>
      <c r="D46" s="72"/>
      <c r="E46" s="99"/>
      <c r="F46" s="72"/>
      <c r="G46" s="99"/>
      <c r="H46" s="711"/>
      <c r="I46" s="37"/>
      <c r="J46" s="38"/>
      <c r="K46" s="44" t="s">
        <v>397</v>
      </c>
      <c r="L46" s="45" t="s">
        <v>398</v>
      </c>
      <c r="M46" s="46">
        <v>1</v>
      </c>
      <c r="N46" s="35"/>
      <c r="P46" s="57"/>
      <c r="Q46" s="55" t="s">
        <v>398</v>
      </c>
      <c r="R46" s="38">
        <f>_11・初任</f>
        <v>0.7</v>
      </c>
      <c r="S46" s="47">
        <f>ROUND((ROUND((ROUND((ROUND((_11_A身体０．５*_11・基礎１),0)*_11・２人),0)*(1+_11・A早朝)),0)*_11・初任),0)+ROUND((ROUND((ROUND((_11_B身体０．５＿２．５*_11・基礎１),0)*_11・２人),0)*_11・初任),0)</f>
        <v>441</v>
      </c>
      <c r="T46" s="48"/>
    </row>
    <row r="47" spans="1:20" ht="16.5" customHeight="1" x14ac:dyDescent="0.15">
      <c r="A47" s="41">
        <v>11</v>
      </c>
      <c r="B47" s="41">
        <v>1383</v>
      </c>
      <c r="C47" s="74" t="s">
        <v>1291</v>
      </c>
      <c r="D47" s="707" t="s">
        <v>689</v>
      </c>
      <c r="E47" s="717"/>
      <c r="F47" s="707" t="s">
        <v>1226</v>
      </c>
      <c r="G47" s="717"/>
      <c r="H47" s="53"/>
      <c r="I47" s="49"/>
      <c r="J47" s="50"/>
      <c r="K47" s="44"/>
      <c r="L47" s="45"/>
      <c r="M47" s="46"/>
      <c r="N47" s="35"/>
      <c r="P47" s="57"/>
      <c r="Q47" s="53"/>
      <c r="R47" s="49"/>
      <c r="S47" s="47">
        <f>ROUND((_11_A身体１．０*(1+_11・A早朝)),0)+_11_B身体１．０＿０．５</f>
        <v>685</v>
      </c>
      <c r="T47" s="48"/>
    </row>
    <row r="48" spans="1:20" ht="16.5" customHeight="1" x14ac:dyDescent="0.15">
      <c r="A48" s="41">
        <v>11</v>
      </c>
      <c r="B48" s="41">
        <v>1384</v>
      </c>
      <c r="C48" s="74" t="s">
        <v>1292</v>
      </c>
      <c r="D48" s="709"/>
      <c r="E48" s="718"/>
      <c r="F48" s="709"/>
      <c r="G48" s="718"/>
      <c r="H48" s="43"/>
      <c r="I48" s="37"/>
      <c r="J48" s="38"/>
      <c r="K48" s="44" t="s">
        <v>397</v>
      </c>
      <c r="L48" s="45" t="s">
        <v>398</v>
      </c>
      <c r="M48" s="46">
        <v>1</v>
      </c>
      <c r="N48" s="35"/>
      <c r="P48" s="57"/>
      <c r="Q48" s="35"/>
      <c r="S48" s="47">
        <f>ROUND((ROUND((_11_A身体１．０*_11・２人),0)*(1+_11・A早朝)),0)+ROUND((_11_B身体１．０＿０．５*_11・２人),0)</f>
        <v>685</v>
      </c>
      <c r="T48" s="48"/>
    </row>
    <row r="49" spans="1:20" ht="16.5" customHeight="1" x14ac:dyDescent="0.15">
      <c r="A49" s="41">
        <v>11</v>
      </c>
      <c r="B49" s="41">
        <v>1385</v>
      </c>
      <c r="C49" s="74" t="s">
        <v>1293</v>
      </c>
      <c r="D49" s="709"/>
      <c r="E49" s="718"/>
      <c r="F49" s="709"/>
      <c r="G49" s="718"/>
      <c r="H49" s="705" t="s">
        <v>400</v>
      </c>
      <c r="I49" s="49" t="s">
        <v>398</v>
      </c>
      <c r="J49" s="50">
        <v>0.7</v>
      </c>
      <c r="K49" s="44"/>
      <c r="L49" s="45"/>
      <c r="M49" s="46"/>
      <c r="N49" s="35"/>
      <c r="P49" s="57"/>
      <c r="Q49" s="35"/>
      <c r="S49" s="47">
        <f>ROUND((ROUND((_11_A身体１．０*_11・基礎１),0)*(1+_11・A早朝)),0)+ROUND((_11_B身体１．０＿０．５*_11・基礎１),0)</f>
        <v>478</v>
      </c>
      <c r="T49" s="48"/>
    </row>
    <row r="50" spans="1:20" ht="16.5" customHeight="1" x14ac:dyDescent="0.15">
      <c r="A50" s="41">
        <v>11</v>
      </c>
      <c r="B50" s="41">
        <v>1386</v>
      </c>
      <c r="C50" s="74" t="s">
        <v>1294</v>
      </c>
      <c r="D50" s="100">
        <f>_11_A身体１．０</f>
        <v>402</v>
      </c>
      <c r="E50" s="12" t="s">
        <v>392</v>
      </c>
      <c r="F50" s="100">
        <f>_11_B身体１．０＿０．５</f>
        <v>182</v>
      </c>
      <c r="G50" s="12" t="s">
        <v>392</v>
      </c>
      <c r="H50" s="711"/>
      <c r="I50" s="37"/>
      <c r="J50" s="38"/>
      <c r="K50" s="44" t="s">
        <v>397</v>
      </c>
      <c r="L50" s="45" t="s">
        <v>398</v>
      </c>
      <c r="M50" s="46">
        <v>1</v>
      </c>
      <c r="N50" s="35"/>
      <c r="P50" s="57"/>
      <c r="Q50" s="43"/>
      <c r="R50" s="37"/>
      <c r="S50" s="47">
        <f>ROUND((ROUND((ROUND((_11_A身体１．０*_11・基礎１),0)*_11・２人),0)*(1+_11・A早朝)),0)+ROUND((ROUND((_11_B身体１．０＿０．５*_11・基礎１),0)*_11・２人),0)</f>
        <v>478</v>
      </c>
      <c r="T50" s="48"/>
    </row>
    <row r="51" spans="1:20" ht="16.5" customHeight="1" x14ac:dyDescent="0.15">
      <c r="A51" s="41">
        <v>11</v>
      </c>
      <c r="B51" s="41" t="s">
        <v>1295</v>
      </c>
      <c r="C51" s="42" t="s">
        <v>1296</v>
      </c>
      <c r="D51" s="121"/>
      <c r="E51" s="99"/>
      <c r="F51" s="121"/>
      <c r="G51" s="99"/>
      <c r="H51" s="53"/>
      <c r="I51" s="49"/>
      <c r="J51" s="50"/>
      <c r="K51" s="44"/>
      <c r="L51" s="45"/>
      <c r="M51" s="46"/>
      <c r="N51" s="35"/>
      <c r="P51" s="57"/>
      <c r="Q51" s="707" t="s">
        <v>404</v>
      </c>
      <c r="R51" s="708"/>
      <c r="S51" s="47">
        <f>ROUND((ROUND((_11_A身体１．０*(1+_11・A早朝)),0)*_11・初任),0)+ROUND((_11_B身体１．０＿０．５*_11・初任),0)</f>
        <v>479</v>
      </c>
      <c r="T51" s="48"/>
    </row>
    <row r="52" spans="1:20" ht="16.5" customHeight="1" x14ac:dyDescent="0.15">
      <c r="A52" s="41">
        <v>11</v>
      </c>
      <c r="B52" s="41" t="s">
        <v>1297</v>
      </c>
      <c r="C52" s="42" t="s">
        <v>1298</v>
      </c>
      <c r="D52" s="121"/>
      <c r="E52" s="99"/>
      <c r="F52" s="121"/>
      <c r="G52" s="99"/>
      <c r="H52" s="43"/>
      <c r="I52" s="37"/>
      <c r="J52" s="38"/>
      <c r="K52" s="44" t="s">
        <v>397</v>
      </c>
      <c r="L52" s="45" t="s">
        <v>398</v>
      </c>
      <c r="M52" s="46">
        <v>1</v>
      </c>
      <c r="N52" s="35"/>
      <c r="P52" s="57"/>
      <c r="Q52" s="709"/>
      <c r="R52" s="704"/>
      <c r="S52" s="47">
        <f>ROUND((ROUND((ROUND((_11_A身体１．０*_11・２人),0)*(1+_11・A早朝)),0)*_11・初任),0)+ROUND((ROUND((_11_B身体１．０＿０．５*_11・２人),0)*_11・初任),0)</f>
        <v>479</v>
      </c>
      <c r="T52" s="48"/>
    </row>
    <row r="53" spans="1:20" ht="16.5" customHeight="1" x14ac:dyDescent="0.15">
      <c r="A53" s="41">
        <v>11</v>
      </c>
      <c r="B53" s="41" t="s">
        <v>1299</v>
      </c>
      <c r="C53" s="42" t="s">
        <v>1300</v>
      </c>
      <c r="D53" s="72"/>
      <c r="E53" s="99"/>
      <c r="F53" s="72"/>
      <c r="G53" s="99"/>
      <c r="H53" s="705" t="s">
        <v>400</v>
      </c>
      <c r="I53" s="49" t="s">
        <v>398</v>
      </c>
      <c r="J53" s="50">
        <v>0.7</v>
      </c>
      <c r="K53" s="44"/>
      <c r="L53" s="45"/>
      <c r="M53" s="46"/>
      <c r="N53" s="35"/>
      <c r="P53" s="57"/>
      <c r="Q53" s="709"/>
      <c r="R53" s="704"/>
      <c r="S53" s="47">
        <f>ROUND((ROUND((ROUND((_11_A身体１．０*_11・基礎１),0)*(1+_11・A早朝)),0)*_11・初任),0)+ROUND((ROUND((_11_B身体１．０＿０．５*_11・基礎１),0)*_11・初任),0)</f>
        <v>335</v>
      </c>
      <c r="T53" s="48"/>
    </row>
    <row r="54" spans="1:20" ht="16.5" customHeight="1" x14ac:dyDescent="0.15">
      <c r="A54" s="41">
        <v>11</v>
      </c>
      <c r="B54" s="41" t="s">
        <v>1301</v>
      </c>
      <c r="C54" s="42" t="s">
        <v>1302</v>
      </c>
      <c r="D54" s="72"/>
      <c r="E54" s="99"/>
      <c r="F54" s="72"/>
      <c r="G54" s="99"/>
      <c r="H54" s="711"/>
      <c r="I54" s="37"/>
      <c r="J54" s="38"/>
      <c r="K54" s="44" t="s">
        <v>397</v>
      </c>
      <c r="L54" s="45" t="s">
        <v>398</v>
      </c>
      <c r="M54" s="46">
        <v>1</v>
      </c>
      <c r="N54" s="35"/>
      <c r="P54" s="57"/>
      <c r="Q54" s="55" t="s">
        <v>398</v>
      </c>
      <c r="R54" s="38">
        <f>_11・初任</f>
        <v>0.7</v>
      </c>
      <c r="S54" s="47">
        <f>ROUND((ROUND((ROUND((ROUND((_11_A身体１．０*_11・基礎１),0)*_11・２人),0)*(1+_11・A早朝)),0)*_11・初任),0)+ROUND((ROUND((ROUND((_11_B身体１．０＿０．５*_11・基礎１),0)*_11・２人),0)*_11・初任),0)</f>
        <v>335</v>
      </c>
      <c r="T54" s="48"/>
    </row>
    <row r="55" spans="1:20" ht="16.5" customHeight="1" x14ac:dyDescent="0.15">
      <c r="A55" s="41">
        <v>11</v>
      </c>
      <c r="B55" s="41">
        <v>1387</v>
      </c>
      <c r="C55" s="74" t="s">
        <v>1303</v>
      </c>
      <c r="D55" s="72"/>
      <c r="E55" s="99"/>
      <c r="F55" s="707" t="s">
        <v>1304</v>
      </c>
      <c r="G55" s="717"/>
      <c r="H55" s="53"/>
      <c r="I55" s="49"/>
      <c r="J55" s="50"/>
      <c r="K55" s="44"/>
      <c r="L55" s="45"/>
      <c r="M55" s="46"/>
      <c r="N55" s="35"/>
      <c r="P55" s="57"/>
      <c r="Q55" s="53"/>
      <c r="R55" s="49"/>
      <c r="S55" s="47">
        <f>ROUND((_11_A身体１．０*(1+_11・A早朝)),0)+_11_B身体１．０＿１．０</f>
        <v>767</v>
      </c>
      <c r="T55" s="48"/>
    </row>
    <row r="56" spans="1:20" ht="16.5" customHeight="1" x14ac:dyDescent="0.15">
      <c r="A56" s="41">
        <v>11</v>
      </c>
      <c r="B56" s="41">
        <v>1388</v>
      </c>
      <c r="C56" s="74" t="s">
        <v>1305</v>
      </c>
      <c r="D56" s="72"/>
      <c r="E56" s="99"/>
      <c r="F56" s="709"/>
      <c r="G56" s="718"/>
      <c r="H56" s="43"/>
      <c r="I56" s="37"/>
      <c r="J56" s="38"/>
      <c r="K56" s="44" t="s">
        <v>397</v>
      </c>
      <c r="L56" s="45" t="s">
        <v>398</v>
      </c>
      <c r="M56" s="46">
        <v>1</v>
      </c>
      <c r="N56" s="35"/>
      <c r="P56" s="57"/>
      <c r="Q56" s="35"/>
      <c r="S56" s="47">
        <f>ROUND((ROUND((_11_A身体１．０*_11・２人),0)*(1+_11・A早朝)),0)+ROUND((_11_B身体１．０＿１．０*_11・２人),0)</f>
        <v>767</v>
      </c>
      <c r="T56" s="48"/>
    </row>
    <row r="57" spans="1:20" ht="16.5" customHeight="1" x14ac:dyDescent="0.15">
      <c r="A57" s="41">
        <v>11</v>
      </c>
      <c r="B57" s="41">
        <v>1389</v>
      </c>
      <c r="C57" s="74" t="s">
        <v>1306</v>
      </c>
      <c r="D57" s="72"/>
      <c r="E57" s="99"/>
      <c r="F57" s="709"/>
      <c r="G57" s="718"/>
      <c r="H57" s="705" t="s">
        <v>400</v>
      </c>
      <c r="I57" s="49" t="s">
        <v>398</v>
      </c>
      <c r="J57" s="50">
        <v>0.7</v>
      </c>
      <c r="K57" s="44"/>
      <c r="L57" s="45"/>
      <c r="M57" s="46"/>
      <c r="N57" s="35"/>
      <c r="P57" s="57"/>
      <c r="Q57" s="35"/>
      <c r="S57" s="47">
        <f>ROUND((ROUND((_11_A身体１．０*_11・基礎１),0)*(1+_11・A早朝)),0)+ROUND((_11_B身体１．０＿１．０*_11・基礎１),0)</f>
        <v>536</v>
      </c>
      <c r="T57" s="48"/>
    </row>
    <row r="58" spans="1:20" ht="16.5" customHeight="1" x14ac:dyDescent="0.15">
      <c r="A58" s="41">
        <v>11</v>
      </c>
      <c r="B58" s="41">
        <v>1390</v>
      </c>
      <c r="C58" s="74" t="s">
        <v>1307</v>
      </c>
      <c r="D58" s="72"/>
      <c r="E58" s="99"/>
      <c r="F58" s="100">
        <f>_11_B身体１．０＿１．０</f>
        <v>264</v>
      </c>
      <c r="G58" s="12" t="s">
        <v>392</v>
      </c>
      <c r="H58" s="711"/>
      <c r="I58" s="37"/>
      <c r="J58" s="38"/>
      <c r="K58" s="44" t="s">
        <v>397</v>
      </c>
      <c r="L58" s="45" t="s">
        <v>398</v>
      </c>
      <c r="M58" s="46">
        <v>1</v>
      </c>
      <c r="N58" s="35"/>
      <c r="P58" s="57"/>
      <c r="Q58" s="43"/>
      <c r="R58" s="37"/>
      <c r="S58" s="47">
        <f>ROUND((ROUND((ROUND((_11_A身体１．０*_11・基礎１),0)*_11・２人),0)*(1+_11・A早朝)),0)+ROUND((ROUND((_11_B身体１．０＿１．０*_11・基礎１),0)*_11・２人),0)</f>
        <v>536</v>
      </c>
      <c r="T58" s="48"/>
    </row>
    <row r="59" spans="1:20" ht="16.5" customHeight="1" x14ac:dyDescent="0.15">
      <c r="A59" s="41">
        <v>11</v>
      </c>
      <c r="B59" s="41" t="s">
        <v>1308</v>
      </c>
      <c r="C59" s="42" t="s">
        <v>1309</v>
      </c>
      <c r="D59" s="72"/>
      <c r="E59" s="99"/>
      <c r="F59" s="121"/>
      <c r="G59" s="99"/>
      <c r="H59" s="53"/>
      <c r="I59" s="49"/>
      <c r="J59" s="50"/>
      <c r="K59" s="44"/>
      <c r="L59" s="45"/>
      <c r="M59" s="46"/>
      <c r="N59" s="35"/>
      <c r="P59" s="57"/>
      <c r="Q59" s="707" t="s">
        <v>404</v>
      </c>
      <c r="R59" s="708"/>
      <c r="S59" s="47">
        <f>ROUND((ROUND((_11_A身体１．０*(1+_11・A早朝)),0)*_11・初任),0)+ROUND((_11_B身体１．０＿１．０*_11・初任),0)</f>
        <v>537</v>
      </c>
      <c r="T59" s="48"/>
    </row>
    <row r="60" spans="1:20" ht="16.5" customHeight="1" x14ac:dyDescent="0.15">
      <c r="A60" s="41">
        <v>11</v>
      </c>
      <c r="B60" s="41" t="s">
        <v>1310</v>
      </c>
      <c r="C60" s="42" t="s">
        <v>1311</v>
      </c>
      <c r="D60" s="72"/>
      <c r="E60" s="99"/>
      <c r="F60" s="121"/>
      <c r="G60" s="99"/>
      <c r="H60" s="43"/>
      <c r="I60" s="37"/>
      <c r="J60" s="38"/>
      <c r="K60" s="44" t="s">
        <v>397</v>
      </c>
      <c r="L60" s="45" t="s">
        <v>398</v>
      </c>
      <c r="M60" s="46">
        <v>1</v>
      </c>
      <c r="N60" s="35"/>
      <c r="P60" s="57"/>
      <c r="Q60" s="709"/>
      <c r="R60" s="704"/>
      <c r="S60" s="47">
        <f>ROUND((ROUND((ROUND((_11_A身体１．０*_11・２人),0)*(1+_11・A早朝)),0)*_11・初任),0)+ROUND((ROUND((_11_B身体１．０＿１．０*_11・２人),0)*_11・初任),0)</f>
        <v>537</v>
      </c>
      <c r="T60" s="48"/>
    </row>
    <row r="61" spans="1:20" ht="16.5" customHeight="1" x14ac:dyDescent="0.15">
      <c r="A61" s="41">
        <v>11</v>
      </c>
      <c r="B61" s="41" t="s">
        <v>1312</v>
      </c>
      <c r="C61" s="42" t="s">
        <v>1313</v>
      </c>
      <c r="D61" s="72"/>
      <c r="E61" s="99"/>
      <c r="F61" s="72"/>
      <c r="G61" s="99"/>
      <c r="H61" s="705" t="s">
        <v>400</v>
      </c>
      <c r="I61" s="49" t="s">
        <v>398</v>
      </c>
      <c r="J61" s="50">
        <v>0.7</v>
      </c>
      <c r="K61" s="44"/>
      <c r="L61" s="45"/>
      <c r="M61" s="46"/>
      <c r="N61" s="35"/>
      <c r="P61" s="57"/>
      <c r="Q61" s="709"/>
      <c r="R61" s="704"/>
      <c r="S61" s="47">
        <f>ROUND((ROUND((ROUND((_11_A身体１．０*_11・基礎１),0)*(1+_11・A早朝)),0)*_11・初任),0)+ROUND((ROUND((_11_B身体１．０＿１．０*_11・基礎１),0)*_11・初任),0)</f>
        <v>376</v>
      </c>
      <c r="T61" s="48"/>
    </row>
    <row r="62" spans="1:20" ht="16.5" customHeight="1" x14ac:dyDescent="0.15">
      <c r="A62" s="41">
        <v>11</v>
      </c>
      <c r="B62" s="41" t="s">
        <v>1314</v>
      </c>
      <c r="C62" s="42" t="s">
        <v>1315</v>
      </c>
      <c r="D62" s="72"/>
      <c r="E62" s="99"/>
      <c r="F62" s="72"/>
      <c r="G62" s="99"/>
      <c r="H62" s="711"/>
      <c r="I62" s="37"/>
      <c r="J62" s="38"/>
      <c r="K62" s="44" t="s">
        <v>397</v>
      </c>
      <c r="L62" s="45" t="s">
        <v>398</v>
      </c>
      <c r="M62" s="46">
        <v>1</v>
      </c>
      <c r="N62" s="35"/>
      <c r="P62" s="57"/>
      <c r="Q62" s="55" t="s">
        <v>398</v>
      </c>
      <c r="R62" s="38">
        <f>_11・初任</f>
        <v>0.7</v>
      </c>
      <c r="S62" s="47">
        <f>ROUND((ROUND((ROUND((ROUND((_11_A身体１．０*_11・基礎１),0)*_11・２人),0)*(1+_11・A早朝)),0)*_11・初任),0)+ROUND((ROUND((ROUND((_11_B身体１．０＿１．０*_11・基礎１),0)*_11・２人),0)*_11・初任),0)</f>
        <v>376</v>
      </c>
      <c r="T62" s="48"/>
    </row>
    <row r="63" spans="1:20" ht="16.5" customHeight="1" x14ac:dyDescent="0.15">
      <c r="A63" s="41">
        <v>11</v>
      </c>
      <c r="B63" s="41">
        <v>1391</v>
      </c>
      <c r="C63" s="74" t="s">
        <v>1316</v>
      </c>
      <c r="D63" s="72"/>
      <c r="E63" s="99"/>
      <c r="F63" s="707" t="s">
        <v>1317</v>
      </c>
      <c r="G63" s="717"/>
      <c r="H63" s="53"/>
      <c r="I63" s="49"/>
      <c r="J63" s="50"/>
      <c r="K63" s="44"/>
      <c r="L63" s="45"/>
      <c r="M63" s="46"/>
      <c r="N63" s="35"/>
      <c r="P63" s="57"/>
      <c r="Q63" s="53"/>
      <c r="R63" s="49"/>
      <c r="S63" s="47">
        <f>ROUND((_11_A身体１．０*(1+_11・A早朝)),0)+_11_B身体１．０＿１．５</f>
        <v>851</v>
      </c>
      <c r="T63" s="48"/>
    </row>
    <row r="64" spans="1:20" ht="16.5" customHeight="1" x14ac:dyDescent="0.15">
      <c r="A64" s="41">
        <v>11</v>
      </c>
      <c r="B64" s="41">
        <v>1392</v>
      </c>
      <c r="C64" s="74" t="s">
        <v>1318</v>
      </c>
      <c r="D64" s="72"/>
      <c r="E64" s="99"/>
      <c r="F64" s="709"/>
      <c r="G64" s="718"/>
      <c r="H64" s="43"/>
      <c r="I64" s="37"/>
      <c r="J64" s="38"/>
      <c r="K64" s="44" t="s">
        <v>397</v>
      </c>
      <c r="L64" s="45" t="s">
        <v>398</v>
      </c>
      <c r="M64" s="46">
        <v>1</v>
      </c>
      <c r="N64" s="35"/>
      <c r="P64" s="57"/>
      <c r="Q64" s="35"/>
      <c r="S64" s="47">
        <f>ROUND((ROUND((_11_A身体１．０*_11・２人),0)*(1+_11・A早朝)),0)+ROUND((_11_B身体１．０＿１．５*_11・２人),0)</f>
        <v>851</v>
      </c>
      <c r="T64" s="48"/>
    </row>
    <row r="65" spans="1:20" ht="16.5" customHeight="1" x14ac:dyDescent="0.15">
      <c r="A65" s="41">
        <v>11</v>
      </c>
      <c r="B65" s="41">
        <v>1393</v>
      </c>
      <c r="C65" s="74" t="s">
        <v>1319</v>
      </c>
      <c r="D65" s="72"/>
      <c r="E65" s="99"/>
      <c r="F65" s="709"/>
      <c r="G65" s="718"/>
      <c r="H65" s="705" t="s">
        <v>400</v>
      </c>
      <c r="I65" s="49" t="s">
        <v>398</v>
      </c>
      <c r="J65" s="50">
        <v>0.7</v>
      </c>
      <c r="K65" s="44"/>
      <c r="L65" s="45"/>
      <c r="M65" s="46"/>
      <c r="N65" s="35"/>
      <c r="P65" s="57"/>
      <c r="Q65" s="35"/>
      <c r="S65" s="47">
        <f>ROUND((ROUND((_11_A身体１．０*_11・基礎１),0)*(1+_11・A早朝)),0)+ROUND((_11_B身体１．０＿１．５*_11・基礎１),0)</f>
        <v>595</v>
      </c>
      <c r="T65" s="48"/>
    </row>
    <row r="66" spans="1:20" ht="16.5" customHeight="1" x14ac:dyDescent="0.15">
      <c r="A66" s="41">
        <v>11</v>
      </c>
      <c r="B66" s="41">
        <v>1394</v>
      </c>
      <c r="C66" s="74" t="s">
        <v>1320</v>
      </c>
      <c r="D66" s="72"/>
      <c r="E66" s="99"/>
      <c r="F66" s="100">
        <f>_11_B身体１．０＿１．５</f>
        <v>348</v>
      </c>
      <c r="G66" s="12" t="s">
        <v>392</v>
      </c>
      <c r="H66" s="711"/>
      <c r="I66" s="37"/>
      <c r="J66" s="38"/>
      <c r="K66" s="44" t="s">
        <v>397</v>
      </c>
      <c r="L66" s="45" t="s">
        <v>398</v>
      </c>
      <c r="M66" s="46">
        <v>1</v>
      </c>
      <c r="N66" s="35"/>
      <c r="P66" s="57"/>
      <c r="Q66" s="43"/>
      <c r="R66" s="37"/>
      <c r="S66" s="47">
        <f>ROUND((ROUND((ROUND((_11_A身体１．０*_11・基礎１),0)*_11・２人),0)*(1+_11・A早朝)),0)+ROUND((ROUND((_11_B身体１．０＿１．５*_11・基礎１),0)*_11・２人),0)</f>
        <v>595</v>
      </c>
      <c r="T66" s="48"/>
    </row>
    <row r="67" spans="1:20" ht="16.5" customHeight="1" x14ac:dyDescent="0.15">
      <c r="A67" s="41">
        <v>11</v>
      </c>
      <c r="B67" s="41" t="s">
        <v>1321</v>
      </c>
      <c r="C67" s="42" t="s">
        <v>1322</v>
      </c>
      <c r="D67" s="72"/>
      <c r="E67" s="99"/>
      <c r="F67" s="121"/>
      <c r="G67" s="99"/>
      <c r="H67" s="53"/>
      <c r="I67" s="49"/>
      <c r="J67" s="50"/>
      <c r="K67" s="44"/>
      <c r="L67" s="45"/>
      <c r="M67" s="46"/>
      <c r="N67" s="35"/>
      <c r="P67" s="57"/>
      <c r="Q67" s="707" t="s">
        <v>404</v>
      </c>
      <c r="R67" s="708"/>
      <c r="S67" s="47">
        <f>ROUND((ROUND((_11_A身体１．０*(1+_11・A早朝)),0)*_11・初任),0)+ROUND((_11_B身体１．０＿１．５*_11・初任),0)</f>
        <v>596</v>
      </c>
      <c r="T67" s="48"/>
    </row>
    <row r="68" spans="1:20" ht="16.5" customHeight="1" x14ac:dyDescent="0.15">
      <c r="A68" s="41">
        <v>11</v>
      </c>
      <c r="B68" s="41" t="s">
        <v>1323</v>
      </c>
      <c r="C68" s="42" t="s">
        <v>1324</v>
      </c>
      <c r="D68" s="72"/>
      <c r="E68" s="99"/>
      <c r="F68" s="121"/>
      <c r="G68" s="99"/>
      <c r="H68" s="43"/>
      <c r="I68" s="37"/>
      <c r="J68" s="38"/>
      <c r="K68" s="44" t="s">
        <v>397</v>
      </c>
      <c r="L68" s="45" t="s">
        <v>398</v>
      </c>
      <c r="M68" s="46">
        <v>1</v>
      </c>
      <c r="N68" s="35"/>
      <c r="P68" s="57"/>
      <c r="Q68" s="709"/>
      <c r="R68" s="704"/>
      <c r="S68" s="47">
        <f>ROUND((ROUND((ROUND((_11_A身体１．０*_11・２人),0)*(1+_11・A早朝)),0)*_11・初任),0)+ROUND((ROUND((_11_B身体１．０＿１．５*_11・２人),0)*_11・初任),0)</f>
        <v>596</v>
      </c>
      <c r="T68" s="48"/>
    </row>
    <row r="69" spans="1:20" ht="16.5" customHeight="1" x14ac:dyDescent="0.15">
      <c r="A69" s="41">
        <v>11</v>
      </c>
      <c r="B69" s="41" t="s">
        <v>1325</v>
      </c>
      <c r="C69" s="42" t="s">
        <v>1326</v>
      </c>
      <c r="D69" s="72"/>
      <c r="E69" s="99"/>
      <c r="F69" s="72"/>
      <c r="G69" s="99"/>
      <c r="H69" s="705" t="s">
        <v>400</v>
      </c>
      <c r="I69" s="49" t="s">
        <v>398</v>
      </c>
      <c r="J69" s="50">
        <v>0.7</v>
      </c>
      <c r="K69" s="44"/>
      <c r="L69" s="45"/>
      <c r="M69" s="46"/>
      <c r="N69" s="35"/>
      <c r="P69" s="57"/>
      <c r="Q69" s="709"/>
      <c r="R69" s="704"/>
      <c r="S69" s="47">
        <f>ROUND((ROUND((ROUND((_11_A身体１．０*_11・基礎１),0)*(1+_11・A早朝)),0)*_11・初任),0)+ROUND((ROUND((_11_B身体１．０＿１．５*_11・基礎１),0)*_11・初任),0)</f>
        <v>417</v>
      </c>
      <c r="T69" s="48"/>
    </row>
    <row r="70" spans="1:20" ht="16.5" customHeight="1" x14ac:dyDescent="0.15">
      <c r="A70" s="41">
        <v>11</v>
      </c>
      <c r="B70" s="41" t="s">
        <v>1327</v>
      </c>
      <c r="C70" s="42" t="s">
        <v>1328</v>
      </c>
      <c r="D70" s="72"/>
      <c r="E70" s="99"/>
      <c r="F70" s="72"/>
      <c r="G70" s="99"/>
      <c r="H70" s="711"/>
      <c r="I70" s="37"/>
      <c r="J70" s="38"/>
      <c r="K70" s="44" t="s">
        <v>397</v>
      </c>
      <c r="L70" s="45" t="s">
        <v>398</v>
      </c>
      <c r="M70" s="46">
        <v>1</v>
      </c>
      <c r="N70" s="35"/>
      <c r="P70" s="57"/>
      <c r="Q70" s="55" t="s">
        <v>398</v>
      </c>
      <c r="R70" s="38">
        <f>_11・初任</f>
        <v>0.7</v>
      </c>
      <c r="S70" s="47">
        <f>ROUND((ROUND((ROUND((ROUND((_11_A身体１．０*_11・基礎１),0)*_11・２人),0)*(1+_11・A早朝)),0)*_11・初任),0)+ROUND((ROUND((ROUND((_11_B身体１．０＿１．５*_11・基礎１),0)*_11・２人),0)*_11・初任),0)</f>
        <v>417</v>
      </c>
      <c r="T70" s="48"/>
    </row>
    <row r="71" spans="1:20" ht="16.5" customHeight="1" x14ac:dyDescent="0.15">
      <c r="A71" s="41">
        <v>11</v>
      </c>
      <c r="B71" s="41">
        <v>1395</v>
      </c>
      <c r="C71" s="74" t="s">
        <v>1329</v>
      </c>
      <c r="D71" s="72"/>
      <c r="E71" s="99"/>
      <c r="F71" s="707" t="s">
        <v>1266</v>
      </c>
      <c r="G71" s="717"/>
      <c r="H71" s="53"/>
      <c r="I71" s="49"/>
      <c r="J71" s="50"/>
      <c r="K71" s="44"/>
      <c r="L71" s="45"/>
      <c r="M71" s="46"/>
      <c r="N71" s="35"/>
      <c r="P71" s="57"/>
      <c r="Q71" s="53"/>
      <c r="R71" s="49"/>
      <c r="S71" s="47">
        <f>ROUND((_11_A身体１．０*(1+_11・A早朝)),0)+_11_B身体１．０＿２．０</f>
        <v>934</v>
      </c>
      <c r="T71" s="48"/>
    </row>
    <row r="72" spans="1:20" ht="16.5" customHeight="1" x14ac:dyDescent="0.15">
      <c r="A72" s="41">
        <v>11</v>
      </c>
      <c r="B72" s="41">
        <v>1396</v>
      </c>
      <c r="C72" s="74" t="s">
        <v>1330</v>
      </c>
      <c r="D72" s="72"/>
      <c r="E72" s="99"/>
      <c r="F72" s="709"/>
      <c r="G72" s="718"/>
      <c r="H72" s="43"/>
      <c r="I72" s="37"/>
      <c r="J72" s="38"/>
      <c r="K72" s="44" t="s">
        <v>397</v>
      </c>
      <c r="L72" s="45" t="s">
        <v>398</v>
      </c>
      <c r="M72" s="46">
        <v>1</v>
      </c>
      <c r="N72" s="35"/>
      <c r="P72" s="57"/>
      <c r="Q72" s="35"/>
      <c r="S72" s="47">
        <f>ROUND((ROUND((_11_A身体１．０*_11・２人),0)*(1+_11・A早朝)),0)+ROUND((_11_B身体１．０＿２．０*_11・２人),0)</f>
        <v>934</v>
      </c>
      <c r="T72" s="48"/>
    </row>
    <row r="73" spans="1:20" ht="16.5" customHeight="1" x14ac:dyDescent="0.15">
      <c r="A73" s="41">
        <v>11</v>
      </c>
      <c r="B73" s="41">
        <v>1397</v>
      </c>
      <c r="C73" s="74" t="s">
        <v>1331</v>
      </c>
      <c r="D73" s="72"/>
      <c r="E73" s="99"/>
      <c r="F73" s="709"/>
      <c r="G73" s="718"/>
      <c r="H73" s="705" t="s">
        <v>400</v>
      </c>
      <c r="I73" s="49" t="s">
        <v>398</v>
      </c>
      <c r="J73" s="50">
        <v>0.7</v>
      </c>
      <c r="K73" s="44"/>
      <c r="L73" s="45"/>
      <c r="M73" s="46"/>
      <c r="N73" s="35"/>
      <c r="P73" s="57"/>
      <c r="Q73" s="35"/>
      <c r="S73" s="47">
        <f>ROUND((ROUND((_11_A身体１．０*_11・基礎１),0)*(1+_11・A早朝)),0)+ROUND((_11_B身体１．０＿２．０*_11・基礎１),0)</f>
        <v>653</v>
      </c>
      <c r="T73" s="48"/>
    </row>
    <row r="74" spans="1:20" ht="16.5" customHeight="1" x14ac:dyDescent="0.15">
      <c r="A74" s="41">
        <v>11</v>
      </c>
      <c r="B74" s="41">
        <v>1398</v>
      </c>
      <c r="C74" s="74" t="s">
        <v>1332</v>
      </c>
      <c r="D74" s="72"/>
      <c r="E74" s="99"/>
      <c r="F74" s="100">
        <f>_11_B身体１．０＿２．０</f>
        <v>431</v>
      </c>
      <c r="G74" s="12" t="s">
        <v>392</v>
      </c>
      <c r="H74" s="711"/>
      <c r="I74" s="37"/>
      <c r="J74" s="38"/>
      <c r="K74" s="44" t="s">
        <v>397</v>
      </c>
      <c r="L74" s="45" t="s">
        <v>398</v>
      </c>
      <c r="M74" s="46">
        <v>1</v>
      </c>
      <c r="N74" s="35"/>
      <c r="P74" s="57"/>
      <c r="Q74" s="43"/>
      <c r="R74" s="37"/>
      <c r="S74" s="47">
        <f>ROUND((ROUND((ROUND((_11_A身体１．０*_11・基礎１),0)*_11・２人),0)*(1+_11・A早朝)),0)+ROUND((ROUND((_11_B身体１．０＿２．０*_11・基礎１),0)*_11・２人),0)</f>
        <v>653</v>
      </c>
      <c r="T74" s="48"/>
    </row>
    <row r="75" spans="1:20" ht="16.5" customHeight="1" x14ac:dyDescent="0.15">
      <c r="A75" s="41">
        <v>11</v>
      </c>
      <c r="B75" s="41" t="s">
        <v>1333</v>
      </c>
      <c r="C75" s="42" t="s">
        <v>1334</v>
      </c>
      <c r="D75" s="72"/>
      <c r="E75" s="99"/>
      <c r="F75" s="121"/>
      <c r="G75" s="99"/>
      <c r="H75" s="53"/>
      <c r="I75" s="49"/>
      <c r="J75" s="50"/>
      <c r="K75" s="44"/>
      <c r="L75" s="45"/>
      <c r="M75" s="46"/>
      <c r="N75" s="35"/>
      <c r="P75" s="57"/>
      <c r="Q75" s="707" t="s">
        <v>404</v>
      </c>
      <c r="R75" s="708"/>
      <c r="S75" s="47">
        <f>ROUND((ROUND((_11_A身体１．０*(1+_11・A早朝)),0)*_11・初任),0)+ROUND((_11_B身体１．０＿２．０*_11・初任),0)</f>
        <v>654</v>
      </c>
      <c r="T75" s="48"/>
    </row>
    <row r="76" spans="1:20" ht="16.5" customHeight="1" x14ac:dyDescent="0.15">
      <c r="A76" s="41">
        <v>11</v>
      </c>
      <c r="B76" s="41" t="s">
        <v>1335</v>
      </c>
      <c r="C76" s="42" t="s">
        <v>1336</v>
      </c>
      <c r="D76" s="72"/>
      <c r="E76" s="99"/>
      <c r="F76" s="121"/>
      <c r="G76" s="99"/>
      <c r="H76" s="43"/>
      <c r="I76" s="37"/>
      <c r="J76" s="38"/>
      <c r="K76" s="44" t="s">
        <v>397</v>
      </c>
      <c r="L76" s="45" t="s">
        <v>398</v>
      </c>
      <c r="M76" s="46">
        <v>1</v>
      </c>
      <c r="N76" s="35"/>
      <c r="P76" s="57"/>
      <c r="Q76" s="709"/>
      <c r="R76" s="704"/>
      <c r="S76" s="47">
        <f>ROUND((ROUND((ROUND((_11_A身体１．０*_11・２人),0)*(1+_11・A早朝)),0)*_11・初任),0)+ROUND((ROUND((_11_B身体１．０＿２．０*_11・２人),0)*_11・初任),0)</f>
        <v>654</v>
      </c>
      <c r="T76" s="48"/>
    </row>
    <row r="77" spans="1:20" ht="16.5" customHeight="1" x14ac:dyDescent="0.15">
      <c r="A77" s="41">
        <v>11</v>
      </c>
      <c r="B77" s="41" t="s">
        <v>1337</v>
      </c>
      <c r="C77" s="42" t="s">
        <v>1338</v>
      </c>
      <c r="D77" s="72"/>
      <c r="E77" s="99"/>
      <c r="F77" s="72"/>
      <c r="G77" s="99"/>
      <c r="H77" s="705" t="s">
        <v>400</v>
      </c>
      <c r="I77" s="49" t="s">
        <v>398</v>
      </c>
      <c r="J77" s="50">
        <v>0.7</v>
      </c>
      <c r="K77" s="44"/>
      <c r="L77" s="45"/>
      <c r="M77" s="46"/>
      <c r="N77" s="35"/>
      <c r="P77" s="57"/>
      <c r="Q77" s="709"/>
      <c r="R77" s="704"/>
      <c r="S77" s="47">
        <f>ROUND((ROUND((ROUND((_11_A身体１．０*_11・基礎１),0)*(1+_11・A早朝)),0)*_11・初任),0)+ROUND((ROUND((_11_B身体１．０＿２．０*_11・基礎１),0)*_11・初任),0)</f>
        <v>457</v>
      </c>
      <c r="T77" s="48"/>
    </row>
    <row r="78" spans="1:20" ht="16.5" customHeight="1" x14ac:dyDescent="0.15">
      <c r="A78" s="41">
        <v>11</v>
      </c>
      <c r="B78" s="41" t="s">
        <v>1339</v>
      </c>
      <c r="C78" s="42" t="s">
        <v>1340</v>
      </c>
      <c r="D78" s="122"/>
      <c r="E78" s="111"/>
      <c r="F78" s="122"/>
      <c r="G78" s="111"/>
      <c r="H78" s="711"/>
      <c r="I78" s="37"/>
      <c r="J78" s="38"/>
      <c r="K78" s="44" t="s">
        <v>397</v>
      </c>
      <c r="L78" s="45" t="s">
        <v>398</v>
      </c>
      <c r="M78" s="46">
        <v>1</v>
      </c>
      <c r="N78" s="43"/>
      <c r="O78" s="38"/>
      <c r="P78" s="79"/>
      <c r="Q78" s="55" t="s">
        <v>398</v>
      </c>
      <c r="R78" s="38">
        <f>_11・初任</f>
        <v>0.7</v>
      </c>
      <c r="S78" s="47">
        <f>ROUND((ROUND((ROUND((ROUND((_11_A身体１．０*_11・基礎１),0)*_11・２人),0)*(1+_11・A早朝)),0)*_11・初任),0)+ROUND((ROUND((ROUND((_11_B身体１．０＿２．０*_11・基礎１),0)*_11・２人),0)*_11・初任),0)</f>
        <v>457</v>
      </c>
      <c r="T78" s="63"/>
    </row>
    <row r="79" spans="1:20" ht="16.5" customHeight="1" x14ac:dyDescent="0.15">
      <c r="A79" s="33">
        <v>11</v>
      </c>
      <c r="B79" s="33">
        <v>1399</v>
      </c>
      <c r="C79" s="34" t="s">
        <v>1341</v>
      </c>
      <c r="D79" s="709" t="s">
        <v>702</v>
      </c>
      <c r="E79" s="718"/>
      <c r="F79" s="709" t="s">
        <v>1226</v>
      </c>
      <c r="G79" s="718"/>
      <c r="H79" s="35"/>
      <c r="K79" s="36"/>
      <c r="L79" s="37"/>
      <c r="M79" s="38"/>
      <c r="N79" s="114" t="s">
        <v>1227</v>
      </c>
      <c r="O79" s="50"/>
      <c r="P79" s="115"/>
      <c r="Q79" s="35"/>
      <c r="S79" s="39">
        <f>ROUND((_11_A身体１．５*(1+_11・A早朝)),0)+_11_B身体１．５＿０．５</f>
        <v>812</v>
      </c>
      <c r="T79" s="48"/>
    </row>
    <row r="80" spans="1:20" ht="16.5" customHeight="1" x14ac:dyDescent="0.15">
      <c r="A80" s="41">
        <v>11</v>
      </c>
      <c r="B80" s="41">
        <v>1400</v>
      </c>
      <c r="C80" s="74" t="s">
        <v>1342</v>
      </c>
      <c r="D80" s="709"/>
      <c r="E80" s="718"/>
      <c r="F80" s="709"/>
      <c r="G80" s="718"/>
      <c r="H80" s="43"/>
      <c r="I80" s="37"/>
      <c r="J80" s="38"/>
      <c r="K80" s="44" t="s">
        <v>397</v>
      </c>
      <c r="L80" s="45" t="s">
        <v>398</v>
      </c>
      <c r="M80" s="46">
        <v>1</v>
      </c>
      <c r="N80" s="35" t="s">
        <v>398</v>
      </c>
      <c r="O80" s="13">
        <v>0.25</v>
      </c>
      <c r="P80" s="728" t="s">
        <v>676</v>
      </c>
      <c r="Q80" s="35"/>
      <c r="S80" s="47">
        <f>ROUND((ROUND((_11_A身体１．５*_11・２人),0)*(1+_11・A早朝)),0)+ROUND((_11_B身体１．５＿０．５*_11・２人),0)</f>
        <v>812</v>
      </c>
      <c r="T80" s="48"/>
    </row>
    <row r="81" spans="1:20" ht="16.5" customHeight="1" x14ac:dyDescent="0.15">
      <c r="A81" s="41">
        <v>11</v>
      </c>
      <c r="B81" s="41">
        <v>1401</v>
      </c>
      <c r="C81" s="74" t="s">
        <v>1343</v>
      </c>
      <c r="D81" s="709"/>
      <c r="E81" s="718"/>
      <c r="F81" s="709"/>
      <c r="G81" s="718"/>
      <c r="H81" s="705" t="s">
        <v>400</v>
      </c>
      <c r="I81" s="49" t="s">
        <v>398</v>
      </c>
      <c r="J81" s="50">
        <v>0.7</v>
      </c>
      <c r="K81" s="44"/>
      <c r="L81" s="45"/>
      <c r="M81" s="46"/>
      <c r="N81" s="35"/>
      <c r="P81" s="728"/>
      <c r="Q81" s="35"/>
      <c r="S81" s="47">
        <f>ROUND((ROUND((_11_A身体１．５*_11・基礎１),0)*(1+_11・A早朝)),0)+ROUND((_11_B身体１．５＿０．５*_11・基礎１),0)</f>
        <v>568</v>
      </c>
      <c r="T81" s="48"/>
    </row>
    <row r="82" spans="1:20" ht="16.5" customHeight="1" x14ac:dyDescent="0.15">
      <c r="A82" s="41">
        <v>11</v>
      </c>
      <c r="B82" s="41">
        <v>1402</v>
      </c>
      <c r="C82" s="74" t="s">
        <v>1344</v>
      </c>
      <c r="D82" s="100">
        <f>_11_A身体１．５</f>
        <v>584</v>
      </c>
      <c r="E82" s="12" t="s">
        <v>392</v>
      </c>
      <c r="F82" s="100">
        <f>_11_B身体１．５＿０．５</f>
        <v>82</v>
      </c>
      <c r="G82" s="12" t="s">
        <v>392</v>
      </c>
      <c r="H82" s="711"/>
      <c r="I82" s="37"/>
      <c r="J82" s="38"/>
      <c r="K82" s="44" t="s">
        <v>397</v>
      </c>
      <c r="L82" s="45" t="s">
        <v>398</v>
      </c>
      <c r="M82" s="46">
        <v>1</v>
      </c>
      <c r="N82" s="35"/>
      <c r="P82" s="57"/>
      <c r="Q82" s="43"/>
      <c r="R82" s="37"/>
      <c r="S82" s="47">
        <f>ROUND((ROUND((ROUND((_11_A身体１．５*_11・基礎１),0)*_11・２人),0)*(1+_11・A早朝)),0)+ROUND((ROUND((_11_B身体１．５＿０．５*_11・基礎１),0)*_11・２人),0)</f>
        <v>568</v>
      </c>
      <c r="T82" s="48"/>
    </row>
    <row r="83" spans="1:20" ht="16.5" customHeight="1" x14ac:dyDescent="0.15">
      <c r="A83" s="41">
        <v>11</v>
      </c>
      <c r="B83" s="41" t="s">
        <v>1345</v>
      </c>
      <c r="C83" s="42" t="s">
        <v>1346</v>
      </c>
      <c r="D83" s="121"/>
      <c r="E83" s="99"/>
      <c r="F83" s="121"/>
      <c r="G83" s="99"/>
      <c r="H83" s="53"/>
      <c r="I83" s="49"/>
      <c r="J83" s="50"/>
      <c r="K83" s="44"/>
      <c r="L83" s="45"/>
      <c r="M83" s="46"/>
      <c r="N83" s="35"/>
      <c r="P83" s="57"/>
      <c r="Q83" s="707" t="s">
        <v>404</v>
      </c>
      <c r="R83" s="708"/>
      <c r="S83" s="47">
        <f>ROUND((ROUND((_11_A身体１．５*(1+_11・A早朝)),0)*_11・初任),0)+ROUND((_11_B身体１．５＿０．５*_11・初任),0)</f>
        <v>568</v>
      </c>
      <c r="T83" s="48"/>
    </row>
    <row r="84" spans="1:20" ht="16.5" customHeight="1" x14ac:dyDescent="0.15">
      <c r="A84" s="41">
        <v>11</v>
      </c>
      <c r="B84" s="41" t="s">
        <v>1347</v>
      </c>
      <c r="C84" s="42" t="s">
        <v>1348</v>
      </c>
      <c r="D84" s="121"/>
      <c r="E84" s="99"/>
      <c r="F84" s="121"/>
      <c r="G84" s="99"/>
      <c r="H84" s="43"/>
      <c r="I84" s="37"/>
      <c r="J84" s="38"/>
      <c r="K84" s="44" t="s">
        <v>397</v>
      </c>
      <c r="L84" s="45" t="s">
        <v>398</v>
      </c>
      <c r="M84" s="46">
        <v>1</v>
      </c>
      <c r="N84" s="35"/>
      <c r="P84" s="57"/>
      <c r="Q84" s="709"/>
      <c r="R84" s="704"/>
      <c r="S84" s="47">
        <f>ROUND((ROUND((ROUND((_11_A身体１．５*_11・２人),0)*(1+_11・A早朝)),0)*_11・初任),0)+ROUND((ROUND((_11_B身体１．５＿０．５*_11・２人),0)*_11・初任),0)</f>
        <v>568</v>
      </c>
      <c r="T84" s="48"/>
    </row>
    <row r="85" spans="1:20" ht="16.5" customHeight="1" x14ac:dyDescent="0.15">
      <c r="A85" s="41">
        <v>11</v>
      </c>
      <c r="B85" s="41" t="s">
        <v>1349</v>
      </c>
      <c r="C85" s="42" t="s">
        <v>1350</v>
      </c>
      <c r="D85" s="72"/>
      <c r="E85" s="99"/>
      <c r="F85" s="72"/>
      <c r="G85" s="99"/>
      <c r="H85" s="705" t="s">
        <v>400</v>
      </c>
      <c r="I85" s="49" t="s">
        <v>398</v>
      </c>
      <c r="J85" s="50">
        <v>0.7</v>
      </c>
      <c r="K85" s="44"/>
      <c r="L85" s="45"/>
      <c r="M85" s="46"/>
      <c r="N85" s="35"/>
      <c r="P85" s="57"/>
      <c r="Q85" s="709"/>
      <c r="R85" s="704"/>
      <c r="S85" s="47">
        <f>ROUND((ROUND((ROUND((_11_A身体１．５*_11・基礎１),0)*(1+_11・A早朝)),0)*_11・初任),0)+ROUND((ROUND((_11_B身体１．５＿０．５*_11・基礎１),0)*_11・初任),0)</f>
        <v>398</v>
      </c>
      <c r="T85" s="48"/>
    </row>
    <row r="86" spans="1:20" ht="16.5" customHeight="1" x14ac:dyDescent="0.15">
      <c r="A86" s="41">
        <v>11</v>
      </c>
      <c r="B86" s="41" t="s">
        <v>1351</v>
      </c>
      <c r="C86" s="42" t="s">
        <v>1352</v>
      </c>
      <c r="D86" s="72"/>
      <c r="E86" s="99"/>
      <c r="F86" s="72"/>
      <c r="G86" s="99"/>
      <c r="H86" s="711"/>
      <c r="I86" s="37"/>
      <c r="J86" s="38"/>
      <c r="K86" s="44" t="s">
        <v>397</v>
      </c>
      <c r="L86" s="45" t="s">
        <v>398</v>
      </c>
      <c r="M86" s="46">
        <v>1</v>
      </c>
      <c r="N86" s="35"/>
      <c r="P86" s="57"/>
      <c r="Q86" s="55" t="s">
        <v>398</v>
      </c>
      <c r="R86" s="38">
        <f>_11・初任</f>
        <v>0.7</v>
      </c>
      <c r="S86" s="47">
        <f>ROUND((ROUND((ROUND((ROUND((_11_A身体１．５*_11・基礎１),0)*_11・２人),0)*(1+_11・A早朝)),0)*_11・初任),0)+ROUND((ROUND((ROUND((_11_B身体１．５＿０．５*_11・基礎１),0)*_11・２人),0)*_11・初任),0)</f>
        <v>398</v>
      </c>
      <c r="T86" s="48"/>
    </row>
    <row r="87" spans="1:20" ht="16.5" customHeight="1" x14ac:dyDescent="0.15">
      <c r="A87" s="41">
        <v>11</v>
      </c>
      <c r="B87" s="41">
        <v>1403</v>
      </c>
      <c r="C87" s="74" t="s">
        <v>1353</v>
      </c>
      <c r="D87" s="72"/>
      <c r="E87" s="99"/>
      <c r="F87" s="707" t="s">
        <v>1304</v>
      </c>
      <c r="G87" s="717"/>
      <c r="H87" s="53"/>
      <c r="I87" s="49"/>
      <c r="J87" s="50"/>
      <c r="K87" s="44"/>
      <c r="L87" s="45"/>
      <c r="M87" s="46"/>
      <c r="N87" s="35"/>
      <c r="P87" s="57"/>
      <c r="Q87" s="53"/>
      <c r="R87" s="49"/>
      <c r="S87" s="47">
        <f>ROUND((_11_A身体１．５*(1+_11・A早朝)),0)+_11_B身体１．５＿１．０</f>
        <v>896</v>
      </c>
      <c r="T87" s="48"/>
    </row>
    <row r="88" spans="1:20" ht="16.5" customHeight="1" x14ac:dyDescent="0.15">
      <c r="A88" s="41">
        <v>11</v>
      </c>
      <c r="B88" s="41">
        <v>1404</v>
      </c>
      <c r="C88" s="74" t="s">
        <v>1354</v>
      </c>
      <c r="D88" s="72"/>
      <c r="E88" s="99"/>
      <c r="F88" s="709"/>
      <c r="G88" s="718"/>
      <c r="H88" s="43"/>
      <c r="I88" s="37"/>
      <c r="J88" s="38"/>
      <c r="K88" s="44" t="s">
        <v>397</v>
      </c>
      <c r="L88" s="45" t="s">
        <v>398</v>
      </c>
      <c r="M88" s="46">
        <v>1</v>
      </c>
      <c r="N88" s="35"/>
      <c r="P88" s="57"/>
      <c r="Q88" s="35"/>
      <c r="S88" s="47">
        <f>ROUND((ROUND((_11_A身体１．５*_11・２人),0)*(1+_11・A早朝)),0)+ROUND((_11_B身体１．５＿１．０*_11・２人),0)</f>
        <v>896</v>
      </c>
      <c r="T88" s="48"/>
    </row>
    <row r="89" spans="1:20" ht="16.5" customHeight="1" x14ac:dyDescent="0.15">
      <c r="A89" s="41">
        <v>11</v>
      </c>
      <c r="B89" s="41">
        <v>1405</v>
      </c>
      <c r="C89" s="74" t="s">
        <v>1355</v>
      </c>
      <c r="D89" s="72"/>
      <c r="E89" s="99"/>
      <c r="F89" s="709"/>
      <c r="G89" s="718"/>
      <c r="H89" s="705" t="s">
        <v>400</v>
      </c>
      <c r="I89" s="49" t="s">
        <v>398</v>
      </c>
      <c r="J89" s="50">
        <v>0.7</v>
      </c>
      <c r="K89" s="44"/>
      <c r="L89" s="45"/>
      <c r="M89" s="46"/>
      <c r="N89" s="35"/>
      <c r="P89" s="57"/>
      <c r="Q89" s="35"/>
      <c r="S89" s="47">
        <f>ROUND((ROUND((_11_A身体１．５*_11・基礎１),0)*(1+_11・A早朝)),0)+ROUND((_11_B身体１．５＿１．０*_11・基礎１),0)</f>
        <v>627</v>
      </c>
      <c r="T89" s="48"/>
    </row>
    <row r="90" spans="1:20" ht="16.5" customHeight="1" x14ac:dyDescent="0.15">
      <c r="A90" s="41">
        <v>11</v>
      </c>
      <c r="B90" s="41">
        <v>1406</v>
      </c>
      <c r="C90" s="74" t="s">
        <v>1356</v>
      </c>
      <c r="D90" s="72"/>
      <c r="E90" s="99"/>
      <c r="F90" s="100">
        <f>_11_B身体１．５＿１．０</f>
        <v>166</v>
      </c>
      <c r="G90" s="12" t="s">
        <v>392</v>
      </c>
      <c r="H90" s="711"/>
      <c r="I90" s="37"/>
      <c r="J90" s="38"/>
      <c r="K90" s="44" t="s">
        <v>397</v>
      </c>
      <c r="L90" s="45" t="s">
        <v>398</v>
      </c>
      <c r="M90" s="46">
        <v>1</v>
      </c>
      <c r="N90" s="35"/>
      <c r="P90" s="57"/>
      <c r="Q90" s="43"/>
      <c r="R90" s="37"/>
      <c r="S90" s="47">
        <f>ROUND((ROUND((ROUND((_11_A身体１．５*_11・基礎１),0)*_11・２人),0)*(1+_11・A早朝)),0)+ROUND((ROUND((_11_B身体１．５＿１．０*_11・基礎１),0)*_11・２人),0)</f>
        <v>627</v>
      </c>
      <c r="T90" s="48"/>
    </row>
    <row r="91" spans="1:20" ht="16.5" customHeight="1" x14ac:dyDescent="0.15">
      <c r="A91" s="41">
        <v>11</v>
      </c>
      <c r="B91" s="41" t="s">
        <v>1357</v>
      </c>
      <c r="C91" s="42" t="s">
        <v>1358</v>
      </c>
      <c r="D91" s="72"/>
      <c r="E91" s="99"/>
      <c r="F91" s="121"/>
      <c r="G91" s="99"/>
      <c r="H91" s="53"/>
      <c r="I91" s="49"/>
      <c r="J91" s="50"/>
      <c r="K91" s="44"/>
      <c r="L91" s="45"/>
      <c r="M91" s="46"/>
      <c r="N91" s="35"/>
      <c r="P91" s="57"/>
      <c r="Q91" s="707" t="s">
        <v>404</v>
      </c>
      <c r="R91" s="708"/>
      <c r="S91" s="47">
        <f>ROUND((ROUND((_11_A身体１．５*(1+_11・A早朝)),0)*_11・初任),0)+ROUND((_11_B身体１．５＿１．０*_11・初任),0)</f>
        <v>627</v>
      </c>
      <c r="T91" s="48"/>
    </row>
    <row r="92" spans="1:20" ht="16.5" customHeight="1" x14ac:dyDescent="0.15">
      <c r="A92" s="41">
        <v>11</v>
      </c>
      <c r="B92" s="41" t="s">
        <v>1359</v>
      </c>
      <c r="C92" s="42" t="s">
        <v>1360</v>
      </c>
      <c r="D92" s="72"/>
      <c r="E92" s="99"/>
      <c r="F92" s="121"/>
      <c r="G92" s="99"/>
      <c r="H92" s="43"/>
      <c r="I92" s="37"/>
      <c r="J92" s="38"/>
      <c r="K92" s="44" t="s">
        <v>397</v>
      </c>
      <c r="L92" s="45" t="s">
        <v>398</v>
      </c>
      <c r="M92" s="46">
        <v>1</v>
      </c>
      <c r="N92" s="35"/>
      <c r="P92" s="57"/>
      <c r="Q92" s="709"/>
      <c r="R92" s="704"/>
      <c r="S92" s="47">
        <f>ROUND((ROUND((ROUND((_11_A身体１．５*_11・２人),0)*(1+_11・A早朝)),0)*_11・初任),0)+ROUND((ROUND((_11_B身体１．５＿１．０*_11・２人),0)*_11・初任),0)</f>
        <v>627</v>
      </c>
      <c r="T92" s="48"/>
    </row>
    <row r="93" spans="1:20" ht="16.5" customHeight="1" x14ac:dyDescent="0.15">
      <c r="A93" s="41">
        <v>11</v>
      </c>
      <c r="B93" s="41" t="s">
        <v>1361</v>
      </c>
      <c r="C93" s="42" t="s">
        <v>1362</v>
      </c>
      <c r="D93" s="72"/>
      <c r="E93" s="99"/>
      <c r="F93" s="72"/>
      <c r="G93" s="99"/>
      <c r="H93" s="705" t="s">
        <v>400</v>
      </c>
      <c r="I93" s="49" t="s">
        <v>398</v>
      </c>
      <c r="J93" s="50">
        <v>0.7</v>
      </c>
      <c r="K93" s="44"/>
      <c r="L93" s="45"/>
      <c r="M93" s="46"/>
      <c r="N93" s="35"/>
      <c r="P93" s="57"/>
      <c r="Q93" s="709"/>
      <c r="R93" s="704"/>
      <c r="S93" s="47">
        <f>ROUND((ROUND((ROUND((_11_A身体１．５*_11・基礎１),0)*(1+_11・A早朝)),0)*_11・初任),0)+ROUND((ROUND((_11_B身体１．５＿１．０*_11・基礎１),0)*_11・初任),0)</f>
        <v>439</v>
      </c>
      <c r="T93" s="48"/>
    </row>
    <row r="94" spans="1:20" ht="16.5" customHeight="1" x14ac:dyDescent="0.15">
      <c r="A94" s="41">
        <v>11</v>
      </c>
      <c r="B94" s="41" t="s">
        <v>1363</v>
      </c>
      <c r="C94" s="42" t="s">
        <v>1364</v>
      </c>
      <c r="D94" s="72"/>
      <c r="E94" s="99"/>
      <c r="F94" s="72"/>
      <c r="G94" s="99"/>
      <c r="H94" s="711"/>
      <c r="I94" s="37"/>
      <c r="J94" s="38"/>
      <c r="K94" s="44" t="s">
        <v>397</v>
      </c>
      <c r="L94" s="45" t="s">
        <v>398</v>
      </c>
      <c r="M94" s="46">
        <v>1</v>
      </c>
      <c r="N94" s="35"/>
      <c r="P94" s="57"/>
      <c r="Q94" s="55" t="s">
        <v>398</v>
      </c>
      <c r="R94" s="38">
        <f>_11・初任</f>
        <v>0.7</v>
      </c>
      <c r="S94" s="47">
        <f>ROUND((ROUND((ROUND((ROUND((_11_A身体１．５*_11・基礎１),0)*_11・２人),0)*(1+_11・A早朝)),0)*_11・初任),0)+ROUND((ROUND((ROUND((_11_B身体１．５＿１．０*_11・基礎１),0)*_11・２人),0)*_11・初任),0)</f>
        <v>439</v>
      </c>
      <c r="T94" s="48"/>
    </row>
    <row r="95" spans="1:20" ht="16.5" customHeight="1" x14ac:dyDescent="0.15">
      <c r="A95" s="41">
        <v>11</v>
      </c>
      <c r="B95" s="41">
        <v>1407</v>
      </c>
      <c r="C95" s="74" t="s">
        <v>1365</v>
      </c>
      <c r="D95" s="72"/>
      <c r="E95" s="99"/>
      <c r="F95" s="707" t="s">
        <v>1317</v>
      </c>
      <c r="G95" s="717"/>
      <c r="H95" s="53"/>
      <c r="I95" s="49"/>
      <c r="J95" s="50"/>
      <c r="K95" s="44"/>
      <c r="L95" s="45"/>
      <c r="M95" s="46"/>
      <c r="N95" s="35"/>
      <c r="P95" s="57"/>
      <c r="Q95" s="53"/>
      <c r="R95" s="49"/>
      <c r="S95" s="47">
        <f>ROUND((_11_A身体１．５*(1+_11・A早朝)),0)+_11_B身体１．５＿１．５</f>
        <v>979</v>
      </c>
      <c r="T95" s="48"/>
    </row>
    <row r="96" spans="1:20" ht="16.5" customHeight="1" x14ac:dyDescent="0.15">
      <c r="A96" s="41">
        <v>11</v>
      </c>
      <c r="B96" s="41">
        <v>1408</v>
      </c>
      <c r="C96" s="74" t="s">
        <v>1366</v>
      </c>
      <c r="D96" s="72"/>
      <c r="E96" s="99"/>
      <c r="F96" s="709"/>
      <c r="G96" s="718"/>
      <c r="H96" s="43"/>
      <c r="I96" s="37"/>
      <c r="J96" s="38"/>
      <c r="K96" s="44" t="s">
        <v>397</v>
      </c>
      <c r="L96" s="45" t="s">
        <v>398</v>
      </c>
      <c r="M96" s="46">
        <v>1</v>
      </c>
      <c r="N96" s="35"/>
      <c r="P96" s="57"/>
      <c r="Q96" s="35"/>
      <c r="S96" s="47">
        <f>ROUND((ROUND((_11_A身体１．５*_11・２人),0)*(1+_11・A早朝)),0)+ROUND((_11_B身体１．５＿１．５*_11・２人),0)</f>
        <v>979</v>
      </c>
      <c r="T96" s="48"/>
    </row>
    <row r="97" spans="1:20" ht="16.5" customHeight="1" x14ac:dyDescent="0.15">
      <c r="A97" s="41">
        <v>11</v>
      </c>
      <c r="B97" s="41">
        <v>1409</v>
      </c>
      <c r="C97" s="74" t="s">
        <v>1367</v>
      </c>
      <c r="D97" s="72"/>
      <c r="E97" s="99"/>
      <c r="F97" s="709"/>
      <c r="G97" s="718"/>
      <c r="H97" s="705" t="s">
        <v>400</v>
      </c>
      <c r="I97" s="49" t="s">
        <v>398</v>
      </c>
      <c r="J97" s="50">
        <v>0.7</v>
      </c>
      <c r="K97" s="44"/>
      <c r="L97" s="45"/>
      <c r="M97" s="46"/>
      <c r="N97" s="35"/>
      <c r="P97" s="57"/>
      <c r="Q97" s="35"/>
      <c r="S97" s="47">
        <f>ROUND((ROUND((_11_A身体１．５*_11・基礎１),0)*(1+_11・A早朝)),0)+ROUND((_11_B身体１．５＿１．５*_11・基礎１),0)</f>
        <v>685</v>
      </c>
      <c r="T97" s="48"/>
    </row>
    <row r="98" spans="1:20" ht="16.5" customHeight="1" x14ac:dyDescent="0.15">
      <c r="A98" s="41">
        <v>11</v>
      </c>
      <c r="B98" s="41">
        <v>1410</v>
      </c>
      <c r="C98" s="74" t="s">
        <v>1368</v>
      </c>
      <c r="D98" s="72"/>
      <c r="E98" s="99"/>
      <c r="F98" s="100">
        <f>_11_B身体１．５＿１．５</f>
        <v>249</v>
      </c>
      <c r="G98" s="12" t="s">
        <v>392</v>
      </c>
      <c r="H98" s="711"/>
      <c r="I98" s="37"/>
      <c r="J98" s="38"/>
      <c r="K98" s="44" t="s">
        <v>397</v>
      </c>
      <c r="L98" s="45" t="s">
        <v>398</v>
      </c>
      <c r="M98" s="46">
        <v>1</v>
      </c>
      <c r="N98" s="35"/>
      <c r="P98" s="57"/>
      <c r="Q98" s="43"/>
      <c r="R98" s="37"/>
      <c r="S98" s="47">
        <f>ROUND((ROUND((ROUND((_11_A身体１．５*_11・基礎１),0)*_11・２人),0)*(1+_11・A早朝)),0)+ROUND((ROUND((_11_B身体１．５＿１．５*_11・基礎１),0)*_11・２人),0)</f>
        <v>685</v>
      </c>
      <c r="T98" s="48"/>
    </row>
    <row r="99" spans="1:20" ht="16.5" customHeight="1" x14ac:dyDescent="0.15">
      <c r="A99" s="41">
        <v>11</v>
      </c>
      <c r="B99" s="41" t="s">
        <v>1369</v>
      </c>
      <c r="C99" s="42" t="s">
        <v>1370</v>
      </c>
      <c r="D99" s="72"/>
      <c r="E99" s="99"/>
      <c r="F99" s="121"/>
      <c r="G99" s="99"/>
      <c r="H99" s="53"/>
      <c r="I99" s="49"/>
      <c r="J99" s="50"/>
      <c r="K99" s="44"/>
      <c r="L99" s="45"/>
      <c r="M99" s="46"/>
      <c r="N99" s="35"/>
      <c r="P99" s="57"/>
      <c r="Q99" s="707" t="s">
        <v>404</v>
      </c>
      <c r="R99" s="708"/>
      <c r="S99" s="47">
        <f>ROUND((ROUND((_11_A身体１．５*(1+_11・A早朝)),0)*_11・初任),0)+ROUND((_11_B身体１．５＿１．５*_11・初任),0)</f>
        <v>685</v>
      </c>
      <c r="T99" s="48"/>
    </row>
    <row r="100" spans="1:20" ht="16.5" customHeight="1" x14ac:dyDescent="0.15">
      <c r="A100" s="41">
        <v>11</v>
      </c>
      <c r="B100" s="41" t="s">
        <v>1371</v>
      </c>
      <c r="C100" s="42" t="s">
        <v>1372</v>
      </c>
      <c r="D100" s="72"/>
      <c r="E100" s="99"/>
      <c r="F100" s="121"/>
      <c r="G100" s="99"/>
      <c r="H100" s="43"/>
      <c r="I100" s="37"/>
      <c r="J100" s="38"/>
      <c r="K100" s="44" t="s">
        <v>397</v>
      </c>
      <c r="L100" s="45" t="s">
        <v>398</v>
      </c>
      <c r="M100" s="46">
        <v>1</v>
      </c>
      <c r="N100" s="35"/>
      <c r="P100" s="57"/>
      <c r="Q100" s="709"/>
      <c r="R100" s="704"/>
      <c r="S100" s="47">
        <f>ROUND((ROUND((ROUND((_11_A身体１．５*_11・２人),0)*(1+_11・A早朝)),0)*_11・初任),0)+ROUND((ROUND((_11_B身体１．５＿１．５*_11・２人),0)*_11・初任),0)</f>
        <v>685</v>
      </c>
      <c r="T100" s="48"/>
    </row>
    <row r="101" spans="1:20" ht="16.5" customHeight="1" x14ac:dyDescent="0.15">
      <c r="A101" s="41">
        <v>11</v>
      </c>
      <c r="B101" s="41" t="s">
        <v>1373</v>
      </c>
      <c r="C101" s="42" t="s">
        <v>1374</v>
      </c>
      <c r="D101" s="72"/>
      <c r="E101" s="99"/>
      <c r="F101" s="72"/>
      <c r="G101" s="99"/>
      <c r="H101" s="705" t="s">
        <v>400</v>
      </c>
      <c r="I101" s="49" t="s">
        <v>398</v>
      </c>
      <c r="J101" s="50">
        <v>0.7</v>
      </c>
      <c r="K101" s="44"/>
      <c r="L101" s="45"/>
      <c r="M101" s="46"/>
      <c r="N101" s="35"/>
      <c r="P101" s="57"/>
      <c r="Q101" s="709"/>
      <c r="R101" s="704"/>
      <c r="S101" s="47">
        <f>ROUND((ROUND((ROUND((_11_A身体１．５*_11・基礎１),0)*(1+_11・A早朝)),0)*_11・初任),0)+ROUND((ROUND((_11_B身体１．５＿１．５*_11・基礎１),0)*_11・初任),0)</f>
        <v>480</v>
      </c>
      <c r="T101" s="48"/>
    </row>
    <row r="102" spans="1:20" ht="16.5" customHeight="1" x14ac:dyDescent="0.15">
      <c r="A102" s="41">
        <v>11</v>
      </c>
      <c r="B102" s="41" t="s">
        <v>1375</v>
      </c>
      <c r="C102" s="42" t="s">
        <v>1376</v>
      </c>
      <c r="D102" s="72"/>
      <c r="E102" s="99"/>
      <c r="F102" s="72"/>
      <c r="G102" s="99"/>
      <c r="H102" s="711"/>
      <c r="I102" s="37"/>
      <c r="J102" s="38"/>
      <c r="K102" s="44" t="s">
        <v>397</v>
      </c>
      <c r="L102" s="45" t="s">
        <v>398</v>
      </c>
      <c r="M102" s="46">
        <v>1</v>
      </c>
      <c r="N102" s="35"/>
      <c r="P102" s="57"/>
      <c r="Q102" s="55" t="s">
        <v>398</v>
      </c>
      <c r="R102" s="38">
        <f>_11・初任</f>
        <v>0.7</v>
      </c>
      <c r="S102" s="47">
        <f>ROUND((ROUND((ROUND((ROUND((_11_A身体１．５*_11・基礎１),0)*_11・２人),0)*(1+_11・A早朝)),0)*_11・初任),0)+ROUND((ROUND((ROUND((_11_B身体１．５＿１．５*_11・基礎１),0)*_11・２人),0)*_11・初任),0)</f>
        <v>480</v>
      </c>
      <c r="T102" s="48"/>
    </row>
    <row r="103" spans="1:20" ht="16.5" customHeight="1" x14ac:dyDescent="0.15">
      <c r="A103" s="41">
        <v>11</v>
      </c>
      <c r="B103" s="41">
        <v>1411</v>
      </c>
      <c r="C103" s="74" t="s">
        <v>1377</v>
      </c>
      <c r="D103" s="707" t="s">
        <v>715</v>
      </c>
      <c r="E103" s="717"/>
      <c r="F103" s="707" t="s">
        <v>1226</v>
      </c>
      <c r="G103" s="717"/>
      <c r="H103" s="53"/>
      <c r="I103" s="49"/>
      <c r="J103" s="50"/>
      <c r="K103" s="44"/>
      <c r="L103" s="45"/>
      <c r="M103" s="46"/>
      <c r="N103" s="35"/>
      <c r="P103" s="57"/>
      <c r="Q103" s="53"/>
      <c r="R103" s="49"/>
      <c r="S103" s="47">
        <f>ROUND((_11_A身体２．０*(1+_11・A早朝)),0)+_11_B身体２．０＿０．５</f>
        <v>917</v>
      </c>
      <c r="T103" s="48"/>
    </row>
    <row r="104" spans="1:20" ht="16.5" customHeight="1" x14ac:dyDescent="0.15">
      <c r="A104" s="41">
        <v>11</v>
      </c>
      <c r="B104" s="41">
        <v>1412</v>
      </c>
      <c r="C104" s="74" t="s">
        <v>1378</v>
      </c>
      <c r="D104" s="709"/>
      <c r="E104" s="718"/>
      <c r="F104" s="709"/>
      <c r="G104" s="718"/>
      <c r="H104" s="43"/>
      <c r="I104" s="37"/>
      <c r="J104" s="38"/>
      <c r="K104" s="44" t="s">
        <v>397</v>
      </c>
      <c r="L104" s="45" t="s">
        <v>398</v>
      </c>
      <c r="M104" s="46">
        <v>1</v>
      </c>
      <c r="N104" s="35"/>
      <c r="P104" s="57"/>
      <c r="Q104" s="35"/>
      <c r="S104" s="47">
        <f>ROUND((ROUND((_11_A身体２．０*_11・２人),0)*(1+_11・A早朝)),0)+ROUND((_11_B身体２．０＿０．５*_11・２人),0)</f>
        <v>917</v>
      </c>
      <c r="T104" s="48"/>
    </row>
    <row r="105" spans="1:20" ht="16.5" customHeight="1" x14ac:dyDescent="0.15">
      <c r="A105" s="41">
        <v>11</v>
      </c>
      <c r="B105" s="41">
        <v>1413</v>
      </c>
      <c r="C105" s="74" t="s">
        <v>1379</v>
      </c>
      <c r="D105" s="709"/>
      <c r="E105" s="718"/>
      <c r="F105" s="709"/>
      <c r="G105" s="718"/>
      <c r="H105" s="705" t="s">
        <v>400</v>
      </c>
      <c r="I105" s="49" t="s">
        <v>398</v>
      </c>
      <c r="J105" s="50">
        <v>0.7</v>
      </c>
      <c r="K105" s="44"/>
      <c r="L105" s="45"/>
      <c r="M105" s="46"/>
      <c r="N105" s="35"/>
      <c r="P105" s="57"/>
      <c r="Q105" s="35"/>
      <c r="S105" s="47">
        <f>ROUND((ROUND((_11_A身体２．０*_11・基礎１),0)*(1+_11・A早朝)),0)+ROUND((_11_B身体２．０＿０．５*_11・基礎１),0)</f>
        <v>642</v>
      </c>
      <c r="T105" s="48"/>
    </row>
    <row r="106" spans="1:20" ht="16.5" customHeight="1" x14ac:dyDescent="0.15">
      <c r="A106" s="41">
        <v>11</v>
      </c>
      <c r="B106" s="41">
        <v>1414</v>
      </c>
      <c r="C106" s="74" t="s">
        <v>1380</v>
      </c>
      <c r="D106" s="100">
        <f>_11_A身体２．０</f>
        <v>666</v>
      </c>
      <c r="E106" s="12" t="s">
        <v>392</v>
      </c>
      <c r="F106" s="100">
        <f>_11_B身体２．０＿０．５</f>
        <v>84</v>
      </c>
      <c r="G106" s="12" t="s">
        <v>392</v>
      </c>
      <c r="H106" s="711"/>
      <c r="I106" s="37"/>
      <c r="J106" s="38"/>
      <c r="K106" s="44" t="s">
        <v>397</v>
      </c>
      <c r="L106" s="45" t="s">
        <v>398</v>
      </c>
      <c r="M106" s="46">
        <v>1</v>
      </c>
      <c r="N106" s="35"/>
      <c r="P106" s="57"/>
      <c r="Q106" s="43"/>
      <c r="R106" s="37"/>
      <c r="S106" s="47">
        <f>ROUND((ROUND((ROUND((_11_A身体２．０*_11・基礎１),0)*_11・２人),0)*(1+_11・A早朝)),0)+ROUND((ROUND((_11_B身体２．０＿０．５*_11・基礎１),0)*_11・２人),0)</f>
        <v>642</v>
      </c>
      <c r="T106" s="48"/>
    </row>
    <row r="107" spans="1:20" ht="16.5" customHeight="1" x14ac:dyDescent="0.15">
      <c r="A107" s="41">
        <v>11</v>
      </c>
      <c r="B107" s="41" t="s">
        <v>1381</v>
      </c>
      <c r="C107" s="42" t="s">
        <v>1382</v>
      </c>
      <c r="D107" s="121"/>
      <c r="E107" s="99"/>
      <c r="F107" s="121"/>
      <c r="G107" s="99"/>
      <c r="H107" s="53"/>
      <c r="I107" s="49"/>
      <c r="J107" s="50"/>
      <c r="K107" s="44"/>
      <c r="L107" s="45"/>
      <c r="M107" s="46"/>
      <c r="N107" s="35"/>
      <c r="P107" s="57"/>
      <c r="Q107" s="707" t="s">
        <v>404</v>
      </c>
      <c r="R107" s="708"/>
      <c r="S107" s="47">
        <f>ROUND((ROUND((_11_A身体２．０*(1+_11・A早朝)),0)*_11・初任),0)+ROUND((_11_B身体２．０＿０．５*_11・初任),0)</f>
        <v>642</v>
      </c>
      <c r="T107" s="48"/>
    </row>
    <row r="108" spans="1:20" ht="16.5" customHeight="1" x14ac:dyDescent="0.15">
      <c r="A108" s="41">
        <v>11</v>
      </c>
      <c r="B108" s="41" t="s">
        <v>1383</v>
      </c>
      <c r="C108" s="42" t="s">
        <v>1384</v>
      </c>
      <c r="D108" s="121"/>
      <c r="E108" s="99"/>
      <c r="F108" s="121"/>
      <c r="G108" s="99"/>
      <c r="H108" s="43"/>
      <c r="I108" s="37"/>
      <c r="J108" s="38"/>
      <c r="K108" s="44" t="s">
        <v>397</v>
      </c>
      <c r="L108" s="45" t="s">
        <v>398</v>
      </c>
      <c r="M108" s="46">
        <v>1</v>
      </c>
      <c r="N108" s="35"/>
      <c r="P108" s="57"/>
      <c r="Q108" s="709"/>
      <c r="R108" s="704"/>
      <c r="S108" s="47">
        <f>ROUND((ROUND((ROUND((_11_A身体２．０*_11・２人),0)*(1+_11・A早朝)),0)*_11・初任),0)+ROUND((ROUND((_11_B身体２．０＿０．５*_11・２人),0)*_11・初任),0)</f>
        <v>642</v>
      </c>
      <c r="T108" s="48"/>
    </row>
    <row r="109" spans="1:20" ht="16.5" customHeight="1" x14ac:dyDescent="0.15">
      <c r="A109" s="41">
        <v>11</v>
      </c>
      <c r="B109" s="41" t="s">
        <v>1385</v>
      </c>
      <c r="C109" s="42" t="s">
        <v>1386</v>
      </c>
      <c r="D109" s="72"/>
      <c r="E109" s="99"/>
      <c r="F109" s="72"/>
      <c r="G109" s="99"/>
      <c r="H109" s="705" t="s">
        <v>400</v>
      </c>
      <c r="I109" s="49" t="s">
        <v>398</v>
      </c>
      <c r="J109" s="50">
        <v>0.7</v>
      </c>
      <c r="K109" s="44"/>
      <c r="L109" s="45"/>
      <c r="M109" s="46"/>
      <c r="N109" s="35"/>
      <c r="P109" s="57"/>
      <c r="Q109" s="709"/>
      <c r="R109" s="704"/>
      <c r="S109" s="47">
        <f>ROUND((ROUND((ROUND((_11_A身体２．０*_11・基礎１),0)*(1+_11・A早朝)),0)*_11・初任),0)+ROUND((ROUND((_11_B身体２．０＿０．５*_11・基礎１),0)*_11・初任),0)</f>
        <v>449</v>
      </c>
      <c r="T109" s="48"/>
    </row>
    <row r="110" spans="1:20" ht="16.5" customHeight="1" x14ac:dyDescent="0.15">
      <c r="A110" s="41">
        <v>11</v>
      </c>
      <c r="B110" s="41" t="s">
        <v>1387</v>
      </c>
      <c r="C110" s="42" t="s">
        <v>1388</v>
      </c>
      <c r="D110" s="72"/>
      <c r="E110" s="99"/>
      <c r="F110" s="72"/>
      <c r="G110" s="99"/>
      <c r="H110" s="711"/>
      <c r="I110" s="37"/>
      <c r="J110" s="38"/>
      <c r="K110" s="44" t="s">
        <v>397</v>
      </c>
      <c r="L110" s="45" t="s">
        <v>398</v>
      </c>
      <c r="M110" s="46">
        <v>1</v>
      </c>
      <c r="N110" s="35"/>
      <c r="P110" s="57"/>
      <c r="Q110" s="55" t="s">
        <v>398</v>
      </c>
      <c r="R110" s="38">
        <f>_11・初任</f>
        <v>0.7</v>
      </c>
      <c r="S110" s="47">
        <f>ROUND((ROUND((ROUND((ROUND((_11_A身体２．０*_11・基礎１),0)*_11・２人),0)*(1+_11・A早朝)),0)*_11・初任),0)+ROUND((ROUND((ROUND((_11_B身体２．０＿０．５*_11・基礎１),0)*_11・２人),0)*_11・初任),0)</f>
        <v>449</v>
      </c>
      <c r="T110" s="48"/>
    </row>
    <row r="111" spans="1:20" ht="16.5" customHeight="1" x14ac:dyDescent="0.15">
      <c r="A111" s="41">
        <v>11</v>
      </c>
      <c r="B111" s="41">
        <v>1415</v>
      </c>
      <c r="C111" s="74" t="s">
        <v>1389</v>
      </c>
      <c r="D111" s="72"/>
      <c r="E111" s="99"/>
      <c r="F111" s="707" t="s">
        <v>1304</v>
      </c>
      <c r="G111" s="717"/>
      <c r="H111" s="53"/>
      <c r="I111" s="49"/>
      <c r="J111" s="50"/>
      <c r="K111" s="44"/>
      <c r="L111" s="45"/>
      <c r="M111" s="46"/>
      <c r="N111" s="35"/>
      <c r="P111" s="57"/>
      <c r="Q111" s="53"/>
      <c r="R111" s="49"/>
      <c r="S111" s="47">
        <f>ROUND((_11_A身体２．０*(1+_11・A早朝)),0)+_11_B身体２．０＿１．０</f>
        <v>1000</v>
      </c>
      <c r="T111" s="48"/>
    </row>
    <row r="112" spans="1:20" ht="16.5" customHeight="1" x14ac:dyDescent="0.15">
      <c r="A112" s="41">
        <v>11</v>
      </c>
      <c r="B112" s="41">
        <v>1416</v>
      </c>
      <c r="C112" s="74" t="s">
        <v>1390</v>
      </c>
      <c r="D112" s="72"/>
      <c r="E112" s="99"/>
      <c r="F112" s="709"/>
      <c r="G112" s="718"/>
      <c r="H112" s="43"/>
      <c r="I112" s="37"/>
      <c r="J112" s="38"/>
      <c r="K112" s="44" t="s">
        <v>397</v>
      </c>
      <c r="L112" s="45" t="s">
        <v>398</v>
      </c>
      <c r="M112" s="46">
        <v>1</v>
      </c>
      <c r="N112" s="35"/>
      <c r="P112" s="57"/>
      <c r="Q112" s="35"/>
      <c r="S112" s="47">
        <f>ROUND((ROUND((_11_A身体２．０*_11・２人),0)*(1+_11・A早朝)),0)+ROUND((_11_B身体２．０＿１．０*_11・２人),0)</f>
        <v>1000</v>
      </c>
      <c r="T112" s="48"/>
    </row>
    <row r="113" spans="1:20" ht="16.5" customHeight="1" x14ac:dyDescent="0.15">
      <c r="A113" s="41">
        <v>11</v>
      </c>
      <c r="B113" s="41">
        <v>1417</v>
      </c>
      <c r="C113" s="74" t="s">
        <v>1391</v>
      </c>
      <c r="D113" s="72"/>
      <c r="E113" s="99"/>
      <c r="F113" s="709"/>
      <c r="G113" s="718"/>
      <c r="H113" s="705" t="s">
        <v>400</v>
      </c>
      <c r="I113" s="49" t="s">
        <v>398</v>
      </c>
      <c r="J113" s="50">
        <v>0.7</v>
      </c>
      <c r="K113" s="44"/>
      <c r="L113" s="45"/>
      <c r="M113" s="46"/>
      <c r="N113" s="35"/>
      <c r="P113" s="57"/>
      <c r="Q113" s="35"/>
      <c r="S113" s="47">
        <f>ROUND((ROUND((_11_A身体２．０*_11・基礎１),0)*(1+_11・A早朝)),0)+ROUND((_11_B身体２．０＿１．０*_11・基礎１),0)</f>
        <v>700</v>
      </c>
      <c r="T113" s="48"/>
    </row>
    <row r="114" spans="1:20" ht="16.5" customHeight="1" x14ac:dyDescent="0.15">
      <c r="A114" s="41">
        <v>11</v>
      </c>
      <c r="B114" s="41">
        <v>1418</v>
      </c>
      <c r="C114" s="74" t="s">
        <v>1392</v>
      </c>
      <c r="D114" s="72"/>
      <c r="E114" s="99"/>
      <c r="F114" s="100">
        <f>_11_B身体２．０＿１．０</f>
        <v>167</v>
      </c>
      <c r="G114" s="12" t="s">
        <v>392</v>
      </c>
      <c r="H114" s="711"/>
      <c r="I114" s="37"/>
      <c r="J114" s="38"/>
      <c r="K114" s="44" t="s">
        <v>397</v>
      </c>
      <c r="L114" s="45" t="s">
        <v>398</v>
      </c>
      <c r="M114" s="46">
        <v>1</v>
      </c>
      <c r="N114" s="35"/>
      <c r="P114" s="57"/>
      <c r="Q114" s="43"/>
      <c r="R114" s="37"/>
      <c r="S114" s="47">
        <f>ROUND((ROUND((ROUND((_11_A身体２．０*_11・基礎１),0)*_11・２人),0)*(1+_11・A早朝)),0)+ROUND((ROUND((_11_B身体２．０＿１．０*_11・基礎１),0)*_11・２人),0)</f>
        <v>700</v>
      </c>
      <c r="T114" s="48"/>
    </row>
    <row r="115" spans="1:20" ht="16.5" customHeight="1" x14ac:dyDescent="0.15">
      <c r="A115" s="41">
        <v>11</v>
      </c>
      <c r="B115" s="41" t="s">
        <v>1393</v>
      </c>
      <c r="C115" s="42" t="s">
        <v>1394</v>
      </c>
      <c r="D115" s="72"/>
      <c r="E115" s="99"/>
      <c r="F115" s="121"/>
      <c r="G115" s="99"/>
      <c r="H115" s="53"/>
      <c r="I115" s="49"/>
      <c r="J115" s="50"/>
      <c r="K115" s="44"/>
      <c r="L115" s="45"/>
      <c r="M115" s="46"/>
      <c r="N115" s="35"/>
      <c r="P115" s="57"/>
      <c r="Q115" s="707" t="s">
        <v>404</v>
      </c>
      <c r="R115" s="708"/>
      <c r="S115" s="47">
        <f>ROUND((ROUND((_11_A身体２．０*(1+_11・A早朝)),0)*_11・初任),0)+ROUND((_11_B身体２．０＿１．０*_11・初任),0)</f>
        <v>700</v>
      </c>
      <c r="T115" s="48"/>
    </row>
    <row r="116" spans="1:20" ht="16.5" customHeight="1" x14ac:dyDescent="0.15">
      <c r="A116" s="41">
        <v>11</v>
      </c>
      <c r="B116" s="41" t="s">
        <v>1395</v>
      </c>
      <c r="C116" s="42" t="s">
        <v>1396</v>
      </c>
      <c r="D116" s="72"/>
      <c r="E116" s="99"/>
      <c r="F116" s="121"/>
      <c r="G116" s="99"/>
      <c r="H116" s="43"/>
      <c r="I116" s="37"/>
      <c r="J116" s="38"/>
      <c r="K116" s="44" t="s">
        <v>397</v>
      </c>
      <c r="L116" s="45" t="s">
        <v>398</v>
      </c>
      <c r="M116" s="46">
        <v>1</v>
      </c>
      <c r="N116" s="35"/>
      <c r="P116" s="57"/>
      <c r="Q116" s="709"/>
      <c r="R116" s="704"/>
      <c r="S116" s="47">
        <f>ROUND((ROUND((ROUND((_11_A身体２．０*_11・２人),0)*(1+_11・A早朝)),0)*_11・初任),0)+ROUND((ROUND((_11_B身体２．０＿１．０*_11・２人),0)*_11・初任),0)</f>
        <v>700</v>
      </c>
      <c r="T116" s="48"/>
    </row>
    <row r="117" spans="1:20" ht="16.5" customHeight="1" x14ac:dyDescent="0.15">
      <c r="A117" s="41">
        <v>11</v>
      </c>
      <c r="B117" s="41" t="s">
        <v>1397</v>
      </c>
      <c r="C117" s="42" t="s">
        <v>1398</v>
      </c>
      <c r="D117" s="72"/>
      <c r="E117" s="99"/>
      <c r="F117" s="72"/>
      <c r="G117" s="99"/>
      <c r="H117" s="705" t="s">
        <v>400</v>
      </c>
      <c r="I117" s="49" t="s">
        <v>398</v>
      </c>
      <c r="J117" s="50">
        <v>0.7</v>
      </c>
      <c r="K117" s="44"/>
      <c r="L117" s="45"/>
      <c r="M117" s="46"/>
      <c r="N117" s="35"/>
      <c r="P117" s="57"/>
      <c r="Q117" s="709"/>
      <c r="R117" s="704"/>
      <c r="S117" s="47">
        <f>ROUND((ROUND((ROUND((_11_A身体２．０*_11・基礎１),0)*(1+_11・A早朝)),0)*_11・初任),0)+ROUND((ROUND((_11_B身体２．０＿１．０*_11・基礎１),0)*_11・初任),0)</f>
        <v>490</v>
      </c>
      <c r="T117" s="48"/>
    </row>
    <row r="118" spans="1:20" ht="16.5" customHeight="1" x14ac:dyDescent="0.15">
      <c r="A118" s="41">
        <v>11</v>
      </c>
      <c r="B118" s="41" t="s">
        <v>1399</v>
      </c>
      <c r="C118" s="42" t="s">
        <v>1400</v>
      </c>
      <c r="D118" s="72"/>
      <c r="E118" s="99"/>
      <c r="F118" s="72"/>
      <c r="G118" s="99"/>
      <c r="H118" s="711"/>
      <c r="I118" s="37"/>
      <c r="J118" s="38"/>
      <c r="K118" s="44" t="s">
        <v>397</v>
      </c>
      <c r="L118" s="45" t="s">
        <v>398</v>
      </c>
      <c r="M118" s="46">
        <v>1</v>
      </c>
      <c r="N118" s="35"/>
      <c r="P118" s="57"/>
      <c r="Q118" s="55" t="s">
        <v>398</v>
      </c>
      <c r="R118" s="38">
        <f>_11・初任</f>
        <v>0.7</v>
      </c>
      <c r="S118" s="47">
        <f>ROUND((ROUND((ROUND((ROUND((_11_A身体２．０*_11・基礎１),0)*_11・２人),0)*(1+_11・A早朝)),0)*_11・初任),0)+ROUND((ROUND((ROUND((_11_B身体２．０＿１．０*_11・基礎１),0)*_11・２人),0)*_11・初任),0)</f>
        <v>490</v>
      </c>
      <c r="T118" s="48"/>
    </row>
    <row r="119" spans="1:20" ht="16.5" customHeight="1" x14ac:dyDescent="0.15">
      <c r="A119" s="41">
        <v>11</v>
      </c>
      <c r="B119" s="41">
        <v>1419</v>
      </c>
      <c r="C119" s="74" t="s">
        <v>1401</v>
      </c>
      <c r="D119" s="707" t="s">
        <v>728</v>
      </c>
      <c r="E119" s="717"/>
      <c r="F119" s="707" t="s">
        <v>1226</v>
      </c>
      <c r="G119" s="717"/>
      <c r="H119" s="53"/>
      <c r="I119" s="49"/>
      <c r="J119" s="50"/>
      <c r="K119" s="44"/>
      <c r="L119" s="45"/>
      <c r="M119" s="46"/>
      <c r="N119" s="35"/>
      <c r="P119" s="57"/>
      <c r="Q119" s="53"/>
      <c r="R119" s="49"/>
      <c r="S119" s="47">
        <f>ROUND((_11_A身体２．５*(1+_11・A早朝)),0)+_11_B身体２．５＿０．５</f>
        <v>1021</v>
      </c>
      <c r="T119" s="48"/>
    </row>
    <row r="120" spans="1:20" ht="16.5" customHeight="1" x14ac:dyDescent="0.15">
      <c r="A120" s="41">
        <v>11</v>
      </c>
      <c r="B120" s="41">
        <v>1420</v>
      </c>
      <c r="C120" s="74" t="s">
        <v>1402</v>
      </c>
      <c r="D120" s="709"/>
      <c r="E120" s="718"/>
      <c r="F120" s="709"/>
      <c r="G120" s="718"/>
      <c r="H120" s="43"/>
      <c r="I120" s="37"/>
      <c r="J120" s="38"/>
      <c r="K120" s="44" t="s">
        <v>397</v>
      </c>
      <c r="L120" s="45" t="s">
        <v>398</v>
      </c>
      <c r="M120" s="46">
        <v>1</v>
      </c>
      <c r="N120" s="35"/>
      <c r="P120" s="57"/>
      <c r="Q120" s="35"/>
      <c r="S120" s="47">
        <f>ROUND((ROUND((_11_A身体２．５*_11・２人),0)*(1+_11・A早朝)),0)+ROUND((_11_B身体２．５＿０．５*_11・２人),0)</f>
        <v>1021</v>
      </c>
      <c r="T120" s="48"/>
    </row>
    <row r="121" spans="1:20" ht="16.5" customHeight="1" x14ac:dyDescent="0.15">
      <c r="A121" s="41">
        <v>11</v>
      </c>
      <c r="B121" s="41">
        <v>1421</v>
      </c>
      <c r="C121" s="74" t="s">
        <v>1403</v>
      </c>
      <c r="D121" s="709"/>
      <c r="E121" s="718"/>
      <c r="F121" s="709"/>
      <c r="G121" s="718"/>
      <c r="H121" s="705" t="s">
        <v>400</v>
      </c>
      <c r="I121" s="49" t="s">
        <v>398</v>
      </c>
      <c r="J121" s="50">
        <v>0.7</v>
      </c>
      <c r="K121" s="44"/>
      <c r="L121" s="45"/>
      <c r="M121" s="46"/>
      <c r="N121" s="35"/>
      <c r="P121" s="57"/>
      <c r="Q121" s="35"/>
      <c r="S121" s="47">
        <f>ROUND((ROUND((_11_A身体２．５*_11・基礎１),0)*(1+_11・A早朝)),0)+ROUND((_11_B身体２．５＿０．５*_11・基礎１),0)</f>
        <v>714</v>
      </c>
      <c r="T121" s="48"/>
    </row>
    <row r="122" spans="1:20" ht="16.5" customHeight="1" x14ac:dyDescent="0.15">
      <c r="A122" s="41">
        <v>11</v>
      </c>
      <c r="B122" s="41">
        <v>1422</v>
      </c>
      <c r="C122" s="74" t="s">
        <v>1404</v>
      </c>
      <c r="D122" s="100">
        <f>_11_A身体２．５</f>
        <v>750</v>
      </c>
      <c r="E122" s="12" t="s">
        <v>392</v>
      </c>
      <c r="F122" s="100">
        <f>_11_B身体２．５＿０．５</f>
        <v>83</v>
      </c>
      <c r="G122" s="12" t="s">
        <v>392</v>
      </c>
      <c r="H122" s="711"/>
      <c r="I122" s="37"/>
      <c r="J122" s="38"/>
      <c r="K122" s="44" t="s">
        <v>397</v>
      </c>
      <c r="L122" s="45" t="s">
        <v>398</v>
      </c>
      <c r="M122" s="46">
        <v>1</v>
      </c>
      <c r="N122" s="35"/>
      <c r="P122" s="57"/>
      <c r="Q122" s="43"/>
      <c r="R122" s="37"/>
      <c r="S122" s="47">
        <f>ROUND((ROUND((ROUND((_11_A身体２．５*_11・基礎１),0)*_11・２人),0)*(1+_11・A早朝)),0)+ROUND((ROUND((_11_B身体２．５＿０．５*_11・基礎１),0)*_11・２人),0)</f>
        <v>714</v>
      </c>
      <c r="T122" s="48"/>
    </row>
    <row r="123" spans="1:20" ht="16.5" customHeight="1" x14ac:dyDescent="0.15">
      <c r="A123" s="41">
        <v>11</v>
      </c>
      <c r="B123" s="41" t="s">
        <v>1405</v>
      </c>
      <c r="C123" s="42" t="s">
        <v>1406</v>
      </c>
      <c r="D123" s="121"/>
      <c r="E123" s="99"/>
      <c r="F123" s="121"/>
      <c r="G123" s="99"/>
      <c r="H123" s="53"/>
      <c r="I123" s="49"/>
      <c r="J123" s="50"/>
      <c r="K123" s="44"/>
      <c r="L123" s="45"/>
      <c r="M123" s="46"/>
      <c r="N123" s="35"/>
      <c r="P123" s="57"/>
      <c r="Q123" s="707" t="s">
        <v>404</v>
      </c>
      <c r="R123" s="708"/>
      <c r="S123" s="47">
        <f>ROUND((ROUND((_11_A身体２．５*(1+_11・A早朝)),0)*_11・初任),0)+ROUND((_11_B身体２．５＿０．５*_11・初任),0)</f>
        <v>715</v>
      </c>
      <c r="T123" s="48"/>
    </row>
    <row r="124" spans="1:20" ht="16.5" customHeight="1" x14ac:dyDescent="0.15">
      <c r="A124" s="41">
        <v>11</v>
      </c>
      <c r="B124" s="41" t="s">
        <v>1407</v>
      </c>
      <c r="C124" s="42" t="s">
        <v>1408</v>
      </c>
      <c r="D124" s="121"/>
      <c r="E124" s="99"/>
      <c r="F124" s="121"/>
      <c r="G124" s="99"/>
      <c r="H124" s="43"/>
      <c r="I124" s="37"/>
      <c r="J124" s="38"/>
      <c r="K124" s="44" t="s">
        <v>397</v>
      </c>
      <c r="L124" s="45" t="s">
        <v>398</v>
      </c>
      <c r="M124" s="46">
        <v>1</v>
      </c>
      <c r="N124" s="35"/>
      <c r="P124" s="57"/>
      <c r="Q124" s="709"/>
      <c r="R124" s="704"/>
      <c r="S124" s="47">
        <f>ROUND((ROUND((ROUND((_11_A身体２．５*_11・２人),0)*(1+_11・A早朝)),0)*_11・初任),0)+ROUND((ROUND((_11_B身体２．５＿０．５*_11・２人),0)*_11・初任),0)</f>
        <v>715</v>
      </c>
      <c r="T124" s="48"/>
    </row>
    <row r="125" spans="1:20" ht="16.5" customHeight="1" x14ac:dyDescent="0.15">
      <c r="A125" s="41">
        <v>11</v>
      </c>
      <c r="B125" s="41" t="s">
        <v>1409</v>
      </c>
      <c r="C125" s="42" t="s">
        <v>1410</v>
      </c>
      <c r="D125" s="72"/>
      <c r="E125" s="99"/>
      <c r="F125" s="72"/>
      <c r="G125" s="99"/>
      <c r="H125" s="705" t="s">
        <v>400</v>
      </c>
      <c r="I125" s="49" t="s">
        <v>398</v>
      </c>
      <c r="J125" s="50">
        <v>0.7</v>
      </c>
      <c r="K125" s="44"/>
      <c r="L125" s="45"/>
      <c r="M125" s="46"/>
      <c r="N125" s="35"/>
      <c r="P125" s="57"/>
      <c r="Q125" s="709"/>
      <c r="R125" s="704"/>
      <c r="S125" s="47">
        <f>ROUND((ROUND((ROUND((_11_A身体２．５*_11・基礎１),0)*(1+_11・A早朝)),0)*_11・初任),0)+ROUND((ROUND((_11_B身体２．５＿０．５*_11・基礎１),0)*_11・初任),0)</f>
        <v>500</v>
      </c>
      <c r="T125" s="48"/>
    </row>
    <row r="126" spans="1:20" ht="16.5" customHeight="1" x14ac:dyDescent="0.15">
      <c r="A126" s="41">
        <v>11</v>
      </c>
      <c r="B126" s="41" t="s">
        <v>1411</v>
      </c>
      <c r="C126" s="42" t="s">
        <v>1412</v>
      </c>
      <c r="D126" s="122"/>
      <c r="E126" s="111"/>
      <c r="F126" s="122"/>
      <c r="G126" s="111"/>
      <c r="H126" s="711"/>
      <c r="I126" s="37"/>
      <c r="J126" s="38"/>
      <c r="K126" s="44" t="s">
        <v>397</v>
      </c>
      <c r="L126" s="45" t="s">
        <v>398</v>
      </c>
      <c r="M126" s="46">
        <v>1</v>
      </c>
      <c r="N126" s="43"/>
      <c r="O126" s="38"/>
      <c r="P126" s="79"/>
      <c r="Q126" s="55" t="s">
        <v>398</v>
      </c>
      <c r="R126" s="38">
        <f>_11・初任</f>
        <v>0.7</v>
      </c>
      <c r="S126" s="47">
        <f>ROUND((ROUND((ROUND((ROUND((_11_A身体２．５*_11・基礎１),0)*_11・２人),0)*(1+_11・A早朝)),0)*_11・初任),0)+ROUND((ROUND((ROUND((_11_B身体２．５＿０．５*_11・基礎１),0)*_11・２人),0)*_11・初任),0)</f>
        <v>500</v>
      </c>
      <c r="T126" s="63"/>
    </row>
    <row r="127" spans="1:20" ht="16.5" customHeight="1" x14ac:dyDescent="0.15"/>
    <row r="128" spans="1:20" ht="16.5" customHeight="1" x14ac:dyDescent="0.15"/>
  </sheetData>
  <mergeCells count="67">
    <mergeCell ref="D119:E121"/>
    <mergeCell ref="F119:G121"/>
    <mergeCell ref="H121:H122"/>
    <mergeCell ref="Q123:R125"/>
    <mergeCell ref="H125:H126"/>
    <mergeCell ref="Q107:R109"/>
    <mergeCell ref="H109:H110"/>
    <mergeCell ref="F111:G113"/>
    <mergeCell ref="H113:H114"/>
    <mergeCell ref="Q115:R117"/>
    <mergeCell ref="H117:H118"/>
    <mergeCell ref="F95:G97"/>
    <mergeCell ref="H97:H98"/>
    <mergeCell ref="Q99:R101"/>
    <mergeCell ref="H101:H102"/>
    <mergeCell ref="D103:E105"/>
    <mergeCell ref="F103:G105"/>
    <mergeCell ref="H105:H106"/>
    <mergeCell ref="Q83:R85"/>
    <mergeCell ref="H85:H86"/>
    <mergeCell ref="F87:G89"/>
    <mergeCell ref="H89:H90"/>
    <mergeCell ref="Q91:R93"/>
    <mergeCell ref="H93:H94"/>
    <mergeCell ref="Q75:R77"/>
    <mergeCell ref="H77:H78"/>
    <mergeCell ref="D79:E81"/>
    <mergeCell ref="F79:G81"/>
    <mergeCell ref="P80:P81"/>
    <mergeCell ref="H81:H82"/>
    <mergeCell ref="F63:G65"/>
    <mergeCell ref="H65:H66"/>
    <mergeCell ref="Q67:R69"/>
    <mergeCell ref="H69:H70"/>
    <mergeCell ref="F71:G73"/>
    <mergeCell ref="H73:H74"/>
    <mergeCell ref="Q51:R53"/>
    <mergeCell ref="H53:H54"/>
    <mergeCell ref="F55:G57"/>
    <mergeCell ref="H57:H58"/>
    <mergeCell ref="Q59:R61"/>
    <mergeCell ref="H61:H62"/>
    <mergeCell ref="F39:G41"/>
    <mergeCell ref="H41:H42"/>
    <mergeCell ref="Q43:R45"/>
    <mergeCell ref="H45:H46"/>
    <mergeCell ref="D47:E49"/>
    <mergeCell ref="F47:G49"/>
    <mergeCell ref="H49:H50"/>
    <mergeCell ref="Q27:R29"/>
    <mergeCell ref="H29:H30"/>
    <mergeCell ref="F31:G33"/>
    <mergeCell ref="H33:H34"/>
    <mergeCell ref="Q35:R37"/>
    <mergeCell ref="H37:H38"/>
    <mergeCell ref="F15:G17"/>
    <mergeCell ref="H17:H18"/>
    <mergeCell ref="Q19:R21"/>
    <mergeCell ref="H21:H22"/>
    <mergeCell ref="F23:G25"/>
    <mergeCell ref="H25:H26"/>
    <mergeCell ref="D7:E9"/>
    <mergeCell ref="F7:G9"/>
    <mergeCell ref="P8:P9"/>
    <mergeCell ref="H9:H10"/>
    <mergeCell ref="Q11:R13"/>
    <mergeCell ref="H13:H14"/>
  </mergeCells>
  <phoneticPr fontId="1"/>
  <printOptions horizontalCentered="1"/>
  <pageMargins left="0.70866141732283472" right="0.70866141732283472" top="0.74803149606299213" bottom="0.74803149606299213" header="0.31496062992125984" footer="0.31496062992125984"/>
  <pageSetup paperSize="9" scale="54" fitToHeight="0" orientation="portrait" r:id="rId1"/>
  <headerFooter>
    <oddHeader>&amp;R&amp;"ＭＳ Ｐゴシック"&amp;9居宅介護</oddHeader>
    <oddFooter>&amp;C&amp;"ＭＳ Ｐゴシック"&amp;14&amp;P</oddFooter>
  </headerFooter>
  <rowBreaks count="1" manualBreakCount="1">
    <brk id="78" max="19"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9">
    <pageSetUpPr fitToPage="1"/>
  </sheetPr>
  <dimension ref="A1:U49"/>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5.875" style="10" bestFit="1" customWidth="1"/>
    <col min="4" max="4" width="4.875" style="10" customWidth="1"/>
    <col min="5" max="5" width="4.875" style="12" customWidth="1"/>
    <col min="6" max="6" width="4.875" style="10" customWidth="1"/>
    <col min="7" max="7" width="4.875" style="12" customWidth="1"/>
    <col min="8" max="8" width="3.125" style="12" customWidth="1"/>
    <col min="9" max="9" width="2.5" style="12" customWidth="1"/>
    <col min="10" max="10" width="4.5" style="13" bestFit="1" customWidth="1"/>
    <col min="11" max="11" width="24.125" style="12" bestFit="1" customWidth="1"/>
    <col min="12" max="12" width="2.5" style="12" customWidth="1"/>
    <col min="13" max="13" width="5.5" style="13" bestFit="1" customWidth="1"/>
    <col min="14" max="14" width="2.5" style="12" customWidth="1"/>
    <col min="15" max="15" width="3.875" style="12" customWidth="1"/>
    <col min="16" max="16" width="4.5" style="13" bestFit="1" customWidth="1"/>
    <col min="17" max="17" width="17.875" style="12" customWidth="1"/>
    <col min="18" max="18" width="2.5" style="242" customWidth="1"/>
    <col min="19" max="19" width="4.5" style="13" bestFit="1" customWidth="1"/>
    <col min="20" max="20" width="7.125" style="206" customWidth="1"/>
    <col min="21" max="21" width="8.5" style="16" customWidth="1"/>
    <col min="22" max="16384" width="8.875" style="12"/>
  </cols>
  <sheetData>
    <row r="1" spans="1:21" ht="17.100000000000001" customHeight="1" x14ac:dyDescent="0.15"/>
    <row r="2" spans="1:21" ht="17.100000000000001" customHeight="1" x14ac:dyDescent="0.15"/>
    <row r="3" spans="1:21" ht="17.100000000000001" customHeight="1" x14ac:dyDescent="0.15"/>
    <row r="4" spans="1:21" ht="17.100000000000001" customHeight="1" x14ac:dyDescent="0.15">
      <c r="B4" s="17" t="s">
        <v>12629</v>
      </c>
      <c r="D4" s="71"/>
    </row>
    <row r="5" spans="1:21" ht="16.5" customHeight="1" x14ac:dyDescent="0.15">
      <c r="A5" s="19" t="s">
        <v>384</v>
      </c>
      <c r="B5" s="20"/>
      <c r="C5" s="21" t="s">
        <v>385</v>
      </c>
      <c r="D5" s="23" t="s">
        <v>386</v>
      </c>
      <c r="E5" s="23"/>
      <c r="F5" s="23"/>
      <c r="G5" s="23"/>
      <c r="H5" s="23"/>
      <c r="I5" s="23"/>
      <c r="J5" s="24"/>
      <c r="K5" s="23"/>
      <c r="L5" s="23"/>
      <c r="M5" s="24"/>
      <c r="N5" s="23"/>
      <c r="O5" s="23"/>
      <c r="P5" s="24"/>
      <c r="Q5" s="23"/>
      <c r="R5" s="23"/>
      <c r="S5" s="24"/>
      <c r="T5" s="21" t="s">
        <v>387</v>
      </c>
      <c r="U5" s="21" t="s">
        <v>388</v>
      </c>
    </row>
    <row r="6" spans="1:21" ht="16.5" customHeight="1" x14ac:dyDescent="0.15">
      <c r="A6" s="26" t="s">
        <v>389</v>
      </c>
      <c r="B6" s="26" t="s">
        <v>390</v>
      </c>
      <c r="C6" s="27"/>
      <c r="D6" s="87" t="s">
        <v>1032</v>
      </c>
      <c r="E6" s="20"/>
      <c r="F6" s="29"/>
      <c r="G6" s="29"/>
      <c r="H6" s="29"/>
      <c r="I6" s="29"/>
      <c r="J6" s="30"/>
      <c r="K6" s="29"/>
      <c r="L6" s="29"/>
      <c r="M6" s="30"/>
      <c r="N6" s="29"/>
      <c r="O6" s="29"/>
      <c r="P6" s="30"/>
      <c r="Q6" s="29"/>
      <c r="R6" s="214"/>
      <c r="S6" s="30"/>
      <c r="T6" s="32" t="s">
        <v>391</v>
      </c>
      <c r="U6" s="32" t="s">
        <v>392</v>
      </c>
    </row>
    <row r="7" spans="1:21" ht="16.5" customHeight="1" x14ac:dyDescent="0.15">
      <c r="A7" s="33">
        <v>11</v>
      </c>
      <c r="B7" s="33">
        <v>8605</v>
      </c>
      <c r="C7" s="34" t="s">
        <v>12630</v>
      </c>
      <c r="D7" s="709" t="s">
        <v>12631</v>
      </c>
      <c r="E7" s="796"/>
      <c r="F7" s="709" t="s">
        <v>9588</v>
      </c>
      <c r="G7" s="797"/>
      <c r="H7" s="709" t="s">
        <v>11707</v>
      </c>
      <c r="I7" s="787"/>
      <c r="J7" s="802"/>
      <c r="K7" s="37"/>
      <c r="L7" s="37"/>
      <c r="M7" s="38"/>
      <c r="N7" s="72" t="s">
        <v>1036</v>
      </c>
      <c r="Q7" s="35"/>
      <c r="T7" s="207">
        <f>ROUND((ROUND((_11_A家事０．５*_11・重度研修),0)*(1+_11・A深夜)),0)+ROUND((_11_B家事０．５＿０．２５*_11・重度研修),0)</f>
        <v>185</v>
      </c>
      <c r="U7" s="40" t="s">
        <v>395</v>
      </c>
    </row>
    <row r="8" spans="1:21" ht="16.5" customHeight="1" x14ac:dyDescent="0.15">
      <c r="A8" s="41">
        <v>11</v>
      </c>
      <c r="B8" s="41">
        <v>8606</v>
      </c>
      <c r="C8" s="74" t="s">
        <v>12632</v>
      </c>
      <c r="D8" s="799"/>
      <c r="E8" s="796"/>
      <c r="F8" s="799"/>
      <c r="G8" s="797"/>
      <c r="H8" s="722"/>
      <c r="I8" s="787"/>
      <c r="J8" s="787"/>
      <c r="K8" s="44" t="s">
        <v>397</v>
      </c>
      <c r="L8" s="218" t="s">
        <v>398</v>
      </c>
      <c r="M8" s="46">
        <v>1</v>
      </c>
      <c r="N8" s="257" t="s">
        <v>398</v>
      </c>
      <c r="O8" s="13">
        <v>0.5</v>
      </c>
      <c r="P8" s="704" t="s">
        <v>676</v>
      </c>
      <c r="Q8" s="43"/>
      <c r="R8" s="220"/>
      <c r="S8" s="38"/>
      <c r="T8" s="208">
        <f>ROUND((ROUND((ROUND((_11_A家事０．５*_11・重度研修),0)*_11・２人),0)*(1+_11・A深夜)),0)+ROUND((ROUND((_11_B家事０．５＿０．２５*_11・重度研修),0)*_11・２人),0)</f>
        <v>185</v>
      </c>
      <c r="U8" s="48"/>
    </row>
    <row r="9" spans="1:21" ht="16.5" customHeight="1" x14ac:dyDescent="0.15">
      <c r="A9" s="41">
        <v>11</v>
      </c>
      <c r="B9" s="41" t="s">
        <v>12633</v>
      </c>
      <c r="C9" s="74" t="s">
        <v>12634</v>
      </c>
      <c r="D9" s="799"/>
      <c r="E9" s="796"/>
      <c r="F9" s="799"/>
      <c r="G9" s="797"/>
      <c r="H9" s="722"/>
      <c r="I9" s="787"/>
      <c r="J9" s="802"/>
      <c r="K9" s="45"/>
      <c r="L9" s="45"/>
      <c r="M9" s="46"/>
      <c r="N9" s="35"/>
      <c r="P9" s="797"/>
      <c r="Q9" s="734" t="s">
        <v>404</v>
      </c>
      <c r="R9" s="219" t="s">
        <v>398</v>
      </c>
      <c r="S9" s="50">
        <f>_11・初任</f>
        <v>0.7</v>
      </c>
      <c r="T9" s="208">
        <f>ROUND((ROUND((ROUND((_11_A家事０．５*_11・重度研修),0)*(1+_11・A深夜)),0)*_11・初任),0)+ROUND((ROUND((_11_B家事０．５＿０．２５*_11・重度研修),0)*_11・初任),0)</f>
        <v>129</v>
      </c>
      <c r="U9" s="48"/>
    </row>
    <row r="10" spans="1:21" ht="16.5" customHeight="1" x14ac:dyDescent="0.15">
      <c r="A10" s="41">
        <v>11</v>
      </c>
      <c r="B10" s="41" t="s">
        <v>12635</v>
      </c>
      <c r="C10" s="74" t="s">
        <v>12636</v>
      </c>
      <c r="D10" s="274">
        <f>_11_A家事０．５</f>
        <v>105</v>
      </c>
      <c r="E10" s="254" t="s">
        <v>392</v>
      </c>
      <c r="F10" s="274">
        <f>_11_B家事０．５＿０．２５</f>
        <v>47</v>
      </c>
      <c r="G10" s="10" t="s">
        <v>392</v>
      </c>
      <c r="H10" s="35"/>
      <c r="I10" s="233" t="s">
        <v>398</v>
      </c>
      <c r="J10" s="13">
        <v>0.9</v>
      </c>
      <c r="K10" s="44" t="s">
        <v>397</v>
      </c>
      <c r="L10" s="218" t="s">
        <v>398</v>
      </c>
      <c r="M10" s="189">
        <v>1</v>
      </c>
      <c r="N10" s="35"/>
      <c r="Q10" s="706"/>
      <c r="R10" s="220"/>
      <c r="S10" s="38"/>
      <c r="T10" s="208">
        <f>ROUND((ROUND((ROUND((ROUND((_11_A家事０．５*_11・重度研修),0)*_11・２人),0)*(1+_11・A深夜)),0)*_11・初任),0)+ROUND((ROUND((ROUND((_11_B家事０．５＿０．２５*_11・重度研修),0)*_11・２人),0)*_11・初任),0)</f>
        <v>129</v>
      </c>
      <c r="U10" s="48"/>
    </row>
    <row r="11" spans="1:21" ht="16.5" customHeight="1" x14ac:dyDescent="0.15">
      <c r="A11" s="41">
        <v>11</v>
      </c>
      <c r="B11" s="41">
        <v>8607</v>
      </c>
      <c r="C11" s="74" t="s">
        <v>12637</v>
      </c>
      <c r="D11" s="72"/>
      <c r="F11" s="707" t="s">
        <v>9601</v>
      </c>
      <c r="G11" s="814"/>
      <c r="H11" s="35"/>
      <c r="K11" s="163"/>
      <c r="L11" s="45"/>
      <c r="M11" s="46"/>
      <c r="N11" s="35"/>
      <c r="Q11" s="53"/>
      <c r="R11" s="245"/>
      <c r="S11" s="49"/>
      <c r="T11" s="208">
        <f>ROUND((ROUND((_11_A家事０．５*_11・重度研修),0)*(1+_11・A深夜)),0)+ROUND((_11_B家事０．５＿０．５*_11・重度研修),0)</f>
        <v>225</v>
      </c>
      <c r="U11" s="48"/>
    </row>
    <row r="12" spans="1:21" ht="16.5" customHeight="1" x14ac:dyDescent="0.15">
      <c r="A12" s="41">
        <v>11</v>
      </c>
      <c r="B12" s="41">
        <v>8608</v>
      </c>
      <c r="C12" s="74" t="s">
        <v>12638</v>
      </c>
      <c r="D12" s="72"/>
      <c r="F12" s="799"/>
      <c r="G12" s="797"/>
      <c r="H12" s="35"/>
      <c r="K12" s="44" t="s">
        <v>397</v>
      </c>
      <c r="L12" s="218" t="s">
        <v>398</v>
      </c>
      <c r="M12" s="189">
        <v>1</v>
      </c>
      <c r="N12" s="35"/>
      <c r="Q12" s="43"/>
      <c r="R12" s="220"/>
      <c r="S12" s="37"/>
      <c r="T12" s="208">
        <f>ROUND((ROUND((ROUND((_11_A家事０．５*_11・重度研修),0)*_11・２人),0)*(1+_11・A深夜)),0)+ROUND((ROUND((_11_B家事０．５＿０．５*_11・重度研修),0)*_11・２人),0)</f>
        <v>225</v>
      </c>
      <c r="U12" s="48"/>
    </row>
    <row r="13" spans="1:21" ht="16.5" customHeight="1" x14ac:dyDescent="0.15">
      <c r="A13" s="41">
        <v>11</v>
      </c>
      <c r="B13" s="41" t="s">
        <v>12639</v>
      </c>
      <c r="C13" s="74" t="s">
        <v>12640</v>
      </c>
      <c r="D13" s="72"/>
      <c r="F13" s="799"/>
      <c r="G13" s="797"/>
      <c r="H13" s="35"/>
      <c r="K13" s="163"/>
      <c r="L13" s="45"/>
      <c r="M13" s="46"/>
      <c r="N13" s="35"/>
      <c r="Q13" s="734" t="s">
        <v>404</v>
      </c>
      <c r="R13" s="219" t="s">
        <v>398</v>
      </c>
      <c r="S13" s="50">
        <f>_11・初任</f>
        <v>0.7</v>
      </c>
      <c r="T13" s="208">
        <f>ROUND((ROUND((ROUND((_11_A家事０．５*_11・重度研修),0)*(1+_11・A深夜)),0)*_11・初任),0)+ROUND((ROUND((_11_B家事０．５＿０．５*_11・重度研修),0)*_11・初任),0)</f>
        <v>157</v>
      </c>
      <c r="U13" s="48"/>
    </row>
    <row r="14" spans="1:21" ht="16.5" customHeight="1" x14ac:dyDescent="0.15">
      <c r="A14" s="41">
        <v>11</v>
      </c>
      <c r="B14" s="41" t="s">
        <v>12641</v>
      </c>
      <c r="C14" s="74" t="s">
        <v>12642</v>
      </c>
      <c r="D14" s="72"/>
      <c r="F14" s="274">
        <f>_11_B家事０．５＿０．５</f>
        <v>91</v>
      </c>
      <c r="G14" s="10" t="s">
        <v>392</v>
      </c>
      <c r="H14" s="35"/>
      <c r="K14" s="44" t="s">
        <v>397</v>
      </c>
      <c r="L14" s="218" t="s">
        <v>398</v>
      </c>
      <c r="M14" s="189">
        <v>1</v>
      </c>
      <c r="N14" s="35"/>
      <c r="Q14" s="706"/>
      <c r="R14" s="220"/>
      <c r="S14" s="38"/>
      <c r="T14" s="208">
        <f>ROUND((ROUND((ROUND((ROUND((_11_A家事０．５*_11・重度研修),0)*_11・２人),0)*(1+_11・A深夜)),0)*_11・初任),0)+ROUND((ROUND((ROUND((_11_B家事０．５＿０．５*_11・重度研修),0)*_11・２人),0)*_11・初任),0)</f>
        <v>157</v>
      </c>
      <c r="U14" s="48"/>
    </row>
    <row r="15" spans="1:21" ht="16.5" customHeight="1" x14ac:dyDescent="0.15">
      <c r="A15" s="41">
        <v>11</v>
      </c>
      <c r="B15" s="41">
        <v>8609</v>
      </c>
      <c r="C15" s="74" t="s">
        <v>12643</v>
      </c>
      <c r="D15" s="72"/>
      <c r="F15" s="707" t="s">
        <v>9614</v>
      </c>
      <c r="G15" s="814"/>
      <c r="H15" s="35"/>
      <c r="K15" s="163"/>
      <c r="L15" s="45"/>
      <c r="M15" s="46"/>
      <c r="N15" s="35"/>
      <c r="Q15" s="53"/>
      <c r="R15" s="245"/>
      <c r="S15" s="50"/>
      <c r="T15" s="208">
        <f>ROUND((ROUND((_11_A家事０．５*_11・重度研修),0)*(1+_11・A深夜)),0)+ROUND((_11_B家事０．５＿０．７５*_11・重度研修),0)</f>
        <v>263</v>
      </c>
      <c r="U15" s="48"/>
    </row>
    <row r="16" spans="1:21" ht="16.5" customHeight="1" x14ac:dyDescent="0.15">
      <c r="A16" s="41">
        <v>11</v>
      </c>
      <c r="B16" s="41">
        <v>8610</v>
      </c>
      <c r="C16" s="74" t="s">
        <v>12644</v>
      </c>
      <c r="D16" s="72"/>
      <c r="F16" s="799"/>
      <c r="G16" s="797"/>
      <c r="H16" s="35"/>
      <c r="K16" s="44" t="s">
        <v>397</v>
      </c>
      <c r="L16" s="218" t="s">
        <v>398</v>
      </c>
      <c r="M16" s="189">
        <v>1</v>
      </c>
      <c r="N16" s="35"/>
      <c r="Q16" s="43"/>
      <c r="R16" s="220"/>
      <c r="S16" s="38"/>
      <c r="T16" s="208">
        <f>ROUND((ROUND((ROUND((_11_A家事０．５*_11・重度研修),0)*_11・２人),0)*(1+_11・A深夜)),0)+ROUND((ROUND((_11_B家事０．５＿０．７５*_11・重度研修),0)*_11・２人),0)</f>
        <v>263</v>
      </c>
      <c r="U16" s="48"/>
    </row>
    <row r="17" spans="1:21" ht="16.5" customHeight="1" x14ac:dyDescent="0.15">
      <c r="A17" s="41">
        <v>11</v>
      </c>
      <c r="B17" s="41" t="s">
        <v>12645</v>
      </c>
      <c r="C17" s="74" t="s">
        <v>12646</v>
      </c>
      <c r="D17" s="72"/>
      <c r="F17" s="799"/>
      <c r="G17" s="797"/>
      <c r="H17" s="35"/>
      <c r="K17" s="163"/>
      <c r="L17" s="45"/>
      <c r="M17" s="46"/>
      <c r="N17" s="35"/>
      <c r="Q17" s="734" t="s">
        <v>404</v>
      </c>
      <c r="R17" s="219" t="s">
        <v>398</v>
      </c>
      <c r="S17" s="50">
        <f>_11・初任</f>
        <v>0.7</v>
      </c>
      <c r="T17" s="208">
        <f>ROUND((ROUND((ROUND((_11_A家事０．５*_11・重度研修),0)*(1+_11・A深夜)),0)*_11・初任),0)+ROUND((ROUND((_11_B家事０．５＿０．７５*_11・重度研修),0)*_11・初任),0)</f>
        <v>184</v>
      </c>
      <c r="U17" s="48"/>
    </row>
    <row r="18" spans="1:21" ht="16.5" customHeight="1" x14ac:dyDescent="0.15">
      <c r="A18" s="41">
        <v>11</v>
      </c>
      <c r="B18" s="41" t="s">
        <v>12647</v>
      </c>
      <c r="C18" s="74" t="s">
        <v>12648</v>
      </c>
      <c r="D18" s="72"/>
      <c r="F18" s="274">
        <f>_11_B家事０．５＿０．７５</f>
        <v>133</v>
      </c>
      <c r="G18" s="10" t="s">
        <v>392</v>
      </c>
      <c r="H18" s="35"/>
      <c r="K18" s="44" t="s">
        <v>397</v>
      </c>
      <c r="L18" s="218" t="s">
        <v>398</v>
      </c>
      <c r="M18" s="189">
        <v>1</v>
      </c>
      <c r="N18" s="35"/>
      <c r="Q18" s="706"/>
      <c r="R18" s="220"/>
      <c r="S18" s="38"/>
      <c r="T18" s="208">
        <f>ROUND((ROUND((ROUND((ROUND((_11_A家事０．５*_11・重度研修),0)*_11・２人),0)*(1+_11・A深夜)),0)*_11・初任),0)+ROUND((ROUND((ROUND((_11_B家事０．５＿０．７５*_11・重度研修),0)*_11・２人),0)*_11・初任),0)</f>
        <v>184</v>
      </c>
      <c r="U18" s="48"/>
    </row>
    <row r="19" spans="1:21" ht="16.5" customHeight="1" x14ac:dyDescent="0.15">
      <c r="A19" s="41">
        <v>11</v>
      </c>
      <c r="B19" s="41">
        <v>8611</v>
      </c>
      <c r="C19" s="74" t="s">
        <v>12649</v>
      </c>
      <c r="D19" s="72"/>
      <c r="F19" s="707" t="s">
        <v>9627</v>
      </c>
      <c r="G19" s="814"/>
      <c r="H19" s="35"/>
      <c r="K19" s="163"/>
      <c r="L19" s="45"/>
      <c r="M19" s="46"/>
      <c r="N19" s="35"/>
      <c r="Q19" s="53"/>
      <c r="R19" s="245"/>
      <c r="S19" s="49"/>
      <c r="T19" s="208">
        <f>ROUND((ROUND((_11_A家事０．５*_11・重度研修),0)*(1+_11・A深夜)),0)+ROUND((_11_B家事０．５＿１．０*_11・重度研修),0)</f>
        <v>295</v>
      </c>
      <c r="U19" s="48"/>
    </row>
    <row r="20" spans="1:21" ht="16.5" customHeight="1" x14ac:dyDescent="0.15">
      <c r="A20" s="41">
        <v>11</v>
      </c>
      <c r="B20" s="41">
        <v>8612</v>
      </c>
      <c r="C20" s="74" t="s">
        <v>12650</v>
      </c>
      <c r="D20" s="72"/>
      <c r="F20" s="799"/>
      <c r="G20" s="797"/>
      <c r="H20" s="35"/>
      <c r="K20" s="44" t="s">
        <v>397</v>
      </c>
      <c r="L20" s="218" t="s">
        <v>398</v>
      </c>
      <c r="M20" s="189">
        <v>1</v>
      </c>
      <c r="N20" s="35"/>
      <c r="Q20" s="43"/>
      <c r="R20" s="220"/>
      <c r="S20" s="37"/>
      <c r="T20" s="208">
        <f>ROUND((ROUND((ROUND((_11_A家事０．５*_11・重度研修),0)*_11・２人),0)*(1+_11・A深夜)),0)+ROUND((ROUND((_11_B家事０．５＿１．０*_11・重度研修),0)*_11・２人),0)</f>
        <v>295</v>
      </c>
      <c r="U20" s="48"/>
    </row>
    <row r="21" spans="1:21" ht="16.5" customHeight="1" x14ac:dyDescent="0.15">
      <c r="A21" s="41">
        <v>11</v>
      </c>
      <c r="B21" s="41" t="s">
        <v>12651</v>
      </c>
      <c r="C21" s="74" t="s">
        <v>12652</v>
      </c>
      <c r="D21" s="72"/>
      <c r="F21" s="799"/>
      <c r="G21" s="797"/>
      <c r="H21" s="35"/>
      <c r="K21" s="163"/>
      <c r="L21" s="45"/>
      <c r="M21" s="46"/>
      <c r="N21" s="35"/>
      <c r="Q21" s="734" t="s">
        <v>404</v>
      </c>
      <c r="R21" s="219" t="s">
        <v>398</v>
      </c>
      <c r="S21" s="50">
        <f>_11・初任</f>
        <v>0.7</v>
      </c>
      <c r="T21" s="208">
        <f>ROUND((ROUND((ROUND((_11_A家事０．５*_11・重度研修),0)*(1+_11・A深夜)),0)*_11・初任),0)+ROUND((ROUND((_11_B家事０．５＿１．０*_11・重度研修),0)*_11・初任),0)</f>
        <v>206</v>
      </c>
      <c r="U21" s="48"/>
    </row>
    <row r="22" spans="1:21" ht="16.5" customHeight="1" x14ac:dyDescent="0.15">
      <c r="A22" s="41">
        <v>11</v>
      </c>
      <c r="B22" s="41" t="s">
        <v>12653</v>
      </c>
      <c r="C22" s="74" t="s">
        <v>12654</v>
      </c>
      <c r="D22" s="72"/>
      <c r="F22" s="274">
        <f>_11_B家事０．５＿１．０</f>
        <v>169</v>
      </c>
      <c r="G22" s="10" t="s">
        <v>392</v>
      </c>
      <c r="H22" s="35"/>
      <c r="K22" s="44" t="s">
        <v>397</v>
      </c>
      <c r="L22" s="218" t="s">
        <v>398</v>
      </c>
      <c r="M22" s="189">
        <v>1</v>
      </c>
      <c r="N22" s="35"/>
      <c r="Q22" s="706"/>
      <c r="R22" s="220"/>
      <c r="S22" s="38"/>
      <c r="T22" s="208">
        <f>ROUND((ROUND((ROUND((ROUND((_11_A家事０．５*_11・重度研修),0)*_11・２人),0)*(1+_11・A深夜)),0)*_11・初任),0)+ROUND((ROUND((ROUND((_11_B家事０．５＿１．０*_11・重度研修),0)*_11・２人),0)*_11・初任),0)</f>
        <v>206</v>
      </c>
      <c r="U22" s="48"/>
    </row>
    <row r="23" spans="1:21" ht="16.5" customHeight="1" x14ac:dyDescent="0.15">
      <c r="A23" s="41">
        <v>11</v>
      </c>
      <c r="B23" s="41">
        <v>8613</v>
      </c>
      <c r="C23" s="74" t="s">
        <v>12655</v>
      </c>
      <c r="D23" s="707" t="s">
        <v>12656</v>
      </c>
      <c r="E23" s="798"/>
      <c r="F23" s="707" t="s">
        <v>9588</v>
      </c>
      <c r="G23" s="814"/>
      <c r="H23" s="35"/>
      <c r="K23" s="163"/>
      <c r="L23" s="45"/>
      <c r="M23" s="46"/>
      <c r="N23" s="35"/>
      <c r="Q23" s="53"/>
      <c r="R23" s="245"/>
      <c r="S23" s="50"/>
      <c r="T23" s="208">
        <f>ROUND((ROUND((_11_A家事０．７５*_11・重度研修),0)*(1+_11・A深夜)),0)+ROUND((_11_B家事０．７５＿０．２５*_11・重度研修),0)</f>
        <v>246</v>
      </c>
      <c r="U23" s="48"/>
    </row>
    <row r="24" spans="1:21" ht="16.5" customHeight="1" x14ac:dyDescent="0.15">
      <c r="A24" s="41">
        <v>11</v>
      </c>
      <c r="B24" s="41">
        <v>8614</v>
      </c>
      <c r="C24" s="74" t="s">
        <v>12657</v>
      </c>
      <c r="D24" s="799"/>
      <c r="E24" s="796"/>
      <c r="F24" s="799"/>
      <c r="G24" s="797"/>
      <c r="H24" s="35"/>
      <c r="K24" s="44" t="s">
        <v>397</v>
      </c>
      <c r="L24" s="218" t="s">
        <v>398</v>
      </c>
      <c r="M24" s="189">
        <v>1</v>
      </c>
      <c r="N24" s="35"/>
      <c r="Q24" s="43"/>
      <c r="R24" s="220"/>
      <c r="S24" s="38"/>
      <c r="T24" s="208">
        <f>ROUND((ROUND((ROUND((_11_A家事０．７５*_11・重度研修),0)*_11・２人),0)*(1+_11・A深夜)),0)+ROUND((ROUND((_11_B家事０．７５＿０．２５*_11・重度研修),0)*_11・２人),0)</f>
        <v>246</v>
      </c>
      <c r="U24" s="48"/>
    </row>
    <row r="25" spans="1:21" ht="16.5" customHeight="1" x14ac:dyDescent="0.15">
      <c r="A25" s="41">
        <v>11</v>
      </c>
      <c r="B25" s="41" t="s">
        <v>12658</v>
      </c>
      <c r="C25" s="74" t="s">
        <v>12659</v>
      </c>
      <c r="D25" s="799"/>
      <c r="E25" s="796"/>
      <c r="F25" s="799"/>
      <c r="G25" s="797"/>
      <c r="H25" s="35"/>
      <c r="K25" s="163"/>
      <c r="L25" s="45"/>
      <c r="M25" s="46"/>
      <c r="N25" s="35"/>
      <c r="Q25" s="734" t="s">
        <v>404</v>
      </c>
      <c r="R25" s="219" t="s">
        <v>398</v>
      </c>
      <c r="S25" s="50">
        <f>_11・初任</f>
        <v>0.7</v>
      </c>
      <c r="T25" s="208">
        <f>ROUND((ROUND((ROUND((_11_A家事０．７５*_11・重度研修),0)*(1+_11・A深夜)),0)*_11・初任),0)+ROUND((ROUND((_11_B家事０．７５＿０．２５*_11・重度研修),0)*_11・初任),0)</f>
        <v>172</v>
      </c>
      <c r="U25" s="48"/>
    </row>
    <row r="26" spans="1:21" ht="16.5" customHeight="1" x14ac:dyDescent="0.15">
      <c r="A26" s="41">
        <v>11</v>
      </c>
      <c r="B26" s="41" t="s">
        <v>12660</v>
      </c>
      <c r="C26" s="74" t="s">
        <v>12661</v>
      </c>
      <c r="D26" s="274">
        <f>_11_A家事０．７５</f>
        <v>152</v>
      </c>
      <c r="E26" s="254" t="s">
        <v>392</v>
      </c>
      <c r="F26" s="274">
        <f>_11_B家事０．７５＿０．２５</f>
        <v>44</v>
      </c>
      <c r="G26" s="10" t="s">
        <v>392</v>
      </c>
      <c r="H26" s="35"/>
      <c r="K26" s="44" t="s">
        <v>397</v>
      </c>
      <c r="L26" s="218" t="s">
        <v>398</v>
      </c>
      <c r="M26" s="189">
        <v>1</v>
      </c>
      <c r="N26" s="35"/>
      <c r="Q26" s="706"/>
      <c r="R26" s="220"/>
      <c r="S26" s="38"/>
      <c r="T26" s="208">
        <f>ROUND((ROUND((ROUND((ROUND((_11_A家事０．７５*_11・重度研修),0)*_11・２人),0)*(1+_11・A深夜)),0)*_11・初任),0)+ROUND((ROUND((ROUND((_11_B家事０．７５＿０．２５*_11・重度研修),0)*_11・２人),0)*_11・初任),0)</f>
        <v>172</v>
      </c>
      <c r="U26" s="48"/>
    </row>
    <row r="27" spans="1:21" ht="16.5" customHeight="1" x14ac:dyDescent="0.15">
      <c r="A27" s="41">
        <v>11</v>
      </c>
      <c r="B27" s="41">
        <v>8615</v>
      </c>
      <c r="C27" s="74" t="s">
        <v>12662</v>
      </c>
      <c r="D27" s="72"/>
      <c r="F27" s="707" t="s">
        <v>9601</v>
      </c>
      <c r="G27" s="814"/>
      <c r="H27" s="35"/>
      <c r="K27" s="163"/>
      <c r="L27" s="45"/>
      <c r="M27" s="46"/>
      <c r="N27" s="35"/>
      <c r="Q27" s="53"/>
      <c r="R27" s="245"/>
      <c r="S27" s="49"/>
      <c r="T27" s="208">
        <f>ROUND((ROUND((_11_A家事０．７５*_11・重度研修),0)*(1+_11・A深夜)),0)+ROUND((_11_B家事０．７５＿０．５*_11・重度研修),0)</f>
        <v>283</v>
      </c>
      <c r="U27" s="48"/>
    </row>
    <row r="28" spans="1:21" ht="16.5" customHeight="1" x14ac:dyDescent="0.15">
      <c r="A28" s="41">
        <v>11</v>
      </c>
      <c r="B28" s="41">
        <v>8616</v>
      </c>
      <c r="C28" s="74" t="s">
        <v>12663</v>
      </c>
      <c r="D28" s="72"/>
      <c r="F28" s="799"/>
      <c r="G28" s="797"/>
      <c r="H28" s="35"/>
      <c r="K28" s="44" t="s">
        <v>397</v>
      </c>
      <c r="L28" s="218" t="s">
        <v>398</v>
      </c>
      <c r="M28" s="189">
        <v>1</v>
      </c>
      <c r="N28" s="35"/>
      <c r="Q28" s="43"/>
      <c r="R28" s="220"/>
      <c r="S28" s="37"/>
      <c r="T28" s="208">
        <f>ROUND((ROUND((ROUND((_11_A家事０．７５*_11・重度研修),0)*_11・２人),0)*(1+_11・A深夜)),0)+ROUND((ROUND((_11_B家事０．７５＿０．５*_11・重度研修),0)*_11・２人),0)</f>
        <v>283</v>
      </c>
      <c r="U28" s="48"/>
    </row>
    <row r="29" spans="1:21" ht="16.5" customHeight="1" x14ac:dyDescent="0.15">
      <c r="A29" s="41">
        <v>11</v>
      </c>
      <c r="B29" s="41" t="s">
        <v>12664</v>
      </c>
      <c r="C29" s="74" t="s">
        <v>12665</v>
      </c>
      <c r="D29" s="72"/>
      <c r="F29" s="799"/>
      <c r="G29" s="797"/>
      <c r="H29" s="35"/>
      <c r="K29" s="163"/>
      <c r="L29" s="45"/>
      <c r="M29" s="46"/>
      <c r="N29" s="35"/>
      <c r="Q29" s="734" t="s">
        <v>404</v>
      </c>
      <c r="R29" s="219" t="s">
        <v>398</v>
      </c>
      <c r="S29" s="50">
        <f>_11・初任</f>
        <v>0.7</v>
      </c>
      <c r="T29" s="208">
        <f>ROUND((ROUND((ROUND((_11_A家事０．７５*_11・重度研修),0)*(1+_11・A深夜)),0)*_11・初任),0)+ROUND((ROUND((_11_B家事０．７５＿０．５*_11・重度研修),0)*_11・初任),0)</f>
        <v>198</v>
      </c>
      <c r="U29" s="48"/>
    </row>
    <row r="30" spans="1:21" ht="16.5" customHeight="1" x14ac:dyDescent="0.15">
      <c r="A30" s="41">
        <v>11</v>
      </c>
      <c r="B30" s="41" t="s">
        <v>12666</v>
      </c>
      <c r="C30" s="74" t="s">
        <v>12667</v>
      </c>
      <c r="D30" s="72"/>
      <c r="F30" s="274">
        <f>_11_B家事０．７５＿０．５</f>
        <v>86</v>
      </c>
      <c r="G30" s="10" t="s">
        <v>392</v>
      </c>
      <c r="H30" s="35"/>
      <c r="K30" s="44" t="s">
        <v>397</v>
      </c>
      <c r="L30" s="218" t="s">
        <v>398</v>
      </c>
      <c r="M30" s="189">
        <v>1</v>
      </c>
      <c r="N30" s="35"/>
      <c r="Q30" s="706"/>
      <c r="R30" s="220"/>
      <c r="S30" s="38"/>
      <c r="T30" s="208">
        <f>ROUND((ROUND((ROUND((ROUND((_11_A家事０．７５*_11・重度研修),0)*_11・２人),0)*(1+_11・A深夜)),0)*_11・初任),0)+ROUND((ROUND((ROUND((_11_B家事０．７５＿０．５*_11・重度研修),0)*_11・２人),0)*_11・初任),0)</f>
        <v>198</v>
      </c>
      <c r="U30" s="48"/>
    </row>
    <row r="31" spans="1:21" ht="16.5" customHeight="1" x14ac:dyDescent="0.15">
      <c r="A31" s="41">
        <v>11</v>
      </c>
      <c r="B31" s="41">
        <v>8617</v>
      </c>
      <c r="C31" s="74" t="s">
        <v>12668</v>
      </c>
      <c r="D31" s="72"/>
      <c r="F31" s="707" t="s">
        <v>9614</v>
      </c>
      <c r="G31" s="814"/>
      <c r="H31" s="35"/>
      <c r="K31" s="163"/>
      <c r="L31" s="45"/>
      <c r="M31" s="46"/>
      <c r="N31" s="35"/>
      <c r="Q31" s="53"/>
      <c r="R31" s="245"/>
      <c r="S31" s="50"/>
      <c r="T31" s="208">
        <f>ROUND((ROUND((_11_A家事０．７５*_11・重度研修),0)*(1+_11・A深夜)),0)+ROUND((_11_B家事０．７５＿０．７５*_11・重度研修),0)</f>
        <v>316</v>
      </c>
      <c r="U31" s="48"/>
    </row>
    <row r="32" spans="1:21" ht="16.5" customHeight="1" x14ac:dyDescent="0.15">
      <c r="A32" s="41">
        <v>11</v>
      </c>
      <c r="B32" s="41">
        <v>8618</v>
      </c>
      <c r="C32" s="74" t="s">
        <v>12669</v>
      </c>
      <c r="D32" s="72"/>
      <c r="F32" s="799"/>
      <c r="G32" s="797"/>
      <c r="H32" s="35"/>
      <c r="K32" s="44" t="s">
        <v>397</v>
      </c>
      <c r="L32" s="218" t="s">
        <v>398</v>
      </c>
      <c r="M32" s="189">
        <v>1</v>
      </c>
      <c r="N32" s="35"/>
      <c r="Q32" s="43"/>
      <c r="R32" s="220"/>
      <c r="S32" s="38"/>
      <c r="T32" s="208">
        <f>ROUND((ROUND((ROUND((_11_A家事０．７５*_11・重度研修),0)*_11・２人),0)*(1+_11・A深夜)),0)+ROUND((ROUND((_11_B家事０．７５＿０．７５*_11・重度研修),0)*_11・２人),0)</f>
        <v>316</v>
      </c>
      <c r="U32" s="48"/>
    </row>
    <row r="33" spans="1:21" ht="16.5" customHeight="1" x14ac:dyDescent="0.15">
      <c r="A33" s="41">
        <v>11</v>
      </c>
      <c r="B33" s="41" t="s">
        <v>12670</v>
      </c>
      <c r="C33" s="74" t="s">
        <v>12671</v>
      </c>
      <c r="D33" s="72"/>
      <c r="F33" s="799"/>
      <c r="G33" s="797"/>
      <c r="H33" s="35"/>
      <c r="K33" s="163"/>
      <c r="L33" s="45"/>
      <c r="M33" s="46"/>
      <c r="N33" s="35"/>
      <c r="Q33" s="734" t="s">
        <v>404</v>
      </c>
      <c r="R33" s="219" t="s">
        <v>398</v>
      </c>
      <c r="S33" s="50">
        <f>_11・初任</f>
        <v>0.7</v>
      </c>
      <c r="T33" s="208">
        <f>ROUND((ROUND((ROUND((_11_A家事０．７５*_11・重度研修),0)*(1+_11・A深夜)),0)*_11・初任),0)+ROUND((ROUND((_11_B家事０．７５＿０．７５*_11・重度研修),0)*_11・初任),0)</f>
        <v>221</v>
      </c>
      <c r="U33" s="48"/>
    </row>
    <row r="34" spans="1:21" ht="16.5" customHeight="1" x14ac:dyDescent="0.15">
      <c r="A34" s="41">
        <v>11</v>
      </c>
      <c r="B34" s="41" t="s">
        <v>12672</v>
      </c>
      <c r="C34" s="74" t="s">
        <v>12673</v>
      </c>
      <c r="D34" s="72"/>
      <c r="F34" s="274">
        <f>_11_B家事０．７５＿０．７５</f>
        <v>122</v>
      </c>
      <c r="G34" s="10" t="s">
        <v>392</v>
      </c>
      <c r="H34" s="35"/>
      <c r="K34" s="44" t="s">
        <v>397</v>
      </c>
      <c r="L34" s="218" t="s">
        <v>398</v>
      </c>
      <c r="M34" s="189">
        <v>1</v>
      </c>
      <c r="N34" s="35"/>
      <c r="Q34" s="706"/>
      <c r="R34" s="220"/>
      <c r="S34" s="38"/>
      <c r="T34" s="208">
        <f>ROUND((ROUND((ROUND((ROUND((_11_A家事０．７５*_11・重度研修),0)*_11・２人),0)*(1+_11・A深夜)),0)*_11・初任),0)+ROUND((ROUND((ROUND((_11_B家事０．７５＿０．７５*_11・重度研修),0)*_11・２人),0)*_11・初任),0)</f>
        <v>221</v>
      </c>
      <c r="U34" s="48"/>
    </row>
    <row r="35" spans="1:21" ht="16.5" customHeight="1" x14ac:dyDescent="0.15">
      <c r="A35" s="41">
        <v>11</v>
      </c>
      <c r="B35" s="41">
        <v>8619</v>
      </c>
      <c r="C35" s="74" t="s">
        <v>12674</v>
      </c>
      <c r="D35" s="707" t="s">
        <v>12675</v>
      </c>
      <c r="E35" s="798"/>
      <c r="F35" s="707" t="s">
        <v>9588</v>
      </c>
      <c r="G35" s="814"/>
      <c r="H35" s="35"/>
      <c r="J35" s="234"/>
      <c r="K35" s="45"/>
      <c r="L35" s="45"/>
      <c r="M35" s="46"/>
      <c r="N35" s="35"/>
      <c r="Q35" s="53"/>
      <c r="R35" s="245"/>
      <c r="S35" s="49"/>
      <c r="T35" s="208">
        <f>ROUND((ROUND((_11_A家事１．０*_11・重度研修),0)*(1+_11・A深夜)),0)+ROUND((_11_B家事１．０＿０．２５*_11・重度研修),0)</f>
        <v>302</v>
      </c>
      <c r="U35" s="48"/>
    </row>
    <row r="36" spans="1:21" ht="16.5" customHeight="1" x14ac:dyDescent="0.15">
      <c r="A36" s="41">
        <v>11</v>
      </c>
      <c r="B36" s="41">
        <v>8620</v>
      </c>
      <c r="C36" s="74" t="s">
        <v>12676</v>
      </c>
      <c r="D36" s="799"/>
      <c r="E36" s="796"/>
      <c r="F36" s="799"/>
      <c r="G36" s="797"/>
      <c r="H36" s="35"/>
      <c r="J36" s="234"/>
      <c r="K36" s="217" t="s">
        <v>397</v>
      </c>
      <c r="L36" s="218" t="s">
        <v>398</v>
      </c>
      <c r="M36" s="46">
        <v>1</v>
      </c>
      <c r="N36" s="35"/>
      <c r="Q36" s="43"/>
      <c r="R36" s="220"/>
      <c r="S36" s="37"/>
      <c r="T36" s="208">
        <f>ROUND((ROUND((ROUND((_11_A家事１．０*_11・重度研修),0)*_11・２人),0)*(1+_11・A深夜)),0)+ROUND((ROUND((_11_B家事１．０＿０．２５*_11・重度研修),0)*_11・２人),0)</f>
        <v>302</v>
      </c>
      <c r="U36" s="48"/>
    </row>
    <row r="37" spans="1:21" ht="16.5" customHeight="1" x14ac:dyDescent="0.15">
      <c r="A37" s="41">
        <v>11</v>
      </c>
      <c r="B37" s="41" t="s">
        <v>12677</v>
      </c>
      <c r="C37" s="74" t="s">
        <v>12678</v>
      </c>
      <c r="D37" s="799"/>
      <c r="E37" s="796"/>
      <c r="F37" s="799"/>
      <c r="G37" s="797"/>
      <c r="H37" s="35"/>
      <c r="J37" s="234"/>
      <c r="K37" s="45"/>
      <c r="L37" s="45"/>
      <c r="M37" s="46"/>
      <c r="N37" s="35"/>
      <c r="Q37" s="734" t="s">
        <v>404</v>
      </c>
      <c r="R37" s="219" t="s">
        <v>398</v>
      </c>
      <c r="S37" s="50">
        <f>_11・初任</f>
        <v>0.7</v>
      </c>
      <c r="T37" s="208">
        <f>ROUND((ROUND((ROUND((_11_A家事１．０*_11・重度研修),0)*(1+_11・A深夜)),0)*_11・初任),0)+ROUND((ROUND((_11_B家事１．０＿０．２５*_11・重度研修),0)*_11・初任),0)</f>
        <v>212</v>
      </c>
      <c r="U37" s="48"/>
    </row>
    <row r="38" spans="1:21" ht="16.5" customHeight="1" x14ac:dyDescent="0.15">
      <c r="A38" s="41">
        <v>11</v>
      </c>
      <c r="B38" s="41" t="s">
        <v>12679</v>
      </c>
      <c r="C38" s="74" t="s">
        <v>12680</v>
      </c>
      <c r="D38" s="274">
        <f>_11_A家事１．０</f>
        <v>196</v>
      </c>
      <c r="E38" s="254" t="s">
        <v>392</v>
      </c>
      <c r="F38" s="274">
        <f>_11_B家事１．０＿０．２５</f>
        <v>42</v>
      </c>
      <c r="G38" s="10" t="s">
        <v>392</v>
      </c>
      <c r="H38" s="35"/>
      <c r="J38" s="234"/>
      <c r="K38" s="217" t="s">
        <v>397</v>
      </c>
      <c r="L38" s="218" t="s">
        <v>398</v>
      </c>
      <c r="M38" s="189">
        <v>1</v>
      </c>
      <c r="N38" s="35"/>
      <c r="Q38" s="706"/>
      <c r="R38" s="220"/>
      <c r="S38" s="38"/>
      <c r="T38" s="208">
        <f>ROUND((ROUND((ROUND((ROUND((_11_A家事１．０*_11・重度研修),0)*_11・２人),0)*(1+_11・A深夜)),0)*_11・初任),0)+ROUND((ROUND((ROUND((_11_B家事１．０＿０．２５*_11・重度研修),0)*_11・２人),0)*_11・初任),0)</f>
        <v>212</v>
      </c>
      <c r="U38" s="48"/>
    </row>
    <row r="39" spans="1:21" ht="16.5" customHeight="1" x14ac:dyDescent="0.15">
      <c r="A39" s="41">
        <v>11</v>
      </c>
      <c r="B39" s="41">
        <v>8621</v>
      </c>
      <c r="C39" s="74" t="s">
        <v>12681</v>
      </c>
      <c r="D39" s="72"/>
      <c r="F39" s="707" t="s">
        <v>9601</v>
      </c>
      <c r="G39" s="814"/>
      <c r="H39" s="35"/>
      <c r="J39" s="234"/>
      <c r="K39" s="45"/>
      <c r="L39" s="45"/>
      <c r="M39" s="46"/>
      <c r="N39" s="35"/>
      <c r="Q39" s="53"/>
      <c r="R39" s="245"/>
      <c r="S39" s="50"/>
      <c r="T39" s="208">
        <f>ROUND((ROUND((_11_A家事１．０*_11・重度研修),0)*(1+_11・A深夜)),0)+ROUND((_11_B家事１．０＿０．５*_11・重度研修),0)</f>
        <v>334</v>
      </c>
      <c r="U39" s="48"/>
    </row>
    <row r="40" spans="1:21" ht="16.5" customHeight="1" x14ac:dyDescent="0.15">
      <c r="A40" s="41">
        <v>11</v>
      </c>
      <c r="B40" s="41">
        <v>8622</v>
      </c>
      <c r="C40" s="74" t="s">
        <v>12682</v>
      </c>
      <c r="D40" s="72"/>
      <c r="F40" s="799"/>
      <c r="G40" s="797"/>
      <c r="H40" s="35"/>
      <c r="K40" s="44" t="s">
        <v>397</v>
      </c>
      <c r="L40" s="218" t="s">
        <v>398</v>
      </c>
      <c r="M40" s="189">
        <v>1</v>
      </c>
      <c r="N40" s="35"/>
      <c r="Q40" s="43"/>
      <c r="R40" s="220"/>
      <c r="S40" s="38"/>
      <c r="T40" s="208">
        <f>ROUND((ROUND((ROUND((_11_A家事１．０*_11・重度研修),0)*_11・２人),0)*(1+_11・A深夜)),0)+ROUND((ROUND((_11_B家事１．０＿０．５*_11・重度研修),0)*_11・２人),0)</f>
        <v>334</v>
      </c>
      <c r="U40" s="48"/>
    </row>
    <row r="41" spans="1:21" ht="16.5" customHeight="1" x14ac:dyDescent="0.15">
      <c r="A41" s="41">
        <v>11</v>
      </c>
      <c r="B41" s="41" t="s">
        <v>12683</v>
      </c>
      <c r="C41" s="74" t="s">
        <v>12684</v>
      </c>
      <c r="D41" s="72"/>
      <c r="F41" s="799"/>
      <c r="G41" s="797"/>
      <c r="H41" s="35"/>
      <c r="K41" s="163"/>
      <c r="L41" s="45"/>
      <c r="M41" s="46"/>
      <c r="N41" s="35"/>
      <c r="Q41" s="734" t="s">
        <v>404</v>
      </c>
      <c r="R41" s="219" t="s">
        <v>398</v>
      </c>
      <c r="S41" s="50">
        <f>_11・初任</f>
        <v>0.7</v>
      </c>
      <c r="T41" s="208">
        <f>ROUND((ROUND((ROUND((_11_A家事１．０*_11・重度研修),0)*(1+_11・A深夜)),0)*_11・初任),0)+ROUND((ROUND((_11_B家事１．０＿０．５*_11・重度研修),0)*_11・初任),0)</f>
        <v>234</v>
      </c>
      <c r="U41" s="48"/>
    </row>
    <row r="42" spans="1:21" ht="16.5" customHeight="1" x14ac:dyDescent="0.15">
      <c r="A42" s="41">
        <v>11</v>
      </c>
      <c r="B42" s="41" t="s">
        <v>12685</v>
      </c>
      <c r="C42" s="74" t="s">
        <v>12686</v>
      </c>
      <c r="D42" s="72"/>
      <c r="F42" s="274">
        <f>_11_B家事１．０＿０．５</f>
        <v>78</v>
      </c>
      <c r="G42" s="10" t="s">
        <v>392</v>
      </c>
      <c r="H42" s="35"/>
      <c r="K42" s="44" t="s">
        <v>397</v>
      </c>
      <c r="L42" s="218" t="s">
        <v>398</v>
      </c>
      <c r="M42" s="189">
        <v>1</v>
      </c>
      <c r="N42" s="35"/>
      <c r="Q42" s="706"/>
      <c r="R42" s="220"/>
      <c r="S42" s="38"/>
      <c r="T42" s="208">
        <f>ROUND((ROUND((ROUND((ROUND((_11_A家事１．０*_11・重度研修),0)*_11・２人),0)*(1+_11・A深夜)),0)*_11・初任),0)+ROUND((ROUND((ROUND((_11_B家事１．０＿０．５*_11・重度研修),0)*_11・２人),0)*_11・初任),0)</f>
        <v>234</v>
      </c>
      <c r="U42" s="48"/>
    </row>
    <row r="43" spans="1:21" ht="16.5" customHeight="1" x14ac:dyDescent="0.15">
      <c r="A43" s="41">
        <v>11</v>
      </c>
      <c r="B43" s="41">
        <v>8623</v>
      </c>
      <c r="C43" s="74" t="s">
        <v>12687</v>
      </c>
      <c r="D43" s="707" t="s">
        <v>12688</v>
      </c>
      <c r="E43" s="798"/>
      <c r="F43" s="707" t="s">
        <v>9588</v>
      </c>
      <c r="G43" s="814"/>
      <c r="H43" s="35"/>
      <c r="K43" s="163"/>
      <c r="L43" s="45"/>
      <c r="M43" s="46"/>
      <c r="N43" s="35"/>
      <c r="Q43" s="53"/>
      <c r="R43" s="245"/>
      <c r="S43" s="49"/>
      <c r="T43" s="208">
        <f>ROUND((ROUND((_11_A家事１．２５*_11・重度研修),0)*(1+_11・A深夜)),0)+ROUND((_11_B家事１．２５＿０．２５*_11・重度研修),0)</f>
        <v>353</v>
      </c>
      <c r="U43" s="48"/>
    </row>
    <row r="44" spans="1:21" ht="16.5" customHeight="1" x14ac:dyDescent="0.15">
      <c r="A44" s="41">
        <v>11</v>
      </c>
      <c r="B44" s="41">
        <v>8624</v>
      </c>
      <c r="C44" s="74" t="s">
        <v>12689</v>
      </c>
      <c r="D44" s="799"/>
      <c r="E44" s="796"/>
      <c r="F44" s="799"/>
      <c r="G44" s="797"/>
      <c r="H44" s="35"/>
      <c r="K44" s="44" t="s">
        <v>397</v>
      </c>
      <c r="L44" s="218" t="s">
        <v>398</v>
      </c>
      <c r="M44" s="189">
        <v>1</v>
      </c>
      <c r="N44" s="35"/>
      <c r="Q44" s="43"/>
      <c r="R44" s="220"/>
      <c r="S44" s="37"/>
      <c r="T44" s="208">
        <f>ROUND((ROUND((ROUND((_11_A家事１．２５*_11・重度研修),0)*_11・２人),0)*(1+_11・A深夜)),0)+ROUND((ROUND((_11_B家事１．２５＿０．２５*_11・重度研修),0)*_11・２人),0)</f>
        <v>353</v>
      </c>
      <c r="U44" s="48"/>
    </row>
    <row r="45" spans="1:21" ht="16.5" customHeight="1" x14ac:dyDescent="0.15">
      <c r="A45" s="41">
        <v>11</v>
      </c>
      <c r="B45" s="41" t="s">
        <v>12690</v>
      </c>
      <c r="C45" s="74" t="s">
        <v>12691</v>
      </c>
      <c r="D45" s="799"/>
      <c r="E45" s="796"/>
      <c r="F45" s="799"/>
      <c r="G45" s="797"/>
      <c r="H45" s="35"/>
      <c r="K45" s="163"/>
      <c r="L45" s="45"/>
      <c r="M45" s="46"/>
      <c r="N45" s="35"/>
      <c r="Q45" s="734" t="s">
        <v>404</v>
      </c>
      <c r="R45" s="219" t="s">
        <v>398</v>
      </c>
      <c r="S45" s="50">
        <f>_11・初任</f>
        <v>0.7</v>
      </c>
      <c r="T45" s="208">
        <f>ROUND((ROUND((ROUND((_11_A家事１．２５*_11・重度研修),0)*(1+_11・A深夜)),0)*_11・初任),0)+ROUND((ROUND((_11_B家事１．２５＿０．２５*_11・重度研修),0)*_11・初任),0)</f>
        <v>247</v>
      </c>
      <c r="U45" s="48"/>
    </row>
    <row r="46" spans="1:21" ht="16.5" customHeight="1" x14ac:dyDescent="0.15">
      <c r="A46" s="41">
        <v>11</v>
      </c>
      <c r="B46" s="41" t="s">
        <v>12692</v>
      </c>
      <c r="C46" s="74" t="s">
        <v>12693</v>
      </c>
      <c r="D46" s="276">
        <f>_11_A家事１．２５</f>
        <v>238</v>
      </c>
      <c r="E46" s="271" t="s">
        <v>392</v>
      </c>
      <c r="F46" s="276">
        <f>_11_B家事１．２５＿０．２５</f>
        <v>36</v>
      </c>
      <c r="G46" s="190" t="s">
        <v>392</v>
      </c>
      <c r="H46" s="43"/>
      <c r="I46" s="37"/>
      <c r="J46" s="38"/>
      <c r="K46" s="44" t="s">
        <v>397</v>
      </c>
      <c r="L46" s="218" t="s">
        <v>398</v>
      </c>
      <c r="M46" s="189">
        <v>1</v>
      </c>
      <c r="N46" s="43"/>
      <c r="O46" s="37"/>
      <c r="P46" s="38"/>
      <c r="Q46" s="706"/>
      <c r="R46" s="220"/>
      <c r="S46" s="38"/>
      <c r="T46" s="208">
        <f>ROUND((ROUND((ROUND((ROUND((_11_A家事１．２５*_11・重度研修),0)*_11・２人),0)*(1+_11・A深夜)),0)*_11・初任),0)+ROUND((ROUND((ROUND((_11_B家事１．２５＿０．２５*_11・重度研修),0)*_11・２人),0)*_11・初任),0)</f>
        <v>247</v>
      </c>
      <c r="U46" s="63"/>
    </row>
    <row r="47" spans="1:21" ht="16.5" customHeight="1" x14ac:dyDescent="0.15"/>
    <row r="48" spans="1:21" ht="16.5" customHeight="1" x14ac:dyDescent="0.15"/>
    <row r="49" ht="16.5" customHeight="1" x14ac:dyDescent="0.15"/>
  </sheetData>
  <mergeCells count="26">
    <mergeCell ref="F39:G41"/>
    <mergeCell ref="Q41:Q42"/>
    <mergeCell ref="D43:E45"/>
    <mergeCell ref="F43:G45"/>
    <mergeCell ref="Q45:Q46"/>
    <mergeCell ref="F27:G29"/>
    <mergeCell ref="Q29:Q30"/>
    <mergeCell ref="F31:G33"/>
    <mergeCell ref="Q33:Q34"/>
    <mergeCell ref="D35:E37"/>
    <mergeCell ref="F35:G37"/>
    <mergeCell ref="Q37:Q38"/>
    <mergeCell ref="F15:G17"/>
    <mergeCell ref="Q17:Q18"/>
    <mergeCell ref="F19:G21"/>
    <mergeCell ref="Q21:Q22"/>
    <mergeCell ref="D23:E25"/>
    <mergeCell ref="F23:G25"/>
    <mergeCell ref="Q25:Q26"/>
    <mergeCell ref="F11:G13"/>
    <mergeCell ref="Q13:Q14"/>
    <mergeCell ref="D7:E9"/>
    <mergeCell ref="F7:G9"/>
    <mergeCell ref="H7:J9"/>
    <mergeCell ref="P8:P9"/>
    <mergeCell ref="Q9:Q10"/>
  </mergeCells>
  <phoneticPr fontId="1"/>
  <printOptions horizontalCentered="1"/>
  <pageMargins left="0.70866141732283472" right="0.70866141732283472" top="0.62992125984251968" bottom="0.59055118110236227" header="0.31496062992125984" footer="0.31496062992125984"/>
  <pageSetup paperSize="9" scale="52" fitToHeight="0" orientation="portrait" r:id="rId1"/>
  <headerFooter>
    <oddHeader>&amp;R&amp;"ＭＳ Ｐゴシック"&amp;9居宅介護</oddHeader>
    <oddFooter>&amp;C&amp;"ＭＳ Ｐゴシック"&amp;14&amp;P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0">
    <pageSetUpPr fitToPage="1"/>
  </sheetPr>
  <dimension ref="A1:Z4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5.875" style="10" bestFit="1" customWidth="1"/>
    <col min="4" max="4" width="4.875" style="10" customWidth="1"/>
    <col min="5" max="5" width="4.875" style="12" customWidth="1"/>
    <col min="6" max="6" width="4.875" style="10" customWidth="1"/>
    <col min="7" max="7" width="4.875" style="12" customWidth="1"/>
    <col min="8" max="8" width="4.875" style="10" customWidth="1"/>
    <col min="9" max="9" width="4.875" style="12" customWidth="1"/>
    <col min="10" max="10" width="3.125" style="12" customWidth="1"/>
    <col min="11" max="11" width="2.5" style="12" customWidth="1"/>
    <col min="12" max="12" width="4.5" style="13" bestFit="1" customWidth="1"/>
    <col min="13" max="13" width="24.125" style="12" bestFit="1" customWidth="1"/>
    <col min="14" max="14" width="2.5" style="12" customWidth="1"/>
    <col min="15" max="15" width="5.5" style="13" bestFit="1" customWidth="1"/>
    <col min="16" max="16" width="2.5" style="12" customWidth="1"/>
    <col min="17" max="17" width="3.875" style="12" customWidth="1"/>
    <col min="18" max="18" width="4.5" style="13" bestFit="1" customWidth="1"/>
    <col min="19" max="19" width="2.5" style="12" customWidth="1"/>
    <col min="20" max="20" width="3.875" style="12" customWidth="1"/>
    <col min="21" max="21" width="4.5" style="13" bestFit="1" customWidth="1"/>
    <col min="22" max="22" width="17.875" style="12" customWidth="1"/>
    <col min="23" max="23" width="2.5" style="242" customWidth="1"/>
    <col min="24" max="24" width="4.5" style="13" bestFit="1" customWidth="1"/>
    <col min="25" max="25" width="7.125" style="206" customWidth="1"/>
    <col min="26" max="26" width="8.5" style="16" customWidth="1"/>
    <col min="27" max="16384" width="8.875" style="12"/>
  </cols>
  <sheetData>
    <row r="1" spans="1:26" ht="17.100000000000001" customHeight="1" x14ac:dyDescent="0.15"/>
    <row r="2" spans="1:26" ht="17.100000000000001" customHeight="1" x14ac:dyDescent="0.15"/>
    <row r="3" spans="1:26" ht="17.100000000000001" customHeight="1" x14ac:dyDescent="0.15"/>
    <row r="4" spans="1:26" ht="17.100000000000001" customHeight="1" x14ac:dyDescent="0.15">
      <c r="B4" s="17" t="s">
        <v>12694</v>
      </c>
      <c r="D4" s="71"/>
    </row>
    <row r="5" spans="1:26" ht="16.5" customHeight="1" x14ac:dyDescent="0.15">
      <c r="A5" s="19" t="s">
        <v>384</v>
      </c>
      <c r="B5" s="20"/>
      <c r="C5" s="21" t="s">
        <v>385</v>
      </c>
      <c r="D5" s="23" t="s">
        <v>386</v>
      </c>
      <c r="E5" s="23"/>
      <c r="F5" s="23"/>
      <c r="G5" s="23"/>
      <c r="H5" s="23"/>
      <c r="I5" s="23"/>
      <c r="J5" s="23"/>
      <c r="K5" s="23"/>
      <c r="L5" s="24"/>
      <c r="M5" s="23"/>
      <c r="N5" s="23"/>
      <c r="O5" s="24"/>
      <c r="P5" s="23"/>
      <c r="Q5" s="23"/>
      <c r="R5" s="24"/>
      <c r="S5" s="23"/>
      <c r="T5" s="23"/>
      <c r="U5" s="24"/>
      <c r="V5" s="23"/>
      <c r="W5" s="23"/>
      <c r="X5" s="24"/>
      <c r="Y5" s="21" t="s">
        <v>387</v>
      </c>
      <c r="Z5" s="21" t="s">
        <v>388</v>
      </c>
    </row>
    <row r="6" spans="1:26" ht="16.5" customHeight="1" x14ac:dyDescent="0.15">
      <c r="A6" s="26" t="s">
        <v>389</v>
      </c>
      <c r="B6" s="26" t="s">
        <v>390</v>
      </c>
      <c r="C6" s="27"/>
      <c r="D6" s="29"/>
      <c r="E6" s="29"/>
      <c r="F6" s="87" t="s">
        <v>1032</v>
      </c>
      <c r="G6" s="187"/>
      <c r="H6" s="87" t="s">
        <v>1033</v>
      </c>
      <c r="I6" s="20"/>
      <c r="J6" s="29"/>
      <c r="K6" s="29"/>
      <c r="L6" s="30"/>
      <c r="M6" s="29"/>
      <c r="N6" s="29"/>
      <c r="O6" s="30"/>
      <c r="P6" s="29"/>
      <c r="Q6" s="29"/>
      <c r="R6" s="30"/>
      <c r="S6" s="29"/>
      <c r="T6" s="29"/>
      <c r="U6" s="30"/>
      <c r="V6" s="29"/>
      <c r="W6" s="214"/>
      <c r="X6" s="30"/>
      <c r="Y6" s="32" t="s">
        <v>391</v>
      </c>
      <c r="Z6" s="32" t="s">
        <v>392</v>
      </c>
    </row>
    <row r="7" spans="1:26" ht="16.5" customHeight="1" x14ac:dyDescent="0.15">
      <c r="A7" s="33">
        <v>11</v>
      </c>
      <c r="B7" s="33">
        <v>8625</v>
      </c>
      <c r="C7" s="34" t="s">
        <v>12695</v>
      </c>
      <c r="D7" s="709" t="s">
        <v>394</v>
      </c>
      <c r="E7" s="796"/>
      <c r="F7" s="709" t="s">
        <v>9713</v>
      </c>
      <c r="G7" s="796"/>
      <c r="H7" s="709" t="s">
        <v>9967</v>
      </c>
      <c r="I7" s="797"/>
      <c r="J7" s="709" t="s">
        <v>11707</v>
      </c>
      <c r="K7" s="787"/>
      <c r="L7" s="802"/>
      <c r="M7" s="37"/>
      <c r="N7" s="37"/>
      <c r="O7" s="38"/>
      <c r="P7" s="92" t="s">
        <v>1416</v>
      </c>
      <c r="S7" s="72" t="s">
        <v>1618</v>
      </c>
      <c r="V7" s="178"/>
      <c r="Y7" s="207">
        <f>ROUND((_11_A家事０．５*_11・重度研修),0)+ROUND((ROUND((_11_B家事０．５＿０．２５*_11・重度研修),0)*(1+_11・B夜間)),0)+ROUND((ROUND((_11_C家事０．５＿０．２５＿０．２５*_11・重度研修),0)*(1+_11・C深夜)),0)</f>
        <v>208</v>
      </c>
      <c r="Z7" s="40" t="s">
        <v>395</v>
      </c>
    </row>
    <row r="8" spans="1:26" ht="16.5" customHeight="1" x14ac:dyDescent="0.15">
      <c r="A8" s="41">
        <v>11</v>
      </c>
      <c r="B8" s="41">
        <v>8626</v>
      </c>
      <c r="C8" s="74" t="s">
        <v>12696</v>
      </c>
      <c r="D8" s="799"/>
      <c r="E8" s="796"/>
      <c r="F8" s="799"/>
      <c r="G8" s="796"/>
      <c r="H8" s="799"/>
      <c r="I8" s="797"/>
      <c r="J8" s="722"/>
      <c r="K8" s="787"/>
      <c r="L8" s="787"/>
      <c r="M8" s="44" t="s">
        <v>397</v>
      </c>
      <c r="N8" s="218" t="s">
        <v>398</v>
      </c>
      <c r="O8" s="46">
        <v>1</v>
      </c>
      <c r="P8" s="257" t="s">
        <v>398</v>
      </c>
      <c r="Q8" s="13">
        <v>0.25</v>
      </c>
      <c r="R8" s="704" t="s">
        <v>676</v>
      </c>
      <c r="S8" s="258" t="s">
        <v>398</v>
      </c>
      <c r="T8" s="13">
        <v>0.5</v>
      </c>
      <c r="U8" s="704" t="s">
        <v>676</v>
      </c>
      <c r="V8" s="180"/>
      <c r="W8" s="220"/>
      <c r="X8" s="38"/>
      <c r="Y8" s="208">
        <f>ROUND((ROUND((_11_A家事０．５*_11・重度研修),0)*_11・２人),0)+ROUND((ROUND((ROUND((_11_B家事０．５＿０．２５*_11・重度研修),0)*_11・２人),0)*(1+_11・B夜間)),0)+ROUND((ROUND((ROUND((_11_C家事０．５＿０．２５＿０．２５*_11・重度研修),0)*_11・２人),0)*(1+_11・C深夜)),0)</f>
        <v>208</v>
      </c>
      <c r="Z8" s="48"/>
    </row>
    <row r="9" spans="1:26" ht="16.5" customHeight="1" x14ac:dyDescent="0.15">
      <c r="A9" s="41">
        <v>11</v>
      </c>
      <c r="B9" s="41" t="s">
        <v>12697</v>
      </c>
      <c r="C9" s="74" t="s">
        <v>12698</v>
      </c>
      <c r="D9" s="799"/>
      <c r="E9" s="796"/>
      <c r="F9" s="799"/>
      <c r="G9" s="796"/>
      <c r="H9" s="799"/>
      <c r="I9" s="797"/>
      <c r="J9" s="722"/>
      <c r="K9" s="787"/>
      <c r="L9" s="802"/>
      <c r="M9" s="45"/>
      <c r="N9" s="45"/>
      <c r="O9" s="46"/>
      <c r="P9" s="35"/>
      <c r="R9" s="797"/>
      <c r="S9" s="35"/>
      <c r="U9" s="797"/>
      <c r="V9" s="734" t="s">
        <v>404</v>
      </c>
      <c r="W9" s="219" t="s">
        <v>398</v>
      </c>
      <c r="X9" s="50">
        <f>_11・初任</f>
        <v>0.7</v>
      </c>
      <c r="Y9" s="208">
        <f>ROUND((ROUND((_11_A家事０．５*_11・重度研修),0)*_11・初任),0)+ROUND((ROUND((ROUND((_11_B家事０．５＿０．２５*_11・重度研修),0)*(1+_11・B夜間)),0)*_11・初任),0)+ROUND((ROUND((ROUND((_11_C家事０．５＿０．２５＿０．２５*_11・重度研修),0)*(1+_11・C深夜)),0)*_11・初任),0)</f>
        <v>146</v>
      </c>
      <c r="Z9" s="48"/>
    </row>
    <row r="10" spans="1:26" ht="16.5" customHeight="1" x14ac:dyDescent="0.15">
      <c r="A10" s="41">
        <v>11</v>
      </c>
      <c r="B10" s="41" t="s">
        <v>12699</v>
      </c>
      <c r="C10" s="74" t="s">
        <v>12700</v>
      </c>
      <c r="D10" s="274">
        <f>_11_A家事０．５</f>
        <v>105</v>
      </c>
      <c r="E10" s="254" t="s">
        <v>392</v>
      </c>
      <c r="F10" s="274">
        <f>_11_B家事０．５＿０．２５</f>
        <v>47</v>
      </c>
      <c r="G10" s="10" t="s">
        <v>392</v>
      </c>
      <c r="H10" s="274">
        <f>_11_C家事０．５＿０．２５＿０．２５</f>
        <v>44</v>
      </c>
      <c r="I10" s="254" t="s">
        <v>392</v>
      </c>
      <c r="J10" s="35"/>
      <c r="K10" s="233" t="s">
        <v>398</v>
      </c>
      <c r="L10" s="13">
        <v>0.9</v>
      </c>
      <c r="M10" s="44" t="s">
        <v>397</v>
      </c>
      <c r="N10" s="218" t="s">
        <v>398</v>
      </c>
      <c r="O10" s="46">
        <v>1</v>
      </c>
      <c r="P10" s="35"/>
      <c r="S10" s="35"/>
      <c r="V10" s="706"/>
      <c r="W10" s="220"/>
      <c r="X10" s="38"/>
      <c r="Y10" s="208">
        <f>ROUND((ROUND((ROUND((_11_A家事０．５*_11・重度研修),0)*_11・２人),0)*_11・初任),0)+ROUND((ROUND((ROUND((ROUND((_11_B家事０．５＿０．２５*_11・重度研修),0)*_11・２人),0)*(1+_11・B夜間)),0)*_11・初任),0)+ROUND((ROUND((ROUND((ROUND((_11_C家事０．５＿０．２５＿０．２５*_11・重度研修),0)*_11・２人),0)*(1+_11・C深夜)),0)*_11・初任),0)</f>
        <v>146</v>
      </c>
      <c r="Z10" s="48"/>
    </row>
    <row r="11" spans="1:26" ht="16.5" customHeight="1" x14ac:dyDescent="0.15">
      <c r="A11" s="41">
        <v>11</v>
      </c>
      <c r="B11" s="41">
        <v>8627</v>
      </c>
      <c r="C11" s="74" t="s">
        <v>12701</v>
      </c>
      <c r="D11" s="72"/>
      <c r="F11" s="72"/>
      <c r="H11" s="707" t="s">
        <v>9980</v>
      </c>
      <c r="I11" s="798"/>
      <c r="J11" s="35"/>
      <c r="M11" s="163"/>
      <c r="N11" s="45"/>
      <c r="O11" s="46"/>
      <c r="P11" s="35"/>
      <c r="S11" s="35"/>
      <c r="V11" s="53"/>
      <c r="W11" s="245"/>
      <c r="X11" s="49"/>
      <c r="Y11" s="208">
        <f>ROUND((_11_A家事０．５*_11・重度研修),0)+ROUND((ROUND((_11_B家事０．５＿０．２５*_11・重度研修),0)*(1+_11・B夜間)),0)+ROUND((ROUND((_11_C家事０．５＿０．２５＿０．５*_11・重度研修),0)*(1+_11・C深夜)),0)</f>
        <v>264</v>
      </c>
      <c r="Z11" s="48"/>
    </row>
    <row r="12" spans="1:26" ht="16.5" customHeight="1" x14ac:dyDescent="0.15">
      <c r="A12" s="41">
        <v>11</v>
      </c>
      <c r="B12" s="41">
        <v>8628</v>
      </c>
      <c r="C12" s="74" t="s">
        <v>12702</v>
      </c>
      <c r="D12" s="72"/>
      <c r="F12" s="72"/>
      <c r="H12" s="799"/>
      <c r="I12" s="796"/>
      <c r="J12" s="35"/>
      <c r="M12" s="44" t="s">
        <v>397</v>
      </c>
      <c r="N12" s="218" t="s">
        <v>398</v>
      </c>
      <c r="O12" s="46">
        <v>1</v>
      </c>
      <c r="P12" s="35"/>
      <c r="S12" s="35"/>
      <c r="V12" s="43"/>
      <c r="W12" s="220"/>
      <c r="X12" s="37"/>
      <c r="Y12" s="208">
        <f>ROUND((ROUND((_11_A家事０．５*_11・重度研修),0)*_11・２人),0)+ROUND((ROUND((ROUND((_11_B家事０．５＿０．２５*_11・重度研修),0)*_11・２人),0)*(1+_11・B夜間)),0)+ROUND((ROUND((ROUND((_11_C家事０．５＿０．２５＿０．５*_11・重度研修),0)*_11・２人),0)*(1+_11・C深夜)),0)</f>
        <v>264</v>
      </c>
      <c r="Z12" s="48"/>
    </row>
    <row r="13" spans="1:26" ht="16.5" customHeight="1" x14ac:dyDescent="0.15">
      <c r="A13" s="41">
        <v>11</v>
      </c>
      <c r="B13" s="41" t="s">
        <v>12703</v>
      </c>
      <c r="C13" s="74" t="s">
        <v>12704</v>
      </c>
      <c r="D13" s="72"/>
      <c r="F13" s="72"/>
      <c r="H13" s="799"/>
      <c r="I13" s="796"/>
      <c r="J13" s="35"/>
      <c r="M13" s="163"/>
      <c r="N13" s="45"/>
      <c r="O13" s="46"/>
      <c r="P13" s="35"/>
      <c r="S13" s="35"/>
      <c r="V13" s="734" t="s">
        <v>404</v>
      </c>
      <c r="W13" s="219" t="s">
        <v>398</v>
      </c>
      <c r="X13" s="50">
        <f>_11・初任</f>
        <v>0.7</v>
      </c>
      <c r="Y13" s="208">
        <f>ROUND((ROUND((_11_A家事０．５*_11・重度研修),0)*_11・初任),0)+ROUND((ROUND((ROUND((_11_B家事０．５＿０．２５*_11・重度研修),0)*(1+_11・B夜間)),0)*_11・初任),0)+ROUND((ROUND((ROUND((_11_C家事０．５＿０．２５＿０．５*_11・重度研修),0)*(1+_11・C深夜)),0)*_11・初任),0)</f>
        <v>185</v>
      </c>
      <c r="Z13" s="48"/>
    </row>
    <row r="14" spans="1:26" ht="16.5" customHeight="1" x14ac:dyDescent="0.15">
      <c r="A14" s="41">
        <v>11</v>
      </c>
      <c r="B14" s="41" t="s">
        <v>12705</v>
      </c>
      <c r="C14" s="74" t="s">
        <v>12706</v>
      </c>
      <c r="D14" s="72"/>
      <c r="F14" s="72"/>
      <c r="H14" s="274">
        <f>_11_C家事０．５＿０．２５＿０．５</f>
        <v>86</v>
      </c>
      <c r="I14" s="254" t="s">
        <v>392</v>
      </c>
      <c r="J14" s="35"/>
      <c r="M14" s="44" t="s">
        <v>397</v>
      </c>
      <c r="N14" s="218" t="s">
        <v>398</v>
      </c>
      <c r="O14" s="46">
        <v>1</v>
      </c>
      <c r="P14" s="35"/>
      <c r="S14" s="35"/>
      <c r="V14" s="706"/>
      <c r="W14" s="220"/>
      <c r="X14" s="38"/>
      <c r="Y14" s="208">
        <f>ROUND((ROUND((ROUND((_11_A家事０．５*_11・重度研修),0)*_11・２人),0)*_11・初任),0)+ROUND((ROUND((ROUND((ROUND((_11_B家事０．５＿０．２５*_11・重度研修),0)*_11・２人),0)*(1+_11・B夜間)),0)*_11・初任),0)+ROUND((ROUND((ROUND((ROUND((_11_C家事０．５＿０．２５＿０．５*_11・重度研修),0)*_11・２人),0)*(1+_11・C深夜)),0)*_11・初任),0)</f>
        <v>185</v>
      </c>
      <c r="Z14" s="48"/>
    </row>
    <row r="15" spans="1:26" ht="16.5" customHeight="1" x14ac:dyDescent="0.15">
      <c r="A15" s="41">
        <v>11</v>
      </c>
      <c r="B15" s="41">
        <v>8629</v>
      </c>
      <c r="C15" s="74" t="s">
        <v>12707</v>
      </c>
      <c r="D15" s="72"/>
      <c r="F15" s="72"/>
      <c r="H15" s="707" t="s">
        <v>9993</v>
      </c>
      <c r="I15" s="798"/>
      <c r="J15" s="35"/>
      <c r="M15" s="163"/>
      <c r="N15" s="45"/>
      <c r="O15" s="46"/>
      <c r="P15" s="35"/>
      <c r="S15" s="35"/>
      <c r="V15" s="260"/>
      <c r="W15" s="245"/>
      <c r="X15" s="50"/>
      <c r="Y15" s="208">
        <f>ROUND((_11_A家事０．５*_11・重度研修),0)+ROUND((ROUND((_11_B家事０．５＿０．２５*_11・重度研修),0)*(1+_11・B夜間)),0)+ROUND((ROUND((_11_C家事０．５＿０．２５＿０．７５*_11・重度研修),0)*(1+_11・C深夜)),0)</f>
        <v>313</v>
      </c>
      <c r="Z15" s="48"/>
    </row>
    <row r="16" spans="1:26" ht="16.5" customHeight="1" x14ac:dyDescent="0.15">
      <c r="A16" s="41">
        <v>11</v>
      </c>
      <c r="B16" s="41">
        <v>8630</v>
      </c>
      <c r="C16" s="74" t="s">
        <v>12708</v>
      </c>
      <c r="D16" s="72"/>
      <c r="F16" s="72"/>
      <c r="H16" s="799"/>
      <c r="I16" s="796"/>
      <c r="J16" s="35"/>
      <c r="M16" s="44" t="s">
        <v>397</v>
      </c>
      <c r="N16" s="218" t="s">
        <v>398</v>
      </c>
      <c r="O16" s="46">
        <v>1</v>
      </c>
      <c r="P16" s="35"/>
      <c r="S16" s="35"/>
      <c r="V16" s="180"/>
      <c r="W16" s="220"/>
      <c r="X16" s="38"/>
      <c r="Y16" s="208">
        <f>ROUND((ROUND((_11_A家事０．５*_11・重度研修),0)*_11・２人),0)+ROUND((ROUND((ROUND((_11_B家事０．５＿０．２５*_11・重度研修),0)*_11・２人),0)*(1+_11・B夜間)),0)+ROUND((ROUND((ROUND((_11_C家事０．５＿０．２５＿０．７５*_11・重度研修),0)*_11・２人),0)*(1+_11・C深夜)),0)</f>
        <v>313</v>
      </c>
      <c r="Z16" s="48"/>
    </row>
    <row r="17" spans="1:26" ht="16.5" customHeight="1" x14ac:dyDescent="0.15">
      <c r="A17" s="41">
        <v>11</v>
      </c>
      <c r="B17" s="41" t="s">
        <v>12709</v>
      </c>
      <c r="C17" s="74" t="s">
        <v>12710</v>
      </c>
      <c r="D17" s="72"/>
      <c r="F17" s="72"/>
      <c r="H17" s="799"/>
      <c r="I17" s="796"/>
      <c r="J17" s="35"/>
      <c r="M17" s="163"/>
      <c r="N17" s="45"/>
      <c r="O17" s="46"/>
      <c r="P17" s="35"/>
      <c r="S17" s="35"/>
      <c r="V17" s="734" t="s">
        <v>404</v>
      </c>
      <c r="W17" s="219" t="s">
        <v>398</v>
      </c>
      <c r="X17" s="50">
        <f>_11・初任</f>
        <v>0.7</v>
      </c>
      <c r="Y17" s="208">
        <f>ROUND((ROUND((_11_A家事０．５*_11・重度研修),0)*_11・初任),0)+ROUND((ROUND((ROUND((_11_B家事０．５＿０．２５*_11・重度研修),0)*(1+_11・B夜間)),0)*_11・初任),0)+ROUND((ROUND((ROUND((_11_C家事０．５＿０．２５＿０．７５*_11・重度研修),0)*(1+_11・C深夜)),0)*_11・初任),0)</f>
        <v>220</v>
      </c>
      <c r="Z17" s="48"/>
    </row>
    <row r="18" spans="1:26" ht="16.5" customHeight="1" x14ac:dyDescent="0.15">
      <c r="A18" s="41">
        <v>11</v>
      </c>
      <c r="B18" s="41" t="s">
        <v>12711</v>
      </c>
      <c r="C18" s="74" t="s">
        <v>12712</v>
      </c>
      <c r="D18" s="72"/>
      <c r="F18" s="72"/>
      <c r="H18" s="274">
        <f>_11_C家事０．５＿０．２５＿０．７５</f>
        <v>122</v>
      </c>
      <c r="I18" s="254" t="s">
        <v>392</v>
      </c>
      <c r="J18" s="35"/>
      <c r="M18" s="44" t="s">
        <v>397</v>
      </c>
      <c r="N18" s="218" t="s">
        <v>398</v>
      </c>
      <c r="O18" s="46">
        <v>1</v>
      </c>
      <c r="P18" s="35"/>
      <c r="S18" s="35"/>
      <c r="V18" s="706"/>
      <c r="W18" s="220"/>
      <c r="X18" s="38"/>
      <c r="Y18" s="208">
        <f>ROUND((ROUND((ROUND((_11_A家事０．５*_11・重度研修),0)*_11・２人),0)*_11・初任),0)+ROUND((ROUND((ROUND((ROUND((_11_B家事０．５＿０．２５*_11・重度研修),0)*_11・２人),0)*(1+_11・B夜間)),0)*_11・初任),0)+ROUND((ROUND((ROUND((ROUND((_11_C家事０．５＿０．２５＿０．７５*_11・重度研修),0)*_11・２人),0)*(1+_11・C深夜)),0)*_11・初任),0)</f>
        <v>220</v>
      </c>
      <c r="Z18" s="48"/>
    </row>
    <row r="19" spans="1:26" ht="16.5" customHeight="1" x14ac:dyDescent="0.15">
      <c r="A19" s="41">
        <v>11</v>
      </c>
      <c r="B19" s="41">
        <v>8631</v>
      </c>
      <c r="C19" s="74" t="s">
        <v>12713</v>
      </c>
      <c r="D19" s="72"/>
      <c r="F19" s="707" t="s">
        <v>9726</v>
      </c>
      <c r="G19" s="798"/>
      <c r="H19" s="707" t="s">
        <v>9967</v>
      </c>
      <c r="I19" s="798"/>
      <c r="J19" s="35"/>
      <c r="M19" s="163"/>
      <c r="N19" s="45"/>
      <c r="O19" s="46"/>
      <c r="P19" s="35"/>
      <c r="S19" s="35"/>
      <c r="V19" s="53"/>
      <c r="W19" s="245"/>
      <c r="X19" s="49"/>
      <c r="Y19" s="208">
        <f>ROUND((_11_A家事０．５*_11・重度研修),0)+ROUND((ROUND((_11_B家事０．５＿０．５*_11・重度研修),0)*(1+_11・B夜間)),0)+ROUND((ROUND((_11_C家事０．５＿０．５＿０．２５*_11・重度研修),0)*(1+_11・C深夜)),0)</f>
        <v>255</v>
      </c>
      <c r="Z19" s="48"/>
    </row>
    <row r="20" spans="1:26" ht="16.5" customHeight="1" x14ac:dyDescent="0.15">
      <c r="A20" s="41">
        <v>11</v>
      </c>
      <c r="B20" s="41">
        <v>8632</v>
      </c>
      <c r="C20" s="74" t="s">
        <v>12714</v>
      </c>
      <c r="D20" s="72"/>
      <c r="F20" s="799"/>
      <c r="G20" s="796"/>
      <c r="H20" s="799"/>
      <c r="I20" s="796"/>
      <c r="J20" s="35"/>
      <c r="M20" s="44" t="s">
        <v>397</v>
      </c>
      <c r="N20" s="218" t="s">
        <v>398</v>
      </c>
      <c r="O20" s="46">
        <v>1</v>
      </c>
      <c r="P20" s="35"/>
      <c r="S20" s="35"/>
      <c r="V20" s="43"/>
      <c r="W20" s="220"/>
      <c r="X20" s="37"/>
      <c r="Y20" s="208">
        <f>ROUND((ROUND((_11_A家事０．５*_11・重度研修),0)*_11・２人),0)+ROUND((ROUND((ROUND((_11_B家事０．５＿０．５*_11・重度研修),0)*_11・２人),0)*(1+_11・B夜間)),0)+ROUND((ROUND((ROUND((_11_C家事０．５＿０．５＿０．２５*_11・重度研修),0)*_11・２人),0)*(1+_11・C深夜)),0)</f>
        <v>255</v>
      </c>
      <c r="Z20" s="48"/>
    </row>
    <row r="21" spans="1:26" ht="16.5" customHeight="1" x14ac:dyDescent="0.15">
      <c r="A21" s="41">
        <v>11</v>
      </c>
      <c r="B21" s="41" t="s">
        <v>12715</v>
      </c>
      <c r="C21" s="74" t="s">
        <v>12716</v>
      </c>
      <c r="D21" s="72"/>
      <c r="F21" s="799"/>
      <c r="G21" s="796"/>
      <c r="H21" s="799"/>
      <c r="I21" s="796"/>
      <c r="J21" s="35"/>
      <c r="M21" s="163"/>
      <c r="N21" s="45"/>
      <c r="O21" s="46"/>
      <c r="P21" s="35"/>
      <c r="S21" s="35"/>
      <c r="V21" s="734" t="s">
        <v>404</v>
      </c>
      <c r="W21" s="219" t="s">
        <v>398</v>
      </c>
      <c r="X21" s="50">
        <f>_11・初任</f>
        <v>0.7</v>
      </c>
      <c r="Y21" s="208">
        <f>ROUND((ROUND((_11_A家事０．５*_11・重度研修),0)*_11・初任),0)+ROUND((ROUND((ROUND((_11_B家事０．５＿０．５*_11・重度研修),0)*(1+_11・B夜間)),0)*_11・初任),0)+ROUND((ROUND((ROUND((_11_C家事０．５＿０．５＿０．２５*_11・重度研修),0)*(1+_11・C深夜)),0)*_11・初任),0)</f>
        <v>179</v>
      </c>
      <c r="Z21" s="48"/>
    </row>
    <row r="22" spans="1:26" ht="16.5" customHeight="1" x14ac:dyDescent="0.15">
      <c r="A22" s="41">
        <v>11</v>
      </c>
      <c r="B22" s="41" t="s">
        <v>12717</v>
      </c>
      <c r="C22" s="74" t="s">
        <v>12718</v>
      </c>
      <c r="D22" s="72"/>
      <c r="F22" s="274">
        <f>_11_B家事０．５＿０．５</f>
        <v>91</v>
      </c>
      <c r="G22" s="10" t="s">
        <v>392</v>
      </c>
      <c r="H22" s="274">
        <f>_11_C家事０．５＿０．５＿０．２５</f>
        <v>42</v>
      </c>
      <c r="I22" s="254" t="s">
        <v>392</v>
      </c>
      <c r="J22" s="35"/>
      <c r="M22" s="44" t="s">
        <v>397</v>
      </c>
      <c r="N22" s="218" t="s">
        <v>398</v>
      </c>
      <c r="O22" s="46">
        <v>1</v>
      </c>
      <c r="P22" s="35"/>
      <c r="S22" s="35"/>
      <c r="V22" s="706"/>
      <c r="W22" s="220"/>
      <c r="X22" s="38"/>
      <c r="Y22" s="208">
        <f>ROUND((ROUND((ROUND((_11_A家事０．５*_11・重度研修),0)*_11・２人),0)*_11・初任),0)+ROUND((ROUND((ROUND((ROUND((_11_B家事０．５＿０．５*_11・重度研修),0)*_11・２人),0)*(1+_11・B夜間)),0)*_11・初任),0)+ROUND((ROUND((ROUND((ROUND((_11_C家事０．５＿０．５＿０．２５*_11・重度研修),0)*_11・２人),0)*(1+_11・C深夜)),0)*_11・初任),0)</f>
        <v>179</v>
      </c>
      <c r="Z22" s="48"/>
    </row>
    <row r="23" spans="1:26" ht="16.5" customHeight="1" x14ac:dyDescent="0.15">
      <c r="A23" s="41">
        <v>11</v>
      </c>
      <c r="B23" s="41">
        <v>8633</v>
      </c>
      <c r="C23" s="74" t="s">
        <v>12719</v>
      </c>
      <c r="D23" s="72"/>
      <c r="F23" s="72"/>
      <c r="H23" s="707" t="s">
        <v>9980</v>
      </c>
      <c r="I23" s="798"/>
      <c r="J23" s="35"/>
      <c r="M23" s="163"/>
      <c r="N23" s="45"/>
      <c r="O23" s="46"/>
      <c r="P23" s="35"/>
      <c r="S23" s="35"/>
      <c r="V23" s="260"/>
      <c r="W23" s="245"/>
      <c r="X23" s="50"/>
      <c r="Y23" s="208">
        <f>ROUND((_11_A家事０．５*_11・重度研修),0)+ROUND((ROUND((_11_B家事０．５＿０．５*_11・重度研修),0)*(1+_11・B夜間)),0)+ROUND((ROUND((_11_C家事０．５＿０．５＿０．５*_11・重度研修),0)*(1+_11・C深夜)),0)</f>
        <v>303</v>
      </c>
      <c r="Z23" s="48"/>
    </row>
    <row r="24" spans="1:26" ht="16.5" customHeight="1" x14ac:dyDescent="0.15">
      <c r="A24" s="41">
        <v>11</v>
      </c>
      <c r="B24" s="41">
        <v>8634</v>
      </c>
      <c r="C24" s="74" t="s">
        <v>12720</v>
      </c>
      <c r="D24" s="72"/>
      <c r="F24" s="72"/>
      <c r="H24" s="799"/>
      <c r="I24" s="796"/>
      <c r="J24" s="35"/>
      <c r="M24" s="44" t="s">
        <v>397</v>
      </c>
      <c r="N24" s="218" t="s">
        <v>398</v>
      </c>
      <c r="O24" s="46">
        <v>1</v>
      </c>
      <c r="P24" s="35"/>
      <c r="S24" s="35"/>
      <c r="V24" s="180"/>
      <c r="W24" s="220"/>
      <c r="X24" s="38"/>
      <c r="Y24" s="208">
        <f>ROUND((ROUND((_11_A家事０．５*_11・重度研修),0)*_11・２人),0)+ROUND((ROUND((ROUND((_11_B家事０．５＿０．５*_11・重度研修),0)*_11・２人),0)*(1+_11・B夜間)),0)+ROUND((ROUND((ROUND((_11_C家事０．５＿０．５＿０．５*_11・重度研修),0)*_11・２人),0)*(1+_11・C深夜)),0)</f>
        <v>303</v>
      </c>
      <c r="Z24" s="48"/>
    </row>
    <row r="25" spans="1:26" ht="16.5" customHeight="1" x14ac:dyDescent="0.15">
      <c r="A25" s="41">
        <v>11</v>
      </c>
      <c r="B25" s="41" t="s">
        <v>12721</v>
      </c>
      <c r="C25" s="74" t="s">
        <v>12722</v>
      </c>
      <c r="D25" s="72"/>
      <c r="F25" s="72"/>
      <c r="H25" s="799"/>
      <c r="I25" s="796"/>
      <c r="J25" s="35"/>
      <c r="M25" s="163"/>
      <c r="N25" s="45"/>
      <c r="O25" s="46"/>
      <c r="P25" s="35"/>
      <c r="S25" s="35"/>
      <c r="V25" s="734" t="s">
        <v>404</v>
      </c>
      <c r="W25" s="219" t="s">
        <v>398</v>
      </c>
      <c r="X25" s="50">
        <f>_11・初任</f>
        <v>0.7</v>
      </c>
      <c r="Y25" s="208">
        <f>ROUND((ROUND((_11_A家事０．５*_11・重度研修),0)*_11・初任),0)+ROUND((ROUND((ROUND((_11_B家事０．５＿０．５*_11・重度研修),0)*(1+_11・B夜間)),0)*_11・初任),0)+ROUND((ROUND((ROUND((_11_C家事０．５＿０．５＿０．５*_11・重度研修),0)*(1+_11・C深夜)),0)*_11・初任),0)</f>
        <v>213</v>
      </c>
      <c r="Z25" s="48"/>
    </row>
    <row r="26" spans="1:26" ht="16.5" customHeight="1" x14ac:dyDescent="0.15">
      <c r="A26" s="41">
        <v>11</v>
      </c>
      <c r="B26" s="41" t="s">
        <v>12723</v>
      </c>
      <c r="C26" s="74" t="s">
        <v>12724</v>
      </c>
      <c r="D26" s="72"/>
      <c r="F26" s="72"/>
      <c r="H26" s="274">
        <f>_11_C家事０．５＿０．５＿０．５</f>
        <v>78</v>
      </c>
      <c r="I26" s="254" t="s">
        <v>392</v>
      </c>
      <c r="J26" s="35"/>
      <c r="M26" s="44" t="s">
        <v>397</v>
      </c>
      <c r="N26" s="218" t="s">
        <v>398</v>
      </c>
      <c r="O26" s="46">
        <v>1</v>
      </c>
      <c r="P26" s="35"/>
      <c r="S26" s="35"/>
      <c r="V26" s="706"/>
      <c r="W26" s="220"/>
      <c r="X26" s="38"/>
      <c r="Y26" s="208">
        <f>ROUND((ROUND((ROUND((_11_A家事０．５*_11・重度研修),0)*_11・２人),0)*_11・初任),0)+ROUND((ROUND((ROUND((ROUND((_11_B家事０．５＿０．５*_11・重度研修),0)*_11・２人),0)*(1+_11・B夜間)),0)*_11・初任),0)+ROUND((ROUND((ROUND((ROUND((_11_C家事０．５＿０．５＿０．５*_11・重度研修),0)*_11・２人),0)*(1+_11・C深夜)),0)*_11・初任),0)</f>
        <v>213</v>
      </c>
      <c r="Z26" s="48"/>
    </row>
    <row r="27" spans="1:26" ht="16.5" customHeight="1" x14ac:dyDescent="0.15">
      <c r="A27" s="41">
        <v>11</v>
      </c>
      <c r="B27" s="41">
        <v>8635</v>
      </c>
      <c r="C27" s="74" t="s">
        <v>12725</v>
      </c>
      <c r="D27" s="72"/>
      <c r="F27" s="707" t="s">
        <v>9739</v>
      </c>
      <c r="G27" s="798"/>
      <c r="H27" s="707" t="s">
        <v>9967</v>
      </c>
      <c r="I27" s="798"/>
      <c r="J27" s="35"/>
      <c r="M27" s="163"/>
      <c r="N27" s="45"/>
      <c r="O27" s="46"/>
      <c r="P27" s="35"/>
      <c r="S27" s="35"/>
      <c r="V27" s="53"/>
      <c r="W27" s="245"/>
      <c r="X27" s="49"/>
      <c r="Y27" s="208">
        <f>ROUND((_11_A家事０．５*_11・重度研修),0)+ROUND((ROUND((_11_B家事０．５＿０．７５*_11・重度研修),0)*(1+_11・B夜間)),0)+ROUND((ROUND((_11_C家事０．５＿０．７５＿０．２５*_11・重度研修),0)*(1+_11・C深夜)),0)</f>
        <v>293</v>
      </c>
      <c r="Z27" s="48"/>
    </row>
    <row r="28" spans="1:26" ht="16.5" customHeight="1" x14ac:dyDescent="0.15">
      <c r="A28" s="41">
        <v>11</v>
      </c>
      <c r="B28" s="41">
        <v>8636</v>
      </c>
      <c r="C28" s="74" t="s">
        <v>12726</v>
      </c>
      <c r="D28" s="72"/>
      <c r="F28" s="799"/>
      <c r="G28" s="796"/>
      <c r="H28" s="799"/>
      <c r="I28" s="796"/>
      <c r="J28" s="35"/>
      <c r="M28" s="44" t="s">
        <v>397</v>
      </c>
      <c r="N28" s="218" t="s">
        <v>398</v>
      </c>
      <c r="O28" s="46">
        <v>1</v>
      </c>
      <c r="P28" s="35"/>
      <c r="S28" s="35"/>
      <c r="V28" s="43"/>
      <c r="W28" s="220"/>
      <c r="X28" s="37"/>
      <c r="Y28" s="208">
        <f>ROUND((ROUND((_11_A家事０．５*_11・重度研修),0)*_11・２人),0)+ROUND((ROUND((ROUND((_11_B家事０．５＿０．７５*_11・重度研修),0)*_11・２人),0)*(1+_11・B夜間)),0)+ROUND((ROUND((ROUND((_11_C家事０．５＿０．７５＿０．２５*_11・重度研修),0)*_11・２人),0)*(1+_11・C深夜)),0)</f>
        <v>293</v>
      </c>
      <c r="Z28" s="48"/>
    </row>
    <row r="29" spans="1:26" ht="16.5" customHeight="1" x14ac:dyDescent="0.15">
      <c r="A29" s="41">
        <v>11</v>
      </c>
      <c r="B29" s="41" t="s">
        <v>12727</v>
      </c>
      <c r="C29" s="74" t="s">
        <v>12728</v>
      </c>
      <c r="D29" s="72"/>
      <c r="F29" s="799"/>
      <c r="G29" s="796"/>
      <c r="H29" s="799"/>
      <c r="I29" s="796"/>
      <c r="J29" s="35"/>
      <c r="M29" s="163"/>
      <c r="N29" s="45"/>
      <c r="O29" s="46"/>
      <c r="P29" s="35"/>
      <c r="S29" s="35"/>
      <c r="V29" s="734" t="s">
        <v>404</v>
      </c>
      <c r="W29" s="219" t="s">
        <v>398</v>
      </c>
      <c r="X29" s="50">
        <f>_11・初任</f>
        <v>0.7</v>
      </c>
      <c r="Y29" s="208">
        <f>ROUND((ROUND((_11_A家事０．５*_11・重度研修),0)*_11・初任),0)+ROUND((ROUND((ROUND((_11_B家事０．５＿０．７５*_11・重度研修),0)*(1+_11・B夜間)),0)*_11・初任),0)+ROUND((ROUND((ROUND((_11_C家事０．５＿０．７５＿０．２５*_11・重度研修),0)*(1+_11・C深夜)),0)*_11・初任),0)</f>
        <v>206</v>
      </c>
      <c r="Z29" s="48"/>
    </row>
    <row r="30" spans="1:26" ht="16.5" customHeight="1" x14ac:dyDescent="0.15">
      <c r="A30" s="41">
        <v>11</v>
      </c>
      <c r="B30" s="41" t="s">
        <v>12729</v>
      </c>
      <c r="C30" s="74" t="s">
        <v>12730</v>
      </c>
      <c r="D30" s="72"/>
      <c r="F30" s="274">
        <f>_11_B家事０．５＿０．７５</f>
        <v>133</v>
      </c>
      <c r="G30" s="10" t="s">
        <v>392</v>
      </c>
      <c r="H30" s="274">
        <f>_11_C家事０．５＿０．７５＿０．２５</f>
        <v>36</v>
      </c>
      <c r="I30" s="254" t="s">
        <v>392</v>
      </c>
      <c r="J30" s="35"/>
      <c r="M30" s="44" t="s">
        <v>397</v>
      </c>
      <c r="N30" s="218" t="s">
        <v>398</v>
      </c>
      <c r="O30" s="46">
        <v>1</v>
      </c>
      <c r="P30" s="35"/>
      <c r="S30" s="35"/>
      <c r="V30" s="706"/>
      <c r="W30" s="220"/>
      <c r="X30" s="38"/>
      <c r="Y30" s="208">
        <f>ROUND((ROUND((ROUND((_11_A家事０．５*_11・重度研修),0)*_11・２人),0)*_11・初任),0)+ROUND((ROUND((ROUND((ROUND((_11_B家事０．５＿０．７５*_11・重度研修),0)*_11・２人),0)*(1+_11・B夜間)),0)*_11・初任),0)+ROUND((ROUND((ROUND((ROUND((_11_C家事０．５＿０．７５＿０．２５*_11・重度研修),0)*_11・２人),0)*(1+_11・C深夜)),0)*_11・初任),0)</f>
        <v>206</v>
      </c>
      <c r="Z30" s="48"/>
    </row>
    <row r="31" spans="1:26" ht="16.5" customHeight="1" x14ac:dyDescent="0.15">
      <c r="A31" s="41">
        <v>11</v>
      </c>
      <c r="B31" s="41">
        <v>8637</v>
      </c>
      <c r="C31" s="74" t="s">
        <v>12731</v>
      </c>
      <c r="D31" s="707" t="s">
        <v>8279</v>
      </c>
      <c r="E31" s="798"/>
      <c r="F31" s="707" t="s">
        <v>9713</v>
      </c>
      <c r="G31" s="798"/>
      <c r="H31" s="707" t="s">
        <v>9967</v>
      </c>
      <c r="I31" s="798"/>
      <c r="J31" s="35"/>
      <c r="M31" s="163"/>
      <c r="N31" s="45"/>
      <c r="O31" s="46"/>
      <c r="P31" s="35"/>
      <c r="S31" s="35"/>
      <c r="V31" s="260"/>
      <c r="W31" s="245"/>
      <c r="X31" s="50"/>
      <c r="Y31" s="208">
        <f>ROUND((_11_A家事０．７５*_11・重度研修),0)+ROUND((ROUND((_11_B家事０．７５＿０．２５*_11・重度研修),0)*(1+_11・B夜間)),0)+ROUND((ROUND((_11_C家事０．７５＿０．２５＿０．２５*_11・重度研修),0)*(1+_11・C深夜)),0)</f>
        <v>244</v>
      </c>
      <c r="Z31" s="48"/>
    </row>
    <row r="32" spans="1:26" ht="16.5" customHeight="1" x14ac:dyDescent="0.15">
      <c r="A32" s="41">
        <v>11</v>
      </c>
      <c r="B32" s="41">
        <v>8638</v>
      </c>
      <c r="C32" s="74" t="s">
        <v>12732</v>
      </c>
      <c r="D32" s="799"/>
      <c r="E32" s="796"/>
      <c r="F32" s="799"/>
      <c r="G32" s="796"/>
      <c r="H32" s="799"/>
      <c r="I32" s="796"/>
      <c r="J32" s="35"/>
      <c r="M32" s="44" t="s">
        <v>397</v>
      </c>
      <c r="N32" s="218" t="s">
        <v>398</v>
      </c>
      <c r="O32" s="46">
        <v>1</v>
      </c>
      <c r="P32" s="35"/>
      <c r="S32" s="35"/>
      <c r="V32" s="180"/>
      <c r="W32" s="220"/>
      <c r="X32" s="38"/>
      <c r="Y32" s="208">
        <f>ROUND((ROUND((_11_A家事０．７５*_11・重度研修),0)*_11・２人),0)+ROUND((ROUND((ROUND((_11_B家事０．７５＿０．２５*_11・重度研修),0)*_11・２人),0)*(1+_11・B夜間)),0)+ROUND((ROUND((ROUND((_11_C家事０．７５＿０．２５＿０．２５*_11・重度研修),0)*_11・２人),0)*(1+_11・C深夜)),0)</f>
        <v>244</v>
      </c>
      <c r="Z32" s="48"/>
    </row>
    <row r="33" spans="1:26" ht="16.5" customHeight="1" x14ac:dyDescent="0.15">
      <c r="A33" s="41">
        <v>11</v>
      </c>
      <c r="B33" s="41" t="s">
        <v>12733</v>
      </c>
      <c r="C33" s="74" t="s">
        <v>12734</v>
      </c>
      <c r="D33" s="799"/>
      <c r="E33" s="796"/>
      <c r="F33" s="799"/>
      <c r="G33" s="796"/>
      <c r="H33" s="799"/>
      <c r="I33" s="796"/>
      <c r="J33" s="35"/>
      <c r="M33" s="163"/>
      <c r="N33" s="45"/>
      <c r="O33" s="46"/>
      <c r="P33" s="35"/>
      <c r="S33" s="35"/>
      <c r="V33" s="734" t="s">
        <v>404</v>
      </c>
      <c r="W33" s="219" t="s">
        <v>398</v>
      </c>
      <c r="X33" s="50">
        <f>_11・初任</f>
        <v>0.7</v>
      </c>
      <c r="Y33" s="208">
        <f>ROUND((ROUND((_11_A家事０．７５*_11・重度研修),0)*_11・初任),0)+ROUND((ROUND((ROUND((_11_B家事０．７５＿０．２５*_11・重度研修),0)*(1+_11・B夜間)),0)*_11・初任),0)+ROUND((ROUND((ROUND((_11_C家事０．７５＿０．２５＿０．２５*_11・重度研修),0)*(1+_11・C深夜)),0)*_11・初任),0)</f>
        <v>171</v>
      </c>
      <c r="Z33" s="48"/>
    </row>
    <row r="34" spans="1:26" ht="16.5" customHeight="1" x14ac:dyDescent="0.15">
      <c r="A34" s="41">
        <v>11</v>
      </c>
      <c r="B34" s="41" t="s">
        <v>12735</v>
      </c>
      <c r="C34" s="74" t="s">
        <v>12736</v>
      </c>
      <c r="D34" s="274">
        <f>_11_A家事０．７５</f>
        <v>152</v>
      </c>
      <c r="E34" s="254" t="s">
        <v>392</v>
      </c>
      <c r="F34" s="274">
        <f>_11_B家事０．７５＿０．２５</f>
        <v>44</v>
      </c>
      <c r="G34" s="10" t="s">
        <v>392</v>
      </c>
      <c r="H34" s="274">
        <f>_11_C家事０．７５＿０．２５＿０．２５</f>
        <v>42</v>
      </c>
      <c r="I34" s="254" t="s">
        <v>392</v>
      </c>
      <c r="J34" s="35"/>
      <c r="M34" s="44" t="s">
        <v>397</v>
      </c>
      <c r="N34" s="218" t="s">
        <v>398</v>
      </c>
      <c r="O34" s="46">
        <v>1</v>
      </c>
      <c r="P34" s="35"/>
      <c r="S34" s="35"/>
      <c r="V34" s="706"/>
      <c r="W34" s="220"/>
      <c r="X34" s="38"/>
      <c r="Y34" s="208">
        <f>ROUND((ROUND((ROUND((_11_A家事０．７５*_11・重度研修),0)*_11・２人),0)*_11・初任),0)+ROUND((ROUND((ROUND((ROUND((_11_B家事０．７５＿０．２５*_11・重度研修),0)*_11・２人),0)*(1+_11・B夜間)),0)*_11・初任),0)+ROUND((ROUND((ROUND((ROUND((_11_C家事０．７５＿０．２５＿０．２５*_11・重度研修),0)*_11・２人),0)*(1+_11・C深夜)),0)*_11・初任),0)</f>
        <v>171</v>
      </c>
      <c r="Z34" s="48"/>
    </row>
    <row r="35" spans="1:26" ht="16.5" customHeight="1" x14ac:dyDescent="0.15">
      <c r="A35" s="41">
        <v>11</v>
      </c>
      <c r="B35" s="41">
        <v>8639</v>
      </c>
      <c r="C35" s="74" t="s">
        <v>12737</v>
      </c>
      <c r="D35" s="72"/>
      <c r="F35" s="72"/>
      <c r="H35" s="707" t="s">
        <v>9980</v>
      </c>
      <c r="I35" s="798"/>
      <c r="J35" s="35"/>
      <c r="M35" s="163"/>
      <c r="N35" s="45"/>
      <c r="O35" s="46"/>
      <c r="P35" s="35"/>
      <c r="S35" s="35"/>
      <c r="V35" s="53"/>
      <c r="W35" s="245"/>
      <c r="X35" s="49"/>
      <c r="Y35" s="208">
        <f>ROUND((_11_A家事０．７５*_11・重度研修),0)+ROUND((ROUND((_11_B家事０．７５＿０．２５*_11・重度研修),0)*(1+_11・B夜間)),0)+ROUND((ROUND((_11_C家事０．７５＿０．２５＿０．５*_11・重度研修),0)*(1+_11・C深夜)),0)</f>
        <v>292</v>
      </c>
      <c r="Z35" s="48"/>
    </row>
    <row r="36" spans="1:26" ht="16.5" customHeight="1" x14ac:dyDescent="0.15">
      <c r="A36" s="41">
        <v>11</v>
      </c>
      <c r="B36" s="41">
        <v>8640</v>
      </c>
      <c r="C36" s="74" t="s">
        <v>12738</v>
      </c>
      <c r="D36" s="72"/>
      <c r="F36" s="72"/>
      <c r="H36" s="799"/>
      <c r="I36" s="796"/>
      <c r="J36" s="35"/>
      <c r="M36" s="44" t="s">
        <v>397</v>
      </c>
      <c r="N36" s="218" t="s">
        <v>398</v>
      </c>
      <c r="O36" s="46">
        <v>1</v>
      </c>
      <c r="P36" s="35"/>
      <c r="S36" s="35"/>
      <c r="V36" s="43"/>
      <c r="W36" s="220"/>
      <c r="X36" s="37"/>
      <c r="Y36" s="208">
        <f>ROUND((ROUND((_11_A家事０．７５*_11・重度研修),0)*_11・２人),0)+ROUND((ROUND((ROUND((_11_B家事０．７５＿０．２５*_11・重度研修),0)*_11・２人),0)*(1+_11・B夜間)),0)+ROUND((ROUND((ROUND((_11_C家事０．７５＿０．２５＿０．５*_11・重度研修),0)*_11・２人),0)*(1+_11・C深夜)),0)</f>
        <v>292</v>
      </c>
      <c r="Z36" s="48"/>
    </row>
    <row r="37" spans="1:26" ht="16.5" customHeight="1" x14ac:dyDescent="0.15">
      <c r="A37" s="41">
        <v>11</v>
      </c>
      <c r="B37" s="41" t="s">
        <v>12739</v>
      </c>
      <c r="C37" s="74" t="s">
        <v>12740</v>
      </c>
      <c r="D37" s="72"/>
      <c r="F37" s="72"/>
      <c r="H37" s="799"/>
      <c r="I37" s="796"/>
      <c r="J37" s="35"/>
      <c r="M37" s="163"/>
      <c r="N37" s="45"/>
      <c r="O37" s="46"/>
      <c r="P37" s="35"/>
      <c r="S37" s="35"/>
      <c r="V37" s="734" t="s">
        <v>404</v>
      </c>
      <c r="W37" s="219" t="s">
        <v>398</v>
      </c>
      <c r="X37" s="50">
        <f>_11・初任</f>
        <v>0.7</v>
      </c>
      <c r="Y37" s="208">
        <f>ROUND((ROUND((_11_A家事０．７５*_11・重度研修),0)*_11・初任),0)+ROUND((ROUND((ROUND((_11_B家事０．７５＿０．２５*_11・重度研修),0)*(1+_11・B夜間)),0)*_11・初任),0)+ROUND((ROUND((ROUND((_11_C家事０．７５＿０．２５＿０．５*_11・重度研修),0)*(1+_11・C深夜)),0)*_11・初任),0)</f>
        <v>205</v>
      </c>
      <c r="Z37" s="48"/>
    </row>
    <row r="38" spans="1:26" ht="16.5" customHeight="1" x14ac:dyDescent="0.15">
      <c r="A38" s="41">
        <v>11</v>
      </c>
      <c r="B38" s="41" t="s">
        <v>12741</v>
      </c>
      <c r="C38" s="74" t="s">
        <v>12742</v>
      </c>
      <c r="D38" s="72"/>
      <c r="F38" s="72"/>
      <c r="H38" s="274">
        <f>_11_C家事０．７５＿０．２５＿０．５</f>
        <v>78</v>
      </c>
      <c r="I38" s="254" t="s">
        <v>392</v>
      </c>
      <c r="J38" s="35"/>
      <c r="M38" s="44" t="s">
        <v>397</v>
      </c>
      <c r="N38" s="218" t="s">
        <v>398</v>
      </c>
      <c r="O38" s="46">
        <v>1</v>
      </c>
      <c r="P38" s="35"/>
      <c r="S38" s="35"/>
      <c r="V38" s="706"/>
      <c r="W38" s="220"/>
      <c r="X38" s="38"/>
      <c r="Y38" s="208">
        <f>ROUND((ROUND((ROUND((_11_A家事０．７５*_11・重度研修),0)*_11・２人),0)*_11・初任),0)+ROUND((ROUND((ROUND((ROUND((_11_B家事０．７５＿０．２５*_11・重度研修),0)*_11・２人),0)*(1+_11・B夜間)),0)*_11・初任),0)+ROUND((ROUND((ROUND((ROUND((_11_C家事０．７５＿０．２５＿０．５*_11・重度研修),0)*_11・２人),0)*(1+_11・C深夜)),0)*_11・初任),0)</f>
        <v>205</v>
      </c>
      <c r="Z38" s="48"/>
    </row>
    <row r="39" spans="1:26" ht="16.5" customHeight="1" x14ac:dyDescent="0.15">
      <c r="A39" s="41">
        <v>11</v>
      </c>
      <c r="B39" s="41">
        <v>8641</v>
      </c>
      <c r="C39" s="74" t="s">
        <v>12743</v>
      </c>
      <c r="D39" s="72"/>
      <c r="F39" s="707" t="s">
        <v>9726</v>
      </c>
      <c r="G39" s="798"/>
      <c r="H39" s="707" t="s">
        <v>9967</v>
      </c>
      <c r="I39" s="798"/>
      <c r="J39" s="35"/>
      <c r="M39" s="163"/>
      <c r="N39" s="45"/>
      <c r="O39" s="46"/>
      <c r="P39" s="35"/>
      <c r="S39" s="35"/>
      <c r="V39" s="260"/>
      <c r="W39" s="245"/>
      <c r="X39" s="50"/>
      <c r="Y39" s="208">
        <f>ROUND((_11_A家事０．７５*_11・重度研修),0)+ROUND((ROUND((_11_B家事０．７５＿０．５*_11・重度研修),0)*(1+_11・B夜間)),0)+ROUND((ROUND((_11_C家事０．７５＿０．５＿０．２５*_11・重度研修),0)*(1+_11・C深夜)),0)</f>
        <v>281</v>
      </c>
      <c r="Z39" s="48"/>
    </row>
    <row r="40" spans="1:26" ht="16.5" customHeight="1" x14ac:dyDescent="0.15">
      <c r="A40" s="41">
        <v>11</v>
      </c>
      <c r="B40" s="41">
        <v>8642</v>
      </c>
      <c r="C40" s="74" t="s">
        <v>12744</v>
      </c>
      <c r="D40" s="72"/>
      <c r="F40" s="799"/>
      <c r="G40" s="796"/>
      <c r="H40" s="799"/>
      <c r="I40" s="796"/>
      <c r="J40" s="35"/>
      <c r="M40" s="44" t="s">
        <v>397</v>
      </c>
      <c r="N40" s="218" t="s">
        <v>398</v>
      </c>
      <c r="O40" s="46">
        <v>1</v>
      </c>
      <c r="P40" s="35"/>
      <c r="S40" s="35"/>
      <c r="V40" s="180"/>
      <c r="W40" s="220"/>
      <c r="X40" s="38"/>
      <c r="Y40" s="208">
        <f>ROUND((ROUND((_11_A家事０．７５*_11・重度研修),0)*_11・２人),0)+ROUND((ROUND((ROUND((_11_B家事０．７５＿０．５*_11・重度研修),0)*_11・２人),0)*(1+_11・B夜間)),0)+ROUND((ROUND((ROUND((_11_C家事０．７５＿０．５＿０．２５*_11・重度研修),0)*_11・２人),0)*(1+_11・C深夜)),0)</f>
        <v>281</v>
      </c>
      <c r="Z40" s="48"/>
    </row>
    <row r="41" spans="1:26" ht="16.5" customHeight="1" x14ac:dyDescent="0.15">
      <c r="A41" s="41">
        <v>11</v>
      </c>
      <c r="B41" s="41" t="s">
        <v>12745</v>
      </c>
      <c r="C41" s="74" t="s">
        <v>12746</v>
      </c>
      <c r="D41" s="72"/>
      <c r="F41" s="799"/>
      <c r="G41" s="796"/>
      <c r="H41" s="799"/>
      <c r="I41" s="796"/>
      <c r="J41" s="35"/>
      <c r="M41" s="163"/>
      <c r="N41" s="45"/>
      <c r="O41" s="46"/>
      <c r="P41" s="35"/>
      <c r="S41" s="35"/>
      <c r="V41" s="734" t="s">
        <v>404</v>
      </c>
      <c r="W41" s="219" t="s">
        <v>398</v>
      </c>
      <c r="X41" s="50">
        <f>_11・初任</f>
        <v>0.7</v>
      </c>
      <c r="Y41" s="208">
        <f>ROUND((ROUND((_11_A家事０．７５*_11・重度研修),0)*_11・初任),0)+ROUND((ROUND((ROUND((_11_B家事０．７５＿０．５*_11・重度研修),0)*(1+_11・B夜間)),0)*_11・初任),0)+ROUND((ROUND((ROUND((_11_C家事０．７５＿０．５＿０．２５*_11・重度研修),0)*(1+_11・C深夜)),0)*_11・初任),0)</f>
        <v>197</v>
      </c>
      <c r="Z41" s="48"/>
    </row>
    <row r="42" spans="1:26" ht="16.5" customHeight="1" x14ac:dyDescent="0.15">
      <c r="A42" s="41">
        <v>11</v>
      </c>
      <c r="B42" s="41" t="s">
        <v>12747</v>
      </c>
      <c r="C42" s="74" t="s">
        <v>12748</v>
      </c>
      <c r="D42" s="72"/>
      <c r="F42" s="274">
        <f>_11_B家事０．７５＿０．５</f>
        <v>86</v>
      </c>
      <c r="G42" s="10" t="s">
        <v>392</v>
      </c>
      <c r="H42" s="274">
        <f>_11_C家事０．７５＿０．５＿０．２５</f>
        <v>36</v>
      </c>
      <c r="I42" s="254" t="s">
        <v>392</v>
      </c>
      <c r="J42" s="35"/>
      <c r="M42" s="44" t="s">
        <v>397</v>
      </c>
      <c r="N42" s="218" t="s">
        <v>398</v>
      </c>
      <c r="O42" s="46">
        <v>1</v>
      </c>
      <c r="P42" s="35"/>
      <c r="S42" s="35"/>
      <c r="V42" s="706"/>
      <c r="W42" s="220"/>
      <c r="X42" s="38"/>
      <c r="Y42" s="208">
        <f>ROUND((ROUND((ROUND((_11_A家事０．７５*_11・重度研修),0)*_11・２人),0)*_11・初任),0)+ROUND((ROUND((ROUND((ROUND((_11_B家事０．７５＿０．５*_11・重度研修),0)*_11・２人),0)*(1+_11・B夜間)),0)*_11・初任),0)+ROUND((ROUND((ROUND((ROUND((_11_C家事０．７５＿０．５＿０．２５*_11・重度研修),0)*_11・２人),0)*(1+_11・C深夜)),0)*_11・初任),0)</f>
        <v>197</v>
      </c>
      <c r="Z42" s="48"/>
    </row>
    <row r="43" spans="1:26" ht="16.5" customHeight="1" x14ac:dyDescent="0.15">
      <c r="A43" s="41">
        <v>11</v>
      </c>
      <c r="B43" s="41">
        <v>8643</v>
      </c>
      <c r="C43" s="74" t="s">
        <v>12749</v>
      </c>
      <c r="D43" s="707" t="s">
        <v>8292</v>
      </c>
      <c r="E43" s="798"/>
      <c r="F43" s="707" t="s">
        <v>9713</v>
      </c>
      <c r="G43" s="798"/>
      <c r="H43" s="707" t="s">
        <v>9967</v>
      </c>
      <c r="I43" s="798"/>
      <c r="J43" s="35"/>
      <c r="M43" s="163"/>
      <c r="N43" s="45"/>
      <c r="O43" s="46"/>
      <c r="P43" s="35"/>
      <c r="S43" s="35"/>
      <c r="V43" s="53"/>
      <c r="W43" s="245"/>
      <c r="X43" s="49"/>
      <c r="Y43" s="208">
        <f>ROUND((_11_A家事１．０*_11・重度研修),0)+ROUND((ROUND((_11_B家事１．０＿０．２５*_11・重度研修),0)*(1+_11・B夜間)),0)+ROUND((ROUND((_11_C家事１．０＿０．２５＿０．２５*_11・重度研修),0)*(1+_11・C深夜)),0)</f>
        <v>272</v>
      </c>
      <c r="Z43" s="48"/>
    </row>
    <row r="44" spans="1:26" ht="16.5" customHeight="1" x14ac:dyDescent="0.15">
      <c r="A44" s="41">
        <v>11</v>
      </c>
      <c r="B44" s="41">
        <v>8644</v>
      </c>
      <c r="C44" s="74" t="s">
        <v>12750</v>
      </c>
      <c r="D44" s="799"/>
      <c r="E44" s="796"/>
      <c r="F44" s="799"/>
      <c r="G44" s="796"/>
      <c r="H44" s="799"/>
      <c r="I44" s="796"/>
      <c r="J44" s="35"/>
      <c r="M44" s="44" t="s">
        <v>397</v>
      </c>
      <c r="N44" s="218" t="s">
        <v>398</v>
      </c>
      <c r="O44" s="46">
        <v>1</v>
      </c>
      <c r="P44" s="35"/>
      <c r="S44" s="35"/>
      <c r="V44" s="43"/>
      <c r="W44" s="220"/>
      <c r="X44" s="37"/>
      <c r="Y44" s="208">
        <f>ROUND((ROUND((_11_A家事１．０*_11・重度研修),0)*_11・２人),0)+ROUND((ROUND((ROUND((_11_B家事１．０＿０．２５*_11・重度研修),0)*_11・２人),0)*(1+_11・B夜間)),0)+ROUND((ROUND((ROUND((_11_C家事１．０＿０．２５＿０．２５*_11・重度研修),0)*_11・２人),0)*(1+_11・C深夜)),0)</f>
        <v>272</v>
      </c>
      <c r="Z44" s="48"/>
    </row>
    <row r="45" spans="1:26" ht="16.5" customHeight="1" x14ac:dyDescent="0.15">
      <c r="A45" s="41">
        <v>11</v>
      </c>
      <c r="B45" s="41" t="s">
        <v>12751</v>
      </c>
      <c r="C45" s="74" t="s">
        <v>12752</v>
      </c>
      <c r="D45" s="799"/>
      <c r="E45" s="796"/>
      <c r="F45" s="799"/>
      <c r="G45" s="796"/>
      <c r="H45" s="799"/>
      <c r="I45" s="796"/>
      <c r="J45" s="35"/>
      <c r="M45" s="163"/>
      <c r="N45" s="45"/>
      <c r="O45" s="46"/>
      <c r="P45" s="35"/>
      <c r="S45" s="35"/>
      <c r="V45" s="734" t="s">
        <v>404</v>
      </c>
      <c r="W45" s="219" t="s">
        <v>398</v>
      </c>
      <c r="X45" s="50">
        <f>_11・初任</f>
        <v>0.7</v>
      </c>
      <c r="Y45" s="208">
        <f>ROUND((ROUND((_11_A家事１．０*_11・重度研修),0)*_11・初任),0)+ROUND((ROUND((ROUND((_11_B家事１．０＿０．２５*_11・重度研修),0)*(1+_11・B夜間)),0)*_11・初任),0)+ROUND((ROUND((ROUND((_11_C家事１．０＿０．２５＿０．２５*_11・重度研修),0)*(1+_11・C深夜)),0)*_11・初任),0)</f>
        <v>191</v>
      </c>
      <c r="Z45" s="48"/>
    </row>
    <row r="46" spans="1:26" ht="16.5" customHeight="1" x14ac:dyDescent="0.15">
      <c r="A46" s="41">
        <v>11</v>
      </c>
      <c r="B46" s="41" t="s">
        <v>12753</v>
      </c>
      <c r="C46" s="74" t="s">
        <v>12754</v>
      </c>
      <c r="D46" s="276">
        <f>_11_A家事１．０</f>
        <v>196</v>
      </c>
      <c r="E46" s="271" t="s">
        <v>392</v>
      </c>
      <c r="F46" s="276">
        <f>_11_B家事１．０＿０．２５</f>
        <v>42</v>
      </c>
      <c r="G46" s="190" t="s">
        <v>392</v>
      </c>
      <c r="H46" s="276">
        <f>_11_C家事１．０＿０．２５＿０．２５</f>
        <v>36</v>
      </c>
      <c r="I46" s="271" t="s">
        <v>392</v>
      </c>
      <c r="J46" s="43"/>
      <c r="K46" s="246"/>
      <c r="L46" s="38"/>
      <c r="M46" s="44" t="s">
        <v>397</v>
      </c>
      <c r="N46" s="218" t="s">
        <v>398</v>
      </c>
      <c r="O46" s="46">
        <v>1</v>
      </c>
      <c r="P46" s="43"/>
      <c r="Q46" s="37"/>
      <c r="R46" s="38"/>
      <c r="S46" s="43"/>
      <c r="T46" s="37"/>
      <c r="U46" s="38"/>
      <c r="V46" s="706"/>
      <c r="W46" s="220"/>
      <c r="X46" s="38"/>
      <c r="Y46" s="208">
        <f>ROUND((ROUND((ROUND((_11_A家事１．０*_11・重度研修),0)*_11・２人),0)*_11・初任),0)+ROUND((ROUND((ROUND((ROUND((_11_B家事１．０＿０．２５*_11・重度研修),0)*_11・２人),0)*(1+_11・B夜間)),0)*_11・初任),0)+ROUND((ROUND((ROUND((ROUND((_11_C家事１．０＿０．２５＿０．２５*_11・重度研修),0)*_11・２人),0)*(1+_11・C深夜)),0)*_11・初任),0)</f>
        <v>191</v>
      </c>
      <c r="Z46" s="63"/>
    </row>
    <row r="47" spans="1:26" ht="16.5" customHeight="1" x14ac:dyDescent="0.15"/>
    <row r="48" spans="1:26" ht="16.5" customHeight="1" x14ac:dyDescent="0.15"/>
  </sheetData>
  <mergeCells count="32">
    <mergeCell ref="H39:I41"/>
    <mergeCell ref="V41:V42"/>
    <mergeCell ref="D43:E45"/>
    <mergeCell ref="F43:G45"/>
    <mergeCell ref="H43:I45"/>
    <mergeCell ref="V45:V46"/>
    <mergeCell ref="F39:G41"/>
    <mergeCell ref="H23:I25"/>
    <mergeCell ref="V25:V26"/>
    <mergeCell ref="F27:G29"/>
    <mergeCell ref="H27:I29"/>
    <mergeCell ref="V29:V30"/>
    <mergeCell ref="D31:E33"/>
    <mergeCell ref="F31:G33"/>
    <mergeCell ref="H31:I33"/>
    <mergeCell ref="V33:V34"/>
    <mergeCell ref="H35:I37"/>
    <mergeCell ref="V37:V38"/>
    <mergeCell ref="F19:G21"/>
    <mergeCell ref="H19:I21"/>
    <mergeCell ref="V21:V22"/>
    <mergeCell ref="D7:E9"/>
    <mergeCell ref="F7:G9"/>
    <mergeCell ref="H7:I9"/>
    <mergeCell ref="J7:L9"/>
    <mergeCell ref="R8:R9"/>
    <mergeCell ref="U8:U9"/>
    <mergeCell ref="V9:V10"/>
    <mergeCell ref="H11:I13"/>
    <mergeCell ref="V13:V14"/>
    <mergeCell ref="H15:I17"/>
    <mergeCell ref="V17:V18"/>
  </mergeCells>
  <phoneticPr fontId="1"/>
  <printOptions horizontalCentered="1"/>
  <pageMargins left="0.70866141732283472" right="0.70866141732283472" top="0.62992125984251968" bottom="0.59055118110236227" header="0.31496062992125984" footer="0.31496062992125984"/>
  <pageSetup paperSize="9" scale="46" fitToHeight="0" orientation="portrait" r:id="rId1"/>
  <headerFooter>
    <oddHeader>&amp;R&amp;"ＭＳ Ｐゴシック"&amp;9居宅介護</oddHeader>
    <oddFooter>&amp;C&amp;"ＭＳ Ｐゴシック"&amp;14&amp;P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1"/>
  <dimension ref="A1:P176"/>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bestFit="1" customWidth="1"/>
    <col min="4" max="4" width="4.875" style="10" customWidth="1"/>
    <col min="5" max="5" width="4.875" style="12" customWidth="1"/>
    <col min="6" max="6" width="3.125" style="12" customWidth="1"/>
    <col min="7" max="7" width="2.5" style="10" customWidth="1"/>
    <col min="8" max="8" width="4.5" style="13" bestFit="1" customWidth="1"/>
    <col min="9" max="9" width="32.5" style="12" bestFit="1" customWidth="1"/>
    <col min="10" max="10" width="2.5" style="12" customWidth="1"/>
    <col min="11" max="11" width="5.5" style="13" bestFit="1" customWidth="1"/>
    <col min="12" max="12" width="17.875" style="12" customWidth="1"/>
    <col min="13" max="13" width="2.5" style="242" customWidth="1"/>
    <col min="14" max="14" width="4.5" style="13" bestFit="1" customWidth="1"/>
    <col min="15" max="15" width="7.125" style="206" customWidth="1"/>
    <col min="16" max="16" width="8.5" style="16" customWidth="1"/>
    <col min="17" max="16384" width="8.875" style="12"/>
  </cols>
  <sheetData>
    <row r="1" spans="1:16" ht="17.100000000000001" customHeight="1" x14ac:dyDescent="0.15"/>
    <row r="2" spans="1:16" ht="17.100000000000001" customHeight="1" x14ac:dyDescent="0.15"/>
    <row r="3" spans="1:16" ht="17.100000000000001" customHeight="1" x14ac:dyDescent="0.15"/>
    <row r="4" spans="1:16" ht="17.100000000000001" customHeight="1" x14ac:dyDescent="0.15">
      <c r="B4" s="17" t="s">
        <v>12755</v>
      </c>
      <c r="D4" s="71"/>
    </row>
    <row r="5" spans="1:16" ht="16.5" customHeight="1" x14ac:dyDescent="0.15">
      <c r="A5" s="19" t="s">
        <v>384</v>
      </c>
      <c r="B5" s="20"/>
      <c r="C5" s="21" t="s">
        <v>385</v>
      </c>
      <c r="D5" s="23" t="s">
        <v>386</v>
      </c>
      <c r="E5" s="23"/>
      <c r="F5" s="23"/>
      <c r="G5" s="23"/>
      <c r="H5" s="24"/>
      <c r="I5" s="23"/>
      <c r="J5" s="23"/>
      <c r="K5" s="24"/>
      <c r="L5" s="23"/>
      <c r="M5" s="23"/>
      <c r="N5" s="24"/>
      <c r="O5" s="21" t="s">
        <v>387</v>
      </c>
      <c r="P5" s="21" t="s">
        <v>388</v>
      </c>
    </row>
    <row r="6" spans="1:16" ht="16.5" customHeight="1" x14ac:dyDescent="0.15">
      <c r="A6" s="26" t="s">
        <v>389</v>
      </c>
      <c r="B6" s="26" t="s">
        <v>390</v>
      </c>
      <c r="C6" s="27"/>
      <c r="D6" s="29"/>
      <c r="E6" s="29"/>
      <c r="F6" s="29"/>
      <c r="G6" s="29"/>
      <c r="H6" s="30"/>
      <c r="I6" s="29"/>
      <c r="J6" s="29"/>
      <c r="K6" s="30"/>
      <c r="L6" s="29"/>
      <c r="M6" s="214"/>
      <c r="N6" s="30"/>
      <c r="O6" s="32" t="s">
        <v>391</v>
      </c>
      <c r="P6" s="32" t="s">
        <v>392</v>
      </c>
    </row>
    <row r="7" spans="1:16" ht="16.5" customHeight="1" x14ac:dyDescent="0.15">
      <c r="A7" s="33">
        <v>11</v>
      </c>
      <c r="B7" s="33">
        <v>8645</v>
      </c>
      <c r="C7" s="34" t="s">
        <v>12756</v>
      </c>
      <c r="D7" s="709" t="s">
        <v>10455</v>
      </c>
      <c r="E7" s="797"/>
      <c r="F7" s="709" t="s">
        <v>11707</v>
      </c>
      <c r="G7" s="787"/>
      <c r="H7" s="802"/>
      <c r="I7" s="37"/>
      <c r="J7" s="37"/>
      <c r="K7" s="38"/>
      <c r="L7" s="35"/>
      <c r="O7" s="277">
        <f>ROUND((_11_A家事増０．２５*_11・重度研修),0)</f>
        <v>32</v>
      </c>
      <c r="P7" s="40" t="s">
        <v>395</v>
      </c>
    </row>
    <row r="8" spans="1:16" ht="16.5" customHeight="1" x14ac:dyDescent="0.15">
      <c r="A8" s="41">
        <v>11</v>
      </c>
      <c r="B8" s="41">
        <v>8646</v>
      </c>
      <c r="C8" s="74" t="s">
        <v>12757</v>
      </c>
      <c r="D8" s="799"/>
      <c r="E8" s="797"/>
      <c r="F8" s="722"/>
      <c r="G8" s="787"/>
      <c r="H8" s="787"/>
      <c r="I8" s="44" t="s">
        <v>397</v>
      </c>
      <c r="J8" s="218" t="s">
        <v>398</v>
      </c>
      <c r="K8" s="189">
        <v>1</v>
      </c>
      <c r="L8" s="43"/>
      <c r="M8" s="220"/>
      <c r="N8" s="38"/>
      <c r="O8" s="278">
        <f>ROUND((ROUND((_11_A家事増０．２５*_11・重度研修),0)*_11・２人),0)</f>
        <v>32</v>
      </c>
      <c r="P8" s="48"/>
    </row>
    <row r="9" spans="1:16" ht="16.5" customHeight="1" x14ac:dyDescent="0.15">
      <c r="A9" s="41">
        <v>11</v>
      </c>
      <c r="B9" s="41" t="s">
        <v>12758</v>
      </c>
      <c r="C9" s="74" t="s">
        <v>12759</v>
      </c>
      <c r="D9" s="799"/>
      <c r="E9" s="797"/>
      <c r="F9" s="722"/>
      <c r="G9" s="787"/>
      <c r="H9" s="802"/>
      <c r="I9" s="45"/>
      <c r="J9" s="45"/>
      <c r="K9" s="46"/>
      <c r="L9" s="734" t="s">
        <v>404</v>
      </c>
      <c r="M9" s="219" t="s">
        <v>398</v>
      </c>
      <c r="N9" s="50">
        <f>_11・初任</f>
        <v>0.7</v>
      </c>
      <c r="O9" s="278">
        <f>ROUND((ROUND((_11_A家事増０．２５*_11・重度研修),0)*_11・初任),0)</f>
        <v>22</v>
      </c>
      <c r="P9" s="48"/>
    </row>
    <row r="10" spans="1:16" ht="16.5" customHeight="1" x14ac:dyDescent="0.15">
      <c r="A10" s="41">
        <v>11</v>
      </c>
      <c r="B10" s="41" t="s">
        <v>12760</v>
      </c>
      <c r="C10" s="74" t="s">
        <v>12761</v>
      </c>
      <c r="D10" s="274">
        <f>_11_A家事増０．２５</f>
        <v>35</v>
      </c>
      <c r="E10" s="12" t="s">
        <v>392</v>
      </c>
      <c r="F10" s="35"/>
      <c r="G10" s="16" t="s">
        <v>398</v>
      </c>
      <c r="H10" s="13">
        <v>0.9</v>
      </c>
      <c r="I10" s="44" t="s">
        <v>397</v>
      </c>
      <c r="J10" s="218" t="s">
        <v>398</v>
      </c>
      <c r="K10" s="189">
        <v>1</v>
      </c>
      <c r="L10" s="706"/>
      <c r="M10" s="220"/>
      <c r="N10" s="38"/>
      <c r="O10" s="278">
        <f>ROUND((ROUND((ROUND((_11_A家事増０．２５*_11・重度研修),0)*_11・２人),0)*_11・初任),0)</f>
        <v>22</v>
      </c>
      <c r="P10" s="48"/>
    </row>
    <row r="11" spans="1:16" ht="16.5" customHeight="1" x14ac:dyDescent="0.15">
      <c r="A11" s="41">
        <v>11</v>
      </c>
      <c r="B11" s="41">
        <v>8647</v>
      </c>
      <c r="C11" s="74" t="s">
        <v>12762</v>
      </c>
      <c r="D11" s="707" t="s">
        <v>10468</v>
      </c>
      <c r="E11" s="798"/>
      <c r="F11" s="35"/>
      <c r="I11" s="163"/>
      <c r="J11" s="45"/>
      <c r="K11" s="46"/>
      <c r="L11" s="53"/>
      <c r="M11" s="245"/>
      <c r="N11" s="50"/>
      <c r="O11" s="278">
        <f>ROUND((_11_A家事増０．５*_11・重度研修),0)</f>
        <v>63</v>
      </c>
      <c r="P11" s="48"/>
    </row>
    <row r="12" spans="1:16" ht="16.5" customHeight="1" x14ac:dyDescent="0.15">
      <c r="A12" s="41">
        <v>11</v>
      </c>
      <c r="B12" s="41">
        <v>8648</v>
      </c>
      <c r="C12" s="74" t="s">
        <v>12763</v>
      </c>
      <c r="D12" s="799"/>
      <c r="E12" s="796"/>
      <c r="F12" s="35"/>
      <c r="I12" s="44" t="s">
        <v>397</v>
      </c>
      <c r="J12" s="218" t="s">
        <v>398</v>
      </c>
      <c r="K12" s="189">
        <v>1</v>
      </c>
      <c r="L12" s="43"/>
      <c r="M12" s="220"/>
      <c r="N12" s="38"/>
      <c r="O12" s="278">
        <f>ROUND((ROUND((_11_A家事増０．５*_11・重度研修),0)*_11・２人),0)</f>
        <v>63</v>
      </c>
      <c r="P12" s="48"/>
    </row>
    <row r="13" spans="1:16" ht="16.5" customHeight="1" x14ac:dyDescent="0.15">
      <c r="A13" s="41">
        <v>11</v>
      </c>
      <c r="B13" s="41" t="s">
        <v>12764</v>
      </c>
      <c r="C13" s="74" t="s">
        <v>12765</v>
      </c>
      <c r="D13" s="799"/>
      <c r="E13" s="796"/>
      <c r="F13" s="35"/>
      <c r="I13" s="163"/>
      <c r="J13" s="45"/>
      <c r="K13" s="46"/>
      <c r="L13" s="734" t="s">
        <v>404</v>
      </c>
      <c r="M13" s="219" t="s">
        <v>398</v>
      </c>
      <c r="N13" s="50">
        <f>_11・初任</f>
        <v>0.7</v>
      </c>
      <c r="O13" s="278">
        <f>ROUND((ROUND((_11_A家事増０．５*_11・重度研修),0)*_11・初任),0)</f>
        <v>44</v>
      </c>
      <c r="P13" s="48"/>
    </row>
    <row r="14" spans="1:16" ht="16.5" customHeight="1" x14ac:dyDescent="0.15">
      <c r="A14" s="41">
        <v>11</v>
      </c>
      <c r="B14" s="41" t="s">
        <v>12766</v>
      </c>
      <c r="C14" s="74" t="s">
        <v>12767</v>
      </c>
      <c r="D14" s="274">
        <f>_11_A家事増０．５</f>
        <v>70</v>
      </c>
      <c r="E14" s="12" t="s">
        <v>392</v>
      </c>
      <c r="F14" s="35"/>
      <c r="I14" s="44" t="s">
        <v>397</v>
      </c>
      <c r="J14" s="218" t="s">
        <v>398</v>
      </c>
      <c r="K14" s="189">
        <v>1</v>
      </c>
      <c r="L14" s="706"/>
      <c r="M14" s="220"/>
      <c r="N14" s="38"/>
      <c r="O14" s="278">
        <f>ROUND((ROUND((ROUND((_11_A家事増０．５*_11・重度研修),0)*_11・２人),0)*_11・初任),0)</f>
        <v>44</v>
      </c>
      <c r="P14" s="48"/>
    </row>
    <row r="15" spans="1:16" ht="16.5" customHeight="1" x14ac:dyDescent="0.15">
      <c r="A15" s="41">
        <v>11</v>
      </c>
      <c r="B15" s="41">
        <v>8649</v>
      </c>
      <c r="C15" s="74" t="s">
        <v>12768</v>
      </c>
      <c r="D15" s="707" t="s">
        <v>10481</v>
      </c>
      <c r="E15" s="798"/>
      <c r="F15" s="35"/>
      <c r="I15" s="163"/>
      <c r="J15" s="45"/>
      <c r="K15" s="46"/>
      <c r="L15" s="53"/>
      <c r="M15" s="245"/>
      <c r="N15" s="49"/>
      <c r="O15" s="278">
        <f>ROUND((_11_A家事増０．７５*_11・重度研修),0)</f>
        <v>95</v>
      </c>
      <c r="P15" s="48"/>
    </row>
    <row r="16" spans="1:16" ht="16.5" customHeight="1" x14ac:dyDescent="0.15">
      <c r="A16" s="41">
        <v>11</v>
      </c>
      <c r="B16" s="41">
        <v>8650</v>
      </c>
      <c r="C16" s="74" t="s">
        <v>12769</v>
      </c>
      <c r="D16" s="799"/>
      <c r="E16" s="796"/>
      <c r="F16" s="35"/>
      <c r="I16" s="44" t="s">
        <v>397</v>
      </c>
      <c r="J16" s="218" t="s">
        <v>398</v>
      </c>
      <c r="K16" s="189">
        <v>1</v>
      </c>
      <c r="L16" s="43"/>
      <c r="M16" s="220"/>
      <c r="N16" s="37"/>
      <c r="O16" s="278">
        <f>ROUND((ROUND((_11_A家事増０．７５*_11・重度研修),0)*_11・２人),0)</f>
        <v>95</v>
      </c>
      <c r="P16" s="48"/>
    </row>
    <row r="17" spans="1:16" ht="16.5" customHeight="1" x14ac:dyDescent="0.15">
      <c r="A17" s="41">
        <v>11</v>
      </c>
      <c r="B17" s="41" t="s">
        <v>12770</v>
      </c>
      <c r="C17" s="74" t="s">
        <v>12771</v>
      </c>
      <c r="D17" s="799"/>
      <c r="E17" s="796"/>
      <c r="F17" s="35"/>
      <c r="I17" s="163"/>
      <c r="J17" s="45"/>
      <c r="K17" s="46"/>
      <c r="L17" s="734" t="s">
        <v>404</v>
      </c>
      <c r="M17" s="219" t="s">
        <v>398</v>
      </c>
      <c r="N17" s="50">
        <f>_11・初任</f>
        <v>0.7</v>
      </c>
      <c r="O17" s="278">
        <f>ROUND((ROUND((_11_A家事増０．７５*_11・重度研修),0)*_11・初任),0)</f>
        <v>67</v>
      </c>
      <c r="P17" s="48"/>
    </row>
    <row r="18" spans="1:16" ht="16.5" customHeight="1" x14ac:dyDescent="0.15">
      <c r="A18" s="41">
        <v>11</v>
      </c>
      <c r="B18" s="41" t="s">
        <v>12772</v>
      </c>
      <c r="C18" s="74" t="s">
        <v>12773</v>
      </c>
      <c r="D18" s="274">
        <f>_11_A家事増０．７５</f>
        <v>105</v>
      </c>
      <c r="E18" s="12" t="s">
        <v>392</v>
      </c>
      <c r="F18" s="35"/>
      <c r="I18" s="44" t="s">
        <v>397</v>
      </c>
      <c r="J18" s="218" t="s">
        <v>398</v>
      </c>
      <c r="K18" s="189">
        <v>1</v>
      </c>
      <c r="L18" s="706"/>
      <c r="M18" s="220"/>
      <c r="N18" s="38"/>
      <c r="O18" s="278">
        <f>ROUND((ROUND((ROUND((_11_A家事増０．７５*_11・重度研修),0)*_11・２人),0)*_11・初任),0)</f>
        <v>67</v>
      </c>
      <c r="P18" s="48"/>
    </row>
    <row r="19" spans="1:16" ht="16.5" customHeight="1" x14ac:dyDescent="0.15">
      <c r="A19" s="41">
        <v>11</v>
      </c>
      <c r="B19" s="41">
        <v>8651</v>
      </c>
      <c r="C19" s="74" t="s">
        <v>12774</v>
      </c>
      <c r="D19" s="707" t="s">
        <v>10494</v>
      </c>
      <c r="E19" s="798"/>
      <c r="F19" s="35"/>
      <c r="I19" s="163"/>
      <c r="J19" s="45"/>
      <c r="K19" s="46"/>
      <c r="L19" s="53"/>
      <c r="M19" s="245"/>
      <c r="N19" s="50"/>
      <c r="O19" s="278">
        <f>ROUND((_11_A家事増１．０*_11・重度研修),0)</f>
        <v>126</v>
      </c>
      <c r="P19" s="48"/>
    </row>
    <row r="20" spans="1:16" ht="16.5" customHeight="1" x14ac:dyDescent="0.15">
      <c r="A20" s="41">
        <v>11</v>
      </c>
      <c r="B20" s="41">
        <v>8652</v>
      </c>
      <c r="C20" s="74" t="s">
        <v>12775</v>
      </c>
      <c r="D20" s="799"/>
      <c r="E20" s="796"/>
      <c r="F20" s="35"/>
      <c r="I20" s="44" t="s">
        <v>397</v>
      </c>
      <c r="J20" s="218" t="s">
        <v>398</v>
      </c>
      <c r="K20" s="189">
        <v>1</v>
      </c>
      <c r="L20" s="43"/>
      <c r="M20" s="220"/>
      <c r="N20" s="38"/>
      <c r="O20" s="278">
        <f>ROUND((ROUND((_11_A家事増１．０*_11・重度研修),0)*_11・２人),0)</f>
        <v>126</v>
      </c>
      <c r="P20" s="48"/>
    </row>
    <row r="21" spans="1:16" ht="16.5" customHeight="1" x14ac:dyDescent="0.15">
      <c r="A21" s="41">
        <v>11</v>
      </c>
      <c r="B21" s="41" t="s">
        <v>12776</v>
      </c>
      <c r="C21" s="74" t="s">
        <v>12777</v>
      </c>
      <c r="D21" s="799"/>
      <c r="E21" s="796"/>
      <c r="F21" s="35"/>
      <c r="I21" s="163"/>
      <c r="J21" s="45"/>
      <c r="K21" s="46"/>
      <c r="L21" s="734" t="s">
        <v>404</v>
      </c>
      <c r="M21" s="219" t="s">
        <v>398</v>
      </c>
      <c r="N21" s="50">
        <f>_11・初任</f>
        <v>0.7</v>
      </c>
      <c r="O21" s="278">
        <f>ROUND((ROUND((_11_A家事増１．０*_11・重度研修),0)*_11・初任),0)</f>
        <v>88</v>
      </c>
      <c r="P21" s="48"/>
    </row>
    <row r="22" spans="1:16" ht="16.5" customHeight="1" x14ac:dyDescent="0.15">
      <c r="A22" s="41">
        <v>11</v>
      </c>
      <c r="B22" s="41" t="s">
        <v>12778</v>
      </c>
      <c r="C22" s="74" t="s">
        <v>12779</v>
      </c>
      <c r="D22" s="274">
        <f>_11_A家事増１．０</f>
        <v>140</v>
      </c>
      <c r="E22" s="12" t="s">
        <v>392</v>
      </c>
      <c r="F22" s="35"/>
      <c r="I22" s="44" t="s">
        <v>397</v>
      </c>
      <c r="J22" s="218" t="s">
        <v>398</v>
      </c>
      <c r="K22" s="189">
        <v>1</v>
      </c>
      <c r="L22" s="706"/>
      <c r="M22" s="220"/>
      <c r="N22" s="38"/>
      <c r="O22" s="278">
        <f>ROUND((ROUND((ROUND((_11_A家事増１．０*_11・重度研修),0)*_11・２人),0)*_11・初任),0)</f>
        <v>88</v>
      </c>
      <c r="P22" s="48"/>
    </row>
    <row r="23" spans="1:16" ht="16.5" customHeight="1" x14ac:dyDescent="0.15">
      <c r="A23" s="41">
        <v>11</v>
      </c>
      <c r="B23" s="41">
        <v>8653</v>
      </c>
      <c r="C23" s="74" t="s">
        <v>12780</v>
      </c>
      <c r="D23" s="707" t="s">
        <v>10507</v>
      </c>
      <c r="E23" s="798"/>
      <c r="F23" s="35"/>
      <c r="I23" s="163"/>
      <c r="J23" s="45"/>
      <c r="K23" s="46"/>
      <c r="L23" s="53"/>
      <c r="M23" s="245"/>
      <c r="N23" s="50"/>
      <c r="O23" s="278">
        <f>ROUND((_11_A家事増１．２５*_11・重度研修),0)</f>
        <v>158</v>
      </c>
      <c r="P23" s="48"/>
    </row>
    <row r="24" spans="1:16" ht="16.5" customHeight="1" x14ac:dyDescent="0.15">
      <c r="A24" s="41">
        <v>11</v>
      </c>
      <c r="B24" s="41">
        <v>8654</v>
      </c>
      <c r="C24" s="74" t="s">
        <v>12781</v>
      </c>
      <c r="D24" s="799"/>
      <c r="E24" s="796"/>
      <c r="F24" s="35"/>
      <c r="I24" s="44" t="s">
        <v>397</v>
      </c>
      <c r="J24" s="218" t="s">
        <v>398</v>
      </c>
      <c r="K24" s="189">
        <v>1</v>
      </c>
      <c r="L24" s="43"/>
      <c r="M24" s="220"/>
      <c r="N24" s="38"/>
      <c r="O24" s="278">
        <f>ROUND((ROUND((_11_A家事増１．２５*_11・重度研修),0)*_11・２人),0)</f>
        <v>158</v>
      </c>
      <c r="P24" s="48"/>
    </row>
    <row r="25" spans="1:16" ht="16.5" customHeight="1" x14ac:dyDescent="0.15">
      <c r="A25" s="41">
        <v>11</v>
      </c>
      <c r="B25" s="41" t="s">
        <v>12782</v>
      </c>
      <c r="C25" s="74" t="s">
        <v>12783</v>
      </c>
      <c r="D25" s="799"/>
      <c r="E25" s="796"/>
      <c r="F25" s="35"/>
      <c r="I25" s="163"/>
      <c r="J25" s="45"/>
      <c r="K25" s="46"/>
      <c r="L25" s="734" t="s">
        <v>404</v>
      </c>
      <c r="M25" s="219" t="s">
        <v>398</v>
      </c>
      <c r="N25" s="50">
        <f>_11・初任</f>
        <v>0.7</v>
      </c>
      <c r="O25" s="278">
        <f>ROUND((ROUND((_11_A家事増１．２５*_11・重度研修),0)*_11・初任),0)</f>
        <v>111</v>
      </c>
      <c r="P25" s="48"/>
    </row>
    <row r="26" spans="1:16" ht="16.5" customHeight="1" x14ac:dyDescent="0.15">
      <c r="A26" s="41">
        <v>11</v>
      </c>
      <c r="B26" s="41" t="s">
        <v>12784</v>
      </c>
      <c r="C26" s="74" t="s">
        <v>12785</v>
      </c>
      <c r="D26" s="274">
        <f>_11_A家事増１．２５</f>
        <v>175</v>
      </c>
      <c r="E26" s="12" t="s">
        <v>392</v>
      </c>
      <c r="F26" s="35"/>
      <c r="I26" s="44" t="s">
        <v>397</v>
      </c>
      <c r="J26" s="218" t="s">
        <v>398</v>
      </c>
      <c r="K26" s="189">
        <v>1</v>
      </c>
      <c r="L26" s="706"/>
      <c r="M26" s="220"/>
      <c r="N26" s="38"/>
      <c r="O26" s="278">
        <f>ROUND((ROUND((ROUND((_11_A家事増１．２５*_11・重度研修),0)*_11・２人),0)*_11・初任),0)</f>
        <v>111</v>
      </c>
      <c r="P26" s="48"/>
    </row>
    <row r="27" spans="1:16" ht="16.5" customHeight="1" x14ac:dyDescent="0.15">
      <c r="A27" s="41">
        <v>11</v>
      </c>
      <c r="B27" s="41">
        <v>8655</v>
      </c>
      <c r="C27" s="74" t="s">
        <v>12786</v>
      </c>
      <c r="D27" s="707" t="s">
        <v>10520</v>
      </c>
      <c r="E27" s="798"/>
      <c r="F27" s="35"/>
      <c r="I27" s="163"/>
      <c r="J27" s="45"/>
      <c r="K27" s="46"/>
      <c r="L27" s="53"/>
      <c r="M27" s="245"/>
      <c r="N27" s="49"/>
      <c r="O27" s="278">
        <f>ROUND((_11_A家事増１．５*_11・重度研修),0)</f>
        <v>189</v>
      </c>
      <c r="P27" s="48"/>
    </row>
    <row r="28" spans="1:16" ht="16.5" customHeight="1" x14ac:dyDescent="0.15">
      <c r="A28" s="41">
        <v>11</v>
      </c>
      <c r="B28" s="41">
        <v>8656</v>
      </c>
      <c r="C28" s="74" t="s">
        <v>12787</v>
      </c>
      <c r="D28" s="799"/>
      <c r="E28" s="796"/>
      <c r="F28" s="35"/>
      <c r="I28" s="44" t="s">
        <v>397</v>
      </c>
      <c r="J28" s="218" t="s">
        <v>398</v>
      </c>
      <c r="K28" s="189">
        <v>1</v>
      </c>
      <c r="L28" s="43"/>
      <c r="M28" s="220"/>
      <c r="N28" s="37"/>
      <c r="O28" s="278">
        <f>ROUND((ROUND((_11_A家事増１．５*_11・重度研修),0)*_11・２人),0)</f>
        <v>189</v>
      </c>
      <c r="P28" s="48"/>
    </row>
    <row r="29" spans="1:16" ht="16.5" customHeight="1" x14ac:dyDescent="0.15">
      <c r="A29" s="41">
        <v>11</v>
      </c>
      <c r="B29" s="41" t="s">
        <v>12788</v>
      </c>
      <c r="C29" s="74" t="s">
        <v>12789</v>
      </c>
      <c r="D29" s="799"/>
      <c r="E29" s="796"/>
      <c r="F29" s="35"/>
      <c r="I29" s="163"/>
      <c r="J29" s="45"/>
      <c r="K29" s="46"/>
      <c r="L29" s="734" t="s">
        <v>404</v>
      </c>
      <c r="M29" s="219" t="s">
        <v>398</v>
      </c>
      <c r="N29" s="50">
        <f>_11・初任</f>
        <v>0.7</v>
      </c>
      <c r="O29" s="278">
        <f>ROUND((ROUND((_11_A家事増１．５*_11・重度研修),0)*_11・初任),0)</f>
        <v>132</v>
      </c>
      <c r="P29" s="48"/>
    </row>
    <row r="30" spans="1:16" ht="16.5" customHeight="1" x14ac:dyDescent="0.15">
      <c r="A30" s="41">
        <v>11</v>
      </c>
      <c r="B30" s="41" t="s">
        <v>12790</v>
      </c>
      <c r="C30" s="74" t="s">
        <v>12791</v>
      </c>
      <c r="D30" s="274">
        <f>_11_A家事増１．５</f>
        <v>210</v>
      </c>
      <c r="E30" s="12" t="s">
        <v>392</v>
      </c>
      <c r="F30" s="35"/>
      <c r="I30" s="44" t="s">
        <v>397</v>
      </c>
      <c r="J30" s="218" t="s">
        <v>398</v>
      </c>
      <c r="K30" s="189">
        <v>1</v>
      </c>
      <c r="L30" s="706"/>
      <c r="M30" s="220"/>
      <c r="N30" s="38"/>
      <c r="O30" s="278">
        <f>ROUND((ROUND((ROUND((_11_A家事増１．５*_11・重度研修),0)*_11・２人),0)*_11・初任),0)</f>
        <v>132</v>
      </c>
      <c r="P30" s="48"/>
    </row>
    <row r="31" spans="1:16" ht="16.5" customHeight="1" x14ac:dyDescent="0.15">
      <c r="A31" s="41">
        <v>11</v>
      </c>
      <c r="B31" s="41">
        <v>8657</v>
      </c>
      <c r="C31" s="74" t="s">
        <v>12792</v>
      </c>
      <c r="D31" s="707" t="s">
        <v>10533</v>
      </c>
      <c r="E31" s="798"/>
      <c r="F31" s="35"/>
      <c r="I31" s="163"/>
      <c r="J31" s="45"/>
      <c r="K31" s="46"/>
      <c r="L31" s="53"/>
      <c r="M31" s="245"/>
      <c r="N31" s="50"/>
      <c r="O31" s="278">
        <f>ROUND((_11_A家事増１．７５*_11・重度研修),0)</f>
        <v>221</v>
      </c>
      <c r="P31" s="48"/>
    </row>
    <row r="32" spans="1:16" ht="16.5" customHeight="1" x14ac:dyDescent="0.15">
      <c r="A32" s="41">
        <v>11</v>
      </c>
      <c r="B32" s="41">
        <v>8658</v>
      </c>
      <c r="C32" s="74" t="s">
        <v>12793</v>
      </c>
      <c r="D32" s="799"/>
      <c r="E32" s="796"/>
      <c r="F32" s="35"/>
      <c r="I32" s="44" t="s">
        <v>397</v>
      </c>
      <c r="J32" s="218" t="s">
        <v>398</v>
      </c>
      <c r="K32" s="189">
        <v>1</v>
      </c>
      <c r="L32" s="43"/>
      <c r="M32" s="220"/>
      <c r="N32" s="38"/>
      <c r="O32" s="278">
        <f>ROUND((ROUND((_11_A家事増１．７５*_11・重度研修),0)*_11・２人),0)</f>
        <v>221</v>
      </c>
      <c r="P32" s="48"/>
    </row>
    <row r="33" spans="1:16" ht="16.5" customHeight="1" x14ac:dyDescent="0.15">
      <c r="A33" s="41">
        <v>11</v>
      </c>
      <c r="B33" s="41" t="s">
        <v>12794</v>
      </c>
      <c r="C33" s="74" t="s">
        <v>12795</v>
      </c>
      <c r="D33" s="799"/>
      <c r="E33" s="796"/>
      <c r="F33" s="35"/>
      <c r="I33" s="163"/>
      <c r="J33" s="45"/>
      <c r="K33" s="46"/>
      <c r="L33" s="734" t="s">
        <v>404</v>
      </c>
      <c r="M33" s="219" t="s">
        <v>398</v>
      </c>
      <c r="N33" s="50">
        <f>_11・初任</f>
        <v>0.7</v>
      </c>
      <c r="O33" s="278">
        <f>ROUND((ROUND((_11_A家事増１．７５*_11・重度研修),0)*_11・初任),0)</f>
        <v>155</v>
      </c>
      <c r="P33" s="48"/>
    </row>
    <row r="34" spans="1:16" ht="16.5" customHeight="1" x14ac:dyDescent="0.15">
      <c r="A34" s="41">
        <v>11</v>
      </c>
      <c r="B34" s="41" t="s">
        <v>12796</v>
      </c>
      <c r="C34" s="74" t="s">
        <v>12797</v>
      </c>
      <c r="D34" s="274">
        <f>_11_A家事増１．７５</f>
        <v>245</v>
      </c>
      <c r="E34" s="12" t="s">
        <v>392</v>
      </c>
      <c r="F34" s="35"/>
      <c r="I34" s="44" t="s">
        <v>397</v>
      </c>
      <c r="J34" s="218" t="s">
        <v>398</v>
      </c>
      <c r="K34" s="189">
        <v>1</v>
      </c>
      <c r="L34" s="706"/>
      <c r="M34" s="220"/>
      <c r="N34" s="38"/>
      <c r="O34" s="278">
        <f>ROUND((ROUND((ROUND((_11_A家事増１．７５*_11・重度研修),0)*_11・２人),0)*_11・初任),0)</f>
        <v>155</v>
      </c>
      <c r="P34" s="48"/>
    </row>
    <row r="35" spans="1:16" ht="16.5" customHeight="1" x14ac:dyDescent="0.15">
      <c r="A35" s="41">
        <v>11</v>
      </c>
      <c r="B35" s="41">
        <v>8659</v>
      </c>
      <c r="C35" s="74" t="s">
        <v>12798</v>
      </c>
      <c r="D35" s="707" t="s">
        <v>10546</v>
      </c>
      <c r="E35" s="798"/>
      <c r="F35" s="35"/>
      <c r="I35" s="163"/>
      <c r="J35" s="45"/>
      <c r="K35" s="46"/>
      <c r="L35" s="53"/>
      <c r="M35" s="245"/>
      <c r="N35" s="50"/>
      <c r="O35" s="278">
        <f>ROUND((_11_A家事増２．０*_11・重度研修),0)</f>
        <v>252</v>
      </c>
      <c r="P35" s="48"/>
    </row>
    <row r="36" spans="1:16" ht="16.5" customHeight="1" x14ac:dyDescent="0.15">
      <c r="A36" s="41">
        <v>11</v>
      </c>
      <c r="B36" s="41">
        <v>8660</v>
      </c>
      <c r="C36" s="74" t="s">
        <v>12799</v>
      </c>
      <c r="D36" s="799"/>
      <c r="E36" s="796"/>
      <c r="F36" s="35"/>
      <c r="I36" s="44" t="s">
        <v>397</v>
      </c>
      <c r="J36" s="218" t="s">
        <v>398</v>
      </c>
      <c r="K36" s="189">
        <v>1</v>
      </c>
      <c r="L36" s="43"/>
      <c r="M36" s="220"/>
      <c r="N36" s="38"/>
      <c r="O36" s="278">
        <f>ROUND((ROUND((_11_A家事増２．０*_11・重度研修),0)*_11・２人),0)</f>
        <v>252</v>
      </c>
      <c r="P36" s="48"/>
    </row>
    <row r="37" spans="1:16" ht="16.5" customHeight="1" x14ac:dyDescent="0.15">
      <c r="A37" s="41">
        <v>11</v>
      </c>
      <c r="B37" s="41" t="s">
        <v>12800</v>
      </c>
      <c r="C37" s="74" t="s">
        <v>12801</v>
      </c>
      <c r="D37" s="799"/>
      <c r="E37" s="796"/>
      <c r="F37" s="35"/>
      <c r="I37" s="163"/>
      <c r="J37" s="45"/>
      <c r="K37" s="46"/>
      <c r="L37" s="734" t="s">
        <v>404</v>
      </c>
      <c r="M37" s="219" t="s">
        <v>398</v>
      </c>
      <c r="N37" s="50">
        <f>_11・初任</f>
        <v>0.7</v>
      </c>
      <c r="O37" s="278">
        <f>ROUND((ROUND((_11_A家事増２．０*_11・重度研修),0)*_11・初任),0)</f>
        <v>176</v>
      </c>
      <c r="P37" s="48"/>
    </row>
    <row r="38" spans="1:16" ht="16.5" customHeight="1" x14ac:dyDescent="0.15">
      <c r="A38" s="41">
        <v>11</v>
      </c>
      <c r="B38" s="41" t="s">
        <v>12802</v>
      </c>
      <c r="C38" s="74" t="s">
        <v>12803</v>
      </c>
      <c r="D38" s="274">
        <f>_11_A家事増２．０</f>
        <v>280</v>
      </c>
      <c r="E38" s="12" t="s">
        <v>392</v>
      </c>
      <c r="F38" s="35"/>
      <c r="I38" s="44" t="s">
        <v>397</v>
      </c>
      <c r="J38" s="218" t="s">
        <v>398</v>
      </c>
      <c r="K38" s="189">
        <v>1</v>
      </c>
      <c r="L38" s="706"/>
      <c r="M38" s="220"/>
      <c r="N38" s="38"/>
      <c r="O38" s="278">
        <f>ROUND((ROUND((ROUND((_11_A家事増２．０*_11・重度研修),0)*_11・２人),0)*_11・初任),0)</f>
        <v>176</v>
      </c>
      <c r="P38" s="48"/>
    </row>
    <row r="39" spans="1:16" ht="16.5" customHeight="1" x14ac:dyDescent="0.15">
      <c r="A39" s="41">
        <v>11</v>
      </c>
      <c r="B39" s="41">
        <v>8661</v>
      </c>
      <c r="C39" s="74" t="s">
        <v>12804</v>
      </c>
      <c r="D39" s="707" t="s">
        <v>10559</v>
      </c>
      <c r="E39" s="798"/>
      <c r="F39" s="35"/>
      <c r="I39" s="163"/>
      <c r="J39" s="45"/>
      <c r="K39" s="46"/>
      <c r="L39" s="53"/>
      <c r="M39" s="245"/>
      <c r="N39" s="49"/>
      <c r="O39" s="278">
        <f>ROUND((_11_A家事増２．２５*_11・重度研修),0)</f>
        <v>284</v>
      </c>
      <c r="P39" s="48"/>
    </row>
    <row r="40" spans="1:16" ht="16.5" customHeight="1" x14ac:dyDescent="0.15">
      <c r="A40" s="41">
        <v>11</v>
      </c>
      <c r="B40" s="41">
        <v>8662</v>
      </c>
      <c r="C40" s="74" t="s">
        <v>12805</v>
      </c>
      <c r="D40" s="799"/>
      <c r="E40" s="796"/>
      <c r="F40" s="35"/>
      <c r="I40" s="44" t="s">
        <v>397</v>
      </c>
      <c r="J40" s="218" t="s">
        <v>398</v>
      </c>
      <c r="K40" s="189">
        <v>1</v>
      </c>
      <c r="L40" s="43"/>
      <c r="M40" s="220"/>
      <c r="N40" s="37"/>
      <c r="O40" s="278">
        <f>ROUND((ROUND((_11_A家事増２．２５*_11・重度研修),0)*_11・２人),0)</f>
        <v>284</v>
      </c>
      <c r="P40" s="48"/>
    </row>
    <row r="41" spans="1:16" ht="16.5" customHeight="1" x14ac:dyDescent="0.15">
      <c r="A41" s="41">
        <v>11</v>
      </c>
      <c r="B41" s="41" t="s">
        <v>12806</v>
      </c>
      <c r="C41" s="74" t="s">
        <v>12807</v>
      </c>
      <c r="D41" s="799"/>
      <c r="E41" s="796"/>
      <c r="F41" s="35"/>
      <c r="I41" s="163"/>
      <c r="J41" s="45"/>
      <c r="K41" s="46"/>
      <c r="L41" s="734" t="s">
        <v>404</v>
      </c>
      <c r="M41" s="219" t="s">
        <v>398</v>
      </c>
      <c r="N41" s="50">
        <f>_11・初任</f>
        <v>0.7</v>
      </c>
      <c r="O41" s="278">
        <f>ROUND((ROUND((_11_A家事増２．２５*_11・重度研修),0)*_11・初任),0)</f>
        <v>199</v>
      </c>
      <c r="P41" s="48"/>
    </row>
    <row r="42" spans="1:16" ht="16.5" customHeight="1" x14ac:dyDescent="0.15">
      <c r="A42" s="41">
        <v>11</v>
      </c>
      <c r="B42" s="41" t="s">
        <v>12808</v>
      </c>
      <c r="C42" s="74" t="s">
        <v>12809</v>
      </c>
      <c r="D42" s="274">
        <f>_11_A家事増２．２５</f>
        <v>315</v>
      </c>
      <c r="E42" s="12" t="s">
        <v>392</v>
      </c>
      <c r="F42" s="35"/>
      <c r="I42" s="44" t="s">
        <v>397</v>
      </c>
      <c r="J42" s="218" t="s">
        <v>398</v>
      </c>
      <c r="K42" s="189">
        <v>1</v>
      </c>
      <c r="L42" s="706"/>
      <c r="M42" s="220"/>
      <c r="N42" s="38"/>
      <c r="O42" s="278">
        <f>ROUND((ROUND((ROUND((_11_A家事増２．２５*_11・重度研修),0)*_11・２人),0)*_11・初任),0)</f>
        <v>199</v>
      </c>
      <c r="P42" s="48"/>
    </row>
    <row r="43" spans="1:16" ht="16.5" customHeight="1" x14ac:dyDescent="0.15">
      <c r="A43" s="41">
        <v>11</v>
      </c>
      <c r="B43" s="41">
        <v>8663</v>
      </c>
      <c r="C43" s="74" t="s">
        <v>12810</v>
      </c>
      <c r="D43" s="707" t="s">
        <v>10572</v>
      </c>
      <c r="E43" s="798"/>
      <c r="F43" s="35"/>
      <c r="I43" s="163"/>
      <c r="J43" s="45"/>
      <c r="K43" s="46"/>
      <c r="L43" s="53"/>
      <c r="M43" s="245"/>
      <c r="N43" s="50"/>
      <c r="O43" s="278">
        <f>ROUND((_11_A家事増２．５*_11・重度研修),0)</f>
        <v>315</v>
      </c>
      <c r="P43" s="48"/>
    </row>
    <row r="44" spans="1:16" ht="16.5" customHeight="1" x14ac:dyDescent="0.15">
      <c r="A44" s="41">
        <v>11</v>
      </c>
      <c r="B44" s="41">
        <v>8664</v>
      </c>
      <c r="C44" s="74" t="s">
        <v>12811</v>
      </c>
      <c r="D44" s="799"/>
      <c r="E44" s="796"/>
      <c r="F44" s="35"/>
      <c r="I44" s="44" t="s">
        <v>397</v>
      </c>
      <c r="J44" s="218" t="s">
        <v>398</v>
      </c>
      <c r="K44" s="189">
        <v>1</v>
      </c>
      <c r="L44" s="43"/>
      <c r="M44" s="220"/>
      <c r="N44" s="38"/>
      <c r="O44" s="278">
        <f>ROUND((ROUND((_11_A家事増２．５*_11・重度研修),0)*_11・２人),0)</f>
        <v>315</v>
      </c>
      <c r="P44" s="48"/>
    </row>
    <row r="45" spans="1:16" ht="16.5" customHeight="1" x14ac:dyDescent="0.15">
      <c r="A45" s="41">
        <v>11</v>
      </c>
      <c r="B45" s="41" t="s">
        <v>12812</v>
      </c>
      <c r="C45" s="74" t="s">
        <v>12813</v>
      </c>
      <c r="D45" s="799"/>
      <c r="E45" s="796"/>
      <c r="F45" s="35"/>
      <c r="I45" s="163"/>
      <c r="J45" s="45"/>
      <c r="K45" s="46"/>
      <c r="L45" s="734" t="s">
        <v>404</v>
      </c>
      <c r="M45" s="219" t="s">
        <v>398</v>
      </c>
      <c r="N45" s="50">
        <f>_11・初任</f>
        <v>0.7</v>
      </c>
      <c r="O45" s="278">
        <f>ROUND((ROUND((_11_A家事増２．５*_11・重度研修),0)*_11・初任),0)</f>
        <v>221</v>
      </c>
      <c r="P45" s="48"/>
    </row>
    <row r="46" spans="1:16" ht="16.5" customHeight="1" x14ac:dyDescent="0.15">
      <c r="A46" s="41">
        <v>11</v>
      </c>
      <c r="B46" s="41" t="s">
        <v>12814</v>
      </c>
      <c r="C46" s="74" t="s">
        <v>12815</v>
      </c>
      <c r="D46" s="274">
        <f>_11_A家事増２．５</f>
        <v>350</v>
      </c>
      <c r="E46" s="12" t="s">
        <v>392</v>
      </c>
      <c r="F46" s="35"/>
      <c r="I46" s="44" t="s">
        <v>397</v>
      </c>
      <c r="J46" s="218" t="s">
        <v>398</v>
      </c>
      <c r="K46" s="189">
        <v>1</v>
      </c>
      <c r="L46" s="706"/>
      <c r="M46" s="220"/>
      <c r="N46" s="38"/>
      <c r="O46" s="278">
        <f>ROUND((ROUND((ROUND((_11_A家事増２．５*_11・重度研修),0)*_11・２人),0)*_11・初任),0)</f>
        <v>221</v>
      </c>
      <c r="P46" s="48"/>
    </row>
    <row r="47" spans="1:16" ht="16.5" customHeight="1" x14ac:dyDescent="0.15">
      <c r="A47" s="41">
        <v>11</v>
      </c>
      <c r="B47" s="41">
        <v>8665</v>
      </c>
      <c r="C47" s="74" t="s">
        <v>12816</v>
      </c>
      <c r="D47" s="707" t="s">
        <v>10585</v>
      </c>
      <c r="E47" s="798"/>
      <c r="F47" s="35"/>
      <c r="I47" s="163"/>
      <c r="J47" s="45"/>
      <c r="K47" s="46"/>
      <c r="L47" s="53"/>
      <c r="M47" s="245"/>
      <c r="N47" s="50"/>
      <c r="O47" s="278">
        <f>ROUND((_11_A家事増２．７５*_11・重度研修),0)</f>
        <v>347</v>
      </c>
      <c r="P47" s="48"/>
    </row>
    <row r="48" spans="1:16" ht="16.5" customHeight="1" x14ac:dyDescent="0.15">
      <c r="A48" s="41">
        <v>11</v>
      </c>
      <c r="B48" s="41">
        <v>8666</v>
      </c>
      <c r="C48" s="74" t="s">
        <v>12817</v>
      </c>
      <c r="D48" s="799"/>
      <c r="E48" s="796"/>
      <c r="F48" s="35"/>
      <c r="I48" s="44" t="s">
        <v>397</v>
      </c>
      <c r="J48" s="218" t="s">
        <v>398</v>
      </c>
      <c r="K48" s="189">
        <v>1</v>
      </c>
      <c r="L48" s="43"/>
      <c r="M48" s="220"/>
      <c r="N48" s="38"/>
      <c r="O48" s="278">
        <f>ROUND((ROUND((_11_A家事増２．７５*_11・重度研修),0)*_11・２人),0)</f>
        <v>347</v>
      </c>
      <c r="P48" s="48"/>
    </row>
    <row r="49" spans="1:16" ht="16.5" customHeight="1" x14ac:dyDescent="0.15">
      <c r="A49" s="41">
        <v>11</v>
      </c>
      <c r="B49" s="41" t="s">
        <v>12818</v>
      </c>
      <c r="C49" s="74" t="s">
        <v>12819</v>
      </c>
      <c r="D49" s="799"/>
      <c r="E49" s="796"/>
      <c r="F49" s="35"/>
      <c r="I49" s="163"/>
      <c r="J49" s="45"/>
      <c r="K49" s="46"/>
      <c r="L49" s="734" t="s">
        <v>404</v>
      </c>
      <c r="M49" s="219" t="s">
        <v>398</v>
      </c>
      <c r="N49" s="50">
        <f>_11・初任</f>
        <v>0.7</v>
      </c>
      <c r="O49" s="278">
        <f>ROUND((ROUND((_11_A家事増２．７５*_11・重度研修),0)*_11・初任),0)</f>
        <v>243</v>
      </c>
      <c r="P49" s="48"/>
    </row>
    <row r="50" spans="1:16" ht="16.5" customHeight="1" x14ac:dyDescent="0.15">
      <c r="A50" s="41">
        <v>11</v>
      </c>
      <c r="B50" s="41" t="s">
        <v>12820</v>
      </c>
      <c r="C50" s="74" t="s">
        <v>12821</v>
      </c>
      <c r="D50" s="274">
        <f>_11_A家事増２．７５</f>
        <v>385</v>
      </c>
      <c r="E50" s="12" t="s">
        <v>392</v>
      </c>
      <c r="F50" s="35"/>
      <c r="I50" s="44" t="s">
        <v>397</v>
      </c>
      <c r="J50" s="218" t="s">
        <v>398</v>
      </c>
      <c r="K50" s="189">
        <v>1</v>
      </c>
      <c r="L50" s="706"/>
      <c r="M50" s="220"/>
      <c r="N50" s="38"/>
      <c r="O50" s="278">
        <f>ROUND((ROUND((ROUND((_11_A家事増２．７５*_11・重度研修),0)*_11・２人),0)*_11・初任),0)</f>
        <v>243</v>
      </c>
      <c r="P50" s="48"/>
    </row>
    <row r="51" spans="1:16" ht="16.5" customHeight="1" x14ac:dyDescent="0.15">
      <c r="A51" s="41">
        <v>11</v>
      </c>
      <c r="B51" s="41">
        <v>8667</v>
      </c>
      <c r="C51" s="74" t="s">
        <v>12822</v>
      </c>
      <c r="D51" s="707" t="s">
        <v>10598</v>
      </c>
      <c r="E51" s="798"/>
      <c r="F51" s="35"/>
      <c r="I51" s="163"/>
      <c r="J51" s="45"/>
      <c r="K51" s="46"/>
      <c r="L51" s="53"/>
      <c r="M51" s="245"/>
      <c r="N51" s="49"/>
      <c r="O51" s="278">
        <f>ROUND((_11_A家事増３．０*_11・重度研修),0)</f>
        <v>378</v>
      </c>
      <c r="P51" s="48"/>
    </row>
    <row r="52" spans="1:16" ht="16.5" customHeight="1" x14ac:dyDescent="0.15">
      <c r="A52" s="41">
        <v>11</v>
      </c>
      <c r="B52" s="41">
        <v>8668</v>
      </c>
      <c r="C52" s="74" t="s">
        <v>12823</v>
      </c>
      <c r="D52" s="799"/>
      <c r="E52" s="796"/>
      <c r="F52" s="35"/>
      <c r="I52" s="44" t="s">
        <v>397</v>
      </c>
      <c r="J52" s="218" t="s">
        <v>398</v>
      </c>
      <c r="K52" s="189">
        <v>1</v>
      </c>
      <c r="L52" s="43"/>
      <c r="M52" s="220"/>
      <c r="N52" s="37"/>
      <c r="O52" s="278">
        <f>ROUND((ROUND((_11_A家事増３．０*_11・重度研修),0)*_11・２人),0)</f>
        <v>378</v>
      </c>
      <c r="P52" s="48"/>
    </row>
    <row r="53" spans="1:16" ht="16.5" customHeight="1" x14ac:dyDescent="0.15">
      <c r="A53" s="41">
        <v>11</v>
      </c>
      <c r="B53" s="41" t="s">
        <v>12824</v>
      </c>
      <c r="C53" s="74" t="s">
        <v>12825</v>
      </c>
      <c r="D53" s="799"/>
      <c r="E53" s="796"/>
      <c r="F53" s="35"/>
      <c r="I53" s="163"/>
      <c r="J53" s="45"/>
      <c r="K53" s="46"/>
      <c r="L53" s="734" t="s">
        <v>404</v>
      </c>
      <c r="M53" s="219" t="s">
        <v>398</v>
      </c>
      <c r="N53" s="50">
        <f>_11・初任</f>
        <v>0.7</v>
      </c>
      <c r="O53" s="278">
        <f>ROUND((ROUND((_11_A家事増３．０*_11・重度研修),0)*_11・初任),0)</f>
        <v>265</v>
      </c>
      <c r="P53" s="48"/>
    </row>
    <row r="54" spans="1:16" ht="16.5" customHeight="1" x14ac:dyDescent="0.15">
      <c r="A54" s="41">
        <v>11</v>
      </c>
      <c r="B54" s="41" t="s">
        <v>12826</v>
      </c>
      <c r="C54" s="74" t="s">
        <v>12827</v>
      </c>
      <c r="D54" s="274">
        <f>_11_A家事増３．０</f>
        <v>420</v>
      </c>
      <c r="E54" s="12" t="s">
        <v>392</v>
      </c>
      <c r="F54" s="35"/>
      <c r="I54" s="44" t="s">
        <v>397</v>
      </c>
      <c r="J54" s="218" t="s">
        <v>398</v>
      </c>
      <c r="K54" s="189">
        <v>1</v>
      </c>
      <c r="L54" s="706"/>
      <c r="M54" s="220"/>
      <c r="N54" s="38"/>
      <c r="O54" s="278">
        <f>ROUND((ROUND((ROUND((_11_A家事増３．０*_11・重度研修),0)*_11・２人),0)*_11・初任),0)</f>
        <v>265</v>
      </c>
      <c r="P54" s="48"/>
    </row>
    <row r="55" spans="1:16" ht="16.5" customHeight="1" x14ac:dyDescent="0.15">
      <c r="A55" s="41">
        <v>11</v>
      </c>
      <c r="B55" s="41">
        <v>8669</v>
      </c>
      <c r="C55" s="74" t="s">
        <v>12828</v>
      </c>
      <c r="D55" s="707" t="s">
        <v>10611</v>
      </c>
      <c r="E55" s="798"/>
      <c r="F55" s="35"/>
      <c r="I55" s="163"/>
      <c r="J55" s="45"/>
      <c r="K55" s="46"/>
      <c r="L55" s="53"/>
      <c r="M55" s="245"/>
      <c r="N55" s="50"/>
      <c r="O55" s="278">
        <f>ROUND((_11_A家事増３．２５*_11・重度研修),0)</f>
        <v>410</v>
      </c>
      <c r="P55" s="48"/>
    </row>
    <row r="56" spans="1:16" ht="16.5" customHeight="1" x14ac:dyDescent="0.15">
      <c r="A56" s="41">
        <v>11</v>
      </c>
      <c r="B56" s="41">
        <v>8670</v>
      </c>
      <c r="C56" s="74" t="s">
        <v>12829</v>
      </c>
      <c r="D56" s="799"/>
      <c r="E56" s="796"/>
      <c r="F56" s="35"/>
      <c r="I56" s="44" t="s">
        <v>397</v>
      </c>
      <c r="J56" s="218" t="s">
        <v>398</v>
      </c>
      <c r="K56" s="189">
        <v>1</v>
      </c>
      <c r="L56" s="43"/>
      <c r="M56" s="220"/>
      <c r="N56" s="38"/>
      <c r="O56" s="278">
        <f>ROUND((ROUND((_11_A家事増３．２５*_11・重度研修),0)*_11・２人),0)</f>
        <v>410</v>
      </c>
      <c r="P56" s="48"/>
    </row>
    <row r="57" spans="1:16" ht="16.5" customHeight="1" x14ac:dyDescent="0.15">
      <c r="A57" s="41">
        <v>11</v>
      </c>
      <c r="B57" s="41" t="s">
        <v>12830</v>
      </c>
      <c r="C57" s="74" t="s">
        <v>12831</v>
      </c>
      <c r="D57" s="799"/>
      <c r="E57" s="796"/>
      <c r="F57" s="35"/>
      <c r="I57" s="163"/>
      <c r="J57" s="45"/>
      <c r="K57" s="46"/>
      <c r="L57" s="734" t="s">
        <v>404</v>
      </c>
      <c r="M57" s="219" t="s">
        <v>398</v>
      </c>
      <c r="N57" s="50">
        <f>_11・初任</f>
        <v>0.7</v>
      </c>
      <c r="O57" s="278">
        <f>ROUND((ROUND((_11_A家事増３．２５*_11・重度研修),0)*_11・初任),0)</f>
        <v>287</v>
      </c>
      <c r="P57" s="48"/>
    </row>
    <row r="58" spans="1:16" ht="16.5" customHeight="1" x14ac:dyDescent="0.15">
      <c r="A58" s="41">
        <v>11</v>
      </c>
      <c r="B58" s="41" t="s">
        <v>12832</v>
      </c>
      <c r="C58" s="74" t="s">
        <v>12833</v>
      </c>
      <c r="D58" s="274">
        <f>_11_A家事増３．２５</f>
        <v>455</v>
      </c>
      <c r="E58" s="12" t="s">
        <v>392</v>
      </c>
      <c r="F58" s="35"/>
      <c r="I58" s="44" t="s">
        <v>397</v>
      </c>
      <c r="J58" s="218" t="s">
        <v>398</v>
      </c>
      <c r="K58" s="189">
        <v>1</v>
      </c>
      <c r="L58" s="706"/>
      <c r="M58" s="220"/>
      <c r="N58" s="38"/>
      <c r="O58" s="278">
        <f>ROUND((ROUND((ROUND((_11_A家事増３．２５*_11・重度研修),0)*_11・２人),0)*_11・初任),0)</f>
        <v>287</v>
      </c>
      <c r="P58" s="48"/>
    </row>
    <row r="59" spans="1:16" ht="16.5" customHeight="1" x14ac:dyDescent="0.15">
      <c r="A59" s="41">
        <v>11</v>
      </c>
      <c r="B59" s="41">
        <v>8671</v>
      </c>
      <c r="C59" s="74" t="s">
        <v>12834</v>
      </c>
      <c r="D59" s="707" t="s">
        <v>10624</v>
      </c>
      <c r="E59" s="798"/>
      <c r="F59" s="35"/>
      <c r="I59" s="163"/>
      <c r="J59" s="45"/>
      <c r="K59" s="46"/>
      <c r="L59" s="53"/>
      <c r="M59" s="245"/>
      <c r="N59" s="50"/>
      <c r="O59" s="278">
        <f>ROUND((_11_A家事増３．５*_11・重度研修),0)</f>
        <v>441</v>
      </c>
      <c r="P59" s="48"/>
    </row>
    <row r="60" spans="1:16" ht="16.5" customHeight="1" x14ac:dyDescent="0.15">
      <c r="A60" s="41">
        <v>11</v>
      </c>
      <c r="B60" s="41">
        <v>8672</v>
      </c>
      <c r="C60" s="74" t="s">
        <v>12835</v>
      </c>
      <c r="D60" s="799"/>
      <c r="E60" s="796"/>
      <c r="F60" s="35"/>
      <c r="I60" s="44" t="s">
        <v>397</v>
      </c>
      <c r="J60" s="218" t="s">
        <v>398</v>
      </c>
      <c r="K60" s="189">
        <v>1</v>
      </c>
      <c r="L60" s="43"/>
      <c r="M60" s="220"/>
      <c r="N60" s="38"/>
      <c r="O60" s="278">
        <f>ROUND((ROUND((_11_A家事増３．５*_11・重度研修),0)*_11・２人),0)</f>
        <v>441</v>
      </c>
      <c r="P60" s="48"/>
    </row>
    <row r="61" spans="1:16" ht="16.5" customHeight="1" x14ac:dyDescent="0.15">
      <c r="A61" s="41">
        <v>11</v>
      </c>
      <c r="B61" s="41" t="s">
        <v>12836</v>
      </c>
      <c r="C61" s="74" t="s">
        <v>12837</v>
      </c>
      <c r="D61" s="799"/>
      <c r="E61" s="796"/>
      <c r="F61" s="35"/>
      <c r="I61" s="163"/>
      <c r="J61" s="45"/>
      <c r="K61" s="46"/>
      <c r="L61" s="734" t="s">
        <v>404</v>
      </c>
      <c r="M61" s="219" t="s">
        <v>398</v>
      </c>
      <c r="N61" s="50">
        <f>_11・初任</f>
        <v>0.7</v>
      </c>
      <c r="O61" s="278">
        <f>ROUND((ROUND((_11_A家事増３．５*_11・重度研修),0)*_11・初任),0)</f>
        <v>309</v>
      </c>
      <c r="P61" s="48"/>
    </row>
    <row r="62" spans="1:16" ht="16.5" customHeight="1" x14ac:dyDescent="0.15">
      <c r="A62" s="41">
        <v>11</v>
      </c>
      <c r="B62" s="41" t="s">
        <v>12838</v>
      </c>
      <c r="C62" s="74" t="s">
        <v>12839</v>
      </c>
      <c r="D62" s="274">
        <f>_11_A家事増３．５</f>
        <v>490</v>
      </c>
      <c r="E62" s="12" t="s">
        <v>392</v>
      </c>
      <c r="F62" s="35"/>
      <c r="I62" s="44" t="s">
        <v>397</v>
      </c>
      <c r="J62" s="218" t="s">
        <v>398</v>
      </c>
      <c r="K62" s="189">
        <v>1</v>
      </c>
      <c r="L62" s="706"/>
      <c r="M62" s="220"/>
      <c r="N62" s="38"/>
      <c r="O62" s="278">
        <f>ROUND((ROUND((ROUND((_11_A家事増３．５*_11・重度研修),0)*_11・２人),0)*_11・初任),0)</f>
        <v>309</v>
      </c>
      <c r="P62" s="48"/>
    </row>
    <row r="63" spans="1:16" ht="16.5" customHeight="1" x14ac:dyDescent="0.15">
      <c r="A63" s="41">
        <v>11</v>
      </c>
      <c r="B63" s="41">
        <v>8673</v>
      </c>
      <c r="C63" s="74" t="s">
        <v>12840</v>
      </c>
      <c r="D63" s="707" t="s">
        <v>10637</v>
      </c>
      <c r="E63" s="798"/>
      <c r="F63" s="35"/>
      <c r="I63" s="163"/>
      <c r="J63" s="45"/>
      <c r="K63" s="46"/>
      <c r="L63" s="53"/>
      <c r="M63" s="245"/>
      <c r="N63" s="49"/>
      <c r="O63" s="278">
        <f>ROUND((_11_A家事増３．７５*_11・重度研修),0)</f>
        <v>473</v>
      </c>
      <c r="P63" s="48"/>
    </row>
    <row r="64" spans="1:16" ht="16.5" customHeight="1" x14ac:dyDescent="0.15">
      <c r="A64" s="41">
        <v>11</v>
      </c>
      <c r="B64" s="41">
        <v>8674</v>
      </c>
      <c r="C64" s="74" t="s">
        <v>12841</v>
      </c>
      <c r="D64" s="799"/>
      <c r="E64" s="796"/>
      <c r="F64" s="35"/>
      <c r="I64" s="44" t="s">
        <v>397</v>
      </c>
      <c r="J64" s="218" t="s">
        <v>398</v>
      </c>
      <c r="K64" s="189">
        <v>1</v>
      </c>
      <c r="L64" s="43"/>
      <c r="M64" s="220"/>
      <c r="N64" s="37"/>
      <c r="O64" s="278">
        <f>ROUND((ROUND((_11_A家事増３．７５*_11・重度研修),0)*_11・２人),0)</f>
        <v>473</v>
      </c>
      <c r="P64" s="48"/>
    </row>
    <row r="65" spans="1:16" ht="16.5" customHeight="1" x14ac:dyDescent="0.15">
      <c r="A65" s="41">
        <v>11</v>
      </c>
      <c r="B65" s="41" t="s">
        <v>12842</v>
      </c>
      <c r="C65" s="74" t="s">
        <v>12843</v>
      </c>
      <c r="D65" s="799"/>
      <c r="E65" s="796"/>
      <c r="F65" s="35"/>
      <c r="I65" s="163"/>
      <c r="J65" s="45"/>
      <c r="K65" s="46"/>
      <c r="L65" s="734" t="s">
        <v>404</v>
      </c>
      <c r="M65" s="219" t="s">
        <v>398</v>
      </c>
      <c r="N65" s="50">
        <f>_11・初任</f>
        <v>0.7</v>
      </c>
      <c r="O65" s="278">
        <f>ROUND((ROUND((_11_A家事増３．７５*_11・重度研修),0)*_11・初任),0)</f>
        <v>331</v>
      </c>
      <c r="P65" s="48"/>
    </row>
    <row r="66" spans="1:16" ht="16.5" customHeight="1" x14ac:dyDescent="0.15">
      <c r="A66" s="41">
        <v>11</v>
      </c>
      <c r="B66" s="41" t="s">
        <v>12844</v>
      </c>
      <c r="C66" s="74" t="s">
        <v>12845</v>
      </c>
      <c r="D66" s="274">
        <f>_11_A家事増３．７５</f>
        <v>525</v>
      </c>
      <c r="E66" s="12" t="s">
        <v>392</v>
      </c>
      <c r="F66" s="35"/>
      <c r="I66" s="44" t="s">
        <v>397</v>
      </c>
      <c r="J66" s="218" t="s">
        <v>398</v>
      </c>
      <c r="K66" s="189">
        <v>1</v>
      </c>
      <c r="L66" s="706"/>
      <c r="M66" s="220"/>
      <c r="N66" s="38"/>
      <c r="O66" s="278">
        <f>ROUND((ROUND((ROUND((_11_A家事増３．７５*_11・重度研修),0)*_11・２人),0)*_11・初任),0)</f>
        <v>331</v>
      </c>
      <c r="P66" s="48"/>
    </row>
    <row r="67" spans="1:16" ht="16.5" customHeight="1" x14ac:dyDescent="0.15">
      <c r="A67" s="41">
        <v>11</v>
      </c>
      <c r="B67" s="41">
        <v>8675</v>
      </c>
      <c r="C67" s="74" t="s">
        <v>12846</v>
      </c>
      <c r="D67" s="707" t="s">
        <v>10650</v>
      </c>
      <c r="E67" s="798"/>
      <c r="F67" s="35"/>
      <c r="I67" s="163"/>
      <c r="J67" s="45"/>
      <c r="K67" s="46"/>
      <c r="L67" s="53"/>
      <c r="M67" s="245"/>
      <c r="N67" s="50"/>
      <c r="O67" s="278">
        <f>ROUND((_11_A家事増４．０*_11・重度研修),0)</f>
        <v>504</v>
      </c>
      <c r="P67" s="48"/>
    </row>
    <row r="68" spans="1:16" ht="16.5" customHeight="1" x14ac:dyDescent="0.15">
      <c r="A68" s="41">
        <v>11</v>
      </c>
      <c r="B68" s="41">
        <v>8676</v>
      </c>
      <c r="C68" s="74" t="s">
        <v>12847</v>
      </c>
      <c r="D68" s="799"/>
      <c r="E68" s="796"/>
      <c r="F68" s="35"/>
      <c r="I68" s="44" t="s">
        <v>397</v>
      </c>
      <c r="J68" s="218" t="s">
        <v>398</v>
      </c>
      <c r="K68" s="189">
        <v>1</v>
      </c>
      <c r="L68" s="43"/>
      <c r="M68" s="220"/>
      <c r="N68" s="38"/>
      <c r="O68" s="278">
        <f>ROUND((ROUND((_11_A家事増４．０*_11・重度研修),0)*_11・２人),0)</f>
        <v>504</v>
      </c>
      <c r="P68" s="48"/>
    </row>
    <row r="69" spans="1:16" ht="16.5" customHeight="1" x14ac:dyDescent="0.15">
      <c r="A69" s="41">
        <v>11</v>
      </c>
      <c r="B69" s="41" t="s">
        <v>12848</v>
      </c>
      <c r="C69" s="74" t="s">
        <v>12849</v>
      </c>
      <c r="D69" s="799"/>
      <c r="E69" s="796"/>
      <c r="F69" s="35"/>
      <c r="I69" s="163"/>
      <c r="J69" s="45"/>
      <c r="K69" s="46"/>
      <c r="L69" s="734" t="s">
        <v>404</v>
      </c>
      <c r="M69" s="219" t="s">
        <v>398</v>
      </c>
      <c r="N69" s="50">
        <f>_11・初任</f>
        <v>0.7</v>
      </c>
      <c r="O69" s="278">
        <f>ROUND((ROUND((_11_A家事増４．０*_11・重度研修),0)*_11・初任),0)</f>
        <v>353</v>
      </c>
      <c r="P69" s="48"/>
    </row>
    <row r="70" spans="1:16" ht="16.5" customHeight="1" x14ac:dyDescent="0.15">
      <c r="A70" s="41">
        <v>11</v>
      </c>
      <c r="B70" s="41" t="s">
        <v>12850</v>
      </c>
      <c r="C70" s="74" t="s">
        <v>12851</v>
      </c>
      <c r="D70" s="274">
        <f>_11_A家事増４．０</f>
        <v>560</v>
      </c>
      <c r="E70" s="12" t="s">
        <v>392</v>
      </c>
      <c r="F70" s="35"/>
      <c r="I70" s="44" t="s">
        <v>397</v>
      </c>
      <c r="J70" s="218" t="s">
        <v>398</v>
      </c>
      <c r="K70" s="189">
        <v>1</v>
      </c>
      <c r="L70" s="706"/>
      <c r="M70" s="220"/>
      <c r="N70" s="38"/>
      <c r="O70" s="278">
        <f>ROUND((ROUND((ROUND((_11_A家事増４．０*_11・重度研修),0)*_11・２人),0)*_11・初任),0)</f>
        <v>353</v>
      </c>
      <c r="P70" s="48"/>
    </row>
    <row r="71" spans="1:16" ht="16.5" customHeight="1" x14ac:dyDescent="0.15">
      <c r="A71" s="41">
        <v>11</v>
      </c>
      <c r="B71" s="41">
        <v>8677</v>
      </c>
      <c r="C71" s="74" t="s">
        <v>12852</v>
      </c>
      <c r="D71" s="707" t="s">
        <v>10663</v>
      </c>
      <c r="E71" s="798"/>
      <c r="F71" s="35"/>
      <c r="I71" s="163"/>
      <c r="J71" s="45"/>
      <c r="K71" s="46"/>
      <c r="L71" s="53"/>
      <c r="M71" s="245"/>
      <c r="N71" s="50"/>
      <c r="O71" s="278">
        <f>ROUND((_11_A家事増４．２５*_11・重度研修),0)</f>
        <v>536</v>
      </c>
      <c r="P71" s="48"/>
    </row>
    <row r="72" spans="1:16" ht="16.5" customHeight="1" x14ac:dyDescent="0.15">
      <c r="A72" s="41">
        <v>11</v>
      </c>
      <c r="B72" s="41">
        <v>8678</v>
      </c>
      <c r="C72" s="74" t="s">
        <v>12853</v>
      </c>
      <c r="D72" s="799"/>
      <c r="E72" s="796"/>
      <c r="F72" s="35"/>
      <c r="I72" s="44" t="s">
        <v>397</v>
      </c>
      <c r="J72" s="218" t="s">
        <v>398</v>
      </c>
      <c r="K72" s="189">
        <v>1</v>
      </c>
      <c r="L72" s="43"/>
      <c r="M72" s="220"/>
      <c r="N72" s="38"/>
      <c r="O72" s="278">
        <f>ROUND((ROUND((_11_A家事増４．２５*_11・重度研修),0)*_11・２人),0)</f>
        <v>536</v>
      </c>
      <c r="P72" s="48"/>
    </row>
    <row r="73" spans="1:16" ht="16.5" customHeight="1" x14ac:dyDescent="0.15">
      <c r="A73" s="41">
        <v>11</v>
      </c>
      <c r="B73" s="41" t="s">
        <v>12854</v>
      </c>
      <c r="C73" s="74" t="s">
        <v>12855</v>
      </c>
      <c r="D73" s="799"/>
      <c r="E73" s="796"/>
      <c r="F73" s="35"/>
      <c r="I73" s="163"/>
      <c r="J73" s="45"/>
      <c r="K73" s="46"/>
      <c r="L73" s="734" t="s">
        <v>404</v>
      </c>
      <c r="M73" s="219" t="s">
        <v>398</v>
      </c>
      <c r="N73" s="50">
        <f>_11・初任</f>
        <v>0.7</v>
      </c>
      <c r="O73" s="278">
        <f>ROUND((ROUND((_11_A家事増４．２５*_11・重度研修),0)*_11・初任),0)</f>
        <v>375</v>
      </c>
      <c r="P73" s="48"/>
    </row>
    <row r="74" spans="1:16" ht="16.5" customHeight="1" x14ac:dyDescent="0.15">
      <c r="A74" s="41">
        <v>11</v>
      </c>
      <c r="B74" s="41" t="s">
        <v>12856</v>
      </c>
      <c r="C74" s="74" t="s">
        <v>12857</v>
      </c>
      <c r="D74" s="274">
        <f>_11_A家事増４．２５</f>
        <v>595</v>
      </c>
      <c r="E74" s="12" t="s">
        <v>392</v>
      </c>
      <c r="F74" s="35"/>
      <c r="I74" s="44" t="s">
        <v>397</v>
      </c>
      <c r="J74" s="218" t="s">
        <v>398</v>
      </c>
      <c r="K74" s="189">
        <v>1</v>
      </c>
      <c r="L74" s="706"/>
      <c r="M74" s="220"/>
      <c r="N74" s="38"/>
      <c r="O74" s="278">
        <f>ROUND((ROUND((ROUND((_11_A家事増４．２５*_11・重度研修),0)*_11・２人),0)*_11・初任),0)</f>
        <v>375</v>
      </c>
      <c r="P74" s="48"/>
    </row>
    <row r="75" spans="1:16" ht="16.5" customHeight="1" x14ac:dyDescent="0.15">
      <c r="A75" s="41">
        <v>11</v>
      </c>
      <c r="B75" s="41">
        <v>8679</v>
      </c>
      <c r="C75" s="74" t="s">
        <v>12858</v>
      </c>
      <c r="D75" s="707" t="s">
        <v>10676</v>
      </c>
      <c r="E75" s="798"/>
      <c r="F75" s="35"/>
      <c r="I75" s="163"/>
      <c r="J75" s="45"/>
      <c r="K75" s="46"/>
      <c r="L75" s="53"/>
      <c r="M75" s="245"/>
      <c r="N75" s="49"/>
      <c r="O75" s="278">
        <f>ROUND((_11_A家事増４．５*_11・重度研修),0)</f>
        <v>567</v>
      </c>
      <c r="P75" s="48"/>
    </row>
    <row r="76" spans="1:16" ht="16.5" customHeight="1" x14ac:dyDescent="0.15">
      <c r="A76" s="41">
        <v>11</v>
      </c>
      <c r="B76" s="41">
        <v>8680</v>
      </c>
      <c r="C76" s="74" t="s">
        <v>12859</v>
      </c>
      <c r="D76" s="799"/>
      <c r="E76" s="796"/>
      <c r="F76" s="35"/>
      <c r="I76" s="44" t="s">
        <v>397</v>
      </c>
      <c r="J76" s="218" t="s">
        <v>398</v>
      </c>
      <c r="K76" s="189">
        <v>1</v>
      </c>
      <c r="L76" s="43"/>
      <c r="M76" s="220"/>
      <c r="N76" s="37"/>
      <c r="O76" s="278">
        <f>ROUND((ROUND((_11_A家事増４．５*_11・重度研修),0)*_11・２人),0)</f>
        <v>567</v>
      </c>
      <c r="P76" s="48"/>
    </row>
    <row r="77" spans="1:16" ht="16.5" customHeight="1" x14ac:dyDescent="0.15">
      <c r="A77" s="41">
        <v>11</v>
      </c>
      <c r="B77" s="41" t="s">
        <v>12860</v>
      </c>
      <c r="C77" s="74" t="s">
        <v>12861</v>
      </c>
      <c r="D77" s="799"/>
      <c r="E77" s="796"/>
      <c r="F77" s="35"/>
      <c r="I77" s="163"/>
      <c r="J77" s="45"/>
      <c r="K77" s="46"/>
      <c r="L77" s="734" t="s">
        <v>404</v>
      </c>
      <c r="M77" s="219" t="s">
        <v>398</v>
      </c>
      <c r="N77" s="50">
        <f>_11・初任</f>
        <v>0.7</v>
      </c>
      <c r="O77" s="278">
        <f>ROUND((ROUND((_11_A家事増４．５*_11・重度研修),0)*_11・初任),0)</f>
        <v>397</v>
      </c>
      <c r="P77" s="48"/>
    </row>
    <row r="78" spans="1:16" ht="16.5" customHeight="1" x14ac:dyDescent="0.15">
      <c r="A78" s="41">
        <v>11</v>
      </c>
      <c r="B78" s="41" t="s">
        <v>12862</v>
      </c>
      <c r="C78" s="74" t="s">
        <v>12863</v>
      </c>
      <c r="D78" s="274">
        <f>_11_A家事増４．５</f>
        <v>630</v>
      </c>
      <c r="E78" s="12" t="s">
        <v>392</v>
      </c>
      <c r="F78" s="35"/>
      <c r="I78" s="44" t="s">
        <v>397</v>
      </c>
      <c r="J78" s="218" t="s">
        <v>398</v>
      </c>
      <c r="K78" s="189">
        <v>1</v>
      </c>
      <c r="L78" s="706"/>
      <c r="M78" s="220"/>
      <c r="N78" s="38"/>
      <c r="O78" s="278">
        <f>ROUND((ROUND((ROUND((_11_A家事増４．５*_11・重度研修),0)*_11・２人),0)*_11・初任),0)</f>
        <v>397</v>
      </c>
      <c r="P78" s="48"/>
    </row>
    <row r="79" spans="1:16" ht="16.5" customHeight="1" x14ac:dyDescent="0.15">
      <c r="A79" s="41">
        <v>11</v>
      </c>
      <c r="B79" s="41">
        <v>8681</v>
      </c>
      <c r="C79" s="74" t="s">
        <v>12864</v>
      </c>
      <c r="D79" s="707" t="s">
        <v>10689</v>
      </c>
      <c r="E79" s="798"/>
      <c r="F79" s="35"/>
      <c r="I79" s="163"/>
      <c r="J79" s="45"/>
      <c r="K79" s="46"/>
      <c r="L79" s="53"/>
      <c r="M79" s="245"/>
      <c r="N79" s="50"/>
      <c r="O79" s="278">
        <f>ROUND((_11_A家事増４．７５*_11・重度研修),0)</f>
        <v>599</v>
      </c>
      <c r="P79" s="48"/>
    </row>
    <row r="80" spans="1:16" ht="16.5" customHeight="1" x14ac:dyDescent="0.15">
      <c r="A80" s="41">
        <v>11</v>
      </c>
      <c r="B80" s="41">
        <v>8682</v>
      </c>
      <c r="C80" s="74" t="s">
        <v>12865</v>
      </c>
      <c r="D80" s="799"/>
      <c r="E80" s="796"/>
      <c r="F80" s="35"/>
      <c r="I80" s="44" t="s">
        <v>397</v>
      </c>
      <c r="J80" s="218" t="s">
        <v>398</v>
      </c>
      <c r="K80" s="189">
        <v>1</v>
      </c>
      <c r="L80" s="43"/>
      <c r="M80" s="220"/>
      <c r="N80" s="38"/>
      <c r="O80" s="278">
        <f>ROUND((ROUND((_11_A家事増４．７５*_11・重度研修),0)*_11・２人),0)</f>
        <v>599</v>
      </c>
      <c r="P80" s="48"/>
    </row>
    <row r="81" spans="1:16" ht="16.5" customHeight="1" x14ac:dyDescent="0.15">
      <c r="A81" s="41">
        <v>11</v>
      </c>
      <c r="B81" s="41" t="s">
        <v>12866</v>
      </c>
      <c r="C81" s="74" t="s">
        <v>12867</v>
      </c>
      <c r="D81" s="799"/>
      <c r="E81" s="796"/>
      <c r="F81" s="35"/>
      <c r="I81" s="163"/>
      <c r="J81" s="45"/>
      <c r="K81" s="46"/>
      <c r="L81" s="734" t="s">
        <v>404</v>
      </c>
      <c r="M81" s="219" t="s">
        <v>398</v>
      </c>
      <c r="N81" s="50">
        <f>_11・初任</f>
        <v>0.7</v>
      </c>
      <c r="O81" s="278">
        <f>ROUND((ROUND((_11_A家事増４．７５*_11・重度研修),0)*_11・初任),0)</f>
        <v>419</v>
      </c>
      <c r="P81" s="48"/>
    </row>
    <row r="82" spans="1:16" ht="16.5" customHeight="1" x14ac:dyDescent="0.15">
      <c r="A82" s="41">
        <v>11</v>
      </c>
      <c r="B82" s="41" t="s">
        <v>12868</v>
      </c>
      <c r="C82" s="74" t="s">
        <v>12869</v>
      </c>
      <c r="D82" s="274">
        <f>_11_A家事増４．７５</f>
        <v>665</v>
      </c>
      <c r="E82" s="12" t="s">
        <v>392</v>
      </c>
      <c r="F82" s="35"/>
      <c r="I82" s="44" t="s">
        <v>397</v>
      </c>
      <c r="J82" s="218" t="s">
        <v>398</v>
      </c>
      <c r="K82" s="189">
        <v>1</v>
      </c>
      <c r="L82" s="706"/>
      <c r="M82" s="220"/>
      <c r="N82" s="38"/>
      <c r="O82" s="278">
        <f>ROUND((ROUND((ROUND((_11_A家事増４．７５*_11・重度研修),0)*_11・２人),0)*_11・初任),0)</f>
        <v>419</v>
      </c>
      <c r="P82" s="48"/>
    </row>
    <row r="83" spans="1:16" ht="16.5" customHeight="1" x14ac:dyDescent="0.15">
      <c r="A83" s="41">
        <v>11</v>
      </c>
      <c r="B83" s="41">
        <v>8683</v>
      </c>
      <c r="C83" s="74" t="s">
        <v>12870</v>
      </c>
      <c r="D83" s="707" t="s">
        <v>10702</v>
      </c>
      <c r="E83" s="798"/>
      <c r="F83" s="35"/>
      <c r="I83" s="163"/>
      <c r="J83" s="45"/>
      <c r="K83" s="46"/>
      <c r="L83" s="53"/>
      <c r="M83" s="245"/>
      <c r="N83" s="50"/>
      <c r="O83" s="278">
        <f>ROUND((_11_A家事増５．０*_11・重度研修),0)</f>
        <v>630</v>
      </c>
      <c r="P83" s="48"/>
    </row>
    <row r="84" spans="1:16" ht="16.5" customHeight="1" x14ac:dyDescent="0.15">
      <c r="A84" s="41">
        <v>11</v>
      </c>
      <c r="B84" s="41">
        <v>8684</v>
      </c>
      <c r="C84" s="74" t="s">
        <v>12871</v>
      </c>
      <c r="D84" s="799"/>
      <c r="E84" s="796"/>
      <c r="F84" s="35"/>
      <c r="I84" s="44" t="s">
        <v>397</v>
      </c>
      <c r="J84" s="218" t="s">
        <v>398</v>
      </c>
      <c r="K84" s="189">
        <v>1</v>
      </c>
      <c r="L84" s="43"/>
      <c r="M84" s="220"/>
      <c r="N84" s="38"/>
      <c r="O84" s="278">
        <f>ROUND((ROUND((_11_A家事増５．０*_11・重度研修),0)*_11・２人),0)</f>
        <v>630</v>
      </c>
      <c r="P84" s="48"/>
    </row>
    <row r="85" spans="1:16" ht="16.5" customHeight="1" x14ac:dyDescent="0.15">
      <c r="A85" s="41">
        <v>11</v>
      </c>
      <c r="B85" s="41" t="s">
        <v>12872</v>
      </c>
      <c r="C85" s="74" t="s">
        <v>12873</v>
      </c>
      <c r="D85" s="799"/>
      <c r="E85" s="796"/>
      <c r="F85" s="35"/>
      <c r="I85" s="163"/>
      <c r="J85" s="45"/>
      <c r="K85" s="46"/>
      <c r="L85" s="734" t="s">
        <v>404</v>
      </c>
      <c r="M85" s="219" t="s">
        <v>398</v>
      </c>
      <c r="N85" s="50">
        <f>_11・初任</f>
        <v>0.7</v>
      </c>
      <c r="O85" s="278">
        <f>ROUND((ROUND((_11_A家事増５．０*_11・重度研修),0)*_11・初任),0)</f>
        <v>441</v>
      </c>
      <c r="P85" s="48"/>
    </row>
    <row r="86" spans="1:16" ht="16.5" customHeight="1" x14ac:dyDescent="0.15">
      <c r="A86" s="41">
        <v>11</v>
      </c>
      <c r="B86" s="41" t="s">
        <v>12874</v>
      </c>
      <c r="C86" s="74" t="s">
        <v>12875</v>
      </c>
      <c r="D86" s="274">
        <f>_11_A家事増５．０</f>
        <v>700</v>
      </c>
      <c r="E86" s="12" t="s">
        <v>392</v>
      </c>
      <c r="F86" s="35"/>
      <c r="I86" s="44" t="s">
        <v>397</v>
      </c>
      <c r="J86" s="218" t="s">
        <v>398</v>
      </c>
      <c r="K86" s="189">
        <v>1</v>
      </c>
      <c r="L86" s="706"/>
      <c r="M86" s="220"/>
      <c r="N86" s="38"/>
      <c r="O86" s="278">
        <f>ROUND((ROUND((ROUND((_11_A家事増５．０*_11・重度研修),0)*_11・２人),0)*_11・初任),0)</f>
        <v>441</v>
      </c>
      <c r="P86" s="48"/>
    </row>
    <row r="87" spans="1:16" ht="16.5" customHeight="1" x14ac:dyDescent="0.15">
      <c r="A87" s="41">
        <v>11</v>
      </c>
      <c r="B87" s="41">
        <v>8685</v>
      </c>
      <c r="C87" s="74" t="s">
        <v>12876</v>
      </c>
      <c r="D87" s="707" t="s">
        <v>10715</v>
      </c>
      <c r="E87" s="798"/>
      <c r="F87" s="35"/>
      <c r="I87" s="163"/>
      <c r="J87" s="45"/>
      <c r="K87" s="46"/>
      <c r="L87" s="53"/>
      <c r="M87" s="245"/>
      <c r="N87" s="49"/>
      <c r="O87" s="278">
        <f>ROUND((_11_A家事増５．２５*_11・重度研修),0)</f>
        <v>662</v>
      </c>
      <c r="P87" s="48"/>
    </row>
    <row r="88" spans="1:16" ht="16.5" customHeight="1" x14ac:dyDescent="0.15">
      <c r="A88" s="41">
        <v>11</v>
      </c>
      <c r="B88" s="41">
        <v>8686</v>
      </c>
      <c r="C88" s="74" t="s">
        <v>12877</v>
      </c>
      <c r="D88" s="799"/>
      <c r="E88" s="796"/>
      <c r="F88" s="35"/>
      <c r="I88" s="44" t="s">
        <v>397</v>
      </c>
      <c r="J88" s="218" t="s">
        <v>398</v>
      </c>
      <c r="K88" s="189">
        <v>1</v>
      </c>
      <c r="L88" s="43"/>
      <c r="M88" s="220"/>
      <c r="N88" s="37"/>
      <c r="O88" s="278">
        <f>ROUND((ROUND((_11_A家事増５．２５*_11・重度研修),0)*_11・２人),0)</f>
        <v>662</v>
      </c>
      <c r="P88" s="48"/>
    </row>
    <row r="89" spans="1:16" ht="16.5" customHeight="1" x14ac:dyDescent="0.15">
      <c r="A89" s="41">
        <v>11</v>
      </c>
      <c r="B89" s="41" t="s">
        <v>12878</v>
      </c>
      <c r="C89" s="74" t="s">
        <v>12879</v>
      </c>
      <c r="D89" s="799"/>
      <c r="E89" s="796"/>
      <c r="F89" s="35"/>
      <c r="I89" s="163"/>
      <c r="J89" s="45"/>
      <c r="K89" s="46"/>
      <c r="L89" s="734" t="s">
        <v>404</v>
      </c>
      <c r="M89" s="219" t="s">
        <v>398</v>
      </c>
      <c r="N89" s="50">
        <f>_11・初任</f>
        <v>0.7</v>
      </c>
      <c r="O89" s="278">
        <f>ROUND((ROUND((_11_A家事増５．２５*_11・重度研修),0)*_11・初任),0)</f>
        <v>463</v>
      </c>
      <c r="P89" s="48"/>
    </row>
    <row r="90" spans="1:16" ht="16.5" customHeight="1" x14ac:dyDescent="0.15">
      <c r="A90" s="41">
        <v>11</v>
      </c>
      <c r="B90" s="41" t="s">
        <v>12880</v>
      </c>
      <c r="C90" s="74" t="s">
        <v>12881</v>
      </c>
      <c r="D90" s="276">
        <f>_11_A家事増５．２５</f>
        <v>735</v>
      </c>
      <c r="E90" s="37" t="s">
        <v>392</v>
      </c>
      <c r="F90" s="43"/>
      <c r="G90" s="190"/>
      <c r="H90" s="38"/>
      <c r="I90" s="44" t="s">
        <v>397</v>
      </c>
      <c r="J90" s="218" t="s">
        <v>398</v>
      </c>
      <c r="K90" s="189">
        <v>1</v>
      </c>
      <c r="L90" s="706"/>
      <c r="M90" s="220"/>
      <c r="N90" s="38"/>
      <c r="O90" s="278">
        <f>ROUND((ROUND((ROUND((_11_A家事増５．２５*_11・重度研修),0)*_11・２人),0)*_11・初任),0)</f>
        <v>463</v>
      </c>
      <c r="P90" s="63"/>
    </row>
    <row r="91" spans="1:16" ht="16.5" customHeight="1" x14ac:dyDescent="0.15">
      <c r="A91" s="33">
        <v>11</v>
      </c>
      <c r="B91" s="33">
        <v>8687</v>
      </c>
      <c r="C91" s="34" t="s">
        <v>12882</v>
      </c>
      <c r="D91" s="709" t="s">
        <v>10728</v>
      </c>
      <c r="E91" s="796"/>
      <c r="F91" s="709" t="s">
        <v>11707</v>
      </c>
      <c r="G91" s="787"/>
      <c r="H91" s="802"/>
      <c r="I91" s="43"/>
      <c r="J91" s="37"/>
      <c r="K91" s="38"/>
      <c r="L91" s="35"/>
      <c r="O91" s="277">
        <f>ROUND((_11_A家事増５．５*_11・重度研修),0)</f>
        <v>693</v>
      </c>
      <c r="P91" s="48"/>
    </row>
    <row r="92" spans="1:16" ht="16.5" customHeight="1" x14ac:dyDescent="0.15">
      <c r="A92" s="41">
        <v>11</v>
      </c>
      <c r="B92" s="41">
        <v>8688</v>
      </c>
      <c r="C92" s="74" t="s">
        <v>12883</v>
      </c>
      <c r="D92" s="799"/>
      <c r="E92" s="796"/>
      <c r="F92" s="722"/>
      <c r="G92" s="787"/>
      <c r="H92" s="787"/>
      <c r="I92" s="44" t="s">
        <v>397</v>
      </c>
      <c r="J92" s="218" t="s">
        <v>398</v>
      </c>
      <c r="K92" s="189">
        <v>1</v>
      </c>
      <c r="L92" s="43"/>
      <c r="M92" s="220"/>
      <c r="N92" s="38"/>
      <c r="O92" s="278">
        <f>ROUND((ROUND((_11_A家事増５．５*_11・重度研修),0)*_11・２人),0)</f>
        <v>693</v>
      </c>
      <c r="P92" s="48"/>
    </row>
    <row r="93" spans="1:16" ht="16.5" customHeight="1" x14ac:dyDescent="0.15">
      <c r="A93" s="41">
        <v>11</v>
      </c>
      <c r="B93" s="41" t="s">
        <v>12884</v>
      </c>
      <c r="C93" s="74" t="s">
        <v>12885</v>
      </c>
      <c r="D93" s="799"/>
      <c r="E93" s="796"/>
      <c r="F93" s="722"/>
      <c r="G93" s="787"/>
      <c r="H93" s="802"/>
      <c r="I93" s="163"/>
      <c r="J93" s="45"/>
      <c r="K93" s="46"/>
      <c r="L93" s="734" t="s">
        <v>404</v>
      </c>
      <c r="M93" s="219" t="s">
        <v>398</v>
      </c>
      <c r="N93" s="50">
        <f>_11・初任</f>
        <v>0.7</v>
      </c>
      <c r="O93" s="278">
        <f>ROUND((ROUND((_11_A家事増５．５*_11・重度研修),0)*_11・初任),0)</f>
        <v>485</v>
      </c>
      <c r="P93" s="48"/>
    </row>
    <row r="94" spans="1:16" ht="16.5" customHeight="1" x14ac:dyDescent="0.15">
      <c r="A94" s="41">
        <v>11</v>
      </c>
      <c r="B94" s="41" t="s">
        <v>12886</v>
      </c>
      <c r="C94" s="74" t="s">
        <v>12887</v>
      </c>
      <c r="D94" s="274">
        <f>_11_A家事増５．５</f>
        <v>770</v>
      </c>
      <c r="E94" s="12" t="s">
        <v>392</v>
      </c>
      <c r="F94" s="35"/>
      <c r="G94" s="16" t="s">
        <v>398</v>
      </c>
      <c r="H94" s="13">
        <v>0.9</v>
      </c>
      <c r="I94" s="44" t="s">
        <v>397</v>
      </c>
      <c r="J94" s="218" t="s">
        <v>398</v>
      </c>
      <c r="K94" s="189">
        <v>1</v>
      </c>
      <c r="L94" s="706"/>
      <c r="M94" s="220"/>
      <c r="N94" s="38"/>
      <c r="O94" s="278">
        <f>ROUND((ROUND((ROUND((_11_A家事増５．５*_11・重度研修),0)*_11・２人),0)*_11・初任),0)</f>
        <v>485</v>
      </c>
      <c r="P94" s="48"/>
    </row>
    <row r="95" spans="1:16" ht="16.5" customHeight="1" x14ac:dyDescent="0.15">
      <c r="A95" s="41">
        <v>11</v>
      </c>
      <c r="B95" s="41">
        <v>8689</v>
      </c>
      <c r="C95" s="74" t="s">
        <v>12888</v>
      </c>
      <c r="D95" s="707" t="s">
        <v>10741</v>
      </c>
      <c r="E95" s="798"/>
      <c r="F95" s="35"/>
      <c r="I95" s="163"/>
      <c r="J95" s="45"/>
      <c r="K95" s="46"/>
      <c r="L95" s="53"/>
      <c r="M95" s="245"/>
      <c r="N95" s="50"/>
      <c r="O95" s="278">
        <f>ROUND((_11_A家事増５．７５*_11・重度研修),0)</f>
        <v>725</v>
      </c>
      <c r="P95" s="48"/>
    </row>
    <row r="96" spans="1:16" ht="16.5" customHeight="1" x14ac:dyDescent="0.15">
      <c r="A96" s="41">
        <v>11</v>
      </c>
      <c r="B96" s="41">
        <v>8690</v>
      </c>
      <c r="C96" s="74" t="s">
        <v>12889</v>
      </c>
      <c r="D96" s="799"/>
      <c r="E96" s="796"/>
      <c r="F96" s="35"/>
      <c r="I96" s="44" t="s">
        <v>397</v>
      </c>
      <c r="J96" s="218" t="s">
        <v>398</v>
      </c>
      <c r="K96" s="189">
        <v>1</v>
      </c>
      <c r="L96" s="43"/>
      <c r="M96" s="220"/>
      <c r="N96" s="38"/>
      <c r="O96" s="278">
        <f>ROUND((ROUND((_11_A家事増５．７５*_11・重度研修),0)*_11・２人),0)</f>
        <v>725</v>
      </c>
      <c r="P96" s="48"/>
    </row>
    <row r="97" spans="1:16" ht="16.5" customHeight="1" x14ac:dyDescent="0.15">
      <c r="A97" s="41">
        <v>11</v>
      </c>
      <c r="B97" s="41" t="s">
        <v>12890</v>
      </c>
      <c r="C97" s="74" t="s">
        <v>12891</v>
      </c>
      <c r="D97" s="799"/>
      <c r="E97" s="796"/>
      <c r="F97" s="35"/>
      <c r="I97" s="163"/>
      <c r="J97" s="45"/>
      <c r="K97" s="46"/>
      <c r="L97" s="734" t="s">
        <v>404</v>
      </c>
      <c r="M97" s="219" t="s">
        <v>398</v>
      </c>
      <c r="N97" s="50">
        <f>_11・初任</f>
        <v>0.7</v>
      </c>
      <c r="O97" s="278">
        <f>ROUND((ROUND((_11_A家事増５．７５*_11・重度研修),0)*_11・初任),0)</f>
        <v>508</v>
      </c>
      <c r="P97" s="48"/>
    </row>
    <row r="98" spans="1:16" ht="16.5" customHeight="1" x14ac:dyDescent="0.15">
      <c r="A98" s="41">
        <v>11</v>
      </c>
      <c r="B98" s="41" t="s">
        <v>12892</v>
      </c>
      <c r="C98" s="74" t="s">
        <v>12893</v>
      </c>
      <c r="D98" s="274">
        <f>_11_A家事増５．７５</f>
        <v>805</v>
      </c>
      <c r="E98" s="12" t="s">
        <v>392</v>
      </c>
      <c r="F98" s="35"/>
      <c r="I98" s="44" t="s">
        <v>397</v>
      </c>
      <c r="J98" s="218" t="s">
        <v>398</v>
      </c>
      <c r="K98" s="189">
        <v>1</v>
      </c>
      <c r="L98" s="706"/>
      <c r="M98" s="220"/>
      <c r="N98" s="38"/>
      <c r="O98" s="278">
        <f>ROUND((ROUND((ROUND((_11_A家事増５．７５*_11・重度研修),0)*_11・２人),0)*_11・初任),0)</f>
        <v>508</v>
      </c>
      <c r="P98" s="48"/>
    </row>
    <row r="99" spans="1:16" ht="16.5" customHeight="1" x14ac:dyDescent="0.15">
      <c r="A99" s="41">
        <v>11</v>
      </c>
      <c r="B99" s="41">
        <v>8691</v>
      </c>
      <c r="C99" s="74" t="s">
        <v>12894</v>
      </c>
      <c r="D99" s="707" t="s">
        <v>10754</v>
      </c>
      <c r="E99" s="798"/>
      <c r="F99" s="35"/>
      <c r="I99" s="163"/>
      <c r="J99" s="45"/>
      <c r="K99" s="46"/>
      <c r="L99" s="53"/>
      <c r="M99" s="245"/>
      <c r="N99" s="49"/>
      <c r="O99" s="278">
        <f>ROUND((_11_A家事増６．０*_11・重度研修),0)</f>
        <v>756</v>
      </c>
      <c r="P99" s="48"/>
    </row>
    <row r="100" spans="1:16" ht="16.5" customHeight="1" x14ac:dyDescent="0.15">
      <c r="A100" s="41">
        <v>11</v>
      </c>
      <c r="B100" s="41">
        <v>8692</v>
      </c>
      <c r="C100" s="74" t="s">
        <v>12895</v>
      </c>
      <c r="D100" s="799"/>
      <c r="E100" s="796"/>
      <c r="F100" s="35"/>
      <c r="I100" s="44" t="s">
        <v>397</v>
      </c>
      <c r="J100" s="218" t="s">
        <v>398</v>
      </c>
      <c r="K100" s="189">
        <v>1</v>
      </c>
      <c r="L100" s="43"/>
      <c r="M100" s="220"/>
      <c r="N100" s="37"/>
      <c r="O100" s="278">
        <f>ROUND((ROUND((_11_A家事増６．０*_11・重度研修),0)*_11・２人),0)</f>
        <v>756</v>
      </c>
      <c r="P100" s="48"/>
    </row>
    <row r="101" spans="1:16" ht="16.5" customHeight="1" x14ac:dyDescent="0.15">
      <c r="A101" s="41">
        <v>11</v>
      </c>
      <c r="B101" s="41" t="s">
        <v>12896</v>
      </c>
      <c r="C101" s="74" t="s">
        <v>12897</v>
      </c>
      <c r="D101" s="799"/>
      <c r="E101" s="796"/>
      <c r="F101" s="35"/>
      <c r="I101" s="163"/>
      <c r="J101" s="45"/>
      <c r="K101" s="46"/>
      <c r="L101" s="734" t="s">
        <v>404</v>
      </c>
      <c r="M101" s="219" t="s">
        <v>398</v>
      </c>
      <c r="N101" s="50">
        <f>_11・初任</f>
        <v>0.7</v>
      </c>
      <c r="O101" s="278">
        <f>ROUND((ROUND((_11_A家事増６．０*_11・重度研修),0)*_11・初任),0)</f>
        <v>529</v>
      </c>
      <c r="P101" s="48"/>
    </row>
    <row r="102" spans="1:16" ht="16.5" customHeight="1" x14ac:dyDescent="0.15">
      <c r="A102" s="41">
        <v>11</v>
      </c>
      <c r="B102" s="41" t="s">
        <v>12898</v>
      </c>
      <c r="C102" s="74" t="s">
        <v>12899</v>
      </c>
      <c r="D102" s="274">
        <f>_11_A家事増６．０</f>
        <v>840</v>
      </c>
      <c r="E102" s="12" t="s">
        <v>392</v>
      </c>
      <c r="F102" s="35"/>
      <c r="I102" s="44" t="s">
        <v>397</v>
      </c>
      <c r="J102" s="218" t="s">
        <v>398</v>
      </c>
      <c r="K102" s="189">
        <v>1</v>
      </c>
      <c r="L102" s="706"/>
      <c r="M102" s="220"/>
      <c r="N102" s="38"/>
      <c r="O102" s="278">
        <f>ROUND((ROUND((ROUND((_11_A家事増６．０*_11・重度研修),0)*_11・２人),0)*_11・初任),0)</f>
        <v>529</v>
      </c>
      <c r="P102" s="48"/>
    </row>
    <row r="103" spans="1:16" ht="16.5" customHeight="1" x14ac:dyDescent="0.15">
      <c r="A103" s="41">
        <v>11</v>
      </c>
      <c r="B103" s="41">
        <v>8693</v>
      </c>
      <c r="C103" s="74" t="s">
        <v>12900</v>
      </c>
      <c r="D103" s="707" t="s">
        <v>10767</v>
      </c>
      <c r="E103" s="798"/>
      <c r="F103" s="35"/>
      <c r="I103" s="163"/>
      <c r="J103" s="45"/>
      <c r="K103" s="46"/>
      <c r="L103" s="53"/>
      <c r="M103" s="245"/>
      <c r="N103" s="50"/>
      <c r="O103" s="278">
        <f>ROUND((_11_A家事増６．２５*_11・重度研修),0)</f>
        <v>788</v>
      </c>
      <c r="P103" s="48"/>
    </row>
    <row r="104" spans="1:16" ht="16.5" customHeight="1" x14ac:dyDescent="0.15">
      <c r="A104" s="41">
        <v>11</v>
      </c>
      <c r="B104" s="41">
        <v>8694</v>
      </c>
      <c r="C104" s="74" t="s">
        <v>12901</v>
      </c>
      <c r="D104" s="799"/>
      <c r="E104" s="796"/>
      <c r="F104" s="35"/>
      <c r="I104" s="44" t="s">
        <v>397</v>
      </c>
      <c r="J104" s="218" t="s">
        <v>398</v>
      </c>
      <c r="K104" s="189">
        <v>1</v>
      </c>
      <c r="L104" s="43"/>
      <c r="M104" s="220"/>
      <c r="N104" s="38"/>
      <c r="O104" s="278">
        <f>ROUND((ROUND((_11_A家事増６．２５*_11・重度研修),0)*_11・２人),0)</f>
        <v>788</v>
      </c>
      <c r="P104" s="48"/>
    </row>
    <row r="105" spans="1:16" ht="16.5" customHeight="1" x14ac:dyDescent="0.15">
      <c r="A105" s="41">
        <v>11</v>
      </c>
      <c r="B105" s="41" t="s">
        <v>12902</v>
      </c>
      <c r="C105" s="74" t="s">
        <v>12903</v>
      </c>
      <c r="D105" s="799"/>
      <c r="E105" s="796"/>
      <c r="F105" s="35"/>
      <c r="I105" s="163"/>
      <c r="J105" s="45"/>
      <c r="K105" s="46"/>
      <c r="L105" s="734" t="s">
        <v>404</v>
      </c>
      <c r="M105" s="219" t="s">
        <v>398</v>
      </c>
      <c r="N105" s="50">
        <f>_11・初任</f>
        <v>0.7</v>
      </c>
      <c r="O105" s="278">
        <f>ROUND((ROUND((_11_A家事増６．２５*_11・重度研修),0)*_11・初任),0)</f>
        <v>552</v>
      </c>
      <c r="P105" s="48"/>
    </row>
    <row r="106" spans="1:16" ht="16.5" customHeight="1" x14ac:dyDescent="0.15">
      <c r="A106" s="41">
        <v>11</v>
      </c>
      <c r="B106" s="41" t="s">
        <v>12904</v>
      </c>
      <c r="C106" s="74" t="s">
        <v>12905</v>
      </c>
      <c r="D106" s="274">
        <f>_11_A家事増６．２５</f>
        <v>875</v>
      </c>
      <c r="E106" s="12" t="s">
        <v>392</v>
      </c>
      <c r="F106" s="35"/>
      <c r="I106" s="44" t="s">
        <v>397</v>
      </c>
      <c r="J106" s="218" t="s">
        <v>398</v>
      </c>
      <c r="K106" s="189">
        <v>1</v>
      </c>
      <c r="L106" s="706"/>
      <c r="M106" s="220"/>
      <c r="N106" s="38"/>
      <c r="O106" s="278">
        <f>ROUND((ROUND((ROUND((_11_A家事増６．２５*_11・重度研修),0)*_11・２人),0)*_11・初任),0)</f>
        <v>552</v>
      </c>
      <c r="P106" s="48"/>
    </row>
    <row r="107" spans="1:16" ht="16.5" customHeight="1" x14ac:dyDescent="0.15">
      <c r="A107" s="41">
        <v>11</v>
      </c>
      <c r="B107" s="41">
        <v>8695</v>
      </c>
      <c r="C107" s="74" t="s">
        <v>12906</v>
      </c>
      <c r="D107" s="707" t="s">
        <v>10780</v>
      </c>
      <c r="E107" s="798"/>
      <c r="F107" s="35"/>
      <c r="I107" s="163"/>
      <c r="J107" s="45"/>
      <c r="K107" s="46"/>
      <c r="L107" s="53"/>
      <c r="M107" s="245"/>
      <c r="N107" s="50"/>
      <c r="O107" s="278">
        <f>ROUND((_11_A家事増６．５*_11・重度研修),0)</f>
        <v>819</v>
      </c>
      <c r="P107" s="48"/>
    </row>
    <row r="108" spans="1:16" ht="16.5" customHeight="1" x14ac:dyDescent="0.15">
      <c r="A108" s="41">
        <v>11</v>
      </c>
      <c r="B108" s="41">
        <v>8696</v>
      </c>
      <c r="C108" s="74" t="s">
        <v>12907</v>
      </c>
      <c r="D108" s="799"/>
      <c r="E108" s="796"/>
      <c r="F108" s="35"/>
      <c r="I108" s="44" t="s">
        <v>397</v>
      </c>
      <c r="J108" s="218" t="s">
        <v>398</v>
      </c>
      <c r="K108" s="189">
        <v>1</v>
      </c>
      <c r="L108" s="43"/>
      <c r="M108" s="220"/>
      <c r="N108" s="38"/>
      <c r="O108" s="278">
        <f>ROUND((ROUND((_11_A家事増６．５*_11・重度研修),0)*_11・２人),0)</f>
        <v>819</v>
      </c>
      <c r="P108" s="48"/>
    </row>
    <row r="109" spans="1:16" ht="16.5" customHeight="1" x14ac:dyDescent="0.15">
      <c r="A109" s="41">
        <v>11</v>
      </c>
      <c r="B109" s="41" t="s">
        <v>12908</v>
      </c>
      <c r="C109" s="74" t="s">
        <v>12909</v>
      </c>
      <c r="D109" s="799"/>
      <c r="E109" s="796"/>
      <c r="F109" s="35"/>
      <c r="I109" s="163"/>
      <c r="J109" s="45"/>
      <c r="K109" s="46"/>
      <c r="L109" s="734" t="s">
        <v>404</v>
      </c>
      <c r="M109" s="219" t="s">
        <v>398</v>
      </c>
      <c r="N109" s="50">
        <f>_11・初任</f>
        <v>0.7</v>
      </c>
      <c r="O109" s="278">
        <f>ROUND((ROUND((_11_A家事増６．５*_11・重度研修),0)*_11・初任),0)</f>
        <v>573</v>
      </c>
      <c r="P109" s="48"/>
    </row>
    <row r="110" spans="1:16" ht="16.5" customHeight="1" x14ac:dyDescent="0.15">
      <c r="A110" s="41">
        <v>11</v>
      </c>
      <c r="B110" s="41" t="s">
        <v>12910</v>
      </c>
      <c r="C110" s="74" t="s">
        <v>12911</v>
      </c>
      <c r="D110" s="274">
        <f>_11_A家事増６．５</f>
        <v>910</v>
      </c>
      <c r="E110" s="12" t="s">
        <v>392</v>
      </c>
      <c r="F110" s="35"/>
      <c r="I110" s="44" t="s">
        <v>397</v>
      </c>
      <c r="J110" s="218" t="s">
        <v>398</v>
      </c>
      <c r="K110" s="189">
        <v>1</v>
      </c>
      <c r="L110" s="706"/>
      <c r="M110" s="220"/>
      <c r="N110" s="38"/>
      <c r="O110" s="278">
        <f>ROUND((ROUND((ROUND((_11_A家事増６．５*_11・重度研修),0)*_11・２人),0)*_11・初任),0)</f>
        <v>573</v>
      </c>
      <c r="P110" s="48"/>
    </row>
    <row r="111" spans="1:16" ht="16.5" customHeight="1" x14ac:dyDescent="0.15">
      <c r="A111" s="41">
        <v>11</v>
      </c>
      <c r="B111" s="41">
        <v>8697</v>
      </c>
      <c r="C111" s="74" t="s">
        <v>12912</v>
      </c>
      <c r="D111" s="707" t="s">
        <v>10793</v>
      </c>
      <c r="E111" s="798"/>
      <c r="F111" s="35"/>
      <c r="I111" s="163"/>
      <c r="J111" s="45"/>
      <c r="K111" s="46"/>
      <c r="L111" s="53"/>
      <c r="M111" s="245"/>
      <c r="N111" s="49"/>
      <c r="O111" s="278">
        <f>ROUND((_11_A家事増６．７５*_11・重度研修),0)</f>
        <v>851</v>
      </c>
      <c r="P111" s="48"/>
    </row>
    <row r="112" spans="1:16" ht="16.5" customHeight="1" x14ac:dyDescent="0.15">
      <c r="A112" s="41">
        <v>11</v>
      </c>
      <c r="B112" s="41">
        <v>8698</v>
      </c>
      <c r="C112" s="74" t="s">
        <v>12913</v>
      </c>
      <c r="D112" s="799"/>
      <c r="E112" s="796"/>
      <c r="F112" s="35"/>
      <c r="I112" s="44" t="s">
        <v>397</v>
      </c>
      <c r="J112" s="218" t="s">
        <v>398</v>
      </c>
      <c r="K112" s="189">
        <v>1</v>
      </c>
      <c r="L112" s="43"/>
      <c r="M112" s="220"/>
      <c r="N112" s="37"/>
      <c r="O112" s="278">
        <f>ROUND((ROUND((_11_A家事増６．７５*_11・重度研修),0)*_11・２人),0)</f>
        <v>851</v>
      </c>
      <c r="P112" s="48"/>
    </row>
    <row r="113" spans="1:16" ht="16.5" customHeight="1" x14ac:dyDescent="0.15">
      <c r="A113" s="41">
        <v>11</v>
      </c>
      <c r="B113" s="41" t="s">
        <v>12914</v>
      </c>
      <c r="C113" s="74" t="s">
        <v>12915</v>
      </c>
      <c r="D113" s="799"/>
      <c r="E113" s="796"/>
      <c r="F113" s="35"/>
      <c r="I113" s="163"/>
      <c r="J113" s="45"/>
      <c r="K113" s="46"/>
      <c r="L113" s="734" t="s">
        <v>404</v>
      </c>
      <c r="M113" s="219" t="s">
        <v>398</v>
      </c>
      <c r="N113" s="50">
        <f>_11・初任</f>
        <v>0.7</v>
      </c>
      <c r="O113" s="278">
        <f>ROUND((ROUND((_11_A家事増６．７５*_11・重度研修),0)*_11・初任),0)</f>
        <v>596</v>
      </c>
      <c r="P113" s="48"/>
    </row>
    <row r="114" spans="1:16" ht="16.5" customHeight="1" x14ac:dyDescent="0.15">
      <c r="A114" s="41">
        <v>11</v>
      </c>
      <c r="B114" s="41" t="s">
        <v>12916</v>
      </c>
      <c r="C114" s="74" t="s">
        <v>12917</v>
      </c>
      <c r="D114" s="274">
        <f>_11_A家事増６．７５</f>
        <v>945</v>
      </c>
      <c r="E114" s="12" t="s">
        <v>392</v>
      </c>
      <c r="F114" s="35"/>
      <c r="I114" s="44" t="s">
        <v>397</v>
      </c>
      <c r="J114" s="218" t="s">
        <v>398</v>
      </c>
      <c r="K114" s="189">
        <v>1</v>
      </c>
      <c r="L114" s="706"/>
      <c r="M114" s="220"/>
      <c r="N114" s="38"/>
      <c r="O114" s="278">
        <f>ROUND((ROUND((ROUND((_11_A家事増６．７５*_11・重度研修),0)*_11・２人),0)*_11・初任),0)</f>
        <v>596</v>
      </c>
      <c r="P114" s="48"/>
    </row>
    <row r="115" spans="1:16" ht="16.5" customHeight="1" x14ac:dyDescent="0.15">
      <c r="A115" s="41">
        <v>11</v>
      </c>
      <c r="B115" s="41">
        <v>8699</v>
      </c>
      <c r="C115" s="74" t="s">
        <v>12918</v>
      </c>
      <c r="D115" s="707" t="s">
        <v>10806</v>
      </c>
      <c r="E115" s="798"/>
      <c r="F115" s="35"/>
      <c r="I115" s="163"/>
      <c r="J115" s="45"/>
      <c r="K115" s="46"/>
      <c r="L115" s="53"/>
      <c r="M115" s="245"/>
      <c r="N115" s="50"/>
      <c r="O115" s="278">
        <f>ROUND((_11_A家事増７．０*_11・重度研修),0)</f>
        <v>882</v>
      </c>
      <c r="P115" s="48"/>
    </row>
    <row r="116" spans="1:16" ht="16.5" customHeight="1" x14ac:dyDescent="0.15">
      <c r="A116" s="41">
        <v>11</v>
      </c>
      <c r="B116" s="41">
        <v>8700</v>
      </c>
      <c r="C116" s="74" t="s">
        <v>12919</v>
      </c>
      <c r="D116" s="799"/>
      <c r="E116" s="796"/>
      <c r="F116" s="35"/>
      <c r="I116" s="44" t="s">
        <v>397</v>
      </c>
      <c r="J116" s="218" t="s">
        <v>398</v>
      </c>
      <c r="K116" s="189">
        <v>1</v>
      </c>
      <c r="L116" s="43"/>
      <c r="M116" s="220"/>
      <c r="N116" s="38"/>
      <c r="O116" s="278">
        <f>ROUND((ROUND((_11_A家事増７．０*_11・重度研修),0)*_11・２人),0)</f>
        <v>882</v>
      </c>
      <c r="P116" s="48"/>
    </row>
    <row r="117" spans="1:16" ht="16.5" customHeight="1" x14ac:dyDescent="0.15">
      <c r="A117" s="41">
        <v>11</v>
      </c>
      <c r="B117" s="41" t="s">
        <v>12920</v>
      </c>
      <c r="C117" s="74" t="s">
        <v>12921</v>
      </c>
      <c r="D117" s="799"/>
      <c r="E117" s="796"/>
      <c r="F117" s="35"/>
      <c r="I117" s="163"/>
      <c r="J117" s="45"/>
      <c r="K117" s="46"/>
      <c r="L117" s="734" t="s">
        <v>404</v>
      </c>
      <c r="M117" s="219" t="s">
        <v>398</v>
      </c>
      <c r="N117" s="50">
        <f>_11・初任</f>
        <v>0.7</v>
      </c>
      <c r="O117" s="278">
        <f>ROUND((ROUND((_11_A家事増７．０*_11・重度研修),0)*_11・初任),0)</f>
        <v>617</v>
      </c>
      <c r="P117" s="48"/>
    </row>
    <row r="118" spans="1:16" ht="16.5" customHeight="1" x14ac:dyDescent="0.15">
      <c r="A118" s="41">
        <v>11</v>
      </c>
      <c r="B118" s="41" t="s">
        <v>12922</v>
      </c>
      <c r="C118" s="74" t="s">
        <v>12923</v>
      </c>
      <c r="D118" s="274">
        <f>_11_A家事増７．０</f>
        <v>980</v>
      </c>
      <c r="E118" s="12" t="s">
        <v>392</v>
      </c>
      <c r="F118" s="35"/>
      <c r="I118" s="44" t="s">
        <v>397</v>
      </c>
      <c r="J118" s="218" t="s">
        <v>398</v>
      </c>
      <c r="K118" s="189">
        <v>1</v>
      </c>
      <c r="L118" s="706"/>
      <c r="M118" s="220"/>
      <c r="N118" s="38"/>
      <c r="O118" s="278">
        <f>ROUND((ROUND((ROUND((_11_A家事増７．０*_11・重度研修),0)*_11・２人),0)*_11・初任),0)</f>
        <v>617</v>
      </c>
      <c r="P118" s="48"/>
    </row>
    <row r="119" spans="1:16" ht="16.5" customHeight="1" x14ac:dyDescent="0.15">
      <c r="A119" s="41">
        <v>11</v>
      </c>
      <c r="B119" s="41">
        <v>8701</v>
      </c>
      <c r="C119" s="74" t="s">
        <v>12924</v>
      </c>
      <c r="D119" s="707" t="s">
        <v>10819</v>
      </c>
      <c r="E119" s="798"/>
      <c r="F119" s="35"/>
      <c r="I119" s="163"/>
      <c r="J119" s="45"/>
      <c r="K119" s="46"/>
      <c r="L119" s="53"/>
      <c r="M119" s="245"/>
      <c r="N119" s="50"/>
      <c r="O119" s="278">
        <f>ROUND((_11_A家事増７．２５*_11・重度研修),0)</f>
        <v>914</v>
      </c>
      <c r="P119" s="48"/>
    </row>
    <row r="120" spans="1:16" ht="16.5" customHeight="1" x14ac:dyDescent="0.15">
      <c r="A120" s="41">
        <v>11</v>
      </c>
      <c r="B120" s="41">
        <v>8702</v>
      </c>
      <c r="C120" s="74" t="s">
        <v>12925</v>
      </c>
      <c r="D120" s="799"/>
      <c r="E120" s="796"/>
      <c r="F120" s="35"/>
      <c r="I120" s="44" t="s">
        <v>397</v>
      </c>
      <c r="J120" s="218" t="s">
        <v>398</v>
      </c>
      <c r="K120" s="189">
        <v>1</v>
      </c>
      <c r="L120" s="43"/>
      <c r="M120" s="220"/>
      <c r="N120" s="38"/>
      <c r="O120" s="278">
        <f>ROUND((ROUND((_11_A家事増７．２５*_11・重度研修),0)*_11・２人),0)</f>
        <v>914</v>
      </c>
      <c r="P120" s="48"/>
    </row>
    <row r="121" spans="1:16" ht="16.5" customHeight="1" x14ac:dyDescent="0.15">
      <c r="A121" s="41">
        <v>11</v>
      </c>
      <c r="B121" s="41" t="s">
        <v>12926</v>
      </c>
      <c r="C121" s="74" t="s">
        <v>12927</v>
      </c>
      <c r="D121" s="799"/>
      <c r="E121" s="796"/>
      <c r="F121" s="35"/>
      <c r="I121" s="163"/>
      <c r="J121" s="45"/>
      <c r="K121" s="46"/>
      <c r="L121" s="734" t="s">
        <v>404</v>
      </c>
      <c r="M121" s="219" t="s">
        <v>398</v>
      </c>
      <c r="N121" s="50">
        <f>_11・初任</f>
        <v>0.7</v>
      </c>
      <c r="O121" s="278">
        <f>ROUND((ROUND((_11_A家事増７．２５*_11・重度研修),0)*_11・初任),0)</f>
        <v>640</v>
      </c>
      <c r="P121" s="48"/>
    </row>
    <row r="122" spans="1:16" ht="16.5" customHeight="1" x14ac:dyDescent="0.15">
      <c r="A122" s="41">
        <v>11</v>
      </c>
      <c r="B122" s="41" t="s">
        <v>12928</v>
      </c>
      <c r="C122" s="74" t="s">
        <v>12929</v>
      </c>
      <c r="D122" s="274">
        <f>_11_A家事増７．２５</f>
        <v>1015</v>
      </c>
      <c r="E122" s="12" t="s">
        <v>392</v>
      </c>
      <c r="F122" s="35"/>
      <c r="I122" s="44" t="s">
        <v>397</v>
      </c>
      <c r="J122" s="218" t="s">
        <v>398</v>
      </c>
      <c r="K122" s="189">
        <v>1</v>
      </c>
      <c r="L122" s="706"/>
      <c r="M122" s="220"/>
      <c r="N122" s="38"/>
      <c r="O122" s="278">
        <f>ROUND((ROUND((ROUND((_11_A家事増７．２５*_11・重度研修),0)*_11・２人),0)*_11・初任),0)</f>
        <v>640</v>
      </c>
      <c r="P122" s="48"/>
    </row>
    <row r="123" spans="1:16" ht="16.5" customHeight="1" x14ac:dyDescent="0.15">
      <c r="A123" s="41">
        <v>11</v>
      </c>
      <c r="B123" s="41">
        <v>8703</v>
      </c>
      <c r="C123" s="74" t="s">
        <v>12930</v>
      </c>
      <c r="D123" s="707" t="s">
        <v>10832</v>
      </c>
      <c r="E123" s="798"/>
      <c r="F123" s="35"/>
      <c r="I123" s="163"/>
      <c r="J123" s="45"/>
      <c r="K123" s="46"/>
      <c r="L123" s="53"/>
      <c r="M123" s="245"/>
      <c r="N123" s="49"/>
      <c r="O123" s="278">
        <f>ROUND((_11_A家事増７．５*_11・重度研修),0)</f>
        <v>945</v>
      </c>
      <c r="P123" s="48"/>
    </row>
    <row r="124" spans="1:16" ht="16.5" customHeight="1" x14ac:dyDescent="0.15">
      <c r="A124" s="41">
        <v>11</v>
      </c>
      <c r="B124" s="41">
        <v>8704</v>
      </c>
      <c r="C124" s="74" t="s">
        <v>12931</v>
      </c>
      <c r="D124" s="799"/>
      <c r="E124" s="796"/>
      <c r="F124" s="35"/>
      <c r="I124" s="44" t="s">
        <v>397</v>
      </c>
      <c r="J124" s="218" t="s">
        <v>398</v>
      </c>
      <c r="K124" s="189">
        <v>1</v>
      </c>
      <c r="L124" s="43"/>
      <c r="M124" s="220"/>
      <c r="N124" s="37"/>
      <c r="O124" s="278">
        <f>ROUND((ROUND((_11_A家事増７．５*_11・重度研修),0)*_11・２人),0)</f>
        <v>945</v>
      </c>
      <c r="P124" s="48"/>
    </row>
    <row r="125" spans="1:16" ht="16.5" customHeight="1" x14ac:dyDescent="0.15">
      <c r="A125" s="41">
        <v>11</v>
      </c>
      <c r="B125" s="41" t="s">
        <v>12932</v>
      </c>
      <c r="C125" s="74" t="s">
        <v>12933</v>
      </c>
      <c r="D125" s="799"/>
      <c r="E125" s="796"/>
      <c r="F125" s="35"/>
      <c r="I125" s="163"/>
      <c r="J125" s="45"/>
      <c r="K125" s="46"/>
      <c r="L125" s="734" t="s">
        <v>404</v>
      </c>
      <c r="M125" s="219" t="s">
        <v>398</v>
      </c>
      <c r="N125" s="50">
        <f>_11・初任</f>
        <v>0.7</v>
      </c>
      <c r="O125" s="278">
        <f>ROUND((ROUND((_11_A家事増７．５*_11・重度研修),0)*_11・初任),0)</f>
        <v>662</v>
      </c>
      <c r="P125" s="48"/>
    </row>
    <row r="126" spans="1:16" ht="16.5" customHeight="1" x14ac:dyDescent="0.15">
      <c r="A126" s="41">
        <v>11</v>
      </c>
      <c r="B126" s="41" t="s">
        <v>12934</v>
      </c>
      <c r="C126" s="74" t="s">
        <v>12935</v>
      </c>
      <c r="D126" s="274">
        <f>_11_A家事増７．５</f>
        <v>1050</v>
      </c>
      <c r="E126" s="12" t="s">
        <v>392</v>
      </c>
      <c r="F126" s="35"/>
      <c r="I126" s="44" t="s">
        <v>397</v>
      </c>
      <c r="J126" s="218" t="s">
        <v>398</v>
      </c>
      <c r="K126" s="189">
        <v>1</v>
      </c>
      <c r="L126" s="706"/>
      <c r="M126" s="220"/>
      <c r="N126" s="38"/>
      <c r="O126" s="278">
        <f>ROUND((ROUND((ROUND((_11_A家事増７．５*_11・重度研修),0)*_11・２人),0)*_11・初任),0)</f>
        <v>662</v>
      </c>
      <c r="P126" s="48"/>
    </row>
    <row r="127" spans="1:16" ht="16.5" customHeight="1" x14ac:dyDescent="0.15">
      <c r="A127" s="41">
        <v>11</v>
      </c>
      <c r="B127" s="41">
        <v>8705</v>
      </c>
      <c r="C127" s="74" t="s">
        <v>12936</v>
      </c>
      <c r="D127" s="707" t="s">
        <v>10845</v>
      </c>
      <c r="E127" s="798"/>
      <c r="F127" s="35"/>
      <c r="I127" s="163"/>
      <c r="J127" s="45"/>
      <c r="K127" s="46"/>
      <c r="L127" s="53"/>
      <c r="M127" s="245"/>
      <c r="N127" s="50"/>
      <c r="O127" s="278">
        <f>ROUND((_11_A家事増７．７５*_11・重度研修),0)</f>
        <v>977</v>
      </c>
      <c r="P127" s="48"/>
    </row>
    <row r="128" spans="1:16" ht="16.5" customHeight="1" x14ac:dyDescent="0.15">
      <c r="A128" s="41">
        <v>11</v>
      </c>
      <c r="B128" s="41">
        <v>8706</v>
      </c>
      <c r="C128" s="74" t="s">
        <v>12937</v>
      </c>
      <c r="D128" s="799"/>
      <c r="E128" s="796"/>
      <c r="F128" s="35"/>
      <c r="I128" s="44" t="s">
        <v>397</v>
      </c>
      <c r="J128" s="218" t="s">
        <v>398</v>
      </c>
      <c r="K128" s="189">
        <v>1</v>
      </c>
      <c r="L128" s="43"/>
      <c r="M128" s="220"/>
      <c r="N128" s="38"/>
      <c r="O128" s="278">
        <f>ROUND((ROUND((_11_A家事増７．７５*_11・重度研修),0)*_11・２人),0)</f>
        <v>977</v>
      </c>
      <c r="P128" s="48"/>
    </row>
    <row r="129" spans="1:16" ht="16.5" customHeight="1" x14ac:dyDescent="0.15">
      <c r="A129" s="41">
        <v>11</v>
      </c>
      <c r="B129" s="41" t="s">
        <v>12938</v>
      </c>
      <c r="C129" s="74" t="s">
        <v>12939</v>
      </c>
      <c r="D129" s="799"/>
      <c r="E129" s="796"/>
      <c r="F129" s="35"/>
      <c r="I129" s="163"/>
      <c r="J129" s="45"/>
      <c r="K129" s="46"/>
      <c r="L129" s="734" t="s">
        <v>404</v>
      </c>
      <c r="M129" s="219" t="s">
        <v>398</v>
      </c>
      <c r="N129" s="50">
        <f>_11・初任</f>
        <v>0.7</v>
      </c>
      <c r="O129" s="278">
        <f>ROUND((ROUND((_11_A家事増７．７５*_11・重度研修),0)*_11・初任),0)</f>
        <v>684</v>
      </c>
      <c r="P129" s="48"/>
    </row>
    <row r="130" spans="1:16" ht="16.5" customHeight="1" x14ac:dyDescent="0.15">
      <c r="A130" s="41">
        <v>11</v>
      </c>
      <c r="B130" s="41" t="s">
        <v>12940</v>
      </c>
      <c r="C130" s="74" t="s">
        <v>12941</v>
      </c>
      <c r="D130" s="274">
        <f>_11_A家事増７．７５</f>
        <v>1085</v>
      </c>
      <c r="E130" s="12" t="s">
        <v>392</v>
      </c>
      <c r="F130" s="35"/>
      <c r="I130" s="44" t="s">
        <v>397</v>
      </c>
      <c r="J130" s="218" t="s">
        <v>398</v>
      </c>
      <c r="K130" s="189">
        <v>1</v>
      </c>
      <c r="L130" s="706"/>
      <c r="M130" s="220"/>
      <c r="N130" s="38"/>
      <c r="O130" s="278">
        <f>ROUND((ROUND((ROUND((_11_A家事増７．７５*_11・重度研修),0)*_11・２人),0)*_11・初任),0)</f>
        <v>684</v>
      </c>
      <c r="P130" s="48"/>
    </row>
    <row r="131" spans="1:16" ht="16.5" customHeight="1" x14ac:dyDescent="0.15">
      <c r="A131" s="41">
        <v>11</v>
      </c>
      <c r="B131" s="41">
        <v>8707</v>
      </c>
      <c r="C131" s="74" t="s">
        <v>12942</v>
      </c>
      <c r="D131" s="707" t="s">
        <v>10858</v>
      </c>
      <c r="E131" s="798"/>
      <c r="F131" s="35"/>
      <c r="I131" s="163"/>
      <c r="J131" s="45"/>
      <c r="K131" s="46"/>
      <c r="L131" s="53"/>
      <c r="M131" s="245"/>
      <c r="N131" s="50"/>
      <c r="O131" s="278">
        <f>ROUND((_11_A家事増８．０*_11・重度研修),0)</f>
        <v>1008</v>
      </c>
      <c r="P131" s="48"/>
    </row>
    <row r="132" spans="1:16" ht="16.5" customHeight="1" x14ac:dyDescent="0.15">
      <c r="A132" s="41">
        <v>11</v>
      </c>
      <c r="B132" s="41">
        <v>8708</v>
      </c>
      <c r="C132" s="74" t="s">
        <v>12943</v>
      </c>
      <c r="D132" s="799"/>
      <c r="E132" s="796"/>
      <c r="F132" s="35"/>
      <c r="I132" s="44" t="s">
        <v>397</v>
      </c>
      <c r="J132" s="218" t="s">
        <v>398</v>
      </c>
      <c r="K132" s="189">
        <v>1</v>
      </c>
      <c r="L132" s="43"/>
      <c r="M132" s="220"/>
      <c r="N132" s="38"/>
      <c r="O132" s="278">
        <f>ROUND((ROUND((_11_A家事増８．０*_11・重度研修),0)*_11・２人),0)</f>
        <v>1008</v>
      </c>
      <c r="P132" s="48"/>
    </row>
    <row r="133" spans="1:16" ht="16.5" customHeight="1" x14ac:dyDescent="0.15">
      <c r="A133" s="41">
        <v>11</v>
      </c>
      <c r="B133" s="41" t="s">
        <v>12944</v>
      </c>
      <c r="C133" s="74" t="s">
        <v>12945</v>
      </c>
      <c r="D133" s="799"/>
      <c r="E133" s="796"/>
      <c r="F133" s="35"/>
      <c r="I133" s="163"/>
      <c r="J133" s="45"/>
      <c r="K133" s="46"/>
      <c r="L133" s="734" t="s">
        <v>404</v>
      </c>
      <c r="M133" s="219" t="s">
        <v>398</v>
      </c>
      <c r="N133" s="50">
        <f>_11・初任</f>
        <v>0.7</v>
      </c>
      <c r="O133" s="278">
        <f>ROUND((ROUND((_11_A家事増８．０*_11・重度研修),0)*_11・初任),0)</f>
        <v>706</v>
      </c>
      <c r="P133" s="48"/>
    </row>
    <row r="134" spans="1:16" ht="16.5" customHeight="1" x14ac:dyDescent="0.15">
      <c r="A134" s="41">
        <v>11</v>
      </c>
      <c r="B134" s="41" t="s">
        <v>12946</v>
      </c>
      <c r="C134" s="74" t="s">
        <v>12947</v>
      </c>
      <c r="D134" s="274">
        <f>_11_A家事増８．０</f>
        <v>1120</v>
      </c>
      <c r="E134" s="12" t="s">
        <v>392</v>
      </c>
      <c r="F134" s="35"/>
      <c r="I134" s="44" t="s">
        <v>397</v>
      </c>
      <c r="J134" s="218" t="s">
        <v>398</v>
      </c>
      <c r="K134" s="189">
        <v>1</v>
      </c>
      <c r="L134" s="706"/>
      <c r="M134" s="220"/>
      <c r="N134" s="38"/>
      <c r="O134" s="278">
        <f>ROUND((ROUND((ROUND((_11_A家事増８．０*_11・重度研修),0)*_11・２人),0)*_11・初任),0)</f>
        <v>706</v>
      </c>
      <c r="P134" s="48"/>
    </row>
    <row r="135" spans="1:16" ht="16.5" customHeight="1" x14ac:dyDescent="0.15">
      <c r="A135" s="41">
        <v>11</v>
      </c>
      <c r="B135" s="41">
        <v>8709</v>
      </c>
      <c r="C135" s="74" t="s">
        <v>12948</v>
      </c>
      <c r="D135" s="707" t="s">
        <v>10871</v>
      </c>
      <c r="E135" s="798"/>
      <c r="F135" s="35"/>
      <c r="I135" s="163"/>
      <c r="J135" s="45"/>
      <c r="K135" s="46"/>
      <c r="L135" s="53"/>
      <c r="M135" s="245"/>
      <c r="N135" s="49"/>
      <c r="O135" s="278">
        <f>ROUND((_11_A家事増８．２５*_11・重度研修),0)</f>
        <v>1040</v>
      </c>
      <c r="P135" s="48"/>
    </row>
    <row r="136" spans="1:16" ht="16.5" customHeight="1" x14ac:dyDescent="0.15">
      <c r="A136" s="41">
        <v>11</v>
      </c>
      <c r="B136" s="41">
        <v>8710</v>
      </c>
      <c r="C136" s="74" t="s">
        <v>12949</v>
      </c>
      <c r="D136" s="799"/>
      <c r="E136" s="796"/>
      <c r="F136" s="35"/>
      <c r="I136" s="44" t="s">
        <v>397</v>
      </c>
      <c r="J136" s="218" t="s">
        <v>398</v>
      </c>
      <c r="K136" s="189">
        <v>1</v>
      </c>
      <c r="L136" s="43"/>
      <c r="M136" s="220"/>
      <c r="N136" s="37"/>
      <c r="O136" s="278">
        <f>ROUND((ROUND((_11_A家事増８．２５*_11・重度研修),0)*_11・２人),0)</f>
        <v>1040</v>
      </c>
      <c r="P136" s="48"/>
    </row>
    <row r="137" spans="1:16" ht="16.5" customHeight="1" x14ac:dyDescent="0.15">
      <c r="A137" s="41">
        <v>11</v>
      </c>
      <c r="B137" s="41" t="s">
        <v>12950</v>
      </c>
      <c r="C137" s="74" t="s">
        <v>12951</v>
      </c>
      <c r="D137" s="799"/>
      <c r="E137" s="796"/>
      <c r="F137" s="35"/>
      <c r="I137" s="163"/>
      <c r="J137" s="45"/>
      <c r="K137" s="46"/>
      <c r="L137" s="734" t="s">
        <v>404</v>
      </c>
      <c r="M137" s="219" t="s">
        <v>398</v>
      </c>
      <c r="N137" s="50">
        <f>_11・初任</f>
        <v>0.7</v>
      </c>
      <c r="O137" s="278">
        <f>ROUND((ROUND((_11_A家事増８．２５*_11・重度研修),0)*_11・初任),0)</f>
        <v>728</v>
      </c>
      <c r="P137" s="48"/>
    </row>
    <row r="138" spans="1:16" ht="16.5" customHeight="1" x14ac:dyDescent="0.15">
      <c r="A138" s="41">
        <v>11</v>
      </c>
      <c r="B138" s="41" t="s">
        <v>12952</v>
      </c>
      <c r="C138" s="74" t="s">
        <v>12953</v>
      </c>
      <c r="D138" s="274">
        <f>_11_A家事増８．２５</f>
        <v>1155</v>
      </c>
      <c r="E138" s="12" t="s">
        <v>392</v>
      </c>
      <c r="F138" s="35"/>
      <c r="I138" s="44" t="s">
        <v>397</v>
      </c>
      <c r="J138" s="218" t="s">
        <v>398</v>
      </c>
      <c r="K138" s="189">
        <v>1</v>
      </c>
      <c r="L138" s="706"/>
      <c r="M138" s="220"/>
      <c r="N138" s="38"/>
      <c r="O138" s="278">
        <f>ROUND((ROUND((ROUND((_11_A家事増８．２５*_11・重度研修),0)*_11・２人),0)*_11・初任),0)</f>
        <v>728</v>
      </c>
      <c r="P138" s="48"/>
    </row>
    <row r="139" spans="1:16" ht="16.5" customHeight="1" x14ac:dyDescent="0.15">
      <c r="A139" s="41">
        <v>11</v>
      </c>
      <c r="B139" s="41">
        <v>8711</v>
      </c>
      <c r="C139" s="74" t="s">
        <v>12954</v>
      </c>
      <c r="D139" s="707" t="s">
        <v>10884</v>
      </c>
      <c r="E139" s="798"/>
      <c r="F139" s="35"/>
      <c r="I139" s="163"/>
      <c r="J139" s="45"/>
      <c r="K139" s="46"/>
      <c r="L139" s="53"/>
      <c r="M139" s="245"/>
      <c r="N139" s="50"/>
      <c r="O139" s="278">
        <f>ROUND((_11_A家事増８．５*_11・重度研修),0)</f>
        <v>1071</v>
      </c>
      <c r="P139" s="48"/>
    </row>
    <row r="140" spans="1:16" ht="16.5" customHeight="1" x14ac:dyDescent="0.15">
      <c r="A140" s="41">
        <v>11</v>
      </c>
      <c r="B140" s="41">
        <v>8712</v>
      </c>
      <c r="C140" s="74" t="s">
        <v>12955</v>
      </c>
      <c r="D140" s="799"/>
      <c r="E140" s="796"/>
      <c r="F140" s="35"/>
      <c r="I140" s="44" t="s">
        <v>397</v>
      </c>
      <c r="J140" s="218" t="s">
        <v>398</v>
      </c>
      <c r="K140" s="189">
        <v>1</v>
      </c>
      <c r="L140" s="43"/>
      <c r="M140" s="220"/>
      <c r="N140" s="38"/>
      <c r="O140" s="278">
        <f>ROUND((ROUND((_11_A家事増８．５*_11・重度研修),0)*_11・２人),0)</f>
        <v>1071</v>
      </c>
      <c r="P140" s="48"/>
    </row>
    <row r="141" spans="1:16" ht="16.5" customHeight="1" x14ac:dyDescent="0.15">
      <c r="A141" s="41">
        <v>11</v>
      </c>
      <c r="B141" s="41" t="s">
        <v>12956</v>
      </c>
      <c r="C141" s="74" t="s">
        <v>12957</v>
      </c>
      <c r="D141" s="799"/>
      <c r="E141" s="796"/>
      <c r="F141" s="35"/>
      <c r="I141" s="163"/>
      <c r="J141" s="45"/>
      <c r="K141" s="46"/>
      <c r="L141" s="734" t="s">
        <v>404</v>
      </c>
      <c r="M141" s="219" t="s">
        <v>398</v>
      </c>
      <c r="N141" s="50">
        <f>_11・初任</f>
        <v>0.7</v>
      </c>
      <c r="O141" s="278">
        <f>ROUND((ROUND((_11_A家事増８．５*_11・重度研修),0)*_11・初任),0)</f>
        <v>750</v>
      </c>
      <c r="P141" s="48"/>
    </row>
    <row r="142" spans="1:16" ht="16.5" customHeight="1" x14ac:dyDescent="0.15">
      <c r="A142" s="41">
        <v>11</v>
      </c>
      <c r="B142" s="41" t="s">
        <v>12958</v>
      </c>
      <c r="C142" s="74" t="s">
        <v>12959</v>
      </c>
      <c r="D142" s="274">
        <f>_11_A家事増８．５</f>
        <v>1190</v>
      </c>
      <c r="E142" s="12" t="s">
        <v>392</v>
      </c>
      <c r="F142" s="35"/>
      <c r="I142" s="44" t="s">
        <v>397</v>
      </c>
      <c r="J142" s="218" t="s">
        <v>398</v>
      </c>
      <c r="K142" s="189">
        <v>1</v>
      </c>
      <c r="L142" s="706"/>
      <c r="M142" s="220"/>
      <c r="N142" s="38"/>
      <c r="O142" s="278">
        <f>ROUND((ROUND((ROUND((_11_A家事増８．５*_11・重度研修),0)*_11・２人),0)*_11・初任),0)</f>
        <v>750</v>
      </c>
      <c r="P142" s="48"/>
    </row>
    <row r="143" spans="1:16" ht="16.5" customHeight="1" x14ac:dyDescent="0.15">
      <c r="A143" s="41">
        <v>11</v>
      </c>
      <c r="B143" s="41">
        <v>8713</v>
      </c>
      <c r="C143" s="74" t="s">
        <v>12960</v>
      </c>
      <c r="D143" s="707" t="s">
        <v>10897</v>
      </c>
      <c r="E143" s="798"/>
      <c r="F143" s="35"/>
      <c r="I143" s="163"/>
      <c r="J143" s="45"/>
      <c r="K143" s="46"/>
      <c r="L143" s="53"/>
      <c r="M143" s="245"/>
      <c r="N143" s="50"/>
      <c r="O143" s="278">
        <f>ROUND((_11_A家事増８．７５*_11・重度研修),0)</f>
        <v>1103</v>
      </c>
      <c r="P143" s="48"/>
    </row>
    <row r="144" spans="1:16" ht="16.5" customHeight="1" x14ac:dyDescent="0.15">
      <c r="A144" s="41">
        <v>11</v>
      </c>
      <c r="B144" s="41">
        <v>8714</v>
      </c>
      <c r="C144" s="74" t="s">
        <v>12961</v>
      </c>
      <c r="D144" s="799"/>
      <c r="E144" s="796"/>
      <c r="F144" s="35"/>
      <c r="I144" s="44" t="s">
        <v>397</v>
      </c>
      <c r="J144" s="218" t="s">
        <v>398</v>
      </c>
      <c r="K144" s="189">
        <v>1</v>
      </c>
      <c r="L144" s="43"/>
      <c r="M144" s="220"/>
      <c r="N144" s="38"/>
      <c r="O144" s="278">
        <f>ROUND((ROUND((_11_A家事増８．７５*_11・重度研修),0)*_11・２人),0)</f>
        <v>1103</v>
      </c>
      <c r="P144" s="48"/>
    </row>
    <row r="145" spans="1:16" ht="16.5" customHeight="1" x14ac:dyDescent="0.15">
      <c r="A145" s="41">
        <v>11</v>
      </c>
      <c r="B145" s="41" t="s">
        <v>12962</v>
      </c>
      <c r="C145" s="74" t="s">
        <v>12963</v>
      </c>
      <c r="D145" s="799"/>
      <c r="E145" s="796"/>
      <c r="F145" s="35"/>
      <c r="I145" s="163"/>
      <c r="J145" s="45"/>
      <c r="K145" s="46"/>
      <c r="L145" s="734" t="s">
        <v>404</v>
      </c>
      <c r="M145" s="219" t="s">
        <v>398</v>
      </c>
      <c r="N145" s="50">
        <f>_11・初任</f>
        <v>0.7</v>
      </c>
      <c r="O145" s="278">
        <f>ROUND((ROUND((_11_A家事増８．７５*_11・重度研修),0)*_11・初任),0)</f>
        <v>772</v>
      </c>
      <c r="P145" s="48"/>
    </row>
    <row r="146" spans="1:16" ht="16.5" customHeight="1" x14ac:dyDescent="0.15">
      <c r="A146" s="41">
        <v>11</v>
      </c>
      <c r="B146" s="41" t="s">
        <v>12964</v>
      </c>
      <c r="C146" s="74" t="s">
        <v>12965</v>
      </c>
      <c r="D146" s="274">
        <f>_11_A家事増８．７５</f>
        <v>1225</v>
      </c>
      <c r="E146" s="12" t="s">
        <v>392</v>
      </c>
      <c r="F146" s="35"/>
      <c r="I146" s="44" t="s">
        <v>397</v>
      </c>
      <c r="J146" s="218" t="s">
        <v>398</v>
      </c>
      <c r="K146" s="189">
        <v>1</v>
      </c>
      <c r="L146" s="706"/>
      <c r="M146" s="220"/>
      <c r="N146" s="38"/>
      <c r="O146" s="278">
        <f>ROUND((ROUND((ROUND((_11_A家事増８．７５*_11・重度研修),0)*_11・２人),0)*_11・初任),0)</f>
        <v>772</v>
      </c>
      <c r="P146" s="48"/>
    </row>
    <row r="147" spans="1:16" ht="16.5" customHeight="1" x14ac:dyDescent="0.15">
      <c r="A147" s="41">
        <v>11</v>
      </c>
      <c r="B147" s="41">
        <v>8715</v>
      </c>
      <c r="C147" s="74" t="s">
        <v>12966</v>
      </c>
      <c r="D147" s="707" t="s">
        <v>10910</v>
      </c>
      <c r="E147" s="798"/>
      <c r="F147" s="35"/>
      <c r="I147" s="163"/>
      <c r="J147" s="45"/>
      <c r="K147" s="46"/>
      <c r="L147" s="53"/>
      <c r="M147" s="245"/>
      <c r="N147" s="49"/>
      <c r="O147" s="278">
        <f>ROUND((_11_A家事増９．０*_11・重度研修),0)</f>
        <v>1134</v>
      </c>
      <c r="P147" s="48"/>
    </row>
    <row r="148" spans="1:16" ht="16.5" customHeight="1" x14ac:dyDescent="0.15">
      <c r="A148" s="41">
        <v>11</v>
      </c>
      <c r="B148" s="41">
        <v>8716</v>
      </c>
      <c r="C148" s="74" t="s">
        <v>12967</v>
      </c>
      <c r="D148" s="799"/>
      <c r="E148" s="796"/>
      <c r="F148" s="35"/>
      <c r="I148" s="44" t="s">
        <v>397</v>
      </c>
      <c r="J148" s="218" t="s">
        <v>398</v>
      </c>
      <c r="K148" s="189">
        <v>1</v>
      </c>
      <c r="L148" s="43"/>
      <c r="M148" s="220"/>
      <c r="N148" s="37"/>
      <c r="O148" s="278">
        <f>ROUND((ROUND((_11_A家事増９．０*_11・重度研修),0)*_11・２人),0)</f>
        <v>1134</v>
      </c>
      <c r="P148" s="48"/>
    </row>
    <row r="149" spans="1:16" ht="16.5" customHeight="1" x14ac:dyDescent="0.15">
      <c r="A149" s="41">
        <v>11</v>
      </c>
      <c r="B149" s="41" t="s">
        <v>12968</v>
      </c>
      <c r="C149" s="74" t="s">
        <v>12969</v>
      </c>
      <c r="D149" s="799"/>
      <c r="E149" s="796"/>
      <c r="F149" s="35"/>
      <c r="I149" s="163"/>
      <c r="J149" s="45"/>
      <c r="K149" s="46"/>
      <c r="L149" s="734" t="s">
        <v>404</v>
      </c>
      <c r="M149" s="219" t="s">
        <v>398</v>
      </c>
      <c r="N149" s="50">
        <f>_11・初任</f>
        <v>0.7</v>
      </c>
      <c r="O149" s="278">
        <f>ROUND((ROUND((_11_A家事増９．０*_11・重度研修),0)*_11・初任),0)</f>
        <v>794</v>
      </c>
      <c r="P149" s="48"/>
    </row>
    <row r="150" spans="1:16" ht="16.5" customHeight="1" x14ac:dyDescent="0.15">
      <c r="A150" s="41">
        <v>11</v>
      </c>
      <c r="B150" s="41" t="s">
        <v>12970</v>
      </c>
      <c r="C150" s="74" t="s">
        <v>12971</v>
      </c>
      <c r="D150" s="274">
        <f>_11_A家事増９．０</f>
        <v>1260</v>
      </c>
      <c r="E150" s="12" t="s">
        <v>392</v>
      </c>
      <c r="F150" s="35"/>
      <c r="I150" s="44" t="s">
        <v>397</v>
      </c>
      <c r="J150" s="218" t="s">
        <v>398</v>
      </c>
      <c r="K150" s="189">
        <v>1</v>
      </c>
      <c r="L150" s="706"/>
      <c r="M150" s="220"/>
      <c r="N150" s="38"/>
      <c r="O150" s="278">
        <f>ROUND((ROUND((ROUND((_11_A家事増９．０*_11・重度研修),0)*_11・２人),0)*_11・初任),0)</f>
        <v>794</v>
      </c>
      <c r="P150" s="48"/>
    </row>
    <row r="151" spans="1:16" ht="16.5" customHeight="1" x14ac:dyDescent="0.15">
      <c r="A151" s="41">
        <v>11</v>
      </c>
      <c r="B151" s="41">
        <v>8717</v>
      </c>
      <c r="C151" s="74" t="s">
        <v>12972</v>
      </c>
      <c r="D151" s="707" t="s">
        <v>10923</v>
      </c>
      <c r="E151" s="798"/>
      <c r="F151" s="35"/>
      <c r="I151" s="163"/>
      <c r="J151" s="45"/>
      <c r="K151" s="46"/>
      <c r="L151" s="53"/>
      <c r="M151" s="245"/>
      <c r="N151" s="50"/>
      <c r="O151" s="278">
        <f>ROUND((_11_A家事増９．２５*_11・重度研修),0)</f>
        <v>1166</v>
      </c>
      <c r="P151" s="48"/>
    </row>
    <row r="152" spans="1:16" ht="16.5" customHeight="1" x14ac:dyDescent="0.15">
      <c r="A152" s="41">
        <v>11</v>
      </c>
      <c r="B152" s="41">
        <v>8718</v>
      </c>
      <c r="C152" s="74" t="s">
        <v>12973</v>
      </c>
      <c r="D152" s="799"/>
      <c r="E152" s="796"/>
      <c r="F152" s="35"/>
      <c r="I152" s="44" t="s">
        <v>397</v>
      </c>
      <c r="J152" s="218" t="s">
        <v>398</v>
      </c>
      <c r="K152" s="189">
        <v>1</v>
      </c>
      <c r="L152" s="43"/>
      <c r="M152" s="220"/>
      <c r="N152" s="38"/>
      <c r="O152" s="278">
        <f>ROUND((ROUND((_11_A家事増９．２５*_11・重度研修),0)*_11・２人),0)</f>
        <v>1166</v>
      </c>
      <c r="P152" s="48"/>
    </row>
    <row r="153" spans="1:16" ht="16.5" customHeight="1" x14ac:dyDescent="0.15">
      <c r="A153" s="41">
        <v>11</v>
      </c>
      <c r="B153" s="41" t="s">
        <v>12974</v>
      </c>
      <c r="C153" s="74" t="s">
        <v>12975</v>
      </c>
      <c r="D153" s="799"/>
      <c r="E153" s="796"/>
      <c r="F153" s="35"/>
      <c r="I153" s="163"/>
      <c r="J153" s="45"/>
      <c r="K153" s="46"/>
      <c r="L153" s="734" t="s">
        <v>404</v>
      </c>
      <c r="M153" s="219" t="s">
        <v>398</v>
      </c>
      <c r="N153" s="50">
        <f>_11・初任</f>
        <v>0.7</v>
      </c>
      <c r="O153" s="278">
        <f>ROUND((ROUND((_11_A家事増９．２５*_11・重度研修),0)*_11・初任),0)</f>
        <v>816</v>
      </c>
      <c r="P153" s="48"/>
    </row>
    <row r="154" spans="1:16" ht="16.5" customHeight="1" x14ac:dyDescent="0.15">
      <c r="A154" s="41">
        <v>11</v>
      </c>
      <c r="B154" s="41" t="s">
        <v>12976</v>
      </c>
      <c r="C154" s="74" t="s">
        <v>12977</v>
      </c>
      <c r="D154" s="274">
        <f>_11_A家事増９．２５</f>
        <v>1295</v>
      </c>
      <c r="E154" s="12" t="s">
        <v>392</v>
      </c>
      <c r="F154" s="35"/>
      <c r="I154" s="44" t="s">
        <v>397</v>
      </c>
      <c r="J154" s="218" t="s">
        <v>398</v>
      </c>
      <c r="K154" s="189">
        <v>1</v>
      </c>
      <c r="L154" s="706"/>
      <c r="M154" s="220"/>
      <c r="N154" s="38"/>
      <c r="O154" s="278">
        <f>ROUND((ROUND((ROUND((_11_A家事増９．２５*_11・重度研修),0)*_11・２人),0)*_11・初任),0)</f>
        <v>816</v>
      </c>
      <c r="P154" s="48"/>
    </row>
    <row r="155" spans="1:16" ht="16.5" customHeight="1" x14ac:dyDescent="0.15">
      <c r="A155" s="41">
        <v>11</v>
      </c>
      <c r="B155" s="41">
        <v>8719</v>
      </c>
      <c r="C155" s="74" t="s">
        <v>12978</v>
      </c>
      <c r="D155" s="707" t="s">
        <v>10936</v>
      </c>
      <c r="E155" s="798"/>
      <c r="F155" s="35"/>
      <c r="I155" s="163"/>
      <c r="J155" s="45"/>
      <c r="K155" s="46"/>
      <c r="L155" s="53"/>
      <c r="M155" s="245"/>
      <c r="N155" s="50"/>
      <c r="O155" s="278">
        <f>ROUND((_11_A家事増９．５*_11・重度研修),0)</f>
        <v>1197</v>
      </c>
      <c r="P155" s="48"/>
    </row>
    <row r="156" spans="1:16" ht="16.5" customHeight="1" x14ac:dyDescent="0.15">
      <c r="A156" s="41">
        <v>11</v>
      </c>
      <c r="B156" s="41">
        <v>8720</v>
      </c>
      <c r="C156" s="74" t="s">
        <v>12979</v>
      </c>
      <c r="D156" s="799"/>
      <c r="E156" s="796"/>
      <c r="F156" s="35"/>
      <c r="I156" s="44" t="s">
        <v>397</v>
      </c>
      <c r="J156" s="218" t="s">
        <v>398</v>
      </c>
      <c r="K156" s="189">
        <v>1</v>
      </c>
      <c r="L156" s="43"/>
      <c r="M156" s="220"/>
      <c r="N156" s="38"/>
      <c r="O156" s="278">
        <f>ROUND((ROUND((_11_A家事増９．５*_11・重度研修),0)*_11・２人),0)</f>
        <v>1197</v>
      </c>
      <c r="P156" s="48"/>
    </row>
    <row r="157" spans="1:16" ht="16.5" customHeight="1" x14ac:dyDescent="0.15">
      <c r="A157" s="41">
        <v>11</v>
      </c>
      <c r="B157" s="41" t="s">
        <v>12980</v>
      </c>
      <c r="C157" s="74" t="s">
        <v>12981</v>
      </c>
      <c r="D157" s="799"/>
      <c r="E157" s="796"/>
      <c r="F157" s="35"/>
      <c r="I157" s="163"/>
      <c r="J157" s="45"/>
      <c r="K157" s="46"/>
      <c r="L157" s="734" t="s">
        <v>404</v>
      </c>
      <c r="M157" s="219" t="s">
        <v>398</v>
      </c>
      <c r="N157" s="50">
        <f>_11・初任</f>
        <v>0.7</v>
      </c>
      <c r="O157" s="278">
        <f>ROUND((ROUND((_11_A家事増９．５*_11・重度研修),0)*_11・初任),0)</f>
        <v>838</v>
      </c>
      <c r="P157" s="48"/>
    </row>
    <row r="158" spans="1:16" ht="16.5" customHeight="1" x14ac:dyDescent="0.15">
      <c r="A158" s="41">
        <v>11</v>
      </c>
      <c r="B158" s="41" t="s">
        <v>12982</v>
      </c>
      <c r="C158" s="74" t="s">
        <v>12983</v>
      </c>
      <c r="D158" s="274">
        <f>_11_A家事増９．５</f>
        <v>1330</v>
      </c>
      <c r="E158" s="12" t="s">
        <v>392</v>
      </c>
      <c r="F158" s="35"/>
      <c r="I158" s="44" t="s">
        <v>397</v>
      </c>
      <c r="J158" s="218" t="s">
        <v>398</v>
      </c>
      <c r="K158" s="189">
        <v>1</v>
      </c>
      <c r="L158" s="706"/>
      <c r="M158" s="220"/>
      <c r="N158" s="38"/>
      <c r="O158" s="278">
        <f>ROUND((ROUND((ROUND((_11_A家事増９．５*_11・重度研修),0)*_11・２人),0)*_11・初任),0)</f>
        <v>838</v>
      </c>
      <c r="P158" s="48"/>
    </row>
    <row r="159" spans="1:16" ht="16.5" customHeight="1" x14ac:dyDescent="0.15">
      <c r="A159" s="41">
        <v>11</v>
      </c>
      <c r="B159" s="41">
        <v>8721</v>
      </c>
      <c r="C159" s="74" t="s">
        <v>12984</v>
      </c>
      <c r="D159" s="707" t="s">
        <v>10949</v>
      </c>
      <c r="E159" s="798"/>
      <c r="F159" s="35"/>
      <c r="I159" s="163"/>
      <c r="J159" s="45"/>
      <c r="K159" s="46"/>
      <c r="L159" s="53"/>
      <c r="M159" s="245"/>
      <c r="N159" s="49"/>
      <c r="O159" s="278">
        <f>ROUND((_11_A家事増９．７５*_11・重度研修),0)</f>
        <v>1229</v>
      </c>
      <c r="P159" s="48"/>
    </row>
    <row r="160" spans="1:16" ht="16.5" customHeight="1" x14ac:dyDescent="0.15">
      <c r="A160" s="41">
        <v>11</v>
      </c>
      <c r="B160" s="41">
        <v>8722</v>
      </c>
      <c r="C160" s="74" t="s">
        <v>12985</v>
      </c>
      <c r="D160" s="799"/>
      <c r="E160" s="796"/>
      <c r="F160" s="35"/>
      <c r="I160" s="44" t="s">
        <v>397</v>
      </c>
      <c r="J160" s="218" t="s">
        <v>398</v>
      </c>
      <c r="K160" s="189">
        <v>1</v>
      </c>
      <c r="L160" s="43"/>
      <c r="M160" s="220"/>
      <c r="N160" s="37"/>
      <c r="O160" s="278">
        <f>ROUND((ROUND((_11_A家事増９．７５*_11・重度研修),0)*_11・２人),0)</f>
        <v>1229</v>
      </c>
      <c r="P160" s="48"/>
    </row>
    <row r="161" spans="1:16" ht="16.5" customHeight="1" x14ac:dyDescent="0.15">
      <c r="A161" s="41">
        <v>11</v>
      </c>
      <c r="B161" s="41" t="s">
        <v>12986</v>
      </c>
      <c r="C161" s="74" t="s">
        <v>12987</v>
      </c>
      <c r="D161" s="799"/>
      <c r="E161" s="796"/>
      <c r="F161" s="35"/>
      <c r="I161" s="163"/>
      <c r="J161" s="45"/>
      <c r="K161" s="46"/>
      <c r="L161" s="734" t="s">
        <v>404</v>
      </c>
      <c r="M161" s="219" t="s">
        <v>398</v>
      </c>
      <c r="N161" s="50">
        <f>_11・初任</f>
        <v>0.7</v>
      </c>
      <c r="O161" s="278">
        <f>ROUND((ROUND((_11_A家事増９．７５*_11・重度研修),0)*_11・初任),0)</f>
        <v>860</v>
      </c>
      <c r="P161" s="48"/>
    </row>
    <row r="162" spans="1:16" ht="16.5" customHeight="1" x14ac:dyDescent="0.15">
      <c r="A162" s="41">
        <v>11</v>
      </c>
      <c r="B162" s="41" t="s">
        <v>12988</v>
      </c>
      <c r="C162" s="74" t="s">
        <v>12989</v>
      </c>
      <c r="D162" s="274">
        <f>_11_A家事増９．７５</f>
        <v>1365</v>
      </c>
      <c r="E162" s="12" t="s">
        <v>392</v>
      </c>
      <c r="F162" s="35"/>
      <c r="I162" s="44" t="s">
        <v>397</v>
      </c>
      <c r="J162" s="218" t="s">
        <v>398</v>
      </c>
      <c r="K162" s="189">
        <v>1</v>
      </c>
      <c r="L162" s="706"/>
      <c r="M162" s="220"/>
      <c r="N162" s="38"/>
      <c r="O162" s="278">
        <f>ROUND((ROUND((ROUND((_11_A家事増９．７５*_11・重度研修),0)*_11・２人),0)*_11・初任),0)</f>
        <v>860</v>
      </c>
      <c r="P162" s="48"/>
    </row>
    <row r="163" spans="1:16" ht="16.5" customHeight="1" x14ac:dyDescent="0.15">
      <c r="A163" s="41">
        <v>11</v>
      </c>
      <c r="B163" s="41">
        <v>8723</v>
      </c>
      <c r="C163" s="74" t="s">
        <v>12990</v>
      </c>
      <c r="D163" s="707" t="s">
        <v>10962</v>
      </c>
      <c r="E163" s="798"/>
      <c r="F163" s="35"/>
      <c r="I163" s="163"/>
      <c r="J163" s="45"/>
      <c r="K163" s="46"/>
      <c r="L163" s="53"/>
      <c r="M163" s="245"/>
      <c r="N163" s="50"/>
      <c r="O163" s="278">
        <f>ROUND((_11_A家事増１０．０*_11・重度研修),0)</f>
        <v>1260</v>
      </c>
      <c r="P163" s="48"/>
    </row>
    <row r="164" spans="1:16" ht="16.5" customHeight="1" x14ac:dyDescent="0.15">
      <c r="A164" s="41">
        <v>11</v>
      </c>
      <c r="B164" s="41">
        <v>8724</v>
      </c>
      <c r="C164" s="74" t="s">
        <v>12991</v>
      </c>
      <c r="D164" s="799"/>
      <c r="E164" s="796"/>
      <c r="F164" s="35"/>
      <c r="I164" s="44" t="s">
        <v>397</v>
      </c>
      <c r="J164" s="218" t="s">
        <v>398</v>
      </c>
      <c r="K164" s="189">
        <v>1</v>
      </c>
      <c r="L164" s="43"/>
      <c r="M164" s="220"/>
      <c r="N164" s="38"/>
      <c r="O164" s="278">
        <f>ROUND((ROUND((_11_A家事増１０．０*_11・重度研修),0)*_11・２人),0)</f>
        <v>1260</v>
      </c>
      <c r="P164" s="48"/>
    </row>
    <row r="165" spans="1:16" ht="16.5" customHeight="1" x14ac:dyDescent="0.15">
      <c r="A165" s="41">
        <v>11</v>
      </c>
      <c r="B165" s="41" t="s">
        <v>12992</v>
      </c>
      <c r="C165" s="74" t="s">
        <v>12993</v>
      </c>
      <c r="D165" s="799"/>
      <c r="E165" s="796"/>
      <c r="F165" s="35"/>
      <c r="I165" s="163"/>
      <c r="J165" s="45"/>
      <c r="K165" s="46"/>
      <c r="L165" s="734" t="s">
        <v>404</v>
      </c>
      <c r="M165" s="219" t="s">
        <v>398</v>
      </c>
      <c r="N165" s="50">
        <f>_11・初任</f>
        <v>0.7</v>
      </c>
      <c r="O165" s="278">
        <f>ROUND((ROUND((_11_A家事増１０．０*_11・重度研修),0)*_11・初任),0)</f>
        <v>882</v>
      </c>
      <c r="P165" s="48"/>
    </row>
    <row r="166" spans="1:16" ht="16.5" customHeight="1" x14ac:dyDescent="0.15">
      <c r="A166" s="41">
        <v>11</v>
      </c>
      <c r="B166" s="41" t="s">
        <v>12994</v>
      </c>
      <c r="C166" s="74" t="s">
        <v>12995</v>
      </c>
      <c r="D166" s="274">
        <f>_11_A家事増１０．０</f>
        <v>1400</v>
      </c>
      <c r="E166" s="12" t="s">
        <v>392</v>
      </c>
      <c r="F166" s="35"/>
      <c r="I166" s="44" t="s">
        <v>397</v>
      </c>
      <c r="J166" s="218" t="s">
        <v>398</v>
      </c>
      <c r="K166" s="189">
        <v>1</v>
      </c>
      <c r="L166" s="706"/>
      <c r="M166" s="220"/>
      <c r="N166" s="38"/>
      <c r="O166" s="278">
        <f>ROUND((ROUND((ROUND((_11_A家事増１０．０*_11・重度研修),0)*_11・２人),0)*_11・初任),0)</f>
        <v>882</v>
      </c>
      <c r="P166" s="48"/>
    </row>
    <row r="167" spans="1:16" ht="16.5" customHeight="1" x14ac:dyDescent="0.15">
      <c r="A167" s="41">
        <v>11</v>
      </c>
      <c r="B167" s="41">
        <v>8725</v>
      </c>
      <c r="C167" s="74" t="s">
        <v>12996</v>
      </c>
      <c r="D167" s="707" t="s">
        <v>10975</v>
      </c>
      <c r="E167" s="798"/>
      <c r="F167" s="35"/>
      <c r="I167" s="163"/>
      <c r="J167" s="45"/>
      <c r="K167" s="46"/>
      <c r="L167" s="53"/>
      <c r="M167" s="245"/>
      <c r="N167" s="50"/>
      <c r="O167" s="278">
        <f>ROUND((_11_A家事増１０．２５*_11・重度研修),0)</f>
        <v>1292</v>
      </c>
      <c r="P167" s="48"/>
    </row>
    <row r="168" spans="1:16" ht="16.5" customHeight="1" x14ac:dyDescent="0.15">
      <c r="A168" s="41">
        <v>11</v>
      </c>
      <c r="B168" s="41">
        <v>8726</v>
      </c>
      <c r="C168" s="74" t="s">
        <v>12997</v>
      </c>
      <c r="D168" s="799"/>
      <c r="E168" s="796"/>
      <c r="F168" s="35"/>
      <c r="I168" s="44" t="s">
        <v>397</v>
      </c>
      <c r="J168" s="218" t="s">
        <v>398</v>
      </c>
      <c r="K168" s="189">
        <v>1</v>
      </c>
      <c r="L168" s="43"/>
      <c r="M168" s="220"/>
      <c r="N168" s="38"/>
      <c r="O168" s="278">
        <f>ROUND((ROUND((_11_A家事増１０．２５*_11・重度研修),0)*_11・２人),0)</f>
        <v>1292</v>
      </c>
      <c r="P168" s="48"/>
    </row>
    <row r="169" spans="1:16" ht="16.5" customHeight="1" x14ac:dyDescent="0.15">
      <c r="A169" s="41">
        <v>11</v>
      </c>
      <c r="B169" s="41" t="s">
        <v>12998</v>
      </c>
      <c r="C169" s="74" t="s">
        <v>12999</v>
      </c>
      <c r="D169" s="799"/>
      <c r="E169" s="796"/>
      <c r="F169" s="35"/>
      <c r="I169" s="163"/>
      <c r="J169" s="45"/>
      <c r="K169" s="46"/>
      <c r="L169" s="734" t="s">
        <v>404</v>
      </c>
      <c r="M169" s="219" t="s">
        <v>398</v>
      </c>
      <c r="N169" s="50">
        <f>_11・初任</f>
        <v>0.7</v>
      </c>
      <c r="O169" s="278">
        <f>ROUND((ROUND((_11_A家事増１０．２５*_11・重度研修),0)*_11・初任),0)</f>
        <v>904</v>
      </c>
      <c r="P169" s="48"/>
    </row>
    <row r="170" spans="1:16" ht="16.5" customHeight="1" x14ac:dyDescent="0.15">
      <c r="A170" s="41">
        <v>11</v>
      </c>
      <c r="B170" s="41" t="s">
        <v>13000</v>
      </c>
      <c r="C170" s="74" t="s">
        <v>13001</v>
      </c>
      <c r="D170" s="274">
        <f>_11_A家事増１０．２５</f>
        <v>1435</v>
      </c>
      <c r="E170" s="12" t="s">
        <v>392</v>
      </c>
      <c r="F170" s="35"/>
      <c r="I170" s="44" t="s">
        <v>397</v>
      </c>
      <c r="J170" s="218" t="s">
        <v>398</v>
      </c>
      <c r="K170" s="189">
        <v>1</v>
      </c>
      <c r="L170" s="706"/>
      <c r="M170" s="220"/>
      <c r="N170" s="38"/>
      <c r="O170" s="278">
        <f>ROUND((ROUND((ROUND((_11_A家事増１０．２５*_11・重度研修),0)*_11・２人),0)*_11・初任),0)</f>
        <v>904</v>
      </c>
      <c r="P170" s="48"/>
    </row>
    <row r="171" spans="1:16" ht="16.5" customHeight="1" x14ac:dyDescent="0.15">
      <c r="A171" s="41">
        <v>11</v>
      </c>
      <c r="B171" s="41">
        <v>8727</v>
      </c>
      <c r="C171" s="74" t="s">
        <v>13002</v>
      </c>
      <c r="D171" s="707" t="s">
        <v>10988</v>
      </c>
      <c r="E171" s="798"/>
      <c r="F171" s="35"/>
      <c r="I171" s="163"/>
      <c r="J171" s="45"/>
      <c r="K171" s="46"/>
      <c r="L171" s="53"/>
      <c r="M171" s="245"/>
      <c r="N171" s="49"/>
      <c r="O171" s="278">
        <f>ROUND((_11_A家事増１０．５*_11・重度研修),0)</f>
        <v>1323</v>
      </c>
      <c r="P171" s="48"/>
    </row>
    <row r="172" spans="1:16" ht="16.5" customHeight="1" x14ac:dyDescent="0.15">
      <c r="A172" s="41">
        <v>11</v>
      </c>
      <c r="B172" s="41">
        <v>8728</v>
      </c>
      <c r="C172" s="74" t="s">
        <v>13003</v>
      </c>
      <c r="D172" s="799"/>
      <c r="E172" s="796"/>
      <c r="F172" s="35"/>
      <c r="I172" s="44" t="s">
        <v>397</v>
      </c>
      <c r="J172" s="218" t="s">
        <v>398</v>
      </c>
      <c r="K172" s="189">
        <v>1</v>
      </c>
      <c r="L172" s="43"/>
      <c r="M172" s="220"/>
      <c r="N172" s="37"/>
      <c r="O172" s="278">
        <f>ROUND((ROUND((_11_A家事増１０．５*_11・重度研修),0)*_11・２人),0)</f>
        <v>1323</v>
      </c>
      <c r="P172" s="48"/>
    </row>
    <row r="173" spans="1:16" ht="16.5" customHeight="1" x14ac:dyDescent="0.15">
      <c r="A173" s="41">
        <v>11</v>
      </c>
      <c r="B173" s="41" t="s">
        <v>13004</v>
      </c>
      <c r="C173" s="74" t="s">
        <v>13005</v>
      </c>
      <c r="D173" s="799"/>
      <c r="E173" s="796"/>
      <c r="F173" s="35"/>
      <c r="I173" s="163"/>
      <c r="J173" s="45"/>
      <c r="K173" s="46"/>
      <c r="L173" s="734" t="s">
        <v>404</v>
      </c>
      <c r="M173" s="219" t="s">
        <v>398</v>
      </c>
      <c r="N173" s="50">
        <f>_11・初任</f>
        <v>0.7</v>
      </c>
      <c r="O173" s="278">
        <f>ROUND((ROUND((_11_A家事増１０．５*_11・重度研修),0)*_11・初任),0)</f>
        <v>926</v>
      </c>
      <c r="P173" s="48"/>
    </row>
    <row r="174" spans="1:16" ht="16.5" customHeight="1" x14ac:dyDescent="0.15">
      <c r="A174" s="41">
        <v>11</v>
      </c>
      <c r="B174" s="41" t="s">
        <v>13006</v>
      </c>
      <c r="C174" s="74" t="s">
        <v>13007</v>
      </c>
      <c r="D174" s="276">
        <f>_11_A家事増１０．５</f>
        <v>1470</v>
      </c>
      <c r="E174" s="37" t="s">
        <v>392</v>
      </c>
      <c r="F174" s="43"/>
      <c r="G174" s="190"/>
      <c r="H174" s="38"/>
      <c r="I174" s="44" t="s">
        <v>397</v>
      </c>
      <c r="J174" s="218" t="s">
        <v>398</v>
      </c>
      <c r="K174" s="189">
        <v>1</v>
      </c>
      <c r="L174" s="706"/>
      <c r="M174" s="220"/>
      <c r="N174" s="38"/>
      <c r="O174" s="278">
        <f>ROUND((ROUND((ROUND((_11_A家事増１０．５*_11・重度研修),0)*_11・２人),0)*_11・初任),0)</f>
        <v>926</v>
      </c>
      <c r="P174" s="63"/>
    </row>
    <row r="175" spans="1:16" ht="16.5" customHeight="1" x14ac:dyDescent="0.15"/>
    <row r="176" spans="1:16" ht="16.5" customHeight="1" x14ac:dyDescent="0.15"/>
  </sheetData>
  <mergeCells count="86">
    <mergeCell ref="D163:E165"/>
    <mergeCell ref="L165:L166"/>
    <mergeCell ref="D167:E169"/>
    <mergeCell ref="L169:L170"/>
    <mergeCell ref="D171:E173"/>
    <mergeCell ref="L173:L174"/>
    <mergeCell ref="D151:E153"/>
    <mergeCell ref="L153:L154"/>
    <mergeCell ref="D155:E157"/>
    <mergeCell ref="L157:L158"/>
    <mergeCell ref="D159:E161"/>
    <mergeCell ref="L161:L162"/>
    <mergeCell ref="D139:E141"/>
    <mergeCell ref="L141:L142"/>
    <mergeCell ref="D143:E145"/>
    <mergeCell ref="L145:L146"/>
    <mergeCell ref="D147:E149"/>
    <mergeCell ref="L149:L150"/>
    <mergeCell ref="D127:E129"/>
    <mergeCell ref="L129:L130"/>
    <mergeCell ref="D131:E133"/>
    <mergeCell ref="L133:L134"/>
    <mergeCell ref="D135:E137"/>
    <mergeCell ref="L137:L138"/>
    <mergeCell ref="D115:E117"/>
    <mergeCell ref="L117:L118"/>
    <mergeCell ref="D119:E121"/>
    <mergeCell ref="L121:L122"/>
    <mergeCell ref="D123:E125"/>
    <mergeCell ref="L125:L126"/>
    <mergeCell ref="D103:E105"/>
    <mergeCell ref="L105:L106"/>
    <mergeCell ref="D107:E109"/>
    <mergeCell ref="L109:L110"/>
    <mergeCell ref="D111:E113"/>
    <mergeCell ref="L113:L114"/>
    <mergeCell ref="D99:E101"/>
    <mergeCell ref="L101:L102"/>
    <mergeCell ref="D79:E81"/>
    <mergeCell ref="L81:L82"/>
    <mergeCell ref="D83:E85"/>
    <mergeCell ref="L85:L86"/>
    <mergeCell ref="D87:E89"/>
    <mergeCell ref="L89:L90"/>
    <mergeCell ref="D91:E93"/>
    <mergeCell ref="F91:H93"/>
    <mergeCell ref="L93:L94"/>
    <mergeCell ref="D95:E97"/>
    <mergeCell ref="L97:L98"/>
    <mergeCell ref="D67:E69"/>
    <mergeCell ref="L69:L70"/>
    <mergeCell ref="D71:E73"/>
    <mergeCell ref="L73:L74"/>
    <mergeCell ref="D75:E77"/>
    <mergeCell ref="L77:L78"/>
    <mergeCell ref="D55:E57"/>
    <mergeCell ref="L57:L58"/>
    <mergeCell ref="D59:E61"/>
    <mergeCell ref="L61:L62"/>
    <mergeCell ref="D63:E65"/>
    <mergeCell ref="L65:L66"/>
    <mergeCell ref="D43:E45"/>
    <mergeCell ref="L45:L46"/>
    <mergeCell ref="D47:E49"/>
    <mergeCell ref="L49:L50"/>
    <mergeCell ref="D51:E53"/>
    <mergeCell ref="L53:L54"/>
    <mergeCell ref="D31:E33"/>
    <mergeCell ref="L33:L34"/>
    <mergeCell ref="D35:E37"/>
    <mergeCell ref="L37:L38"/>
    <mergeCell ref="D39:E41"/>
    <mergeCell ref="L41:L42"/>
    <mergeCell ref="D19:E21"/>
    <mergeCell ref="L21:L22"/>
    <mergeCell ref="D23:E25"/>
    <mergeCell ref="L25:L26"/>
    <mergeCell ref="D27:E29"/>
    <mergeCell ref="L29:L30"/>
    <mergeCell ref="D15:E17"/>
    <mergeCell ref="L17:L18"/>
    <mergeCell ref="D7:E9"/>
    <mergeCell ref="F7:H9"/>
    <mergeCell ref="L9:L10"/>
    <mergeCell ref="D11:E13"/>
    <mergeCell ref="L13:L14"/>
  </mergeCells>
  <phoneticPr fontId="1"/>
  <printOptions horizontalCentered="1"/>
  <pageMargins left="0.70866141732283472" right="0.70866141732283472" top="0.74803149606299213" bottom="0.74803149606299213" header="0.31496062992125984" footer="0.31496062992125984"/>
  <pageSetup paperSize="9" scale="50" fitToHeight="0" orientation="portrait" r:id="rId1"/>
  <headerFooter>
    <oddHeader>&amp;R&amp;"ＭＳ Ｐゴシック"&amp;9居宅介護</oddHeader>
    <oddFooter>&amp;C&amp;"ＭＳ Ｐゴシック"&amp;14&amp;P</oddFooter>
  </headerFooter>
  <rowBreaks count="1" manualBreakCount="1">
    <brk id="90" max="17"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2"/>
  <dimension ref="A1:S125"/>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0" customWidth="1"/>
    <col min="5" max="5" width="4.875" style="12" customWidth="1"/>
    <col min="6" max="6" width="3.125" style="12" customWidth="1"/>
    <col min="7" max="7" width="2.5" style="12" customWidth="1"/>
    <col min="8" max="8" width="4.5" style="13" bestFit="1" customWidth="1"/>
    <col min="9" max="9" width="24.125" style="12" bestFit="1" customWidth="1"/>
    <col min="10" max="10" width="2.5" style="12" customWidth="1"/>
    <col min="11" max="11" width="5.5" style="13" bestFit="1" customWidth="1"/>
    <col min="12" max="12" width="2.5" style="12" customWidth="1"/>
    <col min="13" max="13" width="3.875" style="12" customWidth="1"/>
    <col min="14" max="14" width="4.5" style="13" bestFit="1" customWidth="1"/>
    <col min="15" max="15" width="17.875" style="12" customWidth="1"/>
    <col min="16" max="16" width="2.5" style="242" customWidth="1"/>
    <col min="17" max="17" width="4.5" style="13" bestFit="1" customWidth="1"/>
    <col min="18" max="18" width="7.125" style="206" customWidth="1"/>
    <col min="19" max="19" width="8.5" style="16" customWidth="1"/>
    <col min="20" max="16384" width="8.875" style="12"/>
  </cols>
  <sheetData>
    <row r="1" spans="1:19" ht="17.100000000000001" customHeight="1" x14ac:dyDescent="0.15"/>
    <row r="2" spans="1:19" ht="17.100000000000001" customHeight="1" x14ac:dyDescent="0.15"/>
    <row r="3" spans="1:19" ht="17.100000000000001" customHeight="1" x14ac:dyDescent="0.15"/>
    <row r="4" spans="1:19" ht="17.100000000000001" customHeight="1" x14ac:dyDescent="0.15">
      <c r="B4" s="17" t="s">
        <v>13008</v>
      </c>
      <c r="D4" s="71"/>
    </row>
    <row r="5" spans="1:19" ht="16.5" customHeight="1" x14ac:dyDescent="0.15">
      <c r="A5" s="19" t="s">
        <v>384</v>
      </c>
      <c r="B5" s="20"/>
      <c r="C5" s="21" t="s">
        <v>385</v>
      </c>
      <c r="D5" s="23" t="s">
        <v>386</v>
      </c>
      <c r="E5" s="23"/>
      <c r="F5" s="23"/>
      <c r="G5" s="23"/>
      <c r="H5" s="24"/>
      <c r="I5" s="23"/>
      <c r="J5" s="23"/>
      <c r="K5" s="24"/>
      <c r="L5" s="23"/>
      <c r="M5" s="23"/>
      <c r="N5" s="24"/>
      <c r="O5" s="23"/>
      <c r="P5" s="23"/>
      <c r="Q5" s="24"/>
      <c r="R5" s="21" t="s">
        <v>387</v>
      </c>
      <c r="S5" s="21" t="s">
        <v>388</v>
      </c>
    </row>
    <row r="6" spans="1:19" ht="16.5" customHeight="1" x14ac:dyDescent="0.15">
      <c r="A6" s="26" t="s">
        <v>389</v>
      </c>
      <c r="B6" s="26" t="s">
        <v>390</v>
      </c>
      <c r="C6" s="27"/>
      <c r="D6" s="29"/>
      <c r="E6" s="29"/>
      <c r="F6" s="29"/>
      <c r="G6" s="29"/>
      <c r="H6" s="30"/>
      <c r="I6" s="29"/>
      <c r="J6" s="29"/>
      <c r="K6" s="30"/>
      <c r="L6" s="29"/>
      <c r="M6" s="29"/>
      <c r="N6" s="30"/>
      <c r="O6" s="29"/>
      <c r="P6" s="214"/>
      <c r="Q6" s="30"/>
      <c r="R6" s="32" t="s">
        <v>391</v>
      </c>
      <c r="S6" s="32" t="s">
        <v>392</v>
      </c>
    </row>
    <row r="7" spans="1:19" ht="16.5" customHeight="1" x14ac:dyDescent="0.15">
      <c r="A7" s="33">
        <v>11</v>
      </c>
      <c r="B7" s="33">
        <v>8729</v>
      </c>
      <c r="C7" s="34" t="s">
        <v>13009</v>
      </c>
      <c r="D7" s="709" t="s">
        <v>11002</v>
      </c>
      <c r="E7" s="797"/>
      <c r="F7" s="709" t="s">
        <v>11707</v>
      </c>
      <c r="G7" s="787"/>
      <c r="H7" s="802"/>
      <c r="I7" s="37"/>
      <c r="J7" s="37"/>
      <c r="K7" s="38"/>
      <c r="L7" s="35" t="s">
        <v>674</v>
      </c>
      <c r="N7" s="234"/>
      <c r="O7" s="35"/>
      <c r="R7" s="207">
        <f>ROUND((ROUND((_11_A家事増０．２５*_11・重度研修),0)*(1+_11・A早朝)),0)</f>
        <v>40</v>
      </c>
      <c r="S7" s="40" t="s">
        <v>395</v>
      </c>
    </row>
    <row r="8" spans="1:19" ht="16.5" customHeight="1" x14ac:dyDescent="0.15">
      <c r="A8" s="41">
        <v>11</v>
      </c>
      <c r="B8" s="41">
        <v>8730</v>
      </c>
      <c r="C8" s="74" t="s">
        <v>13010</v>
      </c>
      <c r="D8" s="799"/>
      <c r="E8" s="797"/>
      <c r="F8" s="722"/>
      <c r="G8" s="787"/>
      <c r="H8" s="787"/>
      <c r="I8" s="44" t="s">
        <v>397</v>
      </c>
      <c r="J8" s="218" t="s">
        <v>398</v>
      </c>
      <c r="K8" s="46">
        <v>1</v>
      </c>
      <c r="L8" s="258" t="s">
        <v>398</v>
      </c>
      <c r="M8" s="13">
        <v>0.25</v>
      </c>
      <c r="N8" s="718" t="s">
        <v>676</v>
      </c>
      <c r="O8" s="43"/>
      <c r="P8" s="220"/>
      <c r="Q8" s="38"/>
      <c r="R8" s="208">
        <f>ROUND((ROUND((ROUND((_11_A家事増０．２５*_11・重度研修),0)*_11・２人),0)*(1+_11・A早朝)),0)</f>
        <v>40</v>
      </c>
      <c r="S8" s="48"/>
    </row>
    <row r="9" spans="1:19" ht="16.5" customHeight="1" x14ac:dyDescent="0.15">
      <c r="A9" s="41">
        <v>11</v>
      </c>
      <c r="B9" s="41" t="s">
        <v>13011</v>
      </c>
      <c r="C9" s="74" t="s">
        <v>13012</v>
      </c>
      <c r="D9" s="799"/>
      <c r="E9" s="797"/>
      <c r="F9" s="722"/>
      <c r="G9" s="787"/>
      <c r="H9" s="802"/>
      <c r="I9" s="45"/>
      <c r="J9" s="45"/>
      <c r="K9" s="46"/>
      <c r="L9" s="35"/>
      <c r="N9" s="796"/>
      <c r="O9" s="734" t="s">
        <v>404</v>
      </c>
      <c r="P9" s="219" t="s">
        <v>398</v>
      </c>
      <c r="Q9" s="50">
        <f>_11・初任</f>
        <v>0.7</v>
      </c>
      <c r="R9" s="208">
        <f>ROUND((ROUND((ROUND((_11_A家事増０．２５*_11・重度研修),0)*(1+_11・A早朝)),0)*_11・初任),0)</f>
        <v>28</v>
      </c>
      <c r="S9" s="48"/>
    </row>
    <row r="10" spans="1:19" ht="16.5" customHeight="1" x14ac:dyDescent="0.15">
      <c r="A10" s="41">
        <v>11</v>
      </c>
      <c r="B10" s="41" t="s">
        <v>13013</v>
      </c>
      <c r="C10" s="74" t="s">
        <v>13014</v>
      </c>
      <c r="D10" s="274">
        <f>_11_A家事増０．２５</f>
        <v>35</v>
      </c>
      <c r="E10" s="12" t="s">
        <v>392</v>
      </c>
      <c r="F10" s="35"/>
      <c r="G10" s="16" t="s">
        <v>398</v>
      </c>
      <c r="H10" s="13">
        <v>0.9</v>
      </c>
      <c r="I10" s="44" t="s">
        <v>397</v>
      </c>
      <c r="J10" s="218" t="s">
        <v>398</v>
      </c>
      <c r="K10" s="46">
        <v>1</v>
      </c>
      <c r="L10" s="35"/>
      <c r="N10" s="234"/>
      <c r="O10" s="706"/>
      <c r="P10" s="220"/>
      <c r="Q10" s="38"/>
      <c r="R10" s="208">
        <f>ROUND((ROUND((ROUND((ROUND((_11_A家事増０．２５*_11・重度研修),0)*_11・２人),0)*(1+_11・A早朝)),0)*_11・初任),0)</f>
        <v>28</v>
      </c>
      <c r="S10" s="48"/>
    </row>
    <row r="11" spans="1:19" ht="16.5" customHeight="1" x14ac:dyDescent="0.15">
      <c r="A11" s="41">
        <v>11</v>
      </c>
      <c r="B11" s="41">
        <v>8731</v>
      </c>
      <c r="C11" s="74" t="s">
        <v>13015</v>
      </c>
      <c r="D11" s="707" t="s">
        <v>11015</v>
      </c>
      <c r="E11" s="798"/>
      <c r="F11" s="35"/>
      <c r="I11" s="163"/>
      <c r="J11" s="45"/>
      <c r="K11" s="46"/>
      <c r="L11" s="35"/>
      <c r="O11" s="53"/>
      <c r="P11" s="245"/>
      <c r="Q11" s="50"/>
      <c r="R11" s="208">
        <f>ROUND((ROUND((_11_A家事増０．５*_11・重度研修),0)*(1+_11・A早朝)),0)</f>
        <v>79</v>
      </c>
      <c r="S11" s="48"/>
    </row>
    <row r="12" spans="1:19" ht="16.5" customHeight="1" x14ac:dyDescent="0.15">
      <c r="A12" s="41">
        <v>11</v>
      </c>
      <c r="B12" s="41">
        <v>8732</v>
      </c>
      <c r="C12" s="74" t="s">
        <v>13016</v>
      </c>
      <c r="D12" s="799"/>
      <c r="E12" s="796"/>
      <c r="F12" s="35"/>
      <c r="I12" s="44" t="s">
        <v>397</v>
      </c>
      <c r="J12" s="218" t="s">
        <v>398</v>
      </c>
      <c r="K12" s="189">
        <v>1</v>
      </c>
      <c r="L12" s="35"/>
      <c r="O12" s="43"/>
      <c r="P12" s="220"/>
      <c r="Q12" s="38"/>
      <c r="R12" s="208">
        <f>ROUND((ROUND((ROUND((_11_A家事増０．５*_11・重度研修),0)*_11・２人),0)*(1+_11・A早朝)),0)</f>
        <v>79</v>
      </c>
      <c r="S12" s="48"/>
    </row>
    <row r="13" spans="1:19" ht="16.5" customHeight="1" x14ac:dyDescent="0.15">
      <c r="A13" s="41">
        <v>11</v>
      </c>
      <c r="B13" s="41" t="s">
        <v>13017</v>
      </c>
      <c r="C13" s="74" t="s">
        <v>13018</v>
      </c>
      <c r="D13" s="799"/>
      <c r="E13" s="796"/>
      <c r="F13" s="35"/>
      <c r="I13" s="163"/>
      <c r="J13" s="45"/>
      <c r="K13" s="46"/>
      <c r="L13" s="35"/>
      <c r="O13" s="734" t="s">
        <v>404</v>
      </c>
      <c r="P13" s="219" t="s">
        <v>398</v>
      </c>
      <c r="Q13" s="50">
        <f>_11・初任</f>
        <v>0.7</v>
      </c>
      <c r="R13" s="208">
        <f>ROUND((ROUND((ROUND((_11_A家事増０．５*_11・重度研修),0)*(1+_11・A早朝)),0)*_11・初任),0)</f>
        <v>55</v>
      </c>
      <c r="S13" s="48"/>
    </row>
    <row r="14" spans="1:19" ht="16.5" customHeight="1" x14ac:dyDescent="0.15">
      <c r="A14" s="41">
        <v>11</v>
      </c>
      <c r="B14" s="41" t="s">
        <v>13019</v>
      </c>
      <c r="C14" s="74" t="s">
        <v>13020</v>
      </c>
      <c r="D14" s="274">
        <f>_11_A家事増０．５</f>
        <v>70</v>
      </c>
      <c r="E14" s="12" t="s">
        <v>392</v>
      </c>
      <c r="F14" s="35"/>
      <c r="I14" s="44" t="s">
        <v>397</v>
      </c>
      <c r="J14" s="218" t="s">
        <v>398</v>
      </c>
      <c r="K14" s="189">
        <v>1</v>
      </c>
      <c r="L14" s="35"/>
      <c r="O14" s="706"/>
      <c r="P14" s="220"/>
      <c r="Q14" s="38"/>
      <c r="R14" s="208">
        <f>ROUND((ROUND((ROUND((ROUND((_11_A家事増０．５*_11・重度研修),0)*_11・２人),0)*(1+_11・A早朝)),0)*_11・初任),0)</f>
        <v>55</v>
      </c>
      <c r="S14" s="48"/>
    </row>
    <row r="15" spans="1:19" ht="16.5" customHeight="1" x14ac:dyDescent="0.15">
      <c r="A15" s="41">
        <v>11</v>
      </c>
      <c r="B15" s="41">
        <v>8733</v>
      </c>
      <c r="C15" s="74" t="s">
        <v>13021</v>
      </c>
      <c r="D15" s="707" t="s">
        <v>11028</v>
      </c>
      <c r="E15" s="798"/>
      <c r="F15" s="35"/>
      <c r="I15" s="163"/>
      <c r="J15" s="45"/>
      <c r="K15" s="46"/>
      <c r="L15" s="35"/>
      <c r="O15" s="53"/>
      <c r="P15" s="245"/>
      <c r="Q15" s="49"/>
      <c r="R15" s="208">
        <f>ROUND((ROUND((_11_A家事増０．７５*_11・重度研修),0)*(1+_11・A早朝)),0)</f>
        <v>119</v>
      </c>
      <c r="S15" s="48"/>
    </row>
    <row r="16" spans="1:19" ht="16.5" customHeight="1" x14ac:dyDescent="0.15">
      <c r="A16" s="41">
        <v>11</v>
      </c>
      <c r="B16" s="41">
        <v>8734</v>
      </c>
      <c r="C16" s="74" t="s">
        <v>13022</v>
      </c>
      <c r="D16" s="799"/>
      <c r="E16" s="796"/>
      <c r="F16" s="35"/>
      <c r="I16" s="44" t="s">
        <v>397</v>
      </c>
      <c r="J16" s="218" t="s">
        <v>398</v>
      </c>
      <c r="K16" s="189">
        <v>1</v>
      </c>
      <c r="L16" s="35"/>
      <c r="O16" s="43"/>
      <c r="P16" s="220"/>
      <c r="Q16" s="37"/>
      <c r="R16" s="208">
        <f>ROUND((ROUND((ROUND((_11_A家事増０．７５*_11・重度研修),0)*_11・２人),0)*(1+_11・A早朝)),0)</f>
        <v>119</v>
      </c>
      <c r="S16" s="48"/>
    </row>
    <row r="17" spans="1:19" ht="16.5" customHeight="1" x14ac:dyDescent="0.15">
      <c r="A17" s="41">
        <v>11</v>
      </c>
      <c r="B17" s="41" t="s">
        <v>13023</v>
      </c>
      <c r="C17" s="74" t="s">
        <v>13024</v>
      </c>
      <c r="D17" s="799"/>
      <c r="E17" s="796"/>
      <c r="F17" s="35"/>
      <c r="I17" s="163"/>
      <c r="J17" s="45"/>
      <c r="K17" s="46"/>
      <c r="L17" s="35"/>
      <c r="O17" s="734" t="s">
        <v>404</v>
      </c>
      <c r="P17" s="219" t="s">
        <v>398</v>
      </c>
      <c r="Q17" s="50">
        <f>_11・初任</f>
        <v>0.7</v>
      </c>
      <c r="R17" s="208">
        <f>ROUND((ROUND((ROUND((_11_A家事増０．７５*_11・重度研修),0)*(1+_11・A早朝)),0)*_11・初任),0)</f>
        <v>83</v>
      </c>
      <c r="S17" s="48"/>
    </row>
    <row r="18" spans="1:19" ht="16.5" customHeight="1" x14ac:dyDescent="0.15">
      <c r="A18" s="41">
        <v>11</v>
      </c>
      <c r="B18" s="41" t="s">
        <v>13025</v>
      </c>
      <c r="C18" s="74" t="s">
        <v>13026</v>
      </c>
      <c r="D18" s="274">
        <f>_11_A家事増０．７５</f>
        <v>105</v>
      </c>
      <c r="E18" s="12" t="s">
        <v>392</v>
      </c>
      <c r="F18" s="35"/>
      <c r="I18" s="44" t="s">
        <v>397</v>
      </c>
      <c r="J18" s="218" t="s">
        <v>398</v>
      </c>
      <c r="K18" s="189">
        <v>1</v>
      </c>
      <c r="L18" s="35"/>
      <c r="O18" s="706"/>
      <c r="P18" s="220"/>
      <c r="Q18" s="38"/>
      <c r="R18" s="208">
        <f>ROUND((ROUND((ROUND((ROUND((_11_A家事増０．７５*_11・重度研修),0)*_11・２人),0)*(1+_11・A早朝)),0)*_11・初任),0)</f>
        <v>83</v>
      </c>
      <c r="S18" s="48"/>
    </row>
    <row r="19" spans="1:19" ht="16.5" customHeight="1" x14ac:dyDescent="0.15">
      <c r="A19" s="41">
        <v>11</v>
      </c>
      <c r="B19" s="41">
        <v>8735</v>
      </c>
      <c r="C19" s="74" t="s">
        <v>13027</v>
      </c>
      <c r="D19" s="707" t="s">
        <v>11041</v>
      </c>
      <c r="E19" s="798"/>
      <c r="F19" s="35"/>
      <c r="I19" s="163"/>
      <c r="J19" s="45"/>
      <c r="K19" s="46"/>
      <c r="L19" s="35"/>
      <c r="O19" s="53"/>
      <c r="P19" s="245"/>
      <c r="Q19" s="50"/>
      <c r="R19" s="208">
        <f>ROUND((ROUND((_11_A家事増１．０*_11・重度研修),0)*(1+_11・A早朝)),0)</f>
        <v>158</v>
      </c>
      <c r="S19" s="48"/>
    </row>
    <row r="20" spans="1:19" ht="16.5" customHeight="1" x14ac:dyDescent="0.15">
      <c r="A20" s="41">
        <v>11</v>
      </c>
      <c r="B20" s="41">
        <v>8736</v>
      </c>
      <c r="C20" s="74" t="s">
        <v>13028</v>
      </c>
      <c r="D20" s="799"/>
      <c r="E20" s="796"/>
      <c r="F20" s="35"/>
      <c r="I20" s="44" t="s">
        <v>397</v>
      </c>
      <c r="J20" s="218" t="s">
        <v>398</v>
      </c>
      <c r="K20" s="189">
        <v>1</v>
      </c>
      <c r="L20" s="35"/>
      <c r="O20" s="43"/>
      <c r="P20" s="220"/>
      <c r="Q20" s="38"/>
      <c r="R20" s="208">
        <f>ROUND((ROUND((ROUND((_11_A家事増１．０*_11・重度研修),0)*_11・２人),0)*(1+_11・A早朝)),0)</f>
        <v>158</v>
      </c>
      <c r="S20" s="48"/>
    </row>
    <row r="21" spans="1:19" ht="16.5" customHeight="1" x14ac:dyDescent="0.15">
      <c r="A21" s="41">
        <v>11</v>
      </c>
      <c r="B21" s="41" t="s">
        <v>13029</v>
      </c>
      <c r="C21" s="74" t="s">
        <v>13030</v>
      </c>
      <c r="D21" s="799"/>
      <c r="E21" s="796"/>
      <c r="F21" s="35"/>
      <c r="I21" s="163"/>
      <c r="J21" s="45"/>
      <c r="K21" s="46"/>
      <c r="L21" s="35"/>
      <c r="O21" s="734" t="s">
        <v>404</v>
      </c>
      <c r="P21" s="219" t="s">
        <v>398</v>
      </c>
      <c r="Q21" s="50">
        <f>_11・初任</f>
        <v>0.7</v>
      </c>
      <c r="R21" s="208">
        <f>ROUND((ROUND((ROUND((_11_A家事増１．０*_11・重度研修),0)*(1+_11・A早朝)),0)*_11・初任),0)</f>
        <v>111</v>
      </c>
      <c r="S21" s="48"/>
    </row>
    <row r="22" spans="1:19" ht="16.5" customHeight="1" x14ac:dyDescent="0.15">
      <c r="A22" s="41">
        <v>11</v>
      </c>
      <c r="B22" s="41" t="s">
        <v>13031</v>
      </c>
      <c r="C22" s="74" t="s">
        <v>13032</v>
      </c>
      <c r="D22" s="274">
        <f>_11_A家事増１．０</f>
        <v>140</v>
      </c>
      <c r="E22" s="12" t="s">
        <v>392</v>
      </c>
      <c r="F22" s="35"/>
      <c r="I22" s="44" t="s">
        <v>397</v>
      </c>
      <c r="J22" s="218" t="s">
        <v>398</v>
      </c>
      <c r="K22" s="189">
        <v>1</v>
      </c>
      <c r="L22" s="35"/>
      <c r="O22" s="706"/>
      <c r="P22" s="220"/>
      <c r="Q22" s="38"/>
      <c r="R22" s="208">
        <f>ROUND((ROUND((ROUND((ROUND((_11_A家事増１．０*_11・重度研修),0)*_11・２人),0)*(1+_11・A早朝)),0)*_11・初任),0)</f>
        <v>111</v>
      </c>
      <c r="S22" s="48"/>
    </row>
    <row r="23" spans="1:19" ht="16.5" customHeight="1" x14ac:dyDescent="0.15">
      <c r="A23" s="41">
        <v>11</v>
      </c>
      <c r="B23" s="41">
        <v>8737</v>
      </c>
      <c r="C23" s="74" t="s">
        <v>13033</v>
      </c>
      <c r="D23" s="707" t="s">
        <v>11054</v>
      </c>
      <c r="E23" s="798"/>
      <c r="F23" s="35"/>
      <c r="I23" s="163"/>
      <c r="J23" s="45"/>
      <c r="K23" s="46"/>
      <c r="L23" s="35"/>
      <c r="O23" s="53"/>
      <c r="P23" s="245"/>
      <c r="Q23" s="50"/>
      <c r="R23" s="208">
        <f>ROUND((ROUND((_11_A家事増１．２５*_11・重度研修),0)*(1+_11・A早朝)),0)</f>
        <v>198</v>
      </c>
      <c r="S23" s="48"/>
    </row>
    <row r="24" spans="1:19" ht="16.5" customHeight="1" x14ac:dyDescent="0.15">
      <c r="A24" s="41">
        <v>11</v>
      </c>
      <c r="B24" s="41">
        <v>8738</v>
      </c>
      <c r="C24" s="74" t="s">
        <v>13034</v>
      </c>
      <c r="D24" s="799"/>
      <c r="E24" s="796"/>
      <c r="F24" s="35"/>
      <c r="I24" s="44" t="s">
        <v>397</v>
      </c>
      <c r="J24" s="218" t="s">
        <v>398</v>
      </c>
      <c r="K24" s="189">
        <v>1</v>
      </c>
      <c r="L24" s="35"/>
      <c r="O24" s="43"/>
      <c r="P24" s="220"/>
      <c r="Q24" s="38"/>
      <c r="R24" s="208">
        <f>ROUND((ROUND((ROUND((_11_A家事増１．２５*_11・重度研修),0)*_11・２人),0)*(1+_11・A早朝)),0)</f>
        <v>198</v>
      </c>
      <c r="S24" s="48"/>
    </row>
    <row r="25" spans="1:19" ht="16.5" customHeight="1" x14ac:dyDescent="0.15">
      <c r="A25" s="41">
        <v>11</v>
      </c>
      <c r="B25" s="41" t="s">
        <v>13035</v>
      </c>
      <c r="C25" s="74" t="s">
        <v>13036</v>
      </c>
      <c r="D25" s="799"/>
      <c r="E25" s="796"/>
      <c r="F25" s="35"/>
      <c r="I25" s="163"/>
      <c r="J25" s="45"/>
      <c r="K25" s="46"/>
      <c r="L25" s="35"/>
      <c r="O25" s="734" t="s">
        <v>404</v>
      </c>
      <c r="P25" s="219" t="s">
        <v>398</v>
      </c>
      <c r="Q25" s="50">
        <f>_11・初任</f>
        <v>0.7</v>
      </c>
      <c r="R25" s="208">
        <f>ROUND((ROUND((ROUND((_11_A家事増１．２５*_11・重度研修),0)*(1+_11・A早朝)),0)*_11・初任),0)</f>
        <v>139</v>
      </c>
      <c r="S25" s="48"/>
    </row>
    <row r="26" spans="1:19" ht="16.5" customHeight="1" x14ac:dyDescent="0.15">
      <c r="A26" s="41">
        <v>11</v>
      </c>
      <c r="B26" s="41" t="s">
        <v>13037</v>
      </c>
      <c r="C26" s="74" t="s">
        <v>13038</v>
      </c>
      <c r="D26" s="274">
        <f>_11_A家事増１．２５</f>
        <v>175</v>
      </c>
      <c r="E26" s="12" t="s">
        <v>392</v>
      </c>
      <c r="F26" s="35"/>
      <c r="I26" s="44" t="s">
        <v>397</v>
      </c>
      <c r="J26" s="218" t="s">
        <v>398</v>
      </c>
      <c r="K26" s="189">
        <v>1</v>
      </c>
      <c r="L26" s="35"/>
      <c r="O26" s="706"/>
      <c r="P26" s="220"/>
      <c r="Q26" s="38"/>
      <c r="R26" s="208">
        <f>ROUND((ROUND((ROUND((ROUND((_11_A家事増１．２５*_11・重度研修),0)*_11・２人),0)*(1+_11・A早朝)),0)*_11・初任),0)</f>
        <v>139</v>
      </c>
      <c r="S26" s="48"/>
    </row>
    <row r="27" spans="1:19" ht="16.5" customHeight="1" x14ac:dyDescent="0.15">
      <c r="A27" s="41">
        <v>11</v>
      </c>
      <c r="B27" s="41">
        <v>8739</v>
      </c>
      <c r="C27" s="74" t="s">
        <v>13039</v>
      </c>
      <c r="D27" s="707" t="s">
        <v>11067</v>
      </c>
      <c r="E27" s="798"/>
      <c r="F27" s="35"/>
      <c r="I27" s="163"/>
      <c r="J27" s="45"/>
      <c r="K27" s="46"/>
      <c r="L27" s="35"/>
      <c r="O27" s="53"/>
      <c r="P27" s="245"/>
      <c r="Q27" s="49"/>
      <c r="R27" s="208">
        <f>ROUND((ROUND((_11_A家事増１．５*_11・重度研修),0)*(1+_11・A早朝)),0)</f>
        <v>236</v>
      </c>
      <c r="S27" s="48"/>
    </row>
    <row r="28" spans="1:19" ht="16.5" customHeight="1" x14ac:dyDescent="0.15">
      <c r="A28" s="41">
        <v>11</v>
      </c>
      <c r="B28" s="41">
        <v>8740</v>
      </c>
      <c r="C28" s="74" t="s">
        <v>13040</v>
      </c>
      <c r="D28" s="799"/>
      <c r="E28" s="796"/>
      <c r="F28" s="35"/>
      <c r="I28" s="44" t="s">
        <v>397</v>
      </c>
      <c r="J28" s="218" t="s">
        <v>398</v>
      </c>
      <c r="K28" s="189">
        <v>1</v>
      </c>
      <c r="L28" s="35"/>
      <c r="O28" s="43"/>
      <c r="P28" s="220"/>
      <c r="Q28" s="37"/>
      <c r="R28" s="208">
        <f>ROUND((ROUND((ROUND((_11_A家事増１．５*_11・重度研修),0)*_11・２人),0)*(1+_11・A早朝)),0)</f>
        <v>236</v>
      </c>
      <c r="S28" s="48"/>
    </row>
    <row r="29" spans="1:19" ht="16.5" customHeight="1" x14ac:dyDescent="0.15">
      <c r="A29" s="41">
        <v>11</v>
      </c>
      <c r="B29" s="41" t="s">
        <v>13041</v>
      </c>
      <c r="C29" s="74" t="s">
        <v>13042</v>
      </c>
      <c r="D29" s="799"/>
      <c r="E29" s="796"/>
      <c r="F29" s="35"/>
      <c r="I29" s="163"/>
      <c r="J29" s="45"/>
      <c r="K29" s="46"/>
      <c r="L29" s="35"/>
      <c r="O29" s="734" t="s">
        <v>404</v>
      </c>
      <c r="P29" s="219" t="s">
        <v>398</v>
      </c>
      <c r="Q29" s="50">
        <f>_11・初任</f>
        <v>0.7</v>
      </c>
      <c r="R29" s="208">
        <f>ROUND((ROUND((ROUND((_11_A家事増１．５*_11・重度研修),0)*(1+_11・A早朝)),0)*_11・初任),0)</f>
        <v>165</v>
      </c>
      <c r="S29" s="48"/>
    </row>
    <row r="30" spans="1:19" ht="16.5" customHeight="1" x14ac:dyDescent="0.15">
      <c r="A30" s="41">
        <v>11</v>
      </c>
      <c r="B30" s="41" t="s">
        <v>13043</v>
      </c>
      <c r="C30" s="74" t="s">
        <v>13044</v>
      </c>
      <c r="D30" s="274">
        <f>_11_A家事増１．５</f>
        <v>210</v>
      </c>
      <c r="E30" s="279" t="s">
        <v>392</v>
      </c>
      <c r="F30" s="35"/>
      <c r="I30" s="44" t="s">
        <v>397</v>
      </c>
      <c r="J30" s="218" t="s">
        <v>398</v>
      </c>
      <c r="K30" s="189">
        <v>1</v>
      </c>
      <c r="L30" s="35"/>
      <c r="O30" s="706"/>
      <c r="P30" s="220"/>
      <c r="Q30" s="38"/>
      <c r="R30" s="208">
        <f>ROUND((ROUND((ROUND((ROUND((_11_A家事増１．５*_11・重度研修),0)*_11・２人),0)*(1+_11・A早朝)),0)*_11・初任),0)</f>
        <v>165</v>
      </c>
      <c r="S30" s="48"/>
    </row>
    <row r="31" spans="1:19" ht="16.5" customHeight="1" x14ac:dyDescent="0.15">
      <c r="A31" s="41">
        <v>11</v>
      </c>
      <c r="B31" s="41">
        <v>8741</v>
      </c>
      <c r="C31" s="74" t="s">
        <v>13045</v>
      </c>
      <c r="D31" s="707" t="s">
        <v>11080</v>
      </c>
      <c r="E31" s="798"/>
      <c r="F31" s="35"/>
      <c r="H31" s="234"/>
      <c r="I31" s="45"/>
      <c r="J31" s="45"/>
      <c r="K31" s="46"/>
      <c r="L31" s="35"/>
      <c r="O31" s="53"/>
      <c r="P31" s="245"/>
      <c r="Q31" s="50"/>
      <c r="R31" s="208">
        <f>ROUND((ROUND((_11_A家事増１．７５*_11・重度研修),0)*(1+_11・A早朝)),0)</f>
        <v>276</v>
      </c>
      <c r="S31" s="48"/>
    </row>
    <row r="32" spans="1:19" ht="16.5" customHeight="1" x14ac:dyDescent="0.15">
      <c r="A32" s="41">
        <v>11</v>
      </c>
      <c r="B32" s="41">
        <v>8742</v>
      </c>
      <c r="C32" s="74" t="s">
        <v>13046</v>
      </c>
      <c r="D32" s="799"/>
      <c r="E32" s="796"/>
      <c r="F32" s="35"/>
      <c r="H32" s="234"/>
      <c r="I32" s="217" t="s">
        <v>397</v>
      </c>
      <c r="J32" s="218" t="s">
        <v>398</v>
      </c>
      <c r="K32" s="189">
        <v>1</v>
      </c>
      <c r="L32" s="35"/>
      <c r="O32" s="43"/>
      <c r="P32" s="220"/>
      <c r="Q32" s="38"/>
      <c r="R32" s="208">
        <f>ROUND((ROUND((ROUND((_11_A家事増１．７５*_11・重度研修),0)*_11・２人),0)*(1+_11・A早朝)),0)</f>
        <v>276</v>
      </c>
      <c r="S32" s="48"/>
    </row>
    <row r="33" spans="1:19" ht="16.5" customHeight="1" x14ac:dyDescent="0.15">
      <c r="A33" s="41">
        <v>11</v>
      </c>
      <c r="B33" s="41" t="s">
        <v>13047</v>
      </c>
      <c r="C33" s="74" t="s">
        <v>13048</v>
      </c>
      <c r="D33" s="799"/>
      <c r="E33" s="796"/>
      <c r="F33" s="35"/>
      <c r="H33" s="234"/>
      <c r="I33" s="45"/>
      <c r="J33" s="45"/>
      <c r="K33" s="46"/>
      <c r="L33" s="35"/>
      <c r="O33" s="734" t="s">
        <v>404</v>
      </c>
      <c r="P33" s="219" t="s">
        <v>398</v>
      </c>
      <c r="Q33" s="50">
        <f>_11・初任</f>
        <v>0.7</v>
      </c>
      <c r="R33" s="208">
        <f>ROUND((ROUND((ROUND((_11_A家事増１．７５*_11・重度研修),0)*(1+_11・A早朝)),0)*_11・初任),0)</f>
        <v>193</v>
      </c>
      <c r="S33" s="48"/>
    </row>
    <row r="34" spans="1:19" ht="16.5" customHeight="1" x14ac:dyDescent="0.15">
      <c r="A34" s="41">
        <v>11</v>
      </c>
      <c r="B34" s="41" t="s">
        <v>13049</v>
      </c>
      <c r="C34" s="74" t="s">
        <v>13050</v>
      </c>
      <c r="D34" s="274">
        <f>_11_A家事増１．７５</f>
        <v>245</v>
      </c>
      <c r="E34" s="279" t="s">
        <v>392</v>
      </c>
      <c r="F34" s="35"/>
      <c r="H34" s="234"/>
      <c r="I34" s="217" t="s">
        <v>397</v>
      </c>
      <c r="J34" s="218" t="s">
        <v>398</v>
      </c>
      <c r="K34" s="189">
        <v>1</v>
      </c>
      <c r="L34" s="35"/>
      <c r="O34" s="706"/>
      <c r="P34" s="220"/>
      <c r="Q34" s="38"/>
      <c r="R34" s="208">
        <f>ROUND((ROUND((ROUND((ROUND((_11_A家事増１．７５*_11・重度研修),0)*_11・２人),0)*(1+_11・A早朝)),0)*_11・初任),0)</f>
        <v>193</v>
      </c>
      <c r="S34" s="48"/>
    </row>
    <row r="35" spans="1:19" ht="16.5" customHeight="1" x14ac:dyDescent="0.15">
      <c r="A35" s="41">
        <v>11</v>
      </c>
      <c r="B35" s="41">
        <v>8743</v>
      </c>
      <c r="C35" s="74" t="s">
        <v>13051</v>
      </c>
      <c r="D35" s="707" t="s">
        <v>11093</v>
      </c>
      <c r="E35" s="798"/>
      <c r="F35" s="35"/>
      <c r="H35" s="234"/>
      <c r="I35" s="45"/>
      <c r="J35" s="45"/>
      <c r="K35" s="46"/>
      <c r="L35" s="35"/>
      <c r="O35" s="53"/>
      <c r="P35" s="245"/>
      <c r="Q35" s="50"/>
      <c r="R35" s="208">
        <f>ROUND((ROUND((_11_A家事増２．０*_11・重度研修),0)*(1+_11・A早朝)),0)</f>
        <v>315</v>
      </c>
      <c r="S35" s="48"/>
    </row>
    <row r="36" spans="1:19" ht="16.5" customHeight="1" x14ac:dyDescent="0.15">
      <c r="A36" s="41">
        <v>11</v>
      </c>
      <c r="B36" s="41">
        <v>8744</v>
      </c>
      <c r="C36" s="74" t="s">
        <v>13052</v>
      </c>
      <c r="D36" s="799"/>
      <c r="E36" s="796"/>
      <c r="F36" s="35"/>
      <c r="H36" s="234"/>
      <c r="I36" s="217" t="s">
        <v>397</v>
      </c>
      <c r="J36" s="218" t="s">
        <v>398</v>
      </c>
      <c r="K36" s="46">
        <v>1</v>
      </c>
      <c r="L36" s="35"/>
      <c r="O36" s="43"/>
      <c r="P36" s="220"/>
      <c r="Q36" s="38"/>
      <c r="R36" s="208">
        <f>ROUND((ROUND((ROUND((_11_A家事増２．０*_11・重度研修),0)*_11・２人),0)*(1+_11・A早朝)),0)</f>
        <v>315</v>
      </c>
      <c r="S36" s="48"/>
    </row>
    <row r="37" spans="1:19" ht="16.5" customHeight="1" x14ac:dyDescent="0.15">
      <c r="A37" s="41">
        <v>11</v>
      </c>
      <c r="B37" s="41" t="s">
        <v>13053</v>
      </c>
      <c r="C37" s="74" t="s">
        <v>13054</v>
      </c>
      <c r="D37" s="799"/>
      <c r="E37" s="796"/>
      <c r="F37" s="35"/>
      <c r="H37" s="234"/>
      <c r="I37" s="45"/>
      <c r="J37" s="45"/>
      <c r="K37" s="46"/>
      <c r="L37" s="35"/>
      <c r="O37" s="734" t="s">
        <v>404</v>
      </c>
      <c r="P37" s="219" t="s">
        <v>398</v>
      </c>
      <c r="Q37" s="50">
        <f>_11・初任</f>
        <v>0.7</v>
      </c>
      <c r="R37" s="208">
        <f>ROUND((ROUND((ROUND((_11_A家事増２．０*_11・重度研修),0)*(1+_11・A早朝)),0)*_11・初任),0)</f>
        <v>221</v>
      </c>
      <c r="S37" s="48"/>
    </row>
    <row r="38" spans="1:19" ht="16.5" customHeight="1" x14ac:dyDescent="0.15">
      <c r="A38" s="41">
        <v>11</v>
      </c>
      <c r="B38" s="41" t="s">
        <v>13055</v>
      </c>
      <c r="C38" s="74" t="s">
        <v>13056</v>
      </c>
      <c r="D38" s="274">
        <f>_11_A家事増２．０</f>
        <v>280</v>
      </c>
      <c r="E38" s="279" t="s">
        <v>392</v>
      </c>
      <c r="F38" s="35"/>
      <c r="H38" s="234"/>
      <c r="I38" s="217" t="s">
        <v>397</v>
      </c>
      <c r="J38" s="218" t="s">
        <v>398</v>
      </c>
      <c r="K38" s="46">
        <v>1</v>
      </c>
      <c r="L38" s="35"/>
      <c r="N38" s="234"/>
      <c r="O38" s="706"/>
      <c r="P38" s="220"/>
      <c r="Q38" s="38"/>
      <c r="R38" s="208">
        <f>ROUND((ROUND((ROUND((ROUND((_11_A家事増２．０*_11・重度研修),0)*_11・２人),0)*(1+_11・A早朝)),0)*_11・初任),0)</f>
        <v>221</v>
      </c>
      <c r="S38" s="48"/>
    </row>
    <row r="39" spans="1:19" ht="16.5" customHeight="1" x14ac:dyDescent="0.15">
      <c r="A39" s="41">
        <v>11</v>
      </c>
      <c r="B39" s="41">
        <v>8745</v>
      </c>
      <c r="C39" s="74" t="s">
        <v>13057</v>
      </c>
      <c r="D39" s="707" t="s">
        <v>11106</v>
      </c>
      <c r="E39" s="798"/>
      <c r="F39" s="35"/>
      <c r="H39" s="234"/>
      <c r="I39" s="45"/>
      <c r="J39" s="45"/>
      <c r="K39" s="46"/>
      <c r="L39" s="35"/>
      <c r="O39" s="53"/>
      <c r="P39" s="245"/>
      <c r="Q39" s="50"/>
      <c r="R39" s="208">
        <f>ROUND((ROUND((_11_A家事増２．２５*_11・重度研修),0)*(1+_11・A早朝)),0)</f>
        <v>355</v>
      </c>
      <c r="S39" s="48"/>
    </row>
    <row r="40" spans="1:19" ht="16.5" customHeight="1" x14ac:dyDescent="0.15">
      <c r="A40" s="41">
        <v>11</v>
      </c>
      <c r="B40" s="41">
        <v>8746</v>
      </c>
      <c r="C40" s="74" t="s">
        <v>13058</v>
      </c>
      <c r="D40" s="799"/>
      <c r="E40" s="796"/>
      <c r="F40" s="35"/>
      <c r="I40" s="44" t="s">
        <v>397</v>
      </c>
      <c r="J40" s="218" t="s">
        <v>398</v>
      </c>
      <c r="K40" s="189">
        <v>1</v>
      </c>
      <c r="L40" s="35"/>
      <c r="O40" s="43"/>
      <c r="P40" s="220"/>
      <c r="Q40" s="38"/>
      <c r="R40" s="208">
        <f>ROUND((ROUND((ROUND((_11_A家事増２．２５*_11・重度研修),0)*_11・２人),0)*(1+_11・A早朝)),0)</f>
        <v>355</v>
      </c>
      <c r="S40" s="48"/>
    </row>
    <row r="41" spans="1:19" ht="16.5" customHeight="1" x14ac:dyDescent="0.15">
      <c r="A41" s="41">
        <v>11</v>
      </c>
      <c r="B41" s="41" t="s">
        <v>13059</v>
      </c>
      <c r="C41" s="74" t="s">
        <v>13060</v>
      </c>
      <c r="D41" s="799"/>
      <c r="E41" s="796"/>
      <c r="F41" s="35"/>
      <c r="I41" s="163"/>
      <c r="J41" s="45"/>
      <c r="K41" s="46"/>
      <c r="L41" s="35"/>
      <c r="O41" s="734" t="s">
        <v>404</v>
      </c>
      <c r="P41" s="219" t="s">
        <v>398</v>
      </c>
      <c r="Q41" s="50">
        <f>_11・初任</f>
        <v>0.7</v>
      </c>
      <c r="R41" s="208">
        <f>ROUND((ROUND((ROUND((_11_A家事増２．２５*_11・重度研修),0)*(1+_11・A早朝)),0)*_11・初任),0)</f>
        <v>249</v>
      </c>
      <c r="S41" s="48"/>
    </row>
    <row r="42" spans="1:19" ht="16.5" customHeight="1" x14ac:dyDescent="0.15">
      <c r="A42" s="41">
        <v>11</v>
      </c>
      <c r="B42" s="41" t="s">
        <v>13061</v>
      </c>
      <c r="C42" s="74" t="s">
        <v>13062</v>
      </c>
      <c r="D42" s="274">
        <f>_11_A家事増２．２５</f>
        <v>315</v>
      </c>
      <c r="E42" s="279" t="s">
        <v>392</v>
      </c>
      <c r="F42" s="35"/>
      <c r="I42" s="44" t="s">
        <v>397</v>
      </c>
      <c r="J42" s="218" t="s">
        <v>398</v>
      </c>
      <c r="K42" s="189">
        <v>1</v>
      </c>
      <c r="L42" s="35"/>
      <c r="O42" s="706"/>
      <c r="P42" s="220"/>
      <c r="Q42" s="38"/>
      <c r="R42" s="208">
        <f>ROUND((ROUND((ROUND((ROUND((_11_A家事増２．２５*_11・重度研修),0)*_11・２人),0)*(1+_11・A早朝)),0)*_11・初任),0)</f>
        <v>249</v>
      </c>
      <c r="S42" s="48"/>
    </row>
    <row r="43" spans="1:19" ht="16.5" customHeight="1" x14ac:dyDescent="0.15">
      <c r="A43" s="41">
        <v>11</v>
      </c>
      <c r="B43" s="41">
        <v>8747</v>
      </c>
      <c r="C43" s="74" t="s">
        <v>13063</v>
      </c>
      <c r="D43" s="707" t="s">
        <v>11119</v>
      </c>
      <c r="E43" s="798"/>
      <c r="F43" s="35"/>
      <c r="I43" s="163"/>
      <c r="J43" s="45"/>
      <c r="K43" s="46"/>
      <c r="L43" s="35"/>
      <c r="O43" s="53"/>
      <c r="P43" s="245"/>
      <c r="Q43" s="49"/>
      <c r="R43" s="208">
        <f>ROUND((ROUND((_11_A家事増２．５*_11・重度研修),0)*(1+_11・A早朝)),0)</f>
        <v>394</v>
      </c>
      <c r="S43" s="48"/>
    </row>
    <row r="44" spans="1:19" ht="16.5" customHeight="1" x14ac:dyDescent="0.15">
      <c r="A44" s="41">
        <v>11</v>
      </c>
      <c r="B44" s="41">
        <v>8748</v>
      </c>
      <c r="C44" s="74" t="s">
        <v>13064</v>
      </c>
      <c r="D44" s="799"/>
      <c r="E44" s="796"/>
      <c r="F44" s="35"/>
      <c r="I44" s="44" t="s">
        <v>397</v>
      </c>
      <c r="J44" s="218" t="s">
        <v>398</v>
      </c>
      <c r="K44" s="189">
        <v>1</v>
      </c>
      <c r="L44" s="35"/>
      <c r="O44" s="43"/>
      <c r="P44" s="220"/>
      <c r="Q44" s="37"/>
      <c r="R44" s="208">
        <f>ROUND((ROUND((ROUND((_11_A家事増２．５*_11・重度研修),0)*_11・２人),0)*(1+_11・A早朝)),0)</f>
        <v>394</v>
      </c>
      <c r="S44" s="48"/>
    </row>
    <row r="45" spans="1:19" ht="16.5" customHeight="1" x14ac:dyDescent="0.15">
      <c r="A45" s="41">
        <v>11</v>
      </c>
      <c r="B45" s="41" t="s">
        <v>13065</v>
      </c>
      <c r="C45" s="74" t="s">
        <v>13066</v>
      </c>
      <c r="D45" s="799"/>
      <c r="E45" s="796"/>
      <c r="F45" s="35"/>
      <c r="I45" s="163"/>
      <c r="J45" s="45"/>
      <c r="K45" s="46"/>
      <c r="L45" s="35"/>
      <c r="O45" s="734" t="s">
        <v>404</v>
      </c>
      <c r="P45" s="219" t="s">
        <v>398</v>
      </c>
      <c r="Q45" s="50">
        <f>_11・初任</f>
        <v>0.7</v>
      </c>
      <c r="R45" s="208">
        <f>ROUND((ROUND((ROUND((_11_A家事増２．５*_11・重度研修),0)*(1+_11・A早朝)),0)*_11・初任),0)</f>
        <v>276</v>
      </c>
      <c r="S45" s="48"/>
    </row>
    <row r="46" spans="1:19" ht="16.5" customHeight="1" x14ac:dyDescent="0.15">
      <c r="A46" s="41">
        <v>11</v>
      </c>
      <c r="B46" s="41" t="s">
        <v>13067</v>
      </c>
      <c r="C46" s="74" t="s">
        <v>13068</v>
      </c>
      <c r="D46" s="276">
        <f>_11_A家事増２．５</f>
        <v>350</v>
      </c>
      <c r="E46" s="280" t="s">
        <v>392</v>
      </c>
      <c r="F46" s="43"/>
      <c r="G46" s="37"/>
      <c r="H46" s="38"/>
      <c r="I46" s="44" t="s">
        <v>397</v>
      </c>
      <c r="J46" s="218" t="s">
        <v>398</v>
      </c>
      <c r="K46" s="189">
        <v>1</v>
      </c>
      <c r="L46" s="43"/>
      <c r="M46" s="37"/>
      <c r="N46" s="38"/>
      <c r="O46" s="706"/>
      <c r="P46" s="220"/>
      <c r="Q46" s="38"/>
      <c r="R46" s="208">
        <f>ROUND((ROUND((ROUND((ROUND((_11_A家事増２．５*_11・重度研修),0)*_11・２人),0)*(1+_11・A早朝)),0)*_11・初任),0)</f>
        <v>276</v>
      </c>
      <c r="S46" s="63"/>
    </row>
    <row r="47" spans="1:19" ht="16.5" customHeight="1" x14ac:dyDescent="0.15">
      <c r="A47" s="80"/>
      <c r="B47" s="80"/>
      <c r="C47" s="81"/>
      <c r="R47" s="209"/>
      <c r="S47" s="85"/>
    </row>
    <row r="48" spans="1:19" ht="16.5" customHeight="1" x14ac:dyDescent="0.15">
      <c r="A48" s="80"/>
      <c r="B48" s="80"/>
      <c r="C48" s="81"/>
      <c r="R48" s="209"/>
      <c r="S48" s="85"/>
    </row>
    <row r="49" spans="1:19" ht="16.5" customHeight="1" x14ac:dyDescent="0.15">
      <c r="A49" s="80"/>
      <c r="B49" s="86" t="s">
        <v>13069</v>
      </c>
      <c r="C49" s="81"/>
      <c r="D49" s="71"/>
      <c r="R49" s="209"/>
      <c r="S49" s="85"/>
    </row>
    <row r="50" spans="1:19" ht="16.5" customHeight="1" x14ac:dyDescent="0.15">
      <c r="A50" s="87" t="s">
        <v>384</v>
      </c>
      <c r="B50" s="20"/>
      <c r="C50" s="88" t="s">
        <v>385</v>
      </c>
      <c r="D50" s="23" t="s">
        <v>386</v>
      </c>
      <c r="E50" s="23"/>
      <c r="F50" s="23"/>
      <c r="G50" s="23"/>
      <c r="H50" s="24"/>
      <c r="I50" s="23"/>
      <c r="J50" s="23"/>
      <c r="K50" s="24"/>
      <c r="L50" s="23"/>
      <c r="M50" s="23"/>
      <c r="N50" s="24"/>
      <c r="O50" s="23"/>
      <c r="P50" s="166"/>
      <c r="Q50" s="24"/>
      <c r="R50" s="21" t="s">
        <v>387</v>
      </c>
      <c r="S50" s="21" t="s">
        <v>388</v>
      </c>
    </row>
    <row r="51" spans="1:19" ht="16.5" customHeight="1" x14ac:dyDescent="0.15">
      <c r="A51" s="26" t="s">
        <v>389</v>
      </c>
      <c r="B51" s="26" t="s">
        <v>390</v>
      </c>
      <c r="C51" s="89"/>
      <c r="D51" s="29"/>
      <c r="E51" s="29"/>
      <c r="F51" s="29"/>
      <c r="G51" s="29"/>
      <c r="H51" s="30"/>
      <c r="I51" s="29"/>
      <c r="J51" s="29"/>
      <c r="K51" s="30"/>
      <c r="L51" s="29"/>
      <c r="M51" s="29"/>
      <c r="N51" s="30"/>
      <c r="O51" s="29"/>
      <c r="P51" s="214"/>
      <c r="Q51" s="30"/>
      <c r="R51" s="32" t="s">
        <v>391</v>
      </c>
      <c r="S51" s="32" t="s">
        <v>392</v>
      </c>
    </row>
    <row r="52" spans="1:19" ht="16.5" customHeight="1" x14ac:dyDescent="0.15">
      <c r="A52" s="33">
        <v>11</v>
      </c>
      <c r="B52" s="33">
        <v>8749</v>
      </c>
      <c r="C52" s="34" t="s">
        <v>13070</v>
      </c>
      <c r="D52" s="709" t="s">
        <v>11133</v>
      </c>
      <c r="E52" s="797"/>
      <c r="F52" s="801" t="s">
        <v>11707</v>
      </c>
      <c r="G52" s="797"/>
      <c r="H52" s="796"/>
      <c r="I52" s="37"/>
      <c r="J52" s="37"/>
      <c r="K52" s="38"/>
      <c r="L52" s="35" t="s">
        <v>743</v>
      </c>
      <c r="N52" s="234"/>
      <c r="O52" s="35"/>
      <c r="R52" s="207">
        <f>ROUND((ROUND((_11_A家事増０．２５*_11・重度研修),0)*(1+_11・A夜間)),0)</f>
        <v>40</v>
      </c>
      <c r="S52" s="40" t="s">
        <v>395</v>
      </c>
    </row>
    <row r="53" spans="1:19" ht="16.5" customHeight="1" x14ac:dyDescent="0.15">
      <c r="A53" s="41">
        <v>11</v>
      </c>
      <c r="B53" s="41">
        <v>8750</v>
      </c>
      <c r="C53" s="74" t="s">
        <v>13071</v>
      </c>
      <c r="D53" s="799"/>
      <c r="E53" s="797"/>
      <c r="F53" s="799"/>
      <c r="G53" s="797"/>
      <c r="H53" s="796"/>
      <c r="I53" s="217" t="s">
        <v>397</v>
      </c>
      <c r="J53" s="218" t="s">
        <v>398</v>
      </c>
      <c r="K53" s="46">
        <v>1</v>
      </c>
      <c r="L53" s="258" t="s">
        <v>398</v>
      </c>
      <c r="M53" s="13">
        <v>0.25</v>
      </c>
      <c r="N53" s="718" t="s">
        <v>676</v>
      </c>
      <c r="O53" s="43"/>
      <c r="P53" s="220"/>
      <c r="Q53" s="38"/>
      <c r="R53" s="208">
        <f>ROUND((ROUND((ROUND((_11_A家事増０．２５*_11・重度研修),0)*_11・２人),0)*(1+_11・A夜間)),0)</f>
        <v>40</v>
      </c>
      <c r="S53" s="48"/>
    </row>
    <row r="54" spans="1:19" ht="16.5" customHeight="1" x14ac:dyDescent="0.15">
      <c r="A54" s="41">
        <v>11</v>
      </c>
      <c r="B54" s="41" t="s">
        <v>13072</v>
      </c>
      <c r="C54" s="74" t="s">
        <v>13073</v>
      </c>
      <c r="D54" s="799"/>
      <c r="E54" s="797"/>
      <c r="F54" s="799"/>
      <c r="G54" s="797"/>
      <c r="H54" s="796"/>
      <c r="I54" s="45"/>
      <c r="J54" s="45"/>
      <c r="K54" s="46"/>
      <c r="L54" s="35"/>
      <c r="N54" s="796"/>
      <c r="O54" s="734" t="s">
        <v>404</v>
      </c>
      <c r="P54" s="219" t="s">
        <v>398</v>
      </c>
      <c r="Q54" s="50">
        <f>_11・初任</f>
        <v>0.7</v>
      </c>
      <c r="R54" s="208">
        <f>ROUND((ROUND((ROUND((_11_A家事増０．２５*_11・重度研修),0)*(1+_11・A夜間)),0)*_11・初任),0)</f>
        <v>28</v>
      </c>
      <c r="S54" s="48"/>
    </row>
    <row r="55" spans="1:19" ht="16.5" customHeight="1" x14ac:dyDescent="0.15">
      <c r="A55" s="41">
        <v>11</v>
      </c>
      <c r="B55" s="41" t="s">
        <v>13074</v>
      </c>
      <c r="C55" s="74" t="s">
        <v>13075</v>
      </c>
      <c r="D55" s="274">
        <f>_11_A家事増０．２５</f>
        <v>35</v>
      </c>
      <c r="E55" s="279" t="s">
        <v>392</v>
      </c>
      <c r="F55" s="35"/>
      <c r="G55" s="12" t="s">
        <v>398</v>
      </c>
      <c r="H55" s="234">
        <v>0.9</v>
      </c>
      <c r="I55" s="217" t="s">
        <v>397</v>
      </c>
      <c r="J55" s="218" t="s">
        <v>398</v>
      </c>
      <c r="K55" s="46">
        <v>1</v>
      </c>
      <c r="L55" s="35"/>
      <c r="N55" s="234"/>
      <c r="O55" s="706"/>
      <c r="P55" s="220"/>
      <c r="Q55" s="38"/>
      <c r="R55" s="208">
        <f>ROUND((ROUND((ROUND((ROUND((_11_A家事増０．２５*_11・重度研修),0)*_11・２人),0)*(1+_11・A夜間)),0)*_11・初任),0)</f>
        <v>28</v>
      </c>
      <c r="S55" s="48"/>
    </row>
    <row r="56" spans="1:19" ht="16.5" customHeight="1" x14ac:dyDescent="0.15">
      <c r="A56" s="41">
        <v>11</v>
      </c>
      <c r="B56" s="41">
        <v>8751</v>
      </c>
      <c r="C56" s="74" t="s">
        <v>13076</v>
      </c>
      <c r="D56" s="707" t="s">
        <v>11146</v>
      </c>
      <c r="E56" s="798"/>
      <c r="F56" s="35"/>
      <c r="I56" s="163"/>
      <c r="J56" s="45"/>
      <c r="K56" s="46"/>
      <c r="L56" s="35"/>
      <c r="O56" s="53"/>
      <c r="P56" s="245"/>
      <c r="Q56" s="50"/>
      <c r="R56" s="208">
        <f>ROUND((ROUND((_11_A家事増０．５*_11・重度研修),0)*(1+_11・A夜間)),0)</f>
        <v>79</v>
      </c>
      <c r="S56" s="48"/>
    </row>
    <row r="57" spans="1:19" ht="16.5" customHeight="1" x14ac:dyDescent="0.15">
      <c r="A57" s="41">
        <v>11</v>
      </c>
      <c r="B57" s="41">
        <v>8752</v>
      </c>
      <c r="C57" s="74" t="s">
        <v>13077</v>
      </c>
      <c r="D57" s="799"/>
      <c r="E57" s="796"/>
      <c r="F57" s="35"/>
      <c r="I57" s="44" t="s">
        <v>397</v>
      </c>
      <c r="J57" s="218" t="s">
        <v>398</v>
      </c>
      <c r="K57" s="189">
        <v>1</v>
      </c>
      <c r="L57" s="35"/>
      <c r="O57" s="43"/>
      <c r="P57" s="220"/>
      <c r="Q57" s="38"/>
      <c r="R57" s="208">
        <f>ROUND((ROUND((ROUND((_11_A家事増０．５*_11・重度研修),0)*_11・２人),0)*(1+_11・A夜間)),0)</f>
        <v>79</v>
      </c>
      <c r="S57" s="48"/>
    </row>
    <row r="58" spans="1:19" ht="16.5" customHeight="1" x14ac:dyDescent="0.15">
      <c r="A58" s="41">
        <v>11</v>
      </c>
      <c r="B58" s="41" t="s">
        <v>13078</v>
      </c>
      <c r="C58" s="74" t="s">
        <v>13079</v>
      </c>
      <c r="D58" s="799"/>
      <c r="E58" s="796"/>
      <c r="F58" s="35"/>
      <c r="I58" s="163"/>
      <c r="J58" s="45"/>
      <c r="K58" s="46"/>
      <c r="L58" s="35"/>
      <c r="O58" s="734" t="s">
        <v>404</v>
      </c>
      <c r="P58" s="219" t="s">
        <v>398</v>
      </c>
      <c r="Q58" s="50">
        <f>_11・初任</f>
        <v>0.7</v>
      </c>
      <c r="R58" s="208">
        <f>ROUND((ROUND((ROUND((_11_A家事増０．５*_11・重度研修),0)*(1+_11・A夜間)),0)*_11・初任),0)</f>
        <v>55</v>
      </c>
      <c r="S58" s="48"/>
    </row>
    <row r="59" spans="1:19" ht="16.5" customHeight="1" x14ac:dyDescent="0.15">
      <c r="A59" s="41">
        <v>11</v>
      </c>
      <c r="B59" s="41" t="s">
        <v>13080</v>
      </c>
      <c r="C59" s="74" t="s">
        <v>13081</v>
      </c>
      <c r="D59" s="274">
        <f>_11_A家事増０．５</f>
        <v>70</v>
      </c>
      <c r="E59" s="279" t="s">
        <v>392</v>
      </c>
      <c r="F59" s="35"/>
      <c r="I59" s="44" t="s">
        <v>397</v>
      </c>
      <c r="J59" s="218" t="s">
        <v>398</v>
      </c>
      <c r="K59" s="189">
        <v>1</v>
      </c>
      <c r="L59" s="35"/>
      <c r="O59" s="706"/>
      <c r="P59" s="220"/>
      <c r="Q59" s="38"/>
      <c r="R59" s="208">
        <f>ROUND((ROUND((ROUND((ROUND((_11_A家事増０．５*_11・重度研修),0)*_11・２人),0)*(1+_11・A夜間)),0)*_11・初任),0)</f>
        <v>55</v>
      </c>
      <c r="S59" s="48"/>
    </row>
    <row r="60" spans="1:19" ht="16.5" customHeight="1" x14ac:dyDescent="0.15">
      <c r="A60" s="41">
        <v>11</v>
      </c>
      <c r="B60" s="41">
        <v>8753</v>
      </c>
      <c r="C60" s="74" t="s">
        <v>13082</v>
      </c>
      <c r="D60" s="707" t="s">
        <v>11159</v>
      </c>
      <c r="E60" s="798"/>
      <c r="F60" s="35"/>
      <c r="I60" s="163"/>
      <c r="J60" s="45"/>
      <c r="K60" s="46"/>
      <c r="L60" s="35"/>
      <c r="O60" s="53"/>
      <c r="P60" s="245"/>
      <c r="Q60" s="49"/>
      <c r="R60" s="208">
        <f>ROUND((ROUND((_11_A家事増０．７５*_11・重度研修),0)*(1+_11・A夜間)),0)</f>
        <v>119</v>
      </c>
      <c r="S60" s="48"/>
    </row>
    <row r="61" spans="1:19" ht="16.5" customHeight="1" x14ac:dyDescent="0.15">
      <c r="A61" s="41">
        <v>11</v>
      </c>
      <c r="B61" s="41">
        <v>8754</v>
      </c>
      <c r="C61" s="74" t="s">
        <v>13083</v>
      </c>
      <c r="D61" s="799"/>
      <c r="E61" s="796"/>
      <c r="F61" s="35"/>
      <c r="I61" s="44" t="s">
        <v>397</v>
      </c>
      <c r="J61" s="218" t="s">
        <v>398</v>
      </c>
      <c r="K61" s="189">
        <v>1</v>
      </c>
      <c r="L61" s="35"/>
      <c r="O61" s="43"/>
      <c r="P61" s="220"/>
      <c r="Q61" s="37"/>
      <c r="R61" s="208">
        <f>ROUND((ROUND((ROUND((_11_A家事増０．７５*_11・重度研修),0)*_11・２人),0)*(1+_11・A夜間)),0)</f>
        <v>119</v>
      </c>
      <c r="S61" s="48"/>
    </row>
    <row r="62" spans="1:19" ht="16.5" customHeight="1" x14ac:dyDescent="0.15">
      <c r="A62" s="41">
        <v>11</v>
      </c>
      <c r="B62" s="41" t="s">
        <v>13084</v>
      </c>
      <c r="C62" s="74" t="s">
        <v>13085</v>
      </c>
      <c r="D62" s="799"/>
      <c r="E62" s="796"/>
      <c r="F62" s="35"/>
      <c r="I62" s="163"/>
      <c r="J62" s="45"/>
      <c r="K62" s="46"/>
      <c r="L62" s="35"/>
      <c r="O62" s="734" t="s">
        <v>404</v>
      </c>
      <c r="P62" s="219" t="s">
        <v>398</v>
      </c>
      <c r="Q62" s="50">
        <f>_11・初任</f>
        <v>0.7</v>
      </c>
      <c r="R62" s="208">
        <f>ROUND((ROUND((ROUND((_11_A家事増０．７５*_11・重度研修),0)*(1+_11・A夜間)),0)*_11・初任),0)</f>
        <v>83</v>
      </c>
      <c r="S62" s="48"/>
    </row>
    <row r="63" spans="1:19" ht="16.5" customHeight="1" x14ac:dyDescent="0.15">
      <c r="A63" s="41">
        <v>11</v>
      </c>
      <c r="B63" s="41" t="s">
        <v>13086</v>
      </c>
      <c r="C63" s="74" t="s">
        <v>13087</v>
      </c>
      <c r="D63" s="274">
        <f>_11_A家事増０．７５</f>
        <v>105</v>
      </c>
      <c r="E63" s="279" t="s">
        <v>392</v>
      </c>
      <c r="F63" s="35"/>
      <c r="I63" s="44" t="s">
        <v>397</v>
      </c>
      <c r="J63" s="218" t="s">
        <v>398</v>
      </c>
      <c r="K63" s="189">
        <v>1</v>
      </c>
      <c r="L63" s="35"/>
      <c r="O63" s="706"/>
      <c r="P63" s="220"/>
      <c r="Q63" s="38"/>
      <c r="R63" s="208">
        <f>ROUND((ROUND((ROUND((ROUND((_11_A家事増０．７５*_11・重度研修),0)*_11・２人),0)*(1+_11・A夜間)),0)*_11・初任),0)</f>
        <v>83</v>
      </c>
      <c r="S63" s="48"/>
    </row>
    <row r="64" spans="1:19" ht="16.5" customHeight="1" x14ac:dyDescent="0.15">
      <c r="A64" s="41">
        <v>11</v>
      </c>
      <c r="B64" s="41">
        <v>8755</v>
      </c>
      <c r="C64" s="74" t="s">
        <v>13088</v>
      </c>
      <c r="D64" s="707" t="s">
        <v>11172</v>
      </c>
      <c r="E64" s="798"/>
      <c r="F64" s="35"/>
      <c r="I64" s="163"/>
      <c r="J64" s="45"/>
      <c r="K64" s="46"/>
      <c r="L64" s="35"/>
      <c r="O64" s="53"/>
      <c r="P64" s="245"/>
      <c r="Q64" s="50"/>
      <c r="R64" s="208">
        <f>ROUND((ROUND((_11_A家事増１．０*_11・重度研修),0)*(1+_11・A夜間)),0)</f>
        <v>158</v>
      </c>
      <c r="S64" s="48"/>
    </row>
    <row r="65" spans="1:19" ht="16.5" customHeight="1" x14ac:dyDescent="0.15">
      <c r="A65" s="41">
        <v>11</v>
      </c>
      <c r="B65" s="41">
        <v>8756</v>
      </c>
      <c r="C65" s="74" t="s">
        <v>13089</v>
      </c>
      <c r="D65" s="799"/>
      <c r="E65" s="796"/>
      <c r="F65" s="35"/>
      <c r="I65" s="44" t="s">
        <v>397</v>
      </c>
      <c r="J65" s="218" t="s">
        <v>398</v>
      </c>
      <c r="K65" s="189">
        <v>1</v>
      </c>
      <c r="L65" s="35"/>
      <c r="O65" s="43"/>
      <c r="P65" s="220"/>
      <c r="Q65" s="38"/>
      <c r="R65" s="208">
        <f>ROUND((ROUND((ROUND((_11_A家事増１．０*_11・重度研修),0)*_11・２人),0)*(1+_11・A夜間)),0)</f>
        <v>158</v>
      </c>
      <c r="S65" s="48"/>
    </row>
    <row r="66" spans="1:19" ht="16.5" customHeight="1" x14ac:dyDescent="0.15">
      <c r="A66" s="41">
        <v>11</v>
      </c>
      <c r="B66" s="41" t="s">
        <v>13090</v>
      </c>
      <c r="C66" s="74" t="s">
        <v>13091</v>
      </c>
      <c r="D66" s="799"/>
      <c r="E66" s="796"/>
      <c r="F66" s="35"/>
      <c r="H66" s="234"/>
      <c r="I66" s="45"/>
      <c r="J66" s="45"/>
      <c r="K66" s="46"/>
      <c r="L66" s="35"/>
      <c r="O66" s="734" t="s">
        <v>404</v>
      </c>
      <c r="P66" s="219" t="s">
        <v>398</v>
      </c>
      <c r="Q66" s="50">
        <f>_11・初任</f>
        <v>0.7</v>
      </c>
      <c r="R66" s="208">
        <f>ROUND((ROUND((ROUND((_11_A家事増１．０*_11・重度研修),0)*(1+_11・A夜間)),0)*_11・初任),0)</f>
        <v>111</v>
      </c>
      <c r="S66" s="48"/>
    </row>
    <row r="67" spans="1:19" ht="16.5" customHeight="1" x14ac:dyDescent="0.15">
      <c r="A67" s="41">
        <v>11</v>
      </c>
      <c r="B67" s="41" t="s">
        <v>13092</v>
      </c>
      <c r="C67" s="74" t="s">
        <v>13093</v>
      </c>
      <c r="D67" s="274">
        <f>_11_A家事増１．０</f>
        <v>140</v>
      </c>
      <c r="E67" s="279" t="s">
        <v>392</v>
      </c>
      <c r="F67" s="35"/>
      <c r="H67" s="234"/>
      <c r="I67" s="217" t="s">
        <v>397</v>
      </c>
      <c r="J67" s="218" t="s">
        <v>398</v>
      </c>
      <c r="K67" s="189">
        <v>1</v>
      </c>
      <c r="L67" s="35"/>
      <c r="O67" s="706"/>
      <c r="P67" s="220"/>
      <c r="Q67" s="38"/>
      <c r="R67" s="208">
        <f>ROUND((ROUND((ROUND((ROUND((_11_A家事増１．０*_11・重度研修),0)*_11・２人),0)*(1+_11・A夜間)),0)*_11・初任),0)</f>
        <v>111</v>
      </c>
      <c r="S67" s="48"/>
    </row>
    <row r="68" spans="1:19" ht="16.5" customHeight="1" x14ac:dyDescent="0.15">
      <c r="A68" s="41">
        <v>11</v>
      </c>
      <c r="B68" s="41">
        <v>8757</v>
      </c>
      <c r="C68" s="74" t="s">
        <v>13094</v>
      </c>
      <c r="D68" s="707" t="s">
        <v>11185</v>
      </c>
      <c r="E68" s="798"/>
      <c r="F68" s="35"/>
      <c r="H68" s="234"/>
      <c r="I68" s="45"/>
      <c r="J68" s="45"/>
      <c r="K68" s="46"/>
      <c r="L68" s="35"/>
      <c r="O68" s="53"/>
      <c r="P68" s="245"/>
      <c r="Q68" s="50"/>
      <c r="R68" s="208">
        <f>ROUND((ROUND((_11_A家事増１．２５*_11・重度研修),0)*(1+_11・A夜間)),0)</f>
        <v>198</v>
      </c>
      <c r="S68" s="48"/>
    </row>
    <row r="69" spans="1:19" ht="16.5" customHeight="1" x14ac:dyDescent="0.15">
      <c r="A69" s="41">
        <v>11</v>
      </c>
      <c r="B69" s="41">
        <v>8758</v>
      </c>
      <c r="C69" s="74" t="s">
        <v>13095</v>
      </c>
      <c r="D69" s="799"/>
      <c r="E69" s="796"/>
      <c r="F69" s="35"/>
      <c r="H69" s="234"/>
      <c r="I69" s="217" t="s">
        <v>397</v>
      </c>
      <c r="J69" s="218" t="s">
        <v>398</v>
      </c>
      <c r="K69" s="46">
        <v>1</v>
      </c>
      <c r="L69" s="35"/>
      <c r="O69" s="43"/>
      <c r="P69" s="220"/>
      <c r="Q69" s="38"/>
      <c r="R69" s="208">
        <f>ROUND((ROUND((ROUND((_11_A家事増１．２５*_11・重度研修),0)*_11・２人),0)*(1+_11・A夜間)),0)</f>
        <v>198</v>
      </c>
      <c r="S69" s="48"/>
    </row>
    <row r="70" spans="1:19" ht="16.5" customHeight="1" x14ac:dyDescent="0.15">
      <c r="A70" s="41">
        <v>11</v>
      </c>
      <c r="B70" s="41" t="s">
        <v>13096</v>
      </c>
      <c r="C70" s="74" t="s">
        <v>13097</v>
      </c>
      <c r="D70" s="799"/>
      <c r="E70" s="796"/>
      <c r="F70" s="35"/>
      <c r="H70" s="234"/>
      <c r="I70" s="45"/>
      <c r="J70" s="45"/>
      <c r="K70" s="46"/>
      <c r="L70" s="35"/>
      <c r="O70" s="734" t="s">
        <v>404</v>
      </c>
      <c r="P70" s="219" t="s">
        <v>398</v>
      </c>
      <c r="Q70" s="50">
        <f>_11・初任</f>
        <v>0.7</v>
      </c>
      <c r="R70" s="208">
        <f>ROUND((ROUND((ROUND((_11_A家事増１．２５*_11・重度研修),0)*(1+_11・A夜間)),0)*_11・初任),0)</f>
        <v>139</v>
      </c>
      <c r="S70" s="48"/>
    </row>
    <row r="71" spans="1:19" ht="16.5" customHeight="1" x14ac:dyDescent="0.15">
      <c r="A71" s="41">
        <v>11</v>
      </c>
      <c r="B71" s="41" t="s">
        <v>13098</v>
      </c>
      <c r="C71" s="74" t="s">
        <v>13099</v>
      </c>
      <c r="D71" s="274">
        <f>_11_A家事増１．２５</f>
        <v>175</v>
      </c>
      <c r="E71" s="279" t="s">
        <v>392</v>
      </c>
      <c r="F71" s="35"/>
      <c r="H71" s="234"/>
      <c r="I71" s="217" t="s">
        <v>397</v>
      </c>
      <c r="J71" s="218" t="s">
        <v>398</v>
      </c>
      <c r="K71" s="46">
        <v>1</v>
      </c>
      <c r="L71" s="35"/>
      <c r="N71" s="234"/>
      <c r="O71" s="706"/>
      <c r="P71" s="220"/>
      <c r="Q71" s="38"/>
      <c r="R71" s="208">
        <f>ROUND((ROUND((ROUND((ROUND((_11_A家事増１．２５*_11・重度研修),0)*_11・２人),0)*(1+_11・A夜間)),0)*_11・初任),0)</f>
        <v>139</v>
      </c>
      <c r="S71" s="48"/>
    </row>
    <row r="72" spans="1:19" ht="16.5" customHeight="1" x14ac:dyDescent="0.15">
      <c r="A72" s="41">
        <v>11</v>
      </c>
      <c r="B72" s="41">
        <v>8759</v>
      </c>
      <c r="C72" s="74" t="s">
        <v>13100</v>
      </c>
      <c r="D72" s="707" t="s">
        <v>11198</v>
      </c>
      <c r="E72" s="798"/>
      <c r="F72" s="35"/>
      <c r="H72" s="234"/>
      <c r="I72" s="45"/>
      <c r="J72" s="45"/>
      <c r="K72" s="46"/>
      <c r="L72" s="35"/>
      <c r="O72" s="53"/>
      <c r="P72" s="245"/>
      <c r="Q72" s="49"/>
      <c r="R72" s="208">
        <f>ROUND((ROUND((_11_A家事増１．５*_11・重度研修),0)*(1+_11・A夜間)),0)</f>
        <v>236</v>
      </c>
      <c r="S72" s="48"/>
    </row>
    <row r="73" spans="1:19" ht="16.5" customHeight="1" x14ac:dyDescent="0.15">
      <c r="A73" s="41">
        <v>11</v>
      </c>
      <c r="B73" s="41">
        <v>8760</v>
      </c>
      <c r="C73" s="74" t="s">
        <v>13101</v>
      </c>
      <c r="D73" s="799"/>
      <c r="E73" s="796"/>
      <c r="F73" s="35"/>
      <c r="H73" s="234"/>
      <c r="I73" s="217" t="s">
        <v>397</v>
      </c>
      <c r="J73" s="218" t="s">
        <v>398</v>
      </c>
      <c r="K73" s="189">
        <v>1</v>
      </c>
      <c r="L73" s="35"/>
      <c r="O73" s="43"/>
      <c r="P73" s="220"/>
      <c r="Q73" s="37"/>
      <c r="R73" s="208">
        <f>ROUND((ROUND((ROUND((_11_A家事増１．５*_11・重度研修),0)*_11・２人),0)*(1+_11・A夜間)),0)</f>
        <v>236</v>
      </c>
      <c r="S73" s="48"/>
    </row>
    <row r="74" spans="1:19" ht="16.5" customHeight="1" x14ac:dyDescent="0.15">
      <c r="A74" s="41">
        <v>11</v>
      </c>
      <c r="B74" s="41" t="s">
        <v>13102</v>
      </c>
      <c r="C74" s="74" t="s">
        <v>13103</v>
      </c>
      <c r="D74" s="799"/>
      <c r="E74" s="796"/>
      <c r="F74" s="35"/>
      <c r="I74" s="163"/>
      <c r="J74" s="45"/>
      <c r="K74" s="46"/>
      <c r="L74" s="35"/>
      <c r="O74" s="734" t="s">
        <v>404</v>
      </c>
      <c r="P74" s="219" t="s">
        <v>398</v>
      </c>
      <c r="Q74" s="50">
        <f>_11・初任</f>
        <v>0.7</v>
      </c>
      <c r="R74" s="208">
        <f>ROUND((ROUND((ROUND((_11_A家事増１．５*_11・重度研修),0)*(1+_11・A夜間)),0)*_11・初任),0)</f>
        <v>165</v>
      </c>
      <c r="S74" s="48"/>
    </row>
    <row r="75" spans="1:19" ht="16.5" customHeight="1" x14ac:dyDescent="0.15">
      <c r="A75" s="41">
        <v>11</v>
      </c>
      <c r="B75" s="41" t="s">
        <v>13104</v>
      </c>
      <c r="C75" s="74" t="s">
        <v>13105</v>
      </c>
      <c r="D75" s="274">
        <f>_11_A家事増１．５</f>
        <v>210</v>
      </c>
      <c r="E75" s="279" t="s">
        <v>392</v>
      </c>
      <c r="F75" s="35"/>
      <c r="I75" s="44" t="s">
        <v>397</v>
      </c>
      <c r="J75" s="218" t="s">
        <v>398</v>
      </c>
      <c r="K75" s="189">
        <v>1</v>
      </c>
      <c r="L75" s="35"/>
      <c r="O75" s="706"/>
      <c r="P75" s="220"/>
      <c r="Q75" s="38"/>
      <c r="R75" s="208">
        <f>ROUND((ROUND((ROUND((ROUND((_11_A家事増１．５*_11・重度研修),0)*_11・２人),0)*(1+_11・A夜間)),0)*_11・初任),0)</f>
        <v>165</v>
      </c>
      <c r="S75" s="48"/>
    </row>
    <row r="76" spans="1:19" ht="16.5" customHeight="1" x14ac:dyDescent="0.15">
      <c r="A76" s="41">
        <v>11</v>
      </c>
      <c r="B76" s="41">
        <v>8761</v>
      </c>
      <c r="C76" s="74" t="s">
        <v>13106</v>
      </c>
      <c r="D76" s="707" t="s">
        <v>11211</v>
      </c>
      <c r="E76" s="798"/>
      <c r="F76" s="35"/>
      <c r="I76" s="163"/>
      <c r="J76" s="45"/>
      <c r="K76" s="46"/>
      <c r="L76" s="35"/>
      <c r="O76" s="53"/>
      <c r="P76" s="245"/>
      <c r="Q76" s="50"/>
      <c r="R76" s="208">
        <f>ROUND((ROUND((_11_A家事増１．７５*_11・重度研修),0)*(1+_11・A夜間)),0)</f>
        <v>276</v>
      </c>
      <c r="S76" s="48"/>
    </row>
    <row r="77" spans="1:19" ht="16.5" customHeight="1" x14ac:dyDescent="0.15">
      <c r="A77" s="41">
        <v>11</v>
      </c>
      <c r="B77" s="41">
        <v>8762</v>
      </c>
      <c r="C77" s="74" t="s">
        <v>13107</v>
      </c>
      <c r="D77" s="799"/>
      <c r="E77" s="796"/>
      <c r="F77" s="35"/>
      <c r="I77" s="44" t="s">
        <v>397</v>
      </c>
      <c r="J77" s="218" t="s">
        <v>398</v>
      </c>
      <c r="K77" s="189">
        <v>1</v>
      </c>
      <c r="L77" s="35"/>
      <c r="O77" s="43"/>
      <c r="P77" s="220"/>
      <c r="Q77" s="38"/>
      <c r="R77" s="208">
        <f>ROUND((ROUND((ROUND((_11_A家事増１．７５*_11・重度研修),0)*_11・２人),0)*(1+_11・A夜間)),0)</f>
        <v>276</v>
      </c>
      <c r="S77" s="48"/>
    </row>
    <row r="78" spans="1:19" ht="16.5" customHeight="1" x14ac:dyDescent="0.15">
      <c r="A78" s="41">
        <v>11</v>
      </c>
      <c r="B78" s="41" t="s">
        <v>13108</v>
      </c>
      <c r="C78" s="74" t="s">
        <v>13109</v>
      </c>
      <c r="D78" s="799"/>
      <c r="E78" s="796"/>
      <c r="F78" s="35"/>
      <c r="I78" s="163"/>
      <c r="J78" s="45"/>
      <c r="K78" s="46"/>
      <c r="L78" s="35"/>
      <c r="O78" s="734" t="s">
        <v>404</v>
      </c>
      <c r="P78" s="219" t="s">
        <v>398</v>
      </c>
      <c r="Q78" s="50">
        <f>_11・初任</f>
        <v>0.7</v>
      </c>
      <c r="R78" s="208">
        <f>ROUND((ROUND((ROUND((_11_A家事増１．７５*_11・重度研修),0)*(1+_11・A夜間)),0)*_11・初任),0)</f>
        <v>193</v>
      </c>
      <c r="S78" s="48"/>
    </row>
    <row r="79" spans="1:19" ht="16.5" customHeight="1" x14ac:dyDescent="0.15">
      <c r="A79" s="41">
        <v>11</v>
      </c>
      <c r="B79" s="41" t="s">
        <v>13110</v>
      </c>
      <c r="C79" s="74" t="s">
        <v>13111</v>
      </c>
      <c r="D79" s="274">
        <f>_11_A家事増１．７５</f>
        <v>245</v>
      </c>
      <c r="E79" s="279" t="s">
        <v>392</v>
      </c>
      <c r="F79" s="35"/>
      <c r="I79" s="44" t="s">
        <v>397</v>
      </c>
      <c r="J79" s="218" t="s">
        <v>398</v>
      </c>
      <c r="K79" s="189">
        <v>1</v>
      </c>
      <c r="L79" s="35"/>
      <c r="O79" s="706"/>
      <c r="P79" s="220"/>
      <c r="Q79" s="38"/>
      <c r="R79" s="208">
        <f>ROUND((ROUND((ROUND((ROUND((_11_A家事増１．７５*_11・重度研修),0)*_11・２人),0)*(1+_11・A夜間)),0)*_11・初任),0)</f>
        <v>193</v>
      </c>
      <c r="S79" s="48"/>
    </row>
    <row r="80" spans="1:19" ht="16.5" customHeight="1" x14ac:dyDescent="0.15">
      <c r="A80" s="41">
        <v>11</v>
      </c>
      <c r="B80" s="41">
        <v>8763</v>
      </c>
      <c r="C80" s="74" t="s">
        <v>13112</v>
      </c>
      <c r="D80" s="707" t="s">
        <v>11224</v>
      </c>
      <c r="E80" s="798"/>
      <c r="F80" s="35"/>
      <c r="I80" s="163"/>
      <c r="J80" s="45"/>
      <c r="K80" s="46"/>
      <c r="L80" s="35"/>
      <c r="O80" s="53"/>
      <c r="P80" s="245"/>
      <c r="Q80" s="50"/>
      <c r="R80" s="208">
        <f>ROUND((ROUND((_11_A家事増２．０*_11・重度研修),0)*(1+_11・A夜間)),0)</f>
        <v>315</v>
      </c>
      <c r="S80" s="48"/>
    </row>
    <row r="81" spans="1:19" ht="16.5" customHeight="1" x14ac:dyDescent="0.15">
      <c r="A81" s="41">
        <v>11</v>
      </c>
      <c r="B81" s="41">
        <v>8764</v>
      </c>
      <c r="C81" s="74" t="s">
        <v>13113</v>
      </c>
      <c r="D81" s="799"/>
      <c r="E81" s="796"/>
      <c r="F81" s="35"/>
      <c r="I81" s="44" t="s">
        <v>397</v>
      </c>
      <c r="J81" s="218" t="s">
        <v>398</v>
      </c>
      <c r="K81" s="189">
        <v>1</v>
      </c>
      <c r="L81" s="35"/>
      <c r="O81" s="43"/>
      <c r="P81" s="220"/>
      <c r="Q81" s="38"/>
      <c r="R81" s="208">
        <f>ROUND((ROUND((ROUND((_11_A家事増２．０*_11・重度研修),0)*_11・２人),0)*(1+_11・A夜間)),0)</f>
        <v>315</v>
      </c>
      <c r="S81" s="48"/>
    </row>
    <row r="82" spans="1:19" ht="16.5" customHeight="1" x14ac:dyDescent="0.15">
      <c r="A82" s="41">
        <v>11</v>
      </c>
      <c r="B82" s="41" t="s">
        <v>13114</v>
      </c>
      <c r="C82" s="74" t="s">
        <v>13115</v>
      </c>
      <c r="D82" s="799"/>
      <c r="E82" s="796"/>
      <c r="F82" s="35"/>
      <c r="I82" s="163"/>
      <c r="J82" s="45"/>
      <c r="K82" s="46"/>
      <c r="L82" s="35"/>
      <c r="O82" s="734" t="s">
        <v>404</v>
      </c>
      <c r="P82" s="219" t="s">
        <v>398</v>
      </c>
      <c r="Q82" s="50">
        <f>_11・初任</f>
        <v>0.7</v>
      </c>
      <c r="R82" s="208">
        <f>ROUND((ROUND((ROUND((_11_A家事増２．０*_11・重度研修),0)*(1+_11・A夜間)),0)*_11・初任),0)</f>
        <v>221</v>
      </c>
      <c r="S82" s="48"/>
    </row>
    <row r="83" spans="1:19" ht="16.5" customHeight="1" x14ac:dyDescent="0.15">
      <c r="A83" s="41">
        <v>11</v>
      </c>
      <c r="B83" s="41" t="s">
        <v>13116</v>
      </c>
      <c r="C83" s="74" t="s">
        <v>13117</v>
      </c>
      <c r="D83" s="274">
        <f>_11_A家事増２．０</f>
        <v>280</v>
      </c>
      <c r="E83" s="279" t="s">
        <v>392</v>
      </c>
      <c r="F83" s="35"/>
      <c r="I83" s="44" t="s">
        <v>397</v>
      </c>
      <c r="J83" s="218" t="s">
        <v>398</v>
      </c>
      <c r="K83" s="189">
        <v>1</v>
      </c>
      <c r="L83" s="35"/>
      <c r="O83" s="706"/>
      <c r="P83" s="220"/>
      <c r="Q83" s="38"/>
      <c r="R83" s="208">
        <f>ROUND((ROUND((ROUND((ROUND((_11_A家事増２．０*_11・重度研修),0)*_11・２人),0)*(1+_11・A夜間)),0)*_11・初任),0)</f>
        <v>221</v>
      </c>
      <c r="S83" s="48"/>
    </row>
    <row r="84" spans="1:19" ht="16.5" customHeight="1" x14ac:dyDescent="0.15">
      <c r="A84" s="41">
        <v>11</v>
      </c>
      <c r="B84" s="41">
        <v>8765</v>
      </c>
      <c r="C84" s="74" t="s">
        <v>13118</v>
      </c>
      <c r="D84" s="707" t="s">
        <v>11237</v>
      </c>
      <c r="E84" s="798"/>
      <c r="F84" s="35"/>
      <c r="I84" s="163"/>
      <c r="J84" s="45"/>
      <c r="K84" s="46"/>
      <c r="L84" s="35"/>
      <c r="O84" s="53"/>
      <c r="P84" s="245"/>
      <c r="Q84" s="49"/>
      <c r="R84" s="208">
        <f>ROUND((ROUND((_11_A家事増２．２５*_11・重度研修),0)*(1+_11・A夜間)),0)</f>
        <v>355</v>
      </c>
      <c r="S84" s="48"/>
    </row>
    <row r="85" spans="1:19" ht="16.5" customHeight="1" x14ac:dyDescent="0.15">
      <c r="A85" s="41">
        <v>11</v>
      </c>
      <c r="B85" s="41">
        <v>8766</v>
      </c>
      <c r="C85" s="74" t="s">
        <v>13119</v>
      </c>
      <c r="D85" s="799"/>
      <c r="E85" s="796"/>
      <c r="F85" s="35"/>
      <c r="I85" s="44" t="s">
        <v>397</v>
      </c>
      <c r="J85" s="218" t="s">
        <v>398</v>
      </c>
      <c r="K85" s="189">
        <v>1</v>
      </c>
      <c r="L85" s="35"/>
      <c r="O85" s="43"/>
      <c r="P85" s="220"/>
      <c r="Q85" s="37"/>
      <c r="R85" s="208">
        <f>ROUND((ROUND((ROUND((_11_A家事増２．２５*_11・重度研修),0)*_11・２人),0)*(1+_11・A夜間)),0)</f>
        <v>355</v>
      </c>
      <c r="S85" s="48"/>
    </row>
    <row r="86" spans="1:19" ht="16.5" customHeight="1" x14ac:dyDescent="0.15">
      <c r="A86" s="41">
        <v>11</v>
      </c>
      <c r="B86" s="41" t="s">
        <v>13120</v>
      </c>
      <c r="C86" s="74" t="s">
        <v>13121</v>
      </c>
      <c r="D86" s="799"/>
      <c r="E86" s="796"/>
      <c r="F86" s="35"/>
      <c r="I86" s="163"/>
      <c r="J86" s="45"/>
      <c r="K86" s="46"/>
      <c r="L86" s="35"/>
      <c r="O86" s="734" t="s">
        <v>404</v>
      </c>
      <c r="P86" s="219" t="s">
        <v>398</v>
      </c>
      <c r="Q86" s="50">
        <f>_11・初任</f>
        <v>0.7</v>
      </c>
      <c r="R86" s="208">
        <f>ROUND((ROUND((ROUND((_11_A家事増２．２５*_11・重度研修),0)*(1+_11・A夜間)),0)*_11・初任),0)</f>
        <v>249</v>
      </c>
      <c r="S86" s="48"/>
    </row>
    <row r="87" spans="1:19" ht="16.5" customHeight="1" x14ac:dyDescent="0.15">
      <c r="A87" s="41">
        <v>11</v>
      </c>
      <c r="B87" s="41" t="s">
        <v>13122</v>
      </c>
      <c r="C87" s="74" t="s">
        <v>13123</v>
      </c>
      <c r="D87" s="274">
        <f>_11_A家事増２．２５</f>
        <v>315</v>
      </c>
      <c r="E87" s="279" t="s">
        <v>392</v>
      </c>
      <c r="F87" s="35"/>
      <c r="I87" s="44" t="s">
        <v>397</v>
      </c>
      <c r="J87" s="218" t="s">
        <v>398</v>
      </c>
      <c r="K87" s="189">
        <v>1</v>
      </c>
      <c r="L87" s="35"/>
      <c r="O87" s="706"/>
      <c r="P87" s="220"/>
      <c r="Q87" s="38"/>
      <c r="R87" s="208">
        <f>ROUND((ROUND((ROUND((ROUND((_11_A家事増２．２５*_11・重度研修),0)*_11・２人),0)*(1+_11・A夜間)),0)*_11・初任),0)</f>
        <v>249</v>
      </c>
      <c r="S87" s="48"/>
    </row>
    <row r="88" spans="1:19" ht="16.5" customHeight="1" x14ac:dyDescent="0.15">
      <c r="A88" s="41">
        <v>11</v>
      </c>
      <c r="B88" s="41">
        <v>8767</v>
      </c>
      <c r="C88" s="74" t="s">
        <v>13124</v>
      </c>
      <c r="D88" s="707" t="s">
        <v>11250</v>
      </c>
      <c r="E88" s="798"/>
      <c r="F88" s="35"/>
      <c r="I88" s="163"/>
      <c r="J88" s="45"/>
      <c r="K88" s="46"/>
      <c r="L88" s="35"/>
      <c r="O88" s="53"/>
      <c r="P88" s="245"/>
      <c r="Q88" s="50"/>
      <c r="R88" s="208">
        <f>ROUND((ROUND((_11_A家事増２．５*_11・重度研修),0)*(1+_11・A夜間)),0)</f>
        <v>394</v>
      </c>
      <c r="S88" s="48"/>
    </row>
    <row r="89" spans="1:19" ht="16.5" customHeight="1" x14ac:dyDescent="0.15">
      <c r="A89" s="41">
        <v>11</v>
      </c>
      <c r="B89" s="41">
        <v>8768</v>
      </c>
      <c r="C89" s="74" t="s">
        <v>13125</v>
      </c>
      <c r="D89" s="799"/>
      <c r="E89" s="796"/>
      <c r="F89" s="35"/>
      <c r="I89" s="44" t="s">
        <v>397</v>
      </c>
      <c r="J89" s="218" t="s">
        <v>398</v>
      </c>
      <c r="K89" s="189">
        <v>1</v>
      </c>
      <c r="L89" s="35"/>
      <c r="O89" s="43"/>
      <c r="P89" s="220"/>
      <c r="Q89" s="38"/>
      <c r="R89" s="208">
        <f>ROUND((ROUND((ROUND((_11_A家事増２．５*_11・重度研修),0)*_11・２人),0)*(1+_11・A夜間)),0)</f>
        <v>394</v>
      </c>
      <c r="S89" s="48"/>
    </row>
    <row r="90" spans="1:19" ht="16.5" customHeight="1" x14ac:dyDescent="0.15">
      <c r="A90" s="41">
        <v>11</v>
      </c>
      <c r="B90" s="41" t="s">
        <v>13126</v>
      </c>
      <c r="C90" s="74" t="s">
        <v>13127</v>
      </c>
      <c r="D90" s="799"/>
      <c r="E90" s="796"/>
      <c r="F90" s="35"/>
      <c r="I90" s="163"/>
      <c r="J90" s="45"/>
      <c r="K90" s="46"/>
      <c r="L90" s="35"/>
      <c r="O90" s="734" t="s">
        <v>404</v>
      </c>
      <c r="P90" s="219" t="s">
        <v>398</v>
      </c>
      <c r="Q90" s="50">
        <f>_11・初任</f>
        <v>0.7</v>
      </c>
      <c r="R90" s="208">
        <f>ROUND((ROUND((ROUND((_11_A家事増２．５*_11・重度研修),0)*(1+_11・A夜間)),0)*_11・初任),0)</f>
        <v>276</v>
      </c>
      <c r="S90" s="48"/>
    </row>
    <row r="91" spans="1:19" ht="16.5" customHeight="1" x14ac:dyDescent="0.15">
      <c r="A91" s="41">
        <v>11</v>
      </c>
      <c r="B91" s="41" t="s">
        <v>13128</v>
      </c>
      <c r="C91" s="74" t="s">
        <v>13129</v>
      </c>
      <c r="D91" s="274">
        <f>_11_A家事増２．５</f>
        <v>350</v>
      </c>
      <c r="E91" s="279" t="s">
        <v>392</v>
      </c>
      <c r="F91" s="35"/>
      <c r="I91" s="44" t="s">
        <v>397</v>
      </c>
      <c r="J91" s="218" t="s">
        <v>398</v>
      </c>
      <c r="K91" s="189">
        <v>1</v>
      </c>
      <c r="L91" s="35"/>
      <c r="O91" s="706"/>
      <c r="P91" s="220"/>
      <c r="Q91" s="38"/>
      <c r="R91" s="208">
        <f>ROUND((ROUND((ROUND((ROUND((_11_A家事増２．５*_11・重度研修),0)*_11・２人),0)*(1+_11・A夜間)),0)*_11・初任),0)</f>
        <v>276</v>
      </c>
      <c r="S91" s="48"/>
    </row>
    <row r="92" spans="1:19" ht="16.5" customHeight="1" x14ac:dyDescent="0.15">
      <c r="A92" s="41">
        <v>11</v>
      </c>
      <c r="B92" s="41">
        <v>8769</v>
      </c>
      <c r="C92" s="74" t="s">
        <v>13130</v>
      </c>
      <c r="D92" s="707" t="s">
        <v>11263</v>
      </c>
      <c r="E92" s="798"/>
      <c r="F92" s="35"/>
      <c r="I92" s="163"/>
      <c r="J92" s="45"/>
      <c r="K92" s="46"/>
      <c r="L92" s="35"/>
      <c r="O92" s="53"/>
      <c r="P92" s="245"/>
      <c r="Q92" s="50"/>
      <c r="R92" s="208">
        <f>ROUND((ROUND((_11_A家事増２．７５*_11・重度研修),0)*(1+_11・A夜間)),0)</f>
        <v>434</v>
      </c>
      <c r="S92" s="48"/>
    </row>
    <row r="93" spans="1:19" ht="16.5" customHeight="1" x14ac:dyDescent="0.15">
      <c r="A93" s="41">
        <v>11</v>
      </c>
      <c r="B93" s="41">
        <v>8770</v>
      </c>
      <c r="C93" s="74" t="s">
        <v>13131</v>
      </c>
      <c r="D93" s="799"/>
      <c r="E93" s="796"/>
      <c r="F93" s="35"/>
      <c r="I93" s="44" t="s">
        <v>397</v>
      </c>
      <c r="J93" s="218" t="s">
        <v>398</v>
      </c>
      <c r="K93" s="189">
        <v>1</v>
      </c>
      <c r="L93" s="35"/>
      <c r="O93" s="43"/>
      <c r="P93" s="220"/>
      <c r="Q93" s="38"/>
      <c r="R93" s="208">
        <f>ROUND((ROUND((ROUND((_11_A家事増２．７５*_11・重度研修),0)*_11・２人),0)*(1+_11・A夜間)),0)</f>
        <v>434</v>
      </c>
      <c r="S93" s="48"/>
    </row>
    <row r="94" spans="1:19" ht="16.5" customHeight="1" x14ac:dyDescent="0.15">
      <c r="A94" s="41">
        <v>11</v>
      </c>
      <c r="B94" s="41" t="s">
        <v>13132</v>
      </c>
      <c r="C94" s="74" t="s">
        <v>13133</v>
      </c>
      <c r="D94" s="799"/>
      <c r="E94" s="796"/>
      <c r="F94" s="35"/>
      <c r="I94" s="163"/>
      <c r="J94" s="45"/>
      <c r="K94" s="46"/>
      <c r="L94" s="35"/>
      <c r="O94" s="734" t="s">
        <v>404</v>
      </c>
      <c r="P94" s="219" t="s">
        <v>398</v>
      </c>
      <c r="Q94" s="50">
        <f>_11・初任</f>
        <v>0.7</v>
      </c>
      <c r="R94" s="208">
        <f>ROUND((ROUND((ROUND((_11_A家事増２．７５*_11・重度研修),0)*(1+_11・A夜間)),0)*_11・初任),0)</f>
        <v>304</v>
      </c>
      <c r="S94" s="48"/>
    </row>
    <row r="95" spans="1:19" ht="16.5" customHeight="1" x14ac:dyDescent="0.15">
      <c r="A95" s="41">
        <v>11</v>
      </c>
      <c r="B95" s="41" t="s">
        <v>13134</v>
      </c>
      <c r="C95" s="74" t="s">
        <v>13135</v>
      </c>
      <c r="D95" s="276">
        <f>_11_A家事増２．７５</f>
        <v>385</v>
      </c>
      <c r="E95" s="280" t="s">
        <v>392</v>
      </c>
      <c r="F95" s="35"/>
      <c r="H95" s="234"/>
      <c r="I95" s="217" t="s">
        <v>397</v>
      </c>
      <c r="J95" s="218" t="s">
        <v>398</v>
      </c>
      <c r="K95" s="189">
        <v>1</v>
      </c>
      <c r="L95" s="35"/>
      <c r="N95" s="234"/>
      <c r="O95" s="706"/>
      <c r="P95" s="220"/>
      <c r="Q95" s="38"/>
      <c r="R95" s="208">
        <f>ROUND((ROUND((ROUND((ROUND((_11_A家事増２．７５*_11・重度研修),0)*_11・２人),0)*(1+_11・A夜間)),0)*_11・初任),0)</f>
        <v>304</v>
      </c>
      <c r="S95" s="48"/>
    </row>
    <row r="96" spans="1:19" ht="16.5" customHeight="1" x14ac:dyDescent="0.15">
      <c r="A96" s="33">
        <v>11</v>
      </c>
      <c r="B96" s="33">
        <v>8771</v>
      </c>
      <c r="C96" s="34" t="s">
        <v>13136</v>
      </c>
      <c r="D96" s="709" t="s">
        <v>11276</v>
      </c>
      <c r="E96" s="796"/>
      <c r="F96" s="35"/>
      <c r="H96" s="234"/>
      <c r="I96" s="37"/>
      <c r="J96" s="37"/>
      <c r="K96" s="38"/>
      <c r="L96" s="35"/>
      <c r="N96" s="234"/>
      <c r="O96" s="35"/>
      <c r="Q96" s="12"/>
      <c r="R96" s="207">
        <f>ROUND((ROUND((_11_A家事増３．０*_11・重度研修),0)*(1+_11・A夜間)),0)</f>
        <v>473</v>
      </c>
      <c r="S96" s="48"/>
    </row>
    <row r="97" spans="1:19" ht="16.5" customHeight="1" x14ac:dyDescent="0.15">
      <c r="A97" s="41">
        <v>11</v>
      </c>
      <c r="B97" s="41">
        <v>8772</v>
      </c>
      <c r="C97" s="74" t="s">
        <v>13137</v>
      </c>
      <c r="D97" s="799"/>
      <c r="E97" s="796"/>
      <c r="F97" s="35"/>
      <c r="H97" s="234"/>
      <c r="I97" s="217" t="s">
        <v>397</v>
      </c>
      <c r="J97" s="218" t="s">
        <v>398</v>
      </c>
      <c r="K97" s="46">
        <v>1</v>
      </c>
      <c r="L97" s="35"/>
      <c r="N97" s="234"/>
      <c r="O97" s="43"/>
      <c r="P97" s="220"/>
      <c r="Q97" s="37"/>
      <c r="R97" s="208">
        <f>ROUND((ROUND((ROUND((_11_A家事増３．０*_11・重度研修),0)*_11・２人),0)*(1+_11・A夜間)),0)</f>
        <v>473</v>
      </c>
      <c r="S97" s="48"/>
    </row>
    <row r="98" spans="1:19" ht="16.5" customHeight="1" x14ac:dyDescent="0.15">
      <c r="A98" s="41">
        <v>11</v>
      </c>
      <c r="B98" s="41" t="s">
        <v>13138</v>
      </c>
      <c r="C98" s="74" t="s">
        <v>13139</v>
      </c>
      <c r="D98" s="799"/>
      <c r="E98" s="796"/>
      <c r="F98" s="35"/>
      <c r="H98" s="234"/>
      <c r="I98" s="45"/>
      <c r="J98" s="45"/>
      <c r="K98" s="46"/>
      <c r="L98" s="35"/>
      <c r="O98" s="734" t="s">
        <v>404</v>
      </c>
      <c r="P98" s="219" t="s">
        <v>398</v>
      </c>
      <c r="Q98" s="50">
        <f>_11・初任</f>
        <v>0.7</v>
      </c>
      <c r="R98" s="208">
        <f>ROUND((ROUND((ROUND((_11_A家事増３．０*_11・重度研修),0)*(1+_11・A夜間)),0)*_11・初任),0)</f>
        <v>331</v>
      </c>
      <c r="S98" s="48"/>
    </row>
    <row r="99" spans="1:19" ht="16.5" customHeight="1" x14ac:dyDescent="0.15">
      <c r="A99" s="41">
        <v>11</v>
      </c>
      <c r="B99" s="41" t="s">
        <v>13140</v>
      </c>
      <c r="C99" s="74" t="s">
        <v>13141</v>
      </c>
      <c r="D99" s="274">
        <f>_11_A家事増３．０</f>
        <v>420</v>
      </c>
      <c r="E99" s="279" t="s">
        <v>392</v>
      </c>
      <c r="F99" s="35"/>
      <c r="H99" s="234"/>
      <c r="I99" s="217" t="s">
        <v>397</v>
      </c>
      <c r="J99" s="218" t="s">
        <v>398</v>
      </c>
      <c r="K99" s="46">
        <v>1</v>
      </c>
      <c r="L99" s="35"/>
      <c r="N99" s="234"/>
      <c r="O99" s="706"/>
      <c r="P99" s="220"/>
      <c r="Q99" s="38"/>
      <c r="R99" s="208">
        <f>ROUND((ROUND((ROUND((ROUND((_11_A家事増３．０*_11・重度研修),0)*_11・２人),0)*(1+_11・A夜間)),0)*_11・初任),0)</f>
        <v>331</v>
      </c>
      <c r="S99" s="48"/>
    </row>
    <row r="100" spans="1:19" ht="16.5" customHeight="1" x14ac:dyDescent="0.15">
      <c r="A100" s="41">
        <v>11</v>
      </c>
      <c r="B100" s="41">
        <v>8773</v>
      </c>
      <c r="C100" s="74" t="s">
        <v>13142</v>
      </c>
      <c r="D100" s="707" t="s">
        <v>11289</v>
      </c>
      <c r="E100" s="798"/>
      <c r="F100" s="35"/>
      <c r="I100" s="163"/>
      <c r="J100" s="45"/>
      <c r="K100" s="46"/>
      <c r="L100" s="35"/>
      <c r="O100" s="53"/>
      <c r="P100" s="245"/>
      <c r="Q100" s="50"/>
      <c r="R100" s="208">
        <f>ROUND((ROUND((_11_A家事増３．２５*_11・重度研修),0)*(1+_11・A夜間)),0)</f>
        <v>513</v>
      </c>
      <c r="S100" s="48"/>
    </row>
    <row r="101" spans="1:19" ht="16.5" customHeight="1" x14ac:dyDescent="0.15">
      <c r="A101" s="41">
        <v>11</v>
      </c>
      <c r="B101" s="41">
        <v>8774</v>
      </c>
      <c r="C101" s="74" t="s">
        <v>13143</v>
      </c>
      <c r="D101" s="799"/>
      <c r="E101" s="796"/>
      <c r="F101" s="35"/>
      <c r="I101" s="44" t="s">
        <v>397</v>
      </c>
      <c r="J101" s="218" t="s">
        <v>398</v>
      </c>
      <c r="K101" s="189">
        <v>1</v>
      </c>
      <c r="L101" s="35"/>
      <c r="O101" s="43"/>
      <c r="P101" s="220"/>
      <c r="Q101" s="38"/>
      <c r="R101" s="208">
        <f>ROUND((ROUND((ROUND((_11_A家事増３．２５*_11・重度研修),0)*_11・２人),0)*(1+_11・A夜間)),0)</f>
        <v>513</v>
      </c>
      <c r="S101" s="48"/>
    </row>
    <row r="102" spans="1:19" ht="16.5" customHeight="1" x14ac:dyDescent="0.15">
      <c r="A102" s="41">
        <v>11</v>
      </c>
      <c r="B102" s="41" t="s">
        <v>13144</v>
      </c>
      <c r="C102" s="74" t="s">
        <v>13145</v>
      </c>
      <c r="D102" s="799"/>
      <c r="E102" s="796"/>
      <c r="F102" s="35"/>
      <c r="I102" s="163"/>
      <c r="J102" s="45"/>
      <c r="K102" s="46"/>
      <c r="L102" s="35"/>
      <c r="O102" s="734" t="s">
        <v>404</v>
      </c>
      <c r="P102" s="219" t="s">
        <v>398</v>
      </c>
      <c r="Q102" s="50">
        <f>_11・初任</f>
        <v>0.7</v>
      </c>
      <c r="R102" s="208">
        <f>ROUND((ROUND((ROUND((_11_A家事増３．２５*_11・重度研修),0)*(1+_11・A夜間)),0)*_11・初任),0)</f>
        <v>359</v>
      </c>
      <c r="S102" s="48"/>
    </row>
    <row r="103" spans="1:19" ht="16.5" customHeight="1" x14ac:dyDescent="0.15">
      <c r="A103" s="41">
        <v>11</v>
      </c>
      <c r="B103" s="41" t="s">
        <v>13146</v>
      </c>
      <c r="C103" s="74" t="s">
        <v>13147</v>
      </c>
      <c r="D103" s="274">
        <f>_11_A家事増３．２５</f>
        <v>455</v>
      </c>
      <c r="E103" s="12" t="s">
        <v>392</v>
      </c>
      <c r="F103" s="35"/>
      <c r="I103" s="44" t="s">
        <v>397</v>
      </c>
      <c r="J103" s="218" t="s">
        <v>398</v>
      </c>
      <c r="K103" s="189">
        <v>1</v>
      </c>
      <c r="L103" s="35"/>
      <c r="O103" s="706"/>
      <c r="P103" s="220"/>
      <c r="Q103" s="38"/>
      <c r="R103" s="208">
        <f>ROUND((ROUND((ROUND((ROUND((_11_A家事増３．２５*_11・重度研修),0)*_11・２人),0)*(1+_11・A夜間)),0)*_11・初任),0)</f>
        <v>359</v>
      </c>
      <c r="S103" s="48"/>
    </row>
    <row r="104" spans="1:19" ht="16.5" customHeight="1" x14ac:dyDescent="0.15">
      <c r="A104" s="41">
        <v>11</v>
      </c>
      <c r="B104" s="41">
        <v>8775</v>
      </c>
      <c r="C104" s="74" t="s">
        <v>13148</v>
      </c>
      <c r="D104" s="707" t="s">
        <v>11302</v>
      </c>
      <c r="E104" s="798"/>
      <c r="F104" s="35"/>
      <c r="I104" s="163"/>
      <c r="J104" s="45"/>
      <c r="K104" s="46"/>
      <c r="L104" s="35"/>
      <c r="O104" s="53"/>
      <c r="P104" s="245"/>
      <c r="Q104" s="50"/>
      <c r="R104" s="208">
        <f>ROUND((ROUND((_11_A家事増３．５*_11・重度研修),0)*(1+_11・A夜間)),0)</f>
        <v>551</v>
      </c>
      <c r="S104" s="48"/>
    </row>
    <row r="105" spans="1:19" ht="16.5" customHeight="1" x14ac:dyDescent="0.15">
      <c r="A105" s="41">
        <v>11</v>
      </c>
      <c r="B105" s="41">
        <v>8776</v>
      </c>
      <c r="C105" s="74" t="s">
        <v>13149</v>
      </c>
      <c r="D105" s="799"/>
      <c r="E105" s="796"/>
      <c r="F105" s="35"/>
      <c r="I105" s="44" t="s">
        <v>397</v>
      </c>
      <c r="J105" s="218" t="s">
        <v>398</v>
      </c>
      <c r="K105" s="189">
        <v>1</v>
      </c>
      <c r="L105" s="35"/>
      <c r="O105" s="43"/>
      <c r="P105" s="220"/>
      <c r="Q105" s="38"/>
      <c r="R105" s="208">
        <f>ROUND((ROUND((ROUND((_11_A家事増３．５*_11・重度研修),0)*_11・２人),0)*(1+_11・A夜間)),0)</f>
        <v>551</v>
      </c>
      <c r="S105" s="48"/>
    </row>
    <row r="106" spans="1:19" ht="16.5" customHeight="1" x14ac:dyDescent="0.15">
      <c r="A106" s="41">
        <v>11</v>
      </c>
      <c r="B106" s="41" t="s">
        <v>13150</v>
      </c>
      <c r="C106" s="74" t="s">
        <v>13151</v>
      </c>
      <c r="D106" s="799"/>
      <c r="E106" s="796"/>
      <c r="F106" s="35"/>
      <c r="I106" s="163"/>
      <c r="J106" s="45"/>
      <c r="K106" s="46"/>
      <c r="L106" s="35"/>
      <c r="O106" s="734" t="s">
        <v>404</v>
      </c>
      <c r="P106" s="219" t="s">
        <v>398</v>
      </c>
      <c r="Q106" s="50">
        <f>_11・初任</f>
        <v>0.7</v>
      </c>
      <c r="R106" s="208">
        <f>ROUND((ROUND((ROUND((_11_A家事増３．５*_11・重度研修),0)*(1+_11・A夜間)),0)*_11・初任),0)</f>
        <v>386</v>
      </c>
      <c r="S106" s="48"/>
    </row>
    <row r="107" spans="1:19" ht="16.5" customHeight="1" x14ac:dyDescent="0.15">
      <c r="A107" s="41">
        <v>11</v>
      </c>
      <c r="B107" s="41" t="s">
        <v>13152</v>
      </c>
      <c r="C107" s="74" t="s">
        <v>13153</v>
      </c>
      <c r="D107" s="274">
        <f>_11_A家事増３．５</f>
        <v>490</v>
      </c>
      <c r="E107" s="12" t="s">
        <v>392</v>
      </c>
      <c r="F107" s="35"/>
      <c r="I107" s="44" t="s">
        <v>397</v>
      </c>
      <c r="J107" s="218" t="s">
        <v>398</v>
      </c>
      <c r="K107" s="189">
        <v>1</v>
      </c>
      <c r="L107" s="35"/>
      <c r="O107" s="706"/>
      <c r="P107" s="220"/>
      <c r="Q107" s="38"/>
      <c r="R107" s="208">
        <f>ROUND((ROUND((ROUND((ROUND((_11_A家事増３．５*_11・重度研修),0)*_11・２人),0)*(1+_11・A夜間)),0)*_11・初任),0)</f>
        <v>386</v>
      </c>
      <c r="S107" s="48"/>
    </row>
    <row r="108" spans="1:19" ht="16.5" customHeight="1" x14ac:dyDescent="0.15">
      <c r="A108" s="41">
        <v>11</v>
      </c>
      <c r="B108" s="41">
        <v>8777</v>
      </c>
      <c r="C108" s="74" t="s">
        <v>13154</v>
      </c>
      <c r="D108" s="707" t="s">
        <v>11315</v>
      </c>
      <c r="E108" s="798"/>
      <c r="F108" s="35"/>
      <c r="I108" s="163"/>
      <c r="J108" s="45"/>
      <c r="K108" s="46"/>
      <c r="L108" s="35"/>
      <c r="O108" s="53"/>
      <c r="P108" s="245"/>
      <c r="Q108" s="49"/>
      <c r="R108" s="208">
        <f>ROUND((ROUND((_11_A家事増３．７５*_11・重度研修),0)*(1+_11・A夜間)),0)</f>
        <v>591</v>
      </c>
      <c r="S108" s="48"/>
    </row>
    <row r="109" spans="1:19" ht="16.5" customHeight="1" x14ac:dyDescent="0.15">
      <c r="A109" s="41">
        <v>11</v>
      </c>
      <c r="B109" s="41">
        <v>8778</v>
      </c>
      <c r="C109" s="74" t="s">
        <v>13155</v>
      </c>
      <c r="D109" s="799"/>
      <c r="E109" s="796"/>
      <c r="F109" s="35"/>
      <c r="I109" s="44" t="s">
        <v>397</v>
      </c>
      <c r="J109" s="218" t="s">
        <v>398</v>
      </c>
      <c r="K109" s="189">
        <v>1</v>
      </c>
      <c r="L109" s="35"/>
      <c r="O109" s="43"/>
      <c r="P109" s="220"/>
      <c r="Q109" s="37"/>
      <c r="R109" s="208">
        <f>ROUND((ROUND((ROUND((_11_A家事増３．７５*_11・重度研修),0)*_11・２人),0)*(1+_11・A夜間)),0)</f>
        <v>591</v>
      </c>
      <c r="S109" s="48"/>
    </row>
    <row r="110" spans="1:19" ht="16.5" customHeight="1" x14ac:dyDescent="0.15">
      <c r="A110" s="41">
        <v>11</v>
      </c>
      <c r="B110" s="41" t="s">
        <v>13156</v>
      </c>
      <c r="C110" s="74" t="s">
        <v>13157</v>
      </c>
      <c r="D110" s="799"/>
      <c r="E110" s="796"/>
      <c r="F110" s="35"/>
      <c r="I110" s="163"/>
      <c r="J110" s="45"/>
      <c r="K110" s="46"/>
      <c r="L110" s="35"/>
      <c r="O110" s="734" t="s">
        <v>404</v>
      </c>
      <c r="P110" s="219" t="s">
        <v>398</v>
      </c>
      <c r="Q110" s="50">
        <f>_11・初任</f>
        <v>0.7</v>
      </c>
      <c r="R110" s="208">
        <f>ROUND((ROUND((ROUND((_11_A家事増３．７５*_11・重度研修),0)*(1+_11・A夜間)),0)*_11・初任),0)</f>
        <v>414</v>
      </c>
      <c r="S110" s="48"/>
    </row>
    <row r="111" spans="1:19" ht="16.5" customHeight="1" x14ac:dyDescent="0.15">
      <c r="A111" s="41">
        <v>11</v>
      </c>
      <c r="B111" s="41" t="s">
        <v>13158</v>
      </c>
      <c r="C111" s="74" t="s">
        <v>13159</v>
      </c>
      <c r="D111" s="274">
        <f>_11_A家事増３．７５</f>
        <v>525</v>
      </c>
      <c r="E111" s="12" t="s">
        <v>392</v>
      </c>
      <c r="F111" s="35"/>
      <c r="I111" s="44" t="s">
        <v>397</v>
      </c>
      <c r="J111" s="218" t="s">
        <v>398</v>
      </c>
      <c r="K111" s="189">
        <v>1</v>
      </c>
      <c r="L111" s="35"/>
      <c r="O111" s="706"/>
      <c r="P111" s="220"/>
      <c r="Q111" s="38"/>
      <c r="R111" s="208">
        <f>ROUND((ROUND((ROUND((ROUND((_11_A家事増３．７５*_11・重度研修),0)*_11・２人),0)*(1+_11・A夜間)),0)*_11・初任),0)</f>
        <v>414</v>
      </c>
      <c r="S111" s="48"/>
    </row>
    <row r="112" spans="1:19" ht="16.5" customHeight="1" x14ac:dyDescent="0.15">
      <c r="A112" s="41">
        <v>11</v>
      </c>
      <c r="B112" s="41">
        <v>8779</v>
      </c>
      <c r="C112" s="74" t="s">
        <v>13160</v>
      </c>
      <c r="D112" s="707" t="s">
        <v>11328</v>
      </c>
      <c r="E112" s="798"/>
      <c r="F112" s="35"/>
      <c r="I112" s="163"/>
      <c r="J112" s="45"/>
      <c r="K112" s="46"/>
      <c r="L112" s="35"/>
      <c r="O112" s="53"/>
      <c r="P112" s="245"/>
      <c r="Q112" s="50"/>
      <c r="R112" s="208">
        <f>ROUND((ROUND((_11_A家事増４．０*_11・重度研修),0)*(1+_11・A夜間)),0)</f>
        <v>630</v>
      </c>
      <c r="S112" s="48"/>
    </row>
    <row r="113" spans="1:19" ht="16.5" customHeight="1" x14ac:dyDescent="0.15">
      <c r="A113" s="41">
        <v>11</v>
      </c>
      <c r="B113" s="41">
        <v>8780</v>
      </c>
      <c r="C113" s="74" t="s">
        <v>13161</v>
      </c>
      <c r="D113" s="799"/>
      <c r="E113" s="796"/>
      <c r="F113" s="35"/>
      <c r="I113" s="44" t="s">
        <v>397</v>
      </c>
      <c r="J113" s="218" t="s">
        <v>398</v>
      </c>
      <c r="K113" s="189">
        <v>1</v>
      </c>
      <c r="L113" s="35"/>
      <c r="O113" s="43"/>
      <c r="P113" s="220"/>
      <c r="Q113" s="38"/>
      <c r="R113" s="208">
        <f>ROUND((ROUND((ROUND((_11_A家事増４．０*_11・重度研修),0)*_11・２人),0)*(1+_11・A夜間)),0)</f>
        <v>630</v>
      </c>
      <c r="S113" s="48"/>
    </row>
    <row r="114" spans="1:19" ht="16.5" customHeight="1" x14ac:dyDescent="0.15">
      <c r="A114" s="41">
        <v>11</v>
      </c>
      <c r="B114" s="41" t="s">
        <v>13162</v>
      </c>
      <c r="C114" s="74" t="s">
        <v>13163</v>
      </c>
      <c r="D114" s="799"/>
      <c r="E114" s="796"/>
      <c r="F114" s="35"/>
      <c r="I114" s="163"/>
      <c r="J114" s="45"/>
      <c r="K114" s="46"/>
      <c r="L114" s="35"/>
      <c r="O114" s="734" t="s">
        <v>404</v>
      </c>
      <c r="P114" s="219" t="s">
        <v>398</v>
      </c>
      <c r="Q114" s="50">
        <f>_11・初任</f>
        <v>0.7</v>
      </c>
      <c r="R114" s="208">
        <f>ROUND((ROUND((ROUND((_11_A家事増４．０*_11・重度研修),0)*(1+_11・A夜間)),0)*_11・初任),0)</f>
        <v>441</v>
      </c>
      <c r="S114" s="48"/>
    </row>
    <row r="115" spans="1:19" ht="16.5" customHeight="1" x14ac:dyDescent="0.15">
      <c r="A115" s="41">
        <v>11</v>
      </c>
      <c r="B115" s="41" t="s">
        <v>13164</v>
      </c>
      <c r="C115" s="74" t="s">
        <v>13165</v>
      </c>
      <c r="D115" s="274">
        <f>_11_A家事増４．０</f>
        <v>560</v>
      </c>
      <c r="E115" s="12" t="s">
        <v>392</v>
      </c>
      <c r="F115" s="35"/>
      <c r="I115" s="44" t="s">
        <v>397</v>
      </c>
      <c r="J115" s="218" t="s">
        <v>398</v>
      </c>
      <c r="K115" s="189">
        <v>1</v>
      </c>
      <c r="L115" s="35"/>
      <c r="O115" s="706"/>
      <c r="P115" s="220"/>
      <c r="Q115" s="38"/>
      <c r="R115" s="208">
        <f>ROUND((ROUND((ROUND((ROUND((_11_A家事増４．０*_11・重度研修),0)*_11・２人),0)*(1+_11・A夜間)),0)*_11・初任),0)</f>
        <v>441</v>
      </c>
      <c r="S115" s="48"/>
    </row>
    <row r="116" spans="1:19" ht="16.5" customHeight="1" x14ac:dyDescent="0.15">
      <c r="A116" s="41">
        <v>11</v>
      </c>
      <c r="B116" s="41">
        <v>8781</v>
      </c>
      <c r="C116" s="74" t="s">
        <v>13166</v>
      </c>
      <c r="D116" s="707" t="s">
        <v>11341</v>
      </c>
      <c r="E116" s="798"/>
      <c r="F116" s="35"/>
      <c r="I116" s="163"/>
      <c r="J116" s="45"/>
      <c r="K116" s="46"/>
      <c r="L116" s="35"/>
      <c r="O116" s="53"/>
      <c r="P116" s="245"/>
      <c r="Q116" s="50"/>
      <c r="R116" s="208">
        <f>ROUND((ROUND((_11_A家事増４．２５*_11・重度研修),0)*(1+_11・A夜間)),0)</f>
        <v>670</v>
      </c>
      <c r="S116" s="48"/>
    </row>
    <row r="117" spans="1:19" ht="16.5" customHeight="1" x14ac:dyDescent="0.15">
      <c r="A117" s="41">
        <v>11</v>
      </c>
      <c r="B117" s="41">
        <v>8782</v>
      </c>
      <c r="C117" s="74" t="s">
        <v>13167</v>
      </c>
      <c r="D117" s="799"/>
      <c r="E117" s="796"/>
      <c r="F117" s="35"/>
      <c r="I117" s="44" t="s">
        <v>397</v>
      </c>
      <c r="J117" s="218" t="s">
        <v>398</v>
      </c>
      <c r="K117" s="189">
        <v>1</v>
      </c>
      <c r="L117" s="35"/>
      <c r="O117" s="43"/>
      <c r="P117" s="220"/>
      <c r="Q117" s="38"/>
      <c r="R117" s="208">
        <f>ROUND((ROUND((ROUND((_11_A家事増４．２５*_11・重度研修),0)*_11・２人),0)*(1+_11・A夜間)),0)</f>
        <v>670</v>
      </c>
      <c r="S117" s="48"/>
    </row>
    <row r="118" spans="1:19" ht="16.5" customHeight="1" x14ac:dyDescent="0.15">
      <c r="A118" s="41">
        <v>11</v>
      </c>
      <c r="B118" s="41" t="s">
        <v>13168</v>
      </c>
      <c r="C118" s="74" t="s">
        <v>13169</v>
      </c>
      <c r="D118" s="799"/>
      <c r="E118" s="796"/>
      <c r="F118" s="35"/>
      <c r="I118" s="163"/>
      <c r="J118" s="45"/>
      <c r="K118" s="46"/>
      <c r="L118" s="35"/>
      <c r="O118" s="734" t="s">
        <v>404</v>
      </c>
      <c r="P118" s="219" t="s">
        <v>398</v>
      </c>
      <c r="Q118" s="50">
        <f>_11・初任</f>
        <v>0.7</v>
      </c>
      <c r="R118" s="208">
        <f>ROUND((ROUND((ROUND((_11_A家事増４．２５*_11・重度研修),0)*(1+_11・A夜間)),0)*_11・初任),0)</f>
        <v>469</v>
      </c>
      <c r="S118" s="48"/>
    </row>
    <row r="119" spans="1:19" ht="16.5" customHeight="1" x14ac:dyDescent="0.15">
      <c r="A119" s="41">
        <v>11</v>
      </c>
      <c r="B119" s="41" t="s">
        <v>13170</v>
      </c>
      <c r="C119" s="74" t="s">
        <v>13171</v>
      </c>
      <c r="D119" s="274">
        <f>_11_A家事増４．２５</f>
        <v>595</v>
      </c>
      <c r="E119" s="12" t="s">
        <v>392</v>
      </c>
      <c r="F119" s="35"/>
      <c r="I119" s="44" t="s">
        <v>397</v>
      </c>
      <c r="J119" s="218" t="s">
        <v>398</v>
      </c>
      <c r="K119" s="189">
        <v>1</v>
      </c>
      <c r="L119" s="35"/>
      <c r="O119" s="706"/>
      <c r="P119" s="220"/>
      <c r="Q119" s="38"/>
      <c r="R119" s="208">
        <f>ROUND((ROUND((ROUND((ROUND((_11_A家事増４．２５*_11・重度研修),0)*_11・２人),0)*(1+_11・A夜間)),0)*_11・初任),0)</f>
        <v>469</v>
      </c>
      <c r="S119" s="48"/>
    </row>
    <row r="120" spans="1:19" ht="16.5" customHeight="1" x14ac:dyDescent="0.15">
      <c r="A120" s="41">
        <v>11</v>
      </c>
      <c r="B120" s="41">
        <v>8783</v>
      </c>
      <c r="C120" s="74" t="s">
        <v>13172</v>
      </c>
      <c r="D120" s="707" t="s">
        <v>11354</v>
      </c>
      <c r="E120" s="798"/>
      <c r="F120" s="35"/>
      <c r="I120" s="163"/>
      <c r="J120" s="45"/>
      <c r="K120" s="46"/>
      <c r="L120" s="35"/>
      <c r="O120" s="53"/>
      <c r="P120" s="245"/>
      <c r="Q120" s="49"/>
      <c r="R120" s="208">
        <f>ROUND((ROUND((_11_A家事増４．５*_11・重度研修),0)*(1+_11・A夜間)),0)</f>
        <v>709</v>
      </c>
      <c r="S120" s="48"/>
    </row>
    <row r="121" spans="1:19" ht="16.5" customHeight="1" x14ac:dyDescent="0.15">
      <c r="A121" s="41">
        <v>11</v>
      </c>
      <c r="B121" s="41">
        <v>8784</v>
      </c>
      <c r="C121" s="74" t="s">
        <v>13173</v>
      </c>
      <c r="D121" s="799"/>
      <c r="E121" s="796"/>
      <c r="F121" s="35"/>
      <c r="I121" s="44" t="s">
        <v>397</v>
      </c>
      <c r="J121" s="218" t="s">
        <v>398</v>
      </c>
      <c r="K121" s="189">
        <v>1</v>
      </c>
      <c r="L121" s="35"/>
      <c r="O121" s="43"/>
      <c r="P121" s="220"/>
      <c r="Q121" s="37"/>
      <c r="R121" s="208">
        <f>ROUND((ROUND((ROUND((_11_A家事増４．５*_11・重度研修),0)*_11・２人),0)*(1+_11・A夜間)),0)</f>
        <v>709</v>
      </c>
      <c r="S121" s="48"/>
    </row>
    <row r="122" spans="1:19" ht="16.5" customHeight="1" x14ac:dyDescent="0.15">
      <c r="A122" s="41">
        <v>11</v>
      </c>
      <c r="B122" s="41" t="s">
        <v>13174</v>
      </c>
      <c r="C122" s="74" t="s">
        <v>13175</v>
      </c>
      <c r="D122" s="799"/>
      <c r="E122" s="796"/>
      <c r="F122" s="35"/>
      <c r="I122" s="163"/>
      <c r="J122" s="45"/>
      <c r="K122" s="46"/>
      <c r="L122" s="35"/>
      <c r="O122" s="734" t="s">
        <v>404</v>
      </c>
      <c r="P122" s="219" t="s">
        <v>398</v>
      </c>
      <c r="Q122" s="50">
        <f>_11・初任</f>
        <v>0.7</v>
      </c>
      <c r="R122" s="208">
        <f>ROUND((ROUND((ROUND((_11_A家事増４．５*_11・重度研修),0)*(1+_11・A夜間)),0)*_11・初任),0)</f>
        <v>496</v>
      </c>
      <c r="S122" s="48"/>
    </row>
    <row r="123" spans="1:19" ht="16.5" customHeight="1" x14ac:dyDescent="0.15">
      <c r="A123" s="41">
        <v>11</v>
      </c>
      <c r="B123" s="41" t="s">
        <v>13176</v>
      </c>
      <c r="C123" s="74" t="s">
        <v>13177</v>
      </c>
      <c r="D123" s="276">
        <f>_11_A家事増４．５</f>
        <v>630</v>
      </c>
      <c r="E123" s="37" t="s">
        <v>392</v>
      </c>
      <c r="F123" s="43"/>
      <c r="G123" s="37"/>
      <c r="H123" s="38"/>
      <c r="I123" s="44" t="s">
        <v>397</v>
      </c>
      <c r="J123" s="218" t="s">
        <v>398</v>
      </c>
      <c r="K123" s="189">
        <v>1</v>
      </c>
      <c r="L123" s="43"/>
      <c r="M123" s="37"/>
      <c r="N123" s="38"/>
      <c r="O123" s="706"/>
      <c r="P123" s="220"/>
      <c r="Q123" s="38"/>
      <c r="R123" s="208">
        <f>ROUND((ROUND((ROUND((ROUND((_11_A家事増４．５*_11・重度研修),0)*_11・２人),0)*(1+_11・A夜間)),0)*_11・初任),0)</f>
        <v>496</v>
      </c>
      <c r="S123" s="63"/>
    </row>
    <row r="124" spans="1:19" ht="16.5" customHeight="1" x14ac:dyDescent="0.15"/>
    <row r="125" spans="1:19" ht="16.5" customHeight="1" x14ac:dyDescent="0.15"/>
  </sheetData>
  <mergeCells count="60">
    <mergeCell ref="D116:E118"/>
    <mergeCell ref="O118:O119"/>
    <mergeCell ref="D120:E122"/>
    <mergeCell ref="O122:O123"/>
    <mergeCell ref="D104:E106"/>
    <mergeCell ref="O106:O107"/>
    <mergeCell ref="D108:E110"/>
    <mergeCell ref="O110:O111"/>
    <mergeCell ref="D112:E114"/>
    <mergeCell ref="O114:O115"/>
    <mergeCell ref="D92:E94"/>
    <mergeCell ref="O94:O95"/>
    <mergeCell ref="D96:E98"/>
    <mergeCell ref="O98:O99"/>
    <mergeCell ref="D100:E102"/>
    <mergeCell ref="O102:O103"/>
    <mergeCell ref="D80:E82"/>
    <mergeCell ref="O82:O83"/>
    <mergeCell ref="D84:E86"/>
    <mergeCell ref="O86:O87"/>
    <mergeCell ref="D88:E90"/>
    <mergeCell ref="O90:O91"/>
    <mergeCell ref="D68:E70"/>
    <mergeCell ref="O70:O71"/>
    <mergeCell ref="D72:E74"/>
    <mergeCell ref="O74:O75"/>
    <mergeCell ref="D76:E78"/>
    <mergeCell ref="O78:O79"/>
    <mergeCell ref="D56:E58"/>
    <mergeCell ref="O58:O59"/>
    <mergeCell ref="D60:E62"/>
    <mergeCell ref="O62:O63"/>
    <mergeCell ref="D64:E66"/>
    <mergeCell ref="O66:O67"/>
    <mergeCell ref="D39:E41"/>
    <mergeCell ref="O41:O42"/>
    <mergeCell ref="D43:E45"/>
    <mergeCell ref="O45:O46"/>
    <mergeCell ref="D52:E54"/>
    <mergeCell ref="F52:H54"/>
    <mergeCell ref="N53:N54"/>
    <mergeCell ref="O54:O55"/>
    <mergeCell ref="D27:E29"/>
    <mergeCell ref="O29:O30"/>
    <mergeCell ref="D31:E33"/>
    <mergeCell ref="O33:O34"/>
    <mergeCell ref="D35:E37"/>
    <mergeCell ref="O37:O38"/>
    <mergeCell ref="D15:E17"/>
    <mergeCell ref="O17:O18"/>
    <mergeCell ref="D19:E21"/>
    <mergeCell ref="O21:O22"/>
    <mergeCell ref="D23:E25"/>
    <mergeCell ref="O25:O26"/>
    <mergeCell ref="D7:E9"/>
    <mergeCell ref="F7:H9"/>
    <mergeCell ref="N8:N9"/>
    <mergeCell ref="O9:O10"/>
    <mergeCell ref="D11:E13"/>
    <mergeCell ref="O13:O14"/>
  </mergeCells>
  <phoneticPr fontId="1"/>
  <printOptions horizontalCentered="1"/>
  <pageMargins left="0.70866141732283472" right="0.70866141732283472" top="0.74803149606299213" bottom="0.74803149606299213" header="0.31496062992125984" footer="0.31496062992125984"/>
  <pageSetup paperSize="9" scale="49" fitToHeight="0" orientation="portrait" r:id="rId1"/>
  <headerFooter>
    <oddHeader>&amp;R&amp;"ＭＳ Ｐゴシック"&amp;9居宅介護</oddHeader>
    <oddFooter>&amp;C&amp;"ＭＳ Ｐゴシック"&amp;14&amp;P</oddFooter>
  </headerFooter>
  <rowBreaks count="1" manualBreakCount="1">
    <brk id="46" max="18"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3">
    <pageSetUpPr fitToPage="1"/>
  </sheetPr>
  <dimension ref="A1:S112"/>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0" customWidth="1"/>
    <col min="5" max="5" width="4.875" style="12" customWidth="1"/>
    <col min="6" max="6" width="3.125" style="12" customWidth="1"/>
    <col min="7" max="7" width="2.5" style="12" customWidth="1"/>
    <col min="8" max="8" width="4.5" style="13" bestFit="1" customWidth="1"/>
    <col min="9" max="9" width="24.125" style="12" bestFit="1" customWidth="1"/>
    <col min="10" max="10" width="2.5" style="12" customWidth="1"/>
    <col min="11" max="11" width="5.5" style="13" bestFit="1" customWidth="1"/>
    <col min="12" max="12" width="2.5" style="12" customWidth="1"/>
    <col min="13" max="13" width="3.875" style="12" customWidth="1"/>
    <col min="14" max="14" width="4.5" style="13" bestFit="1" customWidth="1"/>
    <col min="15" max="15" width="17.875" style="12" customWidth="1"/>
    <col min="16" max="16" width="2.5" style="242" customWidth="1"/>
    <col min="17" max="17" width="4.5" style="13" bestFit="1" customWidth="1"/>
    <col min="18" max="18" width="7.125" style="15" customWidth="1"/>
    <col min="19" max="19" width="8.5" style="16" customWidth="1"/>
    <col min="20" max="16384" width="8.875" style="12"/>
  </cols>
  <sheetData>
    <row r="1" spans="1:19" ht="17.100000000000001" customHeight="1" x14ac:dyDescent="0.15"/>
    <row r="2" spans="1:19" ht="17.100000000000001" customHeight="1" x14ac:dyDescent="0.15"/>
    <row r="3" spans="1:19" ht="17.100000000000001" customHeight="1" x14ac:dyDescent="0.15"/>
    <row r="4" spans="1:19" ht="17.100000000000001" customHeight="1" x14ac:dyDescent="0.15">
      <c r="B4" s="17" t="s">
        <v>13178</v>
      </c>
      <c r="D4" s="71"/>
    </row>
    <row r="5" spans="1:19" ht="16.5" customHeight="1" x14ac:dyDescent="0.15">
      <c r="A5" s="19" t="s">
        <v>384</v>
      </c>
      <c r="B5" s="20"/>
      <c r="C5" s="21" t="s">
        <v>385</v>
      </c>
      <c r="D5" s="23" t="s">
        <v>386</v>
      </c>
      <c r="E5" s="23"/>
      <c r="F5" s="23"/>
      <c r="G5" s="23"/>
      <c r="H5" s="24"/>
      <c r="I5" s="23"/>
      <c r="J5" s="23"/>
      <c r="K5" s="24"/>
      <c r="L5" s="23"/>
      <c r="M5" s="23"/>
      <c r="N5" s="24"/>
      <c r="O5" s="23"/>
      <c r="P5" s="23"/>
      <c r="Q5" s="24"/>
      <c r="R5" s="25" t="s">
        <v>387</v>
      </c>
      <c r="S5" s="21" t="s">
        <v>388</v>
      </c>
    </row>
    <row r="6" spans="1:19" ht="16.5" customHeight="1" x14ac:dyDescent="0.15">
      <c r="A6" s="26" t="s">
        <v>389</v>
      </c>
      <c r="B6" s="26" t="s">
        <v>390</v>
      </c>
      <c r="C6" s="27"/>
      <c r="D6" s="29"/>
      <c r="E6" s="29"/>
      <c r="F6" s="29"/>
      <c r="G6" s="29"/>
      <c r="H6" s="30"/>
      <c r="I6" s="29"/>
      <c r="J6" s="29"/>
      <c r="K6" s="30"/>
      <c r="L6" s="29"/>
      <c r="M6" s="29"/>
      <c r="N6" s="30"/>
      <c r="O6" s="29"/>
      <c r="P6" s="214"/>
      <c r="Q6" s="30"/>
      <c r="R6" s="31" t="s">
        <v>391</v>
      </c>
      <c r="S6" s="32" t="s">
        <v>392</v>
      </c>
    </row>
    <row r="7" spans="1:19" ht="16.5" customHeight="1" x14ac:dyDescent="0.15">
      <c r="A7" s="33">
        <v>11</v>
      </c>
      <c r="B7" s="33">
        <v>8785</v>
      </c>
      <c r="C7" s="34" t="s">
        <v>13179</v>
      </c>
      <c r="D7" s="709" t="s">
        <v>11368</v>
      </c>
      <c r="E7" s="797"/>
      <c r="F7" s="709" t="s">
        <v>11707</v>
      </c>
      <c r="G7" s="787"/>
      <c r="H7" s="802"/>
      <c r="I7" s="37"/>
      <c r="J7" s="37"/>
      <c r="K7" s="38"/>
      <c r="L7" s="35" t="s">
        <v>862</v>
      </c>
      <c r="N7" s="234"/>
      <c r="O7" s="35"/>
      <c r="R7" s="39">
        <f>ROUND((ROUND((_11_A家事増０．２５*_11・重度研修),0)*(1+_11・A深夜)),0)</f>
        <v>48</v>
      </c>
      <c r="S7" s="40" t="s">
        <v>395</v>
      </c>
    </row>
    <row r="8" spans="1:19" ht="16.5" customHeight="1" x14ac:dyDescent="0.15">
      <c r="A8" s="41">
        <v>11</v>
      </c>
      <c r="B8" s="41">
        <v>8786</v>
      </c>
      <c r="C8" s="74" t="s">
        <v>13180</v>
      </c>
      <c r="D8" s="799"/>
      <c r="E8" s="797"/>
      <c r="F8" s="722"/>
      <c r="G8" s="787"/>
      <c r="H8" s="802"/>
      <c r="I8" s="44" t="s">
        <v>397</v>
      </c>
      <c r="J8" s="218" t="s">
        <v>398</v>
      </c>
      <c r="K8" s="46">
        <v>1</v>
      </c>
      <c r="L8" s="258" t="s">
        <v>398</v>
      </c>
      <c r="M8" s="13">
        <v>0.5</v>
      </c>
      <c r="N8" s="718" t="s">
        <v>676</v>
      </c>
      <c r="O8" s="43"/>
      <c r="P8" s="220"/>
      <c r="Q8" s="38"/>
      <c r="R8" s="47">
        <f>ROUND((ROUND((ROUND((_11_A家事増０．２５*_11・重度研修),0)*_11・２人),0)*(1+_11・A深夜)),0)</f>
        <v>48</v>
      </c>
      <c r="S8" s="48"/>
    </row>
    <row r="9" spans="1:19" ht="16.5" customHeight="1" x14ac:dyDescent="0.15">
      <c r="A9" s="41">
        <v>11</v>
      </c>
      <c r="B9" s="41" t="s">
        <v>13181</v>
      </c>
      <c r="C9" s="74" t="s">
        <v>13182</v>
      </c>
      <c r="D9" s="799"/>
      <c r="E9" s="797"/>
      <c r="F9" s="722"/>
      <c r="G9" s="787"/>
      <c r="H9" s="802"/>
      <c r="I9" s="45"/>
      <c r="J9" s="45"/>
      <c r="K9" s="46"/>
      <c r="L9" s="35"/>
      <c r="N9" s="796"/>
      <c r="O9" s="734" t="s">
        <v>404</v>
      </c>
      <c r="P9" s="219" t="s">
        <v>398</v>
      </c>
      <c r="Q9" s="50">
        <f>_11・初任</f>
        <v>0.7</v>
      </c>
      <c r="R9" s="47">
        <f>ROUND((ROUND((ROUND((_11_A家事増０．２５*_11・重度研修),0)*(1+_11・A深夜)),0)*_11・初任),0)</f>
        <v>34</v>
      </c>
      <c r="S9" s="48"/>
    </row>
    <row r="10" spans="1:19" ht="16.5" customHeight="1" x14ac:dyDescent="0.15">
      <c r="A10" s="41">
        <v>11</v>
      </c>
      <c r="B10" s="41" t="s">
        <v>13183</v>
      </c>
      <c r="C10" s="74" t="s">
        <v>13184</v>
      </c>
      <c r="D10" s="274">
        <f>_11_A家事増０．２５</f>
        <v>35</v>
      </c>
      <c r="E10" s="12" t="s">
        <v>392</v>
      </c>
      <c r="F10" s="35"/>
      <c r="G10" s="16" t="s">
        <v>398</v>
      </c>
      <c r="H10" s="234">
        <v>0.9</v>
      </c>
      <c r="I10" s="44" t="s">
        <v>397</v>
      </c>
      <c r="J10" s="218" t="s">
        <v>398</v>
      </c>
      <c r="K10" s="189">
        <v>1</v>
      </c>
      <c r="L10" s="35"/>
      <c r="O10" s="706"/>
      <c r="P10" s="220"/>
      <c r="Q10" s="38"/>
      <c r="R10" s="47">
        <f>ROUND((ROUND((ROUND((ROUND((_11_A家事増０．２５*_11・重度研修),0)*_11・２人),0)*(1+_11・A深夜)),0)*_11・初任),0)</f>
        <v>34</v>
      </c>
      <c r="S10" s="48"/>
    </row>
    <row r="11" spans="1:19" ht="16.5" customHeight="1" x14ac:dyDescent="0.15">
      <c r="A11" s="41">
        <v>11</v>
      </c>
      <c r="B11" s="41">
        <v>8787</v>
      </c>
      <c r="C11" s="74" t="s">
        <v>13185</v>
      </c>
      <c r="D11" s="707" t="s">
        <v>11381</v>
      </c>
      <c r="E11" s="798"/>
      <c r="F11" s="35"/>
      <c r="I11" s="163"/>
      <c r="J11" s="45"/>
      <c r="K11" s="46"/>
      <c r="L11" s="35"/>
      <c r="O11" s="53"/>
      <c r="P11" s="245"/>
      <c r="Q11" s="50"/>
      <c r="R11" s="47">
        <f>ROUND((ROUND((_11_A家事増０．５*_11・重度研修),0)*(1+_11・A深夜)),0)</f>
        <v>95</v>
      </c>
      <c r="S11" s="48"/>
    </row>
    <row r="12" spans="1:19" ht="16.5" customHeight="1" x14ac:dyDescent="0.15">
      <c r="A12" s="41">
        <v>11</v>
      </c>
      <c r="B12" s="41">
        <v>8788</v>
      </c>
      <c r="C12" s="74" t="s">
        <v>13186</v>
      </c>
      <c r="D12" s="799"/>
      <c r="E12" s="796"/>
      <c r="F12" s="35"/>
      <c r="I12" s="44" t="s">
        <v>397</v>
      </c>
      <c r="J12" s="218" t="s">
        <v>398</v>
      </c>
      <c r="K12" s="189">
        <v>1</v>
      </c>
      <c r="L12" s="35"/>
      <c r="O12" s="43"/>
      <c r="P12" s="220"/>
      <c r="Q12" s="38"/>
      <c r="R12" s="47">
        <f>ROUND((ROUND((ROUND((_11_A家事増０．５*_11・重度研修),0)*_11・２人),0)*(1+_11・A深夜)),0)</f>
        <v>95</v>
      </c>
      <c r="S12" s="48"/>
    </row>
    <row r="13" spans="1:19" ht="16.5" customHeight="1" x14ac:dyDescent="0.15">
      <c r="A13" s="41">
        <v>11</v>
      </c>
      <c r="B13" s="41" t="s">
        <v>13187</v>
      </c>
      <c r="C13" s="74" t="s">
        <v>13188</v>
      </c>
      <c r="D13" s="799"/>
      <c r="E13" s="796"/>
      <c r="F13" s="35"/>
      <c r="I13" s="163"/>
      <c r="J13" s="45"/>
      <c r="K13" s="46"/>
      <c r="L13" s="35"/>
      <c r="O13" s="734" t="s">
        <v>404</v>
      </c>
      <c r="P13" s="219" t="s">
        <v>398</v>
      </c>
      <c r="Q13" s="50">
        <f>_11・初任</f>
        <v>0.7</v>
      </c>
      <c r="R13" s="47">
        <f>ROUND((ROUND((ROUND((_11_A家事増０．５*_11・重度研修),0)*(1+_11・A深夜)),0)*_11・初任),0)</f>
        <v>67</v>
      </c>
      <c r="S13" s="48"/>
    </row>
    <row r="14" spans="1:19" ht="16.5" customHeight="1" x14ac:dyDescent="0.15">
      <c r="A14" s="41">
        <v>11</v>
      </c>
      <c r="B14" s="41" t="s">
        <v>13189</v>
      </c>
      <c r="C14" s="74" t="s">
        <v>13190</v>
      </c>
      <c r="D14" s="274">
        <f>_11_A家事増０．５</f>
        <v>70</v>
      </c>
      <c r="E14" s="12" t="s">
        <v>392</v>
      </c>
      <c r="F14" s="35"/>
      <c r="I14" s="44" t="s">
        <v>397</v>
      </c>
      <c r="J14" s="218" t="s">
        <v>398</v>
      </c>
      <c r="K14" s="189">
        <v>1</v>
      </c>
      <c r="L14" s="35"/>
      <c r="O14" s="706"/>
      <c r="P14" s="220"/>
      <c r="Q14" s="38"/>
      <c r="R14" s="47">
        <f>ROUND((ROUND((ROUND((ROUND((_11_A家事増０．５*_11・重度研修),0)*_11・２人),0)*(1+_11・A深夜)),0)*_11・初任),0)</f>
        <v>67</v>
      </c>
      <c r="S14" s="48"/>
    </row>
    <row r="15" spans="1:19" ht="16.5" customHeight="1" x14ac:dyDescent="0.15">
      <c r="A15" s="41">
        <v>11</v>
      </c>
      <c r="B15" s="41">
        <v>8789</v>
      </c>
      <c r="C15" s="74" t="s">
        <v>13191</v>
      </c>
      <c r="D15" s="707" t="s">
        <v>11394</v>
      </c>
      <c r="E15" s="798"/>
      <c r="F15" s="35"/>
      <c r="I15" s="163"/>
      <c r="J15" s="45"/>
      <c r="K15" s="46"/>
      <c r="L15" s="35"/>
      <c r="O15" s="53"/>
      <c r="P15" s="245"/>
      <c r="Q15" s="49"/>
      <c r="R15" s="47">
        <f>ROUND((ROUND((_11_A家事増０．７５*_11・重度研修),0)*(1+_11・A深夜)),0)</f>
        <v>143</v>
      </c>
      <c r="S15" s="48"/>
    </row>
    <row r="16" spans="1:19" ht="16.5" customHeight="1" x14ac:dyDescent="0.15">
      <c r="A16" s="41">
        <v>11</v>
      </c>
      <c r="B16" s="41">
        <v>8790</v>
      </c>
      <c r="C16" s="74" t="s">
        <v>13192</v>
      </c>
      <c r="D16" s="799"/>
      <c r="E16" s="796"/>
      <c r="F16" s="35"/>
      <c r="I16" s="44" t="s">
        <v>397</v>
      </c>
      <c r="J16" s="218" t="s">
        <v>398</v>
      </c>
      <c r="K16" s="189">
        <v>1</v>
      </c>
      <c r="L16" s="35"/>
      <c r="O16" s="43"/>
      <c r="P16" s="220"/>
      <c r="Q16" s="37"/>
      <c r="R16" s="47">
        <f>ROUND((ROUND((ROUND((_11_A家事増０．７５*_11・重度研修),0)*_11・２人),0)*(1+_11・A深夜)),0)</f>
        <v>143</v>
      </c>
      <c r="S16" s="48"/>
    </row>
    <row r="17" spans="1:19" ht="16.5" customHeight="1" x14ac:dyDescent="0.15">
      <c r="A17" s="41">
        <v>11</v>
      </c>
      <c r="B17" s="41" t="s">
        <v>13193</v>
      </c>
      <c r="C17" s="74" t="s">
        <v>13194</v>
      </c>
      <c r="D17" s="799"/>
      <c r="E17" s="796"/>
      <c r="F17" s="35"/>
      <c r="I17" s="163"/>
      <c r="J17" s="45"/>
      <c r="K17" s="46"/>
      <c r="L17" s="35"/>
      <c r="O17" s="734" t="s">
        <v>404</v>
      </c>
      <c r="P17" s="219" t="s">
        <v>398</v>
      </c>
      <c r="Q17" s="50">
        <f>_11・初任</f>
        <v>0.7</v>
      </c>
      <c r="R17" s="47">
        <f>ROUND((ROUND((ROUND((_11_A家事増０．７５*_11・重度研修),0)*(1+_11・A深夜)),0)*_11・初任),0)</f>
        <v>100</v>
      </c>
      <c r="S17" s="48"/>
    </row>
    <row r="18" spans="1:19" ht="16.5" customHeight="1" x14ac:dyDescent="0.15">
      <c r="A18" s="41">
        <v>11</v>
      </c>
      <c r="B18" s="41" t="s">
        <v>13195</v>
      </c>
      <c r="C18" s="74" t="s">
        <v>13196</v>
      </c>
      <c r="D18" s="274">
        <f>_11_A家事増０．７５</f>
        <v>105</v>
      </c>
      <c r="E18" s="12" t="s">
        <v>392</v>
      </c>
      <c r="F18" s="35"/>
      <c r="I18" s="44" t="s">
        <v>397</v>
      </c>
      <c r="J18" s="218" t="s">
        <v>398</v>
      </c>
      <c r="K18" s="189">
        <v>1</v>
      </c>
      <c r="L18" s="35"/>
      <c r="O18" s="706"/>
      <c r="P18" s="220"/>
      <c r="Q18" s="38"/>
      <c r="R18" s="47">
        <f>ROUND((ROUND((ROUND((ROUND((_11_A家事増０．７５*_11・重度研修),0)*_11・２人),0)*(1+_11・A深夜)),0)*_11・初任),0)</f>
        <v>100</v>
      </c>
      <c r="S18" s="48"/>
    </row>
    <row r="19" spans="1:19" ht="16.5" customHeight="1" x14ac:dyDescent="0.15">
      <c r="A19" s="41">
        <v>11</v>
      </c>
      <c r="B19" s="41">
        <v>8791</v>
      </c>
      <c r="C19" s="74" t="s">
        <v>13197</v>
      </c>
      <c r="D19" s="707" t="s">
        <v>11407</v>
      </c>
      <c r="E19" s="798"/>
      <c r="F19" s="35"/>
      <c r="I19" s="163"/>
      <c r="J19" s="45"/>
      <c r="K19" s="46"/>
      <c r="L19" s="35"/>
      <c r="O19" s="53"/>
      <c r="P19" s="245"/>
      <c r="Q19" s="50"/>
      <c r="R19" s="47">
        <f>ROUND((ROUND((_11_A家事増１．０*_11・重度研修),0)*(1+_11・A深夜)),0)</f>
        <v>189</v>
      </c>
      <c r="S19" s="48"/>
    </row>
    <row r="20" spans="1:19" ht="16.5" customHeight="1" x14ac:dyDescent="0.15">
      <c r="A20" s="41">
        <v>11</v>
      </c>
      <c r="B20" s="41">
        <v>8792</v>
      </c>
      <c r="C20" s="74" t="s">
        <v>13198</v>
      </c>
      <c r="D20" s="799"/>
      <c r="E20" s="796"/>
      <c r="F20" s="35"/>
      <c r="I20" s="44" t="s">
        <v>397</v>
      </c>
      <c r="J20" s="218" t="s">
        <v>398</v>
      </c>
      <c r="K20" s="189">
        <v>1</v>
      </c>
      <c r="L20" s="35"/>
      <c r="O20" s="43"/>
      <c r="P20" s="220"/>
      <c r="Q20" s="38"/>
      <c r="R20" s="47">
        <f>ROUND((ROUND((ROUND((_11_A家事増１．０*_11・重度研修),0)*_11・２人),0)*(1+_11・A深夜)),0)</f>
        <v>189</v>
      </c>
      <c r="S20" s="48"/>
    </row>
    <row r="21" spans="1:19" ht="16.5" customHeight="1" x14ac:dyDescent="0.15">
      <c r="A21" s="41">
        <v>11</v>
      </c>
      <c r="B21" s="41" t="s">
        <v>13199</v>
      </c>
      <c r="C21" s="74" t="s">
        <v>13200</v>
      </c>
      <c r="D21" s="799"/>
      <c r="E21" s="796"/>
      <c r="F21" s="35"/>
      <c r="I21" s="163"/>
      <c r="J21" s="45"/>
      <c r="K21" s="46"/>
      <c r="L21" s="35"/>
      <c r="O21" s="734" t="s">
        <v>404</v>
      </c>
      <c r="P21" s="219" t="s">
        <v>398</v>
      </c>
      <c r="Q21" s="50">
        <f>_11・初任</f>
        <v>0.7</v>
      </c>
      <c r="R21" s="47">
        <f>ROUND((ROUND((ROUND((_11_A家事増１．０*_11・重度研修),0)*(1+_11・A深夜)),0)*_11・初任),0)</f>
        <v>132</v>
      </c>
      <c r="S21" s="48"/>
    </row>
    <row r="22" spans="1:19" ht="16.5" customHeight="1" x14ac:dyDescent="0.15">
      <c r="A22" s="41">
        <v>11</v>
      </c>
      <c r="B22" s="41" t="s">
        <v>13201</v>
      </c>
      <c r="C22" s="74" t="s">
        <v>13202</v>
      </c>
      <c r="D22" s="274">
        <f>_11_A家事増１．０</f>
        <v>140</v>
      </c>
      <c r="E22" s="12" t="s">
        <v>392</v>
      </c>
      <c r="F22" s="35"/>
      <c r="I22" s="44" t="s">
        <v>397</v>
      </c>
      <c r="J22" s="218" t="s">
        <v>398</v>
      </c>
      <c r="K22" s="189">
        <v>1</v>
      </c>
      <c r="L22" s="35"/>
      <c r="O22" s="706"/>
      <c r="P22" s="220"/>
      <c r="Q22" s="38"/>
      <c r="R22" s="47">
        <f>ROUND((ROUND((ROUND((ROUND((_11_A家事増１．０*_11・重度研修),0)*_11・２人),0)*(1+_11・A深夜)),0)*_11・初任),0)</f>
        <v>132</v>
      </c>
      <c r="S22" s="48"/>
    </row>
    <row r="23" spans="1:19" ht="16.5" customHeight="1" x14ac:dyDescent="0.15">
      <c r="A23" s="41">
        <v>11</v>
      </c>
      <c r="B23" s="41">
        <v>8793</v>
      </c>
      <c r="C23" s="74" t="s">
        <v>13203</v>
      </c>
      <c r="D23" s="707" t="s">
        <v>11420</v>
      </c>
      <c r="E23" s="798"/>
      <c r="F23" s="35"/>
      <c r="I23" s="163"/>
      <c r="J23" s="45"/>
      <c r="K23" s="46"/>
      <c r="L23" s="35"/>
      <c r="O23" s="53"/>
      <c r="P23" s="245"/>
      <c r="Q23" s="50"/>
      <c r="R23" s="47">
        <f>ROUND((ROUND((_11_A家事増１．２５*_11・重度研修),0)*(1+_11・A深夜)),0)</f>
        <v>237</v>
      </c>
      <c r="S23" s="48"/>
    </row>
    <row r="24" spans="1:19" ht="16.5" customHeight="1" x14ac:dyDescent="0.15">
      <c r="A24" s="41">
        <v>11</v>
      </c>
      <c r="B24" s="41">
        <v>8794</v>
      </c>
      <c r="C24" s="74" t="s">
        <v>13204</v>
      </c>
      <c r="D24" s="799"/>
      <c r="E24" s="796"/>
      <c r="F24" s="35"/>
      <c r="I24" s="44" t="s">
        <v>397</v>
      </c>
      <c r="J24" s="218" t="s">
        <v>398</v>
      </c>
      <c r="K24" s="189">
        <v>1</v>
      </c>
      <c r="L24" s="35"/>
      <c r="O24" s="43"/>
      <c r="P24" s="220"/>
      <c r="Q24" s="38"/>
      <c r="R24" s="47">
        <f>ROUND((ROUND((ROUND((_11_A家事増１．２５*_11・重度研修),0)*_11・２人),0)*(1+_11・A深夜)),0)</f>
        <v>237</v>
      </c>
      <c r="S24" s="48"/>
    </row>
    <row r="25" spans="1:19" ht="16.5" customHeight="1" x14ac:dyDescent="0.15">
      <c r="A25" s="41">
        <v>11</v>
      </c>
      <c r="B25" s="41" t="s">
        <v>13205</v>
      </c>
      <c r="C25" s="74" t="s">
        <v>13206</v>
      </c>
      <c r="D25" s="799"/>
      <c r="E25" s="796"/>
      <c r="F25" s="35"/>
      <c r="I25" s="163"/>
      <c r="J25" s="45"/>
      <c r="K25" s="46"/>
      <c r="L25" s="35"/>
      <c r="O25" s="734" t="s">
        <v>404</v>
      </c>
      <c r="P25" s="219" t="s">
        <v>398</v>
      </c>
      <c r="Q25" s="50">
        <f>_11・初任</f>
        <v>0.7</v>
      </c>
      <c r="R25" s="47">
        <f>ROUND((ROUND((ROUND((_11_A家事増１．２５*_11・重度研修),0)*(1+_11・A深夜)),0)*_11・初任),0)</f>
        <v>166</v>
      </c>
      <c r="S25" s="48"/>
    </row>
    <row r="26" spans="1:19" ht="16.5" customHeight="1" x14ac:dyDescent="0.15">
      <c r="A26" s="41">
        <v>11</v>
      </c>
      <c r="B26" s="41" t="s">
        <v>13207</v>
      </c>
      <c r="C26" s="74" t="s">
        <v>13208</v>
      </c>
      <c r="D26" s="274">
        <f>_11_A家事増１．２５</f>
        <v>175</v>
      </c>
      <c r="E26" s="12" t="s">
        <v>392</v>
      </c>
      <c r="F26" s="35"/>
      <c r="I26" s="44" t="s">
        <v>397</v>
      </c>
      <c r="J26" s="218" t="s">
        <v>398</v>
      </c>
      <c r="K26" s="189">
        <v>1</v>
      </c>
      <c r="L26" s="35"/>
      <c r="O26" s="706"/>
      <c r="P26" s="220"/>
      <c r="Q26" s="38"/>
      <c r="R26" s="47">
        <f>ROUND((ROUND((ROUND((ROUND((_11_A家事増１．２５*_11・重度研修),0)*_11・２人),0)*(1+_11・A深夜)),0)*_11・初任),0)</f>
        <v>166</v>
      </c>
      <c r="S26" s="48"/>
    </row>
    <row r="27" spans="1:19" ht="16.5" customHeight="1" x14ac:dyDescent="0.15">
      <c r="A27" s="41">
        <v>11</v>
      </c>
      <c r="B27" s="41">
        <v>8795</v>
      </c>
      <c r="C27" s="74" t="s">
        <v>13209</v>
      </c>
      <c r="D27" s="707" t="s">
        <v>11433</v>
      </c>
      <c r="E27" s="798"/>
      <c r="F27" s="35"/>
      <c r="I27" s="163"/>
      <c r="J27" s="45"/>
      <c r="K27" s="46"/>
      <c r="L27" s="35"/>
      <c r="O27" s="53"/>
      <c r="P27" s="245"/>
      <c r="Q27" s="49"/>
      <c r="R27" s="47">
        <f>ROUND((ROUND((_11_A家事増１．５*_11・重度研修),0)*(1+_11・A深夜)),0)</f>
        <v>284</v>
      </c>
      <c r="S27" s="48"/>
    </row>
    <row r="28" spans="1:19" ht="16.5" customHeight="1" x14ac:dyDescent="0.15">
      <c r="A28" s="41">
        <v>11</v>
      </c>
      <c r="B28" s="41">
        <v>8796</v>
      </c>
      <c r="C28" s="74" t="s">
        <v>13210</v>
      </c>
      <c r="D28" s="799"/>
      <c r="E28" s="796"/>
      <c r="F28" s="35"/>
      <c r="I28" s="44" t="s">
        <v>397</v>
      </c>
      <c r="J28" s="218" t="s">
        <v>398</v>
      </c>
      <c r="K28" s="189">
        <v>1</v>
      </c>
      <c r="L28" s="35"/>
      <c r="O28" s="43"/>
      <c r="P28" s="220"/>
      <c r="Q28" s="37"/>
      <c r="R28" s="47">
        <f>ROUND((ROUND((ROUND((_11_A家事増１．５*_11・重度研修),0)*_11・２人),0)*(1+_11・A深夜)),0)</f>
        <v>284</v>
      </c>
      <c r="S28" s="48"/>
    </row>
    <row r="29" spans="1:19" ht="16.5" customHeight="1" x14ac:dyDescent="0.15">
      <c r="A29" s="41">
        <v>11</v>
      </c>
      <c r="B29" s="41" t="s">
        <v>13211</v>
      </c>
      <c r="C29" s="74" t="s">
        <v>13212</v>
      </c>
      <c r="D29" s="799"/>
      <c r="E29" s="796"/>
      <c r="F29" s="35"/>
      <c r="I29" s="163"/>
      <c r="J29" s="45"/>
      <c r="K29" s="46"/>
      <c r="L29" s="35"/>
      <c r="O29" s="734" t="s">
        <v>404</v>
      </c>
      <c r="P29" s="219" t="s">
        <v>398</v>
      </c>
      <c r="Q29" s="50">
        <f>_11・初任</f>
        <v>0.7</v>
      </c>
      <c r="R29" s="47">
        <f>ROUND((ROUND((ROUND((_11_A家事増１．５*_11・重度研修),0)*(1+_11・A深夜)),0)*_11・初任),0)</f>
        <v>199</v>
      </c>
      <c r="S29" s="48"/>
    </row>
    <row r="30" spans="1:19" ht="16.5" customHeight="1" x14ac:dyDescent="0.15">
      <c r="A30" s="41">
        <v>11</v>
      </c>
      <c r="B30" s="41" t="s">
        <v>13213</v>
      </c>
      <c r="C30" s="74" t="s">
        <v>13214</v>
      </c>
      <c r="D30" s="274">
        <f>_11_A家事増１．５</f>
        <v>210</v>
      </c>
      <c r="E30" s="12" t="s">
        <v>392</v>
      </c>
      <c r="F30" s="35"/>
      <c r="I30" s="44" t="s">
        <v>397</v>
      </c>
      <c r="J30" s="218" t="s">
        <v>398</v>
      </c>
      <c r="K30" s="189">
        <v>1</v>
      </c>
      <c r="L30" s="35"/>
      <c r="O30" s="706"/>
      <c r="P30" s="220"/>
      <c r="Q30" s="38"/>
      <c r="R30" s="47">
        <f>ROUND((ROUND((ROUND((ROUND((_11_A家事増１．５*_11・重度研修),0)*_11・２人),0)*(1+_11・A深夜)),0)*_11・初任),0)</f>
        <v>199</v>
      </c>
      <c r="S30" s="48"/>
    </row>
    <row r="31" spans="1:19" ht="16.5" customHeight="1" x14ac:dyDescent="0.15">
      <c r="A31" s="41">
        <v>11</v>
      </c>
      <c r="B31" s="41">
        <v>8797</v>
      </c>
      <c r="C31" s="74" t="s">
        <v>13215</v>
      </c>
      <c r="D31" s="707" t="s">
        <v>11446</v>
      </c>
      <c r="E31" s="798"/>
      <c r="F31" s="35"/>
      <c r="I31" s="163"/>
      <c r="J31" s="45"/>
      <c r="K31" s="46"/>
      <c r="L31" s="35"/>
      <c r="O31" s="53"/>
      <c r="P31" s="245"/>
      <c r="Q31" s="50"/>
      <c r="R31" s="47">
        <f>ROUND((ROUND((_11_A家事増１．７５*_11・重度研修),0)*(1+_11・A深夜)),0)</f>
        <v>332</v>
      </c>
      <c r="S31" s="48"/>
    </row>
    <row r="32" spans="1:19" ht="16.5" customHeight="1" x14ac:dyDescent="0.15">
      <c r="A32" s="41">
        <v>11</v>
      </c>
      <c r="B32" s="41">
        <v>8798</v>
      </c>
      <c r="C32" s="74" t="s">
        <v>13216</v>
      </c>
      <c r="D32" s="799"/>
      <c r="E32" s="796"/>
      <c r="F32" s="35"/>
      <c r="I32" s="44" t="s">
        <v>397</v>
      </c>
      <c r="J32" s="218" t="s">
        <v>398</v>
      </c>
      <c r="K32" s="189">
        <v>1</v>
      </c>
      <c r="L32" s="35"/>
      <c r="O32" s="43"/>
      <c r="P32" s="220"/>
      <c r="Q32" s="38"/>
      <c r="R32" s="47">
        <f>ROUND((ROUND((ROUND((_11_A家事増１．７５*_11・重度研修),0)*_11・２人),0)*(1+_11・A深夜)),0)</f>
        <v>332</v>
      </c>
      <c r="S32" s="48"/>
    </row>
    <row r="33" spans="1:19" ht="16.5" customHeight="1" x14ac:dyDescent="0.15">
      <c r="A33" s="41">
        <v>11</v>
      </c>
      <c r="B33" s="41" t="s">
        <v>13217</v>
      </c>
      <c r="C33" s="74" t="s">
        <v>13218</v>
      </c>
      <c r="D33" s="799"/>
      <c r="E33" s="796"/>
      <c r="F33" s="35"/>
      <c r="I33" s="163"/>
      <c r="J33" s="45"/>
      <c r="K33" s="46"/>
      <c r="L33" s="35"/>
      <c r="O33" s="734" t="s">
        <v>404</v>
      </c>
      <c r="P33" s="219" t="s">
        <v>398</v>
      </c>
      <c r="Q33" s="50">
        <f>_11・初任</f>
        <v>0.7</v>
      </c>
      <c r="R33" s="47">
        <f>ROUND((ROUND((ROUND((_11_A家事増１．７５*_11・重度研修),0)*(1+_11・A深夜)),0)*_11・初任),0)</f>
        <v>232</v>
      </c>
      <c r="S33" s="48"/>
    </row>
    <row r="34" spans="1:19" ht="16.5" customHeight="1" x14ac:dyDescent="0.15">
      <c r="A34" s="41">
        <v>11</v>
      </c>
      <c r="B34" s="41" t="s">
        <v>13219</v>
      </c>
      <c r="C34" s="74" t="s">
        <v>13220</v>
      </c>
      <c r="D34" s="274">
        <f>_11_A家事増１．７５</f>
        <v>245</v>
      </c>
      <c r="E34" s="12" t="s">
        <v>392</v>
      </c>
      <c r="F34" s="35"/>
      <c r="I34" s="44" t="s">
        <v>397</v>
      </c>
      <c r="J34" s="218" t="s">
        <v>398</v>
      </c>
      <c r="K34" s="189">
        <v>1</v>
      </c>
      <c r="L34" s="35"/>
      <c r="O34" s="706"/>
      <c r="P34" s="220"/>
      <c r="Q34" s="38"/>
      <c r="R34" s="47">
        <f>ROUND((ROUND((ROUND((ROUND((_11_A家事増１．７５*_11・重度研修),0)*_11・２人),0)*(1+_11・A深夜)),0)*_11・初任),0)</f>
        <v>232</v>
      </c>
      <c r="S34" s="48"/>
    </row>
    <row r="35" spans="1:19" ht="16.5" customHeight="1" x14ac:dyDescent="0.15">
      <c r="A35" s="41">
        <v>11</v>
      </c>
      <c r="B35" s="41">
        <v>8799</v>
      </c>
      <c r="C35" s="74" t="s">
        <v>13221</v>
      </c>
      <c r="D35" s="707" t="s">
        <v>11459</v>
      </c>
      <c r="E35" s="798"/>
      <c r="F35" s="35"/>
      <c r="H35" s="234"/>
      <c r="I35" s="45"/>
      <c r="J35" s="45"/>
      <c r="K35" s="46"/>
      <c r="L35" s="35"/>
      <c r="O35" s="53"/>
      <c r="P35" s="245"/>
      <c r="Q35" s="50"/>
      <c r="R35" s="47">
        <f>ROUND((ROUND((_11_A家事増２．０*_11・重度研修),0)*(1+_11・A深夜)),0)</f>
        <v>378</v>
      </c>
      <c r="S35" s="48"/>
    </row>
    <row r="36" spans="1:19" ht="16.5" customHeight="1" x14ac:dyDescent="0.15">
      <c r="A36" s="41">
        <v>11</v>
      </c>
      <c r="B36" s="41">
        <v>8800</v>
      </c>
      <c r="C36" s="74" t="s">
        <v>13222</v>
      </c>
      <c r="D36" s="799"/>
      <c r="E36" s="796"/>
      <c r="F36" s="35"/>
      <c r="H36" s="234"/>
      <c r="I36" s="217" t="s">
        <v>397</v>
      </c>
      <c r="J36" s="218" t="s">
        <v>398</v>
      </c>
      <c r="K36" s="46">
        <v>1</v>
      </c>
      <c r="L36" s="35"/>
      <c r="O36" s="43"/>
      <c r="P36" s="220"/>
      <c r="Q36" s="38"/>
      <c r="R36" s="47">
        <f>ROUND((ROUND((ROUND((_11_A家事増２．０*_11・重度研修),0)*_11・２人),0)*(1+_11・A深夜)),0)</f>
        <v>378</v>
      </c>
      <c r="S36" s="48"/>
    </row>
    <row r="37" spans="1:19" ht="16.5" customHeight="1" x14ac:dyDescent="0.15">
      <c r="A37" s="41">
        <v>11</v>
      </c>
      <c r="B37" s="41" t="s">
        <v>13223</v>
      </c>
      <c r="C37" s="74" t="s">
        <v>13224</v>
      </c>
      <c r="D37" s="799"/>
      <c r="E37" s="796"/>
      <c r="F37" s="35"/>
      <c r="H37" s="234"/>
      <c r="I37" s="45"/>
      <c r="J37" s="45"/>
      <c r="K37" s="46"/>
      <c r="L37" s="35"/>
      <c r="O37" s="734" t="s">
        <v>404</v>
      </c>
      <c r="P37" s="219" t="s">
        <v>398</v>
      </c>
      <c r="Q37" s="50">
        <f>_11・初任</f>
        <v>0.7</v>
      </c>
      <c r="R37" s="47">
        <f>ROUND((ROUND((ROUND((_11_A家事増２．０*_11・重度研修),0)*(1+_11・A深夜)),0)*_11・初任),0)</f>
        <v>265</v>
      </c>
      <c r="S37" s="48"/>
    </row>
    <row r="38" spans="1:19" ht="16.5" customHeight="1" x14ac:dyDescent="0.15">
      <c r="A38" s="41">
        <v>11</v>
      </c>
      <c r="B38" s="41" t="s">
        <v>13225</v>
      </c>
      <c r="C38" s="74" t="s">
        <v>13226</v>
      </c>
      <c r="D38" s="274">
        <f>_11_A家事増２．０</f>
        <v>280</v>
      </c>
      <c r="E38" s="12" t="s">
        <v>392</v>
      </c>
      <c r="F38" s="35"/>
      <c r="H38" s="234"/>
      <c r="I38" s="217" t="s">
        <v>397</v>
      </c>
      <c r="J38" s="218" t="s">
        <v>398</v>
      </c>
      <c r="K38" s="189">
        <v>1</v>
      </c>
      <c r="L38" s="35"/>
      <c r="O38" s="706"/>
      <c r="P38" s="220"/>
      <c r="Q38" s="38"/>
      <c r="R38" s="47">
        <f>ROUND((ROUND((ROUND((ROUND((_11_A家事増２．０*_11・重度研修),0)*_11・２人),0)*(1+_11・A深夜)),0)*_11・初任),0)</f>
        <v>265</v>
      </c>
      <c r="S38" s="48"/>
    </row>
    <row r="39" spans="1:19" ht="16.5" customHeight="1" x14ac:dyDescent="0.15">
      <c r="A39" s="41">
        <v>11</v>
      </c>
      <c r="B39" s="41">
        <v>8801</v>
      </c>
      <c r="C39" s="74" t="s">
        <v>13227</v>
      </c>
      <c r="D39" s="707" t="s">
        <v>11472</v>
      </c>
      <c r="E39" s="798"/>
      <c r="F39" s="35"/>
      <c r="I39" s="163"/>
      <c r="J39" s="45"/>
      <c r="K39" s="46"/>
      <c r="L39" s="35"/>
      <c r="O39" s="53"/>
      <c r="P39" s="245"/>
      <c r="Q39" s="49"/>
      <c r="R39" s="47">
        <f>ROUND((ROUND((_11_A家事増２．２５*_11・重度研修),0)*(1+_11・A深夜)),0)</f>
        <v>426</v>
      </c>
      <c r="S39" s="48"/>
    </row>
    <row r="40" spans="1:19" ht="16.5" customHeight="1" x14ac:dyDescent="0.15">
      <c r="A40" s="41">
        <v>11</v>
      </c>
      <c r="B40" s="41">
        <v>8802</v>
      </c>
      <c r="C40" s="74" t="s">
        <v>13228</v>
      </c>
      <c r="D40" s="799"/>
      <c r="E40" s="796"/>
      <c r="F40" s="35"/>
      <c r="I40" s="44" t="s">
        <v>397</v>
      </c>
      <c r="J40" s="218" t="s">
        <v>398</v>
      </c>
      <c r="K40" s="189">
        <v>1</v>
      </c>
      <c r="L40" s="35"/>
      <c r="O40" s="43"/>
      <c r="P40" s="220"/>
      <c r="Q40" s="37"/>
      <c r="R40" s="47">
        <f>ROUND((ROUND((ROUND((_11_A家事増２．２５*_11・重度研修),0)*_11・２人),0)*(1+_11・A深夜)),0)</f>
        <v>426</v>
      </c>
      <c r="S40" s="48"/>
    </row>
    <row r="41" spans="1:19" ht="16.5" customHeight="1" x14ac:dyDescent="0.15">
      <c r="A41" s="41">
        <v>11</v>
      </c>
      <c r="B41" s="41" t="s">
        <v>13229</v>
      </c>
      <c r="C41" s="74" t="s">
        <v>13230</v>
      </c>
      <c r="D41" s="799"/>
      <c r="E41" s="796"/>
      <c r="F41" s="35"/>
      <c r="I41" s="163"/>
      <c r="J41" s="45"/>
      <c r="K41" s="46"/>
      <c r="L41" s="35"/>
      <c r="O41" s="734" t="s">
        <v>404</v>
      </c>
      <c r="P41" s="219" t="s">
        <v>398</v>
      </c>
      <c r="Q41" s="50">
        <f>_11・初任</f>
        <v>0.7</v>
      </c>
      <c r="R41" s="47">
        <f>ROUND((ROUND((ROUND((_11_A家事増２．２５*_11・重度研修),0)*(1+_11・A深夜)),0)*_11・初任),0)</f>
        <v>298</v>
      </c>
      <c r="S41" s="48"/>
    </row>
    <row r="42" spans="1:19" ht="16.5" customHeight="1" x14ac:dyDescent="0.15">
      <c r="A42" s="41">
        <v>11</v>
      </c>
      <c r="B42" s="41" t="s">
        <v>13231</v>
      </c>
      <c r="C42" s="74" t="s">
        <v>13232</v>
      </c>
      <c r="D42" s="274">
        <f>_11_A家事増２．２５</f>
        <v>315</v>
      </c>
      <c r="E42" s="12" t="s">
        <v>392</v>
      </c>
      <c r="F42" s="35"/>
      <c r="I42" s="44" t="s">
        <v>397</v>
      </c>
      <c r="J42" s="218" t="s">
        <v>398</v>
      </c>
      <c r="K42" s="189">
        <v>1</v>
      </c>
      <c r="L42" s="35"/>
      <c r="O42" s="706"/>
      <c r="P42" s="220"/>
      <c r="Q42" s="38"/>
      <c r="R42" s="47">
        <f>ROUND((ROUND((ROUND((ROUND((_11_A家事増２．２５*_11・重度研修),0)*_11・２人),0)*(1+_11・A深夜)),0)*_11・初任),0)</f>
        <v>298</v>
      </c>
      <c r="S42" s="48"/>
    </row>
    <row r="43" spans="1:19" ht="16.5" customHeight="1" x14ac:dyDescent="0.15">
      <c r="A43" s="41">
        <v>11</v>
      </c>
      <c r="B43" s="41">
        <v>8803</v>
      </c>
      <c r="C43" s="74" t="s">
        <v>13233</v>
      </c>
      <c r="D43" s="707" t="s">
        <v>11485</v>
      </c>
      <c r="E43" s="798"/>
      <c r="F43" s="35"/>
      <c r="I43" s="163"/>
      <c r="J43" s="45"/>
      <c r="K43" s="46"/>
      <c r="L43" s="35"/>
      <c r="O43" s="53"/>
      <c r="P43" s="245"/>
      <c r="Q43" s="50"/>
      <c r="R43" s="47">
        <f>ROUND((ROUND((_11_A家事増２．５*_11・重度研修),0)*(1+_11・A深夜)),0)</f>
        <v>473</v>
      </c>
      <c r="S43" s="48"/>
    </row>
    <row r="44" spans="1:19" ht="16.5" customHeight="1" x14ac:dyDescent="0.15">
      <c r="A44" s="41">
        <v>11</v>
      </c>
      <c r="B44" s="41">
        <v>8804</v>
      </c>
      <c r="C44" s="74" t="s">
        <v>13234</v>
      </c>
      <c r="D44" s="799"/>
      <c r="E44" s="796"/>
      <c r="F44" s="35"/>
      <c r="I44" s="44" t="s">
        <v>397</v>
      </c>
      <c r="J44" s="218" t="s">
        <v>398</v>
      </c>
      <c r="K44" s="189">
        <v>1</v>
      </c>
      <c r="L44" s="35"/>
      <c r="O44" s="43"/>
      <c r="P44" s="220"/>
      <c r="Q44" s="38"/>
      <c r="R44" s="47">
        <f>ROUND((ROUND((ROUND((_11_A家事増２．５*_11・重度研修),0)*_11・２人),0)*(1+_11・A深夜)),0)</f>
        <v>473</v>
      </c>
      <c r="S44" s="48"/>
    </row>
    <row r="45" spans="1:19" ht="16.5" customHeight="1" x14ac:dyDescent="0.15">
      <c r="A45" s="41">
        <v>11</v>
      </c>
      <c r="B45" s="41" t="s">
        <v>13235</v>
      </c>
      <c r="C45" s="74" t="s">
        <v>13236</v>
      </c>
      <c r="D45" s="799"/>
      <c r="E45" s="796"/>
      <c r="F45" s="35"/>
      <c r="I45" s="163"/>
      <c r="J45" s="45"/>
      <c r="K45" s="46"/>
      <c r="L45" s="35"/>
      <c r="O45" s="734" t="s">
        <v>404</v>
      </c>
      <c r="P45" s="219" t="s">
        <v>398</v>
      </c>
      <c r="Q45" s="50">
        <f>_11・初任</f>
        <v>0.7</v>
      </c>
      <c r="R45" s="47">
        <f>ROUND((ROUND((ROUND((_11_A家事増２．５*_11・重度研修),0)*(1+_11・A深夜)),0)*_11・初任),0)</f>
        <v>331</v>
      </c>
      <c r="S45" s="48"/>
    </row>
    <row r="46" spans="1:19" ht="16.5" customHeight="1" x14ac:dyDescent="0.15">
      <c r="A46" s="41">
        <v>11</v>
      </c>
      <c r="B46" s="41" t="s">
        <v>13237</v>
      </c>
      <c r="C46" s="74" t="s">
        <v>13238</v>
      </c>
      <c r="D46" s="274">
        <f>_11_A家事増２．５</f>
        <v>350</v>
      </c>
      <c r="E46" s="12" t="s">
        <v>392</v>
      </c>
      <c r="F46" s="35"/>
      <c r="I46" s="44" t="s">
        <v>397</v>
      </c>
      <c r="J46" s="218" t="s">
        <v>398</v>
      </c>
      <c r="K46" s="189">
        <v>1</v>
      </c>
      <c r="L46" s="35"/>
      <c r="O46" s="706"/>
      <c r="P46" s="220"/>
      <c r="Q46" s="38"/>
      <c r="R46" s="47">
        <f>ROUND((ROUND((ROUND((ROUND((_11_A家事増２．５*_11・重度研修),0)*_11・２人),0)*(1+_11・A深夜)),0)*_11・初任),0)</f>
        <v>331</v>
      </c>
      <c r="S46" s="48"/>
    </row>
    <row r="47" spans="1:19" ht="16.5" customHeight="1" x14ac:dyDescent="0.15">
      <c r="A47" s="41">
        <v>11</v>
      </c>
      <c r="B47" s="41">
        <v>8805</v>
      </c>
      <c r="C47" s="74" t="s">
        <v>13239</v>
      </c>
      <c r="D47" s="707" t="s">
        <v>11498</v>
      </c>
      <c r="E47" s="798"/>
      <c r="F47" s="35"/>
      <c r="I47" s="163"/>
      <c r="J47" s="45"/>
      <c r="K47" s="46"/>
      <c r="L47" s="35"/>
      <c r="O47" s="53"/>
      <c r="P47" s="245"/>
      <c r="Q47" s="50"/>
      <c r="R47" s="47">
        <f>ROUND((ROUND((_11_A家事増２．７５*_11・重度研修),0)*(1+_11・A深夜)),0)</f>
        <v>521</v>
      </c>
      <c r="S47" s="48"/>
    </row>
    <row r="48" spans="1:19" ht="16.5" customHeight="1" x14ac:dyDescent="0.15">
      <c r="A48" s="41">
        <v>11</v>
      </c>
      <c r="B48" s="41">
        <v>8806</v>
      </c>
      <c r="C48" s="74" t="s">
        <v>13240</v>
      </c>
      <c r="D48" s="799"/>
      <c r="E48" s="796"/>
      <c r="F48" s="35"/>
      <c r="I48" s="44" t="s">
        <v>397</v>
      </c>
      <c r="J48" s="218" t="s">
        <v>398</v>
      </c>
      <c r="K48" s="189">
        <v>1</v>
      </c>
      <c r="L48" s="35"/>
      <c r="O48" s="43"/>
      <c r="P48" s="220"/>
      <c r="Q48" s="38"/>
      <c r="R48" s="47">
        <f>ROUND((ROUND((ROUND((_11_A家事増２．７５*_11・重度研修),0)*_11・２人),0)*(1+_11・A深夜)),0)</f>
        <v>521</v>
      </c>
      <c r="S48" s="48"/>
    </row>
    <row r="49" spans="1:19" ht="16.5" customHeight="1" x14ac:dyDescent="0.15">
      <c r="A49" s="41">
        <v>11</v>
      </c>
      <c r="B49" s="41" t="s">
        <v>13241</v>
      </c>
      <c r="C49" s="74" t="s">
        <v>13242</v>
      </c>
      <c r="D49" s="799"/>
      <c r="E49" s="796"/>
      <c r="F49" s="35"/>
      <c r="I49" s="163"/>
      <c r="J49" s="45"/>
      <c r="K49" s="46"/>
      <c r="L49" s="35"/>
      <c r="O49" s="734" t="s">
        <v>404</v>
      </c>
      <c r="P49" s="219" t="s">
        <v>398</v>
      </c>
      <c r="Q49" s="50">
        <f>_11・初任</f>
        <v>0.7</v>
      </c>
      <c r="R49" s="47">
        <f>ROUND((ROUND((ROUND((_11_A家事増２．７５*_11・重度研修),0)*(1+_11・A深夜)),0)*_11・初任),0)</f>
        <v>365</v>
      </c>
      <c r="S49" s="48"/>
    </row>
    <row r="50" spans="1:19" ht="16.5" customHeight="1" x14ac:dyDescent="0.15">
      <c r="A50" s="41">
        <v>11</v>
      </c>
      <c r="B50" s="41" t="s">
        <v>13243</v>
      </c>
      <c r="C50" s="74" t="s">
        <v>13244</v>
      </c>
      <c r="D50" s="274">
        <f>_11_A家事増２．７５</f>
        <v>385</v>
      </c>
      <c r="E50" s="12" t="s">
        <v>392</v>
      </c>
      <c r="F50" s="35"/>
      <c r="I50" s="44" t="s">
        <v>397</v>
      </c>
      <c r="J50" s="218" t="s">
        <v>398</v>
      </c>
      <c r="K50" s="189">
        <v>1</v>
      </c>
      <c r="L50" s="35"/>
      <c r="O50" s="706"/>
      <c r="P50" s="220"/>
      <c r="Q50" s="38"/>
      <c r="R50" s="47">
        <f>ROUND((ROUND((ROUND((ROUND((_11_A家事増２．７５*_11・重度研修),0)*_11・２人),0)*(1+_11・A深夜)),0)*_11・初任),0)</f>
        <v>365</v>
      </c>
      <c r="S50" s="48"/>
    </row>
    <row r="51" spans="1:19" ht="16.5" customHeight="1" x14ac:dyDescent="0.15">
      <c r="A51" s="41">
        <v>11</v>
      </c>
      <c r="B51" s="41">
        <v>8807</v>
      </c>
      <c r="C51" s="74" t="s">
        <v>13245</v>
      </c>
      <c r="D51" s="707" t="s">
        <v>11511</v>
      </c>
      <c r="E51" s="798"/>
      <c r="F51" s="35"/>
      <c r="I51" s="163"/>
      <c r="J51" s="45"/>
      <c r="K51" s="46"/>
      <c r="L51" s="35"/>
      <c r="O51" s="53"/>
      <c r="P51" s="245"/>
      <c r="Q51" s="49"/>
      <c r="R51" s="47">
        <f>ROUND((ROUND((_11_A家事増３．０*_11・重度研修),0)*(1+_11・A深夜)),0)</f>
        <v>567</v>
      </c>
      <c r="S51" s="48"/>
    </row>
    <row r="52" spans="1:19" ht="16.5" customHeight="1" x14ac:dyDescent="0.15">
      <c r="A52" s="41">
        <v>11</v>
      </c>
      <c r="B52" s="41">
        <v>8808</v>
      </c>
      <c r="C52" s="74" t="s">
        <v>13246</v>
      </c>
      <c r="D52" s="799"/>
      <c r="E52" s="796"/>
      <c r="F52" s="35"/>
      <c r="I52" s="44" t="s">
        <v>397</v>
      </c>
      <c r="J52" s="218" t="s">
        <v>398</v>
      </c>
      <c r="K52" s="189">
        <v>1</v>
      </c>
      <c r="L52" s="35"/>
      <c r="O52" s="43"/>
      <c r="P52" s="220"/>
      <c r="Q52" s="37"/>
      <c r="R52" s="47">
        <f>ROUND((ROUND((ROUND((_11_A家事増３．０*_11・重度研修),0)*_11・２人),0)*(1+_11・A深夜)),0)</f>
        <v>567</v>
      </c>
      <c r="S52" s="48"/>
    </row>
    <row r="53" spans="1:19" ht="16.5" customHeight="1" x14ac:dyDescent="0.15">
      <c r="A53" s="41">
        <v>11</v>
      </c>
      <c r="B53" s="41" t="s">
        <v>13247</v>
      </c>
      <c r="C53" s="74" t="s">
        <v>13248</v>
      </c>
      <c r="D53" s="799"/>
      <c r="E53" s="796"/>
      <c r="F53" s="35"/>
      <c r="I53" s="163"/>
      <c r="J53" s="45"/>
      <c r="K53" s="46"/>
      <c r="L53" s="35"/>
      <c r="O53" s="734" t="s">
        <v>404</v>
      </c>
      <c r="P53" s="219" t="s">
        <v>398</v>
      </c>
      <c r="Q53" s="50">
        <f>_11・初任</f>
        <v>0.7</v>
      </c>
      <c r="R53" s="47">
        <f>ROUND((ROUND((ROUND((_11_A家事増３．０*_11・重度研修),0)*(1+_11・A深夜)),0)*_11・初任),0)</f>
        <v>397</v>
      </c>
      <c r="S53" s="48"/>
    </row>
    <row r="54" spans="1:19" ht="16.5" customHeight="1" x14ac:dyDescent="0.15">
      <c r="A54" s="41">
        <v>11</v>
      </c>
      <c r="B54" s="41" t="s">
        <v>13249</v>
      </c>
      <c r="C54" s="74" t="s">
        <v>13250</v>
      </c>
      <c r="D54" s="274">
        <f>_11_A家事増３．０</f>
        <v>420</v>
      </c>
      <c r="E54" s="12" t="s">
        <v>392</v>
      </c>
      <c r="F54" s="35"/>
      <c r="I54" s="44" t="s">
        <v>397</v>
      </c>
      <c r="J54" s="218" t="s">
        <v>398</v>
      </c>
      <c r="K54" s="189">
        <v>1</v>
      </c>
      <c r="L54" s="35"/>
      <c r="O54" s="706"/>
      <c r="P54" s="220"/>
      <c r="Q54" s="38"/>
      <c r="R54" s="47">
        <f>ROUND((ROUND((ROUND((ROUND((_11_A家事増３．０*_11・重度研修),0)*_11・２人),0)*(1+_11・A深夜)),0)*_11・初任),0)</f>
        <v>397</v>
      </c>
      <c r="S54" s="48"/>
    </row>
    <row r="55" spans="1:19" ht="16.5" customHeight="1" x14ac:dyDescent="0.15">
      <c r="A55" s="41">
        <v>11</v>
      </c>
      <c r="B55" s="41">
        <v>8809</v>
      </c>
      <c r="C55" s="74" t="s">
        <v>13251</v>
      </c>
      <c r="D55" s="707" t="s">
        <v>11524</v>
      </c>
      <c r="E55" s="798"/>
      <c r="F55" s="35"/>
      <c r="I55" s="163"/>
      <c r="J55" s="45"/>
      <c r="K55" s="46"/>
      <c r="L55" s="35"/>
      <c r="O55" s="53"/>
      <c r="P55" s="245"/>
      <c r="Q55" s="50"/>
      <c r="R55" s="47">
        <f>ROUND((ROUND((_11_A家事増３．２５*_11・重度研修),0)*(1+_11・A深夜)),0)</f>
        <v>615</v>
      </c>
      <c r="S55" s="48"/>
    </row>
    <row r="56" spans="1:19" ht="16.5" customHeight="1" x14ac:dyDescent="0.15">
      <c r="A56" s="41">
        <v>11</v>
      </c>
      <c r="B56" s="41">
        <v>8810</v>
      </c>
      <c r="C56" s="74" t="s">
        <v>13252</v>
      </c>
      <c r="D56" s="799"/>
      <c r="E56" s="796"/>
      <c r="F56" s="35"/>
      <c r="I56" s="44" t="s">
        <v>397</v>
      </c>
      <c r="J56" s="218" t="s">
        <v>398</v>
      </c>
      <c r="K56" s="189">
        <v>1</v>
      </c>
      <c r="L56" s="35"/>
      <c r="O56" s="43"/>
      <c r="P56" s="220"/>
      <c r="Q56" s="38"/>
      <c r="R56" s="47">
        <f>ROUND((ROUND((ROUND((_11_A家事増３．２５*_11・重度研修),0)*_11・２人),0)*(1+_11・A深夜)),0)</f>
        <v>615</v>
      </c>
      <c r="S56" s="48"/>
    </row>
    <row r="57" spans="1:19" ht="16.5" customHeight="1" x14ac:dyDescent="0.15">
      <c r="A57" s="41">
        <v>11</v>
      </c>
      <c r="B57" s="41" t="s">
        <v>13253</v>
      </c>
      <c r="C57" s="74" t="s">
        <v>13254</v>
      </c>
      <c r="D57" s="799"/>
      <c r="E57" s="796"/>
      <c r="F57" s="35"/>
      <c r="I57" s="163"/>
      <c r="J57" s="45"/>
      <c r="K57" s="46"/>
      <c r="L57" s="35"/>
      <c r="O57" s="734" t="s">
        <v>404</v>
      </c>
      <c r="P57" s="219" t="s">
        <v>398</v>
      </c>
      <c r="Q57" s="50">
        <f>_11・初任</f>
        <v>0.7</v>
      </c>
      <c r="R57" s="47">
        <f>ROUND((ROUND((ROUND((_11_A家事増３．２５*_11・重度研修),0)*(1+_11・A深夜)),0)*_11・初任),0)</f>
        <v>431</v>
      </c>
      <c r="S57" s="48"/>
    </row>
    <row r="58" spans="1:19" ht="16.5" customHeight="1" x14ac:dyDescent="0.15">
      <c r="A58" s="41">
        <v>11</v>
      </c>
      <c r="B58" s="41" t="s">
        <v>13255</v>
      </c>
      <c r="C58" s="74" t="s">
        <v>13256</v>
      </c>
      <c r="D58" s="274">
        <f>_11_A家事増３．２５</f>
        <v>455</v>
      </c>
      <c r="E58" s="12" t="s">
        <v>392</v>
      </c>
      <c r="F58" s="35"/>
      <c r="I58" s="44" t="s">
        <v>397</v>
      </c>
      <c r="J58" s="218" t="s">
        <v>398</v>
      </c>
      <c r="K58" s="189">
        <v>1</v>
      </c>
      <c r="L58" s="35"/>
      <c r="O58" s="706"/>
      <c r="P58" s="220"/>
      <c r="Q58" s="38"/>
      <c r="R58" s="47">
        <f>ROUND((ROUND((ROUND((ROUND((_11_A家事増３．２５*_11・重度研修),0)*_11・２人),0)*(1+_11・A深夜)),0)*_11・初任),0)</f>
        <v>431</v>
      </c>
      <c r="S58" s="48"/>
    </row>
    <row r="59" spans="1:19" ht="16.5" customHeight="1" x14ac:dyDescent="0.15">
      <c r="A59" s="41">
        <v>11</v>
      </c>
      <c r="B59" s="41">
        <v>8811</v>
      </c>
      <c r="C59" s="74" t="s">
        <v>13257</v>
      </c>
      <c r="D59" s="707" t="s">
        <v>11537</v>
      </c>
      <c r="E59" s="798"/>
      <c r="F59" s="35"/>
      <c r="I59" s="163"/>
      <c r="J59" s="45"/>
      <c r="K59" s="46"/>
      <c r="L59" s="35"/>
      <c r="O59" s="53"/>
      <c r="P59" s="245"/>
      <c r="Q59" s="50"/>
      <c r="R59" s="47">
        <f>ROUND((ROUND((_11_A家事増３．５*_11・重度研修),0)*(1+_11・A深夜)),0)</f>
        <v>662</v>
      </c>
      <c r="S59" s="48"/>
    </row>
    <row r="60" spans="1:19" ht="16.5" customHeight="1" x14ac:dyDescent="0.15">
      <c r="A60" s="41">
        <v>11</v>
      </c>
      <c r="B60" s="41">
        <v>8812</v>
      </c>
      <c r="C60" s="74" t="s">
        <v>13258</v>
      </c>
      <c r="D60" s="799"/>
      <c r="E60" s="796"/>
      <c r="F60" s="35"/>
      <c r="I60" s="44" t="s">
        <v>397</v>
      </c>
      <c r="J60" s="218" t="s">
        <v>398</v>
      </c>
      <c r="K60" s="189">
        <v>1</v>
      </c>
      <c r="L60" s="35"/>
      <c r="O60" s="43"/>
      <c r="P60" s="220"/>
      <c r="Q60" s="38"/>
      <c r="R60" s="47">
        <f>ROUND((ROUND((ROUND((_11_A家事増３．５*_11・重度研修),0)*_11・２人),0)*(1+_11・A深夜)),0)</f>
        <v>662</v>
      </c>
      <c r="S60" s="48"/>
    </row>
    <row r="61" spans="1:19" ht="16.5" customHeight="1" x14ac:dyDescent="0.15">
      <c r="A61" s="41">
        <v>11</v>
      </c>
      <c r="B61" s="41" t="s">
        <v>13259</v>
      </c>
      <c r="C61" s="74" t="s">
        <v>13260</v>
      </c>
      <c r="D61" s="799"/>
      <c r="E61" s="796"/>
      <c r="F61" s="35"/>
      <c r="I61" s="163"/>
      <c r="J61" s="45"/>
      <c r="K61" s="46"/>
      <c r="L61" s="35"/>
      <c r="O61" s="734" t="s">
        <v>404</v>
      </c>
      <c r="P61" s="219" t="s">
        <v>398</v>
      </c>
      <c r="Q61" s="50">
        <f>_11・初任</f>
        <v>0.7</v>
      </c>
      <c r="R61" s="47">
        <f>ROUND((ROUND((ROUND((_11_A家事増３．５*_11・重度研修),0)*(1+_11・A深夜)),0)*_11・初任),0)</f>
        <v>463</v>
      </c>
      <c r="S61" s="48"/>
    </row>
    <row r="62" spans="1:19" ht="16.5" customHeight="1" x14ac:dyDescent="0.15">
      <c r="A62" s="41">
        <v>11</v>
      </c>
      <c r="B62" s="41" t="s">
        <v>13261</v>
      </c>
      <c r="C62" s="74" t="s">
        <v>13262</v>
      </c>
      <c r="D62" s="276">
        <f>_11_A家事増３．５</f>
        <v>490</v>
      </c>
      <c r="E62" s="37" t="s">
        <v>392</v>
      </c>
      <c r="F62" s="43"/>
      <c r="G62" s="37"/>
      <c r="H62" s="38"/>
      <c r="I62" s="44" t="s">
        <v>397</v>
      </c>
      <c r="J62" s="218" t="s">
        <v>398</v>
      </c>
      <c r="K62" s="189">
        <v>1</v>
      </c>
      <c r="L62" s="43"/>
      <c r="M62" s="37"/>
      <c r="N62" s="38"/>
      <c r="O62" s="706"/>
      <c r="P62" s="220"/>
      <c r="Q62" s="38"/>
      <c r="R62" s="47">
        <f>ROUND((ROUND((ROUND((ROUND((_11_A家事増３．５*_11・重度研修),0)*_11・２人),0)*(1+_11・A深夜)),0)*_11・初任),0)</f>
        <v>463</v>
      </c>
      <c r="S62" s="63"/>
    </row>
    <row r="63" spans="1:19" ht="16.5" customHeight="1" x14ac:dyDescent="0.15">
      <c r="A63" s="33">
        <v>11</v>
      </c>
      <c r="B63" s="33">
        <v>8813</v>
      </c>
      <c r="C63" s="34" t="s">
        <v>13263</v>
      </c>
      <c r="D63" s="709" t="s">
        <v>11550</v>
      </c>
      <c r="E63" s="796"/>
      <c r="F63" s="709" t="s">
        <v>11707</v>
      </c>
      <c r="G63" s="787"/>
      <c r="H63" s="802"/>
      <c r="I63" s="37"/>
      <c r="J63" s="37"/>
      <c r="K63" s="38"/>
      <c r="L63" s="35" t="s">
        <v>862</v>
      </c>
      <c r="N63" s="234"/>
      <c r="O63" s="35"/>
      <c r="Q63" s="12"/>
      <c r="R63" s="39">
        <f>ROUND((ROUND((_11_A家事増３．７５*_11・重度研修),0)*(1+_11・A深夜)),0)</f>
        <v>710</v>
      </c>
      <c r="S63" s="48"/>
    </row>
    <row r="64" spans="1:19" ht="16.5" customHeight="1" x14ac:dyDescent="0.15">
      <c r="A64" s="41">
        <v>11</v>
      </c>
      <c r="B64" s="41">
        <v>8814</v>
      </c>
      <c r="C64" s="74" t="s">
        <v>13264</v>
      </c>
      <c r="D64" s="799"/>
      <c r="E64" s="796"/>
      <c r="F64" s="722"/>
      <c r="G64" s="787"/>
      <c r="H64" s="802"/>
      <c r="I64" s="44" t="s">
        <v>397</v>
      </c>
      <c r="J64" s="218" t="s">
        <v>398</v>
      </c>
      <c r="K64" s="46">
        <v>1</v>
      </c>
      <c r="L64" s="258" t="s">
        <v>398</v>
      </c>
      <c r="M64" s="13">
        <v>0.5</v>
      </c>
      <c r="N64" s="718" t="s">
        <v>676</v>
      </c>
      <c r="O64" s="43"/>
      <c r="P64" s="220"/>
      <c r="Q64" s="37"/>
      <c r="R64" s="47">
        <f>ROUND((ROUND((ROUND((_11_A家事増３．７５*_11・重度研修),0)*_11・２人),0)*(1+_11・A深夜)),0)</f>
        <v>710</v>
      </c>
      <c r="S64" s="48"/>
    </row>
    <row r="65" spans="1:19" ht="16.5" customHeight="1" x14ac:dyDescent="0.15">
      <c r="A65" s="41">
        <v>11</v>
      </c>
      <c r="B65" s="41" t="s">
        <v>13265</v>
      </c>
      <c r="C65" s="74" t="s">
        <v>13266</v>
      </c>
      <c r="D65" s="799"/>
      <c r="E65" s="796"/>
      <c r="F65" s="722"/>
      <c r="G65" s="787"/>
      <c r="H65" s="802"/>
      <c r="I65" s="45"/>
      <c r="J65" s="45"/>
      <c r="K65" s="46"/>
      <c r="L65" s="35"/>
      <c r="N65" s="796"/>
      <c r="O65" s="734" t="s">
        <v>404</v>
      </c>
      <c r="P65" s="219" t="s">
        <v>398</v>
      </c>
      <c r="Q65" s="50">
        <f>_11・初任</f>
        <v>0.7</v>
      </c>
      <c r="R65" s="47">
        <f>ROUND((ROUND((ROUND((_11_A家事増３．７５*_11・重度研修),0)*(1+_11・A深夜)),0)*_11・初任),0)</f>
        <v>497</v>
      </c>
      <c r="S65" s="48"/>
    </row>
    <row r="66" spans="1:19" ht="16.5" customHeight="1" x14ac:dyDescent="0.15">
      <c r="A66" s="41">
        <v>11</v>
      </c>
      <c r="B66" s="41" t="s">
        <v>13267</v>
      </c>
      <c r="C66" s="74" t="s">
        <v>13268</v>
      </c>
      <c r="D66" s="274">
        <f>_11_A家事増３．７５</f>
        <v>525</v>
      </c>
      <c r="E66" s="12" t="s">
        <v>392</v>
      </c>
      <c r="F66" s="35"/>
      <c r="G66" s="16" t="s">
        <v>398</v>
      </c>
      <c r="H66" s="234">
        <v>0.9</v>
      </c>
      <c r="I66" s="44" t="s">
        <v>397</v>
      </c>
      <c r="J66" s="218" t="s">
        <v>398</v>
      </c>
      <c r="K66" s="189">
        <v>1</v>
      </c>
      <c r="L66" s="35"/>
      <c r="O66" s="706"/>
      <c r="P66" s="220"/>
      <c r="Q66" s="38"/>
      <c r="R66" s="47">
        <f>ROUND((ROUND((ROUND((ROUND((_11_A家事増３．７５*_11・重度研修),0)*_11・２人),0)*(1+_11・A深夜)),0)*_11・初任),0)</f>
        <v>497</v>
      </c>
      <c r="S66" s="48"/>
    </row>
    <row r="67" spans="1:19" ht="16.5" customHeight="1" x14ac:dyDescent="0.15">
      <c r="A67" s="41">
        <v>11</v>
      </c>
      <c r="B67" s="41">
        <v>8815</v>
      </c>
      <c r="C67" s="74" t="s">
        <v>13269</v>
      </c>
      <c r="D67" s="707" t="s">
        <v>11563</v>
      </c>
      <c r="E67" s="798"/>
      <c r="F67" s="35"/>
      <c r="I67" s="163"/>
      <c r="J67" s="45"/>
      <c r="K67" s="46"/>
      <c r="L67" s="35"/>
      <c r="O67" s="53"/>
      <c r="P67" s="245"/>
      <c r="Q67" s="50"/>
      <c r="R67" s="47">
        <f>ROUND((ROUND((_11_A家事増４．０*_11・重度研修),0)*(1+_11・A深夜)),0)</f>
        <v>756</v>
      </c>
      <c r="S67" s="48"/>
    </row>
    <row r="68" spans="1:19" ht="16.5" customHeight="1" x14ac:dyDescent="0.15">
      <c r="A68" s="41">
        <v>11</v>
      </c>
      <c r="B68" s="41">
        <v>8816</v>
      </c>
      <c r="C68" s="74" t="s">
        <v>13270</v>
      </c>
      <c r="D68" s="799"/>
      <c r="E68" s="796"/>
      <c r="F68" s="35"/>
      <c r="I68" s="44" t="s">
        <v>397</v>
      </c>
      <c r="J68" s="218" t="s">
        <v>398</v>
      </c>
      <c r="K68" s="189">
        <v>1</v>
      </c>
      <c r="L68" s="35"/>
      <c r="O68" s="43"/>
      <c r="P68" s="220"/>
      <c r="Q68" s="38"/>
      <c r="R68" s="47">
        <f>ROUND((ROUND((ROUND((_11_A家事増４．０*_11・重度研修),0)*_11・２人),0)*(1+_11・A深夜)),0)</f>
        <v>756</v>
      </c>
      <c r="S68" s="48"/>
    </row>
    <row r="69" spans="1:19" ht="16.5" customHeight="1" x14ac:dyDescent="0.15">
      <c r="A69" s="41">
        <v>11</v>
      </c>
      <c r="B69" s="41" t="s">
        <v>13271</v>
      </c>
      <c r="C69" s="74" t="s">
        <v>13272</v>
      </c>
      <c r="D69" s="799"/>
      <c r="E69" s="796"/>
      <c r="F69" s="35"/>
      <c r="I69" s="163"/>
      <c r="J69" s="45"/>
      <c r="K69" s="46"/>
      <c r="L69" s="35"/>
      <c r="O69" s="734" t="s">
        <v>404</v>
      </c>
      <c r="P69" s="219" t="s">
        <v>398</v>
      </c>
      <c r="Q69" s="50">
        <f>_11・初任</f>
        <v>0.7</v>
      </c>
      <c r="R69" s="47">
        <f>ROUND((ROUND((ROUND((_11_A家事増４．０*_11・重度研修),0)*(1+_11・A深夜)),0)*_11・初任),0)</f>
        <v>529</v>
      </c>
      <c r="S69" s="48"/>
    </row>
    <row r="70" spans="1:19" ht="16.5" customHeight="1" x14ac:dyDescent="0.15">
      <c r="A70" s="41">
        <v>11</v>
      </c>
      <c r="B70" s="41" t="s">
        <v>13273</v>
      </c>
      <c r="C70" s="74" t="s">
        <v>13274</v>
      </c>
      <c r="D70" s="274">
        <f>_11_A家事増４．０</f>
        <v>560</v>
      </c>
      <c r="E70" s="12" t="s">
        <v>392</v>
      </c>
      <c r="F70" s="35"/>
      <c r="I70" s="44" t="s">
        <v>397</v>
      </c>
      <c r="J70" s="218" t="s">
        <v>398</v>
      </c>
      <c r="K70" s="189">
        <v>1</v>
      </c>
      <c r="L70" s="35"/>
      <c r="O70" s="706"/>
      <c r="P70" s="220"/>
      <c r="Q70" s="38"/>
      <c r="R70" s="47">
        <f>ROUND((ROUND((ROUND((ROUND((_11_A家事増４．０*_11・重度研修),0)*_11・２人),0)*(1+_11・A深夜)),0)*_11・初任),0)</f>
        <v>529</v>
      </c>
      <c r="S70" s="48"/>
    </row>
    <row r="71" spans="1:19" ht="16.5" customHeight="1" x14ac:dyDescent="0.15">
      <c r="A71" s="41">
        <v>11</v>
      </c>
      <c r="B71" s="41">
        <v>8817</v>
      </c>
      <c r="C71" s="74" t="s">
        <v>13275</v>
      </c>
      <c r="D71" s="707" t="s">
        <v>11576</v>
      </c>
      <c r="E71" s="798"/>
      <c r="F71" s="35"/>
      <c r="I71" s="163"/>
      <c r="J71" s="45"/>
      <c r="K71" s="46"/>
      <c r="L71" s="35"/>
      <c r="O71" s="53"/>
      <c r="P71" s="245"/>
      <c r="Q71" s="50"/>
      <c r="R71" s="47">
        <f>ROUND((ROUND((_11_A家事増４．２５*_11・重度研修),0)*(1+_11・A深夜)),0)</f>
        <v>804</v>
      </c>
      <c r="S71" s="48"/>
    </row>
    <row r="72" spans="1:19" ht="16.5" customHeight="1" x14ac:dyDescent="0.15">
      <c r="A72" s="41">
        <v>11</v>
      </c>
      <c r="B72" s="41">
        <v>8818</v>
      </c>
      <c r="C72" s="74" t="s">
        <v>13276</v>
      </c>
      <c r="D72" s="799"/>
      <c r="E72" s="796"/>
      <c r="F72" s="35"/>
      <c r="I72" s="44" t="s">
        <v>397</v>
      </c>
      <c r="J72" s="218" t="s">
        <v>398</v>
      </c>
      <c r="K72" s="189">
        <v>1</v>
      </c>
      <c r="L72" s="35"/>
      <c r="O72" s="43"/>
      <c r="P72" s="220"/>
      <c r="Q72" s="38"/>
      <c r="R72" s="47">
        <f>ROUND((ROUND((ROUND((_11_A家事増４．２５*_11・重度研修),0)*_11・２人),0)*(1+_11・A深夜)),0)</f>
        <v>804</v>
      </c>
      <c r="S72" s="48"/>
    </row>
    <row r="73" spans="1:19" ht="16.5" customHeight="1" x14ac:dyDescent="0.15">
      <c r="A73" s="41">
        <v>11</v>
      </c>
      <c r="B73" s="41" t="s">
        <v>13277</v>
      </c>
      <c r="C73" s="74" t="s">
        <v>13278</v>
      </c>
      <c r="D73" s="799"/>
      <c r="E73" s="796"/>
      <c r="F73" s="35"/>
      <c r="I73" s="163"/>
      <c r="J73" s="45"/>
      <c r="K73" s="46"/>
      <c r="L73" s="35"/>
      <c r="O73" s="734" t="s">
        <v>404</v>
      </c>
      <c r="P73" s="219" t="s">
        <v>398</v>
      </c>
      <c r="Q73" s="50">
        <f>_11・初任</f>
        <v>0.7</v>
      </c>
      <c r="R73" s="47">
        <f>ROUND((ROUND((ROUND((_11_A家事増４．２５*_11・重度研修),0)*(1+_11・A深夜)),0)*_11・初任),0)</f>
        <v>563</v>
      </c>
      <c r="S73" s="48"/>
    </row>
    <row r="74" spans="1:19" ht="16.5" customHeight="1" x14ac:dyDescent="0.15">
      <c r="A74" s="41">
        <v>11</v>
      </c>
      <c r="B74" s="41" t="s">
        <v>13279</v>
      </c>
      <c r="C74" s="74" t="s">
        <v>13280</v>
      </c>
      <c r="D74" s="274">
        <f>_11_A家事増４．２５</f>
        <v>595</v>
      </c>
      <c r="E74" s="12" t="s">
        <v>392</v>
      </c>
      <c r="F74" s="35"/>
      <c r="I74" s="44" t="s">
        <v>397</v>
      </c>
      <c r="J74" s="218" t="s">
        <v>398</v>
      </c>
      <c r="K74" s="189">
        <v>1</v>
      </c>
      <c r="L74" s="35"/>
      <c r="O74" s="706"/>
      <c r="P74" s="220"/>
      <c r="Q74" s="38"/>
      <c r="R74" s="47">
        <f>ROUND((ROUND((ROUND((ROUND((_11_A家事増４．２５*_11・重度研修),0)*_11・２人),0)*(1+_11・A深夜)),0)*_11・初任),0)</f>
        <v>563</v>
      </c>
      <c r="S74" s="48"/>
    </row>
    <row r="75" spans="1:19" ht="16.5" customHeight="1" x14ac:dyDescent="0.15">
      <c r="A75" s="41">
        <v>11</v>
      </c>
      <c r="B75" s="41">
        <v>8819</v>
      </c>
      <c r="C75" s="74" t="s">
        <v>13281</v>
      </c>
      <c r="D75" s="707" t="s">
        <v>11589</v>
      </c>
      <c r="E75" s="798"/>
      <c r="F75" s="35"/>
      <c r="I75" s="163"/>
      <c r="J75" s="45"/>
      <c r="K75" s="46"/>
      <c r="L75" s="35"/>
      <c r="O75" s="53"/>
      <c r="P75" s="245"/>
      <c r="Q75" s="49"/>
      <c r="R75" s="47">
        <f>ROUND((ROUND((_11_A家事増４．５*_11・重度研修),0)*(1+_11・A深夜)),0)</f>
        <v>851</v>
      </c>
      <c r="S75" s="48"/>
    </row>
    <row r="76" spans="1:19" ht="16.5" customHeight="1" x14ac:dyDescent="0.15">
      <c r="A76" s="41">
        <v>11</v>
      </c>
      <c r="B76" s="41">
        <v>8820</v>
      </c>
      <c r="C76" s="74" t="s">
        <v>13282</v>
      </c>
      <c r="D76" s="799"/>
      <c r="E76" s="796"/>
      <c r="F76" s="35"/>
      <c r="I76" s="44" t="s">
        <v>397</v>
      </c>
      <c r="J76" s="218" t="s">
        <v>398</v>
      </c>
      <c r="K76" s="189">
        <v>1</v>
      </c>
      <c r="L76" s="35"/>
      <c r="O76" s="43"/>
      <c r="P76" s="220"/>
      <c r="Q76" s="37"/>
      <c r="R76" s="47">
        <f>ROUND((ROUND((ROUND((_11_A家事増４．５*_11・重度研修),0)*_11・２人),0)*(1+_11・A深夜)),0)</f>
        <v>851</v>
      </c>
      <c r="S76" s="48"/>
    </row>
    <row r="77" spans="1:19" ht="16.5" customHeight="1" x14ac:dyDescent="0.15">
      <c r="A77" s="41">
        <v>11</v>
      </c>
      <c r="B77" s="41" t="s">
        <v>13283</v>
      </c>
      <c r="C77" s="74" t="s">
        <v>13284</v>
      </c>
      <c r="D77" s="799"/>
      <c r="E77" s="796"/>
      <c r="F77" s="35"/>
      <c r="I77" s="163"/>
      <c r="J77" s="45"/>
      <c r="K77" s="46"/>
      <c r="L77" s="35"/>
      <c r="O77" s="734" t="s">
        <v>404</v>
      </c>
      <c r="P77" s="219" t="s">
        <v>398</v>
      </c>
      <c r="Q77" s="50">
        <f>_11・初任</f>
        <v>0.7</v>
      </c>
      <c r="R77" s="47">
        <f>ROUND((ROUND((ROUND((_11_A家事増４．５*_11・重度研修),0)*(1+_11・A深夜)),0)*_11・初任),0)</f>
        <v>596</v>
      </c>
      <c r="S77" s="48"/>
    </row>
    <row r="78" spans="1:19" ht="16.5" customHeight="1" x14ac:dyDescent="0.15">
      <c r="A78" s="41">
        <v>11</v>
      </c>
      <c r="B78" s="41" t="s">
        <v>13285</v>
      </c>
      <c r="C78" s="74" t="s">
        <v>13286</v>
      </c>
      <c r="D78" s="274">
        <f>_11_A家事増４．５</f>
        <v>630</v>
      </c>
      <c r="E78" s="12" t="s">
        <v>392</v>
      </c>
      <c r="F78" s="35"/>
      <c r="I78" s="44" t="s">
        <v>397</v>
      </c>
      <c r="J78" s="218" t="s">
        <v>398</v>
      </c>
      <c r="K78" s="189">
        <v>1</v>
      </c>
      <c r="L78" s="35"/>
      <c r="O78" s="706"/>
      <c r="P78" s="220"/>
      <c r="Q78" s="38"/>
      <c r="R78" s="47">
        <f>ROUND((ROUND((ROUND((ROUND((_11_A家事増４．５*_11・重度研修),0)*_11・２人),0)*(1+_11・A深夜)),0)*_11・初任),0)</f>
        <v>596</v>
      </c>
      <c r="S78" s="48"/>
    </row>
    <row r="79" spans="1:19" ht="16.5" customHeight="1" x14ac:dyDescent="0.15">
      <c r="A79" s="41">
        <v>11</v>
      </c>
      <c r="B79" s="41">
        <v>8821</v>
      </c>
      <c r="C79" s="74" t="s">
        <v>13287</v>
      </c>
      <c r="D79" s="707" t="s">
        <v>11602</v>
      </c>
      <c r="E79" s="798"/>
      <c r="F79" s="35"/>
      <c r="I79" s="163"/>
      <c r="J79" s="45"/>
      <c r="K79" s="46"/>
      <c r="L79" s="35"/>
      <c r="O79" s="53"/>
      <c r="P79" s="245"/>
      <c r="Q79" s="50"/>
      <c r="R79" s="47">
        <f>ROUND((ROUND((_11_A家事増４．７５*_11・重度研修),0)*(1+_11・A深夜)),0)</f>
        <v>899</v>
      </c>
      <c r="S79" s="48"/>
    </row>
    <row r="80" spans="1:19" ht="16.5" customHeight="1" x14ac:dyDescent="0.15">
      <c r="A80" s="41">
        <v>11</v>
      </c>
      <c r="B80" s="41">
        <v>8822</v>
      </c>
      <c r="C80" s="74" t="s">
        <v>13288</v>
      </c>
      <c r="D80" s="799"/>
      <c r="E80" s="796"/>
      <c r="F80" s="35"/>
      <c r="I80" s="44" t="s">
        <v>397</v>
      </c>
      <c r="J80" s="218" t="s">
        <v>398</v>
      </c>
      <c r="K80" s="189">
        <v>1</v>
      </c>
      <c r="L80" s="35"/>
      <c r="O80" s="43"/>
      <c r="P80" s="220"/>
      <c r="Q80" s="38"/>
      <c r="R80" s="47">
        <f>ROUND((ROUND((ROUND((_11_A家事増４．７５*_11・重度研修),0)*_11・２人),0)*(1+_11・A深夜)),0)</f>
        <v>899</v>
      </c>
      <c r="S80" s="48"/>
    </row>
    <row r="81" spans="1:19" ht="16.5" customHeight="1" x14ac:dyDescent="0.15">
      <c r="A81" s="41">
        <v>11</v>
      </c>
      <c r="B81" s="41" t="s">
        <v>13289</v>
      </c>
      <c r="C81" s="74" t="s">
        <v>13290</v>
      </c>
      <c r="D81" s="799"/>
      <c r="E81" s="796"/>
      <c r="F81" s="35"/>
      <c r="I81" s="163"/>
      <c r="J81" s="45"/>
      <c r="K81" s="46"/>
      <c r="L81" s="35"/>
      <c r="O81" s="734" t="s">
        <v>404</v>
      </c>
      <c r="P81" s="219" t="s">
        <v>398</v>
      </c>
      <c r="Q81" s="50">
        <f>_11・初任</f>
        <v>0.7</v>
      </c>
      <c r="R81" s="47">
        <f>ROUND((ROUND((ROUND((_11_A家事増４．７５*_11・重度研修),0)*(1+_11・A深夜)),0)*_11・初任),0)</f>
        <v>629</v>
      </c>
      <c r="S81" s="48"/>
    </row>
    <row r="82" spans="1:19" ht="16.5" customHeight="1" x14ac:dyDescent="0.15">
      <c r="A82" s="41">
        <v>11</v>
      </c>
      <c r="B82" s="41" t="s">
        <v>13291</v>
      </c>
      <c r="C82" s="74" t="s">
        <v>13292</v>
      </c>
      <c r="D82" s="274">
        <f>_11_A家事増４．７５</f>
        <v>665</v>
      </c>
      <c r="E82" s="12" t="s">
        <v>392</v>
      </c>
      <c r="F82" s="35"/>
      <c r="I82" s="44" t="s">
        <v>397</v>
      </c>
      <c r="J82" s="218" t="s">
        <v>398</v>
      </c>
      <c r="K82" s="189">
        <v>1</v>
      </c>
      <c r="L82" s="35"/>
      <c r="O82" s="706"/>
      <c r="P82" s="220"/>
      <c r="Q82" s="38"/>
      <c r="R82" s="47">
        <f>ROUND((ROUND((ROUND((ROUND((_11_A家事増４．７５*_11・重度研修),0)*_11・２人),0)*(1+_11・A深夜)),0)*_11・初任),0)</f>
        <v>629</v>
      </c>
      <c r="S82" s="48"/>
    </row>
    <row r="83" spans="1:19" ht="16.5" customHeight="1" x14ac:dyDescent="0.15">
      <c r="A83" s="41">
        <v>11</v>
      </c>
      <c r="B83" s="41">
        <v>8823</v>
      </c>
      <c r="C83" s="74" t="s">
        <v>13293</v>
      </c>
      <c r="D83" s="707" t="s">
        <v>11615</v>
      </c>
      <c r="E83" s="798"/>
      <c r="F83" s="35"/>
      <c r="I83" s="163"/>
      <c r="J83" s="45"/>
      <c r="K83" s="46"/>
      <c r="L83" s="35"/>
      <c r="O83" s="53"/>
      <c r="P83" s="245"/>
      <c r="Q83" s="50"/>
      <c r="R83" s="47">
        <f>ROUND((ROUND((_11_A家事増５．０*_11・重度研修),0)*(1+_11・A深夜)),0)</f>
        <v>945</v>
      </c>
      <c r="S83" s="48"/>
    </row>
    <row r="84" spans="1:19" ht="16.5" customHeight="1" x14ac:dyDescent="0.15">
      <c r="A84" s="41">
        <v>11</v>
      </c>
      <c r="B84" s="41">
        <v>8824</v>
      </c>
      <c r="C84" s="74" t="s">
        <v>13294</v>
      </c>
      <c r="D84" s="799"/>
      <c r="E84" s="796"/>
      <c r="F84" s="35"/>
      <c r="I84" s="44" t="s">
        <v>397</v>
      </c>
      <c r="J84" s="218" t="s">
        <v>398</v>
      </c>
      <c r="K84" s="189">
        <v>1</v>
      </c>
      <c r="L84" s="35"/>
      <c r="O84" s="43"/>
      <c r="P84" s="220"/>
      <c r="Q84" s="38"/>
      <c r="R84" s="47">
        <f>ROUND((ROUND((ROUND((_11_A家事増５．０*_11・重度研修),0)*_11・２人),0)*(1+_11・A深夜)),0)</f>
        <v>945</v>
      </c>
      <c r="S84" s="48"/>
    </row>
    <row r="85" spans="1:19" ht="16.5" customHeight="1" x14ac:dyDescent="0.15">
      <c r="A85" s="41">
        <v>11</v>
      </c>
      <c r="B85" s="41" t="s">
        <v>13295</v>
      </c>
      <c r="C85" s="74" t="s">
        <v>13296</v>
      </c>
      <c r="D85" s="799"/>
      <c r="E85" s="796"/>
      <c r="F85" s="35"/>
      <c r="I85" s="163"/>
      <c r="J85" s="45"/>
      <c r="K85" s="46"/>
      <c r="L85" s="35"/>
      <c r="O85" s="734" t="s">
        <v>404</v>
      </c>
      <c r="P85" s="219" t="s">
        <v>398</v>
      </c>
      <c r="Q85" s="50">
        <f>_11・初任</f>
        <v>0.7</v>
      </c>
      <c r="R85" s="47">
        <f>ROUND((ROUND((ROUND((_11_A家事増５．０*_11・重度研修),0)*(1+_11・A深夜)),0)*_11・初任),0)</f>
        <v>662</v>
      </c>
      <c r="S85" s="48"/>
    </row>
    <row r="86" spans="1:19" ht="16.5" customHeight="1" x14ac:dyDescent="0.15">
      <c r="A86" s="41">
        <v>11</v>
      </c>
      <c r="B86" s="41" t="s">
        <v>13297</v>
      </c>
      <c r="C86" s="74" t="s">
        <v>13298</v>
      </c>
      <c r="D86" s="274">
        <f>_11_A家事増５．０</f>
        <v>700</v>
      </c>
      <c r="E86" s="12" t="s">
        <v>392</v>
      </c>
      <c r="F86" s="35"/>
      <c r="I86" s="44" t="s">
        <v>397</v>
      </c>
      <c r="J86" s="218" t="s">
        <v>398</v>
      </c>
      <c r="K86" s="189">
        <v>1</v>
      </c>
      <c r="L86" s="35"/>
      <c r="O86" s="706"/>
      <c r="P86" s="220"/>
      <c r="Q86" s="38"/>
      <c r="R86" s="47">
        <f>ROUND((ROUND((ROUND((ROUND((_11_A家事増５．０*_11・重度研修),0)*_11・２人),0)*(1+_11・A深夜)),0)*_11・初任),0)</f>
        <v>662</v>
      </c>
      <c r="S86" s="48"/>
    </row>
    <row r="87" spans="1:19" ht="16.5" customHeight="1" x14ac:dyDescent="0.15">
      <c r="A87" s="41">
        <v>11</v>
      </c>
      <c r="B87" s="41">
        <v>8825</v>
      </c>
      <c r="C87" s="74" t="s">
        <v>13299</v>
      </c>
      <c r="D87" s="707" t="s">
        <v>11628</v>
      </c>
      <c r="E87" s="798"/>
      <c r="F87" s="35"/>
      <c r="I87" s="163"/>
      <c r="J87" s="45"/>
      <c r="K87" s="46"/>
      <c r="L87" s="35"/>
      <c r="O87" s="53"/>
      <c r="P87" s="245"/>
      <c r="Q87" s="49"/>
      <c r="R87" s="47">
        <f>ROUND((ROUND((_11_A家事増５．２５*_11・重度研修),0)*(1+_11・A深夜)),0)</f>
        <v>993</v>
      </c>
      <c r="S87" s="48"/>
    </row>
    <row r="88" spans="1:19" ht="16.5" customHeight="1" x14ac:dyDescent="0.15">
      <c r="A88" s="41">
        <v>11</v>
      </c>
      <c r="B88" s="41">
        <v>8826</v>
      </c>
      <c r="C88" s="74" t="s">
        <v>13300</v>
      </c>
      <c r="D88" s="799"/>
      <c r="E88" s="796"/>
      <c r="F88" s="35"/>
      <c r="I88" s="44" t="s">
        <v>397</v>
      </c>
      <c r="J88" s="218" t="s">
        <v>398</v>
      </c>
      <c r="K88" s="189">
        <v>1</v>
      </c>
      <c r="L88" s="35"/>
      <c r="O88" s="43"/>
      <c r="P88" s="220"/>
      <c r="Q88" s="37"/>
      <c r="R88" s="47">
        <f>ROUND((ROUND((ROUND((_11_A家事増５．２５*_11・重度研修),0)*_11・２人),0)*(1+_11・A深夜)),0)</f>
        <v>993</v>
      </c>
      <c r="S88" s="48"/>
    </row>
    <row r="89" spans="1:19" ht="16.5" customHeight="1" x14ac:dyDescent="0.15">
      <c r="A89" s="41">
        <v>11</v>
      </c>
      <c r="B89" s="41" t="s">
        <v>13301</v>
      </c>
      <c r="C89" s="74" t="s">
        <v>13302</v>
      </c>
      <c r="D89" s="799"/>
      <c r="E89" s="796"/>
      <c r="F89" s="35"/>
      <c r="H89" s="234"/>
      <c r="I89" s="45"/>
      <c r="J89" s="45"/>
      <c r="K89" s="46"/>
      <c r="L89" s="35"/>
      <c r="O89" s="734" t="s">
        <v>404</v>
      </c>
      <c r="P89" s="219" t="s">
        <v>398</v>
      </c>
      <c r="Q89" s="50">
        <f>_11・初任</f>
        <v>0.7</v>
      </c>
      <c r="R89" s="47">
        <f>ROUND((ROUND((ROUND((_11_A家事増５．２５*_11・重度研修),0)*(1+_11・A深夜)),0)*_11・初任),0)</f>
        <v>695</v>
      </c>
      <c r="S89" s="48"/>
    </row>
    <row r="90" spans="1:19" ht="16.5" customHeight="1" x14ac:dyDescent="0.15">
      <c r="A90" s="41">
        <v>11</v>
      </c>
      <c r="B90" s="41" t="s">
        <v>13303</v>
      </c>
      <c r="C90" s="74" t="s">
        <v>13304</v>
      </c>
      <c r="D90" s="274">
        <f>_11_A家事増５．２５</f>
        <v>735</v>
      </c>
      <c r="E90" s="12" t="s">
        <v>392</v>
      </c>
      <c r="F90" s="35"/>
      <c r="H90" s="234"/>
      <c r="I90" s="217" t="s">
        <v>397</v>
      </c>
      <c r="J90" s="218" t="s">
        <v>398</v>
      </c>
      <c r="K90" s="189">
        <v>1</v>
      </c>
      <c r="L90" s="35"/>
      <c r="O90" s="706"/>
      <c r="P90" s="220"/>
      <c r="Q90" s="38"/>
      <c r="R90" s="47">
        <f>ROUND((ROUND((ROUND((ROUND((_11_A家事増５．２５*_11・重度研修),0)*_11・２人),0)*(1+_11・A深夜)),0)*_11・初任),0)</f>
        <v>695</v>
      </c>
      <c r="S90" s="48"/>
    </row>
    <row r="91" spans="1:19" ht="16.5" customHeight="1" x14ac:dyDescent="0.15">
      <c r="A91" s="41">
        <v>11</v>
      </c>
      <c r="B91" s="41">
        <v>8827</v>
      </c>
      <c r="C91" s="74" t="s">
        <v>13305</v>
      </c>
      <c r="D91" s="707" t="s">
        <v>11641</v>
      </c>
      <c r="E91" s="798"/>
      <c r="F91" s="35"/>
      <c r="H91" s="234"/>
      <c r="I91" s="45"/>
      <c r="J91" s="45"/>
      <c r="K91" s="46"/>
      <c r="L91" s="35"/>
      <c r="O91" s="53"/>
      <c r="P91" s="245"/>
      <c r="Q91" s="50"/>
      <c r="R91" s="47">
        <f>ROUND((ROUND((_11_A家事増５．５*_11・重度研修),0)*(1+_11・A深夜)),0)</f>
        <v>1040</v>
      </c>
      <c r="S91" s="48"/>
    </row>
    <row r="92" spans="1:19" ht="16.5" customHeight="1" x14ac:dyDescent="0.15">
      <c r="A92" s="41">
        <v>11</v>
      </c>
      <c r="B92" s="41">
        <v>8828</v>
      </c>
      <c r="C92" s="74" t="s">
        <v>13306</v>
      </c>
      <c r="D92" s="799"/>
      <c r="E92" s="796"/>
      <c r="F92" s="35"/>
      <c r="H92" s="234"/>
      <c r="I92" s="217" t="s">
        <v>397</v>
      </c>
      <c r="J92" s="218" t="s">
        <v>398</v>
      </c>
      <c r="K92" s="46">
        <v>1</v>
      </c>
      <c r="L92" s="35"/>
      <c r="O92" s="43"/>
      <c r="P92" s="220"/>
      <c r="Q92" s="38"/>
      <c r="R92" s="47">
        <f>ROUND((ROUND((ROUND((_11_A家事増５．５*_11・重度研修),0)*_11・２人),0)*(1+_11・A深夜)),0)</f>
        <v>1040</v>
      </c>
      <c r="S92" s="48"/>
    </row>
    <row r="93" spans="1:19" ht="16.5" customHeight="1" x14ac:dyDescent="0.15">
      <c r="A93" s="41">
        <v>11</v>
      </c>
      <c r="B93" s="41" t="s">
        <v>13307</v>
      </c>
      <c r="C93" s="74" t="s">
        <v>13308</v>
      </c>
      <c r="D93" s="799"/>
      <c r="E93" s="796"/>
      <c r="F93" s="35"/>
      <c r="H93" s="234"/>
      <c r="I93" s="45"/>
      <c r="J93" s="45"/>
      <c r="K93" s="46"/>
      <c r="L93" s="35"/>
      <c r="O93" s="734" t="s">
        <v>404</v>
      </c>
      <c r="P93" s="219" t="s">
        <v>398</v>
      </c>
      <c r="Q93" s="50">
        <f>_11・初任</f>
        <v>0.7</v>
      </c>
      <c r="R93" s="47">
        <f>ROUND((ROUND((ROUND((_11_A家事増５．５*_11・重度研修),0)*(1+_11・A深夜)),0)*_11・初任),0)</f>
        <v>728</v>
      </c>
      <c r="S93" s="48"/>
    </row>
    <row r="94" spans="1:19" ht="16.5" customHeight="1" x14ac:dyDescent="0.15">
      <c r="A94" s="41">
        <v>11</v>
      </c>
      <c r="B94" s="41" t="s">
        <v>13309</v>
      </c>
      <c r="C94" s="74" t="s">
        <v>13310</v>
      </c>
      <c r="D94" s="274">
        <f>_11_A家事増５．５</f>
        <v>770</v>
      </c>
      <c r="E94" s="12" t="s">
        <v>392</v>
      </c>
      <c r="F94" s="35"/>
      <c r="H94" s="234"/>
      <c r="I94" s="217" t="s">
        <v>397</v>
      </c>
      <c r="J94" s="218" t="s">
        <v>398</v>
      </c>
      <c r="K94" s="189">
        <v>1</v>
      </c>
      <c r="L94" s="35"/>
      <c r="O94" s="706"/>
      <c r="P94" s="220"/>
      <c r="Q94" s="38"/>
      <c r="R94" s="47">
        <f>ROUND((ROUND((ROUND((ROUND((_11_A家事増５．５*_11・重度研修),0)*_11・２人),0)*(1+_11・A深夜)),0)*_11・初任),0)</f>
        <v>728</v>
      </c>
      <c r="S94" s="48"/>
    </row>
    <row r="95" spans="1:19" ht="16.5" customHeight="1" x14ac:dyDescent="0.15">
      <c r="A95" s="41">
        <v>11</v>
      </c>
      <c r="B95" s="41">
        <v>8829</v>
      </c>
      <c r="C95" s="74" t="s">
        <v>13311</v>
      </c>
      <c r="D95" s="707" t="s">
        <v>11654</v>
      </c>
      <c r="E95" s="798"/>
      <c r="F95" s="35"/>
      <c r="H95" s="234"/>
      <c r="I95" s="45"/>
      <c r="J95" s="45"/>
      <c r="K95" s="46"/>
      <c r="L95" s="35"/>
      <c r="O95" s="53"/>
      <c r="P95" s="245"/>
      <c r="Q95" s="50"/>
      <c r="R95" s="47">
        <f>ROUND((ROUND((_11_A家事増５．７５*_11・重度研修),0)*(1+_11・A深夜)),0)</f>
        <v>1088</v>
      </c>
      <c r="S95" s="48"/>
    </row>
    <row r="96" spans="1:19" ht="16.5" customHeight="1" x14ac:dyDescent="0.15">
      <c r="A96" s="41">
        <v>11</v>
      </c>
      <c r="B96" s="41">
        <v>8830</v>
      </c>
      <c r="C96" s="74" t="s">
        <v>13312</v>
      </c>
      <c r="D96" s="799"/>
      <c r="E96" s="796"/>
      <c r="F96" s="35"/>
      <c r="H96" s="234"/>
      <c r="I96" s="217" t="s">
        <v>397</v>
      </c>
      <c r="J96" s="218" t="s">
        <v>398</v>
      </c>
      <c r="K96" s="189">
        <v>1</v>
      </c>
      <c r="L96" s="35"/>
      <c r="O96" s="43"/>
      <c r="P96" s="220"/>
      <c r="Q96" s="38"/>
      <c r="R96" s="47">
        <f>ROUND((ROUND((ROUND((_11_A家事増５．７５*_11・重度研修),0)*_11・２人),0)*(1+_11・A深夜)),0)</f>
        <v>1088</v>
      </c>
      <c r="S96" s="48"/>
    </row>
    <row r="97" spans="1:19" ht="16.5" customHeight="1" x14ac:dyDescent="0.15">
      <c r="A97" s="41">
        <v>11</v>
      </c>
      <c r="B97" s="41" t="s">
        <v>13313</v>
      </c>
      <c r="C97" s="74" t="s">
        <v>13314</v>
      </c>
      <c r="D97" s="799"/>
      <c r="E97" s="796"/>
      <c r="F97" s="35"/>
      <c r="H97" s="234"/>
      <c r="I97" s="45"/>
      <c r="J97" s="45"/>
      <c r="K97" s="46"/>
      <c r="L97" s="35"/>
      <c r="O97" s="734" t="s">
        <v>404</v>
      </c>
      <c r="P97" s="219" t="s">
        <v>398</v>
      </c>
      <c r="Q97" s="50">
        <f>_11・初任</f>
        <v>0.7</v>
      </c>
      <c r="R97" s="47">
        <f>ROUND((ROUND((ROUND((_11_A家事増５．７５*_11・重度研修),0)*(1+_11・A深夜)),0)*_11・初任),0)</f>
        <v>762</v>
      </c>
      <c r="S97" s="48"/>
    </row>
    <row r="98" spans="1:19" ht="16.5" customHeight="1" x14ac:dyDescent="0.15">
      <c r="A98" s="41">
        <v>11</v>
      </c>
      <c r="B98" s="41" t="s">
        <v>13315</v>
      </c>
      <c r="C98" s="74" t="s">
        <v>13316</v>
      </c>
      <c r="D98" s="274">
        <f>_11_A家事増５．７５</f>
        <v>805</v>
      </c>
      <c r="E98" s="12" t="s">
        <v>392</v>
      </c>
      <c r="F98" s="35"/>
      <c r="H98" s="234"/>
      <c r="I98" s="217" t="s">
        <v>397</v>
      </c>
      <c r="J98" s="218" t="s">
        <v>398</v>
      </c>
      <c r="K98" s="189">
        <v>1</v>
      </c>
      <c r="L98" s="35"/>
      <c r="O98" s="706"/>
      <c r="P98" s="220"/>
      <c r="Q98" s="38"/>
      <c r="R98" s="47">
        <f>ROUND((ROUND((ROUND((ROUND((_11_A家事増５．７５*_11・重度研修),0)*_11・２人),0)*(1+_11・A深夜)),0)*_11・初任),0)</f>
        <v>762</v>
      </c>
      <c r="S98" s="48"/>
    </row>
    <row r="99" spans="1:19" ht="16.5" customHeight="1" x14ac:dyDescent="0.15">
      <c r="A99" s="41">
        <v>11</v>
      </c>
      <c r="B99" s="41">
        <v>8831</v>
      </c>
      <c r="C99" s="74" t="s">
        <v>13317</v>
      </c>
      <c r="D99" s="707" t="s">
        <v>11667</v>
      </c>
      <c r="E99" s="798"/>
      <c r="F99" s="35"/>
      <c r="I99" s="163"/>
      <c r="J99" s="45"/>
      <c r="K99" s="46"/>
      <c r="L99" s="35"/>
      <c r="O99" s="53"/>
      <c r="P99" s="245"/>
      <c r="Q99" s="49"/>
      <c r="R99" s="47">
        <f>ROUND((ROUND((_11_A家事増６．０*_11・重度研修),0)*(1+_11・A深夜)),0)</f>
        <v>1134</v>
      </c>
      <c r="S99" s="48"/>
    </row>
    <row r="100" spans="1:19" ht="16.5" customHeight="1" x14ac:dyDescent="0.15">
      <c r="A100" s="41">
        <v>11</v>
      </c>
      <c r="B100" s="41">
        <v>8832</v>
      </c>
      <c r="C100" s="74" t="s">
        <v>13318</v>
      </c>
      <c r="D100" s="799"/>
      <c r="E100" s="796"/>
      <c r="F100" s="35"/>
      <c r="I100" s="44" t="s">
        <v>397</v>
      </c>
      <c r="J100" s="218" t="s">
        <v>398</v>
      </c>
      <c r="K100" s="189">
        <v>1</v>
      </c>
      <c r="L100" s="35"/>
      <c r="O100" s="43"/>
      <c r="P100" s="220"/>
      <c r="Q100" s="37"/>
      <c r="R100" s="47">
        <f>ROUND((ROUND((ROUND((_11_A家事増６．０*_11・重度研修),0)*_11・２人),0)*(1+_11・A深夜)),0)</f>
        <v>1134</v>
      </c>
      <c r="S100" s="48"/>
    </row>
    <row r="101" spans="1:19" ht="16.5" customHeight="1" x14ac:dyDescent="0.15">
      <c r="A101" s="41">
        <v>11</v>
      </c>
      <c r="B101" s="41" t="s">
        <v>13319</v>
      </c>
      <c r="C101" s="74" t="s">
        <v>13320</v>
      </c>
      <c r="D101" s="799"/>
      <c r="E101" s="796"/>
      <c r="F101" s="35"/>
      <c r="I101" s="163"/>
      <c r="J101" s="45"/>
      <c r="K101" s="46"/>
      <c r="L101" s="35"/>
      <c r="O101" s="734" t="s">
        <v>404</v>
      </c>
      <c r="P101" s="219" t="s">
        <v>398</v>
      </c>
      <c r="Q101" s="50">
        <f>_11・初任</f>
        <v>0.7</v>
      </c>
      <c r="R101" s="47">
        <f>ROUND((ROUND((ROUND((_11_A家事増６．０*_11・重度研修),0)*(1+_11・A深夜)),0)*_11・初任),0)</f>
        <v>794</v>
      </c>
      <c r="S101" s="48"/>
    </row>
    <row r="102" spans="1:19" ht="16.5" customHeight="1" x14ac:dyDescent="0.15">
      <c r="A102" s="41">
        <v>11</v>
      </c>
      <c r="B102" s="41" t="s">
        <v>13321</v>
      </c>
      <c r="C102" s="74" t="s">
        <v>13322</v>
      </c>
      <c r="D102" s="274">
        <f>_11_A家事増６．０</f>
        <v>840</v>
      </c>
      <c r="E102" s="12" t="s">
        <v>392</v>
      </c>
      <c r="F102" s="35"/>
      <c r="I102" s="44" t="s">
        <v>397</v>
      </c>
      <c r="J102" s="218" t="s">
        <v>398</v>
      </c>
      <c r="K102" s="189">
        <v>1</v>
      </c>
      <c r="L102" s="35"/>
      <c r="O102" s="706"/>
      <c r="P102" s="220"/>
      <c r="Q102" s="38"/>
      <c r="R102" s="47">
        <f>ROUND((ROUND((ROUND((ROUND((_11_A家事増６．０*_11・重度研修),0)*_11・２人),0)*(1+_11・A深夜)),0)*_11・初任),0)</f>
        <v>794</v>
      </c>
      <c r="S102" s="48"/>
    </row>
    <row r="103" spans="1:19" ht="16.5" customHeight="1" x14ac:dyDescent="0.15">
      <c r="A103" s="41">
        <v>11</v>
      </c>
      <c r="B103" s="41">
        <v>8833</v>
      </c>
      <c r="C103" s="74" t="s">
        <v>13323</v>
      </c>
      <c r="D103" s="707" t="s">
        <v>11680</v>
      </c>
      <c r="E103" s="798"/>
      <c r="F103" s="35"/>
      <c r="I103" s="163"/>
      <c r="J103" s="45"/>
      <c r="K103" s="46"/>
      <c r="L103" s="35"/>
      <c r="O103" s="53"/>
      <c r="P103" s="245"/>
      <c r="Q103" s="50"/>
      <c r="R103" s="47">
        <f>ROUND((ROUND((_11_A家事増６．２５*_11・重度研修),0)*(1+_11・A深夜)),0)</f>
        <v>1182</v>
      </c>
      <c r="S103" s="48"/>
    </row>
    <row r="104" spans="1:19" ht="16.5" customHeight="1" x14ac:dyDescent="0.15">
      <c r="A104" s="41">
        <v>11</v>
      </c>
      <c r="B104" s="41">
        <v>8834</v>
      </c>
      <c r="C104" s="74" t="s">
        <v>13324</v>
      </c>
      <c r="D104" s="799"/>
      <c r="E104" s="796"/>
      <c r="F104" s="35"/>
      <c r="I104" s="44" t="s">
        <v>397</v>
      </c>
      <c r="J104" s="218" t="s">
        <v>398</v>
      </c>
      <c r="K104" s="189">
        <v>1</v>
      </c>
      <c r="L104" s="35"/>
      <c r="O104" s="43"/>
      <c r="P104" s="220"/>
      <c r="Q104" s="38"/>
      <c r="R104" s="47">
        <f>ROUND((ROUND((ROUND((_11_A家事増６．２５*_11・重度研修),0)*_11・２人),0)*(1+_11・A深夜)),0)</f>
        <v>1182</v>
      </c>
      <c r="S104" s="48"/>
    </row>
    <row r="105" spans="1:19" ht="16.5" customHeight="1" x14ac:dyDescent="0.15">
      <c r="A105" s="41">
        <v>11</v>
      </c>
      <c r="B105" s="41" t="s">
        <v>13325</v>
      </c>
      <c r="C105" s="74" t="s">
        <v>13326</v>
      </c>
      <c r="D105" s="799"/>
      <c r="E105" s="796"/>
      <c r="F105" s="35"/>
      <c r="I105" s="163"/>
      <c r="J105" s="45"/>
      <c r="K105" s="46"/>
      <c r="L105" s="35"/>
      <c r="O105" s="734" t="s">
        <v>404</v>
      </c>
      <c r="P105" s="219" t="s">
        <v>398</v>
      </c>
      <c r="Q105" s="50">
        <f>_11・初任</f>
        <v>0.7</v>
      </c>
      <c r="R105" s="47">
        <f>ROUND((ROUND((ROUND((_11_A家事増６．２５*_11・重度研修),0)*(1+_11・A深夜)),0)*_11・初任),0)</f>
        <v>827</v>
      </c>
      <c r="S105" s="48"/>
    </row>
    <row r="106" spans="1:19" ht="16.5" customHeight="1" x14ac:dyDescent="0.15">
      <c r="A106" s="41">
        <v>11</v>
      </c>
      <c r="B106" s="41" t="s">
        <v>13327</v>
      </c>
      <c r="C106" s="74" t="s">
        <v>13328</v>
      </c>
      <c r="D106" s="274">
        <f>_11_A家事増６．２５</f>
        <v>875</v>
      </c>
      <c r="E106" s="12" t="s">
        <v>392</v>
      </c>
      <c r="F106" s="35"/>
      <c r="I106" s="44" t="s">
        <v>397</v>
      </c>
      <c r="J106" s="218" t="s">
        <v>398</v>
      </c>
      <c r="K106" s="189">
        <v>1</v>
      </c>
      <c r="L106" s="35"/>
      <c r="O106" s="706"/>
      <c r="P106" s="220"/>
      <c r="Q106" s="38"/>
      <c r="R106" s="47">
        <f>ROUND((ROUND((ROUND((ROUND((_11_A家事増６．２５*_11・重度研修),0)*_11・２人),0)*(1+_11・A深夜)),0)*_11・初任),0)</f>
        <v>827</v>
      </c>
      <c r="S106" s="48"/>
    </row>
    <row r="107" spans="1:19" ht="16.5" customHeight="1" x14ac:dyDescent="0.15">
      <c r="A107" s="41">
        <v>11</v>
      </c>
      <c r="B107" s="41">
        <v>8835</v>
      </c>
      <c r="C107" s="74" t="s">
        <v>13329</v>
      </c>
      <c r="D107" s="707" t="s">
        <v>11693</v>
      </c>
      <c r="E107" s="798"/>
      <c r="F107" s="35"/>
      <c r="I107" s="163"/>
      <c r="J107" s="45"/>
      <c r="K107" s="46"/>
      <c r="L107" s="35"/>
      <c r="O107" s="53"/>
      <c r="P107" s="245"/>
      <c r="Q107" s="49"/>
      <c r="R107" s="47">
        <f>ROUND((ROUND((_11_A家事増６．５*_11・重度研修),0)*(1+_11・A深夜)),0)</f>
        <v>1229</v>
      </c>
      <c r="S107" s="48"/>
    </row>
    <row r="108" spans="1:19" ht="16.5" customHeight="1" x14ac:dyDescent="0.15">
      <c r="A108" s="41">
        <v>11</v>
      </c>
      <c r="B108" s="41">
        <v>8836</v>
      </c>
      <c r="C108" s="74" t="s">
        <v>13330</v>
      </c>
      <c r="D108" s="799"/>
      <c r="E108" s="796"/>
      <c r="F108" s="35"/>
      <c r="I108" s="44" t="s">
        <v>397</v>
      </c>
      <c r="J108" s="218" t="s">
        <v>398</v>
      </c>
      <c r="K108" s="189">
        <v>1</v>
      </c>
      <c r="L108" s="35"/>
      <c r="O108" s="43"/>
      <c r="P108" s="220"/>
      <c r="Q108" s="37"/>
      <c r="R108" s="47">
        <f>ROUND((ROUND((ROUND((_11_A家事増６．５*_11・重度研修),0)*_11・２人),0)*(1+_11・A深夜)),0)</f>
        <v>1229</v>
      </c>
      <c r="S108" s="48"/>
    </row>
    <row r="109" spans="1:19" ht="16.5" customHeight="1" x14ac:dyDescent="0.15">
      <c r="A109" s="41">
        <v>11</v>
      </c>
      <c r="B109" s="41" t="s">
        <v>13331</v>
      </c>
      <c r="C109" s="74" t="s">
        <v>13332</v>
      </c>
      <c r="D109" s="799"/>
      <c r="E109" s="796"/>
      <c r="F109" s="35"/>
      <c r="I109" s="163"/>
      <c r="J109" s="45"/>
      <c r="K109" s="46"/>
      <c r="L109" s="35"/>
      <c r="O109" s="734" t="s">
        <v>404</v>
      </c>
      <c r="P109" s="219" t="s">
        <v>398</v>
      </c>
      <c r="Q109" s="50">
        <f>_11・初任</f>
        <v>0.7</v>
      </c>
      <c r="R109" s="47">
        <f>ROUND((ROUND((ROUND((_11_A家事増６．５*_11・重度研修),0)*(1+_11・A深夜)),0)*_11・初任),0)</f>
        <v>860</v>
      </c>
      <c r="S109" s="48"/>
    </row>
    <row r="110" spans="1:19" ht="16.5" customHeight="1" x14ac:dyDescent="0.15">
      <c r="A110" s="41">
        <v>11</v>
      </c>
      <c r="B110" s="41" t="s">
        <v>13333</v>
      </c>
      <c r="C110" s="74" t="s">
        <v>13334</v>
      </c>
      <c r="D110" s="276">
        <f>_11_A家事増６．５</f>
        <v>910</v>
      </c>
      <c r="E110" s="37" t="s">
        <v>392</v>
      </c>
      <c r="F110" s="43"/>
      <c r="G110" s="37"/>
      <c r="H110" s="38"/>
      <c r="I110" s="44" t="s">
        <v>397</v>
      </c>
      <c r="J110" s="218" t="s">
        <v>398</v>
      </c>
      <c r="K110" s="189">
        <v>1</v>
      </c>
      <c r="L110" s="43"/>
      <c r="M110" s="37"/>
      <c r="N110" s="38"/>
      <c r="O110" s="706"/>
      <c r="P110" s="220"/>
      <c r="Q110" s="38"/>
      <c r="R110" s="47">
        <f>ROUND((ROUND((ROUND((ROUND((_11_A家事増６．５*_11・重度研修),0)*_11・２人),0)*(1+_11・A深夜)),0)*_11・初任),0)</f>
        <v>860</v>
      </c>
      <c r="S110" s="63"/>
    </row>
    <row r="111" spans="1:19" ht="16.5" customHeight="1" x14ac:dyDescent="0.15"/>
    <row r="112" spans="1:19" ht="16.5" customHeight="1" x14ac:dyDescent="0.15"/>
  </sheetData>
  <mergeCells count="56">
    <mergeCell ref="D107:E109"/>
    <mergeCell ref="O109:O110"/>
    <mergeCell ref="D95:E97"/>
    <mergeCell ref="O97:O98"/>
    <mergeCell ref="D99:E101"/>
    <mergeCell ref="O101:O102"/>
    <mergeCell ref="D103:E105"/>
    <mergeCell ref="O105:O106"/>
    <mergeCell ref="D83:E85"/>
    <mergeCell ref="O85:O86"/>
    <mergeCell ref="D87:E89"/>
    <mergeCell ref="O89:O90"/>
    <mergeCell ref="D91:E93"/>
    <mergeCell ref="O93:O94"/>
    <mergeCell ref="D71:E73"/>
    <mergeCell ref="O73:O74"/>
    <mergeCell ref="D75:E77"/>
    <mergeCell ref="O77:O78"/>
    <mergeCell ref="D79:E81"/>
    <mergeCell ref="O81:O82"/>
    <mergeCell ref="D63:E65"/>
    <mergeCell ref="F63:H65"/>
    <mergeCell ref="N64:N65"/>
    <mergeCell ref="O65:O66"/>
    <mergeCell ref="D67:E69"/>
    <mergeCell ref="O69:O70"/>
    <mergeCell ref="D51:E53"/>
    <mergeCell ref="O53:O54"/>
    <mergeCell ref="D55:E57"/>
    <mergeCell ref="O57:O58"/>
    <mergeCell ref="D59:E61"/>
    <mergeCell ref="O61:O62"/>
    <mergeCell ref="D39:E41"/>
    <mergeCell ref="O41:O42"/>
    <mergeCell ref="D43:E45"/>
    <mergeCell ref="O45:O46"/>
    <mergeCell ref="D47:E49"/>
    <mergeCell ref="O49:O50"/>
    <mergeCell ref="D27:E29"/>
    <mergeCell ref="O29:O30"/>
    <mergeCell ref="D31:E33"/>
    <mergeCell ref="O33:O34"/>
    <mergeCell ref="D35:E37"/>
    <mergeCell ref="O37:O38"/>
    <mergeCell ref="D15:E17"/>
    <mergeCell ref="O17:O18"/>
    <mergeCell ref="D19:E21"/>
    <mergeCell ref="O21:O22"/>
    <mergeCell ref="D23:E25"/>
    <mergeCell ref="O25:O26"/>
    <mergeCell ref="D7:E9"/>
    <mergeCell ref="F7:H9"/>
    <mergeCell ref="N8:N9"/>
    <mergeCell ref="O9:O10"/>
    <mergeCell ref="D11:E13"/>
    <mergeCell ref="O13:O14"/>
  </mergeCells>
  <phoneticPr fontId="1"/>
  <printOptions horizontalCentered="1"/>
  <pageMargins left="0.70866141732283472" right="0.70866141732283472" top="0.74803149606299213" bottom="0.74803149606299213" header="0.31496062992125984" footer="0.31496062992125984"/>
  <pageSetup paperSize="9" scale="58" fitToHeight="0" orientation="portrait" r:id="rId1"/>
  <headerFooter>
    <oddHeader>&amp;R&amp;"ＭＳ Ｐゴシック"&amp;9居宅介護</oddHeader>
    <oddFooter>&amp;C&amp;"ＭＳ Ｐゴシック"&amp;14&amp;P</oddFooter>
  </headerFooter>
  <rowBreaks count="1" manualBreakCount="1">
    <brk id="62" max="18"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4"/>
  <dimension ref="A1:O176"/>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0" customWidth="1"/>
    <col min="5" max="5" width="4.875" style="12" customWidth="1"/>
    <col min="6" max="6" width="11.5" style="12" customWidth="1"/>
    <col min="7" max="7" width="2.5" style="12" customWidth="1"/>
    <col min="8" max="8" width="4.5" style="13" bestFit="1" customWidth="1"/>
    <col min="9" max="9" width="26" style="12" customWidth="1"/>
    <col min="10" max="10" width="2.5" style="12" customWidth="1"/>
    <col min="11" max="11" width="5.5" style="13" bestFit="1" customWidth="1"/>
    <col min="12" max="12" width="9.875" style="12" customWidth="1"/>
    <col min="13" max="13" width="4.5" style="13" bestFit="1" customWidth="1"/>
    <col min="14" max="14" width="7.125" style="15" customWidth="1"/>
    <col min="15" max="15" width="8.5" style="16" customWidth="1"/>
    <col min="16" max="16384" width="8.875" style="12"/>
  </cols>
  <sheetData>
    <row r="1" spans="1:15" ht="17.100000000000001" customHeight="1" x14ac:dyDescent="0.15"/>
    <row r="2" spans="1:15" ht="17.100000000000001" customHeight="1" x14ac:dyDescent="0.15"/>
    <row r="3" spans="1:15" ht="17.100000000000001" customHeight="1" x14ac:dyDescent="0.15"/>
    <row r="4" spans="1:15" ht="17.100000000000001" customHeight="1" x14ac:dyDescent="0.15">
      <c r="B4" s="17" t="s">
        <v>13335</v>
      </c>
      <c r="D4" s="71"/>
    </row>
    <row r="5" spans="1:15" ht="16.5" customHeight="1" x14ac:dyDescent="0.15">
      <c r="A5" s="19" t="s">
        <v>384</v>
      </c>
      <c r="B5" s="20"/>
      <c r="C5" s="21" t="s">
        <v>385</v>
      </c>
      <c r="D5" s="23" t="s">
        <v>386</v>
      </c>
      <c r="E5" s="23"/>
      <c r="F5" s="23"/>
      <c r="G5" s="23"/>
      <c r="H5" s="24"/>
      <c r="I5" s="23"/>
      <c r="J5" s="23"/>
      <c r="K5" s="24"/>
      <c r="L5" s="23"/>
      <c r="M5" s="24"/>
      <c r="N5" s="25" t="s">
        <v>387</v>
      </c>
      <c r="O5" s="21" t="s">
        <v>388</v>
      </c>
    </row>
    <row r="6" spans="1:15" ht="16.5" customHeight="1" x14ac:dyDescent="0.15">
      <c r="A6" s="26" t="s">
        <v>389</v>
      </c>
      <c r="B6" s="26" t="s">
        <v>390</v>
      </c>
      <c r="C6" s="27"/>
      <c r="D6" s="29"/>
      <c r="E6" s="29"/>
      <c r="F6" s="29"/>
      <c r="G6" s="29"/>
      <c r="H6" s="30"/>
      <c r="I6" s="29"/>
      <c r="J6" s="29"/>
      <c r="K6" s="30"/>
      <c r="L6" s="29"/>
      <c r="M6" s="30"/>
      <c r="N6" s="31" t="s">
        <v>391</v>
      </c>
      <c r="O6" s="32" t="s">
        <v>392</v>
      </c>
    </row>
    <row r="7" spans="1:15" ht="16.5" customHeight="1" x14ac:dyDescent="0.15">
      <c r="A7" s="33">
        <v>11</v>
      </c>
      <c r="B7" s="33">
        <v>7111</v>
      </c>
      <c r="C7" s="34" t="s">
        <v>13336</v>
      </c>
      <c r="D7" s="709" t="s">
        <v>394</v>
      </c>
      <c r="E7" s="796"/>
      <c r="F7" s="35"/>
      <c r="I7" s="43"/>
      <c r="J7" s="37"/>
      <c r="K7" s="38"/>
      <c r="L7" s="35"/>
      <c r="N7" s="39">
        <f>_11_A通院２０．５</f>
        <v>105</v>
      </c>
      <c r="O7" s="40" t="s">
        <v>395</v>
      </c>
    </row>
    <row r="8" spans="1:15" ht="16.5" customHeight="1" x14ac:dyDescent="0.15">
      <c r="A8" s="41">
        <v>11</v>
      </c>
      <c r="B8" s="41">
        <v>7112</v>
      </c>
      <c r="C8" s="74" t="s">
        <v>13337</v>
      </c>
      <c r="D8" s="799"/>
      <c r="E8" s="796"/>
      <c r="F8" s="43"/>
      <c r="G8" s="37"/>
      <c r="H8" s="38"/>
      <c r="I8" s="281" t="s">
        <v>397</v>
      </c>
      <c r="J8" s="218" t="s">
        <v>398</v>
      </c>
      <c r="K8" s="189">
        <v>1</v>
      </c>
      <c r="L8" s="35"/>
      <c r="N8" s="47">
        <f>ROUND((_11_A通院２０．５*_11・２人),0)</f>
        <v>105</v>
      </c>
      <c r="O8" s="48"/>
    </row>
    <row r="9" spans="1:15" ht="16.5" customHeight="1" x14ac:dyDescent="0.15">
      <c r="A9" s="41">
        <v>11</v>
      </c>
      <c r="B9" s="41">
        <v>7113</v>
      </c>
      <c r="C9" s="74" t="s">
        <v>13338</v>
      </c>
      <c r="D9" s="799"/>
      <c r="E9" s="796"/>
      <c r="F9" s="752" t="s">
        <v>400</v>
      </c>
      <c r="G9" s="221" t="s">
        <v>398</v>
      </c>
      <c r="H9" s="50">
        <v>0.9</v>
      </c>
      <c r="I9" s="163"/>
      <c r="J9" s="45"/>
      <c r="K9" s="46"/>
      <c r="L9" s="35"/>
      <c r="N9" s="47">
        <f>ROUND((_11_A通院２０．５*_11・基礎２),0)</f>
        <v>95</v>
      </c>
      <c r="O9" s="48"/>
    </row>
    <row r="10" spans="1:15" ht="16.5" customHeight="1" x14ac:dyDescent="0.15">
      <c r="A10" s="41">
        <v>11</v>
      </c>
      <c r="B10" s="41">
        <v>7114</v>
      </c>
      <c r="C10" s="74" t="s">
        <v>13339</v>
      </c>
      <c r="D10" s="274">
        <f>_11_A通院２０．５</f>
        <v>105</v>
      </c>
      <c r="E10" s="10" t="s">
        <v>392</v>
      </c>
      <c r="F10" s="800"/>
      <c r="G10" s="37"/>
      <c r="H10" s="38"/>
      <c r="I10" s="282" t="s">
        <v>397</v>
      </c>
      <c r="J10" s="218" t="s">
        <v>398</v>
      </c>
      <c r="K10" s="189">
        <v>1</v>
      </c>
      <c r="L10" s="35"/>
      <c r="N10" s="47">
        <f>ROUND((ROUND((_11_A通院２０．５*_11・基礎２),0)*_11・２人),0)</f>
        <v>95</v>
      </c>
      <c r="O10" s="48"/>
    </row>
    <row r="11" spans="1:15" ht="16.5" customHeight="1" x14ac:dyDescent="0.15">
      <c r="A11" s="41">
        <v>11</v>
      </c>
      <c r="B11" s="41" t="s">
        <v>13340</v>
      </c>
      <c r="C11" s="74" t="s">
        <v>13341</v>
      </c>
      <c r="D11" s="72"/>
      <c r="F11" s="53"/>
      <c r="G11" s="49"/>
      <c r="H11" s="50"/>
      <c r="I11" s="163"/>
      <c r="J11" s="45"/>
      <c r="K11" s="46"/>
      <c r="L11" s="707" t="s">
        <v>404</v>
      </c>
      <c r="M11" s="708"/>
      <c r="N11" s="47">
        <f>ROUND((_11_A通院２０．５*_11・初任),0)</f>
        <v>74</v>
      </c>
      <c r="O11" s="48"/>
    </row>
    <row r="12" spans="1:15" ht="16.5" customHeight="1" x14ac:dyDescent="0.15">
      <c r="A12" s="41">
        <v>11</v>
      </c>
      <c r="B12" s="41" t="s">
        <v>13342</v>
      </c>
      <c r="C12" s="74" t="s">
        <v>13343</v>
      </c>
      <c r="D12" s="72"/>
      <c r="F12" s="43"/>
      <c r="G12" s="37"/>
      <c r="H12" s="38"/>
      <c r="I12" s="282" t="s">
        <v>397</v>
      </c>
      <c r="J12" s="218" t="s">
        <v>398</v>
      </c>
      <c r="K12" s="46">
        <v>1</v>
      </c>
      <c r="L12" s="709"/>
      <c r="M12" s="704"/>
      <c r="N12" s="47">
        <f>ROUND((ROUND((_11_A通院２０．５*_11・２人),0)*_11・初任),0)</f>
        <v>74</v>
      </c>
      <c r="O12" s="48"/>
    </row>
    <row r="13" spans="1:15" ht="16.5" customHeight="1" x14ac:dyDescent="0.15">
      <c r="A13" s="41">
        <v>11</v>
      </c>
      <c r="B13" s="41" t="s">
        <v>13344</v>
      </c>
      <c r="C13" s="74" t="s">
        <v>13345</v>
      </c>
      <c r="D13" s="72"/>
      <c r="F13" s="755" t="s">
        <v>400</v>
      </c>
      <c r="G13" s="221" t="s">
        <v>398</v>
      </c>
      <c r="H13" s="50">
        <v>0.9</v>
      </c>
      <c r="I13" s="163"/>
      <c r="J13" s="45"/>
      <c r="K13" s="46"/>
      <c r="L13" s="709"/>
      <c r="M13" s="704"/>
      <c r="N13" s="47">
        <f>ROUND((ROUND((_11_A通院２０．５*_11・基礎２),0)*_11・初任),0)</f>
        <v>67</v>
      </c>
      <c r="O13" s="48"/>
    </row>
    <row r="14" spans="1:15" ht="16.5" customHeight="1" x14ac:dyDescent="0.15">
      <c r="A14" s="41">
        <v>11</v>
      </c>
      <c r="B14" s="41" t="s">
        <v>13346</v>
      </c>
      <c r="C14" s="74" t="s">
        <v>13347</v>
      </c>
      <c r="D14" s="72"/>
      <c r="F14" s="800"/>
      <c r="G14" s="37"/>
      <c r="H14" s="38"/>
      <c r="I14" s="282" t="s">
        <v>397</v>
      </c>
      <c r="J14" s="218" t="s">
        <v>398</v>
      </c>
      <c r="K14" s="46">
        <v>1</v>
      </c>
      <c r="L14" s="240" t="s">
        <v>398</v>
      </c>
      <c r="M14" s="38">
        <f>_11・初任</f>
        <v>0.7</v>
      </c>
      <c r="N14" s="47">
        <f>ROUND((ROUND((ROUND((_11_A通院２０．５*_11・基礎２),0)*_11・２人),0)*_11・初任),0)</f>
        <v>67</v>
      </c>
      <c r="O14" s="48"/>
    </row>
    <row r="15" spans="1:15" ht="16.5" customHeight="1" x14ac:dyDescent="0.15">
      <c r="A15" s="41">
        <v>11</v>
      </c>
      <c r="B15" s="41">
        <v>7115</v>
      </c>
      <c r="C15" s="74" t="s">
        <v>13348</v>
      </c>
      <c r="D15" s="707" t="s">
        <v>412</v>
      </c>
      <c r="E15" s="798"/>
      <c r="F15" s="53"/>
      <c r="G15" s="49"/>
      <c r="H15" s="50"/>
      <c r="I15" s="163"/>
      <c r="J15" s="45"/>
      <c r="K15" s="46"/>
      <c r="L15" s="53"/>
      <c r="M15" s="50"/>
      <c r="N15" s="47">
        <f>_11_A通院２１．０</f>
        <v>196</v>
      </c>
      <c r="O15" s="48"/>
    </row>
    <row r="16" spans="1:15" ht="16.5" customHeight="1" x14ac:dyDescent="0.15">
      <c r="A16" s="41">
        <v>11</v>
      </c>
      <c r="B16" s="41">
        <v>7116</v>
      </c>
      <c r="C16" s="74" t="s">
        <v>13349</v>
      </c>
      <c r="D16" s="799"/>
      <c r="E16" s="796"/>
      <c r="F16" s="43"/>
      <c r="G16" s="37"/>
      <c r="H16" s="38"/>
      <c r="I16" s="282" t="s">
        <v>397</v>
      </c>
      <c r="J16" s="218" t="s">
        <v>398</v>
      </c>
      <c r="K16" s="189">
        <v>1</v>
      </c>
      <c r="L16" s="35"/>
      <c r="N16" s="47">
        <f>ROUND((_11_A通院２１．０*_11・２人),0)</f>
        <v>196</v>
      </c>
      <c r="O16" s="48"/>
    </row>
    <row r="17" spans="1:15" ht="16.5" customHeight="1" x14ac:dyDescent="0.15">
      <c r="A17" s="41">
        <v>11</v>
      </c>
      <c r="B17" s="41">
        <v>7117</v>
      </c>
      <c r="C17" s="74" t="s">
        <v>13350</v>
      </c>
      <c r="D17" s="799"/>
      <c r="E17" s="796"/>
      <c r="F17" s="755" t="s">
        <v>400</v>
      </c>
      <c r="G17" s="221" t="s">
        <v>398</v>
      </c>
      <c r="H17" s="50">
        <v>0.9</v>
      </c>
      <c r="I17" s="163"/>
      <c r="J17" s="45"/>
      <c r="K17" s="46"/>
      <c r="L17" s="35"/>
      <c r="N17" s="47">
        <f>ROUND((_11_A通院２１．０*_11・基礎２),0)</f>
        <v>176</v>
      </c>
      <c r="O17" s="48"/>
    </row>
    <row r="18" spans="1:15" ht="16.5" customHeight="1" x14ac:dyDescent="0.15">
      <c r="A18" s="41">
        <v>11</v>
      </c>
      <c r="B18" s="41">
        <v>7118</v>
      </c>
      <c r="C18" s="74" t="s">
        <v>13351</v>
      </c>
      <c r="D18" s="274">
        <f>_11_A通院２１．０</f>
        <v>196</v>
      </c>
      <c r="E18" s="10" t="s">
        <v>392</v>
      </c>
      <c r="F18" s="800"/>
      <c r="G18" s="37"/>
      <c r="H18" s="38"/>
      <c r="I18" s="282" t="s">
        <v>397</v>
      </c>
      <c r="J18" s="218" t="s">
        <v>398</v>
      </c>
      <c r="K18" s="189">
        <v>1</v>
      </c>
      <c r="L18" s="35"/>
      <c r="N18" s="47">
        <f>ROUND((ROUND((_11_A通院２１．０*_11・基礎２),0)*_11・２人),0)</f>
        <v>176</v>
      </c>
      <c r="O18" s="48"/>
    </row>
    <row r="19" spans="1:15" ht="16.5" customHeight="1" x14ac:dyDescent="0.15">
      <c r="A19" s="41">
        <v>11</v>
      </c>
      <c r="B19" s="41" t="s">
        <v>13352</v>
      </c>
      <c r="C19" s="74" t="s">
        <v>13353</v>
      </c>
      <c r="D19" s="72"/>
      <c r="F19" s="53"/>
      <c r="G19" s="49"/>
      <c r="H19" s="50"/>
      <c r="I19" s="163"/>
      <c r="J19" s="45"/>
      <c r="K19" s="46"/>
      <c r="L19" s="707" t="s">
        <v>404</v>
      </c>
      <c r="M19" s="708"/>
      <c r="N19" s="47">
        <f>ROUND((_11_A通院２１．０*_11・初任),0)</f>
        <v>137</v>
      </c>
      <c r="O19" s="48"/>
    </row>
    <row r="20" spans="1:15" ht="16.5" customHeight="1" x14ac:dyDescent="0.15">
      <c r="A20" s="41">
        <v>11</v>
      </c>
      <c r="B20" s="41" t="s">
        <v>13354</v>
      </c>
      <c r="C20" s="74" t="s">
        <v>13355</v>
      </c>
      <c r="D20" s="72"/>
      <c r="F20" s="43"/>
      <c r="G20" s="37"/>
      <c r="H20" s="38"/>
      <c r="I20" s="282" t="s">
        <v>397</v>
      </c>
      <c r="J20" s="218" t="s">
        <v>398</v>
      </c>
      <c r="K20" s="189">
        <v>1</v>
      </c>
      <c r="L20" s="709"/>
      <c r="M20" s="704"/>
      <c r="N20" s="47">
        <f>ROUND((ROUND((_11_A通院２１．０*_11・２人),0)*_11・初任),0)</f>
        <v>137</v>
      </c>
      <c r="O20" s="48"/>
    </row>
    <row r="21" spans="1:15" ht="16.5" customHeight="1" x14ac:dyDescent="0.15">
      <c r="A21" s="41">
        <v>11</v>
      </c>
      <c r="B21" s="41" t="s">
        <v>13356</v>
      </c>
      <c r="C21" s="74" t="s">
        <v>13357</v>
      </c>
      <c r="D21" s="72"/>
      <c r="F21" s="755" t="s">
        <v>400</v>
      </c>
      <c r="G21" s="221" t="s">
        <v>398</v>
      </c>
      <c r="H21" s="50">
        <v>0.9</v>
      </c>
      <c r="I21" s="163"/>
      <c r="J21" s="45"/>
      <c r="K21" s="46"/>
      <c r="L21" s="709"/>
      <c r="M21" s="704"/>
      <c r="N21" s="47">
        <f>ROUND((ROUND((_11_A通院２１．０*_11・基礎２),0)*_11・初任),0)</f>
        <v>123</v>
      </c>
      <c r="O21" s="48"/>
    </row>
    <row r="22" spans="1:15" ht="16.5" customHeight="1" x14ac:dyDescent="0.15">
      <c r="A22" s="41">
        <v>11</v>
      </c>
      <c r="B22" s="41" t="s">
        <v>13358</v>
      </c>
      <c r="C22" s="74" t="s">
        <v>13359</v>
      </c>
      <c r="D22" s="72"/>
      <c r="F22" s="800"/>
      <c r="G22" s="37"/>
      <c r="H22" s="38"/>
      <c r="I22" s="282" t="s">
        <v>397</v>
      </c>
      <c r="J22" s="218" t="s">
        <v>398</v>
      </c>
      <c r="K22" s="189">
        <v>1</v>
      </c>
      <c r="L22" s="240" t="s">
        <v>398</v>
      </c>
      <c r="M22" s="38">
        <f>_11・初任</f>
        <v>0.7</v>
      </c>
      <c r="N22" s="47">
        <f>ROUND((ROUND((ROUND((_11_A通院２１．０*_11・基礎２),0)*_11・２人),0)*_11・初任),0)</f>
        <v>123</v>
      </c>
      <c r="O22" s="48"/>
    </row>
    <row r="23" spans="1:15" ht="16.5" customHeight="1" x14ac:dyDescent="0.15">
      <c r="A23" s="41">
        <v>11</v>
      </c>
      <c r="B23" s="41">
        <v>7119</v>
      </c>
      <c r="C23" s="74" t="s">
        <v>13360</v>
      </c>
      <c r="D23" s="707" t="s">
        <v>425</v>
      </c>
      <c r="E23" s="798"/>
      <c r="F23" s="53"/>
      <c r="G23" s="49"/>
      <c r="H23" s="50"/>
      <c r="I23" s="163"/>
      <c r="J23" s="45"/>
      <c r="K23" s="46"/>
      <c r="L23" s="53"/>
      <c r="M23" s="50"/>
      <c r="N23" s="47">
        <f>_11_A通院２１．５</f>
        <v>274</v>
      </c>
      <c r="O23" s="48"/>
    </row>
    <row r="24" spans="1:15" ht="16.5" customHeight="1" x14ac:dyDescent="0.15">
      <c r="A24" s="41">
        <v>11</v>
      </c>
      <c r="B24" s="41">
        <v>7120</v>
      </c>
      <c r="C24" s="74" t="s">
        <v>13361</v>
      </c>
      <c r="D24" s="799"/>
      <c r="E24" s="796"/>
      <c r="F24" s="43"/>
      <c r="G24" s="37"/>
      <c r="H24" s="38"/>
      <c r="I24" s="282" t="s">
        <v>397</v>
      </c>
      <c r="J24" s="218" t="s">
        <v>398</v>
      </c>
      <c r="K24" s="189">
        <v>1</v>
      </c>
      <c r="L24" s="35"/>
      <c r="N24" s="47">
        <f>ROUND((_11_A通院２１．５*_11・２人),0)</f>
        <v>274</v>
      </c>
      <c r="O24" s="48"/>
    </row>
    <row r="25" spans="1:15" ht="16.5" customHeight="1" x14ac:dyDescent="0.15">
      <c r="A25" s="41">
        <v>11</v>
      </c>
      <c r="B25" s="41">
        <v>7121</v>
      </c>
      <c r="C25" s="74" t="s">
        <v>13362</v>
      </c>
      <c r="D25" s="799"/>
      <c r="E25" s="796"/>
      <c r="F25" s="755" t="s">
        <v>400</v>
      </c>
      <c r="G25" s="221" t="s">
        <v>398</v>
      </c>
      <c r="H25" s="50">
        <v>0.9</v>
      </c>
      <c r="I25" s="163"/>
      <c r="J25" s="45"/>
      <c r="K25" s="46"/>
      <c r="L25" s="35"/>
      <c r="N25" s="47">
        <f>ROUND((_11_A通院２１．５*_11・基礎２),0)</f>
        <v>247</v>
      </c>
      <c r="O25" s="48"/>
    </row>
    <row r="26" spans="1:15" ht="16.5" customHeight="1" x14ac:dyDescent="0.15">
      <c r="A26" s="41">
        <v>11</v>
      </c>
      <c r="B26" s="41">
        <v>7122</v>
      </c>
      <c r="C26" s="74" t="s">
        <v>13363</v>
      </c>
      <c r="D26" s="274">
        <f>_11_A通院２１．５</f>
        <v>274</v>
      </c>
      <c r="E26" s="10" t="s">
        <v>392</v>
      </c>
      <c r="F26" s="800"/>
      <c r="G26" s="37"/>
      <c r="H26" s="38"/>
      <c r="I26" s="282" t="s">
        <v>397</v>
      </c>
      <c r="J26" s="218" t="s">
        <v>398</v>
      </c>
      <c r="K26" s="189">
        <v>1</v>
      </c>
      <c r="L26" s="35"/>
      <c r="N26" s="47">
        <f>ROUND((ROUND((_11_A通院２１．５*_11・基礎２),0)*_11・２人),0)</f>
        <v>247</v>
      </c>
      <c r="O26" s="48"/>
    </row>
    <row r="27" spans="1:15" ht="16.5" customHeight="1" x14ac:dyDescent="0.15">
      <c r="A27" s="41">
        <v>11</v>
      </c>
      <c r="B27" s="41" t="s">
        <v>13364</v>
      </c>
      <c r="C27" s="74" t="s">
        <v>13365</v>
      </c>
      <c r="D27" s="72"/>
      <c r="F27" s="53"/>
      <c r="G27" s="49"/>
      <c r="H27" s="50"/>
      <c r="I27" s="163"/>
      <c r="J27" s="45"/>
      <c r="K27" s="46"/>
      <c r="L27" s="707" t="s">
        <v>404</v>
      </c>
      <c r="M27" s="708"/>
      <c r="N27" s="47">
        <f>ROUND((_11_A通院２１．５*_11・初任),0)</f>
        <v>192</v>
      </c>
      <c r="O27" s="48"/>
    </row>
    <row r="28" spans="1:15" ht="16.5" customHeight="1" x14ac:dyDescent="0.15">
      <c r="A28" s="41">
        <v>11</v>
      </c>
      <c r="B28" s="41" t="s">
        <v>13366</v>
      </c>
      <c r="C28" s="74" t="s">
        <v>13367</v>
      </c>
      <c r="D28" s="72"/>
      <c r="F28" s="43"/>
      <c r="G28" s="37"/>
      <c r="H28" s="38"/>
      <c r="I28" s="282" t="s">
        <v>397</v>
      </c>
      <c r="J28" s="218" t="s">
        <v>398</v>
      </c>
      <c r="K28" s="189">
        <v>1</v>
      </c>
      <c r="L28" s="709"/>
      <c r="M28" s="704"/>
      <c r="N28" s="47">
        <f>ROUND((ROUND((_11_A通院２１．５*_11・２人),0)*_11・初任),0)</f>
        <v>192</v>
      </c>
      <c r="O28" s="48"/>
    </row>
    <row r="29" spans="1:15" ht="16.5" customHeight="1" x14ac:dyDescent="0.15">
      <c r="A29" s="41">
        <v>11</v>
      </c>
      <c r="B29" s="41" t="s">
        <v>13368</v>
      </c>
      <c r="C29" s="74" t="s">
        <v>13369</v>
      </c>
      <c r="D29" s="72"/>
      <c r="F29" s="755" t="s">
        <v>400</v>
      </c>
      <c r="G29" s="221" t="s">
        <v>398</v>
      </c>
      <c r="H29" s="50">
        <v>0.9</v>
      </c>
      <c r="I29" s="163"/>
      <c r="J29" s="45"/>
      <c r="K29" s="46"/>
      <c r="L29" s="709"/>
      <c r="M29" s="704"/>
      <c r="N29" s="47">
        <f>ROUND((ROUND((_11_A通院２１．５*_11・基礎２),0)*_11・初任),0)</f>
        <v>173</v>
      </c>
      <c r="O29" s="48"/>
    </row>
    <row r="30" spans="1:15" ht="16.5" customHeight="1" x14ac:dyDescent="0.15">
      <c r="A30" s="41">
        <v>11</v>
      </c>
      <c r="B30" s="41" t="s">
        <v>13370</v>
      </c>
      <c r="C30" s="74" t="s">
        <v>13371</v>
      </c>
      <c r="D30" s="72"/>
      <c r="F30" s="800"/>
      <c r="G30" s="37"/>
      <c r="H30" s="38"/>
      <c r="I30" s="282" t="s">
        <v>397</v>
      </c>
      <c r="J30" s="218" t="s">
        <v>398</v>
      </c>
      <c r="K30" s="189">
        <v>1</v>
      </c>
      <c r="L30" s="240" t="s">
        <v>398</v>
      </c>
      <c r="M30" s="38">
        <f>_11・初任</f>
        <v>0.7</v>
      </c>
      <c r="N30" s="47">
        <f>ROUND((ROUND((ROUND((_11_A通院２１．５*_11・基礎２),0)*_11・２人),0)*_11・初任),0)</f>
        <v>173</v>
      </c>
      <c r="O30" s="48"/>
    </row>
    <row r="31" spans="1:15" ht="16.5" customHeight="1" x14ac:dyDescent="0.15">
      <c r="A31" s="41">
        <v>11</v>
      </c>
      <c r="B31" s="41">
        <v>7123</v>
      </c>
      <c r="C31" s="74" t="s">
        <v>13372</v>
      </c>
      <c r="D31" s="707" t="s">
        <v>438</v>
      </c>
      <c r="E31" s="798"/>
      <c r="F31" s="53"/>
      <c r="G31" s="49"/>
      <c r="H31" s="50"/>
      <c r="I31" s="163"/>
      <c r="J31" s="45"/>
      <c r="K31" s="46"/>
      <c r="L31" s="53"/>
      <c r="M31" s="50"/>
      <c r="N31" s="47">
        <f>_11_A通院２２．０</f>
        <v>343</v>
      </c>
      <c r="O31" s="48"/>
    </row>
    <row r="32" spans="1:15" ht="16.5" customHeight="1" x14ac:dyDescent="0.15">
      <c r="A32" s="41">
        <v>11</v>
      </c>
      <c r="B32" s="41">
        <v>7124</v>
      </c>
      <c r="C32" s="74" t="s">
        <v>13373</v>
      </c>
      <c r="D32" s="799"/>
      <c r="E32" s="796"/>
      <c r="F32" s="43"/>
      <c r="G32" s="37"/>
      <c r="H32" s="38"/>
      <c r="I32" s="282" t="s">
        <v>397</v>
      </c>
      <c r="J32" s="218" t="s">
        <v>398</v>
      </c>
      <c r="K32" s="189">
        <v>1</v>
      </c>
      <c r="L32" s="35"/>
      <c r="N32" s="47">
        <f>ROUND((_11_A通院２２．０*_11・２人),0)</f>
        <v>343</v>
      </c>
      <c r="O32" s="48"/>
    </row>
    <row r="33" spans="1:15" ht="16.5" customHeight="1" x14ac:dyDescent="0.15">
      <c r="A33" s="41">
        <v>11</v>
      </c>
      <c r="B33" s="41">
        <v>7125</v>
      </c>
      <c r="C33" s="74" t="s">
        <v>13374</v>
      </c>
      <c r="D33" s="799"/>
      <c r="E33" s="796"/>
      <c r="F33" s="755" t="s">
        <v>400</v>
      </c>
      <c r="G33" s="221" t="s">
        <v>398</v>
      </c>
      <c r="H33" s="50">
        <v>0.9</v>
      </c>
      <c r="I33" s="163"/>
      <c r="J33" s="45"/>
      <c r="K33" s="46"/>
      <c r="L33" s="35"/>
      <c r="N33" s="47">
        <f>ROUND((_11_A通院２２．０*_11・基礎２),0)</f>
        <v>309</v>
      </c>
      <c r="O33" s="48"/>
    </row>
    <row r="34" spans="1:15" ht="16.5" customHeight="1" x14ac:dyDescent="0.15">
      <c r="A34" s="41">
        <v>11</v>
      </c>
      <c r="B34" s="41">
        <v>7126</v>
      </c>
      <c r="C34" s="74" t="s">
        <v>13375</v>
      </c>
      <c r="D34" s="274">
        <f>_11_A通院２２．０</f>
        <v>343</v>
      </c>
      <c r="E34" s="10" t="s">
        <v>392</v>
      </c>
      <c r="F34" s="800"/>
      <c r="G34" s="37"/>
      <c r="H34" s="38"/>
      <c r="I34" s="282" t="s">
        <v>397</v>
      </c>
      <c r="J34" s="218" t="s">
        <v>398</v>
      </c>
      <c r="K34" s="189">
        <v>1</v>
      </c>
      <c r="L34" s="35"/>
      <c r="N34" s="47">
        <f>ROUND((ROUND((_11_A通院２２．０*_11・基礎２),0)*_11・２人),0)</f>
        <v>309</v>
      </c>
      <c r="O34" s="48"/>
    </row>
    <row r="35" spans="1:15" ht="16.5" customHeight="1" x14ac:dyDescent="0.15">
      <c r="A35" s="41">
        <v>11</v>
      </c>
      <c r="B35" s="41" t="s">
        <v>13376</v>
      </c>
      <c r="C35" s="74" t="s">
        <v>13377</v>
      </c>
      <c r="D35" s="72"/>
      <c r="F35" s="53"/>
      <c r="G35" s="49"/>
      <c r="H35" s="50"/>
      <c r="I35" s="163"/>
      <c r="J35" s="45"/>
      <c r="K35" s="46"/>
      <c r="L35" s="707" t="s">
        <v>404</v>
      </c>
      <c r="M35" s="708"/>
      <c r="N35" s="47">
        <f>ROUND((_11_A通院２２．０*_11・初任),0)</f>
        <v>240</v>
      </c>
      <c r="O35" s="48"/>
    </row>
    <row r="36" spans="1:15" ht="16.5" customHeight="1" x14ac:dyDescent="0.15">
      <c r="A36" s="41">
        <v>11</v>
      </c>
      <c r="B36" s="41" t="s">
        <v>13378</v>
      </c>
      <c r="C36" s="74" t="s">
        <v>13379</v>
      </c>
      <c r="D36" s="72"/>
      <c r="F36" s="43"/>
      <c r="G36" s="37"/>
      <c r="H36" s="38"/>
      <c r="I36" s="282" t="s">
        <v>397</v>
      </c>
      <c r="J36" s="218" t="s">
        <v>398</v>
      </c>
      <c r="K36" s="189">
        <v>1</v>
      </c>
      <c r="L36" s="709"/>
      <c r="M36" s="704"/>
      <c r="N36" s="47">
        <f>ROUND((ROUND((_11_A通院２２．０*_11・２人),0)*_11・初任),0)</f>
        <v>240</v>
      </c>
      <c r="O36" s="48"/>
    </row>
    <row r="37" spans="1:15" ht="16.5" customHeight="1" x14ac:dyDescent="0.15">
      <c r="A37" s="41">
        <v>11</v>
      </c>
      <c r="B37" s="41" t="s">
        <v>13380</v>
      </c>
      <c r="C37" s="74" t="s">
        <v>13381</v>
      </c>
      <c r="D37" s="72"/>
      <c r="F37" s="755" t="s">
        <v>400</v>
      </c>
      <c r="G37" s="221" t="s">
        <v>398</v>
      </c>
      <c r="H37" s="50">
        <v>0.9</v>
      </c>
      <c r="I37" s="163"/>
      <c r="J37" s="45"/>
      <c r="K37" s="46"/>
      <c r="L37" s="709"/>
      <c r="M37" s="704"/>
      <c r="N37" s="47">
        <f>ROUND((ROUND((_11_A通院２２．０*_11・基礎２),0)*_11・初任),0)</f>
        <v>216</v>
      </c>
      <c r="O37" s="48"/>
    </row>
    <row r="38" spans="1:15" ht="16.5" customHeight="1" x14ac:dyDescent="0.15">
      <c r="A38" s="41">
        <v>11</v>
      </c>
      <c r="B38" s="41" t="s">
        <v>13382</v>
      </c>
      <c r="C38" s="74" t="s">
        <v>13383</v>
      </c>
      <c r="D38" s="72"/>
      <c r="F38" s="800"/>
      <c r="G38" s="37"/>
      <c r="H38" s="38"/>
      <c r="I38" s="282" t="s">
        <v>397</v>
      </c>
      <c r="J38" s="218" t="s">
        <v>398</v>
      </c>
      <c r="K38" s="189">
        <v>1</v>
      </c>
      <c r="L38" s="240" t="s">
        <v>398</v>
      </c>
      <c r="M38" s="38">
        <f>_11・初任</f>
        <v>0.7</v>
      </c>
      <c r="N38" s="47">
        <f>ROUND((ROUND((ROUND((_11_A通院２２．０*_11・基礎２),0)*_11・２人),0)*_11・初任),0)</f>
        <v>216</v>
      </c>
      <c r="O38" s="48"/>
    </row>
    <row r="39" spans="1:15" ht="16.5" customHeight="1" x14ac:dyDescent="0.15">
      <c r="A39" s="41">
        <v>11</v>
      </c>
      <c r="B39" s="41">
        <v>7127</v>
      </c>
      <c r="C39" s="74" t="s">
        <v>13384</v>
      </c>
      <c r="D39" s="707" t="s">
        <v>451</v>
      </c>
      <c r="E39" s="798"/>
      <c r="F39" s="53"/>
      <c r="G39" s="49"/>
      <c r="H39" s="50"/>
      <c r="I39" s="163"/>
      <c r="J39" s="45"/>
      <c r="K39" s="46"/>
      <c r="L39" s="53"/>
      <c r="M39" s="50"/>
      <c r="N39" s="47">
        <f>_11_A通院２２．５</f>
        <v>412</v>
      </c>
      <c r="O39" s="48"/>
    </row>
    <row r="40" spans="1:15" ht="16.5" customHeight="1" x14ac:dyDescent="0.15">
      <c r="A40" s="41">
        <v>11</v>
      </c>
      <c r="B40" s="41">
        <v>7128</v>
      </c>
      <c r="C40" s="74" t="s">
        <v>13385</v>
      </c>
      <c r="D40" s="799"/>
      <c r="E40" s="796"/>
      <c r="F40" s="43"/>
      <c r="G40" s="37"/>
      <c r="H40" s="38"/>
      <c r="I40" s="282" t="s">
        <v>397</v>
      </c>
      <c r="J40" s="218" t="s">
        <v>398</v>
      </c>
      <c r="K40" s="189">
        <v>1</v>
      </c>
      <c r="L40" s="35"/>
      <c r="N40" s="47">
        <f>ROUND((_11_A通院２２．５*_11・２人),0)</f>
        <v>412</v>
      </c>
      <c r="O40" s="48"/>
    </row>
    <row r="41" spans="1:15" ht="16.5" customHeight="1" x14ac:dyDescent="0.15">
      <c r="A41" s="41">
        <v>11</v>
      </c>
      <c r="B41" s="41">
        <v>7129</v>
      </c>
      <c r="C41" s="74" t="s">
        <v>13386</v>
      </c>
      <c r="D41" s="799"/>
      <c r="E41" s="796"/>
      <c r="F41" s="755" t="s">
        <v>400</v>
      </c>
      <c r="G41" s="221" t="s">
        <v>398</v>
      </c>
      <c r="H41" s="50">
        <v>0.9</v>
      </c>
      <c r="I41" s="163"/>
      <c r="J41" s="45"/>
      <c r="K41" s="46"/>
      <c r="L41" s="35"/>
      <c r="N41" s="47">
        <f>ROUND((_11_A通院２２．５*_11・基礎２),0)</f>
        <v>371</v>
      </c>
      <c r="O41" s="48"/>
    </row>
    <row r="42" spans="1:15" ht="16.5" customHeight="1" x14ac:dyDescent="0.15">
      <c r="A42" s="41">
        <v>11</v>
      </c>
      <c r="B42" s="41">
        <v>7130</v>
      </c>
      <c r="C42" s="74" t="s">
        <v>13387</v>
      </c>
      <c r="D42" s="274">
        <f>_11_A通院２２．５</f>
        <v>412</v>
      </c>
      <c r="E42" s="10" t="s">
        <v>392</v>
      </c>
      <c r="F42" s="800"/>
      <c r="G42" s="37"/>
      <c r="H42" s="38"/>
      <c r="I42" s="282" t="s">
        <v>397</v>
      </c>
      <c r="J42" s="218" t="s">
        <v>398</v>
      </c>
      <c r="K42" s="189">
        <v>1</v>
      </c>
      <c r="L42" s="35"/>
      <c r="N42" s="47">
        <f>ROUND((ROUND((_11_A通院２２．５*_11・基礎２),0)*_11・２人),0)</f>
        <v>371</v>
      </c>
      <c r="O42" s="48"/>
    </row>
    <row r="43" spans="1:15" ht="16.5" customHeight="1" x14ac:dyDescent="0.15">
      <c r="A43" s="41">
        <v>11</v>
      </c>
      <c r="B43" s="41" t="s">
        <v>13388</v>
      </c>
      <c r="C43" s="74" t="s">
        <v>13389</v>
      </c>
      <c r="D43" s="72"/>
      <c r="F43" s="53"/>
      <c r="G43" s="49"/>
      <c r="H43" s="50"/>
      <c r="I43" s="163"/>
      <c r="J43" s="45"/>
      <c r="K43" s="46"/>
      <c r="L43" s="707" t="s">
        <v>404</v>
      </c>
      <c r="M43" s="708"/>
      <c r="N43" s="47">
        <f>ROUND((_11_A通院２２．５*_11・初任),0)</f>
        <v>288</v>
      </c>
      <c r="O43" s="48"/>
    </row>
    <row r="44" spans="1:15" ht="16.5" customHeight="1" x14ac:dyDescent="0.15">
      <c r="A44" s="41">
        <v>11</v>
      </c>
      <c r="B44" s="41" t="s">
        <v>13390</v>
      </c>
      <c r="C44" s="74" t="s">
        <v>13391</v>
      </c>
      <c r="D44" s="72"/>
      <c r="F44" s="43"/>
      <c r="G44" s="37"/>
      <c r="H44" s="38"/>
      <c r="I44" s="282" t="s">
        <v>397</v>
      </c>
      <c r="J44" s="218" t="s">
        <v>398</v>
      </c>
      <c r="K44" s="189">
        <v>1</v>
      </c>
      <c r="L44" s="709"/>
      <c r="M44" s="704"/>
      <c r="N44" s="47">
        <f>ROUND((ROUND((_11_A通院２２．５*_11・２人),0)*_11・初任),0)</f>
        <v>288</v>
      </c>
      <c r="O44" s="48"/>
    </row>
    <row r="45" spans="1:15" ht="16.5" customHeight="1" x14ac:dyDescent="0.15">
      <c r="A45" s="41">
        <v>11</v>
      </c>
      <c r="B45" s="41" t="s">
        <v>13392</v>
      </c>
      <c r="C45" s="74" t="s">
        <v>13393</v>
      </c>
      <c r="D45" s="72"/>
      <c r="F45" s="755" t="s">
        <v>400</v>
      </c>
      <c r="G45" s="221" t="s">
        <v>398</v>
      </c>
      <c r="H45" s="50">
        <v>0.9</v>
      </c>
      <c r="I45" s="163"/>
      <c r="J45" s="45"/>
      <c r="K45" s="46"/>
      <c r="L45" s="709"/>
      <c r="M45" s="704"/>
      <c r="N45" s="47">
        <f>ROUND((ROUND((_11_A通院２２．５*_11・基礎２),0)*_11・初任),0)</f>
        <v>260</v>
      </c>
      <c r="O45" s="48"/>
    </row>
    <row r="46" spans="1:15" ht="16.5" customHeight="1" x14ac:dyDescent="0.15">
      <c r="A46" s="41">
        <v>11</v>
      </c>
      <c r="B46" s="41" t="s">
        <v>13394</v>
      </c>
      <c r="C46" s="74" t="s">
        <v>13395</v>
      </c>
      <c r="D46" s="72"/>
      <c r="F46" s="800"/>
      <c r="G46" s="37"/>
      <c r="H46" s="38"/>
      <c r="I46" s="282" t="s">
        <v>397</v>
      </c>
      <c r="J46" s="218" t="s">
        <v>398</v>
      </c>
      <c r="K46" s="189">
        <v>1</v>
      </c>
      <c r="L46" s="240" t="s">
        <v>398</v>
      </c>
      <c r="M46" s="38">
        <f>_11・初任</f>
        <v>0.7</v>
      </c>
      <c r="N46" s="47">
        <f>ROUND((ROUND((ROUND((_11_A通院２２．５*_11・基礎２),0)*_11・２人),0)*_11・初任),0)</f>
        <v>260</v>
      </c>
      <c r="O46" s="48"/>
    </row>
    <row r="47" spans="1:15" ht="16.5" customHeight="1" x14ac:dyDescent="0.15">
      <c r="A47" s="41">
        <v>11</v>
      </c>
      <c r="B47" s="41">
        <v>7131</v>
      </c>
      <c r="C47" s="74" t="s">
        <v>13396</v>
      </c>
      <c r="D47" s="707" t="s">
        <v>464</v>
      </c>
      <c r="E47" s="798"/>
      <c r="F47" s="53"/>
      <c r="G47" s="49"/>
      <c r="H47" s="50"/>
      <c r="I47" s="163"/>
      <c r="J47" s="45"/>
      <c r="K47" s="46"/>
      <c r="L47" s="53"/>
      <c r="M47" s="50"/>
      <c r="N47" s="47">
        <f>_11_A通院２３．０</f>
        <v>481</v>
      </c>
      <c r="O47" s="48"/>
    </row>
    <row r="48" spans="1:15" ht="16.5" customHeight="1" x14ac:dyDescent="0.15">
      <c r="A48" s="41">
        <v>11</v>
      </c>
      <c r="B48" s="41">
        <v>7132</v>
      </c>
      <c r="C48" s="74" t="s">
        <v>13397</v>
      </c>
      <c r="D48" s="799"/>
      <c r="E48" s="796"/>
      <c r="F48" s="43"/>
      <c r="G48" s="37"/>
      <c r="H48" s="38"/>
      <c r="I48" s="282" t="s">
        <v>397</v>
      </c>
      <c r="J48" s="218" t="s">
        <v>398</v>
      </c>
      <c r="K48" s="189">
        <v>1</v>
      </c>
      <c r="L48" s="35"/>
      <c r="N48" s="47">
        <f>ROUND((_11_A通院２３．０*_11・２人),0)</f>
        <v>481</v>
      </c>
      <c r="O48" s="48"/>
    </row>
    <row r="49" spans="1:15" ht="16.5" customHeight="1" x14ac:dyDescent="0.15">
      <c r="A49" s="41">
        <v>11</v>
      </c>
      <c r="B49" s="41">
        <v>7133</v>
      </c>
      <c r="C49" s="74" t="s">
        <v>13398</v>
      </c>
      <c r="D49" s="799"/>
      <c r="E49" s="796"/>
      <c r="F49" s="755" t="s">
        <v>400</v>
      </c>
      <c r="G49" s="221" t="s">
        <v>398</v>
      </c>
      <c r="H49" s="50">
        <v>0.9</v>
      </c>
      <c r="I49" s="163"/>
      <c r="J49" s="45"/>
      <c r="K49" s="46"/>
      <c r="L49" s="35"/>
      <c r="N49" s="47">
        <f>ROUND((_11_A通院２３．０*_11・基礎２),0)</f>
        <v>433</v>
      </c>
      <c r="O49" s="48"/>
    </row>
    <row r="50" spans="1:15" ht="16.5" customHeight="1" x14ac:dyDescent="0.15">
      <c r="A50" s="41">
        <v>11</v>
      </c>
      <c r="B50" s="41">
        <v>7134</v>
      </c>
      <c r="C50" s="74" t="s">
        <v>13399</v>
      </c>
      <c r="D50" s="274">
        <f>_11_A通院２３．０</f>
        <v>481</v>
      </c>
      <c r="E50" s="10" t="s">
        <v>392</v>
      </c>
      <c r="F50" s="800"/>
      <c r="G50" s="37"/>
      <c r="H50" s="38"/>
      <c r="I50" s="282" t="s">
        <v>397</v>
      </c>
      <c r="J50" s="218" t="s">
        <v>398</v>
      </c>
      <c r="K50" s="189">
        <v>1</v>
      </c>
      <c r="L50" s="35"/>
      <c r="N50" s="47">
        <f>ROUND((ROUND((_11_A通院２３．０*_11・基礎２),0)*_11・２人),0)</f>
        <v>433</v>
      </c>
      <c r="O50" s="48"/>
    </row>
    <row r="51" spans="1:15" ht="16.5" customHeight="1" x14ac:dyDescent="0.15">
      <c r="A51" s="41">
        <v>11</v>
      </c>
      <c r="B51" s="41" t="s">
        <v>13400</v>
      </c>
      <c r="C51" s="74" t="s">
        <v>13401</v>
      </c>
      <c r="D51" s="72"/>
      <c r="F51" s="53"/>
      <c r="G51" s="49"/>
      <c r="H51" s="50"/>
      <c r="I51" s="163"/>
      <c r="J51" s="45"/>
      <c r="K51" s="46"/>
      <c r="L51" s="707" t="s">
        <v>404</v>
      </c>
      <c r="M51" s="708"/>
      <c r="N51" s="47">
        <f>ROUND((_11_A通院２３．０*_11・初任),0)</f>
        <v>337</v>
      </c>
      <c r="O51" s="48"/>
    </row>
    <row r="52" spans="1:15" ht="16.5" customHeight="1" x14ac:dyDescent="0.15">
      <c r="A52" s="41">
        <v>11</v>
      </c>
      <c r="B52" s="41" t="s">
        <v>13402</v>
      </c>
      <c r="C52" s="74" t="s">
        <v>13403</v>
      </c>
      <c r="D52" s="72"/>
      <c r="F52" s="43"/>
      <c r="G52" s="37"/>
      <c r="H52" s="38"/>
      <c r="I52" s="282" t="s">
        <v>397</v>
      </c>
      <c r="J52" s="218" t="s">
        <v>398</v>
      </c>
      <c r="K52" s="189">
        <v>1</v>
      </c>
      <c r="L52" s="709"/>
      <c r="M52" s="704"/>
      <c r="N52" s="47">
        <f>ROUND((ROUND((_11_A通院２３．０*_11・２人),0)*_11・初任),0)</f>
        <v>337</v>
      </c>
      <c r="O52" s="48"/>
    </row>
    <row r="53" spans="1:15" ht="16.5" customHeight="1" x14ac:dyDescent="0.15">
      <c r="A53" s="41">
        <v>11</v>
      </c>
      <c r="B53" s="41" t="s">
        <v>13404</v>
      </c>
      <c r="C53" s="74" t="s">
        <v>13405</v>
      </c>
      <c r="D53" s="72"/>
      <c r="F53" s="755" t="s">
        <v>400</v>
      </c>
      <c r="G53" s="221" t="s">
        <v>398</v>
      </c>
      <c r="H53" s="50">
        <v>0.9</v>
      </c>
      <c r="I53" s="163"/>
      <c r="J53" s="45"/>
      <c r="K53" s="46"/>
      <c r="L53" s="709"/>
      <c r="M53" s="704"/>
      <c r="N53" s="47">
        <f>ROUND((ROUND((_11_A通院２３．０*_11・基礎２),0)*_11・初任),0)</f>
        <v>303</v>
      </c>
      <c r="O53" s="48"/>
    </row>
    <row r="54" spans="1:15" ht="16.5" customHeight="1" x14ac:dyDescent="0.15">
      <c r="A54" s="41">
        <v>11</v>
      </c>
      <c r="B54" s="41" t="s">
        <v>13406</v>
      </c>
      <c r="C54" s="74" t="s">
        <v>13407</v>
      </c>
      <c r="D54" s="72"/>
      <c r="F54" s="800"/>
      <c r="G54" s="37"/>
      <c r="H54" s="38"/>
      <c r="I54" s="282" t="s">
        <v>397</v>
      </c>
      <c r="J54" s="218" t="s">
        <v>398</v>
      </c>
      <c r="K54" s="189">
        <v>1</v>
      </c>
      <c r="L54" s="240" t="s">
        <v>398</v>
      </c>
      <c r="M54" s="38">
        <f>_11・初任</f>
        <v>0.7</v>
      </c>
      <c r="N54" s="47">
        <f>ROUND((ROUND((ROUND((_11_A通院２３．０*_11・基礎２),0)*_11・２人),0)*_11・初任),0)</f>
        <v>303</v>
      </c>
      <c r="O54" s="48"/>
    </row>
    <row r="55" spans="1:15" ht="16.5" customHeight="1" x14ac:dyDescent="0.15">
      <c r="A55" s="41">
        <v>11</v>
      </c>
      <c r="B55" s="41">
        <v>7135</v>
      </c>
      <c r="C55" s="74" t="s">
        <v>13408</v>
      </c>
      <c r="D55" s="707" t="s">
        <v>477</v>
      </c>
      <c r="E55" s="798"/>
      <c r="F55" s="53"/>
      <c r="G55" s="49"/>
      <c r="H55" s="50"/>
      <c r="I55" s="163"/>
      <c r="J55" s="45"/>
      <c r="K55" s="46"/>
      <c r="L55" s="53"/>
      <c r="M55" s="50"/>
      <c r="N55" s="47">
        <f>_11_A通院２３．５</f>
        <v>550</v>
      </c>
      <c r="O55" s="48"/>
    </row>
    <row r="56" spans="1:15" ht="16.5" customHeight="1" x14ac:dyDescent="0.15">
      <c r="A56" s="41">
        <v>11</v>
      </c>
      <c r="B56" s="41">
        <v>7136</v>
      </c>
      <c r="C56" s="74" t="s">
        <v>13409</v>
      </c>
      <c r="D56" s="799"/>
      <c r="E56" s="796"/>
      <c r="F56" s="43"/>
      <c r="G56" s="37"/>
      <c r="H56" s="38"/>
      <c r="I56" s="282" t="s">
        <v>397</v>
      </c>
      <c r="J56" s="218" t="s">
        <v>398</v>
      </c>
      <c r="K56" s="189">
        <v>1</v>
      </c>
      <c r="L56" s="35"/>
      <c r="N56" s="47">
        <f>ROUND((_11_A通院２３．５*_11・２人),0)</f>
        <v>550</v>
      </c>
      <c r="O56" s="48"/>
    </row>
    <row r="57" spans="1:15" ht="16.5" customHeight="1" x14ac:dyDescent="0.15">
      <c r="A57" s="41">
        <v>11</v>
      </c>
      <c r="B57" s="41">
        <v>7137</v>
      </c>
      <c r="C57" s="74" t="s">
        <v>13410</v>
      </c>
      <c r="D57" s="799"/>
      <c r="E57" s="796"/>
      <c r="F57" s="755" t="s">
        <v>400</v>
      </c>
      <c r="G57" s="221" t="s">
        <v>398</v>
      </c>
      <c r="H57" s="50">
        <v>0.9</v>
      </c>
      <c r="I57" s="163"/>
      <c r="J57" s="45"/>
      <c r="K57" s="46"/>
      <c r="L57" s="35"/>
      <c r="N57" s="47">
        <f>ROUND((_11_A通院２３．５*_11・基礎２),0)</f>
        <v>495</v>
      </c>
      <c r="O57" s="48"/>
    </row>
    <row r="58" spans="1:15" ht="16.5" customHeight="1" x14ac:dyDescent="0.15">
      <c r="A58" s="41">
        <v>11</v>
      </c>
      <c r="B58" s="41">
        <v>7138</v>
      </c>
      <c r="C58" s="74" t="s">
        <v>13411</v>
      </c>
      <c r="D58" s="274">
        <f>_11_A通院２３．５</f>
        <v>550</v>
      </c>
      <c r="E58" s="10" t="s">
        <v>392</v>
      </c>
      <c r="F58" s="800"/>
      <c r="G58" s="37"/>
      <c r="H58" s="38"/>
      <c r="I58" s="282" t="s">
        <v>397</v>
      </c>
      <c r="J58" s="218" t="s">
        <v>398</v>
      </c>
      <c r="K58" s="189">
        <v>1</v>
      </c>
      <c r="L58" s="35"/>
      <c r="N58" s="47">
        <f>ROUND((ROUND((_11_A通院２３．５*_11・基礎２),0)*_11・２人),0)</f>
        <v>495</v>
      </c>
      <c r="O58" s="48"/>
    </row>
    <row r="59" spans="1:15" ht="16.5" customHeight="1" x14ac:dyDescent="0.15">
      <c r="A59" s="41">
        <v>11</v>
      </c>
      <c r="B59" s="41" t="s">
        <v>13412</v>
      </c>
      <c r="C59" s="74" t="s">
        <v>13413</v>
      </c>
      <c r="D59" s="72"/>
      <c r="F59" s="53"/>
      <c r="G59" s="49"/>
      <c r="H59" s="50"/>
      <c r="I59" s="163"/>
      <c r="J59" s="45"/>
      <c r="K59" s="46"/>
      <c r="L59" s="707" t="s">
        <v>404</v>
      </c>
      <c r="M59" s="708"/>
      <c r="N59" s="47">
        <f>ROUND((_11_A通院２３．５*_11・初任),0)</f>
        <v>385</v>
      </c>
      <c r="O59" s="48"/>
    </row>
    <row r="60" spans="1:15" ht="16.5" customHeight="1" x14ac:dyDescent="0.15">
      <c r="A60" s="41">
        <v>11</v>
      </c>
      <c r="B60" s="41" t="s">
        <v>13414</v>
      </c>
      <c r="C60" s="74" t="s">
        <v>13415</v>
      </c>
      <c r="D60" s="72"/>
      <c r="F60" s="43"/>
      <c r="G60" s="37"/>
      <c r="H60" s="38"/>
      <c r="I60" s="282" t="s">
        <v>397</v>
      </c>
      <c r="J60" s="218" t="s">
        <v>398</v>
      </c>
      <c r="K60" s="189">
        <v>1</v>
      </c>
      <c r="L60" s="709"/>
      <c r="M60" s="704"/>
      <c r="N60" s="47">
        <f>ROUND((ROUND((_11_A通院２３．５*_11・２人),0)*_11・初任),0)</f>
        <v>385</v>
      </c>
      <c r="O60" s="48"/>
    </row>
    <row r="61" spans="1:15" ht="16.5" customHeight="1" x14ac:dyDescent="0.15">
      <c r="A61" s="41">
        <v>11</v>
      </c>
      <c r="B61" s="41" t="s">
        <v>13416</v>
      </c>
      <c r="C61" s="74" t="s">
        <v>13417</v>
      </c>
      <c r="D61" s="72"/>
      <c r="F61" s="755" t="s">
        <v>400</v>
      </c>
      <c r="G61" s="221" t="s">
        <v>398</v>
      </c>
      <c r="H61" s="50">
        <v>0.9</v>
      </c>
      <c r="I61" s="163"/>
      <c r="J61" s="45"/>
      <c r="K61" s="46"/>
      <c r="L61" s="709"/>
      <c r="M61" s="704"/>
      <c r="N61" s="47">
        <f>ROUND((ROUND((_11_A通院２３．５*_11・基礎２),0)*_11・初任),0)</f>
        <v>347</v>
      </c>
      <c r="O61" s="48"/>
    </row>
    <row r="62" spans="1:15" ht="16.5" customHeight="1" x14ac:dyDescent="0.15">
      <c r="A62" s="41">
        <v>11</v>
      </c>
      <c r="B62" s="41" t="s">
        <v>13418</v>
      </c>
      <c r="C62" s="74" t="s">
        <v>13419</v>
      </c>
      <c r="D62" s="72"/>
      <c r="F62" s="800"/>
      <c r="G62" s="37"/>
      <c r="H62" s="38"/>
      <c r="I62" s="282" t="s">
        <v>397</v>
      </c>
      <c r="J62" s="218" t="s">
        <v>398</v>
      </c>
      <c r="K62" s="189">
        <v>1</v>
      </c>
      <c r="L62" s="240" t="s">
        <v>398</v>
      </c>
      <c r="M62" s="38">
        <f>_11・初任</f>
        <v>0.7</v>
      </c>
      <c r="N62" s="47">
        <f>ROUND((ROUND((ROUND((_11_A通院２３．５*_11・基礎２),0)*_11・２人),0)*_11・初任),0)</f>
        <v>347</v>
      </c>
      <c r="O62" s="48"/>
    </row>
    <row r="63" spans="1:15" ht="16.5" customHeight="1" x14ac:dyDescent="0.15">
      <c r="A63" s="41">
        <v>11</v>
      </c>
      <c r="B63" s="41">
        <v>7139</v>
      </c>
      <c r="C63" s="74" t="s">
        <v>13420</v>
      </c>
      <c r="D63" s="707" t="s">
        <v>2761</v>
      </c>
      <c r="E63" s="798"/>
      <c r="F63" s="53"/>
      <c r="G63" s="49"/>
      <c r="H63" s="50"/>
      <c r="I63" s="163"/>
      <c r="J63" s="45"/>
      <c r="K63" s="46"/>
      <c r="L63" s="53"/>
      <c r="M63" s="50"/>
      <c r="N63" s="47">
        <f>_11_A通院２４．０</f>
        <v>619</v>
      </c>
      <c r="O63" s="48"/>
    </row>
    <row r="64" spans="1:15" ht="16.5" customHeight="1" x14ac:dyDescent="0.15">
      <c r="A64" s="41">
        <v>11</v>
      </c>
      <c r="B64" s="41">
        <v>7140</v>
      </c>
      <c r="C64" s="74" t="s">
        <v>13421</v>
      </c>
      <c r="D64" s="799"/>
      <c r="E64" s="796"/>
      <c r="F64" s="43"/>
      <c r="G64" s="37"/>
      <c r="H64" s="38"/>
      <c r="I64" s="282" t="s">
        <v>397</v>
      </c>
      <c r="J64" s="218" t="s">
        <v>398</v>
      </c>
      <c r="K64" s="189">
        <v>1</v>
      </c>
      <c r="L64" s="35"/>
      <c r="N64" s="47">
        <f>ROUND((_11_A通院２４．０*_11・２人),0)</f>
        <v>619</v>
      </c>
      <c r="O64" s="48"/>
    </row>
    <row r="65" spans="1:15" ht="16.5" customHeight="1" x14ac:dyDescent="0.15">
      <c r="A65" s="41">
        <v>11</v>
      </c>
      <c r="B65" s="41">
        <v>7141</v>
      </c>
      <c r="C65" s="74" t="s">
        <v>13422</v>
      </c>
      <c r="D65" s="799"/>
      <c r="E65" s="796"/>
      <c r="F65" s="755" t="s">
        <v>400</v>
      </c>
      <c r="G65" s="221" t="s">
        <v>398</v>
      </c>
      <c r="H65" s="50">
        <v>0.9</v>
      </c>
      <c r="I65" s="163"/>
      <c r="J65" s="45"/>
      <c r="K65" s="46"/>
      <c r="L65" s="35"/>
      <c r="N65" s="47">
        <f>ROUND((_11_A通院２４．０*_11・基礎２),0)</f>
        <v>557</v>
      </c>
      <c r="O65" s="48"/>
    </row>
    <row r="66" spans="1:15" ht="16.5" customHeight="1" x14ac:dyDescent="0.15">
      <c r="A66" s="41">
        <v>11</v>
      </c>
      <c r="B66" s="41">
        <v>7142</v>
      </c>
      <c r="C66" s="74" t="s">
        <v>13423</v>
      </c>
      <c r="D66" s="274">
        <f>_11_A通院２４．０</f>
        <v>619</v>
      </c>
      <c r="E66" s="10" t="s">
        <v>392</v>
      </c>
      <c r="F66" s="800"/>
      <c r="G66" s="37"/>
      <c r="H66" s="38"/>
      <c r="I66" s="282" t="s">
        <v>397</v>
      </c>
      <c r="J66" s="218" t="s">
        <v>398</v>
      </c>
      <c r="K66" s="189">
        <v>1</v>
      </c>
      <c r="L66" s="35"/>
      <c r="N66" s="47">
        <f>ROUND((ROUND((_11_A通院２４．０*_11・基礎２),0)*_11・２人),0)</f>
        <v>557</v>
      </c>
      <c r="O66" s="48"/>
    </row>
    <row r="67" spans="1:15" ht="16.5" customHeight="1" x14ac:dyDescent="0.15">
      <c r="A67" s="41">
        <v>11</v>
      </c>
      <c r="B67" s="41" t="s">
        <v>13424</v>
      </c>
      <c r="C67" s="74" t="s">
        <v>13425</v>
      </c>
      <c r="D67" s="72"/>
      <c r="F67" s="53"/>
      <c r="G67" s="49"/>
      <c r="H67" s="50"/>
      <c r="I67" s="163"/>
      <c r="J67" s="45"/>
      <c r="K67" s="46"/>
      <c r="L67" s="707" t="s">
        <v>404</v>
      </c>
      <c r="M67" s="708"/>
      <c r="N67" s="47">
        <f>ROUND((_11_A通院２４．０*_11・初任),0)</f>
        <v>433</v>
      </c>
      <c r="O67" s="48"/>
    </row>
    <row r="68" spans="1:15" ht="16.5" customHeight="1" x14ac:dyDescent="0.15">
      <c r="A68" s="41">
        <v>11</v>
      </c>
      <c r="B68" s="41" t="s">
        <v>13426</v>
      </c>
      <c r="C68" s="74" t="s">
        <v>13427</v>
      </c>
      <c r="D68" s="72"/>
      <c r="F68" s="43"/>
      <c r="G68" s="37"/>
      <c r="H68" s="38"/>
      <c r="I68" s="282" t="s">
        <v>397</v>
      </c>
      <c r="J68" s="218" t="s">
        <v>398</v>
      </c>
      <c r="K68" s="189">
        <v>1</v>
      </c>
      <c r="L68" s="709"/>
      <c r="M68" s="704"/>
      <c r="N68" s="47">
        <f>ROUND((ROUND((_11_A通院２４．０*_11・２人),0)*_11・初任),0)</f>
        <v>433</v>
      </c>
      <c r="O68" s="48"/>
    </row>
    <row r="69" spans="1:15" ht="16.5" customHeight="1" x14ac:dyDescent="0.15">
      <c r="A69" s="41">
        <v>11</v>
      </c>
      <c r="B69" s="41" t="s">
        <v>13428</v>
      </c>
      <c r="C69" s="74" t="s">
        <v>13429</v>
      </c>
      <c r="D69" s="72"/>
      <c r="F69" s="755" t="s">
        <v>400</v>
      </c>
      <c r="G69" s="221" t="s">
        <v>398</v>
      </c>
      <c r="H69" s="50">
        <v>0.9</v>
      </c>
      <c r="I69" s="163"/>
      <c r="J69" s="45"/>
      <c r="K69" s="46"/>
      <c r="L69" s="709"/>
      <c r="M69" s="704"/>
      <c r="N69" s="47">
        <f>ROUND((ROUND((_11_A通院２４．０*_11・基礎２),0)*_11・初任),0)</f>
        <v>390</v>
      </c>
      <c r="O69" s="48"/>
    </row>
    <row r="70" spans="1:15" ht="16.5" customHeight="1" x14ac:dyDescent="0.15">
      <c r="A70" s="41">
        <v>11</v>
      </c>
      <c r="B70" s="41" t="s">
        <v>13430</v>
      </c>
      <c r="C70" s="74" t="s">
        <v>13431</v>
      </c>
      <c r="D70" s="72"/>
      <c r="F70" s="800"/>
      <c r="G70" s="37"/>
      <c r="H70" s="38"/>
      <c r="I70" s="282" t="s">
        <v>397</v>
      </c>
      <c r="J70" s="218" t="s">
        <v>398</v>
      </c>
      <c r="K70" s="189">
        <v>1</v>
      </c>
      <c r="L70" s="240" t="s">
        <v>398</v>
      </c>
      <c r="M70" s="38">
        <f>_11・初任</f>
        <v>0.7</v>
      </c>
      <c r="N70" s="47">
        <f>ROUND((ROUND((ROUND((_11_A通院２４．０*_11・基礎２),0)*_11・２人),0)*_11・初任),0)</f>
        <v>390</v>
      </c>
      <c r="O70" s="48"/>
    </row>
    <row r="71" spans="1:15" ht="16.5" customHeight="1" x14ac:dyDescent="0.15">
      <c r="A71" s="41">
        <v>11</v>
      </c>
      <c r="B71" s="41">
        <v>7143</v>
      </c>
      <c r="C71" s="74" t="s">
        <v>13432</v>
      </c>
      <c r="D71" s="707" t="s">
        <v>503</v>
      </c>
      <c r="E71" s="798"/>
      <c r="F71" s="53"/>
      <c r="G71" s="49"/>
      <c r="H71" s="50"/>
      <c r="I71" s="163"/>
      <c r="J71" s="45"/>
      <c r="K71" s="46"/>
      <c r="L71" s="53"/>
      <c r="M71" s="50"/>
      <c r="N71" s="47">
        <f>_11_A通院２４．５</f>
        <v>688</v>
      </c>
      <c r="O71" s="48"/>
    </row>
    <row r="72" spans="1:15" ht="16.5" customHeight="1" x14ac:dyDescent="0.15">
      <c r="A72" s="41">
        <v>11</v>
      </c>
      <c r="B72" s="41">
        <v>7144</v>
      </c>
      <c r="C72" s="74" t="s">
        <v>13433</v>
      </c>
      <c r="D72" s="799"/>
      <c r="E72" s="796"/>
      <c r="F72" s="43"/>
      <c r="G72" s="37"/>
      <c r="H72" s="38"/>
      <c r="I72" s="282" t="s">
        <v>397</v>
      </c>
      <c r="J72" s="218" t="s">
        <v>398</v>
      </c>
      <c r="K72" s="189">
        <v>1</v>
      </c>
      <c r="L72" s="35"/>
      <c r="N72" s="47">
        <f>ROUND((_11_A通院２４．５*_11・２人),0)</f>
        <v>688</v>
      </c>
      <c r="O72" s="48"/>
    </row>
    <row r="73" spans="1:15" ht="16.5" customHeight="1" x14ac:dyDescent="0.15">
      <c r="A73" s="41">
        <v>11</v>
      </c>
      <c r="B73" s="41">
        <v>7145</v>
      </c>
      <c r="C73" s="74" t="s">
        <v>13434</v>
      </c>
      <c r="D73" s="799"/>
      <c r="E73" s="796"/>
      <c r="F73" s="755" t="s">
        <v>400</v>
      </c>
      <c r="G73" s="221" t="s">
        <v>398</v>
      </c>
      <c r="H73" s="50">
        <v>0.9</v>
      </c>
      <c r="I73" s="163"/>
      <c r="J73" s="45"/>
      <c r="K73" s="46"/>
      <c r="L73" s="35"/>
      <c r="N73" s="47">
        <f>ROUND((_11_A通院２４．５*_11・基礎２),0)</f>
        <v>619</v>
      </c>
      <c r="O73" s="48"/>
    </row>
    <row r="74" spans="1:15" ht="16.5" customHeight="1" x14ac:dyDescent="0.15">
      <c r="A74" s="41">
        <v>11</v>
      </c>
      <c r="B74" s="41">
        <v>7146</v>
      </c>
      <c r="C74" s="74" t="s">
        <v>13435</v>
      </c>
      <c r="D74" s="274">
        <f>_11_A通院２４．５</f>
        <v>688</v>
      </c>
      <c r="E74" s="10" t="s">
        <v>392</v>
      </c>
      <c r="F74" s="800"/>
      <c r="G74" s="37"/>
      <c r="H74" s="38"/>
      <c r="I74" s="282" t="s">
        <v>397</v>
      </c>
      <c r="J74" s="218" t="s">
        <v>398</v>
      </c>
      <c r="K74" s="189">
        <v>1</v>
      </c>
      <c r="L74" s="35"/>
      <c r="N74" s="47">
        <f>ROUND((ROUND((_11_A通院２４．５*_11・基礎２),0)*_11・２人),0)</f>
        <v>619</v>
      </c>
      <c r="O74" s="48"/>
    </row>
    <row r="75" spans="1:15" ht="16.5" customHeight="1" x14ac:dyDescent="0.15">
      <c r="A75" s="41">
        <v>11</v>
      </c>
      <c r="B75" s="41" t="s">
        <v>13436</v>
      </c>
      <c r="C75" s="74" t="s">
        <v>13437</v>
      </c>
      <c r="D75" s="72"/>
      <c r="F75" s="53"/>
      <c r="G75" s="49"/>
      <c r="H75" s="50"/>
      <c r="I75" s="163"/>
      <c r="J75" s="45"/>
      <c r="K75" s="46"/>
      <c r="L75" s="707" t="s">
        <v>404</v>
      </c>
      <c r="M75" s="708"/>
      <c r="N75" s="47">
        <f>ROUND((_11_A通院２４．５*_11・初任),0)</f>
        <v>482</v>
      </c>
      <c r="O75" s="48"/>
    </row>
    <row r="76" spans="1:15" ht="16.5" customHeight="1" x14ac:dyDescent="0.15">
      <c r="A76" s="41">
        <v>11</v>
      </c>
      <c r="B76" s="41" t="s">
        <v>13438</v>
      </c>
      <c r="C76" s="74" t="s">
        <v>13439</v>
      </c>
      <c r="D76" s="72"/>
      <c r="F76" s="43"/>
      <c r="G76" s="37"/>
      <c r="H76" s="38"/>
      <c r="I76" s="282" t="s">
        <v>397</v>
      </c>
      <c r="J76" s="218" t="s">
        <v>398</v>
      </c>
      <c r="K76" s="189">
        <v>1</v>
      </c>
      <c r="L76" s="709"/>
      <c r="M76" s="704"/>
      <c r="N76" s="47">
        <f>ROUND((ROUND((_11_A通院２４．５*_11・２人),0)*_11・初任),0)</f>
        <v>482</v>
      </c>
      <c r="O76" s="48"/>
    </row>
    <row r="77" spans="1:15" ht="16.5" customHeight="1" x14ac:dyDescent="0.15">
      <c r="A77" s="41">
        <v>11</v>
      </c>
      <c r="B77" s="41" t="s">
        <v>13440</v>
      </c>
      <c r="C77" s="74" t="s">
        <v>13441</v>
      </c>
      <c r="D77" s="72"/>
      <c r="F77" s="755" t="s">
        <v>400</v>
      </c>
      <c r="G77" s="221" t="s">
        <v>398</v>
      </c>
      <c r="H77" s="50">
        <v>0.9</v>
      </c>
      <c r="I77" s="163"/>
      <c r="J77" s="45"/>
      <c r="K77" s="46"/>
      <c r="L77" s="709"/>
      <c r="M77" s="704"/>
      <c r="N77" s="47">
        <f>ROUND((ROUND((_11_A通院２４．５*_11・基礎２),0)*_11・初任),0)</f>
        <v>433</v>
      </c>
      <c r="O77" s="48"/>
    </row>
    <row r="78" spans="1:15" ht="16.5" customHeight="1" x14ac:dyDescent="0.15">
      <c r="A78" s="41">
        <v>11</v>
      </c>
      <c r="B78" s="41" t="s">
        <v>13442</v>
      </c>
      <c r="C78" s="74" t="s">
        <v>13443</v>
      </c>
      <c r="D78" s="122"/>
      <c r="E78" s="37"/>
      <c r="F78" s="800"/>
      <c r="G78" s="37"/>
      <c r="H78" s="38"/>
      <c r="I78" s="282" t="s">
        <v>397</v>
      </c>
      <c r="J78" s="218" t="s">
        <v>398</v>
      </c>
      <c r="K78" s="189">
        <v>1</v>
      </c>
      <c r="L78" s="240" t="s">
        <v>398</v>
      </c>
      <c r="M78" s="38">
        <f>_11・初任</f>
        <v>0.7</v>
      </c>
      <c r="N78" s="47">
        <f>ROUND((ROUND((ROUND((_11_A通院２４．５*_11・基礎２),0)*_11・２人),0)*_11・初任),0)</f>
        <v>433</v>
      </c>
      <c r="O78" s="63"/>
    </row>
    <row r="79" spans="1:15" ht="16.5" customHeight="1" x14ac:dyDescent="0.15">
      <c r="A79" s="33">
        <v>11</v>
      </c>
      <c r="B79" s="33">
        <v>7147</v>
      </c>
      <c r="C79" s="34" t="s">
        <v>13444</v>
      </c>
      <c r="D79" s="709" t="s">
        <v>516</v>
      </c>
      <c r="E79" s="796"/>
      <c r="F79" s="35"/>
      <c r="I79" s="43"/>
      <c r="J79" s="37"/>
      <c r="K79" s="38"/>
      <c r="L79" s="35"/>
      <c r="N79" s="39">
        <f>_11_A通院２５．０</f>
        <v>757</v>
      </c>
      <c r="O79" s="48"/>
    </row>
    <row r="80" spans="1:15" ht="16.5" customHeight="1" x14ac:dyDescent="0.15">
      <c r="A80" s="41">
        <v>11</v>
      </c>
      <c r="B80" s="41">
        <v>7148</v>
      </c>
      <c r="C80" s="74" t="s">
        <v>13445</v>
      </c>
      <c r="D80" s="799"/>
      <c r="E80" s="796"/>
      <c r="F80" s="43"/>
      <c r="G80" s="37"/>
      <c r="H80" s="38"/>
      <c r="I80" s="282" t="s">
        <v>397</v>
      </c>
      <c r="J80" s="218" t="s">
        <v>398</v>
      </c>
      <c r="K80" s="189">
        <v>1</v>
      </c>
      <c r="L80" s="35"/>
      <c r="N80" s="47">
        <f>ROUND((_11_A通院２５．０*_11・２人),0)</f>
        <v>757</v>
      </c>
      <c r="O80" s="48"/>
    </row>
    <row r="81" spans="1:15" ht="16.5" customHeight="1" x14ac:dyDescent="0.15">
      <c r="A81" s="41">
        <v>11</v>
      </c>
      <c r="B81" s="41">
        <v>7149</v>
      </c>
      <c r="C81" s="74" t="s">
        <v>13446</v>
      </c>
      <c r="D81" s="799"/>
      <c r="E81" s="796"/>
      <c r="F81" s="755" t="s">
        <v>400</v>
      </c>
      <c r="G81" s="221" t="s">
        <v>398</v>
      </c>
      <c r="H81" s="50">
        <v>0.9</v>
      </c>
      <c r="I81" s="163"/>
      <c r="J81" s="45"/>
      <c r="K81" s="46"/>
      <c r="L81" s="35"/>
      <c r="N81" s="47">
        <f>ROUND((_11_A通院２５．０*_11・基礎２),0)</f>
        <v>681</v>
      </c>
      <c r="O81" s="48"/>
    </row>
    <row r="82" spans="1:15" ht="16.5" customHeight="1" x14ac:dyDescent="0.15">
      <c r="A82" s="41">
        <v>11</v>
      </c>
      <c r="B82" s="41">
        <v>7150</v>
      </c>
      <c r="C82" s="74" t="s">
        <v>13447</v>
      </c>
      <c r="D82" s="274">
        <f>_11_A通院２５．０</f>
        <v>757</v>
      </c>
      <c r="E82" s="10" t="s">
        <v>392</v>
      </c>
      <c r="F82" s="800"/>
      <c r="G82" s="37"/>
      <c r="H82" s="38"/>
      <c r="I82" s="282" t="s">
        <v>397</v>
      </c>
      <c r="J82" s="218" t="s">
        <v>398</v>
      </c>
      <c r="K82" s="189">
        <v>1</v>
      </c>
      <c r="L82" s="35"/>
      <c r="N82" s="47">
        <f>ROUND((ROUND((_11_A通院２５．０*_11・基礎２),0)*_11・２人),0)</f>
        <v>681</v>
      </c>
      <c r="O82" s="48"/>
    </row>
    <row r="83" spans="1:15" ht="16.5" customHeight="1" x14ac:dyDescent="0.15">
      <c r="A83" s="41">
        <v>11</v>
      </c>
      <c r="B83" s="41" t="s">
        <v>13448</v>
      </c>
      <c r="C83" s="74" t="s">
        <v>13449</v>
      </c>
      <c r="D83" s="72"/>
      <c r="F83" s="53"/>
      <c r="G83" s="49"/>
      <c r="H83" s="50"/>
      <c r="I83" s="163"/>
      <c r="J83" s="45"/>
      <c r="K83" s="46"/>
      <c r="L83" s="707" t="s">
        <v>404</v>
      </c>
      <c r="M83" s="708"/>
      <c r="N83" s="47">
        <f>ROUND((_11_A通院２５．０*_11・初任),0)</f>
        <v>530</v>
      </c>
      <c r="O83" s="48"/>
    </row>
    <row r="84" spans="1:15" ht="16.5" customHeight="1" x14ac:dyDescent="0.15">
      <c r="A84" s="41">
        <v>11</v>
      </c>
      <c r="B84" s="41" t="s">
        <v>13450</v>
      </c>
      <c r="C84" s="74" t="s">
        <v>13451</v>
      </c>
      <c r="D84" s="72"/>
      <c r="F84" s="43"/>
      <c r="G84" s="37"/>
      <c r="H84" s="38"/>
      <c r="I84" s="282" t="s">
        <v>397</v>
      </c>
      <c r="J84" s="218" t="s">
        <v>398</v>
      </c>
      <c r="K84" s="189">
        <v>1</v>
      </c>
      <c r="L84" s="709"/>
      <c r="M84" s="704"/>
      <c r="N84" s="47">
        <f>ROUND((ROUND((_11_A通院２５．０*_11・２人),0)*_11・初任),0)</f>
        <v>530</v>
      </c>
      <c r="O84" s="48"/>
    </row>
    <row r="85" spans="1:15" ht="16.5" customHeight="1" x14ac:dyDescent="0.15">
      <c r="A85" s="41">
        <v>11</v>
      </c>
      <c r="B85" s="41" t="s">
        <v>13452</v>
      </c>
      <c r="C85" s="74" t="s">
        <v>13453</v>
      </c>
      <c r="D85" s="72"/>
      <c r="F85" s="755" t="s">
        <v>400</v>
      </c>
      <c r="G85" s="221" t="s">
        <v>398</v>
      </c>
      <c r="H85" s="50">
        <v>0.9</v>
      </c>
      <c r="I85" s="163"/>
      <c r="J85" s="45"/>
      <c r="K85" s="46"/>
      <c r="L85" s="709"/>
      <c r="M85" s="704"/>
      <c r="N85" s="47">
        <f>ROUND((ROUND((_11_A通院２５．０*_11・基礎２),0)*_11・初任),0)</f>
        <v>477</v>
      </c>
      <c r="O85" s="48"/>
    </row>
    <row r="86" spans="1:15" ht="16.5" customHeight="1" x14ac:dyDescent="0.15">
      <c r="A86" s="41">
        <v>11</v>
      </c>
      <c r="B86" s="41" t="s">
        <v>13454</v>
      </c>
      <c r="C86" s="74" t="s">
        <v>13455</v>
      </c>
      <c r="D86" s="72"/>
      <c r="F86" s="800"/>
      <c r="G86" s="37"/>
      <c r="H86" s="38"/>
      <c r="I86" s="282" t="s">
        <v>397</v>
      </c>
      <c r="J86" s="218" t="s">
        <v>398</v>
      </c>
      <c r="K86" s="189">
        <v>1</v>
      </c>
      <c r="L86" s="240" t="s">
        <v>398</v>
      </c>
      <c r="M86" s="38">
        <f>_11・初任</f>
        <v>0.7</v>
      </c>
      <c r="N86" s="47">
        <f>ROUND((ROUND((ROUND((_11_A通院２５．０*_11・基礎２),0)*_11・２人),0)*_11・初任),0)</f>
        <v>477</v>
      </c>
      <c r="O86" s="48"/>
    </row>
    <row r="87" spans="1:15" ht="16.5" customHeight="1" x14ac:dyDescent="0.15">
      <c r="A87" s="41">
        <v>11</v>
      </c>
      <c r="B87" s="41">
        <v>7151</v>
      </c>
      <c r="C87" s="74" t="s">
        <v>13456</v>
      </c>
      <c r="D87" s="707" t="s">
        <v>529</v>
      </c>
      <c r="E87" s="798"/>
      <c r="F87" s="53"/>
      <c r="G87" s="49"/>
      <c r="H87" s="50"/>
      <c r="I87" s="163"/>
      <c r="J87" s="45"/>
      <c r="K87" s="46"/>
      <c r="L87" s="53"/>
      <c r="M87" s="50"/>
      <c r="N87" s="47">
        <f>_11_A通院２５．５</f>
        <v>826</v>
      </c>
      <c r="O87" s="48"/>
    </row>
    <row r="88" spans="1:15" ht="16.5" customHeight="1" x14ac:dyDescent="0.15">
      <c r="A88" s="41">
        <v>11</v>
      </c>
      <c r="B88" s="41">
        <v>7152</v>
      </c>
      <c r="C88" s="74" t="s">
        <v>13457</v>
      </c>
      <c r="D88" s="799"/>
      <c r="E88" s="796"/>
      <c r="F88" s="43"/>
      <c r="G88" s="37"/>
      <c r="H88" s="38"/>
      <c r="I88" s="282" t="s">
        <v>397</v>
      </c>
      <c r="J88" s="218" t="s">
        <v>398</v>
      </c>
      <c r="K88" s="189">
        <v>1</v>
      </c>
      <c r="L88" s="35"/>
      <c r="N88" s="47">
        <f>ROUND((_11_A通院２５．５*_11・２人),0)</f>
        <v>826</v>
      </c>
      <c r="O88" s="48"/>
    </row>
    <row r="89" spans="1:15" ht="16.5" customHeight="1" x14ac:dyDescent="0.15">
      <c r="A89" s="41">
        <v>11</v>
      </c>
      <c r="B89" s="41">
        <v>7153</v>
      </c>
      <c r="C89" s="74" t="s">
        <v>13458</v>
      </c>
      <c r="D89" s="799"/>
      <c r="E89" s="796"/>
      <c r="F89" s="755" t="s">
        <v>400</v>
      </c>
      <c r="G89" s="221" t="s">
        <v>398</v>
      </c>
      <c r="H89" s="50">
        <v>0.9</v>
      </c>
      <c r="I89" s="163"/>
      <c r="J89" s="45"/>
      <c r="K89" s="46"/>
      <c r="L89" s="35"/>
      <c r="N89" s="47">
        <f>ROUND((_11_A通院２５．５*_11・基礎２),0)</f>
        <v>743</v>
      </c>
      <c r="O89" s="48"/>
    </row>
    <row r="90" spans="1:15" ht="16.5" customHeight="1" x14ac:dyDescent="0.15">
      <c r="A90" s="41">
        <v>11</v>
      </c>
      <c r="B90" s="41">
        <v>7154</v>
      </c>
      <c r="C90" s="74" t="s">
        <v>13459</v>
      </c>
      <c r="D90" s="274">
        <f>_11_A通院２５．５</f>
        <v>826</v>
      </c>
      <c r="E90" s="10" t="s">
        <v>392</v>
      </c>
      <c r="F90" s="800"/>
      <c r="G90" s="37"/>
      <c r="H90" s="38"/>
      <c r="I90" s="282" t="s">
        <v>397</v>
      </c>
      <c r="J90" s="218" t="s">
        <v>398</v>
      </c>
      <c r="K90" s="189">
        <v>1</v>
      </c>
      <c r="L90" s="35"/>
      <c r="N90" s="47">
        <f>ROUND((ROUND((_11_A通院２５．５*_11・基礎２),0)*_11・２人),0)</f>
        <v>743</v>
      </c>
      <c r="O90" s="48"/>
    </row>
    <row r="91" spans="1:15" ht="16.5" customHeight="1" x14ac:dyDescent="0.15">
      <c r="A91" s="41">
        <v>11</v>
      </c>
      <c r="B91" s="41" t="s">
        <v>13460</v>
      </c>
      <c r="C91" s="74" t="s">
        <v>13461</v>
      </c>
      <c r="D91" s="72"/>
      <c r="F91" s="53"/>
      <c r="G91" s="49"/>
      <c r="H91" s="50"/>
      <c r="I91" s="163"/>
      <c r="J91" s="45"/>
      <c r="K91" s="46"/>
      <c r="L91" s="707" t="s">
        <v>404</v>
      </c>
      <c r="M91" s="708"/>
      <c r="N91" s="47">
        <f>ROUND((_11_A通院２５．５*_11・初任),0)</f>
        <v>578</v>
      </c>
      <c r="O91" s="48"/>
    </row>
    <row r="92" spans="1:15" ht="16.5" customHeight="1" x14ac:dyDescent="0.15">
      <c r="A92" s="41">
        <v>11</v>
      </c>
      <c r="B92" s="41" t="s">
        <v>13462</v>
      </c>
      <c r="C92" s="74" t="s">
        <v>13463</v>
      </c>
      <c r="D92" s="72"/>
      <c r="F92" s="43"/>
      <c r="G92" s="37"/>
      <c r="H92" s="38"/>
      <c r="I92" s="282" t="s">
        <v>397</v>
      </c>
      <c r="J92" s="218" t="s">
        <v>398</v>
      </c>
      <c r="K92" s="189">
        <v>1</v>
      </c>
      <c r="L92" s="709"/>
      <c r="M92" s="704"/>
      <c r="N92" s="47">
        <f>ROUND((ROUND((_11_A通院２５．５*_11・２人),0)*_11・初任),0)</f>
        <v>578</v>
      </c>
      <c r="O92" s="48"/>
    </row>
    <row r="93" spans="1:15" ht="16.5" customHeight="1" x14ac:dyDescent="0.15">
      <c r="A93" s="41">
        <v>11</v>
      </c>
      <c r="B93" s="41" t="s">
        <v>13464</v>
      </c>
      <c r="C93" s="74" t="s">
        <v>13465</v>
      </c>
      <c r="D93" s="72"/>
      <c r="F93" s="755" t="s">
        <v>400</v>
      </c>
      <c r="G93" s="221" t="s">
        <v>398</v>
      </c>
      <c r="H93" s="50">
        <v>0.9</v>
      </c>
      <c r="I93" s="163"/>
      <c r="J93" s="45"/>
      <c r="K93" s="46"/>
      <c r="L93" s="709"/>
      <c r="M93" s="704"/>
      <c r="N93" s="47">
        <f>ROUND((ROUND((_11_A通院２５．５*_11・基礎２),0)*_11・初任),0)</f>
        <v>520</v>
      </c>
      <c r="O93" s="48"/>
    </row>
    <row r="94" spans="1:15" ht="16.5" customHeight="1" x14ac:dyDescent="0.15">
      <c r="A94" s="41">
        <v>11</v>
      </c>
      <c r="B94" s="41" t="s">
        <v>13466</v>
      </c>
      <c r="C94" s="74" t="s">
        <v>13467</v>
      </c>
      <c r="D94" s="72"/>
      <c r="F94" s="800"/>
      <c r="G94" s="37"/>
      <c r="H94" s="38"/>
      <c r="I94" s="282" t="s">
        <v>397</v>
      </c>
      <c r="J94" s="218" t="s">
        <v>398</v>
      </c>
      <c r="K94" s="189">
        <v>1</v>
      </c>
      <c r="L94" s="240" t="s">
        <v>398</v>
      </c>
      <c r="M94" s="38">
        <f>_11・初任</f>
        <v>0.7</v>
      </c>
      <c r="N94" s="47">
        <f>ROUND((ROUND((ROUND((_11_A通院２５．５*_11・基礎２),0)*_11・２人),0)*_11・初任),0)</f>
        <v>520</v>
      </c>
      <c r="O94" s="48"/>
    </row>
    <row r="95" spans="1:15" ht="16.5" customHeight="1" x14ac:dyDescent="0.15">
      <c r="A95" s="41">
        <v>11</v>
      </c>
      <c r="B95" s="41">
        <v>7155</v>
      </c>
      <c r="C95" s="74" t="s">
        <v>13468</v>
      </c>
      <c r="D95" s="707" t="s">
        <v>542</v>
      </c>
      <c r="E95" s="798"/>
      <c r="F95" s="53"/>
      <c r="G95" s="49"/>
      <c r="H95" s="50"/>
      <c r="I95" s="163"/>
      <c r="J95" s="45"/>
      <c r="K95" s="46"/>
      <c r="L95" s="53"/>
      <c r="M95" s="50"/>
      <c r="N95" s="47">
        <f>_11_A通院２６．０</f>
        <v>895</v>
      </c>
      <c r="O95" s="48"/>
    </row>
    <row r="96" spans="1:15" ht="16.5" customHeight="1" x14ac:dyDescent="0.15">
      <c r="A96" s="41">
        <v>11</v>
      </c>
      <c r="B96" s="41">
        <v>7156</v>
      </c>
      <c r="C96" s="74" t="s">
        <v>13469</v>
      </c>
      <c r="D96" s="799"/>
      <c r="E96" s="796"/>
      <c r="F96" s="43"/>
      <c r="G96" s="37"/>
      <c r="H96" s="38"/>
      <c r="I96" s="282" t="s">
        <v>397</v>
      </c>
      <c r="J96" s="218" t="s">
        <v>398</v>
      </c>
      <c r="K96" s="189">
        <v>1</v>
      </c>
      <c r="L96" s="35"/>
      <c r="N96" s="47">
        <f>ROUND((_11_A通院２６．０*_11・２人),0)</f>
        <v>895</v>
      </c>
      <c r="O96" s="48"/>
    </row>
    <row r="97" spans="1:15" ht="16.5" customHeight="1" x14ac:dyDescent="0.15">
      <c r="A97" s="41">
        <v>11</v>
      </c>
      <c r="B97" s="41">
        <v>7157</v>
      </c>
      <c r="C97" s="74" t="s">
        <v>13470</v>
      </c>
      <c r="D97" s="799"/>
      <c r="E97" s="796"/>
      <c r="F97" s="755" t="s">
        <v>400</v>
      </c>
      <c r="G97" s="221" t="s">
        <v>398</v>
      </c>
      <c r="H97" s="50">
        <v>0.9</v>
      </c>
      <c r="I97" s="163"/>
      <c r="J97" s="45"/>
      <c r="K97" s="46"/>
      <c r="L97" s="35"/>
      <c r="N97" s="47">
        <f>ROUND((_11_A通院２６．０*_11・基礎２),0)</f>
        <v>806</v>
      </c>
      <c r="O97" s="48"/>
    </row>
    <row r="98" spans="1:15" ht="16.5" customHeight="1" x14ac:dyDescent="0.15">
      <c r="A98" s="41">
        <v>11</v>
      </c>
      <c r="B98" s="41">
        <v>7158</v>
      </c>
      <c r="C98" s="74" t="s">
        <v>13471</v>
      </c>
      <c r="D98" s="274">
        <f>_11_A通院２６．０</f>
        <v>895</v>
      </c>
      <c r="E98" s="10" t="s">
        <v>392</v>
      </c>
      <c r="F98" s="800"/>
      <c r="G98" s="37"/>
      <c r="H98" s="38"/>
      <c r="I98" s="282" t="s">
        <v>397</v>
      </c>
      <c r="J98" s="218" t="s">
        <v>398</v>
      </c>
      <c r="K98" s="189">
        <v>1</v>
      </c>
      <c r="L98" s="35"/>
      <c r="N98" s="47">
        <f>ROUND((ROUND((_11_A通院２６．０*_11・基礎２),0)*_11・２人),0)</f>
        <v>806</v>
      </c>
      <c r="O98" s="48"/>
    </row>
    <row r="99" spans="1:15" ht="16.5" customHeight="1" x14ac:dyDescent="0.15">
      <c r="A99" s="41">
        <v>11</v>
      </c>
      <c r="B99" s="41" t="s">
        <v>13472</v>
      </c>
      <c r="C99" s="74" t="s">
        <v>13473</v>
      </c>
      <c r="D99" s="72"/>
      <c r="F99" s="53"/>
      <c r="G99" s="49"/>
      <c r="H99" s="50"/>
      <c r="I99" s="163"/>
      <c r="J99" s="45"/>
      <c r="K99" s="46"/>
      <c r="L99" s="707" t="s">
        <v>404</v>
      </c>
      <c r="M99" s="708"/>
      <c r="N99" s="47">
        <f>ROUND((_11_A通院２６．０*_11・初任),0)</f>
        <v>627</v>
      </c>
      <c r="O99" s="48"/>
    </row>
    <row r="100" spans="1:15" ht="16.5" customHeight="1" x14ac:dyDescent="0.15">
      <c r="A100" s="41">
        <v>11</v>
      </c>
      <c r="B100" s="41" t="s">
        <v>13474</v>
      </c>
      <c r="C100" s="74" t="s">
        <v>13475</v>
      </c>
      <c r="D100" s="72"/>
      <c r="F100" s="43"/>
      <c r="G100" s="37"/>
      <c r="H100" s="38"/>
      <c r="I100" s="282" t="s">
        <v>397</v>
      </c>
      <c r="J100" s="218" t="s">
        <v>398</v>
      </c>
      <c r="K100" s="189">
        <v>1</v>
      </c>
      <c r="L100" s="709"/>
      <c r="M100" s="704"/>
      <c r="N100" s="47">
        <f>ROUND((ROUND((_11_A通院２６．０*_11・２人),0)*_11・初任),0)</f>
        <v>627</v>
      </c>
      <c r="O100" s="48"/>
    </row>
    <row r="101" spans="1:15" ht="16.5" customHeight="1" x14ac:dyDescent="0.15">
      <c r="A101" s="41">
        <v>11</v>
      </c>
      <c r="B101" s="41" t="s">
        <v>13476</v>
      </c>
      <c r="C101" s="74" t="s">
        <v>13477</v>
      </c>
      <c r="D101" s="72"/>
      <c r="F101" s="755" t="s">
        <v>400</v>
      </c>
      <c r="G101" s="221" t="s">
        <v>398</v>
      </c>
      <c r="H101" s="50">
        <v>0.9</v>
      </c>
      <c r="I101" s="163"/>
      <c r="J101" s="45"/>
      <c r="K101" s="46"/>
      <c r="L101" s="709"/>
      <c r="M101" s="704"/>
      <c r="N101" s="47">
        <f>ROUND((ROUND((_11_A通院２６．０*_11・基礎２),0)*_11・初任),0)</f>
        <v>564</v>
      </c>
      <c r="O101" s="48"/>
    </row>
    <row r="102" spans="1:15" ht="16.5" customHeight="1" x14ac:dyDescent="0.15">
      <c r="A102" s="41">
        <v>11</v>
      </c>
      <c r="B102" s="41" t="s">
        <v>13478</v>
      </c>
      <c r="C102" s="74" t="s">
        <v>13479</v>
      </c>
      <c r="D102" s="72"/>
      <c r="F102" s="800"/>
      <c r="G102" s="37"/>
      <c r="H102" s="38"/>
      <c r="I102" s="282" t="s">
        <v>397</v>
      </c>
      <c r="J102" s="218" t="s">
        <v>398</v>
      </c>
      <c r="K102" s="189">
        <v>1</v>
      </c>
      <c r="L102" s="240" t="s">
        <v>398</v>
      </c>
      <c r="M102" s="38">
        <f>_11・初任</f>
        <v>0.7</v>
      </c>
      <c r="N102" s="47">
        <f>ROUND((ROUND((ROUND((_11_A通院２６．０*_11・基礎２),0)*_11・２人),0)*_11・初任),0)</f>
        <v>564</v>
      </c>
      <c r="O102" s="48"/>
    </row>
    <row r="103" spans="1:15" ht="16.5" customHeight="1" x14ac:dyDescent="0.15">
      <c r="A103" s="41">
        <v>11</v>
      </c>
      <c r="B103" s="41">
        <v>7159</v>
      </c>
      <c r="C103" s="74" t="s">
        <v>13480</v>
      </c>
      <c r="D103" s="707" t="s">
        <v>555</v>
      </c>
      <c r="E103" s="798"/>
      <c r="F103" s="53"/>
      <c r="G103" s="49"/>
      <c r="H103" s="50"/>
      <c r="I103" s="163"/>
      <c r="J103" s="45"/>
      <c r="K103" s="46"/>
      <c r="L103" s="53"/>
      <c r="M103" s="50"/>
      <c r="N103" s="47">
        <f>_11_A通院２６．５</f>
        <v>964</v>
      </c>
      <c r="O103" s="48"/>
    </row>
    <row r="104" spans="1:15" ht="16.5" customHeight="1" x14ac:dyDescent="0.15">
      <c r="A104" s="41">
        <v>11</v>
      </c>
      <c r="B104" s="41">
        <v>7160</v>
      </c>
      <c r="C104" s="74" t="s">
        <v>13481</v>
      </c>
      <c r="D104" s="799"/>
      <c r="E104" s="796"/>
      <c r="F104" s="43"/>
      <c r="G104" s="37"/>
      <c r="H104" s="38"/>
      <c r="I104" s="282" t="s">
        <v>397</v>
      </c>
      <c r="J104" s="218" t="s">
        <v>398</v>
      </c>
      <c r="K104" s="189">
        <v>1</v>
      </c>
      <c r="L104" s="35"/>
      <c r="N104" s="47">
        <f>ROUND((_11_A通院２６．５*_11・２人),0)</f>
        <v>964</v>
      </c>
      <c r="O104" s="48"/>
    </row>
    <row r="105" spans="1:15" ht="16.5" customHeight="1" x14ac:dyDescent="0.15">
      <c r="A105" s="41">
        <v>11</v>
      </c>
      <c r="B105" s="41">
        <v>7161</v>
      </c>
      <c r="C105" s="74" t="s">
        <v>13482</v>
      </c>
      <c r="D105" s="799"/>
      <c r="E105" s="796"/>
      <c r="F105" s="755" t="s">
        <v>400</v>
      </c>
      <c r="G105" s="221" t="s">
        <v>398</v>
      </c>
      <c r="H105" s="50">
        <v>0.9</v>
      </c>
      <c r="I105" s="163"/>
      <c r="J105" s="45"/>
      <c r="K105" s="46"/>
      <c r="L105" s="35"/>
      <c r="N105" s="47">
        <f>ROUND((_11_A通院２６．５*_11・基礎２),0)</f>
        <v>868</v>
      </c>
      <c r="O105" s="48"/>
    </row>
    <row r="106" spans="1:15" ht="16.5" customHeight="1" x14ac:dyDescent="0.15">
      <c r="A106" s="41">
        <v>11</v>
      </c>
      <c r="B106" s="41">
        <v>7162</v>
      </c>
      <c r="C106" s="74" t="s">
        <v>13483</v>
      </c>
      <c r="D106" s="274">
        <f>_11_A通院２６．５</f>
        <v>964</v>
      </c>
      <c r="E106" s="10" t="s">
        <v>392</v>
      </c>
      <c r="F106" s="800"/>
      <c r="G106" s="37"/>
      <c r="H106" s="38"/>
      <c r="I106" s="282" t="s">
        <v>397</v>
      </c>
      <c r="J106" s="218" t="s">
        <v>398</v>
      </c>
      <c r="K106" s="189">
        <v>1</v>
      </c>
      <c r="L106" s="35"/>
      <c r="N106" s="47">
        <f>ROUND((ROUND((_11_A通院２６．５*_11・基礎２),0)*_11・２人),0)</f>
        <v>868</v>
      </c>
      <c r="O106" s="48"/>
    </row>
    <row r="107" spans="1:15" ht="16.5" customHeight="1" x14ac:dyDescent="0.15">
      <c r="A107" s="41">
        <v>11</v>
      </c>
      <c r="B107" s="41" t="s">
        <v>13484</v>
      </c>
      <c r="C107" s="74" t="s">
        <v>13485</v>
      </c>
      <c r="D107" s="72"/>
      <c r="F107" s="53"/>
      <c r="G107" s="49"/>
      <c r="H107" s="50"/>
      <c r="I107" s="163"/>
      <c r="J107" s="45"/>
      <c r="K107" s="46"/>
      <c r="L107" s="707" t="s">
        <v>404</v>
      </c>
      <c r="M107" s="708"/>
      <c r="N107" s="47">
        <f>ROUND((_11_A通院２６．５*_11・初任),0)</f>
        <v>675</v>
      </c>
      <c r="O107" s="48"/>
    </row>
    <row r="108" spans="1:15" ht="16.5" customHeight="1" x14ac:dyDescent="0.15">
      <c r="A108" s="41">
        <v>11</v>
      </c>
      <c r="B108" s="41" t="s">
        <v>13486</v>
      </c>
      <c r="C108" s="74" t="s">
        <v>13487</v>
      </c>
      <c r="D108" s="72"/>
      <c r="F108" s="43"/>
      <c r="G108" s="37"/>
      <c r="H108" s="38"/>
      <c r="I108" s="282" t="s">
        <v>397</v>
      </c>
      <c r="J108" s="218" t="s">
        <v>398</v>
      </c>
      <c r="K108" s="189">
        <v>1</v>
      </c>
      <c r="L108" s="709"/>
      <c r="M108" s="704"/>
      <c r="N108" s="47">
        <f>ROUND((ROUND((_11_A通院２６．５*_11・２人),0)*_11・初任),0)</f>
        <v>675</v>
      </c>
      <c r="O108" s="48"/>
    </row>
    <row r="109" spans="1:15" ht="16.5" customHeight="1" x14ac:dyDescent="0.15">
      <c r="A109" s="41">
        <v>11</v>
      </c>
      <c r="B109" s="41" t="s">
        <v>13488</v>
      </c>
      <c r="C109" s="74" t="s">
        <v>13489</v>
      </c>
      <c r="D109" s="72"/>
      <c r="F109" s="755" t="s">
        <v>400</v>
      </c>
      <c r="G109" s="221" t="s">
        <v>398</v>
      </c>
      <c r="H109" s="50">
        <v>0.9</v>
      </c>
      <c r="I109" s="163"/>
      <c r="J109" s="45"/>
      <c r="K109" s="46"/>
      <c r="L109" s="709"/>
      <c r="M109" s="704"/>
      <c r="N109" s="47">
        <f>ROUND((ROUND((_11_A通院２６．５*_11・基礎２),0)*_11・初任),0)</f>
        <v>608</v>
      </c>
      <c r="O109" s="48"/>
    </row>
    <row r="110" spans="1:15" ht="16.5" customHeight="1" x14ac:dyDescent="0.15">
      <c r="A110" s="41">
        <v>11</v>
      </c>
      <c r="B110" s="41" t="s">
        <v>13490</v>
      </c>
      <c r="C110" s="74" t="s">
        <v>13491</v>
      </c>
      <c r="D110" s="72"/>
      <c r="F110" s="800"/>
      <c r="G110" s="37"/>
      <c r="H110" s="38"/>
      <c r="I110" s="282" t="s">
        <v>397</v>
      </c>
      <c r="J110" s="218" t="s">
        <v>398</v>
      </c>
      <c r="K110" s="189">
        <v>1</v>
      </c>
      <c r="L110" s="240" t="s">
        <v>398</v>
      </c>
      <c r="M110" s="38">
        <f>_11・初任</f>
        <v>0.7</v>
      </c>
      <c r="N110" s="47">
        <f>ROUND((ROUND((ROUND((_11_A通院２６．５*_11・基礎２),0)*_11・２人),0)*_11・初任),0)</f>
        <v>608</v>
      </c>
      <c r="O110" s="48"/>
    </row>
    <row r="111" spans="1:15" ht="16.5" customHeight="1" x14ac:dyDescent="0.15">
      <c r="A111" s="41">
        <v>11</v>
      </c>
      <c r="B111" s="41">
        <v>7163</v>
      </c>
      <c r="C111" s="74" t="s">
        <v>13492</v>
      </c>
      <c r="D111" s="707" t="s">
        <v>568</v>
      </c>
      <c r="E111" s="798"/>
      <c r="F111" s="53"/>
      <c r="G111" s="49"/>
      <c r="H111" s="50"/>
      <c r="I111" s="163"/>
      <c r="J111" s="45"/>
      <c r="K111" s="46"/>
      <c r="L111" s="53"/>
      <c r="M111" s="50"/>
      <c r="N111" s="47">
        <f>_11_A通院２７．０</f>
        <v>1033</v>
      </c>
      <c r="O111" s="48"/>
    </row>
    <row r="112" spans="1:15" ht="16.5" customHeight="1" x14ac:dyDescent="0.15">
      <c r="A112" s="41">
        <v>11</v>
      </c>
      <c r="B112" s="41">
        <v>7164</v>
      </c>
      <c r="C112" s="74" t="s">
        <v>13493</v>
      </c>
      <c r="D112" s="799"/>
      <c r="E112" s="796"/>
      <c r="F112" s="43"/>
      <c r="G112" s="37"/>
      <c r="H112" s="38"/>
      <c r="I112" s="282" t="s">
        <v>397</v>
      </c>
      <c r="J112" s="218" t="s">
        <v>398</v>
      </c>
      <c r="K112" s="189">
        <v>1</v>
      </c>
      <c r="L112" s="35"/>
      <c r="N112" s="47">
        <f>ROUND((_11_A通院２７．０*_11・２人),0)</f>
        <v>1033</v>
      </c>
      <c r="O112" s="48"/>
    </row>
    <row r="113" spans="1:15" ht="16.5" customHeight="1" x14ac:dyDescent="0.15">
      <c r="A113" s="41">
        <v>11</v>
      </c>
      <c r="B113" s="41">
        <v>7165</v>
      </c>
      <c r="C113" s="74" t="s">
        <v>13494</v>
      </c>
      <c r="D113" s="799"/>
      <c r="E113" s="796"/>
      <c r="F113" s="755" t="s">
        <v>400</v>
      </c>
      <c r="G113" s="221" t="s">
        <v>398</v>
      </c>
      <c r="H113" s="50">
        <v>0.9</v>
      </c>
      <c r="I113" s="163"/>
      <c r="J113" s="45"/>
      <c r="K113" s="46"/>
      <c r="L113" s="35"/>
      <c r="N113" s="47">
        <f>ROUND((_11_A通院２７．０*_11・基礎２),0)</f>
        <v>930</v>
      </c>
      <c r="O113" s="48"/>
    </row>
    <row r="114" spans="1:15" ht="16.5" customHeight="1" x14ac:dyDescent="0.15">
      <c r="A114" s="41">
        <v>11</v>
      </c>
      <c r="B114" s="41">
        <v>7166</v>
      </c>
      <c r="C114" s="74" t="s">
        <v>13495</v>
      </c>
      <c r="D114" s="274">
        <f>_11_A通院２７．０</f>
        <v>1033</v>
      </c>
      <c r="E114" s="10" t="s">
        <v>392</v>
      </c>
      <c r="F114" s="800"/>
      <c r="G114" s="37"/>
      <c r="H114" s="38"/>
      <c r="I114" s="282" t="s">
        <v>397</v>
      </c>
      <c r="J114" s="218" t="s">
        <v>398</v>
      </c>
      <c r="K114" s="189">
        <v>1</v>
      </c>
      <c r="L114" s="35"/>
      <c r="N114" s="47">
        <f>ROUND((ROUND((_11_A通院２７．０*_11・基礎２),0)*_11・２人),0)</f>
        <v>930</v>
      </c>
      <c r="O114" s="48"/>
    </row>
    <row r="115" spans="1:15" ht="16.5" customHeight="1" x14ac:dyDescent="0.15">
      <c r="A115" s="41">
        <v>11</v>
      </c>
      <c r="B115" s="41" t="s">
        <v>13496</v>
      </c>
      <c r="C115" s="74" t="s">
        <v>13497</v>
      </c>
      <c r="D115" s="72"/>
      <c r="F115" s="53"/>
      <c r="G115" s="49"/>
      <c r="H115" s="50"/>
      <c r="I115" s="163"/>
      <c r="J115" s="45"/>
      <c r="K115" s="46"/>
      <c r="L115" s="707" t="s">
        <v>404</v>
      </c>
      <c r="M115" s="708"/>
      <c r="N115" s="47">
        <f>ROUND((_11_A通院２７．０*_11・初任),0)</f>
        <v>723</v>
      </c>
      <c r="O115" s="48"/>
    </row>
    <row r="116" spans="1:15" ht="16.5" customHeight="1" x14ac:dyDescent="0.15">
      <c r="A116" s="41">
        <v>11</v>
      </c>
      <c r="B116" s="41" t="s">
        <v>13498</v>
      </c>
      <c r="C116" s="74" t="s">
        <v>13499</v>
      </c>
      <c r="D116" s="72"/>
      <c r="F116" s="43"/>
      <c r="G116" s="37"/>
      <c r="H116" s="38"/>
      <c r="I116" s="282" t="s">
        <v>397</v>
      </c>
      <c r="J116" s="218" t="s">
        <v>398</v>
      </c>
      <c r="K116" s="189">
        <v>1</v>
      </c>
      <c r="L116" s="709"/>
      <c r="M116" s="704"/>
      <c r="N116" s="47">
        <f>ROUND((ROUND((_11_A通院２７．０*_11・２人),0)*_11・初任),0)</f>
        <v>723</v>
      </c>
      <c r="O116" s="48"/>
    </row>
    <row r="117" spans="1:15" ht="16.5" customHeight="1" x14ac:dyDescent="0.15">
      <c r="A117" s="41">
        <v>11</v>
      </c>
      <c r="B117" s="41" t="s">
        <v>13500</v>
      </c>
      <c r="C117" s="74" t="s">
        <v>13501</v>
      </c>
      <c r="D117" s="72"/>
      <c r="F117" s="755" t="s">
        <v>400</v>
      </c>
      <c r="G117" s="221" t="s">
        <v>398</v>
      </c>
      <c r="H117" s="50">
        <v>0.9</v>
      </c>
      <c r="I117" s="163"/>
      <c r="J117" s="45"/>
      <c r="K117" s="46"/>
      <c r="L117" s="709"/>
      <c r="M117" s="704"/>
      <c r="N117" s="47">
        <f>ROUND((ROUND((_11_A通院２７．０*_11・基礎２),0)*_11・初任),0)</f>
        <v>651</v>
      </c>
      <c r="O117" s="48"/>
    </row>
    <row r="118" spans="1:15" ht="16.5" customHeight="1" x14ac:dyDescent="0.15">
      <c r="A118" s="41">
        <v>11</v>
      </c>
      <c r="B118" s="41" t="s">
        <v>13502</v>
      </c>
      <c r="C118" s="74" t="s">
        <v>13503</v>
      </c>
      <c r="D118" s="72"/>
      <c r="F118" s="800"/>
      <c r="G118" s="37"/>
      <c r="H118" s="38"/>
      <c r="I118" s="282" t="s">
        <v>397</v>
      </c>
      <c r="J118" s="218" t="s">
        <v>398</v>
      </c>
      <c r="K118" s="189">
        <v>1</v>
      </c>
      <c r="L118" s="240" t="s">
        <v>398</v>
      </c>
      <c r="M118" s="38">
        <f>_11・初任</f>
        <v>0.7</v>
      </c>
      <c r="N118" s="47">
        <f>ROUND((ROUND((ROUND((_11_A通院２７．０*_11・基礎２),0)*_11・２人),0)*_11・初任),0)</f>
        <v>651</v>
      </c>
      <c r="O118" s="48"/>
    </row>
    <row r="119" spans="1:15" ht="16.5" customHeight="1" x14ac:dyDescent="0.15">
      <c r="A119" s="41">
        <v>11</v>
      </c>
      <c r="B119" s="41">
        <v>7167</v>
      </c>
      <c r="C119" s="74" t="s">
        <v>13504</v>
      </c>
      <c r="D119" s="707" t="s">
        <v>581</v>
      </c>
      <c r="E119" s="798"/>
      <c r="F119" s="53"/>
      <c r="G119" s="49"/>
      <c r="H119" s="50"/>
      <c r="I119" s="163"/>
      <c r="J119" s="45"/>
      <c r="K119" s="46"/>
      <c r="L119" s="53"/>
      <c r="M119" s="50"/>
      <c r="N119" s="47">
        <f>_11_A通院２７．５</f>
        <v>1102</v>
      </c>
      <c r="O119" s="48"/>
    </row>
    <row r="120" spans="1:15" ht="16.5" customHeight="1" x14ac:dyDescent="0.15">
      <c r="A120" s="41">
        <v>11</v>
      </c>
      <c r="B120" s="41">
        <v>7168</v>
      </c>
      <c r="C120" s="74" t="s">
        <v>13505</v>
      </c>
      <c r="D120" s="799"/>
      <c r="E120" s="796"/>
      <c r="F120" s="43"/>
      <c r="G120" s="37"/>
      <c r="H120" s="38"/>
      <c r="I120" s="282" t="s">
        <v>397</v>
      </c>
      <c r="J120" s="218" t="s">
        <v>398</v>
      </c>
      <c r="K120" s="189">
        <v>1</v>
      </c>
      <c r="L120" s="35"/>
      <c r="N120" s="47">
        <f>ROUND((_11_A通院２７．５*_11・２人),0)</f>
        <v>1102</v>
      </c>
      <c r="O120" s="48"/>
    </row>
    <row r="121" spans="1:15" ht="16.5" customHeight="1" x14ac:dyDescent="0.15">
      <c r="A121" s="41">
        <v>11</v>
      </c>
      <c r="B121" s="41">
        <v>7169</v>
      </c>
      <c r="C121" s="74" t="s">
        <v>13506</v>
      </c>
      <c r="D121" s="799"/>
      <c r="E121" s="796"/>
      <c r="F121" s="755" t="s">
        <v>400</v>
      </c>
      <c r="G121" s="221" t="s">
        <v>398</v>
      </c>
      <c r="H121" s="50">
        <v>0.9</v>
      </c>
      <c r="I121" s="163"/>
      <c r="J121" s="45"/>
      <c r="K121" s="46"/>
      <c r="L121" s="35"/>
      <c r="N121" s="47">
        <f>ROUND((_11_A通院２７．５*_11・基礎２),0)</f>
        <v>992</v>
      </c>
      <c r="O121" s="48"/>
    </row>
    <row r="122" spans="1:15" ht="16.5" customHeight="1" x14ac:dyDescent="0.15">
      <c r="A122" s="41">
        <v>11</v>
      </c>
      <c r="B122" s="41">
        <v>7170</v>
      </c>
      <c r="C122" s="74" t="s">
        <v>13507</v>
      </c>
      <c r="D122" s="274">
        <f>_11_A通院２７．５</f>
        <v>1102</v>
      </c>
      <c r="E122" s="10" t="s">
        <v>392</v>
      </c>
      <c r="F122" s="800"/>
      <c r="G122" s="37"/>
      <c r="H122" s="38"/>
      <c r="I122" s="282" t="s">
        <v>397</v>
      </c>
      <c r="J122" s="218" t="s">
        <v>398</v>
      </c>
      <c r="K122" s="189">
        <v>1</v>
      </c>
      <c r="L122" s="35"/>
      <c r="N122" s="47">
        <f>ROUND((ROUND((_11_A通院２７．５*_11・基礎２),0)*_11・２人),0)</f>
        <v>992</v>
      </c>
      <c r="O122" s="48"/>
    </row>
    <row r="123" spans="1:15" ht="16.5" customHeight="1" x14ac:dyDescent="0.15">
      <c r="A123" s="41">
        <v>11</v>
      </c>
      <c r="B123" s="41" t="s">
        <v>13508</v>
      </c>
      <c r="C123" s="74" t="s">
        <v>13509</v>
      </c>
      <c r="D123" s="72"/>
      <c r="F123" s="53"/>
      <c r="G123" s="49"/>
      <c r="H123" s="50"/>
      <c r="I123" s="163"/>
      <c r="J123" s="45"/>
      <c r="K123" s="46"/>
      <c r="L123" s="707" t="s">
        <v>404</v>
      </c>
      <c r="M123" s="708"/>
      <c r="N123" s="47">
        <f>ROUND((_11_A通院２７．５*_11・初任),0)</f>
        <v>771</v>
      </c>
      <c r="O123" s="48"/>
    </row>
    <row r="124" spans="1:15" ht="16.5" customHeight="1" x14ac:dyDescent="0.15">
      <c r="A124" s="41">
        <v>11</v>
      </c>
      <c r="B124" s="41" t="s">
        <v>13510</v>
      </c>
      <c r="C124" s="74" t="s">
        <v>13511</v>
      </c>
      <c r="D124" s="72"/>
      <c r="F124" s="43"/>
      <c r="G124" s="37"/>
      <c r="H124" s="38"/>
      <c r="I124" s="282" t="s">
        <v>397</v>
      </c>
      <c r="J124" s="218" t="s">
        <v>398</v>
      </c>
      <c r="K124" s="189">
        <v>1</v>
      </c>
      <c r="L124" s="709"/>
      <c r="M124" s="704"/>
      <c r="N124" s="47">
        <f>ROUND((ROUND((_11_A通院２７．５*_11・２人),0)*_11・初任),0)</f>
        <v>771</v>
      </c>
      <c r="O124" s="48"/>
    </row>
    <row r="125" spans="1:15" ht="16.5" customHeight="1" x14ac:dyDescent="0.15">
      <c r="A125" s="41">
        <v>11</v>
      </c>
      <c r="B125" s="41" t="s">
        <v>13512</v>
      </c>
      <c r="C125" s="74" t="s">
        <v>13513</v>
      </c>
      <c r="D125" s="72"/>
      <c r="F125" s="755" t="s">
        <v>400</v>
      </c>
      <c r="G125" s="221" t="s">
        <v>398</v>
      </c>
      <c r="H125" s="50">
        <v>0.9</v>
      </c>
      <c r="I125" s="163"/>
      <c r="J125" s="45"/>
      <c r="K125" s="46"/>
      <c r="L125" s="709"/>
      <c r="M125" s="704"/>
      <c r="N125" s="47">
        <f>ROUND((ROUND((_11_A通院２７．５*_11・基礎２),0)*_11・初任),0)</f>
        <v>694</v>
      </c>
      <c r="O125" s="48"/>
    </row>
    <row r="126" spans="1:15" ht="16.5" customHeight="1" x14ac:dyDescent="0.15">
      <c r="A126" s="41">
        <v>11</v>
      </c>
      <c r="B126" s="41" t="s">
        <v>13514</v>
      </c>
      <c r="C126" s="74" t="s">
        <v>13515</v>
      </c>
      <c r="D126" s="72"/>
      <c r="F126" s="800"/>
      <c r="G126" s="37"/>
      <c r="H126" s="38"/>
      <c r="I126" s="282" t="s">
        <v>397</v>
      </c>
      <c r="J126" s="218" t="s">
        <v>398</v>
      </c>
      <c r="K126" s="189">
        <v>1</v>
      </c>
      <c r="L126" s="240" t="s">
        <v>398</v>
      </c>
      <c r="M126" s="38">
        <f>_11・初任</f>
        <v>0.7</v>
      </c>
      <c r="N126" s="47">
        <f>ROUND((ROUND((ROUND((_11_A通院２７．５*_11・基礎２),0)*_11・２人),0)*_11・初任),0)</f>
        <v>694</v>
      </c>
      <c r="O126" s="48"/>
    </row>
    <row r="127" spans="1:15" ht="16.5" customHeight="1" x14ac:dyDescent="0.15">
      <c r="A127" s="41">
        <v>11</v>
      </c>
      <c r="B127" s="41">
        <v>7171</v>
      </c>
      <c r="C127" s="74" t="s">
        <v>13516</v>
      </c>
      <c r="D127" s="707" t="s">
        <v>594</v>
      </c>
      <c r="E127" s="798"/>
      <c r="F127" s="53"/>
      <c r="G127" s="49"/>
      <c r="H127" s="50"/>
      <c r="I127" s="163"/>
      <c r="J127" s="45"/>
      <c r="K127" s="46"/>
      <c r="L127" s="53"/>
      <c r="M127" s="50"/>
      <c r="N127" s="47">
        <f>_11_A通院２８．０</f>
        <v>1171</v>
      </c>
      <c r="O127" s="48"/>
    </row>
    <row r="128" spans="1:15" ht="16.5" customHeight="1" x14ac:dyDescent="0.15">
      <c r="A128" s="41">
        <v>11</v>
      </c>
      <c r="B128" s="41">
        <v>7172</v>
      </c>
      <c r="C128" s="74" t="s">
        <v>13517</v>
      </c>
      <c r="D128" s="799"/>
      <c r="E128" s="796"/>
      <c r="F128" s="43"/>
      <c r="G128" s="37"/>
      <c r="H128" s="38"/>
      <c r="I128" s="282" t="s">
        <v>397</v>
      </c>
      <c r="J128" s="218" t="s">
        <v>398</v>
      </c>
      <c r="K128" s="189">
        <v>1</v>
      </c>
      <c r="L128" s="35"/>
      <c r="N128" s="47">
        <f>ROUND((_11_A通院２８．０*_11・２人),0)</f>
        <v>1171</v>
      </c>
      <c r="O128" s="48"/>
    </row>
    <row r="129" spans="1:15" ht="16.5" customHeight="1" x14ac:dyDescent="0.15">
      <c r="A129" s="41">
        <v>11</v>
      </c>
      <c r="B129" s="41">
        <v>7173</v>
      </c>
      <c r="C129" s="74" t="s">
        <v>13518</v>
      </c>
      <c r="D129" s="799"/>
      <c r="E129" s="796"/>
      <c r="F129" s="755" t="s">
        <v>400</v>
      </c>
      <c r="G129" s="221" t="s">
        <v>398</v>
      </c>
      <c r="H129" s="50">
        <v>0.9</v>
      </c>
      <c r="I129" s="163"/>
      <c r="J129" s="45"/>
      <c r="K129" s="46"/>
      <c r="L129" s="35"/>
      <c r="N129" s="47">
        <f>ROUND((_11_A通院２８．０*_11・基礎２),0)</f>
        <v>1054</v>
      </c>
      <c r="O129" s="48"/>
    </row>
    <row r="130" spans="1:15" ht="16.5" customHeight="1" x14ac:dyDescent="0.15">
      <c r="A130" s="41">
        <v>11</v>
      </c>
      <c r="B130" s="41">
        <v>7174</v>
      </c>
      <c r="C130" s="74" t="s">
        <v>13519</v>
      </c>
      <c r="D130" s="274">
        <f>_11_A通院２８．０</f>
        <v>1171</v>
      </c>
      <c r="E130" s="10" t="s">
        <v>392</v>
      </c>
      <c r="F130" s="800"/>
      <c r="G130" s="37"/>
      <c r="H130" s="38"/>
      <c r="I130" s="282" t="s">
        <v>397</v>
      </c>
      <c r="J130" s="218" t="s">
        <v>398</v>
      </c>
      <c r="K130" s="189">
        <v>1</v>
      </c>
      <c r="L130" s="35"/>
      <c r="N130" s="47">
        <f>ROUND((ROUND((_11_A通院２８．０*_11・基礎２),0)*_11・２人),0)</f>
        <v>1054</v>
      </c>
      <c r="O130" s="48"/>
    </row>
    <row r="131" spans="1:15" ht="16.5" customHeight="1" x14ac:dyDescent="0.15">
      <c r="A131" s="41">
        <v>11</v>
      </c>
      <c r="B131" s="41" t="s">
        <v>13520</v>
      </c>
      <c r="C131" s="74" t="s">
        <v>13521</v>
      </c>
      <c r="D131" s="72"/>
      <c r="F131" s="53"/>
      <c r="G131" s="49"/>
      <c r="H131" s="50"/>
      <c r="I131" s="163"/>
      <c r="J131" s="45"/>
      <c r="K131" s="46"/>
      <c r="L131" s="707" t="s">
        <v>404</v>
      </c>
      <c r="M131" s="708"/>
      <c r="N131" s="47">
        <f>ROUND((_11_A通院２８．０*_11・初任),0)</f>
        <v>820</v>
      </c>
      <c r="O131" s="48"/>
    </row>
    <row r="132" spans="1:15" ht="16.5" customHeight="1" x14ac:dyDescent="0.15">
      <c r="A132" s="41">
        <v>11</v>
      </c>
      <c r="B132" s="41" t="s">
        <v>13522</v>
      </c>
      <c r="C132" s="74" t="s">
        <v>13523</v>
      </c>
      <c r="D132" s="72"/>
      <c r="F132" s="43"/>
      <c r="G132" s="37"/>
      <c r="H132" s="38"/>
      <c r="I132" s="282" t="s">
        <v>397</v>
      </c>
      <c r="J132" s="218" t="s">
        <v>398</v>
      </c>
      <c r="K132" s="189">
        <v>1</v>
      </c>
      <c r="L132" s="709"/>
      <c r="M132" s="704"/>
      <c r="N132" s="47">
        <f>ROUND((ROUND((_11_A通院２８．０*_11・２人),0)*_11・初任),0)</f>
        <v>820</v>
      </c>
      <c r="O132" s="48"/>
    </row>
    <row r="133" spans="1:15" ht="16.5" customHeight="1" x14ac:dyDescent="0.15">
      <c r="A133" s="41">
        <v>11</v>
      </c>
      <c r="B133" s="41" t="s">
        <v>13524</v>
      </c>
      <c r="C133" s="74" t="s">
        <v>13525</v>
      </c>
      <c r="D133" s="72"/>
      <c r="F133" s="755" t="s">
        <v>400</v>
      </c>
      <c r="G133" s="221" t="s">
        <v>398</v>
      </c>
      <c r="H133" s="50">
        <v>0.9</v>
      </c>
      <c r="I133" s="163"/>
      <c r="J133" s="45"/>
      <c r="K133" s="46"/>
      <c r="L133" s="709"/>
      <c r="M133" s="704"/>
      <c r="N133" s="47">
        <f>ROUND((ROUND((_11_A通院２８．０*_11・基礎２),0)*_11・初任),0)</f>
        <v>738</v>
      </c>
      <c r="O133" s="48"/>
    </row>
    <row r="134" spans="1:15" ht="16.5" customHeight="1" x14ac:dyDescent="0.15">
      <c r="A134" s="41">
        <v>11</v>
      </c>
      <c r="B134" s="41" t="s">
        <v>13526</v>
      </c>
      <c r="C134" s="74" t="s">
        <v>13527</v>
      </c>
      <c r="D134" s="72"/>
      <c r="F134" s="800"/>
      <c r="G134" s="37"/>
      <c r="H134" s="38"/>
      <c r="I134" s="282" t="s">
        <v>397</v>
      </c>
      <c r="J134" s="218" t="s">
        <v>398</v>
      </c>
      <c r="K134" s="189">
        <v>1</v>
      </c>
      <c r="L134" s="240" t="s">
        <v>398</v>
      </c>
      <c r="M134" s="38">
        <f>_11・初任</f>
        <v>0.7</v>
      </c>
      <c r="N134" s="47">
        <f>ROUND((ROUND((ROUND((_11_A通院２８．０*_11・基礎２),0)*_11・２人),0)*_11・初任),0)</f>
        <v>738</v>
      </c>
      <c r="O134" s="48"/>
    </row>
    <row r="135" spans="1:15" ht="16.5" customHeight="1" x14ac:dyDescent="0.15">
      <c r="A135" s="41">
        <v>11</v>
      </c>
      <c r="B135" s="41">
        <v>7175</v>
      </c>
      <c r="C135" s="74" t="s">
        <v>13528</v>
      </c>
      <c r="D135" s="707" t="s">
        <v>607</v>
      </c>
      <c r="E135" s="798"/>
      <c r="F135" s="53"/>
      <c r="G135" s="49"/>
      <c r="H135" s="50"/>
      <c r="I135" s="163"/>
      <c r="J135" s="45"/>
      <c r="K135" s="46"/>
      <c r="L135" s="53"/>
      <c r="M135" s="50"/>
      <c r="N135" s="47">
        <f>_11_A通院２８．５</f>
        <v>1240</v>
      </c>
      <c r="O135" s="48"/>
    </row>
    <row r="136" spans="1:15" ht="16.5" customHeight="1" x14ac:dyDescent="0.15">
      <c r="A136" s="41">
        <v>11</v>
      </c>
      <c r="B136" s="41">
        <v>7176</v>
      </c>
      <c r="C136" s="74" t="s">
        <v>13529</v>
      </c>
      <c r="D136" s="799"/>
      <c r="E136" s="796"/>
      <c r="F136" s="43"/>
      <c r="G136" s="37"/>
      <c r="H136" s="38"/>
      <c r="I136" s="282" t="s">
        <v>397</v>
      </c>
      <c r="J136" s="218" t="s">
        <v>398</v>
      </c>
      <c r="K136" s="189">
        <v>1</v>
      </c>
      <c r="L136" s="35"/>
      <c r="N136" s="47">
        <f>ROUND((_11_A通院２８．５*_11・２人),0)</f>
        <v>1240</v>
      </c>
      <c r="O136" s="48"/>
    </row>
    <row r="137" spans="1:15" ht="16.5" customHeight="1" x14ac:dyDescent="0.15">
      <c r="A137" s="41">
        <v>11</v>
      </c>
      <c r="B137" s="41">
        <v>7177</v>
      </c>
      <c r="C137" s="74" t="s">
        <v>13530</v>
      </c>
      <c r="D137" s="799"/>
      <c r="E137" s="796"/>
      <c r="F137" s="755" t="s">
        <v>400</v>
      </c>
      <c r="G137" s="221" t="s">
        <v>398</v>
      </c>
      <c r="H137" s="50">
        <v>0.9</v>
      </c>
      <c r="I137" s="163"/>
      <c r="J137" s="45"/>
      <c r="K137" s="46"/>
      <c r="L137" s="35"/>
      <c r="N137" s="47">
        <f>ROUND((_11_A通院２８．５*_11・基礎２),0)</f>
        <v>1116</v>
      </c>
      <c r="O137" s="48"/>
    </row>
    <row r="138" spans="1:15" ht="16.5" customHeight="1" x14ac:dyDescent="0.15">
      <c r="A138" s="41">
        <v>11</v>
      </c>
      <c r="B138" s="41">
        <v>7178</v>
      </c>
      <c r="C138" s="74" t="s">
        <v>13531</v>
      </c>
      <c r="D138" s="274">
        <f>_11_A通院２８．５</f>
        <v>1240</v>
      </c>
      <c r="E138" s="10" t="s">
        <v>392</v>
      </c>
      <c r="F138" s="800"/>
      <c r="G138" s="37"/>
      <c r="H138" s="38"/>
      <c r="I138" s="282" t="s">
        <v>397</v>
      </c>
      <c r="J138" s="218" t="s">
        <v>398</v>
      </c>
      <c r="K138" s="189">
        <v>1</v>
      </c>
      <c r="L138" s="35"/>
      <c r="N138" s="47">
        <f>ROUND((ROUND((_11_A通院２８．５*_11・基礎２),0)*_11・２人),0)</f>
        <v>1116</v>
      </c>
      <c r="O138" s="48"/>
    </row>
    <row r="139" spans="1:15" ht="16.5" customHeight="1" x14ac:dyDescent="0.15">
      <c r="A139" s="41">
        <v>11</v>
      </c>
      <c r="B139" s="41" t="s">
        <v>13532</v>
      </c>
      <c r="C139" s="74" t="s">
        <v>13533</v>
      </c>
      <c r="D139" s="72"/>
      <c r="F139" s="53"/>
      <c r="G139" s="49"/>
      <c r="H139" s="50"/>
      <c r="I139" s="163"/>
      <c r="J139" s="45"/>
      <c r="K139" s="46"/>
      <c r="L139" s="707" t="s">
        <v>404</v>
      </c>
      <c r="M139" s="708"/>
      <c r="N139" s="47">
        <f>ROUND((_11_A通院２８．５*_11・初任),0)</f>
        <v>868</v>
      </c>
      <c r="O139" s="48"/>
    </row>
    <row r="140" spans="1:15" ht="16.5" customHeight="1" x14ac:dyDescent="0.15">
      <c r="A140" s="41">
        <v>11</v>
      </c>
      <c r="B140" s="41" t="s">
        <v>13534</v>
      </c>
      <c r="C140" s="74" t="s">
        <v>13535</v>
      </c>
      <c r="D140" s="72"/>
      <c r="F140" s="43"/>
      <c r="G140" s="37"/>
      <c r="H140" s="38"/>
      <c r="I140" s="282" t="s">
        <v>397</v>
      </c>
      <c r="J140" s="218" t="s">
        <v>398</v>
      </c>
      <c r="K140" s="189">
        <v>1</v>
      </c>
      <c r="L140" s="709"/>
      <c r="M140" s="704"/>
      <c r="N140" s="47">
        <f>ROUND((ROUND((_11_A通院２８．５*_11・２人),0)*_11・初任),0)</f>
        <v>868</v>
      </c>
      <c r="O140" s="48"/>
    </row>
    <row r="141" spans="1:15" ht="16.5" customHeight="1" x14ac:dyDescent="0.15">
      <c r="A141" s="41">
        <v>11</v>
      </c>
      <c r="B141" s="41" t="s">
        <v>13536</v>
      </c>
      <c r="C141" s="74" t="s">
        <v>13537</v>
      </c>
      <c r="D141" s="72"/>
      <c r="F141" s="755" t="s">
        <v>400</v>
      </c>
      <c r="G141" s="221" t="s">
        <v>398</v>
      </c>
      <c r="H141" s="50">
        <v>0.9</v>
      </c>
      <c r="I141" s="163"/>
      <c r="J141" s="45"/>
      <c r="K141" s="46"/>
      <c r="L141" s="709"/>
      <c r="M141" s="704"/>
      <c r="N141" s="47">
        <f>ROUND((ROUND((_11_A通院２８．５*_11・基礎２),0)*_11・初任),0)</f>
        <v>781</v>
      </c>
      <c r="O141" s="48"/>
    </row>
    <row r="142" spans="1:15" ht="16.5" customHeight="1" x14ac:dyDescent="0.15">
      <c r="A142" s="41">
        <v>11</v>
      </c>
      <c r="B142" s="41" t="s">
        <v>13538</v>
      </c>
      <c r="C142" s="74" t="s">
        <v>13539</v>
      </c>
      <c r="D142" s="72"/>
      <c r="F142" s="800"/>
      <c r="G142" s="37"/>
      <c r="H142" s="38"/>
      <c r="I142" s="282" t="s">
        <v>397</v>
      </c>
      <c r="J142" s="218" t="s">
        <v>398</v>
      </c>
      <c r="K142" s="189">
        <v>1</v>
      </c>
      <c r="L142" s="240" t="s">
        <v>398</v>
      </c>
      <c r="M142" s="38">
        <f>_11・初任</f>
        <v>0.7</v>
      </c>
      <c r="N142" s="47">
        <f>ROUND((ROUND((ROUND((_11_A通院２８．５*_11・基礎２),0)*_11・２人),0)*_11・初任),0)</f>
        <v>781</v>
      </c>
      <c r="O142" s="48"/>
    </row>
    <row r="143" spans="1:15" ht="16.5" customHeight="1" x14ac:dyDescent="0.15">
      <c r="A143" s="41">
        <v>11</v>
      </c>
      <c r="B143" s="41">
        <v>7179</v>
      </c>
      <c r="C143" s="74" t="s">
        <v>13540</v>
      </c>
      <c r="D143" s="707" t="s">
        <v>620</v>
      </c>
      <c r="E143" s="798"/>
      <c r="F143" s="53"/>
      <c r="G143" s="49"/>
      <c r="H143" s="50"/>
      <c r="I143" s="163"/>
      <c r="J143" s="45"/>
      <c r="K143" s="46"/>
      <c r="L143" s="53"/>
      <c r="M143" s="50"/>
      <c r="N143" s="47">
        <f>_11_A通院２９．０</f>
        <v>1309</v>
      </c>
      <c r="O143" s="48"/>
    </row>
    <row r="144" spans="1:15" ht="16.5" customHeight="1" x14ac:dyDescent="0.15">
      <c r="A144" s="41">
        <v>11</v>
      </c>
      <c r="B144" s="41">
        <v>7180</v>
      </c>
      <c r="C144" s="74" t="s">
        <v>13541</v>
      </c>
      <c r="D144" s="799"/>
      <c r="E144" s="796"/>
      <c r="F144" s="43"/>
      <c r="G144" s="37"/>
      <c r="H144" s="38"/>
      <c r="I144" s="282" t="s">
        <v>397</v>
      </c>
      <c r="J144" s="218" t="s">
        <v>398</v>
      </c>
      <c r="K144" s="189">
        <v>1</v>
      </c>
      <c r="L144" s="35"/>
      <c r="N144" s="47">
        <f>ROUND((_11_A通院２９．０*_11・２人),0)</f>
        <v>1309</v>
      </c>
      <c r="O144" s="48"/>
    </row>
    <row r="145" spans="1:15" ht="16.5" customHeight="1" x14ac:dyDescent="0.15">
      <c r="A145" s="41">
        <v>11</v>
      </c>
      <c r="B145" s="41">
        <v>7181</v>
      </c>
      <c r="C145" s="74" t="s">
        <v>13542</v>
      </c>
      <c r="D145" s="799"/>
      <c r="E145" s="796"/>
      <c r="F145" s="755" t="s">
        <v>400</v>
      </c>
      <c r="G145" s="221" t="s">
        <v>398</v>
      </c>
      <c r="H145" s="50">
        <v>0.9</v>
      </c>
      <c r="I145" s="163"/>
      <c r="J145" s="45"/>
      <c r="K145" s="46"/>
      <c r="L145" s="35"/>
      <c r="N145" s="47">
        <f>ROUND((_11_A通院２９．０*_11・基礎２),0)</f>
        <v>1178</v>
      </c>
      <c r="O145" s="48"/>
    </row>
    <row r="146" spans="1:15" ht="16.5" customHeight="1" x14ac:dyDescent="0.15">
      <c r="A146" s="41">
        <v>11</v>
      </c>
      <c r="B146" s="41">
        <v>7182</v>
      </c>
      <c r="C146" s="74" t="s">
        <v>13543</v>
      </c>
      <c r="D146" s="274">
        <f>_11_A通院２９．０</f>
        <v>1309</v>
      </c>
      <c r="E146" s="10" t="s">
        <v>392</v>
      </c>
      <c r="F146" s="800"/>
      <c r="G146" s="37"/>
      <c r="H146" s="38"/>
      <c r="I146" s="282" t="s">
        <v>397</v>
      </c>
      <c r="J146" s="218" t="s">
        <v>398</v>
      </c>
      <c r="K146" s="189">
        <v>1</v>
      </c>
      <c r="L146" s="35"/>
      <c r="N146" s="47">
        <f>ROUND((ROUND((_11_A通院２９．０*_11・基礎２),0)*_11・２人),0)</f>
        <v>1178</v>
      </c>
      <c r="O146" s="48"/>
    </row>
    <row r="147" spans="1:15" ht="16.5" customHeight="1" x14ac:dyDescent="0.15">
      <c r="A147" s="41">
        <v>11</v>
      </c>
      <c r="B147" s="41" t="s">
        <v>13544</v>
      </c>
      <c r="C147" s="74" t="s">
        <v>13545</v>
      </c>
      <c r="D147" s="72"/>
      <c r="F147" s="53"/>
      <c r="G147" s="49"/>
      <c r="H147" s="50"/>
      <c r="I147" s="163"/>
      <c r="J147" s="45"/>
      <c r="K147" s="46"/>
      <c r="L147" s="707" t="s">
        <v>404</v>
      </c>
      <c r="M147" s="708"/>
      <c r="N147" s="47">
        <f>ROUND((_11_A通院２９．０*_11・初任),0)</f>
        <v>916</v>
      </c>
      <c r="O147" s="48"/>
    </row>
    <row r="148" spans="1:15" ht="16.5" customHeight="1" x14ac:dyDescent="0.15">
      <c r="A148" s="41">
        <v>11</v>
      </c>
      <c r="B148" s="41" t="s">
        <v>13546</v>
      </c>
      <c r="C148" s="74" t="s">
        <v>13547</v>
      </c>
      <c r="D148" s="72"/>
      <c r="F148" s="43"/>
      <c r="G148" s="37"/>
      <c r="H148" s="38"/>
      <c r="I148" s="282" t="s">
        <v>397</v>
      </c>
      <c r="J148" s="218" t="s">
        <v>398</v>
      </c>
      <c r="K148" s="189">
        <v>1</v>
      </c>
      <c r="L148" s="709"/>
      <c r="M148" s="704"/>
      <c r="N148" s="47">
        <f>ROUND((ROUND((_11_A通院２９．０*_11・２人),0)*_11・初任),0)</f>
        <v>916</v>
      </c>
      <c r="O148" s="48"/>
    </row>
    <row r="149" spans="1:15" ht="16.5" customHeight="1" x14ac:dyDescent="0.15">
      <c r="A149" s="41">
        <v>11</v>
      </c>
      <c r="B149" s="41" t="s">
        <v>13548</v>
      </c>
      <c r="C149" s="74" t="s">
        <v>13549</v>
      </c>
      <c r="D149" s="72"/>
      <c r="F149" s="755" t="s">
        <v>400</v>
      </c>
      <c r="G149" s="221" t="s">
        <v>398</v>
      </c>
      <c r="H149" s="50">
        <v>0.9</v>
      </c>
      <c r="I149" s="163"/>
      <c r="J149" s="45"/>
      <c r="K149" s="46"/>
      <c r="L149" s="709"/>
      <c r="M149" s="704"/>
      <c r="N149" s="47">
        <f>ROUND((ROUND((_11_A通院２９．０*_11・基礎２),0)*_11・初任),0)</f>
        <v>825</v>
      </c>
      <c r="O149" s="48"/>
    </row>
    <row r="150" spans="1:15" ht="16.5" customHeight="1" x14ac:dyDescent="0.15">
      <c r="A150" s="41">
        <v>11</v>
      </c>
      <c r="B150" s="41" t="s">
        <v>13550</v>
      </c>
      <c r="C150" s="74" t="s">
        <v>13551</v>
      </c>
      <c r="D150" s="122"/>
      <c r="E150" s="37"/>
      <c r="F150" s="800"/>
      <c r="G150" s="37"/>
      <c r="H150" s="38"/>
      <c r="I150" s="282" t="s">
        <v>397</v>
      </c>
      <c r="J150" s="218" t="s">
        <v>398</v>
      </c>
      <c r="K150" s="189">
        <v>1</v>
      </c>
      <c r="L150" s="240" t="s">
        <v>398</v>
      </c>
      <c r="M150" s="38">
        <f>_11・初任</f>
        <v>0.7</v>
      </c>
      <c r="N150" s="47">
        <f>ROUND((ROUND((ROUND((_11_A通院２９．０*_11・基礎２),0)*_11・２人),0)*_11・初任),0)</f>
        <v>825</v>
      </c>
      <c r="O150" s="63"/>
    </row>
    <row r="151" spans="1:15" ht="16.5" customHeight="1" x14ac:dyDescent="0.15">
      <c r="A151" s="33">
        <v>11</v>
      </c>
      <c r="B151" s="33">
        <v>7183</v>
      </c>
      <c r="C151" s="34" t="s">
        <v>13552</v>
      </c>
      <c r="D151" s="709" t="s">
        <v>633</v>
      </c>
      <c r="E151" s="796"/>
      <c r="F151" s="35"/>
      <c r="I151" s="43"/>
      <c r="J151" s="37"/>
      <c r="K151" s="38"/>
      <c r="L151" s="35"/>
      <c r="N151" s="39">
        <f>_11_A通院２９．５</f>
        <v>1378</v>
      </c>
      <c r="O151" s="48"/>
    </row>
    <row r="152" spans="1:15" ht="16.5" customHeight="1" x14ac:dyDescent="0.15">
      <c r="A152" s="41">
        <v>11</v>
      </c>
      <c r="B152" s="41">
        <v>7184</v>
      </c>
      <c r="C152" s="74" t="s">
        <v>13553</v>
      </c>
      <c r="D152" s="799"/>
      <c r="E152" s="796"/>
      <c r="F152" s="43"/>
      <c r="G152" s="37"/>
      <c r="H152" s="38"/>
      <c r="I152" s="282" t="s">
        <v>397</v>
      </c>
      <c r="J152" s="218" t="s">
        <v>398</v>
      </c>
      <c r="K152" s="189">
        <v>1</v>
      </c>
      <c r="L152" s="35"/>
      <c r="N152" s="47">
        <f>ROUND((_11_A通院２９．５*_11・２人),0)</f>
        <v>1378</v>
      </c>
      <c r="O152" s="48"/>
    </row>
    <row r="153" spans="1:15" ht="16.5" customHeight="1" x14ac:dyDescent="0.15">
      <c r="A153" s="41">
        <v>11</v>
      </c>
      <c r="B153" s="41">
        <v>7185</v>
      </c>
      <c r="C153" s="74" t="s">
        <v>13554</v>
      </c>
      <c r="D153" s="799"/>
      <c r="E153" s="796"/>
      <c r="F153" s="755" t="s">
        <v>400</v>
      </c>
      <c r="G153" s="221" t="s">
        <v>398</v>
      </c>
      <c r="H153" s="50">
        <v>0.9</v>
      </c>
      <c r="I153" s="163"/>
      <c r="J153" s="45"/>
      <c r="K153" s="46"/>
      <c r="L153" s="35"/>
      <c r="N153" s="47">
        <f>ROUND((_11_A通院２９．５*_11・基礎２),0)</f>
        <v>1240</v>
      </c>
      <c r="O153" s="48"/>
    </row>
    <row r="154" spans="1:15" ht="16.5" customHeight="1" x14ac:dyDescent="0.15">
      <c r="A154" s="41">
        <v>11</v>
      </c>
      <c r="B154" s="41">
        <v>7186</v>
      </c>
      <c r="C154" s="74" t="s">
        <v>13555</v>
      </c>
      <c r="D154" s="274">
        <f>_11_A通院２９．５</f>
        <v>1378</v>
      </c>
      <c r="E154" s="10" t="s">
        <v>392</v>
      </c>
      <c r="F154" s="800"/>
      <c r="G154" s="37"/>
      <c r="H154" s="38"/>
      <c r="I154" s="282" t="s">
        <v>397</v>
      </c>
      <c r="J154" s="218" t="s">
        <v>398</v>
      </c>
      <c r="K154" s="189">
        <v>1</v>
      </c>
      <c r="L154" s="35"/>
      <c r="N154" s="47">
        <f>ROUND((ROUND((_11_A通院２９．５*_11・基礎２),0)*_11・２人),0)</f>
        <v>1240</v>
      </c>
      <c r="O154" s="48"/>
    </row>
    <row r="155" spans="1:15" ht="16.5" customHeight="1" x14ac:dyDescent="0.15">
      <c r="A155" s="41">
        <v>11</v>
      </c>
      <c r="B155" s="41" t="s">
        <v>13556</v>
      </c>
      <c r="C155" s="74" t="s">
        <v>13557</v>
      </c>
      <c r="D155" s="72"/>
      <c r="F155" s="53"/>
      <c r="G155" s="49"/>
      <c r="H155" s="50"/>
      <c r="I155" s="163"/>
      <c r="J155" s="45"/>
      <c r="K155" s="46"/>
      <c r="L155" s="707" t="s">
        <v>404</v>
      </c>
      <c r="M155" s="708"/>
      <c r="N155" s="47">
        <f>ROUND((_11_A通院２９．５*_11・初任),0)</f>
        <v>965</v>
      </c>
      <c r="O155" s="48"/>
    </row>
    <row r="156" spans="1:15" ht="16.5" customHeight="1" x14ac:dyDescent="0.15">
      <c r="A156" s="41">
        <v>11</v>
      </c>
      <c r="B156" s="41" t="s">
        <v>13558</v>
      </c>
      <c r="C156" s="74" t="s">
        <v>13559</v>
      </c>
      <c r="D156" s="72"/>
      <c r="F156" s="43"/>
      <c r="G156" s="37"/>
      <c r="H156" s="38"/>
      <c r="I156" s="282" t="s">
        <v>397</v>
      </c>
      <c r="J156" s="218" t="s">
        <v>398</v>
      </c>
      <c r="K156" s="189">
        <v>1</v>
      </c>
      <c r="L156" s="709"/>
      <c r="M156" s="704"/>
      <c r="N156" s="47">
        <f>ROUND((ROUND((_11_A通院２９．５*_11・２人),0)*_11・初任),0)</f>
        <v>965</v>
      </c>
      <c r="O156" s="48"/>
    </row>
    <row r="157" spans="1:15" ht="16.5" customHeight="1" x14ac:dyDescent="0.15">
      <c r="A157" s="41">
        <v>11</v>
      </c>
      <c r="B157" s="41" t="s">
        <v>13560</v>
      </c>
      <c r="C157" s="74" t="s">
        <v>13561</v>
      </c>
      <c r="D157" s="72"/>
      <c r="F157" s="755" t="s">
        <v>400</v>
      </c>
      <c r="G157" s="221" t="s">
        <v>398</v>
      </c>
      <c r="H157" s="50">
        <v>0.9</v>
      </c>
      <c r="I157" s="163"/>
      <c r="J157" s="45"/>
      <c r="K157" s="46"/>
      <c r="L157" s="709"/>
      <c r="M157" s="704"/>
      <c r="N157" s="47">
        <f>ROUND((ROUND((_11_A通院２９．５*_11・基礎２),0)*_11・初任),0)</f>
        <v>868</v>
      </c>
      <c r="O157" s="48"/>
    </row>
    <row r="158" spans="1:15" ht="16.5" customHeight="1" x14ac:dyDescent="0.15">
      <c r="A158" s="41">
        <v>11</v>
      </c>
      <c r="B158" s="41" t="s">
        <v>13562</v>
      </c>
      <c r="C158" s="74" t="s">
        <v>13563</v>
      </c>
      <c r="D158" s="72"/>
      <c r="F158" s="800"/>
      <c r="G158" s="37"/>
      <c r="H158" s="38"/>
      <c r="I158" s="282" t="s">
        <v>397</v>
      </c>
      <c r="J158" s="218" t="s">
        <v>398</v>
      </c>
      <c r="K158" s="189">
        <v>1</v>
      </c>
      <c r="L158" s="240" t="s">
        <v>398</v>
      </c>
      <c r="M158" s="38">
        <f>_11・初任</f>
        <v>0.7</v>
      </c>
      <c r="N158" s="47">
        <f>ROUND((ROUND((ROUND((_11_A通院２９．５*_11・基礎２),0)*_11・２人),0)*_11・初任),0)</f>
        <v>868</v>
      </c>
      <c r="O158" s="48"/>
    </row>
    <row r="159" spans="1:15" ht="16.5" customHeight="1" x14ac:dyDescent="0.15">
      <c r="A159" s="41">
        <v>11</v>
      </c>
      <c r="B159" s="41">
        <v>7187</v>
      </c>
      <c r="C159" s="74" t="s">
        <v>13564</v>
      </c>
      <c r="D159" s="707" t="s">
        <v>646</v>
      </c>
      <c r="E159" s="798"/>
      <c r="F159" s="53"/>
      <c r="G159" s="49"/>
      <c r="H159" s="50"/>
      <c r="I159" s="163"/>
      <c r="J159" s="45"/>
      <c r="K159" s="46"/>
      <c r="L159" s="53"/>
      <c r="M159" s="50"/>
      <c r="N159" s="47">
        <f>_11_A通院２１０．０</f>
        <v>1447</v>
      </c>
      <c r="O159" s="48"/>
    </row>
    <row r="160" spans="1:15" ht="16.5" customHeight="1" x14ac:dyDescent="0.15">
      <c r="A160" s="41">
        <v>11</v>
      </c>
      <c r="B160" s="41">
        <v>7188</v>
      </c>
      <c r="C160" s="74" t="s">
        <v>13565</v>
      </c>
      <c r="D160" s="799"/>
      <c r="E160" s="796"/>
      <c r="F160" s="43"/>
      <c r="G160" s="37"/>
      <c r="H160" s="38"/>
      <c r="I160" s="282" t="s">
        <v>397</v>
      </c>
      <c r="J160" s="218" t="s">
        <v>398</v>
      </c>
      <c r="K160" s="189">
        <v>1</v>
      </c>
      <c r="L160" s="35"/>
      <c r="N160" s="47">
        <f>ROUND((_11_A通院２１０．０*_11・２人),0)</f>
        <v>1447</v>
      </c>
      <c r="O160" s="48"/>
    </row>
    <row r="161" spans="1:15" ht="16.5" customHeight="1" x14ac:dyDescent="0.15">
      <c r="A161" s="41">
        <v>11</v>
      </c>
      <c r="B161" s="41">
        <v>7189</v>
      </c>
      <c r="C161" s="74" t="s">
        <v>13566</v>
      </c>
      <c r="D161" s="799"/>
      <c r="E161" s="796"/>
      <c r="F161" s="755" t="s">
        <v>400</v>
      </c>
      <c r="G161" s="221" t="s">
        <v>398</v>
      </c>
      <c r="H161" s="50">
        <v>0.9</v>
      </c>
      <c r="I161" s="163"/>
      <c r="J161" s="45"/>
      <c r="K161" s="46"/>
      <c r="L161" s="35"/>
      <c r="N161" s="47">
        <f>ROUND((_11_A通院２１０．０*_11・基礎２),0)</f>
        <v>1302</v>
      </c>
      <c r="O161" s="48"/>
    </row>
    <row r="162" spans="1:15" ht="16.5" customHeight="1" x14ac:dyDescent="0.15">
      <c r="A162" s="41">
        <v>11</v>
      </c>
      <c r="B162" s="41">
        <v>7190</v>
      </c>
      <c r="C162" s="74" t="s">
        <v>13567</v>
      </c>
      <c r="D162" s="274">
        <f>_11_A通院２１０．０</f>
        <v>1447</v>
      </c>
      <c r="E162" s="10" t="s">
        <v>392</v>
      </c>
      <c r="F162" s="800"/>
      <c r="G162" s="37"/>
      <c r="H162" s="38"/>
      <c r="I162" s="282" t="s">
        <v>397</v>
      </c>
      <c r="J162" s="218" t="s">
        <v>398</v>
      </c>
      <c r="K162" s="189">
        <v>1</v>
      </c>
      <c r="L162" s="35"/>
      <c r="N162" s="47">
        <f>ROUND((ROUND((_11_A通院２１０．０*_11・基礎２),0)*_11・２人),0)</f>
        <v>1302</v>
      </c>
      <c r="O162" s="48"/>
    </row>
    <row r="163" spans="1:15" ht="16.5" customHeight="1" x14ac:dyDescent="0.15">
      <c r="A163" s="41">
        <v>11</v>
      </c>
      <c r="B163" s="41" t="s">
        <v>13568</v>
      </c>
      <c r="C163" s="74" t="s">
        <v>13569</v>
      </c>
      <c r="D163" s="72"/>
      <c r="F163" s="53"/>
      <c r="G163" s="49"/>
      <c r="H163" s="50"/>
      <c r="I163" s="163"/>
      <c r="J163" s="45"/>
      <c r="K163" s="46"/>
      <c r="L163" s="707" t="s">
        <v>404</v>
      </c>
      <c r="M163" s="708"/>
      <c r="N163" s="47">
        <f>ROUND((_11_A通院２１０．０*_11・初任),0)</f>
        <v>1013</v>
      </c>
      <c r="O163" s="48"/>
    </row>
    <row r="164" spans="1:15" ht="16.5" customHeight="1" x14ac:dyDescent="0.15">
      <c r="A164" s="41">
        <v>11</v>
      </c>
      <c r="B164" s="41" t="s">
        <v>13570</v>
      </c>
      <c r="C164" s="74" t="s">
        <v>13571</v>
      </c>
      <c r="D164" s="72"/>
      <c r="F164" s="43"/>
      <c r="G164" s="37"/>
      <c r="H164" s="38"/>
      <c r="I164" s="282" t="s">
        <v>397</v>
      </c>
      <c r="J164" s="218" t="s">
        <v>398</v>
      </c>
      <c r="K164" s="189">
        <v>1</v>
      </c>
      <c r="L164" s="709"/>
      <c r="M164" s="704"/>
      <c r="N164" s="47">
        <f>ROUND((ROUND((_11_A通院２１０．０*_11・２人),0)*_11・初任),0)</f>
        <v>1013</v>
      </c>
      <c r="O164" s="48"/>
    </row>
    <row r="165" spans="1:15" ht="16.5" customHeight="1" x14ac:dyDescent="0.15">
      <c r="A165" s="41">
        <v>11</v>
      </c>
      <c r="B165" s="41" t="s">
        <v>13572</v>
      </c>
      <c r="C165" s="74" t="s">
        <v>13573</v>
      </c>
      <c r="D165" s="72"/>
      <c r="F165" s="755" t="s">
        <v>400</v>
      </c>
      <c r="G165" s="221" t="s">
        <v>398</v>
      </c>
      <c r="H165" s="50">
        <v>0.9</v>
      </c>
      <c r="I165" s="163"/>
      <c r="J165" s="45"/>
      <c r="K165" s="46"/>
      <c r="L165" s="709"/>
      <c r="M165" s="704"/>
      <c r="N165" s="47">
        <f>ROUND((ROUND((_11_A通院２１０．０*_11・基礎２),0)*_11・初任),0)</f>
        <v>911</v>
      </c>
      <c r="O165" s="48"/>
    </row>
    <row r="166" spans="1:15" ht="16.5" customHeight="1" x14ac:dyDescent="0.15">
      <c r="A166" s="41">
        <v>11</v>
      </c>
      <c r="B166" s="41" t="s">
        <v>13574</v>
      </c>
      <c r="C166" s="74" t="s">
        <v>13575</v>
      </c>
      <c r="D166" s="72"/>
      <c r="F166" s="800"/>
      <c r="G166" s="37"/>
      <c r="H166" s="38"/>
      <c r="I166" s="282" t="s">
        <v>397</v>
      </c>
      <c r="J166" s="218" t="s">
        <v>398</v>
      </c>
      <c r="K166" s="189">
        <v>1</v>
      </c>
      <c r="L166" s="240" t="s">
        <v>398</v>
      </c>
      <c r="M166" s="38">
        <f>_11・初任</f>
        <v>0.7</v>
      </c>
      <c r="N166" s="47">
        <f>ROUND((ROUND((ROUND((_11_A通院２１０．０*_11・基礎２),0)*_11・２人),0)*_11・初任),0)</f>
        <v>911</v>
      </c>
      <c r="O166" s="48"/>
    </row>
    <row r="167" spans="1:15" ht="16.5" customHeight="1" x14ac:dyDescent="0.15">
      <c r="A167" s="41">
        <v>11</v>
      </c>
      <c r="B167" s="41">
        <v>7191</v>
      </c>
      <c r="C167" s="74" t="s">
        <v>13576</v>
      </c>
      <c r="D167" s="707" t="s">
        <v>659</v>
      </c>
      <c r="E167" s="798"/>
      <c r="F167" s="53"/>
      <c r="G167" s="49"/>
      <c r="H167" s="50"/>
      <c r="I167" s="163"/>
      <c r="J167" s="45"/>
      <c r="K167" s="46"/>
      <c r="L167" s="53"/>
      <c r="M167" s="50"/>
      <c r="N167" s="47">
        <f>_11_A通院２１０．５</f>
        <v>1516</v>
      </c>
      <c r="O167" s="48"/>
    </row>
    <row r="168" spans="1:15" ht="16.5" customHeight="1" x14ac:dyDescent="0.15">
      <c r="A168" s="41">
        <v>11</v>
      </c>
      <c r="B168" s="41">
        <v>7192</v>
      </c>
      <c r="C168" s="74" t="s">
        <v>13577</v>
      </c>
      <c r="D168" s="799"/>
      <c r="E168" s="796"/>
      <c r="F168" s="43"/>
      <c r="G168" s="37"/>
      <c r="H168" s="38"/>
      <c r="I168" s="282" t="s">
        <v>397</v>
      </c>
      <c r="J168" s="218" t="s">
        <v>398</v>
      </c>
      <c r="K168" s="189">
        <v>1</v>
      </c>
      <c r="L168" s="35"/>
      <c r="N168" s="47">
        <f>ROUND((_11_A通院２１０．５*_11・２人),0)</f>
        <v>1516</v>
      </c>
      <c r="O168" s="48"/>
    </row>
    <row r="169" spans="1:15" ht="16.5" customHeight="1" x14ac:dyDescent="0.15">
      <c r="A169" s="41">
        <v>11</v>
      </c>
      <c r="B169" s="41">
        <v>7193</v>
      </c>
      <c r="C169" s="74" t="s">
        <v>13578</v>
      </c>
      <c r="D169" s="799"/>
      <c r="E169" s="796"/>
      <c r="F169" s="755" t="s">
        <v>400</v>
      </c>
      <c r="G169" s="221" t="s">
        <v>398</v>
      </c>
      <c r="H169" s="50">
        <v>0.9</v>
      </c>
      <c r="I169" s="163"/>
      <c r="J169" s="45"/>
      <c r="K169" s="46"/>
      <c r="L169" s="35"/>
      <c r="N169" s="47">
        <f>ROUND((_11_A通院２１０．５*_11・基礎２),0)</f>
        <v>1364</v>
      </c>
      <c r="O169" s="48"/>
    </row>
    <row r="170" spans="1:15" ht="16.5" customHeight="1" x14ac:dyDescent="0.15">
      <c r="A170" s="41">
        <v>11</v>
      </c>
      <c r="B170" s="41">
        <v>7194</v>
      </c>
      <c r="C170" s="74" t="s">
        <v>13579</v>
      </c>
      <c r="D170" s="274">
        <f>_11_A通院２１０．５</f>
        <v>1516</v>
      </c>
      <c r="E170" s="10" t="s">
        <v>392</v>
      </c>
      <c r="F170" s="800"/>
      <c r="G170" s="37"/>
      <c r="H170" s="38"/>
      <c r="I170" s="282" t="s">
        <v>397</v>
      </c>
      <c r="J170" s="218" t="s">
        <v>398</v>
      </c>
      <c r="K170" s="189">
        <v>1</v>
      </c>
      <c r="L170" s="35"/>
      <c r="N170" s="47">
        <f>ROUND((ROUND((_11_A通院２１０．５*_11・基礎２),0)*_11・２人),0)</f>
        <v>1364</v>
      </c>
      <c r="O170" s="48"/>
    </row>
    <row r="171" spans="1:15" ht="16.5" customHeight="1" x14ac:dyDescent="0.15">
      <c r="A171" s="41">
        <v>11</v>
      </c>
      <c r="B171" s="41" t="s">
        <v>13580</v>
      </c>
      <c r="C171" s="74" t="s">
        <v>13581</v>
      </c>
      <c r="D171" s="72"/>
      <c r="F171" s="53"/>
      <c r="G171" s="49"/>
      <c r="H171" s="50"/>
      <c r="I171" s="163"/>
      <c r="J171" s="45"/>
      <c r="K171" s="46"/>
      <c r="L171" s="707" t="s">
        <v>404</v>
      </c>
      <c r="M171" s="708"/>
      <c r="N171" s="47">
        <f>ROUND((_11_A通院２１０．５*_11・初任),0)</f>
        <v>1061</v>
      </c>
      <c r="O171" s="48"/>
    </row>
    <row r="172" spans="1:15" ht="16.5" customHeight="1" x14ac:dyDescent="0.15">
      <c r="A172" s="41">
        <v>11</v>
      </c>
      <c r="B172" s="41" t="s">
        <v>13582</v>
      </c>
      <c r="C172" s="74" t="s">
        <v>13583</v>
      </c>
      <c r="D172" s="72"/>
      <c r="F172" s="43"/>
      <c r="G172" s="37"/>
      <c r="H172" s="38"/>
      <c r="I172" s="282" t="s">
        <v>397</v>
      </c>
      <c r="J172" s="218" t="s">
        <v>398</v>
      </c>
      <c r="K172" s="189">
        <v>1</v>
      </c>
      <c r="L172" s="709"/>
      <c r="M172" s="704"/>
      <c r="N172" s="47">
        <f>ROUND((ROUND((_11_A通院２１０．５*_11・２人),0)*_11・初任),0)</f>
        <v>1061</v>
      </c>
      <c r="O172" s="48"/>
    </row>
    <row r="173" spans="1:15" ht="16.5" customHeight="1" x14ac:dyDescent="0.15">
      <c r="A173" s="41">
        <v>11</v>
      </c>
      <c r="B173" s="41" t="s">
        <v>13584</v>
      </c>
      <c r="C173" s="74" t="s">
        <v>13585</v>
      </c>
      <c r="D173" s="72"/>
      <c r="F173" s="755" t="s">
        <v>400</v>
      </c>
      <c r="G173" s="221" t="s">
        <v>398</v>
      </c>
      <c r="H173" s="50">
        <v>0.9</v>
      </c>
      <c r="I173" s="163"/>
      <c r="J173" s="45"/>
      <c r="K173" s="46"/>
      <c r="L173" s="709"/>
      <c r="M173" s="704"/>
      <c r="N173" s="47">
        <f>ROUND((ROUND((_11_A通院２１０．５*_11・基礎２),0)*_11・初任),0)</f>
        <v>955</v>
      </c>
      <c r="O173" s="48"/>
    </row>
    <row r="174" spans="1:15" ht="16.5" customHeight="1" x14ac:dyDescent="0.15">
      <c r="A174" s="41">
        <v>11</v>
      </c>
      <c r="B174" s="41" t="s">
        <v>13586</v>
      </c>
      <c r="C174" s="74" t="s">
        <v>13587</v>
      </c>
      <c r="D174" s="122"/>
      <c r="E174" s="37"/>
      <c r="F174" s="800"/>
      <c r="G174" s="37"/>
      <c r="H174" s="38"/>
      <c r="I174" s="282" t="s">
        <v>397</v>
      </c>
      <c r="J174" s="218" t="s">
        <v>398</v>
      </c>
      <c r="K174" s="189">
        <v>1</v>
      </c>
      <c r="L174" s="240" t="s">
        <v>398</v>
      </c>
      <c r="M174" s="38">
        <f>_11・初任</f>
        <v>0.7</v>
      </c>
      <c r="N174" s="47">
        <f>ROUND((ROUND((ROUND((_11_A通院２１０．５*_11・基礎２),0)*_11・２人),0)*_11・初任),0)</f>
        <v>955</v>
      </c>
      <c r="O174" s="63"/>
    </row>
    <row r="175" spans="1:15" ht="16.5" customHeight="1" x14ac:dyDescent="0.15"/>
    <row r="176" spans="1:15" ht="16.5" customHeight="1" x14ac:dyDescent="0.15"/>
  </sheetData>
  <mergeCells count="84">
    <mergeCell ref="L163:M165"/>
    <mergeCell ref="F165:F166"/>
    <mergeCell ref="D167:E169"/>
    <mergeCell ref="F169:F170"/>
    <mergeCell ref="L171:M173"/>
    <mergeCell ref="F173:F174"/>
    <mergeCell ref="D151:E153"/>
    <mergeCell ref="F153:F154"/>
    <mergeCell ref="L155:M157"/>
    <mergeCell ref="F157:F158"/>
    <mergeCell ref="D159:E161"/>
    <mergeCell ref="F161:F162"/>
    <mergeCell ref="L139:M141"/>
    <mergeCell ref="F141:F142"/>
    <mergeCell ref="D143:E145"/>
    <mergeCell ref="F145:F146"/>
    <mergeCell ref="L147:M149"/>
    <mergeCell ref="F149:F150"/>
    <mergeCell ref="D127:E129"/>
    <mergeCell ref="F129:F130"/>
    <mergeCell ref="L131:M133"/>
    <mergeCell ref="F133:F134"/>
    <mergeCell ref="D135:E137"/>
    <mergeCell ref="F137:F138"/>
    <mergeCell ref="L115:M117"/>
    <mergeCell ref="F117:F118"/>
    <mergeCell ref="D119:E121"/>
    <mergeCell ref="F121:F122"/>
    <mergeCell ref="L123:M125"/>
    <mergeCell ref="F125:F126"/>
    <mergeCell ref="D103:E105"/>
    <mergeCell ref="F105:F106"/>
    <mergeCell ref="L107:M109"/>
    <mergeCell ref="F109:F110"/>
    <mergeCell ref="D111:E113"/>
    <mergeCell ref="F113:F114"/>
    <mergeCell ref="L91:M93"/>
    <mergeCell ref="F93:F94"/>
    <mergeCell ref="D95:E97"/>
    <mergeCell ref="F97:F98"/>
    <mergeCell ref="L99:M101"/>
    <mergeCell ref="F101:F102"/>
    <mergeCell ref="D79:E81"/>
    <mergeCell ref="F81:F82"/>
    <mergeCell ref="L83:M85"/>
    <mergeCell ref="F85:F86"/>
    <mergeCell ref="D87:E89"/>
    <mergeCell ref="F89:F90"/>
    <mergeCell ref="L67:M69"/>
    <mergeCell ref="F69:F70"/>
    <mergeCell ref="D71:E73"/>
    <mergeCell ref="F73:F74"/>
    <mergeCell ref="L75:M77"/>
    <mergeCell ref="F77:F78"/>
    <mergeCell ref="D55:E57"/>
    <mergeCell ref="F57:F58"/>
    <mergeCell ref="L59:M61"/>
    <mergeCell ref="F61:F62"/>
    <mergeCell ref="D63:E65"/>
    <mergeCell ref="F65:F66"/>
    <mergeCell ref="L43:M45"/>
    <mergeCell ref="F45:F46"/>
    <mergeCell ref="D47:E49"/>
    <mergeCell ref="F49:F50"/>
    <mergeCell ref="L51:M53"/>
    <mergeCell ref="F53:F54"/>
    <mergeCell ref="D31:E33"/>
    <mergeCell ref="F33:F34"/>
    <mergeCell ref="L35:M37"/>
    <mergeCell ref="F37:F38"/>
    <mergeCell ref="D39:E41"/>
    <mergeCell ref="F41:F42"/>
    <mergeCell ref="L19:M21"/>
    <mergeCell ref="F21:F22"/>
    <mergeCell ref="D23:E25"/>
    <mergeCell ref="F25:F26"/>
    <mergeCell ref="L27:M29"/>
    <mergeCell ref="F29:F30"/>
    <mergeCell ref="D7:E9"/>
    <mergeCell ref="F9:F10"/>
    <mergeCell ref="L11:M13"/>
    <mergeCell ref="F13:F14"/>
    <mergeCell ref="D15:E17"/>
    <mergeCell ref="F17:F18"/>
  </mergeCells>
  <phoneticPr fontId="1"/>
  <printOptions horizontalCentered="1"/>
  <pageMargins left="0.70866141732283472" right="0.70866141732283472" top="0.74803149606299213" bottom="0.74803149606299213" header="0.31496062992125984" footer="0.31496062992125984"/>
  <pageSetup paperSize="9" scale="58" fitToHeight="0" orientation="portrait" r:id="rId1"/>
  <headerFooter>
    <oddHeader>&amp;R&amp;"ＭＳ Ｐゴシック"&amp;9居宅介護</oddHeader>
    <oddFooter>&amp;C&amp;"ＭＳ Ｐゴシック"&amp;14&amp;P</oddFooter>
  </headerFooter>
  <rowBreaks count="2" manualBreakCount="2">
    <brk id="78" max="14" man="1"/>
    <brk id="150" max="14"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5">
    <pageSetUpPr fitToPage="1"/>
  </sheetPr>
  <dimension ref="A1:R125"/>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0" customWidth="1"/>
    <col min="5" max="5" width="4.875" style="12" customWidth="1"/>
    <col min="6" max="6" width="11.5" style="12" customWidth="1"/>
    <col min="7" max="7" width="2.5" style="16" customWidth="1"/>
    <col min="8" max="8" width="4.5" style="13" bestFit="1" customWidth="1"/>
    <col min="9" max="9" width="26" style="12" customWidth="1"/>
    <col min="10" max="10" width="2.5" style="12" customWidth="1"/>
    <col min="11" max="11" width="5.5" style="13" bestFit="1" customWidth="1"/>
    <col min="12" max="12" width="2.5" style="12" customWidth="1"/>
    <col min="13" max="13" width="3.875" style="12" customWidth="1"/>
    <col min="14" max="14" width="4.5" style="13" bestFit="1" customWidth="1"/>
    <col min="15" max="15" width="9.875" style="12" customWidth="1"/>
    <col min="16" max="16" width="4.5" style="13" bestFit="1" customWidth="1"/>
    <col min="17" max="17" width="7.125" style="15" customWidth="1"/>
    <col min="18" max="18" width="8.5" style="16" customWidth="1"/>
    <col min="19" max="16384" width="8.875" style="12"/>
  </cols>
  <sheetData>
    <row r="1" spans="1:18" ht="17.100000000000001" customHeight="1" x14ac:dyDescent="0.15"/>
    <row r="2" spans="1:18" ht="17.100000000000001" customHeight="1" x14ac:dyDescent="0.15"/>
    <row r="3" spans="1:18" ht="17.100000000000001" customHeight="1" x14ac:dyDescent="0.15"/>
    <row r="4" spans="1:18" ht="17.100000000000001" customHeight="1" x14ac:dyDescent="0.15">
      <c r="B4" s="17" t="s">
        <v>13588</v>
      </c>
      <c r="D4" s="71"/>
    </row>
    <row r="5" spans="1:18" ht="16.5" customHeight="1" x14ac:dyDescent="0.15">
      <c r="A5" s="19" t="s">
        <v>384</v>
      </c>
      <c r="B5" s="20"/>
      <c r="C5" s="21" t="s">
        <v>385</v>
      </c>
      <c r="D5" s="235" t="s">
        <v>386</v>
      </c>
      <c r="E5" s="23"/>
      <c r="F5" s="23"/>
      <c r="G5" s="23"/>
      <c r="H5" s="24"/>
      <c r="I5" s="23"/>
      <c r="J5" s="23"/>
      <c r="K5" s="24"/>
      <c r="L5" s="23"/>
      <c r="M5" s="23"/>
      <c r="N5" s="24"/>
      <c r="O5" s="23"/>
      <c r="P5" s="24"/>
      <c r="Q5" s="25" t="s">
        <v>387</v>
      </c>
      <c r="R5" s="21" t="s">
        <v>388</v>
      </c>
    </row>
    <row r="6" spans="1:18" ht="16.5" customHeight="1" x14ac:dyDescent="0.15">
      <c r="A6" s="26" t="s">
        <v>389</v>
      </c>
      <c r="B6" s="26" t="s">
        <v>390</v>
      </c>
      <c r="C6" s="27"/>
      <c r="D6" s="159"/>
      <c r="E6" s="29"/>
      <c r="F6" s="29"/>
      <c r="G6" s="214"/>
      <c r="H6" s="30"/>
      <c r="I6" s="29"/>
      <c r="J6" s="29"/>
      <c r="K6" s="30"/>
      <c r="L6" s="29"/>
      <c r="M6" s="29"/>
      <c r="N6" s="30"/>
      <c r="O6" s="29"/>
      <c r="P6" s="30"/>
      <c r="Q6" s="31" t="s">
        <v>391</v>
      </c>
      <c r="R6" s="32" t="s">
        <v>392</v>
      </c>
    </row>
    <row r="7" spans="1:18" ht="16.5" customHeight="1" x14ac:dyDescent="0.15">
      <c r="A7" s="33">
        <v>11</v>
      </c>
      <c r="B7" s="33">
        <v>7195</v>
      </c>
      <c r="C7" s="34" t="s">
        <v>13589</v>
      </c>
      <c r="D7" s="709" t="s">
        <v>673</v>
      </c>
      <c r="E7" s="796"/>
      <c r="F7" s="35"/>
      <c r="I7" s="43"/>
      <c r="J7" s="37"/>
      <c r="K7" s="38"/>
      <c r="L7" s="35" t="s">
        <v>674</v>
      </c>
      <c r="O7" s="35"/>
      <c r="P7" s="234"/>
      <c r="Q7" s="39">
        <f>ROUND((_11_A通院２０．５*(1+_11・A早朝)),0)</f>
        <v>131</v>
      </c>
      <c r="R7" s="40" t="s">
        <v>395</v>
      </c>
    </row>
    <row r="8" spans="1:18" ht="16.5" customHeight="1" x14ac:dyDescent="0.15">
      <c r="A8" s="41">
        <v>11</v>
      </c>
      <c r="B8" s="41">
        <v>7196</v>
      </c>
      <c r="C8" s="74" t="s">
        <v>13590</v>
      </c>
      <c r="D8" s="799"/>
      <c r="E8" s="796"/>
      <c r="F8" s="43"/>
      <c r="G8" s="216"/>
      <c r="H8" s="38"/>
      <c r="I8" s="281" t="s">
        <v>397</v>
      </c>
      <c r="J8" s="218" t="s">
        <v>398</v>
      </c>
      <c r="K8" s="46">
        <v>1</v>
      </c>
      <c r="L8" s="258" t="s">
        <v>398</v>
      </c>
      <c r="M8" s="13">
        <v>0.25</v>
      </c>
      <c r="N8" s="704" t="s">
        <v>676</v>
      </c>
      <c r="O8" s="35"/>
      <c r="P8" s="234"/>
      <c r="Q8" s="47">
        <f>ROUND((ROUND((_11_A通院２０．５*_11・２人),0)*(1+_11・A早朝)),0)</f>
        <v>131</v>
      </c>
      <c r="R8" s="48"/>
    </row>
    <row r="9" spans="1:18" ht="16.5" customHeight="1" x14ac:dyDescent="0.15">
      <c r="A9" s="41">
        <v>11</v>
      </c>
      <c r="B9" s="41">
        <v>7197</v>
      </c>
      <c r="C9" s="74" t="s">
        <v>13591</v>
      </c>
      <c r="D9" s="799"/>
      <c r="E9" s="796"/>
      <c r="F9" s="752" t="s">
        <v>400</v>
      </c>
      <c r="G9" s="221" t="s">
        <v>398</v>
      </c>
      <c r="H9" s="50">
        <v>0.9</v>
      </c>
      <c r="I9" s="163"/>
      <c r="J9" s="45"/>
      <c r="K9" s="46"/>
      <c r="L9" s="35"/>
      <c r="N9" s="797"/>
      <c r="O9" s="35"/>
      <c r="P9" s="234"/>
      <c r="Q9" s="47">
        <f>ROUND((ROUND((_11_A通院２０．５*_11・基礎２),0)*(1+_11・A早朝)),0)</f>
        <v>119</v>
      </c>
      <c r="R9" s="48"/>
    </row>
    <row r="10" spans="1:18" ht="16.5" customHeight="1" x14ac:dyDescent="0.15">
      <c r="A10" s="41">
        <v>11</v>
      </c>
      <c r="B10" s="41">
        <v>7198</v>
      </c>
      <c r="C10" s="74" t="s">
        <v>13592</v>
      </c>
      <c r="D10" s="274">
        <f>_11_A通院２０．５</f>
        <v>105</v>
      </c>
      <c r="E10" s="10" t="s">
        <v>392</v>
      </c>
      <c r="F10" s="711"/>
      <c r="G10" s="216"/>
      <c r="H10" s="38"/>
      <c r="I10" s="281" t="s">
        <v>397</v>
      </c>
      <c r="J10" s="218" t="s">
        <v>398</v>
      </c>
      <c r="K10" s="189">
        <v>1</v>
      </c>
      <c r="L10" s="35"/>
      <c r="O10" s="35"/>
      <c r="P10" s="234"/>
      <c r="Q10" s="47">
        <f>ROUND((ROUND((ROUND((_11_A通院２０．５*_11・基礎２),0)*_11・２人),0)*(1+_11・A早朝)),0)</f>
        <v>119</v>
      </c>
      <c r="R10" s="48"/>
    </row>
    <row r="11" spans="1:18" ht="16.5" customHeight="1" x14ac:dyDescent="0.15">
      <c r="A11" s="41">
        <v>11</v>
      </c>
      <c r="B11" s="41" t="s">
        <v>13593</v>
      </c>
      <c r="C11" s="74" t="s">
        <v>13594</v>
      </c>
      <c r="D11" s="72"/>
      <c r="F11" s="53"/>
      <c r="G11" s="221"/>
      <c r="H11" s="50"/>
      <c r="I11" s="163"/>
      <c r="J11" s="45"/>
      <c r="K11" s="46"/>
      <c r="L11" s="35"/>
      <c r="O11" s="707" t="s">
        <v>404</v>
      </c>
      <c r="P11" s="708"/>
      <c r="Q11" s="47">
        <f>ROUND((ROUND((_11_A通院２０．５*(1+_11・A早朝)),0)*_11・初任),0)</f>
        <v>92</v>
      </c>
      <c r="R11" s="48"/>
    </row>
    <row r="12" spans="1:18" ht="16.5" customHeight="1" x14ac:dyDescent="0.15">
      <c r="A12" s="41">
        <v>11</v>
      </c>
      <c r="B12" s="41" t="s">
        <v>13595</v>
      </c>
      <c r="C12" s="74" t="s">
        <v>13596</v>
      </c>
      <c r="D12" s="72"/>
      <c r="F12" s="43"/>
      <c r="G12" s="216"/>
      <c r="H12" s="38"/>
      <c r="I12" s="281" t="s">
        <v>397</v>
      </c>
      <c r="J12" s="218" t="s">
        <v>398</v>
      </c>
      <c r="K12" s="189">
        <v>1</v>
      </c>
      <c r="L12" s="35"/>
      <c r="O12" s="709"/>
      <c r="P12" s="704"/>
      <c r="Q12" s="47">
        <f>ROUND((ROUND((ROUND((_11_A通院２０．５*_11・２人),0)*(1+_11・A早朝)),0)*_11・初任),0)</f>
        <v>92</v>
      </c>
      <c r="R12" s="48"/>
    </row>
    <row r="13" spans="1:18" ht="16.5" customHeight="1" x14ac:dyDescent="0.15">
      <c r="A13" s="41">
        <v>11</v>
      </c>
      <c r="B13" s="41" t="s">
        <v>13597</v>
      </c>
      <c r="C13" s="74" t="s">
        <v>13598</v>
      </c>
      <c r="D13" s="72"/>
      <c r="F13" s="752" t="s">
        <v>400</v>
      </c>
      <c r="G13" s="221" t="s">
        <v>398</v>
      </c>
      <c r="H13" s="50">
        <v>0.9</v>
      </c>
      <c r="I13" s="163"/>
      <c r="J13" s="45"/>
      <c r="K13" s="46"/>
      <c r="L13" s="35"/>
      <c r="O13" s="709"/>
      <c r="P13" s="704"/>
      <c r="Q13" s="47">
        <f>ROUND((ROUND((ROUND((_11_A通院２０．５*_11・基礎２),0)*(1+_11・A早朝)),0)*_11・初任),0)</f>
        <v>83</v>
      </c>
      <c r="R13" s="48"/>
    </row>
    <row r="14" spans="1:18" ht="16.5" customHeight="1" x14ac:dyDescent="0.15">
      <c r="A14" s="41">
        <v>11</v>
      </c>
      <c r="B14" s="41" t="s">
        <v>13599</v>
      </c>
      <c r="C14" s="74" t="s">
        <v>13600</v>
      </c>
      <c r="D14" s="72"/>
      <c r="F14" s="711"/>
      <c r="G14" s="216"/>
      <c r="H14" s="38"/>
      <c r="I14" s="281" t="s">
        <v>397</v>
      </c>
      <c r="J14" s="218" t="s">
        <v>398</v>
      </c>
      <c r="K14" s="189">
        <v>1</v>
      </c>
      <c r="L14" s="35"/>
      <c r="O14" s="240" t="s">
        <v>398</v>
      </c>
      <c r="P14" s="38">
        <f>_11・初任</f>
        <v>0.7</v>
      </c>
      <c r="Q14" s="47">
        <f>ROUND((ROUND((ROUND((ROUND((_11_A通院２０．５*_11・基礎２),0)*_11・２人),0)*(1+_11・A早朝)),0)*_11・初任),0)</f>
        <v>83</v>
      </c>
      <c r="R14" s="48"/>
    </row>
    <row r="15" spans="1:18" ht="16.5" customHeight="1" x14ac:dyDescent="0.15">
      <c r="A15" s="41">
        <v>11</v>
      </c>
      <c r="B15" s="41">
        <v>7199</v>
      </c>
      <c r="C15" s="74" t="s">
        <v>13601</v>
      </c>
      <c r="D15" s="707" t="s">
        <v>689</v>
      </c>
      <c r="E15" s="798"/>
      <c r="F15" s="53"/>
      <c r="G15" s="221"/>
      <c r="H15" s="50"/>
      <c r="I15" s="163"/>
      <c r="J15" s="45"/>
      <c r="K15" s="46"/>
      <c r="L15" s="35"/>
      <c r="O15" s="53"/>
      <c r="P15" s="251"/>
      <c r="Q15" s="47">
        <f>ROUND((_11_A通院２１．０*(1+_11・A早朝)),0)</f>
        <v>245</v>
      </c>
      <c r="R15" s="48"/>
    </row>
    <row r="16" spans="1:18" ht="16.5" customHeight="1" x14ac:dyDescent="0.15">
      <c r="A16" s="41">
        <v>11</v>
      </c>
      <c r="B16" s="41">
        <v>7200</v>
      </c>
      <c r="C16" s="74" t="s">
        <v>13602</v>
      </c>
      <c r="D16" s="799"/>
      <c r="E16" s="796"/>
      <c r="F16" s="43"/>
      <c r="G16" s="216"/>
      <c r="H16" s="38"/>
      <c r="I16" s="281" t="s">
        <v>397</v>
      </c>
      <c r="J16" s="218" t="s">
        <v>398</v>
      </c>
      <c r="K16" s="189">
        <v>1</v>
      </c>
      <c r="L16" s="35"/>
      <c r="O16" s="35"/>
      <c r="P16" s="234"/>
      <c r="Q16" s="47">
        <f>ROUND((ROUND((_11_A通院２１．０*_11・２人),0)*(1+_11・A早朝)),0)</f>
        <v>245</v>
      </c>
      <c r="R16" s="48"/>
    </row>
    <row r="17" spans="1:18" ht="16.5" customHeight="1" x14ac:dyDescent="0.15">
      <c r="A17" s="41">
        <v>11</v>
      </c>
      <c r="B17" s="41">
        <v>7201</v>
      </c>
      <c r="C17" s="74" t="s">
        <v>13603</v>
      </c>
      <c r="D17" s="799"/>
      <c r="E17" s="796"/>
      <c r="F17" s="752" t="s">
        <v>400</v>
      </c>
      <c r="G17" s="221" t="s">
        <v>398</v>
      </c>
      <c r="H17" s="50">
        <v>0.9</v>
      </c>
      <c r="I17" s="163"/>
      <c r="J17" s="45"/>
      <c r="K17" s="46"/>
      <c r="L17" s="35"/>
      <c r="O17" s="35"/>
      <c r="P17" s="234"/>
      <c r="Q17" s="47">
        <f>ROUND((ROUND((_11_A通院２１．０*_11・基礎２),0)*(1+_11・A早朝)),0)</f>
        <v>220</v>
      </c>
      <c r="R17" s="48"/>
    </row>
    <row r="18" spans="1:18" ht="16.5" customHeight="1" x14ac:dyDescent="0.15">
      <c r="A18" s="41">
        <v>11</v>
      </c>
      <c r="B18" s="41">
        <v>7202</v>
      </c>
      <c r="C18" s="74" t="s">
        <v>13604</v>
      </c>
      <c r="D18" s="274">
        <f>_11_A通院２１．０</f>
        <v>196</v>
      </c>
      <c r="E18" s="254" t="s">
        <v>392</v>
      </c>
      <c r="F18" s="711"/>
      <c r="G18" s="216"/>
      <c r="H18" s="38"/>
      <c r="I18" s="281" t="s">
        <v>397</v>
      </c>
      <c r="J18" s="218" t="s">
        <v>398</v>
      </c>
      <c r="K18" s="189">
        <v>1</v>
      </c>
      <c r="L18" s="35"/>
      <c r="O18" s="35"/>
      <c r="P18" s="234"/>
      <c r="Q18" s="47">
        <f>ROUND((ROUND((ROUND((_11_A通院２１．０*_11・基礎２),0)*_11・２人),0)*(1+_11・A早朝)),0)</f>
        <v>220</v>
      </c>
      <c r="R18" s="48"/>
    </row>
    <row r="19" spans="1:18" ht="16.5" customHeight="1" x14ac:dyDescent="0.15">
      <c r="A19" s="41">
        <v>11</v>
      </c>
      <c r="B19" s="41" t="s">
        <v>13605</v>
      </c>
      <c r="C19" s="74" t="s">
        <v>13606</v>
      </c>
      <c r="D19" s="72"/>
      <c r="F19" s="53"/>
      <c r="G19" s="221"/>
      <c r="H19" s="50"/>
      <c r="I19" s="163"/>
      <c r="J19" s="45"/>
      <c r="K19" s="46"/>
      <c r="L19" s="35"/>
      <c r="O19" s="707" t="s">
        <v>404</v>
      </c>
      <c r="P19" s="708"/>
      <c r="Q19" s="47">
        <f>ROUND((ROUND((_11_A通院２１．０*(1+_11・A早朝)),0)*_11・初任),0)</f>
        <v>172</v>
      </c>
      <c r="R19" s="48"/>
    </row>
    <row r="20" spans="1:18" ht="16.5" customHeight="1" x14ac:dyDescent="0.15">
      <c r="A20" s="41">
        <v>11</v>
      </c>
      <c r="B20" s="41" t="s">
        <v>13607</v>
      </c>
      <c r="C20" s="74" t="s">
        <v>13608</v>
      </c>
      <c r="D20" s="72"/>
      <c r="F20" s="43"/>
      <c r="G20" s="216"/>
      <c r="H20" s="38"/>
      <c r="I20" s="281" t="s">
        <v>397</v>
      </c>
      <c r="J20" s="218" t="s">
        <v>398</v>
      </c>
      <c r="K20" s="189">
        <v>1</v>
      </c>
      <c r="L20" s="35"/>
      <c r="O20" s="709"/>
      <c r="P20" s="704"/>
      <c r="Q20" s="47">
        <f>ROUND((ROUND((ROUND((_11_A通院２１．０*_11・２人),0)*(1+_11・A早朝)),0)*_11・初任),0)</f>
        <v>172</v>
      </c>
      <c r="R20" s="48"/>
    </row>
    <row r="21" spans="1:18" ht="16.5" customHeight="1" x14ac:dyDescent="0.15">
      <c r="A21" s="41">
        <v>11</v>
      </c>
      <c r="B21" s="41" t="s">
        <v>13609</v>
      </c>
      <c r="C21" s="74" t="s">
        <v>13610</v>
      </c>
      <c r="D21" s="72"/>
      <c r="F21" s="752" t="s">
        <v>400</v>
      </c>
      <c r="G21" s="221" t="s">
        <v>398</v>
      </c>
      <c r="H21" s="50">
        <v>0.9</v>
      </c>
      <c r="I21" s="163"/>
      <c r="J21" s="45"/>
      <c r="K21" s="46"/>
      <c r="L21" s="35"/>
      <c r="O21" s="709"/>
      <c r="P21" s="704"/>
      <c r="Q21" s="47">
        <f>ROUND((ROUND((ROUND((_11_A通院２１．０*_11・基礎２),0)*(1+_11・A早朝)),0)*_11・初任),0)</f>
        <v>154</v>
      </c>
      <c r="R21" s="48"/>
    </row>
    <row r="22" spans="1:18" ht="16.5" customHeight="1" x14ac:dyDescent="0.15">
      <c r="A22" s="41">
        <v>11</v>
      </c>
      <c r="B22" s="41" t="s">
        <v>13611</v>
      </c>
      <c r="C22" s="74" t="s">
        <v>13612</v>
      </c>
      <c r="D22" s="72"/>
      <c r="F22" s="711"/>
      <c r="G22" s="216"/>
      <c r="H22" s="38"/>
      <c r="I22" s="281" t="s">
        <v>397</v>
      </c>
      <c r="J22" s="218" t="s">
        <v>398</v>
      </c>
      <c r="K22" s="189">
        <v>1</v>
      </c>
      <c r="L22" s="35"/>
      <c r="O22" s="240" t="s">
        <v>398</v>
      </c>
      <c r="P22" s="38">
        <f>_11・初任</f>
        <v>0.7</v>
      </c>
      <c r="Q22" s="47">
        <f>ROUND((ROUND((ROUND((ROUND((_11_A通院２１．０*_11・基礎２),0)*_11・２人),0)*(1+_11・A早朝)),0)*_11・初任),0)</f>
        <v>154</v>
      </c>
      <c r="R22" s="48"/>
    </row>
    <row r="23" spans="1:18" ht="16.5" customHeight="1" x14ac:dyDescent="0.15">
      <c r="A23" s="41">
        <v>11</v>
      </c>
      <c r="B23" s="41">
        <v>7203</v>
      </c>
      <c r="C23" s="74" t="s">
        <v>13613</v>
      </c>
      <c r="D23" s="707" t="s">
        <v>702</v>
      </c>
      <c r="E23" s="798"/>
      <c r="F23" s="53"/>
      <c r="G23" s="221"/>
      <c r="H23" s="50"/>
      <c r="I23" s="163"/>
      <c r="J23" s="45"/>
      <c r="K23" s="46"/>
      <c r="L23" s="35"/>
      <c r="O23" s="53"/>
      <c r="P23" s="251"/>
      <c r="Q23" s="47">
        <f>ROUND((_11_A通院２１．５*(1+_11・A早朝)),0)</f>
        <v>343</v>
      </c>
      <c r="R23" s="48"/>
    </row>
    <row r="24" spans="1:18" ht="16.5" customHeight="1" x14ac:dyDescent="0.15">
      <c r="A24" s="41">
        <v>11</v>
      </c>
      <c r="B24" s="41">
        <v>7204</v>
      </c>
      <c r="C24" s="74" t="s">
        <v>13614</v>
      </c>
      <c r="D24" s="799"/>
      <c r="E24" s="796"/>
      <c r="F24" s="43"/>
      <c r="G24" s="216"/>
      <c r="H24" s="38"/>
      <c r="I24" s="281" t="s">
        <v>397</v>
      </c>
      <c r="J24" s="218" t="s">
        <v>398</v>
      </c>
      <c r="K24" s="189">
        <v>1</v>
      </c>
      <c r="L24" s="35"/>
      <c r="O24" s="35"/>
      <c r="P24" s="234"/>
      <c r="Q24" s="47">
        <f>ROUND((ROUND((_11_A通院２１．５*_11・２人),0)*(1+_11・A早朝)),0)</f>
        <v>343</v>
      </c>
      <c r="R24" s="48"/>
    </row>
    <row r="25" spans="1:18" ht="16.5" customHeight="1" x14ac:dyDescent="0.15">
      <c r="A25" s="41">
        <v>11</v>
      </c>
      <c r="B25" s="41">
        <v>7205</v>
      </c>
      <c r="C25" s="74" t="s">
        <v>13615</v>
      </c>
      <c r="D25" s="799"/>
      <c r="E25" s="796"/>
      <c r="F25" s="752" t="s">
        <v>400</v>
      </c>
      <c r="G25" s="221" t="s">
        <v>398</v>
      </c>
      <c r="H25" s="50">
        <v>0.9</v>
      </c>
      <c r="I25" s="163"/>
      <c r="J25" s="45"/>
      <c r="K25" s="46"/>
      <c r="L25" s="35"/>
      <c r="O25" s="35"/>
      <c r="P25" s="234"/>
      <c r="Q25" s="47">
        <f>ROUND((ROUND((_11_A通院２１．５*_11・基礎２),0)*(1+_11・A早朝)),0)</f>
        <v>309</v>
      </c>
      <c r="R25" s="48"/>
    </row>
    <row r="26" spans="1:18" ht="16.5" customHeight="1" x14ac:dyDescent="0.15">
      <c r="A26" s="41">
        <v>11</v>
      </c>
      <c r="B26" s="41">
        <v>7206</v>
      </c>
      <c r="C26" s="74" t="s">
        <v>13616</v>
      </c>
      <c r="D26" s="274">
        <f>_11_A通院２１．５</f>
        <v>274</v>
      </c>
      <c r="E26" s="254" t="s">
        <v>392</v>
      </c>
      <c r="F26" s="711"/>
      <c r="G26" s="216"/>
      <c r="H26" s="38"/>
      <c r="I26" s="281" t="s">
        <v>397</v>
      </c>
      <c r="J26" s="218" t="s">
        <v>398</v>
      </c>
      <c r="K26" s="189">
        <v>1</v>
      </c>
      <c r="L26" s="35"/>
      <c r="O26" s="35"/>
      <c r="P26" s="234"/>
      <c r="Q26" s="47">
        <f>ROUND((ROUND((ROUND((_11_A通院２１．５*_11・基礎２),0)*_11・２人),0)*(1+_11・A早朝)),0)</f>
        <v>309</v>
      </c>
      <c r="R26" s="48"/>
    </row>
    <row r="27" spans="1:18" ht="16.5" customHeight="1" x14ac:dyDescent="0.15">
      <c r="A27" s="41">
        <v>11</v>
      </c>
      <c r="B27" s="41" t="s">
        <v>13617</v>
      </c>
      <c r="C27" s="74" t="s">
        <v>13618</v>
      </c>
      <c r="D27" s="72"/>
      <c r="F27" s="53"/>
      <c r="G27" s="221"/>
      <c r="H27" s="50"/>
      <c r="I27" s="163"/>
      <c r="J27" s="45"/>
      <c r="K27" s="46"/>
      <c r="L27" s="35"/>
      <c r="O27" s="707" t="s">
        <v>404</v>
      </c>
      <c r="P27" s="708"/>
      <c r="Q27" s="47">
        <f>ROUND((ROUND((_11_A通院２１．５*(1+_11・A早朝)),0)*_11・初任),0)</f>
        <v>240</v>
      </c>
      <c r="R27" s="48"/>
    </row>
    <row r="28" spans="1:18" ht="16.5" customHeight="1" x14ac:dyDescent="0.15">
      <c r="A28" s="41">
        <v>11</v>
      </c>
      <c r="B28" s="41" t="s">
        <v>13619</v>
      </c>
      <c r="C28" s="74" t="s">
        <v>13620</v>
      </c>
      <c r="D28" s="72"/>
      <c r="F28" s="43"/>
      <c r="G28" s="216"/>
      <c r="H28" s="38"/>
      <c r="I28" s="281" t="s">
        <v>397</v>
      </c>
      <c r="J28" s="218" t="s">
        <v>398</v>
      </c>
      <c r="K28" s="189">
        <v>1</v>
      </c>
      <c r="L28" s="35"/>
      <c r="O28" s="709"/>
      <c r="P28" s="704"/>
      <c r="Q28" s="47">
        <f>ROUND((ROUND((ROUND((_11_A通院２１．５*_11・２人),0)*(1+_11・A早朝)),0)*_11・初任),0)</f>
        <v>240</v>
      </c>
      <c r="R28" s="48"/>
    </row>
    <row r="29" spans="1:18" ht="16.5" customHeight="1" x14ac:dyDescent="0.15">
      <c r="A29" s="41">
        <v>11</v>
      </c>
      <c r="B29" s="41" t="s">
        <v>13621</v>
      </c>
      <c r="C29" s="74" t="s">
        <v>13622</v>
      </c>
      <c r="D29" s="72"/>
      <c r="F29" s="752" t="s">
        <v>400</v>
      </c>
      <c r="G29" s="221" t="s">
        <v>398</v>
      </c>
      <c r="H29" s="50">
        <v>0.9</v>
      </c>
      <c r="I29" s="163"/>
      <c r="J29" s="45"/>
      <c r="K29" s="46"/>
      <c r="L29" s="35"/>
      <c r="O29" s="709"/>
      <c r="P29" s="704"/>
      <c r="Q29" s="47">
        <f>ROUND((ROUND((ROUND((_11_A通院２１．５*_11・基礎２),0)*(1+_11・A早朝)),0)*_11・初任),0)</f>
        <v>216</v>
      </c>
      <c r="R29" s="48"/>
    </row>
    <row r="30" spans="1:18" ht="16.5" customHeight="1" x14ac:dyDescent="0.15">
      <c r="A30" s="41">
        <v>11</v>
      </c>
      <c r="B30" s="41" t="s">
        <v>13623</v>
      </c>
      <c r="C30" s="74" t="s">
        <v>13624</v>
      </c>
      <c r="D30" s="72"/>
      <c r="F30" s="711"/>
      <c r="G30" s="216"/>
      <c r="H30" s="38"/>
      <c r="I30" s="281" t="s">
        <v>397</v>
      </c>
      <c r="J30" s="218" t="s">
        <v>398</v>
      </c>
      <c r="K30" s="189">
        <v>1</v>
      </c>
      <c r="L30" s="35"/>
      <c r="O30" s="240" t="s">
        <v>398</v>
      </c>
      <c r="P30" s="38">
        <f>_11・初任</f>
        <v>0.7</v>
      </c>
      <c r="Q30" s="47">
        <f>ROUND((ROUND((ROUND((ROUND((_11_A通院２１．５*_11・基礎２),0)*_11・２人),0)*(1+_11・A早朝)),0)*_11・初任),0)</f>
        <v>216</v>
      </c>
      <c r="R30" s="48"/>
    </row>
    <row r="31" spans="1:18" ht="16.5" customHeight="1" x14ac:dyDescent="0.15">
      <c r="A31" s="41">
        <v>11</v>
      </c>
      <c r="B31" s="41">
        <v>7207</v>
      </c>
      <c r="C31" s="74" t="s">
        <v>13625</v>
      </c>
      <c r="D31" s="707" t="s">
        <v>715</v>
      </c>
      <c r="E31" s="798"/>
      <c r="F31" s="53"/>
      <c r="G31" s="221"/>
      <c r="H31" s="50"/>
      <c r="I31" s="163"/>
      <c r="J31" s="45"/>
      <c r="K31" s="46"/>
      <c r="L31" s="35"/>
      <c r="O31" s="53"/>
      <c r="P31" s="251"/>
      <c r="Q31" s="47">
        <f>ROUND((_11_A通院２２．０*(1+_11・A早朝)),0)</f>
        <v>429</v>
      </c>
      <c r="R31" s="48"/>
    </row>
    <row r="32" spans="1:18" ht="16.5" customHeight="1" x14ac:dyDescent="0.15">
      <c r="A32" s="41">
        <v>11</v>
      </c>
      <c r="B32" s="41">
        <v>7208</v>
      </c>
      <c r="C32" s="74" t="s">
        <v>13626</v>
      </c>
      <c r="D32" s="799"/>
      <c r="E32" s="796"/>
      <c r="F32" s="43"/>
      <c r="G32" s="216"/>
      <c r="H32" s="38"/>
      <c r="I32" s="281" t="s">
        <v>397</v>
      </c>
      <c r="J32" s="218" t="s">
        <v>398</v>
      </c>
      <c r="K32" s="189">
        <v>1</v>
      </c>
      <c r="L32" s="35"/>
      <c r="O32" s="35"/>
      <c r="P32" s="234"/>
      <c r="Q32" s="47">
        <f>ROUND((ROUND((_11_A通院２２．０*_11・２人),0)*(1+_11・A早朝)),0)</f>
        <v>429</v>
      </c>
      <c r="R32" s="48"/>
    </row>
    <row r="33" spans="1:18" ht="16.5" customHeight="1" x14ac:dyDescent="0.15">
      <c r="A33" s="41">
        <v>11</v>
      </c>
      <c r="B33" s="41">
        <v>7209</v>
      </c>
      <c r="C33" s="74" t="s">
        <v>13627</v>
      </c>
      <c r="D33" s="799"/>
      <c r="E33" s="796"/>
      <c r="F33" s="752" t="s">
        <v>400</v>
      </c>
      <c r="G33" s="221" t="s">
        <v>398</v>
      </c>
      <c r="H33" s="50">
        <v>0.9</v>
      </c>
      <c r="I33" s="163"/>
      <c r="J33" s="45"/>
      <c r="K33" s="46"/>
      <c r="L33" s="35"/>
      <c r="O33" s="35"/>
      <c r="P33" s="234"/>
      <c r="Q33" s="47">
        <f>ROUND((ROUND((_11_A通院２２．０*_11・基礎２),0)*(1+_11・A早朝)),0)</f>
        <v>386</v>
      </c>
      <c r="R33" s="48"/>
    </row>
    <row r="34" spans="1:18" ht="16.5" customHeight="1" x14ac:dyDescent="0.15">
      <c r="A34" s="41">
        <v>11</v>
      </c>
      <c r="B34" s="41">
        <v>7210</v>
      </c>
      <c r="C34" s="74" t="s">
        <v>13628</v>
      </c>
      <c r="D34" s="274">
        <f>_11_A通院２２．０</f>
        <v>343</v>
      </c>
      <c r="E34" s="254" t="s">
        <v>392</v>
      </c>
      <c r="F34" s="711"/>
      <c r="G34" s="216"/>
      <c r="H34" s="38"/>
      <c r="I34" s="281" t="s">
        <v>397</v>
      </c>
      <c r="J34" s="218" t="s">
        <v>398</v>
      </c>
      <c r="K34" s="189">
        <v>1</v>
      </c>
      <c r="L34" s="35"/>
      <c r="O34" s="35"/>
      <c r="P34" s="234"/>
      <c r="Q34" s="47">
        <f>ROUND((ROUND((ROUND((_11_A通院２２．０*_11・基礎２),0)*_11・２人),0)*(1+_11・A早朝)),0)</f>
        <v>386</v>
      </c>
      <c r="R34" s="48"/>
    </row>
    <row r="35" spans="1:18" ht="16.5" customHeight="1" x14ac:dyDescent="0.15">
      <c r="A35" s="41">
        <v>11</v>
      </c>
      <c r="B35" s="41" t="s">
        <v>13629</v>
      </c>
      <c r="C35" s="74" t="s">
        <v>13630</v>
      </c>
      <c r="D35" s="72"/>
      <c r="F35" s="53"/>
      <c r="G35" s="221"/>
      <c r="H35" s="50"/>
      <c r="I35" s="163"/>
      <c r="J35" s="45"/>
      <c r="K35" s="46"/>
      <c r="L35" s="35"/>
      <c r="O35" s="707" t="s">
        <v>404</v>
      </c>
      <c r="P35" s="708"/>
      <c r="Q35" s="47">
        <f>ROUND((ROUND((_11_A通院２２．０*(1+_11・A早朝)),0)*_11・初任),0)</f>
        <v>300</v>
      </c>
      <c r="R35" s="48"/>
    </row>
    <row r="36" spans="1:18" ht="16.5" customHeight="1" x14ac:dyDescent="0.15">
      <c r="A36" s="41">
        <v>11</v>
      </c>
      <c r="B36" s="41" t="s">
        <v>13631</v>
      </c>
      <c r="C36" s="74" t="s">
        <v>13632</v>
      </c>
      <c r="D36" s="72"/>
      <c r="F36" s="43"/>
      <c r="G36" s="216"/>
      <c r="H36" s="38"/>
      <c r="I36" s="281" t="s">
        <v>397</v>
      </c>
      <c r="J36" s="218" t="s">
        <v>398</v>
      </c>
      <c r="K36" s="189">
        <v>1</v>
      </c>
      <c r="L36" s="35"/>
      <c r="O36" s="709"/>
      <c r="P36" s="704"/>
      <c r="Q36" s="47">
        <f>ROUND((ROUND((ROUND((_11_A通院２２．０*_11・２人),0)*(1+_11・A早朝)),0)*_11・初任),0)</f>
        <v>300</v>
      </c>
      <c r="R36" s="48"/>
    </row>
    <row r="37" spans="1:18" ht="16.5" customHeight="1" x14ac:dyDescent="0.15">
      <c r="A37" s="41">
        <v>11</v>
      </c>
      <c r="B37" s="41" t="s">
        <v>13633</v>
      </c>
      <c r="C37" s="74" t="s">
        <v>13634</v>
      </c>
      <c r="D37" s="72"/>
      <c r="F37" s="752" t="s">
        <v>400</v>
      </c>
      <c r="G37" s="221" t="s">
        <v>398</v>
      </c>
      <c r="H37" s="50">
        <v>0.9</v>
      </c>
      <c r="I37" s="163"/>
      <c r="J37" s="45"/>
      <c r="K37" s="46"/>
      <c r="L37" s="35"/>
      <c r="O37" s="709"/>
      <c r="P37" s="704"/>
      <c r="Q37" s="47">
        <f>ROUND((ROUND((ROUND((_11_A通院２２．０*_11・基礎２),0)*(1+_11・A早朝)),0)*_11・初任),0)</f>
        <v>270</v>
      </c>
      <c r="R37" s="48"/>
    </row>
    <row r="38" spans="1:18" ht="16.5" customHeight="1" x14ac:dyDescent="0.15">
      <c r="A38" s="41">
        <v>11</v>
      </c>
      <c r="B38" s="41" t="s">
        <v>13635</v>
      </c>
      <c r="C38" s="74" t="s">
        <v>13636</v>
      </c>
      <c r="D38" s="72"/>
      <c r="F38" s="711"/>
      <c r="G38" s="216"/>
      <c r="H38" s="38"/>
      <c r="I38" s="281" t="s">
        <v>397</v>
      </c>
      <c r="J38" s="218" t="s">
        <v>398</v>
      </c>
      <c r="K38" s="189">
        <v>1</v>
      </c>
      <c r="L38" s="35"/>
      <c r="O38" s="240" t="s">
        <v>398</v>
      </c>
      <c r="P38" s="38">
        <f>_11・初任</f>
        <v>0.7</v>
      </c>
      <c r="Q38" s="47">
        <f>ROUND((ROUND((ROUND((ROUND((_11_A通院２２．０*_11・基礎２),0)*_11・２人),0)*(1+_11・A早朝)),0)*_11・初任),0)</f>
        <v>270</v>
      </c>
      <c r="R38" s="48"/>
    </row>
    <row r="39" spans="1:18" ht="16.5" customHeight="1" x14ac:dyDescent="0.15">
      <c r="A39" s="41">
        <v>11</v>
      </c>
      <c r="B39" s="41">
        <v>7211</v>
      </c>
      <c r="C39" s="74" t="s">
        <v>13637</v>
      </c>
      <c r="D39" s="707" t="s">
        <v>728</v>
      </c>
      <c r="E39" s="798"/>
      <c r="F39" s="53"/>
      <c r="G39" s="221"/>
      <c r="H39" s="50"/>
      <c r="I39" s="163"/>
      <c r="J39" s="45"/>
      <c r="K39" s="46"/>
      <c r="L39" s="35"/>
      <c r="O39" s="53"/>
      <c r="P39" s="251"/>
      <c r="Q39" s="47">
        <f>ROUND((_11_A通院２２．５*(1+_11・A早朝)),0)</f>
        <v>515</v>
      </c>
      <c r="R39" s="48"/>
    </row>
    <row r="40" spans="1:18" ht="16.5" customHeight="1" x14ac:dyDescent="0.15">
      <c r="A40" s="41">
        <v>11</v>
      </c>
      <c r="B40" s="41">
        <v>7212</v>
      </c>
      <c r="C40" s="74" t="s">
        <v>13638</v>
      </c>
      <c r="D40" s="799"/>
      <c r="E40" s="796"/>
      <c r="F40" s="43"/>
      <c r="G40" s="216"/>
      <c r="H40" s="38"/>
      <c r="I40" s="281" t="s">
        <v>397</v>
      </c>
      <c r="J40" s="218" t="s">
        <v>398</v>
      </c>
      <c r="K40" s="189">
        <v>1</v>
      </c>
      <c r="L40" s="35"/>
      <c r="O40" s="35"/>
      <c r="P40" s="234"/>
      <c r="Q40" s="47">
        <f>ROUND((ROUND((_11_A通院２２．５*_11・２人),0)*(1+_11・A早朝)),0)</f>
        <v>515</v>
      </c>
      <c r="R40" s="48"/>
    </row>
    <row r="41" spans="1:18" ht="16.5" customHeight="1" x14ac:dyDescent="0.15">
      <c r="A41" s="41">
        <v>11</v>
      </c>
      <c r="B41" s="41">
        <v>7213</v>
      </c>
      <c r="C41" s="74" t="s">
        <v>13639</v>
      </c>
      <c r="D41" s="799"/>
      <c r="E41" s="796"/>
      <c r="F41" s="752" t="s">
        <v>400</v>
      </c>
      <c r="G41" s="221" t="s">
        <v>398</v>
      </c>
      <c r="H41" s="50">
        <v>0.9</v>
      </c>
      <c r="I41" s="163"/>
      <c r="J41" s="45"/>
      <c r="K41" s="46"/>
      <c r="L41" s="35"/>
      <c r="O41" s="35"/>
      <c r="P41" s="234"/>
      <c r="Q41" s="47">
        <f>ROUND((ROUND((_11_A通院２２．５*_11・基礎２),0)*(1+_11・A早朝)),0)</f>
        <v>464</v>
      </c>
      <c r="R41" s="48"/>
    </row>
    <row r="42" spans="1:18" ht="16.5" customHeight="1" x14ac:dyDescent="0.15">
      <c r="A42" s="41">
        <v>11</v>
      </c>
      <c r="B42" s="41">
        <v>7214</v>
      </c>
      <c r="C42" s="74" t="s">
        <v>13640</v>
      </c>
      <c r="D42" s="274">
        <f>_11_A通院２２．５</f>
        <v>412</v>
      </c>
      <c r="E42" s="254" t="s">
        <v>392</v>
      </c>
      <c r="F42" s="711"/>
      <c r="G42" s="216"/>
      <c r="H42" s="38"/>
      <c r="I42" s="281" t="s">
        <v>397</v>
      </c>
      <c r="J42" s="218" t="s">
        <v>398</v>
      </c>
      <c r="K42" s="189">
        <v>1</v>
      </c>
      <c r="L42" s="35"/>
      <c r="O42" s="35"/>
      <c r="P42" s="234"/>
      <c r="Q42" s="47">
        <f>ROUND((ROUND((ROUND((_11_A通院２２．５*_11・基礎２),0)*_11・２人),0)*(1+_11・A早朝)),0)</f>
        <v>464</v>
      </c>
      <c r="R42" s="48"/>
    </row>
    <row r="43" spans="1:18" ht="16.5" customHeight="1" x14ac:dyDescent="0.15">
      <c r="A43" s="41">
        <v>11</v>
      </c>
      <c r="B43" s="41" t="s">
        <v>13641</v>
      </c>
      <c r="C43" s="74" t="s">
        <v>13642</v>
      </c>
      <c r="D43" s="72"/>
      <c r="F43" s="53"/>
      <c r="G43" s="221"/>
      <c r="H43" s="50"/>
      <c r="I43" s="163"/>
      <c r="J43" s="45"/>
      <c r="K43" s="46"/>
      <c r="L43" s="35"/>
      <c r="O43" s="707" t="s">
        <v>404</v>
      </c>
      <c r="P43" s="708"/>
      <c r="Q43" s="47">
        <f>ROUND((ROUND((_11_A通院２２．５*(1+_11・A早朝)),0)*_11・初任),0)</f>
        <v>361</v>
      </c>
      <c r="R43" s="48"/>
    </row>
    <row r="44" spans="1:18" ht="16.5" customHeight="1" x14ac:dyDescent="0.15">
      <c r="A44" s="41">
        <v>11</v>
      </c>
      <c r="B44" s="41" t="s">
        <v>13643</v>
      </c>
      <c r="C44" s="74" t="s">
        <v>13644</v>
      </c>
      <c r="D44" s="72"/>
      <c r="F44" s="43"/>
      <c r="G44" s="216"/>
      <c r="H44" s="38"/>
      <c r="I44" s="281" t="s">
        <v>397</v>
      </c>
      <c r="J44" s="218" t="s">
        <v>398</v>
      </c>
      <c r="K44" s="189">
        <v>1</v>
      </c>
      <c r="L44" s="35"/>
      <c r="O44" s="709"/>
      <c r="P44" s="704"/>
      <c r="Q44" s="47">
        <f>ROUND((ROUND((ROUND((_11_A通院２２．５*_11・２人),0)*(1+_11・A早朝)),0)*_11・初任),0)</f>
        <v>361</v>
      </c>
      <c r="R44" s="48"/>
    </row>
    <row r="45" spans="1:18" ht="16.5" customHeight="1" x14ac:dyDescent="0.15">
      <c r="A45" s="41">
        <v>11</v>
      </c>
      <c r="B45" s="41" t="s">
        <v>13645</v>
      </c>
      <c r="C45" s="74" t="s">
        <v>13646</v>
      </c>
      <c r="D45" s="72"/>
      <c r="F45" s="752" t="s">
        <v>400</v>
      </c>
      <c r="G45" s="221" t="s">
        <v>398</v>
      </c>
      <c r="H45" s="50">
        <v>0.9</v>
      </c>
      <c r="I45" s="163"/>
      <c r="J45" s="45"/>
      <c r="K45" s="46"/>
      <c r="L45" s="35"/>
      <c r="O45" s="709"/>
      <c r="P45" s="704"/>
      <c r="Q45" s="47">
        <f>ROUND((ROUND((ROUND((_11_A通院２２．５*_11・基礎２),0)*(1+_11・A早朝)),0)*_11・初任),0)</f>
        <v>325</v>
      </c>
      <c r="R45" s="48"/>
    </row>
    <row r="46" spans="1:18" ht="16.5" customHeight="1" x14ac:dyDescent="0.15">
      <c r="A46" s="41">
        <v>11</v>
      </c>
      <c r="B46" s="41" t="s">
        <v>13647</v>
      </c>
      <c r="C46" s="74" t="s">
        <v>13648</v>
      </c>
      <c r="D46" s="122"/>
      <c r="E46" s="37"/>
      <c r="F46" s="711"/>
      <c r="G46" s="216"/>
      <c r="H46" s="38"/>
      <c r="I46" s="281" t="s">
        <v>397</v>
      </c>
      <c r="J46" s="218" t="s">
        <v>398</v>
      </c>
      <c r="K46" s="189">
        <v>1</v>
      </c>
      <c r="L46" s="43"/>
      <c r="M46" s="37"/>
      <c r="N46" s="38"/>
      <c r="O46" s="240" t="s">
        <v>398</v>
      </c>
      <c r="P46" s="38">
        <f>_11・初任</f>
        <v>0.7</v>
      </c>
      <c r="Q46" s="47">
        <f>ROUND((ROUND((ROUND((ROUND((_11_A通院２２．５*_11・基礎２),0)*_11・２人),0)*(1+_11・A早朝)),0)*_11・初任),0)</f>
        <v>325</v>
      </c>
      <c r="R46" s="63"/>
    </row>
    <row r="47" spans="1:18" ht="16.5" customHeight="1" x14ac:dyDescent="0.15">
      <c r="A47" s="80"/>
      <c r="B47" s="80"/>
      <c r="C47" s="81"/>
      <c r="I47" s="82"/>
      <c r="Q47" s="84"/>
      <c r="R47" s="85"/>
    </row>
    <row r="48" spans="1:18" ht="16.5" customHeight="1" x14ac:dyDescent="0.15">
      <c r="A48" s="80"/>
      <c r="B48" s="80"/>
      <c r="C48" s="81"/>
      <c r="I48" s="82"/>
      <c r="Q48" s="84"/>
      <c r="R48" s="85"/>
    </row>
    <row r="49" spans="1:18" ht="16.5" customHeight="1" x14ac:dyDescent="0.15">
      <c r="A49" s="80"/>
      <c r="B49" s="86" t="s">
        <v>13649</v>
      </c>
      <c r="C49" s="81"/>
      <c r="D49" s="71"/>
      <c r="I49" s="82"/>
      <c r="Q49" s="84"/>
      <c r="R49" s="85"/>
    </row>
    <row r="50" spans="1:18" ht="16.5" customHeight="1" x14ac:dyDescent="0.15">
      <c r="A50" s="87" t="s">
        <v>384</v>
      </c>
      <c r="B50" s="20"/>
      <c r="C50" s="88" t="s">
        <v>385</v>
      </c>
      <c r="D50" s="23"/>
      <c r="E50" s="23"/>
      <c r="F50" s="23"/>
      <c r="G50" s="166"/>
      <c r="H50" s="23" t="s">
        <v>386</v>
      </c>
      <c r="I50" s="283"/>
      <c r="J50" s="23"/>
      <c r="K50" s="24"/>
      <c r="L50" s="23"/>
      <c r="M50" s="23"/>
      <c r="N50" s="24"/>
      <c r="O50" s="23"/>
      <c r="P50" s="24"/>
      <c r="Q50" s="25" t="s">
        <v>387</v>
      </c>
      <c r="R50" s="21" t="s">
        <v>388</v>
      </c>
    </row>
    <row r="51" spans="1:18" ht="16.5" customHeight="1" x14ac:dyDescent="0.15">
      <c r="A51" s="26" t="s">
        <v>389</v>
      </c>
      <c r="B51" s="26" t="s">
        <v>390</v>
      </c>
      <c r="C51" s="89"/>
      <c r="D51" s="29"/>
      <c r="E51" s="29"/>
      <c r="F51" s="29"/>
      <c r="G51" s="214"/>
      <c r="H51" s="30"/>
      <c r="I51" s="284"/>
      <c r="J51" s="29"/>
      <c r="K51" s="30"/>
      <c r="L51" s="29"/>
      <c r="M51" s="29"/>
      <c r="N51" s="30"/>
      <c r="O51" s="29"/>
      <c r="P51" s="30"/>
      <c r="Q51" s="31" t="s">
        <v>391</v>
      </c>
      <c r="R51" s="32" t="s">
        <v>392</v>
      </c>
    </row>
    <row r="52" spans="1:18" ht="16.5" customHeight="1" x14ac:dyDescent="0.15">
      <c r="A52" s="33">
        <v>11</v>
      </c>
      <c r="B52" s="33">
        <v>7215</v>
      </c>
      <c r="C52" s="34" t="s">
        <v>13650</v>
      </c>
      <c r="D52" s="709" t="s">
        <v>742</v>
      </c>
      <c r="E52" s="796"/>
      <c r="F52" s="35"/>
      <c r="I52" s="70"/>
      <c r="J52" s="37"/>
      <c r="K52" s="38"/>
      <c r="L52" s="35" t="s">
        <v>743</v>
      </c>
      <c r="O52" s="35"/>
      <c r="P52" s="234"/>
      <c r="Q52" s="39">
        <f>ROUND((_11_A通院２０．５*(1+_11・A夜間)),0)</f>
        <v>131</v>
      </c>
      <c r="R52" s="40" t="s">
        <v>395</v>
      </c>
    </row>
    <row r="53" spans="1:18" ht="16.5" customHeight="1" x14ac:dyDescent="0.15">
      <c r="A53" s="41">
        <v>11</v>
      </c>
      <c r="B53" s="41">
        <v>7216</v>
      </c>
      <c r="C53" s="74" t="s">
        <v>13651</v>
      </c>
      <c r="D53" s="799"/>
      <c r="E53" s="796"/>
      <c r="F53" s="43"/>
      <c r="G53" s="216"/>
      <c r="H53" s="38"/>
      <c r="I53" s="281" t="s">
        <v>397</v>
      </c>
      <c r="J53" s="218" t="s">
        <v>398</v>
      </c>
      <c r="K53" s="46">
        <v>1</v>
      </c>
      <c r="L53" s="258" t="s">
        <v>398</v>
      </c>
      <c r="M53" s="13">
        <v>0.25</v>
      </c>
      <c r="N53" s="704" t="s">
        <v>676</v>
      </c>
      <c r="O53" s="35"/>
      <c r="P53" s="234"/>
      <c r="Q53" s="47">
        <f>ROUND((ROUND((_11_A通院２０．５*_11・２人),0)*(1+_11・A夜間)),0)</f>
        <v>131</v>
      </c>
      <c r="R53" s="48"/>
    </row>
    <row r="54" spans="1:18" ht="16.5" customHeight="1" x14ac:dyDescent="0.15">
      <c r="A54" s="41">
        <v>11</v>
      </c>
      <c r="B54" s="41">
        <v>7217</v>
      </c>
      <c r="C54" s="74" t="s">
        <v>13652</v>
      </c>
      <c r="D54" s="799"/>
      <c r="E54" s="796"/>
      <c r="F54" s="752" t="s">
        <v>400</v>
      </c>
      <c r="G54" s="221" t="s">
        <v>398</v>
      </c>
      <c r="H54" s="50">
        <v>0.9</v>
      </c>
      <c r="I54" s="282"/>
      <c r="J54" s="45"/>
      <c r="K54" s="46"/>
      <c r="L54" s="35"/>
      <c r="N54" s="797"/>
      <c r="O54" s="35"/>
      <c r="P54" s="234"/>
      <c r="Q54" s="47">
        <f>ROUND((ROUND((_11_A通院２０．５*_11・基礎２),0)*(1+_11・A夜間)),0)</f>
        <v>119</v>
      </c>
      <c r="R54" s="48"/>
    </row>
    <row r="55" spans="1:18" ht="16.5" customHeight="1" x14ac:dyDescent="0.15">
      <c r="A55" s="41">
        <v>11</v>
      </c>
      <c r="B55" s="41">
        <v>7218</v>
      </c>
      <c r="C55" s="74" t="s">
        <v>13653</v>
      </c>
      <c r="D55" s="274">
        <f>_11_A通院２０．５</f>
        <v>105</v>
      </c>
      <c r="E55" s="254" t="s">
        <v>392</v>
      </c>
      <c r="F55" s="711"/>
      <c r="G55" s="216"/>
      <c r="H55" s="38"/>
      <c r="I55" s="281" t="s">
        <v>397</v>
      </c>
      <c r="J55" s="218" t="s">
        <v>398</v>
      </c>
      <c r="K55" s="46">
        <v>1</v>
      </c>
      <c r="L55" s="35"/>
      <c r="O55" s="35"/>
      <c r="P55" s="234"/>
      <c r="Q55" s="47">
        <f>ROUND((ROUND((ROUND((_11_A通院２０．５*_11・基礎２),0)*_11・２人),0)*(1+_11・A夜間)),0)</f>
        <v>119</v>
      </c>
      <c r="R55" s="48"/>
    </row>
    <row r="56" spans="1:18" ht="16.5" customHeight="1" x14ac:dyDescent="0.15">
      <c r="A56" s="41">
        <v>11</v>
      </c>
      <c r="B56" s="41" t="s">
        <v>13654</v>
      </c>
      <c r="C56" s="74" t="s">
        <v>13655</v>
      </c>
      <c r="D56" s="72"/>
      <c r="F56" s="53"/>
      <c r="G56" s="221"/>
      <c r="H56" s="50"/>
      <c r="I56" s="282"/>
      <c r="J56" s="45"/>
      <c r="K56" s="46"/>
      <c r="L56" s="35"/>
      <c r="O56" s="707" t="s">
        <v>404</v>
      </c>
      <c r="P56" s="708"/>
      <c r="Q56" s="47">
        <f>ROUND((ROUND((_11_A通院２０．５*(1+_11・A夜間)),0)*_11・初任),0)</f>
        <v>92</v>
      </c>
      <c r="R56" s="48"/>
    </row>
    <row r="57" spans="1:18" ht="16.5" customHeight="1" x14ac:dyDescent="0.15">
      <c r="A57" s="41">
        <v>11</v>
      </c>
      <c r="B57" s="41" t="s">
        <v>13656</v>
      </c>
      <c r="C57" s="74" t="s">
        <v>13657</v>
      </c>
      <c r="D57" s="72"/>
      <c r="F57" s="43"/>
      <c r="G57" s="216"/>
      <c r="H57" s="38"/>
      <c r="I57" s="281" t="s">
        <v>397</v>
      </c>
      <c r="J57" s="218" t="s">
        <v>398</v>
      </c>
      <c r="K57" s="189">
        <v>1</v>
      </c>
      <c r="L57" s="35"/>
      <c r="O57" s="709"/>
      <c r="P57" s="704"/>
      <c r="Q57" s="47">
        <f>ROUND((ROUND((ROUND((_11_A通院２０．５*_11・２人),0)*(1+_11・A夜間)),0)*_11・初任),0)</f>
        <v>92</v>
      </c>
      <c r="R57" s="48"/>
    </row>
    <row r="58" spans="1:18" ht="16.5" customHeight="1" x14ac:dyDescent="0.15">
      <c r="A58" s="41">
        <v>11</v>
      </c>
      <c r="B58" s="41" t="s">
        <v>13658</v>
      </c>
      <c r="C58" s="74" t="s">
        <v>13659</v>
      </c>
      <c r="D58" s="72"/>
      <c r="F58" s="752" t="s">
        <v>400</v>
      </c>
      <c r="G58" s="221" t="s">
        <v>398</v>
      </c>
      <c r="H58" s="50">
        <v>0.9</v>
      </c>
      <c r="I58" s="282"/>
      <c r="J58" s="45"/>
      <c r="K58" s="46"/>
      <c r="L58" s="35"/>
      <c r="O58" s="709"/>
      <c r="P58" s="704"/>
      <c r="Q58" s="47">
        <f>ROUND((ROUND((ROUND((_11_A通院２０．５*_11・基礎２),0)*(1+_11・A夜間)),0)*_11・初任),0)</f>
        <v>83</v>
      </c>
      <c r="R58" s="48"/>
    </row>
    <row r="59" spans="1:18" ht="16.5" customHeight="1" x14ac:dyDescent="0.15">
      <c r="A59" s="41">
        <v>11</v>
      </c>
      <c r="B59" s="41" t="s">
        <v>13660</v>
      </c>
      <c r="C59" s="74" t="s">
        <v>13661</v>
      </c>
      <c r="D59" s="72"/>
      <c r="F59" s="711"/>
      <c r="G59" s="216"/>
      <c r="H59" s="38"/>
      <c r="I59" s="281" t="s">
        <v>397</v>
      </c>
      <c r="J59" s="218" t="s">
        <v>398</v>
      </c>
      <c r="K59" s="189">
        <v>1</v>
      </c>
      <c r="L59" s="35"/>
      <c r="O59" s="240" t="s">
        <v>398</v>
      </c>
      <c r="P59" s="38">
        <f>_11・初任</f>
        <v>0.7</v>
      </c>
      <c r="Q59" s="47">
        <f>ROUND((ROUND((ROUND((ROUND((_11_A通院２０．５*_11・基礎２),0)*_11・２人),0)*(1+_11・A夜間)),0)*_11・初任),0)</f>
        <v>83</v>
      </c>
      <c r="R59" s="48"/>
    </row>
    <row r="60" spans="1:18" ht="16.5" customHeight="1" x14ac:dyDescent="0.15">
      <c r="A60" s="41">
        <v>11</v>
      </c>
      <c r="B60" s="41">
        <v>7219</v>
      </c>
      <c r="C60" s="74" t="s">
        <v>13662</v>
      </c>
      <c r="D60" s="707" t="s">
        <v>756</v>
      </c>
      <c r="E60" s="798"/>
      <c r="F60" s="53"/>
      <c r="G60" s="221"/>
      <c r="H60" s="50"/>
      <c r="I60" s="282"/>
      <c r="J60" s="45"/>
      <c r="K60" s="46"/>
      <c r="L60" s="35"/>
      <c r="O60" s="53"/>
      <c r="P60" s="251"/>
      <c r="Q60" s="47">
        <f>ROUND((_11_A通院２１．０*(1+_11・A夜間)),0)</f>
        <v>245</v>
      </c>
      <c r="R60" s="48"/>
    </row>
    <row r="61" spans="1:18" ht="16.5" customHeight="1" x14ac:dyDescent="0.15">
      <c r="A61" s="41">
        <v>11</v>
      </c>
      <c r="B61" s="41">
        <v>7220</v>
      </c>
      <c r="C61" s="74" t="s">
        <v>13663</v>
      </c>
      <c r="D61" s="799"/>
      <c r="E61" s="796"/>
      <c r="F61" s="43"/>
      <c r="G61" s="216"/>
      <c r="H61" s="38"/>
      <c r="I61" s="281" t="s">
        <v>397</v>
      </c>
      <c r="J61" s="218" t="s">
        <v>398</v>
      </c>
      <c r="K61" s="189">
        <v>1</v>
      </c>
      <c r="L61" s="35"/>
      <c r="O61" s="35"/>
      <c r="P61" s="234"/>
      <c r="Q61" s="47">
        <f>ROUND((ROUND((_11_A通院２１．０*_11・２人),0)*(1+_11・A夜間)),0)</f>
        <v>245</v>
      </c>
      <c r="R61" s="48"/>
    </row>
    <row r="62" spans="1:18" ht="16.5" customHeight="1" x14ac:dyDescent="0.15">
      <c r="A62" s="41">
        <v>11</v>
      </c>
      <c r="B62" s="41">
        <v>7221</v>
      </c>
      <c r="C62" s="74" t="s">
        <v>13664</v>
      </c>
      <c r="D62" s="799"/>
      <c r="E62" s="796"/>
      <c r="F62" s="752" t="s">
        <v>400</v>
      </c>
      <c r="G62" s="221" t="s">
        <v>398</v>
      </c>
      <c r="H62" s="50">
        <v>0.9</v>
      </c>
      <c r="I62" s="282"/>
      <c r="J62" s="45"/>
      <c r="K62" s="46"/>
      <c r="L62" s="35"/>
      <c r="O62" s="35"/>
      <c r="P62" s="234"/>
      <c r="Q62" s="47">
        <f>ROUND((ROUND((_11_A通院２１．０*_11・基礎２),0)*(1+_11・A夜間)),0)</f>
        <v>220</v>
      </c>
      <c r="R62" s="48"/>
    </row>
    <row r="63" spans="1:18" ht="16.5" customHeight="1" x14ac:dyDescent="0.15">
      <c r="A63" s="41">
        <v>11</v>
      </c>
      <c r="B63" s="41">
        <v>7222</v>
      </c>
      <c r="C63" s="74" t="s">
        <v>13665</v>
      </c>
      <c r="D63" s="274">
        <f>_11_A通院２１．０</f>
        <v>196</v>
      </c>
      <c r="E63" s="254" t="s">
        <v>392</v>
      </c>
      <c r="F63" s="711"/>
      <c r="G63" s="216"/>
      <c r="H63" s="38"/>
      <c r="I63" s="281" t="s">
        <v>397</v>
      </c>
      <c r="J63" s="218" t="s">
        <v>398</v>
      </c>
      <c r="K63" s="189">
        <v>1</v>
      </c>
      <c r="L63" s="35"/>
      <c r="O63" s="35"/>
      <c r="P63" s="234"/>
      <c r="Q63" s="47">
        <f>ROUND((ROUND((ROUND((_11_A通院２１．０*_11・基礎２),0)*_11・２人),0)*(1+_11・A夜間)),0)</f>
        <v>220</v>
      </c>
      <c r="R63" s="48"/>
    </row>
    <row r="64" spans="1:18" ht="16.5" customHeight="1" x14ac:dyDescent="0.15">
      <c r="A64" s="41">
        <v>11</v>
      </c>
      <c r="B64" s="41" t="s">
        <v>13666</v>
      </c>
      <c r="C64" s="74" t="s">
        <v>13667</v>
      </c>
      <c r="D64" s="72"/>
      <c r="F64" s="53"/>
      <c r="G64" s="221"/>
      <c r="H64" s="50"/>
      <c r="I64" s="282"/>
      <c r="J64" s="45"/>
      <c r="K64" s="46"/>
      <c r="L64" s="35"/>
      <c r="O64" s="707" t="s">
        <v>404</v>
      </c>
      <c r="P64" s="708"/>
      <c r="Q64" s="47">
        <f>ROUND((ROUND((_11_A通院２１．０*(1+_11・A夜間)),0)*_11・初任),0)</f>
        <v>172</v>
      </c>
      <c r="R64" s="48"/>
    </row>
    <row r="65" spans="1:18" ht="16.5" customHeight="1" x14ac:dyDescent="0.15">
      <c r="A65" s="41">
        <v>11</v>
      </c>
      <c r="B65" s="41" t="s">
        <v>13668</v>
      </c>
      <c r="C65" s="74" t="s">
        <v>13669</v>
      </c>
      <c r="D65" s="72"/>
      <c r="F65" s="43"/>
      <c r="G65" s="216"/>
      <c r="H65" s="38"/>
      <c r="I65" s="281" t="s">
        <v>397</v>
      </c>
      <c r="J65" s="218" t="s">
        <v>398</v>
      </c>
      <c r="K65" s="189">
        <v>1</v>
      </c>
      <c r="L65" s="35"/>
      <c r="O65" s="709"/>
      <c r="P65" s="704"/>
      <c r="Q65" s="47">
        <f>ROUND((ROUND((ROUND((_11_A通院２１．０*_11・２人),0)*(1+_11・A夜間)),0)*_11・初任),0)</f>
        <v>172</v>
      </c>
      <c r="R65" s="48"/>
    </row>
    <row r="66" spans="1:18" ht="16.5" customHeight="1" x14ac:dyDescent="0.15">
      <c r="A66" s="41">
        <v>11</v>
      </c>
      <c r="B66" s="41" t="s">
        <v>13670</v>
      </c>
      <c r="C66" s="74" t="s">
        <v>13671</v>
      </c>
      <c r="D66" s="72"/>
      <c r="F66" s="752" t="s">
        <v>400</v>
      </c>
      <c r="G66" s="221" t="s">
        <v>398</v>
      </c>
      <c r="H66" s="50">
        <v>0.9</v>
      </c>
      <c r="I66" s="282"/>
      <c r="J66" s="45"/>
      <c r="K66" s="46"/>
      <c r="L66" s="35"/>
      <c r="O66" s="709"/>
      <c r="P66" s="704"/>
      <c r="Q66" s="47">
        <f>ROUND((ROUND((ROUND((_11_A通院２１．０*_11・基礎２),0)*(1+_11・A夜間)),0)*_11・初任),0)</f>
        <v>154</v>
      </c>
      <c r="R66" s="48"/>
    </row>
    <row r="67" spans="1:18" ht="16.5" customHeight="1" x14ac:dyDescent="0.15">
      <c r="A67" s="41">
        <v>11</v>
      </c>
      <c r="B67" s="41" t="s">
        <v>13672</v>
      </c>
      <c r="C67" s="74" t="s">
        <v>13673</v>
      </c>
      <c r="D67" s="72"/>
      <c r="F67" s="711"/>
      <c r="G67" s="216"/>
      <c r="H67" s="38"/>
      <c r="I67" s="281" t="s">
        <v>397</v>
      </c>
      <c r="J67" s="218" t="s">
        <v>398</v>
      </c>
      <c r="K67" s="189">
        <v>1</v>
      </c>
      <c r="L67" s="35"/>
      <c r="O67" s="240" t="s">
        <v>398</v>
      </c>
      <c r="P67" s="38">
        <f>_11・初任</f>
        <v>0.7</v>
      </c>
      <c r="Q67" s="47">
        <f>ROUND((ROUND((ROUND((ROUND((_11_A通院２１．０*_11・基礎２),0)*_11・２人),0)*(1+_11・A夜間)),0)*_11・初任),0)</f>
        <v>154</v>
      </c>
      <c r="R67" s="48"/>
    </row>
    <row r="68" spans="1:18" ht="16.5" customHeight="1" x14ac:dyDescent="0.15">
      <c r="A68" s="41">
        <v>11</v>
      </c>
      <c r="B68" s="41">
        <v>7223</v>
      </c>
      <c r="C68" s="74" t="s">
        <v>13674</v>
      </c>
      <c r="D68" s="707" t="s">
        <v>1732</v>
      </c>
      <c r="E68" s="798"/>
      <c r="F68" s="53"/>
      <c r="G68" s="221"/>
      <c r="H68" s="50"/>
      <c r="I68" s="282"/>
      <c r="J68" s="45"/>
      <c r="K68" s="46"/>
      <c r="L68" s="35"/>
      <c r="O68" s="53"/>
      <c r="P68" s="251"/>
      <c r="Q68" s="47">
        <f>ROUND((_11_A通院２１．５*(1+_11・A夜間)),0)</f>
        <v>343</v>
      </c>
      <c r="R68" s="48"/>
    </row>
    <row r="69" spans="1:18" ht="16.5" customHeight="1" x14ac:dyDescent="0.15">
      <c r="A69" s="41">
        <v>11</v>
      </c>
      <c r="B69" s="41">
        <v>7224</v>
      </c>
      <c r="C69" s="74" t="s">
        <v>13675</v>
      </c>
      <c r="D69" s="799"/>
      <c r="E69" s="796"/>
      <c r="F69" s="43"/>
      <c r="G69" s="216"/>
      <c r="H69" s="38"/>
      <c r="I69" s="281" t="s">
        <v>397</v>
      </c>
      <c r="J69" s="218" t="s">
        <v>398</v>
      </c>
      <c r="K69" s="189">
        <v>1</v>
      </c>
      <c r="L69" s="35"/>
      <c r="O69" s="35"/>
      <c r="P69" s="234"/>
      <c r="Q69" s="47">
        <f>ROUND((ROUND((_11_A通院２１．５*_11・２人),0)*(1+_11・A夜間)),0)</f>
        <v>343</v>
      </c>
      <c r="R69" s="48"/>
    </row>
    <row r="70" spans="1:18" ht="16.5" customHeight="1" x14ac:dyDescent="0.15">
      <c r="A70" s="41">
        <v>11</v>
      </c>
      <c r="B70" s="41">
        <v>7225</v>
      </c>
      <c r="C70" s="74" t="s">
        <v>13676</v>
      </c>
      <c r="D70" s="799"/>
      <c r="E70" s="796"/>
      <c r="F70" s="752" t="s">
        <v>400</v>
      </c>
      <c r="G70" s="221" t="s">
        <v>398</v>
      </c>
      <c r="H70" s="50">
        <v>0.9</v>
      </c>
      <c r="I70" s="282"/>
      <c r="J70" s="45"/>
      <c r="K70" s="46"/>
      <c r="L70" s="35"/>
      <c r="O70" s="35"/>
      <c r="P70" s="234"/>
      <c r="Q70" s="47">
        <f>ROUND((ROUND((_11_A通院２１．５*_11・基礎２),0)*(1+_11・A夜間)),0)</f>
        <v>309</v>
      </c>
      <c r="R70" s="48"/>
    </row>
    <row r="71" spans="1:18" ht="16.5" customHeight="1" x14ac:dyDescent="0.15">
      <c r="A71" s="41">
        <v>11</v>
      </c>
      <c r="B71" s="41">
        <v>7226</v>
      </c>
      <c r="C71" s="74" t="s">
        <v>13677</v>
      </c>
      <c r="D71" s="274">
        <f>_11_A通院２１．５</f>
        <v>274</v>
      </c>
      <c r="E71" s="254" t="s">
        <v>392</v>
      </c>
      <c r="F71" s="711"/>
      <c r="G71" s="216"/>
      <c r="H71" s="38"/>
      <c r="I71" s="281" t="s">
        <v>397</v>
      </c>
      <c r="J71" s="218" t="s">
        <v>398</v>
      </c>
      <c r="K71" s="189">
        <v>1</v>
      </c>
      <c r="L71" s="35"/>
      <c r="O71" s="35"/>
      <c r="P71" s="234"/>
      <c r="Q71" s="47">
        <f>ROUND((ROUND((ROUND((_11_A通院２１．５*_11・基礎２),0)*_11・２人),0)*(1+_11・A夜間)),0)</f>
        <v>309</v>
      </c>
      <c r="R71" s="48"/>
    </row>
    <row r="72" spans="1:18" ht="16.5" customHeight="1" x14ac:dyDescent="0.15">
      <c r="A72" s="41">
        <v>11</v>
      </c>
      <c r="B72" s="41" t="s">
        <v>13678</v>
      </c>
      <c r="C72" s="74" t="s">
        <v>13679</v>
      </c>
      <c r="D72" s="72"/>
      <c r="F72" s="53"/>
      <c r="G72" s="221"/>
      <c r="H72" s="50"/>
      <c r="I72" s="282"/>
      <c r="J72" s="45"/>
      <c r="K72" s="46"/>
      <c r="L72" s="35"/>
      <c r="O72" s="707" t="s">
        <v>404</v>
      </c>
      <c r="P72" s="708"/>
      <c r="Q72" s="47">
        <f>ROUND((ROUND((_11_A通院２１．５*(1+_11・A夜間)),0)*_11・初任),0)</f>
        <v>240</v>
      </c>
      <c r="R72" s="48"/>
    </row>
    <row r="73" spans="1:18" ht="16.5" customHeight="1" x14ac:dyDescent="0.15">
      <c r="A73" s="41">
        <v>11</v>
      </c>
      <c r="B73" s="41" t="s">
        <v>13680</v>
      </c>
      <c r="C73" s="74" t="s">
        <v>13681</v>
      </c>
      <c r="D73" s="72"/>
      <c r="F73" s="43"/>
      <c r="G73" s="216"/>
      <c r="H73" s="38"/>
      <c r="I73" s="281" t="s">
        <v>397</v>
      </c>
      <c r="J73" s="218" t="s">
        <v>398</v>
      </c>
      <c r="K73" s="189">
        <v>1</v>
      </c>
      <c r="L73" s="35"/>
      <c r="O73" s="709"/>
      <c r="P73" s="704"/>
      <c r="Q73" s="47">
        <f>ROUND((ROUND((ROUND((_11_A通院２１．５*_11・２人),0)*(1+_11・A夜間)),0)*_11・初任),0)</f>
        <v>240</v>
      </c>
      <c r="R73" s="48"/>
    </row>
    <row r="74" spans="1:18" ht="16.5" customHeight="1" x14ac:dyDescent="0.15">
      <c r="A74" s="41">
        <v>11</v>
      </c>
      <c r="B74" s="41" t="s">
        <v>13682</v>
      </c>
      <c r="C74" s="74" t="s">
        <v>13683</v>
      </c>
      <c r="D74" s="72"/>
      <c r="F74" s="752" t="s">
        <v>400</v>
      </c>
      <c r="G74" s="221" t="s">
        <v>398</v>
      </c>
      <c r="H74" s="50">
        <v>0.9</v>
      </c>
      <c r="I74" s="282"/>
      <c r="J74" s="45"/>
      <c r="K74" s="46"/>
      <c r="L74" s="35"/>
      <c r="O74" s="709"/>
      <c r="P74" s="704"/>
      <c r="Q74" s="47">
        <f>ROUND((ROUND((ROUND((_11_A通院２１．５*_11・基礎２),0)*(1+_11・A夜間)),0)*_11・初任),0)</f>
        <v>216</v>
      </c>
      <c r="R74" s="48"/>
    </row>
    <row r="75" spans="1:18" ht="16.5" customHeight="1" x14ac:dyDescent="0.15">
      <c r="A75" s="41">
        <v>11</v>
      </c>
      <c r="B75" s="41" t="s">
        <v>13684</v>
      </c>
      <c r="C75" s="74" t="s">
        <v>13685</v>
      </c>
      <c r="D75" s="72"/>
      <c r="F75" s="711"/>
      <c r="G75" s="216"/>
      <c r="H75" s="38"/>
      <c r="I75" s="281" t="s">
        <v>397</v>
      </c>
      <c r="J75" s="218" t="s">
        <v>398</v>
      </c>
      <c r="K75" s="189">
        <v>1</v>
      </c>
      <c r="L75" s="35"/>
      <c r="O75" s="240" t="s">
        <v>398</v>
      </c>
      <c r="P75" s="38">
        <f>_11・初任</f>
        <v>0.7</v>
      </c>
      <c r="Q75" s="47">
        <f>ROUND((ROUND((ROUND((ROUND((_11_A通院２１．５*_11・基礎２),0)*_11・２人),0)*(1+_11・A夜間)),0)*_11・初任),0)</f>
        <v>216</v>
      </c>
      <c r="R75" s="48"/>
    </row>
    <row r="76" spans="1:18" ht="16.5" customHeight="1" x14ac:dyDescent="0.15">
      <c r="A76" s="41">
        <v>11</v>
      </c>
      <c r="B76" s="41">
        <v>7227</v>
      </c>
      <c r="C76" s="74" t="s">
        <v>13686</v>
      </c>
      <c r="D76" s="707" t="s">
        <v>782</v>
      </c>
      <c r="E76" s="798"/>
      <c r="F76" s="53"/>
      <c r="G76" s="221"/>
      <c r="H76" s="50"/>
      <c r="I76" s="282"/>
      <c r="J76" s="45"/>
      <c r="K76" s="46"/>
      <c r="L76" s="35"/>
      <c r="O76" s="53"/>
      <c r="P76" s="251"/>
      <c r="Q76" s="47">
        <f>ROUND((_11_A通院２２．０*(1+_11・A夜間)),0)</f>
        <v>429</v>
      </c>
      <c r="R76" s="48"/>
    </row>
    <row r="77" spans="1:18" ht="16.5" customHeight="1" x14ac:dyDescent="0.15">
      <c r="A77" s="41">
        <v>11</v>
      </c>
      <c r="B77" s="41">
        <v>7228</v>
      </c>
      <c r="C77" s="74" t="s">
        <v>13687</v>
      </c>
      <c r="D77" s="799"/>
      <c r="E77" s="796"/>
      <c r="F77" s="43"/>
      <c r="G77" s="216"/>
      <c r="H77" s="38"/>
      <c r="I77" s="281" t="s">
        <v>397</v>
      </c>
      <c r="J77" s="218" t="s">
        <v>398</v>
      </c>
      <c r="K77" s="189">
        <v>1</v>
      </c>
      <c r="L77" s="35"/>
      <c r="O77" s="35"/>
      <c r="P77" s="234"/>
      <c r="Q77" s="47">
        <f>ROUND((ROUND((_11_A通院２２．０*_11・２人),0)*(1+_11・A夜間)),0)</f>
        <v>429</v>
      </c>
      <c r="R77" s="48"/>
    </row>
    <row r="78" spans="1:18" ht="16.5" customHeight="1" x14ac:dyDescent="0.15">
      <c r="A78" s="41">
        <v>11</v>
      </c>
      <c r="B78" s="41">
        <v>7229</v>
      </c>
      <c r="C78" s="74" t="s">
        <v>13688</v>
      </c>
      <c r="D78" s="799"/>
      <c r="E78" s="796"/>
      <c r="F78" s="752" t="s">
        <v>400</v>
      </c>
      <c r="G78" s="221" t="s">
        <v>398</v>
      </c>
      <c r="H78" s="50">
        <v>0.9</v>
      </c>
      <c r="I78" s="282"/>
      <c r="J78" s="45"/>
      <c r="K78" s="46"/>
      <c r="L78" s="35"/>
      <c r="O78" s="35"/>
      <c r="P78" s="234"/>
      <c r="Q78" s="47">
        <f>ROUND((ROUND((_11_A通院２２．０*_11・基礎２),0)*(1+_11・A夜間)),0)</f>
        <v>386</v>
      </c>
      <c r="R78" s="48"/>
    </row>
    <row r="79" spans="1:18" ht="16.5" customHeight="1" x14ac:dyDescent="0.15">
      <c r="A79" s="41">
        <v>11</v>
      </c>
      <c r="B79" s="41">
        <v>7230</v>
      </c>
      <c r="C79" s="74" t="s">
        <v>13689</v>
      </c>
      <c r="D79" s="274">
        <f>_11_A通院２２．０</f>
        <v>343</v>
      </c>
      <c r="E79" s="254" t="s">
        <v>392</v>
      </c>
      <c r="F79" s="711"/>
      <c r="G79" s="216"/>
      <c r="H79" s="38"/>
      <c r="I79" s="281" t="s">
        <v>397</v>
      </c>
      <c r="J79" s="218" t="s">
        <v>398</v>
      </c>
      <c r="K79" s="189">
        <v>1</v>
      </c>
      <c r="L79" s="35"/>
      <c r="O79" s="35"/>
      <c r="P79" s="234"/>
      <c r="Q79" s="47">
        <f>ROUND((ROUND((ROUND((_11_A通院２２．０*_11・基礎２),0)*_11・２人),0)*(1+_11・A夜間)),0)</f>
        <v>386</v>
      </c>
      <c r="R79" s="48"/>
    </row>
    <row r="80" spans="1:18" ht="16.5" customHeight="1" x14ac:dyDescent="0.15">
      <c r="A80" s="41">
        <v>11</v>
      </c>
      <c r="B80" s="41" t="s">
        <v>13690</v>
      </c>
      <c r="C80" s="74" t="s">
        <v>13691</v>
      </c>
      <c r="D80" s="72"/>
      <c r="F80" s="53"/>
      <c r="G80" s="221"/>
      <c r="H80" s="50"/>
      <c r="I80" s="282"/>
      <c r="J80" s="45"/>
      <c r="K80" s="46"/>
      <c r="L80" s="35"/>
      <c r="O80" s="707" t="s">
        <v>404</v>
      </c>
      <c r="P80" s="708"/>
      <c r="Q80" s="47">
        <f>ROUND((ROUND((_11_A通院２２．０*(1+_11・A夜間)),0)*_11・初任),0)</f>
        <v>300</v>
      </c>
      <c r="R80" s="48"/>
    </row>
    <row r="81" spans="1:18" ht="16.5" customHeight="1" x14ac:dyDescent="0.15">
      <c r="A81" s="41">
        <v>11</v>
      </c>
      <c r="B81" s="41" t="s">
        <v>13692</v>
      </c>
      <c r="C81" s="74" t="s">
        <v>13693</v>
      </c>
      <c r="D81" s="72"/>
      <c r="F81" s="43"/>
      <c r="G81" s="216"/>
      <c r="H81" s="38"/>
      <c r="I81" s="281" t="s">
        <v>397</v>
      </c>
      <c r="J81" s="218" t="s">
        <v>398</v>
      </c>
      <c r="K81" s="189">
        <v>1</v>
      </c>
      <c r="L81" s="35"/>
      <c r="O81" s="709"/>
      <c r="P81" s="704"/>
      <c r="Q81" s="47">
        <f>ROUND((ROUND((ROUND((_11_A通院２２．０*_11・２人),0)*(1+_11・A夜間)),0)*_11・初任),0)</f>
        <v>300</v>
      </c>
      <c r="R81" s="48"/>
    </row>
    <row r="82" spans="1:18" ht="16.5" customHeight="1" x14ac:dyDescent="0.15">
      <c r="A82" s="41">
        <v>11</v>
      </c>
      <c r="B82" s="41" t="s">
        <v>13694</v>
      </c>
      <c r="C82" s="74" t="s">
        <v>13695</v>
      </c>
      <c r="D82" s="72"/>
      <c r="F82" s="752" t="s">
        <v>400</v>
      </c>
      <c r="G82" s="221" t="s">
        <v>398</v>
      </c>
      <c r="H82" s="50">
        <v>0.9</v>
      </c>
      <c r="I82" s="282"/>
      <c r="J82" s="45"/>
      <c r="K82" s="46"/>
      <c r="L82" s="35"/>
      <c r="O82" s="709"/>
      <c r="P82" s="704"/>
      <c r="Q82" s="47">
        <f>ROUND((ROUND((ROUND((_11_A通院２２．０*_11・基礎２),0)*(1+_11・A夜間)),0)*_11・初任),0)</f>
        <v>270</v>
      </c>
      <c r="R82" s="48"/>
    </row>
    <row r="83" spans="1:18" ht="16.5" customHeight="1" x14ac:dyDescent="0.15">
      <c r="A83" s="41">
        <v>11</v>
      </c>
      <c r="B83" s="41" t="s">
        <v>13696</v>
      </c>
      <c r="C83" s="74" t="s">
        <v>13697</v>
      </c>
      <c r="D83" s="122"/>
      <c r="E83" s="37"/>
      <c r="F83" s="711"/>
      <c r="G83" s="216"/>
      <c r="H83" s="38"/>
      <c r="I83" s="281" t="s">
        <v>397</v>
      </c>
      <c r="J83" s="218" t="s">
        <v>398</v>
      </c>
      <c r="K83" s="189">
        <v>1</v>
      </c>
      <c r="L83" s="35"/>
      <c r="N83" s="234"/>
      <c r="O83" s="240" t="s">
        <v>398</v>
      </c>
      <c r="P83" s="38">
        <f>_11・初任</f>
        <v>0.7</v>
      </c>
      <c r="Q83" s="47">
        <f>ROUND((ROUND((ROUND((ROUND((_11_A通院２２．０*_11・基礎２),0)*_11・２人),0)*(1+_11・A夜間)),0)*_11・初任),0)</f>
        <v>270</v>
      </c>
      <c r="R83" s="48"/>
    </row>
    <row r="84" spans="1:18" ht="16.5" customHeight="1" x14ac:dyDescent="0.15">
      <c r="A84" s="33">
        <v>11</v>
      </c>
      <c r="B84" s="33">
        <v>7231</v>
      </c>
      <c r="C84" s="34" t="s">
        <v>13698</v>
      </c>
      <c r="D84" s="709" t="s">
        <v>795</v>
      </c>
      <c r="E84" s="796"/>
      <c r="F84" s="35"/>
      <c r="I84" s="70"/>
      <c r="J84" s="37"/>
      <c r="K84" s="38"/>
      <c r="L84" s="35"/>
      <c r="N84" s="234"/>
      <c r="O84" s="35"/>
      <c r="P84" s="234"/>
      <c r="Q84" s="39">
        <f>ROUND((_11_A通院２２．５*(1+_11・A夜間)),0)</f>
        <v>515</v>
      </c>
      <c r="R84" s="48"/>
    </row>
    <row r="85" spans="1:18" ht="16.5" customHeight="1" x14ac:dyDescent="0.15">
      <c r="A85" s="41">
        <v>11</v>
      </c>
      <c r="B85" s="41">
        <v>7232</v>
      </c>
      <c r="C85" s="74" t="s">
        <v>13699</v>
      </c>
      <c r="D85" s="799"/>
      <c r="E85" s="796"/>
      <c r="F85" s="43"/>
      <c r="G85" s="216"/>
      <c r="H85" s="38"/>
      <c r="I85" s="281" t="s">
        <v>397</v>
      </c>
      <c r="J85" s="218" t="s">
        <v>398</v>
      </c>
      <c r="K85" s="189">
        <v>1</v>
      </c>
      <c r="L85" s="35"/>
      <c r="N85" s="234"/>
      <c r="O85" s="35"/>
      <c r="P85" s="234"/>
      <c r="Q85" s="47">
        <f>ROUND((ROUND((_11_A通院２２．５*_11・２人),0)*(1+_11・A夜間)),0)</f>
        <v>515</v>
      </c>
      <c r="R85" s="48"/>
    </row>
    <row r="86" spans="1:18" ht="16.5" customHeight="1" x14ac:dyDescent="0.15">
      <c r="A86" s="41">
        <v>11</v>
      </c>
      <c r="B86" s="41">
        <v>7233</v>
      </c>
      <c r="C86" s="74" t="s">
        <v>13700</v>
      </c>
      <c r="D86" s="799"/>
      <c r="E86" s="796"/>
      <c r="F86" s="752" t="s">
        <v>400</v>
      </c>
      <c r="G86" s="221" t="s">
        <v>398</v>
      </c>
      <c r="H86" s="50">
        <v>0.9</v>
      </c>
      <c r="I86" s="282"/>
      <c r="J86" s="45"/>
      <c r="K86" s="46"/>
      <c r="L86" s="35"/>
      <c r="O86" s="35"/>
      <c r="P86" s="234"/>
      <c r="Q86" s="47">
        <f>ROUND((ROUND((_11_A通院２２．５*_11・基礎２),0)*(1+_11・A夜間)),0)</f>
        <v>464</v>
      </c>
      <c r="R86" s="48"/>
    </row>
    <row r="87" spans="1:18" ht="16.5" customHeight="1" x14ac:dyDescent="0.15">
      <c r="A87" s="41">
        <v>11</v>
      </c>
      <c r="B87" s="41">
        <v>7234</v>
      </c>
      <c r="C87" s="74" t="s">
        <v>13701</v>
      </c>
      <c r="D87" s="274">
        <f>_11_A通院２２．５</f>
        <v>412</v>
      </c>
      <c r="E87" s="254" t="s">
        <v>392</v>
      </c>
      <c r="F87" s="711"/>
      <c r="G87" s="216"/>
      <c r="H87" s="38"/>
      <c r="I87" s="281" t="s">
        <v>397</v>
      </c>
      <c r="J87" s="218" t="s">
        <v>398</v>
      </c>
      <c r="K87" s="189">
        <v>1</v>
      </c>
      <c r="L87" s="35"/>
      <c r="O87" s="35"/>
      <c r="P87" s="234"/>
      <c r="Q87" s="47">
        <f>ROUND((ROUND((ROUND((_11_A通院２２．５*_11・基礎２),0)*_11・２人),0)*(1+_11・A夜間)),0)</f>
        <v>464</v>
      </c>
      <c r="R87" s="48"/>
    </row>
    <row r="88" spans="1:18" ht="16.5" customHeight="1" x14ac:dyDescent="0.15">
      <c r="A88" s="41">
        <v>11</v>
      </c>
      <c r="B88" s="41" t="s">
        <v>13702</v>
      </c>
      <c r="C88" s="74" t="s">
        <v>13703</v>
      </c>
      <c r="D88" s="72"/>
      <c r="F88" s="53"/>
      <c r="G88" s="221"/>
      <c r="H88" s="50"/>
      <c r="I88" s="282"/>
      <c r="J88" s="45"/>
      <c r="K88" s="46"/>
      <c r="L88" s="35"/>
      <c r="O88" s="707" t="s">
        <v>404</v>
      </c>
      <c r="P88" s="708"/>
      <c r="Q88" s="47">
        <f>ROUND((ROUND((_11_A通院２２．５*(1+_11・A夜間)),0)*_11・初任),0)</f>
        <v>361</v>
      </c>
      <c r="R88" s="48"/>
    </row>
    <row r="89" spans="1:18" ht="16.5" customHeight="1" x14ac:dyDescent="0.15">
      <c r="A89" s="41">
        <v>11</v>
      </c>
      <c r="B89" s="41" t="s">
        <v>13704</v>
      </c>
      <c r="C89" s="74" t="s">
        <v>13705</v>
      </c>
      <c r="D89" s="72"/>
      <c r="F89" s="43"/>
      <c r="G89" s="216"/>
      <c r="H89" s="38"/>
      <c r="I89" s="281" t="s">
        <v>397</v>
      </c>
      <c r="J89" s="218" t="s">
        <v>398</v>
      </c>
      <c r="K89" s="189">
        <v>1</v>
      </c>
      <c r="L89" s="35"/>
      <c r="O89" s="709"/>
      <c r="P89" s="704"/>
      <c r="Q89" s="47">
        <f>ROUND((ROUND((ROUND((_11_A通院２２．５*_11・２人),0)*(1+_11・A夜間)),0)*_11・初任),0)</f>
        <v>361</v>
      </c>
      <c r="R89" s="48"/>
    </row>
    <row r="90" spans="1:18" ht="16.5" customHeight="1" x14ac:dyDescent="0.15">
      <c r="A90" s="41">
        <v>11</v>
      </c>
      <c r="B90" s="41" t="s">
        <v>13706</v>
      </c>
      <c r="C90" s="74" t="s">
        <v>13707</v>
      </c>
      <c r="D90" s="72"/>
      <c r="F90" s="752" t="s">
        <v>400</v>
      </c>
      <c r="G90" s="221" t="s">
        <v>398</v>
      </c>
      <c r="H90" s="50">
        <v>0.9</v>
      </c>
      <c r="I90" s="282"/>
      <c r="J90" s="45"/>
      <c r="K90" s="46"/>
      <c r="L90" s="35"/>
      <c r="O90" s="709"/>
      <c r="P90" s="704"/>
      <c r="Q90" s="47">
        <f>ROUND((ROUND((ROUND((_11_A通院２２．５*_11・基礎２),0)*(1+_11・A夜間)),0)*_11・初任),0)</f>
        <v>325</v>
      </c>
      <c r="R90" s="48"/>
    </row>
    <row r="91" spans="1:18" ht="16.5" customHeight="1" x14ac:dyDescent="0.15">
      <c r="A91" s="41">
        <v>11</v>
      </c>
      <c r="B91" s="41" t="s">
        <v>13708</v>
      </c>
      <c r="C91" s="74" t="s">
        <v>13709</v>
      </c>
      <c r="D91" s="72"/>
      <c r="F91" s="711"/>
      <c r="G91" s="216"/>
      <c r="H91" s="38"/>
      <c r="I91" s="281" t="s">
        <v>397</v>
      </c>
      <c r="J91" s="218" t="s">
        <v>398</v>
      </c>
      <c r="K91" s="189">
        <v>1</v>
      </c>
      <c r="L91" s="35"/>
      <c r="O91" s="240" t="s">
        <v>398</v>
      </c>
      <c r="P91" s="38">
        <f>_11・初任</f>
        <v>0.7</v>
      </c>
      <c r="Q91" s="47">
        <f>ROUND((ROUND((ROUND((ROUND((_11_A通院２２．５*_11・基礎２),0)*_11・２人),0)*(1+_11・A夜間)),0)*_11・初任),0)</f>
        <v>325</v>
      </c>
      <c r="R91" s="48"/>
    </row>
    <row r="92" spans="1:18" ht="16.5" customHeight="1" x14ac:dyDescent="0.15">
      <c r="A92" s="41">
        <v>11</v>
      </c>
      <c r="B92" s="41">
        <v>7235</v>
      </c>
      <c r="C92" s="74" t="s">
        <v>13710</v>
      </c>
      <c r="D92" s="707" t="s">
        <v>808</v>
      </c>
      <c r="E92" s="798"/>
      <c r="F92" s="53"/>
      <c r="G92" s="221"/>
      <c r="H92" s="50"/>
      <c r="I92" s="282"/>
      <c r="J92" s="45"/>
      <c r="K92" s="46"/>
      <c r="L92" s="35"/>
      <c r="O92" s="53"/>
      <c r="P92" s="251"/>
      <c r="Q92" s="47">
        <f>ROUND((_11_A通院２３．０*(1+_11・A夜間)),0)</f>
        <v>601</v>
      </c>
      <c r="R92" s="48"/>
    </row>
    <row r="93" spans="1:18" ht="16.5" customHeight="1" x14ac:dyDescent="0.15">
      <c r="A93" s="41">
        <v>11</v>
      </c>
      <c r="B93" s="41">
        <v>7236</v>
      </c>
      <c r="C93" s="74" t="s">
        <v>13711</v>
      </c>
      <c r="D93" s="799"/>
      <c r="E93" s="796"/>
      <c r="F93" s="43"/>
      <c r="G93" s="216"/>
      <c r="H93" s="38"/>
      <c r="I93" s="281" t="s">
        <v>397</v>
      </c>
      <c r="J93" s="218" t="s">
        <v>398</v>
      </c>
      <c r="K93" s="189">
        <v>1</v>
      </c>
      <c r="L93" s="35"/>
      <c r="O93" s="35"/>
      <c r="P93" s="234"/>
      <c r="Q93" s="47">
        <f>ROUND((ROUND((_11_A通院２３．０*_11・２人),0)*(1+_11・A夜間)),0)</f>
        <v>601</v>
      </c>
      <c r="R93" s="48"/>
    </row>
    <row r="94" spans="1:18" ht="16.5" customHeight="1" x14ac:dyDescent="0.15">
      <c r="A94" s="41">
        <v>11</v>
      </c>
      <c r="B94" s="41">
        <v>7237</v>
      </c>
      <c r="C94" s="74" t="s">
        <v>13712</v>
      </c>
      <c r="D94" s="799"/>
      <c r="E94" s="796"/>
      <c r="F94" s="752" t="s">
        <v>400</v>
      </c>
      <c r="G94" s="221" t="s">
        <v>398</v>
      </c>
      <c r="H94" s="50">
        <v>0.9</v>
      </c>
      <c r="I94" s="282"/>
      <c r="J94" s="45"/>
      <c r="K94" s="46"/>
      <c r="L94" s="35"/>
      <c r="O94" s="35"/>
      <c r="P94" s="234"/>
      <c r="Q94" s="47">
        <f>ROUND((ROUND((_11_A通院２３．０*_11・基礎２),0)*(1+_11・A夜間)),0)</f>
        <v>541</v>
      </c>
      <c r="R94" s="48"/>
    </row>
    <row r="95" spans="1:18" ht="16.5" customHeight="1" x14ac:dyDescent="0.15">
      <c r="A95" s="41">
        <v>11</v>
      </c>
      <c r="B95" s="41">
        <v>7238</v>
      </c>
      <c r="C95" s="74" t="s">
        <v>13713</v>
      </c>
      <c r="D95" s="274">
        <f>_11_A通院２３．０</f>
        <v>481</v>
      </c>
      <c r="E95" s="254" t="s">
        <v>392</v>
      </c>
      <c r="F95" s="711"/>
      <c r="G95" s="216"/>
      <c r="H95" s="38"/>
      <c r="I95" s="281" t="s">
        <v>397</v>
      </c>
      <c r="J95" s="218" t="s">
        <v>398</v>
      </c>
      <c r="K95" s="189">
        <v>1</v>
      </c>
      <c r="L95" s="35"/>
      <c r="O95" s="35"/>
      <c r="P95" s="234"/>
      <c r="Q95" s="47">
        <f>ROUND((ROUND((ROUND((_11_A通院２３．０*_11・基礎２),0)*_11・２人),0)*(1+_11・A夜間)),0)</f>
        <v>541</v>
      </c>
      <c r="R95" s="48"/>
    </row>
    <row r="96" spans="1:18" ht="16.5" customHeight="1" x14ac:dyDescent="0.15">
      <c r="A96" s="41">
        <v>11</v>
      </c>
      <c r="B96" s="41" t="s">
        <v>13714</v>
      </c>
      <c r="C96" s="74" t="s">
        <v>13715</v>
      </c>
      <c r="D96" s="72"/>
      <c r="F96" s="53"/>
      <c r="G96" s="221"/>
      <c r="H96" s="50"/>
      <c r="I96" s="282"/>
      <c r="J96" s="45"/>
      <c r="K96" s="46"/>
      <c r="L96" s="35"/>
      <c r="O96" s="707" t="s">
        <v>404</v>
      </c>
      <c r="P96" s="708"/>
      <c r="Q96" s="47">
        <f>ROUND((ROUND((_11_A通院２３．０*(1+_11・A夜間)),0)*_11・初任),0)</f>
        <v>421</v>
      </c>
      <c r="R96" s="48"/>
    </row>
    <row r="97" spans="1:18" ht="16.5" customHeight="1" x14ac:dyDescent="0.15">
      <c r="A97" s="41">
        <v>11</v>
      </c>
      <c r="B97" s="41" t="s">
        <v>13716</v>
      </c>
      <c r="C97" s="74" t="s">
        <v>13717</v>
      </c>
      <c r="D97" s="72"/>
      <c r="F97" s="43"/>
      <c r="G97" s="216"/>
      <c r="H97" s="38"/>
      <c r="I97" s="281" t="s">
        <v>397</v>
      </c>
      <c r="J97" s="218" t="s">
        <v>398</v>
      </c>
      <c r="K97" s="189">
        <v>1</v>
      </c>
      <c r="L97" s="35"/>
      <c r="O97" s="709"/>
      <c r="P97" s="704"/>
      <c r="Q97" s="47">
        <f>ROUND((ROUND((ROUND((_11_A通院２３．０*_11・２人),0)*(1+_11・A夜間)),0)*_11・初任),0)</f>
        <v>421</v>
      </c>
      <c r="R97" s="48"/>
    </row>
    <row r="98" spans="1:18" ht="16.5" customHeight="1" x14ac:dyDescent="0.15">
      <c r="A98" s="41">
        <v>11</v>
      </c>
      <c r="B98" s="41" t="s">
        <v>13718</v>
      </c>
      <c r="C98" s="74" t="s">
        <v>13719</v>
      </c>
      <c r="D98" s="72"/>
      <c r="F98" s="752" t="s">
        <v>400</v>
      </c>
      <c r="G98" s="221" t="s">
        <v>398</v>
      </c>
      <c r="H98" s="50">
        <v>0.9</v>
      </c>
      <c r="I98" s="282"/>
      <c r="J98" s="45"/>
      <c r="K98" s="46"/>
      <c r="L98" s="35"/>
      <c r="O98" s="709"/>
      <c r="P98" s="704"/>
      <c r="Q98" s="47">
        <f>ROUND((ROUND((ROUND((_11_A通院２３．０*_11・基礎２),0)*(1+_11・A夜間)),0)*_11・初任),0)</f>
        <v>379</v>
      </c>
      <c r="R98" s="48"/>
    </row>
    <row r="99" spans="1:18" ht="16.5" customHeight="1" x14ac:dyDescent="0.15">
      <c r="A99" s="41">
        <v>11</v>
      </c>
      <c r="B99" s="41" t="s">
        <v>13720</v>
      </c>
      <c r="C99" s="74" t="s">
        <v>13721</v>
      </c>
      <c r="D99" s="72"/>
      <c r="F99" s="711"/>
      <c r="G99" s="216"/>
      <c r="H99" s="38"/>
      <c r="I99" s="281" t="s">
        <v>397</v>
      </c>
      <c r="J99" s="218" t="s">
        <v>398</v>
      </c>
      <c r="K99" s="189">
        <v>1</v>
      </c>
      <c r="L99" s="35"/>
      <c r="O99" s="240" t="s">
        <v>398</v>
      </c>
      <c r="P99" s="38">
        <f>_11・初任</f>
        <v>0.7</v>
      </c>
      <c r="Q99" s="47">
        <f>ROUND((ROUND((ROUND((ROUND((_11_A通院２３．０*_11・基礎２),0)*_11・２人),0)*(1+_11・A夜間)),0)*_11・初任),0)</f>
        <v>379</v>
      </c>
      <c r="R99" s="48"/>
    </row>
    <row r="100" spans="1:18" ht="16.5" customHeight="1" x14ac:dyDescent="0.15">
      <c r="A100" s="41">
        <v>11</v>
      </c>
      <c r="B100" s="41">
        <v>7239</v>
      </c>
      <c r="C100" s="74" t="s">
        <v>13722</v>
      </c>
      <c r="D100" s="707" t="s">
        <v>821</v>
      </c>
      <c r="E100" s="798"/>
      <c r="F100" s="53"/>
      <c r="G100" s="221"/>
      <c r="H100" s="50"/>
      <c r="I100" s="282"/>
      <c r="J100" s="45"/>
      <c r="K100" s="46"/>
      <c r="L100" s="35"/>
      <c r="O100" s="53"/>
      <c r="P100" s="251"/>
      <c r="Q100" s="47">
        <f>ROUND((_11_A通院２３．５*(1+_11・A夜間)),0)</f>
        <v>688</v>
      </c>
      <c r="R100" s="48"/>
    </row>
    <row r="101" spans="1:18" ht="16.5" customHeight="1" x14ac:dyDescent="0.15">
      <c r="A101" s="41">
        <v>11</v>
      </c>
      <c r="B101" s="41">
        <v>7240</v>
      </c>
      <c r="C101" s="74" t="s">
        <v>13723</v>
      </c>
      <c r="D101" s="799"/>
      <c r="E101" s="796"/>
      <c r="F101" s="43"/>
      <c r="G101" s="216"/>
      <c r="H101" s="38"/>
      <c r="I101" s="281" t="s">
        <v>397</v>
      </c>
      <c r="J101" s="218" t="s">
        <v>398</v>
      </c>
      <c r="K101" s="189">
        <v>1</v>
      </c>
      <c r="L101" s="35"/>
      <c r="O101" s="35"/>
      <c r="P101" s="234"/>
      <c r="Q101" s="47">
        <f>ROUND((ROUND((_11_A通院２３．５*_11・２人),0)*(1+_11・A夜間)),0)</f>
        <v>688</v>
      </c>
      <c r="R101" s="48"/>
    </row>
    <row r="102" spans="1:18" ht="16.5" customHeight="1" x14ac:dyDescent="0.15">
      <c r="A102" s="41">
        <v>11</v>
      </c>
      <c r="B102" s="41">
        <v>7241</v>
      </c>
      <c r="C102" s="74" t="s">
        <v>13724</v>
      </c>
      <c r="D102" s="799"/>
      <c r="E102" s="796"/>
      <c r="F102" s="752" t="s">
        <v>400</v>
      </c>
      <c r="G102" s="221" t="s">
        <v>398</v>
      </c>
      <c r="H102" s="50">
        <v>0.9</v>
      </c>
      <c r="I102" s="282"/>
      <c r="J102" s="45"/>
      <c r="K102" s="46"/>
      <c r="L102" s="35"/>
      <c r="O102" s="35"/>
      <c r="P102" s="234"/>
      <c r="Q102" s="47">
        <f>ROUND((ROUND((_11_A通院２３．５*_11・基礎２),0)*(1+_11・A夜間)),0)</f>
        <v>619</v>
      </c>
      <c r="R102" s="48"/>
    </row>
    <row r="103" spans="1:18" ht="16.5" customHeight="1" x14ac:dyDescent="0.15">
      <c r="A103" s="41">
        <v>11</v>
      </c>
      <c r="B103" s="41">
        <v>7242</v>
      </c>
      <c r="C103" s="74" t="s">
        <v>13725</v>
      </c>
      <c r="D103" s="274">
        <f>_11_A通院２３．５</f>
        <v>550</v>
      </c>
      <c r="E103" s="254" t="s">
        <v>392</v>
      </c>
      <c r="F103" s="711"/>
      <c r="G103" s="216"/>
      <c r="H103" s="38"/>
      <c r="I103" s="281" t="s">
        <v>397</v>
      </c>
      <c r="J103" s="218" t="s">
        <v>398</v>
      </c>
      <c r="K103" s="189">
        <v>1</v>
      </c>
      <c r="L103" s="35"/>
      <c r="O103" s="35"/>
      <c r="P103" s="234"/>
      <c r="Q103" s="47">
        <f>ROUND((ROUND((ROUND((_11_A通院２３．５*_11・基礎２),0)*_11・２人),0)*(1+_11・A夜間)),0)</f>
        <v>619</v>
      </c>
      <c r="R103" s="48"/>
    </row>
    <row r="104" spans="1:18" ht="16.5" customHeight="1" x14ac:dyDescent="0.15">
      <c r="A104" s="41">
        <v>11</v>
      </c>
      <c r="B104" s="41" t="s">
        <v>13726</v>
      </c>
      <c r="C104" s="74" t="s">
        <v>13727</v>
      </c>
      <c r="D104" s="72"/>
      <c r="F104" s="53"/>
      <c r="G104" s="221"/>
      <c r="H104" s="50"/>
      <c r="I104" s="282"/>
      <c r="J104" s="45"/>
      <c r="K104" s="46"/>
      <c r="L104" s="35"/>
      <c r="O104" s="707" t="s">
        <v>404</v>
      </c>
      <c r="P104" s="708"/>
      <c r="Q104" s="47">
        <f>ROUND((ROUND((_11_A通院２３．５*(1+_11・A夜間)),0)*_11・初任),0)</f>
        <v>482</v>
      </c>
      <c r="R104" s="48"/>
    </row>
    <row r="105" spans="1:18" ht="16.5" customHeight="1" x14ac:dyDescent="0.15">
      <c r="A105" s="41">
        <v>11</v>
      </c>
      <c r="B105" s="41" t="s">
        <v>13728</v>
      </c>
      <c r="C105" s="74" t="s">
        <v>13729</v>
      </c>
      <c r="D105" s="72"/>
      <c r="F105" s="43"/>
      <c r="G105" s="216"/>
      <c r="H105" s="38"/>
      <c r="I105" s="281" t="s">
        <v>397</v>
      </c>
      <c r="J105" s="218" t="s">
        <v>398</v>
      </c>
      <c r="K105" s="189">
        <v>1</v>
      </c>
      <c r="L105" s="35"/>
      <c r="O105" s="709"/>
      <c r="P105" s="704"/>
      <c r="Q105" s="47">
        <f>ROUND((ROUND((ROUND((_11_A通院２３．５*_11・２人),0)*(1+_11・A夜間)),0)*_11・初任),0)</f>
        <v>482</v>
      </c>
      <c r="R105" s="48"/>
    </row>
    <row r="106" spans="1:18" ht="16.5" customHeight="1" x14ac:dyDescent="0.15">
      <c r="A106" s="41">
        <v>11</v>
      </c>
      <c r="B106" s="41" t="s">
        <v>13730</v>
      </c>
      <c r="C106" s="74" t="s">
        <v>13731</v>
      </c>
      <c r="D106" s="72"/>
      <c r="F106" s="752" t="s">
        <v>400</v>
      </c>
      <c r="G106" s="221" t="s">
        <v>398</v>
      </c>
      <c r="H106" s="50">
        <v>0.9</v>
      </c>
      <c r="I106" s="282"/>
      <c r="J106" s="45"/>
      <c r="K106" s="46"/>
      <c r="L106" s="35"/>
      <c r="O106" s="709"/>
      <c r="P106" s="704"/>
      <c r="Q106" s="47">
        <f>ROUND((ROUND((ROUND((_11_A通院２３．５*_11・基礎２),0)*(1+_11・A夜間)),0)*_11・初任),0)</f>
        <v>433</v>
      </c>
      <c r="R106" s="48"/>
    </row>
    <row r="107" spans="1:18" ht="16.5" customHeight="1" x14ac:dyDescent="0.15">
      <c r="A107" s="41">
        <v>11</v>
      </c>
      <c r="B107" s="41" t="s">
        <v>13732</v>
      </c>
      <c r="C107" s="74" t="s">
        <v>13733</v>
      </c>
      <c r="D107" s="72"/>
      <c r="F107" s="711"/>
      <c r="G107" s="216"/>
      <c r="H107" s="38"/>
      <c r="I107" s="281" t="s">
        <v>397</v>
      </c>
      <c r="J107" s="218" t="s">
        <v>398</v>
      </c>
      <c r="K107" s="189">
        <v>1</v>
      </c>
      <c r="L107" s="35"/>
      <c r="O107" s="240" t="s">
        <v>398</v>
      </c>
      <c r="P107" s="38">
        <f>_11・初任</f>
        <v>0.7</v>
      </c>
      <c r="Q107" s="47">
        <f>ROUND((ROUND((ROUND((ROUND((_11_A通院２３．５*_11・基礎２),0)*_11・２人),0)*(1+_11・A夜間)),0)*_11・初任),0)</f>
        <v>433</v>
      </c>
      <c r="R107" s="48"/>
    </row>
    <row r="108" spans="1:18" ht="16.5" customHeight="1" x14ac:dyDescent="0.15">
      <c r="A108" s="41">
        <v>11</v>
      </c>
      <c r="B108" s="41">
        <v>7243</v>
      </c>
      <c r="C108" s="74" t="s">
        <v>13734</v>
      </c>
      <c r="D108" s="707" t="s">
        <v>834</v>
      </c>
      <c r="E108" s="798"/>
      <c r="F108" s="53"/>
      <c r="G108" s="221"/>
      <c r="H108" s="50"/>
      <c r="I108" s="282"/>
      <c r="J108" s="45"/>
      <c r="K108" s="46"/>
      <c r="L108" s="35"/>
      <c r="O108" s="53"/>
      <c r="P108" s="251"/>
      <c r="Q108" s="47">
        <f>ROUND((_11_A通院２４．０*(1+_11・A夜間)),0)</f>
        <v>774</v>
      </c>
      <c r="R108" s="48"/>
    </row>
    <row r="109" spans="1:18" ht="16.5" customHeight="1" x14ac:dyDescent="0.15">
      <c r="A109" s="41">
        <v>11</v>
      </c>
      <c r="B109" s="41">
        <v>7244</v>
      </c>
      <c r="C109" s="74" t="s">
        <v>13735</v>
      </c>
      <c r="D109" s="799"/>
      <c r="E109" s="796"/>
      <c r="F109" s="43"/>
      <c r="G109" s="216"/>
      <c r="H109" s="38"/>
      <c r="I109" s="281" t="s">
        <v>397</v>
      </c>
      <c r="J109" s="218" t="s">
        <v>398</v>
      </c>
      <c r="K109" s="189">
        <v>1</v>
      </c>
      <c r="L109" s="35"/>
      <c r="O109" s="35"/>
      <c r="P109" s="234"/>
      <c r="Q109" s="47">
        <f>ROUND((ROUND((_11_A通院２４．０*_11・２人),0)*(1+_11・A夜間)),0)</f>
        <v>774</v>
      </c>
      <c r="R109" s="48"/>
    </row>
    <row r="110" spans="1:18" ht="16.5" customHeight="1" x14ac:dyDescent="0.15">
      <c r="A110" s="41">
        <v>11</v>
      </c>
      <c r="B110" s="41">
        <v>7245</v>
      </c>
      <c r="C110" s="74" t="s">
        <v>13736</v>
      </c>
      <c r="D110" s="799"/>
      <c r="E110" s="796"/>
      <c r="F110" s="752" t="s">
        <v>400</v>
      </c>
      <c r="G110" s="221" t="s">
        <v>398</v>
      </c>
      <c r="H110" s="50">
        <v>0.9</v>
      </c>
      <c r="I110" s="282"/>
      <c r="J110" s="45"/>
      <c r="K110" s="46"/>
      <c r="L110" s="35"/>
      <c r="O110" s="35"/>
      <c r="P110" s="234"/>
      <c r="Q110" s="47">
        <f>ROUND((ROUND((_11_A通院２４．０*_11・基礎２),0)*(1+_11・A夜間)),0)</f>
        <v>696</v>
      </c>
      <c r="R110" s="48"/>
    </row>
    <row r="111" spans="1:18" ht="16.5" customHeight="1" x14ac:dyDescent="0.15">
      <c r="A111" s="41">
        <v>11</v>
      </c>
      <c r="B111" s="41">
        <v>7246</v>
      </c>
      <c r="C111" s="74" t="s">
        <v>13737</v>
      </c>
      <c r="D111" s="274">
        <f>_11_A通院２４．０</f>
        <v>619</v>
      </c>
      <c r="E111" s="254" t="s">
        <v>392</v>
      </c>
      <c r="F111" s="711"/>
      <c r="G111" s="216"/>
      <c r="H111" s="38"/>
      <c r="I111" s="281" t="s">
        <v>397</v>
      </c>
      <c r="J111" s="218" t="s">
        <v>398</v>
      </c>
      <c r="K111" s="189">
        <v>1</v>
      </c>
      <c r="L111" s="35"/>
      <c r="O111" s="35"/>
      <c r="P111" s="234"/>
      <c r="Q111" s="47">
        <f>ROUND((ROUND((ROUND((_11_A通院２４．０*_11・基礎２),0)*_11・２人),0)*(1+_11・A夜間)),0)</f>
        <v>696</v>
      </c>
      <c r="R111" s="48"/>
    </row>
    <row r="112" spans="1:18" ht="16.5" customHeight="1" x14ac:dyDescent="0.15">
      <c r="A112" s="41">
        <v>11</v>
      </c>
      <c r="B112" s="41" t="s">
        <v>13738</v>
      </c>
      <c r="C112" s="74" t="s">
        <v>13739</v>
      </c>
      <c r="D112" s="72"/>
      <c r="F112" s="53"/>
      <c r="G112" s="221"/>
      <c r="H112" s="50"/>
      <c r="I112" s="282"/>
      <c r="J112" s="45"/>
      <c r="K112" s="46"/>
      <c r="L112" s="35"/>
      <c r="O112" s="707" t="s">
        <v>404</v>
      </c>
      <c r="P112" s="708"/>
      <c r="Q112" s="47">
        <f>ROUND((ROUND((_11_A通院２４．０*(1+_11・A夜間)),0)*_11・初任),0)</f>
        <v>542</v>
      </c>
      <c r="R112" s="48"/>
    </row>
    <row r="113" spans="1:18" ht="16.5" customHeight="1" x14ac:dyDescent="0.15">
      <c r="A113" s="41">
        <v>11</v>
      </c>
      <c r="B113" s="41" t="s">
        <v>13740</v>
      </c>
      <c r="C113" s="74" t="s">
        <v>13741</v>
      </c>
      <c r="D113" s="72"/>
      <c r="F113" s="43"/>
      <c r="G113" s="216"/>
      <c r="H113" s="38"/>
      <c r="I113" s="281" t="s">
        <v>397</v>
      </c>
      <c r="J113" s="218" t="s">
        <v>398</v>
      </c>
      <c r="K113" s="189">
        <v>1</v>
      </c>
      <c r="L113" s="35"/>
      <c r="O113" s="709"/>
      <c r="P113" s="704"/>
      <c r="Q113" s="47">
        <f>ROUND((ROUND((ROUND((_11_A通院２４．０*_11・２人),0)*(1+_11・A夜間)),0)*_11・初任),0)</f>
        <v>542</v>
      </c>
      <c r="R113" s="48"/>
    </row>
    <row r="114" spans="1:18" ht="16.5" customHeight="1" x14ac:dyDescent="0.15">
      <c r="A114" s="41">
        <v>11</v>
      </c>
      <c r="B114" s="41" t="s">
        <v>13742</v>
      </c>
      <c r="C114" s="74" t="s">
        <v>13743</v>
      </c>
      <c r="D114" s="72"/>
      <c r="F114" s="752" t="s">
        <v>400</v>
      </c>
      <c r="G114" s="221" t="s">
        <v>398</v>
      </c>
      <c r="H114" s="50">
        <v>0.9</v>
      </c>
      <c r="I114" s="282"/>
      <c r="J114" s="45"/>
      <c r="K114" s="46"/>
      <c r="L114" s="35"/>
      <c r="O114" s="709"/>
      <c r="P114" s="704"/>
      <c r="Q114" s="47">
        <f>ROUND((ROUND((ROUND((_11_A通院２４．０*_11・基礎２),0)*(1+_11・A夜間)),0)*_11・初任),0)</f>
        <v>487</v>
      </c>
      <c r="R114" s="48"/>
    </row>
    <row r="115" spans="1:18" ht="16.5" customHeight="1" x14ac:dyDescent="0.15">
      <c r="A115" s="41">
        <v>11</v>
      </c>
      <c r="B115" s="41" t="s">
        <v>13744</v>
      </c>
      <c r="C115" s="74" t="s">
        <v>13745</v>
      </c>
      <c r="D115" s="72"/>
      <c r="F115" s="711"/>
      <c r="G115" s="216"/>
      <c r="H115" s="38"/>
      <c r="I115" s="281" t="s">
        <v>397</v>
      </c>
      <c r="J115" s="218" t="s">
        <v>398</v>
      </c>
      <c r="K115" s="189">
        <v>1</v>
      </c>
      <c r="L115" s="35"/>
      <c r="O115" s="240" t="s">
        <v>398</v>
      </c>
      <c r="P115" s="38">
        <f>_11・初任</f>
        <v>0.7</v>
      </c>
      <c r="Q115" s="47">
        <f>ROUND((ROUND((ROUND((ROUND((_11_A通院２４．０*_11・基礎２),0)*_11・２人),0)*(1+_11・A夜間)),0)*_11・初任),0)</f>
        <v>487</v>
      </c>
      <c r="R115" s="48"/>
    </row>
    <row r="116" spans="1:18" ht="16.5" customHeight="1" x14ac:dyDescent="0.15">
      <c r="A116" s="41">
        <v>11</v>
      </c>
      <c r="B116" s="41">
        <v>7247</v>
      </c>
      <c r="C116" s="74" t="s">
        <v>13746</v>
      </c>
      <c r="D116" s="707" t="s">
        <v>847</v>
      </c>
      <c r="E116" s="798"/>
      <c r="F116" s="53"/>
      <c r="G116" s="221"/>
      <c r="H116" s="50"/>
      <c r="I116" s="282"/>
      <c r="J116" s="45"/>
      <c r="K116" s="46"/>
      <c r="L116" s="35"/>
      <c r="O116" s="53"/>
      <c r="P116" s="251"/>
      <c r="Q116" s="47">
        <f>ROUND((_11_A通院２４．５*(1+_11・A夜間)),0)</f>
        <v>860</v>
      </c>
      <c r="R116" s="48"/>
    </row>
    <row r="117" spans="1:18" ht="16.5" customHeight="1" x14ac:dyDescent="0.15">
      <c r="A117" s="41">
        <v>11</v>
      </c>
      <c r="B117" s="41">
        <v>7248</v>
      </c>
      <c r="C117" s="74" t="s">
        <v>13747</v>
      </c>
      <c r="D117" s="799"/>
      <c r="E117" s="796"/>
      <c r="F117" s="43"/>
      <c r="G117" s="216"/>
      <c r="H117" s="38"/>
      <c r="I117" s="281" t="s">
        <v>397</v>
      </c>
      <c r="J117" s="218" t="s">
        <v>398</v>
      </c>
      <c r="K117" s="189">
        <v>1</v>
      </c>
      <c r="L117" s="35"/>
      <c r="O117" s="35"/>
      <c r="P117" s="234"/>
      <c r="Q117" s="47">
        <f>ROUND((ROUND((_11_A通院２４．５*_11・２人),0)*(1+_11・A夜間)),0)</f>
        <v>860</v>
      </c>
      <c r="R117" s="48"/>
    </row>
    <row r="118" spans="1:18" ht="16.5" customHeight="1" x14ac:dyDescent="0.15">
      <c r="A118" s="41">
        <v>11</v>
      </c>
      <c r="B118" s="41">
        <v>7249</v>
      </c>
      <c r="C118" s="74" t="s">
        <v>13748</v>
      </c>
      <c r="D118" s="799"/>
      <c r="E118" s="796"/>
      <c r="F118" s="752" t="s">
        <v>400</v>
      </c>
      <c r="G118" s="221" t="s">
        <v>398</v>
      </c>
      <c r="H118" s="50">
        <v>0.9</v>
      </c>
      <c r="I118" s="282"/>
      <c r="J118" s="45"/>
      <c r="K118" s="46"/>
      <c r="L118" s="35"/>
      <c r="O118" s="35"/>
      <c r="P118" s="234"/>
      <c r="Q118" s="47">
        <f>ROUND((ROUND((_11_A通院２４．５*_11・基礎２),0)*(1+_11・A夜間)),0)</f>
        <v>774</v>
      </c>
      <c r="R118" s="48"/>
    </row>
    <row r="119" spans="1:18" ht="16.5" customHeight="1" x14ac:dyDescent="0.15">
      <c r="A119" s="41">
        <v>11</v>
      </c>
      <c r="B119" s="41">
        <v>7250</v>
      </c>
      <c r="C119" s="74" t="s">
        <v>13749</v>
      </c>
      <c r="D119" s="274">
        <f>_11_A通院２４．５</f>
        <v>688</v>
      </c>
      <c r="E119" s="254" t="s">
        <v>392</v>
      </c>
      <c r="F119" s="711"/>
      <c r="G119" s="216"/>
      <c r="H119" s="38"/>
      <c r="I119" s="281" t="s">
        <v>397</v>
      </c>
      <c r="J119" s="218" t="s">
        <v>398</v>
      </c>
      <c r="K119" s="189">
        <v>1</v>
      </c>
      <c r="L119" s="35"/>
      <c r="O119" s="35"/>
      <c r="P119" s="234"/>
      <c r="Q119" s="47">
        <f>ROUND((ROUND((ROUND((_11_A通院２４．５*_11・基礎２),0)*_11・２人),0)*(1+_11・A夜間)),0)</f>
        <v>774</v>
      </c>
      <c r="R119" s="48"/>
    </row>
    <row r="120" spans="1:18" ht="16.5" customHeight="1" x14ac:dyDescent="0.15">
      <c r="A120" s="41">
        <v>11</v>
      </c>
      <c r="B120" s="41" t="s">
        <v>13750</v>
      </c>
      <c r="C120" s="74" t="s">
        <v>13751</v>
      </c>
      <c r="D120" s="72"/>
      <c r="F120" s="53"/>
      <c r="G120" s="221"/>
      <c r="H120" s="50"/>
      <c r="I120" s="282"/>
      <c r="J120" s="45"/>
      <c r="K120" s="46"/>
      <c r="L120" s="35"/>
      <c r="O120" s="707" t="s">
        <v>404</v>
      </c>
      <c r="P120" s="708"/>
      <c r="Q120" s="47">
        <f>ROUND((ROUND((_11_A通院２４．５*(1+_11・A夜間)),0)*_11・初任),0)</f>
        <v>602</v>
      </c>
      <c r="R120" s="48"/>
    </row>
    <row r="121" spans="1:18" ht="16.5" customHeight="1" x14ac:dyDescent="0.15">
      <c r="A121" s="41">
        <v>11</v>
      </c>
      <c r="B121" s="41" t="s">
        <v>13752</v>
      </c>
      <c r="C121" s="74" t="s">
        <v>13753</v>
      </c>
      <c r="D121" s="72"/>
      <c r="F121" s="43"/>
      <c r="G121" s="216"/>
      <c r="H121" s="38"/>
      <c r="I121" s="281" t="s">
        <v>397</v>
      </c>
      <c r="J121" s="218" t="s">
        <v>398</v>
      </c>
      <c r="K121" s="189">
        <v>1</v>
      </c>
      <c r="L121" s="35"/>
      <c r="O121" s="709"/>
      <c r="P121" s="704"/>
      <c r="Q121" s="47">
        <f>ROUND((ROUND((ROUND((_11_A通院２４．５*_11・２人),0)*(1+_11・A夜間)),0)*_11・初任),0)</f>
        <v>602</v>
      </c>
      <c r="R121" s="48"/>
    </row>
    <row r="122" spans="1:18" ht="16.5" customHeight="1" x14ac:dyDescent="0.15">
      <c r="A122" s="41">
        <v>11</v>
      </c>
      <c r="B122" s="41" t="s">
        <v>13754</v>
      </c>
      <c r="C122" s="74" t="s">
        <v>13755</v>
      </c>
      <c r="D122" s="72"/>
      <c r="F122" s="752" t="s">
        <v>400</v>
      </c>
      <c r="G122" s="221" t="s">
        <v>398</v>
      </c>
      <c r="H122" s="50">
        <v>0.9</v>
      </c>
      <c r="I122" s="282"/>
      <c r="J122" s="45"/>
      <c r="K122" s="46"/>
      <c r="L122" s="35"/>
      <c r="O122" s="709"/>
      <c r="P122" s="704"/>
      <c r="Q122" s="47">
        <f>ROUND((ROUND((ROUND((_11_A通院２４．５*_11・基礎２),0)*(1+_11・A夜間)),0)*_11・初任),0)</f>
        <v>542</v>
      </c>
      <c r="R122" s="48"/>
    </row>
    <row r="123" spans="1:18" ht="16.5" customHeight="1" x14ac:dyDescent="0.15">
      <c r="A123" s="41">
        <v>11</v>
      </c>
      <c r="B123" s="41" t="s">
        <v>13756</v>
      </c>
      <c r="C123" s="74" t="s">
        <v>13757</v>
      </c>
      <c r="D123" s="122"/>
      <c r="E123" s="37"/>
      <c r="F123" s="711"/>
      <c r="G123" s="216"/>
      <c r="H123" s="38"/>
      <c r="I123" s="281" t="s">
        <v>397</v>
      </c>
      <c r="J123" s="218" t="s">
        <v>398</v>
      </c>
      <c r="K123" s="189">
        <v>1</v>
      </c>
      <c r="L123" s="43"/>
      <c r="M123" s="37"/>
      <c r="N123" s="38"/>
      <c r="O123" s="240" t="s">
        <v>398</v>
      </c>
      <c r="P123" s="38">
        <f>_11・初任</f>
        <v>0.7</v>
      </c>
      <c r="Q123" s="47">
        <f>ROUND((ROUND((ROUND((ROUND((_11_A通院２４．５*_11・基礎２),0)*_11・２人),0)*(1+_11・A夜間)),0)*_11・初任),0)</f>
        <v>542</v>
      </c>
      <c r="R123" s="63"/>
    </row>
    <row r="124" spans="1:18" ht="16.5" customHeight="1" x14ac:dyDescent="0.15"/>
    <row r="125" spans="1:18" ht="16.5" customHeight="1" x14ac:dyDescent="0.15"/>
  </sheetData>
  <mergeCells count="58">
    <mergeCell ref="O120:P122"/>
    <mergeCell ref="F122:F123"/>
    <mergeCell ref="D108:E110"/>
    <mergeCell ref="F110:F111"/>
    <mergeCell ref="O112:P114"/>
    <mergeCell ref="F114:F115"/>
    <mergeCell ref="D116:E118"/>
    <mergeCell ref="F118:F119"/>
    <mergeCell ref="O96:P98"/>
    <mergeCell ref="F98:F99"/>
    <mergeCell ref="D100:E102"/>
    <mergeCell ref="F102:F103"/>
    <mergeCell ref="O104:P106"/>
    <mergeCell ref="F106:F107"/>
    <mergeCell ref="D84:E86"/>
    <mergeCell ref="F86:F87"/>
    <mergeCell ref="O88:P90"/>
    <mergeCell ref="F90:F91"/>
    <mergeCell ref="D92:E94"/>
    <mergeCell ref="F94:F95"/>
    <mergeCell ref="O72:P74"/>
    <mergeCell ref="F74:F75"/>
    <mergeCell ref="D76:E78"/>
    <mergeCell ref="F78:F79"/>
    <mergeCell ref="O80:P82"/>
    <mergeCell ref="F82:F83"/>
    <mergeCell ref="D60:E62"/>
    <mergeCell ref="F62:F63"/>
    <mergeCell ref="O64:P66"/>
    <mergeCell ref="F66:F67"/>
    <mergeCell ref="D68:E70"/>
    <mergeCell ref="F70:F71"/>
    <mergeCell ref="O27:P29"/>
    <mergeCell ref="F29:F30"/>
    <mergeCell ref="O56:P58"/>
    <mergeCell ref="F58:F59"/>
    <mergeCell ref="D31:E33"/>
    <mergeCell ref="F33:F34"/>
    <mergeCell ref="O35:P37"/>
    <mergeCell ref="F37:F38"/>
    <mergeCell ref="D39:E41"/>
    <mergeCell ref="F41:F42"/>
    <mergeCell ref="O43:P45"/>
    <mergeCell ref="F45:F46"/>
    <mergeCell ref="D52:E54"/>
    <mergeCell ref="N53:N54"/>
    <mergeCell ref="F54:F55"/>
    <mergeCell ref="O19:P21"/>
    <mergeCell ref="F21:F22"/>
    <mergeCell ref="D23:E25"/>
    <mergeCell ref="F25:F26"/>
    <mergeCell ref="D15:E17"/>
    <mergeCell ref="F17:F18"/>
    <mergeCell ref="D7:E9"/>
    <mergeCell ref="N8:N9"/>
    <mergeCell ref="F9:F10"/>
    <mergeCell ref="O11:P13"/>
    <mergeCell ref="F13:F14"/>
  </mergeCells>
  <phoneticPr fontId="1"/>
  <printOptions horizontalCentered="1"/>
  <pageMargins left="0.70866141732283472" right="0.70866141732283472" top="0.74803149606299213" bottom="0.74803149606299213" header="0.31496062992125984" footer="0.31496062992125984"/>
  <pageSetup paperSize="9" scale="58" fitToHeight="0" orientation="portrait" r:id="rId1"/>
  <headerFooter>
    <oddHeader>&amp;R&amp;"ＭＳ Ｐゴシック"&amp;9居宅介護</oddHeader>
    <oddFooter>&amp;C&amp;"ＭＳ Ｐゴシック"&amp;14&amp;P</oddFooter>
  </headerFooter>
  <rowBreaks count="1" manualBreakCount="1">
    <brk id="46" max="17"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6"/>
  <dimension ref="A1:R112"/>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0" customWidth="1"/>
    <col min="5" max="5" width="4.875" style="12" customWidth="1"/>
    <col min="6" max="6" width="12.5" style="12" customWidth="1"/>
    <col min="7" max="7" width="2.5" style="12" customWidth="1"/>
    <col min="8" max="8" width="4.5" style="13" bestFit="1" customWidth="1"/>
    <col min="9" max="9" width="32.5" style="12" bestFit="1" customWidth="1"/>
    <col min="10" max="10" width="2.5" style="12" customWidth="1"/>
    <col min="11" max="11" width="5.5" style="13" bestFit="1" customWidth="1"/>
    <col min="12" max="12" width="2.5" style="12" customWidth="1"/>
    <col min="13" max="13" width="3.875" style="12" customWidth="1"/>
    <col min="14" max="14" width="4.5" style="13" bestFit="1" customWidth="1"/>
    <col min="15" max="15" width="9.875" style="12" customWidth="1"/>
    <col min="16" max="16" width="4.5" style="13" bestFit="1" customWidth="1"/>
    <col min="17" max="17" width="7.125" style="15" customWidth="1"/>
    <col min="18" max="18" width="8.5" style="16" customWidth="1"/>
    <col min="19" max="16384" width="8.875" style="12"/>
  </cols>
  <sheetData>
    <row r="1" spans="1:18" ht="17.100000000000001" customHeight="1" x14ac:dyDescent="0.15"/>
    <row r="2" spans="1:18" ht="17.100000000000001" customHeight="1" x14ac:dyDescent="0.15"/>
    <row r="3" spans="1:18" ht="17.100000000000001" customHeight="1" x14ac:dyDescent="0.15"/>
    <row r="4" spans="1:18" ht="17.100000000000001" customHeight="1" x14ac:dyDescent="0.15">
      <c r="B4" s="17" t="s">
        <v>13758</v>
      </c>
      <c r="D4" s="71"/>
    </row>
    <row r="5" spans="1:18" ht="16.5" customHeight="1" x14ac:dyDescent="0.15">
      <c r="A5" s="19" t="s">
        <v>384</v>
      </c>
      <c r="B5" s="20"/>
      <c r="C5" s="21" t="s">
        <v>385</v>
      </c>
      <c r="D5" s="23" t="s">
        <v>386</v>
      </c>
      <c r="E5" s="23"/>
      <c r="F5" s="23"/>
      <c r="G5" s="23"/>
      <c r="H5" s="24"/>
      <c r="I5" s="23"/>
      <c r="J5" s="23"/>
      <c r="K5" s="24"/>
      <c r="L5" s="23"/>
      <c r="M5" s="23"/>
      <c r="N5" s="24"/>
      <c r="O5" s="23"/>
      <c r="P5" s="24"/>
      <c r="Q5" s="25" t="s">
        <v>387</v>
      </c>
      <c r="R5" s="21" t="s">
        <v>388</v>
      </c>
    </row>
    <row r="6" spans="1:18" ht="16.5" customHeight="1" x14ac:dyDescent="0.15">
      <c r="A6" s="26" t="s">
        <v>389</v>
      </c>
      <c r="B6" s="26" t="s">
        <v>390</v>
      </c>
      <c r="C6" s="27"/>
      <c r="D6" s="29"/>
      <c r="E6" s="29"/>
      <c r="F6" s="29"/>
      <c r="G6" s="29"/>
      <c r="H6" s="30"/>
      <c r="I6" s="29"/>
      <c r="J6" s="29"/>
      <c r="K6" s="30"/>
      <c r="L6" s="29"/>
      <c r="M6" s="29"/>
      <c r="N6" s="30"/>
      <c r="O6" s="29"/>
      <c r="P6" s="30"/>
      <c r="Q6" s="31" t="s">
        <v>391</v>
      </c>
      <c r="R6" s="32" t="s">
        <v>392</v>
      </c>
    </row>
    <row r="7" spans="1:18" ht="16.5" customHeight="1" x14ac:dyDescent="0.15">
      <c r="A7" s="33">
        <v>11</v>
      </c>
      <c r="B7" s="33">
        <v>7251</v>
      </c>
      <c r="C7" s="34" t="s">
        <v>13759</v>
      </c>
      <c r="D7" s="709" t="s">
        <v>861</v>
      </c>
      <c r="E7" s="796"/>
      <c r="F7" s="35"/>
      <c r="I7" s="43"/>
      <c r="J7" s="37"/>
      <c r="K7" s="38"/>
      <c r="L7" s="35" t="s">
        <v>862</v>
      </c>
      <c r="O7" s="35"/>
      <c r="P7" s="234"/>
      <c r="Q7" s="39">
        <f>ROUND((_11_A通院２０．５*(1+_11・A深夜)),0)</f>
        <v>158</v>
      </c>
      <c r="R7" s="40" t="s">
        <v>395</v>
      </c>
    </row>
    <row r="8" spans="1:18" ht="16.5" customHeight="1" x14ac:dyDescent="0.15">
      <c r="A8" s="41">
        <v>11</v>
      </c>
      <c r="B8" s="41">
        <v>7252</v>
      </c>
      <c r="C8" s="74" t="s">
        <v>13760</v>
      </c>
      <c r="D8" s="799"/>
      <c r="E8" s="796"/>
      <c r="F8" s="43"/>
      <c r="G8" s="37"/>
      <c r="H8" s="38"/>
      <c r="I8" s="281" t="s">
        <v>397</v>
      </c>
      <c r="J8" s="218" t="s">
        <v>398</v>
      </c>
      <c r="K8" s="46">
        <v>1</v>
      </c>
      <c r="L8" s="258" t="s">
        <v>398</v>
      </c>
      <c r="M8" s="13">
        <v>0.5</v>
      </c>
      <c r="N8" s="704" t="s">
        <v>676</v>
      </c>
      <c r="O8" s="35"/>
      <c r="P8" s="234"/>
      <c r="Q8" s="47">
        <f>ROUND((ROUND((_11_A通院２０．５*_11・２人),0)*(1+_11・A深夜)),0)</f>
        <v>158</v>
      </c>
      <c r="R8" s="48"/>
    </row>
    <row r="9" spans="1:18" ht="16.5" customHeight="1" x14ac:dyDescent="0.15">
      <c r="A9" s="41">
        <v>11</v>
      </c>
      <c r="B9" s="41">
        <v>7253</v>
      </c>
      <c r="C9" s="74" t="s">
        <v>13761</v>
      </c>
      <c r="D9" s="799"/>
      <c r="E9" s="796"/>
      <c r="F9" s="752" t="s">
        <v>400</v>
      </c>
      <c r="G9" s="221" t="s">
        <v>398</v>
      </c>
      <c r="H9" s="251">
        <v>0.9</v>
      </c>
      <c r="I9" s="163"/>
      <c r="J9" s="45"/>
      <c r="K9" s="46"/>
      <c r="L9" s="35"/>
      <c r="N9" s="797"/>
      <c r="O9" s="35"/>
      <c r="P9" s="234"/>
      <c r="Q9" s="47">
        <f>ROUND((ROUND((_11_A通院２０．５*_11・基礎２),0)*(1+_11・A深夜)),0)</f>
        <v>143</v>
      </c>
      <c r="R9" s="48"/>
    </row>
    <row r="10" spans="1:18" ht="16.5" customHeight="1" x14ac:dyDescent="0.15">
      <c r="A10" s="41">
        <v>11</v>
      </c>
      <c r="B10" s="41">
        <v>7254</v>
      </c>
      <c r="C10" s="74" t="s">
        <v>13762</v>
      </c>
      <c r="D10" s="274">
        <f>_11_A通院２０．５</f>
        <v>105</v>
      </c>
      <c r="E10" s="10" t="s">
        <v>392</v>
      </c>
      <c r="F10" s="800"/>
      <c r="G10" s="37"/>
      <c r="H10" s="244"/>
      <c r="I10" s="281" t="s">
        <v>397</v>
      </c>
      <c r="J10" s="218" t="s">
        <v>398</v>
      </c>
      <c r="K10" s="46">
        <v>1</v>
      </c>
      <c r="L10" s="35"/>
      <c r="O10" s="35"/>
      <c r="P10" s="234"/>
      <c r="Q10" s="47">
        <f>ROUND((ROUND((ROUND((_11_A通院２０．５*_11・基礎２),0)*_11・２人),0)*(1+_11・A深夜)),0)</f>
        <v>143</v>
      </c>
      <c r="R10" s="48"/>
    </row>
    <row r="11" spans="1:18" ht="16.5" customHeight="1" x14ac:dyDescent="0.15">
      <c r="A11" s="41">
        <v>11</v>
      </c>
      <c r="B11" s="41" t="s">
        <v>13763</v>
      </c>
      <c r="C11" s="74" t="s">
        <v>13764</v>
      </c>
      <c r="D11" s="72"/>
      <c r="F11" s="53"/>
      <c r="G11" s="49"/>
      <c r="H11" s="50"/>
      <c r="I11" s="163"/>
      <c r="J11" s="45"/>
      <c r="K11" s="46"/>
      <c r="L11" s="35"/>
      <c r="O11" s="707" t="s">
        <v>404</v>
      </c>
      <c r="P11" s="717"/>
      <c r="Q11" s="47">
        <f>ROUND((ROUND((_11_A通院２０．５*(1+_11・A深夜)),0)*_11・初任),0)</f>
        <v>111</v>
      </c>
      <c r="R11" s="48"/>
    </row>
    <row r="12" spans="1:18" ht="16.5" customHeight="1" x14ac:dyDescent="0.15">
      <c r="A12" s="41">
        <v>11</v>
      </c>
      <c r="B12" s="41" t="s">
        <v>13765</v>
      </c>
      <c r="C12" s="74" t="s">
        <v>13766</v>
      </c>
      <c r="D12" s="72"/>
      <c r="F12" s="43"/>
      <c r="G12" s="37"/>
      <c r="H12" s="38"/>
      <c r="I12" s="281" t="s">
        <v>397</v>
      </c>
      <c r="J12" s="218" t="s">
        <v>398</v>
      </c>
      <c r="K12" s="46">
        <v>1</v>
      </c>
      <c r="L12" s="35"/>
      <c r="O12" s="709"/>
      <c r="P12" s="718"/>
      <c r="Q12" s="47">
        <f>ROUND((ROUND((ROUND((_11_A通院２０．５*_11・２人),0)*(1+_11・A深夜)),0)*_11・初任),0)</f>
        <v>111</v>
      </c>
      <c r="R12" s="48"/>
    </row>
    <row r="13" spans="1:18" ht="16.5" customHeight="1" x14ac:dyDescent="0.15">
      <c r="A13" s="41">
        <v>11</v>
      </c>
      <c r="B13" s="41" t="s">
        <v>13767</v>
      </c>
      <c r="C13" s="74" t="s">
        <v>13768</v>
      </c>
      <c r="D13" s="72"/>
      <c r="F13" s="752" t="s">
        <v>400</v>
      </c>
      <c r="G13" s="221" t="s">
        <v>398</v>
      </c>
      <c r="H13" s="251">
        <v>0.9</v>
      </c>
      <c r="I13" s="163"/>
      <c r="J13" s="45"/>
      <c r="K13" s="46"/>
      <c r="L13" s="35"/>
      <c r="O13" s="709"/>
      <c r="P13" s="718"/>
      <c r="Q13" s="47">
        <f>ROUND((ROUND((ROUND((_11_A通院２０．５*_11・基礎２),0)*(1+_11・A深夜)),0)*_11・初任),0)</f>
        <v>100</v>
      </c>
      <c r="R13" s="48"/>
    </row>
    <row r="14" spans="1:18" ht="16.5" customHeight="1" x14ac:dyDescent="0.15">
      <c r="A14" s="41">
        <v>11</v>
      </c>
      <c r="B14" s="41" t="s">
        <v>13769</v>
      </c>
      <c r="C14" s="74" t="s">
        <v>13770</v>
      </c>
      <c r="D14" s="72"/>
      <c r="F14" s="800"/>
      <c r="G14" s="37"/>
      <c r="H14" s="244"/>
      <c r="I14" s="281" t="s">
        <v>397</v>
      </c>
      <c r="J14" s="218" t="s">
        <v>398</v>
      </c>
      <c r="K14" s="46">
        <v>1</v>
      </c>
      <c r="L14" s="35"/>
      <c r="O14" s="240" t="s">
        <v>398</v>
      </c>
      <c r="P14" s="38">
        <f>_11・初任</f>
        <v>0.7</v>
      </c>
      <c r="Q14" s="47">
        <f>ROUND((ROUND((ROUND((ROUND((_11_A通院２０．５*_11・基礎２),0)*_11・２人),0)*(1+_11・A深夜)),0)*_11・初任),0)</f>
        <v>100</v>
      </c>
      <c r="R14" s="48"/>
    </row>
    <row r="15" spans="1:18" ht="16.5" customHeight="1" x14ac:dyDescent="0.15">
      <c r="A15" s="41">
        <v>11</v>
      </c>
      <c r="B15" s="41">
        <v>7255</v>
      </c>
      <c r="C15" s="74" t="s">
        <v>13771</v>
      </c>
      <c r="D15" s="707" t="s">
        <v>876</v>
      </c>
      <c r="E15" s="798"/>
      <c r="F15" s="53"/>
      <c r="G15" s="49"/>
      <c r="H15" s="50"/>
      <c r="I15" s="163"/>
      <c r="J15" s="45"/>
      <c r="K15" s="46"/>
      <c r="L15" s="35"/>
      <c r="O15" s="53"/>
      <c r="P15" s="251"/>
      <c r="Q15" s="47">
        <f>ROUND((_11_A通院２１．０*(1+_11・A深夜)),0)</f>
        <v>294</v>
      </c>
      <c r="R15" s="48"/>
    </row>
    <row r="16" spans="1:18" ht="16.5" customHeight="1" x14ac:dyDescent="0.15">
      <c r="A16" s="41">
        <v>11</v>
      </c>
      <c r="B16" s="41">
        <v>7256</v>
      </c>
      <c r="C16" s="74" t="s">
        <v>13772</v>
      </c>
      <c r="D16" s="799"/>
      <c r="E16" s="796"/>
      <c r="F16" s="43"/>
      <c r="G16" s="37"/>
      <c r="H16" s="38"/>
      <c r="I16" s="281" t="s">
        <v>397</v>
      </c>
      <c r="J16" s="218" t="s">
        <v>398</v>
      </c>
      <c r="K16" s="46">
        <v>1</v>
      </c>
      <c r="L16" s="35"/>
      <c r="O16" s="35"/>
      <c r="P16" s="234"/>
      <c r="Q16" s="47">
        <f>ROUND((ROUND((_11_A通院２１．０*_11・２人),0)*(1+_11・A深夜)),0)</f>
        <v>294</v>
      </c>
      <c r="R16" s="48"/>
    </row>
    <row r="17" spans="1:18" ht="16.5" customHeight="1" x14ac:dyDescent="0.15">
      <c r="A17" s="41">
        <v>11</v>
      </c>
      <c r="B17" s="41">
        <v>7257</v>
      </c>
      <c r="C17" s="74" t="s">
        <v>13773</v>
      </c>
      <c r="D17" s="799"/>
      <c r="E17" s="796"/>
      <c r="F17" s="752" t="s">
        <v>400</v>
      </c>
      <c r="G17" s="221" t="s">
        <v>398</v>
      </c>
      <c r="H17" s="251">
        <v>0.9</v>
      </c>
      <c r="I17" s="163"/>
      <c r="J17" s="45"/>
      <c r="K17" s="46"/>
      <c r="L17" s="35"/>
      <c r="O17" s="35"/>
      <c r="P17" s="234"/>
      <c r="Q17" s="47">
        <f>ROUND((ROUND((_11_A通院２１．０*_11・基礎２),0)*(1+_11・A深夜)),0)</f>
        <v>264</v>
      </c>
      <c r="R17" s="48"/>
    </row>
    <row r="18" spans="1:18" ht="16.5" customHeight="1" x14ac:dyDescent="0.15">
      <c r="A18" s="41">
        <v>11</v>
      </c>
      <c r="B18" s="41">
        <v>7258</v>
      </c>
      <c r="C18" s="74" t="s">
        <v>13774</v>
      </c>
      <c r="D18" s="274">
        <f>_11_A通院２１．０</f>
        <v>196</v>
      </c>
      <c r="E18" s="254" t="s">
        <v>392</v>
      </c>
      <c r="F18" s="800"/>
      <c r="G18" s="37"/>
      <c r="H18" s="244"/>
      <c r="I18" s="281" t="s">
        <v>397</v>
      </c>
      <c r="J18" s="218" t="s">
        <v>398</v>
      </c>
      <c r="K18" s="46">
        <v>1</v>
      </c>
      <c r="L18" s="35"/>
      <c r="O18" s="35"/>
      <c r="P18" s="234"/>
      <c r="Q18" s="47">
        <f>ROUND((ROUND((ROUND((_11_A通院２１．０*_11・基礎２),0)*_11・２人),0)*(1+_11・A深夜)),0)</f>
        <v>264</v>
      </c>
      <c r="R18" s="48"/>
    </row>
    <row r="19" spans="1:18" ht="16.5" customHeight="1" x14ac:dyDescent="0.15">
      <c r="A19" s="41">
        <v>11</v>
      </c>
      <c r="B19" s="41" t="s">
        <v>13775</v>
      </c>
      <c r="C19" s="74" t="s">
        <v>13776</v>
      </c>
      <c r="D19" s="72"/>
      <c r="F19" s="53"/>
      <c r="G19" s="49"/>
      <c r="H19" s="50"/>
      <c r="I19" s="163"/>
      <c r="J19" s="45"/>
      <c r="K19" s="46"/>
      <c r="L19" s="35"/>
      <c r="O19" s="707" t="s">
        <v>404</v>
      </c>
      <c r="P19" s="717"/>
      <c r="Q19" s="47">
        <f>ROUND((ROUND((_11_A通院２１．０*(1+_11・A深夜)),0)*_11・初任),0)</f>
        <v>206</v>
      </c>
      <c r="R19" s="48"/>
    </row>
    <row r="20" spans="1:18" ht="16.5" customHeight="1" x14ac:dyDescent="0.15">
      <c r="A20" s="41">
        <v>11</v>
      </c>
      <c r="B20" s="41" t="s">
        <v>13777</v>
      </c>
      <c r="C20" s="74" t="s">
        <v>13778</v>
      </c>
      <c r="D20" s="72"/>
      <c r="F20" s="43"/>
      <c r="G20" s="37"/>
      <c r="H20" s="38"/>
      <c r="I20" s="281" t="s">
        <v>397</v>
      </c>
      <c r="J20" s="218" t="s">
        <v>398</v>
      </c>
      <c r="K20" s="46">
        <v>1</v>
      </c>
      <c r="L20" s="35"/>
      <c r="O20" s="709"/>
      <c r="P20" s="718"/>
      <c r="Q20" s="47">
        <f>ROUND((ROUND((ROUND((_11_A通院２１．０*_11・２人),0)*(1+_11・A深夜)),0)*_11・初任),0)</f>
        <v>206</v>
      </c>
      <c r="R20" s="48"/>
    </row>
    <row r="21" spans="1:18" ht="16.5" customHeight="1" x14ac:dyDescent="0.15">
      <c r="A21" s="41">
        <v>11</v>
      </c>
      <c r="B21" s="41" t="s">
        <v>13779</v>
      </c>
      <c r="C21" s="74" t="s">
        <v>13780</v>
      </c>
      <c r="D21" s="72"/>
      <c r="F21" s="752" t="s">
        <v>400</v>
      </c>
      <c r="G21" s="221" t="s">
        <v>398</v>
      </c>
      <c r="H21" s="251">
        <v>0.9</v>
      </c>
      <c r="I21" s="163"/>
      <c r="J21" s="45"/>
      <c r="K21" s="46"/>
      <c r="L21" s="35"/>
      <c r="O21" s="709"/>
      <c r="P21" s="718"/>
      <c r="Q21" s="47">
        <f>ROUND((ROUND((ROUND((_11_A通院２１．０*_11・基礎２),0)*(1+_11・A深夜)),0)*_11・初任),0)</f>
        <v>185</v>
      </c>
      <c r="R21" s="48"/>
    </row>
    <row r="22" spans="1:18" ht="16.5" customHeight="1" x14ac:dyDescent="0.15">
      <c r="A22" s="41">
        <v>11</v>
      </c>
      <c r="B22" s="41" t="s">
        <v>13781</v>
      </c>
      <c r="C22" s="74" t="s">
        <v>13782</v>
      </c>
      <c r="D22" s="72"/>
      <c r="F22" s="800"/>
      <c r="G22" s="37"/>
      <c r="H22" s="244"/>
      <c r="I22" s="281" t="s">
        <v>397</v>
      </c>
      <c r="J22" s="218" t="s">
        <v>398</v>
      </c>
      <c r="K22" s="46">
        <v>1</v>
      </c>
      <c r="L22" s="35"/>
      <c r="O22" s="240" t="s">
        <v>398</v>
      </c>
      <c r="P22" s="38">
        <f>_11・初任</f>
        <v>0.7</v>
      </c>
      <c r="Q22" s="47">
        <f>ROUND((ROUND((ROUND((ROUND((_11_A通院２１．０*_11・基礎２),0)*_11・２人),0)*(1+_11・A深夜)),0)*_11・初任),0)</f>
        <v>185</v>
      </c>
      <c r="R22" s="48"/>
    </row>
    <row r="23" spans="1:18" ht="16.5" customHeight="1" x14ac:dyDescent="0.15">
      <c r="A23" s="41">
        <v>11</v>
      </c>
      <c r="B23" s="41">
        <v>7259</v>
      </c>
      <c r="C23" s="74" t="s">
        <v>13783</v>
      </c>
      <c r="D23" s="707" t="s">
        <v>889</v>
      </c>
      <c r="E23" s="798"/>
      <c r="F23" s="53"/>
      <c r="G23" s="49"/>
      <c r="H23" s="50"/>
      <c r="I23" s="163"/>
      <c r="J23" s="45"/>
      <c r="K23" s="46"/>
      <c r="L23" s="35"/>
      <c r="O23" s="53"/>
      <c r="P23" s="251"/>
      <c r="Q23" s="47">
        <f>ROUND((_11_A通院２１．５*(1+_11・A深夜)),0)</f>
        <v>411</v>
      </c>
      <c r="R23" s="48"/>
    </row>
    <row r="24" spans="1:18" ht="16.5" customHeight="1" x14ac:dyDescent="0.15">
      <c r="A24" s="41">
        <v>11</v>
      </c>
      <c r="B24" s="41">
        <v>7260</v>
      </c>
      <c r="C24" s="74" t="s">
        <v>13784</v>
      </c>
      <c r="D24" s="799"/>
      <c r="E24" s="796"/>
      <c r="F24" s="43"/>
      <c r="G24" s="37"/>
      <c r="H24" s="38"/>
      <c r="I24" s="281" t="s">
        <v>397</v>
      </c>
      <c r="J24" s="218" t="s">
        <v>398</v>
      </c>
      <c r="K24" s="46">
        <v>1</v>
      </c>
      <c r="L24" s="35"/>
      <c r="O24" s="35"/>
      <c r="P24" s="234"/>
      <c r="Q24" s="47">
        <f>ROUND((ROUND((_11_A通院２１．５*_11・２人),0)*(1+_11・A深夜)),0)</f>
        <v>411</v>
      </c>
      <c r="R24" s="48"/>
    </row>
    <row r="25" spans="1:18" ht="16.5" customHeight="1" x14ac:dyDescent="0.15">
      <c r="A25" s="41">
        <v>11</v>
      </c>
      <c r="B25" s="41">
        <v>7261</v>
      </c>
      <c r="C25" s="74" t="s">
        <v>13785</v>
      </c>
      <c r="D25" s="799"/>
      <c r="E25" s="796"/>
      <c r="F25" s="752" t="s">
        <v>400</v>
      </c>
      <c r="G25" s="221" t="s">
        <v>398</v>
      </c>
      <c r="H25" s="251">
        <v>0.9</v>
      </c>
      <c r="I25" s="163"/>
      <c r="J25" s="45"/>
      <c r="K25" s="46"/>
      <c r="L25" s="35"/>
      <c r="O25" s="35"/>
      <c r="P25" s="234"/>
      <c r="Q25" s="47">
        <f>ROUND((ROUND((_11_A通院２１．５*_11・基礎２),0)*(1+_11・A深夜)),0)</f>
        <v>371</v>
      </c>
      <c r="R25" s="48"/>
    </row>
    <row r="26" spans="1:18" ht="16.5" customHeight="1" x14ac:dyDescent="0.15">
      <c r="A26" s="41">
        <v>11</v>
      </c>
      <c r="B26" s="41">
        <v>7262</v>
      </c>
      <c r="C26" s="74" t="s">
        <v>13786</v>
      </c>
      <c r="D26" s="274">
        <f>_11_A通院２１．５</f>
        <v>274</v>
      </c>
      <c r="E26" s="254" t="s">
        <v>392</v>
      </c>
      <c r="F26" s="800"/>
      <c r="G26" s="37"/>
      <c r="H26" s="244"/>
      <c r="I26" s="281" t="s">
        <v>397</v>
      </c>
      <c r="J26" s="218" t="s">
        <v>398</v>
      </c>
      <c r="K26" s="46">
        <v>1</v>
      </c>
      <c r="L26" s="35"/>
      <c r="O26" s="35"/>
      <c r="P26" s="234"/>
      <c r="Q26" s="47">
        <f>ROUND((ROUND((ROUND((_11_A通院２１．５*_11・基礎２),0)*_11・２人),0)*(1+_11・A深夜)),0)</f>
        <v>371</v>
      </c>
      <c r="R26" s="48"/>
    </row>
    <row r="27" spans="1:18" ht="16.5" customHeight="1" x14ac:dyDescent="0.15">
      <c r="A27" s="41">
        <v>11</v>
      </c>
      <c r="B27" s="41" t="s">
        <v>13787</v>
      </c>
      <c r="C27" s="74" t="s">
        <v>13788</v>
      </c>
      <c r="D27" s="72"/>
      <c r="F27" s="53"/>
      <c r="G27" s="49"/>
      <c r="H27" s="50"/>
      <c r="I27" s="163"/>
      <c r="J27" s="45"/>
      <c r="K27" s="46"/>
      <c r="L27" s="35"/>
      <c r="O27" s="707" t="s">
        <v>404</v>
      </c>
      <c r="P27" s="717"/>
      <c r="Q27" s="47">
        <f>ROUND((ROUND((_11_A通院２１．５*(1+_11・A深夜)),0)*_11・初任),0)</f>
        <v>288</v>
      </c>
      <c r="R27" s="48"/>
    </row>
    <row r="28" spans="1:18" ht="16.5" customHeight="1" x14ac:dyDescent="0.15">
      <c r="A28" s="41">
        <v>11</v>
      </c>
      <c r="B28" s="41" t="s">
        <v>13789</v>
      </c>
      <c r="C28" s="74" t="s">
        <v>13790</v>
      </c>
      <c r="D28" s="72"/>
      <c r="F28" s="43"/>
      <c r="G28" s="37"/>
      <c r="H28" s="38"/>
      <c r="I28" s="281" t="s">
        <v>397</v>
      </c>
      <c r="J28" s="218" t="s">
        <v>398</v>
      </c>
      <c r="K28" s="46">
        <v>1</v>
      </c>
      <c r="L28" s="35"/>
      <c r="O28" s="709"/>
      <c r="P28" s="718"/>
      <c r="Q28" s="47">
        <f>ROUND((ROUND((ROUND((_11_A通院２１．５*_11・２人),0)*(1+_11・A深夜)),0)*_11・初任),0)</f>
        <v>288</v>
      </c>
      <c r="R28" s="48"/>
    </row>
    <row r="29" spans="1:18" ht="16.5" customHeight="1" x14ac:dyDescent="0.15">
      <c r="A29" s="41">
        <v>11</v>
      </c>
      <c r="B29" s="41" t="s">
        <v>13791</v>
      </c>
      <c r="C29" s="74" t="s">
        <v>13792</v>
      </c>
      <c r="D29" s="72"/>
      <c r="F29" s="752" t="s">
        <v>400</v>
      </c>
      <c r="G29" s="221" t="s">
        <v>398</v>
      </c>
      <c r="H29" s="251">
        <v>0.9</v>
      </c>
      <c r="I29" s="163"/>
      <c r="J29" s="45"/>
      <c r="K29" s="46"/>
      <c r="L29" s="35"/>
      <c r="O29" s="709"/>
      <c r="P29" s="718"/>
      <c r="Q29" s="47">
        <f>ROUND((ROUND((ROUND((_11_A通院２１．５*_11・基礎２),0)*(1+_11・A深夜)),0)*_11・初任),0)</f>
        <v>260</v>
      </c>
      <c r="R29" s="48"/>
    </row>
    <row r="30" spans="1:18" ht="16.5" customHeight="1" x14ac:dyDescent="0.15">
      <c r="A30" s="41">
        <v>11</v>
      </c>
      <c r="B30" s="41" t="s">
        <v>13793</v>
      </c>
      <c r="C30" s="74" t="s">
        <v>13794</v>
      </c>
      <c r="D30" s="72"/>
      <c r="F30" s="800"/>
      <c r="G30" s="37"/>
      <c r="H30" s="244"/>
      <c r="I30" s="281" t="s">
        <v>397</v>
      </c>
      <c r="J30" s="218" t="s">
        <v>398</v>
      </c>
      <c r="K30" s="46">
        <v>1</v>
      </c>
      <c r="L30" s="35"/>
      <c r="O30" s="240" t="s">
        <v>398</v>
      </c>
      <c r="P30" s="38">
        <f>_11・初任</f>
        <v>0.7</v>
      </c>
      <c r="Q30" s="47">
        <f>ROUND((ROUND((ROUND((ROUND((_11_A通院２１．５*_11・基礎２),0)*_11・２人),0)*(1+_11・A深夜)),0)*_11・初任),0)</f>
        <v>260</v>
      </c>
      <c r="R30" s="48"/>
    </row>
    <row r="31" spans="1:18" ht="16.5" customHeight="1" x14ac:dyDescent="0.15">
      <c r="A31" s="41">
        <v>11</v>
      </c>
      <c r="B31" s="41">
        <v>7263</v>
      </c>
      <c r="C31" s="74" t="s">
        <v>13795</v>
      </c>
      <c r="D31" s="707" t="s">
        <v>1188</v>
      </c>
      <c r="E31" s="798"/>
      <c r="F31" s="53"/>
      <c r="G31" s="49"/>
      <c r="H31" s="50"/>
      <c r="I31" s="163"/>
      <c r="J31" s="45"/>
      <c r="K31" s="46"/>
      <c r="L31" s="35"/>
      <c r="O31" s="53"/>
      <c r="P31" s="251"/>
      <c r="Q31" s="47">
        <f>ROUND((_11_A通院２２．０*(1+_11・A深夜)),0)</f>
        <v>515</v>
      </c>
      <c r="R31" s="48"/>
    </row>
    <row r="32" spans="1:18" ht="16.5" customHeight="1" x14ac:dyDescent="0.15">
      <c r="A32" s="41">
        <v>11</v>
      </c>
      <c r="B32" s="41">
        <v>7264</v>
      </c>
      <c r="C32" s="74" t="s">
        <v>13796</v>
      </c>
      <c r="D32" s="799"/>
      <c r="E32" s="796"/>
      <c r="F32" s="43"/>
      <c r="G32" s="37"/>
      <c r="H32" s="38"/>
      <c r="I32" s="281" t="s">
        <v>397</v>
      </c>
      <c r="J32" s="218" t="s">
        <v>398</v>
      </c>
      <c r="K32" s="46">
        <v>1</v>
      </c>
      <c r="L32" s="35"/>
      <c r="O32" s="35"/>
      <c r="P32" s="234"/>
      <c r="Q32" s="47">
        <f>ROUND((ROUND((_11_A通院２２．０*_11・２人),0)*(1+_11・A深夜)),0)</f>
        <v>515</v>
      </c>
      <c r="R32" s="48"/>
    </row>
    <row r="33" spans="1:18" ht="16.5" customHeight="1" x14ac:dyDescent="0.15">
      <c r="A33" s="41">
        <v>11</v>
      </c>
      <c r="B33" s="41">
        <v>7265</v>
      </c>
      <c r="C33" s="74" t="s">
        <v>13797</v>
      </c>
      <c r="D33" s="799"/>
      <c r="E33" s="796"/>
      <c r="F33" s="752" t="s">
        <v>400</v>
      </c>
      <c r="G33" s="221" t="s">
        <v>398</v>
      </c>
      <c r="H33" s="251">
        <v>0.9</v>
      </c>
      <c r="I33" s="163"/>
      <c r="J33" s="45"/>
      <c r="K33" s="46"/>
      <c r="L33" s="35"/>
      <c r="O33" s="35"/>
      <c r="P33" s="234"/>
      <c r="Q33" s="47">
        <f>ROUND((ROUND((_11_A通院２２．０*_11・基礎２),0)*(1+_11・A深夜)),0)</f>
        <v>464</v>
      </c>
      <c r="R33" s="48"/>
    </row>
    <row r="34" spans="1:18" ht="16.5" customHeight="1" x14ac:dyDescent="0.15">
      <c r="A34" s="41">
        <v>11</v>
      </c>
      <c r="B34" s="41">
        <v>7266</v>
      </c>
      <c r="C34" s="74" t="s">
        <v>13798</v>
      </c>
      <c r="D34" s="274">
        <f>_11_A通院２２．０</f>
        <v>343</v>
      </c>
      <c r="E34" s="254" t="s">
        <v>392</v>
      </c>
      <c r="F34" s="800"/>
      <c r="G34" s="37"/>
      <c r="H34" s="244"/>
      <c r="I34" s="281" t="s">
        <v>397</v>
      </c>
      <c r="J34" s="218" t="s">
        <v>398</v>
      </c>
      <c r="K34" s="46">
        <v>1</v>
      </c>
      <c r="L34" s="35"/>
      <c r="O34" s="35"/>
      <c r="P34" s="234"/>
      <c r="Q34" s="47">
        <f>ROUND((ROUND((ROUND((_11_A通院２２．０*_11・基礎２),0)*_11・２人),0)*(1+_11・A深夜)),0)</f>
        <v>464</v>
      </c>
      <c r="R34" s="48"/>
    </row>
    <row r="35" spans="1:18" ht="16.5" customHeight="1" x14ac:dyDescent="0.15">
      <c r="A35" s="41">
        <v>11</v>
      </c>
      <c r="B35" s="41" t="s">
        <v>13799</v>
      </c>
      <c r="C35" s="74" t="s">
        <v>13800</v>
      </c>
      <c r="D35" s="72"/>
      <c r="F35" s="53"/>
      <c r="G35" s="49"/>
      <c r="H35" s="50"/>
      <c r="I35" s="163"/>
      <c r="J35" s="45"/>
      <c r="K35" s="46"/>
      <c r="L35" s="35"/>
      <c r="O35" s="707" t="s">
        <v>404</v>
      </c>
      <c r="P35" s="717"/>
      <c r="Q35" s="47">
        <f>ROUND((ROUND((_11_A通院２２．０*(1+_11・A深夜)),0)*_11・初任),0)</f>
        <v>361</v>
      </c>
      <c r="R35" s="48"/>
    </row>
    <row r="36" spans="1:18" ht="16.5" customHeight="1" x14ac:dyDescent="0.15">
      <c r="A36" s="41">
        <v>11</v>
      </c>
      <c r="B36" s="41" t="s">
        <v>13801</v>
      </c>
      <c r="C36" s="74" t="s">
        <v>13802</v>
      </c>
      <c r="D36" s="72"/>
      <c r="F36" s="43"/>
      <c r="G36" s="37"/>
      <c r="H36" s="38"/>
      <c r="I36" s="281" t="s">
        <v>397</v>
      </c>
      <c r="J36" s="218" t="s">
        <v>398</v>
      </c>
      <c r="K36" s="46">
        <v>1</v>
      </c>
      <c r="L36" s="35"/>
      <c r="O36" s="709"/>
      <c r="P36" s="718"/>
      <c r="Q36" s="47">
        <f>ROUND((ROUND((ROUND((_11_A通院２２．０*_11・２人),0)*(1+_11・A深夜)),0)*_11・初任),0)</f>
        <v>361</v>
      </c>
      <c r="R36" s="48"/>
    </row>
    <row r="37" spans="1:18" ht="16.5" customHeight="1" x14ac:dyDescent="0.15">
      <c r="A37" s="41">
        <v>11</v>
      </c>
      <c r="B37" s="41" t="s">
        <v>13803</v>
      </c>
      <c r="C37" s="74" t="s">
        <v>13804</v>
      </c>
      <c r="D37" s="72"/>
      <c r="F37" s="752" t="s">
        <v>400</v>
      </c>
      <c r="G37" s="221" t="s">
        <v>398</v>
      </c>
      <c r="H37" s="251">
        <v>0.9</v>
      </c>
      <c r="I37" s="163"/>
      <c r="J37" s="45"/>
      <c r="K37" s="46"/>
      <c r="L37" s="35"/>
      <c r="O37" s="709"/>
      <c r="P37" s="718"/>
      <c r="Q37" s="47">
        <f>ROUND((ROUND((ROUND((_11_A通院２２．０*_11・基礎２),0)*(1+_11・A深夜)),0)*_11・初任),0)</f>
        <v>325</v>
      </c>
      <c r="R37" s="48"/>
    </row>
    <row r="38" spans="1:18" ht="16.5" customHeight="1" x14ac:dyDescent="0.15">
      <c r="A38" s="41">
        <v>11</v>
      </c>
      <c r="B38" s="41" t="s">
        <v>13805</v>
      </c>
      <c r="C38" s="74" t="s">
        <v>13806</v>
      </c>
      <c r="D38" s="72"/>
      <c r="F38" s="800"/>
      <c r="G38" s="37"/>
      <c r="H38" s="244"/>
      <c r="I38" s="281" t="s">
        <v>397</v>
      </c>
      <c r="J38" s="218" t="s">
        <v>398</v>
      </c>
      <c r="K38" s="46">
        <v>1</v>
      </c>
      <c r="L38" s="35"/>
      <c r="O38" s="240" t="s">
        <v>398</v>
      </c>
      <c r="P38" s="38">
        <f>_11・初任</f>
        <v>0.7</v>
      </c>
      <c r="Q38" s="47">
        <f>ROUND((ROUND((ROUND((ROUND((_11_A通院２２．０*_11・基礎２),0)*_11・２人),0)*(1+_11・A深夜)),0)*_11・初任),0)</f>
        <v>325</v>
      </c>
      <c r="R38" s="48"/>
    </row>
    <row r="39" spans="1:18" ht="16.5" customHeight="1" x14ac:dyDescent="0.15">
      <c r="A39" s="41">
        <v>11</v>
      </c>
      <c r="B39" s="41">
        <v>7267</v>
      </c>
      <c r="C39" s="74" t="s">
        <v>13807</v>
      </c>
      <c r="D39" s="707" t="s">
        <v>915</v>
      </c>
      <c r="E39" s="798"/>
      <c r="F39" s="53"/>
      <c r="G39" s="49"/>
      <c r="H39" s="50"/>
      <c r="I39" s="163"/>
      <c r="J39" s="45"/>
      <c r="K39" s="46"/>
      <c r="L39" s="35"/>
      <c r="O39" s="53"/>
      <c r="P39" s="251"/>
      <c r="Q39" s="47">
        <f>ROUND((_11_A通院２２．５*(1+_11・A深夜)),0)</f>
        <v>618</v>
      </c>
      <c r="R39" s="48"/>
    </row>
    <row r="40" spans="1:18" ht="16.5" customHeight="1" x14ac:dyDescent="0.15">
      <c r="A40" s="41">
        <v>11</v>
      </c>
      <c r="B40" s="41">
        <v>7268</v>
      </c>
      <c r="C40" s="74" t="s">
        <v>13808</v>
      </c>
      <c r="D40" s="799"/>
      <c r="E40" s="796"/>
      <c r="F40" s="43"/>
      <c r="G40" s="37"/>
      <c r="H40" s="38"/>
      <c r="I40" s="281" t="s">
        <v>397</v>
      </c>
      <c r="J40" s="218" t="s">
        <v>398</v>
      </c>
      <c r="K40" s="46">
        <v>1</v>
      </c>
      <c r="L40" s="35"/>
      <c r="O40" s="35"/>
      <c r="P40" s="234"/>
      <c r="Q40" s="47">
        <f>ROUND((ROUND((_11_A通院２２．５*_11・２人),0)*(1+_11・A深夜)),0)</f>
        <v>618</v>
      </c>
      <c r="R40" s="48"/>
    </row>
    <row r="41" spans="1:18" ht="16.5" customHeight="1" x14ac:dyDescent="0.15">
      <c r="A41" s="41">
        <v>11</v>
      </c>
      <c r="B41" s="41">
        <v>7269</v>
      </c>
      <c r="C41" s="74" t="s">
        <v>13809</v>
      </c>
      <c r="D41" s="799"/>
      <c r="E41" s="796"/>
      <c r="F41" s="752" t="s">
        <v>400</v>
      </c>
      <c r="G41" s="221" t="s">
        <v>398</v>
      </c>
      <c r="H41" s="251">
        <v>0.9</v>
      </c>
      <c r="I41" s="163"/>
      <c r="J41" s="45"/>
      <c r="K41" s="46"/>
      <c r="L41" s="35"/>
      <c r="O41" s="35"/>
      <c r="P41" s="234"/>
      <c r="Q41" s="47">
        <f>ROUND((ROUND((_11_A通院２２．５*_11・基礎２),0)*(1+_11・A深夜)),0)</f>
        <v>557</v>
      </c>
      <c r="R41" s="48"/>
    </row>
    <row r="42" spans="1:18" ht="16.5" customHeight="1" x14ac:dyDescent="0.15">
      <c r="A42" s="41">
        <v>11</v>
      </c>
      <c r="B42" s="41">
        <v>7270</v>
      </c>
      <c r="C42" s="74" t="s">
        <v>13810</v>
      </c>
      <c r="D42" s="274">
        <f>_11_A通院２２．５</f>
        <v>412</v>
      </c>
      <c r="E42" s="254" t="s">
        <v>392</v>
      </c>
      <c r="F42" s="800"/>
      <c r="G42" s="37"/>
      <c r="H42" s="244"/>
      <c r="I42" s="281" t="s">
        <v>397</v>
      </c>
      <c r="J42" s="218" t="s">
        <v>398</v>
      </c>
      <c r="K42" s="46">
        <v>1</v>
      </c>
      <c r="L42" s="35"/>
      <c r="O42" s="35"/>
      <c r="P42" s="234"/>
      <c r="Q42" s="47">
        <f>ROUND((ROUND((ROUND((_11_A通院２２．５*_11・基礎２),0)*_11・２人),0)*(1+_11・A深夜)),0)</f>
        <v>557</v>
      </c>
      <c r="R42" s="48"/>
    </row>
    <row r="43" spans="1:18" ht="16.5" customHeight="1" x14ac:dyDescent="0.15">
      <c r="A43" s="41">
        <v>11</v>
      </c>
      <c r="B43" s="41" t="s">
        <v>13811</v>
      </c>
      <c r="C43" s="74" t="s">
        <v>13812</v>
      </c>
      <c r="D43" s="72"/>
      <c r="F43" s="53"/>
      <c r="G43" s="49"/>
      <c r="H43" s="50"/>
      <c r="I43" s="163"/>
      <c r="J43" s="45"/>
      <c r="K43" s="46"/>
      <c r="L43" s="35"/>
      <c r="O43" s="707" t="s">
        <v>404</v>
      </c>
      <c r="P43" s="717"/>
      <c r="Q43" s="47">
        <f>ROUND((ROUND((_11_A通院２２．５*(1+_11・A深夜)),0)*_11・初任),0)</f>
        <v>433</v>
      </c>
      <c r="R43" s="48"/>
    </row>
    <row r="44" spans="1:18" ht="16.5" customHeight="1" x14ac:dyDescent="0.15">
      <c r="A44" s="41">
        <v>11</v>
      </c>
      <c r="B44" s="41" t="s">
        <v>13813</v>
      </c>
      <c r="C44" s="74" t="s">
        <v>13814</v>
      </c>
      <c r="D44" s="72"/>
      <c r="F44" s="43"/>
      <c r="G44" s="37"/>
      <c r="H44" s="38"/>
      <c r="I44" s="281" t="s">
        <v>397</v>
      </c>
      <c r="J44" s="218" t="s">
        <v>398</v>
      </c>
      <c r="K44" s="46">
        <v>1</v>
      </c>
      <c r="L44" s="35"/>
      <c r="O44" s="709"/>
      <c r="P44" s="718"/>
      <c r="Q44" s="47">
        <f>ROUND((ROUND((ROUND((_11_A通院２２．５*_11・２人),0)*(1+_11・A深夜)),0)*_11・初任),0)</f>
        <v>433</v>
      </c>
      <c r="R44" s="48"/>
    </row>
    <row r="45" spans="1:18" ht="16.5" customHeight="1" x14ac:dyDescent="0.15">
      <c r="A45" s="41">
        <v>11</v>
      </c>
      <c r="B45" s="41" t="s">
        <v>13815</v>
      </c>
      <c r="C45" s="74" t="s">
        <v>13816</v>
      </c>
      <c r="D45" s="72"/>
      <c r="F45" s="752" t="s">
        <v>400</v>
      </c>
      <c r="G45" s="221" t="s">
        <v>398</v>
      </c>
      <c r="H45" s="251">
        <v>0.9</v>
      </c>
      <c r="I45" s="163"/>
      <c r="J45" s="45"/>
      <c r="K45" s="46"/>
      <c r="L45" s="35"/>
      <c r="O45" s="709"/>
      <c r="P45" s="718"/>
      <c r="Q45" s="47">
        <f>ROUND((ROUND((ROUND((_11_A通院２２．５*_11・基礎２),0)*(1+_11・A深夜)),0)*_11・初任),0)</f>
        <v>390</v>
      </c>
      <c r="R45" s="48"/>
    </row>
    <row r="46" spans="1:18" ht="16.5" customHeight="1" x14ac:dyDescent="0.15">
      <c r="A46" s="41">
        <v>11</v>
      </c>
      <c r="B46" s="41" t="s">
        <v>13817</v>
      </c>
      <c r="C46" s="74" t="s">
        <v>13818</v>
      </c>
      <c r="D46" s="72"/>
      <c r="F46" s="800"/>
      <c r="G46" s="37"/>
      <c r="H46" s="244"/>
      <c r="I46" s="281" t="s">
        <v>397</v>
      </c>
      <c r="J46" s="218" t="s">
        <v>398</v>
      </c>
      <c r="K46" s="46">
        <v>1</v>
      </c>
      <c r="L46" s="35"/>
      <c r="O46" s="240" t="s">
        <v>398</v>
      </c>
      <c r="P46" s="38">
        <f>_11・初任</f>
        <v>0.7</v>
      </c>
      <c r="Q46" s="47">
        <f>ROUND((ROUND((ROUND((ROUND((_11_A通院２２．５*_11・基礎２),0)*_11・２人),0)*(1+_11・A深夜)),0)*_11・初任),0)</f>
        <v>390</v>
      </c>
      <c r="R46" s="48"/>
    </row>
    <row r="47" spans="1:18" ht="16.5" customHeight="1" x14ac:dyDescent="0.15">
      <c r="A47" s="41">
        <v>11</v>
      </c>
      <c r="B47" s="41">
        <v>7271</v>
      </c>
      <c r="C47" s="74" t="s">
        <v>13819</v>
      </c>
      <c r="D47" s="707" t="s">
        <v>928</v>
      </c>
      <c r="E47" s="798"/>
      <c r="F47" s="53"/>
      <c r="G47" s="49"/>
      <c r="H47" s="50"/>
      <c r="I47" s="163"/>
      <c r="J47" s="45"/>
      <c r="K47" s="46"/>
      <c r="L47" s="35"/>
      <c r="O47" s="53"/>
      <c r="P47" s="251"/>
      <c r="Q47" s="47">
        <f>ROUND((_11_A通院２３．０*(1+_11・A深夜)),0)</f>
        <v>722</v>
      </c>
      <c r="R47" s="48"/>
    </row>
    <row r="48" spans="1:18" ht="16.5" customHeight="1" x14ac:dyDescent="0.15">
      <c r="A48" s="41">
        <v>11</v>
      </c>
      <c r="B48" s="41">
        <v>7272</v>
      </c>
      <c r="C48" s="74" t="s">
        <v>13820</v>
      </c>
      <c r="D48" s="799"/>
      <c r="E48" s="796"/>
      <c r="F48" s="43"/>
      <c r="G48" s="37"/>
      <c r="H48" s="38"/>
      <c r="I48" s="281" t="s">
        <v>397</v>
      </c>
      <c r="J48" s="218" t="s">
        <v>398</v>
      </c>
      <c r="K48" s="46">
        <v>1</v>
      </c>
      <c r="L48" s="35"/>
      <c r="O48" s="35"/>
      <c r="P48" s="234"/>
      <c r="Q48" s="47">
        <f>ROUND((ROUND((_11_A通院２３．０*_11・２人),0)*(1+_11・A深夜)),0)</f>
        <v>722</v>
      </c>
      <c r="R48" s="48"/>
    </row>
    <row r="49" spans="1:18" ht="16.5" customHeight="1" x14ac:dyDescent="0.15">
      <c r="A49" s="41">
        <v>11</v>
      </c>
      <c r="B49" s="41">
        <v>7273</v>
      </c>
      <c r="C49" s="74" t="s">
        <v>13821</v>
      </c>
      <c r="D49" s="799"/>
      <c r="E49" s="796"/>
      <c r="F49" s="752" t="s">
        <v>400</v>
      </c>
      <c r="G49" s="221" t="s">
        <v>398</v>
      </c>
      <c r="H49" s="251">
        <v>0.9</v>
      </c>
      <c r="I49" s="163"/>
      <c r="J49" s="45"/>
      <c r="K49" s="46"/>
      <c r="L49" s="35"/>
      <c r="O49" s="35"/>
      <c r="P49" s="234"/>
      <c r="Q49" s="47">
        <f>ROUND((ROUND((_11_A通院２３．０*_11・基礎２),0)*(1+_11・A深夜)),0)</f>
        <v>650</v>
      </c>
      <c r="R49" s="48"/>
    </row>
    <row r="50" spans="1:18" ht="16.5" customHeight="1" x14ac:dyDescent="0.15">
      <c r="A50" s="41">
        <v>11</v>
      </c>
      <c r="B50" s="41">
        <v>7274</v>
      </c>
      <c r="C50" s="74" t="s">
        <v>13822</v>
      </c>
      <c r="D50" s="274">
        <f>_11_A通院２３．０</f>
        <v>481</v>
      </c>
      <c r="E50" s="254" t="s">
        <v>392</v>
      </c>
      <c r="F50" s="800"/>
      <c r="G50" s="37"/>
      <c r="H50" s="244"/>
      <c r="I50" s="281" t="s">
        <v>397</v>
      </c>
      <c r="J50" s="218" t="s">
        <v>398</v>
      </c>
      <c r="K50" s="46">
        <v>1</v>
      </c>
      <c r="L50" s="35"/>
      <c r="O50" s="35"/>
      <c r="P50" s="234"/>
      <c r="Q50" s="47">
        <f>ROUND((ROUND((ROUND((_11_A通院２３．０*_11・基礎２),0)*_11・２人),0)*(1+_11・A深夜)),0)</f>
        <v>650</v>
      </c>
      <c r="R50" s="48"/>
    </row>
    <row r="51" spans="1:18" ht="16.5" customHeight="1" x14ac:dyDescent="0.15">
      <c r="A51" s="41">
        <v>11</v>
      </c>
      <c r="B51" s="41" t="s">
        <v>13823</v>
      </c>
      <c r="C51" s="74" t="s">
        <v>13824</v>
      </c>
      <c r="D51" s="72"/>
      <c r="F51" s="53"/>
      <c r="G51" s="49"/>
      <c r="H51" s="50"/>
      <c r="I51" s="163"/>
      <c r="J51" s="45"/>
      <c r="K51" s="46"/>
      <c r="L51" s="35"/>
      <c r="O51" s="707" t="s">
        <v>404</v>
      </c>
      <c r="P51" s="717"/>
      <c r="Q51" s="47">
        <f>ROUND((ROUND((_11_A通院２３．０*(1+_11・A深夜)),0)*_11・初任),0)</f>
        <v>505</v>
      </c>
      <c r="R51" s="48"/>
    </row>
    <row r="52" spans="1:18" ht="16.5" customHeight="1" x14ac:dyDescent="0.15">
      <c r="A52" s="41">
        <v>11</v>
      </c>
      <c r="B52" s="41" t="s">
        <v>13825</v>
      </c>
      <c r="C52" s="74" t="s">
        <v>13826</v>
      </c>
      <c r="D52" s="72"/>
      <c r="F52" s="43"/>
      <c r="G52" s="37"/>
      <c r="H52" s="38"/>
      <c r="I52" s="281" t="s">
        <v>397</v>
      </c>
      <c r="J52" s="218" t="s">
        <v>398</v>
      </c>
      <c r="K52" s="46">
        <v>1</v>
      </c>
      <c r="L52" s="35"/>
      <c r="O52" s="709"/>
      <c r="P52" s="718"/>
      <c r="Q52" s="47">
        <f>ROUND((ROUND((ROUND((_11_A通院２３．０*_11・２人),0)*(1+_11・A深夜)),0)*_11・初任),0)</f>
        <v>505</v>
      </c>
      <c r="R52" s="48"/>
    </row>
    <row r="53" spans="1:18" ht="16.5" customHeight="1" x14ac:dyDescent="0.15">
      <c r="A53" s="41">
        <v>11</v>
      </c>
      <c r="B53" s="41" t="s">
        <v>13827</v>
      </c>
      <c r="C53" s="74" t="s">
        <v>13828</v>
      </c>
      <c r="D53" s="72"/>
      <c r="F53" s="752" t="s">
        <v>400</v>
      </c>
      <c r="G53" s="221" t="s">
        <v>398</v>
      </c>
      <c r="H53" s="251">
        <v>0.9</v>
      </c>
      <c r="I53" s="163"/>
      <c r="J53" s="45"/>
      <c r="K53" s="46"/>
      <c r="L53" s="35"/>
      <c r="O53" s="709"/>
      <c r="P53" s="718"/>
      <c r="Q53" s="47">
        <f>ROUND((ROUND((ROUND((_11_A通院２３．０*_11・基礎２),0)*(1+_11・A深夜)),0)*_11・初任),0)</f>
        <v>455</v>
      </c>
      <c r="R53" s="48"/>
    </row>
    <row r="54" spans="1:18" ht="16.5" customHeight="1" x14ac:dyDescent="0.15">
      <c r="A54" s="41">
        <v>11</v>
      </c>
      <c r="B54" s="41" t="s">
        <v>13829</v>
      </c>
      <c r="C54" s="74" t="s">
        <v>13830</v>
      </c>
      <c r="D54" s="72"/>
      <c r="F54" s="800"/>
      <c r="G54" s="37"/>
      <c r="H54" s="244"/>
      <c r="I54" s="281" t="s">
        <v>397</v>
      </c>
      <c r="J54" s="218" t="s">
        <v>398</v>
      </c>
      <c r="K54" s="46">
        <v>1</v>
      </c>
      <c r="L54" s="35"/>
      <c r="O54" s="240" t="s">
        <v>398</v>
      </c>
      <c r="P54" s="38">
        <f>_11・初任</f>
        <v>0.7</v>
      </c>
      <c r="Q54" s="47">
        <f>ROUND((ROUND((ROUND((ROUND((_11_A通院２３．０*_11・基礎２),0)*_11・２人),0)*(1+_11・A深夜)),0)*_11・初任),0)</f>
        <v>455</v>
      </c>
      <c r="R54" s="48"/>
    </row>
    <row r="55" spans="1:18" ht="16.5" customHeight="1" x14ac:dyDescent="0.15">
      <c r="A55" s="41">
        <v>11</v>
      </c>
      <c r="B55" s="41">
        <v>7275</v>
      </c>
      <c r="C55" s="74" t="s">
        <v>13831</v>
      </c>
      <c r="D55" s="707" t="s">
        <v>941</v>
      </c>
      <c r="E55" s="798"/>
      <c r="F55" s="53"/>
      <c r="G55" s="49"/>
      <c r="H55" s="50"/>
      <c r="I55" s="163"/>
      <c r="J55" s="45"/>
      <c r="K55" s="46"/>
      <c r="L55" s="35"/>
      <c r="O55" s="53"/>
      <c r="P55" s="251"/>
      <c r="Q55" s="47">
        <f>ROUND((_11_A通院２３．５*(1+_11・A深夜)),0)</f>
        <v>825</v>
      </c>
      <c r="R55" s="48"/>
    </row>
    <row r="56" spans="1:18" ht="16.5" customHeight="1" x14ac:dyDescent="0.15">
      <c r="A56" s="41">
        <v>11</v>
      </c>
      <c r="B56" s="41">
        <v>7276</v>
      </c>
      <c r="C56" s="74" t="s">
        <v>13832</v>
      </c>
      <c r="D56" s="799"/>
      <c r="E56" s="796"/>
      <c r="F56" s="43"/>
      <c r="G56" s="37"/>
      <c r="H56" s="38"/>
      <c r="I56" s="281" t="s">
        <v>397</v>
      </c>
      <c r="J56" s="218" t="s">
        <v>398</v>
      </c>
      <c r="K56" s="46">
        <v>1</v>
      </c>
      <c r="L56" s="35"/>
      <c r="O56" s="35"/>
      <c r="P56" s="234"/>
      <c r="Q56" s="47">
        <f>ROUND((ROUND((_11_A通院２３．５*_11・２人),0)*(1+_11・A深夜)),0)</f>
        <v>825</v>
      </c>
      <c r="R56" s="48"/>
    </row>
    <row r="57" spans="1:18" ht="16.5" customHeight="1" x14ac:dyDescent="0.15">
      <c r="A57" s="41">
        <v>11</v>
      </c>
      <c r="B57" s="41">
        <v>7277</v>
      </c>
      <c r="C57" s="74" t="s">
        <v>13833</v>
      </c>
      <c r="D57" s="799"/>
      <c r="E57" s="796"/>
      <c r="F57" s="752" t="s">
        <v>400</v>
      </c>
      <c r="G57" s="221" t="s">
        <v>398</v>
      </c>
      <c r="H57" s="251">
        <v>0.9</v>
      </c>
      <c r="I57" s="163"/>
      <c r="J57" s="45"/>
      <c r="K57" s="46"/>
      <c r="L57" s="35"/>
      <c r="O57" s="35"/>
      <c r="P57" s="234"/>
      <c r="Q57" s="47">
        <f>ROUND((ROUND((_11_A通院２３．５*_11・基礎２),0)*(1+_11・A深夜)),0)</f>
        <v>743</v>
      </c>
      <c r="R57" s="48"/>
    </row>
    <row r="58" spans="1:18" ht="16.5" customHeight="1" x14ac:dyDescent="0.15">
      <c r="A58" s="41">
        <v>11</v>
      </c>
      <c r="B58" s="41">
        <v>7278</v>
      </c>
      <c r="C58" s="74" t="s">
        <v>13834</v>
      </c>
      <c r="D58" s="274">
        <f>_11_A通院２３．５</f>
        <v>550</v>
      </c>
      <c r="E58" s="254" t="s">
        <v>392</v>
      </c>
      <c r="F58" s="800"/>
      <c r="G58" s="37"/>
      <c r="H58" s="244"/>
      <c r="I58" s="281" t="s">
        <v>397</v>
      </c>
      <c r="J58" s="218" t="s">
        <v>398</v>
      </c>
      <c r="K58" s="46">
        <v>1</v>
      </c>
      <c r="L58" s="35"/>
      <c r="O58" s="35"/>
      <c r="P58" s="234"/>
      <c r="Q58" s="47">
        <f>ROUND((ROUND((ROUND((_11_A通院２３．５*_11・基礎２),0)*_11・２人),0)*(1+_11・A深夜)),0)</f>
        <v>743</v>
      </c>
      <c r="R58" s="48"/>
    </row>
    <row r="59" spans="1:18" ht="16.5" customHeight="1" x14ac:dyDescent="0.15">
      <c r="A59" s="41">
        <v>11</v>
      </c>
      <c r="B59" s="41" t="s">
        <v>13835</v>
      </c>
      <c r="C59" s="74" t="s">
        <v>13836</v>
      </c>
      <c r="D59" s="72"/>
      <c r="F59" s="53"/>
      <c r="G59" s="49"/>
      <c r="H59" s="50"/>
      <c r="I59" s="163"/>
      <c r="J59" s="45"/>
      <c r="K59" s="46"/>
      <c r="L59" s="35"/>
      <c r="O59" s="707" t="s">
        <v>404</v>
      </c>
      <c r="P59" s="717"/>
      <c r="Q59" s="47">
        <f>ROUND((ROUND((_11_A通院２３．５*(1+_11・A深夜)),0)*_11・初任),0)</f>
        <v>578</v>
      </c>
      <c r="R59" s="48"/>
    </row>
    <row r="60" spans="1:18" ht="16.5" customHeight="1" x14ac:dyDescent="0.15">
      <c r="A60" s="41">
        <v>11</v>
      </c>
      <c r="B60" s="41" t="s">
        <v>13837</v>
      </c>
      <c r="C60" s="74" t="s">
        <v>13838</v>
      </c>
      <c r="D60" s="72"/>
      <c r="F60" s="43"/>
      <c r="G60" s="37"/>
      <c r="H60" s="38"/>
      <c r="I60" s="281" t="s">
        <v>397</v>
      </c>
      <c r="J60" s="218" t="s">
        <v>398</v>
      </c>
      <c r="K60" s="46">
        <v>1</v>
      </c>
      <c r="L60" s="35"/>
      <c r="O60" s="709"/>
      <c r="P60" s="718"/>
      <c r="Q60" s="47">
        <f>ROUND((ROUND((ROUND((_11_A通院２３．５*_11・２人),0)*(1+_11・A深夜)),0)*_11・初任),0)</f>
        <v>578</v>
      </c>
      <c r="R60" s="48"/>
    </row>
    <row r="61" spans="1:18" ht="16.5" customHeight="1" x14ac:dyDescent="0.15">
      <c r="A61" s="41">
        <v>11</v>
      </c>
      <c r="B61" s="41" t="s">
        <v>13839</v>
      </c>
      <c r="C61" s="74" t="s">
        <v>13840</v>
      </c>
      <c r="D61" s="72"/>
      <c r="F61" s="752" t="s">
        <v>400</v>
      </c>
      <c r="G61" s="221" t="s">
        <v>398</v>
      </c>
      <c r="H61" s="251">
        <v>0.9</v>
      </c>
      <c r="I61" s="163"/>
      <c r="J61" s="45"/>
      <c r="K61" s="46"/>
      <c r="L61" s="35"/>
      <c r="O61" s="709"/>
      <c r="P61" s="718"/>
      <c r="Q61" s="47">
        <f>ROUND((ROUND((ROUND((_11_A通院２３．５*_11・基礎２),0)*(1+_11・A深夜)),0)*_11・初任),0)</f>
        <v>520</v>
      </c>
      <c r="R61" s="48"/>
    </row>
    <row r="62" spans="1:18" ht="16.5" customHeight="1" x14ac:dyDescent="0.15">
      <c r="A62" s="41">
        <v>11</v>
      </c>
      <c r="B62" s="41" t="s">
        <v>13841</v>
      </c>
      <c r="C62" s="74" t="s">
        <v>13842</v>
      </c>
      <c r="D62" s="72"/>
      <c r="F62" s="800"/>
      <c r="G62" s="37"/>
      <c r="H62" s="244"/>
      <c r="I62" s="281" t="s">
        <v>397</v>
      </c>
      <c r="J62" s="218" t="s">
        <v>398</v>
      </c>
      <c r="K62" s="46">
        <v>1</v>
      </c>
      <c r="L62" s="35"/>
      <c r="O62" s="240" t="s">
        <v>398</v>
      </c>
      <c r="P62" s="38">
        <f>_11・初任</f>
        <v>0.7</v>
      </c>
      <c r="Q62" s="47">
        <f>ROUND((ROUND((ROUND((ROUND((_11_A通院２３．５*_11・基礎２),0)*_11・２人),0)*(1+_11・A深夜)),0)*_11・初任),0)</f>
        <v>520</v>
      </c>
      <c r="R62" s="48"/>
    </row>
    <row r="63" spans="1:18" ht="16.5" customHeight="1" x14ac:dyDescent="0.15">
      <c r="A63" s="41">
        <v>11</v>
      </c>
      <c r="B63" s="41">
        <v>7279</v>
      </c>
      <c r="C63" s="74" t="s">
        <v>13843</v>
      </c>
      <c r="D63" s="707" t="s">
        <v>954</v>
      </c>
      <c r="E63" s="798"/>
      <c r="F63" s="53"/>
      <c r="G63" s="49"/>
      <c r="H63" s="50"/>
      <c r="I63" s="163"/>
      <c r="J63" s="45"/>
      <c r="K63" s="46"/>
      <c r="L63" s="35"/>
      <c r="O63" s="53"/>
      <c r="P63" s="251"/>
      <c r="Q63" s="47">
        <f>ROUND((_11_A通院２４．０*(1+_11・A深夜)),0)</f>
        <v>929</v>
      </c>
      <c r="R63" s="48"/>
    </row>
    <row r="64" spans="1:18" ht="16.5" customHeight="1" x14ac:dyDescent="0.15">
      <c r="A64" s="41">
        <v>11</v>
      </c>
      <c r="B64" s="41">
        <v>7280</v>
      </c>
      <c r="C64" s="74" t="s">
        <v>13844</v>
      </c>
      <c r="D64" s="799"/>
      <c r="E64" s="796"/>
      <c r="F64" s="43"/>
      <c r="G64" s="37"/>
      <c r="H64" s="38"/>
      <c r="I64" s="281" t="s">
        <v>397</v>
      </c>
      <c r="J64" s="218" t="s">
        <v>398</v>
      </c>
      <c r="K64" s="46">
        <v>1</v>
      </c>
      <c r="L64" s="35"/>
      <c r="O64" s="35"/>
      <c r="P64" s="234"/>
      <c r="Q64" s="47">
        <f>ROUND((ROUND((_11_A通院２４．０*_11・２人),0)*(1+_11・A深夜)),0)</f>
        <v>929</v>
      </c>
      <c r="R64" s="48"/>
    </row>
    <row r="65" spans="1:18" ht="16.5" customHeight="1" x14ac:dyDescent="0.15">
      <c r="A65" s="41">
        <v>11</v>
      </c>
      <c r="B65" s="41">
        <v>7281</v>
      </c>
      <c r="C65" s="74" t="s">
        <v>13845</v>
      </c>
      <c r="D65" s="799"/>
      <c r="E65" s="796"/>
      <c r="F65" s="752" t="s">
        <v>400</v>
      </c>
      <c r="G65" s="221" t="s">
        <v>398</v>
      </c>
      <c r="H65" s="251">
        <v>0.9</v>
      </c>
      <c r="I65" s="163"/>
      <c r="J65" s="45"/>
      <c r="K65" s="46"/>
      <c r="L65" s="35"/>
      <c r="O65" s="35"/>
      <c r="P65" s="234"/>
      <c r="Q65" s="47">
        <f>ROUND((ROUND((_11_A通院２４．０*_11・基礎２),0)*(1+_11・A深夜)),0)</f>
        <v>836</v>
      </c>
      <c r="R65" s="48"/>
    </row>
    <row r="66" spans="1:18" ht="16.5" customHeight="1" x14ac:dyDescent="0.15">
      <c r="A66" s="41">
        <v>11</v>
      </c>
      <c r="B66" s="41">
        <v>7282</v>
      </c>
      <c r="C66" s="74" t="s">
        <v>13846</v>
      </c>
      <c r="D66" s="274">
        <f>_11_A通院２４．０</f>
        <v>619</v>
      </c>
      <c r="E66" s="254" t="s">
        <v>392</v>
      </c>
      <c r="F66" s="800"/>
      <c r="G66" s="37"/>
      <c r="H66" s="244"/>
      <c r="I66" s="281" t="s">
        <v>397</v>
      </c>
      <c r="J66" s="218" t="s">
        <v>398</v>
      </c>
      <c r="K66" s="46">
        <v>1</v>
      </c>
      <c r="L66" s="35"/>
      <c r="O66" s="35"/>
      <c r="P66" s="234"/>
      <c r="Q66" s="47">
        <f>ROUND((ROUND((ROUND((_11_A通院２４．０*_11・基礎２),0)*_11・２人),0)*(1+_11・A深夜)),0)</f>
        <v>836</v>
      </c>
      <c r="R66" s="48"/>
    </row>
    <row r="67" spans="1:18" ht="16.5" customHeight="1" x14ac:dyDescent="0.15">
      <c r="A67" s="41">
        <v>11</v>
      </c>
      <c r="B67" s="41" t="s">
        <v>13847</v>
      </c>
      <c r="C67" s="74" t="s">
        <v>13848</v>
      </c>
      <c r="D67" s="72"/>
      <c r="F67" s="53"/>
      <c r="G67" s="49"/>
      <c r="H67" s="50"/>
      <c r="I67" s="163"/>
      <c r="J67" s="45"/>
      <c r="K67" s="46"/>
      <c r="L67" s="35"/>
      <c r="O67" s="707" t="s">
        <v>404</v>
      </c>
      <c r="P67" s="717"/>
      <c r="Q67" s="47">
        <f>ROUND((ROUND((_11_A通院２４．０*(1+_11・A深夜)),0)*_11・初任),0)</f>
        <v>650</v>
      </c>
      <c r="R67" s="48"/>
    </row>
    <row r="68" spans="1:18" ht="16.5" customHeight="1" x14ac:dyDescent="0.15">
      <c r="A68" s="41">
        <v>11</v>
      </c>
      <c r="B68" s="41" t="s">
        <v>13849</v>
      </c>
      <c r="C68" s="74" t="s">
        <v>13850</v>
      </c>
      <c r="D68" s="72"/>
      <c r="F68" s="43"/>
      <c r="G68" s="37"/>
      <c r="H68" s="38"/>
      <c r="I68" s="281" t="s">
        <v>397</v>
      </c>
      <c r="J68" s="218" t="s">
        <v>398</v>
      </c>
      <c r="K68" s="46">
        <v>1</v>
      </c>
      <c r="L68" s="35"/>
      <c r="O68" s="709"/>
      <c r="P68" s="718"/>
      <c r="Q68" s="47">
        <f>ROUND((ROUND((ROUND((_11_A通院２４．０*_11・２人),0)*(1+_11・A深夜)),0)*_11・初任),0)</f>
        <v>650</v>
      </c>
      <c r="R68" s="48"/>
    </row>
    <row r="69" spans="1:18" ht="16.5" customHeight="1" x14ac:dyDescent="0.15">
      <c r="A69" s="41">
        <v>11</v>
      </c>
      <c r="B69" s="41" t="s">
        <v>13851</v>
      </c>
      <c r="C69" s="74" t="s">
        <v>13852</v>
      </c>
      <c r="D69" s="72"/>
      <c r="F69" s="752" t="s">
        <v>400</v>
      </c>
      <c r="G69" s="221" t="s">
        <v>398</v>
      </c>
      <c r="H69" s="251">
        <v>0.9</v>
      </c>
      <c r="I69" s="163"/>
      <c r="J69" s="45"/>
      <c r="K69" s="46"/>
      <c r="L69" s="35"/>
      <c r="O69" s="709"/>
      <c r="P69" s="718"/>
      <c r="Q69" s="47">
        <f>ROUND((ROUND((ROUND((_11_A通院２４．０*_11・基礎２),0)*(1+_11・A深夜)),0)*_11・初任),0)</f>
        <v>585</v>
      </c>
      <c r="R69" s="48"/>
    </row>
    <row r="70" spans="1:18" ht="16.5" customHeight="1" x14ac:dyDescent="0.15">
      <c r="A70" s="41">
        <v>11</v>
      </c>
      <c r="B70" s="41" t="s">
        <v>13853</v>
      </c>
      <c r="C70" s="74" t="s">
        <v>13854</v>
      </c>
      <c r="D70" s="72"/>
      <c r="F70" s="800"/>
      <c r="G70" s="37"/>
      <c r="H70" s="244"/>
      <c r="I70" s="281" t="s">
        <v>397</v>
      </c>
      <c r="J70" s="218" t="s">
        <v>398</v>
      </c>
      <c r="K70" s="46">
        <v>1</v>
      </c>
      <c r="L70" s="35"/>
      <c r="O70" s="240" t="s">
        <v>398</v>
      </c>
      <c r="P70" s="38">
        <f>_11・初任</f>
        <v>0.7</v>
      </c>
      <c r="Q70" s="47">
        <f>ROUND((ROUND((ROUND((ROUND((_11_A通院２４．０*_11・基礎２),0)*_11・２人),0)*(1+_11・A深夜)),0)*_11・初任),0)</f>
        <v>585</v>
      </c>
      <c r="R70" s="48"/>
    </row>
    <row r="71" spans="1:18" ht="16.5" customHeight="1" x14ac:dyDescent="0.15">
      <c r="A71" s="41">
        <v>11</v>
      </c>
      <c r="B71" s="41">
        <v>7283</v>
      </c>
      <c r="C71" s="74" t="s">
        <v>13855</v>
      </c>
      <c r="D71" s="707" t="s">
        <v>3197</v>
      </c>
      <c r="E71" s="798"/>
      <c r="F71" s="53"/>
      <c r="G71" s="49"/>
      <c r="H71" s="50"/>
      <c r="I71" s="163"/>
      <c r="J71" s="45"/>
      <c r="K71" s="46"/>
      <c r="L71" s="35"/>
      <c r="O71" s="53"/>
      <c r="P71" s="251"/>
      <c r="Q71" s="47">
        <f>ROUND((_11_A通院２４．５*(1+_11・A深夜)),0)</f>
        <v>1032</v>
      </c>
      <c r="R71" s="48"/>
    </row>
    <row r="72" spans="1:18" ht="16.5" customHeight="1" x14ac:dyDescent="0.15">
      <c r="A72" s="41">
        <v>11</v>
      </c>
      <c r="B72" s="41">
        <v>7284</v>
      </c>
      <c r="C72" s="74" t="s">
        <v>13856</v>
      </c>
      <c r="D72" s="799"/>
      <c r="E72" s="796"/>
      <c r="F72" s="43"/>
      <c r="G72" s="37"/>
      <c r="H72" s="38"/>
      <c r="I72" s="281" t="s">
        <v>397</v>
      </c>
      <c r="J72" s="218" t="s">
        <v>398</v>
      </c>
      <c r="K72" s="46">
        <v>1</v>
      </c>
      <c r="L72" s="35"/>
      <c r="O72" s="35"/>
      <c r="P72" s="234"/>
      <c r="Q72" s="47">
        <f>ROUND((ROUND((_11_A通院２４．５*_11・２人),0)*(1+_11・A深夜)),0)</f>
        <v>1032</v>
      </c>
      <c r="R72" s="48"/>
    </row>
    <row r="73" spans="1:18" ht="16.5" customHeight="1" x14ac:dyDescent="0.15">
      <c r="A73" s="41">
        <v>11</v>
      </c>
      <c r="B73" s="41">
        <v>7285</v>
      </c>
      <c r="C73" s="74" t="s">
        <v>13857</v>
      </c>
      <c r="D73" s="799"/>
      <c r="E73" s="796"/>
      <c r="F73" s="752" t="s">
        <v>400</v>
      </c>
      <c r="G73" s="221" t="s">
        <v>398</v>
      </c>
      <c r="H73" s="251">
        <v>0.9</v>
      </c>
      <c r="I73" s="163"/>
      <c r="J73" s="45"/>
      <c r="K73" s="46"/>
      <c r="L73" s="35"/>
      <c r="O73" s="35"/>
      <c r="P73" s="234"/>
      <c r="Q73" s="47">
        <f>ROUND((ROUND((_11_A通院２４．５*_11・基礎２),0)*(1+_11・A深夜)),0)</f>
        <v>929</v>
      </c>
      <c r="R73" s="48"/>
    </row>
    <row r="74" spans="1:18" ht="16.5" customHeight="1" x14ac:dyDescent="0.15">
      <c r="A74" s="41">
        <v>11</v>
      </c>
      <c r="B74" s="41">
        <v>7286</v>
      </c>
      <c r="C74" s="74" t="s">
        <v>13858</v>
      </c>
      <c r="D74" s="274">
        <f>_11_A通院２４．５</f>
        <v>688</v>
      </c>
      <c r="E74" s="254" t="s">
        <v>392</v>
      </c>
      <c r="F74" s="800"/>
      <c r="G74" s="37"/>
      <c r="H74" s="244"/>
      <c r="I74" s="281" t="s">
        <v>397</v>
      </c>
      <c r="J74" s="218" t="s">
        <v>398</v>
      </c>
      <c r="K74" s="46">
        <v>1</v>
      </c>
      <c r="L74" s="35"/>
      <c r="O74" s="35"/>
      <c r="P74" s="234"/>
      <c r="Q74" s="47">
        <f>ROUND((ROUND((ROUND((_11_A通院２４．５*_11・基礎２),0)*_11・２人),0)*(1+_11・A深夜)),0)</f>
        <v>929</v>
      </c>
      <c r="R74" s="48"/>
    </row>
    <row r="75" spans="1:18" ht="16.5" customHeight="1" x14ac:dyDescent="0.15">
      <c r="A75" s="41">
        <v>11</v>
      </c>
      <c r="B75" s="41" t="s">
        <v>13859</v>
      </c>
      <c r="C75" s="74" t="s">
        <v>13860</v>
      </c>
      <c r="D75" s="72"/>
      <c r="F75" s="53"/>
      <c r="G75" s="49"/>
      <c r="H75" s="50"/>
      <c r="I75" s="163"/>
      <c r="J75" s="45"/>
      <c r="K75" s="46"/>
      <c r="L75" s="35"/>
      <c r="O75" s="707" t="s">
        <v>404</v>
      </c>
      <c r="P75" s="717"/>
      <c r="Q75" s="47">
        <f>ROUND((ROUND((_11_A通院２４．５*(1+_11・A深夜)),0)*_11・初任),0)</f>
        <v>722</v>
      </c>
      <c r="R75" s="48"/>
    </row>
    <row r="76" spans="1:18" ht="16.5" customHeight="1" x14ac:dyDescent="0.15">
      <c r="A76" s="41">
        <v>11</v>
      </c>
      <c r="B76" s="41" t="s">
        <v>13861</v>
      </c>
      <c r="C76" s="74" t="s">
        <v>13862</v>
      </c>
      <c r="D76" s="72"/>
      <c r="F76" s="43"/>
      <c r="G76" s="37"/>
      <c r="H76" s="38"/>
      <c r="I76" s="281" t="s">
        <v>397</v>
      </c>
      <c r="J76" s="218" t="s">
        <v>398</v>
      </c>
      <c r="K76" s="46">
        <v>1</v>
      </c>
      <c r="L76" s="35"/>
      <c r="O76" s="709"/>
      <c r="P76" s="718"/>
      <c r="Q76" s="47">
        <f>ROUND((ROUND((ROUND((_11_A通院２４．５*_11・２人),0)*(1+_11・A深夜)),0)*_11・初任),0)</f>
        <v>722</v>
      </c>
      <c r="R76" s="48"/>
    </row>
    <row r="77" spans="1:18" ht="16.5" customHeight="1" x14ac:dyDescent="0.15">
      <c r="A77" s="41">
        <v>11</v>
      </c>
      <c r="B77" s="41" t="s">
        <v>13863</v>
      </c>
      <c r="C77" s="74" t="s">
        <v>13864</v>
      </c>
      <c r="D77" s="72"/>
      <c r="F77" s="752" t="s">
        <v>400</v>
      </c>
      <c r="G77" s="221" t="s">
        <v>398</v>
      </c>
      <c r="H77" s="251">
        <v>0.9</v>
      </c>
      <c r="I77" s="163"/>
      <c r="J77" s="45"/>
      <c r="K77" s="46"/>
      <c r="L77" s="35"/>
      <c r="O77" s="709"/>
      <c r="P77" s="718"/>
      <c r="Q77" s="47">
        <f>ROUND((ROUND((ROUND((_11_A通院２４．５*_11・基礎２),0)*(1+_11・A深夜)),0)*_11・初任),0)</f>
        <v>650</v>
      </c>
      <c r="R77" s="48"/>
    </row>
    <row r="78" spans="1:18" ht="16.5" customHeight="1" x14ac:dyDescent="0.15">
      <c r="A78" s="41">
        <v>11</v>
      </c>
      <c r="B78" s="41" t="s">
        <v>13865</v>
      </c>
      <c r="C78" s="74" t="s">
        <v>13866</v>
      </c>
      <c r="D78" s="72"/>
      <c r="F78" s="800"/>
      <c r="G78" s="37"/>
      <c r="H78" s="244"/>
      <c r="I78" s="281" t="s">
        <v>397</v>
      </c>
      <c r="J78" s="218" t="s">
        <v>398</v>
      </c>
      <c r="K78" s="46">
        <v>1</v>
      </c>
      <c r="L78" s="35"/>
      <c r="O78" s="240" t="s">
        <v>398</v>
      </c>
      <c r="P78" s="38">
        <f>_11・初任</f>
        <v>0.7</v>
      </c>
      <c r="Q78" s="47">
        <f>ROUND((ROUND((ROUND((ROUND((_11_A通院２４．５*_11・基礎２),0)*_11・２人),0)*(1+_11・A深夜)),0)*_11・初任),0)</f>
        <v>650</v>
      </c>
      <c r="R78" s="48"/>
    </row>
    <row r="79" spans="1:18" ht="16.5" customHeight="1" x14ac:dyDescent="0.15">
      <c r="A79" s="41">
        <v>11</v>
      </c>
      <c r="B79" s="41">
        <v>7287</v>
      </c>
      <c r="C79" s="74" t="s">
        <v>13867</v>
      </c>
      <c r="D79" s="707" t="s">
        <v>980</v>
      </c>
      <c r="E79" s="798"/>
      <c r="F79" s="53"/>
      <c r="G79" s="49"/>
      <c r="H79" s="50"/>
      <c r="I79" s="163"/>
      <c r="J79" s="45"/>
      <c r="K79" s="46"/>
      <c r="L79" s="35"/>
      <c r="O79" s="53"/>
      <c r="P79" s="251"/>
      <c r="Q79" s="47">
        <f>ROUND((_11_A通院２５．０*(1+_11・A深夜)),0)</f>
        <v>1136</v>
      </c>
      <c r="R79" s="48"/>
    </row>
    <row r="80" spans="1:18" ht="16.5" customHeight="1" x14ac:dyDescent="0.15">
      <c r="A80" s="41">
        <v>11</v>
      </c>
      <c r="B80" s="41">
        <v>7288</v>
      </c>
      <c r="C80" s="74" t="s">
        <v>13868</v>
      </c>
      <c r="D80" s="799"/>
      <c r="E80" s="796"/>
      <c r="F80" s="43"/>
      <c r="G80" s="37"/>
      <c r="H80" s="38"/>
      <c r="I80" s="281" t="s">
        <v>397</v>
      </c>
      <c r="J80" s="218" t="s">
        <v>398</v>
      </c>
      <c r="K80" s="46">
        <v>1</v>
      </c>
      <c r="L80" s="35"/>
      <c r="O80" s="35"/>
      <c r="P80" s="234"/>
      <c r="Q80" s="47">
        <f>ROUND((ROUND((_11_A通院２５．０*_11・２人),0)*(1+_11・A深夜)),0)</f>
        <v>1136</v>
      </c>
      <c r="R80" s="48"/>
    </row>
    <row r="81" spans="1:18" ht="16.5" customHeight="1" x14ac:dyDescent="0.15">
      <c r="A81" s="41">
        <v>11</v>
      </c>
      <c r="B81" s="41">
        <v>7289</v>
      </c>
      <c r="C81" s="74" t="s">
        <v>13869</v>
      </c>
      <c r="D81" s="799"/>
      <c r="E81" s="796"/>
      <c r="F81" s="752" t="s">
        <v>400</v>
      </c>
      <c r="G81" s="221" t="s">
        <v>398</v>
      </c>
      <c r="H81" s="251">
        <v>0.9</v>
      </c>
      <c r="I81" s="163"/>
      <c r="J81" s="45"/>
      <c r="K81" s="46"/>
      <c r="L81" s="35"/>
      <c r="O81" s="35"/>
      <c r="P81" s="234"/>
      <c r="Q81" s="47">
        <f>ROUND((ROUND((_11_A通院２５．０*_11・基礎２),0)*(1+_11・A深夜)),0)</f>
        <v>1022</v>
      </c>
      <c r="R81" s="48"/>
    </row>
    <row r="82" spans="1:18" ht="16.5" customHeight="1" x14ac:dyDescent="0.15">
      <c r="A82" s="41">
        <v>11</v>
      </c>
      <c r="B82" s="41">
        <v>7290</v>
      </c>
      <c r="C82" s="74" t="s">
        <v>13870</v>
      </c>
      <c r="D82" s="274">
        <f>_11_A通院２５．０</f>
        <v>757</v>
      </c>
      <c r="E82" s="254" t="s">
        <v>392</v>
      </c>
      <c r="F82" s="800"/>
      <c r="G82" s="37"/>
      <c r="H82" s="244"/>
      <c r="I82" s="281" t="s">
        <v>397</v>
      </c>
      <c r="J82" s="218" t="s">
        <v>398</v>
      </c>
      <c r="K82" s="46">
        <v>1</v>
      </c>
      <c r="L82" s="35"/>
      <c r="O82" s="35"/>
      <c r="P82" s="234"/>
      <c r="Q82" s="47">
        <f>ROUND((ROUND((ROUND((_11_A通院２５．０*_11・基礎２),0)*_11・２人),0)*(1+_11・A深夜)),0)</f>
        <v>1022</v>
      </c>
      <c r="R82" s="48"/>
    </row>
    <row r="83" spans="1:18" ht="16.5" customHeight="1" x14ac:dyDescent="0.15">
      <c r="A83" s="41">
        <v>11</v>
      </c>
      <c r="B83" s="41" t="s">
        <v>13871</v>
      </c>
      <c r="C83" s="74" t="s">
        <v>13872</v>
      </c>
      <c r="D83" s="72"/>
      <c r="F83" s="53"/>
      <c r="G83" s="49"/>
      <c r="H83" s="50"/>
      <c r="I83" s="163"/>
      <c r="J83" s="45"/>
      <c r="K83" s="46"/>
      <c r="L83" s="35"/>
      <c r="O83" s="707" t="s">
        <v>404</v>
      </c>
      <c r="P83" s="717"/>
      <c r="Q83" s="47">
        <f>ROUND((ROUND((_11_A通院２５．０*(1+_11・A深夜)),0)*_11・初任),0)</f>
        <v>795</v>
      </c>
      <c r="R83" s="48"/>
    </row>
    <row r="84" spans="1:18" ht="16.5" customHeight="1" x14ac:dyDescent="0.15">
      <c r="A84" s="41">
        <v>11</v>
      </c>
      <c r="B84" s="41" t="s">
        <v>13873</v>
      </c>
      <c r="C84" s="74" t="s">
        <v>13874</v>
      </c>
      <c r="D84" s="72"/>
      <c r="F84" s="43"/>
      <c r="G84" s="37"/>
      <c r="H84" s="38"/>
      <c r="I84" s="281" t="s">
        <v>397</v>
      </c>
      <c r="J84" s="218" t="s">
        <v>398</v>
      </c>
      <c r="K84" s="46">
        <v>1</v>
      </c>
      <c r="L84" s="35"/>
      <c r="O84" s="709"/>
      <c r="P84" s="718"/>
      <c r="Q84" s="47">
        <f>ROUND((ROUND((ROUND((_11_A通院２５．０*_11・２人),0)*(1+_11・A深夜)),0)*_11・初任),0)</f>
        <v>795</v>
      </c>
      <c r="R84" s="48"/>
    </row>
    <row r="85" spans="1:18" ht="16.5" customHeight="1" x14ac:dyDescent="0.15">
      <c r="A85" s="41">
        <v>11</v>
      </c>
      <c r="B85" s="41" t="s">
        <v>13875</v>
      </c>
      <c r="C85" s="74" t="s">
        <v>13876</v>
      </c>
      <c r="D85" s="72"/>
      <c r="F85" s="752" t="s">
        <v>400</v>
      </c>
      <c r="G85" s="221" t="s">
        <v>398</v>
      </c>
      <c r="H85" s="251">
        <v>0.9</v>
      </c>
      <c r="I85" s="163"/>
      <c r="J85" s="45"/>
      <c r="K85" s="46"/>
      <c r="L85" s="35"/>
      <c r="O85" s="709"/>
      <c r="P85" s="718"/>
      <c r="Q85" s="47">
        <f>ROUND((ROUND((ROUND((_11_A通院２５．０*_11・基礎２),0)*(1+_11・A深夜)),0)*_11・初任),0)</f>
        <v>715</v>
      </c>
      <c r="R85" s="48"/>
    </row>
    <row r="86" spans="1:18" ht="16.5" customHeight="1" x14ac:dyDescent="0.15">
      <c r="A86" s="41">
        <v>11</v>
      </c>
      <c r="B86" s="41" t="s">
        <v>13877</v>
      </c>
      <c r="C86" s="74" t="s">
        <v>13878</v>
      </c>
      <c r="D86" s="122"/>
      <c r="E86" s="37"/>
      <c r="F86" s="800"/>
      <c r="G86" s="37"/>
      <c r="H86" s="244"/>
      <c r="I86" s="281" t="s">
        <v>397</v>
      </c>
      <c r="J86" s="218" t="s">
        <v>398</v>
      </c>
      <c r="K86" s="46">
        <v>1</v>
      </c>
      <c r="L86" s="43"/>
      <c r="M86" s="37"/>
      <c r="N86" s="38"/>
      <c r="O86" s="240" t="s">
        <v>398</v>
      </c>
      <c r="P86" s="38">
        <f>_11・初任</f>
        <v>0.7</v>
      </c>
      <c r="Q86" s="47">
        <f>ROUND((ROUND((ROUND((ROUND((_11_A通院２５．０*_11・基礎２),0)*_11・２人),0)*(1+_11・A深夜)),0)*_11・初任),0)</f>
        <v>715</v>
      </c>
      <c r="R86" s="63"/>
    </row>
    <row r="87" spans="1:18" ht="16.5" customHeight="1" x14ac:dyDescent="0.15">
      <c r="A87" s="33">
        <v>11</v>
      </c>
      <c r="B87" s="33">
        <v>7291</v>
      </c>
      <c r="C87" s="34" t="s">
        <v>13879</v>
      </c>
      <c r="D87" s="709" t="s">
        <v>993</v>
      </c>
      <c r="E87" s="796"/>
      <c r="F87" s="35"/>
      <c r="I87" s="43"/>
      <c r="J87" s="37"/>
      <c r="K87" s="38"/>
      <c r="L87" s="53" t="s">
        <v>862</v>
      </c>
      <c r="M87" s="49"/>
      <c r="N87" s="50"/>
      <c r="O87" s="35"/>
      <c r="P87" s="234"/>
      <c r="Q87" s="39">
        <f>ROUND((_11_A通院２５．５*(1+_11・A深夜)),0)</f>
        <v>1239</v>
      </c>
      <c r="R87" s="48"/>
    </row>
    <row r="88" spans="1:18" ht="16.5" customHeight="1" x14ac:dyDescent="0.15">
      <c r="A88" s="41">
        <v>11</v>
      </c>
      <c r="B88" s="41">
        <v>7292</v>
      </c>
      <c r="C88" s="74" t="s">
        <v>13880</v>
      </c>
      <c r="D88" s="799"/>
      <c r="E88" s="796"/>
      <c r="F88" s="43"/>
      <c r="G88" s="37"/>
      <c r="H88" s="38"/>
      <c r="I88" s="281" t="s">
        <v>397</v>
      </c>
      <c r="J88" s="218" t="s">
        <v>398</v>
      </c>
      <c r="K88" s="46">
        <v>1</v>
      </c>
      <c r="L88" s="258" t="s">
        <v>398</v>
      </c>
      <c r="M88" s="13">
        <v>0.5</v>
      </c>
      <c r="N88" s="704" t="s">
        <v>676</v>
      </c>
      <c r="O88" s="35"/>
      <c r="P88" s="234"/>
      <c r="Q88" s="47">
        <f>ROUND((ROUND((_11_A通院２５．５*_11・２人),0)*(1+_11・A深夜)),0)</f>
        <v>1239</v>
      </c>
      <c r="R88" s="48"/>
    </row>
    <row r="89" spans="1:18" ht="16.5" customHeight="1" x14ac:dyDescent="0.15">
      <c r="A89" s="41">
        <v>11</v>
      </c>
      <c r="B89" s="41">
        <v>7293</v>
      </c>
      <c r="C89" s="74" t="s">
        <v>13881</v>
      </c>
      <c r="D89" s="799"/>
      <c r="E89" s="796"/>
      <c r="F89" s="752" t="s">
        <v>400</v>
      </c>
      <c r="G89" s="221" t="s">
        <v>398</v>
      </c>
      <c r="H89" s="251">
        <v>0.9</v>
      </c>
      <c r="I89" s="163"/>
      <c r="J89" s="45"/>
      <c r="K89" s="46"/>
      <c r="L89" s="35"/>
      <c r="N89" s="797"/>
      <c r="O89" s="35"/>
      <c r="P89" s="234"/>
      <c r="Q89" s="47">
        <f>ROUND((ROUND((_11_A通院２５．５*_11・基礎２),0)*(1+_11・A深夜)),0)</f>
        <v>1115</v>
      </c>
      <c r="R89" s="48"/>
    </row>
    <row r="90" spans="1:18" ht="16.5" customHeight="1" x14ac:dyDescent="0.15">
      <c r="A90" s="41">
        <v>11</v>
      </c>
      <c r="B90" s="41">
        <v>7294</v>
      </c>
      <c r="C90" s="74" t="s">
        <v>13882</v>
      </c>
      <c r="D90" s="274">
        <f>_11_A通院２５．５</f>
        <v>826</v>
      </c>
      <c r="E90" s="254" t="s">
        <v>392</v>
      </c>
      <c r="F90" s="800"/>
      <c r="G90" s="37"/>
      <c r="H90" s="244"/>
      <c r="I90" s="281" t="s">
        <v>397</v>
      </c>
      <c r="J90" s="218" t="s">
        <v>398</v>
      </c>
      <c r="K90" s="46">
        <v>1</v>
      </c>
      <c r="L90" s="35"/>
      <c r="O90" s="35"/>
      <c r="P90" s="234"/>
      <c r="Q90" s="47">
        <f>ROUND((ROUND((ROUND((_11_A通院２５．５*_11・基礎２),0)*_11・２人),0)*(1+_11・A深夜)),0)</f>
        <v>1115</v>
      </c>
      <c r="R90" s="48"/>
    </row>
    <row r="91" spans="1:18" ht="16.5" customHeight="1" x14ac:dyDescent="0.15">
      <c r="A91" s="41">
        <v>11</v>
      </c>
      <c r="B91" s="41" t="s">
        <v>13883</v>
      </c>
      <c r="C91" s="74" t="s">
        <v>13884</v>
      </c>
      <c r="D91" s="72"/>
      <c r="F91" s="53"/>
      <c r="G91" s="49"/>
      <c r="H91" s="50"/>
      <c r="I91" s="163"/>
      <c r="J91" s="45"/>
      <c r="K91" s="46"/>
      <c r="L91" s="35"/>
      <c r="O91" s="707" t="s">
        <v>404</v>
      </c>
      <c r="P91" s="717"/>
      <c r="Q91" s="47">
        <f>ROUND((ROUND((_11_A通院２５．５*(1+_11・A深夜)),0)*_11・初任),0)</f>
        <v>867</v>
      </c>
      <c r="R91" s="48"/>
    </row>
    <row r="92" spans="1:18" ht="16.5" customHeight="1" x14ac:dyDescent="0.15">
      <c r="A92" s="41">
        <v>11</v>
      </c>
      <c r="B92" s="41" t="s">
        <v>13885</v>
      </c>
      <c r="C92" s="74" t="s">
        <v>13886</v>
      </c>
      <c r="D92" s="72"/>
      <c r="F92" s="43"/>
      <c r="G92" s="37"/>
      <c r="H92" s="38"/>
      <c r="I92" s="281" t="s">
        <v>397</v>
      </c>
      <c r="J92" s="218" t="s">
        <v>398</v>
      </c>
      <c r="K92" s="46">
        <v>1</v>
      </c>
      <c r="L92" s="35"/>
      <c r="O92" s="709"/>
      <c r="P92" s="718"/>
      <c r="Q92" s="47">
        <f>ROUND((ROUND((ROUND((_11_A通院２５．５*_11・２人),0)*(1+_11・A深夜)),0)*_11・初任),0)</f>
        <v>867</v>
      </c>
      <c r="R92" s="48"/>
    </row>
    <row r="93" spans="1:18" ht="16.5" customHeight="1" x14ac:dyDescent="0.15">
      <c r="A93" s="41">
        <v>11</v>
      </c>
      <c r="B93" s="41" t="s">
        <v>13887</v>
      </c>
      <c r="C93" s="74" t="s">
        <v>13888</v>
      </c>
      <c r="D93" s="72"/>
      <c r="F93" s="752" t="s">
        <v>400</v>
      </c>
      <c r="G93" s="221" t="s">
        <v>398</v>
      </c>
      <c r="H93" s="251">
        <v>0.9</v>
      </c>
      <c r="I93" s="163"/>
      <c r="J93" s="45"/>
      <c r="K93" s="46"/>
      <c r="L93" s="35"/>
      <c r="O93" s="709"/>
      <c r="P93" s="718"/>
      <c r="Q93" s="47">
        <f>ROUND((ROUND((ROUND((_11_A通院２５．５*_11・基礎２),0)*(1+_11・A深夜)),0)*_11・初任),0)</f>
        <v>781</v>
      </c>
      <c r="R93" s="48"/>
    </row>
    <row r="94" spans="1:18" ht="16.5" customHeight="1" x14ac:dyDescent="0.15">
      <c r="A94" s="41">
        <v>11</v>
      </c>
      <c r="B94" s="41" t="s">
        <v>13889</v>
      </c>
      <c r="C94" s="74" t="s">
        <v>13890</v>
      </c>
      <c r="D94" s="72"/>
      <c r="F94" s="800"/>
      <c r="G94" s="37"/>
      <c r="H94" s="244"/>
      <c r="I94" s="281" t="s">
        <v>397</v>
      </c>
      <c r="J94" s="218" t="s">
        <v>398</v>
      </c>
      <c r="K94" s="46">
        <v>1</v>
      </c>
      <c r="L94" s="35"/>
      <c r="O94" s="240" t="s">
        <v>398</v>
      </c>
      <c r="P94" s="38">
        <f>_11・初任</f>
        <v>0.7</v>
      </c>
      <c r="Q94" s="47">
        <f>ROUND((ROUND((ROUND((ROUND((_11_A通院２５．５*_11・基礎２),0)*_11・２人),0)*(1+_11・A深夜)),0)*_11・初任),0)</f>
        <v>781</v>
      </c>
      <c r="R94" s="48"/>
    </row>
    <row r="95" spans="1:18" ht="16.5" customHeight="1" x14ac:dyDescent="0.15">
      <c r="A95" s="41">
        <v>11</v>
      </c>
      <c r="B95" s="41">
        <v>7295</v>
      </c>
      <c r="C95" s="74" t="s">
        <v>13891</v>
      </c>
      <c r="D95" s="707" t="s">
        <v>1006</v>
      </c>
      <c r="E95" s="798"/>
      <c r="F95" s="53"/>
      <c r="G95" s="49"/>
      <c r="H95" s="50"/>
      <c r="I95" s="163"/>
      <c r="J95" s="45"/>
      <c r="K95" s="46"/>
      <c r="L95" s="35"/>
      <c r="O95" s="53"/>
      <c r="P95" s="251"/>
      <c r="Q95" s="47">
        <f>ROUND((_11_A通院２６．０*(1+_11・A深夜)),0)</f>
        <v>1343</v>
      </c>
      <c r="R95" s="48"/>
    </row>
    <row r="96" spans="1:18" ht="16.5" customHeight="1" x14ac:dyDescent="0.15">
      <c r="A96" s="41">
        <v>11</v>
      </c>
      <c r="B96" s="41">
        <v>7296</v>
      </c>
      <c r="C96" s="74" t="s">
        <v>13892</v>
      </c>
      <c r="D96" s="799"/>
      <c r="E96" s="796"/>
      <c r="F96" s="43"/>
      <c r="G96" s="37"/>
      <c r="H96" s="38"/>
      <c r="I96" s="281" t="s">
        <v>397</v>
      </c>
      <c r="J96" s="218" t="s">
        <v>398</v>
      </c>
      <c r="K96" s="46">
        <v>1</v>
      </c>
      <c r="L96" s="35"/>
      <c r="O96" s="35"/>
      <c r="P96" s="234"/>
      <c r="Q96" s="47">
        <f>ROUND((ROUND((_11_A通院２６．０*_11・２人),0)*(1+_11・A深夜)),0)</f>
        <v>1343</v>
      </c>
      <c r="R96" s="48"/>
    </row>
    <row r="97" spans="1:18" ht="16.5" customHeight="1" x14ac:dyDescent="0.15">
      <c r="A97" s="41">
        <v>11</v>
      </c>
      <c r="B97" s="41">
        <v>7297</v>
      </c>
      <c r="C97" s="74" t="s">
        <v>13893</v>
      </c>
      <c r="D97" s="799"/>
      <c r="E97" s="796"/>
      <c r="F97" s="752" t="s">
        <v>400</v>
      </c>
      <c r="G97" s="221" t="s">
        <v>398</v>
      </c>
      <c r="H97" s="251">
        <v>0.9</v>
      </c>
      <c r="I97" s="163"/>
      <c r="J97" s="45"/>
      <c r="K97" s="46"/>
      <c r="L97" s="35"/>
      <c r="O97" s="35"/>
      <c r="P97" s="234"/>
      <c r="Q97" s="47">
        <f>ROUND((ROUND((_11_A通院２６．０*_11・基礎２),0)*(1+_11・A深夜)),0)</f>
        <v>1209</v>
      </c>
      <c r="R97" s="48"/>
    </row>
    <row r="98" spans="1:18" ht="16.5" customHeight="1" x14ac:dyDescent="0.15">
      <c r="A98" s="41">
        <v>11</v>
      </c>
      <c r="B98" s="41">
        <v>7298</v>
      </c>
      <c r="C98" s="74" t="s">
        <v>13894</v>
      </c>
      <c r="D98" s="274">
        <f>_11_A通院２６．０</f>
        <v>895</v>
      </c>
      <c r="E98" s="254" t="s">
        <v>392</v>
      </c>
      <c r="F98" s="800"/>
      <c r="G98" s="37"/>
      <c r="H98" s="244"/>
      <c r="I98" s="281" t="s">
        <v>397</v>
      </c>
      <c r="J98" s="218" t="s">
        <v>398</v>
      </c>
      <c r="K98" s="46">
        <v>1</v>
      </c>
      <c r="L98" s="35"/>
      <c r="O98" s="35"/>
      <c r="P98" s="234"/>
      <c r="Q98" s="47">
        <f>ROUND((ROUND((ROUND((_11_A通院２６．０*_11・基礎２),0)*_11・２人),0)*(1+_11・A深夜)),0)</f>
        <v>1209</v>
      </c>
      <c r="R98" s="48"/>
    </row>
    <row r="99" spans="1:18" ht="16.5" customHeight="1" x14ac:dyDescent="0.15">
      <c r="A99" s="41">
        <v>11</v>
      </c>
      <c r="B99" s="41" t="s">
        <v>13895</v>
      </c>
      <c r="C99" s="74" t="s">
        <v>13896</v>
      </c>
      <c r="D99" s="72"/>
      <c r="F99" s="53"/>
      <c r="G99" s="49"/>
      <c r="H99" s="50"/>
      <c r="I99" s="163"/>
      <c r="J99" s="45"/>
      <c r="K99" s="46"/>
      <c r="L99" s="35"/>
      <c r="O99" s="707" t="s">
        <v>404</v>
      </c>
      <c r="P99" s="717"/>
      <c r="Q99" s="47">
        <f>ROUND((ROUND((_11_A通院２６．０*(1+_11・A深夜)),0)*_11・初任),0)</f>
        <v>940</v>
      </c>
      <c r="R99" s="48"/>
    </row>
    <row r="100" spans="1:18" ht="16.5" customHeight="1" x14ac:dyDescent="0.15">
      <c r="A100" s="41">
        <v>11</v>
      </c>
      <c r="B100" s="41" t="s">
        <v>13897</v>
      </c>
      <c r="C100" s="74" t="s">
        <v>13898</v>
      </c>
      <c r="D100" s="72"/>
      <c r="F100" s="43"/>
      <c r="G100" s="37"/>
      <c r="H100" s="38"/>
      <c r="I100" s="281" t="s">
        <v>397</v>
      </c>
      <c r="J100" s="218" t="s">
        <v>398</v>
      </c>
      <c r="K100" s="46">
        <v>1</v>
      </c>
      <c r="L100" s="35"/>
      <c r="O100" s="709"/>
      <c r="P100" s="718"/>
      <c r="Q100" s="47">
        <f>ROUND((ROUND((ROUND((_11_A通院２６．０*_11・２人),0)*(1+_11・A深夜)),0)*_11・初任),0)</f>
        <v>940</v>
      </c>
      <c r="R100" s="48"/>
    </row>
    <row r="101" spans="1:18" ht="16.5" customHeight="1" x14ac:dyDescent="0.15">
      <c r="A101" s="41">
        <v>11</v>
      </c>
      <c r="B101" s="41" t="s">
        <v>13899</v>
      </c>
      <c r="C101" s="74" t="s">
        <v>13900</v>
      </c>
      <c r="D101" s="72"/>
      <c r="F101" s="752" t="s">
        <v>400</v>
      </c>
      <c r="G101" s="221" t="s">
        <v>398</v>
      </c>
      <c r="H101" s="251">
        <v>0.9</v>
      </c>
      <c r="I101" s="163"/>
      <c r="J101" s="45"/>
      <c r="K101" s="46"/>
      <c r="L101" s="35"/>
      <c r="O101" s="709"/>
      <c r="P101" s="718"/>
      <c r="Q101" s="47">
        <f>ROUND((ROUND((ROUND((_11_A通院２６．０*_11・基礎２),0)*(1+_11・A深夜)),0)*_11・初任),0)</f>
        <v>846</v>
      </c>
      <c r="R101" s="48"/>
    </row>
    <row r="102" spans="1:18" ht="16.5" customHeight="1" x14ac:dyDescent="0.15">
      <c r="A102" s="41">
        <v>11</v>
      </c>
      <c r="B102" s="41" t="s">
        <v>13901</v>
      </c>
      <c r="C102" s="74" t="s">
        <v>13902</v>
      </c>
      <c r="D102" s="72"/>
      <c r="F102" s="800"/>
      <c r="G102" s="37"/>
      <c r="H102" s="244"/>
      <c r="I102" s="281" t="s">
        <v>397</v>
      </c>
      <c r="J102" s="218" t="s">
        <v>398</v>
      </c>
      <c r="K102" s="46">
        <v>1</v>
      </c>
      <c r="L102" s="35"/>
      <c r="O102" s="240" t="s">
        <v>398</v>
      </c>
      <c r="P102" s="38">
        <f>_11・初任</f>
        <v>0.7</v>
      </c>
      <c r="Q102" s="47">
        <f>ROUND((ROUND((ROUND((ROUND((_11_A通院２６．０*_11・基礎２),0)*_11・２人),0)*(1+_11・A深夜)),0)*_11・初任),0)</f>
        <v>846</v>
      </c>
      <c r="R102" s="48"/>
    </row>
    <row r="103" spans="1:18" ht="16.5" customHeight="1" x14ac:dyDescent="0.15">
      <c r="A103" s="41">
        <v>11</v>
      </c>
      <c r="B103" s="41">
        <v>7299</v>
      </c>
      <c r="C103" s="74" t="s">
        <v>13903</v>
      </c>
      <c r="D103" s="707" t="s">
        <v>1019</v>
      </c>
      <c r="E103" s="798"/>
      <c r="F103" s="53"/>
      <c r="G103" s="49"/>
      <c r="H103" s="50"/>
      <c r="I103" s="163"/>
      <c r="J103" s="45"/>
      <c r="K103" s="46"/>
      <c r="L103" s="35"/>
      <c r="O103" s="53"/>
      <c r="P103" s="251"/>
      <c r="Q103" s="47">
        <f>ROUND((_11_A通院２６．５*(1+_11・A深夜)),0)</f>
        <v>1446</v>
      </c>
      <c r="R103" s="48"/>
    </row>
    <row r="104" spans="1:18" ht="16.5" customHeight="1" x14ac:dyDescent="0.15">
      <c r="A104" s="41">
        <v>11</v>
      </c>
      <c r="B104" s="41">
        <v>7300</v>
      </c>
      <c r="C104" s="74" t="s">
        <v>13904</v>
      </c>
      <c r="D104" s="799"/>
      <c r="E104" s="796"/>
      <c r="F104" s="43"/>
      <c r="G104" s="37"/>
      <c r="H104" s="38"/>
      <c r="I104" s="281" t="s">
        <v>397</v>
      </c>
      <c r="J104" s="218" t="s">
        <v>398</v>
      </c>
      <c r="K104" s="46">
        <v>1</v>
      </c>
      <c r="L104" s="35"/>
      <c r="O104" s="35"/>
      <c r="P104" s="234"/>
      <c r="Q104" s="47">
        <f>ROUND((ROUND((_11_A通院２６．５*_11・２人),0)*(1+_11・A深夜)),0)</f>
        <v>1446</v>
      </c>
      <c r="R104" s="48"/>
    </row>
    <row r="105" spans="1:18" ht="16.5" customHeight="1" x14ac:dyDescent="0.15">
      <c r="A105" s="41">
        <v>11</v>
      </c>
      <c r="B105" s="41">
        <v>7301</v>
      </c>
      <c r="C105" s="74" t="s">
        <v>13905</v>
      </c>
      <c r="D105" s="799"/>
      <c r="E105" s="796"/>
      <c r="F105" s="752" t="s">
        <v>400</v>
      </c>
      <c r="G105" s="221" t="s">
        <v>398</v>
      </c>
      <c r="H105" s="251">
        <v>0.9</v>
      </c>
      <c r="I105" s="163"/>
      <c r="J105" s="45"/>
      <c r="K105" s="46"/>
      <c r="L105" s="35"/>
      <c r="O105" s="35"/>
      <c r="P105" s="234"/>
      <c r="Q105" s="47">
        <f>ROUND((ROUND((_11_A通院２６．５*_11・基礎２),0)*(1+_11・A深夜)),0)</f>
        <v>1302</v>
      </c>
      <c r="R105" s="48"/>
    </row>
    <row r="106" spans="1:18" ht="16.5" customHeight="1" x14ac:dyDescent="0.15">
      <c r="A106" s="41">
        <v>11</v>
      </c>
      <c r="B106" s="41">
        <v>7302</v>
      </c>
      <c r="C106" s="74" t="s">
        <v>13906</v>
      </c>
      <c r="D106" s="274">
        <f>_11_A通院２６．５</f>
        <v>964</v>
      </c>
      <c r="E106" s="254" t="s">
        <v>392</v>
      </c>
      <c r="F106" s="800"/>
      <c r="G106" s="37"/>
      <c r="H106" s="244"/>
      <c r="I106" s="281" t="s">
        <v>397</v>
      </c>
      <c r="J106" s="218" t="s">
        <v>398</v>
      </c>
      <c r="K106" s="46">
        <v>1</v>
      </c>
      <c r="L106" s="35"/>
      <c r="O106" s="35"/>
      <c r="P106" s="234"/>
      <c r="Q106" s="47">
        <f>ROUND((ROUND((ROUND((_11_A通院２６．５*_11・基礎２),0)*_11・２人),0)*(1+_11・A深夜)),0)</f>
        <v>1302</v>
      </c>
      <c r="R106" s="48"/>
    </row>
    <row r="107" spans="1:18" ht="16.5" customHeight="1" x14ac:dyDescent="0.15">
      <c r="A107" s="41">
        <v>11</v>
      </c>
      <c r="B107" s="41" t="s">
        <v>13907</v>
      </c>
      <c r="C107" s="74" t="s">
        <v>13908</v>
      </c>
      <c r="D107" s="285"/>
      <c r="F107" s="53"/>
      <c r="G107" s="49"/>
      <c r="H107" s="50"/>
      <c r="I107" s="163"/>
      <c r="J107" s="45"/>
      <c r="K107" s="46"/>
      <c r="L107" s="35"/>
      <c r="O107" s="707" t="s">
        <v>404</v>
      </c>
      <c r="P107" s="717"/>
      <c r="Q107" s="47">
        <f>ROUND((ROUND((_11_A通院２６．５*(1+_11・A深夜)),0)*_11・初任),0)</f>
        <v>1012</v>
      </c>
      <c r="R107" s="48"/>
    </row>
    <row r="108" spans="1:18" ht="16.5" customHeight="1" x14ac:dyDescent="0.15">
      <c r="A108" s="41">
        <v>11</v>
      </c>
      <c r="B108" s="41" t="s">
        <v>13909</v>
      </c>
      <c r="C108" s="74" t="s">
        <v>13910</v>
      </c>
      <c r="D108" s="72"/>
      <c r="F108" s="43"/>
      <c r="G108" s="37"/>
      <c r="H108" s="38"/>
      <c r="I108" s="281" t="s">
        <v>397</v>
      </c>
      <c r="J108" s="218" t="s">
        <v>398</v>
      </c>
      <c r="K108" s="46">
        <v>1</v>
      </c>
      <c r="L108" s="35"/>
      <c r="O108" s="709"/>
      <c r="P108" s="718"/>
      <c r="Q108" s="47">
        <f>ROUND((ROUND((ROUND((_11_A通院２６．５*_11・２人),0)*(1+_11・A深夜)),0)*_11・初任),0)</f>
        <v>1012</v>
      </c>
      <c r="R108" s="48"/>
    </row>
    <row r="109" spans="1:18" ht="16.5" customHeight="1" x14ac:dyDescent="0.15">
      <c r="A109" s="41">
        <v>11</v>
      </c>
      <c r="B109" s="41" t="s">
        <v>13911</v>
      </c>
      <c r="C109" s="74" t="s">
        <v>13912</v>
      </c>
      <c r="D109" s="72"/>
      <c r="F109" s="752" t="s">
        <v>400</v>
      </c>
      <c r="G109" s="221" t="s">
        <v>398</v>
      </c>
      <c r="H109" s="251">
        <v>0.9</v>
      </c>
      <c r="I109" s="163"/>
      <c r="J109" s="45"/>
      <c r="K109" s="46"/>
      <c r="L109" s="35"/>
      <c r="O109" s="709"/>
      <c r="P109" s="718"/>
      <c r="Q109" s="47">
        <f>ROUND((ROUND((ROUND((_11_A通院２６．５*_11・基礎２),0)*(1+_11・A深夜)),0)*_11・初任),0)</f>
        <v>911</v>
      </c>
      <c r="R109" s="48"/>
    </row>
    <row r="110" spans="1:18" ht="16.5" customHeight="1" x14ac:dyDescent="0.15">
      <c r="A110" s="41">
        <v>11</v>
      </c>
      <c r="B110" s="41" t="s">
        <v>13913</v>
      </c>
      <c r="C110" s="74" t="s">
        <v>13914</v>
      </c>
      <c r="D110" s="122"/>
      <c r="E110" s="37"/>
      <c r="F110" s="800"/>
      <c r="G110" s="37"/>
      <c r="H110" s="244"/>
      <c r="I110" s="281" t="s">
        <v>397</v>
      </c>
      <c r="J110" s="218" t="s">
        <v>398</v>
      </c>
      <c r="K110" s="46">
        <v>1</v>
      </c>
      <c r="L110" s="43"/>
      <c r="M110" s="37"/>
      <c r="N110" s="38"/>
      <c r="O110" s="240" t="s">
        <v>398</v>
      </c>
      <c r="P110" s="38">
        <f>_11・初任</f>
        <v>0.7</v>
      </c>
      <c r="Q110" s="47">
        <f>ROUND((ROUND((ROUND((ROUND((_11_A通院２６．５*_11・基礎２),0)*_11・２人),0)*(1+_11・A深夜)),0)*_11・初任),0)</f>
        <v>911</v>
      </c>
      <c r="R110" s="63"/>
    </row>
    <row r="111" spans="1:18" ht="16.5" customHeight="1" x14ac:dyDescent="0.15"/>
    <row r="112" spans="1:18" ht="16.5" customHeight="1" x14ac:dyDescent="0.15"/>
  </sheetData>
  <mergeCells count="54">
    <mergeCell ref="O107:P109"/>
    <mergeCell ref="F109:F110"/>
    <mergeCell ref="O91:P93"/>
    <mergeCell ref="F93:F94"/>
    <mergeCell ref="D95:E97"/>
    <mergeCell ref="F97:F98"/>
    <mergeCell ref="O99:P101"/>
    <mergeCell ref="F101:F102"/>
    <mergeCell ref="D87:E89"/>
    <mergeCell ref="N88:N89"/>
    <mergeCell ref="F89:F90"/>
    <mergeCell ref="D103:E105"/>
    <mergeCell ref="F105:F106"/>
    <mergeCell ref="O75:P77"/>
    <mergeCell ref="F77:F78"/>
    <mergeCell ref="D79:E81"/>
    <mergeCell ref="F81:F82"/>
    <mergeCell ref="O83:P85"/>
    <mergeCell ref="F85:F86"/>
    <mergeCell ref="D63:E65"/>
    <mergeCell ref="F65:F66"/>
    <mergeCell ref="O67:P69"/>
    <mergeCell ref="F69:F70"/>
    <mergeCell ref="D71:E73"/>
    <mergeCell ref="F73:F74"/>
    <mergeCell ref="O51:P53"/>
    <mergeCell ref="F53:F54"/>
    <mergeCell ref="D55:E57"/>
    <mergeCell ref="F57:F58"/>
    <mergeCell ref="O59:P61"/>
    <mergeCell ref="F61:F62"/>
    <mergeCell ref="D39:E41"/>
    <mergeCell ref="F41:F42"/>
    <mergeCell ref="O43:P45"/>
    <mergeCell ref="F45:F46"/>
    <mergeCell ref="D47:E49"/>
    <mergeCell ref="F49:F50"/>
    <mergeCell ref="O27:P29"/>
    <mergeCell ref="F29:F30"/>
    <mergeCell ref="D31:E33"/>
    <mergeCell ref="F33:F34"/>
    <mergeCell ref="O35:P37"/>
    <mergeCell ref="F37:F38"/>
    <mergeCell ref="O19:P21"/>
    <mergeCell ref="F21:F22"/>
    <mergeCell ref="D23:E25"/>
    <mergeCell ref="F25:F26"/>
    <mergeCell ref="D15:E17"/>
    <mergeCell ref="F17:F18"/>
    <mergeCell ref="D7:E9"/>
    <mergeCell ref="N8:N9"/>
    <mergeCell ref="F9:F10"/>
    <mergeCell ref="O11:P13"/>
    <mergeCell ref="F13:F14"/>
  </mergeCells>
  <phoneticPr fontId="1"/>
  <printOptions horizontalCentered="1"/>
  <pageMargins left="0.70866141732283472" right="0.70866141732283472" top="0.74803149606299213" bottom="0.74803149606299213" header="0.31496062992125984" footer="0.31496062992125984"/>
  <pageSetup paperSize="9" scale="53" fitToHeight="0" orientation="portrait" r:id="rId1"/>
  <headerFooter>
    <oddHeader>&amp;R&amp;"ＭＳ Ｐゴシック"&amp;9居宅介護</oddHeader>
    <oddFooter>&amp;C&amp;"ＭＳ Ｐゴシック"&amp;14&amp;P</oddFooter>
  </headerFooter>
  <rowBreaks count="1" manualBreakCount="1">
    <brk id="86" max="17"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7">
    <pageSetUpPr fitToPage="1"/>
  </sheetPr>
  <dimension ref="A1:W90"/>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0" customWidth="1"/>
    <col min="5" max="5" width="4.875" style="12" customWidth="1"/>
    <col min="6" max="6" width="4.875" style="10" customWidth="1"/>
    <col min="7" max="7" width="4.875" style="12" customWidth="1"/>
    <col min="8" max="8" width="11.875" style="12" customWidth="1"/>
    <col min="9" max="9" width="2.5" style="12" customWidth="1"/>
    <col min="10" max="10" width="4.5" style="13" bestFit="1" customWidth="1"/>
    <col min="11" max="11" width="26" style="12" customWidth="1"/>
    <col min="12" max="12" width="2.5" style="12" customWidth="1"/>
    <col min="13" max="13" width="5.5" style="13" bestFit="1" customWidth="1"/>
    <col min="14" max="14" width="2.5" style="12" customWidth="1"/>
    <col min="15" max="15" width="3.875" style="12" customWidth="1"/>
    <col min="16" max="16" width="4.5" style="13" customWidth="1"/>
    <col min="17" max="17" width="2.5" style="12" customWidth="1"/>
    <col min="18" max="18" width="3.875" style="12" customWidth="1"/>
    <col min="19" max="19" width="4.5" style="13" bestFit="1" customWidth="1"/>
    <col min="20" max="20" width="9.875" style="12" customWidth="1"/>
    <col min="21" max="21" width="4.5" style="13" bestFit="1" customWidth="1"/>
    <col min="22" max="22" width="7.125" style="15" customWidth="1"/>
    <col min="23" max="23" width="8.5" style="16" customWidth="1"/>
    <col min="24" max="16384" width="8.875" style="12"/>
  </cols>
  <sheetData>
    <row r="1" spans="1:23" ht="17.100000000000001" customHeight="1" x14ac:dyDescent="0.15"/>
    <row r="2" spans="1:23" ht="17.100000000000001" customHeight="1" x14ac:dyDescent="0.15"/>
    <row r="3" spans="1:23" ht="17.100000000000001" customHeight="1" x14ac:dyDescent="0.15"/>
    <row r="4" spans="1:23" ht="17.100000000000001" customHeight="1" x14ac:dyDescent="0.15">
      <c r="B4" s="17" t="s">
        <v>13915</v>
      </c>
      <c r="D4" s="71"/>
    </row>
    <row r="5" spans="1:23" ht="16.5" customHeight="1" x14ac:dyDescent="0.15">
      <c r="A5" s="19" t="s">
        <v>384</v>
      </c>
      <c r="B5" s="20"/>
      <c r="C5" s="21" t="s">
        <v>385</v>
      </c>
      <c r="D5" s="23" t="s">
        <v>386</v>
      </c>
      <c r="E5" s="23"/>
      <c r="F5" s="23"/>
      <c r="G5" s="23"/>
      <c r="H5" s="23"/>
      <c r="I5" s="23"/>
      <c r="J5" s="24"/>
      <c r="K5" s="23"/>
      <c r="L5" s="23"/>
      <c r="M5" s="24"/>
      <c r="N5" s="23"/>
      <c r="O5" s="23"/>
      <c r="P5" s="24"/>
      <c r="Q5" s="23"/>
      <c r="R5" s="23"/>
      <c r="S5" s="24"/>
      <c r="T5" s="23"/>
      <c r="U5" s="24"/>
      <c r="V5" s="25" t="s">
        <v>387</v>
      </c>
      <c r="W5" s="21" t="s">
        <v>388</v>
      </c>
    </row>
    <row r="6" spans="1:23" ht="16.5" customHeight="1" x14ac:dyDescent="0.15">
      <c r="A6" s="26" t="s">
        <v>389</v>
      </c>
      <c r="B6" s="26" t="s">
        <v>390</v>
      </c>
      <c r="C6" s="27"/>
      <c r="D6" s="87" t="s">
        <v>1032</v>
      </c>
      <c r="E6" s="187"/>
      <c r="F6" s="87" t="s">
        <v>1033</v>
      </c>
      <c r="G6" s="20"/>
      <c r="H6" s="29"/>
      <c r="I6" s="29"/>
      <c r="J6" s="30"/>
      <c r="K6" s="29"/>
      <c r="L6" s="29"/>
      <c r="M6" s="30"/>
      <c r="N6" s="29"/>
      <c r="O6" s="29"/>
      <c r="P6" s="30"/>
      <c r="Q6" s="29"/>
      <c r="R6" s="29"/>
      <c r="S6" s="30"/>
      <c r="T6" s="29"/>
      <c r="U6" s="30"/>
      <c r="V6" s="31" t="s">
        <v>391</v>
      </c>
      <c r="W6" s="32" t="s">
        <v>392</v>
      </c>
    </row>
    <row r="7" spans="1:23" ht="16.5" customHeight="1" x14ac:dyDescent="0.15">
      <c r="A7" s="33">
        <v>11</v>
      </c>
      <c r="B7" s="33">
        <v>7303</v>
      </c>
      <c r="C7" s="34" t="s">
        <v>13916</v>
      </c>
      <c r="D7" s="709" t="s">
        <v>861</v>
      </c>
      <c r="E7" s="796"/>
      <c r="F7" s="709" t="s">
        <v>1035</v>
      </c>
      <c r="G7" s="796"/>
      <c r="H7" s="35"/>
      <c r="K7" s="43"/>
      <c r="L7" s="37"/>
      <c r="M7" s="38"/>
      <c r="N7" s="72" t="s">
        <v>1036</v>
      </c>
      <c r="P7" s="234"/>
      <c r="Q7" s="92" t="s">
        <v>1037</v>
      </c>
      <c r="S7" s="234"/>
      <c r="T7" s="35"/>
      <c r="V7" s="73">
        <f>ROUND((_11_A通院２０．５*(1+_11・A深夜)),0)+ROUND((_11_B通院２０．５＿０．５*(1+_11・B早朝)),0)</f>
        <v>272</v>
      </c>
      <c r="W7" s="40" t="s">
        <v>395</v>
      </c>
    </row>
    <row r="8" spans="1:23" ht="16.5" customHeight="1" x14ac:dyDescent="0.15">
      <c r="A8" s="41">
        <v>11</v>
      </c>
      <c r="B8" s="41">
        <v>7304</v>
      </c>
      <c r="C8" s="74" t="s">
        <v>13917</v>
      </c>
      <c r="D8" s="799"/>
      <c r="E8" s="796"/>
      <c r="F8" s="799"/>
      <c r="G8" s="796"/>
      <c r="H8" s="43"/>
      <c r="I8" s="37"/>
      <c r="J8" s="38"/>
      <c r="K8" s="281" t="s">
        <v>397</v>
      </c>
      <c r="L8" s="218" t="s">
        <v>398</v>
      </c>
      <c r="M8" s="46">
        <v>1</v>
      </c>
      <c r="N8" s="258" t="s">
        <v>398</v>
      </c>
      <c r="O8" s="13">
        <v>0.5</v>
      </c>
      <c r="P8" s="718" t="s">
        <v>676</v>
      </c>
      <c r="Q8" s="258" t="s">
        <v>398</v>
      </c>
      <c r="R8" s="13">
        <v>0.25</v>
      </c>
      <c r="S8" s="718" t="s">
        <v>676</v>
      </c>
      <c r="T8" s="35"/>
      <c r="V8" s="75">
        <f>ROUND((ROUND((_11_A通院２０．５*_11・２人),0)*(1+_11・A深夜)),0)+ROUND((ROUND((_11_B通院２０．５＿０．５*_11・２人),0)*(1+_11・B早朝)),0)</f>
        <v>272</v>
      </c>
      <c r="W8" s="48"/>
    </row>
    <row r="9" spans="1:23" ht="16.5" customHeight="1" x14ac:dyDescent="0.15">
      <c r="A9" s="41">
        <v>11</v>
      </c>
      <c r="B9" s="41">
        <v>7305</v>
      </c>
      <c r="C9" s="74" t="s">
        <v>13918</v>
      </c>
      <c r="D9" s="799"/>
      <c r="E9" s="796"/>
      <c r="F9" s="799"/>
      <c r="G9" s="796"/>
      <c r="H9" s="752" t="s">
        <v>400</v>
      </c>
      <c r="I9" s="221" t="s">
        <v>398</v>
      </c>
      <c r="J9" s="50">
        <v>0.9</v>
      </c>
      <c r="K9" s="163"/>
      <c r="L9" s="45"/>
      <c r="M9" s="46"/>
      <c r="N9" s="35"/>
      <c r="P9" s="796"/>
      <c r="Q9" s="35"/>
      <c r="S9" s="796"/>
      <c r="T9" s="35"/>
      <c r="V9" s="75">
        <f>ROUND((ROUND((_11_A通院２０．５*_11・基礎２),0)*(1+_11・A深夜)),0)+ROUND((ROUND((_11_B通院２０．５＿０．５*_11・基礎２),0)*(1+_11・B早朝)),0)</f>
        <v>246</v>
      </c>
      <c r="W9" s="48"/>
    </row>
    <row r="10" spans="1:23" ht="16.5" customHeight="1" x14ac:dyDescent="0.15">
      <c r="A10" s="41">
        <v>11</v>
      </c>
      <c r="B10" s="41">
        <v>7306</v>
      </c>
      <c r="C10" s="74" t="s">
        <v>13919</v>
      </c>
      <c r="D10" s="274">
        <f>_11_A通院２０．５</f>
        <v>105</v>
      </c>
      <c r="E10" s="10" t="s">
        <v>392</v>
      </c>
      <c r="F10" s="274">
        <f>_11_B通院２０．５＿０．５</f>
        <v>91</v>
      </c>
      <c r="G10" s="10" t="s">
        <v>392</v>
      </c>
      <c r="H10" s="711"/>
      <c r="I10" s="37"/>
      <c r="J10" s="38"/>
      <c r="K10" s="281" t="s">
        <v>397</v>
      </c>
      <c r="L10" s="218" t="s">
        <v>398</v>
      </c>
      <c r="M10" s="46">
        <v>1</v>
      </c>
      <c r="N10" s="35"/>
      <c r="P10" s="234"/>
      <c r="Q10" s="35"/>
      <c r="S10" s="234"/>
      <c r="T10" s="35"/>
      <c r="V10" s="75">
        <f>ROUND((ROUND((ROUND((_11_A通院２０．５*_11・基礎２),0)*_11・２人),0)*(1+_11・A深夜)),0)+ROUND((ROUND((ROUND((_11_B通院２０．５＿０．５*_11・基礎２),0)*_11・２人),0)*(1+_11・B早朝)),0)</f>
        <v>246</v>
      </c>
      <c r="W10" s="48"/>
    </row>
    <row r="11" spans="1:23" ht="16.5" customHeight="1" x14ac:dyDescent="0.15">
      <c r="A11" s="41">
        <v>11</v>
      </c>
      <c r="B11" s="41" t="s">
        <v>13920</v>
      </c>
      <c r="C11" s="74" t="s">
        <v>13921</v>
      </c>
      <c r="D11" s="72"/>
      <c r="F11" s="72"/>
      <c r="H11" s="53"/>
      <c r="I11" s="49"/>
      <c r="J11" s="50"/>
      <c r="K11" s="163"/>
      <c r="L11" s="45"/>
      <c r="M11" s="46"/>
      <c r="N11" s="35"/>
      <c r="Q11" s="35"/>
      <c r="T11" s="707" t="s">
        <v>404</v>
      </c>
      <c r="U11" s="708"/>
      <c r="V11" s="75">
        <f>ROUND((ROUND((_11_A通院２０．５*(1+_11・A深夜)),0)*_11・初任),0)+ROUND((ROUND((_11_B通院２０．５＿０．５*(1+_11・B早朝)),0)*_11・初任),0)</f>
        <v>191</v>
      </c>
      <c r="W11" s="48"/>
    </row>
    <row r="12" spans="1:23" ht="16.5" customHeight="1" x14ac:dyDescent="0.15">
      <c r="A12" s="41">
        <v>11</v>
      </c>
      <c r="B12" s="41" t="s">
        <v>13922</v>
      </c>
      <c r="C12" s="74" t="s">
        <v>13923</v>
      </c>
      <c r="D12" s="72"/>
      <c r="F12" s="72"/>
      <c r="H12" s="43"/>
      <c r="I12" s="37"/>
      <c r="J12" s="38"/>
      <c r="K12" s="281" t="s">
        <v>397</v>
      </c>
      <c r="L12" s="218" t="s">
        <v>398</v>
      </c>
      <c r="M12" s="189">
        <v>1</v>
      </c>
      <c r="N12" s="35"/>
      <c r="Q12" s="35"/>
      <c r="T12" s="709"/>
      <c r="U12" s="704"/>
      <c r="V12" s="75">
        <f>ROUND((ROUND((ROUND((_11_A通院２０．５*_11・２人),0)*(1+_11・A深夜)),0)*_11・初任),0)+ROUND((ROUND((ROUND((_11_B通院２０．５＿０．５*_11・２人),0)*(1+_11・B早朝)),0)*_11・初任),0)</f>
        <v>191</v>
      </c>
      <c r="W12" s="48"/>
    </row>
    <row r="13" spans="1:23" ht="16.5" customHeight="1" x14ac:dyDescent="0.15">
      <c r="A13" s="41">
        <v>11</v>
      </c>
      <c r="B13" s="41" t="s">
        <v>13924</v>
      </c>
      <c r="C13" s="74" t="s">
        <v>13925</v>
      </c>
      <c r="D13" s="72"/>
      <c r="F13" s="72"/>
      <c r="H13" s="755" t="s">
        <v>400</v>
      </c>
      <c r="I13" s="221" t="s">
        <v>398</v>
      </c>
      <c r="J13" s="50">
        <v>0.9</v>
      </c>
      <c r="K13" s="163"/>
      <c r="L13" s="45"/>
      <c r="M13" s="46"/>
      <c r="N13" s="35"/>
      <c r="Q13" s="35"/>
      <c r="T13" s="709"/>
      <c r="U13" s="704"/>
      <c r="V13" s="75">
        <f>ROUND((ROUND((ROUND((_11_A通院２０．５*_11・基礎２),0)*(1+_11・A深夜)),0)*_11・初任),0)+ROUND((ROUND((ROUND((_11_B通院２０．５＿０．５*_11・基礎２),0)*(1+_11・B早朝)),0)*_11・初任),0)</f>
        <v>172</v>
      </c>
      <c r="W13" s="48"/>
    </row>
    <row r="14" spans="1:23" ht="16.5" customHeight="1" x14ac:dyDescent="0.15">
      <c r="A14" s="41">
        <v>11</v>
      </c>
      <c r="B14" s="41" t="s">
        <v>13926</v>
      </c>
      <c r="C14" s="74" t="s">
        <v>13927</v>
      </c>
      <c r="D14" s="72"/>
      <c r="F14" s="72"/>
      <c r="H14" s="711"/>
      <c r="I14" s="37"/>
      <c r="J14" s="38"/>
      <c r="K14" s="281" t="s">
        <v>397</v>
      </c>
      <c r="L14" s="218" t="s">
        <v>398</v>
      </c>
      <c r="M14" s="189">
        <v>1</v>
      </c>
      <c r="N14" s="35"/>
      <c r="Q14" s="35"/>
      <c r="T14" s="240" t="s">
        <v>398</v>
      </c>
      <c r="U14" s="38">
        <f>_11・初任</f>
        <v>0.7</v>
      </c>
      <c r="V14" s="75">
        <f>ROUND((ROUND((ROUND((ROUND((_11_A通院２０．５*_11・基礎２),0)*_11・２人),0)*(1+_11・A深夜)),0)*_11・初任),0)+ROUND((ROUND((ROUND((ROUND((_11_B通院２０．５＿０．５*_11・基礎２),0)*_11・２人),0)*(1+_11・B早朝)),0)*_11・初任),0)</f>
        <v>172</v>
      </c>
      <c r="W14" s="48"/>
    </row>
    <row r="15" spans="1:23" ht="16.5" customHeight="1" x14ac:dyDescent="0.15">
      <c r="A15" s="41">
        <v>11</v>
      </c>
      <c r="B15" s="41">
        <v>7307</v>
      </c>
      <c r="C15" s="74" t="s">
        <v>13928</v>
      </c>
      <c r="D15" s="72"/>
      <c r="F15" s="707" t="s">
        <v>1114</v>
      </c>
      <c r="G15" s="798"/>
      <c r="H15" s="53"/>
      <c r="I15" s="49"/>
      <c r="J15" s="50"/>
      <c r="K15" s="163"/>
      <c r="L15" s="45"/>
      <c r="M15" s="46"/>
      <c r="N15" s="35"/>
      <c r="Q15" s="35"/>
      <c r="T15" s="53"/>
      <c r="U15" s="50"/>
      <c r="V15" s="75">
        <f>ROUND((_11_A通院２０．５*(1+_11・A深夜)),0)+ROUND((_11_B通院２０．５＿１．０*(1+_11・B早朝)),0)</f>
        <v>369</v>
      </c>
      <c r="W15" s="48"/>
    </row>
    <row r="16" spans="1:23" ht="16.5" customHeight="1" x14ac:dyDescent="0.15">
      <c r="A16" s="41">
        <v>11</v>
      </c>
      <c r="B16" s="41">
        <v>7308</v>
      </c>
      <c r="C16" s="74" t="s">
        <v>13929</v>
      </c>
      <c r="D16" s="72"/>
      <c r="F16" s="799"/>
      <c r="G16" s="796"/>
      <c r="H16" s="43"/>
      <c r="I16" s="37"/>
      <c r="J16" s="38"/>
      <c r="K16" s="281" t="s">
        <v>397</v>
      </c>
      <c r="L16" s="218" t="s">
        <v>398</v>
      </c>
      <c r="M16" s="189">
        <v>1</v>
      </c>
      <c r="N16" s="35"/>
      <c r="Q16" s="35"/>
      <c r="T16" s="35"/>
      <c r="V16" s="75">
        <f>ROUND((ROUND((_11_A通院２０．５*_11・２人),0)*(1+_11・A深夜)),0)+ROUND((ROUND((_11_B通院２０．５＿１．０*_11・２人),0)*(1+_11・B早朝)),0)</f>
        <v>369</v>
      </c>
      <c r="W16" s="48"/>
    </row>
    <row r="17" spans="1:23" ht="16.5" customHeight="1" x14ac:dyDescent="0.15">
      <c r="A17" s="41">
        <v>11</v>
      </c>
      <c r="B17" s="41">
        <v>7309</v>
      </c>
      <c r="C17" s="74" t="s">
        <v>13930</v>
      </c>
      <c r="D17" s="72"/>
      <c r="F17" s="799"/>
      <c r="G17" s="796"/>
      <c r="H17" s="755" t="s">
        <v>400</v>
      </c>
      <c r="I17" s="221" t="s">
        <v>398</v>
      </c>
      <c r="J17" s="50">
        <v>0.9</v>
      </c>
      <c r="K17" s="163"/>
      <c r="L17" s="45"/>
      <c r="M17" s="46"/>
      <c r="N17" s="35"/>
      <c r="Q17" s="35"/>
      <c r="T17" s="35"/>
      <c r="V17" s="75">
        <f>ROUND((ROUND((_11_A通院２０．５*_11・基礎２),0)*(1+_11・A深夜)),0)+ROUND((ROUND((_11_B通院２０．５＿１．０*_11・基礎２),0)*(1+_11・B早朝)),0)</f>
        <v>333</v>
      </c>
      <c r="W17" s="48"/>
    </row>
    <row r="18" spans="1:23" ht="16.5" customHeight="1" x14ac:dyDescent="0.15">
      <c r="A18" s="41">
        <v>11</v>
      </c>
      <c r="B18" s="41">
        <v>7310</v>
      </c>
      <c r="C18" s="74" t="s">
        <v>13931</v>
      </c>
      <c r="D18" s="72"/>
      <c r="F18" s="274">
        <f>_11_B通院２０．５＿１．０</f>
        <v>169</v>
      </c>
      <c r="G18" s="254" t="s">
        <v>392</v>
      </c>
      <c r="H18" s="711"/>
      <c r="I18" s="37"/>
      <c r="J18" s="38"/>
      <c r="K18" s="281" t="s">
        <v>397</v>
      </c>
      <c r="L18" s="218" t="s">
        <v>398</v>
      </c>
      <c r="M18" s="189">
        <v>1</v>
      </c>
      <c r="N18" s="35"/>
      <c r="Q18" s="35"/>
      <c r="T18" s="35"/>
      <c r="V18" s="75">
        <f>ROUND((ROUND((ROUND((_11_A通院２０．５*_11・基礎２),0)*_11・２人),0)*(1+_11・A深夜)),0)+ROUND((ROUND((ROUND((_11_B通院２０．５＿１．０*_11・基礎２),0)*_11・２人),0)*(1+_11・B早朝)),0)</f>
        <v>333</v>
      </c>
      <c r="W18" s="48"/>
    </row>
    <row r="19" spans="1:23" ht="16.5" customHeight="1" x14ac:dyDescent="0.15">
      <c r="A19" s="41">
        <v>11</v>
      </c>
      <c r="B19" s="41" t="s">
        <v>13932</v>
      </c>
      <c r="C19" s="74" t="s">
        <v>13933</v>
      </c>
      <c r="D19" s="72"/>
      <c r="F19" s="72"/>
      <c r="H19" s="53"/>
      <c r="I19" s="49"/>
      <c r="J19" s="50"/>
      <c r="K19" s="163"/>
      <c r="L19" s="45"/>
      <c r="M19" s="46"/>
      <c r="N19" s="35"/>
      <c r="Q19" s="35"/>
      <c r="T19" s="707" t="s">
        <v>404</v>
      </c>
      <c r="U19" s="708"/>
      <c r="V19" s="75">
        <f>ROUND((ROUND((_11_A通院２０．５*(1+_11・A深夜)),0)*_11・初任),0)+ROUND((ROUND((_11_B通院２０．５＿１．０*(1+_11・B早朝)),0)*_11・初任),0)</f>
        <v>259</v>
      </c>
      <c r="W19" s="48"/>
    </row>
    <row r="20" spans="1:23" ht="16.5" customHeight="1" x14ac:dyDescent="0.15">
      <c r="A20" s="41">
        <v>11</v>
      </c>
      <c r="B20" s="41" t="s">
        <v>13934</v>
      </c>
      <c r="C20" s="74" t="s">
        <v>13935</v>
      </c>
      <c r="D20" s="72"/>
      <c r="F20" s="72"/>
      <c r="H20" s="43"/>
      <c r="I20" s="37"/>
      <c r="J20" s="38"/>
      <c r="K20" s="281" t="s">
        <v>397</v>
      </c>
      <c r="L20" s="218" t="s">
        <v>398</v>
      </c>
      <c r="M20" s="189">
        <v>1</v>
      </c>
      <c r="N20" s="35"/>
      <c r="Q20" s="35"/>
      <c r="T20" s="709"/>
      <c r="U20" s="704"/>
      <c r="V20" s="75">
        <f>ROUND((ROUND((ROUND((_11_A通院２０．５*_11・２人),0)*(1+_11・A深夜)),0)*_11・初任),0)+ROUND((ROUND((ROUND((_11_B通院２０．５＿１．０*_11・２人),0)*(1+_11・B早朝)),0)*_11・初任),0)</f>
        <v>259</v>
      </c>
      <c r="W20" s="48"/>
    </row>
    <row r="21" spans="1:23" ht="16.5" customHeight="1" x14ac:dyDescent="0.15">
      <c r="A21" s="41">
        <v>11</v>
      </c>
      <c r="B21" s="41" t="s">
        <v>13936</v>
      </c>
      <c r="C21" s="74" t="s">
        <v>13937</v>
      </c>
      <c r="D21" s="72"/>
      <c r="F21" s="72"/>
      <c r="H21" s="755" t="s">
        <v>400</v>
      </c>
      <c r="I21" s="221" t="s">
        <v>398</v>
      </c>
      <c r="J21" s="50">
        <v>0.9</v>
      </c>
      <c r="K21" s="163"/>
      <c r="L21" s="45"/>
      <c r="M21" s="46"/>
      <c r="N21" s="35"/>
      <c r="Q21" s="35"/>
      <c r="T21" s="709"/>
      <c r="U21" s="704"/>
      <c r="V21" s="75">
        <f>ROUND((ROUND((ROUND((_11_A通院２０．５*_11・基礎２),0)*(1+_11・A深夜)),0)*_11・初任),0)+ROUND((ROUND((ROUND((_11_B通院２０．５＿１．０*_11・基礎２),0)*(1+_11・B早朝)),0)*_11・初任),0)</f>
        <v>233</v>
      </c>
      <c r="W21" s="48"/>
    </row>
    <row r="22" spans="1:23" ht="16.5" customHeight="1" x14ac:dyDescent="0.15">
      <c r="A22" s="41">
        <v>11</v>
      </c>
      <c r="B22" s="41" t="s">
        <v>13938</v>
      </c>
      <c r="C22" s="74" t="s">
        <v>13939</v>
      </c>
      <c r="D22" s="72"/>
      <c r="F22" s="72"/>
      <c r="H22" s="711"/>
      <c r="I22" s="37"/>
      <c r="J22" s="38"/>
      <c r="K22" s="281" t="s">
        <v>397</v>
      </c>
      <c r="L22" s="218" t="s">
        <v>398</v>
      </c>
      <c r="M22" s="189">
        <v>1</v>
      </c>
      <c r="N22" s="35"/>
      <c r="Q22" s="35"/>
      <c r="T22" s="240" t="s">
        <v>398</v>
      </c>
      <c r="U22" s="38">
        <f>_11・初任</f>
        <v>0.7</v>
      </c>
      <c r="V22" s="75">
        <f>ROUND((ROUND((ROUND((ROUND((_11_A通院２０．５*_11・基礎２),0)*_11・２人),0)*(1+_11・A深夜)),0)*_11・初任),0)+ROUND((ROUND((ROUND((ROUND((_11_B通院２０．５＿１．０*_11・基礎２),0)*_11・２人),0)*(1+_11・B早朝)),0)*_11・初任),0)</f>
        <v>233</v>
      </c>
      <c r="W22" s="48"/>
    </row>
    <row r="23" spans="1:23" ht="16.5" customHeight="1" x14ac:dyDescent="0.15">
      <c r="A23" s="41">
        <v>11</v>
      </c>
      <c r="B23" s="41">
        <v>7311</v>
      </c>
      <c r="C23" s="74" t="s">
        <v>13940</v>
      </c>
      <c r="D23" s="707" t="s">
        <v>876</v>
      </c>
      <c r="E23" s="798"/>
      <c r="F23" s="707" t="s">
        <v>1035</v>
      </c>
      <c r="G23" s="798"/>
      <c r="H23" s="53"/>
      <c r="I23" s="49"/>
      <c r="J23" s="50"/>
      <c r="K23" s="163"/>
      <c r="L23" s="45"/>
      <c r="M23" s="46"/>
      <c r="N23" s="35"/>
      <c r="Q23" s="35"/>
      <c r="T23" s="53"/>
      <c r="U23" s="50"/>
      <c r="V23" s="75">
        <f>ROUND((_11_A通院２１．０*(1+_11・A深夜)),0)+ROUND((_11_B通院２１．０＿０．５*(1+_11・B早朝)),0)</f>
        <v>392</v>
      </c>
      <c r="W23" s="48"/>
    </row>
    <row r="24" spans="1:23" ht="16.5" customHeight="1" x14ac:dyDescent="0.15">
      <c r="A24" s="41">
        <v>11</v>
      </c>
      <c r="B24" s="41">
        <v>7312</v>
      </c>
      <c r="C24" s="74" t="s">
        <v>13941</v>
      </c>
      <c r="D24" s="799"/>
      <c r="E24" s="796"/>
      <c r="F24" s="799"/>
      <c r="G24" s="796"/>
      <c r="H24" s="43"/>
      <c r="I24" s="37"/>
      <c r="J24" s="38"/>
      <c r="K24" s="281" t="s">
        <v>397</v>
      </c>
      <c r="L24" s="218" t="s">
        <v>398</v>
      </c>
      <c r="M24" s="189">
        <v>1</v>
      </c>
      <c r="N24" s="35"/>
      <c r="Q24" s="35"/>
      <c r="T24" s="35"/>
      <c r="V24" s="75">
        <f>ROUND((ROUND((_11_A通院２１．０*_11・２人),0)*(1+_11・A深夜)),0)+ROUND((ROUND((_11_B通院２１．０＿０．５*_11・２人),0)*(1+_11・B早朝)),0)</f>
        <v>392</v>
      </c>
      <c r="W24" s="48"/>
    </row>
    <row r="25" spans="1:23" ht="16.5" customHeight="1" x14ac:dyDescent="0.15">
      <c r="A25" s="41">
        <v>11</v>
      </c>
      <c r="B25" s="41">
        <v>7313</v>
      </c>
      <c r="C25" s="74" t="s">
        <v>13942</v>
      </c>
      <c r="D25" s="799"/>
      <c r="E25" s="796"/>
      <c r="F25" s="799"/>
      <c r="G25" s="796"/>
      <c r="H25" s="755" t="s">
        <v>400</v>
      </c>
      <c r="I25" s="221" t="s">
        <v>398</v>
      </c>
      <c r="J25" s="50">
        <v>0.9</v>
      </c>
      <c r="K25" s="163"/>
      <c r="L25" s="45"/>
      <c r="M25" s="46"/>
      <c r="N25" s="35"/>
      <c r="Q25" s="35"/>
      <c r="T25" s="35"/>
      <c r="V25" s="75">
        <f>ROUND((ROUND((_11_A通院２１．０*_11・基礎２),0)*(1+_11・A深夜)),0)+ROUND((ROUND((_11_B通院２１．０＿０．５*_11・基礎２),0)*(1+_11・B早朝)),0)</f>
        <v>352</v>
      </c>
      <c r="W25" s="48"/>
    </row>
    <row r="26" spans="1:23" ht="16.5" customHeight="1" x14ac:dyDescent="0.15">
      <c r="A26" s="41">
        <v>11</v>
      </c>
      <c r="B26" s="41">
        <v>7314</v>
      </c>
      <c r="C26" s="74" t="s">
        <v>13943</v>
      </c>
      <c r="D26" s="274">
        <f>_11_A通院２１．０</f>
        <v>196</v>
      </c>
      <c r="E26" s="254" t="s">
        <v>392</v>
      </c>
      <c r="F26" s="274">
        <f>_11_B通院２１．０＿０．５</f>
        <v>78</v>
      </c>
      <c r="G26" s="254" t="s">
        <v>392</v>
      </c>
      <c r="H26" s="711"/>
      <c r="I26" s="37"/>
      <c r="J26" s="38"/>
      <c r="K26" s="281" t="s">
        <v>397</v>
      </c>
      <c r="L26" s="218" t="s">
        <v>398</v>
      </c>
      <c r="M26" s="189">
        <v>1</v>
      </c>
      <c r="N26" s="35"/>
      <c r="Q26" s="35"/>
      <c r="T26" s="43"/>
      <c r="U26" s="38"/>
      <c r="V26" s="75">
        <f>ROUND((ROUND((ROUND((_11_A通院２１．０*_11・基礎２),0)*_11・２人),0)*(1+_11・A深夜)),0)+ROUND((ROUND((ROUND((_11_B通院２１．０＿０．５*_11・基礎２),0)*_11・２人),0)*(1+_11・B早朝)),0)</f>
        <v>352</v>
      </c>
      <c r="W26" s="48"/>
    </row>
    <row r="27" spans="1:23" ht="16.5" customHeight="1" x14ac:dyDescent="0.15">
      <c r="A27" s="41">
        <v>11</v>
      </c>
      <c r="B27" s="41" t="s">
        <v>13944</v>
      </c>
      <c r="C27" s="74" t="s">
        <v>13945</v>
      </c>
      <c r="D27" s="72"/>
      <c r="F27" s="72"/>
      <c r="H27" s="53"/>
      <c r="I27" s="49"/>
      <c r="J27" s="50"/>
      <c r="K27" s="163"/>
      <c r="L27" s="45"/>
      <c r="M27" s="46"/>
      <c r="N27" s="35"/>
      <c r="Q27" s="35"/>
      <c r="T27" s="707" t="s">
        <v>404</v>
      </c>
      <c r="U27" s="708"/>
      <c r="V27" s="75">
        <f>ROUND((ROUND((_11_A通院２１．０*(1+_11・A深夜)),0)*_11・初任),0)+ROUND((ROUND((_11_B通院２１．０＿０．５*(1+_11・B早朝)),0)*_11・初任),0)</f>
        <v>275</v>
      </c>
      <c r="W27" s="48"/>
    </row>
    <row r="28" spans="1:23" ht="16.5" customHeight="1" x14ac:dyDescent="0.15">
      <c r="A28" s="41">
        <v>11</v>
      </c>
      <c r="B28" s="41" t="s">
        <v>13946</v>
      </c>
      <c r="C28" s="74" t="s">
        <v>13947</v>
      </c>
      <c r="D28" s="72"/>
      <c r="F28" s="72"/>
      <c r="H28" s="43"/>
      <c r="I28" s="37"/>
      <c r="J28" s="38"/>
      <c r="K28" s="281" t="s">
        <v>397</v>
      </c>
      <c r="L28" s="218" t="s">
        <v>398</v>
      </c>
      <c r="M28" s="189">
        <v>1</v>
      </c>
      <c r="N28" s="35"/>
      <c r="Q28" s="35"/>
      <c r="T28" s="709"/>
      <c r="U28" s="704"/>
      <c r="V28" s="75">
        <f>ROUND((ROUND((ROUND((_11_A通院２１．０*_11・２人),0)*(1+_11・A深夜)),0)*_11・初任),0)+ROUND((ROUND((ROUND((_11_B通院２１．０＿０．５*_11・２人),0)*(1+_11・B早朝)),0)*_11・初任),0)</f>
        <v>275</v>
      </c>
      <c r="W28" s="48"/>
    </row>
    <row r="29" spans="1:23" ht="16.5" customHeight="1" x14ac:dyDescent="0.15">
      <c r="A29" s="41">
        <v>11</v>
      </c>
      <c r="B29" s="41" t="s">
        <v>13948</v>
      </c>
      <c r="C29" s="74" t="s">
        <v>13949</v>
      </c>
      <c r="D29" s="72"/>
      <c r="F29" s="72"/>
      <c r="H29" s="755" t="s">
        <v>400</v>
      </c>
      <c r="I29" s="221" t="s">
        <v>398</v>
      </c>
      <c r="J29" s="50">
        <v>0.9</v>
      </c>
      <c r="K29" s="163"/>
      <c r="L29" s="45"/>
      <c r="M29" s="46"/>
      <c r="N29" s="35"/>
      <c r="Q29" s="35"/>
      <c r="T29" s="709"/>
      <c r="U29" s="704"/>
      <c r="V29" s="75">
        <f>ROUND((ROUND((ROUND((_11_A通院２１．０*_11・基礎２),0)*(1+_11・A深夜)),0)*_11・初任),0)+ROUND((ROUND((ROUND((_11_B通院２１．０＿０．５*_11・基礎２),0)*(1+_11・B早朝)),0)*_11・初任),0)</f>
        <v>247</v>
      </c>
      <c r="W29" s="48"/>
    </row>
    <row r="30" spans="1:23" ht="16.5" customHeight="1" x14ac:dyDescent="0.15">
      <c r="A30" s="41">
        <v>11</v>
      </c>
      <c r="B30" s="41" t="s">
        <v>13950</v>
      </c>
      <c r="C30" s="74" t="s">
        <v>13951</v>
      </c>
      <c r="D30" s="122"/>
      <c r="E30" s="37"/>
      <c r="F30" s="122"/>
      <c r="G30" s="37"/>
      <c r="H30" s="711"/>
      <c r="I30" s="37"/>
      <c r="J30" s="38"/>
      <c r="K30" s="281" t="s">
        <v>397</v>
      </c>
      <c r="L30" s="218" t="s">
        <v>398</v>
      </c>
      <c r="M30" s="189">
        <v>1</v>
      </c>
      <c r="N30" s="43"/>
      <c r="O30" s="37"/>
      <c r="P30" s="38"/>
      <c r="Q30" s="43"/>
      <c r="R30" s="37"/>
      <c r="S30" s="38"/>
      <c r="T30" s="240" t="s">
        <v>398</v>
      </c>
      <c r="U30" s="38">
        <f>_11・初任</f>
        <v>0.7</v>
      </c>
      <c r="V30" s="75">
        <f>ROUND((ROUND((ROUND((ROUND((_11_A通院２１．０*_11・基礎２),0)*_11・２人),0)*(1+_11・A深夜)),0)*_11・初任),0)+ROUND((ROUND((ROUND((ROUND((_11_B通院２１．０＿０．５*_11・基礎２),0)*_11・２人),0)*(1+_11・B早朝)),0)*_11・初任),0)</f>
        <v>247</v>
      </c>
      <c r="W30" s="63"/>
    </row>
    <row r="31" spans="1:23" ht="16.5" customHeight="1" x14ac:dyDescent="0.15">
      <c r="A31" s="80"/>
      <c r="B31" s="80"/>
      <c r="C31" s="81"/>
      <c r="K31" s="82"/>
      <c r="V31" s="84"/>
      <c r="W31" s="85"/>
    </row>
    <row r="32" spans="1:23" ht="16.5" customHeight="1" x14ac:dyDescent="0.15">
      <c r="A32" s="80"/>
      <c r="B32" s="80"/>
      <c r="C32" s="81"/>
      <c r="K32" s="82"/>
      <c r="V32" s="84"/>
      <c r="W32" s="85"/>
    </row>
    <row r="33" spans="1:23" ht="16.5" customHeight="1" x14ac:dyDescent="0.15">
      <c r="A33" s="80"/>
      <c r="B33" s="86" t="s">
        <v>13952</v>
      </c>
      <c r="C33" s="81"/>
      <c r="D33" s="71"/>
      <c r="K33" s="82"/>
      <c r="V33" s="84"/>
      <c r="W33" s="85"/>
    </row>
    <row r="34" spans="1:23" ht="16.5" customHeight="1" x14ac:dyDescent="0.15">
      <c r="A34" s="87" t="s">
        <v>384</v>
      </c>
      <c r="B34" s="20"/>
      <c r="C34" s="88" t="s">
        <v>385</v>
      </c>
      <c r="D34" s="23" t="s">
        <v>386</v>
      </c>
      <c r="E34" s="23"/>
      <c r="F34" s="23"/>
      <c r="G34" s="23"/>
      <c r="H34" s="23"/>
      <c r="I34" s="23"/>
      <c r="J34" s="24"/>
      <c r="K34" s="283"/>
      <c r="L34" s="23"/>
      <c r="M34" s="24"/>
      <c r="N34" s="23"/>
      <c r="O34" s="23"/>
      <c r="P34" s="24"/>
      <c r="Q34" s="23"/>
      <c r="R34" s="23"/>
      <c r="S34" s="24"/>
      <c r="T34" s="23"/>
      <c r="U34" s="24"/>
      <c r="V34" s="25" t="s">
        <v>387</v>
      </c>
      <c r="W34" s="21" t="s">
        <v>388</v>
      </c>
    </row>
    <row r="35" spans="1:23" ht="16.5" customHeight="1" x14ac:dyDescent="0.15">
      <c r="A35" s="26" t="s">
        <v>389</v>
      </c>
      <c r="B35" s="26" t="s">
        <v>390</v>
      </c>
      <c r="C35" s="89"/>
      <c r="D35" s="87" t="s">
        <v>1032</v>
      </c>
      <c r="E35" s="20"/>
      <c r="F35" s="29"/>
      <c r="G35" s="29"/>
      <c r="H35" s="29"/>
      <c r="I35" s="29"/>
      <c r="J35" s="30"/>
      <c r="K35" s="284"/>
      <c r="L35" s="29"/>
      <c r="M35" s="30"/>
      <c r="N35" s="29"/>
      <c r="O35" s="29"/>
      <c r="P35" s="30"/>
      <c r="Q35" s="29"/>
      <c r="R35" s="29"/>
      <c r="S35" s="30"/>
      <c r="T35" s="29"/>
      <c r="U35" s="30"/>
      <c r="V35" s="31" t="s">
        <v>391</v>
      </c>
      <c r="W35" s="32" t="s">
        <v>392</v>
      </c>
    </row>
    <row r="36" spans="1:23" ht="16.5" customHeight="1" x14ac:dyDescent="0.15">
      <c r="A36" s="286">
        <v>11</v>
      </c>
      <c r="B36" s="33">
        <v>7315</v>
      </c>
      <c r="C36" s="34" t="s">
        <v>13953</v>
      </c>
      <c r="D36" s="709" t="s">
        <v>673</v>
      </c>
      <c r="E36" s="796"/>
      <c r="F36" s="709" t="s">
        <v>1226</v>
      </c>
      <c r="G36" s="796"/>
      <c r="H36" s="35"/>
      <c r="K36" s="70"/>
      <c r="L36" s="37"/>
      <c r="M36" s="38"/>
      <c r="N36" s="72" t="s">
        <v>1227</v>
      </c>
      <c r="P36" s="234"/>
      <c r="Q36" s="35"/>
      <c r="S36" s="234"/>
      <c r="T36" s="35"/>
      <c r="V36" s="93">
        <f>ROUND((_11_A通院２０．５*(1+_11・A早朝)),0)+_11_B通院２０．５＿０．５</f>
        <v>222</v>
      </c>
      <c r="W36" s="40" t="s">
        <v>395</v>
      </c>
    </row>
    <row r="37" spans="1:23" ht="16.5" customHeight="1" x14ac:dyDescent="0.15">
      <c r="A37" s="287">
        <v>11</v>
      </c>
      <c r="B37" s="41">
        <v>7316</v>
      </c>
      <c r="C37" s="74" t="s">
        <v>13954</v>
      </c>
      <c r="D37" s="799"/>
      <c r="E37" s="796"/>
      <c r="F37" s="799"/>
      <c r="G37" s="796"/>
      <c r="H37" s="43"/>
      <c r="I37" s="37"/>
      <c r="J37" s="38"/>
      <c r="K37" s="281" t="s">
        <v>397</v>
      </c>
      <c r="L37" s="218" t="s">
        <v>398</v>
      </c>
      <c r="M37" s="46">
        <v>1</v>
      </c>
      <c r="N37" s="92" t="s">
        <v>398</v>
      </c>
      <c r="O37" s="13">
        <v>0.25</v>
      </c>
      <c r="P37" s="718" t="s">
        <v>676</v>
      </c>
      <c r="Q37" s="35"/>
      <c r="S37" s="234"/>
      <c r="T37" s="35"/>
      <c r="V37" s="95">
        <f>ROUND((ROUND((_11_A通院２０．５*_11・２人),0)*(1+_11・A早朝)),0)+ROUND((_11_B通院２０．５＿０．５*_11・２人),0)</f>
        <v>222</v>
      </c>
      <c r="W37" s="48"/>
    </row>
    <row r="38" spans="1:23" ht="16.5" customHeight="1" x14ac:dyDescent="0.15">
      <c r="A38" s="287">
        <v>11</v>
      </c>
      <c r="B38" s="41">
        <v>7317</v>
      </c>
      <c r="C38" s="74" t="s">
        <v>13955</v>
      </c>
      <c r="D38" s="799"/>
      <c r="E38" s="796"/>
      <c r="F38" s="799"/>
      <c r="G38" s="796"/>
      <c r="H38" s="752" t="s">
        <v>400</v>
      </c>
      <c r="I38" s="221" t="s">
        <v>398</v>
      </c>
      <c r="J38" s="50">
        <v>0.9</v>
      </c>
      <c r="K38" s="282"/>
      <c r="L38" s="45"/>
      <c r="M38" s="46"/>
      <c r="N38" s="35"/>
      <c r="P38" s="796"/>
      <c r="Q38" s="35"/>
      <c r="S38" s="234"/>
      <c r="T38" s="35"/>
      <c r="V38" s="95">
        <f>ROUND((ROUND((_11_A通院２０．５*_11・基礎２),0)*(1+_11・A早朝)),0)+ROUND((_11_B通院２０．５＿０．５*_11・基礎２),0)</f>
        <v>201</v>
      </c>
      <c r="W38" s="48"/>
    </row>
    <row r="39" spans="1:23" ht="16.5" customHeight="1" x14ac:dyDescent="0.15">
      <c r="A39" s="287">
        <v>11</v>
      </c>
      <c r="B39" s="41">
        <v>7318</v>
      </c>
      <c r="C39" s="74" t="s">
        <v>13956</v>
      </c>
      <c r="D39" s="274">
        <f>_11_A通院２０．５</f>
        <v>105</v>
      </c>
      <c r="E39" s="254" t="s">
        <v>392</v>
      </c>
      <c r="F39" s="274">
        <f>_11_B通院２０．５＿０．５</f>
        <v>91</v>
      </c>
      <c r="G39" s="254" t="s">
        <v>392</v>
      </c>
      <c r="H39" s="711"/>
      <c r="I39" s="37"/>
      <c r="J39" s="38"/>
      <c r="K39" s="281" t="s">
        <v>397</v>
      </c>
      <c r="L39" s="218" t="s">
        <v>398</v>
      </c>
      <c r="M39" s="46">
        <v>1</v>
      </c>
      <c r="N39" s="35"/>
      <c r="P39" s="234"/>
      <c r="Q39" s="35"/>
      <c r="S39" s="234"/>
      <c r="T39" s="35"/>
      <c r="V39" s="95">
        <f>ROUND((ROUND((ROUND((_11_A通院２０．５*_11・基礎２),0)*_11・２人),0)*(1+_11・A早朝)),0)+ROUND((ROUND((_11_B通院２０．５＿０．５*_11・基礎２),0)*_11・２人),0)</f>
        <v>201</v>
      </c>
      <c r="W39" s="48"/>
    </row>
    <row r="40" spans="1:23" ht="16.5" customHeight="1" x14ac:dyDescent="0.15">
      <c r="A40" s="287">
        <v>11</v>
      </c>
      <c r="B40" s="41" t="s">
        <v>13957</v>
      </c>
      <c r="C40" s="74" t="s">
        <v>13958</v>
      </c>
      <c r="D40" s="72"/>
      <c r="F40" s="72"/>
      <c r="H40" s="53"/>
      <c r="I40" s="49"/>
      <c r="J40" s="50"/>
      <c r="K40" s="282"/>
      <c r="L40" s="45"/>
      <c r="M40" s="46"/>
      <c r="N40" s="35"/>
      <c r="Q40" s="35"/>
      <c r="S40" s="234"/>
      <c r="T40" s="707" t="s">
        <v>404</v>
      </c>
      <c r="U40" s="708"/>
      <c r="V40" s="95">
        <f>ROUND((ROUND((_11_A通院２０．５*(1+_11・A早朝)),0)*_11・初任),0)+ROUND((_11_B通院２０．５＿０．５*_11・初任),0)</f>
        <v>156</v>
      </c>
      <c r="W40" s="48"/>
    </row>
    <row r="41" spans="1:23" ht="16.5" customHeight="1" x14ac:dyDescent="0.15">
      <c r="A41" s="287">
        <v>11</v>
      </c>
      <c r="B41" s="41" t="s">
        <v>13959</v>
      </c>
      <c r="C41" s="74" t="s">
        <v>13960</v>
      </c>
      <c r="D41" s="72"/>
      <c r="F41" s="72"/>
      <c r="H41" s="43"/>
      <c r="I41" s="37"/>
      <c r="J41" s="38"/>
      <c r="K41" s="281" t="s">
        <v>397</v>
      </c>
      <c r="L41" s="218" t="s">
        <v>398</v>
      </c>
      <c r="M41" s="189">
        <v>1</v>
      </c>
      <c r="N41" s="35"/>
      <c r="Q41" s="35"/>
      <c r="S41" s="234"/>
      <c r="T41" s="709"/>
      <c r="U41" s="704"/>
      <c r="V41" s="95">
        <f>ROUND((ROUND((ROUND((_11_A通院２０．５*_11・２人),0)*(1+_11・A早朝)),0)*_11・初任),0)+ROUND((ROUND((_11_B通院２０．５＿０．５*_11・２人),0)*_11・初任),0)</f>
        <v>156</v>
      </c>
      <c r="W41" s="48"/>
    </row>
    <row r="42" spans="1:23" ht="16.5" customHeight="1" x14ac:dyDescent="0.15">
      <c r="A42" s="287">
        <v>11</v>
      </c>
      <c r="B42" s="41" t="s">
        <v>13961</v>
      </c>
      <c r="C42" s="74" t="s">
        <v>13962</v>
      </c>
      <c r="D42" s="72"/>
      <c r="F42" s="72"/>
      <c r="H42" s="755" t="s">
        <v>400</v>
      </c>
      <c r="I42" s="221" t="s">
        <v>398</v>
      </c>
      <c r="J42" s="50">
        <v>0.9</v>
      </c>
      <c r="K42" s="282"/>
      <c r="L42" s="45"/>
      <c r="M42" s="46"/>
      <c r="N42" s="35"/>
      <c r="Q42" s="35"/>
      <c r="S42" s="234"/>
      <c r="T42" s="709"/>
      <c r="U42" s="704"/>
      <c r="V42" s="95">
        <f>ROUND((ROUND((ROUND((_11_A通院２０．５*_11・基礎２),0)*(1+_11・A早朝)),0)*_11・初任),0)+ROUND((ROUND((_11_B通院２０．５＿０．５*_11・基礎２),0)*_11・初任),0)</f>
        <v>140</v>
      </c>
      <c r="W42" s="48"/>
    </row>
    <row r="43" spans="1:23" ht="16.5" customHeight="1" x14ac:dyDescent="0.15">
      <c r="A43" s="287">
        <v>11</v>
      </c>
      <c r="B43" s="41" t="s">
        <v>13963</v>
      </c>
      <c r="C43" s="74" t="s">
        <v>13964</v>
      </c>
      <c r="D43" s="72"/>
      <c r="F43" s="72"/>
      <c r="H43" s="711"/>
      <c r="I43" s="37"/>
      <c r="J43" s="38"/>
      <c r="K43" s="281" t="s">
        <v>397</v>
      </c>
      <c r="L43" s="218" t="s">
        <v>398</v>
      </c>
      <c r="M43" s="189">
        <v>1</v>
      </c>
      <c r="N43" s="35"/>
      <c r="Q43" s="35"/>
      <c r="S43" s="234"/>
      <c r="T43" s="240" t="s">
        <v>398</v>
      </c>
      <c r="U43" s="38">
        <f>_11・初任</f>
        <v>0.7</v>
      </c>
      <c r="V43" s="95">
        <f>ROUND((ROUND((ROUND((ROUND((_11_A通院２０．５*_11・基礎２),0)*_11・２人),0)*(1+_11・A早朝)),0)*_11・初任),0)+ROUND((ROUND((ROUND((_11_B通院２０．５＿０．５*_11・基礎２),0)*_11・２人),0)*_11・初任),0)</f>
        <v>140</v>
      </c>
      <c r="W43" s="48"/>
    </row>
    <row r="44" spans="1:23" ht="16.5" customHeight="1" x14ac:dyDescent="0.15">
      <c r="A44" s="287">
        <v>11</v>
      </c>
      <c r="B44" s="41">
        <v>7319</v>
      </c>
      <c r="C44" s="74" t="s">
        <v>13965</v>
      </c>
      <c r="D44" s="72"/>
      <c r="F44" s="707" t="s">
        <v>1304</v>
      </c>
      <c r="G44" s="798"/>
      <c r="H44" s="53"/>
      <c r="I44" s="49"/>
      <c r="J44" s="50"/>
      <c r="K44" s="282"/>
      <c r="L44" s="45"/>
      <c r="M44" s="46"/>
      <c r="N44" s="35"/>
      <c r="Q44" s="35"/>
      <c r="S44" s="234"/>
      <c r="T44" s="53"/>
      <c r="U44" s="50"/>
      <c r="V44" s="95">
        <f>ROUND((_11_A通院２０．５*(1+_11・A早朝)),0)+_11_B通院２０．５＿１．０</f>
        <v>300</v>
      </c>
      <c r="W44" s="48"/>
    </row>
    <row r="45" spans="1:23" ht="16.5" customHeight="1" x14ac:dyDescent="0.15">
      <c r="A45" s="287">
        <v>11</v>
      </c>
      <c r="B45" s="41">
        <v>7320</v>
      </c>
      <c r="C45" s="74" t="s">
        <v>13966</v>
      </c>
      <c r="D45" s="72"/>
      <c r="F45" s="799"/>
      <c r="G45" s="796"/>
      <c r="H45" s="43"/>
      <c r="I45" s="37"/>
      <c r="J45" s="38"/>
      <c r="K45" s="281" t="s">
        <v>397</v>
      </c>
      <c r="L45" s="218" t="s">
        <v>398</v>
      </c>
      <c r="M45" s="189">
        <v>1</v>
      </c>
      <c r="N45" s="35"/>
      <c r="Q45" s="35"/>
      <c r="S45" s="234"/>
      <c r="T45" s="35"/>
      <c r="V45" s="95">
        <f>ROUND((ROUND((_11_A通院２０．５*_11・２人),0)*(1+_11・A早朝)),0)+ROUND((_11_B通院２０．５＿１．０*_11・２人),0)</f>
        <v>300</v>
      </c>
      <c r="W45" s="48"/>
    </row>
    <row r="46" spans="1:23" ht="16.5" customHeight="1" x14ac:dyDescent="0.15">
      <c r="A46" s="287">
        <v>11</v>
      </c>
      <c r="B46" s="41">
        <v>7321</v>
      </c>
      <c r="C46" s="74" t="s">
        <v>13967</v>
      </c>
      <c r="D46" s="72"/>
      <c r="F46" s="799"/>
      <c r="G46" s="796"/>
      <c r="H46" s="755" t="s">
        <v>400</v>
      </c>
      <c r="I46" s="221" t="s">
        <v>398</v>
      </c>
      <c r="J46" s="50">
        <v>0.9</v>
      </c>
      <c r="K46" s="282"/>
      <c r="L46" s="45"/>
      <c r="M46" s="46"/>
      <c r="N46" s="35"/>
      <c r="Q46" s="35"/>
      <c r="S46" s="234"/>
      <c r="T46" s="35"/>
      <c r="V46" s="95">
        <f>ROUND((ROUND((_11_A通院２０．５*_11・基礎２),0)*(1+_11・A早朝)),0)+ROUND((_11_B通院２０．５＿１．０*_11・基礎２),0)</f>
        <v>271</v>
      </c>
      <c r="W46" s="48"/>
    </row>
    <row r="47" spans="1:23" ht="16.5" customHeight="1" x14ac:dyDescent="0.15">
      <c r="A47" s="287">
        <v>11</v>
      </c>
      <c r="B47" s="41">
        <v>7322</v>
      </c>
      <c r="C47" s="74" t="s">
        <v>13968</v>
      </c>
      <c r="D47" s="72"/>
      <c r="F47" s="274">
        <f>_11_B通院２０．５＿１．０</f>
        <v>169</v>
      </c>
      <c r="G47" s="254" t="s">
        <v>392</v>
      </c>
      <c r="H47" s="711"/>
      <c r="I47" s="37"/>
      <c r="J47" s="38"/>
      <c r="K47" s="281" t="s">
        <v>397</v>
      </c>
      <c r="L47" s="218" t="s">
        <v>398</v>
      </c>
      <c r="M47" s="189">
        <v>1</v>
      </c>
      <c r="N47" s="35"/>
      <c r="Q47" s="35"/>
      <c r="S47" s="234"/>
      <c r="T47" s="43"/>
      <c r="U47" s="38"/>
      <c r="V47" s="95">
        <f>ROUND((ROUND((ROUND((_11_A通院２０．５*_11・基礎２),0)*_11・２人),0)*(1+_11・A早朝)),0)+ROUND((ROUND((_11_B通院２０．５＿１．０*_11・基礎２),0)*_11・２人),0)</f>
        <v>271</v>
      </c>
      <c r="W47" s="48"/>
    </row>
    <row r="48" spans="1:23" ht="16.5" customHeight="1" x14ac:dyDescent="0.15">
      <c r="A48" s="287">
        <v>11</v>
      </c>
      <c r="B48" s="41" t="s">
        <v>13969</v>
      </c>
      <c r="C48" s="74" t="s">
        <v>13970</v>
      </c>
      <c r="D48" s="72"/>
      <c r="F48" s="72"/>
      <c r="H48" s="53"/>
      <c r="I48" s="49"/>
      <c r="J48" s="50"/>
      <c r="K48" s="282"/>
      <c r="L48" s="45"/>
      <c r="M48" s="46"/>
      <c r="N48" s="35"/>
      <c r="Q48" s="35"/>
      <c r="S48" s="234"/>
      <c r="T48" s="707" t="s">
        <v>404</v>
      </c>
      <c r="U48" s="708"/>
      <c r="V48" s="95">
        <f>ROUND((ROUND((_11_A通院２０．５*(1+_11・A早朝)),0)*_11・初任),0)+ROUND((_11_B通院２０．５＿１．０*_11・初任),0)</f>
        <v>210</v>
      </c>
      <c r="W48" s="48"/>
    </row>
    <row r="49" spans="1:23" ht="16.5" customHeight="1" x14ac:dyDescent="0.15">
      <c r="A49" s="287">
        <v>11</v>
      </c>
      <c r="B49" s="41" t="s">
        <v>13971</v>
      </c>
      <c r="C49" s="74" t="s">
        <v>13972</v>
      </c>
      <c r="D49" s="72"/>
      <c r="F49" s="72"/>
      <c r="H49" s="43"/>
      <c r="I49" s="37"/>
      <c r="J49" s="38"/>
      <c r="K49" s="281" t="s">
        <v>397</v>
      </c>
      <c r="L49" s="218" t="s">
        <v>398</v>
      </c>
      <c r="M49" s="189">
        <v>1</v>
      </c>
      <c r="N49" s="35"/>
      <c r="Q49" s="35"/>
      <c r="S49" s="234"/>
      <c r="T49" s="709"/>
      <c r="U49" s="704"/>
      <c r="V49" s="95">
        <f>ROUND((ROUND((ROUND((_11_A通院２０．５*_11・２人),0)*(1+_11・A早朝)),0)*_11・初任),0)+ROUND((ROUND((_11_B通院２０．５＿１．０*_11・２人),0)*_11・初任),0)</f>
        <v>210</v>
      </c>
      <c r="W49" s="48"/>
    </row>
    <row r="50" spans="1:23" ht="16.5" customHeight="1" x14ac:dyDescent="0.15">
      <c r="A50" s="287">
        <v>11</v>
      </c>
      <c r="B50" s="41" t="s">
        <v>13973</v>
      </c>
      <c r="C50" s="74" t="s">
        <v>13974</v>
      </c>
      <c r="D50" s="72"/>
      <c r="F50" s="72"/>
      <c r="H50" s="755" t="s">
        <v>400</v>
      </c>
      <c r="I50" s="221" t="s">
        <v>398</v>
      </c>
      <c r="J50" s="50">
        <v>0.9</v>
      </c>
      <c r="K50" s="282"/>
      <c r="L50" s="45"/>
      <c r="M50" s="46"/>
      <c r="N50" s="35"/>
      <c r="Q50" s="35"/>
      <c r="S50" s="234"/>
      <c r="T50" s="709"/>
      <c r="U50" s="704"/>
      <c r="V50" s="95">
        <f>ROUND((ROUND((ROUND((_11_A通院２０．５*_11・基礎２),0)*(1+_11・A早朝)),0)*_11・初任),0)+ROUND((ROUND((_11_B通院２０．５＿１．０*_11・基礎２),0)*_11・初任),0)</f>
        <v>189</v>
      </c>
      <c r="W50" s="48"/>
    </row>
    <row r="51" spans="1:23" ht="16.5" customHeight="1" x14ac:dyDescent="0.15">
      <c r="A51" s="287">
        <v>11</v>
      </c>
      <c r="B51" s="41" t="s">
        <v>13975</v>
      </c>
      <c r="C51" s="74" t="s">
        <v>13976</v>
      </c>
      <c r="D51" s="72"/>
      <c r="F51" s="72"/>
      <c r="H51" s="711"/>
      <c r="I51" s="37"/>
      <c r="J51" s="38"/>
      <c r="K51" s="281" t="s">
        <v>397</v>
      </c>
      <c r="L51" s="218" t="s">
        <v>398</v>
      </c>
      <c r="M51" s="189">
        <v>1</v>
      </c>
      <c r="N51" s="35"/>
      <c r="Q51" s="35"/>
      <c r="S51" s="234"/>
      <c r="T51" s="240" t="s">
        <v>398</v>
      </c>
      <c r="U51" s="38">
        <f>_11・初任</f>
        <v>0.7</v>
      </c>
      <c r="V51" s="95">
        <f>ROUND((ROUND((ROUND((ROUND((_11_A通院２０．５*_11・基礎２),0)*_11・２人),0)*(1+_11・A早朝)),0)*_11・初任),0)+ROUND((ROUND((ROUND((_11_B通院２０．５＿１．０*_11・基礎２),0)*_11・２人),0)*_11・初任),0)</f>
        <v>189</v>
      </c>
      <c r="W51" s="48"/>
    </row>
    <row r="52" spans="1:23" ht="16.5" customHeight="1" x14ac:dyDescent="0.15">
      <c r="A52" s="287">
        <v>11</v>
      </c>
      <c r="B52" s="41">
        <v>7323</v>
      </c>
      <c r="C52" s="74" t="s">
        <v>13977</v>
      </c>
      <c r="D52" s="707" t="s">
        <v>689</v>
      </c>
      <c r="E52" s="798"/>
      <c r="F52" s="707" t="s">
        <v>1226</v>
      </c>
      <c r="G52" s="798"/>
      <c r="H52" s="53"/>
      <c r="I52" s="49"/>
      <c r="J52" s="50"/>
      <c r="K52" s="282"/>
      <c r="L52" s="45"/>
      <c r="M52" s="46"/>
      <c r="N52" s="35"/>
      <c r="Q52" s="35"/>
      <c r="S52" s="234"/>
      <c r="T52" s="53"/>
      <c r="U52" s="50"/>
      <c r="V52" s="95">
        <f>ROUND((_11_A通院２１．０*(1+_11・A早朝)),0)+_11_B通院２１．０＿０．５</f>
        <v>323</v>
      </c>
      <c r="W52" s="48"/>
    </row>
    <row r="53" spans="1:23" ht="16.5" customHeight="1" x14ac:dyDescent="0.15">
      <c r="A53" s="287">
        <v>11</v>
      </c>
      <c r="B53" s="41">
        <v>7324</v>
      </c>
      <c r="C53" s="74" t="s">
        <v>13978</v>
      </c>
      <c r="D53" s="799"/>
      <c r="E53" s="796"/>
      <c r="F53" s="799"/>
      <c r="G53" s="796"/>
      <c r="H53" s="43"/>
      <c r="I53" s="37"/>
      <c r="J53" s="38"/>
      <c r="K53" s="281" t="s">
        <v>397</v>
      </c>
      <c r="L53" s="218" t="s">
        <v>398</v>
      </c>
      <c r="M53" s="189">
        <v>1</v>
      </c>
      <c r="N53" s="35"/>
      <c r="Q53" s="35"/>
      <c r="S53" s="234"/>
      <c r="T53" s="35"/>
      <c r="V53" s="95">
        <f>ROUND((ROUND((_11_A通院２１．０*_11・２人),0)*(1+_11・A早朝)),0)+ROUND((_11_B通院２１．０＿０．５*_11・２人),0)</f>
        <v>323</v>
      </c>
      <c r="W53" s="48"/>
    </row>
    <row r="54" spans="1:23" ht="16.5" customHeight="1" x14ac:dyDescent="0.15">
      <c r="A54" s="287">
        <v>11</v>
      </c>
      <c r="B54" s="41">
        <v>7325</v>
      </c>
      <c r="C54" s="74" t="s">
        <v>13979</v>
      </c>
      <c r="D54" s="799"/>
      <c r="E54" s="796"/>
      <c r="F54" s="799"/>
      <c r="G54" s="796"/>
      <c r="H54" s="755" t="s">
        <v>400</v>
      </c>
      <c r="I54" s="221" t="s">
        <v>398</v>
      </c>
      <c r="J54" s="50">
        <v>0.9</v>
      </c>
      <c r="K54" s="282"/>
      <c r="L54" s="45"/>
      <c r="M54" s="46"/>
      <c r="N54" s="35"/>
      <c r="Q54" s="35"/>
      <c r="S54" s="234"/>
      <c r="T54" s="35"/>
      <c r="V54" s="95">
        <f>ROUND((ROUND((_11_A通院２１．０*_11・基礎２),0)*(1+_11・A早朝)),0)+ROUND((_11_B通院２１．０＿０．５*_11・基礎２),0)</f>
        <v>290</v>
      </c>
      <c r="W54" s="48"/>
    </row>
    <row r="55" spans="1:23" ht="16.5" customHeight="1" x14ac:dyDescent="0.15">
      <c r="A55" s="287">
        <v>11</v>
      </c>
      <c r="B55" s="41">
        <v>7326</v>
      </c>
      <c r="C55" s="74" t="s">
        <v>13980</v>
      </c>
      <c r="D55" s="274">
        <f>_11_A通院２１．０</f>
        <v>196</v>
      </c>
      <c r="E55" s="254" t="s">
        <v>392</v>
      </c>
      <c r="F55" s="274">
        <f>_11_B通院２１．０＿０．５</f>
        <v>78</v>
      </c>
      <c r="G55" s="254" t="s">
        <v>392</v>
      </c>
      <c r="H55" s="711"/>
      <c r="I55" s="37"/>
      <c r="J55" s="38"/>
      <c r="K55" s="281" t="s">
        <v>397</v>
      </c>
      <c r="L55" s="218" t="s">
        <v>398</v>
      </c>
      <c r="M55" s="189">
        <v>1</v>
      </c>
      <c r="N55" s="35"/>
      <c r="Q55" s="35"/>
      <c r="S55" s="234"/>
      <c r="T55" s="43"/>
      <c r="U55" s="38"/>
      <c r="V55" s="95">
        <f>ROUND((ROUND((ROUND((_11_A通院２１．０*_11・基礎２),0)*_11・２人),0)*(1+_11・A早朝)),0)+ROUND((ROUND((_11_B通院２１．０＿０．５*_11・基礎２),0)*_11・２人),0)</f>
        <v>290</v>
      </c>
      <c r="W55" s="48"/>
    </row>
    <row r="56" spans="1:23" ht="16.5" customHeight="1" x14ac:dyDescent="0.15">
      <c r="A56" s="287">
        <v>11</v>
      </c>
      <c r="B56" s="41" t="s">
        <v>13981</v>
      </c>
      <c r="C56" s="74" t="s">
        <v>13982</v>
      </c>
      <c r="D56" s="72"/>
      <c r="F56" s="72"/>
      <c r="H56" s="53"/>
      <c r="I56" s="49"/>
      <c r="J56" s="50"/>
      <c r="K56" s="282"/>
      <c r="L56" s="45"/>
      <c r="M56" s="46"/>
      <c r="N56" s="35"/>
      <c r="Q56" s="35"/>
      <c r="S56" s="234"/>
      <c r="T56" s="707" t="s">
        <v>404</v>
      </c>
      <c r="U56" s="708"/>
      <c r="V56" s="95">
        <f>ROUND((ROUND((_11_A通院２１．０*(1+_11・A早朝)),0)*_11・初任),0)+ROUND((_11_B通院２１．０＿０．５*_11・初任),0)</f>
        <v>227</v>
      </c>
      <c r="W56" s="48"/>
    </row>
    <row r="57" spans="1:23" ht="16.5" customHeight="1" x14ac:dyDescent="0.15">
      <c r="A57" s="287">
        <v>11</v>
      </c>
      <c r="B57" s="41" t="s">
        <v>13983</v>
      </c>
      <c r="C57" s="74" t="s">
        <v>13984</v>
      </c>
      <c r="D57" s="72"/>
      <c r="F57" s="72"/>
      <c r="H57" s="43"/>
      <c r="I57" s="37"/>
      <c r="J57" s="38"/>
      <c r="K57" s="281" t="s">
        <v>397</v>
      </c>
      <c r="L57" s="218" t="s">
        <v>398</v>
      </c>
      <c r="M57" s="189">
        <v>1</v>
      </c>
      <c r="N57" s="35"/>
      <c r="Q57" s="35"/>
      <c r="S57" s="234"/>
      <c r="T57" s="709"/>
      <c r="U57" s="704"/>
      <c r="V57" s="95">
        <f>ROUND((ROUND((ROUND((_11_A通院２１．０*_11・２人),0)*(1+_11・A早朝)),0)*_11・初任),0)+ROUND((ROUND((_11_B通院２１．０＿０．５*_11・２人),0)*_11・初任),0)</f>
        <v>227</v>
      </c>
      <c r="W57" s="48"/>
    </row>
    <row r="58" spans="1:23" ht="16.5" customHeight="1" x14ac:dyDescent="0.15">
      <c r="A58" s="287">
        <v>11</v>
      </c>
      <c r="B58" s="41" t="s">
        <v>13985</v>
      </c>
      <c r="C58" s="74" t="s">
        <v>13986</v>
      </c>
      <c r="D58" s="72"/>
      <c r="F58" s="72"/>
      <c r="H58" s="755" t="s">
        <v>400</v>
      </c>
      <c r="I58" s="221" t="s">
        <v>398</v>
      </c>
      <c r="J58" s="50">
        <v>0.9</v>
      </c>
      <c r="K58" s="282"/>
      <c r="L58" s="45"/>
      <c r="M58" s="46"/>
      <c r="N58" s="35"/>
      <c r="Q58" s="35"/>
      <c r="S58" s="234"/>
      <c r="T58" s="709"/>
      <c r="U58" s="704"/>
      <c r="V58" s="95">
        <f>ROUND((ROUND((ROUND((_11_A通院２１．０*_11・基礎２),0)*(1+_11・A早朝)),0)*_11・初任),0)+ROUND((ROUND((_11_B通院２１．０＿０．５*_11・基礎２),0)*_11・初任),0)</f>
        <v>203</v>
      </c>
      <c r="W58" s="48"/>
    </row>
    <row r="59" spans="1:23" ht="16.5" customHeight="1" x14ac:dyDescent="0.15">
      <c r="A59" s="287">
        <v>11</v>
      </c>
      <c r="B59" s="41" t="s">
        <v>13987</v>
      </c>
      <c r="C59" s="74" t="s">
        <v>13988</v>
      </c>
      <c r="D59" s="122"/>
      <c r="E59" s="37"/>
      <c r="F59" s="122"/>
      <c r="G59" s="37"/>
      <c r="H59" s="711"/>
      <c r="I59" s="37"/>
      <c r="J59" s="38"/>
      <c r="K59" s="281" t="s">
        <v>397</v>
      </c>
      <c r="L59" s="218" t="s">
        <v>398</v>
      </c>
      <c r="M59" s="189">
        <v>1</v>
      </c>
      <c r="N59" s="43"/>
      <c r="O59" s="37"/>
      <c r="P59" s="38"/>
      <c r="Q59" s="43"/>
      <c r="R59" s="37"/>
      <c r="S59" s="244"/>
      <c r="T59" s="240" t="s">
        <v>398</v>
      </c>
      <c r="U59" s="38">
        <f>_11・初任</f>
        <v>0.7</v>
      </c>
      <c r="V59" s="95">
        <f>ROUND((ROUND((ROUND((ROUND((_11_A通院２１．０*_11・基礎２),0)*_11・２人),0)*(1+_11・A早朝)),0)*_11・初任),0)+ROUND((ROUND((ROUND((_11_B通院２１．０＿０．５*_11・基礎２),0)*_11・２人),0)*_11・初任),0)</f>
        <v>203</v>
      </c>
      <c r="W59" s="63"/>
    </row>
    <row r="60" spans="1:23" ht="16.5" customHeight="1" x14ac:dyDescent="0.15">
      <c r="A60" s="80"/>
      <c r="B60" s="80"/>
      <c r="C60" s="81"/>
      <c r="K60" s="82"/>
      <c r="V60" s="84"/>
      <c r="W60" s="85"/>
    </row>
    <row r="61" spans="1:23" ht="16.5" customHeight="1" x14ac:dyDescent="0.15">
      <c r="A61" s="80"/>
      <c r="B61" s="80"/>
      <c r="C61" s="81"/>
      <c r="K61" s="82"/>
      <c r="V61" s="84"/>
      <c r="W61" s="85"/>
    </row>
    <row r="62" spans="1:23" ht="16.5" customHeight="1" x14ac:dyDescent="0.15">
      <c r="A62" s="80"/>
      <c r="B62" s="86" t="s">
        <v>13989</v>
      </c>
      <c r="C62" s="81"/>
      <c r="D62" s="71"/>
      <c r="K62" s="82"/>
      <c r="V62" s="84"/>
      <c r="W62" s="85"/>
    </row>
    <row r="63" spans="1:23" ht="16.5" customHeight="1" x14ac:dyDescent="0.15">
      <c r="A63" s="87" t="s">
        <v>384</v>
      </c>
      <c r="B63" s="20"/>
      <c r="C63" s="88" t="s">
        <v>385</v>
      </c>
      <c r="D63" s="23" t="s">
        <v>386</v>
      </c>
      <c r="E63" s="23"/>
      <c r="F63" s="23"/>
      <c r="G63" s="23"/>
      <c r="H63" s="23"/>
      <c r="I63" s="23"/>
      <c r="J63" s="24"/>
      <c r="K63" s="283"/>
      <c r="L63" s="23"/>
      <c r="M63" s="24"/>
      <c r="N63" s="23"/>
      <c r="O63" s="23"/>
      <c r="P63" s="24"/>
      <c r="Q63" s="23"/>
      <c r="R63" s="23"/>
      <c r="S63" s="24"/>
      <c r="T63" s="23"/>
      <c r="U63" s="24"/>
      <c r="V63" s="25" t="s">
        <v>387</v>
      </c>
      <c r="W63" s="21" t="s">
        <v>388</v>
      </c>
    </row>
    <row r="64" spans="1:23" ht="16.5" customHeight="1" x14ac:dyDescent="0.15">
      <c r="A64" s="26" t="s">
        <v>389</v>
      </c>
      <c r="B64" s="26" t="s">
        <v>390</v>
      </c>
      <c r="C64" s="89"/>
      <c r="D64" s="29"/>
      <c r="E64" s="29"/>
      <c r="F64" s="87" t="s">
        <v>1032</v>
      </c>
      <c r="G64" s="20"/>
      <c r="H64" s="29"/>
      <c r="I64" s="29"/>
      <c r="J64" s="30"/>
      <c r="K64" s="284"/>
      <c r="L64" s="29"/>
      <c r="M64" s="30"/>
      <c r="N64" s="29"/>
      <c r="O64" s="29"/>
      <c r="P64" s="30"/>
      <c r="Q64" s="29"/>
      <c r="R64" s="29"/>
      <c r="S64" s="30"/>
      <c r="T64" s="29"/>
      <c r="U64" s="30"/>
      <c r="V64" s="31" t="s">
        <v>391</v>
      </c>
      <c r="W64" s="32" t="s">
        <v>392</v>
      </c>
    </row>
    <row r="65" spans="1:23" ht="16.5" customHeight="1" x14ac:dyDescent="0.15">
      <c r="A65" s="286">
        <v>11</v>
      </c>
      <c r="B65" s="33">
        <v>7327</v>
      </c>
      <c r="C65" s="34" t="s">
        <v>13990</v>
      </c>
      <c r="D65" s="709" t="s">
        <v>394</v>
      </c>
      <c r="E65" s="796"/>
      <c r="F65" s="709" t="s">
        <v>1415</v>
      </c>
      <c r="G65" s="796"/>
      <c r="H65" s="35"/>
      <c r="K65" s="70"/>
      <c r="L65" s="37"/>
      <c r="M65" s="38"/>
      <c r="N65" s="35"/>
      <c r="P65" s="234"/>
      <c r="Q65" s="10" t="s">
        <v>1416</v>
      </c>
      <c r="S65" s="234"/>
      <c r="T65" s="35"/>
      <c r="V65" s="93">
        <f>_11_A通院２０．５+ROUND((_11_B通院２０．５＿０．５*(1+_11・B夜間)),0)</f>
        <v>219</v>
      </c>
      <c r="W65" s="40" t="s">
        <v>395</v>
      </c>
    </row>
    <row r="66" spans="1:23" ht="16.5" customHeight="1" x14ac:dyDescent="0.15">
      <c r="A66" s="287">
        <v>11</v>
      </c>
      <c r="B66" s="41">
        <v>7328</v>
      </c>
      <c r="C66" s="74" t="s">
        <v>13991</v>
      </c>
      <c r="D66" s="799"/>
      <c r="E66" s="796"/>
      <c r="F66" s="799"/>
      <c r="G66" s="796"/>
      <c r="H66" s="43"/>
      <c r="I66" s="37"/>
      <c r="J66" s="38"/>
      <c r="K66" s="281" t="s">
        <v>397</v>
      </c>
      <c r="L66" s="218" t="s">
        <v>398</v>
      </c>
      <c r="M66" s="46">
        <v>1</v>
      </c>
      <c r="N66" s="35"/>
      <c r="P66" s="234"/>
      <c r="Q66" s="16" t="s">
        <v>398</v>
      </c>
      <c r="R66" s="13">
        <v>0.25</v>
      </c>
      <c r="S66" s="718" t="s">
        <v>676</v>
      </c>
      <c r="T66" s="35"/>
      <c r="V66" s="95">
        <f>ROUND((_11_A通院２０．５*_11・２人),0)+ROUND((ROUND((_11_B通院２０．５＿０．５*_11・２人),0)*(1+_11・B夜間)),0)</f>
        <v>219</v>
      </c>
      <c r="W66" s="48"/>
    </row>
    <row r="67" spans="1:23" ht="16.5" customHeight="1" x14ac:dyDescent="0.15">
      <c r="A67" s="287">
        <v>11</v>
      </c>
      <c r="B67" s="41">
        <v>7329</v>
      </c>
      <c r="C67" s="74" t="s">
        <v>13992</v>
      </c>
      <c r="D67" s="799"/>
      <c r="E67" s="796"/>
      <c r="F67" s="799"/>
      <c r="G67" s="796"/>
      <c r="H67" s="752" t="s">
        <v>400</v>
      </c>
      <c r="I67" s="221" t="s">
        <v>398</v>
      </c>
      <c r="J67" s="50">
        <v>0.9</v>
      </c>
      <c r="K67" s="282"/>
      <c r="L67" s="45"/>
      <c r="M67" s="46"/>
      <c r="N67" s="35"/>
      <c r="P67" s="234"/>
      <c r="S67" s="796"/>
      <c r="T67" s="35"/>
      <c r="V67" s="95">
        <f>ROUND((_11_A通院２０．５*_11・基礎２),0)+ROUND((ROUND((_11_B通院２０．５＿０．５*_11・基礎２),0)*(1+_11・B夜間)),0)</f>
        <v>198</v>
      </c>
      <c r="W67" s="48"/>
    </row>
    <row r="68" spans="1:23" ht="16.5" customHeight="1" x14ac:dyDescent="0.15">
      <c r="A68" s="287">
        <v>11</v>
      </c>
      <c r="B68" s="41">
        <v>7330</v>
      </c>
      <c r="C68" s="74" t="s">
        <v>13993</v>
      </c>
      <c r="D68" s="274">
        <f>_11_A通院２０．５</f>
        <v>105</v>
      </c>
      <c r="E68" s="254" t="s">
        <v>392</v>
      </c>
      <c r="F68" s="274">
        <f>_11_B通院２０．５＿０．５</f>
        <v>91</v>
      </c>
      <c r="G68" s="254" t="s">
        <v>392</v>
      </c>
      <c r="H68" s="711"/>
      <c r="I68" s="37"/>
      <c r="J68" s="38"/>
      <c r="K68" s="281" t="s">
        <v>397</v>
      </c>
      <c r="L68" s="218" t="s">
        <v>398</v>
      </c>
      <c r="M68" s="46">
        <v>1</v>
      </c>
      <c r="N68" s="35"/>
      <c r="P68" s="234"/>
      <c r="S68" s="234"/>
      <c r="T68" s="35"/>
      <c r="V68" s="95">
        <f>ROUND((ROUND((_11_A通院２０．５*_11・基礎２),0)*_11・２人),0)+ROUND((ROUND((ROUND((_11_B通院２０．５＿０．５*_11・基礎２),0)*_11・２人),0)*(1+_11・B夜間)),0)</f>
        <v>198</v>
      </c>
      <c r="W68" s="48"/>
    </row>
    <row r="69" spans="1:23" ht="16.5" customHeight="1" x14ac:dyDescent="0.15">
      <c r="A69" s="287">
        <v>11</v>
      </c>
      <c r="B69" s="41" t="s">
        <v>13994</v>
      </c>
      <c r="C69" s="74" t="s">
        <v>13995</v>
      </c>
      <c r="D69" s="72"/>
      <c r="F69" s="72"/>
      <c r="H69" s="53"/>
      <c r="I69" s="49"/>
      <c r="J69" s="50"/>
      <c r="K69" s="282"/>
      <c r="L69" s="45"/>
      <c r="M69" s="46"/>
      <c r="N69" s="35"/>
      <c r="P69" s="234"/>
      <c r="T69" s="707" t="s">
        <v>404</v>
      </c>
      <c r="U69" s="708"/>
      <c r="V69" s="95">
        <f>ROUND((_11_A通院２０．５*_11・初任),0)+ROUND((ROUND((_11_B通院２０．５＿０．５*(1+_11・B夜間)),0)*_11・初任),0)</f>
        <v>154</v>
      </c>
      <c r="W69" s="48"/>
    </row>
    <row r="70" spans="1:23" ht="16.5" customHeight="1" x14ac:dyDescent="0.15">
      <c r="A70" s="287">
        <v>11</v>
      </c>
      <c r="B70" s="41" t="s">
        <v>13996</v>
      </c>
      <c r="C70" s="74" t="s">
        <v>13997</v>
      </c>
      <c r="D70" s="72"/>
      <c r="F70" s="72"/>
      <c r="H70" s="43"/>
      <c r="I70" s="37"/>
      <c r="J70" s="38"/>
      <c r="K70" s="281" t="s">
        <v>397</v>
      </c>
      <c r="L70" s="218" t="s">
        <v>398</v>
      </c>
      <c r="M70" s="46">
        <v>1</v>
      </c>
      <c r="N70" s="35"/>
      <c r="P70" s="234"/>
      <c r="T70" s="709"/>
      <c r="U70" s="704"/>
      <c r="V70" s="95">
        <f>ROUND((ROUND((_11_A通院２０．５*_11・２人),0)*_11・初任),0)+ROUND((ROUND((ROUND((_11_B通院２０．５＿０．５*_11・２人),0)*(1+_11・B夜間)),0)*_11・初任),0)</f>
        <v>154</v>
      </c>
      <c r="W70" s="48"/>
    </row>
    <row r="71" spans="1:23" ht="16.5" customHeight="1" x14ac:dyDescent="0.15">
      <c r="A71" s="287">
        <v>11</v>
      </c>
      <c r="B71" s="41" t="s">
        <v>13998</v>
      </c>
      <c r="C71" s="74" t="s">
        <v>13999</v>
      </c>
      <c r="D71" s="72"/>
      <c r="F71" s="72"/>
      <c r="H71" s="755" t="s">
        <v>400</v>
      </c>
      <c r="I71" s="221" t="s">
        <v>398</v>
      </c>
      <c r="J71" s="50">
        <v>0.9</v>
      </c>
      <c r="K71" s="282"/>
      <c r="L71" s="45"/>
      <c r="M71" s="46"/>
      <c r="N71" s="35"/>
      <c r="P71" s="234"/>
      <c r="T71" s="709"/>
      <c r="U71" s="704"/>
      <c r="V71" s="95">
        <f>ROUND((ROUND((_11_A通院２０．５*_11・基礎２),0)*_11・初任),0)+ROUND((ROUND((ROUND((_11_B通院２０．５＿０．５*_11・基礎２),0)*(1+_11・B夜間)),0)*_11・初任),0)</f>
        <v>139</v>
      </c>
      <c r="W71" s="48"/>
    </row>
    <row r="72" spans="1:23" ht="16.5" customHeight="1" x14ac:dyDescent="0.15">
      <c r="A72" s="287">
        <v>11</v>
      </c>
      <c r="B72" s="41" t="s">
        <v>14000</v>
      </c>
      <c r="C72" s="74" t="s">
        <v>14001</v>
      </c>
      <c r="D72" s="72"/>
      <c r="F72" s="72"/>
      <c r="H72" s="711"/>
      <c r="I72" s="37"/>
      <c r="J72" s="38"/>
      <c r="K72" s="281" t="s">
        <v>397</v>
      </c>
      <c r="L72" s="218" t="s">
        <v>398</v>
      </c>
      <c r="M72" s="46">
        <v>1</v>
      </c>
      <c r="N72" s="35"/>
      <c r="P72" s="234"/>
      <c r="T72" s="240" t="s">
        <v>398</v>
      </c>
      <c r="U72" s="38">
        <f>_11・初任</f>
        <v>0.7</v>
      </c>
      <c r="V72" s="95">
        <f>ROUND((ROUND((ROUND((_11_A通院２０．５*_11・基礎２),0)*_11・２人),0)*_11・初任),0)+ROUND((ROUND((ROUND((ROUND((_11_B通院２０．５＿０．５*_11・基礎２),0)*_11・２人),0)*(1+_11・B夜間)),0)*_11・初任),0)</f>
        <v>139</v>
      </c>
      <c r="W72" s="48"/>
    </row>
    <row r="73" spans="1:23" ht="16.5" customHeight="1" x14ac:dyDescent="0.15">
      <c r="A73" s="287">
        <v>11</v>
      </c>
      <c r="B73" s="41">
        <v>7331</v>
      </c>
      <c r="C73" s="74" t="s">
        <v>14002</v>
      </c>
      <c r="D73" s="72"/>
      <c r="F73" s="707" t="s">
        <v>1493</v>
      </c>
      <c r="G73" s="798"/>
      <c r="H73" s="53"/>
      <c r="I73" s="49"/>
      <c r="J73" s="50"/>
      <c r="K73" s="282"/>
      <c r="L73" s="45"/>
      <c r="M73" s="46"/>
      <c r="N73" s="35"/>
      <c r="P73" s="234"/>
      <c r="T73" s="53"/>
      <c r="U73" s="50"/>
      <c r="V73" s="95">
        <f>_11_A通院２０．５+ROUND((_11_B通院２０．５＿１．０*(1+_11・B夜間)),0)</f>
        <v>316</v>
      </c>
      <c r="W73" s="48"/>
    </row>
    <row r="74" spans="1:23" ht="16.5" customHeight="1" x14ac:dyDescent="0.15">
      <c r="A74" s="287">
        <v>11</v>
      </c>
      <c r="B74" s="41">
        <v>7332</v>
      </c>
      <c r="C74" s="74" t="s">
        <v>14003</v>
      </c>
      <c r="D74" s="72"/>
      <c r="F74" s="799"/>
      <c r="G74" s="796"/>
      <c r="H74" s="43"/>
      <c r="I74" s="37"/>
      <c r="J74" s="38"/>
      <c r="K74" s="281" t="s">
        <v>397</v>
      </c>
      <c r="L74" s="218" t="s">
        <v>398</v>
      </c>
      <c r="M74" s="46">
        <v>1</v>
      </c>
      <c r="N74" s="35"/>
      <c r="P74" s="234"/>
      <c r="T74" s="35"/>
      <c r="V74" s="95">
        <f>ROUND((_11_A通院２０．５*_11・２人),0)+ROUND((ROUND((_11_B通院２０．５＿１．０*_11・２人),0)*(1+_11・B夜間)),0)</f>
        <v>316</v>
      </c>
      <c r="W74" s="48"/>
    </row>
    <row r="75" spans="1:23" ht="16.5" customHeight="1" x14ac:dyDescent="0.15">
      <c r="A75" s="287">
        <v>11</v>
      </c>
      <c r="B75" s="41">
        <v>7333</v>
      </c>
      <c r="C75" s="74" t="s">
        <v>14004</v>
      </c>
      <c r="D75" s="72"/>
      <c r="F75" s="799"/>
      <c r="G75" s="796"/>
      <c r="H75" s="755" t="s">
        <v>400</v>
      </c>
      <c r="I75" s="221" t="s">
        <v>398</v>
      </c>
      <c r="J75" s="50">
        <v>0.9</v>
      </c>
      <c r="K75" s="282"/>
      <c r="L75" s="45"/>
      <c r="M75" s="46"/>
      <c r="N75" s="35"/>
      <c r="P75" s="234"/>
      <c r="T75" s="35"/>
      <c r="V75" s="95">
        <f>ROUND((_11_A通院２０．５*_11・基礎２),0)+ROUND((ROUND((_11_B通院２０．５＿１．０*_11・基礎２),0)*(1+_11・B夜間)),0)</f>
        <v>285</v>
      </c>
      <c r="W75" s="48"/>
    </row>
    <row r="76" spans="1:23" ht="16.5" customHeight="1" x14ac:dyDescent="0.15">
      <c r="A76" s="287">
        <v>11</v>
      </c>
      <c r="B76" s="41">
        <v>7334</v>
      </c>
      <c r="C76" s="74" t="s">
        <v>14005</v>
      </c>
      <c r="D76" s="72"/>
      <c r="F76" s="274">
        <f>_11_B通院２０．５＿１．０</f>
        <v>169</v>
      </c>
      <c r="G76" s="254" t="s">
        <v>392</v>
      </c>
      <c r="H76" s="711"/>
      <c r="I76" s="37"/>
      <c r="J76" s="38"/>
      <c r="K76" s="281" t="s">
        <v>397</v>
      </c>
      <c r="L76" s="218" t="s">
        <v>398</v>
      </c>
      <c r="M76" s="46">
        <v>1</v>
      </c>
      <c r="N76" s="35"/>
      <c r="P76" s="234"/>
      <c r="T76" s="43"/>
      <c r="U76" s="38"/>
      <c r="V76" s="95">
        <f>ROUND((ROUND((_11_A通院２０．５*_11・基礎２),0)*_11・２人),0)+ROUND((ROUND((ROUND((_11_B通院２０．５＿１．０*_11・基礎２),0)*_11・２人),0)*(1+_11・B夜間)),0)</f>
        <v>285</v>
      </c>
      <c r="W76" s="48"/>
    </row>
    <row r="77" spans="1:23" ht="16.5" customHeight="1" x14ac:dyDescent="0.15">
      <c r="A77" s="287">
        <v>11</v>
      </c>
      <c r="B77" s="41" t="s">
        <v>14006</v>
      </c>
      <c r="C77" s="74" t="s">
        <v>14007</v>
      </c>
      <c r="D77" s="72"/>
      <c r="F77" s="72"/>
      <c r="H77" s="53"/>
      <c r="I77" s="49"/>
      <c r="J77" s="50"/>
      <c r="K77" s="282"/>
      <c r="L77" s="45"/>
      <c r="M77" s="46"/>
      <c r="N77" s="35"/>
      <c r="P77" s="234"/>
      <c r="T77" s="707" t="s">
        <v>404</v>
      </c>
      <c r="U77" s="708"/>
      <c r="V77" s="95">
        <f>ROUND((_11_A通院２０．５*_11・初任),0)+ROUND((ROUND((_11_B通院２０．５＿１．０*(1+_11・B夜間)),0)*_11・初任),0)</f>
        <v>222</v>
      </c>
      <c r="W77" s="48"/>
    </row>
    <row r="78" spans="1:23" ht="16.5" customHeight="1" x14ac:dyDescent="0.15">
      <c r="A78" s="287">
        <v>11</v>
      </c>
      <c r="B78" s="41" t="s">
        <v>14008</v>
      </c>
      <c r="C78" s="74" t="s">
        <v>14009</v>
      </c>
      <c r="D78" s="72"/>
      <c r="F78" s="72"/>
      <c r="H78" s="43"/>
      <c r="I78" s="37"/>
      <c r="J78" s="38"/>
      <c r="K78" s="281" t="s">
        <v>397</v>
      </c>
      <c r="L78" s="218" t="s">
        <v>398</v>
      </c>
      <c r="M78" s="46">
        <v>1</v>
      </c>
      <c r="N78" s="35"/>
      <c r="P78" s="234"/>
      <c r="T78" s="709"/>
      <c r="U78" s="704"/>
      <c r="V78" s="95">
        <f>ROUND((ROUND((_11_A通院２０．５*_11・２人),0)*_11・初任),0)+ROUND((ROUND((ROUND((_11_B通院２０．５＿１．０*_11・２人),0)*(1+_11・B夜間)),0)*_11・初任),0)</f>
        <v>222</v>
      </c>
      <c r="W78" s="48"/>
    </row>
    <row r="79" spans="1:23" ht="16.5" customHeight="1" x14ac:dyDescent="0.15">
      <c r="A79" s="287">
        <v>11</v>
      </c>
      <c r="B79" s="41" t="s">
        <v>14010</v>
      </c>
      <c r="C79" s="74" t="s">
        <v>14011</v>
      </c>
      <c r="D79" s="72"/>
      <c r="F79" s="72"/>
      <c r="H79" s="755" t="s">
        <v>400</v>
      </c>
      <c r="I79" s="221" t="s">
        <v>398</v>
      </c>
      <c r="J79" s="50">
        <v>0.9</v>
      </c>
      <c r="K79" s="282"/>
      <c r="L79" s="45"/>
      <c r="M79" s="46"/>
      <c r="N79" s="35"/>
      <c r="P79" s="234"/>
      <c r="T79" s="709"/>
      <c r="U79" s="704"/>
      <c r="V79" s="95">
        <f>ROUND((ROUND((_11_A通院２０．５*_11・基礎２),0)*_11・初任),0)+ROUND((ROUND((ROUND((_11_B通院２０．５＿１．０*_11・基礎２),0)*(1+_11・B夜間)),0)*_11・初任),0)</f>
        <v>200</v>
      </c>
      <c r="W79" s="48"/>
    </row>
    <row r="80" spans="1:23" ht="16.5" customHeight="1" x14ac:dyDescent="0.15">
      <c r="A80" s="287">
        <v>11</v>
      </c>
      <c r="B80" s="41" t="s">
        <v>14012</v>
      </c>
      <c r="C80" s="74" t="s">
        <v>14013</v>
      </c>
      <c r="D80" s="72"/>
      <c r="F80" s="72"/>
      <c r="H80" s="711"/>
      <c r="I80" s="37"/>
      <c r="J80" s="38"/>
      <c r="K80" s="281" t="s">
        <v>397</v>
      </c>
      <c r="L80" s="218" t="s">
        <v>398</v>
      </c>
      <c r="M80" s="46">
        <v>1</v>
      </c>
      <c r="N80" s="35"/>
      <c r="P80" s="234"/>
      <c r="T80" s="240" t="s">
        <v>398</v>
      </c>
      <c r="U80" s="38">
        <f>_11・初任</f>
        <v>0.7</v>
      </c>
      <c r="V80" s="95">
        <f>ROUND((ROUND((ROUND((_11_A通院２０．５*_11・基礎２),0)*_11・２人),0)*_11・初任),0)+ROUND((ROUND((ROUND((ROUND((_11_B通院２０．５＿１．０*_11・基礎２),0)*_11・２人),0)*(1+_11・B夜間)),0)*_11・初任),0)</f>
        <v>200</v>
      </c>
      <c r="W80" s="48"/>
    </row>
    <row r="81" spans="1:23" ht="16.5" customHeight="1" x14ac:dyDescent="0.15">
      <c r="A81" s="287">
        <v>11</v>
      </c>
      <c r="B81" s="41">
        <v>7335</v>
      </c>
      <c r="C81" s="74" t="s">
        <v>14014</v>
      </c>
      <c r="D81" s="707" t="s">
        <v>412</v>
      </c>
      <c r="E81" s="798"/>
      <c r="F81" s="707" t="s">
        <v>1415</v>
      </c>
      <c r="G81" s="798"/>
      <c r="H81" s="53"/>
      <c r="I81" s="49"/>
      <c r="J81" s="50"/>
      <c r="K81" s="282"/>
      <c r="L81" s="45"/>
      <c r="M81" s="46"/>
      <c r="N81" s="35"/>
      <c r="P81" s="234"/>
      <c r="T81" s="53"/>
      <c r="U81" s="50"/>
      <c r="V81" s="95">
        <f>_11_A通院２１．０+ROUND((_11_B通院２１．０＿０．５*(1+_11・B夜間)),0)</f>
        <v>294</v>
      </c>
      <c r="W81" s="48"/>
    </row>
    <row r="82" spans="1:23" ht="16.5" customHeight="1" x14ac:dyDescent="0.15">
      <c r="A82" s="287">
        <v>11</v>
      </c>
      <c r="B82" s="41">
        <v>7336</v>
      </c>
      <c r="C82" s="74" t="s">
        <v>14015</v>
      </c>
      <c r="D82" s="799"/>
      <c r="E82" s="796"/>
      <c r="F82" s="799"/>
      <c r="G82" s="796"/>
      <c r="H82" s="43"/>
      <c r="I82" s="37"/>
      <c r="J82" s="38"/>
      <c r="K82" s="281" t="s">
        <v>397</v>
      </c>
      <c r="L82" s="218" t="s">
        <v>398</v>
      </c>
      <c r="M82" s="46">
        <v>1</v>
      </c>
      <c r="N82" s="35"/>
      <c r="P82" s="234"/>
      <c r="T82" s="35"/>
      <c r="V82" s="95">
        <f>ROUND((_11_A通院２１．０*_11・２人),0)+ROUND((ROUND((_11_B通院２１．０＿０．５*_11・２人),0)*(1+_11・B夜間)),0)</f>
        <v>294</v>
      </c>
      <c r="W82" s="48"/>
    </row>
    <row r="83" spans="1:23" ht="16.5" customHeight="1" x14ac:dyDescent="0.15">
      <c r="A83" s="287">
        <v>11</v>
      </c>
      <c r="B83" s="41">
        <v>7337</v>
      </c>
      <c r="C83" s="74" t="s">
        <v>14016</v>
      </c>
      <c r="D83" s="799"/>
      <c r="E83" s="796"/>
      <c r="F83" s="799"/>
      <c r="G83" s="796"/>
      <c r="H83" s="755" t="s">
        <v>400</v>
      </c>
      <c r="I83" s="221" t="s">
        <v>398</v>
      </c>
      <c r="J83" s="50">
        <v>0.9</v>
      </c>
      <c r="K83" s="282"/>
      <c r="L83" s="45"/>
      <c r="M83" s="46"/>
      <c r="N83" s="35"/>
      <c r="P83" s="234"/>
      <c r="T83" s="35"/>
      <c r="V83" s="95">
        <f>ROUND((_11_A通院２１．０*_11・基礎２),0)+ROUND((ROUND((_11_B通院２１．０＿０．５*_11・基礎２),0)*(1+_11・B夜間)),0)</f>
        <v>264</v>
      </c>
      <c r="W83" s="48"/>
    </row>
    <row r="84" spans="1:23" ht="16.5" customHeight="1" x14ac:dyDescent="0.15">
      <c r="A84" s="287">
        <v>11</v>
      </c>
      <c r="B84" s="41">
        <v>7338</v>
      </c>
      <c r="C84" s="74" t="s">
        <v>14017</v>
      </c>
      <c r="D84" s="274">
        <f>_11_A通院２１．０</f>
        <v>196</v>
      </c>
      <c r="E84" s="254" t="s">
        <v>392</v>
      </c>
      <c r="F84" s="274">
        <f>_11_B通院２１．０＿０．５</f>
        <v>78</v>
      </c>
      <c r="G84" s="254" t="s">
        <v>392</v>
      </c>
      <c r="H84" s="711"/>
      <c r="I84" s="37"/>
      <c r="J84" s="38"/>
      <c r="K84" s="281" t="s">
        <v>397</v>
      </c>
      <c r="L84" s="218" t="s">
        <v>398</v>
      </c>
      <c r="M84" s="46">
        <v>1</v>
      </c>
      <c r="N84" s="35"/>
      <c r="P84" s="234"/>
      <c r="T84" s="43"/>
      <c r="U84" s="38"/>
      <c r="V84" s="95">
        <f>ROUND((ROUND((_11_A通院２１．０*_11・基礎２),0)*_11・２人),0)+ROUND((ROUND((ROUND((_11_B通院２１．０＿０．５*_11・基礎２),0)*_11・２人),0)*(1+_11・B夜間)),0)</f>
        <v>264</v>
      </c>
      <c r="W84" s="48"/>
    </row>
    <row r="85" spans="1:23" ht="16.5" customHeight="1" x14ac:dyDescent="0.15">
      <c r="A85" s="287">
        <v>11</v>
      </c>
      <c r="B85" s="41" t="s">
        <v>14018</v>
      </c>
      <c r="C85" s="74" t="s">
        <v>14019</v>
      </c>
      <c r="D85" s="72"/>
      <c r="F85" s="72"/>
      <c r="H85" s="53"/>
      <c r="I85" s="49"/>
      <c r="J85" s="50"/>
      <c r="K85" s="282"/>
      <c r="L85" s="45"/>
      <c r="M85" s="46"/>
      <c r="N85" s="35"/>
      <c r="P85" s="234"/>
      <c r="T85" s="707" t="s">
        <v>404</v>
      </c>
      <c r="U85" s="708"/>
      <c r="V85" s="95">
        <f>ROUND((_11_A通院２１．０*_11・初任),0)+ROUND((ROUND((_11_B通院２１．０＿０．５*(1+_11・B夜間)),0)*_11・初任),0)</f>
        <v>206</v>
      </c>
      <c r="W85" s="48"/>
    </row>
    <row r="86" spans="1:23" ht="16.5" customHeight="1" x14ac:dyDescent="0.15">
      <c r="A86" s="287">
        <v>11</v>
      </c>
      <c r="B86" s="41" t="s">
        <v>14020</v>
      </c>
      <c r="C86" s="74" t="s">
        <v>14021</v>
      </c>
      <c r="D86" s="72"/>
      <c r="F86" s="72"/>
      <c r="H86" s="43"/>
      <c r="I86" s="37"/>
      <c r="J86" s="38"/>
      <c r="K86" s="281" t="s">
        <v>397</v>
      </c>
      <c r="L86" s="218" t="s">
        <v>398</v>
      </c>
      <c r="M86" s="46">
        <v>1</v>
      </c>
      <c r="N86" s="35"/>
      <c r="P86" s="234"/>
      <c r="T86" s="709"/>
      <c r="U86" s="704"/>
      <c r="V86" s="95">
        <f>ROUND((ROUND((_11_A通院２１．０*_11・２人),0)*_11・初任),0)+ROUND((ROUND((ROUND((_11_B通院２１．０＿０．５*_11・２人),0)*(1+_11・B夜間)),0)*_11・初任),0)</f>
        <v>206</v>
      </c>
      <c r="W86" s="48"/>
    </row>
    <row r="87" spans="1:23" ht="16.5" customHeight="1" x14ac:dyDescent="0.15">
      <c r="A87" s="287">
        <v>11</v>
      </c>
      <c r="B87" s="41" t="s">
        <v>14022</v>
      </c>
      <c r="C87" s="74" t="s">
        <v>14023</v>
      </c>
      <c r="D87" s="72"/>
      <c r="F87" s="72"/>
      <c r="H87" s="755" t="s">
        <v>400</v>
      </c>
      <c r="I87" s="221" t="s">
        <v>398</v>
      </c>
      <c r="J87" s="50">
        <v>0.9</v>
      </c>
      <c r="K87" s="282"/>
      <c r="L87" s="45"/>
      <c r="M87" s="46"/>
      <c r="N87" s="35"/>
      <c r="P87" s="234"/>
      <c r="T87" s="709"/>
      <c r="U87" s="704"/>
      <c r="V87" s="95">
        <f>ROUND((ROUND((_11_A通院２１．０*_11・基礎２),0)*_11・初任),0)+ROUND((ROUND((ROUND((_11_B通院２１．０＿０．５*_11・基礎２),0)*(1+_11・B夜間)),0)*_11・初任),0)</f>
        <v>185</v>
      </c>
      <c r="W87" s="48"/>
    </row>
    <row r="88" spans="1:23" ht="16.5" customHeight="1" x14ac:dyDescent="0.15">
      <c r="A88" s="287">
        <v>11</v>
      </c>
      <c r="B88" s="41" t="s">
        <v>14024</v>
      </c>
      <c r="C88" s="74" t="s">
        <v>14025</v>
      </c>
      <c r="D88" s="122"/>
      <c r="E88" s="37"/>
      <c r="F88" s="122"/>
      <c r="G88" s="37"/>
      <c r="H88" s="711"/>
      <c r="I88" s="37"/>
      <c r="J88" s="38"/>
      <c r="K88" s="281" t="s">
        <v>397</v>
      </c>
      <c r="L88" s="218" t="s">
        <v>398</v>
      </c>
      <c r="M88" s="46">
        <v>1</v>
      </c>
      <c r="N88" s="43"/>
      <c r="O88" s="37"/>
      <c r="P88" s="244"/>
      <c r="Q88" s="37"/>
      <c r="R88" s="37"/>
      <c r="S88" s="38"/>
      <c r="T88" s="240" t="s">
        <v>398</v>
      </c>
      <c r="U88" s="38">
        <f>_11・初任</f>
        <v>0.7</v>
      </c>
      <c r="V88" s="95">
        <f>ROUND((ROUND((ROUND((_11_A通院２１．０*_11・基礎２),0)*_11・２人),0)*_11・初任),0)+ROUND((ROUND((ROUND((ROUND((_11_B通院２１．０＿０．５*_11・基礎２),0)*_11・２人),0)*(1+_11・B夜間)),0)*_11・初任),0)</f>
        <v>185</v>
      </c>
      <c r="W88" s="63"/>
    </row>
    <row r="89" spans="1:23" ht="16.5" customHeight="1" x14ac:dyDescent="0.15"/>
    <row r="90" spans="1:23" ht="16.5" customHeight="1" x14ac:dyDescent="0.15"/>
  </sheetData>
  <mergeCells count="46">
    <mergeCell ref="D81:E83"/>
    <mergeCell ref="F81:G83"/>
    <mergeCell ref="H83:H84"/>
    <mergeCell ref="T85:U87"/>
    <mergeCell ref="H87:H88"/>
    <mergeCell ref="T69:U71"/>
    <mergeCell ref="H71:H72"/>
    <mergeCell ref="F73:G75"/>
    <mergeCell ref="H75:H76"/>
    <mergeCell ref="T77:U79"/>
    <mergeCell ref="H79:H80"/>
    <mergeCell ref="D65:E67"/>
    <mergeCell ref="F65:G67"/>
    <mergeCell ref="S66:S67"/>
    <mergeCell ref="H67:H68"/>
    <mergeCell ref="T40:U42"/>
    <mergeCell ref="H42:H43"/>
    <mergeCell ref="F44:G46"/>
    <mergeCell ref="H46:H47"/>
    <mergeCell ref="T48:U50"/>
    <mergeCell ref="H50:H51"/>
    <mergeCell ref="D52:E54"/>
    <mergeCell ref="F52:G54"/>
    <mergeCell ref="H54:H55"/>
    <mergeCell ref="T56:U58"/>
    <mergeCell ref="H58:H59"/>
    <mergeCell ref="T27:U29"/>
    <mergeCell ref="H29:H30"/>
    <mergeCell ref="D36:E38"/>
    <mergeCell ref="F36:G38"/>
    <mergeCell ref="P37:P38"/>
    <mergeCell ref="H38:H39"/>
    <mergeCell ref="F15:G17"/>
    <mergeCell ref="H17:H18"/>
    <mergeCell ref="T19:U21"/>
    <mergeCell ref="H21:H22"/>
    <mergeCell ref="D23:E25"/>
    <mergeCell ref="F23:G25"/>
    <mergeCell ref="H25:H26"/>
    <mergeCell ref="T11:U13"/>
    <mergeCell ref="H13:H14"/>
    <mergeCell ref="D7:E9"/>
    <mergeCell ref="F7:G9"/>
    <mergeCell ref="P8:P9"/>
    <mergeCell ref="S8:S9"/>
    <mergeCell ref="H9:H10"/>
  </mergeCells>
  <phoneticPr fontId="1"/>
  <printOptions horizontalCentered="1"/>
  <pageMargins left="0.70866141732283505" right="0.70866141732283505" top="0.74803149606299202" bottom="0.74803149606299202" header="0.31496062992126" footer="0.31496062992126"/>
  <pageSetup paperSize="9" scale="51" fitToHeight="0" orientation="portrait" r:id="rId1"/>
  <headerFooter>
    <oddHeader>&amp;R&amp;"ＭＳ Ｐゴシック"&amp;9居宅介護</oddHeader>
    <oddFooter>&amp;C&amp;"ＭＳ Ｐゴシック"&amp;14&amp;P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8">
    <pageSetUpPr fitToPage="1"/>
  </sheetPr>
  <dimension ref="A1:Y61"/>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2.5" style="12" customWidth="1"/>
    <col min="5" max="5" width="4.875" style="10" customWidth="1"/>
    <col min="6" max="6" width="4.875" style="12" customWidth="1"/>
    <col min="7" max="7" width="2.5" style="12" customWidth="1"/>
    <col min="8" max="8" width="4.875" style="10" customWidth="1"/>
    <col min="9" max="9" width="4.875" style="12" customWidth="1"/>
    <col min="10" max="10" width="11.5" style="12" customWidth="1"/>
    <col min="11" max="11" width="2.5" style="12" customWidth="1"/>
    <col min="12" max="12" width="4.5" style="13" bestFit="1" customWidth="1"/>
    <col min="13" max="13" width="26" style="12" customWidth="1"/>
    <col min="14" max="14" width="2.5" style="12" customWidth="1"/>
    <col min="15" max="15" width="5.5" style="13" bestFit="1" customWidth="1"/>
    <col min="16" max="16" width="2.5" style="12" customWidth="1"/>
    <col min="17" max="17" width="3.875" style="12" customWidth="1"/>
    <col min="18" max="18" width="4.5" style="13" bestFit="1" customWidth="1"/>
    <col min="19" max="19" width="2.5" style="12" customWidth="1"/>
    <col min="20" max="20" width="3.875" style="12" customWidth="1"/>
    <col min="21" max="21" width="4.5" style="13" bestFit="1" customWidth="1"/>
    <col min="22" max="22" width="9.875" style="12" customWidth="1"/>
    <col min="23" max="23" width="4.5" style="13" bestFit="1" customWidth="1"/>
    <col min="24" max="24" width="7.125" style="15" customWidth="1"/>
    <col min="25" max="25" width="8.5" style="16" customWidth="1"/>
    <col min="26" max="16384" width="8.875" style="12"/>
  </cols>
  <sheetData>
    <row r="1" spans="1:25" ht="17.100000000000001" customHeight="1" x14ac:dyDescent="0.15"/>
    <row r="2" spans="1:25" ht="17.100000000000001" customHeight="1" x14ac:dyDescent="0.15"/>
    <row r="3" spans="1:25" ht="17.100000000000001" customHeight="1" x14ac:dyDescent="0.15"/>
    <row r="4" spans="1:25" ht="17.100000000000001" customHeight="1" x14ac:dyDescent="0.15">
      <c r="B4" s="17" t="s">
        <v>14026</v>
      </c>
      <c r="E4" s="71"/>
    </row>
    <row r="5" spans="1:25" ht="16.5" customHeight="1" x14ac:dyDescent="0.15">
      <c r="A5" s="19" t="s">
        <v>384</v>
      </c>
      <c r="B5" s="20"/>
      <c r="C5" s="21" t="s">
        <v>385</v>
      </c>
      <c r="D5" s="235" t="s">
        <v>386</v>
      </c>
      <c r="E5" s="23"/>
      <c r="F5" s="23"/>
      <c r="G5" s="23"/>
      <c r="H5" s="23"/>
      <c r="I5" s="23"/>
      <c r="J5" s="23"/>
      <c r="K5" s="23"/>
      <c r="L5" s="24"/>
      <c r="M5" s="23"/>
      <c r="N5" s="23"/>
      <c r="O5" s="24"/>
      <c r="P5" s="23"/>
      <c r="Q5" s="23"/>
      <c r="R5" s="24"/>
      <c r="S5" s="23"/>
      <c r="T5" s="23"/>
      <c r="U5" s="24"/>
      <c r="V5" s="23"/>
      <c r="W5" s="24"/>
      <c r="X5" s="25" t="s">
        <v>387</v>
      </c>
      <c r="Y5" s="21" t="s">
        <v>388</v>
      </c>
    </row>
    <row r="6" spans="1:25" ht="16.5" customHeight="1" x14ac:dyDescent="0.15">
      <c r="A6" s="26" t="s">
        <v>389</v>
      </c>
      <c r="B6" s="26" t="s">
        <v>390</v>
      </c>
      <c r="C6" s="27"/>
      <c r="D6" s="726" t="s">
        <v>1032</v>
      </c>
      <c r="E6" s="731"/>
      <c r="F6" s="727"/>
      <c r="G6" s="726" t="s">
        <v>1033</v>
      </c>
      <c r="H6" s="731"/>
      <c r="I6" s="727"/>
      <c r="J6" s="29"/>
      <c r="K6" s="29"/>
      <c r="L6" s="30"/>
      <c r="M6" s="29"/>
      <c r="N6" s="29"/>
      <c r="O6" s="30"/>
      <c r="P6" s="29"/>
      <c r="Q6" s="29"/>
      <c r="R6" s="30"/>
      <c r="S6" s="29"/>
      <c r="T6" s="29"/>
      <c r="U6" s="30"/>
      <c r="V6" s="29"/>
      <c r="W6" s="30"/>
      <c r="X6" s="31" t="s">
        <v>391</v>
      </c>
      <c r="Y6" s="32" t="s">
        <v>392</v>
      </c>
    </row>
    <row r="7" spans="1:25" ht="16.5" customHeight="1" x14ac:dyDescent="0.15">
      <c r="A7" s="33">
        <v>11</v>
      </c>
      <c r="B7" s="33">
        <v>7339</v>
      </c>
      <c r="C7" s="34" t="s">
        <v>14027</v>
      </c>
      <c r="D7" s="736" t="s">
        <v>5541</v>
      </c>
      <c r="E7" s="704"/>
      <c r="F7" s="718"/>
      <c r="G7" s="709" t="s">
        <v>3780</v>
      </c>
      <c r="H7" s="704"/>
      <c r="I7" s="718"/>
      <c r="J7" s="35"/>
      <c r="M7" s="43"/>
      <c r="N7" s="37"/>
      <c r="O7" s="38"/>
      <c r="P7" s="72" t="s">
        <v>1416</v>
      </c>
      <c r="Q7" s="71"/>
      <c r="R7" s="234"/>
      <c r="S7" s="72" t="s">
        <v>1618</v>
      </c>
      <c r="U7" s="234"/>
      <c r="V7" s="35"/>
      <c r="X7" s="39">
        <f>ROUND((_11_A通院２０．５*(1+_11・A夜間)),0)+ROUND((_11_B通院２０．５＿０．５*(1+_11・B深夜)),0)</f>
        <v>268</v>
      </c>
      <c r="Y7" s="40" t="s">
        <v>395</v>
      </c>
    </row>
    <row r="8" spans="1:25" ht="16.5" customHeight="1" x14ac:dyDescent="0.15">
      <c r="A8" s="41">
        <v>11</v>
      </c>
      <c r="B8" s="41">
        <v>7340</v>
      </c>
      <c r="C8" s="74" t="s">
        <v>14028</v>
      </c>
      <c r="D8" s="736"/>
      <c r="E8" s="704"/>
      <c r="F8" s="718"/>
      <c r="G8" s="709"/>
      <c r="H8" s="704"/>
      <c r="I8" s="718"/>
      <c r="J8" s="43"/>
      <c r="K8" s="37"/>
      <c r="L8" s="38"/>
      <c r="M8" s="281" t="s">
        <v>397</v>
      </c>
      <c r="N8" s="218" t="s">
        <v>398</v>
      </c>
      <c r="O8" s="46">
        <v>1</v>
      </c>
      <c r="P8" s="258" t="s">
        <v>398</v>
      </c>
      <c r="Q8" s="13">
        <v>0.25</v>
      </c>
      <c r="R8" s="718" t="s">
        <v>676</v>
      </c>
      <c r="S8" s="258" t="s">
        <v>398</v>
      </c>
      <c r="T8" s="13">
        <v>0.5</v>
      </c>
      <c r="U8" s="718" t="s">
        <v>676</v>
      </c>
      <c r="V8" s="35"/>
      <c r="X8" s="47">
        <f>ROUND((ROUND((_11_A通院２０．５*_11・２人),0)*(1+_11・A夜間)),0)+ROUND((ROUND((_11_B通院２０．５＿０．５*_11・２人),0)*(1+_11・B深夜)),0)</f>
        <v>268</v>
      </c>
      <c r="Y8" s="48"/>
    </row>
    <row r="9" spans="1:25" ht="16.5" customHeight="1" x14ac:dyDescent="0.15">
      <c r="A9" s="41">
        <v>11</v>
      </c>
      <c r="B9" s="41">
        <v>7341</v>
      </c>
      <c r="C9" s="74" t="s">
        <v>14029</v>
      </c>
      <c r="D9" s="736"/>
      <c r="E9" s="704"/>
      <c r="F9" s="718"/>
      <c r="G9" s="709"/>
      <c r="H9" s="704"/>
      <c r="I9" s="718"/>
      <c r="J9" s="752" t="s">
        <v>400</v>
      </c>
      <c r="K9" s="221" t="s">
        <v>398</v>
      </c>
      <c r="L9" s="251">
        <v>0.9</v>
      </c>
      <c r="M9" s="163"/>
      <c r="N9" s="45"/>
      <c r="O9" s="46"/>
      <c r="P9" s="35"/>
      <c r="R9" s="796"/>
      <c r="S9" s="35"/>
      <c r="U9" s="796"/>
      <c r="V9" s="35"/>
      <c r="X9" s="47">
        <f>ROUND((ROUND((_11_A通院２０．５*_11・基礎２),0)*(1+_11・A夜間)),0)+ROUND((ROUND((_11_B通院２０．５＿０．５*_11・基礎２),0)*(1+_11・B深夜)),0)</f>
        <v>242</v>
      </c>
      <c r="Y9" s="48"/>
    </row>
    <row r="10" spans="1:25" ht="16.5" customHeight="1" x14ac:dyDescent="0.15">
      <c r="A10" s="41">
        <v>11</v>
      </c>
      <c r="B10" s="41">
        <v>7342</v>
      </c>
      <c r="C10" s="74" t="s">
        <v>14030</v>
      </c>
      <c r="D10" s="72"/>
      <c r="E10" s="288">
        <f>_11_A通院２０．５</f>
        <v>105</v>
      </c>
      <c r="F10" s="10" t="s">
        <v>392</v>
      </c>
      <c r="G10" s="72"/>
      <c r="H10" s="288">
        <f>_11_B通院２０．５＿０．５</f>
        <v>91</v>
      </c>
      <c r="I10" s="10" t="s">
        <v>392</v>
      </c>
      <c r="J10" s="711"/>
      <c r="K10" s="37"/>
      <c r="L10" s="244"/>
      <c r="M10" s="281" t="s">
        <v>397</v>
      </c>
      <c r="N10" s="218" t="s">
        <v>398</v>
      </c>
      <c r="O10" s="46">
        <v>1</v>
      </c>
      <c r="P10" s="35"/>
      <c r="S10" s="35"/>
      <c r="V10" s="35"/>
      <c r="X10" s="47">
        <f>ROUND((ROUND((ROUND((_11_A通院２０．５*_11・基礎２),0)*_11・２人),0)*(1+_11・A夜間)),0)+ROUND((ROUND((ROUND((_11_B通院２０．５＿０．５*_11・基礎２),0)*_11・２人),0)*(1+_11・B深夜)),0)</f>
        <v>242</v>
      </c>
      <c r="Y10" s="48"/>
    </row>
    <row r="11" spans="1:25" ht="16.5" customHeight="1" x14ac:dyDescent="0.15">
      <c r="A11" s="41">
        <v>11</v>
      </c>
      <c r="B11" s="41" t="s">
        <v>14031</v>
      </c>
      <c r="C11" s="74" t="s">
        <v>14032</v>
      </c>
      <c r="D11" s="35"/>
      <c r="G11" s="35"/>
      <c r="J11" s="53"/>
      <c r="K11" s="49"/>
      <c r="L11" s="50"/>
      <c r="M11" s="163"/>
      <c r="N11" s="45"/>
      <c r="O11" s="46"/>
      <c r="P11" s="35"/>
      <c r="S11" s="35"/>
      <c r="V11" s="707" t="s">
        <v>404</v>
      </c>
      <c r="W11" s="708"/>
      <c r="X11" s="47">
        <f>ROUND((ROUND((_11_A通院２０．５*(1+_11・A夜間)),0)*_11・初任),0)+ROUND((ROUND((_11_B通院２０．５＿０．５*(1+_11・B深夜)),0)*_11・初任),0)</f>
        <v>188</v>
      </c>
      <c r="Y11" s="48"/>
    </row>
    <row r="12" spans="1:25" ht="16.5" customHeight="1" x14ac:dyDescent="0.15">
      <c r="A12" s="41">
        <v>11</v>
      </c>
      <c r="B12" s="41" t="s">
        <v>14033</v>
      </c>
      <c r="C12" s="74" t="s">
        <v>14034</v>
      </c>
      <c r="D12" s="35"/>
      <c r="G12" s="35"/>
      <c r="J12" s="43"/>
      <c r="K12" s="37"/>
      <c r="L12" s="38"/>
      <c r="M12" s="281" t="s">
        <v>397</v>
      </c>
      <c r="N12" s="218" t="s">
        <v>398</v>
      </c>
      <c r="O12" s="46">
        <v>1</v>
      </c>
      <c r="P12" s="35"/>
      <c r="S12" s="35"/>
      <c r="V12" s="709"/>
      <c r="W12" s="704"/>
      <c r="X12" s="47">
        <f>ROUND((ROUND((ROUND((_11_A通院２０．５*_11・２人),0)*(1+_11・A夜間)),0)*_11・初任),0)+ROUND((ROUND((ROUND((_11_B通院２０．５＿０．５*_11・２人),0)*(1+_11・B深夜)),0)*_11・初任),0)</f>
        <v>188</v>
      </c>
      <c r="Y12" s="48"/>
    </row>
    <row r="13" spans="1:25" ht="16.5" customHeight="1" x14ac:dyDescent="0.15">
      <c r="A13" s="41">
        <v>11</v>
      </c>
      <c r="B13" s="41" t="s">
        <v>14035</v>
      </c>
      <c r="C13" s="74" t="s">
        <v>14036</v>
      </c>
      <c r="D13" s="35"/>
      <c r="G13" s="35"/>
      <c r="J13" s="755" t="s">
        <v>400</v>
      </c>
      <c r="K13" s="221" t="s">
        <v>398</v>
      </c>
      <c r="L13" s="251">
        <v>0.9</v>
      </c>
      <c r="M13" s="163"/>
      <c r="N13" s="45"/>
      <c r="O13" s="46"/>
      <c r="P13" s="35"/>
      <c r="S13" s="35"/>
      <c r="V13" s="709"/>
      <c r="W13" s="704"/>
      <c r="X13" s="47">
        <f>ROUND((ROUND((ROUND((_11_A通院２０．５*_11・基礎２),0)*(1+_11・A夜間)),0)*_11・初任),0)+ROUND((ROUND((ROUND((_11_B通院２０．５＿０．５*_11・基礎２),0)*(1+_11・B深夜)),0)*_11・初任),0)</f>
        <v>169</v>
      </c>
      <c r="Y13" s="48"/>
    </row>
    <row r="14" spans="1:25" ht="16.5" customHeight="1" x14ac:dyDescent="0.15">
      <c r="A14" s="41">
        <v>11</v>
      </c>
      <c r="B14" s="41" t="s">
        <v>14037</v>
      </c>
      <c r="C14" s="74" t="s">
        <v>14038</v>
      </c>
      <c r="D14" s="35"/>
      <c r="G14" s="35"/>
      <c r="J14" s="711"/>
      <c r="K14" s="37"/>
      <c r="L14" s="244"/>
      <c r="M14" s="281" t="s">
        <v>397</v>
      </c>
      <c r="N14" s="218" t="s">
        <v>398</v>
      </c>
      <c r="O14" s="46">
        <v>1</v>
      </c>
      <c r="P14" s="35"/>
      <c r="S14" s="35"/>
      <c r="V14" s="240" t="s">
        <v>398</v>
      </c>
      <c r="W14" s="38">
        <f>_11・初任</f>
        <v>0.7</v>
      </c>
      <c r="X14" s="47">
        <f>ROUND((ROUND((ROUND((ROUND((_11_A通院２０．５*_11・基礎２),0)*_11・２人),0)*(1+_11・A夜間)),0)*_11・初任),0)+ROUND((ROUND((ROUND((ROUND((_11_B通院２０．５＿０．５*_11・基礎２),0)*_11・２人),0)*(1+_11・B深夜)),0)*_11・初任),0)</f>
        <v>169</v>
      </c>
      <c r="Y14" s="48"/>
    </row>
    <row r="15" spans="1:25" ht="16.5" customHeight="1" x14ac:dyDescent="0.15">
      <c r="A15" s="41">
        <v>11</v>
      </c>
      <c r="B15" s="41">
        <v>7343</v>
      </c>
      <c r="C15" s="74" t="s">
        <v>14039</v>
      </c>
      <c r="D15" s="35"/>
      <c r="G15" s="735" t="s">
        <v>3787</v>
      </c>
      <c r="H15" s="708"/>
      <c r="I15" s="717"/>
      <c r="J15" s="53"/>
      <c r="K15" s="49"/>
      <c r="L15" s="50"/>
      <c r="M15" s="163"/>
      <c r="N15" s="45"/>
      <c r="O15" s="46"/>
      <c r="P15" s="35"/>
      <c r="S15" s="35"/>
      <c r="V15" s="53"/>
      <c r="W15" s="50"/>
      <c r="X15" s="47">
        <f>ROUND((_11_A通院２０．５*(1+_11・A夜間)),0)+ROUND((_11_B通院２０．５＿１．０*(1+_11・B深夜)),0)</f>
        <v>385</v>
      </c>
      <c r="Y15" s="48"/>
    </row>
    <row r="16" spans="1:25" ht="16.5" customHeight="1" x14ac:dyDescent="0.15">
      <c r="A16" s="41">
        <v>11</v>
      </c>
      <c r="B16" s="41">
        <v>7344</v>
      </c>
      <c r="C16" s="74" t="s">
        <v>14040</v>
      </c>
      <c r="D16" s="35"/>
      <c r="G16" s="736"/>
      <c r="H16" s="704"/>
      <c r="I16" s="718"/>
      <c r="J16" s="43"/>
      <c r="K16" s="37"/>
      <c r="L16" s="38"/>
      <c r="M16" s="281" t="s">
        <v>397</v>
      </c>
      <c r="N16" s="218" t="s">
        <v>398</v>
      </c>
      <c r="O16" s="46">
        <v>1</v>
      </c>
      <c r="P16" s="35"/>
      <c r="S16" s="35"/>
      <c r="V16" s="35"/>
      <c r="X16" s="47">
        <f>ROUND((ROUND((_11_A通院２０．５*_11・２人),0)*(1+_11・A夜間)),0)+ROUND((ROUND((_11_B通院２０．５＿１．０*_11・２人),0)*(1+_11・B深夜)),0)</f>
        <v>385</v>
      </c>
      <c r="Y16" s="48"/>
    </row>
    <row r="17" spans="1:25" ht="16.5" customHeight="1" x14ac:dyDescent="0.15">
      <c r="A17" s="41">
        <v>11</v>
      </c>
      <c r="B17" s="41">
        <v>7345</v>
      </c>
      <c r="C17" s="74" t="s">
        <v>14041</v>
      </c>
      <c r="D17" s="35"/>
      <c r="G17" s="736"/>
      <c r="H17" s="704"/>
      <c r="I17" s="718"/>
      <c r="J17" s="755" t="s">
        <v>400</v>
      </c>
      <c r="K17" s="221" t="s">
        <v>398</v>
      </c>
      <c r="L17" s="251">
        <v>0.9</v>
      </c>
      <c r="M17" s="163"/>
      <c r="N17" s="45"/>
      <c r="O17" s="46"/>
      <c r="P17" s="35"/>
      <c r="S17" s="35"/>
      <c r="V17" s="35"/>
      <c r="X17" s="47">
        <f>ROUND((ROUND((_11_A通院２０．５*_11・基礎２),0)*(1+_11・A夜間)),0)+ROUND((ROUND((_11_B通院２０．５＿１．０*_11・基礎２),0)*(1+_11・B深夜)),0)</f>
        <v>347</v>
      </c>
      <c r="Y17" s="48"/>
    </row>
    <row r="18" spans="1:25" ht="16.5" customHeight="1" x14ac:dyDescent="0.15">
      <c r="A18" s="41">
        <v>11</v>
      </c>
      <c r="B18" s="41">
        <v>7346</v>
      </c>
      <c r="C18" s="74" t="s">
        <v>14042</v>
      </c>
      <c r="D18" s="35"/>
      <c r="G18" s="35"/>
      <c r="H18" s="288">
        <f>_11_B通院２０．５＿１．０</f>
        <v>169</v>
      </c>
      <c r="I18" s="254" t="s">
        <v>392</v>
      </c>
      <c r="J18" s="711"/>
      <c r="K18" s="37"/>
      <c r="L18" s="244"/>
      <c r="M18" s="281" t="s">
        <v>397</v>
      </c>
      <c r="N18" s="218" t="s">
        <v>398</v>
      </c>
      <c r="O18" s="46">
        <v>1</v>
      </c>
      <c r="P18" s="35"/>
      <c r="S18" s="35"/>
      <c r="V18" s="35"/>
      <c r="X18" s="47">
        <f>ROUND((ROUND((ROUND((_11_A通院２０．５*_11・基礎２),0)*_11・２人),0)*(1+_11・A夜間)),0)+ROUND((ROUND((ROUND((_11_B通院２０．５＿１．０*_11・基礎２),0)*_11・２人),0)*(1+_11・B深夜)),0)</f>
        <v>347</v>
      </c>
      <c r="Y18" s="48"/>
    </row>
    <row r="19" spans="1:25" ht="16.5" customHeight="1" x14ac:dyDescent="0.15">
      <c r="A19" s="41">
        <v>11</v>
      </c>
      <c r="B19" s="41" t="s">
        <v>14043</v>
      </c>
      <c r="C19" s="74" t="s">
        <v>14044</v>
      </c>
      <c r="D19" s="35"/>
      <c r="G19" s="35"/>
      <c r="J19" s="53"/>
      <c r="K19" s="49"/>
      <c r="L19" s="50"/>
      <c r="M19" s="163"/>
      <c r="N19" s="45"/>
      <c r="O19" s="46"/>
      <c r="P19" s="35"/>
      <c r="S19" s="35"/>
      <c r="V19" s="707" t="s">
        <v>404</v>
      </c>
      <c r="W19" s="708"/>
      <c r="X19" s="47">
        <f>ROUND((ROUND((_11_A通院２０．５*(1+_11・A夜間)),0)*_11・初任),0)+ROUND((ROUND((_11_B通院２０．５＿１．０*(1+_11・B深夜)),0)*_11・初任),0)</f>
        <v>270</v>
      </c>
      <c r="Y19" s="48"/>
    </row>
    <row r="20" spans="1:25" ht="16.5" customHeight="1" x14ac:dyDescent="0.15">
      <c r="A20" s="41">
        <v>11</v>
      </c>
      <c r="B20" s="41" t="s">
        <v>14045</v>
      </c>
      <c r="C20" s="74" t="s">
        <v>14046</v>
      </c>
      <c r="D20" s="35"/>
      <c r="G20" s="35"/>
      <c r="J20" s="43"/>
      <c r="K20" s="37"/>
      <c r="L20" s="38"/>
      <c r="M20" s="281" t="s">
        <v>397</v>
      </c>
      <c r="N20" s="218" t="s">
        <v>398</v>
      </c>
      <c r="O20" s="46">
        <v>1</v>
      </c>
      <c r="P20" s="35"/>
      <c r="S20" s="35"/>
      <c r="V20" s="709"/>
      <c r="W20" s="704"/>
      <c r="X20" s="47">
        <f>ROUND((ROUND((ROUND((_11_A通院２０．５*_11・２人),0)*(1+_11・A夜間)),0)*_11・初任),0)+ROUND((ROUND((ROUND((_11_B通院２０．５＿１．０*_11・２人),0)*(1+_11・B深夜)),0)*_11・初任),0)</f>
        <v>270</v>
      </c>
      <c r="Y20" s="48"/>
    </row>
    <row r="21" spans="1:25" ht="16.5" customHeight="1" x14ac:dyDescent="0.15">
      <c r="A21" s="41">
        <v>11</v>
      </c>
      <c r="B21" s="41" t="s">
        <v>14047</v>
      </c>
      <c r="C21" s="74" t="s">
        <v>14048</v>
      </c>
      <c r="D21" s="35"/>
      <c r="G21" s="35"/>
      <c r="J21" s="755" t="s">
        <v>400</v>
      </c>
      <c r="K21" s="221" t="s">
        <v>398</v>
      </c>
      <c r="L21" s="251">
        <v>0.9</v>
      </c>
      <c r="M21" s="163"/>
      <c r="N21" s="45"/>
      <c r="O21" s="46"/>
      <c r="P21" s="35"/>
      <c r="S21" s="35"/>
      <c r="V21" s="709"/>
      <c r="W21" s="704"/>
      <c r="X21" s="47">
        <f>ROUND((ROUND((ROUND((_11_A通院２０．５*_11・基礎２),0)*(1+_11・A夜間)),0)*_11・初任),0)+ROUND((ROUND((ROUND((_11_B通院２０．５＿１．０*_11・基礎２),0)*(1+_11・B深夜)),0)*_11・初任),0)</f>
        <v>243</v>
      </c>
      <c r="Y21" s="48"/>
    </row>
    <row r="22" spans="1:25" ht="16.5" customHeight="1" x14ac:dyDescent="0.15">
      <c r="A22" s="41">
        <v>11</v>
      </c>
      <c r="B22" s="41" t="s">
        <v>14049</v>
      </c>
      <c r="C22" s="74" t="s">
        <v>14050</v>
      </c>
      <c r="D22" s="35"/>
      <c r="G22" s="35"/>
      <c r="J22" s="711"/>
      <c r="K22" s="37"/>
      <c r="L22" s="244"/>
      <c r="M22" s="281" t="s">
        <v>397</v>
      </c>
      <c r="N22" s="218" t="s">
        <v>398</v>
      </c>
      <c r="O22" s="46">
        <v>1</v>
      </c>
      <c r="P22" s="35"/>
      <c r="S22" s="35"/>
      <c r="V22" s="240" t="s">
        <v>398</v>
      </c>
      <c r="W22" s="38">
        <f>_11・初任</f>
        <v>0.7</v>
      </c>
      <c r="X22" s="47">
        <f>ROUND((ROUND((ROUND((ROUND((_11_A通院２０．５*_11・基礎２),0)*_11・２人),0)*(1+_11・A夜間)),0)*_11・初任),0)+ROUND((ROUND((ROUND((ROUND((_11_B通院２０．５＿１．０*_11・基礎２),0)*_11・２人),0)*(1+_11・B深夜)),0)*_11・初任),0)</f>
        <v>243</v>
      </c>
      <c r="Y22" s="48"/>
    </row>
    <row r="23" spans="1:25" ht="16.5" customHeight="1" x14ac:dyDescent="0.15">
      <c r="A23" s="41">
        <v>11</v>
      </c>
      <c r="B23" s="41">
        <v>7347</v>
      </c>
      <c r="C23" s="74" t="s">
        <v>14051</v>
      </c>
      <c r="D23" s="707" t="s">
        <v>5603</v>
      </c>
      <c r="E23" s="708"/>
      <c r="F23" s="717"/>
      <c r="G23" s="707" t="s">
        <v>3780</v>
      </c>
      <c r="H23" s="708"/>
      <c r="I23" s="717"/>
      <c r="J23" s="53"/>
      <c r="K23" s="49"/>
      <c r="L23" s="50"/>
      <c r="M23" s="163"/>
      <c r="N23" s="45"/>
      <c r="O23" s="46"/>
      <c r="P23" s="35"/>
      <c r="S23" s="35"/>
      <c r="V23" s="53"/>
      <c r="W23" s="50"/>
      <c r="X23" s="47">
        <f>ROUND((_11_A通院２１．０*(1+_11・A夜間)),0)+ROUND((_11_B通院２１．０＿０．５*(1+_11・B深夜)),0)</f>
        <v>362</v>
      </c>
      <c r="Y23" s="48"/>
    </row>
    <row r="24" spans="1:25" ht="16.5" customHeight="1" x14ac:dyDescent="0.15">
      <c r="A24" s="41">
        <v>11</v>
      </c>
      <c r="B24" s="41">
        <v>7348</v>
      </c>
      <c r="C24" s="74" t="s">
        <v>14052</v>
      </c>
      <c r="D24" s="709"/>
      <c r="E24" s="704"/>
      <c r="F24" s="718"/>
      <c r="G24" s="709"/>
      <c r="H24" s="704"/>
      <c r="I24" s="718"/>
      <c r="J24" s="43"/>
      <c r="K24" s="37"/>
      <c r="L24" s="38"/>
      <c r="M24" s="281" t="s">
        <v>397</v>
      </c>
      <c r="N24" s="218" t="s">
        <v>398</v>
      </c>
      <c r="O24" s="46">
        <v>1</v>
      </c>
      <c r="P24" s="35"/>
      <c r="S24" s="35"/>
      <c r="V24" s="35"/>
      <c r="X24" s="47">
        <f>ROUND((ROUND((_11_A通院２１．０*_11・２人),0)*(1+_11・A夜間)),0)+ROUND((ROUND((_11_B通院２１．０＿０．５*_11・２人),0)*(1+_11・B深夜)),0)</f>
        <v>362</v>
      </c>
      <c r="Y24" s="48"/>
    </row>
    <row r="25" spans="1:25" ht="16.5" customHeight="1" x14ac:dyDescent="0.15">
      <c r="A25" s="41">
        <v>11</v>
      </c>
      <c r="B25" s="41">
        <v>7349</v>
      </c>
      <c r="C25" s="74" t="s">
        <v>14053</v>
      </c>
      <c r="D25" s="709"/>
      <c r="E25" s="704"/>
      <c r="F25" s="718"/>
      <c r="G25" s="709"/>
      <c r="H25" s="704"/>
      <c r="I25" s="718"/>
      <c r="J25" s="755" t="s">
        <v>400</v>
      </c>
      <c r="K25" s="221" t="s">
        <v>398</v>
      </c>
      <c r="L25" s="251">
        <v>0.9</v>
      </c>
      <c r="M25" s="163"/>
      <c r="N25" s="45"/>
      <c r="O25" s="46"/>
      <c r="P25" s="35"/>
      <c r="S25" s="35"/>
      <c r="V25" s="35"/>
      <c r="X25" s="47">
        <f>ROUND((ROUND((_11_A通院２１．０*_11・基礎２),0)*(1+_11・A夜間)),0)+ROUND((ROUND((_11_B通院２１．０＿０．５*_11・基礎２),0)*(1+_11・B深夜)),0)</f>
        <v>325</v>
      </c>
      <c r="Y25" s="48"/>
    </row>
    <row r="26" spans="1:25" ht="16.5" customHeight="1" x14ac:dyDescent="0.15">
      <c r="A26" s="41">
        <v>11</v>
      </c>
      <c r="B26" s="41">
        <v>7350</v>
      </c>
      <c r="C26" s="74" t="s">
        <v>14054</v>
      </c>
      <c r="D26" s="92"/>
      <c r="E26" s="288">
        <f>_11_A通院２１．０</f>
        <v>196</v>
      </c>
      <c r="F26" s="254" t="s">
        <v>392</v>
      </c>
      <c r="G26" s="92"/>
      <c r="H26" s="288">
        <f>_11_B通院２１．０＿０．５</f>
        <v>78</v>
      </c>
      <c r="I26" s="254" t="s">
        <v>392</v>
      </c>
      <c r="J26" s="711"/>
      <c r="K26" s="37"/>
      <c r="L26" s="244"/>
      <c r="M26" s="281" t="s">
        <v>397</v>
      </c>
      <c r="N26" s="218" t="s">
        <v>398</v>
      </c>
      <c r="O26" s="46">
        <v>1</v>
      </c>
      <c r="P26" s="35"/>
      <c r="S26" s="35"/>
      <c r="V26" s="35"/>
      <c r="X26" s="47">
        <f>ROUND((ROUND((ROUND((_11_A通院２１．０*_11・基礎２),0)*_11・２人),0)*(1+_11・A夜間)),0)+ROUND((ROUND((ROUND((_11_B通院２１．０＿０．５*_11・基礎２),0)*_11・２人),0)*(1+_11・B深夜)),0)</f>
        <v>325</v>
      </c>
      <c r="Y26" s="48"/>
    </row>
    <row r="27" spans="1:25" ht="16.5" customHeight="1" x14ac:dyDescent="0.15">
      <c r="A27" s="41">
        <v>11</v>
      </c>
      <c r="B27" s="41" t="s">
        <v>14055</v>
      </c>
      <c r="C27" s="74" t="s">
        <v>14056</v>
      </c>
      <c r="D27" s="35"/>
      <c r="G27" s="35"/>
      <c r="J27" s="53"/>
      <c r="K27" s="49"/>
      <c r="L27" s="50"/>
      <c r="M27" s="163"/>
      <c r="N27" s="45"/>
      <c r="O27" s="46"/>
      <c r="P27" s="35"/>
      <c r="S27" s="35"/>
      <c r="V27" s="707" t="s">
        <v>404</v>
      </c>
      <c r="W27" s="708"/>
      <c r="X27" s="47">
        <f>ROUND((ROUND((_11_A通院２１．０*(1+_11・A夜間)),0)*_11・初任),0)+ROUND((ROUND((_11_B通院２１．０＿０．５*(1+_11・B深夜)),0)*_11・初任),0)</f>
        <v>254</v>
      </c>
      <c r="Y27" s="48"/>
    </row>
    <row r="28" spans="1:25" ht="16.5" customHeight="1" x14ac:dyDescent="0.15">
      <c r="A28" s="41">
        <v>11</v>
      </c>
      <c r="B28" s="41" t="s">
        <v>14057</v>
      </c>
      <c r="C28" s="74" t="s">
        <v>14058</v>
      </c>
      <c r="D28" s="35"/>
      <c r="G28" s="35"/>
      <c r="J28" s="43"/>
      <c r="K28" s="37"/>
      <c r="L28" s="38"/>
      <c r="M28" s="281" t="s">
        <v>397</v>
      </c>
      <c r="N28" s="218" t="s">
        <v>398</v>
      </c>
      <c r="O28" s="46">
        <v>1</v>
      </c>
      <c r="P28" s="35"/>
      <c r="S28" s="35"/>
      <c r="V28" s="709"/>
      <c r="W28" s="704"/>
      <c r="X28" s="47">
        <f>ROUND((ROUND((ROUND((_11_A通院２１．０*_11・２人),0)*(1+_11・A夜間)),0)*_11・初任),0)+ROUND((ROUND((ROUND((_11_B通院２１．０＿０．５*_11・２人),0)*(1+_11・B深夜)),0)*_11・初任),0)</f>
        <v>254</v>
      </c>
      <c r="Y28" s="48"/>
    </row>
    <row r="29" spans="1:25" ht="16.5" customHeight="1" x14ac:dyDescent="0.15">
      <c r="A29" s="41">
        <v>11</v>
      </c>
      <c r="B29" s="41" t="s">
        <v>14059</v>
      </c>
      <c r="C29" s="74" t="s">
        <v>14060</v>
      </c>
      <c r="D29" s="35"/>
      <c r="G29" s="35"/>
      <c r="J29" s="755" t="s">
        <v>400</v>
      </c>
      <c r="K29" s="221" t="s">
        <v>398</v>
      </c>
      <c r="L29" s="251">
        <v>0.9</v>
      </c>
      <c r="M29" s="163"/>
      <c r="N29" s="45"/>
      <c r="O29" s="46"/>
      <c r="P29" s="35"/>
      <c r="S29" s="35"/>
      <c r="V29" s="709"/>
      <c r="W29" s="704"/>
      <c r="X29" s="47">
        <f>ROUND((ROUND((ROUND((_11_A通院２１．０*_11・基礎２),0)*(1+_11・A夜間)),0)*_11・初任),0)+ROUND((ROUND((ROUND((_11_B通院２１．０＿０．５*_11・基礎２),0)*(1+_11・B深夜)),0)*_11・初任),0)</f>
        <v>228</v>
      </c>
      <c r="Y29" s="48"/>
    </row>
    <row r="30" spans="1:25" ht="16.5" customHeight="1" x14ac:dyDescent="0.15">
      <c r="A30" s="41">
        <v>11</v>
      </c>
      <c r="B30" s="41" t="s">
        <v>14061</v>
      </c>
      <c r="C30" s="74" t="s">
        <v>14062</v>
      </c>
      <c r="D30" s="43"/>
      <c r="E30" s="190"/>
      <c r="F30" s="37"/>
      <c r="G30" s="43"/>
      <c r="H30" s="190"/>
      <c r="I30" s="37"/>
      <c r="J30" s="711"/>
      <c r="K30" s="37"/>
      <c r="L30" s="244"/>
      <c r="M30" s="281" t="s">
        <v>397</v>
      </c>
      <c r="N30" s="218" t="s">
        <v>398</v>
      </c>
      <c r="O30" s="46">
        <v>1</v>
      </c>
      <c r="P30" s="43"/>
      <c r="Q30" s="37"/>
      <c r="R30" s="38"/>
      <c r="S30" s="43"/>
      <c r="T30" s="37"/>
      <c r="U30" s="38"/>
      <c r="V30" s="240" t="s">
        <v>398</v>
      </c>
      <c r="W30" s="38">
        <f>_11・初任</f>
        <v>0.7</v>
      </c>
      <c r="X30" s="47">
        <f>ROUND((ROUND((ROUND((ROUND((_11_A通院２１．０*_11・基礎２),0)*_11・２人),0)*(1+_11・A夜間)),0)*_11・初任),0)+ROUND((ROUND((ROUND((ROUND((_11_B通院２１．０＿０．５*_11・基礎２),0)*_11・２人),0)*(1+_11・B深夜)),0)*_11・初任),0)</f>
        <v>228</v>
      </c>
      <c r="Y30" s="63"/>
    </row>
    <row r="31" spans="1:25" ht="16.5" customHeight="1" x14ac:dyDescent="0.15">
      <c r="A31" s="80"/>
      <c r="B31" s="80"/>
      <c r="C31" s="81"/>
      <c r="M31" s="82"/>
      <c r="X31" s="84"/>
      <c r="Y31" s="85"/>
    </row>
    <row r="32" spans="1:25" ht="16.5" customHeight="1" x14ac:dyDescent="0.15">
      <c r="A32" s="80"/>
      <c r="B32" s="80"/>
      <c r="C32" s="81"/>
      <c r="M32" s="82"/>
      <c r="X32" s="84"/>
      <c r="Y32" s="85"/>
    </row>
    <row r="33" spans="1:25" ht="16.5" customHeight="1" x14ac:dyDescent="0.15">
      <c r="A33" s="80"/>
      <c r="B33" s="86" t="s">
        <v>14063</v>
      </c>
      <c r="C33" s="81"/>
      <c r="E33" s="71"/>
      <c r="M33" s="82"/>
      <c r="X33" s="84"/>
      <c r="Y33" s="85"/>
    </row>
    <row r="34" spans="1:25" ht="16.5" customHeight="1" x14ac:dyDescent="0.15">
      <c r="A34" s="87" t="s">
        <v>384</v>
      </c>
      <c r="B34" s="20"/>
      <c r="C34" s="88" t="s">
        <v>385</v>
      </c>
      <c r="D34" s="235"/>
      <c r="E34" s="23" t="s">
        <v>386</v>
      </c>
      <c r="F34" s="23"/>
      <c r="G34" s="23"/>
      <c r="H34" s="23"/>
      <c r="I34" s="23"/>
      <c r="J34" s="23"/>
      <c r="K34" s="23"/>
      <c r="L34" s="24"/>
      <c r="M34" s="283"/>
      <c r="N34" s="23"/>
      <c r="O34" s="24"/>
      <c r="P34" s="23"/>
      <c r="Q34" s="23"/>
      <c r="R34" s="24"/>
      <c r="S34" s="23"/>
      <c r="T34" s="23"/>
      <c r="U34" s="24"/>
      <c r="V34" s="23"/>
      <c r="W34" s="24"/>
      <c r="X34" s="25" t="s">
        <v>387</v>
      </c>
      <c r="Y34" s="21" t="s">
        <v>388</v>
      </c>
    </row>
    <row r="35" spans="1:25" ht="16.5" customHeight="1" x14ac:dyDescent="0.15">
      <c r="A35" s="26" t="s">
        <v>389</v>
      </c>
      <c r="B35" s="26" t="s">
        <v>390</v>
      </c>
      <c r="C35" s="89"/>
      <c r="D35" s="159"/>
      <c r="E35" s="29"/>
      <c r="F35" s="29"/>
      <c r="G35" s="289"/>
      <c r="H35" s="187" t="s">
        <v>1032</v>
      </c>
      <c r="I35" s="20"/>
      <c r="J35" s="29"/>
      <c r="K35" s="29"/>
      <c r="L35" s="30"/>
      <c r="M35" s="284"/>
      <c r="N35" s="29"/>
      <c r="O35" s="30"/>
      <c r="P35" s="29"/>
      <c r="Q35" s="29"/>
      <c r="R35" s="30"/>
      <c r="S35" s="29"/>
      <c r="T35" s="29"/>
      <c r="U35" s="30"/>
      <c r="V35" s="29"/>
      <c r="W35" s="30"/>
      <c r="X35" s="31" t="s">
        <v>391</v>
      </c>
      <c r="Y35" s="32" t="s">
        <v>392</v>
      </c>
    </row>
    <row r="36" spans="1:25" ht="16.5" customHeight="1" x14ac:dyDescent="0.15">
      <c r="A36" s="287">
        <v>11</v>
      </c>
      <c r="B36" s="41">
        <v>7351</v>
      </c>
      <c r="C36" s="74" t="s">
        <v>14064</v>
      </c>
      <c r="D36" s="815" t="s">
        <v>14065</v>
      </c>
      <c r="E36" s="707" t="s">
        <v>861</v>
      </c>
      <c r="F36" s="814"/>
      <c r="G36" s="815" t="s">
        <v>3849</v>
      </c>
      <c r="H36" s="707" t="s">
        <v>1617</v>
      </c>
      <c r="I36" s="798"/>
      <c r="J36" s="53"/>
      <c r="K36" s="49"/>
      <c r="L36" s="50"/>
      <c r="M36" s="282"/>
      <c r="N36" s="45"/>
      <c r="O36" s="46"/>
      <c r="P36" s="53"/>
      <c r="Q36" s="49"/>
      <c r="R36" s="50"/>
      <c r="S36" s="114" t="s">
        <v>1036</v>
      </c>
      <c r="T36" s="49"/>
      <c r="U36" s="251"/>
      <c r="V36" s="53"/>
      <c r="W36" s="50"/>
      <c r="X36" s="47">
        <f>+ROUND((_11_B通院２０．５＿０．５*(1+_11・B深夜)),0)</f>
        <v>137</v>
      </c>
      <c r="Y36" s="128" t="s">
        <v>395</v>
      </c>
    </row>
    <row r="37" spans="1:25" ht="16.5" customHeight="1" x14ac:dyDescent="0.15">
      <c r="A37" s="287">
        <v>11</v>
      </c>
      <c r="B37" s="41">
        <v>7352</v>
      </c>
      <c r="C37" s="74" t="s">
        <v>14066</v>
      </c>
      <c r="D37" s="816"/>
      <c r="E37" s="799"/>
      <c r="F37" s="797"/>
      <c r="G37" s="816"/>
      <c r="H37" s="799"/>
      <c r="I37" s="796"/>
      <c r="J37" s="43"/>
      <c r="K37" s="37"/>
      <c r="L37" s="38"/>
      <c r="M37" s="281" t="s">
        <v>397</v>
      </c>
      <c r="N37" s="218" t="s">
        <v>398</v>
      </c>
      <c r="O37" s="46">
        <v>1</v>
      </c>
      <c r="P37" s="35"/>
      <c r="S37" s="258" t="s">
        <v>398</v>
      </c>
      <c r="T37" s="13">
        <v>0.5</v>
      </c>
      <c r="U37" s="718" t="s">
        <v>676</v>
      </c>
      <c r="V37" s="35"/>
      <c r="X37" s="47">
        <f>+ROUND((ROUND((_11_B通院２０．５＿０．５*_11・２人),0)*(1+_11・B深夜)),0)</f>
        <v>137</v>
      </c>
      <c r="Y37" s="48"/>
    </row>
    <row r="38" spans="1:25" ht="16.5" customHeight="1" x14ac:dyDescent="0.15">
      <c r="A38" s="287">
        <v>11</v>
      </c>
      <c r="B38" s="41">
        <v>7353</v>
      </c>
      <c r="C38" s="74" t="s">
        <v>14067</v>
      </c>
      <c r="D38" s="816"/>
      <c r="E38" s="799"/>
      <c r="F38" s="797"/>
      <c r="G38" s="816"/>
      <c r="H38" s="799"/>
      <c r="I38" s="796"/>
      <c r="J38" s="752" t="s">
        <v>400</v>
      </c>
      <c r="K38" s="221" t="s">
        <v>398</v>
      </c>
      <c r="L38" s="251">
        <v>0.9</v>
      </c>
      <c r="M38" s="282"/>
      <c r="N38" s="45"/>
      <c r="O38" s="46"/>
      <c r="P38" s="35"/>
      <c r="S38" s="35"/>
      <c r="U38" s="796"/>
      <c r="V38" s="35"/>
      <c r="X38" s="47">
        <f>+ROUND((ROUND((_11_B通院２０．５＿０．５*_11・基礎２),0)*(1+_11・B深夜)),0)</f>
        <v>123</v>
      </c>
      <c r="Y38" s="48"/>
    </row>
    <row r="39" spans="1:25" ht="16.5" customHeight="1" x14ac:dyDescent="0.15">
      <c r="A39" s="287">
        <v>11</v>
      </c>
      <c r="B39" s="41">
        <v>7354</v>
      </c>
      <c r="C39" s="74" t="s">
        <v>14068</v>
      </c>
      <c r="D39" s="816"/>
      <c r="E39" s="72"/>
      <c r="G39" s="816"/>
      <c r="H39" s="274">
        <f>_11_B通院２０．５＿０．５</f>
        <v>91</v>
      </c>
      <c r="I39" s="254" t="s">
        <v>392</v>
      </c>
      <c r="J39" s="711"/>
      <c r="K39" s="37"/>
      <c r="L39" s="244"/>
      <c r="M39" s="281" t="s">
        <v>397</v>
      </c>
      <c r="N39" s="218" t="s">
        <v>398</v>
      </c>
      <c r="O39" s="46">
        <v>1</v>
      </c>
      <c r="P39" s="35"/>
      <c r="S39" s="35"/>
      <c r="V39" s="35"/>
      <c r="X39" s="47">
        <f>+ROUND((ROUND((ROUND((_11_B通院２０．５＿０．５*_11・基礎２),0)*_11・２人),0)*(1+_11・B深夜)),0)</f>
        <v>123</v>
      </c>
      <c r="Y39" s="48"/>
    </row>
    <row r="40" spans="1:25" ht="16.5" customHeight="1" x14ac:dyDescent="0.15">
      <c r="A40" s="287">
        <v>11</v>
      </c>
      <c r="B40" s="41" t="s">
        <v>14069</v>
      </c>
      <c r="C40" s="74" t="s">
        <v>14070</v>
      </c>
      <c r="D40" s="816"/>
      <c r="E40" s="72"/>
      <c r="G40" s="816"/>
      <c r="H40" s="72"/>
      <c r="J40" s="53"/>
      <c r="K40" s="49"/>
      <c r="L40" s="50"/>
      <c r="M40" s="282"/>
      <c r="N40" s="45"/>
      <c r="O40" s="46"/>
      <c r="P40" s="35"/>
      <c r="S40" s="35"/>
      <c r="V40" s="707" t="s">
        <v>404</v>
      </c>
      <c r="W40" s="708"/>
      <c r="X40" s="47">
        <f>+ROUND((ROUND((_11_B通院２０．５＿０．５*(1+_11・B深夜)),0)*_11・初任),0)</f>
        <v>96</v>
      </c>
      <c r="Y40" s="48"/>
    </row>
    <row r="41" spans="1:25" ht="16.5" customHeight="1" x14ac:dyDescent="0.15">
      <c r="A41" s="287">
        <v>11</v>
      </c>
      <c r="B41" s="41" t="s">
        <v>14071</v>
      </c>
      <c r="C41" s="74" t="s">
        <v>14072</v>
      </c>
      <c r="D41" s="816"/>
      <c r="E41" s="72"/>
      <c r="G41" s="816"/>
      <c r="H41" s="72"/>
      <c r="J41" s="43"/>
      <c r="K41" s="37"/>
      <c r="L41" s="38"/>
      <c r="M41" s="281" t="s">
        <v>397</v>
      </c>
      <c r="N41" s="218" t="s">
        <v>398</v>
      </c>
      <c r="O41" s="46">
        <v>1</v>
      </c>
      <c r="P41" s="35"/>
      <c r="S41" s="35"/>
      <c r="V41" s="709"/>
      <c r="W41" s="704"/>
      <c r="X41" s="47">
        <f>+ROUND((ROUND((ROUND((_11_B通院２０．５＿０．５*_11・２人),0)*(1+_11・B深夜)),0)*_11・初任),0)</f>
        <v>96</v>
      </c>
      <c r="Y41" s="48"/>
    </row>
    <row r="42" spans="1:25" ht="16.5" customHeight="1" x14ac:dyDescent="0.15">
      <c r="A42" s="287">
        <v>11</v>
      </c>
      <c r="B42" s="41" t="s">
        <v>14073</v>
      </c>
      <c r="C42" s="74" t="s">
        <v>14074</v>
      </c>
      <c r="D42" s="816"/>
      <c r="E42" s="72"/>
      <c r="G42" s="816"/>
      <c r="H42" s="72"/>
      <c r="J42" s="755" t="s">
        <v>400</v>
      </c>
      <c r="K42" s="221" t="s">
        <v>398</v>
      </c>
      <c r="L42" s="251">
        <v>0.9</v>
      </c>
      <c r="M42" s="282"/>
      <c r="N42" s="45"/>
      <c r="O42" s="46"/>
      <c r="P42" s="35"/>
      <c r="S42" s="35"/>
      <c r="V42" s="709"/>
      <c r="W42" s="704"/>
      <c r="X42" s="47">
        <f>+ROUND((ROUND((ROUND((_11_B通院２０．５＿０．５*_11・基礎２),0)*(1+_11・B深夜)),0)*_11・初任),0)</f>
        <v>86</v>
      </c>
      <c r="Y42" s="48"/>
    </row>
    <row r="43" spans="1:25" ht="16.5" customHeight="1" x14ac:dyDescent="0.15">
      <c r="A43" s="287">
        <v>11</v>
      </c>
      <c r="B43" s="41" t="s">
        <v>14075</v>
      </c>
      <c r="C43" s="74" t="s">
        <v>14076</v>
      </c>
      <c r="D43" s="816"/>
      <c r="E43" s="72"/>
      <c r="G43" s="816"/>
      <c r="H43" s="72"/>
      <c r="J43" s="711"/>
      <c r="K43" s="37"/>
      <c r="L43" s="244"/>
      <c r="M43" s="281" t="s">
        <v>397</v>
      </c>
      <c r="N43" s="218" t="s">
        <v>398</v>
      </c>
      <c r="O43" s="46">
        <v>1</v>
      </c>
      <c r="P43" s="35"/>
      <c r="S43" s="35"/>
      <c r="V43" s="240" t="s">
        <v>398</v>
      </c>
      <c r="W43" s="38">
        <f>_11・初任</f>
        <v>0.7</v>
      </c>
      <c r="X43" s="47">
        <f>+ROUND((ROUND((ROUND((ROUND((_11_B通院２０．５＿０．５*_11・基礎２),0)*_11・２人),0)*(1+_11・B深夜)),0)*_11・初任),0)</f>
        <v>86</v>
      </c>
      <c r="Y43" s="48"/>
    </row>
    <row r="44" spans="1:25" ht="16.5" customHeight="1" x14ac:dyDescent="0.15">
      <c r="A44" s="287">
        <v>11</v>
      </c>
      <c r="B44" s="41">
        <v>7355</v>
      </c>
      <c r="C44" s="74" t="s">
        <v>14077</v>
      </c>
      <c r="D44" s="816"/>
      <c r="E44" s="72"/>
      <c r="G44" s="816"/>
      <c r="H44" s="707" t="s">
        <v>1695</v>
      </c>
      <c r="I44" s="798"/>
      <c r="J44" s="53"/>
      <c r="K44" s="49"/>
      <c r="L44" s="50"/>
      <c r="M44" s="282"/>
      <c r="N44" s="45"/>
      <c r="O44" s="46"/>
      <c r="P44" s="35"/>
      <c r="S44" s="35"/>
      <c r="V44" s="53"/>
      <c r="W44" s="50"/>
      <c r="X44" s="47">
        <f>+ROUND((_11_B通院２０．５＿１．０*(1+_11・B深夜)),0)</f>
        <v>254</v>
      </c>
      <c r="Y44" s="48"/>
    </row>
    <row r="45" spans="1:25" ht="16.5" customHeight="1" x14ac:dyDescent="0.15">
      <c r="A45" s="287">
        <v>11</v>
      </c>
      <c r="B45" s="41">
        <v>7356</v>
      </c>
      <c r="C45" s="74" t="s">
        <v>14078</v>
      </c>
      <c r="D45" s="816"/>
      <c r="E45" s="72"/>
      <c r="G45" s="816"/>
      <c r="H45" s="799"/>
      <c r="I45" s="796"/>
      <c r="J45" s="43"/>
      <c r="K45" s="37"/>
      <c r="L45" s="38"/>
      <c r="M45" s="281" t="s">
        <v>397</v>
      </c>
      <c r="N45" s="218" t="s">
        <v>398</v>
      </c>
      <c r="O45" s="46">
        <v>1</v>
      </c>
      <c r="P45" s="35"/>
      <c r="S45" s="35"/>
      <c r="V45" s="35"/>
      <c r="X45" s="47">
        <f>+ROUND((ROUND((_11_B通院２０．５＿１．０*_11・２人),0)*(1+_11・B深夜)),0)</f>
        <v>254</v>
      </c>
      <c r="Y45" s="48"/>
    </row>
    <row r="46" spans="1:25" ht="16.5" customHeight="1" x14ac:dyDescent="0.15">
      <c r="A46" s="287">
        <v>11</v>
      </c>
      <c r="B46" s="41">
        <v>7357</v>
      </c>
      <c r="C46" s="74" t="s">
        <v>14079</v>
      </c>
      <c r="D46" s="816"/>
      <c r="E46" s="72"/>
      <c r="G46" s="816"/>
      <c r="H46" s="799"/>
      <c r="I46" s="796"/>
      <c r="J46" s="755" t="s">
        <v>400</v>
      </c>
      <c r="K46" s="221" t="s">
        <v>398</v>
      </c>
      <c r="L46" s="251">
        <v>0.9</v>
      </c>
      <c r="M46" s="282"/>
      <c r="N46" s="45"/>
      <c r="O46" s="46"/>
      <c r="P46" s="35"/>
      <c r="S46" s="35"/>
      <c r="V46" s="35"/>
      <c r="X46" s="47">
        <f>+ROUND((ROUND((_11_B通院２０．５＿１．０*_11・基礎２),0)*(1+_11・B深夜)),0)</f>
        <v>228</v>
      </c>
      <c r="Y46" s="48"/>
    </row>
    <row r="47" spans="1:25" ht="16.5" customHeight="1" x14ac:dyDescent="0.15">
      <c r="A47" s="287">
        <v>11</v>
      </c>
      <c r="B47" s="41">
        <v>7358</v>
      </c>
      <c r="C47" s="74" t="s">
        <v>14080</v>
      </c>
      <c r="D47" s="816"/>
      <c r="E47" s="72"/>
      <c r="G47" s="816"/>
      <c r="H47" s="274">
        <f>_11_B通院２０．５＿１．０</f>
        <v>169</v>
      </c>
      <c r="I47" s="254" t="s">
        <v>392</v>
      </c>
      <c r="J47" s="711"/>
      <c r="K47" s="37"/>
      <c r="L47" s="244"/>
      <c r="M47" s="281" t="s">
        <v>397</v>
      </c>
      <c r="N47" s="218" t="s">
        <v>398</v>
      </c>
      <c r="O47" s="46">
        <v>1</v>
      </c>
      <c r="P47" s="35"/>
      <c r="S47" s="35"/>
      <c r="V47" s="35"/>
      <c r="X47" s="47">
        <f>+ROUND((ROUND((ROUND((_11_B通院２０．５＿１．０*_11・基礎２),0)*_11・２人),0)*(1+_11・B深夜)),0)</f>
        <v>228</v>
      </c>
      <c r="Y47" s="48"/>
    </row>
    <row r="48" spans="1:25" ht="16.5" customHeight="1" x14ac:dyDescent="0.15">
      <c r="A48" s="287">
        <v>11</v>
      </c>
      <c r="B48" s="41" t="s">
        <v>14081</v>
      </c>
      <c r="C48" s="74" t="s">
        <v>14082</v>
      </c>
      <c r="D48" s="816"/>
      <c r="E48" s="72"/>
      <c r="G48" s="816"/>
      <c r="H48" s="72"/>
      <c r="J48" s="53"/>
      <c r="K48" s="49"/>
      <c r="L48" s="50"/>
      <c r="M48" s="282"/>
      <c r="N48" s="45"/>
      <c r="O48" s="46"/>
      <c r="P48" s="35"/>
      <c r="S48" s="35"/>
      <c r="V48" s="707" t="s">
        <v>404</v>
      </c>
      <c r="W48" s="708"/>
      <c r="X48" s="47">
        <f>+ROUND((ROUND((_11_B通院２０．５＿１．０*(1+_11・B深夜)),0)*_11・初任),0)</f>
        <v>178</v>
      </c>
      <c r="Y48" s="48"/>
    </row>
    <row r="49" spans="1:25" ht="16.5" customHeight="1" x14ac:dyDescent="0.15">
      <c r="A49" s="287">
        <v>11</v>
      </c>
      <c r="B49" s="41" t="s">
        <v>14083</v>
      </c>
      <c r="C49" s="74" t="s">
        <v>14084</v>
      </c>
      <c r="D49" s="816"/>
      <c r="E49" s="72"/>
      <c r="G49" s="816"/>
      <c r="H49" s="72"/>
      <c r="J49" s="43"/>
      <c r="K49" s="37"/>
      <c r="L49" s="38"/>
      <c r="M49" s="281" t="s">
        <v>397</v>
      </c>
      <c r="N49" s="218" t="s">
        <v>398</v>
      </c>
      <c r="O49" s="46">
        <v>1</v>
      </c>
      <c r="P49" s="35"/>
      <c r="S49" s="35"/>
      <c r="V49" s="709"/>
      <c r="W49" s="704"/>
      <c r="X49" s="47">
        <f>+ROUND((ROUND((ROUND((_11_B通院２０．５＿１．０*_11・２人),0)*(1+_11・B深夜)),0)*_11・初任),0)</f>
        <v>178</v>
      </c>
      <c r="Y49" s="48"/>
    </row>
    <row r="50" spans="1:25" ht="16.5" customHeight="1" x14ac:dyDescent="0.15">
      <c r="A50" s="287">
        <v>11</v>
      </c>
      <c r="B50" s="41" t="s">
        <v>14085</v>
      </c>
      <c r="C50" s="74" t="s">
        <v>14086</v>
      </c>
      <c r="D50" s="816"/>
      <c r="E50" s="72"/>
      <c r="G50" s="816"/>
      <c r="H50" s="72"/>
      <c r="J50" s="755" t="s">
        <v>400</v>
      </c>
      <c r="K50" s="221" t="s">
        <v>398</v>
      </c>
      <c r="L50" s="251">
        <v>0.9</v>
      </c>
      <c r="M50" s="282"/>
      <c r="N50" s="45"/>
      <c r="O50" s="46"/>
      <c r="P50" s="35"/>
      <c r="S50" s="35"/>
      <c r="V50" s="709"/>
      <c r="W50" s="704"/>
      <c r="X50" s="47">
        <f>+ROUND((ROUND((ROUND((_11_B通院２０．５＿１．０*_11・基礎２),0)*(1+_11・B深夜)),0)*_11・初任),0)</f>
        <v>160</v>
      </c>
      <c r="Y50" s="48"/>
    </row>
    <row r="51" spans="1:25" ht="16.5" customHeight="1" x14ac:dyDescent="0.15">
      <c r="A51" s="287">
        <v>11</v>
      </c>
      <c r="B51" s="41" t="s">
        <v>14087</v>
      </c>
      <c r="C51" s="74" t="s">
        <v>14088</v>
      </c>
      <c r="D51" s="816"/>
      <c r="E51" s="72"/>
      <c r="G51" s="816"/>
      <c r="H51" s="72"/>
      <c r="J51" s="711"/>
      <c r="K51" s="37"/>
      <c r="L51" s="244"/>
      <c r="M51" s="281" t="s">
        <v>397</v>
      </c>
      <c r="N51" s="218" t="s">
        <v>398</v>
      </c>
      <c r="O51" s="46">
        <v>1</v>
      </c>
      <c r="P51" s="35"/>
      <c r="S51" s="35"/>
      <c r="V51" s="240" t="s">
        <v>398</v>
      </c>
      <c r="W51" s="38">
        <f>_11・初任</f>
        <v>0.7</v>
      </c>
      <c r="X51" s="47">
        <f>+ROUND((ROUND((ROUND((ROUND((_11_B通院２０．５＿１．０*_11・基礎２),0)*_11・２人),0)*(1+_11・B深夜)),0)*_11・初任),0)</f>
        <v>160</v>
      </c>
      <c r="Y51" s="48"/>
    </row>
    <row r="52" spans="1:25" ht="16.5" customHeight="1" x14ac:dyDescent="0.15">
      <c r="A52" s="287">
        <v>11</v>
      </c>
      <c r="B52" s="41">
        <v>7359</v>
      </c>
      <c r="C52" s="74" t="s">
        <v>14089</v>
      </c>
      <c r="D52" s="816"/>
      <c r="E52" s="707" t="s">
        <v>876</v>
      </c>
      <c r="F52" s="814"/>
      <c r="G52" s="816"/>
      <c r="H52" s="707" t="s">
        <v>1617</v>
      </c>
      <c r="I52" s="798"/>
      <c r="J52" s="53"/>
      <c r="K52" s="49"/>
      <c r="L52" s="50"/>
      <c r="M52" s="282"/>
      <c r="N52" s="45"/>
      <c r="O52" s="46"/>
      <c r="P52" s="35"/>
      <c r="S52" s="35"/>
      <c r="V52" s="53"/>
      <c r="W52" s="50"/>
      <c r="X52" s="47">
        <f>+ROUND((_11_B通院２１．０＿０．５*(1+_11・B深夜)),0)</f>
        <v>117</v>
      </c>
      <c r="Y52" s="48"/>
    </row>
    <row r="53" spans="1:25" ht="16.5" customHeight="1" x14ac:dyDescent="0.15">
      <c r="A53" s="287">
        <v>11</v>
      </c>
      <c r="B53" s="41">
        <v>7360</v>
      </c>
      <c r="C53" s="74" t="s">
        <v>14090</v>
      </c>
      <c r="D53" s="816"/>
      <c r="E53" s="799"/>
      <c r="F53" s="797"/>
      <c r="G53" s="816"/>
      <c r="H53" s="799"/>
      <c r="I53" s="796"/>
      <c r="J53" s="43"/>
      <c r="K53" s="37"/>
      <c r="L53" s="38"/>
      <c r="M53" s="281" t="s">
        <v>397</v>
      </c>
      <c r="N53" s="218" t="s">
        <v>398</v>
      </c>
      <c r="O53" s="46">
        <v>1</v>
      </c>
      <c r="P53" s="35"/>
      <c r="S53" s="35"/>
      <c r="V53" s="35"/>
      <c r="X53" s="47">
        <f>+ROUND((ROUND((_11_B通院２１．０＿０．５*_11・２人),0)*(1+_11・B深夜)),0)</f>
        <v>117</v>
      </c>
      <c r="Y53" s="48"/>
    </row>
    <row r="54" spans="1:25" ht="16.5" customHeight="1" x14ac:dyDescent="0.15">
      <c r="A54" s="287">
        <v>11</v>
      </c>
      <c r="B54" s="41">
        <v>7361</v>
      </c>
      <c r="C54" s="74" t="s">
        <v>14091</v>
      </c>
      <c r="D54" s="816"/>
      <c r="E54" s="799"/>
      <c r="F54" s="797"/>
      <c r="G54" s="816"/>
      <c r="H54" s="799"/>
      <c r="I54" s="796"/>
      <c r="J54" s="755" t="s">
        <v>400</v>
      </c>
      <c r="K54" s="221" t="s">
        <v>398</v>
      </c>
      <c r="L54" s="251">
        <v>0.9</v>
      </c>
      <c r="M54" s="282"/>
      <c r="N54" s="45"/>
      <c r="O54" s="46"/>
      <c r="P54" s="35"/>
      <c r="S54" s="35"/>
      <c r="V54" s="35"/>
      <c r="X54" s="47">
        <f>+ROUND((ROUND((_11_B通院２１．０＿０．５*_11・基礎２),0)*(1+_11・B深夜)),0)</f>
        <v>105</v>
      </c>
      <c r="Y54" s="48"/>
    </row>
    <row r="55" spans="1:25" ht="16.5" customHeight="1" x14ac:dyDescent="0.15">
      <c r="A55" s="287">
        <v>11</v>
      </c>
      <c r="B55" s="41">
        <v>7362</v>
      </c>
      <c r="C55" s="74" t="s">
        <v>14092</v>
      </c>
      <c r="D55" s="816"/>
      <c r="E55" s="72"/>
      <c r="G55" s="816"/>
      <c r="H55" s="274">
        <f>_11_B通院２１．０＿０．５</f>
        <v>78</v>
      </c>
      <c r="I55" s="254" t="s">
        <v>392</v>
      </c>
      <c r="J55" s="711"/>
      <c r="K55" s="37"/>
      <c r="L55" s="244"/>
      <c r="M55" s="281" t="s">
        <v>397</v>
      </c>
      <c r="N55" s="218" t="s">
        <v>398</v>
      </c>
      <c r="O55" s="46">
        <v>1</v>
      </c>
      <c r="P55" s="35"/>
      <c r="S55" s="35"/>
      <c r="V55" s="35"/>
      <c r="X55" s="47">
        <f>+ROUND((ROUND((ROUND((_11_B通院２１．０＿０．５*_11・基礎２),0)*_11・２人),0)*(1+_11・B深夜)),0)</f>
        <v>105</v>
      </c>
      <c r="Y55" s="48"/>
    </row>
    <row r="56" spans="1:25" ht="16.5" customHeight="1" x14ac:dyDescent="0.15">
      <c r="A56" s="287">
        <v>11</v>
      </c>
      <c r="B56" s="41" t="s">
        <v>14093</v>
      </c>
      <c r="C56" s="74" t="s">
        <v>14094</v>
      </c>
      <c r="D56" s="816"/>
      <c r="E56" s="72"/>
      <c r="G56" s="816"/>
      <c r="H56" s="72"/>
      <c r="J56" s="53"/>
      <c r="K56" s="49"/>
      <c r="L56" s="50"/>
      <c r="M56" s="282"/>
      <c r="N56" s="45"/>
      <c r="O56" s="46"/>
      <c r="P56" s="35"/>
      <c r="S56" s="35"/>
      <c r="V56" s="707" t="s">
        <v>404</v>
      </c>
      <c r="W56" s="708"/>
      <c r="X56" s="47">
        <f>+ROUND((ROUND((_11_B通院２１．０＿０．５*(1+_11・B深夜)),0)*_11・初任),0)</f>
        <v>82</v>
      </c>
      <c r="Y56" s="48"/>
    </row>
    <row r="57" spans="1:25" ht="16.5" customHeight="1" x14ac:dyDescent="0.15">
      <c r="A57" s="287">
        <v>11</v>
      </c>
      <c r="B57" s="41" t="s">
        <v>14095</v>
      </c>
      <c r="C57" s="74" t="s">
        <v>14096</v>
      </c>
      <c r="D57" s="816"/>
      <c r="E57" s="72"/>
      <c r="G57" s="816"/>
      <c r="H57" s="72"/>
      <c r="J57" s="43"/>
      <c r="K57" s="37"/>
      <c r="L57" s="38"/>
      <c r="M57" s="281" t="s">
        <v>397</v>
      </c>
      <c r="N57" s="218" t="s">
        <v>398</v>
      </c>
      <c r="O57" s="46">
        <v>1</v>
      </c>
      <c r="P57" s="35"/>
      <c r="S57" s="35"/>
      <c r="V57" s="709"/>
      <c r="W57" s="704"/>
      <c r="X57" s="47">
        <f>+ROUND((ROUND((ROUND((_11_B通院２１．０＿０．５*_11・２人),0)*(1+_11・B深夜)),0)*_11・初任),0)</f>
        <v>82</v>
      </c>
      <c r="Y57" s="48"/>
    </row>
    <row r="58" spans="1:25" ht="16.5" customHeight="1" x14ac:dyDescent="0.15">
      <c r="A58" s="287">
        <v>11</v>
      </c>
      <c r="B58" s="41" t="s">
        <v>14097</v>
      </c>
      <c r="C58" s="74" t="s">
        <v>14098</v>
      </c>
      <c r="D58" s="816"/>
      <c r="E58" s="72"/>
      <c r="G58" s="816"/>
      <c r="H58" s="72"/>
      <c r="J58" s="755" t="s">
        <v>400</v>
      </c>
      <c r="K58" s="221" t="s">
        <v>398</v>
      </c>
      <c r="L58" s="251">
        <v>0.9</v>
      </c>
      <c r="M58" s="282"/>
      <c r="N58" s="45"/>
      <c r="O58" s="46"/>
      <c r="P58" s="35"/>
      <c r="S58" s="35"/>
      <c r="V58" s="709"/>
      <c r="W58" s="704"/>
      <c r="X58" s="47">
        <f>+ROUND((ROUND((ROUND((_11_B通院２１．０＿０．５*_11・基礎２),0)*(1+_11・B深夜)),0)*_11・初任),0)</f>
        <v>74</v>
      </c>
      <c r="Y58" s="48"/>
    </row>
    <row r="59" spans="1:25" ht="16.5" customHeight="1" x14ac:dyDescent="0.15">
      <c r="A59" s="287">
        <v>11</v>
      </c>
      <c r="B59" s="41" t="s">
        <v>14099</v>
      </c>
      <c r="C59" s="74" t="s">
        <v>14100</v>
      </c>
      <c r="D59" s="817"/>
      <c r="E59" s="122"/>
      <c r="F59" s="37"/>
      <c r="G59" s="817"/>
      <c r="H59" s="122"/>
      <c r="I59" s="37"/>
      <c r="J59" s="711"/>
      <c r="K59" s="37"/>
      <c r="L59" s="244"/>
      <c r="M59" s="281" t="s">
        <v>397</v>
      </c>
      <c r="N59" s="218" t="s">
        <v>398</v>
      </c>
      <c r="O59" s="46">
        <v>1</v>
      </c>
      <c r="P59" s="43"/>
      <c r="Q59" s="37"/>
      <c r="R59" s="38"/>
      <c r="S59" s="43"/>
      <c r="T59" s="37"/>
      <c r="U59" s="38"/>
      <c r="V59" s="240" t="s">
        <v>398</v>
      </c>
      <c r="W59" s="38">
        <f>_11・初任</f>
        <v>0.7</v>
      </c>
      <c r="X59" s="47">
        <f>+ROUND((ROUND((ROUND((ROUND((_11_B通院２１．０＿０．５*_11・基礎２),0)*_11・２人),0)*(1+_11・B深夜)),0)*_11・初任),0)</f>
        <v>74</v>
      </c>
      <c r="Y59" s="63"/>
    </row>
    <row r="60" spans="1:25" ht="16.5" customHeight="1" x14ac:dyDescent="0.15"/>
    <row r="61" spans="1:25" ht="16.5" customHeight="1" x14ac:dyDescent="0.15"/>
  </sheetData>
  <mergeCells count="35">
    <mergeCell ref="V56:W58"/>
    <mergeCell ref="J58:J59"/>
    <mergeCell ref="V48:W50"/>
    <mergeCell ref="J50:J51"/>
    <mergeCell ref="D23:F25"/>
    <mergeCell ref="G23:I25"/>
    <mergeCell ref="J25:J26"/>
    <mergeCell ref="V27:W29"/>
    <mergeCell ref="J29:J30"/>
    <mergeCell ref="D36:D59"/>
    <mergeCell ref="E36:F38"/>
    <mergeCell ref="G36:G59"/>
    <mergeCell ref="H36:I38"/>
    <mergeCell ref="U37:U38"/>
    <mergeCell ref="J38:J39"/>
    <mergeCell ref="J46:J47"/>
    <mergeCell ref="E52:F54"/>
    <mergeCell ref="H52:I54"/>
    <mergeCell ref="J54:J55"/>
    <mergeCell ref="V40:W42"/>
    <mergeCell ref="J42:J43"/>
    <mergeCell ref="H44:I46"/>
    <mergeCell ref="V11:W13"/>
    <mergeCell ref="J13:J14"/>
    <mergeCell ref="G15:I17"/>
    <mergeCell ref="J17:J18"/>
    <mergeCell ref="V19:W21"/>
    <mergeCell ref="J21:J22"/>
    <mergeCell ref="U8:U9"/>
    <mergeCell ref="J9:J10"/>
    <mergeCell ref="D6:F6"/>
    <mergeCell ref="G6:I6"/>
    <mergeCell ref="D7:F9"/>
    <mergeCell ref="G7:I9"/>
    <mergeCell ref="R8:R9"/>
  </mergeCells>
  <phoneticPr fontId="1"/>
  <printOptions horizontalCentered="1"/>
  <pageMargins left="0.70866141732283505" right="0.70866141732283505" top="0.74803149606299202" bottom="0.74803149606299202" header="0.31496062992126" footer="0.31496062992126"/>
  <pageSetup paperSize="9" scale="49" fitToHeight="0" orientation="portrait" r:id="rId1"/>
  <headerFooter>
    <oddHeader>&amp;R&amp;"ＭＳ Ｐゴシック"&amp;9居宅介護</oddHeader>
    <oddFooter>&amp;C&amp;"ＭＳ Ｐゴシック"&amp;14&amp;P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Y141"/>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1" style="10" bestFit="1" customWidth="1"/>
    <col min="4" max="4" width="6" style="10" customWidth="1"/>
    <col min="5" max="5" width="5.5" style="117" bestFit="1" customWidth="1"/>
    <col min="6" max="6" width="4.875" style="10" bestFit="1" customWidth="1"/>
    <col min="7" max="7" width="5.5" style="117" bestFit="1" customWidth="1"/>
    <col min="8" max="8" width="3.875" style="10" bestFit="1" customWidth="1"/>
    <col min="9" max="9" width="5.5" style="12" bestFit="1" customWidth="1"/>
    <col min="10" max="10" width="11.875" style="12" customWidth="1"/>
    <col min="11" max="11" width="3.5" style="12" bestFit="1" customWidth="1"/>
    <col min="12" max="12" width="4.5" style="13" bestFit="1" customWidth="1"/>
    <col min="13" max="13" width="25.5" style="14" bestFit="1" customWidth="1"/>
    <col min="14" max="14" width="3.5" style="12" bestFit="1" customWidth="1"/>
    <col min="15" max="15" width="5.5" style="13" bestFit="1" customWidth="1"/>
    <col min="16" max="16" width="3.5" style="12" bestFit="1" customWidth="1"/>
    <col min="17" max="17" width="4.5" style="13" bestFit="1" customWidth="1"/>
    <col min="18" max="18" width="5.5" style="12" bestFit="1" customWidth="1"/>
    <col min="19" max="19" width="3.5" style="12" bestFit="1" customWidth="1"/>
    <col min="20" max="20" width="4.5" style="13" bestFit="1" customWidth="1"/>
    <col min="21" max="21" width="5.5" style="12" bestFit="1" customWidth="1"/>
    <col min="22" max="22" width="9.875" style="12" customWidth="1"/>
    <col min="23" max="23" width="4.5" style="12" bestFit="1" customWidth="1"/>
    <col min="24" max="24" width="7.125" style="15" customWidth="1"/>
    <col min="25" max="25" width="8.5" style="16" customWidth="1"/>
    <col min="26" max="16384" width="8.875" style="12"/>
  </cols>
  <sheetData>
    <row r="1" spans="1:25" ht="17.100000000000001" customHeight="1" x14ac:dyDescent="0.15">
      <c r="D1" s="11"/>
      <c r="E1" s="12"/>
    </row>
    <row r="2" spans="1:25" ht="17.100000000000001" customHeight="1" x14ac:dyDescent="0.15"/>
    <row r="3" spans="1:25" ht="17.100000000000001" customHeight="1" x14ac:dyDescent="0.15"/>
    <row r="4" spans="1:25" ht="17.100000000000001" customHeight="1" x14ac:dyDescent="0.15">
      <c r="B4" s="17" t="s">
        <v>1413</v>
      </c>
      <c r="D4" s="71"/>
    </row>
    <row r="5" spans="1:25" ht="16.5" customHeight="1" x14ac:dyDescent="0.15">
      <c r="A5" s="19" t="s">
        <v>384</v>
      </c>
      <c r="B5" s="20"/>
      <c r="C5" s="21" t="s">
        <v>385</v>
      </c>
      <c r="D5" s="23" t="s">
        <v>386</v>
      </c>
      <c r="E5" s="118"/>
      <c r="F5" s="23"/>
      <c r="G5" s="118"/>
      <c r="H5" s="23"/>
      <c r="I5" s="23"/>
      <c r="J5" s="23"/>
      <c r="K5" s="23"/>
      <c r="L5" s="24"/>
      <c r="M5" s="23"/>
      <c r="N5" s="23"/>
      <c r="O5" s="24"/>
      <c r="P5" s="23"/>
      <c r="Q5" s="24"/>
      <c r="R5" s="23"/>
      <c r="S5" s="23"/>
      <c r="T5" s="24"/>
      <c r="U5" s="23"/>
      <c r="V5" s="23"/>
      <c r="W5" s="23"/>
      <c r="X5" s="25" t="s">
        <v>387</v>
      </c>
      <c r="Y5" s="21" t="s">
        <v>388</v>
      </c>
    </row>
    <row r="6" spans="1:25" ht="16.5" customHeight="1" x14ac:dyDescent="0.15">
      <c r="A6" s="26" t="s">
        <v>389</v>
      </c>
      <c r="B6" s="26" t="s">
        <v>390</v>
      </c>
      <c r="C6" s="27"/>
      <c r="D6" s="29"/>
      <c r="E6" s="120"/>
      <c r="F6" s="87" t="s">
        <v>1032</v>
      </c>
      <c r="G6" s="119"/>
      <c r="H6" s="29"/>
      <c r="I6" s="29"/>
      <c r="J6" s="29"/>
      <c r="K6" s="29"/>
      <c r="L6" s="30"/>
      <c r="M6" s="29"/>
      <c r="N6" s="29"/>
      <c r="O6" s="30"/>
      <c r="P6" s="29"/>
      <c r="Q6" s="30"/>
      <c r="R6" s="29"/>
      <c r="S6" s="29"/>
      <c r="T6" s="30"/>
      <c r="U6" s="29"/>
      <c r="V6" s="29"/>
      <c r="W6" s="29"/>
      <c r="X6" s="31" t="s">
        <v>391</v>
      </c>
      <c r="Y6" s="32" t="s">
        <v>392</v>
      </c>
    </row>
    <row r="7" spans="1:25" ht="16.5" customHeight="1" x14ac:dyDescent="0.15">
      <c r="A7" s="33">
        <v>11</v>
      </c>
      <c r="B7" s="33">
        <v>1423</v>
      </c>
      <c r="C7" s="34" t="s">
        <v>1414</v>
      </c>
      <c r="D7" s="709" t="s">
        <v>394</v>
      </c>
      <c r="E7" s="718"/>
      <c r="F7" s="709" t="s">
        <v>1415</v>
      </c>
      <c r="G7" s="718"/>
      <c r="H7" s="72"/>
      <c r="I7" s="57"/>
      <c r="J7" s="35"/>
      <c r="M7" s="36"/>
      <c r="N7" s="37"/>
      <c r="O7" s="38"/>
      <c r="P7" s="35"/>
      <c r="R7" s="57"/>
      <c r="S7" s="35" t="s">
        <v>1416</v>
      </c>
      <c r="U7" s="57"/>
      <c r="V7" s="35"/>
      <c r="X7" s="39">
        <f>_11_A身体０．５+ROUND((_11_B身体０．５＿０．５*(1+_11・B夜間)),0)</f>
        <v>439</v>
      </c>
      <c r="Y7" s="40" t="s">
        <v>395</v>
      </c>
    </row>
    <row r="8" spans="1:25" ht="16.5" customHeight="1" x14ac:dyDescent="0.15">
      <c r="A8" s="41">
        <v>11</v>
      </c>
      <c r="B8" s="41">
        <v>1424</v>
      </c>
      <c r="C8" s="74" t="s">
        <v>1417</v>
      </c>
      <c r="D8" s="709"/>
      <c r="E8" s="718"/>
      <c r="F8" s="709"/>
      <c r="G8" s="718"/>
      <c r="H8" s="72"/>
      <c r="I8" s="57"/>
      <c r="J8" s="43"/>
      <c r="K8" s="37"/>
      <c r="L8" s="38"/>
      <c r="M8" s="44" t="s">
        <v>397</v>
      </c>
      <c r="N8" s="45" t="s">
        <v>398</v>
      </c>
      <c r="O8" s="46">
        <v>1</v>
      </c>
      <c r="P8" s="35"/>
      <c r="R8" s="57"/>
      <c r="S8" s="12" t="s">
        <v>398</v>
      </c>
      <c r="T8" s="13">
        <v>0.25</v>
      </c>
      <c r="U8" s="728" t="s">
        <v>676</v>
      </c>
      <c r="V8" s="35"/>
      <c r="X8" s="47">
        <f>ROUND((_11_A身体０．５*_11・２人),0)+ROUND((ROUND((_11_B身体０．５＿０．５*_11・２人),0)*(1+_11・B夜間)),0)</f>
        <v>439</v>
      </c>
      <c r="Y8" s="48"/>
    </row>
    <row r="9" spans="1:25" ht="16.5" customHeight="1" x14ac:dyDescent="0.15">
      <c r="A9" s="41">
        <v>11</v>
      </c>
      <c r="B9" s="41">
        <v>1425</v>
      </c>
      <c r="C9" s="74" t="s">
        <v>1418</v>
      </c>
      <c r="D9" s="709"/>
      <c r="E9" s="718"/>
      <c r="F9" s="709"/>
      <c r="G9" s="718"/>
      <c r="H9" s="72"/>
      <c r="I9" s="57"/>
      <c r="J9" s="705" t="s">
        <v>400</v>
      </c>
      <c r="K9" s="49" t="s">
        <v>398</v>
      </c>
      <c r="L9" s="50">
        <v>0.7</v>
      </c>
      <c r="M9" s="44"/>
      <c r="N9" s="45"/>
      <c r="O9" s="46"/>
      <c r="P9" s="35"/>
      <c r="R9" s="57"/>
      <c r="U9" s="728"/>
      <c r="V9" s="35"/>
      <c r="X9" s="47">
        <f>ROUND((_11_A身体０．５*_11・基礎１),0)+ROUND((ROUND((_11_B身体０．５＿０．５*_11・基礎１),0)*(1+_11・B夜間)),0)</f>
        <v>308</v>
      </c>
      <c r="Y9" s="48"/>
    </row>
    <row r="10" spans="1:25" ht="16.5" customHeight="1" x14ac:dyDescent="0.15">
      <c r="A10" s="41">
        <v>11</v>
      </c>
      <c r="B10" s="41">
        <v>1426</v>
      </c>
      <c r="C10" s="74" t="s">
        <v>1419</v>
      </c>
      <c r="D10" s="100">
        <f>_11_A身体０．５</f>
        <v>255</v>
      </c>
      <c r="E10" s="12" t="s">
        <v>392</v>
      </c>
      <c r="F10" s="100">
        <f>_11_B身体０．５＿０．５</f>
        <v>147</v>
      </c>
      <c r="G10" s="12" t="s">
        <v>392</v>
      </c>
      <c r="H10" s="72"/>
      <c r="I10" s="57"/>
      <c r="J10" s="711"/>
      <c r="K10" s="37"/>
      <c r="L10" s="38"/>
      <c r="M10" s="44" t="s">
        <v>397</v>
      </c>
      <c r="N10" s="45" t="s">
        <v>398</v>
      </c>
      <c r="O10" s="46">
        <v>1</v>
      </c>
      <c r="P10" s="35"/>
      <c r="R10" s="57"/>
      <c r="U10" s="57"/>
      <c r="V10" s="43"/>
      <c r="W10" s="37"/>
      <c r="X10" s="47">
        <f>ROUND((ROUND((_11_A身体０．５*_11・基礎１),0)*_11・２人),0)+ROUND((ROUND((ROUND((_11_B身体０．５＿０．５*_11・基礎１),0)*_11・２人),0)*(1+_11・B夜間)),0)</f>
        <v>308</v>
      </c>
      <c r="Y10" s="48"/>
    </row>
    <row r="11" spans="1:25" ht="16.5" customHeight="1" x14ac:dyDescent="0.15">
      <c r="A11" s="41">
        <v>11</v>
      </c>
      <c r="B11" s="41" t="s">
        <v>1420</v>
      </c>
      <c r="C11" s="74" t="s">
        <v>1421</v>
      </c>
      <c r="D11" s="121"/>
      <c r="E11" s="99"/>
      <c r="F11" s="121"/>
      <c r="G11" s="99"/>
      <c r="H11" s="72"/>
      <c r="I11" s="57"/>
      <c r="J11" s="53"/>
      <c r="K11" s="49"/>
      <c r="L11" s="50"/>
      <c r="M11" s="44"/>
      <c r="N11" s="45"/>
      <c r="O11" s="46"/>
      <c r="P11" s="35"/>
      <c r="R11" s="57"/>
      <c r="U11" s="57"/>
      <c r="V11" s="707" t="s">
        <v>404</v>
      </c>
      <c r="W11" s="708"/>
      <c r="X11" s="47">
        <f>ROUND((_11_A身体０．５*_11・初任),0)+ROUND((ROUND((_11_B身体０．５＿０．５*(1+_11・B夜間)),0)*_11・初任),0)</f>
        <v>308</v>
      </c>
      <c r="Y11" s="48"/>
    </row>
    <row r="12" spans="1:25" ht="16.5" customHeight="1" x14ac:dyDescent="0.15">
      <c r="A12" s="41">
        <v>11</v>
      </c>
      <c r="B12" s="41" t="s">
        <v>1422</v>
      </c>
      <c r="C12" s="74" t="s">
        <v>1423</v>
      </c>
      <c r="D12" s="121"/>
      <c r="E12" s="99"/>
      <c r="F12" s="121"/>
      <c r="G12" s="99"/>
      <c r="H12" s="72"/>
      <c r="I12" s="57"/>
      <c r="J12" s="43"/>
      <c r="K12" s="37"/>
      <c r="L12" s="38"/>
      <c r="M12" s="44" t="s">
        <v>397</v>
      </c>
      <c r="N12" s="45" t="s">
        <v>398</v>
      </c>
      <c r="O12" s="46">
        <v>1</v>
      </c>
      <c r="P12" s="35"/>
      <c r="R12" s="57"/>
      <c r="U12" s="57"/>
      <c r="V12" s="709"/>
      <c r="W12" s="704"/>
      <c r="X12" s="47">
        <f>ROUND((ROUND((_11_A身体０．５*_11・２人),0)*_11・初任),0)+ROUND((ROUND((ROUND((_11_B身体０．５＿０．５*_11・２人),0)*(1+_11・B夜間)),0)*_11・初任),0)</f>
        <v>308</v>
      </c>
      <c r="Y12" s="48"/>
    </row>
    <row r="13" spans="1:25" ht="16.5" customHeight="1" x14ac:dyDescent="0.15">
      <c r="A13" s="41">
        <v>11</v>
      </c>
      <c r="B13" s="41" t="s">
        <v>1424</v>
      </c>
      <c r="C13" s="74" t="s">
        <v>1425</v>
      </c>
      <c r="D13" s="72"/>
      <c r="E13" s="99"/>
      <c r="F13" s="72"/>
      <c r="G13" s="99"/>
      <c r="H13" s="72"/>
      <c r="I13" s="57"/>
      <c r="J13" s="705" t="s">
        <v>400</v>
      </c>
      <c r="K13" s="49" t="s">
        <v>398</v>
      </c>
      <c r="L13" s="50">
        <v>0.7</v>
      </c>
      <c r="M13" s="44"/>
      <c r="N13" s="45"/>
      <c r="O13" s="46"/>
      <c r="P13" s="35"/>
      <c r="R13" s="57"/>
      <c r="U13" s="57"/>
      <c r="V13" s="709"/>
      <c r="W13" s="704"/>
      <c r="X13" s="47">
        <f>ROUND((ROUND((_11_A身体０．５*_11・基礎１),0)*_11・初任),0)+ROUND((ROUND((ROUND((_11_B身体０．５＿０．５*_11・基礎１),0)*(1+_11・B夜間)),0)*_11・初任),0)</f>
        <v>215</v>
      </c>
      <c r="Y13" s="48"/>
    </row>
    <row r="14" spans="1:25" ht="16.5" customHeight="1" x14ac:dyDescent="0.15">
      <c r="A14" s="41">
        <v>11</v>
      </c>
      <c r="B14" s="41" t="s">
        <v>1426</v>
      </c>
      <c r="C14" s="74" t="s">
        <v>1427</v>
      </c>
      <c r="D14" s="72"/>
      <c r="E14" s="99"/>
      <c r="F14" s="72"/>
      <c r="G14" s="99"/>
      <c r="H14" s="72"/>
      <c r="I14" s="57"/>
      <c r="J14" s="711"/>
      <c r="K14" s="37"/>
      <c r="L14" s="38"/>
      <c r="M14" s="44" t="s">
        <v>397</v>
      </c>
      <c r="N14" s="45" t="s">
        <v>398</v>
      </c>
      <c r="O14" s="46">
        <v>1</v>
      </c>
      <c r="P14" s="35"/>
      <c r="R14" s="57"/>
      <c r="U14" s="57"/>
      <c r="V14" s="55" t="s">
        <v>398</v>
      </c>
      <c r="W14" s="38">
        <f>_11・初任</f>
        <v>0.7</v>
      </c>
      <c r="X14" s="47">
        <f>ROUND((ROUND((ROUND((_11_A身体０．５*_11・基礎１),0)*_11・２人),0)*_11・初任),0)+ROUND((ROUND((ROUND((ROUND((_11_B身体０．５＿０．５*_11・基礎１),0)*_11・２人),0)*(1+_11・B夜間)),0)*_11・初任),0)</f>
        <v>215</v>
      </c>
      <c r="Y14" s="48"/>
    </row>
    <row r="15" spans="1:25" ht="16.5" customHeight="1" x14ac:dyDescent="0.15">
      <c r="A15" s="41">
        <v>11</v>
      </c>
      <c r="B15" s="41">
        <v>1427</v>
      </c>
      <c r="C15" s="74" t="s">
        <v>1428</v>
      </c>
      <c r="D15" s="72"/>
      <c r="E15" s="99"/>
      <c r="F15" s="707" t="s">
        <v>1429</v>
      </c>
      <c r="G15" s="717"/>
      <c r="H15" s="72"/>
      <c r="I15" s="57"/>
      <c r="J15" s="53"/>
      <c r="K15" s="49"/>
      <c r="L15" s="50"/>
      <c r="M15" s="44"/>
      <c r="N15" s="45"/>
      <c r="O15" s="46"/>
      <c r="P15" s="35"/>
      <c r="R15" s="57"/>
      <c r="U15" s="57"/>
      <c r="V15" s="53"/>
      <c r="W15" s="49"/>
      <c r="X15" s="47">
        <f>_11_A身体０．５+ROUND((_11_B身体０．５＿１．０*(1+_11・B夜間)),0)</f>
        <v>666</v>
      </c>
      <c r="Y15" s="48"/>
    </row>
    <row r="16" spans="1:25" ht="16.5" customHeight="1" x14ac:dyDescent="0.15">
      <c r="A16" s="41">
        <v>11</v>
      </c>
      <c r="B16" s="41">
        <v>1428</v>
      </c>
      <c r="C16" s="74" t="s">
        <v>1430</v>
      </c>
      <c r="D16" s="72"/>
      <c r="E16" s="99"/>
      <c r="F16" s="709"/>
      <c r="G16" s="718"/>
      <c r="H16" s="72"/>
      <c r="I16" s="57"/>
      <c r="J16" s="43"/>
      <c r="K16" s="37"/>
      <c r="L16" s="38"/>
      <c r="M16" s="44" t="s">
        <v>397</v>
      </c>
      <c r="N16" s="45" t="s">
        <v>398</v>
      </c>
      <c r="O16" s="46">
        <v>1</v>
      </c>
      <c r="P16" s="35"/>
      <c r="R16" s="57"/>
      <c r="U16" s="57"/>
      <c r="V16" s="35"/>
      <c r="X16" s="47">
        <f>ROUND((_11_A身体０．５*_11・２人),0)+ROUND((ROUND((_11_B身体０．５＿１．０*_11・２人),0)*(1+_11・B夜間)),0)</f>
        <v>666</v>
      </c>
      <c r="Y16" s="48"/>
    </row>
    <row r="17" spans="1:25" ht="16.5" customHeight="1" x14ac:dyDescent="0.15">
      <c r="A17" s="41">
        <v>11</v>
      </c>
      <c r="B17" s="41">
        <v>1429</v>
      </c>
      <c r="C17" s="74" t="s">
        <v>1431</v>
      </c>
      <c r="D17" s="72"/>
      <c r="E17" s="99"/>
      <c r="F17" s="709"/>
      <c r="G17" s="718"/>
      <c r="H17" s="72"/>
      <c r="I17" s="57"/>
      <c r="J17" s="705" t="s">
        <v>400</v>
      </c>
      <c r="K17" s="49" t="s">
        <v>398</v>
      </c>
      <c r="L17" s="50">
        <v>0.7</v>
      </c>
      <c r="M17" s="44"/>
      <c r="N17" s="45"/>
      <c r="O17" s="46"/>
      <c r="P17" s="35"/>
      <c r="R17" s="57"/>
      <c r="U17" s="57"/>
      <c r="V17" s="35"/>
      <c r="X17" s="47">
        <f>ROUND((_11_A身体０．５*_11・基礎１),0)+ROUND((ROUND((_11_B身体０．５＿１．０*_11・基礎１),0)*(1+_11・B夜間)),0)</f>
        <v>467</v>
      </c>
      <c r="Y17" s="48"/>
    </row>
    <row r="18" spans="1:25" ht="16.5" customHeight="1" x14ac:dyDescent="0.15">
      <c r="A18" s="41">
        <v>11</v>
      </c>
      <c r="B18" s="41">
        <v>1430</v>
      </c>
      <c r="C18" s="74" t="s">
        <v>1432</v>
      </c>
      <c r="D18" s="72"/>
      <c r="E18" s="99"/>
      <c r="F18" s="100">
        <f>_11_B身体０．５＿１．０</f>
        <v>329</v>
      </c>
      <c r="G18" s="12" t="s">
        <v>392</v>
      </c>
      <c r="H18" s="72"/>
      <c r="I18" s="57"/>
      <c r="J18" s="711"/>
      <c r="K18" s="37"/>
      <c r="L18" s="38"/>
      <c r="M18" s="44" t="s">
        <v>397</v>
      </c>
      <c r="N18" s="45" t="s">
        <v>398</v>
      </c>
      <c r="O18" s="46">
        <v>1</v>
      </c>
      <c r="P18" s="35"/>
      <c r="R18" s="57"/>
      <c r="U18" s="57"/>
      <c r="V18" s="43"/>
      <c r="W18" s="37"/>
      <c r="X18" s="47">
        <f>ROUND((ROUND((_11_A身体０．５*_11・基礎１),0)*_11・２人),0)+ROUND((ROUND((ROUND((_11_B身体０．５＿１．０*_11・基礎１),0)*_11・２人),0)*(1+_11・B夜間)),0)</f>
        <v>467</v>
      </c>
      <c r="Y18" s="48"/>
    </row>
    <row r="19" spans="1:25" ht="16.5" customHeight="1" x14ac:dyDescent="0.15">
      <c r="A19" s="41">
        <v>11</v>
      </c>
      <c r="B19" s="41" t="s">
        <v>1433</v>
      </c>
      <c r="C19" s="74" t="s">
        <v>1434</v>
      </c>
      <c r="D19" s="72"/>
      <c r="E19" s="99"/>
      <c r="F19" s="121"/>
      <c r="G19" s="99"/>
      <c r="H19" s="72"/>
      <c r="I19" s="57"/>
      <c r="J19" s="53"/>
      <c r="K19" s="49"/>
      <c r="L19" s="50"/>
      <c r="M19" s="44"/>
      <c r="N19" s="45"/>
      <c r="O19" s="46"/>
      <c r="P19" s="35"/>
      <c r="R19" s="57"/>
      <c r="U19" s="57"/>
      <c r="V19" s="707" t="s">
        <v>404</v>
      </c>
      <c r="W19" s="708"/>
      <c r="X19" s="47">
        <f>ROUND((_11_A身体０．５*_11・初任),0)+ROUND((ROUND((_11_B身体０．５＿１．０*(1+_11・B夜間)),0)*_11・初任),0)</f>
        <v>467</v>
      </c>
      <c r="Y19" s="48"/>
    </row>
    <row r="20" spans="1:25" ht="16.5" customHeight="1" x14ac:dyDescent="0.15">
      <c r="A20" s="41">
        <v>11</v>
      </c>
      <c r="B20" s="41" t="s">
        <v>1435</v>
      </c>
      <c r="C20" s="74" t="s">
        <v>1436</v>
      </c>
      <c r="D20" s="72"/>
      <c r="E20" s="99"/>
      <c r="F20" s="121"/>
      <c r="G20" s="99"/>
      <c r="H20" s="72"/>
      <c r="I20" s="57"/>
      <c r="J20" s="43"/>
      <c r="K20" s="37"/>
      <c r="L20" s="38"/>
      <c r="M20" s="44" t="s">
        <v>397</v>
      </c>
      <c r="N20" s="45" t="s">
        <v>398</v>
      </c>
      <c r="O20" s="46">
        <v>1</v>
      </c>
      <c r="P20" s="35"/>
      <c r="R20" s="57"/>
      <c r="U20" s="57"/>
      <c r="V20" s="709"/>
      <c r="W20" s="704"/>
      <c r="X20" s="47">
        <f>ROUND((ROUND((_11_A身体０．５*_11・２人),0)*_11・初任),0)+ROUND((ROUND((ROUND((_11_B身体０．５＿１．０*_11・２人),0)*(1+_11・B夜間)),0)*_11・初任),0)</f>
        <v>467</v>
      </c>
      <c r="Y20" s="48"/>
    </row>
    <row r="21" spans="1:25" ht="16.5" customHeight="1" x14ac:dyDescent="0.15">
      <c r="A21" s="41">
        <v>11</v>
      </c>
      <c r="B21" s="41" t="s">
        <v>1437</v>
      </c>
      <c r="C21" s="74" t="s">
        <v>1438</v>
      </c>
      <c r="D21" s="72"/>
      <c r="E21" s="99"/>
      <c r="F21" s="72"/>
      <c r="G21" s="99"/>
      <c r="H21" s="72"/>
      <c r="I21" s="57"/>
      <c r="J21" s="705" t="s">
        <v>400</v>
      </c>
      <c r="K21" s="49" t="s">
        <v>398</v>
      </c>
      <c r="L21" s="50">
        <v>0.7</v>
      </c>
      <c r="M21" s="44"/>
      <c r="N21" s="45"/>
      <c r="O21" s="46"/>
      <c r="P21" s="35"/>
      <c r="R21" s="57"/>
      <c r="U21" s="57"/>
      <c r="V21" s="709"/>
      <c r="W21" s="704"/>
      <c r="X21" s="47">
        <f>ROUND((ROUND((_11_A身体０．５*_11・基礎１),0)*_11・初任),0)+ROUND((ROUND((ROUND((_11_B身体０．５＿１．０*_11・基礎１),0)*(1+_11・B夜間)),0)*_11・初任),0)</f>
        <v>327</v>
      </c>
      <c r="Y21" s="48"/>
    </row>
    <row r="22" spans="1:25" ht="16.5" customHeight="1" x14ac:dyDescent="0.15">
      <c r="A22" s="41">
        <v>11</v>
      </c>
      <c r="B22" s="41" t="s">
        <v>1439</v>
      </c>
      <c r="C22" s="74" t="s">
        <v>1440</v>
      </c>
      <c r="D22" s="72"/>
      <c r="E22" s="99"/>
      <c r="F22" s="72"/>
      <c r="G22" s="99"/>
      <c r="H22" s="72"/>
      <c r="I22" s="57"/>
      <c r="J22" s="711"/>
      <c r="K22" s="37"/>
      <c r="L22" s="38"/>
      <c r="M22" s="44" t="s">
        <v>397</v>
      </c>
      <c r="N22" s="45" t="s">
        <v>398</v>
      </c>
      <c r="O22" s="46">
        <v>1</v>
      </c>
      <c r="P22" s="35"/>
      <c r="R22" s="57"/>
      <c r="U22" s="57"/>
      <c r="V22" s="55" t="s">
        <v>398</v>
      </c>
      <c r="W22" s="38">
        <f>_11・初任</f>
        <v>0.7</v>
      </c>
      <c r="X22" s="47">
        <f>ROUND((ROUND((ROUND((_11_A身体０．５*_11・基礎１),0)*_11・２人),0)*_11・初任),0)+ROUND((ROUND((ROUND((ROUND((_11_B身体０．５＿１．０*_11・基礎１),0)*_11・２人),0)*(1+_11・B夜間)),0)*_11・初任),0)</f>
        <v>327</v>
      </c>
      <c r="Y22" s="48"/>
    </row>
    <row r="23" spans="1:25" ht="16.5" customHeight="1" x14ac:dyDescent="0.15">
      <c r="A23" s="41">
        <v>11</v>
      </c>
      <c r="B23" s="41">
        <v>1431</v>
      </c>
      <c r="C23" s="74" t="s">
        <v>1441</v>
      </c>
      <c r="D23" s="72"/>
      <c r="E23" s="99"/>
      <c r="F23" s="707" t="s">
        <v>1442</v>
      </c>
      <c r="G23" s="717"/>
      <c r="H23" s="72"/>
      <c r="I23" s="57"/>
      <c r="J23" s="53"/>
      <c r="K23" s="49"/>
      <c r="L23" s="50"/>
      <c r="M23" s="44"/>
      <c r="N23" s="45"/>
      <c r="O23" s="46"/>
      <c r="P23" s="35"/>
      <c r="R23" s="57"/>
      <c r="U23" s="57"/>
      <c r="V23" s="53"/>
      <c r="W23" s="49"/>
      <c r="X23" s="47">
        <f>_11_A身体０．５+ROUND((_11_B身体０．５＿１．５*(1+_11・B夜間)),0)</f>
        <v>769</v>
      </c>
      <c r="Y23" s="48"/>
    </row>
    <row r="24" spans="1:25" ht="16.5" customHeight="1" x14ac:dyDescent="0.15">
      <c r="A24" s="41">
        <v>11</v>
      </c>
      <c r="B24" s="41">
        <v>1432</v>
      </c>
      <c r="C24" s="74" t="s">
        <v>1443</v>
      </c>
      <c r="D24" s="72"/>
      <c r="E24" s="99"/>
      <c r="F24" s="709"/>
      <c r="G24" s="718"/>
      <c r="H24" s="72"/>
      <c r="I24" s="57"/>
      <c r="J24" s="43"/>
      <c r="K24" s="37"/>
      <c r="L24" s="38"/>
      <c r="M24" s="44" t="s">
        <v>397</v>
      </c>
      <c r="N24" s="45" t="s">
        <v>398</v>
      </c>
      <c r="O24" s="46">
        <v>1</v>
      </c>
      <c r="P24" s="35"/>
      <c r="R24" s="57"/>
      <c r="U24" s="57"/>
      <c r="V24" s="35"/>
      <c r="X24" s="47">
        <f>ROUND((_11_A身体０．５*_11・２人),0)+ROUND((ROUND((_11_B身体０．５＿１．５*_11・２人),0)*(1+_11・B夜間)),0)</f>
        <v>769</v>
      </c>
      <c r="Y24" s="48"/>
    </row>
    <row r="25" spans="1:25" ht="16.5" customHeight="1" x14ac:dyDescent="0.15">
      <c r="A25" s="41">
        <v>11</v>
      </c>
      <c r="B25" s="41">
        <v>1433</v>
      </c>
      <c r="C25" s="74" t="s">
        <v>1444</v>
      </c>
      <c r="D25" s="72"/>
      <c r="E25" s="99"/>
      <c r="F25" s="709"/>
      <c r="G25" s="718"/>
      <c r="H25" s="72"/>
      <c r="I25" s="57"/>
      <c r="J25" s="705" t="s">
        <v>400</v>
      </c>
      <c r="K25" s="49" t="s">
        <v>398</v>
      </c>
      <c r="L25" s="50">
        <v>0.7</v>
      </c>
      <c r="M25" s="44"/>
      <c r="N25" s="45"/>
      <c r="O25" s="46"/>
      <c r="P25" s="35"/>
      <c r="R25" s="57"/>
      <c r="U25" s="57"/>
      <c r="V25" s="35"/>
      <c r="X25" s="47">
        <f>ROUND((_11_A身体０．５*_11・基礎１),0)+ROUND((ROUND((_11_B身体０．５＿１．５*_11・基礎１),0)*(1+_11・B夜間)),0)</f>
        <v>539</v>
      </c>
      <c r="Y25" s="48"/>
    </row>
    <row r="26" spans="1:25" ht="16.5" customHeight="1" x14ac:dyDescent="0.15">
      <c r="A26" s="41">
        <v>11</v>
      </c>
      <c r="B26" s="41">
        <v>1434</v>
      </c>
      <c r="C26" s="74" t="s">
        <v>1445</v>
      </c>
      <c r="D26" s="72"/>
      <c r="E26" s="99"/>
      <c r="F26" s="100">
        <f>_11_B身体０．５＿１．５</f>
        <v>411</v>
      </c>
      <c r="G26" s="12" t="s">
        <v>392</v>
      </c>
      <c r="H26" s="72"/>
      <c r="I26" s="57"/>
      <c r="J26" s="711"/>
      <c r="K26" s="37"/>
      <c r="L26" s="38"/>
      <c r="M26" s="44" t="s">
        <v>397</v>
      </c>
      <c r="N26" s="45" t="s">
        <v>398</v>
      </c>
      <c r="O26" s="46">
        <v>1</v>
      </c>
      <c r="P26" s="35"/>
      <c r="R26" s="57"/>
      <c r="U26" s="57"/>
      <c r="V26" s="43"/>
      <c r="W26" s="37"/>
      <c r="X26" s="47">
        <f>ROUND((ROUND((_11_A身体０．５*_11・基礎１),0)*_11・２人),0)+ROUND((ROUND((ROUND((_11_B身体０．５＿１．５*_11・基礎１),0)*_11・２人),0)*(1+_11・B夜間)),0)</f>
        <v>539</v>
      </c>
      <c r="Y26" s="48"/>
    </row>
    <row r="27" spans="1:25" ht="16.5" customHeight="1" x14ac:dyDescent="0.15">
      <c r="A27" s="41">
        <v>11</v>
      </c>
      <c r="B27" s="41" t="s">
        <v>1446</v>
      </c>
      <c r="C27" s="74" t="s">
        <v>1447</v>
      </c>
      <c r="D27" s="72"/>
      <c r="E27" s="99"/>
      <c r="F27" s="121"/>
      <c r="G27" s="99"/>
      <c r="H27" s="72"/>
      <c r="I27" s="57"/>
      <c r="J27" s="53"/>
      <c r="K27" s="49"/>
      <c r="L27" s="50"/>
      <c r="M27" s="44"/>
      <c r="N27" s="45"/>
      <c r="O27" s="46"/>
      <c r="P27" s="35"/>
      <c r="R27" s="57"/>
      <c r="U27" s="57"/>
      <c r="V27" s="707" t="s">
        <v>404</v>
      </c>
      <c r="W27" s="708"/>
      <c r="X27" s="47">
        <f>ROUND((_11_A身体０．５*_11・初任),0)+ROUND((ROUND((_11_B身体０．５＿１．５*(1+_11・B夜間)),0)*_11・初任),0)</f>
        <v>539</v>
      </c>
      <c r="Y27" s="48"/>
    </row>
    <row r="28" spans="1:25" ht="16.5" customHeight="1" x14ac:dyDescent="0.15">
      <c r="A28" s="41">
        <v>11</v>
      </c>
      <c r="B28" s="41" t="s">
        <v>1448</v>
      </c>
      <c r="C28" s="74" t="s">
        <v>1449</v>
      </c>
      <c r="D28" s="72"/>
      <c r="E28" s="99"/>
      <c r="F28" s="121"/>
      <c r="G28" s="99"/>
      <c r="H28" s="72"/>
      <c r="I28" s="57"/>
      <c r="J28" s="43"/>
      <c r="K28" s="37"/>
      <c r="L28" s="38"/>
      <c r="M28" s="44" t="s">
        <v>397</v>
      </c>
      <c r="N28" s="45" t="s">
        <v>398</v>
      </c>
      <c r="O28" s="46">
        <v>1</v>
      </c>
      <c r="P28" s="35"/>
      <c r="R28" s="57"/>
      <c r="U28" s="57"/>
      <c r="V28" s="709"/>
      <c r="W28" s="704"/>
      <c r="X28" s="47">
        <f>ROUND((ROUND((_11_A身体０．５*_11・２人),0)*_11・初任),0)+ROUND((ROUND((ROUND((_11_B身体０．５＿１．５*_11・２人),0)*(1+_11・B夜間)),0)*_11・初任),0)</f>
        <v>539</v>
      </c>
      <c r="Y28" s="48"/>
    </row>
    <row r="29" spans="1:25" ht="16.5" customHeight="1" x14ac:dyDescent="0.15">
      <c r="A29" s="41">
        <v>11</v>
      </c>
      <c r="B29" s="41" t="s">
        <v>1450</v>
      </c>
      <c r="C29" s="74" t="s">
        <v>1451</v>
      </c>
      <c r="D29" s="72"/>
      <c r="E29" s="99"/>
      <c r="F29" s="72"/>
      <c r="G29" s="99"/>
      <c r="H29" s="72"/>
      <c r="I29" s="57"/>
      <c r="J29" s="705" t="s">
        <v>400</v>
      </c>
      <c r="K29" s="49" t="s">
        <v>398</v>
      </c>
      <c r="L29" s="50">
        <v>0.7</v>
      </c>
      <c r="M29" s="44"/>
      <c r="N29" s="45"/>
      <c r="O29" s="46"/>
      <c r="P29" s="35"/>
      <c r="R29" s="57"/>
      <c r="U29" s="57"/>
      <c r="V29" s="709"/>
      <c r="W29" s="704"/>
      <c r="X29" s="47">
        <f>ROUND((ROUND((_11_A身体０．５*_11・基礎１),0)*_11・初任),0)+ROUND((ROUND((ROUND((_11_B身体０．５＿１．５*_11・基礎１),0)*(1+_11・B夜間)),0)*_11・初任),0)</f>
        <v>377</v>
      </c>
      <c r="Y29" s="48"/>
    </row>
    <row r="30" spans="1:25" ht="16.5" customHeight="1" x14ac:dyDescent="0.15">
      <c r="A30" s="41">
        <v>11</v>
      </c>
      <c r="B30" s="41" t="s">
        <v>1452</v>
      </c>
      <c r="C30" s="74" t="s">
        <v>1453</v>
      </c>
      <c r="D30" s="72"/>
      <c r="E30" s="99"/>
      <c r="F30" s="72"/>
      <c r="G30" s="99"/>
      <c r="H30" s="72"/>
      <c r="I30" s="57"/>
      <c r="J30" s="711"/>
      <c r="K30" s="37"/>
      <c r="L30" s="38"/>
      <c r="M30" s="44" t="s">
        <v>397</v>
      </c>
      <c r="N30" s="45" t="s">
        <v>398</v>
      </c>
      <c r="O30" s="46">
        <v>1</v>
      </c>
      <c r="P30" s="35"/>
      <c r="R30" s="57"/>
      <c r="U30" s="57"/>
      <c r="V30" s="55" t="s">
        <v>398</v>
      </c>
      <c r="W30" s="38">
        <f>_11・初任</f>
        <v>0.7</v>
      </c>
      <c r="X30" s="47">
        <f>ROUND((ROUND((ROUND((_11_A身体０．５*_11・基礎１),0)*_11・２人),0)*_11・初任),0)+ROUND((ROUND((ROUND((ROUND((_11_B身体０．５＿１．５*_11・基礎１),0)*_11・２人),0)*(1+_11・B夜間)),0)*_11・初任),0)</f>
        <v>377</v>
      </c>
      <c r="Y30" s="48"/>
    </row>
    <row r="31" spans="1:25" ht="16.5" customHeight="1" x14ac:dyDescent="0.15">
      <c r="A31" s="41">
        <v>11</v>
      </c>
      <c r="B31" s="41">
        <v>1435</v>
      </c>
      <c r="C31" s="74" t="s">
        <v>1454</v>
      </c>
      <c r="D31" s="72"/>
      <c r="E31" s="99"/>
      <c r="F31" s="707" t="s">
        <v>1455</v>
      </c>
      <c r="G31" s="717"/>
      <c r="H31" s="72"/>
      <c r="I31" s="57"/>
      <c r="J31" s="53"/>
      <c r="K31" s="49"/>
      <c r="L31" s="50"/>
      <c r="M31" s="44"/>
      <c r="N31" s="45"/>
      <c r="O31" s="46"/>
      <c r="P31" s="35"/>
      <c r="R31" s="57"/>
      <c r="U31" s="57"/>
      <c r="V31" s="53"/>
      <c r="W31" s="49"/>
      <c r="X31" s="47">
        <f>_11_A身体０．５+ROUND((_11_B身体０．５＿２．０*(1+_11・B夜間)),0)</f>
        <v>874</v>
      </c>
      <c r="Y31" s="48"/>
    </row>
    <row r="32" spans="1:25" ht="16.5" customHeight="1" x14ac:dyDescent="0.15">
      <c r="A32" s="41">
        <v>11</v>
      </c>
      <c r="B32" s="41">
        <v>1436</v>
      </c>
      <c r="C32" s="74" t="s">
        <v>1456</v>
      </c>
      <c r="D32" s="72"/>
      <c r="E32" s="99"/>
      <c r="F32" s="709"/>
      <c r="G32" s="718"/>
      <c r="H32" s="72"/>
      <c r="I32" s="57"/>
      <c r="J32" s="43"/>
      <c r="K32" s="37"/>
      <c r="L32" s="38"/>
      <c r="M32" s="44" t="s">
        <v>397</v>
      </c>
      <c r="N32" s="45" t="s">
        <v>398</v>
      </c>
      <c r="O32" s="46">
        <v>1</v>
      </c>
      <c r="P32" s="35"/>
      <c r="R32" s="57"/>
      <c r="U32" s="57"/>
      <c r="V32" s="35"/>
      <c r="X32" s="47">
        <f>ROUND((_11_A身体０．５*_11・２人),0)+ROUND((ROUND((_11_B身体０．５＿２．０*_11・２人),0)*(1+_11・B夜間)),0)</f>
        <v>874</v>
      </c>
      <c r="Y32" s="48"/>
    </row>
    <row r="33" spans="1:25" ht="16.5" customHeight="1" x14ac:dyDescent="0.15">
      <c r="A33" s="41">
        <v>11</v>
      </c>
      <c r="B33" s="41">
        <v>1437</v>
      </c>
      <c r="C33" s="74" t="s">
        <v>1457</v>
      </c>
      <c r="D33" s="72"/>
      <c r="E33" s="99"/>
      <c r="F33" s="709"/>
      <c r="G33" s="718"/>
      <c r="H33" s="72"/>
      <c r="I33" s="57"/>
      <c r="J33" s="705" t="s">
        <v>400</v>
      </c>
      <c r="K33" s="49" t="s">
        <v>398</v>
      </c>
      <c r="L33" s="50">
        <v>0.7</v>
      </c>
      <c r="M33" s="44"/>
      <c r="N33" s="45"/>
      <c r="O33" s="46"/>
      <c r="P33" s="35"/>
      <c r="R33" s="57"/>
      <c r="U33" s="57"/>
      <c r="V33" s="35"/>
      <c r="X33" s="47">
        <f>ROUND((_11_A身体０．５*_11・基礎１),0)+ROUND((ROUND((_11_B身体０．５＿２．０*_11・基礎１),0)*(1+_11・B夜間)),0)</f>
        <v>613</v>
      </c>
      <c r="Y33" s="48"/>
    </row>
    <row r="34" spans="1:25" ht="16.5" customHeight="1" x14ac:dyDescent="0.15">
      <c r="A34" s="41">
        <v>11</v>
      </c>
      <c r="B34" s="41">
        <v>1438</v>
      </c>
      <c r="C34" s="74" t="s">
        <v>1458</v>
      </c>
      <c r="D34" s="72"/>
      <c r="E34" s="99"/>
      <c r="F34" s="100">
        <f>_11_B身体０．５＿２．０</f>
        <v>495</v>
      </c>
      <c r="G34" s="12" t="s">
        <v>392</v>
      </c>
      <c r="H34" s="72"/>
      <c r="I34" s="57"/>
      <c r="J34" s="711"/>
      <c r="K34" s="37"/>
      <c r="L34" s="38"/>
      <c r="M34" s="44" t="s">
        <v>397</v>
      </c>
      <c r="N34" s="45" t="s">
        <v>398</v>
      </c>
      <c r="O34" s="46">
        <v>1</v>
      </c>
      <c r="P34" s="35"/>
      <c r="R34" s="57"/>
      <c r="U34" s="57"/>
      <c r="V34" s="43"/>
      <c r="W34" s="37"/>
      <c r="X34" s="47">
        <f>ROUND((ROUND((_11_A身体０．５*_11・基礎１),0)*_11・２人),0)+ROUND((ROUND((ROUND((_11_B身体０．５＿２．０*_11・基礎１),0)*_11・２人),0)*(1+_11・B夜間)),0)</f>
        <v>613</v>
      </c>
      <c r="Y34" s="48"/>
    </row>
    <row r="35" spans="1:25" ht="16.5" customHeight="1" x14ac:dyDescent="0.15">
      <c r="A35" s="41">
        <v>11</v>
      </c>
      <c r="B35" s="41" t="s">
        <v>1459</v>
      </c>
      <c r="C35" s="74" t="s">
        <v>1460</v>
      </c>
      <c r="D35" s="72"/>
      <c r="E35" s="99"/>
      <c r="F35" s="121"/>
      <c r="G35" s="99"/>
      <c r="H35" s="72"/>
      <c r="I35" s="57"/>
      <c r="J35" s="53"/>
      <c r="K35" s="49"/>
      <c r="L35" s="50"/>
      <c r="M35" s="44"/>
      <c r="N35" s="45"/>
      <c r="O35" s="46"/>
      <c r="P35" s="35"/>
      <c r="R35" s="57"/>
      <c r="U35" s="57"/>
      <c r="V35" s="707" t="s">
        <v>404</v>
      </c>
      <c r="W35" s="708"/>
      <c r="X35" s="47">
        <f>ROUND((_11_A身体０．５*_11・初任),0)+ROUND((ROUND((_11_B身体０．５＿２．０*(1+_11・B夜間)),0)*_11・初任),0)</f>
        <v>612</v>
      </c>
      <c r="Y35" s="48"/>
    </row>
    <row r="36" spans="1:25" ht="16.5" customHeight="1" x14ac:dyDescent="0.15">
      <c r="A36" s="41">
        <v>11</v>
      </c>
      <c r="B36" s="41" t="s">
        <v>1461</v>
      </c>
      <c r="C36" s="74" t="s">
        <v>1462</v>
      </c>
      <c r="D36" s="72"/>
      <c r="E36" s="99"/>
      <c r="F36" s="121"/>
      <c r="G36" s="99"/>
      <c r="H36" s="72"/>
      <c r="I36" s="57"/>
      <c r="J36" s="43"/>
      <c r="K36" s="37"/>
      <c r="L36" s="38"/>
      <c r="M36" s="44" t="s">
        <v>397</v>
      </c>
      <c r="N36" s="45" t="s">
        <v>398</v>
      </c>
      <c r="O36" s="46">
        <v>1</v>
      </c>
      <c r="P36" s="35"/>
      <c r="R36" s="57"/>
      <c r="U36" s="57"/>
      <c r="V36" s="709"/>
      <c r="W36" s="704"/>
      <c r="X36" s="47">
        <f>ROUND((ROUND((_11_A身体０．５*_11・２人),0)*_11・初任),0)+ROUND((ROUND((ROUND((_11_B身体０．５＿２．０*_11・２人),0)*(1+_11・B夜間)),0)*_11・初任),0)</f>
        <v>612</v>
      </c>
      <c r="Y36" s="48"/>
    </row>
    <row r="37" spans="1:25" ht="16.5" customHeight="1" x14ac:dyDescent="0.15">
      <c r="A37" s="41">
        <v>11</v>
      </c>
      <c r="B37" s="41" t="s">
        <v>1463</v>
      </c>
      <c r="C37" s="74" t="s">
        <v>1464</v>
      </c>
      <c r="D37" s="72"/>
      <c r="E37" s="99"/>
      <c r="F37" s="72"/>
      <c r="G37" s="99"/>
      <c r="H37" s="72"/>
      <c r="I37" s="57"/>
      <c r="J37" s="705" t="s">
        <v>400</v>
      </c>
      <c r="K37" s="49" t="s">
        <v>398</v>
      </c>
      <c r="L37" s="50">
        <v>0.7</v>
      </c>
      <c r="M37" s="44"/>
      <c r="N37" s="45"/>
      <c r="O37" s="46"/>
      <c r="P37" s="35"/>
      <c r="R37" s="57"/>
      <c r="U37" s="57"/>
      <c r="V37" s="709"/>
      <c r="W37" s="704"/>
      <c r="X37" s="47">
        <f>ROUND((ROUND((_11_A身体０．５*_11・基礎１),0)*_11・初任),0)+ROUND((ROUND((ROUND((_11_B身体０．５＿２．０*_11・基礎１),0)*(1+_11・B夜間)),0)*_11・初任),0)</f>
        <v>429</v>
      </c>
      <c r="Y37" s="48"/>
    </row>
    <row r="38" spans="1:25" ht="16.5" customHeight="1" x14ac:dyDescent="0.15">
      <c r="A38" s="41">
        <v>11</v>
      </c>
      <c r="B38" s="41" t="s">
        <v>1465</v>
      </c>
      <c r="C38" s="74" t="s">
        <v>1466</v>
      </c>
      <c r="D38" s="72"/>
      <c r="E38" s="99"/>
      <c r="F38" s="72"/>
      <c r="G38" s="99"/>
      <c r="H38" s="72"/>
      <c r="I38" s="57"/>
      <c r="J38" s="711"/>
      <c r="K38" s="37"/>
      <c r="L38" s="38"/>
      <c r="M38" s="44" t="s">
        <v>397</v>
      </c>
      <c r="N38" s="45" t="s">
        <v>398</v>
      </c>
      <c r="O38" s="46">
        <v>1</v>
      </c>
      <c r="P38" s="35"/>
      <c r="R38" s="57"/>
      <c r="U38" s="57"/>
      <c r="V38" s="55" t="s">
        <v>398</v>
      </c>
      <c r="W38" s="38">
        <f>_11・初任</f>
        <v>0.7</v>
      </c>
      <c r="X38" s="47">
        <f>ROUND((ROUND((ROUND((_11_A身体０．５*_11・基礎１),0)*_11・２人),0)*_11・初任),0)+ROUND((ROUND((ROUND((ROUND((_11_B身体０．５＿２．０*_11・基礎１),0)*_11・２人),0)*(1+_11・B夜間)),0)*_11・初任),0)</f>
        <v>429</v>
      </c>
      <c r="Y38" s="48"/>
    </row>
    <row r="39" spans="1:25" ht="16.5" customHeight="1" x14ac:dyDescent="0.15">
      <c r="A39" s="41">
        <v>11</v>
      </c>
      <c r="B39" s="41">
        <v>1439</v>
      </c>
      <c r="C39" s="74" t="s">
        <v>1467</v>
      </c>
      <c r="D39" s="72"/>
      <c r="E39" s="99"/>
      <c r="F39" s="707" t="s">
        <v>1468</v>
      </c>
      <c r="G39" s="717"/>
      <c r="H39" s="72"/>
      <c r="I39" s="57"/>
      <c r="J39" s="53"/>
      <c r="K39" s="49"/>
      <c r="L39" s="50"/>
      <c r="M39" s="44"/>
      <c r="N39" s="45"/>
      <c r="O39" s="46"/>
      <c r="P39" s="35"/>
      <c r="R39" s="57"/>
      <c r="U39" s="57"/>
      <c r="V39" s="53"/>
      <c r="W39" s="49"/>
      <c r="X39" s="47">
        <f>_11_A身体０．５+ROUND((_11_B身体０．５＿２．５*(1+_11・B夜間)),0)</f>
        <v>978</v>
      </c>
      <c r="Y39" s="48"/>
    </row>
    <row r="40" spans="1:25" ht="16.5" customHeight="1" x14ac:dyDescent="0.15">
      <c r="A40" s="41">
        <v>11</v>
      </c>
      <c r="B40" s="41">
        <v>1440</v>
      </c>
      <c r="C40" s="74" t="s">
        <v>1469</v>
      </c>
      <c r="D40" s="72"/>
      <c r="E40" s="99"/>
      <c r="F40" s="709"/>
      <c r="G40" s="718"/>
      <c r="H40" s="72"/>
      <c r="I40" s="57"/>
      <c r="J40" s="43"/>
      <c r="K40" s="37"/>
      <c r="L40" s="38"/>
      <c r="M40" s="44" t="s">
        <v>397</v>
      </c>
      <c r="N40" s="45" t="s">
        <v>398</v>
      </c>
      <c r="O40" s="46">
        <v>1</v>
      </c>
      <c r="P40" s="35"/>
      <c r="R40" s="57"/>
      <c r="U40" s="57"/>
      <c r="V40" s="35"/>
      <c r="X40" s="47">
        <f>ROUND((_11_A身体０．５*_11・２人),0)+ROUND((ROUND((_11_B身体０．５＿２．５*_11・２人),0)*(1+_11・B夜間)),0)</f>
        <v>978</v>
      </c>
      <c r="Y40" s="48"/>
    </row>
    <row r="41" spans="1:25" ht="16.5" customHeight="1" x14ac:dyDescent="0.15">
      <c r="A41" s="41">
        <v>11</v>
      </c>
      <c r="B41" s="41">
        <v>1441</v>
      </c>
      <c r="C41" s="74" t="s">
        <v>1470</v>
      </c>
      <c r="D41" s="72"/>
      <c r="E41" s="99"/>
      <c r="F41" s="709"/>
      <c r="G41" s="718"/>
      <c r="H41" s="72"/>
      <c r="I41" s="57"/>
      <c r="J41" s="705" t="s">
        <v>400</v>
      </c>
      <c r="K41" s="49" t="s">
        <v>398</v>
      </c>
      <c r="L41" s="50">
        <v>0.7</v>
      </c>
      <c r="M41" s="44"/>
      <c r="N41" s="45"/>
      <c r="O41" s="46"/>
      <c r="P41" s="35"/>
      <c r="R41" s="57"/>
      <c r="U41" s="57"/>
      <c r="V41" s="35"/>
      <c r="X41" s="47">
        <f>ROUND((_11_A身体０．５*_11・基礎１),0)+ROUND((ROUND((_11_B身体０．５＿２．５*_11・基礎１),0)*(1+_11・B夜間)),0)</f>
        <v>685</v>
      </c>
      <c r="Y41" s="48"/>
    </row>
    <row r="42" spans="1:25" ht="16.5" customHeight="1" x14ac:dyDescent="0.15">
      <c r="A42" s="41">
        <v>11</v>
      </c>
      <c r="B42" s="41">
        <v>1442</v>
      </c>
      <c r="C42" s="74" t="s">
        <v>1471</v>
      </c>
      <c r="D42" s="72"/>
      <c r="E42" s="99"/>
      <c r="F42" s="100">
        <f>_11_B身体０．５＿２．５</f>
        <v>578</v>
      </c>
      <c r="G42" s="12" t="s">
        <v>392</v>
      </c>
      <c r="H42" s="72"/>
      <c r="I42" s="57"/>
      <c r="J42" s="711"/>
      <c r="K42" s="37"/>
      <c r="L42" s="38"/>
      <c r="M42" s="44" t="s">
        <v>397</v>
      </c>
      <c r="N42" s="45" t="s">
        <v>398</v>
      </c>
      <c r="O42" s="46">
        <v>1</v>
      </c>
      <c r="P42" s="35"/>
      <c r="R42" s="57"/>
      <c r="U42" s="57"/>
      <c r="V42" s="43"/>
      <c r="W42" s="37"/>
      <c r="X42" s="47">
        <f>ROUND((ROUND((_11_A身体０．５*_11・基礎１),0)*_11・２人),0)+ROUND((ROUND((ROUND((_11_B身体０．５＿２．５*_11・基礎１),0)*_11・２人),0)*(1+_11・B夜間)),0)</f>
        <v>685</v>
      </c>
      <c r="Y42" s="48"/>
    </row>
    <row r="43" spans="1:25" ht="16.5" customHeight="1" x14ac:dyDescent="0.15">
      <c r="A43" s="41">
        <v>11</v>
      </c>
      <c r="B43" s="41" t="s">
        <v>1472</v>
      </c>
      <c r="C43" s="74" t="s">
        <v>1473</v>
      </c>
      <c r="D43" s="72"/>
      <c r="E43" s="99"/>
      <c r="F43" s="121"/>
      <c r="G43" s="99"/>
      <c r="H43" s="72"/>
      <c r="I43" s="57"/>
      <c r="J43" s="53"/>
      <c r="K43" s="49"/>
      <c r="L43" s="50"/>
      <c r="M43" s="44"/>
      <c r="N43" s="45"/>
      <c r="O43" s="46"/>
      <c r="P43" s="35"/>
      <c r="R43" s="57"/>
      <c r="U43" s="57"/>
      <c r="V43" s="707" t="s">
        <v>404</v>
      </c>
      <c r="W43" s="708"/>
      <c r="X43" s="47">
        <f>ROUND((_11_A身体０．５*_11・初任),0)+ROUND((ROUND((_11_B身体０．５＿２．５*(1+_11・B夜間)),0)*_11・初任),0)</f>
        <v>685</v>
      </c>
      <c r="Y43" s="48"/>
    </row>
    <row r="44" spans="1:25" ht="16.5" customHeight="1" x14ac:dyDescent="0.15">
      <c r="A44" s="41">
        <v>11</v>
      </c>
      <c r="B44" s="41" t="s">
        <v>1474</v>
      </c>
      <c r="C44" s="74" t="s">
        <v>1475</v>
      </c>
      <c r="D44" s="72"/>
      <c r="E44" s="99"/>
      <c r="F44" s="121"/>
      <c r="G44" s="99"/>
      <c r="H44" s="72"/>
      <c r="I44" s="57"/>
      <c r="J44" s="43"/>
      <c r="K44" s="37"/>
      <c r="L44" s="38"/>
      <c r="M44" s="44" t="s">
        <v>397</v>
      </c>
      <c r="N44" s="45" t="s">
        <v>398</v>
      </c>
      <c r="O44" s="46">
        <v>1</v>
      </c>
      <c r="P44" s="35"/>
      <c r="R44" s="57"/>
      <c r="U44" s="57"/>
      <c r="V44" s="709"/>
      <c r="W44" s="704"/>
      <c r="X44" s="47">
        <f>ROUND((ROUND((_11_A身体０．５*_11・２人),0)*_11・初任),0)+ROUND((ROUND((ROUND((_11_B身体０．５＿２．５*_11・２人),0)*(1+_11・B夜間)),0)*_11・初任),0)</f>
        <v>685</v>
      </c>
      <c r="Y44" s="48"/>
    </row>
    <row r="45" spans="1:25" ht="16.5" customHeight="1" x14ac:dyDescent="0.15">
      <c r="A45" s="41">
        <v>11</v>
      </c>
      <c r="B45" s="41" t="s">
        <v>1476</v>
      </c>
      <c r="C45" s="74" t="s">
        <v>1477</v>
      </c>
      <c r="D45" s="72"/>
      <c r="E45" s="99"/>
      <c r="F45" s="72"/>
      <c r="G45" s="99"/>
      <c r="H45" s="72"/>
      <c r="I45" s="57"/>
      <c r="J45" s="705" t="s">
        <v>400</v>
      </c>
      <c r="K45" s="49" t="s">
        <v>398</v>
      </c>
      <c r="L45" s="50">
        <v>0.7</v>
      </c>
      <c r="M45" s="44"/>
      <c r="N45" s="45"/>
      <c r="O45" s="46"/>
      <c r="P45" s="35"/>
      <c r="R45" s="57"/>
      <c r="U45" s="57"/>
      <c r="V45" s="709"/>
      <c r="W45" s="704"/>
      <c r="X45" s="47">
        <f>ROUND((ROUND((_11_A身体０．５*_11・基礎１),0)*_11・初任),0)+ROUND((ROUND((ROUND((_11_B身体０．５＿２．５*_11・基礎１),0)*(1+_11・B夜間)),0)*_11・初任),0)</f>
        <v>479</v>
      </c>
      <c r="Y45" s="48"/>
    </row>
    <row r="46" spans="1:25" ht="16.5" customHeight="1" x14ac:dyDescent="0.15">
      <c r="A46" s="41">
        <v>11</v>
      </c>
      <c r="B46" s="41" t="s">
        <v>1478</v>
      </c>
      <c r="C46" s="74" t="s">
        <v>1479</v>
      </c>
      <c r="D46" s="72"/>
      <c r="E46" s="99"/>
      <c r="F46" s="72"/>
      <c r="G46" s="99"/>
      <c r="H46" s="72"/>
      <c r="I46" s="57"/>
      <c r="J46" s="711"/>
      <c r="K46" s="37"/>
      <c r="L46" s="38"/>
      <c r="M46" s="44" t="s">
        <v>397</v>
      </c>
      <c r="N46" s="45" t="s">
        <v>398</v>
      </c>
      <c r="O46" s="46">
        <v>1</v>
      </c>
      <c r="P46" s="35"/>
      <c r="R46" s="57"/>
      <c r="U46" s="57"/>
      <c r="V46" s="55" t="s">
        <v>398</v>
      </c>
      <c r="W46" s="38">
        <f>_11・初任</f>
        <v>0.7</v>
      </c>
      <c r="X46" s="47">
        <f>ROUND((ROUND((ROUND((_11_A身体０．５*_11・基礎１),0)*_11・２人),0)*_11・初任),0)+ROUND((ROUND((ROUND((ROUND((_11_B身体０．５＿２．５*_11・基礎１),0)*_11・２人),0)*(1+_11・B夜間)),0)*_11・初任),0)</f>
        <v>479</v>
      </c>
      <c r="Y46" s="48"/>
    </row>
    <row r="47" spans="1:25" ht="16.5" customHeight="1" x14ac:dyDescent="0.15">
      <c r="A47" s="41">
        <v>11</v>
      </c>
      <c r="B47" s="41">
        <v>1443</v>
      </c>
      <c r="C47" s="74" t="s">
        <v>1480</v>
      </c>
      <c r="D47" s="707" t="s">
        <v>412</v>
      </c>
      <c r="E47" s="717"/>
      <c r="F47" s="707" t="s">
        <v>1415</v>
      </c>
      <c r="G47" s="717"/>
      <c r="H47" s="72"/>
      <c r="I47" s="57"/>
      <c r="J47" s="53"/>
      <c r="K47" s="49"/>
      <c r="L47" s="50"/>
      <c r="M47" s="44"/>
      <c r="N47" s="45"/>
      <c r="O47" s="46"/>
      <c r="P47" s="35"/>
      <c r="R47" s="57"/>
      <c r="U47" s="57"/>
      <c r="V47" s="53"/>
      <c r="W47" s="49"/>
      <c r="X47" s="47">
        <f>_11_A身体１．０+ROUND((_11_B身体１．０＿０．５*(1+_11・B夜間)),0)</f>
        <v>630</v>
      </c>
      <c r="Y47" s="48"/>
    </row>
    <row r="48" spans="1:25" ht="16.5" customHeight="1" x14ac:dyDescent="0.15">
      <c r="A48" s="41">
        <v>11</v>
      </c>
      <c r="B48" s="41">
        <v>1444</v>
      </c>
      <c r="C48" s="74" t="s">
        <v>1481</v>
      </c>
      <c r="D48" s="709"/>
      <c r="E48" s="718"/>
      <c r="F48" s="709"/>
      <c r="G48" s="718"/>
      <c r="H48" s="72"/>
      <c r="I48" s="57"/>
      <c r="J48" s="43"/>
      <c r="K48" s="37"/>
      <c r="L48" s="38"/>
      <c r="M48" s="44" t="s">
        <v>397</v>
      </c>
      <c r="N48" s="45" t="s">
        <v>398</v>
      </c>
      <c r="O48" s="46">
        <v>1</v>
      </c>
      <c r="P48" s="35"/>
      <c r="R48" s="57"/>
      <c r="U48" s="57"/>
      <c r="V48" s="35"/>
      <c r="X48" s="47">
        <f>ROUND((_11_A身体１．０*_11・２人),0)+ROUND((ROUND((_11_B身体１．０＿０．５*_11・２人),0)*(1+_11・B夜間)),0)</f>
        <v>630</v>
      </c>
      <c r="Y48" s="48"/>
    </row>
    <row r="49" spans="1:25" ht="16.5" customHeight="1" x14ac:dyDescent="0.15">
      <c r="A49" s="41">
        <v>11</v>
      </c>
      <c r="B49" s="41">
        <v>1445</v>
      </c>
      <c r="C49" s="74" t="s">
        <v>1482</v>
      </c>
      <c r="D49" s="709"/>
      <c r="E49" s="718"/>
      <c r="F49" s="709"/>
      <c r="G49" s="718"/>
      <c r="H49" s="72"/>
      <c r="I49" s="57"/>
      <c r="J49" s="705" t="s">
        <v>400</v>
      </c>
      <c r="K49" s="49" t="s">
        <v>398</v>
      </c>
      <c r="L49" s="50">
        <v>0.7</v>
      </c>
      <c r="M49" s="44"/>
      <c r="N49" s="45"/>
      <c r="O49" s="46"/>
      <c r="P49" s="35"/>
      <c r="R49" s="57"/>
      <c r="U49" s="57"/>
      <c r="V49" s="35"/>
      <c r="X49" s="47">
        <f>ROUND((_11_A身体１．０*_11・基礎１),0)+ROUND((ROUND((_11_B身体１．０＿０．５*_11・基礎１),0)*(1+_11・B夜間)),0)</f>
        <v>440</v>
      </c>
      <c r="Y49" s="48"/>
    </row>
    <row r="50" spans="1:25" ht="16.5" customHeight="1" x14ac:dyDescent="0.15">
      <c r="A50" s="41">
        <v>11</v>
      </c>
      <c r="B50" s="41">
        <v>1446</v>
      </c>
      <c r="C50" s="74" t="s">
        <v>1483</v>
      </c>
      <c r="D50" s="100">
        <f>_11_A身体１．０</f>
        <v>402</v>
      </c>
      <c r="E50" s="12" t="s">
        <v>392</v>
      </c>
      <c r="F50" s="100">
        <f>_11_B身体１．０＿０．５</f>
        <v>182</v>
      </c>
      <c r="G50" s="12" t="s">
        <v>392</v>
      </c>
      <c r="H50" s="72"/>
      <c r="I50" s="57"/>
      <c r="J50" s="711"/>
      <c r="K50" s="37"/>
      <c r="L50" s="38"/>
      <c r="M50" s="44" t="s">
        <v>397</v>
      </c>
      <c r="N50" s="45" t="s">
        <v>398</v>
      </c>
      <c r="O50" s="46">
        <v>1</v>
      </c>
      <c r="P50" s="35"/>
      <c r="R50" s="57"/>
      <c r="U50" s="57"/>
      <c r="V50" s="43"/>
      <c r="W50" s="37"/>
      <c r="X50" s="47">
        <f>ROUND((ROUND((_11_A身体１．０*_11・基礎１),0)*_11・２人),0)+ROUND((ROUND((ROUND((_11_B身体１．０＿０．５*_11・基礎１),0)*_11・２人),0)*(1+_11・B夜間)),0)</f>
        <v>440</v>
      </c>
      <c r="Y50" s="48"/>
    </row>
    <row r="51" spans="1:25" ht="16.5" customHeight="1" x14ac:dyDescent="0.15">
      <c r="A51" s="41">
        <v>11</v>
      </c>
      <c r="B51" s="41" t="s">
        <v>1484</v>
      </c>
      <c r="C51" s="74" t="s">
        <v>1485</v>
      </c>
      <c r="D51" s="121"/>
      <c r="E51" s="99"/>
      <c r="F51" s="121"/>
      <c r="G51" s="99"/>
      <c r="H51" s="72"/>
      <c r="I51" s="57"/>
      <c r="J51" s="53"/>
      <c r="K51" s="49"/>
      <c r="L51" s="50"/>
      <c r="M51" s="44"/>
      <c r="N51" s="45"/>
      <c r="O51" s="46"/>
      <c r="P51" s="35"/>
      <c r="R51" s="57"/>
      <c r="U51" s="57"/>
      <c r="V51" s="707" t="s">
        <v>404</v>
      </c>
      <c r="W51" s="708"/>
      <c r="X51" s="47">
        <f>ROUND((_11_A身体１．０*_11・初任),0)+ROUND((ROUND((_11_B身体１．０＿０．５*(1+_11・B夜間)),0)*_11・初任),0)</f>
        <v>441</v>
      </c>
      <c r="Y51" s="48"/>
    </row>
    <row r="52" spans="1:25" ht="16.5" customHeight="1" x14ac:dyDescent="0.15">
      <c r="A52" s="41">
        <v>11</v>
      </c>
      <c r="B52" s="41" t="s">
        <v>1486</v>
      </c>
      <c r="C52" s="74" t="s">
        <v>1487</v>
      </c>
      <c r="D52" s="121"/>
      <c r="E52" s="99"/>
      <c r="F52" s="121"/>
      <c r="G52" s="99"/>
      <c r="H52" s="72"/>
      <c r="I52" s="57"/>
      <c r="J52" s="43"/>
      <c r="K52" s="37"/>
      <c r="L52" s="38"/>
      <c r="M52" s="44" t="s">
        <v>397</v>
      </c>
      <c r="N52" s="45" t="s">
        <v>398</v>
      </c>
      <c r="O52" s="46">
        <v>1</v>
      </c>
      <c r="P52" s="35"/>
      <c r="R52" s="57"/>
      <c r="U52" s="57"/>
      <c r="V52" s="709"/>
      <c r="W52" s="704"/>
      <c r="X52" s="47">
        <f>ROUND((ROUND((_11_A身体１．０*_11・２人),0)*_11・初任),0)+ROUND((ROUND((ROUND((_11_B身体１．０＿０．５*_11・２人),0)*(1+_11・B夜間)),0)*_11・初任),0)</f>
        <v>441</v>
      </c>
      <c r="Y52" s="48"/>
    </row>
    <row r="53" spans="1:25" ht="16.5" customHeight="1" x14ac:dyDescent="0.15">
      <c r="A53" s="41">
        <v>11</v>
      </c>
      <c r="B53" s="41" t="s">
        <v>1488</v>
      </c>
      <c r="C53" s="74" t="s">
        <v>1489</v>
      </c>
      <c r="D53" s="72"/>
      <c r="E53" s="99"/>
      <c r="F53" s="72"/>
      <c r="G53" s="99"/>
      <c r="H53" s="72"/>
      <c r="I53" s="57"/>
      <c r="J53" s="705" t="s">
        <v>400</v>
      </c>
      <c r="K53" s="49" t="s">
        <v>398</v>
      </c>
      <c r="L53" s="50">
        <v>0.7</v>
      </c>
      <c r="M53" s="44"/>
      <c r="N53" s="45"/>
      <c r="O53" s="46"/>
      <c r="P53" s="35"/>
      <c r="R53" s="57"/>
      <c r="U53" s="57"/>
      <c r="V53" s="709"/>
      <c r="W53" s="704"/>
      <c r="X53" s="47">
        <f>ROUND((ROUND((_11_A身体１．０*_11・基礎１),0)*_11・初任),0)+ROUND((ROUND((ROUND((_11_B身体１．０＿０．５*_11・基礎１),0)*(1+_11・B夜間)),0)*_11・初任),0)</f>
        <v>308</v>
      </c>
      <c r="Y53" s="48"/>
    </row>
    <row r="54" spans="1:25" ht="16.5" customHeight="1" x14ac:dyDescent="0.15">
      <c r="A54" s="41">
        <v>11</v>
      </c>
      <c r="B54" s="41" t="s">
        <v>1490</v>
      </c>
      <c r="C54" s="74" t="s">
        <v>1491</v>
      </c>
      <c r="D54" s="72"/>
      <c r="E54" s="99"/>
      <c r="F54" s="72"/>
      <c r="G54" s="99"/>
      <c r="H54" s="72"/>
      <c r="I54" s="57"/>
      <c r="J54" s="711"/>
      <c r="K54" s="37"/>
      <c r="L54" s="38"/>
      <c r="M54" s="44" t="s">
        <v>397</v>
      </c>
      <c r="N54" s="45" t="s">
        <v>398</v>
      </c>
      <c r="O54" s="46">
        <v>1</v>
      </c>
      <c r="P54" s="35"/>
      <c r="R54" s="57"/>
      <c r="U54" s="57"/>
      <c r="V54" s="55" t="s">
        <v>398</v>
      </c>
      <c r="W54" s="38">
        <f>_11・初任</f>
        <v>0.7</v>
      </c>
      <c r="X54" s="47">
        <f>ROUND((ROUND((ROUND((_11_A身体１．０*_11・基礎１),0)*_11・２人),0)*_11・初任),0)+ROUND((ROUND((ROUND((ROUND((_11_B身体１．０＿０．５*_11・基礎１),0)*_11・２人),0)*(1+_11・B夜間)),0)*_11・初任),0)</f>
        <v>308</v>
      </c>
      <c r="Y54" s="48"/>
    </row>
    <row r="55" spans="1:25" ht="16.5" customHeight="1" x14ac:dyDescent="0.15">
      <c r="A55" s="41">
        <v>11</v>
      </c>
      <c r="B55" s="41">
        <v>1447</v>
      </c>
      <c r="C55" s="74" t="s">
        <v>1492</v>
      </c>
      <c r="D55" s="72"/>
      <c r="E55" s="99"/>
      <c r="F55" s="707" t="s">
        <v>1493</v>
      </c>
      <c r="G55" s="717"/>
      <c r="H55" s="72"/>
      <c r="I55" s="57"/>
      <c r="J55" s="53"/>
      <c r="K55" s="49"/>
      <c r="L55" s="50"/>
      <c r="M55" s="44"/>
      <c r="N55" s="45"/>
      <c r="O55" s="46"/>
      <c r="P55" s="35"/>
      <c r="R55" s="57"/>
      <c r="U55" s="57"/>
      <c r="V55" s="53"/>
      <c r="W55" s="49"/>
      <c r="X55" s="47">
        <f>_11_A身体１．０+ROUND((_11_B身体１．０＿１．０*(1+_11・B夜間)),0)</f>
        <v>732</v>
      </c>
      <c r="Y55" s="48"/>
    </row>
    <row r="56" spans="1:25" ht="16.5" customHeight="1" x14ac:dyDescent="0.15">
      <c r="A56" s="41">
        <v>11</v>
      </c>
      <c r="B56" s="41">
        <v>1448</v>
      </c>
      <c r="C56" s="74" t="s">
        <v>1494</v>
      </c>
      <c r="D56" s="72"/>
      <c r="E56" s="99"/>
      <c r="F56" s="709"/>
      <c r="G56" s="718"/>
      <c r="H56" s="72"/>
      <c r="I56" s="57"/>
      <c r="J56" s="43"/>
      <c r="K56" s="37"/>
      <c r="L56" s="38"/>
      <c r="M56" s="44" t="s">
        <v>397</v>
      </c>
      <c r="N56" s="45" t="s">
        <v>398</v>
      </c>
      <c r="O56" s="46">
        <v>1</v>
      </c>
      <c r="P56" s="35"/>
      <c r="R56" s="57"/>
      <c r="U56" s="57"/>
      <c r="V56" s="35"/>
      <c r="X56" s="47">
        <f>ROUND((_11_A身体１．０*_11・２人),0)+ROUND((ROUND((_11_B身体１．０＿１．０*_11・２人),0)*(1+_11・B夜間)),0)</f>
        <v>732</v>
      </c>
      <c r="Y56" s="48"/>
    </row>
    <row r="57" spans="1:25" ht="16.5" customHeight="1" x14ac:dyDescent="0.15">
      <c r="A57" s="41">
        <v>11</v>
      </c>
      <c r="B57" s="41">
        <v>1449</v>
      </c>
      <c r="C57" s="74" t="s">
        <v>1495</v>
      </c>
      <c r="D57" s="72"/>
      <c r="E57" s="99"/>
      <c r="F57" s="709"/>
      <c r="G57" s="718"/>
      <c r="H57" s="72"/>
      <c r="I57" s="57"/>
      <c r="J57" s="705" t="s">
        <v>400</v>
      </c>
      <c r="K57" s="49" t="s">
        <v>398</v>
      </c>
      <c r="L57" s="50">
        <v>0.7</v>
      </c>
      <c r="M57" s="44"/>
      <c r="N57" s="45"/>
      <c r="O57" s="46"/>
      <c r="P57" s="35"/>
      <c r="R57" s="57"/>
      <c r="U57" s="57"/>
      <c r="V57" s="35"/>
      <c r="X57" s="47">
        <f>ROUND((_11_A身体１．０*_11・基礎１),0)+ROUND((ROUND((_11_B身体１．０＿１．０*_11・基礎１),0)*(1+_11・B夜間)),0)</f>
        <v>512</v>
      </c>
      <c r="Y57" s="48"/>
    </row>
    <row r="58" spans="1:25" ht="16.5" customHeight="1" x14ac:dyDescent="0.15">
      <c r="A58" s="41">
        <v>11</v>
      </c>
      <c r="B58" s="41">
        <v>1450</v>
      </c>
      <c r="C58" s="74" t="s">
        <v>1496</v>
      </c>
      <c r="D58" s="72"/>
      <c r="E58" s="99"/>
      <c r="F58" s="100">
        <f>_11_B身体１．０＿１．０</f>
        <v>264</v>
      </c>
      <c r="G58" s="12" t="s">
        <v>392</v>
      </c>
      <c r="H58" s="72"/>
      <c r="I58" s="57"/>
      <c r="J58" s="711"/>
      <c r="K58" s="37"/>
      <c r="L58" s="38"/>
      <c r="M58" s="44" t="s">
        <v>397</v>
      </c>
      <c r="N58" s="45" t="s">
        <v>398</v>
      </c>
      <c r="O58" s="46">
        <v>1</v>
      </c>
      <c r="P58" s="35"/>
      <c r="R58" s="57"/>
      <c r="U58" s="57"/>
      <c r="V58" s="43"/>
      <c r="W58" s="37"/>
      <c r="X58" s="47">
        <f>ROUND((ROUND((_11_A身体１．０*_11・基礎１),0)*_11・２人),0)+ROUND((ROUND((ROUND((_11_B身体１．０＿１．０*_11・基礎１),0)*_11・２人),0)*(1+_11・B夜間)),0)</f>
        <v>512</v>
      </c>
      <c r="Y58" s="48"/>
    </row>
    <row r="59" spans="1:25" ht="16.5" customHeight="1" x14ac:dyDescent="0.15">
      <c r="A59" s="41">
        <v>11</v>
      </c>
      <c r="B59" s="41" t="s">
        <v>1497</v>
      </c>
      <c r="C59" s="74" t="s">
        <v>1498</v>
      </c>
      <c r="D59" s="72"/>
      <c r="E59" s="99"/>
      <c r="F59" s="121"/>
      <c r="G59" s="99"/>
      <c r="H59" s="72"/>
      <c r="I59" s="57"/>
      <c r="J59" s="53"/>
      <c r="K59" s="49"/>
      <c r="L59" s="50"/>
      <c r="M59" s="44"/>
      <c r="N59" s="45"/>
      <c r="O59" s="46"/>
      <c r="P59" s="35"/>
      <c r="R59" s="57"/>
      <c r="U59" s="57"/>
      <c r="V59" s="707" t="s">
        <v>404</v>
      </c>
      <c r="W59" s="708"/>
      <c r="X59" s="47">
        <f>ROUND((_11_A身体１．０*_11・初任),0)+ROUND((ROUND((_11_B身体１．０＿１．０*(1+_11・B夜間)),0)*_11・初任),0)</f>
        <v>512</v>
      </c>
      <c r="Y59" s="48"/>
    </row>
    <row r="60" spans="1:25" ht="16.5" customHeight="1" x14ac:dyDescent="0.15">
      <c r="A60" s="41">
        <v>11</v>
      </c>
      <c r="B60" s="41" t="s">
        <v>1499</v>
      </c>
      <c r="C60" s="74" t="s">
        <v>1500</v>
      </c>
      <c r="D60" s="72"/>
      <c r="E60" s="99"/>
      <c r="F60" s="121"/>
      <c r="G60" s="99"/>
      <c r="H60" s="72"/>
      <c r="I60" s="57"/>
      <c r="J60" s="43"/>
      <c r="K60" s="37"/>
      <c r="L60" s="38"/>
      <c r="M60" s="44" t="s">
        <v>397</v>
      </c>
      <c r="N60" s="45" t="s">
        <v>398</v>
      </c>
      <c r="O60" s="46">
        <v>1</v>
      </c>
      <c r="P60" s="35"/>
      <c r="R60" s="57"/>
      <c r="U60" s="57"/>
      <c r="V60" s="709"/>
      <c r="W60" s="704"/>
      <c r="X60" s="47">
        <f>ROUND((ROUND((_11_A身体１．０*_11・２人),0)*_11・初任),0)+ROUND((ROUND((ROUND((_11_B身体１．０＿１．０*_11・２人),0)*(1+_11・B夜間)),0)*_11・初任),0)</f>
        <v>512</v>
      </c>
      <c r="Y60" s="48"/>
    </row>
    <row r="61" spans="1:25" ht="16.5" customHeight="1" x14ac:dyDescent="0.15">
      <c r="A61" s="41">
        <v>11</v>
      </c>
      <c r="B61" s="41" t="s">
        <v>1501</v>
      </c>
      <c r="C61" s="74" t="s">
        <v>1502</v>
      </c>
      <c r="D61" s="72"/>
      <c r="E61" s="99"/>
      <c r="F61" s="72"/>
      <c r="G61" s="99"/>
      <c r="H61" s="72"/>
      <c r="I61" s="57"/>
      <c r="J61" s="705" t="s">
        <v>400</v>
      </c>
      <c r="K61" s="49" t="s">
        <v>398</v>
      </c>
      <c r="L61" s="50">
        <v>0.7</v>
      </c>
      <c r="M61" s="44"/>
      <c r="N61" s="45"/>
      <c r="O61" s="46"/>
      <c r="P61" s="35"/>
      <c r="R61" s="57"/>
      <c r="U61" s="57"/>
      <c r="V61" s="709"/>
      <c r="W61" s="704"/>
      <c r="X61" s="47">
        <f>ROUND((ROUND((_11_A身体１．０*_11・基礎１),0)*_11・初任),0)+ROUND((ROUND((ROUND((_11_B身体１．０＿１．０*_11・基礎１),0)*(1+_11・B夜間)),0)*_11・初任),0)</f>
        <v>359</v>
      </c>
      <c r="Y61" s="48"/>
    </row>
    <row r="62" spans="1:25" ht="16.5" customHeight="1" x14ac:dyDescent="0.15">
      <c r="A62" s="41">
        <v>11</v>
      </c>
      <c r="B62" s="41" t="s">
        <v>1503</v>
      </c>
      <c r="C62" s="74" t="s">
        <v>1504</v>
      </c>
      <c r="D62" s="72"/>
      <c r="E62" s="99"/>
      <c r="F62" s="72"/>
      <c r="G62" s="99"/>
      <c r="H62" s="72"/>
      <c r="I62" s="57"/>
      <c r="J62" s="711"/>
      <c r="K62" s="37"/>
      <c r="L62" s="38"/>
      <c r="M62" s="44" t="s">
        <v>397</v>
      </c>
      <c r="N62" s="45" t="s">
        <v>398</v>
      </c>
      <c r="O62" s="46">
        <v>1</v>
      </c>
      <c r="P62" s="35"/>
      <c r="R62" s="57"/>
      <c r="U62" s="57"/>
      <c r="V62" s="55" t="s">
        <v>398</v>
      </c>
      <c r="W62" s="38">
        <f>_11・初任</f>
        <v>0.7</v>
      </c>
      <c r="X62" s="47">
        <f>ROUND((ROUND((ROUND((_11_A身体１．０*_11・基礎１),0)*_11・２人),0)*_11・初任),0)+ROUND((ROUND((ROUND((ROUND((_11_B身体１．０＿１．０*_11・基礎１),0)*_11・２人),0)*(1+_11・B夜間)),0)*_11・初任),0)</f>
        <v>359</v>
      </c>
      <c r="Y62" s="48"/>
    </row>
    <row r="63" spans="1:25" ht="16.5" customHeight="1" x14ac:dyDescent="0.15">
      <c r="A63" s="41">
        <v>11</v>
      </c>
      <c r="B63" s="41">
        <v>1451</v>
      </c>
      <c r="C63" s="74" t="s">
        <v>1505</v>
      </c>
      <c r="D63" s="72"/>
      <c r="E63" s="99"/>
      <c r="F63" s="707" t="s">
        <v>1442</v>
      </c>
      <c r="G63" s="717"/>
      <c r="H63" s="72"/>
      <c r="I63" s="57"/>
      <c r="J63" s="53"/>
      <c r="K63" s="49"/>
      <c r="L63" s="50"/>
      <c r="M63" s="44"/>
      <c r="N63" s="45"/>
      <c r="O63" s="46"/>
      <c r="P63" s="35"/>
      <c r="R63" s="57"/>
      <c r="U63" s="57"/>
      <c r="V63" s="53"/>
      <c r="W63" s="49"/>
      <c r="X63" s="47">
        <f>_11_A身体１．０+ROUND((_11_B身体１．０＿１．５*(1+_11・B夜間)),0)</f>
        <v>837</v>
      </c>
      <c r="Y63" s="48"/>
    </row>
    <row r="64" spans="1:25" ht="16.5" customHeight="1" x14ac:dyDescent="0.15">
      <c r="A64" s="41">
        <v>11</v>
      </c>
      <c r="B64" s="41">
        <v>1452</v>
      </c>
      <c r="C64" s="74" t="s">
        <v>1506</v>
      </c>
      <c r="D64" s="72"/>
      <c r="E64" s="99"/>
      <c r="F64" s="709"/>
      <c r="G64" s="718"/>
      <c r="H64" s="72"/>
      <c r="I64" s="57"/>
      <c r="J64" s="43"/>
      <c r="K64" s="37"/>
      <c r="L64" s="38"/>
      <c r="M64" s="44" t="s">
        <v>397</v>
      </c>
      <c r="N64" s="45" t="s">
        <v>398</v>
      </c>
      <c r="O64" s="46">
        <v>1</v>
      </c>
      <c r="P64" s="35"/>
      <c r="R64" s="57"/>
      <c r="U64" s="57"/>
      <c r="V64" s="35"/>
      <c r="X64" s="47">
        <f>ROUND((_11_A身体１．０*_11・２人),0)+ROUND((ROUND((_11_B身体１．０＿１．５*_11・２人),0)*(1+_11・B夜間)),0)</f>
        <v>837</v>
      </c>
      <c r="Y64" s="48"/>
    </row>
    <row r="65" spans="1:25" ht="16.5" customHeight="1" x14ac:dyDescent="0.15">
      <c r="A65" s="41">
        <v>11</v>
      </c>
      <c r="B65" s="41">
        <v>1453</v>
      </c>
      <c r="C65" s="74" t="s">
        <v>1507</v>
      </c>
      <c r="D65" s="72"/>
      <c r="E65" s="99"/>
      <c r="F65" s="709"/>
      <c r="G65" s="718"/>
      <c r="H65" s="72"/>
      <c r="I65" s="57"/>
      <c r="J65" s="705" t="s">
        <v>400</v>
      </c>
      <c r="K65" s="49" t="s">
        <v>398</v>
      </c>
      <c r="L65" s="50">
        <v>0.7</v>
      </c>
      <c r="M65" s="44"/>
      <c r="N65" s="45"/>
      <c r="O65" s="46"/>
      <c r="P65" s="35"/>
      <c r="R65" s="57"/>
      <c r="U65" s="57"/>
      <c r="V65" s="35"/>
      <c r="X65" s="47">
        <f>ROUND((_11_A身体１．０*_11・基礎１),0)+ROUND((ROUND((_11_B身体１．０＿１．５*_11・基礎１),0)*(1+_11・B夜間)),0)</f>
        <v>586</v>
      </c>
      <c r="Y65" s="48"/>
    </row>
    <row r="66" spans="1:25" ht="16.5" customHeight="1" x14ac:dyDescent="0.15">
      <c r="A66" s="41">
        <v>11</v>
      </c>
      <c r="B66" s="41">
        <v>1454</v>
      </c>
      <c r="C66" s="74" t="s">
        <v>1508</v>
      </c>
      <c r="D66" s="72"/>
      <c r="E66" s="99"/>
      <c r="F66" s="100">
        <f>_11_B身体１．０＿１．５</f>
        <v>348</v>
      </c>
      <c r="G66" s="12" t="s">
        <v>392</v>
      </c>
      <c r="H66" s="72"/>
      <c r="I66" s="57"/>
      <c r="J66" s="711"/>
      <c r="K66" s="37"/>
      <c r="L66" s="38"/>
      <c r="M66" s="44" t="s">
        <v>397</v>
      </c>
      <c r="N66" s="45" t="s">
        <v>398</v>
      </c>
      <c r="O66" s="46">
        <v>1</v>
      </c>
      <c r="P66" s="35"/>
      <c r="R66" s="57"/>
      <c r="U66" s="57"/>
      <c r="V66" s="43"/>
      <c r="W66" s="37"/>
      <c r="X66" s="47">
        <f>ROUND((ROUND((_11_A身体１．０*_11・基礎１),0)*_11・２人),0)+ROUND((ROUND((ROUND((_11_B身体１．０＿１．５*_11・基礎１),0)*_11・２人),0)*(1+_11・B夜間)),0)</f>
        <v>586</v>
      </c>
      <c r="Y66" s="48"/>
    </row>
    <row r="67" spans="1:25" ht="16.5" customHeight="1" x14ac:dyDescent="0.15">
      <c r="A67" s="41">
        <v>11</v>
      </c>
      <c r="B67" s="41" t="s">
        <v>1509</v>
      </c>
      <c r="C67" s="74" t="s">
        <v>1510</v>
      </c>
      <c r="D67" s="72"/>
      <c r="E67" s="99"/>
      <c r="F67" s="121"/>
      <c r="G67" s="99"/>
      <c r="H67" s="72"/>
      <c r="I67" s="57"/>
      <c r="J67" s="53"/>
      <c r="K67" s="49"/>
      <c r="L67" s="50"/>
      <c r="M67" s="44"/>
      <c r="N67" s="45"/>
      <c r="O67" s="46"/>
      <c r="P67" s="35"/>
      <c r="R67" s="57"/>
      <c r="U67" s="57"/>
      <c r="V67" s="707" t="s">
        <v>404</v>
      </c>
      <c r="W67" s="708"/>
      <c r="X67" s="47">
        <f>ROUND((_11_A身体１．０*_11・初任),0)+ROUND((ROUND((_11_B身体１．０＿１．５*(1+_11・B夜間)),0)*_11・初任),0)</f>
        <v>586</v>
      </c>
      <c r="Y67" s="48"/>
    </row>
    <row r="68" spans="1:25" ht="16.5" customHeight="1" x14ac:dyDescent="0.15">
      <c r="A68" s="41">
        <v>11</v>
      </c>
      <c r="B68" s="41" t="s">
        <v>1511</v>
      </c>
      <c r="C68" s="74" t="s">
        <v>1512</v>
      </c>
      <c r="D68" s="72"/>
      <c r="E68" s="99"/>
      <c r="F68" s="121"/>
      <c r="G68" s="99"/>
      <c r="H68" s="72"/>
      <c r="I68" s="57"/>
      <c r="J68" s="43"/>
      <c r="K68" s="37"/>
      <c r="L68" s="38"/>
      <c r="M68" s="44" t="s">
        <v>397</v>
      </c>
      <c r="N68" s="45" t="s">
        <v>398</v>
      </c>
      <c r="O68" s="46">
        <v>1</v>
      </c>
      <c r="P68" s="35"/>
      <c r="R68" s="57"/>
      <c r="U68" s="57"/>
      <c r="V68" s="709"/>
      <c r="W68" s="704"/>
      <c r="X68" s="47">
        <f>ROUND((ROUND((_11_A身体１．０*_11・２人),0)*_11・初任),0)+ROUND((ROUND((ROUND((_11_B身体１．０＿１．５*_11・２人),0)*(1+_11・B夜間)),0)*_11・初任),0)</f>
        <v>586</v>
      </c>
      <c r="Y68" s="48"/>
    </row>
    <row r="69" spans="1:25" ht="16.5" customHeight="1" x14ac:dyDescent="0.15">
      <c r="A69" s="41">
        <v>11</v>
      </c>
      <c r="B69" s="41" t="s">
        <v>1513</v>
      </c>
      <c r="C69" s="74" t="s">
        <v>1514</v>
      </c>
      <c r="D69" s="72"/>
      <c r="E69" s="99"/>
      <c r="F69" s="72"/>
      <c r="G69" s="99"/>
      <c r="H69" s="72"/>
      <c r="I69" s="57"/>
      <c r="J69" s="705" t="s">
        <v>400</v>
      </c>
      <c r="K69" s="49" t="s">
        <v>398</v>
      </c>
      <c r="L69" s="50">
        <v>0.7</v>
      </c>
      <c r="M69" s="44"/>
      <c r="N69" s="45"/>
      <c r="O69" s="46"/>
      <c r="P69" s="35"/>
      <c r="R69" s="57"/>
      <c r="U69" s="57"/>
      <c r="V69" s="709"/>
      <c r="W69" s="704"/>
      <c r="X69" s="47">
        <f>ROUND((ROUND((_11_A身体１．０*_11・基礎１),0)*_11・初任),0)+ROUND((ROUND((ROUND((_11_B身体１．０＿１．５*_11・基礎１),0)*(1+_11・B夜間)),0)*_11・初任),0)</f>
        <v>411</v>
      </c>
      <c r="Y69" s="48"/>
    </row>
    <row r="70" spans="1:25" ht="16.5" customHeight="1" x14ac:dyDescent="0.15">
      <c r="A70" s="41">
        <v>11</v>
      </c>
      <c r="B70" s="41" t="s">
        <v>1515</v>
      </c>
      <c r="C70" s="74" t="s">
        <v>1516</v>
      </c>
      <c r="D70" s="72"/>
      <c r="E70" s="99"/>
      <c r="F70" s="72"/>
      <c r="G70" s="99"/>
      <c r="H70" s="72"/>
      <c r="I70" s="57"/>
      <c r="J70" s="711"/>
      <c r="K70" s="37"/>
      <c r="L70" s="38"/>
      <c r="M70" s="44" t="s">
        <v>397</v>
      </c>
      <c r="N70" s="45" t="s">
        <v>398</v>
      </c>
      <c r="O70" s="46">
        <v>1</v>
      </c>
      <c r="P70" s="35"/>
      <c r="R70" s="57"/>
      <c r="U70" s="57"/>
      <c r="V70" s="55" t="s">
        <v>398</v>
      </c>
      <c r="W70" s="38">
        <f>_11・初任</f>
        <v>0.7</v>
      </c>
      <c r="X70" s="47">
        <f>ROUND((ROUND((ROUND((_11_A身体１．０*_11・基礎１),0)*_11・２人),0)*_11・初任),0)+ROUND((ROUND((ROUND((ROUND((_11_B身体１．０＿１．５*_11・基礎１),0)*_11・２人),0)*(1+_11・B夜間)),0)*_11・初任),0)</f>
        <v>411</v>
      </c>
      <c r="Y70" s="48"/>
    </row>
    <row r="71" spans="1:25" ht="16.5" customHeight="1" x14ac:dyDescent="0.15">
      <c r="A71" s="41">
        <v>11</v>
      </c>
      <c r="B71" s="41">
        <v>1455</v>
      </c>
      <c r="C71" s="74" t="s">
        <v>1517</v>
      </c>
      <c r="D71" s="72"/>
      <c r="E71" s="99"/>
      <c r="F71" s="707" t="s">
        <v>1455</v>
      </c>
      <c r="G71" s="717"/>
      <c r="H71" s="72"/>
      <c r="I71" s="57"/>
      <c r="J71" s="53"/>
      <c r="K71" s="49"/>
      <c r="L71" s="50"/>
      <c r="M71" s="44"/>
      <c r="N71" s="45"/>
      <c r="O71" s="46"/>
      <c r="P71" s="35"/>
      <c r="R71" s="57"/>
      <c r="U71" s="57"/>
      <c r="V71" s="53"/>
      <c r="W71" s="49"/>
      <c r="X71" s="47">
        <f>_11_A身体１．０+ROUND((_11_B身体１．０＿２．０*(1+_11・B夜間)),0)</f>
        <v>941</v>
      </c>
      <c r="Y71" s="48"/>
    </row>
    <row r="72" spans="1:25" ht="16.5" customHeight="1" x14ac:dyDescent="0.15">
      <c r="A72" s="41">
        <v>11</v>
      </c>
      <c r="B72" s="41">
        <v>1456</v>
      </c>
      <c r="C72" s="74" t="s">
        <v>1518</v>
      </c>
      <c r="D72" s="72"/>
      <c r="E72" s="99"/>
      <c r="F72" s="709"/>
      <c r="G72" s="718"/>
      <c r="H72" s="72"/>
      <c r="I72" s="57"/>
      <c r="J72" s="43"/>
      <c r="K72" s="37"/>
      <c r="L72" s="38"/>
      <c r="M72" s="44" t="s">
        <v>397</v>
      </c>
      <c r="N72" s="45" t="s">
        <v>398</v>
      </c>
      <c r="O72" s="46">
        <v>1</v>
      </c>
      <c r="P72" s="35"/>
      <c r="R72" s="57"/>
      <c r="U72" s="57"/>
      <c r="V72" s="35"/>
      <c r="X72" s="47">
        <f>ROUND((_11_A身体１．０*_11・２人),0)+ROUND((ROUND((_11_B身体１．０＿２．０*_11・２人),0)*(1+_11・B夜間)),0)</f>
        <v>941</v>
      </c>
      <c r="Y72" s="48"/>
    </row>
    <row r="73" spans="1:25" ht="16.5" customHeight="1" x14ac:dyDescent="0.15">
      <c r="A73" s="41">
        <v>11</v>
      </c>
      <c r="B73" s="41">
        <v>1457</v>
      </c>
      <c r="C73" s="74" t="s">
        <v>1519</v>
      </c>
      <c r="D73" s="72"/>
      <c r="E73" s="99"/>
      <c r="F73" s="709"/>
      <c r="G73" s="718"/>
      <c r="H73" s="72"/>
      <c r="I73" s="57"/>
      <c r="J73" s="705" t="s">
        <v>400</v>
      </c>
      <c r="K73" s="49" t="s">
        <v>398</v>
      </c>
      <c r="L73" s="50">
        <v>0.7</v>
      </c>
      <c r="M73" s="44"/>
      <c r="N73" s="45"/>
      <c r="O73" s="46"/>
      <c r="P73" s="35"/>
      <c r="R73" s="57"/>
      <c r="U73" s="57"/>
      <c r="V73" s="35"/>
      <c r="X73" s="47">
        <f>ROUND((_11_A身体１．０*_11・基礎１),0)+ROUND((ROUND((_11_B身体１．０＿２．０*_11・基礎１),0)*(1+_11・B夜間)),0)</f>
        <v>659</v>
      </c>
      <c r="Y73" s="48"/>
    </row>
    <row r="74" spans="1:25" ht="16.5" customHeight="1" x14ac:dyDescent="0.15">
      <c r="A74" s="41">
        <v>11</v>
      </c>
      <c r="B74" s="41">
        <v>1458</v>
      </c>
      <c r="C74" s="74" t="s">
        <v>1520</v>
      </c>
      <c r="D74" s="72"/>
      <c r="E74" s="99"/>
      <c r="F74" s="100">
        <f>_11_B身体１．０＿２．０</f>
        <v>431</v>
      </c>
      <c r="G74" s="12" t="s">
        <v>392</v>
      </c>
      <c r="H74" s="72"/>
      <c r="I74" s="57"/>
      <c r="J74" s="711"/>
      <c r="K74" s="37"/>
      <c r="L74" s="38"/>
      <c r="M74" s="44" t="s">
        <v>397</v>
      </c>
      <c r="N74" s="45" t="s">
        <v>398</v>
      </c>
      <c r="O74" s="46">
        <v>1</v>
      </c>
      <c r="P74" s="35"/>
      <c r="R74" s="57"/>
      <c r="U74" s="57"/>
      <c r="V74" s="43"/>
      <c r="W74" s="37"/>
      <c r="X74" s="47">
        <f>ROUND((ROUND((_11_A身体１．０*_11・基礎１),0)*_11・２人),0)+ROUND((ROUND((ROUND((_11_B身体１．０＿２．０*_11・基礎１),0)*_11・２人),0)*(1+_11・B夜間)),0)</f>
        <v>659</v>
      </c>
      <c r="Y74" s="48"/>
    </row>
    <row r="75" spans="1:25" ht="16.5" customHeight="1" x14ac:dyDescent="0.15">
      <c r="A75" s="41">
        <v>11</v>
      </c>
      <c r="B75" s="41" t="s">
        <v>1521</v>
      </c>
      <c r="C75" s="74" t="s">
        <v>1522</v>
      </c>
      <c r="D75" s="72"/>
      <c r="E75" s="99"/>
      <c r="F75" s="121"/>
      <c r="G75" s="99"/>
      <c r="H75" s="72"/>
      <c r="I75" s="57"/>
      <c r="J75" s="53"/>
      <c r="K75" s="49"/>
      <c r="L75" s="50"/>
      <c r="M75" s="44"/>
      <c r="N75" s="45"/>
      <c r="O75" s="46"/>
      <c r="P75" s="35"/>
      <c r="R75" s="57"/>
      <c r="U75" s="57"/>
      <c r="V75" s="707" t="s">
        <v>404</v>
      </c>
      <c r="W75" s="708"/>
      <c r="X75" s="47">
        <f>ROUND((_11_A身体１．０*_11・初任),0)+ROUND((ROUND((_11_B身体１．０＿２．０*(1+_11・B夜間)),0)*_11・初任),0)</f>
        <v>658</v>
      </c>
      <c r="Y75" s="48"/>
    </row>
    <row r="76" spans="1:25" ht="16.5" customHeight="1" x14ac:dyDescent="0.15">
      <c r="A76" s="41">
        <v>11</v>
      </c>
      <c r="B76" s="41" t="s">
        <v>1523</v>
      </c>
      <c r="C76" s="74" t="s">
        <v>1524</v>
      </c>
      <c r="D76" s="72"/>
      <c r="E76" s="99"/>
      <c r="F76" s="121"/>
      <c r="G76" s="99"/>
      <c r="H76" s="72"/>
      <c r="I76" s="57"/>
      <c r="J76" s="43"/>
      <c r="K76" s="37"/>
      <c r="L76" s="38"/>
      <c r="M76" s="44" t="s">
        <v>397</v>
      </c>
      <c r="N76" s="45" t="s">
        <v>398</v>
      </c>
      <c r="O76" s="46">
        <v>1</v>
      </c>
      <c r="P76" s="35"/>
      <c r="R76" s="57"/>
      <c r="U76" s="57"/>
      <c r="V76" s="709"/>
      <c r="W76" s="704"/>
      <c r="X76" s="47">
        <f>ROUND((ROUND((_11_A身体１．０*_11・２人),0)*_11・初任),0)+ROUND((ROUND((ROUND((_11_B身体１．０＿２．０*_11・２人),0)*(1+_11・B夜間)),0)*_11・初任),0)</f>
        <v>658</v>
      </c>
      <c r="Y76" s="48"/>
    </row>
    <row r="77" spans="1:25" ht="16.5" customHeight="1" x14ac:dyDescent="0.15">
      <c r="A77" s="41">
        <v>11</v>
      </c>
      <c r="B77" s="41" t="s">
        <v>1525</v>
      </c>
      <c r="C77" s="74" t="s">
        <v>1526</v>
      </c>
      <c r="D77" s="72"/>
      <c r="E77" s="99"/>
      <c r="F77" s="72"/>
      <c r="G77" s="99"/>
      <c r="H77" s="72"/>
      <c r="I77" s="57"/>
      <c r="J77" s="705" t="s">
        <v>400</v>
      </c>
      <c r="K77" s="49" t="s">
        <v>398</v>
      </c>
      <c r="L77" s="50">
        <v>0.7</v>
      </c>
      <c r="M77" s="44"/>
      <c r="N77" s="45"/>
      <c r="O77" s="46"/>
      <c r="P77" s="35"/>
      <c r="R77" s="57"/>
      <c r="U77" s="57"/>
      <c r="V77" s="709"/>
      <c r="W77" s="704"/>
      <c r="X77" s="47">
        <f>ROUND((ROUND((_11_A身体１．０*_11・基礎１),0)*_11・初任),0)+ROUND((ROUND((ROUND((_11_B身体１．０＿２．０*_11・基礎１),0)*(1+_11・B夜間)),0)*_11・初任),0)</f>
        <v>462</v>
      </c>
      <c r="Y77" s="48"/>
    </row>
    <row r="78" spans="1:25" ht="16.5" customHeight="1" x14ac:dyDescent="0.15">
      <c r="A78" s="41">
        <v>11</v>
      </c>
      <c r="B78" s="41" t="s">
        <v>1527</v>
      </c>
      <c r="C78" s="74" t="s">
        <v>1528</v>
      </c>
      <c r="D78" s="122"/>
      <c r="E78" s="111"/>
      <c r="F78" s="122"/>
      <c r="G78" s="111"/>
      <c r="H78" s="122"/>
      <c r="I78" s="79"/>
      <c r="J78" s="711"/>
      <c r="K78" s="37"/>
      <c r="L78" s="38"/>
      <c r="M78" s="44" t="s">
        <v>397</v>
      </c>
      <c r="N78" s="45" t="s">
        <v>398</v>
      </c>
      <c r="O78" s="46">
        <v>1</v>
      </c>
      <c r="P78" s="43"/>
      <c r="Q78" s="38"/>
      <c r="R78" s="79"/>
      <c r="S78" s="37"/>
      <c r="T78" s="38"/>
      <c r="U78" s="79"/>
      <c r="V78" s="55" t="s">
        <v>398</v>
      </c>
      <c r="W78" s="38">
        <f>_11・初任</f>
        <v>0.7</v>
      </c>
      <c r="X78" s="47">
        <f>ROUND((ROUND((ROUND((_11_A身体１．０*_11・基礎１),0)*_11・２人),0)*_11・初任),0)+ROUND((ROUND((ROUND((ROUND((_11_B身体１．０＿２．０*_11・基礎１),0)*_11・２人),0)*(1+_11・B夜間)),0)*_11・初任),0)</f>
        <v>462</v>
      </c>
      <c r="Y78" s="63"/>
    </row>
    <row r="79" spans="1:25" ht="16.5" customHeight="1" x14ac:dyDescent="0.15">
      <c r="A79" s="41">
        <v>11</v>
      </c>
      <c r="B79" s="41">
        <v>1459</v>
      </c>
      <c r="C79" s="74" t="s">
        <v>1529</v>
      </c>
      <c r="D79" s="709" t="s">
        <v>425</v>
      </c>
      <c r="E79" s="718"/>
      <c r="F79" s="709" t="s">
        <v>1415</v>
      </c>
      <c r="G79" s="718"/>
      <c r="H79" s="72"/>
      <c r="I79" s="57"/>
      <c r="J79" s="35"/>
      <c r="K79" s="49"/>
      <c r="L79" s="50"/>
      <c r="M79" s="44"/>
      <c r="N79" s="45"/>
      <c r="O79" s="46"/>
      <c r="P79" s="35"/>
      <c r="R79" s="57"/>
      <c r="S79" s="35" t="s">
        <v>1416</v>
      </c>
      <c r="U79" s="57"/>
      <c r="V79" s="53"/>
      <c r="W79" s="49"/>
      <c r="X79" s="47">
        <f>_11_A身体１．５+ROUND((_11_B身体１．５＿０．５*(1+_11・B夜間)),0)</f>
        <v>687</v>
      </c>
      <c r="Y79" s="48"/>
    </row>
    <row r="80" spans="1:25" ht="16.5" customHeight="1" x14ac:dyDescent="0.15">
      <c r="A80" s="41">
        <v>11</v>
      </c>
      <c r="B80" s="41">
        <v>1460</v>
      </c>
      <c r="C80" s="74" t="s">
        <v>1530</v>
      </c>
      <c r="D80" s="709"/>
      <c r="E80" s="718"/>
      <c r="F80" s="709"/>
      <c r="G80" s="718"/>
      <c r="H80" s="72"/>
      <c r="I80" s="57"/>
      <c r="J80" s="43"/>
      <c r="K80" s="37"/>
      <c r="L80" s="38"/>
      <c r="M80" s="44" t="s">
        <v>397</v>
      </c>
      <c r="N80" s="45" t="s">
        <v>398</v>
      </c>
      <c r="O80" s="46">
        <v>1</v>
      </c>
      <c r="P80" s="35"/>
      <c r="R80" s="57"/>
      <c r="S80" s="12" t="s">
        <v>398</v>
      </c>
      <c r="T80" s="13">
        <v>0.25</v>
      </c>
      <c r="U80" s="728" t="s">
        <v>676</v>
      </c>
      <c r="V80" s="35"/>
      <c r="X80" s="47">
        <f>ROUND((_11_A身体１．５*_11・２人),0)+ROUND((ROUND((_11_B身体１．５＿０．５*_11・２人),0)*(1+_11・B夜間)),0)</f>
        <v>687</v>
      </c>
      <c r="Y80" s="48"/>
    </row>
    <row r="81" spans="1:25" ht="16.5" customHeight="1" x14ac:dyDescent="0.15">
      <c r="A81" s="41">
        <v>11</v>
      </c>
      <c r="B81" s="41">
        <v>1461</v>
      </c>
      <c r="C81" s="74" t="s">
        <v>1531</v>
      </c>
      <c r="D81" s="709"/>
      <c r="E81" s="718"/>
      <c r="F81" s="709"/>
      <c r="G81" s="718"/>
      <c r="H81" s="72"/>
      <c r="I81" s="57"/>
      <c r="J81" s="705" t="s">
        <v>400</v>
      </c>
      <c r="K81" s="49" t="s">
        <v>398</v>
      </c>
      <c r="L81" s="50">
        <v>0.7</v>
      </c>
      <c r="M81" s="44"/>
      <c r="N81" s="45"/>
      <c r="O81" s="46"/>
      <c r="P81" s="35"/>
      <c r="R81" s="57"/>
      <c r="U81" s="728"/>
      <c r="V81" s="35"/>
      <c r="X81" s="47">
        <f>ROUND((_11_A身体１．５*_11・基礎１),0)+ROUND((ROUND((_11_B身体１．５＿０．５*_11・基礎１),0)*(1+_11・B夜間)),0)</f>
        <v>480</v>
      </c>
      <c r="Y81" s="48"/>
    </row>
    <row r="82" spans="1:25" ht="16.5" customHeight="1" x14ac:dyDescent="0.15">
      <c r="A82" s="41">
        <v>11</v>
      </c>
      <c r="B82" s="41">
        <v>1462</v>
      </c>
      <c r="C82" s="74" t="s">
        <v>1532</v>
      </c>
      <c r="D82" s="100">
        <f>_11_A身体１．５</f>
        <v>584</v>
      </c>
      <c r="E82" s="12" t="s">
        <v>392</v>
      </c>
      <c r="F82" s="100">
        <f>_11_B身体１．５＿０．５</f>
        <v>82</v>
      </c>
      <c r="G82" s="12" t="s">
        <v>392</v>
      </c>
      <c r="H82" s="72"/>
      <c r="I82" s="57"/>
      <c r="J82" s="711"/>
      <c r="K82" s="37"/>
      <c r="L82" s="38"/>
      <c r="M82" s="44" t="s">
        <v>397</v>
      </c>
      <c r="N82" s="45" t="s">
        <v>398</v>
      </c>
      <c r="O82" s="46">
        <v>1</v>
      </c>
      <c r="P82" s="35"/>
      <c r="R82" s="57"/>
      <c r="U82" s="57"/>
      <c r="V82" s="43"/>
      <c r="W82" s="37"/>
      <c r="X82" s="47">
        <f>ROUND((ROUND((_11_A身体１．５*_11・基礎１),0)*_11・２人),0)+ROUND((ROUND((ROUND((_11_B身体１．５＿０．５*_11・基礎１),0)*_11・２人),0)*(1+_11・B夜間)),0)</f>
        <v>480</v>
      </c>
      <c r="Y82" s="48"/>
    </row>
    <row r="83" spans="1:25" ht="16.5" customHeight="1" x14ac:dyDescent="0.15">
      <c r="A83" s="41">
        <v>11</v>
      </c>
      <c r="B83" s="41" t="s">
        <v>1533</v>
      </c>
      <c r="C83" s="74" t="s">
        <v>1534</v>
      </c>
      <c r="D83" s="121"/>
      <c r="E83" s="99"/>
      <c r="F83" s="121"/>
      <c r="G83" s="99"/>
      <c r="H83" s="72"/>
      <c r="I83" s="57"/>
      <c r="J83" s="53"/>
      <c r="K83" s="49"/>
      <c r="L83" s="50"/>
      <c r="M83" s="44"/>
      <c r="N83" s="45"/>
      <c r="O83" s="46"/>
      <c r="P83" s="35"/>
      <c r="R83" s="57"/>
      <c r="U83" s="57"/>
      <c r="V83" s="707" t="s">
        <v>404</v>
      </c>
      <c r="W83" s="708"/>
      <c r="X83" s="47">
        <f>ROUND((_11_A身体１．５*_11・初任),0)+ROUND((ROUND((_11_B身体１．５＿０．５*(1+_11・B夜間)),0)*_11・初任),0)</f>
        <v>481</v>
      </c>
      <c r="Y83" s="48"/>
    </row>
    <row r="84" spans="1:25" ht="16.5" customHeight="1" x14ac:dyDescent="0.15">
      <c r="A84" s="41">
        <v>11</v>
      </c>
      <c r="B84" s="41" t="s">
        <v>1535</v>
      </c>
      <c r="C84" s="74" t="s">
        <v>1536</v>
      </c>
      <c r="D84" s="121"/>
      <c r="E84" s="99"/>
      <c r="F84" s="121"/>
      <c r="G84" s="99"/>
      <c r="H84" s="72"/>
      <c r="I84" s="57"/>
      <c r="J84" s="43"/>
      <c r="K84" s="37"/>
      <c r="L84" s="38"/>
      <c r="M84" s="44" t="s">
        <v>397</v>
      </c>
      <c r="N84" s="45" t="s">
        <v>398</v>
      </c>
      <c r="O84" s="46">
        <v>1</v>
      </c>
      <c r="P84" s="35"/>
      <c r="R84" s="57"/>
      <c r="U84" s="57"/>
      <c r="V84" s="709"/>
      <c r="W84" s="704"/>
      <c r="X84" s="47">
        <f>ROUND((ROUND((_11_A身体１．５*_11・２人),0)*_11・初任),0)+ROUND((ROUND((ROUND((_11_B身体１．５＿０．５*_11・２人),0)*(1+_11・B夜間)),0)*_11・初任),0)</f>
        <v>481</v>
      </c>
      <c r="Y84" s="48"/>
    </row>
    <row r="85" spans="1:25" ht="16.5" customHeight="1" x14ac:dyDescent="0.15">
      <c r="A85" s="41">
        <v>11</v>
      </c>
      <c r="B85" s="41" t="s">
        <v>1537</v>
      </c>
      <c r="C85" s="74" t="s">
        <v>1538</v>
      </c>
      <c r="D85" s="72"/>
      <c r="E85" s="99"/>
      <c r="F85" s="72"/>
      <c r="G85" s="99"/>
      <c r="H85" s="72"/>
      <c r="I85" s="57"/>
      <c r="J85" s="705" t="s">
        <v>400</v>
      </c>
      <c r="K85" s="49" t="s">
        <v>398</v>
      </c>
      <c r="L85" s="50">
        <v>0.7</v>
      </c>
      <c r="M85" s="44"/>
      <c r="N85" s="45"/>
      <c r="O85" s="46"/>
      <c r="P85" s="35"/>
      <c r="R85" s="57"/>
      <c r="U85" s="57"/>
      <c r="V85" s="709"/>
      <c r="W85" s="704"/>
      <c r="X85" s="47">
        <f>ROUND((ROUND((_11_A身体１．５*_11・基礎１),0)*_11・初任),0)+ROUND((ROUND((ROUND((_11_B身体１．５＿０．５*_11・基礎１),0)*(1+_11・B夜間)),0)*_11・初任),0)</f>
        <v>336</v>
      </c>
      <c r="Y85" s="48"/>
    </row>
    <row r="86" spans="1:25" ht="16.5" customHeight="1" x14ac:dyDescent="0.15">
      <c r="A86" s="41">
        <v>11</v>
      </c>
      <c r="B86" s="41" t="s">
        <v>1539</v>
      </c>
      <c r="C86" s="74" t="s">
        <v>1540</v>
      </c>
      <c r="D86" s="72"/>
      <c r="E86" s="99"/>
      <c r="F86" s="72"/>
      <c r="G86" s="99"/>
      <c r="H86" s="72"/>
      <c r="I86" s="57"/>
      <c r="J86" s="711"/>
      <c r="K86" s="37"/>
      <c r="L86" s="38"/>
      <c r="M86" s="44" t="s">
        <v>397</v>
      </c>
      <c r="N86" s="45" t="s">
        <v>398</v>
      </c>
      <c r="O86" s="46">
        <v>1</v>
      </c>
      <c r="P86" s="35"/>
      <c r="R86" s="57"/>
      <c r="U86" s="57"/>
      <c r="V86" s="55" t="s">
        <v>398</v>
      </c>
      <c r="W86" s="38">
        <f>_11・初任</f>
        <v>0.7</v>
      </c>
      <c r="X86" s="47">
        <f>ROUND((ROUND((ROUND((_11_A身体１．５*_11・基礎１),0)*_11・２人),0)*_11・初任),0)+ROUND((ROUND((ROUND((ROUND((_11_B身体１．５＿０．５*_11・基礎１),0)*_11・２人),0)*(1+_11・B夜間)),0)*_11・初任),0)</f>
        <v>336</v>
      </c>
      <c r="Y86" s="48"/>
    </row>
    <row r="87" spans="1:25" ht="16.5" customHeight="1" x14ac:dyDescent="0.15">
      <c r="A87" s="41">
        <v>11</v>
      </c>
      <c r="B87" s="41">
        <v>1463</v>
      </c>
      <c r="C87" s="74" t="s">
        <v>1541</v>
      </c>
      <c r="D87" s="72"/>
      <c r="E87" s="99"/>
      <c r="F87" s="707" t="s">
        <v>1493</v>
      </c>
      <c r="G87" s="717"/>
      <c r="H87" s="72"/>
      <c r="I87" s="57"/>
      <c r="J87" s="53"/>
      <c r="K87" s="49"/>
      <c r="L87" s="50"/>
      <c r="M87" s="44"/>
      <c r="N87" s="45"/>
      <c r="O87" s="46"/>
      <c r="P87" s="35"/>
      <c r="R87" s="57"/>
      <c r="U87" s="57"/>
      <c r="V87" s="53"/>
      <c r="W87" s="49"/>
      <c r="X87" s="47">
        <f>_11_A身体１．５+ROUND((_11_B身体１．５＿１．０*(1+_11・B夜間)),0)</f>
        <v>792</v>
      </c>
      <c r="Y87" s="48"/>
    </row>
    <row r="88" spans="1:25" ht="16.5" customHeight="1" x14ac:dyDescent="0.15">
      <c r="A88" s="41">
        <v>11</v>
      </c>
      <c r="B88" s="41">
        <v>1464</v>
      </c>
      <c r="C88" s="74" t="s">
        <v>1542</v>
      </c>
      <c r="D88" s="72"/>
      <c r="E88" s="99"/>
      <c r="F88" s="709"/>
      <c r="G88" s="718"/>
      <c r="H88" s="72"/>
      <c r="I88" s="57"/>
      <c r="J88" s="43"/>
      <c r="K88" s="37"/>
      <c r="L88" s="38"/>
      <c r="M88" s="44" t="s">
        <v>397</v>
      </c>
      <c r="N88" s="45" t="s">
        <v>398</v>
      </c>
      <c r="O88" s="46">
        <v>1</v>
      </c>
      <c r="P88" s="35"/>
      <c r="R88" s="57"/>
      <c r="U88" s="57"/>
      <c r="V88" s="35"/>
      <c r="X88" s="47">
        <f>ROUND((_11_A身体１．５*_11・２人),0)+ROUND((ROUND((_11_B身体１．５＿１．０*_11・２人),0)*(1+_11・B夜間)),0)</f>
        <v>792</v>
      </c>
      <c r="Y88" s="48"/>
    </row>
    <row r="89" spans="1:25" ht="16.5" customHeight="1" x14ac:dyDescent="0.15">
      <c r="A89" s="41">
        <v>11</v>
      </c>
      <c r="B89" s="41">
        <v>1465</v>
      </c>
      <c r="C89" s="74" t="s">
        <v>1543</v>
      </c>
      <c r="D89" s="72"/>
      <c r="E89" s="99"/>
      <c r="F89" s="709"/>
      <c r="G89" s="718"/>
      <c r="H89" s="72"/>
      <c r="I89" s="57"/>
      <c r="J89" s="705" t="s">
        <v>400</v>
      </c>
      <c r="K89" s="49" t="s">
        <v>398</v>
      </c>
      <c r="L89" s="50">
        <v>0.7</v>
      </c>
      <c r="M89" s="44"/>
      <c r="N89" s="45"/>
      <c r="O89" s="46"/>
      <c r="P89" s="35"/>
      <c r="R89" s="57"/>
      <c r="U89" s="57"/>
      <c r="V89" s="35"/>
      <c r="X89" s="47">
        <f>ROUND((_11_A身体１．５*_11・基礎１),0)+ROUND((ROUND((_11_B身体１．５＿１．０*_11・基礎１),0)*(1+_11・B夜間)),0)</f>
        <v>554</v>
      </c>
      <c r="Y89" s="48"/>
    </row>
    <row r="90" spans="1:25" ht="16.5" customHeight="1" x14ac:dyDescent="0.15">
      <c r="A90" s="41">
        <v>11</v>
      </c>
      <c r="B90" s="41">
        <v>1466</v>
      </c>
      <c r="C90" s="74" t="s">
        <v>1544</v>
      </c>
      <c r="D90" s="72"/>
      <c r="E90" s="99"/>
      <c r="F90" s="100">
        <f>_11_B身体１．５＿１．０</f>
        <v>166</v>
      </c>
      <c r="G90" s="12" t="s">
        <v>392</v>
      </c>
      <c r="H90" s="72"/>
      <c r="I90" s="57"/>
      <c r="J90" s="711"/>
      <c r="K90" s="37"/>
      <c r="L90" s="38"/>
      <c r="M90" s="44" t="s">
        <v>397</v>
      </c>
      <c r="N90" s="45" t="s">
        <v>398</v>
      </c>
      <c r="O90" s="46">
        <v>1</v>
      </c>
      <c r="P90" s="35"/>
      <c r="R90" s="57"/>
      <c r="U90" s="57"/>
      <c r="V90" s="43"/>
      <c r="W90" s="37"/>
      <c r="X90" s="47">
        <f>ROUND((ROUND((_11_A身体１．５*_11・基礎１),0)*_11・２人),0)+ROUND((ROUND((ROUND((_11_B身体１．５＿１．０*_11・基礎１),0)*_11・２人),0)*(1+_11・B夜間)),0)</f>
        <v>554</v>
      </c>
      <c r="Y90" s="48"/>
    </row>
    <row r="91" spans="1:25" ht="16.5" customHeight="1" x14ac:dyDescent="0.15">
      <c r="A91" s="41">
        <v>11</v>
      </c>
      <c r="B91" s="41" t="s">
        <v>1545</v>
      </c>
      <c r="C91" s="74" t="s">
        <v>1546</v>
      </c>
      <c r="D91" s="72"/>
      <c r="E91" s="99"/>
      <c r="F91" s="121"/>
      <c r="G91" s="99"/>
      <c r="H91" s="72"/>
      <c r="I91" s="57"/>
      <c r="J91" s="53"/>
      <c r="K91" s="49"/>
      <c r="L91" s="50"/>
      <c r="M91" s="44"/>
      <c r="N91" s="45"/>
      <c r="O91" s="46"/>
      <c r="P91" s="35"/>
      <c r="R91" s="57"/>
      <c r="U91" s="57"/>
      <c r="V91" s="707" t="s">
        <v>404</v>
      </c>
      <c r="W91" s="708"/>
      <c r="X91" s="47">
        <f>ROUND((_11_A身体１．５*_11・初任),0)+ROUND((ROUND((_11_B身体１．５＿１．０*(1+_11・B夜間)),0)*_11・初任),0)</f>
        <v>555</v>
      </c>
      <c r="Y91" s="48"/>
    </row>
    <row r="92" spans="1:25" ht="16.5" customHeight="1" x14ac:dyDescent="0.15">
      <c r="A92" s="41">
        <v>11</v>
      </c>
      <c r="B92" s="41" t="s">
        <v>1547</v>
      </c>
      <c r="C92" s="74" t="s">
        <v>1548</v>
      </c>
      <c r="D92" s="72"/>
      <c r="E92" s="99"/>
      <c r="F92" s="121"/>
      <c r="G92" s="99"/>
      <c r="H92" s="72"/>
      <c r="I92" s="57"/>
      <c r="J92" s="43"/>
      <c r="K92" s="37"/>
      <c r="L92" s="38"/>
      <c r="M92" s="44" t="s">
        <v>397</v>
      </c>
      <c r="N92" s="45" t="s">
        <v>398</v>
      </c>
      <c r="O92" s="46">
        <v>1</v>
      </c>
      <c r="P92" s="35"/>
      <c r="R92" s="57"/>
      <c r="U92" s="57"/>
      <c r="V92" s="709"/>
      <c r="W92" s="704"/>
      <c r="X92" s="47">
        <f>ROUND((ROUND((_11_A身体１．５*_11・２人),0)*_11・初任),0)+ROUND((ROUND((ROUND((_11_B身体１．５＿１．０*_11・２人),0)*(1+_11・B夜間)),0)*_11・初任),0)</f>
        <v>555</v>
      </c>
      <c r="Y92" s="48"/>
    </row>
    <row r="93" spans="1:25" ht="16.5" customHeight="1" x14ac:dyDescent="0.15">
      <c r="A93" s="41">
        <v>11</v>
      </c>
      <c r="B93" s="41" t="s">
        <v>1549</v>
      </c>
      <c r="C93" s="74" t="s">
        <v>1550</v>
      </c>
      <c r="D93" s="72"/>
      <c r="E93" s="99"/>
      <c r="F93" s="72"/>
      <c r="G93" s="99"/>
      <c r="H93" s="72"/>
      <c r="I93" s="57"/>
      <c r="J93" s="705" t="s">
        <v>400</v>
      </c>
      <c r="K93" s="49" t="s">
        <v>398</v>
      </c>
      <c r="L93" s="50">
        <v>0.7</v>
      </c>
      <c r="M93" s="44"/>
      <c r="N93" s="45"/>
      <c r="O93" s="46"/>
      <c r="P93" s="35"/>
      <c r="R93" s="57"/>
      <c r="U93" s="57"/>
      <c r="V93" s="709"/>
      <c r="W93" s="704"/>
      <c r="X93" s="47">
        <f>ROUND((ROUND((_11_A身体１．５*_11・基礎１),0)*_11・初任),0)+ROUND((ROUND((ROUND((_11_B身体１．５＿１．０*_11・基礎１),0)*(1+_11・B夜間)),0)*_11・初任),0)</f>
        <v>388</v>
      </c>
      <c r="Y93" s="48"/>
    </row>
    <row r="94" spans="1:25" ht="16.5" customHeight="1" x14ac:dyDescent="0.15">
      <c r="A94" s="41">
        <v>11</v>
      </c>
      <c r="B94" s="41" t="s">
        <v>1551</v>
      </c>
      <c r="C94" s="74" t="s">
        <v>1552</v>
      </c>
      <c r="D94" s="72"/>
      <c r="E94" s="99"/>
      <c r="F94" s="72"/>
      <c r="G94" s="99"/>
      <c r="H94" s="72"/>
      <c r="I94" s="57"/>
      <c r="J94" s="711"/>
      <c r="K94" s="37"/>
      <c r="L94" s="38"/>
      <c r="M94" s="44" t="s">
        <v>397</v>
      </c>
      <c r="N94" s="45" t="s">
        <v>398</v>
      </c>
      <c r="O94" s="46">
        <v>1</v>
      </c>
      <c r="P94" s="35"/>
      <c r="R94" s="57"/>
      <c r="U94" s="57"/>
      <c r="V94" s="55" t="s">
        <v>398</v>
      </c>
      <c r="W94" s="38">
        <f>_11・初任</f>
        <v>0.7</v>
      </c>
      <c r="X94" s="47">
        <f>ROUND((ROUND((ROUND((_11_A身体１．５*_11・基礎１),0)*_11・２人),0)*_11・初任),0)+ROUND((ROUND((ROUND((ROUND((_11_B身体１．５＿１．０*_11・基礎１),0)*_11・２人),0)*(1+_11・B夜間)),0)*_11・初任),0)</f>
        <v>388</v>
      </c>
      <c r="Y94" s="48"/>
    </row>
    <row r="95" spans="1:25" ht="16.5" customHeight="1" x14ac:dyDescent="0.15">
      <c r="A95" s="41">
        <v>11</v>
      </c>
      <c r="B95" s="41">
        <v>1467</v>
      </c>
      <c r="C95" s="74" t="s">
        <v>1553</v>
      </c>
      <c r="D95" s="72"/>
      <c r="E95" s="99"/>
      <c r="F95" s="707" t="s">
        <v>1442</v>
      </c>
      <c r="G95" s="717"/>
      <c r="H95" s="72"/>
      <c r="I95" s="57"/>
      <c r="J95" s="53"/>
      <c r="K95" s="49"/>
      <c r="L95" s="50"/>
      <c r="M95" s="44"/>
      <c r="N95" s="45"/>
      <c r="O95" s="46"/>
      <c r="P95" s="35"/>
      <c r="R95" s="57"/>
      <c r="U95" s="57"/>
      <c r="V95" s="53"/>
      <c r="W95" s="49"/>
      <c r="X95" s="47">
        <f>_11_A身体１．５+ROUND((_11_B身体１．５＿１．５*(1+_11・B夜間)),0)</f>
        <v>895</v>
      </c>
      <c r="Y95" s="48"/>
    </row>
    <row r="96" spans="1:25" ht="16.5" customHeight="1" x14ac:dyDescent="0.15">
      <c r="A96" s="41">
        <v>11</v>
      </c>
      <c r="B96" s="41">
        <v>1468</v>
      </c>
      <c r="C96" s="74" t="s">
        <v>1554</v>
      </c>
      <c r="D96" s="72"/>
      <c r="E96" s="99"/>
      <c r="F96" s="709"/>
      <c r="G96" s="718"/>
      <c r="H96" s="72"/>
      <c r="I96" s="57"/>
      <c r="J96" s="43"/>
      <c r="K96" s="37"/>
      <c r="L96" s="38"/>
      <c r="M96" s="44" t="s">
        <v>397</v>
      </c>
      <c r="N96" s="45" t="s">
        <v>398</v>
      </c>
      <c r="O96" s="46">
        <v>1</v>
      </c>
      <c r="P96" s="35"/>
      <c r="R96" s="57"/>
      <c r="U96" s="57"/>
      <c r="V96" s="35"/>
      <c r="X96" s="47">
        <f>ROUND((_11_A身体１．５*_11・２人),0)+ROUND((ROUND((_11_B身体１．５＿１．５*_11・２人),0)*(1+_11・B夜間)),0)</f>
        <v>895</v>
      </c>
      <c r="Y96" s="48"/>
    </row>
    <row r="97" spans="1:25" ht="16.5" customHeight="1" x14ac:dyDescent="0.15">
      <c r="A97" s="41">
        <v>11</v>
      </c>
      <c r="B97" s="41">
        <v>1469</v>
      </c>
      <c r="C97" s="74" t="s">
        <v>1555</v>
      </c>
      <c r="D97" s="72"/>
      <c r="E97" s="99"/>
      <c r="F97" s="709"/>
      <c r="G97" s="718"/>
      <c r="H97" s="72"/>
      <c r="I97" s="57"/>
      <c r="J97" s="705" t="s">
        <v>400</v>
      </c>
      <c r="K97" s="49" t="s">
        <v>398</v>
      </c>
      <c r="L97" s="50">
        <v>0.7</v>
      </c>
      <c r="M97" s="44"/>
      <c r="N97" s="45"/>
      <c r="O97" s="46"/>
      <c r="P97" s="35"/>
      <c r="R97" s="57"/>
      <c r="U97" s="57"/>
      <c r="V97" s="35"/>
      <c r="X97" s="47">
        <f>ROUND((_11_A身体１．５*_11・基礎１),0)+ROUND((ROUND((_11_B身体１．５＿１．５*_11・基礎１),0)*(1+_11・B夜間)),0)</f>
        <v>627</v>
      </c>
      <c r="Y97" s="48"/>
    </row>
    <row r="98" spans="1:25" ht="16.5" customHeight="1" x14ac:dyDescent="0.15">
      <c r="A98" s="41">
        <v>11</v>
      </c>
      <c r="B98" s="41">
        <v>1470</v>
      </c>
      <c r="C98" s="74" t="s">
        <v>1556</v>
      </c>
      <c r="D98" s="72"/>
      <c r="E98" s="99"/>
      <c r="F98" s="100">
        <f>_11_B身体１．５＿１．５</f>
        <v>249</v>
      </c>
      <c r="G98" s="12" t="s">
        <v>392</v>
      </c>
      <c r="H98" s="72"/>
      <c r="I98" s="57"/>
      <c r="J98" s="711"/>
      <c r="K98" s="37"/>
      <c r="L98" s="38"/>
      <c r="M98" s="44" t="s">
        <v>397</v>
      </c>
      <c r="N98" s="45" t="s">
        <v>398</v>
      </c>
      <c r="O98" s="46">
        <v>1</v>
      </c>
      <c r="P98" s="35"/>
      <c r="R98" s="57"/>
      <c r="U98" s="57"/>
      <c r="V98" s="43"/>
      <c r="W98" s="37"/>
      <c r="X98" s="47">
        <f>ROUND((ROUND((_11_A身体１．５*_11・基礎１),0)*_11・２人),0)+ROUND((ROUND((ROUND((_11_B身体１．５＿１．５*_11・基礎１),0)*_11・２人),0)*(1+_11・B夜間)),0)</f>
        <v>627</v>
      </c>
      <c r="Y98" s="48"/>
    </row>
    <row r="99" spans="1:25" ht="16.5" customHeight="1" x14ac:dyDescent="0.15">
      <c r="A99" s="41">
        <v>11</v>
      </c>
      <c r="B99" s="41" t="s">
        <v>1557</v>
      </c>
      <c r="C99" s="74" t="s">
        <v>1558</v>
      </c>
      <c r="D99" s="72"/>
      <c r="E99" s="99"/>
      <c r="F99" s="121"/>
      <c r="G99" s="99"/>
      <c r="H99" s="72"/>
      <c r="I99" s="57"/>
      <c r="J99" s="53"/>
      <c r="K99" s="49"/>
      <c r="L99" s="50"/>
      <c r="M99" s="44"/>
      <c r="N99" s="45"/>
      <c r="O99" s="46"/>
      <c r="P99" s="35"/>
      <c r="R99" s="57"/>
      <c r="U99" s="57"/>
      <c r="V99" s="707" t="s">
        <v>404</v>
      </c>
      <c r="W99" s="708"/>
      <c r="X99" s="47">
        <f>ROUND((_11_A身体１．５*_11・初任),0)+ROUND((ROUND((_11_B身体１．５＿１．５*(1+_11・B夜間)),0)*_11・初任),0)</f>
        <v>627</v>
      </c>
      <c r="Y99" s="48"/>
    </row>
    <row r="100" spans="1:25" ht="16.5" customHeight="1" x14ac:dyDescent="0.15">
      <c r="A100" s="41">
        <v>11</v>
      </c>
      <c r="B100" s="41" t="s">
        <v>1559</v>
      </c>
      <c r="C100" s="74" t="s">
        <v>1560</v>
      </c>
      <c r="D100" s="72"/>
      <c r="E100" s="99"/>
      <c r="F100" s="121"/>
      <c r="G100" s="99"/>
      <c r="H100" s="72"/>
      <c r="I100" s="57"/>
      <c r="J100" s="43"/>
      <c r="K100" s="37"/>
      <c r="L100" s="38"/>
      <c r="M100" s="44" t="s">
        <v>397</v>
      </c>
      <c r="N100" s="45" t="s">
        <v>398</v>
      </c>
      <c r="O100" s="46">
        <v>1</v>
      </c>
      <c r="P100" s="35"/>
      <c r="R100" s="57"/>
      <c r="U100" s="57"/>
      <c r="V100" s="709"/>
      <c r="W100" s="704"/>
      <c r="X100" s="47">
        <f>ROUND((ROUND((_11_A身体１．５*_11・２人),0)*_11・初任),0)+ROUND((ROUND((ROUND((_11_B身体１．５＿１．５*_11・２人),0)*(1+_11・B夜間)),0)*_11・初任),0)</f>
        <v>627</v>
      </c>
      <c r="Y100" s="48"/>
    </row>
    <row r="101" spans="1:25" ht="16.5" customHeight="1" x14ac:dyDescent="0.15">
      <c r="A101" s="41">
        <v>11</v>
      </c>
      <c r="B101" s="41" t="s">
        <v>1561</v>
      </c>
      <c r="C101" s="74" t="s">
        <v>1562</v>
      </c>
      <c r="D101" s="72"/>
      <c r="E101" s="99"/>
      <c r="F101" s="72"/>
      <c r="G101" s="99"/>
      <c r="H101" s="72"/>
      <c r="I101" s="57"/>
      <c r="J101" s="705" t="s">
        <v>400</v>
      </c>
      <c r="K101" s="49" t="s">
        <v>398</v>
      </c>
      <c r="L101" s="50">
        <v>0.7</v>
      </c>
      <c r="M101" s="44"/>
      <c r="N101" s="45"/>
      <c r="O101" s="46"/>
      <c r="P101" s="35"/>
      <c r="R101" s="57"/>
      <c r="U101" s="57"/>
      <c r="V101" s="709"/>
      <c r="W101" s="704"/>
      <c r="X101" s="47">
        <f>ROUND((ROUND((_11_A身体１．５*_11・基礎１),0)*_11・初任),0)+ROUND((ROUND((ROUND((_11_B身体１．５＿１．５*_11・基礎１),0)*(1+_11・B夜間)),0)*_11・初任),0)</f>
        <v>439</v>
      </c>
      <c r="Y101" s="48"/>
    </row>
    <row r="102" spans="1:25" ht="16.5" customHeight="1" x14ac:dyDescent="0.15">
      <c r="A102" s="41">
        <v>11</v>
      </c>
      <c r="B102" s="41" t="s">
        <v>1563</v>
      </c>
      <c r="C102" s="74" t="s">
        <v>1564</v>
      </c>
      <c r="D102" s="122"/>
      <c r="E102" s="111"/>
      <c r="F102" s="122"/>
      <c r="G102" s="111"/>
      <c r="H102" s="122"/>
      <c r="I102" s="79"/>
      <c r="J102" s="711"/>
      <c r="K102" s="37"/>
      <c r="L102" s="38"/>
      <c r="M102" s="44" t="s">
        <v>397</v>
      </c>
      <c r="N102" s="45" t="s">
        <v>398</v>
      </c>
      <c r="O102" s="46">
        <v>1</v>
      </c>
      <c r="P102" s="35"/>
      <c r="R102" s="57"/>
      <c r="U102" s="57"/>
      <c r="V102" s="55" t="s">
        <v>398</v>
      </c>
      <c r="W102" s="38">
        <f>_11・初任</f>
        <v>0.7</v>
      </c>
      <c r="X102" s="47">
        <f>ROUND((ROUND((ROUND((_11_A身体１．５*_11・基礎１),0)*_11・２人),0)*_11・初任),0)+ROUND((ROUND((ROUND((ROUND((_11_B身体１．５＿１．５*_11・基礎１),0)*_11・２人),0)*(1+_11・B夜間)),0)*_11・初任),0)</f>
        <v>439</v>
      </c>
      <c r="Y102" s="48"/>
    </row>
    <row r="103" spans="1:25" ht="16.5" customHeight="1" x14ac:dyDescent="0.15">
      <c r="A103" s="33">
        <v>11</v>
      </c>
      <c r="B103" s="33">
        <v>1471</v>
      </c>
      <c r="C103" s="34" t="s">
        <v>1565</v>
      </c>
      <c r="D103" s="709" t="s">
        <v>438</v>
      </c>
      <c r="E103" s="718"/>
      <c r="F103" s="709" t="s">
        <v>1415</v>
      </c>
      <c r="G103" s="718"/>
      <c r="H103" s="72"/>
      <c r="I103" s="57"/>
      <c r="J103" s="35"/>
      <c r="M103" s="36"/>
      <c r="N103" s="37"/>
      <c r="O103" s="38"/>
      <c r="P103" s="35"/>
      <c r="R103" s="57"/>
      <c r="U103" s="57"/>
      <c r="V103" s="35"/>
      <c r="X103" s="39">
        <f>_11_A身体２．０+ROUND((_11_B身体２．０＿０．５*(1+_11・B夜間)),0)</f>
        <v>771</v>
      </c>
      <c r="Y103" s="48"/>
    </row>
    <row r="104" spans="1:25" ht="16.5" customHeight="1" x14ac:dyDescent="0.15">
      <c r="A104" s="41">
        <v>11</v>
      </c>
      <c r="B104" s="41">
        <v>1472</v>
      </c>
      <c r="C104" s="74" t="s">
        <v>1566</v>
      </c>
      <c r="D104" s="709"/>
      <c r="E104" s="718"/>
      <c r="F104" s="709"/>
      <c r="G104" s="718"/>
      <c r="H104" s="72"/>
      <c r="I104" s="57"/>
      <c r="J104" s="43"/>
      <c r="K104" s="37"/>
      <c r="L104" s="38"/>
      <c r="M104" s="44" t="s">
        <v>397</v>
      </c>
      <c r="N104" s="45" t="s">
        <v>398</v>
      </c>
      <c r="O104" s="46">
        <v>1</v>
      </c>
      <c r="P104" s="35"/>
      <c r="R104" s="57"/>
      <c r="U104" s="57"/>
      <c r="V104" s="35"/>
      <c r="X104" s="47">
        <f>ROUND((_11_A身体２．０*_11・２人),0)+ROUND((ROUND((_11_B身体２．０＿０．５*_11・２人),0)*(1+_11・B夜間)),0)</f>
        <v>771</v>
      </c>
      <c r="Y104" s="48"/>
    </row>
    <row r="105" spans="1:25" ht="16.5" customHeight="1" x14ac:dyDescent="0.15">
      <c r="A105" s="41">
        <v>11</v>
      </c>
      <c r="B105" s="41">
        <v>1473</v>
      </c>
      <c r="C105" s="74" t="s">
        <v>1567</v>
      </c>
      <c r="D105" s="709"/>
      <c r="E105" s="718"/>
      <c r="F105" s="709"/>
      <c r="G105" s="718"/>
      <c r="H105" s="72"/>
      <c r="I105" s="57"/>
      <c r="J105" s="705" t="s">
        <v>400</v>
      </c>
      <c r="K105" s="49" t="s">
        <v>398</v>
      </c>
      <c r="L105" s="50">
        <v>0.7</v>
      </c>
      <c r="M105" s="44"/>
      <c r="N105" s="45"/>
      <c r="O105" s="46"/>
      <c r="P105" s="35"/>
      <c r="R105" s="57"/>
      <c r="U105" s="57"/>
      <c r="V105" s="35"/>
      <c r="X105" s="47">
        <f>ROUND((_11_A身体２．０*_11・基礎１),0)+ROUND((ROUND((_11_B身体２．０＿０．５*_11・基礎１),0)*(1+_11・B夜間)),0)</f>
        <v>540</v>
      </c>
      <c r="Y105" s="48"/>
    </row>
    <row r="106" spans="1:25" ht="16.5" customHeight="1" x14ac:dyDescent="0.15">
      <c r="A106" s="41">
        <v>11</v>
      </c>
      <c r="B106" s="41">
        <v>1474</v>
      </c>
      <c r="C106" s="74" t="s">
        <v>1568</v>
      </c>
      <c r="D106" s="100">
        <f>_11_A身体２．０</f>
        <v>666</v>
      </c>
      <c r="E106" s="12" t="s">
        <v>392</v>
      </c>
      <c r="F106" s="100">
        <f>_11_B身体２．０＿０．５</f>
        <v>84</v>
      </c>
      <c r="G106" s="12" t="s">
        <v>392</v>
      </c>
      <c r="H106" s="72"/>
      <c r="I106" s="57"/>
      <c r="J106" s="711"/>
      <c r="K106" s="37"/>
      <c r="L106" s="38"/>
      <c r="M106" s="44" t="s">
        <v>397</v>
      </c>
      <c r="N106" s="45" t="s">
        <v>398</v>
      </c>
      <c r="O106" s="46">
        <v>1</v>
      </c>
      <c r="P106" s="35"/>
      <c r="R106" s="57"/>
      <c r="U106" s="57"/>
      <c r="V106" s="43"/>
      <c r="W106" s="37"/>
      <c r="X106" s="47">
        <f>ROUND((ROUND((_11_A身体２．０*_11・基礎１),0)*_11・２人),0)+ROUND((ROUND((ROUND((_11_B身体２．０＿０．５*_11・基礎１),0)*_11・２人),0)*(1+_11・B夜間)),0)</f>
        <v>540</v>
      </c>
      <c r="Y106" s="48"/>
    </row>
    <row r="107" spans="1:25" ht="16.5" customHeight="1" x14ac:dyDescent="0.15">
      <c r="A107" s="41">
        <v>11</v>
      </c>
      <c r="B107" s="41" t="s">
        <v>1569</v>
      </c>
      <c r="C107" s="74" t="s">
        <v>1570</v>
      </c>
      <c r="D107" s="121"/>
      <c r="E107" s="99"/>
      <c r="F107" s="121"/>
      <c r="G107" s="99"/>
      <c r="H107" s="72"/>
      <c r="I107" s="57"/>
      <c r="J107" s="53"/>
      <c r="K107" s="49"/>
      <c r="L107" s="50"/>
      <c r="M107" s="44"/>
      <c r="N107" s="45"/>
      <c r="O107" s="46"/>
      <c r="P107" s="35"/>
      <c r="R107" s="57"/>
      <c r="U107" s="57"/>
      <c r="V107" s="707" t="s">
        <v>404</v>
      </c>
      <c r="W107" s="708"/>
      <c r="X107" s="47">
        <f>ROUND((_11_A身体２．０*_11・初任),0)+ROUND((ROUND((_11_B身体２．０＿０．５*(1+_11・B夜間)),0)*_11・初任),0)</f>
        <v>540</v>
      </c>
      <c r="Y107" s="48"/>
    </row>
    <row r="108" spans="1:25" ht="16.5" customHeight="1" x14ac:dyDescent="0.15">
      <c r="A108" s="41">
        <v>11</v>
      </c>
      <c r="B108" s="41" t="s">
        <v>1571</v>
      </c>
      <c r="C108" s="74" t="s">
        <v>1572</v>
      </c>
      <c r="D108" s="121"/>
      <c r="E108" s="99"/>
      <c r="F108" s="121"/>
      <c r="G108" s="99"/>
      <c r="H108" s="72"/>
      <c r="I108" s="57"/>
      <c r="J108" s="43"/>
      <c r="K108" s="37"/>
      <c r="L108" s="38"/>
      <c r="M108" s="44" t="s">
        <v>397</v>
      </c>
      <c r="N108" s="45" t="s">
        <v>398</v>
      </c>
      <c r="O108" s="46">
        <v>1</v>
      </c>
      <c r="P108" s="35"/>
      <c r="R108" s="57"/>
      <c r="U108" s="57"/>
      <c r="V108" s="709"/>
      <c r="W108" s="704"/>
      <c r="X108" s="47">
        <f>ROUND((ROUND((_11_A身体２．０*_11・２人),0)*_11・初任),0)+ROUND((ROUND((ROUND((_11_B身体２．０＿０．５*_11・２人),0)*(1+_11・B夜間)),0)*_11・初任),0)</f>
        <v>540</v>
      </c>
      <c r="Y108" s="48"/>
    </row>
    <row r="109" spans="1:25" ht="16.5" customHeight="1" x14ac:dyDescent="0.15">
      <c r="A109" s="41">
        <v>11</v>
      </c>
      <c r="B109" s="41" t="s">
        <v>1573</v>
      </c>
      <c r="C109" s="74" t="s">
        <v>1574</v>
      </c>
      <c r="D109" s="72"/>
      <c r="E109" s="99"/>
      <c r="F109" s="72"/>
      <c r="G109" s="99"/>
      <c r="H109" s="72"/>
      <c r="I109" s="57"/>
      <c r="J109" s="705" t="s">
        <v>400</v>
      </c>
      <c r="K109" s="49" t="s">
        <v>398</v>
      </c>
      <c r="L109" s="50">
        <v>0.7</v>
      </c>
      <c r="M109" s="44"/>
      <c r="N109" s="45"/>
      <c r="O109" s="46"/>
      <c r="P109" s="35"/>
      <c r="R109" s="57"/>
      <c r="U109" s="57"/>
      <c r="V109" s="709"/>
      <c r="W109" s="704"/>
      <c r="X109" s="47">
        <f>ROUND((ROUND((_11_A身体２．０*_11・基礎１),0)*_11・初任),0)+ROUND((ROUND((ROUND((_11_B身体２．０＿０．５*_11・基礎１),0)*(1+_11・B夜間)),0)*_11・初任),0)</f>
        <v>378</v>
      </c>
      <c r="Y109" s="48"/>
    </row>
    <row r="110" spans="1:25" ht="16.5" customHeight="1" x14ac:dyDescent="0.15">
      <c r="A110" s="41">
        <v>11</v>
      </c>
      <c r="B110" s="41" t="s">
        <v>1575</v>
      </c>
      <c r="C110" s="74" t="s">
        <v>1576</v>
      </c>
      <c r="D110" s="72"/>
      <c r="E110" s="99"/>
      <c r="F110" s="72"/>
      <c r="G110" s="99"/>
      <c r="H110" s="72"/>
      <c r="I110" s="57"/>
      <c r="J110" s="711"/>
      <c r="K110" s="37"/>
      <c r="L110" s="38"/>
      <c r="M110" s="44" t="s">
        <v>397</v>
      </c>
      <c r="N110" s="45" t="s">
        <v>398</v>
      </c>
      <c r="O110" s="46">
        <v>1</v>
      </c>
      <c r="P110" s="35"/>
      <c r="R110" s="57"/>
      <c r="U110" s="57"/>
      <c r="V110" s="55" t="s">
        <v>398</v>
      </c>
      <c r="W110" s="38">
        <f>_11・初任</f>
        <v>0.7</v>
      </c>
      <c r="X110" s="47">
        <f>ROUND((ROUND((ROUND((_11_A身体２．０*_11・基礎１),0)*_11・２人),0)*_11・初任),0)+ROUND((ROUND((ROUND((ROUND((_11_B身体２．０＿０．５*_11・基礎１),0)*_11・２人),0)*(1+_11・B夜間)),0)*_11・初任),0)</f>
        <v>378</v>
      </c>
      <c r="Y110" s="48"/>
    </row>
    <row r="111" spans="1:25" ht="16.5" customHeight="1" x14ac:dyDescent="0.15">
      <c r="A111" s="41">
        <v>11</v>
      </c>
      <c r="B111" s="41">
        <v>1475</v>
      </c>
      <c r="C111" s="74" t="s">
        <v>1577</v>
      </c>
      <c r="D111" s="72"/>
      <c r="E111" s="99"/>
      <c r="F111" s="707" t="s">
        <v>1493</v>
      </c>
      <c r="G111" s="717"/>
      <c r="H111" s="72"/>
      <c r="I111" s="57"/>
      <c r="J111" s="53"/>
      <c r="K111" s="49"/>
      <c r="L111" s="50"/>
      <c r="M111" s="44"/>
      <c r="N111" s="45"/>
      <c r="O111" s="46"/>
      <c r="P111" s="35"/>
      <c r="R111" s="57"/>
      <c r="U111" s="57"/>
      <c r="V111" s="53"/>
      <c r="W111" s="49"/>
      <c r="X111" s="47">
        <f>_11_A身体２．０+ROUND((_11_B身体２．０＿１．０*(1+_11・B夜間)),0)</f>
        <v>875</v>
      </c>
      <c r="Y111" s="48"/>
    </row>
    <row r="112" spans="1:25" ht="16.5" customHeight="1" x14ac:dyDescent="0.15">
      <c r="A112" s="41">
        <v>11</v>
      </c>
      <c r="B112" s="41">
        <v>1476</v>
      </c>
      <c r="C112" s="74" t="s">
        <v>1578</v>
      </c>
      <c r="D112" s="72"/>
      <c r="E112" s="99"/>
      <c r="F112" s="709"/>
      <c r="G112" s="718"/>
      <c r="H112" s="72"/>
      <c r="I112" s="57"/>
      <c r="J112" s="43"/>
      <c r="K112" s="37"/>
      <c r="L112" s="38"/>
      <c r="M112" s="44" t="s">
        <v>397</v>
      </c>
      <c r="N112" s="45" t="s">
        <v>398</v>
      </c>
      <c r="O112" s="46">
        <v>1</v>
      </c>
      <c r="P112" s="35"/>
      <c r="R112" s="57"/>
      <c r="U112" s="57"/>
      <c r="V112" s="35"/>
      <c r="X112" s="47">
        <f>ROUND((_11_A身体２．０*_11・２人),0)+ROUND((ROUND((_11_B身体２．０＿１．０*_11・２人),0)*(1+_11・B夜間)),0)</f>
        <v>875</v>
      </c>
      <c r="Y112" s="48"/>
    </row>
    <row r="113" spans="1:25" ht="16.5" customHeight="1" x14ac:dyDescent="0.15">
      <c r="A113" s="41">
        <v>11</v>
      </c>
      <c r="B113" s="41">
        <v>1477</v>
      </c>
      <c r="C113" s="74" t="s">
        <v>1579</v>
      </c>
      <c r="D113" s="72"/>
      <c r="E113" s="99"/>
      <c r="F113" s="709"/>
      <c r="G113" s="718"/>
      <c r="H113" s="72"/>
      <c r="I113" s="57"/>
      <c r="J113" s="705" t="s">
        <v>400</v>
      </c>
      <c r="K113" s="49" t="s">
        <v>398</v>
      </c>
      <c r="L113" s="50">
        <v>0.7</v>
      </c>
      <c r="M113" s="44"/>
      <c r="N113" s="45"/>
      <c r="O113" s="46"/>
      <c r="P113" s="35"/>
      <c r="R113" s="57"/>
      <c r="U113" s="57"/>
      <c r="V113" s="35"/>
      <c r="X113" s="47">
        <f>ROUND((_11_A身体２．０*_11・基礎１),0)+ROUND((ROUND((_11_B身体２．０＿１．０*_11・基礎１),0)*(1+_11・B夜間)),0)</f>
        <v>612</v>
      </c>
      <c r="Y113" s="48"/>
    </row>
    <row r="114" spans="1:25" ht="16.5" customHeight="1" x14ac:dyDescent="0.15">
      <c r="A114" s="41">
        <v>11</v>
      </c>
      <c r="B114" s="41">
        <v>1478</v>
      </c>
      <c r="C114" s="74" t="s">
        <v>1580</v>
      </c>
      <c r="D114" s="72"/>
      <c r="E114" s="99"/>
      <c r="F114" s="100">
        <f>_11_B身体２．０＿１．０</f>
        <v>167</v>
      </c>
      <c r="G114" s="12" t="s">
        <v>392</v>
      </c>
      <c r="H114" s="72"/>
      <c r="I114" s="57"/>
      <c r="J114" s="711"/>
      <c r="K114" s="37"/>
      <c r="L114" s="38"/>
      <c r="M114" s="44" t="s">
        <v>397</v>
      </c>
      <c r="N114" s="45" t="s">
        <v>398</v>
      </c>
      <c r="O114" s="46">
        <v>1</v>
      </c>
      <c r="P114" s="35"/>
      <c r="R114" s="57"/>
      <c r="U114" s="57"/>
      <c r="V114" s="43"/>
      <c r="W114" s="37"/>
      <c r="X114" s="47">
        <f>ROUND((ROUND((_11_A身体２．０*_11・基礎１),0)*_11・２人),0)+ROUND((ROUND((ROUND((_11_B身体２．０＿１．０*_11・基礎１),0)*_11・２人),0)*(1+_11・B夜間)),0)</f>
        <v>612</v>
      </c>
      <c r="Y114" s="48"/>
    </row>
    <row r="115" spans="1:25" ht="16.5" customHeight="1" x14ac:dyDescent="0.15">
      <c r="A115" s="41">
        <v>11</v>
      </c>
      <c r="B115" s="41" t="s">
        <v>1581</v>
      </c>
      <c r="C115" s="74" t="s">
        <v>1582</v>
      </c>
      <c r="D115" s="72"/>
      <c r="E115" s="99"/>
      <c r="F115" s="121"/>
      <c r="G115" s="99"/>
      <c r="H115" s="72"/>
      <c r="I115" s="57"/>
      <c r="J115" s="53"/>
      <c r="K115" s="49"/>
      <c r="L115" s="50"/>
      <c r="M115" s="44"/>
      <c r="N115" s="45"/>
      <c r="O115" s="46"/>
      <c r="P115" s="35"/>
      <c r="R115" s="57"/>
      <c r="U115" s="57"/>
      <c r="V115" s="707" t="s">
        <v>404</v>
      </c>
      <c r="W115" s="708"/>
      <c r="X115" s="47">
        <f>ROUND((_11_A身体２．０*_11・初任),0)+ROUND((ROUND((_11_B身体２．０＿１．０*(1+_11・B夜間)),0)*_11・初任),0)</f>
        <v>612</v>
      </c>
      <c r="Y115" s="48"/>
    </row>
    <row r="116" spans="1:25" ht="16.5" customHeight="1" x14ac:dyDescent="0.15">
      <c r="A116" s="41">
        <v>11</v>
      </c>
      <c r="B116" s="41" t="s">
        <v>1583</v>
      </c>
      <c r="C116" s="74" t="s">
        <v>1584</v>
      </c>
      <c r="D116" s="72"/>
      <c r="E116" s="99"/>
      <c r="F116" s="121"/>
      <c r="G116" s="99"/>
      <c r="H116" s="72"/>
      <c r="I116" s="57"/>
      <c r="J116" s="43"/>
      <c r="K116" s="37"/>
      <c r="L116" s="38"/>
      <c r="M116" s="44" t="s">
        <v>397</v>
      </c>
      <c r="N116" s="45" t="s">
        <v>398</v>
      </c>
      <c r="O116" s="46">
        <v>1</v>
      </c>
      <c r="P116" s="35"/>
      <c r="R116" s="57"/>
      <c r="U116" s="57"/>
      <c r="V116" s="709"/>
      <c r="W116" s="704"/>
      <c r="X116" s="47">
        <f>ROUND((ROUND((_11_A身体２．０*_11・２人),0)*_11・初任),0)+ROUND((ROUND((ROUND((_11_B身体２．０＿１．０*_11・２人),0)*(1+_11・B夜間)),0)*_11・初任),0)</f>
        <v>612</v>
      </c>
      <c r="Y116" s="48"/>
    </row>
    <row r="117" spans="1:25" ht="16.5" customHeight="1" x14ac:dyDescent="0.15">
      <c r="A117" s="41">
        <v>11</v>
      </c>
      <c r="B117" s="41" t="s">
        <v>1585</v>
      </c>
      <c r="C117" s="74" t="s">
        <v>1586</v>
      </c>
      <c r="D117" s="72"/>
      <c r="E117" s="99"/>
      <c r="F117" s="72"/>
      <c r="G117" s="99"/>
      <c r="H117" s="72"/>
      <c r="I117" s="57"/>
      <c r="J117" s="705" t="s">
        <v>400</v>
      </c>
      <c r="K117" s="49" t="s">
        <v>398</v>
      </c>
      <c r="L117" s="50">
        <v>0.7</v>
      </c>
      <c r="M117" s="44"/>
      <c r="N117" s="45"/>
      <c r="O117" s="46"/>
      <c r="P117" s="35"/>
      <c r="R117" s="57"/>
      <c r="U117" s="57"/>
      <c r="V117" s="709"/>
      <c r="W117" s="704"/>
      <c r="X117" s="47">
        <f>ROUND((ROUND((_11_A身体２．０*_11・基礎１),0)*_11・初任),0)+ROUND((ROUND((ROUND((_11_B身体２．０＿１．０*_11・基礎１),0)*(1+_11・B夜間)),0)*_11・初任),0)</f>
        <v>428</v>
      </c>
      <c r="Y117" s="48"/>
    </row>
    <row r="118" spans="1:25" ht="16.5" customHeight="1" x14ac:dyDescent="0.15">
      <c r="A118" s="41">
        <v>11</v>
      </c>
      <c r="B118" s="41" t="s">
        <v>1587</v>
      </c>
      <c r="C118" s="74" t="s">
        <v>1588</v>
      </c>
      <c r="D118" s="72"/>
      <c r="E118" s="99"/>
      <c r="F118" s="72"/>
      <c r="G118" s="99"/>
      <c r="H118" s="72"/>
      <c r="I118" s="57"/>
      <c r="J118" s="711"/>
      <c r="K118" s="37"/>
      <c r="L118" s="38"/>
      <c r="M118" s="44" t="s">
        <v>397</v>
      </c>
      <c r="N118" s="45" t="s">
        <v>398</v>
      </c>
      <c r="O118" s="46">
        <v>1</v>
      </c>
      <c r="P118" s="35"/>
      <c r="R118" s="57"/>
      <c r="U118" s="57"/>
      <c r="V118" s="55" t="s">
        <v>398</v>
      </c>
      <c r="W118" s="38">
        <f>_11・初任</f>
        <v>0.7</v>
      </c>
      <c r="X118" s="47">
        <f>ROUND((ROUND((ROUND((_11_A身体２．０*_11・基礎１),0)*_11・２人),0)*_11・初任),0)+ROUND((ROUND((ROUND((ROUND((_11_B身体２．０＿１．０*_11・基礎１),0)*_11・２人),0)*(1+_11・B夜間)),0)*_11・初任),0)</f>
        <v>428</v>
      </c>
      <c r="Y118" s="48"/>
    </row>
    <row r="119" spans="1:25" ht="16.5" customHeight="1" x14ac:dyDescent="0.15">
      <c r="A119" s="41">
        <v>11</v>
      </c>
      <c r="B119" s="41">
        <v>1479</v>
      </c>
      <c r="C119" s="74" t="s">
        <v>1589</v>
      </c>
      <c r="D119" s="707" t="s">
        <v>451</v>
      </c>
      <c r="E119" s="717"/>
      <c r="F119" s="707" t="s">
        <v>1415</v>
      </c>
      <c r="G119" s="717"/>
      <c r="H119" s="72"/>
      <c r="I119" s="57"/>
      <c r="J119" s="53"/>
      <c r="K119" s="49"/>
      <c r="L119" s="50"/>
      <c r="M119" s="44"/>
      <c r="N119" s="45"/>
      <c r="O119" s="46"/>
      <c r="P119" s="35"/>
      <c r="R119" s="57"/>
      <c r="U119" s="57"/>
      <c r="V119" s="53"/>
      <c r="W119" s="49"/>
      <c r="X119" s="47">
        <f>_11_A身体２．５+ROUND((_11_B身体２．５＿０．５*(1+_11・B夜間)),0)</f>
        <v>854</v>
      </c>
      <c r="Y119" s="48"/>
    </row>
    <row r="120" spans="1:25" ht="16.5" customHeight="1" x14ac:dyDescent="0.15">
      <c r="A120" s="41">
        <v>11</v>
      </c>
      <c r="B120" s="41">
        <v>1480</v>
      </c>
      <c r="C120" s="74" t="s">
        <v>1590</v>
      </c>
      <c r="D120" s="709"/>
      <c r="E120" s="718"/>
      <c r="F120" s="709"/>
      <c r="G120" s="718"/>
      <c r="H120" s="72"/>
      <c r="I120" s="57"/>
      <c r="J120" s="43"/>
      <c r="K120" s="37"/>
      <c r="L120" s="38"/>
      <c r="M120" s="44" t="s">
        <v>397</v>
      </c>
      <c r="N120" s="45" t="s">
        <v>398</v>
      </c>
      <c r="O120" s="46">
        <v>1</v>
      </c>
      <c r="P120" s="35"/>
      <c r="R120" s="57"/>
      <c r="U120" s="57"/>
      <c r="V120" s="35"/>
      <c r="X120" s="47">
        <f>ROUND((_11_A身体２．５*_11・２人),0)+ROUND((ROUND((_11_B身体２．５＿０．５*_11・２人),0)*(1+_11・B夜間)),0)</f>
        <v>854</v>
      </c>
      <c r="Y120" s="48"/>
    </row>
    <row r="121" spans="1:25" ht="16.5" customHeight="1" x14ac:dyDescent="0.15">
      <c r="A121" s="41">
        <v>11</v>
      </c>
      <c r="B121" s="41">
        <v>1481</v>
      </c>
      <c r="C121" s="74" t="s">
        <v>1591</v>
      </c>
      <c r="D121" s="709"/>
      <c r="E121" s="718"/>
      <c r="F121" s="709"/>
      <c r="G121" s="718"/>
      <c r="H121" s="72"/>
      <c r="I121" s="57"/>
      <c r="J121" s="705" t="s">
        <v>400</v>
      </c>
      <c r="K121" s="49" t="s">
        <v>398</v>
      </c>
      <c r="L121" s="50">
        <v>0.7</v>
      </c>
      <c r="M121" s="44"/>
      <c r="N121" s="45"/>
      <c r="O121" s="46"/>
      <c r="P121" s="35"/>
      <c r="R121" s="57"/>
      <c r="U121" s="57"/>
      <c r="V121" s="35"/>
      <c r="X121" s="47">
        <f>ROUND((_11_A身体２．５*_11・基礎１),0)+ROUND((ROUND((_11_B身体２．５＿０．５*_11・基礎１),0)*(1+_11・B夜間)),0)</f>
        <v>598</v>
      </c>
      <c r="Y121" s="48"/>
    </row>
    <row r="122" spans="1:25" ht="16.5" customHeight="1" x14ac:dyDescent="0.15">
      <c r="A122" s="41">
        <v>11</v>
      </c>
      <c r="B122" s="41">
        <v>1482</v>
      </c>
      <c r="C122" s="74" t="s">
        <v>1592</v>
      </c>
      <c r="D122" s="100">
        <f>_11_A身体２．５</f>
        <v>750</v>
      </c>
      <c r="E122" s="12" t="s">
        <v>392</v>
      </c>
      <c r="F122" s="100">
        <f>_11_B身体２．５＿０．５</f>
        <v>83</v>
      </c>
      <c r="G122" s="12" t="s">
        <v>392</v>
      </c>
      <c r="H122" s="72"/>
      <c r="I122" s="57"/>
      <c r="J122" s="711"/>
      <c r="K122" s="37"/>
      <c r="L122" s="38"/>
      <c r="M122" s="44" t="s">
        <v>397</v>
      </c>
      <c r="N122" s="45" t="s">
        <v>398</v>
      </c>
      <c r="O122" s="46">
        <v>1</v>
      </c>
      <c r="P122" s="35"/>
      <c r="R122" s="57"/>
      <c r="U122" s="57"/>
      <c r="V122" s="43"/>
      <c r="W122" s="37"/>
      <c r="X122" s="47">
        <f>ROUND((ROUND((_11_A身体２．５*_11・基礎１),0)*_11・２人),0)+ROUND((ROUND((ROUND((_11_B身体２．５＿０．５*_11・基礎１),0)*_11・２人),0)*(1+_11・B夜間)),0)</f>
        <v>598</v>
      </c>
      <c r="Y122" s="48"/>
    </row>
    <row r="123" spans="1:25" ht="16.5" customHeight="1" x14ac:dyDescent="0.15">
      <c r="A123" s="41">
        <v>11</v>
      </c>
      <c r="B123" s="41" t="s">
        <v>1593</v>
      </c>
      <c r="C123" s="74" t="s">
        <v>1594</v>
      </c>
      <c r="D123" s="121"/>
      <c r="E123" s="99"/>
      <c r="F123" s="121"/>
      <c r="G123" s="99"/>
      <c r="H123" s="72"/>
      <c r="I123" s="57"/>
      <c r="J123" s="53"/>
      <c r="K123" s="49"/>
      <c r="L123" s="50"/>
      <c r="M123" s="44"/>
      <c r="N123" s="45"/>
      <c r="O123" s="46"/>
      <c r="P123" s="35"/>
      <c r="R123" s="57"/>
      <c r="U123" s="57"/>
      <c r="V123" s="707" t="s">
        <v>404</v>
      </c>
      <c r="W123" s="708"/>
      <c r="X123" s="47">
        <f>ROUND((_11_A身体２．５*_11・初任),0)+ROUND((ROUND((_11_B身体２．５＿０．５*(1+_11・B夜間)),0)*_11・初任),0)</f>
        <v>598</v>
      </c>
      <c r="Y123" s="48"/>
    </row>
    <row r="124" spans="1:25" ht="16.5" customHeight="1" x14ac:dyDescent="0.15">
      <c r="A124" s="41">
        <v>11</v>
      </c>
      <c r="B124" s="41" t="s">
        <v>1595</v>
      </c>
      <c r="C124" s="74" t="s">
        <v>1596</v>
      </c>
      <c r="D124" s="121"/>
      <c r="E124" s="99"/>
      <c r="F124" s="121"/>
      <c r="G124" s="99"/>
      <c r="H124" s="72"/>
      <c r="I124" s="57"/>
      <c r="J124" s="43"/>
      <c r="K124" s="37"/>
      <c r="L124" s="38"/>
      <c r="M124" s="44" t="s">
        <v>397</v>
      </c>
      <c r="N124" s="45" t="s">
        <v>398</v>
      </c>
      <c r="O124" s="46">
        <v>1</v>
      </c>
      <c r="P124" s="35"/>
      <c r="R124" s="57"/>
      <c r="U124" s="57"/>
      <c r="V124" s="709"/>
      <c r="W124" s="704"/>
      <c r="X124" s="47">
        <f>ROUND((ROUND((_11_A身体２．５*_11・２人),0)*_11・初任),0)+ROUND((ROUND((ROUND((_11_B身体２．５＿０．５*_11・２人),0)*(1+_11・B夜間)),0)*_11・初任),0)</f>
        <v>598</v>
      </c>
      <c r="Y124" s="48"/>
    </row>
    <row r="125" spans="1:25" ht="16.5" customHeight="1" x14ac:dyDescent="0.15">
      <c r="A125" s="41">
        <v>11</v>
      </c>
      <c r="B125" s="41" t="s">
        <v>1597</v>
      </c>
      <c r="C125" s="74" t="s">
        <v>1598</v>
      </c>
      <c r="D125" s="72"/>
      <c r="E125" s="99"/>
      <c r="F125" s="72"/>
      <c r="G125" s="99"/>
      <c r="H125" s="72"/>
      <c r="I125" s="57"/>
      <c r="J125" s="705" t="s">
        <v>400</v>
      </c>
      <c r="K125" s="49" t="s">
        <v>398</v>
      </c>
      <c r="L125" s="50">
        <v>0.7</v>
      </c>
      <c r="M125" s="44"/>
      <c r="N125" s="45"/>
      <c r="O125" s="46"/>
      <c r="P125" s="35"/>
      <c r="R125" s="57"/>
      <c r="U125" s="57"/>
      <c r="V125" s="709"/>
      <c r="W125" s="704"/>
      <c r="X125" s="47">
        <f>ROUND((ROUND((_11_A身体２．５*_11・基礎１),0)*_11・初任),0)+ROUND((ROUND((ROUND((_11_B身体２．５＿０．５*_11・基礎１),0)*(1+_11・B夜間)),0)*_11・初任),0)</f>
        <v>419</v>
      </c>
      <c r="Y125" s="48"/>
    </row>
    <row r="126" spans="1:25" ht="16.5" customHeight="1" x14ac:dyDescent="0.15">
      <c r="A126" s="41">
        <v>11</v>
      </c>
      <c r="B126" s="41" t="s">
        <v>1599</v>
      </c>
      <c r="C126" s="74" t="s">
        <v>1600</v>
      </c>
      <c r="D126" s="122"/>
      <c r="E126" s="111"/>
      <c r="F126" s="122"/>
      <c r="G126" s="111"/>
      <c r="H126" s="122"/>
      <c r="I126" s="79"/>
      <c r="J126" s="711"/>
      <c r="K126" s="37"/>
      <c r="L126" s="38"/>
      <c r="M126" s="44" t="s">
        <v>397</v>
      </c>
      <c r="N126" s="45" t="s">
        <v>398</v>
      </c>
      <c r="O126" s="46">
        <v>1</v>
      </c>
      <c r="P126" s="43"/>
      <c r="Q126" s="38"/>
      <c r="R126" s="79"/>
      <c r="S126" s="37"/>
      <c r="T126" s="38"/>
      <c r="U126" s="79"/>
      <c r="V126" s="55" t="s">
        <v>398</v>
      </c>
      <c r="W126" s="38">
        <f>_11・初任</f>
        <v>0.7</v>
      </c>
      <c r="X126" s="47">
        <f>ROUND((ROUND((ROUND((_11_A身体２．５*_11・基礎１),0)*_11・２人),0)*_11・初任),0)+ROUND((ROUND((ROUND((ROUND((_11_B身体２．５＿０．５*_11・基礎１),0)*_11・２人),0)*(1+_11・B夜間)),0)*_11・初任),0)</f>
        <v>419</v>
      </c>
      <c r="Y126" s="63"/>
    </row>
    <row r="127" spans="1:25" ht="16.5" customHeight="1" x14ac:dyDescent="0.15">
      <c r="A127" s="80"/>
      <c r="B127" s="80"/>
      <c r="C127" s="81"/>
      <c r="J127" s="83"/>
      <c r="X127" s="84"/>
      <c r="Y127" s="85"/>
    </row>
    <row r="128" spans="1:25" ht="16.5" customHeight="1" x14ac:dyDescent="0.15">
      <c r="A128" s="80"/>
      <c r="B128" s="80"/>
      <c r="C128" s="81"/>
      <c r="J128" s="83"/>
      <c r="X128" s="84"/>
      <c r="Y128" s="85"/>
    </row>
    <row r="129" spans="1:25" ht="16.5" customHeight="1" x14ac:dyDescent="0.15">
      <c r="A129" s="80"/>
      <c r="B129" s="86" t="s">
        <v>1601</v>
      </c>
      <c r="C129" s="81"/>
      <c r="D129" s="71"/>
      <c r="J129" s="83"/>
      <c r="X129" s="84"/>
      <c r="Y129" s="85"/>
    </row>
    <row r="130" spans="1:25" ht="16.5" customHeight="1" x14ac:dyDescent="0.15">
      <c r="A130" s="87" t="s">
        <v>384</v>
      </c>
      <c r="B130" s="20"/>
      <c r="C130" s="88" t="s">
        <v>385</v>
      </c>
      <c r="D130" s="23" t="s">
        <v>386</v>
      </c>
      <c r="E130" s="118"/>
      <c r="F130" s="23"/>
      <c r="G130" s="118"/>
      <c r="H130" s="23"/>
      <c r="I130" s="23"/>
      <c r="J130" s="123"/>
      <c r="K130" s="23"/>
      <c r="L130" s="24"/>
      <c r="M130" s="23"/>
      <c r="N130" s="23"/>
      <c r="O130" s="24"/>
      <c r="P130" s="23"/>
      <c r="Q130" s="24"/>
      <c r="R130" s="23"/>
      <c r="S130" s="23"/>
      <c r="T130" s="24"/>
      <c r="U130" s="23"/>
      <c r="V130" s="23"/>
      <c r="W130" s="23"/>
      <c r="X130" s="25" t="s">
        <v>387</v>
      </c>
      <c r="Y130" s="21" t="s">
        <v>388</v>
      </c>
    </row>
    <row r="131" spans="1:25" ht="16.5" customHeight="1" x14ac:dyDescent="0.15">
      <c r="A131" s="26" t="s">
        <v>389</v>
      </c>
      <c r="B131" s="26" t="s">
        <v>390</v>
      </c>
      <c r="C131" s="89"/>
      <c r="D131" s="87" t="s">
        <v>1032</v>
      </c>
      <c r="E131" s="124"/>
      <c r="F131" s="87" t="s">
        <v>1033</v>
      </c>
      <c r="G131" s="119"/>
      <c r="H131" s="29"/>
      <c r="I131" s="29"/>
      <c r="J131" s="90"/>
      <c r="K131" s="29"/>
      <c r="L131" s="30"/>
      <c r="M131" s="29"/>
      <c r="N131" s="29"/>
      <c r="O131" s="30"/>
      <c r="P131" s="29"/>
      <c r="Q131" s="30"/>
      <c r="R131" s="29"/>
      <c r="S131" s="29"/>
      <c r="T131" s="30"/>
      <c r="U131" s="29"/>
      <c r="V131" s="29"/>
      <c r="W131" s="29"/>
      <c r="X131" s="31" t="s">
        <v>391</v>
      </c>
      <c r="Y131" s="32" t="s">
        <v>392</v>
      </c>
    </row>
    <row r="132" spans="1:25" ht="16.5" customHeight="1" x14ac:dyDescent="0.15">
      <c r="A132" s="33">
        <v>11</v>
      </c>
      <c r="B132" s="33">
        <v>1483</v>
      </c>
      <c r="C132" s="34" t="s">
        <v>1602</v>
      </c>
      <c r="D132" s="709" t="s">
        <v>861</v>
      </c>
      <c r="E132" s="718"/>
      <c r="F132" s="709" t="s">
        <v>1603</v>
      </c>
      <c r="G132" s="718"/>
      <c r="H132" s="709" t="s">
        <v>1226</v>
      </c>
      <c r="I132" s="718"/>
      <c r="J132" s="91"/>
      <c r="M132" s="36"/>
      <c r="N132" s="37"/>
      <c r="O132" s="38"/>
      <c r="P132" s="72" t="s">
        <v>1036</v>
      </c>
      <c r="R132" s="57"/>
      <c r="S132" s="92" t="s">
        <v>1037</v>
      </c>
      <c r="U132" s="57"/>
      <c r="V132" s="35"/>
      <c r="X132" s="39">
        <f>ROUND((_11_A身体０．５*(1+_11・A深夜)),0)+ROUND((_11_B身体０．５＿２．０*(1+_11・B早朝)),0)+_11_C身体０．５＿２．０＿０．５</f>
        <v>1085</v>
      </c>
      <c r="Y132" s="40" t="s">
        <v>395</v>
      </c>
    </row>
    <row r="133" spans="1:25" ht="16.5" customHeight="1" x14ac:dyDescent="0.15">
      <c r="A133" s="41">
        <v>11</v>
      </c>
      <c r="B133" s="41">
        <v>1484</v>
      </c>
      <c r="C133" s="74" t="s">
        <v>1604</v>
      </c>
      <c r="D133" s="709"/>
      <c r="E133" s="718"/>
      <c r="F133" s="709"/>
      <c r="G133" s="718"/>
      <c r="H133" s="709"/>
      <c r="I133" s="718"/>
      <c r="J133" s="94"/>
      <c r="K133" s="37"/>
      <c r="L133" s="38"/>
      <c r="M133" s="44" t="s">
        <v>397</v>
      </c>
      <c r="N133" s="45" t="s">
        <v>398</v>
      </c>
      <c r="O133" s="46">
        <v>1</v>
      </c>
      <c r="P133" s="35" t="s">
        <v>398</v>
      </c>
      <c r="Q133" s="13">
        <v>0.5</v>
      </c>
      <c r="R133" s="728" t="s">
        <v>676</v>
      </c>
      <c r="S133" s="12" t="s">
        <v>398</v>
      </c>
      <c r="T133" s="13">
        <v>0.25</v>
      </c>
      <c r="U133" s="728" t="s">
        <v>676</v>
      </c>
      <c r="V133" s="35"/>
      <c r="X133" s="47">
        <f>ROUND((ROUND((_11_A身体０．５*_11・２人),0)*(1+_11・A深夜)),0)+ROUND((ROUND((_11_B身体０．５＿２．０*_11・２人),0)*(1+_11・B早朝)),0)+ROUND((_11_C身体０．５＿２．０＿０．５*_11・２人),0)</f>
        <v>1085</v>
      </c>
      <c r="Y133" s="48"/>
    </row>
    <row r="134" spans="1:25" ht="16.5" customHeight="1" x14ac:dyDescent="0.15">
      <c r="A134" s="41">
        <v>11</v>
      </c>
      <c r="B134" s="41">
        <v>1485</v>
      </c>
      <c r="C134" s="74" t="s">
        <v>1605</v>
      </c>
      <c r="D134" s="709"/>
      <c r="E134" s="718"/>
      <c r="F134" s="709"/>
      <c r="G134" s="718"/>
      <c r="H134" s="709"/>
      <c r="I134" s="718"/>
      <c r="J134" s="705" t="s">
        <v>400</v>
      </c>
      <c r="K134" s="49" t="s">
        <v>398</v>
      </c>
      <c r="L134" s="50">
        <v>0.7</v>
      </c>
      <c r="M134" s="44"/>
      <c r="N134" s="45"/>
      <c r="O134" s="46"/>
      <c r="P134" s="35"/>
      <c r="R134" s="728"/>
      <c r="U134" s="728"/>
      <c r="V134" s="35"/>
      <c r="X134" s="47">
        <f>ROUND((ROUND((_11_A身体０．５*_11・基礎１),0)*(1+_11・A深夜)),0)+ROUND((ROUND((_11_B身体０．５＿２．０*_11・基礎１),0)*(1+_11・B早朝)),0)+ROUND((_11_C身体０．５＿２．０＿０．５*_11・基礎１),0)</f>
        <v>761</v>
      </c>
      <c r="Y134" s="48"/>
    </row>
    <row r="135" spans="1:25" ht="16.5" customHeight="1" x14ac:dyDescent="0.15">
      <c r="A135" s="41">
        <v>11</v>
      </c>
      <c r="B135" s="41">
        <v>1486</v>
      </c>
      <c r="C135" s="74" t="s">
        <v>1606</v>
      </c>
      <c r="D135" s="100">
        <f>_11_A身体０．５</f>
        <v>255</v>
      </c>
      <c r="E135" s="12" t="s">
        <v>392</v>
      </c>
      <c r="F135" s="100">
        <f>_11_B身体０．５＿２．０</f>
        <v>495</v>
      </c>
      <c r="G135" s="12" t="s">
        <v>392</v>
      </c>
      <c r="H135" s="125">
        <f>_11_C身体０．５＿２．０＿０．５</f>
        <v>83</v>
      </c>
      <c r="I135" s="12" t="s">
        <v>392</v>
      </c>
      <c r="J135" s="723"/>
      <c r="K135" s="37"/>
      <c r="L135" s="38"/>
      <c r="M135" s="44" t="s">
        <v>397</v>
      </c>
      <c r="N135" s="45" t="s">
        <v>398</v>
      </c>
      <c r="O135" s="46">
        <v>1</v>
      </c>
      <c r="P135" s="35"/>
      <c r="R135" s="57"/>
      <c r="U135" s="57"/>
      <c r="V135" s="43"/>
      <c r="W135" s="37"/>
      <c r="X135" s="47">
        <f>ROUND((ROUND((ROUND((_11_A身体０．５*_11・基礎１),0)*_11・２人),0)*(1+_11・A深夜)),0)+ROUND((ROUND((ROUND((_11_B身体０．５＿２．０*_11・基礎１),0)*_11・２人),0)*(1+_11・B早朝)),0)+ROUND((ROUND((_11_C身体０．５＿２．０＿０．５*_11・基礎１),0)*_11・２人),0)</f>
        <v>761</v>
      </c>
      <c r="Y135" s="48"/>
    </row>
    <row r="136" spans="1:25" ht="16.5" customHeight="1" x14ac:dyDescent="0.15">
      <c r="A136" s="41">
        <v>11</v>
      </c>
      <c r="B136" s="41" t="s">
        <v>1607</v>
      </c>
      <c r="C136" s="74" t="s">
        <v>1608</v>
      </c>
      <c r="D136" s="121"/>
      <c r="E136" s="99"/>
      <c r="F136" s="121"/>
      <c r="G136" s="99"/>
      <c r="H136" s="121"/>
      <c r="J136" s="96"/>
      <c r="K136" s="49"/>
      <c r="L136" s="50"/>
      <c r="M136" s="44"/>
      <c r="N136" s="45"/>
      <c r="O136" s="46"/>
      <c r="P136" s="35"/>
      <c r="R136" s="57"/>
      <c r="U136" s="57"/>
      <c r="V136" s="707" t="s">
        <v>404</v>
      </c>
      <c r="W136" s="708"/>
      <c r="X136" s="47">
        <f>ROUND((ROUND((_11_A身体０．５*(1+_11・A深夜)),0)*_11・初任),0)+ROUND((ROUND((_11_B身体０．５＿２．０*(1+_11・B早朝)),0)*_11・初任),0)+ROUND((_11_C身体０．５＿２．０＿０．５*_11・初任),0)</f>
        <v>759</v>
      </c>
      <c r="Y136" s="48"/>
    </row>
    <row r="137" spans="1:25" ht="16.5" customHeight="1" x14ac:dyDescent="0.15">
      <c r="A137" s="41">
        <v>11</v>
      </c>
      <c r="B137" s="41" t="s">
        <v>1609</v>
      </c>
      <c r="C137" s="74" t="s">
        <v>1610</v>
      </c>
      <c r="D137" s="121"/>
      <c r="E137" s="99"/>
      <c r="F137" s="121"/>
      <c r="G137" s="99"/>
      <c r="H137" s="121"/>
      <c r="J137" s="94"/>
      <c r="K137" s="37"/>
      <c r="L137" s="38"/>
      <c r="M137" s="44" t="s">
        <v>397</v>
      </c>
      <c r="N137" s="45" t="s">
        <v>398</v>
      </c>
      <c r="O137" s="46">
        <v>1</v>
      </c>
      <c r="P137" s="35"/>
      <c r="R137" s="57"/>
      <c r="U137" s="57"/>
      <c r="V137" s="709"/>
      <c r="W137" s="704"/>
      <c r="X137" s="47">
        <f>ROUND((ROUND((ROUND((_11_A身体０．５*_11・２人),0)*(1+_11・A深夜)),0)*_11・初任),0)+ROUND((ROUND((ROUND((_11_B身体０．５＿２．０*_11・２人),0)*(1+_11・B早朝)),0)*_11・初任),0)+ROUND((ROUND((_11_C身体０．５＿２．０＿０．５*_11・２人),0)*_11・初任),0)</f>
        <v>759</v>
      </c>
      <c r="Y137" s="48"/>
    </row>
    <row r="138" spans="1:25" ht="16.5" customHeight="1" x14ac:dyDescent="0.15">
      <c r="A138" s="41">
        <v>11</v>
      </c>
      <c r="B138" s="41" t="s">
        <v>1611</v>
      </c>
      <c r="C138" s="74" t="s">
        <v>1612</v>
      </c>
      <c r="D138" s="72"/>
      <c r="E138" s="99"/>
      <c r="F138" s="72"/>
      <c r="G138" s="99"/>
      <c r="H138" s="72"/>
      <c r="J138" s="705" t="s">
        <v>400</v>
      </c>
      <c r="K138" s="49" t="s">
        <v>398</v>
      </c>
      <c r="L138" s="50">
        <v>0.7</v>
      </c>
      <c r="M138" s="44"/>
      <c r="N138" s="45"/>
      <c r="O138" s="46"/>
      <c r="P138" s="35"/>
      <c r="R138" s="57"/>
      <c r="U138" s="57"/>
      <c r="V138" s="709"/>
      <c r="W138" s="704"/>
      <c r="X138" s="47">
        <f>ROUND((ROUND((ROUND((_11_A身体０．５*_11・基礎１),0)*(1+_11・A深夜)),0)*_11・初任),0)+ROUND((ROUND((ROUND((_11_B身体０．５＿２．０*_11・基礎１),0)*(1+_11・B早朝)),0)*_11・初任),0)+ROUND((ROUND((_11_C身体０．５＿２．０＿０．５*_11・基礎１),0)*_11・初任),0)</f>
        <v>533</v>
      </c>
      <c r="Y138" s="48"/>
    </row>
    <row r="139" spans="1:25" ht="16.5" customHeight="1" x14ac:dyDescent="0.15">
      <c r="A139" s="41">
        <v>11</v>
      </c>
      <c r="B139" s="41" t="s">
        <v>1613</v>
      </c>
      <c r="C139" s="74" t="s">
        <v>1614</v>
      </c>
      <c r="D139" s="122"/>
      <c r="E139" s="111"/>
      <c r="F139" s="122"/>
      <c r="G139" s="111"/>
      <c r="H139" s="122"/>
      <c r="I139" s="37"/>
      <c r="J139" s="723"/>
      <c r="K139" s="37"/>
      <c r="L139" s="38"/>
      <c r="M139" s="44" t="s">
        <v>397</v>
      </c>
      <c r="N139" s="45" t="s">
        <v>398</v>
      </c>
      <c r="O139" s="46">
        <v>1</v>
      </c>
      <c r="P139" s="43"/>
      <c r="Q139" s="38"/>
      <c r="R139" s="79"/>
      <c r="S139" s="37"/>
      <c r="T139" s="38"/>
      <c r="U139" s="79"/>
      <c r="V139" s="55" t="s">
        <v>398</v>
      </c>
      <c r="W139" s="38">
        <f>_11・初任</f>
        <v>0.7</v>
      </c>
      <c r="X139" s="47">
        <f>ROUND((ROUND((ROUND((ROUND((_11_A身体０．５*_11・基礎１),0)*_11・２人),0)*(1+_11・A深夜)),0)*_11・初任),0)+ROUND((ROUND((ROUND((ROUND((_11_B身体０．５＿２．０*_11・基礎１),0)*_11・２人),0)*(1+_11・B早朝)),0)*_11・初任),0)+ROUND((ROUND((ROUND((_11_C身体０．５＿２．０＿０．５*_11・基礎１),0)*_11・２人),0)*_11・初任),0)</f>
        <v>533</v>
      </c>
      <c r="Y139" s="63"/>
    </row>
    <row r="140" spans="1:25" ht="16.5" customHeight="1" x14ac:dyDescent="0.15"/>
    <row r="141" spans="1:25" ht="16.5" customHeight="1" x14ac:dyDescent="0.15"/>
  </sheetData>
  <mergeCells count="75">
    <mergeCell ref="J134:J135"/>
    <mergeCell ref="V136:W138"/>
    <mergeCell ref="J138:J139"/>
    <mergeCell ref="D119:E121"/>
    <mergeCell ref="F119:G121"/>
    <mergeCell ref="J121:J122"/>
    <mergeCell ref="V123:W125"/>
    <mergeCell ref="J125:J126"/>
    <mergeCell ref="D132:E134"/>
    <mergeCell ref="F132:G134"/>
    <mergeCell ref="H132:I134"/>
    <mergeCell ref="R133:R134"/>
    <mergeCell ref="U133:U134"/>
    <mergeCell ref="V107:W109"/>
    <mergeCell ref="J109:J110"/>
    <mergeCell ref="F111:G113"/>
    <mergeCell ref="J113:J114"/>
    <mergeCell ref="V115:W117"/>
    <mergeCell ref="J117:J118"/>
    <mergeCell ref="F95:G97"/>
    <mergeCell ref="J97:J98"/>
    <mergeCell ref="V99:W101"/>
    <mergeCell ref="J101:J102"/>
    <mergeCell ref="D103:E105"/>
    <mergeCell ref="F103:G105"/>
    <mergeCell ref="J105:J106"/>
    <mergeCell ref="V83:W85"/>
    <mergeCell ref="J85:J86"/>
    <mergeCell ref="F87:G89"/>
    <mergeCell ref="J89:J90"/>
    <mergeCell ref="V91:W93"/>
    <mergeCell ref="J93:J94"/>
    <mergeCell ref="V75:W77"/>
    <mergeCell ref="J77:J78"/>
    <mergeCell ref="D79:E81"/>
    <mergeCell ref="F79:G81"/>
    <mergeCell ref="U80:U81"/>
    <mergeCell ref="J81:J82"/>
    <mergeCell ref="F63:G65"/>
    <mergeCell ref="J65:J66"/>
    <mergeCell ref="V67:W69"/>
    <mergeCell ref="J69:J70"/>
    <mergeCell ref="F71:G73"/>
    <mergeCell ref="J73:J74"/>
    <mergeCell ref="V51:W53"/>
    <mergeCell ref="J53:J54"/>
    <mergeCell ref="F55:G57"/>
    <mergeCell ref="J57:J58"/>
    <mergeCell ref="V59:W61"/>
    <mergeCell ref="J61:J62"/>
    <mergeCell ref="F39:G41"/>
    <mergeCell ref="J41:J42"/>
    <mergeCell ref="V43:W45"/>
    <mergeCell ref="J45:J46"/>
    <mergeCell ref="D47:E49"/>
    <mergeCell ref="F47:G49"/>
    <mergeCell ref="J49:J50"/>
    <mergeCell ref="V27:W29"/>
    <mergeCell ref="J29:J30"/>
    <mergeCell ref="F31:G33"/>
    <mergeCell ref="J33:J34"/>
    <mergeCell ref="V35:W37"/>
    <mergeCell ref="J37:J38"/>
    <mergeCell ref="F15:G17"/>
    <mergeCell ref="J17:J18"/>
    <mergeCell ref="V19:W21"/>
    <mergeCell ref="J21:J22"/>
    <mergeCell ref="F23:G25"/>
    <mergeCell ref="J25:J26"/>
    <mergeCell ref="D7:E9"/>
    <mergeCell ref="F7:G9"/>
    <mergeCell ref="U8:U9"/>
    <mergeCell ref="J9:J10"/>
    <mergeCell ref="V11:W13"/>
    <mergeCell ref="J13:J14"/>
  </mergeCells>
  <phoneticPr fontId="1"/>
  <printOptions horizontalCentered="1"/>
  <pageMargins left="0.70866141732283472" right="0.70866141732283472" top="0.74803149606299213" bottom="0.74803149606299213" header="0.31496062992125984" footer="0.31496062992125984"/>
  <pageSetup paperSize="9" scale="45" fitToHeight="0" orientation="portrait" r:id="rId1"/>
  <headerFooter>
    <oddHeader>&amp;R&amp;"ＭＳ Ｐゴシック"&amp;9居宅介護</oddHeader>
    <oddFooter>&amp;C&amp;"ＭＳ Ｐゴシック"&amp;14&amp;P</oddFooter>
  </headerFooter>
  <rowBreaks count="1" manualBreakCount="1">
    <brk id="78" max="24"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9">
    <pageSetUpPr fitToPage="1"/>
  </sheetPr>
  <dimension ref="A1:Y5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3.875" style="10" bestFit="1" customWidth="1"/>
    <col min="4" max="4" width="4.875" style="10" customWidth="1"/>
    <col min="5" max="5" width="4.875" style="12" customWidth="1"/>
    <col min="6" max="6" width="4.875" style="10" customWidth="1"/>
    <col min="7" max="7" width="4.875" style="12" customWidth="1"/>
    <col min="8" max="8" width="4.875" style="10" customWidth="1"/>
    <col min="9" max="9" width="4.875" style="12" customWidth="1"/>
    <col min="10" max="10" width="11.875" style="12" customWidth="1"/>
    <col min="11" max="11" width="2.5" style="12" customWidth="1"/>
    <col min="12" max="12" width="4.5" style="13" bestFit="1" customWidth="1"/>
    <col min="13" max="13" width="26" style="12" customWidth="1"/>
    <col min="14" max="14" width="2.5" style="12" customWidth="1"/>
    <col min="15" max="15" width="5.5" style="13" bestFit="1" customWidth="1"/>
    <col min="16" max="16" width="2.5" style="12" customWidth="1"/>
    <col min="17" max="17" width="3.875" style="12" customWidth="1"/>
    <col min="18" max="18" width="4.5" style="13" bestFit="1" customWidth="1"/>
    <col min="19" max="19" width="2.5" style="12" customWidth="1"/>
    <col min="20" max="20" width="3.875" style="12" customWidth="1"/>
    <col min="21" max="21" width="4.5" style="13" bestFit="1" customWidth="1"/>
    <col min="22" max="22" width="9.875" style="12" customWidth="1"/>
    <col min="23" max="23" width="4.5" style="13" bestFit="1" customWidth="1"/>
    <col min="24" max="24" width="7.125" style="15" customWidth="1"/>
    <col min="25" max="25" width="8.5" style="16" customWidth="1"/>
    <col min="26" max="16384" width="8.875" style="12"/>
  </cols>
  <sheetData>
    <row r="1" spans="1:25" ht="17.100000000000001" customHeight="1" x14ac:dyDescent="0.15"/>
    <row r="2" spans="1:25" ht="17.100000000000001" customHeight="1" x14ac:dyDescent="0.15"/>
    <row r="3" spans="1:25" ht="17.100000000000001" customHeight="1" x14ac:dyDescent="0.15"/>
    <row r="4" spans="1:25" ht="17.100000000000001" customHeight="1" x14ac:dyDescent="0.15">
      <c r="B4" s="17" t="s">
        <v>14101</v>
      </c>
      <c r="D4" s="71"/>
    </row>
    <row r="5" spans="1:25" ht="16.5" customHeight="1" x14ac:dyDescent="0.15">
      <c r="A5" s="19" t="s">
        <v>384</v>
      </c>
      <c r="B5" s="20"/>
      <c r="C5" s="21" t="s">
        <v>385</v>
      </c>
      <c r="D5" s="23" t="s">
        <v>386</v>
      </c>
      <c r="E5" s="23"/>
      <c r="F5" s="23"/>
      <c r="G5" s="23"/>
      <c r="H5" s="23"/>
      <c r="I5" s="23"/>
      <c r="J5" s="23"/>
      <c r="K5" s="23"/>
      <c r="L5" s="24"/>
      <c r="M5" s="23"/>
      <c r="N5" s="23"/>
      <c r="O5" s="24"/>
      <c r="P5" s="23"/>
      <c r="Q5" s="23"/>
      <c r="R5" s="24"/>
      <c r="S5" s="23"/>
      <c r="T5" s="23"/>
      <c r="U5" s="24"/>
      <c r="V5" s="23"/>
      <c r="W5" s="24"/>
      <c r="X5" s="25" t="s">
        <v>387</v>
      </c>
      <c r="Y5" s="21" t="s">
        <v>388</v>
      </c>
    </row>
    <row r="6" spans="1:25" ht="16.5" customHeight="1" x14ac:dyDescent="0.15">
      <c r="A6" s="26" t="s">
        <v>389</v>
      </c>
      <c r="B6" s="26" t="s">
        <v>390</v>
      </c>
      <c r="C6" s="27"/>
      <c r="D6" s="87" t="s">
        <v>1032</v>
      </c>
      <c r="E6" s="20"/>
      <c r="F6" s="87" t="s">
        <v>1033</v>
      </c>
      <c r="G6" s="20"/>
      <c r="H6" s="29"/>
      <c r="I6" s="29"/>
      <c r="J6" s="29"/>
      <c r="K6" s="29"/>
      <c r="L6" s="30"/>
      <c r="M6" s="29"/>
      <c r="N6" s="29"/>
      <c r="O6" s="30"/>
      <c r="P6" s="29"/>
      <c r="Q6" s="29"/>
      <c r="R6" s="30"/>
      <c r="S6" s="29"/>
      <c r="T6" s="29"/>
      <c r="U6" s="30"/>
      <c r="V6" s="29"/>
      <c r="W6" s="30"/>
      <c r="X6" s="31" t="s">
        <v>391</v>
      </c>
      <c r="Y6" s="32" t="s">
        <v>392</v>
      </c>
    </row>
    <row r="7" spans="1:25" ht="16.5" customHeight="1" x14ac:dyDescent="0.15">
      <c r="A7" s="33">
        <v>11</v>
      </c>
      <c r="B7" s="33">
        <v>7363</v>
      </c>
      <c r="C7" s="34" t="s">
        <v>14102</v>
      </c>
      <c r="D7" s="709" t="s">
        <v>861</v>
      </c>
      <c r="E7" s="796"/>
      <c r="F7" s="709" t="s">
        <v>1035</v>
      </c>
      <c r="G7" s="796"/>
      <c r="H7" s="709" t="s">
        <v>1226</v>
      </c>
      <c r="I7" s="796"/>
      <c r="J7" s="35"/>
      <c r="M7" s="43"/>
      <c r="N7" s="37"/>
      <c r="O7" s="38"/>
      <c r="P7" s="92" t="s">
        <v>1036</v>
      </c>
      <c r="Q7" s="10"/>
      <c r="R7" s="234"/>
      <c r="S7" s="72" t="s">
        <v>1037</v>
      </c>
      <c r="T7" s="10"/>
      <c r="U7" s="234"/>
      <c r="V7" s="35"/>
      <c r="W7" s="234"/>
      <c r="X7" s="73">
        <f>ROUND((_11_A通院２０．５*(1+_11・A深夜)),0)+ROUND((_11_B通院２０．５＿０．５*(1+_11・B早朝)),0)+_11_C通院２０．５＿０．５＿０．５</f>
        <v>350</v>
      </c>
      <c r="Y7" s="40" t="s">
        <v>395</v>
      </c>
    </row>
    <row r="8" spans="1:25" ht="16.5" customHeight="1" x14ac:dyDescent="0.15">
      <c r="A8" s="41">
        <v>11</v>
      </c>
      <c r="B8" s="41">
        <v>7364</v>
      </c>
      <c r="C8" s="74" t="s">
        <v>14103</v>
      </c>
      <c r="D8" s="799"/>
      <c r="E8" s="796"/>
      <c r="F8" s="799"/>
      <c r="G8" s="796"/>
      <c r="H8" s="799"/>
      <c r="I8" s="796"/>
      <c r="J8" s="43"/>
      <c r="K8" s="37"/>
      <c r="L8" s="38"/>
      <c r="M8" s="281" t="s">
        <v>397</v>
      </c>
      <c r="N8" s="218" t="s">
        <v>398</v>
      </c>
      <c r="O8" s="46">
        <v>1</v>
      </c>
      <c r="P8" s="258" t="s">
        <v>398</v>
      </c>
      <c r="Q8" s="13">
        <v>0.5</v>
      </c>
      <c r="R8" s="718" t="s">
        <v>676</v>
      </c>
      <c r="S8" s="258" t="s">
        <v>398</v>
      </c>
      <c r="T8" s="13">
        <v>0.25</v>
      </c>
      <c r="U8" s="718" t="s">
        <v>676</v>
      </c>
      <c r="V8" s="35"/>
      <c r="W8" s="234"/>
      <c r="X8" s="75">
        <f>ROUND((ROUND((_11_A通院２０．５*_11・２人),0)*(1+_11・A深夜)),0)+ROUND((ROUND((_11_B通院２０．５＿０．５*_11・２人),0)*(1+_11・B早朝)),0)+ROUND((_11_C通院２０．５＿０．５＿０．５*_11・２人),0)</f>
        <v>350</v>
      </c>
      <c r="Y8" s="48"/>
    </row>
    <row r="9" spans="1:25" ht="16.5" customHeight="1" x14ac:dyDescent="0.15">
      <c r="A9" s="41">
        <v>11</v>
      </c>
      <c r="B9" s="41">
        <v>7365</v>
      </c>
      <c r="C9" s="74" t="s">
        <v>14104</v>
      </c>
      <c r="D9" s="799"/>
      <c r="E9" s="796"/>
      <c r="F9" s="799"/>
      <c r="G9" s="796"/>
      <c r="H9" s="799"/>
      <c r="I9" s="796"/>
      <c r="J9" s="752" t="s">
        <v>400</v>
      </c>
      <c r="K9" s="221" t="s">
        <v>398</v>
      </c>
      <c r="L9" s="50">
        <v>0.9</v>
      </c>
      <c r="M9" s="163"/>
      <c r="N9" s="45"/>
      <c r="O9" s="46"/>
      <c r="P9" s="35"/>
      <c r="R9" s="796"/>
      <c r="S9" s="35"/>
      <c r="U9" s="796"/>
      <c r="V9" s="35"/>
      <c r="W9" s="234"/>
      <c r="X9" s="75">
        <f>ROUND((ROUND((_11_A通院２０．５*_11・基礎２),0)*(1+_11・A深夜)),0)+ROUND((ROUND((_11_B通院２０．５＿０．５*_11・基礎２),0)*(1+_11・B早朝)),0)+ROUND((_11_C通院２０．５＿０．５＿０．５*_11・基礎２),0)</f>
        <v>316</v>
      </c>
      <c r="Y9" s="48"/>
    </row>
    <row r="10" spans="1:25" ht="16.5" customHeight="1" x14ac:dyDescent="0.15">
      <c r="A10" s="41">
        <v>11</v>
      </c>
      <c r="B10" s="41">
        <v>7366</v>
      </c>
      <c r="C10" s="74" t="s">
        <v>14105</v>
      </c>
      <c r="D10" s="274">
        <f>_11_A通院２０．５</f>
        <v>105</v>
      </c>
      <c r="E10" s="10" t="s">
        <v>392</v>
      </c>
      <c r="F10" s="274">
        <f>_11_B通院２０．５＿０．５</f>
        <v>91</v>
      </c>
      <c r="G10" s="10" t="s">
        <v>392</v>
      </c>
      <c r="H10" s="274">
        <f>_11_C通院２０．５＿０．５＿０．５</f>
        <v>78</v>
      </c>
      <c r="I10" s="10" t="s">
        <v>392</v>
      </c>
      <c r="J10" s="711"/>
      <c r="K10" s="37"/>
      <c r="L10" s="38"/>
      <c r="M10" s="281" t="s">
        <v>397</v>
      </c>
      <c r="N10" s="218" t="s">
        <v>398</v>
      </c>
      <c r="O10" s="46">
        <v>1</v>
      </c>
      <c r="P10" s="35"/>
      <c r="R10" s="234"/>
      <c r="S10" s="35"/>
      <c r="U10" s="234"/>
      <c r="V10" s="35"/>
      <c r="W10" s="234"/>
      <c r="X10" s="75">
        <f>ROUND((ROUND((ROUND((_11_A通院２０．５*_11・基礎２),0)*_11・２人),0)*(1+_11・A深夜)),0)+ROUND((ROUND((ROUND((_11_B通院２０．５＿０．５*_11・基礎２),0)*_11・２人),0)*(1+_11・B早朝)),0)+ROUND((ROUND((_11_C通院２０．５＿０．５＿０．５*_11・基礎２),0)*_11・２人),0)</f>
        <v>316</v>
      </c>
      <c r="Y10" s="48"/>
    </row>
    <row r="11" spans="1:25" ht="16.5" customHeight="1" x14ac:dyDescent="0.15">
      <c r="A11" s="41">
        <v>11</v>
      </c>
      <c r="B11" s="41" t="s">
        <v>14106</v>
      </c>
      <c r="C11" s="74" t="s">
        <v>14107</v>
      </c>
      <c r="D11" s="72"/>
      <c r="F11" s="72"/>
      <c r="H11" s="72"/>
      <c r="J11" s="53"/>
      <c r="K11" s="49"/>
      <c r="L11" s="50"/>
      <c r="M11" s="163"/>
      <c r="N11" s="45"/>
      <c r="O11" s="46"/>
      <c r="P11" s="35"/>
      <c r="S11" s="35"/>
      <c r="U11" s="234"/>
      <c r="V11" s="707" t="s">
        <v>404</v>
      </c>
      <c r="W11" s="708"/>
      <c r="X11" s="75">
        <f>ROUND((ROUND((_11_A通院２０．５*(1+_11・A深夜)),0)*_11・初任),0)+ROUND((ROUND((_11_B通院２０．５＿０．５*(1+_11・B早朝)),0)*_11・初任),0)+ROUND((_11_C通院２０．５＿０．５＿０．５*_11・初任),0)</f>
        <v>246</v>
      </c>
      <c r="Y11" s="48"/>
    </row>
    <row r="12" spans="1:25" ht="16.5" customHeight="1" x14ac:dyDescent="0.15">
      <c r="A12" s="41">
        <v>11</v>
      </c>
      <c r="B12" s="41" t="s">
        <v>14108</v>
      </c>
      <c r="C12" s="74" t="s">
        <v>14109</v>
      </c>
      <c r="D12" s="72"/>
      <c r="F12" s="72"/>
      <c r="H12" s="72"/>
      <c r="J12" s="43"/>
      <c r="K12" s="37"/>
      <c r="L12" s="38"/>
      <c r="M12" s="281" t="s">
        <v>397</v>
      </c>
      <c r="N12" s="218" t="s">
        <v>398</v>
      </c>
      <c r="O12" s="46">
        <v>1</v>
      </c>
      <c r="P12" s="35"/>
      <c r="S12" s="35"/>
      <c r="U12" s="234"/>
      <c r="V12" s="709"/>
      <c r="W12" s="704"/>
      <c r="X12" s="75">
        <f>ROUND((ROUND((ROUND((_11_A通院２０．５*_11・２人),0)*(1+_11・A深夜)),0)*_11・初任),0)+ROUND((ROUND((ROUND((_11_B通院２０．５＿０．５*_11・２人),0)*(1+_11・B早朝)),0)*_11・初任),0)+ROUND((ROUND((_11_C通院２０．５＿０．５＿０．５*_11・２人),0)*_11・初任),0)</f>
        <v>246</v>
      </c>
      <c r="Y12" s="48"/>
    </row>
    <row r="13" spans="1:25" ht="16.5" customHeight="1" x14ac:dyDescent="0.15">
      <c r="A13" s="41">
        <v>11</v>
      </c>
      <c r="B13" s="41" t="s">
        <v>14110</v>
      </c>
      <c r="C13" s="74" t="s">
        <v>14111</v>
      </c>
      <c r="D13" s="72"/>
      <c r="F13" s="72"/>
      <c r="H13" s="72"/>
      <c r="J13" s="755" t="s">
        <v>400</v>
      </c>
      <c r="K13" s="221" t="s">
        <v>398</v>
      </c>
      <c r="L13" s="50">
        <v>0.9</v>
      </c>
      <c r="M13" s="163"/>
      <c r="N13" s="45"/>
      <c r="O13" s="46"/>
      <c r="P13" s="35"/>
      <c r="S13" s="35"/>
      <c r="U13" s="234"/>
      <c r="V13" s="709"/>
      <c r="W13" s="704"/>
      <c r="X13" s="75">
        <f>ROUND((ROUND((ROUND((_11_A通院２０．５*_11・基礎２),0)*(1+_11・A深夜)),0)*_11・初任),0)+ROUND((ROUND((ROUND((_11_B通院２０．５＿０．５*_11・基礎２),0)*(1+_11・B早朝)),0)*_11・初任),0)+ROUND((ROUND((_11_C通院２０．５＿０．５＿０．５*_11・基礎２),0)*_11・初任),0)</f>
        <v>221</v>
      </c>
      <c r="Y13" s="48"/>
    </row>
    <row r="14" spans="1:25" ht="16.5" customHeight="1" x14ac:dyDescent="0.15">
      <c r="A14" s="41">
        <v>11</v>
      </c>
      <c r="B14" s="41" t="s">
        <v>14112</v>
      </c>
      <c r="C14" s="74" t="s">
        <v>14113</v>
      </c>
      <c r="D14" s="122"/>
      <c r="E14" s="37"/>
      <c r="F14" s="122"/>
      <c r="G14" s="37"/>
      <c r="H14" s="122"/>
      <c r="I14" s="37"/>
      <c r="J14" s="711"/>
      <c r="K14" s="37"/>
      <c r="L14" s="38"/>
      <c r="M14" s="281" t="s">
        <v>397</v>
      </c>
      <c r="N14" s="218" t="s">
        <v>398</v>
      </c>
      <c r="O14" s="46">
        <v>1</v>
      </c>
      <c r="P14" s="43"/>
      <c r="Q14" s="37"/>
      <c r="R14" s="38"/>
      <c r="S14" s="43"/>
      <c r="T14" s="37"/>
      <c r="U14" s="244"/>
      <c r="V14" s="240" t="s">
        <v>398</v>
      </c>
      <c r="W14" s="38">
        <f>_11・初任</f>
        <v>0.7</v>
      </c>
      <c r="X14" s="75">
        <f>ROUND((ROUND((ROUND((ROUND((_11_A通院２０．５*_11・基礎２),0)*_11・２人),0)*(1+_11・A深夜)),0)*_11・初任),0)+ROUND((ROUND((ROUND((ROUND((_11_B通院２０．５＿０．５*_11・基礎２),0)*_11・２人),0)*(1+_11・B早朝)),0)*_11・初任),0)+ROUND((ROUND((ROUND((_11_C通院２０．５＿０．５＿０．５*_11・基礎２),0)*_11・２人),0)*_11・初任),0)</f>
        <v>221</v>
      </c>
      <c r="Y14" s="63"/>
    </row>
    <row r="15" spans="1:25" ht="16.5" customHeight="1" x14ac:dyDescent="0.15">
      <c r="A15" s="80"/>
      <c r="B15" s="80"/>
      <c r="C15" s="81"/>
      <c r="M15" s="82"/>
      <c r="X15" s="84"/>
      <c r="Y15" s="85"/>
    </row>
    <row r="16" spans="1:25" ht="16.5" customHeight="1" x14ac:dyDescent="0.15">
      <c r="A16" s="80"/>
      <c r="B16" s="80"/>
      <c r="C16" s="81"/>
      <c r="M16" s="82"/>
      <c r="X16" s="84"/>
      <c r="Y16" s="85"/>
    </row>
    <row r="17" spans="1:25" ht="16.5" customHeight="1" x14ac:dyDescent="0.15">
      <c r="A17" s="80"/>
      <c r="B17" s="86" t="s">
        <v>14114</v>
      </c>
      <c r="C17" s="81"/>
      <c r="D17" s="71"/>
      <c r="M17" s="82"/>
      <c r="X17" s="84"/>
      <c r="Y17" s="85"/>
    </row>
    <row r="18" spans="1:25" ht="16.5" customHeight="1" x14ac:dyDescent="0.15">
      <c r="A18" s="87" t="s">
        <v>384</v>
      </c>
      <c r="B18" s="20"/>
      <c r="C18" s="88" t="s">
        <v>385</v>
      </c>
      <c r="D18" s="23" t="s">
        <v>386</v>
      </c>
      <c r="E18" s="23"/>
      <c r="F18" s="23"/>
      <c r="G18" s="23"/>
      <c r="H18" s="23"/>
      <c r="I18" s="23"/>
      <c r="J18" s="23"/>
      <c r="K18" s="23"/>
      <c r="L18" s="24"/>
      <c r="M18" s="283"/>
      <c r="N18" s="23"/>
      <c r="O18" s="24"/>
      <c r="P18" s="23"/>
      <c r="Q18" s="23"/>
      <c r="R18" s="24"/>
      <c r="S18" s="23"/>
      <c r="T18" s="23"/>
      <c r="U18" s="24"/>
      <c r="V18" s="23"/>
      <c r="W18" s="24"/>
      <c r="X18" s="25" t="s">
        <v>387</v>
      </c>
      <c r="Y18" s="21" t="s">
        <v>388</v>
      </c>
    </row>
    <row r="19" spans="1:25" ht="16.5" customHeight="1" x14ac:dyDescent="0.15">
      <c r="A19" s="26" t="s">
        <v>389</v>
      </c>
      <c r="B19" s="26" t="s">
        <v>390</v>
      </c>
      <c r="C19" s="89"/>
      <c r="D19" s="87" t="s">
        <v>1032</v>
      </c>
      <c r="E19" s="20"/>
      <c r="F19" s="29"/>
      <c r="G19" s="29"/>
      <c r="H19" s="29"/>
      <c r="I19" s="29"/>
      <c r="J19" s="29"/>
      <c r="K19" s="29"/>
      <c r="L19" s="30"/>
      <c r="M19" s="284"/>
      <c r="N19" s="29"/>
      <c r="O19" s="30"/>
      <c r="P19" s="29"/>
      <c r="Q19" s="29"/>
      <c r="R19" s="30"/>
      <c r="S19" s="29"/>
      <c r="T19" s="29"/>
      <c r="U19" s="30"/>
      <c r="V19" s="29"/>
      <c r="W19" s="30"/>
      <c r="X19" s="31" t="s">
        <v>391</v>
      </c>
      <c r="Y19" s="32" t="s">
        <v>392</v>
      </c>
    </row>
    <row r="20" spans="1:25" ht="16.5" customHeight="1" x14ac:dyDescent="0.15">
      <c r="A20" s="33">
        <v>11</v>
      </c>
      <c r="B20" s="33">
        <v>7367</v>
      </c>
      <c r="C20" s="34" t="s">
        <v>14115</v>
      </c>
      <c r="D20" s="709" t="s">
        <v>4811</v>
      </c>
      <c r="E20" s="796"/>
      <c r="F20" s="709" t="s">
        <v>1226</v>
      </c>
      <c r="G20" s="797"/>
      <c r="H20" s="72"/>
      <c r="I20" s="57"/>
      <c r="M20" s="70"/>
      <c r="N20" s="37"/>
      <c r="O20" s="38"/>
      <c r="P20" s="72" t="s">
        <v>1036</v>
      </c>
      <c r="R20" s="234"/>
      <c r="S20" s="35"/>
      <c r="U20" s="234"/>
      <c r="V20" s="35"/>
      <c r="W20" s="234"/>
      <c r="X20" s="93">
        <f>ROUND((_11_A通院２０．５*(1+_11・A深夜)),0)+_11_B通院２０．５＿０．５</f>
        <v>249</v>
      </c>
      <c r="Y20" s="40" t="s">
        <v>395</v>
      </c>
    </row>
    <row r="21" spans="1:25" ht="16.5" customHeight="1" x14ac:dyDescent="0.15">
      <c r="A21" s="41">
        <v>11</v>
      </c>
      <c r="B21" s="41">
        <v>7368</v>
      </c>
      <c r="C21" s="74" t="s">
        <v>14116</v>
      </c>
      <c r="D21" s="799"/>
      <c r="E21" s="796"/>
      <c r="F21" s="799"/>
      <c r="G21" s="797"/>
      <c r="H21" s="72"/>
      <c r="I21" s="57"/>
      <c r="J21" s="37"/>
      <c r="K21" s="37"/>
      <c r="L21" s="38"/>
      <c r="M21" s="281" t="s">
        <v>397</v>
      </c>
      <c r="N21" s="218" t="s">
        <v>398</v>
      </c>
      <c r="O21" s="46">
        <v>1</v>
      </c>
      <c r="P21" s="258" t="s">
        <v>398</v>
      </c>
      <c r="Q21" s="13">
        <v>0.5</v>
      </c>
      <c r="R21" s="718" t="s">
        <v>676</v>
      </c>
      <c r="S21" s="35"/>
      <c r="U21" s="234"/>
      <c r="V21" s="35"/>
      <c r="W21" s="234"/>
      <c r="X21" s="95">
        <f>ROUND((ROUND((_11_A通院２０．５*_11・２人),0)*(1+_11・A深夜)),0)+ROUND((_11_B通院２０．５＿０．５*_11・２人),0)</f>
        <v>249</v>
      </c>
      <c r="Y21" s="48"/>
    </row>
    <row r="22" spans="1:25" ht="16.5" customHeight="1" x14ac:dyDescent="0.15">
      <c r="A22" s="41">
        <v>11</v>
      </c>
      <c r="B22" s="41">
        <v>7369</v>
      </c>
      <c r="C22" s="74" t="s">
        <v>14117</v>
      </c>
      <c r="D22" s="799"/>
      <c r="E22" s="796"/>
      <c r="F22" s="799"/>
      <c r="G22" s="797"/>
      <c r="H22" s="72"/>
      <c r="I22" s="57"/>
      <c r="J22" s="752" t="s">
        <v>400</v>
      </c>
      <c r="K22" s="221" t="s">
        <v>398</v>
      </c>
      <c r="L22" s="50">
        <v>0.9</v>
      </c>
      <c r="M22" s="282"/>
      <c r="N22" s="45"/>
      <c r="O22" s="46"/>
      <c r="P22" s="35"/>
      <c r="R22" s="796"/>
      <c r="S22" s="35"/>
      <c r="U22" s="234"/>
      <c r="V22" s="35"/>
      <c r="W22" s="234"/>
      <c r="X22" s="95">
        <f>ROUND((ROUND((_11_A通院２０．５*_11・基礎２),0)*(1+_11・A深夜)),0)+ROUND((_11_B通院２０．５＿０．５*_11・基礎２),0)</f>
        <v>225</v>
      </c>
      <c r="Y22" s="48"/>
    </row>
    <row r="23" spans="1:25" ht="16.5" customHeight="1" x14ac:dyDescent="0.15">
      <c r="A23" s="41">
        <v>11</v>
      </c>
      <c r="B23" s="41">
        <v>7370</v>
      </c>
      <c r="C23" s="74" t="s">
        <v>14118</v>
      </c>
      <c r="D23" s="274">
        <f>_11_A通院２０．５</f>
        <v>105</v>
      </c>
      <c r="E23" s="254" t="s">
        <v>392</v>
      </c>
      <c r="F23" s="274">
        <f>_11_B通院２０．５＿０．５</f>
        <v>91</v>
      </c>
      <c r="G23" s="254" t="s">
        <v>392</v>
      </c>
      <c r="H23" s="72"/>
      <c r="I23" s="57"/>
      <c r="J23" s="711"/>
      <c r="K23" s="37"/>
      <c r="L23" s="38"/>
      <c r="M23" s="281" t="s">
        <v>397</v>
      </c>
      <c r="N23" s="218" t="s">
        <v>398</v>
      </c>
      <c r="O23" s="46">
        <v>1</v>
      </c>
      <c r="P23" s="35"/>
      <c r="S23" s="35"/>
      <c r="U23" s="234"/>
      <c r="V23" s="35"/>
      <c r="W23" s="234"/>
      <c r="X23" s="95">
        <f>ROUND((ROUND((ROUND((_11_A通院２０．５*_11・基礎２),0)*_11・２人),0)*(1+_11・A深夜)),0)+ROUND((ROUND((_11_B通院２０．５＿０．５*_11・基礎２),0)*_11・２人),0)</f>
        <v>225</v>
      </c>
      <c r="Y23" s="48"/>
    </row>
    <row r="24" spans="1:25" ht="16.5" customHeight="1" x14ac:dyDescent="0.15">
      <c r="A24" s="41">
        <v>11</v>
      </c>
      <c r="B24" s="41" t="s">
        <v>14119</v>
      </c>
      <c r="C24" s="74" t="s">
        <v>14120</v>
      </c>
      <c r="D24" s="72"/>
      <c r="F24" s="72"/>
      <c r="H24" s="72"/>
      <c r="I24" s="57"/>
      <c r="J24" s="49"/>
      <c r="K24" s="49"/>
      <c r="L24" s="50"/>
      <c r="M24" s="282"/>
      <c r="N24" s="45"/>
      <c r="O24" s="46"/>
      <c r="P24" s="35"/>
      <c r="S24" s="35"/>
      <c r="U24" s="234"/>
      <c r="V24" s="707" t="s">
        <v>404</v>
      </c>
      <c r="W24" s="708"/>
      <c r="X24" s="95">
        <f>ROUND((ROUND((_11_A通院２０．５*(1+_11・A深夜)),0)*_11・初任),0)+ROUND((_11_B通院２０．５＿０．５*_11・初任),0)</f>
        <v>175</v>
      </c>
      <c r="Y24" s="48"/>
    </row>
    <row r="25" spans="1:25" ht="16.5" customHeight="1" x14ac:dyDescent="0.15">
      <c r="A25" s="41">
        <v>11</v>
      </c>
      <c r="B25" s="41" t="s">
        <v>14121</v>
      </c>
      <c r="C25" s="74" t="s">
        <v>14122</v>
      </c>
      <c r="D25" s="72"/>
      <c r="F25" s="72"/>
      <c r="H25" s="72"/>
      <c r="I25" s="57"/>
      <c r="J25" s="37"/>
      <c r="K25" s="37"/>
      <c r="L25" s="38"/>
      <c r="M25" s="281" t="s">
        <v>397</v>
      </c>
      <c r="N25" s="218" t="s">
        <v>398</v>
      </c>
      <c r="O25" s="46">
        <v>1</v>
      </c>
      <c r="P25" s="35"/>
      <c r="S25" s="35"/>
      <c r="U25" s="234"/>
      <c r="V25" s="709"/>
      <c r="W25" s="704"/>
      <c r="X25" s="95">
        <f>ROUND((ROUND((ROUND((_11_A通院２０．５*_11・２人),0)*(1+_11・A深夜)),0)*_11・初任),0)+ROUND((ROUND((_11_B通院２０．５＿０．５*_11・２人),0)*_11・初任),0)</f>
        <v>175</v>
      </c>
      <c r="Y25" s="48"/>
    </row>
    <row r="26" spans="1:25" ht="16.5" customHeight="1" x14ac:dyDescent="0.15">
      <c r="A26" s="41">
        <v>11</v>
      </c>
      <c r="B26" s="41" t="s">
        <v>14123</v>
      </c>
      <c r="C26" s="74" t="s">
        <v>14124</v>
      </c>
      <c r="D26" s="72"/>
      <c r="F26" s="72"/>
      <c r="H26" s="72"/>
      <c r="I26" s="57"/>
      <c r="J26" s="755" t="s">
        <v>400</v>
      </c>
      <c r="K26" s="221" t="s">
        <v>398</v>
      </c>
      <c r="L26" s="50">
        <v>0.9</v>
      </c>
      <c r="M26" s="282"/>
      <c r="N26" s="45"/>
      <c r="O26" s="46"/>
      <c r="P26" s="35"/>
      <c r="S26" s="35"/>
      <c r="U26" s="234"/>
      <c r="V26" s="709"/>
      <c r="W26" s="704"/>
      <c r="X26" s="95">
        <f>ROUND((ROUND((ROUND((_11_A通院２０．５*_11・基礎２),0)*(1+_11・A深夜)),0)*_11・初任),0)+ROUND((ROUND((_11_B通院２０．５＿０．５*_11・基礎２),0)*_11・初任),0)</f>
        <v>157</v>
      </c>
      <c r="Y26" s="48"/>
    </row>
    <row r="27" spans="1:25" ht="16.5" customHeight="1" x14ac:dyDescent="0.15">
      <c r="A27" s="41">
        <v>11</v>
      </c>
      <c r="B27" s="41" t="s">
        <v>14125</v>
      </c>
      <c r="C27" s="74" t="s">
        <v>14126</v>
      </c>
      <c r="D27" s="72"/>
      <c r="F27" s="72"/>
      <c r="H27" s="72"/>
      <c r="I27" s="57"/>
      <c r="J27" s="711"/>
      <c r="K27" s="37"/>
      <c r="L27" s="38"/>
      <c r="M27" s="281" t="s">
        <v>397</v>
      </c>
      <c r="N27" s="218" t="s">
        <v>398</v>
      </c>
      <c r="O27" s="46">
        <v>1</v>
      </c>
      <c r="P27" s="35"/>
      <c r="S27" s="35"/>
      <c r="U27" s="234"/>
      <c r="V27" s="240" t="s">
        <v>398</v>
      </c>
      <c r="W27" s="38">
        <f>_11・初任</f>
        <v>0.7</v>
      </c>
      <c r="X27" s="95">
        <f>ROUND((ROUND((ROUND((ROUND((_11_A通院２０．５*_11・基礎２),0)*_11・２人),0)*(1+_11・A深夜)),0)*_11・初任),0)+ROUND((ROUND((ROUND((_11_B通院２０．５＿０．５*_11・基礎２),0)*_11・２人),0)*_11・初任),0)</f>
        <v>157</v>
      </c>
      <c r="Y27" s="48"/>
    </row>
    <row r="28" spans="1:25" ht="16.5" customHeight="1" x14ac:dyDescent="0.15">
      <c r="A28" s="41">
        <v>11</v>
      </c>
      <c r="B28" s="41">
        <v>7371</v>
      </c>
      <c r="C28" s="74" t="s">
        <v>14127</v>
      </c>
      <c r="D28" s="72"/>
      <c r="F28" s="707" t="s">
        <v>1304</v>
      </c>
      <c r="G28" s="814"/>
      <c r="H28" s="72"/>
      <c r="I28" s="57"/>
      <c r="J28" s="49"/>
      <c r="K28" s="49"/>
      <c r="L28" s="50"/>
      <c r="M28" s="282"/>
      <c r="N28" s="45"/>
      <c r="O28" s="46"/>
      <c r="P28" s="35"/>
      <c r="S28" s="35"/>
      <c r="U28" s="234"/>
      <c r="V28" s="53"/>
      <c r="W28" s="251"/>
      <c r="X28" s="95">
        <f>ROUND((_11_A通院２０．５*(1+_11・A深夜)),0)+_11_B通院２０．５＿１．０</f>
        <v>327</v>
      </c>
      <c r="Y28" s="48"/>
    </row>
    <row r="29" spans="1:25" ht="16.5" customHeight="1" x14ac:dyDescent="0.15">
      <c r="A29" s="41">
        <v>11</v>
      </c>
      <c r="B29" s="41">
        <v>7372</v>
      </c>
      <c r="C29" s="74" t="s">
        <v>14128</v>
      </c>
      <c r="D29" s="72"/>
      <c r="F29" s="799"/>
      <c r="G29" s="797"/>
      <c r="H29" s="72"/>
      <c r="I29" s="57"/>
      <c r="J29" s="37"/>
      <c r="K29" s="37"/>
      <c r="L29" s="38"/>
      <c r="M29" s="281" t="s">
        <v>397</v>
      </c>
      <c r="N29" s="218" t="s">
        <v>398</v>
      </c>
      <c r="O29" s="46">
        <v>1</v>
      </c>
      <c r="P29" s="35"/>
      <c r="S29" s="35"/>
      <c r="U29" s="234"/>
      <c r="V29" s="35"/>
      <c r="W29" s="234"/>
      <c r="X29" s="95">
        <f>ROUND((ROUND((_11_A通院２０．５*_11・２人),0)*(1+_11・A深夜)),0)+ROUND((_11_B通院２０．５＿１．０*_11・２人),0)</f>
        <v>327</v>
      </c>
      <c r="Y29" s="48"/>
    </row>
    <row r="30" spans="1:25" ht="16.5" customHeight="1" x14ac:dyDescent="0.15">
      <c r="A30" s="41">
        <v>11</v>
      </c>
      <c r="B30" s="41">
        <v>7373</v>
      </c>
      <c r="C30" s="74" t="s">
        <v>14129</v>
      </c>
      <c r="D30" s="72"/>
      <c r="F30" s="799"/>
      <c r="G30" s="797"/>
      <c r="H30" s="72"/>
      <c r="I30" s="57"/>
      <c r="J30" s="755" t="s">
        <v>400</v>
      </c>
      <c r="K30" s="221" t="s">
        <v>398</v>
      </c>
      <c r="L30" s="50">
        <v>0.9</v>
      </c>
      <c r="M30" s="282"/>
      <c r="N30" s="45"/>
      <c r="O30" s="46"/>
      <c r="P30" s="35"/>
      <c r="S30" s="35"/>
      <c r="U30" s="234"/>
      <c r="V30" s="35"/>
      <c r="W30" s="234"/>
      <c r="X30" s="95">
        <f>ROUND((ROUND((_11_A通院２０．５*_11・基礎２),0)*(1+_11・A深夜)),0)+ROUND((_11_B通院２０．５＿１．０*_11・基礎２),0)</f>
        <v>295</v>
      </c>
      <c r="Y30" s="48"/>
    </row>
    <row r="31" spans="1:25" ht="16.5" customHeight="1" x14ac:dyDescent="0.15">
      <c r="A31" s="41">
        <v>11</v>
      </c>
      <c r="B31" s="41">
        <v>7374</v>
      </c>
      <c r="C31" s="74" t="s">
        <v>14130</v>
      </c>
      <c r="D31" s="72"/>
      <c r="F31" s="274">
        <f>_11_B通院２０．５＿１．０</f>
        <v>169</v>
      </c>
      <c r="G31" s="254" t="s">
        <v>392</v>
      </c>
      <c r="H31" s="72"/>
      <c r="I31" s="57"/>
      <c r="J31" s="711"/>
      <c r="K31" s="37"/>
      <c r="L31" s="38"/>
      <c r="M31" s="281" t="s">
        <v>397</v>
      </c>
      <c r="N31" s="218" t="s">
        <v>398</v>
      </c>
      <c r="O31" s="46">
        <v>1</v>
      </c>
      <c r="P31" s="35"/>
      <c r="S31" s="35"/>
      <c r="U31" s="234"/>
      <c r="V31" s="35"/>
      <c r="W31" s="234"/>
      <c r="X31" s="95">
        <f>ROUND((ROUND((ROUND((_11_A通院２０．５*_11・基礎２),0)*_11・２人),0)*(1+_11・A深夜)),0)+ROUND((ROUND((_11_B通院２０．５＿１．０*_11・基礎２),0)*_11・２人),0)</f>
        <v>295</v>
      </c>
      <c r="Y31" s="48"/>
    </row>
    <row r="32" spans="1:25" ht="16.5" customHeight="1" x14ac:dyDescent="0.15">
      <c r="A32" s="41">
        <v>11</v>
      </c>
      <c r="B32" s="41" t="s">
        <v>14131</v>
      </c>
      <c r="C32" s="74" t="s">
        <v>14132</v>
      </c>
      <c r="D32" s="72"/>
      <c r="F32" s="72"/>
      <c r="H32" s="72"/>
      <c r="I32" s="57"/>
      <c r="J32" s="49"/>
      <c r="K32" s="49"/>
      <c r="L32" s="50"/>
      <c r="M32" s="282"/>
      <c r="N32" s="45"/>
      <c r="O32" s="46"/>
      <c r="P32" s="35"/>
      <c r="S32" s="35"/>
      <c r="U32" s="234"/>
      <c r="V32" s="707" t="s">
        <v>404</v>
      </c>
      <c r="W32" s="708"/>
      <c r="X32" s="95">
        <f>ROUND((ROUND((_11_A通院２０．５*(1+_11・A深夜)),0)*_11・初任),0)+ROUND((_11_B通院２０．５＿１．０*_11・初任),0)</f>
        <v>229</v>
      </c>
      <c r="Y32" s="48"/>
    </row>
    <row r="33" spans="1:25" ht="16.5" customHeight="1" x14ac:dyDescent="0.15">
      <c r="A33" s="41">
        <v>11</v>
      </c>
      <c r="B33" s="41" t="s">
        <v>14133</v>
      </c>
      <c r="C33" s="74" t="s">
        <v>14134</v>
      </c>
      <c r="D33" s="72"/>
      <c r="F33" s="72"/>
      <c r="H33" s="72"/>
      <c r="I33" s="57"/>
      <c r="J33" s="37"/>
      <c r="K33" s="37"/>
      <c r="L33" s="38"/>
      <c r="M33" s="281" t="s">
        <v>397</v>
      </c>
      <c r="N33" s="218" t="s">
        <v>398</v>
      </c>
      <c r="O33" s="46">
        <v>1</v>
      </c>
      <c r="P33" s="35"/>
      <c r="S33" s="35"/>
      <c r="U33" s="234"/>
      <c r="V33" s="709"/>
      <c r="W33" s="704"/>
      <c r="X33" s="95">
        <f>ROUND((ROUND((ROUND((_11_A通院２０．５*_11・２人),0)*(1+_11・A深夜)),0)*_11・初任),0)+ROUND((ROUND((_11_B通院２０．５＿１．０*_11・２人),0)*_11・初任),0)</f>
        <v>229</v>
      </c>
      <c r="Y33" s="48"/>
    </row>
    <row r="34" spans="1:25" ht="16.5" customHeight="1" x14ac:dyDescent="0.15">
      <c r="A34" s="41">
        <v>11</v>
      </c>
      <c r="B34" s="41" t="s">
        <v>14135</v>
      </c>
      <c r="C34" s="74" t="s">
        <v>14136</v>
      </c>
      <c r="D34" s="72"/>
      <c r="F34" s="72"/>
      <c r="H34" s="72"/>
      <c r="I34" s="57"/>
      <c r="J34" s="755" t="s">
        <v>400</v>
      </c>
      <c r="K34" s="221" t="s">
        <v>398</v>
      </c>
      <c r="L34" s="50">
        <v>0.9</v>
      </c>
      <c r="M34" s="282"/>
      <c r="N34" s="45"/>
      <c r="O34" s="46"/>
      <c r="P34" s="35"/>
      <c r="S34" s="35"/>
      <c r="U34" s="234"/>
      <c r="V34" s="709"/>
      <c r="W34" s="704"/>
      <c r="X34" s="95">
        <f>ROUND((ROUND((ROUND((_11_A通院２０．５*_11・基礎２),0)*(1+_11・A深夜)),0)*_11・初任),0)+ROUND((ROUND((_11_B通院２０．５＿１．０*_11・基礎２),0)*_11・初任),0)</f>
        <v>206</v>
      </c>
      <c r="Y34" s="48"/>
    </row>
    <row r="35" spans="1:25" ht="16.5" customHeight="1" x14ac:dyDescent="0.15">
      <c r="A35" s="41">
        <v>11</v>
      </c>
      <c r="B35" s="41" t="s">
        <v>14137</v>
      </c>
      <c r="C35" s="74" t="s">
        <v>14138</v>
      </c>
      <c r="D35" s="72"/>
      <c r="F35" s="72"/>
      <c r="H35" s="72"/>
      <c r="I35" s="57"/>
      <c r="J35" s="711"/>
      <c r="K35" s="37"/>
      <c r="L35" s="38"/>
      <c r="M35" s="281" t="s">
        <v>397</v>
      </c>
      <c r="N35" s="218" t="s">
        <v>398</v>
      </c>
      <c r="O35" s="46">
        <v>1</v>
      </c>
      <c r="P35" s="35"/>
      <c r="S35" s="35"/>
      <c r="U35" s="234"/>
      <c r="V35" s="240" t="s">
        <v>398</v>
      </c>
      <c r="W35" s="38">
        <f>_11・初任</f>
        <v>0.7</v>
      </c>
      <c r="X35" s="95">
        <f>ROUND((ROUND((ROUND((ROUND((_11_A通院２０．５*_11・基礎２),0)*_11・２人),0)*(1+_11・A深夜)),0)*_11・初任),0)+ROUND((ROUND((ROUND((_11_B通院２０．５＿１．０*_11・基礎２),0)*_11・２人),0)*_11・初任),0)</f>
        <v>206</v>
      </c>
      <c r="Y35" s="48"/>
    </row>
    <row r="36" spans="1:25" ht="16.5" customHeight="1" x14ac:dyDescent="0.15">
      <c r="A36" s="41">
        <v>11</v>
      </c>
      <c r="B36" s="41">
        <v>7375</v>
      </c>
      <c r="C36" s="74" t="s">
        <v>14139</v>
      </c>
      <c r="D36" s="707" t="s">
        <v>5030</v>
      </c>
      <c r="E36" s="798"/>
      <c r="F36" s="707" t="s">
        <v>1226</v>
      </c>
      <c r="G36" s="798"/>
      <c r="H36" s="72"/>
      <c r="I36" s="57"/>
      <c r="J36" s="49"/>
      <c r="K36" s="49"/>
      <c r="L36" s="50"/>
      <c r="M36" s="282"/>
      <c r="N36" s="45"/>
      <c r="O36" s="46"/>
      <c r="P36" s="35"/>
      <c r="S36" s="35"/>
      <c r="U36" s="234"/>
      <c r="V36" s="53"/>
      <c r="W36" s="251"/>
      <c r="X36" s="95">
        <f>ROUND((_11_A通院２１．０*(1+_11・A深夜)),0)+_11_B通院２１．０＿０．５</f>
        <v>372</v>
      </c>
      <c r="Y36" s="48"/>
    </row>
    <row r="37" spans="1:25" ht="16.5" customHeight="1" x14ac:dyDescent="0.15">
      <c r="A37" s="41">
        <v>11</v>
      </c>
      <c r="B37" s="41">
        <v>7376</v>
      </c>
      <c r="C37" s="74" t="s">
        <v>14140</v>
      </c>
      <c r="D37" s="799"/>
      <c r="E37" s="796"/>
      <c r="F37" s="799"/>
      <c r="G37" s="796"/>
      <c r="H37" s="72"/>
      <c r="I37" s="57"/>
      <c r="J37" s="37"/>
      <c r="K37" s="37"/>
      <c r="L37" s="38"/>
      <c r="M37" s="281" t="s">
        <v>397</v>
      </c>
      <c r="N37" s="218" t="s">
        <v>398</v>
      </c>
      <c r="O37" s="46">
        <v>1</v>
      </c>
      <c r="P37" s="35"/>
      <c r="S37" s="35"/>
      <c r="U37" s="234"/>
      <c r="V37" s="35"/>
      <c r="W37" s="234"/>
      <c r="X37" s="95">
        <f>ROUND((ROUND((_11_A通院２１．０*_11・２人),0)*(1+_11・A深夜)),0)+ROUND((_11_B通院２１．０＿０．５*_11・２人),0)</f>
        <v>372</v>
      </c>
      <c r="Y37" s="48"/>
    </row>
    <row r="38" spans="1:25" ht="16.5" customHeight="1" x14ac:dyDescent="0.15">
      <c r="A38" s="41">
        <v>11</v>
      </c>
      <c r="B38" s="41">
        <v>7377</v>
      </c>
      <c r="C38" s="74" t="s">
        <v>14141</v>
      </c>
      <c r="D38" s="799"/>
      <c r="E38" s="796"/>
      <c r="F38" s="799"/>
      <c r="G38" s="796"/>
      <c r="H38" s="72"/>
      <c r="I38" s="57"/>
      <c r="J38" s="755" t="s">
        <v>400</v>
      </c>
      <c r="K38" s="221" t="s">
        <v>398</v>
      </c>
      <c r="L38" s="50">
        <v>0.9</v>
      </c>
      <c r="M38" s="282"/>
      <c r="N38" s="45"/>
      <c r="O38" s="46"/>
      <c r="P38" s="35"/>
      <c r="S38" s="35"/>
      <c r="U38" s="234"/>
      <c r="V38" s="35"/>
      <c r="W38" s="234"/>
      <c r="X38" s="95">
        <f>ROUND((ROUND((_11_A通院２１．０*_11・基礎２),0)*(1+_11・A深夜)),0)+ROUND((_11_B通院２１．０＿０．５*_11・基礎２),0)</f>
        <v>334</v>
      </c>
      <c r="Y38" s="48"/>
    </row>
    <row r="39" spans="1:25" ht="16.5" customHeight="1" x14ac:dyDescent="0.15">
      <c r="A39" s="41">
        <v>11</v>
      </c>
      <c r="B39" s="41">
        <v>7378</v>
      </c>
      <c r="C39" s="74" t="s">
        <v>14142</v>
      </c>
      <c r="D39" s="274">
        <f>_11_A通院２１．０</f>
        <v>196</v>
      </c>
      <c r="E39" s="254" t="s">
        <v>392</v>
      </c>
      <c r="F39" s="274">
        <f>_11_B通院２１．０＿０．５</f>
        <v>78</v>
      </c>
      <c r="G39" s="254" t="s">
        <v>392</v>
      </c>
      <c r="H39" s="72"/>
      <c r="I39" s="57"/>
      <c r="J39" s="711"/>
      <c r="K39" s="37"/>
      <c r="L39" s="38"/>
      <c r="M39" s="281" t="s">
        <v>397</v>
      </c>
      <c r="N39" s="218" t="s">
        <v>398</v>
      </c>
      <c r="O39" s="46">
        <v>1</v>
      </c>
      <c r="P39" s="35"/>
      <c r="S39" s="35"/>
      <c r="U39" s="234"/>
      <c r="V39" s="35"/>
      <c r="W39" s="234"/>
      <c r="X39" s="95">
        <f>ROUND((ROUND((ROUND((_11_A通院２１．０*_11・基礎２),0)*_11・２人),0)*(1+_11・A深夜)),0)+ROUND((ROUND((_11_B通院２１．０＿０．５*_11・基礎２),0)*_11・２人),0)</f>
        <v>334</v>
      </c>
      <c r="Y39" s="48"/>
    </row>
    <row r="40" spans="1:25" ht="16.5" customHeight="1" x14ac:dyDescent="0.15">
      <c r="A40" s="41">
        <v>11</v>
      </c>
      <c r="B40" s="41" t="s">
        <v>14143</v>
      </c>
      <c r="C40" s="74" t="s">
        <v>14144</v>
      </c>
      <c r="D40" s="72"/>
      <c r="F40" s="72"/>
      <c r="H40" s="72"/>
      <c r="I40" s="57"/>
      <c r="J40" s="49"/>
      <c r="K40" s="49"/>
      <c r="L40" s="50"/>
      <c r="M40" s="282"/>
      <c r="N40" s="45"/>
      <c r="O40" s="46"/>
      <c r="P40" s="35"/>
      <c r="S40" s="35"/>
      <c r="U40" s="234"/>
      <c r="V40" s="707" t="s">
        <v>404</v>
      </c>
      <c r="W40" s="708"/>
      <c r="X40" s="95">
        <f>ROUND((ROUND((_11_A通院２１．０*(1+_11・A深夜)),0)*_11・初任),0)+ROUND((_11_B通院２１．０＿０．５*_11・初任),0)</f>
        <v>261</v>
      </c>
      <c r="Y40" s="48"/>
    </row>
    <row r="41" spans="1:25" ht="16.5" customHeight="1" x14ac:dyDescent="0.15">
      <c r="A41" s="41">
        <v>11</v>
      </c>
      <c r="B41" s="41" t="s">
        <v>14145</v>
      </c>
      <c r="C41" s="74" t="s">
        <v>14146</v>
      </c>
      <c r="D41" s="72"/>
      <c r="F41" s="72"/>
      <c r="H41" s="72"/>
      <c r="I41" s="57"/>
      <c r="J41" s="37"/>
      <c r="K41" s="37"/>
      <c r="L41" s="38"/>
      <c r="M41" s="281" t="s">
        <v>397</v>
      </c>
      <c r="N41" s="218" t="s">
        <v>398</v>
      </c>
      <c r="O41" s="46">
        <v>1</v>
      </c>
      <c r="P41" s="35"/>
      <c r="S41" s="35"/>
      <c r="U41" s="234"/>
      <c r="V41" s="709"/>
      <c r="W41" s="704"/>
      <c r="X41" s="95">
        <f>ROUND((ROUND((ROUND((_11_A通院２１．０*_11・２人),0)*(1+_11・A深夜)),0)*_11・初任),0)+ROUND((ROUND((_11_B通院２１．０＿０．５*_11・２人),0)*_11・初任),0)</f>
        <v>261</v>
      </c>
      <c r="Y41" s="48"/>
    </row>
    <row r="42" spans="1:25" ht="16.5" customHeight="1" x14ac:dyDescent="0.15">
      <c r="A42" s="41">
        <v>11</v>
      </c>
      <c r="B42" s="41" t="s">
        <v>14147</v>
      </c>
      <c r="C42" s="74" t="s">
        <v>14148</v>
      </c>
      <c r="D42" s="72"/>
      <c r="F42" s="72"/>
      <c r="H42" s="72"/>
      <c r="I42" s="57"/>
      <c r="J42" s="755" t="s">
        <v>400</v>
      </c>
      <c r="K42" s="221" t="s">
        <v>398</v>
      </c>
      <c r="L42" s="50">
        <v>0.9</v>
      </c>
      <c r="M42" s="282"/>
      <c r="N42" s="45"/>
      <c r="O42" s="46"/>
      <c r="P42" s="35"/>
      <c r="S42" s="35"/>
      <c r="U42" s="234"/>
      <c r="V42" s="709"/>
      <c r="W42" s="704"/>
      <c r="X42" s="95">
        <f>ROUND((ROUND((ROUND((_11_A通院２１．０*_11・基礎２),0)*(1+_11・A深夜)),0)*_11・初任),0)+ROUND((ROUND((_11_B通院２１．０＿０．５*_11・基礎２),0)*_11・初任),0)</f>
        <v>234</v>
      </c>
      <c r="Y42" s="48"/>
    </row>
    <row r="43" spans="1:25" ht="16.5" customHeight="1" x14ac:dyDescent="0.15">
      <c r="A43" s="41">
        <v>11</v>
      </c>
      <c r="B43" s="41" t="s">
        <v>14149</v>
      </c>
      <c r="C43" s="74" t="s">
        <v>14150</v>
      </c>
      <c r="D43" s="122"/>
      <c r="E43" s="37"/>
      <c r="F43" s="122"/>
      <c r="G43" s="37"/>
      <c r="H43" s="122"/>
      <c r="I43" s="79"/>
      <c r="J43" s="711"/>
      <c r="K43" s="37"/>
      <c r="L43" s="38"/>
      <c r="M43" s="281" t="s">
        <v>397</v>
      </c>
      <c r="N43" s="218" t="s">
        <v>398</v>
      </c>
      <c r="O43" s="46">
        <v>1</v>
      </c>
      <c r="P43" s="43"/>
      <c r="Q43" s="37"/>
      <c r="R43" s="38"/>
      <c r="S43" s="43"/>
      <c r="T43" s="37"/>
      <c r="U43" s="244"/>
      <c r="V43" s="240" t="s">
        <v>398</v>
      </c>
      <c r="W43" s="38">
        <f>_11・初任</f>
        <v>0.7</v>
      </c>
      <c r="X43" s="95">
        <f>ROUND((ROUND((ROUND((ROUND((_11_A通院２１．０*_11・基礎２),0)*_11・２人),0)*(1+_11・A深夜)),0)*_11・初任),0)+ROUND((ROUND((ROUND((_11_B通院２１．０＿０．５*_11・基礎２),0)*_11・２人),0)*_11・初任),0)</f>
        <v>234</v>
      </c>
      <c r="Y43" s="63"/>
    </row>
    <row r="44" spans="1:25" ht="16.5" customHeight="1" x14ac:dyDescent="0.15">
      <c r="A44" s="80"/>
      <c r="B44" s="80"/>
      <c r="C44" s="81"/>
      <c r="M44" s="82"/>
      <c r="X44" s="84"/>
      <c r="Y44" s="85"/>
    </row>
    <row r="45" spans="1:25" ht="16.5" customHeight="1" x14ac:dyDescent="0.15">
      <c r="A45" s="80"/>
      <c r="B45" s="80"/>
      <c r="C45" s="81"/>
      <c r="M45" s="82"/>
      <c r="X45" s="84"/>
      <c r="Y45" s="85"/>
    </row>
    <row r="46" spans="1:25" ht="16.5" customHeight="1" x14ac:dyDescent="0.15">
      <c r="A46" s="80"/>
      <c r="B46" s="86" t="s">
        <v>14151</v>
      </c>
      <c r="C46" s="81"/>
      <c r="D46" s="71"/>
      <c r="M46" s="82"/>
      <c r="X46" s="84"/>
      <c r="Y46" s="85"/>
    </row>
    <row r="47" spans="1:25" ht="16.5" customHeight="1" x14ac:dyDescent="0.15">
      <c r="A47" s="87" t="s">
        <v>384</v>
      </c>
      <c r="B47" s="20"/>
      <c r="C47" s="88" t="s">
        <v>385</v>
      </c>
      <c r="D47" s="23" t="s">
        <v>386</v>
      </c>
      <c r="E47" s="23"/>
      <c r="F47" s="23"/>
      <c r="G47" s="23"/>
      <c r="H47" s="23"/>
      <c r="I47" s="23"/>
      <c r="J47" s="23"/>
      <c r="K47" s="23"/>
      <c r="L47" s="24"/>
      <c r="M47" s="283"/>
      <c r="N47" s="23"/>
      <c r="O47" s="24"/>
      <c r="P47" s="23"/>
      <c r="Q47" s="23"/>
      <c r="R47" s="24"/>
      <c r="S47" s="23"/>
      <c r="T47" s="23"/>
      <c r="U47" s="24"/>
      <c r="V47" s="23"/>
      <c r="W47" s="24"/>
      <c r="X47" s="25" t="s">
        <v>387</v>
      </c>
      <c r="Y47" s="21" t="s">
        <v>388</v>
      </c>
    </row>
    <row r="48" spans="1:25" ht="16.5" customHeight="1" x14ac:dyDescent="0.15">
      <c r="A48" s="26" t="s">
        <v>389</v>
      </c>
      <c r="B48" s="26" t="s">
        <v>390</v>
      </c>
      <c r="C48" s="89"/>
      <c r="D48" s="29"/>
      <c r="E48" s="29"/>
      <c r="F48" s="87" t="s">
        <v>1032</v>
      </c>
      <c r="G48" s="187"/>
      <c r="H48" s="87" t="s">
        <v>1033</v>
      </c>
      <c r="I48" s="20"/>
      <c r="J48" s="29"/>
      <c r="K48" s="29"/>
      <c r="L48" s="30"/>
      <c r="M48" s="284"/>
      <c r="N48" s="29"/>
      <c r="O48" s="30"/>
      <c r="P48" s="29"/>
      <c r="Q48" s="29"/>
      <c r="R48" s="30"/>
      <c r="S48" s="29"/>
      <c r="T48" s="29"/>
      <c r="U48" s="30"/>
      <c r="V48" s="29"/>
      <c r="W48" s="30"/>
      <c r="X48" s="31" t="s">
        <v>391</v>
      </c>
      <c r="Y48" s="32" t="s">
        <v>392</v>
      </c>
    </row>
    <row r="49" spans="1:25" ht="16.5" customHeight="1" x14ac:dyDescent="0.15">
      <c r="A49" s="33">
        <v>11</v>
      </c>
      <c r="B49" s="33">
        <v>7379</v>
      </c>
      <c r="C49" s="34" t="s">
        <v>14152</v>
      </c>
      <c r="D49" s="709" t="s">
        <v>394</v>
      </c>
      <c r="E49" s="796"/>
      <c r="F49" s="709" t="s">
        <v>1415</v>
      </c>
      <c r="G49" s="796"/>
      <c r="H49" s="709" t="s">
        <v>1617</v>
      </c>
      <c r="I49" s="796"/>
      <c r="J49" s="35"/>
      <c r="M49" s="70"/>
      <c r="N49" s="37"/>
      <c r="O49" s="38"/>
      <c r="P49" s="72" t="s">
        <v>1416</v>
      </c>
      <c r="R49" s="234"/>
      <c r="S49" s="92" t="s">
        <v>1618</v>
      </c>
      <c r="U49" s="234"/>
      <c r="V49" s="35"/>
      <c r="W49" s="234"/>
      <c r="X49" s="93">
        <f>_11_A通院２０．５+ROUND((_11_B通院２０．５＿０．５*(1+_11・B夜間)),0)+ROUND((_11_C通院２０．５＿０．５＿０．５*(1+_11・C深夜)),0)</f>
        <v>336</v>
      </c>
      <c r="Y49" s="40" t="s">
        <v>395</v>
      </c>
    </row>
    <row r="50" spans="1:25" ht="16.5" customHeight="1" x14ac:dyDescent="0.15">
      <c r="A50" s="41">
        <v>11</v>
      </c>
      <c r="B50" s="41">
        <v>7380</v>
      </c>
      <c r="C50" s="74" t="s">
        <v>14153</v>
      </c>
      <c r="D50" s="799"/>
      <c r="E50" s="796"/>
      <c r="F50" s="799"/>
      <c r="G50" s="796"/>
      <c r="H50" s="799"/>
      <c r="I50" s="796"/>
      <c r="J50" s="43"/>
      <c r="K50" s="37"/>
      <c r="L50" s="38"/>
      <c r="M50" s="281" t="s">
        <v>397</v>
      </c>
      <c r="N50" s="218" t="s">
        <v>398</v>
      </c>
      <c r="O50" s="46">
        <v>1</v>
      </c>
      <c r="P50" s="258" t="s">
        <v>398</v>
      </c>
      <c r="Q50" s="13">
        <v>0.25</v>
      </c>
      <c r="R50" s="818" t="s">
        <v>676</v>
      </c>
      <c r="S50" s="258" t="s">
        <v>398</v>
      </c>
      <c r="T50" s="13">
        <v>0.5</v>
      </c>
      <c r="U50" s="718" t="s">
        <v>676</v>
      </c>
      <c r="V50" s="35"/>
      <c r="W50" s="234"/>
      <c r="X50" s="95">
        <f>ROUND((_11_A通院２０．５*_11・２人),0)+ROUND((ROUND((_11_B通院２０．５＿０．５*_11・２人),0)*(1+_11・B夜間)),0)+ROUND((ROUND((_11_C通院２０．５＿０．５＿０．５*_11・２人),0)*(1+_11・C深夜)),0)</f>
        <v>336</v>
      </c>
      <c r="Y50" s="48"/>
    </row>
    <row r="51" spans="1:25" ht="16.5" customHeight="1" x14ac:dyDescent="0.15">
      <c r="A51" s="41">
        <v>11</v>
      </c>
      <c r="B51" s="41">
        <v>7381</v>
      </c>
      <c r="C51" s="74" t="s">
        <v>14154</v>
      </c>
      <c r="D51" s="799"/>
      <c r="E51" s="796"/>
      <c r="F51" s="799"/>
      <c r="G51" s="796"/>
      <c r="H51" s="799"/>
      <c r="I51" s="796"/>
      <c r="J51" s="752" t="s">
        <v>400</v>
      </c>
      <c r="K51" s="221" t="s">
        <v>398</v>
      </c>
      <c r="L51" s="50">
        <v>0.9</v>
      </c>
      <c r="M51" s="282"/>
      <c r="N51" s="45"/>
      <c r="O51" s="46"/>
      <c r="P51" s="35"/>
      <c r="R51" s="818"/>
      <c r="S51" s="35"/>
      <c r="U51" s="796"/>
      <c r="V51" s="35"/>
      <c r="W51" s="234"/>
      <c r="X51" s="95">
        <f>ROUND((_11_A通院２０．５*_11・基礎２),0)+ROUND((ROUND((_11_B通院２０．５＿０．５*_11・基礎２),0)*(1+_11・B夜間)),0)+ROUND((ROUND((_11_C通院２０．５＿０．５＿０．５*_11・基礎２),0)*(1+_11・C深夜)),0)</f>
        <v>303</v>
      </c>
      <c r="Y51" s="48"/>
    </row>
    <row r="52" spans="1:25" ht="16.5" customHeight="1" x14ac:dyDescent="0.15">
      <c r="A52" s="41">
        <v>11</v>
      </c>
      <c r="B52" s="41">
        <v>7382</v>
      </c>
      <c r="C52" s="74" t="s">
        <v>14155</v>
      </c>
      <c r="D52" s="274">
        <f>_11_A通院２０．５</f>
        <v>105</v>
      </c>
      <c r="E52" s="254" t="s">
        <v>392</v>
      </c>
      <c r="F52" s="274">
        <f>_11_B通院２０．５＿０．５</f>
        <v>91</v>
      </c>
      <c r="G52" s="254" t="s">
        <v>392</v>
      </c>
      <c r="H52" s="274">
        <f>_11_C通院２０．５＿０．５＿０．５</f>
        <v>78</v>
      </c>
      <c r="I52" s="254" t="s">
        <v>392</v>
      </c>
      <c r="J52" s="711"/>
      <c r="K52" s="37"/>
      <c r="L52" s="38"/>
      <c r="M52" s="281" t="s">
        <v>397</v>
      </c>
      <c r="N52" s="218" t="s">
        <v>398</v>
      </c>
      <c r="O52" s="46">
        <v>1</v>
      </c>
      <c r="P52" s="35"/>
      <c r="R52" s="234"/>
      <c r="S52" s="35"/>
      <c r="U52" s="234"/>
      <c r="V52" s="35"/>
      <c r="W52" s="234"/>
      <c r="X52" s="95">
        <f>ROUND((ROUND((_11_A通院２０．５*_11・基礎２),0)*_11・２人),0)+ROUND((ROUND((ROUND((_11_B通院２０．５＿０．５*_11・基礎２),0)*_11・２人),0)*(1+_11・B夜間)),0)+ROUND((ROUND((ROUND((_11_C通院２０．５＿０．５＿０．５*_11・基礎２),0)*_11・２人),0)*(1+_11・C深夜)),0)</f>
        <v>303</v>
      </c>
      <c r="Y52" s="48"/>
    </row>
    <row r="53" spans="1:25" ht="16.5" customHeight="1" x14ac:dyDescent="0.15">
      <c r="A53" s="41">
        <v>11</v>
      </c>
      <c r="B53" s="41" t="s">
        <v>14156</v>
      </c>
      <c r="C53" s="74" t="s">
        <v>14157</v>
      </c>
      <c r="D53" s="72"/>
      <c r="F53" s="72"/>
      <c r="H53" s="72"/>
      <c r="J53" s="53"/>
      <c r="K53" s="49"/>
      <c r="L53" s="50"/>
      <c r="M53" s="282"/>
      <c r="N53" s="45"/>
      <c r="O53" s="46"/>
      <c r="P53" s="35"/>
      <c r="R53" s="234"/>
      <c r="S53" s="35"/>
      <c r="U53" s="234"/>
      <c r="V53" s="707" t="s">
        <v>404</v>
      </c>
      <c r="W53" s="708"/>
      <c r="X53" s="95">
        <f>ROUND((_11_A通院２０．５*_11・初任),0)+ROUND((ROUND((_11_B通院２０．５＿０．５*(1+_11・B夜間)),0)*_11・初任),0)+ROUND((ROUND((_11_C通院２０．５＿０．５＿０．５*(1+_11・C深夜)),0)*_11・初任),0)</f>
        <v>236</v>
      </c>
      <c r="Y53" s="48"/>
    </row>
    <row r="54" spans="1:25" ht="16.5" customHeight="1" x14ac:dyDescent="0.15">
      <c r="A54" s="41">
        <v>11</v>
      </c>
      <c r="B54" s="41" t="s">
        <v>14158</v>
      </c>
      <c r="C54" s="74" t="s">
        <v>14159</v>
      </c>
      <c r="D54" s="72"/>
      <c r="F54" s="72"/>
      <c r="H54" s="72"/>
      <c r="J54" s="43"/>
      <c r="K54" s="37"/>
      <c r="L54" s="38"/>
      <c r="M54" s="281" t="s">
        <v>397</v>
      </c>
      <c r="N54" s="218" t="s">
        <v>398</v>
      </c>
      <c r="O54" s="46">
        <v>1</v>
      </c>
      <c r="P54" s="35"/>
      <c r="R54" s="234"/>
      <c r="S54" s="35"/>
      <c r="U54" s="234"/>
      <c r="V54" s="709"/>
      <c r="W54" s="704"/>
      <c r="X54" s="95">
        <f>ROUND((ROUND((_11_A通院２０．５*_11・２人),0)*_11・初任),0)+ROUND((ROUND((ROUND((_11_B通院２０．５＿０．５*_11・２人),0)*(1+_11・B夜間)),0)*_11・初任),0)+ROUND((ROUND((ROUND((_11_C通院２０．５＿０．５＿０．５*_11・２人),0)*(1+_11・C深夜)),0)*_11・初任),0)</f>
        <v>236</v>
      </c>
      <c r="Y54" s="48"/>
    </row>
    <row r="55" spans="1:25" ht="16.5" customHeight="1" x14ac:dyDescent="0.15">
      <c r="A55" s="41">
        <v>11</v>
      </c>
      <c r="B55" s="41" t="s">
        <v>14160</v>
      </c>
      <c r="C55" s="74" t="s">
        <v>14161</v>
      </c>
      <c r="D55" s="72"/>
      <c r="F55" s="72"/>
      <c r="H55" s="72"/>
      <c r="J55" s="755" t="s">
        <v>400</v>
      </c>
      <c r="K55" s="221" t="s">
        <v>398</v>
      </c>
      <c r="L55" s="50">
        <v>0.9</v>
      </c>
      <c r="M55" s="282"/>
      <c r="N55" s="45"/>
      <c r="O55" s="46"/>
      <c r="P55" s="35"/>
      <c r="R55" s="234"/>
      <c r="S55" s="35"/>
      <c r="U55" s="234"/>
      <c r="V55" s="709"/>
      <c r="W55" s="704"/>
      <c r="X55" s="95">
        <f>ROUND((ROUND((_11_A通院２０．５*_11・基礎２),0)*_11・初任),0)+ROUND((ROUND((ROUND((_11_B通院２０．５＿０．５*_11・基礎２),0)*(1+_11・B夜間)),0)*_11・初任),0)+ROUND((ROUND((ROUND((_11_C通院２０．５＿０．５＿０．５*_11・基礎２),0)*(1+_11・C深夜)),0)*_11・初任),0)</f>
        <v>213</v>
      </c>
      <c r="Y55" s="48"/>
    </row>
    <row r="56" spans="1:25" ht="16.5" customHeight="1" x14ac:dyDescent="0.15">
      <c r="A56" s="41">
        <v>11</v>
      </c>
      <c r="B56" s="41" t="s">
        <v>14162</v>
      </c>
      <c r="C56" s="74" t="s">
        <v>14163</v>
      </c>
      <c r="D56" s="122"/>
      <c r="E56" s="37"/>
      <c r="F56" s="122"/>
      <c r="G56" s="37"/>
      <c r="H56" s="122"/>
      <c r="I56" s="37"/>
      <c r="J56" s="711"/>
      <c r="K56" s="37"/>
      <c r="L56" s="38"/>
      <c r="M56" s="281" t="s">
        <v>397</v>
      </c>
      <c r="N56" s="218" t="s">
        <v>398</v>
      </c>
      <c r="O56" s="46">
        <v>1</v>
      </c>
      <c r="P56" s="43"/>
      <c r="Q56" s="37"/>
      <c r="R56" s="244"/>
      <c r="S56" s="43"/>
      <c r="T56" s="37"/>
      <c r="U56" s="244"/>
      <c r="V56" s="240" t="s">
        <v>398</v>
      </c>
      <c r="W56" s="38">
        <f>_11・初任</f>
        <v>0.7</v>
      </c>
      <c r="X56" s="95">
        <f>ROUND((ROUND((ROUND((_11_A通院２０．５*_11・基礎２),0)*_11・２人),0)*_11・初任),0)+ROUND((ROUND((ROUND((ROUND((_11_B通院２０．５＿０．５*_11・基礎２),0)*_11・２人),0)*(1+_11・B夜間)),0)*_11・初任),0)+ROUND((ROUND((ROUND((ROUND((_11_C通院２０．５＿０．５＿０．５*_11・基礎２),0)*_11・２人),0)*(1+_11・C深夜)),0)*_11・初任),0)</f>
        <v>213</v>
      </c>
      <c r="Y56" s="63"/>
    </row>
    <row r="57" spans="1:25" ht="16.5" customHeight="1" x14ac:dyDescent="0.15"/>
    <row r="58" spans="1:25" ht="16.5" customHeight="1" x14ac:dyDescent="0.15"/>
  </sheetData>
  <mergeCells count="31">
    <mergeCell ref="J51:J52"/>
    <mergeCell ref="V53:W55"/>
    <mergeCell ref="J55:J56"/>
    <mergeCell ref="D36:E38"/>
    <mergeCell ref="F36:G38"/>
    <mergeCell ref="J38:J39"/>
    <mergeCell ref="V40:W42"/>
    <mergeCell ref="J42:J43"/>
    <mergeCell ref="D49:E51"/>
    <mergeCell ref="F49:G51"/>
    <mergeCell ref="H49:I51"/>
    <mergeCell ref="R50:R51"/>
    <mergeCell ref="U50:U51"/>
    <mergeCell ref="V24:W26"/>
    <mergeCell ref="J26:J27"/>
    <mergeCell ref="F28:G30"/>
    <mergeCell ref="J30:J31"/>
    <mergeCell ref="V32:W34"/>
    <mergeCell ref="J34:J35"/>
    <mergeCell ref="V11:W13"/>
    <mergeCell ref="J13:J14"/>
    <mergeCell ref="D20:E22"/>
    <mergeCell ref="F20:G22"/>
    <mergeCell ref="R21:R22"/>
    <mergeCell ref="J22:J23"/>
    <mergeCell ref="D7:E9"/>
    <mergeCell ref="F7:G9"/>
    <mergeCell ref="H7:I9"/>
    <mergeCell ref="R8:R9"/>
    <mergeCell ref="U8:U9"/>
    <mergeCell ref="J9:J10"/>
  </mergeCells>
  <phoneticPr fontId="1"/>
  <printOptions horizontalCentered="1"/>
  <pageMargins left="0.70866141732283505" right="0.70866141732283505" top="0.74803149606299202" bottom="0.74803149606299202" header="0.31496062992126" footer="0.31496062992126"/>
  <pageSetup paperSize="9" scale="47" fitToHeight="0" orientation="portrait" r:id="rId1"/>
  <headerFooter>
    <oddHeader>&amp;R&amp;"ＭＳ Ｐゴシック"&amp;9居宅介護</oddHeader>
    <oddFooter>&amp;C&amp;"ＭＳ Ｐゴシック"&amp;14&amp;P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0"/>
  <dimension ref="A1:O176"/>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0" customWidth="1"/>
    <col min="5" max="5" width="4.875" style="12" customWidth="1"/>
    <col min="6" max="6" width="12" style="12" customWidth="1"/>
    <col min="7" max="7" width="2.5" style="12" customWidth="1"/>
    <col min="8" max="8" width="4.5" style="13" bestFit="1" customWidth="1"/>
    <col min="9" max="9" width="26" style="12" customWidth="1"/>
    <col min="10" max="10" width="2.5" style="12" customWidth="1"/>
    <col min="11" max="11" width="5.5" style="13" bestFit="1" customWidth="1"/>
    <col min="12" max="12" width="9.875" style="12" customWidth="1"/>
    <col min="13" max="13" width="4.5" style="13" bestFit="1" customWidth="1"/>
    <col min="14" max="14" width="7.125" style="15" customWidth="1"/>
    <col min="15" max="15" width="8.5" style="16" customWidth="1"/>
    <col min="16" max="16384" width="8.875" style="12"/>
  </cols>
  <sheetData>
    <row r="1" spans="1:15" ht="17.100000000000001" customHeight="1" x14ac:dyDescent="0.15"/>
    <row r="2" spans="1:15" ht="17.100000000000001" customHeight="1" x14ac:dyDescent="0.15"/>
    <row r="3" spans="1:15" ht="17.100000000000001" customHeight="1" x14ac:dyDescent="0.15"/>
    <row r="4" spans="1:15" ht="17.100000000000001" customHeight="1" x14ac:dyDescent="0.15">
      <c r="B4" s="17" t="s">
        <v>14164</v>
      </c>
      <c r="D4" s="71"/>
    </row>
    <row r="5" spans="1:15" ht="16.5" customHeight="1" x14ac:dyDescent="0.15">
      <c r="A5" s="19" t="s">
        <v>384</v>
      </c>
      <c r="B5" s="20"/>
      <c r="C5" s="21" t="s">
        <v>385</v>
      </c>
      <c r="D5" s="23" t="s">
        <v>386</v>
      </c>
      <c r="E5" s="23"/>
      <c r="F5" s="23"/>
      <c r="G5" s="23"/>
      <c r="H5" s="24"/>
      <c r="I5" s="23"/>
      <c r="J5" s="23"/>
      <c r="K5" s="24"/>
      <c r="L5" s="23"/>
      <c r="M5" s="24"/>
      <c r="N5" s="25" t="s">
        <v>387</v>
      </c>
      <c r="O5" s="21" t="s">
        <v>388</v>
      </c>
    </row>
    <row r="6" spans="1:15" ht="16.5" customHeight="1" x14ac:dyDescent="0.15">
      <c r="A6" s="26" t="s">
        <v>389</v>
      </c>
      <c r="B6" s="26" t="s">
        <v>390</v>
      </c>
      <c r="C6" s="27"/>
      <c r="D6" s="29"/>
      <c r="E6" s="29"/>
      <c r="F6" s="29"/>
      <c r="G6" s="29"/>
      <c r="H6" s="30"/>
      <c r="I6" s="29"/>
      <c r="J6" s="29"/>
      <c r="K6" s="30"/>
      <c r="L6" s="29"/>
      <c r="M6" s="30"/>
      <c r="N6" s="31" t="s">
        <v>391</v>
      </c>
      <c r="O6" s="32" t="s">
        <v>392</v>
      </c>
    </row>
    <row r="7" spans="1:15" ht="16.5" customHeight="1" x14ac:dyDescent="0.15">
      <c r="A7" s="33">
        <v>11</v>
      </c>
      <c r="B7" s="33">
        <v>7383</v>
      </c>
      <c r="C7" s="34" t="s">
        <v>14165</v>
      </c>
      <c r="D7" s="709" t="s">
        <v>394</v>
      </c>
      <c r="E7" s="796"/>
      <c r="F7" s="35"/>
      <c r="I7" s="43"/>
      <c r="J7" s="37"/>
      <c r="K7" s="38"/>
      <c r="L7" s="35"/>
      <c r="N7" s="39">
        <f>_11_A通院２増０．５</f>
        <v>69</v>
      </c>
      <c r="O7" s="40" t="s">
        <v>395</v>
      </c>
    </row>
    <row r="8" spans="1:15" ht="16.5" customHeight="1" x14ac:dyDescent="0.15">
      <c r="A8" s="41">
        <v>11</v>
      </c>
      <c r="B8" s="41">
        <v>7384</v>
      </c>
      <c r="C8" s="74" t="s">
        <v>14166</v>
      </c>
      <c r="D8" s="799"/>
      <c r="E8" s="796"/>
      <c r="F8" s="43"/>
      <c r="G8" s="37"/>
      <c r="H8" s="38"/>
      <c r="I8" s="281" t="s">
        <v>397</v>
      </c>
      <c r="J8" s="218" t="s">
        <v>398</v>
      </c>
      <c r="K8" s="46">
        <v>1</v>
      </c>
      <c r="L8" s="35"/>
      <c r="N8" s="47">
        <f>ROUND((_11_A通院２増０．５*_11・２人),0)</f>
        <v>69</v>
      </c>
      <c r="O8" s="48"/>
    </row>
    <row r="9" spans="1:15" ht="16.5" customHeight="1" x14ac:dyDescent="0.15">
      <c r="A9" s="41">
        <v>11</v>
      </c>
      <c r="B9" s="41">
        <v>7385</v>
      </c>
      <c r="C9" s="74" t="s">
        <v>14167</v>
      </c>
      <c r="D9" s="799"/>
      <c r="E9" s="796"/>
      <c r="F9" s="752" t="s">
        <v>400</v>
      </c>
      <c r="G9" s="221" t="s">
        <v>398</v>
      </c>
      <c r="H9" s="50">
        <v>0.9</v>
      </c>
      <c r="I9" s="163"/>
      <c r="J9" s="45"/>
      <c r="K9" s="46"/>
      <c r="L9" s="35"/>
      <c r="N9" s="47">
        <f>ROUND((_11_A通院２増０．５*_11・基礎２),0)</f>
        <v>62</v>
      </c>
      <c r="O9" s="48"/>
    </row>
    <row r="10" spans="1:15" ht="16.5" customHeight="1" x14ac:dyDescent="0.15">
      <c r="A10" s="41">
        <v>11</v>
      </c>
      <c r="B10" s="41">
        <v>7386</v>
      </c>
      <c r="C10" s="74" t="s">
        <v>14168</v>
      </c>
      <c r="D10" s="274">
        <f>_11_A通院２増０．５</f>
        <v>69</v>
      </c>
      <c r="E10" s="10" t="s">
        <v>392</v>
      </c>
      <c r="F10" s="711"/>
      <c r="G10" s="37"/>
      <c r="H10" s="38"/>
      <c r="I10" s="281" t="s">
        <v>397</v>
      </c>
      <c r="J10" s="218" t="s">
        <v>398</v>
      </c>
      <c r="K10" s="46">
        <v>1</v>
      </c>
      <c r="L10" s="35"/>
      <c r="N10" s="47">
        <f>ROUND((ROUND((_11_A通院２増０．５*_11・基礎２),0)*_11・２人),0)</f>
        <v>62</v>
      </c>
      <c r="O10" s="48"/>
    </row>
    <row r="11" spans="1:15" ht="16.5" customHeight="1" x14ac:dyDescent="0.15">
      <c r="A11" s="41">
        <v>11</v>
      </c>
      <c r="B11" s="41" t="s">
        <v>14169</v>
      </c>
      <c r="C11" s="74" t="s">
        <v>14170</v>
      </c>
      <c r="D11" s="72"/>
      <c r="F11" s="53"/>
      <c r="G11" s="49"/>
      <c r="H11" s="50"/>
      <c r="I11" s="163"/>
      <c r="J11" s="45"/>
      <c r="K11" s="46"/>
      <c r="L11" s="707" t="s">
        <v>404</v>
      </c>
      <c r="M11" s="708"/>
      <c r="N11" s="47">
        <f>ROUND((_11_A通院２増０．５*_11・初任),0)</f>
        <v>48</v>
      </c>
      <c r="O11" s="48"/>
    </row>
    <row r="12" spans="1:15" ht="16.5" customHeight="1" x14ac:dyDescent="0.15">
      <c r="A12" s="41">
        <v>11</v>
      </c>
      <c r="B12" s="41" t="s">
        <v>14171</v>
      </c>
      <c r="C12" s="74" t="s">
        <v>14172</v>
      </c>
      <c r="D12" s="72"/>
      <c r="F12" s="43"/>
      <c r="G12" s="37"/>
      <c r="H12" s="38"/>
      <c r="I12" s="281" t="s">
        <v>397</v>
      </c>
      <c r="J12" s="218" t="s">
        <v>398</v>
      </c>
      <c r="K12" s="46">
        <v>1</v>
      </c>
      <c r="L12" s="709"/>
      <c r="M12" s="704"/>
      <c r="N12" s="47">
        <f>ROUND((ROUND((_11_A通院２増０．５*_11・２人),0)*_11・初任),0)</f>
        <v>48</v>
      </c>
      <c r="O12" s="48"/>
    </row>
    <row r="13" spans="1:15" ht="16.5" customHeight="1" x14ac:dyDescent="0.15">
      <c r="A13" s="41">
        <v>11</v>
      </c>
      <c r="B13" s="41" t="s">
        <v>14173</v>
      </c>
      <c r="C13" s="74" t="s">
        <v>14174</v>
      </c>
      <c r="D13" s="72"/>
      <c r="F13" s="752" t="s">
        <v>400</v>
      </c>
      <c r="G13" s="221" t="s">
        <v>398</v>
      </c>
      <c r="H13" s="50">
        <v>0.9</v>
      </c>
      <c r="I13" s="163"/>
      <c r="J13" s="45"/>
      <c r="K13" s="46"/>
      <c r="L13" s="709"/>
      <c r="M13" s="704"/>
      <c r="N13" s="47">
        <f>ROUND((ROUND((_11_A通院２増０．５*_11・基礎２),0)*_11・初任),0)</f>
        <v>43</v>
      </c>
      <c r="O13" s="48"/>
    </row>
    <row r="14" spans="1:15" ht="16.5" customHeight="1" x14ac:dyDescent="0.15">
      <c r="A14" s="41">
        <v>11</v>
      </c>
      <c r="B14" s="41" t="s">
        <v>14175</v>
      </c>
      <c r="C14" s="74" t="s">
        <v>14176</v>
      </c>
      <c r="D14" s="72"/>
      <c r="F14" s="711"/>
      <c r="G14" s="37"/>
      <c r="H14" s="38"/>
      <c r="I14" s="281" t="s">
        <v>397</v>
      </c>
      <c r="J14" s="218" t="s">
        <v>398</v>
      </c>
      <c r="K14" s="46">
        <v>1</v>
      </c>
      <c r="L14" s="240" t="s">
        <v>398</v>
      </c>
      <c r="M14" s="38">
        <f>_11・初任</f>
        <v>0.7</v>
      </c>
      <c r="N14" s="47">
        <f>ROUND((ROUND((ROUND((_11_A通院２増０．５*_11・基礎２),0)*_11・２人),0)*_11・初任),0)</f>
        <v>43</v>
      </c>
      <c r="O14" s="48"/>
    </row>
    <row r="15" spans="1:15" ht="16.5" customHeight="1" x14ac:dyDescent="0.15">
      <c r="A15" s="41">
        <v>11</v>
      </c>
      <c r="B15" s="41">
        <v>7387</v>
      </c>
      <c r="C15" s="74" t="s">
        <v>14177</v>
      </c>
      <c r="D15" s="707" t="s">
        <v>412</v>
      </c>
      <c r="E15" s="798"/>
      <c r="F15" s="53"/>
      <c r="G15" s="49"/>
      <c r="H15" s="50"/>
      <c r="I15" s="163"/>
      <c r="J15" s="45"/>
      <c r="K15" s="46"/>
      <c r="L15" s="53"/>
      <c r="M15" s="50"/>
      <c r="N15" s="47">
        <f>_11_A通院２増１．０</f>
        <v>138</v>
      </c>
      <c r="O15" s="48"/>
    </row>
    <row r="16" spans="1:15" ht="16.5" customHeight="1" x14ac:dyDescent="0.15">
      <c r="A16" s="41">
        <v>11</v>
      </c>
      <c r="B16" s="41">
        <v>7388</v>
      </c>
      <c r="C16" s="74" t="s">
        <v>14178</v>
      </c>
      <c r="D16" s="799"/>
      <c r="E16" s="796"/>
      <c r="F16" s="43"/>
      <c r="G16" s="37"/>
      <c r="H16" s="38"/>
      <c r="I16" s="281" t="s">
        <v>397</v>
      </c>
      <c r="J16" s="218" t="s">
        <v>398</v>
      </c>
      <c r="K16" s="46">
        <v>1</v>
      </c>
      <c r="L16" s="35"/>
      <c r="N16" s="47">
        <f>ROUND((_11_A通院２増１．０*_11・２人),0)</f>
        <v>138</v>
      </c>
      <c r="O16" s="48"/>
    </row>
    <row r="17" spans="1:15" ht="16.5" customHeight="1" x14ac:dyDescent="0.15">
      <c r="A17" s="41">
        <v>11</v>
      </c>
      <c r="B17" s="41">
        <v>7389</v>
      </c>
      <c r="C17" s="74" t="s">
        <v>14179</v>
      </c>
      <c r="D17" s="799"/>
      <c r="E17" s="796"/>
      <c r="F17" s="752" t="s">
        <v>400</v>
      </c>
      <c r="G17" s="221" t="s">
        <v>398</v>
      </c>
      <c r="H17" s="50">
        <v>0.9</v>
      </c>
      <c r="I17" s="163"/>
      <c r="J17" s="45"/>
      <c r="K17" s="46"/>
      <c r="L17" s="35"/>
      <c r="N17" s="47">
        <f>ROUND((_11_A通院２増１．０*_11・基礎２),0)</f>
        <v>124</v>
      </c>
      <c r="O17" s="48"/>
    </row>
    <row r="18" spans="1:15" ht="16.5" customHeight="1" x14ac:dyDescent="0.15">
      <c r="A18" s="41">
        <v>11</v>
      </c>
      <c r="B18" s="41">
        <v>7390</v>
      </c>
      <c r="C18" s="74" t="s">
        <v>14180</v>
      </c>
      <c r="D18" s="274">
        <f>_11_A通院２増１．０</f>
        <v>138</v>
      </c>
      <c r="E18" s="10" t="s">
        <v>392</v>
      </c>
      <c r="F18" s="711"/>
      <c r="G18" s="37"/>
      <c r="H18" s="38"/>
      <c r="I18" s="281" t="s">
        <v>397</v>
      </c>
      <c r="J18" s="218" t="s">
        <v>398</v>
      </c>
      <c r="K18" s="46">
        <v>1</v>
      </c>
      <c r="L18" s="35"/>
      <c r="N18" s="47">
        <f>ROUND((ROUND((_11_A通院２増１．０*_11・基礎２),0)*_11・２人),0)</f>
        <v>124</v>
      </c>
      <c r="O18" s="48"/>
    </row>
    <row r="19" spans="1:15" ht="16.5" customHeight="1" x14ac:dyDescent="0.15">
      <c r="A19" s="41">
        <v>11</v>
      </c>
      <c r="B19" s="41" t="s">
        <v>14181</v>
      </c>
      <c r="C19" s="74" t="s">
        <v>14182</v>
      </c>
      <c r="D19" s="72"/>
      <c r="F19" s="53"/>
      <c r="G19" s="49"/>
      <c r="H19" s="50"/>
      <c r="I19" s="163"/>
      <c r="J19" s="45"/>
      <c r="K19" s="46"/>
      <c r="L19" s="707" t="s">
        <v>404</v>
      </c>
      <c r="M19" s="708"/>
      <c r="N19" s="47">
        <f>ROUND((_11_A通院２増１．０*_11・初任),0)</f>
        <v>97</v>
      </c>
      <c r="O19" s="48"/>
    </row>
    <row r="20" spans="1:15" ht="16.5" customHeight="1" x14ac:dyDescent="0.15">
      <c r="A20" s="41">
        <v>11</v>
      </c>
      <c r="B20" s="41" t="s">
        <v>14183</v>
      </c>
      <c r="C20" s="74" t="s">
        <v>14184</v>
      </c>
      <c r="D20" s="72"/>
      <c r="F20" s="43"/>
      <c r="G20" s="37"/>
      <c r="H20" s="38"/>
      <c r="I20" s="281" t="s">
        <v>397</v>
      </c>
      <c r="J20" s="218" t="s">
        <v>398</v>
      </c>
      <c r="K20" s="46">
        <v>1</v>
      </c>
      <c r="L20" s="709"/>
      <c r="M20" s="704"/>
      <c r="N20" s="47">
        <f>ROUND((ROUND((_11_A通院２増１．０*_11・２人),0)*_11・初任),0)</f>
        <v>97</v>
      </c>
      <c r="O20" s="48"/>
    </row>
    <row r="21" spans="1:15" ht="16.5" customHeight="1" x14ac:dyDescent="0.15">
      <c r="A21" s="41">
        <v>11</v>
      </c>
      <c r="B21" s="41" t="s">
        <v>14185</v>
      </c>
      <c r="C21" s="74" t="s">
        <v>14186</v>
      </c>
      <c r="D21" s="72"/>
      <c r="F21" s="752" t="s">
        <v>400</v>
      </c>
      <c r="G21" s="221" t="s">
        <v>398</v>
      </c>
      <c r="H21" s="50">
        <v>0.9</v>
      </c>
      <c r="I21" s="163"/>
      <c r="J21" s="45"/>
      <c r="K21" s="46"/>
      <c r="L21" s="709"/>
      <c r="M21" s="704"/>
      <c r="N21" s="47">
        <f>ROUND((ROUND((_11_A通院２増１．０*_11・基礎２),0)*_11・初任),0)</f>
        <v>87</v>
      </c>
      <c r="O21" s="48"/>
    </row>
    <row r="22" spans="1:15" ht="16.5" customHeight="1" x14ac:dyDescent="0.15">
      <c r="A22" s="41">
        <v>11</v>
      </c>
      <c r="B22" s="41" t="s">
        <v>14187</v>
      </c>
      <c r="C22" s="74" t="s">
        <v>14188</v>
      </c>
      <c r="D22" s="72"/>
      <c r="F22" s="711"/>
      <c r="G22" s="37"/>
      <c r="H22" s="38"/>
      <c r="I22" s="281" t="s">
        <v>397</v>
      </c>
      <c r="J22" s="218" t="s">
        <v>398</v>
      </c>
      <c r="K22" s="46">
        <v>1</v>
      </c>
      <c r="L22" s="240" t="s">
        <v>398</v>
      </c>
      <c r="M22" s="38">
        <f>_11・初任</f>
        <v>0.7</v>
      </c>
      <c r="N22" s="47">
        <f>ROUND((ROUND((ROUND((_11_A通院２増１．０*_11・基礎２),0)*_11・２人),0)*_11・初任),0)</f>
        <v>87</v>
      </c>
      <c r="O22" s="48"/>
    </row>
    <row r="23" spans="1:15" ht="16.5" customHeight="1" x14ac:dyDescent="0.15">
      <c r="A23" s="41">
        <v>11</v>
      </c>
      <c r="B23" s="41">
        <v>7391</v>
      </c>
      <c r="C23" s="74" t="s">
        <v>14189</v>
      </c>
      <c r="D23" s="707" t="s">
        <v>425</v>
      </c>
      <c r="E23" s="798"/>
      <c r="F23" s="53"/>
      <c r="G23" s="49"/>
      <c r="H23" s="50"/>
      <c r="I23" s="163"/>
      <c r="J23" s="45"/>
      <c r="K23" s="46"/>
      <c r="L23" s="53"/>
      <c r="M23" s="50"/>
      <c r="N23" s="47">
        <f>_11_A通院２増１．５</f>
        <v>207</v>
      </c>
      <c r="O23" s="48"/>
    </row>
    <row r="24" spans="1:15" ht="16.5" customHeight="1" x14ac:dyDescent="0.15">
      <c r="A24" s="41">
        <v>11</v>
      </c>
      <c r="B24" s="41">
        <v>7392</v>
      </c>
      <c r="C24" s="74" t="s">
        <v>14190</v>
      </c>
      <c r="D24" s="799"/>
      <c r="E24" s="796"/>
      <c r="F24" s="43"/>
      <c r="G24" s="37"/>
      <c r="H24" s="38"/>
      <c r="I24" s="281" t="s">
        <v>397</v>
      </c>
      <c r="J24" s="218" t="s">
        <v>398</v>
      </c>
      <c r="K24" s="46">
        <v>1</v>
      </c>
      <c r="L24" s="35"/>
      <c r="N24" s="47">
        <f>ROUND((_11_A通院２増１．５*_11・２人),0)</f>
        <v>207</v>
      </c>
      <c r="O24" s="48"/>
    </row>
    <row r="25" spans="1:15" ht="16.5" customHeight="1" x14ac:dyDescent="0.15">
      <c r="A25" s="41">
        <v>11</v>
      </c>
      <c r="B25" s="41">
        <v>7393</v>
      </c>
      <c r="C25" s="74" t="s">
        <v>14191</v>
      </c>
      <c r="D25" s="799"/>
      <c r="E25" s="796"/>
      <c r="F25" s="752" t="s">
        <v>400</v>
      </c>
      <c r="G25" s="221" t="s">
        <v>398</v>
      </c>
      <c r="H25" s="50">
        <v>0.9</v>
      </c>
      <c r="I25" s="163"/>
      <c r="J25" s="45"/>
      <c r="K25" s="46"/>
      <c r="L25" s="35"/>
      <c r="N25" s="47">
        <f>ROUND((_11_A通院２増１．５*_11・基礎２),0)</f>
        <v>186</v>
      </c>
      <c r="O25" s="48"/>
    </row>
    <row r="26" spans="1:15" ht="16.5" customHeight="1" x14ac:dyDescent="0.15">
      <c r="A26" s="41">
        <v>11</v>
      </c>
      <c r="B26" s="41">
        <v>7394</v>
      </c>
      <c r="C26" s="74" t="s">
        <v>14192</v>
      </c>
      <c r="D26" s="274">
        <f>_11_A通院２増１．５</f>
        <v>207</v>
      </c>
      <c r="E26" s="10" t="s">
        <v>392</v>
      </c>
      <c r="F26" s="711"/>
      <c r="G26" s="37"/>
      <c r="H26" s="38"/>
      <c r="I26" s="281" t="s">
        <v>397</v>
      </c>
      <c r="J26" s="218" t="s">
        <v>398</v>
      </c>
      <c r="K26" s="46">
        <v>1</v>
      </c>
      <c r="L26" s="35"/>
      <c r="N26" s="47">
        <f>ROUND((ROUND((_11_A通院２増１．５*_11・基礎２),0)*_11・２人),0)</f>
        <v>186</v>
      </c>
      <c r="O26" s="48"/>
    </row>
    <row r="27" spans="1:15" ht="16.5" customHeight="1" x14ac:dyDescent="0.15">
      <c r="A27" s="41">
        <v>11</v>
      </c>
      <c r="B27" s="41" t="s">
        <v>14193</v>
      </c>
      <c r="C27" s="74" t="s">
        <v>14194</v>
      </c>
      <c r="D27" s="72"/>
      <c r="F27" s="53"/>
      <c r="G27" s="49"/>
      <c r="H27" s="50"/>
      <c r="I27" s="163"/>
      <c r="J27" s="45"/>
      <c r="K27" s="46"/>
      <c r="L27" s="707" t="s">
        <v>404</v>
      </c>
      <c r="M27" s="708"/>
      <c r="N27" s="47">
        <f>ROUND((_11_A通院２増１．５*_11・初任),0)</f>
        <v>145</v>
      </c>
      <c r="O27" s="48"/>
    </row>
    <row r="28" spans="1:15" ht="16.5" customHeight="1" x14ac:dyDescent="0.15">
      <c r="A28" s="41">
        <v>11</v>
      </c>
      <c r="B28" s="41" t="s">
        <v>14195</v>
      </c>
      <c r="C28" s="74" t="s">
        <v>14196</v>
      </c>
      <c r="D28" s="72"/>
      <c r="F28" s="43"/>
      <c r="G28" s="37"/>
      <c r="H28" s="38"/>
      <c r="I28" s="281" t="s">
        <v>397</v>
      </c>
      <c r="J28" s="218" t="s">
        <v>398</v>
      </c>
      <c r="K28" s="46">
        <v>1</v>
      </c>
      <c r="L28" s="709"/>
      <c r="M28" s="704"/>
      <c r="N28" s="47">
        <f>ROUND((ROUND((_11_A通院２増１．５*_11・２人),0)*_11・初任),0)</f>
        <v>145</v>
      </c>
      <c r="O28" s="48"/>
    </row>
    <row r="29" spans="1:15" ht="16.5" customHeight="1" x14ac:dyDescent="0.15">
      <c r="A29" s="41">
        <v>11</v>
      </c>
      <c r="B29" s="41" t="s">
        <v>14197</v>
      </c>
      <c r="C29" s="74" t="s">
        <v>14198</v>
      </c>
      <c r="D29" s="72"/>
      <c r="F29" s="752" t="s">
        <v>400</v>
      </c>
      <c r="G29" s="221" t="s">
        <v>398</v>
      </c>
      <c r="H29" s="50">
        <v>0.9</v>
      </c>
      <c r="I29" s="163"/>
      <c r="J29" s="45"/>
      <c r="K29" s="46"/>
      <c r="L29" s="709"/>
      <c r="M29" s="704"/>
      <c r="N29" s="47">
        <f>ROUND((ROUND((_11_A通院２増１．５*_11・基礎２),0)*_11・初任),0)</f>
        <v>130</v>
      </c>
      <c r="O29" s="48"/>
    </row>
    <row r="30" spans="1:15" ht="16.5" customHeight="1" x14ac:dyDescent="0.15">
      <c r="A30" s="41">
        <v>11</v>
      </c>
      <c r="B30" s="41" t="s">
        <v>14199</v>
      </c>
      <c r="C30" s="74" t="s">
        <v>14200</v>
      </c>
      <c r="D30" s="72"/>
      <c r="F30" s="711"/>
      <c r="G30" s="37"/>
      <c r="H30" s="38"/>
      <c r="I30" s="281" t="s">
        <v>397</v>
      </c>
      <c r="J30" s="218" t="s">
        <v>398</v>
      </c>
      <c r="K30" s="46">
        <v>1</v>
      </c>
      <c r="L30" s="240" t="s">
        <v>398</v>
      </c>
      <c r="M30" s="38">
        <f>_11・初任</f>
        <v>0.7</v>
      </c>
      <c r="N30" s="47">
        <f>ROUND((ROUND((ROUND((_11_A通院２増１．５*_11・基礎２),0)*_11・２人),0)*_11・初任),0)</f>
        <v>130</v>
      </c>
      <c r="O30" s="48"/>
    </row>
    <row r="31" spans="1:15" ht="16.5" customHeight="1" x14ac:dyDescent="0.15">
      <c r="A31" s="41">
        <v>11</v>
      </c>
      <c r="B31" s="41">
        <v>7395</v>
      </c>
      <c r="C31" s="74" t="s">
        <v>14201</v>
      </c>
      <c r="D31" s="707" t="s">
        <v>438</v>
      </c>
      <c r="E31" s="798"/>
      <c r="F31" s="53"/>
      <c r="G31" s="49"/>
      <c r="H31" s="50"/>
      <c r="I31" s="163"/>
      <c r="J31" s="45"/>
      <c r="K31" s="46"/>
      <c r="L31" s="53"/>
      <c r="M31" s="50"/>
      <c r="N31" s="47">
        <f>_11_A通院２増２．０</f>
        <v>276</v>
      </c>
      <c r="O31" s="48"/>
    </row>
    <row r="32" spans="1:15" ht="16.5" customHeight="1" x14ac:dyDescent="0.15">
      <c r="A32" s="41">
        <v>11</v>
      </c>
      <c r="B32" s="41">
        <v>7396</v>
      </c>
      <c r="C32" s="74" t="s">
        <v>14202</v>
      </c>
      <c r="D32" s="799"/>
      <c r="E32" s="796"/>
      <c r="F32" s="43"/>
      <c r="G32" s="37"/>
      <c r="H32" s="38"/>
      <c r="I32" s="281" t="s">
        <v>397</v>
      </c>
      <c r="J32" s="218" t="s">
        <v>398</v>
      </c>
      <c r="K32" s="46">
        <v>1</v>
      </c>
      <c r="L32" s="35"/>
      <c r="N32" s="47">
        <f>ROUND((_11_A通院２増２．０*_11・２人),0)</f>
        <v>276</v>
      </c>
      <c r="O32" s="48"/>
    </row>
    <row r="33" spans="1:15" ht="16.5" customHeight="1" x14ac:dyDescent="0.15">
      <c r="A33" s="41">
        <v>11</v>
      </c>
      <c r="B33" s="41">
        <v>7397</v>
      </c>
      <c r="C33" s="74" t="s">
        <v>14203</v>
      </c>
      <c r="D33" s="799"/>
      <c r="E33" s="796"/>
      <c r="F33" s="752" t="s">
        <v>400</v>
      </c>
      <c r="G33" s="221" t="s">
        <v>398</v>
      </c>
      <c r="H33" s="50">
        <v>0.9</v>
      </c>
      <c r="I33" s="163"/>
      <c r="J33" s="45"/>
      <c r="K33" s="46"/>
      <c r="L33" s="35"/>
      <c r="N33" s="47">
        <f>ROUND((_11_A通院２増２．０*_11・基礎２),0)</f>
        <v>248</v>
      </c>
      <c r="O33" s="48"/>
    </row>
    <row r="34" spans="1:15" ht="16.5" customHeight="1" x14ac:dyDescent="0.15">
      <c r="A34" s="41">
        <v>11</v>
      </c>
      <c r="B34" s="41">
        <v>7398</v>
      </c>
      <c r="C34" s="74" t="s">
        <v>14204</v>
      </c>
      <c r="D34" s="274">
        <f>_11_A通院２増２．０</f>
        <v>276</v>
      </c>
      <c r="E34" s="10" t="s">
        <v>392</v>
      </c>
      <c r="F34" s="711"/>
      <c r="G34" s="37"/>
      <c r="H34" s="38"/>
      <c r="I34" s="281" t="s">
        <v>397</v>
      </c>
      <c r="J34" s="218" t="s">
        <v>398</v>
      </c>
      <c r="K34" s="46">
        <v>1</v>
      </c>
      <c r="L34" s="35"/>
      <c r="N34" s="47">
        <f>ROUND((ROUND((_11_A通院２増２．０*_11・基礎２),0)*_11・２人),0)</f>
        <v>248</v>
      </c>
      <c r="O34" s="48"/>
    </row>
    <row r="35" spans="1:15" ht="16.5" customHeight="1" x14ac:dyDescent="0.15">
      <c r="A35" s="41">
        <v>11</v>
      </c>
      <c r="B35" s="41" t="s">
        <v>14205</v>
      </c>
      <c r="C35" s="74" t="s">
        <v>14206</v>
      </c>
      <c r="D35" s="72"/>
      <c r="F35" s="53"/>
      <c r="G35" s="49"/>
      <c r="H35" s="50"/>
      <c r="I35" s="163"/>
      <c r="J35" s="45"/>
      <c r="K35" s="46"/>
      <c r="L35" s="707" t="s">
        <v>404</v>
      </c>
      <c r="M35" s="708"/>
      <c r="N35" s="47">
        <f>ROUND((_11_A通院２増２．０*_11・初任),0)</f>
        <v>193</v>
      </c>
      <c r="O35" s="48"/>
    </row>
    <row r="36" spans="1:15" ht="16.5" customHeight="1" x14ac:dyDescent="0.15">
      <c r="A36" s="41">
        <v>11</v>
      </c>
      <c r="B36" s="41" t="s">
        <v>14207</v>
      </c>
      <c r="C36" s="74" t="s">
        <v>14208</v>
      </c>
      <c r="D36" s="72"/>
      <c r="F36" s="43"/>
      <c r="G36" s="37"/>
      <c r="H36" s="38"/>
      <c r="I36" s="281" t="s">
        <v>397</v>
      </c>
      <c r="J36" s="218" t="s">
        <v>398</v>
      </c>
      <c r="K36" s="46">
        <v>1</v>
      </c>
      <c r="L36" s="709"/>
      <c r="M36" s="704"/>
      <c r="N36" s="47">
        <f>ROUND((ROUND((_11_A通院２増２．０*_11・２人),0)*_11・初任),0)</f>
        <v>193</v>
      </c>
      <c r="O36" s="48"/>
    </row>
    <row r="37" spans="1:15" ht="16.5" customHeight="1" x14ac:dyDescent="0.15">
      <c r="A37" s="41">
        <v>11</v>
      </c>
      <c r="B37" s="41" t="s">
        <v>14209</v>
      </c>
      <c r="C37" s="74" t="s">
        <v>14210</v>
      </c>
      <c r="D37" s="72"/>
      <c r="F37" s="752" t="s">
        <v>400</v>
      </c>
      <c r="G37" s="221" t="s">
        <v>398</v>
      </c>
      <c r="H37" s="50">
        <v>0.9</v>
      </c>
      <c r="I37" s="163"/>
      <c r="J37" s="45"/>
      <c r="K37" s="46"/>
      <c r="L37" s="709"/>
      <c r="M37" s="704"/>
      <c r="N37" s="47">
        <f>ROUND((ROUND((_11_A通院２増２．０*_11・基礎２),0)*_11・初任),0)</f>
        <v>174</v>
      </c>
      <c r="O37" s="48"/>
    </row>
    <row r="38" spans="1:15" ht="16.5" customHeight="1" x14ac:dyDescent="0.15">
      <c r="A38" s="41">
        <v>11</v>
      </c>
      <c r="B38" s="41" t="s">
        <v>14211</v>
      </c>
      <c r="C38" s="74" t="s">
        <v>14212</v>
      </c>
      <c r="D38" s="72"/>
      <c r="F38" s="711"/>
      <c r="G38" s="37"/>
      <c r="H38" s="38"/>
      <c r="I38" s="281" t="s">
        <v>397</v>
      </c>
      <c r="J38" s="218" t="s">
        <v>398</v>
      </c>
      <c r="K38" s="46">
        <v>1</v>
      </c>
      <c r="L38" s="240" t="s">
        <v>398</v>
      </c>
      <c r="M38" s="38">
        <f>_11・初任</f>
        <v>0.7</v>
      </c>
      <c r="N38" s="47">
        <f>ROUND((ROUND((ROUND((_11_A通院２増２．０*_11・基礎２),0)*_11・２人),0)*_11・初任),0)</f>
        <v>174</v>
      </c>
      <c r="O38" s="48"/>
    </row>
    <row r="39" spans="1:15" ht="16.5" customHeight="1" x14ac:dyDescent="0.15">
      <c r="A39" s="41">
        <v>11</v>
      </c>
      <c r="B39" s="41">
        <v>7399</v>
      </c>
      <c r="C39" s="74" t="s">
        <v>14213</v>
      </c>
      <c r="D39" s="707" t="s">
        <v>451</v>
      </c>
      <c r="E39" s="798"/>
      <c r="F39" s="53"/>
      <c r="G39" s="49"/>
      <c r="H39" s="50"/>
      <c r="I39" s="163"/>
      <c r="J39" s="45"/>
      <c r="K39" s="46"/>
      <c r="L39" s="53"/>
      <c r="M39" s="50"/>
      <c r="N39" s="47">
        <f>_11_A通院２増２．５</f>
        <v>345</v>
      </c>
      <c r="O39" s="48"/>
    </row>
    <row r="40" spans="1:15" ht="16.5" customHeight="1" x14ac:dyDescent="0.15">
      <c r="A40" s="41">
        <v>11</v>
      </c>
      <c r="B40" s="41">
        <v>7400</v>
      </c>
      <c r="C40" s="74" t="s">
        <v>14214</v>
      </c>
      <c r="D40" s="799"/>
      <c r="E40" s="796"/>
      <c r="F40" s="43"/>
      <c r="G40" s="37"/>
      <c r="H40" s="38"/>
      <c r="I40" s="281" t="s">
        <v>397</v>
      </c>
      <c r="J40" s="218" t="s">
        <v>398</v>
      </c>
      <c r="K40" s="46">
        <v>1</v>
      </c>
      <c r="L40" s="35"/>
      <c r="N40" s="47">
        <f>ROUND((_11_A通院２増２．５*_11・２人),0)</f>
        <v>345</v>
      </c>
      <c r="O40" s="48"/>
    </row>
    <row r="41" spans="1:15" ht="16.5" customHeight="1" x14ac:dyDescent="0.15">
      <c r="A41" s="41">
        <v>11</v>
      </c>
      <c r="B41" s="41">
        <v>7401</v>
      </c>
      <c r="C41" s="74" t="s">
        <v>14215</v>
      </c>
      <c r="D41" s="799"/>
      <c r="E41" s="796"/>
      <c r="F41" s="752" t="s">
        <v>400</v>
      </c>
      <c r="G41" s="221" t="s">
        <v>398</v>
      </c>
      <c r="H41" s="50">
        <v>0.9</v>
      </c>
      <c r="I41" s="163"/>
      <c r="J41" s="45"/>
      <c r="K41" s="46"/>
      <c r="L41" s="35"/>
      <c r="N41" s="47">
        <f>ROUND((_11_A通院２増２．５*_11・基礎２),0)</f>
        <v>311</v>
      </c>
      <c r="O41" s="48"/>
    </row>
    <row r="42" spans="1:15" ht="16.5" customHeight="1" x14ac:dyDescent="0.15">
      <c r="A42" s="41">
        <v>11</v>
      </c>
      <c r="B42" s="41">
        <v>7402</v>
      </c>
      <c r="C42" s="74" t="s">
        <v>14216</v>
      </c>
      <c r="D42" s="274">
        <f>_11_A通院２増２．５</f>
        <v>345</v>
      </c>
      <c r="E42" s="10" t="s">
        <v>392</v>
      </c>
      <c r="F42" s="711"/>
      <c r="G42" s="37"/>
      <c r="H42" s="38"/>
      <c r="I42" s="281" t="s">
        <v>397</v>
      </c>
      <c r="J42" s="218" t="s">
        <v>398</v>
      </c>
      <c r="K42" s="46">
        <v>1</v>
      </c>
      <c r="L42" s="35"/>
      <c r="N42" s="47">
        <f>ROUND((ROUND((_11_A通院２増２．５*_11・基礎２),0)*_11・２人),0)</f>
        <v>311</v>
      </c>
      <c r="O42" s="48"/>
    </row>
    <row r="43" spans="1:15" ht="16.5" customHeight="1" x14ac:dyDescent="0.15">
      <c r="A43" s="41">
        <v>11</v>
      </c>
      <c r="B43" s="41" t="s">
        <v>14217</v>
      </c>
      <c r="C43" s="74" t="s">
        <v>14218</v>
      </c>
      <c r="D43" s="72"/>
      <c r="F43" s="53"/>
      <c r="G43" s="49"/>
      <c r="H43" s="50"/>
      <c r="I43" s="163"/>
      <c r="J43" s="45"/>
      <c r="K43" s="46"/>
      <c r="L43" s="707" t="s">
        <v>404</v>
      </c>
      <c r="M43" s="708"/>
      <c r="N43" s="47">
        <f>ROUND((_11_A通院２増２．５*_11・初任),0)</f>
        <v>242</v>
      </c>
      <c r="O43" s="48"/>
    </row>
    <row r="44" spans="1:15" ht="16.5" customHeight="1" x14ac:dyDescent="0.15">
      <c r="A44" s="41">
        <v>11</v>
      </c>
      <c r="B44" s="41" t="s">
        <v>14219</v>
      </c>
      <c r="C44" s="74" t="s">
        <v>14220</v>
      </c>
      <c r="D44" s="72"/>
      <c r="F44" s="43"/>
      <c r="G44" s="37"/>
      <c r="H44" s="38"/>
      <c r="I44" s="281" t="s">
        <v>397</v>
      </c>
      <c r="J44" s="218" t="s">
        <v>398</v>
      </c>
      <c r="K44" s="46">
        <v>1</v>
      </c>
      <c r="L44" s="709"/>
      <c r="M44" s="704"/>
      <c r="N44" s="47">
        <f>ROUND((ROUND((_11_A通院２増２．５*_11・２人),0)*_11・初任),0)</f>
        <v>242</v>
      </c>
      <c r="O44" s="48"/>
    </row>
    <row r="45" spans="1:15" ht="16.5" customHeight="1" x14ac:dyDescent="0.15">
      <c r="A45" s="41">
        <v>11</v>
      </c>
      <c r="B45" s="41" t="s">
        <v>14221</v>
      </c>
      <c r="C45" s="74" t="s">
        <v>14222</v>
      </c>
      <c r="D45" s="72"/>
      <c r="F45" s="752" t="s">
        <v>400</v>
      </c>
      <c r="G45" s="221" t="s">
        <v>398</v>
      </c>
      <c r="H45" s="50">
        <v>0.9</v>
      </c>
      <c r="I45" s="163"/>
      <c r="J45" s="45"/>
      <c r="K45" s="46"/>
      <c r="L45" s="709"/>
      <c r="M45" s="704"/>
      <c r="N45" s="47">
        <f>ROUND((ROUND((_11_A通院２増２．５*_11・基礎２),0)*_11・初任),0)</f>
        <v>218</v>
      </c>
      <c r="O45" s="48"/>
    </row>
    <row r="46" spans="1:15" ht="16.5" customHeight="1" x14ac:dyDescent="0.15">
      <c r="A46" s="41">
        <v>11</v>
      </c>
      <c r="B46" s="41" t="s">
        <v>14223</v>
      </c>
      <c r="C46" s="74" t="s">
        <v>14224</v>
      </c>
      <c r="D46" s="72"/>
      <c r="F46" s="711"/>
      <c r="G46" s="37"/>
      <c r="H46" s="38"/>
      <c r="I46" s="281" t="s">
        <v>397</v>
      </c>
      <c r="J46" s="218" t="s">
        <v>398</v>
      </c>
      <c r="K46" s="46">
        <v>1</v>
      </c>
      <c r="L46" s="240" t="s">
        <v>398</v>
      </c>
      <c r="M46" s="38">
        <f>_11・初任</f>
        <v>0.7</v>
      </c>
      <c r="N46" s="47">
        <f>ROUND((ROUND((ROUND((_11_A通院２増２．５*_11・基礎２),0)*_11・２人),0)*_11・初任),0)</f>
        <v>218</v>
      </c>
      <c r="O46" s="48"/>
    </row>
    <row r="47" spans="1:15" ht="16.5" customHeight="1" x14ac:dyDescent="0.15">
      <c r="A47" s="41">
        <v>11</v>
      </c>
      <c r="B47" s="41">
        <v>7403</v>
      </c>
      <c r="C47" s="74" t="s">
        <v>14225</v>
      </c>
      <c r="D47" s="707" t="s">
        <v>464</v>
      </c>
      <c r="E47" s="798"/>
      <c r="F47" s="53"/>
      <c r="G47" s="49"/>
      <c r="H47" s="50"/>
      <c r="I47" s="163"/>
      <c r="J47" s="45"/>
      <c r="K47" s="46"/>
      <c r="L47" s="53"/>
      <c r="M47" s="50"/>
      <c r="N47" s="47">
        <f>_11_A通院２増３．０</f>
        <v>414</v>
      </c>
      <c r="O47" s="48"/>
    </row>
    <row r="48" spans="1:15" ht="16.5" customHeight="1" x14ac:dyDescent="0.15">
      <c r="A48" s="41">
        <v>11</v>
      </c>
      <c r="B48" s="41">
        <v>7404</v>
      </c>
      <c r="C48" s="74" t="s">
        <v>14226</v>
      </c>
      <c r="D48" s="799"/>
      <c r="E48" s="796"/>
      <c r="F48" s="43"/>
      <c r="G48" s="37"/>
      <c r="H48" s="38"/>
      <c r="I48" s="281" t="s">
        <v>397</v>
      </c>
      <c r="J48" s="218" t="s">
        <v>398</v>
      </c>
      <c r="K48" s="46">
        <v>1</v>
      </c>
      <c r="L48" s="35"/>
      <c r="N48" s="47">
        <f>ROUND((_11_A通院２増３．０*_11・２人),0)</f>
        <v>414</v>
      </c>
      <c r="O48" s="48"/>
    </row>
    <row r="49" spans="1:15" ht="16.5" customHeight="1" x14ac:dyDescent="0.15">
      <c r="A49" s="41">
        <v>11</v>
      </c>
      <c r="B49" s="41">
        <v>7405</v>
      </c>
      <c r="C49" s="74" t="s">
        <v>14227</v>
      </c>
      <c r="D49" s="799"/>
      <c r="E49" s="796"/>
      <c r="F49" s="752" t="s">
        <v>400</v>
      </c>
      <c r="G49" s="221" t="s">
        <v>398</v>
      </c>
      <c r="H49" s="50">
        <v>0.9</v>
      </c>
      <c r="I49" s="163"/>
      <c r="J49" s="45"/>
      <c r="K49" s="46"/>
      <c r="L49" s="35"/>
      <c r="N49" s="47">
        <f>ROUND((_11_A通院２増３．０*_11・基礎２),0)</f>
        <v>373</v>
      </c>
      <c r="O49" s="48"/>
    </row>
    <row r="50" spans="1:15" ht="16.5" customHeight="1" x14ac:dyDescent="0.15">
      <c r="A50" s="41">
        <v>11</v>
      </c>
      <c r="B50" s="41">
        <v>7406</v>
      </c>
      <c r="C50" s="74" t="s">
        <v>14228</v>
      </c>
      <c r="D50" s="274">
        <f>_11_A通院２増３．０</f>
        <v>414</v>
      </c>
      <c r="E50" s="10" t="s">
        <v>392</v>
      </c>
      <c r="F50" s="711"/>
      <c r="G50" s="37"/>
      <c r="H50" s="38"/>
      <c r="I50" s="281" t="s">
        <v>397</v>
      </c>
      <c r="J50" s="218" t="s">
        <v>398</v>
      </c>
      <c r="K50" s="46">
        <v>1</v>
      </c>
      <c r="L50" s="35"/>
      <c r="N50" s="47">
        <f>ROUND((ROUND((_11_A通院２増３．０*_11・基礎２),0)*_11・２人),0)</f>
        <v>373</v>
      </c>
      <c r="O50" s="48"/>
    </row>
    <row r="51" spans="1:15" ht="16.5" customHeight="1" x14ac:dyDescent="0.15">
      <c r="A51" s="41">
        <v>11</v>
      </c>
      <c r="B51" s="41" t="s">
        <v>14229</v>
      </c>
      <c r="C51" s="74" t="s">
        <v>14230</v>
      </c>
      <c r="D51" s="72"/>
      <c r="F51" s="53"/>
      <c r="G51" s="49"/>
      <c r="H51" s="50"/>
      <c r="I51" s="163"/>
      <c r="J51" s="45"/>
      <c r="K51" s="46"/>
      <c r="L51" s="707" t="s">
        <v>404</v>
      </c>
      <c r="M51" s="708"/>
      <c r="N51" s="47">
        <f>ROUND((_11_A通院２増３．０*_11・初任),0)</f>
        <v>290</v>
      </c>
      <c r="O51" s="48"/>
    </row>
    <row r="52" spans="1:15" ht="16.5" customHeight="1" x14ac:dyDescent="0.15">
      <c r="A52" s="41">
        <v>11</v>
      </c>
      <c r="B52" s="41" t="s">
        <v>14231</v>
      </c>
      <c r="C52" s="74" t="s">
        <v>14232</v>
      </c>
      <c r="D52" s="72"/>
      <c r="F52" s="43"/>
      <c r="G52" s="37"/>
      <c r="H52" s="38"/>
      <c r="I52" s="281" t="s">
        <v>397</v>
      </c>
      <c r="J52" s="218" t="s">
        <v>398</v>
      </c>
      <c r="K52" s="46">
        <v>1</v>
      </c>
      <c r="L52" s="709"/>
      <c r="M52" s="704"/>
      <c r="N52" s="47">
        <f>ROUND((ROUND((_11_A通院２増３．０*_11・２人),0)*_11・初任),0)</f>
        <v>290</v>
      </c>
      <c r="O52" s="48"/>
    </row>
    <row r="53" spans="1:15" ht="16.5" customHeight="1" x14ac:dyDescent="0.15">
      <c r="A53" s="41">
        <v>11</v>
      </c>
      <c r="B53" s="41" t="s">
        <v>14233</v>
      </c>
      <c r="C53" s="74" t="s">
        <v>14234</v>
      </c>
      <c r="D53" s="72"/>
      <c r="F53" s="752" t="s">
        <v>400</v>
      </c>
      <c r="G53" s="221" t="s">
        <v>398</v>
      </c>
      <c r="H53" s="50">
        <v>0.9</v>
      </c>
      <c r="I53" s="163"/>
      <c r="J53" s="45"/>
      <c r="K53" s="46"/>
      <c r="L53" s="709"/>
      <c r="M53" s="704"/>
      <c r="N53" s="47">
        <f>ROUND((ROUND((_11_A通院２増３．０*_11・基礎２),0)*_11・初任),0)</f>
        <v>261</v>
      </c>
      <c r="O53" s="48"/>
    </row>
    <row r="54" spans="1:15" ht="16.5" customHeight="1" x14ac:dyDescent="0.15">
      <c r="A54" s="41">
        <v>11</v>
      </c>
      <c r="B54" s="41" t="s">
        <v>14235</v>
      </c>
      <c r="C54" s="74" t="s">
        <v>14236</v>
      </c>
      <c r="D54" s="72"/>
      <c r="F54" s="711"/>
      <c r="G54" s="37"/>
      <c r="H54" s="38"/>
      <c r="I54" s="281" t="s">
        <v>397</v>
      </c>
      <c r="J54" s="218" t="s">
        <v>398</v>
      </c>
      <c r="K54" s="46">
        <v>1</v>
      </c>
      <c r="L54" s="240" t="s">
        <v>398</v>
      </c>
      <c r="M54" s="38">
        <f>_11・初任</f>
        <v>0.7</v>
      </c>
      <c r="N54" s="47">
        <f>ROUND((ROUND((ROUND((_11_A通院２増３．０*_11・基礎２),0)*_11・２人),0)*_11・初任),0)</f>
        <v>261</v>
      </c>
      <c r="O54" s="48"/>
    </row>
    <row r="55" spans="1:15" ht="16.5" customHeight="1" x14ac:dyDescent="0.15">
      <c r="A55" s="41">
        <v>11</v>
      </c>
      <c r="B55" s="41">
        <v>7407</v>
      </c>
      <c r="C55" s="74" t="s">
        <v>14237</v>
      </c>
      <c r="D55" s="707" t="s">
        <v>477</v>
      </c>
      <c r="E55" s="798"/>
      <c r="F55" s="53"/>
      <c r="G55" s="49"/>
      <c r="H55" s="50"/>
      <c r="I55" s="163"/>
      <c r="J55" s="45"/>
      <c r="K55" s="46"/>
      <c r="L55" s="53"/>
      <c r="M55" s="50"/>
      <c r="N55" s="47">
        <f>_11_A通院２増３．５</f>
        <v>483</v>
      </c>
      <c r="O55" s="48"/>
    </row>
    <row r="56" spans="1:15" ht="16.5" customHeight="1" x14ac:dyDescent="0.15">
      <c r="A56" s="41">
        <v>11</v>
      </c>
      <c r="B56" s="41">
        <v>7408</v>
      </c>
      <c r="C56" s="74" t="s">
        <v>14238</v>
      </c>
      <c r="D56" s="799"/>
      <c r="E56" s="796"/>
      <c r="F56" s="43"/>
      <c r="G56" s="37"/>
      <c r="H56" s="38"/>
      <c r="I56" s="281" t="s">
        <v>397</v>
      </c>
      <c r="J56" s="218" t="s">
        <v>398</v>
      </c>
      <c r="K56" s="46">
        <v>1</v>
      </c>
      <c r="L56" s="35"/>
      <c r="N56" s="47">
        <f>ROUND((_11_A通院２増３．５*_11・２人),0)</f>
        <v>483</v>
      </c>
      <c r="O56" s="48"/>
    </row>
    <row r="57" spans="1:15" ht="16.5" customHeight="1" x14ac:dyDescent="0.15">
      <c r="A57" s="41">
        <v>11</v>
      </c>
      <c r="B57" s="41">
        <v>7409</v>
      </c>
      <c r="C57" s="74" t="s">
        <v>14239</v>
      </c>
      <c r="D57" s="799"/>
      <c r="E57" s="796"/>
      <c r="F57" s="752" t="s">
        <v>400</v>
      </c>
      <c r="G57" s="221" t="s">
        <v>398</v>
      </c>
      <c r="H57" s="50">
        <v>0.9</v>
      </c>
      <c r="I57" s="163"/>
      <c r="J57" s="45"/>
      <c r="K57" s="46"/>
      <c r="L57" s="35"/>
      <c r="N57" s="47">
        <f>ROUND((_11_A通院２増３．５*_11・基礎２),0)</f>
        <v>435</v>
      </c>
      <c r="O57" s="48"/>
    </row>
    <row r="58" spans="1:15" ht="16.5" customHeight="1" x14ac:dyDescent="0.15">
      <c r="A58" s="41">
        <v>11</v>
      </c>
      <c r="B58" s="41">
        <v>7410</v>
      </c>
      <c r="C58" s="74" t="s">
        <v>14240</v>
      </c>
      <c r="D58" s="274">
        <f>_11_A通院２増３．５</f>
        <v>483</v>
      </c>
      <c r="E58" s="10" t="s">
        <v>392</v>
      </c>
      <c r="F58" s="711"/>
      <c r="G58" s="37"/>
      <c r="H58" s="38"/>
      <c r="I58" s="281" t="s">
        <v>397</v>
      </c>
      <c r="J58" s="218" t="s">
        <v>398</v>
      </c>
      <c r="K58" s="46">
        <v>1</v>
      </c>
      <c r="L58" s="35"/>
      <c r="N58" s="47">
        <f>ROUND((ROUND((_11_A通院２増３．５*_11・基礎２),0)*_11・２人),0)</f>
        <v>435</v>
      </c>
      <c r="O58" s="48"/>
    </row>
    <row r="59" spans="1:15" ht="16.5" customHeight="1" x14ac:dyDescent="0.15">
      <c r="A59" s="41">
        <v>11</v>
      </c>
      <c r="B59" s="41" t="s">
        <v>14241</v>
      </c>
      <c r="C59" s="74" t="s">
        <v>14242</v>
      </c>
      <c r="D59" s="72"/>
      <c r="F59" s="53"/>
      <c r="G59" s="49"/>
      <c r="H59" s="50"/>
      <c r="I59" s="163"/>
      <c r="J59" s="45"/>
      <c r="K59" s="46"/>
      <c r="L59" s="707" t="s">
        <v>404</v>
      </c>
      <c r="M59" s="708"/>
      <c r="N59" s="47">
        <f>ROUND((_11_A通院２増３．５*_11・初任),0)</f>
        <v>338</v>
      </c>
      <c r="O59" s="48"/>
    </row>
    <row r="60" spans="1:15" ht="16.5" customHeight="1" x14ac:dyDescent="0.15">
      <c r="A60" s="41">
        <v>11</v>
      </c>
      <c r="B60" s="41" t="s">
        <v>14243</v>
      </c>
      <c r="C60" s="74" t="s">
        <v>14244</v>
      </c>
      <c r="D60" s="72"/>
      <c r="F60" s="43"/>
      <c r="G60" s="37"/>
      <c r="H60" s="38"/>
      <c r="I60" s="281" t="s">
        <v>397</v>
      </c>
      <c r="J60" s="218" t="s">
        <v>398</v>
      </c>
      <c r="K60" s="46">
        <v>1</v>
      </c>
      <c r="L60" s="709"/>
      <c r="M60" s="704"/>
      <c r="N60" s="47">
        <f>ROUND((ROUND((_11_A通院２増３．５*_11・２人),0)*_11・初任),0)</f>
        <v>338</v>
      </c>
      <c r="O60" s="48"/>
    </row>
    <row r="61" spans="1:15" ht="16.5" customHeight="1" x14ac:dyDescent="0.15">
      <c r="A61" s="41">
        <v>11</v>
      </c>
      <c r="B61" s="41" t="s">
        <v>14245</v>
      </c>
      <c r="C61" s="74" t="s">
        <v>14246</v>
      </c>
      <c r="D61" s="72"/>
      <c r="F61" s="752" t="s">
        <v>400</v>
      </c>
      <c r="G61" s="221" t="s">
        <v>398</v>
      </c>
      <c r="H61" s="50">
        <v>0.9</v>
      </c>
      <c r="I61" s="163"/>
      <c r="J61" s="45"/>
      <c r="K61" s="46"/>
      <c r="L61" s="709"/>
      <c r="M61" s="704"/>
      <c r="N61" s="47">
        <f>ROUND((ROUND((_11_A通院２増３．５*_11・基礎２),0)*_11・初任),0)</f>
        <v>305</v>
      </c>
      <c r="O61" s="48"/>
    </row>
    <row r="62" spans="1:15" ht="16.5" customHeight="1" x14ac:dyDescent="0.15">
      <c r="A62" s="41">
        <v>11</v>
      </c>
      <c r="B62" s="41" t="s">
        <v>14247</v>
      </c>
      <c r="C62" s="74" t="s">
        <v>14248</v>
      </c>
      <c r="D62" s="72"/>
      <c r="F62" s="711"/>
      <c r="G62" s="37"/>
      <c r="H62" s="38"/>
      <c r="I62" s="281" t="s">
        <v>397</v>
      </c>
      <c r="J62" s="218" t="s">
        <v>398</v>
      </c>
      <c r="K62" s="46">
        <v>1</v>
      </c>
      <c r="L62" s="240" t="s">
        <v>398</v>
      </c>
      <c r="M62" s="38">
        <f>_11・初任</f>
        <v>0.7</v>
      </c>
      <c r="N62" s="47">
        <f>ROUND((ROUND((ROUND((_11_A通院２増３．５*_11・基礎２),0)*_11・２人),0)*_11・初任),0)</f>
        <v>305</v>
      </c>
      <c r="O62" s="48"/>
    </row>
    <row r="63" spans="1:15" ht="16.5" customHeight="1" x14ac:dyDescent="0.15">
      <c r="A63" s="41">
        <v>11</v>
      </c>
      <c r="B63" s="41">
        <v>7411</v>
      </c>
      <c r="C63" s="74" t="s">
        <v>14249</v>
      </c>
      <c r="D63" s="707" t="s">
        <v>2761</v>
      </c>
      <c r="E63" s="798"/>
      <c r="F63" s="53"/>
      <c r="G63" s="49"/>
      <c r="H63" s="50"/>
      <c r="I63" s="163"/>
      <c r="J63" s="45"/>
      <c r="K63" s="46"/>
      <c r="L63" s="53"/>
      <c r="M63" s="50"/>
      <c r="N63" s="47">
        <f>_11_A通院２増４．０</f>
        <v>552</v>
      </c>
      <c r="O63" s="48"/>
    </row>
    <row r="64" spans="1:15" ht="16.5" customHeight="1" x14ac:dyDescent="0.15">
      <c r="A64" s="41">
        <v>11</v>
      </c>
      <c r="B64" s="41">
        <v>7412</v>
      </c>
      <c r="C64" s="74" t="s">
        <v>14250</v>
      </c>
      <c r="D64" s="799"/>
      <c r="E64" s="796"/>
      <c r="F64" s="43"/>
      <c r="G64" s="37"/>
      <c r="H64" s="38"/>
      <c r="I64" s="281" t="s">
        <v>397</v>
      </c>
      <c r="J64" s="218" t="s">
        <v>398</v>
      </c>
      <c r="K64" s="46">
        <v>1</v>
      </c>
      <c r="L64" s="35"/>
      <c r="N64" s="47">
        <f>ROUND((_11_A通院２増４．０*_11・２人),0)</f>
        <v>552</v>
      </c>
      <c r="O64" s="48"/>
    </row>
    <row r="65" spans="1:15" ht="16.5" customHeight="1" x14ac:dyDescent="0.15">
      <c r="A65" s="41">
        <v>11</v>
      </c>
      <c r="B65" s="41">
        <v>7413</v>
      </c>
      <c r="C65" s="74" t="s">
        <v>14251</v>
      </c>
      <c r="D65" s="799"/>
      <c r="E65" s="796"/>
      <c r="F65" s="752" t="s">
        <v>400</v>
      </c>
      <c r="G65" s="221" t="s">
        <v>398</v>
      </c>
      <c r="H65" s="50">
        <v>0.9</v>
      </c>
      <c r="I65" s="163"/>
      <c r="J65" s="45"/>
      <c r="K65" s="46"/>
      <c r="L65" s="35"/>
      <c r="N65" s="47">
        <f>ROUND((_11_A通院２増４．０*_11・基礎２),0)</f>
        <v>497</v>
      </c>
      <c r="O65" s="48"/>
    </row>
    <row r="66" spans="1:15" ht="16.5" customHeight="1" x14ac:dyDescent="0.15">
      <c r="A66" s="41">
        <v>11</v>
      </c>
      <c r="B66" s="41">
        <v>7414</v>
      </c>
      <c r="C66" s="74" t="s">
        <v>14252</v>
      </c>
      <c r="D66" s="274">
        <f>_11_A通院２増４．０</f>
        <v>552</v>
      </c>
      <c r="E66" s="10" t="s">
        <v>392</v>
      </c>
      <c r="F66" s="711"/>
      <c r="G66" s="37"/>
      <c r="H66" s="38"/>
      <c r="I66" s="281" t="s">
        <v>397</v>
      </c>
      <c r="J66" s="218" t="s">
        <v>398</v>
      </c>
      <c r="K66" s="46">
        <v>1</v>
      </c>
      <c r="L66" s="35"/>
      <c r="N66" s="47">
        <f>ROUND((ROUND((_11_A通院２増４．０*_11・基礎２),0)*_11・２人),0)</f>
        <v>497</v>
      </c>
      <c r="O66" s="48"/>
    </row>
    <row r="67" spans="1:15" ht="16.5" customHeight="1" x14ac:dyDescent="0.15">
      <c r="A67" s="41">
        <v>11</v>
      </c>
      <c r="B67" s="41" t="s">
        <v>14253</v>
      </c>
      <c r="C67" s="74" t="s">
        <v>14254</v>
      </c>
      <c r="D67" s="72"/>
      <c r="F67" s="53"/>
      <c r="G67" s="49"/>
      <c r="H67" s="50"/>
      <c r="I67" s="163"/>
      <c r="J67" s="45"/>
      <c r="K67" s="46"/>
      <c r="L67" s="707" t="s">
        <v>404</v>
      </c>
      <c r="M67" s="708"/>
      <c r="N67" s="47">
        <f>ROUND((_11_A通院２増４．０*_11・初任),0)</f>
        <v>386</v>
      </c>
      <c r="O67" s="48"/>
    </row>
    <row r="68" spans="1:15" ht="16.5" customHeight="1" x14ac:dyDescent="0.15">
      <c r="A68" s="41">
        <v>11</v>
      </c>
      <c r="B68" s="41" t="s">
        <v>14255</v>
      </c>
      <c r="C68" s="74" t="s">
        <v>14256</v>
      </c>
      <c r="D68" s="72"/>
      <c r="F68" s="43"/>
      <c r="G68" s="37"/>
      <c r="H68" s="38"/>
      <c r="I68" s="281" t="s">
        <v>397</v>
      </c>
      <c r="J68" s="218" t="s">
        <v>398</v>
      </c>
      <c r="K68" s="46">
        <v>1</v>
      </c>
      <c r="L68" s="709"/>
      <c r="M68" s="704"/>
      <c r="N68" s="47">
        <f>ROUND((ROUND((_11_A通院２増４．０*_11・２人),0)*_11・初任),0)</f>
        <v>386</v>
      </c>
      <c r="O68" s="48"/>
    </row>
    <row r="69" spans="1:15" ht="16.5" customHeight="1" x14ac:dyDescent="0.15">
      <c r="A69" s="41">
        <v>11</v>
      </c>
      <c r="B69" s="41" t="s">
        <v>14257</v>
      </c>
      <c r="C69" s="74" t="s">
        <v>14258</v>
      </c>
      <c r="D69" s="72"/>
      <c r="F69" s="752" t="s">
        <v>400</v>
      </c>
      <c r="G69" s="221" t="s">
        <v>398</v>
      </c>
      <c r="H69" s="50">
        <v>0.9</v>
      </c>
      <c r="I69" s="163"/>
      <c r="J69" s="45"/>
      <c r="K69" s="46"/>
      <c r="L69" s="709"/>
      <c r="M69" s="704"/>
      <c r="N69" s="47">
        <f>ROUND((ROUND((_11_A通院２増４．０*_11・基礎２),0)*_11・初任),0)</f>
        <v>348</v>
      </c>
      <c r="O69" s="48"/>
    </row>
    <row r="70" spans="1:15" ht="16.5" customHeight="1" x14ac:dyDescent="0.15">
      <c r="A70" s="41">
        <v>11</v>
      </c>
      <c r="B70" s="41" t="s">
        <v>14259</v>
      </c>
      <c r="C70" s="74" t="s">
        <v>14260</v>
      </c>
      <c r="D70" s="72"/>
      <c r="F70" s="711"/>
      <c r="G70" s="37"/>
      <c r="H70" s="38"/>
      <c r="I70" s="281" t="s">
        <v>397</v>
      </c>
      <c r="J70" s="218" t="s">
        <v>398</v>
      </c>
      <c r="K70" s="46">
        <v>1</v>
      </c>
      <c r="L70" s="240" t="s">
        <v>398</v>
      </c>
      <c r="M70" s="38">
        <f>_11・初任</f>
        <v>0.7</v>
      </c>
      <c r="N70" s="47">
        <f>ROUND((ROUND((ROUND((_11_A通院２増４．０*_11・基礎２),0)*_11・２人),0)*_11・初任),0)</f>
        <v>348</v>
      </c>
      <c r="O70" s="48"/>
    </row>
    <row r="71" spans="1:15" ht="16.5" customHeight="1" x14ac:dyDescent="0.15">
      <c r="A71" s="41">
        <v>11</v>
      </c>
      <c r="B71" s="41">
        <v>7415</v>
      </c>
      <c r="C71" s="74" t="s">
        <v>14261</v>
      </c>
      <c r="D71" s="707" t="s">
        <v>503</v>
      </c>
      <c r="E71" s="798"/>
      <c r="F71" s="53"/>
      <c r="G71" s="49"/>
      <c r="H71" s="50"/>
      <c r="I71" s="163"/>
      <c r="J71" s="45"/>
      <c r="K71" s="46"/>
      <c r="L71" s="53"/>
      <c r="M71" s="50"/>
      <c r="N71" s="47">
        <f>_11_A通院２増４．５</f>
        <v>621</v>
      </c>
      <c r="O71" s="48"/>
    </row>
    <row r="72" spans="1:15" ht="16.5" customHeight="1" x14ac:dyDescent="0.15">
      <c r="A72" s="41">
        <v>11</v>
      </c>
      <c r="B72" s="41">
        <v>7416</v>
      </c>
      <c r="C72" s="74" t="s">
        <v>14262</v>
      </c>
      <c r="D72" s="799"/>
      <c r="E72" s="796"/>
      <c r="F72" s="43"/>
      <c r="G72" s="37"/>
      <c r="H72" s="38"/>
      <c r="I72" s="281" t="s">
        <v>397</v>
      </c>
      <c r="J72" s="218" t="s">
        <v>398</v>
      </c>
      <c r="K72" s="46">
        <v>1</v>
      </c>
      <c r="L72" s="35"/>
      <c r="N72" s="47">
        <f>ROUND((_11_A通院２増４．５*_11・２人),0)</f>
        <v>621</v>
      </c>
      <c r="O72" s="48"/>
    </row>
    <row r="73" spans="1:15" ht="16.5" customHeight="1" x14ac:dyDescent="0.15">
      <c r="A73" s="41">
        <v>11</v>
      </c>
      <c r="B73" s="41">
        <v>7417</v>
      </c>
      <c r="C73" s="74" t="s">
        <v>14263</v>
      </c>
      <c r="D73" s="799"/>
      <c r="E73" s="796"/>
      <c r="F73" s="752" t="s">
        <v>400</v>
      </c>
      <c r="G73" s="221" t="s">
        <v>398</v>
      </c>
      <c r="H73" s="50">
        <v>0.9</v>
      </c>
      <c r="I73" s="163"/>
      <c r="J73" s="45"/>
      <c r="K73" s="46"/>
      <c r="L73" s="35"/>
      <c r="N73" s="47">
        <f>ROUND((_11_A通院２増４．５*_11・基礎２),0)</f>
        <v>559</v>
      </c>
      <c r="O73" s="48"/>
    </row>
    <row r="74" spans="1:15" ht="16.5" customHeight="1" x14ac:dyDescent="0.15">
      <c r="A74" s="41">
        <v>11</v>
      </c>
      <c r="B74" s="41">
        <v>7418</v>
      </c>
      <c r="C74" s="74" t="s">
        <v>14264</v>
      </c>
      <c r="D74" s="274">
        <f>_11_A通院２増４．５</f>
        <v>621</v>
      </c>
      <c r="E74" s="10" t="s">
        <v>392</v>
      </c>
      <c r="F74" s="711"/>
      <c r="G74" s="37"/>
      <c r="H74" s="38"/>
      <c r="I74" s="281" t="s">
        <v>397</v>
      </c>
      <c r="J74" s="218" t="s">
        <v>398</v>
      </c>
      <c r="K74" s="46">
        <v>1</v>
      </c>
      <c r="L74" s="35"/>
      <c r="N74" s="47">
        <f>ROUND((ROUND((_11_A通院２増４．５*_11・基礎２),0)*_11・２人),0)</f>
        <v>559</v>
      </c>
      <c r="O74" s="48"/>
    </row>
    <row r="75" spans="1:15" ht="16.5" customHeight="1" x14ac:dyDescent="0.15">
      <c r="A75" s="41">
        <v>11</v>
      </c>
      <c r="B75" s="41" t="s">
        <v>14265</v>
      </c>
      <c r="C75" s="74" t="s">
        <v>14266</v>
      </c>
      <c r="D75" s="72"/>
      <c r="F75" s="53"/>
      <c r="G75" s="49"/>
      <c r="H75" s="50"/>
      <c r="I75" s="163"/>
      <c r="J75" s="45"/>
      <c r="K75" s="46"/>
      <c r="L75" s="707" t="s">
        <v>404</v>
      </c>
      <c r="M75" s="708"/>
      <c r="N75" s="47">
        <f>ROUND((_11_A通院２増４．５*_11・初任),0)</f>
        <v>435</v>
      </c>
      <c r="O75" s="48"/>
    </row>
    <row r="76" spans="1:15" ht="16.5" customHeight="1" x14ac:dyDescent="0.15">
      <c r="A76" s="41">
        <v>11</v>
      </c>
      <c r="B76" s="41" t="s">
        <v>14267</v>
      </c>
      <c r="C76" s="74" t="s">
        <v>14268</v>
      </c>
      <c r="D76" s="72"/>
      <c r="F76" s="43"/>
      <c r="G76" s="37"/>
      <c r="H76" s="38"/>
      <c r="I76" s="281" t="s">
        <v>397</v>
      </c>
      <c r="J76" s="218" t="s">
        <v>398</v>
      </c>
      <c r="K76" s="46">
        <v>1</v>
      </c>
      <c r="L76" s="709"/>
      <c r="M76" s="704"/>
      <c r="N76" s="47">
        <f>ROUND((ROUND((_11_A通院２増４．５*_11・２人),0)*_11・初任),0)</f>
        <v>435</v>
      </c>
      <c r="O76" s="48"/>
    </row>
    <row r="77" spans="1:15" ht="16.5" customHeight="1" x14ac:dyDescent="0.15">
      <c r="A77" s="41">
        <v>11</v>
      </c>
      <c r="B77" s="41" t="s">
        <v>14269</v>
      </c>
      <c r="C77" s="74" t="s">
        <v>14270</v>
      </c>
      <c r="D77" s="72"/>
      <c r="F77" s="752" t="s">
        <v>400</v>
      </c>
      <c r="G77" s="221" t="s">
        <v>398</v>
      </c>
      <c r="H77" s="50">
        <v>0.9</v>
      </c>
      <c r="I77" s="163"/>
      <c r="J77" s="45"/>
      <c r="K77" s="46"/>
      <c r="L77" s="709"/>
      <c r="M77" s="704"/>
      <c r="N77" s="47">
        <f>ROUND((ROUND((_11_A通院２増４．５*_11・基礎２),0)*_11・初任),0)</f>
        <v>391</v>
      </c>
      <c r="O77" s="48"/>
    </row>
    <row r="78" spans="1:15" ht="16.5" customHeight="1" x14ac:dyDescent="0.15">
      <c r="A78" s="41">
        <v>11</v>
      </c>
      <c r="B78" s="41" t="s">
        <v>14271</v>
      </c>
      <c r="C78" s="74" t="s">
        <v>14272</v>
      </c>
      <c r="D78" s="122"/>
      <c r="E78" s="37"/>
      <c r="F78" s="711"/>
      <c r="G78" s="37"/>
      <c r="H78" s="38"/>
      <c r="I78" s="281" t="s">
        <v>397</v>
      </c>
      <c r="J78" s="218" t="s">
        <v>398</v>
      </c>
      <c r="K78" s="46">
        <v>1</v>
      </c>
      <c r="L78" s="240" t="s">
        <v>398</v>
      </c>
      <c r="M78" s="38">
        <f>_11・初任</f>
        <v>0.7</v>
      </c>
      <c r="N78" s="47">
        <f>ROUND((ROUND((ROUND((_11_A通院２増４．５*_11・基礎２),0)*_11・２人),0)*_11・初任),0)</f>
        <v>391</v>
      </c>
      <c r="O78" s="63"/>
    </row>
    <row r="79" spans="1:15" ht="16.5" customHeight="1" x14ac:dyDescent="0.15">
      <c r="A79" s="33">
        <v>11</v>
      </c>
      <c r="B79" s="33">
        <v>7419</v>
      </c>
      <c r="C79" s="34" t="s">
        <v>14273</v>
      </c>
      <c r="D79" s="709" t="s">
        <v>516</v>
      </c>
      <c r="E79" s="796"/>
      <c r="F79" s="35"/>
      <c r="I79" s="43"/>
      <c r="J79" s="37"/>
      <c r="K79" s="38"/>
      <c r="L79" s="35"/>
      <c r="N79" s="39">
        <f>_11_A通院２増５．０</f>
        <v>690</v>
      </c>
      <c r="O79" s="48"/>
    </row>
    <row r="80" spans="1:15" ht="16.5" customHeight="1" x14ac:dyDescent="0.15">
      <c r="A80" s="41">
        <v>11</v>
      </c>
      <c r="B80" s="41">
        <v>7420</v>
      </c>
      <c r="C80" s="74" t="s">
        <v>14274</v>
      </c>
      <c r="D80" s="799"/>
      <c r="E80" s="796"/>
      <c r="F80" s="43"/>
      <c r="G80" s="37"/>
      <c r="H80" s="38"/>
      <c r="I80" s="281" t="s">
        <v>397</v>
      </c>
      <c r="J80" s="218" t="s">
        <v>398</v>
      </c>
      <c r="K80" s="46">
        <v>1</v>
      </c>
      <c r="L80" s="35"/>
      <c r="N80" s="47">
        <f>ROUND((_11_A通院２増５．０*_11・２人),0)</f>
        <v>690</v>
      </c>
      <c r="O80" s="48"/>
    </row>
    <row r="81" spans="1:15" ht="16.5" customHeight="1" x14ac:dyDescent="0.15">
      <c r="A81" s="41">
        <v>11</v>
      </c>
      <c r="B81" s="41">
        <v>7421</v>
      </c>
      <c r="C81" s="74" t="s">
        <v>14275</v>
      </c>
      <c r="D81" s="799"/>
      <c r="E81" s="796"/>
      <c r="F81" s="752" t="s">
        <v>400</v>
      </c>
      <c r="G81" s="221" t="s">
        <v>398</v>
      </c>
      <c r="H81" s="50">
        <v>0.9</v>
      </c>
      <c r="I81" s="163"/>
      <c r="J81" s="45"/>
      <c r="K81" s="46"/>
      <c r="L81" s="35"/>
      <c r="N81" s="47">
        <f>ROUND((_11_A通院２増５．０*_11・基礎２),0)</f>
        <v>621</v>
      </c>
      <c r="O81" s="48"/>
    </row>
    <row r="82" spans="1:15" ht="16.5" customHeight="1" x14ac:dyDescent="0.15">
      <c r="A82" s="41">
        <v>11</v>
      </c>
      <c r="B82" s="41">
        <v>7422</v>
      </c>
      <c r="C82" s="74" t="s">
        <v>14276</v>
      </c>
      <c r="D82" s="274">
        <f>_11_A通院２増５．０</f>
        <v>690</v>
      </c>
      <c r="E82" s="10" t="s">
        <v>392</v>
      </c>
      <c r="F82" s="711"/>
      <c r="G82" s="37"/>
      <c r="H82" s="38"/>
      <c r="I82" s="281" t="s">
        <v>397</v>
      </c>
      <c r="J82" s="218" t="s">
        <v>398</v>
      </c>
      <c r="K82" s="46">
        <v>1</v>
      </c>
      <c r="L82" s="35"/>
      <c r="N82" s="47">
        <f>ROUND((ROUND((_11_A通院２増５．０*_11・基礎２),0)*_11・２人),0)</f>
        <v>621</v>
      </c>
      <c r="O82" s="48"/>
    </row>
    <row r="83" spans="1:15" ht="16.5" customHeight="1" x14ac:dyDescent="0.15">
      <c r="A83" s="41">
        <v>11</v>
      </c>
      <c r="B83" s="41" t="s">
        <v>14277</v>
      </c>
      <c r="C83" s="74" t="s">
        <v>14278</v>
      </c>
      <c r="D83" s="72"/>
      <c r="F83" s="53"/>
      <c r="G83" s="49"/>
      <c r="H83" s="50"/>
      <c r="I83" s="163"/>
      <c r="J83" s="45"/>
      <c r="K83" s="46"/>
      <c r="L83" s="707" t="s">
        <v>404</v>
      </c>
      <c r="M83" s="708"/>
      <c r="N83" s="47">
        <f>ROUND((_11_A通院２増５．０*_11・初任),0)</f>
        <v>483</v>
      </c>
      <c r="O83" s="48"/>
    </row>
    <row r="84" spans="1:15" ht="16.5" customHeight="1" x14ac:dyDescent="0.15">
      <c r="A84" s="41">
        <v>11</v>
      </c>
      <c r="B84" s="41" t="s">
        <v>14279</v>
      </c>
      <c r="C84" s="74" t="s">
        <v>14280</v>
      </c>
      <c r="D84" s="72"/>
      <c r="F84" s="43"/>
      <c r="G84" s="37"/>
      <c r="H84" s="38"/>
      <c r="I84" s="281" t="s">
        <v>397</v>
      </c>
      <c r="J84" s="218" t="s">
        <v>398</v>
      </c>
      <c r="K84" s="46">
        <v>1</v>
      </c>
      <c r="L84" s="709"/>
      <c r="M84" s="704"/>
      <c r="N84" s="47">
        <f>ROUND((ROUND((_11_A通院２増５．０*_11・２人),0)*_11・初任),0)</f>
        <v>483</v>
      </c>
      <c r="O84" s="48"/>
    </row>
    <row r="85" spans="1:15" ht="16.5" customHeight="1" x14ac:dyDescent="0.15">
      <c r="A85" s="41">
        <v>11</v>
      </c>
      <c r="B85" s="41" t="s">
        <v>14281</v>
      </c>
      <c r="C85" s="74" t="s">
        <v>14282</v>
      </c>
      <c r="D85" s="72"/>
      <c r="F85" s="752" t="s">
        <v>400</v>
      </c>
      <c r="G85" s="221" t="s">
        <v>398</v>
      </c>
      <c r="H85" s="50">
        <v>0.9</v>
      </c>
      <c r="I85" s="163"/>
      <c r="J85" s="45"/>
      <c r="K85" s="46"/>
      <c r="L85" s="709"/>
      <c r="M85" s="704"/>
      <c r="N85" s="47">
        <f>ROUND((ROUND((_11_A通院２増５．０*_11・基礎２),0)*_11・初任),0)</f>
        <v>435</v>
      </c>
      <c r="O85" s="48"/>
    </row>
    <row r="86" spans="1:15" ht="16.5" customHeight="1" x14ac:dyDescent="0.15">
      <c r="A86" s="41">
        <v>11</v>
      </c>
      <c r="B86" s="41" t="s">
        <v>14283</v>
      </c>
      <c r="C86" s="74" t="s">
        <v>14284</v>
      </c>
      <c r="D86" s="72"/>
      <c r="F86" s="711"/>
      <c r="G86" s="37"/>
      <c r="H86" s="38"/>
      <c r="I86" s="281" t="s">
        <v>397</v>
      </c>
      <c r="J86" s="218" t="s">
        <v>398</v>
      </c>
      <c r="K86" s="46">
        <v>1</v>
      </c>
      <c r="L86" s="240" t="s">
        <v>398</v>
      </c>
      <c r="M86" s="38">
        <f>_11・初任</f>
        <v>0.7</v>
      </c>
      <c r="N86" s="47">
        <f>ROUND((ROUND((ROUND((_11_A通院２増５．０*_11・基礎２),0)*_11・２人),0)*_11・初任),0)</f>
        <v>435</v>
      </c>
      <c r="O86" s="48"/>
    </row>
    <row r="87" spans="1:15" ht="16.5" customHeight="1" x14ac:dyDescent="0.15">
      <c r="A87" s="41">
        <v>11</v>
      </c>
      <c r="B87" s="41">
        <v>7423</v>
      </c>
      <c r="C87" s="74" t="s">
        <v>14285</v>
      </c>
      <c r="D87" s="707" t="s">
        <v>529</v>
      </c>
      <c r="E87" s="798"/>
      <c r="F87" s="53"/>
      <c r="G87" s="49"/>
      <c r="H87" s="50"/>
      <c r="I87" s="163"/>
      <c r="J87" s="45"/>
      <c r="K87" s="46"/>
      <c r="L87" s="53"/>
      <c r="M87" s="50"/>
      <c r="N87" s="47">
        <f>_11_A通院２増５．５</f>
        <v>759</v>
      </c>
      <c r="O87" s="48"/>
    </row>
    <row r="88" spans="1:15" ht="16.5" customHeight="1" x14ac:dyDescent="0.15">
      <c r="A88" s="41">
        <v>11</v>
      </c>
      <c r="B88" s="41">
        <v>7424</v>
      </c>
      <c r="C88" s="74" t="s">
        <v>14286</v>
      </c>
      <c r="D88" s="799"/>
      <c r="E88" s="796"/>
      <c r="F88" s="43"/>
      <c r="G88" s="37"/>
      <c r="H88" s="38"/>
      <c r="I88" s="281" t="s">
        <v>397</v>
      </c>
      <c r="J88" s="218" t="s">
        <v>398</v>
      </c>
      <c r="K88" s="46">
        <v>1</v>
      </c>
      <c r="L88" s="35"/>
      <c r="N88" s="47">
        <f>ROUND((_11_A通院２増５．５*_11・２人),0)</f>
        <v>759</v>
      </c>
      <c r="O88" s="48"/>
    </row>
    <row r="89" spans="1:15" ht="16.5" customHeight="1" x14ac:dyDescent="0.15">
      <c r="A89" s="41">
        <v>11</v>
      </c>
      <c r="B89" s="41">
        <v>7425</v>
      </c>
      <c r="C89" s="74" t="s">
        <v>14287</v>
      </c>
      <c r="D89" s="799"/>
      <c r="E89" s="796"/>
      <c r="F89" s="752" t="s">
        <v>400</v>
      </c>
      <c r="G89" s="221" t="s">
        <v>398</v>
      </c>
      <c r="H89" s="50">
        <v>0.9</v>
      </c>
      <c r="I89" s="163"/>
      <c r="J89" s="45"/>
      <c r="K89" s="46"/>
      <c r="L89" s="35"/>
      <c r="N89" s="47">
        <f>ROUND((_11_A通院２増５．５*_11・基礎２),0)</f>
        <v>683</v>
      </c>
      <c r="O89" s="48"/>
    </row>
    <row r="90" spans="1:15" ht="16.5" customHeight="1" x14ac:dyDescent="0.15">
      <c r="A90" s="41">
        <v>11</v>
      </c>
      <c r="B90" s="41">
        <v>7426</v>
      </c>
      <c r="C90" s="74" t="s">
        <v>14288</v>
      </c>
      <c r="D90" s="274">
        <f>_11_A通院２増５．５</f>
        <v>759</v>
      </c>
      <c r="E90" s="10" t="s">
        <v>392</v>
      </c>
      <c r="F90" s="711"/>
      <c r="G90" s="37"/>
      <c r="H90" s="38"/>
      <c r="I90" s="281" t="s">
        <v>397</v>
      </c>
      <c r="J90" s="218" t="s">
        <v>398</v>
      </c>
      <c r="K90" s="46">
        <v>1</v>
      </c>
      <c r="L90" s="35"/>
      <c r="N90" s="47">
        <f>ROUND((ROUND((_11_A通院２増５．５*_11・基礎２),0)*_11・２人),0)</f>
        <v>683</v>
      </c>
      <c r="O90" s="48"/>
    </row>
    <row r="91" spans="1:15" ht="16.5" customHeight="1" x14ac:dyDescent="0.15">
      <c r="A91" s="41">
        <v>11</v>
      </c>
      <c r="B91" s="41" t="s">
        <v>14289</v>
      </c>
      <c r="C91" s="74" t="s">
        <v>14290</v>
      </c>
      <c r="D91" s="72"/>
      <c r="F91" s="53"/>
      <c r="G91" s="49"/>
      <c r="H91" s="50"/>
      <c r="I91" s="163"/>
      <c r="J91" s="45"/>
      <c r="K91" s="46"/>
      <c r="L91" s="707" t="s">
        <v>404</v>
      </c>
      <c r="M91" s="708"/>
      <c r="N91" s="47">
        <f>ROUND((_11_A通院２増５．５*_11・初任),0)</f>
        <v>531</v>
      </c>
      <c r="O91" s="48"/>
    </row>
    <row r="92" spans="1:15" ht="16.5" customHeight="1" x14ac:dyDescent="0.15">
      <c r="A92" s="41">
        <v>11</v>
      </c>
      <c r="B92" s="41" t="s">
        <v>14291</v>
      </c>
      <c r="C92" s="74" t="s">
        <v>14292</v>
      </c>
      <c r="D92" s="72"/>
      <c r="F92" s="43"/>
      <c r="G92" s="37"/>
      <c r="H92" s="38"/>
      <c r="I92" s="281" t="s">
        <v>397</v>
      </c>
      <c r="J92" s="218" t="s">
        <v>398</v>
      </c>
      <c r="K92" s="46">
        <v>1</v>
      </c>
      <c r="L92" s="709"/>
      <c r="M92" s="704"/>
      <c r="N92" s="47">
        <f>ROUND((ROUND((_11_A通院２増５．５*_11・２人),0)*_11・初任),0)</f>
        <v>531</v>
      </c>
      <c r="O92" s="48"/>
    </row>
    <row r="93" spans="1:15" ht="16.5" customHeight="1" x14ac:dyDescent="0.15">
      <c r="A93" s="41">
        <v>11</v>
      </c>
      <c r="B93" s="41" t="s">
        <v>14293</v>
      </c>
      <c r="C93" s="74" t="s">
        <v>14294</v>
      </c>
      <c r="D93" s="72"/>
      <c r="F93" s="752" t="s">
        <v>400</v>
      </c>
      <c r="G93" s="221" t="s">
        <v>398</v>
      </c>
      <c r="H93" s="50">
        <v>0.9</v>
      </c>
      <c r="I93" s="163"/>
      <c r="J93" s="45"/>
      <c r="K93" s="46"/>
      <c r="L93" s="709"/>
      <c r="M93" s="704"/>
      <c r="N93" s="47">
        <f>ROUND((ROUND((_11_A通院２増５．５*_11・基礎２),0)*_11・初任),0)</f>
        <v>478</v>
      </c>
      <c r="O93" s="48"/>
    </row>
    <row r="94" spans="1:15" ht="16.5" customHeight="1" x14ac:dyDescent="0.15">
      <c r="A94" s="41">
        <v>11</v>
      </c>
      <c r="B94" s="41" t="s">
        <v>14295</v>
      </c>
      <c r="C94" s="74" t="s">
        <v>14296</v>
      </c>
      <c r="D94" s="72"/>
      <c r="F94" s="711"/>
      <c r="G94" s="37"/>
      <c r="H94" s="38"/>
      <c r="I94" s="281" t="s">
        <v>397</v>
      </c>
      <c r="J94" s="218" t="s">
        <v>398</v>
      </c>
      <c r="K94" s="46">
        <v>1</v>
      </c>
      <c r="L94" s="240" t="s">
        <v>398</v>
      </c>
      <c r="M94" s="38">
        <f>_11・初任</f>
        <v>0.7</v>
      </c>
      <c r="N94" s="47">
        <f>ROUND((ROUND((ROUND((_11_A通院２増５．５*_11・基礎２),0)*_11・２人),0)*_11・初任),0)</f>
        <v>478</v>
      </c>
      <c r="O94" s="48"/>
    </row>
    <row r="95" spans="1:15" ht="16.5" customHeight="1" x14ac:dyDescent="0.15">
      <c r="A95" s="41">
        <v>11</v>
      </c>
      <c r="B95" s="41">
        <v>7427</v>
      </c>
      <c r="C95" s="74" t="s">
        <v>14297</v>
      </c>
      <c r="D95" s="707" t="s">
        <v>542</v>
      </c>
      <c r="E95" s="798"/>
      <c r="F95" s="53"/>
      <c r="G95" s="49"/>
      <c r="H95" s="50"/>
      <c r="I95" s="163"/>
      <c r="J95" s="45"/>
      <c r="K95" s="46"/>
      <c r="L95" s="53"/>
      <c r="M95" s="50"/>
      <c r="N95" s="47">
        <f>_11_A通院２増６．０</f>
        <v>828</v>
      </c>
      <c r="O95" s="48"/>
    </row>
    <row r="96" spans="1:15" ht="16.5" customHeight="1" x14ac:dyDescent="0.15">
      <c r="A96" s="41">
        <v>11</v>
      </c>
      <c r="B96" s="41">
        <v>7428</v>
      </c>
      <c r="C96" s="74" t="s">
        <v>14298</v>
      </c>
      <c r="D96" s="799"/>
      <c r="E96" s="796"/>
      <c r="F96" s="43"/>
      <c r="G96" s="37"/>
      <c r="H96" s="38"/>
      <c r="I96" s="281" t="s">
        <v>397</v>
      </c>
      <c r="J96" s="218" t="s">
        <v>398</v>
      </c>
      <c r="K96" s="46">
        <v>1</v>
      </c>
      <c r="L96" s="35"/>
      <c r="N96" s="47">
        <f>ROUND((_11_A通院２増６．０*_11・２人),0)</f>
        <v>828</v>
      </c>
      <c r="O96" s="48"/>
    </row>
    <row r="97" spans="1:15" ht="16.5" customHeight="1" x14ac:dyDescent="0.15">
      <c r="A97" s="41">
        <v>11</v>
      </c>
      <c r="B97" s="41">
        <v>7429</v>
      </c>
      <c r="C97" s="74" t="s">
        <v>14299</v>
      </c>
      <c r="D97" s="799"/>
      <c r="E97" s="796"/>
      <c r="F97" s="752" t="s">
        <v>400</v>
      </c>
      <c r="G97" s="221" t="s">
        <v>398</v>
      </c>
      <c r="H97" s="50">
        <v>0.9</v>
      </c>
      <c r="I97" s="163"/>
      <c r="J97" s="45"/>
      <c r="K97" s="46"/>
      <c r="L97" s="35"/>
      <c r="N97" s="47">
        <f>ROUND((_11_A通院２増６．０*_11・基礎２),0)</f>
        <v>745</v>
      </c>
      <c r="O97" s="48"/>
    </row>
    <row r="98" spans="1:15" ht="16.5" customHeight="1" x14ac:dyDescent="0.15">
      <c r="A98" s="41">
        <v>11</v>
      </c>
      <c r="B98" s="41">
        <v>7430</v>
      </c>
      <c r="C98" s="74" t="s">
        <v>14300</v>
      </c>
      <c r="D98" s="274">
        <f>_11_A通院２増６．０</f>
        <v>828</v>
      </c>
      <c r="E98" s="10" t="s">
        <v>392</v>
      </c>
      <c r="F98" s="711"/>
      <c r="G98" s="37"/>
      <c r="H98" s="38"/>
      <c r="I98" s="281" t="s">
        <v>397</v>
      </c>
      <c r="J98" s="218" t="s">
        <v>398</v>
      </c>
      <c r="K98" s="46">
        <v>1</v>
      </c>
      <c r="L98" s="35"/>
      <c r="N98" s="47">
        <f>ROUND((ROUND((_11_A通院２増６．０*_11・基礎２),0)*_11・２人),0)</f>
        <v>745</v>
      </c>
      <c r="O98" s="48"/>
    </row>
    <row r="99" spans="1:15" ht="16.5" customHeight="1" x14ac:dyDescent="0.15">
      <c r="A99" s="41">
        <v>11</v>
      </c>
      <c r="B99" s="41" t="s">
        <v>14301</v>
      </c>
      <c r="C99" s="74" t="s">
        <v>14302</v>
      </c>
      <c r="D99" s="72"/>
      <c r="F99" s="53"/>
      <c r="G99" s="49"/>
      <c r="H99" s="50"/>
      <c r="I99" s="163"/>
      <c r="J99" s="45"/>
      <c r="K99" s="46"/>
      <c r="L99" s="707" t="s">
        <v>404</v>
      </c>
      <c r="M99" s="708"/>
      <c r="N99" s="47">
        <f>ROUND((_11_A通院２増６．０*_11・初任),0)</f>
        <v>580</v>
      </c>
      <c r="O99" s="48"/>
    </row>
    <row r="100" spans="1:15" ht="16.5" customHeight="1" x14ac:dyDescent="0.15">
      <c r="A100" s="41">
        <v>11</v>
      </c>
      <c r="B100" s="41" t="s">
        <v>14303</v>
      </c>
      <c r="C100" s="74" t="s">
        <v>14304</v>
      </c>
      <c r="D100" s="72"/>
      <c r="F100" s="43"/>
      <c r="G100" s="37"/>
      <c r="H100" s="38"/>
      <c r="I100" s="281" t="s">
        <v>397</v>
      </c>
      <c r="J100" s="218" t="s">
        <v>398</v>
      </c>
      <c r="K100" s="46">
        <v>1</v>
      </c>
      <c r="L100" s="709"/>
      <c r="M100" s="704"/>
      <c r="N100" s="47">
        <f>ROUND((ROUND((_11_A通院２増６．０*_11・２人),0)*_11・初任),0)</f>
        <v>580</v>
      </c>
      <c r="O100" s="48"/>
    </row>
    <row r="101" spans="1:15" ht="16.5" customHeight="1" x14ac:dyDescent="0.15">
      <c r="A101" s="41">
        <v>11</v>
      </c>
      <c r="B101" s="41" t="s">
        <v>14305</v>
      </c>
      <c r="C101" s="74" t="s">
        <v>14306</v>
      </c>
      <c r="D101" s="72"/>
      <c r="F101" s="752" t="s">
        <v>400</v>
      </c>
      <c r="G101" s="221" t="s">
        <v>398</v>
      </c>
      <c r="H101" s="50">
        <v>0.9</v>
      </c>
      <c r="I101" s="163"/>
      <c r="J101" s="45"/>
      <c r="K101" s="46"/>
      <c r="L101" s="709"/>
      <c r="M101" s="704"/>
      <c r="N101" s="47">
        <f>ROUND((ROUND((_11_A通院２増６．０*_11・基礎２),0)*_11・初任),0)</f>
        <v>522</v>
      </c>
      <c r="O101" s="48"/>
    </row>
    <row r="102" spans="1:15" ht="16.5" customHeight="1" x14ac:dyDescent="0.15">
      <c r="A102" s="41">
        <v>11</v>
      </c>
      <c r="B102" s="41" t="s">
        <v>14307</v>
      </c>
      <c r="C102" s="74" t="s">
        <v>14308</v>
      </c>
      <c r="D102" s="72"/>
      <c r="F102" s="711"/>
      <c r="G102" s="37"/>
      <c r="H102" s="38"/>
      <c r="I102" s="281" t="s">
        <v>397</v>
      </c>
      <c r="J102" s="218" t="s">
        <v>398</v>
      </c>
      <c r="K102" s="46">
        <v>1</v>
      </c>
      <c r="L102" s="240" t="s">
        <v>398</v>
      </c>
      <c r="M102" s="38">
        <f>_11・初任</f>
        <v>0.7</v>
      </c>
      <c r="N102" s="47">
        <f>ROUND((ROUND((ROUND((_11_A通院２増６．０*_11・基礎２),0)*_11・２人),0)*_11・初任),0)</f>
        <v>522</v>
      </c>
      <c r="O102" s="48"/>
    </row>
    <row r="103" spans="1:15" ht="16.5" customHeight="1" x14ac:dyDescent="0.15">
      <c r="A103" s="41">
        <v>11</v>
      </c>
      <c r="B103" s="41">
        <v>7431</v>
      </c>
      <c r="C103" s="74" t="s">
        <v>14309</v>
      </c>
      <c r="D103" s="707" t="s">
        <v>555</v>
      </c>
      <c r="E103" s="798"/>
      <c r="F103" s="53"/>
      <c r="G103" s="49"/>
      <c r="H103" s="50"/>
      <c r="I103" s="163"/>
      <c r="J103" s="45"/>
      <c r="K103" s="46"/>
      <c r="L103" s="53"/>
      <c r="M103" s="50"/>
      <c r="N103" s="47">
        <f>_11_A通院２増６．５</f>
        <v>897</v>
      </c>
      <c r="O103" s="48"/>
    </row>
    <row r="104" spans="1:15" ht="16.5" customHeight="1" x14ac:dyDescent="0.15">
      <c r="A104" s="41">
        <v>11</v>
      </c>
      <c r="B104" s="41">
        <v>7432</v>
      </c>
      <c r="C104" s="74" t="s">
        <v>14310</v>
      </c>
      <c r="D104" s="799"/>
      <c r="E104" s="796"/>
      <c r="F104" s="43"/>
      <c r="G104" s="37"/>
      <c r="H104" s="38"/>
      <c r="I104" s="281" t="s">
        <v>397</v>
      </c>
      <c r="J104" s="218" t="s">
        <v>398</v>
      </c>
      <c r="K104" s="46">
        <v>1</v>
      </c>
      <c r="L104" s="35"/>
      <c r="N104" s="47">
        <f>ROUND((_11_A通院２増６．５*_11・２人),0)</f>
        <v>897</v>
      </c>
      <c r="O104" s="48"/>
    </row>
    <row r="105" spans="1:15" ht="16.5" customHeight="1" x14ac:dyDescent="0.15">
      <c r="A105" s="41">
        <v>11</v>
      </c>
      <c r="B105" s="41">
        <v>7433</v>
      </c>
      <c r="C105" s="74" t="s">
        <v>14311</v>
      </c>
      <c r="D105" s="799"/>
      <c r="E105" s="796"/>
      <c r="F105" s="752" t="s">
        <v>400</v>
      </c>
      <c r="G105" s="221" t="s">
        <v>398</v>
      </c>
      <c r="H105" s="50">
        <v>0.9</v>
      </c>
      <c r="I105" s="163"/>
      <c r="J105" s="45"/>
      <c r="K105" s="46"/>
      <c r="L105" s="35"/>
      <c r="N105" s="47">
        <f>ROUND((_11_A通院２増６．５*_11・基礎２),0)</f>
        <v>807</v>
      </c>
      <c r="O105" s="48"/>
    </row>
    <row r="106" spans="1:15" ht="16.5" customHeight="1" x14ac:dyDescent="0.15">
      <c r="A106" s="41">
        <v>11</v>
      </c>
      <c r="B106" s="41">
        <v>7434</v>
      </c>
      <c r="C106" s="74" t="s">
        <v>14312</v>
      </c>
      <c r="D106" s="274">
        <f>_11_A通院２増６．５</f>
        <v>897</v>
      </c>
      <c r="E106" s="10" t="s">
        <v>392</v>
      </c>
      <c r="F106" s="711"/>
      <c r="G106" s="37"/>
      <c r="H106" s="38"/>
      <c r="I106" s="281" t="s">
        <v>397</v>
      </c>
      <c r="J106" s="218" t="s">
        <v>398</v>
      </c>
      <c r="K106" s="46">
        <v>1</v>
      </c>
      <c r="L106" s="35"/>
      <c r="N106" s="47">
        <f>ROUND((ROUND((_11_A通院２増６．５*_11・基礎２),0)*_11・２人),0)</f>
        <v>807</v>
      </c>
      <c r="O106" s="48"/>
    </row>
    <row r="107" spans="1:15" ht="16.5" customHeight="1" x14ac:dyDescent="0.15">
      <c r="A107" s="41">
        <v>11</v>
      </c>
      <c r="B107" s="41" t="s">
        <v>14313</v>
      </c>
      <c r="C107" s="74" t="s">
        <v>14314</v>
      </c>
      <c r="D107" s="72"/>
      <c r="F107" s="53"/>
      <c r="G107" s="49"/>
      <c r="H107" s="50"/>
      <c r="I107" s="163"/>
      <c r="J107" s="45"/>
      <c r="K107" s="46"/>
      <c r="L107" s="707" t="s">
        <v>404</v>
      </c>
      <c r="M107" s="708"/>
      <c r="N107" s="47">
        <f>ROUND((_11_A通院２増６．５*_11・初任),0)</f>
        <v>628</v>
      </c>
      <c r="O107" s="48"/>
    </row>
    <row r="108" spans="1:15" ht="16.5" customHeight="1" x14ac:dyDescent="0.15">
      <c r="A108" s="41">
        <v>11</v>
      </c>
      <c r="B108" s="41" t="s">
        <v>14315</v>
      </c>
      <c r="C108" s="74" t="s">
        <v>14316</v>
      </c>
      <c r="D108" s="72"/>
      <c r="F108" s="43"/>
      <c r="G108" s="37"/>
      <c r="H108" s="38"/>
      <c r="I108" s="281" t="s">
        <v>397</v>
      </c>
      <c r="J108" s="218" t="s">
        <v>398</v>
      </c>
      <c r="K108" s="46">
        <v>1</v>
      </c>
      <c r="L108" s="709"/>
      <c r="M108" s="704"/>
      <c r="N108" s="47">
        <f>ROUND((ROUND((_11_A通院２増６．５*_11・２人),0)*_11・初任),0)</f>
        <v>628</v>
      </c>
      <c r="O108" s="48"/>
    </row>
    <row r="109" spans="1:15" ht="16.5" customHeight="1" x14ac:dyDescent="0.15">
      <c r="A109" s="41">
        <v>11</v>
      </c>
      <c r="B109" s="41" t="s">
        <v>14317</v>
      </c>
      <c r="C109" s="74" t="s">
        <v>14318</v>
      </c>
      <c r="D109" s="72"/>
      <c r="F109" s="752" t="s">
        <v>400</v>
      </c>
      <c r="G109" s="221" t="s">
        <v>398</v>
      </c>
      <c r="H109" s="50">
        <v>0.9</v>
      </c>
      <c r="I109" s="163"/>
      <c r="J109" s="45"/>
      <c r="K109" s="46"/>
      <c r="L109" s="709"/>
      <c r="M109" s="704"/>
      <c r="N109" s="47">
        <f>ROUND((ROUND((_11_A通院２増６．５*_11・基礎２),0)*_11・初任),0)</f>
        <v>565</v>
      </c>
      <c r="O109" s="48"/>
    </row>
    <row r="110" spans="1:15" ht="16.5" customHeight="1" x14ac:dyDescent="0.15">
      <c r="A110" s="41">
        <v>11</v>
      </c>
      <c r="B110" s="41" t="s">
        <v>14319</v>
      </c>
      <c r="C110" s="74" t="s">
        <v>14320</v>
      </c>
      <c r="D110" s="72"/>
      <c r="F110" s="711"/>
      <c r="G110" s="37"/>
      <c r="H110" s="38"/>
      <c r="I110" s="281" t="s">
        <v>397</v>
      </c>
      <c r="J110" s="218" t="s">
        <v>398</v>
      </c>
      <c r="K110" s="46">
        <v>1</v>
      </c>
      <c r="L110" s="240" t="s">
        <v>398</v>
      </c>
      <c r="M110" s="38">
        <f>_11・初任</f>
        <v>0.7</v>
      </c>
      <c r="N110" s="47">
        <f>ROUND((ROUND((ROUND((_11_A通院２増６．５*_11・基礎２),0)*_11・２人),0)*_11・初任),0)</f>
        <v>565</v>
      </c>
      <c r="O110" s="48"/>
    </row>
    <row r="111" spans="1:15" ht="16.5" customHeight="1" x14ac:dyDescent="0.15">
      <c r="A111" s="41">
        <v>11</v>
      </c>
      <c r="B111" s="41">
        <v>7435</v>
      </c>
      <c r="C111" s="74" t="s">
        <v>14321</v>
      </c>
      <c r="D111" s="707" t="s">
        <v>568</v>
      </c>
      <c r="E111" s="798"/>
      <c r="F111" s="53"/>
      <c r="G111" s="49"/>
      <c r="H111" s="50"/>
      <c r="I111" s="163"/>
      <c r="J111" s="45"/>
      <c r="K111" s="46"/>
      <c r="L111" s="53"/>
      <c r="M111" s="50"/>
      <c r="N111" s="47">
        <f>_11_A通院２増７．０</f>
        <v>966</v>
      </c>
      <c r="O111" s="48"/>
    </row>
    <row r="112" spans="1:15" ht="16.5" customHeight="1" x14ac:dyDescent="0.15">
      <c r="A112" s="41">
        <v>11</v>
      </c>
      <c r="B112" s="41">
        <v>7436</v>
      </c>
      <c r="C112" s="74" t="s">
        <v>14322</v>
      </c>
      <c r="D112" s="799"/>
      <c r="E112" s="796"/>
      <c r="F112" s="43"/>
      <c r="G112" s="37"/>
      <c r="H112" s="38"/>
      <c r="I112" s="281" t="s">
        <v>397</v>
      </c>
      <c r="J112" s="218" t="s">
        <v>398</v>
      </c>
      <c r="K112" s="46">
        <v>1</v>
      </c>
      <c r="L112" s="35"/>
      <c r="N112" s="47">
        <f>ROUND((_11_A通院２増７．０*_11・２人),0)</f>
        <v>966</v>
      </c>
      <c r="O112" s="48"/>
    </row>
    <row r="113" spans="1:15" ht="16.5" customHeight="1" x14ac:dyDescent="0.15">
      <c r="A113" s="41">
        <v>11</v>
      </c>
      <c r="B113" s="41">
        <v>7437</v>
      </c>
      <c r="C113" s="74" t="s">
        <v>14323</v>
      </c>
      <c r="D113" s="799"/>
      <c r="E113" s="796"/>
      <c r="F113" s="752" t="s">
        <v>400</v>
      </c>
      <c r="G113" s="221" t="s">
        <v>398</v>
      </c>
      <c r="H113" s="50">
        <v>0.9</v>
      </c>
      <c r="I113" s="163"/>
      <c r="J113" s="45"/>
      <c r="K113" s="46"/>
      <c r="L113" s="35"/>
      <c r="N113" s="47">
        <f>ROUND((_11_A通院２増７．０*_11・基礎２),0)</f>
        <v>869</v>
      </c>
      <c r="O113" s="48"/>
    </row>
    <row r="114" spans="1:15" ht="16.5" customHeight="1" x14ac:dyDescent="0.15">
      <c r="A114" s="41">
        <v>11</v>
      </c>
      <c r="B114" s="41">
        <v>7438</v>
      </c>
      <c r="C114" s="74" t="s">
        <v>14324</v>
      </c>
      <c r="D114" s="274">
        <f>_11_A通院２増７．０</f>
        <v>966</v>
      </c>
      <c r="E114" s="10" t="s">
        <v>392</v>
      </c>
      <c r="F114" s="711"/>
      <c r="G114" s="37"/>
      <c r="H114" s="38"/>
      <c r="I114" s="281" t="s">
        <v>397</v>
      </c>
      <c r="J114" s="218" t="s">
        <v>398</v>
      </c>
      <c r="K114" s="46">
        <v>1</v>
      </c>
      <c r="L114" s="35"/>
      <c r="N114" s="47">
        <f>ROUND((ROUND((_11_A通院２増７．０*_11・基礎２),0)*_11・２人),0)</f>
        <v>869</v>
      </c>
      <c r="O114" s="48"/>
    </row>
    <row r="115" spans="1:15" ht="16.5" customHeight="1" x14ac:dyDescent="0.15">
      <c r="A115" s="41">
        <v>11</v>
      </c>
      <c r="B115" s="41" t="s">
        <v>14325</v>
      </c>
      <c r="C115" s="74" t="s">
        <v>14326</v>
      </c>
      <c r="D115" s="72"/>
      <c r="F115" s="53"/>
      <c r="G115" s="49"/>
      <c r="H115" s="50"/>
      <c r="I115" s="163"/>
      <c r="J115" s="45"/>
      <c r="K115" s="46"/>
      <c r="L115" s="707" t="s">
        <v>404</v>
      </c>
      <c r="M115" s="708"/>
      <c r="N115" s="47">
        <f>ROUND((_11_A通院２増７．０*_11・初任),0)</f>
        <v>676</v>
      </c>
      <c r="O115" s="48"/>
    </row>
    <row r="116" spans="1:15" ht="16.5" customHeight="1" x14ac:dyDescent="0.15">
      <c r="A116" s="41">
        <v>11</v>
      </c>
      <c r="B116" s="41" t="s">
        <v>14327</v>
      </c>
      <c r="C116" s="74" t="s">
        <v>14328</v>
      </c>
      <c r="D116" s="72"/>
      <c r="F116" s="43"/>
      <c r="G116" s="37"/>
      <c r="H116" s="38"/>
      <c r="I116" s="281" t="s">
        <v>397</v>
      </c>
      <c r="J116" s="218" t="s">
        <v>398</v>
      </c>
      <c r="K116" s="46">
        <v>1</v>
      </c>
      <c r="L116" s="709"/>
      <c r="M116" s="704"/>
      <c r="N116" s="47">
        <f>ROUND((ROUND((_11_A通院２増７．０*_11・２人),0)*_11・初任),0)</f>
        <v>676</v>
      </c>
      <c r="O116" s="48"/>
    </row>
    <row r="117" spans="1:15" ht="16.5" customHeight="1" x14ac:dyDescent="0.15">
      <c r="A117" s="41">
        <v>11</v>
      </c>
      <c r="B117" s="41" t="s">
        <v>14329</v>
      </c>
      <c r="C117" s="74" t="s">
        <v>14330</v>
      </c>
      <c r="D117" s="72"/>
      <c r="F117" s="752" t="s">
        <v>400</v>
      </c>
      <c r="G117" s="221" t="s">
        <v>398</v>
      </c>
      <c r="H117" s="50">
        <v>0.9</v>
      </c>
      <c r="I117" s="163"/>
      <c r="J117" s="45"/>
      <c r="K117" s="46"/>
      <c r="L117" s="709"/>
      <c r="M117" s="704"/>
      <c r="N117" s="47">
        <f>ROUND((ROUND((_11_A通院２増７．０*_11・基礎２),0)*_11・初任),0)</f>
        <v>608</v>
      </c>
      <c r="O117" s="48"/>
    </row>
    <row r="118" spans="1:15" ht="16.5" customHeight="1" x14ac:dyDescent="0.15">
      <c r="A118" s="41">
        <v>11</v>
      </c>
      <c r="B118" s="41" t="s">
        <v>14331</v>
      </c>
      <c r="C118" s="74" t="s">
        <v>14332</v>
      </c>
      <c r="D118" s="72"/>
      <c r="F118" s="711"/>
      <c r="G118" s="37"/>
      <c r="H118" s="38"/>
      <c r="I118" s="281" t="s">
        <v>397</v>
      </c>
      <c r="J118" s="218" t="s">
        <v>398</v>
      </c>
      <c r="K118" s="46">
        <v>1</v>
      </c>
      <c r="L118" s="240" t="s">
        <v>398</v>
      </c>
      <c r="M118" s="38">
        <f>_11・初任</f>
        <v>0.7</v>
      </c>
      <c r="N118" s="47">
        <f>ROUND((ROUND((ROUND((_11_A通院２増７．０*_11・基礎２),0)*_11・２人),0)*_11・初任),0)</f>
        <v>608</v>
      </c>
      <c r="O118" s="48"/>
    </row>
    <row r="119" spans="1:15" ht="16.5" customHeight="1" x14ac:dyDescent="0.15">
      <c r="A119" s="41">
        <v>11</v>
      </c>
      <c r="B119" s="41">
        <v>7439</v>
      </c>
      <c r="C119" s="74" t="s">
        <v>14333</v>
      </c>
      <c r="D119" s="707" t="s">
        <v>581</v>
      </c>
      <c r="E119" s="798"/>
      <c r="F119" s="53"/>
      <c r="G119" s="49"/>
      <c r="H119" s="50"/>
      <c r="I119" s="163"/>
      <c r="J119" s="45"/>
      <c r="K119" s="46"/>
      <c r="L119" s="53"/>
      <c r="M119" s="50"/>
      <c r="N119" s="47">
        <f>_11_A通院２増７．５</f>
        <v>1035</v>
      </c>
      <c r="O119" s="48"/>
    </row>
    <row r="120" spans="1:15" ht="16.5" customHeight="1" x14ac:dyDescent="0.15">
      <c r="A120" s="41">
        <v>11</v>
      </c>
      <c r="B120" s="41">
        <v>7440</v>
      </c>
      <c r="C120" s="74" t="s">
        <v>14334</v>
      </c>
      <c r="D120" s="799"/>
      <c r="E120" s="796"/>
      <c r="F120" s="43"/>
      <c r="G120" s="37"/>
      <c r="H120" s="38"/>
      <c r="I120" s="281" t="s">
        <v>397</v>
      </c>
      <c r="J120" s="218" t="s">
        <v>398</v>
      </c>
      <c r="K120" s="46">
        <v>1</v>
      </c>
      <c r="L120" s="35"/>
      <c r="N120" s="47">
        <f>ROUND((_11_A通院２増７．５*_11・２人),0)</f>
        <v>1035</v>
      </c>
      <c r="O120" s="48"/>
    </row>
    <row r="121" spans="1:15" ht="16.5" customHeight="1" x14ac:dyDescent="0.15">
      <c r="A121" s="41">
        <v>11</v>
      </c>
      <c r="B121" s="41">
        <v>7441</v>
      </c>
      <c r="C121" s="74" t="s">
        <v>14335</v>
      </c>
      <c r="D121" s="799"/>
      <c r="E121" s="796"/>
      <c r="F121" s="752" t="s">
        <v>400</v>
      </c>
      <c r="G121" s="221" t="s">
        <v>398</v>
      </c>
      <c r="H121" s="50">
        <v>0.9</v>
      </c>
      <c r="I121" s="163"/>
      <c r="J121" s="45"/>
      <c r="K121" s="46"/>
      <c r="L121" s="35"/>
      <c r="N121" s="47">
        <f>ROUND((_11_A通院２増７．５*_11・基礎２),0)</f>
        <v>932</v>
      </c>
      <c r="O121" s="48"/>
    </row>
    <row r="122" spans="1:15" ht="16.5" customHeight="1" x14ac:dyDescent="0.15">
      <c r="A122" s="41">
        <v>11</v>
      </c>
      <c r="B122" s="41">
        <v>7442</v>
      </c>
      <c r="C122" s="74" t="s">
        <v>14336</v>
      </c>
      <c r="D122" s="274">
        <f>_11_A通院２増７．５</f>
        <v>1035</v>
      </c>
      <c r="E122" s="10" t="s">
        <v>392</v>
      </c>
      <c r="F122" s="711"/>
      <c r="G122" s="37"/>
      <c r="H122" s="38"/>
      <c r="I122" s="281" t="s">
        <v>397</v>
      </c>
      <c r="J122" s="218" t="s">
        <v>398</v>
      </c>
      <c r="K122" s="46">
        <v>1</v>
      </c>
      <c r="L122" s="35"/>
      <c r="N122" s="47">
        <f>ROUND((ROUND((_11_A通院２増７．５*_11・基礎２),0)*_11・２人),0)</f>
        <v>932</v>
      </c>
      <c r="O122" s="48"/>
    </row>
    <row r="123" spans="1:15" ht="16.5" customHeight="1" x14ac:dyDescent="0.15">
      <c r="A123" s="41">
        <v>11</v>
      </c>
      <c r="B123" s="41" t="s">
        <v>14337</v>
      </c>
      <c r="C123" s="74" t="s">
        <v>14338</v>
      </c>
      <c r="D123" s="72"/>
      <c r="F123" s="53"/>
      <c r="G123" s="49"/>
      <c r="H123" s="50"/>
      <c r="I123" s="163"/>
      <c r="J123" s="45"/>
      <c r="K123" s="46"/>
      <c r="L123" s="707" t="s">
        <v>404</v>
      </c>
      <c r="M123" s="708"/>
      <c r="N123" s="47">
        <f>ROUND((_11_A通院２増７．５*_11・初任),0)</f>
        <v>725</v>
      </c>
      <c r="O123" s="48"/>
    </row>
    <row r="124" spans="1:15" ht="16.5" customHeight="1" x14ac:dyDescent="0.15">
      <c r="A124" s="41">
        <v>11</v>
      </c>
      <c r="B124" s="41" t="s">
        <v>14339</v>
      </c>
      <c r="C124" s="74" t="s">
        <v>14340</v>
      </c>
      <c r="D124" s="72"/>
      <c r="F124" s="43"/>
      <c r="G124" s="37"/>
      <c r="H124" s="38"/>
      <c r="I124" s="281" t="s">
        <v>397</v>
      </c>
      <c r="J124" s="218" t="s">
        <v>398</v>
      </c>
      <c r="K124" s="46">
        <v>1</v>
      </c>
      <c r="L124" s="709"/>
      <c r="M124" s="704"/>
      <c r="N124" s="47">
        <f>ROUND((ROUND((_11_A通院２増７．５*_11・２人),0)*_11・初任),0)</f>
        <v>725</v>
      </c>
      <c r="O124" s="48"/>
    </row>
    <row r="125" spans="1:15" ht="16.5" customHeight="1" x14ac:dyDescent="0.15">
      <c r="A125" s="41">
        <v>11</v>
      </c>
      <c r="B125" s="41" t="s">
        <v>14341</v>
      </c>
      <c r="C125" s="74" t="s">
        <v>14342</v>
      </c>
      <c r="D125" s="72"/>
      <c r="F125" s="752" t="s">
        <v>400</v>
      </c>
      <c r="G125" s="221" t="s">
        <v>398</v>
      </c>
      <c r="H125" s="50">
        <v>0.9</v>
      </c>
      <c r="I125" s="163"/>
      <c r="J125" s="45"/>
      <c r="K125" s="46"/>
      <c r="L125" s="709"/>
      <c r="M125" s="704"/>
      <c r="N125" s="47">
        <f>ROUND((ROUND((_11_A通院２増７．５*_11・基礎２),0)*_11・初任),0)</f>
        <v>652</v>
      </c>
      <c r="O125" s="48"/>
    </row>
    <row r="126" spans="1:15" ht="16.5" customHeight="1" x14ac:dyDescent="0.15">
      <c r="A126" s="41">
        <v>11</v>
      </c>
      <c r="B126" s="41" t="s">
        <v>14343</v>
      </c>
      <c r="C126" s="74" t="s">
        <v>14344</v>
      </c>
      <c r="D126" s="72"/>
      <c r="F126" s="711"/>
      <c r="G126" s="37"/>
      <c r="H126" s="38"/>
      <c r="I126" s="281" t="s">
        <v>397</v>
      </c>
      <c r="J126" s="218" t="s">
        <v>398</v>
      </c>
      <c r="K126" s="46">
        <v>1</v>
      </c>
      <c r="L126" s="240" t="s">
        <v>398</v>
      </c>
      <c r="M126" s="38">
        <f>_11・初任</f>
        <v>0.7</v>
      </c>
      <c r="N126" s="47">
        <f>ROUND((ROUND((ROUND((_11_A通院２増７．５*_11・基礎２),0)*_11・２人),0)*_11・初任),0)</f>
        <v>652</v>
      </c>
      <c r="O126" s="48"/>
    </row>
    <row r="127" spans="1:15" ht="16.5" customHeight="1" x14ac:dyDescent="0.15">
      <c r="A127" s="41">
        <v>11</v>
      </c>
      <c r="B127" s="41">
        <v>7443</v>
      </c>
      <c r="C127" s="74" t="s">
        <v>14345</v>
      </c>
      <c r="D127" s="707" t="s">
        <v>594</v>
      </c>
      <c r="E127" s="798"/>
      <c r="F127" s="53"/>
      <c r="G127" s="49"/>
      <c r="H127" s="50"/>
      <c r="I127" s="163"/>
      <c r="J127" s="45"/>
      <c r="K127" s="46"/>
      <c r="L127" s="53"/>
      <c r="M127" s="50"/>
      <c r="N127" s="47">
        <f>_11_A通院２増８．０</f>
        <v>1104</v>
      </c>
      <c r="O127" s="48"/>
    </row>
    <row r="128" spans="1:15" ht="16.5" customHeight="1" x14ac:dyDescent="0.15">
      <c r="A128" s="41">
        <v>11</v>
      </c>
      <c r="B128" s="41">
        <v>7444</v>
      </c>
      <c r="C128" s="74" t="s">
        <v>14346</v>
      </c>
      <c r="D128" s="799"/>
      <c r="E128" s="796"/>
      <c r="F128" s="43"/>
      <c r="G128" s="37"/>
      <c r="H128" s="38"/>
      <c r="I128" s="281" t="s">
        <v>397</v>
      </c>
      <c r="J128" s="218" t="s">
        <v>398</v>
      </c>
      <c r="K128" s="46">
        <v>1</v>
      </c>
      <c r="L128" s="35"/>
      <c r="N128" s="47">
        <f>ROUND((_11_A通院２増８．０*_11・２人),0)</f>
        <v>1104</v>
      </c>
      <c r="O128" s="48"/>
    </row>
    <row r="129" spans="1:15" ht="16.5" customHeight="1" x14ac:dyDescent="0.15">
      <c r="A129" s="41">
        <v>11</v>
      </c>
      <c r="B129" s="41">
        <v>7445</v>
      </c>
      <c r="C129" s="74" t="s">
        <v>14347</v>
      </c>
      <c r="D129" s="799"/>
      <c r="E129" s="796"/>
      <c r="F129" s="752" t="s">
        <v>400</v>
      </c>
      <c r="G129" s="221" t="s">
        <v>398</v>
      </c>
      <c r="H129" s="50">
        <v>0.9</v>
      </c>
      <c r="I129" s="163"/>
      <c r="J129" s="45"/>
      <c r="K129" s="46"/>
      <c r="L129" s="35"/>
      <c r="N129" s="47">
        <f>ROUND((_11_A通院２増８．０*_11・基礎２),0)</f>
        <v>994</v>
      </c>
      <c r="O129" s="48"/>
    </row>
    <row r="130" spans="1:15" ht="16.5" customHeight="1" x14ac:dyDescent="0.15">
      <c r="A130" s="41">
        <v>11</v>
      </c>
      <c r="B130" s="41">
        <v>7446</v>
      </c>
      <c r="C130" s="74" t="s">
        <v>14348</v>
      </c>
      <c r="D130" s="274">
        <f>_11_A通院２増８．０</f>
        <v>1104</v>
      </c>
      <c r="E130" s="10" t="s">
        <v>392</v>
      </c>
      <c r="F130" s="711"/>
      <c r="G130" s="37"/>
      <c r="H130" s="38"/>
      <c r="I130" s="281" t="s">
        <v>397</v>
      </c>
      <c r="J130" s="218" t="s">
        <v>398</v>
      </c>
      <c r="K130" s="46">
        <v>1</v>
      </c>
      <c r="L130" s="35"/>
      <c r="N130" s="47">
        <f>ROUND((ROUND((_11_A通院２増８．０*_11・基礎２),0)*_11・２人),0)</f>
        <v>994</v>
      </c>
      <c r="O130" s="48"/>
    </row>
    <row r="131" spans="1:15" ht="16.5" customHeight="1" x14ac:dyDescent="0.15">
      <c r="A131" s="41">
        <v>11</v>
      </c>
      <c r="B131" s="41" t="s">
        <v>14349</v>
      </c>
      <c r="C131" s="74" t="s">
        <v>14350</v>
      </c>
      <c r="D131" s="72"/>
      <c r="F131" s="53"/>
      <c r="G131" s="49"/>
      <c r="H131" s="50"/>
      <c r="I131" s="163"/>
      <c r="J131" s="45"/>
      <c r="K131" s="46"/>
      <c r="L131" s="707" t="s">
        <v>404</v>
      </c>
      <c r="M131" s="708"/>
      <c r="N131" s="47">
        <f>ROUND((_11_A通院２増８．０*_11・初任),0)</f>
        <v>773</v>
      </c>
      <c r="O131" s="48"/>
    </row>
    <row r="132" spans="1:15" ht="16.5" customHeight="1" x14ac:dyDescent="0.15">
      <c r="A132" s="41">
        <v>11</v>
      </c>
      <c r="B132" s="41" t="s">
        <v>14351</v>
      </c>
      <c r="C132" s="74" t="s">
        <v>14352</v>
      </c>
      <c r="D132" s="72"/>
      <c r="F132" s="43"/>
      <c r="G132" s="37"/>
      <c r="H132" s="38"/>
      <c r="I132" s="281" t="s">
        <v>397</v>
      </c>
      <c r="J132" s="218" t="s">
        <v>398</v>
      </c>
      <c r="K132" s="46">
        <v>1</v>
      </c>
      <c r="L132" s="709"/>
      <c r="M132" s="704"/>
      <c r="N132" s="47">
        <f>ROUND((ROUND((_11_A通院２増８．０*_11・２人),0)*_11・初任),0)</f>
        <v>773</v>
      </c>
      <c r="O132" s="48"/>
    </row>
    <row r="133" spans="1:15" ht="16.5" customHeight="1" x14ac:dyDescent="0.15">
      <c r="A133" s="41">
        <v>11</v>
      </c>
      <c r="B133" s="41" t="s">
        <v>14353</v>
      </c>
      <c r="C133" s="74" t="s">
        <v>14354</v>
      </c>
      <c r="D133" s="72"/>
      <c r="F133" s="752" t="s">
        <v>400</v>
      </c>
      <c r="G133" s="221" t="s">
        <v>398</v>
      </c>
      <c r="H133" s="50">
        <v>0.9</v>
      </c>
      <c r="I133" s="163"/>
      <c r="J133" s="45"/>
      <c r="K133" s="46"/>
      <c r="L133" s="709"/>
      <c r="M133" s="704"/>
      <c r="N133" s="47">
        <f>ROUND((ROUND((_11_A通院２増８．０*_11・基礎２),0)*_11・初任),0)</f>
        <v>696</v>
      </c>
      <c r="O133" s="48"/>
    </row>
    <row r="134" spans="1:15" ht="16.5" customHeight="1" x14ac:dyDescent="0.15">
      <c r="A134" s="41">
        <v>11</v>
      </c>
      <c r="B134" s="41" t="s">
        <v>14355</v>
      </c>
      <c r="C134" s="74" t="s">
        <v>14356</v>
      </c>
      <c r="D134" s="72"/>
      <c r="F134" s="711"/>
      <c r="G134" s="37"/>
      <c r="H134" s="38"/>
      <c r="I134" s="281" t="s">
        <v>397</v>
      </c>
      <c r="J134" s="218" t="s">
        <v>398</v>
      </c>
      <c r="K134" s="46">
        <v>1</v>
      </c>
      <c r="L134" s="240" t="s">
        <v>398</v>
      </c>
      <c r="M134" s="38">
        <f>_11・初任</f>
        <v>0.7</v>
      </c>
      <c r="N134" s="47">
        <f>ROUND((ROUND((ROUND((_11_A通院２増８．０*_11・基礎２),0)*_11・２人),0)*_11・初任),0)</f>
        <v>696</v>
      </c>
      <c r="O134" s="48"/>
    </row>
    <row r="135" spans="1:15" ht="16.5" customHeight="1" x14ac:dyDescent="0.15">
      <c r="A135" s="41">
        <v>11</v>
      </c>
      <c r="B135" s="41">
        <v>7447</v>
      </c>
      <c r="C135" s="74" t="s">
        <v>14357</v>
      </c>
      <c r="D135" s="707" t="s">
        <v>607</v>
      </c>
      <c r="E135" s="798"/>
      <c r="F135" s="53"/>
      <c r="G135" s="49"/>
      <c r="H135" s="50"/>
      <c r="I135" s="163"/>
      <c r="J135" s="45"/>
      <c r="K135" s="46"/>
      <c r="L135" s="53"/>
      <c r="M135" s="50"/>
      <c r="N135" s="47">
        <f>_11_A通院２増８．５</f>
        <v>1173</v>
      </c>
      <c r="O135" s="48"/>
    </row>
    <row r="136" spans="1:15" ht="16.5" customHeight="1" x14ac:dyDescent="0.15">
      <c r="A136" s="41">
        <v>11</v>
      </c>
      <c r="B136" s="41">
        <v>7448</v>
      </c>
      <c r="C136" s="74" t="s">
        <v>14358</v>
      </c>
      <c r="D136" s="799"/>
      <c r="E136" s="796"/>
      <c r="F136" s="43"/>
      <c r="G136" s="37"/>
      <c r="H136" s="38"/>
      <c r="I136" s="281" t="s">
        <v>397</v>
      </c>
      <c r="J136" s="218" t="s">
        <v>398</v>
      </c>
      <c r="K136" s="46">
        <v>1</v>
      </c>
      <c r="L136" s="35"/>
      <c r="N136" s="47">
        <f>ROUND((_11_A通院２増８．５*_11・２人),0)</f>
        <v>1173</v>
      </c>
      <c r="O136" s="48"/>
    </row>
    <row r="137" spans="1:15" ht="16.5" customHeight="1" x14ac:dyDescent="0.15">
      <c r="A137" s="41">
        <v>11</v>
      </c>
      <c r="B137" s="41">
        <v>7449</v>
      </c>
      <c r="C137" s="74" t="s">
        <v>14359</v>
      </c>
      <c r="D137" s="799"/>
      <c r="E137" s="796"/>
      <c r="F137" s="752" t="s">
        <v>400</v>
      </c>
      <c r="G137" s="221" t="s">
        <v>398</v>
      </c>
      <c r="H137" s="50">
        <v>0.9</v>
      </c>
      <c r="I137" s="163"/>
      <c r="J137" s="45"/>
      <c r="K137" s="46"/>
      <c r="L137" s="35"/>
      <c r="N137" s="47">
        <f>ROUND((_11_A通院２増８．５*_11・基礎２),0)</f>
        <v>1056</v>
      </c>
      <c r="O137" s="48"/>
    </row>
    <row r="138" spans="1:15" ht="16.5" customHeight="1" x14ac:dyDescent="0.15">
      <c r="A138" s="41">
        <v>11</v>
      </c>
      <c r="B138" s="41">
        <v>7450</v>
      </c>
      <c r="C138" s="74" t="s">
        <v>14360</v>
      </c>
      <c r="D138" s="274">
        <f>_11_A通院２増８．５</f>
        <v>1173</v>
      </c>
      <c r="E138" s="10" t="s">
        <v>392</v>
      </c>
      <c r="F138" s="711"/>
      <c r="G138" s="37"/>
      <c r="H138" s="38"/>
      <c r="I138" s="281" t="s">
        <v>397</v>
      </c>
      <c r="J138" s="218" t="s">
        <v>398</v>
      </c>
      <c r="K138" s="46">
        <v>1</v>
      </c>
      <c r="L138" s="35"/>
      <c r="N138" s="47">
        <f>ROUND((ROUND((_11_A通院２増８．５*_11・基礎２),0)*_11・２人),0)</f>
        <v>1056</v>
      </c>
      <c r="O138" s="48"/>
    </row>
    <row r="139" spans="1:15" ht="16.5" customHeight="1" x14ac:dyDescent="0.15">
      <c r="A139" s="41">
        <v>11</v>
      </c>
      <c r="B139" s="41" t="s">
        <v>14361</v>
      </c>
      <c r="C139" s="74" t="s">
        <v>14362</v>
      </c>
      <c r="D139" s="72"/>
      <c r="F139" s="53"/>
      <c r="G139" s="49"/>
      <c r="H139" s="50"/>
      <c r="I139" s="163"/>
      <c r="J139" s="45"/>
      <c r="K139" s="46"/>
      <c r="L139" s="707" t="s">
        <v>404</v>
      </c>
      <c r="M139" s="708"/>
      <c r="N139" s="47">
        <f>ROUND((_11_A通院２増８．５*_11・初任),0)</f>
        <v>821</v>
      </c>
      <c r="O139" s="48"/>
    </row>
    <row r="140" spans="1:15" ht="16.5" customHeight="1" x14ac:dyDescent="0.15">
      <c r="A140" s="41">
        <v>11</v>
      </c>
      <c r="B140" s="41" t="s">
        <v>14363</v>
      </c>
      <c r="C140" s="74" t="s">
        <v>14364</v>
      </c>
      <c r="D140" s="72"/>
      <c r="F140" s="43"/>
      <c r="G140" s="37"/>
      <c r="H140" s="38"/>
      <c r="I140" s="281" t="s">
        <v>397</v>
      </c>
      <c r="J140" s="218" t="s">
        <v>398</v>
      </c>
      <c r="K140" s="46">
        <v>1</v>
      </c>
      <c r="L140" s="709"/>
      <c r="M140" s="704"/>
      <c r="N140" s="47">
        <f>ROUND((ROUND((_11_A通院２増８．５*_11・２人),0)*_11・初任),0)</f>
        <v>821</v>
      </c>
      <c r="O140" s="48"/>
    </row>
    <row r="141" spans="1:15" ht="16.5" customHeight="1" x14ac:dyDescent="0.15">
      <c r="A141" s="41">
        <v>11</v>
      </c>
      <c r="B141" s="41" t="s">
        <v>14365</v>
      </c>
      <c r="C141" s="74" t="s">
        <v>14366</v>
      </c>
      <c r="D141" s="72"/>
      <c r="F141" s="752" t="s">
        <v>400</v>
      </c>
      <c r="G141" s="221" t="s">
        <v>398</v>
      </c>
      <c r="H141" s="50">
        <v>0.9</v>
      </c>
      <c r="I141" s="163"/>
      <c r="J141" s="45"/>
      <c r="K141" s="46"/>
      <c r="L141" s="709"/>
      <c r="M141" s="704"/>
      <c r="N141" s="47">
        <f>ROUND((ROUND((_11_A通院２増８．５*_11・基礎２),0)*_11・初任),0)</f>
        <v>739</v>
      </c>
      <c r="O141" s="48"/>
    </row>
    <row r="142" spans="1:15" ht="16.5" customHeight="1" x14ac:dyDescent="0.15">
      <c r="A142" s="41">
        <v>11</v>
      </c>
      <c r="B142" s="41" t="s">
        <v>14367</v>
      </c>
      <c r="C142" s="74" t="s">
        <v>14368</v>
      </c>
      <c r="D142" s="72"/>
      <c r="F142" s="711"/>
      <c r="G142" s="37"/>
      <c r="H142" s="38"/>
      <c r="I142" s="281" t="s">
        <v>397</v>
      </c>
      <c r="J142" s="218" t="s">
        <v>398</v>
      </c>
      <c r="K142" s="46">
        <v>1</v>
      </c>
      <c r="L142" s="240" t="s">
        <v>398</v>
      </c>
      <c r="M142" s="38">
        <f>_11・初任</f>
        <v>0.7</v>
      </c>
      <c r="N142" s="47">
        <f>ROUND((ROUND((ROUND((_11_A通院２増８．５*_11・基礎２),0)*_11・２人),0)*_11・初任),0)</f>
        <v>739</v>
      </c>
      <c r="O142" s="48"/>
    </row>
    <row r="143" spans="1:15" ht="16.5" customHeight="1" x14ac:dyDescent="0.15">
      <c r="A143" s="41">
        <v>11</v>
      </c>
      <c r="B143" s="41">
        <v>7451</v>
      </c>
      <c r="C143" s="74" t="s">
        <v>14369</v>
      </c>
      <c r="D143" s="707" t="s">
        <v>620</v>
      </c>
      <c r="E143" s="798"/>
      <c r="F143" s="53"/>
      <c r="G143" s="49"/>
      <c r="H143" s="50"/>
      <c r="I143" s="163"/>
      <c r="J143" s="45"/>
      <c r="K143" s="46"/>
      <c r="L143" s="53"/>
      <c r="M143" s="50"/>
      <c r="N143" s="47">
        <f>_11_A通院２増９．０</f>
        <v>1242</v>
      </c>
      <c r="O143" s="48"/>
    </row>
    <row r="144" spans="1:15" ht="16.5" customHeight="1" x14ac:dyDescent="0.15">
      <c r="A144" s="41">
        <v>11</v>
      </c>
      <c r="B144" s="41">
        <v>7452</v>
      </c>
      <c r="C144" s="74" t="s">
        <v>14370</v>
      </c>
      <c r="D144" s="799"/>
      <c r="E144" s="796"/>
      <c r="F144" s="43"/>
      <c r="G144" s="37"/>
      <c r="H144" s="38"/>
      <c r="I144" s="281" t="s">
        <v>397</v>
      </c>
      <c r="J144" s="218" t="s">
        <v>398</v>
      </c>
      <c r="K144" s="46">
        <v>1</v>
      </c>
      <c r="L144" s="35"/>
      <c r="N144" s="47">
        <f>ROUND((_11_A通院２増９．０*_11・２人),0)</f>
        <v>1242</v>
      </c>
      <c r="O144" s="48"/>
    </row>
    <row r="145" spans="1:15" ht="16.5" customHeight="1" x14ac:dyDescent="0.15">
      <c r="A145" s="41">
        <v>11</v>
      </c>
      <c r="B145" s="41">
        <v>7453</v>
      </c>
      <c r="C145" s="74" t="s">
        <v>14371</v>
      </c>
      <c r="D145" s="799"/>
      <c r="E145" s="796"/>
      <c r="F145" s="752" t="s">
        <v>400</v>
      </c>
      <c r="G145" s="221" t="s">
        <v>398</v>
      </c>
      <c r="H145" s="50">
        <v>0.9</v>
      </c>
      <c r="I145" s="163"/>
      <c r="J145" s="45"/>
      <c r="K145" s="46"/>
      <c r="L145" s="35"/>
      <c r="N145" s="47">
        <f>ROUND((_11_A通院２増９．０*_11・基礎２),0)</f>
        <v>1118</v>
      </c>
      <c r="O145" s="48"/>
    </row>
    <row r="146" spans="1:15" ht="16.5" customHeight="1" x14ac:dyDescent="0.15">
      <c r="A146" s="41">
        <v>11</v>
      </c>
      <c r="B146" s="41">
        <v>7454</v>
      </c>
      <c r="C146" s="74" t="s">
        <v>14372</v>
      </c>
      <c r="D146" s="274">
        <f>_11_A通院２増９．０</f>
        <v>1242</v>
      </c>
      <c r="E146" s="10" t="s">
        <v>392</v>
      </c>
      <c r="F146" s="711"/>
      <c r="G146" s="37"/>
      <c r="H146" s="38"/>
      <c r="I146" s="281" t="s">
        <v>397</v>
      </c>
      <c r="J146" s="218" t="s">
        <v>398</v>
      </c>
      <c r="K146" s="46">
        <v>1</v>
      </c>
      <c r="L146" s="35"/>
      <c r="N146" s="47">
        <f>ROUND((ROUND((_11_A通院２増９．０*_11・基礎２),0)*_11・２人),0)</f>
        <v>1118</v>
      </c>
      <c r="O146" s="48"/>
    </row>
    <row r="147" spans="1:15" ht="16.5" customHeight="1" x14ac:dyDescent="0.15">
      <c r="A147" s="41">
        <v>11</v>
      </c>
      <c r="B147" s="41" t="s">
        <v>14373</v>
      </c>
      <c r="C147" s="74" t="s">
        <v>14374</v>
      </c>
      <c r="D147" s="72"/>
      <c r="F147" s="53"/>
      <c r="G147" s="49"/>
      <c r="H147" s="50"/>
      <c r="I147" s="163"/>
      <c r="J147" s="45"/>
      <c r="K147" s="46"/>
      <c r="L147" s="707" t="s">
        <v>404</v>
      </c>
      <c r="M147" s="708"/>
      <c r="N147" s="47">
        <f>ROUND((_11_A通院２増９．０*_11・初任),0)</f>
        <v>869</v>
      </c>
      <c r="O147" s="48"/>
    </row>
    <row r="148" spans="1:15" ht="16.5" customHeight="1" x14ac:dyDescent="0.15">
      <c r="A148" s="41">
        <v>11</v>
      </c>
      <c r="B148" s="41" t="s">
        <v>14375</v>
      </c>
      <c r="C148" s="74" t="s">
        <v>14376</v>
      </c>
      <c r="D148" s="72"/>
      <c r="F148" s="43"/>
      <c r="G148" s="37"/>
      <c r="H148" s="38"/>
      <c r="I148" s="281" t="s">
        <v>397</v>
      </c>
      <c r="J148" s="218" t="s">
        <v>398</v>
      </c>
      <c r="K148" s="46">
        <v>1</v>
      </c>
      <c r="L148" s="709"/>
      <c r="M148" s="704"/>
      <c r="N148" s="47">
        <f>ROUND((ROUND((_11_A通院２増９．０*_11・２人),0)*_11・初任),0)</f>
        <v>869</v>
      </c>
      <c r="O148" s="48"/>
    </row>
    <row r="149" spans="1:15" ht="16.5" customHeight="1" x14ac:dyDescent="0.15">
      <c r="A149" s="41">
        <v>11</v>
      </c>
      <c r="B149" s="41" t="s">
        <v>14377</v>
      </c>
      <c r="C149" s="74" t="s">
        <v>14378</v>
      </c>
      <c r="D149" s="72"/>
      <c r="F149" s="752" t="s">
        <v>400</v>
      </c>
      <c r="G149" s="221" t="s">
        <v>398</v>
      </c>
      <c r="H149" s="50">
        <v>0.9</v>
      </c>
      <c r="I149" s="163"/>
      <c r="J149" s="45"/>
      <c r="K149" s="46"/>
      <c r="L149" s="709"/>
      <c r="M149" s="704"/>
      <c r="N149" s="47">
        <f>ROUND((ROUND((_11_A通院２増９．０*_11・基礎２),0)*_11・初任),0)</f>
        <v>783</v>
      </c>
      <c r="O149" s="48"/>
    </row>
    <row r="150" spans="1:15" ht="16.5" customHeight="1" x14ac:dyDescent="0.15">
      <c r="A150" s="41">
        <v>11</v>
      </c>
      <c r="B150" s="41" t="s">
        <v>14379</v>
      </c>
      <c r="C150" s="74" t="s">
        <v>14380</v>
      </c>
      <c r="D150" s="122"/>
      <c r="E150" s="37"/>
      <c r="F150" s="711"/>
      <c r="G150" s="37"/>
      <c r="H150" s="38"/>
      <c r="I150" s="281" t="s">
        <v>397</v>
      </c>
      <c r="J150" s="218" t="s">
        <v>398</v>
      </c>
      <c r="K150" s="46">
        <v>1</v>
      </c>
      <c r="L150" s="240" t="s">
        <v>398</v>
      </c>
      <c r="M150" s="38">
        <f>_11・初任</f>
        <v>0.7</v>
      </c>
      <c r="N150" s="47">
        <f>ROUND((ROUND((ROUND((_11_A通院２増９．０*_11・基礎２),0)*_11・２人),0)*_11・初任),0)</f>
        <v>783</v>
      </c>
      <c r="O150" s="63"/>
    </row>
    <row r="151" spans="1:15" ht="16.5" customHeight="1" x14ac:dyDescent="0.15">
      <c r="A151" s="33">
        <v>11</v>
      </c>
      <c r="B151" s="33">
        <v>7455</v>
      </c>
      <c r="C151" s="34" t="s">
        <v>14381</v>
      </c>
      <c r="D151" s="709" t="s">
        <v>633</v>
      </c>
      <c r="E151" s="796"/>
      <c r="F151" s="35"/>
      <c r="I151" s="43"/>
      <c r="J151" s="37"/>
      <c r="K151" s="38"/>
      <c r="L151" s="35"/>
      <c r="N151" s="39">
        <f>_11_A通院２増９．５</f>
        <v>1311</v>
      </c>
      <c r="O151" s="48"/>
    </row>
    <row r="152" spans="1:15" ht="16.5" customHeight="1" x14ac:dyDescent="0.15">
      <c r="A152" s="41">
        <v>11</v>
      </c>
      <c r="B152" s="41">
        <v>7456</v>
      </c>
      <c r="C152" s="74" t="s">
        <v>14382</v>
      </c>
      <c r="D152" s="799"/>
      <c r="E152" s="796"/>
      <c r="F152" s="43"/>
      <c r="G152" s="37"/>
      <c r="H152" s="38"/>
      <c r="I152" s="281" t="s">
        <v>397</v>
      </c>
      <c r="J152" s="218" t="s">
        <v>398</v>
      </c>
      <c r="K152" s="46">
        <v>1</v>
      </c>
      <c r="L152" s="35"/>
      <c r="N152" s="47">
        <f>ROUND((_11_A通院２増９．５*_11・２人),0)</f>
        <v>1311</v>
      </c>
      <c r="O152" s="48"/>
    </row>
    <row r="153" spans="1:15" ht="16.5" customHeight="1" x14ac:dyDescent="0.15">
      <c r="A153" s="41">
        <v>11</v>
      </c>
      <c r="B153" s="41">
        <v>7457</v>
      </c>
      <c r="C153" s="74" t="s">
        <v>14383</v>
      </c>
      <c r="D153" s="799"/>
      <c r="E153" s="796"/>
      <c r="F153" s="752" t="s">
        <v>400</v>
      </c>
      <c r="G153" s="221" t="s">
        <v>398</v>
      </c>
      <c r="H153" s="50">
        <v>0.9</v>
      </c>
      <c r="I153" s="163"/>
      <c r="J153" s="45"/>
      <c r="K153" s="46"/>
      <c r="L153" s="35"/>
      <c r="N153" s="47">
        <f>ROUND((_11_A通院２増９．５*_11・基礎２),0)</f>
        <v>1180</v>
      </c>
      <c r="O153" s="48"/>
    </row>
    <row r="154" spans="1:15" ht="16.5" customHeight="1" x14ac:dyDescent="0.15">
      <c r="A154" s="41">
        <v>11</v>
      </c>
      <c r="B154" s="41">
        <v>7458</v>
      </c>
      <c r="C154" s="74" t="s">
        <v>14384</v>
      </c>
      <c r="D154" s="274">
        <f>_11_A通院２増９．５</f>
        <v>1311</v>
      </c>
      <c r="E154" s="10" t="s">
        <v>392</v>
      </c>
      <c r="F154" s="711"/>
      <c r="G154" s="37"/>
      <c r="H154" s="38"/>
      <c r="I154" s="281" t="s">
        <v>397</v>
      </c>
      <c r="J154" s="218" t="s">
        <v>398</v>
      </c>
      <c r="K154" s="46">
        <v>1</v>
      </c>
      <c r="L154" s="35"/>
      <c r="N154" s="47">
        <f>ROUND((ROUND((_11_A通院２増９．５*_11・基礎２),0)*_11・２人),0)</f>
        <v>1180</v>
      </c>
      <c r="O154" s="48"/>
    </row>
    <row r="155" spans="1:15" ht="16.5" customHeight="1" x14ac:dyDescent="0.15">
      <c r="A155" s="41">
        <v>11</v>
      </c>
      <c r="B155" s="41" t="s">
        <v>14385</v>
      </c>
      <c r="C155" s="74" t="s">
        <v>14386</v>
      </c>
      <c r="D155" s="72"/>
      <c r="F155" s="53"/>
      <c r="G155" s="49"/>
      <c r="H155" s="50"/>
      <c r="I155" s="163"/>
      <c r="J155" s="45"/>
      <c r="K155" s="46"/>
      <c r="L155" s="707" t="s">
        <v>404</v>
      </c>
      <c r="M155" s="708"/>
      <c r="N155" s="47">
        <f>ROUND((_11_A通院２増９．５*_11・初任),0)</f>
        <v>918</v>
      </c>
      <c r="O155" s="48"/>
    </row>
    <row r="156" spans="1:15" ht="16.5" customHeight="1" x14ac:dyDescent="0.15">
      <c r="A156" s="41">
        <v>11</v>
      </c>
      <c r="B156" s="41" t="s">
        <v>14387</v>
      </c>
      <c r="C156" s="74" t="s">
        <v>14388</v>
      </c>
      <c r="D156" s="72"/>
      <c r="F156" s="43"/>
      <c r="G156" s="37"/>
      <c r="H156" s="38"/>
      <c r="I156" s="281" t="s">
        <v>397</v>
      </c>
      <c r="J156" s="218" t="s">
        <v>398</v>
      </c>
      <c r="K156" s="46">
        <v>1</v>
      </c>
      <c r="L156" s="709"/>
      <c r="M156" s="704"/>
      <c r="N156" s="47">
        <f>ROUND((ROUND((_11_A通院２増９．５*_11・２人),0)*_11・初任),0)</f>
        <v>918</v>
      </c>
      <c r="O156" s="48"/>
    </row>
    <row r="157" spans="1:15" ht="16.5" customHeight="1" x14ac:dyDescent="0.15">
      <c r="A157" s="41">
        <v>11</v>
      </c>
      <c r="B157" s="41" t="s">
        <v>14389</v>
      </c>
      <c r="C157" s="74" t="s">
        <v>14390</v>
      </c>
      <c r="D157" s="72"/>
      <c r="F157" s="752" t="s">
        <v>400</v>
      </c>
      <c r="G157" s="221" t="s">
        <v>398</v>
      </c>
      <c r="H157" s="50">
        <v>0.9</v>
      </c>
      <c r="I157" s="163"/>
      <c r="J157" s="45"/>
      <c r="K157" s="46"/>
      <c r="L157" s="709"/>
      <c r="M157" s="704"/>
      <c r="N157" s="47">
        <f>ROUND((ROUND((_11_A通院２増９．５*_11・基礎２),0)*_11・初任),0)</f>
        <v>826</v>
      </c>
      <c r="O157" s="48"/>
    </row>
    <row r="158" spans="1:15" ht="16.5" customHeight="1" x14ac:dyDescent="0.15">
      <c r="A158" s="41">
        <v>11</v>
      </c>
      <c r="B158" s="41" t="s">
        <v>14391</v>
      </c>
      <c r="C158" s="74" t="s">
        <v>14392</v>
      </c>
      <c r="D158" s="72"/>
      <c r="F158" s="711"/>
      <c r="G158" s="37"/>
      <c r="H158" s="38"/>
      <c r="I158" s="281" t="s">
        <v>397</v>
      </c>
      <c r="J158" s="218" t="s">
        <v>398</v>
      </c>
      <c r="K158" s="46">
        <v>1</v>
      </c>
      <c r="L158" s="240" t="s">
        <v>398</v>
      </c>
      <c r="M158" s="38">
        <f>_11・初任</f>
        <v>0.7</v>
      </c>
      <c r="N158" s="47">
        <f>ROUND((ROUND((ROUND((_11_A通院２増９．５*_11・基礎２),0)*_11・２人),0)*_11・初任),0)</f>
        <v>826</v>
      </c>
      <c r="O158" s="48"/>
    </row>
    <row r="159" spans="1:15" ht="16.5" customHeight="1" x14ac:dyDescent="0.15">
      <c r="A159" s="41">
        <v>11</v>
      </c>
      <c r="B159" s="41">
        <v>7459</v>
      </c>
      <c r="C159" s="74" t="s">
        <v>14393</v>
      </c>
      <c r="D159" s="707" t="s">
        <v>646</v>
      </c>
      <c r="E159" s="798"/>
      <c r="F159" s="53"/>
      <c r="G159" s="49"/>
      <c r="H159" s="50"/>
      <c r="I159" s="163"/>
      <c r="J159" s="45"/>
      <c r="K159" s="46"/>
      <c r="L159" s="53"/>
      <c r="M159" s="50"/>
      <c r="N159" s="47">
        <f>_11_A通院２増１０．０</f>
        <v>1380</v>
      </c>
      <c r="O159" s="48"/>
    </row>
    <row r="160" spans="1:15" ht="16.5" customHeight="1" x14ac:dyDescent="0.15">
      <c r="A160" s="41">
        <v>11</v>
      </c>
      <c r="B160" s="41">
        <v>7460</v>
      </c>
      <c r="C160" s="74" t="s">
        <v>14394</v>
      </c>
      <c r="D160" s="799"/>
      <c r="E160" s="796"/>
      <c r="F160" s="43"/>
      <c r="G160" s="37"/>
      <c r="H160" s="38"/>
      <c r="I160" s="281" t="s">
        <v>397</v>
      </c>
      <c r="J160" s="218" t="s">
        <v>398</v>
      </c>
      <c r="K160" s="46">
        <v>1</v>
      </c>
      <c r="L160" s="35"/>
      <c r="N160" s="47">
        <f>ROUND((_11_A通院２増１０．０*_11・２人),0)</f>
        <v>1380</v>
      </c>
      <c r="O160" s="48"/>
    </row>
    <row r="161" spans="1:15" ht="16.5" customHeight="1" x14ac:dyDescent="0.15">
      <c r="A161" s="41">
        <v>11</v>
      </c>
      <c r="B161" s="41">
        <v>7461</v>
      </c>
      <c r="C161" s="74" t="s">
        <v>14395</v>
      </c>
      <c r="D161" s="799"/>
      <c r="E161" s="796"/>
      <c r="F161" s="752" t="s">
        <v>400</v>
      </c>
      <c r="G161" s="221" t="s">
        <v>398</v>
      </c>
      <c r="H161" s="50">
        <v>0.9</v>
      </c>
      <c r="I161" s="163"/>
      <c r="J161" s="45"/>
      <c r="K161" s="46"/>
      <c r="L161" s="35"/>
      <c r="N161" s="47">
        <f>ROUND((_11_A通院２増１０．０*_11・基礎２),0)</f>
        <v>1242</v>
      </c>
      <c r="O161" s="48"/>
    </row>
    <row r="162" spans="1:15" ht="16.5" customHeight="1" x14ac:dyDescent="0.15">
      <c r="A162" s="41">
        <v>11</v>
      </c>
      <c r="B162" s="41">
        <v>7462</v>
      </c>
      <c r="C162" s="74" t="s">
        <v>14396</v>
      </c>
      <c r="D162" s="274">
        <f>_11_A通院２増１０．０</f>
        <v>1380</v>
      </c>
      <c r="E162" s="10" t="s">
        <v>392</v>
      </c>
      <c r="F162" s="711"/>
      <c r="G162" s="37"/>
      <c r="H162" s="38"/>
      <c r="I162" s="281" t="s">
        <v>397</v>
      </c>
      <c r="J162" s="218" t="s">
        <v>398</v>
      </c>
      <c r="K162" s="46">
        <v>1</v>
      </c>
      <c r="L162" s="35"/>
      <c r="N162" s="47">
        <f>ROUND((ROUND((_11_A通院２増１０．０*_11・基礎２),0)*_11・２人),0)</f>
        <v>1242</v>
      </c>
      <c r="O162" s="48"/>
    </row>
    <row r="163" spans="1:15" ht="16.5" customHeight="1" x14ac:dyDescent="0.15">
      <c r="A163" s="41">
        <v>11</v>
      </c>
      <c r="B163" s="41" t="s">
        <v>14397</v>
      </c>
      <c r="C163" s="74" t="s">
        <v>14398</v>
      </c>
      <c r="D163" s="72"/>
      <c r="F163" s="53"/>
      <c r="G163" s="49"/>
      <c r="H163" s="50"/>
      <c r="I163" s="163"/>
      <c r="J163" s="45"/>
      <c r="K163" s="46"/>
      <c r="L163" s="707" t="s">
        <v>404</v>
      </c>
      <c r="M163" s="708"/>
      <c r="N163" s="47">
        <f>ROUND((_11_A通院２増１０．０*_11・初任),0)</f>
        <v>966</v>
      </c>
      <c r="O163" s="48"/>
    </row>
    <row r="164" spans="1:15" ht="16.5" customHeight="1" x14ac:dyDescent="0.15">
      <c r="A164" s="41">
        <v>11</v>
      </c>
      <c r="B164" s="41" t="s">
        <v>14399</v>
      </c>
      <c r="C164" s="74" t="s">
        <v>14400</v>
      </c>
      <c r="D164" s="72"/>
      <c r="F164" s="43"/>
      <c r="G164" s="37"/>
      <c r="H164" s="38"/>
      <c r="I164" s="281" t="s">
        <v>397</v>
      </c>
      <c r="J164" s="218" t="s">
        <v>398</v>
      </c>
      <c r="K164" s="46">
        <v>1</v>
      </c>
      <c r="L164" s="709"/>
      <c r="M164" s="704"/>
      <c r="N164" s="47">
        <f>ROUND((ROUND((_11_A通院２増１０．０*_11・２人),0)*_11・初任),0)</f>
        <v>966</v>
      </c>
      <c r="O164" s="48"/>
    </row>
    <row r="165" spans="1:15" ht="16.5" customHeight="1" x14ac:dyDescent="0.15">
      <c r="A165" s="41">
        <v>11</v>
      </c>
      <c r="B165" s="41" t="s">
        <v>14401</v>
      </c>
      <c r="C165" s="74" t="s">
        <v>14402</v>
      </c>
      <c r="D165" s="72"/>
      <c r="F165" s="752" t="s">
        <v>400</v>
      </c>
      <c r="G165" s="221" t="s">
        <v>398</v>
      </c>
      <c r="H165" s="50">
        <v>0.9</v>
      </c>
      <c r="I165" s="163"/>
      <c r="J165" s="45"/>
      <c r="K165" s="46"/>
      <c r="L165" s="709"/>
      <c r="M165" s="704"/>
      <c r="N165" s="47">
        <f>ROUND((ROUND((_11_A通院２増１０．０*_11・基礎２),0)*_11・初任),0)</f>
        <v>869</v>
      </c>
      <c r="O165" s="48"/>
    </row>
    <row r="166" spans="1:15" ht="16.5" customHeight="1" x14ac:dyDescent="0.15">
      <c r="A166" s="41">
        <v>11</v>
      </c>
      <c r="B166" s="41" t="s">
        <v>14403</v>
      </c>
      <c r="C166" s="74" t="s">
        <v>14404</v>
      </c>
      <c r="D166" s="72"/>
      <c r="F166" s="711"/>
      <c r="G166" s="37"/>
      <c r="H166" s="38"/>
      <c r="I166" s="281" t="s">
        <v>397</v>
      </c>
      <c r="J166" s="218" t="s">
        <v>398</v>
      </c>
      <c r="K166" s="46">
        <v>1</v>
      </c>
      <c r="L166" s="240" t="s">
        <v>398</v>
      </c>
      <c r="M166" s="38">
        <f>_11・初任</f>
        <v>0.7</v>
      </c>
      <c r="N166" s="47">
        <f>ROUND((ROUND((ROUND((_11_A通院２増１０．０*_11・基礎２),0)*_11・２人),0)*_11・初任),0)</f>
        <v>869</v>
      </c>
      <c r="O166" s="48"/>
    </row>
    <row r="167" spans="1:15" ht="16.5" customHeight="1" x14ac:dyDescent="0.15">
      <c r="A167" s="41">
        <v>11</v>
      </c>
      <c r="B167" s="41">
        <v>7463</v>
      </c>
      <c r="C167" s="74" t="s">
        <v>14405</v>
      </c>
      <c r="D167" s="707" t="s">
        <v>659</v>
      </c>
      <c r="E167" s="798"/>
      <c r="F167" s="53"/>
      <c r="G167" s="49"/>
      <c r="H167" s="50"/>
      <c r="I167" s="163"/>
      <c r="J167" s="45"/>
      <c r="K167" s="46"/>
      <c r="L167" s="53"/>
      <c r="M167" s="50"/>
      <c r="N167" s="47">
        <f>_11_A通院２増１０．５</f>
        <v>1449</v>
      </c>
      <c r="O167" s="48"/>
    </row>
    <row r="168" spans="1:15" ht="16.5" customHeight="1" x14ac:dyDescent="0.15">
      <c r="A168" s="41">
        <v>11</v>
      </c>
      <c r="B168" s="41">
        <v>7464</v>
      </c>
      <c r="C168" s="74" t="s">
        <v>14406</v>
      </c>
      <c r="D168" s="799"/>
      <c r="E168" s="796"/>
      <c r="F168" s="43"/>
      <c r="G168" s="37"/>
      <c r="H168" s="38"/>
      <c r="I168" s="281" t="s">
        <v>397</v>
      </c>
      <c r="J168" s="218" t="s">
        <v>398</v>
      </c>
      <c r="K168" s="46">
        <v>1</v>
      </c>
      <c r="L168" s="35"/>
      <c r="N168" s="47">
        <f>ROUND((_11_A通院２増１０．５*_11・２人),0)</f>
        <v>1449</v>
      </c>
      <c r="O168" s="48"/>
    </row>
    <row r="169" spans="1:15" ht="16.5" customHeight="1" x14ac:dyDescent="0.15">
      <c r="A169" s="41">
        <v>11</v>
      </c>
      <c r="B169" s="41">
        <v>7465</v>
      </c>
      <c r="C169" s="74" t="s">
        <v>14407</v>
      </c>
      <c r="D169" s="799"/>
      <c r="E169" s="796"/>
      <c r="F169" s="752" t="s">
        <v>400</v>
      </c>
      <c r="G169" s="221" t="s">
        <v>398</v>
      </c>
      <c r="H169" s="50">
        <v>0.9</v>
      </c>
      <c r="I169" s="163"/>
      <c r="J169" s="45"/>
      <c r="K169" s="46"/>
      <c r="L169" s="35"/>
      <c r="N169" s="47">
        <f>ROUND((_11_A通院２増１０．５*_11・基礎２),0)</f>
        <v>1304</v>
      </c>
      <c r="O169" s="48"/>
    </row>
    <row r="170" spans="1:15" ht="16.5" customHeight="1" x14ac:dyDescent="0.15">
      <c r="A170" s="41">
        <v>11</v>
      </c>
      <c r="B170" s="41">
        <v>7466</v>
      </c>
      <c r="C170" s="74" t="s">
        <v>14408</v>
      </c>
      <c r="D170" s="274">
        <f>_11_A通院２増１０．５</f>
        <v>1449</v>
      </c>
      <c r="E170" s="10" t="s">
        <v>392</v>
      </c>
      <c r="F170" s="711"/>
      <c r="G170" s="37"/>
      <c r="H170" s="38"/>
      <c r="I170" s="281" t="s">
        <v>397</v>
      </c>
      <c r="J170" s="218" t="s">
        <v>398</v>
      </c>
      <c r="K170" s="46">
        <v>1</v>
      </c>
      <c r="L170" s="35"/>
      <c r="N170" s="47">
        <f>ROUND((ROUND((_11_A通院２増１０．５*_11・基礎２),0)*_11・２人),0)</f>
        <v>1304</v>
      </c>
      <c r="O170" s="48"/>
    </row>
    <row r="171" spans="1:15" ht="16.5" customHeight="1" x14ac:dyDescent="0.15">
      <c r="A171" s="41">
        <v>11</v>
      </c>
      <c r="B171" s="41" t="s">
        <v>14409</v>
      </c>
      <c r="C171" s="74" t="s">
        <v>14410</v>
      </c>
      <c r="D171" s="72"/>
      <c r="F171" s="53"/>
      <c r="G171" s="49"/>
      <c r="H171" s="50"/>
      <c r="I171" s="163"/>
      <c r="J171" s="45"/>
      <c r="K171" s="46"/>
      <c r="L171" s="707" t="s">
        <v>404</v>
      </c>
      <c r="M171" s="708"/>
      <c r="N171" s="47">
        <f>ROUND((_11_A通院２増１０．５*_11・初任),0)</f>
        <v>1014</v>
      </c>
      <c r="O171" s="48"/>
    </row>
    <row r="172" spans="1:15" ht="16.5" customHeight="1" x14ac:dyDescent="0.15">
      <c r="A172" s="41">
        <v>11</v>
      </c>
      <c r="B172" s="41" t="s">
        <v>14411</v>
      </c>
      <c r="C172" s="74" t="s">
        <v>14412</v>
      </c>
      <c r="D172" s="72"/>
      <c r="F172" s="43"/>
      <c r="G172" s="37"/>
      <c r="H172" s="38"/>
      <c r="I172" s="281" t="s">
        <v>397</v>
      </c>
      <c r="J172" s="218" t="s">
        <v>398</v>
      </c>
      <c r="K172" s="46">
        <v>1</v>
      </c>
      <c r="L172" s="709"/>
      <c r="M172" s="704"/>
      <c r="N172" s="47">
        <f>ROUND((ROUND((_11_A通院２増１０．５*_11・２人),0)*_11・初任),0)</f>
        <v>1014</v>
      </c>
      <c r="O172" s="48"/>
    </row>
    <row r="173" spans="1:15" ht="16.5" customHeight="1" x14ac:dyDescent="0.15">
      <c r="A173" s="41">
        <v>11</v>
      </c>
      <c r="B173" s="41" t="s">
        <v>14413</v>
      </c>
      <c r="C173" s="74" t="s">
        <v>14414</v>
      </c>
      <c r="D173" s="72"/>
      <c r="F173" s="752" t="s">
        <v>400</v>
      </c>
      <c r="G173" s="221" t="s">
        <v>398</v>
      </c>
      <c r="H173" s="50">
        <v>0.9</v>
      </c>
      <c r="I173" s="163"/>
      <c r="J173" s="45"/>
      <c r="K173" s="46"/>
      <c r="L173" s="709"/>
      <c r="M173" s="704"/>
      <c r="N173" s="47">
        <f>ROUND((ROUND((_11_A通院２増１０．５*_11・基礎２),0)*_11・初任),0)</f>
        <v>913</v>
      </c>
      <c r="O173" s="48"/>
    </row>
    <row r="174" spans="1:15" ht="16.5" customHeight="1" x14ac:dyDescent="0.15">
      <c r="A174" s="41">
        <v>11</v>
      </c>
      <c r="B174" s="41" t="s">
        <v>14415</v>
      </c>
      <c r="C174" s="74" t="s">
        <v>14416</v>
      </c>
      <c r="D174" s="122"/>
      <c r="E174" s="37"/>
      <c r="F174" s="711"/>
      <c r="G174" s="37"/>
      <c r="H174" s="38"/>
      <c r="I174" s="281" t="s">
        <v>397</v>
      </c>
      <c r="J174" s="218" t="s">
        <v>398</v>
      </c>
      <c r="K174" s="46">
        <v>1</v>
      </c>
      <c r="L174" s="240" t="s">
        <v>398</v>
      </c>
      <c r="M174" s="38">
        <f>_11・初任</f>
        <v>0.7</v>
      </c>
      <c r="N174" s="47">
        <f>ROUND((ROUND((ROUND((_11_A通院２増１０．５*_11・基礎２),0)*_11・２人),0)*_11・初任),0)</f>
        <v>913</v>
      </c>
      <c r="O174" s="63"/>
    </row>
    <row r="175" spans="1:15" ht="16.5" customHeight="1" x14ac:dyDescent="0.15"/>
    <row r="176" spans="1:15" ht="16.5" customHeight="1" x14ac:dyDescent="0.15"/>
  </sheetData>
  <mergeCells count="84">
    <mergeCell ref="L163:M165"/>
    <mergeCell ref="F165:F166"/>
    <mergeCell ref="D167:E169"/>
    <mergeCell ref="F169:F170"/>
    <mergeCell ref="L171:M173"/>
    <mergeCell ref="F173:F174"/>
    <mergeCell ref="D151:E153"/>
    <mergeCell ref="F153:F154"/>
    <mergeCell ref="L155:M157"/>
    <mergeCell ref="F157:F158"/>
    <mergeCell ref="D159:E161"/>
    <mergeCell ref="F161:F162"/>
    <mergeCell ref="L139:M141"/>
    <mergeCell ref="F141:F142"/>
    <mergeCell ref="D143:E145"/>
    <mergeCell ref="F145:F146"/>
    <mergeCell ref="L147:M149"/>
    <mergeCell ref="F149:F150"/>
    <mergeCell ref="D127:E129"/>
    <mergeCell ref="F129:F130"/>
    <mergeCell ref="L131:M133"/>
    <mergeCell ref="F133:F134"/>
    <mergeCell ref="D135:E137"/>
    <mergeCell ref="F137:F138"/>
    <mergeCell ref="L115:M117"/>
    <mergeCell ref="F117:F118"/>
    <mergeCell ref="D119:E121"/>
    <mergeCell ref="F121:F122"/>
    <mergeCell ref="L123:M125"/>
    <mergeCell ref="F125:F126"/>
    <mergeCell ref="D103:E105"/>
    <mergeCell ref="F105:F106"/>
    <mergeCell ref="L107:M109"/>
    <mergeCell ref="F109:F110"/>
    <mergeCell ref="D111:E113"/>
    <mergeCell ref="F113:F114"/>
    <mergeCell ref="L91:M93"/>
    <mergeCell ref="F93:F94"/>
    <mergeCell ref="D95:E97"/>
    <mergeCell ref="F97:F98"/>
    <mergeCell ref="L99:M101"/>
    <mergeCell ref="F101:F102"/>
    <mergeCell ref="D79:E81"/>
    <mergeCell ref="F81:F82"/>
    <mergeCell ref="L83:M85"/>
    <mergeCell ref="F85:F86"/>
    <mergeCell ref="D87:E89"/>
    <mergeCell ref="F89:F90"/>
    <mergeCell ref="L67:M69"/>
    <mergeCell ref="F69:F70"/>
    <mergeCell ref="D71:E73"/>
    <mergeCell ref="F73:F74"/>
    <mergeCell ref="L75:M77"/>
    <mergeCell ref="F77:F78"/>
    <mergeCell ref="D55:E57"/>
    <mergeCell ref="F57:F58"/>
    <mergeCell ref="L59:M61"/>
    <mergeCell ref="F61:F62"/>
    <mergeCell ref="D63:E65"/>
    <mergeCell ref="F65:F66"/>
    <mergeCell ref="L43:M45"/>
    <mergeCell ref="F45:F46"/>
    <mergeCell ref="D47:E49"/>
    <mergeCell ref="F49:F50"/>
    <mergeCell ref="L51:M53"/>
    <mergeCell ref="F53:F54"/>
    <mergeCell ref="D31:E33"/>
    <mergeCell ref="F33:F34"/>
    <mergeCell ref="L35:M37"/>
    <mergeCell ref="F37:F38"/>
    <mergeCell ref="D39:E41"/>
    <mergeCell ref="F41:F42"/>
    <mergeCell ref="L19:M21"/>
    <mergeCell ref="F21:F22"/>
    <mergeCell ref="D23:E25"/>
    <mergeCell ref="F25:F26"/>
    <mergeCell ref="L27:M29"/>
    <mergeCell ref="F29:F30"/>
    <mergeCell ref="D7:E9"/>
    <mergeCell ref="F9:F10"/>
    <mergeCell ref="L11:M13"/>
    <mergeCell ref="F13:F14"/>
    <mergeCell ref="D15:E17"/>
    <mergeCell ref="F17:F18"/>
  </mergeCells>
  <phoneticPr fontId="1"/>
  <printOptions horizontalCentered="1"/>
  <pageMargins left="0.70866141732283472" right="0.70866141732283472" top="0.74803149606299213" bottom="0.74803149606299213" header="0.31496062992125984" footer="0.31496062992125984"/>
  <pageSetup paperSize="9" scale="58" fitToHeight="0" orientation="portrait" r:id="rId1"/>
  <headerFooter>
    <oddHeader>&amp;R&amp;"ＭＳ Ｐゴシック"&amp;9居宅介護</oddHeader>
    <oddFooter>&amp;C&amp;"ＭＳ Ｐゴシック"&amp;14&amp;P</oddFooter>
  </headerFooter>
  <rowBreaks count="2" manualBreakCount="2">
    <brk id="78" max="14" man="1"/>
    <brk id="150" max="14"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1">
    <pageSetUpPr fitToPage="1"/>
  </sheetPr>
  <dimension ref="A1:R125"/>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0" customWidth="1"/>
    <col min="5" max="5" width="4.875" style="12" customWidth="1"/>
    <col min="6" max="6" width="12" style="12" customWidth="1"/>
    <col min="7" max="7" width="2.5" style="12" customWidth="1"/>
    <col min="8" max="8" width="4.5" style="13" bestFit="1" customWidth="1"/>
    <col min="9" max="9" width="26" style="12" customWidth="1"/>
    <col min="10" max="10" width="2.5" style="12" customWidth="1"/>
    <col min="11" max="11" width="5.5" style="13" bestFit="1" customWidth="1"/>
    <col min="12" max="12" width="2.5" style="12" customWidth="1"/>
    <col min="13" max="13" width="3.875" style="12" customWidth="1"/>
    <col min="14" max="14" width="4.5" style="13" bestFit="1" customWidth="1"/>
    <col min="15" max="15" width="9.875" style="12" customWidth="1"/>
    <col min="16" max="16" width="4.5" style="13" bestFit="1" customWidth="1"/>
    <col min="17" max="17" width="7.125" style="15" customWidth="1"/>
    <col min="18" max="18" width="8.5" style="16" customWidth="1"/>
    <col min="19" max="16384" width="8.875" style="12"/>
  </cols>
  <sheetData>
    <row r="1" spans="1:18" ht="17.100000000000001" customHeight="1" x14ac:dyDescent="0.15"/>
    <row r="2" spans="1:18" ht="17.100000000000001" customHeight="1" x14ac:dyDescent="0.15"/>
    <row r="3" spans="1:18" ht="17.100000000000001" customHeight="1" x14ac:dyDescent="0.15"/>
    <row r="4" spans="1:18" ht="17.100000000000001" customHeight="1" x14ac:dyDescent="0.15">
      <c r="B4" s="17" t="s">
        <v>14417</v>
      </c>
      <c r="D4" s="71"/>
    </row>
    <row r="5" spans="1:18" ht="16.5" customHeight="1" x14ac:dyDescent="0.15">
      <c r="A5" s="19" t="s">
        <v>384</v>
      </c>
      <c r="B5" s="20"/>
      <c r="C5" s="21" t="s">
        <v>385</v>
      </c>
      <c r="D5" s="23" t="s">
        <v>386</v>
      </c>
      <c r="E5" s="23"/>
      <c r="F5" s="23"/>
      <c r="G5" s="23"/>
      <c r="H5" s="24"/>
      <c r="I5" s="23"/>
      <c r="J5" s="23"/>
      <c r="K5" s="24"/>
      <c r="L5" s="23"/>
      <c r="M5" s="23"/>
      <c r="N5" s="24"/>
      <c r="O5" s="23"/>
      <c r="P5" s="24"/>
      <c r="Q5" s="25" t="s">
        <v>387</v>
      </c>
      <c r="R5" s="21" t="s">
        <v>388</v>
      </c>
    </row>
    <row r="6" spans="1:18" ht="16.5" customHeight="1" x14ac:dyDescent="0.15">
      <c r="A6" s="26" t="s">
        <v>389</v>
      </c>
      <c r="B6" s="26" t="s">
        <v>390</v>
      </c>
      <c r="C6" s="27"/>
      <c r="D6" s="29"/>
      <c r="E6" s="29"/>
      <c r="F6" s="29"/>
      <c r="G6" s="29"/>
      <c r="H6" s="30"/>
      <c r="I6" s="29"/>
      <c r="J6" s="29"/>
      <c r="K6" s="30"/>
      <c r="L6" s="29"/>
      <c r="M6" s="29"/>
      <c r="N6" s="30"/>
      <c r="O6" s="29"/>
      <c r="P6" s="30"/>
      <c r="Q6" s="31" t="s">
        <v>391</v>
      </c>
      <c r="R6" s="32" t="s">
        <v>392</v>
      </c>
    </row>
    <row r="7" spans="1:18" ht="16.5" customHeight="1" x14ac:dyDescent="0.15">
      <c r="A7" s="33">
        <v>11</v>
      </c>
      <c r="B7" s="33">
        <v>7467</v>
      </c>
      <c r="C7" s="34" t="s">
        <v>14418</v>
      </c>
      <c r="D7" s="709" t="s">
        <v>673</v>
      </c>
      <c r="E7" s="796"/>
      <c r="F7" s="35"/>
      <c r="I7" s="43"/>
      <c r="J7" s="37"/>
      <c r="K7" s="38"/>
      <c r="L7" s="72" t="s">
        <v>674</v>
      </c>
      <c r="N7" s="234"/>
      <c r="O7" s="35"/>
      <c r="Q7" s="73">
        <f>ROUND((_11_A通院２増０．５*(1+_11・A早朝)),0)</f>
        <v>86</v>
      </c>
      <c r="R7" s="40" t="s">
        <v>395</v>
      </c>
    </row>
    <row r="8" spans="1:18" ht="16.5" customHeight="1" x14ac:dyDescent="0.15">
      <c r="A8" s="41">
        <v>11</v>
      </c>
      <c r="B8" s="41">
        <v>7468</v>
      </c>
      <c r="C8" s="74" t="s">
        <v>14419</v>
      </c>
      <c r="D8" s="799"/>
      <c r="E8" s="796"/>
      <c r="F8" s="43"/>
      <c r="G8" s="37"/>
      <c r="H8" s="38"/>
      <c r="I8" s="281" t="s">
        <v>397</v>
      </c>
      <c r="J8" s="218" t="s">
        <v>398</v>
      </c>
      <c r="K8" s="46">
        <v>1</v>
      </c>
      <c r="L8" s="258" t="s">
        <v>398</v>
      </c>
      <c r="M8" s="13">
        <v>0.25</v>
      </c>
      <c r="N8" s="718" t="s">
        <v>676</v>
      </c>
      <c r="O8" s="35"/>
      <c r="Q8" s="75">
        <f>ROUND((ROUND((_11_A通院２増０．５*_11・２人),0)*(1+_11・A早朝)),0)</f>
        <v>86</v>
      </c>
      <c r="R8" s="48"/>
    </row>
    <row r="9" spans="1:18" ht="16.5" customHeight="1" x14ac:dyDescent="0.15">
      <c r="A9" s="41">
        <v>11</v>
      </c>
      <c r="B9" s="41">
        <v>7469</v>
      </c>
      <c r="C9" s="74" t="s">
        <v>14420</v>
      </c>
      <c r="D9" s="799"/>
      <c r="E9" s="796"/>
      <c r="F9" s="752" t="s">
        <v>400</v>
      </c>
      <c r="G9" s="221" t="s">
        <v>398</v>
      </c>
      <c r="H9" s="50">
        <v>0.9</v>
      </c>
      <c r="I9" s="256"/>
      <c r="J9" s="45"/>
      <c r="K9" s="46"/>
      <c r="L9" s="35"/>
      <c r="N9" s="796"/>
      <c r="O9" s="35"/>
      <c r="Q9" s="75">
        <f>ROUND((ROUND((_11_A通院２増０．５*_11・基礎２),0)*(1+_11・A早朝)),0)</f>
        <v>78</v>
      </c>
      <c r="R9" s="48"/>
    </row>
    <row r="10" spans="1:18" ht="16.5" customHeight="1" x14ac:dyDescent="0.15">
      <c r="A10" s="41">
        <v>11</v>
      </c>
      <c r="B10" s="41">
        <v>7470</v>
      </c>
      <c r="C10" s="74" t="s">
        <v>14421</v>
      </c>
      <c r="D10" s="274">
        <f>_11_A通院２増０．５</f>
        <v>69</v>
      </c>
      <c r="E10" s="10" t="s">
        <v>392</v>
      </c>
      <c r="F10" s="711"/>
      <c r="G10" s="37"/>
      <c r="H10" s="38"/>
      <c r="I10" s="281" t="s">
        <v>397</v>
      </c>
      <c r="J10" s="218" t="s">
        <v>398</v>
      </c>
      <c r="K10" s="46">
        <v>1</v>
      </c>
      <c r="L10" s="35"/>
      <c r="N10" s="234"/>
      <c r="O10" s="35"/>
      <c r="Q10" s="75">
        <f>ROUND((ROUND((ROUND((_11_A通院２増０．５*_11・基礎２),0)*_11・２人),0)*(1+_11・A早朝)),0)</f>
        <v>78</v>
      </c>
      <c r="R10" s="48"/>
    </row>
    <row r="11" spans="1:18" ht="16.5" customHeight="1" x14ac:dyDescent="0.15">
      <c r="A11" s="41">
        <v>11</v>
      </c>
      <c r="B11" s="41" t="s">
        <v>14422</v>
      </c>
      <c r="C11" s="74" t="s">
        <v>14423</v>
      </c>
      <c r="D11" s="72"/>
      <c r="F11" s="53"/>
      <c r="G11" s="49"/>
      <c r="H11" s="50"/>
      <c r="I11" s="256"/>
      <c r="J11" s="45"/>
      <c r="K11" s="46"/>
      <c r="L11" s="35"/>
      <c r="O11" s="707" t="s">
        <v>404</v>
      </c>
      <c r="P11" s="708"/>
      <c r="Q11" s="75">
        <f>ROUND((ROUND((_11_A通院２増０．５*(1+_11・A早朝)),0)*_11・初任),0)</f>
        <v>60</v>
      </c>
      <c r="R11" s="48"/>
    </row>
    <row r="12" spans="1:18" ht="16.5" customHeight="1" x14ac:dyDescent="0.15">
      <c r="A12" s="41">
        <v>11</v>
      </c>
      <c r="B12" s="41" t="s">
        <v>14424</v>
      </c>
      <c r="C12" s="74" t="s">
        <v>14425</v>
      </c>
      <c r="D12" s="72"/>
      <c r="F12" s="43"/>
      <c r="G12" s="37"/>
      <c r="H12" s="38"/>
      <c r="I12" s="281" t="s">
        <v>397</v>
      </c>
      <c r="J12" s="218" t="s">
        <v>398</v>
      </c>
      <c r="K12" s="46">
        <v>1</v>
      </c>
      <c r="L12" s="35"/>
      <c r="O12" s="709"/>
      <c r="P12" s="704"/>
      <c r="Q12" s="75">
        <f>ROUND((ROUND((ROUND((_11_A通院２増０．５*_11・２人),0)*(1+_11・A早朝)),0)*_11・初任),0)</f>
        <v>60</v>
      </c>
      <c r="R12" s="48"/>
    </row>
    <row r="13" spans="1:18" ht="16.5" customHeight="1" x14ac:dyDescent="0.15">
      <c r="A13" s="41">
        <v>11</v>
      </c>
      <c r="B13" s="41" t="s">
        <v>14426</v>
      </c>
      <c r="C13" s="74" t="s">
        <v>14427</v>
      </c>
      <c r="D13" s="72"/>
      <c r="F13" s="752" t="s">
        <v>400</v>
      </c>
      <c r="G13" s="221" t="s">
        <v>398</v>
      </c>
      <c r="H13" s="50">
        <v>0.9</v>
      </c>
      <c r="I13" s="256"/>
      <c r="J13" s="45"/>
      <c r="K13" s="46"/>
      <c r="L13" s="35"/>
      <c r="O13" s="709"/>
      <c r="P13" s="704"/>
      <c r="Q13" s="75">
        <f>ROUND((ROUND((ROUND((_11_A通院２増０．５*_11・基礎２),0)*(1+_11・A早朝)),0)*_11・初任),0)</f>
        <v>55</v>
      </c>
      <c r="R13" s="48"/>
    </row>
    <row r="14" spans="1:18" ht="16.5" customHeight="1" x14ac:dyDescent="0.15">
      <c r="A14" s="41">
        <v>11</v>
      </c>
      <c r="B14" s="41" t="s">
        <v>14428</v>
      </c>
      <c r="C14" s="74" t="s">
        <v>14429</v>
      </c>
      <c r="D14" s="72"/>
      <c r="F14" s="711"/>
      <c r="G14" s="37"/>
      <c r="H14" s="38"/>
      <c r="I14" s="281" t="s">
        <v>397</v>
      </c>
      <c r="J14" s="218" t="s">
        <v>398</v>
      </c>
      <c r="K14" s="46">
        <v>1</v>
      </c>
      <c r="L14" s="35"/>
      <c r="O14" s="240" t="s">
        <v>398</v>
      </c>
      <c r="P14" s="38">
        <f>_11・初任</f>
        <v>0.7</v>
      </c>
      <c r="Q14" s="75">
        <f>ROUND((ROUND((ROUND((ROUND((_11_A通院２増０．５*_11・基礎２),0)*_11・２人),0)*(1+_11・A早朝)),0)*_11・初任),0)</f>
        <v>55</v>
      </c>
      <c r="R14" s="48"/>
    </row>
    <row r="15" spans="1:18" ht="16.5" customHeight="1" x14ac:dyDescent="0.15">
      <c r="A15" s="41">
        <v>11</v>
      </c>
      <c r="B15" s="41">
        <v>7471</v>
      </c>
      <c r="C15" s="74" t="s">
        <v>14430</v>
      </c>
      <c r="D15" s="707" t="s">
        <v>689</v>
      </c>
      <c r="E15" s="798"/>
      <c r="F15" s="53"/>
      <c r="G15" s="49"/>
      <c r="H15" s="50"/>
      <c r="I15" s="256"/>
      <c r="J15" s="45"/>
      <c r="K15" s="46"/>
      <c r="L15" s="35"/>
      <c r="O15" s="53"/>
      <c r="P15" s="50"/>
      <c r="Q15" s="75">
        <f>ROUND((_11_A通院２増１．０*(1+_11・A早朝)),0)</f>
        <v>173</v>
      </c>
      <c r="R15" s="48"/>
    </row>
    <row r="16" spans="1:18" ht="16.5" customHeight="1" x14ac:dyDescent="0.15">
      <c r="A16" s="41">
        <v>11</v>
      </c>
      <c r="B16" s="41">
        <v>7472</v>
      </c>
      <c r="C16" s="74" t="s">
        <v>14431</v>
      </c>
      <c r="D16" s="799"/>
      <c r="E16" s="796"/>
      <c r="F16" s="43"/>
      <c r="G16" s="37"/>
      <c r="H16" s="38"/>
      <c r="I16" s="281" t="s">
        <v>397</v>
      </c>
      <c r="J16" s="218" t="s">
        <v>398</v>
      </c>
      <c r="K16" s="46">
        <v>1</v>
      </c>
      <c r="L16" s="35"/>
      <c r="O16" s="35"/>
      <c r="Q16" s="75">
        <f>ROUND((ROUND((_11_A通院２増１．０*_11・２人),0)*(1+_11・A早朝)),0)</f>
        <v>173</v>
      </c>
      <c r="R16" s="48"/>
    </row>
    <row r="17" spans="1:18" ht="16.5" customHeight="1" x14ac:dyDescent="0.15">
      <c r="A17" s="41">
        <v>11</v>
      </c>
      <c r="B17" s="41">
        <v>7473</v>
      </c>
      <c r="C17" s="74" t="s">
        <v>14432</v>
      </c>
      <c r="D17" s="799"/>
      <c r="E17" s="796"/>
      <c r="F17" s="752" t="s">
        <v>400</v>
      </c>
      <c r="G17" s="221" t="s">
        <v>398</v>
      </c>
      <c r="H17" s="50">
        <v>0.9</v>
      </c>
      <c r="I17" s="256"/>
      <c r="J17" s="45"/>
      <c r="K17" s="46"/>
      <c r="L17" s="35"/>
      <c r="O17" s="35"/>
      <c r="Q17" s="75">
        <f>ROUND((ROUND((_11_A通院２増１．０*_11・基礎２),0)*(1+_11・A早朝)),0)</f>
        <v>155</v>
      </c>
      <c r="R17" s="48"/>
    </row>
    <row r="18" spans="1:18" ht="16.5" customHeight="1" x14ac:dyDescent="0.15">
      <c r="A18" s="41">
        <v>11</v>
      </c>
      <c r="B18" s="41">
        <v>7474</v>
      </c>
      <c r="C18" s="74" t="s">
        <v>14433</v>
      </c>
      <c r="D18" s="274">
        <f>_11_A通院２増１．０</f>
        <v>138</v>
      </c>
      <c r="E18" s="254" t="s">
        <v>392</v>
      </c>
      <c r="F18" s="711"/>
      <c r="G18" s="37"/>
      <c r="H18" s="38"/>
      <c r="I18" s="281" t="s">
        <v>397</v>
      </c>
      <c r="J18" s="218" t="s">
        <v>398</v>
      </c>
      <c r="K18" s="46">
        <v>1</v>
      </c>
      <c r="L18" s="35"/>
      <c r="O18" s="35"/>
      <c r="Q18" s="75">
        <f>ROUND((ROUND((ROUND((_11_A通院２増１．０*_11・基礎２),0)*_11・２人),0)*(1+_11・A早朝)),0)</f>
        <v>155</v>
      </c>
      <c r="R18" s="48"/>
    </row>
    <row r="19" spans="1:18" ht="16.5" customHeight="1" x14ac:dyDescent="0.15">
      <c r="A19" s="41">
        <v>11</v>
      </c>
      <c r="B19" s="41" t="s">
        <v>14434</v>
      </c>
      <c r="C19" s="74" t="s">
        <v>14435</v>
      </c>
      <c r="D19" s="72"/>
      <c r="F19" s="53"/>
      <c r="G19" s="49"/>
      <c r="H19" s="50"/>
      <c r="I19" s="256"/>
      <c r="J19" s="45"/>
      <c r="K19" s="46"/>
      <c r="L19" s="35"/>
      <c r="O19" s="707" t="s">
        <v>404</v>
      </c>
      <c r="P19" s="708"/>
      <c r="Q19" s="75">
        <f>ROUND((ROUND((_11_A通院２増１．０*(1+_11・A早朝)),0)*_11・初任),0)</f>
        <v>121</v>
      </c>
      <c r="R19" s="48"/>
    </row>
    <row r="20" spans="1:18" ht="16.5" customHeight="1" x14ac:dyDescent="0.15">
      <c r="A20" s="41">
        <v>11</v>
      </c>
      <c r="B20" s="41" t="s">
        <v>14436</v>
      </c>
      <c r="C20" s="74" t="s">
        <v>14437</v>
      </c>
      <c r="D20" s="72"/>
      <c r="F20" s="43"/>
      <c r="G20" s="37"/>
      <c r="H20" s="38"/>
      <c r="I20" s="281" t="s">
        <v>397</v>
      </c>
      <c r="J20" s="218" t="s">
        <v>398</v>
      </c>
      <c r="K20" s="46">
        <v>1</v>
      </c>
      <c r="L20" s="35"/>
      <c r="O20" s="709"/>
      <c r="P20" s="704"/>
      <c r="Q20" s="75">
        <f>ROUND((ROUND((ROUND((_11_A通院２増１．０*_11・２人),0)*(1+_11・A早朝)),0)*_11・初任),0)</f>
        <v>121</v>
      </c>
      <c r="R20" s="48"/>
    </row>
    <row r="21" spans="1:18" ht="16.5" customHeight="1" x14ac:dyDescent="0.15">
      <c r="A21" s="41">
        <v>11</v>
      </c>
      <c r="B21" s="41" t="s">
        <v>14438</v>
      </c>
      <c r="C21" s="74" t="s">
        <v>14439</v>
      </c>
      <c r="D21" s="72"/>
      <c r="F21" s="752" t="s">
        <v>400</v>
      </c>
      <c r="G21" s="221" t="s">
        <v>398</v>
      </c>
      <c r="H21" s="50">
        <v>0.9</v>
      </c>
      <c r="I21" s="256"/>
      <c r="J21" s="45"/>
      <c r="K21" s="46"/>
      <c r="L21" s="35"/>
      <c r="O21" s="709"/>
      <c r="P21" s="704"/>
      <c r="Q21" s="75">
        <f>ROUND((ROUND((ROUND((_11_A通院２増１．０*_11・基礎２),0)*(1+_11・A早朝)),0)*_11・初任),0)</f>
        <v>109</v>
      </c>
      <c r="R21" s="48"/>
    </row>
    <row r="22" spans="1:18" ht="16.5" customHeight="1" x14ac:dyDescent="0.15">
      <c r="A22" s="41">
        <v>11</v>
      </c>
      <c r="B22" s="41" t="s">
        <v>14440</v>
      </c>
      <c r="C22" s="74" t="s">
        <v>14441</v>
      </c>
      <c r="D22" s="72"/>
      <c r="F22" s="711"/>
      <c r="G22" s="37"/>
      <c r="H22" s="38"/>
      <c r="I22" s="281" t="s">
        <v>397</v>
      </c>
      <c r="J22" s="218" t="s">
        <v>398</v>
      </c>
      <c r="K22" s="46">
        <v>1</v>
      </c>
      <c r="L22" s="35"/>
      <c r="O22" s="240" t="s">
        <v>398</v>
      </c>
      <c r="P22" s="38">
        <f>_11・初任</f>
        <v>0.7</v>
      </c>
      <c r="Q22" s="75">
        <f>ROUND((ROUND((ROUND((ROUND((_11_A通院２増１．０*_11・基礎２),0)*_11・２人),0)*(1+_11・A早朝)),0)*_11・初任),0)</f>
        <v>109</v>
      </c>
      <c r="R22" s="48"/>
    </row>
    <row r="23" spans="1:18" ht="16.5" customHeight="1" x14ac:dyDescent="0.15">
      <c r="A23" s="41">
        <v>11</v>
      </c>
      <c r="B23" s="41">
        <v>7475</v>
      </c>
      <c r="C23" s="74" t="s">
        <v>14442</v>
      </c>
      <c r="D23" s="707" t="s">
        <v>702</v>
      </c>
      <c r="E23" s="798"/>
      <c r="F23" s="53"/>
      <c r="G23" s="49"/>
      <c r="H23" s="50"/>
      <c r="I23" s="256"/>
      <c r="J23" s="45"/>
      <c r="K23" s="46"/>
      <c r="L23" s="35"/>
      <c r="O23" s="53"/>
      <c r="P23" s="50"/>
      <c r="Q23" s="75">
        <f>ROUND((_11_A通院２増１．５*(1+_11・A早朝)),0)</f>
        <v>259</v>
      </c>
      <c r="R23" s="48"/>
    </row>
    <row r="24" spans="1:18" ht="16.5" customHeight="1" x14ac:dyDescent="0.15">
      <c r="A24" s="41">
        <v>11</v>
      </c>
      <c r="B24" s="41">
        <v>7476</v>
      </c>
      <c r="C24" s="74" t="s">
        <v>14443</v>
      </c>
      <c r="D24" s="799"/>
      <c r="E24" s="796"/>
      <c r="F24" s="43"/>
      <c r="G24" s="37"/>
      <c r="H24" s="38"/>
      <c r="I24" s="281" t="s">
        <v>397</v>
      </c>
      <c r="J24" s="218" t="s">
        <v>398</v>
      </c>
      <c r="K24" s="46">
        <v>1</v>
      </c>
      <c r="L24" s="35"/>
      <c r="O24" s="35"/>
      <c r="Q24" s="75">
        <f>ROUND((ROUND((_11_A通院２増１．５*_11・２人),0)*(1+_11・A早朝)),0)</f>
        <v>259</v>
      </c>
      <c r="R24" s="48"/>
    </row>
    <row r="25" spans="1:18" ht="16.5" customHeight="1" x14ac:dyDescent="0.15">
      <c r="A25" s="41">
        <v>11</v>
      </c>
      <c r="B25" s="41">
        <v>7477</v>
      </c>
      <c r="C25" s="74" t="s">
        <v>14444</v>
      </c>
      <c r="D25" s="799"/>
      <c r="E25" s="796"/>
      <c r="F25" s="752" t="s">
        <v>400</v>
      </c>
      <c r="G25" s="221" t="s">
        <v>398</v>
      </c>
      <c r="H25" s="50">
        <v>0.9</v>
      </c>
      <c r="I25" s="256"/>
      <c r="J25" s="45"/>
      <c r="K25" s="46"/>
      <c r="L25" s="35"/>
      <c r="O25" s="35"/>
      <c r="Q25" s="75">
        <f>ROUND((ROUND((_11_A通院２増１．５*_11・基礎２),0)*(1+_11・A早朝)),0)</f>
        <v>233</v>
      </c>
      <c r="R25" s="48"/>
    </row>
    <row r="26" spans="1:18" ht="16.5" customHeight="1" x14ac:dyDescent="0.15">
      <c r="A26" s="41">
        <v>11</v>
      </c>
      <c r="B26" s="41">
        <v>7478</v>
      </c>
      <c r="C26" s="74" t="s">
        <v>14445</v>
      </c>
      <c r="D26" s="274">
        <f>_11_A通院２増１．５</f>
        <v>207</v>
      </c>
      <c r="E26" s="254" t="s">
        <v>392</v>
      </c>
      <c r="F26" s="711"/>
      <c r="G26" s="37"/>
      <c r="H26" s="38"/>
      <c r="I26" s="281" t="s">
        <v>397</v>
      </c>
      <c r="J26" s="218" t="s">
        <v>398</v>
      </c>
      <c r="K26" s="46">
        <v>1</v>
      </c>
      <c r="L26" s="35"/>
      <c r="O26" s="35"/>
      <c r="Q26" s="75">
        <f>ROUND((ROUND((ROUND((_11_A通院２増１．５*_11・基礎２),0)*_11・２人),0)*(1+_11・A早朝)),0)</f>
        <v>233</v>
      </c>
      <c r="R26" s="48"/>
    </row>
    <row r="27" spans="1:18" ht="16.5" customHeight="1" x14ac:dyDescent="0.15">
      <c r="A27" s="41">
        <v>11</v>
      </c>
      <c r="B27" s="41" t="s">
        <v>14446</v>
      </c>
      <c r="C27" s="74" t="s">
        <v>14447</v>
      </c>
      <c r="D27" s="72"/>
      <c r="F27" s="53"/>
      <c r="G27" s="49"/>
      <c r="H27" s="50"/>
      <c r="I27" s="256"/>
      <c r="J27" s="45"/>
      <c r="K27" s="46"/>
      <c r="L27" s="35"/>
      <c r="O27" s="707" t="s">
        <v>404</v>
      </c>
      <c r="P27" s="708"/>
      <c r="Q27" s="75">
        <f>ROUND((ROUND((_11_A通院２増１．５*(1+_11・A早朝)),0)*_11・初任),0)</f>
        <v>181</v>
      </c>
      <c r="R27" s="48"/>
    </row>
    <row r="28" spans="1:18" ht="16.5" customHeight="1" x14ac:dyDescent="0.15">
      <c r="A28" s="41">
        <v>11</v>
      </c>
      <c r="B28" s="41" t="s">
        <v>14448</v>
      </c>
      <c r="C28" s="74" t="s">
        <v>14449</v>
      </c>
      <c r="D28" s="72"/>
      <c r="F28" s="43"/>
      <c r="G28" s="37"/>
      <c r="H28" s="38"/>
      <c r="I28" s="281" t="s">
        <v>397</v>
      </c>
      <c r="J28" s="218" t="s">
        <v>398</v>
      </c>
      <c r="K28" s="46">
        <v>1</v>
      </c>
      <c r="L28" s="35"/>
      <c r="O28" s="709"/>
      <c r="P28" s="704"/>
      <c r="Q28" s="75">
        <f>ROUND((ROUND((ROUND((_11_A通院２増１．５*_11・２人),0)*(1+_11・A早朝)),0)*_11・初任),0)</f>
        <v>181</v>
      </c>
      <c r="R28" s="48"/>
    </row>
    <row r="29" spans="1:18" ht="16.5" customHeight="1" x14ac:dyDescent="0.15">
      <c r="A29" s="41">
        <v>11</v>
      </c>
      <c r="B29" s="41" t="s">
        <v>14450</v>
      </c>
      <c r="C29" s="74" t="s">
        <v>14451</v>
      </c>
      <c r="D29" s="72"/>
      <c r="F29" s="752" t="s">
        <v>400</v>
      </c>
      <c r="G29" s="221" t="s">
        <v>398</v>
      </c>
      <c r="H29" s="50">
        <v>0.9</v>
      </c>
      <c r="I29" s="256"/>
      <c r="J29" s="45"/>
      <c r="K29" s="46"/>
      <c r="L29" s="35"/>
      <c r="O29" s="709"/>
      <c r="P29" s="704"/>
      <c r="Q29" s="75">
        <f>ROUND((ROUND((ROUND((_11_A通院２増１．５*_11・基礎２),0)*(1+_11・A早朝)),0)*_11・初任),0)</f>
        <v>163</v>
      </c>
      <c r="R29" s="48"/>
    </row>
    <row r="30" spans="1:18" ht="16.5" customHeight="1" x14ac:dyDescent="0.15">
      <c r="A30" s="41">
        <v>11</v>
      </c>
      <c r="B30" s="41" t="s">
        <v>14452</v>
      </c>
      <c r="C30" s="74" t="s">
        <v>14453</v>
      </c>
      <c r="D30" s="72"/>
      <c r="F30" s="711"/>
      <c r="G30" s="37"/>
      <c r="H30" s="38"/>
      <c r="I30" s="281" t="s">
        <v>397</v>
      </c>
      <c r="J30" s="218" t="s">
        <v>398</v>
      </c>
      <c r="K30" s="46">
        <v>1</v>
      </c>
      <c r="L30" s="35"/>
      <c r="O30" s="240" t="s">
        <v>398</v>
      </c>
      <c r="P30" s="38">
        <f>_11・初任</f>
        <v>0.7</v>
      </c>
      <c r="Q30" s="75">
        <f>ROUND((ROUND((ROUND((ROUND((_11_A通院２増１．５*_11・基礎２),0)*_11・２人),0)*(1+_11・A早朝)),0)*_11・初任),0)</f>
        <v>163</v>
      </c>
      <c r="R30" s="48"/>
    </row>
    <row r="31" spans="1:18" ht="16.5" customHeight="1" x14ac:dyDescent="0.15">
      <c r="A31" s="41">
        <v>11</v>
      </c>
      <c r="B31" s="41">
        <v>7479</v>
      </c>
      <c r="C31" s="74" t="s">
        <v>14454</v>
      </c>
      <c r="D31" s="707" t="s">
        <v>715</v>
      </c>
      <c r="E31" s="798"/>
      <c r="F31" s="53"/>
      <c r="G31" s="49"/>
      <c r="H31" s="50"/>
      <c r="I31" s="256"/>
      <c r="J31" s="45"/>
      <c r="K31" s="46"/>
      <c r="L31" s="35"/>
      <c r="O31" s="53"/>
      <c r="P31" s="50"/>
      <c r="Q31" s="75">
        <f>ROUND((_11_A通院２増２．０*(1+_11・A早朝)),0)</f>
        <v>345</v>
      </c>
      <c r="R31" s="48"/>
    </row>
    <row r="32" spans="1:18" ht="16.5" customHeight="1" x14ac:dyDescent="0.15">
      <c r="A32" s="41">
        <v>11</v>
      </c>
      <c r="B32" s="41">
        <v>7480</v>
      </c>
      <c r="C32" s="74" t="s">
        <v>14455</v>
      </c>
      <c r="D32" s="799"/>
      <c r="E32" s="796"/>
      <c r="F32" s="43"/>
      <c r="G32" s="37"/>
      <c r="H32" s="38"/>
      <c r="I32" s="281" t="s">
        <v>397</v>
      </c>
      <c r="J32" s="218" t="s">
        <v>398</v>
      </c>
      <c r="K32" s="46">
        <v>1</v>
      </c>
      <c r="L32" s="35"/>
      <c r="O32" s="35"/>
      <c r="Q32" s="75">
        <f>ROUND((ROUND((_11_A通院２増２．０*_11・２人),0)*(1+_11・A早朝)),0)</f>
        <v>345</v>
      </c>
      <c r="R32" s="48"/>
    </row>
    <row r="33" spans="1:18" ht="16.5" customHeight="1" x14ac:dyDescent="0.15">
      <c r="A33" s="41">
        <v>11</v>
      </c>
      <c r="B33" s="41">
        <v>7481</v>
      </c>
      <c r="C33" s="74" t="s">
        <v>14456</v>
      </c>
      <c r="D33" s="799"/>
      <c r="E33" s="796"/>
      <c r="F33" s="752" t="s">
        <v>400</v>
      </c>
      <c r="G33" s="221" t="s">
        <v>398</v>
      </c>
      <c r="H33" s="50">
        <v>0.9</v>
      </c>
      <c r="I33" s="256"/>
      <c r="J33" s="45"/>
      <c r="K33" s="46"/>
      <c r="L33" s="35"/>
      <c r="O33" s="35"/>
      <c r="Q33" s="75">
        <f>ROUND((ROUND((_11_A通院２増２．０*_11・基礎２),0)*(1+_11・A早朝)),0)</f>
        <v>310</v>
      </c>
      <c r="R33" s="48"/>
    </row>
    <row r="34" spans="1:18" ht="16.5" customHeight="1" x14ac:dyDescent="0.15">
      <c r="A34" s="41">
        <v>11</v>
      </c>
      <c r="B34" s="41">
        <v>7482</v>
      </c>
      <c r="C34" s="74" t="s">
        <v>14457</v>
      </c>
      <c r="D34" s="274">
        <f>_11_A通院２増２．０</f>
        <v>276</v>
      </c>
      <c r="E34" s="254" t="s">
        <v>392</v>
      </c>
      <c r="F34" s="711"/>
      <c r="G34" s="37"/>
      <c r="H34" s="38"/>
      <c r="I34" s="281" t="s">
        <v>397</v>
      </c>
      <c r="J34" s="218" t="s">
        <v>398</v>
      </c>
      <c r="K34" s="46">
        <v>1</v>
      </c>
      <c r="L34" s="35"/>
      <c r="O34" s="35"/>
      <c r="Q34" s="75">
        <f>ROUND((ROUND((ROUND((_11_A通院２増２．０*_11・基礎２),0)*_11・２人),0)*(1+_11・A早朝)),0)</f>
        <v>310</v>
      </c>
      <c r="R34" s="48"/>
    </row>
    <row r="35" spans="1:18" ht="16.5" customHeight="1" x14ac:dyDescent="0.15">
      <c r="A35" s="41">
        <v>11</v>
      </c>
      <c r="B35" s="41" t="s">
        <v>14458</v>
      </c>
      <c r="C35" s="74" t="s">
        <v>14459</v>
      </c>
      <c r="D35" s="72"/>
      <c r="F35" s="53"/>
      <c r="G35" s="49"/>
      <c r="H35" s="50"/>
      <c r="I35" s="256"/>
      <c r="J35" s="45"/>
      <c r="K35" s="46"/>
      <c r="L35" s="35"/>
      <c r="O35" s="707" t="s">
        <v>404</v>
      </c>
      <c r="P35" s="708"/>
      <c r="Q35" s="75">
        <f>ROUND((ROUND((_11_A通院２増２．０*(1+_11・A早朝)),0)*_11・初任),0)</f>
        <v>242</v>
      </c>
      <c r="R35" s="48"/>
    </row>
    <row r="36" spans="1:18" ht="16.5" customHeight="1" x14ac:dyDescent="0.15">
      <c r="A36" s="41">
        <v>11</v>
      </c>
      <c r="B36" s="41" t="s">
        <v>14460</v>
      </c>
      <c r="C36" s="74" t="s">
        <v>14461</v>
      </c>
      <c r="D36" s="72"/>
      <c r="F36" s="43"/>
      <c r="G36" s="37"/>
      <c r="H36" s="38"/>
      <c r="I36" s="281" t="s">
        <v>397</v>
      </c>
      <c r="J36" s="218" t="s">
        <v>398</v>
      </c>
      <c r="K36" s="46">
        <v>1</v>
      </c>
      <c r="L36" s="35"/>
      <c r="O36" s="709"/>
      <c r="P36" s="704"/>
      <c r="Q36" s="75">
        <f>ROUND((ROUND((ROUND((_11_A通院２増２．０*_11・２人),0)*(1+_11・A早朝)),0)*_11・初任),0)</f>
        <v>242</v>
      </c>
      <c r="R36" s="48"/>
    </row>
    <row r="37" spans="1:18" ht="16.5" customHeight="1" x14ac:dyDescent="0.15">
      <c r="A37" s="41">
        <v>11</v>
      </c>
      <c r="B37" s="41" t="s">
        <v>14462</v>
      </c>
      <c r="C37" s="74" t="s">
        <v>14463</v>
      </c>
      <c r="D37" s="72"/>
      <c r="F37" s="752" t="s">
        <v>400</v>
      </c>
      <c r="G37" s="221" t="s">
        <v>398</v>
      </c>
      <c r="H37" s="50">
        <v>0.9</v>
      </c>
      <c r="I37" s="256"/>
      <c r="J37" s="45"/>
      <c r="K37" s="46"/>
      <c r="L37" s="35"/>
      <c r="O37" s="709"/>
      <c r="P37" s="704"/>
      <c r="Q37" s="75">
        <f>ROUND((ROUND((ROUND((_11_A通院２増２．０*_11・基礎２),0)*(1+_11・A早朝)),0)*_11・初任),0)</f>
        <v>217</v>
      </c>
      <c r="R37" s="48"/>
    </row>
    <row r="38" spans="1:18" ht="16.5" customHeight="1" x14ac:dyDescent="0.15">
      <c r="A38" s="41">
        <v>11</v>
      </c>
      <c r="B38" s="41" t="s">
        <v>14464</v>
      </c>
      <c r="C38" s="74" t="s">
        <v>14465</v>
      </c>
      <c r="D38" s="72"/>
      <c r="F38" s="711"/>
      <c r="G38" s="37"/>
      <c r="H38" s="38"/>
      <c r="I38" s="281" t="s">
        <v>397</v>
      </c>
      <c r="J38" s="218" t="s">
        <v>398</v>
      </c>
      <c r="K38" s="46">
        <v>1</v>
      </c>
      <c r="L38" s="35"/>
      <c r="O38" s="240" t="s">
        <v>398</v>
      </c>
      <c r="P38" s="38">
        <f>_11・初任</f>
        <v>0.7</v>
      </c>
      <c r="Q38" s="75">
        <f>ROUND((ROUND((ROUND((ROUND((_11_A通院２増２．０*_11・基礎２),0)*_11・２人),0)*(1+_11・A早朝)),0)*_11・初任),0)</f>
        <v>217</v>
      </c>
      <c r="R38" s="48"/>
    </row>
    <row r="39" spans="1:18" ht="16.5" customHeight="1" x14ac:dyDescent="0.15">
      <c r="A39" s="41">
        <v>11</v>
      </c>
      <c r="B39" s="41">
        <v>7483</v>
      </c>
      <c r="C39" s="74" t="s">
        <v>14466</v>
      </c>
      <c r="D39" s="707" t="s">
        <v>728</v>
      </c>
      <c r="E39" s="798"/>
      <c r="F39" s="53"/>
      <c r="G39" s="49"/>
      <c r="H39" s="50"/>
      <c r="I39" s="256"/>
      <c r="J39" s="45"/>
      <c r="K39" s="46"/>
      <c r="L39" s="35"/>
      <c r="O39" s="53"/>
      <c r="P39" s="50"/>
      <c r="Q39" s="75">
        <f>ROUND((_11_A通院２増２．５*(1+_11・A早朝)),0)</f>
        <v>431</v>
      </c>
      <c r="R39" s="48"/>
    </row>
    <row r="40" spans="1:18" ht="16.5" customHeight="1" x14ac:dyDescent="0.15">
      <c r="A40" s="41">
        <v>11</v>
      </c>
      <c r="B40" s="41">
        <v>7484</v>
      </c>
      <c r="C40" s="74" t="s">
        <v>14467</v>
      </c>
      <c r="D40" s="799"/>
      <c r="E40" s="796"/>
      <c r="F40" s="43"/>
      <c r="G40" s="37"/>
      <c r="H40" s="38"/>
      <c r="I40" s="281" t="s">
        <v>397</v>
      </c>
      <c r="J40" s="218" t="s">
        <v>398</v>
      </c>
      <c r="K40" s="46">
        <v>1</v>
      </c>
      <c r="L40" s="35"/>
      <c r="O40" s="35"/>
      <c r="Q40" s="75">
        <f>ROUND((ROUND((_11_A通院２増２．５*_11・２人),0)*(1+_11・A早朝)),0)</f>
        <v>431</v>
      </c>
      <c r="R40" s="48"/>
    </row>
    <row r="41" spans="1:18" ht="16.5" customHeight="1" x14ac:dyDescent="0.15">
      <c r="A41" s="41">
        <v>11</v>
      </c>
      <c r="B41" s="41">
        <v>7485</v>
      </c>
      <c r="C41" s="74" t="s">
        <v>14468</v>
      </c>
      <c r="D41" s="799"/>
      <c r="E41" s="796"/>
      <c r="F41" s="752" t="s">
        <v>400</v>
      </c>
      <c r="G41" s="221" t="s">
        <v>398</v>
      </c>
      <c r="H41" s="50">
        <v>0.9</v>
      </c>
      <c r="I41" s="256"/>
      <c r="J41" s="45"/>
      <c r="K41" s="46"/>
      <c r="L41" s="35"/>
      <c r="O41" s="35"/>
      <c r="Q41" s="75">
        <f>ROUND((ROUND((_11_A通院２増２．５*_11・基礎２),0)*(1+_11・A早朝)),0)</f>
        <v>389</v>
      </c>
      <c r="R41" s="48"/>
    </row>
    <row r="42" spans="1:18" ht="16.5" customHeight="1" x14ac:dyDescent="0.15">
      <c r="A42" s="41">
        <v>11</v>
      </c>
      <c r="B42" s="41">
        <v>7486</v>
      </c>
      <c r="C42" s="74" t="s">
        <v>14469</v>
      </c>
      <c r="D42" s="274">
        <f>_11_A通院２増２．５</f>
        <v>345</v>
      </c>
      <c r="E42" s="254" t="s">
        <v>392</v>
      </c>
      <c r="F42" s="711"/>
      <c r="G42" s="37"/>
      <c r="H42" s="38"/>
      <c r="I42" s="281" t="s">
        <v>397</v>
      </c>
      <c r="J42" s="218" t="s">
        <v>398</v>
      </c>
      <c r="K42" s="46">
        <v>1</v>
      </c>
      <c r="L42" s="35"/>
      <c r="O42" s="35"/>
      <c r="Q42" s="75">
        <f>ROUND((ROUND((ROUND((_11_A通院２増２．５*_11・基礎２),0)*_11・２人),0)*(1+_11・A早朝)),0)</f>
        <v>389</v>
      </c>
      <c r="R42" s="48"/>
    </row>
    <row r="43" spans="1:18" ht="16.5" customHeight="1" x14ac:dyDescent="0.15">
      <c r="A43" s="41">
        <v>11</v>
      </c>
      <c r="B43" s="41" t="s">
        <v>14470</v>
      </c>
      <c r="C43" s="74" t="s">
        <v>14471</v>
      </c>
      <c r="D43" s="72"/>
      <c r="F43" s="53"/>
      <c r="G43" s="49"/>
      <c r="H43" s="50"/>
      <c r="I43" s="256"/>
      <c r="J43" s="45"/>
      <c r="K43" s="46"/>
      <c r="L43" s="35"/>
      <c r="O43" s="707" t="s">
        <v>404</v>
      </c>
      <c r="P43" s="708"/>
      <c r="Q43" s="75">
        <f>ROUND((ROUND((_11_A通院２増２．５*(1+_11・A早朝)),0)*_11・初任),0)</f>
        <v>302</v>
      </c>
      <c r="R43" s="48"/>
    </row>
    <row r="44" spans="1:18" ht="16.5" customHeight="1" x14ac:dyDescent="0.15">
      <c r="A44" s="41">
        <v>11</v>
      </c>
      <c r="B44" s="41" t="s">
        <v>14472</v>
      </c>
      <c r="C44" s="74" t="s">
        <v>14473</v>
      </c>
      <c r="D44" s="72"/>
      <c r="F44" s="43"/>
      <c r="G44" s="37"/>
      <c r="H44" s="38"/>
      <c r="I44" s="281" t="s">
        <v>397</v>
      </c>
      <c r="J44" s="218" t="s">
        <v>398</v>
      </c>
      <c r="K44" s="46">
        <v>1</v>
      </c>
      <c r="L44" s="35"/>
      <c r="O44" s="709"/>
      <c r="P44" s="704"/>
      <c r="Q44" s="75">
        <f>ROUND((ROUND((ROUND((_11_A通院２増２．５*_11・２人),0)*(1+_11・A早朝)),0)*_11・初任),0)</f>
        <v>302</v>
      </c>
      <c r="R44" s="48"/>
    </row>
    <row r="45" spans="1:18" ht="16.5" customHeight="1" x14ac:dyDescent="0.15">
      <c r="A45" s="41">
        <v>11</v>
      </c>
      <c r="B45" s="41" t="s">
        <v>14474</v>
      </c>
      <c r="C45" s="74" t="s">
        <v>14475</v>
      </c>
      <c r="D45" s="72"/>
      <c r="F45" s="752" t="s">
        <v>400</v>
      </c>
      <c r="G45" s="221" t="s">
        <v>398</v>
      </c>
      <c r="H45" s="50">
        <v>0.9</v>
      </c>
      <c r="I45" s="256"/>
      <c r="J45" s="45"/>
      <c r="K45" s="46"/>
      <c r="L45" s="35"/>
      <c r="O45" s="709"/>
      <c r="P45" s="704"/>
      <c r="Q45" s="75">
        <f>ROUND((ROUND((ROUND((_11_A通院２増２．５*_11・基礎２),0)*(1+_11・A早朝)),0)*_11・初任),0)</f>
        <v>272</v>
      </c>
      <c r="R45" s="48"/>
    </row>
    <row r="46" spans="1:18" ht="16.5" customHeight="1" x14ac:dyDescent="0.15">
      <c r="A46" s="41">
        <v>11</v>
      </c>
      <c r="B46" s="41" t="s">
        <v>14476</v>
      </c>
      <c r="C46" s="74" t="s">
        <v>14477</v>
      </c>
      <c r="D46" s="122"/>
      <c r="E46" s="37"/>
      <c r="F46" s="711"/>
      <c r="G46" s="37"/>
      <c r="H46" s="38"/>
      <c r="I46" s="281" t="s">
        <v>397</v>
      </c>
      <c r="J46" s="218" t="s">
        <v>398</v>
      </c>
      <c r="K46" s="46">
        <v>1</v>
      </c>
      <c r="L46" s="43"/>
      <c r="M46" s="37"/>
      <c r="N46" s="38"/>
      <c r="O46" s="240" t="s">
        <v>398</v>
      </c>
      <c r="P46" s="38">
        <f>_11・初任</f>
        <v>0.7</v>
      </c>
      <c r="Q46" s="75">
        <f>ROUND((ROUND((ROUND((ROUND((_11_A通院２増２．５*_11・基礎２),0)*_11・２人),0)*(1+_11・A早朝)),0)*_11・初任),0)</f>
        <v>272</v>
      </c>
      <c r="R46" s="63"/>
    </row>
    <row r="47" spans="1:18" ht="16.5" customHeight="1" x14ac:dyDescent="0.15">
      <c r="A47" s="80"/>
      <c r="B47" s="80"/>
      <c r="C47" s="81"/>
      <c r="I47" s="82"/>
      <c r="Q47" s="84"/>
      <c r="R47" s="85"/>
    </row>
    <row r="48" spans="1:18" ht="16.5" customHeight="1" x14ac:dyDescent="0.15">
      <c r="A48" s="80"/>
      <c r="B48" s="80"/>
      <c r="C48" s="81"/>
      <c r="I48" s="82"/>
      <c r="Q48" s="84"/>
      <c r="R48" s="85"/>
    </row>
    <row r="49" spans="1:18" ht="16.5" customHeight="1" x14ac:dyDescent="0.15">
      <c r="A49" s="80"/>
      <c r="B49" s="86" t="s">
        <v>14478</v>
      </c>
      <c r="C49" s="81"/>
      <c r="D49" s="71"/>
      <c r="I49" s="82"/>
      <c r="Q49" s="84"/>
      <c r="R49" s="85"/>
    </row>
    <row r="50" spans="1:18" ht="16.5" customHeight="1" x14ac:dyDescent="0.15">
      <c r="A50" s="87" t="s">
        <v>384</v>
      </c>
      <c r="B50" s="20"/>
      <c r="C50" s="88" t="s">
        <v>385</v>
      </c>
      <c r="D50" s="23" t="s">
        <v>386</v>
      </c>
      <c r="E50" s="23"/>
      <c r="F50" s="23"/>
      <c r="G50" s="23"/>
      <c r="H50" s="24"/>
      <c r="I50" s="283"/>
      <c r="J50" s="23"/>
      <c r="K50" s="24"/>
      <c r="L50" s="23"/>
      <c r="M50" s="23"/>
      <c r="N50" s="24"/>
      <c r="O50" s="23"/>
      <c r="P50" s="24"/>
      <c r="Q50" s="25" t="s">
        <v>387</v>
      </c>
      <c r="R50" s="21" t="s">
        <v>388</v>
      </c>
    </row>
    <row r="51" spans="1:18" ht="16.5" customHeight="1" x14ac:dyDescent="0.15">
      <c r="A51" s="26" t="s">
        <v>389</v>
      </c>
      <c r="B51" s="26" t="s">
        <v>390</v>
      </c>
      <c r="C51" s="89"/>
      <c r="D51" s="29"/>
      <c r="E51" s="29"/>
      <c r="F51" s="29"/>
      <c r="G51" s="29"/>
      <c r="H51" s="30"/>
      <c r="I51" s="284"/>
      <c r="J51" s="29"/>
      <c r="K51" s="30"/>
      <c r="L51" s="29"/>
      <c r="M51" s="29"/>
      <c r="N51" s="30"/>
      <c r="O51" s="29"/>
      <c r="P51" s="30"/>
      <c r="Q51" s="31" t="s">
        <v>391</v>
      </c>
      <c r="R51" s="32" t="s">
        <v>392</v>
      </c>
    </row>
    <row r="52" spans="1:18" ht="16.5" customHeight="1" x14ac:dyDescent="0.15">
      <c r="A52" s="33">
        <v>11</v>
      </c>
      <c r="B52" s="33">
        <v>7487</v>
      </c>
      <c r="C52" s="34" t="s">
        <v>14479</v>
      </c>
      <c r="D52" s="709" t="s">
        <v>742</v>
      </c>
      <c r="E52" s="796"/>
      <c r="F52" s="35"/>
      <c r="I52" s="70"/>
      <c r="J52" s="37"/>
      <c r="K52" s="38"/>
      <c r="L52" s="35" t="s">
        <v>743</v>
      </c>
      <c r="N52" s="234"/>
      <c r="O52" s="35"/>
      <c r="Q52" s="93">
        <f>ROUND((_11_A通院２増０．５*(1+_11・A夜間)),0)</f>
        <v>86</v>
      </c>
      <c r="R52" s="40" t="s">
        <v>395</v>
      </c>
    </row>
    <row r="53" spans="1:18" ht="16.5" customHeight="1" x14ac:dyDescent="0.15">
      <c r="A53" s="41">
        <v>11</v>
      </c>
      <c r="B53" s="41">
        <v>7488</v>
      </c>
      <c r="C53" s="74" t="s">
        <v>14480</v>
      </c>
      <c r="D53" s="799"/>
      <c r="E53" s="796"/>
      <c r="F53" s="43"/>
      <c r="G53" s="37"/>
      <c r="H53" s="38"/>
      <c r="I53" s="281" t="s">
        <v>397</v>
      </c>
      <c r="J53" s="218" t="s">
        <v>398</v>
      </c>
      <c r="K53" s="46">
        <v>1</v>
      </c>
      <c r="L53" s="258" t="s">
        <v>398</v>
      </c>
      <c r="M53" s="13">
        <v>0.25</v>
      </c>
      <c r="N53" s="718" t="s">
        <v>676</v>
      </c>
      <c r="O53" s="35"/>
      <c r="Q53" s="95">
        <f>ROUND((ROUND((_11_A通院２増０．５*_11・２人),0)*(1+_11・A夜間)),0)</f>
        <v>86</v>
      </c>
      <c r="R53" s="48"/>
    </row>
    <row r="54" spans="1:18" ht="16.5" customHeight="1" x14ac:dyDescent="0.15">
      <c r="A54" s="41">
        <v>11</v>
      </c>
      <c r="B54" s="41">
        <v>7489</v>
      </c>
      <c r="C54" s="74" t="s">
        <v>14481</v>
      </c>
      <c r="D54" s="799"/>
      <c r="E54" s="796"/>
      <c r="F54" s="752" t="s">
        <v>400</v>
      </c>
      <c r="G54" s="221" t="s">
        <v>398</v>
      </c>
      <c r="H54" s="50">
        <v>0.9</v>
      </c>
      <c r="I54" s="282"/>
      <c r="J54" s="45"/>
      <c r="K54" s="46"/>
      <c r="L54" s="35"/>
      <c r="N54" s="796"/>
      <c r="O54" s="35"/>
      <c r="Q54" s="95">
        <f>ROUND((ROUND((_11_A通院２増０．５*_11・基礎２),0)*(1+_11・A夜間)),0)</f>
        <v>78</v>
      </c>
      <c r="R54" s="48"/>
    </row>
    <row r="55" spans="1:18" ht="16.5" customHeight="1" x14ac:dyDescent="0.15">
      <c r="A55" s="41">
        <v>11</v>
      </c>
      <c r="B55" s="41">
        <v>7490</v>
      </c>
      <c r="C55" s="74" t="s">
        <v>14482</v>
      </c>
      <c r="D55" s="274">
        <f>_11_A通院２増０．５</f>
        <v>69</v>
      </c>
      <c r="E55" s="254" t="s">
        <v>392</v>
      </c>
      <c r="F55" s="711"/>
      <c r="G55" s="37"/>
      <c r="H55" s="38"/>
      <c r="I55" s="281" t="s">
        <v>397</v>
      </c>
      <c r="J55" s="218" t="s">
        <v>398</v>
      </c>
      <c r="K55" s="46">
        <v>1</v>
      </c>
      <c r="L55" s="35"/>
      <c r="N55" s="234"/>
      <c r="O55" s="35"/>
      <c r="Q55" s="95">
        <f>ROUND((ROUND((ROUND((_11_A通院２増０．５*_11・基礎２),0)*_11・２人),0)*(1+_11・A夜間)),0)</f>
        <v>78</v>
      </c>
      <c r="R55" s="48"/>
    </row>
    <row r="56" spans="1:18" ht="16.5" customHeight="1" x14ac:dyDescent="0.15">
      <c r="A56" s="41">
        <v>11</v>
      </c>
      <c r="B56" s="41" t="s">
        <v>14483</v>
      </c>
      <c r="C56" s="74" t="s">
        <v>14484</v>
      </c>
      <c r="D56" s="72"/>
      <c r="F56" s="53"/>
      <c r="G56" s="49"/>
      <c r="H56" s="50"/>
      <c r="I56" s="282"/>
      <c r="J56" s="45"/>
      <c r="K56" s="46"/>
      <c r="L56" s="35"/>
      <c r="N56" s="234"/>
      <c r="O56" s="707" t="s">
        <v>404</v>
      </c>
      <c r="P56" s="708"/>
      <c r="Q56" s="95">
        <f>ROUND((ROUND((_11_A通院２増０．５*(1+_11・A夜間)),0)*_11・初任),0)</f>
        <v>60</v>
      </c>
      <c r="R56" s="48"/>
    </row>
    <row r="57" spans="1:18" ht="16.5" customHeight="1" x14ac:dyDescent="0.15">
      <c r="A57" s="41">
        <v>11</v>
      </c>
      <c r="B57" s="41" t="s">
        <v>14485</v>
      </c>
      <c r="C57" s="74" t="s">
        <v>14486</v>
      </c>
      <c r="D57" s="72"/>
      <c r="F57" s="43"/>
      <c r="G57" s="37"/>
      <c r="H57" s="38"/>
      <c r="I57" s="281" t="s">
        <v>397</v>
      </c>
      <c r="J57" s="218" t="s">
        <v>398</v>
      </c>
      <c r="K57" s="46">
        <v>1</v>
      </c>
      <c r="L57" s="35"/>
      <c r="O57" s="709"/>
      <c r="P57" s="704"/>
      <c r="Q57" s="95">
        <f>ROUND((ROUND((ROUND((_11_A通院２増０．５*_11・２人),0)*(1+_11・A夜間)),0)*_11・初任),0)</f>
        <v>60</v>
      </c>
      <c r="R57" s="48"/>
    </row>
    <row r="58" spans="1:18" ht="16.5" customHeight="1" x14ac:dyDescent="0.15">
      <c r="A58" s="41">
        <v>11</v>
      </c>
      <c r="B58" s="41" t="s">
        <v>14487</v>
      </c>
      <c r="C58" s="74" t="s">
        <v>14488</v>
      </c>
      <c r="D58" s="72"/>
      <c r="F58" s="752" t="s">
        <v>400</v>
      </c>
      <c r="G58" s="221" t="s">
        <v>398</v>
      </c>
      <c r="H58" s="50">
        <v>0.9</v>
      </c>
      <c r="I58" s="282"/>
      <c r="J58" s="45"/>
      <c r="K58" s="46"/>
      <c r="L58" s="35"/>
      <c r="O58" s="709"/>
      <c r="P58" s="704"/>
      <c r="Q58" s="95">
        <f>ROUND((ROUND((ROUND((_11_A通院２増０．５*_11・基礎２),0)*(1+_11・A夜間)),0)*_11・初任),0)</f>
        <v>55</v>
      </c>
      <c r="R58" s="48"/>
    </row>
    <row r="59" spans="1:18" ht="16.5" customHeight="1" x14ac:dyDescent="0.15">
      <c r="A59" s="41">
        <v>11</v>
      </c>
      <c r="B59" s="41" t="s">
        <v>14489</v>
      </c>
      <c r="C59" s="74" t="s">
        <v>14490</v>
      </c>
      <c r="D59" s="72"/>
      <c r="F59" s="711"/>
      <c r="G59" s="37"/>
      <c r="H59" s="38"/>
      <c r="I59" s="281" t="s">
        <v>397</v>
      </c>
      <c r="J59" s="218" t="s">
        <v>398</v>
      </c>
      <c r="K59" s="46">
        <v>1</v>
      </c>
      <c r="L59" s="35"/>
      <c r="O59" s="240" t="s">
        <v>398</v>
      </c>
      <c r="P59" s="38">
        <f>_11・初任</f>
        <v>0.7</v>
      </c>
      <c r="Q59" s="95">
        <f>ROUND((ROUND((ROUND((ROUND((_11_A通院２増０．５*_11・基礎２),0)*_11・２人),0)*(1+_11・A夜間)),0)*_11・初任),0)</f>
        <v>55</v>
      </c>
      <c r="R59" s="48"/>
    </row>
    <row r="60" spans="1:18" ht="16.5" customHeight="1" x14ac:dyDescent="0.15">
      <c r="A60" s="41">
        <v>11</v>
      </c>
      <c r="B60" s="41">
        <v>7491</v>
      </c>
      <c r="C60" s="74" t="s">
        <v>14491</v>
      </c>
      <c r="D60" s="707" t="s">
        <v>756</v>
      </c>
      <c r="E60" s="798"/>
      <c r="F60" s="53"/>
      <c r="G60" s="49"/>
      <c r="H60" s="50"/>
      <c r="I60" s="282"/>
      <c r="J60" s="45"/>
      <c r="K60" s="46"/>
      <c r="L60" s="35"/>
      <c r="O60" s="53"/>
      <c r="P60" s="50"/>
      <c r="Q60" s="95">
        <f>ROUND((_11_A通院２増１．０*(1+_11・A夜間)),0)</f>
        <v>173</v>
      </c>
      <c r="R60" s="48"/>
    </row>
    <row r="61" spans="1:18" ht="16.5" customHeight="1" x14ac:dyDescent="0.15">
      <c r="A61" s="41">
        <v>11</v>
      </c>
      <c r="B61" s="41">
        <v>7492</v>
      </c>
      <c r="C61" s="74" t="s">
        <v>14492</v>
      </c>
      <c r="D61" s="799"/>
      <c r="E61" s="796"/>
      <c r="F61" s="43"/>
      <c r="G61" s="37"/>
      <c r="H61" s="38"/>
      <c r="I61" s="281" t="s">
        <v>397</v>
      </c>
      <c r="J61" s="218" t="s">
        <v>398</v>
      </c>
      <c r="K61" s="46">
        <v>1</v>
      </c>
      <c r="L61" s="35"/>
      <c r="O61" s="35"/>
      <c r="Q61" s="95">
        <f>ROUND((ROUND((_11_A通院２増１．０*_11・２人),0)*(1+_11・A夜間)),0)</f>
        <v>173</v>
      </c>
      <c r="R61" s="48"/>
    </row>
    <row r="62" spans="1:18" ht="16.5" customHeight="1" x14ac:dyDescent="0.15">
      <c r="A62" s="41">
        <v>11</v>
      </c>
      <c r="B62" s="41">
        <v>7493</v>
      </c>
      <c r="C62" s="74" t="s">
        <v>14493</v>
      </c>
      <c r="D62" s="799"/>
      <c r="E62" s="796"/>
      <c r="F62" s="752" t="s">
        <v>400</v>
      </c>
      <c r="G62" s="221" t="s">
        <v>398</v>
      </c>
      <c r="H62" s="50">
        <v>0.9</v>
      </c>
      <c r="I62" s="282"/>
      <c r="J62" s="45"/>
      <c r="K62" s="46"/>
      <c r="L62" s="35"/>
      <c r="O62" s="35"/>
      <c r="Q62" s="95">
        <f>ROUND((ROUND((_11_A通院２増１．０*_11・基礎２),0)*(1+_11・A夜間)),0)</f>
        <v>155</v>
      </c>
      <c r="R62" s="48"/>
    </row>
    <row r="63" spans="1:18" ht="16.5" customHeight="1" x14ac:dyDescent="0.15">
      <c r="A63" s="41">
        <v>11</v>
      </c>
      <c r="B63" s="41">
        <v>7494</v>
      </c>
      <c r="C63" s="74" t="s">
        <v>14494</v>
      </c>
      <c r="D63" s="274">
        <f>_11_A通院２増１．０</f>
        <v>138</v>
      </c>
      <c r="E63" s="254" t="s">
        <v>392</v>
      </c>
      <c r="F63" s="711"/>
      <c r="G63" s="37"/>
      <c r="H63" s="38"/>
      <c r="I63" s="281" t="s">
        <v>397</v>
      </c>
      <c r="J63" s="218" t="s">
        <v>398</v>
      </c>
      <c r="K63" s="46">
        <v>1</v>
      </c>
      <c r="L63" s="35"/>
      <c r="O63" s="35"/>
      <c r="Q63" s="95">
        <f>ROUND((ROUND((ROUND((_11_A通院２増１．０*_11・基礎２),0)*_11・２人),0)*(1+_11・A夜間)),0)</f>
        <v>155</v>
      </c>
      <c r="R63" s="48"/>
    </row>
    <row r="64" spans="1:18" ht="16.5" customHeight="1" x14ac:dyDescent="0.15">
      <c r="A64" s="41">
        <v>11</v>
      </c>
      <c r="B64" s="41" t="s">
        <v>14495</v>
      </c>
      <c r="C64" s="74" t="s">
        <v>14496</v>
      </c>
      <c r="D64" s="72"/>
      <c r="F64" s="53"/>
      <c r="G64" s="49"/>
      <c r="H64" s="50"/>
      <c r="I64" s="282"/>
      <c r="J64" s="45"/>
      <c r="K64" s="46"/>
      <c r="L64" s="35"/>
      <c r="O64" s="707" t="s">
        <v>404</v>
      </c>
      <c r="P64" s="708"/>
      <c r="Q64" s="95">
        <f>ROUND((ROUND((_11_A通院２増１．０*(1+_11・A夜間)),0)*_11・初任),0)</f>
        <v>121</v>
      </c>
      <c r="R64" s="48"/>
    </row>
    <row r="65" spans="1:18" ht="16.5" customHeight="1" x14ac:dyDescent="0.15">
      <c r="A65" s="41">
        <v>11</v>
      </c>
      <c r="B65" s="41" t="s">
        <v>14497</v>
      </c>
      <c r="C65" s="74" t="s">
        <v>14498</v>
      </c>
      <c r="D65" s="72"/>
      <c r="F65" s="43"/>
      <c r="G65" s="37"/>
      <c r="H65" s="38"/>
      <c r="I65" s="281" t="s">
        <v>397</v>
      </c>
      <c r="J65" s="218" t="s">
        <v>398</v>
      </c>
      <c r="K65" s="46">
        <v>1</v>
      </c>
      <c r="L65" s="35"/>
      <c r="O65" s="709"/>
      <c r="P65" s="704"/>
      <c r="Q65" s="95">
        <f>ROUND((ROUND((ROUND((_11_A通院２増１．０*_11・２人),0)*(1+_11・A夜間)),0)*_11・初任),0)</f>
        <v>121</v>
      </c>
      <c r="R65" s="48"/>
    </row>
    <row r="66" spans="1:18" ht="16.5" customHeight="1" x14ac:dyDescent="0.15">
      <c r="A66" s="41">
        <v>11</v>
      </c>
      <c r="B66" s="41" t="s">
        <v>14499</v>
      </c>
      <c r="C66" s="74" t="s">
        <v>14500</v>
      </c>
      <c r="D66" s="72"/>
      <c r="F66" s="752" t="s">
        <v>400</v>
      </c>
      <c r="G66" s="221" t="s">
        <v>398</v>
      </c>
      <c r="H66" s="50">
        <v>0.9</v>
      </c>
      <c r="I66" s="282"/>
      <c r="J66" s="45"/>
      <c r="K66" s="46"/>
      <c r="L66" s="35"/>
      <c r="O66" s="709"/>
      <c r="P66" s="704"/>
      <c r="Q66" s="95">
        <f>ROUND((ROUND((ROUND((_11_A通院２増１．０*_11・基礎２),0)*(1+_11・A夜間)),0)*_11・初任),0)</f>
        <v>109</v>
      </c>
      <c r="R66" s="48"/>
    </row>
    <row r="67" spans="1:18" ht="16.5" customHeight="1" x14ac:dyDescent="0.15">
      <c r="A67" s="41">
        <v>11</v>
      </c>
      <c r="B67" s="41" t="s">
        <v>14501</v>
      </c>
      <c r="C67" s="74" t="s">
        <v>14502</v>
      </c>
      <c r="D67" s="72"/>
      <c r="F67" s="711"/>
      <c r="G67" s="37"/>
      <c r="H67" s="38"/>
      <c r="I67" s="281" t="s">
        <v>397</v>
      </c>
      <c r="J67" s="218" t="s">
        <v>398</v>
      </c>
      <c r="K67" s="46">
        <v>1</v>
      </c>
      <c r="L67" s="35"/>
      <c r="O67" s="240" t="s">
        <v>398</v>
      </c>
      <c r="P67" s="38">
        <f>_11・初任</f>
        <v>0.7</v>
      </c>
      <c r="Q67" s="95">
        <f>ROUND((ROUND((ROUND((ROUND((_11_A通院２増１．０*_11・基礎２),0)*_11・２人),0)*(1+_11・A夜間)),0)*_11・初任),0)</f>
        <v>109</v>
      </c>
      <c r="R67" s="48"/>
    </row>
    <row r="68" spans="1:18" ht="16.5" customHeight="1" x14ac:dyDescent="0.15">
      <c r="A68" s="41">
        <v>11</v>
      </c>
      <c r="B68" s="41">
        <v>7495</v>
      </c>
      <c r="C68" s="74" t="s">
        <v>14503</v>
      </c>
      <c r="D68" s="707" t="s">
        <v>1732</v>
      </c>
      <c r="E68" s="798"/>
      <c r="F68" s="53"/>
      <c r="G68" s="49"/>
      <c r="H68" s="50"/>
      <c r="I68" s="282"/>
      <c r="J68" s="45"/>
      <c r="K68" s="46"/>
      <c r="L68" s="35"/>
      <c r="O68" s="53"/>
      <c r="P68" s="50"/>
      <c r="Q68" s="95">
        <f>ROUND((_11_A通院２増１．５*(1+_11・A夜間)),0)</f>
        <v>259</v>
      </c>
      <c r="R68" s="48"/>
    </row>
    <row r="69" spans="1:18" ht="16.5" customHeight="1" x14ac:dyDescent="0.15">
      <c r="A69" s="41">
        <v>11</v>
      </c>
      <c r="B69" s="41">
        <v>7496</v>
      </c>
      <c r="C69" s="74" t="s">
        <v>14504</v>
      </c>
      <c r="D69" s="799"/>
      <c r="E69" s="796"/>
      <c r="F69" s="43"/>
      <c r="G69" s="37"/>
      <c r="H69" s="38"/>
      <c r="I69" s="281" t="s">
        <v>397</v>
      </c>
      <c r="J69" s="218" t="s">
        <v>398</v>
      </c>
      <c r="K69" s="46">
        <v>1</v>
      </c>
      <c r="L69" s="35"/>
      <c r="O69" s="35"/>
      <c r="Q69" s="95">
        <f>ROUND((ROUND((_11_A通院２増１．５*_11・２人),0)*(1+_11・A夜間)),0)</f>
        <v>259</v>
      </c>
      <c r="R69" s="48"/>
    </row>
    <row r="70" spans="1:18" ht="16.5" customHeight="1" x14ac:dyDescent="0.15">
      <c r="A70" s="41">
        <v>11</v>
      </c>
      <c r="B70" s="41">
        <v>7497</v>
      </c>
      <c r="C70" s="74" t="s">
        <v>14505</v>
      </c>
      <c r="D70" s="799"/>
      <c r="E70" s="796"/>
      <c r="F70" s="752" t="s">
        <v>400</v>
      </c>
      <c r="G70" s="221" t="s">
        <v>398</v>
      </c>
      <c r="H70" s="50">
        <v>0.9</v>
      </c>
      <c r="I70" s="282"/>
      <c r="J70" s="45"/>
      <c r="K70" s="46"/>
      <c r="L70" s="35"/>
      <c r="O70" s="35"/>
      <c r="Q70" s="95">
        <f>ROUND((ROUND((_11_A通院２増１．５*_11・基礎２),0)*(1+_11・A夜間)),0)</f>
        <v>233</v>
      </c>
      <c r="R70" s="48"/>
    </row>
    <row r="71" spans="1:18" ht="16.5" customHeight="1" x14ac:dyDescent="0.15">
      <c r="A71" s="41">
        <v>11</v>
      </c>
      <c r="B71" s="41">
        <v>7498</v>
      </c>
      <c r="C71" s="74" t="s">
        <v>14506</v>
      </c>
      <c r="D71" s="274">
        <f>_11_A通院２増１．５</f>
        <v>207</v>
      </c>
      <c r="E71" s="254" t="s">
        <v>392</v>
      </c>
      <c r="F71" s="711"/>
      <c r="G71" s="37"/>
      <c r="H71" s="38"/>
      <c r="I71" s="281" t="s">
        <v>397</v>
      </c>
      <c r="J71" s="218" t="s">
        <v>398</v>
      </c>
      <c r="K71" s="46">
        <v>1</v>
      </c>
      <c r="L71" s="35"/>
      <c r="O71" s="35"/>
      <c r="Q71" s="95">
        <f>ROUND((ROUND((ROUND((_11_A通院２増１．５*_11・基礎２),0)*_11・２人),0)*(1+_11・A夜間)),0)</f>
        <v>233</v>
      </c>
      <c r="R71" s="48"/>
    </row>
    <row r="72" spans="1:18" ht="16.5" customHeight="1" x14ac:dyDescent="0.15">
      <c r="A72" s="41">
        <v>11</v>
      </c>
      <c r="B72" s="41" t="s">
        <v>14507</v>
      </c>
      <c r="C72" s="74" t="s">
        <v>14508</v>
      </c>
      <c r="D72" s="72"/>
      <c r="F72" s="53"/>
      <c r="G72" s="49"/>
      <c r="H72" s="50"/>
      <c r="I72" s="282"/>
      <c r="J72" s="45"/>
      <c r="K72" s="46"/>
      <c r="L72" s="35"/>
      <c r="O72" s="707" t="s">
        <v>404</v>
      </c>
      <c r="P72" s="708"/>
      <c r="Q72" s="95">
        <f>ROUND((ROUND((_11_A通院２増１．５*(1+_11・A夜間)),0)*_11・初任),0)</f>
        <v>181</v>
      </c>
      <c r="R72" s="48"/>
    </row>
    <row r="73" spans="1:18" ht="16.5" customHeight="1" x14ac:dyDescent="0.15">
      <c r="A73" s="41">
        <v>11</v>
      </c>
      <c r="B73" s="41" t="s">
        <v>14509</v>
      </c>
      <c r="C73" s="74" t="s">
        <v>14510</v>
      </c>
      <c r="D73" s="72"/>
      <c r="F73" s="43"/>
      <c r="G73" s="37"/>
      <c r="H73" s="38"/>
      <c r="I73" s="281" t="s">
        <v>397</v>
      </c>
      <c r="J73" s="218" t="s">
        <v>398</v>
      </c>
      <c r="K73" s="46">
        <v>1</v>
      </c>
      <c r="L73" s="35"/>
      <c r="O73" s="709"/>
      <c r="P73" s="704"/>
      <c r="Q73" s="95">
        <f>ROUND((ROUND((ROUND((_11_A通院２増１．５*_11・２人),0)*(1+_11・A夜間)),0)*_11・初任),0)</f>
        <v>181</v>
      </c>
      <c r="R73" s="48"/>
    </row>
    <row r="74" spans="1:18" ht="16.5" customHeight="1" x14ac:dyDescent="0.15">
      <c r="A74" s="41">
        <v>11</v>
      </c>
      <c r="B74" s="41" t="s">
        <v>14511</v>
      </c>
      <c r="C74" s="74" t="s">
        <v>14512</v>
      </c>
      <c r="D74" s="72"/>
      <c r="F74" s="752" t="s">
        <v>400</v>
      </c>
      <c r="G74" s="221" t="s">
        <v>398</v>
      </c>
      <c r="H74" s="50">
        <v>0.9</v>
      </c>
      <c r="I74" s="282"/>
      <c r="J74" s="45"/>
      <c r="K74" s="46"/>
      <c r="L74" s="35"/>
      <c r="O74" s="709"/>
      <c r="P74" s="704"/>
      <c r="Q74" s="95">
        <f>ROUND((ROUND((ROUND((_11_A通院２増１．５*_11・基礎２),0)*(1+_11・A夜間)),0)*_11・初任),0)</f>
        <v>163</v>
      </c>
      <c r="R74" s="48"/>
    </row>
    <row r="75" spans="1:18" ht="16.5" customHeight="1" x14ac:dyDescent="0.15">
      <c r="A75" s="41">
        <v>11</v>
      </c>
      <c r="B75" s="41" t="s">
        <v>14513</v>
      </c>
      <c r="C75" s="74" t="s">
        <v>14514</v>
      </c>
      <c r="D75" s="72"/>
      <c r="F75" s="711"/>
      <c r="G75" s="37"/>
      <c r="H75" s="38"/>
      <c r="I75" s="281" t="s">
        <v>397</v>
      </c>
      <c r="J75" s="218" t="s">
        <v>398</v>
      </c>
      <c r="K75" s="46">
        <v>1</v>
      </c>
      <c r="L75" s="35"/>
      <c r="O75" s="240" t="s">
        <v>398</v>
      </c>
      <c r="P75" s="38">
        <f>_11・初任</f>
        <v>0.7</v>
      </c>
      <c r="Q75" s="95">
        <f>ROUND((ROUND((ROUND((ROUND((_11_A通院２増１．５*_11・基礎２),0)*_11・２人),0)*(1+_11・A夜間)),0)*_11・初任),0)</f>
        <v>163</v>
      </c>
      <c r="R75" s="48"/>
    </row>
    <row r="76" spans="1:18" ht="16.5" customHeight="1" x14ac:dyDescent="0.15">
      <c r="A76" s="41">
        <v>11</v>
      </c>
      <c r="B76" s="41">
        <v>7499</v>
      </c>
      <c r="C76" s="74" t="s">
        <v>14515</v>
      </c>
      <c r="D76" s="707" t="s">
        <v>782</v>
      </c>
      <c r="E76" s="798"/>
      <c r="F76" s="53"/>
      <c r="G76" s="49"/>
      <c r="H76" s="50"/>
      <c r="I76" s="282"/>
      <c r="J76" s="45"/>
      <c r="K76" s="46"/>
      <c r="L76" s="35"/>
      <c r="O76" s="53"/>
      <c r="P76" s="50"/>
      <c r="Q76" s="95">
        <f>ROUND((_11_A通院２増２．０*(1+_11・A夜間)),0)</f>
        <v>345</v>
      </c>
      <c r="R76" s="48"/>
    </row>
    <row r="77" spans="1:18" ht="16.5" customHeight="1" x14ac:dyDescent="0.15">
      <c r="A77" s="41">
        <v>11</v>
      </c>
      <c r="B77" s="41">
        <v>7500</v>
      </c>
      <c r="C77" s="74" t="s">
        <v>14516</v>
      </c>
      <c r="D77" s="799"/>
      <c r="E77" s="796"/>
      <c r="F77" s="43"/>
      <c r="G77" s="37"/>
      <c r="H77" s="38"/>
      <c r="I77" s="281" t="s">
        <v>397</v>
      </c>
      <c r="J77" s="218" t="s">
        <v>398</v>
      </c>
      <c r="K77" s="46">
        <v>1</v>
      </c>
      <c r="L77" s="35"/>
      <c r="O77" s="35"/>
      <c r="Q77" s="95">
        <f>ROUND((ROUND((_11_A通院２増２．０*_11・２人),0)*(1+_11・A夜間)),0)</f>
        <v>345</v>
      </c>
      <c r="R77" s="48"/>
    </row>
    <row r="78" spans="1:18" ht="16.5" customHeight="1" x14ac:dyDescent="0.15">
      <c r="A78" s="41">
        <v>11</v>
      </c>
      <c r="B78" s="41">
        <v>7501</v>
      </c>
      <c r="C78" s="74" t="s">
        <v>14517</v>
      </c>
      <c r="D78" s="799"/>
      <c r="E78" s="796"/>
      <c r="F78" s="752" t="s">
        <v>400</v>
      </c>
      <c r="G78" s="221" t="s">
        <v>398</v>
      </c>
      <c r="H78" s="50">
        <v>0.9</v>
      </c>
      <c r="I78" s="282"/>
      <c r="J78" s="45"/>
      <c r="K78" s="46"/>
      <c r="L78" s="35"/>
      <c r="O78" s="35"/>
      <c r="Q78" s="95">
        <f>ROUND((ROUND((_11_A通院２増２．０*_11・基礎２),0)*(1+_11・A夜間)),0)</f>
        <v>310</v>
      </c>
      <c r="R78" s="48"/>
    </row>
    <row r="79" spans="1:18" ht="16.5" customHeight="1" x14ac:dyDescent="0.15">
      <c r="A79" s="41">
        <v>11</v>
      </c>
      <c r="B79" s="41">
        <v>7502</v>
      </c>
      <c r="C79" s="74" t="s">
        <v>14518</v>
      </c>
      <c r="D79" s="274">
        <f>_11_A通院２増２．０</f>
        <v>276</v>
      </c>
      <c r="E79" s="254" t="s">
        <v>392</v>
      </c>
      <c r="F79" s="711"/>
      <c r="G79" s="37"/>
      <c r="H79" s="38"/>
      <c r="I79" s="281" t="s">
        <v>397</v>
      </c>
      <c r="J79" s="218" t="s">
        <v>398</v>
      </c>
      <c r="K79" s="46">
        <v>1</v>
      </c>
      <c r="L79" s="35"/>
      <c r="O79" s="35"/>
      <c r="Q79" s="95">
        <f>ROUND((ROUND((ROUND((_11_A通院２増２．０*_11・基礎２),0)*_11・２人),0)*(1+_11・A夜間)),0)</f>
        <v>310</v>
      </c>
      <c r="R79" s="48"/>
    </row>
    <row r="80" spans="1:18" ht="16.5" customHeight="1" x14ac:dyDescent="0.15">
      <c r="A80" s="41">
        <v>11</v>
      </c>
      <c r="B80" s="41" t="s">
        <v>14519</v>
      </c>
      <c r="C80" s="74" t="s">
        <v>14520</v>
      </c>
      <c r="D80" s="72"/>
      <c r="F80" s="53"/>
      <c r="G80" s="49"/>
      <c r="H80" s="50"/>
      <c r="I80" s="282"/>
      <c r="J80" s="45"/>
      <c r="K80" s="46"/>
      <c r="L80" s="35"/>
      <c r="O80" s="707" t="s">
        <v>404</v>
      </c>
      <c r="P80" s="708"/>
      <c r="Q80" s="95">
        <f>ROUND((ROUND((_11_A通院２増２．０*(1+_11・A夜間)),0)*_11・初任),0)</f>
        <v>242</v>
      </c>
      <c r="R80" s="48"/>
    </row>
    <row r="81" spans="1:18" ht="16.5" customHeight="1" x14ac:dyDescent="0.15">
      <c r="A81" s="41">
        <v>11</v>
      </c>
      <c r="B81" s="41" t="s">
        <v>14521</v>
      </c>
      <c r="C81" s="74" t="s">
        <v>14522</v>
      </c>
      <c r="D81" s="72"/>
      <c r="F81" s="43"/>
      <c r="G81" s="37"/>
      <c r="H81" s="38"/>
      <c r="I81" s="281" t="s">
        <v>397</v>
      </c>
      <c r="J81" s="218" t="s">
        <v>398</v>
      </c>
      <c r="K81" s="46">
        <v>1</v>
      </c>
      <c r="L81" s="35"/>
      <c r="O81" s="709"/>
      <c r="P81" s="704"/>
      <c r="Q81" s="95">
        <f>ROUND((ROUND((ROUND((_11_A通院２増２．０*_11・２人),0)*(1+_11・A夜間)),0)*_11・初任),0)</f>
        <v>242</v>
      </c>
      <c r="R81" s="48"/>
    </row>
    <row r="82" spans="1:18" ht="16.5" customHeight="1" x14ac:dyDescent="0.15">
      <c r="A82" s="41">
        <v>11</v>
      </c>
      <c r="B82" s="41" t="s">
        <v>14523</v>
      </c>
      <c r="C82" s="74" t="s">
        <v>14524</v>
      </c>
      <c r="D82" s="72"/>
      <c r="F82" s="752" t="s">
        <v>400</v>
      </c>
      <c r="G82" s="221" t="s">
        <v>398</v>
      </c>
      <c r="H82" s="50">
        <v>0.9</v>
      </c>
      <c r="I82" s="282"/>
      <c r="J82" s="45"/>
      <c r="K82" s="46"/>
      <c r="L82" s="35"/>
      <c r="O82" s="709"/>
      <c r="P82" s="704"/>
      <c r="Q82" s="95">
        <f>ROUND((ROUND((ROUND((_11_A通院２増２．０*_11・基礎２),0)*(1+_11・A夜間)),0)*_11・初任),0)</f>
        <v>217</v>
      </c>
      <c r="R82" s="48"/>
    </row>
    <row r="83" spans="1:18" ht="16.5" customHeight="1" x14ac:dyDescent="0.15">
      <c r="A83" s="41">
        <v>11</v>
      </c>
      <c r="B83" s="41" t="s">
        <v>14525</v>
      </c>
      <c r="C83" s="74" t="s">
        <v>14526</v>
      </c>
      <c r="D83" s="122"/>
      <c r="E83" s="37"/>
      <c r="F83" s="711"/>
      <c r="G83" s="37"/>
      <c r="H83" s="38"/>
      <c r="I83" s="281" t="s">
        <v>397</v>
      </c>
      <c r="J83" s="218" t="s">
        <v>398</v>
      </c>
      <c r="K83" s="46">
        <v>1</v>
      </c>
      <c r="L83" s="35"/>
      <c r="N83" s="234"/>
      <c r="O83" s="240" t="s">
        <v>398</v>
      </c>
      <c r="P83" s="38">
        <f>_11・初任</f>
        <v>0.7</v>
      </c>
      <c r="Q83" s="95">
        <f>ROUND((ROUND((ROUND((ROUND((_11_A通院２増２．０*_11・基礎２),0)*_11・２人),0)*(1+_11・A夜間)),0)*_11・初任),0)</f>
        <v>217</v>
      </c>
      <c r="R83" s="48"/>
    </row>
    <row r="84" spans="1:18" ht="16.5" customHeight="1" x14ac:dyDescent="0.15">
      <c r="A84" s="33">
        <v>11</v>
      </c>
      <c r="B84" s="33">
        <v>7503</v>
      </c>
      <c r="C84" s="34" t="s">
        <v>14527</v>
      </c>
      <c r="D84" s="709" t="s">
        <v>795</v>
      </c>
      <c r="E84" s="796"/>
      <c r="F84" s="35"/>
      <c r="I84" s="70"/>
      <c r="J84" s="37"/>
      <c r="K84" s="38"/>
      <c r="L84" s="35"/>
      <c r="N84" s="234"/>
      <c r="O84" s="35"/>
      <c r="Q84" s="93">
        <f>ROUND((_11_A通院２増２．５*(1+_11・A夜間)),0)</f>
        <v>431</v>
      </c>
      <c r="R84" s="48"/>
    </row>
    <row r="85" spans="1:18" ht="16.5" customHeight="1" x14ac:dyDescent="0.15">
      <c r="A85" s="41">
        <v>11</v>
      </c>
      <c r="B85" s="41">
        <v>7504</v>
      </c>
      <c r="C85" s="74" t="s">
        <v>14528</v>
      </c>
      <c r="D85" s="799"/>
      <c r="E85" s="796"/>
      <c r="F85" s="43"/>
      <c r="G85" s="37"/>
      <c r="H85" s="38"/>
      <c r="I85" s="281" t="s">
        <v>397</v>
      </c>
      <c r="J85" s="218" t="s">
        <v>398</v>
      </c>
      <c r="K85" s="46">
        <v>1</v>
      </c>
      <c r="L85" s="35"/>
      <c r="N85" s="234"/>
      <c r="O85" s="35"/>
      <c r="Q85" s="95">
        <f>ROUND((ROUND((_11_A通院２増２．５*_11・２人),0)*(1+_11・A夜間)),0)</f>
        <v>431</v>
      </c>
      <c r="R85" s="48"/>
    </row>
    <row r="86" spans="1:18" ht="16.5" customHeight="1" x14ac:dyDescent="0.15">
      <c r="A86" s="41">
        <v>11</v>
      </c>
      <c r="B86" s="41">
        <v>7505</v>
      </c>
      <c r="C86" s="74" t="s">
        <v>14529</v>
      </c>
      <c r="D86" s="799"/>
      <c r="E86" s="796"/>
      <c r="F86" s="752" t="s">
        <v>400</v>
      </c>
      <c r="G86" s="221" t="s">
        <v>398</v>
      </c>
      <c r="H86" s="50">
        <v>0.9</v>
      </c>
      <c r="I86" s="282"/>
      <c r="J86" s="45"/>
      <c r="K86" s="46"/>
      <c r="L86" s="35"/>
      <c r="O86" s="35"/>
      <c r="Q86" s="95">
        <f>ROUND((ROUND((_11_A通院２増２．５*_11・基礎２),0)*(1+_11・A夜間)),0)</f>
        <v>389</v>
      </c>
      <c r="R86" s="48"/>
    </row>
    <row r="87" spans="1:18" ht="16.5" customHeight="1" x14ac:dyDescent="0.15">
      <c r="A87" s="41">
        <v>11</v>
      </c>
      <c r="B87" s="41">
        <v>7506</v>
      </c>
      <c r="C87" s="74" t="s">
        <v>14530</v>
      </c>
      <c r="D87" s="274">
        <f>_11_A通院２増２．５</f>
        <v>345</v>
      </c>
      <c r="E87" s="254" t="s">
        <v>392</v>
      </c>
      <c r="F87" s="711"/>
      <c r="G87" s="37"/>
      <c r="H87" s="38"/>
      <c r="I87" s="281" t="s">
        <v>397</v>
      </c>
      <c r="J87" s="218" t="s">
        <v>398</v>
      </c>
      <c r="K87" s="46">
        <v>1</v>
      </c>
      <c r="L87" s="35"/>
      <c r="O87" s="35"/>
      <c r="Q87" s="95">
        <f>ROUND((ROUND((ROUND((_11_A通院２増２．５*_11・基礎２),0)*_11・２人),0)*(1+_11・A夜間)),0)</f>
        <v>389</v>
      </c>
      <c r="R87" s="48"/>
    </row>
    <row r="88" spans="1:18" ht="16.5" customHeight="1" x14ac:dyDescent="0.15">
      <c r="A88" s="41">
        <v>11</v>
      </c>
      <c r="B88" s="41" t="s">
        <v>14531</v>
      </c>
      <c r="C88" s="74" t="s">
        <v>14532</v>
      </c>
      <c r="D88" s="72"/>
      <c r="F88" s="53"/>
      <c r="G88" s="49"/>
      <c r="H88" s="50"/>
      <c r="I88" s="282"/>
      <c r="J88" s="45"/>
      <c r="K88" s="46"/>
      <c r="L88" s="35"/>
      <c r="O88" s="707" t="s">
        <v>404</v>
      </c>
      <c r="P88" s="708"/>
      <c r="Q88" s="95">
        <f>ROUND((ROUND((_11_A通院２増２．５*(1+_11・A夜間)),0)*_11・初任),0)</f>
        <v>302</v>
      </c>
      <c r="R88" s="48"/>
    </row>
    <row r="89" spans="1:18" ht="16.5" customHeight="1" x14ac:dyDescent="0.15">
      <c r="A89" s="41">
        <v>11</v>
      </c>
      <c r="B89" s="41" t="s">
        <v>14533</v>
      </c>
      <c r="C89" s="74" t="s">
        <v>14534</v>
      </c>
      <c r="D89" s="72"/>
      <c r="F89" s="43"/>
      <c r="G89" s="37"/>
      <c r="H89" s="38"/>
      <c r="I89" s="281" t="s">
        <v>397</v>
      </c>
      <c r="J89" s="218" t="s">
        <v>398</v>
      </c>
      <c r="K89" s="46">
        <v>1</v>
      </c>
      <c r="L89" s="35"/>
      <c r="O89" s="709"/>
      <c r="P89" s="704"/>
      <c r="Q89" s="95">
        <f>ROUND((ROUND((ROUND((_11_A通院２増２．５*_11・２人),0)*(1+_11・A夜間)),0)*_11・初任),0)</f>
        <v>302</v>
      </c>
      <c r="R89" s="48"/>
    </row>
    <row r="90" spans="1:18" ht="16.5" customHeight="1" x14ac:dyDescent="0.15">
      <c r="A90" s="41">
        <v>11</v>
      </c>
      <c r="B90" s="41" t="s">
        <v>14535</v>
      </c>
      <c r="C90" s="74" t="s">
        <v>14536</v>
      </c>
      <c r="D90" s="72"/>
      <c r="F90" s="752" t="s">
        <v>400</v>
      </c>
      <c r="G90" s="221" t="s">
        <v>398</v>
      </c>
      <c r="H90" s="50">
        <v>0.9</v>
      </c>
      <c r="I90" s="282"/>
      <c r="J90" s="45"/>
      <c r="K90" s="46"/>
      <c r="L90" s="35"/>
      <c r="O90" s="709"/>
      <c r="P90" s="704"/>
      <c r="Q90" s="95">
        <f>ROUND((ROUND((ROUND((_11_A通院２増２．５*_11・基礎２),0)*(1+_11・A夜間)),0)*_11・初任),0)</f>
        <v>272</v>
      </c>
      <c r="R90" s="48"/>
    </row>
    <row r="91" spans="1:18" ht="16.5" customHeight="1" x14ac:dyDescent="0.15">
      <c r="A91" s="41">
        <v>11</v>
      </c>
      <c r="B91" s="41" t="s">
        <v>14537</v>
      </c>
      <c r="C91" s="74" t="s">
        <v>14538</v>
      </c>
      <c r="D91" s="72"/>
      <c r="F91" s="711"/>
      <c r="G91" s="37"/>
      <c r="H91" s="38"/>
      <c r="I91" s="281" t="s">
        <v>397</v>
      </c>
      <c r="J91" s="218" t="s">
        <v>398</v>
      </c>
      <c r="K91" s="46">
        <v>1</v>
      </c>
      <c r="L91" s="35"/>
      <c r="O91" s="240" t="s">
        <v>398</v>
      </c>
      <c r="P91" s="38">
        <f>_11・初任</f>
        <v>0.7</v>
      </c>
      <c r="Q91" s="95">
        <f>ROUND((ROUND((ROUND((ROUND((_11_A通院２増２．５*_11・基礎２),0)*_11・２人),0)*(1+_11・A夜間)),0)*_11・初任),0)</f>
        <v>272</v>
      </c>
      <c r="R91" s="48"/>
    </row>
    <row r="92" spans="1:18" ht="16.5" customHeight="1" x14ac:dyDescent="0.15">
      <c r="A92" s="41">
        <v>11</v>
      </c>
      <c r="B92" s="41">
        <v>7507</v>
      </c>
      <c r="C92" s="74" t="s">
        <v>14539</v>
      </c>
      <c r="D92" s="707" t="s">
        <v>808</v>
      </c>
      <c r="E92" s="798"/>
      <c r="F92" s="53"/>
      <c r="G92" s="49"/>
      <c r="H92" s="50"/>
      <c r="I92" s="282"/>
      <c r="J92" s="45"/>
      <c r="K92" s="46"/>
      <c r="L92" s="35"/>
      <c r="O92" s="53"/>
      <c r="P92" s="50"/>
      <c r="Q92" s="95">
        <f>ROUND((_11_A通院２増３．０*(1+_11・A夜間)),0)</f>
        <v>518</v>
      </c>
      <c r="R92" s="48"/>
    </row>
    <row r="93" spans="1:18" ht="16.5" customHeight="1" x14ac:dyDescent="0.15">
      <c r="A93" s="41">
        <v>11</v>
      </c>
      <c r="B93" s="41">
        <v>7508</v>
      </c>
      <c r="C93" s="74" t="s">
        <v>14540</v>
      </c>
      <c r="D93" s="799"/>
      <c r="E93" s="796"/>
      <c r="F93" s="43"/>
      <c r="G93" s="37"/>
      <c r="H93" s="38"/>
      <c r="I93" s="281" t="s">
        <v>397</v>
      </c>
      <c r="J93" s="218" t="s">
        <v>398</v>
      </c>
      <c r="K93" s="46">
        <v>1</v>
      </c>
      <c r="L93" s="35"/>
      <c r="O93" s="35"/>
      <c r="Q93" s="95">
        <f>ROUND((ROUND((_11_A通院２増３．０*_11・２人),0)*(1+_11・A夜間)),0)</f>
        <v>518</v>
      </c>
      <c r="R93" s="48"/>
    </row>
    <row r="94" spans="1:18" ht="16.5" customHeight="1" x14ac:dyDescent="0.15">
      <c r="A94" s="41">
        <v>11</v>
      </c>
      <c r="B94" s="41">
        <v>7509</v>
      </c>
      <c r="C94" s="74" t="s">
        <v>14541</v>
      </c>
      <c r="D94" s="799"/>
      <c r="E94" s="796"/>
      <c r="F94" s="752" t="s">
        <v>400</v>
      </c>
      <c r="G94" s="221" t="s">
        <v>398</v>
      </c>
      <c r="H94" s="50">
        <v>0.9</v>
      </c>
      <c r="I94" s="282"/>
      <c r="J94" s="45"/>
      <c r="K94" s="46"/>
      <c r="L94" s="35"/>
      <c r="O94" s="35"/>
      <c r="Q94" s="95">
        <f>ROUND((ROUND((_11_A通院２増３．０*_11・基礎２),0)*(1+_11・A夜間)),0)</f>
        <v>466</v>
      </c>
      <c r="R94" s="48"/>
    </row>
    <row r="95" spans="1:18" ht="16.5" customHeight="1" x14ac:dyDescent="0.15">
      <c r="A95" s="41">
        <v>11</v>
      </c>
      <c r="B95" s="41">
        <v>7510</v>
      </c>
      <c r="C95" s="74" t="s">
        <v>14542</v>
      </c>
      <c r="D95" s="274">
        <f>_11_A通院２増３．０</f>
        <v>414</v>
      </c>
      <c r="E95" s="254" t="s">
        <v>392</v>
      </c>
      <c r="F95" s="711"/>
      <c r="G95" s="37"/>
      <c r="H95" s="38"/>
      <c r="I95" s="281" t="s">
        <v>397</v>
      </c>
      <c r="J95" s="218" t="s">
        <v>398</v>
      </c>
      <c r="K95" s="46">
        <v>1</v>
      </c>
      <c r="L95" s="35"/>
      <c r="O95" s="35"/>
      <c r="Q95" s="95">
        <f>ROUND((ROUND((ROUND((_11_A通院２増３．０*_11・基礎２),0)*_11・２人),0)*(1+_11・A夜間)),0)</f>
        <v>466</v>
      </c>
      <c r="R95" s="48"/>
    </row>
    <row r="96" spans="1:18" ht="16.5" customHeight="1" x14ac:dyDescent="0.15">
      <c r="A96" s="41">
        <v>11</v>
      </c>
      <c r="B96" s="41" t="s">
        <v>14543</v>
      </c>
      <c r="C96" s="74" t="s">
        <v>14544</v>
      </c>
      <c r="D96" s="72"/>
      <c r="F96" s="53"/>
      <c r="G96" s="49"/>
      <c r="H96" s="50"/>
      <c r="I96" s="282"/>
      <c r="J96" s="45"/>
      <c r="K96" s="46"/>
      <c r="L96" s="35"/>
      <c r="O96" s="707" t="s">
        <v>404</v>
      </c>
      <c r="P96" s="708"/>
      <c r="Q96" s="95">
        <f>ROUND((ROUND((_11_A通院２増３．０*(1+_11・A夜間)),0)*_11・初任),0)</f>
        <v>363</v>
      </c>
      <c r="R96" s="48"/>
    </row>
    <row r="97" spans="1:18" ht="16.5" customHeight="1" x14ac:dyDescent="0.15">
      <c r="A97" s="41">
        <v>11</v>
      </c>
      <c r="B97" s="41" t="s">
        <v>14545</v>
      </c>
      <c r="C97" s="74" t="s">
        <v>14546</v>
      </c>
      <c r="D97" s="72"/>
      <c r="F97" s="43"/>
      <c r="G97" s="37"/>
      <c r="H97" s="38"/>
      <c r="I97" s="281" t="s">
        <v>397</v>
      </c>
      <c r="J97" s="218" t="s">
        <v>398</v>
      </c>
      <c r="K97" s="46">
        <v>1</v>
      </c>
      <c r="L97" s="35"/>
      <c r="O97" s="709"/>
      <c r="P97" s="704"/>
      <c r="Q97" s="95">
        <f>ROUND((ROUND((ROUND((_11_A通院２増３．０*_11・２人),0)*(1+_11・A夜間)),0)*_11・初任),0)</f>
        <v>363</v>
      </c>
      <c r="R97" s="48"/>
    </row>
    <row r="98" spans="1:18" ht="16.5" customHeight="1" x14ac:dyDescent="0.15">
      <c r="A98" s="41">
        <v>11</v>
      </c>
      <c r="B98" s="41" t="s">
        <v>14547</v>
      </c>
      <c r="C98" s="74" t="s">
        <v>14548</v>
      </c>
      <c r="D98" s="72"/>
      <c r="F98" s="752" t="s">
        <v>400</v>
      </c>
      <c r="G98" s="221" t="s">
        <v>398</v>
      </c>
      <c r="H98" s="50">
        <v>0.9</v>
      </c>
      <c r="I98" s="282"/>
      <c r="J98" s="45"/>
      <c r="K98" s="46"/>
      <c r="L98" s="35"/>
      <c r="O98" s="709"/>
      <c r="P98" s="704"/>
      <c r="Q98" s="95">
        <f>ROUND((ROUND((ROUND((_11_A通院２増３．０*_11・基礎２),0)*(1+_11・A夜間)),0)*_11・初任),0)</f>
        <v>326</v>
      </c>
      <c r="R98" s="48"/>
    </row>
    <row r="99" spans="1:18" ht="16.5" customHeight="1" x14ac:dyDescent="0.15">
      <c r="A99" s="41">
        <v>11</v>
      </c>
      <c r="B99" s="41" t="s">
        <v>14549</v>
      </c>
      <c r="C99" s="74" t="s">
        <v>14550</v>
      </c>
      <c r="D99" s="72"/>
      <c r="F99" s="711"/>
      <c r="G99" s="37"/>
      <c r="H99" s="38"/>
      <c r="I99" s="281" t="s">
        <v>397</v>
      </c>
      <c r="J99" s="218" t="s">
        <v>398</v>
      </c>
      <c r="K99" s="46">
        <v>1</v>
      </c>
      <c r="L99" s="35"/>
      <c r="O99" s="240" t="s">
        <v>398</v>
      </c>
      <c r="P99" s="38">
        <f>_11・初任</f>
        <v>0.7</v>
      </c>
      <c r="Q99" s="95">
        <f>ROUND((ROUND((ROUND((ROUND((_11_A通院２増３．０*_11・基礎２),0)*_11・２人),0)*(1+_11・A夜間)),0)*_11・初任),0)</f>
        <v>326</v>
      </c>
      <c r="R99" s="48"/>
    </row>
    <row r="100" spans="1:18" ht="16.5" customHeight="1" x14ac:dyDescent="0.15">
      <c r="A100" s="41">
        <v>11</v>
      </c>
      <c r="B100" s="41">
        <v>7511</v>
      </c>
      <c r="C100" s="74" t="s">
        <v>14551</v>
      </c>
      <c r="D100" s="707" t="s">
        <v>821</v>
      </c>
      <c r="E100" s="798"/>
      <c r="F100" s="53"/>
      <c r="G100" s="49"/>
      <c r="H100" s="50"/>
      <c r="I100" s="282"/>
      <c r="J100" s="45"/>
      <c r="K100" s="46"/>
      <c r="L100" s="35"/>
      <c r="O100" s="53"/>
      <c r="P100" s="50"/>
      <c r="Q100" s="95">
        <f>ROUND((_11_A通院２増３．５*(1+_11・A夜間)),0)</f>
        <v>604</v>
      </c>
      <c r="R100" s="48"/>
    </row>
    <row r="101" spans="1:18" ht="16.5" customHeight="1" x14ac:dyDescent="0.15">
      <c r="A101" s="41">
        <v>11</v>
      </c>
      <c r="B101" s="41">
        <v>7512</v>
      </c>
      <c r="C101" s="74" t="s">
        <v>14552</v>
      </c>
      <c r="D101" s="799"/>
      <c r="E101" s="796"/>
      <c r="F101" s="43"/>
      <c r="G101" s="37"/>
      <c r="H101" s="38"/>
      <c r="I101" s="281" t="s">
        <v>397</v>
      </c>
      <c r="J101" s="218" t="s">
        <v>398</v>
      </c>
      <c r="K101" s="46">
        <v>1</v>
      </c>
      <c r="L101" s="35"/>
      <c r="O101" s="35"/>
      <c r="Q101" s="95">
        <f>ROUND((ROUND((_11_A通院２増３．５*_11・２人),0)*(1+_11・A夜間)),0)</f>
        <v>604</v>
      </c>
      <c r="R101" s="48"/>
    </row>
    <row r="102" spans="1:18" ht="16.5" customHeight="1" x14ac:dyDescent="0.15">
      <c r="A102" s="41">
        <v>11</v>
      </c>
      <c r="B102" s="41">
        <v>7513</v>
      </c>
      <c r="C102" s="74" t="s">
        <v>14553</v>
      </c>
      <c r="D102" s="799"/>
      <c r="E102" s="796"/>
      <c r="F102" s="752" t="s">
        <v>400</v>
      </c>
      <c r="G102" s="221" t="s">
        <v>398</v>
      </c>
      <c r="H102" s="50">
        <v>0.9</v>
      </c>
      <c r="I102" s="282"/>
      <c r="J102" s="45"/>
      <c r="K102" s="46"/>
      <c r="L102" s="35"/>
      <c r="O102" s="35"/>
      <c r="Q102" s="95">
        <f>ROUND((ROUND((_11_A通院２増３．５*_11・基礎２),0)*(1+_11・A夜間)),0)</f>
        <v>544</v>
      </c>
      <c r="R102" s="48"/>
    </row>
    <row r="103" spans="1:18" ht="16.5" customHeight="1" x14ac:dyDescent="0.15">
      <c r="A103" s="41">
        <v>11</v>
      </c>
      <c r="B103" s="41">
        <v>7514</v>
      </c>
      <c r="C103" s="74" t="s">
        <v>14554</v>
      </c>
      <c r="D103" s="274">
        <f>_11_A通院２増３．５</f>
        <v>483</v>
      </c>
      <c r="E103" s="254" t="s">
        <v>392</v>
      </c>
      <c r="F103" s="711"/>
      <c r="G103" s="37"/>
      <c r="H103" s="38"/>
      <c r="I103" s="281" t="s">
        <v>397</v>
      </c>
      <c r="J103" s="218" t="s">
        <v>398</v>
      </c>
      <c r="K103" s="46">
        <v>1</v>
      </c>
      <c r="L103" s="35"/>
      <c r="O103" s="35"/>
      <c r="Q103" s="95">
        <f>ROUND((ROUND((ROUND((_11_A通院２増３．５*_11・基礎２),0)*_11・２人),0)*(1+_11・A夜間)),0)</f>
        <v>544</v>
      </c>
      <c r="R103" s="48"/>
    </row>
    <row r="104" spans="1:18" ht="16.5" customHeight="1" x14ac:dyDescent="0.15">
      <c r="A104" s="41">
        <v>11</v>
      </c>
      <c r="B104" s="41" t="s">
        <v>14555</v>
      </c>
      <c r="C104" s="74" t="s">
        <v>14556</v>
      </c>
      <c r="D104" s="72"/>
      <c r="F104" s="53"/>
      <c r="G104" s="49"/>
      <c r="H104" s="50"/>
      <c r="I104" s="282"/>
      <c r="J104" s="45"/>
      <c r="K104" s="46"/>
      <c r="L104" s="35"/>
      <c r="O104" s="707" t="s">
        <v>404</v>
      </c>
      <c r="P104" s="708"/>
      <c r="Q104" s="95">
        <f>ROUND((ROUND((_11_A通院２増３．５*(1+_11・A夜間)),0)*_11・初任),0)</f>
        <v>423</v>
      </c>
      <c r="R104" s="48"/>
    </row>
    <row r="105" spans="1:18" ht="16.5" customHeight="1" x14ac:dyDescent="0.15">
      <c r="A105" s="41">
        <v>11</v>
      </c>
      <c r="B105" s="41" t="s">
        <v>14557</v>
      </c>
      <c r="C105" s="74" t="s">
        <v>14558</v>
      </c>
      <c r="D105" s="72"/>
      <c r="F105" s="43"/>
      <c r="G105" s="37"/>
      <c r="H105" s="38"/>
      <c r="I105" s="281" t="s">
        <v>397</v>
      </c>
      <c r="J105" s="218" t="s">
        <v>398</v>
      </c>
      <c r="K105" s="46">
        <v>1</v>
      </c>
      <c r="L105" s="35"/>
      <c r="O105" s="709"/>
      <c r="P105" s="704"/>
      <c r="Q105" s="95">
        <f>ROUND((ROUND((ROUND((_11_A通院２増３．５*_11・２人),0)*(1+_11・A夜間)),0)*_11・初任),0)</f>
        <v>423</v>
      </c>
      <c r="R105" s="48"/>
    </row>
    <row r="106" spans="1:18" ht="16.5" customHeight="1" x14ac:dyDescent="0.15">
      <c r="A106" s="41">
        <v>11</v>
      </c>
      <c r="B106" s="41" t="s">
        <v>14559</v>
      </c>
      <c r="C106" s="74" t="s">
        <v>14560</v>
      </c>
      <c r="D106" s="72"/>
      <c r="F106" s="752" t="s">
        <v>400</v>
      </c>
      <c r="G106" s="221" t="s">
        <v>398</v>
      </c>
      <c r="H106" s="50">
        <v>0.9</v>
      </c>
      <c r="I106" s="282"/>
      <c r="J106" s="45"/>
      <c r="K106" s="46"/>
      <c r="L106" s="35"/>
      <c r="O106" s="709"/>
      <c r="P106" s="704"/>
      <c r="Q106" s="95">
        <f>ROUND((ROUND((ROUND((_11_A通院２増３．５*_11・基礎２),0)*(1+_11・A夜間)),0)*_11・初任),0)</f>
        <v>381</v>
      </c>
      <c r="R106" s="48"/>
    </row>
    <row r="107" spans="1:18" ht="16.5" customHeight="1" x14ac:dyDescent="0.15">
      <c r="A107" s="41">
        <v>11</v>
      </c>
      <c r="B107" s="41" t="s">
        <v>14561</v>
      </c>
      <c r="C107" s="74" t="s">
        <v>14562</v>
      </c>
      <c r="D107" s="72"/>
      <c r="F107" s="711"/>
      <c r="G107" s="37"/>
      <c r="H107" s="38"/>
      <c r="I107" s="281" t="s">
        <v>397</v>
      </c>
      <c r="J107" s="218" t="s">
        <v>398</v>
      </c>
      <c r="K107" s="46">
        <v>1</v>
      </c>
      <c r="L107" s="35"/>
      <c r="O107" s="240" t="s">
        <v>398</v>
      </c>
      <c r="P107" s="38">
        <f>_11・初任</f>
        <v>0.7</v>
      </c>
      <c r="Q107" s="95">
        <f>ROUND((ROUND((ROUND((ROUND((_11_A通院２増３．５*_11・基礎２),0)*_11・２人),0)*(1+_11・A夜間)),0)*_11・初任),0)</f>
        <v>381</v>
      </c>
      <c r="R107" s="48"/>
    </row>
    <row r="108" spans="1:18" ht="16.5" customHeight="1" x14ac:dyDescent="0.15">
      <c r="A108" s="41">
        <v>11</v>
      </c>
      <c r="B108" s="41">
        <v>7515</v>
      </c>
      <c r="C108" s="74" t="s">
        <v>14563</v>
      </c>
      <c r="D108" s="707" t="s">
        <v>834</v>
      </c>
      <c r="E108" s="798"/>
      <c r="F108" s="53"/>
      <c r="G108" s="49"/>
      <c r="H108" s="50"/>
      <c r="I108" s="282"/>
      <c r="J108" s="45"/>
      <c r="K108" s="46"/>
      <c r="L108" s="35"/>
      <c r="O108" s="53"/>
      <c r="P108" s="50"/>
      <c r="Q108" s="95">
        <f>ROUND((_11_A通院２増４．０*(1+_11・A夜間)),0)</f>
        <v>690</v>
      </c>
      <c r="R108" s="48"/>
    </row>
    <row r="109" spans="1:18" ht="16.5" customHeight="1" x14ac:dyDescent="0.15">
      <c r="A109" s="41">
        <v>11</v>
      </c>
      <c r="B109" s="41">
        <v>7516</v>
      </c>
      <c r="C109" s="74" t="s">
        <v>14564</v>
      </c>
      <c r="D109" s="799"/>
      <c r="E109" s="796"/>
      <c r="F109" s="43"/>
      <c r="G109" s="37"/>
      <c r="H109" s="38"/>
      <c r="I109" s="281" t="s">
        <v>397</v>
      </c>
      <c r="J109" s="218" t="s">
        <v>398</v>
      </c>
      <c r="K109" s="46">
        <v>1</v>
      </c>
      <c r="L109" s="35"/>
      <c r="O109" s="35"/>
      <c r="Q109" s="95">
        <f>ROUND((ROUND((_11_A通院２増４．０*_11・２人),0)*(1+_11・A夜間)),0)</f>
        <v>690</v>
      </c>
      <c r="R109" s="48"/>
    </row>
    <row r="110" spans="1:18" ht="16.5" customHeight="1" x14ac:dyDescent="0.15">
      <c r="A110" s="41">
        <v>11</v>
      </c>
      <c r="B110" s="41">
        <v>7517</v>
      </c>
      <c r="C110" s="74" t="s">
        <v>14565</v>
      </c>
      <c r="D110" s="799"/>
      <c r="E110" s="796"/>
      <c r="F110" s="752" t="s">
        <v>400</v>
      </c>
      <c r="G110" s="221" t="s">
        <v>398</v>
      </c>
      <c r="H110" s="50">
        <v>0.9</v>
      </c>
      <c r="I110" s="282"/>
      <c r="J110" s="45"/>
      <c r="K110" s="46"/>
      <c r="L110" s="35"/>
      <c r="O110" s="35"/>
      <c r="Q110" s="95">
        <f>ROUND((ROUND((_11_A通院２増４．０*_11・基礎２),0)*(1+_11・A夜間)),0)</f>
        <v>621</v>
      </c>
      <c r="R110" s="48"/>
    </row>
    <row r="111" spans="1:18" ht="16.5" customHeight="1" x14ac:dyDescent="0.15">
      <c r="A111" s="41">
        <v>11</v>
      </c>
      <c r="B111" s="41">
        <v>7518</v>
      </c>
      <c r="C111" s="74" t="s">
        <v>14566</v>
      </c>
      <c r="D111" s="274">
        <f>_11_A通院２増４．０</f>
        <v>552</v>
      </c>
      <c r="E111" s="254" t="s">
        <v>392</v>
      </c>
      <c r="F111" s="711"/>
      <c r="G111" s="37"/>
      <c r="H111" s="38"/>
      <c r="I111" s="281" t="s">
        <v>397</v>
      </c>
      <c r="J111" s="218" t="s">
        <v>398</v>
      </c>
      <c r="K111" s="46">
        <v>1</v>
      </c>
      <c r="L111" s="35"/>
      <c r="O111" s="35"/>
      <c r="Q111" s="95">
        <f>ROUND((ROUND((ROUND((_11_A通院２増４．０*_11・基礎２),0)*_11・２人),0)*(1+_11・A夜間)),0)</f>
        <v>621</v>
      </c>
      <c r="R111" s="48"/>
    </row>
    <row r="112" spans="1:18" ht="16.5" customHeight="1" x14ac:dyDescent="0.15">
      <c r="A112" s="41">
        <v>11</v>
      </c>
      <c r="B112" s="41" t="s">
        <v>14567</v>
      </c>
      <c r="C112" s="74" t="s">
        <v>14568</v>
      </c>
      <c r="D112" s="72"/>
      <c r="F112" s="53"/>
      <c r="G112" s="49"/>
      <c r="H112" s="50"/>
      <c r="I112" s="282"/>
      <c r="J112" s="45"/>
      <c r="K112" s="46"/>
      <c r="L112" s="35"/>
      <c r="O112" s="707" t="s">
        <v>404</v>
      </c>
      <c r="P112" s="708"/>
      <c r="Q112" s="95">
        <f>ROUND((ROUND((_11_A通院２増４．０*(1+_11・A夜間)),0)*_11・初任),0)</f>
        <v>483</v>
      </c>
      <c r="R112" s="48"/>
    </row>
    <row r="113" spans="1:18" ht="16.5" customHeight="1" x14ac:dyDescent="0.15">
      <c r="A113" s="41">
        <v>11</v>
      </c>
      <c r="B113" s="41" t="s">
        <v>14569</v>
      </c>
      <c r="C113" s="74" t="s">
        <v>14570</v>
      </c>
      <c r="D113" s="72"/>
      <c r="F113" s="43"/>
      <c r="G113" s="37"/>
      <c r="H113" s="38"/>
      <c r="I113" s="281" t="s">
        <v>397</v>
      </c>
      <c r="J113" s="218" t="s">
        <v>398</v>
      </c>
      <c r="K113" s="46">
        <v>1</v>
      </c>
      <c r="L113" s="35"/>
      <c r="O113" s="709"/>
      <c r="P113" s="704"/>
      <c r="Q113" s="95">
        <f>ROUND((ROUND((ROUND((_11_A通院２増４．０*_11・２人),0)*(1+_11・A夜間)),0)*_11・初任),0)</f>
        <v>483</v>
      </c>
      <c r="R113" s="48"/>
    </row>
    <row r="114" spans="1:18" ht="16.5" customHeight="1" x14ac:dyDescent="0.15">
      <c r="A114" s="41">
        <v>11</v>
      </c>
      <c r="B114" s="41" t="s">
        <v>14571</v>
      </c>
      <c r="C114" s="74" t="s">
        <v>14572</v>
      </c>
      <c r="D114" s="72"/>
      <c r="F114" s="752" t="s">
        <v>400</v>
      </c>
      <c r="G114" s="221" t="s">
        <v>398</v>
      </c>
      <c r="H114" s="50">
        <v>0.9</v>
      </c>
      <c r="I114" s="282"/>
      <c r="J114" s="45"/>
      <c r="K114" s="46"/>
      <c r="L114" s="35"/>
      <c r="O114" s="709"/>
      <c r="P114" s="704"/>
      <c r="Q114" s="95">
        <f>ROUND((ROUND((ROUND((_11_A通院２増４．０*_11・基礎２),0)*(1+_11・A夜間)),0)*_11・初任),0)</f>
        <v>435</v>
      </c>
      <c r="R114" s="48"/>
    </row>
    <row r="115" spans="1:18" ht="16.5" customHeight="1" x14ac:dyDescent="0.15">
      <c r="A115" s="41">
        <v>11</v>
      </c>
      <c r="B115" s="41" t="s">
        <v>14573</v>
      </c>
      <c r="C115" s="74" t="s">
        <v>14574</v>
      </c>
      <c r="D115" s="72"/>
      <c r="F115" s="711"/>
      <c r="G115" s="37"/>
      <c r="H115" s="38"/>
      <c r="I115" s="281" t="s">
        <v>397</v>
      </c>
      <c r="J115" s="218" t="s">
        <v>398</v>
      </c>
      <c r="K115" s="46">
        <v>1</v>
      </c>
      <c r="L115" s="35"/>
      <c r="O115" s="240" t="s">
        <v>398</v>
      </c>
      <c r="P115" s="38">
        <f>_11・初任</f>
        <v>0.7</v>
      </c>
      <c r="Q115" s="95">
        <f>ROUND((ROUND((ROUND((ROUND((_11_A通院２増４．０*_11・基礎２),0)*_11・２人),0)*(1+_11・A夜間)),0)*_11・初任),0)</f>
        <v>435</v>
      </c>
      <c r="R115" s="48"/>
    </row>
    <row r="116" spans="1:18" ht="16.5" customHeight="1" x14ac:dyDescent="0.15">
      <c r="A116" s="41">
        <v>11</v>
      </c>
      <c r="B116" s="41">
        <v>7519</v>
      </c>
      <c r="C116" s="74" t="s">
        <v>14575</v>
      </c>
      <c r="D116" s="707" t="s">
        <v>847</v>
      </c>
      <c r="E116" s="798"/>
      <c r="F116" s="53"/>
      <c r="G116" s="49"/>
      <c r="H116" s="50"/>
      <c r="I116" s="282"/>
      <c r="J116" s="45"/>
      <c r="K116" s="46"/>
      <c r="L116" s="35"/>
      <c r="O116" s="53"/>
      <c r="P116" s="50"/>
      <c r="Q116" s="95">
        <f>ROUND((_11_A通院２増４．５*(1+_11・A夜間)),0)</f>
        <v>776</v>
      </c>
      <c r="R116" s="48"/>
    </row>
    <row r="117" spans="1:18" ht="16.5" customHeight="1" x14ac:dyDescent="0.15">
      <c r="A117" s="41">
        <v>11</v>
      </c>
      <c r="B117" s="41">
        <v>7520</v>
      </c>
      <c r="C117" s="74" t="s">
        <v>14576</v>
      </c>
      <c r="D117" s="799"/>
      <c r="E117" s="796"/>
      <c r="F117" s="43"/>
      <c r="G117" s="37"/>
      <c r="H117" s="38"/>
      <c r="I117" s="281" t="s">
        <v>397</v>
      </c>
      <c r="J117" s="218" t="s">
        <v>398</v>
      </c>
      <c r="K117" s="46">
        <v>1</v>
      </c>
      <c r="L117" s="35"/>
      <c r="O117" s="35"/>
      <c r="Q117" s="95">
        <f>ROUND((ROUND((_11_A通院２増４．５*_11・２人),0)*(1+_11・A夜間)),0)</f>
        <v>776</v>
      </c>
      <c r="R117" s="48"/>
    </row>
    <row r="118" spans="1:18" ht="16.5" customHeight="1" x14ac:dyDescent="0.15">
      <c r="A118" s="41">
        <v>11</v>
      </c>
      <c r="B118" s="41">
        <v>7521</v>
      </c>
      <c r="C118" s="74" t="s">
        <v>14577</v>
      </c>
      <c r="D118" s="799"/>
      <c r="E118" s="796"/>
      <c r="F118" s="752" t="s">
        <v>400</v>
      </c>
      <c r="G118" s="221" t="s">
        <v>398</v>
      </c>
      <c r="H118" s="50">
        <v>0.9</v>
      </c>
      <c r="I118" s="282"/>
      <c r="J118" s="45"/>
      <c r="K118" s="46"/>
      <c r="L118" s="35"/>
      <c r="O118" s="35"/>
      <c r="Q118" s="95">
        <f>ROUND((ROUND((_11_A通院２増４．５*_11・基礎２),0)*(1+_11・A夜間)),0)</f>
        <v>699</v>
      </c>
      <c r="R118" s="48"/>
    </row>
    <row r="119" spans="1:18" ht="16.5" customHeight="1" x14ac:dyDescent="0.15">
      <c r="A119" s="41">
        <v>11</v>
      </c>
      <c r="B119" s="41">
        <v>7522</v>
      </c>
      <c r="C119" s="74" t="s">
        <v>14578</v>
      </c>
      <c r="D119" s="274">
        <f>_11_A通院２増４．５</f>
        <v>621</v>
      </c>
      <c r="E119" s="254" t="s">
        <v>392</v>
      </c>
      <c r="F119" s="711"/>
      <c r="G119" s="37"/>
      <c r="H119" s="38"/>
      <c r="I119" s="281" t="s">
        <v>397</v>
      </c>
      <c r="J119" s="218" t="s">
        <v>398</v>
      </c>
      <c r="K119" s="46">
        <v>1</v>
      </c>
      <c r="L119" s="35"/>
      <c r="O119" s="35"/>
      <c r="Q119" s="95">
        <f>ROUND((ROUND((ROUND((_11_A通院２増４．５*_11・基礎２),0)*_11・２人),0)*(1+_11・A夜間)),0)</f>
        <v>699</v>
      </c>
      <c r="R119" s="48"/>
    </row>
    <row r="120" spans="1:18" ht="16.5" customHeight="1" x14ac:dyDescent="0.15">
      <c r="A120" s="41">
        <v>11</v>
      </c>
      <c r="B120" s="41" t="s">
        <v>14579</v>
      </c>
      <c r="C120" s="74" t="s">
        <v>14580</v>
      </c>
      <c r="D120" s="72"/>
      <c r="F120" s="53"/>
      <c r="G120" s="49"/>
      <c r="H120" s="50"/>
      <c r="I120" s="282"/>
      <c r="J120" s="45"/>
      <c r="K120" s="46"/>
      <c r="L120" s="35"/>
      <c r="O120" s="707" t="s">
        <v>404</v>
      </c>
      <c r="P120" s="708"/>
      <c r="Q120" s="95">
        <f>ROUND((ROUND((_11_A通院２増４．５*(1+_11・A夜間)),0)*_11・初任),0)</f>
        <v>543</v>
      </c>
      <c r="R120" s="48"/>
    </row>
    <row r="121" spans="1:18" ht="16.5" customHeight="1" x14ac:dyDescent="0.15">
      <c r="A121" s="41">
        <v>11</v>
      </c>
      <c r="B121" s="41" t="s">
        <v>14581</v>
      </c>
      <c r="C121" s="74" t="s">
        <v>14582</v>
      </c>
      <c r="D121" s="72"/>
      <c r="F121" s="43"/>
      <c r="G121" s="37"/>
      <c r="H121" s="38"/>
      <c r="I121" s="281" t="s">
        <v>397</v>
      </c>
      <c r="J121" s="218" t="s">
        <v>398</v>
      </c>
      <c r="K121" s="46">
        <v>1</v>
      </c>
      <c r="L121" s="35"/>
      <c r="O121" s="709"/>
      <c r="P121" s="704"/>
      <c r="Q121" s="95">
        <f>ROUND((ROUND((ROUND((_11_A通院２増４．５*_11・２人),0)*(1+_11・A夜間)),0)*_11・初任),0)</f>
        <v>543</v>
      </c>
      <c r="R121" s="48"/>
    </row>
    <row r="122" spans="1:18" ht="16.5" customHeight="1" x14ac:dyDescent="0.15">
      <c r="A122" s="41">
        <v>11</v>
      </c>
      <c r="B122" s="41" t="s">
        <v>14583</v>
      </c>
      <c r="C122" s="74" t="s">
        <v>14584</v>
      </c>
      <c r="D122" s="72"/>
      <c r="F122" s="752" t="s">
        <v>400</v>
      </c>
      <c r="G122" s="221" t="s">
        <v>398</v>
      </c>
      <c r="H122" s="50">
        <v>0.9</v>
      </c>
      <c r="I122" s="282"/>
      <c r="J122" s="45"/>
      <c r="K122" s="46"/>
      <c r="L122" s="35"/>
      <c r="O122" s="709"/>
      <c r="P122" s="704"/>
      <c r="Q122" s="95">
        <f>ROUND((ROUND((ROUND((_11_A通院２増４．５*_11・基礎２),0)*(1+_11・A夜間)),0)*_11・初任),0)</f>
        <v>489</v>
      </c>
      <c r="R122" s="48"/>
    </row>
    <row r="123" spans="1:18" ht="16.5" customHeight="1" x14ac:dyDescent="0.15">
      <c r="A123" s="41">
        <v>11</v>
      </c>
      <c r="B123" s="41" t="s">
        <v>14585</v>
      </c>
      <c r="C123" s="74" t="s">
        <v>14586</v>
      </c>
      <c r="D123" s="122"/>
      <c r="E123" s="37"/>
      <c r="F123" s="711"/>
      <c r="G123" s="37"/>
      <c r="H123" s="38"/>
      <c r="I123" s="281" t="s">
        <v>397</v>
      </c>
      <c r="J123" s="218" t="s">
        <v>398</v>
      </c>
      <c r="K123" s="46">
        <v>1</v>
      </c>
      <c r="L123" s="43"/>
      <c r="M123" s="37"/>
      <c r="N123" s="38"/>
      <c r="O123" s="240" t="s">
        <v>398</v>
      </c>
      <c r="P123" s="38">
        <f>_11・初任</f>
        <v>0.7</v>
      </c>
      <c r="Q123" s="95">
        <f>ROUND((ROUND((ROUND((ROUND((_11_A通院２増４．５*_11・基礎２),0)*_11・２人),0)*(1+_11・A夜間)),0)*_11・初任),0)</f>
        <v>489</v>
      </c>
      <c r="R123" s="63"/>
    </row>
    <row r="124" spans="1:18" ht="16.5" customHeight="1" x14ac:dyDescent="0.15"/>
    <row r="125" spans="1:18" ht="16.5" customHeight="1" x14ac:dyDescent="0.15"/>
  </sheetData>
  <mergeCells count="58">
    <mergeCell ref="O120:P122"/>
    <mergeCell ref="F122:F123"/>
    <mergeCell ref="D108:E110"/>
    <mergeCell ref="F110:F111"/>
    <mergeCell ref="O112:P114"/>
    <mergeCell ref="F114:F115"/>
    <mergeCell ref="D116:E118"/>
    <mergeCell ref="F118:F119"/>
    <mergeCell ref="O96:P98"/>
    <mergeCell ref="F98:F99"/>
    <mergeCell ref="D100:E102"/>
    <mergeCell ref="F102:F103"/>
    <mergeCell ref="O104:P106"/>
    <mergeCell ref="F106:F107"/>
    <mergeCell ref="D84:E86"/>
    <mergeCell ref="F86:F87"/>
    <mergeCell ref="O88:P90"/>
    <mergeCell ref="F90:F91"/>
    <mergeCell ref="D92:E94"/>
    <mergeCell ref="F94:F95"/>
    <mergeCell ref="O72:P74"/>
    <mergeCell ref="F74:F75"/>
    <mergeCell ref="D76:E78"/>
    <mergeCell ref="F78:F79"/>
    <mergeCell ref="O80:P82"/>
    <mergeCell ref="F82:F83"/>
    <mergeCell ref="D60:E62"/>
    <mergeCell ref="F62:F63"/>
    <mergeCell ref="O64:P66"/>
    <mergeCell ref="F66:F67"/>
    <mergeCell ref="D68:E70"/>
    <mergeCell ref="F70:F71"/>
    <mergeCell ref="O27:P29"/>
    <mergeCell ref="F29:F30"/>
    <mergeCell ref="O56:P58"/>
    <mergeCell ref="F58:F59"/>
    <mergeCell ref="D31:E33"/>
    <mergeCell ref="F33:F34"/>
    <mergeCell ref="O35:P37"/>
    <mergeCell ref="F37:F38"/>
    <mergeCell ref="D39:E41"/>
    <mergeCell ref="F41:F42"/>
    <mergeCell ref="O43:P45"/>
    <mergeCell ref="F45:F46"/>
    <mergeCell ref="D52:E54"/>
    <mergeCell ref="N53:N54"/>
    <mergeCell ref="F54:F55"/>
    <mergeCell ref="O19:P21"/>
    <mergeCell ref="F21:F22"/>
    <mergeCell ref="D23:E25"/>
    <mergeCell ref="F25:F26"/>
    <mergeCell ref="D15:E17"/>
    <mergeCell ref="F17:F18"/>
    <mergeCell ref="D7:E9"/>
    <mergeCell ref="N8:N9"/>
    <mergeCell ref="F9:F10"/>
    <mergeCell ref="O11:P13"/>
    <mergeCell ref="F13:F14"/>
  </mergeCells>
  <phoneticPr fontId="1"/>
  <printOptions horizontalCentered="1"/>
  <pageMargins left="0.70866141732283472" right="0.70866141732283472" top="0.74803149606299213" bottom="0.74803149606299213" header="0.31496062992125984" footer="0.31496062992125984"/>
  <pageSetup paperSize="9" scale="58" fitToHeight="0" orientation="portrait" r:id="rId1"/>
  <headerFooter>
    <oddHeader>&amp;R&amp;"ＭＳ Ｐゴシック"&amp;9居宅介護</oddHeader>
    <oddFooter>&amp;C&amp;"ＭＳ Ｐゴシック"&amp;14&amp;P</oddFooter>
  </headerFooter>
  <rowBreaks count="1" manualBreakCount="1">
    <brk id="46" max="17"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2">
    <pageSetUpPr fitToPage="1"/>
  </sheetPr>
  <dimension ref="A1:R112"/>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0" customWidth="1"/>
    <col min="5" max="5" width="4.875" style="12" customWidth="1"/>
    <col min="6" max="6" width="12.125" style="12" customWidth="1"/>
    <col min="7" max="7" width="2.5" style="12" customWidth="1"/>
    <col min="8" max="8" width="4.5" style="13" bestFit="1" customWidth="1"/>
    <col min="9" max="9" width="26" style="12" customWidth="1"/>
    <col min="10" max="10" width="2.5" style="12" customWidth="1"/>
    <col min="11" max="11" width="5.5" style="13" bestFit="1" customWidth="1"/>
    <col min="12" max="12" width="2.5" style="12" customWidth="1"/>
    <col min="13" max="13" width="3.875" style="12" customWidth="1"/>
    <col min="14" max="14" width="4.5" style="13" bestFit="1" customWidth="1"/>
    <col min="15" max="15" width="9.875" style="12" customWidth="1"/>
    <col min="16" max="16" width="4.5" style="13" bestFit="1" customWidth="1"/>
    <col min="17" max="17" width="7.125" style="15" customWidth="1"/>
    <col min="18" max="18" width="8.5" style="16" customWidth="1"/>
    <col min="19" max="16384" width="8.875" style="12"/>
  </cols>
  <sheetData>
    <row r="1" spans="1:18" ht="17.100000000000001" customHeight="1" x14ac:dyDescent="0.15"/>
    <row r="2" spans="1:18" ht="17.100000000000001" customHeight="1" x14ac:dyDescent="0.15"/>
    <row r="3" spans="1:18" ht="17.100000000000001" customHeight="1" x14ac:dyDescent="0.15"/>
    <row r="4" spans="1:18" ht="17.100000000000001" customHeight="1" x14ac:dyDescent="0.15">
      <c r="B4" s="17" t="s">
        <v>14587</v>
      </c>
      <c r="D4" s="71"/>
    </row>
    <row r="5" spans="1:18" ht="16.5" customHeight="1" x14ac:dyDescent="0.15">
      <c r="A5" s="19" t="s">
        <v>384</v>
      </c>
      <c r="B5" s="20"/>
      <c r="C5" s="21" t="s">
        <v>385</v>
      </c>
      <c r="D5" s="23" t="s">
        <v>386</v>
      </c>
      <c r="E5" s="23"/>
      <c r="F5" s="23"/>
      <c r="G5" s="23"/>
      <c r="H5" s="24"/>
      <c r="I5" s="23"/>
      <c r="J5" s="23"/>
      <c r="K5" s="24"/>
      <c r="L5" s="23"/>
      <c r="M5" s="23"/>
      <c r="N5" s="24"/>
      <c r="O5" s="23"/>
      <c r="P5" s="24"/>
      <c r="Q5" s="25" t="s">
        <v>387</v>
      </c>
      <c r="R5" s="21" t="s">
        <v>388</v>
      </c>
    </row>
    <row r="6" spans="1:18" ht="16.5" customHeight="1" x14ac:dyDescent="0.15">
      <c r="A6" s="26" t="s">
        <v>389</v>
      </c>
      <c r="B6" s="26" t="s">
        <v>390</v>
      </c>
      <c r="C6" s="27"/>
      <c r="D6" s="29"/>
      <c r="E6" s="29"/>
      <c r="F6" s="29"/>
      <c r="G6" s="29"/>
      <c r="H6" s="30"/>
      <c r="I6" s="29"/>
      <c r="J6" s="29"/>
      <c r="K6" s="30"/>
      <c r="L6" s="29"/>
      <c r="M6" s="29"/>
      <c r="N6" s="30"/>
      <c r="O6" s="29"/>
      <c r="P6" s="30"/>
      <c r="Q6" s="31" t="s">
        <v>391</v>
      </c>
      <c r="R6" s="32" t="s">
        <v>392</v>
      </c>
    </row>
    <row r="7" spans="1:18" ht="16.5" customHeight="1" x14ac:dyDescent="0.15">
      <c r="A7" s="33">
        <v>11</v>
      </c>
      <c r="B7" s="33">
        <v>7523</v>
      </c>
      <c r="C7" s="34" t="s">
        <v>14588</v>
      </c>
      <c r="D7" s="709" t="s">
        <v>861</v>
      </c>
      <c r="E7" s="796"/>
      <c r="F7" s="35"/>
      <c r="I7" s="43"/>
      <c r="J7" s="37"/>
      <c r="K7" s="38"/>
      <c r="L7" s="35" t="s">
        <v>862</v>
      </c>
      <c r="N7" s="234"/>
      <c r="O7" s="35"/>
      <c r="Q7" s="39">
        <f>ROUND((_11_A通院２増０．５*(1+_11・A深夜)),0)</f>
        <v>104</v>
      </c>
      <c r="R7" s="40" t="s">
        <v>395</v>
      </c>
    </row>
    <row r="8" spans="1:18" ht="16.5" customHeight="1" x14ac:dyDescent="0.15">
      <c r="A8" s="41">
        <v>11</v>
      </c>
      <c r="B8" s="41">
        <v>7524</v>
      </c>
      <c r="C8" s="74" t="s">
        <v>14589</v>
      </c>
      <c r="D8" s="799"/>
      <c r="E8" s="796"/>
      <c r="F8" s="43"/>
      <c r="G8" s="37"/>
      <c r="H8" s="38"/>
      <c r="I8" s="281" t="s">
        <v>397</v>
      </c>
      <c r="J8" s="218" t="s">
        <v>398</v>
      </c>
      <c r="K8" s="46">
        <v>1</v>
      </c>
      <c r="L8" s="258" t="s">
        <v>398</v>
      </c>
      <c r="M8" s="13">
        <v>0.5</v>
      </c>
      <c r="N8" s="718" t="s">
        <v>676</v>
      </c>
      <c r="O8" s="35"/>
      <c r="Q8" s="47">
        <f>ROUND((ROUND((_11_A通院２増０．５*_11・２人),0)*(1+_11・A深夜)),0)</f>
        <v>104</v>
      </c>
      <c r="R8" s="48"/>
    </row>
    <row r="9" spans="1:18" ht="16.5" customHeight="1" x14ac:dyDescent="0.15">
      <c r="A9" s="41">
        <v>11</v>
      </c>
      <c r="B9" s="41">
        <v>7525</v>
      </c>
      <c r="C9" s="74" t="s">
        <v>14590</v>
      </c>
      <c r="D9" s="799"/>
      <c r="E9" s="796"/>
      <c r="F9" s="752" t="s">
        <v>400</v>
      </c>
      <c r="G9" s="221" t="s">
        <v>398</v>
      </c>
      <c r="H9" s="50">
        <v>0.9</v>
      </c>
      <c r="I9" s="256"/>
      <c r="J9" s="45"/>
      <c r="K9" s="46"/>
      <c r="L9" s="35"/>
      <c r="N9" s="796"/>
      <c r="O9" s="35"/>
      <c r="Q9" s="47">
        <f>ROUND((ROUND((_11_A通院２増０．５*_11・基礎２),0)*(1+_11・A深夜)),0)</f>
        <v>93</v>
      </c>
      <c r="R9" s="48"/>
    </row>
    <row r="10" spans="1:18" ht="16.5" customHeight="1" x14ac:dyDescent="0.15">
      <c r="A10" s="41">
        <v>11</v>
      </c>
      <c r="B10" s="41">
        <v>7526</v>
      </c>
      <c r="C10" s="74" t="s">
        <v>14591</v>
      </c>
      <c r="D10" s="274">
        <f>_11_A通院２増０．５</f>
        <v>69</v>
      </c>
      <c r="E10" s="10" t="s">
        <v>392</v>
      </c>
      <c r="F10" s="800"/>
      <c r="G10" s="37"/>
      <c r="H10" s="38"/>
      <c r="I10" s="281" t="s">
        <v>397</v>
      </c>
      <c r="J10" s="218" t="s">
        <v>398</v>
      </c>
      <c r="K10" s="46">
        <v>1</v>
      </c>
      <c r="L10" s="35"/>
      <c r="N10" s="234"/>
      <c r="O10" s="35"/>
      <c r="Q10" s="47">
        <f>ROUND((ROUND((ROUND((_11_A通院２増０．５*_11・基礎２),0)*_11・２人),0)*(1+_11・A深夜)),0)</f>
        <v>93</v>
      </c>
      <c r="R10" s="48"/>
    </row>
    <row r="11" spans="1:18" ht="16.5" customHeight="1" x14ac:dyDescent="0.15">
      <c r="A11" s="41">
        <v>11</v>
      </c>
      <c r="B11" s="41" t="s">
        <v>14592</v>
      </c>
      <c r="C11" s="74" t="s">
        <v>14593</v>
      </c>
      <c r="D11" s="72"/>
      <c r="F11" s="53"/>
      <c r="G11" s="49"/>
      <c r="H11" s="50"/>
      <c r="I11" s="256"/>
      <c r="J11" s="45"/>
      <c r="K11" s="46"/>
      <c r="L11" s="35"/>
      <c r="O11" s="707" t="s">
        <v>404</v>
      </c>
      <c r="P11" s="708"/>
      <c r="Q11" s="47">
        <f>ROUND((ROUND((_11_A通院２増０．５*(1+_11・A深夜)),0)*_11・初任),0)</f>
        <v>73</v>
      </c>
      <c r="R11" s="48"/>
    </row>
    <row r="12" spans="1:18" ht="16.5" customHeight="1" x14ac:dyDescent="0.15">
      <c r="A12" s="41">
        <v>11</v>
      </c>
      <c r="B12" s="41" t="s">
        <v>14594</v>
      </c>
      <c r="C12" s="74" t="s">
        <v>14595</v>
      </c>
      <c r="D12" s="72"/>
      <c r="F12" s="43"/>
      <c r="G12" s="37"/>
      <c r="H12" s="38"/>
      <c r="I12" s="281" t="s">
        <v>397</v>
      </c>
      <c r="J12" s="218" t="s">
        <v>398</v>
      </c>
      <c r="K12" s="46">
        <v>1</v>
      </c>
      <c r="L12" s="35"/>
      <c r="O12" s="709"/>
      <c r="P12" s="704"/>
      <c r="Q12" s="47">
        <f>ROUND((ROUND((ROUND((_11_A通院２増０．５*_11・２人),0)*(1+_11・A深夜)),0)*_11・初任),0)</f>
        <v>73</v>
      </c>
      <c r="R12" s="48"/>
    </row>
    <row r="13" spans="1:18" ht="16.5" customHeight="1" x14ac:dyDescent="0.15">
      <c r="A13" s="41">
        <v>11</v>
      </c>
      <c r="B13" s="41" t="s">
        <v>14596</v>
      </c>
      <c r="C13" s="74" t="s">
        <v>14597</v>
      </c>
      <c r="D13" s="72"/>
      <c r="F13" s="752" t="s">
        <v>400</v>
      </c>
      <c r="G13" s="221" t="s">
        <v>398</v>
      </c>
      <c r="H13" s="50">
        <v>0.9</v>
      </c>
      <c r="I13" s="256"/>
      <c r="J13" s="45"/>
      <c r="K13" s="46"/>
      <c r="L13" s="35"/>
      <c r="O13" s="709"/>
      <c r="P13" s="704"/>
      <c r="Q13" s="47">
        <f>ROUND((ROUND((ROUND((_11_A通院２増０．５*_11・基礎２),0)*(1+_11・A深夜)),0)*_11・初任),0)</f>
        <v>65</v>
      </c>
      <c r="R13" s="48"/>
    </row>
    <row r="14" spans="1:18" ht="16.5" customHeight="1" x14ac:dyDescent="0.15">
      <c r="A14" s="41">
        <v>11</v>
      </c>
      <c r="B14" s="41" t="s">
        <v>14598</v>
      </c>
      <c r="C14" s="74" t="s">
        <v>14599</v>
      </c>
      <c r="D14" s="72"/>
      <c r="F14" s="800"/>
      <c r="G14" s="37"/>
      <c r="H14" s="38"/>
      <c r="I14" s="281" t="s">
        <v>397</v>
      </c>
      <c r="J14" s="218" t="s">
        <v>398</v>
      </c>
      <c r="K14" s="46">
        <v>1</v>
      </c>
      <c r="L14" s="35"/>
      <c r="O14" s="240" t="s">
        <v>398</v>
      </c>
      <c r="P14" s="38">
        <f>_11・初任</f>
        <v>0.7</v>
      </c>
      <c r="Q14" s="47">
        <f>ROUND((ROUND((ROUND((ROUND((_11_A通院２増０．５*_11・基礎２),0)*_11・２人),0)*(1+_11・A深夜)),0)*_11・初任),0)</f>
        <v>65</v>
      </c>
      <c r="R14" s="48"/>
    </row>
    <row r="15" spans="1:18" ht="16.5" customHeight="1" x14ac:dyDescent="0.15">
      <c r="A15" s="41">
        <v>11</v>
      </c>
      <c r="B15" s="41">
        <v>7527</v>
      </c>
      <c r="C15" s="74" t="s">
        <v>14600</v>
      </c>
      <c r="D15" s="707" t="s">
        <v>876</v>
      </c>
      <c r="E15" s="798"/>
      <c r="F15" s="53"/>
      <c r="G15" s="49"/>
      <c r="H15" s="50"/>
      <c r="I15" s="256"/>
      <c r="J15" s="45"/>
      <c r="K15" s="46"/>
      <c r="L15" s="35"/>
      <c r="O15" s="53"/>
      <c r="P15" s="50"/>
      <c r="Q15" s="47">
        <f>ROUND((_11_A通院２増１．０*(1+_11・A深夜)),0)</f>
        <v>207</v>
      </c>
      <c r="R15" s="48"/>
    </row>
    <row r="16" spans="1:18" ht="16.5" customHeight="1" x14ac:dyDescent="0.15">
      <c r="A16" s="41">
        <v>11</v>
      </c>
      <c r="B16" s="41">
        <v>7528</v>
      </c>
      <c r="C16" s="74" t="s">
        <v>14601</v>
      </c>
      <c r="D16" s="799"/>
      <c r="E16" s="796"/>
      <c r="F16" s="43"/>
      <c r="G16" s="37"/>
      <c r="H16" s="38"/>
      <c r="I16" s="281" t="s">
        <v>397</v>
      </c>
      <c r="J16" s="218" t="s">
        <v>398</v>
      </c>
      <c r="K16" s="46">
        <v>1</v>
      </c>
      <c r="L16" s="35"/>
      <c r="O16" s="35"/>
      <c r="Q16" s="47">
        <f>ROUND((ROUND((_11_A通院２増１．０*_11・２人),0)*(1+_11・A深夜)),0)</f>
        <v>207</v>
      </c>
      <c r="R16" s="48"/>
    </row>
    <row r="17" spans="1:18" ht="16.5" customHeight="1" x14ac:dyDescent="0.15">
      <c r="A17" s="41">
        <v>11</v>
      </c>
      <c r="B17" s="41">
        <v>7529</v>
      </c>
      <c r="C17" s="74" t="s">
        <v>14602</v>
      </c>
      <c r="D17" s="799"/>
      <c r="E17" s="796"/>
      <c r="F17" s="752" t="s">
        <v>400</v>
      </c>
      <c r="G17" s="221" t="s">
        <v>398</v>
      </c>
      <c r="H17" s="50">
        <v>0.9</v>
      </c>
      <c r="I17" s="256"/>
      <c r="J17" s="45"/>
      <c r="K17" s="46"/>
      <c r="L17" s="35"/>
      <c r="O17" s="35"/>
      <c r="Q17" s="47">
        <f>ROUND((ROUND((_11_A通院２増１．０*_11・基礎２),0)*(1+_11・A深夜)),0)</f>
        <v>186</v>
      </c>
      <c r="R17" s="48"/>
    </row>
    <row r="18" spans="1:18" ht="16.5" customHeight="1" x14ac:dyDescent="0.15">
      <c r="A18" s="41">
        <v>11</v>
      </c>
      <c r="B18" s="41">
        <v>7530</v>
      </c>
      <c r="C18" s="74" t="s">
        <v>14603</v>
      </c>
      <c r="D18" s="274">
        <f>_11_A通院２増１．０</f>
        <v>138</v>
      </c>
      <c r="E18" s="254" t="s">
        <v>392</v>
      </c>
      <c r="F18" s="800"/>
      <c r="G18" s="37"/>
      <c r="H18" s="38"/>
      <c r="I18" s="281" t="s">
        <v>397</v>
      </c>
      <c r="J18" s="218" t="s">
        <v>398</v>
      </c>
      <c r="K18" s="46">
        <v>1</v>
      </c>
      <c r="L18" s="35"/>
      <c r="O18" s="35"/>
      <c r="Q18" s="47">
        <f>ROUND((ROUND((ROUND((_11_A通院２増１．０*_11・基礎２),0)*_11・２人),0)*(1+_11・A深夜)),0)</f>
        <v>186</v>
      </c>
      <c r="R18" s="48"/>
    </row>
    <row r="19" spans="1:18" ht="16.5" customHeight="1" x14ac:dyDescent="0.15">
      <c r="A19" s="41">
        <v>11</v>
      </c>
      <c r="B19" s="41" t="s">
        <v>14604</v>
      </c>
      <c r="C19" s="74" t="s">
        <v>14605</v>
      </c>
      <c r="D19" s="72"/>
      <c r="F19" s="53"/>
      <c r="G19" s="49"/>
      <c r="H19" s="50"/>
      <c r="I19" s="256"/>
      <c r="J19" s="45"/>
      <c r="K19" s="46"/>
      <c r="L19" s="35"/>
      <c r="O19" s="707" t="s">
        <v>404</v>
      </c>
      <c r="P19" s="708"/>
      <c r="Q19" s="47">
        <f>ROUND((ROUND((_11_A通院２増１．０*(1+_11・A深夜)),0)*_11・初任),0)</f>
        <v>145</v>
      </c>
      <c r="R19" s="48"/>
    </row>
    <row r="20" spans="1:18" ht="16.5" customHeight="1" x14ac:dyDescent="0.15">
      <c r="A20" s="41">
        <v>11</v>
      </c>
      <c r="B20" s="41" t="s">
        <v>14606</v>
      </c>
      <c r="C20" s="74" t="s">
        <v>14607</v>
      </c>
      <c r="D20" s="72"/>
      <c r="F20" s="43"/>
      <c r="G20" s="37"/>
      <c r="H20" s="38"/>
      <c r="I20" s="281" t="s">
        <v>397</v>
      </c>
      <c r="J20" s="218" t="s">
        <v>398</v>
      </c>
      <c r="K20" s="46">
        <v>1</v>
      </c>
      <c r="L20" s="35"/>
      <c r="O20" s="709"/>
      <c r="P20" s="704"/>
      <c r="Q20" s="47">
        <f>ROUND((ROUND((ROUND((_11_A通院２増１．０*_11・２人),0)*(1+_11・A深夜)),0)*_11・初任),0)</f>
        <v>145</v>
      </c>
      <c r="R20" s="48"/>
    </row>
    <row r="21" spans="1:18" ht="16.5" customHeight="1" x14ac:dyDescent="0.15">
      <c r="A21" s="41">
        <v>11</v>
      </c>
      <c r="B21" s="41" t="s">
        <v>14608</v>
      </c>
      <c r="C21" s="74" t="s">
        <v>14609</v>
      </c>
      <c r="D21" s="72"/>
      <c r="F21" s="752" t="s">
        <v>400</v>
      </c>
      <c r="G21" s="221" t="s">
        <v>398</v>
      </c>
      <c r="H21" s="50">
        <v>0.9</v>
      </c>
      <c r="I21" s="256"/>
      <c r="J21" s="45"/>
      <c r="K21" s="46"/>
      <c r="L21" s="35"/>
      <c r="O21" s="709"/>
      <c r="P21" s="704"/>
      <c r="Q21" s="47">
        <f>ROUND((ROUND((ROUND((_11_A通院２増１．０*_11・基礎２),0)*(1+_11・A深夜)),0)*_11・初任),0)</f>
        <v>130</v>
      </c>
      <c r="R21" s="48"/>
    </row>
    <row r="22" spans="1:18" ht="16.5" customHeight="1" x14ac:dyDescent="0.15">
      <c r="A22" s="41">
        <v>11</v>
      </c>
      <c r="B22" s="41" t="s">
        <v>14610</v>
      </c>
      <c r="C22" s="74" t="s">
        <v>14611</v>
      </c>
      <c r="D22" s="72"/>
      <c r="F22" s="800"/>
      <c r="G22" s="37"/>
      <c r="H22" s="38"/>
      <c r="I22" s="281" t="s">
        <v>397</v>
      </c>
      <c r="J22" s="218" t="s">
        <v>398</v>
      </c>
      <c r="K22" s="46">
        <v>1</v>
      </c>
      <c r="L22" s="35"/>
      <c r="O22" s="240" t="s">
        <v>398</v>
      </c>
      <c r="P22" s="38">
        <f>_11・初任</f>
        <v>0.7</v>
      </c>
      <c r="Q22" s="47">
        <f>ROUND((ROUND((ROUND((ROUND((_11_A通院２増１．０*_11・基礎２),0)*_11・２人),0)*(1+_11・A深夜)),0)*_11・初任),0)</f>
        <v>130</v>
      </c>
      <c r="R22" s="48"/>
    </row>
    <row r="23" spans="1:18" ht="16.5" customHeight="1" x14ac:dyDescent="0.15">
      <c r="A23" s="41">
        <v>11</v>
      </c>
      <c r="B23" s="41">
        <v>7531</v>
      </c>
      <c r="C23" s="74" t="s">
        <v>14612</v>
      </c>
      <c r="D23" s="707" t="s">
        <v>889</v>
      </c>
      <c r="E23" s="798"/>
      <c r="F23" s="53"/>
      <c r="G23" s="49"/>
      <c r="H23" s="50"/>
      <c r="I23" s="256"/>
      <c r="J23" s="45"/>
      <c r="K23" s="46"/>
      <c r="L23" s="35"/>
      <c r="O23" s="53"/>
      <c r="P23" s="50"/>
      <c r="Q23" s="47">
        <f>ROUND((_11_A通院２増１．５*(1+_11・A深夜)),0)</f>
        <v>311</v>
      </c>
      <c r="R23" s="48"/>
    </row>
    <row r="24" spans="1:18" ht="16.5" customHeight="1" x14ac:dyDescent="0.15">
      <c r="A24" s="41">
        <v>11</v>
      </c>
      <c r="B24" s="41">
        <v>7532</v>
      </c>
      <c r="C24" s="74" t="s">
        <v>14613</v>
      </c>
      <c r="D24" s="799"/>
      <c r="E24" s="796"/>
      <c r="F24" s="43"/>
      <c r="G24" s="37"/>
      <c r="H24" s="38"/>
      <c r="I24" s="281" t="s">
        <v>397</v>
      </c>
      <c r="J24" s="218" t="s">
        <v>398</v>
      </c>
      <c r="K24" s="46">
        <v>1</v>
      </c>
      <c r="L24" s="35"/>
      <c r="O24" s="35"/>
      <c r="Q24" s="47">
        <f>ROUND((ROUND((_11_A通院２増１．５*_11・２人),0)*(1+_11・A深夜)),0)</f>
        <v>311</v>
      </c>
      <c r="R24" s="48"/>
    </row>
    <row r="25" spans="1:18" ht="16.5" customHeight="1" x14ac:dyDescent="0.15">
      <c r="A25" s="41">
        <v>11</v>
      </c>
      <c r="B25" s="41">
        <v>7533</v>
      </c>
      <c r="C25" s="74" t="s">
        <v>14614</v>
      </c>
      <c r="D25" s="799"/>
      <c r="E25" s="796"/>
      <c r="F25" s="752" t="s">
        <v>400</v>
      </c>
      <c r="G25" s="221" t="s">
        <v>398</v>
      </c>
      <c r="H25" s="50">
        <v>0.9</v>
      </c>
      <c r="I25" s="256"/>
      <c r="J25" s="45"/>
      <c r="K25" s="46"/>
      <c r="L25" s="35"/>
      <c r="O25" s="35"/>
      <c r="Q25" s="47">
        <f>ROUND((ROUND((_11_A通院２増１．５*_11・基礎２),0)*(1+_11・A深夜)),0)</f>
        <v>279</v>
      </c>
      <c r="R25" s="48"/>
    </row>
    <row r="26" spans="1:18" ht="16.5" customHeight="1" x14ac:dyDescent="0.15">
      <c r="A26" s="41">
        <v>11</v>
      </c>
      <c r="B26" s="41">
        <v>7534</v>
      </c>
      <c r="C26" s="74" t="s">
        <v>14615</v>
      </c>
      <c r="D26" s="274">
        <f>_11_A通院２増１．５</f>
        <v>207</v>
      </c>
      <c r="E26" s="254" t="s">
        <v>392</v>
      </c>
      <c r="F26" s="800"/>
      <c r="G26" s="37"/>
      <c r="H26" s="38"/>
      <c r="I26" s="281" t="s">
        <v>397</v>
      </c>
      <c r="J26" s="218" t="s">
        <v>398</v>
      </c>
      <c r="K26" s="46">
        <v>1</v>
      </c>
      <c r="L26" s="35"/>
      <c r="O26" s="35"/>
      <c r="Q26" s="47">
        <f>ROUND((ROUND((ROUND((_11_A通院２増１．５*_11・基礎２),0)*_11・２人),0)*(1+_11・A深夜)),0)</f>
        <v>279</v>
      </c>
      <c r="R26" s="48"/>
    </row>
    <row r="27" spans="1:18" ht="16.5" customHeight="1" x14ac:dyDescent="0.15">
      <c r="A27" s="41">
        <v>11</v>
      </c>
      <c r="B27" s="41" t="s">
        <v>14616</v>
      </c>
      <c r="C27" s="74" t="s">
        <v>14617</v>
      </c>
      <c r="D27" s="72"/>
      <c r="F27" s="53"/>
      <c r="G27" s="49"/>
      <c r="H27" s="50"/>
      <c r="I27" s="256"/>
      <c r="J27" s="45"/>
      <c r="K27" s="46"/>
      <c r="L27" s="35"/>
      <c r="O27" s="707" t="s">
        <v>404</v>
      </c>
      <c r="P27" s="708"/>
      <c r="Q27" s="47">
        <f>ROUND((ROUND((_11_A通院２増１．５*(1+_11・A深夜)),0)*_11・初任),0)</f>
        <v>218</v>
      </c>
      <c r="R27" s="48"/>
    </row>
    <row r="28" spans="1:18" ht="16.5" customHeight="1" x14ac:dyDescent="0.15">
      <c r="A28" s="41">
        <v>11</v>
      </c>
      <c r="B28" s="41" t="s">
        <v>14618</v>
      </c>
      <c r="C28" s="74" t="s">
        <v>14619</v>
      </c>
      <c r="D28" s="72"/>
      <c r="F28" s="43"/>
      <c r="G28" s="37"/>
      <c r="H28" s="38"/>
      <c r="I28" s="281" t="s">
        <v>397</v>
      </c>
      <c r="J28" s="218" t="s">
        <v>398</v>
      </c>
      <c r="K28" s="46">
        <v>1</v>
      </c>
      <c r="L28" s="35"/>
      <c r="O28" s="709"/>
      <c r="P28" s="704"/>
      <c r="Q28" s="47">
        <f>ROUND((ROUND((ROUND((_11_A通院２増１．５*_11・２人),0)*(1+_11・A深夜)),0)*_11・初任),0)</f>
        <v>218</v>
      </c>
      <c r="R28" s="48"/>
    </row>
    <row r="29" spans="1:18" ht="16.5" customHeight="1" x14ac:dyDescent="0.15">
      <c r="A29" s="41">
        <v>11</v>
      </c>
      <c r="B29" s="41" t="s">
        <v>14620</v>
      </c>
      <c r="C29" s="74" t="s">
        <v>14621</v>
      </c>
      <c r="D29" s="72"/>
      <c r="F29" s="752" t="s">
        <v>400</v>
      </c>
      <c r="G29" s="221" t="s">
        <v>398</v>
      </c>
      <c r="H29" s="50">
        <v>0.9</v>
      </c>
      <c r="I29" s="256"/>
      <c r="J29" s="45"/>
      <c r="K29" s="46"/>
      <c r="L29" s="35"/>
      <c r="O29" s="709"/>
      <c r="P29" s="704"/>
      <c r="Q29" s="47">
        <f>ROUND((ROUND((ROUND((_11_A通院２増１．５*_11・基礎２),0)*(1+_11・A深夜)),0)*_11・初任),0)</f>
        <v>195</v>
      </c>
      <c r="R29" s="48"/>
    </row>
    <row r="30" spans="1:18" ht="16.5" customHeight="1" x14ac:dyDescent="0.15">
      <c r="A30" s="41">
        <v>11</v>
      </c>
      <c r="B30" s="41" t="s">
        <v>14622</v>
      </c>
      <c r="C30" s="74" t="s">
        <v>14623</v>
      </c>
      <c r="D30" s="72"/>
      <c r="F30" s="800"/>
      <c r="G30" s="37"/>
      <c r="H30" s="38"/>
      <c r="I30" s="281" t="s">
        <v>397</v>
      </c>
      <c r="J30" s="218" t="s">
        <v>398</v>
      </c>
      <c r="K30" s="46">
        <v>1</v>
      </c>
      <c r="L30" s="35"/>
      <c r="O30" s="240" t="s">
        <v>398</v>
      </c>
      <c r="P30" s="38">
        <f>_11・初任</f>
        <v>0.7</v>
      </c>
      <c r="Q30" s="47">
        <f>ROUND((ROUND((ROUND((ROUND((_11_A通院２増１．５*_11・基礎２),0)*_11・２人),0)*(1+_11・A深夜)),0)*_11・初任),0)</f>
        <v>195</v>
      </c>
      <c r="R30" s="48"/>
    </row>
    <row r="31" spans="1:18" ht="16.5" customHeight="1" x14ac:dyDescent="0.15">
      <c r="A31" s="41">
        <v>11</v>
      </c>
      <c r="B31" s="41">
        <v>7535</v>
      </c>
      <c r="C31" s="74" t="s">
        <v>14624</v>
      </c>
      <c r="D31" s="707" t="s">
        <v>1188</v>
      </c>
      <c r="E31" s="798"/>
      <c r="F31" s="53"/>
      <c r="G31" s="49"/>
      <c r="H31" s="50"/>
      <c r="I31" s="256"/>
      <c r="J31" s="45"/>
      <c r="K31" s="46"/>
      <c r="L31" s="35"/>
      <c r="O31" s="53"/>
      <c r="P31" s="50"/>
      <c r="Q31" s="47">
        <f>ROUND((_11_A通院２増２．０*(1+_11・A深夜)),0)</f>
        <v>414</v>
      </c>
      <c r="R31" s="48"/>
    </row>
    <row r="32" spans="1:18" ht="16.5" customHeight="1" x14ac:dyDescent="0.15">
      <c r="A32" s="41">
        <v>11</v>
      </c>
      <c r="B32" s="41">
        <v>7536</v>
      </c>
      <c r="C32" s="74" t="s">
        <v>14625</v>
      </c>
      <c r="D32" s="799"/>
      <c r="E32" s="796"/>
      <c r="F32" s="43"/>
      <c r="G32" s="37"/>
      <c r="H32" s="38"/>
      <c r="I32" s="281" t="s">
        <v>397</v>
      </c>
      <c r="J32" s="218" t="s">
        <v>398</v>
      </c>
      <c r="K32" s="46">
        <v>1</v>
      </c>
      <c r="L32" s="35"/>
      <c r="O32" s="35"/>
      <c r="Q32" s="47">
        <f>ROUND((ROUND((_11_A通院２増２．０*_11・２人),0)*(1+_11・A深夜)),0)</f>
        <v>414</v>
      </c>
      <c r="R32" s="48"/>
    </row>
    <row r="33" spans="1:18" ht="16.5" customHeight="1" x14ac:dyDescent="0.15">
      <c r="A33" s="41">
        <v>11</v>
      </c>
      <c r="B33" s="41">
        <v>7537</v>
      </c>
      <c r="C33" s="74" t="s">
        <v>14626</v>
      </c>
      <c r="D33" s="799"/>
      <c r="E33" s="796"/>
      <c r="F33" s="752" t="s">
        <v>400</v>
      </c>
      <c r="G33" s="221" t="s">
        <v>398</v>
      </c>
      <c r="H33" s="50">
        <v>0.9</v>
      </c>
      <c r="I33" s="256"/>
      <c r="J33" s="45"/>
      <c r="K33" s="46"/>
      <c r="L33" s="35"/>
      <c r="O33" s="35"/>
      <c r="Q33" s="47">
        <f>ROUND((ROUND((_11_A通院２増２．０*_11・基礎２),0)*(1+_11・A深夜)),0)</f>
        <v>372</v>
      </c>
      <c r="R33" s="48"/>
    </row>
    <row r="34" spans="1:18" ht="16.5" customHeight="1" x14ac:dyDescent="0.15">
      <c r="A34" s="41">
        <v>11</v>
      </c>
      <c r="B34" s="41">
        <v>7538</v>
      </c>
      <c r="C34" s="74" t="s">
        <v>14627</v>
      </c>
      <c r="D34" s="274">
        <f>_11_A通院２増２．０</f>
        <v>276</v>
      </c>
      <c r="E34" s="254" t="s">
        <v>392</v>
      </c>
      <c r="F34" s="800"/>
      <c r="G34" s="37"/>
      <c r="H34" s="38"/>
      <c r="I34" s="281" t="s">
        <v>397</v>
      </c>
      <c r="J34" s="218" t="s">
        <v>398</v>
      </c>
      <c r="K34" s="46">
        <v>1</v>
      </c>
      <c r="L34" s="35"/>
      <c r="O34" s="35"/>
      <c r="Q34" s="47">
        <f>ROUND((ROUND((ROUND((_11_A通院２増２．０*_11・基礎２),0)*_11・２人),0)*(1+_11・A深夜)),0)</f>
        <v>372</v>
      </c>
      <c r="R34" s="48"/>
    </row>
    <row r="35" spans="1:18" ht="16.5" customHeight="1" x14ac:dyDescent="0.15">
      <c r="A35" s="41">
        <v>11</v>
      </c>
      <c r="B35" s="41" t="s">
        <v>14628</v>
      </c>
      <c r="C35" s="74" t="s">
        <v>14629</v>
      </c>
      <c r="D35" s="72"/>
      <c r="F35" s="53"/>
      <c r="G35" s="49"/>
      <c r="H35" s="50"/>
      <c r="I35" s="256"/>
      <c r="J35" s="45"/>
      <c r="K35" s="46"/>
      <c r="L35" s="35"/>
      <c r="O35" s="707" t="s">
        <v>404</v>
      </c>
      <c r="P35" s="708"/>
      <c r="Q35" s="47">
        <f>ROUND((ROUND((_11_A通院２増２．０*(1+_11・A深夜)),0)*_11・初任),0)</f>
        <v>290</v>
      </c>
      <c r="R35" s="48"/>
    </row>
    <row r="36" spans="1:18" ht="16.5" customHeight="1" x14ac:dyDescent="0.15">
      <c r="A36" s="41">
        <v>11</v>
      </c>
      <c r="B36" s="41" t="s">
        <v>14630</v>
      </c>
      <c r="C36" s="74" t="s">
        <v>14631</v>
      </c>
      <c r="D36" s="72"/>
      <c r="F36" s="43"/>
      <c r="G36" s="37"/>
      <c r="H36" s="38"/>
      <c r="I36" s="281" t="s">
        <v>397</v>
      </c>
      <c r="J36" s="218" t="s">
        <v>398</v>
      </c>
      <c r="K36" s="46">
        <v>1</v>
      </c>
      <c r="L36" s="35"/>
      <c r="O36" s="709"/>
      <c r="P36" s="704"/>
      <c r="Q36" s="47">
        <f>ROUND((ROUND((ROUND((_11_A通院２増２．０*_11・２人),0)*(1+_11・A深夜)),0)*_11・初任),0)</f>
        <v>290</v>
      </c>
      <c r="R36" s="48"/>
    </row>
    <row r="37" spans="1:18" ht="16.5" customHeight="1" x14ac:dyDescent="0.15">
      <c r="A37" s="41">
        <v>11</v>
      </c>
      <c r="B37" s="41" t="s">
        <v>14632</v>
      </c>
      <c r="C37" s="74" t="s">
        <v>14633</v>
      </c>
      <c r="D37" s="72"/>
      <c r="F37" s="752" t="s">
        <v>400</v>
      </c>
      <c r="G37" s="221" t="s">
        <v>398</v>
      </c>
      <c r="H37" s="50">
        <v>0.9</v>
      </c>
      <c r="I37" s="256"/>
      <c r="J37" s="45"/>
      <c r="K37" s="46"/>
      <c r="L37" s="35"/>
      <c r="O37" s="709"/>
      <c r="P37" s="704"/>
      <c r="Q37" s="47">
        <f>ROUND((ROUND((ROUND((_11_A通院２増２．０*_11・基礎２),0)*(1+_11・A深夜)),0)*_11・初任),0)</f>
        <v>260</v>
      </c>
      <c r="R37" s="48"/>
    </row>
    <row r="38" spans="1:18" ht="16.5" customHeight="1" x14ac:dyDescent="0.15">
      <c r="A38" s="41">
        <v>11</v>
      </c>
      <c r="B38" s="41" t="s">
        <v>14634</v>
      </c>
      <c r="C38" s="74" t="s">
        <v>14635</v>
      </c>
      <c r="D38" s="72"/>
      <c r="F38" s="800"/>
      <c r="G38" s="37"/>
      <c r="H38" s="38"/>
      <c r="I38" s="281" t="s">
        <v>397</v>
      </c>
      <c r="J38" s="218" t="s">
        <v>398</v>
      </c>
      <c r="K38" s="46">
        <v>1</v>
      </c>
      <c r="L38" s="35"/>
      <c r="O38" s="240" t="s">
        <v>398</v>
      </c>
      <c r="P38" s="38">
        <f>_11・初任</f>
        <v>0.7</v>
      </c>
      <c r="Q38" s="47">
        <f>ROUND((ROUND((ROUND((ROUND((_11_A通院２増２．０*_11・基礎２),0)*_11・２人),0)*(1+_11・A深夜)),0)*_11・初任),0)</f>
        <v>260</v>
      </c>
      <c r="R38" s="48"/>
    </row>
    <row r="39" spans="1:18" ht="16.5" customHeight="1" x14ac:dyDescent="0.15">
      <c r="A39" s="41">
        <v>11</v>
      </c>
      <c r="B39" s="41">
        <v>7539</v>
      </c>
      <c r="C39" s="74" t="s">
        <v>14636</v>
      </c>
      <c r="D39" s="707" t="s">
        <v>915</v>
      </c>
      <c r="E39" s="798"/>
      <c r="F39" s="53"/>
      <c r="G39" s="49"/>
      <c r="H39" s="50"/>
      <c r="I39" s="256"/>
      <c r="J39" s="45"/>
      <c r="K39" s="46"/>
      <c r="L39" s="35"/>
      <c r="O39" s="53"/>
      <c r="P39" s="50"/>
      <c r="Q39" s="47">
        <f>ROUND((_11_A通院２増２．５*(1+_11・A深夜)),0)</f>
        <v>518</v>
      </c>
      <c r="R39" s="48"/>
    </row>
    <row r="40" spans="1:18" ht="16.5" customHeight="1" x14ac:dyDescent="0.15">
      <c r="A40" s="41">
        <v>11</v>
      </c>
      <c r="B40" s="41">
        <v>7540</v>
      </c>
      <c r="C40" s="74" t="s">
        <v>14637</v>
      </c>
      <c r="D40" s="799"/>
      <c r="E40" s="796"/>
      <c r="F40" s="43"/>
      <c r="G40" s="37"/>
      <c r="H40" s="38"/>
      <c r="I40" s="281" t="s">
        <v>397</v>
      </c>
      <c r="J40" s="218" t="s">
        <v>398</v>
      </c>
      <c r="K40" s="46">
        <v>1</v>
      </c>
      <c r="L40" s="35"/>
      <c r="O40" s="35"/>
      <c r="Q40" s="47">
        <f>ROUND((ROUND((_11_A通院２増２．５*_11・２人),0)*(1+_11・A深夜)),0)</f>
        <v>518</v>
      </c>
      <c r="R40" s="48"/>
    </row>
    <row r="41" spans="1:18" ht="16.5" customHeight="1" x14ac:dyDescent="0.15">
      <c r="A41" s="41">
        <v>11</v>
      </c>
      <c r="B41" s="41">
        <v>7541</v>
      </c>
      <c r="C41" s="74" t="s">
        <v>14638</v>
      </c>
      <c r="D41" s="799"/>
      <c r="E41" s="796"/>
      <c r="F41" s="752" t="s">
        <v>400</v>
      </c>
      <c r="G41" s="221" t="s">
        <v>398</v>
      </c>
      <c r="H41" s="50">
        <v>0.9</v>
      </c>
      <c r="I41" s="256"/>
      <c r="J41" s="45"/>
      <c r="K41" s="46"/>
      <c r="L41" s="35"/>
      <c r="O41" s="35"/>
      <c r="Q41" s="47">
        <f>ROUND((ROUND((_11_A通院２増２．５*_11・基礎２),0)*(1+_11・A深夜)),0)</f>
        <v>467</v>
      </c>
      <c r="R41" s="48"/>
    </row>
    <row r="42" spans="1:18" ht="16.5" customHeight="1" x14ac:dyDescent="0.15">
      <c r="A42" s="41">
        <v>11</v>
      </c>
      <c r="B42" s="41">
        <v>7542</v>
      </c>
      <c r="C42" s="74" t="s">
        <v>14639</v>
      </c>
      <c r="D42" s="274">
        <f>_11_A通院２増２．５</f>
        <v>345</v>
      </c>
      <c r="E42" s="254" t="s">
        <v>392</v>
      </c>
      <c r="F42" s="800"/>
      <c r="G42" s="37"/>
      <c r="H42" s="38"/>
      <c r="I42" s="281" t="s">
        <v>397</v>
      </c>
      <c r="J42" s="218" t="s">
        <v>398</v>
      </c>
      <c r="K42" s="46">
        <v>1</v>
      </c>
      <c r="L42" s="35"/>
      <c r="O42" s="35"/>
      <c r="Q42" s="47">
        <f>ROUND((ROUND((ROUND((_11_A通院２増２．５*_11・基礎２),0)*_11・２人),0)*(1+_11・A深夜)),0)</f>
        <v>467</v>
      </c>
      <c r="R42" s="48"/>
    </row>
    <row r="43" spans="1:18" ht="16.5" customHeight="1" x14ac:dyDescent="0.15">
      <c r="A43" s="41">
        <v>11</v>
      </c>
      <c r="B43" s="41" t="s">
        <v>14640</v>
      </c>
      <c r="C43" s="74" t="s">
        <v>14641</v>
      </c>
      <c r="D43" s="72"/>
      <c r="F43" s="53"/>
      <c r="G43" s="49"/>
      <c r="H43" s="50"/>
      <c r="I43" s="256"/>
      <c r="J43" s="45"/>
      <c r="K43" s="46"/>
      <c r="L43" s="35"/>
      <c r="O43" s="707" t="s">
        <v>404</v>
      </c>
      <c r="P43" s="708"/>
      <c r="Q43" s="47">
        <f>ROUND((ROUND((_11_A通院２増２．５*(1+_11・A深夜)),0)*_11・初任),0)</f>
        <v>363</v>
      </c>
      <c r="R43" s="48"/>
    </row>
    <row r="44" spans="1:18" ht="16.5" customHeight="1" x14ac:dyDescent="0.15">
      <c r="A44" s="41">
        <v>11</v>
      </c>
      <c r="B44" s="41" t="s">
        <v>14642</v>
      </c>
      <c r="C44" s="74" t="s">
        <v>14643</v>
      </c>
      <c r="D44" s="72"/>
      <c r="F44" s="43"/>
      <c r="G44" s="37"/>
      <c r="H44" s="38"/>
      <c r="I44" s="281" t="s">
        <v>397</v>
      </c>
      <c r="J44" s="218" t="s">
        <v>398</v>
      </c>
      <c r="K44" s="46">
        <v>1</v>
      </c>
      <c r="L44" s="35"/>
      <c r="O44" s="709"/>
      <c r="P44" s="704"/>
      <c r="Q44" s="47">
        <f>ROUND((ROUND((ROUND((_11_A通院２増２．５*_11・２人),0)*(1+_11・A深夜)),0)*_11・初任),0)</f>
        <v>363</v>
      </c>
      <c r="R44" s="48"/>
    </row>
    <row r="45" spans="1:18" ht="16.5" customHeight="1" x14ac:dyDescent="0.15">
      <c r="A45" s="41">
        <v>11</v>
      </c>
      <c r="B45" s="41" t="s">
        <v>14644</v>
      </c>
      <c r="C45" s="74" t="s">
        <v>14645</v>
      </c>
      <c r="D45" s="72"/>
      <c r="F45" s="752" t="s">
        <v>400</v>
      </c>
      <c r="G45" s="221" t="s">
        <v>398</v>
      </c>
      <c r="H45" s="50">
        <v>0.9</v>
      </c>
      <c r="I45" s="256"/>
      <c r="J45" s="45"/>
      <c r="K45" s="46"/>
      <c r="L45" s="35"/>
      <c r="O45" s="709"/>
      <c r="P45" s="704"/>
      <c r="Q45" s="47">
        <f>ROUND((ROUND((ROUND((_11_A通院２増２．５*_11・基礎２),0)*(1+_11・A深夜)),0)*_11・初任),0)</f>
        <v>327</v>
      </c>
      <c r="R45" s="48"/>
    </row>
    <row r="46" spans="1:18" ht="16.5" customHeight="1" x14ac:dyDescent="0.15">
      <c r="A46" s="41">
        <v>11</v>
      </c>
      <c r="B46" s="41" t="s">
        <v>14646</v>
      </c>
      <c r="C46" s="74" t="s">
        <v>14647</v>
      </c>
      <c r="D46" s="72"/>
      <c r="F46" s="800"/>
      <c r="G46" s="37"/>
      <c r="H46" s="38"/>
      <c r="I46" s="281" t="s">
        <v>397</v>
      </c>
      <c r="J46" s="218" t="s">
        <v>398</v>
      </c>
      <c r="K46" s="46">
        <v>1</v>
      </c>
      <c r="L46" s="35"/>
      <c r="O46" s="240" t="s">
        <v>398</v>
      </c>
      <c r="P46" s="38">
        <f>_11・初任</f>
        <v>0.7</v>
      </c>
      <c r="Q46" s="47">
        <f>ROUND((ROUND((ROUND((ROUND((_11_A通院２増２．５*_11・基礎２),0)*_11・２人),0)*(1+_11・A深夜)),0)*_11・初任),0)</f>
        <v>327</v>
      </c>
      <c r="R46" s="48"/>
    </row>
    <row r="47" spans="1:18" ht="16.5" customHeight="1" x14ac:dyDescent="0.15">
      <c r="A47" s="41">
        <v>11</v>
      </c>
      <c r="B47" s="41">
        <v>7543</v>
      </c>
      <c r="C47" s="74" t="s">
        <v>14648</v>
      </c>
      <c r="D47" s="707" t="s">
        <v>928</v>
      </c>
      <c r="E47" s="798"/>
      <c r="F47" s="53"/>
      <c r="G47" s="49"/>
      <c r="H47" s="50"/>
      <c r="I47" s="256"/>
      <c r="J47" s="45"/>
      <c r="K47" s="46"/>
      <c r="L47" s="35"/>
      <c r="O47" s="53"/>
      <c r="P47" s="50"/>
      <c r="Q47" s="47">
        <f>ROUND((_11_A通院２増３．０*(1+_11・A深夜)),0)</f>
        <v>621</v>
      </c>
      <c r="R47" s="48"/>
    </row>
    <row r="48" spans="1:18" ht="16.5" customHeight="1" x14ac:dyDescent="0.15">
      <c r="A48" s="41">
        <v>11</v>
      </c>
      <c r="B48" s="41">
        <v>7544</v>
      </c>
      <c r="C48" s="74" t="s">
        <v>14649</v>
      </c>
      <c r="D48" s="799"/>
      <c r="E48" s="796"/>
      <c r="F48" s="43"/>
      <c r="G48" s="37"/>
      <c r="H48" s="38"/>
      <c r="I48" s="281" t="s">
        <v>397</v>
      </c>
      <c r="J48" s="218" t="s">
        <v>398</v>
      </c>
      <c r="K48" s="46">
        <v>1</v>
      </c>
      <c r="L48" s="35"/>
      <c r="O48" s="35"/>
      <c r="Q48" s="47">
        <f>ROUND((ROUND((_11_A通院２増３．０*_11・２人),0)*(1+_11・A深夜)),0)</f>
        <v>621</v>
      </c>
      <c r="R48" s="48"/>
    </row>
    <row r="49" spans="1:18" ht="16.5" customHeight="1" x14ac:dyDescent="0.15">
      <c r="A49" s="41">
        <v>11</v>
      </c>
      <c r="B49" s="41">
        <v>7545</v>
      </c>
      <c r="C49" s="74" t="s">
        <v>14650</v>
      </c>
      <c r="D49" s="799"/>
      <c r="E49" s="796"/>
      <c r="F49" s="752" t="s">
        <v>400</v>
      </c>
      <c r="G49" s="221" t="s">
        <v>398</v>
      </c>
      <c r="H49" s="50">
        <v>0.9</v>
      </c>
      <c r="I49" s="256"/>
      <c r="J49" s="45"/>
      <c r="K49" s="46"/>
      <c r="L49" s="35"/>
      <c r="O49" s="35"/>
      <c r="Q49" s="47">
        <f>ROUND((ROUND((_11_A通院２増３．０*_11・基礎２),0)*(1+_11・A深夜)),0)</f>
        <v>560</v>
      </c>
      <c r="R49" s="48"/>
    </row>
    <row r="50" spans="1:18" ht="16.5" customHeight="1" x14ac:dyDescent="0.15">
      <c r="A50" s="41">
        <v>11</v>
      </c>
      <c r="B50" s="41">
        <v>7546</v>
      </c>
      <c r="C50" s="74" t="s">
        <v>14651</v>
      </c>
      <c r="D50" s="274">
        <f>_11_A通院２増３．０</f>
        <v>414</v>
      </c>
      <c r="E50" s="254" t="s">
        <v>392</v>
      </c>
      <c r="F50" s="800"/>
      <c r="G50" s="37"/>
      <c r="H50" s="38"/>
      <c r="I50" s="281" t="s">
        <v>397</v>
      </c>
      <c r="J50" s="218" t="s">
        <v>398</v>
      </c>
      <c r="K50" s="46">
        <v>1</v>
      </c>
      <c r="L50" s="35"/>
      <c r="O50" s="35"/>
      <c r="Q50" s="47">
        <f>ROUND((ROUND((ROUND((_11_A通院２増３．０*_11・基礎２),0)*_11・２人),0)*(1+_11・A深夜)),0)</f>
        <v>560</v>
      </c>
      <c r="R50" s="48"/>
    </row>
    <row r="51" spans="1:18" ht="16.5" customHeight="1" x14ac:dyDescent="0.15">
      <c r="A51" s="41">
        <v>11</v>
      </c>
      <c r="B51" s="41" t="s">
        <v>14652</v>
      </c>
      <c r="C51" s="74" t="s">
        <v>14653</v>
      </c>
      <c r="D51" s="72"/>
      <c r="F51" s="53"/>
      <c r="G51" s="49"/>
      <c r="H51" s="50"/>
      <c r="I51" s="256"/>
      <c r="J51" s="45"/>
      <c r="K51" s="46"/>
      <c r="L51" s="35"/>
      <c r="O51" s="707" t="s">
        <v>404</v>
      </c>
      <c r="P51" s="708"/>
      <c r="Q51" s="47">
        <f>ROUND((ROUND((_11_A通院２増３．０*(1+_11・A深夜)),0)*_11・初任),0)</f>
        <v>435</v>
      </c>
      <c r="R51" s="48"/>
    </row>
    <row r="52" spans="1:18" ht="16.5" customHeight="1" x14ac:dyDescent="0.15">
      <c r="A52" s="41">
        <v>11</v>
      </c>
      <c r="B52" s="41" t="s">
        <v>14654</v>
      </c>
      <c r="C52" s="74" t="s">
        <v>14655</v>
      </c>
      <c r="D52" s="72"/>
      <c r="F52" s="43"/>
      <c r="G52" s="37"/>
      <c r="H52" s="38"/>
      <c r="I52" s="281" t="s">
        <v>397</v>
      </c>
      <c r="J52" s="218" t="s">
        <v>398</v>
      </c>
      <c r="K52" s="46">
        <v>1</v>
      </c>
      <c r="L52" s="35"/>
      <c r="O52" s="709"/>
      <c r="P52" s="704"/>
      <c r="Q52" s="47">
        <f>ROUND((ROUND((ROUND((_11_A通院２増３．０*_11・２人),0)*(1+_11・A深夜)),0)*_11・初任),0)</f>
        <v>435</v>
      </c>
      <c r="R52" s="48"/>
    </row>
    <row r="53" spans="1:18" ht="16.5" customHeight="1" x14ac:dyDescent="0.15">
      <c r="A53" s="41">
        <v>11</v>
      </c>
      <c r="B53" s="41" t="s">
        <v>14656</v>
      </c>
      <c r="C53" s="74" t="s">
        <v>14657</v>
      </c>
      <c r="D53" s="72"/>
      <c r="F53" s="752" t="s">
        <v>400</v>
      </c>
      <c r="G53" s="221" t="s">
        <v>398</v>
      </c>
      <c r="H53" s="50">
        <v>0.9</v>
      </c>
      <c r="I53" s="256"/>
      <c r="J53" s="45"/>
      <c r="K53" s="46"/>
      <c r="L53" s="35"/>
      <c r="O53" s="709"/>
      <c r="P53" s="704"/>
      <c r="Q53" s="47">
        <f>ROUND((ROUND((ROUND((_11_A通院２増３．０*_11・基礎２),0)*(1+_11・A深夜)),0)*_11・初任),0)</f>
        <v>392</v>
      </c>
      <c r="R53" s="48"/>
    </row>
    <row r="54" spans="1:18" ht="16.5" customHeight="1" x14ac:dyDescent="0.15">
      <c r="A54" s="41">
        <v>11</v>
      </c>
      <c r="B54" s="41" t="s">
        <v>14658</v>
      </c>
      <c r="C54" s="74" t="s">
        <v>14659</v>
      </c>
      <c r="D54" s="72"/>
      <c r="F54" s="800"/>
      <c r="G54" s="37"/>
      <c r="H54" s="38"/>
      <c r="I54" s="281" t="s">
        <v>397</v>
      </c>
      <c r="J54" s="218" t="s">
        <v>398</v>
      </c>
      <c r="K54" s="46">
        <v>1</v>
      </c>
      <c r="L54" s="35"/>
      <c r="O54" s="240" t="s">
        <v>398</v>
      </c>
      <c r="P54" s="38">
        <f>_11・初任</f>
        <v>0.7</v>
      </c>
      <c r="Q54" s="47">
        <f>ROUND((ROUND((ROUND((ROUND((_11_A通院２増３．０*_11・基礎２),0)*_11・２人),0)*(1+_11・A深夜)),0)*_11・初任),0)</f>
        <v>392</v>
      </c>
      <c r="R54" s="48"/>
    </row>
    <row r="55" spans="1:18" ht="16.5" customHeight="1" x14ac:dyDescent="0.15">
      <c r="A55" s="41">
        <v>11</v>
      </c>
      <c r="B55" s="41">
        <v>7547</v>
      </c>
      <c r="C55" s="74" t="s">
        <v>14660</v>
      </c>
      <c r="D55" s="707" t="s">
        <v>941</v>
      </c>
      <c r="E55" s="798"/>
      <c r="F55" s="53"/>
      <c r="G55" s="49"/>
      <c r="H55" s="50"/>
      <c r="I55" s="256"/>
      <c r="J55" s="45"/>
      <c r="K55" s="46"/>
      <c r="L55" s="35"/>
      <c r="O55" s="53"/>
      <c r="P55" s="50"/>
      <c r="Q55" s="47">
        <f>ROUND((_11_A通院２増３．５*(1+_11・A深夜)),0)</f>
        <v>725</v>
      </c>
      <c r="R55" s="48"/>
    </row>
    <row r="56" spans="1:18" ht="16.5" customHeight="1" x14ac:dyDescent="0.15">
      <c r="A56" s="41">
        <v>11</v>
      </c>
      <c r="B56" s="41">
        <v>7548</v>
      </c>
      <c r="C56" s="74" t="s">
        <v>14661</v>
      </c>
      <c r="D56" s="799"/>
      <c r="E56" s="796"/>
      <c r="F56" s="43"/>
      <c r="G56" s="37"/>
      <c r="H56" s="38"/>
      <c r="I56" s="281" t="s">
        <v>397</v>
      </c>
      <c r="J56" s="218" t="s">
        <v>398</v>
      </c>
      <c r="K56" s="46">
        <v>1</v>
      </c>
      <c r="L56" s="35"/>
      <c r="O56" s="35"/>
      <c r="Q56" s="47">
        <f>ROUND((ROUND((_11_A通院２増３．５*_11・２人),0)*(1+_11・A深夜)),0)</f>
        <v>725</v>
      </c>
      <c r="R56" s="48"/>
    </row>
    <row r="57" spans="1:18" ht="16.5" customHeight="1" x14ac:dyDescent="0.15">
      <c r="A57" s="41">
        <v>11</v>
      </c>
      <c r="B57" s="41">
        <v>7549</v>
      </c>
      <c r="C57" s="74" t="s">
        <v>14662</v>
      </c>
      <c r="D57" s="799"/>
      <c r="E57" s="796"/>
      <c r="F57" s="752" t="s">
        <v>400</v>
      </c>
      <c r="G57" s="221" t="s">
        <v>398</v>
      </c>
      <c r="H57" s="50">
        <v>0.9</v>
      </c>
      <c r="I57" s="256"/>
      <c r="J57" s="45"/>
      <c r="K57" s="46"/>
      <c r="L57" s="35"/>
      <c r="O57" s="35"/>
      <c r="Q57" s="47">
        <f>ROUND((ROUND((_11_A通院２増３．５*_11・基礎２),0)*(1+_11・A深夜)),0)</f>
        <v>653</v>
      </c>
      <c r="R57" s="48"/>
    </row>
    <row r="58" spans="1:18" ht="16.5" customHeight="1" x14ac:dyDescent="0.15">
      <c r="A58" s="41">
        <v>11</v>
      </c>
      <c r="B58" s="41">
        <v>7550</v>
      </c>
      <c r="C58" s="74" t="s">
        <v>14663</v>
      </c>
      <c r="D58" s="274">
        <f>_11_A通院２増３．５</f>
        <v>483</v>
      </c>
      <c r="E58" s="254" t="s">
        <v>392</v>
      </c>
      <c r="F58" s="800"/>
      <c r="G58" s="37"/>
      <c r="H58" s="38"/>
      <c r="I58" s="281" t="s">
        <v>397</v>
      </c>
      <c r="J58" s="218" t="s">
        <v>398</v>
      </c>
      <c r="K58" s="46">
        <v>1</v>
      </c>
      <c r="L58" s="35"/>
      <c r="O58" s="35"/>
      <c r="Q58" s="47">
        <f>ROUND((ROUND((ROUND((_11_A通院２増３．５*_11・基礎２),0)*_11・２人),0)*(1+_11・A深夜)),0)</f>
        <v>653</v>
      </c>
      <c r="R58" s="48"/>
    </row>
    <row r="59" spans="1:18" ht="16.5" customHeight="1" x14ac:dyDescent="0.15">
      <c r="A59" s="41">
        <v>11</v>
      </c>
      <c r="B59" s="41" t="s">
        <v>14664</v>
      </c>
      <c r="C59" s="74" t="s">
        <v>14665</v>
      </c>
      <c r="D59" s="72"/>
      <c r="F59" s="53"/>
      <c r="G59" s="49"/>
      <c r="H59" s="50"/>
      <c r="I59" s="256"/>
      <c r="J59" s="45"/>
      <c r="K59" s="46"/>
      <c r="L59" s="35"/>
      <c r="O59" s="707" t="s">
        <v>404</v>
      </c>
      <c r="P59" s="708"/>
      <c r="Q59" s="47">
        <f>ROUND((ROUND((_11_A通院２増３．５*(1+_11・A深夜)),0)*_11・初任),0)</f>
        <v>508</v>
      </c>
      <c r="R59" s="48"/>
    </row>
    <row r="60" spans="1:18" ht="16.5" customHeight="1" x14ac:dyDescent="0.15">
      <c r="A60" s="41">
        <v>11</v>
      </c>
      <c r="B60" s="41" t="s">
        <v>14666</v>
      </c>
      <c r="C60" s="74" t="s">
        <v>14667</v>
      </c>
      <c r="D60" s="72"/>
      <c r="F60" s="43"/>
      <c r="G60" s="37"/>
      <c r="H60" s="38"/>
      <c r="I60" s="281" t="s">
        <v>397</v>
      </c>
      <c r="J60" s="218" t="s">
        <v>398</v>
      </c>
      <c r="K60" s="46">
        <v>1</v>
      </c>
      <c r="L60" s="35"/>
      <c r="O60" s="709"/>
      <c r="P60" s="704"/>
      <c r="Q60" s="47">
        <f>ROUND((ROUND((ROUND((_11_A通院２増３．５*_11・２人),0)*(1+_11・A深夜)),0)*_11・初任),0)</f>
        <v>508</v>
      </c>
      <c r="R60" s="48"/>
    </row>
    <row r="61" spans="1:18" ht="16.5" customHeight="1" x14ac:dyDescent="0.15">
      <c r="A61" s="41">
        <v>11</v>
      </c>
      <c r="B61" s="41" t="s">
        <v>14668</v>
      </c>
      <c r="C61" s="74" t="s">
        <v>14669</v>
      </c>
      <c r="D61" s="72"/>
      <c r="F61" s="752" t="s">
        <v>400</v>
      </c>
      <c r="G61" s="221" t="s">
        <v>398</v>
      </c>
      <c r="H61" s="50">
        <v>0.9</v>
      </c>
      <c r="I61" s="256"/>
      <c r="J61" s="45"/>
      <c r="K61" s="46"/>
      <c r="L61" s="35"/>
      <c r="O61" s="709"/>
      <c r="P61" s="704"/>
      <c r="Q61" s="47">
        <f>ROUND((ROUND((ROUND((_11_A通院２増３．５*_11・基礎２),0)*(1+_11・A深夜)),0)*_11・初任),0)</f>
        <v>457</v>
      </c>
      <c r="R61" s="48"/>
    </row>
    <row r="62" spans="1:18" ht="16.5" customHeight="1" x14ac:dyDescent="0.15">
      <c r="A62" s="41">
        <v>11</v>
      </c>
      <c r="B62" s="41" t="s">
        <v>14670</v>
      </c>
      <c r="C62" s="74" t="s">
        <v>14671</v>
      </c>
      <c r="D62" s="72"/>
      <c r="F62" s="800"/>
      <c r="G62" s="37"/>
      <c r="H62" s="38"/>
      <c r="I62" s="281" t="s">
        <v>397</v>
      </c>
      <c r="J62" s="218" t="s">
        <v>398</v>
      </c>
      <c r="K62" s="46">
        <v>1</v>
      </c>
      <c r="L62" s="35"/>
      <c r="O62" s="240" t="s">
        <v>398</v>
      </c>
      <c r="P62" s="38">
        <f>_11・初任</f>
        <v>0.7</v>
      </c>
      <c r="Q62" s="47">
        <f>ROUND((ROUND((ROUND((ROUND((_11_A通院２増３．５*_11・基礎２),0)*_11・２人),0)*(1+_11・A深夜)),0)*_11・初任),0)</f>
        <v>457</v>
      </c>
      <c r="R62" s="48"/>
    </row>
    <row r="63" spans="1:18" ht="16.5" customHeight="1" x14ac:dyDescent="0.15">
      <c r="A63" s="41">
        <v>11</v>
      </c>
      <c r="B63" s="41">
        <v>7551</v>
      </c>
      <c r="C63" s="74" t="s">
        <v>14672</v>
      </c>
      <c r="D63" s="707" t="s">
        <v>954</v>
      </c>
      <c r="E63" s="798"/>
      <c r="F63" s="53"/>
      <c r="G63" s="49"/>
      <c r="H63" s="50"/>
      <c r="I63" s="256"/>
      <c r="J63" s="45"/>
      <c r="K63" s="46"/>
      <c r="L63" s="35"/>
      <c r="O63" s="53"/>
      <c r="P63" s="50"/>
      <c r="Q63" s="47">
        <f>ROUND((_11_A通院２増４．０*(1+_11・A深夜)),0)</f>
        <v>828</v>
      </c>
      <c r="R63" s="48"/>
    </row>
    <row r="64" spans="1:18" ht="16.5" customHeight="1" x14ac:dyDescent="0.15">
      <c r="A64" s="41">
        <v>11</v>
      </c>
      <c r="B64" s="41">
        <v>7552</v>
      </c>
      <c r="C64" s="74" t="s">
        <v>14673</v>
      </c>
      <c r="D64" s="799"/>
      <c r="E64" s="796"/>
      <c r="F64" s="43"/>
      <c r="G64" s="37"/>
      <c r="H64" s="38"/>
      <c r="I64" s="281" t="s">
        <v>397</v>
      </c>
      <c r="J64" s="218" t="s">
        <v>398</v>
      </c>
      <c r="K64" s="46">
        <v>1</v>
      </c>
      <c r="L64" s="35"/>
      <c r="O64" s="35"/>
      <c r="Q64" s="47">
        <f>ROUND((ROUND((_11_A通院２増４．０*_11・２人),0)*(1+_11・A深夜)),0)</f>
        <v>828</v>
      </c>
      <c r="R64" s="48"/>
    </row>
    <row r="65" spans="1:18" ht="16.5" customHeight="1" x14ac:dyDescent="0.15">
      <c r="A65" s="41">
        <v>11</v>
      </c>
      <c r="B65" s="41">
        <v>7553</v>
      </c>
      <c r="C65" s="74" t="s">
        <v>14674</v>
      </c>
      <c r="D65" s="799"/>
      <c r="E65" s="796"/>
      <c r="F65" s="752" t="s">
        <v>400</v>
      </c>
      <c r="G65" s="221" t="s">
        <v>398</v>
      </c>
      <c r="H65" s="50">
        <v>0.9</v>
      </c>
      <c r="I65" s="256"/>
      <c r="J65" s="45"/>
      <c r="K65" s="46"/>
      <c r="L65" s="35"/>
      <c r="O65" s="35"/>
      <c r="Q65" s="47">
        <f>ROUND((ROUND((_11_A通院２増４．０*_11・基礎２),0)*(1+_11・A深夜)),0)</f>
        <v>746</v>
      </c>
      <c r="R65" s="48"/>
    </row>
    <row r="66" spans="1:18" ht="16.5" customHeight="1" x14ac:dyDescent="0.15">
      <c r="A66" s="41">
        <v>11</v>
      </c>
      <c r="B66" s="41">
        <v>7554</v>
      </c>
      <c r="C66" s="74" t="s">
        <v>14675</v>
      </c>
      <c r="D66" s="274">
        <f>_11_A通院２増４．０</f>
        <v>552</v>
      </c>
      <c r="E66" s="254" t="s">
        <v>392</v>
      </c>
      <c r="F66" s="800"/>
      <c r="G66" s="37"/>
      <c r="H66" s="38"/>
      <c r="I66" s="281" t="s">
        <v>397</v>
      </c>
      <c r="J66" s="218" t="s">
        <v>398</v>
      </c>
      <c r="K66" s="46">
        <v>1</v>
      </c>
      <c r="L66" s="35"/>
      <c r="O66" s="35"/>
      <c r="Q66" s="47">
        <f>ROUND((ROUND((ROUND((_11_A通院２増４．０*_11・基礎２),0)*_11・２人),0)*(1+_11・A深夜)),0)</f>
        <v>746</v>
      </c>
      <c r="R66" s="48"/>
    </row>
    <row r="67" spans="1:18" ht="16.5" customHeight="1" x14ac:dyDescent="0.15">
      <c r="A67" s="41">
        <v>11</v>
      </c>
      <c r="B67" s="41" t="s">
        <v>14676</v>
      </c>
      <c r="C67" s="74" t="s">
        <v>14677</v>
      </c>
      <c r="D67" s="72"/>
      <c r="F67" s="53"/>
      <c r="G67" s="49"/>
      <c r="H67" s="50"/>
      <c r="I67" s="256"/>
      <c r="J67" s="45"/>
      <c r="K67" s="46"/>
      <c r="L67" s="35"/>
      <c r="O67" s="707" t="s">
        <v>404</v>
      </c>
      <c r="P67" s="708"/>
      <c r="Q67" s="47">
        <f>ROUND((ROUND((_11_A通院２増４．０*(1+_11・A深夜)),0)*_11・初任),0)</f>
        <v>580</v>
      </c>
      <c r="R67" s="48"/>
    </row>
    <row r="68" spans="1:18" ht="16.5" customHeight="1" x14ac:dyDescent="0.15">
      <c r="A68" s="41">
        <v>11</v>
      </c>
      <c r="B68" s="41" t="s">
        <v>14678</v>
      </c>
      <c r="C68" s="74" t="s">
        <v>14679</v>
      </c>
      <c r="D68" s="72"/>
      <c r="F68" s="43"/>
      <c r="G68" s="37"/>
      <c r="H68" s="38"/>
      <c r="I68" s="281" t="s">
        <v>397</v>
      </c>
      <c r="J68" s="218" t="s">
        <v>398</v>
      </c>
      <c r="K68" s="46">
        <v>1</v>
      </c>
      <c r="L68" s="35"/>
      <c r="O68" s="709"/>
      <c r="P68" s="704"/>
      <c r="Q68" s="47">
        <f>ROUND((ROUND((ROUND((_11_A通院２増４．０*_11・２人),0)*(1+_11・A深夜)),0)*_11・初任),0)</f>
        <v>580</v>
      </c>
      <c r="R68" s="48"/>
    </row>
    <row r="69" spans="1:18" ht="16.5" customHeight="1" x14ac:dyDescent="0.15">
      <c r="A69" s="41">
        <v>11</v>
      </c>
      <c r="B69" s="41" t="s">
        <v>14680</v>
      </c>
      <c r="C69" s="74" t="s">
        <v>14681</v>
      </c>
      <c r="D69" s="72"/>
      <c r="F69" s="752" t="s">
        <v>400</v>
      </c>
      <c r="G69" s="221" t="s">
        <v>398</v>
      </c>
      <c r="H69" s="50">
        <v>0.9</v>
      </c>
      <c r="I69" s="256"/>
      <c r="J69" s="45"/>
      <c r="K69" s="46"/>
      <c r="L69" s="35"/>
      <c r="O69" s="709"/>
      <c r="P69" s="704"/>
      <c r="Q69" s="47">
        <f>ROUND((ROUND((ROUND((_11_A通院２増４．０*_11・基礎２),0)*(1+_11・A深夜)),0)*_11・初任),0)</f>
        <v>522</v>
      </c>
      <c r="R69" s="48"/>
    </row>
    <row r="70" spans="1:18" ht="16.5" customHeight="1" x14ac:dyDescent="0.15">
      <c r="A70" s="41">
        <v>11</v>
      </c>
      <c r="B70" s="41" t="s">
        <v>14682</v>
      </c>
      <c r="C70" s="74" t="s">
        <v>14683</v>
      </c>
      <c r="D70" s="72"/>
      <c r="F70" s="800"/>
      <c r="G70" s="37"/>
      <c r="H70" s="38"/>
      <c r="I70" s="281" t="s">
        <v>397</v>
      </c>
      <c r="J70" s="218" t="s">
        <v>398</v>
      </c>
      <c r="K70" s="46">
        <v>1</v>
      </c>
      <c r="L70" s="35"/>
      <c r="O70" s="240" t="s">
        <v>398</v>
      </c>
      <c r="P70" s="38">
        <f>_11・初任</f>
        <v>0.7</v>
      </c>
      <c r="Q70" s="47">
        <f>ROUND((ROUND((ROUND((ROUND((_11_A通院２増４．０*_11・基礎２),0)*_11・２人),0)*(1+_11・A深夜)),0)*_11・初任),0)</f>
        <v>522</v>
      </c>
      <c r="R70" s="48"/>
    </row>
    <row r="71" spans="1:18" ht="16.5" customHeight="1" x14ac:dyDescent="0.15">
      <c r="A71" s="41">
        <v>11</v>
      </c>
      <c r="B71" s="41">
        <v>7555</v>
      </c>
      <c r="C71" s="74" t="s">
        <v>14684</v>
      </c>
      <c r="D71" s="707" t="s">
        <v>3197</v>
      </c>
      <c r="E71" s="798"/>
      <c r="F71" s="53"/>
      <c r="G71" s="49"/>
      <c r="H71" s="50"/>
      <c r="I71" s="256"/>
      <c r="J71" s="45"/>
      <c r="K71" s="46"/>
      <c r="L71" s="35"/>
      <c r="O71" s="53"/>
      <c r="P71" s="50"/>
      <c r="Q71" s="47">
        <f>ROUND((_11_A通院２増４．５*(1+_11・A深夜)),0)</f>
        <v>932</v>
      </c>
      <c r="R71" s="48"/>
    </row>
    <row r="72" spans="1:18" ht="16.5" customHeight="1" x14ac:dyDescent="0.15">
      <c r="A72" s="41">
        <v>11</v>
      </c>
      <c r="B72" s="41">
        <v>7556</v>
      </c>
      <c r="C72" s="74" t="s">
        <v>14685</v>
      </c>
      <c r="D72" s="799"/>
      <c r="E72" s="796"/>
      <c r="F72" s="43"/>
      <c r="G72" s="37"/>
      <c r="H72" s="38"/>
      <c r="I72" s="281" t="s">
        <v>397</v>
      </c>
      <c r="J72" s="218" t="s">
        <v>398</v>
      </c>
      <c r="K72" s="46">
        <v>1</v>
      </c>
      <c r="L72" s="35"/>
      <c r="O72" s="35"/>
      <c r="Q72" s="47">
        <f>ROUND((ROUND((_11_A通院２増４．５*_11・２人),0)*(1+_11・A深夜)),0)</f>
        <v>932</v>
      </c>
      <c r="R72" s="48"/>
    </row>
    <row r="73" spans="1:18" ht="16.5" customHeight="1" x14ac:dyDescent="0.15">
      <c r="A73" s="41">
        <v>11</v>
      </c>
      <c r="B73" s="41">
        <v>7557</v>
      </c>
      <c r="C73" s="74" t="s">
        <v>14686</v>
      </c>
      <c r="D73" s="799"/>
      <c r="E73" s="796"/>
      <c r="F73" s="752" t="s">
        <v>400</v>
      </c>
      <c r="G73" s="221" t="s">
        <v>398</v>
      </c>
      <c r="H73" s="50">
        <v>0.9</v>
      </c>
      <c r="I73" s="256"/>
      <c r="J73" s="45"/>
      <c r="K73" s="46"/>
      <c r="L73" s="35"/>
      <c r="O73" s="35"/>
      <c r="Q73" s="47">
        <f>ROUND((ROUND((_11_A通院２増４．５*_11・基礎２),0)*(1+_11・A深夜)),0)</f>
        <v>839</v>
      </c>
      <c r="R73" s="48"/>
    </row>
    <row r="74" spans="1:18" ht="16.5" customHeight="1" x14ac:dyDescent="0.15">
      <c r="A74" s="41">
        <v>11</v>
      </c>
      <c r="B74" s="41">
        <v>7558</v>
      </c>
      <c r="C74" s="74" t="s">
        <v>14687</v>
      </c>
      <c r="D74" s="274">
        <f>_11_A通院２増４．５</f>
        <v>621</v>
      </c>
      <c r="E74" s="254" t="s">
        <v>392</v>
      </c>
      <c r="F74" s="800"/>
      <c r="G74" s="37"/>
      <c r="H74" s="38"/>
      <c r="I74" s="281" t="s">
        <v>397</v>
      </c>
      <c r="J74" s="218" t="s">
        <v>398</v>
      </c>
      <c r="K74" s="46">
        <v>1</v>
      </c>
      <c r="L74" s="35"/>
      <c r="O74" s="35"/>
      <c r="Q74" s="47">
        <f>ROUND((ROUND((ROUND((_11_A通院２増４．５*_11・基礎２),0)*_11・２人),0)*(1+_11・A深夜)),0)</f>
        <v>839</v>
      </c>
      <c r="R74" s="48"/>
    </row>
    <row r="75" spans="1:18" ht="16.5" customHeight="1" x14ac:dyDescent="0.15">
      <c r="A75" s="41">
        <v>11</v>
      </c>
      <c r="B75" s="41" t="s">
        <v>14688</v>
      </c>
      <c r="C75" s="74" t="s">
        <v>14689</v>
      </c>
      <c r="D75" s="72"/>
      <c r="F75" s="53"/>
      <c r="G75" s="49"/>
      <c r="H75" s="50"/>
      <c r="I75" s="256"/>
      <c r="J75" s="45"/>
      <c r="K75" s="46"/>
      <c r="L75" s="35"/>
      <c r="O75" s="707" t="s">
        <v>404</v>
      </c>
      <c r="P75" s="708"/>
      <c r="Q75" s="47">
        <f>ROUND((ROUND((_11_A通院２増４．５*(1+_11・A深夜)),0)*_11・初任),0)</f>
        <v>652</v>
      </c>
      <c r="R75" s="48"/>
    </row>
    <row r="76" spans="1:18" ht="16.5" customHeight="1" x14ac:dyDescent="0.15">
      <c r="A76" s="41">
        <v>11</v>
      </c>
      <c r="B76" s="41" t="s">
        <v>14690</v>
      </c>
      <c r="C76" s="74" t="s">
        <v>14691</v>
      </c>
      <c r="D76" s="72"/>
      <c r="F76" s="43"/>
      <c r="G76" s="37"/>
      <c r="H76" s="38"/>
      <c r="I76" s="281" t="s">
        <v>397</v>
      </c>
      <c r="J76" s="218" t="s">
        <v>398</v>
      </c>
      <c r="K76" s="46">
        <v>1</v>
      </c>
      <c r="L76" s="35"/>
      <c r="O76" s="709"/>
      <c r="P76" s="704"/>
      <c r="Q76" s="47">
        <f>ROUND((ROUND((ROUND((_11_A通院２増４．５*_11・２人),0)*(1+_11・A深夜)),0)*_11・初任),0)</f>
        <v>652</v>
      </c>
      <c r="R76" s="48"/>
    </row>
    <row r="77" spans="1:18" ht="16.5" customHeight="1" x14ac:dyDescent="0.15">
      <c r="A77" s="41">
        <v>11</v>
      </c>
      <c r="B77" s="41" t="s">
        <v>14692</v>
      </c>
      <c r="C77" s="74" t="s">
        <v>14693</v>
      </c>
      <c r="D77" s="72"/>
      <c r="F77" s="752" t="s">
        <v>400</v>
      </c>
      <c r="G77" s="221" t="s">
        <v>398</v>
      </c>
      <c r="H77" s="50">
        <v>0.9</v>
      </c>
      <c r="I77" s="256"/>
      <c r="J77" s="45"/>
      <c r="K77" s="46"/>
      <c r="L77" s="35"/>
      <c r="O77" s="709"/>
      <c r="P77" s="704"/>
      <c r="Q77" s="47">
        <f>ROUND((ROUND((ROUND((_11_A通院２増４．５*_11・基礎２),0)*(1+_11・A深夜)),0)*_11・初任),0)</f>
        <v>587</v>
      </c>
      <c r="R77" s="48"/>
    </row>
    <row r="78" spans="1:18" ht="16.5" customHeight="1" x14ac:dyDescent="0.15">
      <c r="A78" s="41">
        <v>11</v>
      </c>
      <c r="B78" s="41" t="s">
        <v>14694</v>
      </c>
      <c r="C78" s="74" t="s">
        <v>14695</v>
      </c>
      <c r="D78" s="122"/>
      <c r="E78" s="37"/>
      <c r="F78" s="800"/>
      <c r="G78" s="37"/>
      <c r="H78" s="38"/>
      <c r="I78" s="281" t="s">
        <v>397</v>
      </c>
      <c r="J78" s="218" t="s">
        <v>398</v>
      </c>
      <c r="K78" s="46">
        <v>1</v>
      </c>
      <c r="L78" s="43"/>
      <c r="M78" s="37"/>
      <c r="N78" s="38"/>
      <c r="O78" s="240" t="s">
        <v>398</v>
      </c>
      <c r="P78" s="38">
        <f>_11・初任</f>
        <v>0.7</v>
      </c>
      <c r="Q78" s="47">
        <f>ROUND((ROUND((ROUND((ROUND((_11_A通院２増４．５*_11・基礎２),0)*_11・２人),0)*(1+_11・A深夜)),0)*_11・初任),0)</f>
        <v>587</v>
      </c>
      <c r="R78" s="63"/>
    </row>
    <row r="79" spans="1:18" ht="16.5" customHeight="1" x14ac:dyDescent="0.15">
      <c r="A79" s="33">
        <v>11</v>
      </c>
      <c r="B79" s="33">
        <v>7559</v>
      </c>
      <c r="C79" s="34" t="s">
        <v>14696</v>
      </c>
      <c r="D79" s="709" t="s">
        <v>980</v>
      </c>
      <c r="E79" s="796"/>
      <c r="F79" s="35"/>
      <c r="I79" s="290"/>
      <c r="J79" s="37"/>
      <c r="K79" s="38"/>
      <c r="L79" s="35" t="s">
        <v>862</v>
      </c>
      <c r="N79" s="12"/>
      <c r="O79" s="35"/>
      <c r="Q79" s="39">
        <f>ROUND((_11_A通院２増５．０*(1+_11・A深夜)),0)</f>
        <v>1035</v>
      </c>
      <c r="R79" s="48"/>
    </row>
    <row r="80" spans="1:18" ht="16.5" customHeight="1" x14ac:dyDescent="0.15">
      <c r="A80" s="41">
        <v>11</v>
      </c>
      <c r="B80" s="41">
        <v>7560</v>
      </c>
      <c r="C80" s="74" t="s">
        <v>14697</v>
      </c>
      <c r="D80" s="799"/>
      <c r="E80" s="796"/>
      <c r="F80" s="43"/>
      <c r="G80" s="37"/>
      <c r="H80" s="38"/>
      <c r="I80" s="281" t="s">
        <v>397</v>
      </c>
      <c r="J80" s="218" t="s">
        <v>398</v>
      </c>
      <c r="K80" s="46">
        <v>1</v>
      </c>
      <c r="L80" s="258" t="s">
        <v>398</v>
      </c>
      <c r="M80" s="13">
        <v>0.5</v>
      </c>
      <c r="N80" s="718" t="s">
        <v>676</v>
      </c>
      <c r="O80" s="35"/>
      <c r="Q80" s="47">
        <f>ROUND((ROUND((_11_A通院２増５．０*_11・２人),0)*(1+_11・A深夜)),0)</f>
        <v>1035</v>
      </c>
      <c r="R80" s="48"/>
    </row>
    <row r="81" spans="1:18" ht="16.5" customHeight="1" x14ac:dyDescent="0.15">
      <c r="A81" s="41">
        <v>11</v>
      </c>
      <c r="B81" s="41">
        <v>7561</v>
      </c>
      <c r="C81" s="74" t="s">
        <v>14698</v>
      </c>
      <c r="D81" s="799"/>
      <c r="E81" s="796"/>
      <c r="F81" s="752" t="s">
        <v>400</v>
      </c>
      <c r="G81" s="221" t="s">
        <v>398</v>
      </c>
      <c r="H81" s="50">
        <v>0.9</v>
      </c>
      <c r="I81" s="256"/>
      <c r="J81" s="45"/>
      <c r="K81" s="46"/>
      <c r="L81" s="35"/>
      <c r="N81" s="796"/>
      <c r="O81" s="35"/>
      <c r="Q81" s="47">
        <f>ROUND((ROUND((_11_A通院２増５．０*_11・基礎２),0)*(1+_11・A深夜)),0)</f>
        <v>932</v>
      </c>
      <c r="R81" s="48"/>
    </row>
    <row r="82" spans="1:18" ht="16.5" customHeight="1" x14ac:dyDescent="0.15">
      <c r="A82" s="41">
        <v>11</v>
      </c>
      <c r="B82" s="41">
        <v>7562</v>
      </c>
      <c r="C82" s="74" t="s">
        <v>14699</v>
      </c>
      <c r="D82" s="274">
        <f>_11_A通院２増５．０</f>
        <v>690</v>
      </c>
      <c r="E82" s="254" t="s">
        <v>392</v>
      </c>
      <c r="F82" s="800"/>
      <c r="G82" s="37"/>
      <c r="H82" s="38"/>
      <c r="I82" s="281" t="s">
        <v>397</v>
      </c>
      <c r="J82" s="218" t="s">
        <v>398</v>
      </c>
      <c r="K82" s="46">
        <v>1</v>
      </c>
      <c r="L82" s="35"/>
      <c r="O82" s="35"/>
      <c r="Q82" s="47">
        <f>ROUND((ROUND((ROUND((_11_A通院２増５．０*_11・基礎２),0)*_11・２人),0)*(1+_11・A深夜)),0)</f>
        <v>932</v>
      </c>
      <c r="R82" s="48"/>
    </row>
    <row r="83" spans="1:18" ht="16.5" customHeight="1" x14ac:dyDescent="0.15">
      <c r="A83" s="41">
        <v>11</v>
      </c>
      <c r="B83" s="41" t="s">
        <v>14700</v>
      </c>
      <c r="C83" s="74" t="s">
        <v>14701</v>
      </c>
      <c r="D83" s="72"/>
      <c r="F83" s="53"/>
      <c r="G83" s="49"/>
      <c r="H83" s="50"/>
      <c r="I83" s="256"/>
      <c r="J83" s="45"/>
      <c r="K83" s="46"/>
      <c r="L83" s="35"/>
      <c r="O83" s="707" t="s">
        <v>404</v>
      </c>
      <c r="P83" s="708"/>
      <c r="Q83" s="47">
        <f>ROUND((ROUND((_11_A通院２増５．０*(1+_11・A深夜)),0)*_11・初任),0)</f>
        <v>725</v>
      </c>
      <c r="R83" s="48"/>
    </row>
    <row r="84" spans="1:18" ht="16.5" customHeight="1" x14ac:dyDescent="0.15">
      <c r="A84" s="41">
        <v>11</v>
      </c>
      <c r="B84" s="41" t="s">
        <v>14702</v>
      </c>
      <c r="C84" s="74" t="s">
        <v>14703</v>
      </c>
      <c r="D84" s="72"/>
      <c r="F84" s="43"/>
      <c r="G84" s="37"/>
      <c r="H84" s="38"/>
      <c r="I84" s="281" t="s">
        <v>397</v>
      </c>
      <c r="J84" s="218" t="s">
        <v>398</v>
      </c>
      <c r="K84" s="46">
        <v>1</v>
      </c>
      <c r="L84" s="35"/>
      <c r="O84" s="709"/>
      <c r="P84" s="704"/>
      <c r="Q84" s="47">
        <f>ROUND((ROUND((ROUND((_11_A通院２増５．０*_11・２人),0)*(1+_11・A深夜)),0)*_11・初任),0)</f>
        <v>725</v>
      </c>
      <c r="R84" s="48"/>
    </row>
    <row r="85" spans="1:18" ht="16.5" customHeight="1" x14ac:dyDescent="0.15">
      <c r="A85" s="41">
        <v>11</v>
      </c>
      <c r="B85" s="41" t="s">
        <v>14704</v>
      </c>
      <c r="C85" s="74" t="s">
        <v>14705</v>
      </c>
      <c r="D85" s="72"/>
      <c r="F85" s="752" t="s">
        <v>400</v>
      </c>
      <c r="G85" s="221" t="s">
        <v>398</v>
      </c>
      <c r="H85" s="50">
        <v>0.9</v>
      </c>
      <c r="I85" s="256"/>
      <c r="J85" s="45"/>
      <c r="K85" s="46"/>
      <c r="L85" s="35"/>
      <c r="O85" s="709"/>
      <c r="P85" s="704"/>
      <c r="Q85" s="47">
        <f>ROUND((ROUND((ROUND((_11_A通院２増５．０*_11・基礎２),0)*(1+_11・A深夜)),0)*_11・初任),0)</f>
        <v>652</v>
      </c>
      <c r="R85" s="48"/>
    </row>
    <row r="86" spans="1:18" ht="16.5" customHeight="1" x14ac:dyDescent="0.15">
      <c r="A86" s="41">
        <v>11</v>
      </c>
      <c r="B86" s="41" t="s">
        <v>14706</v>
      </c>
      <c r="C86" s="74" t="s">
        <v>14707</v>
      </c>
      <c r="D86" s="72"/>
      <c r="F86" s="800"/>
      <c r="G86" s="37"/>
      <c r="H86" s="38"/>
      <c r="I86" s="281" t="s">
        <v>397</v>
      </c>
      <c r="J86" s="218" t="s">
        <v>398</v>
      </c>
      <c r="K86" s="46">
        <v>1</v>
      </c>
      <c r="L86" s="35"/>
      <c r="O86" s="240" t="s">
        <v>398</v>
      </c>
      <c r="P86" s="38">
        <f>_11・初任</f>
        <v>0.7</v>
      </c>
      <c r="Q86" s="47">
        <f>ROUND((ROUND((ROUND((ROUND((_11_A通院２増５．０*_11・基礎２),0)*_11・２人),0)*(1+_11・A深夜)),0)*_11・初任),0)</f>
        <v>652</v>
      </c>
      <c r="R86" s="48"/>
    </row>
    <row r="87" spans="1:18" ht="16.5" customHeight="1" x14ac:dyDescent="0.15">
      <c r="A87" s="41">
        <v>11</v>
      </c>
      <c r="B87" s="41">
        <v>7563</v>
      </c>
      <c r="C87" s="74" t="s">
        <v>14708</v>
      </c>
      <c r="D87" s="707" t="s">
        <v>993</v>
      </c>
      <c r="E87" s="798"/>
      <c r="F87" s="53"/>
      <c r="G87" s="49"/>
      <c r="H87" s="50"/>
      <c r="I87" s="256"/>
      <c r="J87" s="45"/>
      <c r="K87" s="46"/>
      <c r="L87" s="35"/>
      <c r="O87" s="53"/>
      <c r="P87" s="50"/>
      <c r="Q87" s="47">
        <f>ROUND((_11_A通院２増５．５*(1+_11・A深夜)),0)</f>
        <v>1139</v>
      </c>
      <c r="R87" s="48"/>
    </row>
    <row r="88" spans="1:18" ht="16.5" customHeight="1" x14ac:dyDescent="0.15">
      <c r="A88" s="41">
        <v>11</v>
      </c>
      <c r="B88" s="41">
        <v>7564</v>
      </c>
      <c r="C88" s="74" t="s">
        <v>14709</v>
      </c>
      <c r="D88" s="799"/>
      <c r="E88" s="796"/>
      <c r="F88" s="43"/>
      <c r="G88" s="37"/>
      <c r="H88" s="38"/>
      <c r="I88" s="281" t="s">
        <v>397</v>
      </c>
      <c r="J88" s="218" t="s">
        <v>398</v>
      </c>
      <c r="K88" s="46">
        <v>1</v>
      </c>
      <c r="L88" s="35"/>
      <c r="O88" s="35"/>
      <c r="Q88" s="47">
        <f>ROUND((ROUND((_11_A通院２増５．５*_11・２人),0)*(1+_11・A深夜)),0)</f>
        <v>1139</v>
      </c>
      <c r="R88" s="48"/>
    </row>
    <row r="89" spans="1:18" ht="16.5" customHeight="1" x14ac:dyDescent="0.15">
      <c r="A89" s="41">
        <v>11</v>
      </c>
      <c r="B89" s="41">
        <v>7565</v>
      </c>
      <c r="C89" s="74" t="s">
        <v>14710</v>
      </c>
      <c r="D89" s="799"/>
      <c r="E89" s="796"/>
      <c r="F89" s="752" t="s">
        <v>400</v>
      </c>
      <c r="G89" s="221" t="s">
        <v>398</v>
      </c>
      <c r="H89" s="50">
        <v>0.9</v>
      </c>
      <c r="I89" s="256"/>
      <c r="J89" s="45"/>
      <c r="K89" s="46"/>
      <c r="L89" s="35"/>
      <c r="O89" s="35"/>
      <c r="Q89" s="47">
        <f>ROUND((ROUND((_11_A通院２増５．５*_11・基礎２),0)*(1+_11・A深夜)),0)</f>
        <v>1025</v>
      </c>
      <c r="R89" s="48"/>
    </row>
    <row r="90" spans="1:18" ht="16.5" customHeight="1" x14ac:dyDescent="0.15">
      <c r="A90" s="41">
        <v>11</v>
      </c>
      <c r="B90" s="41">
        <v>7566</v>
      </c>
      <c r="C90" s="74" t="s">
        <v>14711</v>
      </c>
      <c r="D90" s="274">
        <f>_11_A通院２増５．５</f>
        <v>759</v>
      </c>
      <c r="E90" s="254" t="s">
        <v>392</v>
      </c>
      <c r="F90" s="800"/>
      <c r="G90" s="37"/>
      <c r="H90" s="38"/>
      <c r="I90" s="281" t="s">
        <v>397</v>
      </c>
      <c r="J90" s="218" t="s">
        <v>398</v>
      </c>
      <c r="K90" s="46">
        <v>1</v>
      </c>
      <c r="L90" s="35"/>
      <c r="O90" s="35"/>
      <c r="Q90" s="47">
        <f>ROUND((ROUND((ROUND((_11_A通院２増５．５*_11・基礎２),0)*_11・２人),0)*(1+_11・A深夜)),0)</f>
        <v>1025</v>
      </c>
      <c r="R90" s="48"/>
    </row>
    <row r="91" spans="1:18" ht="16.5" customHeight="1" x14ac:dyDescent="0.15">
      <c r="A91" s="41">
        <v>11</v>
      </c>
      <c r="B91" s="41" t="s">
        <v>14712</v>
      </c>
      <c r="C91" s="74" t="s">
        <v>14713</v>
      </c>
      <c r="D91" s="72"/>
      <c r="F91" s="53"/>
      <c r="G91" s="49"/>
      <c r="H91" s="50"/>
      <c r="I91" s="256"/>
      <c r="J91" s="45"/>
      <c r="K91" s="46"/>
      <c r="L91" s="35"/>
      <c r="O91" s="707" t="s">
        <v>404</v>
      </c>
      <c r="P91" s="708"/>
      <c r="Q91" s="47">
        <f>ROUND((ROUND((_11_A通院２増５．５*(1+_11・A深夜)),0)*_11・初任),0)</f>
        <v>797</v>
      </c>
      <c r="R91" s="48"/>
    </row>
    <row r="92" spans="1:18" ht="16.5" customHeight="1" x14ac:dyDescent="0.15">
      <c r="A92" s="41">
        <v>11</v>
      </c>
      <c r="B92" s="41" t="s">
        <v>14714</v>
      </c>
      <c r="C92" s="74" t="s">
        <v>14715</v>
      </c>
      <c r="D92" s="72"/>
      <c r="F92" s="43"/>
      <c r="G92" s="37"/>
      <c r="H92" s="38"/>
      <c r="I92" s="281" t="s">
        <v>397</v>
      </c>
      <c r="J92" s="218" t="s">
        <v>398</v>
      </c>
      <c r="K92" s="46">
        <v>1</v>
      </c>
      <c r="L92" s="35"/>
      <c r="O92" s="709"/>
      <c r="P92" s="704"/>
      <c r="Q92" s="47">
        <f>ROUND((ROUND((ROUND((_11_A通院２増５．５*_11・２人),0)*(1+_11・A深夜)),0)*_11・初任),0)</f>
        <v>797</v>
      </c>
      <c r="R92" s="48"/>
    </row>
    <row r="93" spans="1:18" ht="16.5" customHeight="1" x14ac:dyDescent="0.15">
      <c r="A93" s="41">
        <v>11</v>
      </c>
      <c r="B93" s="41" t="s">
        <v>14716</v>
      </c>
      <c r="C93" s="74" t="s">
        <v>14717</v>
      </c>
      <c r="D93" s="72"/>
      <c r="F93" s="752" t="s">
        <v>400</v>
      </c>
      <c r="G93" s="221" t="s">
        <v>398</v>
      </c>
      <c r="H93" s="50">
        <v>0.9</v>
      </c>
      <c r="I93" s="256"/>
      <c r="J93" s="45"/>
      <c r="K93" s="46"/>
      <c r="L93" s="35"/>
      <c r="O93" s="709"/>
      <c r="P93" s="704"/>
      <c r="Q93" s="47">
        <f>ROUND((ROUND((ROUND((_11_A通院２増５．５*_11・基礎２),0)*(1+_11・A深夜)),0)*_11・初任),0)</f>
        <v>718</v>
      </c>
      <c r="R93" s="48"/>
    </row>
    <row r="94" spans="1:18" ht="16.5" customHeight="1" x14ac:dyDescent="0.15">
      <c r="A94" s="41">
        <v>11</v>
      </c>
      <c r="B94" s="41" t="s">
        <v>14718</v>
      </c>
      <c r="C94" s="74" t="s">
        <v>14719</v>
      </c>
      <c r="D94" s="72"/>
      <c r="F94" s="800"/>
      <c r="G94" s="37"/>
      <c r="H94" s="38"/>
      <c r="I94" s="281" t="s">
        <v>397</v>
      </c>
      <c r="J94" s="218" t="s">
        <v>398</v>
      </c>
      <c r="K94" s="46">
        <v>1</v>
      </c>
      <c r="L94" s="35"/>
      <c r="O94" s="240" t="s">
        <v>398</v>
      </c>
      <c r="P94" s="38">
        <f>_11・初任</f>
        <v>0.7</v>
      </c>
      <c r="Q94" s="47">
        <f>ROUND((ROUND((ROUND((ROUND((_11_A通院２増５．５*_11・基礎２),0)*_11・２人),0)*(1+_11・A深夜)),0)*_11・初任),0)</f>
        <v>718</v>
      </c>
      <c r="R94" s="48"/>
    </row>
    <row r="95" spans="1:18" ht="16.5" customHeight="1" x14ac:dyDescent="0.15">
      <c r="A95" s="41">
        <v>11</v>
      </c>
      <c r="B95" s="41">
        <v>7567</v>
      </c>
      <c r="C95" s="74" t="s">
        <v>14720</v>
      </c>
      <c r="D95" s="707" t="s">
        <v>1006</v>
      </c>
      <c r="E95" s="798"/>
      <c r="F95" s="53"/>
      <c r="G95" s="49"/>
      <c r="H95" s="50"/>
      <c r="I95" s="256"/>
      <c r="J95" s="45"/>
      <c r="K95" s="46"/>
      <c r="L95" s="35"/>
      <c r="O95" s="53"/>
      <c r="P95" s="50"/>
      <c r="Q95" s="47">
        <f>ROUND((_11_A通院２増６．０*(1+_11・A深夜)),0)</f>
        <v>1242</v>
      </c>
      <c r="R95" s="48"/>
    </row>
    <row r="96" spans="1:18" ht="16.5" customHeight="1" x14ac:dyDescent="0.15">
      <c r="A96" s="41">
        <v>11</v>
      </c>
      <c r="B96" s="41">
        <v>7568</v>
      </c>
      <c r="C96" s="74" t="s">
        <v>14721</v>
      </c>
      <c r="D96" s="799"/>
      <c r="E96" s="796"/>
      <c r="F96" s="43"/>
      <c r="G96" s="37"/>
      <c r="H96" s="38"/>
      <c r="I96" s="281" t="s">
        <v>397</v>
      </c>
      <c r="J96" s="218" t="s">
        <v>398</v>
      </c>
      <c r="K96" s="46">
        <v>1</v>
      </c>
      <c r="L96" s="35"/>
      <c r="O96" s="35"/>
      <c r="Q96" s="47">
        <f>ROUND((ROUND((_11_A通院２増６．０*_11・２人),0)*(1+_11・A深夜)),0)</f>
        <v>1242</v>
      </c>
      <c r="R96" s="48"/>
    </row>
    <row r="97" spans="1:18" ht="16.5" customHeight="1" x14ac:dyDescent="0.15">
      <c r="A97" s="41">
        <v>11</v>
      </c>
      <c r="B97" s="41">
        <v>7569</v>
      </c>
      <c r="C97" s="74" t="s">
        <v>14722</v>
      </c>
      <c r="D97" s="799"/>
      <c r="E97" s="796"/>
      <c r="F97" s="752" t="s">
        <v>400</v>
      </c>
      <c r="G97" s="221" t="s">
        <v>398</v>
      </c>
      <c r="H97" s="50">
        <v>0.9</v>
      </c>
      <c r="I97" s="256"/>
      <c r="J97" s="45"/>
      <c r="K97" s="46"/>
      <c r="L97" s="35"/>
      <c r="O97" s="35"/>
      <c r="Q97" s="47">
        <f>ROUND((ROUND((_11_A通院２増６．０*_11・基礎２),0)*(1+_11・A深夜)),0)</f>
        <v>1118</v>
      </c>
      <c r="R97" s="48"/>
    </row>
    <row r="98" spans="1:18" ht="16.5" customHeight="1" x14ac:dyDescent="0.15">
      <c r="A98" s="41">
        <v>11</v>
      </c>
      <c r="B98" s="41">
        <v>7570</v>
      </c>
      <c r="C98" s="74" t="s">
        <v>14723</v>
      </c>
      <c r="D98" s="274">
        <f>_11_A通院２増６．０</f>
        <v>828</v>
      </c>
      <c r="E98" s="254" t="s">
        <v>392</v>
      </c>
      <c r="F98" s="800"/>
      <c r="G98" s="37"/>
      <c r="H98" s="38"/>
      <c r="I98" s="281" t="s">
        <v>397</v>
      </c>
      <c r="J98" s="218" t="s">
        <v>398</v>
      </c>
      <c r="K98" s="46">
        <v>1</v>
      </c>
      <c r="L98" s="35"/>
      <c r="O98" s="35"/>
      <c r="Q98" s="47">
        <f>ROUND((ROUND((ROUND((_11_A通院２増６．０*_11・基礎２),0)*_11・２人),0)*(1+_11・A深夜)),0)</f>
        <v>1118</v>
      </c>
      <c r="R98" s="48"/>
    </row>
    <row r="99" spans="1:18" ht="16.5" customHeight="1" x14ac:dyDescent="0.15">
      <c r="A99" s="41">
        <v>11</v>
      </c>
      <c r="B99" s="41" t="s">
        <v>14724</v>
      </c>
      <c r="C99" s="74" t="s">
        <v>14725</v>
      </c>
      <c r="D99" s="72"/>
      <c r="F99" s="53"/>
      <c r="G99" s="49"/>
      <c r="H99" s="50"/>
      <c r="I99" s="256"/>
      <c r="J99" s="45"/>
      <c r="K99" s="46"/>
      <c r="L99" s="35"/>
      <c r="O99" s="707" t="s">
        <v>404</v>
      </c>
      <c r="P99" s="708"/>
      <c r="Q99" s="47">
        <f>ROUND((ROUND((_11_A通院２増６．０*(1+_11・A深夜)),0)*_11・初任),0)</f>
        <v>869</v>
      </c>
      <c r="R99" s="48"/>
    </row>
    <row r="100" spans="1:18" ht="16.5" customHeight="1" x14ac:dyDescent="0.15">
      <c r="A100" s="41">
        <v>11</v>
      </c>
      <c r="B100" s="41" t="s">
        <v>14726</v>
      </c>
      <c r="C100" s="74" t="s">
        <v>14727</v>
      </c>
      <c r="D100" s="72"/>
      <c r="F100" s="43"/>
      <c r="G100" s="37"/>
      <c r="H100" s="38"/>
      <c r="I100" s="281" t="s">
        <v>397</v>
      </c>
      <c r="J100" s="218" t="s">
        <v>398</v>
      </c>
      <c r="K100" s="46">
        <v>1</v>
      </c>
      <c r="L100" s="35"/>
      <c r="O100" s="709"/>
      <c r="P100" s="704"/>
      <c r="Q100" s="47">
        <f>ROUND((ROUND((ROUND((_11_A通院２増６．０*_11・２人),0)*(1+_11・A深夜)),0)*_11・初任),0)</f>
        <v>869</v>
      </c>
      <c r="R100" s="48"/>
    </row>
    <row r="101" spans="1:18" ht="16.5" customHeight="1" x14ac:dyDescent="0.15">
      <c r="A101" s="41">
        <v>11</v>
      </c>
      <c r="B101" s="41" t="s">
        <v>14728</v>
      </c>
      <c r="C101" s="74" t="s">
        <v>14729</v>
      </c>
      <c r="D101" s="72"/>
      <c r="F101" s="752" t="s">
        <v>400</v>
      </c>
      <c r="G101" s="221" t="s">
        <v>398</v>
      </c>
      <c r="H101" s="50">
        <v>0.9</v>
      </c>
      <c r="I101" s="256"/>
      <c r="J101" s="45"/>
      <c r="K101" s="46"/>
      <c r="L101" s="35"/>
      <c r="O101" s="709"/>
      <c r="P101" s="704"/>
      <c r="Q101" s="47">
        <f>ROUND((ROUND((ROUND((_11_A通院２増６．０*_11・基礎２),0)*(1+_11・A深夜)),0)*_11・初任),0)</f>
        <v>783</v>
      </c>
      <c r="R101" s="48"/>
    </row>
    <row r="102" spans="1:18" ht="16.5" customHeight="1" x14ac:dyDescent="0.15">
      <c r="A102" s="41">
        <v>11</v>
      </c>
      <c r="B102" s="41" t="s">
        <v>14730</v>
      </c>
      <c r="C102" s="74" t="s">
        <v>14731</v>
      </c>
      <c r="D102" s="72"/>
      <c r="F102" s="800"/>
      <c r="G102" s="37"/>
      <c r="H102" s="38"/>
      <c r="I102" s="281" t="s">
        <v>397</v>
      </c>
      <c r="J102" s="218" t="s">
        <v>398</v>
      </c>
      <c r="K102" s="46">
        <v>1</v>
      </c>
      <c r="L102" s="35"/>
      <c r="O102" s="240" t="s">
        <v>398</v>
      </c>
      <c r="P102" s="38">
        <f>_11・初任</f>
        <v>0.7</v>
      </c>
      <c r="Q102" s="47">
        <f>ROUND((ROUND((ROUND((ROUND((_11_A通院２増６．０*_11・基礎２),0)*_11・２人),0)*(1+_11・A深夜)),0)*_11・初任),0)</f>
        <v>783</v>
      </c>
      <c r="R102" s="48"/>
    </row>
    <row r="103" spans="1:18" ht="16.5" customHeight="1" x14ac:dyDescent="0.15">
      <c r="A103" s="41">
        <v>11</v>
      </c>
      <c r="B103" s="41">
        <v>7571</v>
      </c>
      <c r="C103" s="74" t="s">
        <v>14732</v>
      </c>
      <c r="D103" s="707" t="s">
        <v>1019</v>
      </c>
      <c r="E103" s="798"/>
      <c r="F103" s="53"/>
      <c r="G103" s="49"/>
      <c r="H103" s="50"/>
      <c r="I103" s="256"/>
      <c r="J103" s="45"/>
      <c r="K103" s="46"/>
      <c r="L103" s="35"/>
      <c r="O103" s="53"/>
      <c r="P103" s="50"/>
      <c r="Q103" s="47">
        <f>ROUND((_11_A通院２増６．５*(1+_11・A深夜)),0)</f>
        <v>1346</v>
      </c>
      <c r="R103" s="48"/>
    </row>
    <row r="104" spans="1:18" ht="16.5" customHeight="1" x14ac:dyDescent="0.15">
      <c r="A104" s="41">
        <v>11</v>
      </c>
      <c r="B104" s="41">
        <v>7572</v>
      </c>
      <c r="C104" s="74" t="s">
        <v>14733</v>
      </c>
      <c r="D104" s="799"/>
      <c r="E104" s="796"/>
      <c r="F104" s="43"/>
      <c r="G104" s="37"/>
      <c r="H104" s="38"/>
      <c r="I104" s="281" t="s">
        <v>397</v>
      </c>
      <c r="J104" s="218" t="s">
        <v>398</v>
      </c>
      <c r="K104" s="46">
        <v>1</v>
      </c>
      <c r="L104" s="35"/>
      <c r="O104" s="35"/>
      <c r="Q104" s="47">
        <f>ROUND((ROUND((_11_A通院２増６．５*_11・２人),0)*(1+_11・A深夜)),0)</f>
        <v>1346</v>
      </c>
      <c r="R104" s="48"/>
    </row>
    <row r="105" spans="1:18" ht="16.5" customHeight="1" x14ac:dyDescent="0.15">
      <c r="A105" s="41">
        <v>11</v>
      </c>
      <c r="B105" s="41">
        <v>7573</v>
      </c>
      <c r="C105" s="74" t="s">
        <v>14734</v>
      </c>
      <c r="D105" s="799"/>
      <c r="E105" s="796"/>
      <c r="F105" s="752" t="s">
        <v>400</v>
      </c>
      <c r="G105" s="221" t="s">
        <v>398</v>
      </c>
      <c r="H105" s="50">
        <v>0.9</v>
      </c>
      <c r="I105" s="256"/>
      <c r="J105" s="45"/>
      <c r="K105" s="46"/>
      <c r="L105" s="35"/>
      <c r="O105" s="35"/>
      <c r="Q105" s="47">
        <f>ROUND((ROUND((_11_A通院２増６．５*_11・基礎２),0)*(1+_11・A深夜)),0)</f>
        <v>1211</v>
      </c>
      <c r="R105" s="48"/>
    </row>
    <row r="106" spans="1:18" ht="16.5" customHeight="1" x14ac:dyDescent="0.15">
      <c r="A106" s="41">
        <v>11</v>
      </c>
      <c r="B106" s="41">
        <v>7574</v>
      </c>
      <c r="C106" s="74" t="s">
        <v>14735</v>
      </c>
      <c r="D106" s="274">
        <f>_11_A通院２増６．５</f>
        <v>897</v>
      </c>
      <c r="E106" s="254" t="s">
        <v>392</v>
      </c>
      <c r="F106" s="800"/>
      <c r="G106" s="37"/>
      <c r="H106" s="38"/>
      <c r="I106" s="281" t="s">
        <v>397</v>
      </c>
      <c r="J106" s="218" t="s">
        <v>398</v>
      </c>
      <c r="K106" s="46">
        <v>1</v>
      </c>
      <c r="L106" s="35"/>
      <c r="O106" s="35"/>
      <c r="Q106" s="47">
        <f>ROUND((ROUND((ROUND((_11_A通院２増６．５*_11・基礎２),0)*_11・２人),0)*(1+_11・A深夜)),0)</f>
        <v>1211</v>
      </c>
      <c r="R106" s="48"/>
    </row>
    <row r="107" spans="1:18" ht="16.5" customHeight="1" x14ac:dyDescent="0.15">
      <c r="A107" s="41">
        <v>11</v>
      </c>
      <c r="B107" s="41" t="s">
        <v>14736</v>
      </c>
      <c r="C107" s="74" t="s">
        <v>14737</v>
      </c>
      <c r="D107" s="72"/>
      <c r="F107" s="53"/>
      <c r="G107" s="49"/>
      <c r="H107" s="50"/>
      <c r="I107" s="256"/>
      <c r="J107" s="45"/>
      <c r="K107" s="46"/>
      <c r="L107" s="35"/>
      <c r="O107" s="707" t="s">
        <v>404</v>
      </c>
      <c r="P107" s="708"/>
      <c r="Q107" s="47">
        <f>ROUND((ROUND((_11_A通院２増６．５*(1+_11・A深夜)),0)*_11・初任),0)</f>
        <v>942</v>
      </c>
      <c r="R107" s="48"/>
    </row>
    <row r="108" spans="1:18" ht="16.5" customHeight="1" x14ac:dyDescent="0.15">
      <c r="A108" s="41">
        <v>11</v>
      </c>
      <c r="B108" s="41" t="s">
        <v>14738</v>
      </c>
      <c r="C108" s="74" t="s">
        <v>14739</v>
      </c>
      <c r="D108" s="72"/>
      <c r="F108" s="43"/>
      <c r="G108" s="37"/>
      <c r="H108" s="38"/>
      <c r="I108" s="281" t="s">
        <v>397</v>
      </c>
      <c r="J108" s="218" t="s">
        <v>398</v>
      </c>
      <c r="K108" s="46">
        <v>1</v>
      </c>
      <c r="L108" s="35"/>
      <c r="O108" s="709"/>
      <c r="P108" s="704"/>
      <c r="Q108" s="47">
        <f>ROUND((ROUND((ROUND((_11_A通院２増６．５*_11・２人),0)*(1+_11・A深夜)),0)*_11・初任),0)</f>
        <v>942</v>
      </c>
      <c r="R108" s="48"/>
    </row>
    <row r="109" spans="1:18" ht="16.5" customHeight="1" x14ac:dyDescent="0.15">
      <c r="A109" s="41">
        <v>11</v>
      </c>
      <c r="B109" s="41" t="s">
        <v>14740</v>
      </c>
      <c r="C109" s="74" t="s">
        <v>14741</v>
      </c>
      <c r="D109" s="72"/>
      <c r="F109" s="752" t="s">
        <v>400</v>
      </c>
      <c r="G109" s="221" t="s">
        <v>398</v>
      </c>
      <c r="H109" s="50">
        <v>0.9</v>
      </c>
      <c r="I109" s="256"/>
      <c r="J109" s="45"/>
      <c r="K109" s="46"/>
      <c r="L109" s="35"/>
      <c r="O109" s="709"/>
      <c r="P109" s="704"/>
      <c r="Q109" s="47">
        <f>ROUND((ROUND((ROUND((_11_A通院２増６．５*_11・基礎２),0)*(1+_11・A深夜)),0)*_11・初任),0)</f>
        <v>848</v>
      </c>
      <c r="R109" s="48"/>
    </row>
    <row r="110" spans="1:18" ht="16.5" customHeight="1" x14ac:dyDescent="0.15">
      <c r="A110" s="41">
        <v>11</v>
      </c>
      <c r="B110" s="41" t="s">
        <v>14742</v>
      </c>
      <c r="C110" s="74" t="s">
        <v>14743</v>
      </c>
      <c r="D110" s="122"/>
      <c r="E110" s="37"/>
      <c r="F110" s="800"/>
      <c r="G110" s="37"/>
      <c r="H110" s="38"/>
      <c r="I110" s="281" t="s">
        <v>397</v>
      </c>
      <c r="J110" s="218" t="s">
        <v>398</v>
      </c>
      <c r="K110" s="46">
        <v>1</v>
      </c>
      <c r="L110" s="43"/>
      <c r="M110" s="37"/>
      <c r="N110" s="38"/>
      <c r="O110" s="240" t="s">
        <v>398</v>
      </c>
      <c r="P110" s="38">
        <f>_11・初任</f>
        <v>0.7</v>
      </c>
      <c r="Q110" s="47">
        <f>ROUND((ROUND((ROUND((ROUND((_11_A通院２増６．５*_11・基礎２),0)*_11・２人),0)*(1+_11・A深夜)),0)*_11・初任),0)</f>
        <v>848</v>
      </c>
      <c r="R110" s="63"/>
    </row>
    <row r="111" spans="1:18" ht="16.5" customHeight="1" x14ac:dyDescent="0.15"/>
    <row r="112" spans="1:18" ht="16.5" customHeight="1" x14ac:dyDescent="0.15"/>
  </sheetData>
  <mergeCells count="54">
    <mergeCell ref="D103:E105"/>
    <mergeCell ref="F105:F106"/>
    <mergeCell ref="O107:P109"/>
    <mergeCell ref="F109:F110"/>
    <mergeCell ref="O91:P93"/>
    <mergeCell ref="F93:F94"/>
    <mergeCell ref="D95:E97"/>
    <mergeCell ref="F97:F98"/>
    <mergeCell ref="O99:P101"/>
    <mergeCell ref="F101:F102"/>
    <mergeCell ref="D63:E65"/>
    <mergeCell ref="F65:F66"/>
    <mergeCell ref="D87:E89"/>
    <mergeCell ref="F89:F90"/>
    <mergeCell ref="O67:P69"/>
    <mergeCell ref="F69:F70"/>
    <mergeCell ref="D71:E73"/>
    <mergeCell ref="F73:F74"/>
    <mergeCell ref="O75:P77"/>
    <mergeCell ref="F77:F78"/>
    <mergeCell ref="D79:E81"/>
    <mergeCell ref="N80:N81"/>
    <mergeCell ref="F81:F82"/>
    <mergeCell ref="O83:P85"/>
    <mergeCell ref="F85:F86"/>
    <mergeCell ref="O51:P53"/>
    <mergeCell ref="F53:F54"/>
    <mergeCell ref="D55:E57"/>
    <mergeCell ref="F57:F58"/>
    <mergeCell ref="O59:P61"/>
    <mergeCell ref="F61:F62"/>
    <mergeCell ref="D39:E41"/>
    <mergeCell ref="F41:F42"/>
    <mergeCell ref="O43:P45"/>
    <mergeCell ref="F45:F46"/>
    <mergeCell ref="D47:E49"/>
    <mergeCell ref="F49:F50"/>
    <mergeCell ref="O27:P29"/>
    <mergeCell ref="F29:F30"/>
    <mergeCell ref="D31:E33"/>
    <mergeCell ref="F33:F34"/>
    <mergeCell ref="O35:P37"/>
    <mergeCell ref="F37:F38"/>
    <mergeCell ref="O19:P21"/>
    <mergeCell ref="F21:F22"/>
    <mergeCell ref="D23:E25"/>
    <mergeCell ref="F25:F26"/>
    <mergeCell ref="D15:E17"/>
    <mergeCell ref="F17:F18"/>
    <mergeCell ref="D7:E9"/>
    <mergeCell ref="N8:N9"/>
    <mergeCell ref="F9:F10"/>
    <mergeCell ref="O11:P13"/>
    <mergeCell ref="F13:F14"/>
  </mergeCells>
  <phoneticPr fontId="1"/>
  <printOptions horizontalCentered="1"/>
  <pageMargins left="0.70866141732283472" right="0.70866141732283472" top="0.74803149606299213" bottom="0.74803149606299213" header="0.31496062992125984" footer="0.31496062992125984"/>
  <pageSetup paperSize="9" scale="58" fitToHeight="0" orientation="portrait" r:id="rId1"/>
  <headerFooter>
    <oddHeader>&amp;R&amp;"ＭＳ Ｐゴシック"&amp;9居宅介護</oddHeader>
    <oddFooter>&amp;C&amp;"ＭＳ Ｐゴシック"&amp;14&amp;P</oddFooter>
  </headerFooter>
  <rowBreaks count="1" manualBreakCount="1">
    <brk id="78" max="17"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3">
    <pageSetUpPr fitToPage="1"/>
  </sheetPr>
  <dimension ref="A1:O92"/>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8.5" style="10" customWidth="1"/>
    <col min="4" max="4" width="4.875" style="10" customWidth="1"/>
    <col min="5" max="5" width="4.875" style="12" customWidth="1"/>
    <col min="6" max="6" width="4.125" style="12" customWidth="1"/>
    <col min="7" max="7" width="4.5" style="12" bestFit="1" customWidth="1"/>
    <col min="8" max="8" width="26" style="12" customWidth="1"/>
    <col min="9" max="9" width="2.5" style="12" customWidth="1"/>
    <col min="10" max="10" width="5.5" style="13" bestFit="1" customWidth="1"/>
    <col min="11" max="11" width="17.875" style="12" customWidth="1"/>
    <col min="12" max="12" width="2.5" style="242" customWidth="1"/>
    <col min="13" max="13" width="4.5" style="13" bestFit="1" customWidth="1"/>
    <col min="14" max="14" width="7.125" style="15" customWidth="1"/>
    <col min="15" max="15" width="8.5" style="16" customWidth="1"/>
    <col min="16" max="16384" width="8.875" style="12"/>
  </cols>
  <sheetData>
    <row r="1" spans="1:15" ht="17.100000000000001" customHeight="1" x14ac:dyDescent="0.15"/>
    <row r="2" spans="1:15" ht="17.100000000000001" customHeight="1" x14ac:dyDescent="0.15"/>
    <row r="3" spans="1:15" ht="17.100000000000001" customHeight="1" x14ac:dyDescent="0.15"/>
    <row r="4" spans="1:15" ht="17.100000000000001" customHeight="1" x14ac:dyDescent="0.15">
      <c r="B4" s="17" t="s">
        <v>14744</v>
      </c>
      <c r="D4" s="71"/>
    </row>
    <row r="5" spans="1:15" ht="16.5" customHeight="1" x14ac:dyDescent="0.15">
      <c r="A5" s="19" t="s">
        <v>384</v>
      </c>
      <c r="B5" s="20"/>
      <c r="C5" s="21" t="s">
        <v>385</v>
      </c>
      <c r="D5" s="23" t="s">
        <v>386</v>
      </c>
      <c r="E5" s="23"/>
      <c r="F5" s="23"/>
      <c r="G5" s="23"/>
      <c r="H5" s="23"/>
      <c r="I5" s="23"/>
      <c r="J5" s="24"/>
      <c r="K5" s="23"/>
      <c r="L5" s="23"/>
      <c r="M5" s="24"/>
      <c r="N5" s="25" t="s">
        <v>387</v>
      </c>
      <c r="O5" s="21" t="s">
        <v>388</v>
      </c>
    </row>
    <row r="6" spans="1:15" ht="16.5" customHeight="1" x14ac:dyDescent="0.15">
      <c r="A6" s="26" t="s">
        <v>389</v>
      </c>
      <c r="B6" s="26" t="s">
        <v>390</v>
      </c>
      <c r="C6" s="27"/>
      <c r="D6" s="29"/>
      <c r="E6" s="29"/>
      <c r="F6" s="29"/>
      <c r="G6" s="29"/>
      <c r="H6" s="29"/>
      <c r="I6" s="29"/>
      <c r="J6" s="30"/>
      <c r="K6" s="29"/>
      <c r="L6" s="214"/>
      <c r="M6" s="30"/>
      <c r="N6" s="31" t="s">
        <v>391</v>
      </c>
      <c r="O6" s="32" t="s">
        <v>392</v>
      </c>
    </row>
    <row r="7" spans="1:15" ht="16.5" customHeight="1" x14ac:dyDescent="0.15">
      <c r="A7" s="33">
        <v>11</v>
      </c>
      <c r="B7" s="33">
        <v>9101</v>
      </c>
      <c r="C7" s="34" t="s">
        <v>14745</v>
      </c>
      <c r="D7" s="709" t="s">
        <v>394</v>
      </c>
      <c r="E7" s="797"/>
      <c r="F7" s="709" t="s">
        <v>11707</v>
      </c>
      <c r="G7" s="802"/>
      <c r="H7" s="43"/>
      <c r="I7" s="37"/>
      <c r="J7" s="38"/>
      <c r="K7" s="35"/>
      <c r="N7" s="39">
        <f>ROUND((_11_A通院２０．５*_11・重度研修),0)</f>
        <v>95</v>
      </c>
      <c r="O7" s="40" t="s">
        <v>395</v>
      </c>
    </row>
    <row r="8" spans="1:15" ht="16.5" customHeight="1" x14ac:dyDescent="0.15">
      <c r="A8" s="41">
        <v>11</v>
      </c>
      <c r="B8" s="41">
        <v>9102</v>
      </c>
      <c r="C8" s="74" t="s">
        <v>14746</v>
      </c>
      <c r="D8" s="799"/>
      <c r="E8" s="797"/>
      <c r="F8" s="722"/>
      <c r="G8" s="802"/>
      <c r="H8" s="281" t="s">
        <v>397</v>
      </c>
      <c r="I8" s="218" t="s">
        <v>398</v>
      </c>
      <c r="J8" s="46">
        <v>1</v>
      </c>
      <c r="K8" s="43"/>
      <c r="L8" s="220"/>
      <c r="M8" s="38"/>
      <c r="N8" s="47">
        <f>ROUND((ROUND((_11_A通院２０．５*_11・重度研修),0)*_11・２人),0)</f>
        <v>95</v>
      </c>
      <c r="O8" s="48"/>
    </row>
    <row r="9" spans="1:15" ht="16.5" customHeight="1" x14ac:dyDescent="0.15">
      <c r="A9" s="41">
        <v>11</v>
      </c>
      <c r="B9" s="41" t="s">
        <v>14747</v>
      </c>
      <c r="C9" s="74" t="s">
        <v>14748</v>
      </c>
      <c r="D9" s="799"/>
      <c r="E9" s="797"/>
      <c r="F9" s="722"/>
      <c r="G9" s="802"/>
      <c r="H9" s="163"/>
      <c r="I9" s="45"/>
      <c r="J9" s="46"/>
      <c r="K9" s="734" t="s">
        <v>404</v>
      </c>
      <c r="L9" s="219" t="s">
        <v>398</v>
      </c>
      <c r="M9" s="50">
        <f>_11・初任</f>
        <v>0.7</v>
      </c>
      <c r="N9" s="47">
        <f>ROUND((ROUND((_11_A通院２０．５*_11・重度研修),0)*_11・初任),0)</f>
        <v>67</v>
      </c>
      <c r="O9" s="48"/>
    </row>
    <row r="10" spans="1:15" ht="16.5" customHeight="1" x14ac:dyDescent="0.15">
      <c r="A10" s="41">
        <v>11</v>
      </c>
      <c r="B10" s="41" t="s">
        <v>14749</v>
      </c>
      <c r="C10" s="74" t="s">
        <v>14750</v>
      </c>
      <c r="D10" s="274">
        <f>_11_A通院２０．５</f>
        <v>105</v>
      </c>
      <c r="E10" s="10" t="s">
        <v>392</v>
      </c>
      <c r="F10" s="258" t="s">
        <v>398</v>
      </c>
      <c r="G10" s="234">
        <v>0.9</v>
      </c>
      <c r="H10" s="281" t="s">
        <v>397</v>
      </c>
      <c r="I10" s="218" t="s">
        <v>398</v>
      </c>
      <c r="J10" s="46">
        <v>1</v>
      </c>
      <c r="K10" s="706"/>
      <c r="L10" s="220"/>
      <c r="M10" s="38"/>
      <c r="N10" s="47">
        <f>ROUND((ROUND((ROUND((_11_A通院２０．５*_11・重度研修),0)*_11・２人),0)*_11・初任),0)</f>
        <v>67</v>
      </c>
      <c r="O10" s="48"/>
    </row>
    <row r="11" spans="1:15" ht="16.5" customHeight="1" x14ac:dyDescent="0.15">
      <c r="A11" s="41">
        <v>11</v>
      </c>
      <c r="B11" s="41">
        <v>9103</v>
      </c>
      <c r="C11" s="74" t="s">
        <v>14751</v>
      </c>
      <c r="D11" s="707" t="s">
        <v>412</v>
      </c>
      <c r="E11" s="798"/>
      <c r="F11" s="35"/>
      <c r="H11" s="163"/>
      <c r="I11" s="45"/>
      <c r="J11" s="46"/>
      <c r="K11" s="53"/>
      <c r="L11" s="245"/>
      <c r="M11" s="50"/>
      <c r="N11" s="47">
        <f>ROUND((_11_A通院２１．０*_11・重度研修),0)</f>
        <v>176</v>
      </c>
      <c r="O11" s="48"/>
    </row>
    <row r="12" spans="1:15" ht="16.5" customHeight="1" x14ac:dyDescent="0.15">
      <c r="A12" s="41">
        <v>11</v>
      </c>
      <c r="B12" s="41">
        <v>9104</v>
      </c>
      <c r="C12" s="74" t="s">
        <v>14752</v>
      </c>
      <c r="D12" s="799"/>
      <c r="E12" s="796"/>
      <c r="F12" s="35"/>
      <c r="H12" s="281" t="s">
        <v>397</v>
      </c>
      <c r="I12" s="218" t="s">
        <v>398</v>
      </c>
      <c r="J12" s="46">
        <v>1</v>
      </c>
      <c r="K12" s="43"/>
      <c r="L12" s="220"/>
      <c r="M12" s="38"/>
      <c r="N12" s="47">
        <f>ROUND((ROUND((_11_A通院２１．０*_11・重度研修),0)*_11・２人),0)</f>
        <v>176</v>
      </c>
      <c r="O12" s="48"/>
    </row>
    <row r="13" spans="1:15" ht="16.5" customHeight="1" x14ac:dyDescent="0.15">
      <c r="A13" s="41">
        <v>11</v>
      </c>
      <c r="B13" s="41" t="s">
        <v>14753</v>
      </c>
      <c r="C13" s="74" t="s">
        <v>14754</v>
      </c>
      <c r="D13" s="799"/>
      <c r="E13" s="796"/>
      <c r="F13" s="35"/>
      <c r="H13" s="163"/>
      <c r="I13" s="45"/>
      <c r="J13" s="46"/>
      <c r="K13" s="734" t="s">
        <v>404</v>
      </c>
      <c r="L13" s="219" t="s">
        <v>398</v>
      </c>
      <c r="M13" s="50">
        <f>_11・初任</f>
        <v>0.7</v>
      </c>
      <c r="N13" s="47">
        <f>ROUND((ROUND((_11_A通院２１．０*_11・重度研修),0)*_11・初任),0)</f>
        <v>123</v>
      </c>
      <c r="O13" s="48"/>
    </row>
    <row r="14" spans="1:15" ht="16.5" customHeight="1" x14ac:dyDescent="0.15">
      <c r="A14" s="41">
        <v>11</v>
      </c>
      <c r="B14" s="41" t="s">
        <v>14755</v>
      </c>
      <c r="C14" s="74" t="s">
        <v>14756</v>
      </c>
      <c r="D14" s="274">
        <f>_11_A通院２１．０</f>
        <v>196</v>
      </c>
      <c r="E14" s="10" t="s">
        <v>392</v>
      </c>
      <c r="F14" s="35"/>
      <c r="H14" s="281" t="s">
        <v>397</v>
      </c>
      <c r="I14" s="218" t="s">
        <v>398</v>
      </c>
      <c r="J14" s="46">
        <v>1</v>
      </c>
      <c r="K14" s="706"/>
      <c r="L14" s="220"/>
      <c r="M14" s="38"/>
      <c r="N14" s="47">
        <f>ROUND((ROUND((ROUND((_11_A通院２１．０*_11・重度研修),0)*_11・２人),0)*_11・初任),0)</f>
        <v>123</v>
      </c>
      <c r="O14" s="48"/>
    </row>
    <row r="15" spans="1:15" ht="16.5" customHeight="1" x14ac:dyDescent="0.15">
      <c r="A15" s="41">
        <v>11</v>
      </c>
      <c r="B15" s="41">
        <v>9105</v>
      </c>
      <c r="C15" s="74" t="s">
        <v>14757</v>
      </c>
      <c r="D15" s="707" t="s">
        <v>425</v>
      </c>
      <c r="E15" s="798"/>
      <c r="F15" s="35"/>
      <c r="H15" s="163"/>
      <c r="I15" s="45"/>
      <c r="J15" s="46"/>
      <c r="K15" s="53"/>
      <c r="L15" s="245"/>
      <c r="M15" s="50"/>
      <c r="N15" s="47">
        <f>ROUND((_11_A通院２１．５*_11・重度研修),0)</f>
        <v>247</v>
      </c>
      <c r="O15" s="48"/>
    </row>
    <row r="16" spans="1:15" ht="16.5" customHeight="1" x14ac:dyDescent="0.15">
      <c r="A16" s="41">
        <v>11</v>
      </c>
      <c r="B16" s="41">
        <v>9106</v>
      </c>
      <c r="C16" s="74" t="s">
        <v>14758</v>
      </c>
      <c r="D16" s="799"/>
      <c r="E16" s="796"/>
      <c r="F16" s="35"/>
      <c r="H16" s="281" t="s">
        <v>397</v>
      </c>
      <c r="I16" s="218" t="s">
        <v>398</v>
      </c>
      <c r="J16" s="46">
        <v>1</v>
      </c>
      <c r="K16" s="43"/>
      <c r="L16" s="220"/>
      <c r="M16" s="38"/>
      <c r="N16" s="47">
        <f>ROUND((ROUND((_11_A通院２１．５*_11・重度研修),0)*_11・２人),0)</f>
        <v>247</v>
      </c>
      <c r="O16" s="48"/>
    </row>
    <row r="17" spans="1:15" ht="16.5" customHeight="1" x14ac:dyDescent="0.15">
      <c r="A17" s="41">
        <v>11</v>
      </c>
      <c r="B17" s="41" t="s">
        <v>14759</v>
      </c>
      <c r="C17" s="74" t="s">
        <v>14760</v>
      </c>
      <c r="D17" s="799"/>
      <c r="E17" s="796"/>
      <c r="F17" s="35"/>
      <c r="H17" s="163"/>
      <c r="I17" s="45"/>
      <c r="J17" s="46"/>
      <c r="K17" s="734" t="s">
        <v>404</v>
      </c>
      <c r="L17" s="219" t="s">
        <v>398</v>
      </c>
      <c r="M17" s="50">
        <f>_11・初任</f>
        <v>0.7</v>
      </c>
      <c r="N17" s="47">
        <f>ROUND((ROUND((_11_A通院２１．５*_11・重度研修),0)*_11・初任),0)</f>
        <v>173</v>
      </c>
      <c r="O17" s="48"/>
    </row>
    <row r="18" spans="1:15" ht="16.5" customHeight="1" x14ac:dyDescent="0.15">
      <c r="A18" s="41">
        <v>11</v>
      </c>
      <c r="B18" s="41" t="s">
        <v>14761</v>
      </c>
      <c r="C18" s="74" t="s">
        <v>14762</v>
      </c>
      <c r="D18" s="274">
        <f>_11_A通院２１．５</f>
        <v>274</v>
      </c>
      <c r="E18" s="10" t="s">
        <v>392</v>
      </c>
      <c r="F18" s="35"/>
      <c r="H18" s="281" t="s">
        <v>397</v>
      </c>
      <c r="I18" s="218" t="s">
        <v>398</v>
      </c>
      <c r="J18" s="46">
        <v>1</v>
      </c>
      <c r="K18" s="706"/>
      <c r="L18" s="220"/>
      <c r="M18" s="38"/>
      <c r="N18" s="47">
        <f>ROUND((ROUND((ROUND((_11_A通院２１．５*_11・重度研修),0)*_11・２人),0)*_11・初任),0)</f>
        <v>173</v>
      </c>
      <c r="O18" s="48"/>
    </row>
    <row r="19" spans="1:15" ht="16.5" customHeight="1" x14ac:dyDescent="0.15">
      <c r="A19" s="41">
        <v>11</v>
      </c>
      <c r="B19" s="41">
        <v>9107</v>
      </c>
      <c r="C19" s="74" t="s">
        <v>14763</v>
      </c>
      <c r="D19" s="707" t="s">
        <v>438</v>
      </c>
      <c r="E19" s="798"/>
      <c r="F19" s="35"/>
      <c r="H19" s="163"/>
      <c r="I19" s="45"/>
      <c r="J19" s="46"/>
      <c r="K19" s="53"/>
      <c r="L19" s="245"/>
      <c r="M19" s="50"/>
      <c r="N19" s="47">
        <f>ROUND((_11_A通院２２．０*_11・重度研修),0)</f>
        <v>309</v>
      </c>
      <c r="O19" s="48"/>
    </row>
    <row r="20" spans="1:15" ht="16.5" customHeight="1" x14ac:dyDescent="0.15">
      <c r="A20" s="41">
        <v>11</v>
      </c>
      <c r="B20" s="41">
        <v>9108</v>
      </c>
      <c r="C20" s="74" t="s">
        <v>14764</v>
      </c>
      <c r="D20" s="799"/>
      <c r="E20" s="796"/>
      <c r="F20" s="35"/>
      <c r="H20" s="281" t="s">
        <v>397</v>
      </c>
      <c r="I20" s="218" t="s">
        <v>398</v>
      </c>
      <c r="J20" s="46">
        <v>1</v>
      </c>
      <c r="K20" s="43"/>
      <c r="L20" s="220"/>
      <c r="M20" s="38"/>
      <c r="N20" s="47">
        <f>ROUND((ROUND((_11_A通院２２．０*_11・重度研修),0)*_11・２人),0)</f>
        <v>309</v>
      </c>
      <c r="O20" s="48"/>
    </row>
    <row r="21" spans="1:15" ht="16.5" customHeight="1" x14ac:dyDescent="0.15">
      <c r="A21" s="41">
        <v>11</v>
      </c>
      <c r="B21" s="41" t="s">
        <v>14765</v>
      </c>
      <c r="C21" s="74" t="s">
        <v>14766</v>
      </c>
      <c r="D21" s="799"/>
      <c r="E21" s="796"/>
      <c r="F21" s="35"/>
      <c r="H21" s="163"/>
      <c r="I21" s="45"/>
      <c r="J21" s="46"/>
      <c r="K21" s="734" t="s">
        <v>404</v>
      </c>
      <c r="L21" s="219" t="s">
        <v>398</v>
      </c>
      <c r="M21" s="50">
        <f>_11・初任</f>
        <v>0.7</v>
      </c>
      <c r="N21" s="47">
        <f>ROUND((ROUND((_11_A通院２２．０*_11・重度研修),0)*_11・初任),0)</f>
        <v>216</v>
      </c>
      <c r="O21" s="48"/>
    </row>
    <row r="22" spans="1:15" ht="16.5" customHeight="1" x14ac:dyDescent="0.15">
      <c r="A22" s="41">
        <v>11</v>
      </c>
      <c r="B22" s="41" t="s">
        <v>14767</v>
      </c>
      <c r="C22" s="74" t="s">
        <v>14768</v>
      </c>
      <c r="D22" s="274">
        <f>_11_A通院２２．０</f>
        <v>343</v>
      </c>
      <c r="E22" s="10" t="s">
        <v>392</v>
      </c>
      <c r="F22" s="35"/>
      <c r="H22" s="281" t="s">
        <v>397</v>
      </c>
      <c r="I22" s="218" t="s">
        <v>398</v>
      </c>
      <c r="J22" s="46">
        <v>1</v>
      </c>
      <c r="K22" s="706"/>
      <c r="L22" s="220"/>
      <c r="M22" s="38"/>
      <c r="N22" s="47">
        <f>ROUND((ROUND((ROUND((_11_A通院２２．０*_11・重度研修),0)*_11・２人),0)*_11・初任),0)</f>
        <v>216</v>
      </c>
      <c r="O22" s="48"/>
    </row>
    <row r="23" spans="1:15" ht="16.5" customHeight="1" x14ac:dyDescent="0.15">
      <c r="A23" s="41">
        <v>11</v>
      </c>
      <c r="B23" s="41">
        <v>9109</v>
      </c>
      <c r="C23" s="74" t="s">
        <v>14769</v>
      </c>
      <c r="D23" s="707" t="s">
        <v>451</v>
      </c>
      <c r="E23" s="798"/>
      <c r="F23" s="35"/>
      <c r="H23" s="163"/>
      <c r="I23" s="45"/>
      <c r="J23" s="46"/>
      <c r="K23" s="53"/>
      <c r="L23" s="245"/>
      <c r="M23" s="50"/>
      <c r="N23" s="47">
        <f>ROUND((_11_A通院２２．５*_11・重度研修),0)</f>
        <v>371</v>
      </c>
      <c r="O23" s="48"/>
    </row>
    <row r="24" spans="1:15" ht="16.5" customHeight="1" x14ac:dyDescent="0.15">
      <c r="A24" s="41">
        <v>11</v>
      </c>
      <c r="B24" s="41">
        <v>9110</v>
      </c>
      <c r="C24" s="74" t="s">
        <v>14770</v>
      </c>
      <c r="D24" s="799"/>
      <c r="E24" s="796"/>
      <c r="F24" s="35"/>
      <c r="H24" s="281" t="s">
        <v>397</v>
      </c>
      <c r="I24" s="218" t="s">
        <v>398</v>
      </c>
      <c r="J24" s="46">
        <v>1</v>
      </c>
      <c r="K24" s="43"/>
      <c r="L24" s="220"/>
      <c r="M24" s="38"/>
      <c r="N24" s="47">
        <f>ROUND((ROUND((_11_A通院２２．５*_11・重度研修),0)*_11・２人),0)</f>
        <v>371</v>
      </c>
      <c r="O24" s="48"/>
    </row>
    <row r="25" spans="1:15" ht="16.5" customHeight="1" x14ac:dyDescent="0.15">
      <c r="A25" s="41">
        <v>11</v>
      </c>
      <c r="B25" s="41" t="s">
        <v>14771</v>
      </c>
      <c r="C25" s="74" t="s">
        <v>14772</v>
      </c>
      <c r="D25" s="799"/>
      <c r="E25" s="796"/>
      <c r="F25" s="35"/>
      <c r="H25" s="163"/>
      <c r="I25" s="45"/>
      <c r="J25" s="46"/>
      <c r="K25" s="734" t="s">
        <v>404</v>
      </c>
      <c r="L25" s="219" t="s">
        <v>398</v>
      </c>
      <c r="M25" s="50">
        <f>_11・初任</f>
        <v>0.7</v>
      </c>
      <c r="N25" s="47">
        <f>ROUND((ROUND((_11_A通院２２．５*_11・重度研修),0)*_11・初任),0)</f>
        <v>260</v>
      </c>
      <c r="O25" s="48"/>
    </row>
    <row r="26" spans="1:15" ht="16.5" customHeight="1" x14ac:dyDescent="0.15">
      <c r="A26" s="41">
        <v>11</v>
      </c>
      <c r="B26" s="41" t="s">
        <v>14773</v>
      </c>
      <c r="C26" s="74" t="s">
        <v>14774</v>
      </c>
      <c r="D26" s="274">
        <f>_11_A通院２２．５</f>
        <v>412</v>
      </c>
      <c r="E26" s="10" t="s">
        <v>392</v>
      </c>
      <c r="F26" s="35"/>
      <c r="H26" s="281" t="s">
        <v>397</v>
      </c>
      <c r="I26" s="218" t="s">
        <v>398</v>
      </c>
      <c r="J26" s="46">
        <v>1</v>
      </c>
      <c r="K26" s="706"/>
      <c r="L26" s="220"/>
      <c r="M26" s="38"/>
      <c r="N26" s="47">
        <f>ROUND((ROUND((ROUND((_11_A通院２２．５*_11・重度研修),0)*_11・２人),0)*_11・初任),0)</f>
        <v>260</v>
      </c>
      <c r="O26" s="48"/>
    </row>
    <row r="27" spans="1:15" ht="16.5" customHeight="1" x14ac:dyDescent="0.15">
      <c r="A27" s="41">
        <v>11</v>
      </c>
      <c r="B27" s="41">
        <v>9111</v>
      </c>
      <c r="C27" s="74" t="s">
        <v>14775</v>
      </c>
      <c r="D27" s="707" t="s">
        <v>464</v>
      </c>
      <c r="E27" s="798"/>
      <c r="F27" s="35"/>
      <c r="H27" s="163"/>
      <c r="I27" s="45"/>
      <c r="J27" s="46"/>
      <c r="K27" s="53"/>
      <c r="L27" s="245"/>
      <c r="M27" s="50"/>
      <c r="N27" s="47">
        <f>ROUND((_11_A通院２３．０*_11・重度研修),0)</f>
        <v>433</v>
      </c>
      <c r="O27" s="48"/>
    </row>
    <row r="28" spans="1:15" ht="16.5" customHeight="1" x14ac:dyDescent="0.15">
      <c r="A28" s="41">
        <v>11</v>
      </c>
      <c r="B28" s="41">
        <v>9112</v>
      </c>
      <c r="C28" s="74" t="s">
        <v>14776</v>
      </c>
      <c r="D28" s="799"/>
      <c r="E28" s="796"/>
      <c r="F28" s="35"/>
      <c r="H28" s="281" t="s">
        <v>397</v>
      </c>
      <c r="I28" s="218" t="s">
        <v>398</v>
      </c>
      <c r="J28" s="46">
        <v>1</v>
      </c>
      <c r="K28" s="43"/>
      <c r="L28" s="220"/>
      <c r="M28" s="38"/>
      <c r="N28" s="47">
        <f>ROUND((ROUND((_11_A通院２３．０*_11・重度研修),0)*_11・２人),0)</f>
        <v>433</v>
      </c>
      <c r="O28" s="48"/>
    </row>
    <row r="29" spans="1:15" ht="16.5" customHeight="1" x14ac:dyDescent="0.15">
      <c r="A29" s="41">
        <v>11</v>
      </c>
      <c r="B29" s="41" t="s">
        <v>14777</v>
      </c>
      <c r="C29" s="74" t="s">
        <v>14778</v>
      </c>
      <c r="D29" s="799"/>
      <c r="E29" s="796"/>
      <c r="F29" s="35"/>
      <c r="H29" s="163"/>
      <c r="I29" s="45"/>
      <c r="J29" s="46"/>
      <c r="K29" s="734" t="s">
        <v>404</v>
      </c>
      <c r="L29" s="219" t="s">
        <v>398</v>
      </c>
      <c r="M29" s="50">
        <f>_11・初任</f>
        <v>0.7</v>
      </c>
      <c r="N29" s="47">
        <f>ROUND((ROUND((_11_A通院２３．０*_11・重度研修),0)*_11・初任),0)</f>
        <v>303</v>
      </c>
      <c r="O29" s="48"/>
    </row>
    <row r="30" spans="1:15" ht="16.5" customHeight="1" x14ac:dyDescent="0.15">
      <c r="A30" s="41">
        <v>11</v>
      </c>
      <c r="B30" s="41" t="s">
        <v>14779</v>
      </c>
      <c r="C30" s="74" t="s">
        <v>14780</v>
      </c>
      <c r="D30" s="274">
        <f>_11_A通院２３．０</f>
        <v>481</v>
      </c>
      <c r="E30" s="10" t="s">
        <v>392</v>
      </c>
      <c r="F30" s="35"/>
      <c r="H30" s="281" t="s">
        <v>397</v>
      </c>
      <c r="I30" s="218" t="s">
        <v>398</v>
      </c>
      <c r="J30" s="46">
        <v>1</v>
      </c>
      <c r="K30" s="706"/>
      <c r="L30" s="220"/>
      <c r="M30" s="38"/>
      <c r="N30" s="47">
        <f>ROUND((ROUND((ROUND((_11_A通院２３．０*_11・重度研修),0)*_11・２人),0)*_11・初任),0)</f>
        <v>303</v>
      </c>
      <c r="O30" s="48"/>
    </row>
    <row r="31" spans="1:15" ht="16.5" customHeight="1" x14ac:dyDescent="0.15">
      <c r="A31" s="41">
        <v>11</v>
      </c>
      <c r="B31" s="41">
        <v>9113</v>
      </c>
      <c r="C31" s="74" t="s">
        <v>14781</v>
      </c>
      <c r="D31" s="707" t="s">
        <v>477</v>
      </c>
      <c r="E31" s="798"/>
      <c r="F31" s="35"/>
      <c r="H31" s="163"/>
      <c r="I31" s="45"/>
      <c r="J31" s="46"/>
      <c r="K31" s="53"/>
      <c r="L31" s="245"/>
      <c r="M31" s="50"/>
      <c r="N31" s="47">
        <f>ROUND((_11_A通院２３．５*_11・重度研修),0)</f>
        <v>495</v>
      </c>
      <c r="O31" s="48"/>
    </row>
    <row r="32" spans="1:15" ht="16.5" customHeight="1" x14ac:dyDescent="0.15">
      <c r="A32" s="41">
        <v>11</v>
      </c>
      <c r="B32" s="41">
        <v>9114</v>
      </c>
      <c r="C32" s="74" t="s">
        <v>14782</v>
      </c>
      <c r="D32" s="799"/>
      <c r="E32" s="796"/>
      <c r="F32" s="35"/>
      <c r="H32" s="281" t="s">
        <v>397</v>
      </c>
      <c r="I32" s="218" t="s">
        <v>398</v>
      </c>
      <c r="J32" s="46">
        <v>1</v>
      </c>
      <c r="K32" s="43"/>
      <c r="L32" s="220"/>
      <c r="M32" s="38"/>
      <c r="N32" s="47">
        <f>ROUND((ROUND((_11_A通院２３．５*_11・重度研修),0)*_11・２人),0)</f>
        <v>495</v>
      </c>
      <c r="O32" s="48"/>
    </row>
    <row r="33" spans="1:15" ht="16.5" customHeight="1" x14ac:dyDescent="0.15">
      <c r="A33" s="41">
        <v>11</v>
      </c>
      <c r="B33" s="41" t="s">
        <v>14783</v>
      </c>
      <c r="C33" s="74" t="s">
        <v>14784</v>
      </c>
      <c r="D33" s="799"/>
      <c r="E33" s="796"/>
      <c r="F33" s="35"/>
      <c r="H33" s="163"/>
      <c r="I33" s="45"/>
      <c r="J33" s="46"/>
      <c r="K33" s="734" t="s">
        <v>404</v>
      </c>
      <c r="L33" s="219" t="s">
        <v>398</v>
      </c>
      <c r="M33" s="50">
        <f>_11・初任</f>
        <v>0.7</v>
      </c>
      <c r="N33" s="47">
        <f>ROUND((ROUND((_11_A通院２３．５*_11・重度研修),0)*_11・初任),0)</f>
        <v>347</v>
      </c>
      <c r="O33" s="48"/>
    </row>
    <row r="34" spans="1:15" ht="16.5" customHeight="1" x14ac:dyDescent="0.15">
      <c r="A34" s="41">
        <v>11</v>
      </c>
      <c r="B34" s="41" t="s">
        <v>14785</v>
      </c>
      <c r="C34" s="74" t="s">
        <v>14786</v>
      </c>
      <c r="D34" s="274">
        <f>_11_A通院２３．５</f>
        <v>550</v>
      </c>
      <c r="E34" s="10" t="s">
        <v>392</v>
      </c>
      <c r="F34" s="35"/>
      <c r="H34" s="281" t="s">
        <v>397</v>
      </c>
      <c r="I34" s="218" t="s">
        <v>398</v>
      </c>
      <c r="J34" s="46">
        <v>1</v>
      </c>
      <c r="K34" s="706"/>
      <c r="L34" s="220"/>
      <c r="M34" s="38"/>
      <c r="N34" s="47">
        <f>ROUND((ROUND((ROUND((_11_A通院２３．５*_11・重度研修),0)*_11・２人),0)*_11・初任),0)</f>
        <v>347</v>
      </c>
      <c r="O34" s="48"/>
    </row>
    <row r="35" spans="1:15" ht="16.5" customHeight="1" x14ac:dyDescent="0.15">
      <c r="A35" s="41">
        <v>11</v>
      </c>
      <c r="B35" s="41">
        <v>9115</v>
      </c>
      <c r="C35" s="74" t="s">
        <v>14787</v>
      </c>
      <c r="D35" s="707" t="s">
        <v>2761</v>
      </c>
      <c r="E35" s="798"/>
      <c r="F35" s="35"/>
      <c r="H35" s="163"/>
      <c r="I35" s="45"/>
      <c r="J35" s="46"/>
      <c r="K35" s="53"/>
      <c r="L35" s="245"/>
      <c r="M35" s="50"/>
      <c r="N35" s="47">
        <f>ROUND((_11_A通院２４．０*_11・重度研修),0)</f>
        <v>557</v>
      </c>
      <c r="O35" s="48"/>
    </row>
    <row r="36" spans="1:15" ht="16.5" customHeight="1" x14ac:dyDescent="0.15">
      <c r="A36" s="41">
        <v>11</v>
      </c>
      <c r="B36" s="41">
        <v>9116</v>
      </c>
      <c r="C36" s="74" t="s">
        <v>14788</v>
      </c>
      <c r="D36" s="799"/>
      <c r="E36" s="796"/>
      <c r="F36" s="35"/>
      <c r="H36" s="281" t="s">
        <v>397</v>
      </c>
      <c r="I36" s="218" t="s">
        <v>398</v>
      </c>
      <c r="J36" s="46">
        <v>1</v>
      </c>
      <c r="K36" s="43"/>
      <c r="L36" s="220"/>
      <c r="M36" s="38"/>
      <c r="N36" s="47">
        <f>ROUND((ROUND((_11_A通院２４．０*_11・重度研修),0)*_11・２人),0)</f>
        <v>557</v>
      </c>
      <c r="O36" s="48"/>
    </row>
    <row r="37" spans="1:15" ht="16.5" customHeight="1" x14ac:dyDescent="0.15">
      <c r="A37" s="41">
        <v>11</v>
      </c>
      <c r="B37" s="41" t="s">
        <v>14789</v>
      </c>
      <c r="C37" s="74" t="s">
        <v>14790</v>
      </c>
      <c r="D37" s="799"/>
      <c r="E37" s="796"/>
      <c r="F37" s="35"/>
      <c r="H37" s="163"/>
      <c r="I37" s="45"/>
      <c r="J37" s="46"/>
      <c r="K37" s="734" t="s">
        <v>404</v>
      </c>
      <c r="L37" s="219" t="s">
        <v>398</v>
      </c>
      <c r="M37" s="50">
        <f>_11・初任</f>
        <v>0.7</v>
      </c>
      <c r="N37" s="47">
        <f>ROUND((ROUND((_11_A通院２４．０*_11・重度研修),0)*_11・初任),0)</f>
        <v>390</v>
      </c>
      <c r="O37" s="48"/>
    </row>
    <row r="38" spans="1:15" ht="16.5" customHeight="1" x14ac:dyDescent="0.15">
      <c r="A38" s="41">
        <v>11</v>
      </c>
      <c r="B38" s="41" t="s">
        <v>14791</v>
      </c>
      <c r="C38" s="74" t="s">
        <v>14792</v>
      </c>
      <c r="D38" s="274">
        <f>_11_A通院２４．０</f>
        <v>619</v>
      </c>
      <c r="E38" s="10" t="s">
        <v>392</v>
      </c>
      <c r="F38" s="35"/>
      <c r="H38" s="281" t="s">
        <v>397</v>
      </c>
      <c r="I38" s="218" t="s">
        <v>398</v>
      </c>
      <c r="J38" s="46">
        <v>1</v>
      </c>
      <c r="K38" s="706"/>
      <c r="L38" s="220"/>
      <c r="M38" s="38"/>
      <c r="N38" s="47">
        <f>ROUND((ROUND((ROUND((_11_A通院２４．０*_11・重度研修),0)*_11・２人),0)*_11・初任),0)</f>
        <v>390</v>
      </c>
      <c r="O38" s="48"/>
    </row>
    <row r="39" spans="1:15" ht="16.5" customHeight="1" x14ac:dyDescent="0.15">
      <c r="A39" s="41">
        <v>11</v>
      </c>
      <c r="B39" s="41">
        <v>9117</v>
      </c>
      <c r="C39" s="74" t="s">
        <v>14793</v>
      </c>
      <c r="D39" s="707" t="s">
        <v>503</v>
      </c>
      <c r="E39" s="798"/>
      <c r="F39" s="35"/>
      <c r="H39" s="163"/>
      <c r="I39" s="45"/>
      <c r="J39" s="46"/>
      <c r="K39" s="53"/>
      <c r="L39" s="245"/>
      <c r="M39" s="50"/>
      <c r="N39" s="47">
        <f>ROUND((_11_A通院２４．５*_11・重度研修),0)</f>
        <v>619</v>
      </c>
      <c r="O39" s="48"/>
    </row>
    <row r="40" spans="1:15" ht="16.5" customHeight="1" x14ac:dyDescent="0.15">
      <c r="A40" s="41">
        <v>11</v>
      </c>
      <c r="B40" s="41">
        <v>9118</v>
      </c>
      <c r="C40" s="74" t="s">
        <v>14794</v>
      </c>
      <c r="D40" s="799"/>
      <c r="E40" s="796"/>
      <c r="F40" s="35"/>
      <c r="H40" s="281" t="s">
        <v>397</v>
      </c>
      <c r="I40" s="218" t="s">
        <v>398</v>
      </c>
      <c r="J40" s="46">
        <v>1</v>
      </c>
      <c r="K40" s="43"/>
      <c r="L40" s="220"/>
      <c r="M40" s="38"/>
      <c r="N40" s="47">
        <f>ROUND((ROUND((_11_A通院２４．５*_11・重度研修),0)*_11・２人),0)</f>
        <v>619</v>
      </c>
      <c r="O40" s="48"/>
    </row>
    <row r="41" spans="1:15" ht="16.5" customHeight="1" x14ac:dyDescent="0.15">
      <c r="A41" s="41">
        <v>11</v>
      </c>
      <c r="B41" s="41" t="s">
        <v>14795</v>
      </c>
      <c r="C41" s="74" t="s">
        <v>14796</v>
      </c>
      <c r="D41" s="799"/>
      <c r="E41" s="796"/>
      <c r="F41" s="35"/>
      <c r="H41" s="163"/>
      <c r="I41" s="45"/>
      <c r="J41" s="46"/>
      <c r="K41" s="734" t="s">
        <v>404</v>
      </c>
      <c r="L41" s="219" t="s">
        <v>398</v>
      </c>
      <c r="M41" s="50">
        <f>_11・初任</f>
        <v>0.7</v>
      </c>
      <c r="N41" s="47">
        <f>ROUND((ROUND((_11_A通院２４．５*_11・重度研修),0)*_11・初任),0)</f>
        <v>433</v>
      </c>
      <c r="O41" s="48"/>
    </row>
    <row r="42" spans="1:15" ht="16.5" customHeight="1" x14ac:dyDescent="0.15">
      <c r="A42" s="41">
        <v>11</v>
      </c>
      <c r="B42" s="41" t="s">
        <v>14797</v>
      </c>
      <c r="C42" s="74" t="s">
        <v>14798</v>
      </c>
      <c r="D42" s="274">
        <f>_11_A通院２４．５</f>
        <v>688</v>
      </c>
      <c r="E42" s="10" t="s">
        <v>392</v>
      </c>
      <c r="F42" s="35"/>
      <c r="H42" s="281" t="s">
        <v>397</v>
      </c>
      <c r="I42" s="218" t="s">
        <v>398</v>
      </c>
      <c r="J42" s="46">
        <v>1</v>
      </c>
      <c r="K42" s="706"/>
      <c r="L42" s="220"/>
      <c r="M42" s="38"/>
      <c r="N42" s="47">
        <f>ROUND((ROUND((ROUND((_11_A通院２４．５*_11・重度研修),0)*_11・２人),0)*_11・初任),0)</f>
        <v>433</v>
      </c>
      <c r="O42" s="48"/>
    </row>
    <row r="43" spans="1:15" ht="16.5" customHeight="1" x14ac:dyDescent="0.15">
      <c r="A43" s="41">
        <v>11</v>
      </c>
      <c r="B43" s="41">
        <v>9119</v>
      </c>
      <c r="C43" s="74" t="s">
        <v>14799</v>
      </c>
      <c r="D43" s="707" t="s">
        <v>516</v>
      </c>
      <c r="E43" s="798"/>
      <c r="F43" s="35"/>
      <c r="H43" s="163"/>
      <c r="I43" s="45"/>
      <c r="J43" s="46"/>
      <c r="K43" s="53"/>
      <c r="L43" s="245"/>
      <c r="M43" s="50"/>
      <c r="N43" s="47">
        <f>ROUND((_11_A通院２５．０*_11・重度研修),0)</f>
        <v>681</v>
      </c>
      <c r="O43" s="48"/>
    </row>
    <row r="44" spans="1:15" ht="16.5" customHeight="1" x14ac:dyDescent="0.15">
      <c r="A44" s="41">
        <v>11</v>
      </c>
      <c r="B44" s="41">
        <v>9120</v>
      </c>
      <c r="C44" s="74" t="s">
        <v>14800</v>
      </c>
      <c r="D44" s="799"/>
      <c r="E44" s="796"/>
      <c r="F44" s="35"/>
      <c r="H44" s="281" t="s">
        <v>397</v>
      </c>
      <c r="I44" s="218" t="s">
        <v>398</v>
      </c>
      <c r="J44" s="46">
        <v>1</v>
      </c>
      <c r="K44" s="43"/>
      <c r="L44" s="220"/>
      <c r="M44" s="38"/>
      <c r="N44" s="47">
        <f>ROUND((ROUND((_11_A通院２５．０*_11・重度研修),0)*_11・２人),0)</f>
        <v>681</v>
      </c>
      <c r="O44" s="48"/>
    </row>
    <row r="45" spans="1:15" ht="16.5" customHeight="1" x14ac:dyDescent="0.15">
      <c r="A45" s="41">
        <v>11</v>
      </c>
      <c r="B45" s="41" t="s">
        <v>14801</v>
      </c>
      <c r="C45" s="74" t="s">
        <v>14802</v>
      </c>
      <c r="D45" s="799"/>
      <c r="E45" s="796"/>
      <c r="F45" s="35"/>
      <c r="H45" s="163"/>
      <c r="I45" s="45"/>
      <c r="J45" s="46"/>
      <c r="K45" s="734" t="s">
        <v>404</v>
      </c>
      <c r="L45" s="219" t="s">
        <v>398</v>
      </c>
      <c r="M45" s="50">
        <f>_11・初任</f>
        <v>0.7</v>
      </c>
      <c r="N45" s="47">
        <f>ROUND((ROUND((_11_A通院２５．０*_11・重度研修),0)*_11・初任),0)</f>
        <v>477</v>
      </c>
      <c r="O45" s="48"/>
    </row>
    <row r="46" spans="1:15" ht="16.5" customHeight="1" x14ac:dyDescent="0.15">
      <c r="A46" s="41">
        <v>11</v>
      </c>
      <c r="B46" s="41" t="s">
        <v>14803</v>
      </c>
      <c r="C46" s="74" t="s">
        <v>14804</v>
      </c>
      <c r="D46" s="274">
        <f>_11_A通院２５．０</f>
        <v>757</v>
      </c>
      <c r="E46" s="10" t="s">
        <v>392</v>
      </c>
      <c r="F46" s="35"/>
      <c r="H46" s="281" t="s">
        <v>397</v>
      </c>
      <c r="I46" s="218" t="s">
        <v>398</v>
      </c>
      <c r="J46" s="46">
        <v>1</v>
      </c>
      <c r="K46" s="706"/>
      <c r="L46" s="220"/>
      <c r="M46" s="38"/>
      <c r="N46" s="47">
        <f>ROUND((ROUND((ROUND((_11_A通院２５．０*_11・重度研修),0)*_11・２人),0)*_11・初任),0)</f>
        <v>477</v>
      </c>
      <c r="O46" s="48"/>
    </row>
    <row r="47" spans="1:15" ht="16.5" customHeight="1" x14ac:dyDescent="0.15">
      <c r="A47" s="41">
        <v>11</v>
      </c>
      <c r="B47" s="41">
        <v>9121</v>
      </c>
      <c r="C47" s="74" t="s">
        <v>14805</v>
      </c>
      <c r="D47" s="707" t="s">
        <v>529</v>
      </c>
      <c r="E47" s="798"/>
      <c r="F47" s="35"/>
      <c r="H47" s="163"/>
      <c r="I47" s="45"/>
      <c r="J47" s="46"/>
      <c r="K47" s="53"/>
      <c r="L47" s="245"/>
      <c r="M47" s="50"/>
      <c r="N47" s="47">
        <f>ROUND((_11_A通院２５．５*_11・重度研修),0)</f>
        <v>743</v>
      </c>
      <c r="O47" s="48"/>
    </row>
    <row r="48" spans="1:15" ht="16.5" customHeight="1" x14ac:dyDescent="0.15">
      <c r="A48" s="41">
        <v>11</v>
      </c>
      <c r="B48" s="41">
        <v>9122</v>
      </c>
      <c r="C48" s="74" t="s">
        <v>14806</v>
      </c>
      <c r="D48" s="799"/>
      <c r="E48" s="796"/>
      <c r="F48" s="35"/>
      <c r="H48" s="281" t="s">
        <v>397</v>
      </c>
      <c r="I48" s="218" t="s">
        <v>398</v>
      </c>
      <c r="J48" s="46">
        <v>1</v>
      </c>
      <c r="K48" s="43"/>
      <c r="L48" s="220"/>
      <c r="M48" s="38"/>
      <c r="N48" s="47">
        <f>ROUND((ROUND((_11_A通院２５．５*_11・重度研修),0)*_11・２人),0)</f>
        <v>743</v>
      </c>
      <c r="O48" s="48"/>
    </row>
    <row r="49" spans="1:15" ht="16.5" customHeight="1" x14ac:dyDescent="0.15">
      <c r="A49" s="41">
        <v>11</v>
      </c>
      <c r="B49" s="41" t="s">
        <v>14807</v>
      </c>
      <c r="C49" s="74" t="s">
        <v>14808</v>
      </c>
      <c r="D49" s="799"/>
      <c r="E49" s="796"/>
      <c r="F49" s="35"/>
      <c r="H49" s="163"/>
      <c r="I49" s="45"/>
      <c r="J49" s="46"/>
      <c r="K49" s="734" t="s">
        <v>404</v>
      </c>
      <c r="L49" s="219" t="s">
        <v>398</v>
      </c>
      <c r="M49" s="50">
        <f>_11・初任</f>
        <v>0.7</v>
      </c>
      <c r="N49" s="47">
        <f>ROUND((ROUND((_11_A通院２５．５*_11・重度研修),0)*_11・初任),0)</f>
        <v>520</v>
      </c>
      <c r="O49" s="48"/>
    </row>
    <row r="50" spans="1:15" ht="16.5" customHeight="1" x14ac:dyDescent="0.15">
      <c r="A50" s="41">
        <v>11</v>
      </c>
      <c r="B50" s="41" t="s">
        <v>14809</v>
      </c>
      <c r="C50" s="74" t="s">
        <v>14810</v>
      </c>
      <c r="D50" s="274">
        <f>_11_A通院２５．５</f>
        <v>826</v>
      </c>
      <c r="E50" s="10" t="s">
        <v>392</v>
      </c>
      <c r="F50" s="35"/>
      <c r="H50" s="281" t="s">
        <v>397</v>
      </c>
      <c r="I50" s="218" t="s">
        <v>398</v>
      </c>
      <c r="J50" s="46">
        <v>1</v>
      </c>
      <c r="K50" s="706"/>
      <c r="L50" s="220"/>
      <c r="M50" s="38"/>
      <c r="N50" s="47">
        <f>ROUND((ROUND((ROUND((_11_A通院２５．５*_11・重度研修),0)*_11・２人),0)*_11・初任),0)</f>
        <v>520</v>
      </c>
      <c r="O50" s="48"/>
    </row>
    <row r="51" spans="1:15" ht="16.5" customHeight="1" x14ac:dyDescent="0.15">
      <c r="A51" s="41">
        <v>11</v>
      </c>
      <c r="B51" s="41">
        <v>9123</v>
      </c>
      <c r="C51" s="74" t="s">
        <v>14811</v>
      </c>
      <c r="D51" s="707" t="s">
        <v>542</v>
      </c>
      <c r="E51" s="798"/>
      <c r="F51" s="35"/>
      <c r="H51" s="163"/>
      <c r="I51" s="45"/>
      <c r="J51" s="46"/>
      <c r="K51" s="53"/>
      <c r="L51" s="245"/>
      <c r="M51" s="50"/>
      <c r="N51" s="47">
        <f>ROUND((_11_A通院２６．０*_11・重度研修),0)</f>
        <v>806</v>
      </c>
      <c r="O51" s="48"/>
    </row>
    <row r="52" spans="1:15" ht="16.5" customHeight="1" x14ac:dyDescent="0.15">
      <c r="A52" s="41">
        <v>11</v>
      </c>
      <c r="B52" s="41">
        <v>9124</v>
      </c>
      <c r="C52" s="74" t="s">
        <v>14812</v>
      </c>
      <c r="D52" s="799"/>
      <c r="E52" s="796"/>
      <c r="F52" s="35"/>
      <c r="H52" s="281" t="s">
        <v>397</v>
      </c>
      <c r="I52" s="218" t="s">
        <v>398</v>
      </c>
      <c r="J52" s="46">
        <v>1</v>
      </c>
      <c r="K52" s="43"/>
      <c r="L52" s="220"/>
      <c r="M52" s="38"/>
      <c r="N52" s="47">
        <f>ROUND((ROUND((_11_A通院２６．０*_11・重度研修),0)*_11・２人),0)</f>
        <v>806</v>
      </c>
      <c r="O52" s="48"/>
    </row>
    <row r="53" spans="1:15" ht="16.5" customHeight="1" x14ac:dyDescent="0.15">
      <c r="A53" s="41">
        <v>11</v>
      </c>
      <c r="B53" s="41" t="s">
        <v>14813</v>
      </c>
      <c r="C53" s="74" t="s">
        <v>14814</v>
      </c>
      <c r="D53" s="799"/>
      <c r="E53" s="796"/>
      <c r="F53" s="35"/>
      <c r="H53" s="163"/>
      <c r="I53" s="45"/>
      <c r="J53" s="46"/>
      <c r="K53" s="734" t="s">
        <v>404</v>
      </c>
      <c r="L53" s="219" t="s">
        <v>398</v>
      </c>
      <c r="M53" s="50">
        <f>_11・初任</f>
        <v>0.7</v>
      </c>
      <c r="N53" s="47">
        <f>ROUND((ROUND((_11_A通院２６．０*_11・重度研修),0)*_11・初任),0)</f>
        <v>564</v>
      </c>
      <c r="O53" s="48"/>
    </row>
    <row r="54" spans="1:15" ht="16.5" customHeight="1" x14ac:dyDescent="0.15">
      <c r="A54" s="41">
        <v>11</v>
      </c>
      <c r="B54" s="41" t="s">
        <v>14815</v>
      </c>
      <c r="C54" s="74" t="s">
        <v>14816</v>
      </c>
      <c r="D54" s="274">
        <f>_11_A通院２６．０</f>
        <v>895</v>
      </c>
      <c r="E54" s="10" t="s">
        <v>392</v>
      </c>
      <c r="F54" s="35"/>
      <c r="H54" s="281" t="s">
        <v>397</v>
      </c>
      <c r="I54" s="218" t="s">
        <v>398</v>
      </c>
      <c r="J54" s="46">
        <v>1</v>
      </c>
      <c r="K54" s="706"/>
      <c r="L54" s="220"/>
      <c r="M54" s="38"/>
      <c r="N54" s="47">
        <f>ROUND((ROUND((ROUND((_11_A通院２６．０*_11・重度研修),0)*_11・２人),0)*_11・初任),0)</f>
        <v>564</v>
      </c>
      <c r="O54" s="48"/>
    </row>
    <row r="55" spans="1:15" ht="16.5" customHeight="1" x14ac:dyDescent="0.15">
      <c r="A55" s="41">
        <v>11</v>
      </c>
      <c r="B55" s="41">
        <v>9125</v>
      </c>
      <c r="C55" s="74" t="s">
        <v>14817</v>
      </c>
      <c r="D55" s="707" t="s">
        <v>555</v>
      </c>
      <c r="E55" s="798"/>
      <c r="F55" s="35"/>
      <c r="H55" s="163"/>
      <c r="I55" s="45"/>
      <c r="J55" s="46"/>
      <c r="K55" s="53"/>
      <c r="L55" s="245"/>
      <c r="M55" s="50"/>
      <c r="N55" s="47">
        <f>ROUND((_11_A通院２６．５*_11・重度研修),0)</f>
        <v>868</v>
      </c>
      <c r="O55" s="48"/>
    </row>
    <row r="56" spans="1:15" ht="16.5" customHeight="1" x14ac:dyDescent="0.15">
      <c r="A56" s="41">
        <v>11</v>
      </c>
      <c r="B56" s="41">
        <v>9126</v>
      </c>
      <c r="C56" s="74" t="s">
        <v>14818</v>
      </c>
      <c r="D56" s="799"/>
      <c r="E56" s="796"/>
      <c r="F56" s="35"/>
      <c r="H56" s="281" t="s">
        <v>397</v>
      </c>
      <c r="I56" s="218" t="s">
        <v>398</v>
      </c>
      <c r="J56" s="46">
        <v>1</v>
      </c>
      <c r="K56" s="43"/>
      <c r="L56" s="220"/>
      <c r="M56" s="38"/>
      <c r="N56" s="47">
        <f>ROUND((ROUND((_11_A通院２６．５*_11・重度研修),0)*_11・２人),0)</f>
        <v>868</v>
      </c>
      <c r="O56" s="48"/>
    </row>
    <row r="57" spans="1:15" ht="16.5" customHeight="1" x14ac:dyDescent="0.15">
      <c r="A57" s="41">
        <v>11</v>
      </c>
      <c r="B57" s="41" t="s">
        <v>14819</v>
      </c>
      <c r="C57" s="74" t="s">
        <v>14820</v>
      </c>
      <c r="D57" s="799"/>
      <c r="E57" s="796"/>
      <c r="F57" s="35"/>
      <c r="H57" s="163"/>
      <c r="I57" s="45"/>
      <c r="J57" s="46"/>
      <c r="K57" s="734" t="s">
        <v>404</v>
      </c>
      <c r="L57" s="219" t="s">
        <v>398</v>
      </c>
      <c r="M57" s="50">
        <f>_11・初任</f>
        <v>0.7</v>
      </c>
      <c r="N57" s="47">
        <f>ROUND((ROUND((_11_A通院２６．５*_11・重度研修),0)*_11・初任),0)</f>
        <v>608</v>
      </c>
      <c r="O57" s="48"/>
    </row>
    <row r="58" spans="1:15" ht="16.5" customHeight="1" x14ac:dyDescent="0.15">
      <c r="A58" s="41">
        <v>11</v>
      </c>
      <c r="B58" s="41" t="s">
        <v>14821</v>
      </c>
      <c r="C58" s="74" t="s">
        <v>14822</v>
      </c>
      <c r="D58" s="274">
        <f>_11_A通院２６．５</f>
        <v>964</v>
      </c>
      <c r="E58" s="10" t="s">
        <v>392</v>
      </c>
      <c r="F58" s="35"/>
      <c r="H58" s="281" t="s">
        <v>397</v>
      </c>
      <c r="I58" s="218" t="s">
        <v>398</v>
      </c>
      <c r="J58" s="46">
        <v>1</v>
      </c>
      <c r="K58" s="706"/>
      <c r="L58" s="220"/>
      <c r="M58" s="38"/>
      <c r="N58" s="47">
        <f>ROUND((ROUND((ROUND((_11_A通院２６．５*_11・重度研修),0)*_11・２人),0)*_11・初任),0)</f>
        <v>608</v>
      </c>
      <c r="O58" s="48"/>
    </row>
    <row r="59" spans="1:15" ht="16.5" customHeight="1" x14ac:dyDescent="0.15">
      <c r="A59" s="41">
        <v>11</v>
      </c>
      <c r="B59" s="41">
        <v>9127</v>
      </c>
      <c r="C59" s="74" t="s">
        <v>14823</v>
      </c>
      <c r="D59" s="707" t="s">
        <v>568</v>
      </c>
      <c r="E59" s="798"/>
      <c r="F59" s="35"/>
      <c r="H59" s="163"/>
      <c r="I59" s="45"/>
      <c r="J59" s="46"/>
      <c r="K59" s="53"/>
      <c r="L59" s="245"/>
      <c r="M59" s="50"/>
      <c r="N59" s="47">
        <f>ROUND((_11_A通院２７．０*_11・重度研修),0)</f>
        <v>930</v>
      </c>
      <c r="O59" s="48"/>
    </row>
    <row r="60" spans="1:15" ht="16.5" customHeight="1" x14ac:dyDescent="0.15">
      <c r="A60" s="41">
        <v>11</v>
      </c>
      <c r="B60" s="41">
        <v>9128</v>
      </c>
      <c r="C60" s="74" t="s">
        <v>14824</v>
      </c>
      <c r="D60" s="799"/>
      <c r="E60" s="796"/>
      <c r="F60" s="35"/>
      <c r="H60" s="281" t="s">
        <v>397</v>
      </c>
      <c r="I60" s="218" t="s">
        <v>398</v>
      </c>
      <c r="J60" s="46">
        <v>1</v>
      </c>
      <c r="K60" s="43"/>
      <c r="L60" s="220"/>
      <c r="M60" s="38"/>
      <c r="N60" s="47">
        <f>ROUND((ROUND((_11_A通院２７．０*_11・重度研修),0)*_11・２人),0)</f>
        <v>930</v>
      </c>
      <c r="O60" s="48"/>
    </row>
    <row r="61" spans="1:15" ht="16.5" customHeight="1" x14ac:dyDescent="0.15">
      <c r="A61" s="41">
        <v>11</v>
      </c>
      <c r="B61" s="41" t="s">
        <v>14825</v>
      </c>
      <c r="C61" s="74" t="s">
        <v>14826</v>
      </c>
      <c r="D61" s="799"/>
      <c r="E61" s="796"/>
      <c r="F61" s="35"/>
      <c r="H61" s="163"/>
      <c r="I61" s="45"/>
      <c r="J61" s="46"/>
      <c r="K61" s="734" t="s">
        <v>404</v>
      </c>
      <c r="L61" s="219" t="s">
        <v>398</v>
      </c>
      <c r="M61" s="50">
        <f>_11・初任</f>
        <v>0.7</v>
      </c>
      <c r="N61" s="47">
        <f>ROUND((ROUND((_11_A通院２７．０*_11・重度研修),0)*_11・初任),0)</f>
        <v>651</v>
      </c>
      <c r="O61" s="48"/>
    </row>
    <row r="62" spans="1:15" ht="16.5" customHeight="1" x14ac:dyDescent="0.15">
      <c r="A62" s="41">
        <v>11</v>
      </c>
      <c r="B62" s="41" t="s">
        <v>14827</v>
      </c>
      <c r="C62" s="74" t="s">
        <v>14828</v>
      </c>
      <c r="D62" s="276">
        <f>_11_A通院２７．０</f>
        <v>1033</v>
      </c>
      <c r="E62" s="190" t="s">
        <v>392</v>
      </c>
      <c r="F62" s="35"/>
      <c r="G62" s="57"/>
      <c r="H62" s="281" t="s">
        <v>397</v>
      </c>
      <c r="I62" s="218" t="s">
        <v>398</v>
      </c>
      <c r="J62" s="46">
        <v>1</v>
      </c>
      <c r="K62" s="706"/>
      <c r="L62" s="220"/>
      <c r="M62" s="38"/>
      <c r="N62" s="47">
        <f>ROUND((ROUND((ROUND((_11_A通院２７．０*_11・重度研修),0)*_11・２人),0)*_11・初任),0)</f>
        <v>651</v>
      </c>
      <c r="O62" s="48"/>
    </row>
    <row r="63" spans="1:15" ht="16.5" customHeight="1" x14ac:dyDescent="0.15">
      <c r="A63" s="33">
        <v>11</v>
      </c>
      <c r="B63" s="33">
        <v>9129</v>
      </c>
      <c r="C63" s="34" t="s">
        <v>14829</v>
      </c>
      <c r="D63" s="709" t="s">
        <v>581</v>
      </c>
      <c r="E63" s="796"/>
      <c r="F63" s="35"/>
      <c r="G63" s="57"/>
      <c r="H63" s="43"/>
      <c r="I63" s="37"/>
      <c r="J63" s="38"/>
      <c r="K63" s="35"/>
      <c r="N63" s="39">
        <f>ROUND((_11_A通院２７．５*_11・重度研修),0)</f>
        <v>992</v>
      </c>
      <c r="O63" s="48"/>
    </row>
    <row r="64" spans="1:15" ht="16.5" customHeight="1" x14ac:dyDescent="0.15">
      <c r="A64" s="41">
        <v>11</v>
      </c>
      <c r="B64" s="41">
        <v>9130</v>
      </c>
      <c r="C64" s="74" t="s">
        <v>14830</v>
      </c>
      <c r="D64" s="799"/>
      <c r="E64" s="796"/>
      <c r="F64" s="35"/>
      <c r="H64" s="281" t="s">
        <v>397</v>
      </c>
      <c r="I64" s="218" t="s">
        <v>398</v>
      </c>
      <c r="J64" s="46">
        <v>1</v>
      </c>
      <c r="K64" s="43"/>
      <c r="L64" s="220"/>
      <c r="M64" s="38"/>
      <c r="N64" s="47">
        <f>ROUND((ROUND((_11_A通院２７．５*_11・重度研修),0)*_11・２人),0)</f>
        <v>992</v>
      </c>
      <c r="O64" s="48"/>
    </row>
    <row r="65" spans="1:15" ht="16.5" customHeight="1" x14ac:dyDescent="0.15">
      <c r="A65" s="41">
        <v>11</v>
      </c>
      <c r="B65" s="41" t="s">
        <v>14831</v>
      </c>
      <c r="C65" s="74" t="s">
        <v>14832</v>
      </c>
      <c r="D65" s="799"/>
      <c r="E65" s="796"/>
      <c r="F65" s="35"/>
      <c r="H65" s="163"/>
      <c r="I65" s="45"/>
      <c r="J65" s="46"/>
      <c r="K65" s="734" t="s">
        <v>404</v>
      </c>
      <c r="L65" s="219" t="s">
        <v>398</v>
      </c>
      <c r="M65" s="50">
        <f>_11・初任</f>
        <v>0.7</v>
      </c>
      <c r="N65" s="47">
        <f>ROUND((ROUND((_11_A通院２７．５*_11・重度研修),0)*_11・初任),0)</f>
        <v>694</v>
      </c>
      <c r="O65" s="48"/>
    </row>
    <row r="66" spans="1:15" ht="16.5" customHeight="1" x14ac:dyDescent="0.15">
      <c r="A66" s="41">
        <v>11</v>
      </c>
      <c r="B66" s="41" t="s">
        <v>14833</v>
      </c>
      <c r="C66" s="74" t="s">
        <v>14834</v>
      </c>
      <c r="D66" s="274">
        <f>_11_A通院２７．５</f>
        <v>1102</v>
      </c>
      <c r="E66" s="10" t="s">
        <v>392</v>
      </c>
      <c r="F66" s="35"/>
      <c r="H66" s="281" t="s">
        <v>397</v>
      </c>
      <c r="I66" s="218" t="s">
        <v>398</v>
      </c>
      <c r="J66" s="46">
        <v>1</v>
      </c>
      <c r="K66" s="706"/>
      <c r="L66" s="220"/>
      <c r="M66" s="38"/>
      <c r="N66" s="47">
        <f>ROUND((ROUND((ROUND((_11_A通院２７．５*_11・重度研修),0)*_11・２人),0)*_11・初任),0)</f>
        <v>694</v>
      </c>
      <c r="O66" s="48"/>
    </row>
    <row r="67" spans="1:15" ht="16.5" customHeight="1" x14ac:dyDescent="0.15">
      <c r="A67" s="41">
        <v>11</v>
      </c>
      <c r="B67" s="41">
        <v>9131</v>
      </c>
      <c r="C67" s="74" t="s">
        <v>14835</v>
      </c>
      <c r="D67" s="707" t="s">
        <v>594</v>
      </c>
      <c r="E67" s="798"/>
      <c r="F67" s="35"/>
      <c r="H67" s="163"/>
      <c r="I67" s="45"/>
      <c r="J67" s="46"/>
      <c r="K67" s="53"/>
      <c r="L67" s="245"/>
      <c r="M67" s="50"/>
      <c r="N67" s="47">
        <f>ROUND((_11_A通院２８．０*_11・重度研修),0)</f>
        <v>1054</v>
      </c>
      <c r="O67" s="48"/>
    </row>
    <row r="68" spans="1:15" ht="16.5" customHeight="1" x14ac:dyDescent="0.15">
      <c r="A68" s="41">
        <v>11</v>
      </c>
      <c r="B68" s="41">
        <v>9132</v>
      </c>
      <c r="C68" s="74" t="s">
        <v>14836</v>
      </c>
      <c r="D68" s="799"/>
      <c r="E68" s="796"/>
      <c r="F68" s="35"/>
      <c r="H68" s="281" t="s">
        <v>397</v>
      </c>
      <c r="I68" s="218" t="s">
        <v>398</v>
      </c>
      <c r="J68" s="46">
        <v>1</v>
      </c>
      <c r="K68" s="43"/>
      <c r="L68" s="220"/>
      <c r="M68" s="38"/>
      <c r="N68" s="47">
        <f>ROUND((ROUND((_11_A通院２８．０*_11・重度研修),0)*_11・２人),0)</f>
        <v>1054</v>
      </c>
      <c r="O68" s="48"/>
    </row>
    <row r="69" spans="1:15" ht="16.5" customHeight="1" x14ac:dyDescent="0.15">
      <c r="A69" s="41">
        <v>11</v>
      </c>
      <c r="B69" s="41" t="s">
        <v>14837</v>
      </c>
      <c r="C69" s="74" t="s">
        <v>14838</v>
      </c>
      <c r="D69" s="799"/>
      <c r="E69" s="796"/>
      <c r="F69" s="35"/>
      <c r="H69" s="163"/>
      <c r="I69" s="45"/>
      <c r="J69" s="46"/>
      <c r="K69" s="734" t="s">
        <v>404</v>
      </c>
      <c r="L69" s="219" t="s">
        <v>398</v>
      </c>
      <c r="M69" s="50">
        <f>_11・初任</f>
        <v>0.7</v>
      </c>
      <c r="N69" s="47">
        <f>ROUND((ROUND((_11_A通院２８．０*_11・重度研修),0)*_11・初任),0)</f>
        <v>738</v>
      </c>
      <c r="O69" s="48"/>
    </row>
    <row r="70" spans="1:15" ht="16.5" customHeight="1" x14ac:dyDescent="0.15">
      <c r="A70" s="41">
        <v>11</v>
      </c>
      <c r="B70" s="41" t="s">
        <v>14839</v>
      </c>
      <c r="C70" s="74" t="s">
        <v>14840</v>
      </c>
      <c r="D70" s="276">
        <f>_11_A通院２８．０</f>
        <v>1171</v>
      </c>
      <c r="E70" s="134" t="s">
        <v>392</v>
      </c>
      <c r="F70" s="43"/>
      <c r="G70" s="79"/>
      <c r="H70" s="281" t="s">
        <v>397</v>
      </c>
      <c r="I70" s="218" t="s">
        <v>398</v>
      </c>
      <c r="J70" s="46">
        <v>1</v>
      </c>
      <c r="K70" s="706"/>
      <c r="L70" s="220"/>
      <c r="M70" s="38"/>
      <c r="N70" s="47">
        <f>ROUND((ROUND((ROUND((_11_A通院２８．０*_11・重度研修),0)*_11・２人),0)*_11・初任),0)</f>
        <v>738</v>
      </c>
      <c r="O70" s="63"/>
    </row>
    <row r="71" spans="1:15" ht="16.5" customHeight="1" x14ac:dyDescent="0.15">
      <c r="A71" s="41">
        <v>11</v>
      </c>
      <c r="B71" s="41">
        <v>9133</v>
      </c>
      <c r="C71" s="74" t="s">
        <v>14841</v>
      </c>
      <c r="D71" s="707" t="s">
        <v>607</v>
      </c>
      <c r="E71" s="798"/>
      <c r="F71" s="819" t="s">
        <v>11707</v>
      </c>
      <c r="G71" s="820"/>
      <c r="H71" s="163"/>
      <c r="I71" s="45"/>
      <c r="J71" s="46"/>
      <c r="K71" s="53"/>
      <c r="L71" s="245"/>
      <c r="M71" s="50"/>
      <c r="N71" s="47">
        <f>ROUND((_11_A通院２８．５*_11・重度研修),0)</f>
        <v>1116</v>
      </c>
      <c r="O71" s="48"/>
    </row>
    <row r="72" spans="1:15" ht="16.5" customHeight="1" x14ac:dyDescent="0.15">
      <c r="A72" s="41">
        <v>11</v>
      </c>
      <c r="B72" s="41">
        <v>9134</v>
      </c>
      <c r="C72" s="74" t="s">
        <v>14842</v>
      </c>
      <c r="D72" s="799"/>
      <c r="E72" s="796"/>
      <c r="F72" s="821"/>
      <c r="G72" s="820"/>
      <c r="H72" s="281" t="s">
        <v>397</v>
      </c>
      <c r="I72" s="218" t="s">
        <v>398</v>
      </c>
      <c r="J72" s="46">
        <v>1</v>
      </c>
      <c r="K72" s="43"/>
      <c r="L72" s="220"/>
      <c r="M72" s="38"/>
      <c r="N72" s="47">
        <f>ROUND((ROUND((_11_A通院２８．５*_11・重度研修),0)*_11・２人),0)</f>
        <v>1116</v>
      </c>
      <c r="O72" s="48"/>
    </row>
    <row r="73" spans="1:15" ht="16.5" customHeight="1" x14ac:dyDescent="0.15">
      <c r="A73" s="41">
        <v>11</v>
      </c>
      <c r="B73" s="41" t="s">
        <v>14843</v>
      </c>
      <c r="C73" s="74" t="s">
        <v>14844</v>
      </c>
      <c r="D73" s="799"/>
      <c r="E73" s="796"/>
      <c r="F73" s="822"/>
      <c r="G73" s="823"/>
      <c r="H73" s="163"/>
      <c r="I73" s="45"/>
      <c r="J73" s="46"/>
      <c r="K73" s="734" t="s">
        <v>404</v>
      </c>
      <c r="L73" s="219" t="s">
        <v>398</v>
      </c>
      <c r="M73" s="50">
        <f>_11・初任</f>
        <v>0.7</v>
      </c>
      <c r="N73" s="47">
        <f>ROUND((ROUND((_11_A通院２８．５*_11・重度研修),0)*_11・初任),0)</f>
        <v>781</v>
      </c>
      <c r="O73" s="48"/>
    </row>
    <row r="74" spans="1:15" ht="16.5" customHeight="1" x14ac:dyDescent="0.15">
      <c r="A74" s="41">
        <v>11</v>
      </c>
      <c r="B74" s="41" t="s">
        <v>14845</v>
      </c>
      <c r="C74" s="74" t="s">
        <v>14846</v>
      </c>
      <c r="D74" s="274">
        <f>_11_A通院２８．５</f>
        <v>1240</v>
      </c>
      <c r="E74" s="10" t="s">
        <v>392</v>
      </c>
      <c r="F74" s="258" t="s">
        <v>398</v>
      </c>
      <c r="G74" s="234">
        <v>0.9</v>
      </c>
      <c r="H74" s="281" t="s">
        <v>397</v>
      </c>
      <c r="I74" s="218" t="s">
        <v>398</v>
      </c>
      <c r="J74" s="46">
        <v>1</v>
      </c>
      <c r="K74" s="706"/>
      <c r="L74" s="220"/>
      <c r="M74" s="38"/>
      <c r="N74" s="47">
        <f>ROUND((ROUND((ROUND((_11_A通院２８．５*_11・重度研修),0)*_11・２人),0)*_11・初任),0)</f>
        <v>781</v>
      </c>
      <c r="O74" s="48"/>
    </row>
    <row r="75" spans="1:15" ht="16.5" customHeight="1" x14ac:dyDescent="0.15">
      <c r="A75" s="41">
        <v>11</v>
      </c>
      <c r="B75" s="41">
        <v>9135</v>
      </c>
      <c r="C75" s="74" t="s">
        <v>14847</v>
      </c>
      <c r="D75" s="707" t="s">
        <v>620</v>
      </c>
      <c r="E75" s="798"/>
      <c r="F75" s="35"/>
      <c r="H75" s="163"/>
      <c r="I75" s="45"/>
      <c r="J75" s="46"/>
      <c r="K75" s="53"/>
      <c r="L75" s="245"/>
      <c r="M75" s="50"/>
      <c r="N75" s="47">
        <f>ROUND((_11_A通院２９．０*_11・重度研修),0)</f>
        <v>1178</v>
      </c>
      <c r="O75" s="48"/>
    </row>
    <row r="76" spans="1:15" ht="16.5" customHeight="1" x14ac:dyDescent="0.15">
      <c r="A76" s="41">
        <v>11</v>
      </c>
      <c r="B76" s="41">
        <v>9136</v>
      </c>
      <c r="C76" s="74" t="s">
        <v>14848</v>
      </c>
      <c r="D76" s="799"/>
      <c r="E76" s="796"/>
      <c r="F76" s="35"/>
      <c r="H76" s="281" t="s">
        <v>397</v>
      </c>
      <c r="I76" s="218" t="s">
        <v>398</v>
      </c>
      <c r="J76" s="46">
        <v>1</v>
      </c>
      <c r="K76" s="43"/>
      <c r="L76" s="220"/>
      <c r="M76" s="38"/>
      <c r="N76" s="47">
        <f>ROUND((ROUND((_11_A通院２９．０*_11・重度研修),0)*_11・２人),0)</f>
        <v>1178</v>
      </c>
      <c r="O76" s="48"/>
    </row>
    <row r="77" spans="1:15" ht="16.5" customHeight="1" x14ac:dyDescent="0.15">
      <c r="A77" s="41">
        <v>11</v>
      </c>
      <c r="B77" s="41" t="s">
        <v>14849</v>
      </c>
      <c r="C77" s="74" t="s">
        <v>14850</v>
      </c>
      <c r="D77" s="799"/>
      <c r="E77" s="796"/>
      <c r="F77" s="35"/>
      <c r="H77" s="163"/>
      <c r="I77" s="45"/>
      <c r="J77" s="46"/>
      <c r="K77" s="734" t="s">
        <v>404</v>
      </c>
      <c r="L77" s="219" t="s">
        <v>398</v>
      </c>
      <c r="M77" s="50">
        <f>_11・初任</f>
        <v>0.7</v>
      </c>
      <c r="N77" s="47">
        <f>ROUND((ROUND((_11_A通院２９．０*_11・重度研修),0)*_11・初任),0)</f>
        <v>825</v>
      </c>
      <c r="O77" s="48"/>
    </row>
    <row r="78" spans="1:15" ht="16.5" customHeight="1" x14ac:dyDescent="0.15">
      <c r="A78" s="41">
        <v>11</v>
      </c>
      <c r="B78" s="41" t="s">
        <v>14851</v>
      </c>
      <c r="C78" s="74" t="s">
        <v>14852</v>
      </c>
      <c r="D78" s="274">
        <f>_11_A通院２９．０</f>
        <v>1309</v>
      </c>
      <c r="E78" s="10" t="s">
        <v>392</v>
      </c>
      <c r="F78" s="35"/>
      <c r="H78" s="281" t="s">
        <v>397</v>
      </c>
      <c r="I78" s="218" t="s">
        <v>398</v>
      </c>
      <c r="J78" s="46">
        <v>1</v>
      </c>
      <c r="K78" s="706"/>
      <c r="L78" s="220"/>
      <c r="M78" s="38"/>
      <c r="N78" s="47">
        <f>ROUND((ROUND((ROUND((_11_A通院２９．０*_11・重度研修),0)*_11・２人),0)*_11・初任),0)</f>
        <v>825</v>
      </c>
      <c r="O78" s="48"/>
    </row>
    <row r="79" spans="1:15" ht="16.5" customHeight="1" x14ac:dyDescent="0.15">
      <c r="A79" s="41">
        <v>11</v>
      </c>
      <c r="B79" s="41">
        <v>9137</v>
      </c>
      <c r="C79" s="74" t="s">
        <v>14853</v>
      </c>
      <c r="D79" s="707" t="s">
        <v>633</v>
      </c>
      <c r="E79" s="798"/>
      <c r="F79" s="35"/>
      <c r="H79" s="163"/>
      <c r="I79" s="45"/>
      <c r="J79" s="46"/>
      <c r="K79" s="53"/>
      <c r="L79" s="245"/>
      <c r="M79" s="50"/>
      <c r="N79" s="47">
        <f>ROUND((_11_A通院２９．５*_11・重度研修),0)</f>
        <v>1240</v>
      </c>
      <c r="O79" s="48"/>
    </row>
    <row r="80" spans="1:15" ht="16.5" customHeight="1" x14ac:dyDescent="0.15">
      <c r="A80" s="41">
        <v>11</v>
      </c>
      <c r="B80" s="41">
        <v>9138</v>
      </c>
      <c r="C80" s="74" t="s">
        <v>14854</v>
      </c>
      <c r="D80" s="799"/>
      <c r="E80" s="796"/>
      <c r="F80" s="35"/>
      <c r="H80" s="281" t="s">
        <v>397</v>
      </c>
      <c r="I80" s="218" t="s">
        <v>398</v>
      </c>
      <c r="J80" s="46">
        <v>1</v>
      </c>
      <c r="K80" s="43"/>
      <c r="L80" s="220"/>
      <c r="M80" s="38"/>
      <c r="N80" s="47">
        <f>ROUND((ROUND((_11_A通院２９．５*_11・重度研修),0)*_11・２人),0)</f>
        <v>1240</v>
      </c>
      <c r="O80" s="48"/>
    </row>
    <row r="81" spans="1:15" ht="16.5" customHeight="1" x14ac:dyDescent="0.15">
      <c r="A81" s="41">
        <v>11</v>
      </c>
      <c r="B81" s="41" t="s">
        <v>14855</v>
      </c>
      <c r="C81" s="74" t="s">
        <v>14856</v>
      </c>
      <c r="D81" s="799"/>
      <c r="E81" s="796"/>
      <c r="F81" s="35"/>
      <c r="H81" s="163"/>
      <c r="I81" s="45"/>
      <c r="J81" s="46"/>
      <c r="K81" s="734" t="s">
        <v>404</v>
      </c>
      <c r="L81" s="219" t="s">
        <v>398</v>
      </c>
      <c r="M81" s="50">
        <f>_11・初任</f>
        <v>0.7</v>
      </c>
      <c r="N81" s="47">
        <f>ROUND((ROUND((_11_A通院２９．５*_11・重度研修),0)*_11・初任),0)</f>
        <v>868</v>
      </c>
      <c r="O81" s="48"/>
    </row>
    <row r="82" spans="1:15" ht="16.5" customHeight="1" x14ac:dyDescent="0.15">
      <c r="A82" s="41">
        <v>11</v>
      </c>
      <c r="B82" s="41" t="s">
        <v>14857</v>
      </c>
      <c r="C82" s="74" t="s">
        <v>14858</v>
      </c>
      <c r="D82" s="274">
        <f>_11_A通院２９．５</f>
        <v>1378</v>
      </c>
      <c r="E82" s="10" t="s">
        <v>392</v>
      </c>
      <c r="F82" s="35"/>
      <c r="H82" s="281" t="s">
        <v>397</v>
      </c>
      <c r="I82" s="218" t="s">
        <v>398</v>
      </c>
      <c r="J82" s="46">
        <v>1</v>
      </c>
      <c r="K82" s="706"/>
      <c r="L82" s="220"/>
      <c r="M82" s="38"/>
      <c r="N82" s="47">
        <f>ROUND((ROUND((ROUND((_11_A通院２９．５*_11・重度研修),0)*_11・２人),0)*_11・初任),0)</f>
        <v>868</v>
      </c>
      <c r="O82" s="48"/>
    </row>
    <row r="83" spans="1:15" ht="16.5" customHeight="1" x14ac:dyDescent="0.15">
      <c r="A83" s="41">
        <v>11</v>
      </c>
      <c r="B83" s="41">
        <v>9139</v>
      </c>
      <c r="C83" s="74" t="s">
        <v>14859</v>
      </c>
      <c r="D83" s="707" t="s">
        <v>646</v>
      </c>
      <c r="E83" s="798"/>
      <c r="F83" s="35"/>
      <c r="H83" s="163"/>
      <c r="I83" s="45"/>
      <c r="J83" s="46"/>
      <c r="K83" s="53"/>
      <c r="L83" s="245"/>
      <c r="M83" s="50"/>
      <c r="N83" s="47">
        <f>ROUND((_11_A通院２１０．０*_11・重度研修),0)</f>
        <v>1302</v>
      </c>
      <c r="O83" s="48"/>
    </row>
    <row r="84" spans="1:15" ht="16.5" customHeight="1" x14ac:dyDescent="0.15">
      <c r="A84" s="41">
        <v>11</v>
      </c>
      <c r="B84" s="41">
        <v>9140</v>
      </c>
      <c r="C84" s="74" t="s">
        <v>14860</v>
      </c>
      <c r="D84" s="799"/>
      <c r="E84" s="796"/>
      <c r="F84" s="35"/>
      <c r="H84" s="281" t="s">
        <v>397</v>
      </c>
      <c r="I84" s="218" t="s">
        <v>398</v>
      </c>
      <c r="J84" s="46">
        <v>1</v>
      </c>
      <c r="K84" s="43"/>
      <c r="L84" s="220"/>
      <c r="M84" s="38"/>
      <c r="N84" s="47">
        <f>ROUND((ROUND((_11_A通院２１０．０*_11・重度研修),0)*_11・２人),0)</f>
        <v>1302</v>
      </c>
      <c r="O84" s="48"/>
    </row>
    <row r="85" spans="1:15" ht="16.5" customHeight="1" x14ac:dyDescent="0.15">
      <c r="A85" s="41">
        <v>11</v>
      </c>
      <c r="B85" s="41" t="s">
        <v>14861</v>
      </c>
      <c r="C85" s="74" t="s">
        <v>14862</v>
      </c>
      <c r="D85" s="799"/>
      <c r="E85" s="796"/>
      <c r="F85" s="35"/>
      <c r="H85" s="163"/>
      <c r="I85" s="45"/>
      <c r="J85" s="46"/>
      <c r="K85" s="734" t="s">
        <v>404</v>
      </c>
      <c r="L85" s="219" t="s">
        <v>398</v>
      </c>
      <c r="M85" s="50">
        <f>_11・初任</f>
        <v>0.7</v>
      </c>
      <c r="N85" s="47">
        <f>ROUND((ROUND((_11_A通院２１０．０*_11・重度研修),0)*_11・初任),0)</f>
        <v>911</v>
      </c>
      <c r="O85" s="48"/>
    </row>
    <row r="86" spans="1:15" ht="16.5" customHeight="1" x14ac:dyDescent="0.15">
      <c r="A86" s="41">
        <v>11</v>
      </c>
      <c r="B86" s="41" t="s">
        <v>14863</v>
      </c>
      <c r="C86" s="74" t="s">
        <v>14864</v>
      </c>
      <c r="D86" s="274">
        <f>_11_A通院２１０．０</f>
        <v>1447</v>
      </c>
      <c r="E86" s="10" t="s">
        <v>392</v>
      </c>
      <c r="F86" s="35"/>
      <c r="H86" s="281" t="s">
        <v>397</v>
      </c>
      <c r="I86" s="218" t="s">
        <v>398</v>
      </c>
      <c r="J86" s="46">
        <v>1</v>
      </c>
      <c r="K86" s="706"/>
      <c r="L86" s="220"/>
      <c r="M86" s="38"/>
      <c r="N86" s="47">
        <f>ROUND((ROUND((ROUND((_11_A通院２１０．０*_11・重度研修),0)*_11・２人),0)*_11・初任),0)</f>
        <v>911</v>
      </c>
      <c r="O86" s="48"/>
    </row>
    <row r="87" spans="1:15" ht="16.5" customHeight="1" x14ac:dyDescent="0.15">
      <c r="A87" s="41">
        <v>11</v>
      </c>
      <c r="B87" s="41">
        <v>9141</v>
      </c>
      <c r="C87" s="74" t="s">
        <v>14865</v>
      </c>
      <c r="D87" s="707" t="s">
        <v>659</v>
      </c>
      <c r="E87" s="798"/>
      <c r="F87" s="35"/>
      <c r="H87" s="163"/>
      <c r="I87" s="45"/>
      <c r="J87" s="46"/>
      <c r="K87" s="53"/>
      <c r="L87" s="245"/>
      <c r="M87" s="50"/>
      <c r="N87" s="47">
        <f>ROUND((_11_A通院２１０．５*_11・重度研修),0)</f>
        <v>1364</v>
      </c>
      <c r="O87" s="48"/>
    </row>
    <row r="88" spans="1:15" ht="16.5" customHeight="1" x14ac:dyDescent="0.15">
      <c r="A88" s="41">
        <v>11</v>
      </c>
      <c r="B88" s="41">
        <v>9142</v>
      </c>
      <c r="C88" s="74" t="s">
        <v>14866</v>
      </c>
      <c r="D88" s="799"/>
      <c r="E88" s="796"/>
      <c r="F88" s="35"/>
      <c r="H88" s="281" t="s">
        <v>397</v>
      </c>
      <c r="I88" s="218" t="s">
        <v>398</v>
      </c>
      <c r="J88" s="46">
        <v>1</v>
      </c>
      <c r="K88" s="43"/>
      <c r="L88" s="220"/>
      <c r="M88" s="38"/>
      <c r="N88" s="47">
        <f>ROUND((ROUND((_11_A通院２１０．５*_11・重度研修),0)*_11・２人),0)</f>
        <v>1364</v>
      </c>
      <c r="O88" s="48"/>
    </row>
    <row r="89" spans="1:15" ht="16.5" customHeight="1" x14ac:dyDescent="0.15">
      <c r="A89" s="41">
        <v>11</v>
      </c>
      <c r="B89" s="41" t="s">
        <v>14867</v>
      </c>
      <c r="C89" s="74" t="s">
        <v>14868</v>
      </c>
      <c r="D89" s="799"/>
      <c r="E89" s="796"/>
      <c r="F89" s="35"/>
      <c r="H89" s="163"/>
      <c r="I89" s="45"/>
      <c r="J89" s="46"/>
      <c r="K89" s="734" t="s">
        <v>404</v>
      </c>
      <c r="L89" s="219" t="s">
        <v>398</v>
      </c>
      <c r="M89" s="50">
        <f>_11・初任</f>
        <v>0.7</v>
      </c>
      <c r="N89" s="47">
        <f>ROUND((ROUND((_11_A通院２１０．５*_11・重度研修),0)*_11・初任),0)</f>
        <v>955</v>
      </c>
      <c r="O89" s="48"/>
    </row>
    <row r="90" spans="1:15" ht="16.5" customHeight="1" x14ac:dyDescent="0.15">
      <c r="A90" s="41">
        <v>11</v>
      </c>
      <c r="B90" s="41" t="s">
        <v>14869</v>
      </c>
      <c r="C90" s="74" t="s">
        <v>14870</v>
      </c>
      <c r="D90" s="276">
        <f>_11_A通院２１０．５</f>
        <v>1516</v>
      </c>
      <c r="E90" s="190" t="s">
        <v>392</v>
      </c>
      <c r="F90" s="43"/>
      <c r="G90" s="37"/>
      <c r="H90" s="281" t="s">
        <v>397</v>
      </c>
      <c r="I90" s="218" t="s">
        <v>398</v>
      </c>
      <c r="J90" s="46">
        <v>1</v>
      </c>
      <c r="K90" s="706"/>
      <c r="L90" s="220"/>
      <c r="M90" s="38"/>
      <c r="N90" s="47">
        <f>ROUND((ROUND((ROUND((_11_A通院２１０．５*_11・重度研修),0)*_11・２人),0)*_11・初任),0)</f>
        <v>955</v>
      </c>
      <c r="O90" s="63"/>
    </row>
    <row r="91" spans="1:15" ht="16.5" customHeight="1" x14ac:dyDescent="0.15"/>
    <row r="92" spans="1:15" ht="16.5" customHeight="1" x14ac:dyDescent="0.15"/>
  </sheetData>
  <mergeCells count="44">
    <mergeCell ref="D79:E81"/>
    <mergeCell ref="K81:K82"/>
    <mergeCell ref="D83:E85"/>
    <mergeCell ref="K85:K86"/>
    <mergeCell ref="D87:E89"/>
    <mergeCell ref="K89:K90"/>
    <mergeCell ref="D75:E77"/>
    <mergeCell ref="K77:K78"/>
    <mergeCell ref="D55:E57"/>
    <mergeCell ref="K57:K58"/>
    <mergeCell ref="D59:E61"/>
    <mergeCell ref="K61:K62"/>
    <mergeCell ref="D63:E65"/>
    <mergeCell ref="K65:K66"/>
    <mergeCell ref="D67:E69"/>
    <mergeCell ref="K69:K70"/>
    <mergeCell ref="D71:E73"/>
    <mergeCell ref="F71:G73"/>
    <mergeCell ref="K73:K74"/>
    <mergeCell ref="D43:E45"/>
    <mergeCell ref="K45:K46"/>
    <mergeCell ref="D47:E49"/>
    <mergeCell ref="K49:K50"/>
    <mergeCell ref="D51:E53"/>
    <mergeCell ref="K53:K54"/>
    <mergeCell ref="D31:E33"/>
    <mergeCell ref="K33:K34"/>
    <mergeCell ref="D35:E37"/>
    <mergeCell ref="K37:K38"/>
    <mergeCell ref="D39:E41"/>
    <mergeCell ref="K41:K42"/>
    <mergeCell ref="D19:E21"/>
    <mergeCell ref="K21:K22"/>
    <mergeCell ref="D23:E25"/>
    <mergeCell ref="K25:K26"/>
    <mergeCell ref="D27:E29"/>
    <mergeCell ref="K29:K30"/>
    <mergeCell ref="D15:E17"/>
    <mergeCell ref="K17:K18"/>
    <mergeCell ref="D7:E9"/>
    <mergeCell ref="F7:G9"/>
    <mergeCell ref="K9:K10"/>
    <mergeCell ref="D11:E13"/>
    <mergeCell ref="K13:K14"/>
  </mergeCells>
  <phoneticPr fontId="1"/>
  <printOptions horizontalCentered="1"/>
  <pageMargins left="0.70866141732283472" right="0.70866141732283472" top="0.74803149606299213" bottom="0.74803149606299213" header="0.31496062992125984" footer="0.31496062992125984"/>
  <pageSetup paperSize="9" scale="62" fitToHeight="0" orientation="portrait" r:id="rId1"/>
  <headerFooter>
    <oddHeader>&amp;R&amp;"ＭＳ Ｐゴシック"&amp;9居宅介護</oddHeader>
    <oddFooter>&amp;C&amp;"ＭＳ Ｐゴシック"&amp;14&amp;P</oddFooter>
  </headerFooter>
  <rowBreaks count="1" manualBreakCount="1">
    <brk id="70" max="14"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4">
    <pageSetUpPr fitToPage="1"/>
  </sheetPr>
  <dimension ref="A1:R126"/>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customWidth="1"/>
    <col min="4" max="4" width="4.875" style="10" customWidth="1"/>
    <col min="5" max="5" width="4.875" style="12" customWidth="1"/>
    <col min="6" max="6" width="4.125" style="12" customWidth="1"/>
    <col min="7" max="7" width="4.5" style="12" bestFit="1" customWidth="1"/>
    <col min="8" max="8" width="26" style="12" customWidth="1"/>
    <col min="9" max="9" width="2.5" style="12" customWidth="1"/>
    <col min="10" max="10" width="5.5" style="13" bestFit="1" customWidth="1"/>
    <col min="11" max="11" width="2.5" style="12" customWidth="1"/>
    <col min="12" max="12" width="3.875" style="12" customWidth="1"/>
    <col min="13" max="13" width="4.5" style="13" bestFit="1" customWidth="1"/>
    <col min="14" max="14" width="17.875" style="12" customWidth="1"/>
    <col min="15" max="15" width="2.5" style="242" customWidth="1"/>
    <col min="16" max="16" width="4.5" style="13" bestFit="1" customWidth="1"/>
    <col min="17" max="17" width="7.125" style="15" customWidth="1"/>
    <col min="18" max="18" width="8.5" style="16" customWidth="1"/>
    <col min="19" max="16384" width="8.875" style="12"/>
  </cols>
  <sheetData>
    <row r="1" spans="1:18" ht="17.100000000000001" customHeight="1" x14ac:dyDescent="0.15"/>
    <row r="2" spans="1:18" ht="17.100000000000001" customHeight="1" x14ac:dyDescent="0.15"/>
    <row r="3" spans="1:18" ht="17.100000000000001" customHeight="1" x14ac:dyDescent="0.15"/>
    <row r="4" spans="1:18" ht="17.100000000000001" customHeight="1" x14ac:dyDescent="0.15">
      <c r="B4" s="17" t="s">
        <v>14871</v>
      </c>
      <c r="D4" s="71"/>
    </row>
    <row r="5" spans="1:18" ht="16.5" customHeight="1" x14ac:dyDescent="0.15">
      <c r="A5" s="19" t="s">
        <v>384</v>
      </c>
      <c r="B5" s="20"/>
      <c r="C5" s="21" t="s">
        <v>385</v>
      </c>
      <c r="D5" s="23" t="s">
        <v>386</v>
      </c>
      <c r="E5" s="23"/>
      <c r="F5" s="23"/>
      <c r="G5" s="23"/>
      <c r="H5" s="23"/>
      <c r="I5" s="23"/>
      <c r="J5" s="24"/>
      <c r="K5" s="23"/>
      <c r="L5" s="23"/>
      <c r="M5" s="24"/>
      <c r="N5" s="23"/>
      <c r="O5" s="23"/>
      <c r="P5" s="24"/>
      <c r="Q5" s="25" t="s">
        <v>387</v>
      </c>
      <c r="R5" s="21" t="s">
        <v>388</v>
      </c>
    </row>
    <row r="6" spans="1:18" ht="16.5" customHeight="1" x14ac:dyDescent="0.15">
      <c r="A6" s="26" t="s">
        <v>389</v>
      </c>
      <c r="B6" s="26" t="s">
        <v>390</v>
      </c>
      <c r="C6" s="27"/>
      <c r="D6" s="29"/>
      <c r="E6" s="29"/>
      <c r="F6" s="29"/>
      <c r="G6" s="29"/>
      <c r="H6" s="29"/>
      <c r="I6" s="29"/>
      <c r="J6" s="30"/>
      <c r="K6" s="29"/>
      <c r="L6" s="29"/>
      <c r="M6" s="30"/>
      <c r="N6" s="29"/>
      <c r="O6" s="214"/>
      <c r="P6" s="30"/>
      <c r="Q6" s="31" t="s">
        <v>391</v>
      </c>
      <c r="R6" s="32" t="s">
        <v>392</v>
      </c>
    </row>
    <row r="7" spans="1:18" ht="16.5" customHeight="1" x14ac:dyDescent="0.15">
      <c r="A7" s="33">
        <v>11</v>
      </c>
      <c r="B7" s="33">
        <v>9143</v>
      </c>
      <c r="C7" s="34" t="s">
        <v>14872</v>
      </c>
      <c r="D7" s="709" t="s">
        <v>673</v>
      </c>
      <c r="E7" s="796"/>
      <c r="F7" s="709" t="s">
        <v>11707</v>
      </c>
      <c r="G7" s="802"/>
      <c r="H7" s="43"/>
      <c r="I7" s="37"/>
      <c r="J7" s="38"/>
      <c r="K7" s="35" t="s">
        <v>674</v>
      </c>
      <c r="M7" s="234"/>
      <c r="N7" s="35"/>
      <c r="Q7" s="73">
        <f>ROUND((ROUND((_11_A通院２０．５*_11・重度研修),0)*(1+_11・A早朝)),0)</f>
        <v>119</v>
      </c>
      <c r="R7" s="40" t="s">
        <v>395</v>
      </c>
    </row>
    <row r="8" spans="1:18" ht="16.5" customHeight="1" x14ac:dyDescent="0.15">
      <c r="A8" s="41">
        <v>11</v>
      </c>
      <c r="B8" s="41">
        <v>9144</v>
      </c>
      <c r="C8" s="74" t="s">
        <v>14873</v>
      </c>
      <c r="D8" s="799"/>
      <c r="E8" s="796"/>
      <c r="F8" s="722"/>
      <c r="G8" s="802"/>
      <c r="H8" s="281" t="s">
        <v>397</v>
      </c>
      <c r="I8" s="218" t="s">
        <v>398</v>
      </c>
      <c r="J8" s="46">
        <v>1</v>
      </c>
      <c r="K8" s="258" t="s">
        <v>398</v>
      </c>
      <c r="L8" s="13">
        <v>0.25</v>
      </c>
      <c r="M8" s="718" t="s">
        <v>676</v>
      </c>
      <c r="N8" s="43"/>
      <c r="O8" s="220"/>
      <c r="P8" s="38"/>
      <c r="Q8" s="75">
        <f>ROUND((ROUND((ROUND((_11_A通院２０．５*_11・重度研修),0)*_11・２人),0)*(1+_11・A早朝)),0)</f>
        <v>119</v>
      </c>
      <c r="R8" s="48"/>
    </row>
    <row r="9" spans="1:18" ht="16.5" customHeight="1" x14ac:dyDescent="0.15">
      <c r="A9" s="41">
        <v>11</v>
      </c>
      <c r="B9" s="41" t="s">
        <v>14874</v>
      </c>
      <c r="C9" s="74" t="s">
        <v>14875</v>
      </c>
      <c r="D9" s="799"/>
      <c r="E9" s="796"/>
      <c r="F9" s="722"/>
      <c r="G9" s="802"/>
      <c r="H9" s="163"/>
      <c r="I9" s="45"/>
      <c r="J9" s="46"/>
      <c r="K9" s="35"/>
      <c r="M9" s="796"/>
      <c r="N9" s="734" t="s">
        <v>404</v>
      </c>
      <c r="O9" s="219" t="s">
        <v>398</v>
      </c>
      <c r="P9" s="50">
        <f>_11・初任</f>
        <v>0.7</v>
      </c>
      <c r="Q9" s="75">
        <f>ROUND((ROUND((ROUND((_11_A通院２０．５*_11・重度研修),0)*(1+_11・A早朝)),0)*_11・初任),0)</f>
        <v>83</v>
      </c>
      <c r="R9" s="48"/>
    </row>
    <row r="10" spans="1:18" ht="16.5" customHeight="1" x14ac:dyDescent="0.15">
      <c r="A10" s="41">
        <v>11</v>
      </c>
      <c r="B10" s="41" t="s">
        <v>14876</v>
      </c>
      <c r="C10" s="74" t="s">
        <v>14877</v>
      </c>
      <c r="D10" s="274">
        <f>_11_A通院２０．５</f>
        <v>105</v>
      </c>
      <c r="E10" s="10" t="s">
        <v>392</v>
      </c>
      <c r="F10" s="258" t="s">
        <v>398</v>
      </c>
      <c r="G10" s="234">
        <v>0.9</v>
      </c>
      <c r="H10" s="281" t="s">
        <v>397</v>
      </c>
      <c r="I10" s="218" t="s">
        <v>398</v>
      </c>
      <c r="J10" s="46">
        <v>1</v>
      </c>
      <c r="K10" s="35"/>
      <c r="N10" s="706"/>
      <c r="O10" s="220"/>
      <c r="P10" s="38"/>
      <c r="Q10" s="75">
        <f>ROUND((ROUND((ROUND((ROUND((_11_A通院２０．５*_11・重度研修),0)*_11・２人),0)*(1+_11・A早朝)),0)*_11・初任),0)</f>
        <v>83</v>
      </c>
      <c r="R10" s="48"/>
    </row>
    <row r="11" spans="1:18" ht="16.5" customHeight="1" x14ac:dyDescent="0.15">
      <c r="A11" s="41">
        <v>11</v>
      </c>
      <c r="B11" s="41">
        <v>9145</v>
      </c>
      <c r="C11" s="74" t="s">
        <v>14878</v>
      </c>
      <c r="D11" s="707" t="s">
        <v>689</v>
      </c>
      <c r="E11" s="798"/>
      <c r="F11" s="35"/>
      <c r="H11" s="163"/>
      <c r="I11" s="45"/>
      <c r="J11" s="46"/>
      <c r="K11" s="35"/>
      <c r="N11" s="53"/>
      <c r="O11" s="245"/>
      <c r="P11" s="50"/>
      <c r="Q11" s="75">
        <f>ROUND((ROUND((_11_A通院２１．０*_11・重度研修),0)*(1+_11・A早朝)),0)</f>
        <v>220</v>
      </c>
      <c r="R11" s="48"/>
    </row>
    <row r="12" spans="1:18" ht="16.5" customHeight="1" x14ac:dyDescent="0.15">
      <c r="A12" s="41">
        <v>11</v>
      </c>
      <c r="B12" s="41">
        <v>9146</v>
      </c>
      <c r="C12" s="74" t="s">
        <v>14879</v>
      </c>
      <c r="D12" s="799"/>
      <c r="E12" s="796"/>
      <c r="F12" s="35"/>
      <c r="H12" s="281" t="s">
        <v>397</v>
      </c>
      <c r="I12" s="218" t="s">
        <v>398</v>
      </c>
      <c r="J12" s="46">
        <v>1</v>
      </c>
      <c r="K12" s="35"/>
      <c r="N12" s="43"/>
      <c r="O12" s="220"/>
      <c r="P12" s="38"/>
      <c r="Q12" s="75">
        <f>ROUND((ROUND((ROUND((_11_A通院２１．０*_11・重度研修),0)*_11・２人),0)*(1+_11・A早朝)),0)</f>
        <v>220</v>
      </c>
      <c r="R12" s="48"/>
    </row>
    <row r="13" spans="1:18" ht="16.5" customHeight="1" x14ac:dyDescent="0.15">
      <c r="A13" s="41">
        <v>11</v>
      </c>
      <c r="B13" s="41" t="s">
        <v>14880</v>
      </c>
      <c r="C13" s="74" t="s">
        <v>14881</v>
      </c>
      <c r="D13" s="799"/>
      <c r="E13" s="796"/>
      <c r="F13" s="35"/>
      <c r="H13" s="163"/>
      <c r="I13" s="45"/>
      <c r="J13" s="46"/>
      <c r="K13" s="35"/>
      <c r="N13" s="734" t="s">
        <v>404</v>
      </c>
      <c r="O13" s="219" t="s">
        <v>398</v>
      </c>
      <c r="P13" s="50">
        <f>_11・初任</f>
        <v>0.7</v>
      </c>
      <c r="Q13" s="75">
        <f>ROUND((ROUND((ROUND((_11_A通院２１．０*_11・重度研修),0)*(1+_11・A早朝)),0)*_11・初任),0)</f>
        <v>154</v>
      </c>
      <c r="R13" s="48"/>
    </row>
    <row r="14" spans="1:18" ht="16.5" customHeight="1" x14ac:dyDescent="0.15">
      <c r="A14" s="41">
        <v>11</v>
      </c>
      <c r="B14" s="41" t="s">
        <v>14882</v>
      </c>
      <c r="C14" s="74" t="s">
        <v>14883</v>
      </c>
      <c r="D14" s="274">
        <f>_11_A通院２１．０</f>
        <v>196</v>
      </c>
      <c r="E14" s="10" t="s">
        <v>392</v>
      </c>
      <c r="F14" s="35"/>
      <c r="H14" s="281" t="s">
        <v>397</v>
      </c>
      <c r="I14" s="218" t="s">
        <v>398</v>
      </c>
      <c r="J14" s="46">
        <v>1</v>
      </c>
      <c r="K14" s="35"/>
      <c r="N14" s="706"/>
      <c r="O14" s="220"/>
      <c r="P14" s="38"/>
      <c r="Q14" s="75">
        <f>ROUND((ROUND((ROUND((ROUND((_11_A通院２１．０*_11・重度研修),0)*_11・２人),0)*(1+_11・A早朝)),0)*_11・初任),0)</f>
        <v>154</v>
      </c>
      <c r="R14" s="48"/>
    </row>
    <row r="15" spans="1:18" ht="16.5" customHeight="1" x14ac:dyDescent="0.15">
      <c r="A15" s="41">
        <v>11</v>
      </c>
      <c r="B15" s="41">
        <v>9147</v>
      </c>
      <c r="C15" s="74" t="s">
        <v>14884</v>
      </c>
      <c r="D15" s="707" t="s">
        <v>702</v>
      </c>
      <c r="E15" s="798"/>
      <c r="F15" s="35"/>
      <c r="H15" s="163"/>
      <c r="I15" s="45"/>
      <c r="J15" s="46"/>
      <c r="K15" s="35"/>
      <c r="N15" s="53"/>
      <c r="O15" s="245"/>
      <c r="P15" s="50"/>
      <c r="Q15" s="75">
        <f>ROUND((ROUND((_11_A通院２１．５*_11・重度研修),0)*(1+_11・A早朝)),0)</f>
        <v>309</v>
      </c>
      <c r="R15" s="48"/>
    </row>
    <row r="16" spans="1:18" ht="16.5" customHeight="1" x14ac:dyDescent="0.15">
      <c r="A16" s="41">
        <v>11</v>
      </c>
      <c r="B16" s="41">
        <v>9148</v>
      </c>
      <c r="C16" s="74" t="s">
        <v>14885</v>
      </c>
      <c r="D16" s="799"/>
      <c r="E16" s="796"/>
      <c r="F16" s="35"/>
      <c r="H16" s="281" t="s">
        <v>397</v>
      </c>
      <c r="I16" s="218" t="s">
        <v>398</v>
      </c>
      <c r="J16" s="46">
        <v>1</v>
      </c>
      <c r="K16" s="35"/>
      <c r="N16" s="43"/>
      <c r="O16" s="220"/>
      <c r="P16" s="38"/>
      <c r="Q16" s="75">
        <f>ROUND((ROUND((ROUND((_11_A通院２１．５*_11・重度研修),0)*_11・２人),0)*(1+_11・A早朝)),0)</f>
        <v>309</v>
      </c>
      <c r="R16" s="48"/>
    </row>
    <row r="17" spans="1:18" ht="16.5" customHeight="1" x14ac:dyDescent="0.15">
      <c r="A17" s="41">
        <v>11</v>
      </c>
      <c r="B17" s="41" t="s">
        <v>14886</v>
      </c>
      <c r="C17" s="74" t="s">
        <v>14887</v>
      </c>
      <c r="D17" s="799"/>
      <c r="E17" s="796"/>
      <c r="F17" s="35"/>
      <c r="H17" s="163"/>
      <c r="I17" s="45"/>
      <c r="J17" s="46"/>
      <c r="K17" s="35"/>
      <c r="N17" s="734" t="s">
        <v>404</v>
      </c>
      <c r="O17" s="219" t="s">
        <v>398</v>
      </c>
      <c r="P17" s="50">
        <f>_11・初任</f>
        <v>0.7</v>
      </c>
      <c r="Q17" s="75">
        <f>ROUND((ROUND((ROUND((_11_A通院２１．５*_11・重度研修),0)*(1+_11・A早朝)),0)*_11・初任),0)</f>
        <v>216</v>
      </c>
      <c r="R17" s="48"/>
    </row>
    <row r="18" spans="1:18" ht="16.5" customHeight="1" x14ac:dyDescent="0.15">
      <c r="A18" s="41">
        <v>11</v>
      </c>
      <c r="B18" s="41" t="s">
        <v>14888</v>
      </c>
      <c r="C18" s="74" t="s">
        <v>14889</v>
      </c>
      <c r="D18" s="274">
        <f>_11_A通院２１．５</f>
        <v>274</v>
      </c>
      <c r="E18" s="10" t="s">
        <v>392</v>
      </c>
      <c r="F18" s="35"/>
      <c r="H18" s="281" t="s">
        <v>397</v>
      </c>
      <c r="I18" s="218" t="s">
        <v>398</v>
      </c>
      <c r="J18" s="46">
        <v>1</v>
      </c>
      <c r="K18" s="35"/>
      <c r="N18" s="706"/>
      <c r="O18" s="220"/>
      <c r="P18" s="38"/>
      <c r="Q18" s="75">
        <f>ROUND((ROUND((ROUND((ROUND((_11_A通院２１．５*_11・重度研修),0)*_11・２人),0)*(1+_11・A早朝)),0)*_11・初任),0)</f>
        <v>216</v>
      </c>
      <c r="R18" s="48"/>
    </row>
    <row r="19" spans="1:18" ht="16.5" customHeight="1" x14ac:dyDescent="0.15">
      <c r="A19" s="41">
        <v>11</v>
      </c>
      <c r="B19" s="41">
        <v>9149</v>
      </c>
      <c r="C19" s="74" t="s">
        <v>14890</v>
      </c>
      <c r="D19" s="707" t="s">
        <v>715</v>
      </c>
      <c r="E19" s="798"/>
      <c r="F19" s="35"/>
      <c r="H19" s="163"/>
      <c r="I19" s="45"/>
      <c r="J19" s="46"/>
      <c r="K19" s="35"/>
      <c r="N19" s="53"/>
      <c r="O19" s="245"/>
      <c r="P19" s="50"/>
      <c r="Q19" s="75">
        <f>ROUND((ROUND((_11_A通院２２．０*_11・重度研修),0)*(1+_11・A早朝)),0)</f>
        <v>386</v>
      </c>
      <c r="R19" s="48"/>
    </row>
    <row r="20" spans="1:18" ht="16.5" customHeight="1" x14ac:dyDescent="0.15">
      <c r="A20" s="41">
        <v>11</v>
      </c>
      <c r="B20" s="41">
        <v>9150</v>
      </c>
      <c r="C20" s="74" t="s">
        <v>14891</v>
      </c>
      <c r="D20" s="799"/>
      <c r="E20" s="796"/>
      <c r="F20" s="35"/>
      <c r="H20" s="281" t="s">
        <v>397</v>
      </c>
      <c r="I20" s="218" t="s">
        <v>398</v>
      </c>
      <c r="J20" s="46">
        <v>1</v>
      </c>
      <c r="K20" s="35"/>
      <c r="N20" s="43"/>
      <c r="O20" s="220"/>
      <c r="P20" s="38"/>
      <c r="Q20" s="75">
        <f>ROUND((ROUND((ROUND((_11_A通院２２．０*_11・重度研修),0)*_11・２人),0)*(1+_11・A早朝)),0)</f>
        <v>386</v>
      </c>
      <c r="R20" s="48"/>
    </row>
    <row r="21" spans="1:18" ht="16.5" customHeight="1" x14ac:dyDescent="0.15">
      <c r="A21" s="41">
        <v>11</v>
      </c>
      <c r="B21" s="41" t="s">
        <v>14892</v>
      </c>
      <c r="C21" s="74" t="s">
        <v>14893</v>
      </c>
      <c r="D21" s="799"/>
      <c r="E21" s="796"/>
      <c r="F21" s="35"/>
      <c r="H21" s="163"/>
      <c r="I21" s="45"/>
      <c r="J21" s="46"/>
      <c r="K21" s="35"/>
      <c r="N21" s="734" t="s">
        <v>404</v>
      </c>
      <c r="O21" s="219" t="s">
        <v>398</v>
      </c>
      <c r="P21" s="50">
        <f>_11・初任</f>
        <v>0.7</v>
      </c>
      <c r="Q21" s="75">
        <f>ROUND((ROUND((ROUND((_11_A通院２２．０*_11・重度研修),0)*(1+_11・A早朝)),0)*_11・初任),0)</f>
        <v>270</v>
      </c>
      <c r="R21" s="48"/>
    </row>
    <row r="22" spans="1:18" ht="16.5" customHeight="1" x14ac:dyDescent="0.15">
      <c r="A22" s="41">
        <v>11</v>
      </c>
      <c r="B22" s="41" t="s">
        <v>14894</v>
      </c>
      <c r="C22" s="74" t="s">
        <v>14895</v>
      </c>
      <c r="D22" s="274">
        <f>_11_A通院２２．０</f>
        <v>343</v>
      </c>
      <c r="E22" s="10" t="s">
        <v>392</v>
      </c>
      <c r="F22" s="35"/>
      <c r="H22" s="281" t="s">
        <v>397</v>
      </c>
      <c r="I22" s="218" t="s">
        <v>398</v>
      </c>
      <c r="J22" s="46">
        <v>1</v>
      </c>
      <c r="K22" s="35"/>
      <c r="N22" s="706"/>
      <c r="O22" s="220"/>
      <c r="P22" s="38"/>
      <c r="Q22" s="75">
        <f>ROUND((ROUND((ROUND((ROUND((_11_A通院２２．０*_11・重度研修),0)*_11・２人),0)*(1+_11・A早朝)),0)*_11・初任),0)</f>
        <v>270</v>
      </c>
      <c r="R22" s="48"/>
    </row>
    <row r="23" spans="1:18" ht="16.5" customHeight="1" x14ac:dyDescent="0.15">
      <c r="A23" s="41">
        <v>11</v>
      </c>
      <c r="B23" s="41">
        <v>9151</v>
      </c>
      <c r="C23" s="74" t="s">
        <v>14896</v>
      </c>
      <c r="D23" s="707" t="s">
        <v>728</v>
      </c>
      <c r="E23" s="798"/>
      <c r="F23" s="35"/>
      <c r="H23" s="163"/>
      <c r="I23" s="45"/>
      <c r="J23" s="46"/>
      <c r="K23" s="35"/>
      <c r="N23" s="53"/>
      <c r="O23" s="245"/>
      <c r="P23" s="50"/>
      <c r="Q23" s="75">
        <f>ROUND((ROUND((_11_A通院２２．５*_11・重度研修),0)*(1+_11・A早朝)),0)</f>
        <v>464</v>
      </c>
      <c r="R23" s="48"/>
    </row>
    <row r="24" spans="1:18" ht="16.5" customHeight="1" x14ac:dyDescent="0.15">
      <c r="A24" s="41">
        <v>11</v>
      </c>
      <c r="B24" s="41">
        <v>9152</v>
      </c>
      <c r="C24" s="74" t="s">
        <v>14897</v>
      </c>
      <c r="D24" s="799"/>
      <c r="E24" s="796"/>
      <c r="F24" s="35"/>
      <c r="H24" s="281" t="s">
        <v>397</v>
      </c>
      <c r="I24" s="218" t="s">
        <v>398</v>
      </c>
      <c r="J24" s="46">
        <v>1</v>
      </c>
      <c r="K24" s="35"/>
      <c r="N24" s="43"/>
      <c r="O24" s="220"/>
      <c r="P24" s="38"/>
      <c r="Q24" s="75">
        <f>ROUND((ROUND((ROUND((_11_A通院２２．５*_11・重度研修),0)*_11・２人),0)*(1+_11・A早朝)),0)</f>
        <v>464</v>
      </c>
      <c r="R24" s="48"/>
    </row>
    <row r="25" spans="1:18" ht="16.5" customHeight="1" x14ac:dyDescent="0.15">
      <c r="A25" s="41">
        <v>11</v>
      </c>
      <c r="B25" s="41" t="s">
        <v>14898</v>
      </c>
      <c r="C25" s="74" t="s">
        <v>14899</v>
      </c>
      <c r="D25" s="799"/>
      <c r="E25" s="796"/>
      <c r="F25" s="35"/>
      <c r="H25" s="163"/>
      <c r="I25" s="45"/>
      <c r="J25" s="46"/>
      <c r="K25" s="35"/>
      <c r="N25" s="734" t="s">
        <v>404</v>
      </c>
      <c r="O25" s="219" t="s">
        <v>398</v>
      </c>
      <c r="P25" s="50">
        <f>_11・初任</f>
        <v>0.7</v>
      </c>
      <c r="Q25" s="75">
        <f>ROUND((ROUND((ROUND((_11_A通院２２．５*_11・重度研修),0)*(1+_11・A早朝)),0)*_11・初任),0)</f>
        <v>325</v>
      </c>
      <c r="R25" s="48"/>
    </row>
    <row r="26" spans="1:18" ht="16.5" customHeight="1" x14ac:dyDescent="0.15">
      <c r="A26" s="41">
        <v>11</v>
      </c>
      <c r="B26" s="41" t="s">
        <v>14900</v>
      </c>
      <c r="C26" s="74" t="s">
        <v>14901</v>
      </c>
      <c r="D26" s="276">
        <f>_11_A通院２２．５</f>
        <v>412</v>
      </c>
      <c r="E26" s="190" t="s">
        <v>392</v>
      </c>
      <c r="F26" s="43"/>
      <c r="G26" s="37"/>
      <c r="H26" s="281" t="s">
        <v>397</v>
      </c>
      <c r="I26" s="218" t="s">
        <v>398</v>
      </c>
      <c r="J26" s="46">
        <v>1</v>
      </c>
      <c r="K26" s="43"/>
      <c r="L26" s="37"/>
      <c r="M26" s="38"/>
      <c r="N26" s="706"/>
      <c r="O26" s="220"/>
      <c r="P26" s="38"/>
      <c r="Q26" s="75">
        <f>ROUND((ROUND((ROUND((ROUND((_11_A通院２２．５*_11・重度研修),0)*_11・２人),0)*(1+_11・A早朝)),0)*_11・初任),0)</f>
        <v>325</v>
      </c>
      <c r="R26" s="63"/>
    </row>
    <row r="27" spans="1:18" ht="16.5" customHeight="1" x14ac:dyDescent="0.15">
      <c r="A27" s="80"/>
      <c r="B27" s="80"/>
      <c r="C27" s="81"/>
      <c r="H27" s="82"/>
      <c r="Q27" s="84"/>
      <c r="R27" s="85"/>
    </row>
    <row r="28" spans="1:18" ht="16.5" customHeight="1" x14ac:dyDescent="0.15">
      <c r="A28" s="80"/>
      <c r="B28" s="80"/>
      <c r="C28" s="81"/>
      <c r="H28" s="82"/>
      <c r="Q28" s="84"/>
      <c r="R28" s="85"/>
    </row>
    <row r="29" spans="1:18" ht="16.5" customHeight="1" x14ac:dyDescent="0.15">
      <c r="A29" s="80"/>
      <c r="B29" s="86" t="s">
        <v>14902</v>
      </c>
      <c r="C29" s="81"/>
      <c r="D29" s="71"/>
      <c r="H29" s="82"/>
      <c r="Q29" s="84"/>
      <c r="R29" s="85"/>
    </row>
    <row r="30" spans="1:18" ht="16.5" customHeight="1" x14ac:dyDescent="0.15">
      <c r="A30" s="87" t="s">
        <v>384</v>
      </c>
      <c r="B30" s="20"/>
      <c r="C30" s="88" t="s">
        <v>385</v>
      </c>
      <c r="D30" s="23" t="s">
        <v>386</v>
      </c>
      <c r="E30" s="23"/>
      <c r="F30" s="23"/>
      <c r="G30" s="23"/>
      <c r="H30" s="283"/>
      <c r="I30" s="23"/>
      <c r="J30" s="24"/>
      <c r="K30" s="23"/>
      <c r="L30" s="23"/>
      <c r="M30" s="24"/>
      <c r="N30" s="23"/>
      <c r="O30" s="166"/>
      <c r="P30" s="24"/>
      <c r="Q30" s="25" t="s">
        <v>387</v>
      </c>
      <c r="R30" s="21" t="s">
        <v>388</v>
      </c>
    </row>
    <row r="31" spans="1:18" ht="16.5" customHeight="1" x14ac:dyDescent="0.15">
      <c r="A31" s="26" t="s">
        <v>389</v>
      </c>
      <c r="B31" s="26" t="s">
        <v>390</v>
      </c>
      <c r="C31" s="89"/>
      <c r="D31" s="29"/>
      <c r="E31" s="29"/>
      <c r="F31" s="29"/>
      <c r="G31" s="29"/>
      <c r="H31" s="284"/>
      <c r="I31" s="29"/>
      <c r="J31" s="30"/>
      <c r="K31" s="29"/>
      <c r="L31" s="29"/>
      <c r="M31" s="30"/>
      <c r="N31" s="29"/>
      <c r="O31" s="214"/>
      <c r="P31" s="30"/>
      <c r="Q31" s="31" t="s">
        <v>391</v>
      </c>
      <c r="R31" s="32" t="s">
        <v>392</v>
      </c>
    </row>
    <row r="32" spans="1:18" ht="16.5" customHeight="1" x14ac:dyDescent="0.15">
      <c r="A32" s="33">
        <v>11</v>
      </c>
      <c r="B32" s="33">
        <v>9153</v>
      </c>
      <c r="C32" s="34" t="s">
        <v>14903</v>
      </c>
      <c r="D32" s="709" t="s">
        <v>742</v>
      </c>
      <c r="E32" s="796"/>
      <c r="F32" s="709" t="s">
        <v>11707</v>
      </c>
      <c r="G32" s="802"/>
      <c r="H32" s="70"/>
      <c r="I32" s="37"/>
      <c r="J32" s="38"/>
      <c r="K32" s="35" t="s">
        <v>743</v>
      </c>
      <c r="M32" s="234"/>
      <c r="N32" s="35"/>
      <c r="Q32" s="93">
        <f>ROUND((ROUND((_11_A通院２０．５*_11・重度研修),0)*(1+_11・A夜間)),0)</f>
        <v>119</v>
      </c>
      <c r="R32" s="40" t="s">
        <v>395</v>
      </c>
    </row>
    <row r="33" spans="1:18" ht="16.5" customHeight="1" x14ac:dyDescent="0.15">
      <c r="A33" s="41">
        <v>11</v>
      </c>
      <c r="B33" s="41">
        <v>9154</v>
      </c>
      <c r="C33" s="74" t="s">
        <v>14904</v>
      </c>
      <c r="D33" s="799"/>
      <c r="E33" s="796"/>
      <c r="F33" s="722"/>
      <c r="G33" s="802"/>
      <c r="H33" s="281" t="s">
        <v>397</v>
      </c>
      <c r="I33" s="218" t="s">
        <v>398</v>
      </c>
      <c r="J33" s="46">
        <v>1</v>
      </c>
      <c r="K33" s="258" t="s">
        <v>398</v>
      </c>
      <c r="L33" s="13">
        <v>0.25</v>
      </c>
      <c r="M33" s="718" t="s">
        <v>676</v>
      </c>
      <c r="N33" s="43"/>
      <c r="O33" s="220"/>
      <c r="P33" s="38"/>
      <c r="Q33" s="95">
        <f>ROUND((ROUND((ROUND((_11_A通院２０．５*_11・重度研修),0)*_11・２人),0)*(1+_11・A夜間)),0)</f>
        <v>119</v>
      </c>
      <c r="R33" s="48"/>
    </row>
    <row r="34" spans="1:18" ht="16.5" customHeight="1" x14ac:dyDescent="0.15">
      <c r="A34" s="41">
        <v>11</v>
      </c>
      <c r="B34" s="41" t="s">
        <v>14905</v>
      </c>
      <c r="C34" s="74" t="s">
        <v>14906</v>
      </c>
      <c r="D34" s="799"/>
      <c r="E34" s="796"/>
      <c r="F34" s="722"/>
      <c r="G34" s="802"/>
      <c r="H34" s="282"/>
      <c r="I34" s="45"/>
      <c r="J34" s="46"/>
      <c r="K34" s="35"/>
      <c r="M34" s="796"/>
      <c r="N34" s="734" t="s">
        <v>404</v>
      </c>
      <c r="O34" s="219" t="s">
        <v>398</v>
      </c>
      <c r="P34" s="50">
        <f>_11・初任</f>
        <v>0.7</v>
      </c>
      <c r="Q34" s="95">
        <f>ROUND((ROUND((ROUND((_11_A通院２０．５*_11・重度研修),0)*(1+_11・A夜間)),0)*_11・初任),0)</f>
        <v>83</v>
      </c>
      <c r="R34" s="48"/>
    </row>
    <row r="35" spans="1:18" ht="16.5" customHeight="1" x14ac:dyDescent="0.15">
      <c r="A35" s="41">
        <v>11</v>
      </c>
      <c r="B35" s="41" t="s">
        <v>14907</v>
      </c>
      <c r="C35" s="74" t="s">
        <v>14908</v>
      </c>
      <c r="D35" s="274">
        <f>_11_A通院２０．５</f>
        <v>105</v>
      </c>
      <c r="E35" s="10" t="s">
        <v>392</v>
      </c>
      <c r="F35" s="258" t="s">
        <v>398</v>
      </c>
      <c r="G35" s="234">
        <v>0.9</v>
      </c>
      <c r="H35" s="281" t="s">
        <v>397</v>
      </c>
      <c r="I35" s="218" t="s">
        <v>398</v>
      </c>
      <c r="J35" s="46">
        <v>1</v>
      </c>
      <c r="K35" s="35"/>
      <c r="M35" s="234"/>
      <c r="N35" s="706"/>
      <c r="O35" s="220"/>
      <c r="P35" s="38"/>
      <c r="Q35" s="95">
        <f>ROUND((ROUND((ROUND((ROUND((_11_A通院２０．５*_11・重度研修),0)*_11・２人),0)*(1+_11・A夜間)),0)*_11・初任),0)</f>
        <v>83</v>
      </c>
      <c r="R35" s="48"/>
    </row>
    <row r="36" spans="1:18" ht="16.5" customHeight="1" x14ac:dyDescent="0.15">
      <c r="A36" s="41">
        <v>11</v>
      </c>
      <c r="B36" s="41">
        <v>9155</v>
      </c>
      <c r="C36" s="74" t="s">
        <v>14909</v>
      </c>
      <c r="D36" s="707" t="s">
        <v>756</v>
      </c>
      <c r="E36" s="798"/>
      <c r="F36" s="35"/>
      <c r="H36" s="282"/>
      <c r="I36" s="45"/>
      <c r="J36" s="46"/>
      <c r="K36" s="35"/>
      <c r="N36" s="53"/>
      <c r="O36" s="245"/>
      <c r="P36" s="50"/>
      <c r="Q36" s="95">
        <f>ROUND((ROUND((_11_A通院２１．０*_11・重度研修),0)*(1+_11・A夜間)),0)</f>
        <v>220</v>
      </c>
      <c r="R36" s="48"/>
    </row>
    <row r="37" spans="1:18" ht="16.5" customHeight="1" x14ac:dyDescent="0.15">
      <c r="A37" s="41">
        <v>11</v>
      </c>
      <c r="B37" s="41">
        <v>9156</v>
      </c>
      <c r="C37" s="74" t="s">
        <v>14910</v>
      </c>
      <c r="D37" s="799"/>
      <c r="E37" s="796"/>
      <c r="F37" s="35"/>
      <c r="H37" s="281" t="s">
        <v>397</v>
      </c>
      <c r="I37" s="218" t="s">
        <v>398</v>
      </c>
      <c r="J37" s="46">
        <v>1</v>
      </c>
      <c r="K37" s="35"/>
      <c r="N37" s="43"/>
      <c r="O37" s="220"/>
      <c r="P37" s="38"/>
      <c r="Q37" s="95">
        <f>ROUND((ROUND((ROUND((_11_A通院２１．０*_11・重度研修),0)*_11・２人),0)*(1+_11・A夜間)),0)</f>
        <v>220</v>
      </c>
      <c r="R37" s="48"/>
    </row>
    <row r="38" spans="1:18" ht="16.5" customHeight="1" x14ac:dyDescent="0.15">
      <c r="A38" s="41">
        <v>11</v>
      </c>
      <c r="B38" s="41" t="s">
        <v>14911</v>
      </c>
      <c r="C38" s="74" t="s">
        <v>14912</v>
      </c>
      <c r="D38" s="799"/>
      <c r="E38" s="796"/>
      <c r="F38" s="35"/>
      <c r="H38" s="282"/>
      <c r="I38" s="45"/>
      <c r="J38" s="46"/>
      <c r="K38" s="35"/>
      <c r="N38" s="734" t="s">
        <v>404</v>
      </c>
      <c r="O38" s="219" t="s">
        <v>398</v>
      </c>
      <c r="P38" s="50">
        <f>_11・初任</f>
        <v>0.7</v>
      </c>
      <c r="Q38" s="95">
        <f>ROUND((ROUND((ROUND((_11_A通院２１．０*_11・重度研修),0)*(1+_11・A夜間)),0)*_11・初任),0)</f>
        <v>154</v>
      </c>
      <c r="R38" s="48"/>
    </row>
    <row r="39" spans="1:18" ht="16.5" customHeight="1" x14ac:dyDescent="0.15">
      <c r="A39" s="41">
        <v>11</v>
      </c>
      <c r="B39" s="41" t="s">
        <v>14913</v>
      </c>
      <c r="C39" s="74" t="s">
        <v>14914</v>
      </c>
      <c r="D39" s="274">
        <f>_11_A通院２１．０</f>
        <v>196</v>
      </c>
      <c r="E39" s="10" t="s">
        <v>392</v>
      </c>
      <c r="F39" s="35"/>
      <c r="H39" s="281" t="s">
        <v>397</v>
      </c>
      <c r="I39" s="218" t="s">
        <v>398</v>
      </c>
      <c r="J39" s="46">
        <v>1</v>
      </c>
      <c r="K39" s="35"/>
      <c r="N39" s="706"/>
      <c r="O39" s="220"/>
      <c r="P39" s="38"/>
      <c r="Q39" s="95">
        <f>ROUND((ROUND((ROUND((ROUND((_11_A通院２１．０*_11・重度研修),0)*_11・２人),0)*(1+_11・A夜間)),0)*_11・初任),0)</f>
        <v>154</v>
      </c>
      <c r="R39" s="48"/>
    </row>
    <row r="40" spans="1:18" ht="16.5" customHeight="1" x14ac:dyDescent="0.15">
      <c r="A40" s="41">
        <v>11</v>
      </c>
      <c r="B40" s="41">
        <v>9157</v>
      </c>
      <c r="C40" s="74" t="s">
        <v>14915</v>
      </c>
      <c r="D40" s="707" t="s">
        <v>1732</v>
      </c>
      <c r="E40" s="798"/>
      <c r="F40" s="35"/>
      <c r="H40" s="282"/>
      <c r="I40" s="45"/>
      <c r="J40" s="46"/>
      <c r="K40" s="35"/>
      <c r="N40" s="53"/>
      <c r="O40" s="245"/>
      <c r="P40" s="50"/>
      <c r="Q40" s="95">
        <f>ROUND((ROUND((_11_A通院２１．５*_11・重度研修),0)*(1+_11・A夜間)),0)</f>
        <v>309</v>
      </c>
      <c r="R40" s="48"/>
    </row>
    <row r="41" spans="1:18" ht="16.5" customHeight="1" x14ac:dyDescent="0.15">
      <c r="A41" s="41">
        <v>11</v>
      </c>
      <c r="B41" s="41">
        <v>9158</v>
      </c>
      <c r="C41" s="74" t="s">
        <v>14916</v>
      </c>
      <c r="D41" s="799"/>
      <c r="E41" s="796"/>
      <c r="F41" s="35"/>
      <c r="H41" s="281" t="s">
        <v>397</v>
      </c>
      <c r="I41" s="218" t="s">
        <v>398</v>
      </c>
      <c r="J41" s="46">
        <v>1</v>
      </c>
      <c r="K41" s="35"/>
      <c r="N41" s="43"/>
      <c r="O41" s="220"/>
      <c r="P41" s="38"/>
      <c r="Q41" s="95">
        <f>ROUND((ROUND((ROUND((_11_A通院２１．５*_11・重度研修),0)*_11・２人),0)*(1+_11・A夜間)),0)</f>
        <v>309</v>
      </c>
      <c r="R41" s="48"/>
    </row>
    <row r="42" spans="1:18" ht="16.5" customHeight="1" x14ac:dyDescent="0.15">
      <c r="A42" s="41">
        <v>11</v>
      </c>
      <c r="B42" s="41" t="s">
        <v>14917</v>
      </c>
      <c r="C42" s="74" t="s">
        <v>14918</v>
      </c>
      <c r="D42" s="799"/>
      <c r="E42" s="796"/>
      <c r="F42" s="35"/>
      <c r="H42" s="282"/>
      <c r="I42" s="45"/>
      <c r="J42" s="46"/>
      <c r="K42" s="35"/>
      <c r="N42" s="734" t="s">
        <v>404</v>
      </c>
      <c r="O42" s="219" t="s">
        <v>398</v>
      </c>
      <c r="P42" s="50">
        <f>_11・初任</f>
        <v>0.7</v>
      </c>
      <c r="Q42" s="95">
        <f>ROUND((ROUND((ROUND((_11_A通院２１．５*_11・重度研修),0)*(1+_11・A夜間)),0)*_11・初任),0)</f>
        <v>216</v>
      </c>
      <c r="R42" s="48"/>
    </row>
    <row r="43" spans="1:18" ht="16.5" customHeight="1" x14ac:dyDescent="0.15">
      <c r="A43" s="41">
        <v>11</v>
      </c>
      <c r="B43" s="41" t="s">
        <v>14919</v>
      </c>
      <c r="C43" s="74" t="s">
        <v>14920</v>
      </c>
      <c r="D43" s="274">
        <f>_11_A通院２１．５</f>
        <v>274</v>
      </c>
      <c r="E43" s="10" t="s">
        <v>392</v>
      </c>
      <c r="F43" s="35"/>
      <c r="H43" s="281" t="s">
        <v>397</v>
      </c>
      <c r="I43" s="218" t="s">
        <v>398</v>
      </c>
      <c r="J43" s="46">
        <v>1</v>
      </c>
      <c r="K43" s="35"/>
      <c r="N43" s="706"/>
      <c r="O43" s="220"/>
      <c r="P43" s="38"/>
      <c r="Q43" s="95">
        <f>ROUND((ROUND((ROUND((ROUND((_11_A通院２１．５*_11・重度研修),0)*_11・２人),0)*(1+_11・A夜間)),0)*_11・初任),0)</f>
        <v>216</v>
      </c>
      <c r="R43" s="48"/>
    </row>
    <row r="44" spans="1:18" ht="16.5" customHeight="1" x14ac:dyDescent="0.15">
      <c r="A44" s="41">
        <v>11</v>
      </c>
      <c r="B44" s="41">
        <v>9159</v>
      </c>
      <c r="C44" s="74" t="s">
        <v>14921</v>
      </c>
      <c r="D44" s="707" t="s">
        <v>782</v>
      </c>
      <c r="E44" s="798"/>
      <c r="F44" s="35"/>
      <c r="H44" s="282"/>
      <c r="I44" s="45"/>
      <c r="J44" s="46"/>
      <c r="K44" s="35"/>
      <c r="N44" s="53"/>
      <c r="O44" s="245"/>
      <c r="P44" s="50"/>
      <c r="Q44" s="95">
        <f>ROUND((ROUND((_11_A通院２２．０*_11・重度研修),0)*(1+_11・A夜間)),0)</f>
        <v>386</v>
      </c>
      <c r="R44" s="48"/>
    </row>
    <row r="45" spans="1:18" ht="16.5" customHeight="1" x14ac:dyDescent="0.15">
      <c r="A45" s="41">
        <v>11</v>
      </c>
      <c r="B45" s="41">
        <v>9160</v>
      </c>
      <c r="C45" s="74" t="s">
        <v>14922</v>
      </c>
      <c r="D45" s="799"/>
      <c r="E45" s="796"/>
      <c r="F45" s="35"/>
      <c r="H45" s="281" t="s">
        <v>397</v>
      </c>
      <c r="I45" s="218" t="s">
        <v>398</v>
      </c>
      <c r="J45" s="46">
        <v>1</v>
      </c>
      <c r="K45" s="35"/>
      <c r="N45" s="43"/>
      <c r="O45" s="220"/>
      <c r="P45" s="38"/>
      <c r="Q45" s="95">
        <f>ROUND((ROUND((ROUND((_11_A通院２２．０*_11・重度研修),0)*_11・２人),0)*(1+_11・A夜間)),0)</f>
        <v>386</v>
      </c>
      <c r="R45" s="48"/>
    </row>
    <row r="46" spans="1:18" ht="16.5" customHeight="1" x14ac:dyDescent="0.15">
      <c r="A46" s="41">
        <v>11</v>
      </c>
      <c r="B46" s="41" t="s">
        <v>14923</v>
      </c>
      <c r="C46" s="74" t="s">
        <v>14924</v>
      </c>
      <c r="D46" s="799"/>
      <c r="E46" s="796"/>
      <c r="F46" s="35"/>
      <c r="H46" s="282"/>
      <c r="I46" s="45"/>
      <c r="J46" s="46"/>
      <c r="K46" s="35"/>
      <c r="N46" s="734" t="s">
        <v>404</v>
      </c>
      <c r="O46" s="219" t="s">
        <v>398</v>
      </c>
      <c r="P46" s="50">
        <f>_11・初任</f>
        <v>0.7</v>
      </c>
      <c r="Q46" s="95">
        <f>ROUND((ROUND((ROUND((_11_A通院２２．０*_11・重度研修),0)*(1+_11・A夜間)),0)*_11・初任),0)</f>
        <v>270</v>
      </c>
      <c r="R46" s="48"/>
    </row>
    <row r="47" spans="1:18" ht="16.5" customHeight="1" x14ac:dyDescent="0.15">
      <c r="A47" s="41">
        <v>11</v>
      </c>
      <c r="B47" s="41" t="s">
        <v>14925</v>
      </c>
      <c r="C47" s="74" t="s">
        <v>14926</v>
      </c>
      <c r="D47" s="274">
        <f>_11_A通院２２．０</f>
        <v>343</v>
      </c>
      <c r="E47" s="10" t="s">
        <v>392</v>
      </c>
      <c r="F47" s="35"/>
      <c r="H47" s="281" t="s">
        <v>397</v>
      </c>
      <c r="I47" s="218" t="s">
        <v>398</v>
      </c>
      <c r="J47" s="46">
        <v>1</v>
      </c>
      <c r="K47" s="35"/>
      <c r="N47" s="706"/>
      <c r="O47" s="220"/>
      <c r="P47" s="38"/>
      <c r="Q47" s="95">
        <f>ROUND((ROUND((ROUND((ROUND((_11_A通院２２．０*_11・重度研修),0)*_11・２人),0)*(1+_11・A夜間)),0)*_11・初任),0)</f>
        <v>270</v>
      </c>
      <c r="R47" s="48"/>
    </row>
    <row r="48" spans="1:18" ht="16.5" customHeight="1" x14ac:dyDescent="0.15">
      <c r="A48" s="41">
        <v>11</v>
      </c>
      <c r="B48" s="41">
        <v>9161</v>
      </c>
      <c r="C48" s="74" t="s">
        <v>14927</v>
      </c>
      <c r="D48" s="707" t="s">
        <v>795</v>
      </c>
      <c r="E48" s="798"/>
      <c r="F48" s="35"/>
      <c r="H48" s="282"/>
      <c r="I48" s="45"/>
      <c r="J48" s="46"/>
      <c r="K48" s="35"/>
      <c r="N48" s="53"/>
      <c r="O48" s="245"/>
      <c r="P48" s="50"/>
      <c r="Q48" s="95">
        <f>ROUND((ROUND((_11_A通院２２．５*_11・重度研修),0)*(1+_11・A夜間)),0)</f>
        <v>464</v>
      </c>
      <c r="R48" s="48"/>
    </row>
    <row r="49" spans="1:18" ht="16.5" customHeight="1" x14ac:dyDescent="0.15">
      <c r="A49" s="41">
        <v>11</v>
      </c>
      <c r="B49" s="41">
        <v>9162</v>
      </c>
      <c r="C49" s="74" t="s">
        <v>14928</v>
      </c>
      <c r="D49" s="799"/>
      <c r="E49" s="796"/>
      <c r="F49" s="35"/>
      <c r="H49" s="281" t="s">
        <v>397</v>
      </c>
      <c r="I49" s="218" t="s">
        <v>398</v>
      </c>
      <c r="J49" s="46">
        <v>1</v>
      </c>
      <c r="K49" s="35"/>
      <c r="N49" s="43"/>
      <c r="O49" s="220"/>
      <c r="P49" s="38"/>
      <c r="Q49" s="95">
        <f>ROUND((ROUND((ROUND((_11_A通院２２．５*_11・重度研修),0)*_11・２人),0)*(1+_11・A夜間)),0)</f>
        <v>464</v>
      </c>
      <c r="R49" s="48"/>
    </row>
    <row r="50" spans="1:18" ht="16.5" customHeight="1" x14ac:dyDescent="0.15">
      <c r="A50" s="41">
        <v>11</v>
      </c>
      <c r="B50" s="41" t="s">
        <v>14929</v>
      </c>
      <c r="C50" s="74" t="s">
        <v>14930</v>
      </c>
      <c r="D50" s="799"/>
      <c r="E50" s="796"/>
      <c r="F50" s="35"/>
      <c r="H50" s="282"/>
      <c r="I50" s="45"/>
      <c r="J50" s="46"/>
      <c r="K50" s="35"/>
      <c r="N50" s="734" t="s">
        <v>404</v>
      </c>
      <c r="O50" s="219" t="s">
        <v>398</v>
      </c>
      <c r="P50" s="50">
        <f>_11・初任</f>
        <v>0.7</v>
      </c>
      <c r="Q50" s="95">
        <f>ROUND((ROUND((ROUND((_11_A通院２２．５*_11・重度研修),0)*(1+_11・A夜間)),0)*_11・初任),0)</f>
        <v>325</v>
      </c>
      <c r="R50" s="48"/>
    </row>
    <row r="51" spans="1:18" ht="16.5" customHeight="1" x14ac:dyDescent="0.15">
      <c r="A51" s="41">
        <v>11</v>
      </c>
      <c r="B51" s="41" t="s">
        <v>14931</v>
      </c>
      <c r="C51" s="74" t="s">
        <v>14932</v>
      </c>
      <c r="D51" s="274">
        <f>_11_A通院２２．５</f>
        <v>412</v>
      </c>
      <c r="E51" s="10" t="s">
        <v>392</v>
      </c>
      <c r="F51" s="35"/>
      <c r="H51" s="281" t="s">
        <v>397</v>
      </c>
      <c r="I51" s="218" t="s">
        <v>398</v>
      </c>
      <c r="J51" s="46">
        <v>1</v>
      </c>
      <c r="K51" s="35"/>
      <c r="N51" s="706"/>
      <c r="O51" s="220"/>
      <c r="P51" s="38"/>
      <c r="Q51" s="95">
        <f>ROUND((ROUND((ROUND((ROUND((_11_A通院２２．５*_11・重度研修),0)*_11・２人),0)*(1+_11・A夜間)),0)*_11・初任),0)</f>
        <v>325</v>
      </c>
      <c r="R51" s="48"/>
    </row>
    <row r="52" spans="1:18" ht="16.5" customHeight="1" x14ac:dyDescent="0.15">
      <c r="A52" s="41">
        <v>11</v>
      </c>
      <c r="B52" s="41">
        <v>9163</v>
      </c>
      <c r="C52" s="74" t="s">
        <v>14933</v>
      </c>
      <c r="D52" s="707" t="s">
        <v>808</v>
      </c>
      <c r="E52" s="798"/>
      <c r="F52" s="35"/>
      <c r="H52" s="282"/>
      <c r="I52" s="45"/>
      <c r="J52" s="46"/>
      <c r="K52" s="35"/>
      <c r="N52" s="53"/>
      <c r="O52" s="245"/>
      <c r="P52" s="50"/>
      <c r="Q52" s="95">
        <f>ROUND((ROUND((_11_A通院２３．０*_11・重度研修),0)*(1+_11・A夜間)),0)</f>
        <v>541</v>
      </c>
      <c r="R52" s="48"/>
    </row>
    <row r="53" spans="1:18" ht="16.5" customHeight="1" x14ac:dyDescent="0.15">
      <c r="A53" s="41">
        <v>11</v>
      </c>
      <c r="B53" s="41">
        <v>9164</v>
      </c>
      <c r="C53" s="74" t="s">
        <v>14934</v>
      </c>
      <c r="D53" s="799"/>
      <c r="E53" s="796"/>
      <c r="F53" s="35"/>
      <c r="H53" s="281" t="s">
        <v>397</v>
      </c>
      <c r="I53" s="218" t="s">
        <v>398</v>
      </c>
      <c r="J53" s="46">
        <v>1</v>
      </c>
      <c r="K53" s="35"/>
      <c r="N53" s="43"/>
      <c r="O53" s="220"/>
      <c r="P53" s="38"/>
      <c r="Q53" s="95">
        <f>ROUND((ROUND((ROUND((_11_A通院２３．０*_11・重度研修),0)*_11・２人),0)*(1+_11・A夜間)),0)</f>
        <v>541</v>
      </c>
      <c r="R53" s="48"/>
    </row>
    <row r="54" spans="1:18" ht="16.5" customHeight="1" x14ac:dyDescent="0.15">
      <c r="A54" s="41">
        <v>11</v>
      </c>
      <c r="B54" s="41" t="s">
        <v>14935</v>
      </c>
      <c r="C54" s="74" t="s">
        <v>14936</v>
      </c>
      <c r="D54" s="799"/>
      <c r="E54" s="796"/>
      <c r="F54" s="35"/>
      <c r="H54" s="282"/>
      <c r="I54" s="45"/>
      <c r="J54" s="46"/>
      <c r="K54" s="35"/>
      <c r="N54" s="734" t="s">
        <v>404</v>
      </c>
      <c r="O54" s="219" t="s">
        <v>398</v>
      </c>
      <c r="P54" s="50">
        <f>_11・初任</f>
        <v>0.7</v>
      </c>
      <c r="Q54" s="95">
        <f>ROUND((ROUND((ROUND((_11_A通院２３．０*_11・重度研修),0)*(1+_11・A夜間)),0)*_11・初任),0)</f>
        <v>379</v>
      </c>
      <c r="R54" s="48"/>
    </row>
    <row r="55" spans="1:18" ht="16.5" customHeight="1" x14ac:dyDescent="0.15">
      <c r="A55" s="41">
        <v>11</v>
      </c>
      <c r="B55" s="41" t="s">
        <v>14937</v>
      </c>
      <c r="C55" s="74" t="s">
        <v>14938</v>
      </c>
      <c r="D55" s="274">
        <f>_11_A通院２３．０</f>
        <v>481</v>
      </c>
      <c r="E55" s="10" t="s">
        <v>392</v>
      </c>
      <c r="F55" s="35"/>
      <c r="H55" s="281" t="s">
        <v>397</v>
      </c>
      <c r="I55" s="218" t="s">
        <v>398</v>
      </c>
      <c r="J55" s="46">
        <v>1</v>
      </c>
      <c r="K55" s="35"/>
      <c r="N55" s="706"/>
      <c r="O55" s="220"/>
      <c r="P55" s="38"/>
      <c r="Q55" s="95">
        <f>ROUND((ROUND((ROUND((ROUND((_11_A通院２３．０*_11・重度研修),0)*_11・２人),0)*(1+_11・A夜間)),0)*_11・初任),0)</f>
        <v>379</v>
      </c>
      <c r="R55" s="48"/>
    </row>
    <row r="56" spans="1:18" ht="16.5" customHeight="1" x14ac:dyDescent="0.15">
      <c r="A56" s="41">
        <v>11</v>
      </c>
      <c r="B56" s="41">
        <v>9165</v>
      </c>
      <c r="C56" s="74" t="s">
        <v>14939</v>
      </c>
      <c r="D56" s="707" t="s">
        <v>821</v>
      </c>
      <c r="E56" s="798"/>
      <c r="F56" s="35"/>
      <c r="H56" s="282"/>
      <c r="I56" s="45"/>
      <c r="J56" s="46"/>
      <c r="K56" s="35"/>
      <c r="N56" s="53"/>
      <c r="O56" s="245"/>
      <c r="P56" s="50"/>
      <c r="Q56" s="95">
        <f>ROUND((ROUND((_11_A通院２３．５*_11・重度研修),0)*(1+_11・A夜間)),0)</f>
        <v>619</v>
      </c>
      <c r="R56" s="48"/>
    </row>
    <row r="57" spans="1:18" ht="16.5" customHeight="1" x14ac:dyDescent="0.15">
      <c r="A57" s="41">
        <v>11</v>
      </c>
      <c r="B57" s="41">
        <v>9166</v>
      </c>
      <c r="C57" s="74" t="s">
        <v>14940</v>
      </c>
      <c r="D57" s="799"/>
      <c r="E57" s="796"/>
      <c r="F57" s="35"/>
      <c r="H57" s="281" t="s">
        <v>397</v>
      </c>
      <c r="I57" s="218" t="s">
        <v>398</v>
      </c>
      <c r="J57" s="46">
        <v>1</v>
      </c>
      <c r="K57" s="35"/>
      <c r="N57" s="43"/>
      <c r="O57" s="220"/>
      <c r="P57" s="38"/>
      <c r="Q57" s="95">
        <f>ROUND((ROUND((ROUND((_11_A通院２３．５*_11・重度研修),0)*_11・２人),0)*(1+_11・A夜間)),0)</f>
        <v>619</v>
      </c>
      <c r="R57" s="48"/>
    </row>
    <row r="58" spans="1:18" ht="16.5" customHeight="1" x14ac:dyDescent="0.15">
      <c r="A58" s="41">
        <v>11</v>
      </c>
      <c r="B58" s="41" t="s">
        <v>14941</v>
      </c>
      <c r="C58" s="74" t="s">
        <v>14942</v>
      </c>
      <c r="D58" s="799"/>
      <c r="E58" s="796"/>
      <c r="F58" s="35"/>
      <c r="H58" s="282"/>
      <c r="I58" s="45"/>
      <c r="J58" s="46"/>
      <c r="K58" s="35"/>
      <c r="N58" s="734" t="s">
        <v>404</v>
      </c>
      <c r="O58" s="219" t="s">
        <v>398</v>
      </c>
      <c r="P58" s="50">
        <f>_11・初任</f>
        <v>0.7</v>
      </c>
      <c r="Q58" s="95">
        <f>ROUND((ROUND((ROUND((_11_A通院２３．５*_11・重度研修),0)*(1+_11・A夜間)),0)*_11・初任),0)</f>
        <v>433</v>
      </c>
      <c r="R58" s="48"/>
    </row>
    <row r="59" spans="1:18" ht="16.5" customHeight="1" x14ac:dyDescent="0.15">
      <c r="A59" s="41">
        <v>11</v>
      </c>
      <c r="B59" s="41" t="s">
        <v>14943</v>
      </c>
      <c r="C59" s="74" t="s">
        <v>14944</v>
      </c>
      <c r="D59" s="274">
        <f>_11_A通院２３．５</f>
        <v>550</v>
      </c>
      <c r="E59" s="10" t="s">
        <v>392</v>
      </c>
      <c r="F59" s="35"/>
      <c r="H59" s="281" t="s">
        <v>397</v>
      </c>
      <c r="I59" s="218" t="s">
        <v>398</v>
      </c>
      <c r="J59" s="46">
        <v>1</v>
      </c>
      <c r="K59" s="35"/>
      <c r="N59" s="706"/>
      <c r="O59" s="220"/>
      <c r="P59" s="38"/>
      <c r="Q59" s="95">
        <f>ROUND((ROUND((ROUND((ROUND((_11_A通院２３．５*_11・重度研修),0)*_11・２人),0)*(1+_11・A夜間)),0)*_11・初任),0)</f>
        <v>433</v>
      </c>
      <c r="R59" s="48"/>
    </row>
    <row r="60" spans="1:18" ht="16.5" customHeight="1" x14ac:dyDescent="0.15">
      <c r="A60" s="41">
        <v>11</v>
      </c>
      <c r="B60" s="41">
        <v>9167</v>
      </c>
      <c r="C60" s="74" t="s">
        <v>14945</v>
      </c>
      <c r="D60" s="707" t="s">
        <v>834</v>
      </c>
      <c r="E60" s="798"/>
      <c r="F60" s="35"/>
      <c r="H60" s="282"/>
      <c r="I60" s="45"/>
      <c r="J60" s="46"/>
      <c r="K60" s="35"/>
      <c r="N60" s="53"/>
      <c r="O60" s="245"/>
      <c r="P60" s="50"/>
      <c r="Q60" s="95">
        <f>ROUND((ROUND((_11_A通院２４．０*_11・重度研修),0)*(1+_11・A夜間)),0)</f>
        <v>696</v>
      </c>
      <c r="R60" s="48"/>
    </row>
    <row r="61" spans="1:18" ht="16.5" customHeight="1" x14ac:dyDescent="0.15">
      <c r="A61" s="41">
        <v>11</v>
      </c>
      <c r="B61" s="41">
        <v>9168</v>
      </c>
      <c r="C61" s="74" t="s">
        <v>14946</v>
      </c>
      <c r="D61" s="799"/>
      <c r="E61" s="796"/>
      <c r="F61" s="35"/>
      <c r="H61" s="281" t="s">
        <v>397</v>
      </c>
      <c r="I61" s="218" t="s">
        <v>398</v>
      </c>
      <c r="J61" s="46">
        <v>1</v>
      </c>
      <c r="K61" s="35"/>
      <c r="N61" s="43"/>
      <c r="O61" s="220"/>
      <c r="P61" s="38"/>
      <c r="Q61" s="95">
        <f>ROUND((ROUND((ROUND((_11_A通院２４．０*_11・重度研修),0)*_11・２人),0)*(1+_11・A夜間)),0)</f>
        <v>696</v>
      </c>
      <c r="R61" s="48"/>
    </row>
    <row r="62" spans="1:18" ht="16.5" customHeight="1" x14ac:dyDescent="0.15">
      <c r="A62" s="41">
        <v>11</v>
      </c>
      <c r="B62" s="41" t="s">
        <v>14947</v>
      </c>
      <c r="C62" s="74" t="s">
        <v>14948</v>
      </c>
      <c r="D62" s="799"/>
      <c r="E62" s="796"/>
      <c r="F62" s="35"/>
      <c r="H62" s="282"/>
      <c r="I62" s="45"/>
      <c r="J62" s="46"/>
      <c r="K62" s="35"/>
      <c r="N62" s="734" t="s">
        <v>404</v>
      </c>
      <c r="O62" s="219" t="s">
        <v>398</v>
      </c>
      <c r="P62" s="50">
        <f>_11・初任</f>
        <v>0.7</v>
      </c>
      <c r="Q62" s="95">
        <f>ROUND((ROUND((ROUND((_11_A通院２４．０*_11・重度研修),0)*(1+_11・A夜間)),0)*_11・初任),0)</f>
        <v>487</v>
      </c>
      <c r="R62" s="48"/>
    </row>
    <row r="63" spans="1:18" ht="16.5" customHeight="1" x14ac:dyDescent="0.15">
      <c r="A63" s="41">
        <v>11</v>
      </c>
      <c r="B63" s="41" t="s">
        <v>14949</v>
      </c>
      <c r="C63" s="74" t="s">
        <v>14950</v>
      </c>
      <c r="D63" s="276">
        <f>_11_A通院２４．０</f>
        <v>619</v>
      </c>
      <c r="E63" s="190" t="s">
        <v>392</v>
      </c>
      <c r="F63" s="35"/>
      <c r="G63" s="57"/>
      <c r="H63" s="281" t="s">
        <v>397</v>
      </c>
      <c r="I63" s="218" t="s">
        <v>398</v>
      </c>
      <c r="J63" s="46">
        <v>1</v>
      </c>
      <c r="K63" s="35"/>
      <c r="M63" s="234"/>
      <c r="N63" s="706"/>
      <c r="O63" s="220"/>
      <c r="P63" s="38"/>
      <c r="Q63" s="95">
        <f>ROUND((ROUND((ROUND((ROUND((_11_A通院２４．０*_11・重度研修),0)*_11・２人),0)*(1+_11・A夜間)),0)*_11・初任),0)</f>
        <v>487</v>
      </c>
      <c r="R63" s="48"/>
    </row>
    <row r="64" spans="1:18" ht="16.5" customHeight="1" x14ac:dyDescent="0.15">
      <c r="A64" s="33">
        <v>11</v>
      </c>
      <c r="B64" s="33">
        <v>9169</v>
      </c>
      <c r="C64" s="34" t="s">
        <v>14951</v>
      </c>
      <c r="D64" s="709" t="s">
        <v>847</v>
      </c>
      <c r="E64" s="796"/>
      <c r="F64" s="132"/>
      <c r="G64" s="291"/>
      <c r="H64" s="70"/>
      <c r="I64" s="37"/>
      <c r="J64" s="38"/>
      <c r="K64" s="35"/>
      <c r="M64" s="234"/>
      <c r="N64" s="35"/>
      <c r="Q64" s="93">
        <f>ROUND((ROUND((_11_A通院２４．５*_11・重度研修),0)*(1+_11・A夜間)),0)</f>
        <v>774</v>
      </c>
      <c r="R64" s="48"/>
    </row>
    <row r="65" spans="1:18" ht="16.5" customHeight="1" x14ac:dyDescent="0.15">
      <c r="A65" s="41">
        <v>11</v>
      </c>
      <c r="B65" s="41">
        <v>9170</v>
      </c>
      <c r="C65" s="74" t="s">
        <v>14952</v>
      </c>
      <c r="D65" s="799"/>
      <c r="E65" s="796"/>
      <c r="F65" s="292"/>
      <c r="G65" s="291"/>
      <c r="H65" s="281" t="s">
        <v>397</v>
      </c>
      <c r="I65" s="218" t="s">
        <v>398</v>
      </c>
      <c r="J65" s="46">
        <v>1</v>
      </c>
      <c r="K65" s="258"/>
      <c r="L65" s="13"/>
      <c r="M65" s="106"/>
      <c r="N65" s="43"/>
      <c r="O65" s="220"/>
      <c r="P65" s="38"/>
      <c r="Q65" s="95">
        <f>ROUND((ROUND((ROUND((_11_A通院２４．５*_11・重度研修),0)*_11・２人),0)*(1+_11・A夜間)),0)</f>
        <v>774</v>
      </c>
      <c r="R65" s="48"/>
    </row>
    <row r="66" spans="1:18" ht="16.5" customHeight="1" x14ac:dyDescent="0.15">
      <c r="A66" s="41">
        <v>11</v>
      </c>
      <c r="B66" s="41" t="s">
        <v>14953</v>
      </c>
      <c r="C66" s="74" t="s">
        <v>14954</v>
      </c>
      <c r="D66" s="799"/>
      <c r="E66" s="796"/>
      <c r="F66" s="292"/>
      <c r="G66" s="291"/>
      <c r="H66" s="282"/>
      <c r="I66" s="45"/>
      <c r="J66" s="46"/>
      <c r="K66" s="35"/>
      <c r="M66" s="264"/>
      <c r="N66" s="734" t="s">
        <v>404</v>
      </c>
      <c r="O66" s="219" t="s">
        <v>398</v>
      </c>
      <c r="P66" s="50">
        <f>_11・初任</f>
        <v>0.7</v>
      </c>
      <c r="Q66" s="95">
        <f>ROUND((ROUND((ROUND((_11_A通院２４．５*_11・重度研修),0)*(1+_11・A夜間)),0)*_11・初任),0)</f>
        <v>542</v>
      </c>
      <c r="R66" s="48"/>
    </row>
    <row r="67" spans="1:18" ht="16.5" customHeight="1" x14ac:dyDescent="0.15">
      <c r="A67" s="41">
        <v>11</v>
      </c>
      <c r="B67" s="41" t="s">
        <v>14955</v>
      </c>
      <c r="C67" s="74" t="s">
        <v>14956</v>
      </c>
      <c r="D67" s="276">
        <f>_11_A通院２４．５</f>
        <v>688</v>
      </c>
      <c r="E67" s="190" t="s">
        <v>392</v>
      </c>
      <c r="F67" s="293"/>
      <c r="G67" s="244"/>
      <c r="H67" s="281" t="s">
        <v>397</v>
      </c>
      <c r="I67" s="218" t="s">
        <v>398</v>
      </c>
      <c r="J67" s="46">
        <v>1</v>
      </c>
      <c r="K67" s="43"/>
      <c r="L67" s="37"/>
      <c r="M67" s="244"/>
      <c r="N67" s="706"/>
      <c r="O67" s="220"/>
      <c r="P67" s="38"/>
      <c r="Q67" s="95">
        <f>ROUND((ROUND((ROUND((ROUND((_11_A通院２４．５*_11・重度研修),0)*_11・２人),0)*(1+_11・A夜間)),0)*_11・初任),0)</f>
        <v>542</v>
      </c>
      <c r="R67" s="63"/>
    </row>
    <row r="68" spans="1:18" ht="16.5" customHeight="1" x14ac:dyDescent="0.15">
      <c r="A68" s="80"/>
      <c r="B68" s="80"/>
      <c r="C68" s="81"/>
      <c r="H68" s="82"/>
      <c r="Q68" s="84"/>
      <c r="R68" s="85"/>
    </row>
    <row r="69" spans="1:18" ht="16.5" customHeight="1" x14ac:dyDescent="0.15">
      <c r="A69" s="80"/>
      <c r="B69" s="80"/>
      <c r="C69" s="81"/>
      <c r="H69" s="82"/>
      <c r="Q69" s="84"/>
      <c r="R69" s="85"/>
    </row>
    <row r="70" spans="1:18" ht="16.5" customHeight="1" x14ac:dyDescent="0.15">
      <c r="A70" s="80"/>
      <c r="B70" s="86" t="s">
        <v>14957</v>
      </c>
      <c r="C70" s="81"/>
      <c r="D70" s="71"/>
      <c r="H70" s="82"/>
      <c r="Q70" s="84"/>
      <c r="R70" s="85"/>
    </row>
    <row r="71" spans="1:18" ht="16.5" customHeight="1" x14ac:dyDescent="0.15">
      <c r="A71" s="87" t="s">
        <v>384</v>
      </c>
      <c r="B71" s="20"/>
      <c r="C71" s="88" t="s">
        <v>385</v>
      </c>
      <c r="D71" s="23" t="s">
        <v>386</v>
      </c>
      <c r="E71" s="23"/>
      <c r="F71" s="23"/>
      <c r="G71" s="23"/>
      <c r="H71" s="283"/>
      <c r="I71" s="23"/>
      <c r="J71" s="24"/>
      <c r="K71" s="23"/>
      <c r="L71" s="23"/>
      <c r="M71" s="24"/>
      <c r="N71" s="23"/>
      <c r="O71" s="166"/>
      <c r="P71" s="24"/>
      <c r="Q71" s="25" t="s">
        <v>387</v>
      </c>
      <c r="R71" s="21" t="s">
        <v>388</v>
      </c>
    </row>
    <row r="72" spans="1:18" ht="16.5" customHeight="1" x14ac:dyDescent="0.15">
      <c r="A72" s="26" t="s">
        <v>389</v>
      </c>
      <c r="B72" s="26" t="s">
        <v>390</v>
      </c>
      <c r="C72" s="89"/>
      <c r="D72" s="29"/>
      <c r="E72" s="29"/>
      <c r="F72" s="29"/>
      <c r="G72" s="29"/>
      <c r="H72" s="284"/>
      <c r="I72" s="29"/>
      <c r="J72" s="30"/>
      <c r="K72" s="29"/>
      <c r="L72" s="29"/>
      <c r="M72" s="30"/>
      <c r="N72" s="29"/>
      <c r="O72" s="214"/>
      <c r="P72" s="30"/>
      <c r="Q72" s="31" t="s">
        <v>391</v>
      </c>
      <c r="R72" s="32" t="s">
        <v>392</v>
      </c>
    </row>
    <row r="73" spans="1:18" ht="16.5" customHeight="1" x14ac:dyDescent="0.15">
      <c r="A73" s="33">
        <v>11</v>
      </c>
      <c r="B73" s="33">
        <v>9171</v>
      </c>
      <c r="C73" s="34" t="s">
        <v>14958</v>
      </c>
      <c r="D73" s="709" t="s">
        <v>861</v>
      </c>
      <c r="E73" s="796"/>
      <c r="F73" s="709" t="s">
        <v>11707</v>
      </c>
      <c r="G73" s="802"/>
      <c r="H73" s="70"/>
      <c r="I73" s="37"/>
      <c r="J73" s="38"/>
      <c r="K73" s="35" t="s">
        <v>862</v>
      </c>
      <c r="M73" s="234"/>
      <c r="N73" s="35"/>
      <c r="Q73" s="93">
        <f>ROUND((ROUND((_11_A通院２０．５*_11・重度研修),0)*(1+_11・A深夜)),0)</f>
        <v>143</v>
      </c>
      <c r="R73" s="40" t="s">
        <v>395</v>
      </c>
    </row>
    <row r="74" spans="1:18" ht="16.5" customHeight="1" x14ac:dyDescent="0.15">
      <c r="A74" s="41">
        <v>11</v>
      </c>
      <c r="B74" s="41">
        <v>9172</v>
      </c>
      <c r="C74" s="74" t="s">
        <v>14959</v>
      </c>
      <c r="D74" s="799"/>
      <c r="E74" s="796"/>
      <c r="F74" s="722"/>
      <c r="G74" s="802"/>
      <c r="H74" s="281" t="s">
        <v>397</v>
      </c>
      <c r="I74" s="218" t="s">
        <v>398</v>
      </c>
      <c r="J74" s="46">
        <v>1</v>
      </c>
      <c r="K74" s="258" t="s">
        <v>398</v>
      </c>
      <c r="L74" s="13">
        <v>0.5</v>
      </c>
      <c r="M74" s="718" t="s">
        <v>676</v>
      </c>
      <c r="N74" s="43"/>
      <c r="O74" s="220"/>
      <c r="P74" s="38"/>
      <c r="Q74" s="95">
        <f>ROUND((ROUND((ROUND((_11_A通院２０．５*_11・重度研修),0)*_11・２人),0)*(1+_11・A深夜)),0)</f>
        <v>143</v>
      </c>
      <c r="R74" s="48"/>
    </row>
    <row r="75" spans="1:18" ht="16.5" customHeight="1" x14ac:dyDescent="0.15">
      <c r="A75" s="41">
        <v>11</v>
      </c>
      <c r="B75" s="41" t="s">
        <v>14960</v>
      </c>
      <c r="C75" s="74" t="s">
        <v>14961</v>
      </c>
      <c r="D75" s="799"/>
      <c r="E75" s="796"/>
      <c r="F75" s="722"/>
      <c r="G75" s="802"/>
      <c r="H75" s="282"/>
      <c r="I75" s="45"/>
      <c r="J75" s="46"/>
      <c r="K75" s="35"/>
      <c r="M75" s="796"/>
      <c r="N75" s="734" t="s">
        <v>404</v>
      </c>
      <c r="O75" s="219" t="s">
        <v>398</v>
      </c>
      <c r="P75" s="50">
        <f>_11・初任</f>
        <v>0.7</v>
      </c>
      <c r="Q75" s="95">
        <f>ROUND((ROUND((ROUND((_11_A通院２０．５*_11・重度研修),0)*(1+_11・A深夜)),0)*_11・初任),0)</f>
        <v>100</v>
      </c>
      <c r="R75" s="48"/>
    </row>
    <row r="76" spans="1:18" ht="16.5" customHeight="1" x14ac:dyDescent="0.15">
      <c r="A76" s="41">
        <v>11</v>
      </c>
      <c r="B76" s="41" t="s">
        <v>14962</v>
      </c>
      <c r="C76" s="74" t="s">
        <v>14963</v>
      </c>
      <c r="D76" s="274">
        <f>_11_A通院２０．５</f>
        <v>105</v>
      </c>
      <c r="E76" s="10" t="s">
        <v>392</v>
      </c>
      <c r="F76" s="258" t="s">
        <v>398</v>
      </c>
      <c r="G76" s="234">
        <v>0.9</v>
      </c>
      <c r="H76" s="281" t="s">
        <v>397</v>
      </c>
      <c r="I76" s="218" t="s">
        <v>398</v>
      </c>
      <c r="J76" s="46">
        <v>1</v>
      </c>
      <c r="K76" s="35"/>
      <c r="M76" s="234"/>
      <c r="N76" s="706"/>
      <c r="O76" s="220"/>
      <c r="P76" s="38"/>
      <c r="Q76" s="95">
        <f>ROUND((ROUND((ROUND((ROUND((_11_A通院２０．５*_11・重度研修),0)*_11・２人),0)*(1+_11・A深夜)),0)*_11・初任),0)</f>
        <v>100</v>
      </c>
      <c r="R76" s="48"/>
    </row>
    <row r="77" spans="1:18" ht="16.5" customHeight="1" x14ac:dyDescent="0.15">
      <c r="A77" s="41">
        <v>11</v>
      </c>
      <c r="B77" s="41">
        <v>9173</v>
      </c>
      <c r="C77" s="74" t="s">
        <v>14964</v>
      </c>
      <c r="D77" s="707" t="s">
        <v>876</v>
      </c>
      <c r="E77" s="798"/>
      <c r="F77" s="35"/>
      <c r="H77" s="282"/>
      <c r="I77" s="45"/>
      <c r="J77" s="46"/>
      <c r="K77" s="35"/>
      <c r="N77" s="53"/>
      <c r="O77" s="245"/>
      <c r="P77" s="50"/>
      <c r="Q77" s="95">
        <f>ROUND((ROUND((_11_A通院２１．０*_11・重度研修),0)*(1+_11・A深夜)),0)</f>
        <v>264</v>
      </c>
      <c r="R77" s="48"/>
    </row>
    <row r="78" spans="1:18" ht="16.5" customHeight="1" x14ac:dyDescent="0.15">
      <c r="A78" s="41">
        <v>11</v>
      </c>
      <c r="B78" s="41">
        <v>9174</v>
      </c>
      <c r="C78" s="74" t="s">
        <v>14965</v>
      </c>
      <c r="D78" s="799"/>
      <c r="E78" s="796"/>
      <c r="F78" s="35"/>
      <c r="H78" s="281" t="s">
        <v>397</v>
      </c>
      <c r="I78" s="218" t="s">
        <v>398</v>
      </c>
      <c r="J78" s="46">
        <v>1</v>
      </c>
      <c r="K78" s="35"/>
      <c r="N78" s="43"/>
      <c r="O78" s="220"/>
      <c r="P78" s="38"/>
      <c r="Q78" s="95">
        <f>ROUND((ROUND((ROUND((_11_A通院２１．０*_11・重度研修),0)*_11・２人),0)*(1+_11・A深夜)),0)</f>
        <v>264</v>
      </c>
      <c r="R78" s="48"/>
    </row>
    <row r="79" spans="1:18" ht="16.5" customHeight="1" x14ac:dyDescent="0.15">
      <c r="A79" s="41">
        <v>11</v>
      </c>
      <c r="B79" s="41" t="s">
        <v>14966</v>
      </c>
      <c r="C79" s="74" t="s">
        <v>14967</v>
      </c>
      <c r="D79" s="799"/>
      <c r="E79" s="796"/>
      <c r="F79" s="35"/>
      <c r="H79" s="282"/>
      <c r="I79" s="45"/>
      <c r="J79" s="46"/>
      <c r="K79" s="35"/>
      <c r="N79" s="734" t="s">
        <v>404</v>
      </c>
      <c r="O79" s="219" t="s">
        <v>398</v>
      </c>
      <c r="P79" s="50">
        <f>_11・初任</f>
        <v>0.7</v>
      </c>
      <c r="Q79" s="95">
        <f>ROUND((ROUND((ROUND((_11_A通院２１．０*_11・重度研修),0)*(1+_11・A深夜)),0)*_11・初任),0)</f>
        <v>185</v>
      </c>
      <c r="R79" s="48"/>
    </row>
    <row r="80" spans="1:18" ht="16.5" customHeight="1" x14ac:dyDescent="0.15">
      <c r="A80" s="41">
        <v>11</v>
      </c>
      <c r="B80" s="41" t="s">
        <v>14968</v>
      </c>
      <c r="C80" s="74" t="s">
        <v>14969</v>
      </c>
      <c r="D80" s="274">
        <f>_11_A通院２１．０</f>
        <v>196</v>
      </c>
      <c r="E80" s="10" t="s">
        <v>392</v>
      </c>
      <c r="F80" s="35"/>
      <c r="H80" s="281" t="s">
        <v>397</v>
      </c>
      <c r="I80" s="218" t="s">
        <v>398</v>
      </c>
      <c r="J80" s="46">
        <v>1</v>
      </c>
      <c r="K80" s="35"/>
      <c r="N80" s="706"/>
      <c r="O80" s="220"/>
      <c r="P80" s="38"/>
      <c r="Q80" s="95">
        <f>ROUND((ROUND((ROUND((ROUND((_11_A通院２１．０*_11・重度研修),0)*_11・２人),0)*(1+_11・A深夜)),0)*_11・初任),0)</f>
        <v>185</v>
      </c>
      <c r="R80" s="48"/>
    </row>
    <row r="81" spans="1:18" ht="16.5" customHeight="1" x14ac:dyDescent="0.15">
      <c r="A81" s="41">
        <v>11</v>
      </c>
      <c r="B81" s="41">
        <v>9175</v>
      </c>
      <c r="C81" s="74" t="s">
        <v>14970</v>
      </c>
      <c r="D81" s="707" t="s">
        <v>889</v>
      </c>
      <c r="E81" s="798"/>
      <c r="F81" s="35"/>
      <c r="H81" s="282"/>
      <c r="I81" s="45"/>
      <c r="J81" s="46"/>
      <c r="K81" s="35"/>
      <c r="N81" s="53"/>
      <c r="O81" s="245"/>
      <c r="P81" s="50"/>
      <c r="Q81" s="95">
        <f>ROUND((ROUND((_11_A通院２１．５*_11・重度研修),0)*(1+_11・A深夜)),0)</f>
        <v>371</v>
      </c>
      <c r="R81" s="48"/>
    </row>
    <row r="82" spans="1:18" ht="16.5" customHeight="1" x14ac:dyDescent="0.15">
      <c r="A82" s="41">
        <v>11</v>
      </c>
      <c r="B82" s="41">
        <v>9176</v>
      </c>
      <c r="C82" s="74" t="s">
        <v>14971</v>
      </c>
      <c r="D82" s="799"/>
      <c r="E82" s="796"/>
      <c r="F82" s="35"/>
      <c r="H82" s="281" t="s">
        <v>397</v>
      </c>
      <c r="I82" s="218" t="s">
        <v>398</v>
      </c>
      <c r="J82" s="46">
        <v>1</v>
      </c>
      <c r="K82" s="35"/>
      <c r="N82" s="43"/>
      <c r="O82" s="220"/>
      <c r="P82" s="38"/>
      <c r="Q82" s="95">
        <f>ROUND((ROUND((ROUND((_11_A通院２１．５*_11・重度研修),0)*_11・２人),0)*(1+_11・A深夜)),0)</f>
        <v>371</v>
      </c>
      <c r="R82" s="48"/>
    </row>
    <row r="83" spans="1:18" ht="16.5" customHeight="1" x14ac:dyDescent="0.15">
      <c r="A83" s="41">
        <v>11</v>
      </c>
      <c r="B83" s="41" t="s">
        <v>14972</v>
      </c>
      <c r="C83" s="74" t="s">
        <v>14973</v>
      </c>
      <c r="D83" s="799"/>
      <c r="E83" s="796"/>
      <c r="F83" s="35"/>
      <c r="H83" s="282"/>
      <c r="I83" s="45"/>
      <c r="J83" s="46"/>
      <c r="K83" s="35"/>
      <c r="N83" s="734" t="s">
        <v>404</v>
      </c>
      <c r="O83" s="219" t="s">
        <v>398</v>
      </c>
      <c r="P83" s="50">
        <f>_11・初任</f>
        <v>0.7</v>
      </c>
      <c r="Q83" s="95">
        <f>ROUND((ROUND((ROUND((_11_A通院２１．５*_11・重度研修),0)*(1+_11・A深夜)),0)*_11・初任),0)</f>
        <v>260</v>
      </c>
      <c r="R83" s="48"/>
    </row>
    <row r="84" spans="1:18" ht="16.5" customHeight="1" x14ac:dyDescent="0.15">
      <c r="A84" s="41">
        <v>11</v>
      </c>
      <c r="B84" s="41" t="s">
        <v>14974</v>
      </c>
      <c r="C84" s="74" t="s">
        <v>14975</v>
      </c>
      <c r="D84" s="274">
        <f>_11_A通院２１．５</f>
        <v>274</v>
      </c>
      <c r="E84" s="10" t="s">
        <v>392</v>
      </c>
      <c r="F84" s="35"/>
      <c r="H84" s="281" t="s">
        <v>397</v>
      </c>
      <c r="I84" s="218" t="s">
        <v>398</v>
      </c>
      <c r="J84" s="46">
        <v>1</v>
      </c>
      <c r="K84" s="35"/>
      <c r="N84" s="706"/>
      <c r="O84" s="220"/>
      <c r="P84" s="38"/>
      <c r="Q84" s="95">
        <f>ROUND((ROUND((ROUND((ROUND((_11_A通院２１．５*_11・重度研修),0)*_11・２人),0)*(1+_11・A深夜)),0)*_11・初任),0)</f>
        <v>260</v>
      </c>
      <c r="R84" s="48"/>
    </row>
    <row r="85" spans="1:18" ht="16.5" customHeight="1" x14ac:dyDescent="0.15">
      <c r="A85" s="41">
        <v>11</v>
      </c>
      <c r="B85" s="41">
        <v>9177</v>
      </c>
      <c r="C85" s="74" t="s">
        <v>14976</v>
      </c>
      <c r="D85" s="707" t="s">
        <v>1188</v>
      </c>
      <c r="E85" s="798"/>
      <c r="F85" s="35"/>
      <c r="H85" s="282"/>
      <c r="I85" s="45"/>
      <c r="J85" s="46"/>
      <c r="K85" s="35"/>
      <c r="N85" s="53"/>
      <c r="O85" s="245"/>
      <c r="P85" s="50"/>
      <c r="Q85" s="95">
        <f>ROUND((ROUND((_11_A通院２２．０*_11・重度研修),0)*(1+_11・A深夜)),0)</f>
        <v>464</v>
      </c>
      <c r="R85" s="48"/>
    </row>
    <row r="86" spans="1:18" ht="16.5" customHeight="1" x14ac:dyDescent="0.15">
      <c r="A86" s="41">
        <v>11</v>
      </c>
      <c r="B86" s="41">
        <v>9178</v>
      </c>
      <c r="C86" s="74" t="s">
        <v>14977</v>
      </c>
      <c r="D86" s="799"/>
      <c r="E86" s="796"/>
      <c r="F86" s="35"/>
      <c r="H86" s="281" t="s">
        <v>397</v>
      </c>
      <c r="I86" s="218" t="s">
        <v>398</v>
      </c>
      <c r="J86" s="46">
        <v>1</v>
      </c>
      <c r="K86" s="35"/>
      <c r="N86" s="43"/>
      <c r="O86" s="220"/>
      <c r="P86" s="38"/>
      <c r="Q86" s="95">
        <f>ROUND((ROUND((ROUND((_11_A通院２２．０*_11・重度研修),0)*_11・２人),0)*(1+_11・A深夜)),0)</f>
        <v>464</v>
      </c>
      <c r="R86" s="48"/>
    </row>
    <row r="87" spans="1:18" ht="16.5" customHeight="1" x14ac:dyDescent="0.15">
      <c r="A87" s="41">
        <v>11</v>
      </c>
      <c r="B87" s="41" t="s">
        <v>14978</v>
      </c>
      <c r="C87" s="74" t="s">
        <v>14979</v>
      </c>
      <c r="D87" s="799"/>
      <c r="E87" s="796"/>
      <c r="F87" s="35"/>
      <c r="H87" s="282"/>
      <c r="I87" s="45"/>
      <c r="J87" s="46"/>
      <c r="K87" s="35"/>
      <c r="N87" s="734" t="s">
        <v>404</v>
      </c>
      <c r="O87" s="219" t="s">
        <v>398</v>
      </c>
      <c r="P87" s="50">
        <f>_11・初任</f>
        <v>0.7</v>
      </c>
      <c r="Q87" s="95">
        <f>ROUND((ROUND((ROUND((_11_A通院２２．０*_11・重度研修),0)*(1+_11・A深夜)),0)*_11・初任),0)</f>
        <v>325</v>
      </c>
      <c r="R87" s="48"/>
    </row>
    <row r="88" spans="1:18" ht="16.5" customHeight="1" x14ac:dyDescent="0.15">
      <c r="A88" s="41">
        <v>11</v>
      </c>
      <c r="B88" s="41" t="s">
        <v>14980</v>
      </c>
      <c r="C88" s="74" t="s">
        <v>14981</v>
      </c>
      <c r="D88" s="274">
        <f>_11_A通院２２．０</f>
        <v>343</v>
      </c>
      <c r="E88" s="10" t="s">
        <v>392</v>
      </c>
      <c r="F88" s="35"/>
      <c r="H88" s="281" t="s">
        <v>397</v>
      </c>
      <c r="I88" s="218" t="s">
        <v>398</v>
      </c>
      <c r="J88" s="46">
        <v>1</v>
      </c>
      <c r="K88" s="35"/>
      <c r="N88" s="706"/>
      <c r="O88" s="220"/>
      <c r="P88" s="38"/>
      <c r="Q88" s="95">
        <f>ROUND((ROUND((ROUND((ROUND((_11_A通院２２．０*_11・重度研修),0)*_11・２人),0)*(1+_11・A深夜)),0)*_11・初任),0)</f>
        <v>325</v>
      </c>
      <c r="R88" s="48"/>
    </row>
    <row r="89" spans="1:18" ht="16.5" customHeight="1" x14ac:dyDescent="0.15">
      <c r="A89" s="41">
        <v>11</v>
      </c>
      <c r="B89" s="41">
        <v>9179</v>
      </c>
      <c r="C89" s="74" t="s">
        <v>14982</v>
      </c>
      <c r="D89" s="707" t="s">
        <v>915</v>
      </c>
      <c r="E89" s="798"/>
      <c r="F89" s="35"/>
      <c r="H89" s="282"/>
      <c r="I89" s="45"/>
      <c r="J89" s="46"/>
      <c r="K89" s="35"/>
      <c r="N89" s="53"/>
      <c r="O89" s="245"/>
      <c r="P89" s="50"/>
      <c r="Q89" s="95">
        <f>ROUND((ROUND((_11_A通院２２．５*_11・重度研修),0)*(1+_11・A深夜)),0)</f>
        <v>557</v>
      </c>
      <c r="R89" s="48"/>
    </row>
    <row r="90" spans="1:18" ht="16.5" customHeight="1" x14ac:dyDescent="0.15">
      <c r="A90" s="41">
        <v>11</v>
      </c>
      <c r="B90" s="41">
        <v>9180</v>
      </c>
      <c r="C90" s="74" t="s">
        <v>14983</v>
      </c>
      <c r="D90" s="799"/>
      <c r="E90" s="796"/>
      <c r="F90" s="35"/>
      <c r="H90" s="281" t="s">
        <v>397</v>
      </c>
      <c r="I90" s="218" t="s">
        <v>398</v>
      </c>
      <c r="J90" s="46">
        <v>1</v>
      </c>
      <c r="K90" s="35"/>
      <c r="N90" s="43"/>
      <c r="O90" s="220"/>
      <c r="P90" s="38"/>
      <c r="Q90" s="95">
        <f>ROUND((ROUND((ROUND((_11_A通院２２．５*_11・重度研修),0)*_11・２人),0)*(1+_11・A深夜)),0)</f>
        <v>557</v>
      </c>
      <c r="R90" s="48"/>
    </row>
    <row r="91" spans="1:18" ht="16.5" customHeight="1" x14ac:dyDescent="0.15">
      <c r="A91" s="41">
        <v>11</v>
      </c>
      <c r="B91" s="41" t="s">
        <v>14984</v>
      </c>
      <c r="C91" s="74" t="s">
        <v>14985</v>
      </c>
      <c r="D91" s="799"/>
      <c r="E91" s="796"/>
      <c r="F91" s="35"/>
      <c r="H91" s="282"/>
      <c r="I91" s="45"/>
      <c r="J91" s="46"/>
      <c r="K91" s="35"/>
      <c r="N91" s="734" t="s">
        <v>404</v>
      </c>
      <c r="O91" s="219" t="s">
        <v>398</v>
      </c>
      <c r="P91" s="50">
        <f>_11・初任</f>
        <v>0.7</v>
      </c>
      <c r="Q91" s="95">
        <f>ROUND((ROUND((ROUND((_11_A通院２２．５*_11・重度研修),0)*(1+_11・A深夜)),0)*_11・初任),0)</f>
        <v>390</v>
      </c>
      <c r="R91" s="48"/>
    </row>
    <row r="92" spans="1:18" ht="16.5" customHeight="1" x14ac:dyDescent="0.15">
      <c r="A92" s="41">
        <v>11</v>
      </c>
      <c r="B92" s="41" t="s">
        <v>14986</v>
      </c>
      <c r="C92" s="74" t="s">
        <v>14987</v>
      </c>
      <c r="D92" s="274">
        <f>_11_A通院２２．５</f>
        <v>412</v>
      </c>
      <c r="E92" s="10" t="s">
        <v>392</v>
      </c>
      <c r="F92" s="35"/>
      <c r="H92" s="281" t="s">
        <v>397</v>
      </c>
      <c r="I92" s="218" t="s">
        <v>398</v>
      </c>
      <c r="J92" s="46">
        <v>1</v>
      </c>
      <c r="K92" s="35"/>
      <c r="N92" s="706"/>
      <c r="O92" s="220"/>
      <c r="P92" s="38"/>
      <c r="Q92" s="95">
        <f>ROUND((ROUND((ROUND((ROUND((_11_A通院２２．５*_11・重度研修),0)*_11・２人),0)*(1+_11・A深夜)),0)*_11・初任),0)</f>
        <v>390</v>
      </c>
      <c r="R92" s="48"/>
    </row>
    <row r="93" spans="1:18" ht="16.5" customHeight="1" x14ac:dyDescent="0.15">
      <c r="A93" s="41">
        <v>11</v>
      </c>
      <c r="B93" s="41">
        <v>9181</v>
      </c>
      <c r="C93" s="74" t="s">
        <v>14988</v>
      </c>
      <c r="D93" s="707" t="s">
        <v>928</v>
      </c>
      <c r="E93" s="798"/>
      <c r="F93" s="35"/>
      <c r="H93" s="282"/>
      <c r="I93" s="45"/>
      <c r="J93" s="46"/>
      <c r="K93" s="35"/>
      <c r="N93" s="53"/>
      <c r="O93" s="245"/>
      <c r="P93" s="50"/>
      <c r="Q93" s="95">
        <f>ROUND((ROUND((_11_A通院２３．０*_11・重度研修),0)*(1+_11・A深夜)),0)</f>
        <v>650</v>
      </c>
      <c r="R93" s="48"/>
    </row>
    <row r="94" spans="1:18" ht="16.5" customHeight="1" x14ac:dyDescent="0.15">
      <c r="A94" s="41">
        <v>11</v>
      </c>
      <c r="B94" s="41">
        <v>9182</v>
      </c>
      <c r="C94" s="74" t="s">
        <v>14989</v>
      </c>
      <c r="D94" s="799"/>
      <c r="E94" s="796"/>
      <c r="F94" s="35"/>
      <c r="H94" s="281" t="s">
        <v>397</v>
      </c>
      <c r="I94" s="218" t="s">
        <v>398</v>
      </c>
      <c r="J94" s="46">
        <v>1</v>
      </c>
      <c r="K94" s="35"/>
      <c r="N94" s="43"/>
      <c r="O94" s="220"/>
      <c r="P94" s="38"/>
      <c r="Q94" s="95">
        <f>ROUND((ROUND((ROUND((_11_A通院２３．０*_11・重度研修),0)*_11・２人),0)*(1+_11・A深夜)),0)</f>
        <v>650</v>
      </c>
      <c r="R94" s="48"/>
    </row>
    <row r="95" spans="1:18" ht="16.5" customHeight="1" x14ac:dyDescent="0.15">
      <c r="A95" s="41">
        <v>11</v>
      </c>
      <c r="B95" s="41" t="s">
        <v>14990</v>
      </c>
      <c r="C95" s="74" t="s">
        <v>14991</v>
      </c>
      <c r="D95" s="799"/>
      <c r="E95" s="796"/>
      <c r="F95" s="35"/>
      <c r="H95" s="282"/>
      <c r="I95" s="45"/>
      <c r="J95" s="46"/>
      <c r="K95" s="35"/>
      <c r="N95" s="734" t="s">
        <v>404</v>
      </c>
      <c r="O95" s="219" t="s">
        <v>398</v>
      </c>
      <c r="P95" s="50">
        <f>_11・初任</f>
        <v>0.7</v>
      </c>
      <c r="Q95" s="95">
        <f>ROUND((ROUND((ROUND((_11_A通院２３．０*_11・重度研修),0)*(1+_11・A深夜)),0)*_11・初任),0)</f>
        <v>455</v>
      </c>
      <c r="R95" s="48"/>
    </row>
    <row r="96" spans="1:18" ht="16.5" customHeight="1" x14ac:dyDescent="0.15">
      <c r="A96" s="41">
        <v>11</v>
      </c>
      <c r="B96" s="41" t="s">
        <v>14992</v>
      </c>
      <c r="C96" s="74" t="s">
        <v>14993</v>
      </c>
      <c r="D96" s="274">
        <f>_11_A通院２３．０</f>
        <v>481</v>
      </c>
      <c r="E96" s="10" t="s">
        <v>392</v>
      </c>
      <c r="F96" s="35"/>
      <c r="H96" s="281" t="s">
        <v>397</v>
      </c>
      <c r="I96" s="218" t="s">
        <v>398</v>
      </c>
      <c r="J96" s="46">
        <v>1</v>
      </c>
      <c r="K96" s="35"/>
      <c r="N96" s="706"/>
      <c r="O96" s="220"/>
      <c r="P96" s="38"/>
      <c r="Q96" s="95">
        <f>ROUND((ROUND((ROUND((ROUND((_11_A通院２３．０*_11・重度研修),0)*_11・２人),0)*(1+_11・A深夜)),0)*_11・初任),0)</f>
        <v>455</v>
      </c>
      <c r="R96" s="48"/>
    </row>
    <row r="97" spans="1:18" ht="16.5" customHeight="1" x14ac:dyDescent="0.15">
      <c r="A97" s="41">
        <v>11</v>
      </c>
      <c r="B97" s="41">
        <v>9183</v>
      </c>
      <c r="C97" s="74" t="s">
        <v>14994</v>
      </c>
      <c r="D97" s="707" t="s">
        <v>941</v>
      </c>
      <c r="E97" s="798"/>
      <c r="F97" s="35"/>
      <c r="H97" s="282"/>
      <c r="I97" s="45"/>
      <c r="J97" s="46"/>
      <c r="K97" s="35"/>
      <c r="N97" s="53"/>
      <c r="O97" s="245"/>
      <c r="P97" s="50"/>
      <c r="Q97" s="95">
        <f>ROUND((ROUND((_11_A通院２３．５*_11・重度研修),0)*(1+_11・A深夜)),0)</f>
        <v>743</v>
      </c>
      <c r="R97" s="48"/>
    </row>
    <row r="98" spans="1:18" ht="16.5" customHeight="1" x14ac:dyDescent="0.15">
      <c r="A98" s="41">
        <v>11</v>
      </c>
      <c r="B98" s="41">
        <v>9184</v>
      </c>
      <c r="C98" s="74" t="s">
        <v>14995</v>
      </c>
      <c r="D98" s="799"/>
      <c r="E98" s="796"/>
      <c r="F98" s="35"/>
      <c r="H98" s="281" t="s">
        <v>397</v>
      </c>
      <c r="I98" s="218" t="s">
        <v>398</v>
      </c>
      <c r="J98" s="46">
        <v>1</v>
      </c>
      <c r="K98" s="35"/>
      <c r="N98" s="43"/>
      <c r="O98" s="220"/>
      <c r="P98" s="38"/>
      <c r="Q98" s="95">
        <f>ROUND((ROUND((ROUND((_11_A通院２３．５*_11・重度研修),0)*_11・２人),0)*(1+_11・A深夜)),0)</f>
        <v>743</v>
      </c>
      <c r="R98" s="48"/>
    </row>
    <row r="99" spans="1:18" ht="16.5" customHeight="1" x14ac:dyDescent="0.15">
      <c r="A99" s="41">
        <v>11</v>
      </c>
      <c r="B99" s="41" t="s">
        <v>14996</v>
      </c>
      <c r="C99" s="74" t="s">
        <v>14997</v>
      </c>
      <c r="D99" s="799"/>
      <c r="E99" s="796"/>
      <c r="F99" s="35"/>
      <c r="H99" s="282"/>
      <c r="I99" s="45"/>
      <c r="J99" s="46"/>
      <c r="K99" s="35"/>
      <c r="N99" s="734" t="s">
        <v>404</v>
      </c>
      <c r="O99" s="219" t="s">
        <v>398</v>
      </c>
      <c r="P99" s="50">
        <f>_11・初任</f>
        <v>0.7</v>
      </c>
      <c r="Q99" s="95">
        <f>ROUND((ROUND((ROUND((_11_A通院２３．５*_11・重度研修),0)*(1+_11・A深夜)),0)*_11・初任),0)</f>
        <v>520</v>
      </c>
      <c r="R99" s="48"/>
    </row>
    <row r="100" spans="1:18" ht="16.5" customHeight="1" x14ac:dyDescent="0.15">
      <c r="A100" s="41">
        <v>11</v>
      </c>
      <c r="B100" s="41" t="s">
        <v>14998</v>
      </c>
      <c r="C100" s="74" t="s">
        <v>14999</v>
      </c>
      <c r="D100" s="274">
        <f>_11_A通院２３．５</f>
        <v>550</v>
      </c>
      <c r="E100" s="10" t="s">
        <v>392</v>
      </c>
      <c r="F100" s="35"/>
      <c r="H100" s="281" t="s">
        <v>397</v>
      </c>
      <c r="I100" s="218" t="s">
        <v>398</v>
      </c>
      <c r="J100" s="46">
        <v>1</v>
      </c>
      <c r="K100" s="35"/>
      <c r="N100" s="706"/>
      <c r="O100" s="220"/>
      <c r="P100" s="38"/>
      <c r="Q100" s="95">
        <f>ROUND((ROUND((ROUND((ROUND((_11_A通院２３．５*_11・重度研修),0)*_11・２人),0)*(1+_11・A深夜)),0)*_11・初任),0)</f>
        <v>520</v>
      </c>
      <c r="R100" s="48"/>
    </row>
    <row r="101" spans="1:18" ht="16.5" customHeight="1" x14ac:dyDescent="0.15">
      <c r="A101" s="41">
        <v>11</v>
      </c>
      <c r="B101" s="41">
        <v>9185</v>
      </c>
      <c r="C101" s="74" t="s">
        <v>15000</v>
      </c>
      <c r="D101" s="707" t="s">
        <v>954</v>
      </c>
      <c r="E101" s="798"/>
      <c r="F101" s="35"/>
      <c r="H101" s="282"/>
      <c r="I101" s="45"/>
      <c r="J101" s="46"/>
      <c r="K101" s="35"/>
      <c r="N101" s="53"/>
      <c r="O101" s="245"/>
      <c r="P101" s="50"/>
      <c r="Q101" s="95">
        <f>ROUND((ROUND((_11_A通院２４．０*_11・重度研修),0)*(1+_11・A深夜)),0)</f>
        <v>836</v>
      </c>
      <c r="R101" s="48"/>
    </row>
    <row r="102" spans="1:18" ht="16.5" customHeight="1" x14ac:dyDescent="0.15">
      <c r="A102" s="41">
        <v>11</v>
      </c>
      <c r="B102" s="41">
        <v>9186</v>
      </c>
      <c r="C102" s="74" t="s">
        <v>15001</v>
      </c>
      <c r="D102" s="799"/>
      <c r="E102" s="796"/>
      <c r="F102" s="35"/>
      <c r="H102" s="281" t="s">
        <v>397</v>
      </c>
      <c r="I102" s="218" t="s">
        <v>398</v>
      </c>
      <c r="J102" s="46">
        <v>1</v>
      </c>
      <c r="K102" s="35"/>
      <c r="N102" s="43"/>
      <c r="O102" s="220"/>
      <c r="P102" s="38"/>
      <c r="Q102" s="95">
        <f>ROUND((ROUND((ROUND((_11_A通院２４．０*_11・重度研修),0)*_11・２人),0)*(1+_11・A深夜)),0)</f>
        <v>836</v>
      </c>
      <c r="R102" s="48"/>
    </row>
    <row r="103" spans="1:18" ht="16.5" customHeight="1" x14ac:dyDescent="0.15">
      <c r="A103" s="41">
        <v>11</v>
      </c>
      <c r="B103" s="41" t="s">
        <v>15002</v>
      </c>
      <c r="C103" s="74" t="s">
        <v>15003</v>
      </c>
      <c r="D103" s="799"/>
      <c r="E103" s="796"/>
      <c r="F103" s="35"/>
      <c r="H103" s="282"/>
      <c r="I103" s="45"/>
      <c r="J103" s="46"/>
      <c r="K103" s="35"/>
      <c r="N103" s="734" t="s">
        <v>404</v>
      </c>
      <c r="O103" s="219" t="s">
        <v>398</v>
      </c>
      <c r="P103" s="50">
        <f>_11・初任</f>
        <v>0.7</v>
      </c>
      <c r="Q103" s="95">
        <f>ROUND((ROUND((ROUND((_11_A通院２４．０*_11・重度研修),0)*(1+_11・A深夜)),0)*_11・初任),0)</f>
        <v>585</v>
      </c>
      <c r="R103" s="48"/>
    </row>
    <row r="104" spans="1:18" ht="16.5" customHeight="1" x14ac:dyDescent="0.15">
      <c r="A104" s="41">
        <v>11</v>
      </c>
      <c r="B104" s="41" t="s">
        <v>15004</v>
      </c>
      <c r="C104" s="74" t="s">
        <v>15005</v>
      </c>
      <c r="D104" s="274">
        <f>_11_A通院２４．０</f>
        <v>619</v>
      </c>
      <c r="E104" s="10" t="s">
        <v>392</v>
      </c>
      <c r="F104" s="35"/>
      <c r="H104" s="281" t="s">
        <v>397</v>
      </c>
      <c r="I104" s="218" t="s">
        <v>398</v>
      </c>
      <c r="J104" s="46">
        <v>1</v>
      </c>
      <c r="K104" s="35"/>
      <c r="N104" s="706"/>
      <c r="O104" s="220"/>
      <c r="P104" s="38"/>
      <c r="Q104" s="95">
        <f>ROUND((ROUND((ROUND((ROUND((_11_A通院２４．０*_11・重度研修),0)*_11・２人),0)*(1+_11・A深夜)),0)*_11・初任),0)</f>
        <v>585</v>
      </c>
      <c r="R104" s="48"/>
    </row>
    <row r="105" spans="1:18" ht="16.5" customHeight="1" x14ac:dyDescent="0.15">
      <c r="A105" s="41">
        <v>11</v>
      </c>
      <c r="B105" s="41">
        <v>9187</v>
      </c>
      <c r="C105" s="74" t="s">
        <v>15006</v>
      </c>
      <c r="D105" s="707" t="s">
        <v>3197</v>
      </c>
      <c r="E105" s="798"/>
      <c r="F105" s="35"/>
      <c r="H105" s="282"/>
      <c r="I105" s="45"/>
      <c r="J105" s="46"/>
      <c r="K105" s="35"/>
      <c r="N105" s="53"/>
      <c r="O105" s="245"/>
      <c r="P105" s="50"/>
      <c r="Q105" s="95">
        <f>ROUND((ROUND((_11_A通院２４．５*_11・重度研修),0)*(1+_11・A深夜)),0)</f>
        <v>929</v>
      </c>
      <c r="R105" s="48"/>
    </row>
    <row r="106" spans="1:18" ht="16.5" customHeight="1" x14ac:dyDescent="0.15">
      <c r="A106" s="41">
        <v>11</v>
      </c>
      <c r="B106" s="41">
        <v>9188</v>
      </c>
      <c r="C106" s="74" t="s">
        <v>15007</v>
      </c>
      <c r="D106" s="799"/>
      <c r="E106" s="796"/>
      <c r="F106" s="35"/>
      <c r="H106" s="281" t="s">
        <v>397</v>
      </c>
      <c r="I106" s="218" t="s">
        <v>398</v>
      </c>
      <c r="J106" s="46">
        <v>1</v>
      </c>
      <c r="K106" s="35"/>
      <c r="N106" s="43"/>
      <c r="O106" s="220"/>
      <c r="P106" s="38"/>
      <c r="Q106" s="95">
        <f>ROUND((ROUND((ROUND((_11_A通院２４．５*_11・重度研修),0)*_11・２人),0)*(1+_11・A深夜)),0)</f>
        <v>929</v>
      </c>
      <c r="R106" s="48"/>
    </row>
    <row r="107" spans="1:18" ht="16.5" customHeight="1" x14ac:dyDescent="0.15">
      <c r="A107" s="41">
        <v>11</v>
      </c>
      <c r="B107" s="41" t="s">
        <v>15008</v>
      </c>
      <c r="C107" s="74" t="s">
        <v>15009</v>
      </c>
      <c r="D107" s="799"/>
      <c r="E107" s="796"/>
      <c r="F107" s="35"/>
      <c r="H107" s="282"/>
      <c r="I107" s="45"/>
      <c r="J107" s="46"/>
      <c r="K107" s="35"/>
      <c r="N107" s="734" t="s">
        <v>404</v>
      </c>
      <c r="O107" s="219" t="s">
        <v>398</v>
      </c>
      <c r="P107" s="50">
        <f>_11・初任</f>
        <v>0.7</v>
      </c>
      <c r="Q107" s="95">
        <f>ROUND((ROUND((ROUND((_11_A通院２４．５*_11・重度研修),0)*(1+_11・A深夜)),0)*_11・初任),0)</f>
        <v>650</v>
      </c>
      <c r="R107" s="48"/>
    </row>
    <row r="108" spans="1:18" ht="16.5" customHeight="1" x14ac:dyDescent="0.15">
      <c r="A108" s="41">
        <v>11</v>
      </c>
      <c r="B108" s="41" t="s">
        <v>15010</v>
      </c>
      <c r="C108" s="74" t="s">
        <v>15011</v>
      </c>
      <c r="D108" s="274">
        <f>_11_A通院２４．５</f>
        <v>688</v>
      </c>
      <c r="E108" s="10" t="s">
        <v>392</v>
      </c>
      <c r="F108" s="35"/>
      <c r="H108" s="281" t="s">
        <v>397</v>
      </c>
      <c r="I108" s="218" t="s">
        <v>398</v>
      </c>
      <c r="J108" s="46">
        <v>1</v>
      </c>
      <c r="K108" s="35"/>
      <c r="N108" s="706"/>
      <c r="O108" s="220"/>
      <c r="P108" s="38"/>
      <c r="Q108" s="95">
        <f>ROUND((ROUND((ROUND((ROUND((_11_A通院２４．５*_11・重度研修),0)*_11・２人),0)*(1+_11・A深夜)),0)*_11・初任),0)</f>
        <v>650</v>
      </c>
      <c r="R108" s="48"/>
    </row>
    <row r="109" spans="1:18" ht="16.5" customHeight="1" x14ac:dyDescent="0.15">
      <c r="A109" s="41">
        <v>11</v>
      </c>
      <c r="B109" s="41">
        <v>9189</v>
      </c>
      <c r="C109" s="74" t="s">
        <v>15012</v>
      </c>
      <c r="D109" s="707" t="s">
        <v>980</v>
      </c>
      <c r="E109" s="798"/>
      <c r="F109" s="35"/>
      <c r="H109" s="282"/>
      <c r="I109" s="45"/>
      <c r="J109" s="46"/>
      <c r="K109" s="35"/>
      <c r="N109" s="53"/>
      <c r="O109" s="245"/>
      <c r="P109" s="50"/>
      <c r="Q109" s="95">
        <f>ROUND((ROUND((_11_A通院２５．０*_11・重度研修),0)*(1+_11・A深夜)),0)</f>
        <v>1022</v>
      </c>
      <c r="R109" s="48"/>
    </row>
    <row r="110" spans="1:18" ht="16.5" customHeight="1" x14ac:dyDescent="0.15">
      <c r="A110" s="41">
        <v>11</v>
      </c>
      <c r="B110" s="41">
        <v>9190</v>
      </c>
      <c r="C110" s="74" t="s">
        <v>15013</v>
      </c>
      <c r="D110" s="799"/>
      <c r="E110" s="796"/>
      <c r="F110" s="35"/>
      <c r="H110" s="281" t="s">
        <v>397</v>
      </c>
      <c r="I110" s="218" t="s">
        <v>398</v>
      </c>
      <c r="J110" s="46">
        <v>1</v>
      </c>
      <c r="K110" s="35"/>
      <c r="N110" s="43"/>
      <c r="O110" s="220"/>
      <c r="P110" s="38"/>
      <c r="Q110" s="95">
        <f>ROUND((ROUND((ROUND((_11_A通院２５．０*_11・重度研修),0)*_11・２人),0)*(1+_11・A深夜)),0)</f>
        <v>1022</v>
      </c>
      <c r="R110" s="48"/>
    </row>
    <row r="111" spans="1:18" ht="16.5" customHeight="1" x14ac:dyDescent="0.15">
      <c r="A111" s="41">
        <v>11</v>
      </c>
      <c r="B111" s="41" t="s">
        <v>15014</v>
      </c>
      <c r="C111" s="74" t="s">
        <v>15015</v>
      </c>
      <c r="D111" s="799"/>
      <c r="E111" s="796"/>
      <c r="F111" s="35"/>
      <c r="H111" s="282"/>
      <c r="I111" s="45"/>
      <c r="J111" s="46"/>
      <c r="K111" s="35"/>
      <c r="N111" s="734" t="s">
        <v>404</v>
      </c>
      <c r="O111" s="219" t="s">
        <v>398</v>
      </c>
      <c r="P111" s="50">
        <f>_11・初任</f>
        <v>0.7</v>
      </c>
      <c r="Q111" s="95">
        <f>ROUND((ROUND((ROUND((_11_A通院２５．０*_11・重度研修),0)*(1+_11・A深夜)),0)*_11・初任),0)</f>
        <v>715</v>
      </c>
      <c r="R111" s="48"/>
    </row>
    <row r="112" spans="1:18" ht="16.5" customHeight="1" x14ac:dyDescent="0.15">
      <c r="A112" s="41">
        <v>11</v>
      </c>
      <c r="B112" s="41" t="s">
        <v>15016</v>
      </c>
      <c r="C112" s="74" t="s">
        <v>15017</v>
      </c>
      <c r="D112" s="274">
        <f>_11_A通院２５．０</f>
        <v>757</v>
      </c>
      <c r="E112" s="10" t="s">
        <v>392</v>
      </c>
      <c r="F112" s="35"/>
      <c r="H112" s="281" t="s">
        <v>397</v>
      </c>
      <c r="I112" s="218" t="s">
        <v>398</v>
      </c>
      <c r="J112" s="46">
        <v>1</v>
      </c>
      <c r="K112" s="35"/>
      <c r="N112" s="706"/>
      <c r="O112" s="220"/>
      <c r="P112" s="38"/>
      <c r="Q112" s="95">
        <f>ROUND((ROUND((ROUND((ROUND((_11_A通院２５．０*_11・重度研修),0)*_11・２人),0)*(1+_11・A深夜)),0)*_11・初任),0)</f>
        <v>715</v>
      </c>
      <c r="R112" s="48"/>
    </row>
    <row r="113" spans="1:18" ht="16.5" customHeight="1" x14ac:dyDescent="0.15">
      <c r="A113" s="41">
        <v>11</v>
      </c>
      <c r="B113" s="41">
        <v>9191</v>
      </c>
      <c r="C113" s="74" t="s">
        <v>15018</v>
      </c>
      <c r="D113" s="707" t="s">
        <v>993</v>
      </c>
      <c r="E113" s="798"/>
      <c r="F113" s="35"/>
      <c r="H113" s="282"/>
      <c r="I113" s="45"/>
      <c r="J113" s="46"/>
      <c r="K113" s="35"/>
      <c r="N113" s="53"/>
      <c r="O113" s="245"/>
      <c r="P113" s="50"/>
      <c r="Q113" s="95">
        <f>ROUND((ROUND((_11_A通院２５．５*_11・重度研修),0)*(1+_11・A深夜)),0)</f>
        <v>1115</v>
      </c>
      <c r="R113" s="48"/>
    </row>
    <row r="114" spans="1:18" ht="16.5" customHeight="1" x14ac:dyDescent="0.15">
      <c r="A114" s="41">
        <v>11</v>
      </c>
      <c r="B114" s="41">
        <v>9192</v>
      </c>
      <c r="C114" s="74" t="s">
        <v>15019</v>
      </c>
      <c r="D114" s="799"/>
      <c r="E114" s="796"/>
      <c r="F114" s="35"/>
      <c r="H114" s="281" t="s">
        <v>397</v>
      </c>
      <c r="I114" s="218" t="s">
        <v>398</v>
      </c>
      <c r="J114" s="46">
        <v>1</v>
      </c>
      <c r="K114" s="35"/>
      <c r="N114" s="43"/>
      <c r="O114" s="220"/>
      <c r="P114" s="38"/>
      <c r="Q114" s="95">
        <f>ROUND((ROUND((ROUND((_11_A通院２５．５*_11・重度研修),0)*_11・２人),0)*(1+_11・A深夜)),0)</f>
        <v>1115</v>
      </c>
      <c r="R114" s="48"/>
    </row>
    <row r="115" spans="1:18" ht="16.5" customHeight="1" x14ac:dyDescent="0.15">
      <c r="A115" s="41">
        <v>11</v>
      </c>
      <c r="B115" s="41" t="s">
        <v>15020</v>
      </c>
      <c r="C115" s="74" t="s">
        <v>15021</v>
      </c>
      <c r="D115" s="799"/>
      <c r="E115" s="796"/>
      <c r="F115" s="35"/>
      <c r="H115" s="282"/>
      <c r="I115" s="45"/>
      <c r="J115" s="46"/>
      <c r="K115" s="35"/>
      <c r="N115" s="734" t="s">
        <v>404</v>
      </c>
      <c r="O115" s="219" t="s">
        <v>398</v>
      </c>
      <c r="P115" s="50">
        <f>_11・初任</f>
        <v>0.7</v>
      </c>
      <c r="Q115" s="95">
        <f>ROUND((ROUND((ROUND((_11_A通院２５．５*_11・重度研修),0)*(1+_11・A深夜)),0)*_11・初任),0)</f>
        <v>781</v>
      </c>
      <c r="R115" s="48"/>
    </row>
    <row r="116" spans="1:18" ht="16.5" customHeight="1" x14ac:dyDescent="0.15">
      <c r="A116" s="41">
        <v>11</v>
      </c>
      <c r="B116" s="41" t="s">
        <v>15022</v>
      </c>
      <c r="C116" s="74" t="s">
        <v>15023</v>
      </c>
      <c r="D116" s="274">
        <f>_11_A通院２５．５</f>
        <v>826</v>
      </c>
      <c r="E116" s="10" t="s">
        <v>392</v>
      </c>
      <c r="F116" s="35"/>
      <c r="H116" s="281" t="s">
        <v>397</v>
      </c>
      <c r="I116" s="218" t="s">
        <v>398</v>
      </c>
      <c r="J116" s="46">
        <v>1</v>
      </c>
      <c r="K116" s="35"/>
      <c r="N116" s="706"/>
      <c r="O116" s="220"/>
      <c r="P116" s="38"/>
      <c r="Q116" s="95">
        <f>ROUND((ROUND((ROUND((ROUND((_11_A通院２５．５*_11・重度研修),0)*_11・２人),0)*(1+_11・A深夜)),0)*_11・初任),0)</f>
        <v>781</v>
      </c>
      <c r="R116" s="48"/>
    </row>
    <row r="117" spans="1:18" ht="16.5" customHeight="1" x14ac:dyDescent="0.15">
      <c r="A117" s="41">
        <v>11</v>
      </c>
      <c r="B117" s="41">
        <v>9193</v>
      </c>
      <c r="C117" s="74" t="s">
        <v>15024</v>
      </c>
      <c r="D117" s="707" t="s">
        <v>1006</v>
      </c>
      <c r="E117" s="798"/>
      <c r="F117" s="35"/>
      <c r="H117" s="282"/>
      <c r="I117" s="45"/>
      <c r="J117" s="46"/>
      <c r="K117" s="35"/>
      <c r="N117" s="53"/>
      <c r="O117" s="245"/>
      <c r="P117" s="50"/>
      <c r="Q117" s="95">
        <f>ROUND((ROUND((_11_A通院２６．０*_11・重度研修),0)*(1+_11・A深夜)),0)</f>
        <v>1209</v>
      </c>
      <c r="R117" s="48"/>
    </row>
    <row r="118" spans="1:18" ht="16.5" customHeight="1" x14ac:dyDescent="0.15">
      <c r="A118" s="41">
        <v>11</v>
      </c>
      <c r="B118" s="41">
        <v>9194</v>
      </c>
      <c r="C118" s="74" t="s">
        <v>15025</v>
      </c>
      <c r="D118" s="799"/>
      <c r="E118" s="796"/>
      <c r="F118" s="35"/>
      <c r="H118" s="281" t="s">
        <v>397</v>
      </c>
      <c r="I118" s="218" t="s">
        <v>398</v>
      </c>
      <c r="J118" s="46">
        <v>1</v>
      </c>
      <c r="K118" s="35"/>
      <c r="N118" s="43"/>
      <c r="O118" s="220"/>
      <c r="P118" s="38"/>
      <c r="Q118" s="95">
        <f>ROUND((ROUND((ROUND((_11_A通院２６．０*_11・重度研修),0)*_11・２人),0)*(1+_11・A深夜)),0)</f>
        <v>1209</v>
      </c>
      <c r="R118" s="48"/>
    </row>
    <row r="119" spans="1:18" ht="16.5" customHeight="1" x14ac:dyDescent="0.15">
      <c r="A119" s="41">
        <v>11</v>
      </c>
      <c r="B119" s="41" t="s">
        <v>15026</v>
      </c>
      <c r="C119" s="74" t="s">
        <v>15027</v>
      </c>
      <c r="D119" s="799"/>
      <c r="E119" s="796"/>
      <c r="F119" s="35"/>
      <c r="H119" s="282"/>
      <c r="I119" s="45"/>
      <c r="J119" s="46"/>
      <c r="K119" s="35"/>
      <c r="N119" s="734" t="s">
        <v>404</v>
      </c>
      <c r="O119" s="219" t="s">
        <v>398</v>
      </c>
      <c r="P119" s="50">
        <f>_11・初任</f>
        <v>0.7</v>
      </c>
      <c r="Q119" s="95">
        <f>ROUND((ROUND((ROUND((_11_A通院２６．０*_11・重度研修),0)*(1+_11・A深夜)),0)*_11・初任),0)</f>
        <v>846</v>
      </c>
      <c r="R119" s="48"/>
    </row>
    <row r="120" spans="1:18" ht="16.5" customHeight="1" x14ac:dyDescent="0.15">
      <c r="A120" s="41">
        <v>11</v>
      </c>
      <c r="B120" s="41" t="s">
        <v>15028</v>
      </c>
      <c r="C120" s="74" t="s">
        <v>15029</v>
      </c>
      <c r="D120" s="274">
        <f>_11_A通院２６．０</f>
        <v>895</v>
      </c>
      <c r="E120" s="10" t="s">
        <v>392</v>
      </c>
      <c r="F120" s="35"/>
      <c r="H120" s="281" t="s">
        <v>397</v>
      </c>
      <c r="I120" s="218" t="s">
        <v>398</v>
      </c>
      <c r="J120" s="46">
        <v>1</v>
      </c>
      <c r="K120" s="35"/>
      <c r="M120" s="234"/>
      <c r="N120" s="706"/>
      <c r="O120" s="220"/>
      <c r="P120" s="38"/>
      <c r="Q120" s="95">
        <f>ROUND((ROUND((ROUND((ROUND((_11_A通院２６．０*_11・重度研修),0)*_11・２人),0)*(1+_11・A深夜)),0)*_11・初任),0)</f>
        <v>846</v>
      </c>
      <c r="R120" s="48"/>
    </row>
    <row r="121" spans="1:18" ht="16.5" customHeight="1" x14ac:dyDescent="0.15">
      <c r="A121" s="41">
        <v>11</v>
      </c>
      <c r="B121" s="41">
        <v>9195</v>
      </c>
      <c r="C121" s="74" t="s">
        <v>15030</v>
      </c>
      <c r="D121" s="707" t="s">
        <v>1019</v>
      </c>
      <c r="E121" s="798"/>
      <c r="F121" s="35"/>
      <c r="H121" s="282"/>
      <c r="I121" s="45"/>
      <c r="J121" s="46"/>
      <c r="K121" s="35"/>
      <c r="M121" s="234"/>
      <c r="N121" s="53"/>
      <c r="O121" s="245"/>
      <c r="P121" s="50"/>
      <c r="Q121" s="95">
        <f>ROUND((ROUND((_11_A通院２６．５*_11・重度研修),0)*(1+_11・A深夜)),0)</f>
        <v>1302</v>
      </c>
      <c r="R121" s="48"/>
    </row>
    <row r="122" spans="1:18" ht="16.5" customHeight="1" x14ac:dyDescent="0.15">
      <c r="A122" s="41">
        <v>11</v>
      </c>
      <c r="B122" s="41">
        <v>9196</v>
      </c>
      <c r="C122" s="74" t="s">
        <v>15031</v>
      </c>
      <c r="D122" s="799"/>
      <c r="E122" s="796"/>
      <c r="F122" s="35"/>
      <c r="H122" s="281" t="s">
        <v>397</v>
      </c>
      <c r="I122" s="218" t="s">
        <v>398</v>
      </c>
      <c r="J122" s="46">
        <v>1</v>
      </c>
      <c r="K122" s="258"/>
      <c r="L122" s="13"/>
      <c r="M122" s="106"/>
      <c r="N122" s="43"/>
      <c r="O122" s="220"/>
      <c r="P122" s="38"/>
      <c r="Q122" s="95">
        <f>ROUND((ROUND((ROUND((_11_A通院２６．５*_11・重度研修),0)*_11・２人),0)*(1+_11・A深夜)),0)</f>
        <v>1302</v>
      </c>
      <c r="R122" s="48"/>
    </row>
    <row r="123" spans="1:18" ht="16.5" customHeight="1" x14ac:dyDescent="0.15">
      <c r="A123" s="41">
        <v>11</v>
      </c>
      <c r="B123" s="41" t="s">
        <v>15032</v>
      </c>
      <c r="C123" s="74" t="s">
        <v>15033</v>
      </c>
      <c r="D123" s="799"/>
      <c r="E123" s="796"/>
      <c r="F123" s="35"/>
      <c r="H123" s="282"/>
      <c r="I123" s="45"/>
      <c r="J123" s="46"/>
      <c r="K123" s="35"/>
      <c r="M123" s="264"/>
      <c r="N123" s="734" t="s">
        <v>404</v>
      </c>
      <c r="O123" s="219" t="s">
        <v>398</v>
      </c>
      <c r="P123" s="50">
        <f>_11・初任</f>
        <v>0.7</v>
      </c>
      <c r="Q123" s="95">
        <f>ROUND((ROUND((ROUND((_11_A通院２６．５*_11・重度研修),0)*(1+_11・A深夜)),0)*_11・初任),0)</f>
        <v>911</v>
      </c>
      <c r="R123" s="48"/>
    </row>
    <row r="124" spans="1:18" ht="16.5" customHeight="1" x14ac:dyDescent="0.15">
      <c r="A124" s="41">
        <v>11</v>
      </c>
      <c r="B124" s="41" t="s">
        <v>15034</v>
      </c>
      <c r="C124" s="74" t="s">
        <v>15035</v>
      </c>
      <c r="D124" s="276">
        <f>_11_A通院２６．５</f>
        <v>964</v>
      </c>
      <c r="E124" s="190" t="s">
        <v>392</v>
      </c>
      <c r="F124" s="293"/>
      <c r="G124" s="244"/>
      <c r="H124" s="281" t="s">
        <v>397</v>
      </c>
      <c r="I124" s="218" t="s">
        <v>398</v>
      </c>
      <c r="J124" s="46">
        <v>1</v>
      </c>
      <c r="K124" s="43"/>
      <c r="L124" s="37"/>
      <c r="M124" s="244"/>
      <c r="N124" s="706"/>
      <c r="O124" s="220"/>
      <c r="P124" s="38"/>
      <c r="Q124" s="95">
        <f>ROUND((ROUND((ROUND((ROUND((_11_A通院２６．５*_11・重度研修),0)*_11・２人),0)*(1+_11・A深夜)),0)*_11・初任),0)</f>
        <v>911</v>
      </c>
      <c r="R124" s="63"/>
    </row>
    <row r="125" spans="1:18" ht="16.5" customHeight="1" x14ac:dyDescent="0.15"/>
    <row r="126" spans="1:18" ht="16.5" customHeight="1" x14ac:dyDescent="0.15"/>
  </sheetData>
  <mergeCells count="60">
    <mergeCell ref="D113:E115"/>
    <mergeCell ref="N115:N116"/>
    <mergeCell ref="D117:E119"/>
    <mergeCell ref="N119:N120"/>
    <mergeCell ref="D121:E123"/>
    <mergeCell ref="N123:N124"/>
    <mergeCell ref="D101:E103"/>
    <mergeCell ref="N103:N104"/>
    <mergeCell ref="D105:E107"/>
    <mergeCell ref="N107:N108"/>
    <mergeCell ref="D109:E111"/>
    <mergeCell ref="N111:N112"/>
    <mergeCell ref="D89:E91"/>
    <mergeCell ref="N91:N92"/>
    <mergeCell ref="D93:E95"/>
    <mergeCell ref="N95:N96"/>
    <mergeCell ref="D97:E99"/>
    <mergeCell ref="N99:N100"/>
    <mergeCell ref="D77:E79"/>
    <mergeCell ref="N79:N80"/>
    <mergeCell ref="D81:E83"/>
    <mergeCell ref="N83:N84"/>
    <mergeCell ref="D85:E87"/>
    <mergeCell ref="N87:N88"/>
    <mergeCell ref="D64:E66"/>
    <mergeCell ref="N66:N67"/>
    <mergeCell ref="D73:E75"/>
    <mergeCell ref="F73:G75"/>
    <mergeCell ref="M74:M75"/>
    <mergeCell ref="N75:N76"/>
    <mergeCell ref="D52:E54"/>
    <mergeCell ref="N54:N55"/>
    <mergeCell ref="D56:E58"/>
    <mergeCell ref="N58:N59"/>
    <mergeCell ref="D60:E62"/>
    <mergeCell ref="N62:N63"/>
    <mergeCell ref="D40:E42"/>
    <mergeCell ref="N42:N43"/>
    <mergeCell ref="D44:E46"/>
    <mergeCell ref="N46:N47"/>
    <mergeCell ref="D48:E50"/>
    <mergeCell ref="N50:N51"/>
    <mergeCell ref="D32:E34"/>
    <mergeCell ref="F32:G34"/>
    <mergeCell ref="M33:M34"/>
    <mergeCell ref="N34:N35"/>
    <mergeCell ref="D36:E38"/>
    <mergeCell ref="N38:N39"/>
    <mergeCell ref="D15:E17"/>
    <mergeCell ref="N17:N18"/>
    <mergeCell ref="D19:E21"/>
    <mergeCell ref="N21:N22"/>
    <mergeCell ref="D23:E25"/>
    <mergeCell ref="N25:N26"/>
    <mergeCell ref="D7:E9"/>
    <mergeCell ref="F7:G9"/>
    <mergeCell ref="M8:M9"/>
    <mergeCell ref="N9:N10"/>
    <mergeCell ref="D11:E13"/>
    <mergeCell ref="N13:N14"/>
  </mergeCells>
  <phoneticPr fontId="1"/>
  <printOptions horizontalCentered="1"/>
  <pageMargins left="0.70866141732283472" right="0.70866141732283472" top="0.74803149606299213" bottom="0.74803149606299213" header="0.31496062992125984" footer="0.31496062992125984"/>
  <pageSetup paperSize="9" scale="58" fitToHeight="0" orientation="portrait" r:id="rId1"/>
  <headerFooter>
    <oddHeader>&amp;R&amp;"ＭＳ Ｐゴシック"&amp;9居宅介護</oddHeader>
    <oddFooter>&amp;C&amp;"ＭＳ Ｐゴシック"&amp;14&amp;P</oddFooter>
  </headerFooter>
  <rowBreaks count="1" manualBreakCount="1">
    <brk id="67" max="17"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5">
    <pageSetUpPr fitToPage="1"/>
  </sheetPr>
  <dimension ref="A1:Y8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4.5" style="10" customWidth="1"/>
    <col min="4" max="4" width="2.5" style="12" customWidth="1"/>
    <col min="5" max="5" width="4.875" style="10" customWidth="1"/>
    <col min="6" max="6" width="4.875" style="12" customWidth="1"/>
    <col min="7" max="7" width="2.5" style="12" customWidth="1"/>
    <col min="8" max="8" width="4.875" style="10" customWidth="1"/>
    <col min="9" max="9" width="4.875" style="12" customWidth="1"/>
    <col min="10" max="10" width="4.125" style="12" customWidth="1"/>
    <col min="11" max="11" width="4.5" style="12" bestFit="1" customWidth="1"/>
    <col min="12" max="12" width="24.125" style="12" customWidth="1"/>
    <col min="13" max="13" width="2.5" style="12" customWidth="1"/>
    <col min="14" max="14" width="5.5" style="13" bestFit="1" customWidth="1"/>
    <col min="15" max="15" width="2.5" style="12" customWidth="1"/>
    <col min="16" max="16" width="3.875" style="12" customWidth="1"/>
    <col min="17" max="17" width="4.5" style="13" bestFit="1" customWidth="1"/>
    <col min="18" max="18" width="2.5" style="12" customWidth="1"/>
    <col min="19" max="19" width="3.875" style="12" customWidth="1"/>
    <col min="20" max="20" width="4.5" style="13" bestFit="1" customWidth="1"/>
    <col min="21" max="21" width="17.875" style="12" customWidth="1"/>
    <col min="22" max="22" width="2.5" style="242" customWidth="1"/>
    <col min="23" max="23" width="4.5" style="13" bestFit="1" customWidth="1"/>
    <col min="24" max="24" width="7.125" style="15" customWidth="1"/>
    <col min="25" max="25" width="8.5" style="16" customWidth="1"/>
    <col min="26" max="16384" width="8.875" style="12"/>
  </cols>
  <sheetData>
    <row r="1" spans="1:25" ht="17.100000000000001" customHeight="1" x14ac:dyDescent="0.15"/>
    <row r="2" spans="1:25" ht="17.100000000000001" customHeight="1" x14ac:dyDescent="0.15"/>
    <row r="3" spans="1:25" ht="17.100000000000001" customHeight="1" x14ac:dyDescent="0.15"/>
    <row r="4" spans="1:25" ht="17.100000000000001" customHeight="1" x14ac:dyDescent="0.15">
      <c r="B4" s="17" t="s">
        <v>15036</v>
      </c>
      <c r="E4" s="71"/>
    </row>
    <row r="5" spans="1:25" ht="16.5" customHeight="1" x14ac:dyDescent="0.15">
      <c r="A5" s="19" t="s">
        <v>384</v>
      </c>
      <c r="B5" s="20"/>
      <c r="C5" s="21" t="s">
        <v>385</v>
      </c>
      <c r="D5" s="235" t="s">
        <v>386</v>
      </c>
      <c r="E5" s="23"/>
      <c r="F5" s="23"/>
      <c r="G5" s="23"/>
      <c r="H5" s="23"/>
      <c r="I5" s="23"/>
      <c r="J5" s="23"/>
      <c r="K5" s="23"/>
      <c r="L5" s="23"/>
      <c r="M5" s="23"/>
      <c r="N5" s="24"/>
      <c r="O5" s="23"/>
      <c r="P5" s="23"/>
      <c r="Q5" s="24"/>
      <c r="R5" s="23"/>
      <c r="S5" s="23"/>
      <c r="T5" s="24"/>
      <c r="U5" s="23"/>
      <c r="V5" s="23"/>
      <c r="W5" s="24"/>
      <c r="X5" s="25" t="s">
        <v>387</v>
      </c>
      <c r="Y5" s="21" t="s">
        <v>388</v>
      </c>
    </row>
    <row r="6" spans="1:25" ht="16.5" customHeight="1" x14ac:dyDescent="0.15">
      <c r="A6" s="26" t="s">
        <v>389</v>
      </c>
      <c r="B6" s="26" t="s">
        <v>390</v>
      </c>
      <c r="C6" s="27"/>
      <c r="D6" s="726" t="s">
        <v>1032</v>
      </c>
      <c r="E6" s="731"/>
      <c r="F6" s="727"/>
      <c r="G6" s="726" t="s">
        <v>1033</v>
      </c>
      <c r="H6" s="731"/>
      <c r="I6" s="727"/>
      <c r="J6" s="29"/>
      <c r="K6" s="29"/>
      <c r="L6" s="29"/>
      <c r="M6" s="29"/>
      <c r="N6" s="30"/>
      <c r="O6" s="29"/>
      <c r="P6" s="29"/>
      <c r="Q6" s="30"/>
      <c r="R6" s="29"/>
      <c r="S6" s="29"/>
      <c r="T6" s="30"/>
      <c r="U6" s="29"/>
      <c r="V6" s="214"/>
      <c r="W6" s="30"/>
      <c r="X6" s="31" t="s">
        <v>391</v>
      </c>
      <c r="Y6" s="32" t="s">
        <v>392</v>
      </c>
    </row>
    <row r="7" spans="1:25" ht="16.5" customHeight="1" x14ac:dyDescent="0.15">
      <c r="A7" s="33">
        <v>11</v>
      </c>
      <c r="B7" s="33">
        <v>9197</v>
      </c>
      <c r="C7" s="34" t="s">
        <v>15037</v>
      </c>
      <c r="D7" s="736" t="s">
        <v>4811</v>
      </c>
      <c r="E7" s="704"/>
      <c r="F7" s="718"/>
      <c r="G7" s="709" t="s">
        <v>3602</v>
      </c>
      <c r="H7" s="704"/>
      <c r="I7" s="718"/>
      <c r="J7" s="709" t="s">
        <v>11707</v>
      </c>
      <c r="K7" s="802"/>
      <c r="L7" s="43"/>
      <c r="M7" s="37"/>
      <c r="N7" s="38"/>
      <c r="O7" s="72" t="s">
        <v>1036</v>
      </c>
      <c r="Q7" s="234"/>
      <c r="R7" s="92" t="s">
        <v>1037</v>
      </c>
      <c r="T7" s="234"/>
      <c r="U7" s="35"/>
      <c r="X7" s="73">
        <f>ROUND((ROUND((_11_A通院２０．５*_11・重度研修),0)*(1+_11・A深夜)),0)+ROUND((ROUND((_11_B通院２０．５＿０．５*_11・重度研修),0)*(1+_11・B早朝)),0)</f>
        <v>246</v>
      </c>
      <c r="Y7" s="40" t="s">
        <v>395</v>
      </c>
    </row>
    <row r="8" spans="1:25" ht="16.5" customHeight="1" x14ac:dyDescent="0.15">
      <c r="A8" s="41">
        <v>11</v>
      </c>
      <c r="B8" s="41">
        <v>9198</v>
      </c>
      <c r="C8" s="74" t="s">
        <v>15038</v>
      </c>
      <c r="D8" s="736"/>
      <c r="E8" s="704"/>
      <c r="F8" s="718"/>
      <c r="G8" s="709"/>
      <c r="H8" s="704"/>
      <c r="I8" s="718"/>
      <c r="J8" s="722"/>
      <c r="K8" s="802"/>
      <c r="L8" s="236" t="s">
        <v>397</v>
      </c>
      <c r="M8" s="218" t="s">
        <v>398</v>
      </c>
      <c r="N8" s="46">
        <v>1</v>
      </c>
      <c r="O8" s="258" t="s">
        <v>398</v>
      </c>
      <c r="P8" s="13">
        <v>0.5</v>
      </c>
      <c r="Q8" s="718" t="s">
        <v>676</v>
      </c>
      <c r="R8" s="258" t="s">
        <v>398</v>
      </c>
      <c r="S8" s="13">
        <v>0.25</v>
      </c>
      <c r="T8" s="718" t="s">
        <v>676</v>
      </c>
      <c r="U8" s="43"/>
      <c r="V8" s="220"/>
      <c r="W8" s="38"/>
      <c r="X8" s="75">
        <f>ROUND((ROUND((ROUND((_11_A通院２０．５*_11・重度研修),0)*_11・２人),0)*(1+_11・A深夜)),0)+ROUND((ROUND((ROUND((_11_B通院２０．５＿０．５*_11・重度研修),0)*_11・２人),0)*(1+_11・B早朝)),0)</f>
        <v>246</v>
      </c>
      <c r="Y8" s="48"/>
    </row>
    <row r="9" spans="1:25" ht="16.5" customHeight="1" x14ac:dyDescent="0.15">
      <c r="A9" s="41">
        <v>11</v>
      </c>
      <c r="B9" s="41" t="s">
        <v>15039</v>
      </c>
      <c r="C9" s="74" t="s">
        <v>15040</v>
      </c>
      <c r="D9" s="736"/>
      <c r="E9" s="704"/>
      <c r="F9" s="718"/>
      <c r="G9" s="709"/>
      <c r="H9" s="704"/>
      <c r="I9" s="718"/>
      <c r="J9" s="722"/>
      <c r="K9" s="802"/>
      <c r="L9" s="163"/>
      <c r="M9" s="45"/>
      <c r="N9" s="46"/>
      <c r="O9" s="35"/>
      <c r="Q9" s="796"/>
      <c r="R9" s="35"/>
      <c r="T9" s="796"/>
      <c r="U9" s="734" t="s">
        <v>404</v>
      </c>
      <c r="V9" s="219" t="s">
        <v>398</v>
      </c>
      <c r="W9" s="50">
        <f>_11・初任</f>
        <v>0.7</v>
      </c>
      <c r="X9" s="75">
        <f>ROUND((ROUND((ROUND((_11_A通院２０．５*_11・重度研修),0)*(1+_11・A深夜)),0)*_11・初任),0)+ROUND((ROUND((ROUND((_11_B通院２０．５＿０．５*_11・重度研修),0)*(1+_11・B早朝)),0)*_11・初任),0)</f>
        <v>172</v>
      </c>
      <c r="Y9" s="48"/>
    </row>
    <row r="10" spans="1:25" ht="16.5" customHeight="1" x14ac:dyDescent="0.15">
      <c r="A10" s="41">
        <v>11</v>
      </c>
      <c r="B10" s="41" t="s">
        <v>15041</v>
      </c>
      <c r="C10" s="74" t="s">
        <v>15042</v>
      </c>
      <c r="D10" s="72"/>
      <c r="E10" s="288">
        <f>_11_A通院２０．５</f>
        <v>105</v>
      </c>
      <c r="F10" s="10" t="s">
        <v>392</v>
      </c>
      <c r="G10" s="72"/>
      <c r="H10" s="288">
        <f>_11_B通院２０．５＿０．５</f>
        <v>91</v>
      </c>
      <c r="I10" s="10" t="s">
        <v>392</v>
      </c>
      <c r="J10" s="258" t="s">
        <v>398</v>
      </c>
      <c r="K10" s="234">
        <v>0.9</v>
      </c>
      <c r="L10" s="294" t="s">
        <v>397</v>
      </c>
      <c r="M10" s="218" t="s">
        <v>398</v>
      </c>
      <c r="N10" s="46">
        <v>1</v>
      </c>
      <c r="O10" s="35"/>
      <c r="Q10" s="234"/>
      <c r="R10" s="35"/>
      <c r="T10" s="234"/>
      <c r="U10" s="706"/>
      <c r="V10" s="220"/>
      <c r="W10" s="38"/>
      <c r="X10" s="75">
        <f>ROUND((ROUND((ROUND((ROUND((_11_A通院２０．５*_11・重度研修),0)*_11・２人),0)*(1+_11・A深夜)),0)*_11・初任),0)+ROUND((ROUND((ROUND((ROUND((_11_B通院２０．５＿０．５*_11・重度研修),0)*_11・２人),0)*(1+_11・B早朝)),0)*_11・初任),0)</f>
        <v>172</v>
      </c>
      <c r="Y10" s="48"/>
    </row>
    <row r="11" spans="1:25" ht="16.5" customHeight="1" x14ac:dyDescent="0.15">
      <c r="A11" s="41">
        <v>11</v>
      </c>
      <c r="B11" s="41">
        <v>9199</v>
      </c>
      <c r="C11" s="74" t="s">
        <v>15043</v>
      </c>
      <c r="D11" s="35"/>
      <c r="G11" s="735" t="s">
        <v>3581</v>
      </c>
      <c r="H11" s="708"/>
      <c r="I11" s="717"/>
      <c r="J11" s="35"/>
      <c r="L11" s="163"/>
      <c r="M11" s="45"/>
      <c r="N11" s="46"/>
      <c r="O11" s="35"/>
      <c r="R11" s="35"/>
      <c r="U11" s="53"/>
      <c r="V11" s="245"/>
      <c r="W11" s="49"/>
      <c r="X11" s="75">
        <f>ROUND((ROUND((_11_A通院２０．５*_11・重度研修),0)*(1+_11・A深夜)),0)+ROUND((ROUND((_11_B通院２０．５＿１．０*_11・重度研修),0)*(1+_11・B早朝)),0)</f>
        <v>333</v>
      </c>
      <c r="Y11" s="48"/>
    </row>
    <row r="12" spans="1:25" ht="16.5" customHeight="1" x14ac:dyDescent="0.15">
      <c r="A12" s="41">
        <v>11</v>
      </c>
      <c r="B12" s="41">
        <v>9200</v>
      </c>
      <c r="C12" s="74" t="s">
        <v>15044</v>
      </c>
      <c r="D12" s="35"/>
      <c r="G12" s="736"/>
      <c r="H12" s="704"/>
      <c r="I12" s="718"/>
      <c r="J12" s="35"/>
      <c r="L12" s="294" t="s">
        <v>397</v>
      </c>
      <c r="M12" s="218" t="s">
        <v>398</v>
      </c>
      <c r="N12" s="46">
        <v>1</v>
      </c>
      <c r="O12" s="35"/>
      <c r="R12" s="35"/>
      <c r="U12" s="43"/>
      <c r="V12" s="220"/>
      <c r="W12" s="37"/>
      <c r="X12" s="75">
        <f>ROUND((ROUND((ROUND((_11_A通院２０．５*_11・重度研修),0)*_11・２人),0)*(1+_11・A深夜)),0)+ROUND((ROUND((ROUND((_11_B通院２０．５＿１．０*_11・重度研修),0)*_11・２人),0)*(1+_11・B早朝)),0)</f>
        <v>333</v>
      </c>
      <c r="Y12" s="48"/>
    </row>
    <row r="13" spans="1:25" ht="16.5" customHeight="1" x14ac:dyDescent="0.15">
      <c r="A13" s="41">
        <v>11</v>
      </c>
      <c r="B13" s="41" t="s">
        <v>15045</v>
      </c>
      <c r="C13" s="74" t="s">
        <v>15046</v>
      </c>
      <c r="D13" s="35"/>
      <c r="G13" s="736"/>
      <c r="H13" s="704"/>
      <c r="I13" s="718"/>
      <c r="J13" s="35"/>
      <c r="L13" s="163"/>
      <c r="M13" s="45"/>
      <c r="N13" s="46"/>
      <c r="O13" s="35"/>
      <c r="R13" s="35"/>
      <c r="U13" s="734" t="s">
        <v>404</v>
      </c>
      <c r="V13" s="219" t="s">
        <v>398</v>
      </c>
      <c r="W13" s="50">
        <f>_11・初任</f>
        <v>0.7</v>
      </c>
      <c r="X13" s="75">
        <f>ROUND((ROUND((ROUND((_11_A通院２０．５*_11・重度研修),0)*(1+_11・A深夜)),0)*_11・初任),0)+ROUND((ROUND((ROUND((_11_B通院２０．５＿１．０*_11・重度研修),0)*(1+_11・B早朝)),0)*_11・初任),0)</f>
        <v>233</v>
      </c>
      <c r="Y13" s="48"/>
    </row>
    <row r="14" spans="1:25" ht="16.5" customHeight="1" x14ac:dyDescent="0.15">
      <c r="A14" s="41">
        <v>11</v>
      </c>
      <c r="B14" s="41" t="s">
        <v>15047</v>
      </c>
      <c r="C14" s="74" t="s">
        <v>15048</v>
      </c>
      <c r="D14" s="35"/>
      <c r="G14" s="35"/>
      <c r="H14" s="288">
        <f>_11_B通院２０．５＿１．０</f>
        <v>169</v>
      </c>
      <c r="I14" s="254" t="s">
        <v>392</v>
      </c>
      <c r="J14" s="35"/>
      <c r="L14" s="294" t="s">
        <v>397</v>
      </c>
      <c r="M14" s="218" t="s">
        <v>398</v>
      </c>
      <c r="N14" s="46">
        <v>1</v>
      </c>
      <c r="O14" s="35"/>
      <c r="R14" s="35"/>
      <c r="U14" s="706"/>
      <c r="V14" s="220"/>
      <c r="W14" s="38"/>
      <c r="X14" s="75">
        <f>ROUND((ROUND((ROUND((ROUND((_11_A通院２０．５*_11・重度研修),0)*_11・２人),0)*(1+_11・A深夜)),0)*_11・初任),0)+ROUND((ROUND((ROUND((ROUND((_11_B通院２０．５＿１．０*_11・重度研修),0)*_11・２人),0)*(1+_11・B早朝)),0)*_11・初任),0)</f>
        <v>233</v>
      </c>
      <c r="Y14" s="48"/>
    </row>
    <row r="15" spans="1:25" ht="16.5" customHeight="1" x14ac:dyDescent="0.15">
      <c r="A15" s="41">
        <v>11</v>
      </c>
      <c r="B15" s="41">
        <v>9201</v>
      </c>
      <c r="C15" s="74" t="s">
        <v>15049</v>
      </c>
      <c r="D15" s="735" t="s">
        <v>5030</v>
      </c>
      <c r="E15" s="708"/>
      <c r="F15" s="717"/>
      <c r="G15" s="707" t="s">
        <v>3602</v>
      </c>
      <c r="H15" s="708"/>
      <c r="I15" s="717"/>
      <c r="J15" s="35"/>
      <c r="L15" s="163"/>
      <c r="M15" s="45"/>
      <c r="N15" s="46"/>
      <c r="O15" s="35"/>
      <c r="R15" s="35"/>
      <c r="U15" s="53"/>
      <c r="V15" s="245"/>
      <c r="W15" s="49"/>
      <c r="X15" s="75">
        <f>ROUND((ROUND((_11_A通院２１．０*_11・重度研修),0)*(1+_11・A深夜)),0)+ROUND((ROUND((_11_B通院２１．０＿０．５*_11・重度研修),0)*(1+_11・B早朝)),0)</f>
        <v>352</v>
      </c>
      <c r="Y15" s="48"/>
    </row>
    <row r="16" spans="1:25" ht="16.5" customHeight="1" x14ac:dyDescent="0.15">
      <c r="A16" s="41">
        <v>11</v>
      </c>
      <c r="B16" s="41">
        <v>9202</v>
      </c>
      <c r="C16" s="74" t="s">
        <v>15050</v>
      </c>
      <c r="D16" s="736"/>
      <c r="E16" s="704"/>
      <c r="F16" s="718"/>
      <c r="G16" s="709"/>
      <c r="H16" s="704"/>
      <c r="I16" s="718"/>
      <c r="J16" s="35"/>
      <c r="L16" s="294" t="s">
        <v>397</v>
      </c>
      <c r="M16" s="218" t="s">
        <v>398</v>
      </c>
      <c r="N16" s="46">
        <v>1</v>
      </c>
      <c r="O16" s="35"/>
      <c r="R16" s="35"/>
      <c r="U16" s="43"/>
      <c r="V16" s="220"/>
      <c r="W16" s="37"/>
      <c r="X16" s="75">
        <f>ROUND((ROUND((ROUND((_11_A通院２１．０*_11・重度研修),0)*_11・２人),0)*(1+_11・A深夜)),0)+ROUND((ROUND((ROUND((_11_B通院２１．０＿０．５*_11・重度研修),0)*_11・２人),0)*(1+_11・B早朝)),0)</f>
        <v>352</v>
      </c>
      <c r="Y16" s="48"/>
    </row>
    <row r="17" spans="1:25" ht="16.5" customHeight="1" x14ac:dyDescent="0.15">
      <c r="A17" s="41">
        <v>11</v>
      </c>
      <c r="B17" s="41" t="s">
        <v>15051</v>
      </c>
      <c r="C17" s="74" t="s">
        <v>15052</v>
      </c>
      <c r="D17" s="736"/>
      <c r="E17" s="704"/>
      <c r="F17" s="718"/>
      <c r="G17" s="709"/>
      <c r="H17" s="704"/>
      <c r="I17" s="718"/>
      <c r="J17" s="35"/>
      <c r="L17" s="163"/>
      <c r="M17" s="45"/>
      <c r="N17" s="46"/>
      <c r="O17" s="35"/>
      <c r="R17" s="35"/>
      <c r="U17" s="734" t="s">
        <v>404</v>
      </c>
      <c r="V17" s="219" t="s">
        <v>398</v>
      </c>
      <c r="W17" s="50">
        <f>_11・初任</f>
        <v>0.7</v>
      </c>
      <c r="X17" s="75">
        <f>ROUND((ROUND((ROUND((_11_A通院２１．０*_11・重度研修),0)*(1+_11・A深夜)),0)*_11・初任),0)+ROUND((ROUND((ROUND((_11_B通院２１．０＿０．５*_11・重度研修),0)*(1+_11・B早朝)),0)*_11・初任),0)</f>
        <v>247</v>
      </c>
      <c r="Y17" s="48"/>
    </row>
    <row r="18" spans="1:25" ht="16.5" customHeight="1" x14ac:dyDescent="0.15">
      <c r="A18" s="41">
        <v>11</v>
      </c>
      <c r="B18" s="41" t="s">
        <v>15053</v>
      </c>
      <c r="C18" s="74" t="s">
        <v>15054</v>
      </c>
      <c r="D18" s="269"/>
      <c r="E18" s="295">
        <f>_11_A通院２１．０</f>
        <v>196</v>
      </c>
      <c r="F18" s="271" t="s">
        <v>392</v>
      </c>
      <c r="G18" s="269"/>
      <c r="H18" s="295">
        <f>_11_B通院２１．０＿０．５</f>
        <v>78</v>
      </c>
      <c r="I18" s="271" t="s">
        <v>392</v>
      </c>
      <c r="J18" s="43"/>
      <c r="K18" s="37"/>
      <c r="L18" s="294" t="s">
        <v>397</v>
      </c>
      <c r="M18" s="218" t="s">
        <v>398</v>
      </c>
      <c r="N18" s="46">
        <v>1</v>
      </c>
      <c r="O18" s="43"/>
      <c r="P18" s="37"/>
      <c r="Q18" s="38"/>
      <c r="R18" s="43"/>
      <c r="S18" s="37"/>
      <c r="T18" s="38"/>
      <c r="U18" s="706"/>
      <c r="V18" s="220"/>
      <c r="W18" s="38"/>
      <c r="X18" s="75">
        <f>ROUND((ROUND((ROUND((ROUND((_11_A通院２１．０*_11・重度研修),0)*_11・２人),0)*(1+_11・A深夜)),0)*_11・初任),0)+ROUND((ROUND((ROUND((ROUND((_11_B通院２１．０＿０．５*_11・重度研修),0)*_11・２人),0)*(1+_11・B早朝)),0)*_11・初任),0)</f>
        <v>247</v>
      </c>
      <c r="Y18" s="63"/>
    </row>
    <row r="19" spans="1:25" ht="16.5" customHeight="1" x14ac:dyDescent="0.15">
      <c r="A19" s="80"/>
      <c r="B19" s="80"/>
      <c r="C19" s="81"/>
      <c r="L19" s="82"/>
      <c r="X19" s="84"/>
      <c r="Y19" s="85"/>
    </row>
    <row r="20" spans="1:25" ht="16.5" customHeight="1" x14ac:dyDescent="0.15">
      <c r="A20" s="80"/>
      <c r="B20" s="80"/>
      <c r="C20" s="81"/>
      <c r="L20" s="82"/>
      <c r="X20" s="84"/>
      <c r="Y20" s="85"/>
    </row>
    <row r="21" spans="1:25" ht="16.5" customHeight="1" x14ac:dyDescent="0.15">
      <c r="A21" s="80"/>
      <c r="B21" s="86" t="s">
        <v>15055</v>
      </c>
      <c r="C21" s="81"/>
      <c r="E21" s="71"/>
      <c r="L21" s="82"/>
      <c r="X21" s="84"/>
      <c r="Y21" s="85"/>
    </row>
    <row r="22" spans="1:25" ht="16.5" customHeight="1" x14ac:dyDescent="0.15">
      <c r="A22" s="87" t="s">
        <v>384</v>
      </c>
      <c r="B22" s="20"/>
      <c r="C22" s="88" t="s">
        <v>385</v>
      </c>
      <c r="D22" s="23"/>
      <c r="E22" s="23" t="s">
        <v>386</v>
      </c>
      <c r="F22" s="23"/>
      <c r="G22" s="23"/>
      <c r="H22" s="23"/>
      <c r="I22" s="23"/>
      <c r="J22" s="23"/>
      <c r="K22" s="23"/>
      <c r="L22" s="23"/>
      <c r="M22" s="23"/>
      <c r="N22" s="24"/>
      <c r="O22" s="23"/>
      <c r="P22" s="23"/>
      <c r="Q22" s="24"/>
      <c r="R22" s="23"/>
      <c r="S22" s="23"/>
      <c r="T22" s="24"/>
      <c r="U22" s="23"/>
      <c r="V22" s="166"/>
      <c r="W22" s="24"/>
      <c r="X22" s="25" t="s">
        <v>387</v>
      </c>
      <c r="Y22" s="21" t="s">
        <v>388</v>
      </c>
    </row>
    <row r="23" spans="1:25" ht="16.5" customHeight="1" x14ac:dyDescent="0.15">
      <c r="A23" s="26" t="s">
        <v>389</v>
      </c>
      <c r="B23" s="26" t="s">
        <v>390</v>
      </c>
      <c r="C23" s="89"/>
      <c r="D23" s="726" t="s">
        <v>1032</v>
      </c>
      <c r="E23" s="731"/>
      <c r="F23" s="727"/>
      <c r="G23" s="272"/>
      <c r="H23" s="29"/>
      <c r="I23" s="29"/>
      <c r="J23" s="29"/>
      <c r="K23" s="29"/>
      <c r="L23" s="29"/>
      <c r="M23" s="29"/>
      <c r="N23" s="30"/>
      <c r="O23" s="29"/>
      <c r="P23" s="29"/>
      <c r="Q23" s="30"/>
      <c r="R23" s="29"/>
      <c r="S23" s="29"/>
      <c r="T23" s="30"/>
      <c r="U23" s="29"/>
      <c r="V23" s="214"/>
      <c r="W23" s="30"/>
      <c r="X23" s="31" t="s">
        <v>391</v>
      </c>
      <c r="Y23" s="32" t="s">
        <v>392</v>
      </c>
    </row>
    <row r="24" spans="1:25" ht="16.5" customHeight="1" x14ac:dyDescent="0.15">
      <c r="A24" s="33">
        <v>11</v>
      </c>
      <c r="B24" s="33">
        <v>9203</v>
      </c>
      <c r="C24" s="34" t="s">
        <v>15056</v>
      </c>
      <c r="D24" s="736" t="s">
        <v>4640</v>
      </c>
      <c r="E24" s="704"/>
      <c r="F24" s="718"/>
      <c r="G24" s="709" t="s">
        <v>3643</v>
      </c>
      <c r="H24" s="704"/>
      <c r="I24" s="718"/>
      <c r="J24" s="709" t="s">
        <v>11707</v>
      </c>
      <c r="K24" s="802"/>
      <c r="L24" s="70"/>
      <c r="M24" s="37"/>
      <c r="N24" s="38"/>
      <c r="O24" s="72" t="s">
        <v>1227</v>
      </c>
      <c r="R24" s="35"/>
      <c r="T24" s="234"/>
      <c r="U24" s="35"/>
      <c r="X24" s="73">
        <f>ROUND((ROUND((_11_A通院２０．５*_11・重度研修),0)*(1+_11・A早朝)),0)+ROUND((_11_B通院２０．５＿０．５*_11・重度研修),0)</f>
        <v>201</v>
      </c>
      <c r="Y24" s="40" t="s">
        <v>395</v>
      </c>
    </row>
    <row r="25" spans="1:25" ht="16.5" customHeight="1" x14ac:dyDescent="0.15">
      <c r="A25" s="41">
        <v>11</v>
      </c>
      <c r="B25" s="41">
        <v>9204</v>
      </c>
      <c r="C25" s="74" t="s">
        <v>15057</v>
      </c>
      <c r="D25" s="736"/>
      <c r="E25" s="704"/>
      <c r="F25" s="718"/>
      <c r="G25" s="709"/>
      <c r="H25" s="704"/>
      <c r="I25" s="718"/>
      <c r="J25" s="722"/>
      <c r="K25" s="802"/>
      <c r="L25" s="236" t="s">
        <v>397</v>
      </c>
      <c r="M25" s="218" t="s">
        <v>398</v>
      </c>
      <c r="N25" s="46">
        <v>1</v>
      </c>
      <c r="O25" s="258" t="s">
        <v>398</v>
      </c>
      <c r="P25" s="13">
        <v>0.25</v>
      </c>
      <c r="Q25" s="704" t="s">
        <v>676</v>
      </c>
      <c r="R25" s="35"/>
      <c r="T25" s="234"/>
      <c r="U25" s="43"/>
      <c r="V25" s="220"/>
      <c r="W25" s="38"/>
      <c r="X25" s="75">
        <f>ROUND((ROUND((ROUND((_11_A通院２０．５*_11・重度研修),0)*_11・２人),0)*(1+_11・A早朝)),0)+ROUND((ROUND((_11_B通院２０．５＿０．５*_11・重度研修),0)*_11・２人),0)</f>
        <v>201</v>
      </c>
      <c r="Y25" s="48"/>
    </row>
    <row r="26" spans="1:25" ht="16.5" customHeight="1" x14ac:dyDescent="0.15">
      <c r="A26" s="41">
        <v>11</v>
      </c>
      <c r="B26" s="41" t="s">
        <v>15058</v>
      </c>
      <c r="C26" s="74" t="s">
        <v>15059</v>
      </c>
      <c r="D26" s="736"/>
      <c r="E26" s="704"/>
      <c r="F26" s="718"/>
      <c r="G26" s="709"/>
      <c r="H26" s="704"/>
      <c r="I26" s="718"/>
      <c r="J26" s="722"/>
      <c r="K26" s="802"/>
      <c r="L26" s="282"/>
      <c r="M26" s="45"/>
      <c r="N26" s="46"/>
      <c r="O26" s="35"/>
      <c r="Q26" s="797"/>
      <c r="R26" s="35"/>
      <c r="T26" s="234"/>
      <c r="U26" s="734" t="s">
        <v>404</v>
      </c>
      <c r="V26" s="219" t="s">
        <v>398</v>
      </c>
      <c r="W26" s="50">
        <f>_11・初任</f>
        <v>0.7</v>
      </c>
      <c r="X26" s="75">
        <f>ROUND((ROUND((ROUND((_11_A通院２０．５*_11・重度研修),0)*(1+_11・A早朝)),0)*_11・初任),0)+ROUND((ROUND((_11_B通院２０．５＿０．５*_11・重度研修),0)*_11・初任),0)</f>
        <v>140</v>
      </c>
      <c r="Y26" s="48"/>
    </row>
    <row r="27" spans="1:25" ht="16.5" customHeight="1" x14ac:dyDescent="0.15">
      <c r="A27" s="41">
        <v>11</v>
      </c>
      <c r="B27" s="41" t="s">
        <v>15060</v>
      </c>
      <c r="C27" s="74" t="s">
        <v>15061</v>
      </c>
      <c r="D27" s="92"/>
      <c r="E27" s="288">
        <f>_11_A通院２０．５</f>
        <v>105</v>
      </c>
      <c r="F27" s="254" t="s">
        <v>392</v>
      </c>
      <c r="G27" s="92"/>
      <c r="H27" s="288">
        <f>_11_B通院２０．５＿０．５</f>
        <v>91</v>
      </c>
      <c r="I27" s="254" t="s">
        <v>392</v>
      </c>
      <c r="J27" s="258" t="s">
        <v>398</v>
      </c>
      <c r="K27" s="234">
        <v>0.9</v>
      </c>
      <c r="L27" s="294" t="s">
        <v>397</v>
      </c>
      <c r="M27" s="218" t="s">
        <v>398</v>
      </c>
      <c r="N27" s="46">
        <v>1</v>
      </c>
      <c r="O27" s="35"/>
      <c r="R27" s="35"/>
      <c r="T27" s="234"/>
      <c r="U27" s="706"/>
      <c r="V27" s="220"/>
      <c r="W27" s="38"/>
      <c r="X27" s="75">
        <f>ROUND((ROUND((ROUND((ROUND((_11_A通院２０．５*_11・重度研修),0)*_11・２人),0)*(1+_11・A早朝)),0)*_11・初任),0)+ROUND((ROUND((ROUND((_11_B通院２０．５＿０．５*_11・重度研修),0)*_11・２人),0)*_11・初任),0)</f>
        <v>140</v>
      </c>
      <c r="Y27" s="48"/>
    </row>
    <row r="28" spans="1:25" ht="16.5" customHeight="1" x14ac:dyDescent="0.15">
      <c r="A28" s="41">
        <v>11</v>
      </c>
      <c r="B28" s="41">
        <v>9205</v>
      </c>
      <c r="C28" s="74" t="s">
        <v>15062</v>
      </c>
      <c r="D28" s="35"/>
      <c r="G28" s="735" t="s">
        <v>3650</v>
      </c>
      <c r="H28" s="708"/>
      <c r="I28" s="717"/>
      <c r="J28" s="35"/>
      <c r="L28" s="282"/>
      <c r="M28" s="45"/>
      <c r="N28" s="46"/>
      <c r="O28" s="35"/>
      <c r="R28" s="35"/>
      <c r="T28" s="234"/>
      <c r="U28" s="53"/>
      <c r="V28" s="245"/>
      <c r="W28" s="49"/>
      <c r="X28" s="75">
        <f>ROUND((ROUND((_11_A通院２０．５*_11・重度研修),0)*(1+_11・A早朝)),0)+ROUND((_11_B通院２０．５＿１．０*_11・重度研修),0)</f>
        <v>271</v>
      </c>
      <c r="Y28" s="48"/>
    </row>
    <row r="29" spans="1:25" ht="16.5" customHeight="1" x14ac:dyDescent="0.15">
      <c r="A29" s="41">
        <v>11</v>
      </c>
      <c r="B29" s="41">
        <v>9206</v>
      </c>
      <c r="C29" s="74" t="s">
        <v>15063</v>
      </c>
      <c r="D29" s="35"/>
      <c r="G29" s="736"/>
      <c r="H29" s="704"/>
      <c r="I29" s="718"/>
      <c r="J29" s="35"/>
      <c r="L29" s="294" t="s">
        <v>397</v>
      </c>
      <c r="M29" s="218" t="s">
        <v>398</v>
      </c>
      <c r="N29" s="46">
        <v>1</v>
      </c>
      <c r="O29" s="35"/>
      <c r="R29" s="35"/>
      <c r="T29" s="234"/>
      <c r="U29" s="43"/>
      <c r="V29" s="220"/>
      <c r="W29" s="37"/>
      <c r="X29" s="75">
        <f>ROUND((ROUND((ROUND((_11_A通院２０．５*_11・重度研修),0)*_11・２人),0)*(1+_11・A早朝)),0)+ROUND((ROUND((_11_B通院２０．５＿１．０*_11・重度研修),0)*_11・２人),0)</f>
        <v>271</v>
      </c>
      <c r="Y29" s="48"/>
    </row>
    <row r="30" spans="1:25" ht="16.5" customHeight="1" x14ac:dyDescent="0.15">
      <c r="A30" s="41">
        <v>11</v>
      </c>
      <c r="B30" s="41" t="s">
        <v>15064</v>
      </c>
      <c r="C30" s="74" t="s">
        <v>15065</v>
      </c>
      <c r="D30" s="35"/>
      <c r="G30" s="736"/>
      <c r="H30" s="704"/>
      <c r="I30" s="718"/>
      <c r="J30" s="35"/>
      <c r="L30" s="282"/>
      <c r="M30" s="45"/>
      <c r="N30" s="46"/>
      <c r="O30" s="35"/>
      <c r="R30" s="35"/>
      <c r="T30" s="234"/>
      <c r="U30" s="734" t="s">
        <v>404</v>
      </c>
      <c r="V30" s="219" t="s">
        <v>398</v>
      </c>
      <c r="W30" s="50">
        <f>_11・初任</f>
        <v>0.7</v>
      </c>
      <c r="X30" s="75">
        <f>ROUND((ROUND((ROUND((_11_A通院２０．５*_11・重度研修),0)*(1+_11・A早朝)),0)*_11・初任),0)+ROUND((ROUND((_11_B通院２０．５＿１．０*_11・重度研修),0)*_11・初任),0)</f>
        <v>189</v>
      </c>
      <c r="Y30" s="48"/>
    </row>
    <row r="31" spans="1:25" ht="16.5" customHeight="1" x14ac:dyDescent="0.15">
      <c r="A31" s="41">
        <v>11</v>
      </c>
      <c r="B31" s="41" t="s">
        <v>15066</v>
      </c>
      <c r="C31" s="74" t="s">
        <v>15067</v>
      </c>
      <c r="D31" s="35"/>
      <c r="G31" s="35"/>
      <c r="H31" s="288">
        <f>_11_B通院２０．５＿１．０</f>
        <v>169</v>
      </c>
      <c r="I31" s="254" t="s">
        <v>392</v>
      </c>
      <c r="J31" s="35"/>
      <c r="L31" s="294" t="s">
        <v>397</v>
      </c>
      <c r="M31" s="218" t="s">
        <v>398</v>
      </c>
      <c r="N31" s="46">
        <v>1</v>
      </c>
      <c r="O31" s="35"/>
      <c r="R31" s="35"/>
      <c r="T31" s="234"/>
      <c r="U31" s="706"/>
      <c r="V31" s="220"/>
      <c r="W31" s="38"/>
      <c r="X31" s="75">
        <f>ROUND((ROUND((ROUND((ROUND((_11_A通院２０．５*_11・重度研修),0)*_11・２人),0)*(1+_11・A早朝)),0)*_11・初任),0)+ROUND((ROUND((ROUND((_11_B通院２０．５＿１．０*_11・重度研修),0)*_11・２人),0)*_11・初任),0)</f>
        <v>189</v>
      </c>
      <c r="Y31" s="48"/>
    </row>
    <row r="32" spans="1:25" ht="16.5" customHeight="1" x14ac:dyDescent="0.15">
      <c r="A32" s="41">
        <v>11</v>
      </c>
      <c r="B32" s="41">
        <v>9207</v>
      </c>
      <c r="C32" s="74" t="s">
        <v>15068</v>
      </c>
      <c r="D32" s="735" t="s">
        <v>5215</v>
      </c>
      <c r="E32" s="708"/>
      <c r="F32" s="717"/>
      <c r="G32" s="707" t="s">
        <v>3643</v>
      </c>
      <c r="H32" s="708"/>
      <c r="I32" s="717"/>
      <c r="J32" s="35"/>
      <c r="L32" s="282"/>
      <c r="M32" s="45"/>
      <c r="N32" s="46"/>
      <c r="O32" s="35"/>
      <c r="R32" s="35"/>
      <c r="T32" s="234"/>
      <c r="U32" s="53"/>
      <c r="V32" s="245"/>
      <c r="W32" s="49"/>
      <c r="X32" s="75">
        <f>ROUND((ROUND((_11_A通院２１．０*_11・重度研修),0)*(1+_11・A早朝)),0)+ROUND((_11_B通院２１．０＿０．５*_11・重度研修),0)</f>
        <v>290</v>
      </c>
      <c r="Y32" s="48"/>
    </row>
    <row r="33" spans="1:25" ht="16.5" customHeight="1" x14ac:dyDescent="0.15">
      <c r="A33" s="41">
        <v>11</v>
      </c>
      <c r="B33" s="41">
        <v>9208</v>
      </c>
      <c r="C33" s="74" t="s">
        <v>15069</v>
      </c>
      <c r="D33" s="736"/>
      <c r="E33" s="704"/>
      <c r="F33" s="718"/>
      <c r="G33" s="709"/>
      <c r="H33" s="704"/>
      <c r="I33" s="718"/>
      <c r="J33" s="35"/>
      <c r="L33" s="294" t="s">
        <v>397</v>
      </c>
      <c r="M33" s="218" t="s">
        <v>398</v>
      </c>
      <c r="N33" s="46">
        <v>1</v>
      </c>
      <c r="O33" s="35"/>
      <c r="R33" s="35"/>
      <c r="T33" s="234"/>
      <c r="U33" s="43"/>
      <c r="V33" s="220"/>
      <c r="W33" s="37"/>
      <c r="X33" s="75">
        <f>ROUND((ROUND((ROUND((_11_A通院２１．０*_11・重度研修),0)*_11・２人),0)*(1+_11・A早朝)),0)+ROUND((ROUND((_11_B通院２１．０＿０．５*_11・重度研修),0)*_11・２人),0)</f>
        <v>290</v>
      </c>
      <c r="Y33" s="48"/>
    </row>
    <row r="34" spans="1:25" ht="16.5" customHeight="1" x14ac:dyDescent="0.15">
      <c r="A34" s="41">
        <v>11</v>
      </c>
      <c r="B34" s="41" t="s">
        <v>15070</v>
      </c>
      <c r="C34" s="74" t="s">
        <v>15071</v>
      </c>
      <c r="D34" s="736"/>
      <c r="E34" s="704"/>
      <c r="F34" s="718"/>
      <c r="G34" s="709"/>
      <c r="H34" s="704"/>
      <c r="I34" s="718"/>
      <c r="J34" s="35"/>
      <c r="L34" s="282"/>
      <c r="M34" s="45"/>
      <c r="N34" s="46"/>
      <c r="O34" s="35"/>
      <c r="R34" s="35"/>
      <c r="T34" s="234"/>
      <c r="U34" s="734" t="s">
        <v>404</v>
      </c>
      <c r="V34" s="219" t="s">
        <v>398</v>
      </c>
      <c r="W34" s="50">
        <f>_11・初任</f>
        <v>0.7</v>
      </c>
      <c r="X34" s="75">
        <f>ROUND((ROUND((ROUND((_11_A通院２１．０*_11・重度研修),0)*(1+_11・A早朝)),0)*_11・初任),0)+ROUND((ROUND((_11_B通院２１．０＿０．５*_11・重度研修),0)*_11・初任),0)</f>
        <v>203</v>
      </c>
      <c r="Y34" s="48"/>
    </row>
    <row r="35" spans="1:25" ht="16.5" customHeight="1" x14ac:dyDescent="0.15">
      <c r="A35" s="41">
        <v>11</v>
      </c>
      <c r="B35" s="41" t="s">
        <v>15072</v>
      </c>
      <c r="C35" s="74" t="s">
        <v>15073</v>
      </c>
      <c r="D35" s="269"/>
      <c r="E35" s="295">
        <f>_11_A通院２１．０</f>
        <v>196</v>
      </c>
      <c r="F35" s="271" t="s">
        <v>392</v>
      </c>
      <c r="G35" s="269"/>
      <c r="H35" s="295">
        <f>_11_B通院２１．０＿０．５</f>
        <v>78</v>
      </c>
      <c r="I35" s="271" t="s">
        <v>392</v>
      </c>
      <c r="J35" s="43"/>
      <c r="K35" s="37"/>
      <c r="L35" s="294" t="s">
        <v>397</v>
      </c>
      <c r="M35" s="218" t="s">
        <v>398</v>
      </c>
      <c r="N35" s="46">
        <v>1</v>
      </c>
      <c r="O35" s="43"/>
      <c r="P35" s="37"/>
      <c r="Q35" s="38"/>
      <c r="R35" s="43"/>
      <c r="S35" s="37"/>
      <c r="T35" s="244"/>
      <c r="U35" s="706"/>
      <c r="V35" s="220"/>
      <c r="W35" s="38"/>
      <c r="X35" s="75">
        <f>ROUND((ROUND((ROUND((ROUND((_11_A通院２１．０*_11・重度研修),0)*_11・２人),0)*(1+_11・A早朝)),0)*_11・初任),0)+ROUND((ROUND((ROUND((_11_B通院２１．０＿０．５*_11・重度研修),0)*_11・２人),0)*_11・初任),0)</f>
        <v>203</v>
      </c>
      <c r="Y35" s="63"/>
    </row>
    <row r="36" spans="1:25" ht="16.5" customHeight="1" x14ac:dyDescent="0.15">
      <c r="A36" s="80"/>
      <c r="B36" s="80"/>
      <c r="C36" s="81"/>
      <c r="L36" s="82"/>
      <c r="X36" s="84"/>
      <c r="Y36" s="85"/>
    </row>
    <row r="37" spans="1:25" ht="16.5" customHeight="1" x14ac:dyDescent="0.15">
      <c r="A37" s="80"/>
      <c r="B37" s="80"/>
      <c r="C37" s="81"/>
      <c r="L37" s="82"/>
      <c r="X37" s="84"/>
      <c r="Y37" s="85"/>
    </row>
    <row r="38" spans="1:25" ht="16.5" customHeight="1" x14ac:dyDescent="0.15">
      <c r="A38" s="80"/>
      <c r="B38" s="86" t="s">
        <v>15074</v>
      </c>
      <c r="C38" s="81"/>
      <c r="E38" s="71"/>
      <c r="L38" s="82"/>
      <c r="X38" s="84"/>
      <c r="Y38" s="85"/>
    </row>
    <row r="39" spans="1:25" ht="16.5" customHeight="1" x14ac:dyDescent="0.15">
      <c r="A39" s="87" t="s">
        <v>384</v>
      </c>
      <c r="B39" s="20"/>
      <c r="C39" s="88" t="s">
        <v>385</v>
      </c>
      <c r="D39" s="235"/>
      <c r="E39" s="23" t="s">
        <v>386</v>
      </c>
      <c r="F39" s="23"/>
      <c r="G39" s="23"/>
      <c r="H39" s="23"/>
      <c r="I39" s="23"/>
      <c r="J39" s="23"/>
      <c r="K39" s="23"/>
      <c r="L39" s="23"/>
      <c r="M39" s="23"/>
      <c r="N39" s="24"/>
      <c r="O39" s="23"/>
      <c r="P39" s="23"/>
      <c r="Q39" s="24"/>
      <c r="R39" s="23"/>
      <c r="S39" s="23"/>
      <c r="T39" s="24"/>
      <c r="U39" s="23"/>
      <c r="V39" s="166"/>
      <c r="W39" s="24"/>
      <c r="X39" s="25" t="s">
        <v>387</v>
      </c>
      <c r="Y39" s="21" t="s">
        <v>388</v>
      </c>
    </row>
    <row r="40" spans="1:25" ht="16.5" customHeight="1" x14ac:dyDescent="0.15">
      <c r="A40" s="26" t="s">
        <v>389</v>
      </c>
      <c r="B40" s="26" t="s">
        <v>390</v>
      </c>
      <c r="C40" s="89"/>
      <c r="D40" s="159"/>
      <c r="E40" s="29"/>
      <c r="F40" s="29"/>
      <c r="G40" s="289"/>
      <c r="H40" s="187" t="s">
        <v>1032</v>
      </c>
      <c r="I40" s="20"/>
      <c r="J40" s="29"/>
      <c r="K40" s="29"/>
      <c r="L40" s="29"/>
      <c r="M40" s="29"/>
      <c r="N40" s="30"/>
      <c r="O40" s="29"/>
      <c r="P40" s="29"/>
      <c r="Q40" s="30"/>
      <c r="R40" s="29"/>
      <c r="S40" s="29"/>
      <c r="T40" s="30"/>
      <c r="U40" s="29"/>
      <c r="V40" s="214"/>
      <c r="W40" s="30"/>
      <c r="X40" s="31" t="s">
        <v>391</v>
      </c>
      <c r="Y40" s="32" t="s">
        <v>392</v>
      </c>
    </row>
    <row r="41" spans="1:25" ht="16.5" customHeight="1" x14ac:dyDescent="0.15">
      <c r="A41" s="33">
        <v>11</v>
      </c>
      <c r="B41" s="33">
        <v>9209</v>
      </c>
      <c r="C41" s="34" t="s">
        <v>15075</v>
      </c>
      <c r="D41" s="736" t="s">
        <v>5340</v>
      </c>
      <c r="E41" s="704"/>
      <c r="F41" s="718"/>
      <c r="G41" s="709" t="s">
        <v>3711</v>
      </c>
      <c r="H41" s="704"/>
      <c r="I41" s="718"/>
      <c r="J41" s="709" t="s">
        <v>11707</v>
      </c>
      <c r="K41" s="802"/>
      <c r="L41" s="70"/>
      <c r="M41" s="37"/>
      <c r="N41" s="38"/>
      <c r="O41" s="35"/>
      <c r="Q41" s="234"/>
      <c r="R41" s="10" t="s">
        <v>1416</v>
      </c>
      <c r="T41" s="234"/>
      <c r="U41" s="35"/>
      <c r="X41" s="73">
        <f>ROUND((_11_A通院２０．５*_11・重度研修),0)+ROUND((ROUND((_11_B通院２０．５＿０．５*_11・重度研修),0)*(1+_11・B夜間)),0)</f>
        <v>198</v>
      </c>
      <c r="Y41" s="40" t="s">
        <v>395</v>
      </c>
    </row>
    <row r="42" spans="1:25" ht="16.5" customHeight="1" x14ac:dyDescent="0.15">
      <c r="A42" s="41">
        <v>11</v>
      </c>
      <c r="B42" s="41">
        <v>9210</v>
      </c>
      <c r="C42" s="74" t="s">
        <v>15076</v>
      </c>
      <c r="D42" s="736"/>
      <c r="E42" s="704"/>
      <c r="F42" s="718"/>
      <c r="G42" s="709"/>
      <c r="H42" s="704"/>
      <c r="I42" s="718"/>
      <c r="J42" s="722"/>
      <c r="K42" s="802"/>
      <c r="L42" s="236" t="s">
        <v>397</v>
      </c>
      <c r="M42" s="218" t="s">
        <v>398</v>
      </c>
      <c r="N42" s="46">
        <v>1</v>
      </c>
      <c r="O42" s="35"/>
      <c r="Q42" s="234"/>
      <c r="R42" s="296" t="s">
        <v>398</v>
      </c>
      <c r="S42" s="13">
        <v>0.25</v>
      </c>
      <c r="T42" s="718" t="s">
        <v>676</v>
      </c>
      <c r="U42" s="43"/>
      <c r="V42" s="220"/>
      <c r="W42" s="38"/>
      <c r="X42" s="75">
        <f>ROUND((ROUND((_11_A通院２０．５*_11・重度研修),0)*_11・２人),0)+ROUND((ROUND((ROUND((_11_B通院２０．５＿０．５*_11・重度研修),0)*_11・２人),0)*(1+_11・B夜間)),0)</f>
        <v>198</v>
      </c>
      <c r="Y42" s="48"/>
    </row>
    <row r="43" spans="1:25" ht="16.5" customHeight="1" x14ac:dyDescent="0.15">
      <c r="A43" s="41">
        <v>11</v>
      </c>
      <c r="B43" s="41" t="s">
        <v>15077</v>
      </c>
      <c r="C43" s="74" t="s">
        <v>15078</v>
      </c>
      <c r="D43" s="736"/>
      <c r="E43" s="704"/>
      <c r="F43" s="718"/>
      <c r="G43" s="709"/>
      <c r="H43" s="704"/>
      <c r="I43" s="718"/>
      <c r="J43" s="722"/>
      <c r="K43" s="802"/>
      <c r="L43" s="282"/>
      <c r="M43" s="45"/>
      <c r="N43" s="46"/>
      <c r="O43" s="35"/>
      <c r="Q43" s="234"/>
      <c r="T43" s="796"/>
      <c r="U43" s="734" t="s">
        <v>404</v>
      </c>
      <c r="V43" s="219" t="s">
        <v>398</v>
      </c>
      <c r="W43" s="50">
        <f>_11・初任</f>
        <v>0.7</v>
      </c>
      <c r="X43" s="75">
        <f>ROUND((ROUND((_11_A通院２０．５*_11・重度研修),0)*_11・初任),0)+ROUND((ROUND((ROUND((_11_B通院２０．５＿０．５*_11・重度研修),0)*(1+_11・B夜間)),0)*_11・初任),0)</f>
        <v>139</v>
      </c>
      <c r="Y43" s="48"/>
    </row>
    <row r="44" spans="1:25" ht="16.5" customHeight="1" x14ac:dyDescent="0.15">
      <c r="A44" s="41">
        <v>11</v>
      </c>
      <c r="B44" s="41" t="s">
        <v>15079</v>
      </c>
      <c r="C44" s="74" t="s">
        <v>15080</v>
      </c>
      <c r="D44" s="92"/>
      <c r="E44" s="288">
        <f>_11_A通院２０．５</f>
        <v>105</v>
      </c>
      <c r="F44" s="254" t="s">
        <v>392</v>
      </c>
      <c r="G44" s="92"/>
      <c r="H44" s="288">
        <f>_11_B通院２０．５＿０．５</f>
        <v>91</v>
      </c>
      <c r="I44" s="254" t="s">
        <v>392</v>
      </c>
      <c r="J44" s="258" t="s">
        <v>398</v>
      </c>
      <c r="K44" s="234">
        <v>0.9</v>
      </c>
      <c r="L44" s="294" t="s">
        <v>397</v>
      </c>
      <c r="M44" s="218" t="s">
        <v>398</v>
      </c>
      <c r="N44" s="46">
        <v>1</v>
      </c>
      <c r="O44" s="35"/>
      <c r="Q44" s="234"/>
      <c r="T44" s="234"/>
      <c r="U44" s="706"/>
      <c r="V44" s="220"/>
      <c r="W44" s="38"/>
      <c r="X44" s="75">
        <f>ROUND((ROUND((ROUND((_11_A通院２０．５*_11・重度研修),0)*_11・２人),0)*_11・初任),0)+ROUND((ROUND((ROUND((ROUND((_11_B通院２０．５＿０．５*_11・重度研修),0)*_11・２人),0)*(1+_11・B夜間)),0)*_11・初任),0)</f>
        <v>139</v>
      </c>
      <c r="Y44" s="48"/>
    </row>
    <row r="45" spans="1:25" ht="16.5" customHeight="1" x14ac:dyDescent="0.15">
      <c r="A45" s="41">
        <v>11</v>
      </c>
      <c r="B45" s="41">
        <v>9211</v>
      </c>
      <c r="C45" s="74" t="s">
        <v>15081</v>
      </c>
      <c r="D45" s="35"/>
      <c r="G45" s="735" t="s">
        <v>3718</v>
      </c>
      <c r="H45" s="708"/>
      <c r="I45" s="717"/>
      <c r="J45" s="35"/>
      <c r="L45" s="282"/>
      <c r="M45" s="45"/>
      <c r="N45" s="46"/>
      <c r="O45" s="35"/>
      <c r="Q45" s="234"/>
      <c r="U45" s="53"/>
      <c r="V45" s="245"/>
      <c r="W45" s="49"/>
      <c r="X45" s="75">
        <f>ROUND((_11_A通院２０．５*_11・重度研修),0)+ROUND((ROUND((_11_B通院２０．５＿１．０*_11・重度研修),0)*(1+_11・B夜間)),0)</f>
        <v>285</v>
      </c>
      <c r="Y45" s="48"/>
    </row>
    <row r="46" spans="1:25" ht="16.5" customHeight="1" x14ac:dyDescent="0.15">
      <c r="A46" s="41">
        <v>11</v>
      </c>
      <c r="B46" s="41">
        <v>9212</v>
      </c>
      <c r="C46" s="74" t="s">
        <v>15082</v>
      </c>
      <c r="D46" s="35"/>
      <c r="G46" s="736"/>
      <c r="H46" s="704"/>
      <c r="I46" s="718"/>
      <c r="J46" s="35"/>
      <c r="L46" s="294" t="s">
        <v>397</v>
      </c>
      <c r="M46" s="218" t="s">
        <v>398</v>
      </c>
      <c r="N46" s="46">
        <v>1</v>
      </c>
      <c r="O46" s="35"/>
      <c r="Q46" s="234"/>
      <c r="U46" s="43"/>
      <c r="V46" s="220"/>
      <c r="W46" s="37"/>
      <c r="X46" s="75">
        <f>ROUND((ROUND((_11_A通院２０．５*_11・重度研修),0)*_11・２人),0)+ROUND((ROUND((ROUND((_11_B通院２０．５＿１．０*_11・重度研修),0)*_11・２人),0)*(1+_11・B夜間)),0)</f>
        <v>285</v>
      </c>
      <c r="Y46" s="48"/>
    </row>
    <row r="47" spans="1:25" ht="16.5" customHeight="1" x14ac:dyDescent="0.15">
      <c r="A47" s="41">
        <v>11</v>
      </c>
      <c r="B47" s="41" t="s">
        <v>15083</v>
      </c>
      <c r="C47" s="74" t="s">
        <v>15084</v>
      </c>
      <c r="D47" s="35"/>
      <c r="G47" s="736"/>
      <c r="H47" s="704"/>
      <c r="I47" s="718"/>
      <c r="J47" s="35"/>
      <c r="L47" s="282"/>
      <c r="M47" s="45"/>
      <c r="N47" s="46"/>
      <c r="O47" s="35"/>
      <c r="Q47" s="234"/>
      <c r="U47" s="734" t="s">
        <v>404</v>
      </c>
      <c r="V47" s="219" t="s">
        <v>398</v>
      </c>
      <c r="W47" s="50">
        <f>_11・初任</f>
        <v>0.7</v>
      </c>
      <c r="X47" s="75">
        <f>ROUND((ROUND((_11_A通院２０．５*_11・重度研修),0)*_11・初任),0)+ROUND((ROUND((ROUND((_11_B通院２０．５＿１．０*_11・重度研修),0)*(1+_11・B夜間)),0)*_11・初任),0)</f>
        <v>200</v>
      </c>
      <c r="Y47" s="48"/>
    </row>
    <row r="48" spans="1:25" ht="16.5" customHeight="1" x14ac:dyDescent="0.15">
      <c r="A48" s="41">
        <v>11</v>
      </c>
      <c r="B48" s="41" t="s">
        <v>15085</v>
      </c>
      <c r="C48" s="74" t="s">
        <v>15086</v>
      </c>
      <c r="D48" s="35"/>
      <c r="G48" s="35"/>
      <c r="H48" s="288">
        <f>_11_B通院２０．５＿１．０</f>
        <v>169</v>
      </c>
      <c r="I48" s="254" t="s">
        <v>392</v>
      </c>
      <c r="J48" s="35"/>
      <c r="L48" s="294" t="s">
        <v>397</v>
      </c>
      <c r="M48" s="218" t="s">
        <v>398</v>
      </c>
      <c r="N48" s="46">
        <v>1</v>
      </c>
      <c r="O48" s="35"/>
      <c r="Q48" s="234"/>
      <c r="U48" s="706"/>
      <c r="V48" s="220"/>
      <c r="W48" s="38"/>
      <c r="X48" s="75">
        <f>ROUND((ROUND((ROUND((_11_A通院２０．５*_11・重度研修),0)*_11・２人),0)*_11・初任),0)+ROUND((ROUND((ROUND((ROUND((_11_B通院２０．５＿１．０*_11・重度研修),0)*_11・２人),0)*(1+_11・B夜間)),0)*_11・初任),0)</f>
        <v>200</v>
      </c>
      <c r="Y48" s="48"/>
    </row>
    <row r="49" spans="1:25" ht="16.5" customHeight="1" x14ac:dyDescent="0.15">
      <c r="A49" s="41">
        <v>11</v>
      </c>
      <c r="B49" s="41">
        <v>9213</v>
      </c>
      <c r="C49" s="74" t="s">
        <v>15087</v>
      </c>
      <c r="D49" s="735" t="s">
        <v>5402</v>
      </c>
      <c r="E49" s="708"/>
      <c r="F49" s="717"/>
      <c r="G49" s="707" t="s">
        <v>3711</v>
      </c>
      <c r="H49" s="708"/>
      <c r="I49" s="717"/>
      <c r="J49" s="35"/>
      <c r="L49" s="282"/>
      <c r="M49" s="45"/>
      <c r="N49" s="46"/>
      <c r="O49" s="35"/>
      <c r="Q49" s="234"/>
      <c r="U49" s="53"/>
      <c r="V49" s="245"/>
      <c r="W49" s="49"/>
      <c r="X49" s="75">
        <f>ROUND((_11_A通院２１．０*_11・重度研修),0)+ROUND((ROUND((_11_B通院２１．０＿０．５*_11・重度研修),0)*(1+_11・B夜間)),0)</f>
        <v>264</v>
      </c>
      <c r="Y49" s="48"/>
    </row>
    <row r="50" spans="1:25" ht="16.5" customHeight="1" x14ac:dyDescent="0.15">
      <c r="A50" s="41">
        <v>11</v>
      </c>
      <c r="B50" s="41">
        <v>9214</v>
      </c>
      <c r="C50" s="74" t="s">
        <v>15088</v>
      </c>
      <c r="D50" s="736"/>
      <c r="E50" s="704"/>
      <c r="F50" s="718"/>
      <c r="G50" s="709"/>
      <c r="H50" s="704"/>
      <c r="I50" s="718"/>
      <c r="J50" s="35"/>
      <c r="L50" s="294" t="s">
        <v>397</v>
      </c>
      <c r="M50" s="218" t="s">
        <v>398</v>
      </c>
      <c r="N50" s="46">
        <v>1</v>
      </c>
      <c r="O50" s="35"/>
      <c r="Q50" s="234"/>
      <c r="U50" s="43"/>
      <c r="V50" s="220"/>
      <c r="W50" s="37"/>
      <c r="X50" s="75">
        <f>ROUND((ROUND((_11_A通院２１．０*_11・重度研修),0)*_11・２人),0)+ROUND((ROUND((ROUND((_11_B通院２１．０＿０．５*_11・重度研修),0)*_11・２人),0)*(1+_11・B夜間)),0)</f>
        <v>264</v>
      </c>
      <c r="Y50" s="48"/>
    </row>
    <row r="51" spans="1:25" ht="16.5" customHeight="1" x14ac:dyDescent="0.15">
      <c r="A51" s="41">
        <v>11</v>
      </c>
      <c r="B51" s="41" t="s">
        <v>15089</v>
      </c>
      <c r="C51" s="74" t="s">
        <v>15090</v>
      </c>
      <c r="D51" s="736"/>
      <c r="E51" s="704"/>
      <c r="F51" s="718"/>
      <c r="G51" s="709"/>
      <c r="H51" s="704"/>
      <c r="I51" s="718"/>
      <c r="J51" s="35"/>
      <c r="L51" s="282"/>
      <c r="M51" s="45"/>
      <c r="N51" s="46"/>
      <c r="O51" s="35"/>
      <c r="Q51" s="234"/>
      <c r="U51" s="734" t="s">
        <v>404</v>
      </c>
      <c r="V51" s="219" t="s">
        <v>398</v>
      </c>
      <c r="W51" s="50">
        <f>_11・初任</f>
        <v>0.7</v>
      </c>
      <c r="X51" s="75">
        <f>ROUND((ROUND((_11_A通院２１．０*_11・重度研修),0)*_11・初任),0)+ROUND((ROUND((ROUND((_11_B通院２１．０＿０．５*_11・重度研修),0)*(1+_11・B夜間)),0)*_11・初任),0)</f>
        <v>185</v>
      </c>
      <c r="Y51" s="48"/>
    </row>
    <row r="52" spans="1:25" ht="16.5" customHeight="1" x14ac:dyDescent="0.15">
      <c r="A52" s="41">
        <v>11</v>
      </c>
      <c r="B52" s="41" t="s">
        <v>15091</v>
      </c>
      <c r="C52" s="74" t="s">
        <v>15092</v>
      </c>
      <c r="D52" s="269"/>
      <c r="E52" s="295">
        <f>_11_A通院２１．０</f>
        <v>196</v>
      </c>
      <c r="F52" s="271" t="s">
        <v>392</v>
      </c>
      <c r="G52" s="269"/>
      <c r="H52" s="295">
        <f>_11_B通院２１．０＿０．５</f>
        <v>78</v>
      </c>
      <c r="I52" s="271" t="s">
        <v>392</v>
      </c>
      <c r="J52" s="43"/>
      <c r="K52" s="37"/>
      <c r="L52" s="294" t="s">
        <v>397</v>
      </c>
      <c r="M52" s="218" t="s">
        <v>398</v>
      </c>
      <c r="N52" s="46">
        <v>1</v>
      </c>
      <c r="O52" s="43"/>
      <c r="P52" s="37"/>
      <c r="Q52" s="244"/>
      <c r="R52" s="37"/>
      <c r="S52" s="37"/>
      <c r="T52" s="38"/>
      <c r="U52" s="706"/>
      <c r="V52" s="220"/>
      <c r="W52" s="38"/>
      <c r="X52" s="75">
        <f>ROUND((ROUND((ROUND((_11_A通院２１．０*_11・重度研修),0)*_11・２人),0)*_11・初任),0)+ROUND((ROUND((ROUND((ROUND((_11_B通院２１．０＿０．５*_11・重度研修),0)*_11・２人),0)*(1+_11・B夜間)),0)*_11・初任),0)</f>
        <v>185</v>
      </c>
      <c r="Y52" s="63"/>
    </row>
    <row r="53" spans="1:25" ht="16.5" customHeight="1" x14ac:dyDescent="0.15">
      <c r="A53" s="80"/>
      <c r="B53" s="80"/>
      <c r="C53" s="81"/>
      <c r="L53" s="82"/>
      <c r="X53" s="84"/>
      <c r="Y53" s="85"/>
    </row>
    <row r="54" spans="1:25" ht="16.5" customHeight="1" x14ac:dyDescent="0.15">
      <c r="A54" s="80"/>
      <c r="B54" s="80"/>
      <c r="C54" s="81"/>
      <c r="L54" s="82"/>
      <c r="X54" s="84"/>
      <c r="Y54" s="85"/>
    </row>
    <row r="55" spans="1:25" ht="16.5" customHeight="1" x14ac:dyDescent="0.15">
      <c r="A55" s="80"/>
      <c r="B55" s="86" t="s">
        <v>15093</v>
      </c>
      <c r="C55" s="81"/>
      <c r="E55" s="71"/>
      <c r="L55" s="82"/>
      <c r="X55" s="84"/>
      <c r="Y55" s="85"/>
    </row>
    <row r="56" spans="1:25" ht="16.5" customHeight="1" x14ac:dyDescent="0.15">
      <c r="A56" s="87" t="s">
        <v>384</v>
      </c>
      <c r="B56" s="20"/>
      <c r="C56" s="88" t="s">
        <v>385</v>
      </c>
      <c r="D56" s="23"/>
      <c r="E56" s="23" t="s">
        <v>386</v>
      </c>
      <c r="F56" s="23"/>
      <c r="G56" s="23"/>
      <c r="H56" s="23"/>
      <c r="I56" s="23"/>
      <c r="J56" s="23"/>
      <c r="K56" s="23"/>
      <c r="L56" s="23"/>
      <c r="M56" s="23"/>
      <c r="N56" s="24"/>
      <c r="O56" s="23"/>
      <c r="P56" s="23"/>
      <c r="Q56" s="24"/>
      <c r="R56" s="23"/>
      <c r="S56" s="23"/>
      <c r="T56" s="24"/>
      <c r="U56" s="23"/>
      <c r="V56" s="166"/>
      <c r="W56" s="24"/>
      <c r="X56" s="25" t="s">
        <v>387</v>
      </c>
      <c r="Y56" s="21" t="s">
        <v>388</v>
      </c>
    </row>
    <row r="57" spans="1:25" ht="16.5" customHeight="1" x14ac:dyDescent="0.15">
      <c r="A57" s="26" t="s">
        <v>389</v>
      </c>
      <c r="B57" s="26" t="s">
        <v>390</v>
      </c>
      <c r="C57" s="89"/>
      <c r="D57" s="87"/>
      <c r="E57" s="187" t="s">
        <v>1032</v>
      </c>
      <c r="F57" s="187"/>
      <c r="G57" s="87"/>
      <c r="H57" s="187" t="s">
        <v>1033</v>
      </c>
      <c r="I57" s="20"/>
      <c r="J57" s="29"/>
      <c r="K57" s="29"/>
      <c r="L57" s="29"/>
      <c r="M57" s="29"/>
      <c r="N57" s="30"/>
      <c r="O57" s="29"/>
      <c r="P57" s="29"/>
      <c r="Q57" s="30"/>
      <c r="R57" s="29"/>
      <c r="S57" s="29"/>
      <c r="T57" s="30"/>
      <c r="U57" s="29"/>
      <c r="V57" s="214"/>
      <c r="W57" s="30"/>
      <c r="X57" s="31" t="s">
        <v>391</v>
      </c>
      <c r="Y57" s="32" t="s">
        <v>392</v>
      </c>
    </row>
    <row r="58" spans="1:25" ht="16.5" customHeight="1" x14ac:dyDescent="0.15">
      <c r="A58" s="33">
        <v>11</v>
      </c>
      <c r="B58" s="33">
        <v>9215</v>
      </c>
      <c r="C58" s="34" t="s">
        <v>15094</v>
      </c>
      <c r="D58" s="736" t="s">
        <v>5541</v>
      </c>
      <c r="E58" s="704"/>
      <c r="F58" s="718"/>
      <c r="G58" s="709" t="s">
        <v>3780</v>
      </c>
      <c r="H58" s="704"/>
      <c r="I58" s="718"/>
      <c r="J58" s="709" t="s">
        <v>11707</v>
      </c>
      <c r="K58" s="802"/>
      <c r="L58" s="70"/>
      <c r="M58" s="37"/>
      <c r="N58" s="38"/>
      <c r="O58" s="72" t="s">
        <v>1416</v>
      </c>
      <c r="Q58" s="234"/>
      <c r="R58" s="72" t="s">
        <v>1618</v>
      </c>
      <c r="T58" s="234"/>
      <c r="U58" s="35"/>
      <c r="X58" s="93">
        <f>ROUND((ROUND((_11_A通院２０．５*_11・重度研修),0)*(1+_11・A夜間)),0)+ROUND((ROUND((_11_B通院２０．５＿０．５*_11・重度研修),0)*(1+_11・B深夜)),0)</f>
        <v>242</v>
      </c>
      <c r="Y58" s="40" t="s">
        <v>395</v>
      </c>
    </row>
    <row r="59" spans="1:25" ht="16.5" customHeight="1" x14ac:dyDescent="0.15">
      <c r="A59" s="41">
        <v>11</v>
      </c>
      <c r="B59" s="41">
        <v>9216</v>
      </c>
      <c r="C59" s="74" t="s">
        <v>15095</v>
      </c>
      <c r="D59" s="736"/>
      <c r="E59" s="704"/>
      <c r="F59" s="718"/>
      <c r="G59" s="709"/>
      <c r="H59" s="704"/>
      <c r="I59" s="718"/>
      <c r="J59" s="722"/>
      <c r="K59" s="802"/>
      <c r="L59" s="236" t="s">
        <v>397</v>
      </c>
      <c r="M59" s="218" t="s">
        <v>398</v>
      </c>
      <c r="N59" s="46">
        <v>1</v>
      </c>
      <c r="O59" s="258" t="s">
        <v>398</v>
      </c>
      <c r="P59" s="13">
        <v>0.25</v>
      </c>
      <c r="Q59" s="718" t="s">
        <v>676</v>
      </c>
      <c r="R59" s="258" t="s">
        <v>398</v>
      </c>
      <c r="S59" s="13">
        <v>0.5</v>
      </c>
      <c r="T59" s="718" t="s">
        <v>676</v>
      </c>
      <c r="U59" s="43"/>
      <c r="V59" s="220"/>
      <c r="W59" s="38"/>
      <c r="X59" s="95">
        <f>ROUND((ROUND((ROUND((_11_A通院２０．５*_11・重度研修),0)*_11・２人),0)*(1+_11・A夜間)),0)+ROUND((ROUND((ROUND((_11_B通院２０．５＿０．５*_11・重度研修),0)*_11・２人),0)*(1+_11・B深夜)),0)</f>
        <v>242</v>
      </c>
      <c r="Y59" s="48"/>
    </row>
    <row r="60" spans="1:25" ht="16.5" customHeight="1" x14ac:dyDescent="0.15">
      <c r="A60" s="41">
        <v>11</v>
      </c>
      <c r="B60" s="41" t="s">
        <v>15096</v>
      </c>
      <c r="C60" s="74" t="s">
        <v>15097</v>
      </c>
      <c r="D60" s="736"/>
      <c r="E60" s="704"/>
      <c r="F60" s="718"/>
      <c r="G60" s="709"/>
      <c r="H60" s="704"/>
      <c r="I60" s="718"/>
      <c r="J60" s="722"/>
      <c r="K60" s="802"/>
      <c r="L60" s="282"/>
      <c r="M60" s="45"/>
      <c r="N60" s="46"/>
      <c r="O60" s="35"/>
      <c r="Q60" s="796"/>
      <c r="R60" s="35"/>
      <c r="T60" s="796"/>
      <c r="U60" s="734" t="s">
        <v>404</v>
      </c>
      <c r="V60" s="219" t="s">
        <v>398</v>
      </c>
      <c r="W60" s="50">
        <f>_11・初任</f>
        <v>0.7</v>
      </c>
      <c r="X60" s="95">
        <f>ROUND((ROUND((ROUND((_11_A通院２０．５*_11・重度研修),0)*(1+_11・A夜間)),0)*_11・初任),0)+ROUND((ROUND((ROUND((_11_B通院２０．５＿０．５*_11・重度研修),0)*(1+_11・B深夜)),0)*_11・初任),0)</f>
        <v>169</v>
      </c>
      <c r="Y60" s="48"/>
    </row>
    <row r="61" spans="1:25" ht="16.5" customHeight="1" x14ac:dyDescent="0.15">
      <c r="A61" s="41">
        <v>11</v>
      </c>
      <c r="B61" s="41" t="s">
        <v>15098</v>
      </c>
      <c r="C61" s="74" t="s">
        <v>15099</v>
      </c>
      <c r="D61" s="92"/>
      <c r="E61" s="288">
        <f>_11_A通院２０．５</f>
        <v>105</v>
      </c>
      <c r="F61" s="254" t="s">
        <v>392</v>
      </c>
      <c r="G61" s="92"/>
      <c r="H61" s="288">
        <f>_11_B通院２０．５＿０．５</f>
        <v>91</v>
      </c>
      <c r="I61" s="254" t="s">
        <v>392</v>
      </c>
      <c r="J61" s="258" t="s">
        <v>398</v>
      </c>
      <c r="K61" s="234">
        <v>0.9</v>
      </c>
      <c r="L61" s="294" t="s">
        <v>397</v>
      </c>
      <c r="M61" s="218" t="s">
        <v>398</v>
      </c>
      <c r="N61" s="46">
        <v>1</v>
      </c>
      <c r="O61" s="35"/>
      <c r="Q61" s="234"/>
      <c r="R61" s="35"/>
      <c r="T61" s="234"/>
      <c r="U61" s="706"/>
      <c r="V61" s="220"/>
      <c r="W61" s="38"/>
      <c r="X61" s="95">
        <f>ROUND((ROUND((ROUND((ROUND((_11_A通院２０．５*_11・重度研修),0)*_11・２人),0)*(1+_11・A夜間)),0)*_11・初任),0)+ROUND((ROUND((ROUND((ROUND((_11_B通院２０．５＿０．５*_11・重度研修),0)*_11・２人),0)*(1+_11・B深夜)),0)*_11・初任),0)</f>
        <v>169</v>
      </c>
      <c r="Y61" s="48"/>
    </row>
    <row r="62" spans="1:25" ht="16.5" customHeight="1" x14ac:dyDescent="0.15">
      <c r="A62" s="41">
        <v>11</v>
      </c>
      <c r="B62" s="41">
        <v>9217</v>
      </c>
      <c r="C62" s="74" t="s">
        <v>15100</v>
      </c>
      <c r="D62" s="35"/>
      <c r="G62" s="735" t="s">
        <v>3787</v>
      </c>
      <c r="H62" s="708"/>
      <c r="I62" s="717"/>
      <c r="J62" s="35"/>
      <c r="L62" s="282"/>
      <c r="M62" s="45"/>
      <c r="N62" s="46"/>
      <c r="O62" s="35"/>
      <c r="R62" s="35"/>
      <c r="U62" s="53"/>
      <c r="V62" s="245"/>
      <c r="W62" s="49"/>
      <c r="X62" s="95">
        <f>ROUND((ROUND((_11_A通院２０．５*_11・重度研修),0)*(1+_11・A夜間)),0)+ROUND((ROUND((_11_B通院２０．５＿１．０*_11・重度研修),0)*(1+_11・B深夜)),0)</f>
        <v>347</v>
      </c>
      <c r="Y62" s="48"/>
    </row>
    <row r="63" spans="1:25" ht="16.5" customHeight="1" x14ac:dyDescent="0.15">
      <c r="A63" s="41">
        <v>11</v>
      </c>
      <c r="B63" s="41">
        <v>9218</v>
      </c>
      <c r="C63" s="74" t="s">
        <v>15101</v>
      </c>
      <c r="D63" s="35"/>
      <c r="G63" s="736"/>
      <c r="H63" s="704"/>
      <c r="I63" s="718"/>
      <c r="J63" s="35"/>
      <c r="L63" s="294" t="s">
        <v>397</v>
      </c>
      <c r="M63" s="218" t="s">
        <v>398</v>
      </c>
      <c r="N63" s="46">
        <v>1</v>
      </c>
      <c r="O63" s="35"/>
      <c r="R63" s="35"/>
      <c r="U63" s="43"/>
      <c r="V63" s="220"/>
      <c r="W63" s="37"/>
      <c r="X63" s="95">
        <f>ROUND((ROUND((ROUND((_11_A通院２０．５*_11・重度研修),0)*_11・２人),0)*(1+_11・A夜間)),0)+ROUND((ROUND((ROUND((_11_B通院２０．５＿１．０*_11・重度研修),0)*_11・２人),0)*(1+_11・B深夜)),0)</f>
        <v>347</v>
      </c>
      <c r="Y63" s="48"/>
    </row>
    <row r="64" spans="1:25" ht="16.5" customHeight="1" x14ac:dyDescent="0.15">
      <c r="A64" s="41">
        <v>11</v>
      </c>
      <c r="B64" s="41" t="s">
        <v>15102</v>
      </c>
      <c r="C64" s="74" t="s">
        <v>15103</v>
      </c>
      <c r="D64" s="35"/>
      <c r="G64" s="736"/>
      <c r="H64" s="704"/>
      <c r="I64" s="718"/>
      <c r="J64" s="35"/>
      <c r="L64" s="282"/>
      <c r="M64" s="45"/>
      <c r="N64" s="46"/>
      <c r="O64" s="35"/>
      <c r="R64" s="35"/>
      <c r="U64" s="734" t="s">
        <v>404</v>
      </c>
      <c r="V64" s="219" t="s">
        <v>398</v>
      </c>
      <c r="W64" s="50">
        <f>_11・初任</f>
        <v>0.7</v>
      </c>
      <c r="X64" s="95">
        <f>ROUND((ROUND((ROUND((_11_A通院２０．５*_11・重度研修),0)*(1+_11・A夜間)),0)*_11・初任),0)+ROUND((ROUND((ROUND((_11_B通院２０．５＿１．０*_11・重度研修),0)*(1+_11・B深夜)),0)*_11・初任),0)</f>
        <v>243</v>
      </c>
      <c r="Y64" s="48"/>
    </row>
    <row r="65" spans="1:25" ht="16.5" customHeight="1" x14ac:dyDescent="0.15">
      <c r="A65" s="41">
        <v>11</v>
      </c>
      <c r="B65" s="41" t="s">
        <v>15104</v>
      </c>
      <c r="C65" s="74" t="s">
        <v>15105</v>
      </c>
      <c r="D65" s="35"/>
      <c r="G65" s="35"/>
      <c r="H65" s="288">
        <f>_11_B通院２０．５＿１．０</f>
        <v>169</v>
      </c>
      <c r="I65" s="254" t="s">
        <v>392</v>
      </c>
      <c r="J65" s="35"/>
      <c r="L65" s="294" t="s">
        <v>397</v>
      </c>
      <c r="M65" s="218" t="s">
        <v>398</v>
      </c>
      <c r="N65" s="46">
        <v>1</v>
      </c>
      <c r="O65" s="35"/>
      <c r="R65" s="35"/>
      <c r="U65" s="706"/>
      <c r="V65" s="220"/>
      <c r="W65" s="38"/>
      <c r="X65" s="95">
        <f>ROUND((ROUND((ROUND((ROUND((_11_A通院２０．５*_11・重度研修),0)*_11・２人),0)*(1+_11・A夜間)),0)*_11・初任),0)+ROUND((ROUND((ROUND((ROUND((_11_B通院２０．５＿１．０*_11・重度研修),0)*_11・２人),0)*(1+_11・B深夜)),0)*_11・初任),0)</f>
        <v>243</v>
      </c>
      <c r="Y65" s="48"/>
    </row>
    <row r="66" spans="1:25" ht="16.5" customHeight="1" x14ac:dyDescent="0.15">
      <c r="A66" s="41">
        <v>11</v>
      </c>
      <c r="B66" s="41">
        <v>9219</v>
      </c>
      <c r="C66" s="74" t="s">
        <v>15106</v>
      </c>
      <c r="D66" s="735" t="s">
        <v>5603</v>
      </c>
      <c r="E66" s="708"/>
      <c r="F66" s="717"/>
      <c r="G66" s="707" t="s">
        <v>3780</v>
      </c>
      <c r="H66" s="708"/>
      <c r="I66" s="717"/>
      <c r="J66" s="35"/>
      <c r="L66" s="282"/>
      <c r="M66" s="45"/>
      <c r="N66" s="46"/>
      <c r="O66" s="35"/>
      <c r="R66" s="35"/>
      <c r="U66" s="53"/>
      <c r="V66" s="245"/>
      <c r="W66" s="49"/>
      <c r="X66" s="95">
        <f>ROUND((ROUND((_11_A通院２１．０*_11・重度研修),0)*(1+_11・A夜間)),0)+ROUND((ROUND((_11_B通院２１．０＿０．５*_11・重度研修),0)*(1+_11・B深夜)),0)</f>
        <v>325</v>
      </c>
      <c r="Y66" s="48"/>
    </row>
    <row r="67" spans="1:25" ht="16.5" customHeight="1" x14ac:dyDescent="0.15">
      <c r="A67" s="41">
        <v>11</v>
      </c>
      <c r="B67" s="41">
        <v>9220</v>
      </c>
      <c r="C67" s="74" t="s">
        <v>15107</v>
      </c>
      <c r="D67" s="736"/>
      <c r="E67" s="704"/>
      <c r="F67" s="718"/>
      <c r="G67" s="709"/>
      <c r="H67" s="704"/>
      <c r="I67" s="718"/>
      <c r="J67" s="35"/>
      <c r="L67" s="294" t="s">
        <v>397</v>
      </c>
      <c r="M67" s="218" t="s">
        <v>398</v>
      </c>
      <c r="N67" s="46">
        <v>1</v>
      </c>
      <c r="O67" s="35"/>
      <c r="R67" s="35"/>
      <c r="U67" s="43"/>
      <c r="V67" s="220"/>
      <c r="W67" s="37"/>
      <c r="X67" s="95">
        <f>ROUND((ROUND((ROUND((_11_A通院２１．０*_11・重度研修),0)*_11・２人),0)*(1+_11・A夜間)),0)+ROUND((ROUND((ROUND((_11_B通院２１．０＿０．５*_11・重度研修),0)*_11・２人),0)*(1+_11・B深夜)),0)</f>
        <v>325</v>
      </c>
      <c r="Y67" s="48"/>
    </row>
    <row r="68" spans="1:25" ht="16.5" customHeight="1" x14ac:dyDescent="0.15">
      <c r="A68" s="41">
        <v>11</v>
      </c>
      <c r="B68" s="41" t="s">
        <v>15108</v>
      </c>
      <c r="C68" s="74" t="s">
        <v>15109</v>
      </c>
      <c r="D68" s="736"/>
      <c r="E68" s="704"/>
      <c r="F68" s="718"/>
      <c r="G68" s="709"/>
      <c r="H68" s="704"/>
      <c r="I68" s="718"/>
      <c r="J68" s="35"/>
      <c r="L68" s="282"/>
      <c r="M68" s="45"/>
      <c r="N68" s="46"/>
      <c r="O68" s="35"/>
      <c r="R68" s="35"/>
      <c r="U68" s="734" t="s">
        <v>404</v>
      </c>
      <c r="V68" s="219" t="s">
        <v>398</v>
      </c>
      <c r="W68" s="50">
        <f>_11・初任</f>
        <v>0.7</v>
      </c>
      <c r="X68" s="95">
        <f>ROUND((ROUND((ROUND((_11_A通院２１．０*_11・重度研修),0)*(1+_11・A夜間)),0)*_11・初任),0)+ROUND((ROUND((ROUND((_11_B通院２１．０＿０．５*_11・重度研修),0)*(1+_11・B深夜)),0)*_11・初任),0)</f>
        <v>228</v>
      </c>
      <c r="Y68" s="48"/>
    </row>
    <row r="69" spans="1:25" ht="16.5" customHeight="1" x14ac:dyDescent="0.15">
      <c r="A69" s="41">
        <v>11</v>
      </c>
      <c r="B69" s="41" t="s">
        <v>15110</v>
      </c>
      <c r="C69" s="74" t="s">
        <v>15111</v>
      </c>
      <c r="D69" s="269"/>
      <c r="E69" s="295">
        <f>_11_A通院２１．０</f>
        <v>196</v>
      </c>
      <c r="F69" s="271" t="s">
        <v>392</v>
      </c>
      <c r="G69" s="269"/>
      <c r="H69" s="295">
        <f>_11_B通院２１．０＿０．５</f>
        <v>78</v>
      </c>
      <c r="I69" s="271" t="s">
        <v>392</v>
      </c>
      <c r="J69" s="43"/>
      <c r="K69" s="37"/>
      <c r="L69" s="294" t="s">
        <v>397</v>
      </c>
      <c r="M69" s="218" t="s">
        <v>398</v>
      </c>
      <c r="N69" s="46">
        <v>1</v>
      </c>
      <c r="O69" s="43"/>
      <c r="P69" s="37"/>
      <c r="Q69" s="38"/>
      <c r="R69" s="43"/>
      <c r="S69" s="37"/>
      <c r="T69" s="38"/>
      <c r="U69" s="706"/>
      <c r="V69" s="220"/>
      <c r="W69" s="38"/>
      <c r="X69" s="95">
        <f>ROUND((ROUND((ROUND((ROUND((_11_A通院２１．０*_11・重度研修),0)*_11・２人),0)*(1+_11・A夜間)),0)*_11・初任),0)+ROUND((ROUND((ROUND((ROUND((_11_B通院２１．０＿０．５*_11・重度研修),0)*_11・２人),0)*(1+_11・B深夜)),0)*_11・初任),0)</f>
        <v>228</v>
      </c>
      <c r="Y69" s="63"/>
    </row>
    <row r="70" spans="1:25" ht="16.5" customHeight="1" x14ac:dyDescent="0.15">
      <c r="A70" s="80"/>
      <c r="B70" s="80"/>
      <c r="C70" s="81"/>
      <c r="L70" s="82"/>
      <c r="X70" s="84"/>
      <c r="Y70" s="85"/>
    </row>
    <row r="71" spans="1:25" ht="16.5" customHeight="1" x14ac:dyDescent="0.15">
      <c r="A71" s="80"/>
      <c r="B71" s="80"/>
      <c r="C71" s="81"/>
      <c r="L71" s="82"/>
      <c r="X71" s="84"/>
      <c r="Y71" s="85"/>
    </row>
    <row r="72" spans="1:25" ht="16.5" customHeight="1" x14ac:dyDescent="0.15">
      <c r="A72" s="80"/>
      <c r="B72" s="86" t="s">
        <v>15112</v>
      </c>
      <c r="C72" s="81"/>
      <c r="E72" s="71"/>
      <c r="L72" s="82"/>
      <c r="X72" s="84"/>
      <c r="Y72" s="85"/>
    </row>
    <row r="73" spans="1:25" ht="16.5" customHeight="1" x14ac:dyDescent="0.15">
      <c r="A73" s="87" t="s">
        <v>384</v>
      </c>
      <c r="B73" s="20"/>
      <c r="C73" s="88" t="s">
        <v>385</v>
      </c>
      <c r="D73" s="23"/>
      <c r="E73" s="23" t="s">
        <v>386</v>
      </c>
      <c r="F73" s="23"/>
      <c r="G73" s="23"/>
      <c r="H73" s="23"/>
      <c r="I73" s="23"/>
      <c r="J73" s="23"/>
      <c r="K73" s="23"/>
      <c r="L73" s="23"/>
      <c r="M73" s="23"/>
      <c r="N73" s="24"/>
      <c r="O73" s="23"/>
      <c r="P73" s="23"/>
      <c r="Q73" s="24"/>
      <c r="R73" s="23"/>
      <c r="S73" s="23"/>
      <c r="T73" s="24"/>
      <c r="U73" s="23"/>
      <c r="V73" s="166"/>
      <c r="W73" s="24"/>
      <c r="X73" s="25" t="s">
        <v>387</v>
      </c>
      <c r="Y73" s="21" t="s">
        <v>388</v>
      </c>
    </row>
    <row r="74" spans="1:25" ht="16.5" customHeight="1" x14ac:dyDescent="0.15">
      <c r="A74" s="26" t="s">
        <v>389</v>
      </c>
      <c r="B74" s="26" t="s">
        <v>390</v>
      </c>
      <c r="C74" s="89"/>
      <c r="D74" s="29"/>
      <c r="E74" s="29"/>
      <c r="F74" s="29"/>
      <c r="G74" s="289"/>
      <c r="H74" s="187" t="s">
        <v>1032</v>
      </c>
      <c r="I74" s="20"/>
      <c r="J74" s="29"/>
      <c r="K74" s="29"/>
      <c r="L74" s="29"/>
      <c r="M74" s="29"/>
      <c r="N74" s="30"/>
      <c r="O74" s="29"/>
      <c r="P74" s="29"/>
      <c r="Q74" s="30"/>
      <c r="R74" s="29"/>
      <c r="S74" s="29"/>
      <c r="T74" s="30"/>
      <c r="U74" s="29"/>
      <c r="V74" s="214"/>
      <c r="W74" s="30"/>
      <c r="X74" s="31" t="s">
        <v>391</v>
      </c>
      <c r="Y74" s="32" t="s">
        <v>392</v>
      </c>
    </row>
    <row r="75" spans="1:25" ht="16.5" customHeight="1" x14ac:dyDescent="0.15">
      <c r="A75" s="41">
        <v>11</v>
      </c>
      <c r="B75" s="41">
        <v>9221</v>
      </c>
      <c r="C75" s="74" t="s">
        <v>15113</v>
      </c>
      <c r="D75" s="824" t="s">
        <v>3848</v>
      </c>
      <c r="E75" s="707" t="s">
        <v>861</v>
      </c>
      <c r="F75" s="814"/>
      <c r="G75" s="824" t="s">
        <v>3849</v>
      </c>
      <c r="H75" s="707" t="s">
        <v>1617</v>
      </c>
      <c r="I75" s="798"/>
      <c r="J75" s="707" t="s">
        <v>11707</v>
      </c>
      <c r="K75" s="823"/>
      <c r="L75" s="282"/>
      <c r="M75" s="45"/>
      <c r="N75" s="46"/>
      <c r="O75" s="53"/>
      <c r="P75" s="49"/>
      <c r="Q75" s="50"/>
      <c r="R75" s="114" t="s">
        <v>1036</v>
      </c>
      <c r="S75" s="49"/>
      <c r="T75" s="251"/>
      <c r="U75" s="53"/>
      <c r="V75" s="245"/>
      <c r="W75" s="50"/>
      <c r="X75" s="95">
        <f>+ROUND((ROUND((_11_B通院２０．５＿０．５*_11・重度研修),0)*(1+_11・B深夜)),0)</f>
        <v>123</v>
      </c>
      <c r="Y75" s="128" t="s">
        <v>395</v>
      </c>
    </row>
    <row r="76" spans="1:25" ht="16.5" customHeight="1" x14ac:dyDescent="0.15">
      <c r="A76" s="41">
        <v>11</v>
      </c>
      <c r="B76" s="41">
        <v>9222</v>
      </c>
      <c r="C76" s="74" t="s">
        <v>15114</v>
      </c>
      <c r="D76" s="825"/>
      <c r="E76" s="799"/>
      <c r="F76" s="797"/>
      <c r="G76" s="825"/>
      <c r="H76" s="799"/>
      <c r="I76" s="796"/>
      <c r="J76" s="722"/>
      <c r="K76" s="802"/>
      <c r="L76" s="236" t="s">
        <v>397</v>
      </c>
      <c r="M76" s="218" t="s">
        <v>398</v>
      </c>
      <c r="N76" s="46">
        <v>1</v>
      </c>
      <c r="O76" s="35"/>
      <c r="R76" s="258" t="s">
        <v>398</v>
      </c>
      <c r="S76" s="13">
        <v>0.5</v>
      </c>
      <c r="T76" s="718" t="s">
        <v>676</v>
      </c>
      <c r="U76" s="43"/>
      <c r="V76" s="220"/>
      <c r="W76" s="38"/>
      <c r="X76" s="95">
        <f>+ROUND((ROUND((ROUND((_11_B通院２０．５＿０．５*_11・重度研修),0)*_11・２人),0)*(1+_11・B深夜)),0)</f>
        <v>123</v>
      </c>
      <c r="Y76" s="48"/>
    </row>
    <row r="77" spans="1:25" ht="16.5" customHeight="1" x14ac:dyDescent="0.15">
      <c r="A77" s="41">
        <v>11</v>
      </c>
      <c r="B77" s="41" t="s">
        <v>15115</v>
      </c>
      <c r="C77" s="74" t="s">
        <v>15116</v>
      </c>
      <c r="D77" s="825"/>
      <c r="E77" s="799"/>
      <c r="F77" s="797"/>
      <c r="G77" s="825"/>
      <c r="H77" s="799"/>
      <c r="I77" s="796"/>
      <c r="J77" s="722"/>
      <c r="K77" s="802"/>
      <c r="L77" s="282"/>
      <c r="M77" s="45"/>
      <c r="N77" s="46"/>
      <c r="O77" s="35"/>
      <c r="R77" s="35"/>
      <c r="T77" s="796"/>
      <c r="U77" s="734" t="s">
        <v>404</v>
      </c>
      <c r="V77" s="219" t="s">
        <v>398</v>
      </c>
      <c r="W77" s="50">
        <f>_11・初任</f>
        <v>0.7</v>
      </c>
      <c r="X77" s="95">
        <f>+ROUND((ROUND((ROUND((_11_B通院２０．５＿０．５*_11・重度研修),0)*(1+_11・B深夜)),0)*_11・初任),0)</f>
        <v>86</v>
      </c>
      <c r="Y77" s="48"/>
    </row>
    <row r="78" spans="1:25" ht="16.5" customHeight="1" x14ac:dyDescent="0.15">
      <c r="A78" s="41">
        <v>11</v>
      </c>
      <c r="B78" s="41" t="s">
        <v>15117</v>
      </c>
      <c r="C78" s="74" t="s">
        <v>15118</v>
      </c>
      <c r="D78" s="825"/>
      <c r="E78" s="72"/>
      <c r="G78" s="825"/>
      <c r="H78" s="274">
        <f>_11_B通院２０．５＿０．５</f>
        <v>91</v>
      </c>
      <c r="I78" s="254" t="s">
        <v>392</v>
      </c>
      <c r="J78" s="258" t="s">
        <v>398</v>
      </c>
      <c r="K78" s="234">
        <v>0.9</v>
      </c>
      <c r="L78" s="294" t="s">
        <v>397</v>
      </c>
      <c r="M78" s="218" t="s">
        <v>398</v>
      </c>
      <c r="N78" s="46">
        <v>1</v>
      </c>
      <c r="O78" s="35"/>
      <c r="R78" s="35"/>
      <c r="T78" s="234"/>
      <c r="U78" s="706"/>
      <c r="V78" s="220"/>
      <c r="W78" s="38"/>
      <c r="X78" s="95">
        <f>+ROUND((ROUND((ROUND((ROUND((_11_B通院２０．５＿０．５*_11・重度研修),0)*_11・２人),0)*(1+_11・B深夜)),0)*_11・初任),0)</f>
        <v>86</v>
      </c>
      <c r="Y78" s="48"/>
    </row>
    <row r="79" spans="1:25" ht="16.5" customHeight="1" x14ac:dyDescent="0.15">
      <c r="A79" s="41">
        <v>11</v>
      </c>
      <c r="B79" s="41">
        <v>9223</v>
      </c>
      <c r="C79" s="74" t="s">
        <v>15119</v>
      </c>
      <c r="D79" s="825"/>
      <c r="E79" s="72"/>
      <c r="G79" s="825"/>
      <c r="H79" s="707" t="s">
        <v>1695</v>
      </c>
      <c r="I79" s="798"/>
      <c r="J79" s="35"/>
      <c r="L79" s="282"/>
      <c r="M79" s="45"/>
      <c r="N79" s="46"/>
      <c r="O79" s="35"/>
      <c r="R79" s="35"/>
      <c r="U79" s="53"/>
      <c r="V79" s="245"/>
      <c r="W79" s="49"/>
      <c r="X79" s="95">
        <f>+ROUND((ROUND((_11_B通院２０．５＿１．０*_11・重度研修),0)*(1+_11・B深夜)),0)</f>
        <v>228</v>
      </c>
      <c r="Y79" s="48"/>
    </row>
    <row r="80" spans="1:25" ht="16.5" customHeight="1" x14ac:dyDescent="0.15">
      <c r="A80" s="41">
        <v>11</v>
      </c>
      <c r="B80" s="41">
        <v>9224</v>
      </c>
      <c r="C80" s="74" t="s">
        <v>15120</v>
      </c>
      <c r="D80" s="825"/>
      <c r="E80" s="72"/>
      <c r="G80" s="825"/>
      <c r="H80" s="799"/>
      <c r="I80" s="796"/>
      <c r="J80" s="35"/>
      <c r="L80" s="294" t="s">
        <v>397</v>
      </c>
      <c r="M80" s="218" t="s">
        <v>398</v>
      </c>
      <c r="N80" s="46">
        <v>1</v>
      </c>
      <c r="O80" s="35"/>
      <c r="R80" s="35"/>
      <c r="U80" s="43"/>
      <c r="V80" s="220"/>
      <c r="W80" s="37"/>
      <c r="X80" s="95">
        <f>+ROUND((ROUND((ROUND((_11_B通院２０．５＿１．０*_11・重度研修),0)*_11・２人),0)*(1+_11・B深夜)),0)</f>
        <v>228</v>
      </c>
      <c r="Y80" s="48"/>
    </row>
    <row r="81" spans="1:25" ht="16.5" customHeight="1" x14ac:dyDescent="0.15">
      <c r="A81" s="41">
        <v>11</v>
      </c>
      <c r="B81" s="41" t="s">
        <v>15121</v>
      </c>
      <c r="C81" s="74" t="s">
        <v>15122</v>
      </c>
      <c r="D81" s="825"/>
      <c r="E81" s="72"/>
      <c r="G81" s="825"/>
      <c r="H81" s="799"/>
      <c r="I81" s="796"/>
      <c r="J81" s="35"/>
      <c r="L81" s="282"/>
      <c r="M81" s="45"/>
      <c r="N81" s="46"/>
      <c r="O81" s="35"/>
      <c r="R81" s="35"/>
      <c r="U81" s="734" t="s">
        <v>404</v>
      </c>
      <c r="V81" s="219" t="s">
        <v>398</v>
      </c>
      <c r="W81" s="50">
        <f>_11・初任</f>
        <v>0.7</v>
      </c>
      <c r="X81" s="95">
        <f>+ROUND((ROUND((ROUND((_11_B通院２０．５＿１．０*_11・重度研修),0)*(1+_11・B深夜)),0)*_11・初任),0)</f>
        <v>160</v>
      </c>
      <c r="Y81" s="48"/>
    </row>
    <row r="82" spans="1:25" ht="16.5" customHeight="1" x14ac:dyDescent="0.15">
      <c r="A82" s="41">
        <v>11</v>
      </c>
      <c r="B82" s="41" t="s">
        <v>15123</v>
      </c>
      <c r="C82" s="74" t="s">
        <v>15124</v>
      </c>
      <c r="D82" s="825"/>
      <c r="E82" s="72"/>
      <c r="G82" s="825"/>
      <c r="H82" s="274">
        <f>_11_B通院２０．５＿１．０</f>
        <v>169</v>
      </c>
      <c r="I82" s="254" t="s">
        <v>392</v>
      </c>
      <c r="J82" s="35"/>
      <c r="L82" s="294" t="s">
        <v>397</v>
      </c>
      <c r="M82" s="218" t="s">
        <v>398</v>
      </c>
      <c r="N82" s="46">
        <v>1</v>
      </c>
      <c r="O82" s="35"/>
      <c r="R82" s="35"/>
      <c r="U82" s="706"/>
      <c r="V82" s="220"/>
      <c r="W82" s="38"/>
      <c r="X82" s="95">
        <f>+ROUND((ROUND((ROUND((ROUND((_11_B通院２０．５＿１．０*_11・重度研修),0)*_11・２人),0)*(1+_11・B深夜)),0)*_11・初任),0)</f>
        <v>160</v>
      </c>
      <c r="Y82" s="48"/>
    </row>
    <row r="83" spans="1:25" ht="16.5" customHeight="1" x14ac:dyDescent="0.15">
      <c r="A83" s="41">
        <v>11</v>
      </c>
      <c r="B83" s="41">
        <v>9225</v>
      </c>
      <c r="C83" s="74" t="s">
        <v>15125</v>
      </c>
      <c r="D83" s="825"/>
      <c r="E83" s="707" t="s">
        <v>876</v>
      </c>
      <c r="F83" s="814"/>
      <c r="G83" s="825"/>
      <c r="H83" s="707" t="s">
        <v>1617</v>
      </c>
      <c r="I83" s="798"/>
      <c r="J83" s="35"/>
      <c r="L83" s="282"/>
      <c r="M83" s="45"/>
      <c r="N83" s="46"/>
      <c r="O83" s="35"/>
      <c r="R83" s="35"/>
      <c r="U83" s="53"/>
      <c r="V83" s="245"/>
      <c r="W83" s="49"/>
      <c r="X83" s="95">
        <f>+ROUND((ROUND((_11_B通院２１．０＿０．５*_11・重度研修),0)*(1+_11・B深夜)),0)</f>
        <v>105</v>
      </c>
      <c r="Y83" s="48"/>
    </row>
    <row r="84" spans="1:25" ht="16.5" customHeight="1" x14ac:dyDescent="0.15">
      <c r="A84" s="41">
        <v>11</v>
      </c>
      <c r="B84" s="41">
        <v>9226</v>
      </c>
      <c r="C84" s="74" t="s">
        <v>15126</v>
      </c>
      <c r="D84" s="825"/>
      <c r="E84" s="799"/>
      <c r="F84" s="797"/>
      <c r="G84" s="825"/>
      <c r="H84" s="799"/>
      <c r="I84" s="796"/>
      <c r="J84" s="35"/>
      <c r="L84" s="294" t="s">
        <v>397</v>
      </c>
      <c r="M84" s="218" t="s">
        <v>398</v>
      </c>
      <c r="N84" s="46">
        <v>1</v>
      </c>
      <c r="O84" s="35"/>
      <c r="R84" s="35"/>
      <c r="U84" s="43"/>
      <c r="V84" s="220"/>
      <c r="W84" s="37"/>
      <c r="X84" s="95">
        <f>+ROUND((ROUND((ROUND((_11_B通院２１．０＿０．５*_11・重度研修),0)*_11・２人),0)*(1+_11・B深夜)),0)</f>
        <v>105</v>
      </c>
      <c r="Y84" s="48"/>
    </row>
    <row r="85" spans="1:25" ht="16.5" customHeight="1" x14ac:dyDescent="0.15">
      <c r="A85" s="41">
        <v>11</v>
      </c>
      <c r="B85" s="41" t="s">
        <v>15127</v>
      </c>
      <c r="C85" s="74" t="s">
        <v>15128</v>
      </c>
      <c r="D85" s="825"/>
      <c r="E85" s="799"/>
      <c r="F85" s="797"/>
      <c r="G85" s="825"/>
      <c r="H85" s="799"/>
      <c r="I85" s="796"/>
      <c r="J85" s="35"/>
      <c r="L85" s="282"/>
      <c r="M85" s="45"/>
      <c r="N85" s="46"/>
      <c r="O85" s="35"/>
      <c r="R85" s="35"/>
      <c r="U85" s="734" t="s">
        <v>404</v>
      </c>
      <c r="V85" s="219" t="s">
        <v>398</v>
      </c>
      <c r="W85" s="50">
        <f>_11・初任</f>
        <v>0.7</v>
      </c>
      <c r="X85" s="95">
        <f>+ROUND((ROUND((ROUND((_11_B通院２１．０＿０．５*_11・重度研修),0)*(1+_11・B深夜)),0)*_11・初任),0)</f>
        <v>74</v>
      </c>
      <c r="Y85" s="48"/>
    </row>
    <row r="86" spans="1:25" ht="16.5" customHeight="1" x14ac:dyDescent="0.15">
      <c r="A86" s="41">
        <v>11</v>
      </c>
      <c r="B86" s="41" t="s">
        <v>15129</v>
      </c>
      <c r="C86" s="74" t="s">
        <v>15130</v>
      </c>
      <c r="D86" s="826"/>
      <c r="E86" s="122"/>
      <c r="F86" s="37"/>
      <c r="G86" s="826"/>
      <c r="H86" s="276">
        <f>_11_B通院２１．０＿０．５</f>
        <v>78</v>
      </c>
      <c r="I86" s="271" t="s">
        <v>392</v>
      </c>
      <c r="J86" s="43"/>
      <c r="K86" s="37"/>
      <c r="L86" s="294" t="s">
        <v>397</v>
      </c>
      <c r="M86" s="218" t="s">
        <v>398</v>
      </c>
      <c r="N86" s="46">
        <v>1</v>
      </c>
      <c r="O86" s="43"/>
      <c r="P86" s="37"/>
      <c r="Q86" s="38"/>
      <c r="R86" s="43"/>
      <c r="S86" s="37"/>
      <c r="T86" s="38"/>
      <c r="U86" s="706"/>
      <c r="V86" s="220"/>
      <c r="W86" s="38"/>
      <c r="X86" s="95">
        <f>+ROUND((ROUND((ROUND((ROUND((_11_B通院２１．０＿０．５*_11・重度研修),0)*_11・２人),0)*(1+_11・B深夜)),0)*_11・初任),0)</f>
        <v>74</v>
      </c>
      <c r="Y86" s="63"/>
    </row>
    <row r="87" spans="1:25" ht="16.5" customHeight="1" x14ac:dyDescent="0.15"/>
    <row r="88" spans="1:25" ht="16.5" customHeight="1" x14ac:dyDescent="0.15"/>
  </sheetData>
  <mergeCells count="57">
    <mergeCell ref="U77:U78"/>
    <mergeCell ref="H79:I81"/>
    <mergeCell ref="U81:U82"/>
    <mergeCell ref="E83:F85"/>
    <mergeCell ref="H83:I85"/>
    <mergeCell ref="U85:U86"/>
    <mergeCell ref="T76:T77"/>
    <mergeCell ref="D75:D86"/>
    <mergeCell ref="E75:F77"/>
    <mergeCell ref="G75:G86"/>
    <mergeCell ref="H75:I77"/>
    <mergeCell ref="J75:K77"/>
    <mergeCell ref="U60:U61"/>
    <mergeCell ref="G62:I64"/>
    <mergeCell ref="U64:U65"/>
    <mergeCell ref="D66:F68"/>
    <mergeCell ref="G66:I68"/>
    <mergeCell ref="U68:U69"/>
    <mergeCell ref="D58:F60"/>
    <mergeCell ref="G58:I60"/>
    <mergeCell ref="J58:K60"/>
    <mergeCell ref="Q59:Q60"/>
    <mergeCell ref="T59:T60"/>
    <mergeCell ref="G45:I47"/>
    <mergeCell ref="U47:U48"/>
    <mergeCell ref="D49:F51"/>
    <mergeCell ref="G49:I51"/>
    <mergeCell ref="U51:U52"/>
    <mergeCell ref="G28:I30"/>
    <mergeCell ref="U30:U31"/>
    <mergeCell ref="D32:F34"/>
    <mergeCell ref="G32:I34"/>
    <mergeCell ref="U34:U35"/>
    <mergeCell ref="D41:F43"/>
    <mergeCell ref="G41:I43"/>
    <mergeCell ref="J41:K43"/>
    <mergeCell ref="T42:T43"/>
    <mergeCell ref="U43:U44"/>
    <mergeCell ref="D23:F23"/>
    <mergeCell ref="D24:F26"/>
    <mergeCell ref="G24:I26"/>
    <mergeCell ref="J24:K26"/>
    <mergeCell ref="Q25:Q26"/>
    <mergeCell ref="U26:U27"/>
    <mergeCell ref="T8:T9"/>
    <mergeCell ref="U9:U10"/>
    <mergeCell ref="G11:I13"/>
    <mergeCell ref="U13:U14"/>
    <mergeCell ref="D15:F17"/>
    <mergeCell ref="G15:I17"/>
    <mergeCell ref="U17:U18"/>
    <mergeCell ref="D6:F6"/>
    <mergeCell ref="G6:I6"/>
    <mergeCell ref="D7:F9"/>
    <mergeCell ref="G7:I9"/>
    <mergeCell ref="J7:K9"/>
    <mergeCell ref="Q8:Q9"/>
  </mergeCells>
  <phoneticPr fontId="1"/>
  <printOptions horizontalCentered="1"/>
  <pageMargins left="0.70866141732283505" right="0.70866141732283505" top="0.74803149606299202" bottom="0.74803149606299202" header="0.31496062992126" footer="0.31496062992126"/>
  <pageSetup paperSize="9" scale="48" fitToHeight="0" orientation="portrait" r:id="rId1"/>
  <headerFooter>
    <oddHeader>&amp;R&amp;"ＭＳ Ｐゴシック"&amp;9居宅介護</oddHeader>
    <oddFooter>&amp;C&amp;"ＭＳ Ｐゴシック"&amp;14&amp;P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6">
    <pageSetUpPr fitToPage="1"/>
  </sheetPr>
  <dimension ref="A1:Y38"/>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47.5" style="10" customWidth="1"/>
    <col min="4" max="4" width="4.875" style="10" customWidth="1"/>
    <col min="5" max="5" width="4.875" style="12" customWidth="1"/>
    <col min="6" max="6" width="4.875" style="10" customWidth="1"/>
    <col min="7" max="7" width="4.875" style="12" customWidth="1"/>
    <col min="8" max="8" width="4.875" style="10" customWidth="1"/>
    <col min="9" max="9" width="4.875" style="12" customWidth="1"/>
    <col min="10" max="10" width="4.125" style="12" customWidth="1"/>
    <col min="11" max="11" width="4.5" style="12" bestFit="1" customWidth="1"/>
    <col min="12" max="12" width="24.125" style="12" customWidth="1"/>
    <col min="13" max="13" width="2.5" style="12" customWidth="1"/>
    <col min="14" max="14" width="5.5" style="13" bestFit="1" customWidth="1"/>
    <col min="15" max="15" width="2.5" style="12" customWidth="1"/>
    <col min="16" max="16" width="3.875" style="12" customWidth="1"/>
    <col min="17" max="17" width="4.5" style="13" bestFit="1" customWidth="1"/>
    <col min="18" max="18" width="2.5" style="12" customWidth="1"/>
    <col min="19" max="19" width="3.875" style="12" customWidth="1"/>
    <col min="20" max="20" width="4.5" style="13" bestFit="1" customWidth="1"/>
    <col min="21" max="21" width="17.875" style="12" customWidth="1"/>
    <col min="22" max="22" width="2.5" style="242" customWidth="1"/>
    <col min="23" max="23" width="4.5" style="13" bestFit="1" customWidth="1"/>
    <col min="24" max="24" width="7.125" style="206" customWidth="1"/>
    <col min="25" max="25" width="8.5" style="16" customWidth="1"/>
    <col min="26" max="16384" width="8.875" style="12"/>
  </cols>
  <sheetData>
    <row r="1" spans="1:25" ht="17.100000000000001" customHeight="1" x14ac:dyDescent="0.15"/>
    <row r="2" spans="1:25" ht="17.100000000000001" customHeight="1" x14ac:dyDescent="0.15"/>
    <row r="3" spans="1:25" ht="17.100000000000001" customHeight="1" x14ac:dyDescent="0.15"/>
    <row r="4" spans="1:25" ht="17.100000000000001" customHeight="1" x14ac:dyDescent="0.15">
      <c r="B4" s="17" t="s">
        <v>15131</v>
      </c>
      <c r="D4" s="71"/>
    </row>
    <row r="5" spans="1:25" ht="16.5" customHeight="1" x14ac:dyDescent="0.15">
      <c r="A5" s="19" t="s">
        <v>384</v>
      </c>
      <c r="B5" s="20"/>
      <c r="C5" s="21" t="s">
        <v>385</v>
      </c>
      <c r="D5" s="23" t="s">
        <v>386</v>
      </c>
      <c r="E5" s="23"/>
      <c r="F5" s="23"/>
      <c r="G5" s="23"/>
      <c r="H5" s="23"/>
      <c r="I5" s="23"/>
      <c r="J5" s="23"/>
      <c r="K5" s="23"/>
      <c r="L5" s="23"/>
      <c r="M5" s="23"/>
      <c r="N5" s="24"/>
      <c r="O5" s="23"/>
      <c r="P5" s="23"/>
      <c r="Q5" s="24"/>
      <c r="R5" s="23"/>
      <c r="S5" s="23"/>
      <c r="T5" s="24"/>
      <c r="U5" s="23"/>
      <c r="V5" s="166"/>
      <c r="W5" s="24"/>
      <c r="X5" s="21" t="s">
        <v>387</v>
      </c>
      <c r="Y5" s="21" t="s">
        <v>388</v>
      </c>
    </row>
    <row r="6" spans="1:25" ht="16.5" customHeight="1" x14ac:dyDescent="0.15">
      <c r="A6" s="26" t="s">
        <v>389</v>
      </c>
      <c r="B6" s="26" t="s">
        <v>390</v>
      </c>
      <c r="C6" s="27"/>
      <c r="D6" s="87" t="s">
        <v>1032</v>
      </c>
      <c r="E6" s="187"/>
      <c r="F6" s="87" t="s">
        <v>1033</v>
      </c>
      <c r="G6" s="20"/>
      <c r="H6" s="29"/>
      <c r="I6" s="29"/>
      <c r="J6" s="29"/>
      <c r="K6" s="29"/>
      <c r="L6" s="29"/>
      <c r="M6" s="29"/>
      <c r="N6" s="30"/>
      <c r="O6" s="29"/>
      <c r="P6" s="29"/>
      <c r="Q6" s="30"/>
      <c r="R6" s="29"/>
      <c r="S6" s="29"/>
      <c r="T6" s="30"/>
      <c r="U6" s="29"/>
      <c r="V6" s="214"/>
      <c r="W6" s="30"/>
      <c r="X6" s="32" t="s">
        <v>391</v>
      </c>
      <c r="Y6" s="32" t="s">
        <v>392</v>
      </c>
    </row>
    <row r="7" spans="1:25" ht="16.5" customHeight="1" x14ac:dyDescent="0.15">
      <c r="A7" s="41">
        <v>11</v>
      </c>
      <c r="B7" s="41">
        <v>9227</v>
      </c>
      <c r="C7" s="74" t="s">
        <v>15132</v>
      </c>
      <c r="D7" s="707" t="s">
        <v>861</v>
      </c>
      <c r="E7" s="798"/>
      <c r="F7" s="707" t="s">
        <v>1035</v>
      </c>
      <c r="G7" s="798"/>
      <c r="H7" s="707" t="s">
        <v>1226</v>
      </c>
      <c r="I7" s="798"/>
      <c r="J7" s="707" t="s">
        <v>11707</v>
      </c>
      <c r="K7" s="823"/>
      <c r="L7" s="163"/>
      <c r="M7" s="45"/>
      <c r="N7" s="46"/>
      <c r="O7" s="114" t="s">
        <v>1036</v>
      </c>
      <c r="P7" s="49"/>
      <c r="Q7" s="251"/>
      <c r="R7" s="114" t="s">
        <v>1037</v>
      </c>
      <c r="S7" s="49"/>
      <c r="T7" s="251"/>
      <c r="U7" s="49"/>
      <c r="V7" s="245"/>
      <c r="W7" s="50"/>
      <c r="X7" s="208">
        <f>ROUND((ROUND((_11_A通院２０．５*_11・重度研修),0)*(1+_11・A深夜)),0)+ROUND((ROUND((_11_B通院２０．５＿０．５*_11・重度研修),0)*(1+_11・B早朝)),0)+ROUND((_11_C通院２０．５＿０．５＿０．５*_11・重度研修),0)</f>
        <v>316</v>
      </c>
      <c r="Y7" s="128" t="s">
        <v>395</v>
      </c>
    </row>
    <row r="8" spans="1:25" ht="16.5" customHeight="1" x14ac:dyDescent="0.15">
      <c r="A8" s="41">
        <v>11</v>
      </c>
      <c r="B8" s="41">
        <v>9228</v>
      </c>
      <c r="C8" s="74" t="s">
        <v>15133</v>
      </c>
      <c r="D8" s="799"/>
      <c r="E8" s="796"/>
      <c r="F8" s="799"/>
      <c r="G8" s="796"/>
      <c r="H8" s="799"/>
      <c r="I8" s="796"/>
      <c r="J8" s="722"/>
      <c r="K8" s="802"/>
      <c r="L8" s="44" t="s">
        <v>397</v>
      </c>
      <c r="M8" s="218" t="s">
        <v>398</v>
      </c>
      <c r="N8" s="46">
        <v>1</v>
      </c>
      <c r="O8" s="257" t="s">
        <v>398</v>
      </c>
      <c r="P8" s="13">
        <v>0.5</v>
      </c>
      <c r="Q8" s="718" t="s">
        <v>676</v>
      </c>
      <c r="R8" s="257" t="s">
        <v>398</v>
      </c>
      <c r="S8" s="13">
        <v>0.25</v>
      </c>
      <c r="T8" s="718" t="s">
        <v>676</v>
      </c>
      <c r="U8" s="37"/>
      <c r="V8" s="220"/>
      <c r="W8" s="38"/>
      <c r="X8" s="208">
        <f>ROUND((ROUND((ROUND((_11_A通院２０．５*_11・重度研修),0)*_11・２人),0)*(1+_11・A深夜)),0)+ROUND((ROUND((ROUND((_11_B通院２０．５＿０．５*_11・重度研修),0)*_11・２人),0)*(1+_11・B早朝)),0)+ROUND((ROUND((_11_C通院２０．５＿０．５＿０．５*_11・重度研修),0)*_11・２人),0)</f>
        <v>316</v>
      </c>
      <c r="Y8" s="48"/>
    </row>
    <row r="9" spans="1:25" ht="16.5" customHeight="1" x14ac:dyDescent="0.15">
      <c r="A9" s="41">
        <v>11</v>
      </c>
      <c r="B9" s="41" t="s">
        <v>15134</v>
      </c>
      <c r="C9" s="74" t="s">
        <v>15135</v>
      </c>
      <c r="D9" s="799"/>
      <c r="E9" s="796"/>
      <c r="F9" s="799"/>
      <c r="G9" s="796"/>
      <c r="H9" s="799"/>
      <c r="I9" s="796"/>
      <c r="J9" s="722"/>
      <c r="K9" s="802"/>
      <c r="L9" s="163"/>
      <c r="M9" s="45"/>
      <c r="N9" s="46"/>
      <c r="O9" s="35"/>
      <c r="Q9" s="796"/>
      <c r="R9" s="35"/>
      <c r="T9" s="796"/>
      <c r="U9" s="734" t="s">
        <v>404</v>
      </c>
      <c r="V9" s="219" t="s">
        <v>398</v>
      </c>
      <c r="W9" s="50">
        <f>_11・初任</f>
        <v>0.7</v>
      </c>
      <c r="X9" s="208">
        <f>ROUND((ROUND((ROUND((_11_A通院２０．５*_11・重度研修),0)*(1+_11・A深夜)),0)*_11・初任),0)+ROUND((ROUND((ROUND((_11_B通院２０．５＿０．５*_11・重度研修),0)*(1+_11・B早朝)),0)*_11・初任),0)+ROUND((ROUND((_11_C通院２０．５＿０．５＿０．５*_11・重度研修),0)*_11・初任),0)</f>
        <v>221</v>
      </c>
      <c r="Y9" s="48"/>
    </row>
    <row r="10" spans="1:25" ht="16.5" customHeight="1" x14ac:dyDescent="0.15">
      <c r="A10" s="41">
        <v>11</v>
      </c>
      <c r="B10" s="41" t="s">
        <v>15136</v>
      </c>
      <c r="C10" s="74" t="s">
        <v>15137</v>
      </c>
      <c r="D10" s="276">
        <f>_11_A通院２０．５</f>
        <v>105</v>
      </c>
      <c r="E10" s="190" t="s">
        <v>392</v>
      </c>
      <c r="F10" s="276">
        <f>_11_B通院２０．５＿０．５</f>
        <v>91</v>
      </c>
      <c r="G10" s="190" t="s">
        <v>392</v>
      </c>
      <c r="H10" s="276">
        <f>_11_C通院２０．５＿０．５＿０．５</f>
        <v>78</v>
      </c>
      <c r="I10" s="190" t="s">
        <v>392</v>
      </c>
      <c r="J10" s="293" t="s">
        <v>398</v>
      </c>
      <c r="K10" s="244">
        <v>0.9</v>
      </c>
      <c r="L10" s="44" t="s">
        <v>397</v>
      </c>
      <c r="M10" s="218" t="s">
        <v>398</v>
      </c>
      <c r="N10" s="46">
        <v>1</v>
      </c>
      <c r="O10" s="43"/>
      <c r="P10" s="37"/>
      <c r="Q10" s="244"/>
      <c r="R10" s="43"/>
      <c r="S10" s="37"/>
      <c r="T10" s="244"/>
      <c r="U10" s="706"/>
      <c r="V10" s="220"/>
      <c r="W10" s="38"/>
      <c r="X10" s="208">
        <f>ROUND((ROUND((ROUND((ROUND((_11_A通院２０．５*_11・重度研修),0)*_11・２人),0)*(1+_11・A深夜)),0)*_11・初任),0)+ROUND((ROUND((ROUND((ROUND((_11_B通院２０．５＿０．５*_11・重度研修),0)*_11・２人),0)*(1+_11・B早朝)),0)*_11・初任),0)+ROUND((ROUND((ROUND((_11_C通院２０．５＿０．５＿０．５*_11・重度研修),0)*_11・２人),0)*_11・初任),0)</f>
        <v>221</v>
      </c>
      <c r="Y10" s="63"/>
    </row>
    <row r="11" spans="1:25" ht="16.5" customHeight="1" x14ac:dyDescent="0.15">
      <c r="A11" s="80"/>
      <c r="B11" s="80"/>
      <c r="C11" s="81"/>
      <c r="X11" s="209"/>
      <c r="Y11" s="85"/>
    </row>
    <row r="12" spans="1:25" ht="16.5" customHeight="1" x14ac:dyDescent="0.15">
      <c r="A12" s="80"/>
      <c r="B12" s="80"/>
      <c r="C12" s="81"/>
      <c r="X12" s="209"/>
      <c r="Y12" s="85"/>
    </row>
    <row r="13" spans="1:25" ht="16.5" customHeight="1" x14ac:dyDescent="0.15">
      <c r="A13" s="80"/>
      <c r="B13" s="86" t="s">
        <v>15138</v>
      </c>
      <c r="C13" s="81"/>
      <c r="D13" s="71"/>
      <c r="X13" s="209"/>
      <c r="Y13" s="85"/>
    </row>
    <row r="14" spans="1:25" ht="16.5" customHeight="1" x14ac:dyDescent="0.15">
      <c r="A14" s="87" t="s">
        <v>384</v>
      </c>
      <c r="B14" s="20"/>
      <c r="C14" s="88" t="s">
        <v>385</v>
      </c>
      <c r="D14" s="23" t="s">
        <v>386</v>
      </c>
      <c r="E14" s="23"/>
      <c r="F14" s="23"/>
      <c r="G14" s="23"/>
      <c r="H14" s="23"/>
      <c r="I14" s="23"/>
      <c r="J14" s="23"/>
      <c r="K14" s="23"/>
      <c r="L14" s="23"/>
      <c r="M14" s="23"/>
      <c r="N14" s="24"/>
      <c r="O14" s="23"/>
      <c r="P14" s="23"/>
      <c r="Q14" s="24"/>
      <c r="R14" s="23"/>
      <c r="S14" s="23"/>
      <c r="T14" s="24"/>
      <c r="U14" s="23"/>
      <c r="V14" s="166"/>
      <c r="W14" s="24"/>
      <c r="X14" s="21" t="s">
        <v>387</v>
      </c>
      <c r="Y14" s="21" t="s">
        <v>388</v>
      </c>
    </row>
    <row r="15" spans="1:25" ht="16.5" customHeight="1" x14ac:dyDescent="0.15">
      <c r="A15" s="26" t="s">
        <v>389</v>
      </c>
      <c r="B15" s="26" t="s">
        <v>390</v>
      </c>
      <c r="C15" s="89"/>
      <c r="D15" s="87" t="s">
        <v>1032</v>
      </c>
      <c r="E15" s="20"/>
      <c r="F15" s="29"/>
      <c r="G15" s="29"/>
      <c r="H15" s="29"/>
      <c r="I15" s="29"/>
      <c r="J15" s="29"/>
      <c r="K15" s="29"/>
      <c r="L15" s="29"/>
      <c r="M15" s="29"/>
      <c r="N15" s="30"/>
      <c r="O15" s="29"/>
      <c r="P15" s="29"/>
      <c r="Q15" s="30"/>
      <c r="R15" s="29"/>
      <c r="S15" s="29"/>
      <c r="T15" s="30"/>
      <c r="U15" s="29"/>
      <c r="V15" s="214"/>
      <c r="W15" s="30"/>
      <c r="X15" s="32" t="s">
        <v>391</v>
      </c>
      <c r="Y15" s="32" t="s">
        <v>392</v>
      </c>
    </row>
    <row r="16" spans="1:25" ht="16.5" customHeight="1" x14ac:dyDescent="0.15">
      <c r="A16" s="33">
        <v>11</v>
      </c>
      <c r="B16" s="33">
        <v>9229</v>
      </c>
      <c r="C16" s="34" t="s">
        <v>15139</v>
      </c>
      <c r="D16" s="709" t="s">
        <v>4811</v>
      </c>
      <c r="E16" s="796"/>
      <c r="F16" s="709" t="s">
        <v>1226</v>
      </c>
      <c r="G16" s="796"/>
      <c r="H16" s="72"/>
      <c r="I16" s="57"/>
      <c r="J16" s="709" t="s">
        <v>11707</v>
      </c>
      <c r="K16" s="802"/>
      <c r="L16" s="43"/>
      <c r="M16" s="37"/>
      <c r="N16" s="38"/>
      <c r="O16" s="92" t="s">
        <v>1036</v>
      </c>
      <c r="Q16" s="234"/>
      <c r="R16" s="35"/>
      <c r="T16" s="234"/>
      <c r="X16" s="297">
        <f>ROUND((ROUND((_11_A通院２０．５*_11・重度研修),0)*(1+_11・A深夜)),0)+ROUND((_11_B通院２０．５＿０．５*_11・重度研修),0)</f>
        <v>225</v>
      </c>
      <c r="Y16" s="40" t="s">
        <v>395</v>
      </c>
    </row>
    <row r="17" spans="1:25" ht="16.5" customHeight="1" x14ac:dyDescent="0.15">
      <c r="A17" s="41">
        <v>11</v>
      </c>
      <c r="B17" s="41">
        <v>9230</v>
      </c>
      <c r="C17" s="74" t="s">
        <v>15140</v>
      </c>
      <c r="D17" s="799"/>
      <c r="E17" s="796"/>
      <c r="F17" s="799"/>
      <c r="G17" s="796"/>
      <c r="H17" s="72"/>
      <c r="I17" s="57"/>
      <c r="J17" s="722"/>
      <c r="K17" s="802"/>
      <c r="L17" s="44" t="s">
        <v>397</v>
      </c>
      <c r="M17" s="218" t="s">
        <v>398</v>
      </c>
      <c r="N17" s="46">
        <v>1</v>
      </c>
      <c r="O17" s="257" t="s">
        <v>398</v>
      </c>
      <c r="P17" s="13">
        <v>0.5</v>
      </c>
      <c r="Q17" s="718" t="s">
        <v>676</v>
      </c>
      <c r="R17" s="35"/>
      <c r="T17" s="234"/>
      <c r="U17" s="37"/>
      <c r="V17" s="220"/>
      <c r="W17" s="38"/>
      <c r="X17" s="298">
        <f>ROUND((ROUND((ROUND((_11_A通院２０．５*_11・重度研修),0)*_11・２人),0)*(1+_11・A深夜)),0)+ROUND((ROUND((_11_B通院２０．５＿０．５*_11・重度研修),0)*_11・２人),0)</f>
        <v>225</v>
      </c>
      <c r="Y17" s="48"/>
    </row>
    <row r="18" spans="1:25" ht="16.5" customHeight="1" x14ac:dyDescent="0.15">
      <c r="A18" s="41">
        <v>11</v>
      </c>
      <c r="B18" s="41" t="s">
        <v>15141</v>
      </c>
      <c r="C18" s="74" t="s">
        <v>15142</v>
      </c>
      <c r="D18" s="799"/>
      <c r="E18" s="796"/>
      <c r="F18" s="799"/>
      <c r="G18" s="796"/>
      <c r="H18" s="72"/>
      <c r="I18" s="57"/>
      <c r="J18" s="722"/>
      <c r="K18" s="802"/>
      <c r="L18" s="163"/>
      <c r="M18" s="45"/>
      <c r="N18" s="46"/>
      <c r="O18" s="35"/>
      <c r="Q18" s="796"/>
      <c r="R18" s="35"/>
      <c r="T18" s="234"/>
      <c r="U18" s="768" t="s">
        <v>404</v>
      </c>
      <c r="V18" s="219" t="s">
        <v>398</v>
      </c>
      <c r="W18" s="50">
        <f>_11・初任</f>
        <v>0.7</v>
      </c>
      <c r="X18" s="298">
        <f>ROUND((ROUND((ROUND((_11_A通院２０．５*_11・重度研修),0)*(1+_11・A深夜)),0)*_11・初任),0)+ROUND((ROUND((_11_B通院２０．５＿０．５*_11・重度研修),0)*_11・初任),0)</f>
        <v>157</v>
      </c>
      <c r="Y18" s="48"/>
    </row>
    <row r="19" spans="1:25" ht="16.5" customHeight="1" x14ac:dyDescent="0.15">
      <c r="A19" s="41">
        <v>11</v>
      </c>
      <c r="B19" s="41" t="s">
        <v>15143</v>
      </c>
      <c r="C19" s="74" t="s">
        <v>15144</v>
      </c>
      <c r="D19" s="274">
        <f>_11_A通院２０．５</f>
        <v>105</v>
      </c>
      <c r="E19" s="254" t="s">
        <v>392</v>
      </c>
      <c r="F19" s="274">
        <f>_11_B通院２０．５＿０．５</f>
        <v>91</v>
      </c>
      <c r="G19" s="254" t="s">
        <v>392</v>
      </c>
      <c r="H19" s="72"/>
      <c r="I19" s="57"/>
      <c r="J19" s="258" t="s">
        <v>398</v>
      </c>
      <c r="K19" s="234">
        <v>0.9</v>
      </c>
      <c r="L19" s="44" t="s">
        <v>397</v>
      </c>
      <c r="M19" s="218" t="s">
        <v>398</v>
      </c>
      <c r="N19" s="46">
        <v>1</v>
      </c>
      <c r="O19" s="35"/>
      <c r="Q19" s="234"/>
      <c r="R19" s="35"/>
      <c r="T19" s="234"/>
      <c r="U19" s="769"/>
      <c r="V19" s="220"/>
      <c r="W19" s="38"/>
      <c r="X19" s="298">
        <f>ROUND((ROUND((ROUND((ROUND((_11_A通院２０．５*_11・重度研修),0)*_11・２人),0)*(1+_11・A深夜)),0)*_11・初任),0)+ROUND((ROUND((ROUND((_11_B通院２０．５＿０．５*_11・重度研修),0)*_11・２人),0)*_11・初任),0)</f>
        <v>157</v>
      </c>
      <c r="Y19" s="48"/>
    </row>
    <row r="20" spans="1:25" ht="16.5" customHeight="1" x14ac:dyDescent="0.15">
      <c r="A20" s="41">
        <v>11</v>
      </c>
      <c r="B20" s="41">
        <v>9231</v>
      </c>
      <c r="C20" s="74" t="s">
        <v>15145</v>
      </c>
      <c r="D20" s="72"/>
      <c r="F20" s="707" t="s">
        <v>1304</v>
      </c>
      <c r="G20" s="798"/>
      <c r="H20" s="72"/>
      <c r="I20" s="57"/>
      <c r="L20" s="163"/>
      <c r="M20" s="45"/>
      <c r="N20" s="46"/>
      <c r="O20" s="35"/>
      <c r="R20" s="35"/>
      <c r="T20" s="234"/>
      <c r="U20" s="49"/>
      <c r="V20" s="245"/>
      <c r="W20" s="50"/>
      <c r="X20" s="298">
        <f>ROUND((ROUND((_11_A通院２０．５*_11・重度研修),0)*(1+_11・A深夜)),0)+ROUND((_11_B通院２０．５＿１．０*_11・重度研修),0)</f>
        <v>295</v>
      </c>
      <c r="Y20" s="48"/>
    </row>
    <row r="21" spans="1:25" ht="16.5" customHeight="1" x14ac:dyDescent="0.15">
      <c r="A21" s="41">
        <v>11</v>
      </c>
      <c r="B21" s="41">
        <v>9232</v>
      </c>
      <c r="C21" s="74" t="s">
        <v>15146</v>
      </c>
      <c r="D21" s="72"/>
      <c r="F21" s="799"/>
      <c r="G21" s="796"/>
      <c r="H21" s="72"/>
      <c r="I21" s="57"/>
      <c r="L21" s="44" t="s">
        <v>397</v>
      </c>
      <c r="M21" s="218" t="s">
        <v>398</v>
      </c>
      <c r="N21" s="46">
        <v>1</v>
      </c>
      <c r="O21" s="35"/>
      <c r="R21" s="35"/>
      <c r="T21" s="234"/>
      <c r="U21" s="37"/>
      <c r="V21" s="220"/>
      <c r="W21" s="38"/>
      <c r="X21" s="298">
        <f>ROUND((ROUND((ROUND((_11_A通院２０．５*_11・重度研修),0)*_11・２人),0)*(1+_11・A深夜)),0)+ROUND((ROUND((_11_B通院２０．５＿１．０*_11・重度研修),0)*_11・２人),0)</f>
        <v>295</v>
      </c>
      <c r="Y21" s="48"/>
    </row>
    <row r="22" spans="1:25" ht="16.5" customHeight="1" x14ac:dyDescent="0.15">
      <c r="A22" s="41">
        <v>11</v>
      </c>
      <c r="B22" s="41" t="s">
        <v>15147</v>
      </c>
      <c r="C22" s="74" t="s">
        <v>15148</v>
      </c>
      <c r="D22" s="72"/>
      <c r="F22" s="799"/>
      <c r="G22" s="796"/>
      <c r="H22" s="72"/>
      <c r="I22" s="57"/>
      <c r="L22" s="163"/>
      <c r="M22" s="45"/>
      <c r="N22" s="46"/>
      <c r="O22" s="35"/>
      <c r="R22" s="35"/>
      <c r="T22" s="234"/>
      <c r="U22" s="768" t="s">
        <v>404</v>
      </c>
      <c r="V22" s="219" t="s">
        <v>398</v>
      </c>
      <c r="W22" s="50">
        <f>_11・初任</f>
        <v>0.7</v>
      </c>
      <c r="X22" s="298">
        <f>ROUND((ROUND((ROUND((_11_A通院２０．５*_11・重度研修),0)*(1+_11・A深夜)),0)*_11・初任),0)+ROUND((ROUND((_11_B通院２０．５＿１．０*_11・重度研修),0)*_11・初任),0)</f>
        <v>206</v>
      </c>
      <c r="Y22" s="48"/>
    </row>
    <row r="23" spans="1:25" ht="16.5" customHeight="1" x14ac:dyDescent="0.15">
      <c r="A23" s="41">
        <v>11</v>
      </c>
      <c r="B23" s="41" t="s">
        <v>15149</v>
      </c>
      <c r="C23" s="74" t="s">
        <v>15150</v>
      </c>
      <c r="D23" s="72"/>
      <c r="F23" s="274">
        <f>_11_B通院２０．５＿１．０</f>
        <v>169</v>
      </c>
      <c r="G23" s="254" t="s">
        <v>392</v>
      </c>
      <c r="H23" s="72"/>
      <c r="I23" s="57"/>
      <c r="L23" s="44" t="s">
        <v>397</v>
      </c>
      <c r="M23" s="218" t="s">
        <v>398</v>
      </c>
      <c r="N23" s="46">
        <v>1</v>
      </c>
      <c r="O23" s="35"/>
      <c r="R23" s="35"/>
      <c r="T23" s="234"/>
      <c r="U23" s="769"/>
      <c r="V23" s="220"/>
      <c r="W23" s="38"/>
      <c r="X23" s="298">
        <f>ROUND((ROUND((ROUND((ROUND((_11_A通院２０．５*_11・重度研修),0)*_11・２人),0)*(1+_11・A深夜)),0)*_11・初任),0)+ROUND((ROUND((ROUND((_11_B通院２０．５＿１．０*_11・重度研修),0)*_11・２人),0)*_11・初任),0)</f>
        <v>206</v>
      </c>
      <c r="Y23" s="48"/>
    </row>
    <row r="24" spans="1:25" ht="16.5" customHeight="1" x14ac:dyDescent="0.15">
      <c r="A24" s="41">
        <v>11</v>
      </c>
      <c r="B24" s="41">
        <v>9233</v>
      </c>
      <c r="C24" s="74" t="s">
        <v>15151</v>
      </c>
      <c r="D24" s="707" t="s">
        <v>5030</v>
      </c>
      <c r="E24" s="798"/>
      <c r="F24" s="707" t="s">
        <v>1226</v>
      </c>
      <c r="G24" s="798"/>
      <c r="H24" s="72"/>
      <c r="I24" s="57"/>
      <c r="L24" s="163"/>
      <c r="M24" s="45"/>
      <c r="N24" s="46"/>
      <c r="O24" s="35"/>
      <c r="R24" s="35"/>
      <c r="T24" s="234"/>
      <c r="U24" s="49"/>
      <c r="V24" s="245"/>
      <c r="W24" s="50"/>
      <c r="X24" s="208">
        <f>ROUND((ROUND((_11_A通院２１．０*_11・重度研修),0)*(1+_11・A深夜)),0)+ROUND((_11_B通院２１．０＿０．５*_11・重度研修),0)</f>
        <v>334</v>
      </c>
      <c r="Y24" s="48"/>
    </row>
    <row r="25" spans="1:25" ht="16.5" customHeight="1" x14ac:dyDescent="0.15">
      <c r="A25" s="41">
        <v>11</v>
      </c>
      <c r="B25" s="41">
        <v>9234</v>
      </c>
      <c r="C25" s="74" t="s">
        <v>15152</v>
      </c>
      <c r="D25" s="799"/>
      <c r="E25" s="796"/>
      <c r="F25" s="799"/>
      <c r="G25" s="796"/>
      <c r="H25" s="72"/>
      <c r="I25" s="57"/>
      <c r="L25" s="44" t="s">
        <v>397</v>
      </c>
      <c r="M25" s="218" t="s">
        <v>398</v>
      </c>
      <c r="N25" s="46">
        <v>1</v>
      </c>
      <c r="O25" s="35"/>
      <c r="R25" s="35"/>
      <c r="T25" s="234"/>
      <c r="U25" s="37"/>
      <c r="V25" s="220"/>
      <c r="W25" s="38"/>
      <c r="X25" s="208">
        <f>ROUND((ROUND((ROUND((_11_A通院２１．０*_11・重度研修),0)*_11・２人),0)*(1+_11・A深夜)),0)+ROUND((ROUND((_11_B通院２１．０＿０．５*_11・重度研修),0)*_11・２人),0)</f>
        <v>334</v>
      </c>
      <c r="Y25" s="48"/>
    </row>
    <row r="26" spans="1:25" ht="16.5" customHeight="1" x14ac:dyDescent="0.15">
      <c r="A26" s="41">
        <v>11</v>
      </c>
      <c r="B26" s="41" t="s">
        <v>15153</v>
      </c>
      <c r="C26" s="74" t="s">
        <v>15154</v>
      </c>
      <c r="D26" s="799"/>
      <c r="E26" s="796"/>
      <c r="F26" s="799"/>
      <c r="G26" s="796"/>
      <c r="H26" s="72"/>
      <c r="I26" s="57"/>
      <c r="L26" s="163"/>
      <c r="M26" s="45"/>
      <c r="N26" s="46"/>
      <c r="O26" s="35"/>
      <c r="R26" s="35"/>
      <c r="T26" s="234"/>
      <c r="U26" s="768" t="s">
        <v>404</v>
      </c>
      <c r="V26" s="219" t="s">
        <v>398</v>
      </c>
      <c r="W26" s="50">
        <f>_11・初任</f>
        <v>0.7</v>
      </c>
      <c r="X26" s="208">
        <f>ROUND((ROUND((ROUND((_11_A通院２１．０*_11・重度研修),0)*(1+_11・A深夜)),0)*_11・初任),0)+ROUND((ROUND((_11_B通院２１．０＿０．５*_11・重度研修),0)*_11・初任),0)</f>
        <v>234</v>
      </c>
      <c r="Y26" s="48"/>
    </row>
    <row r="27" spans="1:25" ht="16.5" customHeight="1" x14ac:dyDescent="0.15">
      <c r="A27" s="41">
        <v>11</v>
      </c>
      <c r="B27" s="41" t="s">
        <v>15155</v>
      </c>
      <c r="C27" s="74" t="s">
        <v>15156</v>
      </c>
      <c r="D27" s="276">
        <f>_11_A通院２１．０</f>
        <v>196</v>
      </c>
      <c r="E27" s="271" t="s">
        <v>392</v>
      </c>
      <c r="F27" s="276">
        <f>_11_B通院２１．０＿０．５</f>
        <v>78</v>
      </c>
      <c r="G27" s="271" t="s">
        <v>392</v>
      </c>
      <c r="H27" s="122"/>
      <c r="I27" s="79"/>
      <c r="J27" s="37"/>
      <c r="K27" s="37"/>
      <c r="L27" s="44" t="s">
        <v>397</v>
      </c>
      <c r="M27" s="218" t="s">
        <v>398</v>
      </c>
      <c r="N27" s="46">
        <v>1</v>
      </c>
      <c r="O27" s="43"/>
      <c r="P27" s="37"/>
      <c r="Q27" s="38"/>
      <c r="R27" s="43"/>
      <c r="S27" s="37"/>
      <c r="T27" s="244"/>
      <c r="U27" s="769"/>
      <c r="V27" s="220"/>
      <c r="W27" s="38"/>
      <c r="X27" s="208">
        <f>ROUND((ROUND((ROUND((ROUND((_11_A通院２１．０*_11・重度研修),0)*_11・２人),0)*(1+_11・A深夜)),0)*_11・初任),0)+ROUND((ROUND((ROUND((_11_B通院２１．０＿０．５*_11・重度研修),0)*_11・２人),0)*_11・初任),0)</f>
        <v>234</v>
      </c>
      <c r="Y27" s="63"/>
    </row>
    <row r="28" spans="1:25" ht="16.5" customHeight="1" x14ac:dyDescent="0.15">
      <c r="A28" s="80"/>
      <c r="B28" s="80"/>
      <c r="C28" s="81"/>
      <c r="X28" s="209"/>
      <c r="Y28" s="85"/>
    </row>
    <row r="29" spans="1:25" ht="16.5" customHeight="1" x14ac:dyDescent="0.15">
      <c r="A29" s="80"/>
      <c r="B29" s="80"/>
      <c r="C29" s="81"/>
      <c r="X29" s="209"/>
      <c r="Y29" s="85"/>
    </row>
    <row r="30" spans="1:25" ht="16.5" customHeight="1" x14ac:dyDescent="0.15">
      <c r="A30" s="80"/>
      <c r="B30" s="86" t="s">
        <v>15157</v>
      </c>
      <c r="C30" s="81"/>
      <c r="D30" s="71"/>
      <c r="X30" s="209"/>
      <c r="Y30" s="85"/>
    </row>
    <row r="31" spans="1:25" ht="16.5" customHeight="1" x14ac:dyDescent="0.15">
      <c r="A31" s="87" t="s">
        <v>384</v>
      </c>
      <c r="B31" s="20"/>
      <c r="C31" s="88" t="s">
        <v>385</v>
      </c>
      <c r="D31" s="23" t="s">
        <v>386</v>
      </c>
      <c r="E31" s="23"/>
      <c r="F31" s="23"/>
      <c r="G31" s="23"/>
      <c r="H31" s="23"/>
      <c r="I31" s="23"/>
      <c r="J31" s="23"/>
      <c r="K31" s="23"/>
      <c r="L31" s="23"/>
      <c r="M31" s="23"/>
      <c r="N31" s="24"/>
      <c r="O31" s="23"/>
      <c r="P31" s="23"/>
      <c r="Q31" s="24"/>
      <c r="R31" s="23"/>
      <c r="S31" s="23"/>
      <c r="T31" s="24"/>
      <c r="U31" s="23"/>
      <c r="V31" s="166"/>
      <c r="W31" s="24"/>
      <c r="X31" s="21" t="s">
        <v>387</v>
      </c>
      <c r="Y31" s="21" t="s">
        <v>388</v>
      </c>
    </row>
    <row r="32" spans="1:25" ht="16.5" customHeight="1" x14ac:dyDescent="0.15">
      <c r="A32" s="26" t="s">
        <v>389</v>
      </c>
      <c r="B32" s="26" t="s">
        <v>390</v>
      </c>
      <c r="C32" s="89"/>
      <c r="D32" s="29"/>
      <c r="E32" s="29"/>
      <c r="F32" s="87" t="s">
        <v>1032</v>
      </c>
      <c r="G32" s="187"/>
      <c r="H32" s="87" t="s">
        <v>1033</v>
      </c>
      <c r="I32" s="20"/>
      <c r="J32" s="29"/>
      <c r="K32" s="29"/>
      <c r="L32" s="29"/>
      <c r="M32" s="29"/>
      <c r="N32" s="30"/>
      <c r="O32" s="29"/>
      <c r="P32" s="29"/>
      <c r="Q32" s="30"/>
      <c r="R32" s="29"/>
      <c r="S32" s="29"/>
      <c r="T32" s="30"/>
      <c r="U32" s="29"/>
      <c r="V32" s="214"/>
      <c r="W32" s="30"/>
      <c r="X32" s="32" t="s">
        <v>391</v>
      </c>
      <c r="Y32" s="32" t="s">
        <v>392</v>
      </c>
    </row>
    <row r="33" spans="1:25" ht="16.5" customHeight="1" x14ac:dyDescent="0.15">
      <c r="A33" s="41">
        <v>11</v>
      </c>
      <c r="B33" s="41">
        <v>9235</v>
      </c>
      <c r="C33" s="74" t="s">
        <v>15158</v>
      </c>
      <c r="D33" s="707" t="s">
        <v>394</v>
      </c>
      <c r="E33" s="798"/>
      <c r="F33" s="707" t="s">
        <v>1415</v>
      </c>
      <c r="G33" s="798"/>
      <c r="H33" s="707" t="s">
        <v>1617</v>
      </c>
      <c r="I33" s="798"/>
      <c r="J33" s="707" t="s">
        <v>11707</v>
      </c>
      <c r="K33" s="823"/>
      <c r="L33" s="163"/>
      <c r="M33" s="45"/>
      <c r="N33" s="46"/>
      <c r="O33" s="116" t="s">
        <v>1416</v>
      </c>
      <c r="P33" s="49"/>
      <c r="Q33" s="251"/>
      <c r="R33" s="114" t="s">
        <v>1618</v>
      </c>
      <c r="S33" s="49"/>
      <c r="T33" s="251"/>
      <c r="U33" s="49"/>
      <c r="V33" s="245"/>
      <c r="W33" s="50"/>
      <c r="X33" s="208">
        <f>ROUND((_11_A通院２０．５*_11・重度研修),0)+ROUND((ROUND((_11_B通院２０．５＿０．５*_11・重度研修),0)*(1+_11・B夜間)),0)+ROUND((ROUND((_11_C通院２０．５＿０．５＿０．５*_11・重度研修),0)*(1+_11・C深夜)),0)</f>
        <v>303</v>
      </c>
      <c r="Y33" s="128" t="s">
        <v>395</v>
      </c>
    </row>
    <row r="34" spans="1:25" ht="16.5" customHeight="1" x14ac:dyDescent="0.15">
      <c r="A34" s="41">
        <v>11</v>
      </c>
      <c r="B34" s="41">
        <v>9236</v>
      </c>
      <c r="C34" s="74" t="s">
        <v>15159</v>
      </c>
      <c r="D34" s="799"/>
      <c r="E34" s="796"/>
      <c r="F34" s="799"/>
      <c r="G34" s="796"/>
      <c r="H34" s="799"/>
      <c r="I34" s="796"/>
      <c r="J34" s="722"/>
      <c r="K34" s="802"/>
      <c r="L34" s="44" t="s">
        <v>397</v>
      </c>
      <c r="M34" s="218" t="s">
        <v>398</v>
      </c>
      <c r="N34" s="46">
        <v>1</v>
      </c>
      <c r="O34" s="257" t="s">
        <v>398</v>
      </c>
      <c r="P34" s="13">
        <v>0.25</v>
      </c>
      <c r="Q34" s="818" t="s">
        <v>676</v>
      </c>
      <c r="R34" s="257" t="s">
        <v>398</v>
      </c>
      <c r="S34" s="13">
        <v>0.5</v>
      </c>
      <c r="T34" s="718" t="s">
        <v>676</v>
      </c>
      <c r="U34" s="37"/>
      <c r="V34" s="220"/>
      <c r="W34" s="38"/>
      <c r="X34" s="208">
        <f>ROUND((ROUND((_11_A通院２０．５*_11・重度研修),0)*_11・２人),0)+ROUND((ROUND((ROUND((_11_B通院２０．５＿０．５*_11・重度研修),0)*_11・２人),0)*(1+_11・B夜間)),0)+ROUND((ROUND((ROUND((_11_C通院２０．５＿０．５＿０．５*_11・重度研修),0)*_11・２人),0)*(1+_11・C深夜)),0)</f>
        <v>303</v>
      </c>
      <c r="Y34" s="48"/>
    </row>
    <row r="35" spans="1:25" ht="16.5" customHeight="1" x14ac:dyDescent="0.15">
      <c r="A35" s="41">
        <v>11</v>
      </c>
      <c r="B35" s="41" t="s">
        <v>15160</v>
      </c>
      <c r="C35" s="74" t="s">
        <v>15161</v>
      </c>
      <c r="D35" s="799"/>
      <c r="E35" s="796"/>
      <c r="F35" s="799"/>
      <c r="G35" s="796"/>
      <c r="H35" s="799"/>
      <c r="I35" s="796"/>
      <c r="J35" s="722"/>
      <c r="K35" s="802"/>
      <c r="L35" s="163"/>
      <c r="M35" s="45"/>
      <c r="N35" s="46"/>
      <c r="O35" s="35"/>
      <c r="Q35" s="818"/>
      <c r="R35" s="35"/>
      <c r="T35" s="796"/>
      <c r="U35" s="734" t="s">
        <v>404</v>
      </c>
      <c r="V35" s="219" t="s">
        <v>398</v>
      </c>
      <c r="W35" s="50">
        <f>_11・初任</f>
        <v>0.7</v>
      </c>
      <c r="X35" s="208">
        <f>ROUND((ROUND((_11_A通院２０．５*_11・重度研修),0)*_11・初任),0)+ROUND((ROUND((ROUND((_11_B通院２０．５＿０．５*_11・重度研修),0)*(1+_11・B夜間)),0)*_11・初任),0)+ROUND((ROUND((ROUND((_11_C通院２０．５＿０．５＿０．５*_11・重度研修),0)*(1+_11・C深夜)),0)*_11・初任),0)</f>
        <v>213</v>
      </c>
      <c r="Y35" s="48"/>
    </row>
    <row r="36" spans="1:25" ht="16.5" customHeight="1" x14ac:dyDescent="0.15">
      <c r="A36" s="41">
        <v>11</v>
      </c>
      <c r="B36" s="41" t="s">
        <v>15162</v>
      </c>
      <c r="C36" s="74" t="s">
        <v>15163</v>
      </c>
      <c r="D36" s="276">
        <f>_11_A通院２０．５</f>
        <v>105</v>
      </c>
      <c r="E36" s="271" t="s">
        <v>392</v>
      </c>
      <c r="F36" s="276">
        <f>_11_B通院２０．５＿０．５</f>
        <v>91</v>
      </c>
      <c r="G36" s="271" t="s">
        <v>392</v>
      </c>
      <c r="H36" s="276">
        <f>_11_C通院２０．５＿０．５＿０．５</f>
        <v>78</v>
      </c>
      <c r="I36" s="271" t="s">
        <v>392</v>
      </c>
      <c r="J36" s="293" t="s">
        <v>398</v>
      </c>
      <c r="K36" s="244">
        <v>0.9</v>
      </c>
      <c r="L36" s="44" t="s">
        <v>397</v>
      </c>
      <c r="M36" s="218" t="s">
        <v>398</v>
      </c>
      <c r="N36" s="46">
        <v>1</v>
      </c>
      <c r="O36" s="43"/>
      <c r="P36" s="37"/>
      <c r="Q36" s="244"/>
      <c r="R36" s="43"/>
      <c r="S36" s="37"/>
      <c r="T36" s="244"/>
      <c r="U36" s="706"/>
      <c r="V36" s="220"/>
      <c r="W36" s="38"/>
      <c r="X36" s="208">
        <f>ROUND((ROUND((ROUND((_11_A通院２０．５*_11・重度研修),0)*_11・２人),0)*_11・初任),0)+ROUND((ROUND((ROUND((ROUND((_11_B通院２０．５＿０．５*_11・重度研修),0)*_11・２人),0)*(1+_11・B夜間)),0)*_11・初任),0)+ROUND((ROUND((ROUND((ROUND((_11_C通院２０．５＿０．５＿０．５*_11・重度研修),0)*_11・２人),0)*(1+_11・C深夜)),0)*_11・初任),0)</f>
        <v>213</v>
      </c>
      <c r="Y36" s="63"/>
    </row>
    <row r="37" spans="1:25" ht="16.5" customHeight="1" x14ac:dyDescent="0.15"/>
    <row r="38" spans="1:25" ht="16.5" customHeight="1" x14ac:dyDescent="0.15"/>
  </sheetData>
  <mergeCells count="24">
    <mergeCell ref="T34:T35"/>
    <mergeCell ref="U35:U36"/>
    <mergeCell ref="F20:G22"/>
    <mergeCell ref="U22:U23"/>
    <mergeCell ref="D24:E26"/>
    <mergeCell ref="F24:G26"/>
    <mergeCell ref="U26:U27"/>
    <mergeCell ref="D33:E35"/>
    <mergeCell ref="F33:G35"/>
    <mergeCell ref="H33:I35"/>
    <mergeCell ref="J33:K35"/>
    <mergeCell ref="Q34:Q35"/>
    <mergeCell ref="U9:U10"/>
    <mergeCell ref="D16:E18"/>
    <mergeCell ref="F16:G18"/>
    <mergeCell ref="J16:K18"/>
    <mergeCell ref="Q17:Q18"/>
    <mergeCell ref="U18:U19"/>
    <mergeCell ref="D7:E9"/>
    <mergeCell ref="F7:G9"/>
    <mergeCell ref="H7:I9"/>
    <mergeCell ref="J7:K9"/>
    <mergeCell ref="Q8:Q9"/>
    <mergeCell ref="T8:T9"/>
  </mergeCells>
  <phoneticPr fontId="1"/>
  <printOptions horizontalCentered="1"/>
  <pageMargins left="0.70866141732283505" right="0.70866141732283505" top="0.74803149606299202" bottom="0.74803149606299202" header="0.31496062992126" footer="0.31496062992126"/>
  <pageSetup paperSize="9" scale="46" fitToHeight="0" orientation="portrait" r:id="rId1"/>
  <headerFooter>
    <oddHeader>&amp;R&amp;"ＭＳ Ｐゴシック"&amp;9居宅介護</oddHeader>
    <oddFooter>&amp;C&amp;"ＭＳ Ｐゴシック"&amp;14&amp;P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7">
    <pageSetUpPr fitToPage="1"/>
  </sheetPr>
  <dimension ref="A1:O92"/>
  <sheetViews>
    <sheetView view="pageBreakPreview" zoomScale="80" zoomScaleNormal="100" zoomScaleSheetLayoutView="80" workbookViewId="0">
      <selection activeCellId="1" sqref="A1 A1"/>
    </sheetView>
  </sheetViews>
  <sheetFormatPr defaultColWidth="8.875" defaultRowHeight="14.25" x14ac:dyDescent="0.15"/>
  <cols>
    <col min="1" max="1" width="4.5" style="9" customWidth="1"/>
    <col min="2" max="2" width="7.5" style="9" customWidth="1"/>
    <col min="3" max="3" width="37.5" style="10" bestFit="1" customWidth="1"/>
    <col min="4" max="4" width="4.875" style="10" customWidth="1"/>
    <col min="5" max="5" width="4.875" style="12" customWidth="1"/>
    <col min="6" max="6" width="4.125" style="12" customWidth="1"/>
    <col min="7" max="7" width="4.5" style="12" bestFit="1" customWidth="1"/>
    <col min="8" max="8" width="26" style="12" customWidth="1"/>
    <col min="9" max="9" width="2.5" style="12" customWidth="1"/>
    <col min="10" max="10" width="5.5" style="13" bestFit="1" customWidth="1"/>
    <col min="11" max="11" width="17.875" style="12" customWidth="1"/>
    <col min="12" max="12" width="2.5" style="242" customWidth="1"/>
    <col min="13" max="13" width="4.5" style="13" bestFit="1" customWidth="1"/>
    <col min="14" max="14" width="7.125" style="15" customWidth="1"/>
    <col min="15" max="15" width="8.5" style="16" customWidth="1"/>
    <col min="16" max="16384" width="8.875" style="12"/>
  </cols>
  <sheetData>
    <row r="1" spans="1:15" ht="17.100000000000001" customHeight="1" x14ac:dyDescent="0.15"/>
    <row r="2" spans="1:15" ht="17.100000000000001" customHeight="1" x14ac:dyDescent="0.15"/>
    <row r="3" spans="1:15" ht="17.100000000000001" customHeight="1" x14ac:dyDescent="0.15"/>
    <row r="4" spans="1:15" ht="17.100000000000001" customHeight="1" x14ac:dyDescent="0.15">
      <c r="B4" s="17" t="s">
        <v>15164</v>
      </c>
      <c r="D4" s="71"/>
    </row>
    <row r="5" spans="1:15" ht="16.5" customHeight="1" x14ac:dyDescent="0.15">
      <c r="A5" s="19" t="s">
        <v>384</v>
      </c>
      <c r="B5" s="20"/>
      <c r="C5" s="21" t="s">
        <v>385</v>
      </c>
      <c r="D5" s="23" t="s">
        <v>386</v>
      </c>
      <c r="E5" s="23"/>
      <c r="F5" s="23"/>
      <c r="G5" s="23"/>
      <c r="H5" s="23"/>
      <c r="I5" s="23"/>
      <c r="J5" s="24"/>
      <c r="K5" s="23"/>
      <c r="L5" s="23"/>
      <c r="M5" s="24"/>
      <c r="N5" s="25" t="s">
        <v>387</v>
      </c>
      <c r="O5" s="21" t="s">
        <v>388</v>
      </c>
    </row>
    <row r="6" spans="1:15" ht="16.5" customHeight="1" x14ac:dyDescent="0.15">
      <c r="A6" s="26" t="s">
        <v>389</v>
      </c>
      <c r="B6" s="26" t="s">
        <v>390</v>
      </c>
      <c r="C6" s="27"/>
      <c r="D6" s="29"/>
      <c r="E6" s="29"/>
      <c r="F6" s="29"/>
      <c r="G6" s="29"/>
      <c r="H6" s="29"/>
      <c r="I6" s="29"/>
      <c r="J6" s="30"/>
      <c r="K6" s="29"/>
      <c r="L6" s="214"/>
      <c r="M6" s="30"/>
      <c r="N6" s="31" t="s">
        <v>391</v>
      </c>
      <c r="O6" s="32" t="s">
        <v>392</v>
      </c>
    </row>
    <row r="7" spans="1:15" ht="16.5" customHeight="1" x14ac:dyDescent="0.15">
      <c r="A7" s="33">
        <v>11</v>
      </c>
      <c r="B7" s="33">
        <v>9237</v>
      </c>
      <c r="C7" s="34" t="s">
        <v>15165</v>
      </c>
      <c r="D7" s="709" t="s">
        <v>394</v>
      </c>
      <c r="E7" s="796"/>
      <c r="F7" s="709" t="s">
        <v>11707</v>
      </c>
      <c r="G7" s="802"/>
      <c r="H7" s="43"/>
      <c r="I7" s="37"/>
      <c r="J7" s="38"/>
      <c r="K7" s="35"/>
      <c r="N7" s="39">
        <f>ROUND((_11_A通院２増０．５*_11・重度研修),0)</f>
        <v>62</v>
      </c>
      <c r="O7" s="40" t="s">
        <v>395</v>
      </c>
    </row>
    <row r="8" spans="1:15" ht="16.5" customHeight="1" x14ac:dyDescent="0.15">
      <c r="A8" s="41">
        <v>11</v>
      </c>
      <c r="B8" s="41">
        <v>9238</v>
      </c>
      <c r="C8" s="42" t="s">
        <v>15166</v>
      </c>
      <c r="D8" s="799"/>
      <c r="E8" s="796"/>
      <c r="F8" s="722"/>
      <c r="G8" s="802"/>
      <c r="H8" s="281" t="s">
        <v>397</v>
      </c>
      <c r="I8" s="247" t="s">
        <v>398</v>
      </c>
      <c r="J8" s="46">
        <v>1</v>
      </c>
      <c r="K8" s="43"/>
      <c r="L8" s="220"/>
      <c r="M8" s="38"/>
      <c r="N8" s="47">
        <f>ROUND((ROUND((_11_A通院２増０．５*_11・重度研修),0)*_11・２人),0)</f>
        <v>62</v>
      </c>
      <c r="O8" s="48"/>
    </row>
    <row r="9" spans="1:15" ht="16.5" customHeight="1" x14ac:dyDescent="0.15">
      <c r="A9" s="41">
        <v>11</v>
      </c>
      <c r="B9" s="41" t="s">
        <v>15167</v>
      </c>
      <c r="C9" s="42" t="s">
        <v>15168</v>
      </c>
      <c r="D9" s="799"/>
      <c r="E9" s="796"/>
      <c r="F9" s="722"/>
      <c r="G9" s="802"/>
      <c r="H9" s="163"/>
      <c r="I9" s="45"/>
      <c r="J9" s="46"/>
      <c r="K9" s="734" t="s">
        <v>404</v>
      </c>
      <c r="L9" s="219" t="s">
        <v>398</v>
      </c>
      <c r="M9" s="50">
        <f>_11・初任</f>
        <v>0.7</v>
      </c>
      <c r="N9" s="47">
        <f>ROUND((ROUND((_11_A通院２増０．５*_11・重度研修),0)*_11・初任),0)</f>
        <v>43</v>
      </c>
      <c r="O9" s="48"/>
    </row>
    <row r="10" spans="1:15" ht="16.5" customHeight="1" x14ac:dyDescent="0.15">
      <c r="A10" s="41">
        <v>11</v>
      </c>
      <c r="B10" s="41" t="s">
        <v>15169</v>
      </c>
      <c r="C10" s="42" t="s">
        <v>15170</v>
      </c>
      <c r="D10" s="274">
        <f>_11_A通院２増０．５</f>
        <v>69</v>
      </c>
      <c r="E10" s="10" t="s">
        <v>392</v>
      </c>
      <c r="F10" s="258" t="s">
        <v>398</v>
      </c>
      <c r="G10" s="234">
        <v>0.9</v>
      </c>
      <c r="H10" s="281" t="s">
        <v>397</v>
      </c>
      <c r="I10" s="247" t="s">
        <v>398</v>
      </c>
      <c r="J10" s="46">
        <v>1</v>
      </c>
      <c r="K10" s="706"/>
      <c r="L10" s="220"/>
      <c r="M10" s="38"/>
      <c r="N10" s="47">
        <f>ROUND((ROUND((ROUND((_11_A通院２増０．５*_11・重度研修),0)*_11・２人),0)*_11・初任),0)</f>
        <v>43</v>
      </c>
      <c r="O10" s="48"/>
    </row>
    <row r="11" spans="1:15" ht="16.5" customHeight="1" x14ac:dyDescent="0.15">
      <c r="A11" s="41">
        <v>11</v>
      </c>
      <c r="B11" s="41">
        <v>9239</v>
      </c>
      <c r="C11" s="42" t="s">
        <v>15171</v>
      </c>
      <c r="D11" s="707" t="s">
        <v>412</v>
      </c>
      <c r="E11" s="798"/>
      <c r="F11" s="35"/>
      <c r="H11" s="163"/>
      <c r="I11" s="45"/>
      <c r="J11" s="46"/>
      <c r="K11" s="53"/>
      <c r="L11" s="245"/>
      <c r="M11" s="50"/>
      <c r="N11" s="47">
        <f>ROUND((_11_A通院２増１．０*_11・重度研修),0)</f>
        <v>124</v>
      </c>
      <c r="O11" s="48"/>
    </row>
    <row r="12" spans="1:15" ht="16.5" customHeight="1" x14ac:dyDescent="0.15">
      <c r="A12" s="41">
        <v>11</v>
      </c>
      <c r="B12" s="41">
        <v>9240</v>
      </c>
      <c r="C12" s="42" t="s">
        <v>15172</v>
      </c>
      <c r="D12" s="799"/>
      <c r="E12" s="796"/>
      <c r="F12" s="35"/>
      <c r="H12" s="281" t="s">
        <v>397</v>
      </c>
      <c r="I12" s="247" t="s">
        <v>398</v>
      </c>
      <c r="J12" s="46">
        <v>1</v>
      </c>
      <c r="K12" s="43"/>
      <c r="L12" s="220"/>
      <c r="M12" s="38"/>
      <c r="N12" s="47">
        <f>ROUND((ROUND((_11_A通院２増１．０*_11・重度研修),0)*_11・２人),0)</f>
        <v>124</v>
      </c>
      <c r="O12" s="48"/>
    </row>
    <row r="13" spans="1:15" ht="16.5" customHeight="1" x14ac:dyDescent="0.15">
      <c r="A13" s="41">
        <v>11</v>
      </c>
      <c r="B13" s="41" t="s">
        <v>15173</v>
      </c>
      <c r="C13" s="42" t="s">
        <v>15174</v>
      </c>
      <c r="D13" s="799"/>
      <c r="E13" s="796"/>
      <c r="F13" s="35"/>
      <c r="H13" s="163"/>
      <c r="I13" s="45"/>
      <c r="J13" s="46"/>
      <c r="K13" s="734" t="s">
        <v>404</v>
      </c>
      <c r="L13" s="219" t="s">
        <v>398</v>
      </c>
      <c r="M13" s="50">
        <f>_11・初任</f>
        <v>0.7</v>
      </c>
      <c r="N13" s="47">
        <f>ROUND((ROUND((_11_A通院２増１．０*_11・重度研修),0)*_11・初任),0)</f>
        <v>87</v>
      </c>
      <c r="O13" s="48"/>
    </row>
    <row r="14" spans="1:15" ht="16.5" customHeight="1" x14ac:dyDescent="0.15">
      <c r="A14" s="41">
        <v>11</v>
      </c>
      <c r="B14" s="41" t="s">
        <v>15175</v>
      </c>
      <c r="C14" s="42" t="s">
        <v>15176</v>
      </c>
      <c r="D14" s="274">
        <f>_11_A通院２増１．０</f>
        <v>138</v>
      </c>
      <c r="E14" s="10" t="s">
        <v>392</v>
      </c>
      <c r="F14" s="35"/>
      <c r="H14" s="281" t="s">
        <v>397</v>
      </c>
      <c r="I14" s="247" t="s">
        <v>398</v>
      </c>
      <c r="J14" s="46">
        <v>1</v>
      </c>
      <c r="K14" s="706"/>
      <c r="L14" s="220"/>
      <c r="M14" s="38"/>
      <c r="N14" s="47">
        <f>ROUND((ROUND((ROUND((_11_A通院２増１．０*_11・重度研修),0)*_11・２人),0)*_11・初任),0)</f>
        <v>87</v>
      </c>
      <c r="O14" s="48"/>
    </row>
    <row r="15" spans="1:15" ht="16.5" customHeight="1" x14ac:dyDescent="0.15">
      <c r="A15" s="41">
        <v>11</v>
      </c>
      <c r="B15" s="41">
        <v>9241</v>
      </c>
      <c r="C15" s="42" t="s">
        <v>15177</v>
      </c>
      <c r="D15" s="707" t="s">
        <v>425</v>
      </c>
      <c r="E15" s="798"/>
      <c r="F15" s="35"/>
      <c r="H15" s="163"/>
      <c r="I15" s="45"/>
      <c r="J15" s="46"/>
      <c r="K15" s="53"/>
      <c r="L15" s="245"/>
      <c r="M15" s="50"/>
      <c r="N15" s="47">
        <f>ROUND((_11_A通院２増１．５*_11・重度研修),0)</f>
        <v>186</v>
      </c>
      <c r="O15" s="48"/>
    </row>
    <row r="16" spans="1:15" ht="16.5" customHeight="1" x14ac:dyDescent="0.15">
      <c r="A16" s="41">
        <v>11</v>
      </c>
      <c r="B16" s="41">
        <v>9242</v>
      </c>
      <c r="C16" s="42" t="s">
        <v>15178</v>
      </c>
      <c r="D16" s="799"/>
      <c r="E16" s="796"/>
      <c r="F16" s="35"/>
      <c r="H16" s="281" t="s">
        <v>397</v>
      </c>
      <c r="I16" s="247" t="s">
        <v>398</v>
      </c>
      <c r="J16" s="46">
        <v>1</v>
      </c>
      <c r="K16" s="43"/>
      <c r="L16" s="220"/>
      <c r="M16" s="38"/>
      <c r="N16" s="47">
        <f>ROUND((ROUND((_11_A通院２増１．５*_11・重度研修),0)*_11・２人),0)</f>
        <v>186</v>
      </c>
      <c r="O16" s="48"/>
    </row>
    <row r="17" spans="1:15" ht="16.5" customHeight="1" x14ac:dyDescent="0.15">
      <c r="A17" s="41">
        <v>11</v>
      </c>
      <c r="B17" s="41" t="s">
        <v>15179</v>
      </c>
      <c r="C17" s="42" t="s">
        <v>15180</v>
      </c>
      <c r="D17" s="799"/>
      <c r="E17" s="796"/>
      <c r="F17" s="35"/>
      <c r="H17" s="163"/>
      <c r="I17" s="45"/>
      <c r="J17" s="46"/>
      <c r="K17" s="734" t="s">
        <v>404</v>
      </c>
      <c r="L17" s="219" t="s">
        <v>398</v>
      </c>
      <c r="M17" s="50">
        <f>_11・初任</f>
        <v>0.7</v>
      </c>
      <c r="N17" s="47">
        <f>ROUND((ROUND((_11_A通院２増１．５*_11・重度研修),0)*_11・初任),0)</f>
        <v>130</v>
      </c>
      <c r="O17" s="48"/>
    </row>
    <row r="18" spans="1:15" ht="16.5" customHeight="1" x14ac:dyDescent="0.15">
      <c r="A18" s="41">
        <v>11</v>
      </c>
      <c r="B18" s="41" t="s">
        <v>15181</v>
      </c>
      <c r="C18" s="42" t="s">
        <v>15182</v>
      </c>
      <c r="D18" s="274">
        <f>_11_A通院２増１．５</f>
        <v>207</v>
      </c>
      <c r="E18" s="10" t="s">
        <v>392</v>
      </c>
      <c r="F18" s="35"/>
      <c r="H18" s="281" t="s">
        <v>397</v>
      </c>
      <c r="I18" s="247" t="s">
        <v>398</v>
      </c>
      <c r="J18" s="46">
        <v>1</v>
      </c>
      <c r="K18" s="706"/>
      <c r="L18" s="220"/>
      <c r="M18" s="38"/>
      <c r="N18" s="47">
        <f>ROUND((ROUND((ROUND((_11_A通院２増１．５*_11・重度研修),0)*_11・２人),0)*_11・初任),0)</f>
        <v>130</v>
      </c>
      <c r="O18" s="48"/>
    </row>
    <row r="19" spans="1:15" ht="16.5" customHeight="1" x14ac:dyDescent="0.15">
      <c r="A19" s="41">
        <v>11</v>
      </c>
      <c r="B19" s="41">
        <v>9243</v>
      </c>
      <c r="C19" s="42" t="s">
        <v>15183</v>
      </c>
      <c r="D19" s="707" t="s">
        <v>438</v>
      </c>
      <c r="E19" s="798"/>
      <c r="F19" s="35"/>
      <c r="H19" s="163"/>
      <c r="I19" s="45"/>
      <c r="J19" s="46"/>
      <c r="K19" s="53"/>
      <c r="L19" s="245"/>
      <c r="M19" s="50"/>
      <c r="N19" s="47">
        <f>ROUND((_11_A通院２増２．０*_11・重度研修),0)</f>
        <v>248</v>
      </c>
      <c r="O19" s="48"/>
    </row>
    <row r="20" spans="1:15" ht="16.5" customHeight="1" x14ac:dyDescent="0.15">
      <c r="A20" s="41">
        <v>11</v>
      </c>
      <c r="B20" s="41">
        <v>9244</v>
      </c>
      <c r="C20" s="42" t="s">
        <v>15184</v>
      </c>
      <c r="D20" s="799"/>
      <c r="E20" s="796"/>
      <c r="F20" s="35"/>
      <c r="H20" s="281" t="s">
        <v>397</v>
      </c>
      <c r="I20" s="247" t="s">
        <v>398</v>
      </c>
      <c r="J20" s="46">
        <v>1</v>
      </c>
      <c r="K20" s="43"/>
      <c r="L20" s="220"/>
      <c r="M20" s="38"/>
      <c r="N20" s="47">
        <f>ROUND((ROUND((_11_A通院２増２．０*_11・重度研修),0)*_11・２人),0)</f>
        <v>248</v>
      </c>
      <c r="O20" s="48"/>
    </row>
    <row r="21" spans="1:15" ht="16.5" customHeight="1" x14ac:dyDescent="0.15">
      <c r="A21" s="41">
        <v>11</v>
      </c>
      <c r="B21" s="41" t="s">
        <v>15185</v>
      </c>
      <c r="C21" s="42" t="s">
        <v>15186</v>
      </c>
      <c r="D21" s="799"/>
      <c r="E21" s="796"/>
      <c r="F21" s="35"/>
      <c r="H21" s="163"/>
      <c r="I21" s="45"/>
      <c r="J21" s="46"/>
      <c r="K21" s="734" t="s">
        <v>404</v>
      </c>
      <c r="L21" s="219" t="s">
        <v>398</v>
      </c>
      <c r="M21" s="50">
        <f>_11・初任</f>
        <v>0.7</v>
      </c>
      <c r="N21" s="47">
        <f>ROUND((ROUND((_11_A通院２増２．０*_11・重度研修),0)*_11・初任),0)</f>
        <v>174</v>
      </c>
      <c r="O21" s="48"/>
    </row>
    <row r="22" spans="1:15" ht="16.5" customHeight="1" x14ac:dyDescent="0.15">
      <c r="A22" s="41">
        <v>11</v>
      </c>
      <c r="B22" s="41" t="s">
        <v>15187</v>
      </c>
      <c r="C22" s="42" t="s">
        <v>15188</v>
      </c>
      <c r="D22" s="274">
        <f>_11_A通院２増２．０</f>
        <v>276</v>
      </c>
      <c r="E22" s="10" t="s">
        <v>392</v>
      </c>
      <c r="F22" s="35"/>
      <c r="H22" s="281" t="s">
        <v>397</v>
      </c>
      <c r="I22" s="247" t="s">
        <v>398</v>
      </c>
      <c r="J22" s="46">
        <v>1</v>
      </c>
      <c r="K22" s="706"/>
      <c r="L22" s="220"/>
      <c r="M22" s="38"/>
      <c r="N22" s="47">
        <f>ROUND((ROUND((ROUND((_11_A通院２増２．０*_11・重度研修),0)*_11・２人),0)*_11・初任),0)</f>
        <v>174</v>
      </c>
      <c r="O22" s="48"/>
    </row>
    <row r="23" spans="1:15" ht="16.5" customHeight="1" x14ac:dyDescent="0.15">
      <c r="A23" s="41">
        <v>11</v>
      </c>
      <c r="B23" s="41">
        <v>9245</v>
      </c>
      <c r="C23" s="42" t="s">
        <v>15189</v>
      </c>
      <c r="D23" s="707" t="s">
        <v>451</v>
      </c>
      <c r="E23" s="798"/>
      <c r="F23" s="35"/>
      <c r="H23" s="163"/>
      <c r="I23" s="45"/>
      <c r="J23" s="46"/>
      <c r="K23" s="53"/>
      <c r="L23" s="245"/>
      <c r="M23" s="50"/>
      <c r="N23" s="47">
        <f>ROUND((_11_A通院２増２．５*_11・重度研修),0)</f>
        <v>311</v>
      </c>
      <c r="O23" s="48"/>
    </row>
    <row r="24" spans="1:15" ht="16.5" customHeight="1" x14ac:dyDescent="0.15">
      <c r="A24" s="41">
        <v>11</v>
      </c>
      <c r="B24" s="41">
        <v>9246</v>
      </c>
      <c r="C24" s="42" t="s">
        <v>15190</v>
      </c>
      <c r="D24" s="799"/>
      <c r="E24" s="796"/>
      <c r="F24" s="35"/>
      <c r="H24" s="281" t="s">
        <v>397</v>
      </c>
      <c r="I24" s="247" t="s">
        <v>398</v>
      </c>
      <c r="J24" s="46">
        <v>1</v>
      </c>
      <c r="K24" s="43"/>
      <c r="L24" s="220"/>
      <c r="M24" s="38"/>
      <c r="N24" s="47">
        <f>ROUND((ROUND((_11_A通院２増２．５*_11・重度研修),0)*_11・２人),0)</f>
        <v>311</v>
      </c>
      <c r="O24" s="48"/>
    </row>
    <row r="25" spans="1:15" ht="16.5" customHeight="1" x14ac:dyDescent="0.15">
      <c r="A25" s="41">
        <v>11</v>
      </c>
      <c r="B25" s="41" t="s">
        <v>15191</v>
      </c>
      <c r="C25" s="42" t="s">
        <v>15192</v>
      </c>
      <c r="D25" s="799"/>
      <c r="E25" s="796"/>
      <c r="F25" s="35"/>
      <c r="H25" s="163"/>
      <c r="I25" s="45"/>
      <c r="J25" s="46"/>
      <c r="K25" s="734" t="s">
        <v>404</v>
      </c>
      <c r="L25" s="219" t="s">
        <v>398</v>
      </c>
      <c r="M25" s="50">
        <f>_11・初任</f>
        <v>0.7</v>
      </c>
      <c r="N25" s="47">
        <f>ROUND((ROUND((_11_A通院２増２．５*_11・重度研修),0)*_11・初任),0)</f>
        <v>218</v>
      </c>
      <c r="O25" s="48"/>
    </row>
    <row r="26" spans="1:15" ht="16.5" customHeight="1" x14ac:dyDescent="0.15">
      <c r="A26" s="41">
        <v>11</v>
      </c>
      <c r="B26" s="41" t="s">
        <v>15193</v>
      </c>
      <c r="C26" s="42" t="s">
        <v>15194</v>
      </c>
      <c r="D26" s="274">
        <f>_11_A通院２増２．５</f>
        <v>345</v>
      </c>
      <c r="E26" s="10" t="s">
        <v>392</v>
      </c>
      <c r="F26" s="35"/>
      <c r="H26" s="281" t="s">
        <v>397</v>
      </c>
      <c r="I26" s="247" t="s">
        <v>398</v>
      </c>
      <c r="J26" s="46">
        <v>1</v>
      </c>
      <c r="K26" s="706"/>
      <c r="L26" s="220"/>
      <c r="M26" s="38"/>
      <c r="N26" s="47">
        <f>ROUND((ROUND((ROUND((_11_A通院２増２．５*_11・重度研修),0)*_11・２人),0)*_11・初任),0)</f>
        <v>218</v>
      </c>
      <c r="O26" s="48"/>
    </row>
    <row r="27" spans="1:15" ht="16.5" customHeight="1" x14ac:dyDescent="0.15">
      <c r="A27" s="41">
        <v>11</v>
      </c>
      <c r="B27" s="41">
        <v>9247</v>
      </c>
      <c r="C27" s="42" t="s">
        <v>15195</v>
      </c>
      <c r="D27" s="707" t="s">
        <v>464</v>
      </c>
      <c r="E27" s="798"/>
      <c r="F27" s="35"/>
      <c r="H27" s="163"/>
      <c r="I27" s="45"/>
      <c r="J27" s="46"/>
      <c r="K27" s="53"/>
      <c r="L27" s="245"/>
      <c r="M27" s="50"/>
      <c r="N27" s="47">
        <f>ROUND((_11_A通院２増３．０*_11・重度研修),0)</f>
        <v>373</v>
      </c>
      <c r="O27" s="48"/>
    </row>
    <row r="28" spans="1:15" ht="16.5" customHeight="1" x14ac:dyDescent="0.15">
      <c r="A28" s="41">
        <v>11</v>
      </c>
      <c r="B28" s="41">
        <v>9248</v>
      </c>
      <c r="C28" s="42" t="s">
        <v>15196</v>
      </c>
      <c r="D28" s="799"/>
      <c r="E28" s="796"/>
      <c r="F28" s="35"/>
      <c r="H28" s="281" t="s">
        <v>397</v>
      </c>
      <c r="I28" s="247" t="s">
        <v>398</v>
      </c>
      <c r="J28" s="46">
        <v>1</v>
      </c>
      <c r="K28" s="43"/>
      <c r="L28" s="220"/>
      <c r="M28" s="38"/>
      <c r="N28" s="47">
        <f>ROUND((ROUND((_11_A通院２増３．０*_11・重度研修),0)*_11・２人),0)</f>
        <v>373</v>
      </c>
      <c r="O28" s="48"/>
    </row>
    <row r="29" spans="1:15" ht="16.5" customHeight="1" x14ac:dyDescent="0.15">
      <c r="A29" s="41">
        <v>11</v>
      </c>
      <c r="B29" s="41" t="s">
        <v>15197</v>
      </c>
      <c r="C29" s="42" t="s">
        <v>15198</v>
      </c>
      <c r="D29" s="799"/>
      <c r="E29" s="796"/>
      <c r="F29" s="35"/>
      <c r="H29" s="163"/>
      <c r="I29" s="45"/>
      <c r="J29" s="46"/>
      <c r="K29" s="734" t="s">
        <v>404</v>
      </c>
      <c r="L29" s="219" t="s">
        <v>398</v>
      </c>
      <c r="M29" s="50">
        <f>_11・初任</f>
        <v>0.7</v>
      </c>
      <c r="N29" s="47">
        <f>ROUND((ROUND((_11_A通院２増３．０*_11・重度研修),0)*_11・初任),0)</f>
        <v>261</v>
      </c>
      <c r="O29" s="48"/>
    </row>
    <row r="30" spans="1:15" ht="16.5" customHeight="1" x14ac:dyDescent="0.15">
      <c r="A30" s="41">
        <v>11</v>
      </c>
      <c r="B30" s="41" t="s">
        <v>15199</v>
      </c>
      <c r="C30" s="42" t="s">
        <v>15200</v>
      </c>
      <c r="D30" s="274">
        <f>_11_A通院２増３．０</f>
        <v>414</v>
      </c>
      <c r="E30" s="10" t="s">
        <v>392</v>
      </c>
      <c r="F30" s="35"/>
      <c r="H30" s="281" t="s">
        <v>397</v>
      </c>
      <c r="I30" s="247" t="s">
        <v>398</v>
      </c>
      <c r="J30" s="46">
        <v>1</v>
      </c>
      <c r="K30" s="706"/>
      <c r="L30" s="220"/>
      <c r="M30" s="38"/>
      <c r="N30" s="47">
        <f>ROUND((ROUND((ROUND((_11_A通院２増３．０*_11・重度研修),0)*_11・２人),0)*_11・初任),0)</f>
        <v>261</v>
      </c>
      <c r="O30" s="48"/>
    </row>
    <row r="31" spans="1:15" ht="16.5" customHeight="1" x14ac:dyDescent="0.15">
      <c r="A31" s="41">
        <v>11</v>
      </c>
      <c r="B31" s="41">
        <v>9249</v>
      </c>
      <c r="C31" s="42" t="s">
        <v>15201</v>
      </c>
      <c r="D31" s="707" t="s">
        <v>477</v>
      </c>
      <c r="E31" s="798"/>
      <c r="F31" s="35"/>
      <c r="H31" s="163"/>
      <c r="I31" s="45"/>
      <c r="J31" s="46"/>
      <c r="K31" s="53"/>
      <c r="L31" s="245"/>
      <c r="M31" s="50"/>
      <c r="N31" s="47">
        <f>ROUND((_11_A通院２増３．５*_11・重度研修),0)</f>
        <v>435</v>
      </c>
      <c r="O31" s="48"/>
    </row>
    <row r="32" spans="1:15" ht="16.5" customHeight="1" x14ac:dyDescent="0.15">
      <c r="A32" s="41">
        <v>11</v>
      </c>
      <c r="B32" s="41">
        <v>9250</v>
      </c>
      <c r="C32" s="42" t="s">
        <v>15202</v>
      </c>
      <c r="D32" s="799"/>
      <c r="E32" s="796"/>
      <c r="F32" s="35"/>
      <c r="H32" s="281" t="s">
        <v>397</v>
      </c>
      <c r="I32" s="247" t="s">
        <v>398</v>
      </c>
      <c r="J32" s="46">
        <v>1</v>
      </c>
      <c r="K32" s="43"/>
      <c r="L32" s="220"/>
      <c r="M32" s="38"/>
      <c r="N32" s="47">
        <f>ROUND((ROUND((_11_A通院２増３．５*_11・重度研修),0)*_11・２人),0)</f>
        <v>435</v>
      </c>
      <c r="O32" s="48"/>
    </row>
    <row r="33" spans="1:15" ht="16.5" customHeight="1" x14ac:dyDescent="0.15">
      <c r="A33" s="41">
        <v>11</v>
      </c>
      <c r="B33" s="41" t="s">
        <v>15203</v>
      </c>
      <c r="C33" s="42" t="s">
        <v>15204</v>
      </c>
      <c r="D33" s="799"/>
      <c r="E33" s="796"/>
      <c r="F33" s="35"/>
      <c r="H33" s="163"/>
      <c r="I33" s="45"/>
      <c r="J33" s="46"/>
      <c r="K33" s="734" t="s">
        <v>404</v>
      </c>
      <c r="L33" s="219" t="s">
        <v>398</v>
      </c>
      <c r="M33" s="50">
        <f>_11・初任</f>
        <v>0.7</v>
      </c>
      <c r="N33" s="47">
        <f>ROUND((ROUND((_11_A通院２増３．５*_11・重度研修),0)*_11・初任),0)</f>
        <v>305</v>
      </c>
      <c r="O33" s="48"/>
    </row>
    <row r="34" spans="1:15" ht="16.5" customHeight="1" x14ac:dyDescent="0.15">
      <c r="A34" s="41">
        <v>11</v>
      </c>
      <c r="B34" s="41" t="s">
        <v>15205</v>
      </c>
      <c r="C34" s="42" t="s">
        <v>15206</v>
      </c>
      <c r="D34" s="274">
        <f>_11_A通院２増３．５</f>
        <v>483</v>
      </c>
      <c r="E34" s="10" t="s">
        <v>392</v>
      </c>
      <c r="F34" s="35"/>
      <c r="H34" s="281" t="s">
        <v>397</v>
      </c>
      <c r="I34" s="247" t="s">
        <v>398</v>
      </c>
      <c r="J34" s="46">
        <v>1</v>
      </c>
      <c r="K34" s="706"/>
      <c r="L34" s="220"/>
      <c r="M34" s="38"/>
      <c r="N34" s="47">
        <f>ROUND((ROUND((ROUND((_11_A通院２増３．５*_11・重度研修),0)*_11・２人),0)*_11・初任),0)</f>
        <v>305</v>
      </c>
      <c r="O34" s="48"/>
    </row>
    <row r="35" spans="1:15" ht="16.5" customHeight="1" x14ac:dyDescent="0.15">
      <c r="A35" s="41">
        <v>11</v>
      </c>
      <c r="B35" s="41">
        <v>9251</v>
      </c>
      <c r="C35" s="42" t="s">
        <v>15207</v>
      </c>
      <c r="D35" s="707" t="s">
        <v>2761</v>
      </c>
      <c r="E35" s="798"/>
      <c r="F35" s="35"/>
      <c r="H35" s="163"/>
      <c r="I35" s="45"/>
      <c r="J35" s="46"/>
      <c r="K35" s="53"/>
      <c r="L35" s="245"/>
      <c r="M35" s="50"/>
      <c r="N35" s="47">
        <f>ROUND((_11_A通院２増４．０*_11・重度研修),0)</f>
        <v>497</v>
      </c>
      <c r="O35" s="48"/>
    </row>
    <row r="36" spans="1:15" ht="16.5" customHeight="1" x14ac:dyDescent="0.15">
      <c r="A36" s="41">
        <v>11</v>
      </c>
      <c r="B36" s="41">
        <v>9252</v>
      </c>
      <c r="C36" s="42" t="s">
        <v>15208</v>
      </c>
      <c r="D36" s="799"/>
      <c r="E36" s="796"/>
      <c r="F36" s="35"/>
      <c r="H36" s="281" t="s">
        <v>397</v>
      </c>
      <c r="I36" s="247" t="s">
        <v>398</v>
      </c>
      <c r="J36" s="46">
        <v>1</v>
      </c>
      <c r="K36" s="43"/>
      <c r="L36" s="220"/>
      <c r="M36" s="38"/>
      <c r="N36" s="47">
        <f>ROUND((ROUND((_11_A通院２増４．０*_11・重度研修),0)*_11・２人),0)</f>
        <v>497</v>
      </c>
      <c r="O36" s="48"/>
    </row>
    <row r="37" spans="1:15" ht="16.5" customHeight="1" x14ac:dyDescent="0.15">
      <c r="A37" s="41">
        <v>11</v>
      </c>
      <c r="B37" s="41" t="s">
        <v>15209</v>
      </c>
      <c r="C37" s="42" t="s">
        <v>15210</v>
      </c>
      <c r="D37" s="799"/>
      <c r="E37" s="796"/>
      <c r="F37" s="35"/>
      <c r="H37" s="163"/>
      <c r="I37" s="45"/>
      <c r="J37" s="46"/>
      <c r="K37" s="734" t="s">
        <v>404</v>
      </c>
      <c r="L37" s="219" t="s">
        <v>398</v>
      </c>
      <c r="M37" s="50">
        <f>_11・初任</f>
        <v>0.7</v>
      </c>
      <c r="N37" s="47">
        <f>ROUND((ROUND((_11_A通院２増４．０*_11・重度研修),0)*_11・初任),0)</f>
        <v>348</v>
      </c>
      <c r="O37" s="48"/>
    </row>
    <row r="38" spans="1:15" ht="16.5" customHeight="1" x14ac:dyDescent="0.15">
      <c r="A38" s="41">
        <v>11</v>
      </c>
      <c r="B38" s="41" t="s">
        <v>15211</v>
      </c>
      <c r="C38" s="42" t="s">
        <v>15212</v>
      </c>
      <c r="D38" s="274">
        <f>_11_A通院２増４．０</f>
        <v>552</v>
      </c>
      <c r="E38" s="10" t="s">
        <v>392</v>
      </c>
      <c r="F38" s="35"/>
      <c r="H38" s="281" t="s">
        <v>397</v>
      </c>
      <c r="I38" s="247" t="s">
        <v>398</v>
      </c>
      <c r="J38" s="46">
        <v>1</v>
      </c>
      <c r="K38" s="706"/>
      <c r="L38" s="220"/>
      <c r="M38" s="38"/>
      <c r="N38" s="47">
        <f>ROUND((ROUND((ROUND((_11_A通院２増４．０*_11・重度研修),0)*_11・２人),0)*_11・初任),0)</f>
        <v>348</v>
      </c>
      <c r="O38" s="48"/>
    </row>
    <row r="39" spans="1:15" ht="16.5" customHeight="1" x14ac:dyDescent="0.15">
      <c r="A39" s="41">
        <v>11</v>
      </c>
      <c r="B39" s="41">
        <v>9253</v>
      </c>
      <c r="C39" s="42" t="s">
        <v>15213</v>
      </c>
      <c r="D39" s="707" t="s">
        <v>503</v>
      </c>
      <c r="E39" s="798"/>
      <c r="F39" s="35"/>
      <c r="H39" s="163"/>
      <c r="I39" s="45"/>
      <c r="J39" s="46"/>
      <c r="K39" s="53"/>
      <c r="L39" s="245"/>
      <c r="M39" s="50"/>
      <c r="N39" s="47">
        <f>ROUND((_11_A通院２増４．５*_11・重度研修),0)</f>
        <v>559</v>
      </c>
      <c r="O39" s="48"/>
    </row>
    <row r="40" spans="1:15" ht="16.5" customHeight="1" x14ac:dyDescent="0.15">
      <c r="A40" s="41">
        <v>11</v>
      </c>
      <c r="B40" s="41">
        <v>9254</v>
      </c>
      <c r="C40" s="42" t="s">
        <v>15214</v>
      </c>
      <c r="D40" s="799"/>
      <c r="E40" s="796"/>
      <c r="F40" s="35"/>
      <c r="H40" s="281" t="s">
        <v>397</v>
      </c>
      <c r="I40" s="247" t="s">
        <v>398</v>
      </c>
      <c r="J40" s="46">
        <v>1</v>
      </c>
      <c r="K40" s="43"/>
      <c r="L40" s="220"/>
      <c r="M40" s="38"/>
      <c r="N40" s="47">
        <f>ROUND((ROUND((_11_A通院２増４．５*_11・重度研修),0)*_11・２人),0)</f>
        <v>559</v>
      </c>
      <c r="O40" s="48"/>
    </row>
    <row r="41" spans="1:15" ht="16.5" customHeight="1" x14ac:dyDescent="0.15">
      <c r="A41" s="41">
        <v>11</v>
      </c>
      <c r="B41" s="41" t="s">
        <v>15215</v>
      </c>
      <c r="C41" s="42" t="s">
        <v>15216</v>
      </c>
      <c r="D41" s="799"/>
      <c r="E41" s="796"/>
      <c r="F41" s="35"/>
      <c r="H41" s="163"/>
      <c r="I41" s="45"/>
      <c r="J41" s="46"/>
      <c r="K41" s="734" t="s">
        <v>404</v>
      </c>
      <c r="L41" s="219" t="s">
        <v>398</v>
      </c>
      <c r="M41" s="50">
        <f>_11・初任</f>
        <v>0.7</v>
      </c>
      <c r="N41" s="47">
        <f>ROUND((ROUND((_11_A通院２増４．５*_11・重度研修),0)*_11・初任),0)</f>
        <v>391</v>
      </c>
      <c r="O41" s="48"/>
    </row>
    <row r="42" spans="1:15" ht="16.5" customHeight="1" x14ac:dyDescent="0.15">
      <c r="A42" s="41">
        <v>11</v>
      </c>
      <c r="B42" s="41" t="s">
        <v>15217</v>
      </c>
      <c r="C42" s="42" t="s">
        <v>15218</v>
      </c>
      <c r="D42" s="274">
        <f>_11_A通院２増４．５</f>
        <v>621</v>
      </c>
      <c r="E42" s="10" t="s">
        <v>392</v>
      </c>
      <c r="F42" s="35"/>
      <c r="H42" s="281" t="s">
        <v>397</v>
      </c>
      <c r="I42" s="247" t="s">
        <v>398</v>
      </c>
      <c r="J42" s="46">
        <v>1</v>
      </c>
      <c r="K42" s="706"/>
      <c r="L42" s="220"/>
      <c r="M42" s="38"/>
      <c r="N42" s="47">
        <f>ROUND((ROUND((ROUND((_11_A通院２増４．５*_11・重度研修),0)*_11・２人),0)*_11・初任),0)</f>
        <v>391</v>
      </c>
      <c r="O42" s="48"/>
    </row>
    <row r="43" spans="1:15" ht="16.5" customHeight="1" x14ac:dyDescent="0.15">
      <c r="A43" s="41">
        <v>11</v>
      </c>
      <c r="B43" s="41">
        <v>9255</v>
      </c>
      <c r="C43" s="42" t="s">
        <v>15219</v>
      </c>
      <c r="D43" s="707" t="s">
        <v>516</v>
      </c>
      <c r="E43" s="798"/>
      <c r="F43" s="35"/>
      <c r="H43" s="163"/>
      <c r="I43" s="45"/>
      <c r="J43" s="46"/>
      <c r="K43" s="53"/>
      <c r="L43" s="245"/>
      <c r="M43" s="50"/>
      <c r="N43" s="47">
        <f>ROUND((_11_A通院２増５．０*_11・重度研修),0)</f>
        <v>621</v>
      </c>
      <c r="O43" s="48"/>
    </row>
    <row r="44" spans="1:15" ht="16.5" customHeight="1" x14ac:dyDescent="0.15">
      <c r="A44" s="41">
        <v>11</v>
      </c>
      <c r="B44" s="41">
        <v>9256</v>
      </c>
      <c r="C44" s="42" t="s">
        <v>15220</v>
      </c>
      <c r="D44" s="799"/>
      <c r="E44" s="796"/>
      <c r="F44" s="35"/>
      <c r="H44" s="281" t="s">
        <v>397</v>
      </c>
      <c r="I44" s="247" t="s">
        <v>398</v>
      </c>
      <c r="J44" s="46">
        <v>1</v>
      </c>
      <c r="K44" s="43"/>
      <c r="L44" s="220"/>
      <c r="M44" s="38"/>
      <c r="N44" s="47">
        <f>ROUND((ROUND((_11_A通院２増５．０*_11・重度研修),0)*_11・２人),0)</f>
        <v>621</v>
      </c>
      <c r="O44" s="48"/>
    </row>
    <row r="45" spans="1:15" ht="16.5" customHeight="1" x14ac:dyDescent="0.15">
      <c r="A45" s="41">
        <v>11</v>
      </c>
      <c r="B45" s="41" t="s">
        <v>15221</v>
      </c>
      <c r="C45" s="42" t="s">
        <v>15222</v>
      </c>
      <c r="D45" s="799"/>
      <c r="E45" s="796"/>
      <c r="F45" s="35"/>
      <c r="H45" s="163"/>
      <c r="I45" s="45"/>
      <c r="J45" s="46"/>
      <c r="K45" s="734" t="s">
        <v>404</v>
      </c>
      <c r="L45" s="219" t="s">
        <v>398</v>
      </c>
      <c r="M45" s="50">
        <f>_11・初任</f>
        <v>0.7</v>
      </c>
      <c r="N45" s="47">
        <f>ROUND((ROUND((_11_A通院２増５．０*_11・重度研修),0)*_11・初任),0)</f>
        <v>435</v>
      </c>
      <c r="O45" s="48"/>
    </row>
    <row r="46" spans="1:15" ht="16.5" customHeight="1" x14ac:dyDescent="0.15">
      <c r="A46" s="41">
        <v>11</v>
      </c>
      <c r="B46" s="41" t="s">
        <v>15223</v>
      </c>
      <c r="C46" s="42" t="s">
        <v>15224</v>
      </c>
      <c r="D46" s="274">
        <f>_11_A通院２増５．０</f>
        <v>690</v>
      </c>
      <c r="E46" s="10" t="s">
        <v>392</v>
      </c>
      <c r="F46" s="35"/>
      <c r="H46" s="281" t="s">
        <v>397</v>
      </c>
      <c r="I46" s="247" t="s">
        <v>398</v>
      </c>
      <c r="J46" s="46">
        <v>1</v>
      </c>
      <c r="K46" s="706"/>
      <c r="L46" s="220"/>
      <c r="M46" s="38"/>
      <c r="N46" s="47">
        <f>ROUND((ROUND((ROUND((_11_A通院２増５．０*_11・重度研修),0)*_11・２人),0)*_11・初任),0)</f>
        <v>435</v>
      </c>
      <c r="O46" s="48"/>
    </row>
    <row r="47" spans="1:15" ht="16.5" customHeight="1" x14ac:dyDescent="0.15">
      <c r="A47" s="41">
        <v>11</v>
      </c>
      <c r="B47" s="41">
        <v>9257</v>
      </c>
      <c r="C47" s="42" t="s">
        <v>15225</v>
      </c>
      <c r="D47" s="707" t="s">
        <v>529</v>
      </c>
      <c r="E47" s="798"/>
      <c r="F47" s="35"/>
      <c r="H47" s="163"/>
      <c r="I47" s="45"/>
      <c r="J47" s="46"/>
      <c r="K47" s="53"/>
      <c r="L47" s="245"/>
      <c r="M47" s="49"/>
      <c r="N47" s="47">
        <f>ROUND((_11_A通院２増５．５*_11・重度研修),0)</f>
        <v>683</v>
      </c>
      <c r="O47" s="48"/>
    </row>
    <row r="48" spans="1:15" ht="16.5" customHeight="1" x14ac:dyDescent="0.15">
      <c r="A48" s="41">
        <v>11</v>
      </c>
      <c r="B48" s="41">
        <v>9258</v>
      </c>
      <c r="C48" s="42" t="s">
        <v>15226</v>
      </c>
      <c r="D48" s="799"/>
      <c r="E48" s="796"/>
      <c r="F48" s="35"/>
      <c r="H48" s="281" t="s">
        <v>397</v>
      </c>
      <c r="I48" s="247" t="s">
        <v>398</v>
      </c>
      <c r="J48" s="46">
        <v>1</v>
      </c>
      <c r="K48" s="43"/>
      <c r="L48" s="220"/>
      <c r="M48" s="37"/>
      <c r="N48" s="47">
        <f>ROUND((ROUND((_11_A通院２増５．５*_11・重度研修),0)*_11・２人),0)</f>
        <v>683</v>
      </c>
      <c r="O48" s="48"/>
    </row>
    <row r="49" spans="1:15" ht="16.5" customHeight="1" x14ac:dyDescent="0.15">
      <c r="A49" s="41">
        <v>11</v>
      </c>
      <c r="B49" s="41" t="s">
        <v>15227</v>
      </c>
      <c r="C49" s="42" t="s">
        <v>15228</v>
      </c>
      <c r="D49" s="799"/>
      <c r="E49" s="796"/>
      <c r="F49" s="35"/>
      <c r="H49" s="163"/>
      <c r="I49" s="45"/>
      <c r="J49" s="46"/>
      <c r="K49" s="734" t="s">
        <v>404</v>
      </c>
      <c r="L49" s="219" t="s">
        <v>398</v>
      </c>
      <c r="M49" s="50">
        <f>_11・初任</f>
        <v>0.7</v>
      </c>
      <c r="N49" s="47">
        <f>ROUND((ROUND((_11_A通院２増５．５*_11・重度研修),0)*_11・初任),0)</f>
        <v>478</v>
      </c>
      <c r="O49" s="48"/>
    </row>
    <row r="50" spans="1:15" ht="16.5" customHeight="1" x14ac:dyDescent="0.15">
      <c r="A50" s="41">
        <v>11</v>
      </c>
      <c r="B50" s="41" t="s">
        <v>15229</v>
      </c>
      <c r="C50" s="42" t="s">
        <v>15230</v>
      </c>
      <c r="D50" s="274">
        <f>_11_A通院２増５．５</f>
        <v>759</v>
      </c>
      <c r="E50" s="10" t="s">
        <v>392</v>
      </c>
      <c r="F50" s="35"/>
      <c r="H50" s="281" t="s">
        <v>397</v>
      </c>
      <c r="I50" s="247" t="s">
        <v>398</v>
      </c>
      <c r="J50" s="46">
        <v>1</v>
      </c>
      <c r="K50" s="706"/>
      <c r="L50" s="220"/>
      <c r="M50" s="38"/>
      <c r="N50" s="47">
        <f>ROUND((ROUND((ROUND((_11_A通院２増５．５*_11・重度研修),0)*_11・２人),0)*_11・初任),0)</f>
        <v>478</v>
      </c>
      <c r="O50" s="48"/>
    </row>
    <row r="51" spans="1:15" ht="16.5" customHeight="1" x14ac:dyDescent="0.15">
      <c r="A51" s="41">
        <v>11</v>
      </c>
      <c r="B51" s="41">
        <v>9259</v>
      </c>
      <c r="C51" s="42" t="s">
        <v>15231</v>
      </c>
      <c r="D51" s="707" t="s">
        <v>542</v>
      </c>
      <c r="E51" s="798"/>
      <c r="F51" s="35"/>
      <c r="H51" s="163"/>
      <c r="I51" s="45"/>
      <c r="J51" s="46"/>
      <c r="K51" s="53"/>
      <c r="L51" s="245"/>
      <c r="M51" s="50"/>
      <c r="N51" s="47">
        <f>ROUND((_11_A通院２増６．０*_11・重度研修),0)</f>
        <v>745</v>
      </c>
      <c r="O51" s="48"/>
    </row>
    <row r="52" spans="1:15" ht="16.5" customHeight="1" x14ac:dyDescent="0.15">
      <c r="A52" s="41">
        <v>11</v>
      </c>
      <c r="B52" s="41">
        <v>9260</v>
      </c>
      <c r="C52" s="42" t="s">
        <v>15232</v>
      </c>
      <c r="D52" s="799"/>
      <c r="E52" s="796"/>
      <c r="F52" s="35"/>
      <c r="H52" s="281" t="s">
        <v>397</v>
      </c>
      <c r="I52" s="247" t="s">
        <v>398</v>
      </c>
      <c r="J52" s="46">
        <v>1</v>
      </c>
      <c r="K52" s="43"/>
      <c r="L52" s="220"/>
      <c r="M52" s="38"/>
      <c r="N52" s="47">
        <f>ROUND((ROUND((_11_A通院２増６．０*_11・重度研修),0)*_11・２人),0)</f>
        <v>745</v>
      </c>
      <c r="O52" s="48"/>
    </row>
    <row r="53" spans="1:15" ht="16.5" customHeight="1" x14ac:dyDescent="0.15">
      <c r="A53" s="41">
        <v>11</v>
      </c>
      <c r="B53" s="41" t="s">
        <v>15233</v>
      </c>
      <c r="C53" s="42" t="s">
        <v>15234</v>
      </c>
      <c r="D53" s="799"/>
      <c r="E53" s="796"/>
      <c r="F53" s="35"/>
      <c r="H53" s="163"/>
      <c r="I53" s="45"/>
      <c r="J53" s="46"/>
      <c r="K53" s="734" t="s">
        <v>404</v>
      </c>
      <c r="L53" s="219" t="s">
        <v>398</v>
      </c>
      <c r="M53" s="50">
        <f>_11・初任</f>
        <v>0.7</v>
      </c>
      <c r="N53" s="47">
        <f>ROUND((ROUND((_11_A通院２増６．０*_11・重度研修),0)*_11・初任),0)</f>
        <v>522</v>
      </c>
      <c r="O53" s="48"/>
    </row>
    <row r="54" spans="1:15" ht="16.5" customHeight="1" x14ac:dyDescent="0.15">
      <c r="A54" s="41">
        <v>11</v>
      </c>
      <c r="B54" s="41" t="s">
        <v>15235</v>
      </c>
      <c r="C54" s="42" t="s">
        <v>15236</v>
      </c>
      <c r="D54" s="274">
        <f>_11_A通院２増６．０</f>
        <v>828</v>
      </c>
      <c r="E54" s="10" t="s">
        <v>392</v>
      </c>
      <c r="F54" s="35"/>
      <c r="H54" s="281" t="s">
        <v>397</v>
      </c>
      <c r="I54" s="247" t="s">
        <v>398</v>
      </c>
      <c r="J54" s="46">
        <v>1</v>
      </c>
      <c r="K54" s="706"/>
      <c r="L54" s="220"/>
      <c r="M54" s="38"/>
      <c r="N54" s="47">
        <f>ROUND((ROUND((ROUND((_11_A通院２増６．０*_11・重度研修),0)*_11・２人),0)*_11・初任),0)</f>
        <v>522</v>
      </c>
      <c r="O54" s="48"/>
    </row>
    <row r="55" spans="1:15" ht="16.5" customHeight="1" x14ac:dyDescent="0.15">
      <c r="A55" s="41">
        <v>11</v>
      </c>
      <c r="B55" s="41">
        <v>9261</v>
      </c>
      <c r="C55" s="42" t="s">
        <v>15237</v>
      </c>
      <c r="D55" s="707" t="s">
        <v>555</v>
      </c>
      <c r="E55" s="798"/>
      <c r="F55" s="35"/>
      <c r="H55" s="163"/>
      <c r="I55" s="45"/>
      <c r="J55" s="46"/>
      <c r="K55" s="53"/>
      <c r="L55" s="245"/>
      <c r="M55" s="49"/>
      <c r="N55" s="47">
        <f>ROUND((_11_A通院２増６．５*_11・重度研修),0)</f>
        <v>807</v>
      </c>
      <c r="O55" s="48"/>
    </row>
    <row r="56" spans="1:15" ht="16.5" customHeight="1" x14ac:dyDescent="0.15">
      <c r="A56" s="41">
        <v>11</v>
      </c>
      <c r="B56" s="41">
        <v>9262</v>
      </c>
      <c r="C56" s="42" t="s">
        <v>15238</v>
      </c>
      <c r="D56" s="799"/>
      <c r="E56" s="796"/>
      <c r="F56" s="35"/>
      <c r="H56" s="281" t="s">
        <v>397</v>
      </c>
      <c r="I56" s="247" t="s">
        <v>398</v>
      </c>
      <c r="J56" s="46">
        <v>1</v>
      </c>
      <c r="K56" s="43"/>
      <c r="L56" s="220"/>
      <c r="M56" s="37"/>
      <c r="N56" s="47">
        <f>ROUND((ROUND((_11_A通院２増６．５*_11・重度研修),0)*_11・２人),0)</f>
        <v>807</v>
      </c>
      <c r="O56" s="48"/>
    </row>
    <row r="57" spans="1:15" ht="16.5" customHeight="1" x14ac:dyDescent="0.15">
      <c r="A57" s="41">
        <v>11</v>
      </c>
      <c r="B57" s="41" t="s">
        <v>15239</v>
      </c>
      <c r="C57" s="42" t="s">
        <v>15240</v>
      </c>
      <c r="D57" s="799"/>
      <c r="E57" s="796"/>
      <c r="F57" s="35"/>
      <c r="H57" s="163"/>
      <c r="I57" s="45"/>
      <c r="J57" s="46"/>
      <c r="K57" s="734" t="s">
        <v>404</v>
      </c>
      <c r="L57" s="219" t="s">
        <v>398</v>
      </c>
      <c r="M57" s="50">
        <f>_11・初任</f>
        <v>0.7</v>
      </c>
      <c r="N57" s="47">
        <f>ROUND((ROUND((_11_A通院２増６．５*_11・重度研修),0)*_11・初任),0)</f>
        <v>565</v>
      </c>
      <c r="O57" s="48"/>
    </row>
    <row r="58" spans="1:15" ht="16.5" customHeight="1" x14ac:dyDescent="0.15">
      <c r="A58" s="41">
        <v>11</v>
      </c>
      <c r="B58" s="41" t="s">
        <v>15241</v>
      </c>
      <c r="C58" s="42" t="s">
        <v>15242</v>
      </c>
      <c r="D58" s="274">
        <f>_11_A通院２増６．５</f>
        <v>897</v>
      </c>
      <c r="E58" s="10" t="s">
        <v>392</v>
      </c>
      <c r="F58" s="35"/>
      <c r="H58" s="281" t="s">
        <v>397</v>
      </c>
      <c r="I58" s="247" t="s">
        <v>398</v>
      </c>
      <c r="J58" s="46">
        <v>1</v>
      </c>
      <c r="K58" s="706"/>
      <c r="L58" s="220"/>
      <c r="M58" s="38"/>
      <c r="N58" s="47">
        <f>ROUND((ROUND((ROUND((_11_A通院２増６．５*_11・重度研修),0)*_11・２人),0)*_11・初任),0)</f>
        <v>565</v>
      </c>
      <c r="O58" s="48"/>
    </row>
    <row r="59" spans="1:15" ht="16.5" customHeight="1" x14ac:dyDescent="0.15">
      <c r="A59" s="41">
        <v>11</v>
      </c>
      <c r="B59" s="41">
        <v>9263</v>
      </c>
      <c r="C59" s="42" t="s">
        <v>15243</v>
      </c>
      <c r="D59" s="707" t="s">
        <v>568</v>
      </c>
      <c r="E59" s="798"/>
      <c r="F59" s="35"/>
      <c r="H59" s="163"/>
      <c r="I59" s="45"/>
      <c r="J59" s="46"/>
      <c r="K59" s="53"/>
      <c r="L59" s="245"/>
      <c r="M59" s="50"/>
      <c r="N59" s="47">
        <f>ROUND((_11_A通院２増７．０*_11・重度研修),0)</f>
        <v>869</v>
      </c>
      <c r="O59" s="48"/>
    </row>
    <row r="60" spans="1:15" ht="16.5" customHeight="1" x14ac:dyDescent="0.15">
      <c r="A60" s="41">
        <v>11</v>
      </c>
      <c r="B60" s="41">
        <v>9264</v>
      </c>
      <c r="C60" s="42" t="s">
        <v>15244</v>
      </c>
      <c r="D60" s="799"/>
      <c r="E60" s="796"/>
      <c r="F60" s="35"/>
      <c r="H60" s="281" t="s">
        <v>397</v>
      </c>
      <c r="I60" s="247" t="s">
        <v>398</v>
      </c>
      <c r="J60" s="46">
        <v>1</v>
      </c>
      <c r="K60" s="43"/>
      <c r="L60" s="220"/>
      <c r="M60" s="38"/>
      <c r="N60" s="47">
        <f>ROUND((ROUND((_11_A通院２増７．０*_11・重度研修),0)*_11・２人),0)</f>
        <v>869</v>
      </c>
      <c r="O60" s="48"/>
    </row>
    <row r="61" spans="1:15" ht="16.5" customHeight="1" x14ac:dyDescent="0.15">
      <c r="A61" s="41">
        <v>11</v>
      </c>
      <c r="B61" s="41" t="s">
        <v>15245</v>
      </c>
      <c r="C61" s="42" t="s">
        <v>15246</v>
      </c>
      <c r="D61" s="799"/>
      <c r="E61" s="796"/>
      <c r="F61" s="35"/>
      <c r="H61" s="163"/>
      <c r="I61" s="45"/>
      <c r="J61" s="46"/>
      <c r="K61" s="734" t="s">
        <v>404</v>
      </c>
      <c r="L61" s="219" t="s">
        <v>398</v>
      </c>
      <c r="M61" s="50">
        <f>_11・初任</f>
        <v>0.7</v>
      </c>
      <c r="N61" s="47">
        <f>ROUND((ROUND((_11_A通院２増７．０*_11・重度研修),0)*_11・初任),0)</f>
        <v>608</v>
      </c>
      <c r="O61" s="48"/>
    </row>
    <row r="62" spans="1:15" ht="16.5" customHeight="1" x14ac:dyDescent="0.15">
      <c r="A62" s="41">
        <v>11</v>
      </c>
      <c r="B62" s="41" t="s">
        <v>15247</v>
      </c>
      <c r="C62" s="42" t="s">
        <v>15248</v>
      </c>
      <c r="D62" s="274">
        <f>_11_A通院２増７．０</f>
        <v>966</v>
      </c>
      <c r="E62" s="10" t="s">
        <v>392</v>
      </c>
      <c r="F62" s="35"/>
      <c r="H62" s="281" t="s">
        <v>397</v>
      </c>
      <c r="I62" s="247" t="s">
        <v>398</v>
      </c>
      <c r="J62" s="46">
        <v>1</v>
      </c>
      <c r="K62" s="706"/>
      <c r="L62" s="220"/>
      <c r="M62" s="38"/>
      <c r="N62" s="47">
        <f>ROUND((ROUND((ROUND((_11_A通院２増７．０*_11・重度研修),0)*_11・２人),0)*_11・初任),0)</f>
        <v>608</v>
      </c>
      <c r="O62" s="48"/>
    </row>
    <row r="63" spans="1:15" ht="16.5" customHeight="1" x14ac:dyDescent="0.15">
      <c r="A63" s="41">
        <v>11</v>
      </c>
      <c r="B63" s="41">
        <v>9265</v>
      </c>
      <c r="C63" s="42" t="s">
        <v>15249</v>
      </c>
      <c r="D63" s="707" t="s">
        <v>581</v>
      </c>
      <c r="E63" s="798"/>
      <c r="F63" s="35"/>
      <c r="H63" s="163"/>
      <c r="I63" s="45"/>
      <c r="J63" s="46"/>
      <c r="K63" s="53"/>
      <c r="L63" s="245"/>
      <c r="M63" s="49"/>
      <c r="N63" s="47">
        <f>ROUND((_11_A通院２増７．５*_11・重度研修),0)</f>
        <v>932</v>
      </c>
      <c r="O63" s="48"/>
    </row>
    <row r="64" spans="1:15" ht="16.5" customHeight="1" x14ac:dyDescent="0.15">
      <c r="A64" s="41">
        <v>11</v>
      </c>
      <c r="B64" s="41">
        <v>9266</v>
      </c>
      <c r="C64" s="42" t="s">
        <v>15250</v>
      </c>
      <c r="D64" s="799"/>
      <c r="E64" s="796"/>
      <c r="F64" s="35"/>
      <c r="H64" s="281" t="s">
        <v>397</v>
      </c>
      <c r="I64" s="247" t="s">
        <v>398</v>
      </c>
      <c r="J64" s="46">
        <v>1</v>
      </c>
      <c r="K64" s="43"/>
      <c r="L64" s="220"/>
      <c r="M64" s="37"/>
      <c r="N64" s="47">
        <f>ROUND((ROUND((_11_A通院２増７．５*_11・重度研修),0)*_11・２人),0)</f>
        <v>932</v>
      </c>
      <c r="O64" s="48"/>
    </row>
    <row r="65" spans="1:15" ht="16.5" customHeight="1" x14ac:dyDescent="0.15">
      <c r="A65" s="41">
        <v>11</v>
      </c>
      <c r="B65" s="41" t="s">
        <v>15251</v>
      </c>
      <c r="C65" s="42" t="s">
        <v>15252</v>
      </c>
      <c r="D65" s="799"/>
      <c r="E65" s="796"/>
      <c r="F65" s="35"/>
      <c r="H65" s="163"/>
      <c r="I65" s="45"/>
      <c r="J65" s="46"/>
      <c r="K65" s="734" t="s">
        <v>404</v>
      </c>
      <c r="L65" s="219" t="s">
        <v>398</v>
      </c>
      <c r="M65" s="50">
        <f>_11・初任</f>
        <v>0.7</v>
      </c>
      <c r="N65" s="47">
        <f>ROUND((ROUND((_11_A通院２増７．５*_11・重度研修),0)*_11・初任),0)</f>
        <v>652</v>
      </c>
      <c r="O65" s="48"/>
    </row>
    <row r="66" spans="1:15" ht="16.5" customHeight="1" x14ac:dyDescent="0.15">
      <c r="A66" s="41">
        <v>11</v>
      </c>
      <c r="B66" s="41" t="s">
        <v>15253</v>
      </c>
      <c r="C66" s="42" t="s">
        <v>15254</v>
      </c>
      <c r="D66" s="274">
        <f>_11_A通院２増７．５</f>
        <v>1035</v>
      </c>
      <c r="E66" s="10" t="s">
        <v>392</v>
      </c>
      <c r="F66" s="35"/>
      <c r="H66" s="281" t="s">
        <v>397</v>
      </c>
      <c r="I66" s="247" t="s">
        <v>398</v>
      </c>
      <c r="J66" s="46">
        <v>1</v>
      </c>
      <c r="K66" s="706"/>
      <c r="L66" s="220"/>
      <c r="M66" s="38"/>
      <c r="N66" s="47">
        <f>ROUND((ROUND((ROUND((_11_A通院２増７．５*_11・重度研修),0)*_11・２人),0)*_11・初任),0)</f>
        <v>652</v>
      </c>
      <c r="O66" s="48"/>
    </row>
    <row r="67" spans="1:15" ht="16.5" customHeight="1" x14ac:dyDescent="0.15">
      <c r="A67" s="41">
        <v>11</v>
      </c>
      <c r="B67" s="41">
        <v>9267</v>
      </c>
      <c r="C67" s="42" t="s">
        <v>15255</v>
      </c>
      <c r="D67" s="707" t="s">
        <v>594</v>
      </c>
      <c r="E67" s="798"/>
      <c r="F67" s="35"/>
      <c r="H67" s="163"/>
      <c r="I67" s="45"/>
      <c r="J67" s="46"/>
      <c r="K67" s="53"/>
      <c r="L67" s="245"/>
      <c r="M67" s="50"/>
      <c r="N67" s="47">
        <f>ROUND((_11_A通院２増８．０*_11・重度研修),0)</f>
        <v>994</v>
      </c>
      <c r="O67" s="48"/>
    </row>
    <row r="68" spans="1:15" ht="16.5" customHeight="1" x14ac:dyDescent="0.15">
      <c r="A68" s="41">
        <v>11</v>
      </c>
      <c r="B68" s="41">
        <v>9268</v>
      </c>
      <c r="C68" s="42" t="s">
        <v>15256</v>
      </c>
      <c r="D68" s="799"/>
      <c r="E68" s="796"/>
      <c r="F68" s="35"/>
      <c r="H68" s="281" t="s">
        <v>397</v>
      </c>
      <c r="I68" s="247" t="s">
        <v>398</v>
      </c>
      <c r="J68" s="46">
        <v>1</v>
      </c>
      <c r="K68" s="43"/>
      <c r="L68" s="220"/>
      <c r="M68" s="38"/>
      <c r="N68" s="47">
        <f>ROUND((ROUND((_11_A通院２増８．０*_11・重度研修),0)*_11・２人),0)</f>
        <v>994</v>
      </c>
      <c r="O68" s="48"/>
    </row>
    <row r="69" spans="1:15" ht="16.5" customHeight="1" x14ac:dyDescent="0.15">
      <c r="A69" s="41">
        <v>11</v>
      </c>
      <c r="B69" s="41" t="s">
        <v>15257</v>
      </c>
      <c r="C69" s="42" t="s">
        <v>15258</v>
      </c>
      <c r="D69" s="799"/>
      <c r="E69" s="796"/>
      <c r="F69" s="35"/>
      <c r="H69" s="163"/>
      <c r="I69" s="45"/>
      <c r="J69" s="46"/>
      <c r="K69" s="734" t="s">
        <v>404</v>
      </c>
      <c r="L69" s="219" t="s">
        <v>398</v>
      </c>
      <c r="M69" s="50">
        <f>_11・初任</f>
        <v>0.7</v>
      </c>
      <c r="N69" s="47">
        <f>ROUND((ROUND((_11_A通院２増８．０*_11・重度研修),0)*_11・初任),0)</f>
        <v>696</v>
      </c>
      <c r="O69" s="48"/>
    </row>
    <row r="70" spans="1:15" ht="16.5" customHeight="1" x14ac:dyDescent="0.15">
      <c r="A70" s="41">
        <v>11</v>
      </c>
      <c r="B70" s="41" t="s">
        <v>15259</v>
      </c>
      <c r="C70" s="42" t="s">
        <v>15260</v>
      </c>
      <c r="D70" s="274">
        <f>_11_A通院２増８．０</f>
        <v>1104</v>
      </c>
      <c r="E70" s="10" t="s">
        <v>392</v>
      </c>
      <c r="F70" s="35"/>
      <c r="H70" s="281" t="s">
        <v>397</v>
      </c>
      <c r="I70" s="247" t="s">
        <v>398</v>
      </c>
      <c r="J70" s="46">
        <v>1</v>
      </c>
      <c r="K70" s="706"/>
      <c r="L70" s="220"/>
      <c r="M70" s="38"/>
      <c r="N70" s="47">
        <f>ROUND((ROUND((ROUND((_11_A通院２増８．０*_11・重度研修),0)*_11・２人),0)*_11・初任),0)</f>
        <v>696</v>
      </c>
      <c r="O70" s="48"/>
    </row>
    <row r="71" spans="1:15" ht="16.5" customHeight="1" x14ac:dyDescent="0.15">
      <c r="A71" s="41">
        <v>11</v>
      </c>
      <c r="B71" s="41">
        <v>9269</v>
      </c>
      <c r="C71" s="42" t="s">
        <v>15261</v>
      </c>
      <c r="D71" s="707" t="s">
        <v>607</v>
      </c>
      <c r="E71" s="798"/>
      <c r="F71" s="35"/>
      <c r="H71" s="163"/>
      <c r="I71" s="45"/>
      <c r="J71" s="46"/>
      <c r="K71" s="53"/>
      <c r="L71" s="245"/>
      <c r="M71" s="49"/>
      <c r="N71" s="47">
        <f>ROUND((_11_A通院２増８．５*_11・重度研修),0)</f>
        <v>1056</v>
      </c>
      <c r="O71" s="48"/>
    </row>
    <row r="72" spans="1:15" ht="16.5" customHeight="1" x14ac:dyDescent="0.15">
      <c r="A72" s="41">
        <v>11</v>
      </c>
      <c r="B72" s="41">
        <v>9270</v>
      </c>
      <c r="C72" s="42" t="s">
        <v>15262</v>
      </c>
      <c r="D72" s="799"/>
      <c r="E72" s="796"/>
      <c r="F72" s="35"/>
      <c r="H72" s="281" t="s">
        <v>397</v>
      </c>
      <c r="I72" s="247" t="s">
        <v>398</v>
      </c>
      <c r="J72" s="46">
        <v>1</v>
      </c>
      <c r="K72" s="43"/>
      <c r="L72" s="220"/>
      <c r="M72" s="37"/>
      <c r="N72" s="47">
        <f>ROUND((ROUND((_11_A通院２増８．５*_11・重度研修),0)*_11・２人),0)</f>
        <v>1056</v>
      </c>
      <c r="O72" s="48"/>
    </row>
    <row r="73" spans="1:15" ht="16.5" customHeight="1" x14ac:dyDescent="0.15">
      <c r="A73" s="41">
        <v>11</v>
      </c>
      <c r="B73" s="41" t="s">
        <v>15263</v>
      </c>
      <c r="C73" s="42" t="s">
        <v>15264</v>
      </c>
      <c r="D73" s="799"/>
      <c r="E73" s="796"/>
      <c r="F73" s="35"/>
      <c r="H73" s="163"/>
      <c r="I73" s="45"/>
      <c r="J73" s="46"/>
      <c r="K73" s="734" t="s">
        <v>404</v>
      </c>
      <c r="L73" s="219" t="s">
        <v>398</v>
      </c>
      <c r="M73" s="50">
        <f>_11・初任</f>
        <v>0.7</v>
      </c>
      <c r="N73" s="47">
        <f>ROUND((ROUND((_11_A通院２増８．５*_11・重度研修),0)*_11・初任),0)</f>
        <v>739</v>
      </c>
      <c r="O73" s="48"/>
    </row>
    <row r="74" spans="1:15" ht="16.5" customHeight="1" x14ac:dyDescent="0.15">
      <c r="A74" s="41">
        <v>11</v>
      </c>
      <c r="B74" s="41" t="s">
        <v>15265</v>
      </c>
      <c r="C74" s="42" t="s">
        <v>15266</v>
      </c>
      <c r="D74" s="276">
        <f>_11_A通院２増８．５</f>
        <v>1173</v>
      </c>
      <c r="E74" s="190" t="s">
        <v>392</v>
      </c>
      <c r="F74" s="43"/>
      <c r="G74" s="79"/>
      <c r="H74" s="281" t="s">
        <v>397</v>
      </c>
      <c r="I74" s="247" t="s">
        <v>398</v>
      </c>
      <c r="J74" s="46">
        <v>1</v>
      </c>
      <c r="K74" s="706"/>
      <c r="L74" s="220"/>
      <c r="M74" s="38"/>
      <c r="N74" s="47">
        <f>ROUND((ROUND((ROUND((_11_A通院２増８．５*_11・重度研修),0)*_11・２人),0)*_11・初任),0)</f>
        <v>739</v>
      </c>
      <c r="O74" s="63"/>
    </row>
    <row r="75" spans="1:15" ht="16.5" customHeight="1" x14ac:dyDescent="0.15">
      <c r="A75" s="33">
        <v>11</v>
      </c>
      <c r="B75" s="33">
        <v>9271</v>
      </c>
      <c r="C75" s="144" t="s">
        <v>15267</v>
      </c>
      <c r="D75" s="709" t="s">
        <v>620</v>
      </c>
      <c r="E75" s="796"/>
      <c r="F75" s="707" t="s">
        <v>11707</v>
      </c>
      <c r="G75" s="823"/>
      <c r="H75" s="43"/>
      <c r="I75" s="37"/>
      <c r="J75" s="38"/>
      <c r="K75" s="35"/>
      <c r="N75" s="39">
        <f>ROUND((_11_A通院２増９．０*_11・重度研修),0)</f>
        <v>1118</v>
      </c>
      <c r="O75" s="48"/>
    </row>
    <row r="76" spans="1:15" ht="16.5" customHeight="1" x14ac:dyDescent="0.15">
      <c r="A76" s="41">
        <v>11</v>
      </c>
      <c r="B76" s="41">
        <v>9272</v>
      </c>
      <c r="C76" s="42" t="s">
        <v>15268</v>
      </c>
      <c r="D76" s="799"/>
      <c r="E76" s="796"/>
      <c r="F76" s="722"/>
      <c r="G76" s="802"/>
      <c r="H76" s="281" t="s">
        <v>397</v>
      </c>
      <c r="I76" s="247" t="s">
        <v>398</v>
      </c>
      <c r="J76" s="46">
        <v>1</v>
      </c>
      <c r="K76" s="43"/>
      <c r="L76" s="220"/>
      <c r="M76" s="38"/>
      <c r="N76" s="47">
        <f>ROUND((ROUND((_11_A通院２増９．０*_11・重度研修),0)*_11・２人),0)</f>
        <v>1118</v>
      </c>
      <c r="O76" s="48"/>
    </row>
    <row r="77" spans="1:15" ht="16.5" customHeight="1" x14ac:dyDescent="0.15">
      <c r="A77" s="41">
        <v>11</v>
      </c>
      <c r="B77" s="41" t="s">
        <v>15269</v>
      </c>
      <c r="C77" s="42" t="s">
        <v>15270</v>
      </c>
      <c r="D77" s="799"/>
      <c r="E77" s="796"/>
      <c r="F77" s="722"/>
      <c r="G77" s="802"/>
      <c r="H77" s="163"/>
      <c r="I77" s="45"/>
      <c r="J77" s="46"/>
      <c r="K77" s="734" t="s">
        <v>404</v>
      </c>
      <c r="L77" s="219" t="s">
        <v>398</v>
      </c>
      <c r="M77" s="50">
        <f>_11・初任</f>
        <v>0.7</v>
      </c>
      <c r="N77" s="47">
        <f>ROUND((ROUND((_11_A通院２増９．０*_11・重度研修),0)*_11・初任),0)</f>
        <v>783</v>
      </c>
      <c r="O77" s="48"/>
    </row>
    <row r="78" spans="1:15" ht="16.5" customHeight="1" x14ac:dyDescent="0.15">
      <c r="A78" s="41">
        <v>11</v>
      </c>
      <c r="B78" s="41" t="s">
        <v>15271</v>
      </c>
      <c r="C78" s="42" t="s">
        <v>15272</v>
      </c>
      <c r="D78" s="274">
        <f>_11_A通院２増９．０</f>
        <v>1242</v>
      </c>
      <c r="E78" s="10" t="s">
        <v>392</v>
      </c>
      <c r="F78" s="258" t="s">
        <v>398</v>
      </c>
      <c r="G78" s="234">
        <v>0.9</v>
      </c>
      <c r="H78" s="281" t="s">
        <v>397</v>
      </c>
      <c r="I78" s="247" t="s">
        <v>398</v>
      </c>
      <c r="J78" s="46">
        <v>1</v>
      </c>
      <c r="K78" s="706"/>
      <c r="L78" s="220"/>
      <c r="M78" s="38"/>
      <c r="N78" s="47">
        <f>ROUND((ROUND((ROUND((_11_A通院２増９．０*_11・重度研修),0)*_11・２人),0)*_11・初任),0)</f>
        <v>783</v>
      </c>
      <c r="O78" s="48"/>
    </row>
    <row r="79" spans="1:15" ht="16.5" customHeight="1" x14ac:dyDescent="0.15">
      <c r="A79" s="41">
        <v>11</v>
      </c>
      <c r="B79" s="41">
        <v>9273</v>
      </c>
      <c r="C79" s="42" t="s">
        <v>15273</v>
      </c>
      <c r="D79" s="707" t="s">
        <v>633</v>
      </c>
      <c r="E79" s="798"/>
      <c r="F79" s="132"/>
      <c r="G79" s="291"/>
      <c r="H79" s="163"/>
      <c r="I79" s="45"/>
      <c r="J79" s="46"/>
      <c r="K79" s="53"/>
      <c r="L79" s="245"/>
      <c r="M79" s="49"/>
      <c r="N79" s="47">
        <f>ROUND((_11_A通院２増９．５*_11・重度研修),0)</f>
        <v>1180</v>
      </c>
      <c r="O79" s="48"/>
    </row>
    <row r="80" spans="1:15" ht="16.5" customHeight="1" x14ac:dyDescent="0.15">
      <c r="A80" s="41">
        <v>11</v>
      </c>
      <c r="B80" s="41">
        <v>9274</v>
      </c>
      <c r="C80" s="42" t="s">
        <v>15274</v>
      </c>
      <c r="D80" s="799"/>
      <c r="E80" s="796"/>
      <c r="F80" s="292"/>
      <c r="G80" s="291"/>
      <c r="H80" s="281" t="s">
        <v>397</v>
      </c>
      <c r="I80" s="247" t="s">
        <v>398</v>
      </c>
      <c r="J80" s="46">
        <v>1</v>
      </c>
      <c r="K80" s="43"/>
      <c r="L80" s="220"/>
      <c r="M80" s="37"/>
      <c r="N80" s="47">
        <f>ROUND((ROUND((_11_A通院２増９．５*_11・重度研修),0)*_11・２人),0)</f>
        <v>1180</v>
      </c>
      <c r="O80" s="48"/>
    </row>
    <row r="81" spans="1:15" ht="16.5" customHeight="1" x14ac:dyDescent="0.15">
      <c r="A81" s="41">
        <v>11</v>
      </c>
      <c r="B81" s="41" t="s">
        <v>15275</v>
      </c>
      <c r="C81" s="42" t="s">
        <v>15276</v>
      </c>
      <c r="D81" s="799"/>
      <c r="E81" s="796"/>
      <c r="F81" s="292"/>
      <c r="G81" s="291"/>
      <c r="H81" s="163"/>
      <c r="I81" s="45"/>
      <c r="J81" s="46"/>
      <c r="K81" s="734" t="s">
        <v>404</v>
      </c>
      <c r="L81" s="219" t="s">
        <v>398</v>
      </c>
      <c r="M81" s="50">
        <f>_11・初任</f>
        <v>0.7</v>
      </c>
      <c r="N81" s="47">
        <f>ROUND((ROUND((_11_A通院２増９．５*_11・重度研修),0)*_11・初任),0)</f>
        <v>826</v>
      </c>
      <c r="O81" s="48"/>
    </row>
    <row r="82" spans="1:15" ht="16.5" customHeight="1" x14ac:dyDescent="0.15">
      <c r="A82" s="41">
        <v>11</v>
      </c>
      <c r="B82" s="41" t="s">
        <v>15277</v>
      </c>
      <c r="C82" s="42" t="s">
        <v>15278</v>
      </c>
      <c r="D82" s="274">
        <f>_11_A通院２増９．５</f>
        <v>1311</v>
      </c>
      <c r="E82" s="10" t="s">
        <v>392</v>
      </c>
      <c r="F82" s="258"/>
      <c r="G82" s="234"/>
      <c r="H82" s="281" t="s">
        <v>397</v>
      </c>
      <c r="I82" s="247" t="s">
        <v>398</v>
      </c>
      <c r="J82" s="46">
        <v>1</v>
      </c>
      <c r="K82" s="706"/>
      <c r="L82" s="220"/>
      <c r="M82" s="38"/>
      <c r="N82" s="47">
        <f>ROUND((ROUND((ROUND((_11_A通院２増９．５*_11・重度研修),0)*_11・２人),0)*_11・初任),0)</f>
        <v>826</v>
      </c>
      <c r="O82" s="48"/>
    </row>
    <row r="83" spans="1:15" ht="16.5" customHeight="1" x14ac:dyDescent="0.15">
      <c r="A83" s="41">
        <v>11</v>
      </c>
      <c r="B83" s="41">
        <v>9275</v>
      </c>
      <c r="C83" s="42" t="s">
        <v>15279</v>
      </c>
      <c r="D83" s="707" t="s">
        <v>646</v>
      </c>
      <c r="E83" s="798"/>
      <c r="F83" s="35"/>
      <c r="H83" s="163"/>
      <c r="I83" s="45"/>
      <c r="J83" s="46"/>
      <c r="K83" s="53"/>
      <c r="L83" s="245"/>
      <c r="M83" s="50"/>
      <c r="N83" s="47">
        <f>ROUND((_11_A通院２増１０．０*_11・重度研修),0)</f>
        <v>1242</v>
      </c>
      <c r="O83" s="48"/>
    </row>
    <row r="84" spans="1:15" ht="16.5" customHeight="1" x14ac:dyDescent="0.15">
      <c r="A84" s="41">
        <v>11</v>
      </c>
      <c r="B84" s="41">
        <v>9276</v>
      </c>
      <c r="C84" s="42" t="s">
        <v>15280</v>
      </c>
      <c r="D84" s="799"/>
      <c r="E84" s="796"/>
      <c r="F84" s="35"/>
      <c r="H84" s="281" t="s">
        <v>397</v>
      </c>
      <c r="I84" s="247" t="s">
        <v>398</v>
      </c>
      <c r="J84" s="46">
        <v>1</v>
      </c>
      <c r="K84" s="43"/>
      <c r="L84" s="220"/>
      <c r="M84" s="38"/>
      <c r="N84" s="47">
        <f>ROUND((ROUND((_11_A通院２増１０．０*_11・重度研修),0)*_11・２人),0)</f>
        <v>1242</v>
      </c>
      <c r="O84" s="48"/>
    </row>
    <row r="85" spans="1:15" ht="16.5" customHeight="1" x14ac:dyDescent="0.15">
      <c r="A85" s="41">
        <v>11</v>
      </c>
      <c r="B85" s="41" t="s">
        <v>15281</v>
      </c>
      <c r="C85" s="42" t="s">
        <v>15282</v>
      </c>
      <c r="D85" s="799"/>
      <c r="E85" s="796"/>
      <c r="F85" s="35"/>
      <c r="H85" s="163"/>
      <c r="I85" s="45"/>
      <c r="J85" s="46"/>
      <c r="K85" s="734" t="s">
        <v>404</v>
      </c>
      <c r="L85" s="219" t="s">
        <v>398</v>
      </c>
      <c r="M85" s="50">
        <f>_11・初任</f>
        <v>0.7</v>
      </c>
      <c r="N85" s="47">
        <f>ROUND((ROUND((_11_A通院２増１０．０*_11・重度研修),0)*_11・初任),0)</f>
        <v>869</v>
      </c>
      <c r="O85" s="48"/>
    </row>
    <row r="86" spans="1:15" ht="16.5" customHeight="1" x14ac:dyDescent="0.15">
      <c r="A86" s="41">
        <v>11</v>
      </c>
      <c r="B86" s="41" t="s">
        <v>15283</v>
      </c>
      <c r="C86" s="42" t="s">
        <v>15284</v>
      </c>
      <c r="D86" s="274">
        <f>_11_A通院２増１０．０</f>
        <v>1380</v>
      </c>
      <c r="E86" s="10" t="s">
        <v>392</v>
      </c>
      <c r="F86" s="35"/>
      <c r="H86" s="281" t="s">
        <v>397</v>
      </c>
      <c r="I86" s="247" t="s">
        <v>398</v>
      </c>
      <c r="J86" s="46">
        <v>1</v>
      </c>
      <c r="K86" s="706"/>
      <c r="L86" s="220"/>
      <c r="M86" s="38"/>
      <c r="N86" s="47">
        <f>ROUND((ROUND((ROUND((_11_A通院２増１０．０*_11・重度研修),0)*_11・２人),0)*_11・初任),0)</f>
        <v>869</v>
      </c>
      <c r="O86" s="48"/>
    </row>
    <row r="87" spans="1:15" ht="16.5" customHeight="1" x14ac:dyDescent="0.15">
      <c r="A87" s="41">
        <v>11</v>
      </c>
      <c r="B87" s="41">
        <v>9277</v>
      </c>
      <c r="C87" s="42" t="s">
        <v>15285</v>
      </c>
      <c r="D87" s="707" t="s">
        <v>659</v>
      </c>
      <c r="E87" s="798"/>
      <c r="F87" s="35"/>
      <c r="H87" s="163"/>
      <c r="I87" s="45"/>
      <c r="J87" s="46"/>
      <c r="K87" s="53"/>
      <c r="L87" s="245"/>
      <c r="M87" s="49"/>
      <c r="N87" s="47">
        <f>ROUND((_11_A通院２増１０．５*_11・重度研修),0)</f>
        <v>1304</v>
      </c>
      <c r="O87" s="48"/>
    </row>
    <row r="88" spans="1:15" ht="16.5" customHeight="1" x14ac:dyDescent="0.15">
      <c r="A88" s="41">
        <v>11</v>
      </c>
      <c r="B88" s="41">
        <v>9278</v>
      </c>
      <c r="C88" s="42" t="s">
        <v>15286</v>
      </c>
      <c r="D88" s="799"/>
      <c r="E88" s="796"/>
      <c r="F88" s="35"/>
      <c r="H88" s="281" t="s">
        <v>397</v>
      </c>
      <c r="I88" s="247" t="s">
        <v>398</v>
      </c>
      <c r="J88" s="46">
        <v>1</v>
      </c>
      <c r="K88" s="43"/>
      <c r="L88" s="220"/>
      <c r="M88" s="37"/>
      <c r="N88" s="47">
        <f>ROUND((ROUND((_11_A通院２増１０．５*_11・重度研修),0)*_11・２人),0)</f>
        <v>1304</v>
      </c>
      <c r="O88" s="48"/>
    </row>
    <row r="89" spans="1:15" ht="16.5" customHeight="1" x14ac:dyDescent="0.15">
      <c r="A89" s="41">
        <v>11</v>
      </c>
      <c r="B89" s="41" t="s">
        <v>15287</v>
      </c>
      <c r="C89" s="42" t="s">
        <v>15288</v>
      </c>
      <c r="D89" s="799"/>
      <c r="E89" s="796"/>
      <c r="F89" s="35"/>
      <c r="H89" s="163"/>
      <c r="I89" s="45"/>
      <c r="J89" s="46"/>
      <c r="K89" s="734" t="s">
        <v>404</v>
      </c>
      <c r="L89" s="219" t="s">
        <v>398</v>
      </c>
      <c r="M89" s="50">
        <f>_11・初任</f>
        <v>0.7</v>
      </c>
      <c r="N89" s="47">
        <f>ROUND((ROUND((_11_A通院２増１０．５*_11・重度研修),0)*_11・初任),0)</f>
        <v>913</v>
      </c>
      <c r="O89" s="48"/>
    </row>
    <row r="90" spans="1:15" ht="16.5" customHeight="1" x14ac:dyDescent="0.15">
      <c r="A90" s="41">
        <v>11</v>
      </c>
      <c r="B90" s="41" t="s">
        <v>15289</v>
      </c>
      <c r="C90" s="42" t="s">
        <v>15290</v>
      </c>
      <c r="D90" s="276">
        <f>_11_A通院２増１０．５</f>
        <v>1449</v>
      </c>
      <c r="E90" s="190" t="s">
        <v>392</v>
      </c>
      <c r="F90" s="43"/>
      <c r="G90" s="37"/>
      <c r="H90" s="281" t="s">
        <v>397</v>
      </c>
      <c r="I90" s="247" t="s">
        <v>398</v>
      </c>
      <c r="J90" s="46">
        <v>1</v>
      </c>
      <c r="K90" s="706"/>
      <c r="L90" s="220"/>
      <c r="M90" s="38"/>
      <c r="N90" s="47">
        <f>ROUND((ROUND((ROUND((_11_A通院２増１０．５*_11・重度研修),0)*_11・２人),0)*_11・初任),0)</f>
        <v>913</v>
      </c>
      <c r="O90" s="63"/>
    </row>
    <row r="91" spans="1:15" ht="16.5" customHeight="1" x14ac:dyDescent="0.15"/>
    <row r="92" spans="1:15" ht="16.5" customHeight="1" x14ac:dyDescent="0.15"/>
  </sheetData>
  <mergeCells count="44">
    <mergeCell ref="D79:E81"/>
    <mergeCell ref="K81:K82"/>
    <mergeCell ref="D83:E85"/>
    <mergeCell ref="K85:K86"/>
    <mergeCell ref="D87:E89"/>
    <mergeCell ref="K89:K90"/>
    <mergeCell ref="D67:E69"/>
    <mergeCell ref="K69:K70"/>
    <mergeCell ref="D71:E73"/>
    <mergeCell ref="K73:K74"/>
    <mergeCell ref="D75:E77"/>
    <mergeCell ref="F75:G77"/>
    <mergeCell ref="K77:K78"/>
    <mergeCell ref="D55:E57"/>
    <mergeCell ref="K57:K58"/>
    <mergeCell ref="D59:E61"/>
    <mergeCell ref="K61:K62"/>
    <mergeCell ref="D63:E65"/>
    <mergeCell ref="K65:K66"/>
    <mergeCell ref="D43:E45"/>
    <mergeCell ref="K45:K46"/>
    <mergeCell ref="D47:E49"/>
    <mergeCell ref="K49:K50"/>
    <mergeCell ref="D51:E53"/>
    <mergeCell ref="K53:K54"/>
    <mergeCell ref="D31:E33"/>
    <mergeCell ref="K33:K34"/>
    <mergeCell ref="D35:E37"/>
    <mergeCell ref="K37:K38"/>
    <mergeCell ref="D39:E41"/>
    <mergeCell ref="K41:K42"/>
    <mergeCell ref="D19:E21"/>
    <mergeCell ref="K21:K22"/>
    <mergeCell ref="D23:E25"/>
    <mergeCell ref="K25:K26"/>
    <mergeCell ref="D27:E29"/>
    <mergeCell ref="K29:K30"/>
    <mergeCell ref="D15:E17"/>
    <mergeCell ref="K17:K18"/>
    <mergeCell ref="D7:E9"/>
    <mergeCell ref="F7:G9"/>
    <mergeCell ref="K9:K10"/>
    <mergeCell ref="D11:E13"/>
    <mergeCell ref="K13:K14"/>
  </mergeCells>
  <phoneticPr fontId="1"/>
  <printOptions horizontalCentered="1"/>
  <pageMargins left="0.70866141732283472" right="0.70866141732283472" top="0.74803149606299213" bottom="0.74803149606299213" header="0.31496062992125984" footer="0.31496062992125984"/>
  <pageSetup paperSize="9" scale="62" fitToHeight="0" orientation="portrait" r:id="rId1"/>
  <headerFooter>
    <oddHeader>&amp;R&amp;"ＭＳ Ｐゴシック"&amp;9居宅介護</oddHeader>
    <oddFooter>&amp;C&amp;"ＭＳ Ｐゴシック"&amp;14&amp;P</oddFooter>
  </headerFooter>
  <rowBreaks count="1" manualBreakCount="1">
    <brk id="74" max="14"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8">
    <pageSetUpPr fitToPage="1"/>
  </sheetPr>
  <dimension ref="A1:R126"/>
  <sheetViews>
    <sheetView view="pageBreakPreview" zoomScale="80" zoomScaleNormal="100" zoomScaleSheetLayoutView="80" workbookViewId="0"/>
  </sheetViews>
  <sheetFormatPr defaultColWidth="8.875" defaultRowHeight="14.25" x14ac:dyDescent="0.15"/>
  <cols>
    <col min="1" max="1" width="4.5" style="9" customWidth="1"/>
    <col min="2" max="2" width="7.5" style="9" customWidth="1"/>
    <col min="3" max="3" width="36.5" style="10" bestFit="1" customWidth="1"/>
    <col min="4" max="4" width="4.875" style="10" customWidth="1"/>
    <col min="5" max="5" width="4.875" style="12" customWidth="1"/>
    <col min="6" max="6" width="4.125" style="12" customWidth="1"/>
    <col min="7" max="7" width="4.5" style="12" bestFit="1" customWidth="1"/>
    <col min="8" max="8" width="26" style="12" customWidth="1"/>
    <col min="9" max="9" width="2.5" style="12" customWidth="1"/>
    <col min="10" max="10" width="5.5" style="13" bestFit="1" customWidth="1"/>
    <col min="11" max="11" width="2.5" style="12" customWidth="1"/>
    <col min="12" max="12" width="3.875" style="12" customWidth="1"/>
    <col min="13" max="13" width="4.5" style="13" bestFit="1" customWidth="1"/>
    <col min="14" max="14" width="17.875" style="12" customWidth="1"/>
    <col min="15" max="15" width="2.5" style="242" customWidth="1"/>
    <col min="16" max="16" width="4.5" style="13" bestFit="1" customWidth="1"/>
    <col min="17" max="17" width="7.125" style="15" customWidth="1"/>
    <col min="18" max="18" width="8.5" style="16" customWidth="1"/>
    <col min="19" max="16384" width="8.875" style="12"/>
  </cols>
  <sheetData>
    <row r="1" spans="1:18" ht="17.100000000000001" customHeight="1" x14ac:dyDescent="0.15"/>
    <row r="2" spans="1:18" ht="17.100000000000001" customHeight="1" x14ac:dyDescent="0.15"/>
    <row r="3" spans="1:18" ht="17.100000000000001" customHeight="1" x14ac:dyDescent="0.15"/>
    <row r="4" spans="1:18" ht="17.100000000000001" customHeight="1" x14ac:dyDescent="0.15">
      <c r="B4" s="17" t="s">
        <v>15291</v>
      </c>
      <c r="D4" s="71"/>
    </row>
    <row r="5" spans="1:18" ht="16.5" customHeight="1" x14ac:dyDescent="0.15">
      <c r="A5" s="19" t="s">
        <v>384</v>
      </c>
      <c r="B5" s="20"/>
      <c r="C5" s="21" t="s">
        <v>385</v>
      </c>
      <c r="D5" s="23" t="s">
        <v>386</v>
      </c>
      <c r="E5" s="23"/>
      <c r="F5" s="23"/>
      <c r="G5" s="23"/>
      <c r="H5" s="23"/>
      <c r="I5" s="23"/>
      <c r="J5" s="24"/>
      <c r="K5" s="23"/>
      <c r="L5" s="23"/>
      <c r="M5" s="24"/>
      <c r="N5" s="23"/>
      <c r="O5" s="23"/>
      <c r="P5" s="24"/>
      <c r="Q5" s="25" t="s">
        <v>387</v>
      </c>
      <c r="R5" s="21" t="s">
        <v>388</v>
      </c>
    </row>
    <row r="6" spans="1:18" ht="16.5" customHeight="1" x14ac:dyDescent="0.15">
      <c r="A6" s="26" t="s">
        <v>389</v>
      </c>
      <c r="B6" s="26" t="s">
        <v>390</v>
      </c>
      <c r="C6" s="27"/>
      <c r="D6" s="29"/>
      <c r="E6" s="29"/>
      <c r="F6" s="29"/>
      <c r="G6" s="29"/>
      <c r="H6" s="29"/>
      <c r="I6" s="29"/>
      <c r="J6" s="30"/>
      <c r="K6" s="29"/>
      <c r="L6" s="29"/>
      <c r="M6" s="30"/>
      <c r="N6" s="29"/>
      <c r="O6" s="214"/>
      <c r="P6" s="30"/>
      <c r="Q6" s="31" t="s">
        <v>391</v>
      </c>
      <c r="R6" s="32" t="s">
        <v>392</v>
      </c>
    </row>
    <row r="7" spans="1:18" ht="16.5" customHeight="1" x14ac:dyDescent="0.15">
      <c r="A7" s="33">
        <v>11</v>
      </c>
      <c r="B7" s="33">
        <v>9279</v>
      </c>
      <c r="C7" s="34" t="s">
        <v>15292</v>
      </c>
      <c r="D7" s="709" t="s">
        <v>673</v>
      </c>
      <c r="E7" s="796"/>
      <c r="F7" s="709" t="s">
        <v>11707</v>
      </c>
      <c r="G7" s="802"/>
      <c r="H7" s="43"/>
      <c r="I7" s="37"/>
      <c r="J7" s="38"/>
      <c r="K7" s="72" t="s">
        <v>674</v>
      </c>
      <c r="N7" s="35"/>
      <c r="P7" s="234"/>
      <c r="Q7" s="73">
        <f>ROUND((ROUND((_11_A通院２増０．５*_11・重度研修),0)*(1+_11・A早朝)),0)</f>
        <v>78</v>
      </c>
      <c r="R7" s="40" t="s">
        <v>395</v>
      </c>
    </row>
    <row r="8" spans="1:18" ht="16.5" customHeight="1" x14ac:dyDescent="0.15">
      <c r="A8" s="41">
        <v>11</v>
      </c>
      <c r="B8" s="41">
        <v>9280</v>
      </c>
      <c r="C8" s="74" t="s">
        <v>15293</v>
      </c>
      <c r="D8" s="799"/>
      <c r="E8" s="796"/>
      <c r="F8" s="722"/>
      <c r="G8" s="802"/>
      <c r="H8" s="299" t="s">
        <v>397</v>
      </c>
      <c r="I8" s="218" t="s">
        <v>398</v>
      </c>
      <c r="J8" s="46">
        <v>1</v>
      </c>
      <c r="K8" s="257" t="s">
        <v>398</v>
      </c>
      <c r="L8" s="13">
        <v>0.25</v>
      </c>
      <c r="M8" s="704" t="s">
        <v>676</v>
      </c>
      <c r="N8" s="43"/>
      <c r="O8" s="220"/>
      <c r="P8" s="244"/>
      <c r="Q8" s="75">
        <f>ROUND((ROUND((ROUND((_11_A通院２増０．５*_11・重度研修),0)*_11・２人),0)*(1+_11・A早朝)),0)</f>
        <v>78</v>
      </c>
      <c r="R8" s="48"/>
    </row>
    <row r="9" spans="1:18" ht="16.5" customHeight="1" x14ac:dyDescent="0.15">
      <c r="A9" s="41">
        <v>11</v>
      </c>
      <c r="B9" s="41" t="s">
        <v>15294</v>
      </c>
      <c r="C9" s="74" t="s">
        <v>15295</v>
      </c>
      <c r="D9" s="799"/>
      <c r="E9" s="796"/>
      <c r="F9" s="722"/>
      <c r="G9" s="802"/>
      <c r="H9" s="163"/>
      <c r="I9" s="45"/>
      <c r="J9" s="46"/>
      <c r="K9" s="35"/>
      <c r="M9" s="797"/>
      <c r="N9" s="734" t="s">
        <v>404</v>
      </c>
      <c r="O9" s="219" t="s">
        <v>398</v>
      </c>
      <c r="P9" s="50">
        <f>_11・初任</f>
        <v>0.7</v>
      </c>
      <c r="Q9" s="75">
        <f>ROUND((ROUND((ROUND((_11_A通院２増０．５*_11・重度研修),0)*(1+_11・A早朝)),0)*_11・初任),0)</f>
        <v>55</v>
      </c>
      <c r="R9" s="48"/>
    </row>
    <row r="10" spans="1:18" ht="16.5" customHeight="1" x14ac:dyDescent="0.15">
      <c r="A10" s="41">
        <v>11</v>
      </c>
      <c r="B10" s="41" t="s">
        <v>15296</v>
      </c>
      <c r="C10" s="74" t="s">
        <v>15297</v>
      </c>
      <c r="D10" s="274">
        <f>_11_A通院２増０．５</f>
        <v>69</v>
      </c>
      <c r="E10" s="10" t="s">
        <v>392</v>
      </c>
      <c r="F10" s="258" t="s">
        <v>398</v>
      </c>
      <c r="G10" s="234">
        <v>0.9</v>
      </c>
      <c r="H10" s="299" t="s">
        <v>397</v>
      </c>
      <c r="I10" s="218" t="s">
        <v>398</v>
      </c>
      <c r="J10" s="46">
        <v>1</v>
      </c>
      <c r="K10" s="35"/>
      <c r="N10" s="706"/>
      <c r="O10" s="220"/>
      <c r="P10" s="38"/>
      <c r="Q10" s="75">
        <f>ROUND((ROUND((ROUND((ROUND((_11_A通院２増０．５*_11・重度研修),0)*_11・２人),0)*(1+_11・A早朝)),0)*_11・初任),0)</f>
        <v>55</v>
      </c>
      <c r="R10" s="48"/>
    </row>
    <row r="11" spans="1:18" ht="16.5" customHeight="1" x14ac:dyDescent="0.15">
      <c r="A11" s="41">
        <v>11</v>
      </c>
      <c r="B11" s="41">
        <v>9281</v>
      </c>
      <c r="C11" s="74" t="s">
        <v>15298</v>
      </c>
      <c r="D11" s="707" t="s">
        <v>689</v>
      </c>
      <c r="E11" s="798"/>
      <c r="F11" s="35"/>
      <c r="H11" s="163"/>
      <c r="I11" s="45"/>
      <c r="J11" s="46"/>
      <c r="K11" s="35"/>
      <c r="N11" s="53"/>
      <c r="O11" s="245"/>
      <c r="P11" s="49"/>
      <c r="Q11" s="75">
        <f>ROUND((ROUND((_11_A通院２増１．０*_11・重度研修),0)*(1+_11・A早朝)),0)</f>
        <v>155</v>
      </c>
      <c r="R11" s="48"/>
    </row>
    <row r="12" spans="1:18" ht="16.5" customHeight="1" x14ac:dyDescent="0.15">
      <c r="A12" s="41">
        <v>11</v>
      </c>
      <c r="B12" s="41">
        <v>9282</v>
      </c>
      <c r="C12" s="74" t="s">
        <v>15299</v>
      </c>
      <c r="D12" s="799"/>
      <c r="E12" s="796"/>
      <c r="F12" s="35"/>
      <c r="H12" s="299" t="s">
        <v>397</v>
      </c>
      <c r="I12" s="218" t="s">
        <v>398</v>
      </c>
      <c r="J12" s="46">
        <v>1</v>
      </c>
      <c r="K12" s="35"/>
      <c r="N12" s="43"/>
      <c r="O12" s="220"/>
      <c r="P12" s="37"/>
      <c r="Q12" s="75">
        <f>ROUND((ROUND((ROUND((_11_A通院２増１．０*_11・重度研修),0)*_11・２人),0)*(1+_11・A早朝)),0)</f>
        <v>155</v>
      </c>
      <c r="R12" s="48"/>
    </row>
    <row r="13" spans="1:18" ht="16.5" customHeight="1" x14ac:dyDescent="0.15">
      <c r="A13" s="41">
        <v>11</v>
      </c>
      <c r="B13" s="41" t="s">
        <v>15300</v>
      </c>
      <c r="C13" s="74" t="s">
        <v>15301</v>
      </c>
      <c r="D13" s="799"/>
      <c r="E13" s="796"/>
      <c r="F13" s="35"/>
      <c r="H13" s="163"/>
      <c r="I13" s="45"/>
      <c r="J13" s="46"/>
      <c r="K13" s="35"/>
      <c r="N13" s="734" t="s">
        <v>404</v>
      </c>
      <c r="O13" s="219" t="s">
        <v>398</v>
      </c>
      <c r="P13" s="50">
        <f>_11・初任</f>
        <v>0.7</v>
      </c>
      <c r="Q13" s="75">
        <f>ROUND((ROUND((ROUND((_11_A通院２増１．０*_11・重度研修),0)*(1+_11・A早朝)),0)*_11・初任),0)</f>
        <v>109</v>
      </c>
      <c r="R13" s="48"/>
    </row>
    <row r="14" spans="1:18" ht="16.5" customHeight="1" x14ac:dyDescent="0.15">
      <c r="A14" s="41">
        <v>11</v>
      </c>
      <c r="B14" s="41" t="s">
        <v>15302</v>
      </c>
      <c r="C14" s="74" t="s">
        <v>15303</v>
      </c>
      <c r="D14" s="274">
        <f>_11_A通院２増１．０</f>
        <v>138</v>
      </c>
      <c r="E14" s="10" t="s">
        <v>392</v>
      </c>
      <c r="F14" s="35"/>
      <c r="H14" s="299" t="s">
        <v>397</v>
      </c>
      <c r="I14" s="218" t="s">
        <v>398</v>
      </c>
      <c r="J14" s="46">
        <v>1</v>
      </c>
      <c r="K14" s="35"/>
      <c r="N14" s="706"/>
      <c r="O14" s="220"/>
      <c r="P14" s="38"/>
      <c r="Q14" s="75">
        <f>ROUND((ROUND((ROUND((ROUND((_11_A通院２増１．０*_11・重度研修),0)*_11・２人),0)*(1+_11・A早朝)),0)*_11・初任),0)</f>
        <v>109</v>
      </c>
      <c r="R14" s="48"/>
    </row>
    <row r="15" spans="1:18" ht="16.5" customHeight="1" x14ac:dyDescent="0.15">
      <c r="A15" s="41">
        <v>11</v>
      </c>
      <c r="B15" s="41">
        <v>9283</v>
      </c>
      <c r="C15" s="74" t="s">
        <v>15304</v>
      </c>
      <c r="D15" s="707" t="s">
        <v>702</v>
      </c>
      <c r="E15" s="798"/>
      <c r="F15" s="35"/>
      <c r="H15" s="163"/>
      <c r="I15" s="45"/>
      <c r="J15" s="46"/>
      <c r="K15" s="35"/>
      <c r="N15" s="53"/>
      <c r="O15" s="245"/>
      <c r="P15" s="251"/>
      <c r="Q15" s="75">
        <f>ROUND((ROUND((_11_A通院２増１．５*_11・重度研修),0)*(1+_11・A早朝)),0)</f>
        <v>233</v>
      </c>
      <c r="R15" s="48"/>
    </row>
    <row r="16" spans="1:18" ht="16.5" customHeight="1" x14ac:dyDescent="0.15">
      <c r="A16" s="41">
        <v>11</v>
      </c>
      <c r="B16" s="41">
        <v>9284</v>
      </c>
      <c r="C16" s="74" t="s">
        <v>15305</v>
      </c>
      <c r="D16" s="799"/>
      <c r="E16" s="796"/>
      <c r="F16" s="35"/>
      <c r="H16" s="299" t="s">
        <v>397</v>
      </c>
      <c r="I16" s="218" t="s">
        <v>398</v>
      </c>
      <c r="J16" s="46">
        <v>1</v>
      </c>
      <c r="K16" s="35"/>
      <c r="N16" s="43"/>
      <c r="O16" s="220"/>
      <c r="P16" s="244"/>
      <c r="Q16" s="75">
        <f>ROUND((ROUND((ROUND((_11_A通院２増１．５*_11・重度研修),0)*_11・２人),0)*(1+_11・A早朝)),0)</f>
        <v>233</v>
      </c>
      <c r="R16" s="48"/>
    </row>
    <row r="17" spans="1:18" ht="16.5" customHeight="1" x14ac:dyDescent="0.15">
      <c r="A17" s="41">
        <v>11</v>
      </c>
      <c r="B17" s="41" t="s">
        <v>15306</v>
      </c>
      <c r="C17" s="74" t="s">
        <v>15307</v>
      </c>
      <c r="D17" s="799"/>
      <c r="E17" s="796"/>
      <c r="F17" s="35"/>
      <c r="H17" s="163"/>
      <c r="I17" s="45"/>
      <c r="J17" s="46"/>
      <c r="K17" s="35"/>
      <c r="N17" s="734" t="s">
        <v>404</v>
      </c>
      <c r="O17" s="219" t="s">
        <v>398</v>
      </c>
      <c r="P17" s="50">
        <f>_11・初任</f>
        <v>0.7</v>
      </c>
      <c r="Q17" s="75">
        <f>ROUND((ROUND((ROUND((_11_A通院２増１．５*_11・重度研修),0)*(1+_11・A早朝)),0)*_11・初任),0)</f>
        <v>163</v>
      </c>
      <c r="R17" s="48"/>
    </row>
    <row r="18" spans="1:18" ht="16.5" customHeight="1" x14ac:dyDescent="0.15">
      <c r="A18" s="41">
        <v>11</v>
      </c>
      <c r="B18" s="41" t="s">
        <v>15308</v>
      </c>
      <c r="C18" s="74" t="s">
        <v>15309</v>
      </c>
      <c r="D18" s="274">
        <f>_11_A通院２増１．５</f>
        <v>207</v>
      </c>
      <c r="E18" s="10" t="s">
        <v>392</v>
      </c>
      <c r="F18" s="35"/>
      <c r="H18" s="299" t="s">
        <v>397</v>
      </c>
      <c r="I18" s="218" t="s">
        <v>398</v>
      </c>
      <c r="J18" s="46">
        <v>1</v>
      </c>
      <c r="K18" s="35"/>
      <c r="N18" s="706"/>
      <c r="O18" s="220"/>
      <c r="P18" s="38"/>
      <c r="Q18" s="75">
        <f>ROUND((ROUND((ROUND((ROUND((_11_A通院２増１．５*_11・重度研修),0)*_11・２人),0)*(1+_11・A早朝)),0)*_11・初任),0)</f>
        <v>163</v>
      </c>
      <c r="R18" s="48"/>
    </row>
    <row r="19" spans="1:18" ht="16.5" customHeight="1" x14ac:dyDescent="0.15">
      <c r="A19" s="41">
        <v>11</v>
      </c>
      <c r="B19" s="41">
        <v>9285</v>
      </c>
      <c r="C19" s="74" t="s">
        <v>15310</v>
      </c>
      <c r="D19" s="707" t="s">
        <v>715</v>
      </c>
      <c r="E19" s="798"/>
      <c r="F19" s="35"/>
      <c r="H19" s="163"/>
      <c r="I19" s="45"/>
      <c r="J19" s="46"/>
      <c r="K19" s="35"/>
      <c r="N19" s="53"/>
      <c r="O19" s="245"/>
      <c r="P19" s="49"/>
      <c r="Q19" s="75">
        <f>ROUND((ROUND((_11_A通院２増２．０*_11・重度研修),0)*(1+_11・A早朝)),0)</f>
        <v>310</v>
      </c>
      <c r="R19" s="48"/>
    </row>
    <row r="20" spans="1:18" ht="16.5" customHeight="1" x14ac:dyDescent="0.15">
      <c r="A20" s="41">
        <v>11</v>
      </c>
      <c r="B20" s="41">
        <v>9286</v>
      </c>
      <c r="C20" s="74" t="s">
        <v>15311</v>
      </c>
      <c r="D20" s="799"/>
      <c r="E20" s="796"/>
      <c r="F20" s="35"/>
      <c r="H20" s="299" t="s">
        <v>397</v>
      </c>
      <c r="I20" s="218" t="s">
        <v>398</v>
      </c>
      <c r="J20" s="46">
        <v>1</v>
      </c>
      <c r="K20" s="35"/>
      <c r="N20" s="43"/>
      <c r="O20" s="220"/>
      <c r="P20" s="37"/>
      <c r="Q20" s="75">
        <f>ROUND((ROUND((ROUND((_11_A通院２増２．０*_11・重度研修),0)*_11・２人),0)*(1+_11・A早朝)),0)</f>
        <v>310</v>
      </c>
      <c r="R20" s="48"/>
    </row>
    <row r="21" spans="1:18" ht="16.5" customHeight="1" x14ac:dyDescent="0.15">
      <c r="A21" s="41">
        <v>11</v>
      </c>
      <c r="B21" s="41" t="s">
        <v>15312</v>
      </c>
      <c r="C21" s="74" t="s">
        <v>15313</v>
      </c>
      <c r="D21" s="799"/>
      <c r="E21" s="796"/>
      <c r="F21" s="35"/>
      <c r="H21" s="163"/>
      <c r="I21" s="45"/>
      <c r="J21" s="46"/>
      <c r="K21" s="35"/>
      <c r="N21" s="734" t="s">
        <v>404</v>
      </c>
      <c r="O21" s="219" t="s">
        <v>398</v>
      </c>
      <c r="P21" s="50">
        <f>_11・初任</f>
        <v>0.7</v>
      </c>
      <c r="Q21" s="75">
        <f>ROUND((ROUND((ROUND((_11_A通院２増２．０*_11・重度研修),0)*(1+_11・A早朝)),0)*_11・初任),0)</f>
        <v>217</v>
      </c>
      <c r="R21" s="48"/>
    </row>
    <row r="22" spans="1:18" ht="16.5" customHeight="1" x14ac:dyDescent="0.15">
      <c r="A22" s="41">
        <v>11</v>
      </c>
      <c r="B22" s="41" t="s">
        <v>15314</v>
      </c>
      <c r="C22" s="74" t="s">
        <v>15315</v>
      </c>
      <c r="D22" s="274">
        <f>_11_A通院２増２．０</f>
        <v>276</v>
      </c>
      <c r="E22" s="10" t="s">
        <v>392</v>
      </c>
      <c r="F22" s="35"/>
      <c r="H22" s="299" t="s">
        <v>397</v>
      </c>
      <c r="I22" s="218" t="s">
        <v>398</v>
      </c>
      <c r="J22" s="46">
        <v>1</v>
      </c>
      <c r="K22" s="35"/>
      <c r="N22" s="706"/>
      <c r="O22" s="220"/>
      <c r="P22" s="38"/>
      <c r="Q22" s="75">
        <f>ROUND((ROUND((ROUND((ROUND((_11_A通院２増２．０*_11・重度研修),0)*_11・２人),0)*(1+_11・A早朝)),0)*_11・初任),0)</f>
        <v>217</v>
      </c>
      <c r="R22" s="48"/>
    </row>
    <row r="23" spans="1:18" ht="16.5" customHeight="1" x14ac:dyDescent="0.15">
      <c r="A23" s="41">
        <v>11</v>
      </c>
      <c r="B23" s="41">
        <v>9287</v>
      </c>
      <c r="C23" s="74" t="s">
        <v>15316</v>
      </c>
      <c r="D23" s="707" t="s">
        <v>728</v>
      </c>
      <c r="E23" s="798"/>
      <c r="F23" s="35"/>
      <c r="H23" s="163"/>
      <c r="I23" s="45"/>
      <c r="J23" s="46"/>
      <c r="K23" s="35"/>
      <c r="N23" s="53"/>
      <c r="O23" s="245"/>
      <c r="P23" s="49"/>
      <c r="Q23" s="75">
        <f>ROUND((ROUND((_11_A通院２増２．５*_11・重度研修),0)*(1+_11・A早朝)),0)</f>
        <v>389</v>
      </c>
      <c r="R23" s="48"/>
    </row>
    <row r="24" spans="1:18" ht="16.5" customHeight="1" x14ac:dyDescent="0.15">
      <c r="A24" s="41">
        <v>11</v>
      </c>
      <c r="B24" s="41">
        <v>9288</v>
      </c>
      <c r="C24" s="74" t="s">
        <v>15317</v>
      </c>
      <c r="D24" s="799"/>
      <c r="E24" s="796"/>
      <c r="F24" s="35"/>
      <c r="H24" s="299" t="s">
        <v>397</v>
      </c>
      <c r="I24" s="218" t="s">
        <v>398</v>
      </c>
      <c r="J24" s="46">
        <v>1</v>
      </c>
      <c r="K24" s="35"/>
      <c r="N24" s="43"/>
      <c r="O24" s="220"/>
      <c r="P24" s="37"/>
      <c r="Q24" s="75">
        <f>ROUND((ROUND((ROUND((_11_A通院２増２．５*_11・重度研修),0)*_11・２人),0)*(1+_11・A早朝)),0)</f>
        <v>389</v>
      </c>
      <c r="R24" s="48"/>
    </row>
    <row r="25" spans="1:18" ht="16.5" customHeight="1" x14ac:dyDescent="0.15">
      <c r="A25" s="41">
        <v>11</v>
      </c>
      <c r="B25" s="41" t="s">
        <v>15318</v>
      </c>
      <c r="C25" s="74" t="s">
        <v>15319</v>
      </c>
      <c r="D25" s="799"/>
      <c r="E25" s="796"/>
      <c r="F25" s="35"/>
      <c r="H25" s="163"/>
      <c r="I25" s="45"/>
      <c r="J25" s="46"/>
      <c r="K25" s="35"/>
      <c r="N25" s="734" t="s">
        <v>404</v>
      </c>
      <c r="O25" s="219" t="s">
        <v>398</v>
      </c>
      <c r="P25" s="50">
        <f>_11・初任</f>
        <v>0.7</v>
      </c>
      <c r="Q25" s="75">
        <f>ROUND((ROUND((ROUND((_11_A通院２増２．５*_11・重度研修),0)*(1+_11・A早朝)),0)*_11・初任),0)</f>
        <v>272</v>
      </c>
      <c r="R25" s="48"/>
    </row>
    <row r="26" spans="1:18" ht="16.5" customHeight="1" x14ac:dyDescent="0.15">
      <c r="A26" s="41">
        <v>11</v>
      </c>
      <c r="B26" s="41" t="s">
        <v>15320</v>
      </c>
      <c r="C26" s="74" t="s">
        <v>15321</v>
      </c>
      <c r="D26" s="276">
        <f>_11_A通院２増２．５</f>
        <v>345</v>
      </c>
      <c r="E26" s="190" t="s">
        <v>392</v>
      </c>
      <c r="F26" s="43"/>
      <c r="G26" s="37"/>
      <c r="H26" s="299" t="s">
        <v>397</v>
      </c>
      <c r="I26" s="218" t="s">
        <v>398</v>
      </c>
      <c r="J26" s="46">
        <v>1</v>
      </c>
      <c r="K26" s="43"/>
      <c r="L26" s="37"/>
      <c r="M26" s="38"/>
      <c r="N26" s="706"/>
      <c r="O26" s="220"/>
      <c r="P26" s="38"/>
      <c r="Q26" s="75">
        <f>ROUND((ROUND((ROUND((ROUND((_11_A通院２増２．５*_11・重度研修),0)*_11・２人),0)*(1+_11・A早朝)),0)*_11・初任),0)</f>
        <v>272</v>
      </c>
      <c r="R26" s="63"/>
    </row>
    <row r="27" spans="1:18" ht="16.5" customHeight="1" x14ac:dyDescent="0.15">
      <c r="A27" s="80"/>
      <c r="B27" s="80"/>
      <c r="C27" s="81"/>
      <c r="Q27" s="84"/>
      <c r="R27" s="85"/>
    </row>
    <row r="28" spans="1:18" ht="16.5" customHeight="1" x14ac:dyDescent="0.15">
      <c r="A28" s="80"/>
      <c r="B28" s="80"/>
      <c r="C28" s="81"/>
      <c r="Q28" s="84"/>
      <c r="R28" s="85"/>
    </row>
    <row r="29" spans="1:18" ht="16.5" customHeight="1" x14ac:dyDescent="0.15">
      <c r="A29" s="80"/>
      <c r="B29" s="86" t="s">
        <v>15322</v>
      </c>
      <c r="C29" s="81"/>
      <c r="D29" s="71"/>
      <c r="Q29" s="84"/>
      <c r="R29" s="85"/>
    </row>
    <row r="30" spans="1:18" ht="16.5" customHeight="1" x14ac:dyDescent="0.15">
      <c r="A30" s="87" t="s">
        <v>384</v>
      </c>
      <c r="B30" s="20"/>
      <c r="C30" s="88" t="s">
        <v>385</v>
      </c>
      <c r="D30" s="23" t="s">
        <v>386</v>
      </c>
      <c r="E30" s="23"/>
      <c r="F30" s="23"/>
      <c r="G30" s="23"/>
      <c r="H30" s="23"/>
      <c r="I30" s="23"/>
      <c r="J30" s="24"/>
      <c r="K30" s="23"/>
      <c r="L30" s="23"/>
      <c r="M30" s="24"/>
      <c r="N30" s="23"/>
      <c r="O30" s="166"/>
      <c r="P30" s="24"/>
      <c r="Q30" s="25" t="s">
        <v>387</v>
      </c>
      <c r="R30" s="21" t="s">
        <v>388</v>
      </c>
    </row>
    <row r="31" spans="1:18" ht="16.5" customHeight="1" x14ac:dyDescent="0.15">
      <c r="A31" s="26" t="s">
        <v>389</v>
      </c>
      <c r="B31" s="26" t="s">
        <v>390</v>
      </c>
      <c r="C31" s="89"/>
      <c r="D31" s="29"/>
      <c r="E31" s="29"/>
      <c r="F31" s="29"/>
      <c r="G31" s="29"/>
      <c r="H31" s="29"/>
      <c r="I31" s="29"/>
      <c r="J31" s="30"/>
      <c r="K31" s="29"/>
      <c r="L31" s="29"/>
      <c r="M31" s="30"/>
      <c r="N31" s="29"/>
      <c r="O31" s="214"/>
      <c r="P31" s="30"/>
      <c r="Q31" s="31" t="s">
        <v>391</v>
      </c>
      <c r="R31" s="32" t="s">
        <v>392</v>
      </c>
    </row>
    <row r="32" spans="1:18" ht="16.5" customHeight="1" x14ac:dyDescent="0.15">
      <c r="A32" s="33">
        <v>11</v>
      </c>
      <c r="B32" s="33">
        <v>9289</v>
      </c>
      <c r="C32" s="34" t="s">
        <v>15323</v>
      </c>
      <c r="D32" s="707" t="s">
        <v>742</v>
      </c>
      <c r="E32" s="717"/>
      <c r="F32" s="709" t="s">
        <v>11707</v>
      </c>
      <c r="G32" s="802"/>
      <c r="H32" s="43"/>
      <c r="I32" s="37"/>
      <c r="J32" s="38"/>
      <c r="K32" s="92" t="s">
        <v>743</v>
      </c>
      <c r="N32" s="35"/>
      <c r="P32" s="234"/>
      <c r="Q32" s="93">
        <f>ROUND((ROUND((_11_A通院２増０．５*_11・重度研修),0)*(1+_11・A夜間)),0)</f>
        <v>78</v>
      </c>
      <c r="R32" s="40" t="s">
        <v>395</v>
      </c>
    </row>
    <row r="33" spans="1:18" ht="16.5" customHeight="1" x14ac:dyDescent="0.15">
      <c r="A33" s="41">
        <v>11</v>
      </c>
      <c r="B33" s="41">
        <v>9290</v>
      </c>
      <c r="C33" s="74" t="s">
        <v>15324</v>
      </c>
      <c r="D33" s="709"/>
      <c r="E33" s="718"/>
      <c r="F33" s="722"/>
      <c r="G33" s="802"/>
      <c r="H33" s="299" t="s">
        <v>397</v>
      </c>
      <c r="I33" s="218" t="s">
        <v>398</v>
      </c>
      <c r="J33" s="46">
        <v>1</v>
      </c>
      <c r="K33" s="257" t="s">
        <v>398</v>
      </c>
      <c r="L33" s="13">
        <v>0.25</v>
      </c>
      <c r="M33" s="704" t="s">
        <v>676</v>
      </c>
      <c r="N33" s="43"/>
      <c r="O33" s="220"/>
      <c r="P33" s="244"/>
      <c r="Q33" s="95">
        <f>ROUND((ROUND((ROUND((_11_A通院２増０．５*_11・重度研修),0)*_11・２人),0)*(1+_11・A夜間)),0)</f>
        <v>78</v>
      </c>
      <c r="R33" s="48"/>
    </row>
    <row r="34" spans="1:18" ht="16.5" customHeight="1" x14ac:dyDescent="0.15">
      <c r="A34" s="41">
        <v>11</v>
      </c>
      <c r="B34" s="41" t="s">
        <v>15325</v>
      </c>
      <c r="C34" s="74" t="s">
        <v>15326</v>
      </c>
      <c r="D34" s="709"/>
      <c r="E34" s="718"/>
      <c r="F34" s="722"/>
      <c r="G34" s="802"/>
      <c r="H34" s="163"/>
      <c r="I34" s="45"/>
      <c r="J34" s="46"/>
      <c r="K34" s="35"/>
      <c r="M34" s="797"/>
      <c r="N34" s="734" t="s">
        <v>404</v>
      </c>
      <c r="O34" s="219" t="s">
        <v>398</v>
      </c>
      <c r="P34" s="50">
        <f>_11・初任</f>
        <v>0.7</v>
      </c>
      <c r="Q34" s="95">
        <f>ROUND((ROUND((ROUND((_11_A通院２増０．５*_11・重度研修),0)*(1+_11・A夜間)),0)*_11・初任),0)</f>
        <v>55</v>
      </c>
      <c r="R34" s="48"/>
    </row>
    <row r="35" spans="1:18" ht="16.5" customHeight="1" x14ac:dyDescent="0.15">
      <c r="A35" s="41">
        <v>11</v>
      </c>
      <c r="B35" s="41" t="s">
        <v>15327</v>
      </c>
      <c r="C35" s="74" t="s">
        <v>15328</v>
      </c>
      <c r="D35" s="274">
        <f>_11_A通院２増０．５</f>
        <v>69</v>
      </c>
      <c r="E35" s="10" t="s">
        <v>392</v>
      </c>
      <c r="F35" s="258" t="s">
        <v>398</v>
      </c>
      <c r="G35" s="234">
        <v>0.9</v>
      </c>
      <c r="H35" s="299" t="s">
        <v>397</v>
      </c>
      <c r="I35" s="218" t="s">
        <v>398</v>
      </c>
      <c r="J35" s="46">
        <v>1</v>
      </c>
      <c r="K35" s="35"/>
      <c r="M35" s="234"/>
      <c r="N35" s="706"/>
      <c r="O35" s="220"/>
      <c r="P35" s="38"/>
      <c r="Q35" s="95">
        <f>ROUND((ROUND((ROUND((ROUND((_11_A通院２増０．５*_11・重度研修),0)*_11・２人),0)*(1+_11・A夜間)),0)*_11・初任),0)</f>
        <v>55</v>
      </c>
      <c r="R35" s="48"/>
    </row>
    <row r="36" spans="1:18" ht="16.5" customHeight="1" x14ac:dyDescent="0.15">
      <c r="A36" s="41">
        <v>11</v>
      </c>
      <c r="B36" s="41">
        <v>9291</v>
      </c>
      <c r="C36" s="74" t="s">
        <v>15329</v>
      </c>
      <c r="D36" s="707" t="s">
        <v>756</v>
      </c>
      <c r="E36" s="798"/>
      <c r="F36" s="132"/>
      <c r="G36" s="291"/>
      <c r="H36" s="163"/>
      <c r="I36" s="45"/>
      <c r="J36" s="46"/>
      <c r="K36" s="92"/>
      <c r="M36" s="234"/>
      <c r="N36" s="53"/>
      <c r="O36" s="245"/>
      <c r="P36" s="49"/>
      <c r="Q36" s="95">
        <f>ROUND((ROUND((_11_A通院２増１．０*_11・重度研修),0)*(1+_11・A夜間)),0)</f>
        <v>155</v>
      </c>
      <c r="R36" s="48"/>
    </row>
    <row r="37" spans="1:18" ht="16.5" customHeight="1" x14ac:dyDescent="0.15">
      <c r="A37" s="41">
        <v>11</v>
      </c>
      <c r="B37" s="41">
        <v>9292</v>
      </c>
      <c r="C37" s="74" t="s">
        <v>15330</v>
      </c>
      <c r="D37" s="799"/>
      <c r="E37" s="796"/>
      <c r="F37" s="292"/>
      <c r="G37" s="291"/>
      <c r="H37" s="299" t="s">
        <v>397</v>
      </c>
      <c r="I37" s="218" t="s">
        <v>398</v>
      </c>
      <c r="J37" s="46">
        <v>1</v>
      </c>
      <c r="K37" s="257"/>
      <c r="L37" s="13"/>
      <c r="M37" s="106"/>
      <c r="N37" s="43"/>
      <c r="O37" s="220"/>
      <c r="P37" s="37"/>
      <c r="Q37" s="95">
        <f>ROUND((ROUND((ROUND((_11_A通院２増１．０*_11・重度研修),0)*_11・２人),0)*(1+_11・A夜間)),0)</f>
        <v>155</v>
      </c>
      <c r="R37" s="48"/>
    </row>
    <row r="38" spans="1:18" ht="16.5" customHeight="1" x14ac:dyDescent="0.15">
      <c r="A38" s="41">
        <v>11</v>
      </c>
      <c r="B38" s="41" t="s">
        <v>15331</v>
      </c>
      <c r="C38" s="74" t="s">
        <v>15332</v>
      </c>
      <c r="D38" s="799"/>
      <c r="E38" s="796"/>
      <c r="F38" s="292"/>
      <c r="G38" s="291"/>
      <c r="H38" s="163"/>
      <c r="I38" s="45"/>
      <c r="J38" s="46"/>
      <c r="K38" s="35"/>
      <c r="M38" s="264"/>
      <c r="N38" s="734" t="s">
        <v>404</v>
      </c>
      <c r="O38" s="219" t="s">
        <v>398</v>
      </c>
      <c r="P38" s="50">
        <f>_11・初任</f>
        <v>0.7</v>
      </c>
      <c r="Q38" s="95">
        <f>ROUND((ROUND((ROUND((_11_A通院２増１．０*_11・重度研修),0)*(1+_11・A夜間)),0)*_11・初任),0)</f>
        <v>109</v>
      </c>
      <c r="R38" s="48"/>
    </row>
    <row r="39" spans="1:18" ht="16.5" customHeight="1" x14ac:dyDescent="0.15">
      <c r="A39" s="41">
        <v>11</v>
      </c>
      <c r="B39" s="41" t="s">
        <v>15333</v>
      </c>
      <c r="C39" s="74" t="s">
        <v>15334</v>
      </c>
      <c r="D39" s="274">
        <f>_11_A通院２増１．０</f>
        <v>138</v>
      </c>
      <c r="E39" s="10" t="s">
        <v>392</v>
      </c>
      <c r="F39" s="258"/>
      <c r="G39" s="234"/>
      <c r="H39" s="299" t="s">
        <v>397</v>
      </c>
      <c r="I39" s="218" t="s">
        <v>398</v>
      </c>
      <c r="J39" s="46">
        <v>1</v>
      </c>
      <c r="K39" s="35"/>
      <c r="M39" s="234"/>
      <c r="N39" s="706"/>
      <c r="O39" s="220"/>
      <c r="P39" s="38"/>
      <c r="Q39" s="95">
        <f>ROUND((ROUND((ROUND((ROUND((_11_A通院２増１．０*_11・重度研修),0)*_11・２人),0)*(1+_11・A夜間)),0)*_11・初任),0)</f>
        <v>109</v>
      </c>
      <c r="R39" s="48"/>
    </row>
    <row r="40" spans="1:18" ht="16.5" customHeight="1" x14ac:dyDescent="0.15">
      <c r="A40" s="41">
        <v>11</v>
      </c>
      <c r="B40" s="41">
        <v>9293</v>
      </c>
      <c r="C40" s="74" t="s">
        <v>15335</v>
      </c>
      <c r="D40" s="707" t="s">
        <v>1732</v>
      </c>
      <c r="E40" s="798"/>
      <c r="F40" s="35"/>
      <c r="G40" s="57"/>
      <c r="H40" s="163"/>
      <c r="I40" s="45"/>
      <c r="J40" s="46"/>
      <c r="K40" s="35"/>
      <c r="M40" s="234"/>
      <c r="N40" s="53"/>
      <c r="O40" s="245"/>
      <c r="P40" s="251"/>
      <c r="Q40" s="95">
        <f>ROUND((ROUND((_11_A通院２増１．５*_11・重度研修),0)*(1+_11・A夜間)),0)</f>
        <v>233</v>
      </c>
      <c r="R40" s="48"/>
    </row>
    <row r="41" spans="1:18" ht="16.5" customHeight="1" x14ac:dyDescent="0.15">
      <c r="A41" s="41">
        <v>11</v>
      </c>
      <c r="B41" s="41">
        <v>9294</v>
      </c>
      <c r="C41" s="74" t="s">
        <v>15336</v>
      </c>
      <c r="D41" s="799"/>
      <c r="E41" s="796"/>
      <c r="F41" s="35"/>
      <c r="H41" s="299" t="s">
        <v>397</v>
      </c>
      <c r="I41" s="218" t="s">
        <v>398</v>
      </c>
      <c r="J41" s="46">
        <v>1</v>
      </c>
      <c r="K41" s="35"/>
      <c r="N41" s="43"/>
      <c r="O41" s="220"/>
      <c r="P41" s="244"/>
      <c r="Q41" s="95">
        <f>ROUND((ROUND((ROUND((_11_A通院２増１．５*_11・重度研修),0)*_11・２人),0)*(1+_11・A夜間)),0)</f>
        <v>233</v>
      </c>
      <c r="R41" s="48"/>
    </row>
    <row r="42" spans="1:18" ht="16.5" customHeight="1" x14ac:dyDescent="0.15">
      <c r="A42" s="41">
        <v>11</v>
      </c>
      <c r="B42" s="41" t="s">
        <v>15337</v>
      </c>
      <c r="C42" s="74" t="s">
        <v>15338</v>
      </c>
      <c r="D42" s="799"/>
      <c r="E42" s="796"/>
      <c r="F42" s="35"/>
      <c r="H42" s="163"/>
      <c r="I42" s="45"/>
      <c r="J42" s="46"/>
      <c r="K42" s="35"/>
      <c r="N42" s="734" t="s">
        <v>404</v>
      </c>
      <c r="O42" s="219" t="s">
        <v>398</v>
      </c>
      <c r="P42" s="50">
        <f>_11・初任</f>
        <v>0.7</v>
      </c>
      <c r="Q42" s="95">
        <f>ROUND((ROUND((ROUND((_11_A通院２増１．５*_11・重度研修),0)*(1+_11・A夜間)),0)*_11・初任),0)</f>
        <v>163</v>
      </c>
      <c r="R42" s="48"/>
    </row>
    <row r="43" spans="1:18" ht="16.5" customHeight="1" x14ac:dyDescent="0.15">
      <c r="A43" s="41">
        <v>11</v>
      </c>
      <c r="B43" s="41" t="s">
        <v>15339</v>
      </c>
      <c r="C43" s="74" t="s">
        <v>15340</v>
      </c>
      <c r="D43" s="274">
        <f>_11_A通院２増１．５</f>
        <v>207</v>
      </c>
      <c r="E43" s="10" t="s">
        <v>392</v>
      </c>
      <c r="F43" s="35"/>
      <c r="H43" s="299" t="s">
        <v>397</v>
      </c>
      <c r="I43" s="218" t="s">
        <v>398</v>
      </c>
      <c r="J43" s="46">
        <v>1</v>
      </c>
      <c r="K43" s="35"/>
      <c r="N43" s="706"/>
      <c r="O43" s="220"/>
      <c r="P43" s="38"/>
      <c r="Q43" s="95">
        <f>ROUND((ROUND((ROUND((ROUND((_11_A通院２増１．５*_11・重度研修),0)*_11・２人),0)*(1+_11・A夜間)),0)*_11・初任),0)</f>
        <v>163</v>
      </c>
      <c r="R43" s="48"/>
    </row>
    <row r="44" spans="1:18" ht="16.5" customHeight="1" x14ac:dyDescent="0.15">
      <c r="A44" s="41">
        <v>11</v>
      </c>
      <c r="B44" s="41">
        <v>9295</v>
      </c>
      <c r="C44" s="74" t="s">
        <v>15341</v>
      </c>
      <c r="D44" s="707" t="s">
        <v>782</v>
      </c>
      <c r="E44" s="798"/>
      <c r="F44" s="35"/>
      <c r="H44" s="163"/>
      <c r="I44" s="45"/>
      <c r="J44" s="46"/>
      <c r="K44" s="35"/>
      <c r="N44" s="53"/>
      <c r="O44" s="245"/>
      <c r="P44" s="49"/>
      <c r="Q44" s="95">
        <f>ROUND((ROUND((_11_A通院２増２．０*_11・重度研修),0)*(1+_11・A夜間)),0)</f>
        <v>310</v>
      </c>
      <c r="R44" s="48"/>
    </row>
    <row r="45" spans="1:18" ht="16.5" customHeight="1" x14ac:dyDescent="0.15">
      <c r="A45" s="41">
        <v>11</v>
      </c>
      <c r="B45" s="41">
        <v>9296</v>
      </c>
      <c r="C45" s="74" t="s">
        <v>15342</v>
      </c>
      <c r="D45" s="799"/>
      <c r="E45" s="796"/>
      <c r="F45" s="35"/>
      <c r="H45" s="299" t="s">
        <v>397</v>
      </c>
      <c r="I45" s="218" t="s">
        <v>398</v>
      </c>
      <c r="J45" s="46">
        <v>1</v>
      </c>
      <c r="K45" s="35"/>
      <c r="N45" s="43"/>
      <c r="O45" s="220"/>
      <c r="P45" s="37"/>
      <c r="Q45" s="95">
        <f>ROUND((ROUND((ROUND((_11_A通院２増２．０*_11・重度研修),0)*_11・２人),0)*(1+_11・A夜間)),0)</f>
        <v>310</v>
      </c>
      <c r="R45" s="48"/>
    </row>
    <row r="46" spans="1:18" ht="16.5" customHeight="1" x14ac:dyDescent="0.15">
      <c r="A46" s="41">
        <v>11</v>
      </c>
      <c r="B46" s="41" t="s">
        <v>15343</v>
      </c>
      <c r="C46" s="74" t="s">
        <v>15344</v>
      </c>
      <c r="D46" s="799"/>
      <c r="E46" s="796"/>
      <c r="F46" s="35"/>
      <c r="H46" s="163"/>
      <c r="I46" s="45"/>
      <c r="J46" s="46"/>
      <c r="K46" s="35"/>
      <c r="N46" s="734" t="s">
        <v>404</v>
      </c>
      <c r="O46" s="219" t="s">
        <v>398</v>
      </c>
      <c r="P46" s="50">
        <f>_11・初任</f>
        <v>0.7</v>
      </c>
      <c r="Q46" s="95">
        <f>ROUND((ROUND((ROUND((_11_A通院２増２．０*_11・重度研修),0)*(1+_11・A夜間)),0)*_11・初任),0)</f>
        <v>217</v>
      </c>
      <c r="R46" s="48"/>
    </row>
    <row r="47" spans="1:18" ht="16.5" customHeight="1" x14ac:dyDescent="0.15">
      <c r="A47" s="41">
        <v>11</v>
      </c>
      <c r="B47" s="41" t="s">
        <v>15345</v>
      </c>
      <c r="C47" s="74" t="s">
        <v>15346</v>
      </c>
      <c r="D47" s="274">
        <f>_11_A通院２増２．０</f>
        <v>276</v>
      </c>
      <c r="E47" s="10" t="s">
        <v>392</v>
      </c>
      <c r="F47" s="35"/>
      <c r="H47" s="299" t="s">
        <v>397</v>
      </c>
      <c r="I47" s="218" t="s">
        <v>398</v>
      </c>
      <c r="J47" s="46">
        <v>1</v>
      </c>
      <c r="K47" s="35"/>
      <c r="N47" s="706"/>
      <c r="O47" s="220"/>
      <c r="P47" s="38"/>
      <c r="Q47" s="95">
        <f>ROUND((ROUND((ROUND((ROUND((_11_A通院２増２．０*_11・重度研修),0)*_11・２人),0)*(1+_11・A夜間)),0)*_11・初任),0)</f>
        <v>217</v>
      </c>
      <c r="R47" s="48"/>
    </row>
    <row r="48" spans="1:18" ht="16.5" customHeight="1" x14ac:dyDescent="0.15">
      <c r="A48" s="41">
        <v>11</v>
      </c>
      <c r="B48" s="41">
        <v>9297</v>
      </c>
      <c r="C48" s="74" t="s">
        <v>15347</v>
      </c>
      <c r="D48" s="707" t="s">
        <v>795</v>
      </c>
      <c r="E48" s="798"/>
      <c r="F48" s="35"/>
      <c r="H48" s="163"/>
      <c r="I48" s="45"/>
      <c r="J48" s="46"/>
      <c r="K48" s="35"/>
      <c r="N48" s="53"/>
      <c r="O48" s="245"/>
      <c r="P48" s="251"/>
      <c r="Q48" s="95">
        <f>ROUND((ROUND((_11_A通院２増２．５*_11・重度研修),0)*(1+_11・A夜間)),0)</f>
        <v>389</v>
      </c>
      <c r="R48" s="48"/>
    </row>
    <row r="49" spans="1:18" ht="16.5" customHeight="1" x14ac:dyDescent="0.15">
      <c r="A49" s="41">
        <v>11</v>
      </c>
      <c r="B49" s="41">
        <v>9298</v>
      </c>
      <c r="C49" s="74" t="s">
        <v>15348</v>
      </c>
      <c r="D49" s="799"/>
      <c r="E49" s="796"/>
      <c r="F49" s="35"/>
      <c r="H49" s="299" t="s">
        <v>397</v>
      </c>
      <c r="I49" s="218" t="s">
        <v>398</v>
      </c>
      <c r="J49" s="46">
        <v>1</v>
      </c>
      <c r="K49" s="35"/>
      <c r="N49" s="43"/>
      <c r="O49" s="220"/>
      <c r="P49" s="244"/>
      <c r="Q49" s="95">
        <f>ROUND((ROUND((ROUND((_11_A通院２増２．５*_11・重度研修),0)*_11・２人),0)*(1+_11・A夜間)),0)</f>
        <v>389</v>
      </c>
      <c r="R49" s="48"/>
    </row>
    <row r="50" spans="1:18" ht="16.5" customHeight="1" x14ac:dyDescent="0.15">
      <c r="A50" s="41">
        <v>11</v>
      </c>
      <c r="B50" s="41" t="s">
        <v>15349</v>
      </c>
      <c r="C50" s="74" t="s">
        <v>15350</v>
      </c>
      <c r="D50" s="799"/>
      <c r="E50" s="796"/>
      <c r="F50" s="35"/>
      <c r="H50" s="163"/>
      <c r="I50" s="45"/>
      <c r="J50" s="46"/>
      <c r="K50" s="35"/>
      <c r="N50" s="734" t="s">
        <v>404</v>
      </c>
      <c r="O50" s="219" t="s">
        <v>398</v>
      </c>
      <c r="P50" s="50">
        <f>_11・初任</f>
        <v>0.7</v>
      </c>
      <c r="Q50" s="95">
        <f>ROUND((ROUND((ROUND((_11_A通院２増２．５*_11・重度研修),0)*(1+_11・A夜間)),0)*_11・初任),0)</f>
        <v>272</v>
      </c>
      <c r="R50" s="48"/>
    </row>
    <row r="51" spans="1:18" ht="16.5" customHeight="1" x14ac:dyDescent="0.15">
      <c r="A51" s="41">
        <v>11</v>
      </c>
      <c r="B51" s="41" t="s">
        <v>15351</v>
      </c>
      <c r="C51" s="74" t="s">
        <v>15352</v>
      </c>
      <c r="D51" s="274">
        <f>_11_A通院２増２．５</f>
        <v>345</v>
      </c>
      <c r="E51" s="10" t="s">
        <v>392</v>
      </c>
      <c r="F51" s="35"/>
      <c r="H51" s="299" t="s">
        <v>397</v>
      </c>
      <c r="I51" s="218" t="s">
        <v>398</v>
      </c>
      <c r="J51" s="46">
        <v>1</v>
      </c>
      <c r="K51" s="35"/>
      <c r="N51" s="706"/>
      <c r="O51" s="220"/>
      <c r="P51" s="38"/>
      <c r="Q51" s="95">
        <f>ROUND((ROUND((ROUND((ROUND((_11_A通院２増２．５*_11・重度研修),0)*_11・２人),0)*(1+_11・A夜間)),0)*_11・初任),0)</f>
        <v>272</v>
      </c>
      <c r="R51" s="48"/>
    </row>
    <row r="52" spans="1:18" ht="16.5" customHeight="1" x14ac:dyDescent="0.15">
      <c r="A52" s="41">
        <v>11</v>
      </c>
      <c r="B52" s="41">
        <v>9299</v>
      </c>
      <c r="C52" s="74" t="s">
        <v>15353</v>
      </c>
      <c r="D52" s="707" t="s">
        <v>808</v>
      </c>
      <c r="E52" s="798"/>
      <c r="F52" s="35"/>
      <c r="H52" s="163"/>
      <c r="I52" s="45"/>
      <c r="J52" s="46"/>
      <c r="K52" s="35"/>
      <c r="N52" s="53"/>
      <c r="O52" s="245"/>
      <c r="P52" s="49"/>
      <c r="Q52" s="95">
        <f>ROUND((ROUND((_11_A通院２増３．０*_11・重度研修),0)*(1+_11・A夜間)),0)</f>
        <v>466</v>
      </c>
      <c r="R52" s="48"/>
    </row>
    <row r="53" spans="1:18" ht="16.5" customHeight="1" x14ac:dyDescent="0.15">
      <c r="A53" s="41">
        <v>11</v>
      </c>
      <c r="B53" s="41">
        <v>9300</v>
      </c>
      <c r="C53" s="74" t="s">
        <v>15354</v>
      </c>
      <c r="D53" s="799"/>
      <c r="E53" s="796"/>
      <c r="F53" s="35"/>
      <c r="H53" s="299" t="s">
        <v>397</v>
      </c>
      <c r="I53" s="218" t="s">
        <v>398</v>
      </c>
      <c r="J53" s="46">
        <v>1</v>
      </c>
      <c r="K53" s="35"/>
      <c r="N53" s="43"/>
      <c r="O53" s="220"/>
      <c r="P53" s="37"/>
      <c r="Q53" s="95">
        <f>ROUND((ROUND((ROUND((_11_A通院２増３．０*_11・重度研修),0)*_11・２人),0)*(1+_11・A夜間)),0)</f>
        <v>466</v>
      </c>
      <c r="R53" s="48"/>
    </row>
    <row r="54" spans="1:18" ht="16.5" customHeight="1" x14ac:dyDescent="0.15">
      <c r="A54" s="41">
        <v>11</v>
      </c>
      <c r="B54" s="41" t="s">
        <v>15355</v>
      </c>
      <c r="C54" s="74" t="s">
        <v>15356</v>
      </c>
      <c r="D54" s="799"/>
      <c r="E54" s="796"/>
      <c r="F54" s="35"/>
      <c r="H54" s="163"/>
      <c r="I54" s="45"/>
      <c r="J54" s="46"/>
      <c r="K54" s="35"/>
      <c r="N54" s="734" t="s">
        <v>404</v>
      </c>
      <c r="O54" s="219" t="s">
        <v>398</v>
      </c>
      <c r="P54" s="50">
        <f>_11・初任</f>
        <v>0.7</v>
      </c>
      <c r="Q54" s="95">
        <f>ROUND((ROUND((ROUND((_11_A通院２増３．０*_11・重度研修),0)*(1+_11・A夜間)),0)*_11・初任),0)</f>
        <v>326</v>
      </c>
      <c r="R54" s="48"/>
    </row>
    <row r="55" spans="1:18" ht="16.5" customHeight="1" x14ac:dyDescent="0.15">
      <c r="A55" s="41">
        <v>11</v>
      </c>
      <c r="B55" s="41" t="s">
        <v>15357</v>
      </c>
      <c r="C55" s="74" t="s">
        <v>15358</v>
      </c>
      <c r="D55" s="274">
        <f>_11_A通院２増３．０</f>
        <v>414</v>
      </c>
      <c r="E55" s="10" t="s">
        <v>392</v>
      </c>
      <c r="F55" s="35"/>
      <c r="H55" s="299" t="s">
        <v>397</v>
      </c>
      <c r="I55" s="218" t="s">
        <v>398</v>
      </c>
      <c r="J55" s="46">
        <v>1</v>
      </c>
      <c r="K55" s="35"/>
      <c r="N55" s="706"/>
      <c r="O55" s="220"/>
      <c r="P55" s="38"/>
      <c r="Q55" s="95">
        <f>ROUND((ROUND((ROUND((ROUND((_11_A通院２増３．０*_11・重度研修),0)*_11・２人),0)*(1+_11・A夜間)),0)*_11・初任),0)</f>
        <v>326</v>
      </c>
      <c r="R55" s="48"/>
    </row>
    <row r="56" spans="1:18" ht="16.5" customHeight="1" x14ac:dyDescent="0.15">
      <c r="A56" s="41">
        <v>11</v>
      </c>
      <c r="B56" s="41">
        <v>9301</v>
      </c>
      <c r="C56" s="74" t="s">
        <v>15359</v>
      </c>
      <c r="D56" s="707" t="s">
        <v>821</v>
      </c>
      <c r="E56" s="798"/>
      <c r="F56" s="35"/>
      <c r="H56" s="163"/>
      <c r="I56" s="45"/>
      <c r="J56" s="46"/>
      <c r="K56" s="35"/>
      <c r="N56" s="53"/>
      <c r="O56" s="245"/>
      <c r="P56" s="251"/>
      <c r="Q56" s="95">
        <f>ROUND((ROUND((_11_A通院２増３．５*_11・重度研修),0)*(1+_11・A夜間)),0)</f>
        <v>544</v>
      </c>
      <c r="R56" s="48"/>
    </row>
    <row r="57" spans="1:18" ht="16.5" customHeight="1" x14ac:dyDescent="0.15">
      <c r="A57" s="41">
        <v>11</v>
      </c>
      <c r="B57" s="41">
        <v>9302</v>
      </c>
      <c r="C57" s="74" t="s">
        <v>15360</v>
      </c>
      <c r="D57" s="799"/>
      <c r="E57" s="796"/>
      <c r="F57" s="35"/>
      <c r="H57" s="299" t="s">
        <v>397</v>
      </c>
      <c r="I57" s="218" t="s">
        <v>398</v>
      </c>
      <c r="J57" s="46">
        <v>1</v>
      </c>
      <c r="K57" s="35"/>
      <c r="N57" s="43"/>
      <c r="O57" s="220"/>
      <c r="P57" s="244"/>
      <c r="Q57" s="95">
        <f>ROUND((ROUND((ROUND((_11_A通院２増３．５*_11・重度研修),0)*_11・２人),0)*(1+_11・A夜間)),0)</f>
        <v>544</v>
      </c>
      <c r="R57" s="48"/>
    </row>
    <row r="58" spans="1:18" ht="16.5" customHeight="1" x14ac:dyDescent="0.15">
      <c r="A58" s="41">
        <v>11</v>
      </c>
      <c r="B58" s="41" t="s">
        <v>15361</v>
      </c>
      <c r="C58" s="74" t="s">
        <v>15362</v>
      </c>
      <c r="D58" s="799"/>
      <c r="E58" s="796"/>
      <c r="F58" s="35"/>
      <c r="H58" s="163"/>
      <c r="I58" s="45"/>
      <c r="J58" s="46"/>
      <c r="K58" s="35"/>
      <c r="N58" s="734" t="s">
        <v>404</v>
      </c>
      <c r="O58" s="219" t="s">
        <v>398</v>
      </c>
      <c r="P58" s="50">
        <f>_11・初任</f>
        <v>0.7</v>
      </c>
      <c r="Q58" s="95">
        <f>ROUND((ROUND((ROUND((_11_A通院２増３．５*_11・重度研修),0)*(1+_11・A夜間)),0)*_11・初任),0)</f>
        <v>381</v>
      </c>
      <c r="R58" s="48"/>
    </row>
    <row r="59" spans="1:18" ht="16.5" customHeight="1" x14ac:dyDescent="0.15">
      <c r="A59" s="41">
        <v>11</v>
      </c>
      <c r="B59" s="41" t="s">
        <v>15363</v>
      </c>
      <c r="C59" s="74" t="s">
        <v>15364</v>
      </c>
      <c r="D59" s="274">
        <f>_11_A通院２増３．５</f>
        <v>483</v>
      </c>
      <c r="E59" s="10" t="s">
        <v>392</v>
      </c>
      <c r="F59" s="35"/>
      <c r="H59" s="299" t="s">
        <v>397</v>
      </c>
      <c r="I59" s="218" t="s">
        <v>398</v>
      </c>
      <c r="J59" s="46">
        <v>1</v>
      </c>
      <c r="K59" s="35"/>
      <c r="N59" s="706"/>
      <c r="O59" s="220"/>
      <c r="P59" s="38"/>
      <c r="Q59" s="95">
        <f>ROUND((ROUND((ROUND((ROUND((_11_A通院２増３．５*_11・重度研修),0)*_11・２人),0)*(1+_11・A夜間)),0)*_11・初任),0)</f>
        <v>381</v>
      </c>
      <c r="R59" s="48"/>
    </row>
    <row r="60" spans="1:18" ht="16.5" customHeight="1" x14ac:dyDescent="0.15">
      <c r="A60" s="41">
        <v>11</v>
      </c>
      <c r="B60" s="41">
        <v>9303</v>
      </c>
      <c r="C60" s="74" t="s">
        <v>15365</v>
      </c>
      <c r="D60" s="707" t="s">
        <v>834</v>
      </c>
      <c r="E60" s="798"/>
      <c r="F60" s="35"/>
      <c r="H60" s="163"/>
      <c r="I60" s="45"/>
      <c r="J60" s="46"/>
      <c r="K60" s="35"/>
      <c r="N60" s="53"/>
      <c r="O60" s="245"/>
      <c r="P60" s="49"/>
      <c r="Q60" s="95">
        <f>ROUND((ROUND((_11_A通院２増４．０*_11・重度研修),0)*(1+_11・A夜間)),0)</f>
        <v>621</v>
      </c>
      <c r="R60" s="48"/>
    </row>
    <row r="61" spans="1:18" ht="16.5" customHeight="1" x14ac:dyDescent="0.15">
      <c r="A61" s="41">
        <v>11</v>
      </c>
      <c r="B61" s="41">
        <v>9304</v>
      </c>
      <c r="C61" s="74" t="s">
        <v>15366</v>
      </c>
      <c r="D61" s="799"/>
      <c r="E61" s="796"/>
      <c r="F61" s="35"/>
      <c r="H61" s="299" t="s">
        <v>397</v>
      </c>
      <c r="I61" s="218" t="s">
        <v>398</v>
      </c>
      <c r="J61" s="46">
        <v>1</v>
      </c>
      <c r="K61" s="35"/>
      <c r="N61" s="43"/>
      <c r="O61" s="220"/>
      <c r="P61" s="37"/>
      <c r="Q61" s="95">
        <f>ROUND((ROUND((ROUND((_11_A通院２増４．０*_11・重度研修),0)*_11・２人),0)*(1+_11・A夜間)),0)</f>
        <v>621</v>
      </c>
      <c r="R61" s="48"/>
    </row>
    <row r="62" spans="1:18" ht="16.5" customHeight="1" x14ac:dyDescent="0.15">
      <c r="A62" s="41">
        <v>11</v>
      </c>
      <c r="B62" s="41" t="s">
        <v>15367</v>
      </c>
      <c r="C62" s="74" t="s">
        <v>15368</v>
      </c>
      <c r="D62" s="799"/>
      <c r="E62" s="796"/>
      <c r="F62" s="35"/>
      <c r="H62" s="163"/>
      <c r="I62" s="45"/>
      <c r="J62" s="46"/>
      <c r="K62" s="35"/>
      <c r="N62" s="734" t="s">
        <v>404</v>
      </c>
      <c r="O62" s="219" t="s">
        <v>398</v>
      </c>
      <c r="P62" s="50">
        <f>_11・初任</f>
        <v>0.7</v>
      </c>
      <c r="Q62" s="95">
        <f>ROUND((ROUND((ROUND((_11_A通院２増４．０*_11・重度研修),0)*(1+_11・A夜間)),0)*_11・初任),0)</f>
        <v>435</v>
      </c>
      <c r="R62" s="48"/>
    </row>
    <row r="63" spans="1:18" ht="16.5" customHeight="1" x14ac:dyDescent="0.15">
      <c r="A63" s="41">
        <v>11</v>
      </c>
      <c r="B63" s="41" t="s">
        <v>15369</v>
      </c>
      <c r="C63" s="74" t="s">
        <v>15370</v>
      </c>
      <c r="D63" s="274">
        <f>_11_A通院２増４．０</f>
        <v>552</v>
      </c>
      <c r="E63" s="10" t="s">
        <v>392</v>
      </c>
      <c r="F63" s="35"/>
      <c r="G63" s="57"/>
      <c r="H63" s="299" t="s">
        <v>397</v>
      </c>
      <c r="I63" s="218" t="s">
        <v>398</v>
      </c>
      <c r="J63" s="46">
        <v>1</v>
      </c>
      <c r="K63" s="35"/>
      <c r="M63" s="234"/>
      <c r="N63" s="706"/>
      <c r="O63" s="220"/>
      <c r="P63" s="38"/>
      <c r="Q63" s="95">
        <f>ROUND((ROUND((ROUND((ROUND((_11_A通院２増４．０*_11・重度研修),0)*_11・２人),0)*(1+_11・A夜間)),0)*_11・初任),0)</f>
        <v>435</v>
      </c>
      <c r="R63" s="48"/>
    </row>
    <row r="64" spans="1:18" ht="16.5" customHeight="1" x14ac:dyDescent="0.15">
      <c r="A64" s="41">
        <v>11</v>
      </c>
      <c r="B64" s="41">
        <v>9305</v>
      </c>
      <c r="C64" s="74" t="s">
        <v>15371</v>
      </c>
      <c r="D64" s="707" t="s">
        <v>847</v>
      </c>
      <c r="E64" s="798"/>
      <c r="F64" s="132"/>
      <c r="G64" s="291"/>
      <c r="H64" s="163"/>
      <c r="I64" s="45"/>
      <c r="J64" s="46"/>
      <c r="K64" s="92"/>
      <c r="M64" s="234"/>
      <c r="N64" s="53"/>
      <c r="O64" s="245"/>
      <c r="P64" s="49"/>
      <c r="Q64" s="95">
        <f>ROUND((ROUND((_11_A通院２増４．５*_11・重度研修),0)*(1+_11・A夜間)),0)</f>
        <v>699</v>
      </c>
      <c r="R64" s="48"/>
    </row>
    <row r="65" spans="1:18" ht="16.5" customHeight="1" x14ac:dyDescent="0.15">
      <c r="A65" s="41">
        <v>11</v>
      </c>
      <c r="B65" s="41">
        <v>9306</v>
      </c>
      <c r="C65" s="74" t="s">
        <v>15372</v>
      </c>
      <c r="D65" s="799"/>
      <c r="E65" s="796"/>
      <c r="F65" s="292"/>
      <c r="G65" s="291"/>
      <c r="H65" s="299" t="s">
        <v>397</v>
      </c>
      <c r="I65" s="218" t="s">
        <v>398</v>
      </c>
      <c r="J65" s="46">
        <v>1</v>
      </c>
      <c r="K65" s="257"/>
      <c r="L65" s="13"/>
      <c r="M65" s="106"/>
      <c r="N65" s="43"/>
      <c r="O65" s="220"/>
      <c r="P65" s="37"/>
      <c r="Q65" s="95">
        <f>ROUND((ROUND((ROUND((_11_A通院２増４．５*_11・重度研修),0)*_11・２人),0)*(1+_11・A夜間)),0)</f>
        <v>699</v>
      </c>
      <c r="R65" s="48"/>
    </row>
    <row r="66" spans="1:18" ht="16.5" customHeight="1" x14ac:dyDescent="0.15">
      <c r="A66" s="41">
        <v>11</v>
      </c>
      <c r="B66" s="41" t="s">
        <v>15373</v>
      </c>
      <c r="C66" s="74" t="s">
        <v>15374</v>
      </c>
      <c r="D66" s="799"/>
      <c r="E66" s="796"/>
      <c r="F66" s="292"/>
      <c r="G66" s="291"/>
      <c r="H66" s="163"/>
      <c r="I66" s="45"/>
      <c r="J66" s="46"/>
      <c r="K66" s="35"/>
      <c r="M66" s="264"/>
      <c r="N66" s="734" t="s">
        <v>404</v>
      </c>
      <c r="O66" s="219" t="s">
        <v>398</v>
      </c>
      <c r="P66" s="50">
        <f>_11・初任</f>
        <v>0.7</v>
      </c>
      <c r="Q66" s="95">
        <f>ROUND((ROUND((ROUND((_11_A通院２増４．５*_11・重度研修),0)*(1+_11・A夜間)),0)*_11・初任),0)</f>
        <v>489</v>
      </c>
      <c r="R66" s="48"/>
    </row>
    <row r="67" spans="1:18" ht="16.5" customHeight="1" x14ac:dyDescent="0.15">
      <c r="A67" s="41">
        <v>11</v>
      </c>
      <c r="B67" s="41" t="s">
        <v>15375</v>
      </c>
      <c r="C67" s="74" t="s">
        <v>15376</v>
      </c>
      <c r="D67" s="276">
        <f>_11_A通院２増４．５</f>
        <v>621</v>
      </c>
      <c r="E67" s="190" t="s">
        <v>392</v>
      </c>
      <c r="F67" s="293"/>
      <c r="G67" s="244"/>
      <c r="H67" s="299" t="s">
        <v>397</v>
      </c>
      <c r="I67" s="218" t="s">
        <v>398</v>
      </c>
      <c r="J67" s="46">
        <v>1</v>
      </c>
      <c r="K67" s="43"/>
      <c r="L67" s="37"/>
      <c r="M67" s="38"/>
      <c r="N67" s="706"/>
      <c r="O67" s="220"/>
      <c r="P67" s="38"/>
      <c r="Q67" s="95">
        <f>ROUND((ROUND((ROUND((ROUND((_11_A通院２増４．５*_11・重度研修),0)*_11・２人),0)*(1+_11・A夜間)),0)*_11・初任),0)</f>
        <v>489</v>
      </c>
      <c r="R67" s="63"/>
    </row>
    <row r="68" spans="1:18" ht="16.5" customHeight="1" x14ac:dyDescent="0.15">
      <c r="A68" s="80"/>
      <c r="B68" s="80"/>
      <c r="C68" s="81"/>
      <c r="Q68" s="84"/>
      <c r="R68" s="85"/>
    </row>
    <row r="69" spans="1:18" ht="16.5" customHeight="1" x14ac:dyDescent="0.15">
      <c r="A69" s="80"/>
      <c r="B69" s="80"/>
      <c r="C69" s="81"/>
      <c r="Q69" s="84"/>
      <c r="R69" s="85"/>
    </row>
    <row r="70" spans="1:18" ht="16.5" customHeight="1" x14ac:dyDescent="0.15">
      <c r="A70" s="80"/>
      <c r="B70" s="86" t="s">
        <v>15377</v>
      </c>
      <c r="C70" s="81"/>
      <c r="D70" s="71"/>
      <c r="Q70" s="84"/>
      <c r="R70" s="85"/>
    </row>
    <row r="71" spans="1:18" ht="16.5" customHeight="1" x14ac:dyDescent="0.15">
      <c r="A71" s="87" t="s">
        <v>384</v>
      </c>
      <c r="B71" s="20"/>
      <c r="C71" s="88" t="s">
        <v>385</v>
      </c>
      <c r="D71" s="23" t="s">
        <v>386</v>
      </c>
      <c r="E71" s="23"/>
      <c r="F71" s="23"/>
      <c r="G71" s="23"/>
      <c r="H71" s="23"/>
      <c r="I71" s="23"/>
      <c r="J71" s="24"/>
      <c r="K71" s="23"/>
      <c r="L71" s="23"/>
      <c r="M71" s="24"/>
      <c r="N71" s="23"/>
      <c r="O71" s="166"/>
      <c r="P71" s="24"/>
      <c r="Q71" s="25" t="s">
        <v>387</v>
      </c>
      <c r="R71" s="21" t="s">
        <v>388</v>
      </c>
    </row>
    <row r="72" spans="1:18" ht="16.5" customHeight="1" x14ac:dyDescent="0.15">
      <c r="A72" s="26" t="s">
        <v>389</v>
      </c>
      <c r="B72" s="26" t="s">
        <v>390</v>
      </c>
      <c r="C72" s="89"/>
      <c r="D72" s="29"/>
      <c r="E72" s="29"/>
      <c r="F72" s="29"/>
      <c r="G72" s="29"/>
      <c r="H72" s="29"/>
      <c r="I72" s="29"/>
      <c r="J72" s="30"/>
      <c r="K72" s="29"/>
      <c r="L72" s="29"/>
      <c r="M72" s="30"/>
      <c r="N72" s="29"/>
      <c r="O72" s="214"/>
      <c r="P72" s="30"/>
      <c r="Q72" s="31" t="s">
        <v>391</v>
      </c>
      <c r="R72" s="32" t="s">
        <v>392</v>
      </c>
    </row>
    <row r="73" spans="1:18" ht="16.5" customHeight="1" x14ac:dyDescent="0.15">
      <c r="A73" s="33">
        <v>11</v>
      </c>
      <c r="B73" s="33">
        <v>9307</v>
      </c>
      <c r="C73" s="34" t="s">
        <v>15378</v>
      </c>
      <c r="D73" s="709" t="s">
        <v>861</v>
      </c>
      <c r="E73" s="796"/>
      <c r="F73" s="709" t="s">
        <v>11707</v>
      </c>
      <c r="G73" s="802"/>
      <c r="H73" s="43"/>
      <c r="I73" s="37"/>
      <c r="J73" s="38"/>
      <c r="K73" s="92" t="s">
        <v>862</v>
      </c>
      <c r="N73" s="35"/>
      <c r="P73" s="234"/>
      <c r="Q73" s="93">
        <f>ROUND((ROUND((_11_A通院２増０．５*_11・重度研修),0)*(1+_11・A深夜)),0)</f>
        <v>93</v>
      </c>
      <c r="R73" s="40" t="s">
        <v>395</v>
      </c>
    </row>
    <row r="74" spans="1:18" ht="16.5" customHeight="1" x14ac:dyDescent="0.15">
      <c r="A74" s="41">
        <v>11</v>
      </c>
      <c r="B74" s="41">
        <v>9308</v>
      </c>
      <c r="C74" s="74" t="s">
        <v>15379</v>
      </c>
      <c r="D74" s="799"/>
      <c r="E74" s="796"/>
      <c r="F74" s="722"/>
      <c r="G74" s="802"/>
      <c r="H74" s="299" t="s">
        <v>397</v>
      </c>
      <c r="I74" s="218" t="s">
        <v>398</v>
      </c>
      <c r="J74" s="46">
        <v>1</v>
      </c>
      <c r="K74" s="257" t="s">
        <v>398</v>
      </c>
      <c r="L74" s="13">
        <v>0.5</v>
      </c>
      <c r="M74" s="704" t="s">
        <v>676</v>
      </c>
      <c r="N74" s="43"/>
      <c r="O74" s="220"/>
      <c r="P74" s="244"/>
      <c r="Q74" s="95">
        <f>ROUND((ROUND((ROUND((_11_A通院２増０．５*_11・重度研修),0)*_11・２人),0)*(1+_11・A深夜)),0)</f>
        <v>93</v>
      </c>
      <c r="R74" s="48"/>
    </row>
    <row r="75" spans="1:18" ht="16.5" customHeight="1" x14ac:dyDescent="0.15">
      <c r="A75" s="41">
        <v>11</v>
      </c>
      <c r="B75" s="41" t="s">
        <v>15380</v>
      </c>
      <c r="C75" s="74" t="s">
        <v>15381</v>
      </c>
      <c r="D75" s="799"/>
      <c r="E75" s="796"/>
      <c r="F75" s="722"/>
      <c r="G75" s="802"/>
      <c r="H75" s="163"/>
      <c r="I75" s="45"/>
      <c r="J75" s="46"/>
      <c r="K75" s="35"/>
      <c r="M75" s="797"/>
      <c r="N75" s="734" t="s">
        <v>404</v>
      </c>
      <c r="O75" s="219" t="s">
        <v>398</v>
      </c>
      <c r="P75" s="50">
        <f>_11・初任</f>
        <v>0.7</v>
      </c>
      <c r="Q75" s="95">
        <f>ROUND((ROUND((ROUND((_11_A通院２増０．５*_11・重度研修),0)*(1+_11・A深夜)),0)*_11・初任),0)</f>
        <v>65</v>
      </c>
      <c r="R75" s="48"/>
    </row>
    <row r="76" spans="1:18" ht="16.5" customHeight="1" x14ac:dyDescent="0.15">
      <c r="A76" s="41">
        <v>11</v>
      </c>
      <c r="B76" s="41" t="s">
        <v>15382</v>
      </c>
      <c r="C76" s="74" t="s">
        <v>15383</v>
      </c>
      <c r="D76" s="274">
        <f>_11_A通院２増０．５</f>
        <v>69</v>
      </c>
      <c r="E76" s="10" t="s">
        <v>392</v>
      </c>
      <c r="F76" s="258" t="s">
        <v>398</v>
      </c>
      <c r="G76" s="234">
        <v>0.9</v>
      </c>
      <c r="H76" s="299" t="s">
        <v>397</v>
      </c>
      <c r="I76" s="218" t="s">
        <v>398</v>
      </c>
      <c r="J76" s="46">
        <v>1</v>
      </c>
      <c r="K76" s="35"/>
      <c r="N76" s="706"/>
      <c r="O76" s="220"/>
      <c r="P76" s="38"/>
      <c r="Q76" s="95">
        <f>ROUND((ROUND((ROUND((ROUND((_11_A通院２増０．５*_11・重度研修),0)*_11・２人),0)*(1+_11・A深夜)),0)*_11・初任),0)</f>
        <v>65</v>
      </c>
      <c r="R76" s="48"/>
    </row>
    <row r="77" spans="1:18" ht="16.5" customHeight="1" x14ac:dyDescent="0.15">
      <c r="A77" s="41">
        <v>11</v>
      </c>
      <c r="B77" s="41">
        <v>9309</v>
      </c>
      <c r="C77" s="74" t="s">
        <v>15384</v>
      </c>
      <c r="D77" s="707" t="s">
        <v>876</v>
      </c>
      <c r="E77" s="798"/>
      <c r="F77" s="35"/>
      <c r="H77" s="163"/>
      <c r="I77" s="45"/>
      <c r="J77" s="46"/>
      <c r="K77" s="35"/>
      <c r="N77" s="53"/>
      <c r="O77" s="245"/>
      <c r="P77" s="49"/>
      <c r="Q77" s="95">
        <f>ROUND((ROUND((_11_A通院２増１．０*_11・重度研修),0)*(1+_11・A深夜)),0)</f>
        <v>186</v>
      </c>
      <c r="R77" s="48"/>
    </row>
    <row r="78" spans="1:18" ht="16.5" customHeight="1" x14ac:dyDescent="0.15">
      <c r="A78" s="41">
        <v>11</v>
      </c>
      <c r="B78" s="41">
        <v>9310</v>
      </c>
      <c r="C78" s="74" t="s">
        <v>15385</v>
      </c>
      <c r="D78" s="799"/>
      <c r="E78" s="796"/>
      <c r="F78" s="35"/>
      <c r="H78" s="299" t="s">
        <v>397</v>
      </c>
      <c r="I78" s="218" t="s">
        <v>398</v>
      </c>
      <c r="J78" s="46">
        <v>1</v>
      </c>
      <c r="K78" s="35"/>
      <c r="N78" s="43"/>
      <c r="O78" s="220"/>
      <c r="P78" s="37"/>
      <c r="Q78" s="95">
        <f>ROUND((ROUND((ROUND((_11_A通院２増１．０*_11・重度研修),0)*_11・２人),0)*(1+_11・A深夜)),0)</f>
        <v>186</v>
      </c>
      <c r="R78" s="48"/>
    </row>
    <row r="79" spans="1:18" ht="16.5" customHeight="1" x14ac:dyDescent="0.15">
      <c r="A79" s="41">
        <v>11</v>
      </c>
      <c r="B79" s="41" t="s">
        <v>15386</v>
      </c>
      <c r="C79" s="74" t="s">
        <v>15387</v>
      </c>
      <c r="D79" s="799"/>
      <c r="E79" s="796"/>
      <c r="F79" s="35"/>
      <c r="H79" s="163"/>
      <c r="I79" s="45"/>
      <c r="J79" s="46"/>
      <c r="K79" s="35"/>
      <c r="N79" s="734" t="s">
        <v>404</v>
      </c>
      <c r="O79" s="219" t="s">
        <v>398</v>
      </c>
      <c r="P79" s="50">
        <f>_11・初任</f>
        <v>0.7</v>
      </c>
      <c r="Q79" s="95">
        <f>ROUND((ROUND((ROUND((_11_A通院２増１．０*_11・重度研修),0)*(1+_11・A深夜)),0)*_11・初任),0)</f>
        <v>130</v>
      </c>
      <c r="R79" s="48"/>
    </row>
    <row r="80" spans="1:18" ht="16.5" customHeight="1" x14ac:dyDescent="0.15">
      <c r="A80" s="41">
        <v>11</v>
      </c>
      <c r="B80" s="41" t="s">
        <v>15388</v>
      </c>
      <c r="C80" s="74" t="s">
        <v>15389</v>
      </c>
      <c r="D80" s="276">
        <f>_11_A通院２増１．０</f>
        <v>138</v>
      </c>
      <c r="E80" s="190" t="s">
        <v>392</v>
      </c>
      <c r="F80" s="35"/>
      <c r="G80" s="57"/>
      <c r="H80" s="299" t="s">
        <v>397</v>
      </c>
      <c r="I80" s="218" t="s">
        <v>398</v>
      </c>
      <c r="J80" s="46">
        <v>1</v>
      </c>
      <c r="K80" s="35"/>
      <c r="N80" s="706"/>
      <c r="O80" s="220"/>
      <c r="P80" s="38"/>
      <c r="Q80" s="95">
        <f>ROUND((ROUND((ROUND((ROUND((_11_A通院２増１．０*_11・重度研修),0)*_11・２人),0)*(1+_11・A深夜)),0)*_11・初任),0)</f>
        <v>130</v>
      </c>
      <c r="R80" s="48"/>
    </row>
    <row r="81" spans="1:18" ht="16.5" customHeight="1" x14ac:dyDescent="0.15">
      <c r="A81" s="33">
        <v>11</v>
      </c>
      <c r="B81" s="33">
        <v>9311</v>
      </c>
      <c r="C81" s="34" t="s">
        <v>15390</v>
      </c>
      <c r="D81" s="709" t="s">
        <v>889</v>
      </c>
      <c r="E81" s="796"/>
      <c r="F81" s="35"/>
      <c r="G81" s="57"/>
      <c r="H81" s="43"/>
      <c r="I81" s="37"/>
      <c r="J81" s="38"/>
      <c r="K81" s="35"/>
      <c r="N81" s="35"/>
      <c r="P81" s="234"/>
      <c r="Q81" s="93">
        <f>ROUND((ROUND((_11_A通院２増１．５*_11・重度研修),0)*(1+_11・A深夜)),0)</f>
        <v>279</v>
      </c>
      <c r="R81" s="48"/>
    </row>
    <row r="82" spans="1:18" ht="16.5" customHeight="1" x14ac:dyDescent="0.15">
      <c r="A82" s="41">
        <v>11</v>
      </c>
      <c r="B82" s="41">
        <v>9312</v>
      </c>
      <c r="C82" s="74" t="s">
        <v>15391</v>
      </c>
      <c r="D82" s="799"/>
      <c r="E82" s="796"/>
      <c r="F82" s="35"/>
      <c r="H82" s="299" t="s">
        <v>397</v>
      </c>
      <c r="I82" s="218" t="s">
        <v>398</v>
      </c>
      <c r="J82" s="46">
        <v>1</v>
      </c>
      <c r="K82" s="35"/>
      <c r="N82" s="43"/>
      <c r="O82" s="220"/>
      <c r="P82" s="244"/>
      <c r="Q82" s="95">
        <f>ROUND((ROUND((ROUND((_11_A通院２増１．５*_11・重度研修),0)*_11・２人),0)*(1+_11・A深夜)),0)</f>
        <v>279</v>
      </c>
      <c r="R82" s="48"/>
    </row>
    <row r="83" spans="1:18" ht="16.5" customHeight="1" x14ac:dyDescent="0.15">
      <c r="A83" s="41">
        <v>11</v>
      </c>
      <c r="B83" s="41" t="s">
        <v>15392</v>
      </c>
      <c r="C83" s="74" t="s">
        <v>15393</v>
      </c>
      <c r="D83" s="799"/>
      <c r="E83" s="796"/>
      <c r="F83" s="35"/>
      <c r="H83" s="163"/>
      <c r="I83" s="45"/>
      <c r="J83" s="46"/>
      <c r="K83" s="35"/>
      <c r="N83" s="734" t="s">
        <v>404</v>
      </c>
      <c r="O83" s="219" t="s">
        <v>398</v>
      </c>
      <c r="P83" s="50">
        <f>_11・初任</f>
        <v>0.7</v>
      </c>
      <c r="Q83" s="95">
        <f>ROUND((ROUND((ROUND((_11_A通院２増１．５*_11・重度研修),0)*(1+_11・A深夜)),0)*_11・初任),0)</f>
        <v>195</v>
      </c>
      <c r="R83" s="48"/>
    </row>
    <row r="84" spans="1:18" ht="16.5" customHeight="1" x14ac:dyDescent="0.15">
      <c r="A84" s="41">
        <v>11</v>
      </c>
      <c r="B84" s="41" t="s">
        <v>15394</v>
      </c>
      <c r="C84" s="74" t="s">
        <v>15395</v>
      </c>
      <c r="D84" s="274">
        <f>_11_A通院２増１．５</f>
        <v>207</v>
      </c>
      <c r="E84" s="10" t="s">
        <v>392</v>
      </c>
      <c r="F84" s="35"/>
      <c r="H84" s="299" t="s">
        <v>397</v>
      </c>
      <c r="I84" s="218" t="s">
        <v>398</v>
      </c>
      <c r="J84" s="46">
        <v>1</v>
      </c>
      <c r="K84" s="35"/>
      <c r="N84" s="706"/>
      <c r="O84" s="220"/>
      <c r="P84" s="38"/>
      <c r="Q84" s="95">
        <f>ROUND((ROUND((ROUND((ROUND((_11_A通院２増１．５*_11・重度研修),0)*_11・２人),0)*(1+_11・A深夜)),0)*_11・初任),0)</f>
        <v>195</v>
      </c>
      <c r="R84" s="48"/>
    </row>
    <row r="85" spans="1:18" ht="16.5" customHeight="1" x14ac:dyDescent="0.15">
      <c r="A85" s="41">
        <v>11</v>
      </c>
      <c r="B85" s="41">
        <v>9313</v>
      </c>
      <c r="C85" s="74" t="s">
        <v>15396</v>
      </c>
      <c r="D85" s="707" t="s">
        <v>1188</v>
      </c>
      <c r="E85" s="798"/>
      <c r="F85" s="35"/>
      <c r="H85" s="163"/>
      <c r="I85" s="45"/>
      <c r="J85" s="46"/>
      <c r="K85" s="35"/>
      <c r="N85" s="53"/>
      <c r="O85" s="245"/>
      <c r="P85" s="49"/>
      <c r="Q85" s="95">
        <f>ROUND((ROUND((_11_A通院２増２．０*_11・重度研修),0)*(1+_11・A深夜)),0)</f>
        <v>372</v>
      </c>
      <c r="R85" s="48"/>
    </row>
    <row r="86" spans="1:18" ht="16.5" customHeight="1" x14ac:dyDescent="0.15">
      <c r="A86" s="41">
        <v>11</v>
      </c>
      <c r="B86" s="41">
        <v>9314</v>
      </c>
      <c r="C86" s="74" t="s">
        <v>15397</v>
      </c>
      <c r="D86" s="799"/>
      <c r="E86" s="796"/>
      <c r="F86" s="35"/>
      <c r="H86" s="299" t="s">
        <v>397</v>
      </c>
      <c r="I86" s="218" t="s">
        <v>398</v>
      </c>
      <c r="J86" s="46">
        <v>1</v>
      </c>
      <c r="K86" s="35"/>
      <c r="N86" s="43"/>
      <c r="O86" s="220"/>
      <c r="P86" s="37"/>
      <c r="Q86" s="95">
        <f>ROUND((ROUND((ROUND((_11_A通院２増２．０*_11・重度研修),0)*_11・２人),0)*(1+_11・A深夜)),0)</f>
        <v>372</v>
      </c>
      <c r="R86" s="48"/>
    </row>
    <row r="87" spans="1:18" ht="16.5" customHeight="1" x14ac:dyDescent="0.15">
      <c r="A87" s="41">
        <v>11</v>
      </c>
      <c r="B87" s="41" t="s">
        <v>15398</v>
      </c>
      <c r="C87" s="74" t="s">
        <v>15399</v>
      </c>
      <c r="D87" s="799"/>
      <c r="E87" s="796"/>
      <c r="F87" s="35"/>
      <c r="H87" s="163"/>
      <c r="I87" s="45"/>
      <c r="J87" s="46"/>
      <c r="K87" s="35"/>
      <c r="N87" s="734" t="s">
        <v>404</v>
      </c>
      <c r="O87" s="219" t="s">
        <v>398</v>
      </c>
      <c r="P87" s="50">
        <f>_11・初任</f>
        <v>0.7</v>
      </c>
      <c r="Q87" s="95">
        <f>ROUND((ROUND((ROUND((_11_A通院２増２．０*_11・重度研修),0)*(1+_11・A深夜)),0)*_11・初任),0)</f>
        <v>260</v>
      </c>
      <c r="R87" s="48"/>
    </row>
    <row r="88" spans="1:18" ht="16.5" customHeight="1" x14ac:dyDescent="0.15">
      <c r="A88" s="41">
        <v>11</v>
      </c>
      <c r="B88" s="41" t="s">
        <v>15400</v>
      </c>
      <c r="C88" s="74" t="s">
        <v>15401</v>
      </c>
      <c r="D88" s="274">
        <f>_11_A通院２増２．０</f>
        <v>276</v>
      </c>
      <c r="E88" s="10" t="s">
        <v>392</v>
      </c>
      <c r="F88" s="35"/>
      <c r="H88" s="299" t="s">
        <v>397</v>
      </c>
      <c r="I88" s="218" t="s">
        <v>398</v>
      </c>
      <c r="J88" s="46">
        <v>1</v>
      </c>
      <c r="K88" s="35"/>
      <c r="N88" s="706"/>
      <c r="O88" s="220"/>
      <c r="P88" s="38"/>
      <c r="Q88" s="95">
        <f>ROUND((ROUND((ROUND((ROUND((_11_A通院２増２．０*_11・重度研修),0)*_11・２人),0)*(1+_11・A深夜)),0)*_11・初任),0)</f>
        <v>260</v>
      </c>
      <c r="R88" s="48"/>
    </row>
    <row r="89" spans="1:18" ht="16.5" customHeight="1" x14ac:dyDescent="0.15">
      <c r="A89" s="41">
        <v>11</v>
      </c>
      <c r="B89" s="41">
        <v>9315</v>
      </c>
      <c r="C89" s="74" t="s">
        <v>15402</v>
      </c>
      <c r="D89" s="707" t="s">
        <v>915</v>
      </c>
      <c r="E89" s="798"/>
      <c r="F89" s="35"/>
      <c r="H89" s="163"/>
      <c r="I89" s="45"/>
      <c r="J89" s="46"/>
      <c r="K89" s="35"/>
      <c r="N89" s="53"/>
      <c r="O89" s="245"/>
      <c r="P89" s="251"/>
      <c r="Q89" s="95">
        <f>ROUND((ROUND((_11_A通院２増２．５*_11・重度研修),0)*(1+_11・A深夜)),0)</f>
        <v>467</v>
      </c>
      <c r="R89" s="48"/>
    </row>
    <row r="90" spans="1:18" ht="16.5" customHeight="1" x14ac:dyDescent="0.15">
      <c r="A90" s="41">
        <v>11</v>
      </c>
      <c r="B90" s="41">
        <v>9316</v>
      </c>
      <c r="C90" s="74" t="s">
        <v>15403</v>
      </c>
      <c r="D90" s="799"/>
      <c r="E90" s="796"/>
      <c r="F90" s="35"/>
      <c r="H90" s="299" t="s">
        <v>397</v>
      </c>
      <c r="I90" s="218" t="s">
        <v>398</v>
      </c>
      <c r="J90" s="46">
        <v>1</v>
      </c>
      <c r="K90" s="35"/>
      <c r="N90" s="43"/>
      <c r="O90" s="220"/>
      <c r="P90" s="244"/>
      <c r="Q90" s="95">
        <f>ROUND((ROUND((ROUND((_11_A通院２増２．５*_11・重度研修),0)*_11・２人),0)*(1+_11・A深夜)),0)</f>
        <v>467</v>
      </c>
      <c r="R90" s="48"/>
    </row>
    <row r="91" spans="1:18" ht="16.5" customHeight="1" x14ac:dyDescent="0.15">
      <c r="A91" s="41">
        <v>11</v>
      </c>
      <c r="B91" s="41" t="s">
        <v>15404</v>
      </c>
      <c r="C91" s="74" t="s">
        <v>15405</v>
      </c>
      <c r="D91" s="799"/>
      <c r="E91" s="796"/>
      <c r="F91" s="35"/>
      <c r="H91" s="163"/>
      <c r="I91" s="45"/>
      <c r="J91" s="46"/>
      <c r="K91" s="35"/>
      <c r="N91" s="734" t="s">
        <v>404</v>
      </c>
      <c r="O91" s="219" t="s">
        <v>398</v>
      </c>
      <c r="P91" s="50">
        <f>_11・初任</f>
        <v>0.7</v>
      </c>
      <c r="Q91" s="95">
        <f>ROUND((ROUND((ROUND((_11_A通院２増２．５*_11・重度研修),0)*(1+_11・A深夜)),0)*_11・初任),0)</f>
        <v>327</v>
      </c>
      <c r="R91" s="48"/>
    </row>
    <row r="92" spans="1:18" ht="16.5" customHeight="1" x14ac:dyDescent="0.15">
      <c r="A92" s="41">
        <v>11</v>
      </c>
      <c r="B92" s="41" t="s">
        <v>15406</v>
      </c>
      <c r="C92" s="74" t="s">
        <v>15407</v>
      </c>
      <c r="D92" s="274">
        <f>_11_A通院２増２．５</f>
        <v>345</v>
      </c>
      <c r="E92" s="10" t="s">
        <v>392</v>
      </c>
      <c r="F92" s="35"/>
      <c r="H92" s="299" t="s">
        <v>397</v>
      </c>
      <c r="I92" s="218" t="s">
        <v>398</v>
      </c>
      <c r="J92" s="46">
        <v>1</v>
      </c>
      <c r="K92" s="35"/>
      <c r="N92" s="706"/>
      <c r="O92" s="220"/>
      <c r="P92" s="38"/>
      <c r="Q92" s="95">
        <f>ROUND((ROUND((ROUND((ROUND((_11_A通院２増２．５*_11・重度研修),0)*_11・２人),0)*(1+_11・A深夜)),0)*_11・初任),0)</f>
        <v>327</v>
      </c>
      <c r="R92" s="48"/>
    </row>
    <row r="93" spans="1:18" ht="16.5" customHeight="1" x14ac:dyDescent="0.15">
      <c r="A93" s="41">
        <v>11</v>
      </c>
      <c r="B93" s="41">
        <v>9317</v>
      </c>
      <c r="C93" s="74" t="s">
        <v>15408</v>
      </c>
      <c r="D93" s="707" t="s">
        <v>928</v>
      </c>
      <c r="E93" s="798"/>
      <c r="F93" s="35"/>
      <c r="H93" s="163"/>
      <c r="I93" s="45"/>
      <c r="J93" s="46"/>
      <c r="K93" s="35"/>
      <c r="N93" s="53"/>
      <c r="O93" s="245"/>
      <c r="P93" s="49"/>
      <c r="Q93" s="95">
        <f>ROUND((ROUND((_11_A通院２増３．０*_11・重度研修),0)*(1+_11・A深夜)),0)</f>
        <v>560</v>
      </c>
      <c r="R93" s="48"/>
    </row>
    <row r="94" spans="1:18" ht="16.5" customHeight="1" x14ac:dyDescent="0.15">
      <c r="A94" s="41">
        <v>11</v>
      </c>
      <c r="B94" s="41">
        <v>9318</v>
      </c>
      <c r="C94" s="74" t="s">
        <v>15409</v>
      </c>
      <c r="D94" s="799"/>
      <c r="E94" s="796"/>
      <c r="F94" s="35"/>
      <c r="H94" s="299" t="s">
        <v>397</v>
      </c>
      <c r="I94" s="218" t="s">
        <v>398</v>
      </c>
      <c r="J94" s="46">
        <v>1</v>
      </c>
      <c r="K94" s="35"/>
      <c r="N94" s="43"/>
      <c r="O94" s="220"/>
      <c r="P94" s="37"/>
      <c r="Q94" s="95">
        <f>ROUND((ROUND((ROUND((_11_A通院２増３．０*_11・重度研修),0)*_11・２人),0)*(1+_11・A深夜)),0)</f>
        <v>560</v>
      </c>
      <c r="R94" s="48"/>
    </row>
    <row r="95" spans="1:18" ht="16.5" customHeight="1" x14ac:dyDescent="0.15">
      <c r="A95" s="41">
        <v>11</v>
      </c>
      <c r="B95" s="41" t="s">
        <v>15410</v>
      </c>
      <c r="C95" s="74" t="s">
        <v>15411</v>
      </c>
      <c r="D95" s="799"/>
      <c r="E95" s="796"/>
      <c r="F95" s="35"/>
      <c r="H95" s="163"/>
      <c r="I95" s="45"/>
      <c r="J95" s="46"/>
      <c r="K95" s="35"/>
      <c r="N95" s="734" t="s">
        <v>404</v>
      </c>
      <c r="O95" s="219" t="s">
        <v>398</v>
      </c>
      <c r="P95" s="50">
        <f>_11・初任</f>
        <v>0.7</v>
      </c>
      <c r="Q95" s="95">
        <f>ROUND((ROUND((ROUND((_11_A通院２増３．０*_11・重度研修),0)*(1+_11・A深夜)),0)*_11・初任),0)</f>
        <v>392</v>
      </c>
      <c r="R95" s="48"/>
    </row>
    <row r="96" spans="1:18" ht="16.5" customHeight="1" x14ac:dyDescent="0.15">
      <c r="A96" s="41">
        <v>11</v>
      </c>
      <c r="B96" s="41" t="s">
        <v>15412</v>
      </c>
      <c r="C96" s="74" t="s">
        <v>15413</v>
      </c>
      <c r="D96" s="274">
        <f>_11_A通院２増３．０</f>
        <v>414</v>
      </c>
      <c r="E96" s="10" t="s">
        <v>392</v>
      </c>
      <c r="F96" s="35"/>
      <c r="H96" s="299" t="s">
        <v>397</v>
      </c>
      <c r="I96" s="218" t="s">
        <v>398</v>
      </c>
      <c r="J96" s="46">
        <v>1</v>
      </c>
      <c r="K96" s="35"/>
      <c r="N96" s="706"/>
      <c r="O96" s="220"/>
      <c r="P96" s="38"/>
      <c r="Q96" s="95">
        <f>ROUND((ROUND((ROUND((ROUND((_11_A通院２増３．０*_11・重度研修),0)*_11・２人),0)*(1+_11・A深夜)),0)*_11・初任),0)</f>
        <v>392</v>
      </c>
      <c r="R96" s="48"/>
    </row>
    <row r="97" spans="1:18" ht="16.5" customHeight="1" x14ac:dyDescent="0.15">
      <c r="A97" s="41">
        <v>11</v>
      </c>
      <c r="B97" s="41">
        <v>9319</v>
      </c>
      <c r="C97" s="74" t="s">
        <v>15414</v>
      </c>
      <c r="D97" s="707" t="s">
        <v>941</v>
      </c>
      <c r="E97" s="798"/>
      <c r="F97" s="35"/>
      <c r="H97" s="163"/>
      <c r="I97" s="45"/>
      <c r="J97" s="46"/>
      <c r="K97" s="35"/>
      <c r="N97" s="53"/>
      <c r="O97" s="245"/>
      <c r="P97" s="251"/>
      <c r="Q97" s="95">
        <f>ROUND((ROUND((_11_A通院２増３．５*_11・重度研修),0)*(1+_11・A深夜)),0)</f>
        <v>653</v>
      </c>
      <c r="R97" s="48"/>
    </row>
    <row r="98" spans="1:18" ht="16.5" customHeight="1" x14ac:dyDescent="0.15">
      <c r="A98" s="41">
        <v>11</v>
      </c>
      <c r="B98" s="41">
        <v>9320</v>
      </c>
      <c r="C98" s="74" t="s">
        <v>15415</v>
      </c>
      <c r="D98" s="799"/>
      <c r="E98" s="796"/>
      <c r="F98" s="35"/>
      <c r="H98" s="299" t="s">
        <v>397</v>
      </c>
      <c r="I98" s="218" t="s">
        <v>398</v>
      </c>
      <c r="J98" s="46">
        <v>1</v>
      </c>
      <c r="K98" s="35"/>
      <c r="N98" s="43"/>
      <c r="O98" s="220"/>
      <c r="P98" s="244"/>
      <c r="Q98" s="95">
        <f>ROUND((ROUND((ROUND((_11_A通院２増３．５*_11・重度研修),0)*_11・２人),0)*(1+_11・A深夜)),0)</f>
        <v>653</v>
      </c>
      <c r="R98" s="48"/>
    </row>
    <row r="99" spans="1:18" ht="16.5" customHeight="1" x14ac:dyDescent="0.15">
      <c r="A99" s="41">
        <v>11</v>
      </c>
      <c r="B99" s="41" t="s">
        <v>15416</v>
      </c>
      <c r="C99" s="74" t="s">
        <v>15417</v>
      </c>
      <c r="D99" s="799"/>
      <c r="E99" s="796"/>
      <c r="F99" s="35"/>
      <c r="H99" s="163"/>
      <c r="I99" s="45"/>
      <c r="J99" s="46"/>
      <c r="K99" s="35"/>
      <c r="N99" s="734" t="s">
        <v>404</v>
      </c>
      <c r="O99" s="219" t="s">
        <v>398</v>
      </c>
      <c r="P99" s="50">
        <f>_11・初任</f>
        <v>0.7</v>
      </c>
      <c r="Q99" s="95">
        <f>ROUND((ROUND((ROUND((_11_A通院２増３．５*_11・重度研修),0)*(1+_11・A深夜)),0)*_11・初任),0)</f>
        <v>457</v>
      </c>
      <c r="R99" s="48"/>
    </row>
    <row r="100" spans="1:18" ht="16.5" customHeight="1" x14ac:dyDescent="0.15">
      <c r="A100" s="41">
        <v>11</v>
      </c>
      <c r="B100" s="41" t="s">
        <v>15418</v>
      </c>
      <c r="C100" s="74" t="s">
        <v>15419</v>
      </c>
      <c r="D100" s="274">
        <f>_11_A通院２増３．５</f>
        <v>483</v>
      </c>
      <c r="E100" s="10" t="s">
        <v>392</v>
      </c>
      <c r="F100" s="35"/>
      <c r="H100" s="299" t="s">
        <v>397</v>
      </c>
      <c r="I100" s="218" t="s">
        <v>398</v>
      </c>
      <c r="J100" s="46">
        <v>1</v>
      </c>
      <c r="K100" s="35"/>
      <c r="N100" s="706"/>
      <c r="O100" s="220"/>
      <c r="P100" s="38"/>
      <c r="Q100" s="95">
        <f>ROUND((ROUND((ROUND((ROUND((_11_A通院２増３．５*_11・重度研修),0)*_11・２人),0)*(1+_11・A深夜)),0)*_11・初任),0)</f>
        <v>457</v>
      </c>
      <c r="R100" s="48"/>
    </row>
    <row r="101" spans="1:18" ht="16.5" customHeight="1" x14ac:dyDescent="0.15">
      <c r="A101" s="41">
        <v>11</v>
      </c>
      <c r="B101" s="41">
        <v>9321</v>
      </c>
      <c r="C101" s="74" t="s">
        <v>15420</v>
      </c>
      <c r="D101" s="707" t="s">
        <v>954</v>
      </c>
      <c r="E101" s="798"/>
      <c r="F101" s="35"/>
      <c r="H101" s="163"/>
      <c r="I101" s="45"/>
      <c r="J101" s="46"/>
      <c r="K101" s="35"/>
      <c r="N101" s="53"/>
      <c r="O101" s="245"/>
      <c r="P101" s="49"/>
      <c r="Q101" s="95">
        <f>ROUND((ROUND((_11_A通院２増４．０*_11・重度研修),0)*(1+_11・A深夜)),0)</f>
        <v>746</v>
      </c>
      <c r="R101" s="48"/>
    </row>
    <row r="102" spans="1:18" ht="16.5" customHeight="1" x14ac:dyDescent="0.15">
      <c r="A102" s="41">
        <v>11</v>
      </c>
      <c r="B102" s="41">
        <v>9322</v>
      </c>
      <c r="C102" s="74" t="s">
        <v>15421</v>
      </c>
      <c r="D102" s="799"/>
      <c r="E102" s="796"/>
      <c r="F102" s="35"/>
      <c r="H102" s="299" t="s">
        <v>397</v>
      </c>
      <c r="I102" s="218" t="s">
        <v>398</v>
      </c>
      <c r="J102" s="46">
        <v>1</v>
      </c>
      <c r="K102" s="35"/>
      <c r="N102" s="43"/>
      <c r="O102" s="220"/>
      <c r="P102" s="37"/>
      <c r="Q102" s="95">
        <f>ROUND((ROUND((ROUND((_11_A通院２増４．０*_11・重度研修),0)*_11・２人),0)*(1+_11・A深夜)),0)</f>
        <v>746</v>
      </c>
      <c r="R102" s="48"/>
    </row>
    <row r="103" spans="1:18" ht="16.5" customHeight="1" x14ac:dyDescent="0.15">
      <c r="A103" s="41">
        <v>11</v>
      </c>
      <c r="B103" s="41" t="s">
        <v>15422</v>
      </c>
      <c r="C103" s="74" t="s">
        <v>15423</v>
      </c>
      <c r="D103" s="799"/>
      <c r="E103" s="796"/>
      <c r="F103" s="35"/>
      <c r="H103" s="163"/>
      <c r="I103" s="45"/>
      <c r="J103" s="46"/>
      <c r="K103" s="35"/>
      <c r="N103" s="734" t="s">
        <v>404</v>
      </c>
      <c r="O103" s="219" t="s">
        <v>398</v>
      </c>
      <c r="P103" s="50">
        <f>_11・初任</f>
        <v>0.7</v>
      </c>
      <c r="Q103" s="95">
        <f>ROUND((ROUND((ROUND((_11_A通院２増４．０*_11・重度研修),0)*(1+_11・A深夜)),0)*_11・初任),0)</f>
        <v>522</v>
      </c>
      <c r="R103" s="48"/>
    </row>
    <row r="104" spans="1:18" ht="16.5" customHeight="1" x14ac:dyDescent="0.15">
      <c r="A104" s="41">
        <v>11</v>
      </c>
      <c r="B104" s="41" t="s">
        <v>15424</v>
      </c>
      <c r="C104" s="74" t="s">
        <v>15425</v>
      </c>
      <c r="D104" s="274">
        <f>_11_A通院２増４．０</f>
        <v>552</v>
      </c>
      <c r="E104" s="10" t="s">
        <v>392</v>
      </c>
      <c r="F104" s="35"/>
      <c r="H104" s="299" t="s">
        <v>397</v>
      </c>
      <c r="I104" s="218" t="s">
        <v>398</v>
      </c>
      <c r="J104" s="46">
        <v>1</v>
      </c>
      <c r="K104" s="35"/>
      <c r="N104" s="706"/>
      <c r="O104" s="220"/>
      <c r="P104" s="38"/>
      <c r="Q104" s="95">
        <f>ROUND((ROUND((ROUND((ROUND((_11_A通院２増４．０*_11・重度研修),0)*_11・２人),0)*(1+_11・A深夜)),0)*_11・初任),0)</f>
        <v>522</v>
      </c>
      <c r="R104" s="48"/>
    </row>
    <row r="105" spans="1:18" ht="16.5" customHeight="1" x14ac:dyDescent="0.15">
      <c r="A105" s="41">
        <v>11</v>
      </c>
      <c r="B105" s="41">
        <v>9323</v>
      </c>
      <c r="C105" s="74" t="s">
        <v>15426</v>
      </c>
      <c r="D105" s="707" t="s">
        <v>3197</v>
      </c>
      <c r="E105" s="798"/>
      <c r="F105" s="35"/>
      <c r="H105" s="163"/>
      <c r="I105" s="45"/>
      <c r="J105" s="46"/>
      <c r="K105" s="35"/>
      <c r="N105" s="53"/>
      <c r="O105" s="245"/>
      <c r="P105" s="251"/>
      <c r="Q105" s="95">
        <f>ROUND((ROUND((_11_A通院２増４．５*_11・重度研修),0)*(1+_11・A深夜)),0)</f>
        <v>839</v>
      </c>
      <c r="R105" s="48"/>
    </row>
    <row r="106" spans="1:18" ht="16.5" customHeight="1" x14ac:dyDescent="0.15">
      <c r="A106" s="41">
        <v>11</v>
      </c>
      <c r="B106" s="41">
        <v>9324</v>
      </c>
      <c r="C106" s="74" t="s">
        <v>15427</v>
      </c>
      <c r="D106" s="799"/>
      <c r="E106" s="796"/>
      <c r="F106" s="35"/>
      <c r="H106" s="299" t="s">
        <v>397</v>
      </c>
      <c r="I106" s="218" t="s">
        <v>398</v>
      </c>
      <c r="J106" s="46">
        <v>1</v>
      </c>
      <c r="K106" s="35"/>
      <c r="N106" s="43"/>
      <c r="O106" s="220"/>
      <c r="P106" s="244"/>
      <c r="Q106" s="95">
        <f>ROUND((ROUND((ROUND((_11_A通院２増４．５*_11・重度研修),0)*_11・２人),0)*(1+_11・A深夜)),0)</f>
        <v>839</v>
      </c>
      <c r="R106" s="48"/>
    </row>
    <row r="107" spans="1:18" ht="16.5" customHeight="1" x14ac:dyDescent="0.15">
      <c r="A107" s="41">
        <v>11</v>
      </c>
      <c r="B107" s="41" t="s">
        <v>15428</v>
      </c>
      <c r="C107" s="74" t="s">
        <v>15429</v>
      </c>
      <c r="D107" s="799"/>
      <c r="E107" s="796"/>
      <c r="F107" s="35"/>
      <c r="H107" s="163"/>
      <c r="I107" s="45"/>
      <c r="J107" s="46"/>
      <c r="K107" s="35"/>
      <c r="N107" s="734" t="s">
        <v>404</v>
      </c>
      <c r="O107" s="219" t="s">
        <v>398</v>
      </c>
      <c r="P107" s="50">
        <f>_11・初任</f>
        <v>0.7</v>
      </c>
      <c r="Q107" s="95">
        <f>ROUND((ROUND((ROUND((_11_A通院２増４．５*_11・重度研修),0)*(1+_11・A深夜)),0)*_11・初任),0)</f>
        <v>587</v>
      </c>
      <c r="R107" s="48"/>
    </row>
    <row r="108" spans="1:18" ht="16.5" customHeight="1" x14ac:dyDescent="0.15">
      <c r="A108" s="41">
        <v>11</v>
      </c>
      <c r="B108" s="41" t="s">
        <v>15430</v>
      </c>
      <c r="C108" s="74" t="s">
        <v>15431</v>
      </c>
      <c r="D108" s="274">
        <f>_11_A通院２増４．５</f>
        <v>621</v>
      </c>
      <c r="E108" s="10" t="s">
        <v>392</v>
      </c>
      <c r="F108" s="35"/>
      <c r="H108" s="299" t="s">
        <v>397</v>
      </c>
      <c r="I108" s="218" t="s">
        <v>398</v>
      </c>
      <c r="J108" s="46">
        <v>1</v>
      </c>
      <c r="K108" s="35"/>
      <c r="N108" s="706"/>
      <c r="O108" s="220"/>
      <c r="P108" s="38"/>
      <c r="Q108" s="95">
        <f>ROUND((ROUND((ROUND((ROUND((_11_A通院２増４．５*_11・重度研修),0)*_11・２人),0)*(1+_11・A深夜)),0)*_11・初任),0)</f>
        <v>587</v>
      </c>
      <c r="R108" s="48"/>
    </row>
    <row r="109" spans="1:18" ht="16.5" customHeight="1" x14ac:dyDescent="0.15">
      <c r="A109" s="41">
        <v>11</v>
      </c>
      <c r="B109" s="41">
        <v>9325</v>
      </c>
      <c r="C109" s="74" t="s">
        <v>15432</v>
      </c>
      <c r="D109" s="707" t="s">
        <v>980</v>
      </c>
      <c r="E109" s="798"/>
      <c r="F109" s="35"/>
      <c r="H109" s="163"/>
      <c r="I109" s="45"/>
      <c r="J109" s="46"/>
      <c r="K109" s="35"/>
      <c r="N109" s="53"/>
      <c r="O109" s="245"/>
      <c r="P109" s="49"/>
      <c r="Q109" s="95">
        <f>ROUND((ROUND((_11_A通院２増５．０*_11・重度研修),0)*(1+_11・A深夜)),0)</f>
        <v>932</v>
      </c>
      <c r="R109" s="48"/>
    </row>
    <row r="110" spans="1:18" ht="16.5" customHeight="1" x14ac:dyDescent="0.15">
      <c r="A110" s="41">
        <v>11</v>
      </c>
      <c r="B110" s="41">
        <v>9326</v>
      </c>
      <c r="C110" s="74" t="s">
        <v>15433</v>
      </c>
      <c r="D110" s="799"/>
      <c r="E110" s="796"/>
      <c r="F110" s="35"/>
      <c r="H110" s="299" t="s">
        <v>397</v>
      </c>
      <c r="I110" s="218" t="s">
        <v>398</v>
      </c>
      <c r="J110" s="46">
        <v>1</v>
      </c>
      <c r="K110" s="35"/>
      <c r="N110" s="43"/>
      <c r="O110" s="220"/>
      <c r="P110" s="37"/>
      <c r="Q110" s="95">
        <f>ROUND((ROUND((ROUND((_11_A通院２増５．０*_11・重度研修),0)*_11・２人),0)*(1+_11・A深夜)),0)</f>
        <v>932</v>
      </c>
      <c r="R110" s="48"/>
    </row>
    <row r="111" spans="1:18" ht="16.5" customHeight="1" x14ac:dyDescent="0.15">
      <c r="A111" s="41">
        <v>11</v>
      </c>
      <c r="B111" s="41" t="s">
        <v>15434</v>
      </c>
      <c r="C111" s="74" t="s">
        <v>15435</v>
      </c>
      <c r="D111" s="799"/>
      <c r="E111" s="796"/>
      <c r="F111" s="35"/>
      <c r="H111" s="163"/>
      <c r="I111" s="45"/>
      <c r="J111" s="46"/>
      <c r="K111" s="35"/>
      <c r="N111" s="734" t="s">
        <v>404</v>
      </c>
      <c r="O111" s="219" t="s">
        <v>398</v>
      </c>
      <c r="P111" s="50">
        <f>_11・初任</f>
        <v>0.7</v>
      </c>
      <c r="Q111" s="95">
        <f>ROUND((ROUND((ROUND((_11_A通院２増５．０*_11・重度研修),0)*(1+_11・A深夜)),0)*_11・初任),0)</f>
        <v>652</v>
      </c>
      <c r="R111" s="48"/>
    </row>
    <row r="112" spans="1:18" ht="16.5" customHeight="1" x14ac:dyDescent="0.15">
      <c r="A112" s="41">
        <v>11</v>
      </c>
      <c r="B112" s="41" t="s">
        <v>15436</v>
      </c>
      <c r="C112" s="74" t="s">
        <v>15437</v>
      </c>
      <c r="D112" s="274">
        <f>_11_A通院２増５．０</f>
        <v>690</v>
      </c>
      <c r="E112" s="10" t="s">
        <v>392</v>
      </c>
      <c r="F112" s="35"/>
      <c r="H112" s="299" t="s">
        <v>397</v>
      </c>
      <c r="I112" s="218" t="s">
        <v>398</v>
      </c>
      <c r="J112" s="46">
        <v>1</v>
      </c>
      <c r="K112" s="35"/>
      <c r="N112" s="706"/>
      <c r="O112" s="220"/>
      <c r="P112" s="38"/>
      <c r="Q112" s="95">
        <f>ROUND((ROUND((ROUND((ROUND((_11_A通院２増５．０*_11・重度研修),0)*_11・２人),0)*(1+_11・A深夜)),0)*_11・初任),0)</f>
        <v>652</v>
      </c>
      <c r="R112" s="48"/>
    </row>
    <row r="113" spans="1:18" ht="16.5" customHeight="1" x14ac:dyDescent="0.15">
      <c r="A113" s="41">
        <v>11</v>
      </c>
      <c r="B113" s="41">
        <v>9327</v>
      </c>
      <c r="C113" s="74" t="s">
        <v>15438</v>
      </c>
      <c r="D113" s="707" t="s">
        <v>993</v>
      </c>
      <c r="E113" s="798"/>
      <c r="F113" s="35"/>
      <c r="H113" s="163"/>
      <c r="I113" s="45"/>
      <c r="J113" s="46"/>
      <c r="K113" s="35"/>
      <c r="N113" s="53"/>
      <c r="O113" s="245"/>
      <c r="P113" s="251"/>
      <c r="Q113" s="95">
        <f>ROUND((ROUND((_11_A通院２増５．５*_11・重度研修),0)*(1+_11・A深夜)),0)</f>
        <v>1025</v>
      </c>
      <c r="R113" s="48"/>
    </row>
    <row r="114" spans="1:18" ht="16.5" customHeight="1" x14ac:dyDescent="0.15">
      <c r="A114" s="41">
        <v>11</v>
      </c>
      <c r="B114" s="41">
        <v>9328</v>
      </c>
      <c r="C114" s="74" t="s">
        <v>15439</v>
      </c>
      <c r="D114" s="799"/>
      <c r="E114" s="796"/>
      <c r="F114" s="35"/>
      <c r="H114" s="299" t="s">
        <v>397</v>
      </c>
      <c r="I114" s="218" t="s">
        <v>398</v>
      </c>
      <c r="J114" s="46">
        <v>1</v>
      </c>
      <c r="K114" s="35"/>
      <c r="N114" s="43"/>
      <c r="O114" s="220"/>
      <c r="P114" s="244"/>
      <c r="Q114" s="95">
        <f>ROUND((ROUND((ROUND((_11_A通院２増５．５*_11・重度研修),0)*_11・２人),0)*(1+_11・A深夜)),0)</f>
        <v>1025</v>
      </c>
      <c r="R114" s="48"/>
    </row>
    <row r="115" spans="1:18" ht="16.5" customHeight="1" x14ac:dyDescent="0.15">
      <c r="A115" s="41">
        <v>11</v>
      </c>
      <c r="B115" s="41" t="s">
        <v>15440</v>
      </c>
      <c r="C115" s="74" t="s">
        <v>15441</v>
      </c>
      <c r="D115" s="799"/>
      <c r="E115" s="796"/>
      <c r="F115" s="35"/>
      <c r="H115" s="163"/>
      <c r="I115" s="45"/>
      <c r="J115" s="46"/>
      <c r="K115" s="35"/>
      <c r="N115" s="734" t="s">
        <v>404</v>
      </c>
      <c r="O115" s="219" t="s">
        <v>398</v>
      </c>
      <c r="P115" s="50">
        <f>_11・初任</f>
        <v>0.7</v>
      </c>
      <c r="Q115" s="95">
        <f>ROUND((ROUND((ROUND((_11_A通院２増５．５*_11・重度研修),0)*(1+_11・A深夜)),0)*_11・初任),0)</f>
        <v>718</v>
      </c>
      <c r="R115" s="48"/>
    </row>
    <row r="116" spans="1:18" ht="16.5" customHeight="1" x14ac:dyDescent="0.15">
      <c r="A116" s="41">
        <v>11</v>
      </c>
      <c r="B116" s="41" t="s">
        <v>15442</v>
      </c>
      <c r="C116" s="74" t="s">
        <v>15443</v>
      </c>
      <c r="D116" s="274">
        <f>_11_A通院２増５．５</f>
        <v>759</v>
      </c>
      <c r="E116" s="10" t="s">
        <v>392</v>
      </c>
      <c r="F116" s="35"/>
      <c r="H116" s="299" t="s">
        <v>397</v>
      </c>
      <c r="I116" s="218" t="s">
        <v>398</v>
      </c>
      <c r="J116" s="46">
        <v>1</v>
      </c>
      <c r="K116" s="35"/>
      <c r="N116" s="706"/>
      <c r="O116" s="220"/>
      <c r="P116" s="38"/>
      <c r="Q116" s="95">
        <f>ROUND((ROUND((ROUND((ROUND((_11_A通院２増５．５*_11・重度研修),0)*_11・２人),0)*(1+_11・A深夜)),0)*_11・初任),0)</f>
        <v>718</v>
      </c>
      <c r="R116" s="48"/>
    </row>
    <row r="117" spans="1:18" ht="16.5" customHeight="1" x14ac:dyDescent="0.15">
      <c r="A117" s="41">
        <v>11</v>
      </c>
      <c r="B117" s="41">
        <v>9329</v>
      </c>
      <c r="C117" s="74" t="s">
        <v>15444</v>
      </c>
      <c r="D117" s="707" t="s">
        <v>1006</v>
      </c>
      <c r="E117" s="798"/>
      <c r="F117" s="35"/>
      <c r="H117" s="163"/>
      <c r="I117" s="45"/>
      <c r="J117" s="46"/>
      <c r="K117" s="35"/>
      <c r="N117" s="53"/>
      <c r="O117" s="245"/>
      <c r="P117" s="49"/>
      <c r="Q117" s="95">
        <f>ROUND((ROUND((_11_A通院２増６．０*_11・重度研修),0)*(1+_11・A深夜)),0)</f>
        <v>1118</v>
      </c>
      <c r="R117" s="48"/>
    </row>
    <row r="118" spans="1:18" ht="16.5" customHeight="1" x14ac:dyDescent="0.15">
      <c r="A118" s="41">
        <v>11</v>
      </c>
      <c r="B118" s="41">
        <v>9330</v>
      </c>
      <c r="C118" s="74" t="s">
        <v>15445</v>
      </c>
      <c r="D118" s="799"/>
      <c r="E118" s="796"/>
      <c r="F118" s="35"/>
      <c r="H118" s="299" t="s">
        <v>397</v>
      </c>
      <c r="I118" s="218" t="s">
        <v>398</v>
      </c>
      <c r="J118" s="46">
        <v>1</v>
      </c>
      <c r="K118" s="35"/>
      <c r="N118" s="43"/>
      <c r="O118" s="220"/>
      <c r="P118" s="37"/>
      <c r="Q118" s="95">
        <f>ROUND((ROUND((ROUND((_11_A通院２増６．０*_11・重度研修),0)*_11・２人),0)*(1+_11・A深夜)),0)</f>
        <v>1118</v>
      </c>
      <c r="R118" s="48"/>
    </row>
    <row r="119" spans="1:18" ht="16.5" customHeight="1" x14ac:dyDescent="0.15">
      <c r="A119" s="41">
        <v>11</v>
      </c>
      <c r="B119" s="41" t="s">
        <v>15446</v>
      </c>
      <c r="C119" s="74" t="s">
        <v>15447</v>
      </c>
      <c r="D119" s="799"/>
      <c r="E119" s="796"/>
      <c r="F119" s="35"/>
      <c r="H119" s="163"/>
      <c r="I119" s="45"/>
      <c r="J119" s="46"/>
      <c r="K119" s="35"/>
      <c r="N119" s="734" t="s">
        <v>404</v>
      </c>
      <c r="O119" s="219" t="s">
        <v>398</v>
      </c>
      <c r="P119" s="50">
        <f>_11・初任</f>
        <v>0.7</v>
      </c>
      <c r="Q119" s="95">
        <f>ROUND((ROUND((ROUND((_11_A通院２増６．０*_11・重度研修),0)*(1+_11・A深夜)),0)*_11・初任),0)</f>
        <v>783</v>
      </c>
      <c r="R119" s="48"/>
    </row>
    <row r="120" spans="1:18" ht="16.5" customHeight="1" x14ac:dyDescent="0.15">
      <c r="A120" s="41">
        <v>11</v>
      </c>
      <c r="B120" s="41" t="s">
        <v>15448</v>
      </c>
      <c r="C120" s="74" t="s">
        <v>15449</v>
      </c>
      <c r="D120" s="274">
        <f>_11_A通院２増６．０</f>
        <v>828</v>
      </c>
      <c r="E120" s="10" t="s">
        <v>392</v>
      </c>
      <c r="F120" s="35"/>
      <c r="H120" s="299" t="s">
        <v>397</v>
      </c>
      <c r="I120" s="218" t="s">
        <v>398</v>
      </c>
      <c r="J120" s="46">
        <v>1</v>
      </c>
      <c r="K120" s="35"/>
      <c r="N120" s="706"/>
      <c r="O120" s="220"/>
      <c r="P120" s="38"/>
      <c r="Q120" s="95">
        <f>ROUND((ROUND((ROUND((ROUND((_11_A通院２増６．０*_11・重度研修),0)*_11・２人),0)*(1+_11・A深夜)),0)*_11・初任),0)</f>
        <v>783</v>
      </c>
      <c r="R120" s="48"/>
    </row>
    <row r="121" spans="1:18" ht="16.5" customHeight="1" x14ac:dyDescent="0.15">
      <c r="A121" s="41">
        <v>11</v>
      </c>
      <c r="B121" s="41">
        <v>9331</v>
      </c>
      <c r="C121" s="74" t="s">
        <v>15450</v>
      </c>
      <c r="D121" s="707" t="s">
        <v>1019</v>
      </c>
      <c r="E121" s="798"/>
      <c r="F121" s="132"/>
      <c r="G121" s="291"/>
      <c r="H121" s="163"/>
      <c r="I121" s="45"/>
      <c r="J121" s="46"/>
      <c r="K121" s="35"/>
      <c r="N121" s="53"/>
      <c r="O121" s="245"/>
      <c r="P121" s="49"/>
      <c r="Q121" s="95">
        <f>ROUND((ROUND((_11_A通院２増６．５*_11・重度研修),0)*(1+_11・A深夜)),0)</f>
        <v>1211</v>
      </c>
      <c r="R121" s="48"/>
    </row>
    <row r="122" spans="1:18" ht="16.5" customHeight="1" x14ac:dyDescent="0.15">
      <c r="A122" s="41">
        <v>11</v>
      </c>
      <c r="B122" s="41">
        <v>9332</v>
      </c>
      <c r="C122" s="74" t="s">
        <v>15451</v>
      </c>
      <c r="D122" s="799"/>
      <c r="E122" s="796"/>
      <c r="F122" s="292"/>
      <c r="G122" s="291"/>
      <c r="H122" s="299" t="s">
        <v>397</v>
      </c>
      <c r="I122" s="218" t="s">
        <v>398</v>
      </c>
      <c r="J122" s="46">
        <v>1</v>
      </c>
      <c r="K122" s="35"/>
      <c r="N122" s="43"/>
      <c r="O122" s="220"/>
      <c r="P122" s="37"/>
      <c r="Q122" s="95">
        <f>ROUND((ROUND((ROUND((_11_A通院２増６．５*_11・重度研修),0)*_11・２人),0)*(1+_11・A深夜)),0)</f>
        <v>1211</v>
      </c>
      <c r="R122" s="48"/>
    </row>
    <row r="123" spans="1:18" ht="16.5" customHeight="1" x14ac:dyDescent="0.15">
      <c r="A123" s="41">
        <v>11</v>
      </c>
      <c r="B123" s="41" t="s">
        <v>15452</v>
      </c>
      <c r="C123" s="74" t="s">
        <v>15453</v>
      </c>
      <c r="D123" s="799"/>
      <c r="E123" s="796"/>
      <c r="F123" s="292"/>
      <c r="G123" s="291"/>
      <c r="H123" s="163"/>
      <c r="I123" s="45"/>
      <c r="J123" s="46"/>
      <c r="K123" s="35"/>
      <c r="N123" s="734" t="s">
        <v>404</v>
      </c>
      <c r="O123" s="219" t="s">
        <v>398</v>
      </c>
      <c r="P123" s="50">
        <f>_11・初任</f>
        <v>0.7</v>
      </c>
      <c r="Q123" s="95">
        <f>ROUND((ROUND((ROUND((_11_A通院２増６．５*_11・重度研修),0)*(1+_11・A深夜)),0)*_11・初任),0)</f>
        <v>848</v>
      </c>
      <c r="R123" s="48"/>
    </row>
    <row r="124" spans="1:18" ht="16.5" customHeight="1" x14ac:dyDescent="0.15">
      <c r="A124" s="41">
        <v>11</v>
      </c>
      <c r="B124" s="41" t="s">
        <v>15454</v>
      </c>
      <c r="C124" s="74" t="s">
        <v>15455</v>
      </c>
      <c r="D124" s="276">
        <f>_11_A通院２増６．５</f>
        <v>897</v>
      </c>
      <c r="E124" s="190" t="s">
        <v>392</v>
      </c>
      <c r="F124" s="293"/>
      <c r="G124" s="244"/>
      <c r="H124" s="299" t="s">
        <v>397</v>
      </c>
      <c r="I124" s="218" t="s">
        <v>398</v>
      </c>
      <c r="J124" s="46">
        <v>1</v>
      </c>
      <c r="K124" s="43"/>
      <c r="L124" s="37"/>
      <c r="M124" s="38"/>
      <c r="N124" s="706"/>
      <c r="O124" s="220"/>
      <c r="P124" s="38"/>
      <c r="Q124" s="95">
        <f>ROUND((ROUND((ROUND((ROUND((_11_A通院２増６．５*_11・重度研修),0)*_11・２人),0)*(1+_11・A深夜)),0)*_11・初任),0)</f>
        <v>848</v>
      </c>
      <c r="R124" s="63"/>
    </row>
    <row r="125" spans="1:18" ht="16.5" customHeight="1" x14ac:dyDescent="0.15"/>
    <row r="126" spans="1:18" ht="16.5" customHeight="1" x14ac:dyDescent="0.15"/>
  </sheetData>
  <mergeCells count="60">
    <mergeCell ref="D113:E115"/>
    <mergeCell ref="N115:N116"/>
    <mergeCell ref="D117:E119"/>
    <mergeCell ref="N119:N120"/>
    <mergeCell ref="D121:E123"/>
    <mergeCell ref="N123:N124"/>
    <mergeCell ref="D101:E103"/>
    <mergeCell ref="N103:N104"/>
    <mergeCell ref="D105:E107"/>
    <mergeCell ref="N107:N108"/>
    <mergeCell ref="D109:E111"/>
    <mergeCell ref="N111:N112"/>
    <mergeCell ref="D89:E91"/>
    <mergeCell ref="N91:N92"/>
    <mergeCell ref="D93:E95"/>
    <mergeCell ref="N95:N96"/>
    <mergeCell ref="D97:E99"/>
    <mergeCell ref="N99:N100"/>
    <mergeCell ref="D77:E79"/>
    <mergeCell ref="N79:N80"/>
    <mergeCell ref="D81:E83"/>
    <mergeCell ref="N83:N84"/>
    <mergeCell ref="D85:E87"/>
    <mergeCell ref="N87:N88"/>
    <mergeCell ref="D64:E66"/>
    <mergeCell ref="N66:N67"/>
    <mergeCell ref="D73:E75"/>
    <mergeCell ref="F73:G75"/>
    <mergeCell ref="M74:M75"/>
    <mergeCell ref="N75:N76"/>
    <mergeCell ref="D52:E54"/>
    <mergeCell ref="N54:N55"/>
    <mergeCell ref="D56:E58"/>
    <mergeCell ref="N58:N59"/>
    <mergeCell ref="D60:E62"/>
    <mergeCell ref="N62:N63"/>
    <mergeCell ref="D40:E42"/>
    <mergeCell ref="N42:N43"/>
    <mergeCell ref="D44:E46"/>
    <mergeCell ref="N46:N47"/>
    <mergeCell ref="D48:E50"/>
    <mergeCell ref="N50:N51"/>
    <mergeCell ref="D32:E34"/>
    <mergeCell ref="F32:G34"/>
    <mergeCell ref="M33:M34"/>
    <mergeCell ref="N34:N35"/>
    <mergeCell ref="D36:E38"/>
    <mergeCell ref="N38:N39"/>
    <mergeCell ref="D15:E17"/>
    <mergeCell ref="N17:N18"/>
    <mergeCell ref="D19:E21"/>
    <mergeCell ref="N21:N22"/>
    <mergeCell ref="D23:E25"/>
    <mergeCell ref="N25:N26"/>
    <mergeCell ref="D7:E9"/>
    <mergeCell ref="F7:G9"/>
    <mergeCell ref="M8:M9"/>
    <mergeCell ref="N9:N10"/>
    <mergeCell ref="D11:E13"/>
    <mergeCell ref="N13:N14"/>
  </mergeCells>
  <phoneticPr fontId="1"/>
  <printOptions horizontalCentered="1"/>
  <pageMargins left="0.70866141732283472" right="0.70866141732283472" top="0.74803149606299213" bottom="0.74803149606299213" header="0.31496062992125984" footer="0.31496062992125984"/>
  <pageSetup paperSize="9" scale="58" fitToHeight="0" orientation="portrait" r:id="rId1"/>
  <headerFooter>
    <oddHeader>&amp;R&amp;"ＭＳ Ｐゴシック"&amp;9居宅介護</oddHeader>
    <oddFooter>&amp;C&amp;"ＭＳ Ｐゴシック"&amp;14&amp;P</oddFooter>
  </headerFooter>
  <rowBreaks count="1" manualBreakCount="1">
    <brk id="67"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a13cbed-41e4-4911-b6d6-d28d370723d8" xsi:nil="true"/>
    <_x30bf__x30a4__x30e0__x30b9__x30bf__x30f3__x30d7_ xmlns="d041b77d-d570-44f1-be6b-2e33e16a8b9d" xsi:nil="true"/>
    <_x65e5__x4ed8__x3068__x6642__x523b_ xmlns="d041b77d-d570-44f1-be6b-2e33e16a8b9d">2022-07-20T09:00:00+00:00</_x65e5__x4ed8__x3068__x6642__x523b_>
    <_x65e5__x4ed8_ xmlns="d041b77d-d570-44f1-be6b-2e33e16a8b9d" xsi:nil="true"/>
    <lcf76f155ced4ddcb4097134ff3c332f xmlns="d041b77d-d570-44f1-be6b-2e33e16a8b9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4617560E529AA944B98BDD6D61298D77" ma:contentTypeVersion="24" ma:contentTypeDescription="新しいドキュメントを作成します。" ma:contentTypeScope="" ma:versionID="821de155dd9949df7d7da753dc1db1e6">
  <xsd:schema xmlns:xsd="http://www.w3.org/2001/XMLSchema" xmlns:xs="http://www.w3.org/2001/XMLSchema" xmlns:p="http://schemas.microsoft.com/office/2006/metadata/properties" xmlns:ns2="d041b77d-d570-44f1-be6b-2e33e16a8b9d" xmlns:ns3="ea13cbed-41e4-4911-b6d6-d28d370723d8" targetNamespace="http://schemas.microsoft.com/office/2006/metadata/properties" ma:root="true" ma:fieldsID="9b9badd275b49418f553b17d3c5838d9" ns2:_="" ns3:_="">
    <xsd:import namespace="d041b77d-d570-44f1-be6b-2e33e16a8b9d"/>
    <xsd:import namespace="ea13cbed-41e4-4911-b6d6-d28d370723d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_x65e5__x4ed8_" minOccurs="0"/>
                <xsd:element ref="ns2:_x30bf__x30a4__x30e0__x30b9__x30bf__x30f3__x30d7_" minOccurs="0"/>
                <xsd:element ref="ns2:_x65e5__x4ed8__x3068__x6642__x523b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41b77d-d570-44f1-be6b-2e33e16a8b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bc4fd492-276b-4614-b3af-3a4c63b563f8" ma:termSetId="09814cd3-568e-fe90-9814-8d621ff8fb84" ma:anchorId="fba54fb3-c3e1-fe81-a776-ca4b69148c4d" ma:open="true" ma:isKeyword="false">
      <xsd:complexType>
        <xsd:sequence>
          <xsd:element ref="pc:Terms" minOccurs="0" maxOccurs="1"/>
        </xsd:sequence>
      </xsd:complexType>
    </xsd:element>
    <xsd:element name="_x65e5__x4ed8_" ma:index="24" nillable="true" ma:displayName="日付" ma:format="DateOnly" ma:internalName="_x65e5__x4ed8_">
      <xsd:simpleType>
        <xsd:restriction base="dms:DateTime"/>
      </xsd:simpleType>
    </xsd:element>
    <xsd:element name="_x30bf__x30a4__x30e0__x30b9__x30bf__x30f3__x30d7_" ma:index="25" nillable="true" ma:displayName="タイムスタンプ" ma:format="DateTime" ma:internalName="_x30bf__x30a4__x30e0__x30b9__x30bf__x30f3__x30d7_">
      <xsd:simpleType>
        <xsd:restriction base="dms:DateTime"/>
      </xsd:simpleType>
    </xsd:element>
    <xsd:element name="_x65e5__x4ed8__x3068__x6642__x523b_" ma:index="26" nillable="true" ma:displayName="日付と時刻" ma:format="DateOnly" ma:internalName="_x65e5__x4ed8__x3068__x6642__x523b_">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ea13cbed-41e4-4911-b6d6-d28d370723d8"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d823abfd-ecd1-4dc2-bbe1-5ae894df8757}" ma:internalName="TaxCatchAll" ma:showField="CatchAllData" ma:web="ea13cbed-41e4-4911-b6d6-d28d370723d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69D662-F9C9-4341-B9C9-0A1C198EB5F6}">
  <ds:schemaRefs>
    <ds:schemaRef ds:uri="http://schemas.microsoft.com/office/2006/metadata/properties"/>
    <ds:schemaRef ds:uri="http://schemas.microsoft.com/office/infopath/2007/PartnerControls"/>
    <ds:schemaRef ds:uri="http://schemas.openxmlformats.org/package/2006/metadata/core-properties"/>
    <ds:schemaRef ds:uri="http://schemas.microsoft.com/office/2006/documentManagement/types"/>
    <ds:schemaRef ds:uri="ea13cbed-41e4-4911-b6d6-d28d370723d8"/>
    <ds:schemaRef ds:uri="http://purl.org/dc/terms/"/>
    <ds:schemaRef ds:uri="http://www.w3.org/XML/1998/namespace"/>
    <ds:schemaRef ds:uri="d041b77d-d570-44f1-be6b-2e33e16a8b9d"/>
    <ds:schemaRef ds:uri="http://purl.org/dc/dcmitype/"/>
    <ds:schemaRef ds:uri="http://purl.org/dc/elements/1.1/"/>
  </ds:schemaRefs>
</ds:datastoreItem>
</file>

<file path=customXml/itemProps2.xml><?xml version="1.0" encoding="utf-8"?>
<ds:datastoreItem xmlns:ds="http://schemas.openxmlformats.org/officeDocument/2006/customXml" ds:itemID="{FF4F647A-73D2-439D-85DC-31C933AD6F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41b77d-d570-44f1-be6b-2e33e16a8b9d"/>
    <ds:schemaRef ds:uri="ea13cbed-41e4-4911-b6d6-d28d37072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EC0F9E5-0882-45A2-9485-98DA2DA49C5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145</vt:i4>
      </vt:variant>
      <vt:variant>
        <vt:lpstr>名前付き一覧</vt:lpstr>
      </vt:variant>
      <vt:variant>
        <vt:i4>733</vt:i4>
      </vt:variant>
    </vt:vector>
  </HeadingPairs>
  <TitlesOfParts>
    <vt:vector size="878" baseType="lpstr">
      <vt:lpstr>_11_居宅介護（名前定義）</vt:lpstr>
      <vt:lpstr>表紙</vt:lpstr>
      <vt:lpstr>説明</vt:lpstr>
      <vt:lpstr>1居宅介護(身介、単一日中)</vt:lpstr>
      <vt:lpstr>1居宅介護(身介、単一早朝夜間)</vt:lpstr>
      <vt:lpstr>1居宅介護(身介、単一深夜)</vt:lpstr>
      <vt:lpstr>1居宅介護(身介、合成深夜)</vt:lpstr>
      <vt:lpstr>1居宅介護(身介、合成早朝)</vt:lpstr>
      <vt:lpstr>1居宅介護(身介、合成日中)</vt:lpstr>
      <vt:lpstr>1居宅介護(身介、合成夜間１)</vt:lpstr>
      <vt:lpstr>1居宅介護(身介、合成夜間２)</vt:lpstr>
      <vt:lpstr>1居宅介護(身介、2h未合成１)</vt:lpstr>
      <vt:lpstr>1居宅介護(身介、2h未合成２)</vt:lpstr>
      <vt:lpstr>1居宅介護(身介、2h未合成３)</vt:lpstr>
      <vt:lpstr>1居宅介護(身介、日中増分)</vt:lpstr>
      <vt:lpstr>1居宅介護(身介、早朝夜間増分)</vt:lpstr>
      <vt:lpstr>1居宅介護(身介、深夜増分)</vt:lpstr>
      <vt:lpstr>1居宅介護(身介重度、単一日中・早朝・夜間)</vt:lpstr>
      <vt:lpstr>1居宅介護(身介重度、単一深夜)</vt:lpstr>
      <vt:lpstr>1居宅介護(身介重度、合成１-1)</vt:lpstr>
      <vt:lpstr>1居宅介護(身介重度、合成１-2)</vt:lpstr>
      <vt:lpstr>1居宅介護(身介重度、合成１-3)</vt:lpstr>
      <vt:lpstr>1居宅介護(身介重度、合成１-4)</vt:lpstr>
      <vt:lpstr>1居宅介護(身介重度、合成１-5)</vt:lpstr>
      <vt:lpstr>1居宅介護(身介重度、合成１-6)</vt:lpstr>
      <vt:lpstr>1居宅介護(身介重度、合成１-7)</vt:lpstr>
      <vt:lpstr>1居宅介護(身介重度、合成１-8)</vt:lpstr>
      <vt:lpstr>1居宅介護(身介重度、日中早朝増分)</vt:lpstr>
      <vt:lpstr>1居宅介護(身介重度、夜間深夜増分)</vt:lpstr>
      <vt:lpstr>1居宅介護(通院身体、単一日中)</vt:lpstr>
      <vt:lpstr>1居宅介護(通院身体、単一早朝夜間)</vt:lpstr>
      <vt:lpstr>1居宅介護(通院身体、単一深夜)</vt:lpstr>
      <vt:lpstr>1居宅介護(通院身体、合成深夜)</vt:lpstr>
      <vt:lpstr>1居宅介護(通院身体、合成早朝)</vt:lpstr>
      <vt:lpstr>1居宅介護(通院身体、合成日中)</vt:lpstr>
      <vt:lpstr>1居宅介護(通院身体、合成夜間１)</vt:lpstr>
      <vt:lpstr>1居宅介護(通院身体、合成夜間２)</vt:lpstr>
      <vt:lpstr>1居宅介護(通院身体、2h未合成１)</vt:lpstr>
      <vt:lpstr>1居宅介護(通院身体、2h未合成２)</vt:lpstr>
      <vt:lpstr>1居宅介護(通院身体、2h未合成３‐1)</vt:lpstr>
      <vt:lpstr>1居宅介護(通院身体、2h未合成３‐2)</vt:lpstr>
      <vt:lpstr>1居宅介護(通院身体、日中増分)</vt:lpstr>
      <vt:lpstr>1居宅介護(通院身体、早朝夜間増分)</vt:lpstr>
      <vt:lpstr>1居宅介護(通院身体、深夜増分)</vt:lpstr>
      <vt:lpstr>1居宅介護(通院重度、単一日中・早朝・夜間)</vt:lpstr>
      <vt:lpstr>1居宅介護(通院重度、単一深夜)</vt:lpstr>
      <vt:lpstr>1居宅介護(通院重度、合成１-1)</vt:lpstr>
      <vt:lpstr>1居宅介護(通院重度、合成１-2)</vt:lpstr>
      <vt:lpstr>1居宅介護(通院重度、合成１-3)</vt:lpstr>
      <vt:lpstr>1居宅介護(通院重度、合成１-4)</vt:lpstr>
      <vt:lpstr>1居宅介護(通院重度、合成１-5)</vt:lpstr>
      <vt:lpstr>1居宅介護(通院重度、合成１-6)</vt:lpstr>
      <vt:lpstr>1居宅介護(通院重度、合成１-7)</vt:lpstr>
      <vt:lpstr>1居宅介護(通院重度、合成１-8)</vt:lpstr>
      <vt:lpstr>1居宅介護(通院重度、日中早朝増分)</vt:lpstr>
      <vt:lpstr>1居宅介護(通院重度、夜間深夜増分)</vt:lpstr>
      <vt:lpstr>1居宅介護(家援、単一日中)</vt:lpstr>
      <vt:lpstr>1居宅介護(家援、単一早朝夜間)</vt:lpstr>
      <vt:lpstr>1居宅介護(家援、単一深夜)</vt:lpstr>
      <vt:lpstr>1居宅介護(家援、合成１-1)</vt:lpstr>
      <vt:lpstr>1居宅介護(家援、合成１-2)</vt:lpstr>
      <vt:lpstr>1居宅介護(家援、合成１-3)</vt:lpstr>
      <vt:lpstr>1居宅介護(家援、合成２‐1)</vt:lpstr>
      <vt:lpstr>1居宅介護(家援、合成２‐2)</vt:lpstr>
      <vt:lpstr>1居宅介護(家援、2h未合成１-1)</vt:lpstr>
      <vt:lpstr>1居宅介護(家援、2h未合成１-2)</vt:lpstr>
      <vt:lpstr>1居宅介護(家援、2h未合成１-3)</vt:lpstr>
      <vt:lpstr>1居宅介護(家援、日中増分)</vt:lpstr>
      <vt:lpstr>1居宅介護(家援、早朝夜間増分)</vt:lpstr>
      <vt:lpstr>1居宅介護(家援、深夜増分)</vt:lpstr>
      <vt:lpstr>1居宅介護(家援重度、単一日中)</vt:lpstr>
      <vt:lpstr>1居宅介護(家援重度、単一早朝夜間)</vt:lpstr>
      <vt:lpstr>1居宅介護(家援重度、単一深夜)</vt:lpstr>
      <vt:lpstr>1居宅介護(家援重度、合成１‐1)</vt:lpstr>
      <vt:lpstr>1居宅介護(家援重度、合成１‐2)</vt:lpstr>
      <vt:lpstr>1居宅介護(家援重度、合成１-3)</vt:lpstr>
      <vt:lpstr>1居宅介護(家援重度、合成２-1)</vt:lpstr>
      <vt:lpstr>1居宅介護(家援重度、合成２-2)</vt:lpstr>
      <vt:lpstr>1居宅介護(家援重度、2h未合成１‐1)</vt:lpstr>
      <vt:lpstr>1居宅介護(家援重度、2h未合成１-2)</vt:lpstr>
      <vt:lpstr>1居宅介護(家援重度、2h未合成１-3)</vt:lpstr>
      <vt:lpstr>1居宅介護(家援重度、日中増分)</vt:lpstr>
      <vt:lpstr>1居宅介護(家援重度、早朝夜間増分)</vt:lpstr>
      <vt:lpstr>1居宅介護(家援重度、深夜増分)</vt:lpstr>
      <vt:lpstr>1居宅介護(通院家援、単一日中)</vt:lpstr>
      <vt:lpstr>1居宅介護(通院家援、単一早朝夜間)</vt:lpstr>
      <vt:lpstr>1居宅介護(通院家援、単一深夜)</vt:lpstr>
      <vt:lpstr>1居宅介護(通院家援、合成１)</vt:lpstr>
      <vt:lpstr>1居宅介護(通院家援、合成２)</vt:lpstr>
      <vt:lpstr>1居宅介護(通院家援、2h未合成１)</vt:lpstr>
      <vt:lpstr>1居宅介護(通院家援、日中増分)</vt:lpstr>
      <vt:lpstr>1居宅介護(通院家援、早朝夜間増分)</vt:lpstr>
      <vt:lpstr>1居宅介護(通院家援、深夜増分)</vt:lpstr>
      <vt:lpstr>1居宅介護(通院家援重度、単一日中)</vt:lpstr>
      <vt:lpstr>1居宅介護(通院家援重度、単一早朝夜間深夜)</vt:lpstr>
      <vt:lpstr>1居宅介護(通院家援重度、合成)</vt:lpstr>
      <vt:lpstr>1居宅介護(通院家援重度、2h未合成１)</vt:lpstr>
      <vt:lpstr>1居宅介護(通院家援重度、日中増分)</vt:lpstr>
      <vt:lpstr>1居宅介護(通院家援重度、早朝夜間深夜増分)</vt:lpstr>
      <vt:lpstr>1居宅介護(通院等乗降介助加算)</vt:lpstr>
      <vt:lpstr>1居宅介護(通院等乗降介助重度加算)</vt:lpstr>
      <vt:lpstr>1居宅介護(単独加算)</vt:lpstr>
      <vt:lpstr>2重度訪問</vt:lpstr>
      <vt:lpstr>2重度訪問（早朝）</vt:lpstr>
      <vt:lpstr>2重度訪問（夜間）</vt:lpstr>
      <vt:lpstr>2重度訪問（深夜）</vt:lpstr>
      <vt:lpstr>2重度訪問 (入院入所中)</vt:lpstr>
      <vt:lpstr>2重度訪問 (入院入所中、早朝)</vt:lpstr>
      <vt:lpstr>2重度訪問 (入院入所中、夜間)</vt:lpstr>
      <vt:lpstr>2重度訪問 (入院入所中、深夜)</vt:lpstr>
      <vt:lpstr>_15_同行援護（名前定義）</vt:lpstr>
      <vt:lpstr>3同行援護(同行援護、単一日中)</vt:lpstr>
      <vt:lpstr>3同行援護(同行援護、単一早朝夜間)</vt:lpstr>
      <vt:lpstr>3同行援護(同行援護、単一深夜)</vt:lpstr>
      <vt:lpstr>3同行援護(同行援護、合成深夜)</vt:lpstr>
      <vt:lpstr>3同行援護(同行援護、合成早朝)</vt:lpstr>
      <vt:lpstr>3同行援護(同行援護、合成日中)</vt:lpstr>
      <vt:lpstr>3同行援護(同行援護、合成夜間１)</vt:lpstr>
      <vt:lpstr>3同行援護(同行援護、合成夜間２)</vt:lpstr>
      <vt:lpstr>3同行援護(同行援護、2h未合成１)</vt:lpstr>
      <vt:lpstr>3同行援護(同行援護、2h未合成２)</vt:lpstr>
      <vt:lpstr>3同行援護(同行援護、2h未合成３)</vt:lpstr>
      <vt:lpstr>3同行援護(同行援護、日中増分)</vt:lpstr>
      <vt:lpstr>3同行援護(同行援護、早朝夜間増分)</vt:lpstr>
      <vt:lpstr>3同行援護(同行援護、深夜増分)</vt:lpstr>
      <vt:lpstr>3同行援護(同行援護盲ろう、単一日中)</vt:lpstr>
      <vt:lpstr>3同行援護(同行援護盲ろう、単一早朝夜間)</vt:lpstr>
      <vt:lpstr>3同行援護(同行援護盲ろう、単一深夜)</vt:lpstr>
      <vt:lpstr>3同行援護(同行援護盲ろう、合成深夜)</vt:lpstr>
      <vt:lpstr>3同行援護(同行援護盲ろう、合成早朝)</vt:lpstr>
      <vt:lpstr>3同行援護(同行援護盲ろう、合成日中)</vt:lpstr>
      <vt:lpstr>3同行援護(同行援護盲ろう、合成夜間１)</vt:lpstr>
      <vt:lpstr>3同行援護(同行援護盲ろう、合成夜間２)</vt:lpstr>
      <vt:lpstr>3同行援護(同行援護盲ろう、2h未合成１)</vt:lpstr>
      <vt:lpstr>3同行援護(同行援護盲ろう、2h未合成２)</vt:lpstr>
      <vt:lpstr>3同行援護(同行援護盲ろう、2h未合成３)</vt:lpstr>
      <vt:lpstr>3同行援護(同行援護盲ろう、日中増分)</vt:lpstr>
      <vt:lpstr>3同行援護(同行援護盲ろう、早朝夜間増分)</vt:lpstr>
      <vt:lpstr>3同行援護(同行援護盲ろう、深夜増分)</vt:lpstr>
      <vt:lpstr>3同行援護(単独加算)</vt:lpstr>
      <vt:lpstr>4行動援護</vt:lpstr>
      <vt:lpstr>5療養介護(基本)</vt:lpstr>
      <vt:lpstr>5療養介護(定超)</vt:lpstr>
      <vt:lpstr>5療養介護(生活支援員他欠員)</vt:lpstr>
      <vt:lpstr>5療養介護(サービス管理責任者欠員)</vt:lpstr>
      <vt:lpstr>_11_A家事０．５</vt:lpstr>
      <vt:lpstr>_11_A家事０．７５</vt:lpstr>
      <vt:lpstr>_11_A家事１．０</vt:lpstr>
      <vt:lpstr>_11_A家事１．２５</vt:lpstr>
      <vt:lpstr>_11_A家事１．５</vt:lpstr>
      <vt:lpstr>_11_A家事１．７５</vt:lpstr>
      <vt:lpstr>_11_A家事１０．０</vt:lpstr>
      <vt:lpstr>_11_A家事１０．２５</vt:lpstr>
      <vt:lpstr>_11_A家事１０．５</vt:lpstr>
      <vt:lpstr>_11_A家事２．０</vt:lpstr>
      <vt:lpstr>_11_A家事２．２５</vt:lpstr>
      <vt:lpstr>_11_A家事２．５</vt:lpstr>
      <vt:lpstr>_11_A家事２．７５</vt:lpstr>
      <vt:lpstr>_11_A家事３．０</vt:lpstr>
      <vt:lpstr>_11_A家事３．２５</vt:lpstr>
      <vt:lpstr>_11_A家事３．５</vt:lpstr>
      <vt:lpstr>_11_A家事３．７５</vt:lpstr>
      <vt:lpstr>_11_A家事４．０</vt:lpstr>
      <vt:lpstr>_11_A家事４．２５</vt:lpstr>
      <vt:lpstr>_11_A家事４．５</vt:lpstr>
      <vt:lpstr>_11_A家事４．７５</vt:lpstr>
      <vt:lpstr>_11_A家事５．０</vt:lpstr>
      <vt:lpstr>_11_A家事５．２５</vt:lpstr>
      <vt:lpstr>_11_A家事５．５</vt:lpstr>
      <vt:lpstr>_11_A家事５．７５</vt:lpstr>
      <vt:lpstr>_11_A家事６．０</vt:lpstr>
      <vt:lpstr>_11_A家事６．２５</vt:lpstr>
      <vt:lpstr>_11_A家事６．５</vt:lpstr>
      <vt:lpstr>_11_A家事６．７５</vt:lpstr>
      <vt:lpstr>_11_A家事７．０</vt:lpstr>
      <vt:lpstr>_11_A家事７．２５</vt:lpstr>
      <vt:lpstr>_11_A家事７．５</vt:lpstr>
      <vt:lpstr>_11_A家事７．７５</vt:lpstr>
      <vt:lpstr>_11_A家事８．０</vt:lpstr>
      <vt:lpstr>_11_A家事８．２５</vt:lpstr>
      <vt:lpstr>_11_A家事８．５</vt:lpstr>
      <vt:lpstr>_11_A家事８．７５</vt:lpstr>
      <vt:lpstr>_11_A家事９．０</vt:lpstr>
      <vt:lpstr>_11_A家事９．２５</vt:lpstr>
      <vt:lpstr>_11_A家事９．５</vt:lpstr>
      <vt:lpstr>_11_A家事９．７５</vt:lpstr>
      <vt:lpstr>_11_A家事増０．２５</vt:lpstr>
      <vt:lpstr>_11_A家事増０．５</vt:lpstr>
      <vt:lpstr>_11_A家事増０．７５</vt:lpstr>
      <vt:lpstr>_11_A家事増１．０</vt:lpstr>
      <vt:lpstr>_11_A家事増１．２５</vt:lpstr>
      <vt:lpstr>_11_A家事増１．５</vt:lpstr>
      <vt:lpstr>_11_A家事増１．７５</vt:lpstr>
      <vt:lpstr>_11_A家事増１０．０</vt:lpstr>
      <vt:lpstr>_11_A家事増１０．２５</vt:lpstr>
      <vt:lpstr>_11_A家事増１０．５</vt:lpstr>
      <vt:lpstr>_11_A家事増２．０</vt:lpstr>
      <vt:lpstr>_11_A家事増２．２５</vt:lpstr>
      <vt:lpstr>_11_A家事増２．５</vt:lpstr>
      <vt:lpstr>_11_A家事増２．７５</vt:lpstr>
      <vt:lpstr>_11_A家事増３．０</vt:lpstr>
      <vt:lpstr>_11_A家事増３．２５</vt:lpstr>
      <vt:lpstr>_11_A家事増３．５</vt:lpstr>
      <vt:lpstr>_11_A家事増３．７５</vt:lpstr>
      <vt:lpstr>_11_A家事増４．０</vt:lpstr>
      <vt:lpstr>_11_A家事増４．２５</vt:lpstr>
      <vt:lpstr>_11_A家事増４．５</vt:lpstr>
      <vt:lpstr>_11_A家事増４．７５</vt:lpstr>
      <vt:lpstr>_11_A家事増５．０</vt:lpstr>
      <vt:lpstr>_11_A家事増５．２５</vt:lpstr>
      <vt:lpstr>_11_A家事増５．５</vt:lpstr>
      <vt:lpstr>_11_A家事増５．７５</vt:lpstr>
      <vt:lpstr>_11_A家事増６．０</vt:lpstr>
      <vt:lpstr>_11_A家事増６．２５</vt:lpstr>
      <vt:lpstr>_11_A家事増６．５</vt:lpstr>
      <vt:lpstr>_11_A家事増６．７５</vt:lpstr>
      <vt:lpstr>_11_A家事増７．０</vt:lpstr>
      <vt:lpstr>_11_A家事増７．２５</vt:lpstr>
      <vt:lpstr>_11_A家事増７．５</vt:lpstr>
      <vt:lpstr>_11_A家事増７．７５</vt:lpstr>
      <vt:lpstr>_11_A家事増８．０</vt:lpstr>
      <vt:lpstr>_11_A家事増８．２５</vt:lpstr>
      <vt:lpstr>_11_A家事増８．５</vt:lpstr>
      <vt:lpstr>_11_A家事増８．７５</vt:lpstr>
      <vt:lpstr>_11_A家事増９．０</vt:lpstr>
      <vt:lpstr>_11_A家事増９．２５</vt:lpstr>
      <vt:lpstr>_11_A家事増９．５</vt:lpstr>
      <vt:lpstr>_11_A家事増９．７５</vt:lpstr>
      <vt:lpstr>_11_A重度研修１．０</vt:lpstr>
      <vt:lpstr>_11_A重度研修１．５</vt:lpstr>
      <vt:lpstr>_11_A重度研修１０．０</vt:lpstr>
      <vt:lpstr>_11_A重度研修１０．５</vt:lpstr>
      <vt:lpstr>_11_A重度研修２．０</vt:lpstr>
      <vt:lpstr>_11_A重度研修２．５</vt:lpstr>
      <vt:lpstr>_11_A重度研修３．０</vt:lpstr>
      <vt:lpstr>_11_A重度研修３．５</vt:lpstr>
      <vt:lpstr>_11_A重度研修４．０</vt:lpstr>
      <vt:lpstr>_11_A重度研修４．５</vt:lpstr>
      <vt:lpstr>_11_A重度研修５．０</vt:lpstr>
      <vt:lpstr>_11_A重度研修５．５</vt:lpstr>
      <vt:lpstr>_11_A重度研修６．０</vt:lpstr>
      <vt:lpstr>_11_A重度研修６．５</vt:lpstr>
      <vt:lpstr>_11_A重度研修７．０</vt:lpstr>
      <vt:lpstr>_11_A重度研修７．５</vt:lpstr>
      <vt:lpstr>_11_A重度研修８．０</vt:lpstr>
      <vt:lpstr>_11_A重度研修８．５</vt:lpstr>
      <vt:lpstr>_11_A重度研修９．０</vt:lpstr>
      <vt:lpstr>_11_A重度研修９．５</vt:lpstr>
      <vt:lpstr>_11_A重度研修増０．５</vt:lpstr>
      <vt:lpstr>_11_A重度研修増１．０</vt:lpstr>
      <vt:lpstr>_11_A重度研修増１．５</vt:lpstr>
      <vt:lpstr>_11_A重度研修増１０．０</vt:lpstr>
      <vt:lpstr>_11_A重度研修増１０．５</vt:lpstr>
      <vt:lpstr>_11_A重度研修増２．０</vt:lpstr>
      <vt:lpstr>_11_A重度研修増２．５</vt:lpstr>
      <vt:lpstr>_11_A重度研修増３．０</vt:lpstr>
      <vt:lpstr>_11_A重度研修増３．５</vt:lpstr>
      <vt:lpstr>_11_A重度研修増４．０</vt:lpstr>
      <vt:lpstr>_11_A重度研修増４．５</vt:lpstr>
      <vt:lpstr>_11_A重度研修増５．０</vt:lpstr>
      <vt:lpstr>_11_A重度研修増５．５</vt:lpstr>
      <vt:lpstr>_11_A重度研修増６．０</vt:lpstr>
      <vt:lpstr>_11_A重度研修増６．５</vt:lpstr>
      <vt:lpstr>_11_A重度研修増７．０</vt:lpstr>
      <vt:lpstr>_11_A重度研修増７．５</vt:lpstr>
      <vt:lpstr>_11_A重度研修増８．０</vt:lpstr>
      <vt:lpstr>_11_A重度研修増８．５</vt:lpstr>
      <vt:lpstr>_11_A重度研修増９．０</vt:lpstr>
      <vt:lpstr>_11_A重度研修増９．５</vt:lpstr>
      <vt:lpstr>_11_A身体０．５</vt:lpstr>
      <vt:lpstr>_11_A身体１．０</vt:lpstr>
      <vt:lpstr>_11_A身体１．５</vt:lpstr>
      <vt:lpstr>_11_A身体１０．０</vt:lpstr>
      <vt:lpstr>_11_A身体１０．５</vt:lpstr>
      <vt:lpstr>_11_A身体２．０</vt:lpstr>
      <vt:lpstr>_11_A身体２．５</vt:lpstr>
      <vt:lpstr>_11_A身体３．０</vt:lpstr>
      <vt:lpstr>_11_A身体３．５</vt:lpstr>
      <vt:lpstr>_11_A身体４．０</vt:lpstr>
      <vt:lpstr>_11_A身体４．５</vt:lpstr>
      <vt:lpstr>_11_A身体５．０</vt:lpstr>
      <vt:lpstr>_11_A身体５．５</vt:lpstr>
      <vt:lpstr>_11_A身体６．０</vt:lpstr>
      <vt:lpstr>_11_A身体６．５</vt:lpstr>
      <vt:lpstr>_11_A身体７．０</vt:lpstr>
      <vt:lpstr>_11_A身体７．５</vt:lpstr>
      <vt:lpstr>_11_A身体８．０</vt:lpstr>
      <vt:lpstr>_11_A身体８．５</vt:lpstr>
      <vt:lpstr>_11_A身体９．０</vt:lpstr>
      <vt:lpstr>_11_A身体９．５</vt:lpstr>
      <vt:lpstr>_11_A身体増０．５</vt:lpstr>
      <vt:lpstr>_11_A身体増１．０</vt:lpstr>
      <vt:lpstr>_11_A身体増１．５</vt:lpstr>
      <vt:lpstr>_11_A身体増１０．０</vt:lpstr>
      <vt:lpstr>_11_A身体増１０．５</vt:lpstr>
      <vt:lpstr>_11_A身体増２．０</vt:lpstr>
      <vt:lpstr>_11_A身体増２．５</vt:lpstr>
      <vt:lpstr>_11_A身体増３．０</vt:lpstr>
      <vt:lpstr>_11_A身体増３．５</vt:lpstr>
      <vt:lpstr>_11_A身体増４．０</vt:lpstr>
      <vt:lpstr>_11_A身体増４．５</vt:lpstr>
      <vt:lpstr>_11_A身体増５．０</vt:lpstr>
      <vt:lpstr>_11_A身体増５．５</vt:lpstr>
      <vt:lpstr>_11_A身体増６．０</vt:lpstr>
      <vt:lpstr>_11_A身体増６．５</vt:lpstr>
      <vt:lpstr>_11_A身体増７．０</vt:lpstr>
      <vt:lpstr>_11_A身体増７．５</vt:lpstr>
      <vt:lpstr>_11_A身体増８．０</vt:lpstr>
      <vt:lpstr>_11_A身体増８．５</vt:lpstr>
      <vt:lpstr>_11_A身体増９．０</vt:lpstr>
      <vt:lpstr>_11_A身体増９．５</vt:lpstr>
      <vt:lpstr>_11_A通院１０．５</vt:lpstr>
      <vt:lpstr>_11_A通院１１．０</vt:lpstr>
      <vt:lpstr>_11_A通院１１．５</vt:lpstr>
      <vt:lpstr>_11_A通院１１０．０</vt:lpstr>
      <vt:lpstr>_11_A通院１１０．５</vt:lpstr>
      <vt:lpstr>_11_A通院１２．０</vt:lpstr>
      <vt:lpstr>_11_A通院１２．５</vt:lpstr>
      <vt:lpstr>_11_A通院１３．０</vt:lpstr>
      <vt:lpstr>_11_A通院１３．５</vt:lpstr>
      <vt:lpstr>_11_A通院１４．０</vt:lpstr>
      <vt:lpstr>_11_A通院１４．５</vt:lpstr>
      <vt:lpstr>_11_A通院１５．０</vt:lpstr>
      <vt:lpstr>_11_A通院１５．５</vt:lpstr>
      <vt:lpstr>_11_A通院１６．０</vt:lpstr>
      <vt:lpstr>_11_A通院１６．５</vt:lpstr>
      <vt:lpstr>_11_A通院１７．０</vt:lpstr>
      <vt:lpstr>_11_A通院１７．５</vt:lpstr>
      <vt:lpstr>_11_A通院１８．０</vt:lpstr>
      <vt:lpstr>_11_A通院１８．５</vt:lpstr>
      <vt:lpstr>_11_A通院１９．０</vt:lpstr>
      <vt:lpstr>_11_A通院１９．５</vt:lpstr>
      <vt:lpstr>_11_A通院１増０．５</vt:lpstr>
      <vt:lpstr>_11_A通院１増１．０</vt:lpstr>
      <vt:lpstr>_11_A通院１増１．５</vt:lpstr>
      <vt:lpstr>_11_A通院１増１０．０</vt:lpstr>
      <vt:lpstr>_11_A通院１増１０．５</vt:lpstr>
      <vt:lpstr>_11_A通院１増２．０</vt:lpstr>
      <vt:lpstr>_11_A通院１増２．５</vt:lpstr>
      <vt:lpstr>_11_A通院１増３．０</vt:lpstr>
      <vt:lpstr>_11_A通院１増３．５</vt:lpstr>
      <vt:lpstr>_11_A通院１増４．０</vt:lpstr>
      <vt:lpstr>_11_A通院１増４．５</vt:lpstr>
      <vt:lpstr>_11_A通院１増５．０</vt:lpstr>
      <vt:lpstr>_11_A通院１増５．５</vt:lpstr>
      <vt:lpstr>_11_A通院１増６．０</vt:lpstr>
      <vt:lpstr>_11_A通院１増６．５</vt:lpstr>
      <vt:lpstr>_11_A通院１増７．０</vt:lpstr>
      <vt:lpstr>_11_A通院１増７．５</vt:lpstr>
      <vt:lpstr>_11_A通院１増８．０</vt:lpstr>
      <vt:lpstr>_11_A通院１増８．５</vt:lpstr>
      <vt:lpstr>_11_A通院１増９．０</vt:lpstr>
      <vt:lpstr>_11_A通院１増９．５</vt:lpstr>
      <vt:lpstr>_11_A通院２０．５</vt:lpstr>
      <vt:lpstr>_11_A通院２１．０</vt:lpstr>
      <vt:lpstr>_11_A通院２１．５</vt:lpstr>
      <vt:lpstr>_11_A通院２１０．０</vt:lpstr>
      <vt:lpstr>_11_A通院２１０．５</vt:lpstr>
      <vt:lpstr>_11_A通院２２．０</vt:lpstr>
      <vt:lpstr>_11_A通院２２．５</vt:lpstr>
      <vt:lpstr>_11_A通院２３．０</vt:lpstr>
      <vt:lpstr>_11_A通院２３．５</vt:lpstr>
      <vt:lpstr>_11_A通院２４．０</vt:lpstr>
      <vt:lpstr>_11_A通院２４．５</vt:lpstr>
      <vt:lpstr>_11_A通院２５．０</vt:lpstr>
      <vt:lpstr>_11_A通院２５．５</vt:lpstr>
      <vt:lpstr>_11_A通院２６．０</vt:lpstr>
      <vt:lpstr>_11_A通院２６．５</vt:lpstr>
      <vt:lpstr>_11_A通院２７．０</vt:lpstr>
      <vt:lpstr>_11_A通院２７．５</vt:lpstr>
      <vt:lpstr>_11_A通院２８．０</vt:lpstr>
      <vt:lpstr>_11_A通院２８．５</vt:lpstr>
      <vt:lpstr>_11_A通院２９．０</vt:lpstr>
      <vt:lpstr>_11_A通院２９．５</vt:lpstr>
      <vt:lpstr>_11_A通院２増０．５</vt:lpstr>
      <vt:lpstr>_11_A通院２増１．０</vt:lpstr>
      <vt:lpstr>_11_A通院２増１．５</vt:lpstr>
      <vt:lpstr>_11_A通院２増１０．０</vt:lpstr>
      <vt:lpstr>_11_A通院２増１０．５</vt:lpstr>
      <vt:lpstr>_11_A通院２増２．０</vt:lpstr>
      <vt:lpstr>_11_A通院２増２．５</vt:lpstr>
      <vt:lpstr>_11_A通院２増３．０</vt:lpstr>
      <vt:lpstr>_11_A通院２増３．５</vt:lpstr>
      <vt:lpstr>_11_A通院２増４．０</vt:lpstr>
      <vt:lpstr>_11_A通院２増４．５</vt:lpstr>
      <vt:lpstr>_11_A通院２増５．０</vt:lpstr>
      <vt:lpstr>_11_A通院２増５．５</vt:lpstr>
      <vt:lpstr>_11_A通院２増６．０</vt:lpstr>
      <vt:lpstr>_11_A通院２増６．５</vt:lpstr>
      <vt:lpstr>_11_A通院２増７．０</vt:lpstr>
      <vt:lpstr>_11_A通院２増７．５</vt:lpstr>
      <vt:lpstr>_11_A通院２増８．０</vt:lpstr>
      <vt:lpstr>_11_A通院２増８．５</vt:lpstr>
      <vt:lpstr>_11_A通院２増９．０</vt:lpstr>
      <vt:lpstr>_11_A通院２増９．５</vt:lpstr>
      <vt:lpstr>_11_A通院乗降</vt:lpstr>
      <vt:lpstr>_11_B家事０．５＿０．２５</vt:lpstr>
      <vt:lpstr>_11_B家事０．５＿０．５</vt:lpstr>
      <vt:lpstr>_11_B家事０．５＿０．７５</vt:lpstr>
      <vt:lpstr>_11_B家事０．５＿１．０</vt:lpstr>
      <vt:lpstr>_11_B家事０．７５＿０．２５</vt:lpstr>
      <vt:lpstr>_11_B家事０．７５＿０．５</vt:lpstr>
      <vt:lpstr>_11_B家事０．７５＿０．７５</vt:lpstr>
      <vt:lpstr>_11_B家事１．０＿０．２５</vt:lpstr>
      <vt:lpstr>_11_B家事１．０＿０．５</vt:lpstr>
      <vt:lpstr>_11_B家事１．２５＿０．２５</vt:lpstr>
      <vt:lpstr>_11_B重度研修１．０＿０．５</vt:lpstr>
      <vt:lpstr>_11_B重度研修１．０＿１．０</vt:lpstr>
      <vt:lpstr>_11_B重度研修１．０＿１．５</vt:lpstr>
      <vt:lpstr>_11_B重度研修１．０＿２．０</vt:lpstr>
      <vt:lpstr>_11_B重度研修１．５＿０．５</vt:lpstr>
      <vt:lpstr>_11_B重度研修１．５＿１．０</vt:lpstr>
      <vt:lpstr>_11_B重度研修１．５＿１．５</vt:lpstr>
      <vt:lpstr>_11_B重度研修２．０＿０．５</vt:lpstr>
      <vt:lpstr>_11_B重度研修２．０＿１．０</vt:lpstr>
      <vt:lpstr>_11_B重度研修２．５＿０．５</vt:lpstr>
      <vt:lpstr>_11_B身体０．５＿０．５</vt:lpstr>
      <vt:lpstr>_11_B身体０．５＿１．０</vt:lpstr>
      <vt:lpstr>_11_B身体０．５＿１．５</vt:lpstr>
      <vt:lpstr>_11_B身体０．５＿２．０</vt:lpstr>
      <vt:lpstr>_11_B身体０．５＿２．５</vt:lpstr>
      <vt:lpstr>_11_B身体１．０＿０．５</vt:lpstr>
      <vt:lpstr>_11_B身体１．０＿１．０</vt:lpstr>
      <vt:lpstr>_11_B身体１．０＿１．５</vt:lpstr>
      <vt:lpstr>_11_B身体１．０＿２．０</vt:lpstr>
      <vt:lpstr>_11_B身体１．５＿０．５</vt:lpstr>
      <vt:lpstr>_11_B身体１．５＿１．０</vt:lpstr>
      <vt:lpstr>_11_B身体１．５＿１．５</vt:lpstr>
      <vt:lpstr>_11_B身体２．０＿０．５</vt:lpstr>
      <vt:lpstr>_11_B身体２．０＿１．０</vt:lpstr>
      <vt:lpstr>_11_B身体２．５＿０．５</vt:lpstr>
      <vt:lpstr>_11_B通院１０．５＿０．５</vt:lpstr>
      <vt:lpstr>_11_B通院１０．５＿１．０</vt:lpstr>
      <vt:lpstr>_11_B通院１０．５＿１．５</vt:lpstr>
      <vt:lpstr>_11_B通院１０．５＿２．０</vt:lpstr>
      <vt:lpstr>_11_B通院１０．５＿２．５</vt:lpstr>
      <vt:lpstr>_11_B通院１１．０＿０．５</vt:lpstr>
      <vt:lpstr>_11_B通院１１．０＿１．０</vt:lpstr>
      <vt:lpstr>_11_B通院１１．０＿１．５</vt:lpstr>
      <vt:lpstr>_11_B通院１１．０＿２．０</vt:lpstr>
      <vt:lpstr>_11_B通院１１．５＿０．５</vt:lpstr>
      <vt:lpstr>_11_B通院１１．５＿１．０</vt:lpstr>
      <vt:lpstr>_11_B通院１１．５＿１．５</vt:lpstr>
      <vt:lpstr>_11_B通院１２．０＿０．５</vt:lpstr>
      <vt:lpstr>_11_B通院１２．０＿１．０</vt:lpstr>
      <vt:lpstr>_11_B通院１２．５＿０．５</vt:lpstr>
      <vt:lpstr>_11_B通院２０．５＿０．５</vt:lpstr>
      <vt:lpstr>_11_B通院２０．５＿１．０</vt:lpstr>
      <vt:lpstr>_11_B通院２１．０＿０．５</vt:lpstr>
      <vt:lpstr>_11_C家事０．５＿０．２５＿０．２５</vt:lpstr>
      <vt:lpstr>_11_C家事０．５＿０．２５＿０．５</vt:lpstr>
      <vt:lpstr>_11_C家事０．５＿０．２５＿０．７５</vt:lpstr>
      <vt:lpstr>_11_C家事０．５＿０．５＿０．２５</vt:lpstr>
      <vt:lpstr>_11_C家事０．５＿０．５＿０．５</vt:lpstr>
      <vt:lpstr>_11_C家事０．５＿０．７５＿０．２５</vt:lpstr>
      <vt:lpstr>_11_C家事０．７５＿０．２５＿０．２５</vt:lpstr>
      <vt:lpstr>_11_C家事０．７５＿０．２５＿０．５</vt:lpstr>
      <vt:lpstr>_11_C家事０．７５＿０．５＿０．２５</vt:lpstr>
      <vt:lpstr>_11_C家事１．０＿０．２５＿０．２５</vt:lpstr>
      <vt:lpstr>_11_C重度研修１．０＿０．５＿０．５</vt:lpstr>
      <vt:lpstr>_11_C重度研修１．０＿０．５＿１．０</vt:lpstr>
      <vt:lpstr>_11_C重度研修１．０＿０．５＿１．５</vt:lpstr>
      <vt:lpstr>_11_C重度研修１．０＿１．０＿０．５</vt:lpstr>
      <vt:lpstr>_11_C重度研修１．０＿１．０＿１．０</vt:lpstr>
      <vt:lpstr>_11_C重度研修１．０＿１．５＿０．５</vt:lpstr>
      <vt:lpstr>_11_C重度研修１．５＿０．５＿０．５</vt:lpstr>
      <vt:lpstr>_11_C重度研修１．５＿０．５＿１．０</vt:lpstr>
      <vt:lpstr>_11_C重度研修１．５＿１．０＿０．５</vt:lpstr>
      <vt:lpstr>_11_C重度研修２．０＿０．５＿０．５</vt:lpstr>
      <vt:lpstr>_11_C身体０．５＿０．５＿０．５</vt:lpstr>
      <vt:lpstr>_11_C身体０．５＿０．５＿１．０</vt:lpstr>
      <vt:lpstr>_11_C身体０．５＿０．５＿１．５</vt:lpstr>
      <vt:lpstr>_11_C身体０．５＿０．５＿２．０</vt:lpstr>
      <vt:lpstr>_11_C身体０．５＿１．０＿０．５</vt:lpstr>
      <vt:lpstr>_11_C身体０．５＿１．０＿１．０</vt:lpstr>
      <vt:lpstr>_11_C身体０．５＿１．０＿１．５</vt:lpstr>
      <vt:lpstr>_11_C身体０．５＿１．５＿０．５</vt:lpstr>
      <vt:lpstr>_11_C身体０．５＿１．５＿１．０</vt:lpstr>
      <vt:lpstr>_11_C身体０．５＿２．０＿０．５</vt:lpstr>
      <vt:lpstr>_11_C身体１．０＿０．５＿０．５</vt:lpstr>
      <vt:lpstr>_11_C身体１．０＿０．５＿１．０</vt:lpstr>
      <vt:lpstr>_11_C身体１．０＿０．５＿１．５</vt:lpstr>
      <vt:lpstr>_11_C身体１．０＿１．０＿０．５</vt:lpstr>
      <vt:lpstr>_11_C身体１．０＿１．０＿１．０</vt:lpstr>
      <vt:lpstr>_11_C身体１．０＿１．５＿０．５</vt:lpstr>
      <vt:lpstr>_11_C身体１．５＿０．５＿０．５</vt:lpstr>
      <vt:lpstr>_11_C身体１．５＿０．５＿１．０</vt:lpstr>
      <vt:lpstr>_11_C身体１．５＿１．０＿０．５</vt:lpstr>
      <vt:lpstr>_11_C身体２．０＿０．５＿０．５</vt:lpstr>
      <vt:lpstr>_11_C通院１０．５＿０．５＿０．５</vt:lpstr>
      <vt:lpstr>_11_C通院１０．５＿０．５＿１．０</vt:lpstr>
      <vt:lpstr>_11_C通院１０．５＿０．５＿１．５</vt:lpstr>
      <vt:lpstr>_11_C通院１０．５＿０．５＿２．０</vt:lpstr>
      <vt:lpstr>_11_C通院１０．５＿１．０＿０．５</vt:lpstr>
      <vt:lpstr>_11_C通院１０．５＿１．０＿１．０</vt:lpstr>
      <vt:lpstr>_11_C通院１０．５＿１．０＿１．５</vt:lpstr>
      <vt:lpstr>_11_C通院１０．５＿１．５＿０．５</vt:lpstr>
      <vt:lpstr>_11_C通院１０．５＿１．５＿１．０</vt:lpstr>
      <vt:lpstr>_11_C通院１０．５＿２．０＿０．５</vt:lpstr>
      <vt:lpstr>_11_C通院１１．０＿０．５＿０．５</vt:lpstr>
      <vt:lpstr>_11_C通院１１．０＿０．５＿１．０</vt:lpstr>
      <vt:lpstr>_11_C通院１１．０＿０．５＿１．５</vt:lpstr>
      <vt:lpstr>_11_C通院１１．０＿１．０＿０．５</vt:lpstr>
      <vt:lpstr>_11_C通院１１．０＿１．０＿１．０</vt:lpstr>
      <vt:lpstr>_11_C通院１１．０＿１．５＿０．５</vt:lpstr>
      <vt:lpstr>_11_C通院１１．５＿０．５＿０．５</vt:lpstr>
      <vt:lpstr>_11_C通院１１．５＿０．５＿１．０</vt:lpstr>
      <vt:lpstr>_11_C通院１１．５＿１．０＿０．５</vt:lpstr>
      <vt:lpstr>_11_C通院１２．０＿０．５＿０．５</vt:lpstr>
      <vt:lpstr>_11_C通院２０．５＿０．５＿０．５</vt:lpstr>
      <vt:lpstr>_11・２人</vt:lpstr>
      <vt:lpstr>_11・A深夜</vt:lpstr>
      <vt:lpstr>_11・A早朝</vt:lpstr>
      <vt:lpstr>_11・A夜間</vt:lpstr>
      <vt:lpstr>_11・B深夜</vt:lpstr>
      <vt:lpstr>_11・B早朝</vt:lpstr>
      <vt:lpstr>_11・B夜間</vt:lpstr>
      <vt:lpstr>_11・C深夜</vt:lpstr>
      <vt:lpstr>_11・C夜間</vt:lpstr>
      <vt:lpstr>_11・基礎１</vt:lpstr>
      <vt:lpstr>_11・基礎２</vt:lpstr>
      <vt:lpstr>_11・重度研修</vt:lpstr>
      <vt:lpstr>_11・初任</vt:lpstr>
      <vt:lpstr>_15_同援日０．５</vt:lpstr>
      <vt:lpstr>_15_同援日０．５＿０．５</vt:lpstr>
      <vt:lpstr>_15_同援日０．５＿０．５＿０．５</vt:lpstr>
      <vt:lpstr>_15_同援日０．５＿０．５＿１．０</vt:lpstr>
      <vt:lpstr>_15_同援日０．５＿０．５＿１．５</vt:lpstr>
      <vt:lpstr>_15_同援日０．５＿０．５＿２．０</vt:lpstr>
      <vt:lpstr>_15_同援日０．５＿１．０</vt:lpstr>
      <vt:lpstr>_15_同援日０．５＿１．０＿０．５</vt:lpstr>
      <vt:lpstr>_15_同援日０．５＿１．０＿１．０</vt:lpstr>
      <vt:lpstr>_15_同援日０．５＿１．０＿１．５</vt:lpstr>
      <vt:lpstr>_15_同援日０．５＿１．５</vt:lpstr>
      <vt:lpstr>_15_同援日０．５＿１．５＿０．５</vt:lpstr>
      <vt:lpstr>_15_同援日０．５＿１．５＿１．０</vt:lpstr>
      <vt:lpstr>_15_同援日０．５＿２．０</vt:lpstr>
      <vt:lpstr>_15_同援日０．５＿２．０＿０．５</vt:lpstr>
      <vt:lpstr>_15_同援日０．５＿２．５</vt:lpstr>
      <vt:lpstr>_15_同援日１．０</vt:lpstr>
      <vt:lpstr>_15_同援日１．０＿０．５</vt:lpstr>
      <vt:lpstr>_15_同援日１．０＿０．５＿０．５</vt:lpstr>
      <vt:lpstr>_15_同援日１．０＿０．５＿１．０</vt:lpstr>
      <vt:lpstr>_15_同援日１．０＿０．５＿１．５</vt:lpstr>
      <vt:lpstr>_15_同援日１．０＿１．０</vt:lpstr>
      <vt:lpstr>_15_同援日１．０＿１．０＿０．５</vt:lpstr>
      <vt:lpstr>_15_同援日１．０＿１．０＿１．０</vt:lpstr>
      <vt:lpstr>_15_同援日１．０＿１．５</vt:lpstr>
      <vt:lpstr>_15_同援日１．０＿１．５＿０．５</vt:lpstr>
      <vt:lpstr>_15_同援日１．０＿２．０</vt:lpstr>
      <vt:lpstr>_15_同援日１．５</vt:lpstr>
      <vt:lpstr>_15_同援日１．５＿０．５</vt:lpstr>
      <vt:lpstr>_15_同援日１．５＿０．５＿０．５</vt:lpstr>
      <vt:lpstr>_15_同援日１．５＿０．５＿１．０</vt:lpstr>
      <vt:lpstr>_15_同援日１．５＿１．０</vt:lpstr>
      <vt:lpstr>_15_同援日１．５＿１．０＿０．５</vt:lpstr>
      <vt:lpstr>_15_同援日１．５＿１．５</vt:lpstr>
      <vt:lpstr>_15_同援日１０．０</vt:lpstr>
      <vt:lpstr>_15_同援日１０．５</vt:lpstr>
      <vt:lpstr>_15_同援日２．０</vt:lpstr>
      <vt:lpstr>_15_同援日２．０＿０．５</vt:lpstr>
      <vt:lpstr>_15_同援日２．０＿０．５＿０．５</vt:lpstr>
      <vt:lpstr>_15_同援日２．０＿１．０</vt:lpstr>
      <vt:lpstr>_15_同援日２．５</vt:lpstr>
      <vt:lpstr>_15_同援日２．５＿０．５</vt:lpstr>
      <vt:lpstr>_15_同援日３．０</vt:lpstr>
      <vt:lpstr>_15_同援日３．５</vt:lpstr>
      <vt:lpstr>_15_同援日４．０</vt:lpstr>
      <vt:lpstr>_15_同援日４．５</vt:lpstr>
      <vt:lpstr>_15_同援日５．０</vt:lpstr>
      <vt:lpstr>_15_同援日５．５</vt:lpstr>
      <vt:lpstr>_15_同援日６．０</vt:lpstr>
      <vt:lpstr>_15_同援日６．５</vt:lpstr>
      <vt:lpstr>_15_同援日７．０</vt:lpstr>
      <vt:lpstr>_15_同援日７．５</vt:lpstr>
      <vt:lpstr>_15_同援日８．０</vt:lpstr>
      <vt:lpstr>_15_同援日８．５</vt:lpstr>
      <vt:lpstr>_15_同援日９．０</vt:lpstr>
      <vt:lpstr>_15_同援日９．５</vt:lpstr>
      <vt:lpstr>_15_同援日増０．５</vt:lpstr>
      <vt:lpstr>_15_同援日増１．０</vt:lpstr>
      <vt:lpstr>_15_同援日増１．５</vt:lpstr>
      <vt:lpstr>_15_同援日増１０．０</vt:lpstr>
      <vt:lpstr>_15_同援日増１０．５</vt:lpstr>
      <vt:lpstr>_15_同援日増２．０</vt:lpstr>
      <vt:lpstr>_15_同援日増２．５</vt:lpstr>
      <vt:lpstr>_15_同援日増３．０</vt:lpstr>
      <vt:lpstr>_15_同援日増３．５</vt:lpstr>
      <vt:lpstr>_15_同援日増４．０</vt:lpstr>
      <vt:lpstr>_15_同援日増４．５</vt:lpstr>
      <vt:lpstr>_15_同援日増５．０</vt:lpstr>
      <vt:lpstr>_15_同援日増５．５</vt:lpstr>
      <vt:lpstr>_15_同援日増６．０</vt:lpstr>
      <vt:lpstr>_15_同援日増６．５</vt:lpstr>
      <vt:lpstr>_15_同援日増７．０</vt:lpstr>
      <vt:lpstr>_15_同援日増７．５</vt:lpstr>
      <vt:lpstr>_15_同援日増８．０</vt:lpstr>
      <vt:lpstr>_15_同援日増８．５</vt:lpstr>
      <vt:lpstr>_15_同援日増９．０</vt:lpstr>
      <vt:lpstr>_15_同援日増９．５</vt:lpstr>
      <vt:lpstr>_15・２人</vt:lpstr>
      <vt:lpstr>_15・A深夜</vt:lpstr>
      <vt:lpstr>_15・A早朝</vt:lpstr>
      <vt:lpstr>_15・A夜間</vt:lpstr>
      <vt:lpstr>_15・B深夜</vt:lpstr>
      <vt:lpstr>_15・B早朝</vt:lpstr>
      <vt:lpstr>_15・B夜間</vt:lpstr>
      <vt:lpstr>_15・C深夜</vt:lpstr>
      <vt:lpstr>_15・C夜間</vt:lpstr>
      <vt:lpstr>_15・基礎２</vt:lpstr>
      <vt:lpstr>_15・区３</vt:lpstr>
      <vt:lpstr>_15・区４</vt:lpstr>
      <vt:lpstr>_15・通訳</vt:lpstr>
      <vt:lpstr>_15・盲ろう</vt:lpstr>
      <vt:lpstr>'1居宅介護(家援、2h未合成１-1)'!Print_Area</vt:lpstr>
      <vt:lpstr>'1居宅介護(家援、2h未合成１-2)'!Print_Area</vt:lpstr>
      <vt:lpstr>'1居宅介護(家援、2h未合成１-3)'!Print_Area</vt:lpstr>
      <vt:lpstr>'1居宅介護(家援、合成１-1)'!Print_Area</vt:lpstr>
      <vt:lpstr>'1居宅介護(家援、合成１-2)'!Print_Area</vt:lpstr>
      <vt:lpstr>'1居宅介護(家援、合成１-3)'!Print_Area</vt:lpstr>
      <vt:lpstr>'1居宅介護(家援、合成２‐1)'!Print_Area</vt:lpstr>
      <vt:lpstr>'1居宅介護(家援、合成２‐2)'!Print_Area</vt:lpstr>
      <vt:lpstr>'1居宅介護(家援、深夜増分)'!Print_Area</vt:lpstr>
      <vt:lpstr>'1居宅介護(家援、早朝夜間増分)'!Print_Area</vt:lpstr>
      <vt:lpstr>'1居宅介護(家援、単一深夜)'!Print_Area</vt:lpstr>
      <vt:lpstr>'1居宅介護(家援、単一早朝夜間)'!Print_Area</vt:lpstr>
      <vt:lpstr>'1居宅介護(家援、単一日中)'!Print_Area</vt:lpstr>
      <vt:lpstr>'1居宅介護(家援、日中増分)'!Print_Area</vt:lpstr>
      <vt:lpstr>'1居宅介護(家援重度、2h未合成１‐1)'!Print_Area</vt:lpstr>
      <vt:lpstr>'1居宅介護(家援重度、2h未合成１-2)'!Print_Area</vt:lpstr>
      <vt:lpstr>'1居宅介護(家援重度、2h未合成１-3)'!Print_Area</vt:lpstr>
      <vt:lpstr>'1居宅介護(家援重度、合成１‐1)'!Print_Area</vt:lpstr>
      <vt:lpstr>'1居宅介護(家援重度、合成１‐2)'!Print_Area</vt:lpstr>
      <vt:lpstr>'1居宅介護(家援重度、合成１-3)'!Print_Area</vt:lpstr>
      <vt:lpstr>'1居宅介護(家援重度、合成２-1)'!Print_Area</vt:lpstr>
      <vt:lpstr>'1居宅介護(家援重度、合成２-2)'!Print_Area</vt:lpstr>
      <vt:lpstr>'1居宅介護(家援重度、深夜増分)'!Print_Area</vt:lpstr>
      <vt:lpstr>'1居宅介護(家援重度、早朝夜間増分)'!Print_Area</vt:lpstr>
      <vt:lpstr>'1居宅介護(家援重度、単一深夜)'!Print_Area</vt:lpstr>
      <vt:lpstr>'1居宅介護(家援重度、単一早朝夜間)'!Print_Area</vt:lpstr>
      <vt:lpstr>'1居宅介護(家援重度、単一日中)'!Print_Area</vt:lpstr>
      <vt:lpstr>'1居宅介護(家援重度、日中増分)'!Print_Area</vt:lpstr>
      <vt:lpstr>'1居宅介護(身介、2h未合成１)'!Print_Area</vt:lpstr>
      <vt:lpstr>'1居宅介護(身介、2h未合成２)'!Print_Area</vt:lpstr>
      <vt:lpstr>'1居宅介護(身介、2h未合成３)'!Print_Area</vt:lpstr>
      <vt:lpstr>'1居宅介護(身介、合成深夜)'!Print_Area</vt:lpstr>
      <vt:lpstr>'1居宅介護(身介、合成早朝)'!Print_Area</vt:lpstr>
      <vt:lpstr>'1居宅介護(身介、合成日中)'!Print_Area</vt:lpstr>
      <vt:lpstr>'1居宅介護(身介、合成夜間１)'!Print_Area</vt:lpstr>
      <vt:lpstr>'1居宅介護(身介、合成夜間２)'!Print_Area</vt:lpstr>
      <vt:lpstr>'1居宅介護(身介、深夜増分)'!Print_Area</vt:lpstr>
      <vt:lpstr>'1居宅介護(身介、早朝夜間増分)'!Print_Area</vt:lpstr>
      <vt:lpstr>'1居宅介護(身介、単一深夜)'!Print_Area</vt:lpstr>
      <vt:lpstr>'1居宅介護(身介、単一早朝夜間)'!Print_Area</vt:lpstr>
      <vt:lpstr>'1居宅介護(身介、単一日中)'!Print_Area</vt:lpstr>
      <vt:lpstr>'1居宅介護(身介、日中増分)'!Print_Area</vt:lpstr>
      <vt:lpstr>'1居宅介護(身介重度、合成１-1)'!Print_Area</vt:lpstr>
      <vt:lpstr>'1居宅介護(身介重度、合成１-2)'!Print_Area</vt:lpstr>
      <vt:lpstr>'1居宅介護(身介重度、合成１-3)'!Print_Area</vt:lpstr>
      <vt:lpstr>'1居宅介護(身介重度、合成１-4)'!Print_Area</vt:lpstr>
      <vt:lpstr>'1居宅介護(身介重度、合成１-5)'!Print_Area</vt:lpstr>
      <vt:lpstr>'1居宅介護(身介重度、合成１-6)'!Print_Area</vt:lpstr>
      <vt:lpstr>'1居宅介護(身介重度、合成１-7)'!Print_Area</vt:lpstr>
      <vt:lpstr>'1居宅介護(身介重度、合成１-8)'!Print_Area</vt:lpstr>
      <vt:lpstr>'1居宅介護(身介重度、単一深夜)'!Print_Area</vt:lpstr>
      <vt:lpstr>'1居宅介護(身介重度、単一日中・早朝・夜間)'!Print_Area</vt:lpstr>
      <vt:lpstr>'1居宅介護(身介重度、日中早朝増分)'!Print_Area</vt:lpstr>
      <vt:lpstr>'1居宅介護(身介重度、夜間深夜増分)'!Print_Area</vt:lpstr>
      <vt:lpstr>'1居宅介護(単独加算)'!Print_Area</vt:lpstr>
      <vt:lpstr>'1居宅介護(通院家援、2h未合成１)'!Print_Area</vt:lpstr>
      <vt:lpstr>'1居宅介護(通院家援、合成１)'!Print_Area</vt:lpstr>
      <vt:lpstr>'1居宅介護(通院家援、合成２)'!Print_Area</vt:lpstr>
      <vt:lpstr>'1居宅介護(通院家援、深夜増分)'!Print_Area</vt:lpstr>
      <vt:lpstr>'1居宅介護(通院家援、早朝夜間増分)'!Print_Area</vt:lpstr>
      <vt:lpstr>'1居宅介護(通院家援、単一深夜)'!Print_Area</vt:lpstr>
      <vt:lpstr>'1居宅介護(通院家援、単一早朝夜間)'!Print_Area</vt:lpstr>
      <vt:lpstr>'1居宅介護(通院家援、単一日中)'!Print_Area</vt:lpstr>
      <vt:lpstr>'1居宅介護(通院家援、日中増分)'!Print_Area</vt:lpstr>
      <vt:lpstr>'1居宅介護(通院家援重度、2h未合成１)'!Print_Area</vt:lpstr>
      <vt:lpstr>'1居宅介護(通院家援重度、合成)'!Print_Area</vt:lpstr>
      <vt:lpstr>'1居宅介護(通院家援重度、早朝夜間深夜増分)'!Print_Area</vt:lpstr>
      <vt:lpstr>'1居宅介護(通院家援重度、単一早朝夜間深夜)'!Print_Area</vt:lpstr>
      <vt:lpstr>'1居宅介護(通院家援重度、単一日中)'!Print_Area</vt:lpstr>
      <vt:lpstr>'1居宅介護(通院家援重度、日中増分)'!Print_Area</vt:lpstr>
      <vt:lpstr>'1居宅介護(通院重度、合成１-1)'!Print_Area</vt:lpstr>
      <vt:lpstr>'1居宅介護(通院重度、合成１-2)'!Print_Area</vt:lpstr>
      <vt:lpstr>'1居宅介護(通院重度、合成１-3)'!Print_Area</vt:lpstr>
      <vt:lpstr>'1居宅介護(通院重度、合成１-4)'!Print_Area</vt:lpstr>
      <vt:lpstr>'1居宅介護(通院重度、合成１-5)'!Print_Area</vt:lpstr>
      <vt:lpstr>'1居宅介護(通院重度、合成１-6)'!Print_Area</vt:lpstr>
      <vt:lpstr>'1居宅介護(通院重度、合成１-7)'!Print_Area</vt:lpstr>
      <vt:lpstr>'1居宅介護(通院重度、合成１-8)'!Print_Area</vt:lpstr>
      <vt:lpstr>'1居宅介護(通院重度、単一深夜)'!Print_Area</vt:lpstr>
      <vt:lpstr>'1居宅介護(通院重度、単一日中・早朝・夜間)'!Print_Area</vt:lpstr>
      <vt:lpstr>'1居宅介護(通院重度、日中早朝増分)'!Print_Area</vt:lpstr>
      <vt:lpstr>'1居宅介護(通院重度、夜間深夜増分)'!Print_Area</vt:lpstr>
      <vt:lpstr>'1居宅介護(通院身体、2h未合成１)'!Print_Area</vt:lpstr>
      <vt:lpstr>'1居宅介護(通院身体、2h未合成２)'!Print_Area</vt:lpstr>
      <vt:lpstr>'1居宅介護(通院身体、2h未合成３‐1)'!Print_Area</vt:lpstr>
      <vt:lpstr>'1居宅介護(通院身体、2h未合成３‐2)'!Print_Area</vt:lpstr>
      <vt:lpstr>'1居宅介護(通院身体、合成深夜)'!Print_Area</vt:lpstr>
      <vt:lpstr>'1居宅介護(通院身体、合成早朝)'!Print_Area</vt:lpstr>
      <vt:lpstr>'1居宅介護(通院身体、合成日中)'!Print_Area</vt:lpstr>
      <vt:lpstr>'1居宅介護(通院身体、合成夜間１)'!Print_Area</vt:lpstr>
      <vt:lpstr>'1居宅介護(通院身体、合成夜間２)'!Print_Area</vt:lpstr>
      <vt:lpstr>'1居宅介護(通院身体、深夜増分)'!Print_Area</vt:lpstr>
      <vt:lpstr>'1居宅介護(通院身体、早朝夜間増分)'!Print_Area</vt:lpstr>
      <vt:lpstr>'1居宅介護(通院身体、単一深夜)'!Print_Area</vt:lpstr>
      <vt:lpstr>'1居宅介護(通院身体、単一早朝夜間)'!Print_Area</vt:lpstr>
      <vt:lpstr>'1居宅介護(通院身体、単一日中)'!Print_Area</vt:lpstr>
      <vt:lpstr>'1居宅介護(通院身体、日中増分)'!Print_Area</vt:lpstr>
      <vt:lpstr>'1居宅介護(通院等乗降介助加算)'!Print_Area</vt:lpstr>
      <vt:lpstr>'1居宅介護(通院等乗降介助重度加算)'!Print_Area</vt:lpstr>
      <vt:lpstr>'2重度訪問'!Print_Area</vt:lpstr>
      <vt:lpstr>'2重度訪問 (入院入所中)'!Print_Area</vt:lpstr>
      <vt:lpstr>'2重度訪問 (入院入所中、深夜)'!Print_Area</vt:lpstr>
      <vt:lpstr>'2重度訪問 (入院入所中、早朝)'!Print_Area</vt:lpstr>
      <vt:lpstr>'2重度訪問 (入院入所中、夜間)'!Print_Area</vt:lpstr>
      <vt:lpstr>'2重度訪問（深夜）'!Print_Area</vt:lpstr>
      <vt:lpstr>'2重度訪問（早朝）'!Print_Area</vt:lpstr>
      <vt:lpstr>'2重度訪問（夜間）'!Print_Area</vt:lpstr>
      <vt:lpstr>'3同行援護(単独加算)'!Print_Area</vt:lpstr>
      <vt:lpstr>'3同行援護(同行援護、2h未合成１)'!Print_Area</vt:lpstr>
      <vt:lpstr>'3同行援護(同行援護、2h未合成２)'!Print_Area</vt:lpstr>
      <vt:lpstr>'3同行援護(同行援護、2h未合成３)'!Print_Area</vt:lpstr>
      <vt:lpstr>'3同行援護(同行援護、合成深夜)'!Print_Area</vt:lpstr>
      <vt:lpstr>'3同行援護(同行援護、合成早朝)'!Print_Area</vt:lpstr>
      <vt:lpstr>'3同行援護(同行援護、合成日中)'!Print_Area</vt:lpstr>
      <vt:lpstr>'3同行援護(同行援護、合成夜間１)'!Print_Area</vt:lpstr>
      <vt:lpstr>'3同行援護(同行援護、合成夜間２)'!Print_Area</vt:lpstr>
      <vt:lpstr>'3同行援護(同行援護、深夜増分)'!Print_Area</vt:lpstr>
      <vt:lpstr>'3同行援護(同行援護、早朝夜間増分)'!Print_Area</vt:lpstr>
      <vt:lpstr>'3同行援護(同行援護、単一深夜)'!Print_Area</vt:lpstr>
      <vt:lpstr>'3同行援護(同行援護、単一早朝夜間)'!Print_Area</vt:lpstr>
      <vt:lpstr>'3同行援護(同行援護、単一日中)'!Print_Area</vt:lpstr>
      <vt:lpstr>'3同行援護(同行援護、日中増分)'!Print_Area</vt:lpstr>
      <vt:lpstr>'3同行援護(同行援護盲ろう、2h未合成１)'!Print_Area</vt:lpstr>
      <vt:lpstr>'3同行援護(同行援護盲ろう、2h未合成２)'!Print_Area</vt:lpstr>
      <vt:lpstr>'3同行援護(同行援護盲ろう、2h未合成３)'!Print_Area</vt:lpstr>
      <vt:lpstr>'3同行援護(同行援護盲ろう、合成深夜)'!Print_Area</vt:lpstr>
      <vt:lpstr>'3同行援護(同行援護盲ろう、合成早朝)'!Print_Area</vt:lpstr>
      <vt:lpstr>'3同行援護(同行援護盲ろう、合成日中)'!Print_Area</vt:lpstr>
      <vt:lpstr>'3同行援護(同行援護盲ろう、合成夜間１)'!Print_Area</vt:lpstr>
      <vt:lpstr>'3同行援護(同行援護盲ろう、合成夜間２)'!Print_Area</vt:lpstr>
      <vt:lpstr>'3同行援護(同行援護盲ろう、深夜増分)'!Print_Area</vt:lpstr>
      <vt:lpstr>'3同行援護(同行援護盲ろう、早朝夜間増分)'!Print_Area</vt:lpstr>
      <vt:lpstr>'3同行援護(同行援護盲ろう、単一深夜)'!Print_Area</vt:lpstr>
      <vt:lpstr>'3同行援護(同行援護盲ろう、単一早朝夜間)'!Print_Area</vt:lpstr>
      <vt:lpstr>'3同行援護(同行援護盲ろう、単一日中)'!Print_Area</vt:lpstr>
      <vt:lpstr>'3同行援護(同行援護盲ろう、日中増分)'!Print_Area</vt:lpstr>
      <vt:lpstr>'4行動援護'!Print_Area</vt:lpstr>
      <vt:lpstr>'5療養介護(サービス管理責任者欠員)'!Print_Area</vt:lpstr>
      <vt:lpstr>'5療養介護(基本)'!Print_Area</vt:lpstr>
      <vt:lpstr>'5療養介護(生活支援員他欠員)'!Print_Area</vt:lpstr>
      <vt:lpstr>'5療養介護(定超)'!Print_Area</vt:lpstr>
      <vt:lpstr>説明!Print_Area</vt:lpstr>
      <vt:lpstr>'1居宅介護(家援、2h未合成１-1)'!Print_Titles</vt:lpstr>
      <vt:lpstr>'1居宅介護(家援、2h未合成１-2)'!Print_Titles</vt:lpstr>
      <vt:lpstr>'1居宅介護(家援、2h未合成１-3)'!Print_Titles</vt:lpstr>
      <vt:lpstr>'1居宅介護(家援、合成１-1)'!Print_Titles</vt:lpstr>
      <vt:lpstr>'1居宅介護(家援、合成１-2)'!Print_Titles</vt:lpstr>
      <vt:lpstr>'1居宅介護(家援、合成１-3)'!Print_Titles</vt:lpstr>
      <vt:lpstr>'1居宅介護(家援、合成２‐1)'!Print_Titles</vt:lpstr>
      <vt:lpstr>'1居宅介護(家援、合成２‐2)'!Print_Titles</vt:lpstr>
      <vt:lpstr>'1居宅介護(家援、深夜増分)'!Print_Titles</vt:lpstr>
      <vt:lpstr>'1居宅介護(家援、早朝夜間増分)'!Print_Titles</vt:lpstr>
      <vt:lpstr>'1居宅介護(家援、単一深夜)'!Print_Titles</vt:lpstr>
      <vt:lpstr>'1居宅介護(家援、単一早朝夜間)'!Print_Titles</vt:lpstr>
      <vt:lpstr>'1居宅介護(家援、単一日中)'!Print_Titles</vt:lpstr>
      <vt:lpstr>'1居宅介護(家援、日中増分)'!Print_Titles</vt:lpstr>
      <vt:lpstr>'1居宅介護(家援重度、2h未合成１‐1)'!Print_Titles</vt:lpstr>
      <vt:lpstr>'1居宅介護(家援重度、2h未合成１-2)'!Print_Titles</vt:lpstr>
      <vt:lpstr>'1居宅介護(家援重度、2h未合成１-3)'!Print_Titles</vt:lpstr>
      <vt:lpstr>'1居宅介護(家援重度、合成１‐1)'!Print_Titles</vt:lpstr>
      <vt:lpstr>'1居宅介護(家援重度、合成１‐2)'!Print_Titles</vt:lpstr>
      <vt:lpstr>'1居宅介護(家援重度、合成１-3)'!Print_Titles</vt:lpstr>
      <vt:lpstr>'1居宅介護(家援重度、合成２-1)'!Print_Titles</vt:lpstr>
      <vt:lpstr>'1居宅介護(家援重度、合成２-2)'!Print_Titles</vt:lpstr>
      <vt:lpstr>'1居宅介護(家援重度、深夜増分)'!Print_Titles</vt:lpstr>
      <vt:lpstr>'1居宅介護(家援重度、単一深夜)'!Print_Titles</vt:lpstr>
      <vt:lpstr>'1居宅介護(家援重度、単一早朝夜間)'!Print_Titles</vt:lpstr>
      <vt:lpstr>'1居宅介護(家援重度、単一日中)'!Print_Titles</vt:lpstr>
      <vt:lpstr>'1居宅介護(家援重度、日中増分)'!Print_Titles</vt:lpstr>
      <vt:lpstr>'1居宅介護(身介、2h未合成１)'!Print_Titles</vt:lpstr>
      <vt:lpstr>'1居宅介護(身介、2h未合成２)'!Print_Titles</vt:lpstr>
      <vt:lpstr>'1居宅介護(身介、2h未合成３)'!Print_Titles</vt:lpstr>
      <vt:lpstr>'1居宅介護(身介、合成深夜)'!Print_Titles</vt:lpstr>
      <vt:lpstr>'1居宅介護(身介、合成早朝)'!Print_Titles</vt:lpstr>
      <vt:lpstr>'1居宅介護(身介、合成日中)'!Print_Titles</vt:lpstr>
      <vt:lpstr>'1居宅介護(身介、合成夜間１)'!Print_Titles</vt:lpstr>
      <vt:lpstr>'1居宅介護(身介、合成夜間２)'!Print_Titles</vt:lpstr>
      <vt:lpstr>'1居宅介護(身介、深夜増分)'!Print_Titles</vt:lpstr>
      <vt:lpstr>'1居宅介護(身介、早朝夜間増分)'!Print_Titles</vt:lpstr>
      <vt:lpstr>'1居宅介護(身介、単一深夜)'!Print_Titles</vt:lpstr>
      <vt:lpstr>'1居宅介護(身介、単一日中)'!Print_Titles</vt:lpstr>
      <vt:lpstr>'1居宅介護(身介、日中増分)'!Print_Titles</vt:lpstr>
      <vt:lpstr>'1居宅介護(身介重度、合成１-1)'!Print_Titles</vt:lpstr>
      <vt:lpstr>'1居宅介護(身介重度、合成１-2)'!Print_Titles</vt:lpstr>
      <vt:lpstr>'1居宅介護(身介重度、合成１-3)'!Print_Titles</vt:lpstr>
      <vt:lpstr>'1居宅介護(身介重度、合成１-4)'!Print_Titles</vt:lpstr>
      <vt:lpstr>'1居宅介護(身介重度、合成１-5)'!Print_Titles</vt:lpstr>
      <vt:lpstr>'1居宅介護(身介重度、合成１-6)'!Print_Titles</vt:lpstr>
      <vt:lpstr>'1居宅介護(身介重度、合成１-7)'!Print_Titles</vt:lpstr>
      <vt:lpstr>'1居宅介護(身介重度、合成１-8)'!Print_Titles</vt:lpstr>
      <vt:lpstr>'1居宅介護(身介重度、単一深夜)'!Print_Titles</vt:lpstr>
      <vt:lpstr>'1居宅介護(身介重度、単一日中・早朝・夜間)'!Print_Titles</vt:lpstr>
      <vt:lpstr>'1居宅介護(身介重度、日中早朝増分)'!Print_Titles</vt:lpstr>
      <vt:lpstr>'1居宅介護(単独加算)'!Print_Titles</vt:lpstr>
      <vt:lpstr>'1居宅介護(通院家援、深夜増分)'!Print_Titles</vt:lpstr>
      <vt:lpstr>'1居宅介護(通院家援、単一深夜)'!Print_Titles</vt:lpstr>
      <vt:lpstr>'1居宅介護(通院家援、単一日中)'!Print_Titles</vt:lpstr>
      <vt:lpstr>'1居宅介護(通院家援、日中増分)'!Print_Titles</vt:lpstr>
      <vt:lpstr>'1居宅介護(通院家援重度、単一日中)'!Print_Titles</vt:lpstr>
      <vt:lpstr>'1居宅介護(通院家援重度、日中増分)'!Print_Titles</vt:lpstr>
      <vt:lpstr>'1居宅介護(通院重度、合成１-1)'!Print_Titles</vt:lpstr>
      <vt:lpstr>'1居宅介護(通院重度、合成１-2)'!Print_Titles</vt:lpstr>
      <vt:lpstr>'1居宅介護(通院重度、合成１-3)'!Print_Titles</vt:lpstr>
      <vt:lpstr>'1居宅介護(通院重度、合成１-4)'!Print_Titles</vt:lpstr>
      <vt:lpstr>'1居宅介護(通院重度、合成１-5)'!Print_Titles</vt:lpstr>
      <vt:lpstr>'1居宅介護(通院重度、合成１-6)'!Print_Titles</vt:lpstr>
      <vt:lpstr>'1居宅介護(通院重度、合成１-7)'!Print_Titles</vt:lpstr>
      <vt:lpstr>'1居宅介護(通院重度、合成１-8)'!Print_Titles</vt:lpstr>
      <vt:lpstr>'1居宅介護(通院重度、単一深夜)'!Print_Titles</vt:lpstr>
      <vt:lpstr>'1居宅介護(通院重度、単一日中・早朝・夜間)'!Print_Titles</vt:lpstr>
      <vt:lpstr>'1居宅介護(通院身体、2h未合成１)'!Print_Titles</vt:lpstr>
      <vt:lpstr>'1居宅介護(通院身体、2h未合成２)'!Print_Titles</vt:lpstr>
      <vt:lpstr>'1居宅介護(通院身体、2h未合成３‐1)'!Print_Titles</vt:lpstr>
      <vt:lpstr>'1居宅介護(通院身体、2h未合成３‐2)'!Print_Titles</vt:lpstr>
      <vt:lpstr>'1居宅介護(通院身体、合成深夜)'!Print_Titles</vt:lpstr>
      <vt:lpstr>'1居宅介護(通院身体、合成早朝)'!Print_Titles</vt:lpstr>
      <vt:lpstr>'1居宅介護(通院身体、合成日中)'!Print_Titles</vt:lpstr>
      <vt:lpstr>'1居宅介護(通院身体、合成夜間１)'!Print_Titles</vt:lpstr>
      <vt:lpstr>'1居宅介護(通院身体、合成夜間２)'!Print_Titles</vt:lpstr>
      <vt:lpstr>'1居宅介護(通院身体、深夜増分)'!Print_Titles</vt:lpstr>
      <vt:lpstr>'1居宅介護(通院身体、単一深夜)'!Print_Titles</vt:lpstr>
      <vt:lpstr>'1居宅介護(通院身体、単一日中)'!Print_Titles</vt:lpstr>
      <vt:lpstr>'1居宅介護(通院身体、日中増分)'!Print_Titles</vt:lpstr>
      <vt:lpstr>'2重度訪問'!Print_Titles</vt:lpstr>
      <vt:lpstr>'2重度訪問 (入院入所中)'!Print_Titles</vt:lpstr>
      <vt:lpstr>'2重度訪問 (入院入所中、深夜)'!Print_Titles</vt:lpstr>
      <vt:lpstr>'2重度訪問 (入院入所中、早朝)'!Print_Titles</vt:lpstr>
      <vt:lpstr>'2重度訪問 (入院入所中、夜間)'!Print_Titles</vt:lpstr>
      <vt:lpstr>'2重度訪問（深夜）'!Print_Titles</vt:lpstr>
      <vt:lpstr>'2重度訪問（早朝）'!Print_Titles</vt:lpstr>
      <vt:lpstr>'2重度訪問（夜間）'!Print_Titles</vt:lpstr>
      <vt:lpstr>'3同行援護(単独加算)'!Print_Titles</vt:lpstr>
      <vt:lpstr>'3同行援護(同行援護、2h未合成１)'!Print_Titles</vt:lpstr>
      <vt:lpstr>'3同行援護(同行援護、2h未合成２)'!Print_Titles</vt:lpstr>
      <vt:lpstr>'3同行援護(同行援護、2h未合成３)'!Print_Titles</vt:lpstr>
      <vt:lpstr>'3同行援護(同行援護、合成深夜)'!Print_Titles</vt:lpstr>
      <vt:lpstr>'3同行援護(同行援護、合成早朝)'!Print_Titles</vt:lpstr>
      <vt:lpstr>'3同行援護(同行援護、合成日中)'!Print_Titles</vt:lpstr>
      <vt:lpstr>'3同行援護(同行援護、合成夜間１)'!Print_Titles</vt:lpstr>
      <vt:lpstr>'3同行援護(同行援護、合成夜間２)'!Print_Titles</vt:lpstr>
      <vt:lpstr>'3同行援護(同行援護、深夜増分)'!Print_Titles</vt:lpstr>
      <vt:lpstr>'3同行援護(同行援護、早朝夜間増分)'!Print_Titles</vt:lpstr>
      <vt:lpstr>'3同行援護(同行援護、単一深夜)'!Print_Titles</vt:lpstr>
      <vt:lpstr>'3同行援護(同行援護、単一早朝夜間)'!Print_Titles</vt:lpstr>
      <vt:lpstr>'3同行援護(同行援護、単一日中)'!Print_Titles</vt:lpstr>
      <vt:lpstr>'3同行援護(同行援護、日中増分)'!Print_Titles</vt:lpstr>
      <vt:lpstr>'3同行援護(同行援護盲ろう、2h未合成１)'!Print_Titles</vt:lpstr>
      <vt:lpstr>'3同行援護(同行援護盲ろう、2h未合成２)'!Print_Titles</vt:lpstr>
      <vt:lpstr>'3同行援護(同行援護盲ろう、2h未合成３)'!Print_Titles</vt:lpstr>
      <vt:lpstr>'3同行援護(同行援護盲ろう、合成深夜)'!Print_Titles</vt:lpstr>
      <vt:lpstr>'3同行援護(同行援護盲ろう、合成早朝)'!Print_Titles</vt:lpstr>
      <vt:lpstr>'3同行援護(同行援護盲ろう、合成日中)'!Print_Titles</vt:lpstr>
      <vt:lpstr>'3同行援護(同行援護盲ろう、合成夜間１)'!Print_Titles</vt:lpstr>
      <vt:lpstr>'3同行援護(同行援護盲ろう、合成夜間２)'!Print_Titles</vt:lpstr>
      <vt:lpstr>'3同行援護(同行援護盲ろう、深夜増分)'!Print_Titles</vt:lpstr>
      <vt:lpstr>'3同行援護(同行援護盲ろう、早朝夜間増分)'!Print_Titles</vt:lpstr>
      <vt:lpstr>'3同行援護(同行援護盲ろう、単一深夜)'!Print_Titles</vt:lpstr>
      <vt:lpstr>'3同行援護(同行援護盲ろう、単一日中)'!Print_Titles</vt:lpstr>
      <vt:lpstr>'3同行援護(同行援護盲ろう、日中増分)'!Print_Titles</vt:lpstr>
      <vt:lpstr>'4行動援護'!Print_Titles</vt:lpstr>
      <vt:lpstr>'5療養介護(サービス管理責任者欠員)'!Print_Titles</vt:lpstr>
      <vt:lpstr>'5療養介護(基本)'!Print_Titles</vt:lpstr>
      <vt:lpstr>'5療養介護(生活支援員他欠員)'!Print_Titles</vt:lpstr>
      <vt:lpstr>'5療養介護(定超)'!Print_Titles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2022-07-20T08:15:04Z</dcterms:created>
  <dcterms:modified xsi:type="dcterms:W3CDTF">2022-07-26T10:47:01Z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0x0101004617560E529AA944B98BDD6D61298D77</vt:lpwstr>
  </property>
  <property fmtid="{D5CDD505-2E9C-101B-9397-08002B2CF9AE}" pid="3" name="MediaServiceImageTags">
    <vt:lpwstr/>
  </property>
  <property fmtid="{D5CDD505-2E9C-101B-9397-08002B2CF9AE}" pid="4" name="MSIP_Label_a7295cc1-d279-42ac-ab4d-3b0f4fece050_Enabled">
    <vt:lpwstr>true</vt:lpwstr>
  </property>
  <property fmtid="{D5CDD505-2E9C-101B-9397-08002B2CF9AE}" pid="5" name="MSIP_Label_a7295cc1-d279-42ac-ab4d-3b0f4fece050_SetDate">
    <vt:lpwstr>2022-07-26T10:45:39Z</vt:lpwstr>
  </property>
  <property fmtid="{D5CDD505-2E9C-101B-9397-08002B2CF9AE}" pid="6" name="MSIP_Label_a7295cc1-d279-42ac-ab4d-3b0f4fece050_Method">
    <vt:lpwstr>Standard</vt:lpwstr>
  </property>
  <property fmtid="{D5CDD505-2E9C-101B-9397-08002B2CF9AE}" pid="7" name="MSIP_Label_a7295cc1-d279-42ac-ab4d-3b0f4fece050_Name">
    <vt:lpwstr>FUJITSU-RESTRICTED​</vt:lpwstr>
  </property>
  <property fmtid="{D5CDD505-2E9C-101B-9397-08002B2CF9AE}" pid="8" name="MSIP_Label_a7295cc1-d279-42ac-ab4d-3b0f4fece050_SiteId">
    <vt:lpwstr>a19f121d-81e1-4858-a9d8-736e267fd4c7</vt:lpwstr>
  </property>
  <property fmtid="{D5CDD505-2E9C-101B-9397-08002B2CF9AE}" pid="9" name="MSIP_Label_a7295cc1-d279-42ac-ab4d-3b0f4fece050_ActionId">
    <vt:lpwstr>aedfdd56-4566-42c3-b6ea-a594f8d9af1f</vt:lpwstr>
  </property>
  <property fmtid="{D5CDD505-2E9C-101B-9397-08002B2CF9AE}" pid="10" name="MSIP_Label_a7295cc1-d279-42ac-ab4d-3b0f4fece050_ContentBits">
    <vt:lpwstr>0</vt:lpwstr>
  </property>
</Properties>
</file>